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otzar\OTZAR\"/>
    </mc:Choice>
  </mc:AlternateContent>
  <xr:revisionPtr revIDLastSave="0" documentId="8_{A05008A1-4A41-476A-A76C-7D03C8275176}" xr6:coauthVersionLast="45" xr6:coauthVersionMax="45" xr10:uidLastSave="{00000000-0000-0000-0000-000000000000}"/>
  <bookViews>
    <workbookView xWindow="-120" yWindow="-120" windowWidth="29040" windowHeight="15840"/>
  </bookViews>
  <sheets>
    <sheet name="OTZARHLIST" sheetId="1" r:id="rId1"/>
  </sheets>
  <calcPr calcId="0"/>
</workbook>
</file>

<file path=xl/calcChain.xml><?xml version="1.0" encoding="utf-8"?>
<calcChain xmlns="http://schemas.openxmlformats.org/spreadsheetml/2006/main">
  <c r="F2" i="1" l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B1236" i="1"/>
  <c r="F1236" i="1"/>
  <c r="B1237" i="1"/>
  <c r="F1237" i="1"/>
  <c r="B1238" i="1"/>
  <c r="F1238" i="1"/>
  <c r="B1239" i="1"/>
  <c r="F1239" i="1"/>
  <c r="B1240" i="1"/>
  <c r="F1240" i="1"/>
  <c r="B1241" i="1"/>
  <c r="F1241" i="1"/>
  <c r="B1242" i="1"/>
  <c r="F1242" i="1"/>
  <c r="B1243" i="1"/>
  <c r="F1243" i="1"/>
  <c r="F1244" i="1"/>
  <c r="B1245" i="1"/>
  <c r="F1245" i="1"/>
  <c r="F1246" i="1"/>
  <c r="F1247" i="1"/>
  <c r="F1248" i="1"/>
  <c r="B1249" i="1"/>
  <c r="F1249" i="1"/>
  <c r="F1250" i="1"/>
  <c r="B1251" i="1"/>
  <c r="F1251" i="1"/>
  <c r="B1252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B17652" i="1"/>
  <c r="F17652" i="1"/>
  <c r="B17653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B17730" i="1"/>
  <c r="F17730" i="1"/>
  <c r="B17731" i="1"/>
  <c r="F17731" i="1"/>
  <c r="B17732" i="1"/>
  <c r="F17732" i="1"/>
  <c r="B17733" i="1"/>
  <c r="F17733" i="1"/>
  <c r="B17734" i="1"/>
  <c r="F17734" i="1"/>
  <c r="B17735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F20465" i="1"/>
  <c r="F20466" i="1"/>
  <c r="F20467" i="1"/>
  <c r="F20468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8" i="1"/>
  <c r="F21589" i="1"/>
  <c r="F21590" i="1"/>
  <c r="F21591" i="1"/>
  <c r="F21592" i="1"/>
  <c r="F21593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3064" i="1"/>
  <c r="F23065" i="1"/>
  <c r="F23066" i="1"/>
  <c r="F23067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F24072" i="1"/>
  <c r="F24073" i="1"/>
  <c r="F24074" i="1"/>
  <c r="F24075" i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F24132" i="1"/>
  <c r="F24133" i="1"/>
  <c r="F24134" i="1"/>
  <c r="F24135" i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F24152" i="1"/>
  <c r="F24153" i="1"/>
  <c r="F24154" i="1"/>
  <c r="F24155" i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F24192" i="1"/>
  <c r="F24193" i="1"/>
  <c r="F24194" i="1"/>
  <c r="F24195" i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F24215" i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F24295" i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F24315" i="1"/>
  <c r="F24316" i="1"/>
  <c r="F24317" i="1"/>
  <c r="F24318" i="1"/>
  <c r="F24319" i="1"/>
  <c r="F24320" i="1"/>
  <c r="F24321" i="1"/>
  <c r="F24322" i="1"/>
  <c r="F24323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F24355" i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F24372" i="1"/>
  <c r="F24373" i="1"/>
  <c r="F24374" i="1"/>
  <c r="F24375" i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F24392" i="1"/>
  <c r="F24393" i="1"/>
  <c r="F24394" i="1"/>
  <c r="F24395" i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F24412" i="1"/>
  <c r="F24413" i="1"/>
  <c r="F24414" i="1"/>
  <c r="F24415" i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F24472" i="1"/>
  <c r="F24473" i="1"/>
  <c r="F24474" i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F24492" i="1"/>
  <c r="F24493" i="1"/>
  <c r="F24494" i="1"/>
  <c r="F24495" i="1"/>
  <c r="F24496" i="1"/>
  <c r="F24497" i="1"/>
  <c r="F24498" i="1"/>
  <c r="F24499" i="1"/>
  <c r="F24500" i="1"/>
  <c r="F24501" i="1"/>
  <c r="F24502" i="1"/>
  <c r="F24503" i="1"/>
  <c r="F24504" i="1"/>
  <c r="F24505" i="1"/>
  <c r="F24506" i="1"/>
  <c r="F24507" i="1"/>
  <c r="F24508" i="1"/>
  <c r="F24509" i="1"/>
  <c r="F24510" i="1"/>
  <c r="F24511" i="1"/>
  <c r="F24512" i="1"/>
  <c r="F24513" i="1"/>
  <c r="F24514" i="1"/>
  <c r="F24515" i="1"/>
  <c r="F24516" i="1"/>
  <c r="F24517" i="1"/>
  <c r="F24518" i="1"/>
  <c r="F24519" i="1"/>
  <c r="F24520" i="1"/>
  <c r="F24521" i="1"/>
  <c r="F24522" i="1"/>
  <c r="F24523" i="1"/>
  <c r="F24524" i="1"/>
  <c r="F24525" i="1"/>
  <c r="F24526" i="1"/>
  <c r="F24527" i="1"/>
  <c r="F24528" i="1"/>
  <c r="F24529" i="1"/>
  <c r="F24530" i="1"/>
  <c r="F24531" i="1"/>
  <c r="F24532" i="1"/>
  <c r="F24533" i="1"/>
  <c r="F24534" i="1"/>
  <c r="F24535" i="1"/>
  <c r="F24536" i="1"/>
  <c r="F24537" i="1"/>
  <c r="F24538" i="1"/>
  <c r="F24539" i="1"/>
  <c r="F24540" i="1"/>
  <c r="F24541" i="1"/>
  <c r="F24542" i="1"/>
  <c r="F24543" i="1"/>
  <c r="F24544" i="1"/>
  <c r="F24545" i="1"/>
  <c r="F24546" i="1"/>
  <c r="F24547" i="1"/>
  <c r="F24548" i="1"/>
  <c r="F24549" i="1"/>
  <c r="F24550" i="1"/>
  <c r="F24551" i="1"/>
  <c r="F24552" i="1"/>
  <c r="F24553" i="1"/>
  <c r="F24554" i="1"/>
  <c r="F24555" i="1"/>
  <c r="F24556" i="1"/>
  <c r="F24557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24570" i="1"/>
  <c r="F24571" i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24589" i="1"/>
  <c r="F24590" i="1"/>
  <c r="F24591" i="1"/>
  <c r="F24592" i="1"/>
  <c r="F24593" i="1"/>
  <c r="F24594" i="1"/>
  <c r="F24595" i="1"/>
  <c r="F24596" i="1"/>
  <c r="F24597" i="1"/>
  <c r="F24598" i="1"/>
  <c r="F24599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F24612" i="1"/>
  <c r="F24613" i="1"/>
  <c r="F24614" i="1"/>
  <c r="F24615" i="1"/>
  <c r="F24616" i="1"/>
  <c r="F24617" i="1"/>
  <c r="F24618" i="1"/>
  <c r="F24619" i="1"/>
  <c r="F24620" i="1"/>
  <c r="F24621" i="1"/>
  <c r="F24622" i="1"/>
  <c r="F24623" i="1"/>
  <c r="F24624" i="1"/>
  <c r="F24625" i="1"/>
  <c r="F24626" i="1"/>
  <c r="F24627" i="1"/>
  <c r="F24628" i="1"/>
  <c r="F24629" i="1"/>
  <c r="F24630" i="1"/>
  <c r="F24631" i="1"/>
  <c r="F24632" i="1"/>
  <c r="F24633" i="1"/>
  <c r="F24634" i="1"/>
  <c r="F24635" i="1"/>
  <c r="F24636" i="1"/>
  <c r="F24637" i="1"/>
  <c r="F24638" i="1"/>
  <c r="F24639" i="1"/>
  <c r="F24640" i="1"/>
  <c r="F24641" i="1"/>
  <c r="F24642" i="1"/>
  <c r="F24643" i="1"/>
  <c r="F24644" i="1"/>
  <c r="F24645" i="1"/>
  <c r="F24646" i="1"/>
  <c r="F24647" i="1"/>
  <c r="F24648" i="1"/>
  <c r="F24649" i="1"/>
  <c r="F24650" i="1"/>
  <c r="F24651" i="1"/>
  <c r="F24652" i="1"/>
  <c r="F24653" i="1"/>
  <c r="F24654" i="1"/>
  <c r="F24655" i="1"/>
  <c r="F24656" i="1"/>
  <c r="F24657" i="1"/>
  <c r="F24658" i="1"/>
  <c r="F24659" i="1"/>
  <c r="F24660" i="1"/>
  <c r="F24661" i="1"/>
  <c r="F24662" i="1"/>
  <c r="F24663" i="1"/>
  <c r="F24664" i="1"/>
  <c r="F24665" i="1"/>
  <c r="F24666" i="1"/>
  <c r="F24667" i="1"/>
  <c r="F24668" i="1"/>
  <c r="F24669" i="1"/>
  <c r="F24670" i="1"/>
  <c r="F24671" i="1"/>
  <c r="F24672" i="1"/>
  <c r="F24673" i="1"/>
  <c r="F24674" i="1"/>
  <c r="F24675" i="1"/>
  <c r="F24676" i="1"/>
  <c r="F24677" i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F24692" i="1"/>
  <c r="F24693" i="1"/>
  <c r="F24694" i="1"/>
  <c r="F24695" i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F24708" i="1"/>
  <c r="F24709" i="1"/>
  <c r="F24710" i="1"/>
  <c r="F24711" i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F24732" i="1"/>
  <c r="F24733" i="1"/>
  <c r="F24734" i="1"/>
  <c r="F24735" i="1"/>
  <c r="F24736" i="1"/>
  <c r="F24737" i="1"/>
  <c r="F24738" i="1"/>
  <c r="F24739" i="1"/>
  <c r="F24740" i="1"/>
  <c r="F24741" i="1"/>
  <c r="F24742" i="1"/>
  <c r="F24743" i="1"/>
  <c r="F24744" i="1"/>
  <c r="F24745" i="1"/>
  <c r="F24746" i="1"/>
  <c r="F24747" i="1"/>
  <c r="F24748" i="1"/>
  <c r="F24749" i="1"/>
  <c r="F24750" i="1"/>
  <c r="F24751" i="1"/>
  <c r="F24752" i="1"/>
  <c r="F24753" i="1"/>
  <c r="F24754" i="1"/>
  <c r="F24755" i="1"/>
  <c r="F24756" i="1"/>
  <c r="F24757" i="1"/>
  <c r="F24758" i="1"/>
  <c r="F24759" i="1"/>
  <c r="F24760" i="1"/>
  <c r="F24761" i="1"/>
  <c r="F24762" i="1"/>
  <c r="F24763" i="1"/>
  <c r="F24764" i="1"/>
  <c r="F24765" i="1"/>
  <c r="F24766" i="1"/>
  <c r="F24767" i="1"/>
  <c r="F24768" i="1"/>
  <c r="F24769" i="1"/>
  <c r="F24770" i="1"/>
  <c r="F24771" i="1"/>
  <c r="F24772" i="1"/>
  <c r="F24773" i="1"/>
  <c r="F24774" i="1"/>
  <c r="F24775" i="1"/>
  <c r="F24776" i="1"/>
  <c r="F24777" i="1"/>
  <c r="F24778" i="1"/>
  <c r="F24779" i="1"/>
  <c r="F24780" i="1"/>
  <c r="F24781" i="1"/>
  <c r="F24782" i="1"/>
  <c r="F24783" i="1"/>
  <c r="F24784" i="1"/>
  <c r="F24785" i="1"/>
  <c r="F24786" i="1"/>
  <c r="F24787" i="1"/>
  <c r="F24788" i="1"/>
  <c r="F24789" i="1"/>
  <c r="F24790" i="1"/>
  <c r="F24791" i="1"/>
  <c r="F24792" i="1"/>
  <c r="F24793" i="1"/>
  <c r="F24794" i="1"/>
  <c r="F24795" i="1"/>
  <c r="F24796" i="1"/>
  <c r="F24797" i="1"/>
  <c r="F24798" i="1"/>
  <c r="F24799" i="1"/>
  <c r="F24800" i="1"/>
  <c r="F24801" i="1"/>
  <c r="F24802" i="1"/>
  <c r="F24803" i="1"/>
  <c r="F24804" i="1"/>
  <c r="F24805" i="1"/>
  <c r="F24806" i="1"/>
  <c r="F24807" i="1"/>
  <c r="F24808" i="1"/>
  <c r="F24809" i="1"/>
  <c r="F24810" i="1"/>
  <c r="F24811" i="1"/>
  <c r="F24812" i="1"/>
  <c r="F24813" i="1"/>
  <c r="F24814" i="1"/>
  <c r="F24815" i="1"/>
  <c r="F24816" i="1"/>
  <c r="F24817" i="1"/>
  <c r="F24818" i="1"/>
  <c r="F24819" i="1"/>
  <c r="F24820" i="1"/>
  <c r="F24821" i="1"/>
  <c r="F24822" i="1"/>
  <c r="F24823" i="1"/>
  <c r="F24824" i="1"/>
  <c r="F24825" i="1"/>
  <c r="F24826" i="1"/>
  <c r="F24827" i="1"/>
  <c r="F24828" i="1"/>
  <c r="F24829" i="1"/>
  <c r="F24830" i="1"/>
  <c r="F24831" i="1"/>
  <c r="F24832" i="1"/>
  <c r="F24833" i="1"/>
  <c r="F24834" i="1"/>
  <c r="F24835" i="1"/>
  <c r="F24836" i="1"/>
  <c r="F24837" i="1"/>
  <c r="F24838" i="1"/>
  <c r="F24839" i="1"/>
  <c r="F24840" i="1"/>
  <c r="F24841" i="1"/>
  <c r="F24842" i="1"/>
  <c r="F24843" i="1"/>
  <c r="F24844" i="1"/>
  <c r="F24845" i="1"/>
  <c r="F24846" i="1"/>
  <c r="F24847" i="1"/>
  <c r="F24848" i="1"/>
  <c r="F24849" i="1"/>
  <c r="F24850" i="1"/>
  <c r="F24851" i="1"/>
  <c r="F24852" i="1"/>
  <c r="F24853" i="1"/>
  <c r="F24854" i="1"/>
  <c r="F24855" i="1"/>
  <c r="F24856" i="1"/>
  <c r="F24857" i="1"/>
  <c r="F24858" i="1"/>
  <c r="F24859" i="1"/>
  <c r="F24860" i="1"/>
  <c r="F24861" i="1"/>
  <c r="F24862" i="1"/>
  <c r="F24863" i="1"/>
  <c r="F24864" i="1"/>
  <c r="F24865" i="1"/>
  <c r="F24866" i="1"/>
  <c r="F24867" i="1"/>
  <c r="F24868" i="1"/>
  <c r="F24869" i="1"/>
  <c r="F24870" i="1"/>
  <c r="F24871" i="1"/>
  <c r="F24872" i="1"/>
  <c r="F24873" i="1"/>
  <c r="F24874" i="1"/>
  <c r="F24875" i="1"/>
  <c r="F24876" i="1"/>
  <c r="F24877" i="1"/>
  <c r="F24878" i="1"/>
  <c r="F24879" i="1"/>
  <c r="F24880" i="1"/>
  <c r="F24881" i="1"/>
  <c r="F24882" i="1"/>
  <c r="F24883" i="1"/>
  <c r="F24884" i="1"/>
  <c r="F24885" i="1"/>
  <c r="F24886" i="1"/>
  <c r="F24887" i="1"/>
  <c r="F24888" i="1"/>
  <c r="F24889" i="1"/>
  <c r="F24890" i="1"/>
  <c r="F24891" i="1"/>
  <c r="F24892" i="1"/>
  <c r="F24893" i="1"/>
  <c r="F24894" i="1"/>
  <c r="F24895" i="1"/>
  <c r="F24896" i="1"/>
  <c r="F24897" i="1"/>
  <c r="F24898" i="1"/>
  <c r="F24899" i="1"/>
  <c r="F24900" i="1"/>
  <c r="F24901" i="1"/>
  <c r="F24902" i="1"/>
  <c r="F24903" i="1"/>
  <c r="F24904" i="1"/>
  <c r="F24905" i="1"/>
  <c r="F24906" i="1"/>
  <c r="F24907" i="1"/>
  <c r="F24908" i="1"/>
  <c r="F24909" i="1"/>
  <c r="F24910" i="1"/>
  <c r="F24911" i="1"/>
  <c r="F24912" i="1"/>
  <c r="F24913" i="1"/>
  <c r="F24914" i="1"/>
  <c r="F24915" i="1"/>
  <c r="F24916" i="1"/>
  <c r="F24917" i="1"/>
  <c r="F24918" i="1"/>
  <c r="F24919" i="1"/>
  <c r="F24920" i="1"/>
  <c r="F24921" i="1"/>
  <c r="F24922" i="1"/>
  <c r="F24923" i="1"/>
  <c r="F24924" i="1"/>
  <c r="F24925" i="1"/>
  <c r="F24926" i="1"/>
  <c r="F24927" i="1"/>
  <c r="F24928" i="1"/>
  <c r="F24929" i="1"/>
  <c r="F24930" i="1"/>
  <c r="F24931" i="1"/>
  <c r="F24932" i="1"/>
  <c r="F24933" i="1"/>
  <c r="F24934" i="1"/>
  <c r="F24935" i="1"/>
  <c r="F24936" i="1"/>
  <c r="F24937" i="1"/>
  <c r="F24938" i="1"/>
  <c r="F24939" i="1"/>
  <c r="F24940" i="1"/>
  <c r="F24941" i="1"/>
  <c r="F24942" i="1"/>
  <c r="F24943" i="1"/>
  <c r="F24944" i="1"/>
  <c r="F24945" i="1"/>
  <c r="F24946" i="1"/>
  <c r="F24947" i="1"/>
  <c r="F24948" i="1"/>
  <c r="F24949" i="1"/>
  <c r="F24950" i="1"/>
  <c r="F24951" i="1"/>
  <c r="F24952" i="1"/>
  <c r="F24953" i="1"/>
  <c r="F24954" i="1"/>
  <c r="F24955" i="1"/>
  <c r="F24956" i="1"/>
  <c r="F24957" i="1"/>
  <c r="F24958" i="1"/>
  <c r="F24959" i="1"/>
  <c r="F24960" i="1"/>
  <c r="F24961" i="1"/>
  <c r="F24962" i="1"/>
  <c r="F24963" i="1"/>
  <c r="F24964" i="1"/>
  <c r="F24965" i="1"/>
  <c r="F24966" i="1"/>
  <c r="F24967" i="1"/>
  <c r="F24968" i="1"/>
  <c r="F24969" i="1"/>
  <c r="F24970" i="1"/>
  <c r="F24971" i="1"/>
  <c r="F24972" i="1"/>
  <c r="F24973" i="1"/>
  <c r="F24974" i="1"/>
  <c r="F24975" i="1"/>
  <c r="F24976" i="1"/>
  <c r="F24977" i="1"/>
  <c r="F24978" i="1"/>
  <c r="F24979" i="1"/>
  <c r="F24980" i="1"/>
  <c r="F24981" i="1"/>
  <c r="F24982" i="1"/>
  <c r="F24983" i="1"/>
  <c r="F24984" i="1"/>
  <c r="F24985" i="1"/>
  <c r="F24986" i="1"/>
  <c r="F24987" i="1"/>
  <c r="F24988" i="1"/>
  <c r="F24989" i="1"/>
  <c r="F24990" i="1"/>
  <c r="F24991" i="1"/>
  <c r="F24992" i="1"/>
  <c r="F24993" i="1"/>
  <c r="F24994" i="1"/>
  <c r="F24995" i="1"/>
  <c r="F24996" i="1"/>
  <c r="F24997" i="1"/>
  <c r="F24998" i="1"/>
  <c r="F24999" i="1"/>
  <c r="F25000" i="1"/>
  <c r="F25001" i="1"/>
  <c r="F25002" i="1"/>
  <c r="F25003" i="1"/>
  <c r="F25004" i="1"/>
  <c r="F25005" i="1"/>
  <c r="F25006" i="1"/>
  <c r="F25007" i="1"/>
  <c r="F25008" i="1"/>
  <c r="F25009" i="1"/>
  <c r="F25010" i="1"/>
  <c r="F25011" i="1"/>
  <c r="F25012" i="1"/>
  <c r="F25013" i="1"/>
  <c r="F25014" i="1"/>
  <c r="F25015" i="1"/>
  <c r="F25016" i="1"/>
  <c r="F25017" i="1"/>
  <c r="F25018" i="1"/>
  <c r="F25019" i="1"/>
  <c r="F25020" i="1"/>
  <c r="F25021" i="1"/>
  <c r="F25022" i="1"/>
  <c r="F25023" i="1"/>
  <c r="F25024" i="1"/>
  <c r="F25025" i="1"/>
  <c r="F25026" i="1"/>
  <c r="F25027" i="1"/>
  <c r="F25028" i="1"/>
  <c r="F25029" i="1"/>
  <c r="F25030" i="1"/>
  <c r="F25031" i="1"/>
  <c r="F25032" i="1"/>
  <c r="F25033" i="1"/>
  <c r="F25034" i="1"/>
  <c r="F25035" i="1"/>
  <c r="F25036" i="1"/>
  <c r="F25037" i="1"/>
  <c r="F25038" i="1"/>
  <c r="F25039" i="1"/>
  <c r="F25040" i="1"/>
  <c r="F25041" i="1"/>
  <c r="F25042" i="1"/>
  <c r="F25043" i="1"/>
  <c r="F25044" i="1"/>
  <c r="F25045" i="1"/>
  <c r="F25046" i="1"/>
  <c r="F25047" i="1"/>
  <c r="F25048" i="1"/>
  <c r="F25049" i="1"/>
  <c r="F25050" i="1"/>
  <c r="F25051" i="1"/>
  <c r="F25052" i="1"/>
  <c r="F25053" i="1"/>
  <c r="F25054" i="1"/>
  <c r="F25055" i="1"/>
  <c r="F25056" i="1"/>
  <c r="F25057" i="1"/>
  <c r="F25058" i="1"/>
  <c r="F25059" i="1"/>
  <c r="F25060" i="1"/>
  <c r="F25061" i="1"/>
  <c r="F25062" i="1"/>
  <c r="F25063" i="1"/>
  <c r="F25064" i="1"/>
  <c r="F25065" i="1"/>
  <c r="F25066" i="1"/>
  <c r="F25067" i="1"/>
  <c r="F25068" i="1"/>
  <c r="F25069" i="1"/>
  <c r="F25070" i="1"/>
  <c r="F25071" i="1"/>
  <c r="F25072" i="1"/>
  <c r="F25073" i="1"/>
  <c r="F25074" i="1"/>
  <c r="F25075" i="1"/>
  <c r="F25076" i="1"/>
  <c r="F25077" i="1"/>
  <c r="F25078" i="1"/>
  <c r="F25079" i="1"/>
  <c r="F25080" i="1"/>
  <c r="F25081" i="1"/>
  <c r="F25082" i="1"/>
  <c r="F25083" i="1"/>
  <c r="F25084" i="1"/>
  <c r="F25085" i="1"/>
  <c r="F25086" i="1"/>
  <c r="F25087" i="1"/>
  <c r="F25088" i="1"/>
  <c r="F25089" i="1"/>
  <c r="F25090" i="1"/>
  <c r="F25091" i="1"/>
  <c r="F25092" i="1"/>
  <c r="F25093" i="1"/>
  <c r="F25094" i="1"/>
  <c r="F25095" i="1"/>
  <c r="F25096" i="1"/>
  <c r="F25097" i="1"/>
  <c r="F25098" i="1"/>
  <c r="F25099" i="1"/>
  <c r="F25100" i="1"/>
  <c r="F25101" i="1"/>
  <c r="F25102" i="1"/>
  <c r="F25103" i="1"/>
  <c r="F25104" i="1"/>
  <c r="F25105" i="1"/>
  <c r="F25106" i="1"/>
  <c r="F25107" i="1"/>
  <c r="F25108" i="1"/>
  <c r="F25109" i="1"/>
  <c r="F25110" i="1"/>
  <c r="F25111" i="1"/>
  <c r="F25112" i="1"/>
  <c r="F25113" i="1"/>
  <c r="F25114" i="1"/>
  <c r="F25115" i="1"/>
  <c r="F25116" i="1"/>
  <c r="F25117" i="1"/>
  <c r="F25118" i="1"/>
  <c r="F25119" i="1"/>
  <c r="F25120" i="1"/>
  <c r="F25121" i="1"/>
  <c r="F25122" i="1"/>
  <c r="F25123" i="1"/>
  <c r="F25124" i="1"/>
  <c r="F25125" i="1"/>
  <c r="F25126" i="1"/>
  <c r="F25127" i="1"/>
  <c r="F25128" i="1"/>
  <c r="F25129" i="1"/>
  <c r="F25130" i="1"/>
  <c r="F25131" i="1"/>
  <c r="F25132" i="1"/>
  <c r="F25133" i="1"/>
  <c r="F25134" i="1"/>
  <c r="F25135" i="1"/>
  <c r="F25136" i="1"/>
  <c r="F25137" i="1"/>
  <c r="F25138" i="1"/>
  <c r="F25139" i="1"/>
  <c r="F25140" i="1"/>
  <c r="F25141" i="1"/>
  <c r="F25142" i="1"/>
  <c r="F25143" i="1"/>
  <c r="F25144" i="1"/>
  <c r="F25145" i="1"/>
  <c r="F25146" i="1"/>
  <c r="F25147" i="1"/>
  <c r="F25148" i="1"/>
  <c r="F25149" i="1"/>
  <c r="F25150" i="1"/>
  <c r="F25151" i="1"/>
  <c r="F25152" i="1"/>
  <c r="F25153" i="1"/>
  <c r="F25154" i="1"/>
  <c r="F25155" i="1"/>
  <c r="F25156" i="1"/>
  <c r="F25157" i="1"/>
  <c r="F25158" i="1"/>
  <c r="F25159" i="1"/>
  <c r="F25160" i="1"/>
  <c r="F25161" i="1"/>
  <c r="F25162" i="1"/>
  <c r="F25163" i="1"/>
  <c r="F25164" i="1"/>
  <c r="F25165" i="1"/>
  <c r="F25166" i="1"/>
  <c r="F25167" i="1"/>
  <c r="F25168" i="1"/>
  <c r="F25169" i="1"/>
  <c r="F25170" i="1"/>
  <c r="F25171" i="1"/>
  <c r="F25172" i="1"/>
  <c r="F25173" i="1"/>
  <c r="F25174" i="1"/>
  <c r="F25175" i="1"/>
  <c r="F25176" i="1"/>
  <c r="F25177" i="1"/>
  <c r="F25178" i="1"/>
  <c r="F25179" i="1"/>
  <c r="F25180" i="1"/>
  <c r="F25181" i="1"/>
  <c r="F25182" i="1"/>
  <c r="F25183" i="1"/>
  <c r="F25184" i="1"/>
  <c r="F25185" i="1"/>
  <c r="F25186" i="1"/>
  <c r="F25187" i="1"/>
  <c r="F25188" i="1"/>
  <c r="F25189" i="1"/>
  <c r="F25190" i="1"/>
  <c r="F25191" i="1"/>
  <c r="F25192" i="1"/>
  <c r="F25193" i="1"/>
  <c r="F25194" i="1"/>
  <c r="F25195" i="1"/>
  <c r="F25196" i="1"/>
  <c r="F25197" i="1"/>
  <c r="F25198" i="1"/>
  <c r="F25199" i="1"/>
  <c r="F25200" i="1"/>
  <c r="F25201" i="1"/>
  <c r="F25202" i="1"/>
  <c r="F25203" i="1"/>
  <c r="F25204" i="1"/>
  <c r="F25205" i="1"/>
  <c r="F25206" i="1"/>
  <c r="F25207" i="1"/>
  <c r="F25208" i="1"/>
  <c r="F25209" i="1"/>
  <c r="F25210" i="1"/>
  <c r="F25211" i="1"/>
  <c r="F25212" i="1"/>
  <c r="F25213" i="1"/>
  <c r="F25214" i="1"/>
  <c r="F25215" i="1"/>
  <c r="F25216" i="1"/>
  <c r="F25217" i="1"/>
  <c r="F25218" i="1"/>
  <c r="F25219" i="1"/>
  <c r="F25220" i="1"/>
  <c r="F25221" i="1"/>
  <c r="F25222" i="1"/>
  <c r="F25223" i="1"/>
  <c r="F25224" i="1"/>
  <c r="F25225" i="1"/>
  <c r="F25226" i="1"/>
  <c r="F25227" i="1"/>
  <c r="F25228" i="1"/>
  <c r="F25229" i="1"/>
  <c r="F25230" i="1"/>
  <c r="F25231" i="1"/>
  <c r="F25232" i="1"/>
  <c r="F25233" i="1"/>
  <c r="F25234" i="1"/>
  <c r="F25235" i="1"/>
  <c r="F25236" i="1"/>
  <c r="F25237" i="1"/>
  <c r="F25238" i="1"/>
  <c r="F25239" i="1"/>
  <c r="F25240" i="1"/>
  <c r="F25241" i="1"/>
  <c r="F25242" i="1"/>
  <c r="F25243" i="1"/>
  <c r="F25244" i="1"/>
  <c r="F25245" i="1"/>
  <c r="F25246" i="1"/>
  <c r="F25247" i="1"/>
  <c r="F25248" i="1"/>
  <c r="F25249" i="1"/>
  <c r="F25250" i="1"/>
  <c r="F25251" i="1"/>
  <c r="F25252" i="1"/>
  <c r="F25253" i="1"/>
  <c r="F25254" i="1"/>
  <c r="F25255" i="1"/>
  <c r="F25256" i="1"/>
  <c r="F25257" i="1"/>
  <c r="F25258" i="1"/>
  <c r="F25259" i="1"/>
  <c r="F25260" i="1"/>
  <c r="F25261" i="1"/>
  <c r="F25262" i="1"/>
  <c r="F25263" i="1"/>
  <c r="F25264" i="1"/>
  <c r="F25265" i="1"/>
  <c r="F25266" i="1"/>
  <c r="F25267" i="1"/>
  <c r="F25268" i="1"/>
  <c r="F25269" i="1"/>
  <c r="F25270" i="1"/>
  <c r="F25271" i="1"/>
  <c r="F25272" i="1"/>
  <c r="F25273" i="1"/>
  <c r="F25274" i="1"/>
  <c r="F25275" i="1"/>
  <c r="F25276" i="1"/>
  <c r="F25277" i="1"/>
  <c r="F25278" i="1"/>
  <c r="F25279" i="1"/>
  <c r="F25280" i="1"/>
  <c r="F25281" i="1"/>
  <c r="F25282" i="1"/>
  <c r="F25283" i="1"/>
  <c r="F25284" i="1"/>
  <c r="F25285" i="1"/>
  <c r="F25286" i="1"/>
  <c r="F25287" i="1"/>
  <c r="F25288" i="1"/>
  <c r="F25289" i="1"/>
  <c r="F25290" i="1"/>
  <c r="F25291" i="1"/>
  <c r="F25292" i="1"/>
  <c r="F25293" i="1"/>
  <c r="F25294" i="1"/>
  <c r="F25295" i="1"/>
  <c r="F25296" i="1"/>
  <c r="F25297" i="1"/>
  <c r="F25298" i="1"/>
  <c r="F25299" i="1"/>
  <c r="F25300" i="1"/>
  <c r="F25301" i="1"/>
  <c r="F25302" i="1"/>
  <c r="F25303" i="1"/>
  <c r="F25304" i="1"/>
  <c r="F25305" i="1"/>
  <c r="F25306" i="1"/>
  <c r="F25307" i="1"/>
  <c r="F25308" i="1"/>
  <c r="F25309" i="1"/>
  <c r="F25310" i="1"/>
  <c r="F25311" i="1"/>
  <c r="F25312" i="1"/>
  <c r="F25313" i="1"/>
  <c r="F25314" i="1"/>
  <c r="F25315" i="1"/>
  <c r="F25316" i="1"/>
  <c r="F25317" i="1"/>
  <c r="F25318" i="1"/>
  <c r="F25319" i="1"/>
  <c r="F25320" i="1"/>
  <c r="F25321" i="1"/>
  <c r="F25322" i="1"/>
  <c r="F25323" i="1"/>
  <c r="F25324" i="1"/>
  <c r="F25325" i="1"/>
  <c r="F25326" i="1"/>
  <c r="F25327" i="1"/>
  <c r="F25328" i="1"/>
  <c r="F25329" i="1"/>
  <c r="F25330" i="1"/>
  <c r="F25331" i="1"/>
  <c r="F25332" i="1"/>
  <c r="F25333" i="1"/>
  <c r="F25334" i="1"/>
  <c r="F25335" i="1"/>
  <c r="F25336" i="1"/>
  <c r="F25337" i="1"/>
  <c r="F25338" i="1"/>
  <c r="F25339" i="1"/>
  <c r="F25340" i="1"/>
  <c r="F25341" i="1"/>
  <c r="F25342" i="1"/>
  <c r="F25343" i="1"/>
  <c r="F25344" i="1"/>
  <c r="F25345" i="1"/>
  <c r="F25346" i="1"/>
  <c r="F25347" i="1"/>
  <c r="F25348" i="1"/>
  <c r="F25349" i="1"/>
  <c r="F25350" i="1"/>
  <c r="F25351" i="1"/>
  <c r="F25352" i="1"/>
  <c r="F25353" i="1"/>
  <c r="F25354" i="1"/>
  <c r="F25355" i="1"/>
  <c r="F25356" i="1"/>
  <c r="F25357" i="1"/>
  <c r="F25358" i="1"/>
  <c r="F25359" i="1"/>
  <c r="F25360" i="1"/>
  <c r="F25361" i="1"/>
  <c r="F25362" i="1"/>
  <c r="F25363" i="1"/>
  <c r="F25364" i="1"/>
  <c r="F25365" i="1"/>
  <c r="F25366" i="1"/>
  <c r="F25367" i="1"/>
  <c r="F25368" i="1"/>
  <c r="F25369" i="1"/>
  <c r="F25370" i="1"/>
  <c r="F25371" i="1"/>
  <c r="F25372" i="1"/>
  <c r="F25373" i="1"/>
  <c r="F25374" i="1"/>
  <c r="F25375" i="1"/>
  <c r="F25376" i="1"/>
  <c r="F25377" i="1"/>
  <c r="F25378" i="1"/>
  <c r="F25379" i="1"/>
  <c r="F25380" i="1"/>
  <c r="F25381" i="1"/>
  <c r="F25382" i="1"/>
  <c r="F25383" i="1"/>
  <c r="F25384" i="1"/>
  <c r="F25385" i="1"/>
  <c r="F25386" i="1"/>
  <c r="F25387" i="1"/>
  <c r="F25388" i="1"/>
  <c r="F25389" i="1"/>
  <c r="F25390" i="1"/>
  <c r="F25391" i="1"/>
  <c r="F25392" i="1"/>
  <c r="F25393" i="1"/>
  <c r="F25394" i="1"/>
  <c r="F25395" i="1"/>
  <c r="F25396" i="1"/>
  <c r="F25397" i="1"/>
  <c r="F25398" i="1"/>
  <c r="F25399" i="1"/>
  <c r="F25400" i="1"/>
  <c r="F25401" i="1"/>
  <c r="F25402" i="1"/>
  <c r="F25403" i="1"/>
  <c r="F25404" i="1"/>
  <c r="F25405" i="1"/>
  <c r="F25406" i="1"/>
  <c r="F25407" i="1"/>
  <c r="F25408" i="1"/>
  <c r="F25409" i="1"/>
  <c r="F25410" i="1"/>
  <c r="F25411" i="1"/>
  <c r="F25412" i="1"/>
  <c r="F25413" i="1"/>
  <c r="F25414" i="1"/>
  <c r="F25415" i="1"/>
  <c r="F25416" i="1"/>
  <c r="F25417" i="1"/>
  <c r="F25418" i="1"/>
  <c r="F25419" i="1"/>
  <c r="F25420" i="1"/>
  <c r="F25421" i="1"/>
  <c r="F25422" i="1"/>
  <c r="F25423" i="1"/>
  <c r="F25424" i="1"/>
  <c r="F25425" i="1"/>
  <c r="F25426" i="1"/>
  <c r="F25427" i="1"/>
  <c r="F25428" i="1"/>
  <c r="F25429" i="1"/>
  <c r="F25430" i="1"/>
  <c r="F25431" i="1"/>
  <c r="F25432" i="1"/>
  <c r="F25433" i="1"/>
  <c r="F25434" i="1"/>
  <c r="F25435" i="1"/>
  <c r="F25436" i="1"/>
  <c r="F25437" i="1"/>
  <c r="F25438" i="1"/>
  <c r="F25439" i="1"/>
  <c r="F25440" i="1"/>
  <c r="F25441" i="1"/>
  <c r="F25442" i="1"/>
  <c r="F25443" i="1"/>
  <c r="F25444" i="1"/>
  <c r="F25445" i="1"/>
  <c r="F25446" i="1"/>
  <c r="F25447" i="1"/>
  <c r="F25448" i="1"/>
  <c r="F25449" i="1"/>
  <c r="F25450" i="1"/>
  <c r="F25451" i="1"/>
  <c r="F25452" i="1"/>
  <c r="F25453" i="1"/>
  <c r="F25454" i="1"/>
  <c r="F25455" i="1"/>
  <c r="F25456" i="1"/>
  <c r="F25457" i="1"/>
  <c r="F25458" i="1"/>
  <c r="F25459" i="1"/>
  <c r="F25460" i="1"/>
  <c r="F25461" i="1"/>
  <c r="F25462" i="1"/>
  <c r="F25463" i="1"/>
  <c r="F25464" i="1"/>
  <c r="F25465" i="1"/>
  <c r="F25466" i="1"/>
  <c r="F25467" i="1"/>
  <c r="F25468" i="1"/>
  <c r="F25469" i="1"/>
  <c r="F25470" i="1"/>
  <c r="F25471" i="1"/>
  <c r="F25472" i="1"/>
  <c r="F25473" i="1"/>
  <c r="F25474" i="1"/>
  <c r="F25475" i="1"/>
  <c r="F25476" i="1"/>
  <c r="F25477" i="1"/>
  <c r="F25478" i="1"/>
  <c r="F25479" i="1"/>
  <c r="F25480" i="1"/>
  <c r="F25481" i="1"/>
  <c r="F25482" i="1"/>
  <c r="F25483" i="1"/>
  <c r="F25484" i="1"/>
  <c r="F25485" i="1"/>
  <c r="F25486" i="1"/>
  <c r="F25487" i="1"/>
  <c r="F25488" i="1"/>
  <c r="F25489" i="1"/>
  <c r="F25490" i="1"/>
  <c r="F25491" i="1"/>
  <c r="F25492" i="1"/>
  <c r="F25493" i="1"/>
  <c r="F25494" i="1"/>
  <c r="F25495" i="1"/>
  <c r="F25496" i="1"/>
  <c r="F25497" i="1"/>
  <c r="F25498" i="1"/>
  <c r="F25499" i="1"/>
  <c r="F25500" i="1"/>
  <c r="F25501" i="1"/>
  <c r="F25502" i="1"/>
  <c r="F25503" i="1"/>
  <c r="F25504" i="1"/>
  <c r="F25505" i="1"/>
  <c r="F25506" i="1"/>
  <c r="F25507" i="1"/>
  <c r="F25508" i="1"/>
  <c r="F25509" i="1"/>
  <c r="F25510" i="1"/>
  <c r="F25511" i="1"/>
  <c r="F25512" i="1"/>
  <c r="F25513" i="1"/>
  <c r="F25514" i="1"/>
  <c r="F25515" i="1"/>
  <c r="F25516" i="1"/>
  <c r="F25517" i="1"/>
  <c r="F25518" i="1"/>
  <c r="F25519" i="1"/>
  <c r="F25520" i="1"/>
  <c r="F25521" i="1"/>
  <c r="F25522" i="1"/>
  <c r="F25523" i="1"/>
  <c r="F25524" i="1"/>
  <c r="F25525" i="1"/>
  <c r="F25526" i="1"/>
  <c r="F25527" i="1"/>
  <c r="F25528" i="1"/>
  <c r="F25529" i="1"/>
  <c r="F25530" i="1"/>
  <c r="F25531" i="1"/>
  <c r="F25532" i="1"/>
  <c r="F25533" i="1"/>
  <c r="F25534" i="1"/>
  <c r="F25535" i="1"/>
  <c r="F25536" i="1"/>
  <c r="F25537" i="1"/>
  <c r="F25538" i="1"/>
  <c r="F25539" i="1"/>
  <c r="F25540" i="1"/>
  <c r="F25541" i="1"/>
  <c r="F25542" i="1"/>
  <c r="F25543" i="1"/>
  <c r="F25544" i="1"/>
  <c r="F25545" i="1"/>
  <c r="F25546" i="1"/>
  <c r="F25547" i="1"/>
  <c r="F25548" i="1"/>
  <c r="F25549" i="1"/>
  <c r="F25550" i="1"/>
  <c r="F25551" i="1"/>
  <c r="F25552" i="1"/>
  <c r="F25553" i="1"/>
  <c r="F25554" i="1"/>
  <c r="F25555" i="1"/>
  <c r="F25556" i="1"/>
  <c r="F25557" i="1"/>
  <c r="F25558" i="1"/>
  <c r="F25559" i="1"/>
  <c r="F25560" i="1"/>
  <c r="F25561" i="1"/>
  <c r="F25562" i="1"/>
  <c r="F25563" i="1"/>
  <c r="F25564" i="1"/>
  <c r="F25565" i="1"/>
  <c r="F25566" i="1"/>
  <c r="F25567" i="1"/>
  <c r="F25568" i="1"/>
  <c r="F25569" i="1"/>
  <c r="F25570" i="1"/>
  <c r="F25571" i="1"/>
  <c r="F25572" i="1"/>
  <c r="F25573" i="1"/>
  <c r="F25574" i="1"/>
  <c r="F25575" i="1"/>
  <c r="F25576" i="1"/>
  <c r="F25577" i="1"/>
  <c r="F25578" i="1"/>
  <c r="F25579" i="1"/>
  <c r="F25580" i="1"/>
  <c r="F25581" i="1"/>
  <c r="F25582" i="1"/>
  <c r="F25583" i="1"/>
  <c r="F25584" i="1"/>
  <c r="F25585" i="1"/>
  <c r="F25586" i="1"/>
  <c r="F25587" i="1"/>
  <c r="F25588" i="1"/>
  <c r="F25589" i="1"/>
  <c r="F25590" i="1"/>
  <c r="F25591" i="1"/>
  <c r="F25592" i="1"/>
  <c r="F25593" i="1"/>
  <c r="F25594" i="1"/>
  <c r="F25595" i="1"/>
  <c r="F25596" i="1"/>
  <c r="F25597" i="1"/>
  <c r="F25598" i="1"/>
  <c r="F25599" i="1"/>
  <c r="F25600" i="1"/>
  <c r="F25601" i="1"/>
  <c r="F25602" i="1"/>
  <c r="F25603" i="1"/>
  <c r="F25604" i="1"/>
  <c r="F25605" i="1"/>
  <c r="F25606" i="1"/>
  <c r="F25607" i="1"/>
  <c r="F25608" i="1"/>
  <c r="F25609" i="1"/>
  <c r="F25610" i="1"/>
  <c r="F25611" i="1"/>
  <c r="F25612" i="1"/>
  <c r="F25613" i="1"/>
  <c r="F25614" i="1"/>
  <c r="F25615" i="1"/>
  <c r="F25616" i="1"/>
  <c r="F25617" i="1"/>
  <c r="F25618" i="1"/>
  <c r="F25619" i="1"/>
  <c r="F25620" i="1"/>
  <c r="F25621" i="1"/>
  <c r="F25622" i="1"/>
  <c r="F25623" i="1"/>
  <c r="F25624" i="1"/>
  <c r="F25625" i="1"/>
  <c r="F25626" i="1"/>
  <c r="F25627" i="1"/>
  <c r="F25628" i="1"/>
  <c r="F25629" i="1"/>
  <c r="F25630" i="1"/>
  <c r="F25631" i="1"/>
  <c r="F25632" i="1"/>
  <c r="F25633" i="1"/>
  <c r="F25634" i="1"/>
  <c r="F25635" i="1"/>
  <c r="F25636" i="1"/>
  <c r="F25637" i="1"/>
  <c r="F25638" i="1"/>
  <c r="F25639" i="1"/>
  <c r="F25640" i="1"/>
  <c r="F25641" i="1"/>
  <c r="F25642" i="1"/>
  <c r="F25643" i="1"/>
  <c r="F25644" i="1"/>
  <c r="F25645" i="1"/>
  <c r="F25646" i="1"/>
  <c r="F25647" i="1"/>
  <c r="F25648" i="1"/>
  <c r="F25649" i="1"/>
  <c r="F25650" i="1"/>
  <c r="F25651" i="1"/>
  <c r="F25652" i="1"/>
  <c r="F25653" i="1"/>
  <c r="F25654" i="1"/>
  <c r="F25655" i="1"/>
  <c r="F25656" i="1"/>
  <c r="F25657" i="1"/>
  <c r="F25658" i="1"/>
  <c r="F25659" i="1"/>
  <c r="F25660" i="1"/>
  <c r="F25661" i="1"/>
  <c r="F25662" i="1"/>
  <c r="F25663" i="1"/>
  <c r="F25664" i="1"/>
  <c r="F25665" i="1"/>
  <c r="F25666" i="1"/>
  <c r="F25667" i="1"/>
  <c r="F25668" i="1"/>
  <c r="F25669" i="1"/>
  <c r="F25670" i="1"/>
  <c r="F25671" i="1"/>
  <c r="F25672" i="1"/>
  <c r="F25673" i="1"/>
  <c r="F25674" i="1"/>
  <c r="F25675" i="1"/>
  <c r="F25676" i="1"/>
  <c r="F25677" i="1"/>
  <c r="F25678" i="1"/>
  <c r="F25679" i="1"/>
  <c r="F25680" i="1"/>
  <c r="F25681" i="1"/>
  <c r="F25682" i="1"/>
  <c r="F25683" i="1"/>
  <c r="F25684" i="1"/>
  <c r="F25685" i="1"/>
  <c r="F25686" i="1"/>
  <c r="F25687" i="1"/>
  <c r="F25688" i="1"/>
  <c r="F25689" i="1"/>
  <c r="F25690" i="1"/>
  <c r="F25691" i="1"/>
  <c r="F25692" i="1"/>
  <c r="F25693" i="1"/>
  <c r="F25694" i="1"/>
  <c r="F25695" i="1"/>
  <c r="F25696" i="1"/>
  <c r="F25697" i="1"/>
  <c r="F25698" i="1"/>
  <c r="F25699" i="1"/>
  <c r="F25700" i="1"/>
  <c r="F25701" i="1"/>
  <c r="F25702" i="1"/>
  <c r="F25703" i="1"/>
  <c r="F25704" i="1"/>
  <c r="F25705" i="1"/>
  <c r="F25706" i="1"/>
  <c r="F25707" i="1"/>
  <c r="F25708" i="1"/>
  <c r="F25709" i="1"/>
  <c r="F25710" i="1"/>
  <c r="F25711" i="1"/>
  <c r="F25712" i="1"/>
  <c r="F25713" i="1"/>
  <c r="F25714" i="1"/>
  <c r="F25715" i="1"/>
  <c r="F25716" i="1"/>
  <c r="F25717" i="1"/>
  <c r="F25718" i="1"/>
  <c r="F25719" i="1"/>
  <c r="F25720" i="1"/>
  <c r="F25721" i="1"/>
  <c r="F25722" i="1"/>
  <c r="F25723" i="1"/>
  <c r="F25724" i="1"/>
  <c r="F25725" i="1"/>
  <c r="F25726" i="1"/>
  <c r="F25727" i="1"/>
  <c r="F25728" i="1"/>
  <c r="F25729" i="1"/>
  <c r="F25730" i="1"/>
  <c r="F25731" i="1"/>
  <c r="F25732" i="1"/>
  <c r="F25733" i="1"/>
  <c r="F25734" i="1"/>
  <c r="F25735" i="1"/>
  <c r="F25736" i="1"/>
  <c r="F25737" i="1"/>
  <c r="F25738" i="1"/>
  <c r="F25739" i="1"/>
  <c r="F25740" i="1"/>
  <c r="F25741" i="1"/>
  <c r="F25742" i="1"/>
  <c r="F25743" i="1"/>
  <c r="F25744" i="1"/>
  <c r="F25745" i="1"/>
  <c r="F25746" i="1"/>
  <c r="F25747" i="1"/>
  <c r="F25748" i="1"/>
  <c r="F25749" i="1"/>
  <c r="F25750" i="1"/>
  <c r="F25751" i="1"/>
  <c r="F25752" i="1"/>
  <c r="F25753" i="1"/>
  <c r="F25754" i="1"/>
  <c r="F25755" i="1"/>
  <c r="F25756" i="1"/>
  <c r="F25757" i="1"/>
  <c r="F25758" i="1"/>
  <c r="F25759" i="1"/>
  <c r="F25760" i="1"/>
  <c r="F25761" i="1"/>
  <c r="F25762" i="1"/>
  <c r="F25763" i="1"/>
  <c r="F25764" i="1"/>
  <c r="F25765" i="1"/>
  <c r="F25766" i="1"/>
  <c r="F25767" i="1"/>
  <c r="F25768" i="1"/>
  <c r="F25769" i="1"/>
  <c r="F25770" i="1"/>
  <c r="F25771" i="1"/>
  <c r="F25772" i="1"/>
  <c r="F25773" i="1"/>
  <c r="F25774" i="1"/>
  <c r="F25775" i="1"/>
  <c r="F25776" i="1"/>
  <c r="F25777" i="1"/>
  <c r="F25778" i="1"/>
  <c r="F25779" i="1"/>
  <c r="F25780" i="1"/>
  <c r="F25781" i="1"/>
  <c r="F25782" i="1"/>
  <c r="F25783" i="1"/>
  <c r="F25784" i="1"/>
  <c r="F25785" i="1"/>
  <c r="F25786" i="1"/>
  <c r="F25787" i="1"/>
  <c r="F25788" i="1"/>
  <c r="F25789" i="1"/>
  <c r="F25790" i="1"/>
  <c r="F25791" i="1"/>
  <c r="F25792" i="1"/>
  <c r="F25793" i="1"/>
  <c r="F25794" i="1"/>
  <c r="F25795" i="1"/>
  <c r="F25796" i="1"/>
  <c r="F25797" i="1"/>
  <c r="F25798" i="1"/>
  <c r="F25799" i="1"/>
  <c r="F25800" i="1"/>
  <c r="F25801" i="1"/>
  <c r="F25802" i="1"/>
  <c r="F25803" i="1"/>
  <c r="F25804" i="1"/>
  <c r="F25805" i="1"/>
  <c r="F25806" i="1"/>
  <c r="F25807" i="1"/>
  <c r="F25808" i="1"/>
  <c r="F25809" i="1"/>
  <c r="F25810" i="1"/>
  <c r="F25811" i="1"/>
  <c r="F25812" i="1"/>
  <c r="F25813" i="1"/>
  <c r="F25814" i="1"/>
  <c r="F25815" i="1"/>
  <c r="F25816" i="1"/>
  <c r="F25817" i="1"/>
  <c r="F25818" i="1"/>
  <c r="F25819" i="1"/>
  <c r="F25820" i="1"/>
  <c r="F25821" i="1"/>
  <c r="F25822" i="1"/>
  <c r="F25823" i="1"/>
  <c r="F25824" i="1"/>
  <c r="F25825" i="1"/>
  <c r="F25826" i="1"/>
  <c r="F25827" i="1"/>
  <c r="F25828" i="1"/>
  <c r="F25829" i="1"/>
  <c r="F25830" i="1"/>
  <c r="F25831" i="1"/>
  <c r="F25832" i="1"/>
  <c r="F25833" i="1"/>
  <c r="F25834" i="1"/>
  <c r="F25835" i="1"/>
  <c r="F25836" i="1"/>
  <c r="F25837" i="1"/>
  <c r="F25838" i="1"/>
  <c r="F25839" i="1"/>
  <c r="F25840" i="1"/>
  <c r="F25841" i="1"/>
  <c r="F25842" i="1"/>
  <c r="F25843" i="1"/>
  <c r="F25844" i="1"/>
  <c r="F25845" i="1"/>
  <c r="F25846" i="1"/>
  <c r="F25847" i="1"/>
  <c r="F25848" i="1"/>
  <c r="F25849" i="1"/>
  <c r="F25850" i="1"/>
  <c r="F25851" i="1"/>
  <c r="F25852" i="1"/>
  <c r="F25853" i="1"/>
  <c r="F25854" i="1"/>
  <c r="F25855" i="1"/>
  <c r="F25856" i="1"/>
  <c r="F25857" i="1"/>
  <c r="F25858" i="1"/>
  <c r="F25859" i="1"/>
  <c r="F25860" i="1"/>
  <c r="F25861" i="1"/>
  <c r="F25862" i="1"/>
  <c r="F25863" i="1"/>
  <c r="F25864" i="1"/>
  <c r="F25865" i="1"/>
  <c r="F25866" i="1"/>
  <c r="F25867" i="1"/>
  <c r="F25868" i="1"/>
  <c r="F25869" i="1"/>
  <c r="F25870" i="1"/>
  <c r="F25871" i="1"/>
  <c r="F25872" i="1"/>
  <c r="F25873" i="1"/>
  <c r="F25874" i="1"/>
  <c r="F25875" i="1"/>
  <c r="F25876" i="1"/>
  <c r="F25877" i="1"/>
  <c r="F25878" i="1"/>
  <c r="F25879" i="1"/>
  <c r="F25880" i="1"/>
  <c r="F25881" i="1"/>
  <c r="F25882" i="1"/>
  <c r="F25883" i="1"/>
  <c r="F25884" i="1"/>
  <c r="F25885" i="1"/>
  <c r="F25886" i="1"/>
  <c r="F25887" i="1"/>
  <c r="F25888" i="1"/>
  <c r="F25889" i="1"/>
  <c r="F25890" i="1"/>
  <c r="F25891" i="1"/>
  <c r="F25892" i="1"/>
  <c r="F25893" i="1"/>
  <c r="F25894" i="1"/>
  <c r="F25895" i="1"/>
  <c r="F25896" i="1"/>
  <c r="F25897" i="1"/>
  <c r="F25898" i="1"/>
  <c r="F25899" i="1"/>
  <c r="F25900" i="1"/>
  <c r="F25901" i="1"/>
  <c r="F25902" i="1"/>
  <c r="F25903" i="1"/>
  <c r="F25904" i="1"/>
  <c r="F25905" i="1"/>
  <c r="F25906" i="1"/>
  <c r="F25907" i="1"/>
  <c r="F25908" i="1"/>
  <c r="F25909" i="1"/>
  <c r="F25910" i="1"/>
  <c r="F25911" i="1"/>
  <c r="F25912" i="1"/>
  <c r="F25913" i="1"/>
  <c r="F25914" i="1"/>
  <c r="F25915" i="1"/>
  <c r="F25916" i="1"/>
  <c r="F25917" i="1"/>
  <c r="F25918" i="1"/>
  <c r="F25919" i="1"/>
  <c r="F25920" i="1"/>
  <c r="F25921" i="1"/>
  <c r="F25922" i="1"/>
  <c r="F25923" i="1"/>
  <c r="F25924" i="1"/>
  <c r="F25925" i="1"/>
  <c r="F25926" i="1"/>
  <c r="F25927" i="1"/>
  <c r="F25928" i="1"/>
  <c r="F25929" i="1"/>
  <c r="F25930" i="1"/>
  <c r="F25931" i="1"/>
  <c r="F25932" i="1"/>
  <c r="F25933" i="1"/>
  <c r="F25934" i="1"/>
  <c r="F25935" i="1"/>
  <c r="F25936" i="1"/>
  <c r="F25937" i="1"/>
  <c r="F25938" i="1"/>
  <c r="F25939" i="1"/>
  <c r="F25940" i="1"/>
  <c r="F25941" i="1"/>
  <c r="F25942" i="1"/>
  <c r="F25943" i="1"/>
  <c r="F25944" i="1"/>
  <c r="F25945" i="1"/>
  <c r="F25946" i="1"/>
  <c r="F25947" i="1"/>
  <c r="F25948" i="1"/>
  <c r="F25949" i="1"/>
  <c r="F25950" i="1"/>
  <c r="F25951" i="1"/>
  <c r="F25952" i="1"/>
  <c r="F25953" i="1"/>
  <c r="F25954" i="1"/>
  <c r="F25955" i="1"/>
  <c r="F25956" i="1"/>
  <c r="F25957" i="1"/>
  <c r="F25958" i="1"/>
  <c r="F25959" i="1"/>
  <c r="F25960" i="1"/>
  <c r="F25961" i="1"/>
  <c r="F25962" i="1"/>
  <c r="F25963" i="1"/>
  <c r="F25964" i="1"/>
  <c r="F25965" i="1"/>
  <c r="F25966" i="1"/>
  <c r="F25967" i="1"/>
  <c r="F25968" i="1"/>
  <c r="F25969" i="1"/>
  <c r="F25970" i="1"/>
  <c r="F25971" i="1"/>
  <c r="F25972" i="1"/>
  <c r="F25973" i="1"/>
  <c r="F25974" i="1"/>
  <c r="F25975" i="1"/>
  <c r="F25976" i="1"/>
  <c r="F25977" i="1"/>
  <c r="F25978" i="1"/>
  <c r="F25979" i="1"/>
  <c r="F25980" i="1"/>
  <c r="F25981" i="1"/>
  <c r="F25982" i="1"/>
  <c r="F25983" i="1"/>
  <c r="F25984" i="1"/>
  <c r="F25985" i="1"/>
  <c r="F25986" i="1"/>
  <c r="F25987" i="1"/>
  <c r="F25988" i="1"/>
  <c r="F25989" i="1"/>
  <c r="F25990" i="1"/>
  <c r="F25991" i="1"/>
  <c r="F25992" i="1"/>
  <c r="F25993" i="1"/>
  <c r="F25994" i="1"/>
  <c r="F25995" i="1"/>
  <c r="F25996" i="1"/>
  <c r="F25997" i="1"/>
  <c r="F25998" i="1"/>
  <c r="F25999" i="1"/>
  <c r="F26000" i="1"/>
  <c r="F26001" i="1"/>
  <c r="F26002" i="1"/>
  <c r="F26003" i="1"/>
  <c r="F26004" i="1"/>
  <c r="F26005" i="1"/>
  <c r="F26006" i="1"/>
  <c r="F26007" i="1"/>
  <c r="F26008" i="1"/>
  <c r="F26009" i="1"/>
  <c r="F26010" i="1"/>
  <c r="F26011" i="1"/>
  <c r="F26012" i="1"/>
  <c r="F26013" i="1"/>
  <c r="F26014" i="1"/>
  <c r="F26015" i="1"/>
  <c r="F26016" i="1"/>
  <c r="F26017" i="1"/>
  <c r="F26018" i="1"/>
  <c r="F26019" i="1"/>
  <c r="F26020" i="1"/>
  <c r="F26021" i="1"/>
  <c r="F26022" i="1"/>
  <c r="F26023" i="1"/>
  <c r="F26024" i="1"/>
  <c r="F26025" i="1"/>
  <c r="F26026" i="1"/>
  <c r="F26027" i="1"/>
  <c r="F26028" i="1"/>
  <c r="F26029" i="1"/>
  <c r="F26030" i="1"/>
  <c r="F26031" i="1"/>
  <c r="F26032" i="1"/>
  <c r="F26033" i="1"/>
  <c r="F26034" i="1"/>
  <c r="F26035" i="1"/>
  <c r="F26036" i="1"/>
  <c r="F26037" i="1"/>
  <c r="F26038" i="1"/>
  <c r="F26039" i="1"/>
  <c r="F26040" i="1"/>
  <c r="F26041" i="1"/>
  <c r="F26042" i="1"/>
  <c r="F26043" i="1"/>
  <c r="F26044" i="1"/>
  <c r="F26045" i="1"/>
  <c r="F26046" i="1"/>
  <c r="F26047" i="1"/>
  <c r="F26048" i="1"/>
  <c r="F26049" i="1"/>
  <c r="F26050" i="1"/>
  <c r="F26051" i="1"/>
  <c r="F26052" i="1"/>
  <c r="F26053" i="1"/>
  <c r="F26054" i="1"/>
  <c r="F26055" i="1"/>
  <c r="F26056" i="1"/>
  <c r="F26057" i="1"/>
  <c r="F26058" i="1"/>
  <c r="F26059" i="1"/>
  <c r="F26060" i="1"/>
  <c r="F26061" i="1"/>
  <c r="F26062" i="1"/>
  <c r="F26063" i="1"/>
  <c r="F26064" i="1"/>
  <c r="F26065" i="1"/>
  <c r="F26066" i="1"/>
  <c r="F26067" i="1"/>
  <c r="F26068" i="1"/>
  <c r="F26069" i="1"/>
  <c r="F26070" i="1"/>
  <c r="F26071" i="1"/>
  <c r="F26072" i="1"/>
  <c r="F26073" i="1"/>
  <c r="F26074" i="1"/>
  <c r="F26075" i="1"/>
  <c r="F26076" i="1"/>
  <c r="F26077" i="1"/>
  <c r="F26078" i="1"/>
  <c r="F26079" i="1"/>
  <c r="F26080" i="1"/>
  <c r="F26081" i="1"/>
  <c r="F26082" i="1"/>
  <c r="F26083" i="1"/>
  <c r="F26084" i="1"/>
  <c r="F26085" i="1"/>
  <c r="F26086" i="1"/>
  <c r="F26087" i="1"/>
  <c r="F26088" i="1"/>
  <c r="F26089" i="1"/>
  <c r="F26090" i="1"/>
  <c r="F26091" i="1"/>
  <c r="F26092" i="1"/>
  <c r="F26093" i="1"/>
  <c r="F26094" i="1"/>
  <c r="F26095" i="1"/>
  <c r="F26096" i="1"/>
  <c r="F26097" i="1"/>
  <c r="F26098" i="1"/>
  <c r="F26099" i="1"/>
  <c r="F26100" i="1"/>
  <c r="F26101" i="1"/>
  <c r="F26102" i="1"/>
  <c r="F26103" i="1"/>
  <c r="F26104" i="1"/>
  <c r="F26105" i="1"/>
  <c r="F26106" i="1"/>
  <c r="F26107" i="1"/>
  <c r="F26108" i="1"/>
  <c r="F26109" i="1"/>
  <c r="F26110" i="1"/>
  <c r="F26111" i="1"/>
  <c r="F26112" i="1"/>
  <c r="F26113" i="1"/>
  <c r="F26114" i="1"/>
  <c r="F26115" i="1"/>
  <c r="F26116" i="1"/>
  <c r="F26117" i="1"/>
  <c r="F26118" i="1"/>
  <c r="F26119" i="1"/>
  <c r="F26120" i="1"/>
  <c r="F26121" i="1"/>
  <c r="F26122" i="1"/>
  <c r="F26123" i="1"/>
  <c r="F26124" i="1"/>
  <c r="F26125" i="1"/>
  <c r="F26126" i="1"/>
  <c r="F26127" i="1"/>
  <c r="F26128" i="1"/>
  <c r="F26129" i="1"/>
  <c r="F26130" i="1"/>
  <c r="F26131" i="1"/>
  <c r="F26132" i="1"/>
  <c r="F26133" i="1"/>
  <c r="F26134" i="1"/>
  <c r="F26135" i="1"/>
  <c r="F26136" i="1"/>
  <c r="F26137" i="1"/>
  <c r="F26138" i="1"/>
  <c r="F26139" i="1"/>
  <c r="F26140" i="1"/>
  <c r="F26141" i="1"/>
  <c r="F26142" i="1"/>
  <c r="F26143" i="1"/>
  <c r="F26144" i="1"/>
  <c r="F26145" i="1"/>
  <c r="F26146" i="1"/>
  <c r="F26147" i="1"/>
  <c r="F26148" i="1"/>
  <c r="F26149" i="1"/>
  <c r="F26150" i="1"/>
  <c r="F26151" i="1"/>
  <c r="F26152" i="1"/>
  <c r="F26153" i="1"/>
  <c r="F26154" i="1"/>
  <c r="F26155" i="1"/>
  <c r="F26156" i="1"/>
  <c r="F26157" i="1"/>
  <c r="F26158" i="1"/>
  <c r="F26159" i="1"/>
  <c r="F26160" i="1"/>
  <c r="F26161" i="1"/>
  <c r="F26162" i="1"/>
  <c r="F26163" i="1"/>
  <c r="F26164" i="1"/>
  <c r="F26165" i="1"/>
  <c r="F26166" i="1"/>
  <c r="F26167" i="1"/>
  <c r="F26168" i="1"/>
  <c r="F26169" i="1"/>
  <c r="F26170" i="1"/>
  <c r="F26171" i="1"/>
  <c r="F26172" i="1"/>
  <c r="F26173" i="1"/>
  <c r="F26174" i="1"/>
  <c r="F26175" i="1"/>
  <c r="F26176" i="1"/>
  <c r="F26177" i="1"/>
  <c r="F26178" i="1"/>
  <c r="F26179" i="1"/>
  <c r="F26180" i="1"/>
  <c r="F26181" i="1"/>
  <c r="F26182" i="1"/>
  <c r="F26183" i="1"/>
  <c r="F26184" i="1"/>
  <c r="F26185" i="1"/>
  <c r="F26186" i="1"/>
  <c r="F26187" i="1"/>
  <c r="F26188" i="1"/>
  <c r="F26189" i="1"/>
  <c r="F26190" i="1"/>
  <c r="F26191" i="1"/>
  <c r="F26192" i="1"/>
  <c r="F26193" i="1"/>
  <c r="F26194" i="1"/>
  <c r="F26195" i="1"/>
  <c r="F26196" i="1"/>
  <c r="F26197" i="1"/>
  <c r="F26198" i="1"/>
  <c r="F26199" i="1"/>
  <c r="F26200" i="1"/>
  <c r="F26201" i="1"/>
  <c r="F26202" i="1"/>
  <c r="F26203" i="1"/>
  <c r="F26204" i="1"/>
  <c r="F26205" i="1"/>
  <c r="F26206" i="1"/>
  <c r="F26207" i="1"/>
  <c r="F26208" i="1"/>
  <c r="F26209" i="1"/>
  <c r="F26210" i="1"/>
  <c r="F26211" i="1"/>
  <c r="F26212" i="1"/>
  <c r="F26213" i="1"/>
  <c r="F26214" i="1"/>
  <c r="F26215" i="1"/>
  <c r="F26216" i="1"/>
  <c r="F26217" i="1"/>
  <c r="F26218" i="1"/>
  <c r="F26219" i="1"/>
  <c r="F26220" i="1"/>
  <c r="F26221" i="1"/>
  <c r="F26222" i="1"/>
  <c r="F26223" i="1"/>
  <c r="F26224" i="1"/>
  <c r="F26225" i="1"/>
  <c r="F26226" i="1"/>
  <c r="F26227" i="1"/>
  <c r="F26228" i="1"/>
  <c r="F26229" i="1"/>
  <c r="F26230" i="1"/>
  <c r="F26231" i="1"/>
  <c r="F26232" i="1"/>
  <c r="F26233" i="1"/>
  <c r="F26234" i="1"/>
  <c r="F26235" i="1"/>
  <c r="F26236" i="1"/>
  <c r="F26237" i="1"/>
  <c r="F26238" i="1"/>
  <c r="F26239" i="1"/>
  <c r="F26240" i="1"/>
  <c r="F26241" i="1"/>
  <c r="F26242" i="1"/>
  <c r="F26243" i="1"/>
  <c r="F26244" i="1"/>
  <c r="F26245" i="1"/>
  <c r="F26246" i="1"/>
  <c r="F26247" i="1"/>
  <c r="F26248" i="1"/>
  <c r="F26249" i="1"/>
  <c r="F26250" i="1"/>
  <c r="F26251" i="1"/>
  <c r="F26252" i="1"/>
  <c r="F26253" i="1"/>
  <c r="F26254" i="1"/>
  <c r="F26255" i="1"/>
  <c r="F26256" i="1"/>
  <c r="F26257" i="1"/>
  <c r="F26258" i="1"/>
  <c r="F26259" i="1"/>
  <c r="F26260" i="1"/>
  <c r="F26261" i="1"/>
  <c r="F26262" i="1"/>
  <c r="F26263" i="1"/>
  <c r="F26264" i="1"/>
  <c r="F26265" i="1"/>
  <c r="F26266" i="1"/>
  <c r="F26267" i="1"/>
  <c r="F26268" i="1"/>
  <c r="F26269" i="1"/>
  <c r="F26270" i="1"/>
  <c r="F26271" i="1"/>
  <c r="F26272" i="1"/>
  <c r="F26273" i="1"/>
  <c r="F26274" i="1"/>
  <c r="F26275" i="1"/>
  <c r="F26276" i="1"/>
  <c r="F26277" i="1"/>
  <c r="F26278" i="1"/>
  <c r="F26279" i="1"/>
  <c r="F26280" i="1"/>
  <c r="F26281" i="1"/>
  <c r="F26282" i="1"/>
  <c r="F26283" i="1"/>
  <c r="F26284" i="1"/>
  <c r="F26285" i="1"/>
  <c r="F26286" i="1"/>
  <c r="F26287" i="1"/>
  <c r="F26288" i="1"/>
  <c r="F26289" i="1"/>
  <c r="F26290" i="1"/>
  <c r="F26291" i="1"/>
  <c r="F26292" i="1"/>
  <c r="F26293" i="1"/>
  <c r="F26294" i="1"/>
  <c r="F26295" i="1"/>
  <c r="F26296" i="1"/>
  <c r="F26297" i="1"/>
  <c r="F26298" i="1"/>
  <c r="F26299" i="1"/>
  <c r="F26300" i="1"/>
  <c r="F26301" i="1"/>
  <c r="F26302" i="1"/>
  <c r="F26303" i="1"/>
  <c r="F26304" i="1"/>
  <c r="F26305" i="1"/>
  <c r="F26306" i="1"/>
  <c r="F26307" i="1"/>
  <c r="F26308" i="1"/>
  <c r="F26309" i="1"/>
  <c r="F26310" i="1"/>
  <c r="F26311" i="1"/>
  <c r="F26312" i="1"/>
  <c r="F26313" i="1"/>
  <c r="F26314" i="1"/>
  <c r="F26315" i="1"/>
  <c r="F26316" i="1"/>
  <c r="F26317" i="1"/>
  <c r="F26318" i="1"/>
  <c r="F26319" i="1"/>
  <c r="F26320" i="1"/>
  <c r="F26321" i="1"/>
  <c r="F26322" i="1"/>
  <c r="F26323" i="1"/>
  <c r="F26324" i="1"/>
  <c r="F26325" i="1"/>
  <c r="F26326" i="1"/>
  <c r="F26327" i="1"/>
  <c r="F26328" i="1"/>
  <c r="F26329" i="1"/>
  <c r="F26330" i="1"/>
  <c r="F26331" i="1"/>
  <c r="F26332" i="1"/>
  <c r="F26333" i="1"/>
  <c r="F26334" i="1"/>
  <c r="F26335" i="1"/>
  <c r="F26336" i="1"/>
  <c r="F26337" i="1"/>
  <c r="F26338" i="1"/>
  <c r="F26339" i="1"/>
  <c r="F26340" i="1"/>
  <c r="F26341" i="1"/>
  <c r="F26342" i="1"/>
  <c r="F26343" i="1"/>
  <c r="F26344" i="1"/>
  <c r="F26345" i="1"/>
  <c r="F26346" i="1"/>
  <c r="F26347" i="1"/>
  <c r="F26348" i="1"/>
  <c r="F26349" i="1"/>
  <c r="F26350" i="1"/>
  <c r="F26351" i="1"/>
  <c r="F26352" i="1"/>
  <c r="F26353" i="1"/>
  <c r="F26354" i="1"/>
  <c r="F26355" i="1"/>
  <c r="F26356" i="1"/>
  <c r="F26357" i="1"/>
  <c r="F26358" i="1"/>
  <c r="F26359" i="1"/>
  <c r="F26360" i="1"/>
  <c r="F26361" i="1"/>
  <c r="F26362" i="1"/>
  <c r="F26363" i="1"/>
  <c r="F26364" i="1"/>
  <c r="F26365" i="1"/>
  <c r="F26366" i="1"/>
  <c r="F26367" i="1"/>
  <c r="F26368" i="1"/>
  <c r="F26369" i="1"/>
  <c r="F26370" i="1"/>
  <c r="F26371" i="1"/>
  <c r="F26372" i="1"/>
  <c r="F26373" i="1"/>
  <c r="F26374" i="1"/>
  <c r="F26375" i="1"/>
  <c r="F26376" i="1"/>
  <c r="F26377" i="1"/>
  <c r="F26378" i="1"/>
  <c r="F26379" i="1"/>
  <c r="F26380" i="1"/>
  <c r="F26381" i="1"/>
  <c r="F26382" i="1"/>
  <c r="F26383" i="1"/>
  <c r="F26384" i="1"/>
  <c r="F26385" i="1"/>
  <c r="F26386" i="1"/>
  <c r="F26387" i="1"/>
  <c r="F26388" i="1"/>
  <c r="F26389" i="1"/>
  <c r="F26390" i="1"/>
  <c r="F26391" i="1"/>
  <c r="F26392" i="1"/>
  <c r="F26393" i="1"/>
  <c r="F26394" i="1"/>
  <c r="F26395" i="1"/>
  <c r="F26396" i="1"/>
  <c r="F26397" i="1"/>
  <c r="F26398" i="1"/>
  <c r="F26399" i="1"/>
  <c r="F26400" i="1"/>
  <c r="F26401" i="1"/>
  <c r="F26402" i="1"/>
  <c r="F26403" i="1"/>
  <c r="F26404" i="1"/>
  <c r="F26405" i="1"/>
  <c r="F26406" i="1"/>
  <c r="F26407" i="1"/>
  <c r="F26408" i="1"/>
  <c r="F26409" i="1"/>
  <c r="F26410" i="1"/>
  <c r="F26411" i="1"/>
  <c r="F26412" i="1"/>
  <c r="F26413" i="1"/>
  <c r="F26414" i="1"/>
  <c r="F26415" i="1"/>
  <c r="F26416" i="1"/>
  <c r="F26417" i="1"/>
  <c r="F26418" i="1"/>
  <c r="F26419" i="1"/>
  <c r="F26420" i="1"/>
  <c r="F26421" i="1"/>
  <c r="F26422" i="1"/>
  <c r="F26423" i="1"/>
  <c r="F26424" i="1"/>
  <c r="F26425" i="1"/>
  <c r="F26426" i="1"/>
  <c r="F26427" i="1"/>
  <c r="F26428" i="1"/>
  <c r="F26429" i="1"/>
  <c r="F26430" i="1"/>
  <c r="F26431" i="1"/>
  <c r="F26432" i="1"/>
  <c r="F26433" i="1"/>
  <c r="F26434" i="1"/>
  <c r="F26435" i="1"/>
  <c r="F26436" i="1"/>
  <c r="F26437" i="1"/>
  <c r="F26438" i="1"/>
  <c r="F26439" i="1"/>
  <c r="F26440" i="1"/>
  <c r="F26441" i="1"/>
  <c r="F26442" i="1"/>
  <c r="F26443" i="1"/>
  <c r="F26444" i="1"/>
  <c r="F26445" i="1"/>
  <c r="F26446" i="1"/>
  <c r="F26447" i="1"/>
  <c r="F26448" i="1"/>
  <c r="F26449" i="1"/>
  <c r="F26450" i="1"/>
  <c r="F26451" i="1"/>
  <c r="F26452" i="1"/>
  <c r="F26453" i="1"/>
  <c r="F26454" i="1"/>
  <c r="F26455" i="1"/>
  <c r="F26456" i="1"/>
  <c r="F26457" i="1"/>
  <c r="F26458" i="1"/>
  <c r="F26459" i="1"/>
  <c r="F26460" i="1"/>
  <c r="F26461" i="1"/>
  <c r="F26462" i="1"/>
  <c r="F26463" i="1"/>
  <c r="F26464" i="1"/>
  <c r="F26465" i="1"/>
  <c r="F26466" i="1"/>
  <c r="F26467" i="1"/>
  <c r="F26468" i="1"/>
  <c r="F26469" i="1"/>
  <c r="F26470" i="1"/>
  <c r="F26471" i="1"/>
  <c r="F26472" i="1"/>
  <c r="F26473" i="1"/>
  <c r="F26474" i="1"/>
  <c r="F26475" i="1"/>
  <c r="F26476" i="1"/>
  <c r="F26477" i="1"/>
  <c r="F26478" i="1"/>
  <c r="F26479" i="1"/>
  <c r="F26480" i="1"/>
  <c r="F26481" i="1"/>
  <c r="F26482" i="1"/>
  <c r="F26483" i="1"/>
  <c r="F26484" i="1"/>
  <c r="F26485" i="1"/>
  <c r="F26486" i="1"/>
  <c r="F26487" i="1"/>
  <c r="F26488" i="1"/>
  <c r="F26489" i="1"/>
  <c r="F26490" i="1"/>
  <c r="F26491" i="1"/>
  <c r="F26492" i="1"/>
  <c r="F26493" i="1"/>
  <c r="F26494" i="1"/>
  <c r="F26495" i="1"/>
  <c r="F26496" i="1"/>
  <c r="F26497" i="1"/>
  <c r="F26498" i="1"/>
  <c r="F26499" i="1"/>
  <c r="F26500" i="1"/>
  <c r="F26501" i="1"/>
  <c r="F26502" i="1"/>
  <c r="F26503" i="1"/>
  <c r="F26504" i="1"/>
  <c r="F26505" i="1"/>
  <c r="F26506" i="1"/>
  <c r="F26507" i="1"/>
  <c r="F26508" i="1"/>
  <c r="F26509" i="1"/>
  <c r="F26510" i="1"/>
  <c r="F26511" i="1"/>
  <c r="F26512" i="1"/>
  <c r="F26513" i="1"/>
  <c r="F26514" i="1"/>
  <c r="F26515" i="1"/>
  <c r="F26516" i="1"/>
  <c r="F26517" i="1"/>
  <c r="F26518" i="1"/>
  <c r="F26519" i="1"/>
  <c r="F26520" i="1"/>
  <c r="F26521" i="1"/>
  <c r="F26522" i="1"/>
  <c r="F26523" i="1"/>
  <c r="F26524" i="1"/>
  <c r="F26525" i="1"/>
  <c r="F26526" i="1"/>
  <c r="F26527" i="1"/>
  <c r="F26528" i="1"/>
  <c r="F26529" i="1"/>
  <c r="F26530" i="1"/>
  <c r="F26531" i="1"/>
  <c r="F26532" i="1"/>
  <c r="F26533" i="1"/>
  <c r="F26534" i="1"/>
  <c r="F26535" i="1"/>
  <c r="F26536" i="1"/>
  <c r="F26537" i="1"/>
  <c r="F26538" i="1"/>
  <c r="F26539" i="1"/>
  <c r="F26540" i="1"/>
  <c r="F26541" i="1"/>
  <c r="F26542" i="1"/>
  <c r="F26543" i="1"/>
  <c r="F26544" i="1"/>
  <c r="F26545" i="1"/>
  <c r="F26546" i="1"/>
  <c r="F26547" i="1"/>
  <c r="F26548" i="1"/>
  <c r="F26549" i="1"/>
  <c r="F26550" i="1"/>
  <c r="F26551" i="1"/>
  <c r="F26552" i="1"/>
  <c r="F26553" i="1"/>
  <c r="F26554" i="1"/>
  <c r="F26555" i="1"/>
  <c r="F26556" i="1"/>
  <c r="F26557" i="1"/>
  <c r="F26558" i="1"/>
  <c r="F26559" i="1"/>
  <c r="F26560" i="1"/>
  <c r="F26561" i="1"/>
  <c r="F26562" i="1"/>
  <c r="F26563" i="1"/>
  <c r="F26564" i="1"/>
  <c r="F26565" i="1"/>
  <c r="F26566" i="1"/>
  <c r="F26567" i="1"/>
  <c r="F26568" i="1"/>
  <c r="F26569" i="1"/>
  <c r="F26570" i="1"/>
  <c r="F26571" i="1"/>
  <c r="F26572" i="1"/>
  <c r="F26573" i="1"/>
  <c r="F26574" i="1"/>
  <c r="F26575" i="1"/>
  <c r="F26576" i="1"/>
  <c r="F26577" i="1"/>
  <c r="F26578" i="1"/>
  <c r="F26579" i="1"/>
  <c r="F26580" i="1"/>
  <c r="F26581" i="1"/>
  <c r="F26582" i="1"/>
  <c r="F26583" i="1"/>
  <c r="F26584" i="1"/>
  <c r="F26585" i="1"/>
  <c r="F26586" i="1"/>
  <c r="F26587" i="1"/>
  <c r="F26588" i="1"/>
  <c r="F26589" i="1"/>
  <c r="F26590" i="1"/>
  <c r="F26591" i="1"/>
  <c r="F26592" i="1"/>
  <c r="F26593" i="1"/>
  <c r="F26594" i="1"/>
  <c r="F26595" i="1"/>
  <c r="F26596" i="1"/>
  <c r="F26597" i="1"/>
  <c r="F26598" i="1"/>
  <c r="F26599" i="1"/>
  <c r="F26600" i="1"/>
  <c r="F26601" i="1"/>
  <c r="F26602" i="1"/>
  <c r="F26603" i="1"/>
  <c r="F26604" i="1"/>
  <c r="F26605" i="1"/>
  <c r="F26606" i="1"/>
  <c r="F26607" i="1"/>
  <c r="F26608" i="1"/>
  <c r="F26609" i="1"/>
  <c r="F26610" i="1"/>
  <c r="F26611" i="1"/>
  <c r="F26612" i="1"/>
  <c r="F26613" i="1"/>
  <c r="F26614" i="1"/>
  <c r="F26615" i="1"/>
  <c r="F26616" i="1"/>
  <c r="F26617" i="1"/>
  <c r="F26618" i="1"/>
  <c r="F26619" i="1"/>
  <c r="F26620" i="1"/>
  <c r="F26621" i="1"/>
  <c r="F26622" i="1"/>
  <c r="F26623" i="1"/>
  <c r="F26624" i="1"/>
  <c r="F26625" i="1"/>
  <c r="F26626" i="1"/>
  <c r="F26627" i="1"/>
  <c r="F26628" i="1"/>
  <c r="F26629" i="1"/>
  <c r="F26630" i="1"/>
  <c r="F26631" i="1"/>
  <c r="F26632" i="1"/>
  <c r="F26633" i="1"/>
  <c r="F26634" i="1"/>
  <c r="F26635" i="1"/>
  <c r="F26636" i="1"/>
  <c r="F26637" i="1"/>
  <c r="F26638" i="1"/>
  <c r="F26639" i="1"/>
  <c r="F26640" i="1"/>
  <c r="F26641" i="1"/>
  <c r="F26642" i="1"/>
  <c r="F26643" i="1"/>
  <c r="F26644" i="1"/>
  <c r="F26645" i="1"/>
  <c r="F26646" i="1"/>
  <c r="F26647" i="1"/>
  <c r="F26648" i="1"/>
  <c r="F26649" i="1"/>
  <c r="F26650" i="1"/>
  <c r="F26651" i="1"/>
  <c r="F26652" i="1"/>
  <c r="F26653" i="1"/>
  <c r="F26654" i="1"/>
  <c r="F26655" i="1"/>
  <c r="F26656" i="1"/>
  <c r="F26657" i="1"/>
  <c r="F26658" i="1"/>
  <c r="F26659" i="1"/>
  <c r="F26660" i="1"/>
  <c r="F26661" i="1"/>
  <c r="F26662" i="1"/>
  <c r="F26663" i="1"/>
  <c r="F26664" i="1"/>
  <c r="F26665" i="1"/>
  <c r="F26666" i="1"/>
  <c r="F26667" i="1"/>
  <c r="F26668" i="1"/>
  <c r="F26669" i="1"/>
  <c r="F26670" i="1"/>
  <c r="F26671" i="1"/>
  <c r="F26672" i="1"/>
  <c r="F26673" i="1"/>
  <c r="F26674" i="1"/>
  <c r="F26675" i="1"/>
  <c r="F26676" i="1"/>
  <c r="F26677" i="1"/>
  <c r="F26678" i="1"/>
  <c r="F26679" i="1"/>
  <c r="F26680" i="1"/>
  <c r="F26681" i="1"/>
  <c r="F26682" i="1"/>
  <c r="F26683" i="1"/>
  <c r="F26684" i="1"/>
  <c r="F26685" i="1"/>
  <c r="F26686" i="1"/>
  <c r="F26687" i="1"/>
  <c r="F26688" i="1"/>
  <c r="F26689" i="1"/>
  <c r="F26690" i="1"/>
  <c r="F26691" i="1"/>
  <c r="F26692" i="1"/>
  <c r="F26693" i="1"/>
  <c r="F26694" i="1"/>
  <c r="F26695" i="1"/>
  <c r="F26696" i="1"/>
  <c r="F26697" i="1"/>
  <c r="F26698" i="1"/>
  <c r="B26699" i="1"/>
  <c r="F26699" i="1"/>
  <c r="B26700" i="1"/>
  <c r="F26700" i="1"/>
  <c r="B26701" i="1"/>
  <c r="F26701" i="1"/>
  <c r="B26702" i="1"/>
  <c r="F26702" i="1"/>
  <c r="B26703" i="1"/>
  <c r="F26703" i="1"/>
  <c r="B26704" i="1"/>
  <c r="F26704" i="1"/>
  <c r="F26705" i="1"/>
  <c r="F26706" i="1"/>
  <c r="F26707" i="1"/>
  <c r="F26708" i="1"/>
  <c r="F26709" i="1"/>
  <c r="F26710" i="1"/>
  <c r="F26711" i="1"/>
  <c r="F26712" i="1"/>
  <c r="F26713" i="1"/>
  <c r="F26714" i="1"/>
  <c r="F26715" i="1"/>
  <c r="F26716" i="1"/>
  <c r="F26717" i="1"/>
  <c r="F26718" i="1"/>
  <c r="F26719" i="1"/>
  <c r="F26720" i="1"/>
  <c r="F26721" i="1"/>
  <c r="F26722" i="1"/>
  <c r="F26723" i="1"/>
  <c r="F26724" i="1"/>
  <c r="F26725" i="1"/>
  <c r="F26726" i="1"/>
  <c r="F26727" i="1"/>
  <c r="F26728" i="1"/>
  <c r="F26729" i="1"/>
  <c r="F26730" i="1"/>
  <c r="F26731" i="1"/>
  <c r="F26732" i="1"/>
  <c r="F26733" i="1"/>
  <c r="F26734" i="1"/>
  <c r="F26735" i="1"/>
  <c r="F26736" i="1"/>
  <c r="F26737" i="1"/>
  <c r="F26738" i="1"/>
  <c r="F26739" i="1"/>
  <c r="F26740" i="1"/>
  <c r="F26741" i="1"/>
  <c r="F26742" i="1"/>
  <c r="F26743" i="1"/>
  <c r="F26744" i="1"/>
  <c r="F26745" i="1"/>
  <c r="F26746" i="1"/>
  <c r="F26747" i="1"/>
  <c r="F26748" i="1"/>
  <c r="F26749" i="1"/>
  <c r="F26750" i="1"/>
  <c r="F26751" i="1"/>
  <c r="F26752" i="1"/>
  <c r="F26753" i="1"/>
  <c r="F26754" i="1"/>
  <c r="F26755" i="1"/>
  <c r="F26756" i="1"/>
  <c r="F26757" i="1"/>
  <c r="F26758" i="1"/>
  <c r="F26759" i="1"/>
  <c r="F26760" i="1"/>
  <c r="F26761" i="1"/>
  <c r="F26762" i="1"/>
  <c r="F26763" i="1"/>
  <c r="F26764" i="1"/>
  <c r="F26765" i="1"/>
  <c r="F26766" i="1"/>
  <c r="F26767" i="1"/>
  <c r="F26768" i="1"/>
  <c r="F26769" i="1"/>
  <c r="F26770" i="1"/>
  <c r="F26771" i="1"/>
  <c r="F26772" i="1"/>
  <c r="F26773" i="1"/>
  <c r="F26774" i="1"/>
  <c r="F26775" i="1"/>
  <c r="F26776" i="1"/>
  <c r="F26777" i="1"/>
  <c r="F26778" i="1"/>
  <c r="F26779" i="1"/>
  <c r="F26780" i="1"/>
  <c r="F26781" i="1"/>
  <c r="F26782" i="1"/>
  <c r="F26783" i="1"/>
  <c r="F26784" i="1"/>
  <c r="F26785" i="1"/>
  <c r="F26786" i="1"/>
  <c r="F26787" i="1"/>
  <c r="F26788" i="1"/>
  <c r="F26789" i="1"/>
  <c r="F26790" i="1"/>
  <c r="F26791" i="1"/>
  <c r="F26792" i="1"/>
  <c r="F26793" i="1"/>
  <c r="F26794" i="1"/>
  <c r="F26795" i="1"/>
  <c r="F26796" i="1"/>
  <c r="F26797" i="1"/>
  <c r="F26798" i="1"/>
  <c r="F26799" i="1"/>
  <c r="F26800" i="1"/>
  <c r="F26801" i="1"/>
  <c r="F26802" i="1"/>
  <c r="F26803" i="1"/>
  <c r="F26804" i="1"/>
  <c r="F26805" i="1"/>
  <c r="F26806" i="1"/>
  <c r="F26807" i="1"/>
  <c r="F26808" i="1"/>
  <c r="F26809" i="1"/>
  <c r="F26810" i="1"/>
  <c r="F26811" i="1"/>
  <c r="F26812" i="1"/>
  <c r="F26813" i="1"/>
  <c r="F26814" i="1"/>
  <c r="F26815" i="1"/>
  <c r="F26816" i="1"/>
  <c r="F26817" i="1"/>
  <c r="F26818" i="1"/>
  <c r="F26819" i="1"/>
  <c r="F26820" i="1"/>
  <c r="F26821" i="1"/>
  <c r="F26822" i="1"/>
  <c r="F26823" i="1"/>
  <c r="F26824" i="1"/>
  <c r="F26825" i="1"/>
  <c r="F26826" i="1"/>
  <c r="F26827" i="1"/>
  <c r="F26828" i="1"/>
  <c r="F26829" i="1"/>
  <c r="F26830" i="1"/>
  <c r="F26831" i="1"/>
  <c r="F26832" i="1"/>
  <c r="F26833" i="1"/>
  <c r="F26834" i="1"/>
  <c r="F26835" i="1"/>
  <c r="F26836" i="1"/>
  <c r="F26837" i="1"/>
  <c r="F26838" i="1"/>
  <c r="F26839" i="1"/>
  <c r="F26840" i="1"/>
  <c r="F26841" i="1"/>
  <c r="F26842" i="1"/>
  <c r="F26843" i="1"/>
  <c r="F26844" i="1"/>
  <c r="F26845" i="1"/>
  <c r="F26846" i="1"/>
  <c r="F26847" i="1"/>
  <c r="F26848" i="1"/>
  <c r="F26849" i="1"/>
  <c r="F26850" i="1"/>
  <c r="F26851" i="1"/>
  <c r="F26852" i="1"/>
  <c r="F26853" i="1"/>
  <c r="F26854" i="1"/>
  <c r="F26855" i="1"/>
  <c r="F26856" i="1"/>
  <c r="F26857" i="1"/>
  <c r="F26858" i="1"/>
  <c r="F26859" i="1"/>
  <c r="F26860" i="1"/>
  <c r="F26861" i="1"/>
  <c r="F26862" i="1"/>
  <c r="F26863" i="1"/>
  <c r="F26864" i="1"/>
  <c r="F26865" i="1"/>
  <c r="F26866" i="1"/>
  <c r="F26867" i="1"/>
  <c r="F26868" i="1"/>
  <c r="F26869" i="1"/>
  <c r="F26870" i="1"/>
  <c r="F26871" i="1"/>
  <c r="F26872" i="1"/>
  <c r="F26873" i="1"/>
  <c r="F26874" i="1"/>
  <c r="F26875" i="1"/>
  <c r="F26876" i="1"/>
  <c r="F26877" i="1"/>
  <c r="F26878" i="1"/>
  <c r="F26879" i="1"/>
  <c r="F26880" i="1"/>
  <c r="F26881" i="1"/>
  <c r="F26882" i="1"/>
  <c r="F26883" i="1"/>
  <c r="F26884" i="1"/>
  <c r="F26885" i="1"/>
  <c r="F26886" i="1"/>
  <c r="F26887" i="1"/>
  <c r="F26888" i="1"/>
  <c r="F26889" i="1"/>
  <c r="F26890" i="1"/>
  <c r="F26891" i="1"/>
  <c r="F26892" i="1"/>
  <c r="F26893" i="1"/>
  <c r="F26894" i="1"/>
  <c r="F26895" i="1"/>
  <c r="F26896" i="1"/>
  <c r="F26897" i="1"/>
  <c r="F26898" i="1"/>
  <c r="F26899" i="1"/>
  <c r="F26900" i="1"/>
  <c r="F26901" i="1"/>
  <c r="F26902" i="1"/>
  <c r="F26903" i="1"/>
  <c r="F26904" i="1"/>
  <c r="F26905" i="1"/>
  <c r="F26906" i="1"/>
  <c r="F26907" i="1"/>
  <c r="F26908" i="1"/>
  <c r="F26909" i="1"/>
  <c r="F26910" i="1"/>
  <c r="F26911" i="1"/>
  <c r="F26912" i="1"/>
  <c r="F26913" i="1"/>
  <c r="F26914" i="1"/>
  <c r="F26915" i="1"/>
  <c r="F26916" i="1"/>
  <c r="F26917" i="1"/>
  <c r="F26918" i="1"/>
  <c r="F26919" i="1"/>
  <c r="F26920" i="1"/>
  <c r="F26921" i="1"/>
  <c r="F26922" i="1"/>
  <c r="F26923" i="1"/>
  <c r="F26924" i="1"/>
  <c r="F26925" i="1"/>
  <c r="F26926" i="1"/>
  <c r="F26927" i="1"/>
  <c r="F26928" i="1"/>
  <c r="F26929" i="1"/>
  <c r="F26930" i="1"/>
  <c r="F26931" i="1"/>
  <c r="F26932" i="1"/>
  <c r="F26933" i="1"/>
  <c r="F26934" i="1"/>
  <c r="F26935" i="1"/>
  <c r="F26936" i="1"/>
  <c r="F26937" i="1"/>
  <c r="F26938" i="1"/>
  <c r="F26939" i="1"/>
  <c r="F26940" i="1"/>
  <c r="F26941" i="1"/>
  <c r="F26942" i="1"/>
  <c r="F26943" i="1"/>
  <c r="F26944" i="1"/>
  <c r="F26945" i="1"/>
  <c r="F26946" i="1"/>
  <c r="F26947" i="1"/>
  <c r="F26948" i="1"/>
  <c r="F26949" i="1"/>
  <c r="F26950" i="1"/>
  <c r="F26951" i="1"/>
  <c r="F26952" i="1"/>
  <c r="F26953" i="1"/>
  <c r="F26954" i="1"/>
  <c r="F26955" i="1"/>
  <c r="F26956" i="1"/>
  <c r="F26957" i="1"/>
  <c r="F26958" i="1"/>
  <c r="F26959" i="1"/>
  <c r="F26960" i="1"/>
  <c r="F26961" i="1"/>
  <c r="F26962" i="1"/>
  <c r="F26963" i="1"/>
  <c r="F26964" i="1"/>
  <c r="F26965" i="1"/>
  <c r="F26966" i="1"/>
  <c r="F26967" i="1"/>
  <c r="F26968" i="1"/>
  <c r="F26969" i="1"/>
  <c r="F26970" i="1"/>
  <c r="F26971" i="1"/>
  <c r="F26972" i="1"/>
  <c r="F26973" i="1"/>
  <c r="F26974" i="1"/>
  <c r="F26975" i="1"/>
  <c r="F26976" i="1"/>
  <c r="F26977" i="1"/>
  <c r="F26978" i="1"/>
  <c r="F26979" i="1"/>
  <c r="F26980" i="1"/>
  <c r="F26981" i="1"/>
  <c r="F26982" i="1"/>
  <c r="F26983" i="1"/>
  <c r="F26984" i="1"/>
  <c r="F26985" i="1"/>
  <c r="F26986" i="1"/>
  <c r="F26987" i="1"/>
  <c r="F26988" i="1"/>
  <c r="F26989" i="1"/>
  <c r="F26990" i="1"/>
  <c r="F26991" i="1"/>
  <c r="F26992" i="1"/>
  <c r="F26993" i="1"/>
  <c r="F26994" i="1"/>
  <c r="F26995" i="1"/>
  <c r="F26996" i="1"/>
  <c r="F26997" i="1"/>
  <c r="F26998" i="1"/>
  <c r="F26999" i="1"/>
  <c r="F27000" i="1"/>
  <c r="F27001" i="1"/>
  <c r="F27002" i="1"/>
  <c r="F27003" i="1"/>
  <c r="F27004" i="1"/>
  <c r="F27005" i="1"/>
  <c r="F27006" i="1"/>
  <c r="F27007" i="1"/>
  <c r="F27008" i="1"/>
  <c r="F27009" i="1"/>
  <c r="F27010" i="1"/>
  <c r="F27011" i="1"/>
  <c r="F27012" i="1"/>
  <c r="F27013" i="1"/>
  <c r="F27014" i="1"/>
  <c r="F27015" i="1"/>
  <c r="F27016" i="1"/>
  <c r="F27017" i="1"/>
  <c r="F27018" i="1"/>
  <c r="F27019" i="1"/>
  <c r="F27020" i="1"/>
  <c r="F27021" i="1"/>
  <c r="F27022" i="1"/>
  <c r="F27023" i="1"/>
  <c r="F27024" i="1"/>
  <c r="F27025" i="1"/>
  <c r="F27026" i="1"/>
  <c r="F27027" i="1"/>
  <c r="F27028" i="1"/>
  <c r="F27029" i="1"/>
  <c r="F27030" i="1"/>
  <c r="F27031" i="1"/>
  <c r="F27032" i="1"/>
  <c r="F27033" i="1"/>
  <c r="F27034" i="1"/>
  <c r="F27035" i="1"/>
  <c r="F27036" i="1"/>
  <c r="F27037" i="1"/>
  <c r="F27038" i="1"/>
  <c r="F27039" i="1"/>
  <c r="F27040" i="1"/>
  <c r="F27041" i="1"/>
  <c r="F27042" i="1"/>
  <c r="F27043" i="1"/>
  <c r="F27044" i="1"/>
  <c r="F27045" i="1"/>
  <c r="F27046" i="1"/>
  <c r="F27047" i="1"/>
  <c r="F27048" i="1"/>
  <c r="F27049" i="1"/>
  <c r="F27050" i="1"/>
  <c r="F27051" i="1"/>
  <c r="F27052" i="1"/>
  <c r="F27053" i="1"/>
  <c r="F27054" i="1"/>
  <c r="F27055" i="1"/>
  <c r="F27056" i="1"/>
  <c r="F27057" i="1"/>
  <c r="F27058" i="1"/>
  <c r="F27059" i="1"/>
  <c r="F27060" i="1"/>
  <c r="F27061" i="1"/>
  <c r="F27062" i="1"/>
  <c r="F27063" i="1"/>
  <c r="F27064" i="1"/>
  <c r="F27065" i="1"/>
  <c r="F27066" i="1"/>
  <c r="F27067" i="1"/>
  <c r="F27068" i="1"/>
  <c r="F27069" i="1"/>
  <c r="F27070" i="1"/>
  <c r="F27071" i="1"/>
  <c r="F27072" i="1"/>
  <c r="F27073" i="1"/>
  <c r="F27074" i="1"/>
  <c r="F27075" i="1"/>
  <c r="F27076" i="1"/>
  <c r="F27077" i="1"/>
  <c r="F27078" i="1"/>
  <c r="F27079" i="1"/>
  <c r="F27080" i="1"/>
  <c r="F27081" i="1"/>
  <c r="F27082" i="1"/>
  <c r="F27083" i="1"/>
  <c r="F27084" i="1"/>
  <c r="F27085" i="1"/>
  <c r="F27086" i="1"/>
  <c r="F27087" i="1"/>
  <c r="F27088" i="1"/>
  <c r="F27089" i="1"/>
  <c r="F27090" i="1"/>
  <c r="F27091" i="1"/>
  <c r="F27092" i="1"/>
  <c r="F27093" i="1"/>
  <c r="F27094" i="1"/>
  <c r="F27095" i="1"/>
  <c r="F27096" i="1"/>
  <c r="F27097" i="1"/>
  <c r="F27098" i="1"/>
  <c r="F27099" i="1"/>
  <c r="F27100" i="1"/>
  <c r="F27101" i="1"/>
  <c r="F27102" i="1"/>
  <c r="F27103" i="1"/>
  <c r="F27104" i="1"/>
  <c r="F27105" i="1"/>
  <c r="F27106" i="1"/>
  <c r="F27107" i="1"/>
  <c r="F27108" i="1"/>
  <c r="F27109" i="1"/>
  <c r="F27110" i="1"/>
  <c r="F27111" i="1"/>
  <c r="F27112" i="1"/>
  <c r="F27113" i="1"/>
  <c r="F27114" i="1"/>
  <c r="F27115" i="1"/>
  <c r="F27116" i="1"/>
  <c r="F27117" i="1"/>
  <c r="F27118" i="1"/>
  <c r="F27119" i="1"/>
  <c r="F27120" i="1"/>
  <c r="F27121" i="1"/>
  <c r="F27122" i="1"/>
  <c r="F27123" i="1"/>
  <c r="F27124" i="1"/>
  <c r="F27125" i="1"/>
  <c r="F27126" i="1"/>
  <c r="F27127" i="1"/>
  <c r="F27128" i="1"/>
  <c r="F27129" i="1"/>
  <c r="F27130" i="1"/>
  <c r="F27131" i="1"/>
  <c r="F27132" i="1"/>
  <c r="F27133" i="1"/>
  <c r="F27134" i="1"/>
  <c r="F27135" i="1"/>
  <c r="F27136" i="1"/>
  <c r="F27137" i="1"/>
  <c r="F27138" i="1"/>
  <c r="F27139" i="1"/>
  <c r="F27140" i="1"/>
  <c r="F27141" i="1"/>
  <c r="F27142" i="1"/>
  <c r="F27143" i="1"/>
  <c r="F27144" i="1"/>
  <c r="F27145" i="1"/>
  <c r="F27146" i="1"/>
  <c r="F27147" i="1"/>
  <c r="F27148" i="1"/>
  <c r="F27149" i="1"/>
  <c r="F27150" i="1"/>
  <c r="F27151" i="1"/>
  <c r="F27152" i="1"/>
  <c r="F27153" i="1"/>
  <c r="F27154" i="1"/>
  <c r="F27155" i="1"/>
  <c r="F27156" i="1"/>
  <c r="F27157" i="1"/>
  <c r="F27158" i="1"/>
  <c r="F27159" i="1"/>
  <c r="F27160" i="1"/>
  <c r="F27161" i="1"/>
  <c r="F27162" i="1"/>
  <c r="F27163" i="1"/>
  <c r="F27164" i="1"/>
  <c r="F27165" i="1"/>
  <c r="F27166" i="1"/>
  <c r="F27167" i="1"/>
  <c r="F27168" i="1"/>
  <c r="F27169" i="1"/>
  <c r="F27170" i="1"/>
  <c r="F27171" i="1"/>
  <c r="F27172" i="1"/>
  <c r="F27173" i="1"/>
  <c r="F27174" i="1"/>
  <c r="F27175" i="1"/>
  <c r="F27176" i="1"/>
  <c r="F27177" i="1"/>
  <c r="F27178" i="1"/>
  <c r="F27179" i="1"/>
  <c r="F27180" i="1"/>
  <c r="F27181" i="1"/>
  <c r="F27182" i="1"/>
  <c r="F27183" i="1"/>
  <c r="F27184" i="1"/>
  <c r="F27185" i="1"/>
  <c r="F27186" i="1"/>
  <c r="F27187" i="1"/>
  <c r="F27188" i="1"/>
  <c r="F27189" i="1"/>
  <c r="F27190" i="1"/>
  <c r="F27191" i="1"/>
  <c r="F27192" i="1"/>
  <c r="F27193" i="1"/>
  <c r="F27194" i="1"/>
  <c r="F27195" i="1"/>
  <c r="F27196" i="1"/>
  <c r="F27197" i="1"/>
  <c r="F27198" i="1"/>
  <c r="F27199" i="1"/>
  <c r="F27200" i="1"/>
  <c r="F27201" i="1"/>
  <c r="F27202" i="1"/>
  <c r="F27203" i="1"/>
  <c r="F27204" i="1"/>
  <c r="F27205" i="1"/>
  <c r="F27206" i="1"/>
  <c r="F27207" i="1"/>
  <c r="F27208" i="1"/>
  <c r="F27209" i="1"/>
  <c r="F27210" i="1"/>
  <c r="F27211" i="1"/>
  <c r="F27212" i="1"/>
  <c r="F27213" i="1"/>
  <c r="F27214" i="1"/>
  <c r="F27215" i="1"/>
  <c r="F27216" i="1"/>
  <c r="F27217" i="1"/>
  <c r="F27218" i="1"/>
  <c r="F27219" i="1"/>
  <c r="F27220" i="1"/>
  <c r="F27221" i="1"/>
  <c r="F27222" i="1"/>
  <c r="F27223" i="1"/>
  <c r="F27224" i="1"/>
  <c r="F27225" i="1"/>
  <c r="F27226" i="1"/>
  <c r="F27227" i="1"/>
  <c r="F27228" i="1"/>
  <c r="F27229" i="1"/>
  <c r="F27230" i="1"/>
  <c r="F27231" i="1"/>
  <c r="F27232" i="1"/>
  <c r="F27233" i="1"/>
  <c r="F27234" i="1"/>
  <c r="F27235" i="1"/>
  <c r="F27236" i="1"/>
  <c r="F27237" i="1"/>
  <c r="F27238" i="1"/>
  <c r="F27239" i="1"/>
  <c r="F27240" i="1"/>
  <c r="F27241" i="1"/>
  <c r="F27242" i="1"/>
  <c r="F27243" i="1"/>
  <c r="F27244" i="1"/>
  <c r="F27245" i="1"/>
  <c r="F27246" i="1"/>
  <c r="F27247" i="1"/>
  <c r="F27248" i="1"/>
  <c r="F27249" i="1"/>
  <c r="F27250" i="1"/>
  <c r="F27251" i="1"/>
  <c r="F27252" i="1"/>
  <c r="F27253" i="1"/>
  <c r="F27254" i="1"/>
  <c r="F27255" i="1"/>
  <c r="F27256" i="1"/>
  <c r="F27257" i="1"/>
  <c r="F27258" i="1"/>
  <c r="F27259" i="1"/>
  <c r="F27260" i="1"/>
  <c r="F27261" i="1"/>
  <c r="F27262" i="1"/>
  <c r="F27263" i="1"/>
  <c r="F27264" i="1"/>
  <c r="F27265" i="1"/>
  <c r="F27266" i="1"/>
  <c r="F27267" i="1"/>
  <c r="F27268" i="1"/>
  <c r="F27269" i="1"/>
  <c r="F27270" i="1"/>
  <c r="F27271" i="1"/>
  <c r="F27272" i="1"/>
  <c r="F27273" i="1"/>
  <c r="F27274" i="1"/>
  <c r="F27275" i="1"/>
  <c r="F27276" i="1"/>
  <c r="F27277" i="1"/>
  <c r="F27278" i="1"/>
  <c r="F27279" i="1"/>
  <c r="F27280" i="1"/>
  <c r="F27281" i="1"/>
  <c r="F27282" i="1"/>
  <c r="F27283" i="1"/>
  <c r="F27284" i="1"/>
  <c r="F27285" i="1"/>
  <c r="F27286" i="1"/>
  <c r="F27287" i="1"/>
  <c r="F27288" i="1"/>
  <c r="F27289" i="1"/>
  <c r="F27290" i="1"/>
  <c r="F27291" i="1"/>
  <c r="F27292" i="1"/>
  <c r="F27293" i="1"/>
  <c r="F27294" i="1"/>
  <c r="F27295" i="1"/>
  <c r="F27296" i="1"/>
  <c r="F27297" i="1"/>
  <c r="F27298" i="1"/>
  <c r="F27299" i="1"/>
  <c r="F27300" i="1"/>
  <c r="F27301" i="1"/>
  <c r="F27302" i="1"/>
  <c r="F27303" i="1"/>
  <c r="F27304" i="1"/>
  <c r="F27305" i="1"/>
  <c r="F27306" i="1"/>
  <c r="F27307" i="1"/>
  <c r="F27308" i="1"/>
  <c r="F27309" i="1"/>
  <c r="F27310" i="1"/>
  <c r="F27311" i="1"/>
  <c r="F27312" i="1"/>
  <c r="F27313" i="1"/>
  <c r="F27314" i="1"/>
  <c r="F27315" i="1"/>
  <c r="F27316" i="1"/>
  <c r="F27317" i="1"/>
  <c r="F27318" i="1"/>
  <c r="F27319" i="1"/>
  <c r="F27320" i="1"/>
  <c r="F27321" i="1"/>
  <c r="F27322" i="1"/>
  <c r="F27323" i="1"/>
  <c r="F27324" i="1"/>
  <c r="F27325" i="1"/>
  <c r="F27326" i="1"/>
  <c r="F27327" i="1"/>
  <c r="F27328" i="1"/>
  <c r="F27329" i="1"/>
  <c r="F27330" i="1"/>
  <c r="F27331" i="1"/>
  <c r="F27332" i="1"/>
  <c r="F27333" i="1"/>
  <c r="F27334" i="1"/>
  <c r="F27335" i="1"/>
  <c r="F27336" i="1"/>
  <c r="F27337" i="1"/>
  <c r="F27338" i="1"/>
  <c r="F27339" i="1"/>
  <c r="F27340" i="1"/>
  <c r="F27341" i="1"/>
  <c r="F27342" i="1"/>
  <c r="F27343" i="1"/>
  <c r="F27344" i="1"/>
  <c r="F27345" i="1"/>
  <c r="F27346" i="1"/>
  <c r="F27347" i="1"/>
  <c r="F27348" i="1"/>
  <c r="F27349" i="1"/>
  <c r="F27350" i="1"/>
  <c r="F27351" i="1"/>
  <c r="F27352" i="1"/>
  <c r="F27353" i="1"/>
  <c r="F27354" i="1"/>
  <c r="F27355" i="1"/>
  <c r="F27356" i="1"/>
  <c r="F27357" i="1"/>
  <c r="F27358" i="1"/>
  <c r="F27359" i="1"/>
  <c r="F27360" i="1"/>
  <c r="F27361" i="1"/>
  <c r="F27362" i="1"/>
  <c r="F27363" i="1"/>
  <c r="F27364" i="1"/>
  <c r="F27365" i="1"/>
  <c r="F27366" i="1"/>
  <c r="F27367" i="1"/>
  <c r="F27368" i="1"/>
  <c r="F27369" i="1"/>
  <c r="F27370" i="1"/>
  <c r="F27371" i="1"/>
  <c r="F27372" i="1"/>
  <c r="F27373" i="1"/>
  <c r="F27374" i="1"/>
  <c r="F27375" i="1"/>
  <c r="F27376" i="1"/>
  <c r="F27377" i="1"/>
  <c r="F27378" i="1"/>
  <c r="F27379" i="1"/>
  <c r="F27380" i="1"/>
  <c r="F27381" i="1"/>
  <c r="F27382" i="1"/>
  <c r="F27383" i="1"/>
  <c r="F27384" i="1"/>
  <c r="F27385" i="1"/>
  <c r="F27386" i="1"/>
  <c r="F27387" i="1"/>
  <c r="F27388" i="1"/>
  <c r="F27389" i="1"/>
  <c r="F27390" i="1"/>
  <c r="F27391" i="1"/>
  <c r="F27392" i="1"/>
  <c r="F27393" i="1"/>
  <c r="F27394" i="1"/>
  <c r="F27395" i="1"/>
  <c r="F27396" i="1"/>
  <c r="F27397" i="1"/>
  <c r="F27398" i="1"/>
  <c r="F27399" i="1"/>
  <c r="F27400" i="1"/>
  <c r="F27401" i="1"/>
  <c r="F27402" i="1"/>
  <c r="F27403" i="1"/>
  <c r="F27404" i="1"/>
  <c r="F27405" i="1"/>
  <c r="F27406" i="1"/>
  <c r="F27407" i="1"/>
  <c r="F27408" i="1"/>
  <c r="F27409" i="1"/>
  <c r="F27410" i="1"/>
  <c r="F27411" i="1"/>
  <c r="F27412" i="1"/>
  <c r="F27413" i="1"/>
  <c r="F27414" i="1"/>
  <c r="F27415" i="1"/>
  <c r="F27416" i="1"/>
  <c r="F27417" i="1"/>
  <c r="F27418" i="1"/>
  <c r="F27419" i="1"/>
  <c r="F27420" i="1"/>
  <c r="F27421" i="1"/>
  <c r="F27422" i="1"/>
  <c r="F27423" i="1"/>
  <c r="F27424" i="1"/>
  <c r="F27425" i="1"/>
  <c r="F27426" i="1"/>
  <c r="F27427" i="1"/>
  <c r="F27428" i="1"/>
  <c r="F27429" i="1"/>
  <c r="F27430" i="1"/>
  <c r="F27431" i="1"/>
  <c r="F27432" i="1"/>
  <c r="F27433" i="1"/>
  <c r="F27434" i="1"/>
  <c r="F27435" i="1"/>
  <c r="F27436" i="1"/>
  <c r="F27437" i="1"/>
  <c r="F27438" i="1"/>
  <c r="F27439" i="1"/>
  <c r="F27440" i="1"/>
  <c r="F27441" i="1"/>
  <c r="F27442" i="1"/>
  <c r="F27443" i="1"/>
  <c r="F27444" i="1"/>
  <c r="F27445" i="1"/>
  <c r="F27446" i="1"/>
  <c r="F27447" i="1"/>
  <c r="F27448" i="1"/>
  <c r="F27449" i="1"/>
  <c r="F27450" i="1"/>
  <c r="F27451" i="1"/>
  <c r="F27452" i="1"/>
  <c r="F27453" i="1"/>
  <c r="F27454" i="1"/>
  <c r="F27455" i="1"/>
  <c r="F27456" i="1"/>
  <c r="F27457" i="1"/>
  <c r="F27458" i="1"/>
  <c r="F27459" i="1"/>
  <c r="F27460" i="1"/>
  <c r="F27461" i="1"/>
  <c r="F27462" i="1"/>
  <c r="F27463" i="1"/>
  <c r="F27464" i="1"/>
  <c r="F27465" i="1"/>
  <c r="F27466" i="1"/>
  <c r="F27467" i="1"/>
  <c r="F27468" i="1"/>
  <c r="F27469" i="1"/>
  <c r="F27470" i="1"/>
  <c r="F27471" i="1"/>
  <c r="F27472" i="1"/>
  <c r="F27473" i="1"/>
  <c r="F27474" i="1"/>
  <c r="F27475" i="1"/>
  <c r="F27476" i="1"/>
  <c r="F27477" i="1"/>
  <c r="F27478" i="1"/>
  <c r="F27479" i="1"/>
  <c r="F27480" i="1"/>
  <c r="F27481" i="1"/>
  <c r="F27482" i="1"/>
  <c r="F27483" i="1"/>
  <c r="F27484" i="1"/>
  <c r="F27485" i="1"/>
  <c r="F27486" i="1"/>
  <c r="F27487" i="1"/>
  <c r="F27488" i="1"/>
  <c r="F27489" i="1"/>
  <c r="F27490" i="1"/>
  <c r="F27491" i="1"/>
  <c r="F27492" i="1"/>
  <c r="F27493" i="1"/>
  <c r="F27494" i="1"/>
  <c r="F27495" i="1"/>
  <c r="F27496" i="1"/>
  <c r="F27497" i="1"/>
  <c r="F27498" i="1"/>
  <c r="F27499" i="1"/>
  <c r="F27500" i="1"/>
  <c r="F27501" i="1"/>
  <c r="F27502" i="1"/>
  <c r="F27503" i="1"/>
  <c r="F27504" i="1"/>
  <c r="F27505" i="1"/>
  <c r="F27506" i="1"/>
  <c r="F27507" i="1"/>
  <c r="F27508" i="1"/>
  <c r="F27509" i="1"/>
  <c r="F27510" i="1"/>
  <c r="F27511" i="1"/>
  <c r="F27512" i="1"/>
  <c r="F27513" i="1"/>
  <c r="F27514" i="1"/>
  <c r="F27515" i="1"/>
  <c r="F27516" i="1"/>
  <c r="F27517" i="1"/>
  <c r="F27518" i="1"/>
  <c r="F27519" i="1"/>
  <c r="F27520" i="1"/>
  <c r="F27521" i="1"/>
  <c r="F27522" i="1"/>
  <c r="F27523" i="1"/>
  <c r="F27524" i="1"/>
  <c r="F27525" i="1"/>
  <c r="F27526" i="1"/>
  <c r="F27527" i="1"/>
  <c r="F27528" i="1"/>
  <c r="F27529" i="1"/>
  <c r="F27530" i="1"/>
  <c r="F27531" i="1"/>
  <c r="F27532" i="1"/>
  <c r="F27533" i="1"/>
  <c r="F27534" i="1"/>
  <c r="F27535" i="1"/>
  <c r="F27536" i="1"/>
  <c r="F27537" i="1"/>
  <c r="F27538" i="1"/>
  <c r="F27539" i="1"/>
  <c r="F27540" i="1"/>
  <c r="F27541" i="1"/>
  <c r="F27542" i="1"/>
  <c r="F27543" i="1"/>
  <c r="F27544" i="1"/>
  <c r="F27545" i="1"/>
  <c r="F27546" i="1"/>
  <c r="F27547" i="1"/>
  <c r="F27548" i="1"/>
  <c r="F27549" i="1"/>
  <c r="F27550" i="1"/>
  <c r="F27551" i="1"/>
  <c r="F27552" i="1"/>
  <c r="F27553" i="1"/>
  <c r="F27554" i="1"/>
  <c r="F27555" i="1"/>
  <c r="F27556" i="1"/>
  <c r="F27557" i="1"/>
  <c r="F27558" i="1"/>
  <c r="F27559" i="1"/>
  <c r="F27560" i="1"/>
  <c r="F27561" i="1"/>
  <c r="F27562" i="1"/>
  <c r="F27563" i="1"/>
  <c r="F27564" i="1"/>
  <c r="F27565" i="1"/>
  <c r="F27566" i="1"/>
  <c r="F27567" i="1"/>
  <c r="F27568" i="1"/>
  <c r="F27569" i="1"/>
  <c r="F27570" i="1"/>
  <c r="F27571" i="1"/>
  <c r="F27572" i="1"/>
  <c r="F27573" i="1"/>
  <c r="F27574" i="1"/>
  <c r="F27575" i="1"/>
  <c r="F27576" i="1"/>
  <c r="F27577" i="1"/>
  <c r="F27578" i="1"/>
  <c r="F27579" i="1"/>
  <c r="F27580" i="1"/>
  <c r="F27581" i="1"/>
  <c r="F27582" i="1"/>
  <c r="F27583" i="1"/>
  <c r="F27584" i="1"/>
  <c r="F27585" i="1"/>
  <c r="F27586" i="1"/>
  <c r="F27587" i="1"/>
  <c r="F27588" i="1"/>
  <c r="F27589" i="1"/>
  <c r="F27590" i="1"/>
  <c r="F27591" i="1"/>
  <c r="F27592" i="1"/>
  <c r="F27593" i="1"/>
  <c r="F27594" i="1"/>
  <c r="F27595" i="1"/>
  <c r="F27596" i="1"/>
  <c r="F27597" i="1"/>
  <c r="F27598" i="1"/>
  <c r="F27599" i="1"/>
  <c r="F27600" i="1"/>
  <c r="F27601" i="1"/>
  <c r="F27602" i="1"/>
  <c r="F27603" i="1"/>
  <c r="F27604" i="1"/>
  <c r="F27605" i="1"/>
  <c r="F27606" i="1"/>
  <c r="F27607" i="1"/>
  <c r="F27608" i="1"/>
  <c r="F27609" i="1"/>
  <c r="F27610" i="1"/>
  <c r="F27611" i="1"/>
  <c r="F27612" i="1"/>
  <c r="F27613" i="1"/>
  <c r="F27614" i="1"/>
  <c r="F27615" i="1"/>
  <c r="F27616" i="1"/>
  <c r="F27617" i="1"/>
  <c r="F27618" i="1"/>
  <c r="F27619" i="1"/>
  <c r="F27620" i="1"/>
  <c r="F27621" i="1"/>
  <c r="F27622" i="1"/>
  <c r="F27623" i="1"/>
  <c r="F27624" i="1"/>
  <c r="F27625" i="1"/>
  <c r="F27626" i="1"/>
  <c r="F27627" i="1"/>
  <c r="F27628" i="1"/>
  <c r="F27629" i="1"/>
  <c r="F27630" i="1"/>
  <c r="F27631" i="1"/>
  <c r="F27632" i="1"/>
  <c r="F27633" i="1"/>
  <c r="F27634" i="1"/>
  <c r="F27635" i="1"/>
  <c r="F27636" i="1"/>
  <c r="F27637" i="1"/>
  <c r="F27638" i="1"/>
  <c r="F27639" i="1"/>
  <c r="F27640" i="1"/>
  <c r="F27641" i="1"/>
  <c r="F27642" i="1"/>
  <c r="F27643" i="1"/>
  <c r="F27644" i="1"/>
  <c r="F27645" i="1"/>
  <c r="F27646" i="1"/>
  <c r="F27647" i="1"/>
  <c r="F27648" i="1"/>
  <c r="F27649" i="1"/>
  <c r="F27650" i="1"/>
  <c r="F27651" i="1"/>
  <c r="F27652" i="1"/>
  <c r="F27653" i="1"/>
  <c r="F27654" i="1"/>
  <c r="F27655" i="1"/>
  <c r="F27656" i="1"/>
  <c r="F27657" i="1"/>
  <c r="F27658" i="1"/>
  <c r="F27659" i="1"/>
  <c r="F27660" i="1"/>
  <c r="F27661" i="1"/>
  <c r="F27662" i="1"/>
  <c r="F27663" i="1"/>
  <c r="F27664" i="1"/>
  <c r="F27665" i="1"/>
  <c r="F27666" i="1"/>
  <c r="F27667" i="1"/>
  <c r="F27668" i="1"/>
  <c r="F27669" i="1"/>
  <c r="F27670" i="1"/>
  <c r="F27671" i="1"/>
  <c r="F27672" i="1"/>
  <c r="F27673" i="1"/>
  <c r="F27674" i="1"/>
  <c r="F27675" i="1"/>
  <c r="F27676" i="1"/>
  <c r="F27677" i="1"/>
  <c r="F27678" i="1"/>
  <c r="F27679" i="1"/>
  <c r="F27680" i="1"/>
  <c r="F27681" i="1"/>
  <c r="F27682" i="1"/>
  <c r="F27683" i="1"/>
  <c r="F27684" i="1"/>
  <c r="F27685" i="1"/>
  <c r="F27686" i="1"/>
  <c r="F27687" i="1"/>
  <c r="F27688" i="1"/>
  <c r="F27689" i="1"/>
  <c r="F27690" i="1"/>
  <c r="F27691" i="1"/>
  <c r="F27692" i="1"/>
  <c r="F27693" i="1"/>
  <c r="F27694" i="1"/>
  <c r="F27695" i="1"/>
  <c r="F27696" i="1"/>
  <c r="F27697" i="1"/>
  <c r="F27698" i="1"/>
  <c r="F27699" i="1"/>
  <c r="F27700" i="1"/>
  <c r="F27701" i="1"/>
  <c r="F27702" i="1"/>
  <c r="F27703" i="1"/>
  <c r="F27704" i="1"/>
  <c r="F27705" i="1"/>
  <c r="F27706" i="1"/>
  <c r="F27707" i="1"/>
  <c r="F27708" i="1"/>
  <c r="F27709" i="1"/>
  <c r="F27710" i="1"/>
  <c r="F27711" i="1"/>
  <c r="F27712" i="1"/>
  <c r="F27713" i="1"/>
  <c r="F27714" i="1"/>
  <c r="F27715" i="1"/>
  <c r="F27716" i="1"/>
  <c r="F27717" i="1"/>
  <c r="F27718" i="1"/>
  <c r="F27719" i="1"/>
  <c r="F27720" i="1"/>
  <c r="F27721" i="1"/>
  <c r="F27722" i="1"/>
  <c r="F27723" i="1"/>
  <c r="F27724" i="1"/>
  <c r="F27725" i="1"/>
  <c r="F27726" i="1"/>
  <c r="F27727" i="1"/>
  <c r="F27728" i="1"/>
  <c r="F27729" i="1"/>
  <c r="F27730" i="1"/>
  <c r="F27731" i="1"/>
  <c r="F27732" i="1"/>
  <c r="F27733" i="1"/>
  <c r="F27734" i="1"/>
  <c r="F27735" i="1"/>
  <c r="F27736" i="1"/>
  <c r="F27737" i="1"/>
  <c r="F27738" i="1"/>
  <c r="F27739" i="1"/>
  <c r="F27740" i="1"/>
  <c r="F27741" i="1"/>
  <c r="F27742" i="1"/>
  <c r="F27743" i="1"/>
  <c r="F27744" i="1"/>
  <c r="F27745" i="1"/>
  <c r="F27746" i="1"/>
  <c r="F27747" i="1"/>
  <c r="F27748" i="1"/>
  <c r="F27749" i="1"/>
  <c r="F27750" i="1"/>
  <c r="F27751" i="1"/>
  <c r="F27752" i="1"/>
  <c r="F27753" i="1"/>
  <c r="F27754" i="1"/>
  <c r="F27755" i="1"/>
  <c r="F27756" i="1"/>
  <c r="F27757" i="1"/>
  <c r="F27758" i="1"/>
  <c r="F27759" i="1"/>
  <c r="F27760" i="1"/>
  <c r="F27761" i="1"/>
  <c r="F27762" i="1"/>
  <c r="F27763" i="1"/>
  <c r="F27764" i="1"/>
  <c r="F27765" i="1"/>
  <c r="F27766" i="1"/>
  <c r="F27767" i="1"/>
  <c r="F27768" i="1"/>
  <c r="F27769" i="1"/>
  <c r="F27770" i="1"/>
  <c r="F27771" i="1"/>
  <c r="F27772" i="1"/>
  <c r="F27773" i="1"/>
  <c r="F27774" i="1"/>
  <c r="F27775" i="1"/>
  <c r="F27776" i="1"/>
  <c r="F27777" i="1"/>
  <c r="F27778" i="1"/>
  <c r="F27779" i="1"/>
  <c r="F27780" i="1"/>
  <c r="F27781" i="1"/>
  <c r="F27782" i="1"/>
  <c r="F27783" i="1"/>
  <c r="F27784" i="1"/>
  <c r="F27785" i="1"/>
  <c r="F27786" i="1"/>
  <c r="F27787" i="1"/>
  <c r="F27788" i="1"/>
  <c r="F27789" i="1"/>
  <c r="F27790" i="1"/>
  <c r="F27791" i="1"/>
  <c r="F27792" i="1"/>
  <c r="F27793" i="1"/>
  <c r="F27794" i="1"/>
  <c r="F27795" i="1"/>
  <c r="F27796" i="1"/>
  <c r="F27797" i="1"/>
  <c r="F27798" i="1"/>
  <c r="F27799" i="1"/>
  <c r="F27800" i="1"/>
  <c r="F27801" i="1"/>
  <c r="F27802" i="1"/>
  <c r="F27803" i="1"/>
  <c r="F27804" i="1"/>
  <c r="F27805" i="1"/>
  <c r="F27806" i="1"/>
  <c r="F27807" i="1"/>
  <c r="F27808" i="1"/>
  <c r="F27809" i="1"/>
  <c r="F27810" i="1"/>
  <c r="F27811" i="1"/>
  <c r="F27812" i="1"/>
  <c r="F27813" i="1"/>
  <c r="F27814" i="1"/>
  <c r="F27815" i="1"/>
  <c r="F27816" i="1"/>
  <c r="F27817" i="1"/>
  <c r="F27818" i="1"/>
  <c r="F27819" i="1"/>
  <c r="F27820" i="1"/>
  <c r="F27821" i="1"/>
  <c r="F27822" i="1"/>
  <c r="F27823" i="1"/>
  <c r="F27824" i="1"/>
  <c r="F27825" i="1"/>
  <c r="F27826" i="1"/>
  <c r="F27827" i="1"/>
  <c r="F27828" i="1"/>
  <c r="F27829" i="1"/>
  <c r="F27830" i="1"/>
  <c r="F27831" i="1"/>
  <c r="F27832" i="1"/>
  <c r="F27833" i="1"/>
  <c r="F27834" i="1"/>
  <c r="F27835" i="1"/>
  <c r="F27836" i="1"/>
  <c r="F27837" i="1"/>
  <c r="F27838" i="1"/>
  <c r="F27839" i="1"/>
  <c r="F27840" i="1"/>
  <c r="F27841" i="1"/>
  <c r="F27842" i="1"/>
  <c r="F27843" i="1"/>
  <c r="F27844" i="1"/>
  <c r="F27845" i="1"/>
  <c r="F27846" i="1"/>
  <c r="F27847" i="1"/>
  <c r="F27848" i="1"/>
  <c r="F27849" i="1"/>
  <c r="F27850" i="1"/>
  <c r="F27851" i="1"/>
  <c r="F27852" i="1"/>
  <c r="F27853" i="1"/>
  <c r="F27854" i="1"/>
  <c r="F27855" i="1"/>
  <c r="F27856" i="1"/>
  <c r="F27857" i="1"/>
  <c r="F27858" i="1"/>
  <c r="F27859" i="1"/>
  <c r="F27860" i="1"/>
  <c r="F27861" i="1"/>
  <c r="F27862" i="1"/>
  <c r="F27863" i="1"/>
  <c r="F27864" i="1"/>
  <c r="F27865" i="1"/>
  <c r="F27866" i="1"/>
  <c r="F27867" i="1"/>
  <c r="F27868" i="1"/>
  <c r="F27869" i="1"/>
  <c r="F27870" i="1"/>
  <c r="F27871" i="1"/>
  <c r="F27872" i="1"/>
  <c r="F27873" i="1"/>
  <c r="F27874" i="1"/>
  <c r="F27875" i="1"/>
  <c r="F27876" i="1"/>
  <c r="F27877" i="1"/>
  <c r="F27878" i="1"/>
  <c r="F27879" i="1"/>
  <c r="F27880" i="1"/>
  <c r="F27881" i="1"/>
  <c r="F27882" i="1"/>
  <c r="F27883" i="1"/>
  <c r="F27884" i="1"/>
  <c r="F27885" i="1"/>
  <c r="F27886" i="1"/>
  <c r="F27887" i="1"/>
  <c r="F27888" i="1"/>
  <c r="F27889" i="1"/>
  <c r="F27890" i="1"/>
  <c r="F27891" i="1"/>
  <c r="F27892" i="1"/>
  <c r="F27893" i="1"/>
  <c r="F27894" i="1"/>
  <c r="F27895" i="1"/>
  <c r="F27896" i="1"/>
  <c r="F27897" i="1"/>
  <c r="F27898" i="1"/>
  <c r="F27899" i="1"/>
  <c r="F27900" i="1"/>
  <c r="F27901" i="1"/>
  <c r="F27902" i="1"/>
  <c r="F27903" i="1"/>
  <c r="F27904" i="1"/>
  <c r="F27905" i="1"/>
  <c r="F27906" i="1"/>
  <c r="F27907" i="1"/>
  <c r="F27908" i="1"/>
  <c r="F27909" i="1"/>
  <c r="F27910" i="1"/>
  <c r="F27911" i="1"/>
  <c r="F27912" i="1"/>
  <c r="F27913" i="1"/>
  <c r="F27914" i="1"/>
  <c r="F27915" i="1"/>
  <c r="F27916" i="1"/>
  <c r="F27917" i="1"/>
  <c r="F27918" i="1"/>
  <c r="F27919" i="1"/>
  <c r="F27920" i="1"/>
  <c r="F27921" i="1"/>
  <c r="F27922" i="1"/>
  <c r="F27923" i="1"/>
  <c r="F27924" i="1"/>
  <c r="F27925" i="1"/>
  <c r="F27926" i="1"/>
  <c r="F27927" i="1"/>
  <c r="F27928" i="1"/>
  <c r="F27929" i="1"/>
  <c r="F27930" i="1"/>
  <c r="F27931" i="1"/>
  <c r="F27932" i="1"/>
  <c r="F27933" i="1"/>
  <c r="F27934" i="1"/>
  <c r="F27935" i="1"/>
  <c r="F27936" i="1"/>
  <c r="F27937" i="1"/>
  <c r="F27938" i="1"/>
  <c r="F27939" i="1"/>
  <c r="F27940" i="1"/>
  <c r="F27941" i="1"/>
  <c r="F27942" i="1"/>
  <c r="F27943" i="1"/>
  <c r="F27944" i="1"/>
  <c r="F27945" i="1"/>
  <c r="F27946" i="1"/>
  <c r="F27947" i="1"/>
  <c r="F27948" i="1"/>
  <c r="F27949" i="1"/>
  <c r="F27950" i="1"/>
  <c r="F27951" i="1"/>
  <c r="F27952" i="1"/>
  <c r="F27953" i="1"/>
  <c r="F27954" i="1"/>
  <c r="F27955" i="1"/>
  <c r="F27956" i="1"/>
  <c r="F27957" i="1"/>
  <c r="F27958" i="1"/>
  <c r="F27959" i="1"/>
  <c r="F27960" i="1"/>
  <c r="F27961" i="1"/>
  <c r="F27962" i="1"/>
  <c r="F27963" i="1"/>
  <c r="F27964" i="1"/>
  <c r="F27965" i="1"/>
  <c r="F27966" i="1"/>
  <c r="F27967" i="1"/>
  <c r="F27968" i="1"/>
  <c r="F27969" i="1"/>
  <c r="F27970" i="1"/>
  <c r="F27971" i="1"/>
  <c r="F27972" i="1"/>
  <c r="F27973" i="1"/>
  <c r="F27974" i="1"/>
  <c r="F27975" i="1"/>
  <c r="F27976" i="1"/>
  <c r="F27977" i="1"/>
  <c r="F27978" i="1"/>
  <c r="F27979" i="1"/>
  <c r="F27980" i="1"/>
  <c r="F27981" i="1"/>
  <c r="F27982" i="1"/>
  <c r="F27983" i="1"/>
  <c r="F27984" i="1"/>
  <c r="F27985" i="1"/>
  <c r="F27986" i="1"/>
  <c r="F27987" i="1"/>
  <c r="F27988" i="1"/>
  <c r="F27989" i="1"/>
  <c r="F27990" i="1"/>
  <c r="F27991" i="1"/>
  <c r="F27992" i="1"/>
  <c r="F27993" i="1"/>
  <c r="F27994" i="1"/>
  <c r="F27995" i="1"/>
  <c r="F27996" i="1"/>
  <c r="F27997" i="1"/>
  <c r="F27998" i="1"/>
  <c r="F27999" i="1"/>
  <c r="F28000" i="1"/>
  <c r="F28001" i="1"/>
  <c r="F28002" i="1"/>
  <c r="F28003" i="1"/>
  <c r="F28004" i="1"/>
  <c r="F28005" i="1"/>
  <c r="F28006" i="1"/>
  <c r="F28007" i="1"/>
  <c r="F28008" i="1"/>
  <c r="F28009" i="1"/>
  <c r="F28010" i="1"/>
  <c r="F28011" i="1"/>
  <c r="F28012" i="1"/>
  <c r="F28013" i="1"/>
  <c r="F28014" i="1"/>
  <c r="F28015" i="1"/>
  <c r="F28016" i="1"/>
  <c r="F28017" i="1"/>
  <c r="F28018" i="1"/>
  <c r="F28019" i="1"/>
  <c r="F28020" i="1"/>
  <c r="F28021" i="1"/>
  <c r="F28022" i="1"/>
  <c r="F28023" i="1"/>
  <c r="F28024" i="1"/>
  <c r="F28025" i="1"/>
  <c r="F28026" i="1"/>
  <c r="F28027" i="1"/>
  <c r="F28028" i="1"/>
  <c r="F28029" i="1"/>
  <c r="F28030" i="1"/>
  <c r="F28031" i="1"/>
  <c r="F28032" i="1"/>
  <c r="F28033" i="1"/>
  <c r="F28034" i="1"/>
  <c r="F28035" i="1"/>
  <c r="F28036" i="1"/>
  <c r="F28037" i="1"/>
  <c r="F28038" i="1"/>
  <c r="F28039" i="1"/>
  <c r="F28040" i="1"/>
  <c r="F28041" i="1"/>
  <c r="F28042" i="1"/>
  <c r="F28043" i="1"/>
  <c r="F28044" i="1"/>
  <c r="F28045" i="1"/>
  <c r="F28046" i="1"/>
  <c r="F28047" i="1"/>
  <c r="F28048" i="1"/>
  <c r="F28049" i="1"/>
  <c r="F28050" i="1"/>
  <c r="F28051" i="1"/>
  <c r="F28052" i="1"/>
  <c r="F28053" i="1"/>
  <c r="F28054" i="1"/>
  <c r="F28055" i="1"/>
  <c r="F28056" i="1"/>
  <c r="F28057" i="1"/>
  <c r="F28058" i="1"/>
  <c r="F28059" i="1"/>
  <c r="F28060" i="1"/>
  <c r="F28061" i="1"/>
  <c r="F28062" i="1"/>
  <c r="F28063" i="1"/>
  <c r="F28064" i="1"/>
  <c r="F28065" i="1"/>
  <c r="F28066" i="1"/>
  <c r="F28067" i="1"/>
  <c r="F28068" i="1"/>
  <c r="F28069" i="1"/>
  <c r="F28070" i="1"/>
  <c r="F28071" i="1"/>
  <c r="F28072" i="1"/>
  <c r="F28073" i="1"/>
  <c r="F28074" i="1"/>
  <c r="F28075" i="1"/>
  <c r="F28076" i="1"/>
  <c r="F28077" i="1"/>
  <c r="F28078" i="1"/>
  <c r="F28079" i="1"/>
  <c r="F28080" i="1"/>
  <c r="F28081" i="1"/>
  <c r="F28082" i="1"/>
  <c r="F28083" i="1"/>
  <c r="F28084" i="1"/>
  <c r="F28085" i="1"/>
  <c r="F28086" i="1"/>
  <c r="F28087" i="1"/>
  <c r="F28088" i="1"/>
  <c r="F28089" i="1"/>
  <c r="F28090" i="1"/>
  <c r="F28091" i="1"/>
  <c r="F28092" i="1"/>
  <c r="F28093" i="1"/>
  <c r="F28094" i="1"/>
  <c r="F28095" i="1"/>
  <c r="F28096" i="1"/>
  <c r="F28097" i="1"/>
  <c r="F28098" i="1"/>
  <c r="F28099" i="1"/>
  <c r="F28100" i="1"/>
  <c r="F28101" i="1"/>
  <c r="F28102" i="1"/>
  <c r="F28103" i="1"/>
  <c r="F28104" i="1"/>
  <c r="F28105" i="1"/>
  <c r="F28106" i="1"/>
  <c r="F28107" i="1"/>
  <c r="F28108" i="1"/>
  <c r="F28109" i="1"/>
  <c r="F28110" i="1"/>
  <c r="F28111" i="1"/>
  <c r="F28112" i="1"/>
  <c r="F28113" i="1"/>
  <c r="F28114" i="1"/>
  <c r="F28115" i="1"/>
  <c r="F28116" i="1"/>
  <c r="F28117" i="1"/>
  <c r="F28118" i="1"/>
  <c r="F28119" i="1"/>
  <c r="F28120" i="1"/>
  <c r="F28121" i="1"/>
  <c r="F28122" i="1"/>
  <c r="F28123" i="1"/>
  <c r="F28124" i="1"/>
  <c r="F28125" i="1"/>
  <c r="F28126" i="1"/>
  <c r="F28127" i="1"/>
  <c r="F28128" i="1"/>
  <c r="F28129" i="1"/>
  <c r="F28130" i="1"/>
  <c r="F28131" i="1"/>
  <c r="F28132" i="1"/>
  <c r="F28133" i="1"/>
  <c r="F28134" i="1"/>
  <c r="F28135" i="1"/>
  <c r="F28136" i="1"/>
  <c r="F28137" i="1"/>
  <c r="F28138" i="1"/>
  <c r="F28139" i="1"/>
  <c r="F28140" i="1"/>
  <c r="F28141" i="1"/>
  <c r="F28142" i="1"/>
  <c r="F28143" i="1"/>
  <c r="F28144" i="1"/>
  <c r="F28145" i="1"/>
  <c r="F28146" i="1"/>
  <c r="F28147" i="1"/>
  <c r="F28148" i="1"/>
  <c r="F28149" i="1"/>
  <c r="F28150" i="1"/>
  <c r="F28151" i="1"/>
  <c r="F28152" i="1"/>
  <c r="F28153" i="1"/>
  <c r="F28154" i="1"/>
  <c r="F28155" i="1"/>
  <c r="F28156" i="1"/>
  <c r="F28157" i="1"/>
  <c r="F28158" i="1"/>
  <c r="F28159" i="1"/>
  <c r="F28160" i="1"/>
  <c r="F28161" i="1"/>
  <c r="F28162" i="1"/>
  <c r="F28163" i="1"/>
  <c r="F28164" i="1"/>
  <c r="F28165" i="1"/>
  <c r="F28166" i="1"/>
  <c r="F28167" i="1"/>
  <c r="F28168" i="1"/>
  <c r="F28169" i="1"/>
  <c r="F28170" i="1"/>
  <c r="F28171" i="1"/>
  <c r="F28172" i="1"/>
  <c r="F28173" i="1"/>
  <c r="F28174" i="1"/>
  <c r="F28175" i="1"/>
  <c r="F28176" i="1"/>
  <c r="F28177" i="1"/>
  <c r="F28178" i="1"/>
  <c r="F28179" i="1"/>
  <c r="F28180" i="1"/>
  <c r="F28181" i="1"/>
  <c r="F28182" i="1"/>
  <c r="F28183" i="1"/>
  <c r="F28184" i="1"/>
  <c r="F28185" i="1"/>
  <c r="F28186" i="1"/>
  <c r="F28187" i="1"/>
  <c r="F28188" i="1"/>
  <c r="F28189" i="1"/>
  <c r="F28190" i="1"/>
  <c r="F28191" i="1"/>
  <c r="F28192" i="1"/>
  <c r="F28193" i="1"/>
  <c r="F28194" i="1"/>
  <c r="F28195" i="1"/>
  <c r="F28196" i="1"/>
  <c r="F28197" i="1"/>
  <c r="F28198" i="1"/>
  <c r="F28199" i="1"/>
  <c r="F28200" i="1"/>
  <c r="F28201" i="1"/>
  <c r="F28202" i="1"/>
  <c r="F28203" i="1"/>
  <c r="F28204" i="1"/>
  <c r="F28205" i="1"/>
  <c r="F28206" i="1"/>
  <c r="F28207" i="1"/>
  <c r="F28208" i="1"/>
  <c r="F28209" i="1"/>
  <c r="F28210" i="1"/>
  <c r="F28211" i="1"/>
  <c r="F28212" i="1"/>
  <c r="F28213" i="1"/>
  <c r="F28214" i="1"/>
  <c r="F28215" i="1"/>
  <c r="F28216" i="1"/>
  <c r="F28217" i="1"/>
  <c r="F28218" i="1"/>
  <c r="F28219" i="1"/>
  <c r="F28220" i="1"/>
  <c r="F28221" i="1"/>
  <c r="F28222" i="1"/>
  <c r="F28223" i="1"/>
  <c r="F28224" i="1"/>
  <c r="F28225" i="1"/>
  <c r="F28226" i="1"/>
  <c r="F28227" i="1"/>
  <c r="F28228" i="1"/>
  <c r="F28229" i="1"/>
  <c r="F28230" i="1"/>
  <c r="F28231" i="1"/>
  <c r="F28232" i="1"/>
  <c r="F28233" i="1"/>
  <c r="F28234" i="1"/>
  <c r="F28235" i="1"/>
  <c r="F28236" i="1"/>
  <c r="F28237" i="1"/>
  <c r="F28238" i="1"/>
  <c r="F28239" i="1"/>
  <c r="F28240" i="1"/>
  <c r="F28241" i="1"/>
  <c r="F28242" i="1"/>
  <c r="F28243" i="1"/>
  <c r="F28244" i="1"/>
  <c r="F28245" i="1"/>
  <c r="F28246" i="1"/>
  <c r="F28247" i="1"/>
  <c r="F28248" i="1"/>
  <c r="F28249" i="1"/>
  <c r="F28250" i="1"/>
  <c r="F28251" i="1"/>
  <c r="F28252" i="1"/>
  <c r="F28253" i="1"/>
  <c r="F28254" i="1"/>
  <c r="F28255" i="1"/>
  <c r="F28256" i="1"/>
  <c r="F28257" i="1"/>
  <c r="F28258" i="1"/>
  <c r="F28259" i="1"/>
  <c r="F28260" i="1"/>
  <c r="F28261" i="1"/>
  <c r="F28262" i="1"/>
  <c r="F28263" i="1"/>
  <c r="F28264" i="1"/>
  <c r="F28265" i="1"/>
  <c r="F28266" i="1"/>
  <c r="F28267" i="1"/>
  <c r="F28268" i="1"/>
  <c r="F28269" i="1"/>
  <c r="F28270" i="1"/>
  <c r="F28271" i="1"/>
  <c r="F28272" i="1"/>
  <c r="F28273" i="1"/>
  <c r="F28274" i="1"/>
  <c r="F28275" i="1"/>
  <c r="F28276" i="1"/>
  <c r="F28277" i="1"/>
  <c r="F28278" i="1"/>
  <c r="F28279" i="1"/>
  <c r="F28280" i="1"/>
  <c r="F28281" i="1"/>
  <c r="F28282" i="1"/>
  <c r="F28283" i="1"/>
  <c r="F28284" i="1"/>
  <c r="F28285" i="1"/>
  <c r="F28286" i="1"/>
  <c r="F28287" i="1"/>
  <c r="F28288" i="1"/>
  <c r="F28289" i="1"/>
  <c r="F28290" i="1"/>
  <c r="F28291" i="1"/>
  <c r="F28292" i="1"/>
  <c r="F28293" i="1"/>
  <c r="F28294" i="1"/>
  <c r="F28295" i="1"/>
  <c r="F28296" i="1"/>
  <c r="F28297" i="1"/>
  <c r="F28298" i="1"/>
  <c r="F28299" i="1"/>
  <c r="F28300" i="1"/>
  <c r="F28301" i="1"/>
  <c r="F28302" i="1"/>
  <c r="F28303" i="1"/>
  <c r="F28304" i="1"/>
  <c r="F28305" i="1"/>
  <c r="F28306" i="1"/>
  <c r="F28307" i="1"/>
  <c r="F28308" i="1"/>
  <c r="F28309" i="1"/>
  <c r="F28310" i="1"/>
  <c r="F28311" i="1"/>
  <c r="F28312" i="1"/>
  <c r="F28313" i="1"/>
  <c r="F28314" i="1"/>
  <c r="F28315" i="1"/>
  <c r="F28316" i="1"/>
  <c r="F28317" i="1"/>
  <c r="F28318" i="1"/>
  <c r="F28319" i="1"/>
  <c r="F28320" i="1"/>
  <c r="F28321" i="1"/>
  <c r="F28322" i="1"/>
  <c r="F28323" i="1"/>
  <c r="F28324" i="1"/>
  <c r="F28325" i="1"/>
  <c r="F28326" i="1"/>
  <c r="F28327" i="1"/>
  <c r="F28328" i="1"/>
  <c r="F28329" i="1"/>
  <c r="F28330" i="1"/>
  <c r="F28331" i="1"/>
  <c r="F28332" i="1"/>
  <c r="F28333" i="1"/>
  <c r="F28334" i="1"/>
  <c r="F28335" i="1"/>
  <c r="F28336" i="1"/>
  <c r="F28337" i="1"/>
  <c r="F28338" i="1"/>
  <c r="F28339" i="1"/>
  <c r="F28340" i="1"/>
  <c r="F28341" i="1"/>
  <c r="F28342" i="1"/>
  <c r="F28343" i="1"/>
  <c r="F28344" i="1"/>
  <c r="F28345" i="1"/>
  <c r="F28346" i="1"/>
  <c r="F28347" i="1"/>
  <c r="F28348" i="1"/>
  <c r="F28349" i="1"/>
  <c r="F28350" i="1"/>
  <c r="F28351" i="1"/>
  <c r="F28352" i="1"/>
  <c r="F28353" i="1"/>
  <c r="F28354" i="1"/>
  <c r="F28355" i="1"/>
  <c r="F28356" i="1"/>
  <c r="F28357" i="1"/>
  <c r="F28358" i="1"/>
  <c r="F28359" i="1"/>
  <c r="F28360" i="1"/>
  <c r="F28361" i="1"/>
  <c r="F28362" i="1"/>
  <c r="F28363" i="1"/>
  <c r="F28364" i="1"/>
  <c r="F28365" i="1"/>
  <c r="F28366" i="1"/>
  <c r="F28367" i="1"/>
  <c r="F28368" i="1"/>
  <c r="F28369" i="1"/>
  <c r="F28370" i="1"/>
  <c r="F28371" i="1"/>
  <c r="F28372" i="1"/>
  <c r="F28373" i="1"/>
  <c r="F28374" i="1"/>
  <c r="F28375" i="1"/>
  <c r="F28376" i="1"/>
  <c r="F28377" i="1"/>
  <c r="F28378" i="1"/>
  <c r="F28379" i="1"/>
  <c r="F28380" i="1"/>
  <c r="F28381" i="1"/>
  <c r="F28382" i="1"/>
  <c r="F28383" i="1"/>
  <c r="F28384" i="1"/>
  <c r="F28385" i="1"/>
  <c r="F28386" i="1"/>
  <c r="F28387" i="1"/>
  <c r="F28388" i="1"/>
  <c r="F28389" i="1"/>
  <c r="F28390" i="1"/>
  <c r="F28391" i="1"/>
  <c r="F28392" i="1"/>
  <c r="F28393" i="1"/>
  <c r="F28394" i="1"/>
  <c r="F28395" i="1"/>
  <c r="F28396" i="1"/>
  <c r="F28397" i="1"/>
  <c r="F28398" i="1"/>
  <c r="F28399" i="1"/>
  <c r="F28400" i="1"/>
  <c r="F28401" i="1"/>
  <c r="F28402" i="1"/>
  <c r="F28403" i="1"/>
  <c r="F28404" i="1"/>
  <c r="F28405" i="1"/>
  <c r="F28406" i="1"/>
  <c r="F28407" i="1"/>
  <c r="F28408" i="1"/>
  <c r="F28409" i="1"/>
  <c r="F28410" i="1"/>
  <c r="F28411" i="1"/>
  <c r="F28412" i="1"/>
  <c r="F28413" i="1"/>
  <c r="F28414" i="1"/>
  <c r="F28415" i="1"/>
  <c r="F28416" i="1"/>
  <c r="F28417" i="1"/>
  <c r="F28418" i="1"/>
  <c r="F28419" i="1"/>
  <c r="F28420" i="1"/>
  <c r="F28421" i="1"/>
  <c r="F28422" i="1"/>
  <c r="F28423" i="1"/>
  <c r="F28424" i="1"/>
  <c r="F28425" i="1"/>
  <c r="F28426" i="1"/>
  <c r="F28427" i="1"/>
  <c r="F28428" i="1"/>
  <c r="F28429" i="1"/>
  <c r="F28430" i="1"/>
  <c r="F28431" i="1"/>
  <c r="F28432" i="1"/>
  <c r="F28433" i="1"/>
  <c r="F28434" i="1"/>
  <c r="F28435" i="1"/>
  <c r="F28436" i="1"/>
  <c r="F28437" i="1"/>
  <c r="F28438" i="1"/>
  <c r="F28439" i="1"/>
  <c r="F28440" i="1"/>
  <c r="F28441" i="1"/>
  <c r="F28442" i="1"/>
  <c r="F28443" i="1"/>
  <c r="F28444" i="1"/>
  <c r="F28445" i="1"/>
  <c r="F28446" i="1"/>
  <c r="F28447" i="1"/>
  <c r="F28448" i="1"/>
  <c r="F28449" i="1"/>
  <c r="F28450" i="1"/>
  <c r="F28451" i="1"/>
  <c r="F28452" i="1"/>
  <c r="F28453" i="1"/>
  <c r="F28454" i="1"/>
  <c r="F28455" i="1"/>
  <c r="F28456" i="1"/>
  <c r="F28457" i="1"/>
  <c r="F28458" i="1"/>
  <c r="F28459" i="1"/>
  <c r="F28460" i="1"/>
  <c r="F28461" i="1"/>
  <c r="F28462" i="1"/>
  <c r="F28463" i="1"/>
  <c r="F28464" i="1"/>
  <c r="F28465" i="1"/>
  <c r="F28466" i="1"/>
  <c r="F28467" i="1"/>
  <c r="F28468" i="1"/>
  <c r="F28469" i="1"/>
  <c r="F28470" i="1"/>
  <c r="F28471" i="1"/>
  <c r="F28472" i="1"/>
  <c r="F28473" i="1"/>
  <c r="F28474" i="1"/>
  <c r="F28475" i="1"/>
  <c r="F28476" i="1"/>
  <c r="F28477" i="1"/>
  <c r="F28478" i="1"/>
  <c r="F28479" i="1"/>
  <c r="F28480" i="1"/>
  <c r="F28481" i="1"/>
  <c r="F28482" i="1"/>
  <c r="F28483" i="1"/>
  <c r="F28484" i="1"/>
  <c r="F28485" i="1"/>
  <c r="F28486" i="1"/>
  <c r="F28487" i="1"/>
  <c r="F28488" i="1"/>
  <c r="F28489" i="1"/>
  <c r="F28490" i="1"/>
  <c r="F28491" i="1"/>
  <c r="F28492" i="1"/>
  <c r="F28493" i="1"/>
  <c r="F28494" i="1"/>
  <c r="F28495" i="1"/>
  <c r="F28496" i="1"/>
  <c r="F28497" i="1"/>
  <c r="F28498" i="1"/>
  <c r="F28499" i="1"/>
  <c r="F28500" i="1"/>
  <c r="F28501" i="1"/>
  <c r="F28502" i="1"/>
  <c r="F28503" i="1"/>
  <c r="F28504" i="1"/>
  <c r="F28505" i="1"/>
  <c r="F28506" i="1"/>
  <c r="F28507" i="1"/>
  <c r="F28508" i="1"/>
  <c r="F28509" i="1"/>
  <c r="F28510" i="1"/>
  <c r="F28511" i="1"/>
  <c r="F28512" i="1"/>
  <c r="F28513" i="1"/>
  <c r="F28514" i="1"/>
  <c r="F28515" i="1"/>
  <c r="F28516" i="1"/>
  <c r="F28517" i="1"/>
  <c r="F28518" i="1"/>
  <c r="F28519" i="1"/>
  <c r="F28520" i="1"/>
  <c r="F28521" i="1"/>
  <c r="F28522" i="1"/>
  <c r="F28523" i="1"/>
  <c r="F28524" i="1"/>
  <c r="F28525" i="1"/>
  <c r="F28526" i="1"/>
  <c r="F28527" i="1"/>
  <c r="F28528" i="1"/>
  <c r="F28529" i="1"/>
  <c r="F28530" i="1"/>
  <c r="F28531" i="1"/>
  <c r="F28532" i="1"/>
  <c r="F28533" i="1"/>
  <c r="F28534" i="1"/>
  <c r="F28535" i="1"/>
  <c r="F28536" i="1"/>
  <c r="F28537" i="1"/>
  <c r="F28538" i="1"/>
  <c r="F28539" i="1"/>
  <c r="F28540" i="1"/>
  <c r="F28541" i="1"/>
  <c r="F28542" i="1"/>
  <c r="F28543" i="1"/>
  <c r="F28544" i="1"/>
  <c r="F28545" i="1"/>
  <c r="F28546" i="1"/>
  <c r="F28547" i="1"/>
  <c r="F28548" i="1"/>
  <c r="F28549" i="1"/>
  <c r="F28550" i="1"/>
  <c r="F28551" i="1"/>
  <c r="F28552" i="1"/>
  <c r="F28553" i="1"/>
  <c r="F28554" i="1"/>
  <c r="F28555" i="1"/>
  <c r="F28556" i="1"/>
  <c r="F28557" i="1"/>
  <c r="F28558" i="1"/>
  <c r="F28559" i="1"/>
  <c r="F28560" i="1"/>
  <c r="F28561" i="1"/>
  <c r="F28562" i="1"/>
  <c r="F28563" i="1"/>
  <c r="F28564" i="1"/>
  <c r="F28565" i="1"/>
  <c r="F28566" i="1"/>
  <c r="F28567" i="1"/>
  <c r="F28568" i="1"/>
  <c r="F28569" i="1"/>
  <c r="F28570" i="1"/>
  <c r="F28571" i="1"/>
  <c r="F28572" i="1"/>
  <c r="F28573" i="1"/>
  <c r="F28574" i="1"/>
  <c r="F28575" i="1"/>
  <c r="F28576" i="1"/>
  <c r="F28577" i="1"/>
  <c r="F28578" i="1"/>
  <c r="F28579" i="1"/>
  <c r="F28580" i="1"/>
  <c r="F28581" i="1"/>
  <c r="F28582" i="1"/>
  <c r="F28583" i="1"/>
  <c r="F28584" i="1"/>
  <c r="F28585" i="1"/>
  <c r="F28586" i="1"/>
  <c r="F28587" i="1"/>
  <c r="F28588" i="1"/>
  <c r="F28589" i="1"/>
  <c r="F28590" i="1"/>
  <c r="F28591" i="1"/>
  <c r="F28592" i="1"/>
  <c r="F28593" i="1"/>
  <c r="F28594" i="1"/>
  <c r="F28595" i="1"/>
  <c r="F28596" i="1"/>
  <c r="F28597" i="1"/>
  <c r="F28598" i="1"/>
  <c r="F28599" i="1"/>
  <c r="F28600" i="1"/>
  <c r="F28601" i="1"/>
  <c r="F28602" i="1"/>
  <c r="F28603" i="1"/>
  <c r="F28604" i="1"/>
  <c r="F28605" i="1"/>
  <c r="F28606" i="1"/>
  <c r="F28607" i="1"/>
  <c r="F28608" i="1"/>
  <c r="F28609" i="1"/>
  <c r="F28610" i="1"/>
  <c r="F28611" i="1"/>
  <c r="F28612" i="1"/>
  <c r="F28613" i="1"/>
  <c r="F28614" i="1"/>
  <c r="F28615" i="1"/>
  <c r="F28616" i="1"/>
  <c r="F28617" i="1"/>
  <c r="F28618" i="1"/>
  <c r="F28619" i="1"/>
  <c r="F28620" i="1"/>
  <c r="F28621" i="1"/>
  <c r="F28622" i="1"/>
  <c r="F28623" i="1"/>
  <c r="F28624" i="1"/>
  <c r="F28625" i="1"/>
  <c r="F28626" i="1"/>
  <c r="F28627" i="1"/>
  <c r="F28628" i="1"/>
  <c r="F28629" i="1"/>
  <c r="F28630" i="1"/>
  <c r="F28631" i="1"/>
  <c r="F28632" i="1"/>
  <c r="F28633" i="1"/>
  <c r="F28634" i="1"/>
  <c r="F28635" i="1"/>
  <c r="F28636" i="1"/>
  <c r="F28637" i="1"/>
  <c r="F28638" i="1"/>
  <c r="F28639" i="1"/>
  <c r="F28640" i="1"/>
  <c r="F28641" i="1"/>
  <c r="F28642" i="1"/>
  <c r="F28643" i="1"/>
  <c r="F28644" i="1"/>
  <c r="F28645" i="1"/>
  <c r="F28646" i="1"/>
  <c r="F28647" i="1"/>
  <c r="F28648" i="1"/>
  <c r="F28649" i="1"/>
  <c r="F28650" i="1"/>
  <c r="F28651" i="1"/>
  <c r="F28652" i="1"/>
  <c r="F28653" i="1"/>
  <c r="F28654" i="1"/>
  <c r="F28655" i="1"/>
  <c r="F28656" i="1"/>
  <c r="F28657" i="1"/>
  <c r="F28658" i="1"/>
  <c r="F28659" i="1"/>
  <c r="F28660" i="1"/>
  <c r="F28661" i="1"/>
  <c r="F28662" i="1"/>
  <c r="F28663" i="1"/>
  <c r="F28664" i="1"/>
  <c r="F28665" i="1"/>
  <c r="F28666" i="1"/>
  <c r="F28667" i="1"/>
  <c r="F28668" i="1"/>
  <c r="F28669" i="1"/>
  <c r="F28670" i="1"/>
  <c r="F28671" i="1"/>
  <c r="F28672" i="1"/>
  <c r="F28673" i="1"/>
  <c r="F28674" i="1"/>
  <c r="F28675" i="1"/>
  <c r="F28676" i="1"/>
  <c r="F28677" i="1"/>
  <c r="F28678" i="1"/>
  <c r="F28679" i="1"/>
  <c r="F28680" i="1"/>
  <c r="F28681" i="1"/>
  <c r="F28682" i="1"/>
  <c r="F28683" i="1"/>
  <c r="F28684" i="1"/>
  <c r="F28685" i="1"/>
  <c r="F28686" i="1"/>
  <c r="F28687" i="1"/>
  <c r="F28688" i="1"/>
  <c r="F28689" i="1"/>
  <c r="F28690" i="1"/>
  <c r="F28691" i="1"/>
  <c r="F28692" i="1"/>
  <c r="F28693" i="1"/>
  <c r="F28694" i="1"/>
  <c r="F28695" i="1"/>
  <c r="F28696" i="1"/>
  <c r="F28697" i="1"/>
  <c r="F28698" i="1"/>
  <c r="F28699" i="1"/>
  <c r="F28700" i="1"/>
  <c r="F28701" i="1"/>
  <c r="F28702" i="1"/>
  <c r="F28703" i="1"/>
  <c r="F28704" i="1"/>
  <c r="F28705" i="1"/>
  <c r="F28706" i="1"/>
  <c r="F28707" i="1"/>
  <c r="F28708" i="1"/>
  <c r="F28709" i="1"/>
  <c r="F28710" i="1"/>
  <c r="F28711" i="1"/>
  <c r="F28712" i="1"/>
  <c r="F28713" i="1"/>
  <c r="F28714" i="1"/>
  <c r="F28715" i="1"/>
  <c r="F28716" i="1"/>
  <c r="F28717" i="1"/>
  <c r="F28718" i="1"/>
  <c r="F28719" i="1"/>
  <c r="F28720" i="1"/>
  <c r="F28721" i="1"/>
  <c r="F28722" i="1"/>
  <c r="F28723" i="1"/>
  <c r="F28724" i="1"/>
  <c r="F28725" i="1"/>
  <c r="F28726" i="1"/>
  <c r="F28727" i="1"/>
  <c r="F28728" i="1"/>
  <c r="F28729" i="1"/>
  <c r="F28730" i="1"/>
  <c r="F28731" i="1"/>
  <c r="F28732" i="1"/>
  <c r="F28733" i="1"/>
  <c r="F28734" i="1"/>
  <c r="F28735" i="1"/>
  <c r="F28736" i="1"/>
  <c r="F28737" i="1"/>
  <c r="F28738" i="1"/>
  <c r="F28739" i="1"/>
  <c r="F28740" i="1"/>
  <c r="F28741" i="1"/>
  <c r="F28742" i="1"/>
  <c r="F28743" i="1"/>
  <c r="F28744" i="1"/>
  <c r="F28745" i="1"/>
  <c r="F28746" i="1"/>
  <c r="F28747" i="1"/>
  <c r="F28748" i="1"/>
  <c r="F28749" i="1"/>
  <c r="F28750" i="1"/>
  <c r="F28751" i="1"/>
  <c r="F28752" i="1"/>
  <c r="F28753" i="1"/>
  <c r="F28754" i="1"/>
  <c r="F28755" i="1"/>
  <c r="F28756" i="1"/>
  <c r="F28757" i="1"/>
  <c r="F28758" i="1"/>
  <c r="F28759" i="1"/>
  <c r="F28760" i="1"/>
  <c r="F28761" i="1"/>
  <c r="F28762" i="1"/>
  <c r="F28763" i="1"/>
  <c r="F28764" i="1"/>
  <c r="F28765" i="1"/>
  <c r="F28766" i="1"/>
  <c r="F28767" i="1"/>
  <c r="F28768" i="1"/>
  <c r="F28769" i="1"/>
  <c r="F28770" i="1"/>
  <c r="F28771" i="1"/>
  <c r="F28772" i="1"/>
  <c r="F28773" i="1"/>
  <c r="F28774" i="1"/>
  <c r="F28775" i="1"/>
  <c r="F28776" i="1"/>
  <c r="F28777" i="1"/>
  <c r="F28778" i="1"/>
  <c r="F28779" i="1"/>
  <c r="F28780" i="1"/>
  <c r="F28781" i="1"/>
  <c r="F28782" i="1"/>
  <c r="F28783" i="1"/>
  <c r="F28784" i="1"/>
  <c r="F28785" i="1"/>
  <c r="F28786" i="1"/>
  <c r="F28787" i="1"/>
  <c r="F28788" i="1"/>
  <c r="F28789" i="1"/>
  <c r="F28790" i="1"/>
  <c r="F28791" i="1"/>
  <c r="F28792" i="1"/>
  <c r="F28793" i="1"/>
  <c r="F28794" i="1"/>
  <c r="F28795" i="1"/>
  <c r="F28796" i="1"/>
  <c r="F28797" i="1"/>
  <c r="F28798" i="1"/>
  <c r="F28799" i="1"/>
  <c r="F28800" i="1"/>
  <c r="F28801" i="1"/>
  <c r="F28802" i="1"/>
  <c r="F28803" i="1"/>
  <c r="F28804" i="1"/>
  <c r="F28805" i="1"/>
  <c r="F28806" i="1"/>
  <c r="F28807" i="1"/>
  <c r="F28808" i="1"/>
  <c r="F28809" i="1"/>
  <c r="F28810" i="1"/>
  <c r="F28811" i="1"/>
  <c r="F28812" i="1"/>
  <c r="F28813" i="1"/>
  <c r="F28814" i="1"/>
  <c r="F28815" i="1"/>
  <c r="F28816" i="1"/>
  <c r="F28817" i="1"/>
  <c r="F28818" i="1"/>
  <c r="F28819" i="1"/>
  <c r="F28820" i="1"/>
  <c r="F28821" i="1"/>
  <c r="F28822" i="1"/>
  <c r="F28823" i="1"/>
  <c r="F28824" i="1"/>
  <c r="F28825" i="1"/>
  <c r="F28826" i="1"/>
  <c r="F28827" i="1"/>
  <c r="F28828" i="1"/>
  <c r="F28829" i="1"/>
  <c r="F28830" i="1"/>
  <c r="F28831" i="1"/>
  <c r="F28832" i="1"/>
  <c r="F28833" i="1"/>
  <c r="F28834" i="1"/>
  <c r="F28835" i="1"/>
  <c r="F28836" i="1"/>
  <c r="F28837" i="1"/>
  <c r="F28838" i="1"/>
  <c r="F28839" i="1"/>
  <c r="F28840" i="1"/>
  <c r="F28841" i="1"/>
  <c r="F28842" i="1"/>
  <c r="F28843" i="1"/>
  <c r="F28844" i="1"/>
  <c r="F28845" i="1"/>
  <c r="F28846" i="1"/>
  <c r="F28847" i="1"/>
  <c r="F28848" i="1"/>
  <c r="F28849" i="1"/>
  <c r="F28850" i="1"/>
  <c r="F28851" i="1"/>
  <c r="F28852" i="1"/>
  <c r="F28853" i="1"/>
  <c r="F28854" i="1"/>
  <c r="F28855" i="1"/>
  <c r="F28856" i="1"/>
  <c r="F28857" i="1"/>
  <c r="F28858" i="1"/>
  <c r="F28859" i="1"/>
  <c r="F28860" i="1"/>
  <c r="F28861" i="1"/>
  <c r="F28862" i="1"/>
  <c r="F28863" i="1"/>
  <c r="F28864" i="1"/>
  <c r="F28865" i="1"/>
  <c r="F28866" i="1"/>
  <c r="F28867" i="1"/>
  <c r="F28868" i="1"/>
  <c r="F28869" i="1"/>
  <c r="F28870" i="1"/>
  <c r="F28871" i="1"/>
  <c r="F28872" i="1"/>
  <c r="F28873" i="1"/>
  <c r="F28874" i="1"/>
  <c r="F28875" i="1"/>
  <c r="F28876" i="1"/>
  <c r="F28877" i="1"/>
  <c r="F28878" i="1"/>
  <c r="F28879" i="1"/>
  <c r="F28880" i="1"/>
  <c r="F28881" i="1"/>
  <c r="F28882" i="1"/>
  <c r="F28883" i="1"/>
  <c r="F28884" i="1"/>
  <c r="F28885" i="1"/>
  <c r="F28886" i="1"/>
  <c r="F28887" i="1"/>
  <c r="F28888" i="1"/>
  <c r="F28889" i="1"/>
  <c r="F28890" i="1"/>
  <c r="F28891" i="1"/>
  <c r="F28892" i="1"/>
  <c r="F28893" i="1"/>
  <c r="F28894" i="1"/>
  <c r="F28895" i="1"/>
  <c r="F28896" i="1"/>
  <c r="F28897" i="1"/>
  <c r="F28898" i="1"/>
  <c r="F28899" i="1"/>
  <c r="F28900" i="1"/>
  <c r="F28901" i="1"/>
  <c r="F28902" i="1"/>
  <c r="F28903" i="1"/>
  <c r="F28904" i="1"/>
  <c r="F28905" i="1"/>
  <c r="F28906" i="1"/>
  <c r="F28907" i="1"/>
  <c r="F28908" i="1"/>
  <c r="F28909" i="1"/>
  <c r="F28910" i="1"/>
  <c r="F28911" i="1"/>
  <c r="F28912" i="1"/>
  <c r="F28913" i="1"/>
  <c r="F28914" i="1"/>
  <c r="F28915" i="1"/>
  <c r="F28916" i="1"/>
  <c r="F28917" i="1"/>
  <c r="F28918" i="1"/>
  <c r="F28919" i="1"/>
  <c r="F28920" i="1"/>
  <c r="F28921" i="1"/>
  <c r="F28922" i="1"/>
  <c r="F28923" i="1"/>
  <c r="F28924" i="1"/>
  <c r="F28925" i="1"/>
  <c r="F28926" i="1"/>
  <c r="F28927" i="1"/>
  <c r="F28928" i="1"/>
  <c r="F28929" i="1"/>
  <c r="F28930" i="1"/>
  <c r="F28931" i="1"/>
  <c r="F28932" i="1"/>
  <c r="F28933" i="1"/>
  <c r="F28934" i="1"/>
  <c r="F28935" i="1"/>
  <c r="F28936" i="1"/>
  <c r="F28937" i="1"/>
  <c r="F28938" i="1"/>
  <c r="F28939" i="1"/>
  <c r="F28940" i="1"/>
  <c r="F28941" i="1"/>
  <c r="F28942" i="1"/>
  <c r="F28943" i="1"/>
  <c r="F28944" i="1"/>
  <c r="F28945" i="1"/>
  <c r="F28946" i="1"/>
  <c r="F28947" i="1"/>
  <c r="F28948" i="1"/>
  <c r="F28949" i="1"/>
  <c r="F28950" i="1"/>
  <c r="F28951" i="1"/>
  <c r="F28952" i="1"/>
  <c r="F28953" i="1"/>
  <c r="F28954" i="1"/>
  <c r="F28955" i="1"/>
  <c r="F28956" i="1"/>
  <c r="F28957" i="1"/>
  <c r="F28958" i="1"/>
  <c r="F28959" i="1"/>
  <c r="F28960" i="1"/>
  <c r="F28961" i="1"/>
  <c r="F28962" i="1"/>
  <c r="F28963" i="1"/>
  <c r="F28964" i="1"/>
  <c r="F28965" i="1"/>
  <c r="F28966" i="1"/>
  <c r="F28967" i="1"/>
  <c r="F28968" i="1"/>
  <c r="F28969" i="1"/>
  <c r="F28970" i="1"/>
  <c r="F28971" i="1"/>
  <c r="F28972" i="1"/>
  <c r="F28973" i="1"/>
  <c r="F28974" i="1"/>
  <c r="F28975" i="1"/>
  <c r="F28976" i="1"/>
  <c r="F28977" i="1"/>
  <c r="F28978" i="1"/>
  <c r="F28979" i="1"/>
  <c r="F28980" i="1"/>
  <c r="F28981" i="1"/>
  <c r="F28982" i="1"/>
  <c r="F28983" i="1"/>
  <c r="F28984" i="1"/>
  <c r="F28985" i="1"/>
  <c r="F28986" i="1"/>
  <c r="F28987" i="1"/>
  <c r="F28988" i="1"/>
  <c r="F28989" i="1"/>
  <c r="F28990" i="1"/>
  <c r="F28991" i="1"/>
  <c r="F28992" i="1"/>
  <c r="F28993" i="1"/>
  <c r="F28994" i="1"/>
  <c r="F28995" i="1"/>
  <c r="F28996" i="1"/>
  <c r="F28997" i="1"/>
  <c r="F28998" i="1"/>
  <c r="F28999" i="1"/>
  <c r="F29000" i="1"/>
  <c r="F29001" i="1"/>
  <c r="F29002" i="1"/>
  <c r="F29003" i="1"/>
  <c r="F29004" i="1"/>
  <c r="F29005" i="1"/>
  <c r="F29006" i="1"/>
  <c r="F29007" i="1"/>
  <c r="F29008" i="1"/>
  <c r="F29009" i="1"/>
  <c r="F29010" i="1"/>
  <c r="F29011" i="1"/>
  <c r="F29012" i="1"/>
  <c r="F29013" i="1"/>
  <c r="F29014" i="1"/>
  <c r="F29015" i="1"/>
  <c r="F29016" i="1"/>
  <c r="F29017" i="1"/>
  <c r="F29018" i="1"/>
  <c r="F29019" i="1"/>
  <c r="F29020" i="1"/>
  <c r="F29021" i="1"/>
  <c r="F29022" i="1"/>
  <c r="F29023" i="1"/>
  <c r="F29024" i="1"/>
  <c r="F29025" i="1"/>
  <c r="F29026" i="1"/>
  <c r="F29027" i="1"/>
  <c r="F29028" i="1"/>
  <c r="F29029" i="1"/>
  <c r="F29030" i="1"/>
  <c r="F29031" i="1"/>
  <c r="F29032" i="1"/>
  <c r="F29033" i="1"/>
  <c r="F29034" i="1"/>
  <c r="F29035" i="1"/>
  <c r="F29036" i="1"/>
  <c r="F29037" i="1"/>
  <c r="F29038" i="1"/>
  <c r="F29039" i="1"/>
  <c r="F29040" i="1"/>
  <c r="F29041" i="1"/>
  <c r="F29042" i="1"/>
  <c r="F29043" i="1"/>
  <c r="F29044" i="1"/>
  <c r="F29045" i="1"/>
  <c r="F29046" i="1"/>
  <c r="F29047" i="1"/>
  <c r="F29048" i="1"/>
  <c r="F29049" i="1"/>
  <c r="F29050" i="1"/>
  <c r="F29051" i="1"/>
  <c r="F29052" i="1"/>
  <c r="F29053" i="1"/>
  <c r="F29054" i="1"/>
  <c r="F29055" i="1"/>
  <c r="F29056" i="1"/>
  <c r="F29057" i="1"/>
  <c r="F29058" i="1"/>
  <c r="F29059" i="1"/>
  <c r="F29060" i="1"/>
  <c r="F29061" i="1"/>
  <c r="F29062" i="1"/>
  <c r="F29063" i="1"/>
  <c r="F29064" i="1"/>
  <c r="F29065" i="1"/>
  <c r="F29066" i="1"/>
  <c r="F29067" i="1"/>
  <c r="F29068" i="1"/>
  <c r="F29069" i="1"/>
  <c r="F29070" i="1"/>
  <c r="F29071" i="1"/>
  <c r="F29072" i="1"/>
  <c r="F29073" i="1"/>
  <c r="F29074" i="1"/>
  <c r="F29075" i="1"/>
  <c r="F29076" i="1"/>
  <c r="F29077" i="1"/>
  <c r="F29078" i="1"/>
  <c r="F29079" i="1"/>
  <c r="F29080" i="1"/>
  <c r="F29081" i="1"/>
  <c r="F29082" i="1"/>
  <c r="F29083" i="1"/>
  <c r="F29084" i="1"/>
  <c r="F29085" i="1"/>
  <c r="F29086" i="1"/>
  <c r="F29087" i="1"/>
  <c r="F29088" i="1"/>
  <c r="F29089" i="1"/>
  <c r="F29090" i="1"/>
  <c r="F29091" i="1"/>
  <c r="F29092" i="1"/>
  <c r="F29093" i="1"/>
  <c r="F29094" i="1"/>
  <c r="F29095" i="1"/>
  <c r="F29096" i="1"/>
  <c r="F29097" i="1"/>
  <c r="F29098" i="1"/>
  <c r="F29099" i="1"/>
  <c r="F29100" i="1"/>
  <c r="F29101" i="1"/>
  <c r="F29102" i="1"/>
  <c r="F29103" i="1"/>
  <c r="F29104" i="1"/>
  <c r="F29105" i="1"/>
  <c r="F29106" i="1"/>
  <c r="F29107" i="1"/>
  <c r="F29108" i="1"/>
  <c r="F29109" i="1"/>
  <c r="F29110" i="1"/>
  <c r="F29111" i="1"/>
  <c r="F29112" i="1"/>
  <c r="F29113" i="1"/>
  <c r="F29114" i="1"/>
  <c r="F29115" i="1"/>
  <c r="F29116" i="1"/>
  <c r="F29117" i="1"/>
  <c r="F29118" i="1"/>
  <c r="F29119" i="1"/>
  <c r="F29120" i="1"/>
  <c r="F29121" i="1"/>
  <c r="F29122" i="1"/>
  <c r="F29123" i="1"/>
  <c r="F29124" i="1"/>
  <c r="F29125" i="1"/>
  <c r="F29126" i="1"/>
  <c r="F29127" i="1"/>
  <c r="F29128" i="1"/>
  <c r="F29129" i="1"/>
  <c r="F29130" i="1"/>
  <c r="F29131" i="1"/>
  <c r="F29132" i="1"/>
  <c r="F29133" i="1"/>
  <c r="F29134" i="1"/>
  <c r="F29135" i="1"/>
  <c r="F29136" i="1"/>
  <c r="F29137" i="1"/>
  <c r="F29138" i="1"/>
  <c r="F29139" i="1"/>
  <c r="F29140" i="1"/>
  <c r="F29141" i="1"/>
  <c r="F29142" i="1"/>
  <c r="F29143" i="1"/>
  <c r="F29144" i="1"/>
  <c r="F29145" i="1"/>
  <c r="F29146" i="1"/>
  <c r="F29147" i="1"/>
  <c r="F29148" i="1"/>
  <c r="F29149" i="1"/>
  <c r="F29150" i="1"/>
  <c r="F29151" i="1"/>
  <c r="F29152" i="1"/>
  <c r="F29153" i="1"/>
  <c r="F29154" i="1"/>
  <c r="F29155" i="1"/>
  <c r="F29156" i="1"/>
  <c r="F29157" i="1"/>
  <c r="F29158" i="1"/>
  <c r="F29159" i="1"/>
  <c r="F29160" i="1"/>
  <c r="F29161" i="1"/>
  <c r="F29162" i="1"/>
  <c r="F29163" i="1"/>
  <c r="F29164" i="1"/>
  <c r="F29165" i="1"/>
  <c r="F29166" i="1"/>
  <c r="F29167" i="1"/>
  <c r="F29168" i="1"/>
  <c r="F29169" i="1"/>
  <c r="F29170" i="1"/>
  <c r="F29171" i="1"/>
  <c r="F29172" i="1"/>
  <c r="F29173" i="1"/>
  <c r="F29174" i="1"/>
  <c r="F29175" i="1"/>
  <c r="F29176" i="1"/>
  <c r="F29177" i="1"/>
  <c r="F29178" i="1"/>
  <c r="F29179" i="1"/>
  <c r="F29180" i="1"/>
  <c r="F29181" i="1"/>
  <c r="F29182" i="1"/>
  <c r="F29183" i="1"/>
  <c r="F29184" i="1"/>
  <c r="F29185" i="1"/>
  <c r="F29186" i="1"/>
  <c r="F29187" i="1"/>
  <c r="F29188" i="1"/>
  <c r="F29189" i="1"/>
  <c r="F29190" i="1"/>
  <c r="F29191" i="1"/>
  <c r="F29192" i="1"/>
  <c r="F29193" i="1"/>
  <c r="F29194" i="1"/>
  <c r="F29195" i="1"/>
  <c r="F29196" i="1"/>
  <c r="F29197" i="1"/>
  <c r="F29198" i="1"/>
  <c r="F29199" i="1"/>
  <c r="F29200" i="1"/>
  <c r="F29201" i="1"/>
  <c r="F29202" i="1"/>
  <c r="F29203" i="1"/>
  <c r="F29204" i="1"/>
  <c r="F29205" i="1"/>
  <c r="F29206" i="1"/>
  <c r="F29207" i="1"/>
  <c r="F29208" i="1"/>
  <c r="F29209" i="1"/>
  <c r="F29210" i="1"/>
  <c r="F29211" i="1"/>
  <c r="F29212" i="1"/>
  <c r="F29213" i="1"/>
  <c r="F29214" i="1"/>
  <c r="F29215" i="1"/>
  <c r="F29216" i="1"/>
  <c r="F29217" i="1"/>
  <c r="F29218" i="1"/>
  <c r="F29219" i="1"/>
  <c r="F29220" i="1"/>
  <c r="F29221" i="1"/>
  <c r="F29222" i="1"/>
  <c r="F29223" i="1"/>
  <c r="F29224" i="1"/>
  <c r="F29225" i="1"/>
  <c r="F29226" i="1"/>
  <c r="F29227" i="1"/>
  <c r="F29228" i="1"/>
  <c r="F29229" i="1"/>
  <c r="F29230" i="1"/>
  <c r="F29231" i="1"/>
  <c r="F29232" i="1"/>
  <c r="F29233" i="1"/>
  <c r="F29234" i="1"/>
  <c r="F29235" i="1"/>
  <c r="F29236" i="1"/>
  <c r="F29237" i="1"/>
  <c r="F29238" i="1"/>
  <c r="F29239" i="1"/>
  <c r="F29240" i="1"/>
  <c r="F29241" i="1"/>
  <c r="F29242" i="1"/>
  <c r="F29243" i="1"/>
  <c r="F29244" i="1"/>
  <c r="F29245" i="1"/>
  <c r="F29246" i="1"/>
  <c r="F29247" i="1"/>
  <c r="F29248" i="1"/>
  <c r="F29249" i="1"/>
  <c r="F29250" i="1"/>
  <c r="F29251" i="1"/>
  <c r="F29252" i="1"/>
  <c r="F29253" i="1"/>
  <c r="F29254" i="1"/>
  <c r="F29255" i="1"/>
  <c r="F29256" i="1"/>
  <c r="F29257" i="1"/>
  <c r="F29258" i="1"/>
  <c r="F29259" i="1"/>
  <c r="F29260" i="1"/>
  <c r="F29261" i="1"/>
  <c r="F29262" i="1"/>
  <c r="F29263" i="1"/>
  <c r="F29264" i="1"/>
  <c r="F29265" i="1"/>
  <c r="F29266" i="1"/>
  <c r="F29267" i="1"/>
  <c r="F29268" i="1"/>
  <c r="F29269" i="1"/>
  <c r="F29270" i="1"/>
  <c r="F29271" i="1"/>
  <c r="F29272" i="1"/>
  <c r="F29273" i="1"/>
  <c r="F29274" i="1"/>
  <c r="F29275" i="1"/>
  <c r="F29276" i="1"/>
  <c r="F29277" i="1"/>
  <c r="F29278" i="1"/>
  <c r="F29279" i="1"/>
  <c r="F29280" i="1"/>
  <c r="F29281" i="1"/>
  <c r="F29282" i="1"/>
  <c r="F29283" i="1"/>
  <c r="F29284" i="1"/>
  <c r="F29285" i="1"/>
  <c r="F29286" i="1"/>
  <c r="F29287" i="1"/>
  <c r="F29288" i="1"/>
  <c r="F29289" i="1"/>
  <c r="F29290" i="1"/>
  <c r="F29291" i="1"/>
  <c r="F29292" i="1"/>
  <c r="F29293" i="1"/>
  <c r="F29294" i="1"/>
  <c r="F29295" i="1"/>
  <c r="F29296" i="1"/>
  <c r="F29297" i="1"/>
  <c r="F29298" i="1"/>
  <c r="F29299" i="1"/>
  <c r="F29300" i="1"/>
  <c r="F29301" i="1"/>
  <c r="F29302" i="1"/>
  <c r="F29303" i="1"/>
  <c r="F29304" i="1"/>
  <c r="F29305" i="1"/>
  <c r="F29306" i="1"/>
  <c r="F29307" i="1"/>
  <c r="F29308" i="1"/>
  <c r="F29309" i="1"/>
  <c r="F29310" i="1"/>
  <c r="F29311" i="1"/>
  <c r="F29312" i="1"/>
  <c r="F29313" i="1"/>
  <c r="F29314" i="1"/>
  <c r="F29315" i="1"/>
  <c r="F29316" i="1"/>
  <c r="F29317" i="1"/>
  <c r="F29318" i="1"/>
  <c r="F29319" i="1"/>
  <c r="F29320" i="1"/>
  <c r="F29321" i="1"/>
  <c r="F29322" i="1"/>
  <c r="F29323" i="1"/>
  <c r="F29324" i="1"/>
  <c r="F29325" i="1"/>
  <c r="F29326" i="1"/>
  <c r="F29327" i="1"/>
  <c r="F29328" i="1"/>
  <c r="F29329" i="1"/>
  <c r="F29330" i="1"/>
  <c r="F29331" i="1"/>
  <c r="F29332" i="1"/>
  <c r="F29333" i="1"/>
  <c r="F29334" i="1"/>
  <c r="F29335" i="1"/>
  <c r="F29336" i="1"/>
  <c r="F29337" i="1"/>
  <c r="F29338" i="1"/>
  <c r="F29339" i="1"/>
  <c r="F29340" i="1"/>
  <c r="F29341" i="1"/>
  <c r="F29342" i="1"/>
  <c r="F29343" i="1"/>
  <c r="F29344" i="1"/>
  <c r="F29345" i="1"/>
  <c r="F29346" i="1"/>
  <c r="F29347" i="1"/>
  <c r="F29348" i="1"/>
  <c r="F29349" i="1"/>
  <c r="F29350" i="1"/>
  <c r="F29351" i="1"/>
  <c r="F29352" i="1"/>
  <c r="F29353" i="1"/>
  <c r="F29354" i="1"/>
  <c r="F29355" i="1"/>
  <c r="F29356" i="1"/>
  <c r="F29357" i="1"/>
  <c r="F29358" i="1"/>
  <c r="F29359" i="1"/>
  <c r="F29360" i="1"/>
  <c r="F29361" i="1"/>
  <c r="F29362" i="1"/>
  <c r="F29363" i="1"/>
  <c r="F29364" i="1"/>
  <c r="F29365" i="1"/>
  <c r="F29366" i="1"/>
  <c r="F29367" i="1"/>
  <c r="F29368" i="1"/>
  <c r="F29369" i="1"/>
  <c r="F29370" i="1"/>
  <c r="F29371" i="1"/>
  <c r="F29372" i="1"/>
  <c r="F29373" i="1"/>
  <c r="F29374" i="1"/>
  <c r="F29375" i="1"/>
  <c r="F29376" i="1"/>
  <c r="F29377" i="1"/>
  <c r="F29378" i="1"/>
  <c r="F29379" i="1"/>
  <c r="F29380" i="1"/>
  <c r="F29381" i="1"/>
  <c r="F29382" i="1"/>
  <c r="F29383" i="1"/>
  <c r="F29384" i="1"/>
  <c r="F29385" i="1"/>
  <c r="F29386" i="1"/>
  <c r="F29387" i="1"/>
  <c r="F29388" i="1"/>
  <c r="F29389" i="1"/>
  <c r="F29390" i="1"/>
  <c r="F29391" i="1"/>
  <c r="F29392" i="1"/>
  <c r="F29393" i="1"/>
  <c r="F29394" i="1"/>
  <c r="F29395" i="1"/>
  <c r="F29396" i="1"/>
  <c r="F29397" i="1"/>
  <c r="F29398" i="1"/>
  <c r="F29399" i="1"/>
  <c r="F29400" i="1"/>
  <c r="F29401" i="1"/>
  <c r="F29402" i="1"/>
  <c r="F29403" i="1"/>
  <c r="F29404" i="1"/>
  <c r="F29405" i="1"/>
  <c r="F29406" i="1"/>
  <c r="F29407" i="1"/>
  <c r="F29408" i="1"/>
  <c r="F29409" i="1"/>
  <c r="F29410" i="1"/>
  <c r="F29411" i="1"/>
  <c r="F29412" i="1"/>
  <c r="F29413" i="1"/>
  <c r="F29414" i="1"/>
  <c r="F29415" i="1"/>
  <c r="F29416" i="1"/>
  <c r="F29417" i="1"/>
  <c r="F29418" i="1"/>
  <c r="F29419" i="1"/>
  <c r="F29420" i="1"/>
  <c r="F29421" i="1"/>
  <c r="F29422" i="1"/>
  <c r="F29423" i="1"/>
  <c r="F29424" i="1"/>
  <c r="F29425" i="1"/>
  <c r="F29426" i="1"/>
  <c r="F29427" i="1"/>
  <c r="F29428" i="1"/>
  <c r="F29429" i="1"/>
  <c r="F29430" i="1"/>
  <c r="F29431" i="1"/>
  <c r="F29432" i="1"/>
  <c r="F29433" i="1"/>
  <c r="F29434" i="1"/>
  <c r="F29435" i="1"/>
  <c r="F29436" i="1"/>
  <c r="F29437" i="1"/>
  <c r="F29438" i="1"/>
  <c r="F29439" i="1"/>
  <c r="F29440" i="1"/>
  <c r="F29441" i="1"/>
  <c r="F29442" i="1"/>
  <c r="F29443" i="1"/>
  <c r="F29444" i="1"/>
  <c r="F29445" i="1"/>
  <c r="F29446" i="1"/>
  <c r="F29447" i="1"/>
  <c r="F29448" i="1"/>
  <c r="F29449" i="1"/>
  <c r="F29450" i="1"/>
  <c r="F29451" i="1"/>
  <c r="F29452" i="1"/>
  <c r="F29453" i="1"/>
  <c r="F29454" i="1"/>
  <c r="F29455" i="1"/>
  <c r="F29456" i="1"/>
  <c r="F29457" i="1"/>
  <c r="F29458" i="1"/>
  <c r="F29459" i="1"/>
  <c r="F29460" i="1"/>
  <c r="F29461" i="1"/>
  <c r="F29462" i="1"/>
  <c r="F29463" i="1"/>
  <c r="F29464" i="1"/>
  <c r="F29465" i="1"/>
  <c r="F29466" i="1"/>
  <c r="F29467" i="1"/>
  <c r="F29468" i="1"/>
  <c r="F29469" i="1"/>
  <c r="F29470" i="1"/>
  <c r="F29471" i="1"/>
  <c r="F29472" i="1"/>
  <c r="F29473" i="1"/>
  <c r="F29474" i="1"/>
  <c r="F29475" i="1"/>
  <c r="F29476" i="1"/>
  <c r="F29477" i="1"/>
  <c r="F29478" i="1"/>
  <c r="F29479" i="1"/>
  <c r="F29480" i="1"/>
  <c r="F29481" i="1"/>
  <c r="F29482" i="1"/>
  <c r="F29483" i="1"/>
  <c r="F29484" i="1"/>
  <c r="F29485" i="1"/>
  <c r="F29486" i="1"/>
  <c r="F29487" i="1"/>
  <c r="F29488" i="1"/>
  <c r="F29489" i="1"/>
  <c r="F29490" i="1"/>
  <c r="F29491" i="1"/>
  <c r="F29492" i="1"/>
  <c r="F29493" i="1"/>
  <c r="F29494" i="1"/>
  <c r="F29495" i="1"/>
  <c r="F29496" i="1"/>
  <c r="F29497" i="1"/>
  <c r="F29498" i="1"/>
  <c r="F29499" i="1"/>
  <c r="F29500" i="1"/>
  <c r="F29501" i="1"/>
  <c r="F29502" i="1"/>
  <c r="F29503" i="1"/>
  <c r="F29504" i="1"/>
  <c r="F29505" i="1"/>
  <c r="F29506" i="1"/>
  <c r="F29507" i="1"/>
  <c r="F29508" i="1"/>
  <c r="F29509" i="1"/>
  <c r="F29510" i="1"/>
  <c r="F29511" i="1"/>
  <c r="F29512" i="1"/>
  <c r="F29513" i="1"/>
  <c r="F29514" i="1"/>
  <c r="F29515" i="1"/>
  <c r="F29516" i="1"/>
  <c r="F29517" i="1"/>
  <c r="F29518" i="1"/>
  <c r="F29519" i="1"/>
  <c r="F29520" i="1"/>
  <c r="F29521" i="1"/>
  <c r="F29522" i="1"/>
  <c r="F29523" i="1"/>
  <c r="F29524" i="1"/>
  <c r="F29525" i="1"/>
  <c r="F29526" i="1"/>
  <c r="F29527" i="1"/>
  <c r="F29528" i="1"/>
  <c r="F29529" i="1"/>
  <c r="F29530" i="1"/>
  <c r="F29531" i="1"/>
  <c r="F29532" i="1"/>
  <c r="F29533" i="1"/>
  <c r="F29534" i="1"/>
  <c r="F29535" i="1"/>
  <c r="F29536" i="1"/>
  <c r="F29537" i="1"/>
  <c r="F29538" i="1"/>
  <c r="F29539" i="1"/>
  <c r="F29540" i="1"/>
  <c r="F29541" i="1"/>
  <c r="F29542" i="1"/>
  <c r="F29543" i="1"/>
  <c r="F29544" i="1"/>
  <c r="F29545" i="1"/>
  <c r="F29546" i="1"/>
  <c r="F29547" i="1"/>
  <c r="F29548" i="1"/>
  <c r="F29549" i="1"/>
  <c r="F29550" i="1"/>
  <c r="F29551" i="1"/>
  <c r="F29552" i="1"/>
  <c r="F29553" i="1"/>
  <c r="F29554" i="1"/>
  <c r="F29555" i="1"/>
  <c r="F29556" i="1"/>
  <c r="F29557" i="1"/>
  <c r="F29558" i="1"/>
  <c r="F29559" i="1"/>
  <c r="F29560" i="1"/>
  <c r="F29561" i="1"/>
  <c r="F29562" i="1"/>
  <c r="F29563" i="1"/>
  <c r="F29564" i="1"/>
  <c r="F29565" i="1"/>
  <c r="F29566" i="1"/>
  <c r="F29567" i="1"/>
  <c r="F29568" i="1"/>
  <c r="F29569" i="1"/>
  <c r="F29570" i="1"/>
  <c r="F29571" i="1"/>
  <c r="F29572" i="1"/>
  <c r="F29573" i="1"/>
  <c r="F29574" i="1"/>
  <c r="F29575" i="1"/>
  <c r="F29576" i="1"/>
  <c r="F29577" i="1"/>
  <c r="F29578" i="1"/>
  <c r="F29579" i="1"/>
  <c r="F29580" i="1"/>
  <c r="F29581" i="1"/>
  <c r="F29582" i="1"/>
  <c r="F29583" i="1"/>
  <c r="F29584" i="1"/>
  <c r="F29585" i="1"/>
  <c r="F29586" i="1"/>
  <c r="F29587" i="1"/>
  <c r="F29588" i="1"/>
  <c r="F29589" i="1"/>
  <c r="F29590" i="1"/>
  <c r="F29591" i="1"/>
  <c r="F29592" i="1"/>
  <c r="F29593" i="1"/>
  <c r="F29594" i="1"/>
  <c r="F29595" i="1"/>
  <c r="F29596" i="1"/>
  <c r="F29597" i="1"/>
  <c r="F29598" i="1"/>
  <c r="F29599" i="1"/>
  <c r="F29600" i="1"/>
  <c r="F29601" i="1"/>
  <c r="F29602" i="1"/>
  <c r="F29603" i="1"/>
  <c r="F29604" i="1"/>
  <c r="F29605" i="1"/>
  <c r="F29606" i="1"/>
  <c r="F29607" i="1"/>
  <c r="F29608" i="1"/>
  <c r="F29609" i="1"/>
  <c r="F29610" i="1"/>
  <c r="F29611" i="1"/>
  <c r="F29612" i="1"/>
  <c r="F29613" i="1"/>
  <c r="F29614" i="1"/>
  <c r="F29615" i="1"/>
  <c r="F29616" i="1"/>
  <c r="F29617" i="1"/>
  <c r="F29618" i="1"/>
  <c r="F29619" i="1"/>
  <c r="F29620" i="1"/>
  <c r="F29621" i="1"/>
  <c r="F29622" i="1"/>
  <c r="F29623" i="1"/>
  <c r="F29624" i="1"/>
  <c r="F29625" i="1"/>
  <c r="F29626" i="1"/>
  <c r="F29627" i="1"/>
  <c r="F29628" i="1"/>
  <c r="F29629" i="1"/>
  <c r="F29630" i="1"/>
  <c r="F29631" i="1"/>
  <c r="F29632" i="1"/>
  <c r="F29633" i="1"/>
  <c r="F29634" i="1"/>
  <c r="F29635" i="1"/>
  <c r="F29636" i="1"/>
  <c r="F29637" i="1"/>
  <c r="F29638" i="1"/>
  <c r="F29639" i="1"/>
  <c r="F29640" i="1"/>
  <c r="F29641" i="1"/>
  <c r="F29642" i="1"/>
  <c r="F29643" i="1"/>
  <c r="F29644" i="1"/>
  <c r="F29645" i="1"/>
  <c r="F29646" i="1"/>
  <c r="F29647" i="1"/>
  <c r="F29648" i="1"/>
  <c r="F29649" i="1"/>
  <c r="F29650" i="1"/>
  <c r="F29651" i="1"/>
  <c r="F29652" i="1"/>
  <c r="F29653" i="1"/>
  <c r="F29654" i="1"/>
  <c r="F29655" i="1"/>
  <c r="F29656" i="1"/>
  <c r="F29657" i="1"/>
  <c r="F29658" i="1"/>
  <c r="F29659" i="1"/>
  <c r="F29660" i="1"/>
  <c r="F29661" i="1"/>
  <c r="F29662" i="1"/>
  <c r="F29663" i="1"/>
  <c r="F29664" i="1"/>
  <c r="F29665" i="1"/>
  <c r="F29666" i="1"/>
  <c r="F29667" i="1"/>
  <c r="F29668" i="1"/>
  <c r="F29669" i="1"/>
  <c r="F29670" i="1"/>
  <c r="F29671" i="1"/>
  <c r="F29672" i="1"/>
  <c r="F29673" i="1"/>
  <c r="F29674" i="1"/>
  <c r="F29675" i="1"/>
  <c r="F29676" i="1"/>
  <c r="F29677" i="1"/>
  <c r="F29678" i="1"/>
  <c r="F29679" i="1"/>
  <c r="F29680" i="1"/>
  <c r="F29681" i="1"/>
  <c r="F29682" i="1"/>
  <c r="F29683" i="1"/>
  <c r="F29684" i="1"/>
  <c r="F29685" i="1"/>
  <c r="F29686" i="1"/>
  <c r="F29687" i="1"/>
  <c r="F29688" i="1"/>
  <c r="F29689" i="1"/>
  <c r="F29690" i="1"/>
  <c r="F29691" i="1"/>
  <c r="F29692" i="1"/>
  <c r="F29693" i="1"/>
  <c r="F29694" i="1"/>
  <c r="F29695" i="1"/>
  <c r="F29696" i="1"/>
  <c r="F29697" i="1"/>
  <c r="F29698" i="1"/>
  <c r="F29699" i="1"/>
  <c r="F29700" i="1"/>
  <c r="F29701" i="1"/>
  <c r="F29702" i="1"/>
  <c r="F29703" i="1"/>
  <c r="F29704" i="1"/>
  <c r="F29705" i="1"/>
  <c r="F29706" i="1"/>
  <c r="F29707" i="1"/>
  <c r="F29708" i="1"/>
  <c r="F29709" i="1"/>
  <c r="F29710" i="1"/>
  <c r="F29711" i="1"/>
  <c r="F29712" i="1"/>
  <c r="F29713" i="1"/>
  <c r="F29714" i="1"/>
  <c r="F29715" i="1"/>
  <c r="F29716" i="1"/>
  <c r="F29717" i="1"/>
  <c r="F29718" i="1"/>
  <c r="F29719" i="1"/>
  <c r="F29720" i="1"/>
  <c r="F29721" i="1"/>
  <c r="F29722" i="1"/>
  <c r="F29723" i="1"/>
  <c r="F29724" i="1"/>
  <c r="F29725" i="1"/>
  <c r="F29726" i="1"/>
  <c r="F29727" i="1"/>
  <c r="F29728" i="1"/>
  <c r="F29729" i="1"/>
  <c r="F29730" i="1"/>
  <c r="F29731" i="1"/>
  <c r="F29732" i="1"/>
  <c r="F29733" i="1"/>
  <c r="F29734" i="1"/>
  <c r="F29735" i="1"/>
  <c r="F29736" i="1"/>
  <c r="F29737" i="1"/>
  <c r="F29738" i="1"/>
  <c r="F29739" i="1"/>
  <c r="F29740" i="1"/>
  <c r="F29741" i="1"/>
  <c r="F29742" i="1"/>
  <c r="F29743" i="1"/>
  <c r="F29744" i="1"/>
  <c r="F29745" i="1"/>
  <c r="F29746" i="1"/>
  <c r="F29747" i="1"/>
  <c r="F29748" i="1"/>
  <c r="F29749" i="1"/>
  <c r="F29750" i="1"/>
  <c r="F29751" i="1"/>
  <c r="F29752" i="1"/>
  <c r="F29753" i="1"/>
  <c r="F29754" i="1"/>
  <c r="F29755" i="1"/>
  <c r="F29756" i="1"/>
  <c r="F29757" i="1"/>
  <c r="F29758" i="1"/>
  <c r="F29759" i="1"/>
  <c r="F29760" i="1"/>
  <c r="F29761" i="1"/>
  <c r="F29762" i="1"/>
  <c r="F29763" i="1"/>
  <c r="F29764" i="1"/>
  <c r="F29765" i="1"/>
  <c r="F29766" i="1"/>
  <c r="F29767" i="1"/>
  <c r="F29768" i="1"/>
  <c r="F29769" i="1"/>
  <c r="F29770" i="1"/>
  <c r="F29771" i="1"/>
  <c r="F29772" i="1"/>
  <c r="F29773" i="1"/>
  <c r="F29774" i="1"/>
  <c r="F29775" i="1"/>
  <c r="F29776" i="1"/>
  <c r="F29777" i="1"/>
  <c r="F29778" i="1"/>
  <c r="F29779" i="1"/>
  <c r="F29780" i="1"/>
  <c r="F29781" i="1"/>
  <c r="F29782" i="1"/>
  <c r="F29783" i="1"/>
  <c r="F29784" i="1"/>
  <c r="F29785" i="1"/>
  <c r="F29786" i="1"/>
  <c r="F29787" i="1"/>
  <c r="F29788" i="1"/>
  <c r="F29789" i="1"/>
  <c r="F29790" i="1"/>
  <c r="F29791" i="1"/>
  <c r="F29792" i="1"/>
  <c r="F29793" i="1"/>
  <c r="F29794" i="1"/>
  <c r="F29795" i="1"/>
  <c r="F29796" i="1"/>
  <c r="F29797" i="1"/>
  <c r="F29798" i="1"/>
  <c r="F29799" i="1"/>
  <c r="F29800" i="1"/>
  <c r="F29801" i="1"/>
  <c r="F29802" i="1"/>
  <c r="F29803" i="1"/>
  <c r="F29804" i="1"/>
  <c r="F29805" i="1"/>
  <c r="F29806" i="1"/>
  <c r="F29807" i="1"/>
  <c r="F29808" i="1"/>
  <c r="F29809" i="1"/>
  <c r="F29810" i="1"/>
  <c r="F29811" i="1"/>
  <c r="F29812" i="1"/>
  <c r="F29813" i="1"/>
  <c r="F29814" i="1"/>
  <c r="F29815" i="1"/>
  <c r="F29816" i="1"/>
  <c r="F29817" i="1"/>
  <c r="F29818" i="1"/>
  <c r="F29819" i="1"/>
  <c r="F29820" i="1"/>
  <c r="F29821" i="1"/>
  <c r="F29822" i="1"/>
  <c r="F29823" i="1"/>
  <c r="F29824" i="1"/>
  <c r="F29825" i="1"/>
  <c r="F29826" i="1"/>
  <c r="F29827" i="1"/>
  <c r="F29828" i="1"/>
  <c r="F29829" i="1"/>
  <c r="F29830" i="1"/>
  <c r="F29831" i="1"/>
  <c r="F29832" i="1"/>
  <c r="F29833" i="1"/>
  <c r="F29834" i="1"/>
  <c r="F29835" i="1"/>
  <c r="F29836" i="1"/>
  <c r="F29837" i="1"/>
  <c r="F29838" i="1"/>
  <c r="F29839" i="1"/>
  <c r="F29840" i="1"/>
  <c r="F29841" i="1"/>
  <c r="F29842" i="1"/>
  <c r="F29843" i="1"/>
  <c r="F29844" i="1"/>
  <c r="F29845" i="1"/>
  <c r="F29846" i="1"/>
  <c r="F29847" i="1"/>
  <c r="F29848" i="1"/>
  <c r="F29849" i="1"/>
  <c r="F29850" i="1"/>
  <c r="F29851" i="1"/>
  <c r="F29852" i="1"/>
  <c r="F29853" i="1"/>
  <c r="F29854" i="1"/>
  <c r="F29855" i="1"/>
  <c r="F29856" i="1"/>
  <c r="F29857" i="1"/>
  <c r="F29858" i="1"/>
  <c r="F29859" i="1"/>
  <c r="F29860" i="1"/>
  <c r="F29861" i="1"/>
  <c r="F29862" i="1"/>
  <c r="F29863" i="1"/>
  <c r="F29864" i="1"/>
  <c r="F29865" i="1"/>
  <c r="F29866" i="1"/>
  <c r="F29867" i="1"/>
  <c r="F29868" i="1"/>
  <c r="F29869" i="1"/>
  <c r="F29870" i="1"/>
  <c r="F29871" i="1"/>
  <c r="F29872" i="1"/>
  <c r="F29873" i="1"/>
  <c r="F29874" i="1"/>
  <c r="F29875" i="1"/>
  <c r="F29876" i="1"/>
  <c r="F29877" i="1"/>
  <c r="F29878" i="1"/>
  <c r="F29879" i="1"/>
  <c r="F29880" i="1"/>
  <c r="F29881" i="1"/>
  <c r="F29882" i="1"/>
  <c r="F29883" i="1"/>
  <c r="F29884" i="1"/>
  <c r="F29885" i="1"/>
  <c r="F29886" i="1"/>
  <c r="F29887" i="1"/>
  <c r="F29888" i="1"/>
  <c r="F29889" i="1"/>
  <c r="F29890" i="1"/>
  <c r="F29891" i="1"/>
  <c r="F29892" i="1"/>
  <c r="F29893" i="1"/>
  <c r="F29894" i="1"/>
  <c r="F29895" i="1"/>
  <c r="F29896" i="1"/>
  <c r="F29897" i="1"/>
  <c r="F29898" i="1"/>
  <c r="F29899" i="1"/>
  <c r="F29900" i="1"/>
  <c r="F29901" i="1"/>
  <c r="F29902" i="1"/>
  <c r="F29903" i="1"/>
  <c r="F29904" i="1"/>
  <c r="F29905" i="1"/>
  <c r="F29906" i="1"/>
  <c r="F29907" i="1"/>
  <c r="F29908" i="1"/>
  <c r="F29909" i="1"/>
  <c r="F29910" i="1"/>
  <c r="F29911" i="1"/>
  <c r="F29912" i="1"/>
  <c r="F29913" i="1"/>
  <c r="F29914" i="1"/>
  <c r="F29915" i="1"/>
  <c r="F29916" i="1"/>
  <c r="F29917" i="1"/>
  <c r="F29918" i="1"/>
  <c r="F29919" i="1"/>
  <c r="F29920" i="1"/>
  <c r="F29921" i="1"/>
  <c r="F29922" i="1"/>
  <c r="F29923" i="1"/>
  <c r="F29924" i="1"/>
  <c r="F29925" i="1"/>
  <c r="F29926" i="1"/>
  <c r="F29927" i="1"/>
  <c r="F29928" i="1"/>
  <c r="F29929" i="1"/>
  <c r="F29930" i="1"/>
  <c r="F29931" i="1"/>
  <c r="F29932" i="1"/>
  <c r="F29933" i="1"/>
  <c r="F29934" i="1"/>
  <c r="F29935" i="1"/>
  <c r="F29936" i="1"/>
  <c r="F29937" i="1"/>
  <c r="F29938" i="1"/>
  <c r="F29939" i="1"/>
  <c r="F29940" i="1"/>
  <c r="F29941" i="1"/>
  <c r="F29942" i="1"/>
  <c r="F29943" i="1"/>
  <c r="F29944" i="1"/>
  <c r="F29945" i="1"/>
  <c r="F29946" i="1"/>
  <c r="F29947" i="1"/>
  <c r="F29948" i="1"/>
  <c r="F29949" i="1"/>
  <c r="F29950" i="1"/>
  <c r="F29951" i="1"/>
  <c r="F29952" i="1"/>
  <c r="F29953" i="1"/>
  <c r="F29954" i="1"/>
  <c r="F29955" i="1"/>
  <c r="F29956" i="1"/>
  <c r="F29957" i="1"/>
  <c r="F29958" i="1"/>
  <c r="F29959" i="1"/>
  <c r="F29960" i="1"/>
  <c r="F29961" i="1"/>
  <c r="F29962" i="1"/>
  <c r="F29963" i="1"/>
  <c r="F29964" i="1"/>
  <c r="F29965" i="1"/>
  <c r="F29966" i="1"/>
  <c r="F29967" i="1"/>
  <c r="F29968" i="1"/>
  <c r="F29969" i="1"/>
  <c r="F29970" i="1"/>
  <c r="F29971" i="1"/>
  <c r="F29972" i="1"/>
  <c r="F29973" i="1"/>
  <c r="F29974" i="1"/>
  <c r="F29975" i="1"/>
  <c r="F29976" i="1"/>
  <c r="F29977" i="1"/>
  <c r="F29978" i="1"/>
  <c r="F29979" i="1"/>
  <c r="F29980" i="1"/>
  <c r="F29981" i="1"/>
  <c r="F29982" i="1"/>
  <c r="F29983" i="1"/>
  <c r="F29984" i="1"/>
  <c r="F29985" i="1"/>
  <c r="F29986" i="1"/>
  <c r="F29987" i="1"/>
  <c r="F29988" i="1"/>
  <c r="F29989" i="1"/>
  <c r="F29990" i="1"/>
  <c r="F29991" i="1"/>
  <c r="F29992" i="1"/>
  <c r="F29993" i="1"/>
  <c r="F29994" i="1"/>
  <c r="F29995" i="1"/>
  <c r="F29996" i="1"/>
  <c r="F29997" i="1"/>
  <c r="F29998" i="1"/>
  <c r="F29999" i="1"/>
  <c r="F30000" i="1"/>
  <c r="F30001" i="1"/>
  <c r="F30002" i="1"/>
  <c r="F30003" i="1"/>
  <c r="F30004" i="1"/>
  <c r="F30005" i="1"/>
  <c r="F30006" i="1"/>
  <c r="F30007" i="1"/>
  <c r="F30008" i="1"/>
  <c r="F30009" i="1"/>
  <c r="F30010" i="1"/>
  <c r="F30011" i="1"/>
  <c r="F30012" i="1"/>
  <c r="F30013" i="1"/>
  <c r="F30014" i="1"/>
  <c r="F30015" i="1"/>
  <c r="F30016" i="1"/>
  <c r="F30017" i="1"/>
  <c r="F30018" i="1"/>
  <c r="F30019" i="1"/>
  <c r="F30020" i="1"/>
  <c r="F30021" i="1"/>
  <c r="F30022" i="1"/>
  <c r="F30023" i="1"/>
  <c r="F30024" i="1"/>
  <c r="F30025" i="1"/>
  <c r="F30026" i="1"/>
  <c r="F30027" i="1"/>
  <c r="F30028" i="1"/>
  <c r="F30029" i="1"/>
  <c r="F30030" i="1"/>
  <c r="F30031" i="1"/>
  <c r="F30032" i="1"/>
  <c r="F30033" i="1"/>
  <c r="F30034" i="1"/>
  <c r="F30035" i="1"/>
  <c r="F30036" i="1"/>
  <c r="F30037" i="1"/>
  <c r="F30038" i="1"/>
  <c r="F30039" i="1"/>
  <c r="F30040" i="1"/>
  <c r="F30041" i="1"/>
  <c r="F30042" i="1"/>
  <c r="F30043" i="1"/>
  <c r="F30044" i="1"/>
  <c r="F30045" i="1"/>
  <c r="F30046" i="1"/>
  <c r="F30047" i="1"/>
  <c r="F30048" i="1"/>
  <c r="F30049" i="1"/>
  <c r="F30050" i="1"/>
  <c r="F30051" i="1"/>
  <c r="F30052" i="1"/>
  <c r="F30053" i="1"/>
  <c r="F30054" i="1"/>
  <c r="F30055" i="1"/>
  <c r="F30056" i="1"/>
  <c r="F30057" i="1"/>
  <c r="F30058" i="1"/>
  <c r="F30059" i="1"/>
  <c r="F30060" i="1"/>
  <c r="F30061" i="1"/>
  <c r="F30062" i="1"/>
  <c r="F30063" i="1"/>
  <c r="F30064" i="1"/>
  <c r="F30065" i="1"/>
  <c r="F30066" i="1"/>
  <c r="F30067" i="1"/>
  <c r="F30068" i="1"/>
  <c r="F30069" i="1"/>
  <c r="F30070" i="1"/>
  <c r="F30071" i="1"/>
  <c r="F30072" i="1"/>
  <c r="F30073" i="1"/>
  <c r="F30074" i="1"/>
  <c r="F30075" i="1"/>
  <c r="F30076" i="1"/>
  <c r="F30077" i="1"/>
  <c r="F30078" i="1"/>
  <c r="F30079" i="1"/>
  <c r="F30080" i="1"/>
  <c r="F30081" i="1"/>
  <c r="F30082" i="1"/>
  <c r="F30083" i="1"/>
  <c r="F30084" i="1"/>
  <c r="F30085" i="1"/>
  <c r="F30086" i="1"/>
  <c r="F30087" i="1"/>
  <c r="F30088" i="1"/>
  <c r="F30089" i="1"/>
  <c r="F30090" i="1"/>
  <c r="F30091" i="1"/>
  <c r="F30092" i="1"/>
  <c r="F30093" i="1"/>
  <c r="F30094" i="1"/>
  <c r="F30095" i="1"/>
  <c r="F30096" i="1"/>
  <c r="F30097" i="1"/>
  <c r="F30098" i="1"/>
  <c r="F30099" i="1"/>
  <c r="F30100" i="1"/>
  <c r="F30101" i="1"/>
  <c r="F30102" i="1"/>
  <c r="F30103" i="1"/>
  <c r="F30104" i="1"/>
  <c r="F30105" i="1"/>
  <c r="F30106" i="1"/>
  <c r="F30107" i="1"/>
  <c r="F30108" i="1"/>
  <c r="F30109" i="1"/>
  <c r="F30110" i="1"/>
  <c r="F30111" i="1"/>
  <c r="F30112" i="1"/>
  <c r="F30113" i="1"/>
  <c r="F30114" i="1"/>
  <c r="F30115" i="1"/>
  <c r="F30116" i="1"/>
  <c r="F30117" i="1"/>
  <c r="F30118" i="1"/>
  <c r="F30119" i="1"/>
  <c r="F30120" i="1"/>
  <c r="F30121" i="1"/>
  <c r="F30122" i="1"/>
  <c r="F30123" i="1"/>
  <c r="F30124" i="1"/>
  <c r="F30125" i="1"/>
  <c r="F30126" i="1"/>
  <c r="F30127" i="1"/>
  <c r="F30128" i="1"/>
  <c r="F30129" i="1"/>
  <c r="F30130" i="1"/>
  <c r="F30131" i="1"/>
  <c r="F30132" i="1"/>
  <c r="F30133" i="1"/>
  <c r="F30134" i="1"/>
  <c r="F30135" i="1"/>
  <c r="F30136" i="1"/>
  <c r="F30137" i="1"/>
  <c r="F30138" i="1"/>
  <c r="F30139" i="1"/>
  <c r="F30140" i="1"/>
  <c r="F30141" i="1"/>
  <c r="F30142" i="1"/>
  <c r="F30143" i="1"/>
  <c r="F30144" i="1"/>
  <c r="F30145" i="1"/>
  <c r="F30146" i="1"/>
  <c r="F30147" i="1"/>
  <c r="F30148" i="1"/>
  <c r="F30149" i="1"/>
  <c r="F30150" i="1"/>
  <c r="F30151" i="1"/>
  <c r="F30152" i="1"/>
  <c r="F30153" i="1"/>
  <c r="F30154" i="1"/>
  <c r="F30155" i="1"/>
  <c r="F30156" i="1"/>
  <c r="F30157" i="1"/>
  <c r="F30158" i="1"/>
  <c r="F30159" i="1"/>
  <c r="F30160" i="1"/>
  <c r="F30161" i="1"/>
  <c r="F30162" i="1"/>
  <c r="F30163" i="1"/>
  <c r="F30164" i="1"/>
  <c r="F30165" i="1"/>
  <c r="F30166" i="1"/>
  <c r="F30167" i="1"/>
  <c r="F30168" i="1"/>
  <c r="F30169" i="1"/>
  <c r="F30170" i="1"/>
  <c r="F30171" i="1"/>
  <c r="F30172" i="1"/>
  <c r="F30173" i="1"/>
  <c r="F30174" i="1"/>
  <c r="F30175" i="1"/>
  <c r="F30176" i="1"/>
  <c r="F30177" i="1"/>
  <c r="F30178" i="1"/>
  <c r="F30179" i="1"/>
  <c r="F30180" i="1"/>
  <c r="F30181" i="1"/>
  <c r="F30182" i="1"/>
  <c r="F30183" i="1"/>
  <c r="F30184" i="1"/>
  <c r="F30185" i="1"/>
  <c r="F30186" i="1"/>
  <c r="F30187" i="1"/>
  <c r="F30188" i="1"/>
  <c r="F30189" i="1"/>
  <c r="F30190" i="1"/>
  <c r="F30191" i="1"/>
  <c r="F30192" i="1"/>
  <c r="F30193" i="1"/>
  <c r="F30194" i="1"/>
  <c r="F30195" i="1"/>
  <c r="F30196" i="1"/>
  <c r="F30197" i="1"/>
  <c r="F30198" i="1"/>
  <c r="F30199" i="1"/>
  <c r="F30200" i="1"/>
  <c r="F30201" i="1"/>
  <c r="F30202" i="1"/>
  <c r="F30203" i="1"/>
  <c r="F30204" i="1"/>
  <c r="F30205" i="1"/>
  <c r="F30206" i="1"/>
  <c r="F30207" i="1"/>
  <c r="F30208" i="1"/>
  <c r="F30209" i="1"/>
  <c r="F30210" i="1"/>
  <c r="F30211" i="1"/>
  <c r="F30212" i="1"/>
  <c r="F30213" i="1"/>
  <c r="F30214" i="1"/>
  <c r="F30215" i="1"/>
  <c r="F30216" i="1"/>
  <c r="F30217" i="1"/>
  <c r="F30218" i="1"/>
  <c r="F30219" i="1"/>
  <c r="F30220" i="1"/>
  <c r="F30221" i="1"/>
  <c r="F30222" i="1"/>
  <c r="F30223" i="1"/>
  <c r="F30224" i="1"/>
  <c r="F30225" i="1"/>
  <c r="F30226" i="1"/>
  <c r="F30227" i="1"/>
  <c r="F30228" i="1"/>
  <c r="F30229" i="1"/>
  <c r="F30230" i="1"/>
  <c r="F30231" i="1"/>
  <c r="F30232" i="1"/>
  <c r="F30233" i="1"/>
  <c r="F30234" i="1"/>
  <c r="F30235" i="1"/>
  <c r="F30236" i="1"/>
  <c r="F30237" i="1"/>
  <c r="F30238" i="1"/>
  <c r="F30239" i="1"/>
  <c r="F30240" i="1"/>
  <c r="F30241" i="1"/>
  <c r="F30242" i="1"/>
  <c r="F30243" i="1"/>
  <c r="F30244" i="1"/>
  <c r="F30245" i="1"/>
  <c r="F30246" i="1"/>
  <c r="F30247" i="1"/>
  <c r="F30248" i="1"/>
  <c r="F30249" i="1"/>
  <c r="F30250" i="1"/>
  <c r="F30251" i="1"/>
  <c r="F30252" i="1"/>
  <c r="F30253" i="1"/>
  <c r="F30254" i="1"/>
  <c r="F30255" i="1"/>
  <c r="F30256" i="1"/>
  <c r="F30257" i="1"/>
  <c r="F30258" i="1"/>
  <c r="F30259" i="1"/>
  <c r="F30260" i="1"/>
  <c r="F30261" i="1"/>
  <c r="F30262" i="1"/>
  <c r="F30263" i="1"/>
  <c r="F30264" i="1"/>
  <c r="F30265" i="1"/>
  <c r="F30266" i="1"/>
  <c r="F30267" i="1"/>
  <c r="F30268" i="1"/>
  <c r="F30269" i="1"/>
  <c r="F30270" i="1"/>
  <c r="F30271" i="1"/>
  <c r="F30272" i="1"/>
  <c r="F30273" i="1"/>
  <c r="F30274" i="1"/>
  <c r="F30275" i="1"/>
  <c r="F30276" i="1"/>
  <c r="F30277" i="1"/>
  <c r="F30278" i="1"/>
  <c r="F30279" i="1"/>
  <c r="F30280" i="1"/>
  <c r="F30281" i="1"/>
  <c r="F30282" i="1"/>
  <c r="F30283" i="1"/>
  <c r="F30284" i="1"/>
  <c r="F30285" i="1"/>
  <c r="F30286" i="1"/>
  <c r="F30287" i="1"/>
  <c r="F30288" i="1"/>
  <c r="F30289" i="1"/>
  <c r="F30290" i="1"/>
  <c r="F30291" i="1"/>
  <c r="F30292" i="1"/>
  <c r="F30293" i="1"/>
  <c r="F30294" i="1"/>
  <c r="F30295" i="1"/>
  <c r="F30296" i="1"/>
  <c r="F30297" i="1"/>
  <c r="F30298" i="1"/>
  <c r="F30299" i="1"/>
  <c r="F30300" i="1"/>
  <c r="F30301" i="1"/>
  <c r="F30302" i="1"/>
  <c r="F30303" i="1"/>
  <c r="F30304" i="1"/>
  <c r="F30305" i="1"/>
  <c r="F30306" i="1"/>
  <c r="F30307" i="1"/>
  <c r="F30308" i="1"/>
  <c r="F30309" i="1"/>
  <c r="F30310" i="1"/>
  <c r="F30311" i="1"/>
  <c r="F30312" i="1"/>
  <c r="F30313" i="1"/>
  <c r="F30314" i="1"/>
  <c r="F30315" i="1"/>
  <c r="F30316" i="1"/>
  <c r="F30317" i="1"/>
  <c r="F30318" i="1"/>
  <c r="F30319" i="1"/>
  <c r="F30320" i="1"/>
  <c r="F30321" i="1"/>
  <c r="F30322" i="1"/>
  <c r="F30323" i="1"/>
  <c r="F30324" i="1"/>
  <c r="F30325" i="1"/>
  <c r="F30326" i="1"/>
  <c r="F30327" i="1"/>
  <c r="F30328" i="1"/>
  <c r="F30329" i="1"/>
  <c r="F30330" i="1"/>
  <c r="F30331" i="1"/>
  <c r="F30332" i="1"/>
  <c r="F30333" i="1"/>
  <c r="F30334" i="1"/>
  <c r="F30335" i="1"/>
  <c r="F30336" i="1"/>
  <c r="F30337" i="1"/>
  <c r="F30338" i="1"/>
  <c r="F30339" i="1"/>
  <c r="F30340" i="1"/>
  <c r="F30341" i="1"/>
  <c r="F30342" i="1"/>
  <c r="F30343" i="1"/>
  <c r="F30344" i="1"/>
  <c r="F30345" i="1"/>
  <c r="F30346" i="1"/>
  <c r="F30347" i="1"/>
  <c r="F30348" i="1"/>
  <c r="F30349" i="1"/>
  <c r="F30350" i="1"/>
  <c r="F30351" i="1"/>
  <c r="F30352" i="1"/>
  <c r="F30353" i="1"/>
  <c r="F30354" i="1"/>
  <c r="F30355" i="1"/>
  <c r="F30356" i="1"/>
  <c r="F30357" i="1"/>
  <c r="F30358" i="1"/>
  <c r="F30359" i="1"/>
  <c r="F30360" i="1"/>
  <c r="F30361" i="1"/>
  <c r="F30362" i="1"/>
  <c r="F30363" i="1"/>
  <c r="F30364" i="1"/>
  <c r="F30365" i="1"/>
  <c r="F30366" i="1"/>
  <c r="F30367" i="1"/>
  <c r="F30368" i="1"/>
  <c r="F30369" i="1"/>
  <c r="F30370" i="1"/>
  <c r="F30371" i="1"/>
  <c r="F30372" i="1"/>
  <c r="F30373" i="1"/>
  <c r="F30374" i="1"/>
  <c r="F30375" i="1"/>
  <c r="F30376" i="1"/>
  <c r="F30377" i="1"/>
  <c r="F30378" i="1"/>
  <c r="F30379" i="1"/>
  <c r="B30380" i="1"/>
  <c r="F30380" i="1"/>
  <c r="B30381" i="1"/>
  <c r="F30381" i="1"/>
  <c r="B30382" i="1"/>
  <c r="F30382" i="1"/>
  <c r="B30383" i="1"/>
  <c r="F30383" i="1"/>
  <c r="B30384" i="1"/>
  <c r="F30384" i="1"/>
  <c r="B30385" i="1"/>
  <c r="F30385" i="1"/>
  <c r="B30386" i="1"/>
  <c r="F30386" i="1"/>
  <c r="B30387" i="1"/>
  <c r="F30387" i="1"/>
  <c r="B30388" i="1"/>
  <c r="F30388" i="1"/>
  <c r="B30389" i="1"/>
  <c r="F30389" i="1"/>
  <c r="B30390" i="1"/>
  <c r="F30390" i="1"/>
  <c r="B30391" i="1"/>
  <c r="F30391" i="1"/>
  <c r="B30392" i="1"/>
  <c r="F30392" i="1"/>
  <c r="B30393" i="1"/>
  <c r="F30393" i="1"/>
  <c r="B30394" i="1"/>
  <c r="F30394" i="1"/>
  <c r="B30395" i="1"/>
  <c r="F30395" i="1"/>
  <c r="B30396" i="1"/>
  <c r="F30396" i="1"/>
  <c r="B30397" i="1"/>
  <c r="F30397" i="1"/>
  <c r="B30398" i="1"/>
  <c r="F30398" i="1"/>
  <c r="B30399" i="1"/>
  <c r="F30399" i="1"/>
  <c r="B30400" i="1"/>
  <c r="F30400" i="1"/>
  <c r="B30401" i="1"/>
  <c r="F30401" i="1"/>
  <c r="B30402" i="1"/>
  <c r="F30402" i="1"/>
  <c r="B30403" i="1"/>
  <c r="F30403" i="1"/>
  <c r="B30404" i="1"/>
  <c r="F30404" i="1"/>
  <c r="B30405" i="1"/>
  <c r="F30405" i="1"/>
  <c r="B30406" i="1"/>
  <c r="F30406" i="1"/>
  <c r="B30407" i="1"/>
  <c r="F30407" i="1"/>
  <c r="B30408" i="1"/>
  <c r="F30408" i="1"/>
  <c r="B30409" i="1"/>
  <c r="F30409" i="1"/>
  <c r="B30410" i="1"/>
  <c r="F30410" i="1"/>
  <c r="B30411" i="1"/>
  <c r="F30411" i="1"/>
  <c r="B30412" i="1"/>
  <c r="F30412" i="1"/>
  <c r="B30413" i="1"/>
  <c r="F30413" i="1"/>
  <c r="B30414" i="1"/>
  <c r="F30414" i="1"/>
  <c r="B30415" i="1"/>
  <c r="F30415" i="1"/>
  <c r="B30416" i="1"/>
  <c r="F30416" i="1"/>
  <c r="B30417" i="1"/>
  <c r="F30417" i="1"/>
  <c r="B30418" i="1"/>
  <c r="F30418" i="1"/>
  <c r="B30419" i="1"/>
  <c r="F30419" i="1"/>
  <c r="B30420" i="1"/>
  <c r="F30420" i="1"/>
  <c r="B30421" i="1"/>
  <c r="F30421" i="1"/>
  <c r="B30422" i="1"/>
  <c r="F30422" i="1"/>
  <c r="B30423" i="1"/>
  <c r="F30423" i="1"/>
  <c r="B30424" i="1"/>
  <c r="F30424" i="1"/>
  <c r="B30425" i="1"/>
  <c r="F30425" i="1"/>
  <c r="B30426" i="1"/>
  <c r="F30426" i="1"/>
  <c r="B30427" i="1"/>
  <c r="F30427" i="1"/>
  <c r="B30428" i="1"/>
  <c r="F30428" i="1"/>
  <c r="B30429" i="1"/>
  <c r="F30429" i="1"/>
  <c r="B30430" i="1"/>
  <c r="F30430" i="1"/>
  <c r="B30431" i="1"/>
  <c r="F30431" i="1"/>
  <c r="B30432" i="1"/>
  <c r="F30432" i="1"/>
  <c r="B30433" i="1"/>
  <c r="F30433" i="1"/>
  <c r="B30434" i="1"/>
  <c r="F30434" i="1"/>
  <c r="B30435" i="1"/>
  <c r="F30435" i="1"/>
  <c r="B30436" i="1"/>
  <c r="F30436" i="1"/>
  <c r="B30437" i="1"/>
  <c r="F30437" i="1"/>
  <c r="B30438" i="1"/>
  <c r="F30438" i="1"/>
  <c r="B30439" i="1"/>
  <c r="F30439" i="1"/>
  <c r="B30440" i="1"/>
  <c r="F30440" i="1"/>
  <c r="B30441" i="1"/>
  <c r="F30441" i="1"/>
  <c r="B30442" i="1"/>
  <c r="F30442" i="1"/>
  <c r="B30443" i="1"/>
  <c r="F30443" i="1"/>
  <c r="B30444" i="1"/>
  <c r="F30444" i="1"/>
  <c r="B30445" i="1"/>
  <c r="F30445" i="1"/>
  <c r="B30446" i="1"/>
  <c r="F30446" i="1"/>
  <c r="B30447" i="1"/>
  <c r="F30447" i="1"/>
  <c r="B30448" i="1"/>
  <c r="F30448" i="1"/>
  <c r="B30449" i="1"/>
  <c r="F30449" i="1"/>
  <c r="B30450" i="1"/>
  <c r="F30450" i="1"/>
  <c r="B30451" i="1"/>
  <c r="F30451" i="1"/>
  <c r="B30452" i="1"/>
  <c r="F30452" i="1"/>
  <c r="B30453" i="1"/>
  <c r="F30453" i="1"/>
  <c r="B30454" i="1"/>
  <c r="F30454" i="1"/>
  <c r="B30455" i="1"/>
  <c r="F30455" i="1"/>
  <c r="B30456" i="1"/>
  <c r="F30456" i="1"/>
  <c r="F30457" i="1"/>
  <c r="F30458" i="1"/>
  <c r="B30459" i="1"/>
  <c r="F30459" i="1"/>
  <c r="B30460" i="1"/>
  <c r="F30460" i="1"/>
  <c r="B30461" i="1"/>
  <c r="F30461" i="1"/>
  <c r="B30462" i="1"/>
  <c r="F30462" i="1"/>
  <c r="F30463" i="1"/>
  <c r="F30464" i="1"/>
  <c r="F30465" i="1"/>
  <c r="F30466" i="1"/>
  <c r="F30467" i="1"/>
  <c r="F30468" i="1"/>
  <c r="B30469" i="1"/>
  <c r="F30469" i="1"/>
  <c r="B30470" i="1"/>
  <c r="F30470" i="1"/>
  <c r="B30471" i="1"/>
  <c r="F30471" i="1"/>
  <c r="B30472" i="1"/>
  <c r="F30472" i="1"/>
  <c r="B30473" i="1"/>
  <c r="F30473" i="1"/>
  <c r="B30474" i="1"/>
  <c r="F30474" i="1"/>
  <c r="B30475" i="1"/>
  <c r="F30475" i="1"/>
  <c r="B30476" i="1"/>
  <c r="F30476" i="1"/>
  <c r="B30477" i="1"/>
  <c r="F30477" i="1"/>
  <c r="B30478" i="1"/>
  <c r="F30478" i="1"/>
  <c r="B30479" i="1"/>
  <c r="F30479" i="1"/>
  <c r="B30480" i="1"/>
  <c r="F30480" i="1"/>
  <c r="B30481" i="1"/>
  <c r="F30481" i="1"/>
  <c r="B30482" i="1"/>
  <c r="F30482" i="1"/>
  <c r="B30483" i="1"/>
  <c r="F30483" i="1"/>
  <c r="F30484" i="1"/>
  <c r="F30485" i="1"/>
  <c r="F30486" i="1"/>
  <c r="F30487" i="1"/>
  <c r="F30488" i="1"/>
  <c r="F30489" i="1"/>
  <c r="F30490" i="1"/>
  <c r="F30491" i="1"/>
  <c r="F30492" i="1"/>
  <c r="F30493" i="1"/>
  <c r="B30494" i="1"/>
  <c r="F30494" i="1"/>
  <c r="B30495" i="1"/>
  <c r="F30495" i="1"/>
  <c r="B30496" i="1"/>
  <c r="F30496" i="1"/>
  <c r="B30497" i="1"/>
  <c r="F30497" i="1"/>
  <c r="B30498" i="1"/>
  <c r="F30498" i="1"/>
  <c r="B30499" i="1"/>
  <c r="F30499" i="1"/>
  <c r="B30500" i="1"/>
  <c r="F30500" i="1"/>
  <c r="B30501" i="1"/>
  <c r="F30501" i="1"/>
  <c r="B30502" i="1"/>
  <c r="F30502" i="1"/>
  <c r="B30503" i="1"/>
  <c r="F30503" i="1"/>
  <c r="B30504" i="1"/>
  <c r="F30504" i="1"/>
  <c r="B30505" i="1"/>
  <c r="F30505" i="1"/>
  <c r="F30506" i="1"/>
  <c r="F30507" i="1"/>
  <c r="F30508" i="1"/>
  <c r="F30509" i="1"/>
  <c r="B30510" i="1"/>
  <c r="F30510" i="1"/>
  <c r="B30511" i="1"/>
  <c r="F30511" i="1"/>
  <c r="F30512" i="1"/>
  <c r="F30513" i="1"/>
  <c r="F30514" i="1"/>
  <c r="F30515" i="1"/>
  <c r="F30516" i="1"/>
  <c r="F30517" i="1"/>
  <c r="F30518" i="1"/>
  <c r="F30519" i="1"/>
  <c r="F30520" i="1"/>
  <c r="F30521" i="1"/>
  <c r="F30522" i="1"/>
  <c r="F30523" i="1"/>
  <c r="F30524" i="1"/>
  <c r="F30525" i="1"/>
  <c r="F30526" i="1"/>
  <c r="F30527" i="1"/>
  <c r="F30528" i="1"/>
  <c r="F30529" i="1"/>
  <c r="F30530" i="1"/>
  <c r="F30531" i="1"/>
  <c r="F30532" i="1"/>
  <c r="F30533" i="1"/>
  <c r="F30534" i="1"/>
  <c r="F30535" i="1"/>
  <c r="F30536" i="1"/>
  <c r="F30537" i="1"/>
  <c r="F30538" i="1"/>
  <c r="F30539" i="1"/>
  <c r="F30540" i="1"/>
  <c r="F30541" i="1"/>
  <c r="F30542" i="1"/>
  <c r="F30543" i="1"/>
  <c r="F30544" i="1"/>
  <c r="F30545" i="1"/>
  <c r="F30546" i="1"/>
  <c r="F30547" i="1"/>
  <c r="F30548" i="1"/>
  <c r="B30549" i="1"/>
  <c r="F30549" i="1"/>
  <c r="B30550" i="1"/>
  <c r="F30550" i="1"/>
  <c r="F30551" i="1"/>
  <c r="F30552" i="1"/>
  <c r="F30553" i="1"/>
  <c r="F30554" i="1"/>
  <c r="F30555" i="1"/>
  <c r="F30556" i="1"/>
  <c r="F30557" i="1"/>
  <c r="F30558" i="1"/>
  <c r="F30559" i="1"/>
  <c r="F30560" i="1"/>
  <c r="F30561" i="1"/>
  <c r="F30562" i="1"/>
  <c r="F30563" i="1"/>
  <c r="F30564" i="1"/>
  <c r="F30565" i="1"/>
  <c r="F30566" i="1"/>
  <c r="F30567" i="1"/>
  <c r="F30568" i="1"/>
  <c r="F30569" i="1"/>
  <c r="F30570" i="1"/>
  <c r="F30571" i="1"/>
  <c r="F30572" i="1"/>
  <c r="F30573" i="1"/>
  <c r="F30574" i="1"/>
  <c r="F30575" i="1"/>
  <c r="F30576" i="1"/>
  <c r="F30577" i="1"/>
  <c r="F30578" i="1"/>
  <c r="F30579" i="1"/>
  <c r="F30580" i="1"/>
  <c r="F30581" i="1"/>
  <c r="F30582" i="1"/>
  <c r="F30583" i="1"/>
  <c r="F30584" i="1"/>
  <c r="F30585" i="1"/>
  <c r="F30586" i="1"/>
  <c r="F30587" i="1"/>
  <c r="F30588" i="1"/>
  <c r="F30589" i="1"/>
  <c r="F30590" i="1"/>
  <c r="F30591" i="1"/>
  <c r="F30592" i="1"/>
  <c r="F30593" i="1"/>
  <c r="F30594" i="1"/>
  <c r="F30595" i="1"/>
  <c r="F30596" i="1"/>
  <c r="F30597" i="1"/>
  <c r="F30598" i="1"/>
  <c r="F30599" i="1"/>
  <c r="F30600" i="1"/>
  <c r="F30601" i="1"/>
  <c r="F30602" i="1"/>
  <c r="F30603" i="1"/>
  <c r="F30604" i="1"/>
  <c r="F30605" i="1"/>
  <c r="F30606" i="1"/>
  <c r="F30607" i="1"/>
  <c r="F30608" i="1"/>
  <c r="F30609" i="1"/>
  <c r="F30610" i="1"/>
  <c r="F30611" i="1"/>
  <c r="F30612" i="1"/>
  <c r="F30613" i="1"/>
  <c r="F30614" i="1"/>
  <c r="F30615" i="1"/>
  <c r="F30616" i="1"/>
  <c r="F30617" i="1"/>
  <c r="F30618" i="1"/>
  <c r="F30619" i="1"/>
  <c r="F30620" i="1"/>
  <c r="F30621" i="1"/>
  <c r="F30622" i="1"/>
  <c r="F30623" i="1"/>
  <c r="F30624" i="1"/>
  <c r="F30625" i="1"/>
  <c r="F30626" i="1"/>
  <c r="F30627" i="1"/>
  <c r="F30628" i="1"/>
  <c r="F30629" i="1"/>
  <c r="F30630" i="1"/>
  <c r="F30631" i="1"/>
  <c r="F30632" i="1"/>
  <c r="F30633" i="1"/>
  <c r="F30634" i="1"/>
  <c r="F30635" i="1"/>
  <c r="F30636" i="1"/>
  <c r="F30637" i="1"/>
  <c r="F30638" i="1"/>
  <c r="F30639" i="1"/>
  <c r="F30640" i="1"/>
  <c r="F30641" i="1"/>
  <c r="F30642" i="1"/>
  <c r="F30643" i="1"/>
  <c r="F30644" i="1"/>
  <c r="F30645" i="1"/>
  <c r="F30646" i="1"/>
  <c r="F30647" i="1"/>
  <c r="F30648" i="1"/>
  <c r="F30649" i="1"/>
  <c r="F30650" i="1"/>
  <c r="F30651" i="1"/>
  <c r="F30652" i="1"/>
  <c r="F30653" i="1"/>
  <c r="F30654" i="1"/>
  <c r="F30655" i="1"/>
  <c r="F30656" i="1"/>
  <c r="F30657" i="1"/>
  <c r="F30658" i="1"/>
  <c r="F30659" i="1"/>
  <c r="F30660" i="1"/>
  <c r="F30661" i="1"/>
  <c r="F30662" i="1"/>
  <c r="F30663" i="1"/>
  <c r="F30664" i="1"/>
  <c r="F30665" i="1"/>
  <c r="F30666" i="1"/>
  <c r="F30667" i="1"/>
  <c r="F30668" i="1"/>
  <c r="F30669" i="1"/>
  <c r="F30670" i="1"/>
  <c r="F30671" i="1"/>
  <c r="F30672" i="1"/>
  <c r="F30673" i="1"/>
  <c r="F30674" i="1"/>
  <c r="F30675" i="1"/>
  <c r="F30676" i="1"/>
  <c r="F30677" i="1"/>
  <c r="F30678" i="1"/>
  <c r="F30679" i="1"/>
  <c r="F30680" i="1"/>
  <c r="F30681" i="1"/>
  <c r="F30682" i="1"/>
  <c r="F30683" i="1"/>
  <c r="F30684" i="1"/>
  <c r="F30685" i="1"/>
  <c r="F30686" i="1"/>
  <c r="F30687" i="1"/>
  <c r="F30688" i="1"/>
  <c r="F30689" i="1"/>
  <c r="F30690" i="1"/>
  <c r="F30691" i="1"/>
  <c r="F30692" i="1"/>
  <c r="F30693" i="1"/>
  <c r="F30694" i="1"/>
  <c r="F30695" i="1"/>
  <c r="F30696" i="1"/>
  <c r="F30697" i="1"/>
  <c r="F30698" i="1"/>
  <c r="F30699" i="1"/>
  <c r="F30700" i="1"/>
  <c r="F30701" i="1"/>
  <c r="F30702" i="1"/>
  <c r="F30703" i="1"/>
  <c r="F30704" i="1"/>
  <c r="F30705" i="1"/>
  <c r="F30706" i="1"/>
  <c r="F30707" i="1"/>
  <c r="F30708" i="1"/>
  <c r="F30709" i="1"/>
  <c r="F30710" i="1"/>
  <c r="F30711" i="1"/>
  <c r="F30712" i="1"/>
  <c r="F30713" i="1"/>
  <c r="F30714" i="1"/>
  <c r="F30715" i="1"/>
  <c r="F30716" i="1"/>
  <c r="F30717" i="1"/>
  <c r="F30718" i="1"/>
  <c r="F30719" i="1"/>
  <c r="F30720" i="1"/>
  <c r="F30721" i="1"/>
  <c r="F30722" i="1"/>
  <c r="F30723" i="1"/>
  <c r="F30724" i="1"/>
  <c r="F30725" i="1"/>
  <c r="F30726" i="1"/>
  <c r="F30727" i="1"/>
  <c r="F30728" i="1"/>
  <c r="F30729" i="1"/>
  <c r="F30730" i="1"/>
  <c r="F30731" i="1"/>
  <c r="F30732" i="1"/>
  <c r="F30733" i="1"/>
  <c r="F30734" i="1"/>
  <c r="F30735" i="1"/>
  <c r="F30736" i="1"/>
  <c r="F30737" i="1"/>
  <c r="F30738" i="1"/>
  <c r="F30739" i="1"/>
  <c r="F30740" i="1"/>
  <c r="F30741" i="1"/>
  <c r="F30742" i="1"/>
  <c r="F30743" i="1"/>
  <c r="F30744" i="1"/>
  <c r="F30745" i="1"/>
  <c r="F30746" i="1"/>
  <c r="F30747" i="1"/>
  <c r="F30748" i="1"/>
  <c r="F30749" i="1"/>
  <c r="F30750" i="1"/>
  <c r="F30751" i="1"/>
  <c r="F30752" i="1"/>
  <c r="F30753" i="1"/>
  <c r="F30754" i="1"/>
  <c r="F30755" i="1"/>
  <c r="F30756" i="1"/>
  <c r="F30757" i="1"/>
  <c r="F30758" i="1"/>
  <c r="F30759" i="1"/>
  <c r="F30760" i="1"/>
  <c r="F30761" i="1"/>
  <c r="F30762" i="1"/>
  <c r="F30763" i="1"/>
  <c r="F30764" i="1"/>
  <c r="F30765" i="1"/>
  <c r="F30766" i="1"/>
  <c r="F30767" i="1"/>
  <c r="F30768" i="1"/>
  <c r="F30769" i="1"/>
  <c r="F30770" i="1"/>
  <c r="F30771" i="1"/>
  <c r="F30772" i="1"/>
  <c r="F30773" i="1"/>
  <c r="F30774" i="1"/>
  <c r="F30775" i="1"/>
  <c r="F30776" i="1"/>
  <c r="F30777" i="1"/>
  <c r="F30778" i="1"/>
  <c r="F30779" i="1"/>
  <c r="F30780" i="1"/>
  <c r="F30781" i="1"/>
  <c r="F30782" i="1"/>
  <c r="F30783" i="1"/>
  <c r="F30784" i="1"/>
  <c r="F30785" i="1"/>
  <c r="F30786" i="1"/>
  <c r="F30787" i="1"/>
  <c r="F30788" i="1"/>
  <c r="F30789" i="1"/>
  <c r="F30790" i="1"/>
  <c r="F30791" i="1"/>
  <c r="F30792" i="1"/>
  <c r="F30793" i="1"/>
  <c r="F30794" i="1"/>
  <c r="F30795" i="1"/>
  <c r="F30796" i="1"/>
  <c r="F30797" i="1"/>
  <c r="F30798" i="1"/>
  <c r="F30799" i="1"/>
  <c r="F30800" i="1"/>
  <c r="F30801" i="1"/>
  <c r="F30802" i="1"/>
  <c r="F30803" i="1"/>
  <c r="F30804" i="1"/>
  <c r="F30805" i="1"/>
  <c r="F30806" i="1"/>
  <c r="F30807" i="1"/>
  <c r="F30808" i="1"/>
  <c r="F30809" i="1"/>
  <c r="F30810" i="1"/>
  <c r="F30811" i="1"/>
  <c r="F30812" i="1"/>
  <c r="F30813" i="1"/>
  <c r="F30814" i="1"/>
  <c r="F30815" i="1"/>
  <c r="F30816" i="1"/>
  <c r="F30817" i="1"/>
  <c r="F30818" i="1"/>
  <c r="F30819" i="1"/>
  <c r="F30820" i="1"/>
  <c r="F30821" i="1"/>
  <c r="F30822" i="1"/>
  <c r="F30823" i="1"/>
  <c r="F30824" i="1"/>
  <c r="F30825" i="1"/>
  <c r="F30826" i="1"/>
  <c r="F30827" i="1"/>
  <c r="F30828" i="1"/>
  <c r="F30829" i="1"/>
  <c r="F30830" i="1"/>
  <c r="F30831" i="1"/>
  <c r="F30832" i="1"/>
  <c r="F30833" i="1"/>
  <c r="F30834" i="1"/>
  <c r="F30835" i="1"/>
  <c r="F30836" i="1"/>
  <c r="F30837" i="1"/>
  <c r="F30838" i="1"/>
  <c r="F30839" i="1"/>
  <c r="F30840" i="1"/>
  <c r="F30841" i="1"/>
  <c r="F30842" i="1"/>
  <c r="F30843" i="1"/>
  <c r="F30844" i="1"/>
  <c r="F30845" i="1"/>
  <c r="F30846" i="1"/>
  <c r="F30847" i="1"/>
  <c r="F30848" i="1"/>
  <c r="F30849" i="1"/>
  <c r="F30850" i="1"/>
  <c r="F30851" i="1"/>
  <c r="F30852" i="1"/>
  <c r="F30853" i="1"/>
  <c r="F30854" i="1"/>
  <c r="F30855" i="1"/>
  <c r="F30856" i="1"/>
  <c r="F30857" i="1"/>
  <c r="F30858" i="1"/>
  <c r="F30859" i="1"/>
  <c r="F30860" i="1"/>
  <c r="F30861" i="1"/>
  <c r="F30862" i="1"/>
  <c r="F30863" i="1"/>
  <c r="F30864" i="1"/>
  <c r="F30865" i="1"/>
  <c r="F30866" i="1"/>
  <c r="F30867" i="1"/>
  <c r="F30868" i="1"/>
  <c r="F30869" i="1"/>
  <c r="F30870" i="1"/>
  <c r="F30871" i="1"/>
  <c r="F30872" i="1"/>
  <c r="F30873" i="1"/>
  <c r="F30874" i="1"/>
  <c r="F30875" i="1"/>
  <c r="F30876" i="1"/>
  <c r="F30877" i="1"/>
  <c r="F30878" i="1"/>
  <c r="F30879" i="1"/>
  <c r="F30880" i="1"/>
  <c r="F30881" i="1"/>
  <c r="F30882" i="1"/>
  <c r="F30883" i="1"/>
  <c r="F30884" i="1"/>
  <c r="F30885" i="1"/>
  <c r="F30886" i="1"/>
  <c r="F30887" i="1"/>
  <c r="F30888" i="1"/>
  <c r="F30889" i="1"/>
  <c r="F30890" i="1"/>
  <c r="F30891" i="1"/>
  <c r="F30892" i="1"/>
  <c r="F30893" i="1"/>
  <c r="F30894" i="1"/>
  <c r="F30895" i="1"/>
  <c r="F30896" i="1"/>
  <c r="F30897" i="1"/>
  <c r="F30898" i="1"/>
  <c r="F30899" i="1"/>
  <c r="F30900" i="1"/>
  <c r="F30901" i="1"/>
  <c r="F30902" i="1"/>
  <c r="F30903" i="1"/>
  <c r="F30904" i="1"/>
  <c r="F30905" i="1"/>
  <c r="F30906" i="1"/>
  <c r="F30907" i="1"/>
  <c r="F30908" i="1"/>
  <c r="F30909" i="1"/>
  <c r="F30910" i="1"/>
  <c r="F30911" i="1"/>
  <c r="F30912" i="1"/>
  <c r="F30913" i="1"/>
  <c r="F30914" i="1"/>
  <c r="F30915" i="1"/>
  <c r="F30916" i="1"/>
  <c r="F30917" i="1"/>
  <c r="F30918" i="1"/>
  <c r="F30919" i="1"/>
  <c r="F30920" i="1"/>
  <c r="F30921" i="1"/>
  <c r="F30922" i="1"/>
  <c r="F30923" i="1"/>
  <c r="F30924" i="1"/>
  <c r="F30925" i="1"/>
  <c r="F30926" i="1"/>
  <c r="F30927" i="1"/>
  <c r="F30928" i="1"/>
  <c r="F30929" i="1"/>
  <c r="F30930" i="1"/>
  <c r="F30931" i="1"/>
  <c r="F30932" i="1"/>
  <c r="F30933" i="1"/>
  <c r="F30934" i="1"/>
  <c r="F30935" i="1"/>
  <c r="F30936" i="1"/>
  <c r="F30937" i="1"/>
  <c r="F30938" i="1"/>
  <c r="F30939" i="1"/>
  <c r="F30940" i="1"/>
  <c r="F30941" i="1"/>
  <c r="F30942" i="1"/>
  <c r="F30943" i="1"/>
  <c r="F30944" i="1"/>
  <c r="F30945" i="1"/>
  <c r="F30946" i="1"/>
  <c r="F30947" i="1"/>
  <c r="F30948" i="1"/>
  <c r="F30949" i="1"/>
  <c r="F30950" i="1"/>
  <c r="F30951" i="1"/>
  <c r="F30952" i="1"/>
  <c r="F30953" i="1"/>
  <c r="F30954" i="1"/>
  <c r="F30955" i="1"/>
  <c r="F30956" i="1"/>
  <c r="F30957" i="1"/>
  <c r="F30958" i="1"/>
  <c r="F30959" i="1"/>
  <c r="F30960" i="1"/>
  <c r="F30961" i="1"/>
  <c r="F30962" i="1"/>
  <c r="F30963" i="1"/>
  <c r="F30964" i="1"/>
  <c r="F30965" i="1"/>
  <c r="F30966" i="1"/>
  <c r="F30967" i="1"/>
  <c r="F30968" i="1"/>
  <c r="F30969" i="1"/>
  <c r="F30970" i="1"/>
  <c r="F30971" i="1"/>
  <c r="F30972" i="1"/>
  <c r="F30973" i="1"/>
  <c r="F30974" i="1"/>
  <c r="F30975" i="1"/>
  <c r="F30976" i="1"/>
  <c r="F30977" i="1"/>
  <c r="F30978" i="1"/>
  <c r="F30979" i="1"/>
  <c r="F30980" i="1"/>
  <c r="F30981" i="1"/>
  <c r="F30982" i="1"/>
  <c r="F30983" i="1"/>
  <c r="F30984" i="1"/>
  <c r="F30985" i="1"/>
  <c r="F30986" i="1"/>
  <c r="F30987" i="1"/>
  <c r="F30988" i="1"/>
  <c r="F30989" i="1"/>
  <c r="F30990" i="1"/>
  <c r="F30991" i="1"/>
  <c r="F30992" i="1"/>
  <c r="F30993" i="1"/>
  <c r="F30994" i="1"/>
  <c r="F30995" i="1"/>
  <c r="F30996" i="1"/>
  <c r="F30997" i="1"/>
  <c r="F30998" i="1"/>
  <c r="F30999" i="1"/>
  <c r="F31000" i="1"/>
  <c r="F31001" i="1"/>
  <c r="F31002" i="1"/>
  <c r="F31003" i="1"/>
  <c r="F31004" i="1"/>
  <c r="F31005" i="1"/>
  <c r="F31006" i="1"/>
  <c r="F31007" i="1"/>
  <c r="F31008" i="1"/>
  <c r="F31009" i="1"/>
  <c r="F31010" i="1"/>
  <c r="F31011" i="1"/>
  <c r="F31012" i="1"/>
  <c r="F31013" i="1"/>
  <c r="F31014" i="1"/>
  <c r="F31015" i="1"/>
  <c r="F31016" i="1"/>
  <c r="F31017" i="1"/>
  <c r="F31018" i="1"/>
  <c r="F31019" i="1"/>
  <c r="F31020" i="1"/>
  <c r="F31021" i="1"/>
  <c r="F31022" i="1"/>
  <c r="F31023" i="1"/>
  <c r="F31024" i="1"/>
  <c r="F31025" i="1"/>
  <c r="F31026" i="1"/>
  <c r="F31027" i="1"/>
  <c r="F31028" i="1"/>
  <c r="F31029" i="1"/>
  <c r="F31030" i="1"/>
  <c r="F31031" i="1"/>
  <c r="F31032" i="1"/>
  <c r="F31033" i="1"/>
  <c r="F31034" i="1"/>
  <c r="F31035" i="1"/>
  <c r="F31036" i="1"/>
  <c r="F31037" i="1"/>
  <c r="F31038" i="1"/>
  <c r="F31039" i="1"/>
  <c r="F31040" i="1"/>
  <c r="F31041" i="1"/>
  <c r="F31042" i="1"/>
  <c r="F31043" i="1"/>
  <c r="F31044" i="1"/>
  <c r="F31045" i="1"/>
  <c r="F31046" i="1"/>
  <c r="F31047" i="1"/>
  <c r="F31048" i="1"/>
  <c r="F31049" i="1"/>
  <c r="F31050" i="1"/>
  <c r="F31051" i="1"/>
  <c r="F31052" i="1"/>
  <c r="F31053" i="1"/>
  <c r="F31054" i="1"/>
  <c r="F31055" i="1"/>
  <c r="F31056" i="1"/>
  <c r="F31057" i="1"/>
  <c r="F31058" i="1"/>
  <c r="F31059" i="1"/>
  <c r="F31060" i="1"/>
  <c r="F31061" i="1"/>
  <c r="F31062" i="1"/>
  <c r="F31063" i="1"/>
  <c r="F31064" i="1"/>
  <c r="F31065" i="1"/>
  <c r="F31066" i="1"/>
  <c r="F31067" i="1"/>
  <c r="F31068" i="1"/>
  <c r="F31069" i="1"/>
  <c r="F31070" i="1"/>
  <c r="F31071" i="1"/>
  <c r="F31072" i="1"/>
  <c r="F31073" i="1"/>
  <c r="F31074" i="1"/>
  <c r="F31075" i="1"/>
  <c r="F31076" i="1"/>
  <c r="F31077" i="1"/>
  <c r="F31078" i="1"/>
  <c r="F31079" i="1"/>
  <c r="F31080" i="1"/>
  <c r="F31081" i="1"/>
  <c r="F31082" i="1"/>
  <c r="F31083" i="1"/>
  <c r="F31084" i="1"/>
  <c r="F31085" i="1"/>
  <c r="F31086" i="1"/>
  <c r="F31087" i="1"/>
  <c r="F31088" i="1"/>
  <c r="F31089" i="1"/>
  <c r="F31090" i="1"/>
  <c r="F31091" i="1"/>
  <c r="F31092" i="1"/>
  <c r="F31093" i="1"/>
  <c r="F31094" i="1"/>
  <c r="F31095" i="1"/>
  <c r="F31096" i="1"/>
  <c r="F31097" i="1"/>
  <c r="F31098" i="1"/>
  <c r="F31099" i="1"/>
  <c r="F31100" i="1"/>
  <c r="F31101" i="1"/>
  <c r="F31102" i="1"/>
  <c r="F31103" i="1"/>
  <c r="F31104" i="1"/>
  <c r="F31105" i="1"/>
  <c r="F31106" i="1"/>
  <c r="F31107" i="1"/>
  <c r="F31108" i="1"/>
  <c r="F31109" i="1"/>
  <c r="F31110" i="1"/>
  <c r="F31111" i="1"/>
  <c r="F31112" i="1"/>
  <c r="F31113" i="1"/>
  <c r="F31114" i="1"/>
  <c r="F31115" i="1"/>
  <c r="F31116" i="1"/>
  <c r="F31117" i="1"/>
  <c r="F31118" i="1"/>
  <c r="F31119" i="1"/>
  <c r="F31120" i="1"/>
  <c r="F31121" i="1"/>
  <c r="F31122" i="1"/>
  <c r="F31123" i="1"/>
  <c r="F31124" i="1"/>
  <c r="F31125" i="1"/>
  <c r="F31126" i="1"/>
  <c r="F31127" i="1"/>
  <c r="F31128" i="1"/>
  <c r="F31129" i="1"/>
  <c r="F31130" i="1"/>
  <c r="F31131" i="1"/>
  <c r="F31132" i="1"/>
  <c r="F31133" i="1"/>
  <c r="F31134" i="1"/>
  <c r="F31135" i="1"/>
  <c r="F31136" i="1"/>
  <c r="F31137" i="1"/>
  <c r="F31138" i="1"/>
  <c r="F31139" i="1"/>
  <c r="F31140" i="1"/>
  <c r="F31141" i="1"/>
  <c r="F31142" i="1"/>
  <c r="F31143" i="1"/>
  <c r="F31144" i="1"/>
  <c r="F31145" i="1"/>
  <c r="F31146" i="1"/>
  <c r="F31147" i="1"/>
  <c r="F31148" i="1"/>
  <c r="F31149" i="1"/>
  <c r="F31150" i="1"/>
  <c r="F31151" i="1"/>
  <c r="F31152" i="1"/>
  <c r="F31153" i="1"/>
  <c r="F31154" i="1"/>
  <c r="F31155" i="1"/>
  <c r="F31156" i="1"/>
  <c r="F31157" i="1"/>
  <c r="F31158" i="1"/>
  <c r="F31159" i="1"/>
  <c r="F31160" i="1"/>
  <c r="F31161" i="1"/>
  <c r="F31162" i="1"/>
  <c r="F31163" i="1"/>
  <c r="F31164" i="1"/>
  <c r="F31165" i="1"/>
  <c r="F31166" i="1"/>
  <c r="F31167" i="1"/>
  <c r="F31168" i="1"/>
  <c r="F31169" i="1"/>
  <c r="F31170" i="1"/>
  <c r="F31171" i="1"/>
  <c r="F31172" i="1"/>
  <c r="F31173" i="1"/>
  <c r="F31174" i="1"/>
  <c r="F31175" i="1"/>
  <c r="F31176" i="1"/>
  <c r="F31177" i="1"/>
  <c r="F31178" i="1"/>
  <c r="F31179" i="1"/>
  <c r="F31180" i="1"/>
  <c r="F31181" i="1"/>
  <c r="F31182" i="1"/>
  <c r="F31183" i="1"/>
  <c r="F31184" i="1"/>
  <c r="F31185" i="1"/>
  <c r="F31186" i="1"/>
  <c r="F31187" i="1"/>
  <c r="F31188" i="1"/>
  <c r="F31189" i="1"/>
  <c r="F31190" i="1"/>
  <c r="F31191" i="1"/>
  <c r="F31192" i="1"/>
  <c r="F31193" i="1"/>
  <c r="F31194" i="1"/>
  <c r="F31195" i="1"/>
  <c r="F31196" i="1"/>
  <c r="F31197" i="1"/>
  <c r="F31198" i="1"/>
  <c r="F31199" i="1"/>
  <c r="F31200" i="1"/>
  <c r="F31201" i="1"/>
  <c r="F31202" i="1"/>
  <c r="F31203" i="1"/>
  <c r="F31204" i="1"/>
  <c r="F31205" i="1"/>
  <c r="F31206" i="1"/>
  <c r="F31207" i="1"/>
  <c r="F31208" i="1"/>
  <c r="F31209" i="1"/>
  <c r="F31210" i="1"/>
  <c r="F31211" i="1"/>
  <c r="F31212" i="1"/>
  <c r="F31213" i="1"/>
  <c r="F31214" i="1"/>
  <c r="F31215" i="1"/>
  <c r="F31216" i="1"/>
  <c r="F31217" i="1"/>
  <c r="F31218" i="1"/>
  <c r="F31219" i="1"/>
  <c r="F31220" i="1"/>
  <c r="F31221" i="1"/>
  <c r="F31222" i="1"/>
  <c r="F31223" i="1"/>
  <c r="F31224" i="1"/>
  <c r="F31225" i="1"/>
  <c r="F31226" i="1"/>
  <c r="F31227" i="1"/>
  <c r="F31228" i="1"/>
  <c r="F31229" i="1"/>
  <c r="F31230" i="1"/>
  <c r="F31231" i="1"/>
  <c r="F31232" i="1"/>
  <c r="F31233" i="1"/>
  <c r="F31234" i="1"/>
  <c r="F31235" i="1"/>
  <c r="F31236" i="1"/>
  <c r="F31237" i="1"/>
  <c r="F31238" i="1"/>
  <c r="F31239" i="1"/>
  <c r="F31240" i="1"/>
  <c r="F31241" i="1"/>
  <c r="F31242" i="1"/>
  <c r="F31243" i="1"/>
  <c r="F31244" i="1"/>
  <c r="F31245" i="1"/>
  <c r="F31246" i="1"/>
  <c r="F31247" i="1"/>
  <c r="F31248" i="1"/>
  <c r="F31249" i="1"/>
  <c r="F31250" i="1"/>
  <c r="F31251" i="1"/>
  <c r="F31252" i="1"/>
  <c r="F31253" i="1"/>
  <c r="F31254" i="1"/>
  <c r="F31255" i="1"/>
  <c r="F31256" i="1"/>
  <c r="F31257" i="1"/>
  <c r="F31258" i="1"/>
  <c r="F31259" i="1"/>
  <c r="F31260" i="1"/>
  <c r="F31261" i="1"/>
  <c r="F31262" i="1"/>
  <c r="F31263" i="1"/>
  <c r="F31264" i="1"/>
  <c r="F31265" i="1"/>
  <c r="F31266" i="1"/>
  <c r="F31267" i="1"/>
  <c r="F31268" i="1"/>
  <c r="F31269" i="1"/>
  <c r="F31270" i="1"/>
  <c r="F31271" i="1"/>
  <c r="F31272" i="1"/>
  <c r="F31273" i="1"/>
  <c r="F31274" i="1"/>
  <c r="F31275" i="1"/>
  <c r="F31276" i="1"/>
  <c r="F31277" i="1"/>
  <c r="F31278" i="1"/>
  <c r="F31279" i="1"/>
  <c r="F31280" i="1"/>
  <c r="F31281" i="1"/>
  <c r="F31282" i="1"/>
  <c r="F31283" i="1"/>
  <c r="F31284" i="1"/>
  <c r="F31285" i="1"/>
  <c r="F31286" i="1"/>
  <c r="F31287" i="1"/>
  <c r="F31288" i="1"/>
  <c r="F31289" i="1"/>
  <c r="F31290" i="1"/>
  <c r="F31291" i="1"/>
  <c r="F31292" i="1"/>
  <c r="F31293" i="1"/>
  <c r="F31294" i="1"/>
  <c r="F31295" i="1"/>
  <c r="F31296" i="1"/>
  <c r="F31297" i="1"/>
  <c r="F31298" i="1"/>
  <c r="F31299" i="1"/>
  <c r="F31300" i="1"/>
  <c r="F31301" i="1"/>
  <c r="F31302" i="1"/>
  <c r="F31303" i="1"/>
  <c r="F31304" i="1"/>
  <c r="F31305" i="1"/>
  <c r="F31306" i="1"/>
  <c r="F31307" i="1"/>
  <c r="F31308" i="1"/>
  <c r="F31309" i="1"/>
  <c r="F31310" i="1"/>
  <c r="F31311" i="1"/>
  <c r="F31312" i="1"/>
  <c r="F31313" i="1"/>
  <c r="F31314" i="1"/>
  <c r="F31315" i="1"/>
  <c r="F31316" i="1"/>
  <c r="F31317" i="1"/>
  <c r="F31318" i="1"/>
  <c r="F31319" i="1"/>
  <c r="F31320" i="1"/>
  <c r="F31321" i="1"/>
  <c r="F31322" i="1"/>
  <c r="F31323" i="1"/>
  <c r="F31324" i="1"/>
  <c r="F31325" i="1"/>
  <c r="F31326" i="1"/>
  <c r="F31327" i="1"/>
  <c r="F31328" i="1"/>
  <c r="F31329" i="1"/>
  <c r="F31330" i="1"/>
  <c r="F31331" i="1"/>
  <c r="F31332" i="1"/>
  <c r="F31333" i="1"/>
  <c r="F31334" i="1"/>
  <c r="F31335" i="1"/>
  <c r="F31336" i="1"/>
  <c r="F31337" i="1"/>
  <c r="F31338" i="1"/>
  <c r="F31339" i="1"/>
  <c r="F31340" i="1"/>
  <c r="F31341" i="1"/>
  <c r="F31342" i="1"/>
  <c r="F31343" i="1"/>
  <c r="F31344" i="1"/>
  <c r="F31345" i="1"/>
  <c r="F31346" i="1"/>
  <c r="F31347" i="1"/>
  <c r="F31348" i="1"/>
  <c r="F31349" i="1"/>
  <c r="F31350" i="1"/>
  <c r="F31351" i="1"/>
  <c r="F31352" i="1"/>
  <c r="F31353" i="1"/>
  <c r="F31354" i="1"/>
  <c r="F31355" i="1"/>
  <c r="F31356" i="1"/>
  <c r="F31357" i="1"/>
  <c r="F31358" i="1"/>
  <c r="F31359" i="1"/>
  <c r="F31360" i="1"/>
  <c r="F31361" i="1"/>
  <c r="F31362" i="1"/>
  <c r="F31363" i="1"/>
  <c r="F31364" i="1"/>
  <c r="F31365" i="1"/>
  <c r="F31366" i="1"/>
  <c r="F31367" i="1"/>
  <c r="F31368" i="1"/>
  <c r="F31369" i="1"/>
  <c r="F31370" i="1"/>
  <c r="F31371" i="1"/>
  <c r="F31372" i="1"/>
  <c r="F31373" i="1"/>
  <c r="F31374" i="1"/>
  <c r="F31375" i="1"/>
  <c r="F31376" i="1"/>
  <c r="F31377" i="1"/>
  <c r="F31378" i="1"/>
  <c r="F31379" i="1"/>
  <c r="F31380" i="1"/>
  <c r="F31381" i="1"/>
  <c r="F31382" i="1"/>
  <c r="F31383" i="1"/>
  <c r="F31384" i="1"/>
  <c r="F31385" i="1"/>
  <c r="F31386" i="1"/>
  <c r="F31387" i="1"/>
  <c r="F31388" i="1"/>
  <c r="F31389" i="1"/>
  <c r="F31390" i="1"/>
  <c r="F31391" i="1"/>
  <c r="F31392" i="1"/>
  <c r="F31393" i="1"/>
  <c r="F31394" i="1"/>
  <c r="F31395" i="1"/>
  <c r="F31396" i="1"/>
  <c r="F31397" i="1"/>
  <c r="F31398" i="1"/>
  <c r="F31399" i="1"/>
  <c r="F31400" i="1"/>
  <c r="F31401" i="1"/>
  <c r="F31402" i="1"/>
  <c r="F31403" i="1"/>
  <c r="F31404" i="1"/>
  <c r="F31405" i="1"/>
  <c r="F31406" i="1"/>
  <c r="F31407" i="1"/>
  <c r="F31408" i="1"/>
  <c r="F31409" i="1"/>
  <c r="F31410" i="1"/>
  <c r="F31411" i="1"/>
  <c r="F31412" i="1"/>
  <c r="F31413" i="1"/>
  <c r="F31414" i="1"/>
  <c r="F31415" i="1"/>
  <c r="F31416" i="1"/>
  <c r="F31417" i="1"/>
  <c r="F31418" i="1"/>
  <c r="F31419" i="1"/>
  <c r="F31420" i="1"/>
  <c r="F31421" i="1"/>
  <c r="F31422" i="1"/>
  <c r="F31423" i="1"/>
  <c r="F31424" i="1"/>
  <c r="F31425" i="1"/>
  <c r="F31426" i="1"/>
  <c r="F31427" i="1"/>
  <c r="F31428" i="1"/>
  <c r="F31429" i="1"/>
  <c r="F31430" i="1"/>
  <c r="F31431" i="1"/>
  <c r="F31432" i="1"/>
  <c r="F31433" i="1"/>
  <c r="F31434" i="1"/>
  <c r="F31435" i="1"/>
  <c r="F31436" i="1"/>
  <c r="F31437" i="1"/>
  <c r="F31438" i="1"/>
  <c r="F31439" i="1"/>
  <c r="F31440" i="1"/>
  <c r="F31441" i="1"/>
  <c r="F31442" i="1"/>
  <c r="F31443" i="1"/>
  <c r="F31444" i="1"/>
  <c r="F31445" i="1"/>
  <c r="F31446" i="1"/>
  <c r="F31447" i="1"/>
  <c r="F31448" i="1"/>
  <c r="F31449" i="1"/>
  <c r="F31450" i="1"/>
  <c r="F31451" i="1"/>
  <c r="F31452" i="1"/>
  <c r="F31453" i="1"/>
  <c r="F31454" i="1"/>
  <c r="F31455" i="1"/>
  <c r="F31456" i="1"/>
  <c r="F31457" i="1"/>
  <c r="F31458" i="1"/>
  <c r="F31459" i="1"/>
  <c r="F31460" i="1"/>
  <c r="F31461" i="1"/>
  <c r="F31462" i="1"/>
  <c r="F31463" i="1"/>
  <c r="F31464" i="1"/>
  <c r="F31465" i="1"/>
  <c r="F31466" i="1"/>
  <c r="F31467" i="1"/>
  <c r="F31468" i="1"/>
  <c r="F31469" i="1"/>
  <c r="F31470" i="1"/>
  <c r="F31471" i="1"/>
  <c r="F31472" i="1"/>
  <c r="F31473" i="1"/>
  <c r="F31474" i="1"/>
  <c r="F31475" i="1"/>
  <c r="F31476" i="1"/>
  <c r="F31477" i="1"/>
  <c r="F31478" i="1"/>
  <c r="F31479" i="1"/>
  <c r="F31480" i="1"/>
  <c r="F31481" i="1"/>
  <c r="F31482" i="1"/>
  <c r="F31483" i="1"/>
  <c r="F31484" i="1"/>
  <c r="F31485" i="1"/>
  <c r="F31486" i="1"/>
  <c r="F31487" i="1"/>
  <c r="F31488" i="1"/>
  <c r="F31489" i="1"/>
  <c r="F31490" i="1"/>
  <c r="F31491" i="1"/>
  <c r="F31492" i="1"/>
  <c r="F31493" i="1"/>
  <c r="F31494" i="1"/>
  <c r="F31495" i="1"/>
  <c r="F31496" i="1"/>
  <c r="F31497" i="1"/>
  <c r="F31498" i="1"/>
  <c r="F31499" i="1"/>
  <c r="F31500" i="1"/>
  <c r="F31501" i="1"/>
  <c r="F31502" i="1"/>
  <c r="F31503" i="1"/>
  <c r="F31504" i="1"/>
  <c r="F31505" i="1"/>
  <c r="F31506" i="1"/>
  <c r="F31507" i="1"/>
  <c r="F31508" i="1"/>
  <c r="F31509" i="1"/>
  <c r="F31510" i="1"/>
  <c r="F31511" i="1"/>
  <c r="F31512" i="1"/>
  <c r="F31513" i="1"/>
  <c r="F31514" i="1"/>
  <c r="F31515" i="1"/>
  <c r="F31516" i="1"/>
  <c r="F31517" i="1"/>
  <c r="F31518" i="1"/>
  <c r="F31519" i="1"/>
  <c r="F31520" i="1"/>
  <c r="F31521" i="1"/>
  <c r="F31522" i="1"/>
  <c r="F31523" i="1"/>
  <c r="F31524" i="1"/>
  <c r="F31525" i="1"/>
  <c r="F31526" i="1"/>
  <c r="F31527" i="1"/>
  <c r="F31528" i="1"/>
  <c r="F31529" i="1"/>
  <c r="F31530" i="1"/>
  <c r="F31531" i="1"/>
  <c r="F31532" i="1"/>
  <c r="F31533" i="1"/>
  <c r="F31534" i="1"/>
  <c r="F31535" i="1"/>
  <c r="F31536" i="1"/>
  <c r="F31537" i="1"/>
  <c r="F31538" i="1"/>
  <c r="F31539" i="1"/>
  <c r="F31540" i="1"/>
  <c r="F31541" i="1"/>
  <c r="F31542" i="1"/>
  <c r="F31543" i="1"/>
  <c r="F31544" i="1"/>
  <c r="F31545" i="1"/>
  <c r="F31546" i="1"/>
  <c r="F31547" i="1"/>
  <c r="F31548" i="1"/>
  <c r="F31549" i="1"/>
  <c r="F31550" i="1"/>
  <c r="F31551" i="1"/>
  <c r="F31552" i="1"/>
  <c r="F31553" i="1"/>
  <c r="F31554" i="1"/>
  <c r="F31555" i="1"/>
  <c r="F31556" i="1"/>
  <c r="F31557" i="1"/>
  <c r="F31558" i="1"/>
  <c r="F31559" i="1"/>
  <c r="F31560" i="1"/>
  <c r="F31561" i="1"/>
  <c r="F31562" i="1"/>
  <c r="F31563" i="1"/>
  <c r="F31564" i="1"/>
  <c r="F31565" i="1"/>
  <c r="F31566" i="1"/>
  <c r="F31567" i="1"/>
  <c r="F31568" i="1"/>
  <c r="F31569" i="1"/>
  <c r="F31570" i="1"/>
  <c r="F31571" i="1"/>
  <c r="F31572" i="1"/>
  <c r="F31573" i="1"/>
  <c r="F31574" i="1"/>
  <c r="F31575" i="1"/>
  <c r="F31576" i="1"/>
  <c r="F31577" i="1"/>
  <c r="F31578" i="1"/>
  <c r="F31579" i="1"/>
  <c r="F31580" i="1"/>
  <c r="F31581" i="1"/>
  <c r="F31582" i="1"/>
  <c r="F31583" i="1"/>
  <c r="F31584" i="1"/>
  <c r="F31585" i="1"/>
  <c r="F31586" i="1"/>
  <c r="F31587" i="1"/>
  <c r="F31588" i="1"/>
  <c r="F31589" i="1"/>
  <c r="F31590" i="1"/>
  <c r="F31591" i="1"/>
  <c r="F31592" i="1"/>
  <c r="F31593" i="1"/>
  <c r="F31594" i="1"/>
  <c r="F31595" i="1"/>
  <c r="F31596" i="1"/>
  <c r="F31597" i="1"/>
  <c r="F31598" i="1"/>
  <c r="F31599" i="1"/>
  <c r="F31600" i="1"/>
  <c r="F31601" i="1"/>
  <c r="F31602" i="1"/>
  <c r="F31603" i="1"/>
  <c r="F31604" i="1"/>
  <c r="F31605" i="1"/>
  <c r="F31606" i="1"/>
  <c r="F31607" i="1"/>
  <c r="F31608" i="1"/>
  <c r="F31609" i="1"/>
  <c r="F31610" i="1"/>
  <c r="F31611" i="1"/>
  <c r="F31612" i="1"/>
  <c r="F31613" i="1"/>
  <c r="F31614" i="1"/>
  <c r="F31615" i="1"/>
  <c r="F31616" i="1"/>
  <c r="F31617" i="1"/>
  <c r="F31618" i="1"/>
  <c r="F31619" i="1"/>
  <c r="F31620" i="1"/>
  <c r="F31621" i="1"/>
  <c r="F31622" i="1"/>
  <c r="F31623" i="1"/>
  <c r="F31624" i="1"/>
  <c r="F31625" i="1"/>
  <c r="F31626" i="1"/>
  <c r="F31627" i="1"/>
  <c r="F31628" i="1"/>
  <c r="F31629" i="1"/>
  <c r="F31630" i="1"/>
  <c r="F31631" i="1"/>
  <c r="F31632" i="1"/>
  <c r="F31633" i="1"/>
  <c r="F31634" i="1"/>
  <c r="F31635" i="1"/>
  <c r="F31636" i="1"/>
  <c r="F31637" i="1"/>
  <c r="F31638" i="1"/>
  <c r="F31639" i="1"/>
  <c r="F31640" i="1"/>
  <c r="F31641" i="1"/>
  <c r="F31642" i="1"/>
  <c r="F31643" i="1"/>
  <c r="F31644" i="1"/>
  <c r="F31645" i="1"/>
  <c r="F31646" i="1"/>
  <c r="F31647" i="1"/>
  <c r="F31648" i="1"/>
  <c r="F31649" i="1"/>
  <c r="F31650" i="1"/>
  <c r="F31651" i="1"/>
  <c r="F31652" i="1"/>
  <c r="F31653" i="1"/>
  <c r="F31654" i="1"/>
  <c r="F31655" i="1"/>
  <c r="F31656" i="1"/>
  <c r="F31657" i="1"/>
  <c r="F31658" i="1"/>
  <c r="F31659" i="1"/>
  <c r="F31660" i="1"/>
  <c r="F31661" i="1"/>
  <c r="F31662" i="1"/>
  <c r="F31663" i="1"/>
  <c r="F31664" i="1"/>
  <c r="F31665" i="1"/>
  <c r="F31666" i="1"/>
  <c r="F31667" i="1"/>
  <c r="F31668" i="1"/>
  <c r="F31669" i="1"/>
  <c r="F31670" i="1"/>
  <c r="F31671" i="1"/>
  <c r="F31672" i="1"/>
  <c r="F31673" i="1"/>
  <c r="F31674" i="1"/>
  <c r="F31675" i="1"/>
  <c r="F31676" i="1"/>
  <c r="F31677" i="1"/>
  <c r="F31678" i="1"/>
  <c r="F31679" i="1"/>
  <c r="F31680" i="1"/>
  <c r="F31681" i="1"/>
  <c r="F31682" i="1"/>
  <c r="F31683" i="1"/>
  <c r="F31684" i="1"/>
  <c r="F31685" i="1"/>
  <c r="F31686" i="1"/>
  <c r="F31687" i="1"/>
  <c r="F31688" i="1"/>
  <c r="F31689" i="1"/>
  <c r="F31690" i="1"/>
  <c r="F31691" i="1"/>
  <c r="F31692" i="1"/>
  <c r="F31693" i="1"/>
  <c r="F31694" i="1"/>
  <c r="F31695" i="1"/>
  <c r="F31696" i="1"/>
  <c r="F31697" i="1"/>
  <c r="F31698" i="1"/>
  <c r="F31699" i="1"/>
  <c r="F31700" i="1"/>
  <c r="F31701" i="1"/>
  <c r="F31702" i="1"/>
  <c r="F31703" i="1"/>
  <c r="F31704" i="1"/>
  <c r="F31705" i="1"/>
  <c r="F31706" i="1"/>
  <c r="F31707" i="1"/>
  <c r="F31708" i="1"/>
  <c r="F31709" i="1"/>
  <c r="F31710" i="1"/>
  <c r="F31711" i="1"/>
  <c r="F31712" i="1"/>
  <c r="F31713" i="1"/>
  <c r="F31714" i="1"/>
  <c r="F31715" i="1"/>
  <c r="F31716" i="1"/>
  <c r="F31717" i="1"/>
  <c r="F31718" i="1"/>
  <c r="F31719" i="1"/>
  <c r="F31720" i="1"/>
  <c r="F31721" i="1"/>
  <c r="F31722" i="1"/>
  <c r="F31723" i="1"/>
  <c r="F31724" i="1"/>
  <c r="F31725" i="1"/>
  <c r="F31726" i="1"/>
  <c r="F31727" i="1"/>
  <c r="F31728" i="1"/>
  <c r="F31729" i="1"/>
  <c r="F31730" i="1"/>
  <c r="F31731" i="1"/>
  <c r="F31732" i="1"/>
  <c r="F31733" i="1"/>
  <c r="F31734" i="1"/>
  <c r="F31735" i="1"/>
  <c r="F31736" i="1"/>
  <c r="F31737" i="1"/>
  <c r="F31738" i="1"/>
  <c r="F31739" i="1"/>
  <c r="F31740" i="1"/>
  <c r="F31741" i="1"/>
  <c r="F31742" i="1"/>
  <c r="F31743" i="1"/>
  <c r="F31744" i="1"/>
  <c r="F31745" i="1"/>
  <c r="F31746" i="1"/>
  <c r="F31747" i="1"/>
  <c r="F31748" i="1"/>
  <c r="F31749" i="1"/>
  <c r="F31750" i="1"/>
  <c r="F31751" i="1"/>
  <c r="F31752" i="1"/>
  <c r="F31753" i="1"/>
  <c r="F31754" i="1"/>
  <c r="F31755" i="1"/>
  <c r="F31756" i="1"/>
  <c r="F31757" i="1"/>
  <c r="F31758" i="1"/>
  <c r="F31759" i="1"/>
  <c r="F31760" i="1"/>
  <c r="F31761" i="1"/>
  <c r="F31762" i="1"/>
  <c r="F31763" i="1"/>
  <c r="F31764" i="1"/>
  <c r="F31765" i="1"/>
  <c r="F31766" i="1"/>
  <c r="F31767" i="1"/>
  <c r="F31768" i="1"/>
  <c r="F31769" i="1"/>
  <c r="F31770" i="1"/>
  <c r="F31771" i="1"/>
  <c r="F31772" i="1"/>
  <c r="F31773" i="1"/>
  <c r="F31774" i="1"/>
  <c r="F31775" i="1"/>
  <c r="F31776" i="1"/>
  <c r="F31777" i="1"/>
  <c r="F31778" i="1"/>
  <c r="F31779" i="1"/>
  <c r="F31780" i="1"/>
  <c r="F31781" i="1"/>
  <c r="F31782" i="1"/>
  <c r="F31783" i="1"/>
  <c r="F31784" i="1"/>
  <c r="F31785" i="1"/>
  <c r="F31786" i="1"/>
  <c r="F31787" i="1"/>
  <c r="F31788" i="1"/>
  <c r="F31789" i="1"/>
  <c r="F31790" i="1"/>
  <c r="F31791" i="1"/>
  <c r="F31792" i="1"/>
  <c r="F31793" i="1"/>
  <c r="F31794" i="1"/>
  <c r="F31795" i="1"/>
  <c r="F31796" i="1"/>
  <c r="F31797" i="1"/>
  <c r="F31798" i="1"/>
  <c r="F31799" i="1"/>
  <c r="F31800" i="1"/>
  <c r="F31801" i="1"/>
  <c r="F31802" i="1"/>
  <c r="F31803" i="1"/>
  <c r="F31804" i="1"/>
  <c r="F31805" i="1"/>
  <c r="F31806" i="1"/>
  <c r="F31807" i="1"/>
  <c r="F31808" i="1"/>
  <c r="F31809" i="1"/>
  <c r="F31810" i="1"/>
  <c r="F31811" i="1"/>
  <c r="F31812" i="1"/>
  <c r="F31813" i="1"/>
  <c r="F31814" i="1"/>
  <c r="F31815" i="1"/>
  <c r="F31816" i="1"/>
  <c r="F31817" i="1"/>
  <c r="F31818" i="1"/>
  <c r="F31819" i="1"/>
  <c r="F31820" i="1"/>
  <c r="F31821" i="1"/>
  <c r="F31822" i="1"/>
  <c r="F31823" i="1"/>
  <c r="F31824" i="1"/>
  <c r="F31825" i="1"/>
  <c r="F31826" i="1"/>
  <c r="F31827" i="1"/>
  <c r="F31828" i="1"/>
  <c r="F31829" i="1"/>
  <c r="F31830" i="1"/>
  <c r="F31831" i="1"/>
  <c r="F31832" i="1"/>
  <c r="F31833" i="1"/>
  <c r="F31834" i="1"/>
  <c r="F31835" i="1"/>
  <c r="F31836" i="1"/>
  <c r="F31837" i="1"/>
  <c r="F31838" i="1"/>
  <c r="F31839" i="1"/>
  <c r="F31840" i="1"/>
  <c r="F31841" i="1"/>
  <c r="F31842" i="1"/>
  <c r="F31843" i="1"/>
  <c r="F31844" i="1"/>
  <c r="F31845" i="1"/>
  <c r="F31846" i="1"/>
  <c r="F31847" i="1"/>
  <c r="F31848" i="1"/>
  <c r="F31849" i="1"/>
  <c r="F31850" i="1"/>
  <c r="F31851" i="1"/>
  <c r="F31852" i="1"/>
  <c r="F31853" i="1"/>
  <c r="F31854" i="1"/>
  <c r="F31855" i="1"/>
  <c r="F31856" i="1"/>
  <c r="F31857" i="1"/>
  <c r="F31858" i="1"/>
  <c r="F31859" i="1"/>
  <c r="F31860" i="1"/>
  <c r="F31861" i="1"/>
  <c r="F31862" i="1"/>
  <c r="F31863" i="1"/>
  <c r="F31864" i="1"/>
  <c r="F31865" i="1"/>
  <c r="F31866" i="1"/>
  <c r="F31867" i="1"/>
  <c r="F31868" i="1"/>
  <c r="F31869" i="1"/>
  <c r="F31870" i="1"/>
  <c r="F31871" i="1"/>
  <c r="F31872" i="1"/>
  <c r="F31873" i="1"/>
  <c r="F31874" i="1"/>
  <c r="F31875" i="1"/>
  <c r="F31876" i="1"/>
  <c r="F31877" i="1"/>
  <c r="F31878" i="1"/>
  <c r="F31879" i="1"/>
  <c r="F31880" i="1"/>
  <c r="F31881" i="1"/>
  <c r="F31882" i="1"/>
  <c r="F31883" i="1"/>
  <c r="F31884" i="1"/>
  <c r="F31885" i="1"/>
  <c r="F31886" i="1"/>
  <c r="F31887" i="1"/>
  <c r="F31888" i="1"/>
  <c r="F31889" i="1"/>
  <c r="F31890" i="1"/>
  <c r="F31891" i="1"/>
  <c r="F31892" i="1"/>
  <c r="F31893" i="1"/>
  <c r="F31894" i="1"/>
  <c r="F31895" i="1"/>
  <c r="F31896" i="1"/>
  <c r="F31897" i="1"/>
  <c r="F31898" i="1"/>
  <c r="F31899" i="1"/>
  <c r="F31900" i="1"/>
  <c r="F31901" i="1"/>
  <c r="F31902" i="1"/>
  <c r="F31903" i="1"/>
  <c r="F31904" i="1"/>
  <c r="F31905" i="1"/>
  <c r="F31906" i="1"/>
  <c r="F31907" i="1"/>
  <c r="F31908" i="1"/>
  <c r="F31909" i="1"/>
  <c r="F31910" i="1"/>
  <c r="F31911" i="1"/>
  <c r="F31912" i="1"/>
  <c r="F31913" i="1"/>
  <c r="F31914" i="1"/>
  <c r="F31915" i="1"/>
  <c r="F31916" i="1"/>
  <c r="F31917" i="1"/>
  <c r="F31918" i="1"/>
  <c r="F31919" i="1"/>
  <c r="F31920" i="1"/>
  <c r="F31921" i="1"/>
  <c r="F31922" i="1"/>
  <c r="F31923" i="1"/>
  <c r="F31924" i="1"/>
  <c r="F31925" i="1"/>
  <c r="F31926" i="1"/>
  <c r="F31927" i="1"/>
  <c r="F31928" i="1"/>
  <c r="F31929" i="1"/>
  <c r="F31930" i="1"/>
  <c r="F31931" i="1"/>
  <c r="F31932" i="1"/>
  <c r="F31933" i="1"/>
  <c r="F31934" i="1"/>
  <c r="F31935" i="1"/>
  <c r="F31936" i="1"/>
  <c r="F31937" i="1"/>
  <c r="F31938" i="1"/>
  <c r="F31939" i="1"/>
  <c r="F31940" i="1"/>
  <c r="F31941" i="1"/>
  <c r="F31942" i="1"/>
  <c r="F31943" i="1"/>
  <c r="F31944" i="1"/>
  <c r="F31945" i="1"/>
  <c r="F31946" i="1"/>
  <c r="F31947" i="1"/>
  <c r="F31948" i="1"/>
  <c r="F31949" i="1"/>
  <c r="F31950" i="1"/>
  <c r="F31951" i="1"/>
  <c r="F31952" i="1"/>
  <c r="F31953" i="1"/>
  <c r="F31954" i="1"/>
  <c r="F31955" i="1"/>
  <c r="F31956" i="1"/>
  <c r="F31957" i="1"/>
  <c r="F31958" i="1"/>
  <c r="F31959" i="1"/>
  <c r="F31960" i="1"/>
  <c r="F31961" i="1"/>
  <c r="F31962" i="1"/>
  <c r="F31963" i="1"/>
  <c r="F31964" i="1"/>
  <c r="F31965" i="1"/>
  <c r="F31966" i="1"/>
  <c r="F31967" i="1"/>
  <c r="F31968" i="1"/>
  <c r="F31969" i="1"/>
  <c r="F31970" i="1"/>
  <c r="F31971" i="1"/>
  <c r="F31972" i="1"/>
  <c r="F31973" i="1"/>
  <c r="F31974" i="1"/>
  <c r="F31975" i="1"/>
  <c r="F31976" i="1"/>
  <c r="F31977" i="1"/>
  <c r="F31978" i="1"/>
  <c r="F31979" i="1"/>
  <c r="F31980" i="1"/>
  <c r="F31981" i="1"/>
  <c r="F31982" i="1"/>
  <c r="F31983" i="1"/>
  <c r="F31984" i="1"/>
  <c r="F31985" i="1"/>
  <c r="F31986" i="1"/>
  <c r="F31987" i="1"/>
  <c r="F31988" i="1"/>
  <c r="F31989" i="1"/>
  <c r="F31990" i="1"/>
  <c r="F31991" i="1"/>
  <c r="F31992" i="1"/>
  <c r="F31993" i="1"/>
  <c r="F31994" i="1"/>
  <c r="F31995" i="1"/>
  <c r="F31996" i="1"/>
  <c r="F31997" i="1"/>
  <c r="F31998" i="1"/>
  <c r="F31999" i="1"/>
  <c r="F32000" i="1"/>
  <c r="F32001" i="1"/>
  <c r="F32002" i="1"/>
  <c r="F32003" i="1"/>
  <c r="F32004" i="1"/>
  <c r="F32005" i="1"/>
  <c r="F32006" i="1"/>
  <c r="F32007" i="1"/>
  <c r="F32008" i="1"/>
  <c r="F32009" i="1"/>
  <c r="F32010" i="1"/>
  <c r="F32011" i="1"/>
  <c r="F32012" i="1"/>
  <c r="F32013" i="1"/>
  <c r="F32014" i="1"/>
  <c r="F32015" i="1"/>
  <c r="F32016" i="1"/>
  <c r="F32017" i="1"/>
  <c r="F32018" i="1"/>
  <c r="F32019" i="1"/>
  <c r="F32020" i="1"/>
  <c r="F32021" i="1"/>
  <c r="F32022" i="1"/>
  <c r="F32023" i="1"/>
  <c r="F32024" i="1"/>
  <c r="F32025" i="1"/>
  <c r="F32026" i="1"/>
  <c r="F32027" i="1"/>
  <c r="F32028" i="1"/>
  <c r="F32029" i="1"/>
  <c r="F32030" i="1"/>
  <c r="F32031" i="1"/>
  <c r="F32032" i="1"/>
  <c r="F32033" i="1"/>
  <c r="F32034" i="1"/>
  <c r="F32035" i="1"/>
  <c r="F32036" i="1"/>
  <c r="F32037" i="1"/>
  <c r="F32038" i="1"/>
  <c r="F32039" i="1"/>
  <c r="F32040" i="1"/>
  <c r="F32041" i="1"/>
  <c r="F32042" i="1"/>
  <c r="F32043" i="1"/>
  <c r="F32044" i="1"/>
  <c r="F32045" i="1"/>
  <c r="F32046" i="1"/>
  <c r="F32047" i="1"/>
  <c r="F32048" i="1"/>
  <c r="F32049" i="1"/>
  <c r="F32050" i="1"/>
  <c r="F32051" i="1"/>
  <c r="F32052" i="1"/>
  <c r="F32053" i="1"/>
  <c r="F32054" i="1"/>
  <c r="F32055" i="1"/>
  <c r="F32056" i="1"/>
  <c r="F32057" i="1"/>
  <c r="F32058" i="1"/>
  <c r="F32059" i="1"/>
  <c r="F32060" i="1"/>
  <c r="F32061" i="1"/>
  <c r="F32062" i="1"/>
  <c r="F32063" i="1"/>
  <c r="F32064" i="1"/>
  <c r="F32065" i="1"/>
  <c r="F32066" i="1"/>
  <c r="F32067" i="1"/>
  <c r="F32068" i="1"/>
  <c r="F32069" i="1"/>
  <c r="F32070" i="1"/>
  <c r="F32071" i="1"/>
  <c r="F32072" i="1"/>
  <c r="F32073" i="1"/>
  <c r="F32074" i="1"/>
  <c r="F32075" i="1"/>
  <c r="F32076" i="1"/>
  <c r="F32077" i="1"/>
  <c r="F32078" i="1"/>
  <c r="F32079" i="1"/>
  <c r="F32080" i="1"/>
  <c r="F32081" i="1"/>
  <c r="F32082" i="1"/>
  <c r="F32083" i="1"/>
  <c r="F32084" i="1"/>
  <c r="F32085" i="1"/>
  <c r="F32086" i="1"/>
  <c r="F32087" i="1"/>
  <c r="F32088" i="1"/>
  <c r="F32089" i="1"/>
  <c r="F32090" i="1"/>
  <c r="F32091" i="1"/>
  <c r="F32092" i="1"/>
  <c r="F32093" i="1"/>
  <c r="F32094" i="1"/>
  <c r="F32095" i="1"/>
  <c r="F32096" i="1"/>
  <c r="F32097" i="1"/>
  <c r="F32098" i="1"/>
  <c r="F32099" i="1"/>
  <c r="F32100" i="1"/>
  <c r="F32101" i="1"/>
  <c r="F32102" i="1"/>
  <c r="F32103" i="1"/>
  <c r="F32104" i="1"/>
  <c r="F32105" i="1"/>
  <c r="F32106" i="1"/>
  <c r="F32107" i="1"/>
  <c r="F32108" i="1"/>
  <c r="F32109" i="1"/>
  <c r="F32110" i="1"/>
  <c r="F32111" i="1"/>
  <c r="F32112" i="1"/>
  <c r="F32113" i="1"/>
  <c r="F32114" i="1"/>
  <c r="F32115" i="1"/>
  <c r="F32116" i="1"/>
  <c r="F32117" i="1"/>
  <c r="F32118" i="1"/>
  <c r="F32119" i="1"/>
  <c r="F32120" i="1"/>
  <c r="F32121" i="1"/>
  <c r="F32122" i="1"/>
  <c r="F32123" i="1"/>
  <c r="F32124" i="1"/>
  <c r="F32125" i="1"/>
  <c r="F32126" i="1"/>
  <c r="F32127" i="1"/>
  <c r="F32128" i="1"/>
  <c r="F32129" i="1"/>
  <c r="F32130" i="1"/>
  <c r="F32131" i="1"/>
  <c r="F32132" i="1"/>
  <c r="F32133" i="1"/>
  <c r="F32134" i="1"/>
  <c r="F32135" i="1"/>
  <c r="F32136" i="1"/>
  <c r="F32137" i="1"/>
  <c r="F32138" i="1"/>
  <c r="F32139" i="1"/>
  <c r="F32140" i="1"/>
  <c r="F32141" i="1"/>
  <c r="F32142" i="1"/>
  <c r="F32143" i="1"/>
  <c r="F32144" i="1"/>
  <c r="F32145" i="1"/>
  <c r="F32146" i="1"/>
  <c r="F32147" i="1"/>
  <c r="F32148" i="1"/>
  <c r="F32149" i="1"/>
  <c r="F32150" i="1"/>
  <c r="F32151" i="1"/>
  <c r="F32152" i="1"/>
  <c r="F32153" i="1"/>
  <c r="F32154" i="1"/>
  <c r="F32155" i="1"/>
  <c r="F32156" i="1"/>
  <c r="F32157" i="1"/>
  <c r="F32158" i="1"/>
  <c r="F32159" i="1"/>
  <c r="F32160" i="1"/>
  <c r="F32161" i="1"/>
  <c r="F32162" i="1"/>
  <c r="F32163" i="1"/>
  <c r="F32164" i="1"/>
  <c r="F32165" i="1"/>
  <c r="F32166" i="1"/>
  <c r="F32167" i="1"/>
  <c r="F32168" i="1"/>
  <c r="F32169" i="1"/>
  <c r="F32170" i="1"/>
  <c r="F32171" i="1"/>
  <c r="F32172" i="1"/>
  <c r="F32173" i="1"/>
  <c r="F32174" i="1"/>
  <c r="F32175" i="1"/>
  <c r="F32176" i="1"/>
  <c r="F32177" i="1"/>
  <c r="F32178" i="1"/>
  <c r="F32179" i="1"/>
  <c r="F32180" i="1"/>
  <c r="F32181" i="1"/>
  <c r="F32182" i="1"/>
  <c r="F32183" i="1"/>
  <c r="F32184" i="1"/>
  <c r="F32185" i="1"/>
  <c r="F32186" i="1"/>
  <c r="F32187" i="1"/>
  <c r="F32188" i="1"/>
  <c r="F32189" i="1"/>
  <c r="F32190" i="1"/>
  <c r="F32191" i="1"/>
  <c r="F32192" i="1"/>
  <c r="F32193" i="1"/>
  <c r="F32194" i="1"/>
  <c r="F32195" i="1"/>
  <c r="F32196" i="1"/>
  <c r="F32197" i="1"/>
  <c r="F32198" i="1"/>
  <c r="F32199" i="1"/>
  <c r="F32200" i="1"/>
  <c r="F32201" i="1"/>
  <c r="F32202" i="1"/>
  <c r="F32203" i="1"/>
  <c r="F32204" i="1"/>
  <c r="F32205" i="1"/>
  <c r="F32206" i="1"/>
  <c r="F32207" i="1"/>
  <c r="F32208" i="1"/>
  <c r="F32209" i="1"/>
  <c r="F32210" i="1"/>
  <c r="F32211" i="1"/>
  <c r="F32212" i="1"/>
  <c r="F32213" i="1"/>
  <c r="F32214" i="1"/>
  <c r="F32215" i="1"/>
  <c r="F32216" i="1"/>
  <c r="F32217" i="1"/>
  <c r="F32218" i="1"/>
  <c r="F32219" i="1"/>
  <c r="F32220" i="1"/>
  <c r="F32221" i="1"/>
  <c r="F32222" i="1"/>
  <c r="F32223" i="1"/>
  <c r="F32224" i="1"/>
  <c r="F32225" i="1"/>
  <c r="F32226" i="1"/>
  <c r="F32227" i="1"/>
  <c r="F32228" i="1"/>
  <c r="F32229" i="1"/>
  <c r="F32230" i="1"/>
  <c r="F32231" i="1"/>
  <c r="F32232" i="1"/>
  <c r="F32233" i="1"/>
  <c r="F32234" i="1"/>
  <c r="F32235" i="1"/>
  <c r="F32236" i="1"/>
  <c r="F32237" i="1"/>
  <c r="F32238" i="1"/>
  <c r="F32239" i="1"/>
  <c r="F32240" i="1"/>
  <c r="F32241" i="1"/>
  <c r="F32242" i="1"/>
  <c r="F32243" i="1"/>
  <c r="F32244" i="1"/>
  <c r="F32245" i="1"/>
  <c r="F32246" i="1"/>
  <c r="F32247" i="1"/>
  <c r="F32248" i="1"/>
  <c r="F32249" i="1"/>
  <c r="F32250" i="1"/>
  <c r="F32251" i="1"/>
  <c r="F32252" i="1"/>
  <c r="F32253" i="1"/>
  <c r="F32254" i="1"/>
  <c r="F32255" i="1"/>
  <c r="F32256" i="1"/>
  <c r="F32257" i="1"/>
  <c r="F32258" i="1"/>
  <c r="F32259" i="1"/>
  <c r="F32260" i="1"/>
  <c r="F32261" i="1"/>
  <c r="F32262" i="1"/>
  <c r="F32263" i="1"/>
  <c r="F32264" i="1"/>
  <c r="F32265" i="1"/>
  <c r="F32266" i="1"/>
  <c r="F32267" i="1"/>
  <c r="F32268" i="1"/>
  <c r="F32269" i="1"/>
  <c r="F32270" i="1"/>
  <c r="F32271" i="1"/>
  <c r="F32272" i="1"/>
  <c r="F32273" i="1"/>
  <c r="F32274" i="1"/>
  <c r="F32275" i="1"/>
  <c r="F32276" i="1"/>
  <c r="F32277" i="1"/>
  <c r="F32278" i="1"/>
  <c r="F32279" i="1"/>
  <c r="F32280" i="1"/>
  <c r="F32281" i="1"/>
  <c r="F32282" i="1"/>
  <c r="F32283" i="1"/>
  <c r="F32284" i="1"/>
  <c r="F32285" i="1"/>
  <c r="F32286" i="1"/>
  <c r="F32287" i="1"/>
  <c r="F32288" i="1"/>
  <c r="F32289" i="1"/>
  <c r="F32290" i="1"/>
  <c r="F32291" i="1"/>
  <c r="F32292" i="1"/>
  <c r="F32293" i="1"/>
  <c r="F32294" i="1"/>
  <c r="F32295" i="1"/>
  <c r="F32296" i="1"/>
  <c r="F32297" i="1"/>
  <c r="F32298" i="1"/>
  <c r="F32299" i="1"/>
  <c r="F32300" i="1"/>
  <c r="F32301" i="1"/>
  <c r="F32302" i="1"/>
  <c r="F32303" i="1"/>
  <c r="F32304" i="1"/>
  <c r="F32305" i="1"/>
  <c r="F32306" i="1"/>
  <c r="F32307" i="1"/>
  <c r="F32308" i="1"/>
  <c r="F32309" i="1"/>
  <c r="F32310" i="1"/>
  <c r="F32311" i="1"/>
  <c r="F32312" i="1"/>
  <c r="F32313" i="1"/>
  <c r="F32314" i="1"/>
  <c r="F32315" i="1"/>
  <c r="F32316" i="1"/>
  <c r="F32317" i="1"/>
  <c r="F32318" i="1"/>
  <c r="F32319" i="1"/>
  <c r="F32320" i="1"/>
  <c r="F32321" i="1"/>
  <c r="F32322" i="1"/>
  <c r="F32323" i="1"/>
  <c r="F32324" i="1"/>
  <c r="F32325" i="1"/>
  <c r="F32326" i="1"/>
  <c r="F32327" i="1"/>
  <c r="F32328" i="1"/>
  <c r="F32329" i="1"/>
  <c r="F32330" i="1"/>
  <c r="F32331" i="1"/>
  <c r="F32332" i="1"/>
  <c r="F32333" i="1"/>
  <c r="F32334" i="1"/>
  <c r="F32335" i="1"/>
  <c r="F32336" i="1"/>
  <c r="F32337" i="1"/>
  <c r="F32338" i="1"/>
  <c r="F32339" i="1"/>
  <c r="F32340" i="1"/>
  <c r="F32341" i="1"/>
  <c r="F32342" i="1"/>
  <c r="F32343" i="1"/>
  <c r="F32344" i="1"/>
  <c r="F32345" i="1"/>
  <c r="F32346" i="1"/>
  <c r="F32347" i="1"/>
  <c r="F32348" i="1"/>
  <c r="F32349" i="1"/>
  <c r="F32350" i="1"/>
  <c r="F32351" i="1"/>
  <c r="F32352" i="1"/>
  <c r="F32353" i="1"/>
  <c r="F32354" i="1"/>
  <c r="F32355" i="1"/>
  <c r="F32356" i="1"/>
  <c r="F32357" i="1"/>
  <c r="F32358" i="1"/>
  <c r="F32359" i="1"/>
  <c r="F32360" i="1"/>
  <c r="F32361" i="1"/>
  <c r="F32362" i="1"/>
  <c r="F32363" i="1"/>
  <c r="F32364" i="1"/>
  <c r="F32365" i="1"/>
  <c r="F32366" i="1"/>
  <c r="F32367" i="1"/>
  <c r="F32368" i="1"/>
  <c r="F32369" i="1"/>
  <c r="F32370" i="1"/>
  <c r="F32371" i="1"/>
  <c r="F32372" i="1"/>
  <c r="F32373" i="1"/>
  <c r="F32374" i="1"/>
  <c r="F32375" i="1"/>
  <c r="F32376" i="1"/>
  <c r="F32377" i="1"/>
  <c r="F32378" i="1"/>
  <c r="F32379" i="1"/>
  <c r="F32380" i="1"/>
  <c r="F32381" i="1"/>
  <c r="F32382" i="1"/>
  <c r="F32383" i="1"/>
  <c r="F32384" i="1"/>
  <c r="F32385" i="1"/>
  <c r="F32386" i="1"/>
  <c r="F32387" i="1"/>
  <c r="F32388" i="1"/>
  <c r="F32389" i="1"/>
  <c r="F32390" i="1"/>
  <c r="F32391" i="1"/>
  <c r="F32392" i="1"/>
  <c r="F32393" i="1"/>
  <c r="F32394" i="1"/>
  <c r="F32395" i="1"/>
  <c r="F32396" i="1"/>
  <c r="F32397" i="1"/>
  <c r="F32398" i="1"/>
  <c r="F32399" i="1"/>
  <c r="F32400" i="1"/>
  <c r="F32401" i="1"/>
  <c r="F32402" i="1"/>
  <c r="F32403" i="1"/>
  <c r="F32404" i="1"/>
  <c r="F32405" i="1"/>
  <c r="F32406" i="1"/>
  <c r="F32407" i="1"/>
  <c r="F32408" i="1"/>
  <c r="F32409" i="1"/>
  <c r="F32410" i="1"/>
  <c r="F32411" i="1"/>
  <c r="F32412" i="1"/>
  <c r="F32413" i="1"/>
  <c r="F32414" i="1"/>
  <c r="F32415" i="1"/>
  <c r="F32416" i="1"/>
  <c r="F32417" i="1"/>
  <c r="F32418" i="1"/>
  <c r="F32419" i="1"/>
  <c r="F32420" i="1"/>
  <c r="F32421" i="1"/>
  <c r="F32422" i="1"/>
  <c r="F32423" i="1"/>
  <c r="F32424" i="1"/>
  <c r="F32425" i="1"/>
  <c r="F32426" i="1"/>
  <c r="F32427" i="1"/>
  <c r="F32428" i="1"/>
  <c r="F32429" i="1"/>
  <c r="F32430" i="1"/>
  <c r="F32431" i="1"/>
  <c r="F32432" i="1"/>
  <c r="F32433" i="1"/>
  <c r="F32434" i="1"/>
  <c r="F32435" i="1"/>
  <c r="F32436" i="1"/>
  <c r="F32437" i="1"/>
  <c r="F32438" i="1"/>
  <c r="F32439" i="1"/>
  <c r="F32440" i="1"/>
  <c r="F32441" i="1"/>
  <c r="F32442" i="1"/>
  <c r="F32443" i="1"/>
  <c r="F32444" i="1"/>
  <c r="F32445" i="1"/>
  <c r="F32446" i="1"/>
  <c r="F32447" i="1"/>
  <c r="F32448" i="1"/>
  <c r="F32449" i="1"/>
  <c r="F32450" i="1"/>
  <c r="F32451" i="1"/>
  <c r="F32452" i="1"/>
  <c r="F32453" i="1"/>
  <c r="F32454" i="1"/>
  <c r="F32455" i="1"/>
  <c r="F32456" i="1"/>
  <c r="F32457" i="1"/>
  <c r="F32458" i="1"/>
  <c r="F32459" i="1"/>
  <c r="F32460" i="1"/>
  <c r="F32461" i="1"/>
  <c r="F32462" i="1"/>
  <c r="F32463" i="1"/>
  <c r="F32464" i="1"/>
  <c r="F32465" i="1"/>
  <c r="F32466" i="1"/>
  <c r="F32467" i="1"/>
  <c r="F32468" i="1"/>
  <c r="F32469" i="1"/>
  <c r="F32470" i="1"/>
  <c r="F32471" i="1"/>
  <c r="F32472" i="1"/>
  <c r="F32473" i="1"/>
  <c r="F32474" i="1"/>
  <c r="F32475" i="1"/>
  <c r="F32476" i="1"/>
  <c r="F32477" i="1"/>
  <c r="F32478" i="1"/>
  <c r="F32479" i="1"/>
  <c r="F32480" i="1"/>
  <c r="F32481" i="1"/>
  <c r="F32482" i="1"/>
  <c r="F32483" i="1"/>
  <c r="F32484" i="1"/>
  <c r="F32485" i="1"/>
  <c r="F32486" i="1"/>
  <c r="F32487" i="1"/>
  <c r="F32488" i="1"/>
  <c r="F32489" i="1"/>
  <c r="F32490" i="1"/>
  <c r="F32491" i="1"/>
  <c r="F32492" i="1"/>
  <c r="F32493" i="1"/>
  <c r="F32494" i="1"/>
  <c r="F32495" i="1"/>
  <c r="F32496" i="1"/>
  <c r="F32497" i="1"/>
  <c r="F32498" i="1"/>
  <c r="F32499" i="1"/>
  <c r="F32500" i="1"/>
  <c r="F32501" i="1"/>
  <c r="F32502" i="1"/>
  <c r="F32503" i="1"/>
  <c r="F32504" i="1"/>
  <c r="F32505" i="1"/>
  <c r="F32506" i="1"/>
  <c r="F32507" i="1"/>
  <c r="F32508" i="1"/>
  <c r="F32509" i="1"/>
  <c r="F32510" i="1"/>
  <c r="F32511" i="1"/>
  <c r="F32512" i="1"/>
  <c r="F32513" i="1"/>
  <c r="F32514" i="1"/>
  <c r="F32515" i="1"/>
  <c r="F32516" i="1"/>
  <c r="F32517" i="1"/>
  <c r="F32518" i="1"/>
  <c r="F32519" i="1"/>
  <c r="F32520" i="1"/>
  <c r="F32521" i="1"/>
  <c r="F32522" i="1"/>
  <c r="F32523" i="1"/>
  <c r="F32524" i="1"/>
  <c r="F32525" i="1"/>
  <c r="F32526" i="1"/>
  <c r="F32527" i="1"/>
  <c r="F32528" i="1"/>
  <c r="F32529" i="1"/>
  <c r="F32530" i="1"/>
  <c r="F32531" i="1"/>
  <c r="F32532" i="1"/>
  <c r="F32533" i="1"/>
  <c r="F32534" i="1"/>
  <c r="F32535" i="1"/>
  <c r="F32536" i="1"/>
  <c r="F32537" i="1"/>
  <c r="F32538" i="1"/>
  <c r="F32539" i="1"/>
  <c r="F32540" i="1"/>
  <c r="F32541" i="1"/>
  <c r="F32542" i="1"/>
  <c r="F32543" i="1"/>
  <c r="F32544" i="1"/>
  <c r="F32545" i="1"/>
  <c r="F32546" i="1"/>
  <c r="F32547" i="1"/>
  <c r="F32548" i="1"/>
  <c r="F32549" i="1"/>
  <c r="F32550" i="1"/>
  <c r="F32551" i="1"/>
  <c r="F32552" i="1"/>
  <c r="F32553" i="1"/>
  <c r="F32554" i="1"/>
  <c r="F32555" i="1"/>
  <c r="F32556" i="1"/>
  <c r="F32557" i="1"/>
  <c r="F32558" i="1"/>
  <c r="F32559" i="1"/>
  <c r="F32560" i="1"/>
  <c r="F32561" i="1"/>
  <c r="F32562" i="1"/>
  <c r="F32563" i="1"/>
  <c r="F32564" i="1"/>
  <c r="F32565" i="1"/>
  <c r="F32566" i="1"/>
  <c r="F32567" i="1"/>
  <c r="F32568" i="1"/>
  <c r="F32569" i="1"/>
  <c r="F32570" i="1"/>
  <c r="F32571" i="1"/>
  <c r="F32572" i="1"/>
  <c r="F32573" i="1"/>
  <c r="F32574" i="1"/>
  <c r="F32575" i="1"/>
  <c r="F32576" i="1"/>
  <c r="F32577" i="1"/>
  <c r="F32578" i="1"/>
  <c r="F32579" i="1"/>
  <c r="F32580" i="1"/>
  <c r="F32581" i="1"/>
  <c r="F32582" i="1"/>
  <c r="F32583" i="1"/>
  <c r="F32584" i="1"/>
  <c r="F32585" i="1"/>
  <c r="F32586" i="1"/>
  <c r="F32587" i="1"/>
  <c r="F32588" i="1"/>
  <c r="F32589" i="1"/>
  <c r="F32590" i="1"/>
  <c r="F32591" i="1"/>
  <c r="F32592" i="1"/>
  <c r="F32593" i="1"/>
  <c r="F32594" i="1"/>
  <c r="F32595" i="1"/>
  <c r="F32596" i="1"/>
  <c r="F32597" i="1"/>
  <c r="F32598" i="1"/>
  <c r="F32599" i="1"/>
  <c r="F32600" i="1"/>
  <c r="F32601" i="1"/>
  <c r="F32602" i="1"/>
  <c r="F32603" i="1"/>
  <c r="F32604" i="1"/>
  <c r="F32605" i="1"/>
  <c r="F32606" i="1"/>
  <c r="F32607" i="1"/>
  <c r="F32608" i="1"/>
  <c r="F32609" i="1"/>
  <c r="F32610" i="1"/>
  <c r="F32611" i="1"/>
  <c r="F32612" i="1"/>
  <c r="F32613" i="1"/>
  <c r="F32614" i="1"/>
  <c r="F32615" i="1"/>
  <c r="F32616" i="1"/>
  <c r="F32617" i="1"/>
  <c r="F32618" i="1"/>
  <c r="F32619" i="1"/>
  <c r="F32620" i="1"/>
  <c r="F32621" i="1"/>
  <c r="F32622" i="1"/>
  <c r="F32623" i="1"/>
  <c r="F32624" i="1"/>
  <c r="F32625" i="1"/>
  <c r="F32626" i="1"/>
  <c r="F32627" i="1"/>
  <c r="F32628" i="1"/>
  <c r="F32629" i="1"/>
  <c r="F32630" i="1"/>
  <c r="F32631" i="1"/>
  <c r="F32632" i="1"/>
  <c r="F32633" i="1"/>
  <c r="F32634" i="1"/>
  <c r="F32635" i="1"/>
  <c r="F32636" i="1"/>
  <c r="F32637" i="1"/>
  <c r="F32638" i="1"/>
  <c r="F32639" i="1"/>
  <c r="F32640" i="1"/>
  <c r="F32641" i="1"/>
  <c r="F32642" i="1"/>
  <c r="F32643" i="1"/>
  <c r="F32644" i="1"/>
  <c r="F32645" i="1"/>
  <c r="F32646" i="1"/>
  <c r="F32647" i="1"/>
  <c r="F32648" i="1"/>
  <c r="F32649" i="1"/>
  <c r="F32650" i="1"/>
  <c r="F32651" i="1"/>
  <c r="F32652" i="1"/>
  <c r="F32653" i="1"/>
  <c r="F32654" i="1"/>
  <c r="F32655" i="1"/>
  <c r="F32656" i="1"/>
  <c r="F32657" i="1"/>
  <c r="F32658" i="1"/>
  <c r="F32659" i="1"/>
  <c r="F32660" i="1"/>
  <c r="F32661" i="1"/>
  <c r="F32662" i="1"/>
  <c r="F32663" i="1"/>
  <c r="F32664" i="1"/>
  <c r="F32665" i="1"/>
  <c r="F32666" i="1"/>
  <c r="F32667" i="1"/>
  <c r="F32668" i="1"/>
  <c r="F32669" i="1"/>
  <c r="F32670" i="1"/>
  <c r="F32671" i="1"/>
  <c r="F32672" i="1"/>
  <c r="F32673" i="1"/>
  <c r="F32674" i="1"/>
  <c r="F32675" i="1"/>
  <c r="F32676" i="1"/>
  <c r="F32677" i="1"/>
  <c r="F32678" i="1"/>
  <c r="F32679" i="1"/>
  <c r="F32680" i="1"/>
  <c r="F32681" i="1"/>
  <c r="F32682" i="1"/>
  <c r="F32683" i="1"/>
  <c r="F32684" i="1"/>
  <c r="F32685" i="1"/>
  <c r="F32686" i="1"/>
  <c r="F32687" i="1"/>
  <c r="F32688" i="1"/>
  <c r="F32689" i="1"/>
  <c r="F32690" i="1"/>
  <c r="F32691" i="1"/>
  <c r="F32692" i="1"/>
  <c r="F32693" i="1"/>
  <c r="F32694" i="1"/>
  <c r="F32695" i="1"/>
  <c r="F32696" i="1"/>
  <c r="F32697" i="1"/>
  <c r="F32698" i="1"/>
  <c r="F32699" i="1"/>
  <c r="F32700" i="1"/>
  <c r="F32701" i="1"/>
  <c r="F32702" i="1"/>
  <c r="F32703" i="1"/>
  <c r="F32704" i="1"/>
  <c r="F32705" i="1"/>
  <c r="F32706" i="1"/>
  <c r="F32707" i="1"/>
  <c r="F32708" i="1"/>
  <c r="F32709" i="1"/>
  <c r="F32710" i="1"/>
  <c r="F32711" i="1"/>
  <c r="F32712" i="1"/>
  <c r="F32713" i="1"/>
  <c r="F32714" i="1"/>
  <c r="F32715" i="1"/>
  <c r="F32716" i="1"/>
  <c r="F32717" i="1"/>
  <c r="F32718" i="1"/>
  <c r="F32719" i="1"/>
  <c r="F32720" i="1"/>
  <c r="F32721" i="1"/>
  <c r="F32722" i="1"/>
  <c r="F32723" i="1"/>
  <c r="F32724" i="1"/>
  <c r="F32725" i="1"/>
  <c r="F32726" i="1"/>
  <c r="F32727" i="1"/>
  <c r="F32728" i="1"/>
  <c r="F32729" i="1"/>
  <c r="F32730" i="1"/>
  <c r="F32731" i="1"/>
  <c r="F32732" i="1"/>
  <c r="F32733" i="1"/>
  <c r="F32734" i="1"/>
  <c r="F32735" i="1"/>
  <c r="F32736" i="1"/>
  <c r="F32737" i="1"/>
  <c r="F32738" i="1"/>
  <c r="F32739" i="1"/>
  <c r="F32740" i="1"/>
  <c r="F32741" i="1"/>
  <c r="F32742" i="1"/>
  <c r="F32743" i="1"/>
  <c r="F32744" i="1"/>
  <c r="F32745" i="1"/>
  <c r="F32746" i="1"/>
  <c r="F32747" i="1"/>
  <c r="F32748" i="1"/>
  <c r="F32749" i="1"/>
  <c r="F32750" i="1"/>
  <c r="F32751" i="1"/>
  <c r="F32752" i="1"/>
  <c r="F32753" i="1"/>
  <c r="F32754" i="1"/>
  <c r="F32755" i="1"/>
  <c r="F32756" i="1"/>
  <c r="F32757" i="1"/>
  <c r="F32758" i="1"/>
  <c r="F32759" i="1"/>
  <c r="F32760" i="1"/>
  <c r="F32761" i="1"/>
  <c r="F32762" i="1"/>
  <c r="F32763" i="1"/>
  <c r="F32764" i="1"/>
  <c r="F32765" i="1"/>
  <c r="F32766" i="1"/>
  <c r="F32767" i="1"/>
  <c r="F32768" i="1"/>
  <c r="F32769" i="1"/>
  <c r="F32770" i="1"/>
  <c r="F32771" i="1"/>
  <c r="F32772" i="1"/>
  <c r="F32773" i="1"/>
  <c r="F32774" i="1"/>
  <c r="F32775" i="1"/>
  <c r="F32776" i="1"/>
  <c r="F32777" i="1"/>
  <c r="F32778" i="1"/>
  <c r="F32779" i="1"/>
  <c r="F32780" i="1"/>
  <c r="F32781" i="1"/>
  <c r="F32782" i="1"/>
  <c r="F32783" i="1"/>
  <c r="F32784" i="1"/>
  <c r="F32785" i="1"/>
  <c r="F32786" i="1"/>
  <c r="F32787" i="1"/>
  <c r="F32788" i="1"/>
  <c r="F32789" i="1"/>
  <c r="F32790" i="1"/>
  <c r="F32791" i="1"/>
  <c r="F32792" i="1"/>
  <c r="F32793" i="1"/>
  <c r="F32794" i="1"/>
  <c r="F32795" i="1"/>
  <c r="F32796" i="1"/>
  <c r="F32797" i="1"/>
  <c r="F32798" i="1"/>
  <c r="F32799" i="1"/>
  <c r="F32800" i="1"/>
  <c r="F32801" i="1"/>
  <c r="F32802" i="1"/>
  <c r="F32803" i="1"/>
  <c r="F32804" i="1"/>
  <c r="F32805" i="1"/>
  <c r="F32806" i="1"/>
  <c r="F32807" i="1"/>
  <c r="F32808" i="1"/>
  <c r="F32809" i="1"/>
  <c r="F32810" i="1"/>
  <c r="F32811" i="1"/>
  <c r="F32812" i="1"/>
  <c r="F32813" i="1"/>
  <c r="F32814" i="1"/>
  <c r="F32815" i="1"/>
  <c r="F32816" i="1"/>
  <c r="F32817" i="1"/>
  <c r="F32818" i="1"/>
  <c r="F32819" i="1"/>
  <c r="F32820" i="1"/>
  <c r="F32821" i="1"/>
  <c r="F32822" i="1"/>
  <c r="F32823" i="1"/>
  <c r="F32824" i="1"/>
  <c r="F32825" i="1"/>
  <c r="F32826" i="1"/>
  <c r="F32827" i="1"/>
  <c r="F32828" i="1"/>
  <c r="F32829" i="1"/>
  <c r="F32830" i="1"/>
  <c r="F32831" i="1"/>
  <c r="F32832" i="1"/>
  <c r="F32833" i="1"/>
  <c r="F32834" i="1"/>
  <c r="F32835" i="1"/>
  <c r="F32836" i="1"/>
  <c r="F32837" i="1"/>
  <c r="F32838" i="1"/>
  <c r="F32839" i="1"/>
  <c r="F32840" i="1"/>
  <c r="F32841" i="1"/>
  <c r="F32842" i="1"/>
  <c r="F32843" i="1"/>
  <c r="F32844" i="1"/>
  <c r="F32845" i="1"/>
  <c r="F32846" i="1"/>
  <c r="F32847" i="1"/>
  <c r="F32848" i="1"/>
  <c r="F32849" i="1"/>
  <c r="F32850" i="1"/>
  <c r="F32851" i="1"/>
  <c r="F32852" i="1"/>
  <c r="F32853" i="1"/>
  <c r="F32854" i="1"/>
  <c r="F32855" i="1"/>
  <c r="F32856" i="1"/>
  <c r="F32857" i="1"/>
  <c r="F32858" i="1"/>
  <c r="F32859" i="1"/>
  <c r="F32860" i="1"/>
  <c r="F32861" i="1"/>
  <c r="F32862" i="1"/>
  <c r="F32863" i="1"/>
  <c r="F32864" i="1"/>
  <c r="F32865" i="1"/>
  <c r="F32866" i="1"/>
  <c r="F32867" i="1"/>
  <c r="F32868" i="1"/>
  <c r="F32869" i="1"/>
  <c r="F32870" i="1"/>
  <c r="F32871" i="1"/>
  <c r="F32872" i="1"/>
  <c r="F32873" i="1"/>
  <c r="F32874" i="1"/>
  <c r="F32875" i="1"/>
  <c r="F32876" i="1"/>
  <c r="F32877" i="1"/>
  <c r="F32878" i="1"/>
  <c r="F32879" i="1"/>
  <c r="F32880" i="1"/>
  <c r="F32881" i="1"/>
  <c r="F32882" i="1"/>
  <c r="F32883" i="1"/>
  <c r="F32884" i="1"/>
  <c r="F32885" i="1"/>
  <c r="F32886" i="1"/>
  <c r="F32887" i="1"/>
  <c r="F32888" i="1"/>
  <c r="F32889" i="1"/>
  <c r="F32890" i="1"/>
  <c r="F32891" i="1"/>
  <c r="F32892" i="1"/>
  <c r="F32893" i="1"/>
  <c r="F32894" i="1"/>
  <c r="F32895" i="1"/>
  <c r="F32896" i="1"/>
  <c r="F32897" i="1"/>
  <c r="F32898" i="1"/>
  <c r="F32899" i="1"/>
  <c r="F32900" i="1"/>
  <c r="F32901" i="1"/>
  <c r="F32902" i="1"/>
  <c r="F32903" i="1"/>
  <c r="F32904" i="1"/>
  <c r="F32905" i="1"/>
  <c r="F32906" i="1"/>
  <c r="F32907" i="1"/>
  <c r="F32908" i="1"/>
  <c r="F32909" i="1"/>
  <c r="F32910" i="1"/>
  <c r="F32911" i="1"/>
  <c r="F32912" i="1"/>
  <c r="F32913" i="1"/>
  <c r="F32914" i="1"/>
  <c r="F32915" i="1"/>
  <c r="F32916" i="1"/>
  <c r="F32917" i="1"/>
  <c r="F32918" i="1"/>
  <c r="F32919" i="1"/>
  <c r="F32920" i="1"/>
  <c r="F32921" i="1"/>
  <c r="F32922" i="1"/>
  <c r="F32923" i="1"/>
  <c r="F32924" i="1"/>
  <c r="F32925" i="1"/>
  <c r="F32926" i="1"/>
  <c r="F32927" i="1"/>
  <c r="F32928" i="1"/>
  <c r="F32929" i="1"/>
  <c r="F32930" i="1"/>
  <c r="F32931" i="1"/>
  <c r="F32932" i="1"/>
  <c r="F32933" i="1"/>
  <c r="F32934" i="1"/>
  <c r="F32935" i="1"/>
  <c r="F32936" i="1"/>
  <c r="F32937" i="1"/>
  <c r="F32938" i="1"/>
  <c r="F32939" i="1"/>
  <c r="F32940" i="1"/>
  <c r="F32941" i="1"/>
  <c r="F32942" i="1"/>
  <c r="F32943" i="1"/>
  <c r="F32944" i="1"/>
  <c r="F32945" i="1"/>
  <c r="F32946" i="1"/>
  <c r="F32947" i="1"/>
  <c r="F32948" i="1"/>
  <c r="F32949" i="1"/>
  <c r="F32950" i="1"/>
  <c r="F32951" i="1"/>
  <c r="F32952" i="1"/>
  <c r="F32953" i="1"/>
  <c r="F32954" i="1"/>
  <c r="F32955" i="1"/>
  <c r="F32956" i="1"/>
  <c r="F32957" i="1"/>
  <c r="F32958" i="1"/>
  <c r="F32959" i="1"/>
  <c r="F32960" i="1"/>
  <c r="F32961" i="1"/>
  <c r="F32962" i="1"/>
  <c r="F32963" i="1"/>
  <c r="F32964" i="1"/>
  <c r="F32965" i="1"/>
  <c r="F32966" i="1"/>
  <c r="F32967" i="1"/>
  <c r="F32968" i="1"/>
  <c r="F32969" i="1"/>
  <c r="F32970" i="1"/>
  <c r="F32971" i="1"/>
  <c r="F32972" i="1"/>
  <c r="F32973" i="1"/>
  <c r="F32974" i="1"/>
  <c r="F32975" i="1"/>
  <c r="F32976" i="1"/>
  <c r="F32977" i="1"/>
  <c r="F32978" i="1"/>
  <c r="F32979" i="1"/>
  <c r="F32980" i="1"/>
  <c r="F32981" i="1"/>
  <c r="F32982" i="1"/>
  <c r="F32983" i="1"/>
  <c r="F32984" i="1"/>
  <c r="F32985" i="1"/>
  <c r="F32986" i="1"/>
  <c r="F32987" i="1"/>
  <c r="F32988" i="1"/>
  <c r="F32989" i="1"/>
  <c r="F32990" i="1"/>
  <c r="F32991" i="1"/>
  <c r="F32992" i="1"/>
  <c r="F32993" i="1"/>
  <c r="F32994" i="1"/>
  <c r="F32995" i="1"/>
  <c r="F32996" i="1"/>
  <c r="F32997" i="1"/>
  <c r="F32998" i="1"/>
  <c r="F32999" i="1"/>
  <c r="F33000" i="1"/>
  <c r="F33001" i="1"/>
  <c r="F33002" i="1"/>
  <c r="F33003" i="1"/>
  <c r="F33004" i="1"/>
  <c r="F33005" i="1"/>
  <c r="F33006" i="1"/>
  <c r="F33007" i="1"/>
  <c r="F33008" i="1"/>
  <c r="F33009" i="1"/>
  <c r="F33010" i="1"/>
  <c r="F33011" i="1"/>
  <c r="F33012" i="1"/>
  <c r="F33013" i="1"/>
  <c r="F33014" i="1"/>
  <c r="F33015" i="1"/>
  <c r="F33016" i="1"/>
  <c r="F33017" i="1"/>
  <c r="F33018" i="1"/>
  <c r="F33019" i="1"/>
  <c r="F33020" i="1"/>
  <c r="F33021" i="1"/>
  <c r="F33022" i="1"/>
  <c r="F33023" i="1"/>
  <c r="F33024" i="1"/>
  <c r="F33025" i="1"/>
  <c r="F33026" i="1"/>
  <c r="F33027" i="1"/>
  <c r="F33028" i="1"/>
  <c r="F33029" i="1"/>
  <c r="F33030" i="1"/>
  <c r="F33031" i="1"/>
  <c r="F33032" i="1"/>
  <c r="F33033" i="1"/>
  <c r="F33034" i="1"/>
  <c r="F33035" i="1"/>
  <c r="F33036" i="1"/>
  <c r="F33037" i="1"/>
  <c r="F33038" i="1"/>
  <c r="F33039" i="1"/>
  <c r="F33040" i="1"/>
  <c r="F33041" i="1"/>
  <c r="F33042" i="1"/>
  <c r="F33043" i="1"/>
  <c r="F33044" i="1"/>
  <c r="F33045" i="1"/>
  <c r="F33046" i="1"/>
  <c r="F33047" i="1"/>
  <c r="F33048" i="1"/>
  <c r="F33049" i="1"/>
  <c r="F33050" i="1"/>
  <c r="F33051" i="1"/>
  <c r="F33052" i="1"/>
  <c r="F33053" i="1"/>
  <c r="F33054" i="1"/>
  <c r="F33055" i="1"/>
  <c r="F33056" i="1"/>
  <c r="F33057" i="1"/>
  <c r="F33058" i="1"/>
  <c r="F33059" i="1"/>
  <c r="F33060" i="1"/>
  <c r="F33061" i="1"/>
  <c r="F33062" i="1"/>
  <c r="F33063" i="1"/>
  <c r="F33064" i="1"/>
  <c r="F33065" i="1"/>
  <c r="F33066" i="1"/>
  <c r="F33067" i="1"/>
  <c r="F33068" i="1"/>
  <c r="F33069" i="1"/>
  <c r="F33070" i="1"/>
  <c r="F33071" i="1"/>
  <c r="F33072" i="1"/>
  <c r="F33073" i="1"/>
  <c r="F33074" i="1"/>
  <c r="F33075" i="1"/>
  <c r="F33076" i="1"/>
  <c r="F33077" i="1"/>
  <c r="F33078" i="1"/>
  <c r="F33079" i="1"/>
  <c r="F33080" i="1"/>
  <c r="F33081" i="1"/>
  <c r="F33082" i="1"/>
  <c r="F33083" i="1"/>
  <c r="F33084" i="1"/>
  <c r="F33085" i="1"/>
  <c r="F33086" i="1"/>
  <c r="F33087" i="1"/>
  <c r="F33088" i="1"/>
  <c r="F33089" i="1"/>
  <c r="F33090" i="1"/>
  <c r="F33091" i="1"/>
  <c r="F33092" i="1"/>
  <c r="F33093" i="1"/>
  <c r="F33094" i="1"/>
  <c r="F33095" i="1"/>
  <c r="F33096" i="1"/>
  <c r="F33097" i="1"/>
  <c r="F33098" i="1"/>
  <c r="F33099" i="1"/>
  <c r="F33100" i="1"/>
  <c r="F33101" i="1"/>
  <c r="F33102" i="1"/>
  <c r="F33103" i="1"/>
  <c r="F33104" i="1"/>
  <c r="F33105" i="1"/>
  <c r="F33106" i="1"/>
  <c r="F33107" i="1"/>
  <c r="F33108" i="1"/>
  <c r="F33109" i="1"/>
  <c r="F33110" i="1"/>
  <c r="F33111" i="1"/>
  <c r="F33112" i="1"/>
  <c r="F33113" i="1"/>
  <c r="F33114" i="1"/>
  <c r="F33115" i="1"/>
  <c r="F33116" i="1"/>
  <c r="F33117" i="1"/>
  <c r="F33118" i="1"/>
  <c r="F33119" i="1"/>
  <c r="F33120" i="1"/>
  <c r="F33121" i="1"/>
  <c r="F33122" i="1"/>
  <c r="F33123" i="1"/>
  <c r="F33124" i="1"/>
  <c r="F33125" i="1"/>
  <c r="F33126" i="1"/>
  <c r="F33127" i="1"/>
  <c r="F33128" i="1"/>
  <c r="F33129" i="1"/>
  <c r="F33130" i="1"/>
  <c r="F33131" i="1"/>
  <c r="F33132" i="1"/>
  <c r="F33133" i="1"/>
  <c r="F33134" i="1"/>
  <c r="F33135" i="1"/>
  <c r="F33136" i="1"/>
  <c r="F33137" i="1"/>
  <c r="F33138" i="1"/>
  <c r="F33139" i="1"/>
  <c r="F33140" i="1"/>
  <c r="F33141" i="1"/>
  <c r="F33142" i="1"/>
  <c r="F33143" i="1"/>
  <c r="F33144" i="1"/>
  <c r="F33145" i="1"/>
  <c r="F33146" i="1"/>
  <c r="F33147" i="1"/>
  <c r="F33148" i="1"/>
  <c r="F33149" i="1"/>
  <c r="F33150" i="1"/>
  <c r="F33151" i="1"/>
  <c r="F33152" i="1"/>
  <c r="F33153" i="1"/>
  <c r="F33154" i="1"/>
  <c r="F33155" i="1"/>
  <c r="F33156" i="1"/>
  <c r="F33157" i="1"/>
  <c r="F33158" i="1"/>
  <c r="F33159" i="1"/>
  <c r="F33160" i="1"/>
  <c r="F33161" i="1"/>
  <c r="F33162" i="1"/>
  <c r="F33163" i="1"/>
  <c r="F33164" i="1"/>
  <c r="F33165" i="1"/>
  <c r="F33166" i="1"/>
  <c r="F33167" i="1"/>
  <c r="F33168" i="1"/>
  <c r="F33169" i="1"/>
  <c r="F33170" i="1"/>
  <c r="F33171" i="1"/>
  <c r="F33172" i="1"/>
  <c r="F33173" i="1"/>
  <c r="F33174" i="1"/>
  <c r="F33175" i="1"/>
  <c r="F33176" i="1"/>
  <c r="F33177" i="1"/>
  <c r="F33178" i="1"/>
  <c r="F33179" i="1"/>
  <c r="F33180" i="1"/>
  <c r="F33181" i="1"/>
  <c r="F33182" i="1"/>
  <c r="F33183" i="1"/>
  <c r="F33184" i="1"/>
  <c r="F33185" i="1"/>
  <c r="F33186" i="1"/>
  <c r="F33187" i="1"/>
  <c r="F33188" i="1"/>
  <c r="F33189" i="1"/>
  <c r="F33190" i="1"/>
  <c r="F33191" i="1"/>
  <c r="F33192" i="1"/>
  <c r="F33193" i="1"/>
  <c r="F33194" i="1"/>
  <c r="F33195" i="1"/>
  <c r="F33196" i="1"/>
  <c r="F33197" i="1"/>
  <c r="F33198" i="1"/>
  <c r="F33199" i="1"/>
  <c r="F33200" i="1"/>
  <c r="F33201" i="1"/>
  <c r="F33202" i="1"/>
  <c r="F33203" i="1"/>
  <c r="F33204" i="1"/>
  <c r="F33205" i="1"/>
  <c r="F33206" i="1"/>
  <c r="F33207" i="1"/>
  <c r="F33208" i="1"/>
  <c r="F33209" i="1"/>
  <c r="F33210" i="1"/>
  <c r="F33211" i="1"/>
  <c r="F33212" i="1"/>
  <c r="F33213" i="1"/>
  <c r="F33214" i="1"/>
  <c r="F33215" i="1"/>
  <c r="F33216" i="1"/>
  <c r="F33217" i="1"/>
  <c r="F33218" i="1"/>
  <c r="F33219" i="1"/>
  <c r="F33220" i="1"/>
  <c r="F33221" i="1"/>
  <c r="F33222" i="1"/>
  <c r="F33223" i="1"/>
  <c r="F33224" i="1"/>
  <c r="F33225" i="1"/>
  <c r="F33226" i="1"/>
  <c r="F33227" i="1"/>
  <c r="F33228" i="1"/>
  <c r="F33229" i="1"/>
  <c r="F33230" i="1"/>
  <c r="F33231" i="1"/>
  <c r="F33232" i="1"/>
  <c r="F33233" i="1"/>
  <c r="F33234" i="1"/>
  <c r="F33235" i="1"/>
  <c r="F33236" i="1"/>
  <c r="F33237" i="1"/>
  <c r="F33238" i="1"/>
  <c r="F33239" i="1"/>
  <c r="F33240" i="1"/>
  <c r="F33241" i="1"/>
  <c r="F33242" i="1"/>
  <c r="F33243" i="1"/>
  <c r="F33244" i="1"/>
  <c r="F33245" i="1"/>
  <c r="F33246" i="1"/>
  <c r="F33247" i="1"/>
  <c r="F33248" i="1"/>
  <c r="F33249" i="1"/>
  <c r="F33250" i="1"/>
  <c r="F33251" i="1"/>
  <c r="F33252" i="1"/>
  <c r="F33253" i="1"/>
  <c r="F33254" i="1"/>
  <c r="F33255" i="1"/>
  <c r="F33256" i="1"/>
  <c r="F33257" i="1"/>
  <c r="F33258" i="1"/>
  <c r="F33259" i="1"/>
  <c r="F33260" i="1"/>
  <c r="F33261" i="1"/>
  <c r="F33262" i="1"/>
  <c r="F33263" i="1"/>
  <c r="F33264" i="1"/>
  <c r="F33265" i="1"/>
  <c r="F33266" i="1"/>
  <c r="F33267" i="1"/>
  <c r="F33268" i="1"/>
  <c r="F33269" i="1"/>
  <c r="F33270" i="1"/>
  <c r="F33271" i="1"/>
  <c r="F33272" i="1"/>
  <c r="F33273" i="1"/>
  <c r="F33274" i="1"/>
  <c r="F33275" i="1"/>
  <c r="F33276" i="1"/>
  <c r="F33277" i="1"/>
  <c r="F33278" i="1"/>
  <c r="F33279" i="1"/>
  <c r="F33280" i="1"/>
  <c r="F33281" i="1"/>
  <c r="F33282" i="1"/>
  <c r="F33283" i="1"/>
  <c r="F33284" i="1"/>
  <c r="F33285" i="1"/>
  <c r="F33286" i="1"/>
  <c r="F33287" i="1"/>
  <c r="F33288" i="1"/>
  <c r="F33289" i="1"/>
  <c r="F33290" i="1"/>
  <c r="F33291" i="1"/>
  <c r="F33292" i="1"/>
  <c r="F33293" i="1"/>
  <c r="F33294" i="1"/>
  <c r="F33295" i="1"/>
  <c r="F33296" i="1"/>
  <c r="F33297" i="1"/>
  <c r="F33298" i="1"/>
  <c r="F33299" i="1"/>
  <c r="F33300" i="1"/>
  <c r="F33301" i="1"/>
  <c r="F33302" i="1"/>
  <c r="F33303" i="1"/>
  <c r="F33304" i="1"/>
  <c r="F33305" i="1"/>
  <c r="F33306" i="1"/>
  <c r="F33307" i="1"/>
  <c r="F33308" i="1"/>
  <c r="F33309" i="1"/>
  <c r="F33310" i="1"/>
  <c r="F33311" i="1"/>
  <c r="F33312" i="1"/>
  <c r="F33313" i="1"/>
  <c r="F33314" i="1"/>
  <c r="F33315" i="1"/>
  <c r="F33316" i="1"/>
  <c r="F33317" i="1"/>
  <c r="F33318" i="1"/>
  <c r="F33319" i="1"/>
  <c r="F33320" i="1"/>
  <c r="F33321" i="1"/>
  <c r="F33322" i="1"/>
  <c r="F33323" i="1"/>
  <c r="F33324" i="1"/>
  <c r="F33325" i="1"/>
  <c r="F33326" i="1"/>
  <c r="F33327" i="1"/>
  <c r="F33328" i="1"/>
  <c r="F33329" i="1"/>
  <c r="F33330" i="1"/>
  <c r="F33331" i="1"/>
  <c r="F33332" i="1"/>
  <c r="F33333" i="1"/>
  <c r="F33334" i="1"/>
  <c r="F33335" i="1"/>
  <c r="F33336" i="1"/>
  <c r="F33337" i="1"/>
  <c r="F33338" i="1"/>
  <c r="F33339" i="1"/>
  <c r="F33340" i="1"/>
  <c r="F33341" i="1"/>
  <c r="F33342" i="1"/>
  <c r="F33343" i="1"/>
  <c r="F33344" i="1"/>
  <c r="F33345" i="1"/>
  <c r="F33346" i="1"/>
  <c r="F33347" i="1"/>
  <c r="F33348" i="1"/>
  <c r="F33349" i="1"/>
  <c r="F33350" i="1"/>
  <c r="F33351" i="1"/>
  <c r="F33352" i="1"/>
  <c r="F33353" i="1"/>
  <c r="F33354" i="1"/>
  <c r="F33355" i="1"/>
  <c r="F33356" i="1"/>
  <c r="F33357" i="1"/>
  <c r="F33358" i="1"/>
  <c r="F33359" i="1"/>
  <c r="F33360" i="1"/>
  <c r="F33361" i="1"/>
  <c r="F33362" i="1"/>
  <c r="F33363" i="1"/>
  <c r="F33364" i="1"/>
  <c r="F33365" i="1"/>
  <c r="F33366" i="1"/>
  <c r="F33367" i="1"/>
  <c r="F33368" i="1"/>
  <c r="F33369" i="1"/>
  <c r="F33370" i="1"/>
  <c r="F33371" i="1"/>
  <c r="F33372" i="1"/>
  <c r="F33373" i="1"/>
  <c r="F33374" i="1"/>
  <c r="F33375" i="1"/>
  <c r="F33376" i="1"/>
  <c r="F33377" i="1"/>
  <c r="F33378" i="1"/>
  <c r="F33379" i="1"/>
  <c r="F33380" i="1"/>
  <c r="F33381" i="1"/>
  <c r="F33382" i="1"/>
  <c r="F33383" i="1"/>
  <c r="F33384" i="1"/>
  <c r="F33385" i="1"/>
  <c r="F33386" i="1"/>
  <c r="F33387" i="1"/>
  <c r="F33388" i="1"/>
  <c r="F33389" i="1"/>
  <c r="F33390" i="1"/>
  <c r="F33391" i="1"/>
  <c r="F33392" i="1"/>
  <c r="F33393" i="1"/>
  <c r="F33394" i="1"/>
  <c r="F33395" i="1"/>
  <c r="F33396" i="1"/>
  <c r="F33397" i="1"/>
  <c r="F33398" i="1"/>
  <c r="F33399" i="1"/>
  <c r="F33400" i="1"/>
  <c r="F33401" i="1"/>
  <c r="F33402" i="1"/>
  <c r="F33403" i="1"/>
  <c r="F33404" i="1"/>
  <c r="F33405" i="1"/>
  <c r="F33406" i="1"/>
  <c r="F33407" i="1"/>
  <c r="F33408" i="1"/>
  <c r="F33409" i="1"/>
  <c r="F33410" i="1"/>
  <c r="F33411" i="1"/>
  <c r="F33412" i="1"/>
  <c r="F33413" i="1"/>
  <c r="F33414" i="1"/>
  <c r="F33415" i="1"/>
  <c r="F33416" i="1"/>
  <c r="F33417" i="1"/>
  <c r="F33418" i="1"/>
  <c r="F33419" i="1"/>
  <c r="F33420" i="1"/>
  <c r="F33421" i="1"/>
  <c r="F33422" i="1"/>
  <c r="F33423" i="1"/>
  <c r="F33424" i="1"/>
  <c r="F33425" i="1"/>
  <c r="F33426" i="1"/>
  <c r="F33427" i="1"/>
  <c r="F33428" i="1"/>
  <c r="F33429" i="1"/>
  <c r="F33430" i="1"/>
  <c r="F33431" i="1"/>
  <c r="F33432" i="1"/>
  <c r="F33433" i="1"/>
  <c r="F33434" i="1"/>
  <c r="F33435" i="1"/>
  <c r="F33436" i="1"/>
  <c r="F33437" i="1"/>
  <c r="F33438" i="1"/>
  <c r="F33439" i="1"/>
  <c r="F33440" i="1"/>
  <c r="F33441" i="1"/>
  <c r="F33442" i="1"/>
  <c r="F33443" i="1"/>
  <c r="F33444" i="1"/>
  <c r="F33445" i="1"/>
  <c r="F33446" i="1"/>
  <c r="F33447" i="1"/>
  <c r="F33448" i="1"/>
  <c r="F33449" i="1"/>
  <c r="F33450" i="1"/>
  <c r="F33451" i="1"/>
  <c r="F33452" i="1"/>
  <c r="F33453" i="1"/>
  <c r="F33454" i="1"/>
  <c r="F33455" i="1"/>
  <c r="F33456" i="1"/>
  <c r="F33457" i="1"/>
  <c r="F33458" i="1"/>
  <c r="F33459" i="1"/>
  <c r="F33460" i="1"/>
  <c r="F33461" i="1"/>
  <c r="F33462" i="1"/>
  <c r="F33463" i="1"/>
  <c r="F33464" i="1"/>
  <c r="F33465" i="1"/>
  <c r="F33466" i="1"/>
  <c r="F33467" i="1"/>
  <c r="F33468" i="1"/>
  <c r="F33469" i="1"/>
  <c r="F33470" i="1"/>
  <c r="F33471" i="1"/>
  <c r="F33472" i="1"/>
  <c r="F33473" i="1"/>
  <c r="F33474" i="1"/>
  <c r="F33475" i="1"/>
  <c r="F33476" i="1"/>
  <c r="F33477" i="1"/>
  <c r="F33478" i="1"/>
  <c r="F33479" i="1"/>
  <c r="F33480" i="1"/>
  <c r="F33481" i="1"/>
  <c r="F33482" i="1"/>
  <c r="F33483" i="1"/>
  <c r="F33484" i="1"/>
  <c r="F33485" i="1"/>
  <c r="F33486" i="1"/>
  <c r="F33487" i="1"/>
  <c r="F33488" i="1"/>
  <c r="F33489" i="1"/>
  <c r="F33490" i="1"/>
  <c r="F33491" i="1"/>
  <c r="F33492" i="1"/>
  <c r="F33493" i="1"/>
  <c r="F33494" i="1"/>
  <c r="F33495" i="1"/>
  <c r="F33496" i="1"/>
  <c r="F33497" i="1"/>
  <c r="F33498" i="1"/>
  <c r="F33499" i="1"/>
  <c r="F33500" i="1"/>
  <c r="F33501" i="1"/>
  <c r="F33502" i="1"/>
  <c r="F33503" i="1"/>
  <c r="F33504" i="1"/>
  <c r="F33505" i="1"/>
  <c r="F33506" i="1"/>
  <c r="F33507" i="1"/>
  <c r="F33508" i="1"/>
  <c r="F33509" i="1"/>
  <c r="F33510" i="1"/>
  <c r="F33511" i="1"/>
  <c r="F33512" i="1"/>
  <c r="F33513" i="1"/>
  <c r="F33514" i="1"/>
  <c r="F33515" i="1"/>
  <c r="F33516" i="1"/>
  <c r="F33517" i="1"/>
  <c r="F33518" i="1"/>
  <c r="F33519" i="1"/>
  <c r="F33520" i="1"/>
  <c r="F33521" i="1"/>
  <c r="F33522" i="1"/>
  <c r="F33523" i="1"/>
  <c r="F33524" i="1"/>
  <c r="F33525" i="1"/>
  <c r="F33526" i="1"/>
  <c r="F33527" i="1"/>
  <c r="F33528" i="1"/>
  <c r="F33529" i="1"/>
  <c r="F33530" i="1"/>
  <c r="F33531" i="1"/>
  <c r="F33532" i="1"/>
  <c r="F33533" i="1"/>
  <c r="F33534" i="1"/>
  <c r="F33535" i="1"/>
  <c r="F33536" i="1"/>
  <c r="F33537" i="1"/>
  <c r="F33538" i="1"/>
  <c r="F33539" i="1"/>
  <c r="F33540" i="1"/>
  <c r="F33541" i="1"/>
  <c r="F33542" i="1"/>
  <c r="F33543" i="1"/>
  <c r="F33544" i="1"/>
  <c r="F33545" i="1"/>
  <c r="F33546" i="1"/>
  <c r="F33547" i="1"/>
  <c r="F33548" i="1"/>
  <c r="F33549" i="1"/>
  <c r="F33550" i="1"/>
  <c r="F33551" i="1"/>
  <c r="F33552" i="1"/>
  <c r="F33553" i="1"/>
  <c r="F33554" i="1"/>
  <c r="F33555" i="1"/>
  <c r="F33556" i="1"/>
  <c r="F33557" i="1"/>
  <c r="F33558" i="1"/>
  <c r="F33559" i="1"/>
  <c r="F33560" i="1"/>
  <c r="F33561" i="1"/>
  <c r="F33562" i="1"/>
  <c r="F33563" i="1"/>
  <c r="F33564" i="1"/>
  <c r="F33565" i="1"/>
  <c r="F33566" i="1"/>
  <c r="F33567" i="1"/>
  <c r="F33568" i="1"/>
  <c r="F33569" i="1"/>
  <c r="F33570" i="1"/>
  <c r="F33571" i="1"/>
  <c r="F33572" i="1"/>
  <c r="F33573" i="1"/>
  <c r="F33574" i="1"/>
  <c r="F33575" i="1"/>
  <c r="F33576" i="1"/>
  <c r="F33577" i="1"/>
  <c r="F33578" i="1"/>
  <c r="F33579" i="1"/>
  <c r="F33580" i="1"/>
  <c r="F33581" i="1"/>
  <c r="F33582" i="1"/>
  <c r="F33583" i="1"/>
  <c r="F33584" i="1"/>
  <c r="F33585" i="1"/>
  <c r="F33586" i="1"/>
  <c r="F33587" i="1"/>
  <c r="F33588" i="1"/>
  <c r="F33589" i="1"/>
  <c r="F33590" i="1"/>
  <c r="F33591" i="1"/>
  <c r="F33592" i="1"/>
  <c r="F33593" i="1"/>
  <c r="F33594" i="1"/>
  <c r="F33595" i="1"/>
  <c r="F33596" i="1"/>
  <c r="F33597" i="1"/>
  <c r="F33598" i="1"/>
  <c r="F33599" i="1"/>
  <c r="F33600" i="1"/>
  <c r="F33601" i="1"/>
  <c r="F33602" i="1"/>
  <c r="F33603" i="1"/>
  <c r="F33604" i="1"/>
  <c r="F33605" i="1"/>
  <c r="F33606" i="1"/>
  <c r="F33607" i="1"/>
  <c r="F33608" i="1"/>
  <c r="F33609" i="1"/>
  <c r="F33610" i="1"/>
  <c r="F33611" i="1"/>
  <c r="F33612" i="1"/>
  <c r="F33613" i="1"/>
  <c r="F33614" i="1"/>
  <c r="F33615" i="1"/>
  <c r="F33616" i="1"/>
  <c r="F33617" i="1"/>
  <c r="F33618" i="1"/>
  <c r="F33619" i="1"/>
  <c r="F33620" i="1"/>
  <c r="F33621" i="1"/>
  <c r="F33622" i="1"/>
  <c r="F33623" i="1"/>
  <c r="F33624" i="1"/>
  <c r="F33625" i="1"/>
  <c r="F33626" i="1"/>
  <c r="F33627" i="1"/>
  <c r="F33628" i="1"/>
  <c r="F33629" i="1"/>
  <c r="F33630" i="1"/>
  <c r="F33631" i="1"/>
  <c r="F33632" i="1"/>
  <c r="F33633" i="1"/>
  <c r="F33634" i="1"/>
  <c r="F33635" i="1"/>
  <c r="F33636" i="1"/>
  <c r="F33637" i="1"/>
  <c r="F33638" i="1"/>
  <c r="F33639" i="1"/>
  <c r="F33640" i="1"/>
  <c r="F33641" i="1"/>
  <c r="F33642" i="1"/>
  <c r="F33643" i="1"/>
  <c r="F33644" i="1"/>
  <c r="F33645" i="1"/>
  <c r="F33646" i="1"/>
  <c r="F33647" i="1"/>
  <c r="F33648" i="1"/>
  <c r="F33649" i="1"/>
  <c r="F33650" i="1"/>
  <c r="F33651" i="1"/>
  <c r="F33652" i="1"/>
  <c r="F33653" i="1"/>
  <c r="F33654" i="1"/>
  <c r="F33655" i="1"/>
  <c r="F33656" i="1"/>
  <c r="F33657" i="1"/>
  <c r="F33658" i="1"/>
  <c r="F33659" i="1"/>
  <c r="F33660" i="1"/>
  <c r="F33661" i="1"/>
  <c r="F33662" i="1"/>
  <c r="F33663" i="1"/>
  <c r="F33664" i="1"/>
  <c r="F33665" i="1"/>
  <c r="F33666" i="1"/>
  <c r="F33667" i="1"/>
  <c r="F33668" i="1"/>
  <c r="F33669" i="1"/>
  <c r="F33670" i="1"/>
  <c r="F33671" i="1"/>
  <c r="F33672" i="1"/>
  <c r="F33673" i="1"/>
  <c r="F33674" i="1"/>
  <c r="F33675" i="1"/>
  <c r="F33676" i="1"/>
  <c r="F33677" i="1"/>
  <c r="F33678" i="1"/>
  <c r="F33679" i="1"/>
  <c r="F33680" i="1"/>
  <c r="F33681" i="1"/>
  <c r="F33682" i="1"/>
  <c r="F33683" i="1"/>
  <c r="F33684" i="1"/>
  <c r="F33685" i="1"/>
  <c r="F33686" i="1"/>
  <c r="F33687" i="1"/>
  <c r="F33688" i="1"/>
  <c r="F33689" i="1"/>
  <c r="F33690" i="1"/>
  <c r="F33691" i="1"/>
  <c r="F33692" i="1"/>
  <c r="F33693" i="1"/>
  <c r="F33694" i="1"/>
  <c r="F33695" i="1"/>
  <c r="F33696" i="1"/>
  <c r="F33697" i="1"/>
  <c r="F33698" i="1"/>
  <c r="F33699" i="1"/>
  <c r="F33700" i="1"/>
  <c r="F33701" i="1"/>
  <c r="F33702" i="1"/>
  <c r="F33703" i="1"/>
  <c r="F33704" i="1"/>
  <c r="F33705" i="1"/>
  <c r="F33706" i="1"/>
  <c r="F33707" i="1"/>
  <c r="F33708" i="1"/>
  <c r="F33709" i="1"/>
  <c r="F33710" i="1"/>
  <c r="F33711" i="1"/>
  <c r="F33712" i="1"/>
  <c r="F33713" i="1"/>
  <c r="F33714" i="1"/>
  <c r="F33715" i="1"/>
  <c r="F33716" i="1"/>
  <c r="F33717" i="1"/>
  <c r="F33718" i="1"/>
  <c r="F33719" i="1"/>
  <c r="F33720" i="1"/>
  <c r="F33721" i="1"/>
  <c r="F33722" i="1"/>
  <c r="F33723" i="1"/>
  <c r="F33724" i="1"/>
  <c r="F33725" i="1"/>
  <c r="F33726" i="1"/>
  <c r="F33727" i="1"/>
  <c r="F33728" i="1"/>
  <c r="F33729" i="1"/>
  <c r="F33730" i="1"/>
  <c r="F33731" i="1"/>
  <c r="F33732" i="1"/>
  <c r="F33733" i="1"/>
  <c r="F33734" i="1"/>
  <c r="F33735" i="1"/>
  <c r="F33736" i="1"/>
  <c r="F33737" i="1"/>
  <c r="F33738" i="1"/>
  <c r="F33739" i="1"/>
  <c r="F33740" i="1"/>
  <c r="F33741" i="1"/>
  <c r="F33742" i="1"/>
  <c r="F33743" i="1"/>
  <c r="F33744" i="1"/>
  <c r="F33745" i="1"/>
  <c r="F33746" i="1"/>
  <c r="F33747" i="1"/>
  <c r="F33748" i="1"/>
  <c r="F33749" i="1"/>
  <c r="F33750" i="1"/>
  <c r="F33751" i="1"/>
  <c r="F33752" i="1"/>
  <c r="F33753" i="1"/>
  <c r="F33754" i="1"/>
  <c r="F33755" i="1"/>
  <c r="F33756" i="1"/>
  <c r="F33757" i="1"/>
  <c r="F33758" i="1"/>
  <c r="F33759" i="1"/>
  <c r="F33760" i="1"/>
  <c r="F33761" i="1"/>
  <c r="F33762" i="1"/>
  <c r="F33763" i="1"/>
  <c r="F33764" i="1"/>
  <c r="F33765" i="1"/>
  <c r="F33766" i="1"/>
  <c r="F33767" i="1"/>
  <c r="F33768" i="1"/>
  <c r="F33769" i="1"/>
  <c r="F33770" i="1"/>
  <c r="F33771" i="1"/>
  <c r="F33772" i="1"/>
  <c r="F33773" i="1"/>
  <c r="F33774" i="1"/>
  <c r="F33775" i="1"/>
  <c r="F33776" i="1"/>
  <c r="F33777" i="1"/>
  <c r="F33778" i="1"/>
  <c r="F33779" i="1"/>
  <c r="F33780" i="1"/>
  <c r="F33781" i="1"/>
  <c r="F33782" i="1"/>
  <c r="F33783" i="1"/>
  <c r="F33784" i="1"/>
  <c r="F33785" i="1"/>
  <c r="F33786" i="1"/>
  <c r="F33787" i="1"/>
  <c r="F33788" i="1"/>
  <c r="F33789" i="1"/>
  <c r="F33790" i="1"/>
  <c r="F33791" i="1"/>
  <c r="F33792" i="1"/>
  <c r="F33793" i="1"/>
  <c r="F33794" i="1"/>
  <c r="F33795" i="1"/>
  <c r="F33796" i="1"/>
  <c r="F33797" i="1"/>
  <c r="F33798" i="1"/>
  <c r="F33799" i="1"/>
  <c r="F33800" i="1"/>
  <c r="F33801" i="1"/>
  <c r="F33802" i="1"/>
  <c r="F33803" i="1"/>
  <c r="F33804" i="1"/>
  <c r="F33805" i="1"/>
  <c r="F33806" i="1"/>
  <c r="F33807" i="1"/>
  <c r="F33808" i="1"/>
  <c r="F33809" i="1"/>
  <c r="F33810" i="1"/>
  <c r="F33811" i="1"/>
  <c r="F33812" i="1"/>
  <c r="F33813" i="1"/>
  <c r="F33814" i="1"/>
  <c r="F33815" i="1"/>
  <c r="F33816" i="1"/>
  <c r="F33817" i="1"/>
  <c r="F33818" i="1"/>
  <c r="F33819" i="1"/>
  <c r="F33820" i="1"/>
  <c r="F33821" i="1"/>
  <c r="F33822" i="1"/>
  <c r="F33823" i="1"/>
  <c r="F33824" i="1"/>
  <c r="F33825" i="1"/>
  <c r="F33826" i="1"/>
  <c r="F33827" i="1"/>
  <c r="F33828" i="1"/>
  <c r="F33829" i="1"/>
  <c r="F33830" i="1"/>
  <c r="F33831" i="1"/>
  <c r="F33832" i="1"/>
  <c r="F33833" i="1"/>
  <c r="F33834" i="1"/>
  <c r="F33835" i="1"/>
  <c r="F33836" i="1"/>
  <c r="F33837" i="1"/>
  <c r="F33838" i="1"/>
  <c r="F33839" i="1"/>
  <c r="F33840" i="1"/>
  <c r="F33841" i="1"/>
  <c r="F33842" i="1"/>
  <c r="F33843" i="1"/>
  <c r="F33844" i="1"/>
  <c r="F33845" i="1"/>
  <c r="F33846" i="1"/>
  <c r="F33847" i="1"/>
  <c r="F33848" i="1"/>
  <c r="F33849" i="1"/>
  <c r="F33850" i="1"/>
  <c r="F33851" i="1"/>
  <c r="F33852" i="1"/>
  <c r="F33853" i="1"/>
  <c r="F33854" i="1"/>
  <c r="F33855" i="1"/>
  <c r="F33856" i="1"/>
  <c r="F33857" i="1"/>
  <c r="F33858" i="1"/>
  <c r="F33859" i="1"/>
  <c r="F33860" i="1"/>
  <c r="F33861" i="1"/>
  <c r="F33862" i="1"/>
  <c r="F33863" i="1"/>
  <c r="F33864" i="1"/>
  <c r="F33865" i="1"/>
  <c r="F33866" i="1"/>
  <c r="F33867" i="1"/>
  <c r="F33868" i="1"/>
  <c r="F33869" i="1"/>
  <c r="F33870" i="1"/>
  <c r="F33871" i="1"/>
  <c r="F33872" i="1"/>
  <c r="F33873" i="1"/>
  <c r="F33874" i="1"/>
  <c r="F33875" i="1"/>
  <c r="F33876" i="1"/>
  <c r="F33877" i="1"/>
  <c r="F33878" i="1"/>
  <c r="F33879" i="1"/>
  <c r="F33880" i="1"/>
  <c r="F33881" i="1"/>
  <c r="F33882" i="1"/>
  <c r="F33883" i="1"/>
  <c r="F33884" i="1"/>
  <c r="F33885" i="1"/>
  <c r="F33886" i="1"/>
  <c r="F33887" i="1"/>
  <c r="F33888" i="1"/>
  <c r="F33889" i="1"/>
  <c r="F33890" i="1"/>
  <c r="F33891" i="1"/>
  <c r="F33892" i="1"/>
  <c r="F33893" i="1"/>
  <c r="F33894" i="1"/>
  <c r="F33895" i="1"/>
  <c r="F33896" i="1"/>
  <c r="F33897" i="1"/>
  <c r="F33898" i="1"/>
  <c r="F33899" i="1"/>
  <c r="F33900" i="1"/>
  <c r="F33901" i="1"/>
  <c r="F33902" i="1"/>
  <c r="F33903" i="1"/>
  <c r="F33904" i="1"/>
  <c r="F33905" i="1"/>
  <c r="F33906" i="1"/>
  <c r="F33907" i="1"/>
  <c r="F33908" i="1"/>
  <c r="F33909" i="1"/>
  <c r="F33910" i="1"/>
  <c r="F33911" i="1"/>
  <c r="F33912" i="1"/>
  <c r="F33913" i="1"/>
  <c r="F33914" i="1"/>
  <c r="F33915" i="1"/>
  <c r="F33916" i="1"/>
  <c r="F33917" i="1"/>
  <c r="F33918" i="1"/>
  <c r="F33919" i="1"/>
  <c r="F33920" i="1"/>
  <c r="F33921" i="1"/>
  <c r="F33922" i="1"/>
  <c r="F33923" i="1"/>
  <c r="F33924" i="1"/>
  <c r="F33925" i="1"/>
  <c r="F33926" i="1"/>
  <c r="F33927" i="1"/>
  <c r="F33928" i="1"/>
  <c r="F33929" i="1"/>
  <c r="F33930" i="1"/>
  <c r="F33931" i="1"/>
  <c r="F33932" i="1"/>
  <c r="F33933" i="1"/>
  <c r="F33934" i="1"/>
  <c r="F33935" i="1"/>
  <c r="F33936" i="1"/>
  <c r="F33937" i="1"/>
  <c r="F33938" i="1"/>
  <c r="F33939" i="1"/>
  <c r="F33940" i="1"/>
  <c r="F33941" i="1"/>
  <c r="F33942" i="1"/>
  <c r="F33943" i="1"/>
  <c r="F33944" i="1"/>
  <c r="F33945" i="1"/>
  <c r="F33946" i="1"/>
  <c r="F33947" i="1"/>
  <c r="F33948" i="1"/>
  <c r="F33949" i="1"/>
  <c r="F33950" i="1"/>
  <c r="F33951" i="1"/>
  <c r="F33952" i="1"/>
  <c r="F33953" i="1"/>
  <c r="F33954" i="1"/>
  <c r="F33955" i="1"/>
  <c r="F33956" i="1"/>
  <c r="F33957" i="1"/>
  <c r="F33958" i="1"/>
  <c r="F33959" i="1"/>
  <c r="F33960" i="1"/>
  <c r="F33961" i="1"/>
  <c r="F33962" i="1"/>
  <c r="F33963" i="1"/>
  <c r="F33964" i="1"/>
  <c r="F33965" i="1"/>
  <c r="F33966" i="1"/>
  <c r="F33967" i="1"/>
  <c r="F33968" i="1"/>
  <c r="F33969" i="1"/>
  <c r="F33970" i="1"/>
  <c r="F33971" i="1"/>
  <c r="F33972" i="1"/>
  <c r="F33973" i="1"/>
  <c r="F33974" i="1"/>
  <c r="F33975" i="1"/>
  <c r="F33976" i="1"/>
  <c r="F33977" i="1"/>
  <c r="F33978" i="1"/>
  <c r="F33979" i="1"/>
  <c r="F33980" i="1"/>
  <c r="F33981" i="1"/>
  <c r="F33982" i="1"/>
  <c r="F33983" i="1"/>
  <c r="F33984" i="1"/>
  <c r="F33985" i="1"/>
  <c r="F33986" i="1"/>
  <c r="F33987" i="1"/>
  <c r="F33988" i="1"/>
  <c r="F33989" i="1"/>
  <c r="F33990" i="1"/>
  <c r="F33991" i="1"/>
  <c r="F33992" i="1"/>
  <c r="F33993" i="1"/>
  <c r="F33994" i="1"/>
  <c r="F33995" i="1"/>
  <c r="F33996" i="1"/>
  <c r="F33997" i="1"/>
  <c r="F33998" i="1"/>
  <c r="F33999" i="1"/>
  <c r="F34000" i="1"/>
  <c r="F34001" i="1"/>
  <c r="F34002" i="1"/>
  <c r="F34003" i="1"/>
  <c r="F34004" i="1"/>
  <c r="F34005" i="1"/>
  <c r="F34006" i="1"/>
  <c r="F34007" i="1"/>
  <c r="F34008" i="1"/>
  <c r="F34009" i="1"/>
  <c r="F34010" i="1"/>
  <c r="F34011" i="1"/>
  <c r="F34012" i="1"/>
  <c r="F34013" i="1"/>
  <c r="F34014" i="1"/>
  <c r="F34015" i="1"/>
  <c r="F34016" i="1"/>
  <c r="F34017" i="1"/>
  <c r="F34018" i="1"/>
  <c r="F34019" i="1"/>
  <c r="F34020" i="1"/>
  <c r="F34021" i="1"/>
  <c r="F34022" i="1"/>
  <c r="F34023" i="1"/>
  <c r="F34024" i="1"/>
  <c r="F34025" i="1"/>
  <c r="F34026" i="1"/>
  <c r="F34027" i="1"/>
  <c r="F34028" i="1"/>
  <c r="F34029" i="1"/>
  <c r="F34030" i="1"/>
  <c r="F34031" i="1"/>
  <c r="F34032" i="1"/>
  <c r="F34033" i="1"/>
  <c r="F34034" i="1"/>
  <c r="F34035" i="1"/>
  <c r="F34036" i="1"/>
  <c r="F34037" i="1"/>
  <c r="F34038" i="1"/>
  <c r="F34039" i="1"/>
  <c r="F34040" i="1"/>
  <c r="F34041" i="1"/>
  <c r="F34042" i="1"/>
  <c r="F34043" i="1"/>
  <c r="F34044" i="1"/>
  <c r="F34045" i="1"/>
  <c r="F34046" i="1"/>
  <c r="F34047" i="1"/>
  <c r="F34048" i="1"/>
  <c r="F34049" i="1"/>
  <c r="F34050" i="1"/>
  <c r="F34051" i="1"/>
  <c r="F34052" i="1"/>
  <c r="F34053" i="1"/>
  <c r="F34054" i="1"/>
  <c r="F34055" i="1"/>
  <c r="F34056" i="1"/>
  <c r="F34057" i="1"/>
  <c r="F34058" i="1"/>
  <c r="F34059" i="1"/>
  <c r="F34060" i="1"/>
  <c r="F34061" i="1"/>
  <c r="F34062" i="1"/>
  <c r="F34063" i="1"/>
  <c r="F34064" i="1"/>
  <c r="F34065" i="1"/>
  <c r="F34066" i="1"/>
  <c r="F34067" i="1"/>
  <c r="F34068" i="1"/>
  <c r="F34069" i="1"/>
  <c r="F34070" i="1"/>
  <c r="F34071" i="1"/>
  <c r="F34072" i="1"/>
  <c r="F34073" i="1"/>
  <c r="F34074" i="1"/>
  <c r="F34075" i="1"/>
  <c r="F34076" i="1"/>
  <c r="F34077" i="1"/>
  <c r="F34078" i="1"/>
  <c r="F34079" i="1"/>
  <c r="F34080" i="1"/>
  <c r="F34081" i="1"/>
  <c r="F34082" i="1"/>
  <c r="F34083" i="1"/>
  <c r="F34084" i="1"/>
  <c r="F34085" i="1"/>
  <c r="F34086" i="1"/>
  <c r="F34087" i="1"/>
  <c r="F34088" i="1"/>
  <c r="F34089" i="1"/>
  <c r="F34090" i="1"/>
  <c r="F34091" i="1"/>
  <c r="F34092" i="1"/>
  <c r="F34093" i="1"/>
  <c r="F34094" i="1"/>
  <c r="F34095" i="1"/>
  <c r="F34096" i="1"/>
  <c r="F34097" i="1"/>
  <c r="F34098" i="1"/>
  <c r="F34099" i="1"/>
  <c r="F34100" i="1"/>
  <c r="F34101" i="1"/>
  <c r="F34102" i="1"/>
  <c r="F34103" i="1"/>
  <c r="F34104" i="1"/>
  <c r="F34105" i="1"/>
  <c r="F34106" i="1"/>
  <c r="F34107" i="1"/>
  <c r="F34108" i="1"/>
  <c r="F34109" i="1"/>
  <c r="F34110" i="1"/>
  <c r="F34111" i="1"/>
  <c r="F34112" i="1"/>
  <c r="F34113" i="1"/>
  <c r="F34114" i="1"/>
  <c r="F34115" i="1"/>
  <c r="F34116" i="1"/>
  <c r="F34117" i="1"/>
  <c r="F34118" i="1"/>
  <c r="F34119" i="1"/>
  <c r="F34120" i="1"/>
  <c r="F34121" i="1"/>
  <c r="F34122" i="1"/>
  <c r="F34123" i="1"/>
  <c r="F34124" i="1"/>
  <c r="F34125" i="1"/>
  <c r="F34126" i="1"/>
  <c r="F34127" i="1"/>
  <c r="F34128" i="1"/>
  <c r="F34129" i="1"/>
  <c r="F34130" i="1"/>
  <c r="F34131" i="1"/>
  <c r="F34132" i="1"/>
  <c r="F34133" i="1"/>
  <c r="F34134" i="1"/>
  <c r="F34135" i="1"/>
  <c r="F34136" i="1"/>
  <c r="F34137" i="1"/>
  <c r="F34138" i="1"/>
  <c r="F34139" i="1"/>
  <c r="F34140" i="1"/>
  <c r="F34141" i="1"/>
  <c r="F34142" i="1"/>
  <c r="F34143" i="1"/>
  <c r="F34144" i="1"/>
  <c r="F34145" i="1"/>
  <c r="F34146" i="1"/>
  <c r="F34147" i="1"/>
  <c r="F34148" i="1"/>
  <c r="F34149" i="1"/>
  <c r="F34150" i="1"/>
  <c r="F34151" i="1"/>
  <c r="F34152" i="1"/>
  <c r="F34153" i="1"/>
  <c r="F34154" i="1"/>
  <c r="F34155" i="1"/>
  <c r="F34156" i="1"/>
  <c r="F34157" i="1"/>
  <c r="F34158" i="1"/>
  <c r="F34159" i="1"/>
  <c r="F34160" i="1"/>
  <c r="F34161" i="1"/>
  <c r="F34162" i="1"/>
  <c r="F34163" i="1"/>
  <c r="F34164" i="1"/>
  <c r="F34165" i="1"/>
  <c r="F34166" i="1"/>
  <c r="F34167" i="1"/>
  <c r="F34168" i="1"/>
  <c r="F34169" i="1"/>
  <c r="F34170" i="1"/>
  <c r="F34171" i="1"/>
  <c r="F34172" i="1"/>
  <c r="F34173" i="1"/>
  <c r="F34174" i="1"/>
  <c r="F34175" i="1"/>
  <c r="F34176" i="1"/>
  <c r="F34177" i="1"/>
  <c r="F34178" i="1"/>
  <c r="F34179" i="1"/>
  <c r="F34180" i="1"/>
  <c r="F34181" i="1"/>
  <c r="F34182" i="1"/>
  <c r="F34183" i="1"/>
  <c r="F34184" i="1"/>
  <c r="F34185" i="1"/>
  <c r="F34186" i="1"/>
  <c r="F34187" i="1"/>
  <c r="F34188" i="1"/>
  <c r="F34189" i="1"/>
  <c r="F34190" i="1"/>
  <c r="F34191" i="1"/>
  <c r="F34192" i="1"/>
  <c r="F34193" i="1"/>
  <c r="F34194" i="1"/>
  <c r="F34195" i="1"/>
  <c r="F34196" i="1"/>
  <c r="F34197" i="1"/>
  <c r="F34198" i="1"/>
  <c r="F34199" i="1"/>
  <c r="F34200" i="1"/>
  <c r="F34201" i="1"/>
  <c r="F34202" i="1"/>
  <c r="F34203" i="1"/>
  <c r="F34204" i="1"/>
  <c r="F34205" i="1"/>
  <c r="F34206" i="1"/>
  <c r="F34207" i="1"/>
  <c r="F34208" i="1"/>
  <c r="F34209" i="1"/>
  <c r="F34210" i="1"/>
  <c r="F34211" i="1"/>
  <c r="F34212" i="1"/>
  <c r="F34213" i="1"/>
  <c r="F34214" i="1"/>
  <c r="F34215" i="1"/>
  <c r="F34216" i="1"/>
  <c r="F34217" i="1"/>
  <c r="F34218" i="1"/>
  <c r="F34219" i="1"/>
  <c r="F34220" i="1"/>
  <c r="F34221" i="1"/>
  <c r="F34222" i="1"/>
  <c r="F34223" i="1"/>
  <c r="F34224" i="1"/>
  <c r="F34225" i="1"/>
  <c r="F34226" i="1"/>
  <c r="F34227" i="1"/>
  <c r="F34228" i="1"/>
  <c r="F34229" i="1"/>
  <c r="F34230" i="1"/>
  <c r="F34231" i="1"/>
  <c r="F34232" i="1"/>
  <c r="F34233" i="1"/>
  <c r="F34234" i="1"/>
  <c r="F34235" i="1"/>
  <c r="F34236" i="1"/>
  <c r="F34237" i="1"/>
  <c r="F34238" i="1"/>
  <c r="F34239" i="1"/>
  <c r="F34240" i="1"/>
  <c r="F34241" i="1"/>
  <c r="F34242" i="1"/>
  <c r="F34243" i="1"/>
  <c r="F34244" i="1"/>
  <c r="F34245" i="1"/>
  <c r="F34246" i="1"/>
  <c r="F34247" i="1"/>
  <c r="F34248" i="1"/>
  <c r="F34249" i="1"/>
  <c r="F34250" i="1"/>
  <c r="F34251" i="1"/>
  <c r="F34252" i="1"/>
  <c r="F34253" i="1"/>
  <c r="F34254" i="1"/>
  <c r="F34255" i="1"/>
  <c r="F34256" i="1"/>
  <c r="F34257" i="1"/>
  <c r="F34258" i="1"/>
  <c r="F34259" i="1"/>
  <c r="F34260" i="1"/>
  <c r="F34261" i="1"/>
  <c r="F34262" i="1"/>
  <c r="F34263" i="1"/>
  <c r="F34264" i="1"/>
  <c r="F34265" i="1"/>
  <c r="F34266" i="1"/>
  <c r="F34267" i="1"/>
  <c r="F34268" i="1"/>
  <c r="F34269" i="1"/>
  <c r="F34270" i="1"/>
  <c r="F34271" i="1"/>
  <c r="F34272" i="1"/>
  <c r="F34273" i="1"/>
  <c r="F34274" i="1"/>
  <c r="F34275" i="1"/>
  <c r="F34276" i="1"/>
  <c r="F34277" i="1"/>
  <c r="F34278" i="1"/>
  <c r="F34279" i="1"/>
  <c r="F34280" i="1"/>
  <c r="F34281" i="1"/>
  <c r="F34282" i="1"/>
  <c r="F34283" i="1"/>
  <c r="F34284" i="1"/>
  <c r="F34285" i="1"/>
  <c r="F34286" i="1"/>
  <c r="F34287" i="1"/>
  <c r="F34288" i="1"/>
  <c r="F34289" i="1"/>
  <c r="F34290" i="1"/>
  <c r="F34291" i="1"/>
  <c r="F34292" i="1"/>
  <c r="F34293" i="1"/>
  <c r="F34294" i="1"/>
  <c r="F34295" i="1"/>
  <c r="F34296" i="1"/>
  <c r="F34297" i="1"/>
  <c r="F34298" i="1"/>
  <c r="F34299" i="1"/>
  <c r="F34300" i="1"/>
  <c r="F34301" i="1"/>
  <c r="F34302" i="1"/>
  <c r="F34303" i="1"/>
  <c r="F34304" i="1"/>
  <c r="F34305" i="1"/>
  <c r="F34306" i="1"/>
  <c r="F34307" i="1"/>
  <c r="F34308" i="1"/>
  <c r="F34309" i="1"/>
  <c r="F34310" i="1"/>
  <c r="F34311" i="1"/>
  <c r="F34312" i="1"/>
  <c r="F34313" i="1"/>
  <c r="F34314" i="1"/>
  <c r="F34315" i="1"/>
  <c r="F34316" i="1"/>
  <c r="F34317" i="1"/>
  <c r="F34318" i="1"/>
  <c r="F34319" i="1"/>
  <c r="F34320" i="1"/>
  <c r="F34321" i="1"/>
  <c r="F34322" i="1"/>
  <c r="F34323" i="1"/>
  <c r="F34324" i="1"/>
  <c r="F34325" i="1"/>
  <c r="F34326" i="1"/>
  <c r="F34327" i="1"/>
  <c r="F34328" i="1"/>
  <c r="F34329" i="1"/>
  <c r="F34330" i="1"/>
  <c r="F34331" i="1"/>
  <c r="F34332" i="1"/>
  <c r="F34333" i="1"/>
  <c r="F34334" i="1"/>
  <c r="F34335" i="1"/>
  <c r="F34336" i="1"/>
  <c r="F34337" i="1"/>
  <c r="F34338" i="1"/>
  <c r="F34339" i="1"/>
  <c r="F34340" i="1"/>
  <c r="F34341" i="1"/>
  <c r="F34342" i="1"/>
  <c r="F34343" i="1"/>
  <c r="F34344" i="1"/>
  <c r="F34345" i="1"/>
  <c r="F34346" i="1"/>
  <c r="F34347" i="1"/>
  <c r="F34348" i="1"/>
  <c r="F34349" i="1"/>
  <c r="F34350" i="1"/>
  <c r="F34351" i="1"/>
  <c r="F34352" i="1"/>
  <c r="F34353" i="1"/>
  <c r="F34354" i="1"/>
  <c r="F34355" i="1"/>
  <c r="F34356" i="1"/>
  <c r="F34357" i="1"/>
  <c r="F34358" i="1"/>
  <c r="F34359" i="1"/>
  <c r="F34360" i="1"/>
  <c r="F34361" i="1"/>
  <c r="F34362" i="1"/>
  <c r="F34363" i="1"/>
  <c r="F34364" i="1"/>
  <c r="F34365" i="1"/>
  <c r="F34366" i="1"/>
  <c r="F34367" i="1"/>
  <c r="F34368" i="1"/>
  <c r="F34369" i="1"/>
  <c r="F34370" i="1"/>
  <c r="F34371" i="1"/>
  <c r="F34372" i="1"/>
  <c r="F34373" i="1"/>
  <c r="F34374" i="1"/>
  <c r="F34375" i="1"/>
  <c r="F34376" i="1"/>
  <c r="F34377" i="1"/>
  <c r="F34378" i="1"/>
  <c r="F34379" i="1"/>
  <c r="F34380" i="1"/>
  <c r="F34381" i="1"/>
  <c r="F34382" i="1"/>
  <c r="F34383" i="1"/>
  <c r="F34384" i="1"/>
  <c r="F34385" i="1"/>
  <c r="F34386" i="1"/>
  <c r="F34387" i="1"/>
  <c r="F34388" i="1"/>
  <c r="F34389" i="1"/>
  <c r="F34390" i="1"/>
  <c r="F34391" i="1"/>
  <c r="F34392" i="1"/>
  <c r="F34393" i="1"/>
  <c r="F34394" i="1"/>
  <c r="F34395" i="1"/>
  <c r="F34396" i="1"/>
  <c r="F34397" i="1"/>
  <c r="F34398" i="1"/>
  <c r="F34399" i="1"/>
  <c r="F34400" i="1"/>
  <c r="F34401" i="1"/>
  <c r="F34402" i="1"/>
  <c r="F34403" i="1"/>
  <c r="F34404" i="1"/>
  <c r="F34405" i="1"/>
  <c r="F34406" i="1"/>
  <c r="F34407" i="1"/>
  <c r="F34408" i="1"/>
  <c r="F34409" i="1"/>
  <c r="F34410" i="1"/>
  <c r="F34411" i="1"/>
  <c r="F34412" i="1"/>
  <c r="F34413" i="1"/>
  <c r="F34414" i="1"/>
  <c r="F34415" i="1"/>
  <c r="F34416" i="1"/>
  <c r="F34417" i="1"/>
  <c r="F34418" i="1"/>
  <c r="F34419" i="1"/>
  <c r="F34420" i="1"/>
  <c r="F34421" i="1"/>
  <c r="F34422" i="1"/>
  <c r="F34423" i="1"/>
  <c r="F34424" i="1"/>
  <c r="F34425" i="1"/>
  <c r="F34426" i="1"/>
  <c r="F34427" i="1"/>
  <c r="F34428" i="1"/>
  <c r="F34429" i="1"/>
  <c r="F34430" i="1"/>
  <c r="F34431" i="1"/>
  <c r="F34432" i="1"/>
  <c r="F34433" i="1"/>
  <c r="F34434" i="1"/>
  <c r="F34435" i="1"/>
  <c r="F34436" i="1"/>
  <c r="F34437" i="1"/>
  <c r="F34438" i="1"/>
  <c r="F34439" i="1"/>
  <c r="F34440" i="1"/>
  <c r="F34441" i="1"/>
  <c r="F34442" i="1"/>
  <c r="F34443" i="1"/>
  <c r="F34444" i="1"/>
  <c r="F34445" i="1"/>
  <c r="F34446" i="1"/>
  <c r="F34447" i="1"/>
  <c r="F34448" i="1"/>
  <c r="F34449" i="1"/>
  <c r="F34450" i="1"/>
  <c r="F34451" i="1"/>
  <c r="F34452" i="1"/>
  <c r="F34453" i="1"/>
  <c r="F34454" i="1"/>
  <c r="F34455" i="1"/>
  <c r="F34456" i="1"/>
  <c r="F34457" i="1"/>
  <c r="F34458" i="1"/>
  <c r="F34459" i="1"/>
  <c r="F34460" i="1"/>
  <c r="F34461" i="1"/>
  <c r="F34462" i="1"/>
  <c r="F34463" i="1"/>
  <c r="F34464" i="1"/>
  <c r="F34465" i="1"/>
  <c r="F34466" i="1"/>
  <c r="F34467" i="1"/>
  <c r="F34468" i="1"/>
  <c r="F34469" i="1"/>
  <c r="F34470" i="1"/>
  <c r="F34471" i="1"/>
  <c r="F34472" i="1"/>
  <c r="F34473" i="1"/>
  <c r="F34474" i="1"/>
  <c r="F34475" i="1"/>
  <c r="F34476" i="1"/>
  <c r="F34477" i="1"/>
  <c r="F34478" i="1"/>
  <c r="F34479" i="1"/>
  <c r="F34480" i="1"/>
  <c r="F34481" i="1"/>
  <c r="F34482" i="1"/>
  <c r="F34483" i="1"/>
  <c r="F34484" i="1"/>
  <c r="F34485" i="1"/>
  <c r="F34486" i="1"/>
  <c r="F34487" i="1"/>
  <c r="F34488" i="1"/>
  <c r="F34489" i="1"/>
  <c r="F34490" i="1"/>
  <c r="F34491" i="1"/>
  <c r="F34492" i="1"/>
  <c r="F34493" i="1"/>
  <c r="F34494" i="1"/>
  <c r="F34495" i="1"/>
  <c r="F34496" i="1"/>
  <c r="F34497" i="1"/>
  <c r="F34498" i="1"/>
  <c r="F34499" i="1"/>
  <c r="F34500" i="1"/>
  <c r="F34501" i="1"/>
  <c r="F34502" i="1"/>
  <c r="F34503" i="1"/>
  <c r="F34504" i="1"/>
  <c r="F34505" i="1"/>
  <c r="F34506" i="1"/>
  <c r="F34507" i="1"/>
  <c r="F34508" i="1"/>
  <c r="F34509" i="1"/>
  <c r="F34510" i="1"/>
  <c r="F34511" i="1"/>
  <c r="F34512" i="1"/>
  <c r="F34513" i="1"/>
  <c r="F34514" i="1"/>
  <c r="F34515" i="1"/>
  <c r="F34516" i="1"/>
  <c r="F34517" i="1"/>
  <c r="F34518" i="1"/>
  <c r="F34519" i="1"/>
  <c r="F34520" i="1"/>
  <c r="F34521" i="1"/>
  <c r="F34522" i="1"/>
  <c r="F34523" i="1"/>
  <c r="F34524" i="1"/>
  <c r="F34525" i="1"/>
  <c r="F34526" i="1"/>
  <c r="F34527" i="1"/>
  <c r="F34528" i="1"/>
  <c r="F34529" i="1"/>
  <c r="F34530" i="1"/>
  <c r="F34531" i="1"/>
  <c r="F34532" i="1"/>
  <c r="F34533" i="1"/>
  <c r="F34534" i="1"/>
  <c r="F34535" i="1"/>
  <c r="F34536" i="1"/>
  <c r="F34537" i="1"/>
  <c r="F34538" i="1"/>
  <c r="F34539" i="1"/>
  <c r="F34540" i="1"/>
  <c r="F34541" i="1"/>
  <c r="F34542" i="1"/>
  <c r="F34543" i="1"/>
  <c r="F34544" i="1"/>
  <c r="F34545" i="1"/>
  <c r="F34546" i="1"/>
  <c r="F34547" i="1"/>
  <c r="F34548" i="1"/>
  <c r="F34549" i="1"/>
  <c r="F34550" i="1"/>
  <c r="F34551" i="1"/>
  <c r="F34552" i="1"/>
  <c r="F34553" i="1"/>
  <c r="F34554" i="1"/>
  <c r="F34555" i="1"/>
  <c r="F34556" i="1"/>
  <c r="F34557" i="1"/>
  <c r="F34558" i="1"/>
  <c r="F34559" i="1"/>
  <c r="F34560" i="1"/>
  <c r="F34561" i="1"/>
  <c r="F34562" i="1"/>
  <c r="F34563" i="1"/>
  <c r="F34564" i="1"/>
  <c r="F34565" i="1"/>
  <c r="F34566" i="1"/>
  <c r="F34567" i="1"/>
  <c r="F34568" i="1"/>
  <c r="F34569" i="1"/>
  <c r="F34570" i="1"/>
  <c r="F34571" i="1"/>
  <c r="F34572" i="1"/>
  <c r="F34573" i="1"/>
  <c r="F34574" i="1"/>
  <c r="F34575" i="1"/>
  <c r="F34576" i="1"/>
  <c r="F34577" i="1"/>
  <c r="F34578" i="1"/>
  <c r="F34579" i="1"/>
  <c r="F34580" i="1"/>
  <c r="F34581" i="1"/>
  <c r="F34582" i="1"/>
  <c r="F34583" i="1"/>
  <c r="F34584" i="1"/>
  <c r="F34585" i="1"/>
  <c r="F34586" i="1"/>
  <c r="F34587" i="1"/>
  <c r="F34588" i="1"/>
  <c r="F34589" i="1"/>
  <c r="F34590" i="1"/>
  <c r="F34591" i="1"/>
  <c r="F34592" i="1"/>
  <c r="F34593" i="1"/>
  <c r="F34594" i="1"/>
  <c r="F34595" i="1"/>
  <c r="F34596" i="1"/>
  <c r="F34597" i="1"/>
  <c r="F34598" i="1"/>
  <c r="F34599" i="1"/>
  <c r="F34600" i="1"/>
  <c r="F34601" i="1"/>
  <c r="F34602" i="1"/>
  <c r="F34603" i="1"/>
  <c r="F34604" i="1"/>
  <c r="F34605" i="1"/>
  <c r="F34606" i="1"/>
  <c r="F34607" i="1"/>
  <c r="F34608" i="1"/>
  <c r="F34609" i="1"/>
  <c r="F34610" i="1"/>
  <c r="F34611" i="1"/>
  <c r="F34612" i="1"/>
  <c r="F34613" i="1"/>
  <c r="F34614" i="1"/>
  <c r="F34615" i="1"/>
  <c r="F34616" i="1"/>
  <c r="F34617" i="1"/>
  <c r="F34618" i="1"/>
  <c r="F34619" i="1"/>
  <c r="F34620" i="1"/>
  <c r="F34621" i="1"/>
  <c r="F34622" i="1"/>
  <c r="F34623" i="1"/>
  <c r="F34624" i="1"/>
  <c r="F34625" i="1"/>
  <c r="F34626" i="1"/>
  <c r="F34627" i="1"/>
  <c r="F34628" i="1"/>
  <c r="F34629" i="1"/>
  <c r="F34630" i="1"/>
  <c r="F34631" i="1"/>
  <c r="F34632" i="1"/>
  <c r="F34633" i="1"/>
  <c r="F34634" i="1"/>
  <c r="F34635" i="1"/>
  <c r="F34636" i="1"/>
  <c r="F34637" i="1"/>
  <c r="F34638" i="1"/>
  <c r="F34639" i="1"/>
  <c r="F34640" i="1"/>
  <c r="F34641" i="1"/>
  <c r="F34642" i="1"/>
  <c r="F34643" i="1"/>
  <c r="F34644" i="1"/>
  <c r="F34645" i="1"/>
  <c r="F34646" i="1"/>
  <c r="F34647" i="1"/>
  <c r="F34648" i="1"/>
  <c r="F34649" i="1"/>
  <c r="F34650" i="1"/>
  <c r="F34651" i="1"/>
  <c r="F34652" i="1"/>
  <c r="F34653" i="1"/>
  <c r="F34654" i="1"/>
  <c r="F34655" i="1"/>
  <c r="F34656" i="1"/>
  <c r="F34657" i="1"/>
  <c r="F34658" i="1"/>
  <c r="F34659" i="1"/>
  <c r="F34660" i="1"/>
  <c r="F34661" i="1"/>
  <c r="F34662" i="1"/>
  <c r="F34663" i="1"/>
  <c r="F34664" i="1"/>
  <c r="F34665" i="1"/>
  <c r="F34666" i="1"/>
  <c r="F34667" i="1"/>
  <c r="F34668" i="1"/>
  <c r="F34669" i="1"/>
  <c r="F34670" i="1"/>
  <c r="F34671" i="1"/>
  <c r="F34672" i="1"/>
  <c r="F34673" i="1"/>
  <c r="F34674" i="1"/>
  <c r="F34675" i="1"/>
  <c r="F34676" i="1"/>
  <c r="F34677" i="1"/>
  <c r="F34678" i="1"/>
  <c r="F34679" i="1"/>
  <c r="F34680" i="1"/>
  <c r="F34681" i="1"/>
  <c r="F34682" i="1"/>
  <c r="F34683" i="1"/>
  <c r="F34684" i="1"/>
  <c r="F34685" i="1"/>
  <c r="F34686" i="1"/>
  <c r="F34687" i="1"/>
  <c r="F34688" i="1"/>
  <c r="F34689" i="1"/>
  <c r="F34690" i="1"/>
  <c r="F34691" i="1"/>
  <c r="F34692" i="1"/>
  <c r="F34693" i="1"/>
  <c r="F34694" i="1"/>
  <c r="F34695" i="1"/>
  <c r="F34696" i="1"/>
  <c r="F34697" i="1"/>
  <c r="F34698" i="1"/>
  <c r="F34699" i="1"/>
  <c r="F34700" i="1"/>
  <c r="F34701" i="1"/>
  <c r="F34702" i="1"/>
  <c r="F34703" i="1"/>
  <c r="F34704" i="1"/>
  <c r="F34705" i="1"/>
  <c r="F34706" i="1"/>
  <c r="F34707" i="1"/>
  <c r="F34708" i="1"/>
  <c r="F34709" i="1"/>
  <c r="F34710" i="1"/>
  <c r="F34711" i="1"/>
  <c r="F34712" i="1"/>
  <c r="F34713" i="1"/>
  <c r="F34714" i="1"/>
  <c r="F34715" i="1"/>
  <c r="F34716" i="1"/>
  <c r="F34717" i="1"/>
  <c r="F34718" i="1"/>
  <c r="F34719" i="1"/>
  <c r="F34720" i="1"/>
  <c r="F34721" i="1"/>
  <c r="F34722" i="1"/>
  <c r="F34723" i="1"/>
  <c r="F34724" i="1"/>
  <c r="F34725" i="1"/>
  <c r="F34726" i="1"/>
  <c r="F34727" i="1"/>
  <c r="F34728" i="1"/>
  <c r="F34729" i="1"/>
  <c r="F34730" i="1"/>
  <c r="F34731" i="1"/>
  <c r="F34732" i="1"/>
  <c r="F34733" i="1"/>
  <c r="F34734" i="1"/>
  <c r="F34735" i="1"/>
  <c r="F34736" i="1"/>
  <c r="F34737" i="1"/>
  <c r="F34738" i="1"/>
  <c r="F34739" i="1"/>
  <c r="F34740" i="1"/>
  <c r="F34741" i="1"/>
  <c r="F34742" i="1"/>
  <c r="F34743" i="1"/>
  <c r="F34744" i="1"/>
  <c r="F34745" i="1"/>
  <c r="F34746" i="1"/>
  <c r="F34747" i="1"/>
  <c r="F34748" i="1"/>
  <c r="F34749" i="1"/>
  <c r="F34750" i="1"/>
  <c r="F34751" i="1"/>
  <c r="F34752" i="1"/>
  <c r="F34753" i="1"/>
  <c r="F34754" i="1"/>
  <c r="F34755" i="1"/>
  <c r="F34756" i="1"/>
  <c r="F34757" i="1"/>
  <c r="F34758" i="1"/>
  <c r="F34759" i="1"/>
  <c r="F34760" i="1"/>
  <c r="F34761" i="1"/>
  <c r="F34762" i="1"/>
  <c r="F34763" i="1"/>
  <c r="F34764" i="1"/>
  <c r="F34765" i="1"/>
  <c r="F34766" i="1"/>
  <c r="F34767" i="1"/>
  <c r="F34768" i="1"/>
  <c r="F34769" i="1"/>
  <c r="F34770" i="1"/>
  <c r="F34771" i="1"/>
  <c r="F34772" i="1"/>
  <c r="F34773" i="1"/>
  <c r="F34774" i="1"/>
  <c r="F34775" i="1"/>
  <c r="F34776" i="1"/>
  <c r="F34777" i="1"/>
  <c r="F34778" i="1"/>
  <c r="F34779" i="1"/>
  <c r="F34780" i="1"/>
  <c r="F34781" i="1"/>
  <c r="F34782" i="1"/>
  <c r="F34783" i="1"/>
  <c r="F34784" i="1"/>
  <c r="F34785" i="1"/>
  <c r="F34786" i="1"/>
  <c r="F34787" i="1"/>
  <c r="F34788" i="1"/>
  <c r="F34789" i="1"/>
  <c r="F34790" i="1"/>
  <c r="F34791" i="1"/>
  <c r="F34792" i="1"/>
  <c r="F34793" i="1"/>
  <c r="F34794" i="1"/>
  <c r="F34795" i="1"/>
  <c r="F34796" i="1"/>
  <c r="F34797" i="1"/>
  <c r="F34798" i="1"/>
  <c r="F34799" i="1"/>
  <c r="F34800" i="1"/>
  <c r="F34801" i="1"/>
  <c r="F34802" i="1"/>
  <c r="F34803" i="1"/>
  <c r="F34804" i="1"/>
  <c r="F34805" i="1"/>
  <c r="F34806" i="1"/>
  <c r="F34807" i="1"/>
  <c r="F34808" i="1"/>
  <c r="F34809" i="1"/>
  <c r="F34810" i="1"/>
  <c r="F34811" i="1"/>
  <c r="F34812" i="1"/>
  <c r="F34813" i="1"/>
  <c r="F34814" i="1"/>
  <c r="F34815" i="1"/>
  <c r="F34816" i="1"/>
  <c r="F34817" i="1"/>
  <c r="F34818" i="1"/>
  <c r="F34819" i="1"/>
  <c r="F34820" i="1"/>
  <c r="F34821" i="1"/>
  <c r="F34822" i="1"/>
  <c r="F34823" i="1"/>
  <c r="F34824" i="1"/>
  <c r="F34825" i="1"/>
  <c r="F34826" i="1"/>
  <c r="F34827" i="1"/>
  <c r="F34828" i="1"/>
  <c r="F34829" i="1"/>
  <c r="F34830" i="1"/>
  <c r="F34831" i="1"/>
  <c r="F34832" i="1"/>
  <c r="F34833" i="1"/>
  <c r="F34834" i="1"/>
  <c r="F34835" i="1"/>
  <c r="F34836" i="1"/>
  <c r="F34837" i="1"/>
  <c r="F34838" i="1"/>
  <c r="F34839" i="1"/>
  <c r="F34840" i="1"/>
  <c r="F34841" i="1"/>
  <c r="F34842" i="1"/>
  <c r="F34843" i="1"/>
  <c r="F34844" i="1"/>
  <c r="F34845" i="1"/>
  <c r="F34846" i="1"/>
  <c r="F34847" i="1"/>
  <c r="F34848" i="1"/>
  <c r="F34849" i="1"/>
  <c r="F34850" i="1"/>
  <c r="F34851" i="1"/>
  <c r="F34852" i="1"/>
  <c r="F34853" i="1"/>
  <c r="F34854" i="1"/>
  <c r="F34855" i="1"/>
  <c r="F34856" i="1"/>
  <c r="F34857" i="1"/>
  <c r="F34858" i="1"/>
  <c r="F34859" i="1"/>
  <c r="F34860" i="1"/>
  <c r="F34861" i="1"/>
  <c r="F34862" i="1"/>
  <c r="F34863" i="1"/>
  <c r="F34864" i="1"/>
  <c r="F34865" i="1"/>
  <c r="F34866" i="1"/>
  <c r="F34867" i="1"/>
  <c r="F34868" i="1"/>
  <c r="F34869" i="1"/>
  <c r="F34870" i="1"/>
  <c r="F34871" i="1"/>
  <c r="F34872" i="1"/>
  <c r="F34873" i="1"/>
  <c r="F34874" i="1"/>
  <c r="F34875" i="1"/>
  <c r="F34876" i="1"/>
  <c r="F34877" i="1"/>
  <c r="F34878" i="1"/>
  <c r="F34879" i="1"/>
  <c r="F34880" i="1"/>
  <c r="F34881" i="1"/>
  <c r="F34882" i="1"/>
  <c r="F34883" i="1"/>
  <c r="F34884" i="1"/>
  <c r="F34885" i="1"/>
  <c r="F34886" i="1"/>
  <c r="F34887" i="1"/>
  <c r="F34888" i="1"/>
  <c r="F34889" i="1"/>
  <c r="F34890" i="1"/>
  <c r="F34891" i="1"/>
  <c r="F34892" i="1"/>
  <c r="F34893" i="1"/>
  <c r="F34894" i="1"/>
  <c r="F34895" i="1"/>
  <c r="F34896" i="1"/>
  <c r="F34897" i="1"/>
  <c r="F34898" i="1"/>
  <c r="F34899" i="1"/>
  <c r="F34900" i="1"/>
  <c r="F34901" i="1"/>
  <c r="F34902" i="1"/>
  <c r="F34903" i="1"/>
  <c r="F34904" i="1"/>
  <c r="F34905" i="1"/>
  <c r="F34906" i="1"/>
  <c r="F34907" i="1"/>
  <c r="F34908" i="1"/>
  <c r="F34909" i="1"/>
  <c r="F34910" i="1"/>
  <c r="F34911" i="1"/>
  <c r="F34912" i="1"/>
  <c r="F34913" i="1"/>
  <c r="F34914" i="1"/>
  <c r="F34915" i="1"/>
  <c r="F34916" i="1"/>
  <c r="F34917" i="1"/>
  <c r="F34918" i="1"/>
  <c r="F34919" i="1"/>
  <c r="F34920" i="1"/>
  <c r="F34921" i="1"/>
  <c r="F34922" i="1"/>
  <c r="F34923" i="1"/>
  <c r="F34924" i="1"/>
  <c r="F34925" i="1"/>
  <c r="F34926" i="1"/>
  <c r="F34927" i="1"/>
  <c r="F34928" i="1"/>
  <c r="F34929" i="1"/>
  <c r="F34930" i="1"/>
  <c r="F34931" i="1"/>
  <c r="F34932" i="1"/>
  <c r="F34933" i="1"/>
  <c r="F34934" i="1"/>
  <c r="F34935" i="1"/>
  <c r="F34936" i="1"/>
  <c r="F34937" i="1"/>
  <c r="F34938" i="1"/>
  <c r="F34939" i="1"/>
  <c r="F34940" i="1"/>
  <c r="F34941" i="1"/>
  <c r="F34942" i="1"/>
  <c r="F34943" i="1"/>
  <c r="F34944" i="1"/>
  <c r="F34945" i="1"/>
  <c r="F34946" i="1"/>
  <c r="F34947" i="1"/>
  <c r="F34948" i="1"/>
  <c r="F34949" i="1"/>
  <c r="F34950" i="1"/>
  <c r="F34951" i="1"/>
  <c r="F34952" i="1"/>
  <c r="F34953" i="1"/>
  <c r="F34954" i="1"/>
  <c r="F34955" i="1"/>
  <c r="F34956" i="1"/>
  <c r="F34957" i="1"/>
  <c r="F34958" i="1"/>
  <c r="F34959" i="1"/>
  <c r="F34960" i="1"/>
  <c r="F34961" i="1"/>
  <c r="F34962" i="1"/>
  <c r="F34963" i="1"/>
  <c r="F34964" i="1"/>
  <c r="F34965" i="1"/>
  <c r="F34966" i="1"/>
  <c r="F34967" i="1"/>
  <c r="F34968" i="1"/>
  <c r="F34969" i="1"/>
  <c r="F34970" i="1"/>
  <c r="F34971" i="1"/>
  <c r="F34972" i="1"/>
  <c r="F34973" i="1"/>
  <c r="F34974" i="1"/>
  <c r="F34975" i="1"/>
  <c r="F34976" i="1"/>
  <c r="F34977" i="1"/>
  <c r="F34978" i="1"/>
  <c r="F34979" i="1"/>
  <c r="F34980" i="1"/>
  <c r="F34981" i="1"/>
  <c r="F34982" i="1"/>
  <c r="F34983" i="1"/>
  <c r="F34984" i="1"/>
  <c r="F34985" i="1"/>
  <c r="F34986" i="1"/>
  <c r="F34987" i="1"/>
  <c r="F34988" i="1"/>
  <c r="F34989" i="1"/>
  <c r="F34990" i="1"/>
  <c r="F34991" i="1"/>
  <c r="F34992" i="1"/>
  <c r="F34993" i="1"/>
  <c r="F34994" i="1"/>
  <c r="F34995" i="1"/>
  <c r="F34996" i="1"/>
  <c r="F34997" i="1"/>
  <c r="F34998" i="1"/>
  <c r="F34999" i="1"/>
  <c r="F35000" i="1"/>
  <c r="F35001" i="1"/>
  <c r="F35002" i="1"/>
  <c r="F35003" i="1"/>
  <c r="F35004" i="1"/>
  <c r="F35005" i="1"/>
  <c r="F35006" i="1"/>
  <c r="F35007" i="1"/>
  <c r="F35008" i="1"/>
  <c r="F35009" i="1"/>
  <c r="F35010" i="1"/>
  <c r="F35011" i="1"/>
  <c r="F35012" i="1"/>
  <c r="F35013" i="1"/>
  <c r="F35014" i="1"/>
  <c r="F35015" i="1"/>
  <c r="F35016" i="1"/>
  <c r="F35017" i="1"/>
  <c r="F35018" i="1"/>
  <c r="F35019" i="1"/>
  <c r="F35020" i="1"/>
  <c r="F35021" i="1"/>
  <c r="F35022" i="1"/>
  <c r="F35023" i="1"/>
  <c r="F35024" i="1"/>
  <c r="F35025" i="1"/>
  <c r="F35026" i="1"/>
  <c r="F35027" i="1"/>
  <c r="F35028" i="1"/>
  <c r="F35029" i="1"/>
  <c r="F35030" i="1"/>
  <c r="F35031" i="1"/>
  <c r="F35032" i="1"/>
  <c r="F35033" i="1"/>
  <c r="F35034" i="1"/>
  <c r="F35035" i="1"/>
  <c r="F35036" i="1"/>
  <c r="F35037" i="1"/>
  <c r="F35038" i="1"/>
  <c r="F35039" i="1"/>
  <c r="F35040" i="1"/>
  <c r="F35041" i="1"/>
  <c r="F35042" i="1"/>
  <c r="F35043" i="1"/>
  <c r="F35044" i="1"/>
  <c r="F35045" i="1"/>
  <c r="F35046" i="1"/>
  <c r="F35047" i="1"/>
  <c r="F35048" i="1"/>
  <c r="F35049" i="1"/>
  <c r="F35050" i="1"/>
  <c r="F35051" i="1"/>
  <c r="F35052" i="1"/>
  <c r="F35053" i="1"/>
  <c r="F35054" i="1"/>
  <c r="F35055" i="1"/>
  <c r="F35056" i="1"/>
  <c r="F35057" i="1"/>
  <c r="F35058" i="1"/>
  <c r="F35059" i="1"/>
  <c r="F35060" i="1"/>
  <c r="F35061" i="1"/>
  <c r="F35062" i="1"/>
  <c r="F35063" i="1"/>
  <c r="F35064" i="1"/>
  <c r="F35065" i="1"/>
  <c r="F35066" i="1"/>
  <c r="F35067" i="1"/>
  <c r="F35068" i="1"/>
  <c r="F35069" i="1"/>
  <c r="F35070" i="1"/>
  <c r="F35071" i="1"/>
  <c r="F35072" i="1"/>
  <c r="F35073" i="1"/>
  <c r="F35074" i="1"/>
  <c r="F35075" i="1"/>
  <c r="F35076" i="1"/>
  <c r="F35077" i="1"/>
  <c r="F35078" i="1"/>
  <c r="F35079" i="1"/>
  <c r="F35080" i="1"/>
  <c r="F35081" i="1"/>
  <c r="F35082" i="1"/>
  <c r="F35083" i="1"/>
  <c r="F35084" i="1"/>
  <c r="F35085" i="1"/>
  <c r="F35086" i="1"/>
  <c r="F35087" i="1"/>
  <c r="F35088" i="1"/>
  <c r="F35089" i="1"/>
  <c r="F35090" i="1"/>
  <c r="F35091" i="1"/>
  <c r="F35092" i="1"/>
  <c r="F35093" i="1"/>
  <c r="F35094" i="1"/>
  <c r="F35095" i="1"/>
  <c r="F35096" i="1"/>
  <c r="F35097" i="1"/>
  <c r="F35098" i="1"/>
  <c r="F35099" i="1"/>
  <c r="F35100" i="1"/>
  <c r="F35101" i="1"/>
  <c r="F35102" i="1"/>
  <c r="F35103" i="1"/>
  <c r="F35104" i="1"/>
  <c r="F35105" i="1"/>
  <c r="F35106" i="1"/>
  <c r="F35107" i="1"/>
  <c r="F35108" i="1"/>
  <c r="F35109" i="1"/>
  <c r="F35110" i="1"/>
  <c r="F35111" i="1"/>
  <c r="F35112" i="1"/>
  <c r="F35113" i="1"/>
  <c r="F35114" i="1"/>
  <c r="F35115" i="1"/>
  <c r="F35116" i="1"/>
  <c r="F35117" i="1"/>
  <c r="F35118" i="1"/>
  <c r="F35119" i="1"/>
  <c r="F35120" i="1"/>
  <c r="F35121" i="1"/>
  <c r="F35122" i="1"/>
  <c r="F35123" i="1"/>
  <c r="F35124" i="1"/>
  <c r="F35125" i="1"/>
  <c r="F35126" i="1"/>
  <c r="F35127" i="1"/>
  <c r="F35128" i="1"/>
  <c r="F35129" i="1"/>
  <c r="F35130" i="1"/>
  <c r="F35131" i="1"/>
  <c r="F35132" i="1"/>
  <c r="F35133" i="1"/>
  <c r="F35134" i="1"/>
  <c r="F35135" i="1"/>
  <c r="F35136" i="1"/>
  <c r="F35137" i="1"/>
  <c r="F35138" i="1"/>
  <c r="F35139" i="1"/>
  <c r="F35140" i="1"/>
  <c r="F35141" i="1"/>
  <c r="F35142" i="1"/>
  <c r="F35143" i="1"/>
  <c r="F35144" i="1"/>
  <c r="F35145" i="1"/>
  <c r="F35146" i="1"/>
  <c r="F35147" i="1"/>
  <c r="F35148" i="1"/>
  <c r="F35149" i="1"/>
  <c r="F35150" i="1"/>
  <c r="F35151" i="1"/>
  <c r="F35152" i="1"/>
  <c r="F35153" i="1"/>
  <c r="F35154" i="1"/>
  <c r="F35155" i="1"/>
  <c r="F35156" i="1"/>
  <c r="F35157" i="1"/>
  <c r="F35158" i="1"/>
  <c r="F35159" i="1"/>
  <c r="F35160" i="1"/>
  <c r="F35161" i="1"/>
  <c r="F35162" i="1"/>
  <c r="F35163" i="1"/>
  <c r="F35164" i="1"/>
  <c r="F35165" i="1"/>
  <c r="F35166" i="1"/>
  <c r="F35167" i="1"/>
  <c r="F35168" i="1"/>
  <c r="F35169" i="1"/>
  <c r="F35170" i="1"/>
  <c r="F35171" i="1"/>
  <c r="F35172" i="1"/>
  <c r="F35173" i="1"/>
  <c r="F35174" i="1"/>
  <c r="F35175" i="1"/>
  <c r="F35176" i="1"/>
  <c r="F35177" i="1"/>
  <c r="F35178" i="1"/>
  <c r="F35179" i="1"/>
  <c r="F35180" i="1"/>
  <c r="F35181" i="1"/>
  <c r="F35182" i="1"/>
  <c r="F35183" i="1"/>
  <c r="F35184" i="1"/>
  <c r="F35185" i="1"/>
  <c r="F35186" i="1"/>
  <c r="F35187" i="1"/>
  <c r="F35188" i="1"/>
  <c r="F35189" i="1"/>
  <c r="F35190" i="1"/>
  <c r="F35191" i="1"/>
  <c r="F35192" i="1"/>
  <c r="F35193" i="1"/>
  <c r="F35194" i="1"/>
  <c r="F35195" i="1"/>
  <c r="F35196" i="1"/>
  <c r="F35197" i="1"/>
  <c r="F35198" i="1"/>
  <c r="F35199" i="1"/>
  <c r="F35200" i="1"/>
  <c r="F35201" i="1"/>
  <c r="F35202" i="1"/>
  <c r="F35203" i="1"/>
  <c r="F35204" i="1"/>
  <c r="F35205" i="1"/>
  <c r="F35206" i="1"/>
  <c r="F35207" i="1"/>
  <c r="F35208" i="1"/>
  <c r="F35209" i="1"/>
  <c r="F35210" i="1"/>
  <c r="F35211" i="1"/>
  <c r="F35212" i="1"/>
  <c r="F35213" i="1"/>
  <c r="F35214" i="1"/>
  <c r="F35215" i="1"/>
  <c r="F35216" i="1"/>
  <c r="F35217" i="1"/>
  <c r="F35218" i="1"/>
  <c r="F35219" i="1"/>
  <c r="F35220" i="1"/>
  <c r="F35221" i="1"/>
  <c r="F35222" i="1"/>
  <c r="F35223" i="1"/>
  <c r="F35224" i="1"/>
  <c r="F35225" i="1"/>
  <c r="F35226" i="1"/>
  <c r="F35227" i="1"/>
  <c r="F35228" i="1"/>
  <c r="F35229" i="1"/>
  <c r="F35230" i="1"/>
  <c r="F35231" i="1"/>
  <c r="F35232" i="1"/>
  <c r="F35233" i="1"/>
  <c r="F35234" i="1"/>
  <c r="F35235" i="1"/>
  <c r="F35236" i="1"/>
  <c r="F35237" i="1"/>
  <c r="F35238" i="1"/>
  <c r="F35239" i="1"/>
  <c r="F35240" i="1"/>
  <c r="F35241" i="1"/>
  <c r="F35242" i="1"/>
  <c r="F35243" i="1"/>
  <c r="F35244" i="1"/>
  <c r="F35245" i="1"/>
  <c r="F35246" i="1"/>
  <c r="F35247" i="1"/>
  <c r="F35248" i="1"/>
  <c r="F35249" i="1"/>
  <c r="F35250" i="1"/>
  <c r="F35251" i="1"/>
  <c r="F35252" i="1"/>
  <c r="F35253" i="1"/>
  <c r="F35254" i="1"/>
  <c r="F35255" i="1"/>
  <c r="F35256" i="1"/>
  <c r="F35257" i="1"/>
  <c r="F35258" i="1"/>
  <c r="F35259" i="1"/>
  <c r="B35260" i="1"/>
  <c r="F35260" i="1"/>
  <c r="F35261" i="1"/>
  <c r="B35262" i="1"/>
  <c r="F35262" i="1"/>
  <c r="F35263" i="1"/>
  <c r="F35264" i="1"/>
  <c r="F35265" i="1"/>
  <c r="F35266" i="1"/>
  <c r="F35267" i="1"/>
  <c r="F35268" i="1"/>
  <c r="F35269" i="1"/>
  <c r="F35270" i="1"/>
  <c r="F35271" i="1"/>
  <c r="F35272" i="1"/>
  <c r="F35273" i="1"/>
  <c r="F35274" i="1"/>
  <c r="F35275" i="1"/>
  <c r="F35276" i="1"/>
  <c r="F35277" i="1"/>
  <c r="F35278" i="1"/>
  <c r="F35279" i="1"/>
  <c r="F35280" i="1"/>
  <c r="F35281" i="1"/>
  <c r="F35282" i="1"/>
  <c r="F35283" i="1"/>
  <c r="F35284" i="1"/>
  <c r="F35285" i="1"/>
  <c r="F35286" i="1"/>
  <c r="F35287" i="1"/>
  <c r="F35288" i="1"/>
  <c r="F35289" i="1"/>
  <c r="F35290" i="1"/>
  <c r="F35291" i="1"/>
  <c r="F35292" i="1"/>
  <c r="F35293" i="1"/>
  <c r="F35294" i="1"/>
  <c r="F35295" i="1"/>
  <c r="F35296" i="1"/>
  <c r="F35297" i="1"/>
  <c r="F35298" i="1"/>
  <c r="F35299" i="1"/>
  <c r="F35300" i="1"/>
  <c r="F35301" i="1"/>
  <c r="F35302" i="1"/>
  <c r="F35303" i="1"/>
  <c r="F35304" i="1"/>
  <c r="F35305" i="1"/>
  <c r="F35306" i="1"/>
  <c r="F35307" i="1"/>
  <c r="F35308" i="1"/>
  <c r="F35309" i="1"/>
  <c r="F35310" i="1"/>
  <c r="F35311" i="1"/>
  <c r="F35312" i="1"/>
  <c r="F35313" i="1"/>
  <c r="F35314" i="1"/>
  <c r="F35315" i="1"/>
  <c r="F35316" i="1"/>
  <c r="F35317" i="1"/>
  <c r="F35318" i="1"/>
  <c r="F35319" i="1"/>
  <c r="F35320" i="1"/>
  <c r="F35321" i="1"/>
  <c r="F35322" i="1"/>
  <c r="F35323" i="1"/>
  <c r="F35324" i="1"/>
  <c r="F35325" i="1"/>
  <c r="F35326" i="1"/>
  <c r="F35327" i="1"/>
  <c r="F35328" i="1"/>
  <c r="F35329" i="1"/>
  <c r="F35330" i="1"/>
  <c r="F35331" i="1"/>
  <c r="F35332" i="1"/>
  <c r="F35333" i="1"/>
  <c r="F35334" i="1"/>
  <c r="F35335" i="1"/>
  <c r="F35336" i="1"/>
  <c r="F35337" i="1"/>
  <c r="F35338" i="1"/>
  <c r="F35339" i="1"/>
  <c r="F35340" i="1"/>
  <c r="F35341" i="1"/>
  <c r="F35342" i="1"/>
  <c r="F35343" i="1"/>
  <c r="F35344" i="1"/>
  <c r="F35345" i="1"/>
  <c r="F35346" i="1"/>
  <c r="F35347" i="1"/>
  <c r="F35348" i="1"/>
  <c r="F35349" i="1"/>
  <c r="F35350" i="1"/>
  <c r="F35351" i="1"/>
  <c r="F35352" i="1"/>
  <c r="F35353" i="1"/>
  <c r="F35354" i="1"/>
  <c r="F35355" i="1"/>
  <c r="F35356" i="1"/>
  <c r="F35357" i="1"/>
  <c r="F35358" i="1"/>
  <c r="F35359" i="1"/>
  <c r="F35360" i="1"/>
  <c r="F35361" i="1"/>
  <c r="F35362" i="1"/>
  <c r="F35363" i="1"/>
  <c r="F35364" i="1"/>
  <c r="F35365" i="1"/>
  <c r="F35366" i="1"/>
  <c r="F35367" i="1"/>
  <c r="F35368" i="1"/>
  <c r="F35369" i="1"/>
  <c r="F35370" i="1"/>
  <c r="F35371" i="1"/>
  <c r="F35372" i="1"/>
  <c r="F35373" i="1"/>
  <c r="F35374" i="1"/>
  <c r="F35375" i="1"/>
  <c r="F35376" i="1"/>
  <c r="F35377" i="1"/>
  <c r="F35378" i="1"/>
  <c r="F35379" i="1"/>
  <c r="F35380" i="1"/>
  <c r="F35381" i="1"/>
  <c r="F35382" i="1"/>
  <c r="F35383" i="1"/>
  <c r="F35384" i="1"/>
  <c r="F35385" i="1"/>
  <c r="F35386" i="1"/>
  <c r="F35387" i="1"/>
  <c r="F35388" i="1"/>
  <c r="F35389" i="1"/>
  <c r="F35390" i="1"/>
  <c r="F35391" i="1"/>
  <c r="F35392" i="1"/>
  <c r="F35393" i="1"/>
  <c r="F35394" i="1"/>
  <c r="F35395" i="1"/>
  <c r="F35396" i="1"/>
  <c r="F35397" i="1"/>
  <c r="F35398" i="1"/>
  <c r="F35399" i="1"/>
  <c r="F35400" i="1"/>
  <c r="F35401" i="1"/>
  <c r="F35402" i="1"/>
  <c r="F35403" i="1"/>
  <c r="F35404" i="1"/>
  <c r="F35405" i="1"/>
  <c r="F35406" i="1"/>
  <c r="F35407" i="1"/>
  <c r="F35408" i="1"/>
  <c r="F35409" i="1"/>
  <c r="F35410" i="1"/>
  <c r="F35411" i="1"/>
  <c r="F35412" i="1"/>
  <c r="F35413" i="1"/>
  <c r="F35414" i="1"/>
  <c r="F35415" i="1"/>
  <c r="F35416" i="1"/>
  <c r="F35417" i="1"/>
  <c r="F35418" i="1"/>
  <c r="F35419" i="1"/>
  <c r="F35420" i="1"/>
  <c r="F35421" i="1"/>
  <c r="F35422" i="1"/>
  <c r="F35423" i="1"/>
  <c r="F35424" i="1"/>
  <c r="F35425" i="1"/>
  <c r="F35426" i="1"/>
  <c r="F35427" i="1"/>
  <c r="F35428" i="1"/>
  <c r="F35429" i="1"/>
  <c r="F35430" i="1"/>
  <c r="F35431" i="1"/>
  <c r="F35432" i="1"/>
  <c r="F35433" i="1"/>
  <c r="F35434" i="1"/>
  <c r="F35435" i="1"/>
  <c r="F35436" i="1"/>
  <c r="F35437" i="1"/>
  <c r="F35438" i="1"/>
  <c r="F35439" i="1"/>
  <c r="F35440" i="1"/>
  <c r="F35441" i="1"/>
  <c r="F35442" i="1"/>
  <c r="F35443" i="1"/>
  <c r="F35444" i="1"/>
  <c r="F35445" i="1"/>
  <c r="F35446" i="1"/>
  <c r="F35447" i="1"/>
  <c r="F35448" i="1"/>
  <c r="F35449" i="1"/>
  <c r="F35450" i="1"/>
  <c r="F35451" i="1"/>
  <c r="F35452" i="1"/>
  <c r="F35453" i="1"/>
  <c r="F35454" i="1"/>
  <c r="F35455" i="1"/>
  <c r="F35456" i="1"/>
  <c r="F35457" i="1"/>
  <c r="F35458" i="1"/>
  <c r="F35459" i="1"/>
  <c r="F35460" i="1"/>
  <c r="F35461" i="1"/>
  <c r="F35462" i="1"/>
  <c r="F35463" i="1"/>
  <c r="F35464" i="1"/>
  <c r="F35465" i="1"/>
  <c r="F35466" i="1"/>
  <c r="F35467" i="1"/>
  <c r="F35468" i="1"/>
  <c r="F35469" i="1"/>
  <c r="F35470" i="1"/>
  <c r="F35471" i="1"/>
  <c r="F35472" i="1"/>
  <c r="F35473" i="1"/>
  <c r="F35474" i="1"/>
  <c r="F35475" i="1"/>
  <c r="F35476" i="1"/>
  <c r="F35477" i="1"/>
  <c r="F35478" i="1"/>
  <c r="F35479" i="1"/>
  <c r="F35480" i="1"/>
  <c r="F35481" i="1"/>
  <c r="F35482" i="1"/>
  <c r="F35483" i="1"/>
  <c r="F35484" i="1"/>
  <c r="F35485" i="1"/>
  <c r="F35486" i="1"/>
  <c r="F35487" i="1"/>
  <c r="F35488" i="1"/>
  <c r="F35489" i="1"/>
  <c r="F35490" i="1"/>
  <c r="F35491" i="1"/>
  <c r="F35492" i="1"/>
  <c r="F35493" i="1"/>
  <c r="F35494" i="1"/>
  <c r="F35495" i="1"/>
  <c r="F35496" i="1"/>
  <c r="F35497" i="1"/>
  <c r="F35498" i="1"/>
  <c r="F35499" i="1"/>
  <c r="F35500" i="1"/>
  <c r="F35501" i="1"/>
  <c r="F35502" i="1"/>
  <c r="F35503" i="1"/>
  <c r="F35504" i="1"/>
  <c r="F35505" i="1"/>
  <c r="F35506" i="1"/>
  <c r="F35507" i="1"/>
  <c r="F35508" i="1"/>
  <c r="F35509" i="1"/>
  <c r="F35510" i="1"/>
  <c r="F35511" i="1"/>
  <c r="F35512" i="1"/>
  <c r="F35513" i="1"/>
  <c r="F35514" i="1"/>
  <c r="F35515" i="1"/>
  <c r="F35516" i="1"/>
  <c r="F35517" i="1"/>
  <c r="F35518" i="1"/>
  <c r="F35519" i="1"/>
  <c r="F35520" i="1"/>
  <c r="F35521" i="1"/>
  <c r="F35522" i="1"/>
  <c r="F35523" i="1"/>
  <c r="F35524" i="1"/>
  <c r="F35525" i="1"/>
  <c r="F35526" i="1"/>
  <c r="F35527" i="1"/>
  <c r="F35528" i="1"/>
  <c r="F35529" i="1"/>
  <c r="F35530" i="1"/>
  <c r="F35531" i="1"/>
  <c r="F35532" i="1"/>
  <c r="F35533" i="1"/>
  <c r="F35534" i="1"/>
  <c r="F35535" i="1"/>
  <c r="F35536" i="1"/>
  <c r="F35537" i="1"/>
  <c r="F35538" i="1"/>
  <c r="F35539" i="1"/>
  <c r="F35540" i="1"/>
  <c r="F35541" i="1"/>
  <c r="F35542" i="1"/>
  <c r="F35543" i="1"/>
  <c r="F35544" i="1"/>
  <c r="F35545" i="1"/>
  <c r="F35546" i="1"/>
  <c r="F35547" i="1"/>
  <c r="F35548" i="1"/>
  <c r="F35549" i="1"/>
  <c r="F35550" i="1"/>
  <c r="F35551" i="1"/>
  <c r="F35552" i="1"/>
  <c r="F35553" i="1"/>
  <c r="F35554" i="1"/>
  <c r="F35555" i="1"/>
  <c r="F35556" i="1"/>
  <c r="F35557" i="1"/>
  <c r="F35558" i="1"/>
  <c r="F35559" i="1"/>
  <c r="F35560" i="1"/>
  <c r="F35561" i="1"/>
  <c r="F35562" i="1"/>
  <c r="F35563" i="1"/>
  <c r="F35564" i="1"/>
  <c r="F35565" i="1"/>
  <c r="F35566" i="1"/>
  <c r="F35567" i="1"/>
  <c r="F35568" i="1"/>
  <c r="F35569" i="1"/>
  <c r="F35570" i="1"/>
  <c r="F35571" i="1"/>
  <c r="F35572" i="1"/>
  <c r="F35573" i="1"/>
  <c r="F35574" i="1"/>
  <c r="F35575" i="1"/>
  <c r="F35576" i="1"/>
  <c r="F35577" i="1"/>
  <c r="F35578" i="1"/>
  <c r="F35579" i="1"/>
  <c r="F35580" i="1"/>
  <c r="F35581" i="1"/>
  <c r="F35582" i="1"/>
  <c r="F35583" i="1"/>
  <c r="F35584" i="1"/>
  <c r="F35585" i="1"/>
  <c r="F35586" i="1"/>
  <c r="F35587" i="1"/>
  <c r="F35588" i="1"/>
  <c r="F35589" i="1"/>
  <c r="F35590" i="1"/>
  <c r="F35591" i="1"/>
  <c r="F35592" i="1"/>
  <c r="F35593" i="1"/>
  <c r="F35594" i="1"/>
  <c r="F35595" i="1"/>
  <c r="F35596" i="1"/>
  <c r="F35597" i="1"/>
  <c r="F35598" i="1"/>
  <c r="F35599" i="1"/>
  <c r="F35600" i="1"/>
  <c r="F35601" i="1"/>
  <c r="F35602" i="1"/>
  <c r="F35603" i="1"/>
  <c r="F35604" i="1"/>
  <c r="F35605" i="1"/>
  <c r="F35606" i="1"/>
  <c r="F35607" i="1"/>
  <c r="F35608" i="1"/>
  <c r="F35609" i="1"/>
  <c r="F35610" i="1"/>
  <c r="F35611" i="1"/>
  <c r="F35612" i="1"/>
  <c r="F35613" i="1"/>
  <c r="F35614" i="1"/>
  <c r="F35615" i="1"/>
  <c r="F35616" i="1"/>
  <c r="F35617" i="1"/>
  <c r="F35618" i="1"/>
  <c r="F35619" i="1"/>
  <c r="F35620" i="1"/>
  <c r="F35621" i="1"/>
  <c r="F35622" i="1"/>
  <c r="F35623" i="1"/>
  <c r="F35624" i="1"/>
  <c r="F35625" i="1"/>
  <c r="F35626" i="1"/>
  <c r="F35627" i="1"/>
  <c r="F35628" i="1"/>
  <c r="F35629" i="1"/>
  <c r="F35630" i="1"/>
  <c r="F35631" i="1"/>
  <c r="F35632" i="1"/>
  <c r="F35633" i="1"/>
  <c r="F35634" i="1"/>
  <c r="F35635" i="1"/>
  <c r="F35636" i="1"/>
  <c r="F35637" i="1"/>
  <c r="F35638" i="1"/>
  <c r="F35639" i="1"/>
  <c r="F35640" i="1"/>
  <c r="F35641" i="1"/>
  <c r="F35642" i="1"/>
  <c r="F35643" i="1"/>
  <c r="F35644" i="1"/>
  <c r="F35645" i="1"/>
  <c r="F35646" i="1"/>
  <c r="F35647" i="1"/>
  <c r="F35648" i="1"/>
  <c r="F35649" i="1"/>
  <c r="F35650" i="1"/>
  <c r="F35651" i="1"/>
  <c r="F35652" i="1"/>
  <c r="F35653" i="1"/>
  <c r="F35654" i="1"/>
  <c r="F35655" i="1"/>
  <c r="F35656" i="1"/>
  <c r="F35657" i="1"/>
  <c r="F35658" i="1"/>
  <c r="F35659" i="1"/>
  <c r="F35660" i="1"/>
  <c r="F35661" i="1"/>
  <c r="F35662" i="1"/>
  <c r="F35663" i="1"/>
  <c r="F35664" i="1"/>
  <c r="F35665" i="1"/>
  <c r="F35666" i="1"/>
  <c r="F35667" i="1"/>
  <c r="F35668" i="1"/>
  <c r="F35669" i="1"/>
  <c r="F35670" i="1"/>
  <c r="F35671" i="1"/>
  <c r="F35672" i="1"/>
  <c r="F35673" i="1"/>
  <c r="F35674" i="1"/>
  <c r="F35675" i="1"/>
  <c r="F35676" i="1"/>
  <c r="F35677" i="1"/>
  <c r="F35678" i="1"/>
  <c r="F35679" i="1"/>
  <c r="F35680" i="1"/>
  <c r="F35681" i="1"/>
  <c r="F35682" i="1"/>
  <c r="F35683" i="1"/>
  <c r="F35684" i="1"/>
  <c r="F35685" i="1"/>
  <c r="F35686" i="1"/>
  <c r="F35687" i="1"/>
  <c r="F35688" i="1"/>
  <c r="F35689" i="1"/>
  <c r="F35690" i="1"/>
  <c r="F35691" i="1"/>
  <c r="F35692" i="1"/>
  <c r="F35693" i="1"/>
  <c r="F35694" i="1"/>
  <c r="F35695" i="1"/>
  <c r="F35696" i="1"/>
  <c r="F35697" i="1"/>
  <c r="F35698" i="1"/>
  <c r="F35699" i="1"/>
  <c r="F35700" i="1"/>
  <c r="F35701" i="1"/>
  <c r="F35702" i="1"/>
  <c r="F35703" i="1"/>
  <c r="F35704" i="1"/>
  <c r="F35705" i="1"/>
  <c r="F35706" i="1"/>
  <c r="F35707" i="1"/>
  <c r="F35708" i="1"/>
  <c r="F35709" i="1"/>
  <c r="F35710" i="1"/>
  <c r="F35711" i="1"/>
  <c r="F35712" i="1"/>
  <c r="F35713" i="1"/>
  <c r="F35714" i="1"/>
  <c r="F35715" i="1"/>
  <c r="F35716" i="1"/>
  <c r="F35717" i="1"/>
  <c r="F35718" i="1"/>
  <c r="F35719" i="1"/>
  <c r="F35720" i="1"/>
  <c r="F35721" i="1"/>
  <c r="F35722" i="1"/>
  <c r="F35723" i="1"/>
  <c r="F35724" i="1"/>
  <c r="F35725" i="1"/>
  <c r="F35726" i="1"/>
  <c r="F35727" i="1"/>
  <c r="F35728" i="1"/>
  <c r="F35729" i="1"/>
  <c r="F35730" i="1"/>
  <c r="F35731" i="1"/>
  <c r="F35732" i="1"/>
  <c r="F35733" i="1"/>
  <c r="F35734" i="1"/>
  <c r="F35735" i="1"/>
  <c r="F35736" i="1"/>
  <c r="F35737" i="1"/>
  <c r="F35738" i="1"/>
  <c r="F35739" i="1"/>
  <c r="F35740" i="1"/>
  <c r="F35741" i="1"/>
  <c r="F35742" i="1"/>
  <c r="F35743" i="1"/>
  <c r="F35744" i="1"/>
  <c r="F35745" i="1"/>
  <c r="F35746" i="1"/>
  <c r="F35747" i="1"/>
  <c r="F35748" i="1"/>
  <c r="F35749" i="1"/>
  <c r="F35750" i="1"/>
  <c r="F35751" i="1"/>
  <c r="F35752" i="1"/>
  <c r="F35753" i="1"/>
  <c r="F35754" i="1"/>
  <c r="F35755" i="1"/>
  <c r="F35756" i="1"/>
  <c r="F35757" i="1"/>
  <c r="F35758" i="1"/>
  <c r="F35759" i="1"/>
  <c r="F35760" i="1"/>
  <c r="F35761" i="1"/>
  <c r="F35762" i="1"/>
  <c r="F35763" i="1"/>
  <c r="F35764" i="1"/>
  <c r="F35765" i="1"/>
  <c r="F35766" i="1"/>
  <c r="F35767" i="1"/>
  <c r="F35768" i="1"/>
  <c r="F35769" i="1"/>
  <c r="F35770" i="1"/>
  <c r="F35771" i="1"/>
  <c r="F35772" i="1"/>
  <c r="F35773" i="1"/>
  <c r="F35774" i="1"/>
  <c r="F35775" i="1"/>
  <c r="F35776" i="1"/>
  <c r="F35777" i="1"/>
  <c r="F35778" i="1"/>
  <c r="F35779" i="1"/>
  <c r="F35780" i="1"/>
  <c r="F35781" i="1"/>
  <c r="F35782" i="1"/>
  <c r="F35783" i="1"/>
  <c r="F35784" i="1"/>
  <c r="F35785" i="1"/>
  <c r="F35786" i="1"/>
  <c r="F35787" i="1"/>
  <c r="F35788" i="1"/>
  <c r="F35789" i="1"/>
  <c r="F35790" i="1"/>
  <c r="F35791" i="1"/>
  <c r="F35792" i="1"/>
  <c r="F35793" i="1"/>
  <c r="F35794" i="1"/>
  <c r="F35795" i="1"/>
  <c r="F35796" i="1"/>
  <c r="F35797" i="1"/>
  <c r="F35798" i="1"/>
  <c r="F35799" i="1"/>
  <c r="F35800" i="1"/>
  <c r="F35801" i="1"/>
  <c r="F35802" i="1"/>
  <c r="F35803" i="1"/>
  <c r="F35804" i="1"/>
  <c r="F35805" i="1"/>
  <c r="F35806" i="1"/>
  <c r="F35807" i="1"/>
  <c r="F35808" i="1"/>
  <c r="F35809" i="1"/>
  <c r="F35810" i="1"/>
  <c r="F35811" i="1"/>
  <c r="F35812" i="1"/>
  <c r="F35813" i="1"/>
  <c r="F35814" i="1"/>
  <c r="F35815" i="1"/>
  <c r="F35816" i="1"/>
  <c r="F35817" i="1"/>
  <c r="F35818" i="1"/>
  <c r="F35819" i="1"/>
  <c r="F35820" i="1"/>
  <c r="F35821" i="1"/>
  <c r="F35822" i="1"/>
  <c r="F35823" i="1"/>
  <c r="F35824" i="1"/>
  <c r="F35825" i="1"/>
  <c r="F35826" i="1"/>
  <c r="F35827" i="1"/>
  <c r="F35828" i="1"/>
  <c r="F35829" i="1"/>
  <c r="F35830" i="1"/>
  <c r="F35831" i="1"/>
  <c r="F35832" i="1"/>
  <c r="F35833" i="1"/>
  <c r="F35834" i="1"/>
  <c r="F35835" i="1"/>
  <c r="F35836" i="1"/>
  <c r="F35837" i="1"/>
  <c r="F35838" i="1"/>
  <c r="F35839" i="1"/>
  <c r="F35840" i="1"/>
  <c r="F35841" i="1"/>
  <c r="F35842" i="1"/>
  <c r="F35843" i="1"/>
  <c r="F35844" i="1"/>
  <c r="F35845" i="1"/>
  <c r="F35846" i="1"/>
  <c r="F35847" i="1"/>
  <c r="F35848" i="1"/>
  <c r="F35849" i="1"/>
  <c r="F35850" i="1"/>
  <c r="F35851" i="1"/>
  <c r="F35852" i="1"/>
  <c r="F35853" i="1"/>
  <c r="F35854" i="1"/>
  <c r="F35855" i="1"/>
  <c r="F35856" i="1"/>
  <c r="F35857" i="1"/>
  <c r="F35858" i="1"/>
  <c r="F35859" i="1"/>
  <c r="F35860" i="1"/>
  <c r="F35861" i="1"/>
  <c r="F35862" i="1"/>
  <c r="F35863" i="1"/>
  <c r="F35864" i="1"/>
  <c r="F35865" i="1"/>
  <c r="F35866" i="1"/>
  <c r="F35867" i="1"/>
  <c r="F35868" i="1"/>
  <c r="F35869" i="1"/>
  <c r="F35870" i="1"/>
  <c r="F35871" i="1"/>
  <c r="F35872" i="1"/>
  <c r="F35873" i="1"/>
  <c r="F35874" i="1"/>
  <c r="F35875" i="1"/>
  <c r="F35876" i="1"/>
  <c r="F35877" i="1"/>
  <c r="F35878" i="1"/>
  <c r="F35879" i="1"/>
  <c r="F35880" i="1"/>
  <c r="F35881" i="1"/>
  <c r="F35882" i="1"/>
  <c r="F35883" i="1"/>
  <c r="F35884" i="1"/>
  <c r="F35885" i="1"/>
  <c r="F35886" i="1"/>
  <c r="F35887" i="1"/>
  <c r="F35888" i="1"/>
  <c r="F35889" i="1"/>
  <c r="F35890" i="1"/>
  <c r="F35891" i="1"/>
  <c r="F35892" i="1"/>
  <c r="F35893" i="1"/>
  <c r="F35894" i="1"/>
  <c r="F35895" i="1"/>
  <c r="F35896" i="1"/>
  <c r="F35897" i="1"/>
  <c r="F35898" i="1"/>
  <c r="F35899" i="1"/>
  <c r="F35900" i="1"/>
  <c r="F35901" i="1"/>
  <c r="F35902" i="1"/>
  <c r="F35903" i="1"/>
  <c r="F35904" i="1"/>
  <c r="F35905" i="1"/>
  <c r="F35906" i="1"/>
  <c r="F35907" i="1"/>
  <c r="F35908" i="1"/>
  <c r="F35909" i="1"/>
  <c r="F35910" i="1"/>
  <c r="F35911" i="1"/>
  <c r="F35912" i="1"/>
  <c r="F35913" i="1"/>
  <c r="F35914" i="1"/>
  <c r="F35915" i="1"/>
  <c r="F35916" i="1"/>
  <c r="F35917" i="1"/>
  <c r="F35918" i="1"/>
  <c r="F35919" i="1"/>
  <c r="F35920" i="1"/>
  <c r="F35921" i="1"/>
  <c r="F35922" i="1"/>
  <c r="F35923" i="1"/>
  <c r="F35924" i="1"/>
  <c r="F35925" i="1"/>
  <c r="F35926" i="1"/>
  <c r="F35927" i="1"/>
  <c r="F35928" i="1"/>
  <c r="F35929" i="1"/>
  <c r="F35930" i="1"/>
  <c r="F35931" i="1"/>
  <c r="F35932" i="1"/>
  <c r="F35933" i="1"/>
  <c r="F35934" i="1"/>
  <c r="F35935" i="1"/>
  <c r="F35936" i="1"/>
  <c r="F35937" i="1"/>
  <c r="F35938" i="1"/>
  <c r="F35939" i="1"/>
  <c r="F35940" i="1"/>
  <c r="F35941" i="1"/>
  <c r="F35942" i="1"/>
  <c r="F35943" i="1"/>
  <c r="F35944" i="1"/>
  <c r="F35945" i="1"/>
  <c r="F35946" i="1"/>
  <c r="F35947" i="1"/>
  <c r="F35948" i="1"/>
  <c r="F35949" i="1"/>
  <c r="F35950" i="1"/>
  <c r="F35951" i="1"/>
  <c r="F35952" i="1"/>
  <c r="F35953" i="1"/>
  <c r="F35954" i="1"/>
  <c r="F35955" i="1"/>
  <c r="F35956" i="1"/>
  <c r="F35957" i="1"/>
  <c r="F35958" i="1"/>
  <c r="F35959" i="1"/>
  <c r="F35960" i="1"/>
  <c r="F35961" i="1"/>
  <c r="F35962" i="1"/>
  <c r="F35963" i="1"/>
  <c r="F35964" i="1"/>
  <c r="F35965" i="1"/>
  <c r="F35966" i="1"/>
  <c r="F35967" i="1"/>
  <c r="F35968" i="1"/>
  <c r="F35969" i="1"/>
  <c r="F35970" i="1"/>
  <c r="F35971" i="1"/>
  <c r="F35972" i="1"/>
  <c r="F35973" i="1"/>
  <c r="F35974" i="1"/>
  <c r="F35975" i="1"/>
  <c r="F35976" i="1"/>
  <c r="F35977" i="1"/>
  <c r="F35978" i="1"/>
  <c r="F35979" i="1"/>
  <c r="F35980" i="1"/>
  <c r="F35981" i="1"/>
  <c r="F35982" i="1"/>
  <c r="F35983" i="1"/>
  <c r="F35984" i="1"/>
  <c r="F35985" i="1"/>
  <c r="F35986" i="1"/>
  <c r="F35987" i="1"/>
  <c r="F35988" i="1"/>
  <c r="F35989" i="1"/>
  <c r="F35990" i="1"/>
  <c r="F35991" i="1"/>
  <c r="F35992" i="1"/>
  <c r="F35993" i="1"/>
  <c r="F35994" i="1"/>
  <c r="F35995" i="1"/>
  <c r="F35996" i="1"/>
  <c r="F35997" i="1"/>
  <c r="F35998" i="1"/>
  <c r="F35999" i="1"/>
  <c r="F36000" i="1"/>
  <c r="F36001" i="1"/>
  <c r="F36002" i="1"/>
  <c r="F36003" i="1"/>
  <c r="F36004" i="1"/>
  <c r="F36005" i="1"/>
  <c r="F36006" i="1"/>
  <c r="F36007" i="1"/>
  <c r="F36008" i="1"/>
  <c r="F36009" i="1"/>
  <c r="F36010" i="1"/>
  <c r="F36011" i="1"/>
  <c r="F36012" i="1"/>
  <c r="F36013" i="1"/>
  <c r="F36014" i="1"/>
  <c r="F36015" i="1"/>
  <c r="F36016" i="1"/>
  <c r="F36017" i="1"/>
  <c r="F36018" i="1"/>
  <c r="F36019" i="1"/>
  <c r="F36020" i="1"/>
  <c r="F36021" i="1"/>
  <c r="F36022" i="1"/>
  <c r="F36023" i="1"/>
  <c r="F36024" i="1"/>
  <c r="F36025" i="1"/>
  <c r="F36026" i="1"/>
  <c r="F36027" i="1"/>
  <c r="F36028" i="1"/>
  <c r="F36029" i="1"/>
  <c r="F36030" i="1"/>
  <c r="F36031" i="1"/>
  <c r="F36032" i="1"/>
  <c r="F36033" i="1"/>
  <c r="F36034" i="1"/>
  <c r="F36035" i="1"/>
  <c r="F36036" i="1"/>
  <c r="F36037" i="1"/>
  <c r="F36038" i="1"/>
  <c r="F36039" i="1"/>
  <c r="F36040" i="1"/>
  <c r="F36041" i="1"/>
  <c r="F36042" i="1"/>
  <c r="F36043" i="1"/>
  <c r="F36044" i="1"/>
  <c r="F36045" i="1"/>
  <c r="F36046" i="1"/>
  <c r="F36047" i="1"/>
  <c r="F36048" i="1"/>
  <c r="F36049" i="1"/>
  <c r="F36050" i="1"/>
  <c r="F36051" i="1"/>
  <c r="F36052" i="1"/>
  <c r="F36053" i="1"/>
  <c r="F36054" i="1"/>
  <c r="F36055" i="1"/>
  <c r="F36056" i="1"/>
  <c r="F36057" i="1"/>
  <c r="F36058" i="1"/>
  <c r="F36059" i="1"/>
  <c r="F36060" i="1"/>
  <c r="F36061" i="1"/>
  <c r="F36062" i="1"/>
  <c r="F36063" i="1"/>
  <c r="F36064" i="1"/>
  <c r="F36065" i="1"/>
  <c r="F36066" i="1"/>
  <c r="F36067" i="1"/>
  <c r="F36068" i="1"/>
  <c r="F36069" i="1"/>
  <c r="F36070" i="1"/>
  <c r="F36071" i="1"/>
  <c r="F36072" i="1"/>
  <c r="F36073" i="1"/>
  <c r="F36074" i="1"/>
  <c r="F36075" i="1"/>
  <c r="F36076" i="1"/>
  <c r="F36077" i="1"/>
  <c r="F36078" i="1"/>
  <c r="F36079" i="1"/>
  <c r="F36080" i="1"/>
  <c r="F36081" i="1"/>
  <c r="F36082" i="1"/>
  <c r="F36083" i="1"/>
  <c r="F36084" i="1"/>
  <c r="F36085" i="1"/>
  <c r="F36086" i="1"/>
  <c r="F36087" i="1"/>
  <c r="F36088" i="1"/>
  <c r="F36089" i="1"/>
  <c r="F36090" i="1"/>
  <c r="F36091" i="1"/>
  <c r="F36092" i="1"/>
  <c r="F36093" i="1"/>
  <c r="F36094" i="1"/>
  <c r="F36095" i="1"/>
  <c r="F36096" i="1"/>
  <c r="F36097" i="1"/>
  <c r="F36098" i="1"/>
  <c r="F36099" i="1"/>
  <c r="F36100" i="1"/>
  <c r="F36101" i="1"/>
  <c r="F36102" i="1"/>
  <c r="F36103" i="1"/>
  <c r="F36104" i="1"/>
  <c r="F36105" i="1"/>
  <c r="F36106" i="1"/>
  <c r="F36107" i="1"/>
  <c r="F36108" i="1"/>
  <c r="F36109" i="1"/>
  <c r="F36110" i="1"/>
  <c r="F36111" i="1"/>
  <c r="F36112" i="1"/>
  <c r="F36113" i="1"/>
  <c r="F36114" i="1"/>
  <c r="F36115" i="1"/>
  <c r="F36116" i="1"/>
  <c r="F36117" i="1"/>
  <c r="F36118" i="1"/>
  <c r="F36119" i="1"/>
  <c r="F36120" i="1"/>
  <c r="F36121" i="1"/>
  <c r="F36122" i="1"/>
  <c r="F36123" i="1"/>
  <c r="F36124" i="1"/>
  <c r="F36125" i="1"/>
  <c r="F36126" i="1"/>
  <c r="F36127" i="1"/>
  <c r="F36128" i="1"/>
  <c r="F36129" i="1"/>
  <c r="F36130" i="1"/>
  <c r="F36131" i="1"/>
  <c r="F36132" i="1"/>
  <c r="F36133" i="1"/>
  <c r="F36134" i="1"/>
  <c r="F36135" i="1"/>
  <c r="F36136" i="1"/>
  <c r="F36137" i="1"/>
  <c r="F36138" i="1"/>
  <c r="F36139" i="1"/>
  <c r="F36140" i="1"/>
  <c r="F36141" i="1"/>
  <c r="F36142" i="1"/>
  <c r="F36143" i="1"/>
  <c r="F36144" i="1"/>
  <c r="F36145" i="1"/>
  <c r="F36146" i="1"/>
  <c r="F36147" i="1"/>
  <c r="F36148" i="1"/>
  <c r="F36149" i="1"/>
  <c r="F36150" i="1"/>
  <c r="F36151" i="1"/>
  <c r="F36152" i="1"/>
  <c r="F36153" i="1"/>
  <c r="F36154" i="1"/>
  <c r="F36155" i="1"/>
  <c r="F36156" i="1"/>
  <c r="F36157" i="1"/>
  <c r="F36158" i="1"/>
  <c r="F36159" i="1"/>
  <c r="F36160" i="1"/>
  <c r="F36161" i="1"/>
  <c r="F36162" i="1"/>
  <c r="F36163" i="1"/>
  <c r="F36164" i="1"/>
  <c r="F36165" i="1"/>
  <c r="F36166" i="1"/>
  <c r="F36167" i="1"/>
  <c r="F36168" i="1"/>
  <c r="F36169" i="1"/>
  <c r="F36170" i="1"/>
  <c r="F36171" i="1"/>
  <c r="F36172" i="1"/>
  <c r="F36173" i="1"/>
  <c r="F36174" i="1"/>
  <c r="F36175" i="1"/>
  <c r="F36176" i="1"/>
  <c r="F36177" i="1"/>
  <c r="F36178" i="1"/>
  <c r="F36179" i="1"/>
  <c r="F36180" i="1"/>
  <c r="F36181" i="1"/>
  <c r="F36182" i="1"/>
  <c r="F36183" i="1"/>
  <c r="F36184" i="1"/>
  <c r="F36185" i="1"/>
  <c r="F36186" i="1"/>
  <c r="F36187" i="1"/>
  <c r="F36188" i="1"/>
  <c r="F36189" i="1"/>
  <c r="F36190" i="1"/>
  <c r="F36191" i="1"/>
  <c r="F36192" i="1"/>
  <c r="F36193" i="1"/>
  <c r="F36194" i="1"/>
  <c r="F36195" i="1"/>
  <c r="F36196" i="1"/>
  <c r="F36197" i="1"/>
  <c r="F36198" i="1"/>
  <c r="F36199" i="1"/>
  <c r="F36200" i="1"/>
  <c r="F36201" i="1"/>
  <c r="F36202" i="1"/>
  <c r="F36203" i="1"/>
  <c r="F36204" i="1"/>
  <c r="F36205" i="1"/>
  <c r="F36206" i="1"/>
  <c r="F36207" i="1"/>
  <c r="F36208" i="1"/>
  <c r="F36209" i="1"/>
  <c r="F36210" i="1"/>
  <c r="F36211" i="1"/>
  <c r="F36212" i="1"/>
  <c r="F36213" i="1"/>
  <c r="F36214" i="1"/>
  <c r="F36215" i="1"/>
  <c r="F36216" i="1"/>
  <c r="F36217" i="1"/>
  <c r="F36218" i="1"/>
  <c r="F36219" i="1"/>
  <c r="F36220" i="1"/>
  <c r="F36221" i="1"/>
  <c r="F36222" i="1"/>
  <c r="F36223" i="1"/>
  <c r="F36224" i="1"/>
  <c r="F36225" i="1"/>
  <c r="F36226" i="1"/>
  <c r="F36227" i="1"/>
  <c r="F36228" i="1"/>
  <c r="F36229" i="1"/>
  <c r="F36230" i="1"/>
  <c r="F36231" i="1"/>
  <c r="F36232" i="1"/>
  <c r="F36233" i="1"/>
  <c r="F36234" i="1"/>
  <c r="F36235" i="1"/>
  <c r="F36236" i="1"/>
  <c r="F36237" i="1"/>
  <c r="F36238" i="1"/>
  <c r="F36239" i="1"/>
  <c r="F36240" i="1"/>
  <c r="F36241" i="1"/>
  <c r="F36242" i="1"/>
  <c r="F36243" i="1"/>
  <c r="F36244" i="1"/>
  <c r="F36245" i="1"/>
  <c r="F36246" i="1"/>
  <c r="F36247" i="1"/>
  <c r="F36248" i="1"/>
  <c r="F36249" i="1"/>
  <c r="F36250" i="1"/>
  <c r="F36251" i="1"/>
  <c r="F36252" i="1"/>
  <c r="F36253" i="1"/>
  <c r="F36254" i="1"/>
  <c r="F36255" i="1"/>
  <c r="F36256" i="1"/>
  <c r="F36257" i="1"/>
  <c r="F36258" i="1"/>
  <c r="F36259" i="1"/>
  <c r="F36260" i="1"/>
  <c r="F36261" i="1"/>
  <c r="F36262" i="1"/>
  <c r="F36263" i="1"/>
  <c r="F36264" i="1"/>
  <c r="F36265" i="1"/>
  <c r="F36266" i="1"/>
  <c r="F36267" i="1"/>
  <c r="F36268" i="1"/>
  <c r="F36269" i="1"/>
  <c r="F36270" i="1"/>
  <c r="F36271" i="1"/>
  <c r="F36272" i="1"/>
  <c r="F36273" i="1"/>
  <c r="F36274" i="1"/>
  <c r="F36275" i="1"/>
  <c r="F36276" i="1"/>
  <c r="F36277" i="1"/>
  <c r="F36278" i="1"/>
  <c r="F36279" i="1"/>
  <c r="F36280" i="1"/>
  <c r="F36281" i="1"/>
  <c r="F36282" i="1"/>
  <c r="F36283" i="1"/>
  <c r="F36284" i="1"/>
  <c r="F36285" i="1"/>
  <c r="F36286" i="1"/>
  <c r="F36287" i="1"/>
  <c r="F36288" i="1"/>
  <c r="F36289" i="1"/>
  <c r="F36290" i="1"/>
  <c r="F36291" i="1"/>
  <c r="F36292" i="1"/>
  <c r="F36293" i="1"/>
  <c r="F36294" i="1"/>
  <c r="F36295" i="1"/>
  <c r="F36296" i="1"/>
  <c r="F36297" i="1"/>
  <c r="F36298" i="1"/>
  <c r="F36299" i="1"/>
  <c r="F36300" i="1"/>
  <c r="F36301" i="1"/>
  <c r="F36302" i="1"/>
  <c r="F36303" i="1"/>
  <c r="F36304" i="1"/>
  <c r="F36305" i="1"/>
  <c r="F36306" i="1"/>
  <c r="F36307" i="1"/>
  <c r="F36308" i="1"/>
  <c r="F36309" i="1"/>
  <c r="F36310" i="1"/>
  <c r="F36311" i="1"/>
  <c r="F36312" i="1"/>
  <c r="F36313" i="1"/>
  <c r="F36314" i="1"/>
  <c r="F36315" i="1"/>
  <c r="F36316" i="1"/>
  <c r="F36317" i="1"/>
  <c r="F36318" i="1"/>
  <c r="F36319" i="1"/>
  <c r="F36320" i="1"/>
  <c r="F36321" i="1"/>
  <c r="F36322" i="1"/>
  <c r="F36323" i="1"/>
  <c r="F36324" i="1"/>
  <c r="F36325" i="1"/>
  <c r="F36326" i="1"/>
  <c r="F36327" i="1"/>
  <c r="F36328" i="1"/>
  <c r="F36329" i="1"/>
  <c r="F36330" i="1"/>
  <c r="F36331" i="1"/>
  <c r="F36332" i="1"/>
  <c r="F36333" i="1"/>
  <c r="F36334" i="1"/>
  <c r="F36335" i="1"/>
  <c r="F36336" i="1"/>
  <c r="F36337" i="1"/>
  <c r="F36338" i="1"/>
  <c r="F36339" i="1"/>
  <c r="F36340" i="1"/>
  <c r="F36341" i="1"/>
  <c r="F36342" i="1"/>
  <c r="F36343" i="1"/>
  <c r="F36344" i="1"/>
  <c r="F36345" i="1"/>
  <c r="F36346" i="1"/>
  <c r="F36347" i="1"/>
  <c r="F36348" i="1"/>
  <c r="F36349" i="1"/>
  <c r="F36350" i="1"/>
  <c r="F36351" i="1"/>
  <c r="F36352" i="1"/>
  <c r="F36353" i="1"/>
  <c r="F36354" i="1"/>
  <c r="F36355" i="1"/>
  <c r="F36356" i="1"/>
  <c r="F36357" i="1"/>
  <c r="F36358" i="1"/>
  <c r="F36359" i="1"/>
  <c r="F36360" i="1"/>
  <c r="F36361" i="1"/>
  <c r="F36362" i="1"/>
  <c r="F36363" i="1"/>
  <c r="F36364" i="1"/>
  <c r="F36365" i="1"/>
  <c r="F36366" i="1"/>
  <c r="F36367" i="1"/>
  <c r="F36368" i="1"/>
  <c r="F36369" i="1"/>
  <c r="F36370" i="1"/>
  <c r="F36371" i="1"/>
  <c r="F36372" i="1"/>
  <c r="F36373" i="1"/>
  <c r="F36374" i="1"/>
  <c r="F36375" i="1"/>
  <c r="F36376" i="1"/>
  <c r="F36377" i="1"/>
  <c r="F36378" i="1"/>
  <c r="F36379" i="1"/>
  <c r="F36380" i="1"/>
  <c r="F36381" i="1"/>
  <c r="F36382" i="1"/>
  <c r="F36383" i="1"/>
  <c r="F36384" i="1"/>
  <c r="F36385" i="1"/>
  <c r="F36386" i="1"/>
  <c r="F36387" i="1"/>
  <c r="F36388" i="1"/>
  <c r="F36389" i="1"/>
  <c r="F36390" i="1"/>
  <c r="F36391" i="1"/>
  <c r="F36392" i="1"/>
  <c r="F36393" i="1"/>
  <c r="F36394" i="1"/>
  <c r="F36395" i="1"/>
  <c r="F36396" i="1"/>
  <c r="F36397" i="1"/>
  <c r="F36398" i="1"/>
  <c r="F36399" i="1"/>
  <c r="F36400" i="1"/>
  <c r="F36401" i="1"/>
  <c r="F36402" i="1"/>
  <c r="F36403" i="1"/>
  <c r="F36404" i="1"/>
  <c r="F36405" i="1"/>
  <c r="F36406" i="1"/>
  <c r="F36407" i="1"/>
  <c r="F36408" i="1"/>
  <c r="F36409" i="1"/>
  <c r="F36410" i="1"/>
  <c r="F36411" i="1"/>
  <c r="F36412" i="1"/>
  <c r="F36413" i="1"/>
  <c r="F36414" i="1"/>
  <c r="F36415" i="1"/>
  <c r="F36416" i="1"/>
  <c r="F36417" i="1"/>
  <c r="F36418" i="1"/>
  <c r="F36419" i="1"/>
  <c r="F36420" i="1"/>
  <c r="F36421" i="1"/>
  <c r="F36422" i="1"/>
  <c r="F36423" i="1"/>
  <c r="F36424" i="1"/>
  <c r="F36425" i="1"/>
  <c r="F36426" i="1"/>
  <c r="F36427" i="1"/>
  <c r="F36428" i="1"/>
  <c r="F36429" i="1"/>
  <c r="F36430" i="1"/>
  <c r="F36431" i="1"/>
  <c r="F36432" i="1"/>
  <c r="F36433" i="1"/>
  <c r="F36434" i="1"/>
  <c r="F36435" i="1"/>
  <c r="F36436" i="1"/>
  <c r="F36437" i="1"/>
  <c r="F36438" i="1"/>
  <c r="F36439" i="1"/>
  <c r="F36440" i="1"/>
  <c r="F36441" i="1"/>
  <c r="F36442" i="1"/>
  <c r="F36443" i="1"/>
  <c r="F36444" i="1"/>
  <c r="F36445" i="1"/>
  <c r="F36446" i="1"/>
  <c r="F36447" i="1"/>
  <c r="F36448" i="1"/>
  <c r="F36449" i="1"/>
  <c r="F36450" i="1"/>
  <c r="F36451" i="1"/>
  <c r="F36452" i="1"/>
  <c r="F36453" i="1"/>
  <c r="F36454" i="1"/>
  <c r="F36455" i="1"/>
  <c r="F36456" i="1"/>
  <c r="F36457" i="1"/>
  <c r="F36458" i="1"/>
  <c r="F36459" i="1"/>
  <c r="F36460" i="1"/>
  <c r="F36461" i="1"/>
  <c r="F36462" i="1"/>
  <c r="F36463" i="1"/>
  <c r="F36464" i="1"/>
  <c r="F36465" i="1"/>
  <c r="F36466" i="1"/>
  <c r="F36467" i="1"/>
  <c r="F36468" i="1"/>
  <c r="F36469" i="1"/>
  <c r="F36470" i="1"/>
  <c r="F36471" i="1"/>
  <c r="F36472" i="1"/>
  <c r="F36473" i="1"/>
  <c r="F36474" i="1"/>
  <c r="F36475" i="1"/>
  <c r="F36476" i="1"/>
  <c r="F36477" i="1"/>
  <c r="F36478" i="1"/>
  <c r="F36479" i="1"/>
  <c r="F36480" i="1"/>
  <c r="F36481" i="1"/>
  <c r="F36482" i="1"/>
  <c r="F36483" i="1"/>
  <c r="F36484" i="1"/>
  <c r="F36485" i="1"/>
  <c r="F36486" i="1"/>
  <c r="F36487" i="1"/>
  <c r="F36488" i="1"/>
  <c r="F36489" i="1"/>
  <c r="F36490" i="1"/>
  <c r="F36491" i="1"/>
  <c r="F36492" i="1"/>
  <c r="F36493" i="1"/>
  <c r="F36494" i="1"/>
  <c r="F36495" i="1"/>
  <c r="F36496" i="1"/>
  <c r="F36497" i="1"/>
  <c r="F36498" i="1"/>
  <c r="F36499" i="1"/>
  <c r="F36500" i="1"/>
  <c r="F36501" i="1"/>
  <c r="F36502" i="1"/>
  <c r="F36503" i="1"/>
  <c r="F36504" i="1"/>
  <c r="F36505" i="1"/>
  <c r="F36506" i="1"/>
  <c r="F36507" i="1"/>
  <c r="F36508" i="1"/>
  <c r="F36509" i="1"/>
  <c r="F36510" i="1"/>
  <c r="F36511" i="1"/>
  <c r="F36512" i="1"/>
  <c r="F36513" i="1"/>
  <c r="F36514" i="1"/>
  <c r="F36515" i="1"/>
  <c r="F36516" i="1"/>
  <c r="F36517" i="1"/>
  <c r="F36518" i="1"/>
  <c r="F36519" i="1"/>
  <c r="F36520" i="1"/>
  <c r="F36521" i="1"/>
  <c r="F36522" i="1"/>
  <c r="F36523" i="1"/>
  <c r="F36524" i="1"/>
  <c r="F36525" i="1"/>
  <c r="F36526" i="1"/>
  <c r="F36527" i="1"/>
  <c r="F36528" i="1"/>
  <c r="F36529" i="1"/>
  <c r="F36530" i="1"/>
  <c r="F36531" i="1"/>
  <c r="F36532" i="1"/>
  <c r="F36533" i="1"/>
  <c r="F36534" i="1"/>
  <c r="F36535" i="1"/>
  <c r="F36536" i="1"/>
  <c r="F36537" i="1"/>
  <c r="F36538" i="1"/>
  <c r="F36539" i="1"/>
  <c r="F36540" i="1"/>
  <c r="F36541" i="1"/>
  <c r="F36542" i="1"/>
  <c r="F36543" i="1"/>
  <c r="F36544" i="1"/>
  <c r="F36545" i="1"/>
  <c r="F36546" i="1"/>
  <c r="F36547" i="1"/>
  <c r="F36548" i="1"/>
  <c r="F36549" i="1"/>
  <c r="F36550" i="1"/>
  <c r="F36551" i="1"/>
  <c r="F36552" i="1"/>
  <c r="F36553" i="1"/>
  <c r="F36554" i="1"/>
  <c r="F36555" i="1"/>
  <c r="F36556" i="1"/>
  <c r="F36557" i="1"/>
  <c r="F36558" i="1"/>
  <c r="F36559" i="1"/>
  <c r="F36560" i="1"/>
  <c r="F36561" i="1"/>
  <c r="F36562" i="1"/>
  <c r="F36563" i="1"/>
  <c r="F36564" i="1"/>
  <c r="F36565" i="1"/>
  <c r="F36566" i="1"/>
  <c r="F36567" i="1"/>
  <c r="F36568" i="1"/>
  <c r="F36569" i="1"/>
  <c r="F36570" i="1"/>
  <c r="F36571" i="1"/>
  <c r="F36572" i="1"/>
  <c r="F36573" i="1"/>
  <c r="F36574" i="1"/>
  <c r="F36575" i="1"/>
  <c r="F36576" i="1"/>
  <c r="F36577" i="1"/>
  <c r="F36578" i="1"/>
  <c r="F36579" i="1"/>
  <c r="F36580" i="1"/>
  <c r="F36581" i="1"/>
  <c r="F36582" i="1"/>
  <c r="F36583" i="1"/>
  <c r="F36584" i="1"/>
  <c r="F36585" i="1"/>
  <c r="F36586" i="1"/>
  <c r="F36587" i="1"/>
  <c r="F36588" i="1"/>
  <c r="F36589" i="1"/>
  <c r="F36590" i="1"/>
  <c r="F36591" i="1"/>
  <c r="F36592" i="1"/>
  <c r="F36593" i="1"/>
  <c r="F36594" i="1"/>
  <c r="F36595" i="1"/>
  <c r="F36596" i="1"/>
  <c r="F36597" i="1"/>
  <c r="F36598" i="1"/>
  <c r="F36599" i="1"/>
  <c r="F36600" i="1"/>
  <c r="F36601" i="1"/>
  <c r="F36602" i="1"/>
  <c r="F36603" i="1"/>
  <c r="F36604" i="1"/>
  <c r="F36605" i="1"/>
  <c r="F36606" i="1"/>
  <c r="F36607" i="1"/>
  <c r="F36608" i="1"/>
  <c r="F36609" i="1"/>
  <c r="F36610" i="1"/>
  <c r="F36611" i="1"/>
  <c r="F36612" i="1"/>
  <c r="F36613" i="1"/>
  <c r="F36614" i="1"/>
  <c r="F36615" i="1"/>
  <c r="F36616" i="1"/>
  <c r="F36617" i="1"/>
  <c r="F36618" i="1"/>
  <c r="F36619" i="1"/>
  <c r="F36620" i="1"/>
  <c r="F36621" i="1"/>
  <c r="F36622" i="1"/>
  <c r="F36623" i="1"/>
  <c r="F36624" i="1"/>
  <c r="F36625" i="1"/>
  <c r="F36626" i="1"/>
  <c r="F36627" i="1"/>
  <c r="F36628" i="1"/>
  <c r="F36629" i="1"/>
  <c r="F36630" i="1"/>
  <c r="F36631" i="1"/>
  <c r="F36632" i="1"/>
  <c r="F36633" i="1"/>
  <c r="F36634" i="1"/>
  <c r="F36635" i="1"/>
  <c r="F36636" i="1"/>
  <c r="F36637" i="1"/>
  <c r="F36638" i="1"/>
  <c r="F36639" i="1"/>
  <c r="F36640" i="1"/>
  <c r="F36641" i="1"/>
  <c r="F36642" i="1"/>
  <c r="F36643" i="1"/>
  <c r="F36644" i="1"/>
  <c r="F36645" i="1"/>
  <c r="F36646" i="1"/>
  <c r="F36647" i="1"/>
  <c r="F36648" i="1"/>
  <c r="F36649" i="1"/>
  <c r="F36650" i="1"/>
  <c r="F36651" i="1"/>
  <c r="F36652" i="1"/>
  <c r="F36653" i="1"/>
  <c r="F36654" i="1"/>
  <c r="F36655" i="1"/>
  <c r="F36656" i="1"/>
  <c r="F36657" i="1"/>
  <c r="F36658" i="1"/>
  <c r="F36659" i="1"/>
  <c r="F36660" i="1"/>
  <c r="F36661" i="1"/>
  <c r="F36662" i="1"/>
  <c r="F36663" i="1"/>
  <c r="F36664" i="1"/>
  <c r="F36665" i="1"/>
  <c r="F36666" i="1"/>
  <c r="F36667" i="1"/>
  <c r="F36668" i="1"/>
  <c r="F36669" i="1"/>
  <c r="F36670" i="1"/>
  <c r="F36671" i="1"/>
  <c r="F36672" i="1"/>
  <c r="F36673" i="1"/>
  <c r="F36674" i="1"/>
  <c r="F36675" i="1"/>
  <c r="F36676" i="1"/>
  <c r="F36677" i="1"/>
  <c r="F36678" i="1"/>
  <c r="F36679" i="1"/>
  <c r="F36680" i="1"/>
  <c r="F36681" i="1"/>
  <c r="F36682" i="1"/>
  <c r="F36683" i="1"/>
  <c r="F36684" i="1"/>
  <c r="F36685" i="1"/>
  <c r="F36686" i="1"/>
  <c r="F36687" i="1"/>
  <c r="F36688" i="1"/>
  <c r="F36689" i="1"/>
  <c r="F36690" i="1"/>
  <c r="F36691" i="1"/>
  <c r="F36692" i="1"/>
  <c r="F36693" i="1"/>
  <c r="F36694" i="1"/>
  <c r="F36695" i="1"/>
  <c r="F36696" i="1"/>
  <c r="F36697" i="1"/>
  <c r="F36698" i="1"/>
  <c r="F36699" i="1"/>
  <c r="F36700" i="1"/>
  <c r="F36701" i="1"/>
  <c r="F36702" i="1"/>
  <c r="F36703" i="1"/>
  <c r="F36704" i="1"/>
  <c r="F36705" i="1"/>
  <c r="F36706" i="1"/>
  <c r="F36707" i="1"/>
  <c r="F36708" i="1"/>
  <c r="F36709" i="1"/>
  <c r="F36710" i="1"/>
  <c r="F36711" i="1"/>
  <c r="F36712" i="1"/>
  <c r="F36713" i="1"/>
  <c r="F36714" i="1"/>
  <c r="F36715" i="1"/>
  <c r="F36716" i="1"/>
  <c r="F36717" i="1"/>
  <c r="F36718" i="1"/>
  <c r="F36719" i="1"/>
  <c r="F36720" i="1"/>
  <c r="F36721" i="1"/>
  <c r="F36722" i="1"/>
  <c r="F36723" i="1"/>
  <c r="F36724" i="1"/>
  <c r="F36725" i="1"/>
  <c r="F36726" i="1"/>
  <c r="F36727" i="1"/>
  <c r="F36728" i="1"/>
  <c r="F36729" i="1"/>
  <c r="F36730" i="1"/>
  <c r="F36731" i="1"/>
  <c r="F36732" i="1"/>
  <c r="F36733" i="1"/>
  <c r="F36734" i="1"/>
  <c r="F36735" i="1"/>
  <c r="F36736" i="1"/>
  <c r="F36737" i="1"/>
  <c r="F36738" i="1"/>
  <c r="F36739" i="1"/>
  <c r="F36740" i="1"/>
  <c r="F36741" i="1"/>
  <c r="F36742" i="1"/>
  <c r="F36743" i="1"/>
  <c r="F36744" i="1"/>
  <c r="F36745" i="1"/>
  <c r="F36746" i="1"/>
  <c r="F36747" i="1"/>
  <c r="F36748" i="1"/>
  <c r="F36749" i="1"/>
  <c r="F36750" i="1"/>
  <c r="F36751" i="1"/>
  <c r="F36752" i="1"/>
  <c r="F36753" i="1"/>
  <c r="F36754" i="1"/>
  <c r="F36755" i="1"/>
  <c r="F36756" i="1"/>
  <c r="F36757" i="1"/>
  <c r="F36758" i="1"/>
  <c r="F36759" i="1"/>
  <c r="F36760" i="1"/>
  <c r="F36761" i="1"/>
  <c r="F36762" i="1"/>
  <c r="F36763" i="1"/>
  <c r="F36764" i="1"/>
  <c r="F36765" i="1"/>
  <c r="F36766" i="1"/>
  <c r="F36767" i="1"/>
  <c r="F36768" i="1"/>
  <c r="F36769" i="1"/>
  <c r="F36770" i="1"/>
  <c r="F36771" i="1"/>
  <c r="F36772" i="1"/>
  <c r="F36773" i="1"/>
  <c r="F36774" i="1"/>
  <c r="F36775" i="1"/>
  <c r="F36776" i="1"/>
  <c r="F36777" i="1"/>
  <c r="F36778" i="1"/>
  <c r="F36779" i="1"/>
  <c r="F36780" i="1"/>
  <c r="F36781" i="1"/>
  <c r="F36782" i="1"/>
  <c r="F36783" i="1"/>
  <c r="F36784" i="1"/>
  <c r="F36785" i="1"/>
  <c r="F36786" i="1"/>
  <c r="F36787" i="1"/>
  <c r="F36788" i="1"/>
  <c r="F36789" i="1"/>
  <c r="F36790" i="1"/>
  <c r="F36791" i="1"/>
  <c r="F36792" i="1"/>
  <c r="F36793" i="1"/>
  <c r="F36794" i="1"/>
  <c r="F36795" i="1"/>
  <c r="F36796" i="1"/>
  <c r="F36797" i="1"/>
  <c r="F36798" i="1"/>
  <c r="F36799" i="1"/>
  <c r="F36800" i="1"/>
  <c r="F36801" i="1"/>
  <c r="F36802" i="1"/>
  <c r="F36803" i="1"/>
  <c r="F36804" i="1"/>
  <c r="F36805" i="1"/>
  <c r="F36806" i="1"/>
  <c r="F36807" i="1"/>
  <c r="F36808" i="1"/>
  <c r="F36809" i="1"/>
  <c r="F36810" i="1"/>
  <c r="F36811" i="1"/>
  <c r="F36812" i="1"/>
  <c r="F36813" i="1"/>
  <c r="F36814" i="1"/>
  <c r="F36815" i="1"/>
  <c r="F36816" i="1"/>
  <c r="F36817" i="1"/>
  <c r="F36818" i="1"/>
  <c r="F36819" i="1"/>
  <c r="F36820" i="1"/>
  <c r="F36821" i="1"/>
  <c r="F36822" i="1"/>
  <c r="F36823" i="1"/>
  <c r="F36824" i="1"/>
  <c r="F36825" i="1"/>
  <c r="F36826" i="1"/>
  <c r="F36827" i="1"/>
  <c r="F36828" i="1"/>
  <c r="F36829" i="1"/>
  <c r="F36830" i="1"/>
  <c r="F36831" i="1"/>
  <c r="F36832" i="1"/>
  <c r="F36833" i="1"/>
  <c r="F36834" i="1"/>
  <c r="F36835" i="1"/>
  <c r="F36836" i="1"/>
  <c r="F36837" i="1"/>
  <c r="F36838" i="1"/>
  <c r="F36839" i="1"/>
  <c r="F36840" i="1"/>
  <c r="F36841" i="1"/>
  <c r="F36842" i="1"/>
  <c r="F36843" i="1"/>
  <c r="F36844" i="1"/>
  <c r="F36845" i="1"/>
  <c r="F36846" i="1"/>
  <c r="F36847" i="1"/>
  <c r="F36848" i="1"/>
  <c r="F36849" i="1"/>
  <c r="F36850" i="1"/>
  <c r="F36851" i="1"/>
  <c r="F36852" i="1"/>
  <c r="F36853" i="1"/>
  <c r="F36854" i="1"/>
  <c r="F36855" i="1"/>
  <c r="F36856" i="1"/>
  <c r="F36857" i="1"/>
  <c r="F36858" i="1"/>
  <c r="F36859" i="1"/>
  <c r="F36860" i="1"/>
  <c r="F36861" i="1"/>
  <c r="F36862" i="1"/>
  <c r="F36863" i="1"/>
  <c r="F36864" i="1"/>
  <c r="F36865" i="1"/>
  <c r="F36866" i="1"/>
  <c r="F36867" i="1"/>
  <c r="F36868" i="1"/>
  <c r="F36869" i="1"/>
  <c r="F36870" i="1"/>
  <c r="F36871" i="1"/>
  <c r="F36872" i="1"/>
  <c r="F36873" i="1"/>
  <c r="F36874" i="1"/>
  <c r="F36875" i="1"/>
  <c r="F36876" i="1"/>
  <c r="F36877" i="1"/>
  <c r="F36878" i="1"/>
  <c r="F36879" i="1"/>
  <c r="F36880" i="1"/>
  <c r="F36881" i="1"/>
  <c r="F36882" i="1"/>
  <c r="F36883" i="1"/>
  <c r="F36884" i="1"/>
  <c r="F36885" i="1"/>
  <c r="F36886" i="1"/>
  <c r="F36887" i="1"/>
  <c r="F36888" i="1"/>
  <c r="F36889" i="1"/>
  <c r="F36890" i="1"/>
  <c r="F36891" i="1"/>
  <c r="F36892" i="1"/>
  <c r="F36893" i="1"/>
  <c r="F36894" i="1"/>
  <c r="F36895" i="1"/>
  <c r="F36896" i="1"/>
  <c r="F36897" i="1"/>
  <c r="F36898" i="1"/>
  <c r="F36899" i="1"/>
  <c r="F36900" i="1"/>
  <c r="F36901" i="1"/>
  <c r="F36902" i="1"/>
  <c r="F36903" i="1"/>
  <c r="F36904" i="1"/>
  <c r="F36905" i="1"/>
  <c r="F36906" i="1"/>
  <c r="F36907" i="1"/>
  <c r="F36908" i="1"/>
  <c r="F36909" i="1"/>
  <c r="F36910" i="1"/>
  <c r="F36911" i="1"/>
  <c r="F36912" i="1"/>
  <c r="F36913" i="1"/>
  <c r="F36914" i="1"/>
  <c r="F36915" i="1"/>
  <c r="F36916" i="1"/>
  <c r="F36917" i="1"/>
  <c r="F36918" i="1"/>
  <c r="F36919" i="1"/>
  <c r="F36920" i="1"/>
  <c r="F36921" i="1"/>
  <c r="F36922" i="1"/>
  <c r="F36923" i="1"/>
  <c r="F36924" i="1"/>
  <c r="F36925" i="1"/>
  <c r="F36926" i="1"/>
  <c r="F36927" i="1"/>
  <c r="F36928" i="1"/>
  <c r="F36929" i="1"/>
  <c r="F36930" i="1"/>
  <c r="F36931" i="1"/>
  <c r="F36932" i="1"/>
  <c r="F36933" i="1"/>
  <c r="F36934" i="1"/>
  <c r="F36935" i="1"/>
  <c r="F36936" i="1"/>
  <c r="F36937" i="1"/>
  <c r="F36938" i="1"/>
  <c r="F36939" i="1"/>
  <c r="F36940" i="1"/>
  <c r="F36941" i="1"/>
  <c r="F36942" i="1"/>
  <c r="F36943" i="1"/>
  <c r="F36944" i="1"/>
  <c r="F36945" i="1"/>
  <c r="F36946" i="1"/>
  <c r="F36947" i="1"/>
  <c r="F36948" i="1"/>
  <c r="F36949" i="1"/>
  <c r="F36950" i="1"/>
  <c r="F36951" i="1"/>
  <c r="F36952" i="1"/>
  <c r="F36953" i="1"/>
  <c r="F36954" i="1"/>
  <c r="F36955" i="1"/>
  <c r="F36956" i="1"/>
  <c r="F36957" i="1"/>
  <c r="F36958" i="1"/>
  <c r="F36959" i="1"/>
  <c r="F36960" i="1"/>
  <c r="F36961" i="1"/>
  <c r="F36962" i="1"/>
  <c r="F36963" i="1"/>
  <c r="F36964" i="1"/>
  <c r="F36965" i="1"/>
  <c r="F36966" i="1"/>
  <c r="F36967" i="1"/>
  <c r="F36968" i="1"/>
  <c r="F36969" i="1"/>
  <c r="F36970" i="1"/>
  <c r="F36971" i="1"/>
  <c r="F36972" i="1"/>
  <c r="F36973" i="1"/>
  <c r="F36974" i="1"/>
  <c r="F36975" i="1"/>
  <c r="F36976" i="1"/>
  <c r="F36977" i="1"/>
  <c r="F36978" i="1"/>
  <c r="F36979" i="1"/>
  <c r="F36980" i="1"/>
  <c r="F36981" i="1"/>
  <c r="F36982" i="1"/>
  <c r="F36983" i="1"/>
  <c r="F36984" i="1"/>
  <c r="F36985" i="1"/>
  <c r="F36986" i="1"/>
  <c r="F36987" i="1"/>
  <c r="F36988" i="1"/>
  <c r="F36989" i="1"/>
  <c r="F36990" i="1"/>
  <c r="F36991" i="1"/>
  <c r="F36992" i="1"/>
  <c r="F36993" i="1"/>
  <c r="F36994" i="1"/>
  <c r="F36995" i="1"/>
  <c r="F36996" i="1"/>
  <c r="F36997" i="1"/>
  <c r="F36998" i="1"/>
  <c r="F36999" i="1"/>
  <c r="F37000" i="1"/>
  <c r="F37001" i="1"/>
  <c r="F37002" i="1"/>
  <c r="F37003" i="1"/>
  <c r="F37004" i="1"/>
  <c r="F37005" i="1"/>
  <c r="F37006" i="1"/>
  <c r="F37007" i="1"/>
  <c r="F37008" i="1"/>
  <c r="F37009" i="1"/>
  <c r="F37010" i="1"/>
  <c r="F37011" i="1"/>
  <c r="F37012" i="1"/>
  <c r="F37013" i="1"/>
  <c r="F37014" i="1"/>
  <c r="F37015" i="1"/>
  <c r="F37016" i="1"/>
  <c r="F37017" i="1"/>
  <c r="F37018" i="1"/>
  <c r="F37019" i="1"/>
  <c r="F37020" i="1"/>
  <c r="F37021" i="1"/>
  <c r="F37022" i="1"/>
  <c r="F37023" i="1"/>
  <c r="F37024" i="1"/>
  <c r="F37025" i="1"/>
  <c r="F37026" i="1"/>
  <c r="F37027" i="1"/>
  <c r="F37028" i="1"/>
  <c r="F37029" i="1"/>
  <c r="F37030" i="1"/>
  <c r="F37031" i="1"/>
  <c r="F37032" i="1"/>
  <c r="F37033" i="1"/>
  <c r="F37034" i="1"/>
  <c r="F37035" i="1"/>
  <c r="F37036" i="1"/>
  <c r="F37037" i="1"/>
  <c r="F37038" i="1"/>
  <c r="F37039" i="1"/>
  <c r="F37040" i="1"/>
  <c r="F37041" i="1"/>
  <c r="F37042" i="1"/>
  <c r="F37043" i="1"/>
  <c r="F37044" i="1"/>
  <c r="F37045" i="1"/>
  <c r="F37046" i="1"/>
  <c r="F37047" i="1"/>
  <c r="F37048" i="1"/>
  <c r="F37049" i="1"/>
  <c r="F37050" i="1"/>
  <c r="F37051" i="1"/>
  <c r="F37052" i="1"/>
  <c r="F37053" i="1"/>
  <c r="F37054" i="1"/>
  <c r="F37055" i="1"/>
  <c r="F37056" i="1"/>
  <c r="F37057" i="1"/>
  <c r="F37058" i="1"/>
  <c r="F37059" i="1"/>
  <c r="F37060" i="1"/>
  <c r="F37061" i="1"/>
  <c r="F37062" i="1"/>
  <c r="F37063" i="1"/>
  <c r="F37064" i="1"/>
  <c r="F37065" i="1"/>
  <c r="F37066" i="1"/>
  <c r="F37067" i="1"/>
  <c r="F37068" i="1"/>
  <c r="F37069" i="1"/>
  <c r="F37070" i="1"/>
  <c r="F37071" i="1"/>
  <c r="F37072" i="1"/>
  <c r="F37073" i="1"/>
  <c r="F37074" i="1"/>
  <c r="F37075" i="1"/>
  <c r="F37076" i="1"/>
  <c r="F37077" i="1"/>
  <c r="F37078" i="1"/>
  <c r="F37079" i="1"/>
  <c r="F37080" i="1"/>
  <c r="F37081" i="1"/>
  <c r="F37082" i="1"/>
  <c r="F37083" i="1"/>
  <c r="F37084" i="1"/>
  <c r="F37085" i="1"/>
  <c r="F37086" i="1"/>
  <c r="F37087" i="1"/>
  <c r="F37088" i="1"/>
  <c r="F37089" i="1"/>
  <c r="F37090" i="1"/>
  <c r="F37091" i="1"/>
  <c r="F37092" i="1"/>
  <c r="F37093" i="1"/>
  <c r="F37094" i="1"/>
  <c r="F37095" i="1"/>
  <c r="F37096" i="1"/>
  <c r="F37097" i="1"/>
  <c r="F37098" i="1"/>
  <c r="F37099" i="1"/>
  <c r="F37100" i="1"/>
  <c r="F37101" i="1"/>
  <c r="F37102" i="1"/>
  <c r="F37103" i="1"/>
  <c r="F37104" i="1"/>
  <c r="F37105" i="1"/>
  <c r="F37106" i="1"/>
  <c r="F37107" i="1"/>
  <c r="F37108" i="1"/>
  <c r="F37109" i="1"/>
  <c r="F37110" i="1"/>
  <c r="F37111" i="1"/>
  <c r="F37112" i="1"/>
  <c r="F37113" i="1"/>
  <c r="F37114" i="1"/>
  <c r="F37115" i="1"/>
  <c r="F37116" i="1"/>
  <c r="F37117" i="1"/>
  <c r="F37118" i="1"/>
  <c r="F37119" i="1"/>
  <c r="F37120" i="1"/>
  <c r="F37121" i="1"/>
  <c r="F37122" i="1"/>
  <c r="F37123" i="1"/>
  <c r="F37124" i="1"/>
  <c r="F37125" i="1"/>
  <c r="F37126" i="1"/>
  <c r="F37127" i="1"/>
  <c r="F37128" i="1"/>
  <c r="F37129" i="1"/>
  <c r="F37130" i="1"/>
  <c r="F37131" i="1"/>
  <c r="F37132" i="1"/>
  <c r="F37133" i="1"/>
  <c r="F37134" i="1"/>
  <c r="F37135" i="1"/>
  <c r="F37136" i="1"/>
  <c r="F37137" i="1"/>
  <c r="F37138" i="1"/>
  <c r="F37139" i="1"/>
  <c r="F37140" i="1"/>
  <c r="F37141" i="1"/>
  <c r="F37142" i="1"/>
  <c r="F37143" i="1"/>
  <c r="F37144" i="1"/>
  <c r="F37145" i="1"/>
  <c r="F37146" i="1"/>
  <c r="F37147" i="1"/>
  <c r="F37148" i="1"/>
  <c r="F37149" i="1"/>
  <c r="F37150" i="1"/>
  <c r="F37151" i="1"/>
  <c r="F37152" i="1"/>
  <c r="F37153" i="1"/>
  <c r="F37154" i="1"/>
  <c r="F37155" i="1"/>
  <c r="F37156" i="1"/>
  <c r="F37157" i="1"/>
  <c r="F37158" i="1"/>
  <c r="F37159" i="1"/>
  <c r="F37160" i="1"/>
  <c r="F37161" i="1"/>
  <c r="F37162" i="1"/>
  <c r="F37163" i="1"/>
  <c r="F37164" i="1"/>
  <c r="F37165" i="1"/>
  <c r="F37166" i="1"/>
  <c r="F37167" i="1"/>
  <c r="F37168" i="1"/>
  <c r="F37169" i="1"/>
  <c r="F37170" i="1"/>
  <c r="F37171" i="1"/>
  <c r="F37172" i="1"/>
  <c r="F37173" i="1"/>
  <c r="F37174" i="1"/>
  <c r="F37175" i="1"/>
  <c r="F37176" i="1"/>
  <c r="F37177" i="1"/>
  <c r="F37178" i="1"/>
  <c r="F37179" i="1"/>
  <c r="F37180" i="1"/>
  <c r="F37181" i="1"/>
  <c r="F37182" i="1"/>
  <c r="F37183" i="1"/>
  <c r="F37184" i="1"/>
  <c r="F37185" i="1"/>
  <c r="F37186" i="1"/>
  <c r="F37187" i="1"/>
  <c r="F37188" i="1"/>
  <c r="F37189" i="1"/>
  <c r="F37190" i="1"/>
  <c r="F37191" i="1"/>
  <c r="F37192" i="1"/>
  <c r="F37193" i="1"/>
  <c r="F37194" i="1"/>
  <c r="F37195" i="1"/>
  <c r="F37196" i="1"/>
  <c r="F37197" i="1"/>
  <c r="F37198" i="1"/>
  <c r="F37199" i="1"/>
  <c r="F37200" i="1"/>
  <c r="F37201" i="1"/>
  <c r="F37202" i="1"/>
  <c r="F37203" i="1"/>
  <c r="F37204" i="1"/>
  <c r="F37205" i="1"/>
  <c r="F37206" i="1"/>
  <c r="F37207" i="1"/>
  <c r="F37208" i="1"/>
  <c r="F37209" i="1"/>
  <c r="F37210" i="1"/>
  <c r="F37211" i="1"/>
  <c r="F37212" i="1"/>
  <c r="F37213" i="1"/>
  <c r="F37214" i="1"/>
  <c r="F37215" i="1"/>
  <c r="F37216" i="1"/>
  <c r="F37217" i="1"/>
  <c r="F37218" i="1"/>
  <c r="F37219" i="1"/>
  <c r="F37220" i="1"/>
  <c r="F37221" i="1"/>
  <c r="F37222" i="1"/>
  <c r="F37223" i="1"/>
  <c r="F37224" i="1"/>
  <c r="F37225" i="1"/>
  <c r="F37226" i="1"/>
  <c r="F37227" i="1"/>
  <c r="F37228" i="1"/>
  <c r="F37229" i="1"/>
  <c r="F37230" i="1"/>
  <c r="F37231" i="1"/>
  <c r="F37232" i="1"/>
  <c r="F37233" i="1"/>
  <c r="F37234" i="1"/>
  <c r="F37235" i="1"/>
  <c r="F37236" i="1"/>
  <c r="F37237" i="1"/>
  <c r="F37238" i="1"/>
  <c r="F37239" i="1"/>
  <c r="F37240" i="1"/>
  <c r="F37241" i="1"/>
  <c r="F37242" i="1"/>
  <c r="F37243" i="1"/>
  <c r="F37244" i="1"/>
  <c r="F37245" i="1"/>
  <c r="F37246" i="1"/>
  <c r="F37247" i="1"/>
  <c r="F37248" i="1"/>
  <c r="F37249" i="1"/>
  <c r="F37250" i="1"/>
  <c r="F37251" i="1"/>
  <c r="F37252" i="1"/>
  <c r="F37253" i="1"/>
  <c r="F37254" i="1"/>
  <c r="F37255" i="1"/>
  <c r="F37256" i="1"/>
  <c r="F37257" i="1"/>
  <c r="F37258" i="1"/>
  <c r="F37259" i="1"/>
  <c r="F37260" i="1"/>
  <c r="F37261" i="1"/>
  <c r="F37262" i="1"/>
  <c r="F37263" i="1"/>
  <c r="F37264" i="1"/>
  <c r="F37265" i="1"/>
  <c r="F37266" i="1"/>
  <c r="F37267" i="1"/>
  <c r="F37268" i="1"/>
  <c r="F37269" i="1"/>
  <c r="F37270" i="1"/>
  <c r="F37271" i="1"/>
  <c r="F37272" i="1"/>
  <c r="F37273" i="1"/>
  <c r="F37274" i="1"/>
  <c r="F37275" i="1"/>
  <c r="F37276" i="1"/>
  <c r="F37277" i="1"/>
  <c r="F37278" i="1"/>
  <c r="F37279" i="1"/>
  <c r="F37280" i="1"/>
  <c r="F37281" i="1"/>
  <c r="F37282" i="1"/>
  <c r="F37283" i="1"/>
  <c r="F37284" i="1"/>
  <c r="F37285" i="1"/>
  <c r="F37286" i="1"/>
  <c r="F37287" i="1"/>
  <c r="F37288" i="1"/>
  <c r="F37289" i="1"/>
  <c r="F37290" i="1"/>
  <c r="F37291" i="1"/>
  <c r="F37292" i="1"/>
  <c r="F37293" i="1"/>
  <c r="F37294" i="1"/>
  <c r="F37295" i="1"/>
  <c r="F37296" i="1"/>
  <c r="F37297" i="1"/>
  <c r="F37298" i="1"/>
  <c r="F37299" i="1"/>
  <c r="F37300" i="1"/>
  <c r="F37301" i="1"/>
  <c r="F37302" i="1"/>
  <c r="F37303" i="1"/>
  <c r="F37304" i="1"/>
  <c r="F37305" i="1"/>
  <c r="F37306" i="1"/>
  <c r="F37307" i="1"/>
  <c r="F37308" i="1"/>
  <c r="F37309" i="1"/>
  <c r="F37310" i="1"/>
  <c r="F37311" i="1"/>
  <c r="F37312" i="1"/>
  <c r="F37313" i="1"/>
  <c r="F37314" i="1"/>
  <c r="F37315" i="1"/>
  <c r="F37316" i="1"/>
  <c r="F37317" i="1"/>
  <c r="F37318" i="1"/>
  <c r="F37319" i="1"/>
  <c r="F37320" i="1"/>
  <c r="F37321" i="1"/>
  <c r="F37322" i="1"/>
  <c r="F37323" i="1"/>
  <c r="F37324" i="1"/>
  <c r="F37325" i="1"/>
  <c r="F37326" i="1"/>
  <c r="F37327" i="1"/>
  <c r="F37328" i="1"/>
  <c r="F37329" i="1"/>
  <c r="F37330" i="1"/>
  <c r="F37331" i="1"/>
  <c r="F37332" i="1"/>
  <c r="F37333" i="1"/>
  <c r="F37334" i="1"/>
  <c r="F37335" i="1"/>
  <c r="F37336" i="1"/>
  <c r="F37337" i="1"/>
  <c r="F37338" i="1"/>
  <c r="F37339" i="1"/>
  <c r="F37340" i="1"/>
  <c r="F37341" i="1"/>
  <c r="F37342" i="1"/>
  <c r="F37343" i="1"/>
  <c r="F37344" i="1"/>
  <c r="F37345" i="1"/>
  <c r="F37346" i="1"/>
  <c r="F37347" i="1"/>
  <c r="F37348" i="1"/>
  <c r="F37349" i="1"/>
  <c r="F37350" i="1"/>
  <c r="F37351" i="1"/>
  <c r="F37352" i="1"/>
  <c r="F37353" i="1"/>
  <c r="F37354" i="1"/>
  <c r="F37355" i="1"/>
  <c r="F37356" i="1"/>
  <c r="F37357" i="1"/>
  <c r="F37358" i="1"/>
  <c r="F37359" i="1"/>
  <c r="F37360" i="1"/>
  <c r="F37361" i="1"/>
  <c r="F37362" i="1"/>
  <c r="F37363" i="1"/>
  <c r="F37364" i="1"/>
  <c r="F37365" i="1"/>
  <c r="F37366" i="1"/>
  <c r="F37367" i="1"/>
  <c r="F37368" i="1"/>
  <c r="F37369" i="1"/>
  <c r="F37370" i="1"/>
  <c r="F37371" i="1"/>
  <c r="F37372" i="1"/>
  <c r="F37373" i="1"/>
  <c r="F37374" i="1"/>
  <c r="F37375" i="1"/>
  <c r="F37376" i="1"/>
  <c r="F37377" i="1"/>
  <c r="F37378" i="1"/>
  <c r="F37379" i="1"/>
  <c r="F37380" i="1"/>
  <c r="F37381" i="1"/>
  <c r="F37382" i="1"/>
  <c r="F37383" i="1"/>
  <c r="F37384" i="1"/>
  <c r="F37385" i="1"/>
  <c r="F37386" i="1"/>
  <c r="F37387" i="1"/>
  <c r="F37388" i="1"/>
  <c r="F37389" i="1"/>
  <c r="F37390" i="1"/>
  <c r="F37391" i="1"/>
  <c r="F37392" i="1"/>
  <c r="F37393" i="1"/>
  <c r="F37394" i="1"/>
  <c r="F37395" i="1"/>
  <c r="F37396" i="1"/>
  <c r="F37397" i="1"/>
  <c r="F37398" i="1"/>
  <c r="F37399" i="1"/>
  <c r="F37400" i="1"/>
  <c r="F37401" i="1"/>
  <c r="F37402" i="1"/>
  <c r="F37403" i="1"/>
  <c r="F37404" i="1"/>
  <c r="F37405" i="1"/>
  <c r="F37406" i="1"/>
  <c r="F37407" i="1"/>
  <c r="F37408" i="1"/>
  <c r="F37409" i="1"/>
  <c r="F37410" i="1"/>
  <c r="F37411" i="1"/>
  <c r="F37412" i="1"/>
  <c r="F37413" i="1"/>
  <c r="F37414" i="1"/>
  <c r="F37415" i="1"/>
  <c r="F37416" i="1"/>
  <c r="F37417" i="1"/>
  <c r="F37418" i="1"/>
  <c r="F37419" i="1"/>
  <c r="F37420" i="1"/>
  <c r="F37421" i="1"/>
  <c r="F37422" i="1"/>
  <c r="F37423" i="1"/>
  <c r="F37424" i="1"/>
  <c r="F37425" i="1"/>
  <c r="F37426" i="1"/>
  <c r="F37427" i="1"/>
  <c r="F37428" i="1"/>
  <c r="F37429" i="1"/>
  <c r="F37430" i="1"/>
  <c r="F37431" i="1"/>
  <c r="F37432" i="1"/>
  <c r="F37433" i="1"/>
  <c r="F37434" i="1"/>
  <c r="F37435" i="1"/>
  <c r="F37436" i="1"/>
  <c r="F37437" i="1"/>
  <c r="F37438" i="1"/>
  <c r="F37439" i="1"/>
  <c r="F37440" i="1"/>
  <c r="F37441" i="1"/>
  <c r="F37442" i="1"/>
  <c r="F37443" i="1"/>
  <c r="F37444" i="1"/>
  <c r="F37445" i="1"/>
  <c r="F37446" i="1"/>
  <c r="F37447" i="1"/>
  <c r="F37448" i="1"/>
  <c r="F37449" i="1"/>
  <c r="F37450" i="1"/>
  <c r="F37451" i="1"/>
  <c r="F37452" i="1"/>
  <c r="F37453" i="1"/>
  <c r="F37454" i="1"/>
  <c r="F37455" i="1"/>
  <c r="F37456" i="1"/>
  <c r="F37457" i="1"/>
  <c r="F37458" i="1"/>
  <c r="F37459" i="1"/>
  <c r="F37460" i="1"/>
  <c r="F37461" i="1"/>
  <c r="F37462" i="1"/>
  <c r="F37463" i="1"/>
  <c r="F37464" i="1"/>
  <c r="F37465" i="1"/>
  <c r="F37466" i="1"/>
  <c r="F37467" i="1"/>
  <c r="F37468" i="1"/>
  <c r="F37469" i="1"/>
  <c r="F37470" i="1"/>
  <c r="F37471" i="1"/>
  <c r="F37472" i="1"/>
  <c r="F37473" i="1"/>
  <c r="F37474" i="1"/>
  <c r="F37475" i="1"/>
  <c r="F37476" i="1"/>
  <c r="F37477" i="1"/>
  <c r="F37478" i="1"/>
  <c r="F37479" i="1"/>
  <c r="F37480" i="1"/>
  <c r="F37481" i="1"/>
  <c r="F37482" i="1"/>
  <c r="F37483" i="1"/>
  <c r="F37484" i="1"/>
  <c r="F37485" i="1"/>
  <c r="F37486" i="1"/>
  <c r="F37487" i="1"/>
  <c r="F37488" i="1"/>
  <c r="F37489" i="1"/>
  <c r="F37490" i="1"/>
  <c r="F37491" i="1"/>
  <c r="F37492" i="1"/>
  <c r="F37493" i="1"/>
  <c r="F37494" i="1"/>
  <c r="F37495" i="1"/>
  <c r="F37496" i="1"/>
  <c r="F37497" i="1"/>
  <c r="F37498" i="1"/>
  <c r="F37499" i="1"/>
  <c r="F37500" i="1"/>
  <c r="F37501" i="1"/>
  <c r="F37502" i="1"/>
  <c r="F37503" i="1"/>
  <c r="F37504" i="1"/>
  <c r="F37505" i="1"/>
  <c r="F37506" i="1"/>
  <c r="F37507" i="1"/>
  <c r="F37508" i="1"/>
  <c r="F37509" i="1"/>
  <c r="F37510" i="1"/>
  <c r="F37511" i="1"/>
  <c r="F37512" i="1"/>
  <c r="F37513" i="1"/>
  <c r="F37514" i="1"/>
  <c r="F37515" i="1"/>
  <c r="F37516" i="1"/>
  <c r="F37517" i="1"/>
  <c r="F37518" i="1"/>
  <c r="F37519" i="1"/>
  <c r="F37520" i="1"/>
  <c r="F37521" i="1"/>
  <c r="F37522" i="1"/>
  <c r="F37523" i="1"/>
  <c r="F37524" i="1"/>
  <c r="F37525" i="1"/>
  <c r="F37526" i="1"/>
  <c r="F37527" i="1"/>
  <c r="F37528" i="1"/>
  <c r="F37529" i="1"/>
  <c r="F37530" i="1"/>
  <c r="F37531" i="1"/>
  <c r="F37532" i="1"/>
  <c r="F37533" i="1"/>
  <c r="F37534" i="1"/>
  <c r="F37535" i="1"/>
  <c r="F37536" i="1"/>
  <c r="F37537" i="1"/>
  <c r="F37538" i="1"/>
  <c r="F37539" i="1"/>
  <c r="F37540" i="1"/>
  <c r="F37541" i="1"/>
  <c r="F37542" i="1"/>
  <c r="F37543" i="1"/>
  <c r="F37544" i="1"/>
  <c r="F37545" i="1"/>
  <c r="F37546" i="1"/>
  <c r="F37547" i="1"/>
  <c r="F37548" i="1"/>
  <c r="F37549" i="1"/>
  <c r="F37550" i="1"/>
  <c r="F37551" i="1"/>
  <c r="F37552" i="1"/>
  <c r="F37553" i="1"/>
  <c r="F37554" i="1"/>
  <c r="F37555" i="1"/>
  <c r="F37556" i="1"/>
  <c r="F37557" i="1"/>
  <c r="F37558" i="1"/>
  <c r="F37559" i="1"/>
  <c r="F37560" i="1"/>
  <c r="F37561" i="1"/>
  <c r="F37562" i="1"/>
  <c r="F37563" i="1"/>
  <c r="F37564" i="1"/>
  <c r="F37565" i="1"/>
  <c r="F37566" i="1"/>
  <c r="F37567" i="1"/>
  <c r="F37568" i="1"/>
  <c r="F37569" i="1"/>
  <c r="F37570" i="1"/>
  <c r="F37571" i="1"/>
  <c r="F37572" i="1"/>
  <c r="F37573" i="1"/>
  <c r="F37574" i="1"/>
  <c r="F37575" i="1"/>
  <c r="F37576" i="1"/>
  <c r="F37577" i="1"/>
  <c r="F37578" i="1"/>
  <c r="F37579" i="1"/>
  <c r="F37580" i="1"/>
  <c r="F37581" i="1"/>
  <c r="F37582" i="1"/>
  <c r="F37583" i="1"/>
  <c r="F37584" i="1"/>
  <c r="F37585" i="1"/>
  <c r="F37586" i="1"/>
  <c r="F37587" i="1"/>
  <c r="F37588" i="1"/>
  <c r="F37589" i="1"/>
  <c r="F37590" i="1"/>
  <c r="F37591" i="1"/>
  <c r="F37592" i="1"/>
  <c r="F37593" i="1"/>
  <c r="F37594" i="1"/>
  <c r="F37595" i="1"/>
  <c r="F37596" i="1"/>
  <c r="F37597" i="1"/>
  <c r="F37598" i="1"/>
  <c r="F37599" i="1"/>
  <c r="F37600" i="1"/>
  <c r="F37601" i="1"/>
  <c r="F37602" i="1"/>
  <c r="F37603" i="1"/>
  <c r="F37604" i="1"/>
  <c r="F37605" i="1"/>
  <c r="F37606" i="1"/>
  <c r="F37607" i="1"/>
  <c r="F37608" i="1"/>
  <c r="F37609" i="1"/>
  <c r="F37610" i="1"/>
  <c r="F37611" i="1"/>
  <c r="F37612" i="1"/>
  <c r="F37613" i="1"/>
  <c r="F37614" i="1"/>
  <c r="F37615" i="1"/>
  <c r="F37616" i="1"/>
  <c r="F37617" i="1"/>
  <c r="F37618" i="1"/>
  <c r="F37619" i="1"/>
  <c r="F37620" i="1"/>
  <c r="F37621" i="1"/>
  <c r="F37622" i="1"/>
  <c r="F37623" i="1"/>
  <c r="F37624" i="1"/>
  <c r="F37625" i="1"/>
  <c r="F37626" i="1"/>
  <c r="F37627" i="1"/>
  <c r="F37628" i="1"/>
  <c r="F37629" i="1"/>
  <c r="F37630" i="1"/>
  <c r="F37631" i="1"/>
  <c r="F37632" i="1"/>
  <c r="F37633" i="1"/>
  <c r="F37634" i="1"/>
  <c r="F37635" i="1"/>
  <c r="F37636" i="1"/>
  <c r="F37637" i="1"/>
  <c r="F37638" i="1"/>
  <c r="F37639" i="1"/>
  <c r="F37640" i="1"/>
  <c r="F37641" i="1"/>
  <c r="F37642" i="1"/>
  <c r="F37643" i="1"/>
  <c r="F37644" i="1"/>
  <c r="F37645" i="1"/>
  <c r="F37646" i="1"/>
  <c r="F37647" i="1"/>
  <c r="F37648" i="1"/>
  <c r="F37649" i="1"/>
  <c r="F37650" i="1"/>
  <c r="F37651" i="1"/>
  <c r="F37652" i="1"/>
  <c r="F37653" i="1"/>
  <c r="F37654" i="1"/>
  <c r="F37655" i="1"/>
  <c r="F37656" i="1"/>
  <c r="F37657" i="1"/>
  <c r="F37658" i="1"/>
  <c r="F37659" i="1"/>
  <c r="F37660" i="1"/>
  <c r="F37661" i="1"/>
  <c r="F37662" i="1"/>
  <c r="F37663" i="1"/>
  <c r="F37664" i="1"/>
  <c r="F37665" i="1"/>
  <c r="F37666" i="1"/>
  <c r="F37667" i="1"/>
  <c r="F37668" i="1"/>
  <c r="F37669" i="1"/>
  <c r="F37670" i="1"/>
  <c r="F37671" i="1"/>
  <c r="F37672" i="1"/>
  <c r="F37673" i="1"/>
  <c r="F37674" i="1"/>
  <c r="F37675" i="1"/>
  <c r="F37676" i="1"/>
  <c r="F37677" i="1"/>
  <c r="F37678" i="1"/>
  <c r="F37679" i="1"/>
  <c r="F37680" i="1"/>
  <c r="F37681" i="1"/>
  <c r="F37682" i="1"/>
  <c r="F37683" i="1"/>
  <c r="F37684" i="1"/>
  <c r="F37685" i="1"/>
  <c r="F37686" i="1"/>
  <c r="F37687" i="1"/>
  <c r="F37688" i="1"/>
  <c r="F37689" i="1"/>
  <c r="F37690" i="1"/>
  <c r="F37691" i="1"/>
  <c r="F37692" i="1"/>
  <c r="F37693" i="1"/>
  <c r="F37694" i="1"/>
  <c r="F37695" i="1"/>
  <c r="F37696" i="1"/>
  <c r="F37697" i="1"/>
  <c r="F37698" i="1"/>
  <c r="F37699" i="1"/>
  <c r="F37700" i="1"/>
  <c r="F37701" i="1"/>
  <c r="F37702" i="1"/>
  <c r="F37703" i="1"/>
  <c r="F37704" i="1"/>
  <c r="F37705" i="1"/>
  <c r="F37706" i="1"/>
  <c r="F37707" i="1"/>
  <c r="F37708" i="1"/>
  <c r="F37709" i="1"/>
  <c r="F37710" i="1"/>
  <c r="F37711" i="1"/>
  <c r="F37712" i="1"/>
  <c r="F37713" i="1"/>
  <c r="F37714" i="1"/>
  <c r="F37715" i="1"/>
  <c r="F37716" i="1"/>
  <c r="F37717" i="1"/>
  <c r="F37718" i="1"/>
  <c r="F37719" i="1"/>
  <c r="F37720" i="1"/>
  <c r="F37721" i="1"/>
  <c r="F37722" i="1"/>
  <c r="F37723" i="1"/>
  <c r="F37724" i="1"/>
  <c r="F37725" i="1"/>
  <c r="F37726" i="1"/>
  <c r="F37727" i="1"/>
  <c r="F37728" i="1"/>
  <c r="F37729" i="1"/>
  <c r="F37730" i="1"/>
  <c r="F37731" i="1"/>
  <c r="F37732" i="1"/>
  <c r="F37733" i="1"/>
  <c r="F37734" i="1"/>
  <c r="F37735" i="1"/>
  <c r="F37736" i="1"/>
  <c r="F37737" i="1"/>
  <c r="F37738" i="1"/>
  <c r="F37739" i="1"/>
  <c r="F37740" i="1"/>
  <c r="F37741" i="1"/>
  <c r="F37742" i="1"/>
  <c r="F37743" i="1"/>
  <c r="F37744" i="1"/>
  <c r="F37745" i="1"/>
  <c r="F37746" i="1"/>
  <c r="F37747" i="1"/>
  <c r="F37748" i="1"/>
  <c r="F37749" i="1"/>
  <c r="F37750" i="1"/>
  <c r="F37751" i="1"/>
  <c r="F37752" i="1"/>
  <c r="F37753" i="1"/>
  <c r="F37754" i="1"/>
  <c r="F37755" i="1"/>
  <c r="F37756" i="1"/>
  <c r="F37757" i="1"/>
  <c r="F37758" i="1"/>
  <c r="F37759" i="1"/>
  <c r="F37760" i="1"/>
  <c r="F37761" i="1"/>
  <c r="F37762" i="1"/>
  <c r="F37763" i="1"/>
  <c r="F37764" i="1"/>
  <c r="F37765" i="1"/>
  <c r="F37766" i="1"/>
  <c r="F37767" i="1"/>
  <c r="F37768" i="1"/>
  <c r="F37769" i="1"/>
  <c r="F37770" i="1"/>
  <c r="F37771" i="1"/>
  <c r="F37772" i="1"/>
  <c r="F37773" i="1"/>
  <c r="F37774" i="1"/>
  <c r="F37775" i="1"/>
  <c r="F37776" i="1"/>
  <c r="F37777" i="1"/>
  <c r="F37778" i="1"/>
  <c r="F37779" i="1"/>
  <c r="F37780" i="1"/>
  <c r="F37781" i="1"/>
  <c r="F37782" i="1"/>
  <c r="F37783" i="1"/>
  <c r="F37784" i="1"/>
  <c r="F37785" i="1"/>
  <c r="F37786" i="1"/>
  <c r="F37787" i="1"/>
  <c r="F37788" i="1"/>
  <c r="F37789" i="1"/>
  <c r="F37790" i="1"/>
  <c r="F37791" i="1"/>
  <c r="F37792" i="1"/>
  <c r="F37793" i="1"/>
  <c r="F37794" i="1"/>
  <c r="F37795" i="1"/>
  <c r="F37796" i="1"/>
  <c r="F37797" i="1"/>
  <c r="F37798" i="1"/>
  <c r="F37799" i="1"/>
  <c r="F37800" i="1"/>
  <c r="F37801" i="1"/>
  <c r="F37802" i="1"/>
  <c r="F37803" i="1"/>
  <c r="F37804" i="1"/>
  <c r="F37805" i="1"/>
  <c r="F37806" i="1"/>
  <c r="F37807" i="1"/>
  <c r="F37808" i="1"/>
  <c r="F37809" i="1"/>
  <c r="F37810" i="1"/>
  <c r="F37811" i="1"/>
  <c r="F37812" i="1"/>
  <c r="F37813" i="1"/>
  <c r="F37814" i="1"/>
  <c r="F37815" i="1"/>
  <c r="F37816" i="1"/>
  <c r="F37817" i="1"/>
  <c r="F37818" i="1"/>
  <c r="F37819" i="1"/>
  <c r="F37820" i="1"/>
  <c r="F37821" i="1"/>
  <c r="F37822" i="1"/>
  <c r="F37823" i="1"/>
  <c r="F37824" i="1"/>
  <c r="F37825" i="1"/>
  <c r="F37826" i="1"/>
  <c r="F37827" i="1"/>
  <c r="F37828" i="1"/>
  <c r="F37829" i="1"/>
  <c r="F37830" i="1"/>
  <c r="F37831" i="1"/>
  <c r="F37832" i="1"/>
  <c r="F37833" i="1"/>
  <c r="F37834" i="1"/>
  <c r="F37835" i="1"/>
  <c r="F37836" i="1"/>
  <c r="F37837" i="1"/>
  <c r="F37838" i="1"/>
  <c r="F37839" i="1"/>
  <c r="F37840" i="1"/>
  <c r="F37841" i="1"/>
  <c r="F37842" i="1"/>
  <c r="F37843" i="1"/>
  <c r="F37844" i="1"/>
  <c r="F37845" i="1"/>
  <c r="F37846" i="1"/>
  <c r="F37847" i="1"/>
  <c r="F37848" i="1"/>
  <c r="F37849" i="1"/>
  <c r="F37850" i="1"/>
  <c r="F37851" i="1"/>
  <c r="F37852" i="1"/>
  <c r="F37853" i="1"/>
  <c r="F37854" i="1"/>
  <c r="F37855" i="1"/>
  <c r="F37856" i="1"/>
  <c r="F37857" i="1"/>
  <c r="F37858" i="1"/>
  <c r="F37859" i="1"/>
  <c r="F37860" i="1"/>
  <c r="F37861" i="1"/>
  <c r="F37862" i="1"/>
  <c r="F37863" i="1"/>
  <c r="F37864" i="1"/>
  <c r="F37865" i="1"/>
  <c r="F37866" i="1"/>
  <c r="F37867" i="1"/>
  <c r="F37868" i="1"/>
  <c r="F37869" i="1"/>
  <c r="F37870" i="1"/>
  <c r="F37871" i="1"/>
  <c r="F37872" i="1"/>
  <c r="F37873" i="1"/>
  <c r="F37874" i="1"/>
  <c r="F37875" i="1"/>
  <c r="F37876" i="1"/>
  <c r="F37877" i="1"/>
  <c r="F37878" i="1"/>
  <c r="F37879" i="1"/>
  <c r="F37880" i="1"/>
  <c r="F37881" i="1"/>
  <c r="F37882" i="1"/>
  <c r="F37883" i="1"/>
  <c r="F37884" i="1"/>
  <c r="F37885" i="1"/>
  <c r="F37886" i="1"/>
  <c r="F37887" i="1"/>
  <c r="F37888" i="1"/>
  <c r="F37889" i="1"/>
  <c r="F37890" i="1"/>
  <c r="F37891" i="1"/>
  <c r="F37892" i="1"/>
  <c r="F37893" i="1"/>
  <c r="F37894" i="1"/>
  <c r="F37895" i="1"/>
  <c r="F37896" i="1"/>
  <c r="F37897" i="1"/>
  <c r="F37898" i="1"/>
  <c r="F37899" i="1"/>
  <c r="F37900" i="1"/>
  <c r="F37901" i="1"/>
  <c r="F37902" i="1"/>
  <c r="F37903" i="1"/>
  <c r="F37904" i="1"/>
  <c r="F37905" i="1"/>
  <c r="F37906" i="1"/>
  <c r="F37907" i="1"/>
  <c r="F37908" i="1"/>
  <c r="F37909" i="1"/>
  <c r="F37910" i="1"/>
  <c r="F37911" i="1"/>
  <c r="F37912" i="1"/>
  <c r="F37913" i="1"/>
  <c r="F37914" i="1"/>
  <c r="F37915" i="1"/>
  <c r="F37916" i="1"/>
  <c r="F37917" i="1"/>
  <c r="F37918" i="1"/>
  <c r="F37919" i="1"/>
  <c r="F37920" i="1"/>
  <c r="F37921" i="1"/>
  <c r="F37922" i="1"/>
  <c r="F37923" i="1"/>
  <c r="F37924" i="1"/>
  <c r="F37925" i="1"/>
  <c r="F37926" i="1"/>
  <c r="F37927" i="1"/>
  <c r="F37928" i="1"/>
  <c r="F37929" i="1"/>
  <c r="F37930" i="1"/>
  <c r="F37931" i="1"/>
  <c r="F37932" i="1"/>
  <c r="F37933" i="1"/>
  <c r="F37934" i="1"/>
  <c r="F37935" i="1"/>
  <c r="F37936" i="1"/>
  <c r="F37937" i="1"/>
  <c r="F37938" i="1"/>
  <c r="F37939" i="1"/>
  <c r="F37940" i="1"/>
  <c r="F37941" i="1"/>
  <c r="F37942" i="1"/>
  <c r="F37943" i="1"/>
  <c r="F37944" i="1"/>
  <c r="F37945" i="1"/>
  <c r="F37946" i="1"/>
  <c r="F37947" i="1"/>
  <c r="F37948" i="1"/>
  <c r="F37949" i="1"/>
  <c r="F37950" i="1"/>
  <c r="F37951" i="1"/>
  <c r="F37952" i="1"/>
  <c r="F37953" i="1"/>
  <c r="F37954" i="1"/>
  <c r="F37955" i="1"/>
  <c r="F37956" i="1"/>
  <c r="F37957" i="1"/>
  <c r="F37958" i="1"/>
  <c r="F37959" i="1"/>
  <c r="F37960" i="1"/>
  <c r="F37961" i="1"/>
  <c r="F37962" i="1"/>
  <c r="F37963" i="1"/>
  <c r="F37964" i="1"/>
  <c r="F37965" i="1"/>
  <c r="F37966" i="1"/>
  <c r="F37967" i="1"/>
  <c r="F37968" i="1"/>
  <c r="F37969" i="1"/>
  <c r="F37970" i="1"/>
  <c r="F37971" i="1"/>
  <c r="F37972" i="1"/>
  <c r="F37973" i="1"/>
  <c r="F37974" i="1"/>
  <c r="F37975" i="1"/>
  <c r="F37976" i="1"/>
  <c r="F37977" i="1"/>
  <c r="F37978" i="1"/>
  <c r="F37979" i="1"/>
  <c r="F37980" i="1"/>
  <c r="F37981" i="1"/>
  <c r="F37982" i="1"/>
  <c r="F37983" i="1"/>
  <c r="F37984" i="1"/>
  <c r="F37985" i="1"/>
  <c r="F37986" i="1"/>
  <c r="F37987" i="1"/>
  <c r="F37988" i="1"/>
  <c r="F37989" i="1"/>
  <c r="F37990" i="1"/>
  <c r="F37991" i="1"/>
  <c r="F37992" i="1"/>
  <c r="F37993" i="1"/>
  <c r="F37994" i="1"/>
  <c r="F37995" i="1"/>
  <c r="F37996" i="1"/>
  <c r="F37997" i="1"/>
  <c r="F37998" i="1"/>
  <c r="F37999" i="1"/>
  <c r="F38000" i="1"/>
  <c r="F38001" i="1"/>
  <c r="F38002" i="1"/>
  <c r="F38003" i="1"/>
  <c r="F38004" i="1"/>
  <c r="F38005" i="1"/>
  <c r="F38006" i="1"/>
  <c r="F38007" i="1"/>
  <c r="F38008" i="1"/>
  <c r="F38009" i="1"/>
  <c r="F38010" i="1"/>
  <c r="F38011" i="1"/>
  <c r="F38012" i="1"/>
  <c r="F38013" i="1"/>
  <c r="F38014" i="1"/>
  <c r="F38015" i="1"/>
  <c r="F38016" i="1"/>
  <c r="F38017" i="1"/>
  <c r="F38018" i="1"/>
  <c r="F38019" i="1"/>
  <c r="F38020" i="1"/>
  <c r="F38021" i="1"/>
  <c r="F38022" i="1"/>
  <c r="F38023" i="1"/>
  <c r="F38024" i="1"/>
  <c r="F38025" i="1"/>
  <c r="F38026" i="1"/>
  <c r="F38027" i="1"/>
  <c r="F38028" i="1"/>
  <c r="F38029" i="1"/>
  <c r="F38030" i="1"/>
  <c r="F38031" i="1"/>
  <c r="F38032" i="1"/>
  <c r="F38033" i="1"/>
  <c r="F38034" i="1"/>
  <c r="F38035" i="1"/>
  <c r="F38036" i="1"/>
  <c r="F38037" i="1"/>
  <c r="F38038" i="1"/>
  <c r="F38039" i="1"/>
  <c r="F38040" i="1"/>
  <c r="F38041" i="1"/>
  <c r="F38042" i="1"/>
  <c r="F38043" i="1"/>
  <c r="F38044" i="1"/>
  <c r="F38045" i="1"/>
  <c r="F38046" i="1"/>
  <c r="F38047" i="1"/>
  <c r="F38048" i="1"/>
  <c r="F38049" i="1"/>
  <c r="F38050" i="1"/>
  <c r="F38051" i="1"/>
  <c r="F38052" i="1"/>
  <c r="F38053" i="1"/>
  <c r="F38054" i="1"/>
  <c r="F38055" i="1"/>
  <c r="F38056" i="1"/>
  <c r="F38057" i="1"/>
  <c r="F38058" i="1"/>
  <c r="F38059" i="1"/>
  <c r="F38060" i="1"/>
  <c r="F38061" i="1"/>
  <c r="F38062" i="1"/>
  <c r="F38063" i="1"/>
  <c r="F38064" i="1"/>
  <c r="F38065" i="1"/>
  <c r="F38066" i="1"/>
  <c r="F38067" i="1"/>
  <c r="F38068" i="1"/>
  <c r="F38069" i="1"/>
  <c r="F38070" i="1"/>
  <c r="F38071" i="1"/>
  <c r="F38072" i="1"/>
  <c r="F38073" i="1"/>
  <c r="F38074" i="1"/>
  <c r="F38075" i="1"/>
  <c r="F38076" i="1"/>
  <c r="F38077" i="1"/>
  <c r="F38078" i="1"/>
  <c r="F38079" i="1"/>
  <c r="F38080" i="1"/>
  <c r="F38081" i="1"/>
  <c r="F38082" i="1"/>
  <c r="F38083" i="1"/>
  <c r="F38084" i="1"/>
  <c r="F38085" i="1"/>
  <c r="F38086" i="1"/>
  <c r="F38087" i="1"/>
  <c r="F38088" i="1"/>
  <c r="F38089" i="1"/>
  <c r="F38090" i="1"/>
  <c r="F38091" i="1"/>
  <c r="F38092" i="1"/>
  <c r="F38093" i="1"/>
  <c r="F38094" i="1"/>
  <c r="F38095" i="1"/>
  <c r="F38096" i="1"/>
  <c r="F38097" i="1"/>
  <c r="F38098" i="1"/>
  <c r="F38099" i="1"/>
  <c r="F38100" i="1"/>
  <c r="F38101" i="1"/>
  <c r="F38102" i="1"/>
  <c r="F38103" i="1"/>
  <c r="F38104" i="1"/>
  <c r="F38105" i="1"/>
  <c r="F38106" i="1"/>
  <c r="F38107" i="1"/>
  <c r="F38108" i="1"/>
  <c r="F38109" i="1"/>
  <c r="F38110" i="1"/>
  <c r="F38111" i="1"/>
  <c r="F38112" i="1"/>
  <c r="F38113" i="1"/>
  <c r="F38114" i="1"/>
  <c r="F38115" i="1"/>
  <c r="F38116" i="1"/>
  <c r="F38117" i="1"/>
  <c r="F38118" i="1"/>
  <c r="F38119" i="1"/>
  <c r="F38120" i="1"/>
  <c r="F38121" i="1"/>
  <c r="F38122" i="1"/>
  <c r="F38123" i="1"/>
  <c r="F38124" i="1"/>
  <c r="F38125" i="1"/>
  <c r="F38126" i="1"/>
  <c r="F38127" i="1"/>
  <c r="F38128" i="1"/>
  <c r="F38129" i="1"/>
  <c r="F38130" i="1"/>
  <c r="F38131" i="1"/>
  <c r="F38132" i="1"/>
  <c r="F38133" i="1"/>
  <c r="F38134" i="1"/>
  <c r="F38135" i="1"/>
  <c r="F38136" i="1"/>
  <c r="F38137" i="1"/>
  <c r="F38138" i="1"/>
  <c r="F38139" i="1"/>
  <c r="F38140" i="1"/>
  <c r="F38141" i="1"/>
  <c r="F38142" i="1"/>
  <c r="F38143" i="1"/>
  <c r="F38144" i="1"/>
  <c r="F38145" i="1"/>
  <c r="F38146" i="1"/>
  <c r="F38147" i="1"/>
  <c r="F38148" i="1"/>
  <c r="F38149" i="1"/>
  <c r="F38150" i="1"/>
  <c r="F38151" i="1"/>
  <c r="F38152" i="1"/>
  <c r="F38153" i="1"/>
  <c r="F38154" i="1"/>
  <c r="F38155" i="1"/>
  <c r="F38156" i="1"/>
  <c r="F38157" i="1"/>
  <c r="F38158" i="1"/>
  <c r="F38159" i="1"/>
  <c r="F38160" i="1"/>
  <c r="F38161" i="1"/>
  <c r="F38162" i="1"/>
  <c r="F38163" i="1"/>
  <c r="F38164" i="1"/>
  <c r="F38165" i="1"/>
  <c r="F38166" i="1"/>
  <c r="F38167" i="1"/>
  <c r="F38168" i="1"/>
  <c r="F38169" i="1"/>
  <c r="F38170" i="1"/>
  <c r="F38171" i="1"/>
  <c r="F38172" i="1"/>
  <c r="F38173" i="1"/>
  <c r="F38174" i="1"/>
  <c r="F38175" i="1"/>
  <c r="F38176" i="1"/>
  <c r="F38177" i="1"/>
  <c r="F38178" i="1"/>
  <c r="F38179" i="1"/>
  <c r="F38180" i="1"/>
  <c r="F38181" i="1"/>
  <c r="F38182" i="1"/>
  <c r="F38183" i="1"/>
  <c r="F38184" i="1"/>
  <c r="F38185" i="1"/>
  <c r="F38186" i="1"/>
  <c r="F38187" i="1"/>
  <c r="F38188" i="1"/>
  <c r="F38189" i="1"/>
  <c r="F38190" i="1"/>
  <c r="F38191" i="1"/>
  <c r="F38192" i="1"/>
  <c r="F38193" i="1"/>
  <c r="F38194" i="1"/>
  <c r="F38195" i="1"/>
  <c r="F38196" i="1"/>
  <c r="F38197" i="1"/>
  <c r="F38198" i="1"/>
  <c r="F38199" i="1"/>
  <c r="F38200" i="1"/>
  <c r="F38201" i="1"/>
  <c r="F38202" i="1"/>
  <c r="F38203" i="1"/>
  <c r="F38204" i="1"/>
  <c r="F38205" i="1"/>
  <c r="F38206" i="1"/>
  <c r="F38207" i="1"/>
  <c r="F38208" i="1"/>
  <c r="F38209" i="1"/>
  <c r="F38210" i="1"/>
  <c r="F38211" i="1"/>
  <c r="F38212" i="1"/>
  <c r="F38213" i="1"/>
  <c r="F38214" i="1"/>
  <c r="F38215" i="1"/>
  <c r="F38216" i="1"/>
  <c r="F38217" i="1"/>
  <c r="F38218" i="1"/>
  <c r="F38219" i="1"/>
  <c r="F38220" i="1"/>
  <c r="F38221" i="1"/>
  <c r="F38222" i="1"/>
  <c r="F38223" i="1"/>
  <c r="F38224" i="1"/>
  <c r="F38225" i="1"/>
  <c r="F38226" i="1"/>
  <c r="F38227" i="1"/>
  <c r="F38228" i="1"/>
  <c r="F38229" i="1"/>
  <c r="F38230" i="1"/>
  <c r="F38231" i="1"/>
  <c r="F38232" i="1"/>
  <c r="F38233" i="1"/>
  <c r="F38234" i="1"/>
  <c r="F38235" i="1"/>
  <c r="F38236" i="1"/>
  <c r="F38237" i="1"/>
  <c r="F38238" i="1"/>
  <c r="F38239" i="1"/>
  <c r="F38240" i="1"/>
  <c r="F38241" i="1"/>
  <c r="F38242" i="1"/>
  <c r="F38243" i="1"/>
  <c r="F38244" i="1"/>
  <c r="F38245" i="1"/>
  <c r="F38246" i="1"/>
  <c r="F38247" i="1"/>
  <c r="F38248" i="1"/>
  <c r="F38249" i="1"/>
  <c r="F38250" i="1"/>
  <c r="F38251" i="1"/>
  <c r="F38252" i="1"/>
  <c r="F38253" i="1"/>
  <c r="F38254" i="1"/>
  <c r="F38255" i="1"/>
  <c r="F38256" i="1"/>
  <c r="F38257" i="1"/>
  <c r="F38258" i="1"/>
  <c r="F38259" i="1"/>
  <c r="F38260" i="1"/>
  <c r="F38261" i="1"/>
  <c r="F38262" i="1"/>
  <c r="F38263" i="1"/>
  <c r="F38264" i="1"/>
  <c r="F38265" i="1"/>
  <c r="F38266" i="1"/>
  <c r="F38267" i="1"/>
  <c r="F38268" i="1"/>
  <c r="F38269" i="1"/>
  <c r="F38270" i="1"/>
  <c r="F38271" i="1"/>
  <c r="F38272" i="1"/>
  <c r="F38273" i="1"/>
  <c r="F38274" i="1"/>
  <c r="F38275" i="1"/>
  <c r="F38276" i="1"/>
  <c r="F38277" i="1"/>
  <c r="F38278" i="1"/>
  <c r="F38279" i="1"/>
  <c r="F38280" i="1"/>
  <c r="F38281" i="1"/>
  <c r="F38282" i="1"/>
  <c r="F38283" i="1"/>
  <c r="F38284" i="1"/>
  <c r="F38285" i="1"/>
  <c r="F38286" i="1"/>
  <c r="F38287" i="1"/>
  <c r="F38288" i="1"/>
  <c r="F38289" i="1"/>
  <c r="F38290" i="1"/>
  <c r="F38291" i="1"/>
  <c r="F38292" i="1"/>
  <c r="F38293" i="1"/>
  <c r="F38294" i="1"/>
  <c r="F38295" i="1"/>
  <c r="F38296" i="1"/>
  <c r="F38297" i="1"/>
  <c r="F38298" i="1"/>
  <c r="F38299" i="1"/>
  <c r="F38300" i="1"/>
  <c r="F38301" i="1"/>
  <c r="F38302" i="1"/>
  <c r="F38303" i="1"/>
  <c r="F38304" i="1"/>
  <c r="F38305" i="1"/>
  <c r="F38306" i="1"/>
  <c r="F38307" i="1"/>
  <c r="F38308" i="1"/>
  <c r="F38309" i="1"/>
  <c r="F38310" i="1"/>
  <c r="F38311" i="1"/>
  <c r="F38312" i="1"/>
  <c r="F38313" i="1"/>
  <c r="F38314" i="1"/>
  <c r="F38315" i="1"/>
  <c r="F38316" i="1"/>
  <c r="F38317" i="1"/>
  <c r="F38318" i="1"/>
  <c r="F38319" i="1"/>
  <c r="F38320" i="1"/>
  <c r="F38321" i="1"/>
  <c r="F38322" i="1"/>
  <c r="F38323" i="1"/>
  <c r="F38324" i="1"/>
  <c r="F38325" i="1"/>
  <c r="F38326" i="1"/>
  <c r="F38327" i="1"/>
  <c r="F38328" i="1"/>
  <c r="F38329" i="1"/>
  <c r="F38330" i="1"/>
  <c r="F38331" i="1"/>
  <c r="F38332" i="1"/>
  <c r="F38333" i="1"/>
  <c r="F38334" i="1"/>
  <c r="F38335" i="1"/>
  <c r="F38336" i="1"/>
  <c r="F38337" i="1"/>
  <c r="F38338" i="1"/>
  <c r="F38339" i="1"/>
  <c r="F38340" i="1"/>
  <c r="F38341" i="1"/>
  <c r="F38342" i="1"/>
  <c r="F38343" i="1"/>
  <c r="F38344" i="1"/>
  <c r="F38345" i="1"/>
  <c r="F38346" i="1"/>
  <c r="F38347" i="1"/>
  <c r="F38348" i="1"/>
  <c r="F38349" i="1"/>
  <c r="F38350" i="1"/>
  <c r="F38351" i="1"/>
  <c r="F38352" i="1"/>
  <c r="F38353" i="1"/>
  <c r="F38354" i="1"/>
  <c r="F38355" i="1"/>
  <c r="F38356" i="1"/>
  <c r="F38357" i="1"/>
  <c r="F38358" i="1"/>
  <c r="F38359" i="1"/>
  <c r="F38360" i="1"/>
  <c r="F38361" i="1"/>
  <c r="F38362" i="1"/>
  <c r="F38363" i="1"/>
  <c r="F38364" i="1"/>
  <c r="F38365" i="1"/>
  <c r="F38366" i="1"/>
  <c r="F38367" i="1"/>
  <c r="F38368" i="1"/>
  <c r="F38369" i="1"/>
  <c r="F38370" i="1"/>
  <c r="F38371" i="1"/>
  <c r="F38372" i="1"/>
  <c r="F38373" i="1"/>
  <c r="F38374" i="1"/>
  <c r="F38375" i="1"/>
  <c r="F38376" i="1"/>
  <c r="F38377" i="1"/>
  <c r="F38378" i="1"/>
  <c r="F38379" i="1"/>
  <c r="F38380" i="1"/>
  <c r="F38381" i="1"/>
  <c r="F38382" i="1"/>
  <c r="F38383" i="1"/>
  <c r="F38384" i="1"/>
  <c r="F38385" i="1"/>
  <c r="F38386" i="1"/>
  <c r="F38387" i="1"/>
  <c r="F38388" i="1"/>
  <c r="F38389" i="1"/>
  <c r="F38390" i="1"/>
  <c r="F38391" i="1"/>
  <c r="F38392" i="1"/>
  <c r="F38393" i="1"/>
  <c r="F38394" i="1"/>
  <c r="F38395" i="1"/>
  <c r="F38396" i="1"/>
  <c r="F38397" i="1"/>
  <c r="F38398" i="1"/>
  <c r="F38399" i="1"/>
  <c r="F38400" i="1"/>
  <c r="F38401" i="1"/>
  <c r="F38402" i="1"/>
  <c r="F38403" i="1"/>
  <c r="F38404" i="1"/>
  <c r="F38405" i="1"/>
  <c r="F38406" i="1"/>
  <c r="F38407" i="1"/>
  <c r="F38408" i="1"/>
  <c r="F38409" i="1"/>
  <c r="F38410" i="1"/>
  <c r="F38411" i="1"/>
  <c r="F38412" i="1"/>
  <c r="F38413" i="1"/>
  <c r="F38414" i="1"/>
  <c r="F38415" i="1"/>
  <c r="F38416" i="1"/>
  <c r="F38417" i="1"/>
  <c r="F38418" i="1"/>
  <c r="F38419" i="1"/>
  <c r="F38420" i="1"/>
  <c r="F38421" i="1"/>
  <c r="F38422" i="1"/>
  <c r="F38423" i="1"/>
  <c r="F38424" i="1"/>
  <c r="F38425" i="1"/>
  <c r="F38426" i="1"/>
  <c r="F38427" i="1"/>
  <c r="F38428" i="1"/>
  <c r="F38429" i="1"/>
  <c r="F38430" i="1"/>
  <c r="F38431" i="1"/>
  <c r="F38432" i="1"/>
  <c r="F38433" i="1"/>
  <c r="F38434" i="1"/>
  <c r="F38435" i="1"/>
  <c r="F38436" i="1"/>
  <c r="F38437" i="1"/>
  <c r="F38438" i="1"/>
  <c r="F38439" i="1"/>
  <c r="F38440" i="1"/>
  <c r="F38441" i="1"/>
  <c r="F38442" i="1"/>
  <c r="F38443" i="1"/>
  <c r="F38444" i="1"/>
  <c r="F38445" i="1"/>
  <c r="F38446" i="1"/>
  <c r="F38447" i="1"/>
  <c r="F38448" i="1"/>
  <c r="F38449" i="1"/>
  <c r="F38450" i="1"/>
  <c r="F38451" i="1"/>
  <c r="F38452" i="1"/>
  <c r="F38453" i="1"/>
  <c r="F38454" i="1"/>
  <c r="F38455" i="1"/>
  <c r="F38456" i="1"/>
  <c r="F38457" i="1"/>
  <c r="F38458" i="1"/>
  <c r="F38459" i="1"/>
  <c r="F38460" i="1"/>
  <c r="F38461" i="1"/>
  <c r="F38462" i="1"/>
  <c r="F38463" i="1"/>
  <c r="F38464" i="1"/>
  <c r="F38465" i="1"/>
  <c r="F38466" i="1"/>
  <c r="F38467" i="1"/>
  <c r="F38468" i="1"/>
  <c r="F38469" i="1"/>
  <c r="F38470" i="1"/>
  <c r="F38471" i="1"/>
  <c r="F38472" i="1"/>
  <c r="F38473" i="1"/>
  <c r="F38474" i="1"/>
  <c r="F38475" i="1"/>
  <c r="F38476" i="1"/>
  <c r="F38477" i="1"/>
  <c r="F38478" i="1"/>
  <c r="F38479" i="1"/>
  <c r="F38480" i="1"/>
  <c r="F38481" i="1"/>
  <c r="F38482" i="1"/>
  <c r="F38483" i="1"/>
  <c r="F38484" i="1"/>
  <c r="F38485" i="1"/>
  <c r="F38486" i="1"/>
  <c r="F38487" i="1"/>
  <c r="F38488" i="1"/>
  <c r="F38489" i="1"/>
  <c r="F38490" i="1"/>
  <c r="F38491" i="1"/>
  <c r="F38492" i="1"/>
  <c r="F38493" i="1"/>
  <c r="F38494" i="1"/>
  <c r="F38495" i="1"/>
  <c r="F38496" i="1"/>
  <c r="F38497" i="1"/>
  <c r="F38498" i="1"/>
  <c r="F38499" i="1"/>
  <c r="F38500" i="1"/>
  <c r="F38501" i="1"/>
  <c r="F38502" i="1"/>
  <c r="F38503" i="1"/>
  <c r="F38504" i="1"/>
  <c r="F38505" i="1"/>
  <c r="F38506" i="1"/>
  <c r="F38507" i="1"/>
  <c r="F38508" i="1"/>
  <c r="F38509" i="1"/>
  <c r="F38510" i="1"/>
  <c r="F38511" i="1"/>
  <c r="F38512" i="1"/>
  <c r="F38513" i="1"/>
  <c r="F38514" i="1"/>
  <c r="F38515" i="1"/>
  <c r="F38516" i="1"/>
  <c r="F38517" i="1"/>
  <c r="F38518" i="1"/>
  <c r="F38519" i="1"/>
  <c r="F38520" i="1"/>
  <c r="F38521" i="1"/>
  <c r="F38522" i="1"/>
  <c r="F38523" i="1"/>
  <c r="F38524" i="1"/>
  <c r="F38525" i="1"/>
  <c r="F38526" i="1"/>
  <c r="F38527" i="1"/>
  <c r="F38528" i="1"/>
  <c r="F38529" i="1"/>
  <c r="F38530" i="1"/>
  <c r="F38531" i="1"/>
  <c r="F38532" i="1"/>
  <c r="F38533" i="1"/>
  <c r="F38534" i="1"/>
  <c r="F38535" i="1"/>
  <c r="F38536" i="1"/>
  <c r="F38537" i="1"/>
  <c r="F38538" i="1"/>
  <c r="F38539" i="1"/>
  <c r="F38540" i="1"/>
  <c r="F38541" i="1"/>
  <c r="F38542" i="1"/>
  <c r="F38543" i="1"/>
  <c r="F38544" i="1"/>
  <c r="F38545" i="1"/>
  <c r="F38546" i="1"/>
  <c r="F38547" i="1"/>
  <c r="F38548" i="1"/>
  <c r="F38549" i="1"/>
  <c r="F38550" i="1"/>
  <c r="F38551" i="1"/>
  <c r="F38552" i="1"/>
  <c r="F38553" i="1"/>
  <c r="F38554" i="1"/>
  <c r="F38555" i="1"/>
  <c r="F38556" i="1"/>
  <c r="F38557" i="1"/>
  <c r="F38558" i="1"/>
  <c r="F38559" i="1"/>
  <c r="F38560" i="1"/>
  <c r="F38561" i="1"/>
  <c r="F38562" i="1"/>
  <c r="F38563" i="1"/>
  <c r="F38564" i="1"/>
  <c r="F38565" i="1"/>
  <c r="F38566" i="1"/>
  <c r="F38567" i="1"/>
  <c r="F38568" i="1"/>
  <c r="F38569" i="1"/>
  <c r="F38570" i="1"/>
  <c r="F38571" i="1"/>
  <c r="F38572" i="1"/>
  <c r="F38573" i="1"/>
  <c r="F38574" i="1"/>
  <c r="F38575" i="1"/>
  <c r="F38576" i="1"/>
  <c r="F38577" i="1"/>
  <c r="F38578" i="1"/>
  <c r="F38579" i="1"/>
  <c r="F38580" i="1"/>
  <c r="F38581" i="1"/>
  <c r="F38582" i="1"/>
  <c r="F38583" i="1"/>
  <c r="F38584" i="1"/>
  <c r="F38585" i="1"/>
  <c r="F38586" i="1"/>
  <c r="F38587" i="1"/>
  <c r="F38588" i="1"/>
  <c r="F38589" i="1"/>
  <c r="F38590" i="1"/>
  <c r="F38591" i="1"/>
  <c r="F38592" i="1"/>
  <c r="F38593" i="1"/>
  <c r="F38594" i="1"/>
  <c r="F38595" i="1"/>
  <c r="F38596" i="1"/>
  <c r="F38597" i="1"/>
  <c r="F38598" i="1"/>
  <c r="F38599" i="1"/>
  <c r="F38600" i="1"/>
  <c r="F38601" i="1"/>
  <c r="F38602" i="1"/>
  <c r="F38603" i="1"/>
  <c r="F38604" i="1"/>
  <c r="F38605" i="1"/>
  <c r="F38606" i="1"/>
  <c r="F38607" i="1"/>
  <c r="F38608" i="1"/>
  <c r="F38609" i="1"/>
  <c r="F38610" i="1"/>
  <c r="F38611" i="1"/>
  <c r="F38612" i="1"/>
  <c r="F38613" i="1"/>
  <c r="F38614" i="1"/>
  <c r="F38615" i="1"/>
  <c r="F38616" i="1"/>
  <c r="F38617" i="1"/>
  <c r="F38618" i="1"/>
  <c r="F38619" i="1"/>
  <c r="F38620" i="1"/>
  <c r="F38621" i="1"/>
  <c r="F38622" i="1"/>
  <c r="F38623" i="1"/>
  <c r="F38624" i="1"/>
  <c r="F38625" i="1"/>
  <c r="F38626" i="1"/>
  <c r="F38627" i="1"/>
  <c r="F38628" i="1"/>
  <c r="F38629" i="1"/>
  <c r="F38630" i="1"/>
  <c r="F38631" i="1"/>
  <c r="F38632" i="1"/>
  <c r="F38633" i="1"/>
  <c r="F38634" i="1"/>
  <c r="F38635" i="1"/>
  <c r="F38636" i="1"/>
  <c r="F38637" i="1"/>
  <c r="F38638" i="1"/>
  <c r="F38639" i="1"/>
  <c r="F38640" i="1"/>
  <c r="F38641" i="1"/>
  <c r="F38642" i="1"/>
  <c r="F38643" i="1"/>
  <c r="F38644" i="1"/>
  <c r="F38645" i="1"/>
  <c r="F38646" i="1"/>
  <c r="F38647" i="1"/>
  <c r="F38648" i="1"/>
  <c r="F38649" i="1"/>
  <c r="F38650" i="1"/>
  <c r="F38651" i="1"/>
  <c r="F38652" i="1"/>
  <c r="F38653" i="1"/>
  <c r="F38654" i="1"/>
  <c r="F38655" i="1"/>
  <c r="F38656" i="1"/>
  <c r="F38657" i="1"/>
  <c r="F38658" i="1"/>
  <c r="F38659" i="1"/>
  <c r="F38660" i="1"/>
  <c r="F38661" i="1"/>
  <c r="F38662" i="1"/>
  <c r="F38663" i="1"/>
  <c r="F38664" i="1"/>
  <c r="F38665" i="1"/>
  <c r="F38666" i="1"/>
  <c r="F38667" i="1"/>
  <c r="F38668" i="1"/>
  <c r="F38669" i="1"/>
  <c r="F38670" i="1"/>
  <c r="F38671" i="1"/>
  <c r="F38672" i="1"/>
  <c r="F38673" i="1"/>
  <c r="F38674" i="1"/>
  <c r="F38675" i="1"/>
  <c r="F38676" i="1"/>
  <c r="F38677" i="1"/>
  <c r="F38678" i="1"/>
  <c r="F38679" i="1"/>
  <c r="F38680" i="1"/>
  <c r="F38681" i="1"/>
  <c r="F38682" i="1"/>
  <c r="F38683" i="1"/>
  <c r="F38684" i="1"/>
  <c r="F38685" i="1"/>
  <c r="F38686" i="1"/>
  <c r="F38687" i="1"/>
  <c r="F38688" i="1"/>
  <c r="F38689" i="1"/>
  <c r="F38690" i="1"/>
  <c r="F38691" i="1"/>
  <c r="F38692" i="1"/>
  <c r="F38693" i="1"/>
  <c r="F38694" i="1"/>
  <c r="F38695" i="1"/>
  <c r="F38696" i="1"/>
  <c r="F38697" i="1"/>
  <c r="F38698" i="1"/>
  <c r="F38699" i="1"/>
  <c r="F38700" i="1"/>
  <c r="F38701" i="1"/>
  <c r="F38702" i="1"/>
  <c r="F38703" i="1"/>
  <c r="F38704" i="1"/>
  <c r="F38705" i="1"/>
  <c r="F38706" i="1"/>
  <c r="F38707" i="1"/>
  <c r="F38708" i="1"/>
  <c r="F38709" i="1"/>
  <c r="F38710" i="1"/>
  <c r="F38711" i="1"/>
  <c r="F38712" i="1"/>
  <c r="F38713" i="1"/>
  <c r="F38714" i="1"/>
  <c r="F38715" i="1"/>
  <c r="F38716" i="1"/>
  <c r="F38717" i="1"/>
  <c r="F38718" i="1"/>
  <c r="F38719" i="1"/>
  <c r="F38720" i="1"/>
  <c r="F38721" i="1"/>
  <c r="F38722" i="1"/>
  <c r="F38723" i="1"/>
  <c r="F38724" i="1"/>
  <c r="F38725" i="1"/>
  <c r="F38726" i="1"/>
  <c r="F38727" i="1"/>
  <c r="F38728" i="1"/>
  <c r="F38729" i="1"/>
  <c r="F38730" i="1"/>
  <c r="F38731" i="1"/>
  <c r="F38732" i="1"/>
  <c r="F38733" i="1"/>
  <c r="F38734" i="1"/>
  <c r="F38735" i="1"/>
  <c r="F38736" i="1"/>
  <c r="F38737" i="1"/>
  <c r="F38738" i="1"/>
  <c r="F38739" i="1"/>
  <c r="F38740" i="1"/>
  <c r="F38741" i="1"/>
  <c r="F38742" i="1"/>
  <c r="F38743" i="1"/>
  <c r="F38744" i="1"/>
  <c r="F38745" i="1"/>
  <c r="F38746" i="1"/>
  <c r="F38747" i="1"/>
  <c r="F38748" i="1"/>
  <c r="F38749" i="1"/>
  <c r="F38750" i="1"/>
  <c r="F38751" i="1"/>
  <c r="F38752" i="1"/>
  <c r="F38753" i="1"/>
  <c r="F38754" i="1"/>
  <c r="F38755" i="1"/>
  <c r="F38756" i="1"/>
  <c r="F38757" i="1"/>
  <c r="F38758" i="1"/>
  <c r="F38759" i="1"/>
  <c r="F38760" i="1"/>
  <c r="F38761" i="1"/>
  <c r="F38762" i="1"/>
  <c r="F38763" i="1"/>
  <c r="F38764" i="1"/>
  <c r="F38765" i="1"/>
  <c r="F38766" i="1"/>
  <c r="F38767" i="1"/>
  <c r="F38768" i="1"/>
  <c r="F38769" i="1"/>
  <c r="F38770" i="1"/>
  <c r="F38771" i="1"/>
  <c r="F38772" i="1"/>
  <c r="F38773" i="1"/>
  <c r="F38774" i="1"/>
  <c r="F38775" i="1"/>
  <c r="F38776" i="1"/>
  <c r="F38777" i="1"/>
  <c r="F38778" i="1"/>
  <c r="F38779" i="1"/>
  <c r="F38780" i="1"/>
  <c r="F38781" i="1"/>
  <c r="F38782" i="1"/>
  <c r="F38783" i="1"/>
  <c r="F38784" i="1"/>
  <c r="F38785" i="1"/>
  <c r="F38786" i="1"/>
  <c r="F38787" i="1"/>
  <c r="F38788" i="1"/>
  <c r="F38789" i="1"/>
  <c r="F38790" i="1"/>
  <c r="F38791" i="1"/>
  <c r="F38792" i="1"/>
  <c r="F38793" i="1"/>
  <c r="F38794" i="1"/>
  <c r="F38795" i="1"/>
  <c r="F38796" i="1"/>
  <c r="F38797" i="1"/>
  <c r="F38798" i="1"/>
  <c r="F38799" i="1"/>
  <c r="F38800" i="1"/>
  <c r="F38801" i="1"/>
  <c r="F38802" i="1"/>
  <c r="F38803" i="1"/>
  <c r="F38804" i="1"/>
  <c r="F38805" i="1"/>
  <c r="F38806" i="1"/>
  <c r="F38807" i="1"/>
  <c r="F38808" i="1"/>
  <c r="F38809" i="1"/>
  <c r="F38810" i="1"/>
  <c r="F38811" i="1"/>
  <c r="F38812" i="1"/>
  <c r="F38813" i="1"/>
  <c r="F38814" i="1"/>
  <c r="F38815" i="1"/>
  <c r="F38816" i="1"/>
  <c r="F38817" i="1"/>
  <c r="F38818" i="1"/>
  <c r="F38819" i="1"/>
  <c r="F38820" i="1"/>
  <c r="F38821" i="1"/>
  <c r="F38822" i="1"/>
  <c r="F38823" i="1"/>
  <c r="F38824" i="1"/>
  <c r="F38825" i="1"/>
  <c r="F38826" i="1"/>
  <c r="F38827" i="1"/>
  <c r="F38828" i="1"/>
  <c r="F38829" i="1"/>
  <c r="F38830" i="1"/>
  <c r="F38831" i="1"/>
  <c r="F38832" i="1"/>
  <c r="F38833" i="1"/>
  <c r="F38834" i="1"/>
  <c r="F38835" i="1"/>
  <c r="F38836" i="1"/>
  <c r="F38837" i="1"/>
  <c r="F38838" i="1"/>
  <c r="F38839" i="1"/>
  <c r="F38840" i="1"/>
  <c r="F38841" i="1"/>
  <c r="F38842" i="1"/>
  <c r="F38843" i="1"/>
  <c r="F38844" i="1"/>
  <c r="F38845" i="1"/>
  <c r="F38846" i="1"/>
  <c r="F38847" i="1"/>
  <c r="F38848" i="1"/>
  <c r="F38849" i="1"/>
  <c r="F38850" i="1"/>
  <c r="F38851" i="1"/>
  <c r="F38852" i="1"/>
  <c r="F38853" i="1"/>
  <c r="F38854" i="1"/>
  <c r="F38855" i="1"/>
  <c r="F38856" i="1"/>
  <c r="F38857" i="1"/>
  <c r="F38858" i="1"/>
  <c r="F38859" i="1"/>
  <c r="F38860" i="1"/>
  <c r="F38861" i="1"/>
  <c r="F38862" i="1"/>
  <c r="F38863" i="1"/>
  <c r="F38864" i="1"/>
  <c r="F38865" i="1"/>
  <c r="F38866" i="1"/>
  <c r="F38867" i="1"/>
  <c r="F38868" i="1"/>
  <c r="F38869" i="1"/>
  <c r="F38870" i="1"/>
  <c r="F38871" i="1"/>
  <c r="F38872" i="1"/>
  <c r="F38873" i="1"/>
  <c r="F38874" i="1"/>
  <c r="F38875" i="1"/>
  <c r="F38876" i="1"/>
  <c r="F38877" i="1"/>
  <c r="F38878" i="1"/>
  <c r="F38879" i="1"/>
  <c r="F38880" i="1"/>
  <c r="F38881" i="1"/>
  <c r="F38882" i="1"/>
  <c r="F38883" i="1"/>
  <c r="F38884" i="1"/>
  <c r="F38885" i="1"/>
  <c r="F38886" i="1"/>
  <c r="F38887" i="1"/>
  <c r="F38888" i="1"/>
  <c r="F38889" i="1"/>
  <c r="F38890" i="1"/>
  <c r="F38891" i="1"/>
  <c r="F38892" i="1"/>
  <c r="F38893" i="1"/>
  <c r="F38894" i="1"/>
  <c r="F38895" i="1"/>
  <c r="F38896" i="1"/>
  <c r="F38897" i="1"/>
  <c r="F38898" i="1"/>
  <c r="F38899" i="1"/>
  <c r="F38900" i="1"/>
  <c r="F38901" i="1"/>
  <c r="F38902" i="1"/>
  <c r="F38903" i="1"/>
  <c r="F38904" i="1"/>
  <c r="F38905" i="1"/>
  <c r="F38906" i="1"/>
  <c r="F38907" i="1"/>
  <c r="F38908" i="1"/>
  <c r="F38909" i="1"/>
  <c r="F38910" i="1"/>
  <c r="F38911" i="1"/>
  <c r="F38912" i="1"/>
  <c r="F38913" i="1"/>
  <c r="F38914" i="1"/>
  <c r="F38915" i="1"/>
  <c r="F38916" i="1"/>
  <c r="F38917" i="1"/>
  <c r="F38918" i="1"/>
  <c r="F38919" i="1"/>
  <c r="F38920" i="1"/>
  <c r="F38921" i="1"/>
  <c r="F38922" i="1"/>
  <c r="F38923" i="1"/>
  <c r="F38924" i="1"/>
  <c r="F38925" i="1"/>
  <c r="F38926" i="1"/>
  <c r="F38927" i="1"/>
  <c r="F38928" i="1"/>
  <c r="F38929" i="1"/>
  <c r="F38930" i="1"/>
  <c r="F38931" i="1"/>
  <c r="F38932" i="1"/>
  <c r="F38933" i="1"/>
  <c r="F38934" i="1"/>
  <c r="F38935" i="1"/>
  <c r="F38936" i="1"/>
  <c r="F38937" i="1"/>
  <c r="F38938" i="1"/>
  <c r="F38939" i="1"/>
  <c r="F38940" i="1"/>
  <c r="F38941" i="1"/>
  <c r="F38942" i="1"/>
  <c r="F38943" i="1"/>
  <c r="F38944" i="1"/>
  <c r="F38945" i="1"/>
  <c r="F38946" i="1"/>
  <c r="F38947" i="1"/>
  <c r="F38948" i="1"/>
  <c r="F38949" i="1"/>
  <c r="F38950" i="1"/>
  <c r="F38951" i="1"/>
  <c r="F38952" i="1"/>
  <c r="F38953" i="1"/>
  <c r="F38954" i="1"/>
  <c r="F38955" i="1"/>
  <c r="F38956" i="1"/>
  <c r="F38957" i="1"/>
  <c r="F38958" i="1"/>
  <c r="F38959" i="1"/>
  <c r="F38960" i="1"/>
  <c r="F38961" i="1"/>
  <c r="F38962" i="1"/>
  <c r="F38963" i="1"/>
  <c r="F38964" i="1"/>
  <c r="F38965" i="1"/>
  <c r="F38966" i="1"/>
  <c r="F38967" i="1"/>
  <c r="F38968" i="1"/>
  <c r="F38969" i="1"/>
  <c r="F38970" i="1"/>
  <c r="F38971" i="1"/>
  <c r="F38972" i="1"/>
  <c r="F38973" i="1"/>
  <c r="F38974" i="1"/>
  <c r="F38975" i="1"/>
  <c r="F38976" i="1"/>
  <c r="F38977" i="1"/>
  <c r="F38978" i="1"/>
  <c r="F38979" i="1"/>
  <c r="F38980" i="1"/>
  <c r="F38981" i="1"/>
  <c r="F38982" i="1"/>
  <c r="F38983" i="1"/>
  <c r="F38984" i="1"/>
  <c r="F38985" i="1"/>
  <c r="F38986" i="1"/>
  <c r="F38987" i="1"/>
  <c r="F38988" i="1"/>
  <c r="F38989" i="1"/>
  <c r="F38990" i="1"/>
  <c r="F38991" i="1"/>
  <c r="F38992" i="1"/>
  <c r="F38993" i="1"/>
  <c r="F38994" i="1"/>
  <c r="F38995" i="1"/>
  <c r="F38996" i="1"/>
  <c r="F38997" i="1"/>
  <c r="F38998" i="1"/>
  <c r="F38999" i="1"/>
  <c r="F39000" i="1"/>
  <c r="F39001" i="1"/>
  <c r="F39002" i="1"/>
  <c r="F39003" i="1"/>
  <c r="F39004" i="1"/>
  <c r="F39005" i="1"/>
  <c r="F39006" i="1"/>
  <c r="F39007" i="1"/>
  <c r="F39008" i="1"/>
  <c r="F39009" i="1"/>
  <c r="F39010" i="1"/>
  <c r="F39011" i="1"/>
  <c r="F39012" i="1"/>
  <c r="F39013" i="1"/>
  <c r="F39014" i="1"/>
  <c r="F39015" i="1"/>
  <c r="F39016" i="1"/>
  <c r="F39017" i="1"/>
  <c r="F39018" i="1"/>
  <c r="F39019" i="1"/>
  <c r="F39020" i="1"/>
  <c r="F39021" i="1"/>
  <c r="F39022" i="1"/>
  <c r="F39023" i="1"/>
  <c r="F39024" i="1"/>
  <c r="F39025" i="1"/>
  <c r="F39026" i="1"/>
  <c r="F39027" i="1"/>
  <c r="F39028" i="1"/>
  <c r="F39029" i="1"/>
  <c r="F39030" i="1"/>
  <c r="F39031" i="1"/>
  <c r="F39032" i="1"/>
  <c r="F39033" i="1"/>
  <c r="F39034" i="1"/>
  <c r="F39035" i="1"/>
  <c r="F39036" i="1"/>
  <c r="F39037" i="1"/>
  <c r="F39038" i="1"/>
  <c r="F39039" i="1"/>
  <c r="F39040" i="1"/>
  <c r="F39041" i="1"/>
  <c r="F39042" i="1"/>
  <c r="F39043" i="1"/>
  <c r="F39044" i="1"/>
  <c r="F39045" i="1"/>
  <c r="F39046" i="1"/>
  <c r="F39047" i="1"/>
  <c r="F39048" i="1"/>
  <c r="F39049" i="1"/>
  <c r="F39050" i="1"/>
  <c r="F39051" i="1"/>
  <c r="F39052" i="1"/>
  <c r="F39053" i="1"/>
  <c r="F39054" i="1"/>
  <c r="F39055" i="1"/>
  <c r="F39056" i="1"/>
  <c r="F39057" i="1"/>
  <c r="F39058" i="1"/>
  <c r="F39059" i="1"/>
  <c r="F39060" i="1"/>
  <c r="F39061" i="1"/>
  <c r="F39062" i="1"/>
  <c r="F39063" i="1"/>
  <c r="F39064" i="1"/>
  <c r="F39065" i="1"/>
  <c r="F39066" i="1"/>
  <c r="F39067" i="1"/>
  <c r="F39068" i="1"/>
  <c r="F39069" i="1"/>
  <c r="F39070" i="1"/>
  <c r="F39071" i="1"/>
  <c r="F39072" i="1"/>
  <c r="F39073" i="1"/>
  <c r="F39074" i="1"/>
  <c r="F39075" i="1"/>
  <c r="F39076" i="1"/>
  <c r="F39077" i="1"/>
  <c r="F39078" i="1"/>
  <c r="F39079" i="1"/>
  <c r="F39080" i="1"/>
  <c r="F39081" i="1"/>
  <c r="F39082" i="1"/>
  <c r="F39083" i="1"/>
  <c r="F39084" i="1"/>
  <c r="F39085" i="1"/>
  <c r="F39086" i="1"/>
  <c r="F39087" i="1"/>
  <c r="F39088" i="1"/>
  <c r="F39089" i="1"/>
  <c r="F39090" i="1"/>
  <c r="F39091" i="1"/>
  <c r="F39092" i="1"/>
  <c r="F39093" i="1"/>
  <c r="F39094" i="1"/>
  <c r="F39095" i="1"/>
  <c r="F39096" i="1"/>
  <c r="F39097" i="1"/>
  <c r="F39098" i="1"/>
  <c r="F39099" i="1"/>
  <c r="F39100" i="1"/>
  <c r="F39101" i="1"/>
  <c r="F39102" i="1"/>
  <c r="F39103" i="1"/>
  <c r="F39104" i="1"/>
  <c r="F39105" i="1"/>
  <c r="F39106" i="1"/>
  <c r="F39107" i="1"/>
  <c r="F39108" i="1"/>
  <c r="F39109" i="1"/>
  <c r="F39110" i="1"/>
  <c r="F39111" i="1"/>
  <c r="F39112" i="1"/>
  <c r="F39113" i="1"/>
  <c r="F39114" i="1"/>
  <c r="F39115" i="1"/>
  <c r="F39116" i="1"/>
  <c r="F39117" i="1"/>
  <c r="F39118" i="1"/>
  <c r="F39119" i="1"/>
  <c r="F39120" i="1"/>
  <c r="F39121" i="1"/>
  <c r="F39122" i="1"/>
  <c r="F39123" i="1"/>
  <c r="F39124" i="1"/>
  <c r="F39125" i="1"/>
  <c r="F39126" i="1"/>
  <c r="F39127" i="1"/>
  <c r="F39128" i="1"/>
  <c r="F39129" i="1"/>
  <c r="F39130" i="1"/>
  <c r="F39131" i="1"/>
  <c r="F39132" i="1"/>
  <c r="F39133" i="1"/>
  <c r="F39134" i="1"/>
  <c r="F39135" i="1"/>
  <c r="F39136" i="1"/>
  <c r="F39137" i="1"/>
  <c r="F39138" i="1"/>
  <c r="F39139" i="1"/>
  <c r="F39140" i="1"/>
  <c r="F39141" i="1"/>
  <c r="F39142" i="1"/>
  <c r="F39143" i="1"/>
  <c r="F39144" i="1"/>
  <c r="F39145" i="1"/>
  <c r="F39146" i="1"/>
  <c r="F39147" i="1"/>
  <c r="F39148" i="1"/>
  <c r="F39149" i="1"/>
  <c r="F39150" i="1"/>
  <c r="F39151" i="1"/>
  <c r="F39152" i="1"/>
  <c r="F39153" i="1"/>
  <c r="F39154" i="1"/>
  <c r="F39155" i="1"/>
  <c r="F39156" i="1"/>
  <c r="F39157" i="1"/>
  <c r="F39158" i="1"/>
  <c r="F39159" i="1"/>
  <c r="F39160" i="1"/>
  <c r="F39161" i="1"/>
  <c r="F39162" i="1"/>
  <c r="F39163" i="1"/>
  <c r="F39164" i="1"/>
  <c r="F39165" i="1"/>
  <c r="F39166" i="1"/>
  <c r="F39167" i="1"/>
  <c r="F39168" i="1"/>
  <c r="F39169" i="1"/>
  <c r="F39170" i="1"/>
  <c r="F39171" i="1"/>
  <c r="F39172" i="1"/>
  <c r="F39173" i="1"/>
  <c r="F39174" i="1"/>
  <c r="F39175" i="1"/>
  <c r="F39176" i="1"/>
  <c r="F39177" i="1"/>
  <c r="F39178" i="1"/>
  <c r="F39179" i="1"/>
  <c r="F39180" i="1"/>
  <c r="F39181" i="1"/>
  <c r="F39182" i="1"/>
  <c r="F39183" i="1"/>
  <c r="F39184" i="1"/>
  <c r="F39185" i="1"/>
  <c r="F39186" i="1"/>
  <c r="F39187" i="1"/>
  <c r="F39188" i="1"/>
  <c r="F39189" i="1"/>
  <c r="F39190" i="1"/>
  <c r="F39191" i="1"/>
  <c r="F39192" i="1"/>
  <c r="F39193" i="1"/>
  <c r="F39194" i="1"/>
  <c r="F39195" i="1"/>
  <c r="F39196" i="1"/>
  <c r="F39197" i="1"/>
  <c r="F39198" i="1"/>
  <c r="F39199" i="1"/>
  <c r="F39200" i="1"/>
  <c r="F39201" i="1"/>
  <c r="F39202" i="1"/>
  <c r="F39203" i="1"/>
  <c r="F39204" i="1"/>
  <c r="F39205" i="1"/>
  <c r="F39206" i="1"/>
  <c r="F39207" i="1"/>
  <c r="F39208" i="1"/>
  <c r="F39209" i="1"/>
  <c r="F39210" i="1"/>
  <c r="F39211" i="1"/>
  <c r="F39212" i="1"/>
  <c r="F39213" i="1"/>
  <c r="F39214" i="1"/>
  <c r="F39215" i="1"/>
  <c r="F39216" i="1"/>
  <c r="F39217" i="1"/>
  <c r="F39218" i="1"/>
  <c r="F39219" i="1"/>
  <c r="F39220" i="1"/>
  <c r="F39221" i="1"/>
  <c r="F39222" i="1"/>
  <c r="F39223" i="1"/>
  <c r="F39224" i="1"/>
  <c r="F39225" i="1"/>
  <c r="F39226" i="1"/>
  <c r="F39227" i="1"/>
  <c r="F39228" i="1"/>
  <c r="F39229" i="1"/>
  <c r="F39230" i="1"/>
  <c r="F39231" i="1"/>
  <c r="F39232" i="1"/>
  <c r="F39233" i="1"/>
  <c r="F39234" i="1"/>
  <c r="F39235" i="1"/>
  <c r="F39236" i="1"/>
  <c r="F39237" i="1"/>
  <c r="F39238" i="1"/>
  <c r="F39239" i="1"/>
  <c r="F39240" i="1"/>
  <c r="F39241" i="1"/>
  <c r="F39242" i="1"/>
  <c r="F39243" i="1"/>
  <c r="F39244" i="1"/>
  <c r="F39245" i="1"/>
  <c r="F39246" i="1"/>
  <c r="F39247" i="1"/>
  <c r="F39248" i="1"/>
  <c r="F39249" i="1"/>
  <c r="F39250" i="1"/>
  <c r="F39251" i="1"/>
  <c r="F39252" i="1"/>
  <c r="F39253" i="1"/>
  <c r="F39254" i="1"/>
  <c r="F39255" i="1"/>
  <c r="F39256" i="1"/>
  <c r="F39257" i="1"/>
  <c r="F39258" i="1"/>
  <c r="F39259" i="1"/>
  <c r="F39260" i="1"/>
  <c r="F39261" i="1"/>
  <c r="F39262" i="1"/>
  <c r="F39263" i="1"/>
  <c r="F39264" i="1"/>
  <c r="F39265" i="1"/>
  <c r="F39266" i="1"/>
  <c r="F39267" i="1"/>
  <c r="F39268" i="1"/>
  <c r="F39269" i="1"/>
  <c r="F39270" i="1"/>
  <c r="F39271" i="1"/>
  <c r="F39272" i="1"/>
  <c r="F39273" i="1"/>
  <c r="F39274" i="1"/>
  <c r="F39275" i="1"/>
  <c r="F39276" i="1"/>
  <c r="F39277" i="1"/>
  <c r="F39278" i="1"/>
  <c r="F39279" i="1"/>
  <c r="F39280" i="1"/>
  <c r="F39281" i="1"/>
  <c r="F39282" i="1"/>
  <c r="F39283" i="1"/>
  <c r="F39284" i="1"/>
  <c r="F39285" i="1"/>
  <c r="F39286" i="1"/>
  <c r="F39287" i="1"/>
  <c r="F39288" i="1"/>
  <c r="F39289" i="1"/>
  <c r="F39290" i="1"/>
  <c r="F39291" i="1"/>
  <c r="F39292" i="1"/>
  <c r="F39293" i="1"/>
  <c r="F39294" i="1"/>
  <c r="F39295" i="1"/>
  <c r="F39296" i="1"/>
  <c r="F39297" i="1"/>
  <c r="F39298" i="1"/>
  <c r="F39299" i="1"/>
  <c r="F39300" i="1"/>
  <c r="F39301" i="1"/>
  <c r="F39302" i="1"/>
  <c r="F39303" i="1"/>
  <c r="F39304" i="1"/>
  <c r="F39305" i="1"/>
  <c r="F39306" i="1"/>
  <c r="F39307" i="1"/>
  <c r="F39308" i="1"/>
  <c r="F39309" i="1"/>
  <c r="F39310" i="1"/>
  <c r="F39311" i="1"/>
  <c r="F39312" i="1"/>
  <c r="F39313" i="1"/>
  <c r="F39314" i="1"/>
  <c r="F39315" i="1"/>
  <c r="F39316" i="1"/>
  <c r="F39317" i="1"/>
  <c r="F39318" i="1"/>
  <c r="F39319" i="1"/>
  <c r="F39320" i="1"/>
  <c r="F39321" i="1"/>
  <c r="F39322" i="1"/>
  <c r="F39323" i="1"/>
  <c r="F39324" i="1"/>
  <c r="F39325" i="1"/>
  <c r="F39326" i="1"/>
  <c r="F39327" i="1"/>
  <c r="F39328" i="1"/>
  <c r="F39329" i="1"/>
  <c r="F39330" i="1"/>
  <c r="F39331" i="1"/>
  <c r="F39332" i="1"/>
  <c r="F39333" i="1"/>
  <c r="F39334" i="1"/>
  <c r="F39335" i="1"/>
  <c r="F39336" i="1"/>
  <c r="F39337" i="1"/>
  <c r="F39338" i="1"/>
  <c r="F39339" i="1"/>
  <c r="F39340" i="1"/>
  <c r="F39341" i="1"/>
  <c r="F39342" i="1"/>
  <c r="F39343" i="1"/>
  <c r="F39344" i="1"/>
  <c r="F39345" i="1"/>
  <c r="F39346" i="1"/>
  <c r="F39347" i="1"/>
  <c r="F39348" i="1"/>
  <c r="F39349" i="1"/>
  <c r="F39350" i="1"/>
  <c r="F39351" i="1"/>
  <c r="F39352" i="1"/>
  <c r="F39353" i="1"/>
  <c r="F39354" i="1"/>
  <c r="F39355" i="1"/>
  <c r="F39356" i="1"/>
  <c r="F39357" i="1"/>
  <c r="F39358" i="1"/>
  <c r="F39359" i="1"/>
  <c r="F39360" i="1"/>
  <c r="F39361" i="1"/>
  <c r="F39362" i="1"/>
  <c r="F39363" i="1"/>
  <c r="F39364" i="1"/>
  <c r="F39365" i="1"/>
  <c r="F39366" i="1"/>
  <c r="F39367" i="1"/>
  <c r="F39368" i="1"/>
  <c r="F39369" i="1"/>
  <c r="F39370" i="1"/>
  <c r="F39371" i="1"/>
  <c r="F39372" i="1"/>
  <c r="F39373" i="1"/>
  <c r="F39374" i="1"/>
  <c r="F39375" i="1"/>
  <c r="F39376" i="1"/>
  <c r="F39377" i="1"/>
  <c r="F39378" i="1"/>
  <c r="F39379" i="1"/>
  <c r="F39380" i="1"/>
  <c r="F39381" i="1"/>
  <c r="F39382" i="1"/>
  <c r="F39383" i="1"/>
  <c r="F39384" i="1"/>
  <c r="F39385" i="1"/>
  <c r="F39386" i="1"/>
  <c r="F39387" i="1"/>
  <c r="F39388" i="1"/>
  <c r="F39389" i="1"/>
  <c r="F39390" i="1"/>
  <c r="F39391" i="1"/>
  <c r="F39392" i="1"/>
  <c r="F39393" i="1"/>
  <c r="F39394" i="1"/>
  <c r="F39395" i="1"/>
  <c r="F39396" i="1"/>
  <c r="F39397" i="1"/>
  <c r="F39398" i="1"/>
  <c r="F39399" i="1"/>
  <c r="F39400" i="1"/>
  <c r="F39401" i="1"/>
  <c r="F39402" i="1"/>
  <c r="F39403" i="1"/>
  <c r="F39404" i="1"/>
  <c r="F39405" i="1"/>
  <c r="F39406" i="1"/>
  <c r="F39407" i="1"/>
  <c r="F39408" i="1"/>
  <c r="F39409" i="1"/>
  <c r="F39410" i="1"/>
  <c r="F39411" i="1"/>
  <c r="F39412" i="1"/>
  <c r="F39413" i="1"/>
  <c r="F39414" i="1"/>
  <c r="F39415" i="1"/>
  <c r="F39416" i="1"/>
  <c r="F39417" i="1"/>
  <c r="F39418" i="1"/>
  <c r="F39419" i="1"/>
  <c r="F39420" i="1"/>
  <c r="F39421" i="1"/>
  <c r="F39422" i="1"/>
  <c r="F39423" i="1"/>
  <c r="F39424" i="1"/>
  <c r="F39425" i="1"/>
  <c r="F39426" i="1"/>
  <c r="F39427" i="1"/>
  <c r="F39428" i="1"/>
  <c r="F39429" i="1"/>
  <c r="F39430" i="1"/>
  <c r="F39431" i="1"/>
  <c r="F39432" i="1"/>
  <c r="F39433" i="1"/>
  <c r="F39434" i="1"/>
  <c r="F39435" i="1"/>
  <c r="F39436" i="1"/>
  <c r="F39437" i="1"/>
  <c r="F39438" i="1"/>
  <c r="F39439" i="1"/>
  <c r="F39440" i="1"/>
  <c r="F39441" i="1"/>
  <c r="F39442" i="1"/>
  <c r="F39443" i="1"/>
  <c r="F39444" i="1"/>
  <c r="F39445" i="1"/>
  <c r="F39446" i="1"/>
  <c r="F39447" i="1"/>
  <c r="F39448" i="1"/>
  <c r="F39449" i="1"/>
  <c r="F39450" i="1"/>
  <c r="F39451" i="1"/>
  <c r="F39452" i="1"/>
  <c r="F39453" i="1"/>
  <c r="F39454" i="1"/>
  <c r="F39455" i="1"/>
  <c r="F39456" i="1"/>
  <c r="F39457" i="1"/>
  <c r="F39458" i="1"/>
  <c r="F39459" i="1"/>
  <c r="F39460" i="1"/>
  <c r="F39461" i="1"/>
  <c r="F39462" i="1"/>
  <c r="F39463" i="1"/>
  <c r="F39464" i="1"/>
  <c r="F39465" i="1"/>
  <c r="F39466" i="1"/>
  <c r="F39467" i="1"/>
  <c r="F39468" i="1"/>
  <c r="F39469" i="1"/>
  <c r="F39470" i="1"/>
  <c r="F39471" i="1"/>
  <c r="F39472" i="1"/>
  <c r="F39473" i="1"/>
  <c r="F39474" i="1"/>
  <c r="F39475" i="1"/>
  <c r="F39476" i="1"/>
  <c r="F39477" i="1"/>
  <c r="F39478" i="1"/>
  <c r="F39479" i="1"/>
  <c r="F39480" i="1"/>
  <c r="F39481" i="1"/>
  <c r="F39482" i="1"/>
  <c r="F39483" i="1"/>
  <c r="F39484" i="1"/>
  <c r="F39485" i="1"/>
  <c r="F39486" i="1"/>
  <c r="F39487" i="1"/>
  <c r="F39488" i="1"/>
  <c r="F39489" i="1"/>
  <c r="F39490" i="1"/>
  <c r="F39491" i="1"/>
  <c r="F39492" i="1"/>
  <c r="F39493" i="1"/>
  <c r="F39494" i="1"/>
  <c r="F39495" i="1"/>
  <c r="F39496" i="1"/>
  <c r="F39497" i="1"/>
  <c r="F39498" i="1"/>
  <c r="F39499" i="1"/>
  <c r="F39500" i="1"/>
  <c r="F39501" i="1"/>
  <c r="F39502" i="1"/>
  <c r="F39503" i="1"/>
  <c r="F39504" i="1"/>
  <c r="F39505" i="1"/>
  <c r="F39506" i="1"/>
  <c r="F39507" i="1"/>
  <c r="F39508" i="1"/>
  <c r="F39509" i="1"/>
  <c r="F39510" i="1"/>
  <c r="F39511" i="1"/>
  <c r="F39512" i="1"/>
  <c r="F39513" i="1"/>
  <c r="F39514" i="1"/>
  <c r="F39515" i="1"/>
  <c r="F39516" i="1"/>
  <c r="F39517" i="1"/>
  <c r="F39518" i="1"/>
  <c r="F39519" i="1"/>
  <c r="F39520" i="1"/>
  <c r="F39521" i="1"/>
  <c r="F39522" i="1"/>
  <c r="F39523" i="1"/>
  <c r="F39524" i="1"/>
  <c r="F39525" i="1"/>
  <c r="F39526" i="1"/>
  <c r="F39527" i="1"/>
  <c r="F39528" i="1"/>
  <c r="F39529" i="1"/>
  <c r="F39530" i="1"/>
  <c r="F39531" i="1"/>
  <c r="F39532" i="1"/>
  <c r="F39533" i="1"/>
  <c r="F39534" i="1"/>
  <c r="F39535" i="1"/>
  <c r="F39536" i="1"/>
  <c r="F39537" i="1"/>
  <c r="F39538" i="1"/>
  <c r="F39539" i="1"/>
  <c r="F39540" i="1"/>
  <c r="F39541" i="1"/>
  <c r="F39542" i="1"/>
  <c r="F39543" i="1"/>
  <c r="F39544" i="1"/>
  <c r="F39545" i="1"/>
  <c r="F39546" i="1"/>
  <c r="F39547" i="1"/>
  <c r="F39548" i="1"/>
  <c r="F39549" i="1"/>
  <c r="F39550" i="1"/>
  <c r="F39551" i="1"/>
  <c r="F39552" i="1"/>
  <c r="F39553" i="1"/>
  <c r="F39554" i="1"/>
  <c r="F39555" i="1"/>
  <c r="F39556" i="1"/>
  <c r="F39557" i="1"/>
  <c r="F39558" i="1"/>
  <c r="F39559" i="1"/>
  <c r="F39560" i="1"/>
  <c r="F39561" i="1"/>
  <c r="F39562" i="1"/>
  <c r="F39563" i="1"/>
  <c r="F39564" i="1"/>
  <c r="F39565" i="1"/>
  <c r="F39566" i="1"/>
  <c r="F39567" i="1"/>
  <c r="F39568" i="1"/>
  <c r="F39569" i="1"/>
  <c r="F39570" i="1"/>
  <c r="F39571" i="1"/>
  <c r="F39572" i="1"/>
  <c r="F39573" i="1"/>
  <c r="F39574" i="1"/>
  <c r="F39575" i="1"/>
  <c r="F39576" i="1"/>
  <c r="F39577" i="1"/>
  <c r="F39578" i="1"/>
  <c r="F39579" i="1"/>
  <c r="F39580" i="1"/>
  <c r="F39581" i="1"/>
  <c r="F39582" i="1"/>
  <c r="F39583" i="1"/>
  <c r="F39584" i="1"/>
  <c r="F39585" i="1"/>
  <c r="F39586" i="1"/>
  <c r="F39587" i="1"/>
  <c r="F39588" i="1"/>
  <c r="F39589" i="1"/>
  <c r="F39590" i="1"/>
  <c r="F39591" i="1"/>
  <c r="F39592" i="1"/>
  <c r="F39593" i="1"/>
  <c r="F39594" i="1"/>
  <c r="F39595" i="1"/>
  <c r="F39596" i="1"/>
  <c r="F39597" i="1"/>
  <c r="F39598" i="1"/>
  <c r="F39599" i="1"/>
  <c r="F39600" i="1"/>
  <c r="F39601" i="1"/>
  <c r="F39602" i="1"/>
  <c r="F39603" i="1"/>
  <c r="F39604" i="1"/>
  <c r="F39605" i="1"/>
  <c r="F39606" i="1"/>
  <c r="F39607" i="1"/>
  <c r="F39608" i="1"/>
  <c r="F39609" i="1"/>
  <c r="F39610" i="1"/>
  <c r="F39611" i="1"/>
  <c r="F39612" i="1"/>
  <c r="F39613" i="1"/>
  <c r="F39614" i="1"/>
  <c r="F39615" i="1"/>
  <c r="F39616" i="1"/>
  <c r="F39617" i="1"/>
  <c r="F39618" i="1"/>
  <c r="F39619" i="1"/>
  <c r="F39620" i="1"/>
  <c r="F39621" i="1"/>
  <c r="F39622" i="1"/>
  <c r="F39623" i="1"/>
  <c r="F39624" i="1"/>
  <c r="F39625" i="1"/>
  <c r="F39626" i="1"/>
  <c r="F39627" i="1"/>
  <c r="F39628" i="1"/>
  <c r="F39629" i="1"/>
  <c r="F39630" i="1"/>
  <c r="F39631" i="1"/>
  <c r="F39632" i="1"/>
  <c r="F39633" i="1"/>
  <c r="F39634" i="1"/>
  <c r="F39635" i="1"/>
  <c r="F39636" i="1"/>
  <c r="F39637" i="1"/>
  <c r="F39638" i="1"/>
  <c r="F39639" i="1"/>
  <c r="F39640" i="1"/>
  <c r="F39641" i="1"/>
  <c r="F39642" i="1"/>
  <c r="F39643" i="1"/>
  <c r="F39644" i="1"/>
  <c r="F39645" i="1"/>
  <c r="F39646" i="1"/>
  <c r="F39647" i="1"/>
  <c r="F39648" i="1"/>
  <c r="F39649" i="1"/>
  <c r="F39650" i="1"/>
  <c r="F39651" i="1"/>
  <c r="F39652" i="1"/>
  <c r="F39653" i="1"/>
  <c r="F39654" i="1"/>
  <c r="F39655" i="1"/>
  <c r="F39656" i="1"/>
  <c r="F39657" i="1"/>
  <c r="F39658" i="1"/>
  <c r="F39659" i="1"/>
  <c r="F39660" i="1"/>
  <c r="F39661" i="1"/>
  <c r="F39662" i="1"/>
  <c r="F39663" i="1"/>
  <c r="F39664" i="1"/>
  <c r="F39665" i="1"/>
  <c r="F39666" i="1"/>
  <c r="F39667" i="1"/>
  <c r="F39668" i="1"/>
  <c r="F39669" i="1"/>
  <c r="F39670" i="1"/>
  <c r="F39671" i="1"/>
  <c r="F39672" i="1"/>
  <c r="F39673" i="1"/>
  <c r="F39674" i="1"/>
  <c r="F39675" i="1"/>
  <c r="F39676" i="1"/>
  <c r="F39677" i="1"/>
  <c r="F39678" i="1"/>
  <c r="F39679" i="1"/>
  <c r="F39680" i="1"/>
  <c r="F39681" i="1"/>
  <c r="F39682" i="1"/>
  <c r="F39683" i="1"/>
  <c r="F39684" i="1"/>
  <c r="F39685" i="1"/>
  <c r="F39686" i="1"/>
  <c r="F39687" i="1"/>
  <c r="F39688" i="1"/>
  <c r="F39689" i="1"/>
  <c r="F39690" i="1"/>
  <c r="F39691" i="1"/>
  <c r="F39692" i="1"/>
  <c r="F39693" i="1"/>
  <c r="F39694" i="1"/>
  <c r="F39695" i="1"/>
  <c r="F39696" i="1"/>
  <c r="F39697" i="1"/>
  <c r="F39698" i="1"/>
  <c r="F39699" i="1"/>
  <c r="F39700" i="1"/>
  <c r="F39701" i="1"/>
  <c r="F39702" i="1"/>
  <c r="F39703" i="1"/>
  <c r="F39704" i="1"/>
  <c r="F39705" i="1"/>
  <c r="F39706" i="1"/>
  <c r="F39707" i="1"/>
  <c r="F39708" i="1"/>
  <c r="F39709" i="1"/>
  <c r="F39710" i="1"/>
  <c r="F39711" i="1"/>
  <c r="F39712" i="1"/>
  <c r="F39713" i="1"/>
  <c r="F39714" i="1"/>
  <c r="F39715" i="1"/>
  <c r="F39716" i="1"/>
  <c r="F39717" i="1"/>
  <c r="F39718" i="1"/>
  <c r="F39719" i="1"/>
  <c r="F39720" i="1"/>
  <c r="F39721" i="1"/>
  <c r="F39722" i="1"/>
  <c r="F39723" i="1"/>
  <c r="F39724" i="1"/>
  <c r="F39725" i="1"/>
  <c r="F39726" i="1"/>
  <c r="F39727" i="1"/>
  <c r="F39728" i="1"/>
  <c r="F39729" i="1"/>
  <c r="F39730" i="1"/>
  <c r="F39731" i="1"/>
  <c r="F39732" i="1"/>
  <c r="F39733" i="1"/>
  <c r="F39734" i="1"/>
  <c r="F39735" i="1"/>
  <c r="F39736" i="1"/>
  <c r="F39737" i="1"/>
  <c r="F39738" i="1"/>
  <c r="F39739" i="1"/>
  <c r="F39740" i="1"/>
  <c r="F39741" i="1"/>
  <c r="F39742" i="1"/>
  <c r="F39743" i="1"/>
  <c r="F39744" i="1"/>
  <c r="F39745" i="1"/>
  <c r="F39746" i="1"/>
  <c r="F39747" i="1"/>
  <c r="F39748" i="1"/>
  <c r="F39749" i="1"/>
  <c r="F39750" i="1"/>
  <c r="F39751" i="1"/>
  <c r="F39752" i="1"/>
  <c r="F39753" i="1"/>
  <c r="F39754" i="1"/>
  <c r="F39755" i="1"/>
  <c r="F39756" i="1"/>
  <c r="F39757" i="1"/>
  <c r="F39758" i="1"/>
  <c r="F39759" i="1"/>
  <c r="F39760" i="1"/>
  <c r="F39761" i="1"/>
  <c r="F39762" i="1"/>
  <c r="F39763" i="1"/>
  <c r="F39764" i="1"/>
  <c r="F39765" i="1"/>
  <c r="F39766" i="1"/>
  <c r="F39767" i="1"/>
  <c r="F39768" i="1"/>
  <c r="F39769" i="1"/>
  <c r="F39770" i="1"/>
  <c r="F39771" i="1"/>
  <c r="F39772" i="1"/>
  <c r="F39773" i="1"/>
  <c r="F39774" i="1"/>
  <c r="F39775" i="1"/>
  <c r="F39776" i="1"/>
  <c r="F39777" i="1"/>
  <c r="F39778" i="1"/>
  <c r="F39779" i="1"/>
  <c r="F39780" i="1"/>
  <c r="F39781" i="1"/>
  <c r="F39782" i="1"/>
  <c r="F39783" i="1"/>
  <c r="F39784" i="1"/>
  <c r="F39785" i="1"/>
  <c r="F39786" i="1"/>
  <c r="F39787" i="1"/>
  <c r="F39788" i="1"/>
  <c r="F39789" i="1"/>
  <c r="F39790" i="1"/>
  <c r="F39791" i="1"/>
  <c r="F39792" i="1"/>
  <c r="F39793" i="1"/>
  <c r="F39794" i="1"/>
  <c r="F39795" i="1"/>
  <c r="F39796" i="1"/>
  <c r="F39797" i="1"/>
  <c r="F39798" i="1"/>
  <c r="F39799" i="1"/>
  <c r="F39800" i="1"/>
  <c r="F39801" i="1"/>
  <c r="F39802" i="1"/>
  <c r="F39803" i="1"/>
  <c r="F39804" i="1"/>
  <c r="F39805" i="1"/>
  <c r="F39806" i="1"/>
  <c r="F39807" i="1"/>
  <c r="F39808" i="1"/>
  <c r="F39809" i="1"/>
  <c r="F39810" i="1"/>
  <c r="F39811" i="1"/>
  <c r="F39812" i="1"/>
  <c r="F39813" i="1"/>
  <c r="F39814" i="1"/>
  <c r="F39815" i="1"/>
  <c r="F39816" i="1"/>
  <c r="F39817" i="1"/>
  <c r="F39818" i="1"/>
  <c r="F39819" i="1"/>
  <c r="F39820" i="1"/>
  <c r="F39821" i="1"/>
  <c r="F39822" i="1"/>
  <c r="F39823" i="1"/>
  <c r="F39824" i="1"/>
  <c r="F39825" i="1"/>
  <c r="F39826" i="1"/>
  <c r="F39827" i="1"/>
  <c r="F39828" i="1"/>
  <c r="F39829" i="1"/>
  <c r="F39830" i="1"/>
  <c r="F39831" i="1"/>
  <c r="F39832" i="1"/>
  <c r="F39833" i="1"/>
  <c r="F39834" i="1"/>
  <c r="F39835" i="1"/>
  <c r="F39836" i="1"/>
  <c r="F39837" i="1"/>
  <c r="F39838" i="1"/>
  <c r="F39839" i="1"/>
  <c r="F39840" i="1"/>
  <c r="F39841" i="1"/>
  <c r="F39842" i="1"/>
  <c r="F39843" i="1"/>
  <c r="F39844" i="1"/>
  <c r="F39845" i="1"/>
  <c r="F39846" i="1"/>
  <c r="F39847" i="1"/>
  <c r="F39848" i="1"/>
  <c r="F39849" i="1"/>
  <c r="F39850" i="1"/>
  <c r="F39851" i="1"/>
  <c r="F39852" i="1"/>
  <c r="F39853" i="1"/>
  <c r="F39854" i="1"/>
  <c r="F39855" i="1"/>
  <c r="F39856" i="1"/>
  <c r="F39857" i="1"/>
  <c r="F39858" i="1"/>
  <c r="F39859" i="1"/>
  <c r="F39860" i="1"/>
  <c r="F39861" i="1"/>
  <c r="F39862" i="1"/>
  <c r="F39863" i="1"/>
  <c r="F39864" i="1"/>
  <c r="F39865" i="1"/>
  <c r="F39866" i="1"/>
  <c r="F39867" i="1"/>
  <c r="F39868" i="1"/>
  <c r="F39869" i="1"/>
  <c r="F39870" i="1"/>
  <c r="F39871" i="1"/>
  <c r="F39872" i="1"/>
  <c r="F39873" i="1"/>
  <c r="F39874" i="1"/>
  <c r="F39875" i="1"/>
  <c r="F39876" i="1"/>
  <c r="F39877" i="1"/>
  <c r="F39878" i="1"/>
  <c r="F39879" i="1"/>
  <c r="F39880" i="1"/>
  <c r="F39881" i="1"/>
  <c r="F39882" i="1"/>
  <c r="F39883" i="1"/>
  <c r="F39884" i="1"/>
  <c r="F39885" i="1"/>
  <c r="F39886" i="1"/>
  <c r="F39887" i="1"/>
  <c r="F39888" i="1"/>
  <c r="F39889" i="1"/>
  <c r="F39890" i="1"/>
  <c r="F39891" i="1"/>
  <c r="F39892" i="1"/>
  <c r="F39893" i="1"/>
  <c r="F39894" i="1"/>
  <c r="F39895" i="1"/>
  <c r="F39896" i="1"/>
  <c r="F39897" i="1"/>
  <c r="F39898" i="1"/>
  <c r="F39899" i="1"/>
  <c r="F39900" i="1"/>
  <c r="F39901" i="1"/>
  <c r="F39902" i="1"/>
  <c r="F39903" i="1"/>
  <c r="F39904" i="1"/>
  <c r="F39905" i="1"/>
  <c r="F39906" i="1"/>
  <c r="F39907" i="1"/>
  <c r="F39908" i="1"/>
  <c r="F39909" i="1"/>
  <c r="F39910" i="1"/>
  <c r="F39911" i="1"/>
  <c r="F39912" i="1"/>
  <c r="F39913" i="1"/>
  <c r="F39914" i="1"/>
  <c r="F39915" i="1"/>
  <c r="F39916" i="1"/>
  <c r="F39917" i="1"/>
  <c r="F39918" i="1"/>
  <c r="F39919" i="1"/>
  <c r="F39920" i="1"/>
  <c r="F39921" i="1"/>
  <c r="F39922" i="1"/>
  <c r="F39923" i="1"/>
  <c r="F39924" i="1"/>
  <c r="F39925" i="1"/>
  <c r="F39926" i="1"/>
  <c r="F39927" i="1"/>
  <c r="F39928" i="1"/>
  <c r="F39929" i="1"/>
  <c r="F39930" i="1"/>
  <c r="F39931" i="1"/>
  <c r="F39932" i="1"/>
  <c r="F39933" i="1"/>
  <c r="F39934" i="1"/>
  <c r="F39935" i="1"/>
  <c r="F39936" i="1"/>
  <c r="F39937" i="1"/>
  <c r="F39938" i="1"/>
  <c r="F39939" i="1"/>
  <c r="F39940" i="1"/>
  <c r="F39941" i="1"/>
  <c r="F39942" i="1"/>
  <c r="F39943" i="1"/>
  <c r="F39944" i="1"/>
  <c r="F39945" i="1"/>
  <c r="F39946" i="1"/>
  <c r="F39947" i="1"/>
  <c r="F39948" i="1"/>
  <c r="F39949" i="1"/>
  <c r="F39950" i="1"/>
  <c r="F39951" i="1"/>
  <c r="F39952" i="1"/>
  <c r="F39953" i="1"/>
  <c r="F39954" i="1"/>
  <c r="F39955" i="1"/>
  <c r="F39956" i="1"/>
  <c r="F39957" i="1"/>
  <c r="F39958" i="1"/>
  <c r="F39959" i="1"/>
  <c r="F39960" i="1"/>
  <c r="F39961" i="1"/>
  <c r="F39962" i="1"/>
  <c r="F39963" i="1"/>
  <c r="F39964" i="1"/>
  <c r="F39965" i="1"/>
  <c r="F39966" i="1"/>
  <c r="F39967" i="1"/>
  <c r="F39968" i="1"/>
  <c r="F39969" i="1"/>
  <c r="F39970" i="1"/>
  <c r="F39971" i="1"/>
  <c r="F39972" i="1"/>
  <c r="F39973" i="1"/>
  <c r="F39974" i="1"/>
  <c r="F39975" i="1"/>
  <c r="F39976" i="1"/>
  <c r="F39977" i="1"/>
  <c r="F39978" i="1"/>
  <c r="F39979" i="1"/>
  <c r="F39980" i="1"/>
  <c r="F39981" i="1"/>
  <c r="F39982" i="1"/>
  <c r="F39983" i="1"/>
  <c r="F39984" i="1"/>
  <c r="F39985" i="1"/>
  <c r="F39986" i="1"/>
  <c r="F39987" i="1"/>
  <c r="F39988" i="1"/>
  <c r="F39989" i="1"/>
  <c r="F39990" i="1"/>
  <c r="F39991" i="1"/>
  <c r="F39992" i="1"/>
  <c r="F39993" i="1"/>
  <c r="F39994" i="1"/>
  <c r="F39995" i="1"/>
  <c r="F39996" i="1"/>
  <c r="F39997" i="1"/>
  <c r="F39998" i="1"/>
  <c r="F39999" i="1"/>
  <c r="F40000" i="1"/>
  <c r="F40001" i="1"/>
  <c r="F40002" i="1"/>
  <c r="F40003" i="1"/>
  <c r="F40004" i="1"/>
  <c r="F40005" i="1"/>
  <c r="F40006" i="1"/>
  <c r="F40007" i="1"/>
  <c r="F40008" i="1"/>
  <c r="F40009" i="1"/>
  <c r="F40010" i="1"/>
  <c r="F40011" i="1"/>
  <c r="F40012" i="1"/>
  <c r="F40013" i="1"/>
  <c r="F40014" i="1"/>
  <c r="F40015" i="1"/>
  <c r="F40016" i="1"/>
  <c r="F40017" i="1"/>
  <c r="F40018" i="1"/>
  <c r="F40019" i="1"/>
  <c r="F40020" i="1"/>
  <c r="F40021" i="1"/>
  <c r="F40022" i="1"/>
  <c r="F40023" i="1"/>
  <c r="F40024" i="1"/>
  <c r="F40025" i="1"/>
  <c r="F40026" i="1"/>
  <c r="F40027" i="1"/>
  <c r="F40028" i="1"/>
  <c r="F40029" i="1"/>
  <c r="F40030" i="1"/>
  <c r="F40031" i="1"/>
  <c r="F40032" i="1"/>
  <c r="F40033" i="1"/>
  <c r="F40034" i="1"/>
  <c r="F40035" i="1"/>
  <c r="F40036" i="1"/>
  <c r="F40037" i="1"/>
  <c r="F40038" i="1"/>
  <c r="F40039" i="1"/>
  <c r="F40040" i="1"/>
  <c r="F40041" i="1"/>
  <c r="F40042" i="1"/>
  <c r="F40043" i="1"/>
  <c r="F40044" i="1"/>
  <c r="F40045" i="1"/>
  <c r="F40046" i="1"/>
  <c r="F40047" i="1"/>
  <c r="F40048" i="1"/>
  <c r="F40049" i="1"/>
  <c r="F40050" i="1"/>
  <c r="F40051" i="1"/>
  <c r="F40052" i="1"/>
  <c r="F40053" i="1"/>
  <c r="F40054" i="1"/>
  <c r="F40055" i="1"/>
  <c r="F40056" i="1"/>
  <c r="F40057" i="1"/>
  <c r="F40058" i="1"/>
  <c r="F40059" i="1"/>
  <c r="F40060" i="1"/>
  <c r="F40061" i="1"/>
  <c r="F40062" i="1"/>
  <c r="F40063" i="1"/>
  <c r="F40064" i="1"/>
  <c r="F40065" i="1"/>
  <c r="F40066" i="1"/>
  <c r="F40067" i="1"/>
  <c r="F40068" i="1"/>
  <c r="F40069" i="1"/>
  <c r="F40070" i="1"/>
  <c r="F40071" i="1"/>
  <c r="F40072" i="1"/>
  <c r="F40073" i="1"/>
  <c r="F40074" i="1"/>
  <c r="F40075" i="1"/>
  <c r="F40076" i="1"/>
  <c r="F40077" i="1"/>
  <c r="F40078" i="1"/>
  <c r="F40079" i="1"/>
  <c r="F40080" i="1"/>
  <c r="F40081" i="1"/>
  <c r="F40082" i="1"/>
  <c r="F40083" i="1"/>
  <c r="F40084" i="1"/>
  <c r="F40085" i="1"/>
  <c r="F40086" i="1"/>
  <c r="F40087" i="1"/>
  <c r="F40088" i="1"/>
  <c r="F40089" i="1"/>
  <c r="F40090" i="1"/>
  <c r="F40091" i="1"/>
  <c r="F40092" i="1"/>
  <c r="F40093" i="1"/>
  <c r="F40094" i="1"/>
  <c r="F40095" i="1"/>
  <c r="F40096" i="1"/>
  <c r="F40097" i="1"/>
  <c r="F40098" i="1"/>
  <c r="F40099" i="1"/>
  <c r="F40100" i="1"/>
  <c r="F40101" i="1"/>
  <c r="F40102" i="1"/>
  <c r="F40103" i="1"/>
  <c r="F40104" i="1"/>
  <c r="F40105" i="1"/>
  <c r="F40106" i="1"/>
  <c r="F40107" i="1"/>
  <c r="F40108" i="1"/>
  <c r="F40109" i="1"/>
  <c r="F40110" i="1"/>
  <c r="F40111" i="1"/>
  <c r="F40112" i="1"/>
  <c r="F40113" i="1"/>
  <c r="F40114" i="1"/>
  <c r="F40115" i="1"/>
  <c r="F40116" i="1"/>
  <c r="F40117" i="1"/>
  <c r="F40118" i="1"/>
  <c r="F40119" i="1"/>
  <c r="F40120" i="1"/>
  <c r="F40121" i="1"/>
  <c r="F40122" i="1"/>
  <c r="F40123" i="1"/>
  <c r="F40124" i="1"/>
  <c r="F40125" i="1"/>
  <c r="F40126" i="1"/>
  <c r="F40127" i="1"/>
  <c r="F40128" i="1"/>
  <c r="F40129" i="1"/>
  <c r="F40130" i="1"/>
  <c r="F40131" i="1"/>
  <c r="F40132" i="1"/>
  <c r="F40133" i="1"/>
  <c r="F40134" i="1"/>
  <c r="F40135" i="1"/>
  <c r="F40136" i="1"/>
  <c r="F40137" i="1"/>
  <c r="F40138" i="1"/>
  <c r="F40139" i="1"/>
  <c r="F40140" i="1"/>
  <c r="F40141" i="1"/>
  <c r="F40142" i="1"/>
  <c r="F40143" i="1"/>
  <c r="F40144" i="1"/>
  <c r="F40145" i="1"/>
  <c r="F40146" i="1"/>
  <c r="F40147" i="1"/>
  <c r="F40148" i="1"/>
  <c r="F40149" i="1"/>
  <c r="F40150" i="1"/>
  <c r="F40151" i="1"/>
  <c r="F40152" i="1"/>
  <c r="F40153" i="1"/>
  <c r="F40154" i="1"/>
  <c r="F40155" i="1"/>
  <c r="F40156" i="1"/>
  <c r="F40157" i="1"/>
  <c r="F40158" i="1"/>
  <c r="F40159" i="1"/>
  <c r="F40160" i="1"/>
  <c r="F40161" i="1"/>
  <c r="F40162" i="1"/>
  <c r="F40163" i="1"/>
  <c r="F40164" i="1"/>
  <c r="F40165" i="1"/>
  <c r="F40166" i="1"/>
  <c r="F40167" i="1"/>
  <c r="F40168" i="1"/>
  <c r="F40169" i="1"/>
  <c r="F40170" i="1"/>
  <c r="F40171" i="1"/>
  <c r="F40172" i="1"/>
  <c r="F40173" i="1"/>
  <c r="F40174" i="1"/>
  <c r="F40175" i="1"/>
  <c r="F40176" i="1"/>
  <c r="F40177" i="1"/>
  <c r="F40178" i="1"/>
  <c r="F40179" i="1"/>
  <c r="F40180" i="1"/>
  <c r="F40181" i="1"/>
  <c r="F40182" i="1"/>
  <c r="F40183" i="1"/>
  <c r="F40184" i="1"/>
  <c r="F40185" i="1"/>
  <c r="F40186" i="1"/>
  <c r="F40187" i="1"/>
  <c r="F40188" i="1"/>
  <c r="F40189" i="1"/>
  <c r="F40190" i="1"/>
  <c r="F40191" i="1"/>
  <c r="F40192" i="1"/>
  <c r="F40193" i="1"/>
  <c r="F40194" i="1"/>
  <c r="F40195" i="1"/>
  <c r="F40196" i="1"/>
  <c r="F40197" i="1"/>
  <c r="F40198" i="1"/>
  <c r="F40199" i="1"/>
  <c r="F40200" i="1"/>
  <c r="F40201" i="1"/>
  <c r="F40202" i="1"/>
  <c r="F40203" i="1"/>
  <c r="F40204" i="1"/>
  <c r="F40205" i="1"/>
  <c r="F40206" i="1"/>
  <c r="F40207" i="1"/>
  <c r="F40208" i="1"/>
  <c r="F40209" i="1"/>
  <c r="F40210" i="1"/>
  <c r="F40211" i="1"/>
  <c r="F40212" i="1"/>
  <c r="F40213" i="1"/>
  <c r="F40214" i="1"/>
  <c r="F40215" i="1"/>
  <c r="F40216" i="1"/>
  <c r="F40217" i="1"/>
  <c r="F40218" i="1"/>
  <c r="F40219" i="1"/>
  <c r="F40220" i="1"/>
  <c r="F40221" i="1"/>
  <c r="F40222" i="1"/>
  <c r="F40223" i="1"/>
  <c r="F40224" i="1"/>
  <c r="F40225" i="1"/>
  <c r="F40226" i="1"/>
  <c r="F40227" i="1"/>
  <c r="F40228" i="1"/>
  <c r="F40229" i="1"/>
  <c r="F40230" i="1"/>
  <c r="F40231" i="1"/>
  <c r="F40232" i="1"/>
  <c r="F40233" i="1"/>
  <c r="F40234" i="1"/>
  <c r="F40235" i="1"/>
  <c r="F40236" i="1"/>
  <c r="F40237" i="1"/>
  <c r="F40238" i="1"/>
  <c r="F40239" i="1"/>
  <c r="F40240" i="1"/>
  <c r="F40241" i="1"/>
  <c r="F40242" i="1"/>
  <c r="F40243" i="1"/>
  <c r="F40244" i="1"/>
  <c r="F40245" i="1"/>
  <c r="F40246" i="1"/>
  <c r="F40247" i="1"/>
  <c r="F40248" i="1"/>
  <c r="F40249" i="1"/>
  <c r="F40250" i="1"/>
  <c r="F40251" i="1"/>
  <c r="F40252" i="1"/>
  <c r="F40253" i="1"/>
  <c r="F40254" i="1"/>
  <c r="F40255" i="1"/>
  <c r="F40256" i="1"/>
  <c r="F40257" i="1"/>
  <c r="F40258" i="1"/>
  <c r="F40259" i="1"/>
  <c r="F40260" i="1"/>
  <c r="F40261" i="1"/>
  <c r="F40262" i="1"/>
  <c r="F40263" i="1"/>
  <c r="F40264" i="1"/>
  <c r="F40265" i="1"/>
  <c r="F40266" i="1"/>
  <c r="F40267" i="1"/>
  <c r="F40268" i="1"/>
  <c r="F40269" i="1"/>
  <c r="F40270" i="1"/>
  <c r="F40271" i="1"/>
  <c r="F40272" i="1"/>
  <c r="F40273" i="1"/>
  <c r="F40274" i="1"/>
  <c r="F40275" i="1"/>
  <c r="F40276" i="1"/>
  <c r="F40277" i="1"/>
  <c r="F40278" i="1"/>
  <c r="F40279" i="1"/>
  <c r="F40280" i="1"/>
  <c r="F40281" i="1"/>
  <c r="F40282" i="1"/>
  <c r="F40283" i="1"/>
  <c r="F40284" i="1"/>
  <c r="F40285" i="1"/>
  <c r="F40286" i="1"/>
  <c r="F40287" i="1"/>
  <c r="F40288" i="1"/>
  <c r="F40289" i="1"/>
  <c r="F40290" i="1"/>
  <c r="F40291" i="1"/>
  <c r="F40292" i="1"/>
  <c r="F40293" i="1"/>
  <c r="F40294" i="1"/>
  <c r="F40295" i="1"/>
  <c r="F40296" i="1"/>
  <c r="F40297" i="1"/>
  <c r="F40298" i="1"/>
  <c r="F40299" i="1"/>
  <c r="F40300" i="1"/>
  <c r="F40301" i="1"/>
  <c r="F40302" i="1"/>
  <c r="F40303" i="1"/>
  <c r="F40304" i="1"/>
  <c r="F40305" i="1"/>
  <c r="F40306" i="1"/>
  <c r="F40307" i="1"/>
  <c r="F40308" i="1"/>
  <c r="F40309" i="1"/>
  <c r="F40310" i="1"/>
  <c r="F40311" i="1"/>
  <c r="F40312" i="1"/>
  <c r="F40313" i="1"/>
  <c r="F40314" i="1"/>
  <c r="F40315" i="1"/>
  <c r="F40316" i="1"/>
  <c r="F40317" i="1"/>
  <c r="F40318" i="1"/>
  <c r="F40319" i="1"/>
  <c r="F40320" i="1"/>
  <c r="F40321" i="1"/>
  <c r="F40322" i="1"/>
  <c r="F40323" i="1"/>
  <c r="F40324" i="1"/>
  <c r="F40325" i="1"/>
  <c r="F40326" i="1"/>
  <c r="F40327" i="1"/>
  <c r="F40328" i="1"/>
  <c r="F40329" i="1"/>
  <c r="F40330" i="1"/>
  <c r="F40331" i="1"/>
  <c r="F40332" i="1"/>
  <c r="F40333" i="1"/>
  <c r="F40334" i="1"/>
  <c r="F40335" i="1"/>
  <c r="F40336" i="1"/>
  <c r="F40337" i="1"/>
  <c r="F40338" i="1"/>
  <c r="F40339" i="1"/>
  <c r="F40340" i="1"/>
  <c r="F40341" i="1"/>
  <c r="F40342" i="1"/>
  <c r="F40343" i="1"/>
  <c r="F40344" i="1"/>
  <c r="F40345" i="1"/>
  <c r="F40346" i="1"/>
  <c r="F40347" i="1"/>
  <c r="F40348" i="1"/>
  <c r="F40349" i="1"/>
  <c r="F40350" i="1"/>
  <c r="F40351" i="1"/>
  <c r="F40352" i="1"/>
  <c r="F40353" i="1"/>
  <c r="F40354" i="1"/>
  <c r="F40355" i="1"/>
  <c r="F40356" i="1"/>
  <c r="F40357" i="1"/>
  <c r="F40358" i="1"/>
  <c r="F40359" i="1"/>
  <c r="F40360" i="1"/>
  <c r="F40361" i="1"/>
  <c r="F40362" i="1"/>
  <c r="F40363" i="1"/>
  <c r="F40364" i="1"/>
  <c r="F40365" i="1"/>
  <c r="F40366" i="1"/>
  <c r="F40367" i="1"/>
  <c r="F40368" i="1"/>
  <c r="F40369" i="1"/>
  <c r="F40370" i="1"/>
  <c r="F40371" i="1"/>
  <c r="F40372" i="1"/>
  <c r="F40373" i="1"/>
  <c r="F40374" i="1"/>
  <c r="F40375" i="1"/>
  <c r="F40376" i="1"/>
  <c r="F40377" i="1"/>
  <c r="F40378" i="1"/>
  <c r="F40379" i="1"/>
  <c r="F40380" i="1"/>
  <c r="F40381" i="1"/>
  <c r="F40382" i="1"/>
  <c r="F40383" i="1"/>
  <c r="F40384" i="1"/>
  <c r="F40385" i="1"/>
  <c r="F40386" i="1"/>
  <c r="F40387" i="1"/>
  <c r="F40388" i="1"/>
  <c r="F40389" i="1"/>
  <c r="F40390" i="1"/>
  <c r="F40391" i="1"/>
  <c r="F40392" i="1"/>
  <c r="F40393" i="1"/>
  <c r="F40394" i="1"/>
  <c r="F40395" i="1"/>
  <c r="F40396" i="1"/>
  <c r="F40397" i="1"/>
  <c r="F40398" i="1"/>
  <c r="F40399" i="1"/>
  <c r="F40400" i="1"/>
  <c r="F40401" i="1"/>
  <c r="F40402" i="1"/>
  <c r="F40403" i="1"/>
  <c r="F40404" i="1"/>
  <c r="F40405" i="1"/>
  <c r="F40406" i="1"/>
  <c r="F40407" i="1"/>
  <c r="F40408" i="1"/>
  <c r="F40409" i="1"/>
  <c r="F40410" i="1"/>
  <c r="F40411" i="1"/>
  <c r="F40412" i="1"/>
  <c r="F40413" i="1"/>
  <c r="F40414" i="1"/>
  <c r="F40415" i="1"/>
  <c r="F40416" i="1"/>
  <c r="F40417" i="1"/>
  <c r="F40418" i="1"/>
  <c r="F40419" i="1"/>
  <c r="F40420" i="1"/>
  <c r="F40421" i="1"/>
  <c r="F40422" i="1"/>
  <c r="F40423" i="1"/>
  <c r="F40424" i="1"/>
  <c r="F40425" i="1"/>
  <c r="F40426" i="1"/>
  <c r="F40427" i="1"/>
  <c r="F40428" i="1"/>
  <c r="F40429" i="1"/>
  <c r="F40430" i="1"/>
  <c r="F40431" i="1"/>
  <c r="F40432" i="1"/>
  <c r="F40433" i="1"/>
  <c r="F40434" i="1"/>
  <c r="F40435" i="1"/>
  <c r="F40436" i="1"/>
  <c r="F40437" i="1"/>
  <c r="F40438" i="1"/>
  <c r="F40439" i="1"/>
  <c r="F40440" i="1"/>
  <c r="F40441" i="1"/>
  <c r="F40442" i="1"/>
  <c r="F40443" i="1"/>
  <c r="F40444" i="1"/>
  <c r="F40445" i="1"/>
  <c r="F40446" i="1"/>
  <c r="F40447" i="1"/>
  <c r="F40448" i="1"/>
  <c r="F40449" i="1"/>
  <c r="F40450" i="1"/>
  <c r="F40451" i="1"/>
  <c r="F40452" i="1"/>
  <c r="F40453" i="1"/>
  <c r="F40454" i="1"/>
  <c r="F40455" i="1"/>
  <c r="F40456" i="1"/>
  <c r="F40457" i="1"/>
  <c r="F40458" i="1"/>
  <c r="F40459" i="1"/>
  <c r="F40460" i="1"/>
  <c r="F40461" i="1"/>
  <c r="F40462" i="1"/>
  <c r="F40463" i="1"/>
  <c r="F40464" i="1"/>
  <c r="F40465" i="1"/>
  <c r="F40466" i="1"/>
  <c r="F40467" i="1"/>
  <c r="F40468" i="1"/>
  <c r="F40469" i="1"/>
  <c r="F40470" i="1"/>
  <c r="F40471" i="1"/>
  <c r="F40472" i="1"/>
  <c r="F40473" i="1"/>
  <c r="F40474" i="1"/>
  <c r="F40475" i="1"/>
  <c r="F40476" i="1"/>
  <c r="F40477" i="1"/>
  <c r="F40478" i="1"/>
  <c r="F40479" i="1"/>
  <c r="F40480" i="1"/>
  <c r="F40481" i="1"/>
  <c r="F40482" i="1"/>
  <c r="F40483" i="1"/>
  <c r="F40484" i="1"/>
  <c r="F40485" i="1"/>
  <c r="F40486" i="1"/>
  <c r="F40487" i="1"/>
  <c r="F40488" i="1"/>
  <c r="F40489" i="1"/>
  <c r="F40490" i="1"/>
  <c r="F40491" i="1"/>
  <c r="F40492" i="1"/>
  <c r="F40493" i="1"/>
  <c r="F40494" i="1"/>
  <c r="F40495" i="1"/>
  <c r="F40496" i="1"/>
  <c r="F40497" i="1"/>
  <c r="F40498" i="1"/>
  <c r="F40499" i="1"/>
  <c r="F40500" i="1"/>
  <c r="F40501" i="1"/>
  <c r="F40502" i="1"/>
  <c r="F40503" i="1"/>
  <c r="F40504" i="1"/>
  <c r="F40505" i="1"/>
  <c r="F40506" i="1"/>
  <c r="F40507" i="1"/>
  <c r="F40508" i="1"/>
  <c r="F40509" i="1"/>
  <c r="F40510" i="1"/>
  <c r="F40511" i="1"/>
  <c r="F40512" i="1"/>
  <c r="F40513" i="1"/>
  <c r="F40514" i="1"/>
  <c r="F40515" i="1"/>
  <c r="F40516" i="1"/>
  <c r="F40517" i="1"/>
  <c r="F40518" i="1"/>
  <c r="F40519" i="1"/>
  <c r="F40520" i="1"/>
  <c r="F40521" i="1"/>
  <c r="F40522" i="1"/>
  <c r="F40523" i="1"/>
  <c r="F40524" i="1"/>
  <c r="F40525" i="1"/>
  <c r="F40526" i="1"/>
  <c r="F40527" i="1"/>
  <c r="F40528" i="1"/>
  <c r="F40529" i="1"/>
  <c r="F40530" i="1"/>
  <c r="F40531" i="1"/>
  <c r="F40532" i="1"/>
  <c r="F40533" i="1"/>
  <c r="F40534" i="1"/>
  <c r="F40535" i="1"/>
  <c r="F40536" i="1"/>
  <c r="F40537" i="1"/>
  <c r="F40538" i="1"/>
  <c r="F40539" i="1"/>
  <c r="F40540" i="1"/>
  <c r="F40541" i="1"/>
  <c r="F40542" i="1"/>
  <c r="F40543" i="1"/>
  <c r="F40544" i="1"/>
  <c r="F40545" i="1"/>
  <c r="F40546" i="1"/>
  <c r="F40547" i="1"/>
  <c r="F40548" i="1"/>
  <c r="F40549" i="1"/>
  <c r="F40550" i="1"/>
  <c r="F40551" i="1"/>
  <c r="F40552" i="1"/>
  <c r="F40553" i="1"/>
  <c r="F40554" i="1"/>
  <c r="F40555" i="1"/>
  <c r="F40556" i="1"/>
  <c r="F40557" i="1"/>
  <c r="F40558" i="1"/>
  <c r="F40559" i="1"/>
  <c r="F40560" i="1"/>
  <c r="F40561" i="1"/>
  <c r="F40562" i="1"/>
  <c r="F40563" i="1"/>
  <c r="F40564" i="1"/>
  <c r="F40565" i="1"/>
  <c r="F40566" i="1"/>
  <c r="F40567" i="1"/>
  <c r="F40568" i="1"/>
  <c r="F40569" i="1"/>
  <c r="F40570" i="1"/>
  <c r="F40571" i="1"/>
  <c r="F40572" i="1"/>
  <c r="F40573" i="1"/>
  <c r="F40574" i="1"/>
  <c r="F40575" i="1"/>
  <c r="F40576" i="1"/>
  <c r="F40577" i="1"/>
  <c r="F40578" i="1"/>
  <c r="F40579" i="1"/>
  <c r="F40580" i="1"/>
  <c r="F40581" i="1"/>
  <c r="F40582" i="1"/>
  <c r="F40583" i="1"/>
  <c r="F40584" i="1"/>
  <c r="F40585" i="1"/>
  <c r="F40586" i="1"/>
  <c r="F40587" i="1"/>
  <c r="F40588" i="1"/>
  <c r="F40589" i="1"/>
  <c r="F40590" i="1"/>
  <c r="F40591" i="1"/>
  <c r="F40592" i="1"/>
  <c r="F40593" i="1"/>
  <c r="F40594" i="1"/>
  <c r="F40595" i="1"/>
  <c r="F40596" i="1"/>
  <c r="F40597" i="1"/>
  <c r="F40598" i="1"/>
  <c r="F40599" i="1"/>
  <c r="F40600" i="1"/>
  <c r="F40601" i="1"/>
  <c r="F40602" i="1"/>
  <c r="F40603" i="1"/>
  <c r="F40604" i="1"/>
  <c r="F40605" i="1"/>
  <c r="F40606" i="1"/>
  <c r="F40607" i="1"/>
  <c r="F40608" i="1"/>
  <c r="F40609" i="1"/>
  <c r="F40610" i="1"/>
  <c r="F40611" i="1"/>
  <c r="F40612" i="1"/>
  <c r="F40613" i="1"/>
  <c r="F40614" i="1"/>
  <c r="F40615" i="1"/>
  <c r="F40616" i="1"/>
  <c r="F40617" i="1"/>
  <c r="F40618" i="1"/>
  <c r="F40619" i="1"/>
  <c r="F40620" i="1"/>
  <c r="F40621" i="1"/>
  <c r="F40622" i="1"/>
  <c r="F40623" i="1"/>
  <c r="F40624" i="1"/>
  <c r="F40625" i="1"/>
  <c r="F40626" i="1"/>
  <c r="F40627" i="1"/>
  <c r="F40628" i="1"/>
  <c r="F40629" i="1"/>
  <c r="F40630" i="1"/>
  <c r="F40631" i="1"/>
  <c r="F40632" i="1"/>
  <c r="F40633" i="1"/>
  <c r="F40634" i="1"/>
  <c r="F40635" i="1"/>
  <c r="F40636" i="1"/>
  <c r="F40637" i="1"/>
  <c r="F40638" i="1"/>
  <c r="F40639" i="1"/>
  <c r="F40640" i="1"/>
  <c r="F40641" i="1"/>
  <c r="F40642" i="1"/>
  <c r="F40643" i="1"/>
  <c r="F40644" i="1"/>
  <c r="F40645" i="1"/>
  <c r="F40646" i="1"/>
  <c r="F40647" i="1"/>
  <c r="F40648" i="1"/>
  <c r="F40649" i="1"/>
  <c r="F40650" i="1"/>
  <c r="F40651" i="1"/>
  <c r="F40652" i="1"/>
  <c r="F40653" i="1"/>
  <c r="F40654" i="1"/>
  <c r="F40655" i="1"/>
  <c r="F40656" i="1"/>
  <c r="F40657" i="1"/>
  <c r="F40658" i="1"/>
  <c r="F40659" i="1"/>
  <c r="F40660" i="1"/>
  <c r="F40661" i="1"/>
  <c r="F40662" i="1"/>
  <c r="F40663" i="1"/>
  <c r="F40664" i="1"/>
  <c r="F40665" i="1"/>
  <c r="F40666" i="1"/>
  <c r="F40667" i="1"/>
  <c r="F40668" i="1"/>
  <c r="F40669" i="1"/>
  <c r="F40670" i="1"/>
  <c r="F40671" i="1"/>
  <c r="F40672" i="1"/>
  <c r="F40673" i="1"/>
  <c r="F40674" i="1"/>
  <c r="F40675" i="1"/>
  <c r="F40676" i="1"/>
  <c r="F40677" i="1"/>
  <c r="F40678" i="1"/>
  <c r="F40679" i="1"/>
  <c r="F40680" i="1"/>
  <c r="F40681" i="1"/>
  <c r="F40682" i="1"/>
  <c r="F40683" i="1"/>
  <c r="F40684" i="1"/>
  <c r="F40685" i="1"/>
  <c r="F40686" i="1"/>
  <c r="F40687" i="1"/>
  <c r="F40688" i="1"/>
  <c r="F40689" i="1"/>
  <c r="F40690" i="1"/>
  <c r="F40691" i="1"/>
  <c r="F40692" i="1"/>
  <c r="F40693" i="1"/>
  <c r="F40694" i="1"/>
  <c r="F40695" i="1"/>
  <c r="F40696" i="1"/>
  <c r="F40697" i="1"/>
  <c r="F40698" i="1"/>
  <c r="F40699" i="1"/>
  <c r="F40700" i="1"/>
  <c r="F40701" i="1"/>
  <c r="F40702" i="1"/>
  <c r="F40703" i="1"/>
  <c r="F40704" i="1"/>
  <c r="F40705" i="1"/>
  <c r="F40706" i="1"/>
  <c r="F40707" i="1"/>
  <c r="F40708" i="1"/>
  <c r="F40709" i="1"/>
  <c r="F40710" i="1"/>
  <c r="F40711" i="1"/>
  <c r="F40712" i="1"/>
  <c r="F40713" i="1"/>
  <c r="F40714" i="1"/>
  <c r="F40715" i="1"/>
  <c r="F40716" i="1"/>
  <c r="F40717" i="1"/>
  <c r="F40718" i="1"/>
  <c r="F40719" i="1"/>
  <c r="F40720" i="1"/>
  <c r="F40721" i="1"/>
  <c r="F40722" i="1"/>
  <c r="F40723" i="1"/>
  <c r="F40724" i="1"/>
  <c r="F40725" i="1"/>
  <c r="F40726" i="1"/>
  <c r="F40727" i="1"/>
  <c r="F40728" i="1"/>
  <c r="F40729" i="1"/>
  <c r="F40730" i="1"/>
  <c r="F40731" i="1"/>
  <c r="F40732" i="1"/>
  <c r="F40733" i="1"/>
  <c r="F40734" i="1"/>
  <c r="F40735" i="1"/>
  <c r="F40736" i="1"/>
  <c r="F40737" i="1"/>
  <c r="F40738" i="1"/>
  <c r="F40739" i="1"/>
  <c r="F40740" i="1"/>
  <c r="F40741" i="1"/>
  <c r="F40742" i="1"/>
  <c r="F40743" i="1"/>
  <c r="F40744" i="1"/>
  <c r="F40745" i="1"/>
  <c r="F40746" i="1"/>
  <c r="F40747" i="1"/>
  <c r="F40748" i="1"/>
  <c r="F40749" i="1"/>
  <c r="F40750" i="1"/>
  <c r="F40751" i="1"/>
  <c r="F40752" i="1"/>
  <c r="F40753" i="1"/>
  <c r="F40754" i="1"/>
  <c r="F40755" i="1"/>
  <c r="F40756" i="1"/>
  <c r="F40757" i="1"/>
  <c r="F40758" i="1"/>
  <c r="F40759" i="1"/>
  <c r="F40760" i="1"/>
  <c r="F40761" i="1"/>
  <c r="F40762" i="1"/>
  <c r="F40763" i="1"/>
  <c r="F40764" i="1"/>
  <c r="F40765" i="1"/>
  <c r="F40766" i="1"/>
  <c r="F40767" i="1"/>
  <c r="F40768" i="1"/>
  <c r="F40769" i="1"/>
  <c r="F40770" i="1"/>
  <c r="F40771" i="1"/>
  <c r="F40772" i="1"/>
  <c r="F40773" i="1"/>
  <c r="F40774" i="1"/>
  <c r="F40775" i="1"/>
  <c r="F40776" i="1"/>
  <c r="F40777" i="1"/>
  <c r="F40778" i="1"/>
  <c r="F40779" i="1"/>
  <c r="F40780" i="1"/>
  <c r="F40781" i="1"/>
  <c r="F40782" i="1"/>
  <c r="F40783" i="1"/>
  <c r="F40784" i="1"/>
  <c r="F40785" i="1"/>
  <c r="F40786" i="1"/>
  <c r="F40787" i="1"/>
  <c r="F40788" i="1"/>
  <c r="F40789" i="1"/>
  <c r="F40790" i="1"/>
  <c r="F40791" i="1"/>
  <c r="F40792" i="1"/>
  <c r="F40793" i="1"/>
  <c r="F40794" i="1"/>
  <c r="F40795" i="1"/>
  <c r="F40796" i="1"/>
  <c r="F40797" i="1"/>
  <c r="F40798" i="1"/>
  <c r="F40799" i="1"/>
  <c r="F40800" i="1"/>
  <c r="F40801" i="1"/>
  <c r="F40802" i="1"/>
  <c r="F40803" i="1"/>
  <c r="F40804" i="1"/>
  <c r="F40805" i="1"/>
  <c r="F40806" i="1"/>
  <c r="F40807" i="1"/>
  <c r="F40808" i="1"/>
  <c r="F40809" i="1"/>
  <c r="F40810" i="1"/>
  <c r="F40811" i="1"/>
  <c r="F40812" i="1"/>
  <c r="F40813" i="1"/>
  <c r="F40814" i="1"/>
  <c r="F40815" i="1"/>
  <c r="F40816" i="1"/>
  <c r="F40817" i="1"/>
  <c r="F40818" i="1"/>
  <c r="F40819" i="1"/>
  <c r="F40820" i="1"/>
  <c r="F40821" i="1"/>
  <c r="F40822" i="1"/>
  <c r="F40823" i="1"/>
  <c r="F40824" i="1"/>
  <c r="F40825" i="1"/>
  <c r="F40826" i="1"/>
  <c r="F40827" i="1"/>
  <c r="F40828" i="1"/>
  <c r="F40829" i="1"/>
  <c r="F40830" i="1"/>
  <c r="F40831" i="1"/>
  <c r="F40832" i="1"/>
  <c r="F40833" i="1"/>
  <c r="F40834" i="1"/>
  <c r="F40835" i="1"/>
  <c r="F40836" i="1"/>
  <c r="F40837" i="1"/>
  <c r="F40838" i="1"/>
  <c r="F40839" i="1"/>
  <c r="F40840" i="1"/>
  <c r="F40841" i="1"/>
  <c r="F40842" i="1"/>
  <c r="F40843" i="1"/>
  <c r="F40844" i="1"/>
  <c r="F40845" i="1"/>
  <c r="F40846" i="1"/>
  <c r="F40847" i="1"/>
  <c r="F40848" i="1"/>
  <c r="F40849" i="1"/>
  <c r="F40850" i="1"/>
  <c r="F40851" i="1"/>
  <c r="F40852" i="1"/>
  <c r="F40853" i="1"/>
  <c r="F40854" i="1"/>
  <c r="F40855" i="1"/>
  <c r="F40856" i="1"/>
  <c r="F40857" i="1"/>
  <c r="F40858" i="1"/>
  <c r="F40859" i="1"/>
  <c r="F40860" i="1"/>
  <c r="F40861" i="1"/>
  <c r="F40862" i="1"/>
  <c r="F40863" i="1"/>
  <c r="F40864" i="1"/>
  <c r="F40865" i="1"/>
  <c r="F40866" i="1"/>
  <c r="F40867" i="1"/>
  <c r="F40868" i="1"/>
  <c r="F40869" i="1"/>
  <c r="F40870" i="1"/>
  <c r="F40871" i="1"/>
  <c r="F40872" i="1"/>
  <c r="F40873" i="1"/>
  <c r="F40874" i="1"/>
  <c r="F40875" i="1"/>
  <c r="F40876" i="1"/>
  <c r="F40877" i="1"/>
  <c r="F40878" i="1"/>
  <c r="F40879" i="1"/>
  <c r="F40880" i="1"/>
  <c r="F40881" i="1"/>
  <c r="F40882" i="1"/>
  <c r="F40883" i="1"/>
  <c r="F40884" i="1"/>
  <c r="F40885" i="1"/>
  <c r="F40886" i="1"/>
  <c r="F40887" i="1"/>
  <c r="F40888" i="1"/>
  <c r="F40889" i="1"/>
  <c r="F40890" i="1"/>
  <c r="F40891" i="1"/>
  <c r="F40892" i="1"/>
  <c r="F40893" i="1"/>
  <c r="F40894" i="1"/>
  <c r="F40895" i="1"/>
  <c r="F40896" i="1"/>
  <c r="F40897" i="1"/>
  <c r="F40898" i="1"/>
  <c r="F40899" i="1"/>
  <c r="F40900" i="1"/>
  <c r="F40901" i="1"/>
  <c r="F40902" i="1"/>
  <c r="F40903" i="1"/>
  <c r="F40904" i="1"/>
  <c r="F40905" i="1"/>
  <c r="F40906" i="1"/>
  <c r="F40907" i="1"/>
  <c r="F40908" i="1"/>
  <c r="F40909" i="1"/>
  <c r="F40910" i="1"/>
  <c r="F40911" i="1"/>
  <c r="F40912" i="1"/>
  <c r="F40913" i="1"/>
  <c r="F40914" i="1"/>
  <c r="F40915" i="1"/>
  <c r="F40916" i="1"/>
  <c r="F40917" i="1"/>
  <c r="F40918" i="1"/>
  <c r="F40919" i="1"/>
  <c r="F40920" i="1"/>
  <c r="F40921" i="1"/>
  <c r="F40922" i="1"/>
  <c r="F40923" i="1"/>
  <c r="F40924" i="1"/>
  <c r="F40925" i="1"/>
  <c r="F40926" i="1"/>
  <c r="F40927" i="1"/>
  <c r="F40928" i="1"/>
  <c r="F40929" i="1"/>
  <c r="F40930" i="1"/>
  <c r="F40931" i="1"/>
  <c r="F40932" i="1"/>
  <c r="F40933" i="1"/>
  <c r="F40934" i="1"/>
  <c r="F40935" i="1"/>
  <c r="F40936" i="1"/>
  <c r="F40937" i="1"/>
  <c r="F40938" i="1"/>
  <c r="F40939" i="1"/>
  <c r="F40940" i="1"/>
  <c r="F40941" i="1"/>
  <c r="F40942" i="1"/>
  <c r="F40943" i="1"/>
  <c r="F40944" i="1"/>
  <c r="F40945" i="1"/>
  <c r="F40946" i="1"/>
  <c r="F40947" i="1"/>
  <c r="F40948" i="1"/>
  <c r="F40949" i="1"/>
  <c r="F40950" i="1"/>
  <c r="F40951" i="1"/>
  <c r="F40952" i="1"/>
  <c r="F40953" i="1"/>
  <c r="F40954" i="1"/>
  <c r="F40955" i="1"/>
  <c r="F40956" i="1"/>
  <c r="F40957" i="1"/>
  <c r="F40958" i="1"/>
  <c r="F40959" i="1"/>
  <c r="F40960" i="1"/>
  <c r="F40961" i="1"/>
  <c r="F40962" i="1"/>
  <c r="F40963" i="1"/>
  <c r="F40964" i="1"/>
  <c r="F40965" i="1"/>
  <c r="F40966" i="1"/>
  <c r="F40967" i="1"/>
  <c r="F40968" i="1"/>
  <c r="F40969" i="1"/>
  <c r="F40970" i="1"/>
  <c r="F40971" i="1"/>
  <c r="F40972" i="1"/>
  <c r="F40973" i="1"/>
  <c r="F40974" i="1"/>
  <c r="F40975" i="1"/>
  <c r="F40976" i="1"/>
  <c r="F40977" i="1"/>
  <c r="F40978" i="1"/>
  <c r="F40979" i="1"/>
  <c r="F40980" i="1"/>
  <c r="F40981" i="1"/>
  <c r="F40982" i="1"/>
  <c r="F40983" i="1"/>
  <c r="F40984" i="1"/>
  <c r="F40985" i="1"/>
  <c r="F40986" i="1"/>
  <c r="F40987" i="1"/>
  <c r="F40988" i="1"/>
  <c r="F40989" i="1"/>
  <c r="F40990" i="1"/>
  <c r="F40991" i="1"/>
  <c r="F40992" i="1"/>
  <c r="F40993" i="1"/>
  <c r="F40994" i="1"/>
  <c r="F40995" i="1"/>
  <c r="F40996" i="1"/>
  <c r="F40997" i="1"/>
  <c r="F40998" i="1"/>
  <c r="F40999" i="1"/>
  <c r="F41000" i="1"/>
  <c r="F41001" i="1"/>
  <c r="F41002" i="1"/>
  <c r="F41003" i="1"/>
  <c r="F41004" i="1"/>
  <c r="F41005" i="1"/>
  <c r="F41006" i="1"/>
  <c r="F41007" i="1"/>
  <c r="F41008" i="1"/>
  <c r="F41009" i="1"/>
  <c r="F41010" i="1"/>
  <c r="F41011" i="1"/>
  <c r="F41012" i="1"/>
  <c r="F41013" i="1"/>
  <c r="F41014" i="1"/>
  <c r="F41015" i="1"/>
  <c r="F41016" i="1"/>
  <c r="F41017" i="1"/>
  <c r="F41018" i="1"/>
  <c r="F41019" i="1"/>
  <c r="F41020" i="1"/>
  <c r="F41021" i="1"/>
  <c r="F41022" i="1"/>
  <c r="F41023" i="1"/>
  <c r="F41024" i="1"/>
  <c r="F41025" i="1"/>
  <c r="F41026" i="1"/>
  <c r="F41027" i="1"/>
  <c r="F41028" i="1"/>
  <c r="F41029" i="1"/>
  <c r="F41030" i="1"/>
  <c r="F41031" i="1"/>
  <c r="F41032" i="1"/>
  <c r="F41033" i="1"/>
  <c r="F41034" i="1"/>
  <c r="F41035" i="1"/>
  <c r="F41036" i="1"/>
  <c r="F41037" i="1"/>
  <c r="F41038" i="1"/>
  <c r="F41039" i="1"/>
  <c r="F41040" i="1"/>
  <c r="F41041" i="1"/>
  <c r="F41042" i="1"/>
  <c r="F41043" i="1"/>
  <c r="F41044" i="1"/>
  <c r="F41045" i="1"/>
  <c r="F41046" i="1"/>
  <c r="F41047" i="1"/>
  <c r="F41048" i="1"/>
  <c r="F41049" i="1"/>
  <c r="F41050" i="1"/>
  <c r="F41051" i="1"/>
  <c r="F41052" i="1"/>
  <c r="F41053" i="1"/>
  <c r="F41054" i="1"/>
  <c r="F41055" i="1"/>
  <c r="F41056" i="1"/>
  <c r="F41057" i="1"/>
  <c r="F41058" i="1"/>
  <c r="F41059" i="1"/>
  <c r="F41060" i="1"/>
  <c r="F41061" i="1"/>
  <c r="F41062" i="1"/>
  <c r="F41063" i="1"/>
  <c r="F41064" i="1"/>
  <c r="F41065" i="1"/>
  <c r="F41066" i="1"/>
  <c r="F41067" i="1"/>
  <c r="F41068" i="1"/>
  <c r="F41069" i="1"/>
  <c r="F41070" i="1"/>
  <c r="F41071" i="1"/>
  <c r="F41072" i="1"/>
  <c r="F41073" i="1"/>
  <c r="F41074" i="1"/>
  <c r="F41075" i="1"/>
  <c r="F41076" i="1"/>
  <c r="F41077" i="1"/>
  <c r="F41078" i="1"/>
  <c r="F41079" i="1"/>
  <c r="F41080" i="1"/>
  <c r="F41081" i="1"/>
  <c r="F41082" i="1"/>
  <c r="F41083" i="1"/>
  <c r="F41084" i="1"/>
  <c r="F41085" i="1"/>
  <c r="F41086" i="1"/>
  <c r="F41087" i="1"/>
  <c r="F41088" i="1"/>
  <c r="F41089" i="1"/>
  <c r="F41090" i="1"/>
  <c r="F41091" i="1"/>
  <c r="F41092" i="1"/>
  <c r="F41093" i="1"/>
  <c r="F41094" i="1"/>
  <c r="F41095" i="1"/>
  <c r="F41096" i="1"/>
  <c r="F41097" i="1"/>
  <c r="F41098" i="1"/>
  <c r="F41099" i="1"/>
  <c r="F41100" i="1"/>
  <c r="F41101" i="1"/>
  <c r="F41102" i="1"/>
  <c r="F41103" i="1"/>
  <c r="F41104" i="1"/>
  <c r="F41105" i="1"/>
  <c r="F41106" i="1"/>
  <c r="F41107" i="1"/>
  <c r="F41108" i="1"/>
  <c r="F41109" i="1"/>
  <c r="F41110" i="1"/>
  <c r="F41111" i="1"/>
  <c r="F41112" i="1"/>
  <c r="F41113" i="1"/>
  <c r="F41114" i="1"/>
  <c r="F41115" i="1"/>
  <c r="F41116" i="1"/>
  <c r="F41117" i="1"/>
  <c r="F41118" i="1"/>
  <c r="F41119" i="1"/>
  <c r="F41120" i="1"/>
  <c r="F41121" i="1"/>
  <c r="F41122" i="1"/>
  <c r="F41123" i="1"/>
  <c r="F41124" i="1"/>
  <c r="F41125" i="1"/>
  <c r="F41126" i="1"/>
  <c r="F41127" i="1"/>
  <c r="F41128" i="1"/>
  <c r="F41129" i="1"/>
  <c r="F41130" i="1"/>
  <c r="F41131" i="1"/>
  <c r="F41132" i="1"/>
  <c r="F41133" i="1"/>
  <c r="F41134" i="1"/>
  <c r="F41135" i="1"/>
  <c r="F41136" i="1"/>
  <c r="F41137" i="1"/>
  <c r="F41138" i="1"/>
  <c r="F41139" i="1"/>
  <c r="F41140" i="1"/>
  <c r="F41141" i="1"/>
  <c r="F41142" i="1"/>
  <c r="F41143" i="1"/>
  <c r="F41144" i="1"/>
  <c r="F41145" i="1"/>
  <c r="F41146" i="1"/>
  <c r="F41147" i="1"/>
  <c r="F41148" i="1"/>
  <c r="F41149" i="1"/>
  <c r="F41150" i="1"/>
  <c r="F41151" i="1"/>
  <c r="F41152" i="1"/>
  <c r="F41153" i="1"/>
  <c r="F41154" i="1"/>
  <c r="F41155" i="1"/>
  <c r="F41156" i="1"/>
  <c r="F41157" i="1"/>
  <c r="F41158" i="1"/>
  <c r="F41159" i="1"/>
  <c r="F41160" i="1"/>
  <c r="F41161" i="1"/>
  <c r="F41162" i="1"/>
  <c r="F41163" i="1"/>
  <c r="F41164" i="1"/>
  <c r="F41165" i="1"/>
  <c r="F41166" i="1"/>
  <c r="F41167" i="1"/>
  <c r="F41168" i="1"/>
  <c r="F41169" i="1"/>
  <c r="F41170" i="1"/>
  <c r="F41171" i="1"/>
  <c r="F41172" i="1"/>
  <c r="F41173" i="1"/>
  <c r="F41174" i="1"/>
  <c r="F41175" i="1"/>
  <c r="F41176" i="1"/>
  <c r="F41177" i="1"/>
  <c r="F41178" i="1"/>
  <c r="F41179" i="1"/>
  <c r="F41180" i="1"/>
  <c r="F41181" i="1"/>
  <c r="F41182" i="1"/>
  <c r="F41183" i="1"/>
  <c r="F41184" i="1"/>
  <c r="F41185" i="1"/>
  <c r="F41186" i="1"/>
  <c r="F41187" i="1"/>
  <c r="F41188" i="1"/>
  <c r="F41189" i="1"/>
  <c r="F41190" i="1"/>
  <c r="F41191" i="1"/>
  <c r="F41192" i="1"/>
  <c r="F41193" i="1"/>
  <c r="F41194" i="1"/>
  <c r="F41195" i="1"/>
  <c r="F41196" i="1"/>
  <c r="F41197" i="1"/>
  <c r="F41198" i="1"/>
  <c r="F41199" i="1"/>
  <c r="F41200" i="1"/>
  <c r="F41201" i="1"/>
  <c r="F41202" i="1"/>
  <c r="F41203" i="1"/>
  <c r="F41204" i="1"/>
  <c r="F41205" i="1"/>
  <c r="F41206" i="1"/>
  <c r="F41207" i="1"/>
  <c r="F41208" i="1"/>
  <c r="F41209" i="1"/>
  <c r="F41210" i="1"/>
  <c r="F41211" i="1"/>
  <c r="F41212" i="1"/>
  <c r="F41213" i="1"/>
  <c r="F41214" i="1"/>
  <c r="F41215" i="1"/>
  <c r="F41216" i="1"/>
  <c r="F41217" i="1"/>
  <c r="F41218" i="1"/>
  <c r="F41219" i="1"/>
  <c r="F41220" i="1"/>
  <c r="F41221" i="1"/>
  <c r="F41222" i="1"/>
  <c r="F41223" i="1"/>
  <c r="F41224" i="1"/>
  <c r="F41225" i="1"/>
  <c r="F41226" i="1"/>
  <c r="F41227" i="1"/>
  <c r="F41228" i="1"/>
  <c r="F41229" i="1"/>
  <c r="F41230" i="1"/>
  <c r="F41231" i="1"/>
  <c r="F41232" i="1"/>
  <c r="F41233" i="1"/>
  <c r="F41234" i="1"/>
  <c r="F41235" i="1"/>
  <c r="F41236" i="1"/>
  <c r="F41237" i="1"/>
  <c r="F41238" i="1"/>
  <c r="F41239" i="1"/>
  <c r="F41240" i="1"/>
  <c r="F41241" i="1"/>
  <c r="F41242" i="1"/>
  <c r="F41243" i="1"/>
  <c r="F41244" i="1"/>
  <c r="F41245" i="1"/>
  <c r="F41246" i="1"/>
  <c r="F41247" i="1"/>
  <c r="F41248" i="1"/>
  <c r="F41249" i="1"/>
  <c r="F41250" i="1"/>
  <c r="F41251" i="1"/>
  <c r="F41252" i="1"/>
  <c r="F41253" i="1"/>
  <c r="F41254" i="1"/>
  <c r="F41255" i="1"/>
  <c r="F41256" i="1"/>
  <c r="F41257" i="1"/>
  <c r="F41258" i="1"/>
  <c r="F41259" i="1"/>
  <c r="F41260" i="1"/>
  <c r="F41261" i="1"/>
  <c r="F41262" i="1"/>
  <c r="F41263" i="1"/>
  <c r="F41264" i="1"/>
  <c r="F41265" i="1"/>
  <c r="F41266" i="1"/>
  <c r="F41267" i="1"/>
  <c r="F41268" i="1"/>
  <c r="F41269" i="1"/>
  <c r="F41270" i="1"/>
  <c r="F41271" i="1"/>
  <c r="F41272" i="1"/>
  <c r="F41273" i="1"/>
  <c r="F41274" i="1"/>
  <c r="F41275" i="1"/>
  <c r="F41276" i="1"/>
  <c r="F41277" i="1"/>
  <c r="F41278" i="1"/>
  <c r="F41279" i="1"/>
  <c r="F41280" i="1"/>
  <c r="F41281" i="1"/>
  <c r="F41282" i="1"/>
  <c r="F41283" i="1"/>
  <c r="F41284" i="1"/>
  <c r="F41285" i="1"/>
  <c r="F41286" i="1"/>
  <c r="F41287" i="1"/>
  <c r="F41288" i="1"/>
  <c r="F41289" i="1"/>
  <c r="F41290" i="1"/>
  <c r="F41291" i="1"/>
  <c r="F41292" i="1"/>
  <c r="F41293" i="1"/>
  <c r="F41294" i="1"/>
  <c r="F41295" i="1"/>
  <c r="F41296" i="1"/>
  <c r="F41297" i="1"/>
  <c r="F41298" i="1"/>
  <c r="F41299" i="1"/>
  <c r="F41300" i="1"/>
  <c r="F41301" i="1"/>
  <c r="F41302" i="1"/>
  <c r="F41303" i="1"/>
  <c r="F41304" i="1"/>
  <c r="F41305" i="1"/>
  <c r="F41306" i="1"/>
  <c r="F41307" i="1"/>
  <c r="F41308" i="1"/>
  <c r="F41309" i="1"/>
  <c r="F41310" i="1"/>
  <c r="F41311" i="1"/>
  <c r="F41312" i="1"/>
  <c r="F41313" i="1"/>
  <c r="F41314" i="1"/>
  <c r="F41315" i="1"/>
  <c r="F41316" i="1"/>
  <c r="F41317" i="1"/>
  <c r="F41318" i="1"/>
  <c r="F41319" i="1"/>
  <c r="F41320" i="1"/>
  <c r="F41321" i="1"/>
  <c r="F41322" i="1"/>
  <c r="F41323" i="1"/>
  <c r="F41324" i="1"/>
  <c r="F41325" i="1"/>
  <c r="F41326" i="1"/>
  <c r="F41327" i="1"/>
  <c r="F41328" i="1"/>
  <c r="F41329" i="1"/>
  <c r="F41330" i="1"/>
  <c r="F41331" i="1"/>
  <c r="F41332" i="1"/>
  <c r="F41333" i="1"/>
  <c r="F41334" i="1"/>
  <c r="F41335" i="1"/>
  <c r="F41336" i="1"/>
  <c r="F41337" i="1"/>
  <c r="F41338" i="1"/>
  <c r="F41339" i="1"/>
  <c r="F41340" i="1"/>
  <c r="F41341" i="1"/>
  <c r="F41342" i="1"/>
  <c r="F41343" i="1"/>
  <c r="F41344" i="1"/>
  <c r="F41345" i="1"/>
  <c r="F41346" i="1"/>
  <c r="F41347" i="1"/>
  <c r="F41348" i="1"/>
  <c r="F41349" i="1"/>
  <c r="F41350" i="1"/>
  <c r="F41351" i="1"/>
  <c r="F41352" i="1"/>
  <c r="F41353" i="1"/>
  <c r="F41354" i="1"/>
  <c r="F41355" i="1"/>
  <c r="F41356" i="1"/>
  <c r="F41357" i="1"/>
  <c r="F41358" i="1"/>
  <c r="F41359" i="1"/>
  <c r="F41360" i="1"/>
  <c r="F41361" i="1"/>
  <c r="F41362" i="1"/>
  <c r="F41363" i="1"/>
  <c r="F41364" i="1"/>
  <c r="F41365" i="1"/>
  <c r="F41366" i="1"/>
  <c r="F41367" i="1"/>
  <c r="F41368" i="1"/>
  <c r="F41369" i="1"/>
  <c r="F41370" i="1"/>
  <c r="F41371" i="1"/>
  <c r="F41372" i="1"/>
  <c r="F41373" i="1"/>
  <c r="F41374" i="1"/>
  <c r="F41375" i="1"/>
  <c r="F41376" i="1"/>
  <c r="F41377" i="1"/>
  <c r="F41378" i="1"/>
  <c r="F41379" i="1"/>
  <c r="F41380" i="1"/>
  <c r="F41381" i="1"/>
  <c r="F41382" i="1"/>
  <c r="F41383" i="1"/>
  <c r="F41384" i="1"/>
  <c r="F41385" i="1"/>
  <c r="F41386" i="1"/>
  <c r="F41387" i="1"/>
  <c r="F41388" i="1"/>
  <c r="F41389" i="1"/>
  <c r="F41390" i="1"/>
  <c r="F41391" i="1"/>
  <c r="F41392" i="1"/>
  <c r="F41393" i="1"/>
  <c r="F41394" i="1"/>
  <c r="F41395" i="1"/>
  <c r="F41396" i="1"/>
  <c r="F41397" i="1"/>
  <c r="F41398" i="1"/>
  <c r="F41399" i="1"/>
  <c r="F41400" i="1"/>
  <c r="F41401" i="1"/>
  <c r="F41402" i="1"/>
  <c r="F41403" i="1"/>
  <c r="F41404" i="1"/>
  <c r="F41405" i="1"/>
  <c r="F41406" i="1"/>
  <c r="F41407" i="1"/>
  <c r="F41408" i="1"/>
  <c r="F41409" i="1"/>
  <c r="F41410" i="1"/>
  <c r="F41411" i="1"/>
  <c r="F41412" i="1"/>
  <c r="F41413" i="1"/>
  <c r="F41414" i="1"/>
  <c r="F41415" i="1"/>
  <c r="F41416" i="1"/>
  <c r="F41417" i="1"/>
  <c r="F41418" i="1"/>
  <c r="F41419" i="1"/>
  <c r="F41420" i="1"/>
  <c r="F41421" i="1"/>
  <c r="F41422" i="1"/>
  <c r="F41423" i="1"/>
  <c r="F41424" i="1"/>
  <c r="F41425" i="1"/>
  <c r="F41426" i="1"/>
  <c r="F41427" i="1"/>
  <c r="F41428" i="1"/>
  <c r="F41429" i="1"/>
  <c r="F41430" i="1"/>
  <c r="F41431" i="1"/>
  <c r="F41432" i="1"/>
  <c r="F41433" i="1"/>
  <c r="F41434" i="1"/>
  <c r="F41435" i="1"/>
  <c r="F41436" i="1"/>
  <c r="F41437" i="1"/>
  <c r="F41438" i="1"/>
  <c r="F41439" i="1"/>
  <c r="F41440" i="1"/>
  <c r="F41441" i="1"/>
  <c r="F41442" i="1"/>
  <c r="F41443" i="1"/>
  <c r="F41444" i="1"/>
  <c r="F41445" i="1"/>
  <c r="F41446" i="1"/>
  <c r="F41447" i="1"/>
  <c r="F41448" i="1"/>
  <c r="F41449" i="1"/>
  <c r="F41450" i="1"/>
  <c r="F41451" i="1"/>
  <c r="F41452" i="1"/>
  <c r="F41453" i="1"/>
  <c r="F41454" i="1"/>
  <c r="F41455" i="1"/>
  <c r="F41456" i="1"/>
  <c r="F41457" i="1"/>
  <c r="F41458" i="1"/>
  <c r="F41459" i="1"/>
  <c r="F41460" i="1"/>
  <c r="F41461" i="1"/>
  <c r="F41462" i="1"/>
  <c r="F41463" i="1"/>
  <c r="F41464" i="1"/>
  <c r="F41465" i="1"/>
  <c r="F41466" i="1"/>
  <c r="F41467" i="1"/>
  <c r="F41468" i="1"/>
  <c r="F41469" i="1"/>
  <c r="F41470" i="1"/>
  <c r="F41471" i="1"/>
  <c r="F41472" i="1"/>
  <c r="F41473" i="1"/>
  <c r="F41474" i="1"/>
  <c r="F41475" i="1"/>
  <c r="F41476" i="1"/>
  <c r="F41477" i="1"/>
  <c r="F41478" i="1"/>
  <c r="F41479" i="1"/>
  <c r="F41480" i="1"/>
  <c r="F41481" i="1"/>
  <c r="F41482" i="1"/>
  <c r="F41483" i="1"/>
  <c r="F41484" i="1"/>
  <c r="F41485" i="1"/>
  <c r="F41486" i="1"/>
  <c r="F41487" i="1"/>
  <c r="F41488" i="1"/>
  <c r="F41489" i="1"/>
  <c r="F41490" i="1"/>
  <c r="F41491" i="1"/>
  <c r="F41492" i="1"/>
  <c r="F41493" i="1"/>
  <c r="F41494" i="1"/>
  <c r="F41495" i="1"/>
  <c r="F41496" i="1"/>
  <c r="F41497" i="1"/>
  <c r="F41498" i="1"/>
  <c r="F41499" i="1"/>
  <c r="F41500" i="1"/>
  <c r="F41501" i="1"/>
  <c r="F41502" i="1"/>
  <c r="F41503" i="1"/>
  <c r="F41504" i="1"/>
  <c r="F41505" i="1"/>
  <c r="F41506" i="1"/>
  <c r="F41507" i="1"/>
  <c r="F41508" i="1"/>
  <c r="F41509" i="1"/>
  <c r="F41510" i="1"/>
  <c r="F41511" i="1"/>
  <c r="F41512" i="1"/>
  <c r="F41513" i="1"/>
  <c r="F41514" i="1"/>
  <c r="F41515" i="1"/>
  <c r="F41516" i="1"/>
  <c r="F41517" i="1"/>
  <c r="F41518" i="1"/>
  <c r="F41519" i="1"/>
  <c r="F41520" i="1"/>
  <c r="F41521" i="1"/>
  <c r="F41522" i="1"/>
  <c r="F41523" i="1"/>
  <c r="F41524" i="1"/>
  <c r="F41525" i="1"/>
  <c r="F41526" i="1"/>
  <c r="F41527" i="1"/>
  <c r="F41528" i="1"/>
  <c r="F41529" i="1"/>
  <c r="F41530" i="1"/>
  <c r="F41531" i="1"/>
  <c r="F41532" i="1"/>
  <c r="F41533" i="1"/>
  <c r="F41534" i="1"/>
  <c r="F41535" i="1"/>
  <c r="F41536" i="1"/>
  <c r="F41537" i="1"/>
  <c r="F41538" i="1"/>
  <c r="F41539" i="1"/>
  <c r="F41540" i="1"/>
  <c r="F41541" i="1"/>
  <c r="F41542" i="1"/>
  <c r="F41543" i="1"/>
  <c r="F41544" i="1"/>
  <c r="F41545" i="1"/>
  <c r="F41546" i="1"/>
  <c r="F41547" i="1"/>
  <c r="F41548" i="1"/>
  <c r="F41549" i="1"/>
  <c r="F41550" i="1"/>
  <c r="F41551" i="1"/>
  <c r="F41552" i="1"/>
  <c r="F41553" i="1"/>
  <c r="F41554" i="1"/>
  <c r="F41555" i="1"/>
  <c r="F41556" i="1"/>
  <c r="F41557" i="1"/>
  <c r="F41558" i="1"/>
  <c r="F41559" i="1"/>
  <c r="F41560" i="1"/>
  <c r="F41561" i="1"/>
  <c r="F41562" i="1"/>
  <c r="F41563" i="1"/>
  <c r="F41564" i="1"/>
  <c r="F41565" i="1"/>
  <c r="F41566" i="1"/>
  <c r="F41567" i="1"/>
  <c r="F41568" i="1"/>
  <c r="F41569" i="1"/>
  <c r="F41570" i="1"/>
  <c r="F41571" i="1"/>
  <c r="F41572" i="1"/>
  <c r="F41573" i="1"/>
  <c r="F41574" i="1"/>
  <c r="F41575" i="1"/>
  <c r="F41576" i="1"/>
  <c r="F41577" i="1"/>
  <c r="F41578" i="1"/>
  <c r="F41579" i="1"/>
  <c r="F41580" i="1"/>
  <c r="F41581" i="1"/>
  <c r="F41582" i="1"/>
  <c r="F41583" i="1"/>
  <c r="F41584" i="1"/>
  <c r="F41585" i="1"/>
  <c r="F41586" i="1"/>
  <c r="F41587" i="1"/>
  <c r="F41588" i="1"/>
  <c r="F41589" i="1"/>
  <c r="F41590" i="1"/>
  <c r="F41591" i="1"/>
  <c r="F41592" i="1"/>
  <c r="F41593" i="1"/>
  <c r="F41594" i="1"/>
  <c r="F41595" i="1"/>
  <c r="F41596" i="1"/>
  <c r="F41597" i="1"/>
  <c r="F41598" i="1"/>
  <c r="F41599" i="1"/>
  <c r="F41600" i="1"/>
  <c r="F41601" i="1"/>
  <c r="F41602" i="1"/>
  <c r="F41603" i="1"/>
  <c r="F41604" i="1"/>
  <c r="F41605" i="1"/>
  <c r="F41606" i="1"/>
  <c r="F41607" i="1"/>
  <c r="F41608" i="1"/>
  <c r="F41609" i="1"/>
  <c r="F41610" i="1"/>
  <c r="F41611" i="1"/>
  <c r="F41612" i="1"/>
  <c r="F41613" i="1"/>
  <c r="F41614" i="1"/>
  <c r="F41615" i="1"/>
  <c r="F41616" i="1"/>
  <c r="F41617" i="1"/>
  <c r="F41618" i="1"/>
  <c r="F41619" i="1"/>
  <c r="F41620" i="1"/>
  <c r="F41621" i="1"/>
  <c r="F41622" i="1"/>
  <c r="F41623" i="1"/>
  <c r="F41624" i="1"/>
  <c r="F41625" i="1"/>
  <c r="F41626" i="1"/>
  <c r="F41627" i="1"/>
  <c r="F41628" i="1"/>
  <c r="F41629" i="1"/>
  <c r="F41630" i="1"/>
  <c r="F41631" i="1"/>
  <c r="F41632" i="1"/>
  <c r="F41633" i="1"/>
  <c r="F41634" i="1"/>
  <c r="F41635" i="1"/>
  <c r="F41636" i="1"/>
  <c r="F41637" i="1"/>
  <c r="F41638" i="1"/>
  <c r="F41639" i="1"/>
  <c r="F41640" i="1"/>
  <c r="F41641" i="1"/>
  <c r="F41642" i="1"/>
  <c r="F41643" i="1"/>
  <c r="F41644" i="1"/>
  <c r="F41645" i="1"/>
  <c r="F41646" i="1"/>
  <c r="F41647" i="1"/>
  <c r="F41648" i="1"/>
  <c r="F41649" i="1"/>
  <c r="F41650" i="1"/>
  <c r="F41651" i="1"/>
  <c r="F41652" i="1"/>
  <c r="F41653" i="1"/>
  <c r="F41654" i="1"/>
  <c r="F41655" i="1"/>
  <c r="F41656" i="1"/>
  <c r="F41657" i="1"/>
  <c r="F41658" i="1"/>
  <c r="F41659" i="1"/>
  <c r="F41660" i="1"/>
  <c r="F41661" i="1"/>
  <c r="F41662" i="1"/>
  <c r="F41663" i="1"/>
  <c r="F41664" i="1"/>
  <c r="F41665" i="1"/>
  <c r="F41666" i="1"/>
  <c r="F41667" i="1"/>
  <c r="F41668" i="1"/>
  <c r="F41669" i="1"/>
  <c r="F41670" i="1"/>
  <c r="F41671" i="1"/>
  <c r="F41672" i="1"/>
  <c r="F41673" i="1"/>
  <c r="F41674" i="1"/>
  <c r="F41675" i="1"/>
  <c r="F41676" i="1"/>
  <c r="F41677" i="1"/>
  <c r="F41678" i="1"/>
  <c r="F41679" i="1"/>
  <c r="F41680" i="1"/>
  <c r="F41681" i="1"/>
  <c r="F41682" i="1"/>
  <c r="F41683" i="1"/>
  <c r="F41684" i="1"/>
  <c r="F41685" i="1"/>
  <c r="F41686" i="1"/>
  <c r="F41687" i="1"/>
  <c r="F41688" i="1"/>
  <c r="F41689" i="1"/>
  <c r="F41690" i="1"/>
  <c r="F41691" i="1"/>
  <c r="F41692" i="1"/>
  <c r="F41693" i="1"/>
  <c r="F41694" i="1"/>
  <c r="F41695" i="1"/>
  <c r="F41696" i="1"/>
  <c r="F41697" i="1"/>
  <c r="F41698" i="1"/>
  <c r="F41699" i="1"/>
  <c r="F41700" i="1"/>
  <c r="F41701" i="1"/>
  <c r="F41702" i="1"/>
  <c r="F41703" i="1"/>
  <c r="F41704" i="1"/>
  <c r="F41705" i="1"/>
  <c r="F41706" i="1"/>
  <c r="F41707" i="1"/>
  <c r="F41708" i="1"/>
  <c r="F41709" i="1"/>
  <c r="F41710" i="1"/>
  <c r="F41711" i="1"/>
  <c r="F41712" i="1"/>
  <c r="F41713" i="1"/>
  <c r="F41714" i="1"/>
  <c r="F41715" i="1"/>
  <c r="F41716" i="1"/>
  <c r="F41717" i="1"/>
  <c r="F41718" i="1"/>
  <c r="F41719" i="1"/>
  <c r="F41720" i="1"/>
  <c r="F41721" i="1"/>
  <c r="F41722" i="1"/>
  <c r="F41723" i="1"/>
  <c r="F41724" i="1"/>
  <c r="F41725" i="1"/>
  <c r="F41726" i="1"/>
  <c r="F41727" i="1"/>
  <c r="F41728" i="1"/>
  <c r="F41729" i="1"/>
  <c r="F41730" i="1"/>
  <c r="F41731" i="1"/>
  <c r="F41732" i="1"/>
  <c r="F41733" i="1"/>
  <c r="F41734" i="1"/>
  <c r="F41735" i="1"/>
  <c r="F41736" i="1"/>
  <c r="F41737" i="1"/>
  <c r="F41738" i="1"/>
  <c r="F41739" i="1"/>
  <c r="F41740" i="1"/>
  <c r="F41741" i="1"/>
  <c r="F41742" i="1"/>
  <c r="F41743" i="1"/>
  <c r="F41744" i="1"/>
  <c r="F41745" i="1"/>
  <c r="F41746" i="1"/>
  <c r="F41747" i="1"/>
  <c r="F41748" i="1"/>
  <c r="F41749" i="1"/>
  <c r="F41750" i="1"/>
  <c r="F41751" i="1"/>
  <c r="F41752" i="1"/>
  <c r="F41753" i="1"/>
  <c r="F41754" i="1"/>
  <c r="F41755" i="1"/>
  <c r="F41756" i="1"/>
  <c r="F41757" i="1"/>
  <c r="F41758" i="1"/>
  <c r="F41759" i="1"/>
  <c r="F41760" i="1"/>
  <c r="F41761" i="1"/>
  <c r="F41762" i="1"/>
  <c r="F41763" i="1"/>
  <c r="F41764" i="1"/>
  <c r="F41765" i="1"/>
  <c r="F41766" i="1"/>
  <c r="F41767" i="1"/>
  <c r="F41768" i="1"/>
  <c r="F41769" i="1"/>
  <c r="F41770" i="1"/>
  <c r="F41771" i="1"/>
  <c r="F41772" i="1"/>
  <c r="F41773" i="1"/>
  <c r="F41774" i="1"/>
  <c r="F41775" i="1"/>
  <c r="F41776" i="1"/>
  <c r="F41777" i="1"/>
  <c r="F41778" i="1"/>
  <c r="F41779" i="1"/>
  <c r="F41780" i="1"/>
  <c r="F41781" i="1"/>
  <c r="F41782" i="1"/>
  <c r="F41783" i="1"/>
  <c r="F41784" i="1"/>
  <c r="F41785" i="1"/>
  <c r="F41786" i="1"/>
  <c r="F41787" i="1"/>
  <c r="F41788" i="1"/>
  <c r="F41789" i="1"/>
  <c r="F41790" i="1"/>
  <c r="F41791" i="1"/>
  <c r="F41792" i="1"/>
  <c r="F41793" i="1"/>
  <c r="F41794" i="1"/>
  <c r="F41795" i="1"/>
  <c r="F41796" i="1"/>
  <c r="F41797" i="1"/>
  <c r="F41798" i="1"/>
  <c r="F41799" i="1"/>
  <c r="F41800" i="1"/>
  <c r="F41801" i="1"/>
  <c r="F41802" i="1"/>
  <c r="F41803" i="1"/>
  <c r="F41804" i="1"/>
  <c r="F41805" i="1"/>
  <c r="F41806" i="1"/>
  <c r="F41807" i="1"/>
  <c r="F41808" i="1"/>
  <c r="F41809" i="1"/>
  <c r="F41810" i="1"/>
  <c r="F41811" i="1"/>
  <c r="F41812" i="1"/>
  <c r="F41813" i="1"/>
  <c r="F41814" i="1"/>
  <c r="F41815" i="1"/>
  <c r="F41816" i="1"/>
  <c r="F41817" i="1"/>
  <c r="F41818" i="1"/>
  <c r="F41819" i="1"/>
  <c r="F41820" i="1"/>
  <c r="F41821" i="1"/>
  <c r="F41822" i="1"/>
  <c r="F41823" i="1"/>
  <c r="F41824" i="1"/>
  <c r="F41825" i="1"/>
  <c r="F41826" i="1"/>
  <c r="F41827" i="1"/>
  <c r="F41828" i="1"/>
  <c r="F41829" i="1"/>
  <c r="F41830" i="1"/>
  <c r="F41831" i="1"/>
  <c r="F41832" i="1"/>
  <c r="F41833" i="1"/>
  <c r="F41834" i="1"/>
  <c r="F41835" i="1"/>
  <c r="F41836" i="1"/>
  <c r="F41837" i="1"/>
  <c r="F41838" i="1"/>
  <c r="F41839" i="1"/>
  <c r="F41840" i="1"/>
  <c r="F41841" i="1"/>
  <c r="F41842" i="1"/>
  <c r="F41843" i="1"/>
  <c r="F41844" i="1"/>
  <c r="F41845" i="1"/>
  <c r="F41846" i="1"/>
  <c r="F41847" i="1"/>
  <c r="F41848" i="1"/>
  <c r="F41849" i="1"/>
  <c r="F41850" i="1"/>
  <c r="F41851" i="1"/>
  <c r="F41852" i="1"/>
  <c r="F41853" i="1"/>
  <c r="F41854" i="1"/>
  <c r="F41855" i="1"/>
  <c r="F41856" i="1"/>
  <c r="F41857" i="1"/>
  <c r="F41858" i="1"/>
  <c r="F41859" i="1"/>
  <c r="F41860" i="1"/>
  <c r="F41861" i="1"/>
  <c r="F41862" i="1"/>
  <c r="F41863" i="1"/>
  <c r="F41864" i="1"/>
  <c r="F41865" i="1"/>
  <c r="F41866" i="1"/>
  <c r="F41867" i="1"/>
  <c r="F41868" i="1"/>
  <c r="F41869" i="1"/>
  <c r="F41870" i="1"/>
  <c r="F41871" i="1"/>
  <c r="F41872" i="1"/>
  <c r="F41873" i="1"/>
  <c r="F41874" i="1"/>
  <c r="F41875" i="1"/>
  <c r="F41876" i="1"/>
  <c r="F41877" i="1"/>
  <c r="F41878" i="1"/>
  <c r="F41879" i="1"/>
  <c r="F41880" i="1"/>
  <c r="F41881" i="1"/>
  <c r="F41882" i="1"/>
  <c r="F41883" i="1"/>
  <c r="F41884" i="1"/>
  <c r="F41885" i="1"/>
  <c r="F41886" i="1"/>
  <c r="F41887" i="1"/>
  <c r="F41888" i="1"/>
  <c r="F41889" i="1"/>
  <c r="F41890" i="1"/>
  <c r="F41891" i="1"/>
  <c r="F41892" i="1"/>
  <c r="F41893" i="1"/>
  <c r="F41894" i="1"/>
  <c r="F41895" i="1"/>
  <c r="F41896" i="1"/>
  <c r="F41897" i="1"/>
  <c r="F41898" i="1"/>
  <c r="F41899" i="1"/>
  <c r="F41900" i="1"/>
  <c r="F41901" i="1"/>
  <c r="F41902" i="1"/>
  <c r="F41903" i="1"/>
  <c r="F41904" i="1"/>
  <c r="F41905" i="1"/>
  <c r="F41906" i="1"/>
  <c r="F41907" i="1"/>
  <c r="F41908" i="1"/>
  <c r="F41909" i="1"/>
  <c r="F41910" i="1"/>
  <c r="F41911" i="1"/>
  <c r="F41912" i="1"/>
  <c r="F41913" i="1"/>
  <c r="F41914" i="1"/>
  <c r="F41915" i="1"/>
  <c r="F41916" i="1"/>
  <c r="F41917" i="1"/>
  <c r="F41918" i="1"/>
  <c r="F41919" i="1"/>
  <c r="F41920" i="1"/>
  <c r="F41921" i="1"/>
  <c r="F41922" i="1"/>
  <c r="F41923" i="1"/>
  <c r="F41924" i="1"/>
  <c r="F41925" i="1"/>
  <c r="F41926" i="1"/>
  <c r="F41927" i="1"/>
  <c r="F41928" i="1"/>
  <c r="F41929" i="1"/>
  <c r="F41930" i="1"/>
  <c r="F41931" i="1"/>
  <c r="F41932" i="1"/>
  <c r="F41933" i="1"/>
  <c r="F41934" i="1"/>
  <c r="F41935" i="1"/>
  <c r="F41936" i="1"/>
  <c r="F41937" i="1"/>
  <c r="F41938" i="1"/>
  <c r="F41939" i="1"/>
  <c r="F41940" i="1"/>
  <c r="F41941" i="1"/>
  <c r="F41942" i="1"/>
  <c r="F41943" i="1"/>
  <c r="F41944" i="1"/>
  <c r="F41945" i="1"/>
  <c r="F41946" i="1"/>
  <c r="F41947" i="1"/>
  <c r="F41948" i="1"/>
  <c r="F41949" i="1"/>
  <c r="F41950" i="1"/>
  <c r="F41951" i="1"/>
  <c r="F41952" i="1"/>
  <c r="F41953" i="1"/>
  <c r="F41954" i="1"/>
  <c r="F41955" i="1"/>
  <c r="F41956" i="1"/>
  <c r="F41957" i="1"/>
  <c r="F41958" i="1"/>
  <c r="F41959" i="1"/>
  <c r="F41960" i="1"/>
  <c r="F41961" i="1"/>
  <c r="F41962" i="1"/>
  <c r="F41963" i="1"/>
  <c r="F41964" i="1"/>
  <c r="F41965" i="1"/>
  <c r="F41966" i="1"/>
  <c r="F41967" i="1"/>
  <c r="F41968" i="1"/>
  <c r="F41969" i="1"/>
  <c r="F41970" i="1"/>
  <c r="F41971" i="1"/>
  <c r="F41972" i="1"/>
  <c r="F41973" i="1"/>
  <c r="F41974" i="1"/>
  <c r="F41975" i="1"/>
  <c r="F41976" i="1"/>
  <c r="F41977" i="1"/>
  <c r="F41978" i="1"/>
  <c r="F41979" i="1"/>
  <c r="F41980" i="1"/>
  <c r="F41981" i="1"/>
  <c r="F41982" i="1"/>
  <c r="F41983" i="1"/>
  <c r="F41984" i="1"/>
  <c r="F41985" i="1"/>
  <c r="F41986" i="1"/>
  <c r="F41987" i="1"/>
  <c r="F41988" i="1"/>
  <c r="F41989" i="1"/>
  <c r="F41990" i="1"/>
  <c r="F41991" i="1"/>
  <c r="F41992" i="1"/>
  <c r="F41993" i="1"/>
  <c r="F41994" i="1"/>
  <c r="F41995" i="1"/>
  <c r="F41996" i="1"/>
  <c r="F41997" i="1"/>
  <c r="F41998" i="1"/>
  <c r="F41999" i="1"/>
  <c r="F42000" i="1"/>
  <c r="F42001" i="1"/>
  <c r="F42002" i="1"/>
  <c r="F42003" i="1"/>
  <c r="F42004" i="1"/>
  <c r="F42005" i="1"/>
  <c r="F42006" i="1"/>
  <c r="F42007" i="1"/>
  <c r="F42008" i="1"/>
  <c r="F42009" i="1"/>
  <c r="F42010" i="1"/>
  <c r="F42011" i="1"/>
  <c r="F42012" i="1"/>
  <c r="F42013" i="1"/>
  <c r="F42014" i="1"/>
  <c r="F42015" i="1"/>
  <c r="F42016" i="1"/>
  <c r="F42017" i="1"/>
  <c r="F42018" i="1"/>
  <c r="F42019" i="1"/>
  <c r="F42020" i="1"/>
  <c r="F42021" i="1"/>
  <c r="F42022" i="1"/>
  <c r="F42023" i="1"/>
  <c r="F42024" i="1"/>
  <c r="F42025" i="1"/>
  <c r="F42026" i="1"/>
  <c r="F42027" i="1"/>
  <c r="F42028" i="1"/>
  <c r="F42029" i="1"/>
  <c r="F42030" i="1"/>
  <c r="F42031" i="1"/>
  <c r="F42032" i="1"/>
  <c r="F42033" i="1"/>
  <c r="F42034" i="1"/>
  <c r="F42035" i="1"/>
  <c r="F42036" i="1"/>
  <c r="F42037" i="1"/>
  <c r="F42038" i="1"/>
  <c r="F42039" i="1"/>
  <c r="F42040" i="1"/>
  <c r="F42041" i="1"/>
  <c r="F42042" i="1"/>
  <c r="F42043" i="1"/>
  <c r="F42044" i="1"/>
  <c r="F42045" i="1"/>
  <c r="F42046" i="1"/>
  <c r="F42047" i="1"/>
  <c r="F42048" i="1"/>
  <c r="F42049" i="1"/>
  <c r="F42050" i="1"/>
  <c r="F42051" i="1"/>
  <c r="F42052" i="1"/>
  <c r="F42053" i="1"/>
  <c r="F42054" i="1"/>
  <c r="F42055" i="1"/>
  <c r="F42056" i="1"/>
  <c r="F42057" i="1"/>
  <c r="F42058" i="1"/>
  <c r="F42059" i="1"/>
  <c r="F42060" i="1"/>
  <c r="F42061" i="1"/>
  <c r="F42062" i="1"/>
  <c r="F42063" i="1"/>
  <c r="F42064" i="1"/>
  <c r="F42065" i="1"/>
  <c r="F42066" i="1"/>
  <c r="F42067" i="1"/>
  <c r="F42068" i="1"/>
  <c r="F42069" i="1"/>
  <c r="F42070" i="1"/>
  <c r="F42071" i="1"/>
  <c r="F42072" i="1"/>
  <c r="F42073" i="1"/>
  <c r="F42074" i="1"/>
  <c r="F42075" i="1"/>
  <c r="F42076" i="1"/>
  <c r="F42077" i="1"/>
  <c r="F42078" i="1"/>
  <c r="F42079" i="1"/>
  <c r="F42080" i="1"/>
  <c r="F42081" i="1"/>
  <c r="F42082" i="1"/>
  <c r="F42083" i="1"/>
  <c r="F42084" i="1"/>
  <c r="F42085" i="1"/>
  <c r="F42086" i="1"/>
  <c r="F42087" i="1"/>
  <c r="F42088" i="1"/>
  <c r="F42089" i="1"/>
  <c r="F42090" i="1"/>
  <c r="F42091" i="1"/>
  <c r="F42092" i="1"/>
  <c r="F42093" i="1"/>
  <c r="F42094" i="1"/>
  <c r="F42095" i="1"/>
  <c r="F42096" i="1"/>
  <c r="F42097" i="1"/>
  <c r="F42098" i="1"/>
  <c r="F42099" i="1"/>
  <c r="F42100" i="1"/>
  <c r="F42101" i="1"/>
  <c r="F42102" i="1"/>
  <c r="F42103" i="1"/>
  <c r="F42104" i="1"/>
  <c r="F42105" i="1"/>
  <c r="F42106" i="1"/>
  <c r="F42107" i="1"/>
  <c r="F42108" i="1"/>
  <c r="F42109" i="1"/>
  <c r="F42110" i="1"/>
  <c r="F42111" i="1"/>
  <c r="F42112" i="1"/>
  <c r="F42113" i="1"/>
  <c r="F42114" i="1"/>
  <c r="F42115" i="1"/>
  <c r="F42116" i="1"/>
  <c r="F42117" i="1"/>
  <c r="F42118" i="1"/>
  <c r="F42119" i="1"/>
  <c r="F42120" i="1"/>
  <c r="F42121" i="1"/>
  <c r="F42122" i="1"/>
  <c r="F42123" i="1"/>
  <c r="F42124" i="1"/>
  <c r="F42125" i="1"/>
  <c r="F42126" i="1"/>
  <c r="F42127" i="1"/>
  <c r="F42128" i="1"/>
  <c r="F42129" i="1"/>
  <c r="F42130" i="1"/>
  <c r="F42131" i="1"/>
  <c r="F42132" i="1"/>
  <c r="F42133" i="1"/>
  <c r="F42134" i="1"/>
  <c r="F42135" i="1"/>
  <c r="F42136" i="1"/>
  <c r="F42137" i="1"/>
  <c r="F42138" i="1"/>
  <c r="F42139" i="1"/>
  <c r="F42140" i="1"/>
  <c r="F42141" i="1"/>
  <c r="F42142" i="1"/>
  <c r="F42143" i="1"/>
  <c r="F42144" i="1"/>
  <c r="F42145" i="1"/>
  <c r="F42146" i="1"/>
  <c r="F42147" i="1"/>
  <c r="F42148" i="1"/>
  <c r="F42149" i="1"/>
  <c r="F42150" i="1"/>
  <c r="F42151" i="1"/>
  <c r="F42152" i="1"/>
  <c r="F42153" i="1"/>
  <c r="F42154" i="1"/>
  <c r="F42155" i="1"/>
  <c r="F42156" i="1"/>
  <c r="F42157" i="1"/>
  <c r="F42158" i="1"/>
  <c r="F42159" i="1"/>
  <c r="F42160" i="1"/>
  <c r="F42161" i="1"/>
  <c r="F42162" i="1"/>
  <c r="F42163" i="1"/>
  <c r="F42164" i="1"/>
  <c r="F42165" i="1"/>
  <c r="F42166" i="1"/>
  <c r="F42167" i="1"/>
  <c r="F42168" i="1"/>
  <c r="F42169" i="1"/>
  <c r="F42170" i="1"/>
  <c r="F42171" i="1"/>
  <c r="F42172" i="1"/>
  <c r="F42173" i="1"/>
  <c r="F42174" i="1"/>
  <c r="F42175" i="1"/>
  <c r="F42176" i="1"/>
  <c r="F42177" i="1"/>
  <c r="F42178" i="1"/>
  <c r="F42179" i="1"/>
  <c r="F42180" i="1"/>
  <c r="F42181" i="1"/>
  <c r="F42182" i="1"/>
  <c r="F42183" i="1"/>
  <c r="F42184" i="1"/>
  <c r="F42185" i="1"/>
  <c r="F42186" i="1"/>
  <c r="F42187" i="1"/>
  <c r="F42188" i="1"/>
  <c r="F42189" i="1"/>
  <c r="F42190" i="1"/>
  <c r="F42191" i="1"/>
  <c r="F42192" i="1"/>
  <c r="F42193" i="1"/>
  <c r="F42194" i="1"/>
  <c r="F42195" i="1"/>
  <c r="F42196" i="1"/>
  <c r="F42197" i="1"/>
  <c r="F42198" i="1"/>
  <c r="F42199" i="1"/>
  <c r="F42200" i="1"/>
  <c r="F42201" i="1"/>
  <c r="F42202" i="1"/>
  <c r="F42203" i="1"/>
  <c r="F42204" i="1"/>
  <c r="F42205" i="1"/>
  <c r="F42206" i="1"/>
  <c r="F42207" i="1"/>
  <c r="F42208" i="1"/>
  <c r="F42209" i="1"/>
  <c r="F42210" i="1"/>
  <c r="F42211" i="1"/>
  <c r="F42212" i="1"/>
  <c r="F42213" i="1"/>
  <c r="F42214" i="1"/>
  <c r="F42215" i="1"/>
  <c r="F42216" i="1"/>
  <c r="F42217" i="1"/>
  <c r="F42218" i="1"/>
  <c r="F42219" i="1"/>
  <c r="F42220" i="1"/>
  <c r="F42221" i="1"/>
  <c r="F42222" i="1"/>
  <c r="F42223" i="1"/>
  <c r="F42224" i="1"/>
  <c r="F42225" i="1"/>
  <c r="F42226" i="1"/>
  <c r="F42227" i="1"/>
  <c r="F42228" i="1"/>
  <c r="F42229" i="1"/>
  <c r="F42230" i="1"/>
  <c r="F42231" i="1"/>
  <c r="F42232" i="1"/>
  <c r="F42233" i="1"/>
  <c r="F42234" i="1"/>
  <c r="F42235" i="1"/>
  <c r="F42236" i="1"/>
  <c r="F42237" i="1"/>
  <c r="F42238" i="1"/>
  <c r="F42239" i="1"/>
  <c r="F42240" i="1"/>
  <c r="F42241" i="1"/>
  <c r="F42242" i="1"/>
  <c r="F42243" i="1"/>
  <c r="F42244" i="1"/>
  <c r="F42245" i="1"/>
  <c r="F42246" i="1"/>
  <c r="F42247" i="1"/>
  <c r="F42248" i="1"/>
  <c r="F42249" i="1"/>
  <c r="F42250" i="1"/>
  <c r="F42251" i="1"/>
  <c r="F42252" i="1"/>
  <c r="F42253" i="1"/>
  <c r="F42254" i="1"/>
  <c r="F42255" i="1"/>
  <c r="F42256" i="1"/>
  <c r="F42257" i="1"/>
  <c r="F42258" i="1"/>
  <c r="F42259" i="1"/>
  <c r="F42260" i="1"/>
  <c r="F42261" i="1"/>
  <c r="F42262" i="1"/>
  <c r="F42263" i="1"/>
  <c r="F42264" i="1"/>
  <c r="F42265" i="1"/>
  <c r="F42266" i="1"/>
  <c r="F42267" i="1"/>
  <c r="F42268" i="1"/>
  <c r="F42269" i="1"/>
  <c r="F42270" i="1"/>
  <c r="F42271" i="1"/>
  <c r="F42272" i="1"/>
  <c r="F42273" i="1"/>
  <c r="F42274" i="1"/>
  <c r="F42275" i="1"/>
  <c r="F42276" i="1"/>
  <c r="F42277" i="1"/>
  <c r="F42278" i="1"/>
  <c r="F42279" i="1"/>
  <c r="F42280" i="1"/>
  <c r="F42281" i="1"/>
  <c r="F42282" i="1"/>
  <c r="F42283" i="1"/>
  <c r="F42284" i="1"/>
  <c r="F42285" i="1"/>
  <c r="F42286" i="1"/>
  <c r="F42287" i="1"/>
  <c r="F42288" i="1"/>
  <c r="F42289" i="1"/>
  <c r="F42290" i="1"/>
  <c r="F42291" i="1"/>
  <c r="F42292" i="1"/>
  <c r="F42293" i="1"/>
  <c r="F42294" i="1"/>
  <c r="F42295" i="1"/>
  <c r="F42296" i="1"/>
  <c r="F42297" i="1"/>
  <c r="F42298" i="1"/>
  <c r="F42299" i="1"/>
  <c r="F42300" i="1"/>
  <c r="F42301" i="1"/>
  <c r="F42302" i="1"/>
  <c r="F42303" i="1"/>
  <c r="F42304" i="1"/>
  <c r="F42305" i="1"/>
  <c r="F42306" i="1"/>
  <c r="F42307" i="1"/>
  <c r="F42308" i="1"/>
  <c r="F42309" i="1"/>
  <c r="F42310" i="1"/>
  <c r="F42311" i="1"/>
  <c r="F42312" i="1"/>
  <c r="F42313" i="1"/>
  <c r="F42314" i="1"/>
  <c r="F42315" i="1"/>
  <c r="F42316" i="1"/>
  <c r="F42317" i="1"/>
  <c r="F42318" i="1"/>
  <c r="F42319" i="1"/>
  <c r="F42320" i="1"/>
  <c r="F42321" i="1"/>
  <c r="F42322" i="1"/>
  <c r="F42323" i="1"/>
  <c r="F42324" i="1"/>
  <c r="F42325" i="1"/>
  <c r="F42326" i="1"/>
  <c r="F42327" i="1"/>
  <c r="F42328" i="1"/>
  <c r="F42329" i="1"/>
  <c r="F42330" i="1"/>
  <c r="F42331" i="1"/>
  <c r="F42332" i="1"/>
  <c r="F42333" i="1"/>
  <c r="F42334" i="1"/>
  <c r="F42335" i="1"/>
  <c r="F42336" i="1"/>
  <c r="F42337" i="1"/>
  <c r="F42338" i="1"/>
  <c r="F42339" i="1"/>
  <c r="F42340" i="1"/>
  <c r="F42341" i="1"/>
  <c r="F42342" i="1"/>
  <c r="F42343" i="1"/>
  <c r="F42344" i="1"/>
  <c r="F42345" i="1"/>
  <c r="F42346" i="1"/>
  <c r="F42347" i="1"/>
  <c r="F42348" i="1"/>
  <c r="F42349" i="1"/>
  <c r="F42350" i="1"/>
  <c r="F42351" i="1"/>
  <c r="F42352" i="1"/>
  <c r="F42353" i="1"/>
  <c r="F42354" i="1"/>
  <c r="F42355" i="1"/>
  <c r="F42356" i="1"/>
  <c r="F42357" i="1"/>
  <c r="F42358" i="1"/>
  <c r="F42359" i="1"/>
  <c r="F42360" i="1"/>
  <c r="F42361" i="1"/>
  <c r="F42362" i="1"/>
  <c r="F42363" i="1"/>
  <c r="F42364" i="1"/>
  <c r="F42365" i="1"/>
  <c r="F42366" i="1"/>
  <c r="F42367" i="1"/>
  <c r="F42368" i="1"/>
  <c r="F42369" i="1"/>
  <c r="F42370" i="1"/>
  <c r="F42371" i="1"/>
  <c r="F42372" i="1"/>
  <c r="F42373" i="1"/>
  <c r="F42374" i="1"/>
  <c r="F42375" i="1"/>
  <c r="F42376" i="1"/>
  <c r="F42377" i="1"/>
  <c r="F42378" i="1"/>
  <c r="F42379" i="1"/>
  <c r="F42380" i="1"/>
  <c r="F42381" i="1"/>
  <c r="F42382" i="1"/>
  <c r="F42383" i="1"/>
  <c r="F42384" i="1"/>
  <c r="F42385" i="1"/>
  <c r="F42386" i="1"/>
  <c r="F42387" i="1"/>
  <c r="F42388" i="1"/>
  <c r="F42389" i="1"/>
  <c r="F42390" i="1"/>
  <c r="F42391" i="1"/>
  <c r="F42392" i="1"/>
  <c r="F42393" i="1"/>
  <c r="F42394" i="1"/>
  <c r="F42395" i="1"/>
  <c r="F42396" i="1"/>
  <c r="F42397" i="1"/>
  <c r="F42398" i="1"/>
  <c r="F42399" i="1"/>
  <c r="F42400" i="1"/>
  <c r="F42401" i="1"/>
  <c r="F42402" i="1"/>
  <c r="F42403" i="1"/>
  <c r="F42404" i="1"/>
  <c r="F42405" i="1"/>
  <c r="F42406" i="1"/>
  <c r="F42407" i="1"/>
  <c r="F42408" i="1"/>
  <c r="F42409" i="1"/>
  <c r="F42410" i="1"/>
  <c r="F42411" i="1"/>
  <c r="F42412" i="1"/>
  <c r="F42413" i="1"/>
  <c r="F42414" i="1"/>
  <c r="F42415" i="1"/>
  <c r="F42416" i="1"/>
  <c r="F42417" i="1"/>
  <c r="F42418" i="1"/>
  <c r="F42419" i="1"/>
  <c r="F42420" i="1"/>
  <c r="F42421" i="1"/>
  <c r="F42422" i="1"/>
  <c r="F42423" i="1"/>
  <c r="F42424" i="1"/>
  <c r="F42425" i="1"/>
  <c r="F42426" i="1"/>
  <c r="F42427" i="1"/>
  <c r="F42428" i="1"/>
  <c r="F42429" i="1"/>
  <c r="F42430" i="1"/>
  <c r="F42431" i="1"/>
  <c r="F42432" i="1"/>
  <c r="F42433" i="1"/>
  <c r="F42434" i="1"/>
  <c r="F42435" i="1"/>
  <c r="F42436" i="1"/>
  <c r="F42437" i="1"/>
  <c r="F42438" i="1"/>
  <c r="F42439" i="1"/>
  <c r="F42440" i="1"/>
  <c r="F42441" i="1"/>
  <c r="F42442" i="1"/>
  <c r="F42443" i="1"/>
  <c r="F42444" i="1"/>
  <c r="F42445" i="1"/>
  <c r="F42446" i="1"/>
  <c r="F42447" i="1"/>
  <c r="F42448" i="1"/>
  <c r="F42449" i="1"/>
  <c r="F42450" i="1"/>
  <c r="F42451" i="1"/>
  <c r="F42452" i="1"/>
  <c r="F42453" i="1"/>
  <c r="F42454" i="1"/>
  <c r="F42455" i="1"/>
  <c r="F42456" i="1"/>
  <c r="F42457" i="1"/>
  <c r="F42458" i="1"/>
  <c r="F42459" i="1"/>
  <c r="F42460" i="1"/>
  <c r="F42461" i="1"/>
  <c r="F42462" i="1"/>
  <c r="F42463" i="1"/>
  <c r="F42464" i="1"/>
  <c r="F42465" i="1"/>
  <c r="F42466" i="1"/>
  <c r="F42467" i="1"/>
  <c r="F42468" i="1"/>
  <c r="F42469" i="1"/>
  <c r="F42470" i="1"/>
  <c r="F42471" i="1"/>
  <c r="F42472" i="1"/>
  <c r="F42473" i="1"/>
  <c r="F42474" i="1"/>
  <c r="F42475" i="1"/>
  <c r="F42476" i="1"/>
  <c r="F42477" i="1"/>
  <c r="F42478" i="1"/>
  <c r="F42479" i="1"/>
  <c r="F42480" i="1"/>
  <c r="F42481" i="1"/>
  <c r="F42482" i="1"/>
  <c r="F42483" i="1"/>
  <c r="F42484" i="1"/>
  <c r="F42485" i="1"/>
  <c r="F42486" i="1"/>
  <c r="F42487" i="1"/>
  <c r="F42488" i="1"/>
  <c r="F42489" i="1"/>
  <c r="F42490" i="1"/>
  <c r="F42491" i="1"/>
  <c r="F42492" i="1"/>
  <c r="F42493" i="1"/>
  <c r="F42494" i="1"/>
  <c r="F42495" i="1"/>
  <c r="F42496" i="1"/>
  <c r="F42497" i="1"/>
  <c r="F42498" i="1"/>
  <c r="F42499" i="1"/>
  <c r="F42500" i="1"/>
  <c r="F42501" i="1"/>
  <c r="F42502" i="1"/>
  <c r="F42503" i="1"/>
  <c r="F42504" i="1"/>
  <c r="F42505" i="1"/>
  <c r="F42506" i="1"/>
  <c r="F42507" i="1"/>
  <c r="F42508" i="1"/>
  <c r="F42509" i="1"/>
  <c r="F42510" i="1"/>
  <c r="F42511" i="1"/>
  <c r="F42512" i="1"/>
  <c r="F42513" i="1"/>
  <c r="F42514" i="1"/>
  <c r="F42515" i="1"/>
  <c r="F42516" i="1"/>
  <c r="F42517" i="1"/>
  <c r="F42518" i="1"/>
  <c r="F42519" i="1"/>
  <c r="F42520" i="1"/>
  <c r="F42521" i="1"/>
  <c r="F42522" i="1"/>
  <c r="F42523" i="1"/>
  <c r="F42524" i="1"/>
  <c r="F42525" i="1"/>
  <c r="F42526" i="1"/>
  <c r="F42527" i="1"/>
  <c r="F42528" i="1"/>
  <c r="F42529" i="1"/>
  <c r="F42530" i="1"/>
  <c r="F42531" i="1"/>
  <c r="F42532" i="1"/>
  <c r="F42533" i="1"/>
  <c r="F42534" i="1"/>
  <c r="F42535" i="1"/>
  <c r="F42536" i="1"/>
  <c r="F42537" i="1"/>
  <c r="F42538" i="1"/>
  <c r="F42539" i="1"/>
  <c r="F42540" i="1"/>
  <c r="F42541" i="1"/>
  <c r="F42542" i="1"/>
  <c r="F42543" i="1"/>
  <c r="F42544" i="1"/>
  <c r="F42545" i="1"/>
  <c r="F42546" i="1"/>
  <c r="F42547" i="1"/>
  <c r="F42548" i="1"/>
  <c r="F42549" i="1"/>
  <c r="F42550" i="1"/>
  <c r="F42551" i="1"/>
  <c r="F42552" i="1"/>
  <c r="F42553" i="1"/>
  <c r="F42554" i="1"/>
  <c r="F42555" i="1"/>
  <c r="F42556" i="1"/>
  <c r="F42557" i="1"/>
  <c r="F42558" i="1"/>
  <c r="F42559" i="1"/>
  <c r="F42560" i="1"/>
  <c r="F42561" i="1"/>
  <c r="F42562" i="1"/>
  <c r="F42563" i="1"/>
  <c r="F42564" i="1"/>
  <c r="F42565" i="1"/>
  <c r="F42566" i="1"/>
  <c r="F42567" i="1"/>
  <c r="F42568" i="1"/>
  <c r="F42569" i="1"/>
  <c r="F42570" i="1"/>
  <c r="F42571" i="1"/>
  <c r="F42572" i="1"/>
  <c r="F42573" i="1"/>
  <c r="F42574" i="1"/>
  <c r="F42575" i="1"/>
  <c r="F42576" i="1"/>
  <c r="F42577" i="1"/>
  <c r="F42578" i="1"/>
  <c r="F42579" i="1"/>
  <c r="F42580" i="1"/>
  <c r="F42581" i="1"/>
  <c r="F42582" i="1"/>
  <c r="F42583" i="1"/>
  <c r="F42584" i="1"/>
  <c r="F42585" i="1"/>
  <c r="F42586" i="1"/>
  <c r="F42587" i="1"/>
  <c r="F42588" i="1"/>
  <c r="F42589" i="1"/>
  <c r="F42590" i="1"/>
  <c r="F42591" i="1"/>
  <c r="F42592" i="1"/>
  <c r="F42593" i="1"/>
  <c r="F42594" i="1"/>
  <c r="F42595" i="1"/>
  <c r="F42596" i="1"/>
  <c r="F42597" i="1"/>
  <c r="F42598" i="1"/>
  <c r="F42599" i="1"/>
  <c r="F42600" i="1"/>
  <c r="F42601" i="1"/>
  <c r="F42602" i="1"/>
  <c r="F42603" i="1"/>
  <c r="F42604" i="1"/>
  <c r="F42605" i="1"/>
  <c r="F42606" i="1"/>
  <c r="F42607" i="1"/>
  <c r="F42608" i="1"/>
  <c r="F42609" i="1"/>
  <c r="F42610" i="1"/>
  <c r="F42611" i="1"/>
  <c r="F42612" i="1"/>
  <c r="F42613" i="1"/>
  <c r="F42614" i="1"/>
  <c r="F42615" i="1"/>
  <c r="F42616" i="1"/>
  <c r="F42617" i="1"/>
  <c r="F42618" i="1"/>
  <c r="F42619" i="1"/>
  <c r="F42620" i="1"/>
  <c r="F42621" i="1"/>
  <c r="F42622" i="1"/>
  <c r="F42623" i="1"/>
  <c r="F42624" i="1"/>
  <c r="F42625" i="1"/>
  <c r="F42626" i="1"/>
  <c r="F42627" i="1"/>
  <c r="F42628" i="1"/>
  <c r="F42629" i="1"/>
  <c r="F42630" i="1"/>
  <c r="F42631" i="1"/>
  <c r="F42632" i="1"/>
  <c r="F42633" i="1"/>
  <c r="F42634" i="1"/>
  <c r="F42635" i="1"/>
  <c r="F42636" i="1"/>
  <c r="F42637" i="1"/>
  <c r="F42638" i="1"/>
  <c r="F42639" i="1"/>
  <c r="F42640" i="1"/>
  <c r="F42641" i="1"/>
  <c r="F42642" i="1"/>
  <c r="F42643" i="1"/>
  <c r="F42644" i="1"/>
  <c r="F42645" i="1"/>
  <c r="F42646" i="1"/>
  <c r="F42647" i="1"/>
  <c r="F42648" i="1"/>
  <c r="F42649" i="1"/>
  <c r="F42650" i="1"/>
  <c r="F42651" i="1"/>
  <c r="F42652" i="1"/>
  <c r="F42653" i="1"/>
  <c r="F42654" i="1"/>
  <c r="F42655" i="1"/>
  <c r="F42656" i="1"/>
  <c r="F42657" i="1"/>
  <c r="F42658" i="1"/>
  <c r="F42659" i="1"/>
  <c r="F42660" i="1"/>
  <c r="F42661" i="1"/>
  <c r="F42662" i="1"/>
  <c r="F42663" i="1"/>
  <c r="F42664" i="1"/>
  <c r="F42665" i="1"/>
  <c r="F42666" i="1"/>
  <c r="F42667" i="1"/>
  <c r="F42668" i="1"/>
  <c r="F42669" i="1"/>
  <c r="F42670" i="1"/>
  <c r="F42671" i="1"/>
  <c r="F42672" i="1"/>
  <c r="F42673" i="1"/>
  <c r="F42674" i="1"/>
  <c r="F42675" i="1"/>
  <c r="F42676" i="1"/>
  <c r="F42677" i="1"/>
  <c r="F42678" i="1"/>
  <c r="F42679" i="1"/>
  <c r="F42680" i="1"/>
  <c r="F42681" i="1"/>
  <c r="F42682" i="1"/>
  <c r="F42683" i="1"/>
  <c r="F42684" i="1"/>
  <c r="F42685" i="1"/>
  <c r="F42686" i="1"/>
  <c r="F42687" i="1"/>
  <c r="F42688" i="1"/>
  <c r="F42689" i="1"/>
  <c r="F42690" i="1"/>
  <c r="F42691" i="1"/>
  <c r="F42692" i="1"/>
  <c r="F42693" i="1"/>
  <c r="F42694" i="1"/>
  <c r="F42695" i="1"/>
  <c r="F42696" i="1"/>
  <c r="F42697" i="1"/>
  <c r="F42698" i="1"/>
  <c r="F42699" i="1"/>
  <c r="F42700" i="1"/>
  <c r="F42701" i="1"/>
  <c r="F42702" i="1"/>
  <c r="F42703" i="1"/>
  <c r="F42704" i="1"/>
  <c r="F42705" i="1"/>
  <c r="F42706" i="1"/>
  <c r="F42707" i="1"/>
  <c r="F42708" i="1"/>
  <c r="F42709" i="1"/>
  <c r="F42710" i="1"/>
  <c r="F42711" i="1"/>
  <c r="F42712" i="1"/>
  <c r="F42713" i="1"/>
  <c r="F42714" i="1"/>
  <c r="F42715" i="1"/>
  <c r="F42716" i="1"/>
  <c r="F42717" i="1"/>
  <c r="F42718" i="1"/>
  <c r="F42719" i="1"/>
  <c r="F42720" i="1"/>
  <c r="F42721" i="1"/>
  <c r="F42722" i="1"/>
  <c r="F42723" i="1"/>
  <c r="F42724" i="1"/>
  <c r="F42725" i="1"/>
  <c r="F42726" i="1"/>
  <c r="F42727" i="1"/>
  <c r="F42728" i="1"/>
  <c r="F42729" i="1"/>
  <c r="F42730" i="1"/>
  <c r="F42731" i="1"/>
  <c r="F42732" i="1"/>
  <c r="F42733" i="1"/>
  <c r="F42734" i="1"/>
  <c r="F42735" i="1"/>
  <c r="F42736" i="1"/>
  <c r="F42737" i="1"/>
  <c r="F42738" i="1"/>
  <c r="F42739" i="1"/>
  <c r="F42740" i="1"/>
  <c r="F42741" i="1"/>
  <c r="F42742" i="1"/>
  <c r="F42743" i="1"/>
  <c r="F42744" i="1"/>
  <c r="F42745" i="1"/>
  <c r="F42746" i="1"/>
  <c r="F42747" i="1"/>
  <c r="F42748" i="1"/>
  <c r="F42749" i="1"/>
  <c r="F42750" i="1"/>
  <c r="F42751" i="1"/>
  <c r="F42752" i="1"/>
  <c r="F42753" i="1"/>
  <c r="F42754" i="1"/>
  <c r="F42755" i="1"/>
  <c r="F42756" i="1"/>
  <c r="F42757" i="1"/>
  <c r="F42758" i="1"/>
  <c r="F42759" i="1"/>
  <c r="F42760" i="1"/>
  <c r="F42761" i="1"/>
  <c r="F42762" i="1"/>
  <c r="F42763" i="1"/>
  <c r="F42764" i="1"/>
  <c r="F42765" i="1"/>
  <c r="F42766" i="1"/>
  <c r="F42767" i="1"/>
  <c r="F42768" i="1"/>
  <c r="F42769" i="1"/>
  <c r="F42770" i="1"/>
  <c r="F42771" i="1"/>
  <c r="F42772" i="1"/>
  <c r="F42773" i="1"/>
  <c r="F42774" i="1"/>
  <c r="F42775" i="1"/>
  <c r="F42776" i="1"/>
  <c r="F42777" i="1"/>
  <c r="F42778" i="1"/>
  <c r="F42779" i="1"/>
  <c r="F42780" i="1"/>
  <c r="F42781" i="1"/>
  <c r="F42782" i="1"/>
  <c r="F42783" i="1"/>
  <c r="F42784" i="1"/>
  <c r="F42785" i="1"/>
  <c r="F42786" i="1"/>
  <c r="F42787" i="1"/>
  <c r="F42788" i="1"/>
  <c r="F42789" i="1"/>
  <c r="F42790" i="1"/>
  <c r="F42791" i="1"/>
  <c r="F42792" i="1"/>
  <c r="F42793" i="1"/>
  <c r="F42794" i="1"/>
  <c r="F42795" i="1"/>
  <c r="F42796" i="1"/>
  <c r="F42797" i="1"/>
  <c r="F42798" i="1"/>
  <c r="F42799" i="1"/>
  <c r="F42800" i="1"/>
  <c r="F42801" i="1"/>
  <c r="F42802" i="1"/>
  <c r="F42803" i="1"/>
  <c r="F42804" i="1"/>
  <c r="F42805" i="1"/>
  <c r="F42806" i="1"/>
  <c r="F42807" i="1"/>
  <c r="F42808" i="1"/>
  <c r="F42809" i="1"/>
  <c r="F42810" i="1"/>
  <c r="F42811" i="1"/>
  <c r="F42812" i="1"/>
  <c r="F42813" i="1"/>
  <c r="F42814" i="1"/>
  <c r="F42815" i="1"/>
  <c r="F42816" i="1"/>
  <c r="F42817" i="1"/>
  <c r="F42818" i="1"/>
  <c r="F42819" i="1"/>
  <c r="F42820" i="1"/>
  <c r="F42821" i="1"/>
  <c r="F42822" i="1"/>
  <c r="F42823" i="1"/>
  <c r="F42824" i="1"/>
  <c r="F42825" i="1"/>
  <c r="F42826" i="1"/>
  <c r="F42827" i="1"/>
  <c r="F42828" i="1"/>
  <c r="F42829" i="1"/>
  <c r="F42830" i="1"/>
  <c r="F42831" i="1"/>
  <c r="F42832" i="1"/>
  <c r="F42833" i="1"/>
  <c r="F42834" i="1"/>
  <c r="F42835" i="1"/>
  <c r="F42836" i="1"/>
  <c r="F42837" i="1"/>
  <c r="F42838" i="1"/>
  <c r="F42839" i="1"/>
  <c r="F42840" i="1"/>
  <c r="F42841" i="1"/>
  <c r="F42842" i="1"/>
  <c r="F42843" i="1"/>
  <c r="F42844" i="1"/>
  <c r="F42845" i="1"/>
  <c r="F42846" i="1"/>
  <c r="F42847" i="1"/>
  <c r="F42848" i="1"/>
  <c r="F42849" i="1"/>
  <c r="F42850" i="1"/>
  <c r="F42851" i="1"/>
  <c r="F42852" i="1"/>
  <c r="F42853" i="1"/>
  <c r="F42854" i="1"/>
  <c r="F42855" i="1"/>
  <c r="F42856" i="1"/>
  <c r="F42857" i="1"/>
  <c r="F42858" i="1"/>
  <c r="F42859" i="1"/>
  <c r="F42860" i="1"/>
  <c r="F42861" i="1"/>
  <c r="F42862" i="1"/>
  <c r="F42863" i="1"/>
  <c r="F42864" i="1"/>
  <c r="F42865" i="1"/>
  <c r="F42866" i="1"/>
  <c r="F42867" i="1"/>
  <c r="F42868" i="1"/>
  <c r="F42869" i="1"/>
  <c r="F42870" i="1"/>
  <c r="F42871" i="1"/>
  <c r="F42872" i="1"/>
  <c r="F42873" i="1"/>
  <c r="F42874" i="1"/>
  <c r="F42875" i="1"/>
  <c r="F42876" i="1"/>
  <c r="F42877" i="1"/>
  <c r="F42878" i="1"/>
  <c r="F42879" i="1"/>
  <c r="F42880" i="1"/>
  <c r="F42881" i="1"/>
  <c r="F42882" i="1"/>
  <c r="F42883" i="1"/>
  <c r="F42884" i="1"/>
  <c r="F42885" i="1"/>
  <c r="F42886" i="1"/>
  <c r="F42887" i="1"/>
  <c r="F42888" i="1"/>
  <c r="F42889" i="1"/>
  <c r="F42890" i="1"/>
  <c r="F42891" i="1"/>
  <c r="F42892" i="1"/>
  <c r="F42893" i="1"/>
  <c r="F42894" i="1"/>
  <c r="F42895" i="1"/>
  <c r="F42896" i="1"/>
  <c r="F42897" i="1"/>
  <c r="F42898" i="1"/>
  <c r="F42899" i="1"/>
  <c r="F42900" i="1"/>
  <c r="F42901" i="1"/>
  <c r="F42902" i="1"/>
  <c r="F42903" i="1"/>
  <c r="F42904" i="1"/>
  <c r="F42905" i="1"/>
  <c r="F42906" i="1"/>
  <c r="F42907" i="1"/>
  <c r="F42908" i="1"/>
  <c r="F42909" i="1"/>
  <c r="F42910" i="1"/>
  <c r="F42911" i="1"/>
  <c r="F42912" i="1"/>
  <c r="F42913" i="1"/>
  <c r="F42914" i="1"/>
  <c r="F42915" i="1"/>
  <c r="F42916" i="1"/>
  <c r="F42917" i="1"/>
  <c r="F42918" i="1"/>
  <c r="F42919" i="1"/>
  <c r="F42920" i="1"/>
  <c r="F42921" i="1"/>
  <c r="F42922" i="1"/>
  <c r="F42923" i="1"/>
  <c r="F42924" i="1"/>
  <c r="F42925" i="1"/>
  <c r="F42926" i="1"/>
  <c r="F42927" i="1"/>
  <c r="F42928" i="1"/>
  <c r="F42929" i="1"/>
  <c r="F42930" i="1"/>
  <c r="F42931" i="1"/>
  <c r="F42932" i="1"/>
  <c r="F42933" i="1"/>
  <c r="F42934" i="1"/>
  <c r="F42935" i="1"/>
  <c r="F42936" i="1"/>
  <c r="F42937" i="1"/>
  <c r="F42938" i="1"/>
  <c r="F42939" i="1"/>
  <c r="F42940" i="1"/>
  <c r="F42941" i="1"/>
  <c r="F42942" i="1"/>
  <c r="F42943" i="1"/>
  <c r="F42944" i="1"/>
  <c r="F42945" i="1"/>
  <c r="F42946" i="1"/>
  <c r="F42947" i="1"/>
  <c r="F42948" i="1"/>
  <c r="F42949" i="1"/>
  <c r="F42950" i="1"/>
  <c r="F42951" i="1"/>
  <c r="F42952" i="1"/>
  <c r="F42953" i="1"/>
  <c r="F42954" i="1"/>
  <c r="F42955" i="1"/>
  <c r="F42956" i="1"/>
  <c r="F42957" i="1"/>
  <c r="F42958" i="1"/>
  <c r="F42959" i="1"/>
  <c r="F42960" i="1"/>
  <c r="F42961" i="1"/>
  <c r="F42962" i="1"/>
  <c r="F42963" i="1"/>
  <c r="F42964" i="1"/>
  <c r="F42965" i="1"/>
  <c r="F42966" i="1"/>
  <c r="F42967" i="1"/>
  <c r="F42968" i="1"/>
  <c r="F42969" i="1"/>
  <c r="F42970" i="1"/>
  <c r="F42971" i="1"/>
  <c r="F42972" i="1"/>
  <c r="F42973" i="1"/>
  <c r="F42974" i="1"/>
  <c r="F42975" i="1"/>
  <c r="F42976" i="1"/>
  <c r="F42977" i="1"/>
  <c r="F42978" i="1"/>
  <c r="F42979" i="1"/>
  <c r="F42980" i="1"/>
  <c r="F42981" i="1"/>
  <c r="F42982" i="1"/>
  <c r="F42983" i="1"/>
  <c r="F42984" i="1"/>
  <c r="F42985" i="1"/>
  <c r="F42986" i="1"/>
  <c r="F42987" i="1"/>
  <c r="F42988" i="1"/>
  <c r="F42989" i="1"/>
  <c r="F42990" i="1"/>
  <c r="F42991" i="1"/>
  <c r="F42992" i="1"/>
  <c r="F42993" i="1"/>
  <c r="F42994" i="1"/>
  <c r="F42995" i="1"/>
  <c r="F42996" i="1"/>
  <c r="F42997" i="1"/>
  <c r="F42998" i="1"/>
  <c r="F42999" i="1"/>
  <c r="F43000" i="1"/>
  <c r="F43001" i="1"/>
  <c r="F43002" i="1"/>
  <c r="F43003" i="1"/>
  <c r="F43004" i="1"/>
  <c r="F43005" i="1"/>
  <c r="F43006" i="1"/>
  <c r="F43007" i="1"/>
  <c r="F43008" i="1"/>
  <c r="F43009" i="1"/>
  <c r="F43010" i="1"/>
  <c r="F43011" i="1"/>
  <c r="F43012" i="1"/>
  <c r="F43013" i="1"/>
  <c r="F43014" i="1"/>
  <c r="F43015" i="1"/>
  <c r="F43016" i="1"/>
  <c r="F43017" i="1"/>
  <c r="F43018" i="1"/>
  <c r="F43019" i="1"/>
  <c r="F43020" i="1"/>
  <c r="F43021" i="1"/>
  <c r="F43022" i="1"/>
  <c r="F43023" i="1"/>
  <c r="F43024" i="1"/>
  <c r="F43025" i="1"/>
  <c r="F43026" i="1"/>
  <c r="F43027" i="1"/>
  <c r="F43028" i="1"/>
  <c r="F43029" i="1"/>
  <c r="F43030" i="1"/>
  <c r="F43031" i="1"/>
  <c r="F43032" i="1"/>
  <c r="F43033" i="1"/>
  <c r="F43034" i="1"/>
  <c r="F43035" i="1"/>
  <c r="F43036" i="1"/>
  <c r="F43037" i="1"/>
  <c r="F43038" i="1"/>
  <c r="F43039" i="1"/>
  <c r="F43040" i="1"/>
  <c r="F43041" i="1"/>
  <c r="F43042" i="1"/>
  <c r="F43043" i="1"/>
  <c r="F43044" i="1"/>
  <c r="F43045" i="1"/>
  <c r="F43046" i="1"/>
  <c r="F43047" i="1"/>
  <c r="F43048" i="1"/>
  <c r="F43049" i="1"/>
  <c r="F43050" i="1"/>
  <c r="F43051" i="1"/>
  <c r="F43052" i="1"/>
  <c r="F43053" i="1"/>
  <c r="F43054" i="1"/>
  <c r="F43055" i="1"/>
  <c r="F43056" i="1"/>
  <c r="F43057" i="1"/>
  <c r="F43058" i="1"/>
  <c r="F43059" i="1"/>
  <c r="F43060" i="1"/>
  <c r="F43061" i="1"/>
  <c r="F43062" i="1"/>
  <c r="F43063" i="1"/>
  <c r="F43064" i="1"/>
  <c r="F43065" i="1"/>
  <c r="F43066" i="1"/>
  <c r="F43067" i="1"/>
  <c r="F43068" i="1"/>
  <c r="F43069" i="1"/>
  <c r="F43070" i="1"/>
  <c r="F43071" i="1"/>
  <c r="F43072" i="1"/>
  <c r="F43073" i="1"/>
  <c r="F43074" i="1"/>
  <c r="F43075" i="1"/>
  <c r="F43076" i="1"/>
  <c r="F43077" i="1"/>
  <c r="F43078" i="1"/>
  <c r="F43079" i="1"/>
  <c r="F43080" i="1"/>
  <c r="F43081" i="1"/>
  <c r="F43082" i="1"/>
  <c r="F43083" i="1"/>
  <c r="F43084" i="1"/>
  <c r="F43085" i="1"/>
  <c r="F43086" i="1"/>
  <c r="F43087" i="1"/>
  <c r="F43088" i="1"/>
  <c r="F43089" i="1"/>
  <c r="F43090" i="1"/>
  <c r="F43091" i="1"/>
  <c r="F43092" i="1"/>
  <c r="F43093" i="1"/>
  <c r="F43094" i="1"/>
  <c r="F43095" i="1"/>
  <c r="F43096" i="1"/>
  <c r="F43097" i="1"/>
  <c r="F43098" i="1"/>
  <c r="F43099" i="1"/>
  <c r="F43100" i="1"/>
  <c r="F43101" i="1"/>
  <c r="F43102" i="1"/>
  <c r="F43103" i="1"/>
  <c r="F43104" i="1"/>
  <c r="F43105" i="1"/>
  <c r="F43106" i="1"/>
  <c r="F43107" i="1"/>
  <c r="F43108" i="1"/>
  <c r="F43109" i="1"/>
  <c r="F43110" i="1"/>
  <c r="F43111" i="1"/>
  <c r="F43112" i="1"/>
  <c r="F43113" i="1"/>
  <c r="F43114" i="1"/>
  <c r="F43115" i="1"/>
  <c r="F43116" i="1"/>
  <c r="F43117" i="1"/>
  <c r="F43118" i="1"/>
  <c r="F43119" i="1"/>
  <c r="F43120" i="1"/>
  <c r="F43121" i="1"/>
  <c r="F43122" i="1"/>
  <c r="F43123" i="1"/>
  <c r="F43124" i="1"/>
  <c r="F43125" i="1"/>
  <c r="F43126" i="1"/>
  <c r="F43127" i="1"/>
  <c r="F43128" i="1"/>
  <c r="F43129" i="1"/>
  <c r="F43130" i="1"/>
  <c r="F43131" i="1"/>
  <c r="F43132" i="1"/>
  <c r="F43133" i="1"/>
  <c r="F43134" i="1"/>
  <c r="F43135" i="1"/>
  <c r="F43136" i="1"/>
  <c r="F43137" i="1"/>
  <c r="F43138" i="1"/>
  <c r="F43139" i="1"/>
  <c r="F43140" i="1"/>
  <c r="F43141" i="1"/>
  <c r="F43142" i="1"/>
  <c r="F43143" i="1"/>
  <c r="F43144" i="1"/>
  <c r="F43145" i="1"/>
  <c r="F43146" i="1"/>
  <c r="F43147" i="1"/>
  <c r="F43148" i="1"/>
  <c r="F43149" i="1"/>
  <c r="F43150" i="1"/>
  <c r="F43151" i="1"/>
  <c r="F43152" i="1"/>
  <c r="F43153" i="1"/>
  <c r="F43154" i="1"/>
  <c r="F43155" i="1"/>
  <c r="F43156" i="1"/>
  <c r="F43157" i="1"/>
  <c r="F43158" i="1"/>
  <c r="F43159" i="1"/>
  <c r="F43160" i="1"/>
  <c r="F43161" i="1"/>
  <c r="F43162" i="1"/>
  <c r="F43163" i="1"/>
  <c r="F43164" i="1"/>
  <c r="F43165" i="1"/>
  <c r="F43166" i="1"/>
  <c r="F43167" i="1"/>
  <c r="F43168" i="1"/>
  <c r="F43169" i="1"/>
  <c r="F43170" i="1"/>
  <c r="F43171" i="1"/>
  <c r="F43172" i="1"/>
  <c r="F43173" i="1"/>
  <c r="F43174" i="1"/>
  <c r="F43175" i="1"/>
  <c r="F43176" i="1"/>
  <c r="F43177" i="1"/>
  <c r="F43178" i="1"/>
  <c r="F43179" i="1"/>
  <c r="F43180" i="1"/>
  <c r="F43181" i="1"/>
  <c r="F43182" i="1"/>
  <c r="F43183" i="1"/>
  <c r="F43184" i="1"/>
  <c r="F43185" i="1"/>
  <c r="F43186" i="1"/>
  <c r="F43187" i="1"/>
  <c r="F43188" i="1"/>
  <c r="F43189" i="1"/>
  <c r="F43190" i="1"/>
  <c r="F43191" i="1"/>
  <c r="F43192" i="1"/>
  <c r="F43193" i="1"/>
  <c r="F43194" i="1"/>
  <c r="F43195" i="1"/>
  <c r="F43196" i="1"/>
  <c r="F43197" i="1"/>
  <c r="F43198" i="1"/>
  <c r="F43199" i="1"/>
  <c r="F43200" i="1"/>
  <c r="F43201" i="1"/>
  <c r="F43202" i="1"/>
  <c r="F43203" i="1"/>
  <c r="F43204" i="1"/>
  <c r="F43205" i="1"/>
  <c r="F43206" i="1"/>
  <c r="F43207" i="1"/>
  <c r="F43208" i="1"/>
  <c r="F43209" i="1"/>
  <c r="F43210" i="1"/>
  <c r="F43211" i="1"/>
  <c r="F43212" i="1"/>
  <c r="F43213" i="1"/>
  <c r="F43214" i="1"/>
  <c r="F43215" i="1"/>
  <c r="F43216" i="1"/>
  <c r="F43217" i="1"/>
  <c r="F43218" i="1"/>
  <c r="F43219" i="1"/>
  <c r="F43220" i="1"/>
  <c r="F43221" i="1"/>
  <c r="F43222" i="1"/>
  <c r="F43223" i="1"/>
  <c r="F43224" i="1"/>
  <c r="F43225" i="1"/>
  <c r="F43226" i="1"/>
  <c r="F43227" i="1"/>
  <c r="F43228" i="1"/>
  <c r="F43229" i="1"/>
  <c r="F43230" i="1"/>
  <c r="F43231" i="1"/>
  <c r="F43232" i="1"/>
  <c r="F43233" i="1"/>
  <c r="F43234" i="1"/>
  <c r="F43235" i="1"/>
  <c r="F43236" i="1"/>
  <c r="F43237" i="1"/>
  <c r="F43238" i="1"/>
  <c r="F43239" i="1"/>
  <c r="F43240" i="1"/>
  <c r="F43241" i="1"/>
  <c r="F43242" i="1"/>
  <c r="F43243" i="1"/>
  <c r="F43244" i="1"/>
  <c r="F43245" i="1"/>
  <c r="F43246" i="1"/>
  <c r="F43247" i="1"/>
  <c r="F43248" i="1"/>
  <c r="F43249" i="1"/>
  <c r="F43250" i="1"/>
  <c r="F43251" i="1"/>
  <c r="F43252" i="1"/>
  <c r="F43253" i="1"/>
  <c r="F43254" i="1"/>
  <c r="F43255" i="1"/>
  <c r="F43256" i="1"/>
  <c r="F43257" i="1"/>
  <c r="F43258" i="1"/>
  <c r="F43259" i="1"/>
  <c r="F43260" i="1"/>
  <c r="F43261" i="1"/>
  <c r="F43262" i="1"/>
  <c r="F43263" i="1"/>
  <c r="F43264" i="1"/>
  <c r="F43265" i="1"/>
  <c r="F43266" i="1"/>
  <c r="F43267" i="1"/>
  <c r="F43268" i="1"/>
  <c r="F43269" i="1"/>
  <c r="F43270" i="1"/>
  <c r="F43271" i="1"/>
  <c r="F43272" i="1"/>
  <c r="F43273" i="1"/>
  <c r="F43274" i="1"/>
  <c r="F43275" i="1"/>
  <c r="F43276" i="1"/>
  <c r="F43277" i="1"/>
  <c r="F43278" i="1"/>
  <c r="F43279" i="1"/>
  <c r="F43280" i="1"/>
  <c r="F43281" i="1"/>
  <c r="F43282" i="1"/>
  <c r="F43283" i="1"/>
  <c r="F43284" i="1"/>
  <c r="F43285" i="1"/>
  <c r="F43286" i="1"/>
  <c r="F43287" i="1"/>
  <c r="F43288" i="1"/>
  <c r="F43289" i="1"/>
  <c r="F43290" i="1"/>
  <c r="F43291" i="1"/>
  <c r="F43292" i="1"/>
  <c r="F43293" i="1"/>
  <c r="F43294" i="1"/>
  <c r="F43295" i="1"/>
  <c r="F43296" i="1"/>
  <c r="F43297" i="1"/>
  <c r="F43298" i="1"/>
  <c r="F43299" i="1"/>
  <c r="F43300" i="1"/>
  <c r="F43301" i="1"/>
  <c r="F43302" i="1"/>
  <c r="F43303" i="1"/>
  <c r="F43304" i="1"/>
  <c r="F43305" i="1"/>
  <c r="F43306" i="1"/>
  <c r="F43307" i="1"/>
  <c r="F43308" i="1"/>
  <c r="F43309" i="1"/>
  <c r="F43310" i="1"/>
  <c r="F43311" i="1"/>
  <c r="F43312" i="1"/>
  <c r="F43313" i="1"/>
  <c r="F43314" i="1"/>
  <c r="F43315" i="1"/>
  <c r="F43316" i="1"/>
  <c r="F43317" i="1"/>
  <c r="F43318" i="1"/>
  <c r="F43319" i="1"/>
  <c r="F43320" i="1"/>
  <c r="F43321" i="1"/>
  <c r="F43322" i="1"/>
  <c r="F43323" i="1"/>
  <c r="F43324" i="1"/>
  <c r="F43325" i="1"/>
  <c r="F43326" i="1"/>
  <c r="F43327" i="1"/>
  <c r="F43328" i="1"/>
  <c r="F43329" i="1"/>
  <c r="F43330" i="1"/>
  <c r="F43331" i="1"/>
  <c r="F43332" i="1"/>
  <c r="F43333" i="1"/>
  <c r="F43334" i="1"/>
  <c r="F43335" i="1"/>
  <c r="F43336" i="1"/>
  <c r="F43337" i="1"/>
  <c r="F43338" i="1"/>
  <c r="F43339" i="1"/>
  <c r="F43340" i="1"/>
  <c r="F43341" i="1"/>
  <c r="F43342" i="1"/>
  <c r="F43343" i="1"/>
  <c r="F43344" i="1"/>
  <c r="F43345" i="1"/>
  <c r="F43346" i="1"/>
  <c r="F43347" i="1"/>
  <c r="F43348" i="1"/>
  <c r="F43349" i="1"/>
  <c r="F43350" i="1"/>
  <c r="F43351" i="1"/>
  <c r="F43352" i="1"/>
  <c r="F43353" i="1"/>
  <c r="F43354" i="1"/>
  <c r="F43355" i="1"/>
  <c r="F43356" i="1"/>
  <c r="F43357" i="1"/>
  <c r="F43358" i="1"/>
  <c r="F43359" i="1"/>
  <c r="F43360" i="1"/>
  <c r="F43361" i="1"/>
  <c r="F43362" i="1"/>
  <c r="F43363" i="1"/>
  <c r="F43364" i="1"/>
  <c r="F43365" i="1"/>
  <c r="F43366" i="1"/>
  <c r="F43367" i="1"/>
  <c r="F43368" i="1"/>
  <c r="F43369" i="1"/>
  <c r="F43370" i="1"/>
  <c r="F43371" i="1"/>
  <c r="F43372" i="1"/>
  <c r="F43373" i="1"/>
  <c r="F43374" i="1"/>
  <c r="F43375" i="1"/>
  <c r="F43376" i="1"/>
  <c r="F43377" i="1"/>
  <c r="F43378" i="1"/>
  <c r="F43379" i="1"/>
  <c r="F43380" i="1"/>
  <c r="F43381" i="1"/>
  <c r="F43382" i="1"/>
  <c r="F43383" i="1"/>
  <c r="F43384" i="1"/>
  <c r="F43385" i="1"/>
  <c r="F43386" i="1"/>
  <c r="F43387" i="1"/>
  <c r="F43388" i="1"/>
  <c r="F43389" i="1"/>
  <c r="F43390" i="1"/>
  <c r="F43391" i="1"/>
  <c r="F43392" i="1"/>
  <c r="F43393" i="1"/>
  <c r="F43394" i="1"/>
  <c r="F43395" i="1"/>
  <c r="F43396" i="1"/>
  <c r="F43397" i="1"/>
  <c r="F43398" i="1"/>
  <c r="F43399" i="1"/>
  <c r="F43400" i="1"/>
  <c r="F43401" i="1"/>
  <c r="F43402" i="1"/>
  <c r="F43403" i="1"/>
  <c r="F43404" i="1"/>
  <c r="F43405" i="1"/>
  <c r="F43406" i="1"/>
  <c r="F43407" i="1"/>
  <c r="F43408" i="1"/>
  <c r="F43409" i="1"/>
  <c r="F43410" i="1"/>
  <c r="F43411" i="1"/>
  <c r="F43412" i="1"/>
  <c r="F43413" i="1"/>
  <c r="F43414" i="1"/>
  <c r="F43415" i="1"/>
  <c r="F43416" i="1"/>
  <c r="F43417" i="1"/>
  <c r="F43418" i="1"/>
  <c r="F43419" i="1"/>
  <c r="F43420" i="1"/>
  <c r="F43421" i="1"/>
  <c r="F43422" i="1"/>
  <c r="F43423" i="1"/>
  <c r="F43424" i="1"/>
  <c r="F43425" i="1"/>
  <c r="F43426" i="1"/>
  <c r="F43427" i="1"/>
  <c r="F43428" i="1"/>
  <c r="F43429" i="1"/>
  <c r="F43430" i="1"/>
  <c r="F43431" i="1"/>
  <c r="F43432" i="1"/>
  <c r="F43433" i="1"/>
  <c r="F43434" i="1"/>
  <c r="F43435" i="1"/>
  <c r="F43436" i="1"/>
  <c r="F43437" i="1"/>
  <c r="F43438" i="1"/>
  <c r="F43439" i="1"/>
  <c r="F43440" i="1"/>
  <c r="F43441" i="1"/>
  <c r="F43442" i="1"/>
  <c r="F43443" i="1"/>
  <c r="F43444" i="1"/>
  <c r="F43445" i="1"/>
  <c r="F43446" i="1"/>
  <c r="F43447" i="1"/>
  <c r="F43448" i="1"/>
  <c r="F43449" i="1"/>
  <c r="F43450" i="1"/>
  <c r="F43451" i="1"/>
  <c r="F43452" i="1"/>
  <c r="F43453" i="1"/>
  <c r="F43454" i="1"/>
  <c r="F43455" i="1"/>
  <c r="F43456" i="1"/>
  <c r="F43457" i="1"/>
  <c r="F43458" i="1"/>
  <c r="F43459" i="1"/>
  <c r="F43460" i="1"/>
  <c r="F43461" i="1"/>
  <c r="F43462" i="1"/>
  <c r="F43463" i="1"/>
  <c r="F43464" i="1"/>
  <c r="F43465" i="1"/>
  <c r="F43466" i="1"/>
  <c r="F43467" i="1"/>
  <c r="F43468" i="1"/>
  <c r="F43469" i="1"/>
  <c r="F43470" i="1"/>
  <c r="F43471" i="1"/>
  <c r="F43472" i="1"/>
  <c r="F43473" i="1"/>
  <c r="F43474" i="1"/>
  <c r="F43475" i="1"/>
  <c r="F43476" i="1"/>
  <c r="F43477" i="1"/>
  <c r="F43478" i="1"/>
  <c r="F43479" i="1"/>
  <c r="F43480" i="1"/>
  <c r="F43481" i="1"/>
  <c r="F43482" i="1"/>
  <c r="F43483" i="1"/>
  <c r="F43484" i="1"/>
  <c r="F43485" i="1"/>
  <c r="F43486" i="1"/>
  <c r="F43487" i="1"/>
  <c r="F43488" i="1"/>
  <c r="F43489" i="1"/>
  <c r="F43490" i="1"/>
  <c r="F43491" i="1"/>
  <c r="F43492" i="1"/>
  <c r="F43493" i="1"/>
  <c r="F43494" i="1"/>
  <c r="F43495" i="1"/>
  <c r="F43496" i="1"/>
  <c r="F43497" i="1"/>
  <c r="F43498" i="1"/>
  <c r="F43499" i="1"/>
  <c r="F43500" i="1"/>
  <c r="F43501" i="1"/>
  <c r="F43502" i="1"/>
  <c r="F43503" i="1"/>
  <c r="F43504" i="1"/>
  <c r="F43505" i="1"/>
  <c r="F43506" i="1"/>
  <c r="F43507" i="1"/>
  <c r="F43508" i="1"/>
  <c r="F43509" i="1"/>
  <c r="F43510" i="1"/>
  <c r="F43511" i="1"/>
  <c r="F43512" i="1"/>
  <c r="F43513" i="1"/>
  <c r="F43514" i="1"/>
  <c r="F43515" i="1"/>
  <c r="F43516" i="1"/>
  <c r="F43517" i="1"/>
  <c r="F43518" i="1"/>
  <c r="F43519" i="1"/>
  <c r="F43520" i="1"/>
  <c r="F43521" i="1"/>
  <c r="F43522" i="1"/>
  <c r="F43523" i="1"/>
  <c r="F43524" i="1"/>
  <c r="F43525" i="1"/>
  <c r="F43526" i="1"/>
  <c r="F43527" i="1"/>
  <c r="F43528" i="1"/>
  <c r="F43529" i="1"/>
  <c r="F43530" i="1"/>
  <c r="F43531" i="1"/>
  <c r="F43532" i="1"/>
  <c r="F43533" i="1"/>
  <c r="F43534" i="1"/>
  <c r="F43535" i="1"/>
  <c r="F43536" i="1"/>
  <c r="F43537" i="1"/>
  <c r="F43538" i="1"/>
  <c r="F43539" i="1"/>
  <c r="F43540" i="1"/>
  <c r="F43541" i="1"/>
  <c r="F43542" i="1"/>
  <c r="F43543" i="1"/>
  <c r="F43544" i="1"/>
  <c r="F43545" i="1"/>
  <c r="F43546" i="1"/>
  <c r="F43547" i="1"/>
  <c r="F43548" i="1"/>
  <c r="F43549" i="1"/>
  <c r="F43550" i="1"/>
  <c r="F43551" i="1"/>
  <c r="F43552" i="1"/>
  <c r="F43553" i="1"/>
  <c r="F43554" i="1"/>
  <c r="F43555" i="1"/>
  <c r="F43556" i="1"/>
  <c r="F43557" i="1"/>
  <c r="F43558" i="1"/>
  <c r="F43559" i="1"/>
  <c r="F43560" i="1"/>
  <c r="F43561" i="1"/>
  <c r="F43562" i="1"/>
  <c r="F43563" i="1"/>
  <c r="F43564" i="1"/>
  <c r="F43565" i="1"/>
  <c r="F43566" i="1"/>
  <c r="F43567" i="1"/>
  <c r="F43568" i="1"/>
  <c r="F43569" i="1"/>
  <c r="F43570" i="1"/>
  <c r="F43571" i="1"/>
  <c r="F43572" i="1"/>
  <c r="F43573" i="1"/>
  <c r="F43574" i="1"/>
  <c r="F43575" i="1"/>
  <c r="F43576" i="1"/>
  <c r="F43577" i="1"/>
  <c r="F43578" i="1"/>
  <c r="F43579" i="1"/>
  <c r="F43580" i="1"/>
  <c r="F43581" i="1"/>
  <c r="F43582" i="1"/>
  <c r="F43583" i="1"/>
  <c r="F43584" i="1"/>
  <c r="F43585" i="1"/>
  <c r="F43586" i="1"/>
  <c r="F43587" i="1"/>
  <c r="F43588" i="1"/>
  <c r="F43589" i="1"/>
  <c r="F43590" i="1"/>
  <c r="F43591" i="1"/>
  <c r="F43592" i="1"/>
  <c r="F43593" i="1"/>
  <c r="F43594" i="1"/>
  <c r="F43595" i="1"/>
  <c r="F43596" i="1"/>
  <c r="F43597" i="1"/>
  <c r="F43598" i="1"/>
  <c r="F43599" i="1"/>
  <c r="F43600" i="1"/>
  <c r="F43601" i="1"/>
  <c r="F43602" i="1"/>
  <c r="F43603" i="1"/>
  <c r="F43604" i="1"/>
  <c r="F43605" i="1"/>
  <c r="F43606" i="1"/>
  <c r="F43607" i="1"/>
  <c r="F43608" i="1"/>
  <c r="F43609" i="1"/>
  <c r="F43610" i="1"/>
  <c r="F43611" i="1"/>
  <c r="F43612" i="1"/>
  <c r="F43613" i="1"/>
  <c r="F43614" i="1"/>
  <c r="F43615" i="1"/>
  <c r="F43616" i="1"/>
  <c r="F43617" i="1"/>
  <c r="F43618" i="1"/>
  <c r="F43619" i="1"/>
  <c r="F43620" i="1"/>
  <c r="F43621" i="1"/>
  <c r="F43622" i="1"/>
  <c r="F43623" i="1"/>
  <c r="F43624" i="1"/>
  <c r="F43625" i="1"/>
  <c r="F43626" i="1"/>
  <c r="F43627" i="1"/>
  <c r="F43628" i="1"/>
  <c r="F43629" i="1"/>
  <c r="F43630" i="1"/>
  <c r="F43631" i="1"/>
  <c r="F43632" i="1"/>
  <c r="F43633" i="1"/>
  <c r="F43634" i="1"/>
  <c r="F43635" i="1"/>
  <c r="F43636" i="1"/>
  <c r="F43637" i="1"/>
  <c r="F43638" i="1"/>
  <c r="F43639" i="1"/>
  <c r="F43640" i="1"/>
  <c r="F43641" i="1"/>
  <c r="F43642" i="1"/>
  <c r="F43643" i="1"/>
  <c r="F43644" i="1"/>
  <c r="F43645" i="1"/>
  <c r="F43646" i="1"/>
  <c r="F43647" i="1"/>
  <c r="F43648" i="1"/>
  <c r="F43649" i="1"/>
  <c r="F43650" i="1"/>
  <c r="F43651" i="1"/>
  <c r="F43652" i="1"/>
  <c r="F43653" i="1"/>
  <c r="F43654" i="1"/>
  <c r="F43655" i="1"/>
  <c r="F43656" i="1"/>
  <c r="F43657" i="1"/>
  <c r="F43658" i="1"/>
  <c r="F43659" i="1"/>
  <c r="F43660" i="1"/>
  <c r="F43661" i="1"/>
  <c r="F43662" i="1"/>
  <c r="F43663" i="1"/>
  <c r="F43664" i="1"/>
  <c r="F43665" i="1"/>
  <c r="F43666" i="1"/>
  <c r="F43667" i="1"/>
  <c r="F43668" i="1"/>
  <c r="F43669" i="1"/>
  <c r="F43670" i="1"/>
  <c r="F43671" i="1"/>
  <c r="F43672" i="1"/>
  <c r="F43673" i="1"/>
  <c r="F43674" i="1"/>
  <c r="F43675" i="1"/>
  <c r="F43676" i="1"/>
  <c r="F43677" i="1"/>
  <c r="F43678" i="1"/>
  <c r="F43679" i="1"/>
  <c r="F43680" i="1"/>
  <c r="F43681" i="1"/>
  <c r="F43682" i="1"/>
  <c r="F43683" i="1"/>
  <c r="F43684" i="1"/>
  <c r="F43685" i="1"/>
  <c r="F43686" i="1"/>
  <c r="F43687" i="1"/>
  <c r="F43688" i="1"/>
  <c r="F43689" i="1"/>
  <c r="F43690" i="1"/>
  <c r="F43691" i="1"/>
  <c r="F43692" i="1"/>
  <c r="F43693" i="1"/>
  <c r="F43694" i="1"/>
  <c r="F43695" i="1"/>
  <c r="F43696" i="1"/>
  <c r="F43697" i="1"/>
  <c r="F43698" i="1"/>
  <c r="F43699" i="1"/>
  <c r="F43700" i="1"/>
  <c r="F43701" i="1"/>
  <c r="F43702" i="1"/>
  <c r="F43703" i="1"/>
  <c r="F43704" i="1"/>
  <c r="F43705" i="1"/>
  <c r="F43706" i="1"/>
  <c r="F43707" i="1"/>
  <c r="F43708" i="1"/>
  <c r="F43709" i="1"/>
  <c r="F43710" i="1"/>
  <c r="F43711" i="1"/>
  <c r="F43712" i="1"/>
  <c r="F43713" i="1"/>
  <c r="F43714" i="1"/>
  <c r="F43715" i="1"/>
  <c r="F43716" i="1"/>
  <c r="F43717" i="1"/>
  <c r="F43718" i="1"/>
  <c r="F43719" i="1"/>
  <c r="F43720" i="1"/>
  <c r="F43721" i="1"/>
  <c r="F43722" i="1"/>
  <c r="F43723" i="1"/>
  <c r="F43724" i="1"/>
  <c r="F43725" i="1"/>
  <c r="F43726" i="1"/>
  <c r="F43727" i="1"/>
  <c r="F43728" i="1"/>
  <c r="F43729" i="1"/>
  <c r="F43730" i="1"/>
  <c r="F43731" i="1"/>
  <c r="F43732" i="1"/>
  <c r="F43733" i="1"/>
  <c r="F43734" i="1"/>
  <c r="F43735" i="1"/>
  <c r="F43736" i="1"/>
  <c r="F43737" i="1"/>
  <c r="F43738" i="1"/>
  <c r="F43739" i="1"/>
  <c r="F43740" i="1"/>
  <c r="F43741" i="1"/>
  <c r="F43742" i="1"/>
  <c r="F43743" i="1"/>
  <c r="F43744" i="1"/>
  <c r="F43745" i="1"/>
  <c r="F43746" i="1"/>
  <c r="F43747" i="1"/>
  <c r="F43748" i="1"/>
  <c r="F43749" i="1"/>
  <c r="F43750" i="1"/>
  <c r="F43751" i="1"/>
  <c r="F43752" i="1"/>
  <c r="F43753" i="1"/>
  <c r="F43754" i="1"/>
  <c r="F43755" i="1"/>
  <c r="F43756" i="1"/>
  <c r="F43757" i="1"/>
  <c r="F43758" i="1"/>
  <c r="F43759" i="1"/>
  <c r="F43760" i="1"/>
  <c r="F43761" i="1"/>
  <c r="F43762" i="1"/>
  <c r="F43763" i="1"/>
  <c r="F43764" i="1"/>
  <c r="F43765" i="1"/>
  <c r="F43766" i="1"/>
  <c r="F43767" i="1"/>
  <c r="F43768" i="1"/>
  <c r="F43769" i="1"/>
  <c r="F43770" i="1"/>
  <c r="F43771" i="1"/>
  <c r="F43772" i="1"/>
  <c r="F43773" i="1"/>
  <c r="F43774" i="1"/>
  <c r="F43775" i="1"/>
  <c r="F43776" i="1"/>
  <c r="F43777" i="1"/>
  <c r="F43778" i="1"/>
  <c r="F43779" i="1"/>
  <c r="F43780" i="1"/>
  <c r="F43781" i="1"/>
  <c r="F43782" i="1"/>
  <c r="F43783" i="1"/>
  <c r="F43784" i="1"/>
  <c r="F43785" i="1"/>
  <c r="F43786" i="1"/>
  <c r="F43787" i="1"/>
  <c r="F43788" i="1"/>
  <c r="F43789" i="1"/>
  <c r="F43790" i="1"/>
  <c r="F43791" i="1"/>
  <c r="F43792" i="1"/>
  <c r="F43793" i="1"/>
  <c r="F43794" i="1"/>
  <c r="F43795" i="1"/>
  <c r="F43796" i="1"/>
  <c r="F43797" i="1"/>
  <c r="F43798" i="1"/>
  <c r="F43799" i="1"/>
  <c r="F43800" i="1"/>
  <c r="F43801" i="1"/>
  <c r="F43802" i="1"/>
  <c r="F43803" i="1"/>
  <c r="F43804" i="1"/>
  <c r="F43805" i="1"/>
  <c r="F43806" i="1"/>
  <c r="F43807" i="1"/>
  <c r="F43808" i="1"/>
  <c r="F43809" i="1"/>
  <c r="F43810" i="1"/>
  <c r="F43811" i="1"/>
  <c r="F43812" i="1"/>
  <c r="F43813" i="1"/>
  <c r="F43814" i="1"/>
  <c r="F43815" i="1"/>
  <c r="F43816" i="1"/>
  <c r="F43817" i="1"/>
  <c r="F43818" i="1"/>
  <c r="F43819" i="1"/>
  <c r="F43820" i="1"/>
  <c r="F43821" i="1"/>
  <c r="F43822" i="1"/>
  <c r="F43823" i="1"/>
  <c r="F43824" i="1"/>
  <c r="F43825" i="1"/>
  <c r="F43826" i="1"/>
  <c r="F43827" i="1"/>
  <c r="F43828" i="1"/>
  <c r="F43829" i="1"/>
  <c r="F43830" i="1"/>
  <c r="F43831" i="1"/>
  <c r="F43832" i="1"/>
  <c r="F43833" i="1"/>
  <c r="F43834" i="1"/>
  <c r="F43835" i="1"/>
  <c r="F43836" i="1"/>
  <c r="F43837" i="1"/>
  <c r="F43838" i="1"/>
  <c r="F43839" i="1"/>
  <c r="F43840" i="1"/>
  <c r="F43841" i="1"/>
  <c r="F43842" i="1"/>
  <c r="F43843" i="1"/>
  <c r="F43844" i="1"/>
  <c r="F43845" i="1"/>
  <c r="F43846" i="1"/>
  <c r="F43847" i="1"/>
  <c r="F43848" i="1"/>
  <c r="F43849" i="1"/>
  <c r="F43850" i="1"/>
  <c r="F43851" i="1"/>
  <c r="F43852" i="1"/>
  <c r="F43853" i="1"/>
  <c r="F43854" i="1"/>
  <c r="F43855" i="1"/>
  <c r="F43856" i="1"/>
  <c r="F43857" i="1"/>
  <c r="F43858" i="1"/>
  <c r="F43859" i="1"/>
  <c r="F43860" i="1"/>
  <c r="F43861" i="1"/>
  <c r="F43862" i="1"/>
  <c r="F43863" i="1"/>
  <c r="F43864" i="1"/>
  <c r="F43865" i="1"/>
  <c r="F43866" i="1"/>
  <c r="F43867" i="1"/>
  <c r="F43868" i="1"/>
  <c r="F43869" i="1"/>
  <c r="F43870" i="1"/>
  <c r="F43871" i="1"/>
  <c r="F43872" i="1"/>
  <c r="F43873" i="1"/>
  <c r="F43874" i="1"/>
  <c r="F43875" i="1"/>
  <c r="F43876" i="1"/>
  <c r="F43877" i="1"/>
  <c r="F43878" i="1"/>
  <c r="F43879" i="1"/>
  <c r="F43880" i="1"/>
  <c r="F43881" i="1"/>
  <c r="F43882" i="1"/>
  <c r="F43883" i="1"/>
  <c r="F43884" i="1"/>
  <c r="F43885" i="1"/>
  <c r="F43886" i="1"/>
  <c r="F43887" i="1"/>
  <c r="F43888" i="1"/>
  <c r="F43889" i="1"/>
  <c r="F43890" i="1"/>
  <c r="F43891" i="1"/>
  <c r="F43892" i="1"/>
  <c r="F43893" i="1"/>
  <c r="F43894" i="1"/>
  <c r="F43895" i="1"/>
  <c r="F43896" i="1"/>
  <c r="F43897" i="1"/>
  <c r="F43898" i="1"/>
  <c r="F43899" i="1"/>
  <c r="F43900" i="1"/>
  <c r="F43901" i="1"/>
  <c r="F43902" i="1"/>
  <c r="F43903" i="1"/>
  <c r="F43904" i="1"/>
  <c r="F43905" i="1"/>
  <c r="F43906" i="1"/>
  <c r="F43907" i="1"/>
  <c r="F43908" i="1"/>
  <c r="F43909" i="1"/>
  <c r="F43910" i="1"/>
  <c r="F43911" i="1"/>
  <c r="F43912" i="1"/>
  <c r="F43913" i="1"/>
  <c r="F43914" i="1"/>
  <c r="F43915" i="1"/>
  <c r="F43916" i="1"/>
  <c r="F43917" i="1"/>
  <c r="F43918" i="1"/>
  <c r="F43919" i="1"/>
  <c r="F43920" i="1"/>
  <c r="F43921" i="1"/>
  <c r="F43922" i="1"/>
  <c r="F43923" i="1"/>
  <c r="F43924" i="1"/>
  <c r="F43925" i="1"/>
  <c r="F43926" i="1"/>
  <c r="F43927" i="1"/>
  <c r="F43928" i="1"/>
  <c r="F43929" i="1"/>
  <c r="F43930" i="1"/>
  <c r="F43931" i="1"/>
  <c r="F43932" i="1"/>
  <c r="F43933" i="1"/>
  <c r="F43934" i="1"/>
  <c r="F43935" i="1"/>
  <c r="F43936" i="1"/>
  <c r="F43937" i="1"/>
  <c r="F43938" i="1"/>
  <c r="F43939" i="1"/>
  <c r="F43940" i="1"/>
  <c r="F43941" i="1"/>
  <c r="F43942" i="1"/>
  <c r="F43943" i="1"/>
  <c r="F43944" i="1"/>
  <c r="F43945" i="1"/>
  <c r="F43946" i="1"/>
  <c r="F43947" i="1"/>
  <c r="F43948" i="1"/>
  <c r="F43949" i="1"/>
  <c r="F43950" i="1"/>
  <c r="F43951" i="1"/>
  <c r="F43952" i="1"/>
  <c r="F43953" i="1"/>
  <c r="F43954" i="1"/>
  <c r="F43955" i="1"/>
  <c r="F43956" i="1"/>
  <c r="F43957" i="1"/>
  <c r="F43958" i="1"/>
  <c r="F43959" i="1"/>
  <c r="F43960" i="1"/>
  <c r="F43961" i="1"/>
  <c r="F43962" i="1"/>
  <c r="F43963" i="1"/>
  <c r="F43964" i="1"/>
  <c r="F43965" i="1"/>
  <c r="F43966" i="1"/>
  <c r="F43967" i="1"/>
  <c r="F43968" i="1"/>
  <c r="F43969" i="1"/>
  <c r="F43970" i="1"/>
  <c r="F43971" i="1"/>
  <c r="F43972" i="1"/>
  <c r="F43973" i="1"/>
  <c r="F43974" i="1"/>
  <c r="F43975" i="1"/>
  <c r="F43976" i="1"/>
  <c r="F43977" i="1"/>
  <c r="F43978" i="1"/>
  <c r="F43979" i="1"/>
  <c r="F43980" i="1"/>
  <c r="F43981" i="1"/>
  <c r="F43982" i="1"/>
  <c r="F43983" i="1"/>
  <c r="F43984" i="1"/>
  <c r="F43985" i="1"/>
  <c r="F43986" i="1"/>
  <c r="F43987" i="1"/>
  <c r="F43988" i="1"/>
  <c r="F43989" i="1"/>
  <c r="F43990" i="1"/>
  <c r="F43991" i="1"/>
  <c r="F43992" i="1"/>
  <c r="F43993" i="1"/>
  <c r="F43994" i="1"/>
  <c r="F43995" i="1"/>
  <c r="F43996" i="1"/>
  <c r="F43997" i="1"/>
  <c r="F43998" i="1"/>
  <c r="F43999" i="1"/>
  <c r="F44000" i="1"/>
  <c r="F44001" i="1"/>
  <c r="F44002" i="1"/>
  <c r="F44003" i="1"/>
  <c r="F44004" i="1"/>
  <c r="F44005" i="1"/>
  <c r="F44006" i="1"/>
  <c r="F44007" i="1"/>
  <c r="F44008" i="1"/>
  <c r="F44009" i="1"/>
  <c r="F44010" i="1"/>
  <c r="F44011" i="1"/>
  <c r="F44012" i="1"/>
  <c r="F44013" i="1"/>
  <c r="F44014" i="1"/>
  <c r="F44015" i="1"/>
  <c r="F44016" i="1"/>
  <c r="F44017" i="1"/>
  <c r="F44018" i="1"/>
  <c r="F44019" i="1"/>
  <c r="F44020" i="1"/>
  <c r="F44021" i="1"/>
  <c r="F44022" i="1"/>
  <c r="F44023" i="1"/>
  <c r="F44024" i="1"/>
  <c r="F44025" i="1"/>
  <c r="F44026" i="1"/>
  <c r="F44027" i="1"/>
  <c r="F44028" i="1"/>
  <c r="F44029" i="1"/>
  <c r="F44030" i="1"/>
  <c r="F44031" i="1"/>
  <c r="F44032" i="1"/>
  <c r="F44033" i="1"/>
  <c r="F44034" i="1"/>
  <c r="F44035" i="1"/>
  <c r="F44036" i="1"/>
  <c r="F44037" i="1"/>
  <c r="F44038" i="1"/>
  <c r="F44039" i="1"/>
  <c r="F44040" i="1"/>
  <c r="F44041" i="1"/>
  <c r="F44042" i="1"/>
  <c r="F44043" i="1"/>
  <c r="F44044" i="1"/>
  <c r="F44045" i="1"/>
  <c r="F44046" i="1"/>
  <c r="F44047" i="1"/>
  <c r="F44048" i="1"/>
  <c r="F44049" i="1"/>
  <c r="F44050" i="1"/>
  <c r="F44051" i="1"/>
  <c r="F44052" i="1"/>
  <c r="F44053" i="1"/>
  <c r="F44054" i="1"/>
  <c r="F44055" i="1"/>
  <c r="F44056" i="1"/>
  <c r="F44057" i="1"/>
  <c r="F44058" i="1"/>
  <c r="F44059" i="1"/>
  <c r="F44060" i="1"/>
  <c r="F44061" i="1"/>
  <c r="F44062" i="1"/>
  <c r="F44063" i="1"/>
  <c r="F44064" i="1"/>
  <c r="F44065" i="1"/>
  <c r="F44066" i="1"/>
  <c r="F44067" i="1"/>
  <c r="F44068" i="1"/>
  <c r="F44069" i="1"/>
  <c r="F44070" i="1"/>
  <c r="F44071" i="1"/>
  <c r="F44072" i="1"/>
  <c r="F44073" i="1"/>
  <c r="F44074" i="1"/>
  <c r="F44075" i="1"/>
  <c r="F44076" i="1"/>
  <c r="F44077" i="1"/>
  <c r="F44078" i="1"/>
  <c r="F44079" i="1"/>
  <c r="F44080" i="1"/>
  <c r="F44081" i="1"/>
  <c r="F44082" i="1"/>
  <c r="F44083" i="1"/>
  <c r="F44084" i="1"/>
  <c r="F44085" i="1"/>
  <c r="F44086" i="1"/>
  <c r="F44087" i="1"/>
  <c r="F44088" i="1"/>
  <c r="F44089" i="1"/>
  <c r="F44090" i="1"/>
  <c r="F44091" i="1"/>
  <c r="F44092" i="1"/>
  <c r="F44093" i="1"/>
  <c r="F44094" i="1"/>
  <c r="F44095" i="1"/>
  <c r="F44096" i="1"/>
  <c r="F44097" i="1"/>
  <c r="F44098" i="1"/>
  <c r="F44099" i="1"/>
  <c r="F44100" i="1"/>
  <c r="F44101" i="1"/>
  <c r="F44102" i="1"/>
  <c r="F44103" i="1"/>
  <c r="F44104" i="1"/>
  <c r="F44105" i="1"/>
  <c r="F44106" i="1"/>
  <c r="F44107" i="1"/>
  <c r="F44108" i="1"/>
  <c r="F44109" i="1"/>
  <c r="F44110" i="1"/>
  <c r="F44111" i="1"/>
  <c r="F44112" i="1"/>
  <c r="F44113" i="1"/>
  <c r="F44114" i="1"/>
  <c r="F44115" i="1"/>
  <c r="F44116" i="1"/>
  <c r="F44117" i="1"/>
  <c r="F44118" i="1"/>
  <c r="F44119" i="1"/>
  <c r="F44120" i="1"/>
  <c r="F44121" i="1"/>
  <c r="F44122" i="1"/>
  <c r="F44123" i="1"/>
  <c r="F44124" i="1"/>
  <c r="F44125" i="1"/>
  <c r="F44126" i="1"/>
  <c r="F44127" i="1"/>
  <c r="F44128" i="1"/>
  <c r="F44129" i="1"/>
  <c r="F44130" i="1"/>
  <c r="F44131" i="1"/>
  <c r="F44132" i="1"/>
  <c r="F44133" i="1"/>
  <c r="F44134" i="1"/>
  <c r="F44135" i="1"/>
  <c r="F44136" i="1"/>
  <c r="F44137" i="1"/>
  <c r="F44138" i="1"/>
  <c r="F44139" i="1"/>
  <c r="F44140" i="1"/>
  <c r="F44141" i="1"/>
  <c r="F44142" i="1"/>
  <c r="F44143" i="1"/>
  <c r="F44144" i="1"/>
  <c r="F44145" i="1"/>
  <c r="F44146" i="1"/>
  <c r="F44147" i="1"/>
  <c r="F44148" i="1"/>
  <c r="F44149" i="1"/>
  <c r="F44150" i="1"/>
  <c r="F44151" i="1"/>
  <c r="F44152" i="1"/>
  <c r="F44153" i="1"/>
  <c r="F44154" i="1"/>
  <c r="F44155" i="1"/>
  <c r="F44156" i="1"/>
  <c r="F44157" i="1"/>
  <c r="F44158" i="1"/>
  <c r="F44159" i="1"/>
  <c r="F44160" i="1"/>
  <c r="F44161" i="1"/>
  <c r="F44162" i="1"/>
  <c r="F44163" i="1"/>
  <c r="F44164" i="1"/>
  <c r="F44165" i="1"/>
  <c r="F44166" i="1"/>
  <c r="F44167" i="1"/>
  <c r="F44168" i="1"/>
  <c r="F44169" i="1"/>
  <c r="F44170" i="1"/>
  <c r="F44171" i="1"/>
  <c r="F44172" i="1"/>
  <c r="F44173" i="1"/>
  <c r="F44174" i="1"/>
  <c r="F44175" i="1"/>
  <c r="F44176" i="1"/>
  <c r="F44177" i="1"/>
  <c r="F44178" i="1"/>
  <c r="F44179" i="1"/>
  <c r="F44180" i="1"/>
  <c r="F44181" i="1"/>
  <c r="F44182" i="1"/>
  <c r="F44183" i="1"/>
  <c r="F44184" i="1"/>
  <c r="F44185" i="1"/>
  <c r="F44186" i="1"/>
  <c r="F44187" i="1"/>
  <c r="F44188" i="1"/>
  <c r="F44189" i="1"/>
  <c r="F44190" i="1"/>
  <c r="F44191" i="1"/>
  <c r="F44192" i="1"/>
  <c r="F44193" i="1"/>
  <c r="F44194" i="1"/>
  <c r="F44195" i="1"/>
  <c r="F44196" i="1"/>
  <c r="F44197" i="1"/>
  <c r="F44198" i="1"/>
  <c r="F44199" i="1"/>
  <c r="F44200" i="1"/>
  <c r="F44201" i="1"/>
  <c r="F44202" i="1"/>
  <c r="F44203" i="1"/>
  <c r="F44204" i="1"/>
  <c r="F44205" i="1"/>
  <c r="F44206" i="1"/>
  <c r="F44207" i="1"/>
  <c r="F44208" i="1"/>
  <c r="F44209" i="1"/>
  <c r="F44210" i="1"/>
  <c r="F44211" i="1"/>
  <c r="F44212" i="1"/>
  <c r="F44213" i="1"/>
  <c r="F44214" i="1"/>
  <c r="F44215" i="1"/>
  <c r="F44216" i="1"/>
  <c r="F44217" i="1"/>
  <c r="F44218" i="1"/>
  <c r="F44219" i="1"/>
  <c r="F44220" i="1"/>
  <c r="F44221" i="1"/>
  <c r="F44222" i="1"/>
  <c r="F44223" i="1"/>
  <c r="F44224" i="1"/>
  <c r="F44225" i="1"/>
  <c r="F44226" i="1"/>
  <c r="F44227" i="1"/>
  <c r="F44228" i="1"/>
  <c r="F44229" i="1"/>
  <c r="F44230" i="1"/>
  <c r="F44231" i="1"/>
  <c r="F44232" i="1"/>
  <c r="F44233" i="1"/>
  <c r="F44234" i="1"/>
  <c r="F44235" i="1"/>
  <c r="F44236" i="1"/>
  <c r="F44237" i="1"/>
  <c r="F44238" i="1"/>
  <c r="F44239" i="1"/>
  <c r="F44240" i="1"/>
  <c r="F44241" i="1"/>
  <c r="F44242" i="1"/>
  <c r="F44243" i="1"/>
  <c r="F44244" i="1"/>
  <c r="F44245" i="1"/>
  <c r="F44246" i="1"/>
  <c r="F44247" i="1"/>
  <c r="F44248" i="1"/>
  <c r="F44249" i="1"/>
  <c r="F44250" i="1"/>
  <c r="F44251" i="1"/>
  <c r="F44252" i="1"/>
  <c r="F44253" i="1"/>
  <c r="F44254" i="1"/>
  <c r="F44255" i="1"/>
  <c r="F44256" i="1"/>
  <c r="F44257" i="1"/>
  <c r="F44258" i="1"/>
  <c r="F44259" i="1"/>
  <c r="F44260" i="1"/>
  <c r="F44261" i="1"/>
  <c r="F44262" i="1"/>
  <c r="F44263" i="1"/>
  <c r="F44264" i="1"/>
  <c r="F44265" i="1"/>
  <c r="F44266" i="1"/>
  <c r="F44267" i="1"/>
  <c r="F44268" i="1"/>
  <c r="F44269" i="1"/>
  <c r="F44270" i="1"/>
  <c r="F44271" i="1"/>
  <c r="F44272" i="1"/>
  <c r="F44273" i="1"/>
  <c r="F44274" i="1"/>
  <c r="F44275" i="1"/>
  <c r="F44276" i="1"/>
  <c r="F44277" i="1"/>
  <c r="F44278" i="1"/>
  <c r="F44279" i="1"/>
  <c r="F44280" i="1"/>
  <c r="F44281" i="1"/>
  <c r="F44282" i="1"/>
  <c r="F44283" i="1"/>
  <c r="F44284" i="1"/>
  <c r="F44285" i="1"/>
  <c r="F44286" i="1"/>
  <c r="F44287" i="1"/>
  <c r="F44288" i="1"/>
  <c r="F44289" i="1"/>
  <c r="F44290" i="1"/>
  <c r="F44291" i="1"/>
  <c r="F44292" i="1"/>
  <c r="F44293" i="1"/>
  <c r="F44294" i="1"/>
  <c r="F44295" i="1"/>
  <c r="F44296" i="1"/>
  <c r="F44297" i="1"/>
  <c r="F44298" i="1"/>
  <c r="F44299" i="1"/>
  <c r="F44300" i="1"/>
  <c r="F44301" i="1"/>
  <c r="F44302" i="1"/>
  <c r="F44303" i="1"/>
  <c r="F44304" i="1"/>
  <c r="F44305" i="1"/>
  <c r="F44306" i="1"/>
  <c r="F44307" i="1"/>
  <c r="F44308" i="1"/>
  <c r="F44309" i="1"/>
  <c r="F44310" i="1"/>
  <c r="F44311" i="1"/>
  <c r="F44312" i="1"/>
  <c r="F44313" i="1"/>
  <c r="F44314" i="1"/>
  <c r="F44315" i="1"/>
  <c r="F44316" i="1"/>
  <c r="F44317" i="1"/>
  <c r="F44318" i="1"/>
  <c r="F44319" i="1"/>
  <c r="F44320" i="1"/>
  <c r="F44321" i="1"/>
  <c r="F44322" i="1"/>
  <c r="F44323" i="1"/>
  <c r="F44324" i="1"/>
  <c r="F44325" i="1"/>
  <c r="F44326" i="1"/>
  <c r="F44327" i="1"/>
  <c r="F44328" i="1"/>
  <c r="F44329" i="1"/>
  <c r="F44330" i="1"/>
  <c r="F44331" i="1"/>
  <c r="F44332" i="1"/>
  <c r="F44333" i="1"/>
  <c r="F44334" i="1"/>
  <c r="F44335" i="1"/>
  <c r="F44336" i="1"/>
  <c r="F44337" i="1"/>
  <c r="F44338" i="1"/>
  <c r="F44339" i="1"/>
  <c r="F44340" i="1"/>
  <c r="F44341" i="1"/>
  <c r="F44342" i="1"/>
  <c r="F44343" i="1"/>
  <c r="F44344" i="1"/>
  <c r="F44345" i="1"/>
  <c r="F44346" i="1"/>
  <c r="F44347" i="1"/>
  <c r="F44348" i="1"/>
  <c r="F44349" i="1"/>
  <c r="F44350" i="1"/>
  <c r="F44351" i="1"/>
  <c r="F44352" i="1"/>
  <c r="F44353" i="1"/>
  <c r="F44354" i="1"/>
  <c r="F44355" i="1"/>
  <c r="F44356" i="1"/>
  <c r="F44357" i="1"/>
  <c r="F44358" i="1"/>
  <c r="F44359" i="1"/>
  <c r="F44360" i="1"/>
  <c r="F44361" i="1"/>
  <c r="F44362" i="1"/>
  <c r="F44363" i="1"/>
  <c r="F44364" i="1"/>
  <c r="F44365" i="1"/>
  <c r="F44366" i="1"/>
  <c r="F44367" i="1"/>
  <c r="F44368" i="1"/>
  <c r="F44369" i="1"/>
  <c r="F44370" i="1"/>
  <c r="F44371" i="1"/>
  <c r="F44372" i="1"/>
  <c r="F44373" i="1"/>
  <c r="F44374" i="1"/>
  <c r="F44375" i="1"/>
  <c r="F44376" i="1"/>
  <c r="F44377" i="1"/>
  <c r="F44378" i="1"/>
  <c r="F44379" i="1"/>
  <c r="F44380" i="1"/>
  <c r="F44381" i="1"/>
  <c r="F44382" i="1"/>
  <c r="F44383" i="1"/>
  <c r="F44384" i="1"/>
  <c r="F44385" i="1"/>
  <c r="F44386" i="1"/>
  <c r="F44387" i="1"/>
  <c r="F44388" i="1"/>
  <c r="F44389" i="1"/>
  <c r="F44390" i="1"/>
  <c r="F44391" i="1"/>
  <c r="F44392" i="1"/>
  <c r="F44393" i="1"/>
  <c r="F44394" i="1"/>
  <c r="F44395" i="1"/>
  <c r="F44396" i="1"/>
  <c r="F44397" i="1"/>
  <c r="F44398" i="1"/>
  <c r="F44399" i="1"/>
  <c r="F44400" i="1"/>
  <c r="F44401" i="1"/>
  <c r="F44402" i="1"/>
  <c r="F44403" i="1"/>
  <c r="F44404" i="1"/>
  <c r="F44405" i="1"/>
  <c r="F44406" i="1"/>
  <c r="F44407" i="1"/>
  <c r="F44408" i="1"/>
  <c r="F44409" i="1"/>
  <c r="F44410" i="1"/>
  <c r="F44411" i="1"/>
  <c r="F44412" i="1"/>
  <c r="F44413" i="1"/>
  <c r="F44414" i="1"/>
  <c r="F44415" i="1"/>
  <c r="F44416" i="1"/>
  <c r="F44417" i="1"/>
  <c r="F44418" i="1"/>
  <c r="F44419" i="1"/>
  <c r="F44420" i="1"/>
  <c r="F44421" i="1"/>
  <c r="F44422" i="1"/>
  <c r="F44423" i="1"/>
  <c r="F44424" i="1"/>
  <c r="F44425" i="1"/>
  <c r="F44426" i="1"/>
  <c r="F44427" i="1"/>
  <c r="F44428" i="1"/>
  <c r="F44429" i="1"/>
  <c r="F44430" i="1"/>
  <c r="F44431" i="1"/>
  <c r="F44432" i="1"/>
  <c r="F44433" i="1"/>
  <c r="F44434" i="1"/>
  <c r="F44435" i="1"/>
  <c r="F44436" i="1"/>
  <c r="F44437" i="1"/>
  <c r="F44438" i="1"/>
  <c r="F44439" i="1"/>
  <c r="F44440" i="1"/>
  <c r="F44441" i="1"/>
  <c r="F44442" i="1"/>
  <c r="F44443" i="1"/>
  <c r="F44444" i="1"/>
  <c r="F44445" i="1"/>
  <c r="F44446" i="1"/>
  <c r="F44447" i="1"/>
  <c r="F44448" i="1"/>
  <c r="F44449" i="1"/>
  <c r="F44450" i="1"/>
  <c r="F44451" i="1"/>
  <c r="F44452" i="1"/>
  <c r="F44453" i="1"/>
  <c r="F44454" i="1"/>
  <c r="F44455" i="1"/>
  <c r="F44456" i="1"/>
  <c r="F44457" i="1"/>
  <c r="F44458" i="1"/>
  <c r="F44459" i="1"/>
  <c r="F44460" i="1"/>
  <c r="F44461" i="1"/>
  <c r="F44462" i="1"/>
  <c r="F44463" i="1"/>
  <c r="F44464" i="1"/>
  <c r="F44465" i="1"/>
  <c r="F44466" i="1"/>
  <c r="F44467" i="1"/>
  <c r="F44468" i="1"/>
  <c r="F44469" i="1"/>
  <c r="F44470" i="1"/>
  <c r="F44471" i="1"/>
  <c r="F44472" i="1"/>
  <c r="F44473" i="1"/>
  <c r="F44474" i="1"/>
  <c r="F44475" i="1"/>
  <c r="F44476" i="1"/>
  <c r="F44477" i="1"/>
  <c r="F44478" i="1"/>
  <c r="F44479" i="1"/>
  <c r="F44480" i="1"/>
  <c r="F44481" i="1"/>
  <c r="F44482" i="1"/>
  <c r="F44483" i="1"/>
  <c r="F44484" i="1"/>
  <c r="F44485" i="1"/>
  <c r="F44486" i="1"/>
  <c r="F44487" i="1"/>
  <c r="F44488" i="1"/>
  <c r="F44489" i="1"/>
  <c r="F44490" i="1"/>
  <c r="F44491" i="1"/>
  <c r="F44492" i="1"/>
  <c r="F44493" i="1"/>
  <c r="F44494" i="1"/>
  <c r="F44495" i="1"/>
  <c r="F44496" i="1"/>
  <c r="F44497" i="1"/>
  <c r="F44498" i="1"/>
  <c r="F44499" i="1"/>
  <c r="F44500" i="1"/>
  <c r="F44501" i="1"/>
  <c r="F44502" i="1"/>
  <c r="F44503" i="1"/>
  <c r="F44504" i="1"/>
  <c r="F44505" i="1"/>
  <c r="F44506" i="1"/>
  <c r="F44507" i="1"/>
  <c r="F44508" i="1"/>
  <c r="F44509" i="1"/>
  <c r="F44510" i="1"/>
  <c r="F44511" i="1"/>
  <c r="F44512" i="1"/>
  <c r="F44513" i="1"/>
  <c r="F44514" i="1"/>
  <c r="F44515" i="1"/>
  <c r="F44516" i="1"/>
  <c r="F44517" i="1"/>
  <c r="F44518" i="1"/>
  <c r="F44519" i="1"/>
  <c r="F44520" i="1"/>
  <c r="F44521" i="1"/>
  <c r="F44522" i="1"/>
  <c r="F44523" i="1"/>
  <c r="F44524" i="1"/>
  <c r="F44525" i="1"/>
  <c r="F44526" i="1"/>
  <c r="F44527" i="1"/>
  <c r="F44528" i="1"/>
  <c r="F44529" i="1"/>
  <c r="F44530" i="1"/>
  <c r="F44531" i="1"/>
  <c r="F44532" i="1"/>
  <c r="F44533" i="1"/>
  <c r="F44534" i="1"/>
  <c r="F44535" i="1"/>
  <c r="F44536" i="1"/>
  <c r="F44537" i="1"/>
  <c r="F44538" i="1"/>
  <c r="F44539" i="1"/>
  <c r="F44540" i="1"/>
  <c r="F44541" i="1"/>
  <c r="F44542" i="1"/>
  <c r="F44543" i="1"/>
  <c r="F44544" i="1"/>
  <c r="F44545" i="1"/>
  <c r="F44546" i="1"/>
  <c r="F44547" i="1"/>
  <c r="F44548" i="1"/>
  <c r="F44549" i="1"/>
  <c r="F44550" i="1"/>
  <c r="F44551" i="1"/>
  <c r="F44552" i="1"/>
  <c r="F44553" i="1"/>
  <c r="F44554" i="1"/>
  <c r="F44555" i="1"/>
  <c r="F44556" i="1"/>
  <c r="F44557" i="1"/>
  <c r="F44558" i="1"/>
  <c r="F44559" i="1"/>
  <c r="F44560" i="1"/>
  <c r="F44561" i="1"/>
  <c r="F44562" i="1"/>
  <c r="F44563" i="1"/>
  <c r="F44564" i="1"/>
  <c r="F44565" i="1"/>
  <c r="F44566" i="1"/>
  <c r="F44567" i="1"/>
  <c r="F44568" i="1"/>
  <c r="F44569" i="1"/>
  <c r="F44570" i="1"/>
  <c r="F44571" i="1"/>
  <c r="F44572" i="1"/>
  <c r="F44573" i="1"/>
  <c r="F44574" i="1"/>
  <c r="F44575" i="1"/>
  <c r="F44576" i="1"/>
  <c r="F44577" i="1"/>
  <c r="F44578" i="1"/>
  <c r="F44579" i="1"/>
  <c r="F44580" i="1"/>
  <c r="F44581" i="1"/>
  <c r="F44582" i="1"/>
  <c r="F44583" i="1"/>
  <c r="F44584" i="1"/>
  <c r="F44585" i="1"/>
  <c r="F44586" i="1"/>
  <c r="F44587" i="1"/>
  <c r="F44588" i="1"/>
  <c r="F44589" i="1"/>
  <c r="F44590" i="1"/>
  <c r="F44591" i="1"/>
  <c r="F44592" i="1"/>
  <c r="F44593" i="1"/>
  <c r="F44594" i="1"/>
  <c r="F44595" i="1"/>
  <c r="F44596" i="1"/>
  <c r="F44597" i="1"/>
  <c r="F44598" i="1"/>
  <c r="F44599" i="1"/>
  <c r="F44600" i="1"/>
  <c r="F44601" i="1"/>
  <c r="F44602" i="1"/>
  <c r="F44603" i="1"/>
  <c r="F44604" i="1"/>
  <c r="F44605" i="1"/>
  <c r="F44606" i="1"/>
  <c r="F44607" i="1"/>
  <c r="F44608" i="1"/>
  <c r="F44609" i="1"/>
  <c r="F44610" i="1"/>
  <c r="F44611" i="1"/>
  <c r="F44612" i="1"/>
  <c r="F44613" i="1"/>
  <c r="F44614" i="1"/>
  <c r="F44615" i="1"/>
  <c r="F44616" i="1"/>
  <c r="F44617" i="1"/>
  <c r="F44618" i="1"/>
  <c r="F44619" i="1"/>
  <c r="F44620" i="1"/>
  <c r="F44621" i="1"/>
  <c r="F44622" i="1"/>
  <c r="F44623" i="1"/>
  <c r="F44624" i="1"/>
  <c r="F44625" i="1"/>
  <c r="F44626" i="1"/>
  <c r="F44627" i="1"/>
  <c r="F44628" i="1"/>
  <c r="F44629" i="1"/>
  <c r="F44630" i="1"/>
  <c r="F44631" i="1"/>
  <c r="F44632" i="1"/>
  <c r="F44633" i="1"/>
  <c r="F44634" i="1"/>
  <c r="F44635" i="1"/>
  <c r="F44636" i="1"/>
  <c r="F44637" i="1"/>
  <c r="F44638" i="1"/>
  <c r="F44639" i="1"/>
  <c r="F44640" i="1"/>
  <c r="F44641" i="1"/>
  <c r="F44642" i="1"/>
  <c r="F44643" i="1"/>
  <c r="F44644" i="1"/>
  <c r="F44645" i="1"/>
  <c r="F44646" i="1"/>
  <c r="F44647" i="1"/>
  <c r="F44648" i="1"/>
  <c r="F44649" i="1"/>
  <c r="F44650" i="1"/>
  <c r="F44651" i="1"/>
  <c r="F44652" i="1"/>
  <c r="F44653" i="1"/>
  <c r="F44654" i="1"/>
  <c r="F44655" i="1"/>
  <c r="F44656" i="1"/>
  <c r="F44657" i="1"/>
  <c r="F44658" i="1"/>
  <c r="F44659" i="1"/>
  <c r="F44660" i="1"/>
  <c r="F44661" i="1"/>
  <c r="F44662" i="1"/>
  <c r="F44663" i="1"/>
  <c r="F44664" i="1"/>
  <c r="F44665" i="1"/>
  <c r="F44666" i="1"/>
  <c r="F44667" i="1"/>
  <c r="F44668" i="1"/>
  <c r="F44669" i="1"/>
  <c r="F44670" i="1"/>
  <c r="F44671" i="1"/>
  <c r="F44672" i="1"/>
  <c r="F44673" i="1"/>
  <c r="F44674" i="1"/>
  <c r="F44675" i="1"/>
  <c r="F44676" i="1"/>
  <c r="F44677" i="1"/>
  <c r="F44678" i="1"/>
  <c r="F44679" i="1"/>
  <c r="F44680" i="1"/>
  <c r="F44681" i="1"/>
  <c r="F44682" i="1"/>
  <c r="F44683" i="1"/>
  <c r="F44684" i="1"/>
  <c r="F44685" i="1"/>
  <c r="F44686" i="1"/>
  <c r="F44687" i="1"/>
  <c r="F44688" i="1"/>
  <c r="F44689" i="1"/>
  <c r="F44690" i="1"/>
  <c r="F44691" i="1"/>
  <c r="F44692" i="1"/>
  <c r="F44693" i="1"/>
  <c r="F44694" i="1"/>
  <c r="F44695" i="1"/>
  <c r="F44696" i="1"/>
  <c r="F44697" i="1"/>
  <c r="F44698" i="1"/>
  <c r="F44699" i="1"/>
  <c r="F44700" i="1"/>
  <c r="F44701" i="1"/>
  <c r="F44702" i="1"/>
  <c r="F44703" i="1"/>
  <c r="F44704" i="1"/>
  <c r="F44705" i="1"/>
  <c r="F44706" i="1"/>
  <c r="F44707" i="1"/>
  <c r="F44708" i="1"/>
  <c r="F44709" i="1"/>
  <c r="F44710" i="1"/>
  <c r="F44711" i="1"/>
  <c r="F44712" i="1"/>
  <c r="F44713" i="1"/>
  <c r="F44714" i="1"/>
  <c r="F44715" i="1"/>
  <c r="F44716" i="1"/>
  <c r="F44717" i="1"/>
  <c r="F44718" i="1"/>
  <c r="F44719" i="1"/>
  <c r="F44720" i="1"/>
  <c r="F44721" i="1"/>
  <c r="F44722" i="1"/>
  <c r="F44723" i="1"/>
  <c r="F44724" i="1"/>
  <c r="F44725" i="1"/>
  <c r="F44726" i="1"/>
  <c r="F44727" i="1"/>
  <c r="F44728" i="1"/>
  <c r="F44729" i="1"/>
  <c r="F44730" i="1"/>
  <c r="F44731" i="1"/>
  <c r="F44732" i="1"/>
  <c r="F44733" i="1"/>
  <c r="F44734" i="1"/>
  <c r="F44735" i="1"/>
  <c r="F44736" i="1"/>
  <c r="F44737" i="1"/>
  <c r="F44738" i="1"/>
  <c r="F44739" i="1"/>
  <c r="F44740" i="1"/>
  <c r="F44741" i="1"/>
  <c r="F44742" i="1"/>
  <c r="F44743" i="1"/>
  <c r="F44744" i="1"/>
  <c r="F44745" i="1"/>
  <c r="F44746" i="1"/>
  <c r="F44747" i="1"/>
  <c r="F44748" i="1"/>
  <c r="F44749" i="1"/>
  <c r="F44750" i="1"/>
  <c r="F44751" i="1"/>
  <c r="F44752" i="1"/>
  <c r="F44753" i="1"/>
  <c r="F44754" i="1"/>
  <c r="F44755" i="1"/>
  <c r="F44756" i="1"/>
  <c r="F44757" i="1"/>
  <c r="F44758" i="1"/>
  <c r="F44759" i="1"/>
  <c r="F44760" i="1"/>
  <c r="F44761" i="1"/>
  <c r="F44762" i="1"/>
  <c r="F44763" i="1"/>
  <c r="F44764" i="1"/>
  <c r="F44765" i="1"/>
  <c r="F44766" i="1"/>
  <c r="F44767" i="1"/>
  <c r="F44768" i="1"/>
  <c r="F44769" i="1"/>
  <c r="F44770" i="1"/>
  <c r="F44771" i="1"/>
  <c r="F44772" i="1"/>
  <c r="F44773" i="1"/>
  <c r="F44774" i="1"/>
  <c r="F44775" i="1"/>
  <c r="F44776" i="1"/>
  <c r="F44777" i="1"/>
  <c r="F44778" i="1"/>
  <c r="F44779" i="1"/>
  <c r="F44780" i="1"/>
  <c r="F44781" i="1"/>
  <c r="F44782" i="1"/>
  <c r="F44783" i="1"/>
  <c r="F44784" i="1"/>
  <c r="F44785" i="1"/>
  <c r="F44786" i="1"/>
  <c r="F44787" i="1"/>
  <c r="F44788" i="1"/>
  <c r="F44789" i="1"/>
  <c r="F44790" i="1"/>
  <c r="F44791" i="1"/>
  <c r="F44792" i="1"/>
  <c r="F44793" i="1"/>
  <c r="F44794" i="1"/>
  <c r="F44795" i="1"/>
  <c r="F44796" i="1"/>
  <c r="F44797" i="1"/>
  <c r="F44798" i="1"/>
  <c r="F44799" i="1"/>
  <c r="F44800" i="1"/>
  <c r="F44801" i="1"/>
  <c r="F44802" i="1"/>
  <c r="F44803" i="1"/>
  <c r="F44804" i="1"/>
  <c r="F44805" i="1"/>
  <c r="F44806" i="1"/>
  <c r="F44807" i="1"/>
  <c r="F44808" i="1"/>
  <c r="F44809" i="1"/>
  <c r="F44810" i="1"/>
  <c r="F44811" i="1"/>
  <c r="F44812" i="1"/>
  <c r="F44813" i="1"/>
  <c r="F44814" i="1"/>
  <c r="F44815" i="1"/>
  <c r="F44816" i="1"/>
  <c r="F44817" i="1"/>
  <c r="F44818" i="1"/>
  <c r="F44819" i="1"/>
  <c r="F44820" i="1"/>
  <c r="F44821" i="1"/>
  <c r="F44822" i="1"/>
  <c r="F44823" i="1"/>
  <c r="F44824" i="1"/>
  <c r="F44825" i="1"/>
  <c r="F44826" i="1"/>
  <c r="F44827" i="1"/>
  <c r="F44828" i="1"/>
  <c r="F44829" i="1"/>
  <c r="F44830" i="1"/>
  <c r="F44831" i="1"/>
  <c r="F44832" i="1"/>
  <c r="F44833" i="1"/>
  <c r="F44834" i="1"/>
  <c r="F44835" i="1"/>
  <c r="F44836" i="1"/>
  <c r="F44837" i="1"/>
  <c r="F44838" i="1"/>
  <c r="F44839" i="1"/>
  <c r="F44840" i="1"/>
  <c r="F44841" i="1"/>
  <c r="F44842" i="1"/>
  <c r="F44843" i="1"/>
  <c r="F44844" i="1"/>
  <c r="F44845" i="1"/>
  <c r="F44846" i="1"/>
  <c r="F44847" i="1"/>
  <c r="F44848" i="1"/>
  <c r="F44849" i="1"/>
  <c r="F44850" i="1"/>
  <c r="F44851" i="1"/>
  <c r="F44852" i="1"/>
  <c r="F44853" i="1"/>
  <c r="F44854" i="1"/>
  <c r="F44855" i="1"/>
  <c r="F44856" i="1"/>
  <c r="F44857" i="1"/>
  <c r="F44858" i="1"/>
  <c r="F44859" i="1"/>
  <c r="F44860" i="1"/>
  <c r="F44861" i="1"/>
  <c r="F44862" i="1"/>
  <c r="F44863" i="1"/>
  <c r="F44864" i="1"/>
  <c r="F44865" i="1"/>
  <c r="F44866" i="1"/>
  <c r="F44867" i="1"/>
  <c r="F44868" i="1"/>
  <c r="F44869" i="1"/>
  <c r="F44870" i="1"/>
  <c r="F44871" i="1"/>
  <c r="F44872" i="1"/>
  <c r="F44873" i="1"/>
  <c r="F44874" i="1"/>
  <c r="F44875" i="1"/>
  <c r="F44876" i="1"/>
  <c r="F44877" i="1"/>
  <c r="F44878" i="1"/>
  <c r="F44879" i="1"/>
  <c r="F44880" i="1"/>
  <c r="F44881" i="1"/>
  <c r="F44882" i="1"/>
  <c r="F44883" i="1"/>
  <c r="F44884" i="1"/>
  <c r="F44885" i="1"/>
  <c r="F44886" i="1"/>
  <c r="F44887" i="1"/>
  <c r="F44888" i="1"/>
  <c r="F44889" i="1"/>
  <c r="F44890" i="1"/>
  <c r="F44891" i="1"/>
  <c r="F44892" i="1"/>
  <c r="F44893" i="1"/>
  <c r="F44894" i="1"/>
  <c r="F44895" i="1"/>
  <c r="F44896" i="1"/>
  <c r="F44897" i="1"/>
  <c r="F44898" i="1"/>
  <c r="F44899" i="1"/>
  <c r="F44900" i="1"/>
  <c r="F44901" i="1"/>
  <c r="F44902" i="1"/>
  <c r="F44903" i="1"/>
  <c r="F44904" i="1"/>
  <c r="F44905" i="1"/>
  <c r="F44906" i="1"/>
  <c r="F44907" i="1"/>
  <c r="F44908" i="1"/>
  <c r="F44909" i="1"/>
  <c r="F44910" i="1"/>
  <c r="F44911" i="1"/>
  <c r="F44912" i="1"/>
  <c r="F44913" i="1"/>
  <c r="F44914" i="1"/>
  <c r="F44915" i="1"/>
  <c r="F44916" i="1"/>
  <c r="F44917" i="1"/>
  <c r="F44918" i="1"/>
  <c r="F44919" i="1"/>
  <c r="F44920" i="1"/>
  <c r="F44921" i="1"/>
  <c r="F44922" i="1"/>
  <c r="F44923" i="1"/>
  <c r="F44924" i="1"/>
  <c r="F44925" i="1"/>
  <c r="F44926" i="1"/>
  <c r="F44927" i="1"/>
  <c r="F44928" i="1"/>
  <c r="F44929" i="1"/>
  <c r="F44930" i="1"/>
  <c r="F44931" i="1"/>
  <c r="F44932" i="1"/>
  <c r="F44933" i="1"/>
  <c r="F44934" i="1"/>
  <c r="F44935" i="1"/>
  <c r="F44936" i="1"/>
  <c r="F44937" i="1"/>
  <c r="F44938" i="1"/>
  <c r="F44939" i="1"/>
  <c r="F44940" i="1"/>
  <c r="F44941" i="1"/>
  <c r="F44942" i="1"/>
  <c r="F44943" i="1"/>
  <c r="F44944" i="1"/>
  <c r="F44945" i="1"/>
  <c r="F44946" i="1"/>
  <c r="F44947" i="1"/>
  <c r="F44948" i="1"/>
  <c r="F44949" i="1"/>
  <c r="F44950" i="1"/>
  <c r="F44951" i="1"/>
  <c r="F44952" i="1"/>
  <c r="F44953" i="1"/>
  <c r="F44954" i="1"/>
  <c r="F44955" i="1"/>
  <c r="F44956" i="1"/>
  <c r="F44957" i="1"/>
  <c r="F44958" i="1"/>
  <c r="F44959" i="1"/>
  <c r="F44960" i="1"/>
  <c r="F44961" i="1"/>
  <c r="F44962" i="1"/>
  <c r="F44963" i="1"/>
  <c r="F44964" i="1"/>
  <c r="F44965" i="1"/>
  <c r="F44966" i="1"/>
  <c r="F44967" i="1"/>
  <c r="F44968" i="1"/>
  <c r="F44969" i="1"/>
  <c r="F44970" i="1"/>
  <c r="F44971" i="1"/>
  <c r="F44972" i="1"/>
  <c r="F44973" i="1"/>
  <c r="F44974" i="1"/>
  <c r="F44975" i="1"/>
  <c r="F44976" i="1"/>
  <c r="F44977" i="1"/>
  <c r="F44978" i="1"/>
  <c r="F44979" i="1"/>
  <c r="F44980" i="1"/>
  <c r="F44981" i="1"/>
  <c r="F44982" i="1"/>
  <c r="F44983" i="1"/>
  <c r="F44984" i="1"/>
  <c r="F44985" i="1"/>
  <c r="F44986" i="1"/>
  <c r="F44987" i="1"/>
  <c r="F44988" i="1"/>
  <c r="F44989" i="1"/>
  <c r="F44990" i="1"/>
  <c r="F44991" i="1"/>
  <c r="F44992" i="1"/>
  <c r="F44993" i="1"/>
  <c r="F44994" i="1"/>
  <c r="F44995" i="1"/>
  <c r="F44996" i="1"/>
  <c r="F44997" i="1"/>
  <c r="F44998" i="1"/>
  <c r="F44999" i="1"/>
  <c r="F45000" i="1"/>
  <c r="F45001" i="1"/>
  <c r="F45002" i="1"/>
  <c r="F45003" i="1"/>
  <c r="F45004" i="1"/>
  <c r="F45005" i="1"/>
  <c r="F45006" i="1"/>
  <c r="F45007" i="1"/>
  <c r="F45008" i="1"/>
  <c r="F45009" i="1"/>
  <c r="F45010" i="1"/>
  <c r="F45011" i="1"/>
  <c r="F45012" i="1"/>
  <c r="F45013" i="1"/>
  <c r="F45014" i="1"/>
  <c r="F45015" i="1"/>
  <c r="F45016" i="1"/>
  <c r="F45017" i="1"/>
  <c r="F45018" i="1"/>
  <c r="F45019" i="1"/>
  <c r="F45020" i="1"/>
  <c r="F45021" i="1"/>
  <c r="F45022" i="1"/>
  <c r="F45023" i="1"/>
  <c r="F45024" i="1"/>
  <c r="F45025" i="1"/>
  <c r="F45026" i="1"/>
  <c r="F45027" i="1"/>
  <c r="F45028" i="1"/>
  <c r="F45029" i="1"/>
  <c r="F45030" i="1"/>
  <c r="F45031" i="1"/>
  <c r="F45032" i="1"/>
  <c r="F45033" i="1"/>
  <c r="F45034" i="1"/>
  <c r="F45035" i="1"/>
  <c r="F45036" i="1"/>
  <c r="F45037" i="1"/>
  <c r="F45038" i="1"/>
  <c r="F45039" i="1"/>
  <c r="F45040" i="1"/>
  <c r="F45041" i="1"/>
  <c r="F45042" i="1"/>
  <c r="F45043" i="1"/>
  <c r="F45044" i="1"/>
  <c r="F45045" i="1"/>
  <c r="F45046" i="1"/>
  <c r="F45047" i="1"/>
  <c r="F45048" i="1"/>
  <c r="F45049" i="1"/>
  <c r="F45050" i="1"/>
  <c r="F45051" i="1"/>
  <c r="F45052" i="1"/>
  <c r="F45053" i="1"/>
  <c r="F45054" i="1"/>
  <c r="F45055" i="1"/>
  <c r="F45056" i="1"/>
  <c r="F45057" i="1"/>
  <c r="F45058" i="1"/>
  <c r="F45059" i="1"/>
  <c r="F45060" i="1"/>
  <c r="F45061" i="1"/>
  <c r="F45062" i="1"/>
  <c r="F45063" i="1"/>
  <c r="F45064" i="1"/>
  <c r="F45065" i="1"/>
  <c r="F45066" i="1"/>
  <c r="F45067" i="1"/>
  <c r="F45068" i="1"/>
  <c r="F45069" i="1"/>
  <c r="F45070" i="1"/>
  <c r="F45071" i="1"/>
  <c r="F45072" i="1"/>
  <c r="F45073" i="1"/>
  <c r="F45074" i="1"/>
  <c r="F45075" i="1"/>
  <c r="F45076" i="1"/>
  <c r="F45077" i="1"/>
  <c r="F45078" i="1"/>
  <c r="F45079" i="1"/>
  <c r="F45080" i="1"/>
  <c r="F45081" i="1"/>
  <c r="F45082" i="1"/>
  <c r="F45083" i="1"/>
  <c r="F45084" i="1"/>
  <c r="F45085" i="1"/>
  <c r="F45086" i="1"/>
  <c r="F45087" i="1"/>
  <c r="F45088" i="1"/>
  <c r="F45089" i="1"/>
  <c r="F45090" i="1"/>
  <c r="F45091" i="1"/>
  <c r="F45092" i="1"/>
  <c r="F45093" i="1"/>
  <c r="F45094" i="1"/>
  <c r="F45095" i="1"/>
  <c r="F45096" i="1"/>
  <c r="F45097" i="1"/>
  <c r="F45098" i="1"/>
  <c r="F45099" i="1"/>
  <c r="F45100" i="1"/>
  <c r="F45101" i="1"/>
  <c r="F45102" i="1"/>
  <c r="F45103" i="1"/>
  <c r="F45104" i="1"/>
  <c r="F45105" i="1"/>
  <c r="F45106" i="1"/>
  <c r="F45107" i="1"/>
  <c r="F45108" i="1"/>
  <c r="F45109" i="1"/>
  <c r="F45110" i="1"/>
  <c r="F45111" i="1"/>
  <c r="F45112" i="1"/>
  <c r="F45113" i="1"/>
  <c r="F45114" i="1"/>
  <c r="F45115" i="1"/>
  <c r="F45116" i="1"/>
  <c r="F45117" i="1"/>
  <c r="F45118" i="1"/>
  <c r="F45119" i="1"/>
  <c r="F45120" i="1"/>
  <c r="F45121" i="1"/>
  <c r="F45122" i="1"/>
  <c r="F45123" i="1"/>
  <c r="F45124" i="1"/>
  <c r="F45125" i="1"/>
  <c r="F45126" i="1"/>
  <c r="F45127" i="1"/>
  <c r="F45128" i="1"/>
  <c r="F45129" i="1"/>
  <c r="F45130" i="1"/>
  <c r="F45131" i="1"/>
  <c r="F45132" i="1"/>
  <c r="F45133" i="1"/>
  <c r="F45134" i="1"/>
  <c r="F45135" i="1"/>
  <c r="F45136" i="1"/>
  <c r="F45137" i="1"/>
  <c r="F45138" i="1"/>
  <c r="F45139" i="1"/>
  <c r="F45140" i="1"/>
  <c r="F45141" i="1"/>
  <c r="F45142" i="1"/>
  <c r="F45143" i="1"/>
  <c r="F45144" i="1"/>
  <c r="F45145" i="1"/>
  <c r="F45146" i="1"/>
  <c r="F45147" i="1"/>
  <c r="F45148" i="1"/>
  <c r="F45149" i="1"/>
  <c r="F45150" i="1"/>
  <c r="F45151" i="1"/>
  <c r="F45152" i="1"/>
  <c r="F45153" i="1"/>
  <c r="F45154" i="1"/>
  <c r="F45155" i="1"/>
  <c r="F45156" i="1"/>
  <c r="F45157" i="1"/>
  <c r="F45158" i="1"/>
  <c r="F45159" i="1"/>
  <c r="F45160" i="1"/>
  <c r="F45161" i="1"/>
  <c r="F45162" i="1"/>
  <c r="F45163" i="1"/>
  <c r="F45164" i="1"/>
  <c r="F45165" i="1"/>
  <c r="F45166" i="1"/>
  <c r="F45167" i="1"/>
  <c r="F45168" i="1"/>
  <c r="F45169" i="1"/>
  <c r="F45170" i="1"/>
  <c r="F45171" i="1"/>
  <c r="F45172" i="1"/>
  <c r="F45173" i="1"/>
  <c r="F45174" i="1"/>
  <c r="F45175" i="1"/>
  <c r="F45176" i="1"/>
  <c r="F45177" i="1"/>
  <c r="F45178" i="1"/>
  <c r="F45179" i="1"/>
  <c r="F45180" i="1"/>
  <c r="F45181" i="1"/>
  <c r="F45182" i="1"/>
  <c r="F45183" i="1"/>
  <c r="F45184" i="1"/>
  <c r="F45185" i="1"/>
  <c r="F45186" i="1"/>
  <c r="F45187" i="1"/>
  <c r="F45188" i="1"/>
  <c r="F45189" i="1"/>
  <c r="F45190" i="1"/>
  <c r="F45191" i="1"/>
  <c r="F45192" i="1"/>
  <c r="F45193" i="1"/>
  <c r="F45194" i="1"/>
  <c r="F45195" i="1"/>
  <c r="F45196" i="1"/>
  <c r="F45197" i="1"/>
  <c r="F45198" i="1"/>
  <c r="F45199" i="1"/>
  <c r="F45200" i="1"/>
  <c r="F45201" i="1"/>
  <c r="F45202" i="1"/>
  <c r="F45203" i="1"/>
  <c r="F45204" i="1"/>
  <c r="F45205" i="1"/>
  <c r="F45206" i="1"/>
  <c r="F45207" i="1"/>
  <c r="F45208" i="1"/>
  <c r="F45209" i="1"/>
  <c r="F45210" i="1"/>
  <c r="F45211" i="1"/>
  <c r="F45212" i="1"/>
  <c r="F45213" i="1"/>
  <c r="F45214" i="1"/>
  <c r="F45215" i="1"/>
  <c r="F45216" i="1"/>
  <c r="F45217" i="1"/>
  <c r="F45218" i="1"/>
  <c r="F45219" i="1"/>
  <c r="F45220" i="1"/>
  <c r="F45221" i="1"/>
  <c r="F45222" i="1"/>
  <c r="F45223" i="1"/>
  <c r="F45224" i="1"/>
  <c r="F45225" i="1"/>
  <c r="F45226" i="1"/>
  <c r="F45227" i="1"/>
  <c r="F45228" i="1"/>
  <c r="F45229" i="1"/>
  <c r="F45230" i="1"/>
  <c r="F45231" i="1"/>
  <c r="F45232" i="1"/>
  <c r="F45233" i="1"/>
  <c r="F45234" i="1"/>
  <c r="F45235" i="1"/>
  <c r="F45236" i="1"/>
  <c r="F45237" i="1"/>
  <c r="F45238" i="1"/>
  <c r="F45239" i="1"/>
  <c r="F45240" i="1"/>
  <c r="F45241" i="1"/>
  <c r="F45242" i="1"/>
  <c r="F45243" i="1"/>
  <c r="F45244" i="1"/>
  <c r="F45245" i="1"/>
  <c r="F45246" i="1"/>
  <c r="F45247" i="1"/>
  <c r="F45248" i="1"/>
  <c r="F45249" i="1"/>
  <c r="F45250" i="1"/>
  <c r="F45251" i="1"/>
  <c r="F45252" i="1"/>
  <c r="F45253" i="1"/>
  <c r="F45254" i="1"/>
  <c r="F45255" i="1"/>
  <c r="F45256" i="1"/>
  <c r="F45257" i="1"/>
  <c r="F45258" i="1"/>
  <c r="F45259" i="1"/>
  <c r="F45260" i="1"/>
  <c r="F45261" i="1"/>
  <c r="F45262" i="1"/>
  <c r="F45263" i="1"/>
  <c r="F45264" i="1"/>
  <c r="F45265" i="1"/>
  <c r="F45266" i="1"/>
  <c r="F45267" i="1"/>
  <c r="F45268" i="1"/>
  <c r="F45269" i="1"/>
  <c r="F45270" i="1"/>
  <c r="F45271" i="1"/>
  <c r="F45272" i="1"/>
  <c r="F45273" i="1"/>
  <c r="F45274" i="1"/>
  <c r="F45275" i="1"/>
  <c r="F45276" i="1"/>
  <c r="F45277" i="1"/>
  <c r="F45278" i="1"/>
  <c r="F45279" i="1"/>
  <c r="F45280" i="1"/>
  <c r="F45281" i="1"/>
  <c r="F45282" i="1"/>
  <c r="F45283" i="1"/>
  <c r="F45284" i="1"/>
  <c r="F45285" i="1"/>
  <c r="F45286" i="1"/>
  <c r="F45287" i="1"/>
  <c r="F45288" i="1"/>
  <c r="F45289" i="1"/>
  <c r="F45290" i="1"/>
  <c r="F45291" i="1"/>
  <c r="F45292" i="1"/>
  <c r="F45293" i="1"/>
  <c r="F45294" i="1"/>
  <c r="F45295" i="1"/>
  <c r="F45296" i="1"/>
  <c r="F45297" i="1"/>
  <c r="F45298" i="1"/>
  <c r="F45299" i="1"/>
  <c r="F45300" i="1"/>
  <c r="F45301" i="1"/>
  <c r="F45302" i="1"/>
  <c r="F45303" i="1"/>
  <c r="F45304" i="1"/>
  <c r="F45305" i="1"/>
  <c r="F45306" i="1"/>
  <c r="F45307" i="1"/>
  <c r="F45308" i="1"/>
  <c r="F45309" i="1"/>
  <c r="F45310" i="1"/>
  <c r="F45311" i="1"/>
  <c r="F45312" i="1"/>
  <c r="F45313" i="1"/>
  <c r="F45314" i="1"/>
  <c r="F45315" i="1"/>
  <c r="F45316" i="1"/>
  <c r="F45317" i="1"/>
  <c r="F45318" i="1"/>
  <c r="F45319" i="1"/>
  <c r="F45320" i="1"/>
  <c r="F45321" i="1"/>
  <c r="F45322" i="1"/>
  <c r="F45323" i="1"/>
  <c r="F45324" i="1"/>
  <c r="F45325" i="1"/>
  <c r="F45326" i="1"/>
  <c r="F45327" i="1"/>
  <c r="F45328" i="1"/>
  <c r="F45329" i="1"/>
  <c r="F45330" i="1"/>
  <c r="F45331" i="1"/>
  <c r="F45332" i="1"/>
  <c r="F45333" i="1"/>
  <c r="F45334" i="1"/>
  <c r="F45335" i="1"/>
  <c r="F45336" i="1"/>
  <c r="F45337" i="1"/>
  <c r="F45338" i="1"/>
  <c r="F45339" i="1"/>
  <c r="F45340" i="1"/>
  <c r="F45341" i="1"/>
  <c r="F45342" i="1"/>
  <c r="F45343" i="1"/>
  <c r="F45344" i="1"/>
  <c r="F45345" i="1"/>
  <c r="F45346" i="1"/>
  <c r="F45347" i="1"/>
  <c r="F45348" i="1"/>
  <c r="F45349" i="1"/>
  <c r="F45350" i="1"/>
  <c r="F45351" i="1"/>
  <c r="F45352" i="1"/>
  <c r="F45353" i="1"/>
  <c r="F45354" i="1"/>
  <c r="F45355" i="1"/>
  <c r="F45356" i="1"/>
  <c r="F45357" i="1"/>
  <c r="F45358" i="1"/>
  <c r="F45359" i="1"/>
  <c r="F45360" i="1"/>
  <c r="F45361" i="1"/>
  <c r="F45362" i="1"/>
  <c r="F45363" i="1"/>
  <c r="F45364" i="1"/>
  <c r="F45365" i="1"/>
  <c r="F45366" i="1"/>
  <c r="F45367" i="1"/>
  <c r="F45368" i="1"/>
  <c r="F45369" i="1"/>
  <c r="F45370" i="1"/>
  <c r="F45371" i="1"/>
  <c r="F45372" i="1"/>
  <c r="F45373" i="1"/>
  <c r="F45374" i="1"/>
  <c r="F45375" i="1"/>
  <c r="F45376" i="1"/>
  <c r="F45377" i="1"/>
  <c r="F45378" i="1"/>
  <c r="F45379" i="1"/>
  <c r="F45380" i="1"/>
  <c r="F45381" i="1"/>
  <c r="F45382" i="1"/>
  <c r="F45383" i="1"/>
  <c r="F45384" i="1"/>
  <c r="F45385" i="1"/>
  <c r="F45386" i="1"/>
  <c r="F45387" i="1"/>
  <c r="F45388" i="1"/>
  <c r="F45389" i="1"/>
  <c r="F45390" i="1"/>
  <c r="F45391" i="1"/>
  <c r="F45392" i="1"/>
  <c r="F45393" i="1"/>
  <c r="F45394" i="1"/>
  <c r="F45395" i="1"/>
  <c r="F45396" i="1"/>
  <c r="F45397" i="1"/>
  <c r="F45398" i="1"/>
  <c r="F45399" i="1"/>
  <c r="F45400" i="1"/>
  <c r="F45401" i="1"/>
  <c r="F45402" i="1"/>
  <c r="F45403" i="1"/>
  <c r="F45404" i="1"/>
  <c r="F45405" i="1"/>
  <c r="F45406" i="1"/>
  <c r="F45407" i="1"/>
  <c r="F45408" i="1"/>
  <c r="F45409" i="1"/>
  <c r="F45410" i="1"/>
  <c r="F45411" i="1"/>
  <c r="F45412" i="1"/>
  <c r="F45413" i="1"/>
  <c r="F45414" i="1"/>
  <c r="F45415" i="1"/>
  <c r="F45416" i="1"/>
  <c r="F45417" i="1"/>
  <c r="F45418" i="1"/>
  <c r="F45419" i="1"/>
  <c r="F45420" i="1"/>
  <c r="F45421" i="1"/>
  <c r="F45422" i="1"/>
  <c r="F45423" i="1"/>
  <c r="F45424" i="1"/>
  <c r="F45425" i="1"/>
  <c r="F45426" i="1"/>
  <c r="F45427" i="1"/>
  <c r="F45428" i="1"/>
  <c r="F45429" i="1"/>
  <c r="F45430" i="1"/>
  <c r="F45431" i="1"/>
  <c r="F45432" i="1"/>
  <c r="F45433" i="1"/>
  <c r="F45434" i="1"/>
  <c r="F45435" i="1"/>
  <c r="F45436" i="1"/>
  <c r="F45437" i="1"/>
  <c r="F45438" i="1"/>
  <c r="F45439" i="1"/>
  <c r="F45440" i="1"/>
  <c r="F45441" i="1"/>
  <c r="F45442" i="1"/>
  <c r="F45443" i="1"/>
  <c r="F45444" i="1"/>
  <c r="F45445" i="1"/>
  <c r="F45446" i="1"/>
  <c r="F45447" i="1"/>
  <c r="F45448" i="1"/>
  <c r="F45449" i="1"/>
  <c r="F45450" i="1"/>
  <c r="F45451" i="1"/>
  <c r="F45452" i="1"/>
  <c r="F45453" i="1"/>
  <c r="F45454" i="1"/>
  <c r="F45455" i="1"/>
  <c r="F45456" i="1"/>
  <c r="F45457" i="1"/>
  <c r="F45458" i="1"/>
  <c r="F45459" i="1"/>
  <c r="F45460" i="1"/>
  <c r="F45461" i="1"/>
  <c r="F45462" i="1"/>
  <c r="F45463" i="1"/>
  <c r="F45464" i="1"/>
  <c r="F45465" i="1"/>
  <c r="F45466" i="1"/>
  <c r="F45467" i="1"/>
  <c r="F45468" i="1"/>
  <c r="F45469" i="1"/>
  <c r="F45470" i="1"/>
  <c r="F45471" i="1"/>
  <c r="F45472" i="1"/>
  <c r="F45473" i="1"/>
  <c r="F45474" i="1"/>
  <c r="F45475" i="1"/>
  <c r="F45476" i="1"/>
  <c r="F45477" i="1"/>
  <c r="F45478" i="1"/>
  <c r="F45479" i="1"/>
  <c r="F45480" i="1"/>
  <c r="F45481" i="1"/>
  <c r="F45482" i="1"/>
  <c r="F45483" i="1"/>
  <c r="F45484" i="1"/>
  <c r="F45485" i="1"/>
  <c r="F45486" i="1"/>
  <c r="F45487" i="1"/>
  <c r="F45488" i="1"/>
  <c r="F45489" i="1"/>
  <c r="F45490" i="1"/>
  <c r="F45491" i="1"/>
  <c r="F45492" i="1"/>
  <c r="F45493" i="1"/>
  <c r="F45494" i="1"/>
  <c r="F45495" i="1"/>
  <c r="F45496" i="1"/>
  <c r="F45497" i="1"/>
  <c r="F45498" i="1"/>
  <c r="F45499" i="1"/>
  <c r="F45500" i="1"/>
  <c r="F45501" i="1"/>
  <c r="F45502" i="1"/>
  <c r="F45503" i="1"/>
  <c r="F45504" i="1"/>
  <c r="F45505" i="1"/>
  <c r="F45506" i="1"/>
  <c r="F45507" i="1"/>
  <c r="F45508" i="1"/>
  <c r="F45509" i="1"/>
  <c r="F45510" i="1"/>
  <c r="F45511" i="1"/>
  <c r="F45512" i="1"/>
  <c r="F45513" i="1"/>
  <c r="F45514" i="1"/>
  <c r="F45515" i="1"/>
  <c r="F45516" i="1"/>
  <c r="F45517" i="1"/>
  <c r="F45518" i="1"/>
  <c r="F45519" i="1"/>
  <c r="F45520" i="1"/>
  <c r="F45521" i="1"/>
  <c r="F45522" i="1"/>
  <c r="F45523" i="1"/>
  <c r="F45524" i="1"/>
  <c r="F45525" i="1"/>
  <c r="F45526" i="1"/>
  <c r="F45527" i="1"/>
  <c r="F45528" i="1"/>
  <c r="F45529" i="1"/>
  <c r="F45530" i="1"/>
  <c r="F45531" i="1"/>
  <c r="F45532" i="1"/>
  <c r="F45533" i="1"/>
  <c r="F45534" i="1"/>
  <c r="F45535" i="1"/>
  <c r="F45536" i="1"/>
  <c r="F45537" i="1"/>
  <c r="F45538" i="1"/>
  <c r="F45539" i="1"/>
  <c r="F45540" i="1"/>
  <c r="F45541" i="1"/>
  <c r="F45542" i="1"/>
  <c r="F45543" i="1"/>
  <c r="F45544" i="1"/>
  <c r="F45545" i="1"/>
  <c r="F45546" i="1"/>
  <c r="F45547" i="1"/>
  <c r="F45548" i="1"/>
  <c r="F45549" i="1"/>
  <c r="F45550" i="1"/>
  <c r="F45551" i="1"/>
  <c r="F45552" i="1"/>
  <c r="F45553" i="1"/>
  <c r="F45554" i="1"/>
  <c r="F45555" i="1"/>
  <c r="F45556" i="1"/>
  <c r="F45557" i="1"/>
  <c r="F45558" i="1"/>
  <c r="F45559" i="1"/>
  <c r="F45560" i="1"/>
  <c r="F45561" i="1"/>
  <c r="F45562" i="1"/>
  <c r="F45563" i="1"/>
  <c r="F45564" i="1"/>
  <c r="F45565" i="1"/>
  <c r="F45566" i="1"/>
  <c r="F45567" i="1"/>
  <c r="F45568" i="1"/>
  <c r="F45569" i="1"/>
  <c r="F45570" i="1"/>
  <c r="F45571" i="1"/>
  <c r="F45572" i="1"/>
  <c r="F45573" i="1"/>
  <c r="F45574" i="1"/>
  <c r="F45575" i="1"/>
  <c r="F45576" i="1"/>
  <c r="F45577" i="1"/>
  <c r="F45578" i="1"/>
  <c r="F45579" i="1"/>
  <c r="F45580" i="1"/>
  <c r="F45581" i="1"/>
  <c r="F45582" i="1"/>
  <c r="F45583" i="1"/>
  <c r="F45584" i="1"/>
  <c r="F45585" i="1"/>
  <c r="F45586" i="1"/>
  <c r="F45587" i="1"/>
  <c r="F45588" i="1"/>
  <c r="F45589" i="1"/>
  <c r="F45590" i="1"/>
  <c r="F45591" i="1"/>
  <c r="F45592" i="1"/>
  <c r="F45593" i="1"/>
  <c r="F45594" i="1"/>
  <c r="F45595" i="1"/>
  <c r="F45596" i="1"/>
  <c r="F45597" i="1"/>
  <c r="F45598" i="1"/>
  <c r="F45599" i="1"/>
  <c r="F45600" i="1"/>
  <c r="F45601" i="1"/>
  <c r="F45602" i="1"/>
  <c r="F45603" i="1"/>
  <c r="F45604" i="1"/>
  <c r="F45605" i="1"/>
  <c r="F45606" i="1"/>
  <c r="F45607" i="1"/>
  <c r="F45608" i="1"/>
  <c r="F45609" i="1"/>
  <c r="F45610" i="1"/>
  <c r="F45611" i="1"/>
  <c r="F45612" i="1"/>
  <c r="F45613" i="1"/>
  <c r="F45614" i="1"/>
  <c r="F45615" i="1"/>
  <c r="F45616" i="1"/>
  <c r="F45617" i="1"/>
  <c r="F45618" i="1"/>
  <c r="F45619" i="1"/>
  <c r="F45620" i="1"/>
  <c r="F45621" i="1"/>
  <c r="F45622" i="1"/>
  <c r="F45623" i="1"/>
  <c r="F45624" i="1"/>
  <c r="F45625" i="1"/>
  <c r="F45626" i="1"/>
  <c r="F45627" i="1"/>
  <c r="F45628" i="1"/>
  <c r="F45629" i="1"/>
  <c r="F45630" i="1"/>
  <c r="F45631" i="1"/>
  <c r="F45632" i="1"/>
  <c r="F45633" i="1"/>
  <c r="F45634" i="1"/>
  <c r="F45635" i="1"/>
  <c r="F45636" i="1"/>
  <c r="F45637" i="1"/>
  <c r="F45638" i="1"/>
  <c r="F45639" i="1"/>
  <c r="F45640" i="1"/>
  <c r="F45641" i="1"/>
  <c r="F45642" i="1"/>
  <c r="F45643" i="1"/>
  <c r="F45644" i="1"/>
  <c r="F45645" i="1"/>
  <c r="F45646" i="1"/>
  <c r="F45647" i="1"/>
  <c r="F45648" i="1"/>
  <c r="F45649" i="1"/>
  <c r="F45650" i="1"/>
  <c r="F45651" i="1"/>
  <c r="F45652" i="1"/>
  <c r="F45653" i="1"/>
  <c r="F45654" i="1"/>
  <c r="F45655" i="1"/>
  <c r="F45656" i="1"/>
  <c r="F45657" i="1"/>
  <c r="F45658" i="1"/>
  <c r="F45659" i="1"/>
  <c r="F45660" i="1"/>
  <c r="F45661" i="1"/>
  <c r="F45662" i="1"/>
  <c r="F45663" i="1"/>
  <c r="F45664" i="1"/>
  <c r="F45665" i="1"/>
  <c r="F45666" i="1"/>
  <c r="F45667" i="1"/>
  <c r="F45668" i="1"/>
  <c r="F45669" i="1"/>
  <c r="F45670" i="1"/>
  <c r="F45671" i="1"/>
  <c r="F45672" i="1"/>
  <c r="F45673" i="1"/>
  <c r="F45674" i="1"/>
  <c r="F45675" i="1"/>
  <c r="F45676" i="1"/>
  <c r="F45677" i="1"/>
  <c r="F45678" i="1"/>
  <c r="F45679" i="1"/>
  <c r="F45680" i="1"/>
  <c r="F45681" i="1"/>
  <c r="F45682" i="1"/>
  <c r="F45683" i="1"/>
  <c r="F45684" i="1"/>
  <c r="F45685" i="1"/>
  <c r="F45686" i="1"/>
  <c r="F45687" i="1"/>
  <c r="F45688" i="1"/>
  <c r="F45689" i="1"/>
  <c r="F45690" i="1"/>
  <c r="F45691" i="1"/>
  <c r="F45692" i="1"/>
  <c r="F45693" i="1"/>
  <c r="F45694" i="1"/>
  <c r="F45695" i="1"/>
  <c r="F45696" i="1"/>
  <c r="F45697" i="1"/>
  <c r="F45698" i="1"/>
  <c r="F45699" i="1"/>
  <c r="F45700" i="1"/>
  <c r="F45701" i="1"/>
  <c r="F45702" i="1"/>
  <c r="F45703" i="1"/>
  <c r="F45704" i="1"/>
  <c r="F45705" i="1"/>
  <c r="F45706" i="1"/>
  <c r="F45707" i="1"/>
  <c r="F45708" i="1"/>
  <c r="F45709" i="1"/>
  <c r="F45710" i="1"/>
  <c r="F45711" i="1"/>
  <c r="F45712" i="1"/>
  <c r="F45713" i="1"/>
  <c r="F45714" i="1"/>
  <c r="F45715" i="1"/>
  <c r="F45716" i="1"/>
  <c r="F45717" i="1"/>
  <c r="F45718" i="1"/>
  <c r="F45719" i="1"/>
  <c r="F45720" i="1"/>
  <c r="F45721" i="1"/>
  <c r="F45722" i="1"/>
  <c r="F45723" i="1"/>
  <c r="F45724" i="1"/>
  <c r="F45725" i="1"/>
  <c r="F45726" i="1"/>
  <c r="F45727" i="1"/>
  <c r="F45728" i="1"/>
  <c r="F45729" i="1"/>
  <c r="F45730" i="1"/>
  <c r="F45731" i="1"/>
  <c r="F45732" i="1"/>
  <c r="F45733" i="1"/>
  <c r="F45734" i="1"/>
  <c r="F45735" i="1"/>
  <c r="F45736" i="1"/>
  <c r="F45737" i="1"/>
  <c r="F45738" i="1"/>
  <c r="F45739" i="1"/>
  <c r="F45740" i="1"/>
  <c r="F45741" i="1"/>
  <c r="F45742" i="1"/>
  <c r="F45743" i="1"/>
  <c r="F45744" i="1"/>
  <c r="F45745" i="1"/>
  <c r="F45746" i="1"/>
  <c r="F45747" i="1"/>
  <c r="F45748" i="1"/>
  <c r="F45749" i="1"/>
  <c r="F45750" i="1"/>
  <c r="F45751" i="1"/>
  <c r="F45752" i="1"/>
  <c r="F45753" i="1"/>
  <c r="F45754" i="1"/>
  <c r="F45755" i="1"/>
  <c r="F45756" i="1"/>
  <c r="F45757" i="1"/>
  <c r="F45758" i="1"/>
  <c r="F45759" i="1"/>
  <c r="F45760" i="1"/>
  <c r="F45761" i="1"/>
  <c r="F45762" i="1"/>
  <c r="F45763" i="1"/>
  <c r="F45764" i="1"/>
  <c r="F45765" i="1"/>
  <c r="F45766" i="1"/>
  <c r="F45767" i="1"/>
  <c r="F45768" i="1"/>
  <c r="F45769" i="1"/>
  <c r="F45770" i="1"/>
  <c r="F45771" i="1"/>
  <c r="F45772" i="1"/>
  <c r="F45773" i="1"/>
  <c r="F45774" i="1"/>
  <c r="F45775" i="1"/>
  <c r="F45776" i="1"/>
  <c r="F45777" i="1"/>
  <c r="F45778" i="1"/>
  <c r="F45779" i="1"/>
  <c r="F45780" i="1"/>
  <c r="F45781" i="1"/>
  <c r="F45782" i="1"/>
  <c r="F45783" i="1"/>
  <c r="F45784" i="1"/>
  <c r="F45785" i="1"/>
  <c r="F45786" i="1"/>
  <c r="F45787" i="1"/>
  <c r="F45788" i="1"/>
  <c r="F45789" i="1"/>
  <c r="F45790" i="1"/>
  <c r="F45791" i="1"/>
  <c r="F45792" i="1"/>
  <c r="F45793" i="1"/>
  <c r="F45794" i="1"/>
  <c r="F45795" i="1"/>
  <c r="F45796" i="1"/>
  <c r="F45797" i="1"/>
  <c r="F45798" i="1"/>
  <c r="F45799" i="1"/>
  <c r="F45800" i="1"/>
  <c r="F45801" i="1"/>
  <c r="F45802" i="1"/>
  <c r="F45803" i="1"/>
  <c r="F45804" i="1"/>
  <c r="F45805" i="1"/>
  <c r="F45806" i="1"/>
  <c r="F45807" i="1"/>
  <c r="F45808" i="1"/>
  <c r="F45809" i="1"/>
  <c r="F45810" i="1"/>
  <c r="F45811" i="1"/>
  <c r="F45812" i="1"/>
  <c r="F45813" i="1"/>
  <c r="F45814" i="1"/>
  <c r="F45815" i="1"/>
  <c r="F45816" i="1"/>
  <c r="F45817" i="1"/>
  <c r="F45818" i="1"/>
  <c r="F45819" i="1"/>
  <c r="F45820" i="1"/>
  <c r="F45821" i="1"/>
  <c r="F45822" i="1"/>
  <c r="F45823" i="1"/>
  <c r="F45824" i="1"/>
  <c r="F45825" i="1"/>
  <c r="F45826" i="1"/>
  <c r="F45827" i="1"/>
  <c r="F45828" i="1"/>
  <c r="F45829" i="1"/>
  <c r="F45830" i="1"/>
  <c r="F45831" i="1"/>
  <c r="F45832" i="1"/>
  <c r="F45833" i="1"/>
  <c r="F45834" i="1"/>
  <c r="F45835" i="1"/>
  <c r="F45836" i="1"/>
  <c r="F45837" i="1"/>
  <c r="F45838" i="1"/>
  <c r="F45839" i="1"/>
  <c r="F45840" i="1"/>
  <c r="F45841" i="1"/>
  <c r="F45842" i="1"/>
  <c r="F45843" i="1"/>
  <c r="F45844" i="1"/>
  <c r="F45845" i="1"/>
  <c r="F45846" i="1"/>
  <c r="F45847" i="1"/>
  <c r="F45848" i="1"/>
  <c r="F45849" i="1"/>
  <c r="F45850" i="1"/>
  <c r="F45851" i="1"/>
  <c r="F45852" i="1"/>
  <c r="F45853" i="1"/>
  <c r="F45854" i="1"/>
  <c r="F45855" i="1"/>
  <c r="F45856" i="1"/>
  <c r="F45857" i="1"/>
  <c r="F45858" i="1"/>
  <c r="F45859" i="1"/>
  <c r="F45860" i="1"/>
  <c r="F45861" i="1"/>
  <c r="F45862" i="1"/>
  <c r="F45863" i="1"/>
  <c r="F45864" i="1"/>
  <c r="F45865" i="1"/>
  <c r="F45866" i="1"/>
  <c r="F45867" i="1"/>
  <c r="F45868" i="1"/>
  <c r="F45869" i="1"/>
  <c r="F45870" i="1"/>
  <c r="F45871" i="1"/>
  <c r="F45872" i="1"/>
  <c r="F45873" i="1"/>
  <c r="F45874" i="1"/>
  <c r="F45875" i="1"/>
  <c r="F45876" i="1"/>
  <c r="F45877" i="1"/>
  <c r="F45878" i="1"/>
  <c r="F45879" i="1"/>
  <c r="F45880" i="1"/>
  <c r="F45881" i="1"/>
  <c r="F45882" i="1"/>
  <c r="F45883" i="1"/>
  <c r="F45884" i="1"/>
  <c r="F45885" i="1"/>
  <c r="F45886" i="1"/>
  <c r="F45887" i="1"/>
  <c r="F45888" i="1"/>
  <c r="F45889" i="1"/>
  <c r="F45890" i="1"/>
  <c r="F45891" i="1"/>
  <c r="F45892" i="1"/>
  <c r="F45893" i="1"/>
  <c r="F45894" i="1"/>
  <c r="F45895" i="1"/>
  <c r="F45896" i="1"/>
  <c r="F45897" i="1"/>
  <c r="F45898" i="1"/>
  <c r="F45899" i="1"/>
  <c r="F45900" i="1"/>
  <c r="F45901" i="1"/>
  <c r="F45902" i="1"/>
  <c r="F45903" i="1"/>
  <c r="F45904" i="1"/>
  <c r="F45905" i="1"/>
  <c r="F45906" i="1"/>
  <c r="F45907" i="1"/>
  <c r="F45908" i="1"/>
  <c r="F45909" i="1"/>
  <c r="F45910" i="1"/>
  <c r="F45911" i="1"/>
  <c r="F45912" i="1"/>
  <c r="F45913" i="1"/>
  <c r="F45914" i="1"/>
  <c r="F45915" i="1"/>
  <c r="F45916" i="1"/>
  <c r="F45917" i="1"/>
  <c r="F45918" i="1"/>
  <c r="F45919" i="1"/>
  <c r="F45920" i="1"/>
  <c r="F45921" i="1"/>
  <c r="F45922" i="1"/>
  <c r="F45923" i="1"/>
  <c r="F45924" i="1"/>
  <c r="F45925" i="1"/>
  <c r="F45926" i="1"/>
  <c r="F45927" i="1"/>
  <c r="F45928" i="1"/>
  <c r="F45929" i="1"/>
  <c r="F45930" i="1"/>
  <c r="F45931" i="1"/>
  <c r="F45932" i="1"/>
  <c r="F45933" i="1"/>
  <c r="F45934" i="1"/>
  <c r="F45935" i="1"/>
  <c r="F45936" i="1"/>
  <c r="F45937" i="1"/>
  <c r="F45938" i="1"/>
  <c r="F45939" i="1"/>
  <c r="F45940" i="1"/>
  <c r="F45941" i="1"/>
  <c r="F45942" i="1"/>
  <c r="F45943" i="1"/>
  <c r="F45944" i="1"/>
  <c r="F45945" i="1"/>
  <c r="F45946" i="1"/>
  <c r="F45947" i="1"/>
  <c r="F45948" i="1"/>
  <c r="F45949" i="1"/>
  <c r="F45950" i="1"/>
  <c r="F45951" i="1"/>
  <c r="F45952" i="1"/>
  <c r="F45953" i="1"/>
  <c r="F45954" i="1"/>
  <c r="F45955" i="1"/>
  <c r="F45956" i="1"/>
  <c r="F45957" i="1"/>
  <c r="F45958" i="1"/>
  <c r="F45959" i="1"/>
  <c r="F45960" i="1"/>
  <c r="F45961" i="1"/>
  <c r="F45962" i="1"/>
  <c r="F45963" i="1"/>
  <c r="F45964" i="1"/>
  <c r="F45965" i="1"/>
  <c r="F45966" i="1"/>
  <c r="F45967" i="1"/>
  <c r="F45968" i="1"/>
  <c r="F45969" i="1"/>
  <c r="F45970" i="1"/>
  <c r="F45971" i="1"/>
  <c r="F45972" i="1"/>
  <c r="F45973" i="1"/>
  <c r="F45974" i="1"/>
  <c r="F45975" i="1"/>
  <c r="F45976" i="1"/>
  <c r="F45977" i="1"/>
  <c r="F45978" i="1"/>
  <c r="F45979" i="1"/>
  <c r="F45980" i="1"/>
  <c r="F45981" i="1"/>
  <c r="F45982" i="1"/>
  <c r="F45983" i="1"/>
  <c r="F45984" i="1"/>
  <c r="F45985" i="1"/>
  <c r="F45986" i="1"/>
  <c r="F45987" i="1"/>
  <c r="F45988" i="1"/>
  <c r="F45989" i="1"/>
  <c r="F45990" i="1"/>
  <c r="F45991" i="1"/>
  <c r="F45992" i="1"/>
  <c r="F45993" i="1"/>
  <c r="F45994" i="1"/>
  <c r="F45995" i="1"/>
  <c r="F45996" i="1"/>
  <c r="F45997" i="1"/>
  <c r="F45998" i="1"/>
  <c r="F45999" i="1"/>
  <c r="F46000" i="1"/>
  <c r="F46001" i="1"/>
  <c r="F46002" i="1"/>
  <c r="F46003" i="1"/>
  <c r="F46004" i="1"/>
  <c r="F46005" i="1"/>
  <c r="F46006" i="1"/>
  <c r="F46007" i="1"/>
  <c r="F46008" i="1"/>
  <c r="F46009" i="1"/>
  <c r="F46010" i="1"/>
  <c r="F46011" i="1"/>
  <c r="F46012" i="1"/>
  <c r="F46013" i="1"/>
  <c r="F46014" i="1"/>
  <c r="F46015" i="1"/>
  <c r="F46016" i="1"/>
  <c r="F46017" i="1"/>
  <c r="F46018" i="1"/>
  <c r="F46019" i="1"/>
  <c r="F46020" i="1"/>
  <c r="F46021" i="1"/>
  <c r="F46022" i="1"/>
  <c r="F46023" i="1"/>
  <c r="F46024" i="1"/>
  <c r="F46025" i="1"/>
  <c r="F46026" i="1"/>
  <c r="F46027" i="1"/>
  <c r="F46028" i="1"/>
  <c r="F46029" i="1"/>
  <c r="F46030" i="1"/>
  <c r="F46031" i="1"/>
  <c r="F46032" i="1"/>
  <c r="F46033" i="1"/>
  <c r="F46034" i="1"/>
  <c r="F46035" i="1"/>
  <c r="F46036" i="1"/>
  <c r="F46037" i="1"/>
  <c r="F46038" i="1"/>
  <c r="F46039" i="1"/>
  <c r="F46040" i="1"/>
  <c r="F46041" i="1"/>
  <c r="F46042" i="1"/>
  <c r="F46043" i="1"/>
  <c r="F46044" i="1"/>
  <c r="F46045" i="1"/>
  <c r="F46046" i="1"/>
  <c r="F46047" i="1"/>
  <c r="F46048" i="1"/>
  <c r="F46049" i="1"/>
  <c r="F46050" i="1"/>
  <c r="F46051" i="1"/>
  <c r="F46052" i="1"/>
  <c r="F46053" i="1"/>
  <c r="F46054" i="1"/>
  <c r="F46055" i="1"/>
  <c r="F46056" i="1"/>
  <c r="F46057" i="1"/>
  <c r="F46058" i="1"/>
  <c r="F46059" i="1"/>
  <c r="F46060" i="1"/>
  <c r="F46061" i="1"/>
  <c r="F46062" i="1"/>
  <c r="F46063" i="1"/>
  <c r="F46064" i="1"/>
  <c r="F46065" i="1"/>
  <c r="F46066" i="1"/>
  <c r="F46067" i="1"/>
  <c r="F46068" i="1"/>
  <c r="F46069" i="1"/>
  <c r="F46070" i="1"/>
  <c r="F46071" i="1"/>
  <c r="F46072" i="1"/>
  <c r="F46073" i="1"/>
  <c r="F46074" i="1"/>
  <c r="F46075" i="1"/>
  <c r="F46076" i="1"/>
  <c r="F46077" i="1"/>
  <c r="F46078" i="1"/>
  <c r="F46079" i="1"/>
  <c r="F46080" i="1"/>
  <c r="F46081" i="1"/>
  <c r="F46082" i="1"/>
  <c r="F46083" i="1"/>
  <c r="F46084" i="1"/>
  <c r="F46085" i="1"/>
  <c r="F46086" i="1"/>
  <c r="F46087" i="1"/>
  <c r="F46088" i="1"/>
  <c r="F46089" i="1"/>
  <c r="F46090" i="1"/>
  <c r="F46091" i="1"/>
  <c r="F46092" i="1"/>
  <c r="F46093" i="1"/>
  <c r="F46094" i="1"/>
  <c r="F46095" i="1"/>
  <c r="F46096" i="1"/>
  <c r="F46097" i="1"/>
  <c r="F46098" i="1"/>
  <c r="F46099" i="1"/>
  <c r="F46100" i="1"/>
  <c r="F46101" i="1"/>
  <c r="F46102" i="1"/>
  <c r="F46103" i="1"/>
  <c r="F46104" i="1"/>
  <c r="F46105" i="1"/>
  <c r="F46106" i="1"/>
  <c r="F46107" i="1"/>
  <c r="F46108" i="1"/>
  <c r="F46109" i="1"/>
  <c r="F46110" i="1"/>
  <c r="F46111" i="1"/>
  <c r="F46112" i="1"/>
  <c r="F46113" i="1"/>
  <c r="F46114" i="1"/>
  <c r="F46115" i="1"/>
  <c r="F46116" i="1"/>
  <c r="F46117" i="1"/>
  <c r="F46118" i="1"/>
  <c r="F46119" i="1"/>
  <c r="F46120" i="1"/>
  <c r="F46121" i="1"/>
  <c r="F46122" i="1"/>
  <c r="F46123" i="1"/>
  <c r="F46124" i="1"/>
  <c r="F46125" i="1"/>
  <c r="F46126" i="1"/>
  <c r="F46127" i="1"/>
  <c r="F46128" i="1"/>
  <c r="F46129" i="1"/>
  <c r="F46130" i="1"/>
  <c r="F46131" i="1"/>
  <c r="F46132" i="1"/>
  <c r="F46133" i="1"/>
  <c r="F46134" i="1"/>
  <c r="F46135" i="1"/>
  <c r="F46136" i="1"/>
  <c r="F46137" i="1"/>
  <c r="F46138" i="1"/>
  <c r="F46139" i="1"/>
  <c r="F46140" i="1"/>
  <c r="F46141" i="1"/>
  <c r="F46142" i="1"/>
  <c r="F46143" i="1"/>
  <c r="F46144" i="1"/>
  <c r="F46145" i="1"/>
  <c r="F46146" i="1"/>
  <c r="F46147" i="1"/>
  <c r="F46148" i="1"/>
  <c r="F46149" i="1"/>
  <c r="F46150" i="1"/>
  <c r="F46151" i="1"/>
  <c r="F46152" i="1"/>
  <c r="F46153" i="1"/>
  <c r="F46154" i="1"/>
  <c r="F46155" i="1"/>
  <c r="F46156" i="1"/>
  <c r="F46157" i="1"/>
  <c r="F46158" i="1"/>
  <c r="F46159" i="1"/>
  <c r="F46160" i="1"/>
  <c r="F46161" i="1"/>
  <c r="F46162" i="1"/>
  <c r="F46163" i="1"/>
</calcChain>
</file>

<file path=xl/sharedStrings.xml><?xml version="1.0" encoding="utf-8"?>
<sst xmlns="http://schemas.openxmlformats.org/spreadsheetml/2006/main" count="223537" uniqueCount="69313">
  <si>
    <t>שם הספר</t>
  </si>
  <si>
    <t>מחבר</t>
  </si>
  <si>
    <t>שנת הדפסה</t>
  </si>
  <si>
    <t>מקום הדפסה</t>
  </si>
  <si>
    <t>נושאים</t>
  </si>
  <si>
    <t>קישור אקסל</t>
  </si>
  <si>
    <t>אב בחכמה</t>
  </si>
  <si>
    <t>יודלביץ, אברהם אהרן בן בנימין בונם</t>
  </si>
  <si>
    <t>תרפ"ז</t>
  </si>
  <si>
    <t>ניו יורק New York</t>
  </si>
  <si>
    <t>הלכה ומנהג, שאלות ותשובות</t>
  </si>
  <si>
    <t>אבודרהם  &lt;הלכות מילה וברכותיה ופדיון הבן&gt;</t>
  </si>
  <si>
    <t>אבודרהם, דוד בן יוסף</t>
  </si>
  <si>
    <t>תשס"ח</t>
  </si>
  <si>
    <t>ירושלים</t>
  </si>
  <si>
    <t>הלכה ומנהג</t>
  </si>
  <si>
    <t>אבודרהם  &lt;תהלה לדוד&gt;</t>
  </si>
  <si>
    <t>תשס"א</t>
  </si>
  <si>
    <t>אבודרהם &lt;שפתי דעת&gt;</t>
  </si>
  <si>
    <t>אבודרהם, דוד בן יוסף - אוחנה, נהוראי יוסף</t>
  </si>
  <si>
    <t>חש"ד</t>
  </si>
  <si>
    <t>ירושלים Jeruasalem</t>
  </si>
  <si>
    <t>אבודרהם &lt;מהדורת קרן רא"ם&gt; - 3 כר'</t>
  </si>
  <si>
    <t>תשע"ה</t>
  </si>
  <si>
    <t>הלכה ומנהג, תפלות בקשות פיוטים ושירה</t>
  </si>
  <si>
    <t>אבודרהם השלם</t>
  </si>
  <si>
    <t>תשכ"ג</t>
  </si>
  <si>
    <t>ירושלים Jerusalem</t>
  </si>
  <si>
    <t>הלכה ומנהג, נושאים שונים, תפלות בקשות פיוטים ושירה</t>
  </si>
  <si>
    <t>אבודרהם עם באור</t>
  </si>
  <si>
    <t>קלוז' Cluj</t>
  </si>
  <si>
    <t>הלכה ומנהג, הלכה ומנהג, תפלות בקשות פיוטים ושירה</t>
  </si>
  <si>
    <t>אבודרהם - 4 כר'</t>
  </si>
  <si>
    <t>ר"נ</t>
  </si>
  <si>
    <t>אשבונה</t>
  </si>
  <si>
    <t>אבות אל בנים</t>
  </si>
  <si>
    <t>כהן, דב</t>
  </si>
  <si>
    <t>תשע"ד</t>
  </si>
  <si>
    <t>משנה, נושאים שונים</t>
  </si>
  <si>
    <t>אבות דר"ן</t>
  </si>
  <si>
    <t>נתן בן נחמיה מליסא</t>
  </si>
  <si>
    <t>תפ"ח</t>
  </si>
  <si>
    <t>אלטונה Altona</t>
  </si>
  <si>
    <t>שאר ספרי חז"ל</t>
  </si>
  <si>
    <t>אבות דרבי נתן &lt;ב' נוסחאות, עם הערות&gt;</t>
  </si>
  <si>
    <t>אבות דרבי נתן</t>
  </si>
  <si>
    <t>תש"ה</t>
  </si>
  <si>
    <t>אבות דרבי נתן &lt;דפו"ר&gt;</t>
  </si>
  <si>
    <t>ש"ו-ש"ז</t>
  </si>
  <si>
    <t>ונציה Venice</t>
  </si>
  <si>
    <t>אבות דרבי נתן &lt;נוסח אחר&gt;</t>
  </si>
  <si>
    <t>תשס"ב</t>
  </si>
  <si>
    <t>בני ברק</t>
  </si>
  <si>
    <t>אבות דרבי נתן &lt;שני אליהו, בן אברהם&gt;</t>
  </si>
  <si>
    <t>אליהו בן שלמה זלמן (הגר"א) - יעקב בן אברהם מקובנה</t>
  </si>
  <si>
    <t>תקצ"ג</t>
  </si>
  <si>
    <t>וילנה Vilna</t>
  </si>
  <si>
    <t>אבות דרבי נתן &lt;עם פירוש בעל לקח טוב&gt; - 2 כר'</t>
  </si>
  <si>
    <t>אליעזר ליפמאן בן מנחם מנלי מזמושץ'</t>
  </si>
  <si>
    <t>תפ"ג</t>
  </si>
  <si>
    <t>זולקוה Zholkva</t>
  </si>
  <si>
    <t>אבות דרבי נתן &lt;בפיסוק ובביאור קצר&gt;</t>
  </si>
  <si>
    <t>קרויזר, שמואל בן חיים יוסף</t>
  </si>
  <si>
    <t>תשכ"ו</t>
  </si>
  <si>
    <t>נושאים שונים, שאר ספרי חז"ל</t>
  </si>
  <si>
    <t>אבות דרבי נתן מנוסח צרפת</t>
  </si>
  <si>
    <t>אבות דרבי נתן עם ביאור מגן אבות - 2 כר'</t>
  </si>
  <si>
    <t>צהלון, יום טוב בן משה (מהריט"ץ)</t>
  </si>
  <si>
    <t>תש"ע</t>
  </si>
  <si>
    <t>אבות הפיוט</t>
  </si>
  <si>
    <t>שפיגל, שלום</t>
  </si>
  <si>
    <t>תשנ"ז</t>
  </si>
  <si>
    <t>ירושלים - ניו יורק</t>
  </si>
  <si>
    <t>אבות הראש - 3 כר'</t>
  </si>
  <si>
    <t>פאלאג'י, רחמים נסים יצחק בן חיים</t>
  </si>
  <si>
    <t>תרכ"ב</t>
  </si>
  <si>
    <t>שלוניקי Salonika</t>
  </si>
  <si>
    <t>אבות ובנים בכתבי הקודש</t>
  </si>
  <si>
    <t>גרשטנקורן, יצחק בן פתחיה</t>
  </si>
  <si>
    <t>תש"ח</t>
  </si>
  <si>
    <t>בני ברק Bene Berak</t>
  </si>
  <si>
    <t>מחשבה ומוסר, נושאים שונים, תולדות עם ישראל</t>
  </si>
  <si>
    <t>אבות ובנים על פרקי אבות</t>
  </si>
  <si>
    <t>שולם, ברוך - שולם, עמוס</t>
  </si>
  <si>
    <t>משנה</t>
  </si>
  <si>
    <t>אבות ובנים עץ היוחסין למשפחת הינמן</t>
  </si>
  <si>
    <t>הינמן, משה יוסף</t>
  </si>
  <si>
    <t>תשנ"ד</t>
  </si>
  <si>
    <t>אבות ישראל - 2 כר'</t>
  </si>
  <si>
    <t>ישראל, אברהם</t>
  </si>
  <si>
    <t>חמ"ד</t>
  </si>
  <si>
    <t>מחשבה ומוסר, משנה, נושאים שונים</t>
  </si>
  <si>
    <t>אבות עולם &lt;מהדורה חדשה&gt;</t>
  </si>
  <si>
    <t>וויטאלי, בנימין בן אליעזר הכהן</t>
  </si>
  <si>
    <t>אבות עולם</t>
  </si>
  <si>
    <t>ונציה</t>
  </si>
  <si>
    <t>תע"ט</t>
  </si>
  <si>
    <t>אבות על בנים</t>
  </si>
  <si>
    <t>בראך, שאול בן אלעזר</t>
  </si>
  <si>
    <t>תרפ"ו</t>
  </si>
  <si>
    <t>סאיני Seini</t>
  </si>
  <si>
    <t>אבות על בנים - 2 כר'</t>
  </si>
  <si>
    <t>זוהר, אורי</t>
  </si>
  <si>
    <t>תשס"ד</t>
  </si>
  <si>
    <t>נושאים שונים</t>
  </si>
  <si>
    <t>מאזוז, אלטר בן בנציון</t>
  </si>
  <si>
    <t>תשל"ה</t>
  </si>
  <si>
    <t>שוורץ, יואל בן אהרן</t>
  </si>
  <si>
    <t>כפר דרום</t>
  </si>
  <si>
    <t>אבות של זמננו - 4 כר'</t>
  </si>
  <si>
    <t>קליין, משה יעקב</t>
  </si>
  <si>
    <t>תשע"ט</t>
  </si>
  <si>
    <t>אבות שלושה - מסכת אבות</t>
  </si>
  <si>
    <t>שלשה פירושים לרבותינו הראשונים</t>
  </si>
  <si>
    <t>תשע"א</t>
  </si>
  <si>
    <t>פתח תקוה</t>
  </si>
  <si>
    <t>אבותינו בשערי ירושלים</t>
  </si>
  <si>
    <t>לזכרו של ר' עדיאל לוין</t>
  </si>
  <si>
    <t>ישראל</t>
  </si>
  <si>
    <t>תולדות עם ישראל</t>
  </si>
  <si>
    <t>אבותינו ולנו - 2 כר'</t>
  </si>
  <si>
    <t>כהן, יועד</t>
  </si>
  <si>
    <t>אבותינו ספרו - ב</t>
  </si>
  <si>
    <t>רבי, משה</t>
  </si>
  <si>
    <t>תשל"ו</t>
  </si>
  <si>
    <t>אבי בעזרי - 2 כר'</t>
  </si>
  <si>
    <t>לוי, אליעזר בן יצחק חיים</t>
  </si>
  <si>
    <t>אבי בעזרי</t>
  </si>
  <si>
    <t>רוט, אליעזר בן חיים דוב</t>
  </si>
  <si>
    <t>תשס"ז</t>
  </si>
  <si>
    <t>הלכה ומנהג, מועדי ישראל</t>
  </si>
  <si>
    <t>אבי הבן והסנדק</t>
  </si>
  <si>
    <t>פרידמאן, שלמה זלמן</t>
  </si>
  <si>
    <t>תשע"ג</t>
  </si>
  <si>
    <t>לייקוואד</t>
  </si>
  <si>
    <t>אבי הישיבות</t>
  </si>
  <si>
    <t>אליאך, דב בן דוד צבי</t>
  </si>
  <si>
    <t>אבי הנחל - 3 כר'</t>
  </si>
  <si>
    <t>אודסר, ישראל דב</t>
  </si>
  <si>
    <t>צפת</t>
  </si>
  <si>
    <t>חסידות</t>
  </si>
  <si>
    <t>אבי הנחל</t>
  </si>
  <si>
    <t>אויערבך, אביעזרי זליג בן צבי בנימין</t>
  </si>
  <si>
    <t>תשנ"א</t>
  </si>
  <si>
    <t>תלמוד בבלי</t>
  </si>
  <si>
    <t>אלמליח, אשר בן יצחק</t>
  </si>
  <si>
    <t>תשס"ו</t>
  </si>
  <si>
    <t>אלעד</t>
  </si>
  <si>
    <t>הלכה ומנהג, שלחן ערוך ומפרשיו</t>
  </si>
  <si>
    <t>אבי הנחל - זבחים</t>
  </si>
  <si>
    <t>בן אריה, יהושע אפרים הכהן</t>
  </si>
  <si>
    <t>תשע"ח</t>
  </si>
  <si>
    <t>מודיעין עילית</t>
  </si>
  <si>
    <t>נחום, אביחי</t>
  </si>
  <si>
    <t>שאלות ותשובות</t>
  </si>
  <si>
    <t>פאלאג'י, חיים בן יעקב</t>
  </si>
  <si>
    <t>תר"מ</t>
  </si>
  <si>
    <t>אזמיר Izmir</t>
  </si>
  <si>
    <t>תנ"ך</t>
  </si>
  <si>
    <t>פרחי, אברהם בן דניאל</t>
  </si>
  <si>
    <t>תש"ז</t>
  </si>
  <si>
    <t>דרושים, דרושים, מועדי ישראל, מחשבה ומוסר, נושאים שונים, תנ"ך, תפלות בקשות פיוטים ושירה</t>
  </si>
  <si>
    <t>שפירא, יהושע אייזיק בן יחיאל</t>
  </si>
  <si>
    <t>תרי"ד</t>
  </si>
  <si>
    <t>קניגסברג Koenigsberg</t>
  </si>
  <si>
    <t>דרושים, מועדי ישראל, נושאים שונים</t>
  </si>
  <si>
    <t>אבי ידע</t>
  </si>
  <si>
    <t>שמאי, שמואל בן משה</t>
  </si>
  <si>
    <t>תשמ"ה</t>
  </si>
  <si>
    <t>אבי עזר - 2 כר'</t>
  </si>
  <si>
    <t>ליפשיץ, גדליה בן ישראל</t>
  </si>
  <si>
    <t>תשט"ו - תשט"ז</t>
  </si>
  <si>
    <t>שלחן ערוך ומפרשיו</t>
  </si>
  <si>
    <t>אבי עזרי &lt;על הש"ס&gt; - 5 כר'</t>
  </si>
  <si>
    <t>שך, אלעזר מנחם מן בן עזריאל</t>
  </si>
  <si>
    <t>אבי עזרי (חיפוש בלבד) - 4 כר'</t>
  </si>
  <si>
    <t>תשנ"ה</t>
  </si>
  <si>
    <t>אבי עזרי - ספר הגליונות &lt;חיפוש בלבד&gt;</t>
  </si>
  <si>
    <t>אביאסף - 2 כר'</t>
  </si>
  <si>
    <t>הכהן, אברהם בן יעקב</t>
  </si>
  <si>
    <t>תשכ"ד</t>
  </si>
  <si>
    <t>טוניס</t>
  </si>
  <si>
    <t>הלכה ומנהג, נושאים שונים, נושאים שונים</t>
  </si>
  <si>
    <t>אביב לה'</t>
  </si>
  <si>
    <t>לוצקי, מיכאל - קליקשטין, משה</t>
  </si>
  <si>
    <t>תש"פ</t>
  </si>
  <si>
    <t>קבצים וכתבי עת, ספרי זכרון ויובל, תלמוד בבלי</t>
  </si>
  <si>
    <t>אבידה ומציאה</t>
  </si>
  <si>
    <t>פנחסי, רחמים בן משה</t>
  </si>
  <si>
    <t>תשס"ה</t>
  </si>
  <si>
    <t>אבידת אחיך</t>
  </si>
  <si>
    <t>טובי, אליהו</t>
  </si>
  <si>
    <t>אביהם של ישראל (לילדים)</t>
  </si>
  <si>
    <t>אליהו, יוסף - ריגל, חנוך</t>
  </si>
  <si>
    <t>אביהם של ישראל - 5 כר'</t>
  </si>
  <si>
    <t>אליהו, שמואל בן מרדכי</t>
  </si>
  <si>
    <t>אביהם של ישראל</t>
  </si>
  <si>
    <t>רייך, אפרים (עורך)</t>
  </si>
  <si>
    <t>סאן פאולו</t>
  </si>
  <si>
    <t>קבצים וכתבי עת, ספרי זכרון ויובל, תולדות עם ישראל</t>
  </si>
  <si>
    <t>אביהן - תולדות רבי יחיאל פישל וינגרטן</t>
  </si>
  <si>
    <t>מוסד וינגרטן</t>
  </si>
  <si>
    <t>קבצים וכתבי עת, ספרי זכרון ויובל</t>
  </si>
  <si>
    <t>אביו של אדם כמלכו</t>
  </si>
  <si>
    <t>שפירא, משה בן שלום צבי הכהן</t>
  </si>
  <si>
    <t>אביטה נפלאות - מגילת אסתר</t>
  </si>
  <si>
    <t>בעילום שם</t>
  </si>
  <si>
    <t>אבינתן - בבא מציעא</t>
  </si>
  <si>
    <t>פאדרו, נתנאל</t>
  </si>
  <si>
    <t>אביעה חידות</t>
  </si>
  <si>
    <t>חמוי, אברהם שלום חי בן רפאל</t>
  </si>
  <si>
    <t>תרל"ט-תרמ"א</t>
  </si>
  <si>
    <t>ליוורנו Livorno</t>
  </si>
  <si>
    <t>מחשבה ומוסר, נושאים שונים</t>
  </si>
  <si>
    <t>אביעה סגולות</t>
  </si>
  <si>
    <t>עמרוצי, אדיר בן יצחק</t>
  </si>
  <si>
    <t>תל אביב</t>
  </si>
  <si>
    <t>אביעה רפואות</t>
  </si>
  <si>
    <t>אביעה תפלות</t>
  </si>
  <si>
    <t>תפלות בקשות פיוטים ושירה</t>
  </si>
  <si>
    <t>אביר המלכות - 2 כר'</t>
  </si>
  <si>
    <t>בקנרוט, אריה</t>
  </si>
  <si>
    <t>אביר הרועים</t>
  </si>
  <si>
    <t>מאמלוק, צבי יהודה בן מרדכי הלוי</t>
  </si>
  <si>
    <t>תרצ"ה</t>
  </si>
  <si>
    <t>פיוטרקוב Piotrkow</t>
  </si>
  <si>
    <t>חסידות, תולדות עם ישראל</t>
  </si>
  <si>
    <t>אביר יוסף</t>
  </si>
  <si>
    <t>ריינמאן, יעקב יוסף בן אריה ליב</t>
  </si>
  <si>
    <t>לייקוואוד</t>
  </si>
  <si>
    <t>מועדי ישראל, תנ"ך</t>
  </si>
  <si>
    <t>אביר יעקב &lt;סדיגורה - מהדורה חדשה&gt;</t>
  </si>
  <si>
    <t>פרידמן, אברהם יעקב</t>
  </si>
  <si>
    <t>אביר יעקב &lt;סדיגורה&gt;</t>
  </si>
  <si>
    <t>דרושים</t>
  </si>
  <si>
    <t>אביר יעקב</t>
  </si>
  <si>
    <t>אביגדור, יעקב בן אברהם יששכר דוב</t>
  </si>
  <si>
    <t>תש"ט</t>
  </si>
  <si>
    <t>אביר יעקב - 8 כר'</t>
  </si>
  <si>
    <t>אביחצירא, יעקב בן מסעוד</t>
  </si>
  <si>
    <t>נהריה</t>
  </si>
  <si>
    <t>מחשבה ומוסר</t>
  </si>
  <si>
    <t>אביר יעקב - 2 כר'</t>
  </si>
  <si>
    <t>ארלאף, יעקב חיים</t>
  </si>
  <si>
    <t>תשע"ו</t>
  </si>
  <si>
    <t>ליקווד</t>
  </si>
  <si>
    <t>מועדי ישראל</t>
  </si>
  <si>
    <t>גירון, יעקב אברהם בן יקיר אסטרוק</t>
  </si>
  <si>
    <t>תקצ"ח</t>
  </si>
  <si>
    <t>סיניגאליה, יעקב שמשון שבתי בן רפאל יששכר</t>
  </si>
  <si>
    <t>תקע"א</t>
  </si>
  <si>
    <t>פיזה Pisa</t>
  </si>
  <si>
    <t>ענתבי, יעקב</t>
  </si>
  <si>
    <t>קובץ מאמרים</t>
  </si>
  <si>
    <t>אביר יעקב - שבועות</t>
  </si>
  <si>
    <t>שטרן, שמואל טוביה בן יעקב</t>
  </si>
  <si>
    <t>אבירי בבל</t>
  </si>
  <si>
    <t>כהן, מאיר</t>
  </si>
  <si>
    <t>אבירי הרועים</t>
  </si>
  <si>
    <t>ארליך, ישראל בן יהודה</t>
  </si>
  <si>
    <t>תל אביב Tel Aviv</t>
  </si>
  <si>
    <t>אבישוע</t>
  </si>
  <si>
    <t>חדאד, חי בן ישועה</t>
  </si>
  <si>
    <t>דרושים, נושאים שונים, תלמוד בבלי</t>
  </si>
  <si>
    <t>אבל אם</t>
  </si>
  <si>
    <t>שור, יצחק אייזיק בן מאיר</t>
  </si>
  <si>
    <t>תרל"ג</t>
  </si>
  <si>
    <t>לבוב Lvov</t>
  </si>
  <si>
    <t>אבל גדול</t>
  </si>
  <si>
    <t>תאומים, אברהם בן ישראל</t>
  </si>
  <si>
    <t>תרי"א</t>
  </si>
  <si>
    <t>אבל ונחמה - מדריך הלכתי</t>
  </si>
  <si>
    <t>צעירי אגודת חב"ד</t>
  </si>
  <si>
    <t>כפר חב"ד</t>
  </si>
  <si>
    <t>אבל יחיד עשי לך</t>
  </si>
  <si>
    <t>הספדים על הגרמ"י ליפקוביץ זצ"ל</t>
  </si>
  <si>
    <t>מודעין עלית</t>
  </si>
  <si>
    <t>אבל יחיד</t>
  </si>
  <si>
    <t>דובנא, שלמה בן יואל</t>
  </si>
  <si>
    <t>תקל"ו</t>
  </si>
  <si>
    <t>ברלין Berlin</t>
  </si>
  <si>
    <t>פלאם, אברהם דוב בן דוד</t>
  </si>
  <si>
    <t>תקצ"ד</t>
  </si>
  <si>
    <t>ורשה Warsaw</t>
  </si>
  <si>
    <t>אבל ישראל</t>
  </si>
  <si>
    <t>שווארץ, יוסף בן נפתלי הכהן</t>
  </si>
  <si>
    <t>תרצ"ו</t>
  </si>
  <si>
    <t>אורדיאה מרה Oradea</t>
  </si>
  <si>
    <t>דרושים, ספריית חב"ד</t>
  </si>
  <si>
    <t>אבל כבד</t>
  </si>
  <si>
    <t>חנוך זונדל בן יוסף</t>
  </si>
  <si>
    <t>תרי"ג</t>
  </si>
  <si>
    <t>יוהניסבורג, פרוסיה</t>
  </si>
  <si>
    <t>דרושים, דרושים, שאלות ותשובות, שלחן ערוך ומפרשיו</t>
  </si>
  <si>
    <t>טביומי, טוביה יהודה בן אלכסנדר צבי</t>
  </si>
  <si>
    <t>דרושים, נושאים שונים, שאלות ותשובות</t>
  </si>
  <si>
    <t>אבל כרמים</t>
  </si>
  <si>
    <t>ליפשיץ, יהודה ליב בן יעקב - אבמרסון, שרגא בן קלמן</t>
  </si>
  <si>
    <t>תקס"ט - תשל"ג</t>
  </si>
  <si>
    <t>[שקלאוו - ירושלים</t>
  </si>
  <si>
    <t>אבל מצרים - 2 כר'</t>
  </si>
  <si>
    <t>כהן, אהרן מנחם מנדל בן נתן</t>
  </si>
  <si>
    <t>תרס"ח אחרי</t>
  </si>
  <si>
    <t>קהיר Cairo</t>
  </si>
  <si>
    <t>אבל משה</t>
  </si>
  <si>
    <t>קלוגר, שלמה בן יהודה אהרן</t>
  </si>
  <si>
    <t>תר"ג</t>
  </si>
  <si>
    <t>ורשה</t>
  </si>
  <si>
    <t>שטיין, אליעזר ליפמן בן לוי</t>
  </si>
  <si>
    <t>אופן ofen</t>
  </si>
  <si>
    <t>אבל רבתי</t>
  </si>
  <si>
    <t>נוימבורג, יעקב בן ברוך</t>
  </si>
  <si>
    <t>אבלות החורבן</t>
  </si>
  <si>
    <t>תש"ס</t>
  </si>
  <si>
    <t>מחשבה ומוסר, קבלה</t>
  </si>
  <si>
    <t>אבלות וטעמיה</t>
  </si>
  <si>
    <t>בניזרי, שלמה</t>
  </si>
  <si>
    <t>אבן אחת</t>
  </si>
  <si>
    <t>תורג'מן, אוהד</t>
  </si>
  <si>
    <t>אבן בוחן - א ב</t>
  </si>
  <si>
    <t>היילפרין, פינחס מנחם מנדל</t>
  </si>
  <si>
    <t>תר"ו</t>
  </si>
  <si>
    <t>פרנקפורט דמין Frankf</t>
  </si>
  <si>
    <t>אבן בוחן</t>
  </si>
  <si>
    <t>פרצוביץ, שמעון</t>
  </si>
  <si>
    <t>שלחן ערוך ומפרשיו, תלמוד בבלי</t>
  </si>
  <si>
    <t>קאלישר, צבי הירש בן שלמה</t>
  </si>
  <si>
    <t>קרוטושין Krotoszyn</t>
  </si>
  <si>
    <t>אבן בוחן - 2 כר'</t>
  </si>
  <si>
    <t>קלונימוס בן קלונימוס</t>
  </si>
  <si>
    <t>ש"ו</t>
  </si>
  <si>
    <t>רוזנבוים, יעקב מאיר</t>
  </si>
  <si>
    <t>תשל"ח</t>
  </si>
  <si>
    <t>אבן בוחן, מרגליות טובה</t>
  </si>
  <si>
    <t>תשל"ט</t>
  </si>
  <si>
    <t>אבן בחן</t>
  </si>
  <si>
    <t>זאחן, נתן חיים בן חיים</t>
  </si>
  <si>
    <t>אבן בחן - שו"ת</t>
  </si>
  <si>
    <t>טהרני, אבישי בן יצחק</t>
  </si>
  <si>
    <t>רמ"ט</t>
  </si>
  <si>
    <t>נפולי Naples</t>
  </si>
  <si>
    <t>אבן גדולה</t>
  </si>
  <si>
    <t>ברודא, אהרן בן ישראל</t>
  </si>
  <si>
    <t>תקע"ח</t>
  </si>
  <si>
    <t>ווילנא</t>
  </si>
  <si>
    <t>הלכה ומנהג, שאלות ותשובות, שלחן ערוך ומפרשיו</t>
  </si>
  <si>
    <t>אבן האזל - 8 כר'</t>
  </si>
  <si>
    <t>מלצר, איסר זלמן בן ברוך פרץ</t>
  </si>
  <si>
    <t>תרצ"ה - תשט"ו</t>
  </si>
  <si>
    <t>אבן הבוחן &lt;המזוייף&gt;</t>
  </si>
  <si>
    <t>בריגל, משה יעקב</t>
  </si>
  <si>
    <t>תר"נ</t>
  </si>
  <si>
    <t>פודגורזה Podgorze</t>
  </si>
  <si>
    <t>שאלות ותשובות, שונות, תלמוד בבלי, תלמוד בבלי, תלמוד בבלי</t>
  </si>
  <si>
    <t>אבן הבוחן &lt;פנינים יקרים&gt;</t>
  </si>
  <si>
    <t>רוזנבוים, יעקב מאיר בן צבי</t>
  </si>
  <si>
    <t>תשל"ז</t>
  </si>
  <si>
    <t>חסידות, נושאים שונים, תנ"ך</t>
  </si>
  <si>
    <t>אבן הבוחן בחינת התלמידים</t>
  </si>
  <si>
    <t>בורשטיין, יעקב בן ישראל צבי</t>
  </si>
  <si>
    <t>תרע"א</t>
  </si>
  <si>
    <t>אבן הבוחן</t>
  </si>
  <si>
    <t>תרס"א</t>
  </si>
  <si>
    <t>דסקל, יצחק בירך בן שמואל יהודה</t>
  </si>
  <si>
    <t>אבן הבוחן - 7 כר'</t>
  </si>
  <si>
    <t>ששון, מנשה דוד בן אלישע</t>
  </si>
  <si>
    <t>תשע"ז</t>
  </si>
  <si>
    <t>בית שמש</t>
  </si>
  <si>
    <t>אבן הבונים - עשרה פתיתים</t>
  </si>
  <si>
    <t>בלושטיין, בונם</t>
  </si>
  <si>
    <t>אבן הבנין</t>
  </si>
  <si>
    <t>גולדשטיין, אביגדור ראובן בן שלמה</t>
  </si>
  <si>
    <t>אבן הטועים</t>
  </si>
  <si>
    <t>נתנזון, חיים בן נתן נטע</t>
  </si>
  <si>
    <t>אבן הטוען - 2 כר'</t>
  </si>
  <si>
    <t>מלר, אברהם זאב בן ישראל שלום</t>
  </si>
  <si>
    <t>אבן המאיר א-ג</t>
  </si>
  <si>
    <t>שטיין, מאיר בן פינחס</t>
  </si>
  <si>
    <t>תרס"ז - תרס"ט</t>
  </si>
  <si>
    <t>מונקץ' Mukachevo</t>
  </si>
  <si>
    <t>משנה, שאלות ותשובות, תולדות עם ישראל</t>
  </si>
  <si>
    <t>אבן המשפט</t>
  </si>
  <si>
    <t>מאסף תורני</t>
  </si>
  <si>
    <t>תשנ"ב</t>
  </si>
  <si>
    <t>נושאים שונים, קבצים וכתבי עת, ספרי זכרון ויובל</t>
  </si>
  <si>
    <t>אבן הספיר - 2 כר'</t>
  </si>
  <si>
    <t>ספרקה, קלמן שמאי</t>
  </si>
  <si>
    <t>אבן העזר</t>
  </si>
  <si>
    <t>אבן הרא"ש</t>
  </si>
  <si>
    <t>אהרן שמואל בן נפתלי הירץ, הכהן</t>
  </si>
  <si>
    <t>תשכ"א</t>
  </si>
  <si>
    <t>אבן הראשה</t>
  </si>
  <si>
    <t>יוספשווילי, מיכאל</t>
  </si>
  <si>
    <t>ספריית חב"ד</t>
  </si>
  <si>
    <t>קלאצקין, אליהו בן נפתלי הירץ</t>
  </si>
  <si>
    <t>תרמ"ז</t>
  </si>
  <si>
    <t>שאלות ותשובות, שאלות ותשובות</t>
  </si>
  <si>
    <t>אבן השהם &lt;אבן למלאת&gt;</t>
  </si>
  <si>
    <t>צייח, יוסף</t>
  </si>
  <si>
    <t>קבלה</t>
  </si>
  <si>
    <t>אבן השהם ומאירת עינים - א</t>
  </si>
  <si>
    <t>אליקים גץ בן מאיר</t>
  </si>
  <si>
    <t>תצ"ג</t>
  </si>
  <si>
    <t>דירנפורט Dyhernfurth</t>
  </si>
  <si>
    <t>אבן השהם - 8 כר'</t>
  </si>
  <si>
    <t>וויטאל, חיים בן יוסף</t>
  </si>
  <si>
    <t>תשמ"ח - תש"נ</t>
  </si>
  <si>
    <t>אבן חן - א</t>
  </si>
  <si>
    <t>הלוי, אברהם בן נסים</t>
  </si>
  <si>
    <t>אבן טובה - בראשית</t>
  </si>
  <si>
    <t>אבראהאם, חיים שלמה</t>
  </si>
  <si>
    <t>תשע"ב</t>
  </si>
  <si>
    <t>ניו יורק</t>
  </si>
  <si>
    <t>אבן טובה - יבמות</t>
  </si>
  <si>
    <t>אייזנשטיין, אברהם בן נחום</t>
  </si>
  <si>
    <t>אבן טובה - 9 כר'</t>
  </si>
  <si>
    <t>בצלאל, שמואל בן אברהם</t>
  </si>
  <si>
    <t>אבן יהודה - אבני חושן</t>
  </si>
  <si>
    <t>איטח, יהודה בן אהרן</t>
  </si>
  <si>
    <t>תש"ן</t>
  </si>
  <si>
    <t>אבן יהודה</t>
  </si>
  <si>
    <t>בק, פנחס בן יקותיאל יהודה</t>
  </si>
  <si>
    <t>תשס"ט</t>
  </si>
  <si>
    <t>נתניה</t>
  </si>
  <si>
    <t>הלכה ומנהג, נושאים שונים, תלמוד בבלי</t>
  </si>
  <si>
    <t>אבן יהושע</t>
  </si>
  <si>
    <t>וייס, יוסף מרדכי בן יהושע</t>
  </si>
  <si>
    <t>תשכ"ט</t>
  </si>
  <si>
    <t>פריידין, יהושע בן תנחום יצחק</t>
  </si>
  <si>
    <t>תרמ"ח</t>
  </si>
  <si>
    <t>דרושים, דרושים, דרושים</t>
  </si>
  <si>
    <t>אבן יחזקאל</t>
  </si>
  <si>
    <t>וויינפלד, אברהם בן יחזקאל שרגא</t>
  </si>
  <si>
    <t>תש"י</t>
  </si>
  <si>
    <t>לנדא, יחזקאל הלוי</t>
  </si>
  <si>
    <t>דרושים, תלמוד בבלי</t>
  </si>
  <si>
    <t>אבן יעקב</t>
  </si>
  <si>
    <t>ולדנברג, אליעזר יהודה בן יעקב גדליהו</t>
  </si>
  <si>
    <t>תשכ"ב</t>
  </si>
  <si>
    <t>הלכה ומנהג, הלכה ומנהג, שלחן ערוך ומפרשיו</t>
  </si>
  <si>
    <t>אבן יעקב - 4 כר'</t>
  </si>
  <si>
    <t>מסקין, יעקב בן מרדכי הכהן</t>
  </si>
  <si>
    <t>תש"ד</t>
  </si>
  <si>
    <t>שאלות ותשובות, תולדות עם ישראל, תלמוד בבלי, תלמוד בבלי</t>
  </si>
  <si>
    <t>ניימארק, אריה לייב בן ניסן יעקב</t>
  </si>
  <si>
    <t>תר"ע</t>
  </si>
  <si>
    <t>סלוצק SlutsK</t>
  </si>
  <si>
    <t>אבן יעקב - א (שכירות פועלים)</t>
  </si>
  <si>
    <t>פרייזלר, אריה בן אברהם</t>
  </si>
  <si>
    <t>אבן יקרה - 3 כר'</t>
  </si>
  <si>
    <t>ווייס, בנימין אריה בן חיים צבי הכהן</t>
  </si>
  <si>
    <t>תרנ"ד - תרע"ג</t>
  </si>
  <si>
    <t>אבן יקרה - 2 כר'</t>
  </si>
  <si>
    <t>פנחסי, ישראל הלוי בן אברהם</t>
  </si>
  <si>
    <t>תשס"ג</t>
  </si>
  <si>
    <t>אבן ישפ"ה</t>
  </si>
  <si>
    <t>פרידמן, יעקב שלמה הכהן</t>
  </si>
  <si>
    <t>דרושים, מועדי ישראל, קבלה, תנ"ך</t>
  </si>
  <si>
    <t>אבן ישפה</t>
  </si>
  <si>
    <t>אבן ישפה - שכירות פועלים</t>
  </si>
  <si>
    <t>טאובר, שמעון יוסף בן אהרן הלוי</t>
  </si>
  <si>
    <t>קאצנלנבוגן, בנימין ישראל איסר בן שאול הלוי</t>
  </si>
  <si>
    <t>תרס"ח</t>
  </si>
  <si>
    <t>תלמוד בבלי, תנ"ך</t>
  </si>
  <si>
    <t>אבן ישראל &lt;חידושי אגדה&gt; - 2 כר'</t>
  </si>
  <si>
    <t>פישר, ישראל יעקב בן אהרן</t>
  </si>
  <si>
    <t>תשנ"ט</t>
  </si>
  <si>
    <t>דרושים, מועדי ישראל</t>
  </si>
  <si>
    <t>אבן ישראל - 2 כר'</t>
  </si>
  <si>
    <t>ברוין, ישראל ברוך בן חיים מאיר</t>
  </si>
  <si>
    <t>תרצ"ד - תרצ"ח</t>
  </si>
  <si>
    <t>אבן ישראל</t>
  </si>
  <si>
    <t>גוראנובסקי, אברהם אבוש בן ישראל</t>
  </si>
  <si>
    <t>תרע"ד</t>
  </si>
  <si>
    <t>דרושים, תנ"ך</t>
  </si>
  <si>
    <t>הגר, יוסף ירוחם פישל</t>
  </si>
  <si>
    <t>אבן ישראל - 4 כר'</t>
  </si>
  <si>
    <t>הראל, אוריאל יצחק</t>
  </si>
  <si>
    <t>אבן ישראל - 3 כר'</t>
  </si>
  <si>
    <t>ולנסקי, עודד</t>
  </si>
  <si>
    <t>טלינגאטור, שלמה</t>
  </si>
  <si>
    <t>ליפקין, ישראל בן זאב וולף</t>
  </si>
  <si>
    <t>תשי"ד</t>
  </si>
  <si>
    <t>דרושים, דרושים, מחשבה ומוסר, שאלות ותשובות, תלמוד בבלי, תנ"ך</t>
  </si>
  <si>
    <t>נחמני, נסים ישראל</t>
  </si>
  <si>
    <t>סרוסי, יוסף בן שמעון</t>
  </si>
  <si>
    <t>אשדוד</t>
  </si>
  <si>
    <t>פיקארסקי, ישראל יצחק בן מרדכי מנחם</t>
  </si>
  <si>
    <t>אבן ישראל - 12 כר'</t>
  </si>
  <si>
    <t>קובץ תורני</t>
  </si>
  <si>
    <t>אבן לב</t>
  </si>
  <si>
    <t>יפה, יהודה ליב בן אברהם עבר</t>
  </si>
  <si>
    <t>תר"ס</t>
  </si>
  <si>
    <t>דרושים, הלכה ומנהג, נושאים שונים, תלמוד בבלי</t>
  </si>
  <si>
    <t>אבן מאיר</t>
  </si>
  <si>
    <t>גורדון, אהרן בן מאיר</t>
  </si>
  <si>
    <t>תרס"ט</t>
  </si>
  <si>
    <t>אבן מלוכה</t>
  </si>
  <si>
    <t>ברון, יוסף חיים</t>
  </si>
  <si>
    <t>אבן משה</t>
  </si>
  <si>
    <t>לונץ, אליהו משה בן כלב זאב</t>
  </si>
  <si>
    <t>אבן משה - 2 כר'</t>
  </si>
  <si>
    <t>פרלמוטר, אליעזר בן משה</t>
  </si>
  <si>
    <t>תרמ"ד</t>
  </si>
  <si>
    <t>אבן נזר</t>
  </si>
  <si>
    <t>שפירא, זכריה</t>
  </si>
  <si>
    <t>תרפ"ח</t>
  </si>
  <si>
    <t>ווראנוב</t>
  </si>
  <si>
    <t>שאלות ותשובות, תלמוד בבלי</t>
  </si>
  <si>
    <t>אבן ספיר</t>
  </si>
  <si>
    <t>אדרי, אליאב בן פנחס</t>
  </si>
  <si>
    <t>תשנ"ג - תשנ"ד</t>
  </si>
  <si>
    <t>גבעתיים</t>
  </si>
  <si>
    <t>אשלג, יהודה ליב הלוי</t>
  </si>
  <si>
    <t>ספיר, יעקב בן נתן הלוי</t>
  </si>
  <si>
    <t>תרכ"ו - תרמ"</t>
  </si>
  <si>
    <t>ליק Lyck</t>
  </si>
  <si>
    <t>נושאים שונים, נושאים שונים, תולדות עם ישראל</t>
  </si>
  <si>
    <t>אבן ספיר - 4 כר'</t>
  </si>
  <si>
    <t>ספיר, ליאור</t>
  </si>
  <si>
    <t>יבנה</t>
  </si>
  <si>
    <t>אבן ספיר - 5 כר'</t>
  </si>
  <si>
    <t>פנחסי, ישראל בן אברהם הלוי</t>
  </si>
  <si>
    <t>תשנ"ג</t>
  </si>
  <si>
    <t>אבן עוזר - עירובין &lt;מהדורה חדשה&gt;</t>
  </si>
  <si>
    <t>עוזר בן מאיר - שורצברג, מנחם</t>
  </si>
  <si>
    <t>אבן עוזר - 3 כר'</t>
  </si>
  <si>
    <t>עוזר בן מאיר</t>
  </si>
  <si>
    <t>תקל"ח</t>
  </si>
  <si>
    <t>הלכה ומנהג, תלמוד בבלי, תלמוד בבלי</t>
  </si>
  <si>
    <t>אבן עזרא &lt;אבי עזר&gt; - תורה, מגלות</t>
  </si>
  <si>
    <t>אבן-עזרא, אברהם בן מאיר</t>
  </si>
  <si>
    <t>אבן עזרא &lt;אוצר חיים&gt; - בראשית</t>
  </si>
  <si>
    <t>תשמ"ג</t>
  </si>
  <si>
    <t>אבן עזרא &lt;משנה לעזרא&gt; - שמות</t>
  </si>
  <si>
    <t>וינה Vienna</t>
  </si>
  <si>
    <t>אבן פינה - 2 כר'</t>
  </si>
  <si>
    <t>אריה ליב בן יהודה הלוי מסטריזוב - טייטלבוים, משה בן צבי הירש</t>
  </si>
  <si>
    <t>תקס"ד</t>
  </si>
  <si>
    <t>אבן פינה</t>
  </si>
  <si>
    <t>פורת, מרדכי</t>
  </si>
  <si>
    <t>אבן פנה</t>
  </si>
  <si>
    <t>אלטשולר, זאב וואלף בן דוב בר</t>
  </si>
  <si>
    <t>תקנ"ד</t>
  </si>
  <si>
    <t>שקלוב Shklov</t>
  </si>
  <si>
    <t>אבן פנה - 2 כר'</t>
  </si>
  <si>
    <t>נשר, בן ציון בן יצחק</t>
  </si>
  <si>
    <t>תר"צ</t>
  </si>
  <si>
    <t>אבן ציון</t>
  </si>
  <si>
    <t>אפרתי, אליעזר בן בן-ציון</t>
  </si>
  <si>
    <t>תרכ"ו</t>
  </si>
  <si>
    <t>הלכה ומנהג, נושאים שונים, תולדות עם ישראל, תלמוד בבלי</t>
  </si>
  <si>
    <t>ספר זכרון</t>
  </si>
  <si>
    <t>תשמ"ז</t>
  </si>
  <si>
    <t>אבן שהם - 3 כר'</t>
  </si>
  <si>
    <t>וינמן, משה אליהו בן צבי</t>
  </si>
  <si>
    <t>אבן שהם</t>
  </si>
  <si>
    <t>מהרם, שלמה חנוך בן משה יהודה</t>
  </si>
  <si>
    <t>תרע"ב</t>
  </si>
  <si>
    <t>דרושים, שאלות ותשובות, תנ"ך</t>
  </si>
  <si>
    <t>אבן שהם - 2 כר'</t>
  </si>
  <si>
    <t>משה בן יהודה ממינסק</t>
  </si>
  <si>
    <t>תקל"ב</t>
  </si>
  <si>
    <t>לונדון London</t>
  </si>
  <si>
    <t>דרושים, מחשבה ומוסר</t>
  </si>
  <si>
    <t>פרלמוטר, משה בן אליעזר</t>
  </si>
  <si>
    <t>אבן שוהם</t>
  </si>
  <si>
    <t>רובינשטיין, רפאל בן משה</t>
  </si>
  <si>
    <t>תרכ"א</t>
  </si>
  <si>
    <t>אבן שלמה &lt;מהדורה חדשה&gt;</t>
  </si>
  <si>
    <t>מאלצאן, שמואל בן אברהם - אליהו בן שלמה זלמן [הגר"א]</t>
  </si>
  <si>
    <t>אבן שלמה &lt;מנוקד&gt;</t>
  </si>
  <si>
    <t>אבן שלמה &lt;תוספאה&gt;</t>
  </si>
  <si>
    <t>מחשבה ומוסר, תנ"ך</t>
  </si>
  <si>
    <t>אבן שלמה</t>
  </si>
  <si>
    <t>אויערבאך, אברהם בן שלמה</t>
  </si>
  <si>
    <t>תרצ"ז</t>
  </si>
  <si>
    <t>אבן שלמה - 4 כר'</t>
  </si>
  <si>
    <t>ארנרייך, שלמה זלמן בן יעקב</t>
  </si>
  <si>
    <t>נושאים שונים, תנ"ך</t>
  </si>
  <si>
    <t>מאלצאן, שמואל - אלפס, בנציון</t>
  </si>
  <si>
    <t>תרפ"ד</t>
  </si>
  <si>
    <t>וילנא</t>
  </si>
  <si>
    <t>מחשבה ומוסר, תולדות עם ישראל</t>
  </si>
  <si>
    <t>נחמני, מכלוף</t>
  </si>
  <si>
    <t>תשמ"ב</t>
  </si>
  <si>
    <t>מועדי ישראל, משנה, תלמוד בבלי, תנ"ך</t>
  </si>
  <si>
    <t>שטיין, שלמה בן אהרן יהושע</t>
  </si>
  <si>
    <t>נושאים שונים, שאלות ותשובות</t>
  </si>
  <si>
    <t>אבן שלמה - 3 כר'</t>
  </si>
  <si>
    <t>שיינברגר, שלמה זלמן בן משה</t>
  </si>
  <si>
    <t>שיק, שלמה זלמן בן שמואל אריה ליב</t>
  </si>
  <si>
    <t>ירושלם,</t>
  </si>
  <si>
    <t>שלמה מטולוטשין</t>
  </si>
  <si>
    <t>תרל"א</t>
  </si>
  <si>
    <t>משנה, תלמוד בבלי, תלמוד בבלי, תלמוד ירושלמי</t>
  </si>
  <si>
    <t>אבן שלמה - רבית, איזהו נשך</t>
  </si>
  <si>
    <t>שפיצר, שלמה בן נפתלי ברוך</t>
  </si>
  <si>
    <t>אבן שלמה, אם המלך, קרן ישועה</t>
  </si>
  <si>
    <t>יוסף חיים בן אליהו</t>
  </si>
  <si>
    <t>תר"ל</t>
  </si>
  <si>
    <t>אבן שמואל</t>
  </si>
  <si>
    <t>פרומקין, אריה ליב בן שמואל</t>
  </si>
  <si>
    <t>תרל"ד</t>
  </si>
  <si>
    <t>נושאים שונים, תולדות עם ישראל, תנ"ך</t>
  </si>
  <si>
    <t>שמואל פינחס בן ברוך</t>
  </si>
  <si>
    <t>הלכה ומנהג, הלכה ומנהג</t>
  </si>
  <si>
    <t>אבן שמעון - 2 כר'</t>
  </si>
  <si>
    <t>יעקובוביץ, אלחנן בן שמעון</t>
  </si>
  <si>
    <t>תרפ"ט</t>
  </si>
  <si>
    <t>ביאליסטוק Bialystok</t>
  </si>
  <si>
    <t>אבן שתיה החדש - 2 כר'</t>
  </si>
  <si>
    <t>כהנא, חיים בן יהודה מנחם - הגר, יוסף ירוחם פישל</t>
  </si>
  <si>
    <t>אבן שתיה - 4 כר'</t>
  </si>
  <si>
    <t>גרבוז, בנימין בן אברהם נח</t>
  </si>
  <si>
    <t>אבן שתיה</t>
  </si>
  <si>
    <t>דון יחיא, אליעזר בן שבתי</t>
  </si>
  <si>
    <t>תרנ"ג</t>
  </si>
  <si>
    <t>וולסון, ברוך</t>
  </si>
  <si>
    <t>תרצ"ב</t>
  </si>
  <si>
    <t>כהנא, חיים בן יהודה מנחם</t>
  </si>
  <si>
    <t>הלכה ומנהג, נושאים שונים, תולדות עם ישראל</t>
  </si>
  <si>
    <t>אבן שתיה - 3 כר'</t>
  </si>
  <si>
    <t>מילשטיין, משה</t>
  </si>
  <si>
    <t>תשנ"ח</t>
  </si>
  <si>
    <t>עיין, שמואל בנימין בן ברוך אברהם</t>
  </si>
  <si>
    <t>אבן שתיה - 7 כר'</t>
  </si>
  <si>
    <t>רוטשטיין, נחום בן חיים אברהם יצחק</t>
  </si>
  <si>
    <t>אבן תקומה</t>
  </si>
  <si>
    <t>ליכטשטיין, אברהם בן אליעזר ליפמאן</t>
  </si>
  <si>
    <t>תקע"ב</t>
  </si>
  <si>
    <t>אבנט בד &lt;הקדמה לספר אמונת חכמים&gt;</t>
  </si>
  <si>
    <t>טורש, דוב בר בן אלכסנדר זושא</t>
  </si>
  <si>
    <t>אבנט בד</t>
  </si>
  <si>
    <t>רבינוביץ, בנימין דוד</t>
  </si>
  <si>
    <t>תרל"ז</t>
  </si>
  <si>
    <t>מחשבה ומוסר, שונות</t>
  </si>
  <si>
    <t>אבני אהרן</t>
  </si>
  <si>
    <t>גרנדש, אהרן בן יעקב הלוי</t>
  </si>
  <si>
    <t>אבני אליהו</t>
  </si>
  <si>
    <t>יצחקוב, אליהו בן יהודה</t>
  </si>
  <si>
    <t>אבני אליהו - 2 כר'</t>
  </si>
  <si>
    <t>פרנקל, אליהו בן מאיר יהודה</t>
  </si>
  <si>
    <t>תרמ"ט - תר"נ</t>
  </si>
  <si>
    <t>אבני אפד - 2 כר'</t>
  </si>
  <si>
    <t>פרידמן, אליעזר דוד</t>
  </si>
  <si>
    <t>לונדון</t>
  </si>
  <si>
    <t>אבני אש</t>
  </si>
  <si>
    <t>וואכשטיין, דוב בר בן משה</t>
  </si>
  <si>
    <t>תרפ"ב</t>
  </si>
  <si>
    <t>אבני אש - 2 כר'</t>
  </si>
  <si>
    <t>זילברשטיין, אברהם יעקב בן יצחק</t>
  </si>
  <si>
    <t>מילר, שמואל אהרן בן נפתלי</t>
  </si>
  <si>
    <t>נושאים שונים, שאלות ותשובות, שלחן ערוך ומפרשיו</t>
  </si>
  <si>
    <t>שפירא, אהרן בן יצחק אייזיק</t>
  </si>
  <si>
    <t>אבני אש - 6 כר'</t>
  </si>
  <si>
    <t>שפירא, אריה בן משה שמואל</t>
  </si>
  <si>
    <t>קרית ספר</t>
  </si>
  <si>
    <t>הלכה ומנהג, מועדי ישראל, תלמוד בבלי</t>
  </si>
  <si>
    <t>אבני בית היוצר</t>
  </si>
  <si>
    <t>ווייס, יצחק בן ישעיהו יששכר בר</t>
  </si>
  <si>
    <t>פקש Paks</t>
  </si>
  <si>
    <t>אבני ברזל - 2 כר'</t>
  </si>
  <si>
    <t>שוורץ, אברהם יונה</t>
  </si>
  <si>
    <t>אבני ברקת - 4 כר'</t>
  </si>
  <si>
    <t>כלאב, אברהם יצחק בן יעקב</t>
  </si>
  <si>
    <t>אבני גזית - 2 כר'</t>
  </si>
  <si>
    <t>שפילמאן, יעקב מאיר בן אליהו</t>
  </si>
  <si>
    <t>(תרכ"ה</t>
  </si>
  <si>
    <t>(באקארעשט),</t>
  </si>
  <si>
    <t>אבני דוד</t>
  </si>
  <si>
    <t>צופיוף, דוד הכהן</t>
  </si>
  <si>
    <t>אבני דרך</t>
  </si>
  <si>
    <t>ברנט, נחום אריה</t>
  </si>
  <si>
    <t>הלכה ומנהג, נושאים שונים</t>
  </si>
  <si>
    <t>העלפגוטט, יחיאל אליהו בן דוד</t>
  </si>
  <si>
    <t>אבני דרך - 11 כר'</t>
  </si>
  <si>
    <t>יעקובוביץ, דניאל בן יצחק יחיאל</t>
  </si>
  <si>
    <t>אבני דרך - 14 כר'</t>
  </si>
  <si>
    <t>פרינץ, אלחנן נפתלי</t>
  </si>
  <si>
    <t>אבני האפד - 2 כר'</t>
  </si>
  <si>
    <t>פיפאנו, דוד בן אברהם</t>
  </si>
  <si>
    <t>תרע"ג - תרפ"ח</t>
  </si>
  <si>
    <t>סופיה Sofia</t>
  </si>
  <si>
    <t>שאלות ותשובות, שלחן ערוך ומפרשיו</t>
  </si>
  <si>
    <t>אבני האפוד - השמחה במעונו</t>
  </si>
  <si>
    <t>דיין, נסים בן שלמה</t>
  </si>
  <si>
    <t>אבני הדר</t>
  </si>
  <si>
    <t>בראך, בנימין בן מנחם יהושע</t>
  </si>
  <si>
    <t>אבני החושן</t>
  </si>
  <si>
    <t>רייזנר, שלמה בן אשר זליג</t>
  </si>
  <si>
    <t>בילגורי Bilgoraj</t>
  </si>
  <si>
    <t>אבני הלבנון</t>
  </si>
  <si>
    <t>בראוור, יהודה נח בן אברהם אלכסנדר</t>
  </si>
  <si>
    <t>אבני הלכה</t>
  </si>
  <si>
    <t>דרשן, אלעד בן יוסף</t>
  </si>
  <si>
    <t>אבני המחצב</t>
  </si>
  <si>
    <t>מגיד, אלטר בן-ציון בן יוסף</t>
  </si>
  <si>
    <t>תש"א</t>
  </si>
  <si>
    <t>St. Louis סט. לואיס</t>
  </si>
  <si>
    <t>אבני המקום</t>
  </si>
  <si>
    <t>דרושים, מחשבה ומוסר, תנ"ך</t>
  </si>
  <si>
    <t>וויינטרויב, יעקב דוד בן יצחק אייזיק יום טוב</t>
  </si>
  <si>
    <t>חסידות, מחשבה ומוסר</t>
  </si>
  <si>
    <t>אבני המקום - 3 כר'</t>
  </si>
  <si>
    <t>קולדצקי, אריה בן יצחק</t>
  </si>
  <si>
    <t>אבני המשפט - 2 כר'</t>
  </si>
  <si>
    <t>דריין, בנימין בן שלום</t>
  </si>
  <si>
    <t>אבני הסוגיות - 14 כר'</t>
  </si>
  <si>
    <t>מירון, חיים בן דניאל יהושע</t>
  </si>
  <si>
    <t>אבני השדה - 5 כר'</t>
  </si>
  <si>
    <t>גולדנטל, א.ב. בן יוסף</t>
  </si>
  <si>
    <t>אבני השוהם</t>
  </si>
  <si>
    <t>הורוויץ, יעקב יוקל בן משולם יששכר הלוי</t>
  </si>
  <si>
    <t>הלכה ומנהג, מחשבה ומוסר</t>
  </si>
  <si>
    <t>אבני זהב</t>
  </si>
  <si>
    <t>גראנאדשטיין, דוד בן א ח</t>
  </si>
  <si>
    <t>אבני זכרון (ליקוט)</t>
  </si>
  <si>
    <t>הורוויץ, יעקב יצחק בן אברהם אליעזר הלוי</t>
  </si>
  <si>
    <t>אבני זכרון לקהילת מראקש</t>
  </si>
  <si>
    <t>איבגי, חביב</t>
  </si>
  <si>
    <t>לוד</t>
  </si>
  <si>
    <t>אבני זכרון</t>
  </si>
  <si>
    <t>דרושים, נושאים שונים, קבצים וכתבי עת, ספרי זכרון ויובל</t>
  </si>
  <si>
    <t>איגר, אלטר עזריאל מאיר בן אברהם</t>
  </si>
  <si>
    <t>תרצ"ט</t>
  </si>
  <si>
    <t>לובלין Lublin</t>
  </si>
  <si>
    <t>ברימאנן, אהרן ישראל</t>
  </si>
  <si>
    <t>תרמ"א</t>
  </si>
  <si>
    <t>אמשטרדם</t>
  </si>
  <si>
    <t>הלכה ומנהג, נושאים שונים, שלחן ערוך ומפרשיו</t>
  </si>
  <si>
    <t>אבני זכרון - 5 כר'</t>
  </si>
  <si>
    <t>גראייבסקי, פינחס מרדכי בן צבי</t>
  </si>
  <si>
    <t>נושאים שונים, תולדות עם ישראל</t>
  </si>
  <si>
    <t>אבני זכרון - מסכת שבת</t>
  </si>
  <si>
    <t>הונגער, שלמה בן יהודה צבי</t>
  </si>
  <si>
    <t>אוהיו</t>
  </si>
  <si>
    <t>אבני זכרון - הכתב והמכתב</t>
  </si>
  <si>
    <t>הורביץ, מרדכי בן יוסף חיים הלוי</t>
  </si>
  <si>
    <t>פרנקפורט</t>
  </si>
  <si>
    <t>הורוויץ, יעקב יצחק בן אברהם אליעזר הלוי - הגר, יוסף ירוחם פישל</t>
  </si>
  <si>
    <t>חסידות, נושאים שונים</t>
  </si>
  <si>
    <t>העתקת כתובות מצבות עתיקות</t>
  </si>
  <si>
    <t>תר"א</t>
  </si>
  <si>
    <t>פרג Prague</t>
  </si>
  <si>
    <t>דרושים, נושאים שונים, תולדות עם ישראל, תולדות עם ישראל, תנ"ך</t>
  </si>
  <si>
    <t>לזכר הבחורים אליהו דודזון ושמואל דוד פלדמן ז"ל</t>
  </si>
  <si>
    <t>לפידות, אלכסנדר משה בן צבי</t>
  </si>
  <si>
    <t>תרנ"ז</t>
  </si>
  <si>
    <t>מדרשת קול ברמה</t>
  </si>
  <si>
    <t>מחשבה ומוסר, נושאים שונים, קבצים וכתבי עת, ספרי זכרון ויובל</t>
  </si>
  <si>
    <t>פירקוביץ', אברהם בן שמואל</t>
  </si>
  <si>
    <t>תרל"ב</t>
  </si>
  <si>
    <t>אבני זכרון - 3 כר'</t>
  </si>
  <si>
    <t>פפר, אלטר שאול בן ישראל אלימלך</t>
  </si>
  <si>
    <t>תרפ"ג - תרצ"ט</t>
  </si>
  <si>
    <t>סיגט Sighet</t>
  </si>
  <si>
    <t>ראוויץ, יצחק בן אברהם הכהן</t>
  </si>
  <si>
    <t>שפירא, יוסף בן יעקב</t>
  </si>
  <si>
    <t>אבני זכרן</t>
  </si>
  <si>
    <t>ארנברג, אברהם ישראל בן אלימלך אלעזר</t>
  </si>
  <si>
    <t>הלכה ומנהג, מועדי ישראל, משנה, שלחן ערוך ומפרשיו, תלמוד בבלי, תלמוד בבלי, תלמוד ירושלמי, תנ"ך</t>
  </si>
  <si>
    <t>אבני חושן (כוס של ברכה)</t>
  </si>
  <si>
    <t>ניימאן, שמואל בן אברהם ניסן</t>
  </si>
  <si>
    <t>מאנסי</t>
  </si>
  <si>
    <t>אבני חושן - א</t>
  </si>
  <si>
    <t>בית המדרש לבירורי הלכות מעשיות</t>
  </si>
  <si>
    <t>תשנ"ו</t>
  </si>
  <si>
    <t>הלכה ומנהג, קבצים וכתבי עת, ספרי זכרון ויובל, שלחן ערוך ומפרשיו</t>
  </si>
  <si>
    <t>אבני חושן - 3 כר'</t>
  </si>
  <si>
    <t>אבני חיים</t>
  </si>
  <si>
    <t>ויזל, חיים יצחק בן משה שמואל הלוי</t>
  </si>
  <si>
    <t>אבני חן - 3 כר'</t>
  </si>
  <si>
    <t>אבני חן</t>
  </si>
  <si>
    <t>אשכנזי, שלמה</t>
  </si>
  <si>
    <t>תש"נ</t>
  </si>
  <si>
    <t>וויינטרויב, נח גד בן יעקב דוד</t>
  </si>
  <si>
    <t>תש"ב</t>
  </si>
  <si>
    <t>אבני חן - 2 כר'</t>
  </si>
  <si>
    <t>צור, יוסף שלמה</t>
  </si>
  <si>
    <t>אבני חפץ</t>
  </si>
  <si>
    <t>ברודי, נפתלי צבי</t>
  </si>
  <si>
    <t>דרושים, מועדי ישראל, משנה, תלמוד בבלי, תנ"ך, תפלות בקשות פיוטים ושירה</t>
  </si>
  <si>
    <t>אבני חפץ - 4 כר'</t>
  </si>
  <si>
    <t>גולדברגר, יונתן בנימין בן פנחס אשר זליג</t>
  </si>
  <si>
    <t>תשמ"ט</t>
  </si>
  <si>
    <t>משנה, תלמוד בבלי</t>
  </si>
  <si>
    <t>אבני חפץ - שבת</t>
  </si>
  <si>
    <t>זילבר, אריה בן יוסף</t>
  </si>
  <si>
    <t>לווין, אהרן בן נתן</t>
  </si>
  <si>
    <t>מינכן Munich</t>
  </si>
  <si>
    <t>שאלות ותשובות, תולדות עם ישראל</t>
  </si>
  <si>
    <t>אבני חשן - 3 כר'</t>
  </si>
  <si>
    <t>אבני חשן</t>
  </si>
  <si>
    <t>מילר, נתן בן חיים</t>
  </si>
  <si>
    <t>אבני טוהר - נגעים</t>
  </si>
  <si>
    <t>דויטש, קלמן אברהם בן יצחק</t>
  </si>
  <si>
    <t>אבני יהושע</t>
  </si>
  <si>
    <t>ברדה, נתנאל</t>
  </si>
  <si>
    <t>פאלק, יהושע בן מרדכי הכהן</t>
  </si>
  <si>
    <t>תר"כ</t>
  </si>
  <si>
    <t>שווארצברג, יהושע בן יוסף</t>
  </si>
  <si>
    <t>תרי"ז</t>
  </si>
  <si>
    <t>הלכה ומנהג, תלמוד בבלי</t>
  </si>
  <si>
    <t>אבני יוחנן</t>
  </si>
  <si>
    <t>פריד, אהרן</t>
  </si>
  <si>
    <t>קנדה</t>
  </si>
  <si>
    <t>אבני יחיאל</t>
  </si>
  <si>
    <t>אבני יסוד</t>
  </si>
  <si>
    <t>סלים, אברהם</t>
  </si>
  <si>
    <t>אבני יעקב</t>
  </si>
  <si>
    <t>טאייר, יעקב זאב בן יוסף הלוי</t>
  </si>
  <si>
    <t>תרצ"ח</t>
  </si>
  <si>
    <t>אבני יעקב - 2 כר'</t>
  </si>
  <si>
    <t>טרויבע, יעקב יחיאל בן בנימין צבי הכהן</t>
  </si>
  <si>
    <t>אבני יקר - 2 כר'</t>
  </si>
  <si>
    <t>לילתי, אליהו בן יהונתן</t>
  </si>
  <si>
    <t>שטראסבורג</t>
  </si>
  <si>
    <t>אבני ישפה - בבא קמא</t>
  </si>
  <si>
    <t>אבני ישפה - 9 כר'</t>
  </si>
  <si>
    <t>פיינהנדלר, ישראל פסח בן יוסף</t>
  </si>
  <si>
    <t>אבני ישראל - סנהדרין</t>
  </si>
  <si>
    <t>כץ, ישראל</t>
  </si>
  <si>
    <t>אבני כיס</t>
  </si>
  <si>
    <t>וולף, פנחס</t>
  </si>
  <si>
    <t>דרושים, מועדי ישראל, מחשבה ומוסר, משנה, תלמוד בבלי, תלמוד בבלי, תנ"ך, תנ"ך, תפלות בקשות פיוטים ושירה</t>
  </si>
  <si>
    <t>אבני לוי - 2 כר'</t>
  </si>
  <si>
    <t>לוי, אלמוג בן ניסים</t>
  </si>
  <si>
    <t>אבני מהורמ"מ הלוי - ג</t>
  </si>
  <si>
    <t>גוטקינד, אברהם יצחק בן משה מאיר הלוי</t>
  </si>
  <si>
    <t>תר"ץ - תרצ"א</t>
  </si>
  <si>
    <t>הלכה ומנהג, מועדי ישראל, שלחן ערוך ומפרשיו, תלמוד בבלי, תלמוד ירושלמי, תנ"ך</t>
  </si>
  <si>
    <t>אבני מחצב</t>
  </si>
  <si>
    <t>קפלן, אברהם - קפלן, נפתלי</t>
  </si>
  <si>
    <t>דרושים, מועדי ישראל, נושאים שונים, תנ"ך</t>
  </si>
  <si>
    <t>אבני מילואים &lt;עם הערות קה"י והגרי"פ&gt; - 2 כר'</t>
  </si>
  <si>
    <t>הלר, אריה ליב בן יוסף הכהן</t>
  </si>
  <si>
    <t>נושאים שונים, שלחן ערוך ומפרשיו</t>
  </si>
  <si>
    <t>אבני מלואים &lt;חוסן יוסף, ברוך טעם, ברכת שמעון&gt;</t>
  </si>
  <si>
    <t>אבני מלואים &lt;מהדורה ראשונה&gt; - 2 כר'</t>
  </si>
  <si>
    <t>תקע"ו-תקפ"ו</t>
  </si>
  <si>
    <t>לבוב  - ז'ולקווא</t>
  </si>
  <si>
    <t>אבני מלואים (תשי"ז) - 2 כר'</t>
  </si>
  <si>
    <t>תשי"ז</t>
  </si>
  <si>
    <t>אבני מלואים - 3 כר'</t>
  </si>
  <si>
    <t>שצ'צ'ין Szeczin</t>
  </si>
  <si>
    <t>אבני מסילה - סוטה</t>
  </si>
  <si>
    <t>גנס, שלמה אהרן בן ישראל</t>
  </si>
  <si>
    <t>אבני מקום - 3 כר'</t>
  </si>
  <si>
    <t>כהן, אברהם בנימין</t>
  </si>
  <si>
    <t>אבני משפט - 21 כר'</t>
  </si>
  <si>
    <t>כולל יד ברודמן - ברקוביץ, מאיר (עורך)</t>
  </si>
  <si>
    <t>רחובות</t>
  </si>
  <si>
    <t>אבני משפט - א (אה"ע)</t>
  </si>
  <si>
    <t>תרס"ב</t>
  </si>
  <si>
    <t>פרמישלה Przemysl</t>
  </si>
  <si>
    <t>אבני משפט - אה"ע, חו"מ</t>
  </si>
  <si>
    <t>רלב"ג, מרדכי בנימין</t>
  </si>
  <si>
    <t>אבני נועם - 2 כר'</t>
  </si>
  <si>
    <t>אנסבכר, אבינעם בן יששכר</t>
  </si>
  <si>
    <t>אבני נזר המפואר - 4 כר'</t>
  </si>
  <si>
    <t>בורנשטיין, אברהם בן זאב נחום</t>
  </si>
  <si>
    <t>אבני נזר - 8 כר'</t>
  </si>
  <si>
    <t>תרע"ב - תרצ"ד</t>
  </si>
  <si>
    <t>אבני נזר</t>
  </si>
  <si>
    <t>מושקאט, חיים אליעזר בן בנימין</t>
  </si>
  <si>
    <t>אבני נחום - מיאון</t>
  </si>
  <si>
    <t>ולדנברג, נתנאל בן אליהו</t>
  </si>
  <si>
    <t>אבני נחל - מועדים</t>
  </si>
  <si>
    <t>ליכטנשטיין, חיים נחום</t>
  </si>
  <si>
    <t>חצור הגלילית</t>
  </si>
  <si>
    <t>אבני סוכות</t>
  </si>
  <si>
    <t>הלכה ומנהג, מועדי ישראל, שלחן ערוך ומפרשיו</t>
  </si>
  <si>
    <t>אבני סופר</t>
  </si>
  <si>
    <t>סופר, אהרן בן יוחנן</t>
  </si>
  <si>
    <t>אבני עזר - 2 כר'</t>
  </si>
  <si>
    <t>דרעי, יהודה בן אליהו</t>
  </si>
  <si>
    <t>מחשבה ומוסר, שלחן ערוך ומפרשיו</t>
  </si>
  <si>
    <t>אבני פז</t>
  </si>
  <si>
    <t>דבש, יהונתן בן מיכאל</t>
  </si>
  <si>
    <t>אבני פנה - 2 כר'</t>
  </si>
  <si>
    <t>פרנקיל תאומים, פנחס בן יהושע</t>
  </si>
  <si>
    <t>אבני צדק &lt;משלי&gt;</t>
  </si>
  <si>
    <t>צורף, יצחק בן יששכר בר</t>
  </si>
  <si>
    <t>תע"ד</t>
  </si>
  <si>
    <t>וילהרמסדורף Wilherm</t>
  </si>
  <si>
    <t>אבני צדק - 2 כר'</t>
  </si>
  <si>
    <t>בסיס, ישועה</t>
  </si>
  <si>
    <t>תרס"ג</t>
  </si>
  <si>
    <t>תוניס Tunis</t>
  </si>
  <si>
    <t>אבני צדק - 3 כר'</t>
  </si>
  <si>
    <t>אבני צדק - או"ח, יו"ד, אה"ע</t>
  </si>
  <si>
    <t>טייטלבוים, יקותיאל יהודה בן אלעזר ניסן</t>
  </si>
  <si>
    <t>תרמ"ה - תרמ"ו</t>
  </si>
  <si>
    <t>אבני צדק - אה"ע</t>
  </si>
  <si>
    <t>פאנט, מנחם מנדל בן יחזקאל</t>
  </si>
  <si>
    <t>תרמ"ו</t>
  </si>
  <si>
    <t>אבני ציון</t>
  </si>
  <si>
    <t>ברקוביץ, בן-ציון יהודה בן אליהו</t>
  </si>
  <si>
    <t>אבני ציון - 4 כר'</t>
  </si>
  <si>
    <t>הכהן, בן ציון בן אליהו</t>
  </si>
  <si>
    <t>הלכה ומנהג, שאלות ותשובות, תלמוד בבלי</t>
  </si>
  <si>
    <t>אבני ציון - בשר בחלב</t>
  </si>
  <si>
    <t>חיימוב, ציון</t>
  </si>
  <si>
    <t>אבני קדש &lt;בית העלמין של ק"ק דבדו&gt;</t>
  </si>
  <si>
    <t>מרציאנו, אליהו רפאל בן מאיר מרדכי</t>
  </si>
  <si>
    <t>אבני קדש</t>
  </si>
  <si>
    <t>אביטבול, שאול ישועה</t>
  </si>
  <si>
    <t>תרצ"ד</t>
  </si>
  <si>
    <t>דרושים, מועדי ישראל, משנה, תלמוד בבלי, תנ"ך</t>
  </si>
  <si>
    <t>אבני קודש &lt;בית אבות&gt; - 2 כר'</t>
  </si>
  <si>
    <t>לוי, נחום בן אברהם משאדיק</t>
  </si>
  <si>
    <t>אבני קודש</t>
  </si>
  <si>
    <t>אבני קודש - 2 כר'</t>
  </si>
  <si>
    <t>דמשק, אברהם אליעזר בן יוסף</t>
  </si>
  <si>
    <t>תקע"ט</t>
  </si>
  <si>
    <t>אבני קודש - מעילה</t>
  </si>
  <si>
    <t>ווייס, פנחס בן אברהם</t>
  </si>
  <si>
    <t>וויס, פנחס בן אברהם</t>
  </si>
  <si>
    <t>תשל"א</t>
  </si>
  <si>
    <t>תולדות עם ישראל, תלמוד בבלי</t>
  </si>
  <si>
    <t>אבני שהם &lt;מהדו"ח&gt; - 2 כר'</t>
  </si>
  <si>
    <t>שחור, משה ליב בן זאב</t>
  </si>
  <si>
    <t>אבני שהם ומשבצות זהב</t>
  </si>
  <si>
    <t>בק, משה יעקב בן אברהם</t>
  </si>
  <si>
    <t>אבני שהם - 2 כר'</t>
  </si>
  <si>
    <t>בן חמו, אהרן בן שלמה</t>
  </si>
  <si>
    <t>אבני שהם</t>
  </si>
  <si>
    <t>גרינוואלד, אברהם יוסף בן משה</t>
  </si>
  <si>
    <t>אונגור Uzhgorod</t>
  </si>
  <si>
    <t>דרושים, שאלות ותשובות</t>
  </si>
  <si>
    <t>הרצברג, ישראל יהושע בן משה שלמה</t>
  </si>
  <si>
    <t>זילברמן, שאול משה בן יצחק אייזיק אלימלך</t>
  </si>
  <si>
    <t>הלכה ומנהג, שלחן ערוך ומפרשיו, תלמוד בבלי</t>
  </si>
  <si>
    <t>אבני שהם - 4 כר'</t>
  </si>
  <si>
    <t>טומאשוב, משה בנימין בן אלכסנדר יהושע</t>
  </si>
  <si>
    <t>תרצ"ח - תשי"ט</t>
  </si>
  <si>
    <t>שאלות ותשובות, שונות</t>
  </si>
  <si>
    <t>אבני שהם - 6 כר'</t>
  </si>
  <si>
    <t>לוריא, רפאל משה בן מרדכי יחיאל</t>
  </si>
  <si>
    <t>תשמ"ו</t>
  </si>
  <si>
    <t>פנירי, משה</t>
  </si>
  <si>
    <t>פרץ, אברהם בן יעקב</t>
  </si>
  <si>
    <t>תר"ח</t>
  </si>
  <si>
    <t>דרושים, הלכה ומנהג, הלכה ומנהג, משנה, שלחן ערוך ומפרשיו, תלמוד בבלי</t>
  </si>
  <si>
    <t>צודקוביץ, מרדכי שמואל בן ישראל הלוי</t>
  </si>
  <si>
    <t>תרפ"ה</t>
  </si>
  <si>
    <t>לודז' Lodz</t>
  </si>
  <si>
    <t>נושאים שונים, תלמוד בבלי, תפלות בקשות פיוטים ושירה</t>
  </si>
  <si>
    <t>קנובל, משה בן דוב בר</t>
  </si>
  <si>
    <t>תרכ"ה</t>
  </si>
  <si>
    <t>רובינשטיין, שמואל משה בן יצחק</t>
  </si>
  <si>
    <t>נושאים שונים, שאלות ותשובות, תלמוד בבלי</t>
  </si>
  <si>
    <t>רזניק, אברהם בן מאיר שאול</t>
  </si>
  <si>
    <t>בילגוריא</t>
  </si>
  <si>
    <t>אבני שהם - לתורה</t>
  </si>
  <si>
    <t>תשכ"ח</t>
  </si>
  <si>
    <t>תנ"ך, תנ"ך</t>
  </si>
  <si>
    <t>אבני שהם - תפילה</t>
  </si>
  <si>
    <t>שטרנבוך, אפרים זלמן בן משה -  משה בן אשר</t>
  </si>
  <si>
    <t>מחשבה ומוסר, תפלות בקשות פיוטים ושירה</t>
  </si>
  <si>
    <t>אבני שהם - בבא קמא</t>
  </si>
  <si>
    <t>שטרנבוך, אפרים זלמן</t>
  </si>
  <si>
    <t>אבני שוהם</t>
  </si>
  <si>
    <t>מאנבי, מרדכי צבי בן בנימין</t>
  </si>
  <si>
    <t>פינטו, שלמה אוריאל</t>
  </si>
  <si>
    <t>אבני שוהם - 5 כר'</t>
  </si>
  <si>
    <t>שלומוביץ, ישעיה</t>
  </si>
  <si>
    <t>אנטורפן</t>
  </si>
  <si>
    <t>אבני שופטים</t>
  </si>
  <si>
    <t>אבני שי - 3 כר'</t>
  </si>
  <si>
    <t>אלבום, יצחק שלמה בן אריה</t>
  </si>
  <si>
    <t>אבני שי"ש</t>
  </si>
  <si>
    <t>שווארץ, שלמה יהודה בן מאיר אשר</t>
  </si>
  <si>
    <t>בודפסט Budapest</t>
  </si>
  <si>
    <t>מועדי ישראל, תלמוד בבלי, תנ"ך</t>
  </si>
  <si>
    <t>אבני שיש &lt;מהדורה חדשה&gt;</t>
  </si>
  <si>
    <t>שטארק, שמואל ישכר</t>
  </si>
  <si>
    <t>אבני שיש - 4 כר'</t>
  </si>
  <si>
    <t>אביטבול, שאול ישועה בן יצחק</t>
  </si>
  <si>
    <t>תר"צ - תרצ"ד</t>
  </si>
  <si>
    <t>אבני שיש - חקת המועדים</t>
  </si>
  <si>
    <t>פרץ, אלחנן</t>
  </si>
  <si>
    <t>אבני שיש</t>
  </si>
  <si>
    <t>רוזנברג, שרגא בן שלמה הכהן</t>
  </si>
  <si>
    <t>תש"ו</t>
  </si>
  <si>
    <t>New York ניו יורק</t>
  </si>
  <si>
    <t>אבני שיש - 2 כר'</t>
  </si>
  <si>
    <t>רוטמן, שלום יעקב שמחה</t>
  </si>
  <si>
    <t>תש"ל</t>
  </si>
  <si>
    <t>הלכה ומנהג, נושאים שונים, נושאים שונים, תלמוד בבלי, תלמוד בבלי</t>
  </si>
  <si>
    <t>מונקץ'  Mukachevo</t>
  </si>
  <si>
    <t>שטייגר, שמואל יהודה בן צבי הירש</t>
  </si>
  <si>
    <t>מחשבה ומוסר, נושאים שונים, תנ"ך</t>
  </si>
  <si>
    <t>שיין, שלמה יעקב בן הלל גבריאל</t>
  </si>
  <si>
    <t>קובנה Kaunas</t>
  </si>
  <si>
    <t>אבני שלמה [לוי]</t>
  </si>
  <si>
    <t>אבני שלמה</t>
  </si>
  <si>
    <t>בלוך, שלמה אהרן בן יוסף חיים</t>
  </si>
  <si>
    <t>אבני שלמה - 2 כר'</t>
  </si>
  <si>
    <t>וולבה, שלמה (ממנו)</t>
  </si>
  <si>
    <t>אבני שמואל - 2 כר'</t>
  </si>
  <si>
    <t>פרדס, שמואל אהרן הלוי</t>
  </si>
  <si>
    <t>דרושים, הלכה ומנהג, נושאים שונים, קבצים וכתבי עת, ספרי זכרון ויובל, שאלות ותשובות, תולדות עם ישראל</t>
  </si>
  <si>
    <t>אבני שמואל</t>
  </si>
  <si>
    <t>קובץ זכרון</t>
  </si>
  <si>
    <t>אבני שש</t>
  </si>
  <si>
    <t>מסינג, יוסף בן אהרן</t>
  </si>
  <si>
    <t>ברסלאו Breslau</t>
  </si>
  <si>
    <t>אבני שש - 2 כר'</t>
  </si>
  <si>
    <t>שפירא, יעקב שמשון בן משה</t>
  </si>
  <si>
    <t>אבני תורה - א</t>
  </si>
  <si>
    <t>גלוברמן, דניאל אהרן</t>
  </si>
  <si>
    <t>אבניה ברזל</t>
  </si>
  <si>
    <t>חזן, אברהם בן נחמן ישראל הלוי</t>
  </si>
  <si>
    <t>אבנים יקרות</t>
  </si>
  <si>
    <t>כהן, פנחס</t>
  </si>
  <si>
    <t>אבק דרכים - א</t>
  </si>
  <si>
    <t>קאלומיטי, ברוך</t>
  </si>
  <si>
    <t>תקע"ד</t>
  </si>
  <si>
    <t>אבק סופרים</t>
  </si>
  <si>
    <t>קונקי, אברהם בן לוי</t>
  </si>
  <si>
    <t>תס"ד</t>
  </si>
  <si>
    <t>אמשטרדם Amsterdam</t>
  </si>
  <si>
    <t>אבקות רוכלים</t>
  </si>
  <si>
    <t>לוריא, יצחק מתתיהו בן צבי הירש</t>
  </si>
  <si>
    <t>אבקת רוכל</t>
  </si>
  <si>
    <t>אוחיון, יוסף בן מרדכי</t>
  </si>
  <si>
    <t>שאר ספרי חז"ל, תלמוד בבלי, תנ"ך</t>
  </si>
  <si>
    <t>ליכטנשטיין, הילל בן ברוך בנדט</t>
  </si>
  <si>
    <t>תרמ"ג - תרמ"ה</t>
  </si>
  <si>
    <t>אבקת רוכל - 5 כר'</t>
  </si>
  <si>
    <t>מכיר בן יצחק שר חסד</t>
  </si>
  <si>
    <t>שכ"ו-שכ"ז</t>
  </si>
  <si>
    <t>אבקת רוכל - 4 כר'</t>
  </si>
  <si>
    <t>קארו, יוסף בן אפרים</t>
  </si>
  <si>
    <t>תרי"ט</t>
  </si>
  <si>
    <t>ליפציג Leipzig</t>
  </si>
  <si>
    <t>אברהם אבינו</t>
  </si>
  <si>
    <t>שר, חיים יצחק אייזיק</t>
  </si>
  <si>
    <t>אברהם אברהם - 2 כר'</t>
  </si>
  <si>
    <t>רומאנו, אברהם בן יעקב המכונה מירקאדו</t>
  </si>
  <si>
    <t>אברהם אהבי - כי ישאלך בנך</t>
  </si>
  <si>
    <t>סופר, אברהם - חדאד, אפרים</t>
  </si>
  <si>
    <t>נושאים שונים, שאלות ותשובות, תולדות עם ישראל, תלמוד בבלי, תנ"ך</t>
  </si>
  <si>
    <t>אברהם אזכור</t>
  </si>
  <si>
    <t>פאלאג'י, אברהם בן חיים</t>
  </si>
  <si>
    <t>תרמ"ט</t>
  </si>
  <si>
    <t>אברהם אנכי - 2 כר'</t>
  </si>
  <si>
    <t>אברהם את ידו - 2 כר'</t>
  </si>
  <si>
    <t>אברהם את עיניו</t>
  </si>
  <si>
    <t>משנה, שאר ספרי חז"ל, תלמוד בבלי, תלמוד ירושלמי</t>
  </si>
  <si>
    <t>אברהם בחירו</t>
  </si>
  <si>
    <t>המכון שע"י קרית פיטסבורג</t>
  </si>
  <si>
    <t>אברהם בכל</t>
  </si>
  <si>
    <t>בן אמוזג, אברהם חי בן מרדכי</t>
  </si>
  <si>
    <t>אברהם במחזה</t>
  </si>
  <si>
    <t>קריספין, יהושע אברהם</t>
  </si>
  <si>
    <t>תרכ"ט</t>
  </si>
  <si>
    <t>שדמי, אברהם בן אריה לייב</t>
  </si>
  <si>
    <t>אברהם בן אברהם</t>
  </si>
  <si>
    <t>שאכנוביץ, זליג בן יצחק</t>
  </si>
  <si>
    <t>תשי"ב</t>
  </si>
  <si>
    <t>אברהם בעודנו חי</t>
  </si>
  <si>
    <t>ראטה, אברהם חיים בן אהרן</t>
  </si>
  <si>
    <t>אברהם יגל יצחק ירנן</t>
  </si>
  <si>
    <t>קאהן, דוד בן צבי משה</t>
  </si>
  <si>
    <t>אברהם יגל</t>
  </si>
  <si>
    <t>אברהם הכהן, מתוניס</t>
  </si>
  <si>
    <t>הלכה ומנהג, משנה, שאלות ותשובות, שלחן ערוך ומפרשיו, תלמוד בבלי, תנ"ך</t>
  </si>
  <si>
    <t>אלקבץ, אברהם יצחק</t>
  </si>
  <si>
    <t>בן חיים, מרדכי בן אברהם</t>
  </si>
  <si>
    <t>מחשבה ומוסר, תלמוד בבלי</t>
  </si>
  <si>
    <t>גליק, אברהם ישראל</t>
  </si>
  <si>
    <t>אברהם יגל - 2 כר'</t>
  </si>
  <si>
    <t>סודרי, אברהם בן יעקב</t>
  </si>
  <si>
    <t>טבריה</t>
  </si>
  <si>
    <t>אברהם עבד ה'</t>
  </si>
  <si>
    <t>אברך את ה'</t>
  </si>
  <si>
    <t>אברך</t>
  </si>
  <si>
    <t>פרידלנדר, אהרן מאיר בן זלמן ליב</t>
  </si>
  <si>
    <t>Mukachevo מונקץ'</t>
  </si>
  <si>
    <t>אברכך בחיי</t>
  </si>
  <si>
    <t>ישראל, חיים יהודה</t>
  </si>
  <si>
    <t>אגדות הזהר</t>
  </si>
  <si>
    <t>זוהר. ליקוטים. תרפ"ג. ורשה</t>
  </si>
  <si>
    <t>תרפ"ג-תרפ"ד</t>
  </si>
  <si>
    <t>ורשהWarsaw</t>
  </si>
  <si>
    <t>אגדות הזוהר</t>
  </si>
  <si>
    <t>פרוש, מ.צ.</t>
  </si>
  <si>
    <t>אגדות הש"ס עם פירוש הביאור הדרש והעיון - נזיקין ב</t>
  </si>
  <si>
    <t>שטרן, יחיאל מיכל בן משה אהרן</t>
  </si>
  <si>
    <t>אגדות חז"ל מעובדות לנוער - 2 כר'</t>
  </si>
  <si>
    <t>וינשטוק, יאיר בן שלמה מנחם</t>
  </si>
  <si>
    <t>אגדות ירושלמי</t>
  </si>
  <si>
    <t>תלמוד ירושלמי. תרנ"ט. ורשה</t>
  </si>
  <si>
    <t>תרנ"ט</t>
  </si>
  <si>
    <t>תלמוד ירושלמי</t>
  </si>
  <si>
    <t>אגדות מהרז"צ</t>
  </si>
  <si>
    <t>ציטרון, זאב וולף בן אברהם אליעזר</t>
  </si>
  <si>
    <t>מישקולץ Miskolc</t>
  </si>
  <si>
    <t>אגדות רות</t>
  </si>
  <si>
    <t>בלומנטאל, ישראל חיים בן אברהם יוחנן</t>
  </si>
  <si>
    <t>שאר ספרי חז"ל, תנ"ך</t>
  </si>
  <si>
    <t>אגדות שמואל</t>
  </si>
  <si>
    <t>הלל, משה בן יעקב</t>
  </si>
  <si>
    <t>אגדות תלמוד ירושלמי  ע"פ יפה מראה ועין יעקב - 2 כר'</t>
  </si>
  <si>
    <t>אשכנזי-יפה, שמואל בן יצחק - חביב, יעקב בן שלמה</t>
  </si>
  <si>
    <t>תלמוד ירושלמי, תלמוד ירושלמי</t>
  </si>
  <si>
    <t>אגדות תלמוד ירושלמי</t>
  </si>
  <si>
    <t>סופר, אפרים בן אלעזר - זלמן ליב בן יששכר דב - מרגליות, משה בן שמעון הכהן, אליהו</t>
  </si>
  <si>
    <t>אגדת אליהו &lt;מהדורה חדשה&gt; - 3 כר'</t>
  </si>
  <si>
    <t>אליהו בן אברהם שלמה הכהן</t>
  </si>
  <si>
    <t>אגדת אליהו - 2 כר'</t>
  </si>
  <si>
    <t>תקט"ו - תקפ"ה</t>
  </si>
  <si>
    <t>אגדת אסתר</t>
  </si>
  <si>
    <t>בובר, שלמה</t>
  </si>
  <si>
    <t>קרקוב Cracow</t>
  </si>
  <si>
    <t>שאר ספרי חז"ל, שונות</t>
  </si>
  <si>
    <t>אגדת ארבע כוסות</t>
  </si>
  <si>
    <t>פאפנהיים, שלמה בן זליגמאן</t>
  </si>
  <si>
    <t>תק"ן</t>
  </si>
  <si>
    <t>אגדת בראשית &lt;עץ יוסף, ענף יוסף, יד יוסף&gt;</t>
  </si>
  <si>
    <t>מדרש אגדת בראשית. תרל"ו</t>
  </si>
  <si>
    <t>תרל"ו</t>
  </si>
  <si>
    <t>קבלה, שאר ספרי חז"ל, שאר ספרי חז"ל</t>
  </si>
  <si>
    <t>אגדת בראשית</t>
  </si>
  <si>
    <t>אגדת דוד</t>
  </si>
  <si>
    <t>ישראל, דוד</t>
  </si>
  <si>
    <t>אגדת ישראל וארץ ישראל</t>
  </si>
  <si>
    <t>כהנא, לוי יצחק</t>
  </si>
  <si>
    <t>אגדת מהרש"כ</t>
  </si>
  <si>
    <t>הכהן, שילם בן ישראל</t>
  </si>
  <si>
    <t>אגדת מרדכי</t>
  </si>
  <si>
    <t>הנא, מרדכי בן יוזפא</t>
  </si>
  <si>
    <t>תקכ"ד</t>
  </si>
  <si>
    <t>אגדת עין יעקב &lt;עם תרגום באנגלית&gt; - 5 כר'</t>
  </si>
  <si>
    <t>אבן-חביב, יעקב בן שלמה</t>
  </si>
  <si>
    <t>תרע"ו - תרפ"ב</t>
  </si>
  <si>
    <t>אגדת רות ומדרש רות רבה - ג</t>
  </si>
  <si>
    <t>לרנר, מירון ביאליק</t>
  </si>
  <si>
    <t>אגדת שיר השירים &lt;שכטר&gt;</t>
  </si>
  <si>
    <t>מדרש זוטא. שיר השירים</t>
  </si>
  <si>
    <t>[תרנ"ו]</t>
  </si>
  <si>
    <t>Cambridge,</t>
  </si>
  <si>
    <t>אגדת שמואל</t>
  </si>
  <si>
    <t>אריפול, שמואל בן יצחק</t>
  </si>
  <si>
    <t>של"ו</t>
  </si>
  <si>
    <t>דרושים, תנ"ך, תפלות בקשות פיוטים ושירה</t>
  </si>
  <si>
    <t>לוריא, דוד בן יהודה</t>
  </si>
  <si>
    <t>תרי"ב</t>
  </si>
  <si>
    <t>אגדתא דפסח עם שתילי זתים &lt;באר מרים&gt;</t>
  </si>
  <si>
    <t>משרקי, דוד בן שלמה - דחבש, חזקיהו בן ישראל</t>
  </si>
  <si>
    <t>ראש העין</t>
  </si>
  <si>
    <t>אגדתא דפסחא &lt;פרי הילולים&gt;</t>
  </si>
  <si>
    <t>מעלם, יצחק בן יחיא</t>
  </si>
  <si>
    <t>ביתר עילית</t>
  </si>
  <si>
    <t>הלכה ומנהג, מועדי ישראל, נושאים שונים</t>
  </si>
  <si>
    <t>אגדתא דפסחא &lt;כתב יד&gt; - קונטריס הערות</t>
  </si>
  <si>
    <t>צובירי, יוסף בן יעקב</t>
  </si>
  <si>
    <t>תשכ"ז</t>
  </si>
  <si>
    <t>אגדתא דפסחא (כתב יד)</t>
  </si>
  <si>
    <t>בשירי, יחיא - ונה, יצחק - קאפח, יוסף בן דוד - צאלח, יחיא בן יוסף</t>
  </si>
  <si>
    <t>כתב יד</t>
  </si>
  <si>
    <t>מועדי ישראל, נושאים שונים</t>
  </si>
  <si>
    <t>אגדתא דפסחא ע"פ נוסח עתיק</t>
  </si>
  <si>
    <t>תרע"ג</t>
  </si>
  <si>
    <t>תימן</t>
  </si>
  <si>
    <t>אגדתא דפסחא</t>
  </si>
  <si>
    <t>תשי"ט</t>
  </si>
  <si>
    <t>אגדתא דפסחא - אוצרות תימן</t>
  </si>
  <si>
    <t>עשרה פירושים מחכמי תימן</t>
  </si>
  <si>
    <t>אגודה אחת - 11 כר'</t>
  </si>
  <si>
    <t>בני החבורות (אלכנסדר)</t>
  </si>
  <si>
    <t>חסידות, קבצים וכתבי עת, ספרי זכרון ויובל</t>
  </si>
  <si>
    <t>אגודות אזוב מדברי</t>
  </si>
  <si>
    <t>וויינגוט, מיכאל דוב בן יששכר</t>
  </si>
  <si>
    <t>תרל"ט</t>
  </si>
  <si>
    <t>אגודת אז"ב</t>
  </si>
  <si>
    <t>פרנקל-תאומים, ברוך בן יהושע יחזקאל פייבל - מרגליות, אפרים זלמן בן מנחם מאנוש</t>
  </si>
  <si>
    <t>ברוקלין</t>
  </si>
  <si>
    <t>אגודת אזוב &lt;מהדורה חדשה&gt;</t>
  </si>
  <si>
    <t>מרגליות, משה זאב בן אליעזר</t>
  </si>
  <si>
    <t>אגודת אזוב</t>
  </si>
  <si>
    <t>בוימגולד, דוב בריש בן שמואל צבי</t>
  </si>
  <si>
    <t>חסידות, תנ"ך</t>
  </si>
  <si>
    <t>אגודת אזוב - 3 כר'</t>
  </si>
  <si>
    <t>בורנשטיין, זאב נחום בן אהרן</t>
  </si>
  <si>
    <t>Jerusalem ירושלים</t>
  </si>
  <si>
    <t>אגודת אזוב - 2 כר'</t>
  </si>
  <si>
    <t>יעקב ישראל בן צבי הירש הלוי</t>
  </si>
  <si>
    <t>תקמ"ב</t>
  </si>
  <si>
    <t>אגודת אזוב - 4 כר'</t>
  </si>
  <si>
    <t>תקפ"ד - תקפ"ה</t>
  </si>
  <si>
    <t>אגודת אליהו - 2 כר'</t>
  </si>
  <si>
    <t>גלברט, אליהו בן אברהם יצחק</t>
  </si>
  <si>
    <t>אגודת ישראל קאנווענשאן בוך (31)</t>
  </si>
  <si>
    <t>אגודת ישראל</t>
  </si>
  <si>
    <t>אגודת ישראל - 2 כר'</t>
  </si>
  <si>
    <t>זלוטניק, ישראל בן יצחק יעקב</t>
  </si>
  <si>
    <t>אגודת ישראל - א (מטעמי ברוך)</t>
  </si>
  <si>
    <t>ישראל ברוך בן יעקב שלמה זלמן</t>
  </si>
  <si>
    <t>תרפ"ג</t>
  </si>
  <si>
    <t>אגודת מאמרים - 2 כר'</t>
  </si>
  <si>
    <t>לוינשטיין, יחזקאל הלוי</t>
  </si>
  <si>
    <t>חדרה</t>
  </si>
  <si>
    <t>אגודת מפרשים - יבמות</t>
  </si>
  <si>
    <t>גולדברג, אהוד</t>
  </si>
  <si>
    <t>תשמ"ח</t>
  </si>
  <si>
    <t>אגור</t>
  </si>
  <si>
    <t>אבן-ג'אמע, שמואל בן יעקב</t>
  </si>
  <si>
    <t>נושאים שונים, תלמוד בבלי</t>
  </si>
  <si>
    <t>אגורה באהלך עולמים - 4 כר'</t>
  </si>
  <si>
    <t>ניימאן, יעקב יצחק - הרצוג, יוחנן בן יוסף חיים</t>
  </si>
  <si>
    <t>מונטיריואל</t>
  </si>
  <si>
    <t>חסידות, מועדי ישראל, קבצים וכתבי עת, ספרי זכרון ויובל</t>
  </si>
  <si>
    <t>אגורה באהלך</t>
  </si>
  <si>
    <t>אוירבך, אדיר אלעזר</t>
  </si>
  <si>
    <t>גאטינייו, אליקים בן יצחק</t>
  </si>
  <si>
    <t>תקמ"א</t>
  </si>
  <si>
    <t>אגלאי מילתא - 6 כר'</t>
  </si>
  <si>
    <t>אגלי בכרה</t>
  </si>
  <si>
    <t>שרייבר, חזקיהו יוסף בן פנחס</t>
  </si>
  <si>
    <t>אגלי דבש - א</t>
  </si>
  <si>
    <t>ברקוביץ, שלום אליקים געצל</t>
  </si>
  <si>
    <t>אגלי חן</t>
  </si>
  <si>
    <t>אגלי טל &lt;מהדורה חדשה&gt;</t>
  </si>
  <si>
    <t>אגלי טל</t>
  </si>
  <si>
    <t>תרס"ה</t>
  </si>
  <si>
    <t>אגלי טל - 2 כר'</t>
  </si>
  <si>
    <t>פרייל, יהושע יוסף בן אלחנן</t>
  </si>
  <si>
    <t>תרנ"ט - תרס"א</t>
  </si>
  <si>
    <t>אגלי נוחם</t>
  </si>
  <si>
    <t>אגם מים &lt;מהדורה שניה&gt;</t>
  </si>
  <si>
    <t>גלאנצר, אברהם מאיר הכהן</t>
  </si>
  <si>
    <t>שאלות ותשובות, תלמוד בבלי, תנ"ך</t>
  </si>
  <si>
    <t>אגם מים</t>
  </si>
  <si>
    <t>שאלות ותשובות, שלחן ערוך ומפרשיו, תלמוד בבלי, תנ"ך</t>
  </si>
  <si>
    <t>גלאנצר, מאיר בן יעקב הכהן</t>
  </si>
  <si>
    <t>Sighet סיגט</t>
  </si>
  <si>
    <t>אגן הסהר &lt;אודות הגר"א גנחובסקי&gt; - 2 כר'</t>
  </si>
  <si>
    <t>פיש, שמואל אהרן בן יעקב חזקיהו</t>
  </si>
  <si>
    <t>אגן הסהר</t>
  </si>
  <si>
    <t>חזן, דוד בן חיים</t>
  </si>
  <si>
    <t>תק"י</t>
  </si>
  <si>
    <t>צימרמאן, אהרן חיים בן יעקב משה הלוי</t>
  </si>
  <si>
    <t>תשט"ו</t>
  </si>
  <si>
    <t>אגר נטר</t>
  </si>
  <si>
    <t>הלפרט, יעקב</t>
  </si>
  <si>
    <t>אגרא דב"י הילולי</t>
  </si>
  <si>
    <t>רוקח, יששכר דב (מהרי"ד)</t>
  </si>
  <si>
    <t>אגרא דבי הילולי</t>
  </si>
  <si>
    <t>הלפרט, בצלאל יאיר</t>
  </si>
  <si>
    <t>התאחדות חסידי פיטסבורג</t>
  </si>
  <si>
    <t>אגרא דבי הלולי</t>
  </si>
  <si>
    <t>גרנאט, יצחק מאיר בן אברהם הלוי</t>
  </si>
  <si>
    <t>הלכה ומנהג, חסידות, נושאים שונים</t>
  </si>
  <si>
    <t>לוצאטו, משה חיים בן יעקב חי (רמח"ל)  - ועוד</t>
  </si>
  <si>
    <t>אגרא דהספדא</t>
  </si>
  <si>
    <t>הספדים לזכרו של הגרמ"מ שולזינגר זצוק"ל</t>
  </si>
  <si>
    <t>אגרא דהספידא</t>
  </si>
  <si>
    <t>זלנפריינד, אברהם אבלי בן חיים מאיר זאב הכהן</t>
  </si>
  <si>
    <t>דרושים, נושאים שונים</t>
  </si>
  <si>
    <t>אגרא דכלה על התורה &lt;הצבי והצדק&gt; - 3 כר'</t>
  </si>
  <si>
    <t>שפירא, צבי אלימלך בן פסח מדינוב</t>
  </si>
  <si>
    <t>אגרא דכלה על התורה &lt;ערוך מחדש ע"פ כת"י&gt; - 2 כר'</t>
  </si>
  <si>
    <t>אגרא דכלה</t>
  </si>
  <si>
    <t>אוסף אגרות קדש</t>
  </si>
  <si>
    <t>תשמ"א</t>
  </si>
  <si>
    <t>תר"ע - תרע"א</t>
  </si>
  <si>
    <t>דרושים, חסידות, חסידות, קבלה, תנ"ך</t>
  </si>
  <si>
    <t>אגרא דנטירותא - רבית איזהו נשך</t>
  </si>
  <si>
    <t>בית מדרש גבוה ליקווד</t>
  </si>
  <si>
    <t>ליקווד נ. ג' Lakewoo</t>
  </si>
  <si>
    <t>אגרא דפירקא - סוכות</t>
  </si>
  <si>
    <t>אויערבאך, שמואל בן שלמה זלמן</t>
  </si>
  <si>
    <t>אגרא דפרקא &lt;אגרא דצבי&gt; - 2 כר'</t>
  </si>
  <si>
    <t>אגרא דפרקא - 3 כר'</t>
  </si>
  <si>
    <t>תרי"ח</t>
  </si>
  <si>
    <t>Lvov לבוב</t>
  </si>
  <si>
    <t>אגרא דשמעתא - 4 כר'</t>
  </si>
  <si>
    <t>שיינברג, חיים פינחס בן יעקב יצחק</t>
  </si>
  <si>
    <t>אגרא דשמעתתא</t>
  </si>
  <si>
    <t>הכהן, משה אברהם אבלי בן יחיאל אלתר</t>
  </si>
  <si>
    <t>תרס"ו</t>
  </si>
  <si>
    <t>אגרא דתעניתא</t>
  </si>
  <si>
    <t>אבראהאם, נחום</t>
  </si>
  <si>
    <t>אגרא לישרים</t>
  </si>
  <si>
    <t>אגרונו של יוסף הכהן בעל עמק הבכא</t>
  </si>
  <si>
    <t>יוסף בן יהושע הכהן</t>
  </si>
  <si>
    <t>אגרות בית אפרים</t>
  </si>
  <si>
    <t>מרגליות, אפרים זלמן בן מנחם מאנוש</t>
  </si>
  <si>
    <t>אגרות בנין של שמחה</t>
  </si>
  <si>
    <t>אברהם שמחה בן יעקב נחמן מאמציסלאב</t>
  </si>
  <si>
    <t>אגרות דברי אמונה</t>
  </si>
  <si>
    <t>קאהן, אברהם יצחק בן אהרן דוד הכהן</t>
  </si>
  <si>
    <t>דרושים, חסידות</t>
  </si>
  <si>
    <t>אגרות האוהב ישראל</t>
  </si>
  <si>
    <t>אברהם יהושע השל בן שמואל מאפטה</t>
  </si>
  <si>
    <t>אגרות המוסר &lt;בואו חשבון&gt;</t>
  </si>
  <si>
    <t>גולדברג, אהרן דוד בן יצחק הלוי (מפרש)</t>
  </si>
  <si>
    <t>ויקליף</t>
  </si>
  <si>
    <t>אגרות הנצי"ב מוולאזין - א</t>
  </si>
  <si>
    <t>ברלין, נפתלי צבי יהודה בן יעקב</t>
  </si>
  <si>
    <t>אגרות הסולם</t>
  </si>
  <si>
    <t>אגרות הראי"ז</t>
  </si>
  <si>
    <t>זסלנסקי, אהרן יצחק בן ראובן</t>
  </si>
  <si>
    <t>אגרות הרב חיד"א &lt;מהדורת ועקנין&gt;</t>
  </si>
  <si>
    <t>אזולאי, חיים יוסף דוד בן רפאל יצחק זרחיה</t>
  </si>
  <si>
    <t>אגרות הרב חיד"א</t>
  </si>
  <si>
    <t>תרכ"ז</t>
  </si>
  <si>
    <t>אגרות הרה"ק מרוזין ובניו - 3 כר'</t>
  </si>
  <si>
    <t>רבינוביץ, דב בער</t>
  </si>
  <si>
    <t>אגרות הרמ"ז &lt;אלף אלפין - מהדורת החיים והשלום&gt;</t>
  </si>
  <si>
    <t>זכות, משה בן מרדכי</t>
  </si>
  <si>
    <t>אגרות הרמ"ז &lt;עם קובץ מכתבים מצדיקי מונקאטש&gt;</t>
  </si>
  <si>
    <t>אגרות הרמ"ז</t>
  </si>
  <si>
    <t>תק"מ</t>
  </si>
  <si>
    <t>נושאים שונים, קבלה, תפלות בקשות פיוטים ושירה</t>
  </si>
  <si>
    <t>אגרות הרמב"ם &lt;מהדורת שילת&gt;</t>
  </si>
  <si>
    <t>משה בן מימון (רמב"ם)</t>
  </si>
  <si>
    <t>אגרות הרמב"ם &lt;מקיצי נרדמים&gt;</t>
  </si>
  <si>
    <t>אגרות הרמב"ם</t>
  </si>
  <si>
    <t>ש"ה</t>
  </si>
  <si>
    <t>ויניציאה,</t>
  </si>
  <si>
    <t>אגרות והסכמות רבינו חיד"א &lt;העלם דבר&gt;</t>
  </si>
  <si>
    <t>אזולאי, חיים יוסף דוד בן רפאל יצחק זרחיה - ועקנין, מיכאל שלמה דן</t>
  </si>
  <si>
    <t>אגרות וכתבים</t>
  </si>
  <si>
    <t>קנייבסקי, שמריהו יוסף חיים בן יעקב ישראל - חלופסקי, יעקב</t>
  </si>
  <si>
    <t>אגרות ומכתבים &lt;ר' ישראל סלנטר&gt; - א</t>
  </si>
  <si>
    <t>אגרות ומכתבים אמרי סופר</t>
  </si>
  <si>
    <t>סופר, יוחנן בן משה</t>
  </si>
  <si>
    <t>אגרות ורשימות קה"י - 6 כר'</t>
  </si>
  <si>
    <t>קנייבסקי, יעקב ישראל בן חיים פרץ. ברזם, שאול. ברזם, משה.</t>
  </si>
  <si>
    <t>אגרות ושו"ת</t>
  </si>
  <si>
    <t>תרל"ח</t>
  </si>
  <si>
    <t>הלכה ומנהג, נושאים שונים, שאלות ותשובות, תולדות עם ישראל</t>
  </si>
  <si>
    <t>אגרות ותולדות רבינו מהר"ם שפירא מלובלין</t>
  </si>
  <si>
    <t>שפירא, יהודה מאיר בן יעקב שמשון - מנדלבוים, דוד אברהם</t>
  </si>
  <si>
    <t>אגרות ותשובות רבינו חיים בן עטר</t>
  </si>
  <si>
    <t>אבן-עטר, חיים בן משה</t>
  </si>
  <si>
    <t>אגרות ותשובות</t>
  </si>
  <si>
    <t>אגרות חנוך</t>
  </si>
  <si>
    <t>קרלנשטיין, חנוך העניך בן דוב צבי</t>
  </si>
  <si>
    <t>אגרות לחם שלמה</t>
  </si>
  <si>
    <t>אגרות לראי"ה</t>
  </si>
  <si>
    <t>שפירא, בן ציון &lt;עורך&gt;</t>
  </si>
  <si>
    <t>אגרות מבית גנזי</t>
  </si>
  <si>
    <t>אגרות מהר"ם שיק - א</t>
  </si>
  <si>
    <t>שיק, משה בן יוסף</t>
  </si>
  <si>
    <t>אגרות מכתב סופר</t>
  </si>
  <si>
    <t>סופר, שמעון בן משה</t>
  </si>
  <si>
    <t>אגרות ממרן בעל אילת השחר</t>
  </si>
  <si>
    <t>שטיינמן, אהרן יהודה ליב בן נח צבי</t>
  </si>
  <si>
    <t>אגרות מקור ברוך</t>
  </si>
  <si>
    <t>הגר, ברוך בן ישראל</t>
  </si>
  <si>
    <t>חיפה</t>
  </si>
  <si>
    <t>אגרות משה - 9 כר'</t>
  </si>
  <si>
    <t>פיינשטיין, משה בן דוד</t>
  </si>
  <si>
    <t>תשי"ט - תשל"ג</t>
  </si>
  <si>
    <t>אגרות פרי מגדים - א</t>
  </si>
  <si>
    <t>תאומים, יוסף בן מאיר</t>
  </si>
  <si>
    <t>אגרות צפון - 3 כר'</t>
  </si>
  <si>
    <t>הירש, שמשון בן רפאל</t>
  </si>
  <si>
    <t>תר"ן</t>
  </si>
  <si>
    <t>ווילנא,</t>
  </si>
  <si>
    <t>אגרות קודש (אדמו"ר האמצעי) - 2 כר'</t>
  </si>
  <si>
    <t>שניאורי, דוב בר בן שניאור זלמן</t>
  </si>
  <si>
    <t>אגרות קודש באהוש</t>
  </si>
  <si>
    <t>יצחק בן שלום יוסף  מבהוש</t>
  </si>
  <si>
    <t>אגרות קודש מהרצ"ה מזידיטשוב</t>
  </si>
  <si>
    <t>אייכנשטיין, צבי הירש בן יצחק איזיק</t>
  </si>
  <si>
    <t>אגרות קודש</t>
  </si>
  <si>
    <t>דיסקין, יואל בן מנחם נחום</t>
  </si>
  <si>
    <t>תרצ"ג</t>
  </si>
  <si>
    <t>אגרות קנאות &lt;אגרות הרמב"ם&gt;</t>
  </si>
  <si>
    <t>ליפסיא</t>
  </si>
  <si>
    <t>מחשבה ומוסר, מחשבה ומוסר, תולדות עם ישראל</t>
  </si>
  <si>
    <t>אגרות ר' חיים עוזר - 3 כר'</t>
  </si>
  <si>
    <t>גרודזנסקי, חיים עוזר בן דוד שלמה</t>
  </si>
  <si>
    <t>אגרות ר' יצחק אלחנן - 2 כר'</t>
  </si>
  <si>
    <t>ספקטור, יצחק אלחנן בן ישראל איסר</t>
  </si>
  <si>
    <t>אגרות רבי עזריאל הילדסהיימר</t>
  </si>
  <si>
    <t>הילדסהיימר, עזריאל בן יהודה ליב</t>
  </si>
  <si>
    <t>אגרות רבי עקיבא איגר</t>
  </si>
  <si>
    <t>איגר, עקיבא בן משה</t>
  </si>
  <si>
    <t>אגרות ריא"ם</t>
  </si>
  <si>
    <t>מודינה, יהודה אריה בן יצחק</t>
  </si>
  <si>
    <t>תשמ"ד</t>
  </si>
  <si>
    <t>אגרות רמח"ל ובני דורו</t>
  </si>
  <si>
    <t>לוצאטו, משה חיים בן יעקב חי (רמח"ל)</t>
  </si>
  <si>
    <t>מחשבה ומוסר, נושאים שונים, קבלה</t>
  </si>
  <si>
    <t>אגרות שומרי אמונים</t>
  </si>
  <si>
    <t>רוט, אהרן בן שמואל יעקב</t>
  </si>
  <si>
    <t>אגרות שלומים</t>
  </si>
  <si>
    <t>שס"ג</t>
  </si>
  <si>
    <t>בזל Basel</t>
  </si>
  <si>
    <t>אגרות שפירין</t>
  </si>
  <si>
    <t>אדמור"י מונקאטש</t>
  </si>
  <si>
    <t>אגרות תורה</t>
  </si>
  <si>
    <t>יפה, שמואל ישעיה בן יוסף ליב</t>
  </si>
  <si>
    <t>אגרות - 5 כר'</t>
  </si>
  <si>
    <t>גולדשטוף, יאיר</t>
  </si>
  <si>
    <t>אגרי דבי הילולא תנינא</t>
  </si>
  <si>
    <t>אגרות קודש עתיקים מגדולי תורה</t>
  </si>
  <si>
    <t>אגרת בחינת העולם</t>
  </si>
  <si>
    <t>ידעיה בן אברהם בדרשי</t>
  </si>
  <si>
    <t>רמ"ה</t>
  </si>
  <si>
    <t>שונצינו</t>
  </si>
  <si>
    <t>אגרת בעלי חיים &lt;דפו"ר&gt;</t>
  </si>
  <si>
    <t>שי"ז</t>
  </si>
  <si>
    <t>מנטובה Mantua</t>
  </si>
  <si>
    <t>אגרת בענין אתרוגים</t>
  </si>
  <si>
    <t>אגרת</t>
  </si>
  <si>
    <t>תרט"ז</t>
  </si>
  <si>
    <t>גינובה</t>
  </si>
  <si>
    <t>אגרת בקורת</t>
  </si>
  <si>
    <t>עמדין, יעקב ישראל בן צבי</t>
  </si>
  <si>
    <t>תרכ"ח</t>
  </si>
  <si>
    <t>זיטומיר Zhitomir</t>
  </si>
  <si>
    <t>אגרת בקרת</t>
  </si>
  <si>
    <t>חיות, צבי הירש בן מאיר</t>
  </si>
  <si>
    <t>ברטיסלבה Bratislava</t>
  </si>
  <si>
    <t>אגרת דופי הזמן</t>
  </si>
  <si>
    <t>עובדיה, יצחק בן יעקב</t>
  </si>
  <si>
    <t>שנ"ח</t>
  </si>
  <si>
    <t>אגרת דרבי שרירא גאון &lt;ימות עולם&gt;</t>
  </si>
  <si>
    <t>שרירא בן חנניה גאון - וויינשטוק, משה יאיר בן מרדכי דוד</t>
  </si>
  <si>
    <t>אגרת דרבינו שרירא גאון</t>
  </si>
  <si>
    <t>שרירא בן חנניה גאון</t>
  </si>
  <si>
    <t>אגרת דרבן יוחנן בן זכאי &lt;באר יצחק&gt;</t>
  </si>
  <si>
    <t>אגרת רבן יוחנן בן זכאי</t>
  </si>
  <si>
    <t>אנטורפן Antwerp</t>
  </si>
  <si>
    <t>נושאים שונים, שונות</t>
  </si>
  <si>
    <t>אגרת דרבן יוחנן בן זכאי &lt;ר"א אשכנזי - 2 כר'</t>
  </si>
  <si>
    <t>אגרת רבן יוחנן בן זכאי. אשכנזי, אליעזר - ברמן, משה יהודה בן דוד הלוי</t>
  </si>
  <si>
    <t>אגרת דרבן יוחנן בן זכאי</t>
  </si>
  <si>
    <t>תרנ"ה</t>
  </si>
  <si>
    <t>נושאים שונים, קבלה</t>
  </si>
  <si>
    <t>אגרת דרך ה'</t>
  </si>
  <si>
    <t>טראני, משה בן יוסף (מבי"ט)</t>
  </si>
  <si>
    <t>שי"ג</t>
  </si>
  <si>
    <t>אגרת האדם</t>
  </si>
  <si>
    <t>לוין, יצחק משה בן יעקב קופל</t>
  </si>
  <si>
    <t>אגרת הברכה</t>
  </si>
  <si>
    <t>ברינגר, אריה בן נפתלי</t>
  </si>
  <si>
    <t>אגרת הברכות (ברכת אליהו)</t>
  </si>
  <si>
    <t>אזולאי, אליהו</t>
  </si>
  <si>
    <t>תש"מ</t>
  </si>
  <si>
    <t>אגרת הגר"א ע"פ פתיחת האגרת</t>
  </si>
  <si>
    <t>אגרת הגר"א עם ביאור דרך ישרים</t>
  </si>
  <si>
    <t>גראוכר, ישעיהו יחיאל מאיר בן עודד דוד</t>
  </si>
  <si>
    <t>אגרת הגר"א עם פירוש - 2 כר'</t>
  </si>
  <si>
    <t>אליהו בן שלמה זלמן (הגר"א)  - גולדשטיין, ישראל בן מרדכי</t>
  </si>
  <si>
    <t>אגרת ההלכות לשלשת ימי הפורים וטעמיהם</t>
  </si>
  <si>
    <t>איגרת ההלכות לשלשת ימי הפורים וטעמיהם</t>
  </si>
  <si>
    <t>אגרת הויכוח</t>
  </si>
  <si>
    <t>אבן-פאלקירה, שם טוב בן יוסף</t>
  </si>
  <si>
    <t>תרל"ה</t>
  </si>
  <si>
    <t>Vienna וינה</t>
  </si>
  <si>
    <t>מחשבה ומוסר, מחשבה ומוסר, נושאים שונים, תולדות עם ישראל</t>
  </si>
  <si>
    <t>אגרת החיים - 2 כר'</t>
  </si>
  <si>
    <t>אלכסנדרובסקי, ישראל שלמה זלמן אהרן בן יצחק אייזיק הכהן</t>
  </si>
  <si>
    <t>מחשבה ומוסר, קבלה, תולדות עם ישראל</t>
  </si>
  <si>
    <t>אגרת החיים</t>
  </si>
  <si>
    <t>חיים בן יצחק מוולוז'ין</t>
  </si>
  <si>
    <t>אגרת החלום</t>
  </si>
  <si>
    <t>פילדלפיה</t>
  </si>
  <si>
    <t>אגרת הטהרה</t>
  </si>
  <si>
    <t>קוק, אברהם יצחק בן שלמה זלמן הכהן</t>
  </si>
  <si>
    <t>ת"ש</t>
  </si>
  <si>
    <t>אגרת הטיול &lt;טיול בפרדס&gt;</t>
  </si>
  <si>
    <t>חיים בן בצלאל מפרידברג</t>
  </si>
  <si>
    <t>אגרת הטיול - 4 כר'</t>
  </si>
  <si>
    <t>קבלה, שונות</t>
  </si>
  <si>
    <t>אגרת הטעמים</t>
  </si>
  <si>
    <t>אהרן אברהם בן ברוך הלוי</t>
  </si>
  <si>
    <t>שמ"ב</t>
  </si>
  <si>
    <t>אגרת הידיעה</t>
  </si>
  <si>
    <t>אגרת הכולל</t>
  </si>
  <si>
    <t>צפת. כולל אשכנזים פרושים</t>
  </si>
  <si>
    <t>תק"ע</t>
  </si>
  <si>
    <t>רוסיה-פולין Russia-</t>
  </si>
  <si>
    <t>אגרת המוסר &lt;מהדורה חדשה&gt;</t>
  </si>
  <si>
    <t>אבן-לחמיש, שלמה</t>
  </si>
  <si>
    <t>אגרת המוסר לרבי שם טוב פלקירה</t>
  </si>
  <si>
    <t>אגרת המוסר</t>
  </si>
  <si>
    <t>אבן תבון, יהודה בן שאול - קורח, פנחס</t>
  </si>
  <si>
    <t>אגרת המוסר - 2 כר'</t>
  </si>
  <si>
    <t>של"ג - של"ח ביניהם</t>
  </si>
  <si>
    <t>קושטא Istanbul</t>
  </si>
  <si>
    <t>בן דוד ויוסף, ראובן</t>
  </si>
  <si>
    <t>אגרת המליצה ומשפט לשה"ק</t>
  </si>
  <si>
    <t>מרגליות, אהרן יהודה ליב בן אשר זליג</t>
  </si>
  <si>
    <t>תקנ"ו</t>
  </si>
  <si>
    <t>נובי דבור Nowy Dwor</t>
  </si>
  <si>
    <t>אגרת המסע</t>
  </si>
  <si>
    <t>סאנגוניטי, אברהם</t>
  </si>
  <si>
    <t>אגרת הנחמה - 2 כר'</t>
  </si>
  <si>
    <t>מימון בן יוסף</t>
  </si>
  <si>
    <t>אגרת הנחמה, אגרת תימן, אגרת השמד - תרגום חדש</t>
  </si>
  <si>
    <t>רבינו מיימון הדיין - משה בן מיימון (רמב"ם)</t>
  </si>
  <si>
    <t>אגרת הערות</t>
  </si>
  <si>
    <t>אגרת הפורים (השנית)</t>
  </si>
  <si>
    <t>גרוסברג, חנוך זונדל בן דוב בר</t>
  </si>
  <si>
    <t>אגרת הפורים</t>
  </si>
  <si>
    <t>ווייסמאן, משה יצחק</t>
  </si>
  <si>
    <t>הלכה ומנהג, מועדי ישראל, תנ"ך</t>
  </si>
  <si>
    <t>לאער, אהרן שלמה</t>
  </si>
  <si>
    <t>סקולקי</t>
  </si>
  <si>
    <t>ספטימוס, יוסף דב בן חיים יצחק</t>
  </si>
  <si>
    <t>תפרח</t>
  </si>
  <si>
    <t>עראקי, יוסף הכהן - בן נון, אדם</t>
  </si>
  <si>
    <t>קושקאש,  דוד מאיסטרי</t>
  </si>
  <si>
    <t>תפילות. סידור. תקע"ז. מץ</t>
  </si>
  <si>
    <t>תקע"ז</t>
  </si>
  <si>
    <t>מץ Metz</t>
  </si>
  <si>
    <t>מועדי ישראל, תפלות בקשות פיוטים ושירה</t>
  </si>
  <si>
    <t>אגרת הצופה</t>
  </si>
  <si>
    <t>תקס"ו</t>
  </si>
  <si>
    <t>הלכה ומנהג, הלכה ומנהג, נושאים שונים, תלמוד בבלי</t>
  </si>
  <si>
    <t>אגרת הקדש &lt;מהדורה חדשה&gt;</t>
  </si>
  <si>
    <t>ווייסבלום, אלעזר בן אלימלך מליזנסק</t>
  </si>
  <si>
    <t>אגרת הקדש</t>
  </si>
  <si>
    <t>תקמ"ה</t>
  </si>
  <si>
    <t>אגרת הקדש - 2 כר'</t>
  </si>
  <si>
    <t>משה בן נחמן (רמב"ן). מיוחס לו</t>
  </si>
  <si>
    <t>ש"ם</t>
  </si>
  <si>
    <t>אגרת הקודש &lt;דפו"ר&gt;</t>
  </si>
  <si>
    <t>מנחם מנדל בן משה מוויטבסק</t>
  </si>
  <si>
    <t>מזירוב Mezhirov</t>
  </si>
  <si>
    <t>אגרת הקודש לבעש"ט הקדוש &lt;עם ביאור&gt; - א</t>
  </si>
  <si>
    <t>סטבסקי, דניאל הכהן</t>
  </si>
  <si>
    <t>אגרת הקודש</t>
  </si>
  <si>
    <t>יידלש, גרשון בן אליעזר הלוי</t>
  </si>
  <si>
    <t>תרצ"א</t>
  </si>
  <si>
    <t>שניאור זלמן בן ברוך מלאדי</t>
  </si>
  <si>
    <t>תר"ך</t>
  </si>
  <si>
    <t>צ'רנוביץ Chernovtsy</t>
  </si>
  <si>
    <t>אגרת הקנאות</t>
  </si>
  <si>
    <t>חאגיז, משה בן ישראל יעקב</t>
  </si>
  <si>
    <t>Berlin ברלין</t>
  </si>
  <si>
    <t>אגרת הרב</t>
  </si>
  <si>
    <t>אגרת הרמב"ם על תכונה Astrologia Rabbi Mosis</t>
  </si>
  <si>
    <t>שט"ו</t>
  </si>
  <si>
    <t>Cologne קלן</t>
  </si>
  <si>
    <t>אגרת הרמב"ן &lt;פתח אליהו&gt;</t>
  </si>
  <si>
    <t>הכהן, אליהו</t>
  </si>
  <si>
    <t>אגרת הרמב"ן &lt;עם ביאורים הערות ומילואים&gt;</t>
  </si>
  <si>
    <t>טשזנר, יהודה</t>
  </si>
  <si>
    <t>אופקים</t>
  </si>
  <si>
    <t>אגרת הרמב"ן עם באור נחם משה</t>
  </si>
  <si>
    <t>משה בן נחמן (רמב"ן)</t>
  </si>
  <si>
    <t>אגרת הרמב"ן עם ביאור חמדת יחזקאל</t>
  </si>
  <si>
    <t>וויספיש, יחזקאל בן משה</t>
  </si>
  <si>
    <t>אגרת הרמב"ן עם פירוש אגרת פתוחה</t>
  </si>
  <si>
    <t>אגרת הרמב"ן עם פירוש פרשגן אגרתא</t>
  </si>
  <si>
    <t>לובנשטיין, יצחק</t>
  </si>
  <si>
    <t>אגרת הרמב"ן עם פירוש פתיחת האגרת</t>
  </si>
  <si>
    <t>אגרת הרמב"ן עם פירוש</t>
  </si>
  <si>
    <t>אגרת הרמב"ן עם פתשגן הכתב</t>
  </si>
  <si>
    <t>[משה בן נחמן (רמב"ן)] - טייכנר, ישכר דב</t>
  </si>
  <si>
    <t>[תרפ"ג,</t>
  </si>
  <si>
    <t>ווין,</t>
  </si>
  <si>
    <t>אגרת השבת השניה</t>
  </si>
  <si>
    <t>לווין, נח חיים בן משה</t>
  </si>
  <si>
    <t>ווארשא</t>
  </si>
  <si>
    <t>אגרת התוכחה והאמונה</t>
  </si>
  <si>
    <t>ר"ע</t>
  </si>
  <si>
    <t>אגרת התעוררות לזכר מרן המשגיח</t>
  </si>
  <si>
    <t>תשל"ד</t>
  </si>
  <si>
    <t>אגרת התשובה &lt;ראשון לציון&gt;</t>
  </si>
  <si>
    <t>גירונדי, יונה בן אברהם - מילר, שמעון</t>
  </si>
  <si>
    <t>אגרת התשובה &lt;דפו"ר&gt;</t>
  </si>
  <si>
    <t>גירונדי, יונה בן אברהם</t>
  </si>
  <si>
    <t>[שנ"ו,</t>
  </si>
  <si>
    <t>פראג,</t>
  </si>
  <si>
    <t>אגרת התשובה השלם &lt;דברי האגרת&gt;</t>
  </si>
  <si>
    <t>הלכה ומנהג, הלכה ומנהג, מחשבה ומוסר, נושאים שונים</t>
  </si>
  <si>
    <t>אגרת התשובה ויסוד התשובה</t>
  </si>
  <si>
    <t>אגרת התשובה עם פתשגן הכתב &lt;טקסט&gt;</t>
  </si>
  <si>
    <t>גירונדי, יונה בן אברהם - קיירא, שמעון - קליין, מנשה בן אליעזר זאב</t>
  </si>
  <si>
    <t>אגרת התשובה עם פתשגן הכתב &lt;משנה הלכות&gt;</t>
  </si>
  <si>
    <t>אגרת חיזוק</t>
  </si>
  <si>
    <t>בצלאל, שמואל</t>
  </si>
  <si>
    <t>אגרת חמד - ליקוטי דינים והנהגות לחתן</t>
  </si>
  <si>
    <t>גרוסמן, חיים מאיר דוד בן אהרן יהודה הלוי</t>
  </si>
  <si>
    <t>אגרת חמודות</t>
  </si>
  <si>
    <t>ג'נאצאנו, אליה חיים בן בנימין</t>
  </si>
  <si>
    <t>London לונדון</t>
  </si>
  <si>
    <t>אגרת יוסף</t>
  </si>
  <si>
    <t>סופר, יוסף</t>
  </si>
  <si>
    <t>תקכ"ב</t>
  </si>
  <si>
    <t>פרנקפורט דאודר</t>
  </si>
  <si>
    <t>אגרת יצחק</t>
  </si>
  <si>
    <t>יצחק אייזיק בן אליהו הלוי ברזניר</t>
  </si>
  <si>
    <t>תנ"ה</t>
  </si>
  <si>
    <t>אגרת ישרים</t>
  </si>
  <si>
    <t>אגרת לבן דורנו</t>
  </si>
  <si>
    <t>אגרת לבן תורה - 2 כר'</t>
  </si>
  <si>
    <t>יוסף, יצחק בן עובדיה</t>
  </si>
  <si>
    <t>אגרת לבת ישראל</t>
  </si>
  <si>
    <t>לוגאסי, יעקב ישראל</t>
  </si>
  <si>
    <t>אגרת לחתן</t>
  </si>
  <si>
    <t>גרינבוים, נפתלי</t>
  </si>
  <si>
    <t>אגרת לכלה</t>
  </si>
  <si>
    <t>אגרת למבקרים בארץ הקודש</t>
  </si>
  <si>
    <t>אגרת לנבוכים</t>
  </si>
  <si>
    <t>גרוס, יצחק יחיאל הכהן</t>
  </si>
  <si>
    <t>תשי"ח</t>
  </si>
  <si>
    <t>דרושים, הלכה ומנהג, הלכה ומנהג, תולדות עם ישראל</t>
  </si>
  <si>
    <t>אגרת לקץ הימין - 2 כר'</t>
  </si>
  <si>
    <t>גולדצווייג, יעקב בן משה</t>
  </si>
  <si>
    <t>אגרת לתלמידים</t>
  </si>
  <si>
    <t>שצ'רנסקי, בנימין</t>
  </si>
  <si>
    <t>אגרת מאמרים</t>
  </si>
  <si>
    <t>אגרת מבית דין צדק לונדון והמדינה</t>
  </si>
  <si>
    <t>אברמסקי, יחזקאל בן מרדכי זלמן</t>
  </si>
  <si>
    <t>אגרת מבני משה</t>
  </si>
  <si>
    <t>תשל"ב</t>
  </si>
  <si>
    <t>אגרת מהישיבה - א</t>
  </si>
  <si>
    <t>שלנגר, משה חיים</t>
  </si>
  <si>
    <t>אגרת מוסר - 3 כר'</t>
  </si>
  <si>
    <t>אגרת מנשי ירושלים באשכנזי-יהודית</t>
  </si>
  <si>
    <t>נשי ירושלים</t>
  </si>
  <si>
    <t>ת"י</t>
  </si>
  <si>
    <t>נושאים שונים, תפלות בקשות פיוטים ושירה</t>
  </si>
  <si>
    <t>אגרת מספרת יחסותא דצדיקי דארעא דישראל - 2 כר'</t>
  </si>
  <si>
    <t>איגרת מספרת יחסותא דצדיקי. תל"ו</t>
  </si>
  <si>
    <t>תל"ו</t>
  </si>
  <si>
    <t>אגרת על הבטחון</t>
  </si>
  <si>
    <t>בלאך, יוסף זלמן בן אליהו מאיר</t>
  </si>
  <si>
    <t>מונסי</t>
  </si>
  <si>
    <t>אגרת פתוחה</t>
  </si>
  <si>
    <t>ליברמאן, נתן בן שמעון</t>
  </si>
  <si>
    <t>Uzhgorod אונגור</t>
  </si>
  <si>
    <t>אגרת צפון</t>
  </si>
  <si>
    <t>Oradea Mare אורדיאה</t>
  </si>
  <si>
    <t>אגרת קודש</t>
  </si>
  <si>
    <t>ליפשיץ-האלברשטאם, יחזקאל שרגא בן יששכר דוב</t>
  </si>
  <si>
    <t>תשכ"ה</t>
  </si>
  <si>
    <t>אגרת קץ חי</t>
  </si>
  <si>
    <t>ברוקשטיין, ישראל נתן אלטר בן חיים יוסף</t>
  </si>
  <si>
    <t>בניברק</t>
  </si>
  <si>
    <t>אגרת רב שרירא גאון &lt;עם פירוש יושב אהלים&gt;</t>
  </si>
  <si>
    <t>שרירא בן חנניה גאון - מאמו, רפאל</t>
  </si>
  <si>
    <t>קרית אתא</t>
  </si>
  <si>
    <t>אגרת רב שרירא גאון &lt;עם תרגום עברי&gt;</t>
  </si>
  <si>
    <t>שרירא בן חנניה גאון - מצגר דוד</t>
  </si>
  <si>
    <t>אגרת רב שרירא גאון</t>
  </si>
  <si>
    <t>תרפ"א</t>
  </si>
  <si>
    <t>חיפה Haifa</t>
  </si>
  <si>
    <t>אגרת רבי יהודה בן קוריש</t>
  </si>
  <si>
    <t>אבן-קורייש, יהודה בן יצחק</t>
  </si>
  <si>
    <t>תל אביב,</t>
  </si>
  <si>
    <t>אגרת שבוקין</t>
  </si>
  <si>
    <t>בן שמעון, מסעוד חי בן דוד</t>
  </si>
  <si>
    <t>אגרת שליחות - 10 כר'</t>
  </si>
  <si>
    <t>אגרת שליחות</t>
  </si>
  <si>
    <t>תקנ"ז</t>
  </si>
  <si>
    <t>ליוורנו</t>
  </si>
  <si>
    <t>אגרת שלמה</t>
  </si>
  <si>
    <t>פרוכטר, שלמה בן שמואל</t>
  </si>
  <si>
    <t>תש"כ</t>
  </si>
  <si>
    <t>אגרת שמואל &lt;דפו"ר&gt;</t>
  </si>
  <si>
    <t>די אוזידא, שמואל בן יצחק</t>
  </si>
  <si>
    <t>שנ"ז</t>
  </si>
  <si>
    <t>קושטא</t>
  </si>
  <si>
    <t>אגרת שמואל</t>
  </si>
  <si>
    <t>אגרת שמים לרום</t>
  </si>
  <si>
    <t>שט"ז</t>
  </si>
  <si>
    <t>אגרת תימן &lt;אמונת אומן&gt;</t>
  </si>
  <si>
    <t>משה בן מימון (הרמב"ם) - שנבלג, אברהם שלום</t>
  </si>
  <si>
    <t>אגרת תימן השנית</t>
  </si>
  <si>
    <t>Mainz מינץ</t>
  </si>
  <si>
    <t>אגרת תימן - 5 כר'</t>
  </si>
  <si>
    <t>אגרת תק"ח</t>
  </si>
  <si>
    <t>אגרות חסידים</t>
  </si>
  <si>
    <t>אגרת תשובת רמב"ם</t>
  </si>
  <si>
    <t>תפ"ו</t>
  </si>
  <si>
    <t>אגרתא דחדוותא - 20 כר'</t>
  </si>
  <si>
    <t>גרוס, מרדכי בן צדוק</t>
  </si>
  <si>
    <t>אד יעלה</t>
  </si>
  <si>
    <t>דוידוביץ, אליעזר</t>
  </si>
  <si>
    <t>דרושים, משנה, תנ"ך</t>
  </si>
  <si>
    <t>אדבר בם</t>
  </si>
  <si>
    <t>בדוש, מימון</t>
  </si>
  <si>
    <t>אדברה בעדותיך</t>
  </si>
  <si>
    <t>אזולאי, דוד בן אברהם</t>
  </si>
  <si>
    <t>אדברה נא</t>
  </si>
  <si>
    <t>אדון הסליחות</t>
  </si>
  <si>
    <t>ואנונו, שמעון</t>
  </si>
  <si>
    <t>אדיר במלוכה - 2 כר'</t>
  </si>
  <si>
    <t>פריצקי, אברהם יעקב בן חיים</t>
  </si>
  <si>
    <t>אדיר במרום</t>
  </si>
  <si>
    <t>אדיר במרום - 2 כר'</t>
  </si>
  <si>
    <t>ספר זכרון &lt;ר' אברהם דוד יעקובזון&gt;</t>
  </si>
  <si>
    <t>דרושים, קבצים וכתבי עת, ספרי זכרון ויובל</t>
  </si>
  <si>
    <t>רבינוביץ, דוד יצחק אייזק בן ברוך פינחס</t>
  </si>
  <si>
    <t>אדיר ישעך</t>
  </si>
  <si>
    <t>אדרי, יעיש</t>
  </si>
  <si>
    <t>אדם גדול הוא ושמח במצות</t>
  </si>
  <si>
    <t>הוניגסברג, גדליה בן מאיר יחיאל הלוי</t>
  </si>
  <si>
    <t>אדם דמות נפשו ומדותיו - א - ב</t>
  </si>
  <si>
    <t>אגודה לתיקון המידות והמעשים</t>
  </si>
  <si>
    <t>אדם המעלה</t>
  </si>
  <si>
    <t>תרנ"ד</t>
  </si>
  <si>
    <t>אדם העליון</t>
  </si>
  <si>
    <t>בער, צבי</t>
  </si>
  <si>
    <t>אדם הראשון - 2 כר'</t>
  </si>
  <si>
    <t>קפשיאן, דוד</t>
  </si>
  <si>
    <t>אדם וחוה ותולדותיהם ומנחם צדק</t>
  </si>
  <si>
    <t>אייכנשטיין, מנחם מנדל בן יצחק אייזיק</t>
  </si>
  <si>
    <t>אדם וחוה</t>
  </si>
  <si>
    <t>בנאיים, שמעון מאיר בן יעקב</t>
  </si>
  <si>
    <t>אדם ומלואו</t>
  </si>
  <si>
    <t>מלכה, שמעון בן נסים</t>
  </si>
  <si>
    <t>אדם ישר</t>
  </si>
  <si>
    <t>תרמ"ה</t>
  </si>
  <si>
    <t>קרקוב  Cracow</t>
  </si>
  <si>
    <t>ספרין, יצחק אייזיק יהודה יחיאל בן אלכסנדר סנדר מקומרנא</t>
  </si>
  <si>
    <t>תרט"ו</t>
  </si>
  <si>
    <t>לבוב</t>
  </si>
  <si>
    <t>אדם שכלי</t>
  </si>
  <si>
    <t>שמעון בן שמואל</t>
  </si>
  <si>
    <t>ש"כ</t>
  </si>
  <si>
    <t>טינגן Thiengen</t>
  </si>
  <si>
    <t>אדמה שמים ותהום</t>
  </si>
  <si>
    <t>גינזבורג, יצחק בן שמשון</t>
  </si>
  <si>
    <t>אדמו"רי חב"ד ויהדות צרפת</t>
  </si>
  <si>
    <t>בית ליובאוויטש פריז</t>
  </si>
  <si>
    <t>פריס Paris</t>
  </si>
  <si>
    <t>אדמור"י בעלז - 4 כר'</t>
  </si>
  <si>
    <t>קלפהולץ, ישראל יעקב</t>
  </si>
  <si>
    <t>אדמורי טשרנוביל</t>
  </si>
  <si>
    <t>אדמת יהודה</t>
  </si>
  <si>
    <t>טאנוג'י, יהודה בן אברהם הכהן</t>
  </si>
  <si>
    <t>תקפ"ח</t>
  </si>
  <si>
    <t>אדמת קדש</t>
  </si>
  <si>
    <t>גולדהאר, יצחק בן אליהו פסח</t>
  </si>
  <si>
    <t>אדמת קדש - 2 כר'</t>
  </si>
  <si>
    <t>מזרחי, ניסים חיים משה בן יוסף</t>
  </si>
  <si>
    <t>תק"ב - תקט"ז</t>
  </si>
  <si>
    <t>אדמת קודש</t>
  </si>
  <si>
    <t>לקוטי מאמרים בעניני בית החיים</t>
  </si>
  <si>
    <t>אדני ארץ</t>
  </si>
  <si>
    <t>דוידזון, אוהד בן אבינועם</t>
  </si>
  <si>
    <t>אדני הבית - הלכות נדה לחתנים</t>
  </si>
  <si>
    <t>זכריש, אלעזר</t>
  </si>
  <si>
    <t>אדני הבית</t>
  </si>
  <si>
    <t>קובץ</t>
  </si>
  <si>
    <t>אדני היד החזקה - 3 כר'</t>
  </si>
  <si>
    <t>קראוס, אדוניהו הכהן</t>
  </si>
  <si>
    <t>אדני המשפט - 2 כר'</t>
  </si>
  <si>
    <t>אדני זהב - 7 כר'</t>
  </si>
  <si>
    <t>בן עבו, אליהו בן משה</t>
  </si>
  <si>
    <t>אדני זהב - 9 כר'</t>
  </si>
  <si>
    <t>פלדמן, זאב בן משה הלוי</t>
  </si>
  <si>
    <t>אדני כסף</t>
  </si>
  <si>
    <t>בלום, אליעזר דב בן דוד</t>
  </si>
  <si>
    <t>אדני כסף - איזהו נשך</t>
  </si>
  <si>
    <t>וויזר, אפרים בן שמעון יהודה</t>
  </si>
  <si>
    <t>אדני כסף - קידושין</t>
  </si>
  <si>
    <t>ווייל, ידידיה טיאה בן יעקב נתנאל</t>
  </si>
  <si>
    <t>אדני נחשת</t>
  </si>
  <si>
    <t>שווארץ, יום טוב הלוי</t>
  </si>
  <si>
    <t>אדני נסי</t>
  </si>
  <si>
    <t>משה בן אהרן מנשה</t>
  </si>
  <si>
    <t>תל"ד</t>
  </si>
  <si>
    <t>לובלין</t>
  </si>
  <si>
    <t>אדני פז - 4 כר'</t>
  </si>
  <si>
    <t>אבידר, אלון בן חיים</t>
  </si>
  <si>
    <t>אדני פז - 2 כר'</t>
  </si>
  <si>
    <t>בלויא, פנחס זעליג בן יצחק יהודה</t>
  </si>
  <si>
    <t>אדני פז</t>
  </si>
  <si>
    <t>דבש, יהונתן</t>
  </si>
  <si>
    <t>דרושים, הלכה ומנהג, נושאים שונים</t>
  </si>
  <si>
    <t>הקשר, אפרים בן שמואל זאנוויל</t>
  </si>
  <si>
    <t>תק"ג</t>
  </si>
  <si>
    <t>מאיר בן משה מקרשוב</t>
  </si>
  <si>
    <t>קנטור, אהרן דוד</t>
  </si>
  <si>
    <t>אדני שלמה - 7 כר'</t>
  </si>
  <si>
    <t>מגנוז, שלמה בן אברהם</t>
  </si>
  <si>
    <t>אדנים וקרסים</t>
  </si>
  <si>
    <t>אדר והוד</t>
  </si>
  <si>
    <t>וייספיש</t>
  </si>
  <si>
    <t>אדר ופורים</t>
  </si>
  <si>
    <t>אדר</t>
  </si>
  <si>
    <t>גצוב, נחמן צבי בן אברהם יוסף</t>
  </si>
  <si>
    <t>ווילנה,</t>
  </si>
  <si>
    <t>אדרא דמשכנא &lt;נתיבות יאיר&gt;</t>
  </si>
  <si>
    <t>וויינשטוק, משה יאיר בן מרדכי דוד</t>
  </si>
  <si>
    <t>אדרא זוטא &lt;ידיד נפש&gt; - ב</t>
  </si>
  <si>
    <t>ברלב, יחיאל אברהם בן בנימין הלוי</t>
  </si>
  <si>
    <t>אדרא זוטא &lt;נתיבות יאיר&gt;</t>
  </si>
  <si>
    <t>אדרא זוטא &lt;מנוקד&gt;</t>
  </si>
  <si>
    <t>זוהר. אידרא. תשע"ב</t>
  </si>
  <si>
    <t>אדרא זוטא &lt;עם פירוש דמשק אליעזר&gt;</t>
  </si>
  <si>
    <t>ספרין, אליעזר צבי בן יצחק אייזיק יהודה יחיאל</t>
  </si>
  <si>
    <t>אדרא זוטא &lt;יין הרקח&gt;</t>
  </si>
  <si>
    <t>פתייה, יהודה בן משה ישועה</t>
  </si>
  <si>
    <t>בגדאד Baghdad</t>
  </si>
  <si>
    <t>אדרא זוטא עם פירוש מים אדירים</t>
  </si>
  <si>
    <t>מנחם מנדל בן ברוך בנדט משקלוב</t>
  </si>
  <si>
    <t>אדרא זוטא קדישא &lt;יפה שעה - שערי האידרא&gt;</t>
  </si>
  <si>
    <t>הכהן, שלמה</t>
  </si>
  <si>
    <t>אדרא זוטא קדישא &lt;עם תרגום המילים וביאור קל&gt;</t>
  </si>
  <si>
    <t>יצחקי, אברהם מרדכי</t>
  </si>
  <si>
    <t>אדרא קדישא &lt;אדר הזוהר - אדר הבעש"ט ותלמידיו&gt;</t>
  </si>
  <si>
    <t>מרגליות, ישעיה אשר זליג</t>
  </si>
  <si>
    <t>אדרא קדישא &lt;אדר הזוהר&gt;</t>
  </si>
  <si>
    <t>תשל"ג</t>
  </si>
  <si>
    <t>מירון</t>
  </si>
  <si>
    <t>אדרא רבא &lt;ידיד נפש&gt; - א</t>
  </si>
  <si>
    <t>אדרא רבא &lt;נתיבות יאיר&gt;</t>
  </si>
  <si>
    <t>אדרא רבא &lt;מנוקד&gt;</t>
  </si>
  <si>
    <t>אדרא רבא &lt;יין הרקח&gt;</t>
  </si>
  <si>
    <t>אדרא רבא וזוטא עם פירוש בינת האידרא</t>
  </si>
  <si>
    <t>הלוי, איתן יצחק</t>
  </si>
  <si>
    <t>אדרא רבא קדישא &lt;יפה שעה - שערי האידרא&gt;</t>
  </si>
  <si>
    <t>אדרת אליהו &lt;באר אברהם, באר יצחק&gt;</t>
  </si>
  <si>
    <t>אליהו בן שלמה זלמן (הגר"א)</t>
  </si>
  <si>
    <t>תרמ"ז - חש"ד</t>
  </si>
  <si>
    <t>ורשה-תל אביב Warsaw</t>
  </si>
  <si>
    <t>אדרת אליהו &lt;ספר זכרון&gt;</t>
  </si>
  <si>
    <t>רוזנטל, שבתי דוב</t>
  </si>
  <si>
    <t>אדרת אליהו &lt;מהדורה חדשה&gt; - 2 כר'</t>
  </si>
  <si>
    <t>ריקי, רפאל עמנואל חי בן אברהם</t>
  </si>
  <si>
    <t>אדרת אליהו - תולדות האדר"ת</t>
  </si>
  <si>
    <t>אלברט, שלמה</t>
  </si>
  <si>
    <t>אדרת אליהו - 2 כר'</t>
  </si>
  <si>
    <t>אליהו בן קלונימוס מלובלין</t>
  </si>
  <si>
    <t>תנ"ד</t>
  </si>
  <si>
    <t>פרנקפורט דאודר Fran</t>
  </si>
  <si>
    <t>אדרת אליהו - 4 כר'</t>
  </si>
  <si>
    <t>אדרת אליהו</t>
  </si>
  <si>
    <t>בן עזרא, אליהו</t>
  </si>
  <si>
    <t>אדרת אליהו - 7 כר'</t>
  </si>
  <si>
    <t>וילהלם, אהרן אליהו בן יחזקאל</t>
  </si>
  <si>
    <t>חסדאי, אליהו (עמרם) הלוי, בן דוד</t>
  </si>
  <si>
    <t>אשקלון</t>
  </si>
  <si>
    <t>אדרת אליהו - שביעית</t>
  </si>
  <si>
    <t>חסדאי, אליהו בן דוד הלוי</t>
  </si>
  <si>
    <t>טופיק, אליהו</t>
  </si>
  <si>
    <t>תרכ"ד</t>
  </si>
  <si>
    <t>ישראל, אליהו בן משה</t>
  </si>
  <si>
    <t>לואנץ, אליהו בן משה</t>
  </si>
  <si>
    <t>קבלה, תנ"ך</t>
  </si>
  <si>
    <t>לזכר רבי אליהו בנימין טננהויז</t>
  </si>
  <si>
    <t>ניסים, שלמה בן אליהו</t>
  </si>
  <si>
    <t>אדרת אליהו - אנציקלופדיה</t>
  </si>
  <si>
    <t>סלאטקי, אליהו דוד בן אהרן אברהם</t>
  </si>
  <si>
    <t>אדרת אליהו - 3 כר'</t>
  </si>
  <si>
    <t>קאצין, אליהו זאב בן אליעזר</t>
  </si>
  <si>
    <t>תרע"ז - תרצ"ג</t>
  </si>
  <si>
    <t>פיטסבורג Pittsburgh</t>
  </si>
  <si>
    <t>אדרת אליהו - 6 כר'</t>
  </si>
  <si>
    <t>ראש, אליהו בן משה</t>
  </si>
  <si>
    <t>רבינו בן אליהו</t>
  </si>
  <si>
    <t>שפ"ב</t>
  </si>
  <si>
    <t>רבינוביץ, אליהו חיים בן נחום - מרגליות, אפרים זלמן בן מנחם</t>
  </si>
  <si>
    <t>רבינוביץ, אליהו חיים בן נחום</t>
  </si>
  <si>
    <t>Vilna וילנה</t>
  </si>
  <si>
    <t>תק"ב</t>
  </si>
  <si>
    <t>שאלות ותשובות, תלמוד בבלי, תלמוד בבלי, תלמוד בבלי</t>
  </si>
  <si>
    <t>אדרת המלך - שיעורים א</t>
  </si>
  <si>
    <t>בוקארה, אליהו דניאל בן אבנר - כולל אדרת אליהו</t>
  </si>
  <si>
    <t>אדרת המלך</t>
  </si>
  <si>
    <t>בוקארה, אליהו דניאל בן אבנר</t>
  </si>
  <si>
    <t>אדרת התפילה</t>
  </si>
  <si>
    <t>יעקובזון, אברהם דוד</t>
  </si>
  <si>
    <t>אדרת יהודה - 2 כר'</t>
  </si>
  <si>
    <t>ריזב"ש, יהודה זאב בן שלמה</t>
  </si>
  <si>
    <t>אדרת יעקב - 4 כר'</t>
  </si>
  <si>
    <t>אדרת שמואל</t>
  </si>
  <si>
    <t>סלאנט, שמואל בן צבי הירש - סילמן, נחום</t>
  </si>
  <si>
    <t>אדרת שנער - 2 כר'</t>
  </si>
  <si>
    <t>בן נון, יצחק בן משה</t>
  </si>
  <si>
    <t>אדרת תפארת - 7 כר'</t>
  </si>
  <si>
    <t>דורי, אברהם בן אהרן</t>
  </si>
  <si>
    <t>שאלות ותשובות, תנ"ך</t>
  </si>
  <si>
    <t>אהב ימים - א</t>
  </si>
  <si>
    <t>טשיגל, יוסף צבי</t>
  </si>
  <si>
    <t>אהב מוסר</t>
  </si>
  <si>
    <t>לווינזון, משה בן שלמה אלעזר</t>
  </si>
  <si>
    <t>תרנ"ו</t>
  </si>
  <si>
    <t>אהב משפט - 4 כר'</t>
  </si>
  <si>
    <t>עלוש, פ'ראג'י בן אליהו</t>
  </si>
  <si>
    <t>תרפ"ח - תרצ"ו</t>
  </si>
  <si>
    <t>ג'רבה Djerba</t>
  </si>
  <si>
    <t>אהב שלום</t>
  </si>
  <si>
    <t>שפירא, שלום בן אלימלך</t>
  </si>
  <si>
    <t>אהבה אחוה ושלום &lt;פסקי הגרי"ש אלישיב&gt;</t>
  </si>
  <si>
    <t>זייבלד, חיים בן שמעון</t>
  </si>
  <si>
    <t>אהבה בתענוגים &lt;מהדורת מכון ירושלים&gt;</t>
  </si>
  <si>
    <t>אזולאי, אברהם בן מרדכי</t>
  </si>
  <si>
    <t>אהבה בתענוגים - 4 כר'</t>
  </si>
  <si>
    <t>תשי"ח - תש"כ</t>
  </si>
  <si>
    <t>אהבה ואחוה בישראל</t>
  </si>
  <si>
    <t>איזנבלט, שמואל דב בן שלמה הכהן</t>
  </si>
  <si>
    <t>אהבה ודבקות למעשה</t>
  </si>
  <si>
    <t>אהבה ורעות - 2 כר'</t>
  </si>
  <si>
    <t>פיינהנדלר, ישראל פסח</t>
  </si>
  <si>
    <t>אהבה ושלום</t>
  </si>
  <si>
    <t>תרצ"</t>
  </si>
  <si>
    <t>אהבוך עד מוות</t>
  </si>
  <si>
    <t>רוזנברג, שמעון גרשון</t>
  </si>
  <si>
    <t>אפרת</t>
  </si>
  <si>
    <t>אהבת אברהם</t>
  </si>
  <si>
    <t>אלברט, אברהם מרדכי בן אריה</t>
  </si>
  <si>
    <t>קולטונובסקי, אברהם בנימין בן יוסף</t>
  </si>
  <si>
    <t>אהבת איתן</t>
  </si>
  <si>
    <t>קרעניץ, אברהם אבא בן בן ציון</t>
  </si>
  <si>
    <t>וילנה</t>
  </si>
  <si>
    <t>משנה, משנה, משנה, משנה</t>
  </si>
  <si>
    <t>אהבת איתן - 3 כר'</t>
  </si>
  <si>
    <t>רוטנברג, אברהם בן אריה יוסף</t>
  </si>
  <si>
    <t>אהבת איתן - 2 כר'</t>
  </si>
  <si>
    <t>שלנגר, רפאל מנחם שלמה זלמן בן משה חיים</t>
  </si>
  <si>
    <t>אהבת אמת</t>
  </si>
  <si>
    <t>קוידר, שמואל ליב בן דוד</t>
  </si>
  <si>
    <t>תקפ"ט</t>
  </si>
  <si>
    <t>אהבת דוד (מתוך עולת חודש)</t>
  </si>
  <si>
    <t>פלקלס, אלעזר בן דוד</t>
  </si>
  <si>
    <t>תקמ"ה - תק"ס</t>
  </si>
  <si>
    <t>אהבת דוד (קונטרס ראשון)</t>
  </si>
  <si>
    <t>מייזלש, דוד דוב בן אהרן אריה יהודה יעקב</t>
  </si>
  <si>
    <t>אהבת דוד ויהונתן - א</t>
  </si>
  <si>
    <t>דוד בן מנחם מנדל הכהן</t>
  </si>
  <si>
    <t>תקס"א - תקס"ח</t>
  </si>
  <si>
    <t>אהבת דוד</t>
  </si>
  <si>
    <t>אהבת דוד - יבמות פ"א</t>
  </si>
  <si>
    <t>בארקין, דוד בן קלמן</t>
  </si>
  <si>
    <t>אהבת דוד - 2 כר'</t>
  </si>
  <si>
    <t>תרנ"ח - תרנ"ט</t>
  </si>
  <si>
    <t>הלכה ומנהג, שונות</t>
  </si>
  <si>
    <t>אהבת דוד, שפה אחת</t>
  </si>
  <si>
    <t>תקנ"ט</t>
  </si>
  <si>
    <t>אהבת דודים - 2 כר'</t>
  </si>
  <si>
    <t>בנימין בן אהרן מזאלוזיץ</t>
  </si>
  <si>
    <t>תקנ"ג</t>
  </si>
  <si>
    <t>אהבת ה' - 2 כר'</t>
  </si>
  <si>
    <t>סדבון, יוסף בן ישועה</t>
  </si>
  <si>
    <t>אהבת ה'</t>
  </si>
  <si>
    <t>פריינטי, יצחק בן אברהם</t>
  </si>
  <si>
    <t>אהבת הבורא</t>
  </si>
  <si>
    <t>אהבת הקדמונים - 2 כר'</t>
  </si>
  <si>
    <t>תפילות. סידור. תרמ"ט. ירושלים</t>
  </si>
  <si>
    <t>אהבת השם - 2 כר'</t>
  </si>
  <si>
    <t>אלפייה, יצחק בן יעקב חיים ישראל רפאל</t>
  </si>
  <si>
    <t>אהבת השם</t>
  </si>
  <si>
    <t>ידידיה גוטליב בן אברהם ישראל</t>
  </si>
  <si>
    <t>ת"א</t>
  </si>
  <si>
    <t>לדרברג, אליעזר יוסף בן יצחק הלוי</t>
  </si>
  <si>
    <t>תשט"ז</t>
  </si>
  <si>
    <t>אהבת התורה</t>
  </si>
  <si>
    <t>מזאה, אליהו מרדכי הכהן</t>
  </si>
  <si>
    <t>אהבת וסגולת ישראל</t>
  </si>
  <si>
    <t>הולר, ישראל אהרן בן מתתיהו</t>
  </si>
  <si>
    <t>אהבת חברים</t>
  </si>
  <si>
    <t>פינק, דב הכהן</t>
  </si>
  <si>
    <t>אהבת חיים השלם - 2 כר'</t>
  </si>
  <si>
    <t>מנשה, מנחם</t>
  </si>
  <si>
    <t>אהבת חיים - א (על התורה)</t>
  </si>
  <si>
    <t>דייטש, חיים יהודה בן יוסף הלוי</t>
  </si>
  <si>
    <t>תרצ"ח - ת"ש</t>
  </si>
  <si>
    <t>סטו מרה Satu Mare</t>
  </si>
  <si>
    <t>אהבת חיים</t>
  </si>
  <si>
    <t>נחום, אהרן ששון בן אליהו</t>
  </si>
  <si>
    <t>אהבת חיים, רוח חיים - ב (על המועדים)</t>
  </si>
  <si>
    <t>דרושים, מועדי ישראל, מועדי ישראל</t>
  </si>
  <si>
    <t>אהבת חינם</t>
  </si>
  <si>
    <t>חביב, אלברט</t>
  </si>
  <si>
    <t>שעשוע, יוסף שלום בן חיים</t>
  </si>
  <si>
    <t>חולון</t>
  </si>
  <si>
    <t>אהבת חסד &lt;תורת חסד&gt; - 2 כר'</t>
  </si>
  <si>
    <t>כהן, ישראל מאיר בן אריה זאב - גוטפרב, דוד בן ברוך יצחק</t>
  </si>
  <si>
    <t>אהבת חסד &lt;מקור החסד&gt;</t>
  </si>
  <si>
    <t>כהן, ישראל מאיר בן אריה זאב</t>
  </si>
  <si>
    <t>אהבת חסד - אבות דר' נתן</t>
  </si>
  <si>
    <t>וויטמונד, אברהם</t>
  </si>
  <si>
    <t>תקל"ז</t>
  </si>
  <si>
    <t>אהבת חסד - 2 כר'</t>
  </si>
  <si>
    <t>אהבת חסד</t>
  </si>
  <si>
    <t>לאנדא, אברהם בן רפאל</t>
  </si>
  <si>
    <t>קאגאן, יעקב בן שאול</t>
  </si>
  <si>
    <t>תרצ"א,</t>
  </si>
  <si>
    <t>גראיעווא,</t>
  </si>
  <si>
    <t>תפילות. חולים ומתים</t>
  </si>
  <si>
    <t>אהבת יהונתן - 2 כר'</t>
  </si>
  <si>
    <t>אייבשיץ, יהונתן בן נתן נטע</t>
  </si>
  <si>
    <t>תקנ"א</t>
  </si>
  <si>
    <t>Prague פרג</t>
  </si>
  <si>
    <t>אהבת יהונתן - 3 כר'</t>
  </si>
  <si>
    <t>שמרלר, בנימין בן ישראל</t>
  </si>
  <si>
    <t>תרצ"ב - תרצ"ה</t>
  </si>
  <si>
    <t>Bilgoraj בילגורי</t>
  </si>
  <si>
    <t>אהבת יעקב - 3 כר'</t>
  </si>
  <si>
    <t>רבינוביץ, יעקב יצחק בן יחיאל יהושע</t>
  </si>
  <si>
    <t>אהבת ירושלים</t>
  </si>
  <si>
    <t>שפירא, ישראל אשר בן יהודה יודל</t>
  </si>
  <si>
    <t>אהבת ישראל &lt;מהדורה חדשה&gt;</t>
  </si>
  <si>
    <t>וורטמאן, משה בן חיים</t>
  </si>
  <si>
    <t>אהבת ישראל</t>
  </si>
  <si>
    <t>בקמייסטר, ישראל בן משה חיים</t>
  </si>
  <si>
    <t>ברגר, חיים יעקב ישראל בן משה צבי</t>
  </si>
  <si>
    <t>אהבת ישראל - 2 כר'</t>
  </si>
  <si>
    <t>האגר, ישראל בן ברוך</t>
  </si>
  <si>
    <t>תש"ג</t>
  </si>
  <si>
    <t>אורדיאה מרה Oradea M</t>
  </si>
  <si>
    <t>חסידות, מחשבה ומוסר, נושאים שונים</t>
  </si>
  <si>
    <t>אהבת כלולתיך</t>
  </si>
  <si>
    <t>גפן, רפאל</t>
  </si>
  <si>
    <t>אהבת מישרים - 2 כר'</t>
  </si>
  <si>
    <t>רוזנשטיין, משה בן חיים</t>
  </si>
  <si>
    <t>אהבת נח - א</t>
  </si>
  <si>
    <t>סגל, נח בן פסח הלוי</t>
  </si>
  <si>
    <t>תרצ"ח - תשט"ז</t>
  </si>
  <si>
    <t>דרושים, הלכה ומנהג, תנ"ך</t>
  </si>
  <si>
    <t>אהבת עולם אהבתיך &lt;מהדורה חדשה&gt;</t>
  </si>
  <si>
    <t>פרידמן, בנימין בן יוסף</t>
  </si>
  <si>
    <t>אהבת עולם אהבתיך</t>
  </si>
  <si>
    <t>אהבת עולם</t>
  </si>
  <si>
    <t>אלגאזי, נסים שלמה בן אברהם</t>
  </si>
  <si>
    <t>תנ"ג</t>
  </si>
  <si>
    <t>אהבת עולם - 6 כר'</t>
  </si>
  <si>
    <t>כודרי, דוד בן אליהו ציון</t>
  </si>
  <si>
    <t>פולק, חיים יהודה הלוי</t>
  </si>
  <si>
    <t>פרחי, דוד יוסף</t>
  </si>
  <si>
    <t>פרץ, אבינועם בן יעקב - אזולאי, משה בן אליהו</t>
  </si>
  <si>
    <t>אהבת צדקה</t>
  </si>
  <si>
    <t>אבידן (זמל), אברהם משה בן מרדכי אריה</t>
  </si>
  <si>
    <t>אהבת ציון וירושלים</t>
  </si>
  <si>
    <t>יפה, יוסף בן משה</t>
  </si>
  <si>
    <t>אהבת ציון וירושלים - 12 כר'</t>
  </si>
  <si>
    <t>ראטנר, דוב בר בן אברהם בצלאל</t>
  </si>
  <si>
    <t>תרס"א - תרע"ז</t>
  </si>
  <si>
    <t>אהבת ציון</t>
  </si>
  <si>
    <t>קראקא,</t>
  </si>
  <si>
    <t>האס, שמחה בן יהושע</t>
  </si>
  <si>
    <t>תק"נ</t>
  </si>
  <si>
    <t>גרודנו Grodno</t>
  </si>
  <si>
    <t>אהבת ציון - 2 כר'</t>
  </si>
  <si>
    <t>היילפרין, אברהם בן משה</t>
  </si>
  <si>
    <t>שצ"ט</t>
  </si>
  <si>
    <t>לאנדא, יחזקאל בן יהודה הלוי - לאנדא, שמואל בן יחזקאל הלוי</t>
  </si>
  <si>
    <t>לאנדא, נפתלי הירץ בן יואל הלוי</t>
  </si>
  <si>
    <t>אהבת ציון - איכה</t>
  </si>
  <si>
    <t>לאנדא, נפתלי הירץ בן יואל משה הלוי</t>
  </si>
  <si>
    <t>אהבת ציון - 4 כר'</t>
  </si>
  <si>
    <t>קליין, יוסף בן שמואל עקיבא</t>
  </si>
  <si>
    <t>תרנ"ב - תרצ"ד</t>
  </si>
  <si>
    <t>אהבת קדומים - 3 כר'</t>
  </si>
  <si>
    <t>אילובצקי כהן, אליהו שלום בן מנחם</t>
  </si>
  <si>
    <t>הלכה ומנהג, נושאים שונים, תנ"ך</t>
  </si>
  <si>
    <t>אהבת קדומים - קהלת</t>
  </si>
  <si>
    <t>שנברגר, פסח יהודה</t>
  </si>
  <si>
    <t>אהבת רחמים</t>
  </si>
  <si>
    <t>בן עמארה, רחמים</t>
  </si>
  <si>
    <t>אהבת רעים</t>
  </si>
  <si>
    <t>מכון תושיה</t>
  </si>
  <si>
    <t>ניו-יורק</t>
  </si>
  <si>
    <t>אהבת שאול - 3 כר'</t>
  </si>
  <si>
    <t>שוחט, שאול ידידיה בן אברהם חיים</t>
  </si>
  <si>
    <t>תרע"ה - תרע"ח</t>
  </si>
  <si>
    <t>אהבת שלום &lt;מהדורה חדשה&gt;</t>
  </si>
  <si>
    <t>מנחם מנדל בן יעקב קופל מקוסוב</t>
  </si>
  <si>
    <t>אהבת שלום &lt;מהדורה ראשונה&gt;</t>
  </si>
  <si>
    <t>[תקצ"ג,</t>
  </si>
  <si>
    <t>לעמבערג,</t>
  </si>
  <si>
    <t>אהבת שלום תנינא - 2 כר'</t>
  </si>
  <si>
    <t>דרושים, מועדי ישראל, תנ"ך</t>
  </si>
  <si>
    <t>אהבת שלום</t>
  </si>
  <si>
    <t>דרעי, שלום</t>
  </si>
  <si>
    <t>הלל, יעקב בן משה</t>
  </si>
  <si>
    <t>קבלה, תולדות עם ישראל</t>
  </si>
  <si>
    <t>תרמ"ג</t>
  </si>
  <si>
    <t>אהבת שלמה</t>
  </si>
  <si>
    <t>פיק, שלמה זאב בן שמחה צבי</t>
  </si>
  <si>
    <t>אהבת תורה</t>
  </si>
  <si>
    <t>הורוויץ, פינחס זלמן בן יחיאל דוד</t>
  </si>
  <si>
    <t>אהבת תורה - 2 כר'</t>
  </si>
  <si>
    <t>עדס, יעקב בן יהודה</t>
  </si>
  <si>
    <t>פרידמן, פנחס שלום בן שלמה</t>
  </si>
  <si>
    <t>קובץ ישיבת אהבת תורה</t>
  </si>
  <si>
    <t>רובין, יוסף דוד</t>
  </si>
  <si>
    <t>אהבתי תורתך</t>
  </si>
  <si>
    <t>גולדברג, יצחק בן אברהם הלל</t>
  </si>
  <si>
    <t>תלמוד בבלי, תלמוד בבלי</t>
  </si>
  <si>
    <t>כהן, יוסף ישראל</t>
  </si>
  <si>
    <t>מכון לדורותם נדבורנה ירושלים</t>
  </si>
  <si>
    <t>הלכה ומנהג, קבצים וכתבי עת, ספרי זכרון ויובל</t>
  </si>
  <si>
    <t>אהל אבות</t>
  </si>
  <si>
    <t>אייזנשטיין, יהודה בן נחום</t>
  </si>
  <si>
    <t>אהל אבות - בבא קמא</t>
  </si>
  <si>
    <t>לדרמן, אברהם מרדכי בן ישכר דוב הלוי</t>
  </si>
  <si>
    <t>אהל אבות - חצר יהודא</t>
  </si>
  <si>
    <t>פרייברג, יהודה אריה</t>
  </si>
  <si>
    <t>משנה, תלמוד בבלי, תנ"ך</t>
  </si>
  <si>
    <t>אהל אברהם - אהלות, זבים</t>
  </si>
  <si>
    <t>אהל אברהם - 2 כר'</t>
  </si>
  <si>
    <t>בית מדרש אוהל אברהם</t>
  </si>
  <si>
    <t>מושב הודיה</t>
  </si>
  <si>
    <t>אהל אברהם</t>
  </si>
  <si>
    <t>גורדון, אברהם ליב בן צבי הלוי</t>
  </si>
  <si>
    <t>תרע"ט</t>
  </si>
  <si>
    <t>אהל אברהם - שמיטת כספים</t>
  </si>
  <si>
    <t>לובין, מנחם מנדל</t>
  </si>
  <si>
    <t>מיכלזון, אברהם חיים שמחה בונם בן צבי יחזקאל</t>
  </si>
  <si>
    <t>מן, הלל (עורך)</t>
  </si>
  <si>
    <t>אהל אברהם - א</t>
  </si>
  <si>
    <t>צוובנר, אברהם בן יהודה ליב שאג</t>
  </si>
  <si>
    <t>קארפלס, אברהם צבי בן אליעזר הכהן כ"ץ</t>
  </si>
  <si>
    <t>שטרן, אברהם אבא הכהן</t>
  </si>
  <si>
    <t>שיעורי הלכה</t>
  </si>
  <si>
    <t>אהל אליהו - דרכה של תורה</t>
  </si>
  <si>
    <t>חיים בן יצחק מוולוז'ין - סקולט, יהושע</t>
  </si>
  <si>
    <t>אהל אלימלך</t>
  </si>
  <si>
    <t>אהל אלימלך - כתובות, נדה</t>
  </si>
  <si>
    <t>קובץ חדושי תורה</t>
  </si>
  <si>
    <t>אהל אריה ליב - קדושין</t>
  </si>
  <si>
    <t>אהל בנימין</t>
  </si>
  <si>
    <t>רבינר, בנימין בינוש בן צבי (הירש) ליפא</t>
  </si>
  <si>
    <t>אהל בר"א - כתובות</t>
  </si>
  <si>
    <t>חבורת דרשו ה' ועוזו ליקוואוד</t>
  </si>
  <si>
    <t>ליקוואוד</t>
  </si>
  <si>
    <t>אהל ברוך &lt;מהדורה חדשה&gt;</t>
  </si>
  <si>
    <t>אייבשיץ, יהונתן בן יוסף יחיאל הלוי</t>
  </si>
  <si>
    <t>אהל ברוך</t>
  </si>
  <si>
    <t>גרינפלד, ברוך בן יעקב משה</t>
  </si>
  <si>
    <t>משנה, משנה, שאלות ותשובות, שלחן ערוך ומפרשיו, תלמוד בבלי, תלמוד בבלי, תלמוד ירושלמי, תנ"ך</t>
  </si>
  <si>
    <t>קצנלבוגן, אברהם יצחק בן ברוך</t>
  </si>
  <si>
    <t>תשד"מ</t>
  </si>
  <si>
    <t>אהל גרשון</t>
  </si>
  <si>
    <t>גולדבלט, גרשון צבי</t>
  </si>
  <si>
    <t>הלכה ומנהג, תנ"ך</t>
  </si>
  <si>
    <t>אהל דוד - תהלים</t>
  </si>
  <si>
    <t>ביק, אברהם בן יעקב</t>
  </si>
  <si>
    <t>אהל דוד - 6 כר'</t>
  </si>
  <si>
    <t>דייטש, דוד בן מנחם מנדל</t>
  </si>
  <si>
    <t>תקפ"ה</t>
  </si>
  <si>
    <t>אהל דוד - עבודה זרה</t>
  </si>
  <si>
    <t>אהל דוד - 10 כר'</t>
  </si>
  <si>
    <t>תנ"ך, תנ"ך, תנ"ך</t>
  </si>
  <si>
    <t>אהל דוד - 2 כר'</t>
  </si>
  <si>
    <t>ששון, דוד בן סלימאן</t>
  </si>
  <si>
    <t>אהל דניאל -  סנהדרין</t>
  </si>
  <si>
    <t>אהל המועד - 2 כר'</t>
  </si>
  <si>
    <t>טוקר, אליעזר חיים בן נפתלי הרץ</t>
  </si>
  <si>
    <t>אהל המלך - אהלות</t>
  </si>
  <si>
    <t>גולדבלט, אלימלך בן יעקב</t>
  </si>
  <si>
    <t>אהל המשפט - 2 כר'</t>
  </si>
  <si>
    <t>חניכי הישיבות</t>
  </si>
  <si>
    <t>קבצים וכתבי עת, ספרי זכרון ויובל, שלחן ערוך ומפרשיו</t>
  </si>
  <si>
    <t>אהל העדות</t>
  </si>
  <si>
    <t>וידר, חיים משולם</t>
  </si>
  <si>
    <t>אהל העדות - 2 כר'</t>
  </si>
  <si>
    <t>פאללאק, אהרן בן צבי הלוי</t>
  </si>
  <si>
    <t>אהל הראשונים - ערכין</t>
  </si>
  <si>
    <t>כהן, עמנואל חיים יצחק בן יקותיאל</t>
  </si>
  <si>
    <t>אהל הרבי - 2 כר'</t>
  </si>
  <si>
    <t>וואלדן, משה מנחם מנדל בן אהרן</t>
  </si>
  <si>
    <t>חסידות, חסידות, נושאים שונים, תולדות עם ישראל, תנ"ך</t>
  </si>
  <si>
    <t>אהל זיכרון בית יוסף</t>
  </si>
  <si>
    <t>אהל זכרון פני חיים</t>
  </si>
  <si>
    <t>מערכת אהל זכרון</t>
  </si>
  <si>
    <t>אהל חוה - 5 כר'</t>
  </si>
  <si>
    <t>כולל אהל חוה</t>
  </si>
  <si>
    <t>אהל חיה שרה - מגילה, חגיגה, עירובין</t>
  </si>
  <si>
    <t>בית מדרש גבוה</t>
  </si>
  <si>
    <t>אהל חייא &lt;לזכר הגרח"א צוובנר זצ"ל&gt;</t>
  </si>
  <si>
    <t>אהל חיים - 4 כר'</t>
  </si>
  <si>
    <t>קרן מנשה רפאל ושרה להמן</t>
  </si>
  <si>
    <t>אהל חן - שבת</t>
  </si>
  <si>
    <t>אהל יהונתן</t>
  </si>
  <si>
    <t>אהל יהושע &lt;משאת המלך&gt; - תורה, עניני חנוכה ופורים</t>
  </si>
  <si>
    <t>דיסקין, שמעון משה בן יהושע זליג</t>
  </si>
  <si>
    <t>מועדי ישראל, תולדות עם ישראל, תנ"ך, תפלות בקשות פיוטים ושירה</t>
  </si>
  <si>
    <t>אהל יהושע - 2 כר'</t>
  </si>
  <si>
    <t>בומבאך, יהושע פינחס בן יוסף</t>
  </si>
  <si>
    <t>תרס"א - תרצ"ב</t>
  </si>
  <si>
    <t>דרוהוביץ' Drogobych</t>
  </si>
  <si>
    <t>אהל יהושע - שמות</t>
  </si>
  <si>
    <t>הורביץ, יהושע בן חיים מנחם דוד</t>
  </si>
  <si>
    <t>הלר, יהושע בן אהרן</t>
  </si>
  <si>
    <t>אהל יהושע</t>
  </si>
  <si>
    <t>מזרחי, יהושע בן משה אהרן</t>
  </si>
  <si>
    <t>אהל יוסף &lt;מהדורה חדשה&gt;</t>
  </si>
  <si>
    <t>מולכו, יוסף בן אברהם</t>
  </si>
  <si>
    <t>תלמים</t>
  </si>
  <si>
    <t>אהל יוסף &lt;מעשים שבכל יום&gt; - ב</t>
  </si>
  <si>
    <t>קרן נצח יוסף</t>
  </si>
  <si>
    <t>אהל יוסף בית אמישינוב &lt;מהדורה חדשה&gt;</t>
  </si>
  <si>
    <t>ויסברוד, דוד בן שמואל</t>
  </si>
  <si>
    <t>אהל יוסף מאיר - מנחות</t>
  </si>
  <si>
    <t>חבורת דרשו ד' ועוזו ליקוואד</t>
  </si>
  <si>
    <t>ליקוואד</t>
  </si>
  <si>
    <t>אהל יוסף - 2 כר'</t>
  </si>
  <si>
    <t>אהל יוסף</t>
  </si>
  <si>
    <t>הלכה ומנהג, מחשבה ומוסר, תלמוד בבלי</t>
  </si>
  <si>
    <t>אריה, אברהם</t>
  </si>
  <si>
    <t>באר יעקב</t>
  </si>
  <si>
    <t>אשכנזי, יוסף בן ישראל</t>
  </si>
  <si>
    <t>אהל יוסף - א</t>
  </si>
  <si>
    <t>בן-הרוש, יוסף בן יחייא</t>
  </si>
  <si>
    <t>הרצמן, אלחנן יוסף</t>
  </si>
  <si>
    <t>אהל יוסף - גלעד</t>
  </si>
  <si>
    <t>יוסף יוסקא בן ישראל</t>
  </si>
  <si>
    <t>תקכ"ז - תקכ"ח</t>
  </si>
  <si>
    <t>אולקסניץ Oleksinets</t>
  </si>
  <si>
    <t>לזכר רבי יוסף קורח</t>
  </si>
  <si>
    <t>הלכה ומנהג, קבצים וכתבי עת, ספרי זכרון ויובל, תנ"ך</t>
  </si>
  <si>
    <t>לנדא, יוסף צבי הלוי</t>
  </si>
  <si>
    <t>תקט"ז</t>
  </si>
  <si>
    <t>פריד, יוסף אליהו בן יהודה ליב</t>
  </si>
  <si>
    <t>אהל יעקב &lt;מהדורה חדשה&gt;</t>
  </si>
  <si>
    <t>זריהן, יעקב חי בן ברוך</t>
  </si>
  <si>
    <t>אהל יעקב &lt;מכון הכתב&gt;</t>
  </si>
  <si>
    <t>יעקב בו יוסף הרופא</t>
  </si>
  <si>
    <t>אהל יעקב &lt;מהדורה חדשה&gt; - 5 כר'</t>
  </si>
  <si>
    <t>קראנץ, יעקב בן זאב (המגיד מדובנא)</t>
  </si>
  <si>
    <t>אהל יעקב - 6 כר'</t>
  </si>
  <si>
    <t>דרוק, יעקב בן זלמן</t>
  </si>
  <si>
    <t>אהל יעקב</t>
  </si>
  <si>
    <t>יעקב קופלמאן בן שמואל בונם</t>
  </si>
  <si>
    <t>שנ"ט</t>
  </si>
  <si>
    <t>מנשה, רפאל יעקב בן אברהם</t>
  </si>
  <si>
    <t>תקצ"ב</t>
  </si>
  <si>
    <t>אהל יעקב - 14 כר'</t>
  </si>
  <si>
    <t>סקוצילס, יעקב אהרן בן טלי</t>
  </si>
  <si>
    <t>אהל יעקב - 3 כר'</t>
  </si>
  <si>
    <t>אהל יעקב - בראשית</t>
  </si>
  <si>
    <t>קראנץ, יעקב בן זאב</t>
  </si>
  <si>
    <t>[תרי"א,</t>
  </si>
  <si>
    <t>לבוב,</t>
  </si>
  <si>
    <t>ששפורטש, יעקב בן אהרן</t>
  </si>
  <si>
    <t>תצ"ז</t>
  </si>
  <si>
    <t>אהל יצחק - 8 כר'</t>
  </si>
  <si>
    <t>אוהל יצחק</t>
  </si>
  <si>
    <t>אהל יצחק</t>
  </si>
  <si>
    <t>בן חסון, יוסף בן אהרן</t>
  </si>
  <si>
    <t>מועדי ישראל, משנה, קבלה, שלחן ערוך ומפרשיו, תלמוד בבלי, תנ"ך, תפלות בקשות פיוטים ושירה</t>
  </si>
  <si>
    <t>חסיד, חיים יצחק בן יוסף הכהן</t>
  </si>
  <si>
    <t>תקס"א</t>
  </si>
  <si>
    <t>אהל יצחק - 3 כר'</t>
  </si>
  <si>
    <t>יצחק בן אליעזר ממונקאץ'</t>
  </si>
  <si>
    <t>אהל יצחק - גיטין</t>
  </si>
  <si>
    <t>מן, הלל</t>
  </si>
  <si>
    <t>הלכה ומנהג, קבצים וכתבי עת, ספרי זכרון ויובל, תלמוד בבלי</t>
  </si>
  <si>
    <t>אהל יצחק - יד</t>
  </si>
  <si>
    <t>קובץ כולל אהל יצחק</t>
  </si>
  <si>
    <t>אהל ישכר</t>
  </si>
  <si>
    <t>קליינבוים, יששכר בן צבי הלוי</t>
  </si>
  <si>
    <t>אהל ישכר, סדר הזמנים, אמרי נעם</t>
  </si>
  <si>
    <t>טורנהיים, יששכר דוב בן משה הכהן</t>
  </si>
  <si>
    <t>דרושים, חסידות, מועדי ישראל, תולדות עם ישראל, תפלות בקשות פיוטים ושירה</t>
  </si>
  <si>
    <t>אהל ישעיהו - ב"ק</t>
  </si>
  <si>
    <t>אהל ישראל אלחנן</t>
  </si>
  <si>
    <t>אהל ישרים &lt;חופה וז' ברכות&gt;</t>
  </si>
  <si>
    <t>אהל ישרים &lt;מכון הכתב&gt;</t>
  </si>
  <si>
    <t>ענתיבי, אברהם בן יצחק</t>
  </si>
  <si>
    <t>דרושים, מחשבה ומוסר, תפלות בקשות פיוטים ושירה</t>
  </si>
  <si>
    <t>אהל ישרים</t>
  </si>
  <si>
    <t>בונאן, יצחק</t>
  </si>
  <si>
    <t>נושאים שונים, תלמוד בבלי, תלמוד בבלי, תנ"ך</t>
  </si>
  <si>
    <t>אהל ישרים - 2 כר'</t>
  </si>
  <si>
    <t>אהל יששכר</t>
  </si>
  <si>
    <t>גאלדשטיין, יששכר דוב</t>
  </si>
  <si>
    <t>ליטואר, יששכר דוב בן מרדכי</t>
  </si>
  <si>
    <t>תקס"ה</t>
  </si>
  <si>
    <t>ליכטנשטיין, יששכר דוב בן אריה ליב</t>
  </si>
  <si>
    <t>תקפ"ו</t>
  </si>
  <si>
    <t>דרושים, נושאים שונים, שאר ספרי חז"ל, תלמוד בבלי</t>
  </si>
  <si>
    <t>פרלהפטר, שמואל יששכר בן יהודה ליב</t>
  </si>
  <si>
    <t>ת"ל</t>
  </si>
  <si>
    <t>רייפמאן, יעקב בן צבי הירש</t>
  </si>
  <si>
    <t>Przemysl פרמישלה</t>
  </si>
  <si>
    <t>אהל לאה</t>
  </si>
  <si>
    <t>אהל מועד</t>
  </si>
  <si>
    <t>אוהל מועד</t>
  </si>
  <si>
    <t>תרנ"ח - תרס"א</t>
  </si>
  <si>
    <t>אהל מועד - 9 כר'</t>
  </si>
  <si>
    <t>תרמ"ב - תרס"א</t>
  </si>
  <si>
    <t>זילברשלג, דוד חיים בן ישעיהו שמחה</t>
  </si>
  <si>
    <t>תשס"</t>
  </si>
  <si>
    <t>רכסים</t>
  </si>
  <si>
    <t>אהל מועד - 2 כר'</t>
  </si>
  <si>
    <t>טאוב, פנחס חיים</t>
  </si>
  <si>
    <t>יוסף בן יחיאל מיכל</t>
  </si>
  <si>
    <t>תקכ"ז</t>
  </si>
  <si>
    <t>פרנקפורט דאודר Frank</t>
  </si>
  <si>
    <t>ירונדי, שמואל בן משולם</t>
  </si>
  <si>
    <t>לסר, אברהם יעקב גרשון בן עזריאל מאיר</t>
  </si>
  <si>
    <t>שיקגו Chicago</t>
  </si>
  <si>
    <t>תרפ"ו - תרצ"ה</t>
  </si>
  <si>
    <t>Warsaw ורשה</t>
  </si>
  <si>
    <t>שלמה בן אברהם מאורבינו</t>
  </si>
  <si>
    <t>אהל מרדכי</t>
  </si>
  <si>
    <t>קובץ חידושי תורה מגדולי הדורות</t>
  </si>
  <si>
    <t>אהל משה &lt;שאץ - 3 כר'</t>
  </si>
  <si>
    <t>אהל משה - 3 כר'</t>
  </si>
  <si>
    <t>אהרן משה בן צבי הירש</t>
  </si>
  <si>
    <t>תקל"א</t>
  </si>
  <si>
    <t>פירט Fuerth</t>
  </si>
  <si>
    <t>אהל משה</t>
  </si>
  <si>
    <t>אפשטיין, משה בן זכריה מנדל כהנא</t>
  </si>
  <si>
    <t>תקי"ט</t>
  </si>
  <si>
    <t>אהל משה - 2 כר'</t>
  </si>
  <si>
    <t>בן עבו, משה בן מסעוד</t>
  </si>
  <si>
    <t>ברלין, משה יעקב יהושע בן יהודה ליב</t>
  </si>
  <si>
    <t>אהל משה - א</t>
  </si>
  <si>
    <t>דונאט, משה אליעזר בן שמואל</t>
  </si>
  <si>
    <t>תרצ"ה - תרצ"ח</t>
  </si>
  <si>
    <t>ברדיוב Bardejov</t>
  </si>
  <si>
    <t>דרצ'ינסקי,שמואל אביגדור בן משה הלוי</t>
  </si>
  <si>
    <t>הורוויץ, אלעזר משה בן צבי הירש הלוי</t>
  </si>
  <si>
    <t>וויינברג, משה בן דוב בריש</t>
  </si>
  <si>
    <t>דרושים, מחשבה ומוסר, שאלות ותשובות, תולדות עם ישראל, תלמוד בבלי</t>
  </si>
  <si>
    <t>וייס, משה בן משה</t>
  </si>
  <si>
    <t>שעלבים</t>
  </si>
  <si>
    <t>טבנקין, משה אהרן בן יהודה</t>
  </si>
  <si>
    <t>סטו מרה</t>
  </si>
  <si>
    <t>כ"ץ, משה בן ישעיה הכהן</t>
  </si>
  <si>
    <t>תקי"ד</t>
  </si>
  <si>
    <t>זלקוה</t>
  </si>
  <si>
    <t>כהן, משה</t>
  </si>
  <si>
    <t>לובצקי, משה אהרן יצחק בן אליהו צמח</t>
  </si>
  <si>
    <t>לווין, משה אהרן בן יוסף שמעון הלוי</t>
  </si>
  <si>
    <t>תרפ"ו - תרפ"ח</t>
  </si>
  <si>
    <t>סגל, משה מגלוגא</t>
  </si>
  <si>
    <t>אהל משה - 10 כר'</t>
  </si>
  <si>
    <t>פארהאנד, משה בן יוסף צבי</t>
  </si>
  <si>
    <t>דרושים, נושאים שונים, תולדות עם ישראל, תנ"ך</t>
  </si>
  <si>
    <t>צווייג, משה יונה בן מאיר הלוי</t>
  </si>
  <si>
    <t>תש"ט - תשכ"ה</t>
  </si>
  <si>
    <t>קאצנלנבוגן, משה בן אלעזר חיים</t>
  </si>
  <si>
    <t>נושאים שונים, שאלות ותשובות, תנ"ך</t>
  </si>
  <si>
    <t>אהל משה - מעשרות</t>
  </si>
  <si>
    <t>משנה, קבצים וכתבי עת, ספרי זכרון ויובל</t>
  </si>
  <si>
    <t>קריינש, משה בן נחמן</t>
  </si>
  <si>
    <t>רויזמאן, חיים בן משה יעקב</t>
  </si>
  <si>
    <t>שוחט, משה בן חיים נתן</t>
  </si>
  <si>
    <t>שחר, משה בן יוסף</t>
  </si>
  <si>
    <t>אהל משה - 11 כר'</t>
  </si>
  <si>
    <t>שיינערמאן, משה יוסף בן אלחנן</t>
  </si>
  <si>
    <t>אהל נפתלי</t>
  </si>
  <si>
    <t>הורוויץ, נפתלי צבי בן מנחם מנדל</t>
  </si>
  <si>
    <t>לא ידוע</t>
  </si>
  <si>
    <t>מוסדות אהל נפתלי דז'יקוב ויז'ניץ</t>
  </si>
  <si>
    <t>מלמוד, נפתלי שלמה</t>
  </si>
  <si>
    <t>אהל עולמים</t>
  </si>
  <si>
    <t>קצבורג, אביגדור הכהן</t>
  </si>
  <si>
    <t>אהל עראי</t>
  </si>
  <si>
    <t>קנייבסקי, יצחק שאול בן שמריהו יוסף חיים</t>
  </si>
  <si>
    <t>אהל פנחס - יומא, בכורות, ערכין, תמורה, כריתות</t>
  </si>
  <si>
    <t>אהל צבי - שבת</t>
  </si>
  <si>
    <t>אהל קדושים</t>
  </si>
  <si>
    <t>קאנר, אברהם אביש בן יעקב שמשון הלוי</t>
  </si>
  <si>
    <t>אהל רא"ם</t>
  </si>
  <si>
    <t>אהל רבקה</t>
  </si>
  <si>
    <t>לדמותה של מרת רבקה גודלבסקי</t>
  </si>
  <si>
    <t>סנדר, יצחק בן משה אהרן</t>
  </si>
  <si>
    <t>שיקגו</t>
  </si>
  <si>
    <t>הלכה ומנהג, מועדי ישראל, נושאים שונים, תנ"ך</t>
  </si>
  <si>
    <t>אהל רח"ל - 3 כר'</t>
  </si>
  <si>
    <t>ליברמן, חיים</t>
  </si>
  <si>
    <t>אהל רחל - 4 כר'</t>
  </si>
  <si>
    <t>אהל רחל - פסחים, מכות, יומא</t>
  </si>
  <si>
    <t>הרארי הכהן, חיים בן משה</t>
  </si>
  <si>
    <t>אהל רחל</t>
  </si>
  <si>
    <t>ירוחם, אהרן בן חיים יצחק</t>
  </si>
  <si>
    <t>כ"ץ, רייכל בת אברהם יצחק משכיל לאיתן</t>
  </si>
  <si>
    <t>סופר, שמחה בונם בן אברהם שמואל בנימין</t>
  </si>
  <si>
    <t>וינה</t>
  </si>
  <si>
    <t>סעדון, אבנר בן וזיפה</t>
  </si>
  <si>
    <t>נתיבות</t>
  </si>
  <si>
    <t>קארו, דוד בן יצחק</t>
  </si>
  <si>
    <t>אהל רמ"א - 3 כר'</t>
  </si>
  <si>
    <t>אהל רמ"ח - בבא מציעא</t>
  </si>
  <si>
    <t>אהל שולמית</t>
  </si>
  <si>
    <t>אהל שיכן באדם</t>
  </si>
  <si>
    <t>אהל שלמה - חנוכה</t>
  </si>
  <si>
    <t>גולדמן, שלמה בן מרדכי</t>
  </si>
  <si>
    <t>ניו ג'רסי</t>
  </si>
  <si>
    <t>אהל שלמה - 2 כר'</t>
  </si>
  <si>
    <t>זילברשטיין, שלמה בן אהרן</t>
  </si>
  <si>
    <t>רבינוביץ, יצחק מרדכי בן צבי מאיר הכהן</t>
  </si>
  <si>
    <t>תרפ"ד - תרצ"ה</t>
  </si>
  <si>
    <t>דרושים, נושאים שונים, נושאים שונים, תנ"ך</t>
  </si>
  <si>
    <t>אהל שם</t>
  </si>
  <si>
    <t>ברודנא, שלמה מרדכי בן אליהו יהודא ליב</t>
  </si>
  <si>
    <t>דרושים, מחשבה ומוסר, תלמוד בבלי</t>
  </si>
  <si>
    <t>אהל שמואל - עירובין</t>
  </si>
  <si>
    <t>אהל שמואל</t>
  </si>
  <si>
    <t>שטרנפלד, שלמה בן מיכאל</t>
  </si>
  <si>
    <t>אהל שמחה</t>
  </si>
  <si>
    <t>קוק, איסר דב בן נחום הכהן</t>
  </si>
  <si>
    <t>אהל שמעון - 2 כר'</t>
  </si>
  <si>
    <t>וונדר, מאיר</t>
  </si>
  <si>
    <t>אהל שרה לאה</t>
  </si>
  <si>
    <t>אהל שרה</t>
  </si>
  <si>
    <t>הירשוביץ, אברהם עבר בן שמואל</t>
  </si>
  <si>
    <t>אהל שרה - הלכות ערובי תבשילין</t>
  </si>
  <si>
    <t>זאדה, אבנר</t>
  </si>
  <si>
    <t>אהל תורה &lt;ברנוביץ&gt; - 4 כר'</t>
  </si>
  <si>
    <t>תרפ"ד - תרפ"ה</t>
  </si>
  <si>
    <t>ברנוביץ Baranovichi</t>
  </si>
  <si>
    <t>אהל תורה &lt;ירושלים&gt;</t>
  </si>
  <si>
    <t>תרפ"ו - תרפ"ז</t>
  </si>
  <si>
    <t>אהל תורה &lt;קראקא&gt;</t>
  </si>
  <si>
    <t>תרפ"ח - תרצ"ב</t>
  </si>
  <si>
    <t>אהל תורה בסוגיות הש"ס - 2 כר'</t>
  </si>
  <si>
    <t>אהל תורה - 4 כר'</t>
  </si>
  <si>
    <t>ישיבת אור אלחנן</t>
  </si>
  <si>
    <t>אהל תורה - בראשית, שמות</t>
  </si>
  <si>
    <t>לייפר, יששכר דוב</t>
  </si>
  <si>
    <t>אהל תורה - 2 כר'</t>
  </si>
  <si>
    <t>מורגנשטרן, מנחם מנדל בן יהודה ליב</t>
  </si>
  <si>
    <t>חסידות, מועדי ישראל, תנ"ך</t>
  </si>
  <si>
    <t>אהל תורה</t>
  </si>
  <si>
    <t>סבוני, אברהם הלל</t>
  </si>
  <si>
    <t>אהלה של תורה - 3 כר'</t>
  </si>
  <si>
    <t>בית תלמוד להוראה דחסידי גור</t>
  </si>
  <si>
    <t>אהלה של תורה - 8 כר'</t>
  </si>
  <si>
    <t>כולל יששכר באהליך - ב"ב</t>
  </si>
  <si>
    <t>אהלה של תורה - 4 כר'</t>
  </si>
  <si>
    <t>כולל יששכר באהליך - רכסים</t>
  </si>
  <si>
    <t>אהלה של תורה - שבת</t>
  </si>
  <si>
    <t>כולל יששכר באהליך</t>
  </si>
  <si>
    <t>אהלה של תורה - טז</t>
  </si>
  <si>
    <t>קובץ בית תלמוד להוראה דחסידי גור</t>
  </si>
  <si>
    <t>אהלה של תורה - 2 כר'</t>
  </si>
  <si>
    <t>קובץ כולל ישיבת מיר בית שמש</t>
  </si>
  <si>
    <t>אהלה של תורה - 19 כר'</t>
  </si>
  <si>
    <t>קובץ כולל ישיבת מיר רמת שלמה</t>
  </si>
  <si>
    <t>אהלי אברהם</t>
  </si>
  <si>
    <t>קופמן, אברהם בן אליהו</t>
  </si>
  <si>
    <t>אהלי אהרן - 2 כר'</t>
  </si>
  <si>
    <t>מילייקובסקי, אליהו אהרן בן מרדכי אוריה</t>
  </si>
  <si>
    <t>תרס"ט - תרצ"ו</t>
  </si>
  <si>
    <t>גריבו Grajevo</t>
  </si>
  <si>
    <t>מחשבה ומוסר, שאלות ותשובות</t>
  </si>
  <si>
    <t>אהלי איש</t>
  </si>
  <si>
    <t>שושן, איתן בן אליהו</t>
  </si>
  <si>
    <t>אהלי בנימין &lt;איזהו נשך והלכות ריבית&gt;</t>
  </si>
  <si>
    <t>כולל אהלי בנימין</t>
  </si>
  <si>
    <t>תשנ"T</t>
  </si>
  <si>
    <t>אהלי חיים</t>
  </si>
  <si>
    <t>שולמן, יחיאל בן נתן צבי</t>
  </si>
  <si>
    <t>אהלי טהר - 2 כר'</t>
  </si>
  <si>
    <t>האס, חיים בן אברהם</t>
  </si>
  <si>
    <t>אהלי טהרה</t>
  </si>
  <si>
    <t>ברלין, ישראל אשר בן משה</t>
  </si>
  <si>
    <t>אהלי יאודה</t>
  </si>
  <si>
    <t>אמאדו, יהושע יהודה</t>
  </si>
  <si>
    <t>תקפ"א</t>
  </si>
  <si>
    <t>אהלי יהודה - 2 כר'</t>
  </si>
  <si>
    <t>אושפיזאי, מנחם יהודה בן משה בן-ציון הלוי</t>
  </si>
  <si>
    <t>רמת גן</t>
  </si>
  <si>
    <t>אהלי יהודה</t>
  </si>
  <si>
    <t>יהודה אריה בן צבי הירש</t>
  </si>
  <si>
    <t>יסניץ Jessnitz</t>
  </si>
  <si>
    <t>יהודה בן שלמה הכהן</t>
  </si>
  <si>
    <t>הלכה ומנהג, הלכה ומנהג, נושאים שונים</t>
  </si>
  <si>
    <t>נג'אר, יהודה בן יעקב</t>
  </si>
  <si>
    <t>תקפ"ג</t>
  </si>
  <si>
    <t>אהלי יעקב - 3 כר'</t>
  </si>
  <si>
    <t>אונסדורפר, יעקב אליהו</t>
  </si>
  <si>
    <t>מונטריאול</t>
  </si>
  <si>
    <t>אטינגר, יעקב משה בן ברוך מרדכי</t>
  </si>
  <si>
    <t>אהלי יעקב - 5 כר'</t>
  </si>
  <si>
    <t>אהלי יעקב - 2 כר'</t>
  </si>
  <si>
    <t>הכהן, יעקב בן ברוך ברכיה</t>
  </si>
  <si>
    <t>אהלי יעקב</t>
  </si>
  <si>
    <t>יוטס, יעקב יצחק בן מאיר ליבוש</t>
  </si>
  <si>
    <t>אהלי יעקב - 4 כר'</t>
  </si>
  <si>
    <t>כהן, מנשה בן ציון שאול</t>
  </si>
  <si>
    <t>אהלי יעקב - שבת</t>
  </si>
  <si>
    <t>כהן, מנשה</t>
  </si>
  <si>
    <t>לוויטאן, בן-ציון יעקב בן ישראל מאיר</t>
  </si>
  <si>
    <t>תרפ"-</t>
  </si>
  <si>
    <t>שוול Shavl</t>
  </si>
  <si>
    <t>אהלי יעקב - אהלות.  עין המים - מקוואות</t>
  </si>
  <si>
    <t>פפנהיים, אברהם שמואל</t>
  </si>
  <si>
    <t>אהלי יעקב - 8 כר'</t>
  </si>
  <si>
    <t>פרבשטיין, יעקב מאיר בן דניאל</t>
  </si>
  <si>
    <t>פרידמן, יעקב בן יצחק מהוסיאטין</t>
  </si>
  <si>
    <t>קאסטרו, יעקב בן אברהם</t>
  </si>
  <si>
    <t>תקמ"ג</t>
  </si>
  <si>
    <t>אהלי יעקב - 7 כר'</t>
  </si>
  <si>
    <t>קובץ כולל חלקת יעקב</t>
  </si>
  <si>
    <t>אהלי יעקב - כתובות</t>
  </si>
  <si>
    <t>קנפו, יעקב בן דוד</t>
  </si>
  <si>
    <t>שרבאני, יעקב חיים בן יצחק</t>
  </si>
  <si>
    <t>אהלי יצחק</t>
  </si>
  <si>
    <t>הלכה ומנהג, הלכה ומנהג, תלמוד בבלי</t>
  </si>
  <si>
    <t>קאץ, יצחק בן אליהו דב</t>
  </si>
  <si>
    <t>אהלי ישע</t>
  </si>
  <si>
    <t>שולמן, אלישע בן דוד יואל</t>
  </si>
  <si>
    <t>אהלי ישראל - דבר משה</t>
  </si>
  <si>
    <t>גרוס, שלום יהודה</t>
  </si>
  <si>
    <t>אהלי יששכר</t>
  </si>
  <si>
    <t>בית מדרש יששכר באהלך</t>
  </si>
  <si>
    <t>פראנד, יששכר דוב בן דוד צבי</t>
  </si>
  <si>
    <t>בלטימור</t>
  </si>
  <si>
    <t>אהלי מועד - בראשית</t>
  </si>
  <si>
    <t>ברלין, ישראל אשר</t>
  </si>
  <si>
    <t>אהלי מנחם</t>
  </si>
  <si>
    <t>מנחם מענדיל מראוונא</t>
  </si>
  <si>
    <t>נושאים שונים, שאלות ותשובות, תולדות עם ישראל</t>
  </si>
  <si>
    <t>אהלי משה &lt;מהדו"ב&gt;</t>
  </si>
  <si>
    <t>שפירא, אהרן בן משה שמואל</t>
  </si>
  <si>
    <t>אהלי משה</t>
  </si>
  <si>
    <t>אהלי צבי - 8 כר'</t>
  </si>
  <si>
    <t>יעקובוביץ, אליהו צבי בן טוביה</t>
  </si>
  <si>
    <t>אהלי צדיק</t>
  </si>
  <si>
    <t>סיפורי צדיקים</t>
  </si>
  <si>
    <t>תר"ע לערך</t>
  </si>
  <si>
    <t>פשמשיל</t>
  </si>
  <si>
    <t>אהלי צדיקים</t>
  </si>
  <si>
    <t>שפירא, אלטר אליקים שרגא בן חיים שמעון</t>
  </si>
  <si>
    <t>אהלי צדק</t>
  </si>
  <si>
    <t>אהלי ש"ם</t>
  </si>
  <si>
    <t>מימון, שמעון בן כליפה</t>
  </si>
  <si>
    <t>אהלי שבת</t>
  </si>
  <si>
    <t>אהלי שלמה - א</t>
  </si>
  <si>
    <t>קדר, שמואל אליקים בן מרדכי</t>
  </si>
  <si>
    <t>אהלי שם &lt;מהדורה חדשה עם מסגרת השם&gt;</t>
  </si>
  <si>
    <t>גאנצפריד, שלמה בן יוסף</t>
  </si>
  <si>
    <t>אהלי שם &lt;סליחות&gt;</t>
  </si>
  <si>
    <t>פרץ, מיכאל בן יוסף</t>
  </si>
  <si>
    <t>מקסיקו</t>
  </si>
  <si>
    <t>אהלי שם &lt;עין יעקב&gt; - 4 כר'</t>
  </si>
  <si>
    <t>תלמוד בבלי, תלמוד ירושלמי</t>
  </si>
  <si>
    <t>אהלי שם &lt;פרק שירה&gt;</t>
  </si>
  <si>
    <t>שאר ספרי חז"ל, תפלות בקשות פיוטים ושירה</t>
  </si>
  <si>
    <t>אהלי שם &lt;שו"ע&gt; - 20 כר'</t>
  </si>
  <si>
    <t>אהלי שם &lt;שיר השירים&gt;</t>
  </si>
  <si>
    <t>אהלי שם אוצר הנביאים - 11 כר'</t>
  </si>
  <si>
    <t>אהלי שם אוצר הפרשה - 5 כר'</t>
  </si>
  <si>
    <t>אהלי שם - בבא מציעא א</t>
  </si>
  <si>
    <t>ביטון, שמואל מיכאל בן שמעון</t>
  </si>
  <si>
    <t>אהלי שם</t>
  </si>
  <si>
    <t>תרס"ז</t>
  </si>
  <si>
    <t>גוטליב, שמואל נח בן דוב בר</t>
  </si>
  <si>
    <t>פינסק Pinsk</t>
  </si>
  <si>
    <t>אהלי שם - נטעי אשל</t>
  </si>
  <si>
    <t>גינשטלינג, מנחם אליעזר בן לוי</t>
  </si>
  <si>
    <t>אהלי שם - 5 כר'</t>
  </si>
  <si>
    <t>דרומי, שמעון בן ישראל אהרן</t>
  </si>
  <si>
    <t>תר"פ</t>
  </si>
  <si>
    <t>פשעמשיל</t>
  </si>
  <si>
    <t>ספר זכרון לבחור שמעון שכטר</t>
  </si>
  <si>
    <t>פרנקל-תאומים, יהודה אריה</t>
  </si>
  <si>
    <t>אהלי שם - 19 כר'</t>
  </si>
  <si>
    <t>קלינגברג, שם</t>
  </si>
  <si>
    <t>שלום, מנחם</t>
  </si>
  <si>
    <t>אהלי שמעון - 6 כר'</t>
  </si>
  <si>
    <t>לוי, שמעון בן אברהם</t>
  </si>
  <si>
    <t>אהלי תורה</t>
  </si>
  <si>
    <t>לזכר הרב בנימין ברוך קרלינשטיין</t>
  </si>
  <si>
    <t>אהלי תם (תמת ישרים) &lt;מכון הכתב&gt;</t>
  </si>
  <si>
    <t>בן יחייא, תם בן דוד</t>
  </si>
  <si>
    <t>אהליך יעקב - 2 כר'</t>
  </si>
  <si>
    <t>וידר, אברהם בן טוביה</t>
  </si>
  <si>
    <t>אהליך יעקב  - ה</t>
  </si>
  <si>
    <t>כולל אהלי יעקב</t>
  </si>
  <si>
    <t>אהלים ליעקב</t>
  </si>
  <si>
    <t>קצנלבויגן, יעקב גרשון בן רפאל</t>
  </si>
  <si>
    <t>דרושים, תולדות עם ישראל, תנ"ך</t>
  </si>
  <si>
    <t>אהלים - 2 כר'</t>
  </si>
  <si>
    <t>דיסקין, משה יהושע יהודה ליב בן בנימין</t>
  </si>
  <si>
    <t>שאלות ותשובות, שלחן ערוך ומפרשיו, תלמוד בבלי</t>
  </si>
  <si>
    <t>כולל ובית מדרש אהל יוסף משה</t>
  </si>
  <si>
    <t>בונוס איירס</t>
  </si>
  <si>
    <t>אהלך באמיתך</t>
  </si>
  <si>
    <t>שטרן, בצלאל בן אברהם</t>
  </si>
  <si>
    <t>אהלך יעקב</t>
  </si>
  <si>
    <t>אהללה</t>
  </si>
  <si>
    <t>פויכטונגר, יעקב אריה - מעוז, עידו יוסף</t>
  </si>
  <si>
    <t>אהרן בכהניו ושמואל בקראי שמו</t>
  </si>
  <si>
    <t>אוד המאיר - 2 כר'</t>
  </si>
  <si>
    <t>רקובסקי, אהוד בן אליהו</t>
  </si>
  <si>
    <t>אוד מוצל</t>
  </si>
  <si>
    <t>שפיגל, אברהם דוד  בן יצחק</t>
  </si>
  <si>
    <t>אודה את השם - ברכת המזון המבואר</t>
  </si>
  <si>
    <t>מן, מרדכי</t>
  </si>
  <si>
    <t>אודה ה'</t>
  </si>
  <si>
    <t>ג'יראסי, דניאל בן דוד</t>
  </si>
  <si>
    <t>תמ"ב</t>
  </si>
  <si>
    <t>אודה לשמו - ד</t>
  </si>
  <si>
    <t>ישי, אוהד שלום</t>
  </si>
  <si>
    <t>אודות קבורה במשטחים בקומות</t>
  </si>
  <si>
    <t>קובץ תשובות</t>
  </si>
  <si>
    <t>אודים מאש - 3 כר'</t>
  </si>
  <si>
    <t>מפעל אודים מאש - מכון משנת רבי אהרן</t>
  </si>
  <si>
    <t>הלכה ומנהג, נושאים שונים, קבצים וכתבי עת, ספרי זכרון ויובל</t>
  </si>
  <si>
    <t>אודים - 11 כר'</t>
  </si>
  <si>
    <t>ועד הרבנים בגרמניה</t>
  </si>
  <si>
    <t>גרמניה</t>
  </si>
  <si>
    <t>אוה למושב</t>
  </si>
  <si>
    <t>דוקס, יחזקאל</t>
  </si>
  <si>
    <t>אוהב בהמון - 2 כר'</t>
  </si>
  <si>
    <t>כולל שע"י ישיבת יד אהרן</t>
  </si>
  <si>
    <t>אוהב גר</t>
  </si>
  <si>
    <t>תק"צ</t>
  </si>
  <si>
    <t>אוהב התורה</t>
  </si>
  <si>
    <t>מורגנשטרן, נעמי</t>
  </si>
  <si>
    <t>אוהב חסד</t>
  </si>
  <si>
    <t>לייפער, דוד בן ישכר בער</t>
  </si>
  <si>
    <t>דרושים, חסידות, תלמוד בבלי, תנ"ך</t>
  </si>
  <si>
    <t>אוהב ימים</t>
  </si>
  <si>
    <t>הולס, שלמה</t>
  </si>
  <si>
    <t>אוהב ישראל &lt;מהדורת ספרי אוה"ח&gt;</t>
  </si>
  <si>
    <t>דרושים, חסידות, מועדי ישראל, תנ"ך</t>
  </si>
  <si>
    <t>אוהב ישראל &lt;מהדורת שפתי צדיקים&gt;</t>
  </si>
  <si>
    <t>אוהב ישראל - 2 כר'</t>
  </si>
  <si>
    <t>תרכ"ג</t>
  </si>
  <si>
    <t>אוהב מוסר &lt;מהדורה חדשה&gt;</t>
  </si>
  <si>
    <t>אוהב משפט</t>
  </si>
  <si>
    <t>דוראן, שמעון בן צמח</t>
  </si>
  <si>
    <t>שמ"ט - ש"נ</t>
  </si>
  <si>
    <t>אוהב משפט - מצוה הבאה בעבירה</t>
  </si>
  <si>
    <t>כ"ץ, משה בן יוסף דוב הכהן</t>
  </si>
  <si>
    <t>סיגט. קהל ספרדים</t>
  </si>
  <si>
    <t>אוהב משפט - 4 כר'</t>
  </si>
  <si>
    <t>פראג'י, עלוש</t>
  </si>
  <si>
    <t>אוהב ספר</t>
  </si>
  <si>
    <t>כתב עת לתולדות הדפוס העברי</t>
  </si>
  <si>
    <t>אוהב שלום ורודף שלום</t>
  </si>
  <si>
    <t>פוגל, אהרן בן שלום</t>
  </si>
  <si>
    <t>אוהב שלום</t>
  </si>
  <si>
    <t>חבשוש, שלמה בן יוסף (עורך)</t>
  </si>
  <si>
    <t>נושאים שונים, קבצים וכתבי עת, ספרי זכרון ויובל, תולדות עם ישראל</t>
  </si>
  <si>
    <t>רוזנפלד, שלום הלוי</t>
  </si>
  <si>
    <t>הלכה ומנהג, מועדי ישראל, תלמוד בבלי, תנ"ך</t>
  </si>
  <si>
    <t>אוהבי יש</t>
  </si>
  <si>
    <t>גרויז, יהושע שלמה</t>
  </si>
  <si>
    <t>אוהבי תורתך</t>
  </si>
  <si>
    <t>קנובל, אהרן בן מרדכי יהושע</t>
  </si>
  <si>
    <t>אוהבן של ישראל</t>
  </si>
  <si>
    <t>שטוב, מרדכי</t>
  </si>
  <si>
    <t>אוהל יוסף שנאטיך</t>
  </si>
  <si>
    <t>שנייטוך, יוסף בן מאיר</t>
  </si>
  <si>
    <t>תרס"ד</t>
  </si>
  <si>
    <t>אוהל יעקב</t>
  </si>
  <si>
    <t>יוסף יעקב בן אליעזר ליפא</t>
  </si>
  <si>
    <t>שלחן ערוך ומפרשיו, תנ"ך, תנ"ך</t>
  </si>
  <si>
    <t>כהנא-שפירא, יעקב בן דוד כ"ץ</t>
  </si>
  <si>
    <t>אוהל יצחק השלם</t>
  </si>
  <si>
    <t>אוהל ישרים - יחוד</t>
  </si>
  <si>
    <t>נקי, ברק בן אברהם</t>
  </si>
  <si>
    <t>בית שאן</t>
  </si>
  <si>
    <t>אוהל משה</t>
  </si>
  <si>
    <t>תאומים, משה בן אפרים</t>
  </si>
  <si>
    <t>אוהל ש"ם</t>
  </si>
  <si>
    <t>אביב"י, יוסף</t>
  </si>
  <si>
    <t>אוהל שם</t>
  </si>
  <si>
    <t>שיפמאן, יהודה ליבוש בן דוד</t>
  </si>
  <si>
    <t>אוהל שרה - 2 כר'</t>
  </si>
  <si>
    <t>נויבירט, יהושע ישעיה בן אהרון</t>
  </si>
  <si>
    <t>אוהל תורה - 2 כר'</t>
  </si>
  <si>
    <t>אוהלי יוסף</t>
  </si>
  <si>
    <t>קובץ חידושי תורה</t>
  </si>
  <si>
    <t>אוהלי יוסף - 2 כר'</t>
  </si>
  <si>
    <t>ריבלין, אליהו יוסף בן אריה ליב</t>
  </si>
  <si>
    <t>אוהלי משה - 3 כר'</t>
  </si>
  <si>
    <t>לוין, אליהו בן משה הלוי</t>
  </si>
  <si>
    <t>אוזן עבדך</t>
  </si>
  <si>
    <t>קמיונסקי, אברהם צבי - פסין, אהרן יהושע</t>
  </si>
  <si>
    <t>אוזן שמואל</t>
  </si>
  <si>
    <t>די אבילה, שמואל בן משה</t>
  </si>
  <si>
    <t>תע"ה</t>
  </si>
  <si>
    <t>אוחילה לא-ל</t>
  </si>
  <si>
    <t>כהן, יעקב</t>
  </si>
  <si>
    <t>אוטוגרפים עבריים &lt;גרמנית&gt;</t>
  </si>
  <si>
    <t>וכשטיין, ברנדר</t>
  </si>
  <si>
    <t>אויף קידוש השם</t>
  </si>
  <si>
    <t>בריקס, ירחמיאל</t>
  </si>
  <si>
    <t>אויפזאצן און עסייען</t>
  </si>
  <si>
    <t>אולטראסאונד לאור ההלכה</t>
  </si>
  <si>
    <t>סואד, יצחק</t>
  </si>
  <si>
    <t>אולפן חד"ת - 3 כר'</t>
  </si>
  <si>
    <t>בורשטיין, נחמן ישראל בן משה</t>
  </si>
  <si>
    <t>אולקניקי ראדין וילנא</t>
  </si>
  <si>
    <t>פרבר, קלמן</t>
  </si>
  <si>
    <t>אום אני חומה - 2 כר'</t>
  </si>
  <si>
    <t>אום אני חומה</t>
  </si>
  <si>
    <t>קליין, מנשה בן אליעזר זאב</t>
  </si>
  <si>
    <t>אומנות אברהם - מקואות</t>
  </si>
  <si>
    <t>אפפל, אברהם</t>
  </si>
  <si>
    <t>אומנות נהוראי</t>
  </si>
  <si>
    <t>שמעונוב, נהוראי בן יוסף הלוי</t>
  </si>
  <si>
    <t>אומץ יוסף</t>
  </si>
  <si>
    <t>פדר, יוסף יהודה ליב בן אברהם</t>
  </si>
  <si>
    <t>משנה, שלחן ערוך ומפרשיו</t>
  </si>
  <si>
    <t>אומר אני מעשי למלך</t>
  </si>
  <si>
    <t>וסרמן, אלחנן בונם בן נפתלי בינוש</t>
  </si>
  <si>
    <t>אומר ברקאי</t>
  </si>
  <si>
    <t>אומר השכחה</t>
  </si>
  <si>
    <t>פיק, ישעיהו בן יהודה ליב</t>
  </si>
  <si>
    <t>אומר ודברים</t>
  </si>
  <si>
    <t>ברונרוט, חיים מרדכי בן נתן צבי</t>
  </si>
  <si>
    <t>אומר לציון - 2 כר'</t>
  </si>
  <si>
    <t>כהן, בן-ציון בן יעקב</t>
  </si>
  <si>
    <t>ג'רבה,</t>
  </si>
  <si>
    <t>אומר לציון - דיני קריעה</t>
  </si>
  <si>
    <t>כהן, מאור</t>
  </si>
  <si>
    <t>אומר לציון</t>
  </si>
  <si>
    <t>פריד, אהרן בן אלימלך</t>
  </si>
  <si>
    <t>אויהל Satoraljaujhel</t>
  </si>
  <si>
    <t>רבין, בן ציון חי אהרן בן פנחס הכהן</t>
  </si>
  <si>
    <t>אומר מיהודא</t>
  </si>
  <si>
    <t>יהודה בן ליב מפרשבורג</t>
  </si>
  <si>
    <t>ברנו Brno</t>
  </si>
  <si>
    <t>אומרים שאתה מבקש</t>
  </si>
  <si>
    <t>אונס בגיטין</t>
  </si>
  <si>
    <t>הורוויץ-מייזלש, יצחק שמשון בן אביגדור</t>
  </si>
  <si>
    <t>טשערנאוויץ,</t>
  </si>
  <si>
    <t>אונקלוס המבואר - א (בראשית)</t>
  </si>
  <si>
    <t>אביטן, נסים</t>
  </si>
  <si>
    <t>אוסף אמרים - 2 כר'</t>
  </si>
  <si>
    <t>שכטר, יעקב מאיר בן דוד</t>
  </si>
  <si>
    <t>אוסף גנזים &lt;רעק"א&gt;</t>
  </si>
  <si>
    <t>נושאים שונים, שאלות ותשובות, שלחן ערוך ומפרשיו, תלמוד בבלי</t>
  </si>
  <si>
    <t>אוסף הפוסקים - 2 כר'</t>
  </si>
  <si>
    <t>אוסף הפוסקים</t>
  </si>
  <si>
    <t>אוסף חיבורים וכתבי יד על מסכת שביעית</t>
  </si>
  <si>
    <t>סופר, דוד אהרן בן יעקב חיים</t>
  </si>
  <si>
    <t>אוסף חיבורים על אגדות הירושלמי שביעית</t>
  </si>
  <si>
    <t>ליקוטים מספרי האחרונים</t>
  </si>
  <si>
    <t>אוסף חיבורים על הרמב"ם הלכות שמיטה ויובל</t>
  </si>
  <si>
    <t>אוסף חיבורים על טוש"ע הלכות פרוזבול</t>
  </si>
  <si>
    <t>אוסף חיבורים על ירושלמי שביעית</t>
  </si>
  <si>
    <t>אוסף חיבורים על תוספתא שביעית</t>
  </si>
  <si>
    <t>ליקוטים מספרי המפרשים</t>
  </si>
  <si>
    <t>אוסף חידושי תורה</t>
  </si>
  <si>
    <t>קוטלר, אהרן</t>
  </si>
  <si>
    <t>אוסף חידושים וביאורים למסכת שביעית</t>
  </si>
  <si>
    <t>אוסף כת"י בקבלה - נר אלהים</t>
  </si>
  <si>
    <t>כת"י</t>
  </si>
  <si>
    <t>אוסף כת"י בקבלה - ספר קרניים</t>
  </si>
  <si>
    <t>אוסף כת"י בקבלה - בגדי הקודש</t>
  </si>
  <si>
    <t>אוסף כת"י בקבלה - חסד לאברהם</t>
  </si>
  <si>
    <t>אוסף כת"י בקבלה - הקאנון</t>
  </si>
  <si>
    <t>אוסף כת"י בקבלה - 17 כר'</t>
  </si>
  <si>
    <t>אוסף כת"י בקבלה - שרשי השמות</t>
  </si>
  <si>
    <t>אוסף כת"י בקבלה - נגיד ומצוה</t>
  </si>
  <si>
    <t>אוסף כת"י בקבלה - 4 כר'</t>
  </si>
  <si>
    <t>- לוריא, יצחק בן שלמה (האר"י)</t>
  </si>
  <si>
    <t>אוסף כת"י בקבלה - 10 כר'</t>
  </si>
  <si>
    <t>אוסף כת"י בקבלה - 2 כר'</t>
  </si>
  <si>
    <t>- מאג'אר, דוד</t>
  </si>
  <si>
    <t>אוסף כת"י בקבלה - חסדי דוד</t>
  </si>
  <si>
    <t>- מאגא'ר, דוד</t>
  </si>
  <si>
    <t>אוסף כת"י בקבלה - אמת ליעקב, פירוש האדרות</t>
  </si>
  <si>
    <t>- מראג'י, יעקב</t>
  </si>
  <si>
    <t>אוסף כת"י בקבלה - סידור הגדה ש"פ לבעל כף החיים</t>
  </si>
  <si>
    <t>מועדי ישראל, קבלה</t>
  </si>
  <si>
    <t>אוסף כת"י בקבלה - ספר כוונות בעריכת רמ"ע מפאנו</t>
  </si>
  <si>
    <t>- ספר כונות לאר"י</t>
  </si>
  <si>
    <t>אוסף כת"י בקבלה - צפוני ציוני</t>
  </si>
  <si>
    <t>אוסף כת"י בקבלה - 56 כר'</t>
  </si>
  <si>
    <t>אוסף כת"י בקבלה - אוצר החיים</t>
  </si>
  <si>
    <t>יצחק בן שמואל דמן עכו</t>
  </si>
  <si>
    <t>אוסף כתבי היד הרבניים</t>
  </si>
  <si>
    <t>ספרית מנדל גוטמן ישיבת רי"א</t>
  </si>
  <si>
    <t>אוסף כתבי היד של התלמוד הבבלי בספרית הוטיקן ברומא - 6 כר'</t>
  </si>
  <si>
    <t>אוסף מהלמן</t>
  </si>
  <si>
    <t>כהן, יוסף יצחק</t>
  </si>
  <si>
    <t>אוסף מכתבים ודברים</t>
  </si>
  <si>
    <t>אלטר, אברהם מרדכי בן יהודה אריה ליב</t>
  </si>
  <si>
    <t>אוגסבורג Augsburg</t>
  </si>
  <si>
    <t>אוסף מכתבים מחוטבים</t>
  </si>
  <si>
    <t>בארישאנסקי, רפאל מרדכי בן יוסף</t>
  </si>
  <si>
    <t>הלכה ומנהג, נושאים שונים, שאלות ותשובות</t>
  </si>
  <si>
    <t>אוסף מכתבים</t>
  </si>
  <si>
    <t>אלתר, אברהם מרדכי בן יהודה אריה ליב</t>
  </si>
  <si>
    <t>אוסף מפרשי מגילת רות &lt;תפארת ישראל על מתן תורה&gt;</t>
  </si>
  <si>
    <t>אוסף מפרשי מגילת רות</t>
  </si>
  <si>
    <t>הלכה ומנהג, מועדי ישראל, שאר ספרי חז"ל, תנ"ך</t>
  </si>
  <si>
    <t>אוסף ספרים בעניני כשרות וחיזוק הדת</t>
  </si>
  <si>
    <t>אוסף על עניני שביעית ותשובות האחרונים</t>
  </si>
  <si>
    <t>אוסף על עניני שביעית ותשובות הראשונים</t>
  </si>
  <si>
    <t>ליקוטים מספרי הראשונים</t>
  </si>
  <si>
    <t>אוסף פיוטי ספרד</t>
  </si>
  <si>
    <t>כתב יד מוסקבה</t>
  </si>
  <si>
    <t>אוסף פיוטים ספרדי לתעניות ושבתות מיוחדות</t>
  </si>
  <si>
    <t>כתב יד פארמה די רוססי 1192</t>
  </si>
  <si>
    <t>אוסף פירושים על מגילת אסתר</t>
  </si>
  <si>
    <t>גניש, אשר (עורך)</t>
  </si>
  <si>
    <t>אוסף פסקי דין - 3 כר'</t>
  </si>
  <si>
    <t>ישראל. הרבנות הראשית. בית הדין הגדול לערעורין</t>
  </si>
  <si>
    <t>אוסף קונטרסים בעניני כשרות וחיזוק הדת</t>
  </si>
  <si>
    <t>ניו יורק - בית שמש</t>
  </si>
  <si>
    <t>אוסף קונטרסים בענינים שונים</t>
  </si>
  <si>
    <t>כ"ץ, אליהו בן אברהם אהרן</t>
  </si>
  <si>
    <t>תשמ"ח - תשנ"ט</t>
  </si>
  <si>
    <t>באר שבע</t>
  </si>
  <si>
    <t>אוסף שירי קודש</t>
  </si>
  <si>
    <t>דוד, יונה (עורך)</t>
  </si>
  <si>
    <t>אוסרי לגפן - 26 כר'</t>
  </si>
  <si>
    <t>שינפלד, יהודה</t>
  </si>
  <si>
    <t>אופל ובחן</t>
  </si>
  <si>
    <t>וובר, מרדכי אליעזר בן דוד</t>
  </si>
  <si>
    <t>אוצר אבות</t>
  </si>
  <si>
    <t>גרשוביץ, יונה בן ישראל יצחק</t>
  </si>
  <si>
    <t>אוצר אגדות החסידים - 13 כר'</t>
  </si>
  <si>
    <t>גוטמן, מנחם</t>
  </si>
  <si>
    <t>אוצר אגדות התורה - 7 כר'</t>
  </si>
  <si>
    <t>אוצר אגדות נ"ך - 3 כר'</t>
  </si>
  <si>
    <t>אוצר אגדות</t>
  </si>
  <si>
    <t>מילר, גבריאל בן חיים</t>
  </si>
  <si>
    <t>תרל"ז - תרס"א</t>
  </si>
  <si>
    <t>אוצר אגרות קודש</t>
  </si>
  <si>
    <t>לווין, אברהם חיים דוב הכהן</t>
  </si>
  <si>
    <t>מרקסון, אברהם מרדכי יוסף</t>
  </si>
  <si>
    <t>אוצר אמרי אבות - 5 כר'</t>
  </si>
  <si>
    <t>לרינמאן, צבי בן יעקב מאיר</t>
  </si>
  <si>
    <t>אוצר אפרים - 21 כר'</t>
  </si>
  <si>
    <t>שטיין, אפרים פישל בן חיים אריה לייב</t>
  </si>
  <si>
    <t>אוצר ארץ ישראל - 6 כר'</t>
  </si>
  <si>
    <t>אריאל, ישראל</t>
  </si>
  <si>
    <t>אוצר ביאורים  - יבמות</t>
  </si>
  <si>
    <t>גרין, יעקב יוסף</t>
  </si>
  <si>
    <t>אוצר בית דין הנהוג כיום</t>
  </si>
  <si>
    <t>בית המדרש דעת ותבונה</t>
  </si>
  <si>
    <t>אוצר בית ה'</t>
  </si>
  <si>
    <t>פרידמן, יהושע</t>
  </si>
  <si>
    <t>אוצר בלום</t>
  </si>
  <si>
    <t>ווייסהויז, אהרן צבי בן משה ניסן</t>
  </si>
  <si>
    <t>טלר, ישראל בן יהודה הלוי</t>
  </si>
  <si>
    <t>תר"ף</t>
  </si>
  <si>
    <t>יפו,</t>
  </si>
  <si>
    <t>מינצברג, פינחס מנחם ישעיה</t>
  </si>
  <si>
    <t>תרפ"ט - הקד'</t>
  </si>
  <si>
    <t>אוצר בלום - א - ב</t>
  </si>
  <si>
    <t>סאס, ישכר</t>
  </si>
  <si>
    <t>אוצר בר מצוה</t>
  </si>
  <si>
    <t>הכט, אפרים בן יעקב ישראל</t>
  </si>
  <si>
    <t>דרושים, הלכה ומנהג</t>
  </si>
  <si>
    <t>אוצר ברית אברהם - 2 כר'</t>
  </si>
  <si>
    <t>דרעי, אברהם בן יהודה</t>
  </si>
  <si>
    <t>אוצר ברכות המצוות</t>
  </si>
  <si>
    <t>האברפעלד, יוסף צבי בן יצחק אייזיק הלוי</t>
  </si>
  <si>
    <t>אוצר ברכת חתנים</t>
  </si>
  <si>
    <t>אוצר גט מעושה</t>
  </si>
  <si>
    <t>אוחנה, נהוראי יוסף בן שמעון מאיר</t>
  </si>
  <si>
    <t>אוצר גליוני דברי תורה &lt;סטוטשין&gt;</t>
  </si>
  <si>
    <t>זילבר, מרדכי מנשה</t>
  </si>
  <si>
    <t>אוצר גנזים</t>
  </si>
  <si>
    <t>טולידאנו, יעקב משה בן יהודה</t>
  </si>
  <si>
    <t>אוצר דבי אליהו</t>
  </si>
  <si>
    <t>ברנסדורפר, ידידיה</t>
  </si>
  <si>
    <t>אוצר דברי הפוסקים - 2 כר'</t>
  </si>
  <si>
    <t>וויס, שאול יחזקאל</t>
  </si>
  <si>
    <t>אוצר דברי חכמים ופתגמיהם - 2 כר'</t>
  </si>
  <si>
    <t>היימאן, אהרן בן מרדכי</t>
  </si>
  <si>
    <t>אוצר דברי לשון הקדש &lt;מילון לאדינו&gt;</t>
  </si>
  <si>
    <t>שאופלר, וויליאם גוטליב</t>
  </si>
  <si>
    <t>אוצר דברי רבינו</t>
  </si>
  <si>
    <t>הגר, משה יהושע בן חיים מאיר</t>
  </si>
  <si>
    <t>חסידות, תולדות עם ישראל, תנ"ך</t>
  </si>
  <si>
    <t>אוצר דוד</t>
  </si>
  <si>
    <t>גרובר, דוד</t>
  </si>
  <si>
    <t>אוצר דין רובו ככולו</t>
  </si>
  <si>
    <t>משדי, יואל רועי</t>
  </si>
  <si>
    <t>מגדל העמק</t>
  </si>
  <si>
    <t>אוצר דינים ומנהגים</t>
  </si>
  <si>
    <t>אייזנשטיין, יהודה דוד בן זאב וולף</t>
  </si>
  <si>
    <t>תרע"ז</t>
  </si>
  <si>
    <t>אוצר דינים תורת הקרבנות - 19 כר'</t>
  </si>
  <si>
    <t>מכון תורת הקרבנות</t>
  </si>
  <si>
    <t>אוצר דרושים נבחרים</t>
  </si>
  <si>
    <t>תרע"ח</t>
  </si>
  <si>
    <t>דרושים, שאר ספרי חז"ל</t>
  </si>
  <si>
    <t>אוצר דרשות ומאמרים - 3 כר'</t>
  </si>
  <si>
    <t>אלתר, פינחס מנחם בן אברהם מרדכי</t>
  </si>
  <si>
    <t>אוצר דרשות</t>
  </si>
  <si>
    <t>דרושים, דרושים</t>
  </si>
  <si>
    <t>אוצר האגדה</t>
  </si>
  <si>
    <t>פייערווערגער, מאיר בן יעקב יהודה</t>
  </si>
  <si>
    <t>אוצר האגרת</t>
  </si>
  <si>
    <t>אפשטיין, יוסף דוד הלוי</t>
  </si>
  <si>
    <t>אוצר האמונה</t>
  </si>
  <si>
    <t>שיק, אליעזר שלמה</t>
  </si>
  <si>
    <t>אוצר הבאורים והפירושים</t>
  </si>
  <si>
    <t>הכהן, פינחס יעקב בן ראובן</t>
  </si>
  <si>
    <t>אוצר הברית - 4 כר'</t>
  </si>
  <si>
    <t>ויסברג, יוסף דוד בן משה דוב</t>
  </si>
  <si>
    <t>אוצר הברכה - א</t>
  </si>
  <si>
    <t>סאפרין, חיים יעקב</t>
  </si>
  <si>
    <t>אוצר הגאונים החדש - 2 כר'</t>
  </si>
  <si>
    <t>אוצר הגאונים החדש</t>
  </si>
  <si>
    <t>אוצר הגאונים - מסכת עבודה זרה</t>
  </si>
  <si>
    <t>זייני, אליהו רחמים בן מאיר (עורך)</t>
  </si>
  <si>
    <t>אוצר הגאונים - יד (סנהדרין)</t>
  </si>
  <si>
    <t>טויבש, חיים צבי</t>
  </si>
  <si>
    <t>הלכה ומנהג, קבצים וכתבי עת, ספרי זכרון ויובל, שאלות ותשובות, שאלות ותשובות, תלמוד בבלי</t>
  </si>
  <si>
    <t>אוצר הגאונים - 13 כר'</t>
  </si>
  <si>
    <t>לווין, בנימין מנשה בן מאיר</t>
  </si>
  <si>
    <t>תרפ"ח - תש"ד</t>
  </si>
  <si>
    <t>אוצר הגדולים - 9 כר'</t>
  </si>
  <si>
    <t>הכהן, נפתלי יעקב</t>
  </si>
  <si>
    <t>תשכ"ז - תש"ל</t>
  </si>
  <si>
    <t>אוצר הגיוני יצחק</t>
  </si>
  <si>
    <t>אהלבוים, יצחק</t>
  </si>
  <si>
    <t>אוצר הגנוז - א</t>
  </si>
  <si>
    <t>שפירא, פנחס</t>
  </si>
  <si>
    <t>ביתר עלית</t>
  </si>
  <si>
    <t>אוצר הדרנים הדרת דוד - 2 כר'</t>
  </si>
  <si>
    <t>סולובייצ'יק, דוד אהרן בן בינוש</t>
  </si>
  <si>
    <t>תשי"א-תשל"ב</t>
  </si>
  <si>
    <t>אוצר הדרשות - 2 כר'</t>
  </si>
  <si>
    <t>יצהרי, מרדכי בן צדוק</t>
  </si>
  <si>
    <t>דרושים, נושאים שונים, תנ"ך</t>
  </si>
  <si>
    <t>אוצר ההדר - ארבעת המינים</t>
  </si>
  <si>
    <t>ברינר, יוסף יצחק חיים</t>
  </si>
  <si>
    <t>אוצר ההודיה לבת המצוה</t>
  </si>
  <si>
    <t>טאוב, יהודה</t>
  </si>
  <si>
    <t>אוצר ההלכה - 6 כר'</t>
  </si>
  <si>
    <t>אוסף חיבורים ע"ס שו"ע או"ח</t>
  </si>
  <si>
    <t>אוצר ההלכות והמנהגים</t>
  </si>
  <si>
    <t>אוצר ההלכות - 13 כר'</t>
  </si>
  <si>
    <t>טאוב, יהודה אריה בן אפרים מנחם</t>
  </si>
  <si>
    <t>אוצר ההפטרה</t>
  </si>
  <si>
    <t>אוצר ההרחקות</t>
  </si>
  <si>
    <t>גרוסמן, חיים מאיר דוד הלוי</t>
  </si>
  <si>
    <t>אוצר הזהב - פרקי אבות א</t>
  </si>
  <si>
    <t>אייכנשטיין, דוד בן שלמה יעקב זיידא</t>
  </si>
  <si>
    <t>אוצר הזהר - 4 כר'</t>
  </si>
  <si>
    <t>פריש, דניאל בן נפתלי הירצקא</t>
  </si>
  <si>
    <t>תשל"ו - תשל"ז</t>
  </si>
  <si>
    <t>אוצר הזמנים - 5 כר'</t>
  </si>
  <si>
    <t>בריסק, אהרן מרדכי בן אליהו יצחק</t>
  </si>
  <si>
    <t>אוצר החיי"ם - 2 כר'</t>
  </si>
  <si>
    <t>אוצר החיים &lt;עם באר אליהו&gt; - 4 כר'</t>
  </si>
  <si>
    <t>אוצר החיים - 12 כר'</t>
  </si>
  <si>
    <t>אוצר החיים</t>
  </si>
  <si>
    <t>תרפ"ה - תרצ"ח</t>
  </si>
  <si>
    <t>דוה Deva</t>
  </si>
  <si>
    <t>וייסברג, יוסף דוד - שיינברגר, יוסף</t>
  </si>
  <si>
    <t>ירחון</t>
  </si>
  <si>
    <t>אוצר החיים - א</t>
  </si>
  <si>
    <t>צהלון, יעקב בן יצחק</t>
  </si>
  <si>
    <t>תמ"ג</t>
  </si>
  <si>
    <t>אוצר החינוך - 2 כר'</t>
  </si>
  <si>
    <t>אוצר החכמה</t>
  </si>
  <si>
    <t>סופר, אברהם אליעזר בן יעקב חיים</t>
  </si>
  <si>
    <t>אוצר החנוכה - מתוך אנציקלופדיה תלמודית</t>
  </si>
  <si>
    <t>אנציקלופדיה תלמודית</t>
  </si>
  <si>
    <t>אוצר החסד קרן שמואל</t>
  </si>
  <si>
    <t>אוצר החסד קרן שמואל, ירושלים</t>
  </si>
  <si>
    <t>אוצר החשמל - מתוך אנציקלופדיה תלמודית</t>
  </si>
  <si>
    <t>אוצר הידיעות אסיפת גרשון - 3 כר'</t>
  </si>
  <si>
    <t>אייזנברגר, גרשון מנדל בן מיכאל</t>
  </si>
  <si>
    <t>אוצר הידיעות השלם - 2 כר'</t>
  </si>
  <si>
    <t>אוצר הידיעות - 7 כר'</t>
  </si>
  <si>
    <t>אוצר היהדות - 2 כר'</t>
  </si>
  <si>
    <t>מויאל, אליהו</t>
  </si>
  <si>
    <t>אוצר היהודי - 3 כר'</t>
  </si>
  <si>
    <t>אנגלשר, אברהם - הרשקוביץ, שמואל אהרן</t>
  </si>
  <si>
    <t>אוצר היחוד</t>
  </si>
  <si>
    <t>אדרי, דוד בן אליהו</t>
  </si>
  <si>
    <t>אוצר הירושלמי - 2 כר'</t>
  </si>
  <si>
    <t>הרשברג, אברהם מרדכי</t>
  </si>
  <si>
    <t>אוצר הכבוד</t>
  </si>
  <si>
    <t>אבולעפיא, טודרוס בן יוסף הלוי - ארלנגר, חיים אריה</t>
  </si>
  <si>
    <t>ורשא</t>
  </si>
  <si>
    <t>אבולעפיא, טודרוס בן יוסף הלוי</t>
  </si>
  <si>
    <t>תקס"ח</t>
  </si>
  <si>
    <t>אבולעפיה, טודרוס בן יוסף הלוי</t>
  </si>
  <si>
    <t>אוצר הכיפה - 2 כר'</t>
  </si>
  <si>
    <t>וסרמן, אריה דוד</t>
  </si>
  <si>
    <t>אוצר הכסף - שמיטת כספים ופרוזבול</t>
  </si>
  <si>
    <t>דייטש, פרץ טוביה הלוי</t>
  </si>
  <si>
    <t>אוצר הלכה</t>
  </si>
  <si>
    <t>אויערבאך, יצחק בן מנחם נתן</t>
  </si>
  <si>
    <t>אוצר הלכות המועדים</t>
  </si>
  <si>
    <t>וולף, יעקב יואל</t>
  </si>
  <si>
    <t>אוצר הלכות התלויות בממון</t>
  </si>
  <si>
    <t>אוצר הלכות נדרים</t>
  </si>
  <si>
    <t>אוצר הלכות ששכרן אריכות ימים</t>
  </si>
  <si>
    <t>אוצר הלכות - 10 כר'</t>
  </si>
  <si>
    <t>פרידמן, אברהם צבי</t>
  </si>
  <si>
    <t>אוצר המאמרים - 3 כר'</t>
  </si>
  <si>
    <t>ווייס, אשר זאב</t>
  </si>
  <si>
    <t>אוצר המדרשים - 15 כר'</t>
  </si>
  <si>
    <t>תשס"ב - תשס"</t>
  </si>
  <si>
    <t>אוצר המוסר</t>
  </si>
  <si>
    <t>אוצר המחברים - 2 כר'</t>
  </si>
  <si>
    <t>פלר, משה</t>
  </si>
  <si>
    <t>אוצר המחשבה של ר' צדוק הכהן מלובלין</t>
  </si>
  <si>
    <t>רבינוביץ, צדוק בן יעקב הכהן</t>
  </si>
  <si>
    <t>אוצר המים</t>
  </si>
  <si>
    <t>רוקח, שלום</t>
  </si>
  <si>
    <t>אוצר המכתבים</t>
  </si>
  <si>
    <t>הוסיאטין. חברת דובבי שפתי ישנים</t>
  </si>
  <si>
    <t>אוצר המכתבים - 3 כר'</t>
  </si>
  <si>
    <t>משאש, יוסף בן חיים</t>
  </si>
  <si>
    <t>אוצר המלך</t>
  </si>
  <si>
    <t>אוצר המלכות</t>
  </si>
  <si>
    <t>ציזנער, אלתר נפתלי (עורך)</t>
  </si>
  <si>
    <t>אוצר המנהגים - ביאלא</t>
  </si>
  <si>
    <t>רייכמן, זאב דוד</t>
  </si>
  <si>
    <t>אוצר המספרים</t>
  </si>
  <si>
    <t>זליגמאן, ישראל בן חיים דוד</t>
  </si>
  <si>
    <t>בלטימור Baltimore</t>
  </si>
  <si>
    <t>אוצר המעשיות - 2 כר'</t>
  </si>
  <si>
    <t>אוצר המעשיות - 3 כר'</t>
  </si>
  <si>
    <t>נענה, ראובן בן יעקב</t>
  </si>
  <si>
    <t>אוצר המשלים והפתגמים התימנים - א-ב</t>
  </si>
  <si>
    <t>אוצר המשלים והפתגמים</t>
  </si>
  <si>
    <t>דוידזון, ישראל בן דוד זאב</t>
  </si>
  <si>
    <t>טביוב, ישראל חיים</t>
  </si>
  <si>
    <t>אוצר המשנה - סדר ראשון פ"ב</t>
  </si>
  <si>
    <t>הורוויץ, שמריהו לייב בן דוב בר הלוי</t>
  </si>
  <si>
    <t>תרצ"ה - תרצ"ו</t>
  </si>
  <si>
    <t>משנה, נושאים שונים, תולדות עם ישראל</t>
  </si>
  <si>
    <t>אוצר המשפט - 23 כר'</t>
  </si>
  <si>
    <t>אוצר המשפט - 2 כר'</t>
  </si>
  <si>
    <t>רקובר, נחום בן חיים</t>
  </si>
  <si>
    <t>תשל"ה - תשל"ז</t>
  </si>
  <si>
    <t>אוצר הנפש - 3 כר'</t>
  </si>
  <si>
    <t>אוצר הסגולות והכוונות</t>
  </si>
  <si>
    <t>פרסברגר, בן ציון נחמיה בן נתנאל אשר</t>
  </si>
  <si>
    <t>אוצר הסגולות</t>
  </si>
  <si>
    <t>בן יעקב, אברהם</t>
  </si>
  <si>
    <t>אוצר הסגולות - 3 כר'</t>
  </si>
  <si>
    <t>מילט, אריה משה</t>
  </si>
  <si>
    <t>אוצר הסימנים לקורא בתורה - 2 כר'</t>
  </si>
  <si>
    <t>מרחבי, אבישי בן שלמה</t>
  </si>
  <si>
    <t>אוצר הסימנים</t>
  </si>
  <si>
    <t>אוחנה, יוסף</t>
  </si>
  <si>
    <t>אוצר הסיפורים - 20 כר'</t>
  </si>
  <si>
    <t>מושקוביץ, צבי בן זאב מאיר</t>
  </si>
  <si>
    <t>תשי"א - תשי"ט</t>
  </si>
  <si>
    <t>אוצר הספרא</t>
  </si>
  <si>
    <t>זעמבא, מנחם בן אלעזר</t>
  </si>
  <si>
    <t>נס ציונה Nes Ziyyona</t>
  </si>
  <si>
    <t>אוצר הספרים</t>
  </si>
  <si>
    <t>בן יעקב, יצחק אייזיק בן יעקב</t>
  </si>
  <si>
    <t>תרל"ז - תר"מ</t>
  </si>
  <si>
    <t>אוצר הספרים - ב</t>
  </si>
  <si>
    <t>זלאטקין, מנחם מענדל</t>
  </si>
  <si>
    <t>אוצר העזר</t>
  </si>
  <si>
    <t>אוצר העיון - 5 כר'</t>
  </si>
  <si>
    <t>ארנון, ישראל נח בן משה</t>
  </si>
  <si>
    <t>אוצר העיר - אוצר ב"ד</t>
  </si>
  <si>
    <t>גרינפלד, שמעון</t>
  </si>
  <si>
    <t>אוצר העירוב</t>
  </si>
  <si>
    <t>רפאלוב, יוסף בן נתנאל</t>
  </si>
  <si>
    <t>אוצר הפוסקים פרוספקט ב</t>
  </si>
  <si>
    <t>אוצר הפוסקים</t>
  </si>
  <si>
    <t>אוצר הפורים</t>
  </si>
  <si>
    <t>חסידות, מועדי ישראל</t>
  </si>
  <si>
    <t>אוצר הפירושים - ב</t>
  </si>
  <si>
    <t>מלבים, מאיר ליבוש בן יחיאל מיכל</t>
  </si>
  <si>
    <t>אוצר הפלאות - 4 כר'</t>
  </si>
  <si>
    <t>מכון אוצר הפלאות</t>
  </si>
  <si>
    <t>אוצר הפסח</t>
  </si>
  <si>
    <t>אשרי, אפרים בן דוב - איזראל, אברהם מאיר</t>
  </si>
  <si>
    <t>אוצר הפרנסה</t>
  </si>
  <si>
    <t>אוצר הפרפראות - פורים</t>
  </si>
  <si>
    <t>גרינבוים, נפתלי בן ישראל מרדכי</t>
  </si>
  <si>
    <t>אוצר הפרשה - 6 כר'</t>
  </si>
  <si>
    <t>אוצר הקדושה</t>
  </si>
  <si>
    <t>אוצר הקונטרסים מרי"ח ניחוח - 2 כר'</t>
  </si>
  <si>
    <t>אבוחצירא, רן יוסף חיים מסעוד בן משה</t>
  </si>
  <si>
    <t>עפולה</t>
  </si>
  <si>
    <t>אוצר הקונטרסים - 29 כר'</t>
  </si>
  <si>
    <t>אוצר הרבנים</t>
  </si>
  <si>
    <t>פרידמן, נתן צבי</t>
  </si>
  <si>
    <t>אוצר הש"ס - 5 כר'</t>
  </si>
  <si>
    <t>ווילליגער, מרדכי</t>
  </si>
  <si>
    <t>אוצר השבת - 2 כר'</t>
  </si>
  <si>
    <t>כץ, אשר אנשיל בן יהושע</t>
  </si>
  <si>
    <t>אוצר השבת</t>
  </si>
  <si>
    <t>אוצר השו"ת - 10 כר'</t>
  </si>
  <si>
    <t>מכון מהרש"ל</t>
  </si>
  <si>
    <t>אוצר השירה והפיוט - 5 כר'</t>
  </si>
  <si>
    <t>תרפ"ה - תרצ"ג</t>
  </si>
  <si>
    <t>אוצר השירים, החיבורים והדרשות של הרב יוסף חיים</t>
  </si>
  <si>
    <t>נושאים שונים, תולדות עם ישראל, תפלות בקשות פיוטים ושירה</t>
  </si>
  <si>
    <t>אוצר השלחן &lt;שלחן של ארבע - שלחן מלכים&gt;</t>
  </si>
  <si>
    <t>בחיי בן אשר אבן חלאוה - מה טוב, יאיר בן אברהם</t>
  </si>
  <si>
    <t>אוצר השלחן</t>
  </si>
  <si>
    <t>פישמן, מרדכי ישראל בן חנוך הענאך</t>
  </si>
  <si>
    <t>אוצר השמות לתלמוד בבלי - 5 כר'</t>
  </si>
  <si>
    <t>קוסובסקי, בנימין בן חיים יהושע בן-ציון</t>
  </si>
  <si>
    <t>אוצר השמות של מכילתא דרבי ישמעאל</t>
  </si>
  <si>
    <t>אוצר השמות</t>
  </si>
  <si>
    <t>שיסלוביץ, יהודה ליב בן מרדכי</t>
  </si>
  <si>
    <t>אוצר השמעתתא - בבא קמא</t>
  </si>
  <si>
    <t>בריסק, שמואל יהודה בן אליהו יצחק</t>
  </si>
  <si>
    <t>אוצר התהלים</t>
  </si>
  <si>
    <t>כהן, אברהם יעקב בן בן-ציון</t>
  </si>
  <si>
    <t>תש"ז - תש"י</t>
  </si>
  <si>
    <t>אוצר התוספות ומובאות התוספות - מכות</t>
  </si>
  <si>
    <t>הוצאת עוז והדר</t>
  </si>
  <si>
    <t>אוצר התוספות - 2 כר'</t>
  </si>
  <si>
    <t>יאמניק, מרדכי אריה הלוי (עורך)</t>
  </si>
  <si>
    <t>אוצר התורה</t>
  </si>
  <si>
    <t>תרפ"ט - תר"צ</t>
  </si>
  <si>
    <t>אוצר התורה - בראשית</t>
  </si>
  <si>
    <t>אלפס, בן ציון בן ירמיהו עקיבא</t>
  </si>
  <si>
    <t>תשי"ג</t>
  </si>
  <si>
    <t>שונות, תנ"ך</t>
  </si>
  <si>
    <t>הורוויץ, שמריהו ליב בן דוב בר הלוי</t>
  </si>
  <si>
    <t>לאנדא, אפרים בן ישראל</t>
  </si>
  <si>
    <t>אוצר התורה - 5 כר'</t>
  </si>
  <si>
    <t>שלזינגר, אליהו בן אהרן צבי</t>
  </si>
  <si>
    <t>אוצר התמונות</t>
  </si>
  <si>
    <t>אייזנשטאט, בן-ציון בן משה</t>
  </si>
  <si>
    <t>אוצר התפילה &lt;אנציקלופדיה תלמודית&gt;</t>
  </si>
  <si>
    <t>קאהן, דוד</t>
  </si>
  <si>
    <t>אוצר התרומה - 2 כר'</t>
  </si>
  <si>
    <t>כולל שע"י אורחות התורה</t>
  </si>
  <si>
    <t>אוצר התשובות - 3 כר'</t>
  </si>
  <si>
    <t>אביטן, דוד בן משה</t>
  </si>
  <si>
    <t>אוצר התשובות - חו"מ שו-של</t>
  </si>
  <si>
    <t>מכון מאור החושן</t>
  </si>
  <si>
    <t>אוצר זוטא</t>
  </si>
  <si>
    <t>ערמון, חיים טוב</t>
  </si>
  <si>
    <t>אוצר חביב - 2 כר'</t>
  </si>
  <si>
    <t>הועד להוצאת דברי רבותינו - ישיבת כפר חסידים</t>
  </si>
  <si>
    <t>אוצר חידושים - 4 כר'</t>
  </si>
  <si>
    <t>אסופת ביאורים וחידושים מגאוני הדורות</t>
  </si>
  <si>
    <t>אוצר חיים</t>
  </si>
  <si>
    <t>ברודא, חיים צבי הירש בן יהושע</t>
  </si>
  <si>
    <t>גרליק, חיים עוזר בן ירוחם</t>
  </si>
  <si>
    <t>הלוי, ישועה בן יצחק</t>
  </si>
  <si>
    <t>אוצר חיים - 5 כר'</t>
  </si>
  <si>
    <t>צוקרמן, חיים יעקב בן שמואל הלוי</t>
  </si>
  <si>
    <t>אוצר חיים - 2 כר'</t>
  </si>
  <si>
    <t>קיצה, חיים בן יצחק</t>
  </si>
  <si>
    <t>אוצר חיים - 3 כר'</t>
  </si>
  <si>
    <t>שכטר, חיים</t>
  </si>
  <si>
    <t>תרצ"ז - תרצ"ט</t>
  </si>
  <si>
    <t>זמושץ' Zamosc</t>
  </si>
  <si>
    <t>אוצר חכמי התלמוד</t>
  </si>
  <si>
    <t>מיזליש, מאיר</t>
  </si>
  <si>
    <t>אוצר חלוף מנהגים</t>
  </si>
  <si>
    <t>החילוקים שבין אנשי מזרח ובני ארץ-ישראל</t>
  </si>
  <si>
    <t>אוצר חמדת ימים</t>
  </si>
  <si>
    <t>קוסובסקי שחור, דוד שלמה בן יצחק אברהם</t>
  </si>
  <si>
    <t>אוצר חנוך הילדים</t>
  </si>
  <si>
    <t>אוצר טהרה</t>
  </si>
  <si>
    <t>קליין, שלמה דוד בן יוסף</t>
  </si>
  <si>
    <t>אוצר טוב - 8 כר'</t>
  </si>
  <si>
    <t>דברים עתיקים מתוך כתבי יד מועתקים</t>
  </si>
  <si>
    <t>אוצר טעמי המלך</t>
  </si>
  <si>
    <t>קלאניצקי-קליין, שלמה זלמן בן יעקב</t>
  </si>
  <si>
    <t>אוצר י"ד החיים &lt;מהדורה חדשה&gt;</t>
  </si>
  <si>
    <t>באב"ד, ישכר דוב בן אברהם</t>
  </si>
  <si>
    <t>הלכה ומנהג, מועדי ישראל, משנה, משנה, נושאים שונים, שלחן ערוך ומפרשיו, תלמוד בבלי, תלמוד בבלי, תלמוד בבלי, תנ"ך</t>
  </si>
  <si>
    <t>אוצר י"ד החיים</t>
  </si>
  <si>
    <t>אוצר יחיאל</t>
  </si>
  <si>
    <t>זק"ש, יחיאל</t>
  </si>
  <si>
    <t>אוצר יראת ה'</t>
  </si>
  <si>
    <t>גדאנסקי, אברהם אליעזר בן צבי</t>
  </si>
  <si>
    <t>רמת גן Ramat Gan</t>
  </si>
  <si>
    <t>אוצר יראת שמים</t>
  </si>
  <si>
    <t>דיין, יוסף חיים בן טוביה</t>
  </si>
  <si>
    <t>אוצר ירושלים והמקדש</t>
  </si>
  <si>
    <t>אוצר ישעך</t>
  </si>
  <si>
    <t>סופר, יעקב חיים בן יצחק שלום</t>
  </si>
  <si>
    <t>אוצר ישראל השלם</t>
  </si>
  <si>
    <t>בלום, מרדכי הכהן</t>
  </si>
  <si>
    <t>אוצר ישראל</t>
  </si>
  <si>
    <t>קטלוג לתערוכת ספרים ומכירה פומבית</t>
  </si>
  <si>
    <t>אוצר כבוד אב ואם</t>
  </si>
  <si>
    <t>תעסה, צוריאל</t>
  </si>
  <si>
    <t>אוצר כוונת המצוות</t>
  </si>
  <si>
    <t>אוצר כל כלי חמדה</t>
  </si>
  <si>
    <t>ליפשיץ, שמריהו יצחק בן אליעזר</t>
  </si>
  <si>
    <t>אוצר כל מנהגי ישרון - 2 כר'</t>
  </si>
  <si>
    <t>הירשוביץ, אברהם אליעזר בן יצחק אייזיק</t>
  </si>
  <si>
    <t>אוצר כל</t>
  </si>
  <si>
    <t>פרלא, קלמן אביגדור בן ברוך</t>
  </si>
  <si>
    <t>אוצר כתבי עת תורניים</t>
  </si>
  <si>
    <t>לווין, יצחק</t>
  </si>
  <si>
    <t>אוצר ל"ג בעומר וימי הספירה</t>
  </si>
  <si>
    <t>אוצר לב</t>
  </si>
  <si>
    <t>סטל, יעקב ישראל בן שמואל דב</t>
  </si>
  <si>
    <t>אוצר ליקוטים - ספר יונה</t>
  </si>
  <si>
    <t>אוצר ליקוטים</t>
  </si>
  <si>
    <t>אוצר ליקוטים - 2 כר'</t>
  </si>
  <si>
    <t>הופמן, יצחק</t>
  </si>
  <si>
    <t>אוצר לנשים</t>
  </si>
  <si>
    <t>אוצר לעזי רש"י</t>
  </si>
  <si>
    <t>קטן, משה</t>
  </si>
  <si>
    <t>אוצר לשון המדרש</t>
  </si>
  <si>
    <t>הורוויץ, אברהם מרדכי בן יהודה נחום הלוי אנגל</t>
  </si>
  <si>
    <t>אוצר לשון המקרא - ג</t>
  </si>
  <si>
    <t>לוונשטאם, שמואל אפרים בן מארטין - בלאו, יהושע - קדרי, מנחם צבי</t>
  </si>
  <si>
    <t>אוצר לשון המקרא - 2 כר'</t>
  </si>
  <si>
    <t>לוונשטאם, שמואל אפרים בן מארטין - בלאו, יהושע</t>
  </si>
  <si>
    <t>אוצר לשון המשנה - 2 כר'</t>
  </si>
  <si>
    <t>קוסובסקי, חיים יהושע בן-ציון בן אברהם אבלי</t>
  </si>
  <si>
    <t>תרע"ד-תרפ"ז</t>
  </si>
  <si>
    <t>אוצר לשון הקודש שלבני תימן</t>
  </si>
  <si>
    <t>רצהבי, יהודה</t>
  </si>
  <si>
    <t>אוצר לשון הרמב"ם - 4 כר'</t>
  </si>
  <si>
    <t>אסף, דוד</t>
  </si>
  <si>
    <t>תש"ך</t>
  </si>
  <si>
    <t>אוצר לשון התוספתא - 6 כר'</t>
  </si>
  <si>
    <t>תרצ"ג-תשכ"א</t>
  </si>
  <si>
    <t>ירושלים,</t>
  </si>
  <si>
    <t>אוצר לשון התלמוד - 42 כר'</t>
  </si>
  <si>
    <t>תשי"ד - תשמ"ט</t>
  </si>
  <si>
    <t>אוצר לשון התלמודים והמדרשים &lt;מהדורה ראשונה&gt; - 4 כר'</t>
  </si>
  <si>
    <t>לוי, יעקב בן יצחק</t>
  </si>
  <si>
    <t>1876-1889.</t>
  </si>
  <si>
    <t>לייפציג</t>
  </si>
  <si>
    <t>אוצר לשון התלמודים והמדרשים - 5 כר'</t>
  </si>
  <si>
    <t>ברלין-ווינא,</t>
  </si>
  <si>
    <t>אוצר לשון התנאים - 14 כר'</t>
  </si>
  <si>
    <t>קוסובסקי, בנימין בן חיים יהושע בן ציון</t>
  </si>
  <si>
    <t>אוצר לשון חכמים - 2 כר'</t>
  </si>
  <si>
    <t>אוצר לשון תלמוד ירושלמי - אוצר השמות</t>
  </si>
  <si>
    <t>קוסובסקי , משה בן חיים יהושע</t>
  </si>
  <si>
    <t>אוצר לשון תלמוד ירושלמי - 7 כר'</t>
  </si>
  <si>
    <t>נושאים שונים, תלמוד ירושלמי</t>
  </si>
  <si>
    <t>אוצר לשונות ירושלמיים - 2 כר'</t>
  </si>
  <si>
    <t>עסיס, משה בן שלמה</t>
  </si>
  <si>
    <t>אוצר מאמרי הלכה - 3 כר'</t>
  </si>
  <si>
    <t>חסידה, ישראל יצחק בן מנחם זאב</t>
  </si>
  <si>
    <t>תשי"ט - תש"כ</t>
  </si>
  <si>
    <t>אוצר מאמרי חז"ל</t>
  </si>
  <si>
    <t>אוצר מאמרי תנ"ך</t>
  </si>
  <si>
    <t>נושאים שונים, שונות, תנ"ך</t>
  </si>
  <si>
    <t>אוצר מאמרים בין השמשות</t>
  </si>
  <si>
    <t>וינגרטן, יעקב חנניה</t>
  </si>
  <si>
    <t>אוצר מאמרים לב ישראל</t>
  </si>
  <si>
    <t>נולמן, ישראל לייב</t>
  </si>
  <si>
    <t>אוצר מאמרים - 2 כר'</t>
  </si>
  <si>
    <t>לבי"א, אליעזר ליפמאן בן יצחק אהרן</t>
  </si>
  <si>
    <t>מועדי ישראל, מועדי ישראל, מועדי ישראל</t>
  </si>
  <si>
    <t>אוצר מאמרים - 5 כר'</t>
  </si>
  <si>
    <t>רומפלער, אהרן צבי</t>
  </si>
  <si>
    <t>אוצר מדרשי הזהר (המבואר) - בראשית</t>
  </si>
  <si>
    <t>אוצר מדרשים כתבי יד - ב</t>
  </si>
  <si>
    <t>וורטהיימר, שלמה אהרן בן יעקב</t>
  </si>
  <si>
    <t>תרע"ג - תרע"ד</t>
  </si>
  <si>
    <t>אוצר מדרשים - 2 כר'</t>
  </si>
  <si>
    <t>תרע"ה</t>
  </si>
  <si>
    <t>אוצר מוסר ומדות</t>
  </si>
  <si>
    <t>אוצר מוסרי חז"ל</t>
  </si>
  <si>
    <t>ברזל, אהרן יוסף</t>
  </si>
  <si>
    <t>אוצר מחמדים</t>
  </si>
  <si>
    <t>גוטליב, נתן בן יוסף</t>
  </si>
  <si>
    <t>אוצר מכתבי קודש חלקת יהושע</t>
  </si>
  <si>
    <t>רבינוביץ, יחיאל יהושע בן ירחמיאל צבי</t>
  </si>
  <si>
    <t>אוצר מכתבים לאשה ולבת - 2 כר'</t>
  </si>
  <si>
    <t>אוצר מכתבים - 2 כר'</t>
  </si>
  <si>
    <t>אוצר מנהגי חסידים - דרכי יואל</t>
  </si>
  <si>
    <t>טייטלבוים, יואל בן חנוך העניך</t>
  </si>
  <si>
    <t>אוצר מנהגי נישואין</t>
  </si>
  <si>
    <t>דבורקס, אליקום בן ישעיהו אריה לייב</t>
  </si>
  <si>
    <t>אוצר מסעות</t>
  </si>
  <si>
    <t>נושאים שונים, נושאים שונים</t>
  </si>
  <si>
    <t>אוצר מפרשי הרמב"ם - 5 כר'</t>
  </si>
  <si>
    <t>מכון אוצר מפרשי הרמב"ם</t>
  </si>
  <si>
    <t>אוצר מפרשי התורה - במדבר א</t>
  </si>
  <si>
    <t>אוצר מפרשי התנ"ך- עזרא</t>
  </si>
  <si>
    <t>אוצר מצוות תפילין</t>
  </si>
  <si>
    <t>אוצר מקור ישראל - 3 כר'</t>
  </si>
  <si>
    <t>וייספיש, ישראל משה בן ברוך</t>
  </si>
  <si>
    <t>אוצר מרגליות - 2 כר'</t>
  </si>
  <si>
    <t>מילר, פנחס</t>
  </si>
  <si>
    <t>דרושים, דרושים, מועדי ישראל, מחשבה ומוסר, נושאים שונים</t>
  </si>
  <si>
    <t>אוצר משלי חסידים - 4 כר'</t>
  </si>
  <si>
    <t>זריצקי, דוד בן אשר</t>
  </si>
  <si>
    <t>תשי"ז - תשי"ט</t>
  </si>
  <si>
    <t>אוצר משלי חסידים - חב"ד</t>
  </si>
  <si>
    <t>זריצקי, דוד</t>
  </si>
  <si>
    <t>אוצר משניות - 10 כר'</t>
  </si>
  <si>
    <t>אוצר נגינות ישראל - 4 כר'</t>
  </si>
  <si>
    <t>אידלסון, אברהם צבי בן יהודה</t>
  </si>
  <si>
    <t>תרפ"ב - תרפ"ח</t>
  </si>
  <si>
    <t>אוצר נחמד על שיר הכבוד</t>
  </si>
  <si>
    <t>מילר, בנימין זאב משה הכהן</t>
  </si>
  <si>
    <t>אנטוורפן</t>
  </si>
  <si>
    <t>אוצר נחמד</t>
  </si>
  <si>
    <t>גרייזמאן, זאב וולף יעקב בן שמואל</t>
  </si>
  <si>
    <t>דבליצקי, שריה בן בצלאל יעקב</t>
  </si>
  <si>
    <t>דרושים, מועדי ישראל, קבלה</t>
  </si>
  <si>
    <t>וויליגר, מרדכי בן משה</t>
  </si>
  <si>
    <t>כולל דברי יואל</t>
  </si>
  <si>
    <t>תשע"ג - תשע"ד</t>
  </si>
  <si>
    <t>הלכה ומנהג, חסידות, קבצים וכתבי עת, ספרי זכרון ויובל</t>
  </si>
  <si>
    <t>סילברסטון, גדליהו בן ישעיהו מאיר</t>
  </si>
  <si>
    <t>סט. לואיס St. Louis</t>
  </si>
  <si>
    <t>תיקונים. שונים</t>
  </si>
  <si>
    <t>תק"ך</t>
  </si>
  <si>
    <t>אוצר נישואין</t>
  </si>
  <si>
    <t>סג"ל וואזנער, יצחק שמעון</t>
  </si>
  <si>
    <t>אוצר סגולות החתם סופר</t>
  </si>
  <si>
    <t>סופר, משה בן שמואל</t>
  </si>
  <si>
    <t>אוצר ספרי הגר"א</t>
  </si>
  <si>
    <t>וינוגרד, ישעיהו</t>
  </si>
  <si>
    <t>אוצר ספרי מזוזה</t>
  </si>
  <si>
    <t>אוצר עדות באיסורין</t>
  </si>
  <si>
    <t>רוטנר, יהודה דוב</t>
  </si>
  <si>
    <t>אוצר עדן גנוז</t>
  </si>
  <si>
    <t>אבולעפיא, אברהם</t>
  </si>
  <si>
    <t>אוצר ערכי התורה באהלי יששכר - 7 כר'</t>
  </si>
  <si>
    <t>וינברג, אברהם יהושע העשל בן יששכר ליב</t>
  </si>
  <si>
    <t>אוצר פדיון הבן - 2 כר'</t>
  </si>
  <si>
    <t>אוצר פירושי הגדה של פסח</t>
  </si>
  <si>
    <t>אוצר פירושים על התורה</t>
  </si>
  <si>
    <t>אוצר פירושים</t>
  </si>
  <si>
    <t>אוצר פירושים - הגדה של פסח</t>
  </si>
  <si>
    <t>הגדה של פסח</t>
  </si>
  <si>
    <t>אוצר פניני תורה וחסידות - 2 כר'</t>
  </si>
  <si>
    <t>אוצר פסקי אבידה</t>
  </si>
  <si>
    <t>אוצר פסקי גרים</t>
  </si>
  <si>
    <t>אוצר פסקי המועדים - 2 כר'</t>
  </si>
  <si>
    <t>אוצר פסקי הראשונים על הלכות פסח</t>
  </si>
  <si>
    <t>ציננער, גבריאל</t>
  </si>
  <si>
    <t>אוצר פסקי חלה</t>
  </si>
  <si>
    <t>אוצר פסקי מקואות</t>
  </si>
  <si>
    <t>אוצר פסקי נדרים</t>
  </si>
  <si>
    <t>אוצר פסקי נטילת ידים</t>
  </si>
  <si>
    <t>אוצר פסקי פורים</t>
  </si>
  <si>
    <t>אוצר פסקי שביעית</t>
  </si>
  <si>
    <t>אוצר פסקים- חול המועד ויו"ט</t>
  </si>
  <si>
    <t>אוצר פרושים וציורים - הגדה של פסח</t>
  </si>
  <si>
    <t>אוצר פרקי אבות</t>
  </si>
  <si>
    <t>ווייס, יוסף שלמה</t>
  </si>
  <si>
    <t>לוס אנג'לס</t>
  </si>
  <si>
    <t>אוצר פתגמים ושיחות - 2 כר'</t>
  </si>
  <si>
    <t>ברנדסדורפר, יחזקאל שרגא</t>
  </si>
  <si>
    <t>אוצר קובץ מפרשים על סדר הדף - 10 כר'</t>
  </si>
  <si>
    <t>כולל אברכים באבוב ביתר עלית</t>
  </si>
  <si>
    <t>אוצר קובץ מפרשים עם תוספת מר"מ - קידושין פרק האומר</t>
  </si>
  <si>
    <t>וקבץ מפרשים מוערים</t>
  </si>
  <si>
    <t>אוצר קובץ מפרשים - 6 כר'</t>
  </si>
  <si>
    <t>פיינשטיין, רפאל בן חיים</t>
  </si>
  <si>
    <t>אוצר קידושין באגדה</t>
  </si>
  <si>
    <t>פולק, רפאל דוד בן שמואל אברהם</t>
  </si>
  <si>
    <t>אוצר ראשונים - מו"ק</t>
  </si>
  <si>
    <t>אוצר ראשונים</t>
  </si>
  <si>
    <t>אוצר שדי חמד - שבת</t>
  </si>
  <si>
    <t>מדיני, חיים חזקיהו - גרינוואלד, ישעיהו מנחם מנדל (עורך)</t>
  </si>
  <si>
    <t>אוצר שובבים</t>
  </si>
  <si>
    <t>אוצר שלום בית</t>
  </si>
  <si>
    <t>אוצר שלום</t>
  </si>
  <si>
    <t>ווייס, שלום בן צבי הכהן</t>
  </si>
  <si>
    <t>נושאים שונים, נושאים שונים, תלמוד בבלי, תלמוד בבלי, תלמוד ירושלמי</t>
  </si>
  <si>
    <t>אוצר שלום - ב</t>
  </si>
  <si>
    <t>שלום, זכריה</t>
  </si>
  <si>
    <t>אוצר שמעון</t>
  </si>
  <si>
    <t>בן דוד, שמעון</t>
  </si>
  <si>
    <t>אוצר שרשי לשון הקדש - 2 כר'</t>
  </si>
  <si>
    <t>בוכסטורף, יוהאנס (הראשון)</t>
  </si>
  <si>
    <t>אוצר תהלות ישראל - 14 כר'</t>
  </si>
  <si>
    <t>סחרוב, ישראל מנחם מנדל בן ירוחם פישל</t>
  </si>
  <si>
    <t>תשט"ז - תשכ"ז</t>
  </si>
  <si>
    <t>אוצר תורה שבעל פה</t>
  </si>
  <si>
    <t>אוצר תורה</t>
  </si>
  <si>
    <t>גרשונוביץ, יונה בן ישראל יצחק</t>
  </si>
  <si>
    <t>משנה, תלמוד בבלי, תלמוד בבלי, תלמוד בבלי</t>
  </si>
  <si>
    <t>אוצר תמונות מילידי הארץ</t>
  </si>
  <si>
    <t>אוצר תשובות לשאלות המצויות - א</t>
  </si>
  <si>
    <t>אוצרות אדמו"ר ר' צדוק הכהן מלובלין</t>
  </si>
  <si>
    <t>צוריאל, משה בן יחזקאל</t>
  </si>
  <si>
    <t>אוצרות אמונה</t>
  </si>
  <si>
    <t>אוצרות ארץ חמדה</t>
  </si>
  <si>
    <t>אוצרות בן מלך - 3 כר'</t>
  </si>
  <si>
    <t>מינצברג, נתן יהודה לייב בן אלימלך</t>
  </si>
  <si>
    <t>אוצרות גדולי ישראל - 4 כר'</t>
  </si>
  <si>
    <t>אוצרות דברי יציב - 2 כר'</t>
  </si>
  <si>
    <t>הלברשטאם, יקותיאל יהודה בן צבי הירש</t>
  </si>
  <si>
    <t>אוצרות דוד - 2 כר'</t>
  </si>
  <si>
    <t>פינטו, דוד חנניה בן משה אהרן</t>
  </si>
  <si>
    <t>אוצרות דעה רבית - 3 כר'</t>
  </si>
  <si>
    <t>פלדמן, דוד צבי בן משה זאב</t>
  </si>
  <si>
    <t>אוצרות דעת - אהלות א - ג</t>
  </si>
  <si>
    <t>ליקוט ראשונים ואחרונים</t>
  </si>
  <si>
    <t>אוצרות דרך ישרה - 13 כר'</t>
  </si>
  <si>
    <t>כהן, ישראל בן צבי</t>
  </si>
  <si>
    <t>אוצרות האגדה - 20 כר'</t>
  </si>
  <si>
    <t>זכאי, אהרן</t>
  </si>
  <si>
    <t>אוצרות הב"ח</t>
  </si>
  <si>
    <t>סירקיש, יואל בן שמואל</t>
  </si>
  <si>
    <t>נושאים שונים, תולדות עם ישראל, תלמוד בבלי</t>
  </si>
  <si>
    <t>אוצרות הבית היהודי</t>
  </si>
  <si>
    <t>ירושלמי, שמעון</t>
  </si>
  <si>
    <t>אוצרות הברכה - 2 כר'</t>
  </si>
  <si>
    <t>ברזל, יוסף צבי</t>
  </si>
  <si>
    <t>אוצרות הגר"א</t>
  </si>
  <si>
    <t>אוצרות ההלכה - 9 כר'</t>
  </si>
  <si>
    <t>אוצרות ההלכה - 3 כר'</t>
  </si>
  <si>
    <t>ירחי, מאיר בן שמעון</t>
  </si>
  <si>
    <t>אוצרות הזמן - 3 כר'</t>
  </si>
  <si>
    <t>מילט, אריה משה יוסף</t>
  </si>
  <si>
    <t>אוצרות החן</t>
  </si>
  <si>
    <t>אוצרות הטהרה</t>
  </si>
  <si>
    <t>קוריץ, שמואל</t>
  </si>
  <si>
    <t>אוצרות היחוד</t>
  </si>
  <si>
    <t>ליכטנשטיין, שמואל אהרן בן יוסף יעקב</t>
  </si>
  <si>
    <t>אוצרות היכל יוסף</t>
  </si>
  <si>
    <t>ממו, יוסף</t>
  </si>
  <si>
    <t>תשע"א;</t>
  </si>
  <si>
    <t>בת ים</t>
  </si>
  <si>
    <t>אוצרות הים</t>
  </si>
  <si>
    <t>אנסבכר, יצחק משה</t>
  </si>
  <si>
    <t>אוצרות הים - ברכות</t>
  </si>
  <si>
    <t>הורביץ, מתיתיהו ישראל בן שמואל</t>
  </si>
  <si>
    <t>אוצרות הירושלמי</t>
  </si>
  <si>
    <t>בל"ס, אברהם הכהן</t>
  </si>
  <si>
    <t>תלמוד ירושלמי, תנ"ך</t>
  </si>
  <si>
    <t>אוצרות הכתב והקבלה</t>
  </si>
  <si>
    <t>אוצרות המדרש - 3 כר'</t>
  </si>
  <si>
    <t>קופרמן, הלל בן יהודה</t>
  </si>
  <si>
    <t>אוצרות המוסר - 2 כר'</t>
  </si>
  <si>
    <t>אוצרות המלבי"ם</t>
  </si>
  <si>
    <t>אוצרות המלך</t>
  </si>
  <si>
    <t>לוריא, מאיר - כץ שרגא צבי</t>
  </si>
  <si>
    <t>קמיל, מרדכי בן אליעזר ליטמן הכהן</t>
  </si>
  <si>
    <t>אוצרות המפרשים &lt;יונה&gt;</t>
  </si>
  <si>
    <t>קרביץ, משה בן יעקב מאיר</t>
  </si>
  <si>
    <t>אוצרות המפרשים &lt;מגילת רות&gt; - בית הממלכה</t>
  </si>
  <si>
    <t>אוצרות המשפט - 6 כר'</t>
  </si>
  <si>
    <t>פלדמן, ד.צ. ברמ"ז הלוי</t>
  </si>
  <si>
    <t>אוצרות הסופר - 19 כר'</t>
  </si>
  <si>
    <t>אוצרות הפוסקים - שחיטה</t>
  </si>
  <si>
    <t>עובדיה, יעקב - בירדוגו, מאיר</t>
  </si>
  <si>
    <t>אוצרות הפוסקים - אורח חיים</t>
  </si>
  <si>
    <t>עובדיה, יעקב</t>
  </si>
  <si>
    <t>אוצרות הרב יצחק אברבנאל</t>
  </si>
  <si>
    <t>אוצרות הרב נצי"ב (אוצרות רש"ר הירש)</t>
  </si>
  <si>
    <t>אוצרות הרי"ף - 2 כר'</t>
  </si>
  <si>
    <t>פינטו, יאשיהו בן יוסף (רי"ף)</t>
  </si>
  <si>
    <t>אשדודTunis</t>
  </si>
  <si>
    <t>אוצרות הרמב"ם (אוצרות מהר"ל)</t>
  </si>
  <si>
    <t>אוצרות הש"ס - 3 כר'</t>
  </si>
  <si>
    <t>אוצרות השביעית</t>
  </si>
  <si>
    <t>אדלר, בנימין בן משה</t>
  </si>
  <si>
    <t>אוצרות השבת</t>
  </si>
  <si>
    <t>אוצרות השל"ה - 2 כר'</t>
  </si>
  <si>
    <t>הורוויץ, ישעיה בן אברהם הלוי</t>
  </si>
  <si>
    <t>אוצרות השמיטה לחכמי תימן</t>
  </si>
  <si>
    <t>לוי, מאיר ליאור בן יוסף</t>
  </si>
  <si>
    <t>אוצרות התורה &lt;תורה&gt; - 5 כר'</t>
  </si>
  <si>
    <t>כהן, אליהו חיים</t>
  </si>
  <si>
    <t>אוצרות התורה - 2 כר'</t>
  </si>
  <si>
    <t>אוצרות התפילה</t>
  </si>
  <si>
    <t>אוצרות זרע קודש</t>
  </si>
  <si>
    <t>קליין, שמואל (עורך)</t>
  </si>
  <si>
    <t>מועדי ישראל, משנה, נושאים שונים, שאר ספרי חז"ל, תלמוד בבלי, תלמוד בבלי, תנ"ך, תנ"ך, תפלות בקשות פיוטים ושירה</t>
  </si>
  <si>
    <t>אוצרות חז"ל</t>
  </si>
  <si>
    <t>רבינוביץ, אלחנן יעקב דוד בן לוי הכהן</t>
  </si>
  <si>
    <t>אוצרות חיים &lt;בריש גלי&gt;</t>
  </si>
  <si>
    <t>וויטאל, חיים בן יוסף - גרויז, יהושע שלמה</t>
  </si>
  <si>
    <t>אוצרות חיים &lt;ע"פ דברי חיים דב&gt; - 2 כר'</t>
  </si>
  <si>
    <t>וויטאל, חיים בן יוסף - וויסברג חיים דב</t>
  </si>
  <si>
    <t>אוצרות חיים &lt;פתח לאוצר&gt;</t>
  </si>
  <si>
    <t>ויטאל, חיים בן יוסף</t>
  </si>
  <si>
    <t>אוצרות חיים &lt;עם פירוש דעת קדושים&gt;</t>
  </si>
  <si>
    <t>יודייקין, שמואל יצחק גד הכהן</t>
  </si>
  <si>
    <t>אוצרות חיים עם ביאור אור החסידות</t>
  </si>
  <si>
    <t>מכון יסוד החסידות</t>
  </si>
  <si>
    <t>אוצרות חיים עם ביאור אור עולם - 2 כר'</t>
  </si>
  <si>
    <t>שיינברגר, מרדכי בן מנחם מאניש</t>
  </si>
  <si>
    <t>אור הגנוז</t>
  </si>
  <si>
    <t>אוצרות חיים עם הגהות איפה שלמה, והגהות הרב יהודה פתייא ז"ל</t>
  </si>
  <si>
    <t>אוצרות חיים - תהלות יוסף</t>
  </si>
  <si>
    <t>אוצרות חיים - 2 כר'</t>
  </si>
  <si>
    <t>וויטאל, חיים בן יוסף - צרור, יצחק ברוך</t>
  </si>
  <si>
    <t>אוצרות חיים -  עם פירוש טיב החיים</t>
  </si>
  <si>
    <t>וויטאל, חיים בן יוסף - רבינוביץ, גמליאל בן לוי הכהן</t>
  </si>
  <si>
    <t>אוצרות חיים - 9 כר'</t>
  </si>
  <si>
    <t>תר"ד</t>
  </si>
  <si>
    <t>אוצרות חתם סופר - בראשית ב</t>
  </si>
  <si>
    <t>סופר, משה בן שמואל  - שלמיוק, משה בן דוד</t>
  </si>
  <si>
    <t>אוצרות חתם סופר - בראשית א</t>
  </si>
  <si>
    <t>סופר, משה בן שמואל -  שלמיוק, משה בן דוד</t>
  </si>
  <si>
    <t>אוצרות יהושע</t>
  </si>
  <si>
    <t>שאול, יהושע בן עזרא</t>
  </si>
  <si>
    <t>דרושים, הלכה ומנהג, מועדי ישראל, מחשבה ומוסר, תלמוד בבלי</t>
  </si>
  <si>
    <t>אוצרות יום טוב</t>
  </si>
  <si>
    <t>הלר, גרשון שאול יום-טוב ליפמאן בן נתן הלוי</t>
  </si>
  <si>
    <t>אוצרות יוסף &lt;טוב רא"י - חכמי טבריה&gt;</t>
  </si>
  <si>
    <t>ילוז, יוסף חיים בן אליהו - ברדא, אריה (מהדיר)</t>
  </si>
  <si>
    <t>אוצרות יוסף</t>
  </si>
  <si>
    <t>יוסף, דוד בן עובדיה</t>
  </si>
  <si>
    <t>הלכה ומנהג, משנה</t>
  </si>
  <si>
    <t>מיליו-מוסקאט, יוסף בן משה</t>
  </si>
  <si>
    <t>משנה, שאר ספרי חז"ל, תנ"ך, תנ"ך</t>
  </si>
  <si>
    <t>אוצרות יוסף - 6 כר'</t>
  </si>
  <si>
    <t>ענגיל, יוסף בן יהודה</t>
  </si>
  <si>
    <t>אוצרות יעקב - 2 כר'</t>
  </si>
  <si>
    <t>אוצרות יעקב - מנחת יעקב</t>
  </si>
  <si>
    <t>קליין, יעקב יצחק בן שלמה זלמן צבי</t>
  </si>
  <si>
    <t>אוצרות ירושלים (פרושים) - 18 כר'</t>
  </si>
  <si>
    <t>אוצרות ירושלים - 25 כר'</t>
  </si>
  <si>
    <t>אוצרות ירושלים</t>
  </si>
  <si>
    <t>אוצרות מגדים - שמות</t>
  </si>
  <si>
    <t>בירנצויג, מאיר יוסף בן ירחמיאל</t>
  </si>
  <si>
    <t>אוצרות מהר"ל וסודותיו</t>
  </si>
  <si>
    <t>אוצרות מהר"ל</t>
  </si>
  <si>
    <t>אוצרות מהרש"א - 3 כר'</t>
  </si>
  <si>
    <t>אידלש, שמואל אליעזר</t>
  </si>
  <si>
    <t>אוצרות מלאכים - שימושי שרים</t>
  </si>
  <si>
    <t>אלמגור, ישראל מאיר בן זכריה</t>
  </si>
  <si>
    <t>הוד השרון</t>
  </si>
  <si>
    <t>אוצרות מנחם</t>
  </si>
  <si>
    <t>פרוש, מנחם</t>
  </si>
  <si>
    <t>אוצרות משה - 21 כר'</t>
  </si>
  <si>
    <t>נידאם, משה בן מכלוף</t>
  </si>
  <si>
    <t>אוצרות עטרת יצחק - 2 כר'</t>
  </si>
  <si>
    <t>קובץ ישיבת עטרת יצחק</t>
  </si>
  <si>
    <t>אוצרות עניני פורים</t>
  </si>
  <si>
    <t>מועדי ישראל, תלמוד בבלי</t>
  </si>
  <si>
    <t>אוצרות פסחים</t>
  </si>
  <si>
    <t>דרושים, מועדי ישראל, תלמוד בבלי</t>
  </si>
  <si>
    <t>אוצרות צדיקי וגאוני הדורות - 2 כר'</t>
  </si>
  <si>
    <t>פרלוב, אהרן</t>
  </si>
  <si>
    <t>אוצרות רבי אייזיק חבר</t>
  </si>
  <si>
    <t>חבר, יצחק איזיק בן יעקב</t>
  </si>
  <si>
    <t>דרושים, נושאים שונים, קבלה, תולדות עם ישראל</t>
  </si>
  <si>
    <t>אוצרות רבי שמשון רפאל הירש</t>
  </si>
  <si>
    <t>אוצרות רבינו השומר אמונים - 2 כר'</t>
  </si>
  <si>
    <t>אוצרות רד"ק</t>
  </si>
  <si>
    <t>אוצרות רמ"ק</t>
  </si>
  <si>
    <t>אוצרות רמב"ן</t>
  </si>
  <si>
    <t>אוצרות רמח"ל</t>
  </si>
  <si>
    <t>אוצרות רשב"ם</t>
  </si>
  <si>
    <t>אוצרות שבת</t>
  </si>
  <si>
    <t>אוחנה, חיים יוסף בן מאיר</t>
  </si>
  <si>
    <t>אוצרות של חינוך - 2 כר'</t>
  </si>
  <si>
    <t>חסידה, שמחה בן אברהם ידידיה</t>
  </si>
  <si>
    <t>אוצרות שלמה</t>
  </si>
  <si>
    <t>רביבו, שלמה</t>
  </si>
  <si>
    <t>ריינר, שלמה זלמן בן משה מישיל</t>
  </si>
  <si>
    <t>אוצרות תימן</t>
  </si>
  <si>
    <t>כהן, איתמר חיים</t>
  </si>
  <si>
    <t>אוצרות - 1</t>
  </si>
  <si>
    <t>בית מכירות פומביות</t>
  </si>
  <si>
    <t>אוצרותיהם של צדיקים - 6 כר'</t>
  </si>
  <si>
    <t>אור אברהם &lt;על התורה&gt; - 5 כר'</t>
  </si>
  <si>
    <t>גורביץ, אברהם איתיאל בן משה</t>
  </si>
  <si>
    <t>אור אברהם - 3 כר'</t>
  </si>
  <si>
    <t>גולדמן, אברהם בן מרדכי מזוועהיל</t>
  </si>
  <si>
    <t>אור אברהם - 14 כר'</t>
  </si>
  <si>
    <t>אור אברהם - ב</t>
  </si>
  <si>
    <t>כהן, אברהם</t>
  </si>
  <si>
    <t>אור אהרן - 4 כר'</t>
  </si>
  <si>
    <t>פפויפר, אהרן בן יעקב</t>
  </si>
  <si>
    <t>אור אלחנן &lt;גנזים - בהקבץ&gt;</t>
  </si>
  <si>
    <t>אור אלחנן - 2 כר'</t>
  </si>
  <si>
    <t>סורסקי, אהרן</t>
  </si>
  <si>
    <t>אור אליהו</t>
  </si>
  <si>
    <t>שונברג, אוריאל צבי בן מנחם</t>
  </si>
  <si>
    <t>אור אלימלך</t>
  </si>
  <si>
    <t>בנר, אוריאל - כנרתי, עמיחי</t>
  </si>
  <si>
    <t>פקשר, אלטר אלישע הכהן</t>
  </si>
  <si>
    <t>ראשון לציון</t>
  </si>
  <si>
    <t>אור אליעזר</t>
  </si>
  <si>
    <t>קאליש, אליעזר מאיר</t>
  </si>
  <si>
    <t>אור אליעזר - 3 כר'</t>
  </si>
  <si>
    <t>שולביץ, אליעזר</t>
  </si>
  <si>
    <t>אור בהיר</t>
  </si>
  <si>
    <t>גלאזנר, משה שמואל בן אברהם</t>
  </si>
  <si>
    <t>הלכה ומנהג, תולדות עם ישראל</t>
  </si>
  <si>
    <t>גלזנר, משה שמואל בן אברהם</t>
  </si>
  <si>
    <t>אור בהיר - 2 כר'</t>
  </si>
  <si>
    <t>פישר, מאיר צבי בן אהרון</t>
  </si>
  <si>
    <t>אור בקר</t>
  </si>
  <si>
    <t>פיאמיטה, יוסף בן שלמה</t>
  </si>
  <si>
    <t>תק"א</t>
  </si>
  <si>
    <t>אור גדול</t>
  </si>
  <si>
    <t>פרלמאן, ירוחם יהודה ליב בן שלמה זלמן</t>
  </si>
  <si>
    <t>אור גדליהו - 4 כר'</t>
  </si>
  <si>
    <t>שארר, גדליהו</t>
  </si>
  <si>
    <t>אור גנוז - 4 כר'</t>
  </si>
  <si>
    <t>מוסקוביץ, שלום בן מרדכי משה יוסף</t>
  </si>
  <si>
    <t>אור דוד עם קונטרס זר לזהב</t>
  </si>
  <si>
    <t>אור דוד - 2 כר'</t>
  </si>
  <si>
    <t>אזולאי, דוד בן מקסים</t>
  </si>
  <si>
    <t>אור דוד - 4 כר'</t>
  </si>
  <si>
    <t>דומב, יצחק דוד בן אשר</t>
  </si>
  <si>
    <t>אור דוד - 5 כר'</t>
  </si>
  <si>
    <t>הכהן, דוד בן שלום</t>
  </si>
  <si>
    <t>גן יבנה</t>
  </si>
  <si>
    <t>אור דוד - 3 כר'</t>
  </si>
  <si>
    <t>יונגרייז, דוד הלוי</t>
  </si>
  <si>
    <t>אור דוד</t>
  </si>
  <si>
    <t>כהן, דוד בן כליפה</t>
  </si>
  <si>
    <t>סוסה Sousse</t>
  </si>
  <si>
    <t>מועדי ישראל, משנה, תלמוד בבלי, תלמוד בבלי, תנ"ך, תנ"ך</t>
  </si>
  <si>
    <t>אור דויד - 2 כר'</t>
  </si>
  <si>
    <t>דויד, אהרן בן חכם</t>
  </si>
  <si>
    <t>אור דניאל - 7 כר'</t>
  </si>
  <si>
    <t>אוחיון, דניאל בן דוד</t>
  </si>
  <si>
    <t>אור דעה</t>
  </si>
  <si>
    <t>דוידוביץ, אברהם מרדכי</t>
  </si>
  <si>
    <t>אור דרכים - 2 כר'</t>
  </si>
  <si>
    <t>אפשטיין, יוסף דוד</t>
  </si>
  <si>
    <t>אור ה' - 2 כר'</t>
  </si>
  <si>
    <t>אבן-קרשקש, חסדאי בן אברהם</t>
  </si>
  <si>
    <t>וינה  Vienna</t>
  </si>
  <si>
    <t>אור האגדה - 3 כר'</t>
  </si>
  <si>
    <t>לאנגנר, אורי בן אברהם</t>
  </si>
  <si>
    <t>תש"ב - תש"ו</t>
  </si>
  <si>
    <t>אור האורות</t>
  </si>
  <si>
    <t>גרוסמן, יוסף ישראל</t>
  </si>
  <si>
    <t>דרושים, הלכה ומנהג, מועדי ישראל, תנ"ך</t>
  </si>
  <si>
    <t>אור האורים</t>
  </si>
  <si>
    <t>גורדון, אורי משה בן גבריאל</t>
  </si>
  <si>
    <t>אור האמונה</t>
  </si>
  <si>
    <t>נחמן בן שמחה מברסלב</t>
  </si>
  <si>
    <t>אור האמת והאמונה</t>
  </si>
  <si>
    <t>חסידות, מחשבה ומוסר, תפלות בקשות פיוטים ושירה</t>
  </si>
  <si>
    <t>אור האמת</t>
  </si>
  <si>
    <t>דוב בער בן אברהם ממזריץ'</t>
  </si>
  <si>
    <t>אור הבהיר</t>
  </si>
  <si>
    <t>אור הבטחון</t>
  </si>
  <si>
    <t>אוחנה, אברהם בן יצחק</t>
  </si>
  <si>
    <t>אור הבית</t>
  </si>
  <si>
    <t>טנג'י, אופיר בן שלום</t>
  </si>
  <si>
    <t>אור הבקר - 2 כר'</t>
  </si>
  <si>
    <t>ווייס, יקותיאל בן יצחק</t>
  </si>
  <si>
    <t>תרס"ד - תרס"ח</t>
  </si>
  <si>
    <t>וץ Vac</t>
  </si>
  <si>
    <t>אור הברכה</t>
  </si>
  <si>
    <t>וענונו, מאיר</t>
  </si>
  <si>
    <t>אור הגאולה</t>
  </si>
  <si>
    <t>אור הגליל - ג (לא הופיעו חלקים נוספים)</t>
  </si>
  <si>
    <t>גפנר, יעקב שלום</t>
  </si>
  <si>
    <t>אור הגנוז לצדיקים &lt;מהדורה ראשונה&gt;</t>
  </si>
  <si>
    <t>אהרן בן צבי הירש הכהן מאפטא</t>
  </si>
  <si>
    <t>תק"ס</t>
  </si>
  <si>
    <t>זאלקווי,</t>
  </si>
  <si>
    <t>אור הגנוז לצדיקים - 3 כר'</t>
  </si>
  <si>
    <t>דרושים, חסידות, נושאים שונים, תנ"ך</t>
  </si>
  <si>
    <t>אור הגנוז - 2 כר'</t>
  </si>
  <si>
    <t>אייזנשטאט, מאיר בן יצחק</t>
  </si>
  <si>
    <t>תרכ"</t>
  </si>
  <si>
    <t>לבוב Lvov?</t>
  </si>
  <si>
    <t>אור הגנוז - חנוכה</t>
  </si>
  <si>
    <t>חברת יגדיל תורה בעלזא</t>
  </si>
  <si>
    <t>אור הגנוז - 8 כר'</t>
  </si>
  <si>
    <t>חסידי קרלין לעלוב</t>
  </si>
  <si>
    <t>יהודה ליב הכהן מאניפולי</t>
  </si>
  <si>
    <t>מרילוס, אברהם שמעון</t>
  </si>
  <si>
    <t>אור הגנוז - 9 כר'</t>
  </si>
  <si>
    <t>אור הגנוז - יבמות, עסקי משפחות, דברי אברהם</t>
  </si>
  <si>
    <t>רוזנר, אברהם בן צבי</t>
  </si>
  <si>
    <t>שריקי, מרדכי בן חיים</t>
  </si>
  <si>
    <t>אור הדעה</t>
  </si>
  <si>
    <t>תלמוד בבלי, תלמוד בבלי, תלמוד בבלי, תנ"ך, תנ"ך</t>
  </si>
  <si>
    <t>אור הדעת - 2 כר'</t>
  </si>
  <si>
    <t>אור הדעת</t>
  </si>
  <si>
    <t>אור ההלכה - 5 כר'</t>
  </si>
  <si>
    <t>אבא שאול בן ציון בן אליהו</t>
  </si>
  <si>
    <t>אור ההלכה - 2 כר'</t>
  </si>
  <si>
    <t>הכהן, דוד בן יהודה</t>
  </si>
  <si>
    <t>אור ההלכה</t>
  </si>
  <si>
    <t>מקייס, יצחק - מקייס, יעקב</t>
  </si>
  <si>
    <t>שילה, יואל</t>
  </si>
  <si>
    <t>אור ההר - 2 כר'</t>
  </si>
  <si>
    <t>הלכה ומנהג, נושאים שונים, קבצים וכתבי עת, ספרי זכרון ויובל, תנ"ך</t>
  </si>
  <si>
    <t>אור הזוהר</t>
  </si>
  <si>
    <t>אור החגים</t>
  </si>
  <si>
    <t>אור החושן - 3 כר'</t>
  </si>
  <si>
    <t>גרינשטיין, אוריאל בן שרגא פייבל</t>
  </si>
  <si>
    <t>אור החיים &lt;לקט בהיר, אור בהיר&gt; - 5 כר'</t>
  </si>
  <si>
    <t>אבן-עטר, חיים בן משה - וויס, ישעיהו בן יצחק</t>
  </si>
  <si>
    <t>אור החיים &lt;מהדורה חדשה&gt;</t>
  </si>
  <si>
    <t>יעבץ, יוסף בן חיים</t>
  </si>
  <si>
    <t>אור החיים (ע"פ אלפא ביתא)</t>
  </si>
  <si>
    <t>עובדיה, יוסף בן עמרם</t>
  </si>
  <si>
    <t>אור החיים הקדוש</t>
  </si>
  <si>
    <t>אור החיים ונצח ישראל</t>
  </si>
  <si>
    <t>הירש, ישראל חיים בן יוחנן</t>
  </si>
  <si>
    <t>הלכה ומנהג, משנה, שאר ספרי חז"ל, שלחן ערוך ומפרשיו, תלמוד בבלי, תלמוד בבלי, תלמוד בבלי, תלמוד ירושלמי</t>
  </si>
  <si>
    <t>אור החיים ע"ס אלפא ביתא &lt;אורחות חיים&gt;</t>
  </si>
  <si>
    <t>אבן עטר, חיים בן יהודה - עובדיה, יוסף בן עמרם</t>
  </si>
  <si>
    <t>אור החיים על שבת קודש</t>
  </si>
  <si>
    <t>אור החיים עם ביאור אור יקר - 5 כר'</t>
  </si>
  <si>
    <t>אבן-עטר, חיים בן משה - הזנפרץ, יצחק מאיר</t>
  </si>
  <si>
    <t>אור החיים - 8 כר'</t>
  </si>
  <si>
    <t>אור החיים</t>
  </si>
  <si>
    <t>בנדר, חיים בן זאב</t>
  </si>
  <si>
    <t>אור החיים - 3 כר'</t>
  </si>
  <si>
    <t>מיכל, חיים בן יוסף</t>
  </si>
  <si>
    <t>תרנ"א</t>
  </si>
  <si>
    <t>שיץ, חיים בן יוזפא</t>
  </si>
  <si>
    <t>פראנקפורט am Main,</t>
  </si>
  <si>
    <t>אור החכמה &lt;דפו"ר&gt; - 2 כר'</t>
  </si>
  <si>
    <t>אורי פייבל בן אהרן מדובנקה</t>
  </si>
  <si>
    <t>תקע"ה</t>
  </si>
  <si>
    <t>לשצ'וב Laszczow</t>
  </si>
  <si>
    <t>אור החכמה &lt;מהדורה חדשה&gt; - 2 כר'</t>
  </si>
  <si>
    <t>אור החכמה - 2 כר'</t>
  </si>
  <si>
    <t>אור החלה</t>
  </si>
  <si>
    <t>קלוגהויפט, שרגא פייוול</t>
  </si>
  <si>
    <t>אור החמה  על משנה ברורה - 2 כר'</t>
  </si>
  <si>
    <t>קרויזר, זונדל</t>
  </si>
  <si>
    <t>אור החמה &lt;ספר תהלים&gt;</t>
  </si>
  <si>
    <t>קרוזר, זונדל</t>
  </si>
  <si>
    <t>אור החמה &lt;על הש"ס&gt; - 10 כר'</t>
  </si>
  <si>
    <t>אור החמה &lt;על התורה&gt; - 5 כר'</t>
  </si>
  <si>
    <t>אור החמה &lt;על שלחן ערוך&gt; - או"ח, ליקוטים מיו"ד</t>
  </si>
  <si>
    <t>אור החמה - 7 כר'</t>
  </si>
  <si>
    <t>תר"ב</t>
  </si>
  <si>
    <t>אור החמה</t>
  </si>
  <si>
    <t>הרצברג, מאיר דוד בן יוסף</t>
  </si>
  <si>
    <t>אור החמה - 6 כר'</t>
  </si>
  <si>
    <t>חורי, משה חורב בן ברוך</t>
  </si>
  <si>
    <t>אור החמה - רש"י על התורה</t>
  </si>
  <si>
    <t>אור החסידות</t>
  </si>
  <si>
    <t>כשר, משה שלמה בן מנחם מנדל</t>
  </si>
  <si>
    <t>אור הטהרה</t>
  </si>
  <si>
    <t>ישיבת חכמי לובלין</t>
  </si>
  <si>
    <t>אור היהדות</t>
  </si>
  <si>
    <t>בוצ'קו, ירחמיאל אליהו בן דוד יהודה</t>
  </si>
  <si>
    <t>אור היהדות - 2 כר'</t>
  </si>
  <si>
    <t>גרינצווייג, אברהם מנדל בן יהודה</t>
  </si>
  <si>
    <t>אור היום</t>
  </si>
  <si>
    <t>ליפקין, אריה ליב בן ידידיה ליפמאן</t>
  </si>
  <si>
    <t>שפיצר, חייא דוד בן יוסף הלוי</t>
  </si>
  <si>
    <t>אור היקוד הם יוקדים</t>
  </si>
  <si>
    <t>וילהלם, נחמן יוסף בן יהודה דב</t>
  </si>
  <si>
    <t>אור היקוד</t>
  </si>
  <si>
    <t>על הרב יצחק שלמה אונגר</t>
  </si>
  <si>
    <t>אור הישר ודרך סעודה &lt;מהדורה חדשה&gt;</t>
  </si>
  <si>
    <t>פופרש, מאיר בן יהודה ליב הכהן</t>
  </si>
  <si>
    <t>אור הישר - 2 כר'</t>
  </si>
  <si>
    <t>אהרן שמעון בן יעקב אברהם מקופנהאגן</t>
  </si>
  <si>
    <t>אור הישר - 20 כר'</t>
  </si>
  <si>
    <t>הילמאן, שמואל יצחק בן אברהם חיים</t>
  </si>
  <si>
    <t>שאר ספרי חז"ל, תלמוד בבלי</t>
  </si>
  <si>
    <t>אור הישר</t>
  </si>
  <si>
    <t>ווינר, שרגא צבי בן יהודה ליב</t>
  </si>
  <si>
    <t>תס"ט</t>
  </si>
  <si>
    <t>אור הישרים</t>
  </si>
  <si>
    <t>וויינגורט, מנחם מנדל בן אלכסנדר סנדר</t>
  </si>
  <si>
    <t>אור הכולל - 3 כר'</t>
  </si>
  <si>
    <t>קובץ כוללים דחסידי סקאליע</t>
  </si>
  <si>
    <t>ני יורק</t>
  </si>
  <si>
    <t>חסידות, קבצים וכתבי עת, ספרי זכרון ויובל, תלמוד בבלי</t>
  </si>
  <si>
    <t>אור הכתוב</t>
  </si>
  <si>
    <t>ליסמן, חיים מרדכי</t>
  </si>
  <si>
    <t>אור הלבנה - 2 כר'</t>
  </si>
  <si>
    <t>חילו, יהושע בן משה</t>
  </si>
  <si>
    <t>לייקאווד</t>
  </si>
  <si>
    <t>אור הלבנה</t>
  </si>
  <si>
    <t>סעדון, מקיקץ דוד בן מרדכי</t>
  </si>
  <si>
    <t>תרצ"ז -תרצ"ח</t>
  </si>
  <si>
    <t>קצין, יעקב בן שאול</t>
  </si>
  <si>
    <t>קבלה, תפלות בקשות פיוטים ושירה</t>
  </si>
  <si>
    <t>אור המאיר &lt;מוסף אור תורה&gt;</t>
  </si>
  <si>
    <t>אור תורה</t>
  </si>
  <si>
    <t>אור המאיר &lt;מהדורה חדשה&gt;</t>
  </si>
  <si>
    <t>מרגליות, ראובן בן משה</t>
  </si>
  <si>
    <t>שפירא, יהודה מאיר בן יעקב שמשון</t>
  </si>
  <si>
    <t>אור המאיר על הגדה של פסח</t>
  </si>
  <si>
    <t>אור המאיר - שנה א</t>
  </si>
  <si>
    <t>אגודת תלמידי מהר"ם שפירא</t>
  </si>
  <si>
    <t>אור המאיר</t>
  </si>
  <si>
    <t>אור (אורלייאן), מאיר</t>
  </si>
  <si>
    <t>טירת צבי</t>
  </si>
  <si>
    <t>אור המאיר - א ג</t>
  </si>
  <si>
    <t>בעלום שם</t>
  </si>
  <si>
    <t>אור המאיר - 8 כר'</t>
  </si>
  <si>
    <t>ברדיטשבסקי, מאיר דניאל</t>
  </si>
  <si>
    <t>היילברון, אברהם מאיר</t>
  </si>
  <si>
    <t>הרר"מ מקרעטשניף</t>
  </si>
  <si>
    <t>חסידות, חסידות</t>
  </si>
  <si>
    <t>השל, יצחק מאיר</t>
  </si>
  <si>
    <t>אור המאיר - 2 כר'</t>
  </si>
  <si>
    <t>זאב וולף מזיטומיר</t>
  </si>
  <si>
    <t>סופר, שמואל בנימין בן אברהם</t>
  </si>
  <si>
    <t>קובץ ויז'ניץ</t>
  </si>
  <si>
    <t>אור המאיר - 3 כר'</t>
  </si>
  <si>
    <t>קובץ כולל אור המאיר</t>
  </si>
  <si>
    <t>קובץ קהל פרושים ירושלים</t>
  </si>
  <si>
    <t>אור המאיר - א</t>
  </si>
  <si>
    <t>אור המאיר - ב</t>
  </si>
  <si>
    <t>אור המדות</t>
  </si>
  <si>
    <t>מחשבה ומוסר, משנה</t>
  </si>
  <si>
    <t>אור המדרש</t>
  </si>
  <si>
    <t>אור המוסר - 9 כר'</t>
  </si>
  <si>
    <t>אור המוסר</t>
  </si>
  <si>
    <t>תרפ"ד - תרצ"ח</t>
  </si>
  <si>
    <t>מחשבה ומוסר, קבצים וכתבי עת, ספרי זכרון ויובל</t>
  </si>
  <si>
    <t>אור המוסר - 2 כר'</t>
  </si>
  <si>
    <t>חכמה ומוסר</t>
  </si>
  <si>
    <t>אור המועד</t>
  </si>
  <si>
    <t>פאדואווער, אברהם בן אפרים אליעזר</t>
  </si>
  <si>
    <t>אור המועדים</t>
  </si>
  <si>
    <t>גולדברג, זלמן נחמיה - קורן, יצחק אריה</t>
  </si>
  <si>
    <t>הכהן, אברהם בן משה</t>
  </si>
  <si>
    <t>מועדי ישראל, מחשבה ומוסר</t>
  </si>
  <si>
    <t>אור המועדים - פסח</t>
  </si>
  <si>
    <t>פרוש, שלום חיים בן ליבר מרדכי</t>
  </si>
  <si>
    <t>אור המזרח - 2 כר'</t>
  </si>
  <si>
    <t>אור המזרח</t>
  </si>
  <si>
    <t>אור המנורה</t>
  </si>
  <si>
    <t>אור המערב - 20 כר'</t>
  </si>
  <si>
    <t>ירחון תורני ולמורשת יהדות המערב</t>
  </si>
  <si>
    <t>אור המצות - 2 כר'</t>
  </si>
  <si>
    <t>אור המקרא</t>
  </si>
  <si>
    <t>אור המשפט - 2 כר'</t>
  </si>
  <si>
    <t>כץ, דניאל</t>
  </si>
  <si>
    <t>אור הנעלם</t>
  </si>
  <si>
    <t>אלטשולר, ירוחם</t>
  </si>
  <si>
    <t>תש"ג - תש"ה</t>
  </si>
  <si>
    <t>אור הנערב &lt;מהדורה חדשה&gt; - 2 כר'</t>
  </si>
  <si>
    <t>כהנא, אברהם אריה ליב בן שלום שכנא</t>
  </si>
  <si>
    <t>אור הנערב</t>
  </si>
  <si>
    <t>תקפ"ד</t>
  </si>
  <si>
    <t>אוסטרה Ostrog</t>
  </si>
  <si>
    <t>משנה, תלמוד בבלי, תלמוד בבלי</t>
  </si>
  <si>
    <t>אור הנפש - 2 כר'</t>
  </si>
  <si>
    <t>זייטשיק, חיים אפרים בן אשר</t>
  </si>
  <si>
    <t>תשי"ח - תשי"ט</t>
  </si>
  <si>
    <t>אור הנר - פסחים</t>
  </si>
  <si>
    <t>אור הנר - 10 כר'</t>
  </si>
  <si>
    <t>ישיבת נר ישראל</t>
  </si>
  <si>
    <t>באלטימור</t>
  </si>
  <si>
    <t>אור הנר</t>
  </si>
  <si>
    <t>ליברמן, דוד משה</t>
  </si>
  <si>
    <t>סדר הדלקת נר חנוכה כמנהג נדבורנה</t>
  </si>
  <si>
    <t>ראטה, נחמיה</t>
  </si>
  <si>
    <t>רבי, ניסן נסים</t>
  </si>
  <si>
    <t>רביבו, נסים בן דוד</t>
  </si>
  <si>
    <t>שטינברג, שרגא פיבל הלוי</t>
  </si>
  <si>
    <t>אור הנשמה סוד השבת</t>
  </si>
  <si>
    <t>כהן, זמיר</t>
  </si>
  <si>
    <t>אור העין</t>
  </si>
  <si>
    <t>אור הפורים</t>
  </si>
  <si>
    <t>אייזענבאך, עקיבא יוסף</t>
  </si>
  <si>
    <t>אור הפלאות</t>
  </si>
  <si>
    <t>קאופמאן, נתנאל</t>
  </si>
  <si>
    <t>תשי"א</t>
  </si>
  <si>
    <t>אור הפסח</t>
  </si>
  <si>
    <t>דויטש, ישראל חיים</t>
  </si>
  <si>
    <t>אור הפרשה</t>
  </si>
  <si>
    <t>חיון, דניאל</t>
  </si>
  <si>
    <t>אור הצבי</t>
  </si>
  <si>
    <t>ברל"ס, צבי הירש בן מרדכי</t>
  </si>
  <si>
    <t>אור הציצית</t>
  </si>
  <si>
    <t>אור הצפון - 3 כר'</t>
  </si>
  <si>
    <t>פינקל, נתן צבי בן משה</t>
  </si>
  <si>
    <t>אור הצפן - 5 כר'</t>
  </si>
  <si>
    <t>,חתשכ</t>
  </si>
  <si>
    <t>אור הקדושה - 2 כר'</t>
  </si>
  <si>
    <t>אור הרזים</t>
  </si>
  <si>
    <t>כהן, דוד</t>
  </si>
  <si>
    <t>אור הרש"ש</t>
  </si>
  <si>
    <t>בר שם, רפאל</t>
  </si>
  <si>
    <t>אור הרשב"י</t>
  </si>
  <si>
    <t>ששון, חיים</t>
  </si>
  <si>
    <t>ביתר</t>
  </si>
  <si>
    <t>אור השבת - 2 כר'</t>
  </si>
  <si>
    <t>אור השבת - 4 כר'</t>
  </si>
  <si>
    <t>אור השבת - 31 כר'</t>
  </si>
  <si>
    <t>אור השחר</t>
  </si>
  <si>
    <t>מרמורשטיין, ישראל בן אהרן צבי</t>
  </si>
  <si>
    <t>עידאן, צבי</t>
  </si>
  <si>
    <t>אור השכל - 2 כר'</t>
  </si>
  <si>
    <t>אור השכל - 3 כר'</t>
  </si>
  <si>
    <t>אברהם בן אשר</t>
  </si>
  <si>
    <t>שכ"ז - שכ"ח</t>
  </si>
  <si>
    <t>אור השלחן - א (בראשית, שמות)</t>
  </si>
  <si>
    <t>שרון, נתן</t>
  </si>
  <si>
    <t>אור השם</t>
  </si>
  <si>
    <t>אור השמחה</t>
  </si>
  <si>
    <t>אור השמש</t>
  </si>
  <si>
    <t>פולייב, משה אהרן בן ישראל</t>
  </si>
  <si>
    <t>משנה, שאר ספרי חז"ל, שאר ספרי חז"ל, תלמוד בבלי, תלמוד בבלי, תלמוד ירושלמי</t>
  </si>
  <si>
    <t>שמעון שלמה בן אריה לייב מבענדר</t>
  </si>
  <si>
    <t>דרושים, חסידות, תנ"ך</t>
  </si>
  <si>
    <t>אור השנים &lt;מהדורה חדשה&gt;</t>
  </si>
  <si>
    <t>אפשטיין, אריה ליב בן מרדכי הלוי</t>
  </si>
  <si>
    <t>אור השנים - 9 כר'</t>
  </si>
  <si>
    <t>אור התורה - 5 כר'</t>
  </si>
  <si>
    <t>בן עמרם, יוסף בן דוד</t>
  </si>
  <si>
    <t>אור התורה - בבא בתרא</t>
  </si>
  <si>
    <t>ישיבת אור התורה</t>
  </si>
  <si>
    <t>אור התורה</t>
  </si>
  <si>
    <t>אור התורה - 3 כר'</t>
  </si>
  <si>
    <t>מן, שלמה בן אברהם</t>
  </si>
  <si>
    <t>אור התורה - 2 כר'</t>
  </si>
  <si>
    <t>תאומים, שלום בן אהרן</t>
  </si>
  <si>
    <t>אור התלמוד - 2 כר'</t>
  </si>
  <si>
    <t>קובץ ישיבת אור התלמוד</t>
  </si>
  <si>
    <t>אור התענוג - 2 כר'</t>
  </si>
  <si>
    <t>בונקר, פינחס דוד</t>
  </si>
  <si>
    <t>אור התפילין</t>
  </si>
  <si>
    <t>עקשטיין, גמליאל</t>
  </si>
  <si>
    <t>אור התרגום &lt;קונטרס הנענועים&gt;</t>
  </si>
  <si>
    <t>תרצ"ה - תשס"ד</t>
  </si>
  <si>
    <t>אור התשובה</t>
  </si>
  <si>
    <t>בן שושן, יצחק בן יוסף</t>
  </si>
  <si>
    <t>מלמד, ראובן בן משה ליב</t>
  </si>
  <si>
    <t>הלכה ומנהג, מחשבה ומוסר, מחשבה ומוסר</t>
  </si>
  <si>
    <t>אור וחיים לישראל - 7 כר'</t>
  </si>
  <si>
    <t>אור זורח - ג ד</t>
  </si>
  <si>
    <t>בורנשטיין, שמחה בן איסר חנוך</t>
  </si>
  <si>
    <t>תרפ"ח - תרפ"ט</t>
  </si>
  <si>
    <t>אור זרוע &lt;מגדל עוז&gt; - ב (שבת)</t>
  </si>
  <si>
    <t>ווידרין, אליהו זלמן בן פסח</t>
  </si>
  <si>
    <t>תרנ"א - תרס"ה</t>
  </si>
  <si>
    <t>אור זרוע בשבת</t>
  </si>
  <si>
    <t>שלמון, דוד</t>
  </si>
  <si>
    <t>אור זרוע הקצר &lt;זרע אברהם&gt;</t>
  </si>
  <si>
    <t>אור זרוע, חיים בן יצחק  - חפוטא, אברהם</t>
  </si>
  <si>
    <t>אור זרוע לצדיק</t>
  </si>
  <si>
    <t>הלכה ומנהג, חסידות</t>
  </si>
  <si>
    <t>אור זרוע</t>
  </si>
  <si>
    <t>בן זכאי, י</t>
  </si>
  <si>
    <t>אור זרוע - 3 כר'</t>
  </si>
  <si>
    <t>דוד בן יהודה החסיד</t>
  </si>
  <si>
    <t>אור זרוע - 5 כר'</t>
  </si>
  <si>
    <t>יצחק בן משה מווינה</t>
  </si>
  <si>
    <t>אור חדש &lt;מכון ירושלים&gt; - 3 כר'</t>
  </si>
  <si>
    <t>יהודה ליווא בן בצלאל (מהר"ל) מפראג</t>
  </si>
  <si>
    <t>אור חדש במבוכה</t>
  </si>
  <si>
    <t>בן חיים, אברהם בן מרדכי</t>
  </si>
  <si>
    <t>אור חדש בציון -  א</t>
  </si>
  <si>
    <t>זוננשין, אברהם אליהו</t>
  </si>
  <si>
    <t>אור חדש וצמח צדיק</t>
  </si>
  <si>
    <t>דרושים, שאלות ותשובות, תולדות עם ישראל</t>
  </si>
  <si>
    <t>אור חדש למטיפים</t>
  </si>
  <si>
    <t>אור חדש - 2 כר'</t>
  </si>
  <si>
    <t>בוכנר, חיים בן בנימין זאב</t>
  </si>
  <si>
    <t>תל"א - תל"ה</t>
  </si>
  <si>
    <t>אור חדש</t>
  </si>
  <si>
    <t>בלומנפלד, מאיר בן שלמה</t>
  </si>
  <si>
    <t>הלכה ומנהג, נושאים שונים, תלמוד בבלי, תלמוד ירושלמי</t>
  </si>
  <si>
    <t>אור חדש - 4 כר'</t>
  </si>
  <si>
    <t>חדש, מאיר הלוי</t>
  </si>
  <si>
    <t>קרית גת</t>
  </si>
  <si>
    <t>אור חדש - 3 כר'</t>
  </si>
  <si>
    <t>יהודה ליווא בן בצלאל (מהר"ל)</t>
  </si>
  <si>
    <t>ש"ס</t>
  </si>
  <si>
    <t>כהן-צדק, יוסף בן אהרן</t>
  </si>
  <si>
    <t>סלוצקי, אפרים זלמן בן נחום הלוי</t>
  </si>
  <si>
    <t>קאליר, אלעזר בן אלעזר</t>
  </si>
  <si>
    <t>קארליץ, משה בן שמריהו יוסף</t>
  </si>
  <si>
    <t>שומר, דוד חיים</t>
  </si>
  <si>
    <t>אור חדש - 5 כר'</t>
  </si>
  <si>
    <t>שלוש, דוד חיים</t>
  </si>
  <si>
    <t>אור חיה - מועדים</t>
  </si>
  <si>
    <t>דויטש, חיים</t>
  </si>
  <si>
    <t>אור חיים - 7 כר'</t>
  </si>
  <si>
    <t>חרל"פ, חיים לייב בן אפרים אליעזר</t>
  </si>
  <si>
    <t>אור חיינו</t>
  </si>
  <si>
    <t>אור חכמים &lt;בחינת עולם&gt;</t>
  </si>
  <si>
    <t>יעקב בן נחום מטישוויץ</t>
  </si>
  <si>
    <t>תקנ"ה</t>
  </si>
  <si>
    <t>אור חכמים</t>
  </si>
  <si>
    <t>תקי"ב - תקי"ג</t>
  </si>
  <si>
    <t>אור טהרה - מ"מ למסכת נדה</t>
  </si>
  <si>
    <t>טיברג, יחיאל יוסף</t>
  </si>
  <si>
    <t>אור י"י</t>
  </si>
  <si>
    <t>פררה Ferrara</t>
  </si>
  <si>
    <t>אור יהודה - 4 כר'</t>
  </si>
  <si>
    <t>עהרמאן, יהודה מאיר בן יעקב מיכאל צבי</t>
  </si>
  <si>
    <t>אור יהושע</t>
  </si>
  <si>
    <t>אברהם יהושע השל בן משולם זוסיא</t>
  </si>
  <si>
    <t>אור יהל - 3 כר'</t>
  </si>
  <si>
    <t>חסמן, יהודה ליב בן רפאל</t>
  </si>
  <si>
    <t>אור יום טוב</t>
  </si>
  <si>
    <t>לוי, אסף</t>
  </si>
  <si>
    <t>אור יוסף</t>
  </si>
  <si>
    <t>מילר, יוסף בן אברהם מאיר הלוי</t>
  </si>
  <si>
    <t>שאר ספרי חז"ל, תנ"ך, תנ"ך</t>
  </si>
  <si>
    <t>אור יחזקאל - 7 כר'</t>
  </si>
  <si>
    <t>אור ימי הפורים</t>
  </si>
  <si>
    <t>בצרי, שלמה בן דוד</t>
  </si>
  <si>
    <t>אור ימי הפסח</t>
  </si>
  <si>
    <t>אור ימי ספירת העומר וחג השבועות</t>
  </si>
  <si>
    <t>אור יעקב - 5 כר'</t>
  </si>
  <si>
    <t>זלזניק, אברהם יעקב</t>
  </si>
  <si>
    <t>אור יעקב</t>
  </si>
  <si>
    <t>צוכטמאן, אורי יעקב בן נפתלי הרץ</t>
  </si>
  <si>
    <t>משנה, שאר ספרי חז"ל, שאר ספרי חז"ל, תלמוד בבלי, תנ"ך</t>
  </si>
  <si>
    <t>אור יצהר</t>
  </si>
  <si>
    <t>לנדמן, אורי</t>
  </si>
  <si>
    <t>מועדי ישראל, תולדות עם ישראל, תנ"ך</t>
  </si>
  <si>
    <t>אור יצהר - 2 כר'</t>
  </si>
  <si>
    <t>שפירא, אהרון בן יצחק אייזיק</t>
  </si>
  <si>
    <t>אור יצחק &lt;מהדורה חדשה - ללא המפתחות&gt;</t>
  </si>
  <si>
    <t>יצחק מראדויל</t>
  </si>
  <si>
    <t>דרושים, מועדי ישראל, משנה, נושאים שונים, קבלה, תלמוד בבלי, תנ"ך</t>
  </si>
  <si>
    <t>אור יצחק - נדרים, קדושין, יבמות, מכות, כתובות</t>
  </si>
  <si>
    <t>תשס"ה - תשס"ז</t>
  </si>
  <si>
    <t>אור יצחק - גניבה וגזילה</t>
  </si>
  <si>
    <t>הלר, יהושע בן יצחק</t>
  </si>
  <si>
    <t>אור יצחק</t>
  </si>
  <si>
    <t>אור יצחק - 3 כר'</t>
  </si>
  <si>
    <t>עבאדי, יצחק</t>
  </si>
  <si>
    <t>אור יצחק - א ב</t>
  </si>
  <si>
    <t>צ'רקס, יצחק נח בן מאיר</t>
  </si>
  <si>
    <t>תר"נ - תר"ס</t>
  </si>
  <si>
    <t>דרושים, שאלות ותשובות, תלמוד ירושלמי</t>
  </si>
  <si>
    <t>אור יקר - עניני חנוכה</t>
  </si>
  <si>
    <t>כולל אור יקר</t>
  </si>
  <si>
    <t>אור יקרות &lt;מהדורה חדשה&gt; - א</t>
  </si>
  <si>
    <t>לוריא, אשר בן יקותיאל זלמן</t>
  </si>
  <si>
    <t>אור יקרות הנביאים - ישעיהו, ירמיהו</t>
  </si>
  <si>
    <t>אור יקרות - א</t>
  </si>
  <si>
    <t>גליקמן, נפתלי צבי</t>
  </si>
  <si>
    <t>אור יקרות - 3 כר'</t>
  </si>
  <si>
    <t>גרבוז, צבי בן אברהם נח</t>
  </si>
  <si>
    <t>אור יקרות</t>
  </si>
  <si>
    <t>הכהן, משולם בן רחמים</t>
  </si>
  <si>
    <t>טאקסין, מנחם צבי בן אריה</t>
  </si>
  <si>
    <t>יוסף בנימין זאב וולף בן אריה יהודה ליב</t>
  </si>
  <si>
    <t>יצחקי, מאיר בן עמנואל</t>
  </si>
  <si>
    <t>אור יקרות - חנוכה</t>
  </si>
  <si>
    <t>מנדל, מלכיאל</t>
  </si>
  <si>
    <t>אור יקרות - 4 כר'</t>
  </si>
  <si>
    <t>קובץ בעניני חנוכה ופורים</t>
  </si>
  <si>
    <t>מועדי ישראל, קבצים וכתבי עת, ספרי זכרון ויובל</t>
  </si>
  <si>
    <t>אור יקרות - 2 כר'</t>
  </si>
  <si>
    <t>קצנלבוגן, ישראל מאיר בן אברהם צבי הלוי</t>
  </si>
  <si>
    <t>אור ירושלים - ב</t>
  </si>
  <si>
    <t>קובץ ישיבת אור ירושלים</t>
  </si>
  <si>
    <t>בית מאיר</t>
  </si>
  <si>
    <t>אור ישן</t>
  </si>
  <si>
    <t>ליפשיץ, שניאור נתן בן ישראל</t>
  </si>
  <si>
    <t>אור ישע השלם</t>
  </si>
  <si>
    <t>רובין, אשר ישעיה בן אליעזר ליפמן</t>
  </si>
  <si>
    <t>דרושים, הלכה ומנהג, חסידות, מועדי ישראל, נושאים שונים</t>
  </si>
  <si>
    <t>אור ישע</t>
  </si>
  <si>
    <t>רובין, אשר ישעיה בן אליעזר ליפמאן</t>
  </si>
  <si>
    <t>אור ישע - 4 כר'</t>
  </si>
  <si>
    <t>אור ישר, אור חוזר, קרסי זהב</t>
  </si>
  <si>
    <t>הרטמן, בנימין זאב</t>
  </si>
  <si>
    <t>אור ישראל &lt;אגרת הזאת&gt;</t>
  </si>
  <si>
    <t>ליפקין, ישראל בן זאב וולף - בלאזר, יצחק בן שלמה</t>
  </si>
  <si>
    <t>אור ישראל &lt;מאנסי&gt; - 72 כר'</t>
  </si>
  <si>
    <t>אור ישראל &lt;שו"ת&gt; - ד' חלקי שו"ע</t>
  </si>
  <si>
    <t>שווארץ, ישראל</t>
  </si>
  <si>
    <t>אור ישראל (הגדה של פסח)</t>
  </si>
  <si>
    <t>הגדה של פסח. תש"ח. סוסה</t>
  </si>
  <si>
    <t>אור ישראל עם עיונים</t>
  </si>
  <si>
    <t>ליפקין, ישראל בן זאב וולף - לויכטר, ראובן</t>
  </si>
  <si>
    <t>אור ישראל</t>
  </si>
  <si>
    <t>דרדק, ישראל תנחום בן יעקב לוי שמואל</t>
  </si>
  <si>
    <t>הופשטיין, ישראל בן שבתי</t>
  </si>
  <si>
    <t>יאנובסקי, ישראל יצחק בן אליהו</t>
  </si>
  <si>
    <t>תרפ"</t>
  </si>
  <si>
    <t>יפה, ישראל בן אהרן</t>
  </si>
  <si>
    <t>תס"ב</t>
  </si>
  <si>
    <t>קבלה, קבלה, קבלה</t>
  </si>
  <si>
    <t>אור ישראל - 2 כר'</t>
  </si>
  <si>
    <t>ישראל בן יהונתן</t>
  </si>
  <si>
    <t>תי"ז</t>
  </si>
  <si>
    <t>ליפשיץ, ישראל בן אליעזר</t>
  </si>
  <si>
    <t>תק"ל</t>
  </si>
  <si>
    <t>קליוה Cleves</t>
  </si>
  <si>
    <t>מאלין, ישראל איסר יהודה בן נחמיה</t>
  </si>
  <si>
    <t>אור ישראל - 7 כר'</t>
  </si>
  <si>
    <t>מכון מצמיח ישועה</t>
  </si>
  <si>
    <t>סרנא, יחזקאל בן יעקב חיים</t>
  </si>
  <si>
    <t>, מחשבה ומוסר, מחשבה ומוסר, נושאים שונים</t>
  </si>
  <si>
    <t>אור ישראל - א (א-מה)</t>
  </si>
  <si>
    <t>אור ישראל - על התורה ומועדים</t>
  </si>
  <si>
    <t>פרידמן, ישראל בן אברהם יעקב</t>
  </si>
  <si>
    <t>אור ישראל - 5 כר'</t>
  </si>
  <si>
    <t>קובץ אהלי יעקב ותפארת ישראל</t>
  </si>
  <si>
    <t>קובץ מוסדות אהלי יעקב ותפארת ישראל</t>
  </si>
  <si>
    <t>קרן אור ישראל</t>
  </si>
  <si>
    <t>רבינוביץ, ישראל בן שלמה יעקב</t>
  </si>
  <si>
    <t>דרושים, דרושים, מחשבה ומוסר</t>
  </si>
  <si>
    <t>אור ישראל - 3 כר'</t>
  </si>
  <si>
    <t>אור ישרים - 2 כר'</t>
  </si>
  <si>
    <t>קליינמאן, משה חיים בן אברהם יוסף</t>
  </si>
  <si>
    <t>אור כי טוב</t>
  </si>
  <si>
    <t>אשכנזי, אברהם גרשון (קיטווער)</t>
  </si>
  <si>
    <t>אור לארבעה עשר - סדר ברכת החמה</t>
  </si>
  <si>
    <t>ברכת החמה מעוטר בדברי תורה</t>
  </si>
  <si>
    <t>אור לארבעה עשר</t>
  </si>
  <si>
    <t>אור לגויים</t>
  </si>
  <si>
    <t>עובדיה, יאיר ליאור</t>
  </si>
  <si>
    <t>אור לו בציון</t>
  </si>
  <si>
    <t>אטהויזן, יצחק זקיל בן מנחם</t>
  </si>
  <si>
    <t>תקכ"ה</t>
  </si>
  <si>
    <t>קרלסרוה Karlsruhe</t>
  </si>
  <si>
    <t>אור לוי זיו יהודה - 3 כר'</t>
  </si>
  <si>
    <t>ליבוביץ, יהודה זאב</t>
  </si>
  <si>
    <t>אור לוי קול יהודה - 2 כר'</t>
  </si>
  <si>
    <t>אור לי - 6 כר'</t>
  </si>
  <si>
    <t>טולידנו, רפאל ברוך בן אברהם</t>
  </si>
  <si>
    <t>אור לי</t>
  </si>
  <si>
    <t>מדיני, חיים חזקיהו בן רפאל אשר אליהו</t>
  </si>
  <si>
    <t>אור ליהודה - 3 כר'</t>
  </si>
  <si>
    <t>יעבץ, יצחק מאיר בן יהודה אריה</t>
  </si>
  <si>
    <t>אור ליורה דעה</t>
  </si>
  <si>
    <t>רפפורט, ח.ז</t>
  </si>
  <si>
    <t>אור ליעקב</t>
  </si>
  <si>
    <t>יעקב דוד בן יצחק אייזיק  יום טוב</t>
  </si>
  <si>
    <t>אור לישראל</t>
  </si>
  <si>
    <t>פירון, ישראל בן מרדכי הלוי</t>
  </si>
  <si>
    <t>נושאים שונים, נושאים שונים, תנ"ך</t>
  </si>
  <si>
    <t>אור לישרים עם ביאור מאור משה - 2 כר'</t>
  </si>
  <si>
    <t>קורדובירו, משה בן יעקב - יודייקין, שמואל יצחק גד הכהן</t>
  </si>
  <si>
    <t>אור לישרים - 3 כר'</t>
  </si>
  <si>
    <t>איידליץ, אברהם משה זרח בן מאיר</t>
  </si>
  <si>
    <t>אור לישרים - ב</t>
  </si>
  <si>
    <t>האזנלויף, צבי הירש בן שרגא פייבל</t>
  </si>
  <si>
    <t>אור לישרים</t>
  </si>
  <si>
    <t>ויסברג, שמעון בן ברוך מאיר</t>
  </si>
  <si>
    <t>זאבי, אברהם ישראל בן בנימין</t>
  </si>
  <si>
    <t>תקכ"ג</t>
  </si>
  <si>
    <t>איזמיר Izmir</t>
  </si>
  <si>
    <t>יפה, רפאל בן יעקב</t>
  </si>
  <si>
    <t>אור לישרים - 4 כר'</t>
  </si>
  <si>
    <t>יפרח, יאיר בן יוסף ח.</t>
  </si>
  <si>
    <t>לאנדא, שלמה זלמן</t>
  </si>
  <si>
    <t>אור לישרים - 5 כר'</t>
  </si>
  <si>
    <t>קלרמן, אורי שרגא הלוי</t>
  </si>
  <si>
    <t>רייכמאנן, יחזקאל שרגא</t>
  </si>
  <si>
    <t>תפילות. סידור. תרכ"ה. זיטומיר</t>
  </si>
  <si>
    <t>זיטומיר</t>
  </si>
  <si>
    <t>אור למאיר - 2 כר'</t>
  </si>
  <si>
    <t>שפירא, מאיר יהודה בן דוד</t>
  </si>
  <si>
    <t>אור לנר - 2 כר'</t>
  </si>
  <si>
    <t>אוירבך, נאור אריה</t>
  </si>
  <si>
    <t>אור לנתיבתי</t>
  </si>
  <si>
    <t>אור לנתיבתי - עירובין</t>
  </si>
  <si>
    <t>טננבוים, דב מאיר בן אשר</t>
  </si>
  <si>
    <t>אור לנתיבתי - 19 כר'</t>
  </si>
  <si>
    <t>ירחון לתורה וחסידות בנתיבי רבותינו הקדושים לבית בעלזא</t>
  </si>
  <si>
    <t>אור לנתיבתי - 2 כר'</t>
  </si>
  <si>
    <t>ישיבת תורה אור</t>
  </si>
  <si>
    <t>אור לנתיבתי - 3 כר'</t>
  </si>
  <si>
    <t>אור לנתיבתי - בבא בתרא</t>
  </si>
  <si>
    <t>קובץ ישיבת נתיבות חכמה</t>
  </si>
  <si>
    <t>שוב, פנחס בן יעקב</t>
  </si>
  <si>
    <t>אור לעמים</t>
  </si>
  <si>
    <t>אור לפארו - 2 כר'</t>
  </si>
  <si>
    <t>צימטבוים, רפאל בן משה מרדכי הלוי</t>
  </si>
  <si>
    <t>אור לפני הדורשין</t>
  </si>
  <si>
    <t>תרע"ו</t>
  </si>
  <si>
    <t>אור לציון - 9 כר'</t>
  </si>
  <si>
    <t>אבא שאול, בן ציון</t>
  </si>
  <si>
    <t>אור לציון</t>
  </si>
  <si>
    <t>כהן, ציון חנן</t>
  </si>
  <si>
    <t>אור לשמים &lt;מהדורה חדשה&gt;</t>
  </si>
  <si>
    <t>רוטנברג, מאיר בן שמואל הלוי</t>
  </si>
  <si>
    <t>אור לשמים &lt;עין לשמים&gt; - 2 כר'</t>
  </si>
  <si>
    <t>אור לשמים &lt;תר"ך&gt;</t>
  </si>
  <si>
    <t>אור לשמים &lt;תרע"ד&gt;</t>
  </si>
  <si>
    <t>אור לשמינית</t>
  </si>
  <si>
    <t>אור מאיר</t>
  </si>
  <si>
    <t>דיינארד, אפרים בן יקותיאל גרשון</t>
  </si>
  <si>
    <t>אור מאיר - 2 כר'</t>
  </si>
  <si>
    <t>הררי, יעקב בן אליעזר</t>
  </si>
  <si>
    <t>חדש, מאיר הלוי - מזרחי, עמי</t>
  </si>
  <si>
    <t>מועדי ישראל, מחשבה ומוסר, תנ"ך</t>
  </si>
  <si>
    <t>אור מאיר - 4 כר'</t>
  </si>
  <si>
    <t>כולל ישיבת חכמי לובלין</t>
  </si>
  <si>
    <t>הלכה ומנהג, מועדי ישראל, קבצים וכתבי עת, ספרי זכרון ויובל</t>
  </si>
  <si>
    <t>אור מאיר - 3 כר'</t>
  </si>
  <si>
    <t>פוזנא, מאיר בן יוסף יצחק</t>
  </si>
  <si>
    <t>פוזנא, מאיר</t>
  </si>
  <si>
    <t>פרקי משניות לימוד ליום האזכרה</t>
  </si>
  <si>
    <t>אור מופלא</t>
  </si>
  <si>
    <t>גערמאן, יוסף שלמה בן נחום מאיר</t>
  </si>
  <si>
    <t>לעלוב</t>
  </si>
  <si>
    <t>צ'צ'יק, שמואל בן אברהם חיים</t>
  </si>
  <si>
    <t>מועדי ישראל, תולדות עם ישראל</t>
  </si>
  <si>
    <t>אור מופלא - ל"ג בעומר</t>
  </si>
  <si>
    <t>רז, אלעזר זאב בן בן ציון</t>
  </si>
  <si>
    <t>אור מיכאל</t>
  </si>
  <si>
    <t>ניסנוב, מיכאל</t>
  </si>
  <si>
    <t>אור מלא</t>
  </si>
  <si>
    <t>רוטנברג, ישראל צבי בן יוסף הלוי</t>
  </si>
  <si>
    <t>אור מנחם על פרקי אבות</t>
  </si>
  <si>
    <t>שטרן, מנחם מנדל</t>
  </si>
  <si>
    <t>אור מנחם - בראשית</t>
  </si>
  <si>
    <t>טויב, מנחם שלמה בן משה מקאלוב</t>
  </si>
  <si>
    <t>אור מנחם</t>
  </si>
  <si>
    <t>אור מציון - גיטין</t>
  </si>
  <si>
    <t>לוריא, מאיר</t>
  </si>
  <si>
    <t>אור מרדכי</t>
  </si>
  <si>
    <t>אור משה מאיר ושירת רינה</t>
  </si>
  <si>
    <t>הרבנים לבית פינטו</t>
  </si>
  <si>
    <t>אור משה - 3 כר'</t>
  </si>
  <si>
    <t>מנדלבום, בן ציון משה מאיר בן דוד</t>
  </si>
  <si>
    <t>דרושים, הלכה ומנהג, משנה, נושאים שונים, תלמוד בבלי</t>
  </si>
  <si>
    <t>אור משה</t>
  </si>
  <si>
    <t>אור מתוק - 2 כר'</t>
  </si>
  <si>
    <t>למפרט, ישראל בנימין בן דוד</t>
  </si>
  <si>
    <t>תרמ"ח - תרנ"ו</t>
  </si>
  <si>
    <t>אור נוגה - 2 כר'</t>
  </si>
  <si>
    <t>חמיץ, יוסף בן יהודה</t>
  </si>
  <si>
    <t>תי"ח</t>
  </si>
  <si>
    <t>אור נעלם</t>
  </si>
  <si>
    <t>אור נערב &lt;דפו"ר&gt;</t>
  </si>
  <si>
    <t>קורדובירו, משה בן יעקב</t>
  </si>
  <si>
    <t>שמ"ז</t>
  </si>
  <si>
    <t>אור נערב &lt;מהדורה חדשה&gt;</t>
  </si>
  <si>
    <t>אור נערב - 2 כר'</t>
  </si>
  <si>
    <t>אור נצח</t>
  </si>
  <si>
    <t>צציק, שמואל בן אברהם חיים</t>
  </si>
  <si>
    <t>ירושליםJerusalem</t>
  </si>
  <si>
    <t>אור נתנאל</t>
  </si>
  <si>
    <t>קווין, נתנאל הכהן</t>
  </si>
  <si>
    <t>אור עולם &lt;מהדורה חדשה&gt; - 2 כר'</t>
  </si>
  <si>
    <t>וואלי, משה דוד</t>
  </si>
  <si>
    <t>אור עולם &lt;הדרך הטוב והישר&gt; - 2 כר'</t>
  </si>
  <si>
    <t>מרגליות, מאיר בן צבי הירש</t>
  </si>
  <si>
    <t>אור עולם &lt;מאיר נתיבים&gt;</t>
  </si>
  <si>
    <t>אור עולם &lt;מהדורה חדשה&gt;</t>
  </si>
  <si>
    <t>אור עולם &lt;סוד יכין ובועז&gt; - 2 כר'</t>
  </si>
  <si>
    <t>אור עולם &lt;שו"ת&gt; - 2 כר'</t>
  </si>
  <si>
    <t>ניסן, עזרא בן מרדכי</t>
  </si>
  <si>
    <t>אור עולם - ע-ת</t>
  </si>
  <si>
    <t>אור עולם - 2 כר'</t>
  </si>
  <si>
    <t>אור עולם - 10 כר'</t>
  </si>
  <si>
    <t>מילר, אביגדור</t>
  </si>
  <si>
    <t>ערד</t>
  </si>
  <si>
    <t>אור עולם</t>
  </si>
  <si>
    <t>אור עולם - &lt;מאיר נתיבים&gt;</t>
  </si>
  <si>
    <t>תקנ"א - תקנ"ב</t>
  </si>
  <si>
    <t>פולנאה Polonnoye</t>
  </si>
  <si>
    <t>אור עולם - בשר בחלב</t>
  </si>
  <si>
    <t>פרובינצאל, יהודה נתן</t>
  </si>
  <si>
    <t>ש"ך</t>
  </si>
  <si>
    <t>אור עולם - 7 כר'</t>
  </si>
  <si>
    <t>קובץ, חבר תלמידי ישיבת חיי עולם</t>
  </si>
  <si>
    <t>אור עולם - תולדות  רמח"ל ומשנתו</t>
  </si>
  <si>
    <t>שריקי, מרדכי</t>
  </si>
  <si>
    <t>אור עינים - 2 כר'</t>
  </si>
  <si>
    <t>ספרין, אליעזר צבי בן יצחק יהודה יחיאל</t>
  </si>
  <si>
    <t>תרמ"ב - תרמ"ו</t>
  </si>
  <si>
    <t>אור עינים</t>
  </si>
  <si>
    <t>פונטאנילה, אברהם מיכאל בן שמואל חיים</t>
  </si>
  <si>
    <t>תקפ"ב</t>
  </si>
  <si>
    <t>רג'יו Reggio</t>
  </si>
  <si>
    <t>פניאל, שלמה בן אברהם</t>
  </si>
  <si>
    <t>אור עירובין</t>
  </si>
  <si>
    <t>קרביץ, אהרן בן נפתלי מנחם</t>
  </si>
  <si>
    <t>אור עמים</t>
  </si>
  <si>
    <t>ספורנו, עובדיה בן יעקב</t>
  </si>
  <si>
    <t>רצ"ז</t>
  </si>
  <si>
    <t>בולוניה Bologna</t>
  </si>
  <si>
    <t>אור עמרם - 2 כר'</t>
  </si>
  <si>
    <t>אור פני חיים - 2 כר'</t>
  </si>
  <si>
    <t>כהן, חיים (החלבן)</t>
  </si>
  <si>
    <t>אור פני יהושע - 2 כר'</t>
  </si>
  <si>
    <t>בוקסבוים, יהושע בן יוסף</t>
  </si>
  <si>
    <t>אור פני יצחק</t>
  </si>
  <si>
    <t>פייגנבוים, ישראל איסר בן יצחק</t>
  </si>
  <si>
    <t>אור פני מלך</t>
  </si>
  <si>
    <t>זק"ש, ניסן מאיר פייביל בן מרדכי יהודה ליב</t>
  </si>
  <si>
    <t>אור פני משה</t>
  </si>
  <si>
    <t>וינשטוק, חנוך חיים בן שלמה מנחם</t>
  </si>
  <si>
    <t>דרושים, הלכה ומנהג, תלמוד בבלי</t>
  </si>
  <si>
    <t>אור פני משה - 2 כר'</t>
  </si>
  <si>
    <t>זונטהיים, משה טוביה בן יחיאל מיכל</t>
  </si>
  <si>
    <t>למברגר, משה נתן נטע בן מנחם מנדל לבוב</t>
  </si>
  <si>
    <t>מנדלבוים, דוד אברהם בן משה</t>
  </si>
  <si>
    <t>משה בן אברהם מפלונץ'</t>
  </si>
  <si>
    <t>תקנ"ב</t>
  </si>
  <si>
    <t>אור פני משה - 3 כר'</t>
  </si>
  <si>
    <t>משה בן יצחק הלוי מפשוורסק</t>
  </si>
  <si>
    <t>ברדיטשוב Berdichev</t>
  </si>
  <si>
    <t>משנה, משנה, תלמוד בבלי, תנ"ך</t>
  </si>
  <si>
    <t>אור פני משה - א (תשע"ז, תשע"ח)</t>
  </si>
  <si>
    <t>קרעטישונוף</t>
  </si>
  <si>
    <t>אור פני משה - ב (תשע"ח, תשע"ט)</t>
  </si>
  <si>
    <t>קרעטשניף</t>
  </si>
  <si>
    <t>אור צבי - 10 כר'</t>
  </si>
  <si>
    <t>גומבו, צבי בן ראובן</t>
  </si>
  <si>
    <t>אור צבי</t>
  </si>
  <si>
    <t>צבי הירש בן מ זאב</t>
  </si>
  <si>
    <t>דרושים, דרושים, שאלות ותשובות, תולדות עם ישראל, תלמוד בבלי, תלמוד בבלי, תנ"ך</t>
  </si>
  <si>
    <t>אור צדיקים ודרך סעודה - 2 כר'</t>
  </si>
  <si>
    <t>הלכה ומנהג, מחשבה ומוסר, קבלה</t>
  </si>
  <si>
    <t>אור צדיקים</t>
  </si>
  <si>
    <t>קאלאמעא Kolomyea</t>
  </si>
  <si>
    <t>אור צדיקים - 2 כר'</t>
  </si>
  <si>
    <t>די קוריאל, ישראל בן מאיר</t>
  </si>
  <si>
    <t>משנה, נושאים שונים, שאלות ותשובות, תנ"ך, תנ"ך</t>
  </si>
  <si>
    <t>ת"נ</t>
  </si>
  <si>
    <t>המבורג Hamburg</t>
  </si>
  <si>
    <t>קניג, נתן צבי</t>
  </si>
  <si>
    <t>אור צהיר</t>
  </si>
  <si>
    <t>טורבוביץ, צבי הירש</t>
  </si>
  <si>
    <t>מגדיאל</t>
  </si>
  <si>
    <t>אור ציון</t>
  </si>
  <si>
    <t>לובאן, יוסף דוב</t>
  </si>
  <si>
    <t>אור צפון</t>
  </si>
  <si>
    <t>שונברג, אוריאל</t>
  </si>
  <si>
    <t>אור צפון - ביאור ההושענות ההקפות והנענועים</t>
  </si>
  <si>
    <t>שונברג, אריאל צבי</t>
  </si>
  <si>
    <t>אור קדוש</t>
  </si>
  <si>
    <t>יאללס, אורי בן אפרים צבי</t>
  </si>
  <si>
    <t>דרושים, חסידות, מועדי ישראל, משנה, נושאים שונים, שאלות ותשובות, תנ"ך</t>
  </si>
  <si>
    <t>אור קדמון</t>
  </si>
  <si>
    <t>בן זמרא, דוד בן שלמה אבי (רדב"ז)</t>
  </si>
  <si>
    <t>תס"ג</t>
  </si>
  <si>
    <t>אור רפאל</t>
  </si>
  <si>
    <t>אור רש"ז - 5 כר'</t>
  </si>
  <si>
    <t>זיו, שמחה זיסל בן ישראל</t>
  </si>
  <si>
    <t>תש"כ - תשכ"ד</t>
  </si>
  <si>
    <t>אור שבעת הימים - 3 כר'</t>
  </si>
  <si>
    <t>אור שבעת הרועים</t>
  </si>
  <si>
    <t>טויטו, אריה בן שמעון</t>
  </si>
  <si>
    <t>אור שלום</t>
  </si>
  <si>
    <t>ברגר, שלום בן אליעזר</t>
  </si>
  <si>
    <t>אור שלמה ומשה - פרק כיצד הרגל</t>
  </si>
  <si>
    <t>כולל אור שלמה ומשה</t>
  </si>
  <si>
    <t>אור שמואל - 8 כר'</t>
  </si>
  <si>
    <t>בית המדרש לתורה</t>
  </si>
  <si>
    <t>סקוקי</t>
  </si>
  <si>
    <t>אור שמונה</t>
  </si>
  <si>
    <t>מאסקאוויטש, יוסף חיים בן יחיאל מיכל</t>
  </si>
  <si>
    <t>אור שמח &lt;אור הבינה&gt; - נזיקין א</t>
  </si>
  <si>
    <t>כהן, מאיר שמחה בן שמשון קלונימוס - דסקל, יצחק בירך</t>
  </si>
  <si>
    <t>אור שמח &lt;מהדורה חדשה&gt; - א</t>
  </si>
  <si>
    <t>כהן, מאיר שמחה בן שמשון קלונימוס</t>
  </si>
  <si>
    <t>אור שמח חידושי מסכת פסחים</t>
  </si>
  <si>
    <t>חירארי, שמעון יוסף חיים</t>
  </si>
  <si>
    <t>אור שמח - קונטרס זיקה</t>
  </si>
  <si>
    <t>כהן, מאיר שמחה בן שמשון קלונימוס - טרנובסקי, יאיר בן משה</t>
  </si>
  <si>
    <t>אור שמח - 5 כר'</t>
  </si>
  <si>
    <t>אור שמח - חנוכה</t>
  </si>
  <si>
    <t>אור שמחה</t>
  </si>
  <si>
    <t>אפרתי, שמחה בן אפרים</t>
  </si>
  <si>
    <t>דרושים, מחשבה ומוסר, נושאים שונים</t>
  </si>
  <si>
    <t>מאלין, שאול שמחה בן יוסף שרגא פייבל</t>
  </si>
  <si>
    <t>ביאליסטאק</t>
  </si>
  <si>
    <t>אור שרגא - קובץ חידושי תורה</t>
  </si>
  <si>
    <t>כולל זכרון חיים - באבוב</t>
  </si>
  <si>
    <t>ניו יורק New York -</t>
  </si>
  <si>
    <t>אור שרגא</t>
  </si>
  <si>
    <t>פישמאן, שרגא פייש בן יחזקאל משה</t>
  </si>
  <si>
    <t>דרושים, מועדי ישראל, שלחן ערוך ומפרשיו, תלמוד בבלי, תנ"ך</t>
  </si>
  <si>
    <t>אור שרגא - שבת</t>
  </si>
  <si>
    <t>שרגא, שי יצחק בן ברוך</t>
  </si>
  <si>
    <t>אור שרה</t>
  </si>
  <si>
    <t>חי, יוסף</t>
  </si>
  <si>
    <t>אור תורה &lt;עם מכתב מאליהו&gt;</t>
  </si>
  <si>
    <t>די לונזאנו, מנחם בן יהודה</t>
  </si>
  <si>
    <t>תצ"ח</t>
  </si>
  <si>
    <t>הומבורג Homburg</t>
  </si>
  <si>
    <t>אור תורה &lt;שתי ידות&gt;</t>
  </si>
  <si>
    <t>תק"ה</t>
  </si>
  <si>
    <t>ברלין</t>
  </si>
  <si>
    <t>אור תורה &lt;לונדון&gt; - 3 כר'</t>
  </si>
  <si>
    <t>תרצ"ד - תרצ"ה</t>
  </si>
  <si>
    <t>אור תורה (רמזי תורה) - 2 כר'</t>
  </si>
  <si>
    <t>אור תורה המאיר</t>
  </si>
  <si>
    <t>אור תורה השלם - משמרת כהונה</t>
  </si>
  <si>
    <t>הולצשטוק, מאיר יחיאל בן אברהם יצחק הלוי</t>
  </si>
  <si>
    <t>אור תורה ומוסר</t>
  </si>
  <si>
    <t>אור תורה ממזרח</t>
  </si>
  <si>
    <t>מוקדש לתורה ומוסר</t>
  </si>
  <si>
    <t>שנגהאי</t>
  </si>
  <si>
    <t>אור תורה - 2 כר'</t>
  </si>
  <si>
    <t>קורץ Korets</t>
  </si>
  <si>
    <t>אור תורה - 3 כר'</t>
  </si>
  <si>
    <t>זליגסברג, מרדכי חיים בן אשר</t>
  </si>
  <si>
    <t>תר"כ - תרכ"ג</t>
  </si>
  <si>
    <t>אור תורה - 5 כר'</t>
  </si>
  <si>
    <t>ירחון תורני</t>
  </si>
  <si>
    <t>אור תורה - 361 כר'</t>
  </si>
  <si>
    <t>כהן, ישראל (עורך)</t>
  </si>
  <si>
    <t>מג'רי, פינחס בן זכריה</t>
  </si>
  <si>
    <t>עמרם, נתן בן חיים</t>
  </si>
  <si>
    <t>תר"י</t>
  </si>
  <si>
    <t>פלקסר, יעקב בן אברהם הכהן</t>
  </si>
  <si>
    <t>מחשבה ומוסר, קבצים וכתבי עת, ספרי זכרון ויובל, תלמוד בבלי</t>
  </si>
  <si>
    <t>תרנ"ז - תרס"א</t>
  </si>
  <si>
    <t>קולמיר, אורי בן דוד</t>
  </si>
  <si>
    <t>שווארץ, פינחס זעליג בן נפתלי הכהן</t>
  </si>
  <si>
    <t>תרצ"ב - תרצ"ד</t>
  </si>
  <si>
    <t>Kleinwardein קלינורד</t>
  </si>
  <si>
    <t>קבצים וכתבי עת, ספרי זכרון ויובל, קבצים וכתבי עת, ספרי זכרון ויובל</t>
  </si>
  <si>
    <t>אור תורה - 7 כר'</t>
  </si>
  <si>
    <t>שצ'יגל, מתתיהו זאב בן שמואל אריה</t>
  </si>
  <si>
    <t>תנ"ך. תר"ן. ליוורנו</t>
  </si>
  <si>
    <t>תנ"ך. תש"ח. ליוורנו</t>
  </si>
  <si>
    <t>אור תורת משה</t>
  </si>
  <si>
    <t>באיוק, יהודה משה בן יעקב</t>
  </si>
  <si>
    <t>אור תיקון שבת</t>
  </si>
  <si>
    <t>אורה ושמחה &lt;מהדורה חדשה&gt;</t>
  </si>
  <si>
    <t>הורוויץ, אברהם שמחה</t>
  </si>
  <si>
    <t>אורה ושמחה</t>
  </si>
  <si>
    <t>בורנשטיין, שמואל יעקב בן יששכר דב</t>
  </si>
  <si>
    <t>בן עמרם, שמואל בן שלמה</t>
  </si>
  <si>
    <t>אורה ושמחה - 6 כר'</t>
  </si>
  <si>
    <t>בראנדסדארפער, יוסף קדיש בן מאיר</t>
  </si>
  <si>
    <t>המניק, יעקב דוד בן משה</t>
  </si>
  <si>
    <t>חירארי, שמעון בן אברהם</t>
  </si>
  <si>
    <t>כהן, ישראל אלי</t>
  </si>
  <si>
    <t>אנגליה</t>
  </si>
  <si>
    <t>אורה ושמחה - חנוכה</t>
  </si>
  <si>
    <t>לקט</t>
  </si>
  <si>
    <t>פייאצה, משה אהרן רחמים</t>
  </si>
  <si>
    <t>תקמ"ו</t>
  </si>
  <si>
    <t>צדוק, דוד - אלמוג, שלמה</t>
  </si>
  <si>
    <t>אורה ושמחה - 2 כר'</t>
  </si>
  <si>
    <t>רוזנפלד, שמחה יאיר בן פינחס</t>
  </si>
  <si>
    <t>דרושים, נושאים שונים, תנ"ך, תנ"ך</t>
  </si>
  <si>
    <t>אורה וששון</t>
  </si>
  <si>
    <t>גולדשטיין, חיים בן פנחס</t>
  </si>
  <si>
    <t>אורה זו תורה - 55 כר'</t>
  </si>
  <si>
    <t>אורה לציון</t>
  </si>
  <si>
    <t>וויינגוט, אפרים שלמה זלמן בן מיכאל דוב</t>
  </si>
  <si>
    <t>אורה של הוראה</t>
  </si>
  <si>
    <t>קנר,יהודה</t>
  </si>
  <si>
    <t>אורה של ירושלים - רבי שלום משאש</t>
  </si>
  <si>
    <t>אלול, יוחנן שמעון בן יצחק</t>
  </si>
  <si>
    <t>אורה של תורה</t>
  </si>
  <si>
    <t>אפשטיין, זיידל</t>
  </si>
  <si>
    <t>אורו של יום - שבת קודש</t>
  </si>
  <si>
    <t>אורו של עולם - 2 כר'</t>
  </si>
  <si>
    <t>אורו של עולם</t>
  </si>
  <si>
    <t>יאמניק, מרדכי אריה הלוי בן אלחנן דב</t>
  </si>
  <si>
    <t>מועדי ישראל, נושאים שונים, תלמוד בבלי</t>
  </si>
  <si>
    <t>אורו של עולם - בראשית</t>
  </si>
  <si>
    <t>עזרא, יאיר</t>
  </si>
  <si>
    <t>אורות אור החיים</t>
  </si>
  <si>
    <t>אורות אליהו - 2 כר'</t>
  </si>
  <si>
    <t>רוסתמי, אליהו</t>
  </si>
  <si>
    <t>אורות אלים &lt;מהדורה חדשה&gt;</t>
  </si>
  <si>
    <t>פאפו, אליעזר בן יצחק</t>
  </si>
  <si>
    <t>אורות אלים - 2 כר'</t>
  </si>
  <si>
    <t>משנה, קבלה, שאר ספרי חז"ל, תלמוד בבלי</t>
  </si>
  <si>
    <t>אורות אלים</t>
  </si>
  <si>
    <t>דרושים, משנה, תלמוד בבלי, תנ"ך</t>
  </si>
  <si>
    <t>אורות אמונים - 4 כר'</t>
  </si>
  <si>
    <t>רבינוביץ, גמליאל בן אלחנן הכהן</t>
  </si>
  <si>
    <t>תשע"ג-תשע"ד</t>
  </si>
  <si>
    <t>אורות באופל</t>
  </si>
  <si>
    <t>אגוזי, עקיבא</t>
  </si>
  <si>
    <t>סט. לואיס</t>
  </si>
  <si>
    <t>אורות בין הזמנים - 2 כר'</t>
  </si>
  <si>
    <t>אורות הגר"א</t>
  </si>
  <si>
    <t>אורות ההלכה</t>
  </si>
  <si>
    <t>כהן, שמעון</t>
  </si>
  <si>
    <t>אורות הזוהר, ילקוט בנימין - 2 כר'</t>
  </si>
  <si>
    <t>אורות החג - 5 כר'</t>
  </si>
  <si>
    <t>קורסיה, שמעון בן יעקב</t>
  </si>
  <si>
    <t>אורות החומש</t>
  </si>
  <si>
    <t>אורות החיים</t>
  </si>
  <si>
    <t>אורות המאירים - ליקוטי ישכר</t>
  </si>
  <si>
    <t>אורות המוסר</t>
  </si>
  <si>
    <t>ג'קובס, יוסף בן יצחק הכהן</t>
  </si>
  <si>
    <t>אורות המועדים</t>
  </si>
  <si>
    <t>דרושים, מועדי ישראל, מחשבה ומוסר</t>
  </si>
  <si>
    <t>אורות המועדים - חנוכה</t>
  </si>
  <si>
    <t>לייפער, מאיר בן יוסף</t>
  </si>
  <si>
    <t>אורות המועדים - 2 כר'</t>
  </si>
  <si>
    <t>צוקר, שמואל יצחק בן יחיאל</t>
  </si>
  <si>
    <t>אורות המצות</t>
  </si>
  <si>
    <t>דיאש-בראנדון, בנימין רפאל</t>
  </si>
  <si>
    <t>תקי"ג</t>
  </si>
  <si>
    <t>אורות המשפט - 3 כר'</t>
  </si>
  <si>
    <t>אושינסקי, יצחק צבי</t>
  </si>
  <si>
    <t>אורות הנפש - אבלות</t>
  </si>
  <si>
    <t>מרדכי, משה בן אברהם</t>
  </si>
  <si>
    <t>אורות הסופרים - 3 כר'</t>
  </si>
  <si>
    <t>אורות הפורים</t>
  </si>
  <si>
    <t>בניש, חיים פינחס</t>
  </si>
  <si>
    <t>אורות הקודש &lt;דיבור ומחשבה - חוויית הקודש&gt; - ב</t>
  </si>
  <si>
    <t>קוק, אברהם יצחק בן שלמה זלמן הכהן - טולידאנו, שלמה ואהרן</t>
  </si>
  <si>
    <t>אורות הש"ס &lt;רוז'ין&gt;</t>
  </si>
  <si>
    <t>המגיד ממעזריטש וצאצאיו לבית רוז'ין</t>
  </si>
  <si>
    <t>משנה, משנה, תלמוד בבלי, תלמוד בבלי, תלמוד בבלי, תלמוד ירושלמי</t>
  </si>
  <si>
    <t>אורות השבת - 2 כר'</t>
  </si>
  <si>
    <t>אינג'י, הלל</t>
  </si>
  <si>
    <t>אורות התורה</t>
  </si>
  <si>
    <t>אור עציון</t>
  </si>
  <si>
    <t>אורות וזמנים</t>
  </si>
  <si>
    <t>קעפעטש, אליהו ברוך</t>
  </si>
  <si>
    <t>אורות חיים - חנוכה, ימי השובבי"ם</t>
  </si>
  <si>
    <t>אורות חיים - 3 כר'</t>
  </si>
  <si>
    <t>דרוק, חיים בן בנימין</t>
  </si>
  <si>
    <t>אורות חיים - דברי חיים - חנוכה</t>
  </si>
  <si>
    <t>האלברשטאם, חיים בן אריה ליבוש</t>
  </si>
  <si>
    <t>חסידות, מועדי ישראל, תפלות בקשות פיוטים ושירה</t>
  </si>
  <si>
    <t>אורות חיים</t>
  </si>
  <si>
    <t>הלברשטאם, חיים יצחק אייזיק</t>
  </si>
  <si>
    <t>אורות חתם סופר - 2 כר'</t>
  </si>
  <si>
    <t>סופר, משה בן שמואל - שטרסר, בן ציון</t>
  </si>
  <si>
    <t>אורות טהרת המשפחה</t>
  </si>
  <si>
    <t>אורות יהושע - חשון - אדר</t>
  </si>
  <si>
    <t>וויסבלום, יצחק</t>
  </si>
  <si>
    <t>דרושים, הלכה ומנהג, מועדי ישראל</t>
  </si>
  <si>
    <t>אורות יעקב</t>
  </si>
  <si>
    <t>בורטון, שניאור זלמן</t>
  </si>
  <si>
    <t>אורות ישמח ישראל</t>
  </si>
  <si>
    <t>דאנציגר, ירחמיאל ישראל יצחק בן יחיאל - טיברג, משה חיים (מלקט)</t>
  </si>
  <si>
    <t>תרע"א-תרע"ב</t>
  </si>
  <si>
    <t>אורות ישראל</t>
  </si>
  <si>
    <t>רבי ישראל מרוזין ובניו</t>
  </si>
  <si>
    <t>אורות מאופל</t>
  </si>
  <si>
    <t>לאנדוי, יעקב בן פינחס</t>
  </si>
  <si>
    <t>אורות ממזרח</t>
  </si>
  <si>
    <t>אורות ממיר</t>
  </si>
  <si>
    <t>פרוש, מרדכי</t>
  </si>
  <si>
    <t>אורות מן האבות</t>
  </si>
  <si>
    <t>קרית יערים</t>
  </si>
  <si>
    <t>אורות מנחם - בראשית</t>
  </si>
  <si>
    <t>גבאי, מנחם</t>
  </si>
  <si>
    <t>אורות מרדכי</t>
  </si>
  <si>
    <t>לייפער, מרדכי (עליו)</t>
  </si>
  <si>
    <t>הלכה ומנהג, חסידות, תולדות עם ישראל</t>
  </si>
  <si>
    <t>אורות משה - 9 כר'</t>
  </si>
  <si>
    <t>אגודת חסידי  קרעטשינוף</t>
  </si>
  <si>
    <t>אורות עמנואל</t>
  </si>
  <si>
    <t>עלון שבועי מועצה דתית עמנואל</t>
  </si>
  <si>
    <t>תשמ"ז-תשמ"ט</t>
  </si>
  <si>
    <t>עמנואל</t>
  </si>
  <si>
    <t>אורות פלא - 2 כר'</t>
  </si>
  <si>
    <t>מועדי ישראל, מחשבה ומוסר, תפלות בקשות פיוטים ושירה</t>
  </si>
  <si>
    <t>אורות צדיקים - חנוכה</t>
  </si>
  <si>
    <t>מייזליש, אהרן מאיר בן מיכאל שלמה דוד</t>
  </si>
  <si>
    <t>אורות - יב</t>
  </si>
  <si>
    <t>מכון שלהבת טשארנאביל</t>
  </si>
  <si>
    <t>אורות</t>
  </si>
  <si>
    <t>אורח אביעזרי</t>
  </si>
  <si>
    <t>אורח הדרך - הלכות מצויות להולכי דרכים</t>
  </si>
  <si>
    <t>מכון דברי יציב</t>
  </si>
  <si>
    <t>אורח הטהרה - 4 כר'</t>
  </si>
  <si>
    <t>אצור, אלחנן בן מיכאל</t>
  </si>
  <si>
    <t>אורח השבת - א-ב (בישול, הטמנה, שהיה, החזרה)</t>
  </si>
  <si>
    <t>אורח חיים ובינה במקרא</t>
  </si>
  <si>
    <t>אורח חיים</t>
  </si>
  <si>
    <t>חדאד, כ'מוס</t>
  </si>
  <si>
    <t>אורח חיים - 2 כר'</t>
  </si>
  <si>
    <t>נורצי, רפאל בן גבריאל</t>
  </si>
  <si>
    <t>תקי"ז</t>
  </si>
  <si>
    <t>פרג</t>
  </si>
  <si>
    <t>אורח חיים - 3 כר'</t>
  </si>
  <si>
    <t>שווארץ, חיים בן מנחם</t>
  </si>
  <si>
    <t>תרל"ב - תרמ"א</t>
  </si>
  <si>
    <t>אורח יאה - 2 כר'</t>
  </si>
  <si>
    <t>אורח ישר</t>
  </si>
  <si>
    <t>רבינוביץ, שמואל יעקב בן שמעון מאיר</t>
  </si>
  <si>
    <t>אורח ישראל</t>
  </si>
  <si>
    <t>גרוסמן, ישראל בן שניאור זלמן</t>
  </si>
  <si>
    <t>טאפלין, ישראל בן זיסא</t>
  </si>
  <si>
    <t>לייקווד</t>
  </si>
  <si>
    <t>אורח ישרים - 3 כר'</t>
  </si>
  <si>
    <t>אורח ישרים - הוריות</t>
  </si>
  <si>
    <t>מילר, אשר</t>
  </si>
  <si>
    <t>אורח ישרים - כריתות</t>
  </si>
  <si>
    <t>פאפע, נתנאל חיים בן משה נחמן</t>
  </si>
  <si>
    <t>אורח לחיים &lt;מהדורה חדשה&gt;</t>
  </si>
  <si>
    <t>לונטשיץ, שלמה אפרים בן אהרן</t>
  </si>
  <si>
    <t>אורח לחיים - 3 כר'</t>
  </si>
  <si>
    <t>אברהם חיים בן גדליה מזלוטשוב</t>
  </si>
  <si>
    <t>אורח לחיים</t>
  </si>
  <si>
    <t>זאוואדסקי, מיכאל זאב בן אהרן יחיאל</t>
  </si>
  <si>
    <t>דרושים, שלחן ערוך ומפרשיו</t>
  </si>
  <si>
    <t>שנ"ה</t>
  </si>
  <si>
    <t>לסין, יעקב משה בן שמואל ניסן הכהן</t>
  </si>
  <si>
    <t>סג"ל, חיים בן אברהם הלוי</t>
  </si>
  <si>
    <t>אורח לצדיק - בית אלימלך</t>
  </si>
  <si>
    <t>ווייסבלום, אליעזר ליפא בן אלימלך - וויסבר חיים דב</t>
  </si>
  <si>
    <t>חסידות, קבלה, תנ"ך</t>
  </si>
  <si>
    <t>אורח לצדיק - 3 כר'</t>
  </si>
  <si>
    <t>ווייסבלום, אליעזר ליפא בן אלימלך</t>
  </si>
  <si>
    <t>אורח לצדיק</t>
  </si>
  <si>
    <t>אורח לצדיק - מסורת תימן הקדומה</t>
  </si>
  <si>
    <t>צברי, ב</t>
  </si>
  <si>
    <t>אורח מישור &lt;מהדורה חדשה&gt;</t>
  </si>
  <si>
    <t>חאגיז, ישראל יעקב בן שמואל</t>
  </si>
  <si>
    <t>אורח מישור - 2 כר'</t>
  </si>
  <si>
    <t>אורח מישור</t>
  </si>
  <si>
    <t>חאגיז, ישראל יעקב בן שמואל, ומחברים נוספים</t>
  </si>
  <si>
    <t>פלם, אליהו בן יהודה</t>
  </si>
  <si>
    <t>קורח, פנחס בן יוסף</t>
  </si>
  <si>
    <t>קרמניצר, יוחנן בן מאיר</t>
  </si>
  <si>
    <t>רקח, יעקב בן שלמה</t>
  </si>
  <si>
    <t>אורח מישור, אלפא ביתא, תורת האדם, כתב יושר</t>
  </si>
  <si>
    <t>אורח מישרים החדש - ב"ק</t>
  </si>
  <si>
    <t>פאלייעוו, משה אהרן בן ישראל</t>
  </si>
  <si>
    <t>אורח מישרים - 3 כר'</t>
  </si>
  <si>
    <t>תלמוד בבלי, תלמוד בבלי, תלמוד בבלי</t>
  </si>
  <si>
    <t>אורח משפט</t>
  </si>
  <si>
    <t>אנאליק, שמעון דוב בר בן אברהם</t>
  </si>
  <si>
    <t>וויינגארטן, צבי בן ישראל</t>
  </si>
  <si>
    <t>אורח נאמן - 3 כר'</t>
  </si>
  <si>
    <t>אוירבאך, מנחם נתן נטע בן שלמה</t>
  </si>
  <si>
    <t>תרפ"ד - תרצ"א</t>
  </si>
  <si>
    <t>אורח שלמה - נדה</t>
  </si>
  <si>
    <t>פרנקל, רפאל שלמה בן שלמה</t>
  </si>
  <si>
    <t>אורח תשובה</t>
  </si>
  <si>
    <t>ברלין, אברהם</t>
  </si>
  <si>
    <t>אורחות אברהם</t>
  </si>
  <si>
    <t>גרוסברד, לוי</t>
  </si>
  <si>
    <t>אורחות בן שלוש</t>
  </si>
  <si>
    <t>סיאני, שלום מאיר בן ניסים</t>
  </si>
  <si>
    <t>אורחות גאולה</t>
  </si>
  <si>
    <t>גרוסברד, לוי בן אברהם אבא</t>
  </si>
  <si>
    <t>אורחות דוד</t>
  </si>
  <si>
    <t>רבינוביץ, דוד מתתיהו בן יחיאל יהושע</t>
  </si>
  <si>
    <t>אורחות הבית</t>
  </si>
  <si>
    <t>שטרנבוך, משה בן אשר</t>
  </si>
  <si>
    <t>אורחות הלכה</t>
  </si>
  <si>
    <t>שמעיה, משה חיים בן שלמה זלמן</t>
  </si>
  <si>
    <t>אורחות המשפטים - 3 כר'</t>
  </si>
  <si>
    <t>כ"ץ, אברהם שלמה בן אליהו הכהן</t>
  </si>
  <si>
    <t>תרצ"ט - תשכ"א</t>
  </si>
  <si>
    <t>אורחות הרב וראש הישיבה (הגר"פ שיינברג זצ"ל)</t>
  </si>
  <si>
    <t>אלון, ג.</t>
  </si>
  <si>
    <t>אורחות חיים &lt;נתיב חיים&gt;</t>
  </si>
  <si>
    <t>אשר בן יחיאל (רא"ש) - קלמן חיים בן פנחס יוסף</t>
  </si>
  <si>
    <t>אורחות חיים &lt;עלי אורח - דרשת התוי"ט&gt;</t>
  </si>
  <si>
    <t>אשר בן יחיאל (רא"ש)</t>
  </si>
  <si>
    <t>אורחות חיים &lt;ליקוטי יצחק&gt;</t>
  </si>
  <si>
    <t>לווינגר, יהודה אריה בן מרדכי הלוי</t>
  </si>
  <si>
    <t>אורחות חיים &lt;מהדורה חדשה&gt;</t>
  </si>
  <si>
    <t>אורחות חיים להרא"ש עם ביאור</t>
  </si>
  <si>
    <t>אורחות חיים מתורגם לאנגלית</t>
  </si>
  <si>
    <t>אשר בן יחיאל (רא"ש) - אורבך, כתריאל שלמה בן שמואל ברוך הכהן</t>
  </si>
  <si>
    <t>אורחות חיים</t>
  </si>
  <si>
    <t>באכריך, חיים בן עקיבא</t>
  </si>
  <si>
    <t>ישיבת שמחת יום טוב</t>
  </si>
  <si>
    <t>אורחות חיים - 2 כר'</t>
  </si>
  <si>
    <t>אורחות חנוכה</t>
  </si>
  <si>
    <t>סיאני, שלום מאיר</t>
  </si>
  <si>
    <t>אורחות יום טוב - 4 כר'</t>
  </si>
  <si>
    <t>קובץ ישיבת שערי יום טוב</t>
  </si>
  <si>
    <t>מועדי ישראל, מחשבה ומוסר, קבצים וכתבי עת, ספרי זכרון ויובל, תלמוד בבלי</t>
  </si>
  <si>
    <t>אורחות יושר</t>
  </si>
  <si>
    <t>מולכו, יצחק</t>
  </si>
  <si>
    <t>אורחות ימים</t>
  </si>
  <si>
    <t>הסגל, חנניה</t>
  </si>
  <si>
    <t>אורחות ישרים</t>
  </si>
  <si>
    <t>וגשל, שאול בן יהושע אהרן</t>
  </si>
  <si>
    <t>אורחות מוסר</t>
  </si>
  <si>
    <t>גולד, דורון דוד בן שמואל יהושע</t>
  </si>
  <si>
    <t>אורחות מתנה</t>
  </si>
  <si>
    <t>אורחות פרץ - 2 כר'</t>
  </si>
  <si>
    <t>סטינצקי, פרץ בן אלחנן אברהם</t>
  </si>
  <si>
    <t>אורחות פתחיה</t>
  </si>
  <si>
    <t>מנקין, פתחיה בן אריה ליב</t>
  </si>
  <si>
    <t>כפר הרואה</t>
  </si>
  <si>
    <t>אורחות צדיקים</t>
  </si>
  <si>
    <t>אורחות צדיקים. תר"ח</t>
  </si>
  <si>
    <t>אורחות צדיקים. תש"ו</t>
  </si>
  <si>
    <t>ניו יארק,</t>
  </si>
  <si>
    <t>אורחות ציונים - 2 כר'</t>
  </si>
  <si>
    <t>אורחות רבותינו ע"ס צעטיל קטן והנהגות האדם</t>
  </si>
  <si>
    <t>צדיקים לבית בעלזא</t>
  </si>
  <si>
    <t>אורחות רבותינו</t>
  </si>
  <si>
    <t>טשערנוביל</t>
  </si>
  <si>
    <t>חסידות, תפלות בקשות פיוטים ושירה</t>
  </si>
  <si>
    <t>אורחות שלמה</t>
  </si>
  <si>
    <t>אורחות תפילין</t>
  </si>
  <si>
    <t>מכון להבת דוד</t>
  </si>
  <si>
    <t>אורי וישעי - אוצרות יעקב</t>
  </si>
  <si>
    <t>אורי וישעי</t>
  </si>
  <si>
    <t>אברהם בן אליעזר הכהן</t>
  </si>
  <si>
    <t>אורי וישעי - ימים נוראים</t>
  </si>
  <si>
    <t>בוכריס, ישי</t>
  </si>
  <si>
    <t>כרם ביבנה</t>
  </si>
  <si>
    <t>אורי וישעי - 2 כר'</t>
  </si>
  <si>
    <t>דבדה, אברהם בן יעיש</t>
  </si>
  <si>
    <t>הולנדר, יצחק מאיר</t>
  </si>
  <si>
    <t>טויבש, אורי שרגא פייבל בן שמואל</t>
  </si>
  <si>
    <t>יונגרייז, אורי שרגא בן אהרן הלוי</t>
  </si>
  <si>
    <t>מוסדות אור תורת שלום</t>
  </si>
  <si>
    <t>אורי וישעי - 10 כר'</t>
  </si>
  <si>
    <t>פילץ, מאיר בן אביעזר</t>
  </si>
  <si>
    <t>דרושים, מועדי ישראל, תפלות בקשות פיוטים ושירה</t>
  </si>
  <si>
    <t>רייז, מאיר אריה בן מרדכי</t>
  </si>
  <si>
    <t>אורי וישעי - למכסה עתיק</t>
  </si>
  <si>
    <t>שחר, אורי - קנייבסקי, שמריהו יוסף חיים בן יעקב ישראל</t>
  </si>
  <si>
    <t>אורי חיים - 4 כר'</t>
  </si>
  <si>
    <t>ליפשיץ, חיים אורי בן משה</t>
  </si>
  <si>
    <t>אוריאל - 2 כר'</t>
  </si>
  <si>
    <t>אוריאן תליתאי</t>
  </si>
  <si>
    <t>גלרנטר, משה בן מנחם</t>
  </si>
  <si>
    <t>דרושים, מועדי ישראל, תלמוד בבלי, תנ"ך</t>
  </si>
  <si>
    <t>אוריין תליתאי</t>
  </si>
  <si>
    <t>אפשטיין, פינחס בן ישעיהו</t>
  </si>
  <si>
    <t>מודיליאנו, יוסף בן שמואל</t>
  </si>
  <si>
    <t>תקי"ח</t>
  </si>
  <si>
    <t>פיינגולד, אברהם אליהו בן דוד צבי</t>
  </si>
  <si>
    <t>אורייתא &lt;קובץ&gt; - 5 כר'</t>
  </si>
  <si>
    <t>איגוד בני תורה</t>
  </si>
  <si>
    <t>אורייתא &lt;קובץ תורני&gt; - 8 כר'</t>
  </si>
  <si>
    <t>ישיבת דרכי תורה</t>
  </si>
  <si>
    <t>אורייתא בחדוותא</t>
  </si>
  <si>
    <t>ישיבת באר יעקב</t>
  </si>
  <si>
    <t>אורייתא - א</t>
  </si>
  <si>
    <t>אורים גדולים - 2 כר'</t>
  </si>
  <si>
    <t>אורים והתומים - 2 כר'</t>
  </si>
  <si>
    <t>בכרך, אברהם אהרן בן מנחם מן</t>
  </si>
  <si>
    <t>תי"ג</t>
  </si>
  <si>
    <t>אורים ותומים &lt;מהדורה חדשה&gt; - 2 כר'</t>
  </si>
  <si>
    <t>אורים ותומים</t>
  </si>
  <si>
    <t>אורים ותומים. תפ"ח</t>
  </si>
  <si>
    <t>דירנפורט Dyhernfurt</t>
  </si>
  <si>
    <t>אורים ותומים - 3 כר'</t>
  </si>
  <si>
    <t>תרמ"ב</t>
  </si>
  <si>
    <t>האמבורגר, אורי פייבוש (אהרן) בן נפתלי הירץ</t>
  </si>
  <si>
    <t>תס"ז</t>
  </si>
  <si>
    <t>עראמה, מאיר בן יצחק</t>
  </si>
  <si>
    <t>אורים</t>
  </si>
  <si>
    <t>תלמידי הישיבה המרכזית</t>
  </si>
  <si>
    <t>אוריתא - 15 כר'</t>
  </si>
  <si>
    <t>לוין, עמיהוד יצחק מאיר (עורך)</t>
  </si>
  <si>
    <t>מועדי ישראל, קבצים וכתבי עת, ספרי זכרון ויובל, שאלות ותשובות</t>
  </si>
  <si>
    <t>אורך השולחן - הלכות אונאה</t>
  </si>
  <si>
    <t>כהנא, יששכר דוב הכהן</t>
  </si>
  <si>
    <t>אורך ימים - 2 כר'</t>
  </si>
  <si>
    <t>בנבנישתי, שמואל בן יעקב</t>
  </si>
  <si>
    <t>אורך ימים</t>
  </si>
  <si>
    <t>דיויד, יעקב</t>
  </si>
  <si>
    <t>אורך ימים - שבת ומועדים</t>
  </si>
  <si>
    <t>יונה, אברהם יאיר בן מנשה</t>
  </si>
  <si>
    <t>שצ'רנסקי, מאיר בן בנימין</t>
  </si>
  <si>
    <t>אורן של חכמים</t>
  </si>
  <si>
    <t>פרישמן, אברהם בן שלום משה</t>
  </si>
  <si>
    <t>אורן של חכמים - 2 כר'</t>
  </si>
  <si>
    <t>צדוק, אורן בן שמעון</t>
  </si>
  <si>
    <t>אושפיזא דיצחק</t>
  </si>
  <si>
    <t>בן זכרי, יצחק בן משה</t>
  </si>
  <si>
    <t>אושפיזין קדישין</t>
  </si>
  <si>
    <t>ליפסקי, אפרים יעקב בן מיכאל</t>
  </si>
  <si>
    <t>הלכה ומנהג, מועדי ישראל, תפלות בקשות פיוטים ושירה</t>
  </si>
  <si>
    <t>אושר אהרן</t>
  </si>
  <si>
    <t>וולינץ, אהרן אשר בן אברהם</t>
  </si>
  <si>
    <t>אושר הנישואין באותיות ומילים</t>
  </si>
  <si>
    <t>גלזרסון, מתתיהו</t>
  </si>
  <si>
    <t>אושר ירוחם</t>
  </si>
  <si>
    <t>ווארהפטיג, ירוחם אשר בן שלמה יעקב</t>
  </si>
  <si>
    <t>שונות</t>
  </si>
  <si>
    <t>אות אמת</t>
  </si>
  <si>
    <t>בנבנישתי, מאיר בן שמואל</t>
  </si>
  <si>
    <t>שכ"ה</t>
  </si>
  <si>
    <t>מונסונייגו, אברהם</t>
  </si>
  <si>
    <t>סיד, יהודה בן מנוח</t>
  </si>
  <si>
    <t>אות אמת - א</t>
  </si>
  <si>
    <t>פקידי ואמרכלי ערי הקודש</t>
  </si>
  <si>
    <t>תרי"ד - תרל"ד</t>
  </si>
  <si>
    <t>קראבצוב, לוי יצחק בן משה</t>
  </si>
  <si>
    <t>אות ברית קדש</t>
  </si>
  <si>
    <t>כנאפו, יוסף בן משה</t>
  </si>
  <si>
    <t>אות ברית קודש - סדר המילה והלכותיה</t>
  </si>
  <si>
    <t>פליגלמן, יצחק אהרן</t>
  </si>
  <si>
    <t>אות ברית</t>
  </si>
  <si>
    <t>אורלנסקי, מרדכי ישעיהו בן יעקב</t>
  </si>
  <si>
    <t>אות ברית - 2 כר'</t>
  </si>
  <si>
    <t>אלקיים, בנימין בן שלמה</t>
  </si>
  <si>
    <t>גרינולד, זאב</t>
  </si>
  <si>
    <t>סידון, שמעון בן יהודה</t>
  </si>
  <si>
    <t>תר"י - תרי"א</t>
  </si>
  <si>
    <t>אות הברית</t>
  </si>
  <si>
    <t>די שיגורה, רפאל פינחס יהושע בן שמואל</t>
  </si>
  <si>
    <t>טהרני, דוד בן יעקב</t>
  </si>
  <si>
    <t>אות היא לעולם - 2 כר'</t>
  </si>
  <si>
    <t>תרט"ז - תרכ"ה</t>
  </si>
  <si>
    <t>אות התפלין</t>
  </si>
  <si>
    <t>בוימינגר, משה אהרן דוב בן אביגדור</t>
  </si>
  <si>
    <t>אות ופלא</t>
  </si>
  <si>
    <t>אות זכרון</t>
  </si>
  <si>
    <t>קלוגר, אברהם בנימין בן שלמה</t>
  </si>
  <si>
    <t>אות חיים &lt;מהדורה חדשה&gt;</t>
  </si>
  <si>
    <t>שפירא, חיים אלעזר בן צבי הירש - צוקר, שלמה בן אליעזר</t>
  </si>
  <si>
    <t>אות חיים ושלום</t>
  </si>
  <si>
    <t>ברגסס Beregovo</t>
  </si>
  <si>
    <t>אות חיים - א</t>
  </si>
  <si>
    <t>ארלנגר, חיים אריה בן שמשון רפאל</t>
  </si>
  <si>
    <t>אות חיים</t>
  </si>
  <si>
    <t>סלומון, דוד בן חיים שלמה</t>
  </si>
  <si>
    <t>אות חיים - תיקון בית רחל, חיים ברצונו, חיים וחסד השלם</t>
  </si>
  <si>
    <t>קרויס, חיים בן ישעיה - גריפלד, משה חיים</t>
  </si>
  <si>
    <t>מועדי ישראל, נושאים שונים, תנ"ך</t>
  </si>
  <si>
    <t>אות ישראל</t>
  </si>
  <si>
    <t>חבזה, ישראל</t>
  </si>
  <si>
    <t>אות לטובה - נדה</t>
  </si>
  <si>
    <t>בצלאל, אברהם בן שמואל</t>
  </si>
  <si>
    <t>אות לטובה</t>
  </si>
  <si>
    <t>דיין, ניסים בן שלמה</t>
  </si>
  <si>
    <t>אות לטובה - 3 כר'</t>
  </si>
  <si>
    <t>יעקבזון, טוביה</t>
  </si>
  <si>
    <t>סטפאנסקי, אברהם בן ברוך הלוי</t>
  </si>
  <si>
    <t>קונציו, יוסף בן גרשום</t>
  </si>
  <si>
    <t>שפ"ז</t>
  </si>
  <si>
    <t>קירי Chieri</t>
  </si>
  <si>
    <t>אות לישועה</t>
  </si>
  <si>
    <t>אות לישראל</t>
  </si>
  <si>
    <t>מובשוביץ, ישראל בן שמואל דוד הלוי</t>
  </si>
  <si>
    <t>אות מלך</t>
  </si>
  <si>
    <t>רבותינו לבית רוז'ין</t>
  </si>
  <si>
    <t>אות נפש</t>
  </si>
  <si>
    <t>ידעיה המכונה שן בוניט דלוניל</t>
  </si>
  <si>
    <t>אות עולם</t>
  </si>
  <si>
    <t>הלכה ומנהג, קבלה, תפלות בקשות פיוטים ושירה</t>
  </si>
  <si>
    <t>אות ציון &lt;טקסט&gt;</t>
  </si>
  <si>
    <t>בלום, בן ציון בן עמרם</t>
  </si>
  <si>
    <t>אות ציון</t>
  </si>
  <si>
    <t>אות קין</t>
  </si>
  <si>
    <t>וזלמן, מ - גרילק, מנחם</t>
  </si>
  <si>
    <t>אות שלום &lt;מהדורה חדשה&gt;</t>
  </si>
  <si>
    <t>אותות השמים</t>
  </si>
  <si>
    <t>אבן-תיבון, שמואל בן יהודה</t>
  </si>
  <si>
    <t>אריה ליב בן יהודה הלוי מסטריזוב</t>
  </si>
  <si>
    <t>אותות ומועדים</t>
  </si>
  <si>
    <t>אייזנבאך, יהושע בן יצחק אייזיק</t>
  </si>
  <si>
    <t>אותות ומופתים</t>
  </si>
  <si>
    <t>אותות שלשה - קדושתא קלירית לשבת חנוכה וראש חודש (תדפיס)</t>
  </si>
  <si>
    <t>אליצור, שולמית</t>
  </si>
  <si>
    <t>אותיות אליהו</t>
  </si>
  <si>
    <t>הכהן, אליהו בן אברהם שלמה</t>
  </si>
  <si>
    <t>אותיות דר' יצחק &lt;מהדורה חדשה&gt; - 2 כר'</t>
  </si>
  <si>
    <t>יצחק אייזיק בן יעקב הלוי</t>
  </si>
  <si>
    <t>אותיות דר' יצחק - 2 כר'</t>
  </si>
  <si>
    <t>אותיות דרבי עקיבא &lt;דפו"ר&gt;</t>
  </si>
  <si>
    <t>אותיות דרבי עקיבא</t>
  </si>
  <si>
    <t>אותיות דרבי עקיבא איגר</t>
  </si>
  <si>
    <t>אותיות דרבי עקיבא השלם</t>
  </si>
  <si>
    <t>אותיות דרבי עקיבא. ש"ץ</t>
  </si>
  <si>
    <t>ש"ץ</t>
  </si>
  <si>
    <t>מדרש</t>
  </si>
  <si>
    <t>ר"פ</t>
  </si>
  <si>
    <t>אותיות האלף בית</t>
  </si>
  <si>
    <t>שטרן, יחיאל מיכל</t>
  </si>
  <si>
    <t>אותיות החיים</t>
  </si>
  <si>
    <t>ליקוט מספר חפץ חיים</t>
  </si>
  <si>
    <t>אותיות הרב</t>
  </si>
  <si>
    <t>ויינר, משה בן אברהם זלמן</t>
  </si>
  <si>
    <t>אותיות ומופתים בגימטריא</t>
  </si>
  <si>
    <t>שטרנפלד, נחמן בן פסח</t>
  </si>
  <si>
    <t>אותיות ומשמעותם במקרא - 6 כר'</t>
  </si>
  <si>
    <t>לויאן, משה</t>
  </si>
  <si>
    <t>אותיות למשה - 13 כר'</t>
  </si>
  <si>
    <t>אותיות לרבינו סעדיה</t>
  </si>
  <si>
    <t>סעדיה בן יוסף גאון</t>
  </si>
  <si>
    <t>אותיות לשון הקודש</t>
  </si>
  <si>
    <t>אותיות מחכימות</t>
  </si>
  <si>
    <t>גולדין, יצחק דוב (איזיק בר)</t>
  </si>
  <si>
    <t>אותיות מחכימות - 2 כר'</t>
  </si>
  <si>
    <t>גפן, יעקב ברוך בן יוסף צבי</t>
  </si>
  <si>
    <t>אותיות נחות</t>
  </si>
  <si>
    <t>אבן-חיוג', יהודה בן דוד</t>
  </si>
  <si>
    <t>תשי"ז - תשי"ח</t>
  </si>
  <si>
    <t>אותיות פורחות</t>
  </si>
  <si>
    <t>אותיות של רבי עקיבא</t>
  </si>
  <si>
    <t>אותיות דרבי עקיבא. ר"פ</t>
  </si>
  <si>
    <t>אותיות דרבי עקיבא. ש"ו</t>
  </si>
  <si>
    <t>אותך אבקש - 3 כר'</t>
  </si>
  <si>
    <t>קלוגר, אברהם צבי</t>
  </si>
  <si>
    <t>אותך קויתי</t>
  </si>
  <si>
    <t>אותת למועדים</t>
  </si>
  <si>
    <t>אשר אנזיל בן יהודה ליב</t>
  </si>
  <si>
    <t>תקי"ב</t>
  </si>
  <si>
    <t>אז אמר שלמה</t>
  </si>
  <si>
    <t>קליין, שלמה זאב</t>
  </si>
  <si>
    <t>אז אמרתי</t>
  </si>
  <si>
    <t>מורסיאנו, אליהו בן שלמה</t>
  </si>
  <si>
    <t>אז ברית</t>
  </si>
  <si>
    <t>איצקוביץ, אברהם זאב בן צבי</t>
  </si>
  <si>
    <t>אז דרש</t>
  </si>
  <si>
    <t>אז יאמרו - 2 כר'</t>
  </si>
  <si>
    <t>גולדברגר, יצחק אהרן</t>
  </si>
  <si>
    <t>אז ירננו</t>
  </si>
  <si>
    <t>אז ישוררו</t>
  </si>
  <si>
    <t>אז ישיר משה</t>
  </si>
  <si>
    <t>ספר זכרון לרב רפאל משה גולדשמיט</t>
  </si>
  <si>
    <t>אז ישיר</t>
  </si>
  <si>
    <t>אדלמן, זלמן</t>
  </si>
  <si>
    <t>אז ישיר - 2 כר'</t>
  </si>
  <si>
    <t>מלכא, יואל בן יוסף</t>
  </si>
  <si>
    <t>קראהן, אברהם זעליג בן פסח יוסף</t>
  </si>
  <si>
    <t>אז ישיר - שבועות</t>
  </si>
  <si>
    <t>שווערד, משה בן אריה זאב</t>
  </si>
  <si>
    <t>אז כצבי</t>
  </si>
  <si>
    <t>אז לשון שירה</t>
  </si>
  <si>
    <t>אז נדברו - 7 כר'</t>
  </si>
  <si>
    <t>בית אהרן בעלזא</t>
  </si>
  <si>
    <t>אז נדברו - בראשית</t>
  </si>
  <si>
    <t>זילבערשטיין, אהרן</t>
  </si>
  <si>
    <t>אז נדברו - 14 כר'</t>
  </si>
  <si>
    <t>זילבר, בנימין יהושע בן ברוך</t>
  </si>
  <si>
    <t>תשכ"ט - תשמ"ד</t>
  </si>
  <si>
    <t>אז נדברו - 5 כר'</t>
  </si>
  <si>
    <t>חבורות ליל שישי קרית יואל</t>
  </si>
  <si>
    <t>אז נדברו - 42 כר'</t>
  </si>
  <si>
    <t>ירחון ויז'ניץ</t>
  </si>
  <si>
    <t>תשמ"ז - תשמ"ח</t>
  </si>
  <si>
    <t>אז נצטוו</t>
  </si>
  <si>
    <t>אז ראה ויספרה</t>
  </si>
  <si>
    <t>נסים, דב</t>
  </si>
  <si>
    <t>אז שמח</t>
  </si>
  <si>
    <t>אז תשכיל - 2 כר'</t>
  </si>
  <si>
    <t>זילברשטיין, אהרן בן יוסף צבי</t>
  </si>
  <si>
    <t>אז תשמח</t>
  </si>
  <si>
    <t>גלייוויץ, יעקב בן שלמה</t>
  </si>
  <si>
    <t>ברונא</t>
  </si>
  <si>
    <t>אזהרה לכהנים</t>
  </si>
  <si>
    <t>מן, שמעון</t>
  </si>
  <si>
    <t>אזהרה</t>
  </si>
  <si>
    <t>אזהרות &lt;פתיל תכלת&gt;</t>
  </si>
  <si>
    <t>אבן-גבירול, שלמה בן יהודה - חאגיז, יעקב בן שמואל</t>
  </si>
  <si>
    <t>תי"ב</t>
  </si>
  <si>
    <t>אזהרות &lt;ישיר משה&gt;</t>
  </si>
  <si>
    <t>יצחק בן ראובן אלברג'לוני</t>
  </si>
  <si>
    <t>תט"ו</t>
  </si>
  <si>
    <t>אזהרות להרב שמואל אלבז</t>
  </si>
  <si>
    <t>אלבז, שמואל בן יהודה</t>
  </si>
  <si>
    <t>אזהרות לחג השבועות לרבינו אליהו זקן &lt;הידור זקן&gt;</t>
  </si>
  <si>
    <t>אליהו בן מנחם הזקן</t>
  </si>
  <si>
    <t>אזהרות לרבינו שלמה בן גבירול עם זוהר הרקיע &lt;זיו הזהר&gt;</t>
  </si>
  <si>
    <t>דוראן, שמעון בן צמח - אברהם, דוד בן אברהם</t>
  </si>
  <si>
    <t>אזהרות לשבועות &lt;שמע אברהם&gt;</t>
  </si>
  <si>
    <t>חפוטא, אברהם בן יאיר</t>
  </si>
  <si>
    <t>פתח תקווה</t>
  </si>
  <si>
    <t>אזהרות על סדר עשרת הדברות &lt;אוסף לקח&gt;</t>
  </si>
  <si>
    <t>סעדיה בן יוסף גאון - נידלמן גדליה</t>
  </si>
  <si>
    <t>אזהרות רבינו אליהו הזקן עם ביאור מתק אזהרות</t>
  </si>
  <si>
    <t>שפירא, ישראל איסר בן רפאל</t>
  </si>
  <si>
    <t>אזהרות</t>
  </si>
  <si>
    <t>אבן-גבירול, שלמה בן יהודה</t>
  </si>
  <si>
    <t>של"ב</t>
  </si>
  <si>
    <t>מלמד, סימן טוב</t>
  </si>
  <si>
    <t>אזהרת הקדש</t>
  </si>
  <si>
    <t>אזהרת הקודש</t>
  </si>
  <si>
    <t>אזהרת הקודש. ת"ן</t>
  </si>
  <si>
    <t>ת"ן</t>
  </si>
  <si>
    <t>אזהרת נשים</t>
  </si>
  <si>
    <t>רצ"ה</t>
  </si>
  <si>
    <t>קרקוב</t>
  </si>
  <si>
    <t>אזהרת שבת - 3 כר'</t>
  </si>
  <si>
    <t>מאלצאן, יצחק בן שמואל</t>
  </si>
  <si>
    <t>דרושים, הלכה ומנהג, מחשבה ומוסר, מחשבה ומוסר, נושאים שונים</t>
  </si>
  <si>
    <t>אזור אליהו</t>
  </si>
  <si>
    <t>הורשובסקי, אליהו בן אברהם יעקב</t>
  </si>
  <si>
    <t>תולדות עם ישראל, תנ"ך</t>
  </si>
  <si>
    <t>לרמאן, אליהו בן אברהם יוזפא</t>
  </si>
  <si>
    <t>אזור האמונה</t>
  </si>
  <si>
    <t>האגר, משה בן יעקב שמשון</t>
  </si>
  <si>
    <t>אזור הצבי</t>
  </si>
  <si>
    <t>ילין, אברהם בן אריה זאב</t>
  </si>
  <si>
    <t>אזכרה מצוק</t>
  </si>
  <si>
    <t>חבר סופרים</t>
  </si>
  <si>
    <t>אזמ"ר בשבחין - תולדות ריא"ז מרגליות, שאל אביך</t>
  </si>
  <si>
    <t>מרגליות, ישעיה אשר זליג - מרגליות שלמה אליעזר בן ישעיה (עליהם)</t>
  </si>
  <si>
    <t>אזמר בשבחין - נר יצחק</t>
  </si>
  <si>
    <t>אביחצירא, שמעון (עורך)</t>
  </si>
  <si>
    <t>אזמר בשבחין - זמירות לשבת קודש מפורשות ומבוארות</t>
  </si>
  <si>
    <t>לוי, אהרן בן בנימין יוסף</t>
  </si>
  <si>
    <t>אזמרה שמך</t>
  </si>
  <si>
    <t>אזמרה</t>
  </si>
  <si>
    <t>מתורת רבי נחמן מברסלב</t>
  </si>
  <si>
    <t>אזן אהרן &lt;מהדורה חדשה&gt;</t>
  </si>
  <si>
    <t>עזריאל, אהרן בן עזריאל</t>
  </si>
  <si>
    <t>אזן אהרן - 2 כר'</t>
  </si>
  <si>
    <t>אזני יהושע &lt;מהדורה חדשה&gt; - 4 כר'</t>
  </si>
  <si>
    <t>בנבנישתי, יהושע רפאל בן ישראל</t>
  </si>
  <si>
    <t>אזני יהושע</t>
  </si>
  <si>
    <t>תל"ז</t>
  </si>
  <si>
    <t>משה, יהושע</t>
  </si>
  <si>
    <t>סיגל, יהושע בן משה יוסף</t>
  </si>
  <si>
    <t>אזנים לתורה - 5 כר'</t>
  </si>
  <si>
    <t>סורוצקין, זלמן בן בן ציון</t>
  </si>
  <si>
    <t>תשי"א - תש"כ</t>
  </si>
  <si>
    <t>אזעקת אמת</t>
  </si>
  <si>
    <t>בן צור, צביאלי</t>
  </si>
  <si>
    <t>נשרי, אברהם צבי</t>
  </si>
  <si>
    <t>אזרח רענן</t>
  </si>
  <si>
    <t>טויבר, ישראל איסר בן זרח</t>
  </si>
  <si>
    <t>אח לצרה</t>
  </si>
  <si>
    <t>גרינוואלד, יקותיאל יהודה בן יעקב</t>
  </si>
  <si>
    <t>אחד אני יודע</t>
  </si>
  <si>
    <t>פישמן, שלמה אליעזר בן אלימלך</t>
  </si>
  <si>
    <t>אחד היה אברהם</t>
  </si>
  <si>
    <t>בכרך, יהושע</t>
  </si>
  <si>
    <t>גרליץ, מנחם מנדל</t>
  </si>
  <si>
    <t>אחד היה אברהם - א</t>
  </si>
  <si>
    <t>רוט, שלמה</t>
  </si>
  <si>
    <t>אחד מל"ו</t>
  </si>
  <si>
    <t>אחד מלך העולם</t>
  </si>
  <si>
    <t>אחדות ישראל - 2 כר'</t>
  </si>
  <si>
    <t>אסייג, נסים</t>
  </si>
  <si>
    <t>אחדות ישראל</t>
  </si>
  <si>
    <t>רוזנבוים, יצחק אייזיק בן איתמר</t>
  </si>
  <si>
    <t>אחוה דעי - 3 כר'</t>
  </si>
  <si>
    <t>אחוה והשפעה</t>
  </si>
  <si>
    <t>מאור, מנחם זאב</t>
  </si>
  <si>
    <t>אחוזת ארץ</t>
  </si>
  <si>
    <t>לופס, אליהו - עדס, משה</t>
  </si>
  <si>
    <t>אחוזת שדה</t>
  </si>
  <si>
    <t>סיגל, שמואל דוד בן יוסף משה</t>
  </si>
  <si>
    <t>בולטימור</t>
  </si>
  <si>
    <t>אחוית אחידן: או פתרון החידה חד גדיא</t>
  </si>
  <si>
    <t>אחות יהודה</t>
  </si>
  <si>
    <t>פולישץ, יהודה</t>
  </si>
  <si>
    <t>אחות קטנה</t>
  </si>
  <si>
    <t>סדר ליל ראש השנה</t>
  </si>
  <si>
    <t>סלוניקי</t>
  </si>
  <si>
    <t>רוטר, חיים בן אהרן ישעיה</t>
  </si>
  <si>
    <t>אחותי כלה</t>
  </si>
  <si>
    <t>ארבל, אברהם בן צבי</t>
  </si>
  <si>
    <t>אחזת הלויים</t>
  </si>
  <si>
    <t>קירש, חיים זאב בן צבי מנחם הלוי</t>
  </si>
  <si>
    <t>אחזת מרעים</t>
  </si>
  <si>
    <t>דה-לוו, יעקב בן חיים</t>
  </si>
  <si>
    <t>אחי וראש</t>
  </si>
  <si>
    <t>אלטמן, שמשון בן שרגא צבי</t>
  </si>
  <si>
    <t>אחי וראש - 2 כר'</t>
  </si>
  <si>
    <t>חיים יהודה אברהם בן יהושע אברהם יהודה</t>
  </si>
  <si>
    <t>אחיאסף - 2 כר'</t>
  </si>
  <si>
    <t>אחיאסף</t>
  </si>
  <si>
    <t>סצ'יז'וב Strzyzow</t>
  </si>
  <si>
    <t>אחיה ואספר</t>
  </si>
  <si>
    <t>חדאד, אפרים</t>
  </si>
  <si>
    <t>אחים בהספדא</t>
  </si>
  <si>
    <t>נוסבוים, חיים אלחנן אליעזר (עליו)</t>
  </si>
  <si>
    <t>דרושים, קבצים וכתבי עת, ספרי זכרון ויובל, שלחן ערוך ומפרשיו</t>
  </si>
  <si>
    <t>אחים בהספידא</t>
  </si>
  <si>
    <t>אחים יחדיו - 2 כר'</t>
  </si>
  <si>
    <t>אחימלך הכהן</t>
  </si>
  <si>
    <t>הכהן, ניסים בן כמוס</t>
  </si>
  <si>
    <t>אחימע"ץ</t>
  </si>
  <si>
    <t>חורי, ברוך - עטיה, יהושע</t>
  </si>
  <si>
    <t>אחיסמך</t>
  </si>
  <si>
    <t>אחיעזר &lt;מהדורה חדשה&gt; - 4 כר'</t>
  </si>
  <si>
    <t>אחיעזר &lt;קובץ אגרות&gt; - 2 כר'</t>
  </si>
  <si>
    <t>אחיעזר - 4 כר'</t>
  </si>
  <si>
    <t>תרפ"ב - תרצ"ט</t>
  </si>
  <si>
    <t>אחיעזר - חייו ופעולותיו</t>
  </si>
  <si>
    <t>רוטשטיין, שמואל יצחק</t>
  </si>
  <si>
    <t>אחלמה</t>
  </si>
  <si>
    <t>אברהם בן רם</t>
  </si>
  <si>
    <t>אחלקם ביעקב</t>
  </si>
  <si>
    <t>הורביץ, אלטר יהודה יחזקאל בן יעקב שרגא פייביש</t>
  </si>
  <si>
    <t>אחסה בו</t>
  </si>
  <si>
    <t>אחר האסף [סרנא]</t>
  </si>
  <si>
    <t>אחר מיטתו</t>
  </si>
  <si>
    <t>אחר שלישים במועצות אשים</t>
  </si>
  <si>
    <t>רבי יצחק ברבי יהודה - סטל יעקב ישראל</t>
  </si>
  <si>
    <t>אחרון הגאונים בתוניסיה - 2 כר'</t>
  </si>
  <si>
    <t>פרץ, חנה</t>
  </si>
  <si>
    <t>אחרי הקוצרים</t>
  </si>
  <si>
    <t>רוט, אברהם משה בן אהרן יהודה הלוי</t>
  </si>
  <si>
    <t>אחרי מות קדושים</t>
  </si>
  <si>
    <t>מלכוב, יעקב ישראל בן אליעזר</t>
  </si>
  <si>
    <t>יפו Jaffa</t>
  </si>
  <si>
    <t>אחרי ראי - 2 כר'</t>
  </si>
  <si>
    <t>רוזן, אהרן יוסף בן יצחק יחיאל מיכל</t>
  </si>
  <si>
    <t>הלכה ומנהג, מועדי ישראל, מחשבה ומוסר, נושאים שונים</t>
  </si>
  <si>
    <t>אחריך בנימין</t>
  </si>
  <si>
    <t>אלקבץ, אלעד</t>
  </si>
  <si>
    <t>אחרית האדם בעולם הזה</t>
  </si>
  <si>
    <t>אחרית השנים - 2 כר'</t>
  </si>
  <si>
    <t>רבינוביץ תאומים, אליהו דוד בן בנימין (האדר"ת)</t>
  </si>
  <si>
    <t>אחרית ים</t>
  </si>
  <si>
    <t>כהנא שפירא, דב בער בן אליהו דוד</t>
  </si>
  <si>
    <t>אחרית כראשית</t>
  </si>
  <si>
    <t>שפירא, אריה בן רפאל</t>
  </si>
  <si>
    <t>אחרית לאיש שלום &lt;מסכת חייו של רבי שלום טובי&gt;</t>
  </si>
  <si>
    <t>טובי, יהודה בן שלום</t>
  </si>
  <si>
    <t>אחרית לאיש שלום</t>
  </si>
  <si>
    <t>בלעיש, אברהם בן שלום</t>
  </si>
  <si>
    <t>אחרית</t>
  </si>
  <si>
    <t>רבר, שמואל</t>
  </si>
  <si>
    <t>אחת ולתמיד</t>
  </si>
  <si>
    <t>נתנזדה, יגאל בן משה</t>
  </si>
  <si>
    <t>אחת שאלתי - 2 כר'</t>
  </si>
  <si>
    <t>יוזעף, יצחק זאב בן אברהם</t>
  </si>
  <si>
    <t>אחת שאלתי</t>
  </si>
  <si>
    <t>קרליץ, חיים שאול בן מאיר</t>
  </si>
  <si>
    <t>אטה למשל - 3 כר'</t>
  </si>
  <si>
    <t>לחובר, דוד בן משה</t>
  </si>
  <si>
    <t>אטלס עץ חיים - 16 כר'</t>
  </si>
  <si>
    <t>הלפרין, רפאל בן יעקב</t>
  </si>
  <si>
    <t>אי אחינו ב"י רשאים לשנות ממבטא אשכנזי למבטא ספרדי</t>
  </si>
  <si>
    <t>מונק, עזרא</t>
  </si>
  <si>
    <t>איבא דאברהם</t>
  </si>
  <si>
    <t>לייפער, אברהם אבא בן יוסף</t>
  </si>
  <si>
    <t>איבעיא להו</t>
  </si>
  <si>
    <t>גרינבוים, ברוך צבי בן ישראל מרדכי</t>
  </si>
  <si>
    <t>איבער שטיין און שטאק</t>
  </si>
  <si>
    <t>צאנין, מ</t>
  </si>
  <si>
    <t>איגרא רמה - 2 כר'</t>
  </si>
  <si>
    <t>איגרא, משולם בן שמשון</t>
  </si>
  <si>
    <t>איגרות סופרים</t>
  </si>
  <si>
    <t>סופר, שלמה בן אברהם שמואל בנימין</t>
  </si>
  <si>
    <t>איגרי דבי הילולי - 2 כר'</t>
  </si>
  <si>
    <t>פרידמן, שמואל דוד בן יום טוב ליפא הכהן</t>
  </si>
  <si>
    <t>איגרת לבן ישיבה - ה</t>
  </si>
  <si>
    <t>המרכז להדרכה</t>
  </si>
  <si>
    <t>איגרת לבר מצוה</t>
  </si>
  <si>
    <t>נאטאן, מרדכי רפאל</t>
  </si>
  <si>
    <t>איגרת להורים</t>
  </si>
  <si>
    <t>איגרת לצעיר</t>
  </si>
  <si>
    <t>חוג הצעירים של הסתדרות פא"י</t>
  </si>
  <si>
    <t>איגרת פורים</t>
  </si>
  <si>
    <t>לוי, נתן - לוי, אברהם בן יצחק</t>
  </si>
  <si>
    <t>איגרתא חדא &lt;מהדורה חדשה&gt;</t>
  </si>
  <si>
    <t>איגרתא חדא - 2 כר'</t>
  </si>
  <si>
    <t>אידנו</t>
  </si>
  <si>
    <t>פוליאצ'יק, שלמה בן יוסף</t>
  </si>
  <si>
    <t>אידעאלאגיע פון יידישן אלף בית</t>
  </si>
  <si>
    <t>ליפינר, אליהו</t>
  </si>
  <si>
    <t>בואנוס אירס Buenos</t>
  </si>
  <si>
    <t>אידרת אליהו - אדרא זוטא ע"פ הגר"א עם ביאור</t>
  </si>
  <si>
    <t>אליהו בן שלמה זלמן (הגר"א) - שפירא, אריה בן רפאל</t>
  </si>
  <si>
    <t>איה סופר</t>
  </si>
  <si>
    <t>רובינשטיין, מרדכי בן דוד צבי</t>
  </si>
  <si>
    <t>איוב &lt;רס"ג&gt;</t>
  </si>
  <si>
    <t>איוב &lt;עם באור נחמד&gt;</t>
  </si>
  <si>
    <t>שמחה אריה בן אפרים פישל הלוי מהרובשוב</t>
  </si>
  <si>
    <t>איוב &lt;ע"פ יצחק ב"ר שלמה הכהן&gt;</t>
  </si>
  <si>
    <t>תנ"ך. ש"ה. קושטא</t>
  </si>
  <si>
    <t>איוב &lt;ע"פ ר"י כהן&gt;</t>
  </si>
  <si>
    <t>איוב כמו שהוא - 2 כר'</t>
  </si>
  <si>
    <t>מרגליות, רחל</t>
  </si>
  <si>
    <t>איוב עם העתקה בלשון פארסי</t>
  </si>
  <si>
    <t>תנ"ך. תרנ"ה. ירושלים</t>
  </si>
  <si>
    <t>איומה כנדגלות</t>
  </si>
  <si>
    <t>עונקיניירה, יצחק בן שמואל</t>
  </si>
  <si>
    <t>של"ז</t>
  </si>
  <si>
    <t>איזהו מקומן - 8 כר'</t>
  </si>
  <si>
    <t>פרידלס, יהודה אריה בן אברהם יצחק</t>
  </si>
  <si>
    <t>איזהו נשך</t>
  </si>
  <si>
    <t>פינס, שלמה זלמן בן דוב</t>
  </si>
  <si>
    <t>ציריך</t>
  </si>
  <si>
    <t>איזהו רשות הרבים - 2 כר'</t>
  </si>
  <si>
    <t>ווערכטער-ראבינאוויטש, צבי הירש בן פנחס</t>
  </si>
  <si>
    <t>איטליה</t>
  </si>
  <si>
    <t>איי הים - 2 כר'</t>
  </si>
  <si>
    <t>דוד, אברהם ירמיהו בן יוחנן הכהן</t>
  </si>
  <si>
    <t>איי הים</t>
  </si>
  <si>
    <t>וייספיש, יעקב אשר</t>
  </si>
  <si>
    <t>איי הים - 3 כר'</t>
  </si>
  <si>
    <t>עדל, יהודה ליב בן משה הלוי</t>
  </si>
  <si>
    <t>תקצ"ה</t>
  </si>
  <si>
    <t>איידי דזוטר</t>
  </si>
  <si>
    <t>איילת חשקי כלילת יופי - תולדות רבי אהרן פרץ</t>
  </si>
  <si>
    <t>שרף (מלאכי), מיכל</t>
  </si>
  <si>
    <t>תולדות עם ישראל, תפלות בקשות פיוטים ושירה</t>
  </si>
  <si>
    <t>איים בים - 9 כר'</t>
  </si>
  <si>
    <t>איין נייא שין ליד אוף עשרת הדברות</t>
  </si>
  <si>
    <t>ורטר, מאיר בן שמעון</t>
  </si>
  <si>
    <t>תמ"ו</t>
  </si>
  <si>
    <t>איין נייע ליד</t>
  </si>
  <si>
    <t>פן, טויבה</t>
  </si>
  <si>
    <t>ת"ס</t>
  </si>
  <si>
    <t>איין שין ליד אויף שני קדושים</t>
  </si>
  <si>
    <t>בן שלום, חיים</t>
  </si>
  <si>
    <t>תמ"ד</t>
  </si>
  <si>
    <t>איין שין ליד</t>
  </si>
  <si>
    <t>ת'</t>
  </si>
  <si>
    <t>איין שין מעשה</t>
  </si>
  <si>
    <t>איין שין נייא תורה ליד</t>
  </si>
  <si>
    <t>אברהם בן אהרן</t>
  </si>
  <si>
    <t>ת"ק</t>
  </si>
  <si>
    <t>איל המלאים</t>
  </si>
  <si>
    <t>קרא, אברהם בן יצחק זליג - קרא, אריה יהודה ליב בן חיים</t>
  </si>
  <si>
    <t>תר"ה</t>
  </si>
  <si>
    <t>איל וצבי</t>
  </si>
  <si>
    <t>כהן, צבי בן אליהו</t>
  </si>
  <si>
    <t>נושאים שונים, תנ"ך, תנ"ך</t>
  </si>
  <si>
    <t>איל יצחק</t>
  </si>
  <si>
    <t>יצחק בן אברהם מפוזנה</t>
  </si>
  <si>
    <t>תק"פ</t>
  </si>
  <si>
    <t>איל יצחק - תקיעת שופר</t>
  </si>
  <si>
    <t>מזרחי, רחמים בן יצחק</t>
  </si>
  <si>
    <t>מודיעין עלית</t>
  </si>
  <si>
    <t>איל מלאים</t>
  </si>
  <si>
    <t>קוזאק, אברהם יהודה ליב</t>
  </si>
  <si>
    <t>משנה, שלחן ערוך ומפרשיו, תנ"ך</t>
  </si>
  <si>
    <t>איל מלואים - 3 כר'</t>
  </si>
  <si>
    <t>ליבוביץ, אברהם יעקב בן אליהו אריה חיים</t>
  </si>
  <si>
    <t>איל משולש &lt;מבואר&gt;</t>
  </si>
  <si>
    <t>אליהו בן שלמה זלמן (הגר"א) - קרליבך, אליעזר יהודה בן בנימין</t>
  </si>
  <si>
    <t>איל משולש - 2 כר'</t>
  </si>
  <si>
    <t>איל משולש - 5 כר'</t>
  </si>
  <si>
    <t>שלזינגר, מנחם אריה בן חיים יוסף</t>
  </si>
  <si>
    <t>גני תקוה</t>
  </si>
  <si>
    <t>איל תערוג - 3 כר'</t>
  </si>
  <si>
    <t>הרבסט, יוסף</t>
  </si>
  <si>
    <t>תנ"ך, תפלות בקשות פיוטים ושירה</t>
  </si>
  <si>
    <t>אילה שלוחה &lt;על התורה&gt; - 3 כר'</t>
  </si>
  <si>
    <t>אילה שלוחה &lt;על נביאים&gt; - 4 כר'</t>
  </si>
  <si>
    <t>אילה שלוחה</t>
  </si>
  <si>
    <t>האלברשטאם, נפתלי בן יחזקאל שרגא</t>
  </si>
  <si>
    <t>אילה שלוחה - 2 כר'</t>
  </si>
  <si>
    <t>אילה שלוחה - 30 כר'</t>
  </si>
  <si>
    <t>מארילוס, נפתלי בן שמעון</t>
  </si>
  <si>
    <t>דרושים, חסידות, מועדי ישראל, משנה, שאר ספרי חז"ל, שלחן ערוך ומפרשיו, תולדות עם ישראל, תלמוד בבלי, תנ"ך, תפלות בקשות פיוטים ושירה</t>
  </si>
  <si>
    <t>נפתלי הרץ מריטובה</t>
  </si>
  <si>
    <t>אילה שלוחה - בבא בתרא</t>
  </si>
  <si>
    <t>סעידיאן, אייל יהודה</t>
  </si>
  <si>
    <t>קלאצקין, נפתלי הירץ בן נתן</t>
  </si>
  <si>
    <t>שווארטץ, נפתלי הכהן</t>
  </si>
  <si>
    <t>גראססווארדיין</t>
  </si>
  <si>
    <t>אילה שלוחה - קרן ישועה</t>
  </si>
  <si>
    <t>תווינה, שלמה בן עאבד - יוסף חיים בן אליהו</t>
  </si>
  <si>
    <t>תווינה, שלמה בן עאבד</t>
  </si>
  <si>
    <t>אילו של אברהם - 2 כר'</t>
  </si>
  <si>
    <t>פינקלשטיין, אברהם בן יחזקאל</t>
  </si>
  <si>
    <t>אילם - 8 כר'</t>
  </si>
  <si>
    <t>דילמדיגו, יוסף שלמה בן אליהו</t>
  </si>
  <si>
    <t>תרכ"ד - תרכ"ח</t>
  </si>
  <si>
    <t>אודסה Odessa</t>
  </si>
  <si>
    <t>אילמה רבתי</t>
  </si>
  <si>
    <t>ברודי Brody</t>
  </si>
  <si>
    <t>אילן אילן במה אברכך</t>
  </si>
  <si>
    <t>אוהב ציון, יוסף חיים בן מרדכי</t>
  </si>
  <si>
    <t>אילן הגדול - 2 כר'</t>
  </si>
  <si>
    <t>אילן המשפט</t>
  </si>
  <si>
    <t>יודלביץ, אריה ליב בן יהושע צבי</t>
  </si>
  <si>
    <t>אילן הקדוש</t>
  </si>
  <si>
    <t>בן דוד, ראובן בן שמעון</t>
  </si>
  <si>
    <t>אילן ונופו</t>
  </si>
  <si>
    <t>אריגור, יצחק אריה בן נתן</t>
  </si>
  <si>
    <t>אילן יוחסין למשפחת אליעזר ליפמן פיליפ פרינץ</t>
  </si>
  <si>
    <t>בנדהיים, אלס</t>
  </si>
  <si>
    <t>אילן רמח"ל עם שורש האילן</t>
  </si>
  <si>
    <t>לוצאטו, משה חיים - צרור, יצחק ברוך</t>
  </si>
  <si>
    <t>אילנא דחיי שרה</t>
  </si>
  <si>
    <t>אילנא דחיי - 2 כר'</t>
  </si>
  <si>
    <t>מנחם מנדל בן יוסף מרימאנוב</t>
  </si>
  <si>
    <t>אילנא דחיי</t>
  </si>
  <si>
    <t>אילנא דחייא &lt;אילנא דחיי&gt; - 3 כר'</t>
  </si>
  <si>
    <t>גרשון תנחום בן אליהו בנימין ממינסק</t>
  </si>
  <si>
    <t>תר"כ - תרכ"ה</t>
  </si>
  <si>
    <t>הלברשטט Halberstadt</t>
  </si>
  <si>
    <t>אילנא רברבא</t>
  </si>
  <si>
    <t>גולדיש, מרדכי יחזקאל</t>
  </si>
  <si>
    <t>אילנות השדה - ט"ו בשבט</t>
  </si>
  <si>
    <t>אילנות</t>
  </si>
  <si>
    <t>עץ הדר, אברהם</t>
  </si>
  <si>
    <t>אילני דפלפלי</t>
  </si>
  <si>
    <t>ברנדווין, משולם זושא</t>
  </si>
  <si>
    <t>אילת אהבים &lt;דפו"ר&gt;</t>
  </si>
  <si>
    <t>אלקבץ, שלמה בן משה הלוי</t>
  </si>
  <si>
    <t>שי"ב</t>
  </si>
  <si>
    <t>אילת אהבים &lt;מהדורה חדשה&gt; (הגדה של פסח - כתב אשורית)</t>
  </si>
  <si>
    <t>אילת אהבים &lt;מהדורה חדשה&gt;</t>
  </si>
  <si>
    <t>טייכער, יוסף משה בן גרשון</t>
  </si>
  <si>
    <t>אילת אהבים - 3 כר'</t>
  </si>
  <si>
    <t>אילת אהבים</t>
  </si>
  <si>
    <t>ברים, יחיאל אריה לייב בן משה</t>
  </si>
  <si>
    <t>די אוליוויירה, שלמה בן דוד</t>
  </si>
  <si>
    <t>אילת אהבים - קידושין</t>
  </si>
  <si>
    <t>ישיבת כסא רחמים  זגדון, משה (עורך)</t>
  </si>
  <si>
    <t>אילת אהבים - 6 כר'</t>
  </si>
  <si>
    <t>צינץ, אריה ליב בן משה</t>
  </si>
  <si>
    <t>אילת אהבים - 5 כר'</t>
  </si>
  <si>
    <t>שהרבני, אייל</t>
  </si>
  <si>
    <t>תאומים, אריה יהודה ליב בן יוסף</t>
  </si>
  <si>
    <t>תקס"ב</t>
  </si>
  <si>
    <t>Zholkva זולקוה</t>
  </si>
  <si>
    <t>אילת השחר על התורה - 5 כר'</t>
  </si>
  <si>
    <t>אילת השחר</t>
  </si>
  <si>
    <t>אילת השחר - 2 כר'</t>
  </si>
  <si>
    <t>הוברמן, זאב בן שלמה הכהן</t>
  </si>
  <si>
    <t>אילת השחר - א</t>
  </si>
  <si>
    <t>הרצברג, מרדכי חיים הלוי</t>
  </si>
  <si>
    <t>טייב, שמואל בן אברהם</t>
  </si>
  <si>
    <t>טננבוים, זאב וולף בן צבי - טננבוים, מאיר</t>
  </si>
  <si>
    <t>טננבוים, זאב וולף בן צבי</t>
  </si>
  <si>
    <t>פילבר, יעקב הלוי</t>
  </si>
  <si>
    <t>אילת השחר - 3 כר'</t>
  </si>
  <si>
    <t>רבינוביץ, אשר בן ירמיהו</t>
  </si>
  <si>
    <t>תשל"ז - תשמ"ב</t>
  </si>
  <si>
    <t>רבינוביץ, בנימין דוד בן יצחק</t>
  </si>
  <si>
    <t>אילת השחר - כאיל תערוג</t>
  </si>
  <si>
    <t>אילת השחר - 23 כר'</t>
  </si>
  <si>
    <t>תש"נ - תש"ס</t>
  </si>
  <si>
    <t>תפילות. סליחות. אשמורת הבוקר. שע"ב</t>
  </si>
  <si>
    <t>שע"ב</t>
  </si>
  <si>
    <t>אימוץ ילדים בישראל</t>
  </si>
  <si>
    <t>קיסטר, יצחק</t>
  </si>
  <si>
    <t>אימורים משלחן גבוה</t>
  </si>
  <si>
    <t>פרנק, צבי פסח</t>
  </si>
  <si>
    <t>אימנתה תעל לנמהרים (תדפיס)</t>
  </si>
  <si>
    <t>רבי אלעזר בירבי קליר</t>
  </si>
  <si>
    <t>אימרות טל - 2 כר'</t>
  </si>
  <si>
    <t>רויטנבערג, מרדכי טוביה בן משה אליעזר</t>
  </si>
  <si>
    <t>אימרות נעם - 2 כר'</t>
  </si>
  <si>
    <t>אביכזר, אברהם בן אליהו</t>
  </si>
  <si>
    <t>אימת מפגיע - 2 כר'</t>
  </si>
  <si>
    <t>בן אמוזג, אליהו בן אברהם</t>
  </si>
  <si>
    <t>אימת מפגיע</t>
  </si>
  <si>
    <t>משה בן אפרים מברזי</t>
  </si>
  <si>
    <t>אין אבדה כאבדת הזמן</t>
  </si>
  <si>
    <t>אבידן, משה</t>
  </si>
  <si>
    <t>אין אסתר מגדת</t>
  </si>
  <si>
    <t>ליפשיץ, נטע בן יעקב</t>
  </si>
  <si>
    <t>אין גדולה כתורה</t>
  </si>
  <si>
    <t>נשרי, אברהם צבי בן יצחק אייזיק</t>
  </si>
  <si>
    <t>אין לנו אלא הבן איש חי</t>
  </si>
  <si>
    <t>כהן, דניאל בן אליהו</t>
  </si>
  <si>
    <t>אין מזל לישראל</t>
  </si>
  <si>
    <t>יוהנסבורג</t>
  </si>
  <si>
    <t>אין עוד מלבדו - 3 כר'</t>
  </si>
  <si>
    <t>דביר, ישי שאול בן אליעזר</t>
  </si>
  <si>
    <t>אין עוד מלבדו</t>
  </si>
  <si>
    <t>רוט, זאב</t>
  </si>
  <si>
    <t>אין עת לחשות</t>
  </si>
  <si>
    <t>מילדולה, רפאל בן חזקיהו</t>
  </si>
  <si>
    <t>תקפ"ז</t>
  </si>
  <si>
    <t>אין קאמף קעגן שטראם</t>
  </si>
  <si>
    <t>שווארץ, יעקב</t>
  </si>
  <si>
    <t>אין שאטן פון טרעבלינקע (חורבן סאקאלאוו (סוקלוב) פאדליאסקי)</t>
  </si>
  <si>
    <t>פוליקוביץ, שמחה</t>
  </si>
  <si>
    <t>אין תנאי בנשואין</t>
  </si>
  <si>
    <t>לובצקי, יהודה בן יצחק עקיבא</t>
  </si>
  <si>
    <t>אין תקוה?</t>
  </si>
  <si>
    <t>גבאי, יצחק</t>
  </si>
  <si>
    <t>אינדקס הכשרת כלים לפסח</t>
  </si>
  <si>
    <t>אינקונבולים וספרים נדירים - מתוך אוסף יעקב א לוי</t>
  </si>
  <si>
    <t>הילל, ברוך סיני</t>
  </si>
  <si>
    <t>אוטבה</t>
  </si>
  <si>
    <t>איסור אמירת ברכה מעין שבע בליל פסח</t>
  </si>
  <si>
    <t>יוסף, יצחק</t>
  </si>
  <si>
    <t>איסור הליכה לערכאות</t>
  </si>
  <si>
    <t>הלפרין, ישראל</t>
  </si>
  <si>
    <t>איסור והיתר הארוך &lt;מהדורה חדשה&gt;</t>
  </si>
  <si>
    <t>יונה בן ישראל אשכנזי</t>
  </si>
  <si>
    <t>איסור והיתר הארוך - 4 כר'</t>
  </si>
  <si>
    <t>הלכה ומנהג, הלכה ומנהג, נושאים שונים, שלחן ערוך ומפרשיו</t>
  </si>
  <si>
    <t>איסור והיתר לרבינו ירוחם</t>
  </si>
  <si>
    <t>ירוחם בן משולם. מיוחס לו</t>
  </si>
  <si>
    <t>איסור והיתר לרש"י - 2 כר'</t>
  </si>
  <si>
    <t>שלמה בן יצחק (רש"י)</t>
  </si>
  <si>
    <t>איסור והיתר - 2 כר'</t>
  </si>
  <si>
    <t>תקמ"ד</t>
  </si>
  <si>
    <t>איסור והיתר</t>
  </si>
  <si>
    <t>יעקב בן משה מבוניולש</t>
  </si>
  <si>
    <t>איסור משהו להראב"ד עם פירוש שולי האדרת</t>
  </si>
  <si>
    <t>אברהם בן דוד</t>
  </si>
  <si>
    <t>איסור נגיעה ותיקונו</t>
  </si>
  <si>
    <t>הלכה ומנהג, ספריית חב"ד</t>
  </si>
  <si>
    <t>איסור קליטה בשביעית ובתוס' שביעית</t>
  </si>
  <si>
    <t>גולדברג, שמעון אשר</t>
  </si>
  <si>
    <t>איסורי העישון בהלכה</t>
  </si>
  <si>
    <t>סליי, מנחם</t>
  </si>
  <si>
    <t>איפה לאיל</t>
  </si>
  <si>
    <t>ליפקוביץ, אברהם יצחק בן משה דוד</t>
  </si>
  <si>
    <t>איפה נולד ר' יהודה הלוי</t>
  </si>
  <si>
    <t>שירמן, ח.</t>
  </si>
  <si>
    <t>איפה שלמה</t>
  </si>
  <si>
    <t>פרוש, אהרן יעקב בן שלמה זלמן</t>
  </si>
  <si>
    <t>משנה, תלמוד בבלי, תלמוד בבלי, תנ"ך</t>
  </si>
  <si>
    <t>איפת צדק - 5 כר'</t>
  </si>
  <si>
    <t>פיין, אברהם ישעיהו בן ראובן</t>
  </si>
  <si>
    <t>איפת צדק</t>
  </si>
  <si>
    <t>קנייבסקי, יעקב ישראל בן חיים פרץ</t>
  </si>
  <si>
    <t>איש אל אחיו</t>
  </si>
  <si>
    <t>איש אמונים</t>
  </si>
  <si>
    <t>אלישר, יעקב שאול בן אליעזר ירוחם</t>
  </si>
  <si>
    <t>איש אשר רוח בו</t>
  </si>
  <si>
    <t>לנדא, יצחק בן קלמן הלוי (לזכרו)</t>
  </si>
  <si>
    <t>איש האמת - עובדות וסיפורים ממרן רבינו הקדוש מסטראפקוב</t>
  </si>
  <si>
    <t>הלברשטאם, משה יהודה נחמיה</t>
  </si>
  <si>
    <t>איש האשכולות -  על מרן האמרי אמת</t>
  </si>
  <si>
    <t>וינברג, שלמה זלמינא</t>
  </si>
  <si>
    <t>איש ההלכה והמעשה -תולדות רבי אליעזר סילבר</t>
  </si>
  <si>
    <t>פרוש, מנחם בן משה</t>
  </si>
  <si>
    <t>תש"ח?</t>
  </si>
  <si>
    <t>איש החסד מתימן</t>
  </si>
  <si>
    <t>יצהרי, שלמה</t>
  </si>
  <si>
    <t>איש היה באר"ץ - תולדות רבי עזרא חמווי</t>
  </si>
  <si>
    <t>חמווי, אשר עזרא</t>
  </si>
  <si>
    <t>איש הלוי - 2 כר'</t>
  </si>
  <si>
    <t>וולפא, אברהם ישעיהו בן ברוך מרדכי הלוי</t>
  </si>
  <si>
    <t>איש הפלא</t>
  </si>
  <si>
    <t>מילר, מנשה</t>
  </si>
  <si>
    <t>איש ואשה שזכו - 2 כר'</t>
  </si>
  <si>
    <t>רז, פנחס בן אלעזר זאב</t>
  </si>
  <si>
    <t>איש וביתו</t>
  </si>
  <si>
    <t>שרגא, איל בן ברוך</t>
  </si>
  <si>
    <t>איש ורעהו</t>
  </si>
  <si>
    <t>איש חי רב פעלים</t>
  </si>
  <si>
    <t>אברמוביץ, אברהם חנוך בן יהודה מאיר</t>
  </si>
  <si>
    <t>איש חיל רב פעלים</t>
  </si>
  <si>
    <t>אגרת בקשה עבור הכותב</t>
  </si>
  <si>
    <t>איש חיל</t>
  </si>
  <si>
    <t>אנגלטשיק, חיים יהודה</t>
  </si>
  <si>
    <t>איש חמודות &lt;תולדות רבינו חיים מיכאל דוב וויסמאנדל&gt;</t>
  </si>
  <si>
    <t>וייסמנדל, אברהם חיים אליהו</t>
  </si>
  <si>
    <t>איש חמודות</t>
  </si>
  <si>
    <t>אדאמסקי, חיים דוד</t>
  </si>
  <si>
    <t>מייזליש, יהושע שלמה בן יעקב שמואל</t>
  </si>
  <si>
    <t>קבצים וכתבי עת, ספרי זכרון ויובל, תנ"ך</t>
  </si>
  <si>
    <t>איש חסד בירושלים</t>
  </si>
  <si>
    <t>וינגרטן, משה יעקב</t>
  </si>
  <si>
    <t>איש חסד היה</t>
  </si>
  <si>
    <t>איש חסיד</t>
  </si>
  <si>
    <t>גרינצווייג, יהושע אליקים בן משה טוביה</t>
  </si>
  <si>
    <t>חסידות, נושאים שונים, תולדות עם ישראל</t>
  </si>
  <si>
    <t>איש חסידיך</t>
  </si>
  <si>
    <t>פרידמן, בצלאל</t>
  </si>
  <si>
    <t>איש יהודי היה</t>
  </si>
  <si>
    <t>אוחנה, אברהם</t>
  </si>
  <si>
    <t>איש יהודי</t>
  </si>
  <si>
    <t>איש ימיני - 4 כר'</t>
  </si>
  <si>
    <t>ספר הזכרון לרבי יחיא יצחק הלוי - יצחק הלוי, אבירן (עורך)</t>
  </si>
  <si>
    <t>איש ירושלים</t>
  </si>
  <si>
    <t>ברודר, נחמן גדליהו בן משולם פלטיאל</t>
  </si>
  <si>
    <t>איש להבה</t>
  </si>
  <si>
    <t>בניש, חיים</t>
  </si>
  <si>
    <t>איש מבין - 2 כר'</t>
  </si>
  <si>
    <t>ארדיט, יהושע שלמה בן חיים ניסים יעקב</t>
  </si>
  <si>
    <t>איש מבית לוי - 2 כר'</t>
  </si>
  <si>
    <t>כץ, פנחס בן שמואל מנחם מנדל</t>
  </si>
  <si>
    <t>איש מבית לחם יהודה</t>
  </si>
  <si>
    <t>איש מצליח &lt;מהדורה חדשה&gt; - יור"ד א</t>
  </si>
  <si>
    <t>מאזוז, מצליח בן רפאל</t>
  </si>
  <si>
    <t>איש מצליח - 5 כר'</t>
  </si>
  <si>
    <t>איש סחו אחריו ה' הוא האלקים</t>
  </si>
  <si>
    <t>איש על העדה - רמב"ם</t>
  </si>
  <si>
    <t>אלאביץ, יחיא</t>
  </si>
  <si>
    <t>קרית אונו</t>
  </si>
  <si>
    <t>איש על העדה - 4 כר'</t>
  </si>
  <si>
    <t>ברוננער, יהושע שמעון</t>
  </si>
  <si>
    <t>איש עניו &lt;על בשמים ראש&gt;</t>
  </si>
  <si>
    <t>לווין, צבי הירש בן אריה ליב</t>
  </si>
  <si>
    <t>איש צדיק היה - מסכת חייו של ר' אריה לוין</t>
  </si>
  <si>
    <t>רז, שמחה</t>
  </si>
  <si>
    <t>איש צעיר</t>
  </si>
  <si>
    <t>עוזיאל, יוסף רפאל בן יצחק חיים</t>
  </si>
  <si>
    <t>איש תבונה ידלה - א</t>
  </si>
  <si>
    <t>שפירא, דוד</t>
  </si>
  <si>
    <t>איש תבונה - ספר הזכרון לרבי יואל קלוגמן</t>
  </si>
  <si>
    <t>ביסטריצר, מרדכי (עורך)</t>
  </si>
  <si>
    <t>אישי דעת</t>
  </si>
  <si>
    <t>שטיינברגר, ישעיהו</t>
  </si>
  <si>
    <t>אישי מועד</t>
  </si>
  <si>
    <t>בירנהק, אברהם ישעיהו</t>
  </si>
  <si>
    <t>הלכה ומנהג, מועדי ישראל, נושאים שונים, תלמוד בבלי</t>
  </si>
  <si>
    <t>אישים בעיר הנצח</t>
  </si>
  <si>
    <t>ריבלין, אברהם בנימן בן יוסף יהושע</t>
  </si>
  <si>
    <t>אישים בתשובות חתם סופר</t>
  </si>
  <si>
    <t>קינסטליכער, משה אלכסנדר זושא</t>
  </si>
  <si>
    <t>אישים וספרים ב"תוספות"</t>
  </si>
  <si>
    <t>תרשיש, פרץ בן יצחק</t>
  </si>
  <si>
    <t>שונות, תולדות עם ישראל</t>
  </si>
  <si>
    <t>אישים וקהילות</t>
  </si>
  <si>
    <t>צינוביץ, משה</t>
  </si>
  <si>
    <t>אישים ושיטות</t>
  </si>
  <si>
    <t>זווין, שלמה יוסף בן אהרן מרדכי</t>
  </si>
  <si>
    <t>איתן האזרחי &lt;ירח האיתנים&gt;</t>
  </si>
  <si>
    <t>רפאפורט, אברהם בן ישראל יחיאל הכהן</t>
  </si>
  <si>
    <t>איתן שמואל</t>
  </si>
  <si>
    <t>פיין, שמואל מנחם בן צבי הלוי</t>
  </si>
  <si>
    <t>איתני ים</t>
  </si>
  <si>
    <t>שניצר, איתן אליעזר בן ישעיהו מנחם</t>
  </si>
  <si>
    <t>אך טוב וחסד - 8 כר'</t>
  </si>
  <si>
    <t>אך טוב לישראל - 2 כר'</t>
  </si>
  <si>
    <t>כחלון, אפרים</t>
  </si>
  <si>
    <t>אך טוב לישראל</t>
  </si>
  <si>
    <t>מושקוביץ, ישראל משה</t>
  </si>
  <si>
    <t>אך טוב - בבא קמא</t>
  </si>
  <si>
    <t>אך פרי לצדיק</t>
  </si>
  <si>
    <t>טאבוביץ', צבי דוב</t>
  </si>
  <si>
    <t>אך פרי תבואה - 2 כר'</t>
  </si>
  <si>
    <t>פרידמאן, צבי הירש בן אהרן</t>
  </si>
  <si>
    <t>תרל"ה - תרל"ו</t>
  </si>
  <si>
    <t>אכול ושבוע</t>
  </si>
  <si>
    <t>דיין, ניסים בו שלמה</t>
  </si>
  <si>
    <t>אכילה בהלל - 2 כר'</t>
  </si>
  <si>
    <t>שוורץ, ראובן מלך בן בנימין יצחק</t>
  </si>
  <si>
    <t>אכילה בשירה - 2 כר'</t>
  </si>
  <si>
    <t>אכילת קדשים</t>
  </si>
  <si>
    <t>היון, אליעזר</t>
  </si>
  <si>
    <t>אכלה ואכלה - כתב יד פריס</t>
  </si>
  <si>
    <t>אכלה ואכלה</t>
  </si>
  <si>
    <t>סגל, זלמן פרענסדארף</t>
  </si>
  <si>
    <t>הנובר Hanover</t>
  </si>
  <si>
    <t>אכסוף נועם שבת</t>
  </si>
  <si>
    <t>אנגלנדר, ישכר דוב</t>
  </si>
  <si>
    <t>גליק, יעקב</t>
  </si>
  <si>
    <t>אכסוף - תשע"ט</t>
  </si>
  <si>
    <t>גליון שבועי שע"י קהילות החסידים באלעד</t>
  </si>
  <si>
    <t>אכסניא של תורה - א</t>
  </si>
  <si>
    <t>ירחון תלמודי</t>
  </si>
  <si>
    <t>אכסניה של תורה</t>
  </si>
  <si>
    <t>ועד הישיבות</t>
  </si>
  <si>
    <t>תשובות ובירורי הלכה</t>
  </si>
  <si>
    <t>אל גיל כעמים</t>
  </si>
  <si>
    <t>אל האשה העבריה</t>
  </si>
  <si>
    <t>ועד טהרת המשפחה</t>
  </si>
  <si>
    <t>אל הישיבות</t>
  </si>
  <si>
    <t>גרינברג, יצחק (עורך)</t>
  </si>
  <si>
    <t>אל המבקש</t>
  </si>
  <si>
    <t>וואלדשיין, יצחק אלחנן בן אברהם אהרן</t>
  </si>
  <si>
    <t>אל המבקש - 2 כר'</t>
  </si>
  <si>
    <t>קובץ ליקוטי הערות והארות</t>
  </si>
  <si>
    <t>אל המקורות - 4 כר'</t>
  </si>
  <si>
    <t>אל המקורות</t>
  </si>
  <si>
    <t>אל הנער הזה התפללתי</t>
  </si>
  <si>
    <t>אל התלמיד</t>
  </si>
  <si>
    <t>טוקאצינסקי, יחיאל מיכל בן אהרן</t>
  </si>
  <si>
    <t>אל יוציא</t>
  </si>
  <si>
    <t>אל מעין העדן</t>
  </si>
  <si>
    <t>עטיה, מאיר אלעזר</t>
  </si>
  <si>
    <t>אל סף הפנימיות</t>
  </si>
  <si>
    <t>הס, ישראל</t>
  </si>
  <si>
    <t>אל עין המים - ב"מ</t>
  </si>
  <si>
    <t>שווב, אהרן</t>
  </si>
  <si>
    <t>אל תדום</t>
  </si>
  <si>
    <t>ברונשטיין, צבי</t>
  </si>
  <si>
    <t>אל תדיחנו</t>
  </si>
  <si>
    <t>חנונו, אברהם בן דוד</t>
  </si>
  <si>
    <t>אל תהי צדיק הרבה</t>
  </si>
  <si>
    <t>אל תחטאו בילד</t>
  </si>
  <si>
    <t>ישיבת שערי יושר</t>
  </si>
  <si>
    <t>אל תיראי אדמה</t>
  </si>
  <si>
    <t>זארגער, משה זאב</t>
  </si>
  <si>
    <t>אל תקרי הליכות אלא הלכות</t>
  </si>
  <si>
    <t>קולסניקר, אליהו בן יעקב חיים</t>
  </si>
  <si>
    <t>אל תשלח ידך אל הנער</t>
  </si>
  <si>
    <t>אלביש ישע</t>
  </si>
  <si>
    <t>יולס, דוד אלימלך בן אליעזר ליפא</t>
  </si>
  <si>
    <t>אלגאמע - המאסף - דברי שלום</t>
  </si>
  <si>
    <t>גמליאל, שלום בן סעדיא - דוד בן ישע</t>
  </si>
  <si>
    <t>אלדד הדני</t>
  </si>
  <si>
    <t>אלדד הדני. רל"ה</t>
  </si>
  <si>
    <t>רל"ה</t>
  </si>
  <si>
    <t>מנטובה</t>
  </si>
  <si>
    <t>אלדד הדני. תקס"ד</t>
  </si>
  <si>
    <t>[תק"ץ,</t>
  </si>
  <si>
    <t>אלדד הדני. תרכ"ד</t>
  </si>
  <si>
    <t>אלדד הדני. תרנ"א</t>
  </si>
  <si>
    <t>אלה אזכרה - 7 כר'</t>
  </si>
  <si>
    <t>אלה אזכרה</t>
  </si>
  <si>
    <t>תשט"ז - תשכ"ה</t>
  </si>
  <si>
    <t>אלה גבולותיך ישראל</t>
  </si>
  <si>
    <t>שפירא, משה בן אליעזר ליפא</t>
  </si>
  <si>
    <t>אלה דברי הברית</t>
  </si>
  <si>
    <t>אלה דברי החכם</t>
  </si>
  <si>
    <t>שאשפורטאש, יעקב בן אהרן</t>
  </si>
  <si>
    <t>אלה דברי שמואל - 2 כר'</t>
  </si>
  <si>
    <t>סגל, שמואל שמעלקא בן משה</t>
  </si>
  <si>
    <t>אלה הדברים</t>
  </si>
  <si>
    <t>שכ"ו</t>
  </si>
  <si>
    <t>אלה הדברים - א</t>
  </si>
  <si>
    <t>ברודנא, משה ליפמן בן ישראל יצחק</t>
  </si>
  <si>
    <t>פולין</t>
  </si>
  <si>
    <t>אלה הדברים - 2 כר'</t>
  </si>
  <si>
    <t>אלה הם דברי התעוררות</t>
  </si>
  <si>
    <t>פוחוביצר, יהודה ליב בן יוסף</t>
  </si>
  <si>
    <t>אלה הם מועדי</t>
  </si>
  <si>
    <t>ווייס, צבי הירש</t>
  </si>
  <si>
    <t>כהן, יעקב בן אברהם ישעיה</t>
  </si>
  <si>
    <t>אלה הם מועדי - 6 כר'</t>
  </si>
  <si>
    <t>אלה המצות</t>
  </si>
  <si>
    <t>אוטרמאן, חיים משולם קויפמאן בן שיימאן ה</t>
  </si>
  <si>
    <t>ביליצר, יואב בן אורי הלוי</t>
  </si>
  <si>
    <t>פאקש</t>
  </si>
  <si>
    <t>אלה המצות - 4 כר'</t>
  </si>
  <si>
    <t>אלה המשפטים</t>
  </si>
  <si>
    <t>אוטרמאן, חיים משולם קויפמאן בן שיימאן הכהן</t>
  </si>
  <si>
    <t>אלה העדות</t>
  </si>
  <si>
    <t>אלה מועדי - א</t>
  </si>
  <si>
    <t>בן דוד, אליעזר</t>
  </si>
  <si>
    <t>מועדי ישראל, מועדי ישראל, נושאים שונים</t>
  </si>
  <si>
    <t>אלה מועדי</t>
  </si>
  <si>
    <t>הלפרין, אברהם משה בן לוי יצחק</t>
  </si>
  <si>
    <t>אלה מסעי &lt;רשימת מסע הרבנים&gt;</t>
  </si>
  <si>
    <t>הורוויץ, יונתן בנימין הלוי</t>
  </si>
  <si>
    <t>מבשרת ציון</t>
  </si>
  <si>
    <t>אלה מסעי</t>
  </si>
  <si>
    <t>וויס, יעקב בן דוד יואל</t>
  </si>
  <si>
    <t>אלה שלא נכנעו</t>
  </si>
  <si>
    <t>פראגר, משה בן שמואל יחזקאל</t>
  </si>
  <si>
    <t>אלה תולדות הרב משה ראססקס</t>
  </si>
  <si>
    <t>אודסה</t>
  </si>
  <si>
    <t>אלה תולדות יעקב</t>
  </si>
  <si>
    <t>בידרמן, יעקב מאיר (עליו)</t>
  </si>
  <si>
    <t>פרץ, אליהו בן יעקב</t>
  </si>
  <si>
    <t>דרושים, תולדות עם ישראל</t>
  </si>
  <si>
    <t>אלה תולדות רבינו</t>
  </si>
  <si>
    <t>לאנדסברג, יהודה ליב בן ישראל יצחק אהרן</t>
  </si>
  <si>
    <t>אלה תולדות</t>
  </si>
  <si>
    <t>מייזל, יוסף בן יעקב</t>
  </si>
  <si>
    <t>אלהא דמאיר ענני</t>
  </si>
  <si>
    <t>גבאי, נעים אברהם</t>
  </si>
  <si>
    <t>אלו מציאות (מפורש)</t>
  </si>
  <si>
    <t>פריצקר, אשר בן משה</t>
  </si>
  <si>
    <t>אלו שכופין להוציא</t>
  </si>
  <si>
    <t>גולדברג, יוסף בן אברהם הלל</t>
  </si>
  <si>
    <t>אלו שרשרת העבתת</t>
  </si>
  <si>
    <t>מירקש, שלמה זלמן בן יהודה ליב</t>
  </si>
  <si>
    <t>אלול למעשה</t>
  </si>
  <si>
    <t>אלומות יוסף - 2 כר'</t>
  </si>
  <si>
    <t>זולטי, אהרן יוסף</t>
  </si>
  <si>
    <t>אלומות יוסף - תרומות ומעשרות, ערלה, נטע רבעי</t>
  </si>
  <si>
    <t>יוסף, עופר</t>
  </si>
  <si>
    <t>אלומות</t>
  </si>
  <si>
    <t>מקבץ תורני</t>
  </si>
  <si>
    <t>אלומים בשדה - איזהו נשך</t>
  </si>
  <si>
    <t>כולל תפארת חנון</t>
  </si>
  <si>
    <t>אלומת יוסף - 4 כר'</t>
  </si>
  <si>
    <t>אורבך, יוסף דוד</t>
  </si>
  <si>
    <t>אלומת יוסף - א</t>
  </si>
  <si>
    <t>דמאנט, יוסף בן ציון בן באלי בנימין</t>
  </si>
  <si>
    <t>אלומת יוסף</t>
  </si>
  <si>
    <t>אלומת עלומים</t>
  </si>
  <si>
    <t>ספיר, יצחק יהודה בן שרגא עזריה</t>
  </si>
  <si>
    <t>אלון בכות &lt;מהדורה חדשה&gt;</t>
  </si>
  <si>
    <t>אלון בכות חדש</t>
  </si>
  <si>
    <t>כהן, חיים בן שלמה מטריפולי</t>
  </si>
  <si>
    <t>אלון בכות</t>
  </si>
  <si>
    <t>אורנשטיין, יעקב בן ישעיה</t>
  </si>
  <si>
    <t>דאנציג, יצחק בן מנחם מאנוש</t>
  </si>
  <si>
    <t>פטרבורג Peterburg</t>
  </si>
  <si>
    <t>האמבורג, אברהם בנימין וולף בן אליעזר אה</t>
  </si>
  <si>
    <t>הארמאלין, לוי יצחק בן יהושע השל</t>
  </si>
  <si>
    <t>הספדים</t>
  </si>
  <si>
    <t>תע"ב</t>
  </si>
  <si>
    <t>ווייסמאן-חיות, מרדכי בן יצחק יהודה ליב</t>
  </si>
  <si>
    <t>חוברת זכרון</t>
  </si>
  <si>
    <t>פוסק, אליהו בן משה צבי</t>
  </si>
  <si>
    <t>אלון בכות - הספדים</t>
  </si>
  <si>
    <t>קובץ הספרים על הרב שלוש זצ"ל</t>
  </si>
  <si>
    <t>שפיץ, יום-טוב בן יצחק</t>
  </si>
  <si>
    <t>Prag</t>
  </si>
  <si>
    <t>אלופי יהודא</t>
  </si>
  <si>
    <t>יהודה ליב בן יצחק דוב בר סג"ל</t>
  </si>
  <si>
    <t>אלופי יהודה - 2 כר'</t>
  </si>
  <si>
    <t>פריינד, דוד יהודה</t>
  </si>
  <si>
    <t>אלופינו מסובלים - 3 כר'</t>
  </si>
  <si>
    <t>טהרני, אליהו פורת</t>
  </si>
  <si>
    <t>אלופינו מסובלים</t>
  </si>
  <si>
    <t>שולזינגר, משה מרדכי בן יצחק הלוי</t>
  </si>
  <si>
    <t>אלוקי אברהם</t>
  </si>
  <si>
    <t>מלכה, אליעזר</t>
  </si>
  <si>
    <t>מחשבה ומוסר, משנה, תפלות בקשות פיוטים ושירה</t>
  </si>
  <si>
    <t>אלוקי יעקב</t>
  </si>
  <si>
    <t>אלט און ניי אין ישראל</t>
  </si>
  <si>
    <t>גארדאן, ניסן</t>
  </si>
  <si>
    <t>גורדון, ניסן</t>
  </si>
  <si>
    <t>אלי בעזרי</t>
  </si>
  <si>
    <t>עזריאלי (קושלבסקי), יקותיאל בן עזריאל זליג נח</t>
  </si>
  <si>
    <t>זכרון מאיר</t>
  </si>
  <si>
    <t>אלי"ה תמימה</t>
  </si>
  <si>
    <t>אליהו יהודה</t>
  </si>
  <si>
    <t>אליאב בן אחיסמך</t>
  </si>
  <si>
    <t>פרידנברג, אלכסנדר סנדר בן ברוך</t>
  </si>
  <si>
    <t>שאלות ותשובות, שאלות ותשובות, תולדות עם ישראל</t>
  </si>
  <si>
    <t>אליבא דהלכתא</t>
  </si>
  <si>
    <t>גרינבוים, ישראל אברהם בן יוסף הלוי</t>
  </si>
  <si>
    <t>אליבא דהלכתא - 3 כר'</t>
  </si>
  <si>
    <t>דרעי, ברוך בן יהודה</t>
  </si>
  <si>
    <t>אליבא דהלכתא - 98 כר'</t>
  </si>
  <si>
    <t>חברת אהבת שלום</t>
  </si>
  <si>
    <t>אליבא דשמואל - 2 כר'</t>
  </si>
  <si>
    <t>אליה מזרחי &lt;הרא"ם - 3 כר'</t>
  </si>
  <si>
    <t>מזרחי, אליהו בן אברהם</t>
  </si>
  <si>
    <t>מיהלוביץ Michalovce</t>
  </si>
  <si>
    <t>אליה מזרחי</t>
  </si>
  <si>
    <t>[תקכ"ג,</t>
  </si>
  <si>
    <t>פיורדא,</t>
  </si>
  <si>
    <t>אליה רבה - 3 כר'</t>
  </si>
  <si>
    <t>שפירא, אליהו בן בנימין וולף</t>
  </si>
  <si>
    <t>זולצבך Sulzbach</t>
  </si>
  <si>
    <t>אליהו הנביא - 3 כר'</t>
  </si>
  <si>
    <t>רוזנברג, יהודה יודל בן ישראל יצחק</t>
  </si>
  <si>
    <t>(תשי"ג</t>
  </si>
  <si>
    <t>אליהו רבה</t>
  </si>
  <si>
    <t>באסובסקי, פינחס אליהו בן יצחק אשר</t>
  </si>
  <si>
    <t>אליך ה' נפשי אשא</t>
  </si>
  <si>
    <t>אליעזר משה - 5 כר'</t>
  </si>
  <si>
    <t>פישר, אליעזר משה בן אהרן</t>
  </si>
  <si>
    <t>אלישיב הכהן - 3 כר'</t>
  </si>
  <si>
    <t>כהן, דקל בן אליהו</t>
  </si>
  <si>
    <t>אלכסנדר האחים הקדושים</t>
  </si>
  <si>
    <t>מרכז מחשבת החסידות</t>
  </si>
  <si>
    <t>קליוולנד</t>
  </si>
  <si>
    <t>אלמושנינו על רש"י</t>
  </si>
  <si>
    <t>אלמושנינו, שמואל</t>
  </si>
  <si>
    <t>אלמרשד אלכאפי &lt;המדריך המספיק&gt;</t>
  </si>
  <si>
    <t>תנחום בן יוסף הירושלמי</t>
  </si>
  <si>
    <t>אלע אגדות פון תלמוד</t>
  </si>
  <si>
    <t>אגדות התלמוד</t>
  </si>
  <si>
    <t>אלע משלים פון דובנער מגיד - 2 כר'</t>
  </si>
  <si>
    <t>אלף אומר</t>
  </si>
  <si>
    <t>פרלמוטר, חיים בן זבולון יעקב</t>
  </si>
  <si>
    <t>אלף בי</t>
  </si>
  <si>
    <t>סלימן, יחיא בן מוסא</t>
  </si>
  <si>
    <t>אלף בינה &lt;המבואר&gt;</t>
  </si>
  <si>
    <t>אלף בינה &lt;כת"י המחבר&gt;</t>
  </si>
  <si>
    <t>אלף בינה - 3 כר'</t>
  </si>
  <si>
    <t>אלף דור - 4 כר'</t>
  </si>
  <si>
    <t>הורביץ, ירוחם</t>
  </si>
  <si>
    <t>אלף המגן &lt;מהדורה חדשה&gt; - 2 כר'</t>
  </si>
  <si>
    <t>אלף המגן &lt;שו"ת&gt; - 2 כר'</t>
  </si>
  <si>
    <t>רובינשטיין, משה נתן בן מרדכי מנחם מנדל הלוי</t>
  </si>
  <si>
    <t>אלף המגן - 2 כר'</t>
  </si>
  <si>
    <t>אלישביץ, אלכסנדר זושא</t>
  </si>
  <si>
    <t>גערמאן, נחום מאיר בן ישראל משה</t>
  </si>
  <si>
    <t>אלף המגן</t>
  </si>
  <si>
    <t>האקריטי, שמריה בן אליהו</t>
  </si>
  <si>
    <t>טריוואקס, משה חיים בן גבריאל</t>
  </si>
  <si>
    <t>אלף המגן - הוריות</t>
  </si>
  <si>
    <t>יפה, מרדכי גימפל בן דוב בר</t>
  </si>
  <si>
    <t>מריינא, אליהו פינחס בן זאב הכהן</t>
  </si>
  <si>
    <t>פיינשטיין, אריה ליב בן בנימין</t>
  </si>
  <si>
    <t>שפירא, יצחק בן אליעזר</t>
  </si>
  <si>
    <t>תצ"ב</t>
  </si>
  <si>
    <t>אלף זעירא - 2 כר'</t>
  </si>
  <si>
    <t>גולדברגר, צבי זאב וולף בן שלמה</t>
  </si>
  <si>
    <t>דרושים, תלמוד בבלי, תנ"ך</t>
  </si>
  <si>
    <t>אלף כסף</t>
  </si>
  <si>
    <t>אלף מרגליות</t>
  </si>
  <si>
    <t>אלפא ביתא &lt;מהדורה חדשה&gt;</t>
  </si>
  <si>
    <t>צבי הירש בן שלום זליג מנאדבורנה</t>
  </si>
  <si>
    <t>אלפא ביתא דאבות</t>
  </si>
  <si>
    <t>נכס, שלמה מיכאל בן יצחק</t>
  </si>
  <si>
    <t>לוס אנג'לס Los Angel</t>
  </si>
  <si>
    <t>אלפא ביתא - 5 כר'</t>
  </si>
  <si>
    <t>תר"ט</t>
  </si>
  <si>
    <t>אלפא ביתא</t>
  </si>
  <si>
    <t>קאצנלנבוגן, משה בן נחום</t>
  </si>
  <si>
    <t>תרט"ו - תרכ"ו</t>
  </si>
  <si>
    <t>אלפא שמן לנר - 2 כר'</t>
  </si>
  <si>
    <t>רובינשטיין, שמואל יעקב בן ירמיה מנחם</t>
  </si>
  <si>
    <t>Paris פריס</t>
  </si>
  <si>
    <t>אלפי יהודה</t>
  </si>
  <si>
    <t>אלפי יהודה - 2 כר'</t>
  </si>
  <si>
    <t>רוזנצווייג, צבי יהודה בן משה דוד</t>
  </si>
  <si>
    <t>אלפי ישראל - 2 כר'</t>
  </si>
  <si>
    <t>אוירבאך, ישראל מתתיהו בן נחמן זאב</t>
  </si>
  <si>
    <t>אלפי ישראל - א</t>
  </si>
  <si>
    <t>חנוכוביץ', ישראל יעקב בן אברהם</t>
  </si>
  <si>
    <t>מחפוץ, ישראל</t>
  </si>
  <si>
    <t>אלפי מנשה - 2 כר'</t>
  </si>
  <si>
    <t>אייכנשטיין, מנשה בן יששכר דוב</t>
  </si>
  <si>
    <t>אלפי מנשה - 3 כר'</t>
  </si>
  <si>
    <t>בן פורת, מנשה בן יוסף מאילייה</t>
  </si>
  <si>
    <t>תקפ"ב - תרס"ה</t>
  </si>
  <si>
    <t>מחשבה ומוסר, משנה, תלמוד בבלי</t>
  </si>
  <si>
    <t>אלפי מנשה</t>
  </si>
  <si>
    <t>מלכה, מנשה</t>
  </si>
  <si>
    <t>אלפי מנשה - יסודות והערות</t>
  </si>
  <si>
    <t>שווב, מנשה</t>
  </si>
  <si>
    <t>אלקבץ - 2 כר'</t>
  </si>
  <si>
    <t>אפללו, חנן</t>
  </si>
  <si>
    <t>אלקטה באמרים - 14 כר'</t>
  </si>
  <si>
    <t>בן דב, אורי</t>
  </si>
  <si>
    <t>אלקי אבי בעזרי - 2 כר'</t>
  </si>
  <si>
    <t>וארהאפטיג, אלעזר</t>
  </si>
  <si>
    <t>אם אסק שמים</t>
  </si>
  <si>
    <t>הלפרין, לוי יצחק</t>
  </si>
  <si>
    <t>אם אשכחך ירושלים</t>
  </si>
  <si>
    <t>למברסקי, מאיר</t>
  </si>
  <si>
    <t>אם אשכחך ירושלם תשכח ימיני</t>
  </si>
  <si>
    <t>ווירונה. בית המדרש</t>
  </si>
  <si>
    <t>איטליה Italy</t>
  </si>
  <si>
    <t>אם אשכחך</t>
  </si>
  <si>
    <t>תיקון חצות</t>
  </si>
  <si>
    <t>אם בישראל</t>
  </si>
  <si>
    <t>אברהם, דוד בן אברהם</t>
  </si>
  <si>
    <t>אם בישראל - ספר זכרון</t>
  </si>
  <si>
    <t>שוורצמן, קיילה רבקה</t>
  </si>
  <si>
    <t>אם בישראל - 3 כר'</t>
  </si>
  <si>
    <t>שנירר, שרה בת בצלאל</t>
  </si>
  <si>
    <t>אם הבנים שמחה &lt;מהדורה חדשה&gt;</t>
  </si>
  <si>
    <t>טייכטאל, יששכר שלמה בן יצחק</t>
  </si>
  <si>
    <t>אם הבנים שמחה &lt;מכון פרי הארץ&gt;</t>
  </si>
  <si>
    <t>אם הבנים שמחה</t>
  </si>
  <si>
    <t>טרבלסי, ניסים</t>
  </si>
  <si>
    <t>הלכה ומנהג, נושאים שונים, שלחן ערוך ומפרשיו, תלמוד בבלי</t>
  </si>
  <si>
    <t>אם הבנים - 2 כר'</t>
  </si>
  <si>
    <t>מצליח, חיים משה בן יצחק</t>
  </si>
  <si>
    <t>תרל"ג - תרמ"ב</t>
  </si>
  <si>
    <t>אם הדרך</t>
  </si>
  <si>
    <t>אשכנזי, מיכאל</t>
  </si>
  <si>
    <t>דרושים, הלכה ומנהג, שלחן ערוך ומפרשיו</t>
  </si>
  <si>
    <t>אם הדרך - על דמותה של הגב' שרה שנירר ע"ה</t>
  </si>
  <si>
    <t>מאסף</t>
  </si>
  <si>
    <t>אם הילד וחינוך לקטן</t>
  </si>
  <si>
    <t>שלום שכנא בן מנחם קוידאנובר</t>
  </si>
  <si>
    <t>אם הילד</t>
  </si>
  <si>
    <t>היילפרין, יוסף בן אלחנן</t>
  </si>
  <si>
    <t>אם המלך</t>
  </si>
  <si>
    <t>סאקס, שמואל דוד</t>
  </si>
  <si>
    <t>אם המלכות - רות</t>
  </si>
  <si>
    <t>לייטער, משה חיים  בן אבא</t>
  </si>
  <si>
    <t>אם העיגולים קדמו ליושר</t>
  </si>
  <si>
    <t>ניקרוש, רחמים</t>
  </si>
  <si>
    <t>אם יעקב</t>
  </si>
  <si>
    <t>יאקימובסקי, יעקב בנימין זאב בן בן-ציון הכהן</t>
  </si>
  <si>
    <t>אם כל חי - ברכות</t>
  </si>
  <si>
    <t>מטרי, אלירן</t>
  </si>
  <si>
    <t>חולין</t>
  </si>
  <si>
    <t>אם לא באתי</t>
  </si>
  <si>
    <t>שטרן, רפאל</t>
  </si>
  <si>
    <t>גבעת שמואל</t>
  </si>
  <si>
    <t>אם לבינה - 2 כר'</t>
  </si>
  <si>
    <t>אייבשיץ, דוד שלמה בן ירחמיאל - פאפיער, יחיאל יהודה</t>
  </si>
  <si>
    <t>אם לבינה - ב</t>
  </si>
  <si>
    <t>דרשר, יונה</t>
  </si>
  <si>
    <t>אם לבינה</t>
  </si>
  <si>
    <t>מאזוז, אלטר</t>
  </si>
  <si>
    <t>מושב איתן</t>
  </si>
  <si>
    <t>אם לבינה - קידושין</t>
  </si>
  <si>
    <t>מימון, אריאל יוסף רפאל בן עוזי</t>
  </si>
  <si>
    <t>מרציאנו, אבנר בן יהודה</t>
  </si>
  <si>
    <t>אם לבינה - 3 כר'</t>
  </si>
  <si>
    <t>קאמלהאר, יקותיאל אריה בן גרשון</t>
  </si>
  <si>
    <t>שיפמאן, אליעזר מאיר בן אברהם יהודה ליב</t>
  </si>
  <si>
    <t>וישאול-דה-סוס Viseu</t>
  </si>
  <si>
    <t>שרייבר, בנימין בן משה אריה</t>
  </si>
  <si>
    <t>אם למסורות</t>
  </si>
  <si>
    <t>אריה ליב חריף</t>
  </si>
  <si>
    <t>אם למסורת</t>
  </si>
  <si>
    <t>וויטירבי, דוד חיים בן עזריאל</t>
  </si>
  <si>
    <t>תק"ח - תק"ט</t>
  </si>
  <si>
    <t>אם למקרא ואם למסורת</t>
  </si>
  <si>
    <t>בן סמחון, אהרון (פרץ, אליהו - מו"ל)</t>
  </si>
  <si>
    <t>אם למקרא ולמסורת</t>
  </si>
  <si>
    <t>ליפיץ, יצחק בן מרדכי</t>
  </si>
  <si>
    <t>תרנ"ח</t>
  </si>
  <si>
    <t>אם למקרא</t>
  </si>
  <si>
    <t>בידינגן, משה בן ישראל</t>
  </si>
  <si>
    <t>תקע"ו</t>
  </si>
  <si>
    <t>אם למקרא - 2 כר'</t>
  </si>
  <si>
    <t>רובין, שמואל אהרן</t>
  </si>
  <si>
    <t>אם סגולה</t>
  </si>
  <si>
    <t>גוטמן, משה</t>
  </si>
  <si>
    <t>אם על בנים</t>
  </si>
  <si>
    <t>אם על הבנים</t>
  </si>
  <si>
    <t>כהן, חנוך</t>
  </si>
  <si>
    <t>אמא בקשתך נתקבלה</t>
  </si>
  <si>
    <t>זילברברג, טובה</t>
  </si>
  <si>
    <t>אמה של מלכות</t>
  </si>
  <si>
    <t>מרכז שפירא (אור עציו</t>
  </si>
  <si>
    <t>אמונה בשואה</t>
  </si>
  <si>
    <t>אמונה ובטחון - 2 כר'</t>
  </si>
  <si>
    <t>אמונה ובטחון</t>
  </si>
  <si>
    <t>אמונה ודעת</t>
  </si>
  <si>
    <t>רימון, אפרים אליעזר בן יוסף צבי</t>
  </si>
  <si>
    <t>אמונה והשגחה</t>
  </si>
  <si>
    <t>מאלצאן, שמואל בן אברהם</t>
  </si>
  <si>
    <t>אמונה וישועה</t>
  </si>
  <si>
    <t>הופנר, נפתלי בן אליעזר</t>
  </si>
  <si>
    <t>אמונה ומודעות</t>
  </si>
  <si>
    <t>מחשבה ומוסר, ספריית חב"ד</t>
  </si>
  <si>
    <t>אמונה ופרנסה</t>
  </si>
  <si>
    <t>אמונה ותורה</t>
  </si>
  <si>
    <t>אמונה טהורה</t>
  </si>
  <si>
    <t>גולדבר, משה מאיר בן צבי</t>
  </si>
  <si>
    <t>אמונה ישרה - 2 כר'</t>
  </si>
  <si>
    <t>תר"ג - תר"ל</t>
  </si>
  <si>
    <t>אמונה לדור התהיה</t>
  </si>
  <si>
    <t>אמונה עד בא השמש</t>
  </si>
  <si>
    <t>לזכר הבה"ח יעקב יצחק בוקלר</t>
  </si>
  <si>
    <t>אמונה צרופה בכור השואה - 2 כר'</t>
  </si>
  <si>
    <t>טייכטל, ישכר שלמה</t>
  </si>
  <si>
    <t>תולדות עם ישראל, תולדות עם ישראל</t>
  </si>
  <si>
    <t>אמונה שלימה</t>
  </si>
  <si>
    <t>גוטסמאן, אברהם יוסף יוסקה בן מאיר הלוי</t>
  </si>
  <si>
    <t>אמונה שלמה - 6 כר'</t>
  </si>
  <si>
    <t>נקר, צבי</t>
  </si>
  <si>
    <t>אמונות ודעות</t>
  </si>
  <si>
    <t>אמוני עם סגולה - 4 כר'</t>
  </si>
  <si>
    <t>גרליץ, מרדכי בן יחיאל משה</t>
  </si>
  <si>
    <t>אמונים - 6 כר'</t>
  </si>
  <si>
    <t>בטאון אגוד רבני תימן בישראל</t>
  </si>
  <si>
    <t>תש"כט</t>
  </si>
  <si>
    <t>אמונת אברהם - 4 כר'</t>
  </si>
  <si>
    <t>אמונת אברהם</t>
  </si>
  <si>
    <t>קוך, אברהם עמרם הלוי</t>
  </si>
  <si>
    <t>אמונת אברהם, פתגמי אורייתא</t>
  </si>
  <si>
    <t>אדמורי"ם לבית פיטסבורג</t>
  </si>
  <si>
    <t>אמונת אומן</t>
  </si>
  <si>
    <t>אונדרווייזר, אורי בן יוסף הכהן</t>
  </si>
  <si>
    <t>אמונת אומן - 2 כר'</t>
  </si>
  <si>
    <t>שטראהלי, יחיאל מיכל בן משה</t>
  </si>
  <si>
    <t>אמונת איתן - 2 כר'</t>
  </si>
  <si>
    <t>פולק, אברהם אלטר</t>
  </si>
  <si>
    <t>אמונת איתן</t>
  </si>
  <si>
    <t>אמונת אליעזר - 3 כר'</t>
  </si>
  <si>
    <t>מרגליות, אליהו מנחם בן אליעזר צדוק</t>
  </si>
  <si>
    <t>אמונת אליעזר - 2 כר'</t>
  </si>
  <si>
    <t>שרבינטר, אליעזר אפרים בן אברהם צבי</t>
  </si>
  <si>
    <t>אמונת ה'</t>
  </si>
  <si>
    <t>ערוסי, יחייא</t>
  </si>
  <si>
    <t>אמונת היחוד</t>
  </si>
  <si>
    <t>סופר, אברהם מפולטישן</t>
  </si>
  <si>
    <t>אמונת התחיה</t>
  </si>
  <si>
    <t>פוטשובסקי, משה נתנאל בן דניאל</t>
  </si>
  <si>
    <t>אמונת זרעים שביעית - קונטרס הארות</t>
  </si>
  <si>
    <t>מנדלזון, יהודה ליב בן אהרן מאיר - קלקשטיין</t>
  </si>
  <si>
    <t>אמונת זרעים</t>
  </si>
  <si>
    <t>מנדלזון, יהודה ליב בן אהרן מאיר</t>
  </si>
  <si>
    <t>אמונת חיים - 4 כר'</t>
  </si>
  <si>
    <t>שיפמן, חיים הלוי</t>
  </si>
  <si>
    <t>אמונת חכמים - 5 כר'</t>
  </si>
  <si>
    <t>באזילה, אביעד שר שלום בן מנחם שמשון</t>
  </si>
  <si>
    <t>אמונת חכמים</t>
  </si>
  <si>
    <t>גינזבורג, דוב בר יהודה ליב בן נחמיה</t>
  </si>
  <si>
    <t>תרנ"ב</t>
  </si>
  <si>
    <t>לקט מקורות</t>
  </si>
  <si>
    <t>אמונת יהודה וישראל</t>
  </si>
  <si>
    <t>כהנא, יהודה ליב בן משה</t>
  </si>
  <si>
    <t>אמונת יהושע - 6 כר'</t>
  </si>
  <si>
    <t>גלדצהלר, אליהו יהושע בן מנחם שלום</t>
  </si>
  <si>
    <t>אמונת ישראל סבא</t>
  </si>
  <si>
    <t>אמונת ישראל - 4 כר'</t>
  </si>
  <si>
    <t>טייקוס, גדליה בן אברהם מנחם</t>
  </si>
  <si>
    <t>תקצ"ז</t>
  </si>
  <si>
    <t>אמונת ישראל - 3 כר'</t>
  </si>
  <si>
    <t>שוורץ, ישראל</t>
  </si>
  <si>
    <t>אמונת ישראל - 2 כר'</t>
  </si>
  <si>
    <t>שפירא, ישראל בן חיים מאיר יחיאל</t>
  </si>
  <si>
    <t>תש"ח - תשכ"ה</t>
  </si>
  <si>
    <t>אמונת מנחם</t>
  </si>
  <si>
    <t>קרלינסקי, יצחק מנחם בן משה נתן</t>
  </si>
  <si>
    <t>אמונת משה - 5 כר'</t>
  </si>
  <si>
    <t>דנציגר, יהודה משה מאלכסנדר</t>
  </si>
  <si>
    <t>אמונת עז</t>
  </si>
  <si>
    <t>אויערבאך, עזריאל</t>
  </si>
  <si>
    <t>אמונת עתיך - שביעית</t>
  </si>
  <si>
    <t>בית מדרש אהל יצחק ומרים</t>
  </si>
  <si>
    <t>הלכה ומנהג, משנה, קבצים וכתבי עת, ספרי זכרון ויובל</t>
  </si>
  <si>
    <t>אמונת עתיך - 3 כר'</t>
  </si>
  <si>
    <t>וולפסון, משה</t>
  </si>
  <si>
    <t>אמונת עתיך</t>
  </si>
  <si>
    <t>מורגנשטרן, אברהם בן צבי יהודה</t>
  </si>
  <si>
    <t>אמונת עתיך - 68 כר'</t>
  </si>
  <si>
    <t>מכון התורה והארץ</t>
  </si>
  <si>
    <t>סיידו, אברהם</t>
  </si>
  <si>
    <t>אמונת עתך</t>
  </si>
  <si>
    <t>הלכה ומנהג, מחשבה ומוסר, נושאים שונים</t>
  </si>
  <si>
    <t>אמונת עתך - 2 כר'</t>
  </si>
  <si>
    <t>אמונת צדיקים</t>
  </si>
  <si>
    <t>יצחק דוב בר בן צבי הירש</t>
  </si>
  <si>
    <t>אמונת שביעית</t>
  </si>
  <si>
    <t>אמונת שביעית, וקונטרסים בעניני שביעית</t>
  </si>
  <si>
    <t>מנדלזון, מנחם מנדל בן בנימין</t>
  </si>
  <si>
    <t>קוממיות</t>
  </si>
  <si>
    <t>אמונת שמואל - 2 כר'</t>
  </si>
  <si>
    <t>קוידאנובר, אהרן שמואל בן ישראל</t>
  </si>
  <si>
    <t>אמור להם</t>
  </si>
  <si>
    <t>הכהן, אמיר דוד חי בן ברוך</t>
  </si>
  <si>
    <t>אמינות חידושי רבי עקיבא איגר &lt;מהדורת הרב אברהם בנימין זילברברג&gt;</t>
  </si>
  <si>
    <t>מאצנער, ישראל משה</t>
  </si>
  <si>
    <t>אמירה דכיא</t>
  </si>
  <si>
    <t>פעטעני, מרדכי</t>
  </si>
  <si>
    <t>אמירה יפה - 2 כר'</t>
  </si>
  <si>
    <t>גולדשטיין, אלימלך</t>
  </si>
  <si>
    <t>אמירה כתיבה - כתובות</t>
  </si>
  <si>
    <t>מילר, מאיר יחיאל בן שמואל הכהן</t>
  </si>
  <si>
    <t>אמירה לבית יעקב &lt;גרמנית&gt; - 2 כר'</t>
  </si>
  <si>
    <t>באמברגר, יצחק דוב בן שמחה הלוי</t>
  </si>
  <si>
    <t>מגנצא</t>
  </si>
  <si>
    <t>אמירה לבית יעקב</t>
  </si>
  <si>
    <t>אמירה לבת יעקב</t>
  </si>
  <si>
    <t>ברגר, בנימין</t>
  </si>
  <si>
    <t>בודפשט</t>
  </si>
  <si>
    <t>אמירה לנכרי</t>
  </si>
  <si>
    <t>דרברמדיקר, אברהם יהושע השל</t>
  </si>
  <si>
    <t>טלסניק, יצחק ליב</t>
  </si>
  <si>
    <t>סגל, שלמה דב בן יעקב ישראל הלוי</t>
  </si>
  <si>
    <t>אמירה נעימה תנינא - 2 כר'</t>
  </si>
  <si>
    <t>הלוי, יוסף צבי בן אברהם</t>
  </si>
  <si>
    <t>אמירה נעימה - מעילה</t>
  </si>
  <si>
    <t>אלטמן, רפאל הלוי בן אברהם</t>
  </si>
  <si>
    <t>אמירה נעימה</t>
  </si>
  <si>
    <t>בלוך, חיים גבריאל בן יוסף</t>
  </si>
  <si>
    <t>אמירת דבר בשם אומרו</t>
  </si>
  <si>
    <t>רבינוביץ, מרדכי בן רפאל אלחנן</t>
  </si>
  <si>
    <t>אמירת חזק ויישר כח - תדפיס</t>
  </si>
  <si>
    <t>שפיגל, יעקב שמואל בן יהודה</t>
  </si>
  <si>
    <t>אמן והלל</t>
  </si>
  <si>
    <t>רייך, בנימין זאב בן אברהם יחזקאל</t>
  </si>
  <si>
    <t>אמנה</t>
  </si>
  <si>
    <t>אמר הטוב והמטיב</t>
  </si>
  <si>
    <t>אבנסון, מרדכי בן משה</t>
  </si>
  <si>
    <t>גייטס</t>
  </si>
  <si>
    <t>אמר ואמרת - 2 כר'</t>
  </si>
  <si>
    <t>אמר ודברים</t>
  </si>
  <si>
    <t>בלום, שמואל בן ידידיה הלוי</t>
  </si>
  <si>
    <t>אמר ודעת</t>
  </si>
  <si>
    <t>רוזנברג, יהודה יודל</t>
  </si>
  <si>
    <t>אמר ידיד</t>
  </si>
  <si>
    <t>טאריקה, ידידיה שמואל בן יהודה</t>
  </si>
  <si>
    <t>אמר יוסף</t>
  </si>
  <si>
    <t>אלקלעי, יוסף בן דוד</t>
  </si>
  <si>
    <t>תקצ"א</t>
  </si>
  <si>
    <t>דרושים, הלכה ומנהג, תלמוד בבלי, תלמוד בבלי</t>
  </si>
  <si>
    <t>אמר יצחק</t>
  </si>
  <si>
    <t>אלבעלי, יצחק מאזמיר</t>
  </si>
  <si>
    <t>דרושים, מועדי ישראל, משנה, תלמוד בבלי, תלמוד ירושלמי, תנ"ך</t>
  </si>
  <si>
    <t>אמר מר</t>
  </si>
  <si>
    <t>רבינזון, מאיר בן יהושע צבי</t>
  </si>
  <si>
    <t>אמר רבא הלכתא, פסקי הלכה מאוחרים - תדפיס</t>
  </si>
  <si>
    <t>אמר רבי אלעזר</t>
  </si>
  <si>
    <t>אמר רבי עקיבא</t>
  </si>
  <si>
    <t>גאנז, עקיבא צבי</t>
  </si>
  <si>
    <t>אמר שלמה</t>
  </si>
  <si>
    <t>חאליליו, שלמה בן חיים</t>
  </si>
  <si>
    <t>אמר שמואל</t>
  </si>
  <si>
    <t>אבן-חביב, שמואל</t>
  </si>
  <si>
    <t>אמר"י ט"ל</t>
  </si>
  <si>
    <t>פלנר, יוסף בן אברהם ישעיה</t>
  </si>
  <si>
    <t>אמר"י שב"ח</t>
  </si>
  <si>
    <t>גלאז, חיים שמואל בן מאיר יהודה ליב הכהן</t>
  </si>
  <si>
    <t>זלישצ'יק Zaleshchik</t>
  </si>
  <si>
    <t>אמרה צרופה</t>
  </si>
  <si>
    <t>מיקליש, יוסף בן יששכר</t>
  </si>
  <si>
    <t>אמרו צדיק &lt;ספורי מופת על אדמור"י בית הוסיאטין&gt;</t>
  </si>
  <si>
    <t>גרוזמן, מאיר צבי</t>
  </si>
  <si>
    <t>אמרות אברהם - בראשית, שמות</t>
  </si>
  <si>
    <t>דניאל, אברהם בן פינחס</t>
  </si>
  <si>
    <t>אמרות אברהם - 35 כר'</t>
  </si>
  <si>
    <t>זיסקינד, אברהם משה בן יצחק</t>
  </si>
  <si>
    <t>אמרות אליהו - א</t>
  </si>
  <si>
    <t>לוי, אליהו</t>
  </si>
  <si>
    <t>אמרות ה' השלם - 5 כר'</t>
  </si>
  <si>
    <t>ליטש-רוזנבוים, משה אריה ליב בן יהודה הלוי</t>
  </si>
  <si>
    <t>אמרות ה' - 2 כר'</t>
  </si>
  <si>
    <t>לבובLvov</t>
  </si>
  <si>
    <t>אמרות המשנה</t>
  </si>
  <si>
    <t>ברנבלום, שלמה</t>
  </si>
  <si>
    <t>טבריה,</t>
  </si>
  <si>
    <t>אמרות והנהגות</t>
  </si>
  <si>
    <t>שיש, מנחם דב בן אברהם הלוי</t>
  </si>
  <si>
    <t>אמרות חז"ל</t>
  </si>
  <si>
    <t>גולדשמיד, ישראל משה בן אברהם אבא</t>
  </si>
  <si>
    <t>אמרות חיים</t>
  </si>
  <si>
    <t>אלעזרי, חיים משה ראובן</t>
  </si>
  <si>
    <t>גרינפלד, חיים ירחמיאל בן דוד יהודה</t>
  </si>
  <si>
    <t>אמרות חכמה - 6 כר'</t>
  </si>
  <si>
    <t>אבני, נתנאל</t>
  </si>
  <si>
    <t>אמרות חן</t>
  </si>
  <si>
    <t>פלדמן, נח בן אברהם שמואל</t>
  </si>
  <si>
    <t>אמרות טהורות &lt;עשרה מאמרות&gt;</t>
  </si>
  <si>
    <t>פאנו, מנחם עזריה בן יצחק ברכיה</t>
  </si>
  <si>
    <t>תנ"ח</t>
  </si>
  <si>
    <t>פרנקפורט דמין Frank</t>
  </si>
  <si>
    <t>אמרות טהורות חיצוניות ופנימיות</t>
  </si>
  <si>
    <t>יהודה בן שמואל החסיד</t>
  </si>
  <si>
    <t>אמרות טהורות</t>
  </si>
  <si>
    <t>אברז'ל, נתנאל בן נפתלי</t>
  </si>
  <si>
    <t>אלנקווה, יוסף</t>
  </si>
  <si>
    <t>אשכנזי, ברוך בן יחיאל מיכל ממזיבוז</t>
  </si>
  <si>
    <t>בנימין וולף בן יצחק הלוי לייטמרץ</t>
  </si>
  <si>
    <t>ת"ה</t>
  </si>
  <si>
    <t>הורוויץ, אליעזר בן יעקב הלוי</t>
  </si>
  <si>
    <t>תקצ"ט</t>
  </si>
  <si>
    <t>ווארמאן, אברהם דוד בן אשר</t>
  </si>
  <si>
    <t>תר"ץ</t>
  </si>
  <si>
    <t>אמרות טהורות - פסחים</t>
  </si>
  <si>
    <t>וולפסון, דניאל קלמן בן אביעזר שמעון יוסף הלוי</t>
  </si>
  <si>
    <t>חאיון, אברהם בן ניסים</t>
  </si>
  <si>
    <t>חדאד, בנימין בן לוי</t>
  </si>
  <si>
    <t>אמרות טהורות - ב</t>
  </si>
  <si>
    <t>חרל"פ, יעקב משה</t>
  </si>
  <si>
    <t>ישראל, חיים אברהם בן משה</t>
  </si>
  <si>
    <t>תקמ"ז</t>
  </si>
  <si>
    <t>לאנדוי, יעקב יצחק בן יקותיאל זלמן הלוי</t>
  </si>
  <si>
    <t>נושאים שונים, תולדות עם ישראל, תולדות עם ישראל, תלמוד בבלי</t>
  </si>
  <si>
    <t>ליקוט על ענייני פסח</t>
  </si>
  <si>
    <t>אמרות טהורות - 3 כר'</t>
  </si>
  <si>
    <t>מדר, אליהו</t>
  </si>
  <si>
    <t>אמרות טהורות - אוצרות התורה</t>
  </si>
  <si>
    <t>מינדען, יוסף שלמה - קאהוט, אברהם זאב - רובינזון, משה נתן</t>
  </si>
  <si>
    <t>אמרות טהורות - כלים</t>
  </si>
  <si>
    <t>אמרות טהורות - 5 כר'</t>
  </si>
  <si>
    <t>נידאם, יעקב בן דוד</t>
  </si>
  <si>
    <t>נתנזון, יוסף שאול בן אריה ליבוש הלוי</t>
  </si>
  <si>
    <t>פולייר, משה בן ישראל אליעזר</t>
  </si>
  <si>
    <t>פרידמן, ישראל חיים מנשה</t>
  </si>
  <si>
    <t>קאליש, שמעון שלום בן מנחם מאמשינוב</t>
  </si>
  <si>
    <t>רבותינו הקוה"ט לבית טשערנוביל</t>
  </si>
  <si>
    <t>דרושים, חסידות, מועדי ישראל</t>
  </si>
  <si>
    <t>אמרות טהורות - 4 כר'</t>
  </si>
  <si>
    <t>רוזנוולד, דוד יהושע</t>
  </si>
  <si>
    <t>שפירא, יהושע צבי מיכל בן יעקב קופל</t>
  </si>
  <si>
    <t>אמרות טהרות</t>
  </si>
  <si>
    <t>פריינד, שמואל בן יששכר בר</t>
  </si>
  <si>
    <t>אמרות יצחק - 2 כר'</t>
  </si>
  <si>
    <t>שולזינגר, יצחק בן אליהו דוד הלוי</t>
  </si>
  <si>
    <t>אמרות מלך</t>
  </si>
  <si>
    <t>אמרות משה - תורה</t>
  </si>
  <si>
    <t>ברזם, משה זכריה בן שאול</t>
  </si>
  <si>
    <t>אמרות משה - 3 כר'</t>
  </si>
  <si>
    <t>דרושים, חסידות, מועדי ישראל, מחשבה ומוסר, תנ"ך</t>
  </si>
  <si>
    <t>אמרות משה - גיטין</t>
  </si>
  <si>
    <t>קלויזנר, משה מאיר</t>
  </si>
  <si>
    <t>אמרות צדיקים - 2 כר'</t>
  </si>
  <si>
    <t>אמרות שלמה - 2 כר'</t>
  </si>
  <si>
    <t>ווילף, שלמה בן ישעיה יוסף</t>
  </si>
  <si>
    <t>לנדא, שלמה יוסף</t>
  </si>
  <si>
    <t>אמרות שם</t>
  </si>
  <si>
    <t>זעפרני, שמעון</t>
  </si>
  <si>
    <t>אמרות שמואל</t>
  </si>
  <si>
    <t>רוזובסקי, שמואל בן ישכר צבי  הכהן</t>
  </si>
  <si>
    <t>הלכה ומנהג, משנה, תלמוד בבלי, תלמוד ירושלמי, תנ"ך</t>
  </si>
  <si>
    <t>אמרות - א</t>
  </si>
  <si>
    <t>אמרי אבא</t>
  </si>
  <si>
    <t>פרוכטר, אריה בן אברהם</t>
  </si>
  <si>
    <t>רוזנברג, אברהם ברוך אלטר בן יהודה אברהם עביר</t>
  </si>
  <si>
    <t>מועדי ישראל, מחשבה ומוסר, קבלה</t>
  </si>
  <si>
    <t>אמרי אבות</t>
  </si>
  <si>
    <t>צדיקי זידיטשוב</t>
  </si>
  <si>
    <t>ריבאק, אפרים אליהו</t>
  </si>
  <si>
    <t>אמרי אביגדור - 2 כר'</t>
  </si>
  <si>
    <t>ציפרשטיין, אביגדור</t>
  </si>
  <si>
    <t>אמרי אברהם - נדה</t>
  </si>
  <si>
    <t>אויערבאך, אברהם דב בן חיים יהודה ליב</t>
  </si>
  <si>
    <t>אמרי אברהם - א</t>
  </si>
  <si>
    <t>איזראל, אברהם מאיר בן יהודה ליב</t>
  </si>
  <si>
    <t>אמרי אברהם - 7 כר'</t>
  </si>
  <si>
    <t>אנגלרד, אברהם בן מאיר צבי</t>
  </si>
  <si>
    <t>אמרי אברהם</t>
  </si>
  <si>
    <t>הררי רפול, אברהם בן עזרא</t>
  </si>
  <si>
    <t>אמרי אברהם - מוקצה</t>
  </si>
  <si>
    <t>זנגר, אברהם בן יום טוב</t>
  </si>
  <si>
    <t>אמרי אברהם - 4 כר'</t>
  </si>
  <si>
    <t>חזן, אברהם בן מאיר</t>
  </si>
  <si>
    <t>לעווי, אברהם מרדכי בן יוסף</t>
  </si>
  <si>
    <t>הלכה ומנהג, מועדי ישראל, נושאים שונים, תולדות עם ישראל, תלמוד בבלי, תנ"ך</t>
  </si>
  <si>
    <t>אמרי אברהם - 2 כר'</t>
  </si>
  <si>
    <t>פרייס, אברהם אהרן בן יוסף</t>
  </si>
  <si>
    <t>קליין, אברהם מאיר בן יחיאל מיכאל כ"ץ</t>
  </si>
  <si>
    <t>טירנוי Trnava</t>
  </si>
  <si>
    <t>דרושים, משנה, נושאים שונים, תלמוד בבלי, תנ"ך</t>
  </si>
  <si>
    <t>אמרי אהרן</t>
  </si>
  <si>
    <t>הכהן, אהרן בן מאיר</t>
  </si>
  <si>
    <t>צרפת</t>
  </si>
  <si>
    <t>הלכה ומנהג, תלמוד בבלי, תנ"ך</t>
  </si>
  <si>
    <t>וויינטרויב, אהרן בן יעקב דוד</t>
  </si>
  <si>
    <t>חסידות, תנ"ך, תנ"ך</t>
  </si>
  <si>
    <t>אמרי אופיר - א</t>
  </si>
  <si>
    <t>ראשל"צ</t>
  </si>
  <si>
    <t>אמרי איש</t>
  </si>
  <si>
    <t>ביטון, רפאל</t>
  </si>
  <si>
    <t>דדש, אברהם ישעיהו בן ישר</t>
  </si>
  <si>
    <t>משנה, שאלות ותשובות, שלחן ערוך ומפרשיו, תלמוד בבלי</t>
  </si>
  <si>
    <t>אמרי אליהו &lt;שו"ת&gt;</t>
  </si>
  <si>
    <t>הלוי, אליהו</t>
  </si>
  <si>
    <t>אמרי אליהו - 3 כר'</t>
  </si>
  <si>
    <t>גולדשטיין, אליהו</t>
  </si>
  <si>
    <t>אמרי אליהו</t>
  </si>
  <si>
    <t>אמרי אליהו - 13 כר'</t>
  </si>
  <si>
    <t>אמרי אליהו - 2 כר'</t>
  </si>
  <si>
    <t>מלכא, אליהו בן אברהם</t>
  </si>
  <si>
    <t>כרמיאל</t>
  </si>
  <si>
    <t>ציטרנבוים, נח אליהו בן שמואל ברוך</t>
  </si>
  <si>
    <t>אמרי אלימלך</t>
  </si>
  <si>
    <t>רובינשטיין, אלימלך בן נחמן הכהן</t>
  </si>
  <si>
    <t>שפירא, אלימלך בן חיים מאיר יחיאל</t>
  </si>
  <si>
    <t>אמרי אליעזר - 4 כר'</t>
  </si>
  <si>
    <t>פרייפעלד, אליעזר</t>
  </si>
  <si>
    <t>אמרי אליעזר - ג</t>
  </si>
  <si>
    <t>פרלוב, אליעזר זאב בן אהרן</t>
  </si>
  <si>
    <t>אמרי אמת &lt;מכת"י&gt;</t>
  </si>
  <si>
    <t>אמרי אמת - 2 כר'</t>
  </si>
  <si>
    <t>איגר, יהודה ליב בן שלמה</t>
  </si>
  <si>
    <t>תרס"ב - תרס"ג</t>
  </si>
  <si>
    <t>אמרי אמת</t>
  </si>
  <si>
    <t>אליקום גץ בן יעקב יוסף מאורזישטשב</t>
  </si>
  <si>
    <t>אמרי אמת - 7 כר'</t>
  </si>
  <si>
    <t>אמאדו, יעקב בן דוד</t>
  </si>
  <si>
    <t>גולדשלאג, יחיאל מיכל בן אברהם</t>
  </si>
  <si>
    <t>הלכה ומנהג, הלכה ומנהג, נושאים שונים, תנ"ך</t>
  </si>
  <si>
    <t>אמרי אפרים</t>
  </si>
  <si>
    <t>וולך, אפרים בן יוסף</t>
  </si>
  <si>
    <t>אמרי אש חומת אש</t>
  </si>
  <si>
    <t>דייטש, דוד - א"ש, מאיר - א"ש, מנחם - שווארץ, יצחק מרדכי</t>
  </si>
  <si>
    <t>אמרי אש</t>
  </si>
  <si>
    <t>אביגס, אוריאל אליהו בן אברהם</t>
  </si>
  <si>
    <t>אמרי אש - 8 כר'</t>
  </si>
  <si>
    <t>אייזנשטטר (א"ש), מאיר בן יהודה ליב</t>
  </si>
  <si>
    <t>ליפשיץ, אפרים שמואל בן משה חיים</t>
  </si>
  <si>
    <t>פיליצר, אהרן שמחה</t>
  </si>
  <si>
    <t>אמרי אש - פורים, ארבע פרשיות</t>
  </si>
  <si>
    <t>צדיקי ספינקא</t>
  </si>
  <si>
    <t>אמרי אש - 2 כר'</t>
  </si>
  <si>
    <t>שגב, אורן בן חיים</t>
  </si>
  <si>
    <t>שמילאוויטש, מאיר יצחק</t>
  </si>
  <si>
    <t>אמרי אשר</t>
  </si>
  <si>
    <t>פריינד, אשר</t>
  </si>
  <si>
    <t>אמרי בי רב - 3 כר'</t>
  </si>
  <si>
    <t>ישיבת אמרי צבי</t>
  </si>
  <si>
    <t>אמרי בינה &lt;מכון משנת ר"א&gt; - 3 כר'</t>
  </si>
  <si>
    <t>אוירבאך, מאיר בן יצחק איציק</t>
  </si>
  <si>
    <t>אמרי בינה &lt;שיר השירים&gt;</t>
  </si>
  <si>
    <t>צבי אריה בן אליעזר</t>
  </si>
  <si>
    <t>אמרי בינה (שו"ת), ליקוטי הערות על שו"ת חת"ס</t>
  </si>
  <si>
    <t>פרנקל, נפתלי הירצא - גולדשטיין, ישכר דוב</t>
  </si>
  <si>
    <t>אמרי בינה</t>
  </si>
  <si>
    <t>אברהם בן דוד הלוי (הראב"ד הראשון). מיוחס לו</t>
  </si>
  <si>
    <t>אמרי בינה - 3 כר'</t>
  </si>
  <si>
    <t>אמרי בינה - 6 כר'</t>
  </si>
  <si>
    <t>תרכ"ט - תרל"א</t>
  </si>
  <si>
    <t>אמרי בינה - 2 כר'</t>
  </si>
  <si>
    <t>פיוטרקוב</t>
  </si>
  <si>
    <t>אנגל, יהודה יידל בן ראובן</t>
  </si>
  <si>
    <t>תקל"ט</t>
  </si>
  <si>
    <t>ארמר, עקיבא בן צבי</t>
  </si>
  <si>
    <t>אמרי בינה - 4 כר'</t>
  </si>
  <si>
    <t>בוגנים, נסים חיים בן ציון שמעון</t>
  </si>
  <si>
    <t>אמרי בינה - 10 כר'</t>
  </si>
  <si>
    <t>גארמיזאן, שמואל</t>
  </si>
  <si>
    <t>וינשטין, יצחק בן אברהם</t>
  </si>
  <si>
    <t>יששכר בר בן משה פתחיה</t>
  </si>
  <si>
    <t>שע"א</t>
  </si>
  <si>
    <t>לחוביצקי, משה יהודה ליב בן יעקב קופיל</t>
  </si>
  <si>
    <t>תר"ס,</t>
  </si>
  <si>
    <t>ווארשא,</t>
  </si>
  <si>
    <t>Varshava</t>
  </si>
  <si>
    <t>נחמני, יחיא</t>
  </si>
  <si>
    <t>פיינברג, גרשון אריה ליב בן רפאל</t>
  </si>
  <si>
    <t>צ'ינגולי, יצחק יוסף בן אברהם דוד</t>
  </si>
  <si>
    <t>רוזנפלד, יחיאל בן נתן הלוי</t>
  </si>
  <si>
    <t>אמרי במערבא</t>
  </si>
  <si>
    <t>קשת, אחיקם</t>
  </si>
  <si>
    <t>אמרי בנימין</t>
  </si>
  <si>
    <t>בנימין בן מאיר הלוי מברודי</t>
  </si>
  <si>
    <t>טרנופול Tarnopol</t>
  </si>
  <si>
    <t>רבינוביץ, בנימין בן משה שלום יוסף</t>
  </si>
  <si>
    <t>פלטישן Falticeni</t>
  </si>
  <si>
    <t>אמרי בנימן</t>
  </si>
  <si>
    <t>אמרי בנימן - 10 כר'</t>
  </si>
  <si>
    <t>יוז'וק, מאיר בנימן בן שמעון אריה</t>
  </si>
  <si>
    <t>אמרי ברוך</t>
  </si>
  <si>
    <t>אברהם ברוך בן שמואל זאנוויל</t>
  </si>
  <si>
    <t>אייזנשטאט, ברוך בן-ציון בן נח חיים</t>
  </si>
  <si>
    <t>אמרי ברוך - א</t>
  </si>
  <si>
    <t>ברוך שרגא בן שמאי</t>
  </si>
  <si>
    <t>גליקסמאן, ברוך בנדיט בן יעקב</t>
  </si>
  <si>
    <t>גרינבוים, ברוך צבי בן יוסף</t>
  </si>
  <si>
    <t>האגר, ברוך בן מנחם מנדל</t>
  </si>
  <si>
    <t>קולומיה Kolomyya</t>
  </si>
  <si>
    <t>חסידות, מועדי ישראל, תנ"ך, תנ"ך</t>
  </si>
  <si>
    <t>טולידאנו, ברוך אברהם בן אברהם</t>
  </si>
  <si>
    <t>מארכוס, ברוך בן מאיר פאלק</t>
  </si>
  <si>
    <t>דרושים, הלכה ומנהג, מועדי ישראל, שאלות ותשובות, תלמוד בבלי</t>
  </si>
  <si>
    <t>אמרי ברוך - בראשית</t>
  </si>
  <si>
    <t>סיימאן, ברוך חיים</t>
  </si>
  <si>
    <t>קובץ ישיבת אמרי ברוך</t>
  </si>
  <si>
    <t>קרית טלזסטון</t>
  </si>
  <si>
    <t>אמרי ברוך - מנחות - סוגיות ציצית</t>
  </si>
  <si>
    <t>קובץ כולל אמרי ברוך</t>
  </si>
  <si>
    <t>אמרי ברוך - שמות ויקרא</t>
  </si>
  <si>
    <t>קליין, ברוך מאיר</t>
  </si>
  <si>
    <t>תרע"א - תרפ"ג</t>
  </si>
  <si>
    <t>רבינוביץ, ברוך פינחס בן אליעזר חיים</t>
  </si>
  <si>
    <t>נושאים שונים, תנ"ך, תפלות בקשות פיוטים ושירה</t>
  </si>
  <si>
    <t>אמרי ברכה</t>
  </si>
  <si>
    <t>בראנדוויין, נחום בן אליעזר</t>
  </si>
  <si>
    <t>אמרי גדליה - 9 כר'</t>
  </si>
  <si>
    <t>פינקל, גדליה בן אליהו מאיר</t>
  </si>
  <si>
    <t>אמרי דב - 2 כר'</t>
  </si>
  <si>
    <t>היימפלד, דב</t>
  </si>
  <si>
    <t>אמרי דבי מדרשא - 3 כר'</t>
  </si>
  <si>
    <t>כולל תפארת אשר</t>
  </si>
  <si>
    <t>אמרי דבש - א</t>
  </si>
  <si>
    <t>סמיט, דוד בן צבי יהודה</t>
  </si>
  <si>
    <t>אמרי דבש - ביאור על נשמת</t>
  </si>
  <si>
    <t>שטרנבוך, אלכסנדר</t>
  </si>
  <si>
    <t>אמרי דוד וכתר מצות</t>
  </si>
  <si>
    <t>שליסל, דוד בן משה יהודה</t>
  </si>
  <si>
    <t>אמרי דוד</t>
  </si>
  <si>
    <t>הורוויץ, דוד בן אלעזר הלוי</t>
  </si>
  <si>
    <t>הורליק, דוד מרדכי</t>
  </si>
  <si>
    <t>אמרי דוד - 3 כר'</t>
  </si>
  <si>
    <t>אמרי דוד - 2 כר'</t>
  </si>
  <si>
    <t>מלינובסקי, דוד אלכסנדר בן שמריהו</t>
  </si>
  <si>
    <t>אמרי דוד - נשים, נזיקין</t>
  </si>
  <si>
    <t>מלינובסקי, דוד אלכסנדר</t>
  </si>
  <si>
    <t>עבו, דוד יעקב בן משה אהרן</t>
  </si>
  <si>
    <t>פדר, דוד מאיר בן ישראל משה</t>
  </si>
  <si>
    <t>פרנקל, דוד דניאל</t>
  </si>
  <si>
    <t>אמרי דוד - בראשית</t>
  </si>
  <si>
    <t>קדושה, דוד אליהו בן נוריאל נורמן</t>
  </si>
  <si>
    <t>אמרי דוד - שו"ע</t>
  </si>
  <si>
    <t>רחמים, דוד בן נסים</t>
  </si>
  <si>
    <t>זכרון יעקב</t>
  </si>
  <si>
    <t>אמרי דוד - 4 כר'</t>
  </si>
  <si>
    <t>שובקס, אלימלך ליפמן דוד בן יעקב ישראל שניאור זלמן</t>
  </si>
  <si>
    <t>שיק, דוד בן יצחק אייזיק</t>
  </si>
  <si>
    <t>אמרי דניאל - 4 כר'</t>
  </si>
  <si>
    <t>פלבני, דניאל</t>
  </si>
  <si>
    <t>אמרי דעה - שו"ע יו"ד בשר בחלב</t>
  </si>
  <si>
    <t>ביטמן, ירחמיאל משה</t>
  </si>
  <si>
    <t>אמרי דעה - יו"ד פז-קיא</t>
  </si>
  <si>
    <t>לבין, חיים מאיר - פלדמן, יוסף מאיר הלוי</t>
  </si>
  <si>
    <t>אמרי דעה</t>
  </si>
  <si>
    <t>רוזנטל, אליהו יהודה בן יששכר דוב</t>
  </si>
  <si>
    <t>הלכה ומנהג, הלכה ומנהג, מועדי ישראל, תנ"ך</t>
  </si>
  <si>
    <t>אמרי דעת</t>
  </si>
  <si>
    <t>וואלדברג, שמואל בן יואל</t>
  </si>
  <si>
    <t>זכאי, ירון מרדכי</t>
  </si>
  <si>
    <t>זרחיה בן יצחק בן שאלתיאל חן</t>
  </si>
  <si>
    <t>דרושים, משנה</t>
  </si>
  <si>
    <t>אמרי דעת - 2 כר'</t>
  </si>
  <si>
    <t>ליפקוביץ, מיכל יהודה בן משה דוד</t>
  </si>
  <si>
    <t>סגל, מאיר אריה בן נתן דוד</t>
  </si>
  <si>
    <t>קונשטט, אלחנן משה</t>
  </si>
  <si>
    <t>מחשבה ומוסר, מחשבה ומוסר</t>
  </si>
  <si>
    <t>אמרי הדף - 2 כר'</t>
  </si>
  <si>
    <t>סטפנסקי, יעקב בן יששכר מאיר</t>
  </si>
  <si>
    <t>אמרי הלכה ומנהג</t>
  </si>
  <si>
    <t>הלפרין, אברהם מיכאל</t>
  </si>
  <si>
    <t>אמרי הלכה</t>
  </si>
  <si>
    <t>גרינוולד, אילן בן משה</t>
  </si>
  <si>
    <t>אמרי הלכה - 2 כר'</t>
  </si>
  <si>
    <t>רפופורט, אמיר</t>
  </si>
  <si>
    <t>שפירא, זלמן שמואל</t>
  </si>
  <si>
    <t>אמרי המז"ג</t>
  </si>
  <si>
    <t>גולדברגר, מאיר זאב</t>
  </si>
  <si>
    <t>אמרי המצוה</t>
  </si>
  <si>
    <t>כהן, מאיר בן אבנר</t>
  </si>
  <si>
    <t>אמרי הצבי - 5 כר'</t>
  </si>
  <si>
    <t>בר, צבי מאיר בן יוסף</t>
  </si>
  <si>
    <t>אמרי הרי"ם - 6 כר'</t>
  </si>
  <si>
    <t>אלטר, יצחק מאיר בן ישראל</t>
  </si>
  <si>
    <t>אמרי השכל</t>
  </si>
  <si>
    <t>טאוושונסקי, יעקב בן שלמה</t>
  </si>
  <si>
    <t>אמרי התורה</t>
  </si>
  <si>
    <t>אמרי זאב</t>
  </si>
  <si>
    <t>שטיינפלד, זאב בן יוסף</t>
  </si>
  <si>
    <t>אמרי זיו - 3 כר'</t>
  </si>
  <si>
    <t>ועעטטנשטיין, יוסף זאב</t>
  </si>
  <si>
    <t>אמרי ח"ן - 11 כר'</t>
  </si>
  <si>
    <t>בן סניור, חיים בן נתן</t>
  </si>
  <si>
    <t>אמרי חב"ר - טהרת השבת כהלכתה ג, ברכות החיים תניינא, יקרא דשכבי, אות חיים תניינא</t>
  </si>
  <si>
    <t>קרויס, חיים בן ישעיה</t>
  </si>
  <si>
    <t>אמרי חב"ר</t>
  </si>
  <si>
    <t>קרויס, חיים בן ישעיהו</t>
  </si>
  <si>
    <t>אמרי חזקיה</t>
  </si>
  <si>
    <t>חדד, חזקיה בן מעתוק</t>
  </si>
  <si>
    <t>אמרי חיים עוזר - פסחים</t>
  </si>
  <si>
    <t>מלמד, חיים עוזר</t>
  </si>
  <si>
    <t>אמרי חיים</t>
  </si>
  <si>
    <t>אמרי חיים - 4 כר'</t>
  </si>
  <si>
    <t>הגר, חיים מאיר בן ישראל</t>
  </si>
  <si>
    <t>זאמלונג, עזריאל חיים</t>
  </si>
  <si>
    <t>חזן, חיים בן מאיר</t>
  </si>
  <si>
    <t>כץ, חיים עוזר בן ראובן</t>
  </si>
  <si>
    <t>אמרי חיים - תנינא</t>
  </si>
  <si>
    <t>לרנר, חיים אריה בן יצחק מנחם</t>
  </si>
  <si>
    <t>מכבי, חיים זונדל בן שמחה</t>
  </si>
  <si>
    <t>מרקוביץ, חיים שמשון בן שלמה זלמן טוביה</t>
  </si>
  <si>
    <t>אמרי חיים - 2 כר'</t>
  </si>
  <si>
    <t>פינקלר, חיים מאיר בן יצחק</t>
  </si>
  <si>
    <t>אמרי חיים - 3 כר'</t>
  </si>
  <si>
    <t>קמיל, חיים הכהן</t>
  </si>
  <si>
    <t>שיינברג, חיים פנחס בן יעקב יצחק</t>
  </si>
  <si>
    <t>אמרי חכמה - על חלק זעיר מקהלת</t>
  </si>
  <si>
    <t>אמרי חמד - 6 כר'</t>
  </si>
  <si>
    <t>דנדרוביץ, משה חיים</t>
  </si>
  <si>
    <t>אמרי חמד - 2 כר'</t>
  </si>
  <si>
    <t>ליוון, מאיר בן טוביה</t>
  </si>
  <si>
    <t>אמרי חמודות</t>
  </si>
  <si>
    <t>וולנר, משה דוב בן צבי יהודה</t>
  </si>
  <si>
    <t>אמרי חמודות - 2 כר'</t>
  </si>
  <si>
    <t>נשיא, דניאל בן יחזקאל</t>
  </si>
  <si>
    <t>אמרי חן ושפר</t>
  </si>
  <si>
    <t>רייך, נפתלי</t>
  </si>
  <si>
    <t>אמרי חן על הרמב"ם - 4 כר'</t>
  </si>
  <si>
    <t>לעווענבערג, יהודה העשיל בן צבי הלוי</t>
  </si>
  <si>
    <t>אמרי חן על התורה - 4 כר'</t>
  </si>
  <si>
    <t>אמרי חן - 2 כר'</t>
  </si>
  <si>
    <t>היילפרין, אלחנן</t>
  </si>
  <si>
    <t>אמרי חן - 3 כר'</t>
  </si>
  <si>
    <t>ויזגאן, חנניה בן משה</t>
  </si>
  <si>
    <t>אמרי חן - 26 כר'</t>
  </si>
  <si>
    <t>אמרי חנן - א</t>
  </si>
  <si>
    <t>לוי, חנן בן נסים</t>
  </si>
  <si>
    <t>מחשבה ומוסר, שאלות ותשובות, תנ"ך</t>
  </si>
  <si>
    <t>אמרי טבא</t>
  </si>
  <si>
    <t>באב"ד, אברהם משה</t>
  </si>
  <si>
    <t>דרושים, שאלות ותשובות, תולדות עם ישראל, תולדות עם ישראל, תלמוד בבלי, תלמוד בבלי</t>
  </si>
  <si>
    <t>אמרי טהרה</t>
  </si>
  <si>
    <t>בוסו, מאיר שלום בן משה אליהו</t>
  </si>
  <si>
    <t>אמרי טוב</t>
  </si>
  <si>
    <t>אמרי טל</t>
  </si>
  <si>
    <t>אמרי טעם</t>
  </si>
  <si>
    <t>זינגיל, מאיר בן שניאור זלמן</t>
  </si>
  <si>
    <t>אמרי יא"י</t>
  </si>
  <si>
    <t>גלרנטר, אברהם יוסף יעקב בן ישראל דוב</t>
  </si>
  <si>
    <t>אמרי יאי</t>
  </si>
  <si>
    <t>אמרי יהודא - ביצה</t>
  </si>
  <si>
    <t>וויזנער, יהודה ליב בן אלתר אברהם משה</t>
  </si>
  <si>
    <t>אמרי יהודה - מאמרים</t>
  </si>
  <si>
    <t>אמרי יהודה - 2 כר'</t>
  </si>
  <si>
    <t>היילפרין, אברהם זרח אריה יהודה ליבוש בן משולם שרגא פייבוש</t>
  </si>
  <si>
    <t>אמרי יהודה</t>
  </si>
  <si>
    <t>וואהל, יהודה ליב בן אליעזר</t>
  </si>
  <si>
    <t>אמרי יהודה - 3 כר'</t>
  </si>
  <si>
    <t>יאדלר, יהודה ליב רבינוביץ</t>
  </si>
  <si>
    <t>אמרי יהודה - א (מכות)</t>
  </si>
  <si>
    <t>קובץ ישיבת קול יהודה</t>
  </si>
  <si>
    <t>קליין, מרדכי ליב בן קלונימוס קלמן</t>
  </si>
  <si>
    <t>אמרי יהודה - 7 כר'</t>
  </si>
  <si>
    <t>רוזנר, יהודה סג"ל בן מאיר יששכר בר הלוי</t>
  </si>
  <si>
    <t>ארץ ישראל</t>
  </si>
  <si>
    <t>אמרי יהודה - הלכות שחיטה</t>
  </si>
  <si>
    <t>שטעמפלער, יהודה הערש בן פסח דיין</t>
  </si>
  <si>
    <t>אמרי יהוסף (על הסמ"ק)</t>
  </si>
  <si>
    <t>רלב"ג, חיים יהוסף</t>
  </si>
  <si>
    <t>אמרי יהושע</t>
  </si>
  <si>
    <t>ברוק, יהושע העשיל</t>
  </si>
  <si>
    <t>יהונסבורג</t>
  </si>
  <si>
    <t>אמרי יהושע - 7 כר'</t>
  </si>
  <si>
    <t>דומב, יהושע בן צבי</t>
  </si>
  <si>
    <t>אמרי יהושע - 4 כר'</t>
  </si>
  <si>
    <t>רבינוביץ, אורי יהושע אשר אלחנן בן יעקב</t>
  </si>
  <si>
    <t>תרפ"ו - תרפ"ט</t>
  </si>
  <si>
    <t>אמרי יואב &lt;מהדורה חדשה&gt;</t>
  </si>
  <si>
    <t>מאטרסדורף, יואב בן ירמיהו</t>
  </si>
  <si>
    <t>אמרי יואב</t>
  </si>
  <si>
    <t>אמרי יואל - 5 כר'</t>
  </si>
  <si>
    <t>הרצוג, יואל ליב בן נפתלי הרץ הלוי</t>
  </si>
  <si>
    <t>תרפ"א - תר"צ</t>
  </si>
  <si>
    <t>אמרי יוסף הלוי - א</t>
  </si>
  <si>
    <t>לעף, יוסף אריה הלוי</t>
  </si>
  <si>
    <t>אמרי יוסף - 3 כר'</t>
  </si>
  <si>
    <t>דוידובסקי, יוזפא צבי בן ראובן</t>
  </si>
  <si>
    <t>תרפ"ט - תש"כ</t>
  </si>
  <si>
    <t>אמרי יוסף - 5 כר'</t>
  </si>
  <si>
    <t>ווייס, יוסף מאיר בן שמואל צבי</t>
  </si>
  <si>
    <t>תר"ע - תרפ"ז</t>
  </si>
  <si>
    <t>אמרי יוסף - 2 כר'</t>
  </si>
  <si>
    <t>ורטהימר, יוסף בן מאיר</t>
  </si>
  <si>
    <t>אמרי יוסף</t>
  </si>
  <si>
    <t>טייכר, יוסף משה בן גרשון</t>
  </si>
  <si>
    <t>מדר, יוסף חיים</t>
  </si>
  <si>
    <t>עדס, יוסף משה</t>
  </si>
  <si>
    <t>פנירי, יוסף בן יעקב</t>
  </si>
  <si>
    <t>קופלביץ, מאיר יוסף</t>
  </si>
  <si>
    <t>אמרי יושר החדש - טל תורה החדש</t>
  </si>
  <si>
    <t>אריק, מאיר בן אהרן יהודה</t>
  </si>
  <si>
    <t>הלכה ומנהג, משנה, שאלות ותשובות, תלמוד בבלי</t>
  </si>
  <si>
    <t>אמרי יושר</t>
  </si>
  <si>
    <t>אמרי יושר - 2 כר'</t>
  </si>
  <si>
    <t>תרע"ג - תרפ"ה</t>
  </si>
  <si>
    <t>אמרי יושר - 20 כר'</t>
  </si>
  <si>
    <t>גריינימן, מאיר בן שמואל</t>
  </si>
  <si>
    <t>דייכס, ישראל חיים בן אריה ליב צבי הירש</t>
  </si>
  <si>
    <t>נח מאיר בן נחמן</t>
  </si>
  <si>
    <t>תקנ"ח</t>
  </si>
  <si>
    <t>שרביט, יוסף בן מכלוף</t>
  </si>
  <si>
    <t>דרושים, הלכה ומנהג, מועדי ישראל, שאלות ותשובות, תנ"ך, תפלות בקשות פיוטים ושירה</t>
  </si>
  <si>
    <t>אמרי יחזקאל החדש</t>
  </si>
  <si>
    <t>גוטמאן, מתתיהו יחזקאל בן שלום</t>
  </si>
  <si>
    <t>אמרי יחזקאל</t>
  </si>
  <si>
    <t>בניאש, יחזקאל שאול בן אריה ליב</t>
  </si>
  <si>
    <t>מחשבה ומוסר, משנה, תלמוד בבלי, תנ"ך</t>
  </si>
  <si>
    <t>אמרי יחזקאל - 6 כר'</t>
  </si>
  <si>
    <t>סעדיאן, יחזקאל</t>
  </si>
  <si>
    <t>פרנקל, יחזקאל בן אברהם אבוש</t>
  </si>
  <si>
    <t>הוסיטין Husiatyn</t>
  </si>
  <si>
    <t>אמרי יעקב</t>
  </si>
  <si>
    <t>הופמאן, יעקב קופל בן מרדכי יוסף</t>
  </si>
  <si>
    <t>אמרי יעקב - חלק ראשון על התנך</t>
  </si>
  <si>
    <t>ישורון, יעקב מאיר בן יצחק</t>
  </si>
  <si>
    <t>אמרי יעקב - 2 כר'</t>
  </si>
  <si>
    <t>ליברוט, יעקב מאיר בן אשר זליג</t>
  </si>
  <si>
    <t>אמרי יעקב - על ספר חסידים</t>
  </si>
  <si>
    <t>אמרי יעקב - 7 כר'</t>
  </si>
  <si>
    <t>עמאר, יעקב בן מרדכי</t>
  </si>
  <si>
    <t>אמרי יעקב - א בראשית, שמות</t>
  </si>
  <si>
    <t>פרולגוור, יעקב בן יהודה</t>
  </si>
  <si>
    <t>צימרמן, יעקב הענך בן יצחק מאיר</t>
  </si>
  <si>
    <t>אמרי יעקב - 4 כר'</t>
  </si>
  <si>
    <t>שטרן, יעקב מאיר</t>
  </si>
  <si>
    <t>שפיטצר, יעקב מאיר</t>
  </si>
  <si>
    <t>אמרי יצחק - 3 כר'</t>
  </si>
  <si>
    <t>ברכה, יצחק בן ציון</t>
  </si>
  <si>
    <t>אמרי יצחק</t>
  </si>
  <si>
    <t>הורוויץ, מאיר יצחק בן יעקב</t>
  </si>
  <si>
    <t>דרושים, הלכה ומנהג, מועדי ישראל, תלמוד בבלי</t>
  </si>
  <si>
    <t>אמרי יצחק - 6 כר'</t>
  </si>
  <si>
    <t>וייס, יצחק מאיר בן יהונתן בנימין</t>
  </si>
  <si>
    <t>אמרי יצחק -מועדים - פורים פסח</t>
  </si>
  <si>
    <t>וייס, יצחק מאיר</t>
  </si>
  <si>
    <t>אמרי יצחק - נדה</t>
  </si>
  <si>
    <t>פוס, יצחק חיים</t>
  </si>
  <si>
    <t>רבינוביץ, דוד יצחק אייזיק בן ברוך פינחס</t>
  </si>
  <si>
    <t>רוקובסקי, יצחק בן מאיר</t>
  </si>
  <si>
    <t>אמרי יצחק - 2 כר'</t>
  </si>
  <si>
    <t>שווארץ, יצחק מאיר בן נפתלי הכהן</t>
  </si>
  <si>
    <t>אמרי יציב - 2 כר'</t>
  </si>
  <si>
    <t>גולדשטוף, יצחק בן יאיר</t>
  </si>
  <si>
    <t>אמרי יציב</t>
  </si>
  <si>
    <t>אמרי ירוחם</t>
  </si>
  <si>
    <t>אמרי ישע - 2 כר'</t>
  </si>
  <si>
    <t>אמרי ישר - 5 כר'</t>
  </si>
  <si>
    <t>לורברבוים, יעקב בן יעקב משה</t>
  </si>
  <si>
    <t>אמרי ישראל - הוריות</t>
  </si>
  <si>
    <t>אשווגה, ישראל מאיר בן בנימין הלוי</t>
  </si>
  <si>
    <t>אמרי ישראל</t>
  </si>
  <si>
    <t>ברגר, מאיר בן יצחק שמחה</t>
  </si>
  <si>
    <t>סאספאלו Szaszfalu</t>
  </si>
  <si>
    <t>גליק, ישראל מאיר בן יצחק</t>
  </si>
  <si>
    <t>מונקאטש</t>
  </si>
  <si>
    <t>אמרי ישראל - תמורה</t>
  </si>
  <si>
    <t>הפטר, ישראל מאיר בן שת</t>
  </si>
  <si>
    <t>יפרח, ישראל</t>
  </si>
  <si>
    <t>לוויטאן, ישראל מאיר בן בן-ציון יעקב הלוי</t>
  </si>
  <si>
    <t>עמרני, ישראל מאיר</t>
  </si>
  <si>
    <t>קרנו, ישראל מאיר</t>
  </si>
  <si>
    <t>אמרי כהן - 4 כר'</t>
  </si>
  <si>
    <t>אמרי כהן - 2 כר'</t>
  </si>
  <si>
    <t>הולנדר, יחיאל מיכל בן שלמה הכהן</t>
  </si>
  <si>
    <t>אמרי כהן</t>
  </si>
  <si>
    <t>הלפרין, מאיר דוד הכהן</t>
  </si>
  <si>
    <t>אמרי כהן - 3 כר'</t>
  </si>
  <si>
    <t>ווארשאוויאק, מאיר בן יעקב אליעזר הכהן</t>
  </si>
  <si>
    <t>תרצ"ב - תרצ"ט</t>
  </si>
  <si>
    <t>אמרי כהן - 6 כר'</t>
  </si>
  <si>
    <t>וילמן, מאיר בן שרגא הכהן</t>
  </si>
  <si>
    <t>כהן, אלעד</t>
  </si>
  <si>
    <t>כהן, יגאל בן סאסי</t>
  </si>
  <si>
    <t>אמרי לב - א</t>
  </si>
  <si>
    <t>גרוס, מאיר בן יעקב יוסף</t>
  </si>
  <si>
    <t>אמרי לשון - מילתא בטעמא &lt;כללי השיר לר"ת&gt;</t>
  </si>
  <si>
    <t>גמליאלי, אליהו בן יחיאל</t>
  </si>
  <si>
    <t>אמרי מ"י &lt;מהדורה חדשה&gt;</t>
  </si>
  <si>
    <t>טברסקי, משה יהודה ליב בן מנחם נחום</t>
  </si>
  <si>
    <t>אמרי מ"י</t>
  </si>
  <si>
    <t>אמרי מאיר</t>
  </si>
  <si>
    <t>אמרי מאיר - מאמר מרדכי</t>
  </si>
  <si>
    <t>גרוס, מאיר - בנט, מרדכי מאיר</t>
  </si>
  <si>
    <t>הלכה ומנהג, מועדי ישראל, שאלות ותשובות, תלמוד בבלי</t>
  </si>
  <si>
    <t>הורביץ, מאיר הלוי בן פנחס</t>
  </si>
  <si>
    <t>אמרי מאיר - 2 כר'</t>
  </si>
  <si>
    <t>טננבוים, מאיר בן יעקב</t>
  </si>
  <si>
    <t>יוסט, מאיר</t>
  </si>
  <si>
    <t>אמסטרדם</t>
  </si>
  <si>
    <t>כגן, מאיר געציל הכהן</t>
  </si>
  <si>
    <t>מאירי, מאיר בן יעקב יהודה</t>
  </si>
  <si>
    <t>מנצ'סטר</t>
  </si>
  <si>
    <t>מושקוביץ, מאיר בן יצחק</t>
  </si>
  <si>
    <t>אמרי מגדים - עירובין</t>
  </si>
  <si>
    <t>ויצמן, מיכאל בן דוד</t>
  </si>
  <si>
    <t>אמרי מהרא"ב</t>
  </si>
  <si>
    <t>זילברברג, אברהם בנימין בן מיכאל משה יהודה</t>
  </si>
  <si>
    <t>אמרי מהרז"ל</t>
  </si>
  <si>
    <t>פרידלנדר, שלמה יהודה בן אהרן מאיר</t>
  </si>
  <si>
    <t>נושאים שונים, שלחן ערוך ומפרשיו, תלמוד בבלי, תנ"ך</t>
  </si>
  <si>
    <t>אמרי מהרי"ן</t>
  </si>
  <si>
    <t>אייזנברג, יעקב נפתלי בן יצחק</t>
  </si>
  <si>
    <t>ירוסלב Jaroslaw</t>
  </si>
  <si>
    <t>אמרי מהרש"ח</t>
  </si>
  <si>
    <t>שמחה בן אריה נפתלי מקשונז</t>
  </si>
  <si>
    <t>אמרי מוהרא"ש - א</t>
  </si>
  <si>
    <t>אמרי מחשבה</t>
  </si>
  <si>
    <t>אמרי מנחה - בראשית</t>
  </si>
  <si>
    <t>פיירוורגר, מאיר נחום</t>
  </si>
  <si>
    <t>אמרי מנחם &lt;המבואר&gt; - 5 כר'</t>
  </si>
  <si>
    <t>דנציגר, אברהם מנחם בן יהודה משה מאלכסנדר</t>
  </si>
  <si>
    <t>אמרי מנחם - 5 כר'</t>
  </si>
  <si>
    <t>אמרי מנחם</t>
  </si>
  <si>
    <t>פריעד, מנחם מאיר</t>
  </si>
  <si>
    <t>אמרי מרדכי ועטרת מרדכי</t>
  </si>
  <si>
    <t>שפאלטער, מרדכי גרשון</t>
  </si>
  <si>
    <t>דרושים, הלכה ומנהג, מועדי ישראל, שאלות ותשובות, תלמוד בבלי, תנ"ך</t>
  </si>
  <si>
    <t>שפאלטר, מרדכי גרשון</t>
  </si>
  <si>
    <t>משנה, שאלות ותשובות, תלמוד בבלי, תנ"ך</t>
  </si>
  <si>
    <t>אמרי מרדכי - 2 כר'</t>
  </si>
  <si>
    <t>גולדשטיין, מרדכי בן משה</t>
  </si>
  <si>
    <t>אמרי מרדכי</t>
  </si>
  <si>
    <t>גראסס, מרדכי בן יהודה מאיר הלוי</t>
  </si>
  <si>
    <t>הופמן, מרדכי</t>
  </si>
  <si>
    <t>מלכה, מרדכי בן יהודה</t>
  </si>
  <si>
    <t>מענטליק, מרדכי בן פנחס</t>
  </si>
  <si>
    <t>פיש, מרדכי בן יעקב חזקיהו</t>
  </si>
  <si>
    <t>רפאלי, מרדכי אליהו</t>
  </si>
  <si>
    <t>שטרן, מרדכי בן מאיר</t>
  </si>
  <si>
    <t>אמרי משה &lt;מהדורה חדשה&gt;</t>
  </si>
  <si>
    <t>פודהוצר, אברהם יוסף משה בן יעקב</t>
  </si>
  <si>
    <t>אמרי משה</t>
  </si>
  <si>
    <t>אפטר, משה יהודה</t>
  </si>
  <si>
    <t>טרנוב (גליציה) Tarno</t>
  </si>
  <si>
    <t>אמרי משה - 2 כר'</t>
  </si>
  <si>
    <t>דויטש, משה בן מאיר</t>
  </si>
  <si>
    <t>הולצברג, משה צבי</t>
  </si>
  <si>
    <t>זילברברג, אברהם משה בן יהודה לייב</t>
  </si>
  <si>
    <t>דרושים, מועדי ישראל, משנה</t>
  </si>
  <si>
    <t>כהנא, צבי - קסטנבוים, משה מאיר</t>
  </si>
  <si>
    <t>סוקולובסקי, משה בן שמואל</t>
  </si>
  <si>
    <t>פינטו, משה בן מסעוד אשר</t>
  </si>
  <si>
    <t>קלוס, משה מאיר בן חיים יצחק</t>
  </si>
  <si>
    <t>רפאפורט, משה בן אוריה</t>
  </si>
  <si>
    <t>אמרי משפט - 2 כר'</t>
  </si>
  <si>
    <t>אלמליח, יצחק</t>
  </si>
  <si>
    <t>אמרי נדה</t>
  </si>
  <si>
    <t>גולדשמידט, מאיר בן יוסף</t>
  </si>
  <si>
    <t>אמרי נועם &lt;מהדורה חדשה&gt;</t>
  </si>
  <si>
    <t>דיין, ישעיה בן מרדכי</t>
  </si>
  <si>
    <t>אמרי נועם וחידושי הגר"א</t>
  </si>
  <si>
    <t>נושאים שונים, קבלה, תלמוד בבלי</t>
  </si>
  <si>
    <t>אמרי נועם על מסכת ברכות</t>
  </si>
  <si>
    <t>אמרי נועם - 2 כר'</t>
  </si>
  <si>
    <t>אברג'ל, יורם מיכאל</t>
  </si>
  <si>
    <t>אמרי נועם</t>
  </si>
  <si>
    <t>אשכנזי, אברהם מאיר בן שאול הלוי</t>
  </si>
  <si>
    <t>גאלייגו, יוסף בן שלום</t>
  </si>
  <si>
    <t>שפ"ח</t>
  </si>
  <si>
    <t>ארם צובה Aleppo</t>
  </si>
  <si>
    <t>אמרי נועם - 6 כר'</t>
  </si>
  <si>
    <t>דיליישקאש, יעקב</t>
  </si>
  <si>
    <t>אמרי נועם - 11 כר'</t>
  </si>
  <si>
    <t>הורוויץ, מאיר בן אליעזר</t>
  </si>
  <si>
    <t>תרמ"ח - תרס"ו</t>
  </si>
  <si>
    <t>זהורי, נועם בן אבנר</t>
  </si>
  <si>
    <t>לווין, בנימין דוד בן שמשון רפאל הלוי</t>
  </si>
  <si>
    <t>נעמן, יורם בן מערבי</t>
  </si>
  <si>
    <t>צובל, שלמה - שטרן, זוסמן כ"ץ</t>
  </si>
  <si>
    <t>פקש</t>
  </si>
  <si>
    <t>אמרי נועם - שמות, ויקרא</t>
  </si>
  <si>
    <t>צובל, שלמה - שטרן, זוסמן</t>
  </si>
  <si>
    <t>קליין, מרדכי דוב בר בן שמואל</t>
  </si>
  <si>
    <t>ריכטשרייבר, זיסקינד בן דוב אריה</t>
  </si>
  <si>
    <t>רפאפורט, מרדכי בן שבתי הכהן</t>
  </si>
  <si>
    <t>תקכ"ח</t>
  </si>
  <si>
    <t>Oleksinets Novy אול</t>
  </si>
  <si>
    <t>שניאורסון, ברוך שמעון</t>
  </si>
  <si>
    <t>אמרי נחמיה - מגילה</t>
  </si>
  <si>
    <t>הלברשטט, משה נחמיה בן יוסף</t>
  </si>
  <si>
    <t>אמרי נעם</t>
  </si>
  <si>
    <t>דוידסון, שמואל זאב בן מנחם</t>
  </si>
  <si>
    <t>זלוטניק, אליהו בן יחיאל מיכל</t>
  </si>
  <si>
    <t>אמרי נעם - א (בראשית, שמות)</t>
  </si>
  <si>
    <t>מושקוביץ, צבי שמחה בן שמעון</t>
  </si>
  <si>
    <t>מכון מעיין החיים - גארליץ-צאנז</t>
  </si>
  <si>
    <t>דרושים, מועדי ישראל, משנה, תנ"ך</t>
  </si>
  <si>
    <t>פרחי, יצחק בן שלמה</t>
  </si>
  <si>
    <t>רייזקין, מרדכי שמואל בן אליהו הכהן</t>
  </si>
  <si>
    <t>תרנ"ז,</t>
  </si>
  <si>
    <t>אמרי נפתלי - א</t>
  </si>
  <si>
    <t>שמרלר, נפתלי צבי</t>
  </si>
  <si>
    <t>אמרי סופר - 11 כר'</t>
  </si>
  <si>
    <t>אמרי סיני</t>
  </si>
  <si>
    <t>רוזנברג, סיני</t>
  </si>
  <si>
    <t>אמרי ספר</t>
  </si>
  <si>
    <t>זאב</t>
  </si>
  <si>
    <t>תפילנסקי, יעקב שלמה</t>
  </si>
  <si>
    <t>אמרי עובדיה</t>
  </si>
  <si>
    <t>יוסף, עובדיה בן יעקב</t>
  </si>
  <si>
    <t>אמרי פז</t>
  </si>
  <si>
    <t>ארג'ואן, אביעד</t>
  </si>
  <si>
    <t>אמרי פי - נדה</t>
  </si>
  <si>
    <t>אויערבך, מאיר בן דוד</t>
  </si>
  <si>
    <t>אמרי פי</t>
  </si>
  <si>
    <t>אנסבכר, אפרים בן אהרן</t>
  </si>
  <si>
    <t>זלצברג, אמיר</t>
  </si>
  <si>
    <t>יוסף בן מאיר הכהן</t>
  </si>
  <si>
    <t>אמרי פי - 2 כר'</t>
  </si>
  <si>
    <t>לופס, אליהו בן יעקב</t>
  </si>
  <si>
    <t>אמרי פי - א</t>
  </si>
  <si>
    <t>פאז'נצ'בסקי, יצחק בן יהודה</t>
  </si>
  <si>
    <t>פינטו, יאשיהו יוסף בן חיים</t>
  </si>
  <si>
    <t>אמרי פי - 3 כר'</t>
  </si>
  <si>
    <t>פנחסי, יוסף בן משה</t>
  </si>
  <si>
    <t>פרוכטר, אברהם יצחק בן אליעזר</t>
  </si>
  <si>
    <t>אמרי פי - ה</t>
  </si>
  <si>
    <t>פרידמן, יונה בן משה</t>
  </si>
  <si>
    <t>פרץ, יוסף</t>
  </si>
  <si>
    <t>אמרי פנחס &lt;מהדורה חדשה&gt;</t>
  </si>
  <si>
    <t>עובדיה, פנחס בן דוד</t>
  </si>
  <si>
    <t>אמרי פנחס השלם - 2 כר'</t>
  </si>
  <si>
    <t>שפירא, פינחס בן אברהם אבא</t>
  </si>
  <si>
    <t>דרושים, מועדי ישראל, מחשבה ומוסר, נושאים שונים, תנ"ך</t>
  </si>
  <si>
    <t>אמרי פנחס</t>
  </si>
  <si>
    <t>וואעקנין, פנחס בן מאיר</t>
  </si>
  <si>
    <t>חודי, פינחס בן ישראל דן</t>
  </si>
  <si>
    <t>אמרי צבי</t>
  </si>
  <si>
    <t>גרוזמן, מאיר צבי בן מרדכי</t>
  </si>
  <si>
    <t>אמרי צבי - 2 כר'</t>
  </si>
  <si>
    <t>דומב, צבי בן יהושע</t>
  </si>
  <si>
    <t>אמרי צבי - 8 כר'</t>
  </si>
  <si>
    <t>הלפרין, צבי אלכסנדר בן אבא</t>
  </si>
  <si>
    <t>טויב, ירחמיאל צבי בן אפרים</t>
  </si>
  <si>
    <t>קאהאן, צבי הירש צלאל יכין בן משה</t>
  </si>
  <si>
    <t>תרנ"ו - תרנ"ח</t>
  </si>
  <si>
    <t>אמרי צדיקים</t>
  </si>
  <si>
    <t>איטינגא, אברהם בן יונה הלוי</t>
  </si>
  <si>
    <t>בורנשטיין, מאיר בן מרדכי הלוי</t>
  </si>
  <si>
    <t>חסידות, קבלה</t>
  </si>
  <si>
    <t>לבטוב, צבי</t>
  </si>
  <si>
    <t>אמרי ציון</t>
  </si>
  <si>
    <t>שילדקרויט, בן-ציון חיים בן אהרן משה</t>
  </si>
  <si>
    <t>אמרי צרופה</t>
  </si>
  <si>
    <t>אברהם יחיאל פישל בן זאב וולף</t>
  </si>
  <si>
    <t>אמרי קדוש &lt;השלם&gt;</t>
  </si>
  <si>
    <t>אורי בן פינחס מסטרליסק</t>
  </si>
  <si>
    <t>אמרי קדוש השלם</t>
  </si>
  <si>
    <t>אמרי קדוש</t>
  </si>
  <si>
    <t>אברהמי, יצחק</t>
  </si>
  <si>
    <t>אמרי קדוש - 2 כר'</t>
  </si>
  <si>
    <t>אמרי קודש  מאדמו"ר מסדיגורא זי"ע - ב</t>
  </si>
  <si>
    <t>פרידמן, שלמה חיים מסדיגורא</t>
  </si>
  <si>
    <t>אמרי קודש &lt;אלכסנדר&gt; - 5 כר'</t>
  </si>
  <si>
    <t>דנציגר, ישראל צבי יאיר</t>
  </si>
  <si>
    <t>אמרי קודש</t>
  </si>
  <si>
    <t>בידרמן, אברהם שלמה בן משה מרדכי</t>
  </si>
  <si>
    <t>פרומקין, יואל בן אברהם שמריה</t>
  </si>
  <si>
    <t>פרידמן, רפאל חיים</t>
  </si>
  <si>
    <t>אמרי קודש - 2 כר'</t>
  </si>
  <si>
    <t>קאליש, יצחק בן יוסף</t>
  </si>
  <si>
    <t>אמרי ראובן - 5 כר'</t>
  </si>
  <si>
    <t>כהן, ראובן נח בן יוסף לייב</t>
  </si>
  <si>
    <t>אמרי רבי שפטיה</t>
  </si>
  <si>
    <t>סגל, שפטיה בן פרץ הלוי</t>
  </si>
  <si>
    <t>דרושים, מועדי ישראל, מחשבה ומוסר, נושאים שונים, תלמוד בבלי, תנ"ך</t>
  </si>
  <si>
    <t>אמרי רבית</t>
  </si>
  <si>
    <t>אמרי רג"ש</t>
  </si>
  <si>
    <t>שמלקס, גדליה בן מרדכי</t>
  </si>
  <si>
    <t>מחשבה ומוסר, נושאים שונים, שאלות ותשובות, תלמוד בבלי</t>
  </si>
  <si>
    <t>אמרי רצון</t>
  </si>
  <si>
    <t>רבינוביץ, מרדכי אליהו בן חיים דוב</t>
  </si>
  <si>
    <t>אמרי רש"ד</t>
  </si>
  <si>
    <t>אמרי שאול</t>
  </si>
  <si>
    <t>טאוב, שאול ידידיה אלעזר</t>
  </si>
  <si>
    <t>מילר, ירחמיאל רפאל</t>
  </si>
  <si>
    <t>אמרי שבת - 2 כר'</t>
  </si>
  <si>
    <t>להב, אברהם בן יהודה</t>
  </si>
  <si>
    <t>אמרי שבת</t>
  </si>
  <si>
    <t>פיינשטיין, חיים יעקב בן יהודה דוב הכהן</t>
  </si>
  <si>
    <t>אמרי שהם</t>
  </si>
  <si>
    <t>שוהם, משה בן דן מדולינה</t>
  </si>
  <si>
    <t>אמרי שי - כתובות</t>
  </si>
  <si>
    <t>יעקובוביץ, שמעון יחזקאל</t>
  </si>
  <si>
    <t>אמרי שי</t>
  </si>
  <si>
    <t>סלומון, שמואל יהודה</t>
  </si>
  <si>
    <t>אמרי שלום - 4 כר'</t>
  </si>
  <si>
    <t>ישיבת אהבה ושלום</t>
  </si>
  <si>
    <t>אמרי שלום</t>
  </si>
  <si>
    <t>צארני, מרדכי ליב בן צבי יקותיאל</t>
  </si>
  <si>
    <t>אמרי שלמה</t>
  </si>
  <si>
    <t>סוקולובסקי, שלמה בן בנימין צבי</t>
  </si>
  <si>
    <t>שג', שלמה זלמן</t>
  </si>
  <si>
    <t>Frankfort on the Mai</t>
  </si>
  <si>
    <t>אמרי שם - 3 כר'</t>
  </si>
  <si>
    <t>אמרי שמאי &lt;מהדורה חדשה&gt; - 5 כר'</t>
  </si>
  <si>
    <t>גינזבורג, שמאי</t>
  </si>
  <si>
    <t>אמרי שמאי - 8 כר'</t>
  </si>
  <si>
    <t>מחשבה ומוסר, נושאים שונים, תלמוד בבלי, תפלות בקשות פיוטים ושירה</t>
  </si>
  <si>
    <t>אמרי שמואל - 4 כר'</t>
  </si>
  <si>
    <t>אייזנבוד, שמואל קלמן קלונימוס בן אברהם ישראל איסר</t>
  </si>
  <si>
    <t>אמרי שמואל - 2 כר'</t>
  </si>
  <si>
    <t>עדס, שמואל בן מאיר</t>
  </si>
  <si>
    <t>פאנעט, אברהם שמואל בן צבי אלימלך</t>
  </si>
  <si>
    <t>אמרי שמועה - שבת</t>
  </si>
  <si>
    <t>נוקראי, שמעון בן מנחם</t>
  </si>
  <si>
    <t>אמרי שמחה - 2 כר'</t>
  </si>
  <si>
    <t>אוירבאך, מאיר שמחה, בן שלמה זלמן</t>
  </si>
  <si>
    <t>עלברג, שמחה</t>
  </si>
  <si>
    <t>אמרי שמעון</t>
  </si>
  <si>
    <t>אגסי, שמעון אהרן בן אבא</t>
  </si>
  <si>
    <t>דרושים, דרושים, קבלה, תולדות עם ישראל, תלמוד בבלי, תנ"ך</t>
  </si>
  <si>
    <t>אמרי שמעון - תהלים, שה"ש, מגילת אסתר</t>
  </si>
  <si>
    <t>ביטון, שמעון בן חיים</t>
  </si>
  <si>
    <t>פרידמאן, זקן שמעון בן מאיר חיים</t>
  </si>
  <si>
    <t>אמרי שפר &lt;מהדורה חדשה&gt; - א</t>
  </si>
  <si>
    <t>אמרי שפר &lt;מהדורה חדשה&gt; - 2 כר'</t>
  </si>
  <si>
    <t>פרנקל, שמואל בן שרגא פייבוש</t>
  </si>
  <si>
    <t>דרושים, חסידות, מועדי ישראל, משנה, תלמוד בבלי, תנ"ך</t>
  </si>
  <si>
    <t>אמרי שפר &lt;על התורה&gt;</t>
  </si>
  <si>
    <t>אמרי שפר על שיר השירים</t>
  </si>
  <si>
    <t>אפשטיין, שמואל נפתלי הירש בן מנחם אריה ליב הלוי</t>
  </si>
  <si>
    <t>אמרי שפר</t>
  </si>
  <si>
    <t>אלטשולר, נפתלי הירש בן אשר</t>
  </si>
  <si>
    <t>שס"ב</t>
  </si>
  <si>
    <t>אמרי שפר - 2 כר'</t>
  </si>
  <si>
    <t>אליעזר בן זאב</t>
  </si>
  <si>
    <t>פוריצק Poryck</t>
  </si>
  <si>
    <t>אשכנזי, נפתלי בן יוסף</t>
  </si>
  <si>
    <t>שס"א</t>
  </si>
  <si>
    <t>בהרב, שרגא פייבל</t>
  </si>
  <si>
    <t>בוימעל, נפתלי הירץ בן נחום</t>
  </si>
  <si>
    <t>אמרי שפר - 3 כר'</t>
  </si>
  <si>
    <t>בוסטון</t>
  </si>
  <si>
    <t>בנט, נפתלי בן מרדכי</t>
  </si>
  <si>
    <t>ת"ר</t>
  </si>
  <si>
    <t>Bratislava ברטיסלבה</t>
  </si>
  <si>
    <t>אמרי שפר - ברכות</t>
  </si>
  <si>
    <t>גוטמאן, ראובן בן משה</t>
  </si>
  <si>
    <t>Fuerth פירט</t>
  </si>
  <si>
    <t>דייטש, שמעון בן אברהם אהרון</t>
  </si>
  <si>
    <t>אמרי שפר - שביעית</t>
  </si>
  <si>
    <t>הבלין, אברהם יצחק בן שלמה זלמן</t>
  </si>
  <si>
    <t>היילפרין, שרגא פייבוש בן לייבוש</t>
  </si>
  <si>
    <t>מועדי ישראל, משנה, שלחן ערוך ומפרשיו, תלמוד בבלי, תנ"ך, תפלות בקשות פיוטים ושירה</t>
  </si>
  <si>
    <t>חלאווה, יהודה בן משה</t>
  </si>
  <si>
    <t>יעקב חיים בן יוסף יצחק</t>
  </si>
  <si>
    <t>יפה, שמעון פרץ הלוי</t>
  </si>
  <si>
    <t>דרושים, מועדי ישראל, תנ"ך, תנ"ך</t>
  </si>
  <si>
    <t>לאנדא, נפתלי הירץ בן אביגדור מרגליות</t>
  </si>
  <si>
    <t>מזרחי, אבשלום בן משה</t>
  </si>
  <si>
    <t>אחר תרכ"ה</t>
  </si>
  <si>
    <t>רדלהים Roedelheim</t>
  </si>
  <si>
    <t>מזרחי, יחיא</t>
  </si>
  <si>
    <t>סאלומון, נפתלי בן מרדכי</t>
  </si>
  <si>
    <t>אמרי שפר - 4 כר'</t>
  </si>
  <si>
    <t>פארינטי, מאיר שלמה</t>
  </si>
  <si>
    <t>אמרי שפר - 8 כר'</t>
  </si>
  <si>
    <t>פנחסי, שמואל בן משה</t>
  </si>
  <si>
    <t>פרידמאן, דוד שלמה בן שמואל</t>
  </si>
  <si>
    <t>פרידנשטיין, שמעון אליעזר בן יקותיאל</t>
  </si>
  <si>
    <t>פרימו, יאודה שמואל</t>
  </si>
  <si>
    <t>פרימר, ירחמיאל בן יהודה ליבוש פסח</t>
  </si>
  <si>
    <t>סוגיות, תולדות עם ישראל, תנ"ך</t>
  </si>
  <si>
    <t>אמרי שפר - 5 כר'</t>
  </si>
  <si>
    <t>צארום, יהודה</t>
  </si>
  <si>
    <t>צדוק, יוסף בן שלמה</t>
  </si>
  <si>
    <t>אמרי שפר - ג</t>
  </si>
  <si>
    <t>קובץ ישיבת תורה והוראה</t>
  </si>
  <si>
    <t>קיטייסקי, ברוך בן שלמה כהנא</t>
  </si>
  <si>
    <t>קיסילב, אהרן משה בן שמואל יוסף</t>
  </si>
  <si>
    <t>קרביץ, נפתלי מנחם בן יוסף</t>
  </si>
  <si>
    <t>רבינוביץ, יהושע יעקב בן משה צבי</t>
  </si>
  <si>
    <t>הלכה ומנהג, משנה, נושאים שונים, תלמוד בבלי, תלמוד בבלי, תנ"ך</t>
  </si>
  <si>
    <t>רבינוביץ, שרגא פייטל בן יוסף יצחק</t>
  </si>
  <si>
    <t>רוזנטל, אליהו יהודה</t>
  </si>
  <si>
    <t>שארלין, חיים מנדל בן אברהם שמואל</t>
  </si>
  <si>
    <t>שפירא, מאיר יעקב בן שאול יחזקאל</t>
  </si>
  <si>
    <t>אמרי שפר - על מגילת קהלת</t>
  </si>
  <si>
    <t>שפירא, מאיר שרגא בן אברהם</t>
  </si>
  <si>
    <t>שפירא, נתן בן שמשון</t>
  </si>
  <si>
    <t>שנ"א - שנ"ז</t>
  </si>
  <si>
    <t>אמרי ששון</t>
  </si>
  <si>
    <t>שנדוך, ששון בן מרדכי</t>
  </si>
  <si>
    <t>ששון, מרדכי משה</t>
  </si>
  <si>
    <t>אמרי תודה</t>
  </si>
  <si>
    <t>סגרון, מאיר נסים בן כמוס</t>
  </si>
  <si>
    <t>בר יוחאי</t>
  </si>
  <si>
    <t>אמרי תורת משה</t>
  </si>
  <si>
    <t>אמרים משמחי לב</t>
  </si>
  <si>
    <t>איזביצקי, ישראל בן יהודה ליב</t>
  </si>
  <si>
    <t>לידז Lodz</t>
  </si>
  <si>
    <t>אמרכל</t>
  </si>
  <si>
    <t>אמרת הצרופה</t>
  </si>
  <si>
    <t>צבי הירש בן פינחס מסוקולוב</t>
  </si>
  <si>
    <t>אמרתו ארץ</t>
  </si>
  <si>
    <t>ולר, אמיר</t>
  </si>
  <si>
    <t>אמרתך חייתני - טאלנא</t>
  </si>
  <si>
    <t>וינברג, מרדכי בן ישראל צבי</t>
  </si>
  <si>
    <t>אמת בפיהו</t>
  </si>
  <si>
    <t>שפילר, ישכר דב</t>
  </si>
  <si>
    <t>אמת ואמונה &lt;מהדורה חדשה&gt;</t>
  </si>
  <si>
    <t>אמת ואמונה - ב</t>
  </si>
  <si>
    <t>חיימוביץ, טל אפרים בן משה דוד</t>
  </si>
  <si>
    <t>בית אל</t>
  </si>
  <si>
    <t>אמת ואמונה - 2 כר'</t>
  </si>
  <si>
    <t>טורנובסקי, ישראל יצחק משה בן זאב</t>
  </si>
  <si>
    <t>אמת ואמונה</t>
  </si>
  <si>
    <t>מכון למען שמך</t>
  </si>
  <si>
    <t>פאלאנט, לוי בן ישעיה יוסף</t>
  </si>
  <si>
    <t>פרידרמאן, זלמן יעקב בן ברוך מרדכי</t>
  </si>
  <si>
    <t>אמת ואמונה - ירח האיתנים</t>
  </si>
  <si>
    <t>קופולוביץ, נתן צבי</t>
  </si>
  <si>
    <t>רבינוביץ, צבי</t>
  </si>
  <si>
    <t>אמת ויציב</t>
  </si>
  <si>
    <t>לתודעה יהודית</t>
  </si>
  <si>
    <t>פרדס חנה</t>
  </si>
  <si>
    <t>אמת ומשפט שלום שפטו בשעריכם</t>
  </si>
  <si>
    <t>ירושלים. עדת האשכנזים</t>
  </si>
  <si>
    <t>אמת ומשפט שלום - 4 כר'</t>
  </si>
  <si>
    <t>ונונו, בן נון אבישי</t>
  </si>
  <si>
    <t>אמת ומשפט שלום - חו"מ, יו"ד</t>
  </si>
  <si>
    <t>ישיבת אמת ושלום</t>
  </si>
  <si>
    <t>אמת ומשפט</t>
  </si>
  <si>
    <t>וורטהיימר, יוסף פון</t>
  </si>
  <si>
    <t>אמת ושלום</t>
  </si>
  <si>
    <t>רבינוביץ, משה יחיאל אלימלך בן נתן דוד</t>
  </si>
  <si>
    <t>שרעבי, שלום בן יצחק מזרחי</t>
  </si>
  <si>
    <t>אמת לדוד</t>
  </si>
  <si>
    <t>גדסי, דוד</t>
  </si>
  <si>
    <t>אמת להשיב - א</t>
  </si>
  <si>
    <t>אמת ליהודה</t>
  </si>
  <si>
    <t>אלתר, יהודה אריה בן פנחס מנחם</t>
  </si>
  <si>
    <t>אמת ליוסף</t>
  </si>
  <si>
    <t>צובירי, יוסף (לזכרו)</t>
  </si>
  <si>
    <t>אמת ליעקב &lt;מהדורה חדשה&gt;</t>
  </si>
  <si>
    <t>אלגאזי, ישראל יעקב בן יום טוב</t>
  </si>
  <si>
    <t>אמת ליעקב &lt;על אגדות הש"ס&gt; - 2 כר'</t>
  </si>
  <si>
    <t>אמת ליעקב &lt;מהדורה חדשה&gt;, שפת אמת, חסדי דוד</t>
  </si>
  <si>
    <t>ניניו, יעקב שאלתיאל בן יהודה</t>
  </si>
  <si>
    <t>קבלה, שאלות ותשובות, תפלות בקשות פיוטים ושירה</t>
  </si>
  <si>
    <t>אמת ליעקב חסד לאברהם - 2 כר'</t>
  </si>
  <si>
    <t>מרזל, ברוך בן אברהם יעקב</t>
  </si>
  <si>
    <t>אמת ליעקב על התורה</t>
  </si>
  <si>
    <t>קמנצקי, יעקב</t>
  </si>
  <si>
    <t>אמת ליעקב - 2 כר'</t>
  </si>
  <si>
    <t>תקל"ד</t>
  </si>
  <si>
    <t>אמת ליעקב - קבלת התורה</t>
  </si>
  <si>
    <t>גוטמן, יעקב</t>
  </si>
  <si>
    <t>אמת ליעקב</t>
  </si>
  <si>
    <t>גולדשלאג, יעקב חיים זליג בן יחיאל מיכל</t>
  </si>
  <si>
    <t>יולס, יעקב צבי בן נפתלי</t>
  </si>
  <si>
    <t>יעקב מאיר אב"ד שטראסבורג עלזאס</t>
  </si>
  <si>
    <t>כהן, מאיר בן שאול</t>
  </si>
  <si>
    <t>תש"ה הק'</t>
  </si>
  <si>
    <t>אמת ליעקב - על אדרא רבא ואדרא זוטא</t>
  </si>
  <si>
    <t>מראג'י, יעקב</t>
  </si>
  <si>
    <t>תר"ג - תר"ד</t>
  </si>
  <si>
    <t>עבאדי, יעקב מאיר</t>
  </si>
  <si>
    <t>פקטה, יעקב בן משה יחיאל</t>
  </si>
  <si>
    <t>פרידמן, אברהם יעקב בן ישראל</t>
  </si>
  <si>
    <t>אמת ליעקב - 5 כר'</t>
  </si>
  <si>
    <t>פרץ, יעקב בן יוסף</t>
  </si>
  <si>
    <t>אמת ליעקב - 3 כר'</t>
  </si>
  <si>
    <t>קופל, יעקב עמנואל</t>
  </si>
  <si>
    <t>חסידות, מועדי ישראל, משנה, נושאים שונים, תלמוד בבלי, תנ"ך</t>
  </si>
  <si>
    <t>אמת ליעקב - 4 כר'</t>
  </si>
  <si>
    <t>רבינוביץ, יעקב יוסף בן אברהם ישכר הכהן</t>
  </si>
  <si>
    <t>דרושים, חסידות, שאלות ותשובות, תלמוד בבלי</t>
  </si>
  <si>
    <t>רבינוביץ, שאול אליעזר בן יעקב</t>
  </si>
  <si>
    <t>שפירא, יעקב יצחק בן חיים מאיר יחיאל</t>
  </si>
  <si>
    <t>אמת למד פיך</t>
  </si>
  <si>
    <t>אמת מארץ תצמח</t>
  </si>
  <si>
    <t>אמת מארץ</t>
  </si>
  <si>
    <t>דוויך, שאול עזרא הכהן</t>
  </si>
  <si>
    <t>אמת מקאצק תצמח</t>
  </si>
  <si>
    <t>אמת על תילה</t>
  </si>
  <si>
    <t>ויסברגר, מאיר</t>
  </si>
  <si>
    <t>אמת צרופה</t>
  </si>
  <si>
    <t>דהרי, יניב</t>
  </si>
  <si>
    <t>אמת קנה</t>
  </si>
  <si>
    <t>חב"ר</t>
  </si>
  <si>
    <t>עזיז, יניב</t>
  </si>
  <si>
    <t>אמתחת בנימין</t>
  </si>
  <si>
    <t>מינקוביץ Minkovtsy</t>
  </si>
  <si>
    <t>אמתחת בנימין - 3 כר'</t>
  </si>
  <si>
    <t>חשין, בנימין בן שמעון</t>
  </si>
  <si>
    <t>טרכטמן, בנימין יצחק בן משה</t>
  </si>
  <si>
    <t>נושאים שונים, סוגיות</t>
  </si>
  <si>
    <t>ליכטנשטטר, בנימין זאב וולף בן נתן נטע</t>
  </si>
  <si>
    <t>מרגליות, בנימין בן יצחק יהושע</t>
  </si>
  <si>
    <t>עלינגען, נתן נטע</t>
  </si>
  <si>
    <t>פרידבורג, בנימין וולף בן יוסף</t>
  </si>
  <si>
    <t>קאהן, בנימין בן חיים יחיאל</t>
  </si>
  <si>
    <t>נויארק,</t>
  </si>
  <si>
    <t>אמתחת בנימן - 2 כר'</t>
  </si>
  <si>
    <t>בנימין בינש בן יהודה ליב הכהן</t>
  </si>
  <si>
    <t>[תע"ו,</t>
  </si>
  <si>
    <t>ווילהרמרש דארף,</t>
  </si>
  <si>
    <t>אמתחת הקטן</t>
  </si>
  <si>
    <t>אמריך, בנימין וולף</t>
  </si>
  <si>
    <t>פארדו, אברהם</t>
  </si>
  <si>
    <t>בילוגרדו</t>
  </si>
  <si>
    <t>אנ"ך יפה</t>
  </si>
  <si>
    <t>אנא עבדא</t>
  </si>
  <si>
    <t>וולך, שלום מאיר הכהן</t>
  </si>
  <si>
    <t>אנו עמלים ומקבלים שכר</t>
  </si>
  <si>
    <t>וייס, שבתי שעפטיל בן משה יעקב</t>
  </si>
  <si>
    <t>אנטישמיות בהונגריה</t>
  </si>
  <si>
    <t>קצבורג, נתנאל</t>
  </si>
  <si>
    <t>אני ארגתיה</t>
  </si>
  <si>
    <t>ישיבת בנין אב לצעירים</t>
  </si>
  <si>
    <t>אני ה' שוכן בתוכה</t>
  </si>
  <si>
    <t>בוקוולד, אפרים אריאל בן יהושע</t>
  </si>
  <si>
    <t>אני הרוח והנפש שבי</t>
  </si>
  <si>
    <t>כהן, שלום אביחי</t>
  </si>
  <si>
    <t>אני חומה</t>
  </si>
  <si>
    <t>אדרי, אליהו אריאל</t>
  </si>
  <si>
    <t>מרמינסקי, יהושע משה בן שמעון יוסף</t>
  </si>
  <si>
    <t>עלוש, חומאני בן שלום</t>
  </si>
  <si>
    <t>אני לאחי</t>
  </si>
  <si>
    <t>לוית, יצחק</t>
  </si>
  <si>
    <t>אני לדודי ודודי לי</t>
  </si>
  <si>
    <t>אני לדודי - 2 כר'</t>
  </si>
  <si>
    <t>אדהאן, יחייא בן מכלוף</t>
  </si>
  <si>
    <t>כזבלנכה Casablanca</t>
  </si>
  <si>
    <t>דרושים, תפלות בקשות פיוטים ושירה</t>
  </si>
  <si>
    <t>אני לדודי</t>
  </si>
  <si>
    <t>הומינר, שמואל בן מרדכי זאב</t>
  </si>
  <si>
    <t>הייזלר, יעקב בן יוסף</t>
  </si>
  <si>
    <t>הכהן, דוד דידו</t>
  </si>
  <si>
    <t>לופיאנסקי, אריה ליב הלוי</t>
  </si>
  <si>
    <t>חסידות, מועדי ישראל, ספריית חב"ד</t>
  </si>
  <si>
    <t>תרגום שני. תרל"ו</t>
  </si>
  <si>
    <t>אני מאמין - 4 כר'</t>
  </si>
  <si>
    <t>ארלנגר, יצחק משה בן יוסף</t>
  </si>
  <si>
    <t>אני מאמין</t>
  </si>
  <si>
    <t>הירשלר, שמעון</t>
  </si>
  <si>
    <t>חש"מ</t>
  </si>
  <si>
    <t>שניאורסון, יהושע פישל בן שניאור זלמן</t>
  </si>
  <si>
    <t>תש"-</t>
  </si>
  <si>
    <t>אני תפילה (יידיש)</t>
  </si>
  <si>
    <t>שישא, בנימין זאב בן יעקב עקיבא הלוי</t>
  </si>
  <si>
    <t>אני תפילה</t>
  </si>
  <si>
    <t>אניה בלב ים - 2 כר'</t>
  </si>
  <si>
    <t>רוטשילד, בועז רפאל בן שלמה זלמן</t>
  </si>
  <si>
    <t>תקכ"ו</t>
  </si>
  <si>
    <t>אניה דיונה וספר מאיל המילואים &lt;אמרות טהורות&gt;</t>
  </si>
  <si>
    <t>תרכ"ד - תרכ"ט</t>
  </si>
  <si>
    <t>אניות סוחר - זבחים</t>
  </si>
  <si>
    <t>פרישמן, אברהם</t>
  </si>
  <si>
    <t>אנייע ש"ס תחנה</t>
  </si>
  <si>
    <t>תחינות</t>
  </si>
  <si>
    <t>ווילנא - ארה"ב</t>
  </si>
  <si>
    <t>אנית סוחר - בבא קמא</t>
  </si>
  <si>
    <t>שיף, אברהם</t>
  </si>
  <si>
    <t>אנך יפה</t>
  </si>
  <si>
    <t>אנכי אנכי הוא מנחמכם - זכרונות ניצול שואה</t>
  </si>
  <si>
    <t>כהן, זלמן</t>
  </si>
  <si>
    <t>אנכי והילדים</t>
  </si>
  <si>
    <t>אנעים זמירות</t>
  </si>
  <si>
    <t>אנפהא נהירין</t>
  </si>
  <si>
    <t>אנציקילופדיה כ"ו שערים בקדושה וטהרת ישראל</t>
  </si>
  <si>
    <t>קליין, יעקב</t>
  </si>
  <si>
    <t>אנציקלופדיא כל המצוה</t>
  </si>
  <si>
    <t>בלומנפלד, יחיאל מאיר בן שמואל יעקב</t>
  </si>
  <si>
    <t>אנציקלופדיה הלכתית חסדי דוד</t>
  </si>
  <si>
    <t>אנציקלופדיה הלכתית רפואית - 7 כר'</t>
  </si>
  <si>
    <t>שטיינברג, אברהם</t>
  </si>
  <si>
    <t>אנציקלופדיה לאגדות הש"ס - 4 כר'</t>
  </si>
  <si>
    <t>אמסלם, אברהם</t>
  </si>
  <si>
    <t>אנציקלופדיה לאגדות התלמוד - א</t>
  </si>
  <si>
    <t>אנציקלופדיה לבית ישראל - 20 כר'</t>
  </si>
  <si>
    <t>אנציקלופדיה לבר מצוה</t>
  </si>
  <si>
    <t>פרנקל, קלמן אליעזר בן אברהם אבא</t>
  </si>
  <si>
    <t>אנציקלופדיה לגיאוגרפיה תלמודית - ב</t>
  </si>
  <si>
    <t>נאמן, פנחס</t>
  </si>
  <si>
    <t>אנציקלופדיה לחכמי איטליה</t>
  </si>
  <si>
    <t>אנציקלופדיה לחכמי גליציה - 6 כר'</t>
  </si>
  <si>
    <t>תשל"ח - תשנ"ז</t>
  </si>
  <si>
    <t>אנציקלופדיה לחכמי טורקיה</t>
  </si>
  <si>
    <t>אנציקלופדיה לחכמי תימן - 2 כר'</t>
  </si>
  <si>
    <t>גברא, משה</t>
  </si>
  <si>
    <t>אנציקלופדיה לחלוצי הישוב ובוניו - 2 כר'</t>
  </si>
  <si>
    <t>תדהר, דוד בן משה בצלאל</t>
  </si>
  <si>
    <t>תש"ז-תשל"א - הקד'</t>
  </si>
  <si>
    <t>אנציקלופדיה לכשרות המזון - 3 כר'</t>
  </si>
  <si>
    <t>אדרעי, עמרם בן אליהו</t>
  </si>
  <si>
    <t>אנציקלופדיה לעניני המשכן והמקדש - 7 כר'</t>
  </si>
  <si>
    <t>שפר, שאול</t>
  </si>
  <si>
    <t>תשכ"ח - תשל"ד</t>
  </si>
  <si>
    <t>אנציקלופדיה לערכים תורניים - הון יוסף</t>
  </si>
  <si>
    <t>אנציקלופדיה לקהילות היהודיות בתימן - 2 כר'</t>
  </si>
  <si>
    <t>אנציקלופדיה לתארי כבוד בישראל - 4 כר'</t>
  </si>
  <si>
    <t>אורנשטיין, אברהם ניסן בן אהרן דוד</t>
  </si>
  <si>
    <t>תשי"ח - תשכ"ד</t>
  </si>
  <si>
    <t>אנציקלופדיה לתולדות חכמי ארץ - 3 כר'</t>
  </si>
  <si>
    <t>גליס, יעקב</t>
  </si>
  <si>
    <t>אנציקלופדיה מורחבת לחכמי התלמוד</t>
  </si>
  <si>
    <t>קליגר, איסר בן שמעון צבי</t>
  </si>
  <si>
    <t>אנציקלופדיה רינה וישועה - 5 כר'</t>
  </si>
  <si>
    <t>ביאלסטוצקי, צבי פרץ בן שמואל</t>
  </si>
  <si>
    <t>אנציקלופדיה של יהודי כורדיסתאן - 3 כר'</t>
  </si>
  <si>
    <t>יונה, מרדכי</t>
  </si>
  <si>
    <t>אנציקלופדיה שמע ישראל - 2 כר'</t>
  </si>
  <si>
    <t>מכון שמע ישראל קאליב</t>
  </si>
  <si>
    <t>אנציקלופדית המצוות - 4 כר'</t>
  </si>
  <si>
    <t>מפעל הזוהר העולמי</t>
  </si>
  <si>
    <t>אנקת בני תמותה</t>
  </si>
  <si>
    <t>תפילות</t>
  </si>
  <si>
    <t>פראג</t>
  </si>
  <si>
    <t>אנקת יעקב</t>
  </si>
  <si>
    <t>גראמף, יעקב בן אלטר יצחק</t>
  </si>
  <si>
    <t>אנשי אמונה</t>
  </si>
  <si>
    <t>מכון פניני דוד</t>
  </si>
  <si>
    <t>אנשי השם</t>
  </si>
  <si>
    <t>לוו, ירמיהו בן בנימין וולף</t>
  </si>
  <si>
    <t>אנשי חיל</t>
  </si>
  <si>
    <t>אנשי כנסת הגדולה</t>
  </si>
  <si>
    <t>אנשי מופת</t>
  </si>
  <si>
    <t>כשר, משה שלמה - בלכרוביץ, יהודה</t>
  </si>
  <si>
    <t>אנשי מעלה</t>
  </si>
  <si>
    <t>כשר, משה שלמה - בלכרוביץ, יעקב יהושע</t>
  </si>
  <si>
    <t>אנשי עצתי</t>
  </si>
  <si>
    <t>לבל, שמואל</t>
  </si>
  <si>
    <t>אנשי שם</t>
  </si>
  <si>
    <t>בובר, שלמה בן ישעיה אברהם הלוי</t>
  </si>
  <si>
    <t>בראוורמאן, חיים בן אליהו פינחס</t>
  </si>
  <si>
    <t>קאהן, אבינועם</t>
  </si>
  <si>
    <t>אנשים מארצות החיים</t>
  </si>
  <si>
    <t>מלצר, ידעאל בן צבי יהודה</t>
  </si>
  <si>
    <t>אנתולוגיה של פיוטי יוון אנאטוליה והבלקנים</t>
  </si>
  <si>
    <t>וינברגר, יהודה ליב</t>
  </si>
  <si>
    <t>סיניסטי</t>
  </si>
  <si>
    <t>אסדר לסעודתא</t>
  </si>
  <si>
    <t>ראנד, ישראל בן יחזקאל</t>
  </si>
  <si>
    <t>אסוך השמן</t>
  </si>
  <si>
    <t>אסוך שמן</t>
  </si>
  <si>
    <t>ווינער, שלמה אהרן</t>
  </si>
  <si>
    <t>אסופה בעניני עם וארצו</t>
  </si>
  <si>
    <t>אסופות חג - ביצה</t>
  </si>
  <si>
    <t>קוקיס, אוריאל בן מרדכי</t>
  </si>
  <si>
    <t>אסופות נתנו</t>
  </si>
  <si>
    <t>קמינצקי, נתן בן יעקב</t>
  </si>
  <si>
    <t>אסופות - 9 כר'</t>
  </si>
  <si>
    <t>ירחון מאסף לתורה והלכה הגות מחקר וספרות</t>
  </si>
  <si>
    <t>תשס"ט - תש"ע</t>
  </si>
  <si>
    <t>אסופת ועדים - הר יראה</t>
  </si>
  <si>
    <t>פינקל, אריה ליב בן חיים זאב</t>
  </si>
  <si>
    <t>אסופת זרעים - 2 כר'</t>
  </si>
  <si>
    <t>כהן, אמציה יהודה בן יקותיאל</t>
  </si>
  <si>
    <t>אסופת חידושי ישועות משה - פסחים א</t>
  </si>
  <si>
    <t>אסופת חידושי תורה ומאמרים</t>
  </si>
  <si>
    <t>קהילת לומדי תורה ברכפלד</t>
  </si>
  <si>
    <t>אסופת מאמרים בענייני חברה</t>
  </si>
  <si>
    <t>אסופת מאמרים בענייני תכלת</t>
  </si>
  <si>
    <t>טבגר, אליהו</t>
  </si>
  <si>
    <t>אסופת מאמרים בעניני חברה</t>
  </si>
  <si>
    <t>אסופת מאמרים והלכות בעניין שמירת איכות הסביבה ואיסור בל תשחית</t>
  </si>
  <si>
    <t>אסופת מאמרים</t>
  </si>
  <si>
    <t>קורח, פנחס</t>
  </si>
  <si>
    <t>אסופת מערכות - 11 כר'</t>
  </si>
  <si>
    <t>גולדויכט, חיים יעקב</t>
  </si>
  <si>
    <t>אסופת שביעית</t>
  </si>
  <si>
    <t>שלזינגר, יחיאל</t>
  </si>
  <si>
    <t>אסוקי שמעתא - מקוואות</t>
  </si>
  <si>
    <t>הופמן, ישראל יהודה בן מנחם צבי</t>
  </si>
  <si>
    <t>גבעת זאב</t>
  </si>
  <si>
    <t>אסוקי שמעתא</t>
  </si>
  <si>
    <t>עג'מי, בנימין</t>
  </si>
  <si>
    <t>אסוקי שמעתתא - ברכות</t>
  </si>
  <si>
    <t>חברי הכולל בתפרח</t>
  </si>
  <si>
    <t>אסוקי שמעתתא - 2 כר'</t>
  </si>
  <si>
    <t>ליברמן, יוסף בן יצחק צבי</t>
  </si>
  <si>
    <t>אסוקי שמעתתא - 3 כר'</t>
  </si>
  <si>
    <t>שבדרון, יוחנן - רוזנבוים, פנחס</t>
  </si>
  <si>
    <t>אסוקי שמעתתא</t>
  </si>
  <si>
    <t>שווארץ, משה אריה בן אברהם דוד</t>
  </si>
  <si>
    <t>אסור ברהטים</t>
  </si>
  <si>
    <t>אסותא</t>
  </si>
  <si>
    <t>אסיא - 74 כר'</t>
  </si>
  <si>
    <t>מאמרים בעניני הלכה ורפואה</t>
  </si>
  <si>
    <t>אסיף - 5 כר'</t>
  </si>
  <si>
    <t>שנתון איגוד ישיבות ההסדר</t>
  </si>
  <si>
    <t>אסיפת גאונים - 2 כר'</t>
  </si>
  <si>
    <t>אסיפת גאונים</t>
  </si>
  <si>
    <t>אסיפת גאונים - א-ב</t>
  </si>
  <si>
    <t>ליבסקינד, בנימין זאב בן א י</t>
  </si>
  <si>
    <t>אסיפת גדולים</t>
  </si>
  <si>
    <t>קבצים וכתבי עת, ספרי זכרון ויובל, שאלות ותשובות</t>
  </si>
  <si>
    <t>אסיפת דברי חכמים</t>
  </si>
  <si>
    <t>לנץ, חיים ירוחם בן שמשון משולם פייבוש</t>
  </si>
  <si>
    <t>אסיפת הכהן</t>
  </si>
  <si>
    <t>משה בן אהרן צבי הירש הכהן</t>
  </si>
  <si>
    <t>אסיפת השיעורים - 2 כר'</t>
  </si>
  <si>
    <t>שפירא, אליעזר דוד בן יוסף</t>
  </si>
  <si>
    <t>אסיפת זקנים החדש - 36 כר'</t>
  </si>
  <si>
    <t>אסיפת זקנים החדש</t>
  </si>
  <si>
    <t>אסיפת זקנים על מסכת נדה - 4 כר'</t>
  </si>
  <si>
    <t>פומרנץ, ישראל יצחק (עורך)</t>
  </si>
  <si>
    <t>אסיפת זקנים - 3 כר'</t>
  </si>
  <si>
    <t>אשכנזי, בצלאל בן אברהם</t>
  </si>
  <si>
    <t>אסיפת זקנים - ביצה</t>
  </si>
  <si>
    <t>אשכנזי, בצלאל בן אברהם. מיוחס לו</t>
  </si>
  <si>
    <t>אסיפת זקנים - קדשים</t>
  </si>
  <si>
    <t>תרס"ב - תרפ"ה</t>
  </si>
  <si>
    <t>פסס, נתן צבי הירש בן יצחק יעקב</t>
  </si>
  <si>
    <t>אסיפת חכמים וליקוטי שושנים</t>
  </si>
  <si>
    <t>ישראל איסרל בן יצחק סג"ל</t>
  </si>
  <si>
    <t>תפ"ה</t>
  </si>
  <si>
    <t>אסיפת חכמים</t>
  </si>
  <si>
    <t>ירחון רבני</t>
  </si>
  <si>
    <t>מונקץ'</t>
  </si>
  <si>
    <t>תפ"ב</t>
  </si>
  <si>
    <t>אופנבך Offenbach</t>
  </si>
  <si>
    <t>אסיפת חכמים - 11 כר'</t>
  </si>
  <si>
    <t>מערכת אסיפת חכמים</t>
  </si>
  <si>
    <t>שטורך, הילל בן מנחם סג"ל</t>
  </si>
  <si>
    <t>אסיפת יהודא</t>
  </si>
  <si>
    <t>יוסף יהודה ליב בן ישראל איסרל הלוי</t>
  </si>
  <si>
    <t>אסיפת מכתבים מגדולי ישראל אל בעל אמרי סופר - 2 כר'</t>
  </si>
  <si>
    <t>סופר, עקיבא מנחם בן יוחנן (עורך)</t>
  </si>
  <si>
    <t>אסיפת מכתבים</t>
  </si>
  <si>
    <t>אסיפת ראשונים גיטין - א</t>
  </si>
  <si>
    <t>קובץ ראשונים</t>
  </si>
  <si>
    <t>אסיפת ראשונים על מסכת שבת עם ביאור שפע ימים</t>
  </si>
  <si>
    <t>אסיפת שיעורים - 4 כר'</t>
  </si>
  <si>
    <t>אייזנשטיין, אברהם חיים</t>
  </si>
  <si>
    <t>אסיפת שיעורים - 5 כר'</t>
  </si>
  <si>
    <t>לוריא, משה בן מרדכי יחיאל</t>
  </si>
  <si>
    <t>אסיפת שיעורים - 2 כר'</t>
  </si>
  <si>
    <t>אסיפת שמועות - 4 כר'</t>
  </si>
  <si>
    <t>אדלשטין, ירחמיאל גרשון בן צבי יהודה</t>
  </si>
  <si>
    <t>הלכה ומנהג, מועדי ישראל, מחשבה ומוסר, תלמוד בבלי</t>
  </si>
  <si>
    <t>אסיר המלך</t>
  </si>
  <si>
    <t>כהן, שלמה</t>
  </si>
  <si>
    <t>אסירי התקוה</t>
  </si>
  <si>
    <t>הירש, אליעזר בן צבי</t>
  </si>
  <si>
    <t>נייאוויט</t>
  </si>
  <si>
    <t>פינסו, יוסף בן יצחק</t>
  </si>
  <si>
    <t>אסם בשם</t>
  </si>
  <si>
    <t>אסף המזכיר</t>
  </si>
  <si>
    <t>מאזוז, מאיר בן מצליח</t>
  </si>
  <si>
    <t>פורטו, זכריה</t>
  </si>
  <si>
    <t>תל"ה</t>
  </si>
  <si>
    <t>אסף חיים</t>
  </si>
  <si>
    <t>אספי צבי - 2 כר'</t>
  </si>
  <si>
    <t>בואנוס אירס Buenos A</t>
  </si>
  <si>
    <t>אספקלריא &lt;ברית מילה&gt;</t>
  </si>
  <si>
    <t>קלאר, ישראל אברהם (עורך)</t>
  </si>
  <si>
    <t>אספקלריא דנהר"א &lt;על רחובות הנהר&gt; - א</t>
  </si>
  <si>
    <t>אספקלריא דנהרא</t>
  </si>
  <si>
    <t>שב"ח</t>
  </si>
  <si>
    <t>אספקלריא המאירה</t>
  </si>
  <si>
    <t>הייזלר, יעקב</t>
  </si>
  <si>
    <t>אספקלריא המאירה - 3 כר'</t>
  </si>
  <si>
    <t>סליווקין, חיים שלום בן יעקב מרדכי</t>
  </si>
  <si>
    <t>אספקלריא לברית מילה</t>
  </si>
  <si>
    <t>קלאר, אלחנן</t>
  </si>
  <si>
    <t>אספקלריא - 29 כר'</t>
  </si>
  <si>
    <t>אדלר, שמואל אברהם</t>
  </si>
  <si>
    <t>אספקלריא - 174 כר'</t>
  </si>
  <si>
    <t>אספקלריה דנהרא</t>
  </si>
  <si>
    <t>אספקלריה המאירה - 2 כר'</t>
  </si>
  <si>
    <t>הורוויץ, צבי הירש בן יהושע משה אהרן הלוי</t>
  </si>
  <si>
    <t>אספקלריה המאירה - ב</t>
  </si>
  <si>
    <t>משי זהב, הערשל</t>
  </si>
  <si>
    <t>אספקלריה</t>
  </si>
  <si>
    <t>מכון מדעי טכנולוגי להלכה</t>
  </si>
  <si>
    <t>אספקלרית הצדקה</t>
  </si>
  <si>
    <t>אספרה כבודך</t>
  </si>
  <si>
    <t>גולדוסר, יצחק פנחס בן יהודה</t>
  </si>
  <si>
    <t>אספרה שמך לאחי - 4 כר'</t>
  </si>
  <si>
    <t>משי זהב, ישראל יצחק בן אברהם</t>
  </si>
  <si>
    <t>אספת הרבנים בקראקא</t>
  </si>
  <si>
    <t>שפירא, שמואל הכהן</t>
  </si>
  <si>
    <t>תרס"ג,</t>
  </si>
  <si>
    <t>דראהאביטש,</t>
  </si>
  <si>
    <t>אספת מחקרים תורניים - 3 כר'</t>
  </si>
  <si>
    <t>אספת מחקרים תורניים</t>
  </si>
  <si>
    <t>אסרו חג הפסח בקהילות ישראל</t>
  </si>
  <si>
    <t>אסרי לגפן</t>
  </si>
  <si>
    <t>אסתכל באורייתא</t>
  </si>
  <si>
    <t>גודמן, אברהם ברוך</t>
  </si>
  <si>
    <t>אסתר המלכה</t>
  </si>
  <si>
    <t>אעירה פניך</t>
  </si>
  <si>
    <t>דיין, נסים</t>
  </si>
  <si>
    <t>אעירה שחר</t>
  </si>
  <si>
    <t>זעפרני, שמואל</t>
  </si>
  <si>
    <t>אעירה שחר - 2 כר'</t>
  </si>
  <si>
    <t>קובץ כולל בית אהרן</t>
  </si>
  <si>
    <t>קליין, חיים יעקב</t>
  </si>
  <si>
    <t>רוזנטל, חיים שלמה בן שבתי דב</t>
  </si>
  <si>
    <t>אעלה בתמר (קונטרס הזכרון) - 3 כר'</t>
  </si>
  <si>
    <t>אעלה בתמר</t>
  </si>
  <si>
    <t>אעלה בתמר - 3 כר'</t>
  </si>
  <si>
    <t>בן הרוש, תומר בן אברהם</t>
  </si>
  <si>
    <t>גבאי, מסעוד בן ישראל</t>
  </si>
  <si>
    <t>דואר, יצחק</t>
  </si>
  <si>
    <t>אעלה בתמר - מתורת רבני מראכש</t>
  </si>
  <si>
    <t>פנמה</t>
  </si>
  <si>
    <t>הלכה ומנהג, משנה, קבצים וכתבי עת, ספרי זכרון ויובל, תנ"ך</t>
  </si>
  <si>
    <t>אעלה בתמר - מתורת בית בריסק</t>
  </si>
  <si>
    <t>אערוך שולחן</t>
  </si>
  <si>
    <t>טבריה, אופיר</t>
  </si>
  <si>
    <t>אערוך שועי - הושענות מפורשות ומבוארות</t>
  </si>
  <si>
    <t>אף על פי בלשון חז"ל והגאונים</t>
  </si>
  <si>
    <t>אפד בד</t>
  </si>
  <si>
    <t>פראנסיה, דוד בן אליה</t>
  </si>
  <si>
    <t>אפוד בד - תורה</t>
  </si>
  <si>
    <t>גרין, אריאל בן יקותיאל זלמן</t>
  </si>
  <si>
    <t>אפוד בד</t>
  </si>
  <si>
    <t>הארמלין, ברוך דוד בן יוסף אריה</t>
  </si>
  <si>
    <t>אפוד בד - 7 כר'</t>
  </si>
  <si>
    <t>מרקביץ, דב</t>
  </si>
  <si>
    <t>אפי זוטרי</t>
  </si>
  <si>
    <t>פארדו, יעקב בן דוד</t>
  </si>
  <si>
    <t>פינסו, אברהם בן ישראל</t>
  </si>
  <si>
    <t>אפי משה</t>
  </si>
  <si>
    <t>ישראל, משה</t>
  </si>
  <si>
    <t>אפי רברבי</t>
  </si>
  <si>
    <t>אפיית המצות השלם</t>
  </si>
  <si>
    <t>אפיק בנגב</t>
  </si>
  <si>
    <t>נריה, אברהם יצחק</t>
  </si>
  <si>
    <t>אפיקי אליהו - 2 כר'</t>
  </si>
  <si>
    <t>אלקיים, אליהו יוחאי</t>
  </si>
  <si>
    <t>אפיקי דעה - 5 כר'</t>
  </si>
  <si>
    <t>ישיבת שדרות</t>
  </si>
  <si>
    <t>שדרות</t>
  </si>
  <si>
    <t>אפיקי המועדים</t>
  </si>
  <si>
    <t>אפיקי חיים - בבא מציעא</t>
  </si>
  <si>
    <t>בנאי, חיים בן זכריה</t>
  </si>
  <si>
    <t>אפיקי יהודה &lt;מהדורה חדשה&gt; - 2 כר'</t>
  </si>
  <si>
    <t>אפיקי יהודה</t>
  </si>
  <si>
    <t>אדל, יהודה ליב בן משה הלוי</t>
  </si>
  <si>
    <t>[תקס"ג,</t>
  </si>
  <si>
    <t>לעמבורג,</t>
  </si>
  <si>
    <t>אפיקי יהודה - 2 כר'</t>
  </si>
  <si>
    <t>אטינגר, יהודה ליב בן ברוך מרדכי</t>
  </si>
  <si>
    <t>אפיקי יהודה - 4 כר'</t>
  </si>
  <si>
    <t>אפיקי ים - 2 כר'</t>
  </si>
  <si>
    <t>אפיקי ים - א ב</t>
  </si>
  <si>
    <t>רבינוביץ, יחיאל מיכל בן מרדכי יונה</t>
  </si>
  <si>
    <t>תרס"ה - תרצ"ה</t>
  </si>
  <si>
    <t>אפיקי ים - א</t>
  </si>
  <si>
    <t>שלאגער, יחיאל מיכל בן אברהם</t>
  </si>
  <si>
    <t>אפיקי מגינים - 10 כר'</t>
  </si>
  <si>
    <t>בלאט, אברהם בער בן זאב וולף</t>
  </si>
  <si>
    <t>אפיקי מגינים - 2 כר'</t>
  </si>
  <si>
    <t>פיינברג, שבתי בן מרדכי - פיינברג, דניאל בן מרדכי - גרשון בן קלונימוס קלמן משקלוב</t>
  </si>
  <si>
    <t>אפיקי מגנים</t>
  </si>
  <si>
    <t>פפויפר, יהודה אריה בן אהרן</t>
  </si>
  <si>
    <t>אפיקי מים &lt;כת"י&gt;</t>
  </si>
  <si>
    <t>אפיקי מים - 2 כר'</t>
  </si>
  <si>
    <t>אפיקי מים</t>
  </si>
  <si>
    <t>אפיקי מים - 4 כר'</t>
  </si>
  <si>
    <t>זית, מאיר בן אברהם</t>
  </si>
  <si>
    <t>מילר, מנשה יוסף בן שלמה הלוי</t>
  </si>
  <si>
    <t>מלכה, אברהם בן חיים</t>
  </si>
  <si>
    <t>שטיינר, יוסף מאיר משה בן פנחס הכהן</t>
  </si>
  <si>
    <t>אפיקי מים - 9 כר'</t>
  </si>
  <si>
    <t>שפירא, משה - שמלצר, מרדכי ראובן (עורך)</t>
  </si>
  <si>
    <t>אפיקי נחל</t>
  </si>
  <si>
    <t>אפיקי תורה - 6 כר'</t>
  </si>
  <si>
    <t>כולל אברכים שע"י ישיבת אופקים</t>
  </si>
  <si>
    <t>אפיקי תורה - שמות</t>
  </si>
  <si>
    <t>מייזליש, יעקב</t>
  </si>
  <si>
    <t>אפיקי תורה - 2 כר'</t>
  </si>
  <si>
    <t>אפיקי תלמוד</t>
  </si>
  <si>
    <t>מלאכי, יצחק בן צבי</t>
  </si>
  <si>
    <t>אפית מצות למהדרין</t>
  </si>
  <si>
    <t>עדס, אברהם חיים בן דניאל</t>
  </si>
  <si>
    <t>אפיתחא דבבא - 3 כר'</t>
  </si>
  <si>
    <t>ריבנר, גרשון בן שלמה</t>
  </si>
  <si>
    <t>אפיתחא דמערתא</t>
  </si>
  <si>
    <t>אייזנברגר, בנימין א.</t>
  </si>
  <si>
    <t>אפיתחא דשמעתתא - 2 כר'</t>
  </si>
  <si>
    <t>אפסי ארץ - 3 כר'</t>
  </si>
  <si>
    <t>סופר, ישראל אפרים פישל בן צבי</t>
  </si>
  <si>
    <t>תר"ס - תרע"ב</t>
  </si>
  <si>
    <t>אפקעתא דמלכא</t>
  </si>
  <si>
    <t>אלפאנדארי, שלמה אליעזר בן יעקב</t>
  </si>
  <si>
    <t>אפר יצחק - שמועות דוד - תורת יחיאל</t>
  </si>
  <si>
    <t>אויש, יצחק - אויש, דוד - אויש, יחיאל מאכל</t>
  </si>
  <si>
    <t>אפר יצחק</t>
  </si>
  <si>
    <t>פירירה, אהרן רפאל חיים משה בן יצחק</t>
  </si>
  <si>
    <t>אפר קדשים</t>
  </si>
  <si>
    <t>ברמן, אפרים</t>
  </si>
  <si>
    <t>אפריון  &lt;מהדורה חדשה&gt;</t>
  </si>
  <si>
    <t>אפריון &lt;בטאון טולנא&gt; - ד</t>
  </si>
  <si>
    <t>בטאון לתורה ולחסידות</t>
  </si>
  <si>
    <t>אפריון דוד</t>
  </si>
  <si>
    <t>אפריון, אורי דוד בן יוסף</t>
  </si>
  <si>
    <t>איטקונן Chernyshevsk</t>
  </si>
  <si>
    <t>אפריון חתנים</t>
  </si>
  <si>
    <t>אפריון חתנים - 2 כר'</t>
  </si>
  <si>
    <t>אפריון יוסף - 2 כר'</t>
  </si>
  <si>
    <t>לב, יעקב</t>
  </si>
  <si>
    <t>אפריון יעקב</t>
  </si>
  <si>
    <t>רבינוביץ תאומים, יעקב בן בנימין צבי יהודה</t>
  </si>
  <si>
    <t>אפריון ישראל</t>
  </si>
  <si>
    <t>אפריון לשלמה</t>
  </si>
  <si>
    <t>בית מדרש גבוה לייקווד</t>
  </si>
  <si>
    <t>דינר, יהודה אריה</t>
  </si>
  <si>
    <t>אפריון לשלמה - חידושי וביאורי מהרש"ל לטור - אהע"ז א</t>
  </si>
  <si>
    <t>לוריא, שלמה בן יחיאל (מהרש"ל)</t>
  </si>
  <si>
    <t>אפריון צבי - 2 כר'</t>
  </si>
  <si>
    <t>וינברגר, צבי</t>
  </si>
  <si>
    <t>אפריון שלמה - חולין</t>
  </si>
  <si>
    <t>בומבך, שלמה בן מרדכי זוסיא רון</t>
  </si>
  <si>
    <t>אפריון שלמה</t>
  </si>
  <si>
    <t>הלברשטאם, שלמה</t>
  </si>
  <si>
    <t>פינקל, אליהו ברוך בן משה</t>
  </si>
  <si>
    <t>רום, שלמה זלמן בן זאב ליב</t>
  </si>
  <si>
    <t>שלמה בן ישראל מזולקווא</t>
  </si>
  <si>
    <t>ת"צ</t>
  </si>
  <si>
    <t>אפריון שלמה - 2 כר'</t>
  </si>
  <si>
    <t>ששון, אברהם</t>
  </si>
  <si>
    <t>שס"ח</t>
  </si>
  <si>
    <t>אפריון - 2 כר'</t>
  </si>
  <si>
    <t>אפריון</t>
  </si>
  <si>
    <t>אפריון - 10 כר'</t>
  </si>
  <si>
    <t>אפריקאנער הגדה</t>
  </si>
  <si>
    <t>פרודיה</t>
  </si>
  <si>
    <t>אפרקסתא דעניא - 5 כר'</t>
  </si>
  <si>
    <t>שפרבר, דוד בן ברוך קלונימוס</t>
  </si>
  <si>
    <t>אפתח במשל פי ואביע חידה &lt;כתב חידה&gt;</t>
  </si>
  <si>
    <t>אריה יהודה ליב בן מנחם</t>
  </si>
  <si>
    <t>ת"ק בערך</t>
  </si>
  <si>
    <t>אפתחה במשל פי (ליקוטי חפץ חיים)</t>
  </si>
  <si>
    <t>כהן, ישראל מאיר בן אריה זאב (ליקוטים)</t>
  </si>
  <si>
    <t>אצבע קטנה</t>
  </si>
  <si>
    <t>מנחם בן שמעון מרדכי</t>
  </si>
  <si>
    <t>אצילי בני ישראל &lt;קריאה לתרום ספרים לביהמ"ד של מרן&gt;</t>
  </si>
  <si>
    <t>מאימרן, אברהם בן יצחק</t>
  </si>
  <si>
    <t>תקל"ג</t>
  </si>
  <si>
    <t>אמשטרדםAmsterdam</t>
  </si>
  <si>
    <t>אצלנו בחינוך היהודי</t>
  </si>
  <si>
    <t>בר דע, יצחק</t>
  </si>
  <si>
    <t>אצר בינה ואבני צהר</t>
  </si>
  <si>
    <t>אהרן צבי בן משה יהודה אשכנזי</t>
  </si>
  <si>
    <t>אקדמות עם פירוש שני המאורות</t>
  </si>
  <si>
    <t>שובין, שניאור זלמן משה</t>
  </si>
  <si>
    <t>אקדמות - 4 כר'</t>
  </si>
  <si>
    <t>מאיר בן יצחק ש"ץ</t>
  </si>
  <si>
    <t>אקטואליה באותיות ומילים - 3 כר'</t>
  </si>
  <si>
    <t>אקים את יצחק</t>
  </si>
  <si>
    <t>יצחק בן אברהם שלמה</t>
  </si>
  <si>
    <t>אקלידא דרחמי</t>
  </si>
  <si>
    <t>אר"ש חמדה -אודות חמדת ימים</t>
  </si>
  <si>
    <t>אהרונוב, אריאל אפרים</t>
  </si>
  <si>
    <t>אראה בנחמה</t>
  </si>
  <si>
    <t>רבינוביץ, גדליהו</t>
  </si>
  <si>
    <t>ארבע אבות המבואר בתרגום אידיש</t>
  </si>
  <si>
    <t>קרישבסקי, משה</t>
  </si>
  <si>
    <t>ארבע אמות של תפלה</t>
  </si>
  <si>
    <t>פוטאש, מרדכי</t>
  </si>
  <si>
    <t>ארבע אמות - 4 כר'</t>
  </si>
  <si>
    <t>עבדו, אסף</t>
  </si>
  <si>
    <t>ארבע חרשים</t>
  </si>
  <si>
    <t>יוסף יששכר בר בן אלחנן</t>
  </si>
  <si>
    <t>תמ - תמ"א</t>
  </si>
  <si>
    <t>מחשבה ומוסר, תלמוד בבלי, תנ"ך</t>
  </si>
  <si>
    <t>ארבע יסודות</t>
  </si>
  <si>
    <t>אהרן שאול בן יצחק הלוי מהאג</t>
  </si>
  <si>
    <t>ארבע כנפים ופתח הגן</t>
  </si>
  <si>
    <t>ריינהולד, אברהם אביש בן חנוך הניך</t>
  </si>
  <si>
    <t>פולין Poland</t>
  </si>
  <si>
    <t>ארבע מאות שנה שלחן ערוך</t>
  </si>
  <si>
    <t>תערוכת יובל</t>
  </si>
  <si>
    <t>ארבע מאות שקל כסף - 3 כר'</t>
  </si>
  <si>
    <t>ארבע שערים</t>
  </si>
  <si>
    <t>יחיאל מיכל סגל</t>
  </si>
  <si>
    <t>תק"ז</t>
  </si>
  <si>
    <t>ארבע תעניות ובין המצרים  בהלכה ובאגדה</t>
  </si>
  <si>
    <t>ארבע תקופות</t>
  </si>
  <si>
    <t>ארבעה ארזים</t>
  </si>
  <si>
    <t>ארבעה במסרה</t>
  </si>
  <si>
    <t>ארבעה גביעים</t>
  </si>
  <si>
    <t>תיקונים. תרצ"ה. ליוורנו</t>
  </si>
  <si>
    <t>ארבעה ועשרים &lt;מנחת שי&gt; - 6 כר'</t>
  </si>
  <si>
    <t>נורצי, ידידיה שלמה רפאל בן אברהם</t>
  </si>
  <si>
    <t>תק"ב - תק"ד</t>
  </si>
  <si>
    <t>ארבעה ועשרים - ג (נביאים אחרונים)</t>
  </si>
  <si>
    <t>תנ"ך. תקצ"ד. ליוורנו</t>
  </si>
  <si>
    <t>ארבעה חרשים</t>
  </si>
  <si>
    <t>אריה ליב בן ברוך מלאנצוט</t>
  </si>
  <si>
    <t>[תר"ט,</t>
  </si>
  <si>
    <t>[לבוב],</t>
  </si>
  <si>
    <t>ארבעה טורי אבן</t>
  </si>
  <si>
    <t>חכמי מרוקו</t>
  </si>
  <si>
    <t>ר"ז אברהם אלעזר בן י ח</t>
  </si>
  <si>
    <t>ארבעה טורי אבן - 2 כר'</t>
  </si>
  <si>
    <t>רוקח, אלעזר בן שמואל שמלקה</t>
  </si>
  <si>
    <t>ארבעה טורים אבן</t>
  </si>
  <si>
    <t>אייזן, אליעזר בן נחמיה</t>
  </si>
  <si>
    <t>משנה, תנ"ך, תנ"ך</t>
  </si>
  <si>
    <t>ארבעה מאמרים באגדה</t>
  </si>
  <si>
    <t>ארבעה מטיבי לכת</t>
  </si>
  <si>
    <t>ארבעה ספרים נפתחים</t>
  </si>
  <si>
    <t>ארבעה עמודי הבית</t>
  </si>
  <si>
    <t>הופמאן, יוסף יהודה ליב הכהן</t>
  </si>
  <si>
    <t>תרי"ח.</t>
  </si>
  <si>
    <t>ארבעה פירושים (על רש"י על התורה) - 5 כר'</t>
  </si>
  <si>
    <t>מזרחי, גור אריה, לבוש, שפתי חכמים</t>
  </si>
  <si>
    <t>ארבעה קנינים</t>
  </si>
  <si>
    <t>יהודה בן שלמה קנפנטון</t>
  </si>
  <si>
    <t>ארבעה שומרים</t>
  </si>
  <si>
    <t>אלבאז, רפאל משה בן שמואל</t>
  </si>
  <si>
    <t>פס Fez</t>
  </si>
  <si>
    <t>הלכה ומנהג, מחשבה ומוסר, תנ"ך, תפלות בקשות פיוטים ושירה</t>
  </si>
  <si>
    <t>ארבעת המינים המהודרים</t>
  </si>
  <si>
    <t>חו"ר ביהמ"ד משנת דוד קרלין סטולין</t>
  </si>
  <si>
    <t>ארבעת המינים כהלכתם</t>
  </si>
  <si>
    <t>ינאי, יאיר יששכר בן יהודא אריה</t>
  </si>
  <si>
    <t>ארבעת המינים למהדרין (צבעוני)</t>
  </si>
  <si>
    <t>ארבעת המינים למהדרין</t>
  </si>
  <si>
    <t>ארבעת המינים</t>
  </si>
  <si>
    <t>רימון, יוסף צבי</t>
  </si>
  <si>
    <t>אלון שבות</t>
  </si>
  <si>
    <t>ארגון הישוב היהודי בארץ ישראל</t>
  </si>
  <si>
    <t>אוסטרובסקי, משה בן מאיר נחמן</t>
  </si>
  <si>
    <t>ארגון מרביצי תורה ספרדים באה"ק</t>
  </si>
  <si>
    <t>ארובות השמים</t>
  </si>
  <si>
    <t>שנקל, אלעזר בן יעקב</t>
  </si>
  <si>
    <t>ארוחת תמיד</t>
  </si>
  <si>
    <t>מודיליאנו, שמואל בן יצחק</t>
  </si>
  <si>
    <t>תקט"ז הק'</t>
  </si>
  <si>
    <t>דרושים, דרושים, תנ"ך</t>
  </si>
  <si>
    <t>ארוכה  ומרפא</t>
  </si>
  <si>
    <t>סתהון, הלל דוד בן מנשה</t>
  </si>
  <si>
    <t>ארוכה ומרפא</t>
  </si>
  <si>
    <t>ליוורנו. קהילה</t>
  </si>
  <si>
    <t>ארוכת בת עמי - 6 כר'</t>
  </si>
  <si>
    <t>רקובסקי, יעקב</t>
  </si>
  <si>
    <t>ארוממך אלוקי המלך - 2 כר'</t>
  </si>
  <si>
    <t>מנדלבוים, אלכסנדר אריה בן שמחה</t>
  </si>
  <si>
    <t>הלכה ומנהג, מחשבה ומוסר, תפלות בקשות פיוטים ושירה</t>
  </si>
  <si>
    <t>ארוממך ה'</t>
  </si>
  <si>
    <t>ארוממך - 10 כר'</t>
  </si>
  <si>
    <t>עלון תורני</t>
  </si>
  <si>
    <t>ארון הברית - 2 כר'</t>
  </si>
  <si>
    <t>אלימלך, אליהו</t>
  </si>
  <si>
    <t>ארון חיים - חנוכה</t>
  </si>
  <si>
    <t>וולקן, אהרן חיים בן אפרים פישל</t>
  </si>
  <si>
    <t>ארונו של יוסף</t>
  </si>
  <si>
    <t>ארז בלבנון</t>
  </si>
  <si>
    <t>ארונסון, אליעזר הלל בן יצחק</t>
  </si>
  <si>
    <t>ארלנגר, יצחק</t>
  </si>
  <si>
    <t>ארז הלבנון</t>
  </si>
  <si>
    <t>טאננבוים, זאב וולף בן שמעון</t>
  </si>
  <si>
    <t>ארז ישעיהו</t>
  </si>
  <si>
    <t>רזניק, יצחק ישעיהו בן נחמן יהודה ליב</t>
  </si>
  <si>
    <t>ארזא דבי רב - 5 כר'</t>
  </si>
  <si>
    <t>גורביץ, אריה זאב</t>
  </si>
  <si>
    <t>ארזי בצלאל</t>
  </si>
  <si>
    <t>טננבוים, בצלאל</t>
  </si>
  <si>
    <t>ארזי הלבנון - 4 כר'</t>
  </si>
  <si>
    <t>ואנונו, שמעון בן יעיש</t>
  </si>
  <si>
    <t>ארזי הלבנון</t>
  </si>
  <si>
    <t>קראקובסקי, מנחם בן צבי הירש</t>
  </si>
  <si>
    <t>רייניץ, שמואל בן מאיר</t>
  </si>
  <si>
    <t>ארזי התורה - תשס"ו</t>
  </si>
  <si>
    <t>ארזי יעקב</t>
  </si>
  <si>
    <t>פרידמן, אברהם משה בן מרדכי הכהן</t>
  </si>
  <si>
    <t>ארזי לבנון - 2 כר'</t>
  </si>
  <si>
    <t>איתן, משה זאב</t>
  </si>
  <si>
    <t>ארזי לבנון</t>
  </si>
  <si>
    <t>ארנברג, אלימלך אלעזר</t>
  </si>
  <si>
    <t>זולטי, אריה יוסף בן יצחק מיכל</t>
  </si>
  <si>
    <t>סנואני, חיים בן זכריה</t>
  </si>
  <si>
    <t>יהוד</t>
  </si>
  <si>
    <t>ארזים עלי מים</t>
  </si>
  <si>
    <t>שפירא, משה שמואל בן אריה - דייטש, אברהם יחיאל</t>
  </si>
  <si>
    <t>ארח דוד - רבי דוד בהר"ן</t>
  </si>
  <si>
    <t>גולדברג, ישראל - סילמן, נחום</t>
  </si>
  <si>
    <t>ארח דעה - תערובות</t>
  </si>
  <si>
    <t>סגל, אברהם חיים בן יוסף</t>
  </si>
  <si>
    <t>ארח דעה</t>
  </si>
  <si>
    <t>סגל, אברהם חיים</t>
  </si>
  <si>
    <t>ארח המועדים</t>
  </si>
  <si>
    <t>רבני ישיבת ארחות תורה</t>
  </si>
  <si>
    <t>ארח יצחק - 4 כר'</t>
  </si>
  <si>
    <t>אדלר, יצחק בן עמנואל נחום</t>
  </si>
  <si>
    <t>ארח ישר - הלכות ארבעת המינים</t>
  </si>
  <si>
    <t>שטראוס, אריה חיים בן יששכר</t>
  </si>
  <si>
    <t>ארח לחיים</t>
  </si>
  <si>
    <t>גרינברג, שמואל בן דוד הכהן</t>
  </si>
  <si>
    <t>ארח לצדיק</t>
  </si>
  <si>
    <t>רודריגס , אברהם חיים</t>
  </si>
  <si>
    <t>ארח מישור</t>
  </si>
  <si>
    <t>יודקביץ', אלכסנדר דן בן יעקב דוד</t>
  </si>
  <si>
    <t>ארח מישרים - 2 כר'</t>
  </si>
  <si>
    <t>טריווש, מנחם בן אברהם</t>
  </si>
  <si>
    <t>מילוז Mulhouse</t>
  </si>
  <si>
    <t>ארח משפט - 2 כר'</t>
  </si>
  <si>
    <t>בית מדרש לדיינות</t>
  </si>
  <si>
    <t>ארח משפט</t>
  </si>
  <si>
    <t>חזן, רחמים אליהו בן רפאל יוסף</t>
  </si>
  <si>
    <t>ארח משפט - שבועות</t>
  </si>
  <si>
    <t>ארח שבועה - שבועות</t>
  </si>
  <si>
    <t>ישיבת ארחות התורה</t>
  </si>
  <si>
    <t>ארחות אבות - מנהגי יהודי תימן</t>
  </si>
  <si>
    <t>ביטון, אליהו בן יצחק</t>
  </si>
  <si>
    <t>ביריה</t>
  </si>
  <si>
    <t>ארחות אבינו</t>
  </si>
  <si>
    <t>ברנשטין, משה בנימין (אודותיו)</t>
  </si>
  <si>
    <t>ארחות אהרן - 3 כר'</t>
  </si>
  <si>
    <t>רוזנפלד, אהרן בן יצחק מנשה הכהן (מפינסק קרלין)</t>
  </si>
  <si>
    <t>ארחות איש - 2 כר'</t>
  </si>
  <si>
    <t>קרליץ, אברהם ישעיהו בן שמריהו יוסף</t>
  </si>
  <si>
    <t>ארחות אמת - 5 כר'</t>
  </si>
  <si>
    <t>אייכנבום, אהרן</t>
  </si>
  <si>
    <t>ארחות דעת - ריבית</t>
  </si>
  <si>
    <t>שפירא, שילה פנחס בן אהוד</t>
  </si>
  <si>
    <t>ארחות האשה</t>
  </si>
  <si>
    <t>רוזן, משה</t>
  </si>
  <si>
    <t>ארחות ותולדות רבי מרדכי אליהו סלושץ</t>
  </si>
  <si>
    <t>ארחות חיים &lt;מכון אור עציון&gt; - 2 כר'</t>
  </si>
  <si>
    <t>אהרן בן יעקב הכהן מלוניל</t>
  </si>
  <si>
    <t>מרכז שפירא</t>
  </si>
  <si>
    <t>ארחות חיים &lt;עם שושנת יעקב&gt;</t>
  </si>
  <si>
    <t>שפ"ג</t>
  </si>
  <si>
    <t>ארחות חיים &lt;דרך ישרה, משנה הלכות&gt;</t>
  </si>
  <si>
    <t>אשר בן יחיאל (רא"ש) - קליין, מנשה בן אליעזר זאב</t>
  </si>
  <si>
    <t>ארחות חיים &lt;משלי&gt;</t>
  </si>
  <si>
    <t>רבני ג'רבה</t>
  </si>
  <si>
    <t>[תרע"ד,</t>
  </si>
  <si>
    <t>אי ג'רבה,</t>
  </si>
  <si>
    <t>ארחות חיים כתר ראש &lt;מהד' חדשה&gt;</t>
  </si>
  <si>
    <t>אשכנזי, אשר בן צבי הירש הכהן</t>
  </si>
  <si>
    <t>ארחות חיים כתר ראש - 2 כר'</t>
  </si>
  <si>
    <t>ארחות חיים של תורה</t>
  </si>
  <si>
    <t>הלברשטאם, יקותיאל יהודה בן צבי</t>
  </si>
  <si>
    <t>ארחות חיים - 4 כר'</t>
  </si>
  <si>
    <t>ארחות חיים - 2 כר'</t>
  </si>
  <si>
    <t>ארחות חיים</t>
  </si>
  <si>
    <t>ארחות חיים - 3 כר'</t>
  </si>
  <si>
    <t>כהנא, נחמן בן חיים אריה הכהן</t>
  </si>
  <si>
    <t>עטיה, ישועה בן גמילה</t>
  </si>
  <si>
    <t>קצין, שלמה בן שאול</t>
  </si>
  <si>
    <t>ארחות חנוכה לבן ישיבה</t>
  </si>
  <si>
    <t>שיטות גדולי הפוסקים</t>
  </si>
  <si>
    <t>ארחות טהרה</t>
  </si>
  <si>
    <t>כהנא, יצחק אייזיק</t>
  </si>
  <si>
    <t>עטיה, יוסף בן אברהם</t>
  </si>
  <si>
    <t>ארחות טוהר - וסתות</t>
  </si>
  <si>
    <t>יצחקי, יהודה</t>
  </si>
  <si>
    <t>ארחות יהודה - 2 כר'</t>
  </si>
  <si>
    <t>הופנר, דוד יצחק בן יוסף ברוך</t>
  </si>
  <si>
    <t>ארחות יהודה - 3 כר'</t>
  </si>
  <si>
    <t>ניימן, יהודה אריה בן שלמה</t>
  </si>
  <si>
    <t>ארחות יושר &lt;ביאורים ועיונים&gt;</t>
  </si>
  <si>
    <t>קנייבסקי, שמריהו יוסף חיים בן יעקב ישראל - מכון ארחות יושר</t>
  </si>
  <si>
    <t>ארחות יושר</t>
  </si>
  <si>
    <t>קנייבסקי, שמריהו יוסף חיים בן יעקב ישראל</t>
  </si>
  <si>
    <t>ארחות ימים</t>
  </si>
  <si>
    <t>זינגר, משה יהושע</t>
  </si>
  <si>
    <t>ארחות ימים - 3 כר'</t>
  </si>
  <si>
    <t>שנעעבאלג, אברהם זאב בן חיים</t>
  </si>
  <si>
    <t>ארחות ישרים - 3 כר'</t>
  </si>
  <si>
    <t>ראקאוו, יום טוב ליפמאן - ראקאוו, בן ציון</t>
  </si>
  <si>
    <t>ארחות מרן - 3 כר'</t>
  </si>
  <si>
    <t>ארחות צדיק</t>
  </si>
  <si>
    <t>לזכר רבי חנוך העניך אירנשטיין</t>
  </si>
  <si>
    <t>ארחות צדיקים &lt;אורחות יושר&gt;</t>
  </si>
  <si>
    <t>ארחות צדיקים</t>
  </si>
  <si>
    <t>ארחות צדיקים &lt;מעשה רב&gt;</t>
  </si>
  <si>
    <t>ארחות צדיקים &lt;ביאורים ועיונים&gt; - 2 כר'</t>
  </si>
  <si>
    <t>מכון ארחות יושר</t>
  </si>
  <si>
    <t>ארחות צדיקים &lt;עלי אורח&gt;</t>
  </si>
  <si>
    <t>רוט, אליהו</t>
  </si>
  <si>
    <t>ארחות צדיקים עם ביאור דרך טובים</t>
  </si>
  <si>
    <t>ליפקין, חיים יצחק</t>
  </si>
  <si>
    <t>ארחות צדיקים - 4 כר'</t>
  </si>
  <si>
    <t>ארחות צדיקים. תקכ"ט</t>
  </si>
  <si>
    <t>תקכ"ט</t>
  </si>
  <si>
    <t>ארחות צדקה</t>
  </si>
  <si>
    <t>בבור, אליעזר בן דניאל</t>
  </si>
  <si>
    <t>ארחות ציון - 3 כר'</t>
  </si>
  <si>
    <t>מוצפי, בן ציון בן סלמן</t>
  </si>
  <si>
    <t>ארחות רבינו הקהלות יעקב &lt;מהדורה חדשה&gt; - 5 כר'</t>
  </si>
  <si>
    <t>הורביץ, אברהם הלוי</t>
  </si>
  <si>
    <t>ארחות רבינו הקהלות יעקב - 5 כר'</t>
  </si>
  <si>
    <t>ארחות רבית</t>
  </si>
  <si>
    <t>סיטון, דניאל הכהן</t>
  </si>
  <si>
    <t>ארחות שבת - 3 כר'</t>
  </si>
  <si>
    <t>גלבר, שלום יוסף - רובין, יצחק מרדכי</t>
  </si>
  <si>
    <t>ארחות שלום</t>
  </si>
  <si>
    <t>ארחות - 19 כר'</t>
  </si>
  <si>
    <t>בטאון המועצה הדתית חיפה</t>
  </si>
  <si>
    <t>תשכ"ה  - תשל"ד</t>
  </si>
  <si>
    <t>ארחותיך למדני - 6 כר'</t>
  </si>
  <si>
    <t>ארחין דאורייתא - א</t>
  </si>
  <si>
    <t>קובץ "אור חנניה"</t>
  </si>
  <si>
    <t>ארחץ בנקיון כפי - 3 כר'</t>
  </si>
  <si>
    <t>פרץ, שמואל בן מיכאל</t>
  </si>
  <si>
    <t>ארטאדאקסישע יוגענד בלעטער - 9 כר'</t>
  </si>
  <si>
    <t>צעירי אגודת ישראל בפולין</t>
  </si>
  <si>
    <t>וארשא</t>
  </si>
  <si>
    <t>ארי במסתרים</t>
  </si>
  <si>
    <t>ארלנגר ישראל</t>
  </si>
  <si>
    <t>גולדברג, יוסף אריה בן שמחה זאב</t>
  </si>
  <si>
    <t>קיסר, ארי גד בן מיכאל</t>
  </si>
  <si>
    <t>רבינוביץ, אריה מרדכי</t>
  </si>
  <si>
    <t>ארי טורף</t>
  </si>
  <si>
    <t>ארי עלה מבבל - רבי יעקב מוצפי</t>
  </si>
  <si>
    <t>נעימי, אהרן שלום בן יצחק</t>
  </si>
  <si>
    <t>ארי שבחבורה</t>
  </si>
  <si>
    <t>לזכר רבי יהודה אריה אלתר זצ"ל</t>
  </si>
  <si>
    <t>ארי שבחבורה - 4 כר'</t>
  </si>
  <si>
    <t>ליפשיץ, אריה ליבוש בן חיים</t>
  </si>
  <si>
    <t>הלכה ומנהג, מועדי ישראל, משנה, משנה, נושאים שונים, שלחן ערוך ומפרשיו, תלמוד בבלי, תלמוד בבלי, תנ"ך, תנ"ך</t>
  </si>
  <si>
    <t>ארי' שאג - 2 כר'</t>
  </si>
  <si>
    <t>צייטלין, יהודה ליב בן יוסף</t>
  </si>
  <si>
    <t>תרס"א-תרס"ב</t>
  </si>
  <si>
    <t>אריג פז</t>
  </si>
  <si>
    <t>ארביב, אלון</t>
  </si>
  <si>
    <t>אריה בגבורתו - תולדות רבי מרדכי מן</t>
  </si>
  <si>
    <t>הרמן, מנחם</t>
  </si>
  <si>
    <t>אריה דבי עילאי &lt;מהדורה חדשה&gt; - 6 כר'</t>
  </si>
  <si>
    <t>אריה דבי עילאי &lt;שו"ת&gt;</t>
  </si>
  <si>
    <t>אריה דבי עילאי</t>
  </si>
  <si>
    <t>אריה טורף</t>
  </si>
  <si>
    <t>אריה ישאג - 5 כר'</t>
  </si>
  <si>
    <t>גליק, יצחק בן יהודה</t>
  </si>
  <si>
    <t>אריה ליש</t>
  </si>
  <si>
    <t>איפרגן, ישראל יצחק</t>
  </si>
  <si>
    <t>אריה שאג &lt;על התורה&gt; - 3 כר'</t>
  </si>
  <si>
    <t>הלברשטאם, אריה ליבש בן סיני</t>
  </si>
  <si>
    <t>אריה שאג</t>
  </si>
  <si>
    <t>אריה שאג - 9 כר'</t>
  </si>
  <si>
    <t>ידיד, אליעזר רחמים בן יום טוב הלוי</t>
  </si>
  <si>
    <t>אריכת ימים</t>
  </si>
  <si>
    <t>קאונאס</t>
  </si>
  <si>
    <t>ארים נסי</t>
  </si>
  <si>
    <t>ארים נסי - 2 כר'</t>
  </si>
  <si>
    <t>מאזוז, מאיר</t>
  </si>
  <si>
    <t>אריתי מורי</t>
  </si>
  <si>
    <t>שנקר, אברהם צבי בן מרדכי</t>
  </si>
  <si>
    <t>ארך אפים - 2 כר'</t>
  </si>
  <si>
    <t>ארך אפים</t>
  </si>
  <si>
    <t>ארכיאולוגיה תנכי"ת</t>
  </si>
  <si>
    <t>ארמון על מכונו (מהד"א)</t>
  </si>
  <si>
    <t>ארמוני, משה חיים</t>
  </si>
  <si>
    <t>ארמון על מכונו (מהד"ב)</t>
  </si>
  <si>
    <t>ארמונות הזמן</t>
  </si>
  <si>
    <t>ויצמן, יחיאל</t>
  </si>
  <si>
    <t>ארמנות ציון</t>
  </si>
  <si>
    <t>קסטנבוים, יחזקאל אביגדור בן ברוך משה</t>
  </si>
  <si>
    <t>ארן עדת - 3 כר'</t>
  </si>
  <si>
    <t>רבינוביץ, שרגא יאיר בן נתן דוד</t>
  </si>
  <si>
    <t>ארעא דישראל - 2 כר'</t>
  </si>
  <si>
    <t>ארעא דרבנן &lt;עפרא דארעא - ארעא דישראל - ארעא קטינא &gt;</t>
  </si>
  <si>
    <t>אלגאזי, ישראל יעקב בן יום טוב - רבין, רפאל</t>
  </si>
  <si>
    <t>ארעא דרבנן &lt;עפרא דארעא&gt;</t>
  </si>
  <si>
    <t>אלגאזי, ישראל יעקב בן יום טוב -ויינפלד, אברהם</t>
  </si>
  <si>
    <t>ארפא משובתם</t>
  </si>
  <si>
    <t>קונשטט, דוד בן אלחנן משה</t>
  </si>
  <si>
    <t>ארץ אפרים - א</t>
  </si>
  <si>
    <t>כהן, אפרים רחמים בן מצליח</t>
  </si>
  <si>
    <t>ארץ בנימין</t>
  </si>
  <si>
    <t>סופר, בנימין בן עקיבא שלמה</t>
  </si>
  <si>
    <t>הלכה ומנהג, נושאים שונים, קבצים וכתבי עת, ספרי זכרון ויובל, תלמוד בבלי, תנ"ך</t>
  </si>
  <si>
    <t>ארץ דשא</t>
  </si>
  <si>
    <t>ארץ הבחירה - 10 כר'</t>
  </si>
  <si>
    <t>וינר, יוסף צבי</t>
  </si>
  <si>
    <t>ארץ הגליל</t>
  </si>
  <si>
    <t>נצרת עלית</t>
  </si>
  <si>
    <t>ארץ החיים &lt;על תהלים&gt; - 4 כר'</t>
  </si>
  <si>
    <t>אברהם חיים בן שמואל פייבוש הכהן</t>
  </si>
  <si>
    <t>מחשבה ומוסר, תנ"ך, תפלות בקשות פיוטים ושירה</t>
  </si>
  <si>
    <t>ארץ החיים</t>
  </si>
  <si>
    <t>ארץ החיים - 2 כר'</t>
  </si>
  <si>
    <t>חיים בן שלמה מצ'רנוביץ</t>
  </si>
  <si>
    <t>הלכה ומנהג, חסידות, תלמוד בבלי, תלמוד בבלי, תנ"ך</t>
  </si>
  <si>
    <t>ליברזון, חיים בן ישעיה</t>
  </si>
  <si>
    <t>ארץ הצבי על התורה</t>
  </si>
  <si>
    <t>פולק, דב צבי</t>
  </si>
  <si>
    <t>ארץ הצבי</t>
  </si>
  <si>
    <t>בלייכר, פנחס מאיר בן מיכאל שמואל</t>
  </si>
  <si>
    <t>גוטמן, צבי בן אריה</t>
  </si>
  <si>
    <t>דרושים, מועדי ישראל, שאלות ותשובות, תנ"ך</t>
  </si>
  <si>
    <t>ארץ הצבי - 5 כר'</t>
  </si>
  <si>
    <t>פליגלמן, צבי אריה</t>
  </si>
  <si>
    <t>שוויגר, שלמה צבי</t>
  </si>
  <si>
    <t>שכטר, צבי בן אלימלך</t>
  </si>
  <si>
    <t>ארץ הקדש</t>
  </si>
  <si>
    <t>ארץ זבת חלב</t>
  </si>
  <si>
    <t>מועדי ישראל, קבצים וכתבי עת, ספרי זכרון ויובל, תנ"ך</t>
  </si>
  <si>
    <t>ארץ חיים &lt;מכון הכתב&gt;</t>
  </si>
  <si>
    <t>סתהון, חיים בן מנשה</t>
  </si>
  <si>
    <t>ארץ חיים - 9 כר'</t>
  </si>
  <si>
    <t>סלומון, חיים בן יהושע</t>
  </si>
  <si>
    <t>ארץ חיים - 2 כר'</t>
  </si>
  <si>
    <t>ארץ חמדה טובה ורחבה</t>
  </si>
  <si>
    <t>ארץ חמדה - 2 כר'</t>
  </si>
  <si>
    <t>הורוויץ, ישראל זאב בן שמואל הלוי</t>
  </si>
  <si>
    <t>תרי"ז - תשכ"ז</t>
  </si>
  <si>
    <t>Lvov לבוב - ירושלים</t>
  </si>
  <si>
    <t>ארץ חמדה - ברכות, ביצה</t>
  </si>
  <si>
    <t>נריה, חנוך העניך דוב, בן יחיאל אברהם יצחק</t>
  </si>
  <si>
    <t>ארץ חמדה</t>
  </si>
  <si>
    <t>קוקה, אברהם</t>
  </si>
  <si>
    <t>רייכמאן, משה אהרן בן אפרים</t>
  </si>
  <si>
    <t>הלכה ומנהג, שאלות ותשובות, תולדות עם ישראל</t>
  </si>
  <si>
    <t>ארץ חפץ</t>
  </si>
  <si>
    <t>גארבר, הירש</t>
  </si>
  <si>
    <t>כהנוב, משה נחמיה בן משולם פייבוש</t>
  </si>
  <si>
    <t>ארץ טובה</t>
  </si>
  <si>
    <t>ארץ יהודה</t>
  </si>
  <si>
    <t>הלכה ומנהג, שלחן ערוך ומפרשיו, תלמוד בבלי, תנ"ך</t>
  </si>
  <si>
    <t>ארץ ישראל במשנת החתם סופר</t>
  </si>
  <si>
    <t>ארץ ישראל במשנתם של תנאים ואמוראים</t>
  </si>
  <si>
    <t>חרל"פ , יעקב ח'</t>
  </si>
  <si>
    <t>ארץ ישראל בתור ארץ התירים</t>
  </si>
  <si>
    <t>מחלקת המסחר והתעשיה</t>
  </si>
  <si>
    <t>ארץ ישראל ובעיותיה</t>
  </si>
  <si>
    <t>הרמן, שמואל צבי</t>
  </si>
  <si>
    <t>ארץ ישראל וסוריה הדרומית - ספר המסעות</t>
  </si>
  <si>
    <t>פרס, ישעיהו</t>
  </si>
  <si>
    <t>ארץ ישראל ושכנותיה</t>
  </si>
  <si>
    <t>הורוביץ, ישראל זאב בן פנחס הלוי</t>
  </si>
  <si>
    <t>ארץ ישראל כיבושה וקדושתה</t>
  </si>
  <si>
    <t>ארץ ישראל נחלת עם ישראל</t>
  </si>
  <si>
    <t>ארץ ישראל עם ביאור בן ישראל</t>
  </si>
  <si>
    <t>וקסמן, חיים משה בן ישראל</t>
  </si>
  <si>
    <t>ארץ ישראל - 2 כר'</t>
  </si>
  <si>
    <t>ארץ מגורי אביו</t>
  </si>
  <si>
    <t>ברילמן, יהודה (עורך)</t>
  </si>
  <si>
    <t>ארץ נושבת</t>
  </si>
  <si>
    <t>מחשבה ומוסר, נושאים שונים, שאלות ותשובות, תפלות בקשות פיוטים ושירה</t>
  </si>
  <si>
    <t>ארץ נחלי מים - מים חיים</t>
  </si>
  <si>
    <t>הכהן, חיים</t>
  </si>
  <si>
    <t>ארץ נחלי מים, מקור חיים</t>
  </si>
  <si>
    <t>ארץ נפתלי</t>
  </si>
  <si>
    <t>דיקמן, יהודה יעקב</t>
  </si>
  <si>
    <t>ארץ צבי &lt;מהדורה מחודשת&gt; - 2 כר'</t>
  </si>
  <si>
    <t>פרומר, אריה צבי בן חנוך הנדל</t>
  </si>
  <si>
    <t>ארץ צבי &lt;מועדים&gt;</t>
  </si>
  <si>
    <t>ארץ צבי &lt;על התורה&gt;</t>
  </si>
  <si>
    <t>דרושים, דרושים, חסידות, תולדות עם ישראל, תנ"ך</t>
  </si>
  <si>
    <t>ארץ צבי &lt;מהדורה חדשה&gt; - 2 כר'</t>
  </si>
  <si>
    <t>צבי הירש בן יהודה ליב מוואידיסלאב</t>
  </si>
  <si>
    <t>ארץ צבי ותאומי צביה - 2 כר'</t>
  </si>
  <si>
    <t>ברודא, צבי הירש בן יעקב דוד</t>
  </si>
  <si>
    <t>ארץ צבי</t>
  </si>
  <si>
    <t>איישישקי, צבי אידל בן שבתי מאיר</t>
  </si>
  <si>
    <t>דרושים, מחשבה ומוסר, משנה, תלמוד בבלי, תנ"ך</t>
  </si>
  <si>
    <t>דידי, צבי</t>
  </si>
  <si>
    <t>הירש, יוסף</t>
  </si>
  <si>
    <t>ארץ צבי - 2 כר'</t>
  </si>
  <si>
    <t>לוו, צבי הירש הלוי</t>
  </si>
  <si>
    <t>לוריא, צבי אריה ליב בן משה בצלאל</t>
  </si>
  <si>
    <t>ארץ צבי - א</t>
  </si>
  <si>
    <t>צבי הירש בן אברהם אליעזר ליפמאן</t>
  </si>
  <si>
    <t>ארץ צבי - 3 כר'</t>
  </si>
  <si>
    <t>קובץ מאמרים בענייני ארץ ישראל</t>
  </si>
  <si>
    <t>רום, צבי הירש בן אברהם יצחק</t>
  </si>
  <si>
    <t>תאומים, צבי הירש בן אפרים</t>
  </si>
  <si>
    <t>ארץ קדומים</t>
  </si>
  <si>
    <t>לוויזון, שלמה בן יהודה ליב</t>
  </si>
  <si>
    <t>ארצות החיים - 4 כר'</t>
  </si>
  <si>
    <t>ארצות החיים</t>
  </si>
  <si>
    <t>עטיה, מרדכי בן ישועה</t>
  </si>
  <si>
    <t>מכסיקו סיטי Mexico</t>
  </si>
  <si>
    <t>ארצות השלום</t>
  </si>
  <si>
    <t>וייס, שלום בן צבי הכהן</t>
  </si>
  <si>
    <t>משנה, תלמוד בבלי, תלמוד בבלי, תלמוד בבלי, תלמוד ירושלמי</t>
  </si>
  <si>
    <t>ארצות השלום - 4 כר'</t>
  </si>
  <si>
    <t>ארצות יהודה</t>
  </si>
  <si>
    <t>דבורץ, יהודה ליב בן שלום</t>
  </si>
  <si>
    <t>ארצנו</t>
  </si>
  <si>
    <t>אנכי, זלמן יצחק בן אברהם הכהן</t>
  </si>
  <si>
    <t>זוטא, חיים אריה ליב בן שבתי דוב</t>
  </si>
  <si>
    <t>מימון, יהודה ליב בן אברהם אלימלך הכהן</t>
  </si>
  <si>
    <t>ארשת צבי - ב</t>
  </si>
  <si>
    <t>טוקצ'ינסקי, צבי בן שמואל</t>
  </si>
  <si>
    <t>דרושים, מועדי ישראל, נושאים שונים, תלמוד בבלי, תנ"ך</t>
  </si>
  <si>
    <t>ארשת צבי - 2 כר'</t>
  </si>
  <si>
    <t>מרקוביץ, צבי בן שמואל</t>
  </si>
  <si>
    <t>ארשת שפתיים - 8 כר'</t>
  </si>
  <si>
    <t>כולל דרכי דוד</t>
  </si>
  <si>
    <t>ארשת שפתים</t>
  </si>
  <si>
    <t>תפילות. סידור. תרצ"ז. אמשטרדם</t>
  </si>
  <si>
    <t>ארשת שפתינו</t>
  </si>
  <si>
    <t>ארשת שפתינו - 2 כר'</t>
  </si>
  <si>
    <t>אש דוד - 2 כר'</t>
  </si>
  <si>
    <t>פיירסטון, דוד יהודה</t>
  </si>
  <si>
    <t>אש דת - 11 כר'</t>
  </si>
  <si>
    <t>אפשטיין, משה יחיאל בן אברהם שלמה הלוי</t>
  </si>
  <si>
    <t>תש"י - תשכ"ג</t>
  </si>
  <si>
    <t>אש דת</t>
  </si>
  <si>
    <t>מנחם מנדל בן זאב וולף</t>
  </si>
  <si>
    <t>ניטו, דוד בן פינחס</t>
  </si>
  <si>
    <t>רובינשטיין, משה יהושע בן צבי הלוי</t>
  </si>
  <si>
    <t>אש המזבח</t>
  </si>
  <si>
    <t>אש המערכה</t>
  </si>
  <si>
    <t>שליו, אהרן בן מנחם</t>
  </si>
  <si>
    <t>אש התורה - 2 כר'</t>
  </si>
  <si>
    <t>אש התורה - בראשית</t>
  </si>
  <si>
    <t>שטיגליץ, זאב אריה בן חיים אפרים נתן</t>
  </si>
  <si>
    <t>אש התורה</t>
  </si>
  <si>
    <t>שיטרית, אליהו</t>
  </si>
  <si>
    <t>אש למו</t>
  </si>
  <si>
    <t>שטרן, שמואל</t>
  </si>
  <si>
    <t>אש קדש - א</t>
  </si>
  <si>
    <t>רוזנברג, דוד</t>
  </si>
  <si>
    <t>יבניאל</t>
  </si>
  <si>
    <t>אש קודש - מעילה</t>
  </si>
  <si>
    <t>אהרמן, אברהם יוסף בן משה חיים</t>
  </si>
  <si>
    <t>אש קודש</t>
  </si>
  <si>
    <t>שפירא, קלונימוס קלמיש בן אלימלך</t>
  </si>
  <si>
    <t>חסידות, מחשבה ומוסר, תולדות עם ישראל</t>
  </si>
  <si>
    <t>אש תמיד תוקד</t>
  </si>
  <si>
    <t>זלצר, יקותיאל זאב</t>
  </si>
  <si>
    <t>אש תמיד</t>
  </si>
  <si>
    <t>הנקין, איתם בן יהודה הרצל</t>
  </si>
  <si>
    <t>מהרי, אברהם בן קללאו</t>
  </si>
  <si>
    <t>דרושים, קבצים וכתבי עת, ספרי זכרון ויובל, שאלות ותשובות, תלמוד בבלי</t>
  </si>
  <si>
    <t>אש תמיד - מנהגי ספינקא</t>
  </si>
  <si>
    <t>פרידמן, חיים יוסף הלוי</t>
  </si>
  <si>
    <t>אש תמיד - 2 כר'</t>
  </si>
  <si>
    <t>צינמון, אהרן שלמה בן שמחה בונם</t>
  </si>
  <si>
    <t>שורצמן, מאיר בן ישראל משה</t>
  </si>
  <si>
    <t>אש תמיד - מסכת תמיד</t>
  </si>
  <si>
    <t>אשא דעי למרחוק</t>
  </si>
  <si>
    <t>יעקובזון, בנימין זאב בן שלמה</t>
  </si>
  <si>
    <t>תולדות עם ישראל, תולדות עם ישראל, תולדות עם ישראל</t>
  </si>
  <si>
    <t>אשא דעי - יו"ד א</t>
  </si>
  <si>
    <t>אויערבך, אהרן יוסף בן אברהם דב</t>
  </si>
  <si>
    <t>אשא כפי</t>
  </si>
  <si>
    <t>כץ, חיים משה בן חנוך הכהן</t>
  </si>
  <si>
    <t>אשא משלי</t>
  </si>
  <si>
    <t>אשא עיני</t>
  </si>
  <si>
    <t>אלברג, אהרן שלמה</t>
  </si>
  <si>
    <t>זוסמן - סופר, שמעון אליעזר</t>
  </si>
  <si>
    <t>אשא עיני - 2 כר'</t>
  </si>
  <si>
    <t>לנגסנר, יעקב מאיר בן דוד שבתי</t>
  </si>
  <si>
    <t>פאסייק ניו ג'רזי</t>
  </si>
  <si>
    <t>קונטרס זכרון למשפחת בוקסבוים</t>
  </si>
  <si>
    <t>אשבח בתהלתך</t>
  </si>
  <si>
    <t>חדאד, אביאל</t>
  </si>
  <si>
    <t>אשביע לחם עם קונטרס לבי שמח</t>
  </si>
  <si>
    <t>חדאד, מקיקיץ ישראל בן סומאני</t>
  </si>
  <si>
    <t>ג'רבה</t>
  </si>
  <si>
    <t>אשד הנהר</t>
  </si>
  <si>
    <t>פוזנר, שלמה דוד בן יצחק</t>
  </si>
  <si>
    <t>הלכה ומנהג, מחשבה ומוסר, תלמוד בבלי, תנ"ך</t>
  </si>
  <si>
    <t>אשד הנחלים</t>
  </si>
  <si>
    <t>אייבשיץ, דוד שלמה בן ירחמיאל</t>
  </si>
  <si>
    <t>אשד הנחלים - 5 כר'</t>
  </si>
  <si>
    <t>אייזנשטיין, דוד בן ישראל</t>
  </si>
  <si>
    <t>נחמולי, יוסף בן נחמן</t>
  </si>
  <si>
    <t>פרדס, חיים מאניס בן אברהם יששכר הלוי</t>
  </si>
  <si>
    <t>אשדות הפסגה</t>
  </si>
  <si>
    <t>אשדת הפסגה - א (ברכות,שבת,עירובין)</t>
  </si>
  <si>
    <t>מלצר, שמואל אברהם בן משה</t>
  </si>
  <si>
    <t>אשדת הפסגה</t>
  </si>
  <si>
    <t>אשה גדולה</t>
  </si>
  <si>
    <t>אשי אברהם - שבת</t>
  </si>
  <si>
    <t>גיברלטר, אברהם ישעיהו בן אריה משה</t>
  </si>
  <si>
    <t>אשי דוד</t>
  </si>
  <si>
    <t>אשי ה'</t>
  </si>
  <si>
    <t>אלפאסי, יצחק בן יעקב (רי"ף)</t>
  </si>
  <si>
    <t>חדוק, אביה שמריה בן ישראל</t>
  </si>
  <si>
    <t>משה בן נחמן רמב"ן - יום טוב בן אברהם אשבילי ריטב"א, חביבא, יוסף נמוק"י</t>
  </si>
  <si>
    <t>אשי המטבע</t>
  </si>
  <si>
    <t>שכטר, יוסף אריה</t>
  </si>
  <si>
    <t>אשי יצחק</t>
  </si>
  <si>
    <t>יצחק, שמעון בן יצחק</t>
  </si>
  <si>
    <t>נבנצל, בניה בן אביגדר יחזקאל</t>
  </si>
  <si>
    <t>אשי ישראל</t>
  </si>
  <si>
    <t>איסרלין, ישראל איסר בן מרדכי</t>
  </si>
  <si>
    <t>אשי ישראל - 2 כר'</t>
  </si>
  <si>
    <t>ברודא, ישראל בן שמואל</t>
  </si>
  <si>
    <t>תרפ"ט - תרצ"ו</t>
  </si>
  <si>
    <t>אשי ישראל - במדבר, דברים</t>
  </si>
  <si>
    <t>טאוב, ישראל דוד בן יהושע יחזקאל</t>
  </si>
  <si>
    <t>פפויפר, אברהם ישעיה</t>
  </si>
  <si>
    <t>אשי ישראל - 10 כר'</t>
  </si>
  <si>
    <t>תפילות ותחנות</t>
  </si>
  <si>
    <t>אשי מאיר - 3 כר'</t>
  </si>
  <si>
    <t>ועקנין, מאיר</t>
  </si>
  <si>
    <t>אשי משה</t>
  </si>
  <si>
    <t>כ"ץ, משה בן אברהם יהושע</t>
  </si>
  <si>
    <t>משנה, שאר ספרי חז"ל, תלמוד בבלי, תנ"ך</t>
  </si>
  <si>
    <t>אשיב אברהם</t>
  </si>
  <si>
    <t>פנט, אברהם שמואל בן יעקב</t>
  </si>
  <si>
    <t>אשיח בפקודיך</t>
  </si>
  <si>
    <t>הלוי, מיכה</t>
  </si>
  <si>
    <t>אשיחה בחוקיך - 5 כר'</t>
  </si>
  <si>
    <t>אשיחה בחקיך &lt;בהלכה&gt; - 73 כר'</t>
  </si>
  <si>
    <t>נזרית, אורן בן דוד</t>
  </si>
  <si>
    <t>אשיחה בחקיך</t>
  </si>
  <si>
    <t>אשיחה בחקיך - 9 כר'</t>
  </si>
  <si>
    <t>חסיד, ירחמיאל שמואל בן מרדכי הלוי</t>
  </si>
  <si>
    <t>אשיחה בחקיך - 48 כר'</t>
  </si>
  <si>
    <t>אשיחה בנפלאותיו - 2 כר'</t>
  </si>
  <si>
    <t>אוירבוך, נחום בן ברוך הלוי</t>
  </si>
  <si>
    <t>אשיחה</t>
  </si>
  <si>
    <t>יעקבסון, יחזקאל - הנדלר, אריה</t>
  </si>
  <si>
    <t>אשיחה - 2 כר'</t>
  </si>
  <si>
    <t>אשירה לה' בחיי</t>
  </si>
  <si>
    <t>ספר זכרון לרבנית מירל מחלה שצ'רנסקי</t>
  </si>
  <si>
    <t>אשירה לה'</t>
  </si>
  <si>
    <t>גבאי, שלום בן רפאל</t>
  </si>
  <si>
    <t>מחשבה ומוסר, מחשבה ומוסר, קבלה, תנ"ך, תנ"ך</t>
  </si>
  <si>
    <t>אשירה לה' - קונטרס בעניני הלל</t>
  </si>
  <si>
    <t>הורביץ, ראובן</t>
  </si>
  <si>
    <t>טננבוים, אשר</t>
  </si>
  <si>
    <t>אשירה עזך</t>
  </si>
  <si>
    <t>אשירה</t>
  </si>
  <si>
    <t>גצל, זאב</t>
  </si>
  <si>
    <t>אשישות חיים - 2 כר'</t>
  </si>
  <si>
    <t>פנט, חיים אלתר בן אברהם שמואל</t>
  </si>
  <si>
    <t>אשכבתא דצדיקיא - 2 כר'</t>
  </si>
  <si>
    <t>אשכבתיה דבן מלך</t>
  </si>
  <si>
    <t>אשכבתיה דרבי לוי</t>
  </si>
  <si>
    <t>מכון מעדני השלחן</t>
  </si>
  <si>
    <t>אשכבתיה דרבי מאיר</t>
  </si>
  <si>
    <t>דברי זכרון והספד</t>
  </si>
  <si>
    <t>אשכבתיה דרבי - 2 כר'</t>
  </si>
  <si>
    <t>דברי הספד על מרן הקהילות יעקב</t>
  </si>
  <si>
    <t>הכהן, רחמים חי חויתה בן חנינא</t>
  </si>
  <si>
    <t>ברכיה</t>
  </si>
  <si>
    <t>אשכבתיה דרבינו</t>
  </si>
  <si>
    <t>אברהמס, אריה ליב בן אברהם (עליו)</t>
  </si>
  <si>
    <t>אשכול הכופר - 2 כר'</t>
  </si>
  <si>
    <t>סבע, אברהם בן יעקב</t>
  </si>
  <si>
    <t>אשכול הסופר</t>
  </si>
  <si>
    <t>סופר, חיים בן מרדכי אפרים פישל</t>
  </si>
  <si>
    <t>אשכול יוסף - 3 כר'</t>
  </si>
  <si>
    <t>סימן טוב, יוסף חי</t>
  </si>
  <si>
    <t>אשכול ענבים</t>
  </si>
  <si>
    <t>כ"ץ, שאול בן יחזקאל הכהן</t>
  </si>
  <si>
    <t>אשכול ענבים - תענית</t>
  </si>
  <si>
    <t>אשכולות תמר</t>
  </si>
  <si>
    <t>תמר, דוד</t>
  </si>
  <si>
    <t>אשכל הכפר - 2 כר'</t>
  </si>
  <si>
    <t>ריך, שמואל יצחק</t>
  </si>
  <si>
    <t>אשכלות הגפן</t>
  </si>
  <si>
    <t>הגר, יקותיאל זלמן</t>
  </si>
  <si>
    <t>לאנדמאן, מנחם מנדל בן צבי הירש</t>
  </si>
  <si>
    <t>תר"ע הק'</t>
  </si>
  <si>
    <t>אשל אברהם &lt;ברכת אברהם&gt;</t>
  </si>
  <si>
    <t>אשל אברהם עם ליקוטי צבי - 4 כר'</t>
  </si>
  <si>
    <t>פריעדמאן, שלמה מאיר</t>
  </si>
  <si>
    <t>אשל אברהם</t>
  </si>
  <si>
    <t>אויסשפיץ, אברהם יצחק בן אשר אנשל</t>
  </si>
  <si>
    <t>דש Dej</t>
  </si>
  <si>
    <t>חסידות, תנ"ך, תפלות בקשות פיוטים ושירה</t>
  </si>
  <si>
    <t>אשכנזי, מרדכי בן יהודה ליב</t>
  </si>
  <si>
    <t>תס"א</t>
  </si>
  <si>
    <t>בליקשטיין, יונה</t>
  </si>
  <si>
    <t>בן חנין, יהודה</t>
  </si>
  <si>
    <t>ברודא, אברהם בן שאול</t>
  </si>
  <si>
    <t>אשל אברהם - 3 כר'</t>
  </si>
  <si>
    <t>חיות, אפרים בן אברהם</t>
  </si>
  <si>
    <t>אשל אברהם - 28 כר'</t>
  </si>
  <si>
    <t>לאם, אברהם שמואל אלתר בן יוסף</t>
  </si>
  <si>
    <t>אשל אברהם - 10 כר'</t>
  </si>
  <si>
    <t>ליפשיץ, אברהם שמעון בן גרשון יוסף</t>
  </si>
  <si>
    <t>אשל אברהם - שבת קודש</t>
  </si>
  <si>
    <t>לנדא, אברהם אביגדור נחום בן יעקב יצחק דן</t>
  </si>
  <si>
    <t>ניימארק, אברהם יעקב בן אליהו יהושע</t>
  </si>
  <si>
    <t>ספר זכרון לרבי אברהם שפירא</t>
  </si>
  <si>
    <t>אשל ברמה - 2 כר'</t>
  </si>
  <si>
    <t>סילבר, שמואל אברהם בן יצחק אייזיק</t>
  </si>
  <si>
    <t>אשל ברמה</t>
  </si>
  <si>
    <t>סמולינסקי, אפרים בן צבי הירש הלוי</t>
  </si>
  <si>
    <t>אשל הגדולים</t>
  </si>
  <si>
    <t>גארטינהויז, אלעזר אליעזר ליפא בן צבי</t>
  </si>
  <si>
    <t>אשל חיים</t>
  </si>
  <si>
    <t>באלאיטי, חיים אפרים בן אברהם</t>
  </si>
  <si>
    <t>טורנוב (צ'כוסלובקיה)</t>
  </si>
  <si>
    <t>אשל מגדנות</t>
  </si>
  <si>
    <t>אשל נתן</t>
  </si>
  <si>
    <t>אשלם תודה לך - 2 כר'</t>
  </si>
  <si>
    <t>וזאן, יוסף</t>
  </si>
  <si>
    <t>תלמוד בבלי, תלמוד בבלי, תלמוד בבלי, תנ"ך</t>
  </si>
  <si>
    <t>אשמורת הבקר</t>
  </si>
  <si>
    <t>תפילות. סליחות. אשמורת הבוקר. שפ"ד</t>
  </si>
  <si>
    <t>שפ"ד</t>
  </si>
  <si>
    <t>אשמורת הלילה - ברכות</t>
  </si>
  <si>
    <t>גתי, יזהר</t>
  </si>
  <si>
    <t>דרושים, שלחן ערוך ומפרשיו, תלמוד בבלי</t>
  </si>
  <si>
    <t>אשמח בהשם</t>
  </si>
  <si>
    <t>אשמח בהשם - הבית היהודי</t>
  </si>
  <si>
    <t>מוגרבי, יוסף</t>
  </si>
  <si>
    <t>אשמח בציון</t>
  </si>
  <si>
    <t>ביטון, עמרם</t>
  </si>
  <si>
    <t>אשמרה חוקיך</t>
  </si>
  <si>
    <t>אשכנזי, מרדכי בן אברהם</t>
  </si>
  <si>
    <t>אשמרה לפי - 2 כר'</t>
  </si>
  <si>
    <t>אשמרה שבת - 2 כר'</t>
  </si>
  <si>
    <t>לייפניקר, דוד יחיאל</t>
  </si>
  <si>
    <t>אשמרנה בכל לב</t>
  </si>
  <si>
    <t>אשנב ליהדות</t>
  </si>
  <si>
    <t>אורטנר, נתן יהודה בן אלטר משה שמואל</t>
  </si>
  <si>
    <t>מחשבה ומוסר, מחשבה ומוסר, נושאים שונים</t>
  </si>
  <si>
    <t>אשפוך את לבי</t>
  </si>
  <si>
    <t>שטרנהארץ, נתן בן נפתלי הירץ (על פיו)</t>
  </si>
  <si>
    <t>אשפרת בטון בשבת</t>
  </si>
  <si>
    <t>מכון מדעי טכנולוגי לבעיות הלכה</t>
  </si>
  <si>
    <t>אשקך מיין - 3 כר'</t>
  </si>
  <si>
    <t>הכהן, ירמיה</t>
  </si>
  <si>
    <t>אשר בדברו</t>
  </si>
  <si>
    <t>פורת, אשר ברוך</t>
  </si>
  <si>
    <t>אשר בחר בנו</t>
  </si>
  <si>
    <t>גוטמן, ה, ד.</t>
  </si>
  <si>
    <t>אשר בנחל - 118 כר'</t>
  </si>
  <si>
    <t>אשר החזקתי בימינו</t>
  </si>
  <si>
    <t>אשר החלו לעשות</t>
  </si>
  <si>
    <t>פטרפרוינד, מרדכי הלוי</t>
  </si>
  <si>
    <t>אשר חנן</t>
  </si>
  <si>
    <t>אדלר, אלחנן אשר הכהן</t>
  </si>
  <si>
    <t>אשר חנן - 6 כר'</t>
  </si>
  <si>
    <t>אשר חנן - גיטין קידושין</t>
  </si>
  <si>
    <t>פולד, אלחנן מנשה בן אברהם הלוי</t>
  </si>
  <si>
    <t>אשר יבחר</t>
  </si>
  <si>
    <t>שורקין, יעקב משה</t>
  </si>
  <si>
    <t>אשר יצוה - חינוך</t>
  </si>
  <si>
    <t>קייזר, ארז שלמה</t>
  </si>
  <si>
    <t>אשר לאברהם</t>
  </si>
  <si>
    <t>פונטרימולי, אברהם בן חיים בנימין</t>
  </si>
  <si>
    <t>הלכה ומנהג, מועדי ישראל, משנה, תנ"ך</t>
  </si>
  <si>
    <t>אשר לדוד</t>
  </si>
  <si>
    <t>ביטון, דוד איתמר</t>
  </si>
  <si>
    <t>מועטי, דוד בן שמואל</t>
  </si>
  <si>
    <t>מועדי ישראל, שלחן ערוך ומפרשיו</t>
  </si>
  <si>
    <t>אשר ליהודה</t>
  </si>
  <si>
    <t>שטרסברג, אשר</t>
  </si>
  <si>
    <t>אשר למלך - 4 כר'</t>
  </si>
  <si>
    <t>פויכטוונגר, אשר</t>
  </si>
  <si>
    <t>אשר לשלמה</t>
  </si>
  <si>
    <t>אבן-דאנאן, שלמה בן משה</t>
  </si>
  <si>
    <t>אשר לשלמה - 16 כר'</t>
  </si>
  <si>
    <t>ברמן, מרדכי שלמה</t>
  </si>
  <si>
    <t>אשר לשלמה - שיר השירים, משלי, קהלת</t>
  </si>
  <si>
    <t>זשימני, חיים שלמה בן שאול זאב</t>
  </si>
  <si>
    <t>ילוז, שלמה בן דוד</t>
  </si>
  <si>
    <t>יפה, שלמה בן יעקב</t>
  </si>
  <si>
    <t>נוקריאן, שלמה בן שאול</t>
  </si>
  <si>
    <t>אשר לשלמה - חולין</t>
  </si>
  <si>
    <t>סויסה, אוריאל</t>
  </si>
  <si>
    <t>אשר לשמואל</t>
  </si>
  <si>
    <t>לינצר, שמואל אשר</t>
  </si>
  <si>
    <t>אשר על הפרשה - 5 כר'</t>
  </si>
  <si>
    <t>גרוזמן, אשר בן מאיר צבי</t>
  </si>
  <si>
    <t>אשר צפנת</t>
  </si>
  <si>
    <t>עמית, שגיב</t>
  </si>
  <si>
    <t>אשר קדשנו במצותיו</t>
  </si>
  <si>
    <t>אשר קדשנו</t>
  </si>
  <si>
    <t>אשרי האיש</t>
  </si>
  <si>
    <t>אשרי האיש - 2 כר'</t>
  </si>
  <si>
    <t>אזולאי, אושרי</t>
  </si>
  <si>
    <t>ארקוביץ, יעקב אשר</t>
  </si>
  <si>
    <t>הלכה ומנהג, מחשבה ומוסר, תולדות עם ישראל</t>
  </si>
  <si>
    <t>אשרי לב</t>
  </si>
  <si>
    <t>ברגר, אשר לעמיל</t>
  </si>
  <si>
    <t>אשרי מי שגדל בתורה - 2 כר'</t>
  </si>
  <si>
    <t>אשרי משכיל - 2 כר'</t>
  </si>
  <si>
    <t>יצחקוב, אסי</t>
  </si>
  <si>
    <t>יפו</t>
  </si>
  <si>
    <t>אשרי תמימי דרך</t>
  </si>
  <si>
    <t>עובדיה, אברהם בן יצחק הלוי (אודותיו)</t>
  </si>
  <si>
    <t>אשריך ישראל</t>
  </si>
  <si>
    <t>פלמן, יום טוב לימפמן</t>
  </si>
  <si>
    <t>אשריכם ישראל</t>
  </si>
  <si>
    <t>יפה, יוסף בן פישל דב</t>
  </si>
  <si>
    <t>צאנז בני ברק</t>
  </si>
  <si>
    <t>אשת חיל</t>
  </si>
  <si>
    <t>אבושכילא, אליהו</t>
  </si>
  <si>
    <t>אבינר, שלמה חיים הכהן</t>
  </si>
  <si>
    <t>לזכר הרבנית מאלכסנדר</t>
  </si>
  <si>
    <t>מינקוביץ, מינה</t>
  </si>
  <si>
    <t>מנדלסון, שרה</t>
  </si>
  <si>
    <t>עטיה, יצחק בן ישעיה</t>
  </si>
  <si>
    <t>פולק, עזרא</t>
  </si>
  <si>
    <t>פרבר, צבי הירש בן שמעון יהודה ליב</t>
  </si>
  <si>
    <t>אשת חיל - 3 כר'</t>
  </si>
  <si>
    <t>אשת לפידות</t>
  </si>
  <si>
    <t>ברניג, אביעזר בן שמשון</t>
  </si>
  <si>
    <t>את אברהם אזכר - דן אנכי - האור כי טוב</t>
  </si>
  <si>
    <t>את אחי אנכי מבקש</t>
  </si>
  <si>
    <t>וויינברג, יחיאל יעקב בן משה</t>
  </si>
  <si>
    <t>את הנרות - א</t>
  </si>
  <si>
    <t>קנאפפלער, יצחק נפתלי</t>
  </si>
  <si>
    <t>את השמים</t>
  </si>
  <si>
    <t>את צנועים חכמה - 5 כר'</t>
  </si>
  <si>
    <t>הבר, שמואל יעקב הלוי</t>
  </si>
  <si>
    <t>קרני שומרון</t>
  </si>
  <si>
    <t>אתא בקר וגם לילה</t>
  </si>
  <si>
    <t>פדווא, חנוך דוב</t>
  </si>
  <si>
    <t>אתה בחרתנו - 4 כר'</t>
  </si>
  <si>
    <t>אתה יצרת - 2 כר'</t>
  </si>
  <si>
    <t>בן פורת, אליעזר בן יוסף צבי הכהן</t>
  </si>
  <si>
    <t>אתה נגלית</t>
  </si>
  <si>
    <t>גינזבורג, חיים ירוחם בן אפרים מרדכי</t>
  </si>
  <si>
    <t>אתהלך לפני ה'</t>
  </si>
  <si>
    <t>לייכטונג, דוד בן מנחם (אודותיו)</t>
  </si>
  <si>
    <t>אתוון דאורייתא &lt;עסק אתוותא - יוסף אומץ&gt;</t>
  </si>
  <si>
    <t>אתוון דאורייתא - 3 כר'</t>
  </si>
  <si>
    <t>אתם קשות</t>
  </si>
  <si>
    <t>אלבעלי, יהודה בן חיים</t>
  </si>
  <si>
    <t>אתקינו סעודתא - 6 כר'</t>
  </si>
  <si>
    <t>פלשניצקי, אריה בן יוסף הכהן</t>
  </si>
  <si>
    <t>אתר ואתר</t>
  </si>
  <si>
    <t>אתרא קדישא</t>
  </si>
  <si>
    <t>רושנרוז, ליאור</t>
  </si>
  <si>
    <t>אתרוג למינו - 2 כר'</t>
  </si>
  <si>
    <t>אתרים קדושים בארץ ישראל</t>
  </si>
  <si>
    <t>וייס, שרגא</t>
  </si>
  <si>
    <t>בא גד לפניני הגרא"ק - סנהדרין ב</t>
  </si>
  <si>
    <t>קראל, אברהם - בא-גד, יוסף</t>
  </si>
  <si>
    <t>בא ישועה ונחמה - 2 כר'</t>
  </si>
  <si>
    <t>ישעיה בן צבי הירש סג"ל</t>
  </si>
  <si>
    <t>וילהרמסדורף Wilherms</t>
  </si>
  <si>
    <t>בא"ר התורה</t>
  </si>
  <si>
    <t>מאסף שיעורים</t>
  </si>
  <si>
    <t>באהבתה תשגה תמיד</t>
  </si>
  <si>
    <t>באהל יצחק</t>
  </si>
  <si>
    <t>פקשר, משה הכהן</t>
  </si>
  <si>
    <t>באהל - 3 כר'</t>
  </si>
  <si>
    <t>כפיר, אלקנה (עורך)</t>
  </si>
  <si>
    <t>באהלה של תורה - ו</t>
  </si>
  <si>
    <t>אריאל, יעקב</t>
  </si>
  <si>
    <t>שבי דרום</t>
  </si>
  <si>
    <t>באהלי יוסף - הלכות שבת</t>
  </si>
  <si>
    <t>גרינוואלד, יוסף בן יעקב יחזקיהו</t>
  </si>
  <si>
    <t>באהלי יעקב</t>
  </si>
  <si>
    <t>אסף, שמחה בן יהודה זאב</t>
  </si>
  <si>
    <t>באהלי ספר</t>
  </si>
  <si>
    <t>יערי, אברהם בן חיים יוסף</t>
  </si>
  <si>
    <t>באהלי צדיקים - 4 כר'</t>
  </si>
  <si>
    <t>זרי, משה הלל בן דוד</t>
  </si>
  <si>
    <t>באהלי צדיקים</t>
  </si>
  <si>
    <t>מוסדות נדבורנה</t>
  </si>
  <si>
    <t>באהלי שם</t>
  </si>
  <si>
    <t>רוזן, דב</t>
  </si>
  <si>
    <t>באהלי תורה - 2 כר'</t>
  </si>
  <si>
    <t>באהלי תימן</t>
  </si>
  <si>
    <t>צדוק, חיים בן עזרי</t>
  </si>
  <si>
    <t>באופן מיוחד</t>
  </si>
  <si>
    <t>מכון אם בישראל</t>
  </si>
  <si>
    <t>באוצר חיים - 9 כר'</t>
  </si>
  <si>
    <t>בחצרות החיים - צאנז</t>
  </si>
  <si>
    <t>באור אש</t>
  </si>
  <si>
    <t>באור אש - 2 כר'</t>
  </si>
  <si>
    <t>שרעבי, אלישע</t>
  </si>
  <si>
    <t>באור ה'</t>
  </si>
  <si>
    <t>באור החיים</t>
  </si>
  <si>
    <t>ערלאנגאר, חיים אריה בן שמשון רפאל</t>
  </si>
  <si>
    <t>באור השם</t>
  </si>
  <si>
    <t>באור התורה - 6 כר'</t>
  </si>
  <si>
    <t>בטאון</t>
  </si>
  <si>
    <t>באור והסברה בענין העקדה</t>
  </si>
  <si>
    <t>וולפא, אליעזר בן חיים</t>
  </si>
  <si>
    <t>[ירושלים],</t>
  </si>
  <si>
    <t>באור ומדרש תורה - ב</t>
  </si>
  <si>
    <t>באור לספר מורה נבוכים</t>
  </si>
  <si>
    <t>משה בן יהושע נארבוני</t>
  </si>
  <si>
    <t>באור מלאכת ההגיון</t>
  </si>
  <si>
    <t>באור מלות ההגיון - 2 כר'</t>
  </si>
  <si>
    <t>באור ספר קהלת - 2 כר'</t>
  </si>
  <si>
    <t>גאליקו, אלישע בן גבריאל</t>
  </si>
  <si>
    <t>של"ח</t>
  </si>
  <si>
    <t>באור סתומות ברש"י - 6 כר'</t>
  </si>
  <si>
    <t>דורון, פנחס</t>
  </si>
  <si>
    <t>באור על ספר שמות &lt;ראב"ע&gt;</t>
  </si>
  <si>
    <t>באור על רש"י &lt;ספר נחמד ובאור יפה&gt;</t>
  </si>
  <si>
    <t>יוסף בן משה מקרמניץ</t>
  </si>
  <si>
    <t>שע"ה</t>
  </si>
  <si>
    <t>באור פני מלך</t>
  </si>
  <si>
    <t>באור פניך - 2 כר'</t>
  </si>
  <si>
    <t>גולדברג, ישראל בן ניסן</t>
  </si>
  <si>
    <t>באור פניך</t>
  </si>
  <si>
    <t>וויינפלד, יחזקאל שרגא בן אברהם</t>
  </si>
  <si>
    <t>באור פניך - ירח האיתנים</t>
  </si>
  <si>
    <t>ויינפלד, יחזקאל שרגא בן אברהם</t>
  </si>
  <si>
    <t>סבתו, חיים</t>
  </si>
  <si>
    <t>באור ר"מ קזיס על מסכת מדות &lt;חנוכת הבית&gt;</t>
  </si>
  <si>
    <t>קזיס, משה - אשכנזי, מלכיאל</t>
  </si>
  <si>
    <t>באור שמות הנרדפים שבתנ"ך</t>
  </si>
  <si>
    <t>באורה של תפילה</t>
  </si>
  <si>
    <t>ארגון בני אמונים</t>
  </si>
  <si>
    <t>באורו של חמה</t>
  </si>
  <si>
    <t>באורח משפט</t>
  </si>
  <si>
    <t>אויערבאך, צבי בן שמחה בונם</t>
  </si>
  <si>
    <t>באורח צדיקים - גלות וגאולה</t>
  </si>
  <si>
    <t>חומת יהדות אירופה</t>
  </si>
  <si>
    <t>באורח צדקה</t>
  </si>
  <si>
    <t>פיינהנדלר, יחזקאל בן ישראל פסח</t>
  </si>
  <si>
    <t>באורי אש</t>
  </si>
  <si>
    <t>שוורץ, שמעון אריאל בן אפרים שרגא הכהן</t>
  </si>
  <si>
    <t>רמת השרון</t>
  </si>
  <si>
    <t>באורי המינים</t>
  </si>
  <si>
    <t>שלזינגר, אליהו</t>
  </si>
  <si>
    <t>באורי ענינים בהלכות ד' מינים</t>
  </si>
  <si>
    <t>בויאר, משה חיים</t>
  </si>
  <si>
    <t>באורי ענינים - 21 כר'</t>
  </si>
  <si>
    <t>בויאר, משה חיים בן יואל יהודה</t>
  </si>
  <si>
    <t>באורי ענינים - שבת</t>
  </si>
  <si>
    <t>כולל נועם התורה</t>
  </si>
  <si>
    <t>באורים כבדו ה'</t>
  </si>
  <si>
    <t>ישעיה מנחם מנדל בן יצחק</t>
  </si>
  <si>
    <t>שס"ד</t>
  </si>
  <si>
    <t>באורך נראה אור</t>
  </si>
  <si>
    <t>משפחת פרץ</t>
  </si>
  <si>
    <t>שאליתאל, ר</t>
  </si>
  <si>
    <t>באורך נראה</t>
  </si>
  <si>
    <t>מלול, יצחק</t>
  </si>
  <si>
    <t>באז ישיר</t>
  </si>
  <si>
    <t>גולדבאום, מנחם צבי בן אפרים</t>
  </si>
  <si>
    <t>באחרית הימים</t>
  </si>
  <si>
    <t>טסלר, יעקב בן אלימלך שמשון</t>
  </si>
  <si>
    <t>בריטניה Great Brita</t>
  </si>
  <si>
    <t>באי מועד - פסקי הציץ אליעזר &lt;פסח- בין המצרים&gt;</t>
  </si>
  <si>
    <t>באימה וביראה - 2 כר'</t>
  </si>
  <si>
    <t>באין חזון</t>
  </si>
  <si>
    <t>מונק, שמואל דוד בן רפאל שלום שאול הכהן</t>
  </si>
  <si>
    <t>באמונה שלימה</t>
  </si>
  <si>
    <t>באמונתו יחיה</t>
  </si>
  <si>
    <t>באמונתו יחיה - 21 כר'</t>
  </si>
  <si>
    <t>שטרנברג, מרדכי</t>
  </si>
  <si>
    <t>באמת ובאמונה לעבדך - ב</t>
  </si>
  <si>
    <t>הגר, ישכר דב</t>
  </si>
  <si>
    <t>באספקלריה של תורה</t>
  </si>
  <si>
    <t>מונק, משה</t>
  </si>
  <si>
    <t>ירושליםזהב מש</t>
  </si>
  <si>
    <t>באר אברהם &lt;מהדורה תנינא&gt;</t>
  </si>
  <si>
    <t>וויינברג, אברהם בן יצחק מתתיהו</t>
  </si>
  <si>
    <t>חסידות, מועדי ישראל, נושאים שונים, תנ"ך</t>
  </si>
  <si>
    <t>באר אברהם &lt;עה"ת&gt; - 2 כר'</t>
  </si>
  <si>
    <t>באר אברהם &lt;מכון חת"ס&gt; - 2 כר'</t>
  </si>
  <si>
    <t>משכיל-לאיתן, אברהם בן יהודה ליב</t>
  </si>
  <si>
    <t>באר אברהם</t>
  </si>
  <si>
    <t>אברהם אבלי מדרוהוביץ'</t>
  </si>
  <si>
    <t>אברהם דוב בר בן שלמה</t>
  </si>
  <si>
    <t>אנגלנדר, אברהם בן שלום צבי</t>
  </si>
  <si>
    <t>בכרך, אברהם בן שמואל</t>
  </si>
  <si>
    <t>באר אברהם - 4 כר'</t>
  </si>
  <si>
    <t>בנדיקט, אברהם בן אליהו</t>
  </si>
  <si>
    <t>גראטי, אברהם</t>
  </si>
  <si>
    <t>תס"ח</t>
  </si>
  <si>
    <t>באר אברהם - 2 כר'</t>
  </si>
  <si>
    <t>תרפ"ז - תרפ"ח</t>
  </si>
  <si>
    <t>כהן, אברהם בן צאלח</t>
  </si>
  <si>
    <t>לוי וור, אברהם</t>
  </si>
  <si>
    <t>באר אברהם - עירובין</t>
  </si>
  <si>
    <t>מלריך, אברהם בן משה</t>
  </si>
  <si>
    <t>סאוויץ, אברהם ישעיה</t>
  </si>
  <si>
    <t>באר אברהם - א</t>
  </si>
  <si>
    <t>באר אברהם - 3 כר'</t>
  </si>
  <si>
    <t>קמחי, אברהם</t>
  </si>
  <si>
    <t>רפאפורט, אברהם</t>
  </si>
  <si>
    <t>באר אלחנן</t>
  </si>
  <si>
    <t>באר אליהו על כוונות השבוע</t>
  </si>
  <si>
    <t>עובדיה, אליהו בן נפתלי</t>
  </si>
  <si>
    <t>באר אליהו על תורה לשמה</t>
  </si>
  <si>
    <t>באר אליהו - 10 כר'</t>
  </si>
  <si>
    <t>הילדסהיימר, אליהו בן נפתלי צבי</t>
  </si>
  <si>
    <t>באר אליהו - 3 כר'</t>
  </si>
  <si>
    <t>באר אליהו - 5 כר'</t>
  </si>
  <si>
    <t>באר אליעזר</t>
  </si>
  <si>
    <t>נויזאץ, אליעזר ליפמאן בן מיכאל</t>
  </si>
  <si>
    <t>שימלוי Simleul Silva</t>
  </si>
  <si>
    <t>סופר, אליעזר בן גרונם</t>
  </si>
  <si>
    <t>משנה, שאלות ותשובות, תלמוד בבלי</t>
  </si>
  <si>
    <t>באר בדרך</t>
  </si>
  <si>
    <t>אברדם, יאיר</t>
  </si>
  <si>
    <t>באר בצלאל - 8 כר'</t>
  </si>
  <si>
    <t>אזואלוס, בצלאל בן רפאל</t>
  </si>
  <si>
    <t>באר בשדה</t>
  </si>
  <si>
    <t>דאנון, מאיר בנימין מנחם בן רפאל</t>
  </si>
  <si>
    <t>באר בשדה - 4 כר'</t>
  </si>
  <si>
    <t>כדורי, בועז</t>
  </si>
  <si>
    <t>מובשוביץ, שמואל דוד הלוי</t>
  </si>
  <si>
    <t>באר בשדה - 3 כר'</t>
  </si>
  <si>
    <t>פראנק, ברוך מרדכי בן חיים יהודה ליב</t>
  </si>
  <si>
    <t>קבלן, רפאל משה</t>
  </si>
  <si>
    <t>באר דוד &lt;טקסט&gt;</t>
  </si>
  <si>
    <t>פרנקל, דוד שלמה בן משולם פייש מדעברעצן</t>
  </si>
  <si>
    <t>באר דוד - 7 כר'</t>
  </si>
  <si>
    <t>פרוש, דוד בן אברהם</t>
  </si>
  <si>
    <t>באר דוד</t>
  </si>
  <si>
    <t>באר האבות</t>
  </si>
  <si>
    <t>פרנקל תאומים, מנחם מרדכי</t>
  </si>
  <si>
    <t>באר הגולה &lt;דפו"ר&gt;</t>
  </si>
  <si>
    <t>באר הגולה</t>
  </si>
  <si>
    <t>מינץ Mainz</t>
  </si>
  <si>
    <t>מחשבה ומוסר, נושאים שונים, תלמוד בבלי</t>
  </si>
  <si>
    <t>באר הגולה - בארה של מרים</t>
  </si>
  <si>
    <t>יהודה ליווא בן בצלאל (מהר"ל) מפראג - נויגרשל, מרדכי דוד</t>
  </si>
  <si>
    <t>באר הגולה - 2 כר'</t>
  </si>
  <si>
    <t>דרושים, מחשבה ומוסר, נושאים שונים, תלמוד בבלי</t>
  </si>
  <si>
    <t>באר הדעת - מן הבאר ההיא</t>
  </si>
  <si>
    <t>ישיבת חכמה ודעת</t>
  </si>
  <si>
    <t>באר ההגדה</t>
  </si>
  <si>
    <t>טביוביץ, אהרן משה בן יהודה יוסף</t>
  </si>
  <si>
    <t>באר החושן - 6 כר'</t>
  </si>
  <si>
    <t>קובץ ישיבת באר התלמוד</t>
  </si>
  <si>
    <t>באר החיים</t>
  </si>
  <si>
    <t>אופמן, אברהם חיים בן חנוך העניך</t>
  </si>
  <si>
    <t>באר החיים - 5 כר'</t>
  </si>
  <si>
    <t>בידרמן, אברהם אלימלך בן אלתר אלעזר מנחם</t>
  </si>
  <si>
    <t>באר החיים - 2 כר'</t>
  </si>
  <si>
    <t>זילברברג, יצחק יוסף בן רפאל צבי מאיר</t>
  </si>
  <si>
    <t>ראז, חיים בן אהרן - לנדו, יעקב בן שריה</t>
  </si>
  <si>
    <t>באר החיים - 3 כר'</t>
  </si>
  <si>
    <t>ראז, חיים בן אהרן</t>
  </si>
  <si>
    <t>באר החסידות - 4 כר'</t>
  </si>
  <si>
    <t>שטיינמן, אליעזר בן נתן</t>
  </si>
  <si>
    <t>תשי"א - תשכ"ב</t>
  </si>
  <si>
    <t>באר הטהרה</t>
  </si>
  <si>
    <t>וויס, אליעזר שמחה בן שלמה</t>
  </si>
  <si>
    <t>באר היטב</t>
  </si>
  <si>
    <t>רבינוביץ (הומינר), אריה בן יעקב</t>
  </si>
  <si>
    <t>באר הלוחות</t>
  </si>
  <si>
    <t>אוישפיץ, יעקב</t>
  </si>
  <si>
    <t>אופן Ofen</t>
  </si>
  <si>
    <t>באר המועדים - 2 כר'</t>
  </si>
  <si>
    <t>באר המועדים - אדר ופורים</t>
  </si>
  <si>
    <t>קויתי, אריאל</t>
  </si>
  <si>
    <t>באר המים - 2 כר'</t>
  </si>
  <si>
    <t>תקצ"ו</t>
  </si>
  <si>
    <t>באר המים - ב"ק</t>
  </si>
  <si>
    <t>שגב, אליאב בן רפאל</t>
  </si>
  <si>
    <t>באר המלך - 7 כר'</t>
  </si>
  <si>
    <t>רוזנטאל, אברהם דוד בן חיים שלמה</t>
  </si>
  <si>
    <t>תש"ז - תשל"ז</t>
  </si>
  <si>
    <t>באר המשנה - ביצה</t>
  </si>
  <si>
    <t>שק, יוסף</t>
  </si>
  <si>
    <t>באר הפרשה - ראש השנה</t>
  </si>
  <si>
    <t>בידרמן, אברהם אלימלך</t>
  </si>
  <si>
    <t>חסידות, מועדי ישראל, נושאים שונים</t>
  </si>
  <si>
    <t>באר הפרשה</t>
  </si>
  <si>
    <t>רייזמן, אלכסנדר יהושע השל</t>
  </si>
  <si>
    <t>באר הצבי</t>
  </si>
  <si>
    <t>קאהן, צבי הערשל הכהן</t>
  </si>
  <si>
    <t>באר הריבית</t>
  </si>
  <si>
    <t>גולדשטיין, שלמה</t>
  </si>
  <si>
    <t>באר השמחה &lt;הבאר&gt;</t>
  </si>
  <si>
    <t>קובץ צאנז</t>
  </si>
  <si>
    <t>קבצים וכתבי עת, ספרי זכרון ויובל, תפלות בקשות פיוטים ושירה</t>
  </si>
  <si>
    <t>באר התורה - 6 כר'</t>
  </si>
  <si>
    <t>באר התורה</t>
  </si>
  <si>
    <t>דויטש, דוד מאיר</t>
  </si>
  <si>
    <t>קובץ ישיבת באר התורה</t>
  </si>
  <si>
    <t>שולמן, שמואל ברוך בן מנחם ישראל</t>
  </si>
  <si>
    <t>באר התלמוד - כתובות, בן סורר ומורה</t>
  </si>
  <si>
    <t>חליוה, אברהם בן מרדכי</t>
  </si>
  <si>
    <t>באר זכות</t>
  </si>
  <si>
    <t>סבג, אלדד בן ציון אהרן</t>
  </si>
  <si>
    <t>באר חיים מרדכי - 5 כר'</t>
  </si>
  <si>
    <t>רולר, חיים מרדכי בן יצחק יהודה אייזיק ליב</t>
  </si>
  <si>
    <t>תרפ"ד - תרצ"ו</t>
  </si>
  <si>
    <t>באר חיים</t>
  </si>
  <si>
    <t>ברקוביץ, חיים בן אלחנן</t>
  </si>
  <si>
    <t>באר חיים - 4 כר'</t>
  </si>
  <si>
    <t>כהנא, חיים אריה</t>
  </si>
  <si>
    <t>דרושים, מועדי ישראל, מועדי ישראל, תנ"ך</t>
  </si>
  <si>
    <t>מליניק, חיים טוביה בן אלכסנדר סנדר</t>
  </si>
  <si>
    <t>שאלות ותשובות, תלמוד בבלי, תלמוד ירושלמי</t>
  </si>
  <si>
    <t>באר חיים - 5 כר'</t>
  </si>
  <si>
    <t>עדס, אברהם חיים בן יהודה</t>
  </si>
  <si>
    <t>ראזין, חיים בן משה</t>
  </si>
  <si>
    <t>באר חיים - שו"ת</t>
  </si>
  <si>
    <t>רויטמן, חיים יחיאל</t>
  </si>
  <si>
    <t>באר חן</t>
  </si>
  <si>
    <t>באר חנוך - 6 כר'</t>
  </si>
  <si>
    <t>פיעטרקובסקי, אברהם חנוך העניך</t>
  </si>
  <si>
    <t>באר חפרוה שרים</t>
  </si>
  <si>
    <t>באר טוב</t>
  </si>
  <si>
    <t>דוב בר בן אורי שרגא פייבל</t>
  </si>
  <si>
    <t>באר יהודה - 2 כר'</t>
  </si>
  <si>
    <t>שלוזאוור, אברהם בן יהודה</t>
  </si>
  <si>
    <t>תרמ"ה - תרס"ה</t>
  </si>
  <si>
    <t>באר יוחנן - על עניני ברכת הנהנין</t>
  </si>
  <si>
    <t>קובץ חסידות</t>
  </si>
  <si>
    <t>באר יוסף &lt;מהדורה חדשה&gt; - 2 כר'</t>
  </si>
  <si>
    <t>סלנט, יוסף צבי בן יעקב יהודה</t>
  </si>
  <si>
    <t>באר יוסף צבי - 2 כר'</t>
  </si>
  <si>
    <t>באר יוסף - קובץ</t>
  </si>
  <si>
    <t>כולל באר יוסף</t>
  </si>
  <si>
    <t>באר יוסף - 4 כר'</t>
  </si>
  <si>
    <t>באר יוסף</t>
  </si>
  <si>
    <t>קובץ חידושי תורה, כולל להוראה באר יוסף</t>
  </si>
  <si>
    <t>באר יעקב - 2 כר'</t>
  </si>
  <si>
    <t>אריאלי, חיים יעקב בן יצחק</t>
  </si>
  <si>
    <t>ברלין, יעקב (יאקב) בן אברהם</t>
  </si>
  <si>
    <t>ווילנציק, יעקב בן דוד</t>
  </si>
  <si>
    <t>יעקב, יעקב בן יצחק</t>
  </si>
  <si>
    <t>מנשה, יעקב בן מנשה</t>
  </si>
  <si>
    <t>באר יעקב - א</t>
  </si>
  <si>
    <t>קאנטור, יעקב דוב בן ברוך שרגא</t>
  </si>
  <si>
    <t>תשי"ט - תשכ"ב</t>
  </si>
  <si>
    <t>רבינוביץ, שמואל יעקב בן יששכר בער</t>
  </si>
  <si>
    <t>באר יצחק</t>
  </si>
  <si>
    <t>אבן שאנג'י, יצחק בן אליהו</t>
  </si>
  <si>
    <t>תצ"ה</t>
  </si>
  <si>
    <t>אייזנבאך, שלום ליב בן אברהם</t>
  </si>
  <si>
    <t>אליאסשטאם, יצחק בן מרדכי</t>
  </si>
  <si>
    <t>באר יצחק - ביצה</t>
  </si>
  <si>
    <t>באקשט, ישעיהו (עורך)</t>
  </si>
  <si>
    <t>באר יצחק - 2 כר'</t>
  </si>
  <si>
    <t>ביליצר, יצחק אייזיק בן פינחס הלוי</t>
  </si>
  <si>
    <t>ברנר, יצחק בן משה חיים</t>
  </si>
  <si>
    <t>באר יצחק - 4 כר'</t>
  </si>
  <si>
    <t>גולדשמיד, יצחק בן ירחמיאל הכהן</t>
  </si>
  <si>
    <t>באר יצחק - 3 כר'</t>
  </si>
  <si>
    <t>גליק, אברהם יצחק בן שמאי</t>
  </si>
  <si>
    <t>תרס"ט - תר"ע</t>
  </si>
  <si>
    <t>טולצ'וה Tolcsva</t>
  </si>
  <si>
    <t>הורוויץ, יצחק יעקב בן חיים אריה</t>
  </si>
  <si>
    <t>טיקטינסקי, יצחק יעקב בן משה מנחם</t>
  </si>
  <si>
    <t>באר יצחק - 5 כר'</t>
  </si>
  <si>
    <t>יצחק מאליק</t>
  </si>
  <si>
    <t>תרמ"ד - תרמ"ה</t>
  </si>
  <si>
    <t>משנה, תנ"ך</t>
  </si>
  <si>
    <t>באר יצחק - קרבן פסח</t>
  </si>
  <si>
    <t>מאטצען, ישראל משה בן יצחק</t>
  </si>
  <si>
    <t>מאסף לתורה וחסידות</t>
  </si>
  <si>
    <t>באר יצחק - גיטין</t>
  </si>
  <si>
    <t>מיג'אן, יוחנן יצחק בן שמעון</t>
  </si>
  <si>
    <t>מיס, יצחק אייזק</t>
  </si>
  <si>
    <t>תפ"ט</t>
  </si>
  <si>
    <t>מלק, יצחק</t>
  </si>
  <si>
    <t>סבאג, יצחק בן ראובן</t>
  </si>
  <si>
    <t>סופר, ראובן ניסים בן יצחק שלום</t>
  </si>
  <si>
    <t>קובץ - כולל באר יצחק</t>
  </si>
  <si>
    <t>רולר, יצחק יהודה אייזיק ליב בן שמשון</t>
  </si>
  <si>
    <t>מועדי ישראל, שלחן ערוך ומפרשיו, תלמוד בבלי, תנ"ך</t>
  </si>
  <si>
    <t>שווארץ, יצחק אייזיק</t>
  </si>
  <si>
    <t>הלכה ומנהג, מחשבה ומוסר, משנה, שאלות ותשובות, תלמוד בבלי, תנ"ך</t>
  </si>
  <si>
    <t>באר ישראל - 2 כר'</t>
  </si>
  <si>
    <t>אליאך, ישראל יצחק בן פנחס יחיאל</t>
  </si>
  <si>
    <t>באר ישראל - 5 כר'</t>
  </si>
  <si>
    <t>ישראלזון, אברהם צבי</t>
  </si>
  <si>
    <t>באר ישראל</t>
  </si>
  <si>
    <t>פראנקפורטר, ישראל בן דוד</t>
  </si>
  <si>
    <t>באר לחי ראי - 2 כר'</t>
  </si>
  <si>
    <t>ווין</t>
  </si>
  <si>
    <t>באר לחי ראי - 6 כר'</t>
  </si>
  <si>
    <t>סרנא, יעקב חיים בן יחזקאל</t>
  </si>
  <si>
    <t>באר לחי רואי</t>
  </si>
  <si>
    <t>עמר, יוחאי בן שלמה</t>
  </si>
  <si>
    <t>באר לחי</t>
  </si>
  <si>
    <t>אשרי, חיים יחיאל בן יצחק מרדכי</t>
  </si>
  <si>
    <t>מוסקוביץ, יוסף חיים בן יחיאל מיכל</t>
  </si>
  <si>
    <t>באר לחי - 2 כר'</t>
  </si>
  <si>
    <t>מימון, חי בן יעקב</t>
  </si>
  <si>
    <t>דרושים, דרושים, משנה, תלמוד בבלי, תנ"ך, תנ"ך</t>
  </si>
  <si>
    <t>באר מגד ירחים</t>
  </si>
  <si>
    <t>קלכהיים, עוזי</t>
  </si>
  <si>
    <t>באר מחוקק - 2 כר'</t>
  </si>
  <si>
    <t>קטץ, חיים מרדכי</t>
  </si>
  <si>
    <t>באר מיכל</t>
  </si>
  <si>
    <t>זקש, יחיאל מיכל בן נפתלי יהודה</t>
  </si>
  <si>
    <t>באר מים חיים &lt;מהדורה חדשה&gt;</t>
  </si>
  <si>
    <t>די אבילה, אליעזר בן שמואל</t>
  </si>
  <si>
    <t>עובדיה, חיים בן יעקב</t>
  </si>
  <si>
    <t>באר מים חיים</t>
  </si>
  <si>
    <t>אשכנזי, יעקב מרדכי בן זכריהו</t>
  </si>
  <si>
    <t>ברגיג, חיים</t>
  </si>
  <si>
    <t>גלפרין, שלמה בן חנוך הנדל</t>
  </si>
  <si>
    <t>הלוי, יצחק בן יעקב</t>
  </si>
  <si>
    <t>ויטאל, שמואל</t>
  </si>
  <si>
    <t>באר מים חיים - בראשית</t>
  </si>
  <si>
    <t>זיס, חיים</t>
  </si>
  <si>
    <t>באר מים חיים - 3 כר'</t>
  </si>
  <si>
    <t>באר מים חיים - 9 כר'</t>
  </si>
  <si>
    <t>זיטאמיר,</t>
  </si>
  <si>
    <t>באר מים חיים - 2 כר'</t>
  </si>
  <si>
    <t>חיים עוזר בן משה הכהן</t>
  </si>
  <si>
    <t>דרושים, נושאים שונים, תנ"ך, תפלות בקשות פיוטים ושירה</t>
  </si>
  <si>
    <t>מוצירי, חיים ניסים רפאל</t>
  </si>
  <si>
    <t>נוסינסון, חיים בן דוד</t>
  </si>
  <si>
    <t>עורך: יהודה שביב</t>
  </si>
  <si>
    <t>באר מים חיים - טבילת כלים</t>
  </si>
  <si>
    <t>שיחות חיזוק מהגר"ח אונגר</t>
  </si>
  <si>
    <t>שפירא, יעקב בן יצחק הכהן</t>
  </si>
  <si>
    <t>[שע"ו,</t>
  </si>
  <si>
    <t>באר מים</t>
  </si>
  <si>
    <t>אברהמסון, יצחק מנחם בן אברהם</t>
  </si>
  <si>
    <t>באר מים - מקוואות</t>
  </si>
  <si>
    <t>אלקיכן, יוסף מאיר בן אפרים הלוי</t>
  </si>
  <si>
    <t>באר מים - 4 כר'</t>
  </si>
  <si>
    <t>בריזמן, דוב אהרן בן משה יוסף</t>
  </si>
  <si>
    <t>באר מים - 2 כר'</t>
  </si>
  <si>
    <t>יוסף משה בן אלקנה, מזלוזיץ</t>
  </si>
  <si>
    <t>מרדכי בן חיים מטיקטין</t>
  </si>
  <si>
    <t>תלמוד בבלי, תנ"ך, תפלות בקשות פיוטים ושירה</t>
  </si>
  <si>
    <t>פסחוביץ, אברהם יוסף פסח</t>
  </si>
  <si>
    <t>שטופל, מיכל דוד בן יוחנן</t>
  </si>
  <si>
    <t>ברלין,</t>
  </si>
  <si>
    <t>באר מלך - 5 כר'</t>
  </si>
  <si>
    <t>באר מנחם - 2 כר'</t>
  </si>
  <si>
    <t>ברודי, מנחם בן אברהם</t>
  </si>
  <si>
    <t>תרצ"ט - תשל"ו</t>
  </si>
  <si>
    <t>נירג'הזה - ניו יורק</t>
  </si>
  <si>
    <t>דרושים, מועדי ישראל, שאלות ותשובות, תלמוד בבלי, תנ"ך</t>
  </si>
  <si>
    <t>באר מרדכי</t>
  </si>
  <si>
    <t>בארג, מרדכי גימפל בן אברהם</t>
  </si>
  <si>
    <t>פארהאנד, מרדכי בן משה</t>
  </si>
  <si>
    <t>גלנטה Galanta</t>
  </si>
  <si>
    <t>באר מרים</t>
  </si>
  <si>
    <t>בנר, אוריאל</t>
  </si>
  <si>
    <t>דרושים, מועדי ישראל, קבצים וכתבי עת, ספרי זכרון ויובל</t>
  </si>
  <si>
    <t>באר מרים - זרעים, טהרות</t>
  </si>
  <si>
    <t>הלר, משה אליעזר</t>
  </si>
  <si>
    <t>וויס, צבי בן דוד</t>
  </si>
  <si>
    <t>באר מרים - 3 כר'</t>
  </si>
  <si>
    <t>מן, דוד יצחק בן מרדכי ליב</t>
  </si>
  <si>
    <t>כפר חסידים</t>
  </si>
  <si>
    <t>עובדיה, משה אליהו בן דוד</t>
  </si>
  <si>
    <t>קונטרס זכרון</t>
  </si>
  <si>
    <t>באר מרים - בפסוקי התורה</t>
  </si>
  <si>
    <t>באר משה א - ב</t>
  </si>
  <si>
    <t>שטיין, משה בן אברהם</t>
  </si>
  <si>
    <t>דרושים, מועדי ישראל, מחשבה ומוסר, תנ"ך</t>
  </si>
  <si>
    <t>באר משה</t>
  </si>
  <si>
    <t>אפל, משה זאב סג"ל</t>
  </si>
  <si>
    <t>באר משה - 13 כר'</t>
  </si>
  <si>
    <t>גרינברגר, משה בן שמחה חיים</t>
  </si>
  <si>
    <t>Michalovce מיהלוביץ</t>
  </si>
  <si>
    <t>באר משה - 3 כר'</t>
  </si>
  <si>
    <t>דאנושבסקי, משה בן אברהם</t>
  </si>
  <si>
    <t>הופשטיין, משה אליקים בריעה בן ישראל</t>
  </si>
  <si>
    <t>יוזפוב Jozefow</t>
  </si>
  <si>
    <t>דרושים, מחשבה ומוסר, נושאים שונים, תנ"ך</t>
  </si>
  <si>
    <t>זילברברג, שמואל משה יהודה בן אפרים שרגא</t>
  </si>
  <si>
    <t>באר משה - קידושין</t>
  </si>
  <si>
    <t>טופיק, משה</t>
  </si>
  <si>
    <t>ירושלימסקי, משה נחום בן בנימין</t>
  </si>
  <si>
    <t>באר משה - ריבית</t>
  </si>
  <si>
    <t>כהן,</t>
  </si>
  <si>
    <t>כרייף, משה</t>
  </si>
  <si>
    <t>מלכה, משה בן יחיאל</t>
  </si>
  <si>
    <t>באר משה - 2 כר'</t>
  </si>
  <si>
    <t>פרנקל, משה בן אברהם</t>
  </si>
  <si>
    <t>תקס"ט אחרי</t>
  </si>
  <si>
    <t>דסאו Dessau</t>
  </si>
  <si>
    <t>באר משה - 11 כר'</t>
  </si>
  <si>
    <t>שטרן, משה בן אברהם</t>
  </si>
  <si>
    <t>שרטל, משה בן יששכר הלוי</t>
  </si>
  <si>
    <t>באר נבונים - 3 כר'</t>
  </si>
  <si>
    <t>שטיינמץ, נחמן יחיאל מיכל</t>
  </si>
  <si>
    <t>באר נפתלי</t>
  </si>
  <si>
    <t>כולל משכן הלוים</t>
  </si>
  <si>
    <t>באר עשק</t>
  </si>
  <si>
    <t>באר, שבתי</t>
  </si>
  <si>
    <t>דוד בן אריה ליב מלידא</t>
  </si>
  <si>
    <t>באר צבי - 2 כר'</t>
  </si>
  <si>
    <t>קינסטליכער, צבי</t>
  </si>
  <si>
    <t>קריזר, צבי בן אברהם אהרן</t>
  </si>
  <si>
    <t>באר צדק - 4 כר'</t>
  </si>
  <si>
    <t>דרבקין, צבי בן אליעזר דן</t>
  </si>
  <si>
    <t>באר ציון - 5 כר'</t>
  </si>
  <si>
    <t>סופר, אליהו ציון בן יצחק שלום</t>
  </si>
  <si>
    <t>באר ציון</t>
  </si>
  <si>
    <t>פאנט, יחזקאל בן יוסף</t>
  </si>
  <si>
    <t>באר ראי - 3 כר'</t>
  </si>
  <si>
    <t>קצנלנבוגן, רפאל אליהו יצחק הלוי</t>
  </si>
  <si>
    <t>באר ראי</t>
  </si>
  <si>
    <t>באר רחובות - 2 כר'</t>
  </si>
  <si>
    <t>אויערבאך, יצחק אייזיק בן ישעיה</t>
  </si>
  <si>
    <t>באר רחובות</t>
  </si>
  <si>
    <t>פאשקס, אהרן אלעזר בן בנימין</t>
  </si>
  <si>
    <t>באר שבע &lt;מהדו"ח&gt;</t>
  </si>
  <si>
    <t>אשכנזי, משה דוד בן אשר אנשיל</t>
  </si>
  <si>
    <t>באר שבע - 2 כר'</t>
  </si>
  <si>
    <t>איילינבורג, יששכר בער בן ישראל ליזר פרנס</t>
  </si>
  <si>
    <t>באר שבע - הרבנית קנייבסקי</t>
  </si>
  <si>
    <t>נייגרשל, מתתיהו בן מתתיהו</t>
  </si>
  <si>
    <t>באר שלמה</t>
  </si>
  <si>
    <t>בארי, שלמה בן אליהו</t>
  </si>
  <si>
    <t>בכרך, רפאל אלחנן</t>
  </si>
  <si>
    <t>באר שלמה - 3 כר'</t>
  </si>
  <si>
    <t>צוקר, שלמה בן אליעזר</t>
  </si>
  <si>
    <t>באר שמואל &lt;סוגיות הש"ס&gt; - ב</t>
  </si>
  <si>
    <t>רוזנברג, שמואל בן ישראל יונה צבי</t>
  </si>
  <si>
    <t>באר שמואל &lt;תורה ומועדים&gt; - 3 כר'</t>
  </si>
  <si>
    <t>באר שמואל - 2 כר'</t>
  </si>
  <si>
    <t>אולמן, אברהם שמואל בנימין</t>
  </si>
  <si>
    <t>באר שמואל - גניבה וגזילה</t>
  </si>
  <si>
    <t>ישועה, שמואל</t>
  </si>
  <si>
    <t>באר שמואל</t>
  </si>
  <si>
    <t>לשמו ולזכרו של מרן החשב סופר</t>
  </si>
  <si>
    <t>באר שמואל - בבא קמא</t>
  </si>
  <si>
    <t>מילר, שמואל הכהן</t>
  </si>
  <si>
    <t>באר שמואל - מועדים</t>
  </si>
  <si>
    <t>קרלבך, שמואל בן נפתלי</t>
  </si>
  <si>
    <t>באר שמחה</t>
  </si>
  <si>
    <t>נויפלד, שמחה בונם בן אהרן</t>
  </si>
  <si>
    <t>באר שמעון - 7 כר'</t>
  </si>
  <si>
    <t>שרייבר, שמעון מנואל</t>
  </si>
  <si>
    <t>ני ו יורק</t>
  </si>
  <si>
    <t>באר שרים &lt;מהדורה חדשה&gt; - 5 כר'</t>
  </si>
  <si>
    <t>יפה שלזינגר, אברהם בן מרדכי</t>
  </si>
  <si>
    <t>באר שרים &lt;מועדי השנה&gt; - 2 כר'</t>
  </si>
  <si>
    <t>באר שרים &lt;על התורה&gt; - 2 כר'</t>
  </si>
  <si>
    <t>באר שרים &lt;שו"ת&gt; - 7 כר'</t>
  </si>
  <si>
    <t>תשס''ג</t>
  </si>
  <si>
    <t>ז'נוה</t>
  </si>
  <si>
    <t>באר שרים &lt;על הרמב"ם&gt; - 4 כר'</t>
  </si>
  <si>
    <t>ליפשיץ, אורן בן רן הלוי</t>
  </si>
  <si>
    <t>באר שרים - 3 כר'</t>
  </si>
  <si>
    <t>ליפשיץ, אהרן בן רן הלוי</t>
  </si>
  <si>
    <t>באר שרים</t>
  </si>
  <si>
    <t>פורילה, ישראל בן אלימלך</t>
  </si>
  <si>
    <t>תש"ז הס'</t>
  </si>
  <si>
    <t>שולמאן, שמריה בן פינחס אליהו</t>
  </si>
  <si>
    <t>בארה שבע</t>
  </si>
  <si>
    <t>לנדאו, ישראל יעקב</t>
  </si>
  <si>
    <t>בארה של מרים א-ב</t>
  </si>
  <si>
    <t>שיק, אשר</t>
  </si>
  <si>
    <t>בארה של מרים - 2 כר'</t>
  </si>
  <si>
    <t>בארה של מרים</t>
  </si>
  <si>
    <t>ספר זכרון  - וינגרוט, אברהם אבא</t>
  </si>
  <si>
    <t>שטיגל, מאיר בן מתתיהו זאב</t>
  </si>
  <si>
    <t>בארו של אברהם - 4 כר'</t>
  </si>
  <si>
    <t>שטרית, אברהם פנחס</t>
  </si>
  <si>
    <t>בארו של יצחק, אוצר ישראל, מאמר זכר צדיק לברכה</t>
  </si>
  <si>
    <t>בארות אברהם - 2 כר'</t>
  </si>
  <si>
    <t>קליין, אברהם צבי בן יוסף</t>
  </si>
  <si>
    <t>בארות המים</t>
  </si>
  <si>
    <t>אבן-שאנג'י, יצחק בן אליהו</t>
  </si>
  <si>
    <t>תקט"ו</t>
  </si>
  <si>
    <t>בארות המים - 2 כר'</t>
  </si>
  <si>
    <t>דרנגר, ישראל משה</t>
  </si>
  <si>
    <t>יצחק בן שמעון שלמה אבד"ק בענדר</t>
  </si>
  <si>
    <t>בארות יצחק וברכה</t>
  </si>
  <si>
    <t>בידני, אהרן גבריאל</t>
  </si>
  <si>
    <t>בארות יצחק</t>
  </si>
  <si>
    <t>בארות יצחק - 5 כר'</t>
  </si>
  <si>
    <t>גרינבוים, יצחק בן נפתלי</t>
  </si>
  <si>
    <t>הכהן, יצחק בן יוסף</t>
  </si>
  <si>
    <t>ואעקנין, יצחק</t>
  </si>
  <si>
    <t>יהוניסבורג</t>
  </si>
  <si>
    <t>בארות יצחק - 2 כר'</t>
  </si>
  <si>
    <t>שלינקה, יעקב יצחק</t>
  </si>
  <si>
    <t>בארות יצחק - 3 כר'</t>
  </si>
  <si>
    <t>שפיצר, צבי יצחק יהודה בן שרגא</t>
  </si>
  <si>
    <t>בארות מים - גיטין</t>
  </si>
  <si>
    <t>דרדק, יעקב לוי שמואל</t>
  </si>
  <si>
    <t>בארות מים - שו"ע יו"ד הלכות מקוואות</t>
  </si>
  <si>
    <t>בארות מים - 6 כר'</t>
  </si>
  <si>
    <t>מישקובסקי, יהושע מאיר</t>
  </si>
  <si>
    <t>בארות נתן</t>
  </si>
  <si>
    <t>רבינוביץ, נתן דוד</t>
  </si>
  <si>
    <t>בארות נתנאל</t>
  </si>
  <si>
    <t>צלמון, נתנאל</t>
  </si>
  <si>
    <t>בארות שלמה - 4 כר'</t>
  </si>
  <si>
    <t>צדוק, שלמה בן אברהם</t>
  </si>
  <si>
    <t>בארחות החיים</t>
  </si>
  <si>
    <t>קצין, שלמה שאול</t>
  </si>
  <si>
    <t>בארת המים &lt;מהדורת שפתי צדיקים&gt;</t>
  </si>
  <si>
    <t>צבי הירש בן יהודה ליב הכהן מרימנוב</t>
  </si>
  <si>
    <t>בארת המים - 2 כר'</t>
  </si>
  <si>
    <t>חסידות, מועדי ישראל, מועדי ישראל, נושאים שונים, שאלות ותשובות, תנ"ך</t>
  </si>
  <si>
    <t>באש ובמים</t>
  </si>
  <si>
    <t>אתרוג, צ.</t>
  </si>
  <si>
    <t>באש ובמים - תולדות מוהרנ"ת</t>
  </si>
  <si>
    <t>קרמר, חיים מנחם</t>
  </si>
  <si>
    <t>באשמורות אהגה</t>
  </si>
  <si>
    <t>הירשלר, יוסף נחמיה</t>
  </si>
  <si>
    <t>באשמורת הבוקר</t>
  </si>
  <si>
    <t>פלדמן, נחום בן מנחם מנדל</t>
  </si>
  <si>
    <t>באשר הוא שם</t>
  </si>
  <si>
    <t>טלז סטון</t>
  </si>
  <si>
    <t>באשר תלך - קורות חייה של הרבנית מרגלית יוסף ע"ה</t>
  </si>
  <si>
    <t>קציר, מ.</t>
  </si>
  <si>
    <t>באתי לארמוני - 6 כר'</t>
  </si>
  <si>
    <t>באתי לגני</t>
  </si>
  <si>
    <t>בבא מאיר - מילי דהספידא</t>
  </si>
  <si>
    <t>בבא סאלי</t>
  </si>
  <si>
    <t>אלפסי, אליהו</t>
  </si>
  <si>
    <t>בבינת הלב</t>
  </si>
  <si>
    <t>מנג'ד שאול בן עזרא</t>
  </si>
  <si>
    <t>בבית גנזי</t>
  </si>
  <si>
    <t>בבית המדרש הישן</t>
  </si>
  <si>
    <t>ריבלין, יוסף יואל בן ראובן</t>
  </si>
  <si>
    <t>תרפ"?</t>
  </si>
  <si>
    <t>בבית העלמין של יהודי שאלוניקי - ב</t>
  </si>
  <si>
    <t>מולכו, מיכאל בן שלמה</t>
  </si>
  <si>
    <t>תרצ"ב - תרצ"ג</t>
  </si>
  <si>
    <t>בביתי ובחומותי</t>
  </si>
  <si>
    <t>וינברגר, אלחנן</t>
  </si>
  <si>
    <t>בבל וחכמיה</t>
  </si>
  <si>
    <t>בבליוגרפיה לאבן גבירול</t>
  </si>
  <si>
    <t>ירדן, דב</t>
  </si>
  <si>
    <t>בבנותינו נלך</t>
  </si>
  <si>
    <t>טלר, שמואל שלמה</t>
  </si>
  <si>
    <t>בבת עינינו - 5 כר'</t>
  </si>
  <si>
    <t>הלוי, אבירן יצחק</t>
  </si>
  <si>
    <t>בגבורות ישע - עירובין</t>
  </si>
  <si>
    <t>אלטמן, גבריאל ישעיהו בן אברהם</t>
  </si>
  <si>
    <t>בגבורות שמונים</t>
  </si>
  <si>
    <t>בגבורת שמנים</t>
  </si>
  <si>
    <t>בגד אהרן</t>
  </si>
  <si>
    <t>ראבין, שמואל אהרן</t>
  </si>
  <si>
    <t>בגד ללבוש</t>
  </si>
  <si>
    <t>זיידמאן, מרדכי בן יהודה דוב</t>
  </si>
  <si>
    <t>בגד תכלת - תורת המלך</t>
  </si>
  <si>
    <t>טנוג'י, דוד חיים יצחק הכהן</t>
  </si>
  <si>
    <t>הלכה ומנהג, נושאים שונים, שלחן ערוך ומפרשיו, תנ"ך</t>
  </si>
  <si>
    <t>בגדי אהרן &lt;מהדורה חדשה&gt;</t>
  </si>
  <si>
    <t>פרץ, אהרן בן אברהם</t>
  </si>
  <si>
    <t>דרושים, קבלה, תנ"ך, תנ"ך</t>
  </si>
  <si>
    <t>בגדי אהרן</t>
  </si>
  <si>
    <t>מועדי ישראל, קבלה, תנ"ך</t>
  </si>
  <si>
    <t>בגדי אהרן - 3 כר'</t>
  </si>
  <si>
    <t>תאומים, אהרן בן משה</t>
  </si>
  <si>
    <t>תע"א</t>
  </si>
  <si>
    <t>בגדי איש</t>
  </si>
  <si>
    <t>שטרוכליץ, יצחק</t>
  </si>
  <si>
    <t>בגדי הבד</t>
  </si>
  <si>
    <t>בגדי הקדש</t>
  </si>
  <si>
    <t>רפאפורט, יוסף משה שמחה בן צבי הירש הכהן</t>
  </si>
  <si>
    <t>בגדי השרד על הגדה של פסח &lt;המבואר&gt;</t>
  </si>
  <si>
    <t>בגדי השרד - 4 כר'</t>
  </si>
  <si>
    <t>בגדי יום טוב</t>
  </si>
  <si>
    <t>בגדי יום טוב - 2 כר'</t>
  </si>
  <si>
    <t>קריספין, יום טוב בן יהושע אברהם</t>
  </si>
  <si>
    <t>תרל"ד - תרמ"ז</t>
  </si>
  <si>
    <t>בגדי ישע &lt;מהדורה חדשה&gt;</t>
  </si>
  <si>
    <t>עטיה, ישעיה בן חיים</t>
  </si>
  <si>
    <t>צדוק רופא הכהן</t>
  </si>
  <si>
    <t>בגדי ישע</t>
  </si>
  <si>
    <t>בן סמחון, אהרן</t>
  </si>
  <si>
    <t>תלמוד בבלי, תפלות בקשות פיוטים ושירה</t>
  </si>
  <si>
    <t>בגדי ישע - 4 כר'</t>
  </si>
  <si>
    <t>ווינר, ישעיהו בן שמחה</t>
  </si>
  <si>
    <t>זרגרי, ישי עמוס בן מתתיהו</t>
  </si>
  <si>
    <t>מועדי ישראל, תנ"ך, תפלות בקשות פיוטים ושירה</t>
  </si>
  <si>
    <t>דרושים, הלכה ומנהג, שאלות ותשובות</t>
  </si>
  <si>
    <t>שמואל בן יוסף הלוי מביאליסטוק</t>
  </si>
  <si>
    <t>בגדי כהונה</t>
  </si>
  <si>
    <t>בלומנטל, ישראל חיים</t>
  </si>
  <si>
    <t>פרחיה, אהרן בן חיים אברהם הכהן</t>
  </si>
  <si>
    <t>שער אריה, אברהם בן דוד</t>
  </si>
  <si>
    <t>בגדי כהן גדול</t>
  </si>
  <si>
    <t>עמאר, אברהם</t>
  </si>
  <si>
    <t>בגדי מרדכי - 2 כר'</t>
  </si>
  <si>
    <t>יפה-שלזינגר, מרדכי יפה</t>
  </si>
  <si>
    <t>דרושים, מועדי ישראל, תנ"ך, תפלות בקשות פיוטים ושירה</t>
  </si>
  <si>
    <t>בגדי קדש</t>
  </si>
  <si>
    <t>אהרן ברכיה בן משה ממודינא</t>
  </si>
  <si>
    <t>תק"ח</t>
  </si>
  <si>
    <t>בגדי קודש אשר לאהרן - 2 כר'</t>
  </si>
  <si>
    <t>בגדי קודש - 6 כר'</t>
  </si>
  <si>
    <t>דרור, שמעון בן אליהו</t>
  </si>
  <si>
    <t>בגדי שרד - 2 כר'</t>
  </si>
  <si>
    <t>בגדי שרד</t>
  </si>
  <si>
    <t>תרצ"ח לפני</t>
  </si>
  <si>
    <t>בגדי שש</t>
  </si>
  <si>
    <t>בוכריץ, רחמים בן משה</t>
  </si>
  <si>
    <t>גבאי, יוסף בן שלום</t>
  </si>
  <si>
    <t>מונק, רפאל שלום שאול בן מאיר הכהן</t>
  </si>
  <si>
    <t>דרושים, דרושים, הלכה ומנהג, מחשבה ומוסר, שאלות ותשובות, תולדות עם ישראל</t>
  </si>
  <si>
    <t>שמאמה, שלמה בן שמואל</t>
  </si>
  <si>
    <t>בגדי תפארתך</t>
  </si>
  <si>
    <t>עסיס, יניב בן יהושע</t>
  </si>
  <si>
    <t>בגיא צלמות</t>
  </si>
  <si>
    <t>אדלר, סיני יצחק בן שמעון הלוי</t>
  </si>
  <si>
    <t>בגיא צלמות - ב</t>
  </si>
  <si>
    <t>פינגולד, יהודה אריה</t>
  </si>
  <si>
    <t>בגידת הזמן</t>
  </si>
  <si>
    <t>מתתיה</t>
  </si>
  <si>
    <t>שס"ט</t>
  </si>
  <si>
    <t>בגילופין</t>
  </si>
  <si>
    <t>שפטמן, יהושע</t>
  </si>
  <si>
    <t>בגלל אבות</t>
  </si>
  <si>
    <t>ראבינאוויטש, אלעזר בן שמחה</t>
  </si>
  <si>
    <t>בגני רזים</t>
  </si>
  <si>
    <t>לינוביץ, זאב</t>
  </si>
  <si>
    <t>Warszawa )</t>
  </si>
  <si>
    <t>בד דוד</t>
  </si>
  <si>
    <t>אדרעי, דוד חי</t>
  </si>
  <si>
    <t>צפת Safed</t>
  </si>
  <si>
    <t>בד קודש (מועדים)</t>
  </si>
  <si>
    <t>פוברסקי, ברוך דוב בן דוד</t>
  </si>
  <si>
    <t>הלכה ומנהג, מועדי ישראל, תנ"ך, תפלות בקשות פיוטים ושירה</t>
  </si>
  <si>
    <t>בד קודש (תורה) - 2 כר'</t>
  </si>
  <si>
    <t>בד קודש (תנ"ך) - 2 כר'</t>
  </si>
  <si>
    <t>בד קודש - 14 כר'</t>
  </si>
  <si>
    <t>בד קודש</t>
  </si>
  <si>
    <t>רובין, ברוך דוד בן יצחק אייזיק</t>
  </si>
  <si>
    <t>בדד ינחנו - מעלת ההתבודדות</t>
  </si>
  <si>
    <t>אסייג, יהודה</t>
  </si>
  <si>
    <t>בדד</t>
  </si>
  <si>
    <t>אגודת חכמי סלוויטא</t>
  </si>
  <si>
    <t>בדור יורד</t>
  </si>
  <si>
    <t>העדה הספרדית בירושלים</t>
  </si>
  <si>
    <t>בדור תהפוכות</t>
  </si>
  <si>
    <t>זוננפלד, שלמה זלמן</t>
  </si>
  <si>
    <t>בדי אהרן - חולין</t>
  </si>
  <si>
    <t>דייטש, אהרן בן עמרם יוסף</t>
  </si>
  <si>
    <t>בדי אהרן - ביצה</t>
  </si>
  <si>
    <t>בדי האילן - 2 כר'</t>
  </si>
  <si>
    <t>גיא, יצחק עמנואל בן דוד</t>
  </si>
  <si>
    <t>בדי הארון ומגדל חננאל</t>
  </si>
  <si>
    <t>שם טוב בן אברהם גאון</t>
  </si>
  <si>
    <t>הלכה ומנהג, קבלה</t>
  </si>
  <si>
    <t>בדי הארון</t>
  </si>
  <si>
    <t>הכהן, רא"ם</t>
  </si>
  <si>
    <t>בדי הארון - 3 כר'</t>
  </si>
  <si>
    <t>זלזניק, דב אהרן בן אברהם יעקב</t>
  </si>
  <si>
    <t>בדי הארון - בראשית</t>
  </si>
  <si>
    <t>פראנד, יהודא לייבוש</t>
  </si>
  <si>
    <t>קסלר, אהרן בן מאיר</t>
  </si>
  <si>
    <t>בדי השלחן</t>
  </si>
  <si>
    <t>בן דוד, יהודה לביא בן דרור</t>
  </si>
  <si>
    <t>בדי משה - 2 כר'</t>
  </si>
  <si>
    <t>ווילגער, משה בן דוד יהודה לייבל</t>
  </si>
  <si>
    <t>בדיבוק חברים - 4 כר'</t>
  </si>
  <si>
    <t>ישיבת צאנז נתניה</t>
  </si>
  <si>
    <t>בדידי הוי עובדא</t>
  </si>
  <si>
    <t>בדיני כלי שמלאכתו לאיסור</t>
  </si>
  <si>
    <t>בן שלמה, צבי בן מיכאל</t>
  </si>
  <si>
    <t>בדיני תולעים</t>
  </si>
  <si>
    <t>וייל, אברהם צבי - גולדבלט, חיים טודרוס</t>
  </si>
  <si>
    <t>בדיני תקיעת שופר</t>
  </si>
  <si>
    <t>בדיקת חמץ וביעורו</t>
  </si>
  <si>
    <t>לינדר, חיים מיכל בן משה אורי</t>
  </si>
  <si>
    <t>בדם ואש</t>
  </si>
  <si>
    <t>גולדברג, ראובן בן פסח חיים</t>
  </si>
  <si>
    <t>בדמייך חיי</t>
  </si>
  <si>
    <t>בדמיך חיי</t>
  </si>
  <si>
    <t>גולדמינץ, אברהם יעקב</t>
  </si>
  <si>
    <t>בדק הבית - 2 כר'</t>
  </si>
  <si>
    <t>שס"ו</t>
  </si>
  <si>
    <t>בדקדוק חברים - 17 כר'</t>
  </si>
  <si>
    <t>סלומון, אברהם</t>
  </si>
  <si>
    <t>בדקדוק חברים</t>
  </si>
  <si>
    <t>קובץ ישיבת מאור התלמוד</t>
  </si>
  <si>
    <t>בדקי בתים</t>
  </si>
  <si>
    <t>בדרך אלשוך</t>
  </si>
  <si>
    <t>אברהם בן ברוך מזאמושץ</t>
  </si>
  <si>
    <t>תפ"ז</t>
  </si>
  <si>
    <t>בדרך החיים על מסכת אבות - מתורת מהר"ל</t>
  </si>
  <si>
    <t>בדרך החכמה - בדרך החיים</t>
  </si>
  <si>
    <t>שץ, יהודה ליב בן יעקב</t>
  </si>
  <si>
    <t>בדרך המלך נלך</t>
  </si>
  <si>
    <t>ארגון נפשנו</t>
  </si>
  <si>
    <t>בדרך המלך</t>
  </si>
  <si>
    <t>פקטר, אהרן לפידות בן אפרים</t>
  </si>
  <si>
    <t>שפיגל, ישראל</t>
  </si>
  <si>
    <t>בדרך חיים</t>
  </si>
  <si>
    <t>ולנר, אלתר בן חיים יצחק</t>
  </si>
  <si>
    <t>בדרך לימוד</t>
  </si>
  <si>
    <t>בדרך עדותיך</t>
  </si>
  <si>
    <t>רימר, בנימין בן מרדכי</t>
  </si>
  <si>
    <t>בדרך עץ החיים - 2 כר'</t>
  </si>
  <si>
    <t>בדרכי אבות קדושים</t>
  </si>
  <si>
    <t>בדרכי אבות - 2 כר'</t>
  </si>
  <si>
    <t>פסין, אהרן יהושע</t>
  </si>
  <si>
    <t>בדרכי אבות</t>
  </si>
  <si>
    <t>שהרבני, אורי</t>
  </si>
  <si>
    <t>בדרכי אבותינו - 7 כר'</t>
  </si>
  <si>
    <t>בדרכי האמונה</t>
  </si>
  <si>
    <t>בדרכי החכמה - 2 כר'</t>
  </si>
  <si>
    <t>נושאים שונים, קבצים וכתבי עת, ספרי זכרון ויובל, תלמוד בבלי</t>
  </si>
  <si>
    <t>בדרכי המצוות</t>
  </si>
  <si>
    <t>עובדיה, מרדכי</t>
  </si>
  <si>
    <t>בדרכי השם</t>
  </si>
  <si>
    <t>כתב, אליהו אליה</t>
  </si>
  <si>
    <t>בדרכי ווארשא האבלות</t>
  </si>
  <si>
    <t>אלתר, אברהם מרדכי</t>
  </si>
  <si>
    <t>בדרכי פולין האבלות - 2 כר'</t>
  </si>
  <si>
    <t>בה"ג - 9 כר'</t>
  </si>
  <si>
    <t>קיירא, שמעון</t>
  </si>
  <si>
    <t>ש"ח</t>
  </si>
  <si>
    <t>בהגיגי תבער אש</t>
  </si>
  <si>
    <t>ליבוביץ, אברהם יעקב בן יצחק</t>
  </si>
  <si>
    <t>בהדין עירובא</t>
  </si>
  <si>
    <t>רובין, ישעיה בן שמואל צבי</t>
  </si>
  <si>
    <t>בהדרת קודש</t>
  </si>
  <si>
    <t>רוסוף, דוד</t>
  </si>
  <si>
    <t>בהיות הבוקר &lt;מהדורה חדשה&gt;</t>
  </si>
  <si>
    <t>מועדי ישראל, משנה, תלמוד בבלי, תלמוד בבלי, תנ"ך, תנ"ך, תנ"ך</t>
  </si>
  <si>
    <t>בהיותו קרוב</t>
  </si>
  <si>
    <t>בהיכל המהר"ל</t>
  </si>
  <si>
    <t>מעש, דב בן אהרן משה</t>
  </si>
  <si>
    <t>בהיכלו - ספר היובל</t>
  </si>
  <si>
    <t>ישיבת בית מאיר</t>
  </si>
  <si>
    <t>בהירות - 5 כר'</t>
  </si>
  <si>
    <t>בהית הבקר</t>
  </si>
  <si>
    <t>ורנוב נד טופלו Vrano</t>
  </si>
  <si>
    <t>מועדי ישראל, שאר ספרי חז"ל, תנ"ך</t>
  </si>
  <si>
    <t>בהם נהגה - 4 כר'</t>
  </si>
  <si>
    <t>מאסף לדברי תורה אברכי חסידי ביאלא</t>
  </si>
  <si>
    <t>בהמון רחמיך</t>
  </si>
  <si>
    <t>אמיגה, מיכאל</t>
  </si>
  <si>
    <t>דרושים, משנה, תלמוד בבלי, תלמוד בבלי, תנ"ך</t>
  </si>
  <si>
    <t>בהעלות הנרות - 5 כר'</t>
  </si>
  <si>
    <t>ורנר, חיים שלמה בן אשר זאב</t>
  </si>
  <si>
    <t>בהעלותך את הנרות</t>
  </si>
  <si>
    <t>מכון אמרות טהורות פאפא</t>
  </si>
  <si>
    <t>בהקבץ</t>
  </si>
  <si>
    <t>חבורת ישיבת "אור אלחנן"</t>
  </si>
  <si>
    <t>ירושלם</t>
  </si>
  <si>
    <t>בהר יראה</t>
  </si>
  <si>
    <t>ברגמן, אליעזר בן יוסף בנימין</t>
  </si>
  <si>
    <t>בהר יראה - תורה ומועדים</t>
  </si>
  <si>
    <t>ברוקלין, ניו יורק</t>
  </si>
  <si>
    <t>בהר סיני</t>
  </si>
  <si>
    <t>דיין, ניסים בן משה</t>
  </si>
  <si>
    <t>בהשם שמחה, ישמח בו, ישמח האדם</t>
  </si>
  <si>
    <t>בהתאסף</t>
  </si>
  <si>
    <t>מערכת כרמנו</t>
  </si>
  <si>
    <t>בהתאסף - 13 כר'</t>
  </si>
  <si>
    <t>בו ישמח - 2 כר'</t>
  </si>
  <si>
    <t>תלמוד בבלי, תלמוד בבלי, תנ"ך, תנ"ך</t>
  </si>
  <si>
    <t>בו תשיב - א</t>
  </si>
  <si>
    <t>זיידה, יעקב</t>
  </si>
  <si>
    <t>בואו חשבון</t>
  </si>
  <si>
    <t>בואי כלה</t>
  </si>
  <si>
    <t>רביע, אליהו</t>
  </si>
  <si>
    <t>בואי תימן</t>
  </si>
  <si>
    <t>מחקרים ותעודות בתרבות יהודי תימן</t>
  </si>
  <si>
    <t>בונה ירושלים</t>
  </si>
  <si>
    <t>כהן, חיים אורי בן בצלאל מווילנא</t>
  </si>
  <si>
    <t>בוני ירושלים</t>
  </si>
  <si>
    <t>וינשטוק, יצחק בן משה יאיר</t>
  </si>
  <si>
    <t>בוסתנאי - עבד כי ימלוך</t>
  </si>
  <si>
    <t>להמאן, מאיר בן אשר למל אהרן</t>
  </si>
  <si>
    <t>בוצינא דנהורא &lt;תורת הרבי ר' ברוך&gt; - 2 כר'</t>
  </si>
  <si>
    <t>בוצינא דנהורא - 4 כר'</t>
  </si>
  <si>
    <t>בוצינא קדישא</t>
  </si>
  <si>
    <t>דונר, נתן נטע בן צבי הכהן</t>
  </si>
  <si>
    <t>ליקוטי עובדות ממהר"א מבעלז זצוק"ל</t>
  </si>
  <si>
    <t>בור הגולה</t>
  </si>
  <si>
    <t>צאהן, משולם זושא בן משה אלעזר</t>
  </si>
  <si>
    <t>גייטסהד</t>
  </si>
  <si>
    <t>בורא מיני בשמים</t>
  </si>
  <si>
    <t>בורא נפשות</t>
  </si>
  <si>
    <t>בזאת יבא אהרן</t>
  </si>
  <si>
    <t>פרטוש, אהרן</t>
  </si>
  <si>
    <t>בזאת תבחנו</t>
  </si>
  <si>
    <t>בזיך הלבנה - על ל"ט מלאכות השבת</t>
  </si>
  <si>
    <t>פוליאקוב, אפרים</t>
  </si>
  <si>
    <t>בזיכי הלבונה</t>
  </si>
  <si>
    <t>בזכות ונשמרתם</t>
  </si>
  <si>
    <t>פיינהנדלר, אהרן</t>
  </si>
  <si>
    <t>בזכות נשים צדקניות</t>
  </si>
  <si>
    <t>בזכותא דבר יוחאי</t>
  </si>
  <si>
    <t>כהן, אהרן בן משה ישעיהו</t>
  </si>
  <si>
    <t>בזמן הזה - 4 כר'</t>
  </si>
  <si>
    <t>אקר, משה</t>
  </si>
  <si>
    <t>בחגוי הסלע - 2 כר'</t>
  </si>
  <si>
    <t>ויזגאן, יהושע בן חנניה</t>
  </si>
  <si>
    <t>בחוזק יד - רבי דוד לייב שווארץ</t>
  </si>
  <si>
    <t>מכון דעת תורה</t>
  </si>
  <si>
    <t>בחוקותיך אשתעשע</t>
  </si>
  <si>
    <t>אייזנבך, אברהם</t>
  </si>
  <si>
    <t>סבאג, אורי</t>
  </si>
  <si>
    <t>בחזק יד</t>
  </si>
  <si>
    <t>גוטליב, פתחיה אוריאל</t>
  </si>
  <si>
    <t>בחינות עולם &lt;באור המלות&gt;</t>
  </si>
  <si>
    <t>בחינות עולם &lt;דפו"ר&gt;</t>
  </si>
  <si>
    <t>שונצינו Soncino</t>
  </si>
  <si>
    <t>בחינות עולם &lt;ויפרש משה&gt;</t>
  </si>
  <si>
    <t>בחינות עולם &lt;חוק עולם&gt;</t>
  </si>
  <si>
    <t>Oswiecim אושפיצין</t>
  </si>
  <si>
    <t>בחינות עולם &lt;כור הבחינה&gt;</t>
  </si>
  <si>
    <t>בחינות עולם &lt;מגדנות  אלעזר - המליץ - המזכיר&gt;</t>
  </si>
  <si>
    <t>בחינות עולם &lt;מגדנות אליעזר&gt; - 2 כר'</t>
  </si>
  <si>
    <t>בחינות עולם &lt;עין בוחן&gt;</t>
  </si>
  <si>
    <t>בחינות עולם &lt;עם פי' ר' משה ן' חביב ור' יוסף פרנסיש&gt;</t>
  </si>
  <si>
    <t>בחינות עולם &lt;עם ציוני זהב ופי' רבינו בעל התוי"ט&gt;</t>
  </si>
  <si>
    <t>בחינות עולם &lt;פירוש חביב&gt;</t>
  </si>
  <si>
    <t>בחינות עולם - 3 כר'</t>
  </si>
  <si>
    <t>אחר תקכ"ח</t>
  </si>
  <si>
    <t>בחינת הדת &lt;עם פירוש&gt;</t>
  </si>
  <si>
    <t>דילמדיגו, אליהו בן משה אבא - ריגייו, יצחק שמואל</t>
  </si>
  <si>
    <t>בחינת החכמה - 2 כר'</t>
  </si>
  <si>
    <t>סטריזובר, יהודה בן צבי</t>
  </si>
  <si>
    <t>תרצ"ז-תרצ"ח</t>
  </si>
  <si>
    <t>בחינת עולם</t>
  </si>
  <si>
    <t>בחיר חיים - 2 כר'</t>
  </si>
  <si>
    <t>וולפארט, חיים בן צבי אברהם</t>
  </si>
  <si>
    <t>בחירת אברהם</t>
  </si>
  <si>
    <t>ביקס, אברהם בן ישראל</t>
  </si>
  <si>
    <t>תרל"א-תרל"ב</t>
  </si>
  <si>
    <t>בחירת המלך</t>
  </si>
  <si>
    <t>גרינברג, ישראל העשיל בן מאיר</t>
  </si>
  <si>
    <t>בחירת יוסף</t>
  </si>
  <si>
    <t>בחירת ציון - 2 כר'</t>
  </si>
  <si>
    <t>בחכמה אמרתי</t>
  </si>
  <si>
    <t>ישראלי, אריה</t>
  </si>
  <si>
    <t>בחכמה יבנה בית</t>
  </si>
  <si>
    <t>אינגבר, דוד ישראל</t>
  </si>
  <si>
    <t>בחפזון פסח</t>
  </si>
  <si>
    <t>אברהם סיד בן משה</t>
  </si>
  <si>
    <t>בחצר הקודש &lt;סקווירא&gt; - 4 כר'</t>
  </si>
  <si>
    <t>מערכת בחצר הקודש</t>
  </si>
  <si>
    <t>בחצרות בית ה' בתוככי ירושלים</t>
  </si>
  <si>
    <t>מוסדות רחמסטריווקא</t>
  </si>
  <si>
    <t>בחצרות החיים - 58 כר'</t>
  </si>
  <si>
    <t>בטאון ארגון החבורות דחסידי צאנז</t>
  </si>
  <si>
    <t>בחצרות קדשי - זבחים, מנחות</t>
  </si>
  <si>
    <t>בחצרות - א</t>
  </si>
  <si>
    <t>תלמידי חוג חתם סופר</t>
  </si>
  <si>
    <t>בחקתיך אשתעשע</t>
  </si>
  <si>
    <t>בחר בציון - ירושלמי ברכות</t>
  </si>
  <si>
    <t>רוזנבוים, דוד משה</t>
  </si>
  <si>
    <t>בחשק משה - 6 כר'</t>
  </si>
  <si>
    <t>שווארץ, קלמן</t>
  </si>
  <si>
    <t>בט"ש בשבת ובמועד</t>
  </si>
  <si>
    <t>הרבנות הצבאית הראשית</t>
  </si>
  <si>
    <t>בטאון אוהב ישראל - 4 כר'</t>
  </si>
  <si>
    <t>מוסדות קאפיטשניץ</t>
  </si>
  <si>
    <t>בטאון הארגון - 2 כר'</t>
  </si>
  <si>
    <t>אגרון תלמידי ישיבת פרשבורג שבט סופר</t>
  </si>
  <si>
    <t>בטאון חניכי ישיבת נר ישראל</t>
  </si>
  <si>
    <t>תשל"ה-תש"מ</t>
  </si>
  <si>
    <t>בטאון צעירי ויז'ניץ - 40 כר'</t>
  </si>
  <si>
    <t>אגודת צעירי ויזניץ</t>
  </si>
  <si>
    <t>בטאון תפארת משה - 4 כר'</t>
  </si>
  <si>
    <t>מוסדות שאץ ויזניץ</t>
  </si>
  <si>
    <t>בטבעת המלך על מגילת אסתר</t>
  </si>
  <si>
    <t>בטוב ירושלים</t>
  </si>
  <si>
    <t>יאדלר, בן ציון</t>
  </si>
  <si>
    <t>בטוב צדיקים</t>
  </si>
  <si>
    <t>בטחון איש</t>
  </si>
  <si>
    <t>גולדברג, אברהם בן שלמה חיים</t>
  </si>
  <si>
    <t>בטחון והשתדלות (בתרגום אנגלית)</t>
  </si>
  <si>
    <t>וינרוט, אברהם בן משה אהרון</t>
  </si>
  <si>
    <t>בטחון והשתדלות</t>
  </si>
  <si>
    <t>בטחון חי</t>
  </si>
  <si>
    <t>בטחוני בצורי הוא אוצרי</t>
  </si>
  <si>
    <t>בוגנים, מיכאל</t>
  </si>
  <si>
    <t>בטיחות הבניה בהלכה</t>
  </si>
  <si>
    <t>סליי, מנחם בן אברהם</t>
  </si>
  <si>
    <t>בי חייא - 2 כר'</t>
  </si>
  <si>
    <t>הורוויץ, אלישע חיים</t>
  </si>
  <si>
    <t>בי מלכים - דרך אמונה</t>
  </si>
  <si>
    <t>ביאור אגדות בבא קמא</t>
  </si>
  <si>
    <t>תרט"ז הס'</t>
  </si>
  <si>
    <t>קניגסברג Koenigsber</t>
  </si>
  <si>
    <t>קבלה, תלמוד בבלי</t>
  </si>
  <si>
    <t>ביאור אגדות חז"ל - 4 כר'</t>
  </si>
  <si>
    <t>גולדשטוף, דניאל בן יעקב יוסף</t>
  </si>
  <si>
    <t>ביאור דין טמא מת קודם טהרתו</t>
  </si>
  <si>
    <t>כשר, מנחם מנדל בן יצחק פרץ</t>
  </si>
  <si>
    <t>ביאור דניאל, עזרא ונחמיה</t>
  </si>
  <si>
    <t>ביאור הגר"א &lt;ברכת יוסף&gt; - הלכות חובל בחבירו</t>
  </si>
  <si>
    <t>אליהו בן שלמה זלמן (הגר"א) - פודור, יונה</t>
  </si>
  <si>
    <t>ביאור הגר"א &lt;נחפה בכסף&gt; - הלכות אבידה ומציאה</t>
  </si>
  <si>
    <t>ביאור הגר"א &lt;עדות ביהוסף&gt; - הלכות עדות</t>
  </si>
  <si>
    <t>ביאור הגר"א &lt;ברכת אליהו&gt; - 29 כר'</t>
  </si>
  <si>
    <t>אליהו בן שלמה זלמן (הגר"א) - רקובר, ברוך (מפרש)</t>
  </si>
  <si>
    <t>ביאור הגר"א לספרא דצניעותא &lt;ע"פ כת"י&gt;</t>
  </si>
  <si>
    <t>ביאור הגר"א על תוספתא מסכת פרה</t>
  </si>
  <si>
    <t>ביאור הגר"א - הלכות סוכה</t>
  </si>
  <si>
    <t>ביאור ההגדה - מלך שהשלום שלו</t>
  </si>
  <si>
    <t>ביאור הליקוטים</t>
  </si>
  <si>
    <t>ביאור הלכתי בתקפו של הגיור ההמוני</t>
  </si>
  <si>
    <t>שרמן, אברהם חיים</t>
  </si>
  <si>
    <t>ביאור הסוגיות להלכות טריפות</t>
  </si>
  <si>
    <t>אייכענשטיין, יוסף מרדכי</t>
  </si>
  <si>
    <t>ביאור הרלב"ג לספר איוב</t>
  </si>
  <si>
    <t>לוי בן גרשון (רלב"ג)</t>
  </si>
  <si>
    <t>רל"ז</t>
  </si>
  <si>
    <t>ביאור השיר בר יוחאי</t>
  </si>
  <si>
    <t>ביאור השלחן ערוך בסגנון המשנה ברורה (בצרפתית)</t>
  </si>
  <si>
    <t>בקיש, אליהו בן הלל</t>
  </si>
  <si>
    <t>ביאור השלחן - 2 כר'</t>
  </si>
  <si>
    <t>יאמניק, חיים אברהם בן אלחנן דב הלוי</t>
  </si>
  <si>
    <t>ביאור וליקוט בענין קץ אחרית הימים</t>
  </si>
  <si>
    <t>ביאור ומדרש תורה</t>
  </si>
  <si>
    <t>תר"צ - תרצ"א</t>
  </si>
  <si>
    <t>ביאור זה יצא ראשונה</t>
  </si>
  <si>
    <t>פרובינצאלו, משה</t>
  </si>
  <si>
    <t>ביאור זכר יהוסף</t>
  </si>
  <si>
    <t>שטרן, יוסף זכריה בן נתן</t>
  </si>
  <si>
    <t>ביאור חדש מהריז"ש - 3 כר'</t>
  </si>
  <si>
    <t>ביאור חי - ביאור ברכת המזון</t>
  </si>
  <si>
    <t>לורבר, יהודה בן חיים</t>
  </si>
  <si>
    <t>ביאור חמש מגילות - 2 כר'</t>
  </si>
  <si>
    <t>ביאור לוח הכללי</t>
  </si>
  <si>
    <t>גינצבורג, יוסף בן משה אהרן</t>
  </si>
  <si>
    <t>ביאור לפירוש הרמב"ן ז"ל על התורה</t>
  </si>
  <si>
    <t>אבן-סהולה, מאיר בן שלמה</t>
  </si>
  <si>
    <t>ביאור מגילת אסתר תליתאה</t>
  </si>
  <si>
    <t>ביאור מגילת אסתר</t>
  </si>
  <si>
    <t>מרציאנו, יצחק בן דוד</t>
  </si>
  <si>
    <t>ביאור מהגר"א על חבקוק</t>
  </si>
  <si>
    <t>ביאור מהר"י קורקוס - קרבנות</t>
  </si>
  <si>
    <t>קורקוס, יוסף</t>
  </si>
  <si>
    <t>ביאור מילים נרדפות להגר"א</t>
  </si>
  <si>
    <t>ביאור מנחם</t>
  </si>
  <si>
    <t>אהרונסון, משה מנחם מנדל בן ניסן</t>
  </si>
  <si>
    <t>ביאור מרדכי</t>
  </si>
  <si>
    <t>בנט, מרדכי</t>
  </si>
  <si>
    <t>ביאור משה את התורה - 2 כר'</t>
  </si>
  <si>
    <t>משה</t>
  </si>
  <si>
    <t>ביאור משנה תורה</t>
  </si>
  <si>
    <t>ביאור נושאי הכלים על השו"ע - מילה וגירות</t>
  </si>
  <si>
    <t>קינד, דניאל</t>
  </si>
  <si>
    <t>ביאור סוגית רבי חנינא סגן הכהנים</t>
  </si>
  <si>
    <t>מנדלוביץ, שלמה אהרן</t>
  </si>
  <si>
    <t>ביאור ספר משלי</t>
  </si>
  <si>
    <t>ביאור ספר תהלים - 2 כר'</t>
  </si>
  <si>
    <t>ביאור על אגדות של רבה בר בר חנה וסבי דבי אתונא</t>
  </si>
  <si>
    <t>ביאור על האזהרות</t>
  </si>
  <si>
    <t>אבן-גבירול, שלמה בן יהודה - יוסף הלועז</t>
  </si>
  <si>
    <t>רע"ה</t>
  </si>
  <si>
    <t>ביאור על העצמאות</t>
  </si>
  <si>
    <t>ביאור על הרעיא מהימנא</t>
  </si>
  <si>
    <t>Koenigsberg קניגסברג</t>
  </si>
  <si>
    <t>ביאור על התורה לרבינו בחיי</t>
  </si>
  <si>
    <t>בחיי בן אשר אבן חלאוה</t>
  </si>
  <si>
    <t>[ש"ד,</t>
  </si>
  <si>
    <t>ויניצייה,</t>
  </si>
  <si>
    <t>ביאור על ספר מצות גדול</t>
  </si>
  <si>
    <t>שס"ה</t>
  </si>
  <si>
    <t>ביאור על ספר שערי דורא</t>
  </si>
  <si>
    <t>ביאור על פרק שירה &lt;זמרת הארץ ושמים&gt;</t>
  </si>
  <si>
    <t>ביאור על רש"י</t>
  </si>
  <si>
    <t>ביאור עניני הנבואות וביאור המקראות בספר ירמיהו</t>
  </si>
  <si>
    <t>חנון, חיים</t>
  </si>
  <si>
    <t>ביאור עשר ספירות</t>
  </si>
  <si>
    <t>עזריאל מגירונה</t>
  </si>
  <si>
    <t>ביאור פירוש הרמב"ן ז"ל מהתורה - 2 כר'</t>
  </si>
  <si>
    <t>אבוהב, יצחק (השני)</t>
  </si>
  <si>
    <t>ביאור קצר על שלושים מצוות בני נח</t>
  </si>
  <si>
    <t>שטיבל, מנחם פנחס</t>
  </si>
  <si>
    <t>ביאור ראובן</t>
  </si>
  <si>
    <t>אגושביץ, ראובן בן אליהו</t>
  </si>
  <si>
    <t>ביאור רבי שמואל די אוזידא על מגילת אסתר</t>
  </si>
  <si>
    <t>ביאור רלב"ג על התורה &lt;דפו"ר&gt;</t>
  </si>
  <si>
    <t>רל"ו</t>
  </si>
  <si>
    <t>ביאור רמב"ן על התורה</t>
  </si>
  <si>
    <t>ביאור שטרות הרשאה למכירת חמץ</t>
  </si>
  <si>
    <t>רוזנברג, שריאל בן יצחק יעקב</t>
  </si>
  <si>
    <t>ביאור שיר השירים, רות, קהלת, אסתר</t>
  </si>
  <si>
    <t>ביאור שמות קדש וחול</t>
  </si>
  <si>
    <t>ביאור תרי עשר</t>
  </si>
  <si>
    <t>ביאור תשעים מלות בודדות בתנ"כ</t>
  </si>
  <si>
    <t>ביאור</t>
  </si>
  <si>
    <t>של"ח-של"ט</t>
  </si>
  <si>
    <t>ביאורי אברהם - 3 כר'</t>
  </si>
  <si>
    <t>קונאק, אברהם יצחק בן יוסף אריה</t>
  </si>
  <si>
    <t>ביאורי אגדות מהגר"א - מגילה</t>
  </si>
  <si>
    <t>ביאורי אגדות</t>
  </si>
  <si>
    <t>קבלה, תלמוד בבלי, תלמוד בבלי</t>
  </si>
  <si>
    <t>ביאורי אונקלוס</t>
  </si>
  <si>
    <t>שפטל, שמשון ברוך בן אלכסנדר סנדר</t>
  </si>
  <si>
    <t>ביאורי דעת - 2 כר'</t>
  </si>
  <si>
    <t>פשוזמן, חיים דוב</t>
  </si>
  <si>
    <t>ביאורי הב"ח לפרדס רימונים</t>
  </si>
  <si>
    <t>סירקיש, יואל בן שמואל - קורדובירו, משה בן יעקב</t>
  </si>
  <si>
    <t>ביאורי הגר"א על אגדות מסכת ברכות עם ביאורים</t>
  </si>
  <si>
    <t>אליהו בן שלמה זלמן (הגר"א) - אברהם בן אליהו - חבר, יצחק איזיק בן יעקב</t>
  </si>
  <si>
    <t>ביאורי הדף - 17 כר'</t>
  </si>
  <si>
    <t>הוניגסברג, שמואל בן מאיר יחיאל הלוי</t>
  </si>
  <si>
    <t>ביאורי המקובלים בנגלה - 2 כר'</t>
  </si>
  <si>
    <t>ביאורי המשפט - זכרון אליהו ב</t>
  </si>
  <si>
    <t>קרמרמן, אליהו בן אבא מנחם</t>
  </si>
  <si>
    <t>ביאורי השבת - 4 כר'</t>
  </si>
  <si>
    <t>ניהוז, רון בן יעקב</t>
  </si>
  <si>
    <t>ביאורי השיטות - 2 כר'</t>
  </si>
  <si>
    <t>טייכטל, יוסף יצחק מאיר</t>
  </si>
  <si>
    <t>ביאורי השיטות - 3 כר'</t>
  </si>
  <si>
    <t>מנדלסון, יהודה בן מאיר</t>
  </si>
  <si>
    <t>ביאורי ופירושי רבינו מהר"ל מפראג על התורה - 5 כר'</t>
  </si>
  <si>
    <t>יהודה ליווא בן בצלאל (מהר"ל) מפראג - מעש, דב בן אהרן משה</t>
  </si>
  <si>
    <t>ביאורי מהר"י קורקוס והרדב"ז - 2 כר'</t>
  </si>
  <si>
    <t>ביאורי מהר"ל על מסכת ברכות</t>
  </si>
  <si>
    <t>ביאורי מהרא"י &lt;יריעות שלמה&gt;</t>
  </si>
  <si>
    <t>איסרלין, ישראל בן פתחיה - לוריא, שלמה (מהרש"ל)</t>
  </si>
  <si>
    <t>מרגיטה Marghita</t>
  </si>
  <si>
    <t>ביאורי מהרא"י איסרלן - 3 כר'</t>
  </si>
  <si>
    <t>איסרלין, ישראל בן פתחיה</t>
  </si>
  <si>
    <t>ביאורי מהרא"י</t>
  </si>
  <si>
    <t>ביאורי מרובה</t>
  </si>
  <si>
    <t>ברנד, שמואל בן חיים</t>
  </si>
  <si>
    <t>ביאורי משנה ברורה - 2 כר'</t>
  </si>
  <si>
    <t>בוסקילה, גד בן אברהם</t>
  </si>
  <si>
    <t>ביאורי משפט - 2 כר'</t>
  </si>
  <si>
    <t>עלעפנט, יצחק מנחם בן דב ראובן</t>
  </si>
  <si>
    <t>ביאורי סוגיות אהל דוד - פסחים</t>
  </si>
  <si>
    <t>ביאורי סוגיות בעניני שעבודים</t>
  </si>
  <si>
    <t>ביאורי סוגיות - 2 כר'</t>
  </si>
  <si>
    <t>ביאורי סוגיות - 37 כר'</t>
  </si>
  <si>
    <t>ביאורי סוגיות - ב"ק</t>
  </si>
  <si>
    <t>מנדלקורן, שמואל זאב</t>
  </si>
  <si>
    <t>ביאורי עדות</t>
  </si>
  <si>
    <t>ביאורי על הניסים לחנוכה</t>
  </si>
  <si>
    <t>ליסיצין, יצחק</t>
  </si>
  <si>
    <t>ביאורי ענינים - 2 כר'</t>
  </si>
  <si>
    <t>ביאורי רבינו חיים מוולאזין</t>
  </si>
  <si>
    <t>הלכה ומנהג, משנה, תלמוד בבלי, תנ"ך</t>
  </si>
  <si>
    <t>ביאורי רבנו בן איש חי - משלי</t>
  </si>
  <si>
    <t>ביאורי רלב"ג על עזרא נחמיה ודברי הימים</t>
  </si>
  <si>
    <t>ביאורי שמעתתות</t>
  </si>
  <si>
    <t>פניאל, ישראל מאיר בן יעקב</t>
  </si>
  <si>
    <t>ביאורים באוצרות חיים שער עתיק</t>
  </si>
  <si>
    <t>שינה,</t>
  </si>
  <si>
    <t>ביאורים בהגדה של פסח ועניני החג</t>
  </si>
  <si>
    <t>רוטלוי, אליעזר שלום הכהן</t>
  </si>
  <si>
    <t>ביאורים בחלק שני דכתובות</t>
  </si>
  <si>
    <t>ביאורים במועדים - 5 כר'</t>
  </si>
  <si>
    <t>פברשטיין, יוסף</t>
  </si>
  <si>
    <t>ביאורים במוקצה - 2 כר'</t>
  </si>
  <si>
    <t>פשווזמן, חיים דוב</t>
  </si>
  <si>
    <t>ביאורים בסוגיא דהוצאה</t>
  </si>
  <si>
    <t>דיסין, פרץ (עורך)</t>
  </si>
  <si>
    <t>ביאורים בסוגיות בין המצרים</t>
  </si>
  <si>
    <t>רביץ, יוסף אהרון בן מיכאל</t>
  </si>
  <si>
    <t>ביאורים בסוגיית טעם כעיקר</t>
  </si>
  <si>
    <t>טאוב, יהודה בן יחזקאל צבי</t>
  </si>
  <si>
    <t>ביאורים ובירורים ביורה דעה</t>
  </si>
  <si>
    <t>גלינסקי, אריה בן בצלאל</t>
  </si>
  <si>
    <t>ביאורים ובירורים בתהלים - פירוש לשיר השירים</t>
  </si>
  <si>
    <t>רחום, ברוך בן פנחס</t>
  </si>
  <si>
    <t>ביאורים ובירורים עמ"ס עירובין</t>
  </si>
  <si>
    <t>ביאורים והערות בסה"ק ליקוטי מוהר"ן - ב</t>
  </si>
  <si>
    <t>ביאורים והערות בעניינים שונים</t>
  </si>
  <si>
    <t>ביאורים והערות בפרק ערבי פסחים</t>
  </si>
  <si>
    <t>ביאורים והערות למסכת כתובות</t>
  </si>
  <si>
    <t>ביאורים והערות על הלכות זימון</t>
  </si>
  <si>
    <t>קהן, דוד בן יהושע בנימין</t>
  </si>
  <si>
    <t>ביאורים והערות - הלכות בשר בחלב</t>
  </si>
  <si>
    <t>יצחקי, הראל בן יצחק</t>
  </si>
  <si>
    <t>ביאורים והערות</t>
  </si>
  <si>
    <t>ליפשיץ, טוביה</t>
  </si>
  <si>
    <t>ביאורים והערות - 8 כר'</t>
  </si>
  <si>
    <t>קנובלוביץ, יצחק מאיר</t>
  </si>
  <si>
    <t>ביאורים וחידושים - ביאורי מוהרא"ל</t>
  </si>
  <si>
    <t>היילפרין, אליעזר לוי</t>
  </si>
  <si>
    <t>ביאורים וחידושים - חולין</t>
  </si>
  <si>
    <t>חג'ג', חנניה</t>
  </si>
  <si>
    <t>ביאורים וליקוטים - 3 כר'</t>
  </si>
  <si>
    <t>קנובלוביץ, אברהם ברוך בן יצחק מאיר</t>
  </si>
  <si>
    <t>ביאורים ומראי מקומות - יבמות</t>
  </si>
  <si>
    <t>ביאורים ועיונים במסכת שבת</t>
  </si>
  <si>
    <t>אילן, מרדכי בן יעקב דוד</t>
  </si>
  <si>
    <t>ביאורים ועיונים - 7 כר'</t>
  </si>
  <si>
    <t>לובאן, בנימין פנחס בן חיים מנדל</t>
  </si>
  <si>
    <t>ביאורים ועיונים</t>
  </si>
  <si>
    <t>פלמן, משה בן שלום בן ציון</t>
  </si>
  <si>
    <t>ביאורים וציונים - 3 כר'</t>
  </si>
  <si>
    <t>מינצר, חיים דוד בן יצחק זאב</t>
  </si>
  <si>
    <t>ביאורים ורעיונות במזמורי תהלים</t>
  </si>
  <si>
    <t>מיסקי, צבי יוסף</t>
  </si>
  <si>
    <t>ביאורים ושיחות - 8 כר'</t>
  </si>
  <si>
    <t>פיינשטיין, חיים בן יחיאל מיכל</t>
  </si>
  <si>
    <t>ביאורים לכתבי הרש"ש</t>
  </si>
  <si>
    <t>ביאורים מהרמ"ק על התורה</t>
  </si>
  <si>
    <t>ביאורים על מאמרי חז"ל במדרש תהלים</t>
  </si>
  <si>
    <t>ביאורים על פירוש רש"י</t>
  </si>
  <si>
    <t>לוגסי, יהודה</t>
  </si>
  <si>
    <t>ביאורים על רש"י על התורה &lt;מוהר"נ שפירא&gt; - 2 כר'</t>
  </si>
  <si>
    <t>שנ"ג</t>
  </si>
  <si>
    <t>ביאורים קצרים בפירוש ההגדה</t>
  </si>
  <si>
    <t>ביאורים</t>
  </si>
  <si>
    <t>רע"ט</t>
  </si>
  <si>
    <t>ביאורים - 21 כר'</t>
  </si>
  <si>
    <t>ביבליוגרפיה של הגדות פסח</t>
  </si>
  <si>
    <t>ביד דוד</t>
  </si>
  <si>
    <t>דדון, יצחק</t>
  </si>
  <si>
    <t>ביד הלשון - במחיצת החפץ חיים</t>
  </si>
  <si>
    <t>ירום, נתן צבי</t>
  </si>
  <si>
    <t>ביד הלשון - 2 כר'</t>
  </si>
  <si>
    <t>קסטנר, נחום</t>
  </si>
  <si>
    <t>ביד משה - נשים</t>
  </si>
  <si>
    <t>גבאי, משה בן בן בציון</t>
  </si>
  <si>
    <t>ביד משה</t>
  </si>
  <si>
    <t>מאזוז, זקן משה בן כמוס מעתוק</t>
  </si>
  <si>
    <t>ביד נביאיך</t>
  </si>
  <si>
    <t>בענייני הפטרות ונביאים</t>
  </si>
  <si>
    <t>ביד נביאך</t>
  </si>
  <si>
    <t>ראנד, מיכאל אריה</t>
  </si>
  <si>
    <t>ביד עבדו - יונה</t>
  </si>
  <si>
    <t>רפפורט, ישראל יוסף בן יצחק הכהן</t>
  </si>
  <si>
    <t>ביד עוסקי תורתך</t>
  </si>
  <si>
    <t>ביד רמ"א - 2 כר'</t>
  </si>
  <si>
    <t>וידיסלבסקי, ברוך</t>
  </si>
  <si>
    <t>ביד רמה, בדרכי ה'</t>
  </si>
  <si>
    <t>בידך עיתותי</t>
  </si>
  <si>
    <t>שווארץ, יחזקאל אהרן</t>
  </si>
  <si>
    <t>ביום ההוא יהיה ה' אחד ושמו אחד</t>
  </si>
  <si>
    <t>הופמן, דוד צבי</t>
  </si>
  <si>
    <t>ביום הראשון תשביתו</t>
  </si>
  <si>
    <t>ברנד, יצחק בן וולף זאב</t>
  </si>
  <si>
    <t>ביום השמיני</t>
  </si>
  <si>
    <t>ביום חתונתו</t>
  </si>
  <si>
    <t>ביום חתונתו - ספירת העומר וחג השבועות</t>
  </si>
  <si>
    <t>שטיין, אפרים פישל</t>
  </si>
  <si>
    <t>ביום קדשי - 2 כר'</t>
  </si>
  <si>
    <t>ביום שמחת לבו</t>
  </si>
  <si>
    <t>ביזת מצרים</t>
  </si>
  <si>
    <t>עקיבא בן אליעזר</t>
  </si>
  <si>
    <t>ביטוי השגור</t>
  </si>
  <si>
    <t>מייזעלס, אברהם</t>
  </si>
  <si>
    <t>ביטויים ביידיש בעולם התורה</t>
  </si>
  <si>
    <t>נולדמן, ישראל לייב</t>
  </si>
  <si>
    <t>ביטול גיור עקב חוסר כוונת בקב'</t>
  </si>
  <si>
    <t>יעקבי, שמעון</t>
  </si>
  <si>
    <t>ביטול הראשון למאמר</t>
  </si>
  <si>
    <t>בוכהאלטר, יוסף אליעזר בן יהושע דוד</t>
  </si>
  <si>
    <t>ביטול מודעה</t>
  </si>
  <si>
    <t>הלכה ומנהג, מועדי ישראל, שאלות ותשובות</t>
  </si>
  <si>
    <t>בייטש - ספר זכרון לקדושי עיירתנו בייטש</t>
  </si>
  <si>
    <t>ספר קהילה</t>
  </si>
  <si>
    <t>ביכורי אבי"ב - 3 כר'</t>
  </si>
  <si>
    <t>גוטרמאן, יעקב אריה בן שלמה</t>
  </si>
  <si>
    <t>ביכורי אביב - 2 כר'</t>
  </si>
  <si>
    <t>בריסק, אליהו יצחק</t>
  </si>
  <si>
    <t>ביכורי אברהם - 2 כר'</t>
  </si>
  <si>
    <t>הרש, אברהם חיים בן מנחם מנדל</t>
  </si>
  <si>
    <t>ביכורי אברהם</t>
  </si>
  <si>
    <t>ביכורי אליהו - כתובות</t>
  </si>
  <si>
    <t>ביכורי אליהו</t>
  </si>
  <si>
    <t>הלכה ומנהג, משנה, תלמוד בבלי</t>
  </si>
  <si>
    <t>ביכורי אליעזר - ביכורים</t>
  </si>
  <si>
    <t>בודנר, אלעזר בן צבי דוד</t>
  </si>
  <si>
    <t>ביכורי אריה</t>
  </si>
  <si>
    <t>מזרחי, אריה</t>
  </si>
  <si>
    <t>ביכורי ארץ הנגב</t>
  </si>
  <si>
    <t>ראשי ישיבות הנגב ותלמידהון</t>
  </si>
  <si>
    <t>ביכורי ארץ - 10 כר'</t>
  </si>
  <si>
    <t>טוקר, אברהם יצחק בן אליעזר חיים</t>
  </si>
  <si>
    <t>ביכורי אשר - 2 כר'</t>
  </si>
  <si>
    <t>אלחדד, מסעוד בן דוד</t>
  </si>
  <si>
    <t>ביכורי ברוך</t>
  </si>
  <si>
    <t>טולידאנו, ברוך בן גבריאל</t>
  </si>
  <si>
    <t>ביכורי דוד - 2 כר'</t>
  </si>
  <si>
    <t>פרידמן, דוד בן יוסף</t>
  </si>
  <si>
    <t>ביכורי הארץ</t>
  </si>
  <si>
    <t>ביכורי הכרם - כתובות</t>
  </si>
  <si>
    <t>ישיבה גדולה רמת שלמה</t>
  </si>
  <si>
    <t>ביכורי הרים</t>
  </si>
  <si>
    <t>ביכורי זרעים</t>
  </si>
  <si>
    <t>אורן, משה</t>
  </si>
  <si>
    <t>ביכורי חיים - שנים מקרא ואחד תרגום</t>
  </si>
  <si>
    <t>פיליפ, חיים אביגדור בן ירחמיאל</t>
  </si>
  <si>
    <t>ביכורי חיים - 5 כר'</t>
  </si>
  <si>
    <t>ביכורי יהונתן - ב"ק</t>
  </si>
  <si>
    <t>תנעמי, יהונתן בן אהרן אליהו</t>
  </si>
  <si>
    <t>ביכורי יוסף - 4 כר'</t>
  </si>
  <si>
    <t>ביכורי יוסף - 2 כר'</t>
  </si>
  <si>
    <t>וינר, יוסף צבי בן ישעיהו טוביה</t>
  </si>
  <si>
    <t>ביכורי יעקב - 3 כר'</t>
  </si>
  <si>
    <t>עטיה, יעקב בן שלמה</t>
  </si>
  <si>
    <t>ביכורי יצחק - 2 כר'</t>
  </si>
  <si>
    <t>פרץ, יצחק מאיר בן דוד</t>
  </si>
  <si>
    <t>ביכורי ישראל - סוכה, ב"ב, קידושין</t>
  </si>
  <si>
    <t>גוטליב, ישראל אריה בן נפתלי</t>
  </si>
  <si>
    <t>ביכורי ישראל</t>
  </si>
  <si>
    <t>ביכורי מרדכי</t>
  </si>
  <si>
    <t>סאוויצקי, מרדכי בן יוסף</t>
  </si>
  <si>
    <t>ביכורי משה חיים - ב</t>
  </si>
  <si>
    <t>טריוואקס, משה חיים</t>
  </si>
  <si>
    <t>ביכורי משה - נדה</t>
  </si>
  <si>
    <t>גבאי, משה בן בנימין</t>
  </si>
  <si>
    <t>ביכורי משה - נשים, נזיקין</t>
  </si>
  <si>
    <t>טננבוים, משה דוד בן יצחק יעקב</t>
  </si>
  <si>
    <t>ביכורי משה</t>
  </si>
  <si>
    <t>מיולר, משה בן יעקב</t>
  </si>
  <si>
    <t>ביכורי נחלת יעקב</t>
  </si>
  <si>
    <t>ביכורי ניסן</t>
  </si>
  <si>
    <t>יפה, אברהם ניסן בן רפאל דוב</t>
  </si>
  <si>
    <t>ביכורי ספר - א</t>
  </si>
  <si>
    <t>ביכורי ציון - ביכורים</t>
  </si>
  <si>
    <t>ברדוגו, בן ציון בן שלמה יוסף</t>
  </si>
  <si>
    <t>ביכורי ראובן - 2 כר'</t>
  </si>
  <si>
    <t>מנשה, ראובן בן יעקב</t>
  </si>
  <si>
    <t>ביכורי ראובן - 5 כר'</t>
  </si>
  <si>
    <t>שיפנסקי, ראובן בן ישראל שבתי</t>
  </si>
  <si>
    <t>ביכורי שדה</t>
  </si>
  <si>
    <t>רווח, שניאור זלמן בן ישראל</t>
  </si>
  <si>
    <t>בית עוזיאל</t>
  </si>
  <si>
    <t>ביכורי שדי - 2 כר'</t>
  </si>
  <si>
    <t>כהן, דוד שמואל ישי</t>
  </si>
  <si>
    <t>ביכורי שי</t>
  </si>
  <si>
    <t>קבסה, שי שלום</t>
  </si>
  <si>
    <t>ביכורי שלמה</t>
  </si>
  <si>
    <t>זלזניק, שלמה זלמן בן זליג ראובן</t>
  </si>
  <si>
    <t>ביכורי שמואל</t>
  </si>
  <si>
    <t>הניג, שמואל</t>
  </si>
  <si>
    <t>ביכורי שמחה</t>
  </si>
  <si>
    <t>בוכינגר, שמחה בונם</t>
  </si>
  <si>
    <t>ביכורי שמעון - 2 כר'</t>
  </si>
  <si>
    <t>ביכורים &lt;נזר התורה&gt;</t>
  </si>
  <si>
    <t>מאסף תורני נזר התורה</t>
  </si>
  <si>
    <t>ביכורים בכרם - 2 כר'</t>
  </si>
  <si>
    <t>ביכורים - 2 כר'</t>
  </si>
  <si>
    <t>בילקה -בילקה שלי שהיתה ואיננה -ב</t>
  </si>
  <si>
    <t>בים דרך - 5 כר'</t>
  </si>
  <si>
    <t>זילבר, יחיאל מיכל</t>
  </si>
  <si>
    <t>בים דרך - 2 כר'</t>
  </si>
  <si>
    <t>בים דרך - 8 כר'</t>
  </si>
  <si>
    <t>לוגסי, יעקב ישראל</t>
  </si>
  <si>
    <t>בימי מר והדס</t>
  </si>
  <si>
    <t>רוטנברג, מרדכי</t>
  </si>
  <si>
    <t>בימי מתתיהו בן יוחנן</t>
  </si>
  <si>
    <t>רוטנברג, חיים בן יהונתן</t>
  </si>
  <si>
    <t>בימים הנוראים מתעוררים האנשים הנוראים</t>
  </si>
  <si>
    <t>קאופמן, אליהו</t>
  </si>
  <si>
    <t>בין אדם לאדם</t>
  </si>
  <si>
    <t>מאור, זאב</t>
  </si>
  <si>
    <t>בין אדם לחבירו</t>
  </si>
  <si>
    <t>גלעד, שמואל צבי דב בן יונה הלוי</t>
  </si>
  <si>
    <t>בין אדם לחבירו - לא תקום ולא תטור</t>
  </si>
  <si>
    <t>מכון תורת האדם לאדם</t>
  </si>
  <si>
    <t>בין אדם לקונו</t>
  </si>
  <si>
    <t>קובר, נפתלי רפאל</t>
  </si>
  <si>
    <t>בין אור לחושך</t>
  </si>
  <si>
    <t>שכטר, זאב</t>
  </si>
  <si>
    <t>בין ארץ ישראל למדינת ישראל</t>
  </si>
  <si>
    <t>שנפלד, משה</t>
  </si>
  <si>
    <t>בין ההדסים</t>
  </si>
  <si>
    <t>בין הזמנים</t>
  </si>
  <si>
    <t>בין המצרים</t>
  </si>
  <si>
    <t>אלינר, אליעזר בן שרגא פייבל</t>
  </si>
  <si>
    <t>דבליצקי, שריה בן בצלאל - ויזנפלד, שמעון יוסף הכהן</t>
  </si>
  <si>
    <t>בין המשפתים - 15 כר'</t>
  </si>
  <si>
    <t>פיין, ראובן בן שבתי</t>
  </si>
  <si>
    <t>בין המשפתים</t>
  </si>
  <si>
    <t>צור, חגי</t>
  </si>
  <si>
    <t>בין המשפתים - שמעתא דתגרי לוד</t>
  </si>
  <si>
    <t>קובץ מפרשים</t>
  </si>
  <si>
    <t>בין הפרקים</t>
  </si>
  <si>
    <t>בין השיטין של תורה</t>
  </si>
  <si>
    <t>ישר, ברוך בן דוד</t>
  </si>
  <si>
    <t>בין השמשות דר"ת וזמן הדלקת נרות חנוכה</t>
  </si>
  <si>
    <t>זייני, אליהו רחמים בן מאיר</t>
  </si>
  <si>
    <t>בין השמשות</t>
  </si>
  <si>
    <t>וואלף, זאב</t>
  </si>
  <si>
    <t>לעמבערג</t>
  </si>
  <si>
    <t>בין השמשות - מאמרים ומכתבים</t>
  </si>
  <si>
    <t>וינגרטן, יעקב חנניה בן יוחנן שלמה</t>
  </si>
  <si>
    <t>בין זיכרון להכחשה</t>
  </si>
  <si>
    <t>רבא, יואל</t>
  </si>
  <si>
    <t>בין ירושלים והגולה</t>
  </si>
  <si>
    <t>בין ישראל לנכרי - 4 כר'</t>
  </si>
  <si>
    <t>גולדברג, חיים בנימין בן ברוך</t>
  </si>
  <si>
    <t>בין ישראל לעמים הבדלת</t>
  </si>
  <si>
    <t>יהודי, ייגאל</t>
  </si>
  <si>
    <t>בין ישראל לעמים</t>
  </si>
  <si>
    <t>אמסלם, אברהם בן יצחק</t>
  </si>
  <si>
    <t>הלוי, חיים דוד בן משה</t>
  </si>
  <si>
    <t>בין ישראל לעמים - א ב</t>
  </si>
  <si>
    <t>העכט, מאיר</t>
  </si>
  <si>
    <t>בין כתלי בית המדרש - 5 כר'</t>
  </si>
  <si>
    <t>קובץ ישיבת אלכסנדר</t>
  </si>
  <si>
    <t>בין עדן ותימן - ג</t>
  </si>
  <si>
    <t>העדני, מהלל &lt;יעקב בן שלום מהלה&gt;</t>
  </si>
  <si>
    <t>בין פסח לעצרת</t>
  </si>
  <si>
    <t>דסלר, אליהו אליעזר בן שמחה זיסל</t>
  </si>
  <si>
    <t>בין תכלת לארגמן - 2 כר'</t>
  </si>
  <si>
    <t>טופורוביץ, ישראל בן יחזקאל משה הלוי</t>
  </si>
  <si>
    <t>בינה במקראות ובמפרשים - בראשית</t>
  </si>
  <si>
    <t>עוזיאלי, ישראל יוסף הלוי בן משה</t>
  </si>
  <si>
    <t>בינה ודעת - 3 כר'</t>
  </si>
  <si>
    <t>אדלר, מנחם</t>
  </si>
  <si>
    <t>בינה ולב</t>
  </si>
  <si>
    <t>פרלמן, יחזקאל הלוי</t>
  </si>
  <si>
    <t>בינה להשכיל</t>
  </si>
  <si>
    <t>ענבל, דוד שמואל בן צבי</t>
  </si>
  <si>
    <t>בינה לעתים &lt;מהדורה חדשה&gt;</t>
  </si>
  <si>
    <t>הכהן, שאול בן משה - מאזוז, מאיר נסים, בן מצליח</t>
  </si>
  <si>
    <t>בינה לעתים החדש</t>
  </si>
  <si>
    <t>בינה לעתים - 3 כר'</t>
  </si>
  <si>
    <t>בינה לעתים</t>
  </si>
  <si>
    <t>אנקאווא, אברהם בן מרדכי</t>
  </si>
  <si>
    <t>תקנ"א,</t>
  </si>
  <si>
    <t>בינה לעתים - 5 כר'</t>
  </si>
  <si>
    <t>פיגו, עזריה בן אפרים</t>
  </si>
  <si>
    <t>ת"ח - לפ"ג</t>
  </si>
  <si>
    <t>בינה לעתים - 4 כר'</t>
  </si>
  <si>
    <t>פרייס, משה בן יששכר הלוי</t>
  </si>
  <si>
    <t>דרושים, הלכה ומנהג, נושאים שונים, תולדות עם ישראל</t>
  </si>
  <si>
    <t>בינו שנות דור ודור</t>
  </si>
  <si>
    <t>בינות</t>
  </si>
  <si>
    <t>רעננה</t>
  </si>
  <si>
    <t>ביני ובין בני ישראל - 2 כר'</t>
  </si>
  <si>
    <t>יעקבזון, בנימין זאב</t>
  </si>
  <si>
    <t>ביני לבני - 2 כר'</t>
  </si>
  <si>
    <t>קלצקין, משה בן בן ציון</t>
  </si>
  <si>
    <t>ביני עמודי - 2 כר'</t>
  </si>
  <si>
    <t>התאחדות תלמידי ישיבת בית מאיר</t>
  </si>
  <si>
    <t>ביני עמודי - שבועות</t>
  </si>
  <si>
    <t>ישיבת בית הלוי</t>
  </si>
  <si>
    <t>ביני עמודי - עירובין</t>
  </si>
  <si>
    <t>עטיה, מרדכי בן חיים</t>
  </si>
  <si>
    <t>בינת אברהם - 2 כר'</t>
  </si>
  <si>
    <t>לייכטאג, אברהם ישכר דב בן אליהו</t>
  </si>
  <si>
    <t>משנה, שאלות ותשובות, שלחן ערוך ומפרשיו, תלמוד בבלי, תלמוד בבלי</t>
  </si>
  <si>
    <t>בינת אלימלך</t>
  </si>
  <si>
    <t>הלכה ומנהג, שאלות ותשובות, תלמוד בבלי, תלמוד ירושלמי, תנ"ך</t>
  </si>
  <si>
    <t>בינת אמת - 2 כר'</t>
  </si>
  <si>
    <t>מזרחי, יצחק עזרא בן אברהם</t>
  </si>
  <si>
    <t>בינת אשר ותפארת מנחם</t>
  </si>
  <si>
    <t>רוזנבוים, אשר בן אברהם</t>
  </si>
  <si>
    <t>בינת דבר - סנהדרין פ' כה"ג ופ' בן סורר</t>
  </si>
  <si>
    <t>איכארן, גרשון חנוך הכהן</t>
  </si>
  <si>
    <t>בינת דניאל - 8 כר'</t>
  </si>
  <si>
    <t>לרפלד, דניאל בן יהודה ליב</t>
  </si>
  <si>
    <t>בינת הלב &lt;מהדורה חדשה&gt;</t>
  </si>
  <si>
    <t>תאומים, נפתלי הירץ בן יונה</t>
  </si>
  <si>
    <t>בינת הלב</t>
  </si>
  <si>
    <t>שאלות ותשובות, תלמוד בבלי, תלמוד בבלי</t>
  </si>
  <si>
    <t>בינת המדות</t>
  </si>
  <si>
    <t>בינת המשפט - 9 כר'</t>
  </si>
  <si>
    <t>בינת זקנים</t>
  </si>
  <si>
    <t>משפחות פרייל ושווארץ</t>
  </si>
  <si>
    <t>דרושים, מועדי ישראל, מחשבה ומוסר, שלחן ערוך ומפרשיו, תלמוד בבלי, תנ"ך</t>
  </si>
  <si>
    <t>בינת חיים - בבא קמא</t>
  </si>
  <si>
    <t>בינת טהרה</t>
  </si>
  <si>
    <t>קמינצקי, אסף</t>
  </si>
  <si>
    <t>בינת יוסף</t>
  </si>
  <si>
    <t>לוי, בנימין יוסף בן יחזקאל שרגא</t>
  </si>
  <si>
    <t>בינת ישראל</t>
  </si>
  <si>
    <t>בינת יששכר - 2 כר'</t>
  </si>
  <si>
    <t>בלוך, יששכר בר בן שמשון</t>
  </si>
  <si>
    <t>קאהן, יששכר דוב בן יעקב</t>
  </si>
  <si>
    <t>בינת מקרא</t>
  </si>
  <si>
    <t>בינת משה - 2 כר'</t>
  </si>
  <si>
    <t>בינת משפט</t>
  </si>
  <si>
    <t>פלג, אשר בן מרדכי</t>
  </si>
  <si>
    <t>בינת נבונים</t>
  </si>
  <si>
    <t>רבינוביץ, ברוך יהושע ירחמיאל בן נתן דוד</t>
  </si>
  <si>
    <t>בינת נבנים</t>
  </si>
  <si>
    <t>מרכל, ניסן בן יעקב</t>
  </si>
  <si>
    <t>בינת עתים - בין השמשות וזמני היום</t>
  </si>
  <si>
    <t>שרייבער, אליעזר צבי הלוי בן שרגא פייוול</t>
  </si>
  <si>
    <t>בינת צבי - 3 כר'</t>
  </si>
  <si>
    <t>שוב, צבי בנימין בן זבולון</t>
  </si>
  <si>
    <t>בינת ציון</t>
  </si>
  <si>
    <t>רוזנטל, בן ציון</t>
  </si>
  <si>
    <t>בינת ראובן - 3 כר'</t>
  </si>
  <si>
    <t>טרופ, ראובן בן נפתלי</t>
  </si>
  <si>
    <t>בינת שבת</t>
  </si>
  <si>
    <t>בינת שלמה</t>
  </si>
  <si>
    <t>ועקנין, שלמה בן יצחק</t>
  </si>
  <si>
    <t>בינת שמועה - 2 כר'</t>
  </si>
  <si>
    <t>בינדער, עמרם יעקב בן פנחס הכהן</t>
  </si>
  <si>
    <t>בינת שמחה - 2 כר'</t>
  </si>
  <si>
    <t>ולדנברג, שמחה בונם בן אליעזר יהודה</t>
  </si>
  <si>
    <t>בינת תבונות</t>
  </si>
  <si>
    <t>פלס, ? בן יחזקאל</t>
  </si>
  <si>
    <t>ביצחק יקרא</t>
  </si>
  <si>
    <t>נבנצל, אביגדר יחזקאל הלוי</t>
  </si>
  <si>
    <t>ביקור חולים בהלכה ובאגדה</t>
  </si>
  <si>
    <t>מורסקי, אשר זליג</t>
  </si>
  <si>
    <t>ביקור חולים - 2 כר'</t>
  </si>
  <si>
    <t>לוי, משה</t>
  </si>
  <si>
    <t>בירור בדברי הפייטן ותשובה ותפילה וצדקה -  תדפיס</t>
  </si>
  <si>
    <t>הר עציון</t>
  </si>
  <si>
    <t>בירור בדין השימוש בחשמל המיוצר בחילול שבת, רח"ל</t>
  </si>
  <si>
    <t>בירור בטומאת כהנים</t>
  </si>
  <si>
    <t>בירור בענין קשר תפילין של ראש</t>
  </si>
  <si>
    <t>בירור בענין שיתוף ועירוב</t>
  </si>
  <si>
    <t>מילר, אליעזר ליפא הלוי</t>
  </si>
  <si>
    <t>בירור דברים</t>
  </si>
  <si>
    <t>בריזל, אלעזר בן דוד אריה</t>
  </si>
  <si>
    <t>גרינבוים, שמעיה</t>
  </si>
  <si>
    <t>בירור דין הפילטרים</t>
  </si>
  <si>
    <t>מורגנשטרן, ישראל מאיר</t>
  </si>
  <si>
    <t>בירור הטהרה</t>
  </si>
  <si>
    <t>ביטון, אברהם</t>
  </si>
  <si>
    <t>בירור הלכה בענין עדי קדושין</t>
  </si>
  <si>
    <t>רוזנטל, משה אהרן</t>
  </si>
  <si>
    <t>בירור הלכה - ביצה פרק ג'</t>
  </si>
  <si>
    <t>ורנר, שמואל ברוך</t>
  </si>
  <si>
    <t>בירור הלכה - 15 כר'</t>
  </si>
  <si>
    <t>זילבר, יחיאל אברהם בן בנימין יהושע</t>
  </si>
  <si>
    <t>תשל"ו - תשס"ו</t>
  </si>
  <si>
    <t>בירור הלכה - ביצה פרק ב'</t>
  </si>
  <si>
    <t>זק"ש, מרדכי יהודה ליב</t>
  </si>
  <si>
    <t>בירור הלכה</t>
  </si>
  <si>
    <t>קרויז, אשר אנשיל</t>
  </si>
  <si>
    <t>וויליאמסבורג</t>
  </si>
  <si>
    <t>בירור הלכות בעניני תרומות ומעשרות</t>
  </si>
  <si>
    <t>בירור הלכות ברכת הריח</t>
  </si>
  <si>
    <t>בירור הלכות הסיבה</t>
  </si>
  <si>
    <t>בירור הלכות חנוכה</t>
  </si>
  <si>
    <t>בירור הלכות שמן המשחה</t>
  </si>
  <si>
    <t>בירור הסוגיות - גיטין פ"א</t>
  </si>
  <si>
    <t>יעקבזון, יעקב בן אברהם</t>
  </si>
  <si>
    <t>בירור השיטות בענין מראה אדמדם</t>
  </si>
  <si>
    <t>רבינוביץ, שלמה צדוק</t>
  </si>
  <si>
    <t>בירור זמנים</t>
  </si>
  <si>
    <t>ביר, יעקב בן מאיר</t>
  </si>
  <si>
    <t>בירור להלכות יחוד ולאימוץ ילדים</t>
  </si>
  <si>
    <t>בריזל, אלעזר</t>
  </si>
  <si>
    <t>בירור לענין צאה"כ ולילה בארץ ישראל</t>
  </si>
  <si>
    <t>בירור מכח המציאות הנראית</t>
  </si>
  <si>
    <t>בירור מקיף בענין חובת עירוב במקומות ציבוריים</t>
  </si>
  <si>
    <t>ששון, משה</t>
  </si>
  <si>
    <t>בירורי ברכות</t>
  </si>
  <si>
    <t>מאסף תורני ישיבת מיר</t>
  </si>
  <si>
    <t>בירורי דברים</t>
  </si>
  <si>
    <t>לסר</t>
  </si>
  <si>
    <t>בירורי החזקה</t>
  </si>
  <si>
    <t>קופמן, יוסף שלמה בן מיכאל</t>
  </si>
  <si>
    <t>בירורי הלכה במצות תכלת שבציצית</t>
  </si>
  <si>
    <t>בירורי הלכה בענינים ביו"ד</t>
  </si>
  <si>
    <t>בירורי הלכה בשאלות מצויות בין לחש לחזרה</t>
  </si>
  <si>
    <t>אשכנזי, חיים בן משה</t>
  </si>
  <si>
    <t>בירורי הלכה ומנהג</t>
  </si>
  <si>
    <t>בית מדרש אור אבנר</t>
  </si>
  <si>
    <t>רמלה</t>
  </si>
  <si>
    <t>בירורי הלכה - 4 כר'</t>
  </si>
  <si>
    <t>בירורי הלכה - 3 כר'</t>
  </si>
  <si>
    <t>בית מדרש לבירורי הלכות מעשיות</t>
  </si>
  <si>
    <t>בירורי הלכה</t>
  </si>
  <si>
    <t>ווייס, שמשון מאיר</t>
  </si>
  <si>
    <t>בירורי הלכה - ברכות</t>
  </si>
  <si>
    <t>בירורי הלכות</t>
  </si>
  <si>
    <t>פלאטקין, אברהם אליהו</t>
  </si>
  <si>
    <t>רובין, ישראל</t>
  </si>
  <si>
    <t>בירורי המדות</t>
  </si>
  <si>
    <t>מהריל, אהרן שלמה בן כתריאל</t>
  </si>
  <si>
    <t>קיטובר, ישראל בן יצחק דוד</t>
  </si>
  <si>
    <t>בירורי השיטות - מלאכת יום טוב</t>
  </si>
  <si>
    <t>בירורי השיטות - 4 כר'</t>
  </si>
  <si>
    <t>שטיינר, בנימין חיים</t>
  </si>
  <si>
    <t>בירורי חיים - 9 כר'</t>
  </si>
  <si>
    <t>סגל, חיים שלום הלוי</t>
  </si>
  <si>
    <t>בירורי יהדות לאור מחקרים גנטיים</t>
  </si>
  <si>
    <t>בארנבבאום, ישראל - ליטקה, זאב</t>
  </si>
  <si>
    <t>בירורי כיצד מברכין</t>
  </si>
  <si>
    <t>יזדי, אלעד בן יוסף</t>
  </si>
  <si>
    <t>בירורי מועד</t>
  </si>
  <si>
    <t>זקס שטראוס, אביעד בן אריה יהושוע</t>
  </si>
  <si>
    <t>בירורי סוגיות - שנים אוחזין</t>
  </si>
  <si>
    <t>אריאלי, זאב בן שמריהו</t>
  </si>
  <si>
    <t>בירורי סוגיות - 7 כר'</t>
  </si>
  <si>
    <t>ביטאן, אליהו בן שלום</t>
  </si>
  <si>
    <t>בירורי סוגיות</t>
  </si>
  <si>
    <t>בירורי סוגיות - 5 כר'</t>
  </si>
  <si>
    <t>וקסשטוק, יהודה לייב</t>
  </si>
  <si>
    <t>בירורי סוגיות - 2 כר'</t>
  </si>
  <si>
    <t>טופיק, ישראל בן משה</t>
  </si>
  <si>
    <t>רוזמרין, אהרן בן משה</t>
  </si>
  <si>
    <t>בירורי ענינים במסכת שבת</t>
  </si>
  <si>
    <t>ברס, יעקב ישראל</t>
  </si>
  <si>
    <t>בירורים והלכות בדיני מוקצה</t>
  </si>
  <si>
    <t>בירורים ופסקים בדיני חנוכה</t>
  </si>
  <si>
    <t>דבליצקי, שריה בן בצלאל יעקב - סקס, אליעזר משה</t>
  </si>
  <si>
    <t>בירח האתנים</t>
  </si>
  <si>
    <t>לבנון, דוד דב בן ישראל חיים</t>
  </si>
  <si>
    <t>בירך את אברהם</t>
  </si>
  <si>
    <t>פריסקו, אברהם</t>
  </si>
  <si>
    <t>בירך יצחק - 2 כר'</t>
  </si>
  <si>
    <t>ברכה, יצחק בן יעקב</t>
  </si>
  <si>
    <t>בירת מגדל עוז &lt;מהדורה חדשה&gt;</t>
  </si>
  <si>
    <t>בירת מגדל עז</t>
  </si>
  <si>
    <t>אמדן, יעקב ישראל בן צבי</t>
  </si>
  <si>
    <t>אלטונא,</t>
  </si>
  <si>
    <t>בירת מגדל עז - 3 כר'</t>
  </si>
  <si>
    <t>בישול במערכת קיטור</t>
  </si>
  <si>
    <t>בישול בשבת - מדריך הלכתי מאוייר</t>
  </si>
  <si>
    <t>רוזנברג, אהוד</t>
  </si>
  <si>
    <t>בישול ישראל</t>
  </si>
  <si>
    <t>גולדשמידט, טוביה יוסף</t>
  </si>
  <si>
    <t>בישורון מלך</t>
  </si>
  <si>
    <t>מייזליש, יעקב יצחק אלעזר בן יהושע זאב</t>
  </si>
  <si>
    <t>בישישים חכמה</t>
  </si>
  <si>
    <t>בית א"ב קמא</t>
  </si>
  <si>
    <t>בית א"ב - 5 כר'</t>
  </si>
  <si>
    <t>תרנ"ו - תר"פ</t>
  </si>
  <si>
    <t>בית אב"א - 4 כר'</t>
  </si>
  <si>
    <t>רפפורט, אברהם</t>
  </si>
  <si>
    <t>בית אב - 2 כר'</t>
  </si>
  <si>
    <t>ברכה, אלחנן</t>
  </si>
  <si>
    <t>בית אב"י - 5 כר'</t>
  </si>
  <si>
    <t>ליעבעס, יצחק אייזיק</t>
  </si>
  <si>
    <t>בית אב - 6 כר'</t>
  </si>
  <si>
    <t>שלזינגר, אליקים בן דוד</t>
  </si>
  <si>
    <t>בית אבא &lt;תורת אמך&gt;</t>
  </si>
  <si>
    <t>בית אבא</t>
  </si>
  <si>
    <t>גוטווירט, אליהו יהודה בן אליעזר הכהן</t>
  </si>
  <si>
    <t>וואקס, אבא בן שאול</t>
  </si>
  <si>
    <t>תרפ"ב - תרפ"ד</t>
  </si>
  <si>
    <t>חשנ"ה</t>
  </si>
  <si>
    <t>בית אבא, ברכת שרה</t>
  </si>
  <si>
    <t>יזדי, יוסף אריה בן אבא יהודה</t>
  </si>
  <si>
    <t>בית אבות</t>
  </si>
  <si>
    <t>אבות. תר"ף. ורשה</t>
  </si>
  <si>
    <t>הרשמן, שלמה זלמן</t>
  </si>
  <si>
    <t>משה בן ישראל מווירצבורג</t>
  </si>
  <si>
    <t>ספרין, חיים יעקב</t>
  </si>
  <si>
    <t>בית אבי</t>
  </si>
  <si>
    <t>בית אביגדר</t>
  </si>
  <si>
    <t>וויגודר, חיים יהושע זליג בן יהודה ליב</t>
  </si>
  <si>
    <t>הלכה ומנהג, שאר ספרי חז"ל, שלחן ערוך ומפרשיו, תלמוד בבלי, תלמוד ירושלמי</t>
  </si>
  <si>
    <t>בית אבן יהודה</t>
  </si>
  <si>
    <t>שטיינהויז, יהודה בן אהרן</t>
  </si>
  <si>
    <t>בית אברהם &lt;חסר&gt;</t>
  </si>
  <si>
    <t>אברהם אבלי בן נפתלי מקיוב</t>
  </si>
  <si>
    <t>סדילקוב Sudilkov</t>
  </si>
  <si>
    <t>שאלות ותשובות, שלחן ערוך ומפרשיו, שלחן ערוך ומפרשיו, שלחן ערוך ומפרשיו, תנ"ך</t>
  </si>
  <si>
    <t>בית אברהם &lt;מהדורה חדשה&gt;</t>
  </si>
  <si>
    <t>דאנציג, אברהם בן יחיאל מיכל</t>
  </si>
  <si>
    <t>בית אברהם &lt;לחידושים ועיונים בספר אבנ"ז ואג"ט&gt; - 2 כר'</t>
  </si>
  <si>
    <t>ישיבת אבני נזר סוכטשוב</t>
  </si>
  <si>
    <t>בית אברהם לחיים</t>
  </si>
  <si>
    <t>אברהם בן נחמן הכהן</t>
  </si>
  <si>
    <t>שלוניקיSalonika</t>
  </si>
  <si>
    <t>בית אברהם משה - 2 כר'</t>
  </si>
  <si>
    <t>בית אברהם</t>
  </si>
  <si>
    <t>אברהם בן אליהו ראכלציק</t>
  </si>
  <si>
    <t>נושאים שונים, נושאים שונים, תלמוד בבלי</t>
  </si>
  <si>
    <t>בית אברהם - 2 כר'</t>
  </si>
  <si>
    <t>אברהם בן יצחק הכהן</t>
  </si>
  <si>
    <t>אברהם בן ראובן מקושטא</t>
  </si>
  <si>
    <t>אברהם בן שלום טוביה</t>
  </si>
  <si>
    <t>אברהמס, אברהם זוסמאן בן יוסף</t>
  </si>
  <si>
    <t>Koenigsberg קניגסבר</t>
  </si>
  <si>
    <t>אולמאן, אברהם בן שלום</t>
  </si>
  <si>
    <t>בית אברהם - ויקרא</t>
  </si>
  <si>
    <t>גפנר, יששכר אברהם בן י</t>
  </si>
  <si>
    <t>בית אברהם - 6 כר'</t>
  </si>
  <si>
    <t>בית אברהם - ב</t>
  </si>
  <si>
    <t>הכהן, אברהם מגוץ בן כלפון משה</t>
  </si>
  <si>
    <t>הלוי, אברהם בן שמואל זאנוויל</t>
  </si>
  <si>
    <t>בית אברהם - 3 כר'</t>
  </si>
  <si>
    <t>וויינברג, אברהם בן שמואל</t>
  </si>
  <si>
    <t>תש"י - תשי"ג</t>
  </si>
  <si>
    <t>לאנדא, אברהם בן רפאל מצ'כנוב</t>
  </si>
  <si>
    <t>פופר, אברהם יהודה</t>
  </si>
  <si>
    <t>פיינברג, אברהם בן זכריה מנדל</t>
  </si>
  <si>
    <t>משנה, שאר ספרי חז"ל</t>
  </si>
  <si>
    <t>בית אברהם - 5 כר'</t>
  </si>
  <si>
    <t>רובינשטיין, אברהם מאיר בן יעקב ראובן</t>
  </si>
  <si>
    <t>תרס"ז - תרע"ג</t>
  </si>
  <si>
    <t>שטיין, ברוך</t>
  </si>
  <si>
    <t>שרמאן, אברהם יוסף בן יעקב</t>
  </si>
  <si>
    <t>בית אהרן &lt;חלק החידושים&gt;</t>
  </si>
  <si>
    <t>אהרן בן שמואל</t>
  </si>
  <si>
    <t>בית אהרן &lt;מהדורה ראשונה&gt;</t>
  </si>
  <si>
    <t>פרלוב, אהרן בן אשר מקארלין</t>
  </si>
  <si>
    <t>דרושים, מועדי ישראל, משנה, נושאים שונים, תנ"ך</t>
  </si>
  <si>
    <t>בית אהרן והוספת</t>
  </si>
  <si>
    <t>לאווט, אברהם דוד בן יהודה ליב</t>
  </si>
  <si>
    <t>בית אהרן וישראל - 205 כר'</t>
  </si>
  <si>
    <t>בית אהרן על הלכות חדש</t>
  </si>
  <si>
    <t>לוריא, אהרן</t>
  </si>
  <si>
    <t>בית אהרן עם ניצוצי אור - 10 כר'</t>
  </si>
  <si>
    <t>בית אהרן - אגרות הרמ"ה &lt;כתאב אלרסאייל&gt;</t>
  </si>
  <si>
    <t>אבולעפיא, מאיר בן טודרוס הלוי - ספר זכרון</t>
  </si>
  <si>
    <t>בית אהרן - 2 כר'</t>
  </si>
  <si>
    <t>אהרן בן איצק</t>
  </si>
  <si>
    <t>בית אהרן</t>
  </si>
  <si>
    <t>ת"נ - תנ"א</t>
  </si>
  <si>
    <t>אהרן זליג בן יהודה ליווא איש צבי</t>
  </si>
  <si>
    <t>אייזנשטיין, אהרן בן דוב</t>
  </si>
  <si>
    <t>אנגלמאן, אהרן בן גרשון</t>
  </si>
  <si>
    <t>דרושים, הלכה ומנהג, מועדי ישראל, משנה, תולדות עם ישראל, תנ"ך, תפלות בקשות פיוטים ושירה</t>
  </si>
  <si>
    <t>הורביץ, שלמה זלמן</t>
  </si>
  <si>
    <t>בית אהרן - 5 כר'</t>
  </si>
  <si>
    <t>וואלקין, אהרן בן יעקב צבי</t>
  </si>
  <si>
    <t>יצחק אהרן בן יהודה ליב</t>
  </si>
  <si>
    <t>בית אהרן - 10 כר'</t>
  </si>
  <si>
    <t>כהן, אהרן בן אברהם מרדכי</t>
  </si>
  <si>
    <t>תש"כ - תשכ"ב</t>
  </si>
  <si>
    <t>בית אהרן - 11 כר'</t>
  </si>
  <si>
    <t>מגיד, אהרן בן צבי חיים</t>
  </si>
  <si>
    <t>בית אהרן - א ב</t>
  </si>
  <si>
    <t>מירלש, אהרן בן צבי הירש</t>
  </si>
  <si>
    <t>הלכה ומנהג, קבלה, שאלות ותשובות, תנ"ך</t>
  </si>
  <si>
    <t>סוויאדושץ, אהרן משה בן יעקב</t>
  </si>
  <si>
    <t>פולד, אהרן בן משה</t>
  </si>
  <si>
    <t>משנה, נושאים שונים, שאלות ותשובות, תולדות עם ישראל, תלמוד בבלי</t>
  </si>
  <si>
    <t>פייבושביץ, אהרן זליג בן אליהו</t>
  </si>
  <si>
    <t>דרושים, חסידות, חסידות, נושאים שונים, תנ"ך, תפלות בקשות פיוטים ושירה</t>
  </si>
  <si>
    <t>בית אהרן - הוריות</t>
  </si>
  <si>
    <t>צוקרמן, דוב בעריש בן אהרן</t>
  </si>
  <si>
    <t>צורוגון, אהרן</t>
  </si>
  <si>
    <t>תל"ח - תל"ט</t>
  </si>
  <si>
    <t>מועדי ישראל, מועדי ישראל, תנ"ך</t>
  </si>
  <si>
    <t>קלפפיש, אהרן שלמה זלמן בן יעקב זאב</t>
  </si>
  <si>
    <t>קריספין, אהרן בן יהושע אברהם</t>
  </si>
  <si>
    <t>רובין, שמואל אהרן בן צבי אלעזר</t>
  </si>
  <si>
    <t>רייזמאן, אהרן בן יהושע</t>
  </si>
  <si>
    <t>בית אולפנא - 5 כר'</t>
  </si>
  <si>
    <t>אברהם, צבי יעקב בן אברהם</t>
  </si>
  <si>
    <t>תשי"ג - תשי"ט</t>
  </si>
  <si>
    <t>בית אוצר הארות</t>
  </si>
  <si>
    <t>אייזען, אביש הלוי</t>
  </si>
  <si>
    <t>בית אוצר השיעורים - 5 כר'</t>
  </si>
  <si>
    <t>קופמן, מיכאל בן אליהו</t>
  </si>
  <si>
    <t>בית אורי</t>
  </si>
  <si>
    <t>הלדנשטיין, אורי פייבש בן יצחק איצק</t>
  </si>
  <si>
    <t>מועדי ישראל, משנה, שאר ספרי חז"ל, תלמוד בבלי, תנ"ך</t>
  </si>
  <si>
    <t>בית אחיו</t>
  </si>
  <si>
    <t>פלבני, מאיר אהרן בן אברהם</t>
  </si>
  <si>
    <t>בית אל וזמן בית דין</t>
  </si>
  <si>
    <t>חמווי, אברהם שלום חי בן רפאל</t>
  </si>
  <si>
    <t>בית אל - 2 כר'</t>
  </si>
  <si>
    <t>נתנזון, אריה ליבוש בן יצחק הלוי</t>
  </si>
  <si>
    <t>בית אלהי יעקב</t>
  </si>
  <si>
    <t>בן עטר, יעקב בן יהודה</t>
  </si>
  <si>
    <t>בית אלהים &lt;בית משה&gt; - 2 כר'</t>
  </si>
  <si>
    <t>טראני, משה בן יוסף (מבי"ט) - רוברטס, משה יצחק</t>
  </si>
  <si>
    <t>בית אלהים &lt;דפו"ר&gt;</t>
  </si>
  <si>
    <t>בית אלהים</t>
  </si>
  <si>
    <t>אירירה, אברהם בן דוד הכהן</t>
  </si>
  <si>
    <t>בית אלהים - 2 כר'</t>
  </si>
  <si>
    <t>מחשבה ומוסר, תפלות בקשות פיוטים ושירה, תפלות בקשות פיוטים ושירה</t>
  </si>
  <si>
    <t>בית אליהו מרדכי</t>
  </si>
  <si>
    <t>בית אליהו</t>
  </si>
  <si>
    <t>בית אליהו - 2 כר'</t>
  </si>
  <si>
    <t>זילבר, אליהו</t>
  </si>
  <si>
    <t>בית אליהו - 11 כר'</t>
  </si>
  <si>
    <t>ליברמן, אליהו בן יצחק צבי</t>
  </si>
  <si>
    <t>בית אליהו - 3 כר'</t>
  </si>
  <si>
    <t>פישר, אליהו בן יחיאל מיכל</t>
  </si>
  <si>
    <t>שטרנברג, חיים אליהו בן אברהם</t>
  </si>
  <si>
    <t>נושאים שונים, סוגיות, שאלות ותשובות</t>
  </si>
  <si>
    <t>בית אליקום - 2 כר'</t>
  </si>
  <si>
    <t>פודראביניק, אליקום גציל מאיר בן יצחק</t>
  </si>
  <si>
    <t>בית אלנדאף</t>
  </si>
  <si>
    <t>אלנדאף, יונתן</t>
  </si>
  <si>
    <t>בית אלקים</t>
  </si>
  <si>
    <t>דרושים, הלכה ומנהג, מועדי ישראל, נושאים שונים, תפלות בקשות פיוטים ושירה</t>
  </si>
  <si>
    <t>בית אמת</t>
  </si>
  <si>
    <t>לקט מרבותינו אדמור"י גור</t>
  </si>
  <si>
    <t>בית אפרים &lt;החדשות&gt;</t>
  </si>
  <si>
    <t>בית אפרים על התורה</t>
  </si>
  <si>
    <t>הרשקוביץ, אפרים</t>
  </si>
  <si>
    <t>בית אפרים - 15 כר'</t>
  </si>
  <si>
    <t>בית אפרים</t>
  </si>
  <si>
    <t>סופר, נפתלי בן מרדכי אפרים פישל</t>
  </si>
  <si>
    <t>בית ארזים &lt;מהדורה חדשה&gt; - 8 כר'</t>
  </si>
  <si>
    <t>קליין, דוד בן שמואל צבי</t>
  </si>
  <si>
    <t>משנה, משנה, תלמוד בבלי, תלמוד בבלי, תלמוד בבלי, תלמוד בבלי</t>
  </si>
  <si>
    <t>בית ארזים</t>
  </si>
  <si>
    <t>פרידמאן, אליעזר אליהו בן בנימין</t>
  </si>
  <si>
    <t>בית ארזים - 8 כר'</t>
  </si>
  <si>
    <t>תשט"ו - תשל"ז</t>
  </si>
  <si>
    <t>בית אריה יהודה</t>
  </si>
  <si>
    <t>בית אריה</t>
  </si>
  <si>
    <t>הורוויץ, אריה ליבוש בן מאיר הלוי</t>
  </si>
  <si>
    <t>בית אשר - 2 כר'</t>
  </si>
  <si>
    <t>גרינצויג, אשר זליג בן שלום</t>
  </si>
  <si>
    <t>בית אשר</t>
  </si>
  <si>
    <t>שווארץ, אשר זליג בן יעקב צבי</t>
  </si>
  <si>
    <t>קלינורדין Kleinward</t>
  </si>
  <si>
    <t>בית גמליאל - א</t>
  </si>
  <si>
    <t>גמליאל, אריה בן יחיא</t>
  </si>
  <si>
    <t>בית גנזי &lt;פתחי תפלה&gt; - 2 כר'</t>
  </si>
  <si>
    <t>בית גנזי &lt;על התורה&gt; - ח (במדבר ב)</t>
  </si>
  <si>
    <t>בית גנזי</t>
  </si>
  <si>
    <t>בן הלחמי, מאיר</t>
  </si>
  <si>
    <t>דרושים, קבלה, תנ"ך</t>
  </si>
  <si>
    <t>בית גנזי - 2 כר'</t>
  </si>
  <si>
    <t>בית דוד &lt;בית שאול&gt; - א</t>
  </si>
  <si>
    <t>קאמין, דוד בן חיים צבי - ואקנין, שאול</t>
  </si>
  <si>
    <t>בית דוד ושלמה</t>
  </si>
  <si>
    <t>מלול, דוד בן יוסף</t>
  </si>
  <si>
    <t>ירוחם</t>
  </si>
  <si>
    <t>שלמה בן צבי הירש מדובנה</t>
  </si>
  <si>
    <t>תמ"ט</t>
  </si>
  <si>
    <t>בית דוד</t>
  </si>
  <si>
    <t>אשכנזי, דוד טבל בן יעקב</t>
  </si>
  <si>
    <t>תצ"ד</t>
  </si>
  <si>
    <t>בוכנר, דוד יצחק בן גרשון</t>
  </si>
  <si>
    <t>פיוטרקובPiotrkow</t>
  </si>
  <si>
    <t>חסידות, חסידות, שאלות ותשובות, תלמוד בבלי, תנ"ך</t>
  </si>
  <si>
    <t>בית דוד - 2 כר'</t>
  </si>
  <si>
    <t>ביסטריץ, דוד בן קלמן הכהן</t>
  </si>
  <si>
    <t>תרע"א - תרע"ב</t>
  </si>
  <si>
    <t>ברומברג, דוד יצחק בן ראובן</t>
  </si>
  <si>
    <t>גרסון, דוד</t>
  </si>
  <si>
    <t>גרף, משה בן מנחם</t>
  </si>
  <si>
    <t>יוסף דוד בן שבתי משאלוניקי</t>
  </si>
  <si>
    <t>ת"ק - תק"ו</t>
  </si>
  <si>
    <t>לייטר, זאב וולף בן נתן נטע</t>
  </si>
  <si>
    <t>מאווסאס, יהודה ליב</t>
  </si>
  <si>
    <t>מארגארטן, יצחק צבי בן דוד</t>
  </si>
  <si>
    <t>סיטבון, דוד</t>
  </si>
  <si>
    <t>בית דוד - 6 כר'</t>
  </si>
  <si>
    <t>קאמין, דוד בן חיים צבי</t>
  </si>
  <si>
    <t>קובץ בית מדרש  בית דוד</t>
  </si>
  <si>
    <t>בית דוד - 3 כר'</t>
  </si>
  <si>
    <t>קובץ בית מדרש בית דוד</t>
  </si>
  <si>
    <t>קורינאלדי, דוד חיים בן יהודה משה</t>
  </si>
  <si>
    <t>תצ"ח - תצ"ט</t>
  </si>
  <si>
    <t>רובין, דוד טבל בן משה</t>
  </si>
  <si>
    <t>שאול, דוד צבי בן חיים שלום</t>
  </si>
  <si>
    <t>דרושים, הלכה ומנהג, שאלות ותשובות, שאר ספרי חז"ל, תלמוד בבלי, תנ"ך</t>
  </si>
  <si>
    <t>בית דין שמואל</t>
  </si>
  <si>
    <t>מקשן, שמואל בן פינחס הכהן</t>
  </si>
  <si>
    <t>בית דין</t>
  </si>
  <si>
    <t>בית דינו של שלמה &lt;מכון הכתב&gt;</t>
  </si>
  <si>
    <t>לאניאדו, רפאל שלמה בן שמואל</t>
  </si>
  <si>
    <t>בית דינו של שלמה</t>
  </si>
  <si>
    <t>תקל"ה</t>
  </si>
  <si>
    <t>בית דניאל</t>
  </si>
  <si>
    <t>דינר, רפאל בן מרדכי הלוי</t>
  </si>
  <si>
    <t>בית האוצר</t>
  </si>
  <si>
    <t>אליהו צבי בן יעקב</t>
  </si>
  <si>
    <t>בית האוצר - 2 כר'</t>
  </si>
  <si>
    <t>תרפ"ז - תרפ"ט</t>
  </si>
  <si>
    <t>בית האוצר - א</t>
  </si>
  <si>
    <t>ועד אוצר התורה בקזבלנקה</t>
  </si>
  <si>
    <t>קזבלנקה</t>
  </si>
  <si>
    <t>חלפן, אברהם מתתיהו בן רפאל</t>
  </si>
  <si>
    <t>תר"נ - תרנ"א</t>
  </si>
  <si>
    <t>תרס"ג - תרס"ח</t>
  </si>
  <si>
    <t>בית האוצר - 25 כר'</t>
  </si>
  <si>
    <t>בית הבחירה</t>
  </si>
  <si>
    <t>לוו, אפרים</t>
  </si>
  <si>
    <t>בית הבחירה - 52 כר'</t>
  </si>
  <si>
    <t>מאירי, מנחם בן שלמה</t>
  </si>
  <si>
    <t>בית הדפוס העברי הראשון בירושלם</t>
  </si>
  <si>
    <t>בית הועד - בשר בחלב, שבת</t>
  </si>
  <si>
    <t>בית ועד לרבנים</t>
  </si>
  <si>
    <t>בית הועד</t>
  </si>
  <si>
    <t>נושאים שונים, קבצים וכתבי עת, ספרי זכרון ויובל, קבצים וכתבי עת, ספרי זכרון ויובל</t>
  </si>
  <si>
    <t>בית הוראה (קיצור)</t>
  </si>
  <si>
    <t>אדיר, אליהו</t>
  </si>
  <si>
    <t>בית הוראה</t>
  </si>
  <si>
    <t>בית הוראה - א</t>
  </si>
  <si>
    <t>מאיר, אריאל</t>
  </si>
  <si>
    <t>בית החיים</t>
  </si>
  <si>
    <t>בשארי, עמנואל - רצאבי, יצחק</t>
  </si>
  <si>
    <t>חורי, שושן בן ינון</t>
  </si>
  <si>
    <t>בית היוצ"ר</t>
  </si>
  <si>
    <t>רוט, יואל צבי בן שמעון</t>
  </si>
  <si>
    <t>תרנ"ו - תרס"ב</t>
  </si>
  <si>
    <t>דרושים, דרושים, שאלות ותשובות, תלמוד בבלי</t>
  </si>
  <si>
    <t>בית היין</t>
  </si>
  <si>
    <t>גרודזנסקי, צבי הירש בן מאיר</t>
  </si>
  <si>
    <t>וילהלם, נחמן יוסף</t>
  </si>
  <si>
    <t>בית היין - מוקצה</t>
  </si>
  <si>
    <t>זיסו, אהרן בן יצחק דוד</t>
  </si>
  <si>
    <t>יונגרמן, יעקב ישראל</t>
  </si>
  <si>
    <t>ישראל, רפאל יצחק בן דוד</t>
  </si>
  <si>
    <t>ליברמן, משה בן יצחק צבי</t>
  </si>
  <si>
    <t>בית היין - 2 כר'</t>
  </si>
  <si>
    <t>לנגרמן, מאיר יהודה ליבוש</t>
  </si>
  <si>
    <t>בית הילל השלם</t>
  </si>
  <si>
    <t>הלר, צבי הירש בן משה הכהן</t>
  </si>
  <si>
    <t>בית הילל</t>
  </si>
  <si>
    <t>הילל בן מרדכי מטיסמניץ</t>
  </si>
  <si>
    <t>תק"ד</t>
  </si>
  <si>
    <t>בית הילל - 2 כר'</t>
  </si>
  <si>
    <t>הילל בן נפתלי הירץ</t>
  </si>
  <si>
    <t>תנ"א</t>
  </si>
  <si>
    <t>בית הכנסת כהלכה</t>
  </si>
  <si>
    <t>שמואלי, מאיר דוד בן שלום</t>
  </si>
  <si>
    <t>בית הכנסת שבבעלזא</t>
  </si>
  <si>
    <t>מכון שמן רוקח</t>
  </si>
  <si>
    <t>בית הכנסת - 5 כר'</t>
  </si>
  <si>
    <t>בית הכנסת</t>
  </si>
  <si>
    <t>תש"ה - תש"ח</t>
  </si>
  <si>
    <t>הכהן, מרדכי בן חנוך חיים</t>
  </si>
  <si>
    <t>בית הכפרת</t>
  </si>
  <si>
    <t>בית הלוי &lt;מהדורה חדשה&gt; - 4 כר'</t>
  </si>
  <si>
    <t>סולובייצ'יק, יוסף דוב בן יצחק זאב הלוי</t>
  </si>
  <si>
    <t>בית הלוי ותורת הבית</t>
  </si>
  <si>
    <t>זנוויל, משה אלעזר בן שמואל הלוי</t>
  </si>
  <si>
    <t>תקס"ט הס'</t>
  </si>
  <si>
    <t>משנה, משנה</t>
  </si>
  <si>
    <t>בית הלוי על מצות הבטחון</t>
  </si>
  <si>
    <t>בית הלוי</t>
  </si>
  <si>
    <t>הורוויץ, ישעיה בן יעקב הלוי</t>
  </si>
  <si>
    <t>תכ"ו</t>
  </si>
  <si>
    <t>בית הלוי - 2 כר'</t>
  </si>
  <si>
    <t>ירוחם חיים בן יוסף הלוי</t>
  </si>
  <si>
    <t>תקפ"ג ותקס"ג הוא ט"ס</t>
  </si>
  <si>
    <t>סגל, ירוחם חיים בן יוסף</t>
  </si>
  <si>
    <t>קרית מלאכי</t>
  </si>
  <si>
    <t>בית הלוי - סוגיות חנוכה</t>
  </si>
  <si>
    <t>סולובייצ'יק, יוסף דוב בן יצחק זאב הלוי - כנרתי, עמיחי</t>
  </si>
  <si>
    <t>בית הלוי - 6 כר'</t>
  </si>
  <si>
    <t>תרכ"ג - תרל"ד</t>
  </si>
  <si>
    <t>בית הלחמי - 5 כר'</t>
  </si>
  <si>
    <t>דייטש סג"ל, יהושע</t>
  </si>
  <si>
    <t>בית הלל &lt;מהדורה חדשה&gt;</t>
  </si>
  <si>
    <t>הלל בן רפאל</t>
  </si>
  <si>
    <t>בית הלל - רבי הלל אונסדופר</t>
  </si>
  <si>
    <t>אונסדופר, אהרן בן הלל</t>
  </si>
  <si>
    <t>בית הלל - א</t>
  </si>
  <si>
    <t>בית הלל</t>
  </si>
  <si>
    <t>כגן, חיים יעקב בן הלל</t>
  </si>
  <si>
    <t>ליבשיץ, הילל אריה בן דוב זאב</t>
  </si>
  <si>
    <t>ליוואנט, משה אליהו בן הלל הלוי</t>
  </si>
  <si>
    <t>פוסק, הילל בן אליהו</t>
  </si>
  <si>
    <t>בית הלל - 52 כר'</t>
  </si>
  <si>
    <t>בית המדות</t>
  </si>
  <si>
    <t>פראנקל, יוסף אהרן בן משה</t>
  </si>
  <si>
    <t>בית המדרש של שם ועבר</t>
  </si>
  <si>
    <t>אפפלבוים, שמריהו בן מרדכי</t>
  </si>
  <si>
    <t>בית המדרש שם ועבר</t>
  </si>
  <si>
    <t>שכטר, נחום שמריהו</t>
  </si>
  <si>
    <t>בית המדרש</t>
  </si>
  <si>
    <t>וויגודר, מאיר יואל בן יהודה ליב</t>
  </si>
  <si>
    <t>דרושים, מחשבה ומוסר, תלמוד בבלי, תנ"ך, תפלות בקשות פיוטים ושירה</t>
  </si>
  <si>
    <t>ראבבינאוויץ, חיים בן אברהם</t>
  </si>
  <si>
    <t>פאדגורזע - קראקא</t>
  </si>
  <si>
    <t>בית המלך</t>
  </si>
  <si>
    <t>בוים, יוסף אריה ליב בן נחום</t>
  </si>
  <si>
    <t>דרושים, הלכה ומנהג, שאר ספרי חז"ל, שלחן ערוך ומפרשיו, תנ"ך</t>
  </si>
  <si>
    <t>בית המלכות</t>
  </si>
  <si>
    <t>הלוי, ישעיה יעקב בן יהודה ליב</t>
  </si>
  <si>
    <t>מערכת בית צדיקים (באבוב)</t>
  </si>
  <si>
    <t>בית הסופר</t>
  </si>
  <si>
    <t>שווימר, מנחם מנדל בן יונתן בנימין בייניש</t>
  </si>
  <si>
    <t>בית העוזיאלי</t>
  </si>
  <si>
    <t>עוזיאל, יהודה</t>
  </si>
  <si>
    <t>בית העלמין של יהודי שאלוניקי</t>
  </si>
  <si>
    <t>בית הקברות הישן בתל-אביב</t>
  </si>
  <si>
    <t>קרול, צבי בן מרדכי</t>
  </si>
  <si>
    <t>בית הראה</t>
  </si>
  <si>
    <t>פלורנטין, שמואל בן דוד</t>
  </si>
  <si>
    <t>בית השואבה &lt;מהדורת אור ודרך&gt;</t>
  </si>
  <si>
    <t>אשכנזי, יהודה שמואל</t>
  </si>
  <si>
    <t>בית השואבה - בית מועד</t>
  </si>
  <si>
    <t>אשכנזי, יהודה שמואל בן יעקב</t>
  </si>
  <si>
    <t>בית השואבה</t>
  </si>
  <si>
    <t>בית השואבה - קונטרסי עיר על תלה</t>
  </si>
  <si>
    <t>גרינפלד, שמואל</t>
  </si>
  <si>
    <t>משפחת לקריץ</t>
  </si>
  <si>
    <t>בית השואבה - 2 כר'</t>
  </si>
  <si>
    <t>שוואב, שמעון בן יהודה ליב</t>
  </si>
  <si>
    <t>בית השם &lt;מסכת מדות מבוארת בתוספת תמונות&gt;</t>
  </si>
  <si>
    <t>שטרן יחיאל מיכל בן משה אהרן</t>
  </si>
  <si>
    <t>בית השם - 8 כר'</t>
  </si>
  <si>
    <t>מלכה, נסים</t>
  </si>
  <si>
    <t>בית התלמוד - (ח) סוכה ושביעית</t>
  </si>
  <si>
    <t>כולל אברכים בית התלמוד - נוה יהושע</t>
  </si>
  <si>
    <t>בית התלמוד - 4 כר'</t>
  </si>
  <si>
    <t>קובץ כולל ישיבת בית התלמוד</t>
  </si>
  <si>
    <t>בית התלמוד - שיעורי רבי דב שוורצמן בעניני מלאכת הוצאה</t>
  </si>
  <si>
    <t>שוורצמן, דב</t>
  </si>
  <si>
    <t>בית וועד</t>
  </si>
  <si>
    <t>קובץ אמרי מחשבה ומוסר</t>
  </si>
  <si>
    <t>בית ומנוחה</t>
  </si>
  <si>
    <t>שטרן, משה אהרן</t>
  </si>
  <si>
    <t>בית ועד לחכמים &lt;כנוס סופרים&gt;</t>
  </si>
  <si>
    <t>בית ועד לחכמים &lt;נאראל&gt; - 2 כר'</t>
  </si>
  <si>
    <t>מאסף חידושי תורה</t>
  </si>
  <si>
    <t>בית ועד לחכמים - 6 כר'</t>
  </si>
  <si>
    <t>אברמוביץ, דובער (עורך)</t>
  </si>
  <si>
    <t>בית ועד לחכמים - 11 כר'</t>
  </si>
  <si>
    <t>בית ועד לחכמים רמת שלמה</t>
  </si>
  <si>
    <t>בית ועד לחכמים - 16 כר'</t>
  </si>
  <si>
    <t>בית ועד לחכמים</t>
  </si>
  <si>
    <t>בית ועד לחכמים - 9 כר'</t>
  </si>
  <si>
    <t>בית מדרש בית ישראל עזרת תורה</t>
  </si>
  <si>
    <t>בית ועד לחכמים - 8 כר'</t>
  </si>
  <si>
    <t>דייכעס, ישראל חיים (עורך)</t>
  </si>
  <si>
    <t>תרס"ב-תרס"ד</t>
  </si>
  <si>
    <t>וואכסמאן, אברהם בן פינחס</t>
  </si>
  <si>
    <t>בית ועד לחכמים - 2 כר'</t>
  </si>
  <si>
    <t>סאמעט, אשר זעליג</t>
  </si>
  <si>
    <t>רוטשטיין, מרדכי בן יעקב זאב</t>
  </si>
  <si>
    <t>שוומר, שמואל בן דוד ליב</t>
  </si>
  <si>
    <t>יס Jassy</t>
  </si>
  <si>
    <t>בית ועד לתורה - 3 כר'</t>
  </si>
  <si>
    <t>בית ועד</t>
  </si>
  <si>
    <t>ברודא, אברהם אהרן בן שלום</t>
  </si>
  <si>
    <t>בית ועד - 2 כר'</t>
  </si>
  <si>
    <t>קובץ בני הישיבות</t>
  </si>
  <si>
    <t>בית ועד - 13 כר'</t>
  </si>
  <si>
    <t>קובץ שיחות ומאמרי מוסר</t>
  </si>
  <si>
    <t>בית ועד - משלי א-ו</t>
  </si>
  <si>
    <t>בית זבול - 6 כר'</t>
  </si>
  <si>
    <t>חרל"פ, יעקב משה בן זבולון</t>
  </si>
  <si>
    <t>תש"ב - תשכ"ב</t>
  </si>
  <si>
    <t>בית זבידה</t>
  </si>
  <si>
    <t>בית זקנים וזקנות הכללי</t>
  </si>
  <si>
    <t>בית חדש החדשות</t>
  </si>
  <si>
    <t>בית חורין - 2 כר'</t>
  </si>
  <si>
    <t>הגדה של פסח. תקכ"ז. מץ</t>
  </si>
  <si>
    <t>בית חיינו - 6 כר'</t>
  </si>
  <si>
    <t>אסופה מוסרית</t>
  </si>
  <si>
    <t>בית חיינו - קובץ בעיניני ירושלים והמקדש</t>
  </si>
  <si>
    <t>גל-עזר, יוסף בן יגאל</t>
  </si>
  <si>
    <t>בית חיינו - 3 כר'</t>
  </si>
  <si>
    <t>בית חיינו</t>
  </si>
  <si>
    <t>פררה, חיים בן יוסף</t>
  </si>
  <si>
    <t>בית חכמה</t>
  </si>
  <si>
    <t>בית חתנים - 2 כר'</t>
  </si>
  <si>
    <t>בית יד</t>
  </si>
  <si>
    <t>בית ידידיה - 2 כר'</t>
  </si>
  <si>
    <t>תרס"ד - תרס"ז</t>
  </si>
  <si>
    <t>בית יהודא וישראל</t>
  </si>
  <si>
    <t>לוו, ישראל בן אריה יהודה</t>
  </si>
  <si>
    <t>בית יהודה (חידושי מהריב"ן) - 3 כר'</t>
  </si>
  <si>
    <t>יהודה בן ניסן מקאליש</t>
  </si>
  <si>
    <t>בית יהודה</t>
  </si>
  <si>
    <t>אויזרמאן, יהודה אשר בן אליהו</t>
  </si>
  <si>
    <t>בית יהודה - 2 כר'</t>
  </si>
  <si>
    <t>בוגץ, יצחק בן יהודה ליב</t>
  </si>
  <si>
    <t>גלבארד, יהודה צבי הירש בן משה יצחק</t>
  </si>
  <si>
    <t>בית יהודה - א</t>
  </si>
  <si>
    <t>תמ"ז</t>
  </si>
  <si>
    <t>ימיני, ישי בן אבנר</t>
  </si>
  <si>
    <t>כולל לאקענבך</t>
  </si>
  <si>
    <t>בית יהודה - א,ב,ג</t>
  </si>
  <si>
    <t>לאנדא, יהודה בן יוסף</t>
  </si>
  <si>
    <t>שצ"ה-שצ"ו</t>
  </si>
  <si>
    <t>עייאש, יהודה בן יצחק</t>
  </si>
  <si>
    <t>תק"ו</t>
  </si>
  <si>
    <t>פלוצקי, אלעזר יהודה ליב בן מאיר דן רפאל</t>
  </si>
  <si>
    <t>פרנקל, יהודה בן יצחק הלוי</t>
  </si>
  <si>
    <t>שפירא, אלתר אליקים שרגא בן חיים שמעון</t>
  </si>
  <si>
    <t>מועדי ישראל, שאלות ותשובות, תנ"ך</t>
  </si>
  <si>
    <t>תפילות. סידור. תרע"ד. ניו יורק</t>
  </si>
  <si>
    <t>בית יהושע - 2 כר'</t>
  </si>
  <si>
    <t>דרושים, הלכה ומנהג, שלחן ערוך ומפרשיו, תנ"ך</t>
  </si>
  <si>
    <t>בית יוסף חדש</t>
  </si>
  <si>
    <t>שלזינגר, עקיבא יוסף בן יחיאל</t>
  </si>
  <si>
    <t>תרל"ה - תרמ"א</t>
  </si>
  <si>
    <t>בית יוסף להבה - תולדות מהרי"ץ א</t>
  </si>
  <si>
    <t>דושינסקי, יוסף צבי בן ישראל (אודותיו)</t>
  </si>
  <si>
    <t>בית יוסף להבה</t>
  </si>
  <si>
    <t>וויס, חיים</t>
  </si>
  <si>
    <t>בית יוסף צבי - 3 כר'</t>
  </si>
  <si>
    <t>קארליבאך, שלמה בן יוסף צבי</t>
  </si>
  <si>
    <t>תר"ע - תרע"ו</t>
  </si>
  <si>
    <t>בית יוסף - 2 כר'</t>
  </si>
  <si>
    <t>דירנפלד, אברהם בן ישראל</t>
  </si>
  <si>
    <t>תרצ"ח - תרצ"ט</t>
  </si>
  <si>
    <t>בית יחזקאל</t>
  </si>
  <si>
    <t>מיכלזון, צבי יחזקאל בן אברהם חיים</t>
  </si>
  <si>
    <t>דרושים, נושאים שונים, שאלות ותשובות, תולדות עם ישראל</t>
  </si>
  <si>
    <t>בית יחזקאל - 5 כר'</t>
  </si>
  <si>
    <t>בית יחזקאל - 2 כר'</t>
  </si>
  <si>
    <t>צוריאל, משה יחיאל הלוי</t>
  </si>
  <si>
    <t>בית יחיאל - 17 כר'</t>
  </si>
  <si>
    <t>פרידמן, חנוך - כולל בית יחיאל</t>
  </si>
  <si>
    <t>בית יעקב &lt;מהדורה חדשה&gt; - תולדות הצדיקים</t>
  </si>
  <si>
    <t>גרינוואלד, יעקב בן יוסף</t>
  </si>
  <si>
    <t>בית יעקב &lt;מהדורה חדשה&gt;</t>
  </si>
  <si>
    <t>יאנובסקי, יעקב אהרן בן משה</t>
  </si>
  <si>
    <t>בית יעקב &lt;דפו"ר&gt;</t>
  </si>
  <si>
    <t>הרובישוב Hrubieszow</t>
  </si>
  <si>
    <t>הלכה ומנהג, שאלות ותשובות, שלחן ערוך ומפרשיו, תלמוד בבלי</t>
  </si>
  <si>
    <t>בית יעקב אש &lt;ביאור איוב&gt;</t>
  </si>
  <si>
    <t>יעקב אור שרגא פייבל בן מנחם נחום</t>
  </si>
  <si>
    <t>בית יעקב מחצית השקל</t>
  </si>
  <si>
    <t>גרינברג, שלום בן יעקב</t>
  </si>
  <si>
    <t>בית יעקב שנקרא מליץ ישר</t>
  </si>
  <si>
    <t>יעקב בן יצחק, מינוב</t>
  </si>
  <si>
    <t>זאלקווא</t>
  </si>
  <si>
    <t>בית יעקב</t>
  </si>
  <si>
    <t>בירב, יעקב בן משה</t>
  </si>
  <si>
    <t>בן בארון, שלמה חי בן יוסף ן' הלל חי</t>
  </si>
  <si>
    <t>ברודא, ברוך בן יעקב</t>
  </si>
  <si>
    <t>הלכה ומנהג, הלכה ומנהג, משנה</t>
  </si>
  <si>
    <t>בית יעקב - 2 כר'</t>
  </si>
  <si>
    <t>בית יעקב - א</t>
  </si>
  <si>
    <t>הורוויץ, יעקב בן אברהם הלוי מווילנא</t>
  </si>
  <si>
    <t>היבשר, יעקב בן שניאור זלמן</t>
  </si>
  <si>
    <t>תרע"ג - תרצ"ב</t>
  </si>
  <si>
    <t>הלפרין, שמעון בן יעקב ישראל</t>
  </si>
  <si>
    <t>וויילר, יעקב בן יוסף</t>
  </si>
  <si>
    <t>חדאד, יעקב בן מעתוק עזיזי</t>
  </si>
  <si>
    <t>בית יעקב  - ב</t>
  </si>
  <si>
    <t>טראב-מסלתון, יעקב הכהן</t>
  </si>
  <si>
    <t>תרס"ז אחרי</t>
  </si>
  <si>
    <t>יעקב בן שמואל מצויזמיר</t>
  </si>
  <si>
    <t>תנ"ו</t>
  </si>
  <si>
    <t>יעקב זאב וולף בן צבי הירש</t>
  </si>
  <si>
    <t>בית יעקב - 164 כר'</t>
  </si>
  <si>
    <t>ירחון לעניני חינוך ספרות ומחשבה</t>
  </si>
  <si>
    <t>כ"ץ, אברהם בן יחיאל מיכל מלאסק</t>
  </si>
  <si>
    <t>להב, יעקב בן זכריה</t>
  </si>
  <si>
    <t>בית יעקב - 4 כר'</t>
  </si>
  <si>
    <t>ליינר, יעקב בן מרדכי יוסף</t>
  </si>
  <si>
    <t>תר"נ - תרצ"ז</t>
  </si>
  <si>
    <t>ספרין, חיים יעקב בן אברהם מרדכי</t>
  </si>
  <si>
    <t>חסידות, תלמוד בבלי</t>
  </si>
  <si>
    <t>בית יעקב - 3 כר'</t>
  </si>
  <si>
    <t>פלאנצגראבן, יעקב</t>
  </si>
  <si>
    <t>תש"ט - תשכ"א</t>
  </si>
  <si>
    <t>פלדבוי, יעקב מרדכי</t>
  </si>
  <si>
    <t>בית יעקב - וזאת ליהודה</t>
  </si>
  <si>
    <t>[תרפ"ח],</t>
  </si>
  <si>
    <t>רודרמאן, יעקב בן אריה ליב</t>
  </si>
  <si>
    <t>בית יער</t>
  </si>
  <si>
    <t>רובין, עזריאל יחיאל בן שמואל</t>
  </si>
  <si>
    <t>בית יצחק הלוי - 3 כר'</t>
  </si>
  <si>
    <t>כולל בית יצחק הלוי</t>
  </si>
  <si>
    <t>בית יצחק - 11 כר'</t>
  </si>
  <si>
    <t>ברטלר, יצחק אייזיק בן מנחם אשר</t>
  </si>
  <si>
    <t>בית יצחק - 3 כר'</t>
  </si>
  <si>
    <t>ווייס, יצחק אייזיק בן אברהם</t>
  </si>
  <si>
    <t>בית יצחק - 2 כר'</t>
  </si>
  <si>
    <t>וינברגר, אלתר יצחק אייזיק</t>
  </si>
  <si>
    <t>בית יצחק - 4 כר'</t>
  </si>
  <si>
    <t>בית יצחק</t>
  </si>
  <si>
    <t>יצחק בן שמשון מווארקי</t>
  </si>
  <si>
    <t>מועדי ישראל, משנה, תלמוד בבלי, תלמוד בבלי, תנ"ך</t>
  </si>
  <si>
    <t>בית יצחק - 50 כר'</t>
  </si>
  <si>
    <t>ישיבת רבנו יצחק אלחנן</t>
  </si>
  <si>
    <t>מכון בית יצחק - אוצר הפוסקים</t>
  </si>
  <si>
    <t>פינקלשטיין, שמעון יצחק בן יהודה צבי הלוי</t>
  </si>
  <si>
    <t>פרידמן, נפתלי הירצקא</t>
  </si>
  <si>
    <t>בית יצחק - על התורה</t>
  </si>
  <si>
    <t>רייטבורד, יצחק בן ניסן</t>
  </si>
  <si>
    <t>בית יצחק - 9 כר'</t>
  </si>
  <si>
    <t>שמלקס, יצחק יהודה בן חיים שמואל שמלקה</t>
  </si>
  <si>
    <t>תרל"ה - תרס"ח</t>
  </si>
  <si>
    <t>בית ירוחם</t>
  </si>
  <si>
    <t>בית ישורון - ב"מ</t>
  </si>
  <si>
    <t>אלטוסקי, ישראל בן חיים דב</t>
  </si>
  <si>
    <t>בית ישחק &lt;מהדורה חדשה&gt;</t>
  </si>
  <si>
    <t>גאטינייו, יצחק בן אליקים</t>
  </si>
  <si>
    <t>בית ישחק</t>
  </si>
  <si>
    <t>בית ישי - חלק פירות האילן</t>
  </si>
  <si>
    <t>גבאי, ישי</t>
  </si>
  <si>
    <t>אדם</t>
  </si>
  <si>
    <t>בית ישי - 2 כר'</t>
  </si>
  <si>
    <t>פישר, שלמה יהונתן יהודה</t>
  </si>
  <si>
    <t>בית ישראל &lt;עין יעקב&gt; - ב</t>
  </si>
  <si>
    <t>תצ"ח - ת"ק</t>
  </si>
  <si>
    <t>בית ישראל &lt;מהדורת הצבי והצדק&gt;</t>
  </si>
  <si>
    <t>בית ישראל &lt;מהדורה חדשה&gt; א</t>
  </si>
  <si>
    <t>בנבנישתי, ישראל בן אליעזר</t>
  </si>
  <si>
    <t>בית ישראל &lt;מהדורה חדשה&gt; ב, ג</t>
  </si>
  <si>
    <t>בית ישראל &lt;מהדורה חדשה&gt; - ברכות</t>
  </si>
  <si>
    <t>בית ישראל (טור - חושן משפט)</t>
  </si>
  <si>
    <t>יהושע פאלק בן אלכסנדר הכהן</t>
  </si>
  <si>
    <t>בית ישראל בפולין - 2 כר'</t>
  </si>
  <si>
    <t>היילפרין, ישראל בן שלמה</t>
  </si>
  <si>
    <t>תש"ח-תשי"ד</t>
  </si>
  <si>
    <t>בית ישראל השלם - ו (ליקוטי נביאים וכתובים) - פניני ישראל</t>
  </si>
  <si>
    <t>טויסיג, ישראל - טויסיג, ישראל, בן בונם</t>
  </si>
  <si>
    <t>בית ישראל השלם - 7 כר'</t>
  </si>
  <si>
    <t>טויסיג, ישראל</t>
  </si>
  <si>
    <t>בית ישראל להבה - ממרן הבית ישראל</t>
  </si>
  <si>
    <t>בית ישראל קמא - א</t>
  </si>
  <si>
    <t>בית ישראל תליתאה - 3 כר'</t>
  </si>
  <si>
    <t>בית ישראל תנינא - 2 כר'</t>
  </si>
  <si>
    <t>בית ישראל - 2 כר'</t>
  </si>
  <si>
    <t>בית ישראל</t>
  </si>
  <si>
    <t>תל"ח</t>
  </si>
  <si>
    <t>בית ישראל - 7 כר'</t>
  </si>
  <si>
    <t>ברוין, ישראל חיים בן פייבל</t>
  </si>
  <si>
    <t>תר"ס - תרס"ה</t>
  </si>
  <si>
    <t>דוידסון, ישראל בן יצחק</t>
  </si>
  <si>
    <t>בית ישראל - ברכות</t>
  </si>
  <si>
    <t>בית ישראל - 4 כר'</t>
  </si>
  <si>
    <t>בית ישראל - פסחים, יומא, ר"ה, מגילה, מו"ק, מנחות</t>
  </si>
  <si>
    <t>הורוויץ, ישראל זאב בן דוד יהודה</t>
  </si>
  <si>
    <t>ז"ק, ראובן בן צבי דוד</t>
  </si>
  <si>
    <t>טורצקי, צבי בן שלמה</t>
  </si>
  <si>
    <t>מחשבה ומוסר, שונות, תלמוד בבלי</t>
  </si>
  <si>
    <t>יצחק יהושע בן ישראל מקארליץ</t>
  </si>
  <si>
    <t>[תרצ"ח,</t>
  </si>
  <si>
    <t>כהנא, ישראל בן מרדכי הכהן</t>
  </si>
  <si>
    <t>תר"ל הס'</t>
  </si>
  <si>
    <t>לאו, משה חיים בן צבי יהודה</t>
  </si>
  <si>
    <t>לאנדא, ישראל אברהם אלטר בן שלום</t>
  </si>
  <si>
    <t>לווין, אריה ליב בן נתן</t>
  </si>
  <si>
    <t>ליברפול Liverpool</t>
  </si>
  <si>
    <t>לרנר, ישראל אברהם בן שבח זאב</t>
  </si>
  <si>
    <t>בית ישראל - הלכות יום טוב</t>
  </si>
  <si>
    <t>קטן, משה בן פסח</t>
  </si>
  <si>
    <t>מחשבה ומוסר, משנה, נושאים שונים, נושאים שונים, תלמוד בבלי, תנ"ך</t>
  </si>
  <si>
    <t>שלומוביץ, ישראל זלמן בן משה משיל</t>
  </si>
  <si>
    <t>שפירא, ישראל בן נתן</t>
  </si>
  <si>
    <t>שלחן ערוך ומפרשיו, תנ"ך</t>
  </si>
  <si>
    <t>בית יששכר - 2 כר'</t>
  </si>
  <si>
    <t>פרנקל, יששכר דוב בן יצחק</t>
  </si>
  <si>
    <t>בית כנסת כהלכה</t>
  </si>
  <si>
    <t>רבני ואברכי בית מדרש מכון הרמח"ל</t>
  </si>
  <si>
    <t>בית לאבות - 2 כר'</t>
  </si>
  <si>
    <t>לוי, יעקב יהודה ליב בן אברהם</t>
  </si>
  <si>
    <t>בית לוי</t>
  </si>
  <si>
    <t>ביננשטוק, לוי בן דוד יצחק</t>
  </si>
  <si>
    <t>נושאים שונים, שאלות ותשובות, שלחן ערוך ומפרשיו, תלמוד בבלי, תלמוד בבלי</t>
  </si>
  <si>
    <t>בית לוי - 2 כר'</t>
  </si>
  <si>
    <t>גולדברג, נפתלי צבי בן חיים הלוי</t>
  </si>
  <si>
    <t>לוי בן שלמה</t>
  </si>
  <si>
    <t>לוי, יעקב ישראל</t>
  </si>
  <si>
    <t>קאפשטיין, יעקב בן מרדכי סנדר</t>
  </si>
  <si>
    <t>שפירא, לוי בן אריה ליב</t>
  </si>
  <si>
    <t>בית לחם יהודא</t>
  </si>
  <si>
    <t>צבי הירש בן עזריאל</t>
  </si>
  <si>
    <t>בית לחם יהודה</t>
  </si>
  <si>
    <t>בית לחם יהודה - 9 כר'</t>
  </si>
  <si>
    <t>דביר, יהודה מאיר בן אליעזר</t>
  </si>
  <si>
    <t>שפ"ה</t>
  </si>
  <si>
    <t>בית לחם יהודה - 2 כר'</t>
  </si>
  <si>
    <t>תרצ"ו - תרצ"ט</t>
  </si>
  <si>
    <t>בית לחם יהודי</t>
  </si>
  <si>
    <t>רטק, יהודה ליב יחיאל מיכל בן אברהם</t>
  </si>
  <si>
    <t>בית ליליינטהאל בירושלם</t>
  </si>
  <si>
    <t>ווייס, מרדכי ישראל בן יהודה אהרן</t>
  </si>
  <si>
    <t>בית לשמי</t>
  </si>
  <si>
    <t>ישיבת לוצרן</t>
  </si>
  <si>
    <t>לוצרן</t>
  </si>
  <si>
    <t>בית מאיר - א</t>
  </si>
  <si>
    <t>בית מאיר - 2 כר'</t>
  </si>
  <si>
    <t>יונה, מאיר</t>
  </si>
  <si>
    <t>דרושים, משנה, נושאים שונים, שאלות ותשובות, שלחן ערוך ומפרשיו, תלמוד בבלי, תנ"ך</t>
  </si>
  <si>
    <t>כהן, יוסף בן מאיר</t>
  </si>
  <si>
    <t>בית מאיר - 3 כר'</t>
  </si>
  <si>
    <t>בית מאיר - 9 כר'</t>
  </si>
  <si>
    <t>פוזנר, מאיר בן יהודה ליב</t>
  </si>
  <si>
    <t>קאצנלסון, זאב וולף בן מאיר הכהן</t>
  </si>
  <si>
    <t>בית מדות - 2 כר'</t>
  </si>
  <si>
    <t>בית מדות</t>
  </si>
  <si>
    <t>עניו, יחיאל בן יקותיאל</t>
  </si>
  <si>
    <t>רע"ב</t>
  </si>
  <si>
    <t>בית מדרש &lt;עם בית בנימין&gt;</t>
  </si>
  <si>
    <t>ריבלין, משה בן הילל</t>
  </si>
  <si>
    <t>בית מדרש גבוה לכהנים - א - יב</t>
  </si>
  <si>
    <t>קובץ גליונות</t>
  </si>
  <si>
    <t>בית מדרש לגבוה להוראה בית יהושע</t>
  </si>
  <si>
    <t>אוסף שיעורים</t>
  </si>
  <si>
    <t>בית מדרש שמואל</t>
  </si>
  <si>
    <t>בית מדרש</t>
  </si>
  <si>
    <t>בית מדרשו של רבי יעקב בירב בצפת</t>
  </si>
  <si>
    <t>דימטורבסקי, חיים זלמן</t>
  </si>
  <si>
    <t>בית מהרא"י</t>
  </si>
  <si>
    <t>אליעזר יואל בן חיים שלמה זלמן הלוי</t>
  </si>
  <si>
    <t>בית מועד &lt;מהדורה חדשה&gt;</t>
  </si>
  <si>
    <t>ירשלים</t>
  </si>
  <si>
    <t>בית מועד</t>
  </si>
  <si>
    <t>בית מועד - שער התורה</t>
  </si>
  <si>
    <t>בית מועד - 2 כר'</t>
  </si>
  <si>
    <t>רבא, מנחם בן משה</t>
  </si>
  <si>
    <t>רבינוביץ, משה יעקב בן יצחק</t>
  </si>
  <si>
    <t>בית מלא - 3 כר'</t>
  </si>
  <si>
    <t>לוי, משה ליב בן דוד</t>
  </si>
  <si>
    <t>בית מנוחה</t>
  </si>
  <si>
    <t>בית מנחם</t>
  </si>
  <si>
    <t>יפה, מרדכי מיכאל בן מנחם מנדל</t>
  </si>
  <si>
    <t>בית מסחר ספרים זוהר - קטלוג</t>
  </si>
  <si>
    <t>קטלוג</t>
  </si>
  <si>
    <t>בית מקדש וקרבנות</t>
  </si>
  <si>
    <t>מוזז, אהרן בן צבי הירש</t>
  </si>
  <si>
    <t>בית מקדש מעט</t>
  </si>
  <si>
    <t>זלוטניק, ישראל</t>
  </si>
  <si>
    <t>בית מרדכי</t>
  </si>
  <si>
    <t>ברמן, מרדכי</t>
  </si>
  <si>
    <t>גרודזנסקי, מרדכי בן צבי</t>
  </si>
  <si>
    <t>קידן Kedainiai</t>
  </si>
  <si>
    <t>הריס, מרדכי בן אשר לעמיל</t>
  </si>
  <si>
    <t>שלחן ערוך ומפרשיו, תלמוד בבלי, תנ"ך</t>
  </si>
  <si>
    <t>ליבשיץ, ברוך מרדכי בן יעקב</t>
  </si>
  <si>
    <t>דרושים, שאר ספרי חז"ל, תלמוד בבלי</t>
  </si>
  <si>
    <t>מאי, מרדכי בן אהרון יהודה</t>
  </si>
  <si>
    <t>נושאים שונים, שלחן ערוך ומפרשיו, תולדות עם ישראל, תלמוד בבלי, תנ"ך</t>
  </si>
  <si>
    <t>מילר, מרדכי בן יהודה יוסף</t>
  </si>
  <si>
    <t>בית מרדכי - 2 כר'</t>
  </si>
  <si>
    <t>מילר, מרדכי</t>
  </si>
  <si>
    <t>תש"ד - תש"ז</t>
  </si>
  <si>
    <t>בוסטון Boston</t>
  </si>
  <si>
    <t>פרנקל, מרדכי בן שמואל</t>
  </si>
  <si>
    <t>שטיין, מרדכי בן משה דב</t>
  </si>
  <si>
    <t>בית משה חיים - א, ב</t>
  </si>
  <si>
    <t>תרנ"ז - תרנ"ח</t>
  </si>
  <si>
    <t>בית משה</t>
  </si>
  <si>
    <t>אפשטיין, משה בן שלמה הלוי</t>
  </si>
  <si>
    <t>קרויס, משה</t>
  </si>
  <si>
    <t>בית משולם</t>
  </si>
  <si>
    <t>אשכנזי, משולם זלמן בן משולם זלמן</t>
  </si>
  <si>
    <t>משנה, משנה, נושאים שונים, קבלה, שאלות ותשובות, תולדות עם ישראל</t>
  </si>
  <si>
    <t>בית משיח - 2 כר'</t>
  </si>
  <si>
    <t>בית משיח</t>
  </si>
  <si>
    <t>בית מתתיהו - 3 כר'</t>
  </si>
  <si>
    <t>גבאי, מתתיהו</t>
  </si>
  <si>
    <t>בית מתתיהו - 8 כר'</t>
  </si>
  <si>
    <t>הירשמן, מתתיהו בן שמואל</t>
  </si>
  <si>
    <t>בית נאמן &lt;מהדורה חדשה&gt;</t>
  </si>
  <si>
    <t>בית נאמן</t>
  </si>
  <si>
    <t>אלברג, אברהם נתן בן יחיאל איכל</t>
  </si>
  <si>
    <t>ביגה, יצחק בן משה</t>
  </si>
  <si>
    <t>שפ"א</t>
  </si>
  <si>
    <t>בית נאמן - 2 כר'</t>
  </si>
  <si>
    <t>הרצמן, אלחנן יוסף בן שמואל</t>
  </si>
  <si>
    <t>בית נאמן - א</t>
  </si>
  <si>
    <t>פרלס, יצחק משה בן יעקב</t>
  </si>
  <si>
    <t>בית נחום, בית מרדכי</t>
  </si>
  <si>
    <t>בית נחום בית מרדכי</t>
  </si>
  <si>
    <t>בית נחם יה</t>
  </si>
  <si>
    <t>הלוי, נחמיה בן יחיא</t>
  </si>
  <si>
    <t>בית נכות ההלכות (תורתן של ראשונים) א-ב</t>
  </si>
  <si>
    <t>הורוויץ, חיים מאיר בן יוסף הלוי</t>
  </si>
  <si>
    <t>בית נפתלי - 2 כר'</t>
  </si>
  <si>
    <t>שווארץ, נפתלי בן אברהם יהודה הכהן</t>
  </si>
  <si>
    <t>דרושים, דרושים, שאלות ותשובות</t>
  </si>
  <si>
    <t>בית נתן</t>
  </si>
  <si>
    <t>קורונל, נחמן נתן בן דוד</t>
  </si>
  <si>
    <t>בית סופריהם - 25 כר'</t>
  </si>
  <si>
    <t>בטאון אברכי ערלוי</t>
  </si>
  <si>
    <t>בית סופרים - 7 כר'</t>
  </si>
  <si>
    <t>קובץ תורני  של אברכי ערלוי</t>
  </si>
  <si>
    <t>בית ספינקה</t>
  </si>
  <si>
    <t>לווין, יהודה אריה ליב בן יצחק מאיר הכהן</t>
  </si>
  <si>
    <t>בית עבר - 2 כר'</t>
  </si>
  <si>
    <t>כהן, בנציון בן שמעון</t>
  </si>
  <si>
    <t>בית עובד - הלכות תפילין &lt;הערות ומקורות&gt;</t>
  </si>
  <si>
    <t>אשכנזי, יהודה שמואל בן יעקב - עסיס, אברהם מנשה בן דוד</t>
  </si>
  <si>
    <t>בית עובד</t>
  </si>
  <si>
    <t>תפילות. סידור. תרכ"ב. ליוורנו</t>
  </si>
  <si>
    <t>בית עולמים</t>
  </si>
  <si>
    <t>בית עקד האגדות</t>
  </si>
  <si>
    <t>תרמ"א - תרמ"ב</t>
  </si>
  <si>
    <t>בית עקד ספרים החדש - 5 כר'</t>
  </si>
  <si>
    <t>בית עקד ספרים - 4 כר'</t>
  </si>
  <si>
    <t>פרידברג, חיים דוב בריש בן אברהם מאיר הלוי</t>
  </si>
  <si>
    <t>תשי"א - תשט"ז</t>
  </si>
  <si>
    <t>בית פגא</t>
  </si>
  <si>
    <t>זיוויטץ, משה שמעון בן יחזקאל</t>
  </si>
  <si>
    <t>בית פינחס &lt;תורה&gt; - א</t>
  </si>
  <si>
    <t>הורוויץ, פינחס חיים בן אברהם זאב הלוי</t>
  </si>
  <si>
    <t>בית פינחס - 2 כר'</t>
  </si>
  <si>
    <t>גרהר, פינחס</t>
  </si>
  <si>
    <t>תרע"ה - תרצ"ג</t>
  </si>
  <si>
    <t>בית פנחס</t>
  </si>
  <si>
    <t>ביהמ"ד גבוה לתורה ולהלכה</t>
  </si>
  <si>
    <t>הורוויץ, פינחס בן ישראל הלוי</t>
  </si>
  <si>
    <t>רבינוביץ, פינחס בן משה</t>
  </si>
  <si>
    <t>בית פרץ</t>
  </si>
  <si>
    <t>פרץ בן משה</t>
  </si>
  <si>
    <t>דרושים, דרושים, מועדי ישראל, מועדי ישראל</t>
  </si>
  <si>
    <t>בית פרץ - בני משה - שם משה</t>
  </si>
  <si>
    <t>שלשה חכמים</t>
  </si>
  <si>
    <t>דרושים, הלכה ומנהג, נושאים שונים, שאלות ותשובות, תנ"ך</t>
  </si>
  <si>
    <t>שפירא, יששכר בער בן נתן</t>
  </si>
  <si>
    <t>בית צדיק</t>
  </si>
  <si>
    <t>תרפ"ז - תשי"ד</t>
  </si>
  <si>
    <t>ווארשא - ניו יורק</t>
  </si>
  <si>
    <t>בית צדיקים (באבוב)</t>
  </si>
  <si>
    <t>חסידות, נושאים שונים, קבצים וכתבי עת, ספרי זכרון ויובל</t>
  </si>
  <si>
    <t>בית צדיקים יעמוד - 3 כר'</t>
  </si>
  <si>
    <t>בית צדיקים</t>
  </si>
  <si>
    <t>לאנגרמאן, מאיר יהודה בן שלמה</t>
  </si>
  <si>
    <t>בית ציון</t>
  </si>
  <si>
    <t>דיעי, בן ציון</t>
  </si>
  <si>
    <t>בית ציון - 3 כר'</t>
  </si>
  <si>
    <t>קאזאקוב, חיים יחזקאל זאב בן ישראל</t>
  </si>
  <si>
    <t>תרנ"ט - תרס"ט</t>
  </si>
  <si>
    <t>בית ציון - 2 כר'</t>
  </si>
  <si>
    <t>קארפ, אלחנן בן-ציון בן יחיאל ליב הלוי</t>
  </si>
  <si>
    <t>בית קדשנו ותפארתנו - 2 כר'</t>
  </si>
  <si>
    <t>רובינשטיין, יוסף בן אשר זעליג הכהן</t>
  </si>
  <si>
    <t>בית קומרנא</t>
  </si>
  <si>
    <t>בית קוצק - 4 כר'</t>
  </si>
  <si>
    <t>בית קטן</t>
  </si>
  <si>
    <t>קטן, גבריאל בן יוסף</t>
  </si>
  <si>
    <t>בית קלם - 4 כר'</t>
  </si>
  <si>
    <t>בית קלם</t>
  </si>
  <si>
    <t>בית קעלם - 2 כר'</t>
  </si>
  <si>
    <t>מערכת שפתי חכמים</t>
  </si>
  <si>
    <t>בית קרלין סטולין</t>
  </si>
  <si>
    <t>ישראלי (קולא), יעקב</t>
  </si>
  <si>
    <t>בית קרעטשניף</t>
  </si>
  <si>
    <t>בית ראובן - 3 כר'</t>
  </si>
  <si>
    <t>ללוש, ראובן</t>
  </si>
  <si>
    <t>בית רבי &lt;מהדורה חדשה&gt;</t>
  </si>
  <si>
    <t>היילמאן, חיים מאיר בן אברהם שמואל</t>
  </si>
  <si>
    <t>בית רבי</t>
  </si>
  <si>
    <t>ספריית חב"ד, ספריית חב"ד, תולדות עם ישראל</t>
  </si>
  <si>
    <t>בית רוז'ין</t>
  </si>
  <si>
    <t>בית רחל (משנה הלכות) &lt;טקסט&gt;</t>
  </si>
  <si>
    <t>בית רחל (משנה הלכות)</t>
  </si>
  <si>
    <t>בית רחמים - 2 כר'</t>
  </si>
  <si>
    <t>בית רידב"ז</t>
  </si>
  <si>
    <t>רידב"ז, רפאל יעקב דוד בן זאב</t>
  </si>
  <si>
    <t>בית שאול</t>
  </si>
  <si>
    <t>פלדמאן, שאול בן יוסף מאיר</t>
  </si>
  <si>
    <t>בית של עושר וכבוד</t>
  </si>
  <si>
    <t>קסלר, מאיר בן שמחה</t>
  </si>
  <si>
    <t>בית של תורה</t>
  </si>
  <si>
    <t>משפחת שראבני</t>
  </si>
  <si>
    <t>בית שלום</t>
  </si>
  <si>
    <t>לווינגר, יצחק אייזיק שלום בן יהודה אריה</t>
  </si>
  <si>
    <t>מהרם, שלום מנחם מענדיל בן אהרן</t>
  </si>
  <si>
    <t>מוסקוביץ, שלום בן מרדכי יוסף משה</t>
  </si>
  <si>
    <t>בית שלמה &lt;שושלת מונקאטש&gt;</t>
  </si>
  <si>
    <t>גלב, דוד כהנא</t>
  </si>
  <si>
    <t>בית שלמה &lt;מהדורה חדשה&gt; - 10 כר'</t>
  </si>
  <si>
    <t>דרימר, שלמה בן יעקב</t>
  </si>
  <si>
    <t>בית שלמה</t>
  </si>
  <si>
    <t>אבל, שלמה זלמן בן קלמן דוד</t>
  </si>
  <si>
    <t>בית שלמה - 2 כר'</t>
  </si>
  <si>
    <t>אליעזר ליפמאן בן יהודה ליב סג"ל</t>
  </si>
  <si>
    <t>בוכנר, שלמה בן בנימין וולף</t>
  </si>
  <si>
    <t>בן חסון, שלמה בן אהרן</t>
  </si>
  <si>
    <t>ת"פ</t>
  </si>
  <si>
    <t>בית שלמה - 3 כר'</t>
  </si>
  <si>
    <t>אורשובה Orsova</t>
  </si>
  <si>
    <t>בית שלמה - 6 כר'</t>
  </si>
  <si>
    <t>בית שלמה - 4 כר'</t>
  </si>
  <si>
    <t>פרידמאן, שלמה מאיר אלתר בן יצחק</t>
  </si>
  <si>
    <t>קוטלר, שלמה נתן בן יצחק אהרן</t>
  </si>
  <si>
    <t>שטנצל, שלמה בן חיים דוב</t>
  </si>
  <si>
    <t>שרייבר, שלמה</t>
  </si>
  <si>
    <t>בית שמ"ש</t>
  </si>
  <si>
    <t>משאש, שלום בן מימון</t>
  </si>
  <si>
    <t>בית שמאי</t>
  </si>
  <si>
    <t>פרידמאן, שמאי בן בן-ציון הכהן</t>
  </si>
  <si>
    <t>בית שמאי - 2 כר'</t>
  </si>
  <si>
    <t>צאהן, שמאי בן משולם זושא</t>
  </si>
  <si>
    <t>בית שמואל אחרון תניינא</t>
  </si>
  <si>
    <t>פאלקנפלד, שמואל בן משה פינחס</t>
  </si>
  <si>
    <t>בית שמואל אחרון - 6 כר'</t>
  </si>
  <si>
    <t>תרע"ד,</t>
  </si>
  <si>
    <t>פיעטרקוב,</t>
  </si>
  <si>
    <t>בית שמואל הקטן - 2 כר'</t>
  </si>
  <si>
    <t>מועד, שמואל</t>
  </si>
  <si>
    <t>בית שמואל ודוד</t>
  </si>
  <si>
    <t>וויינפלד, שמואל צבי בן יוסף חיים הלוי</t>
  </si>
  <si>
    <t>בית שמואל יצחק</t>
  </si>
  <si>
    <t>דרושים, מועדי ישראל, נושאים שונים, קבצים וכתבי עת, ספרי זכרון ויובל</t>
  </si>
  <si>
    <t>בית שמואל</t>
  </si>
  <si>
    <t>תרצ"ז - תרצ"ח</t>
  </si>
  <si>
    <t>בית שמואל - 2 כר'</t>
  </si>
  <si>
    <t>זשרקובסקי, צבי הכהן בן שמואל</t>
  </si>
  <si>
    <t>קאהן, יהושע העשיל צבי בן שמואל</t>
  </si>
  <si>
    <t>קארטופיל, שמואל זאנוויל בן צבי הירש</t>
  </si>
  <si>
    <t>שמואל בן אורי שרגא פייבוש מוודיסלאב</t>
  </si>
  <si>
    <t>שמואל בן ישראל מקראקוביץ</t>
  </si>
  <si>
    <t>תצ"ט</t>
  </si>
  <si>
    <t>שמואל מקמינקא</t>
  </si>
  <si>
    <t>בית שמחה</t>
  </si>
  <si>
    <t>חמוי, אברהם</t>
  </si>
  <si>
    <t>בית שמחה - 2 כר'</t>
  </si>
  <si>
    <t>שנייבלג, חיים מאיר</t>
  </si>
  <si>
    <t>בית שמעון שלמה</t>
  </si>
  <si>
    <t>ניגרין, שמעון שלמה בן שמואל</t>
  </si>
  <si>
    <t>בית שער הכונות &lt;אור פשוט&gt; - 2 כר'</t>
  </si>
  <si>
    <t>בית שער</t>
  </si>
  <si>
    <t>עוזיאל, שמעון</t>
  </si>
  <si>
    <t>בית שערים &lt;טקסט&gt;</t>
  </si>
  <si>
    <t>בלום, עמרם בן יצחק יעקב</t>
  </si>
  <si>
    <t>בית שערים - 4 כר'</t>
  </si>
  <si>
    <t>בית שערים - 3 כר'</t>
  </si>
  <si>
    <t>ישיבת שערי שמועות</t>
  </si>
  <si>
    <t>בית חלקיה</t>
  </si>
  <si>
    <t>בית שרגא - 11 כר'</t>
  </si>
  <si>
    <t>ברומברג, חיים שמואל בן יונה הלוי</t>
  </si>
  <si>
    <t>בית שרגא</t>
  </si>
  <si>
    <t>בית תלמוד</t>
  </si>
  <si>
    <t>קארליץ, שמריהו יוסף בן שמשון</t>
  </si>
  <si>
    <t>בית תפילה &lt;מהדורה חדשה&gt;</t>
  </si>
  <si>
    <t>בית תפילה</t>
  </si>
  <si>
    <t>אלחראזי, שלמה בן סעדיה בירב מימון</t>
  </si>
  <si>
    <t>בית תפלה &lt;מהדורה חדשה&gt;</t>
  </si>
  <si>
    <t>בית תפלה יקרא</t>
  </si>
  <si>
    <t>תפילות. סידור. תרל"ו. וינה</t>
  </si>
  <si>
    <t>בית תפלה למשה</t>
  </si>
  <si>
    <t>רוזנפלד, משה בן נתן הלוי</t>
  </si>
  <si>
    <t>בית תפלה</t>
  </si>
  <si>
    <t>בן ארויו, יצחק בן משה</t>
  </si>
  <si>
    <t>ה'שמ"ג</t>
  </si>
  <si>
    <t>תרפ"ח - תרצ"ג</t>
  </si>
  <si>
    <t>Belgrade בלגרד</t>
  </si>
  <si>
    <t>תפילות. סידור. תע"ב. אמשטרדם</t>
  </si>
  <si>
    <t>תע"ב-תע"ג</t>
  </si>
  <si>
    <t>בית תפלה - 3 כר'</t>
  </si>
  <si>
    <t>תפילות. סידור. תצ"ה. קושטא</t>
  </si>
  <si>
    <t>ביתה יוסף - 2 כר'</t>
  </si>
  <si>
    <t>מכון פירותיך מתוקים</t>
  </si>
  <si>
    <t>ביתו נאוה קודש (זכרונות והנהגות של הרה"ק מהר"א מבעלזא זצלה"ה) - 7 כר'</t>
  </si>
  <si>
    <t>פאללאק, אהרן בן אברהם אלטר</t>
  </si>
  <si>
    <t>ביתו נאוה קודש - דער רב זכרונו לברכה</t>
  </si>
  <si>
    <t>ביתך ושעריך - מזוזה</t>
  </si>
  <si>
    <t>אשכול, יוחאי</t>
  </si>
  <si>
    <t>ביתך שלום</t>
  </si>
  <si>
    <t>עייש, מרדכי</t>
  </si>
  <si>
    <t>בך אתפאר</t>
  </si>
  <si>
    <t>טאובר, עזריאל בן אהרן</t>
  </si>
  <si>
    <t>ישיבת תורה בתפארתה</t>
  </si>
  <si>
    <t>צוקר, יחיאל מאיר</t>
  </si>
  <si>
    <t>בך יברך ישראל &lt;פסקי הגרי"ש אלישיב&gt;</t>
  </si>
  <si>
    <t>בך יברך ישראל &lt;מהדורת שפתי צדיקים&gt;</t>
  </si>
  <si>
    <t>מאנזון, לוי יצחק בן יוסף</t>
  </si>
  <si>
    <t>בך יברך ישראל</t>
  </si>
  <si>
    <t>קריספין, יעיש בן משה</t>
  </si>
  <si>
    <t>בכור אדם</t>
  </si>
  <si>
    <t>קאמשוויץ, אברהם בן משה</t>
  </si>
  <si>
    <t>בכור דל</t>
  </si>
  <si>
    <t>בכור יעקב</t>
  </si>
  <si>
    <t>כהן יעקב בן יצחק</t>
  </si>
  <si>
    <t>בכור יעקב - 2 כר'</t>
  </si>
  <si>
    <t>כהן, יעקב בן אברהם מג'רבה</t>
  </si>
  <si>
    <t>דרושים, הלכה ומנהג, מועדי ישראל, מועדי ישראל, מחשבה ומוסר, נושאים שונים, תנ"ך</t>
  </si>
  <si>
    <t>בכור שאול - 6 כר'</t>
  </si>
  <si>
    <t>קוסובסקי-שחור, יצחק אברהם בן שאול</t>
  </si>
  <si>
    <t>בכור שור על הש"ס</t>
  </si>
  <si>
    <t>שור, אלכסנדר סנדר בן אפרים זלמן</t>
  </si>
  <si>
    <t>בכור שור</t>
  </si>
  <si>
    <t>שור, ברוך בן חיים משה</t>
  </si>
  <si>
    <t>בכורי אבא</t>
  </si>
  <si>
    <t>ברונשפיגל, אבא</t>
  </si>
  <si>
    <t>בכורי אביב</t>
  </si>
  <si>
    <t>רוטנברג, משה בן יעקב יוסף</t>
  </si>
  <si>
    <t>בכורי אברהם &lt;מהדו"ח&gt;</t>
  </si>
  <si>
    <t>אלישוב, אברהם בן משה</t>
  </si>
  <si>
    <t>בכורי אברהם - 2 כר'</t>
  </si>
  <si>
    <t>בכורי אליהו</t>
  </si>
  <si>
    <t>דרבקין, אליהו</t>
  </si>
  <si>
    <t>בכורי אשר</t>
  </si>
  <si>
    <t>וסרמן, אשר בן אברהם בצלאל</t>
  </si>
  <si>
    <t>בכורי גשן - 4 כר'</t>
  </si>
  <si>
    <t>גורטלר, נחום שמואל בן זאב</t>
  </si>
  <si>
    <t>בכורי דוד</t>
  </si>
  <si>
    <t>ארזי, דוד</t>
  </si>
  <si>
    <t>בכורי הלמודיות</t>
  </si>
  <si>
    <t>לוונשטיין, ברוך שלמה בן אברהם</t>
  </si>
  <si>
    <t>בכורי חיל - כתובות</t>
  </si>
  <si>
    <t>לוי, חיים יעקב בן שמואל יצחק</t>
  </si>
  <si>
    <t>בכורי יאה</t>
  </si>
  <si>
    <t>הייזלר, יהושע אשר בן יוסף</t>
  </si>
  <si>
    <t>בכורי יהודה &lt;טקסט&gt;</t>
  </si>
  <si>
    <t>דון יחיא, יהודה ליב בן חיים</t>
  </si>
  <si>
    <t>בכורי יהודה - 2 כר'</t>
  </si>
  <si>
    <t>תר"צ - תרצ"ט</t>
  </si>
  <si>
    <t>לוצין Ludza</t>
  </si>
  <si>
    <t>בכורי יהודה - 4 כר'</t>
  </si>
  <si>
    <t>לייכטאג, יהודה מאיר יעקב</t>
  </si>
  <si>
    <t>בכורי יוסף &lt;מהדורה חדשה&gt;</t>
  </si>
  <si>
    <t>הוטנר, יוסף זונדל בן חיים</t>
  </si>
  <si>
    <t>בכורי יוסף</t>
  </si>
  <si>
    <t>בכורי יוסף - ב</t>
  </si>
  <si>
    <t>מאמרי תורה והלכה</t>
  </si>
  <si>
    <t>בכורי יעקב (מהדורה חדשה עם תוספות)</t>
  </si>
  <si>
    <t>תרס"ו - תשנ"ב</t>
  </si>
  <si>
    <t>שאלות ותשובות, תולדות עם ישראל, תולדות עם ישראל</t>
  </si>
  <si>
    <t>בכורי יעקב</t>
  </si>
  <si>
    <t>אטלינגר, יעקב יוקב בן אהרן</t>
  </si>
  <si>
    <t>רבינוביץ, יעקב בן אליעזר שמחה</t>
  </si>
  <si>
    <t>בכורי יצחק</t>
  </si>
  <si>
    <t>בכורי ישראל</t>
  </si>
  <si>
    <t>קילמיסקי, ישראל בן צבי הכהן</t>
  </si>
  <si>
    <t>בכורי נפתלי</t>
  </si>
  <si>
    <t>זאמלונג, אברהם נפתלי</t>
  </si>
  <si>
    <t>דרושים, דרושים, תלמוד בבלי</t>
  </si>
  <si>
    <t>בכורי סופרים</t>
  </si>
  <si>
    <t>קליינמן, מרדכי</t>
  </si>
  <si>
    <t>בכורי ציון וענבי ציון</t>
  </si>
  <si>
    <t>זאקס, יהודה בן ציון בן משה לוי</t>
  </si>
  <si>
    <t>בכורי ציון</t>
  </si>
  <si>
    <t>בכורי ראובן - 2 כר'</t>
  </si>
  <si>
    <t>בכורי ראש</t>
  </si>
  <si>
    <t>רבינוביץ, שלמה ראובן בן דוד</t>
  </si>
  <si>
    <t>משנה, שאלות ותשובות, תנ"ך</t>
  </si>
  <si>
    <t>בכורי ראשית</t>
  </si>
  <si>
    <t>אויסלאנדר, יעקב שמואל</t>
  </si>
  <si>
    <t>בכורי רש</t>
  </si>
  <si>
    <t>צוקרמן, רפאל שמחה הכהן</t>
  </si>
  <si>
    <t>בכורי שחר</t>
  </si>
  <si>
    <t>רוזנבלום, שמואל חיים בן דוד</t>
  </si>
  <si>
    <t>בכורי שי</t>
  </si>
  <si>
    <t>בכורי שלום</t>
  </si>
  <si>
    <t>אדלר, קלמן בן יוסף</t>
  </si>
  <si>
    <t>בכורי שלמה - בכורות</t>
  </si>
  <si>
    <t>לסיצין, שלמה בן טוביה</t>
  </si>
  <si>
    <t>בכורי שלמה - 2 כר'</t>
  </si>
  <si>
    <t>רזכטה, שלמה אברהם בן דניאל זאב</t>
  </si>
  <si>
    <t>תרנ"ד - תרצ"א</t>
  </si>
  <si>
    <t>שאלות ותשובות, תולדות עם ישראל, תלמוד בבלי</t>
  </si>
  <si>
    <t>בכורים לה'</t>
  </si>
  <si>
    <t>בכורים - תרכ"ה</t>
  </si>
  <si>
    <t>ביכורים</t>
  </si>
  <si>
    <t>תרכ"ד - תרכ"ה</t>
  </si>
  <si>
    <t>בכורים - 12 כר'</t>
  </si>
  <si>
    <t>ישיבת הרמב"ם</t>
  </si>
  <si>
    <t>בכושרות</t>
  </si>
  <si>
    <t>בכי מסתרים</t>
  </si>
  <si>
    <t>קסטין, דוב בר בן יעקב</t>
  </si>
  <si>
    <t>בכי נהרות</t>
  </si>
  <si>
    <t>בכל דרכיך דעהו</t>
  </si>
  <si>
    <t>פרנקל, ברוך בנדיט בן יצחק זאב</t>
  </si>
  <si>
    <t>בכל יום יהיו בעינך כחדשים</t>
  </si>
  <si>
    <t>בכל נפשך</t>
  </si>
  <si>
    <t>וינברג, יצחק אייזיק</t>
  </si>
  <si>
    <t>בכל נפשך - תולדות רבי נתן צבי פינקל</t>
  </si>
  <si>
    <t>רוזנטל, חיים שלמה</t>
  </si>
  <si>
    <t>בכף הקלע</t>
  </si>
  <si>
    <t>הרפנס, יחזקאל</t>
  </si>
  <si>
    <t>בכרי ישראל - 2 כר'</t>
  </si>
  <si>
    <t>שמסיוב (שמשי), רפאל</t>
  </si>
  <si>
    <t>בכרמי יהודא</t>
  </si>
  <si>
    <t>שפירא, יהודה</t>
  </si>
  <si>
    <t>בכתבי האר"י</t>
  </si>
  <si>
    <t>בכתם פז</t>
  </si>
  <si>
    <t>בל תקיף</t>
  </si>
  <si>
    <t>בלב ימים</t>
  </si>
  <si>
    <t>בלבבי משכן אבנה - 46 כר'</t>
  </si>
  <si>
    <t>בלבנון ישגה</t>
  </si>
  <si>
    <t>אורבך, אליעזר בן שמעון גרשון</t>
  </si>
  <si>
    <t>בלבנת הספיר</t>
  </si>
  <si>
    <t>טייטלבוים, אריה לייב</t>
  </si>
  <si>
    <t>בלבת אש - 2 כר'</t>
  </si>
  <si>
    <t>נובוגרוצקי, מנחם</t>
  </si>
  <si>
    <t>בלז</t>
  </si>
  <si>
    <t>בליל חמיץ</t>
  </si>
  <si>
    <t>בלילה ההוא</t>
  </si>
  <si>
    <t>בלילה שירה עמי</t>
  </si>
  <si>
    <t>רבינוביץ, אברהם משה בן יוסף ברוך פינחס מסקאליע</t>
  </si>
  <si>
    <t>בלכתך בדרך - 8 כר'</t>
  </si>
  <si>
    <t>בלשוני מלה</t>
  </si>
  <si>
    <t>ברוקלין Brooklyn</t>
  </si>
  <si>
    <t>בם חייתני</t>
  </si>
  <si>
    <t>בם חייתני - נדה</t>
  </si>
  <si>
    <t>בם חייתני - 5 כר'</t>
  </si>
  <si>
    <t>שוורצבורד, ברוך מרדכי בן מאיר</t>
  </si>
  <si>
    <t>במאבק נגד ניתוחי מתים</t>
  </si>
  <si>
    <t>כהנא, קלמן בן בנימין זאב</t>
  </si>
  <si>
    <t>במאזני צדק</t>
  </si>
  <si>
    <t>פריינד, זאב</t>
  </si>
  <si>
    <t>במאי זכיין</t>
  </si>
  <si>
    <t>לזכר הרבנית גריינימן</t>
  </si>
  <si>
    <t>במדבר אלינה</t>
  </si>
  <si>
    <t>דרעי, אברהם</t>
  </si>
  <si>
    <t>במדבר יהודה</t>
  </si>
  <si>
    <t>וורטהיימר, אברהם יהודה בן הלל</t>
  </si>
  <si>
    <t>משנה, תלמוד בבלי, תלמוד בבלי, תלמוד בבלי, תנ"ך</t>
  </si>
  <si>
    <t>במועדו</t>
  </si>
  <si>
    <t>חודורוב, מנחם מנדל דוד בן מרדכי</t>
  </si>
  <si>
    <t>במותר לו</t>
  </si>
  <si>
    <t>במחוקק משענתם - 2 כר'</t>
  </si>
  <si>
    <t>כהן, יעקב רועי - בגריש, ערן</t>
  </si>
  <si>
    <t>במחיצת החזון איש - 2 כר'</t>
  </si>
  <si>
    <t>במחיצת זקני</t>
  </si>
  <si>
    <t>סופר, יוחנן בן משה (עליו) - סופר, משה</t>
  </si>
  <si>
    <t>במחיצת חכמי ישראל</t>
  </si>
  <si>
    <t>טאפלין, ישראל</t>
  </si>
  <si>
    <t>במחיצת רבינו &lt;רבי יעקב קמינצקי&gt;</t>
  </si>
  <si>
    <t>ג'יקובס, משה צבי</t>
  </si>
  <si>
    <t>במחיצתם של גדולי התורה - 2 כר'</t>
  </si>
  <si>
    <t>לורינץ, שלמה זלמן</t>
  </si>
  <si>
    <t>במחשבה שניה</t>
  </si>
  <si>
    <t>במי התורה - 2 כר'</t>
  </si>
  <si>
    <t>בונדהיימר, מיכאל יחיאל בן יהודה</t>
  </si>
  <si>
    <t>במים עזים נתיבה</t>
  </si>
  <si>
    <t>במסילה העולה</t>
  </si>
  <si>
    <t>במסילה העולה - קידושין</t>
  </si>
  <si>
    <t>שילת, יצחק</t>
  </si>
  <si>
    <t>מעלה אדומים</t>
  </si>
  <si>
    <t>במסילה נעלה &lt;ביאור באנגלית למסילת ישרים&gt; - 5 כר'</t>
  </si>
  <si>
    <t>במסילה נעלה</t>
  </si>
  <si>
    <t>גינזבורג, אליעזר</t>
  </si>
  <si>
    <t>במסילה נעלה - 2 כר'</t>
  </si>
  <si>
    <t>ווין, דב בערל</t>
  </si>
  <si>
    <t>במסילות החיים - 3 כר'</t>
  </si>
  <si>
    <t>רביע, חיים שמעון בן אליהו</t>
  </si>
  <si>
    <t>במעגלי החיים</t>
  </si>
  <si>
    <t>רבינוביץ, קופל בן דב הלוי</t>
  </si>
  <si>
    <t>במעגלי השנה</t>
  </si>
  <si>
    <t>במעגלי יושר - בראשית</t>
  </si>
  <si>
    <t>סלימאן, אהוד</t>
  </si>
  <si>
    <t>במעגלי ישר - 2 כר'</t>
  </si>
  <si>
    <t>רוטשילד, יששכר שלמה</t>
  </si>
  <si>
    <t>במעגלי צדק</t>
  </si>
  <si>
    <t>חלקיהו, אשר</t>
  </si>
  <si>
    <t>במעגלי שנה - 4 כר'</t>
  </si>
  <si>
    <t>במעונות אריות - כתובות</t>
  </si>
  <si>
    <t>ישיבת בנין אב</t>
  </si>
  <si>
    <t>במעלות היראה</t>
  </si>
  <si>
    <t>במעלות התפילה</t>
  </si>
  <si>
    <t>כהנא, אלכנסדר</t>
  </si>
  <si>
    <t>במצוותיו חפץ מאוד</t>
  </si>
  <si>
    <t>במצות שבת גרוסה</t>
  </si>
  <si>
    <t>טעפפער, חיים יונתן</t>
  </si>
  <si>
    <t>במצות שבת גרוסה - ה</t>
  </si>
  <si>
    <t>מתיבתא דשיכון סקווירא</t>
  </si>
  <si>
    <t>במצותיו חפץ מאד</t>
  </si>
  <si>
    <t>רוזנר, שלמה</t>
  </si>
  <si>
    <t>במקהלות ברכו - בעניני ברכות</t>
  </si>
  <si>
    <t>במרצפת המזלות</t>
  </si>
  <si>
    <t>כהנא, שמואל זאנוויל בן שלמה דוד</t>
  </si>
  <si>
    <t>במשמרת הפסח - 4 כר'</t>
  </si>
  <si>
    <t>שפירא, ברוך מרדכי</t>
  </si>
  <si>
    <t>במשמרת הקודש</t>
  </si>
  <si>
    <t>במשנת הגאון</t>
  </si>
  <si>
    <t>הערות וחידושים במשנת הגאון רבי מנחם זעמבא</t>
  </si>
  <si>
    <t>במשנת הפרשה - 2 כר'</t>
  </si>
  <si>
    <t>שיינברגר, יעקב שלמה (עורך)</t>
  </si>
  <si>
    <t>במשנת רש"י</t>
  </si>
  <si>
    <t>שיינברגר, יעקב שלמה</t>
  </si>
  <si>
    <t>במשנתו של רע"א - חנוכה</t>
  </si>
  <si>
    <t>בריקמן, יוסף בן אברהם מרדכי</t>
  </si>
  <si>
    <t>במשעול הכרם - דרכי לימוד וקנין תורה</t>
  </si>
  <si>
    <t>ישיבת כרם ביבנה</t>
  </si>
  <si>
    <t>במשעול הכרמים - 2 כר'</t>
  </si>
  <si>
    <t>הרשקוביץ, דוד משה</t>
  </si>
  <si>
    <t>במשפט האורים</t>
  </si>
  <si>
    <t>במת יחיד</t>
  </si>
  <si>
    <t>קליף, יעקב בן יששכר בר</t>
  </si>
  <si>
    <t>במת ציבור</t>
  </si>
  <si>
    <t>במתי ים - יבמות</t>
  </si>
  <si>
    <t>שטורך, יוסף מאיר בן נחום</t>
  </si>
  <si>
    <t>בן אברהם &lt;בית מוסר - שער משיח&gt;</t>
  </si>
  <si>
    <t>מייזיס, אברהם אליהו בן בן-ציון ניסן בנימין</t>
  </si>
  <si>
    <t>בן אברהם על התורה</t>
  </si>
  <si>
    <t>בן אברהם - 2 כר'</t>
  </si>
  <si>
    <t>אבוקארא, אברהם בן משה</t>
  </si>
  <si>
    <t>בן אברהם</t>
  </si>
  <si>
    <t>אישטרושה, חיים אברהם בן דוד</t>
  </si>
  <si>
    <t>הלכה ומנהג, שאלות ותשובות, תלמוד בבלי, תנ"ך</t>
  </si>
  <si>
    <t>בן אברהם - 5 כר'</t>
  </si>
  <si>
    <t>בן אהרן</t>
  </si>
  <si>
    <t>אליהו בן אהרן סג"ל</t>
  </si>
  <si>
    <t>תקכ"ז - תקכ"ט</t>
  </si>
  <si>
    <t>לוי, מרדכי בן אהרן</t>
  </si>
  <si>
    <t>בן אוני</t>
  </si>
  <si>
    <t>בנימין זאב בן דוד אשכנזי</t>
  </si>
  <si>
    <t>תקי"א</t>
  </si>
  <si>
    <t>לודז'מאן, בנימין בישקא בן שלמה זלמן</t>
  </si>
  <si>
    <t>בן אורי</t>
  </si>
  <si>
    <t>אורי בן יהודה ליב הלוי מדרוי</t>
  </si>
  <si>
    <t>מילר, אורי בן מרדכי</t>
  </si>
  <si>
    <t>בן אחיסמך</t>
  </si>
  <si>
    <t>סרוסי, חואתי</t>
  </si>
  <si>
    <t>בן איש חי &lt;אבן חי - 4 כר'</t>
  </si>
  <si>
    <t>יוסף חיים בן אליהו - בן חיים, אשר</t>
  </si>
  <si>
    <t>בן איש חי &lt;מאורות יוסף, אמרות חיים&gt; - 2 כר'</t>
  </si>
  <si>
    <t>בן איש חי הלכות פורים ע"פ תכלת מרדכי</t>
  </si>
  <si>
    <t>פטאל, מרדכי</t>
  </si>
  <si>
    <t>בן איש חי המקוצר - 2 כר'</t>
  </si>
  <si>
    <t>בן איש חי המשולב עם עוד יוסף חי - 3 כר'</t>
  </si>
  <si>
    <t>בן איש חי וקיים - מועדים</t>
  </si>
  <si>
    <t>יצחקוב, גבריאל בן יוסף אילן</t>
  </si>
  <si>
    <t>בן איש חי - 5 כר'</t>
  </si>
  <si>
    <t>בן איש חיל - 3 כר'</t>
  </si>
  <si>
    <t>תרס"א - תר"ע</t>
  </si>
  <si>
    <t>בן איש ימיני</t>
  </si>
  <si>
    <t>גולדברג, גדליה בן מרדכי</t>
  </si>
  <si>
    <t>בן אמונים</t>
  </si>
  <si>
    <t>אשר אנשיל בן משה בר</t>
  </si>
  <si>
    <t>בן אמתך - מגילת רות</t>
  </si>
  <si>
    <t>בן אסף המזכיר</t>
  </si>
  <si>
    <t>שפר, אריה ליבוש בן אהרן יוסף</t>
  </si>
  <si>
    <t>תרנ"ה - תרנ"ט</t>
  </si>
  <si>
    <t>בן אשר</t>
  </si>
  <si>
    <t>יעקב בן אנשל</t>
  </si>
  <si>
    <t>קליין, זעליג לייב בן אשר אהרן</t>
  </si>
  <si>
    <t>בן בגימט' אליהו</t>
  </si>
  <si>
    <t>הלוי, אליהו בן רפאל שלמה</t>
  </si>
  <si>
    <t>בן בזי</t>
  </si>
  <si>
    <t>ראטנר, יחזקאל בן שלום</t>
  </si>
  <si>
    <t>מועדי ישראל, משנה</t>
  </si>
  <si>
    <t>בן ביתי - 4 כר'</t>
  </si>
  <si>
    <t>בן גרני &lt;מהדורה חדשה&gt; - 2 כר'</t>
  </si>
  <si>
    <t>דייטש, יוסף ישראל בן אהרן דוד</t>
  </si>
  <si>
    <t>בן גרני</t>
  </si>
  <si>
    <t>Turna nad Bodvou טו</t>
  </si>
  <si>
    <t>פולאק, גבריאל בן יצחק איזק</t>
  </si>
  <si>
    <t>מחשבה ומוסר, קבצים וכתבי עת, ספרי זכרון ויובל, קבצים וכתבי עת, ספרי זכרון ויובל, תנ"ך, תפלות בקשות פיוטים ושירה</t>
  </si>
  <si>
    <t>בן דוד &lt;מכון הכתב&gt;</t>
  </si>
  <si>
    <t>דוויך, משה בן דוד הכהן</t>
  </si>
  <si>
    <t>בן דוד</t>
  </si>
  <si>
    <t>נפתלי בן דוד מאמשטרדם</t>
  </si>
  <si>
    <t>בן דעת</t>
  </si>
  <si>
    <t>אקסלרוד, בנדט בן יוסף</t>
  </si>
  <si>
    <t>שע"ו</t>
  </si>
  <si>
    <t>האנוואה,</t>
  </si>
  <si>
    <t>בן הא הא</t>
  </si>
  <si>
    <t>רפאפורט, דוד בן אהרן הכהן</t>
  </si>
  <si>
    <t>בן הימין</t>
  </si>
  <si>
    <t>איידלמאן, ברוך נחמן בן חיים דוב</t>
  </si>
  <si>
    <t>בן המלך והנזיר &lt;מהדורה חדשה&gt;</t>
  </si>
  <si>
    <t>אבן-חסדאי, אברהם בן שמואל הלוי</t>
  </si>
  <si>
    <t>בן המלך והנזיר &lt;מהדורה מעובדת&gt;</t>
  </si>
  <si>
    <t>בן המלך והנזיר - 4 כר'</t>
  </si>
  <si>
    <t>רע"ח</t>
  </si>
  <si>
    <t>בן העליה</t>
  </si>
  <si>
    <t>קוליץ, חיים עמנואל בן דוד נחמן</t>
  </si>
  <si>
    <t>בן הרמה</t>
  </si>
  <si>
    <t>מזרחי, חיים מאיר בן יצחק</t>
  </si>
  <si>
    <t>בן זכאי</t>
  </si>
  <si>
    <t>שפיץ, יוחנן בן בנימין זאב סג"ל</t>
  </si>
  <si>
    <t>דרושים, שאלות ותשובות, תלמוד בבלי, תנ"ך, תפלות בקשות פיוטים ושירה</t>
  </si>
  <si>
    <t>בן זקונים</t>
  </si>
  <si>
    <t>אבולאפיו, חזקיה דוד בן מרדכי</t>
  </si>
  <si>
    <t>בן חיל - בבא מציעא</t>
  </si>
  <si>
    <t>מרקסון, פנחס בן יחיאל יצחק</t>
  </si>
  <si>
    <t>בן חכם - הלכות כבוד אב ואם</t>
  </si>
  <si>
    <t>הופמן, דוד אהרן בן מנחם צבי</t>
  </si>
  <si>
    <t>בן חלד</t>
  </si>
  <si>
    <t>קנולר, חיים</t>
  </si>
  <si>
    <t>בן חמש למקרא - נח</t>
  </si>
  <si>
    <t>גולדשטיין, לוי</t>
  </si>
  <si>
    <t>בן יאיר - 2 כר'</t>
  </si>
  <si>
    <t>לבטון, חיים מרדכי בן חלפון</t>
  </si>
  <si>
    <t>בן יאיר</t>
  </si>
  <si>
    <t>בן ידיד</t>
  </si>
  <si>
    <t>בן יהודה</t>
  </si>
  <si>
    <t>ליטש-רוזנבוים, אברהם בן יהודה הלוי</t>
  </si>
  <si>
    <t>בן יהוידע - 5 כר'</t>
  </si>
  <si>
    <t>תרנ"ח - תרס"ד</t>
  </si>
  <si>
    <t>תלמוד בבלי, תלמוד בבלי, תלמוד ירושלמי</t>
  </si>
  <si>
    <t>בן יוחאי</t>
  </si>
  <si>
    <t>קוניץ, משה בן מנחם מנדל</t>
  </si>
  <si>
    <t>מחשבה ומוסר, נושאים שונים, קבלה, תלמוד בבלי</t>
  </si>
  <si>
    <t>בן יוסף ליוסף - לזהות מחברו של יוצר קדום (תדפיס)</t>
  </si>
  <si>
    <t>בן יוסף</t>
  </si>
  <si>
    <t>שווארץ, יוסף צבי בן חיים יהודה הלוי</t>
  </si>
  <si>
    <t>בן יכבד אב</t>
  </si>
  <si>
    <t>יאדלר, בן-ציון בן יצחק זאב</t>
  </si>
  <si>
    <t>בן יכבד אב - א - ב</t>
  </si>
  <si>
    <t>ניימאן, יונה איזיק בן יואל דוב</t>
  </si>
  <si>
    <t>מחשבה ומוסר, משנה, שאר ספרי חז"ל, תלמוד בבלי, תנ"ך</t>
  </si>
  <si>
    <t>בן יכבד אב - 2 כר'</t>
  </si>
  <si>
    <t>בן ימין - 2 כר'</t>
  </si>
  <si>
    <t>ישראל, רחמים חיים יהודה בן מיכאל יעקב</t>
  </si>
  <si>
    <t>דרושים, הלכה ומנהג, מחשבה ומוסר, נושאים שונים, שאלות ותשובות, תלמוד בבלי, תלמוד בבלי, תנ"ך</t>
  </si>
  <si>
    <t>בן ימיני</t>
  </si>
  <si>
    <t>פררוי, בנימין זאב בן שלמה</t>
  </si>
  <si>
    <t>בן ישי</t>
  </si>
  <si>
    <t>ינייסי, יהודה שלום</t>
  </si>
  <si>
    <t>בן ישכר - 9 כר'</t>
  </si>
  <si>
    <t>וויינברגר, אליהו בן שבתי</t>
  </si>
  <si>
    <t>בן לאשרי ברכה משולשת - 3 כר'</t>
  </si>
  <si>
    <t>הוברמן, יצחק הכהן</t>
  </si>
  <si>
    <t>בן לוי</t>
  </si>
  <si>
    <t>לוין, יהושע בן אברהם דב</t>
  </si>
  <si>
    <t>משה בן מרדכי גימפל סג"ל</t>
  </si>
  <si>
    <t>בן מאיר</t>
  </si>
  <si>
    <t>קורקוס, מאיר בן אברהם</t>
  </si>
  <si>
    <t>בן מכבד אב</t>
  </si>
  <si>
    <t>אלחדאד, מסעוד בן דוד הכהן</t>
  </si>
  <si>
    <t>בן מלך - 29 כר'</t>
  </si>
  <si>
    <t>בן משכיל</t>
  </si>
  <si>
    <t>לוינגר, יהודה ליב</t>
  </si>
  <si>
    <t>בן משק</t>
  </si>
  <si>
    <t>קאמונדו, שלמה בן אברהם</t>
  </si>
  <si>
    <t>בן נחום - שבת</t>
  </si>
  <si>
    <t>היימליך, מנחם יוסף הלוי</t>
  </si>
  <si>
    <t>בן סירא עם מעשיות שבתלמוד</t>
  </si>
  <si>
    <t>ספרים חיצוניים. רע"ט</t>
  </si>
  <si>
    <t>בן עוזיאל</t>
  </si>
  <si>
    <t>מייזלס, עוזיאל בן יוסף</t>
  </si>
  <si>
    <t>בקליאן Beclean</t>
  </si>
  <si>
    <t>בן פדהצור</t>
  </si>
  <si>
    <t>מארזוק, מנצור</t>
  </si>
  <si>
    <t>בן פורת יוסף &lt;מהדורה חדשה&gt; - 2 כר'</t>
  </si>
  <si>
    <t>יעקב יוסף בן צבי הירש הכהן מפולנאה</t>
  </si>
  <si>
    <t>בן פורת יוסף &lt;תולדות יצחק&gt;</t>
  </si>
  <si>
    <t>קובו, יוסף בן יהודה - קשאני, יצחק</t>
  </si>
  <si>
    <t>בן פורת יוסף</t>
  </si>
  <si>
    <t>ברבי, יוסף</t>
  </si>
  <si>
    <t>תרפ"ד - תרצ"ב</t>
  </si>
  <si>
    <t>בן פורת יוסף - 5 כר'</t>
  </si>
  <si>
    <t>קובו, יוסף בן יהודה</t>
  </si>
  <si>
    <t>רוט, נתן אליהו</t>
  </si>
  <si>
    <t>שטוקהמר, שמואל אבישי בן יהושע משה</t>
  </si>
  <si>
    <t>בן פורת - 2 כר'</t>
  </si>
  <si>
    <t>בן פרת יוסף</t>
  </si>
  <si>
    <t>הס, יוסף</t>
  </si>
  <si>
    <t>בן פרת יוסף - 2 כר'</t>
  </si>
  <si>
    <t>טובנקין, משה אהרן בן יהודה</t>
  </si>
  <si>
    <t>(תרפ"ז)-תרפ"ט</t>
  </si>
  <si>
    <t>סאטמאר- Izbica,</t>
  </si>
  <si>
    <t>בן ציון</t>
  </si>
  <si>
    <t>היילפרין-האלפערט, יוסף צבי</t>
  </si>
  <si>
    <t>יוסף בן אלימלך</t>
  </si>
  <si>
    <t>בן ראם</t>
  </si>
  <si>
    <t>הלטובסקי, רפאל חיים</t>
  </si>
  <si>
    <t>בן שלמה</t>
  </si>
  <si>
    <t>חזן, שלמה בן יוסף</t>
  </si>
  <si>
    <t>אלכסנדריה</t>
  </si>
  <si>
    <t>בן שלש עשרה למצוות</t>
  </si>
  <si>
    <t>לנדוי, בצלאל בן לוי יצחק</t>
  </si>
  <si>
    <t>בן שמואל</t>
  </si>
  <si>
    <t>די מדינה, שמואל בן משה</t>
  </si>
  <si>
    <t>בן שמונה עשרה לחופה</t>
  </si>
  <si>
    <t>בצרי, דוד שלום</t>
  </si>
  <si>
    <t>בן שמונים לגבורות</t>
  </si>
  <si>
    <t>ספר יובל - איגוד הרבנים דאמריקה</t>
  </si>
  <si>
    <t>בן תורה וישיבה</t>
  </si>
  <si>
    <t>בן תורה מהותו והשקפתו</t>
  </si>
  <si>
    <t>בנאות דשא - 2 כר'</t>
  </si>
  <si>
    <t>אדהאן, שלמה בן מסעוד</t>
  </si>
  <si>
    <t>בנאות דשא</t>
  </si>
  <si>
    <t>בנאות דשא - 4 כר'</t>
  </si>
  <si>
    <t>גרינפלד, דוד שאול בן יצחק משה</t>
  </si>
  <si>
    <t>צדיקי לעלוב</t>
  </si>
  <si>
    <t>בנבכי התורה</t>
  </si>
  <si>
    <t>שטרן, שאול</t>
  </si>
  <si>
    <t>בנה ביתך כבתחילה</t>
  </si>
  <si>
    <t>בנה ביתך כהלכה</t>
  </si>
  <si>
    <t>בלוך, מיכה שלמה ישראל</t>
  </si>
  <si>
    <t>בנה ביתך</t>
  </si>
  <si>
    <t>שעהר, אשר אנשיל</t>
  </si>
  <si>
    <t>בנוהג שבעולם</t>
  </si>
  <si>
    <t>מכון נתיב הברכה</t>
  </si>
  <si>
    <t>בנוי לתלפיות</t>
  </si>
  <si>
    <t>שרייבר, יוסף מאיר</t>
  </si>
  <si>
    <t>בנוית ברמה - 3 כר'</t>
  </si>
  <si>
    <t>גלאנטי, שמואל בן מרדכי הלוי</t>
  </si>
  <si>
    <t>בנות עליה</t>
  </si>
  <si>
    <t>בנות ציון וירושלם - 2 כר'</t>
  </si>
  <si>
    <t>תרפ"ט-תרצ"ב</t>
  </si>
  <si>
    <t>בני אברהם א</t>
  </si>
  <si>
    <t>אייברמסאן, מנחם מענדל</t>
  </si>
  <si>
    <t>בני אברהם ב</t>
  </si>
  <si>
    <t>בני אברהם - הלכות הכנה משבת לחול</t>
  </si>
  <si>
    <t>בני אברהם</t>
  </si>
  <si>
    <t>כהן, כאלפון משה בן שלום דניאל יהודה</t>
  </si>
  <si>
    <t>מיוחס, אברהם בן יהודה</t>
  </si>
  <si>
    <t>מרקר, יהודה בן אברהם</t>
  </si>
  <si>
    <t>רביבו, בני בן אברהם</t>
  </si>
  <si>
    <t>בני אהובה</t>
  </si>
  <si>
    <t>בני אהרן עם הגהות הרב יהודה פתייא ז"ל</t>
  </si>
  <si>
    <t>בני אהרן</t>
  </si>
  <si>
    <t>דרושים, נושאים שונים, קבלה</t>
  </si>
  <si>
    <t>חזן, אהרן יואל בן יצחק הכהן</t>
  </si>
  <si>
    <t>לאפאפא, אהרן בן יצחק</t>
  </si>
  <si>
    <t>פיינגלוז, אהרן בן ישראל דוד</t>
  </si>
  <si>
    <t>בני איש</t>
  </si>
  <si>
    <t>בני אמונים</t>
  </si>
  <si>
    <t>בני אמונים - א</t>
  </si>
  <si>
    <t>בני אתה - בר מצוה</t>
  </si>
  <si>
    <t>פרידמן, פנחס בן יהושע</t>
  </si>
  <si>
    <t>בני בינה - סדר הדלקת נרות חנוכה בנוסח רבוה"ק לבית פיטסבורג</t>
  </si>
  <si>
    <t>לייפער, מרדכי ישכר בער בן אברהם אבא</t>
  </si>
  <si>
    <t>בני בינה</t>
  </si>
  <si>
    <t>רבינוביץ, חיים ראובן</t>
  </si>
  <si>
    <t>בני בכורי ישראל</t>
  </si>
  <si>
    <t>הרשקוביץ, יצחק בן אפרים פישל</t>
  </si>
  <si>
    <t>נוסבוים, נחמיה יצחק</t>
  </si>
  <si>
    <t>בני בכורי ישראל - 2 כר'</t>
  </si>
  <si>
    <t>בני בנימין - ערבי פסחים</t>
  </si>
  <si>
    <t>גליק, חנניה דב בן יהונתן בנימין</t>
  </si>
  <si>
    <t>בני בנימין</t>
  </si>
  <si>
    <t>הכהן, בנימין בן חנן</t>
  </si>
  <si>
    <t>דרושים, הלכה ומנהג, משנה, נושאים שונים, תלמוד בבלי, תנ"ך</t>
  </si>
  <si>
    <t>ליפקין, בנימין</t>
  </si>
  <si>
    <t>בני בנימין - פרקי אבות</t>
  </si>
  <si>
    <t>נבול, בנימין</t>
  </si>
  <si>
    <t>רייך, יוסף בנימין בן שמעון ישעיהו</t>
  </si>
  <si>
    <t>מועדי ישראל, שאר ספרי חז"ל, תלמוד בבלי, תנ"ך</t>
  </si>
  <si>
    <t>בני בנימן וקרב אי"ש</t>
  </si>
  <si>
    <t>נבון, בנימין מרדכי בן אפרים</t>
  </si>
  <si>
    <t>בני ברק בת כ"ה</t>
  </si>
  <si>
    <t>בני ברק. עירייה</t>
  </si>
  <si>
    <t>בני ברק - עיר ואם בישראל</t>
  </si>
  <si>
    <t>עירית בני ברק</t>
  </si>
  <si>
    <t>בני גרשון - 2 כר'</t>
  </si>
  <si>
    <t>ליפשיץ, גרשון בן זאב</t>
  </si>
  <si>
    <t>בני דוד</t>
  </si>
  <si>
    <t>פאלקון, דוד</t>
  </si>
  <si>
    <t>בני האומה - קהילות פורטוגל והאיים</t>
  </si>
  <si>
    <t>בני היכלא - 2 כר'</t>
  </si>
  <si>
    <t>בית מדרש היכל תורה</t>
  </si>
  <si>
    <t>תל ציון</t>
  </si>
  <si>
    <t>ישיבת מאור התלמוד</t>
  </si>
  <si>
    <t>בני הנעורים</t>
  </si>
  <si>
    <t>בני חביבי - 2 כר'</t>
  </si>
  <si>
    <t>בני חי &lt;הוצאה חדשה&gt;</t>
  </si>
  <si>
    <t>בוחניך, חי מנחם</t>
  </si>
  <si>
    <t>ג'רבא</t>
  </si>
  <si>
    <t>בני חי - א</t>
  </si>
  <si>
    <t>בני חיי</t>
  </si>
  <si>
    <t>אלגאזי, חיים בן מנחם</t>
  </si>
  <si>
    <t>בני חיי - מנחה בלולה</t>
  </si>
  <si>
    <t>קובץ דינים ומכתבים מתוך כת"י ששון - דנגור, עזרא</t>
  </si>
  <si>
    <t>הלכה ומנהג, מועדי ישראל, נושאים שונים, תפלות בקשות פיוטים ושירה</t>
  </si>
  <si>
    <t>בני חיל - 3 כר'</t>
  </si>
  <si>
    <t>בני חיל - 4 כר'</t>
  </si>
  <si>
    <t>פינקל, משה בן חיים זאב</t>
  </si>
  <si>
    <t>בני חיל</t>
  </si>
  <si>
    <t>בני יהודה (לחם יהודה - בית יהודה)</t>
  </si>
  <si>
    <t>בני יהודה - 4 כר'</t>
  </si>
  <si>
    <t>ליטש-רוזנבוים</t>
  </si>
  <si>
    <t>בני יהודה - חמדת אריה</t>
  </si>
  <si>
    <t>משפחת הרבנים ליטש-רוזנבוים</t>
  </si>
  <si>
    <t>בני יהודה - (חלק ממנו)</t>
  </si>
  <si>
    <t>בני יהוידע</t>
  </si>
  <si>
    <t>באסה אליהו,יונתן</t>
  </si>
  <si>
    <t>בני יונה &lt;מהדורה חדשה&gt; - יובל שי</t>
  </si>
  <si>
    <t>לאנדסופר, יונה בן אליהו - פראנק, שלום יוסף בן נחום</t>
  </si>
  <si>
    <t>בני יונה</t>
  </si>
  <si>
    <t>לאנדסופר, יונה בן אליהו</t>
  </si>
  <si>
    <t>תקס"ג</t>
  </si>
  <si>
    <t>בני יוסף</t>
  </si>
  <si>
    <t>טאנוג'י, יוסף בן שלום הכהן</t>
  </si>
  <si>
    <t>הלכה ומנהג, שאלות ותשובות, שלחן ערוך ומפרשיו, תלמוד בבלי, תלמוד בבלי, תנ"ך</t>
  </si>
  <si>
    <t>יוסף בן שלמה בן יחיאל</t>
  </si>
  <si>
    <t>פיילבוגן, בנימין בן יוסף</t>
  </si>
  <si>
    <t>Leipzig ליפציג</t>
  </si>
  <si>
    <t>קאריו, יוסף יאושע</t>
  </si>
  <si>
    <t>בני יעקב - א</t>
  </si>
  <si>
    <t>חורי, יעקב</t>
  </si>
  <si>
    <t>בני יעקב - 4 כר'</t>
  </si>
  <si>
    <t>שכנזי, יעקב בן מרדכי</t>
  </si>
  <si>
    <t>בני יעקב</t>
  </si>
  <si>
    <t>ששון, יעקב בן ישראל</t>
  </si>
  <si>
    <t>בני יצחק</t>
  </si>
  <si>
    <t>חנין, יצחק משאלוניקי</t>
  </si>
  <si>
    <t>משנה, משנה, שלחן ערוך ומפרשיו, תנ"ך</t>
  </si>
  <si>
    <t>בני ישחק</t>
  </si>
  <si>
    <t>אקשוטי, יצחק בן חיים</t>
  </si>
  <si>
    <t>בני ישראל - ב (מסמכים וסיכומים)</t>
  </si>
  <si>
    <t>הרבנות הראשית</t>
  </si>
  <si>
    <t>בני ישראל</t>
  </si>
  <si>
    <t>קאראלי, ישראל אשר</t>
  </si>
  <si>
    <t>בני יששכר &lt;מהדורה חדשה מנוקדת&gt; - 2 כר'</t>
  </si>
  <si>
    <t>בני יששכר &lt;מהדורת מכון בני שלשים&gt; - 2 כר'</t>
  </si>
  <si>
    <t>בני יששכר &lt;עם ביאור הצבי והצדק&gt; - 5 כר'</t>
  </si>
  <si>
    <t>בני יששכר &lt;עם ביאור יודעי בינה&gt; - 6 כר'</t>
  </si>
  <si>
    <t>בני יששכר מאמר שבתות ד' ור"ח &lt;דפו"ר&gt;</t>
  </si>
  <si>
    <t>בני יששכר - 3 כר'</t>
  </si>
  <si>
    <t>בני לוי</t>
  </si>
  <si>
    <t>אסולין, לוי בן יוסף</t>
  </si>
  <si>
    <t>לווין, ירוחם בן חיים זלמן הלוי</t>
  </si>
  <si>
    <t>בני לנדא למשפחותם</t>
  </si>
  <si>
    <t>בני מאיר</t>
  </si>
  <si>
    <t>פאפו, דוד בן שלמה</t>
  </si>
  <si>
    <t>בני מחשבה טובה</t>
  </si>
  <si>
    <t>בני מלכים &lt;הספר העברי במרוקו&gt;</t>
  </si>
  <si>
    <t>בני מרוקו והלכותיהם</t>
  </si>
  <si>
    <t>בני משה &lt;מהדורה חדשה&gt;</t>
  </si>
  <si>
    <t>מאג'אר, משה בן יעקב</t>
  </si>
  <si>
    <t>בני משה</t>
  </si>
  <si>
    <t>הכהן, משה</t>
  </si>
  <si>
    <t>דרושים, הלכה ומנהג, נושאים שונים, תנ"ך, תפלות בקשות פיוטים ושירה</t>
  </si>
  <si>
    <t>ולנשטיין, משה נחום</t>
  </si>
  <si>
    <t>שלטון, משה בן יעקב</t>
  </si>
  <si>
    <t>תע"ג</t>
  </si>
  <si>
    <t>בני נפתלי</t>
  </si>
  <si>
    <t>בני סופרי המלך</t>
  </si>
  <si>
    <t>שישא, יוסף בן אברהם הלוי</t>
  </si>
  <si>
    <t>בני סמיכי</t>
  </si>
  <si>
    <t>יצחקי, יהודה בן יצחק חי הכהן</t>
  </si>
  <si>
    <t>בני עד - א</t>
  </si>
  <si>
    <t>בני עליה חפצים בחיים</t>
  </si>
  <si>
    <t>סוגיות בנושא חובת שמירת הגוף והנפש</t>
  </si>
  <si>
    <t>בני עליה</t>
  </si>
  <si>
    <t>בני עמי</t>
  </si>
  <si>
    <t>בני פרזים ומוקפים - 2 כר'</t>
  </si>
  <si>
    <t>לזרזון, משה  בן ישראל צבי</t>
  </si>
  <si>
    <t>בני ציון &lt;מהדורה חדשה&gt;</t>
  </si>
  <si>
    <t>מיטאבסקי, בן ציון</t>
  </si>
  <si>
    <t>בני ציון</t>
  </si>
  <si>
    <t>במה לבני ישיבות העוסקים בתורת אר"י</t>
  </si>
  <si>
    <t>בני ציון - 6 כר'</t>
  </si>
  <si>
    <t>לכטמאן, בן-ציון בן אברהם הלוי</t>
  </si>
  <si>
    <t>פרץ, בן ציון בן כמסוני</t>
  </si>
  <si>
    <t>בני ציון - א</t>
  </si>
  <si>
    <t>בני ציון - 3 כר'</t>
  </si>
  <si>
    <t>שפירא, דוד בן מנחם בן-ציון</t>
  </si>
  <si>
    <t>בני ראם &lt;מחידושי הגר"א גנחובסקי&gt;</t>
  </si>
  <si>
    <t>גנחובסקי, אברהם בן אליהו משה</t>
  </si>
  <si>
    <t>בני רשף - א-ב</t>
  </si>
  <si>
    <t>פילווארג, יונה בן שלמה</t>
  </si>
  <si>
    <t>בני שלמה - 3 כר'</t>
  </si>
  <si>
    <t>אמסלם, שלמה</t>
  </si>
  <si>
    <t>הלכה ומנהג, מועדי ישראל, קבלה, תנ"ך, תפלות בקשות פיוטים ושירה</t>
  </si>
  <si>
    <t>בני שלמה</t>
  </si>
  <si>
    <t>בני שלמה - משלי</t>
  </si>
  <si>
    <t>הערש, מאיר יצחק</t>
  </si>
  <si>
    <t>בני שלשים - 3 כר'</t>
  </si>
  <si>
    <t>רוטנברג, יוסף בן צבי הלוי</t>
  </si>
  <si>
    <t>בני שמואל - 3 כר'</t>
  </si>
  <si>
    <t>חאיון, שמואל בן יצחק</t>
  </si>
  <si>
    <t>שע"ג</t>
  </si>
  <si>
    <t>בני שמואל</t>
  </si>
  <si>
    <t>משה שמואל בן מרדכי</t>
  </si>
  <si>
    <t>עדאווי, משה בן שמואל</t>
  </si>
  <si>
    <t>הלכה ומנהג, הלכה ומנהג, תלמוד בבלי, תלמוד בבלי, תנ"ך</t>
  </si>
  <si>
    <t>בני תימן והלכותיהם</t>
  </si>
  <si>
    <t>בני"ן אה"ל מועד</t>
  </si>
  <si>
    <t>גרוספלד, יחזקאל בן נפתלי</t>
  </si>
  <si>
    <t>בניהו בן יהוידע</t>
  </si>
  <si>
    <t>דוויך, חיים שאול בן אליהו הכהן</t>
  </si>
  <si>
    <t>בניך כשתילי זיתים</t>
  </si>
  <si>
    <t>בניך לימודי ה'</t>
  </si>
  <si>
    <t>כהן, ינון יחזקאל בן אבנר</t>
  </si>
  <si>
    <t>בניך למודי ה'</t>
  </si>
  <si>
    <t>בנים חביבים</t>
  </si>
  <si>
    <t>ינאי, אליהו הלוי</t>
  </si>
  <si>
    <t>בנים למקום</t>
  </si>
  <si>
    <t>דרושים, חסידות, מועדי ישראל, מחשבה ומוסר</t>
  </si>
  <si>
    <t>בנים על אבות - 2 כר'</t>
  </si>
  <si>
    <t>בנימין הצדיק - רבי בנימין בצרי</t>
  </si>
  <si>
    <t>בצרי, יוסף חיים בן בנימין</t>
  </si>
  <si>
    <t>בנימין זאב &lt;דפו"ר&gt; - 2 כר'</t>
  </si>
  <si>
    <t>בנימין בן מתתיה</t>
  </si>
  <si>
    <t>רצ"ט</t>
  </si>
  <si>
    <t>בנימין זאב אחרון - 3 כר'</t>
  </si>
  <si>
    <t>ווילר, בנימין זאב בן חיים שמחה</t>
  </si>
  <si>
    <t>תרנ"ט - תר"ס</t>
  </si>
  <si>
    <t>בנימין זאב - 3 כר'</t>
  </si>
  <si>
    <t>בנימין צעיר</t>
  </si>
  <si>
    <t>עטון, כדיר שלמה</t>
  </si>
  <si>
    <t>בנין אב &lt;שיחות ומאמרים&gt; - 3 כר'</t>
  </si>
  <si>
    <t>בקשי דורון, אליהו</t>
  </si>
  <si>
    <t>בנין אב &lt;תשובות ומחקרים&gt; - 6 כר'</t>
  </si>
  <si>
    <t>בנין אב - 2 כר'</t>
  </si>
  <si>
    <t>בנין אב</t>
  </si>
  <si>
    <t>שולמן, אליהו ברוך בן ניסן אלחנן</t>
  </si>
  <si>
    <t>בנין אדם</t>
  </si>
  <si>
    <t>מילצקי, אריה דב בן שמעון אליעזר</t>
  </si>
  <si>
    <t>בנין אליהו - 12 כר'</t>
  </si>
  <si>
    <t>בנין אפרים - א</t>
  </si>
  <si>
    <t>בורודיאנסקי, אפרים נחום בן בן ציון</t>
  </si>
  <si>
    <t>דרושים, הלכה ומנהג, מחשבה ומוסר, קבצים וכתבי עת, ספרי זכרון ויובל, תולדות עם ישראל</t>
  </si>
  <si>
    <t>בנין אפרים</t>
  </si>
  <si>
    <t>בנין אריאל</t>
  </si>
  <si>
    <t>אביב"י, יוסף בן אריה</t>
  </si>
  <si>
    <t>גולדברג, זלמן נחמיה בן אברהם</t>
  </si>
  <si>
    <t>גנוט, מרדכי בן יואל</t>
  </si>
  <si>
    <t>הכהן, אריאל בן משה</t>
  </si>
  <si>
    <t>כלבו, יהושע יוסף בן יעקב מנחם</t>
  </si>
  <si>
    <t>בנין אריאל - 6 כר'</t>
  </si>
  <si>
    <t>לוונשטאם, שאול בן אריה ליב</t>
  </si>
  <si>
    <t>לזכר אריאל טובי ע"ה</t>
  </si>
  <si>
    <t>בנין אריאל - 2 כר'</t>
  </si>
  <si>
    <t>מייק, אריאל</t>
  </si>
  <si>
    <t>מילר, אריאל שמעון</t>
  </si>
  <si>
    <t>בנין בית נאמן</t>
  </si>
  <si>
    <t>סילבר, יצחק אייזיק בן מנחם מנלי</t>
  </si>
  <si>
    <t>בנין דוד  &lt;תורה - סוגיות הש"ס&gt;</t>
  </si>
  <si>
    <t>מייזלש, דוד דוב בן מרדכי זאב</t>
  </si>
  <si>
    <t>דרושים, מועדי ישראל, תלמוד בבלי, תלמוד בבלי, תלמוד בבלי, תלמוד ירושלמי, תנ"ך</t>
  </si>
  <si>
    <t>בנין דוד &lt;דרשות&gt;</t>
  </si>
  <si>
    <t>טאוב, דוד דוב בר בן בנימין זאב</t>
  </si>
  <si>
    <t>בנין דוד</t>
  </si>
  <si>
    <t>אלפרט, מרדכי דוד בן חיים שבתי</t>
  </si>
  <si>
    <t>בנין דוד - 4 כר'</t>
  </si>
  <si>
    <t>טוויל, דוד בן שלמה</t>
  </si>
  <si>
    <t>בנין דוד - מגילת איכה ומדרשי חז"ל</t>
  </si>
  <si>
    <t>בנין דוד - 2 כר'</t>
  </si>
  <si>
    <t>בנין דעת - מכשירין</t>
  </si>
  <si>
    <t>זילברברג, בנימין בן יצחק נחום</t>
  </si>
  <si>
    <t>בנין הארץ - ב</t>
  </si>
  <si>
    <t>פינס, יחיאל מיכל בן נח</t>
  </si>
  <si>
    <t>בנין הבית</t>
  </si>
  <si>
    <t>אלטשולר, יחיאל הילל בן דוד</t>
  </si>
  <si>
    <t>ארלנגר, עקיבא בן אברהם</t>
  </si>
  <si>
    <t>בנין הלכה</t>
  </si>
  <si>
    <t>בנין המשפט - 2 כר'</t>
  </si>
  <si>
    <t>רטבי, ישועה</t>
  </si>
  <si>
    <t>מצפה יריחו</t>
  </si>
  <si>
    <t>בנין הריא"ל</t>
  </si>
  <si>
    <t>הלר, יצחק אייזיק הלוי</t>
  </si>
  <si>
    <t>בנין ותיקון - בין המצרים</t>
  </si>
  <si>
    <t>בנין זקנים - א</t>
  </si>
  <si>
    <t>לייבמאן, אברהם יצחק בן אריה ליב</t>
  </si>
  <si>
    <t>בנין חיים - 3 כר'</t>
  </si>
  <si>
    <t>דומב, שמואל חיים</t>
  </si>
  <si>
    <t>בנין יהושע</t>
  </si>
  <si>
    <t>ווילדמאן, יהושע אלטר בן אלימלך</t>
  </si>
  <si>
    <t>יהושע פאלק בן יצחק איזק</t>
  </si>
  <si>
    <t>תקמ"ח</t>
  </si>
  <si>
    <t>מייזליש, יהושע בן חיים</t>
  </si>
  <si>
    <t>בנין יוסף</t>
  </si>
  <si>
    <t>יוסף בן שלמה, מפוזן</t>
  </si>
  <si>
    <t>יוסף בן שמעון</t>
  </si>
  <si>
    <t>בנין יחזקאל - 2 כר'</t>
  </si>
  <si>
    <t>סירקין, יחזקאל בן משה</t>
  </si>
  <si>
    <t>ראיובסקי, יחזקאל אברהם בן ישראל נתן נטע</t>
  </si>
  <si>
    <t>בנין יחיאל - בבא קמא</t>
  </si>
  <si>
    <t>ורקר, יחיאל אריאל</t>
  </si>
  <si>
    <t>בנין יעקב - 4 כר'</t>
  </si>
  <si>
    <t>רבינוביץ, יעקב עקיבא בן גמליאל הכהן</t>
  </si>
  <si>
    <t>בנין ירושלים</t>
  </si>
  <si>
    <t>קצבורג, אוריאל צבי בן ישראל חיים הכהן</t>
  </si>
  <si>
    <t>תלמוד ירושלמי. תרכ"ד. ורשה</t>
  </si>
  <si>
    <t>בנין מנחם</t>
  </si>
  <si>
    <t>גלרנטר, צבי הירש בן גדליה</t>
  </si>
  <si>
    <t>בנין מרדכי - 6 כר'</t>
  </si>
  <si>
    <t>רוזנברג, מרדכי בנימין בן יצחק יעקב</t>
  </si>
  <si>
    <t>בנין משה - 2 כר'</t>
  </si>
  <si>
    <t>מייזליש, משה</t>
  </si>
  <si>
    <t>בנין נחום</t>
  </si>
  <si>
    <t>פרצוביץ, נחום - שולביץ, מאיר (עורך)</t>
  </si>
  <si>
    <t>בנין עדי עד - 3 כר'</t>
  </si>
  <si>
    <t>זאיד, יחיאל בן חיים</t>
  </si>
  <si>
    <t>בנין עדי עד</t>
  </si>
  <si>
    <t>רייס, משה</t>
  </si>
  <si>
    <t>בנין עולם &lt;מהדורה חדשה&gt; - או"ח, יו"ד</t>
  </si>
  <si>
    <t>בנין עולם - 2 כר'</t>
  </si>
  <si>
    <t>אברהמי, דוד</t>
  </si>
  <si>
    <t>בנין עולם - 3 כר'</t>
  </si>
  <si>
    <t>תרי"א - תרס"ד</t>
  </si>
  <si>
    <t>בנין עולמים</t>
  </si>
  <si>
    <t>מישקולץMiskolc</t>
  </si>
  <si>
    <t>בנין צבי - 3 כר'</t>
  </si>
  <si>
    <t>מייזלש, צבי הירש בן דוד דוב</t>
  </si>
  <si>
    <t>תרצ"ט - תשט"ז</t>
  </si>
  <si>
    <t>בנין ציון - 1-21</t>
  </si>
  <si>
    <t>בטאון קהילת בנין ציון</t>
  </si>
  <si>
    <t>תשס"ד-תשס"ח</t>
  </si>
  <si>
    <t>בנין ציון</t>
  </si>
  <si>
    <t>דפן, בנציון בן שלמה</t>
  </si>
  <si>
    <t>בנין ציון - 2 כר'</t>
  </si>
  <si>
    <t>שמושקוביץ, ניסן בן-ציון בן מנחם מאיר</t>
  </si>
  <si>
    <t>בנין ציון, ובנין ציון החדשות</t>
  </si>
  <si>
    <t>תרכ"ח - תרל"ח</t>
  </si>
  <si>
    <t>אלטונה - וילנה</t>
  </si>
  <si>
    <t>בנין שאול</t>
  </si>
  <si>
    <t>הלוי, שאול</t>
  </si>
  <si>
    <t>דרושים, הלכה ומנהג, מחשבה ומוסר, נושאים שונים, תולדות עם ישראל</t>
  </si>
  <si>
    <t>בנין שבת - א - ב</t>
  </si>
  <si>
    <t>כהן, חנן בן יעקב</t>
  </si>
  <si>
    <t>בנין של שמחה</t>
  </si>
  <si>
    <t>אויערבך, שמחה בונים בן אברהם דב</t>
  </si>
  <si>
    <t>בנין שלום</t>
  </si>
  <si>
    <t>דירקטור, צבי הירש בן שלום</t>
  </si>
  <si>
    <t>בנין שלום - 7 כר'</t>
  </si>
  <si>
    <t>וייס, שלום נח סג"ל</t>
  </si>
  <si>
    <t>בנין שלם</t>
  </si>
  <si>
    <t>אהרוני, דוד בן יוסף</t>
  </si>
  <si>
    <t>בנין שלם - 7 כר'</t>
  </si>
  <si>
    <t>כהנא, אפרים</t>
  </si>
  <si>
    <t>בנין שלם - נזיר</t>
  </si>
  <si>
    <t>סלר, שלום בן יוסף</t>
  </si>
  <si>
    <t>בנין שלם - 4 כר'</t>
  </si>
  <si>
    <t>עמאש, אפרים אריאל בן יוסף הכהן</t>
  </si>
  <si>
    <t>בנין שלם - יבמות</t>
  </si>
  <si>
    <t>קרויזר, שלמה זלמן</t>
  </si>
  <si>
    <t>בנין שלמה &lt;מהדורה חדשה&gt; - 2 כר'</t>
  </si>
  <si>
    <t>כהן, שלמה בן ישראל משה מווילנא</t>
  </si>
  <si>
    <t>הלכה ומנהג, מועדי ישראל, שאלות ותשובות, תנ"ך</t>
  </si>
  <si>
    <t>בנין שלמה &lt;מהדורה מחודשת&gt; - ב</t>
  </si>
  <si>
    <t>בנין שלמה ואהל רחל</t>
  </si>
  <si>
    <t>שטרן, ברוך בן שלמה</t>
  </si>
  <si>
    <t>בנין שלמה</t>
  </si>
  <si>
    <t>גור-אריה, שלמה בן אליעזר</t>
  </si>
  <si>
    <t>גורדון, שלמה בן יעקב</t>
  </si>
  <si>
    <t>האנאו, שלמה זלמן בן יהודה ליב הכהן</t>
  </si>
  <si>
    <t>בנין שלמה - 2 כר'</t>
  </si>
  <si>
    <t>בנין שלמה - 6 כר'</t>
  </si>
  <si>
    <t>מאז, נתן בן שלמה</t>
  </si>
  <si>
    <t>מז, נתן</t>
  </si>
  <si>
    <t>רבינוביץ, שלמה אביגדור בן מאיר</t>
  </si>
  <si>
    <t>דרושים, הלכה ומנהג, תולדות עם ישראל, תלמוד בבלי</t>
  </si>
  <si>
    <t>שלמה בן אברהם אבריל מליסא</t>
  </si>
  <si>
    <t>תקמ"ט</t>
  </si>
  <si>
    <t>שלמה דוד בן שמואל מלאהיסק</t>
  </si>
  <si>
    <t>בנין שמואל - אהע"ז</t>
  </si>
  <si>
    <t>כהן, שמואל בן יהודה</t>
  </si>
  <si>
    <t>בנין שמואל</t>
  </si>
  <si>
    <t>לאנדא, שמואל בן קלונימוס סג"ל</t>
  </si>
  <si>
    <t>בנינו כנטיעים - 2 כר'</t>
  </si>
  <si>
    <t>חורי, צבי בן שמעון</t>
  </si>
  <si>
    <t>בנינו של עולם</t>
  </si>
  <si>
    <t>אברהמי אברמסקי, ישראל בן דוד הלוי</t>
  </si>
  <si>
    <t>אלטרמן, אלישע בן יקותיאל</t>
  </si>
  <si>
    <t>בנית בית כנסת כהלכה</t>
  </si>
  <si>
    <t>גאופטמן, אברהם צבי</t>
  </si>
  <si>
    <t>בנית הבית</t>
  </si>
  <si>
    <t>זנד, יהושע זאב בן נפתלי יוסף</t>
  </si>
  <si>
    <t>בנסוע הארון</t>
  </si>
  <si>
    <t>אלתר, פנחס מנחם בן אברהם מרדכי</t>
  </si>
  <si>
    <t>בנערינו ובזקנינו</t>
  </si>
  <si>
    <t>וורנר, אשר זאב בן שמחה בונם</t>
  </si>
  <si>
    <t>בנפלאותיך אשיחה</t>
  </si>
  <si>
    <t>שלז, צבי בן בן-ציון</t>
  </si>
  <si>
    <t>פולטבה Poltava</t>
  </si>
  <si>
    <t>בנפש האגדה</t>
  </si>
  <si>
    <t>קשתיאל, אליעזר</t>
  </si>
  <si>
    <t>בנפתולי הזמן</t>
  </si>
  <si>
    <t>בנפתולי הימים</t>
  </si>
  <si>
    <t>וולף, אביעזרי</t>
  </si>
  <si>
    <t>בנתיב החלב - 6 כר'</t>
  </si>
  <si>
    <t>קובץ (עורך: וייטמן, זאב)</t>
  </si>
  <si>
    <t>בנתיב החסד</t>
  </si>
  <si>
    <t>בנתיבות האיש - 2 כר'</t>
  </si>
  <si>
    <t>שוקרון, אבנר ישראל</t>
  </si>
  <si>
    <t>בנתיבות האמונה - 2 כר'</t>
  </si>
  <si>
    <t>בנתיבות ההוראה - 13 כר'</t>
  </si>
  <si>
    <t>בית המדרש בנתיבות ההוראה</t>
  </si>
  <si>
    <t>בנתיבות ההלכה  &lt;כשרות&gt; - ב  ג'לטין</t>
  </si>
  <si>
    <t>שרשבסקי, יהודה א</t>
  </si>
  <si>
    <t>בנתיבות ההלכה &lt;כשרות&gt; - 2 כר'</t>
  </si>
  <si>
    <t>מכון באהלי תורה  שע"י ישיבת אמרי יושר - שרשבסקי, יהודה א</t>
  </si>
  <si>
    <t>בנתיבות ההלכה &lt;שבת&gt; - א  יין קידוש</t>
  </si>
  <si>
    <t>בנתיבות ההלכה - 49 כר'</t>
  </si>
  <si>
    <t>קסטנר, נחום (עורך)</t>
  </si>
  <si>
    <t>בנתיבות הזמן והנצח</t>
  </si>
  <si>
    <t>גירשט, יהודה ליב בן מנחם מנדל</t>
  </si>
  <si>
    <t>בנתיבות המדרש</t>
  </si>
  <si>
    <t>בנתיבות המועדים</t>
  </si>
  <si>
    <t>בנתיבות המשפט</t>
  </si>
  <si>
    <t>לומדי בית המדרש "נתיבות המשפט"</t>
  </si>
  <si>
    <t>בנתיבות העיון - 9 כר'</t>
  </si>
  <si>
    <t>קובץ חסידי בעלזא</t>
  </si>
  <si>
    <t>בנתיבות התלמוד - ב</t>
  </si>
  <si>
    <t>ישיבת רבינו חיים עוזר</t>
  </si>
  <si>
    <t>בנתיבות התלמוד - תנאים</t>
  </si>
  <si>
    <t>שושן, עמוס</t>
  </si>
  <si>
    <t>פוריה</t>
  </si>
  <si>
    <t>בנתיבות התפילה</t>
  </si>
  <si>
    <t>אוברלנדר, גדליה בן יחיאל</t>
  </si>
  <si>
    <t>בנתיבות חכמה - סוכה פ"א</t>
  </si>
  <si>
    <t>מייזלס, מנחם דן בן יהודה אריה</t>
  </si>
  <si>
    <t>בנתיבות ים - 18 כר'</t>
  </si>
  <si>
    <t>בנתיבות רחוקים</t>
  </si>
  <si>
    <t>בנתיבות שבים - אל המקורות</t>
  </si>
  <si>
    <t>בנתיבותיך פולין</t>
  </si>
  <si>
    <t>קנובלביץ, פנחס</t>
  </si>
  <si>
    <t>בנתיבי אבות על מסכת אבות</t>
  </si>
  <si>
    <t>בנתיבי אשכנז</t>
  </si>
  <si>
    <t>איילדברג, שלמה</t>
  </si>
  <si>
    <t>בנתיבי המהר"ל - ביאור ע"ס תפארת ישראל</t>
  </si>
  <si>
    <t>דביר, שמואל - ביטון, יוסף</t>
  </si>
  <si>
    <t>בנתיבי חסד ואמת - 4 כר'</t>
  </si>
  <si>
    <t>ספר השנה של חברה קדישא ת"א</t>
  </si>
  <si>
    <t>בנתיבי חסידות איזביצא -ראדזין</t>
  </si>
  <si>
    <t>שרגאי, שלמה זלמן</t>
  </si>
  <si>
    <t>בנתיבי חסידות פולין</t>
  </si>
  <si>
    <t>ברסלר, אברהם</t>
  </si>
  <si>
    <t>בנתיבי מלכות - 2 כר'</t>
  </si>
  <si>
    <t>בסוד ישרים ועדה</t>
  </si>
  <si>
    <t>תולדות ישיבות בסוד ישרים</t>
  </si>
  <si>
    <t>בסוד ישרים - 5 כר'</t>
  </si>
  <si>
    <t>וינטרויב, ישראל אליהו</t>
  </si>
  <si>
    <t>בסוד ישרים</t>
  </si>
  <si>
    <t>נויגרשל, צבי אלימלך בן ישראל</t>
  </si>
  <si>
    <t>בסוד נביאך - יונה</t>
  </si>
  <si>
    <t>גוטפרב, יוסף</t>
  </si>
  <si>
    <t>בסוד עבדיך - 10 כר'</t>
  </si>
  <si>
    <t>בסוד שיח התורה</t>
  </si>
  <si>
    <t>ויס, ישכר דב</t>
  </si>
  <si>
    <t>בסוכת תשבו - הלכות ישיבה בסוכה</t>
  </si>
  <si>
    <t>פאק, יוסף מרדכי</t>
  </si>
  <si>
    <t>מעלה עמוס</t>
  </si>
  <si>
    <t>בסופה ובסערה</t>
  </si>
  <si>
    <t>בספר חיים - אלול תשרי</t>
  </si>
  <si>
    <t>בסתר המדרגה</t>
  </si>
  <si>
    <t>ברנט, יוסף אהרן</t>
  </si>
  <si>
    <t>זרצקי, אלכסנדר זיסקינד  (לזכרו)</t>
  </si>
  <si>
    <t>יחזקאל, משה</t>
  </si>
  <si>
    <t>בעבודתו ינחלוה</t>
  </si>
  <si>
    <t>ליקוטים מהרמב"ן ומאמרים בביאור דבריו</t>
  </si>
  <si>
    <t>בעול המצוות</t>
  </si>
  <si>
    <t>סלומון, יחזקאל</t>
  </si>
  <si>
    <t>בעי חיי - 5 כר'</t>
  </si>
  <si>
    <t>בנבנישת, חיים בן ישראל</t>
  </si>
  <si>
    <t>בעיות הזמן</t>
  </si>
  <si>
    <t>גרוזובסקי, רפאל ראובן</t>
  </si>
  <si>
    <t>בעיות הזמן - 2 כר'</t>
  </si>
  <si>
    <t>בעיות החינוך</t>
  </si>
  <si>
    <t>אורליאן, יהודה ליב</t>
  </si>
  <si>
    <t>בעין טובה - 2 כר'</t>
  </si>
  <si>
    <t>מלמד, זלמן ברוך הכהן</t>
  </si>
  <si>
    <t>בעין יהודית - 5 כר'</t>
  </si>
  <si>
    <t>סלומון, יוחנן דוד</t>
  </si>
  <si>
    <t>בעית הכהנים בבתי חולים</t>
  </si>
  <si>
    <t>בעית הנשירה לאור ההלכה</t>
  </si>
  <si>
    <t>קמלמן, יהושע</t>
  </si>
  <si>
    <t>בעל דמשק אליעזר</t>
  </si>
  <si>
    <t>בעל הטורים &lt;עטרות אד"ר&gt; - 2 כר'</t>
  </si>
  <si>
    <t>יעקב בן אשר (בעל הטורים) - רבינוביץ תאומים, אליהו דוד בן בנימין</t>
  </si>
  <si>
    <t>בעל הנפש - 2 כר'</t>
  </si>
  <si>
    <t>אברהם בן דוד (הראב"ד השלישי)</t>
  </si>
  <si>
    <t>בעל הקריאה</t>
  </si>
  <si>
    <t>בר-לב, מיכאל</t>
  </si>
  <si>
    <t>בעל השדה</t>
  </si>
  <si>
    <t>רוזוף, בנימין זאב וולף בן אריה</t>
  </si>
  <si>
    <t>בעל השם ממיכלשטדט</t>
  </si>
  <si>
    <t>ארמאן, נפתלי הירץ</t>
  </si>
  <si>
    <t>בעל פה - 3 כר'</t>
  </si>
  <si>
    <t>לוי, יצחק בן אברהם אליעזר</t>
  </si>
  <si>
    <t>תש"א- תש"ו</t>
  </si>
  <si>
    <t>נוה יעקב Neve Ya'ak</t>
  </si>
  <si>
    <t>בעל שם טוב  &lt;מהדורה חדשה&gt; - 2 כר'</t>
  </si>
  <si>
    <t>וודניק, שמעון מנחם בן י צ</t>
  </si>
  <si>
    <t>בעל שם טוב</t>
  </si>
  <si>
    <t>וודניק, שמעון מנחם מנדל בן י צ</t>
  </si>
  <si>
    <t>תש"ח-תש"י</t>
  </si>
  <si>
    <t>קליבלנד Cleveland</t>
  </si>
  <si>
    <t>בעל שם טוב  - נ"ך ואגדות הש"ס</t>
  </si>
  <si>
    <t>חרל"פ, שמואל (מלקט)</t>
  </si>
  <si>
    <t>בעל תפארת ישראל וצואתו</t>
  </si>
  <si>
    <t>בעל תשובה</t>
  </si>
  <si>
    <t>אריגור, יצחק</t>
  </si>
  <si>
    <t>בעלות המנחה &lt;ע"ס מנחת חינוך&gt; - 6 כר'</t>
  </si>
  <si>
    <t>וורמברנד, מנחם</t>
  </si>
  <si>
    <t>בעלי אסופות - 3 כר'</t>
  </si>
  <si>
    <t>בית המדרש גבעת אסף</t>
  </si>
  <si>
    <t>בעלי אסופות - סנהדרין</t>
  </si>
  <si>
    <t>ישיבת מרכז הרב</t>
  </si>
  <si>
    <t>בעלי אסופות</t>
  </si>
  <si>
    <t>קובץ תלמידי ישיבת מאור עינים</t>
  </si>
  <si>
    <t>בעלי ברית אברם</t>
  </si>
  <si>
    <t>בעלי הנפש &lt;השגות הרז"ה&gt;</t>
  </si>
  <si>
    <t>(תרפ"ז</t>
  </si>
  <si>
    <t>בעלי הנפש &lt;מהדורת הרב בוקוולד&gt;</t>
  </si>
  <si>
    <t>בעלי הנפש - 3 כר'</t>
  </si>
  <si>
    <t>בעלי התוספות - 2 כר'</t>
  </si>
  <si>
    <t>בעלי התוספות</t>
  </si>
  <si>
    <t>בעלי התוספות - א</t>
  </si>
  <si>
    <t>מיארה, מאיר</t>
  </si>
  <si>
    <t>בעלי שם</t>
  </si>
  <si>
    <t>בעלי תשובה</t>
  </si>
  <si>
    <t>כשר, שמואל יצחק</t>
  </si>
  <si>
    <t>בעליל לארץ</t>
  </si>
  <si>
    <t>משנה, משנה, שאר ספרי חז"ל, תלמוד בבלי, תלמוד בבלי, תלמוד בבלי, תלמוד ירושלמי</t>
  </si>
  <si>
    <t>בעמק סוכות - עמ"ס סוכה, נזיר</t>
  </si>
  <si>
    <t>בענייני מצוה הבאה בעבירה</t>
  </si>
  <si>
    <t>בענין האיסור לעלות להר הבית בזמן הזה</t>
  </si>
  <si>
    <t>בענין המתארח אצל מי שכליו בלועים מאיסור</t>
  </si>
  <si>
    <t>אהרמן, דוד אברהם בן יצחק יונה</t>
  </si>
  <si>
    <t>בענין הרדיו</t>
  </si>
  <si>
    <t>איגוד תורת אמת</t>
  </si>
  <si>
    <t>בענין זהירות מלשה"ר בעתון</t>
  </si>
  <si>
    <t>קאופמן, משה</t>
  </si>
  <si>
    <t>בענין ספר תורה של הגר"א ז"ל</t>
  </si>
  <si>
    <t>פרידמן, אריה ליב</t>
  </si>
  <si>
    <t>בענין קשר תפילין של ראש בצורת דל"ת</t>
  </si>
  <si>
    <t>פרנק, חיים שרגא פייביל בן זאב וולף</t>
  </si>
  <si>
    <t>בעניני הפרשה - בראשית</t>
  </si>
  <si>
    <t>בעניני קינוי סתירה והשקה</t>
  </si>
  <si>
    <t>דונט, מרדכי</t>
  </si>
  <si>
    <t>בעצתך תנחני - 2 כר'</t>
  </si>
  <si>
    <t>בוצ'קובסקי, יעקב צבי</t>
  </si>
  <si>
    <t>בעקבות בית אבא - ב &lt;מכתבי הגרש"ז&gt;</t>
  </si>
  <si>
    <t>הררי, שמשון - זיו שמחה זיסל</t>
  </si>
  <si>
    <t>בעקבות בית אבא - ה</t>
  </si>
  <si>
    <t>הררי, שמשון</t>
  </si>
  <si>
    <t>בעקבות דרך ה'</t>
  </si>
  <si>
    <t>קוק, בן ציון</t>
  </si>
  <si>
    <t>בעקבות המחבר</t>
  </si>
  <si>
    <t>בוצ'קו, שאול דוד בן משה</t>
  </si>
  <si>
    <t>כוכב יעקב</t>
  </si>
  <si>
    <t>בעקבות המנורה</t>
  </si>
  <si>
    <t>שפיצר, שלמה בן דוד</t>
  </si>
  <si>
    <t>בעקבות הסתלקות זקן המקובלים רבי יצחק כדורי</t>
  </si>
  <si>
    <t>בעקבות הפסגה - א</t>
  </si>
  <si>
    <t>טריווש, קלמן בן הילל דוד הכהן</t>
  </si>
  <si>
    <t>בעקבות מועדי ה'</t>
  </si>
  <si>
    <t>בעקבות מרן - 10 כר'</t>
  </si>
  <si>
    <t>בעקבות משה - 2 כר'</t>
  </si>
  <si>
    <t>טיקוצ'נסקי, משה עקיבא</t>
  </si>
  <si>
    <t>בעקבות רבותינו - 4 כר'</t>
  </si>
  <si>
    <t>בעקבות רש"י - 11 כר'</t>
  </si>
  <si>
    <t>בעקבי אליעזר</t>
  </si>
  <si>
    <t>בעקבי הכתובים - איוב</t>
  </si>
  <si>
    <t>אדלשטיין, יעקב בן צבי יהודה</t>
  </si>
  <si>
    <t>בעקבי המגילות - רות</t>
  </si>
  <si>
    <t>בעקבי המועדים</t>
  </si>
  <si>
    <t>איזקוב, יעקב - גניזי, יעקב</t>
  </si>
  <si>
    <t>בעקבי המלך</t>
  </si>
  <si>
    <t>פרידמן, אברהם יעקב בן מרדכי שלום יוסף (עליו)</t>
  </si>
  <si>
    <t>בעקבי הצאן &lt;חד גדיא המבואר&gt;</t>
  </si>
  <si>
    <t>בעקבי הצאן - 2 כר'</t>
  </si>
  <si>
    <t>ווייס, גרשון יעקב - חייט, אליעזר חיים (עורך)</t>
  </si>
  <si>
    <t>בעקבי הצאן</t>
  </si>
  <si>
    <t>בעקבי יוסף</t>
  </si>
  <si>
    <t>מרזיוב, יוסף בן יעקב</t>
  </si>
  <si>
    <t>בעקבי יעקב</t>
  </si>
  <si>
    <t>וייזר, חיים מרדכי בן יהושע</t>
  </si>
  <si>
    <t>בעקבי מנחת חינוך - 2 כר'</t>
  </si>
  <si>
    <t>בעקבי נזיקין</t>
  </si>
  <si>
    <t>בעקבי פרשיות</t>
  </si>
  <si>
    <t>דושינסקי, יעקב ירחמיאל</t>
  </si>
  <si>
    <t>בעקבי תודה - 3 כר'</t>
  </si>
  <si>
    <t>בעקבי תלמוד</t>
  </si>
  <si>
    <t>בערתי הקדש</t>
  </si>
  <si>
    <t>בעתה אחישנה</t>
  </si>
  <si>
    <t>בפאתי הבית</t>
  </si>
  <si>
    <t>בפי ישרים</t>
  </si>
  <si>
    <t>בלוך, אפרים זאב</t>
  </si>
  <si>
    <t>בפי ישרים - הגדה של פסח</t>
  </si>
  <si>
    <t>פישהוף, יחיאל בן ציון</t>
  </si>
  <si>
    <t>בפי רבים אהללה</t>
  </si>
  <si>
    <t>בפלפול התלמידים</t>
  </si>
  <si>
    <t>ישיבת צאנז</t>
  </si>
  <si>
    <t>בפקודה אלוקית</t>
  </si>
  <si>
    <t>בפקודיך אשיחה - 3 כר'</t>
  </si>
  <si>
    <t>טויבנפעלד, משה מנחם</t>
  </si>
  <si>
    <t>בפקודיך אשיחה</t>
  </si>
  <si>
    <t>קרול, אברהם בן מרדכי ניסן</t>
  </si>
  <si>
    <t>בפתחי עולם</t>
  </si>
  <si>
    <t>רוטנברג,שלמה הכהן</t>
  </si>
  <si>
    <t>בצאת השנה</t>
  </si>
  <si>
    <t>המחלקה למצוות התלויות בארץ</t>
  </si>
  <si>
    <t>בצאת שנה</t>
  </si>
  <si>
    <t>בן-שחר, אברהם יצחק בן אפרים מרדכי</t>
  </si>
  <si>
    <t>קדומים</t>
  </si>
  <si>
    <t>מועדי ישראל, מחשבה ומוסר, קבצים וכתבי עת, ספרי זכרון ויובל</t>
  </si>
  <si>
    <t>בצדק ובמשפט</t>
  </si>
  <si>
    <t>וידר, יחיאל בן יצחק</t>
  </si>
  <si>
    <t>בצדק תשפוט</t>
  </si>
  <si>
    <t>אשכנזי, צדוק</t>
  </si>
  <si>
    <t>בצדקה תכונני רחקי מעשק</t>
  </si>
  <si>
    <t>טבריה. עדת הספרדים</t>
  </si>
  <si>
    <t>בצור ירום - 9 כר'</t>
  </si>
  <si>
    <t>בצידי המסילה</t>
  </si>
  <si>
    <t>בצילם חימדתי</t>
  </si>
  <si>
    <t>בצילן של מלכויות</t>
  </si>
  <si>
    <t>איש-שלום, מיכאל</t>
  </si>
  <si>
    <t>בציר אליעזר</t>
  </si>
  <si>
    <t>בציר יצחק - 2 כר'</t>
  </si>
  <si>
    <t>רוזנטל, יצחק בן ציון בן נפתלי צבי</t>
  </si>
  <si>
    <t>בצל החכמה</t>
  </si>
  <si>
    <t>בצל החכמה - 6 כר'</t>
  </si>
  <si>
    <t>בצל הקודש</t>
  </si>
  <si>
    <t>ראקאוו, בצלאל בן יום טוב ליפמאן</t>
  </si>
  <si>
    <t>הלכה ומנהג, מועדי ישראל, תולדות עם ישראל, תנ"ך</t>
  </si>
  <si>
    <t>בצל חמדה - 2 כר'</t>
  </si>
  <si>
    <t>אוירבך, אליעזר ישראל בן יחזקאל</t>
  </si>
  <si>
    <t>בצל כנפיך</t>
  </si>
  <si>
    <t>בצל מקדש - 2 כר'</t>
  </si>
  <si>
    <t>בית אולפנא כולל הרצליה</t>
  </si>
  <si>
    <t>הרצליה</t>
  </si>
  <si>
    <t>בצל משכיות הכסף - ברכות</t>
  </si>
  <si>
    <t>רייכנברג, יוסף בן יצחק צבי שאול הלוי</t>
  </si>
  <si>
    <t>בצל צדיקים</t>
  </si>
  <si>
    <t>ליקוטים</t>
  </si>
  <si>
    <t>בצל תומר - ב</t>
  </si>
  <si>
    <t>ישיבת מהרי"ט דסאטמר</t>
  </si>
  <si>
    <t>בני ברק - ניו יורק</t>
  </si>
  <si>
    <t>בצלו חמדתי</t>
  </si>
  <si>
    <t>בצלו חמדתי - על הגאון מטשעבין</t>
  </si>
  <si>
    <t>רבינוביץ, יהודה ליב בן חיים מאיר דוד</t>
  </si>
  <si>
    <t>בצלצלי שמע - זבחים</t>
  </si>
  <si>
    <t>קסלר, בצלאל בן שמחה</t>
  </si>
  <si>
    <t>בצר במדבר</t>
  </si>
  <si>
    <t>בבצ'יק, בן ציון</t>
  </si>
  <si>
    <t>בצרור החיים</t>
  </si>
  <si>
    <t>בקדושה ובגבורה - 2 כר'</t>
  </si>
  <si>
    <t>אייבשיץ, יהושע</t>
  </si>
  <si>
    <t>בקדושתו של אהרן - 2 כר'</t>
  </si>
  <si>
    <t>בקודש חזיתיך - 3 כר'</t>
  </si>
  <si>
    <t>בקודש חזיתך</t>
  </si>
  <si>
    <t>שורצבורד, משה אליעזר</t>
  </si>
  <si>
    <t>בקול שופר</t>
  </si>
  <si>
    <t>אביטן, מנחם בן נסים</t>
  </si>
  <si>
    <t>בקול שמחה - פסחים</t>
  </si>
  <si>
    <t>בקור חולים מעבר יבק וספר החיים</t>
  </si>
  <si>
    <t>לאנדסהוט, אליעזר ליזר בן מאיר</t>
  </si>
  <si>
    <t>בערלין</t>
  </si>
  <si>
    <t>בקוראי שמו - סת"ם</t>
  </si>
  <si>
    <t>ח. שמואל</t>
  </si>
  <si>
    <t>בקוראי שמו</t>
  </si>
  <si>
    <t>מועדי ישראל, קבצים וכתבי עת, ספרי זכרון ויובל, תלמוד בבלי</t>
  </si>
  <si>
    <t>בקורי נסיכי אנגליה בירושלם</t>
  </si>
  <si>
    <t>בקורת ומסה - אישים וספרים</t>
  </si>
  <si>
    <t>בקורת תהיה</t>
  </si>
  <si>
    <t>שפירא כהנא, נחום</t>
  </si>
  <si>
    <t>בקיאות התורה</t>
  </si>
  <si>
    <t>ראם, שלמה מנחם בן חיים יהודה</t>
  </si>
  <si>
    <t>בקיאות כהלכה - 6 כר'</t>
  </si>
  <si>
    <t>כהן-זדה, שמואל בן עזרא</t>
  </si>
  <si>
    <t>בקנה אחד - 5 כר'</t>
  </si>
  <si>
    <t>בקע לגלגלת</t>
  </si>
  <si>
    <t>אלמאליח, אליהו בן יעקב</t>
  </si>
  <si>
    <t>בקר יזרח - 2 כר'</t>
  </si>
  <si>
    <t>מילדולה, יעקב חי בן דוד</t>
  </si>
  <si>
    <t>צ'רנוביץ</t>
  </si>
  <si>
    <t>בקראי שמו - 2 כר'</t>
  </si>
  <si>
    <t>ברנבאום, רפאל שמואל</t>
  </si>
  <si>
    <t>בקראי שמו - כתיבת סת"ם</t>
  </si>
  <si>
    <t>בקרב חסידים</t>
  </si>
  <si>
    <t>בורשטין, אביעזר</t>
  </si>
  <si>
    <t>בקרבך קדוש - ב</t>
  </si>
  <si>
    <t>שפירא, יהושע נריה בן משה</t>
  </si>
  <si>
    <t>בקרובי אקדש</t>
  </si>
  <si>
    <t>בקרן היובל</t>
  </si>
  <si>
    <t>הרטמן, יהושע דוד</t>
  </si>
  <si>
    <t>בקש שלום ורדפהו</t>
  </si>
  <si>
    <t>מילר, ירחמיאל רפאל שאול בן יוסף צבי</t>
  </si>
  <si>
    <t>בקש שלום</t>
  </si>
  <si>
    <t>ועד שמירת הלשון</t>
  </si>
  <si>
    <t>בקש שלמה</t>
  </si>
  <si>
    <t>בקשה &lt;גזירות פולין, רייסין, אוקריינא&gt;</t>
  </si>
  <si>
    <t>משה ירמיהו בן אלעזר הכהן</t>
  </si>
  <si>
    <t>תע"ז</t>
  </si>
  <si>
    <t>בקשה לאומרה על קבר אדונינו דוד המלך ע"ה</t>
  </si>
  <si>
    <t>בקשה</t>
  </si>
  <si>
    <t>בקשו פני</t>
  </si>
  <si>
    <t>בקשות בשבת</t>
  </si>
  <si>
    <t>פישר, יעקב זאב בן דוד אפרים</t>
  </si>
  <si>
    <t>בקשות ווידויים כפי הזמן</t>
  </si>
  <si>
    <t>פואה, אליעזר נחמן</t>
  </si>
  <si>
    <t>ת"ט</t>
  </si>
  <si>
    <t>בקשות של שבת</t>
  </si>
  <si>
    <t>תפילות. פיוטים</t>
  </si>
  <si>
    <t>בירות Beirut</t>
  </si>
  <si>
    <t>בקשת הלמדין</t>
  </si>
  <si>
    <t>בדרשי, אברהם בן יצחק</t>
  </si>
  <si>
    <t>קיידן</t>
  </si>
  <si>
    <t>בר גיבול</t>
  </si>
  <si>
    <t>בר ולחם</t>
  </si>
  <si>
    <t>אפרים בן עבדאללה יוסף</t>
  </si>
  <si>
    <t>בר יוחאי המפורש</t>
  </si>
  <si>
    <t>שפירא, אהרן</t>
  </si>
  <si>
    <t>בר יוסף</t>
  </si>
  <si>
    <t>בוגרד, יוסף</t>
  </si>
  <si>
    <t>בר לבב</t>
  </si>
  <si>
    <t>בר ליואי &lt;מהדורא תנינא&gt;</t>
  </si>
  <si>
    <t>הורוויץ, משולם יששכר בן אריה ליבש הלוי</t>
  </si>
  <si>
    <t>בר ליואי - 2 כר'</t>
  </si>
  <si>
    <t>תרכ"א - תרל"ב</t>
  </si>
  <si>
    <t>בר מצוה</t>
  </si>
  <si>
    <t>ווייטמאן, קלמן</t>
  </si>
  <si>
    <t>בר נפחא - בפסוקי התורה</t>
  </si>
  <si>
    <t>בר פחתי</t>
  </si>
  <si>
    <t>תאומים, נתן בן פנחס יוסף</t>
  </si>
  <si>
    <t>ברא מזכה אבא</t>
  </si>
  <si>
    <t>גוריון, יהודה ליב בן מרדכי דוב</t>
  </si>
  <si>
    <t>בראי הדורות</t>
  </si>
  <si>
    <t>מיכלין, חיים מיכל בן שרגא פייבוש</t>
  </si>
  <si>
    <t>בראשית ברא</t>
  </si>
  <si>
    <t>ברב יועץ</t>
  </si>
  <si>
    <t>עובדיה, דוד</t>
  </si>
  <si>
    <t>ברה כחמה</t>
  </si>
  <si>
    <t>ברים</t>
  </si>
  <si>
    <t>ברוך אומר - 4 כר'</t>
  </si>
  <si>
    <t>שרגא, ברוך</t>
  </si>
  <si>
    <t>ברוך אשר נתן</t>
  </si>
  <si>
    <t>ברוך אתה</t>
  </si>
  <si>
    <t>מורסקי, אשר זעליג</t>
  </si>
  <si>
    <t>ברוך ה' יום יום</t>
  </si>
  <si>
    <t>ברוך הוא וברוך שמו</t>
  </si>
  <si>
    <t>פורטל, אלעד</t>
  </si>
  <si>
    <t>ברוך המקום</t>
  </si>
  <si>
    <t>ברוך השלחן - 3 כר'</t>
  </si>
  <si>
    <t>כהן, ברוך</t>
  </si>
  <si>
    <t>ברוך השם - א-ב</t>
  </si>
  <si>
    <t>רוטמאן, משה בן יעקב יוסף</t>
  </si>
  <si>
    <t>Berdichev ברדיטשוב</t>
  </si>
  <si>
    <t>ברוך ומקודש</t>
  </si>
  <si>
    <t>גרייזמאן, יעקב בן אברהם דוד</t>
  </si>
  <si>
    <t>ברוך טעם &lt;מהדורה חדשה&gt; - 3 כר'</t>
  </si>
  <si>
    <t>פרנקל-תאומים, ברוך בן יהושע יחזקאל פייבל</t>
  </si>
  <si>
    <t>ברוך טעם</t>
  </si>
  <si>
    <t>ברוך מבנים אשר</t>
  </si>
  <si>
    <t>תק"ט</t>
  </si>
  <si>
    <t>ברוך מבנים אשר - ג</t>
  </si>
  <si>
    <t>תורז'מן, איתי</t>
  </si>
  <si>
    <t>ברוך מבנים</t>
  </si>
  <si>
    <t>נושאים שונים, תלמוד בבלי, תנ"ך</t>
  </si>
  <si>
    <t>ירושלמי, ברוך בן רפאל דוד</t>
  </si>
  <si>
    <t>מזרחי, בכור ניסים יעקב</t>
  </si>
  <si>
    <t>ברוך מרדכי - 2 כר'</t>
  </si>
  <si>
    <t>פריד, מרדכי בן מאיר</t>
  </si>
  <si>
    <t>תרל"ה - תרס"ו</t>
  </si>
  <si>
    <t>ברוך מרדכי - 5 כר'</t>
  </si>
  <si>
    <t>פריינד, ברוך מרדכי הלוי</t>
  </si>
  <si>
    <t>ברוך מרדכי</t>
  </si>
  <si>
    <t>רוזנפלד, מרדכי אהרן</t>
  </si>
  <si>
    <t>הלכה ומנהג, תולדות עם ישראל, תלמוד בבלי, תלמוד בבלי, תלמוד בבלי</t>
  </si>
  <si>
    <t>ברוך מתיר אסורים</t>
  </si>
  <si>
    <t>קראלי. קהל יראים. חסידי הרב הורביץ</t>
  </si>
  <si>
    <t>ברוך צורי - 2 כר'</t>
  </si>
  <si>
    <t>בלומנקרץ, שלמה בן חיים מנחם בן ציון</t>
  </si>
  <si>
    <t>ברוך שאמר - 2 כר'</t>
  </si>
  <si>
    <t>אברהם בן משה מזונשהיים</t>
  </si>
  <si>
    <t>ברוך שאמר - 3 כר'</t>
  </si>
  <si>
    <t>אפשטיין, ברוך בן יחיאל מיכל הלוי</t>
  </si>
  <si>
    <t>ברוך שאמר - תקון תפלין - כתרי אותיות תפלין - אלפא ביתא</t>
  </si>
  <si>
    <t>משי זהב, מנחם מנדל (מהדיר)</t>
  </si>
  <si>
    <t>סאקס, ברוך בן דוד</t>
  </si>
  <si>
    <t>פרנקל-תאומים, ברוך בן יהושע יחזקאל פייב</t>
  </si>
  <si>
    <t>סוגיות, תלמוד בבלי</t>
  </si>
  <si>
    <t>ברוך שנתן תורה</t>
  </si>
  <si>
    <t>וויינר, אריה ליב</t>
  </si>
  <si>
    <t>ברומו של אדם</t>
  </si>
  <si>
    <t>ברומו של עולם</t>
  </si>
  <si>
    <t>קוק, איסר דב בן נחום הכהן - אליהו שמעון</t>
  </si>
  <si>
    <t>ברור הלכה בענין חולי המצוי בזמנינו בריאות של עוף</t>
  </si>
  <si>
    <t>עדס, יהודה בן יעקב</t>
  </si>
  <si>
    <t>ברורי הלכות - 2 כר'</t>
  </si>
  <si>
    <t>אייזנברגר, מרדכי שבתי</t>
  </si>
  <si>
    <t>ברורי המדות &lt;מהדורה חדשה&gt;</t>
  </si>
  <si>
    <t>לוויט, טוביה בן מאיר ליב הלוי</t>
  </si>
  <si>
    <t>ברורי המדות והשיעורין - 2 כר'</t>
  </si>
  <si>
    <t>קליין, מאיר בן שמואל הלוי</t>
  </si>
  <si>
    <t>ברורי המדות - 3 כר'</t>
  </si>
  <si>
    <t>הירשנסון, חיים בן יעקב מרדכי</t>
  </si>
  <si>
    <t>תרפ"ט - תרצ"א</t>
  </si>
  <si>
    <t>ברורי המדות</t>
  </si>
  <si>
    <t>תקס"ז</t>
  </si>
  <si>
    <t>ברורי משנה</t>
  </si>
  <si>
    <t>שקלאר, אברהם בן מנחם</t>
  </si>
  <si>
    <t>ברורי שמעתתא - 4 כר'</t>
  </si>
  <si>
    <t>נוימן, רפאל בן יוסף אשר</t>
  </si>
  <si>
    <t>ברורים בגדרי מנהגי העדות השונות</t>
  </si>
  <si>
    <t>סג"ל, יהודה זרחיה בן שפטיה הלוי</t>
  </si>
  <si>
    <t>ברורים ברמב"ם</t>
  </si>
  <si>
    <t>ברמאן, בן ציון בן ישראל יוסף הלוי</t>
  </si>
  <si>
    <t>ברורים והערות בדבר השימוש בשפה העברית</t>
  </si>
  <si>
    <t>פרידמן, שלום</t>
  </si>
  <si>
    <t>בריאות ורפואה</t>
  </si>
  <si>
    <t>בריאטריה בהלכה</t>
  </si>
  <si>
    <t>רייזנר, אהרן</t>
  </si>
  <si>
    <t>בריח התיכון - 3 כר'</t>
  </si>
  <si>
    <t>בריח התיכון - 2 כר'</t>
  </si>
  <si>
    <t>בריח, נסים</t>
  </si>
  <si>
    <t>בריח התיכון</t>
  </si>
  <si>
    <t>בריסק, אשר ליב בן דוד</t>
  </si>
  <si>
    <t>ברמן, יחזקאל בן חיים</t>
  </si>
  <si>
    <t>בריחי זהב</t>
  </si>
  <si>
    <t>בריחי שעריך</t>
  </si>
  <si>
    <t>וסרמן, אברהם</t>
  </si>
  <si>
    <t>ברייתא דמלאכת המשכן &lt;טעם ודעת&gt;</t>
  </si>
  <si>
    <t>ברייתא דמלאכת המשכן - 2 כר'</t>
  </si>
  <si>
    <t>ברייתא דמלאכת המשכן</t>
  </si>
  <si>
    <t>ברייתא דמסכת אצילות &lt;ליקוטים יקרים&gt;</t>
  </si>
  <si>
    <t>ברייתא דמסכת אצילות - שב"ח</t>
  </si>
  <si>
    <t>ברייתא דשלש עשרה מידות</t>
  </si>
  <si>
    <t>ברייתא דרבי ישמעאל</t>
  </si>
  <si>
    <t>נושאים שונים, שאר ספרי חז"ל, תלמוד בבלי</t>
  </si>
  <si>
    <t>ברייתא דשלשים ושתים מדות</t>
  </si>
  <si>
    <t>ברייתא דל"ב מידות</t>
  </si>
  <si>
    <t>ברייתא דשמואל הקטן &lt;שבילי המאורות, תפארת צבי&gt;</t>
  </si>
  <si>
    <t>ליפקין, אריה ליב בן ידידיה ליפמאן - אלבינגר, צבי הירש בן אברהם יהודה</t>
  </si>
  <si>
    <t>ברייתא דשמואל הקטן &lt;שבילי המאורות&gt;</t>
  </si>
  <si>
    <t>ברייתא דשמואל הקטן</t>
  </si>
  <si>
    <t>ברייתא דשמואל ירחינאה</t>
  </si>
  <si>
    <t>ברייתא מעשה תורה - 2 כר'</t>
  </si>
  <si>
    <t>מעשה תורה</t>
  </si>
  <si>
    <t>בריך שמיה</t>
  </si>
  <si>
    <t>בריכת המלך</t>
  </si>
  <si>
    <t>בריכת ירושלים</t>
  </si>
  <si>
    <t>ברית אבות &lt;מהדורה חדשה&gt; - חלק הדרושים</t>
  </si>
  <si>
    <t>קורייאט, אברהם בן יהודה</t>
  </si>
  <si>
    <t>ברית אבות בסערת אליהו</t>
  </si>
  <si>
    <t>ריבלין, יוסף בן אברהם בנימין - ריבלין, יוסף יהושע בן שמואל</t>
  </si>
  <si>
    <t>ברית אבות על פרקי אבות</t>
  </si>
  <si>
    <t>ברית אבות</t>
  </si>
  <si>
    <t>גדולי הונגריה</t>
  </si>
  <si>
    <t>דרושים, מועדי ישראל, נושאים שונים, שאלות ותשובות, שלחן ערוך ומפרשיו, תנ"ך</t>
  </si>
  <si>
    <t>קרנץ, יעקב - פלם, בערוש, דב אברהם</t>
  </si>
  <si>
    <t>ברית אברהם הכהן על מגדל עז לרבינו היעב"ץ - 2 כר'</t>
  </si>
  <si>
    <t>קאהן, אברהם בן יום טוב הכהן</t>
  </si>
  <si>
    <t>ברית אברהם</t>
  </si>
  <si>
    <t>אברהם שמחה בן אליהו</t>
  </si>
  <si>
    <t>אוירבאך, צבי בנימין בן אברהם</t>
  </si>
  <si>
    <t>איגלברג, שמואל דוב בן אברהם אליהו</t>
  </si>
  <si>
    <t>אמארילייו, אברהם</t>
  </si>
  <si>
    <t>אשכנזי, אברהם בן מאיר</t>
  </si>
  <si>
    <t>בושערה, אברהם בן רפאל יעקב</t>
  </si>
  <si>
    <t>ברית אברהם - 5 כר'</t>
  </si>
  <si>
    <t>ברית אברהם - 3 כר'</t>
  </si>
  <si>
    <t>הורוויץ, אברהם בן שבתי הלוי</t>
  </si>
  <si>
    <t>ברית אברהם - א</t>
  </si>
  <si>
    <t>מיימון, אברהם</t>
  </si>
  <si>
    <t>מרגליות, אברהם בן יחיאל מיכל</t>
  </si>
  <si>
    <t>נידרלנדר, אברהם בן אפרים</t>
  </si>
  <si>
    <t>ספר זכרון לבחור אברהם פרנס ז"ל</t>
  </si>
  <si>
    <t>פצנובסקי, אברהם צבי הירש בן אלעזר</t>
  </si>
  <si>
    <t>שלזינגר, אברהם בן פרץ</t>
  </si>
  <si>
    <t>ברית אברם &lt;מהדורה חדשה&gt; - 2 כר'</t>
  </si>
  <si>
    <t>שפירא, יוסף משה בן אלקנה</t>
  </si>
  <si>
    <t>ברית אברם - 2 כר'</t>
  </si>
  <si>
    <t>ברית איתנים - הוצאה</t>
  </si>
  <si>
    <t>גלנץ, צבי בן מנחם</t>
  </si>
  <si>
    <t>ברית איתנים</t>
  </si>
  <si>
    <t>רבני משפחת בריסק</t>
  </si>
  <si>
    <t>ברית אליהו</t>
  </si>
  <si>
    <t>קופלמאן, קלמן אליהו בן שמואל צבי</t>
  </si>
  <si>
    <t>דרושים, תלמוד בבלי, תלמוד בבלי, תלמוד בבלי, תנ"ך</t>
  </si>
  <si>
    <t>ברית אמת</t>
  </si>
  <si>
    <t>בית גור</t>
  </si>
  <si>
    <t>ברית אפרים</t>
  </si>
  <si>
    <t>ברית אש</t>
  </si>
  <si>
    <t>שווב, אליעזר בן מנשה</t>
  </si>
  <si>
    <t>ברית בנימין</t>
  </si>
  <si>
    <t>חותה, בנימין בן אליהו רחמים</t>
  </si>
  <si>
    <t>ברית דוד</t>
  </si>
  <si>
    <t>רייך, אברהם בן דוד אריה</t>
  </si>
  <si>
    <t>ברית הלוי השלם &lt;שבט הלוי&gt;</t>
  </si>
  <si>
    <t>גראייבסקי, יעקב אשר בן משולם פייבל הלוי</t>
  </si>
  <si>
    <t>ברית הלוי</t>
  </si>
  <si>
    <t>אטינגן, אליהו בן אברהם הלוי</t>
  </si>
  <si>
    <t>מועדי ישראל, מועדי ישראל, קבלה</t>
  </si>
  <si>
    <t>ברית הלוי - א</t>
  </si>
  <si>
    <t>תרס"ג - תרע"א</t>
  </si>
  <si>
    <t>ברית הלוי - 2 כר'</t>
  </si>
  <si>
    <t>ישה"ע</t>
  </si>
  <si>
    <t>מחפוד, איתמר בן אהרן</t>
  </si>
  <si>
    <t>ברית הלוי - קהלת</t>
  </si>
  <si>
    <t>נחמני, לוי סעדיה בן יעקב</t>
  </si>
  <si>
    <t>ברית השבת</t>
  </si>
  <si>
    <t>ברית ותורה - 2 כר'</t>
  </si>
  <si>
    <t>אבא שאול, יהושע בן אליהו</t>
  </si>
  <si>
    <t>ברית ותורה</t>
  </si>
  <si>
    <t>זאדה, דניאל י.</t>
  </si>
  <si>
    <t>ברית זו תורה</t>
  </si>
  <si>
    <t>ברית חיים</t>
  </si>
  <si>
    <t>סדר ברית מילה - אברהם, דוד בן אברהם</t>
  </si>
  <si>
    <t>ברית יהודה - 2 כר'</t>
  </si>
  <si>
    <t>בלויא, יעקב ישעיה</t>
  </si>
  <si>
    <t>ברית יהושע</t>
  </si>
  <si>
    <t>קארניאל, יהושע בן יצחק</t>
  </si>
  <si>
    <t>ברית יוסף</t>
  </si>
  <si>
    <t>כהן, יוסף בן אליהו</t>
  </si>
  <si>
    <t>ריינרמאן, יוסף בן מאיר</t>
  </si>
  <si>
    <t>ברית יעקב - 2 כר'</t>
  </si>
  <si>
    <t>תרל"ו - תרל"ז</t>
  </si>
  <si>
    <t>ברית יעקב - בבא מציעא</t>
  </si>
  <si>
    <t>נידם, יעקב בן מסעוד</t>
  </si>
  <si>
    <t>ברית יעקב</t>
  </si>
  <si>
    <t>פייתוסי, יעקב בן אברהם</t>
  </si>
  <si>
    <t>ברית יצחק בן אברהם</t>
  </si>
  <si>
    <t>בוקאטמאן, יצחק בן יעקב אברהם</t>
  </si>
  <si>
    <t>ברית יצחק</t>
  </si>
  <si>
    <t>איזאקסון, יצחק בן-ציון בן שמעון</t>
  </si>
  <si>
    <t>ברית יצחק - 2 כר'</t>
  </si>
  <si>
    <t>ויצמן, יוסף בן יצחק</t>
  </si>
  <si>
    <t>קבלה, שאר ספרי חז"ל, תנ"ך</t>
  </si>
  <si>
    <t>חדאד, מעתוק בן דוד</t>
  </si>
  <si>
    <t>קאדושין, יצחק יהודה ליב</t>
  </si>
  <si>
    <t>תיקונים. ליל שמיני קודם המילה. תר"ד. אמשטרדם</t>
  </si>
  <si>
    <t>תיקונים. ליל שמיני קודם המילה. תרי"ב. אמשטרדם</t>
  </si>
  <si>
    <t>תיקונים. ליל שמיני קודם המילה. תרכ"ה.</t>
  </si>
  <si>
    <t>ברית כהונה השלם - 2 כר'</t>
  </si>
  <si>
    <t>ברית כהונה - 4 כר'</t>
  </si>
  <si>
    <t>תש"א - תשי"א</t>
  </si>
  <si>
    <t>ברית כהנת עולם &lt;שער שמעון - שבחי כהונה&gt;</t>
  </si>
  <si>
    <t>כ"ץ, יצחק איזיק בן יואל הכהן - אנגלנדר, שמעון - הירש, שמאי</t>
  </si>
  <si>
    <t>ברית כהנת עולם - 4 כר'</t>
  </si>
  <si>
    <t>כ"ץ, יצחק איזיק בן יואל הכהן</t>
  </si>
  <si>
    <t>תר"ח - תרנ"ב</t>
  </si>
  <si>
    <t>ברית כרותה לשפתים</t>
  </si>
  <si>
    <t>גולדברגר, יונתן בנימין</t>
  </si>
  <si>
    <t>ברית כרותה</t>
  </si>
  <si>
    <t>ברית מילה - היבטים הלכתיים ורפואיים</t>
  </si>
  <si>
    <t>ברית מלח &lt;מהדורה חדשה&gt;</t>
  </si>
  <si>
    <t>ברית מלח</t>
  </si>
  <si>
    <t>ברית מלח - 2 כר'</t>
  </si>
  <si>
    <t>רוזנברג, שבתי בן דוב</t>
  </si>
  <si>
    <t>ברית מנוחה - 3 כר'</t>
  </si>
  <si>
    <t>אברהם בן יצחק מרמון הספרדי</t>
  </si>
  <si>
    <t>ת"ח</t>
  </si>
  <si>
    <t>ברית מרדכי</t>
  </si>
  <si>
    <t>וויינברג, מרדכי יצחק בן ישעיה</t>
  </si>
  <si>
    <t>ברית עולם &lt;מהדורה חדשה&gt;</t>
  </si>
  <si>
    <t>וינדבוים, נפתלי הירץ הלוי</t>
  </si>
  <si>
    <t>ברית עולם (שו"ת)</t>
  </si>
  <si>
    <t>וולר, איזיק יעקב בן אליעזר שלמה</t>
  </si>
  <si>
    <t>ברית עולם האחרון</t>
  </si>
  <si>
    <t>ברית עולם השלם - 2 כר'</t>
  </si>
  <si>
    <t>ברית עולם השלם</t>
  </si>
  <si>
    <t>ברית עולם קמא</t>
  </si>
  <si>
    <t>ברית עולם</t>
  </si>
  <si>
    <t>בלום, חיים יעקב בן אברהם משה</t>
  </si>
  <si>
    <t>ברית עולם - 2 כר'</t>
  </si>
  <si>
    <t>ברית עולם - 4 כר'</t>
  </si>
  <si>
    <t>ברית קודש</t>
  </si>
  <si>
    <t>ריין, ידידיה אברהם</t>
  </si>
  <si>
    <t>ברית שלום</t>
  </si>
  <si>
    <t>וואכמאן, שלום בן אפרים</t>
  </si>
  <si>
    <t>ברית שלום - 3 כר'</t>
  </si>
  <si>
    <t>טולידאנו, פנחס בן ברוך אברהם</t>
  </si>
  <si>
    <t>כהן, שלום בן משה</t>
  </si>
  <si>
    <t>כהן, שלום דניאל יהודה בן משה</t>
  </si>
  <si>
    <t>ברית שלום - 4 כר'</t>
  </si>
  <si>
    <t>פינחס בן פילטא</t>
  </si>
  <si>
    <t>ברית שלש עשרה</t>
  </si>
  <si>
    <t>דאוויד, יעקב יהודה</t>
  </si>
  <si>
    <t>בריתו של אברהם - 2 כר'</t>
  </si>
  <si>
    <t>ביטון, דוד אליהו</t>
  </si>
  <si>
    <t>בריתי יעקב</t>
  </si>
  <si>
    <t>בריתי יעקב - 2 כר'</t>
  </si>
  <si>
    <t>שטיינר, יעקב בן פנחס הכהן</t>
  </si>
  <si>
    <t>בריתי יצחק - 2 כר'</t>
  </si>
  <si>
    <t>בריתי שלום</t>
  </si>
  <si>
    <t>גליק, אלעזר דוד בן ישראל</t>
  </si>
  <si>
    <t>בריתי שלום - 2 כר'</t>
  </si>
  <si>
    <t>שטיינר, פינחס בן יעקב הכהן</t>
  </si>
  <si>
    <t>משנה, נושאים שונים, שלחן ערוך ומפרשיו, תלמוד בבלי, תנ"ך</t>
  </si>
  <si>
    <t>בריתי שלום - 4 כר'</t>
  </si>
  <si>
    <t>בריתך ינצורו</t>
  </si>
  <si>
    <t>ברך אברהם</t>
  </si>
  <si>
    <t>ברך את אברהם</t>
  </si>
  <si>
    <t>ברך ה' חילו</t>
  </si>
  <si>
    <t>אוסף אגרות קודש</t>
  </si>
  <si>
    <t>ברך יצחק</t>
  </si>
  <si>
    <t>די פאס, יצחק בן משה</t>
  </si>
  <si>
    <t>ברך לקחתי</t>
  </si>
  <si>
    <t>ברך משה</t>
  </si>
  <si>
    <t>בן אדרת, משה</t>
  </si>
  <si>
    <t>גאלאנטי, משה בן מרדכי מדמשק</t>
  </si>
  <si>
    <t>תקס"ט</t>
  </si>
  <si>
    <t>ברך משה - 10 כר'</t>
  </si>
  <si>
    <t>טייטלבוים, משה בן חיים צבי</t>
  </si>
  <si>
    <t>קמפה, ברוך מרדכי בן אורי דוד</t>
  </si>
  <si>
    <t>שטעגר, משה מרדכי</t>
  </si>
  <si>
    <t>ברכה אחרונה</t>
  </si>
  <si>
    <t>אייזנשטיין, יוסף שאול בן שמואל</t>
  </si>
  <si>
    <t>איש שלום, שלום</t>
  </si>
  <si>
    <t>ברכה המשולשת - &lt;מקור הברכה&gt;</t>
  </si>
  <si>
    <t>אביעזר בן יצחק מטיקטין</t>
  </si>
  <si>
    <t>ברכה והצלחה</t>
  </si>
  <si>
    <t>ניימאן, חיים יוסף בן יהודה ליב</t>
  </si>
  <si>
    <t>תר"ם</t>
  </si>
  <si>
    <t>ברכה וישועה</t>
  </si>
  <si>
    <t>תפילות. ברכות</t>
  </si>
  <si>
    <t>וינא</t>
  </si>
  <si>
    <t>ברכה ושלום - 2 כר'</t>
  </si>
  <si>
    <t>ברכה כהלכה - 2 כר'</t>
  </si>
  <si>
    <t>קליקשטיין, אליהו בן חיים</t>
  </si>
  <si>
    <t>ברכה כהלכתה</t>
  </si>
  <si>
    <t>פולק, מנחם מרדכי בן יצחק אליהו הלוי</t>
  </si>
  <si>
    <t>ברכה לאברהם</t>
  </si>
  <si>
    <t>ברכה לחיים</t>
  </si>
  <si>
    <t>ברוין, חנניה יום טוב ליפא בן ישראל ברוך</t>
  </si>
  <si>
    <t>ברכה לישראל - מסכת שבועות</t>
  </si>
  <si>
    <t>בלודשטארק, ישראל</t>
  </si>
  <si>
    <t>ברכה לישראל</t>
  </si>
  <si>
    <t>הכהן, שמעון בן יצחק</t>
  </si>
  <si>
    <t>ריגה Riga</t>
  </si>
  <si>
    <t>ברכה למנחם</t>
  </si>
  <si>
    <t>אייכנשטיין, מנחם צבי בן יהושע השל</t>
  </si>
  <si>
    <t>ברכה לראש</t>
  </si>
  <si>
    <t>ברכה מעין שלש</t>
  </si>
  <si>
    <t>וובר, יצחק בן אליעזר הלוי</t>
  </si>
  <si>
    <t>ברכה מציון - 2 כר'</t>
  </si>
  <si>
    <t>רפאפורט, ברוך בן ציון בן אלתר שמחה הכהן</t>
  </si>
  <si>
    <t>ברכה משולשת</t>
  </si>
  <si>
    <t>ארליך, שלמה מגריבוב</t>
  </si>
  <si>
    <t>גד, חיים יוסף איסר בן יצחק אריה הלוי</t>
  </si>
  <si>
    <t>חסידות, משנה, תולדות עם ישראל</t>
  </si>
  <si>
    <t>ברכה משלשת על מסכת ברכות &lt;סדר חדש&gt;</t>
  </si>
  <si>
    <t>ברכה משלשת על מסכת ברכות</t>
  </si>
  <si>
    <t>ברכה משלשת</t>
  </si>
  <si>
    <t>פרידמאן, שלמה זלמן בן משה דוד</t>
  </si>
  <si>
    <t>ברכה נאמנה - ביאורים על נוסח "אני מאמין"</t>
  </si>
  <si>
    <t>בלוי, משה בן שלום</t>
  </si>
  <si>
    <t>ברכה נאמנה</t>
  </si>
  <si>
    <t>נאמן, יאיר</t>
  </si>
  <si>
    <t>ברכה שלמה</t>
  </si>
  <si>
    <t>סוסבסקי, משה חיים בן שלמה מאיר</t>
  </si>
  <si>
    <t>ברכו שמו</t>
  </si>
  <si>
    <t>פרלמוטר, יצחק אייזיק בן חיים אלעזר</t>
  </si>
  <si>
    <t>ברכות אבי</t>
  </si>
  <si>
    <t>כהנא, מרדכי דוד בן יוסף מאיר</t>
  </si>
  <si>
    <t>ברכות אברך</t>
  </si>
  <si>
    <t>כהן, אברהם בן רחמים</t>
  </si>
  <si>
    <t>ברכות איש - ברכות</t>
  </si>
  <si>
    <t>פרוש, יהודה אלתר בן חיים - הילדסהיימר, שמואל בן נפתלי צבי</t>
  </si>
  <si>
    <t>ברכות בחשבון - 2 כר'</t>
  </si>
  <si>
    <t>בולג, שמעון</t>
  </si>
  <si>
    <t>ברכות בחשבון</t>
  </si>
  <si>
    <t>פינקוס, שמשון דוד בן חיים אברהם</t>
  </si>
  <si>
    <t>ברכות ברכה אחרונה על המחיה</t>
  </si>
  <si>
    <t>גינצבורג, ירחמיאל בן חיים</t>
  </si>
  <si>
    <t>תשי"ט הס'</t>
  </si>
  <si>
    <t>מחשבה ומוסר, נושאים שונים, תפלות בקשות פיוטים ושירה</t>
  </si>
  <si>
    <t>ברכות הורי - ברכות</t>
  </si>
  <si>
    <t>נויבירט, אהרן אלחנן</t>
  </si>
  <si>
    <t>ברכות החיים</t>
  </si>
  <si>
    <t>ברכות המצוות כתיקונן</t>
  </si>
  <si>
    <t>שוימר, מנחם מנדל בן יונתן בנימין בייניש</t>
  </si>
  <si>
    <t>ברכות הפסח</t>
  </si>
  <si>
    <t>וייס, משה יעקב</t>
  </si>
  <si>
    <t>ברכות התפילה</t>
  </si>
  <si>
    <t>נתנזון, צבי</t>
  </si>
  <si>
    <t>ברכות והודאות</t>
  </si>
  <si>
    <t>יאחינסון, שמעון צבי בן יחיאל מיכל</t>
  </si>
  <si>
    <t>תרמ"א,</t>
  </si>
  <si>
    <t>ברכות חיים</t>
  </si>
  <si>
    <t>ברגר, חיים</t>
  </si>
  <si>
    <t>כהנא, חיים ברוך בן אפרים יוסף הכהן</t>
  </si>
  <si>
    <t>ברכות טוב</t>
  </si>
  <si>
    <t>זביחי, פנחס בן רפאל</t>
  </si>
  <si>
    <t>ברכות יעטה</t>
  </si>
  <si>
    <t>ברכות יצחק - ברכות</t>
  </si>
  <si>
    <t>ברנשטיין, מנחם עמנואל</t>
  </si>
  <si>
    <t>ברכות ישראל</t>
  </si>
  <si>
    <t>תרפ"ב - תרפ"ג</t>
  </si>
  <si>
    <t>ברכות ישרון</t>
  </si>
  <si>
    <t>רוזין, שמואל</t>
  </si>
  <si>
    <t>ברכות לעד</t>
  </si>
  <si>
    <t>פולייר, נח נפתלי בן ישראל יעקב</t>
  </si>
  <si>
    <t>ברכות לראש צדיק</t>
  </si>
  <si>
    <t>דבליצקי, דוד בן שריה</t>
  </si>
  <si>
    <t>ברכות מים &lt;מהדורה חדשה&gt;</t>
  </si>
  <si>
    <t>מיוחס, משה מרדכי יוסף בן רפאל מיוחס</t>
  </si>
  <si>
    <t>ברכות מים</t>
  </si>
  <si>
    <t>ברכות מנחם</t>
  </si>
  <si>
    <t>שפירא, גרשון מנחם מנדל בן יהודה ליב הלוי</t>
  </si>
  <si>
    <t>ברכות מעין שלוש ומעין ארבע</t>
  </si>
  <si>
    <t>הברמן, אברהם מאיר בן אורי פייבל</t>
  </si>
  <si>
    <t>ברכות משה - 2 כר'</t>
  </si>
  <si>
    <t>יוז'וק, משה בן מאיר בנימין</t>
  </si>
  <si>
    <t>ברכות משה - 3 כר'</t>
  </si>
  <si>
    <t>פייבלסון, ברוך משה בן שמואל אביגדור</t>
  </si>
  <si>
    <t>ברכות ראש - 2 כר'</t>
  </si>
  <si>
    <t>רובין, שאול בן שמואל אהרן</t>
  </si>
  <si>
    <t>ברכות שמואל</t>
  </si>
  <si>
    <t>שניצלער, שרגא שמואל</t>
  </si>
  <si>
    <t>ברכות שמים מעל</t>
  </si>
  <si>
    <t>ברכות שמים - 9 כר'</t>
  </si>
  <si>
    <t>בלום, רפאל בן שמואל</t>
  </si>
  <si>
    <t>ברכות שמים - 3 כר'</t>
  </si>
  <si>
    <t>ברכי יוסף - 13 כר'</t>
  </si>
  <si>
    <t>ברכי נפשי - א ב</t>
  </si>
  <si>
    <t>ברכי נפשי</t>
  </si>
  <si>
    <t>ברכת אב - 4 כר'</t>
  </si>
  <si>
    <t>ברכת אב - כיצד מברכין</t>
  </si>
  <si>
    <t>גרינברג, יקותיאל יהודה</t>
  </si>
  <si>
    <t>מנאלאפן</t>
  </si>
  <si>
    <t>ברכת אב</t>
  </si>
  <si>
    <t>פיקסלר, אברהם ברוך בן מתתיהו</t>
  </si>
  <si>
    <t>ברכת אבא יעקב</t>
  </si>
  <si>
    <t>ברכת אבות</t>
  </si>
  <si>
    <t>אבות. תרכ"ה. ליוורנו</t>
  </si>
  <si>
    <t>רקובסקי, ברוך בן יונה דוד</t>
  </si>
  <si>
    <t>תפילות. סידור. תרפ"ט. ירושלים</t>
  </si>
  <si>
    <t>ברכת אבי - 7 כר'</t>
  </si>
  <si>
    <t>ברזל, אברהם יצחק</t>
  </si>
  <si>
    <t>ברכת אביב - 2 כר'</t>
  </si>
  <si>
    <t>ברינקמן, אברהם יהודה בן אהרן</t>
  </si>
  <si>
    <t>ברכת אביגדר</t>
  </si>
  <si>
    <t>ברכת אברהם &lt;עה"ת&gt; - 5 כר'</t>
  </si>
  <si>
    <t>ברכת אברהם &lt;מאמרים והדרכות&gt; - 3 כר'</t>
  </si>
  <si>
    <t>ארלנגר, אברהם בן שמשון רפאל</t>
  </si>
  <si>
    <t>ברכת אברהם &lt;מהדורת הררי קדם&gt;</t>
  </si>
  <si>
    <t>הרשקוביץ, אברהם בן דוד</t>
  </si>
  <si>
    <t>ברכת אברהם &lt;קרן ישעי&gt;</t>
  </si>
  <si>
    <t>וייס, אברהם צבי - קליינמאן ישעיה</t>
  </si>
  <si>
    <t>ברכת אברהם ב</t>
  </si>
  <si>
    <t>רוזנברגר, אברהם ברוך</t>
  </si>
  <si>
    <t>גמזו</t>
  </si>
  <si>
    <t>ברכת אברהם וקריאותיו &lt;דרוש נחמד&gt;</t>
  </si>
  <si>
    <t>שנ"א</t>
  </si>
  <si>
    <t>ברכת אברהם יצחק</t>
  </si>
  <si>
    <t>סיגל, אברהם יצחק בן אליהו שלמה</t>
  </si>
  <si>
    <t>ברכת אברהם כתב יד</t>
  </si>
  <si>
    <t>ברכת אברהם</t>
  </si>
  <si>
    <t>אביבי, דניאל</t>
  </si>
  <si>
    <t>אברהם אלחנן בן יהודה</t>
  </si>
  <si>
    <t>חסידות, תלמוד בבלי, תנ"ך</t>
  </si>
  <si>
    <t>אברהם בן דוד זבארזיר</t>
  </si>
  <si>
    <t>אברהם בן משה בן מימון</t>
  </si>
  <si>
    <t>ברכת אברהם - 8 כר'</t>
  </si>
  <si>
    <t>ברכת אברהם - 21 כר'</t>
  </si>
  <si>
    <t>תרל"ב - תרנ"ו</t>
  </si>
  <si>
    <t>בארג, אברהם בן אליהו</t>
  </si>
  <si>
    <t>ברודו, אברהם בן אליהו</t>
  </si>
  <si>
    <t>ברכת אברהם - 3 כר'</t>
  </si>
  <si>
    <t>ברודנא, אברהם צבי בן משה</t>
  </si>
  <si>
    <t>תרנ"ט - תרע"ג</t>
  </si>
  <si>
    <t>ברכת אברהם - ביאורי סוגיות</t>
  </si>
  <si>
    <t>ברוכמן, אברהם</t>
  </si>
  <si>
    <t>ברלינר, אברהם בן צבי הירש</t>
  </si>
  <si>
    <t>מועדי ישראל, נושאים שונים, קבצים וכתבי עת, ספרי זכרון ויובל, קבצים וכתבי עת, ספרי זכרון ויובל, תנ"ך</t>
  </si>
  <si>
    <t>דהאן, אברהם</t>
  </si>
  <si>
    <t>דוכובני, אברהם יהודה בן מאיר</t>
  </si>
  <si>
    <t>ברכת אברהם - ברכות</t>
  </si>
  <si>
    <t>ברכת אברהם - א</t>
  </si>
  <si>
    <t>וייס, אברהם צבי בן מנחם</t>
  </si>
  <si>
    <t>משנה, תולדות עם ישראל, תנ"ך</t>
  </si>
  <si>
    <t>ברכת אברהם - 4 כר'</t>
  </si>
  <si>
    <t>טריוויש, אברהם בן שלמה</t>
  </si>
  <si>
    <t>ינר, אברהם נפתלי הירץ בן מרדכי צבי הירש</t>
  </si>
  <si>
    <t>מהודר, אברהם בן יעקב הלוי</t>
  </si>
  <si>
    <t>מלינארציק, אברהם חיים דב</t>
  </si>
  <si>
    <t>לומז'ה</t>
  </si>
  <si>
    <t>ברכת אברהם - 5 כר'</t>
  </si>
  <si>
    <t>פילד, אברהם אבוש בן צבי הירש</t>
  </si>
  <si>
    <t>קאצנלנבוגן, אברהם אבוש בן צבי הירש</t>
  </si>
  <si>
    <t>קליין, יצחק בן אברהם צבי</t>
  </si>
  <si>
    <t>ברכת אברהם - הוריות, נדה, זבים</t>
  </si>
  <si>
    <t>קפלן, אברהם בן ברוך</t>
  </si>
  <si>
    <t>רויזן, אברהם אבלי בן גרשון</t>
  </si>
  <si>
    <t>שפירא, אברהם בן דוב</t>
  </si>
  <si>
    <t>ברכת אהרן - א</t>
  </si>
  <si>
    <t>בוארון, אהרן בן ציון</t>
  </si>
  <si>
    <t>ברכת אהרן</t>
  </si>
  <si>
    <t>ברכת אהרן - פרח מטה אהרן</t>
  </si>
  <si>
    <t>הויזמאן, אהרן בן אשר</t>
  </si>
  <si>
    <t>ברכת אהרן - 2 כר'</t>
  </si>
  <si>
    <t>ברכת אהרן - 6 כר'</t>
  </si>
  <si>
    <t>מיאסניק, אהרן בן אשר</t>
  </si>
  <si>
    <t>ברכת אהרן - סוכה</t>
  </si>
  <si>
    <t>שמואלי, יריב</t>
  </si>
  <si>
    <t>ברכת אוריאל</t>
  </si>
  <si>
    <t>חוברה, אוריאל בן ישעיהו</t>
  </si>
  <si>
    <t>נחליאל</t>
  </si>
  <si>
    <t>סופר, אוריאל בן שלמה</t>
  </si>
  <si>
    <t>ברכת איש</t>
  </si>
  <si>
    <t>שוורץ, אברהם יוסף בן מנשה דב</t>
  </si>
  <si>
    <t>ברכת איש - ברכת הלבנה</t>
  </si>
  <si>
    <t>ברכת איש - 2 כר'</t>
  </si>
  <si>
    <t>שיין, אברהם יצחק בן נח</t>
  </si>
  <si>
    <t>ברכת איתן - 3 כר'</t>
  </si>
  <si>
    <t>ברכת אלחנן - ברכות</t>
  </si>
  <si>
    <t>סטניצקי, נתן בן פרץ</t>
  </si>
  <si>
    <t>ברכת אליהו &lt;מהדורה חדשה&gt; - 2 כר'</t>
  </si>
  <si>
    <t>בן הרוש, אליהו בן אברהם</t>
  </si>
  <si>
    <t>ברכת אליהו</t>
  </si>
  <si>
    <t>אליהו בן יעקב מאוליינוב</t>
  </si>
  <si>
    <t>ונדסבק Wandsbeck</t>
  </si>
  <si>
    <t>הלכה ומנהג, שאלות ותשובות, תנ"ך, תפלות בקשות פיוטים ושירה</t>
  </si>
  <si>
    <t>דוויך, אליהו בן נסים הכהן</t>
  </si>
  <si>
    <t>מימון, משה בן אליהו</t>
  </si>
  <si>
    <t>עפולה Afulah</t>
  </si>
  <si>
    <t>מני, אליהו בן סלימאן.</t>
  </si>
  <si>
    <t>ברכת אליהו - 3 כר'</t>
  </si>
  <si>
    <t>עמאר, שלמה משה בן אליהו</t>
  </si>
  <si>
    <t>פישר, אליהו בן שלמה זלמן הלוי</t>
  </si>
  <si>
    <t>הלכה ומנהג, מועדי ישראל, משנה, שאר ספרי חז"ל, שלחן ערוך ומפרשיו, תלמוד בבלי, תלמוד בבלי, תלמוד בבלי, תנ"ך, תפלות בקשות פיוטים ושירה</t>
  </si>
  <si>
    <t>שני, אליהו דרור</t>
  </si>
  <si>
    <t>ברכת אליעזר</t>
  </si>
  <si>
    <t>וינבאך, אליעזר ליפא</t>
  </si>
  <si>
    <t>ברכת אלישע - 6 כר'</t>
  </si>
  <si>
    <t>ווייס, יצחק ישעיה</t>
  </si>
  <si>
    <t>ברכת אלעזר - 5 כר'</t>
  </si>
  <si>
    <t>באלד, אלעזר ברוך</t>
  </si>
  <si>
    <t>ברכת אמונה</t>
  </si>
  <si>
    <t>גליקמן, יצחק בן יוסף</t>
  </si>
  <si>
    <t>ברכת אפרים (על שו"ע הלכות נדה)</t>
  </si>
  <si>
    <t>קאניטאפסקי, אפרים בן שמעון</t>
  </si>
  <si>
    <t>ברכת אפרים - א</t>
  </si>
  <si>
    <t>בן פורת, אפרים</t>
  </si>
  <si>
    <t>ברכת אפרים - ברכות</t>
  </si>
  <si>
    <t>בקר, אפרים בן נחמיה</t>
  </si>
  <si>
    <t>ברכת אפרים</t>
  </si>
  <si>
    <t>סג"ל, אפרים בן דב בער</t>
  </si>
  <si>
    <t>ברכת ארי</t>
  </si>
  <si>
    <t>רוזמן, אברהם בן דב</t>
  </si>
  <si>
    <t>ברכת אריאל - 2 כר'</t>
  </si>
  <si>
    <t>פריז, אריה ליב בן דוב</t>
  </si>
  <si>
    <t>תשי"ז - תש"ל</t>
  </si>
  <si>
    <t>ברכת אריה</t>
  </si>
  <si>
    <t>ברכת אשר &lt;על החומש&gt; - 6 כר'</t>
  </si>
  <si>
    <t>וסרטייל, אשר בן שלום</t>
  </si>
  <si>
    <t>ברכת אשר</t>
  </si>
  <si>
    <t>יונגרייז, אשר אנשיל הלוי</t>
  </si>
  <si>
    <t>ברכת בנים</t>
  </si>
  <si>
    <t>ברכת בנימין - ברכות</t>
  </si>
  <si>
    <t>יעקבס, בנימין חיים</t>
  </si>
  <si>
    <t>ברכת בצלאל - ב</t>
  </si>
  <si>
    <t>יעקבזון, בצלאל ברוך בן יצחק משה</t>
  </si>
  <si>
    <t>ברכת ברוך</t>
  </si>
  <si>
    <t>ברכת גבריאל</t>
  </si>
  <si>
    <t>ווייסבלום, יוסף יונה גבריאל</t>
  </si>
  <si>
    <t>וויסבלום, יוסף יונה גבריאל</t>
  </si>
  <si>
    <t>ברכת דבש</t>
  </si>
  <si>
    <t>גליקסברג, דב אליהו בן שאול</t>
  </si>
  <si>
    <t>ברכת דוד - 4 כר'</t>
  </si>
  <si>
    <t>אוחיון, דניאל</t>
  </si>
  <si>
    <t>ברכת דוד</t>
  </si>
  <si>
    <t>ברכת דוד - 5 כר'</t>
  </si>
  <si>
    <t>חרר, דוד בן דניאל</t>
  </si>
  <si>
    <t>טברסקי, דוד בן מרדכי</t>
  </si>
  <si>
    <t>ברכת דוד - 2 כר'</t>
  </si>
  <si>
    <t>לייבוביץ, אלתר חנוך הענאך הכהן</t>
  </si>
  <si>
    <t>מנדלבוים, דוד אברהם</t>
  </si>
  <si>
    <t>קב, דוד</t>
  </si>
  <si>
    <t>דרושים, נושאים שונים, נושאים שונים, תפלות בקשות פיוטים ושירה</t>
  </si>
  <si>
    <t>רובין, מתתיהו</t>
  </si>
  <si>
    <t>ברכת דניאל</t>
  </si>
  <si>
    <t>ישגר, דניאל אברהם</t>
  </si>
  <si>
    <t>ברכת ה'</t>
  </si>
  <si>
    <t>ועקנין, כליפא</t>
  </si>
  <si>
    <t>כזבלאנכה</t>
  </si>
  <si>
    <t>ברכת ה' - 4 כר'</t>
  </si>
  <si>
    <t>כהן-יהונתן, סאסי מעתוק מג'רבה</t>
  </si>
  <si>
    <t>ברכת ה' - 5 כר'</t>
  </si>
  <si>
    <t>לוי, משה בן יוסף</t>
  </si>
  <si>
    <t>ברכת האהל - אהלות</t>
  </si>
  <si>
    <t>שפיצר, נפתלי ברוך בן שלום</t>
  </si>
  <si>
    <t>הלכה ומנהג, משנה, נושאים שונים</t>
  </si>
  <si>
    <t>ברכת האורח</t>
  </si>
  <si>
    <t>קהן, מרדכי בן שרגא</t>
  </si>
  <si>
    <t>ברכת האורים</t>
  </si>
  <si>
    <t>ברכת האילנות</t>
  </si>
  <si>
    <t>לונדיסקי, שמחה בונים</t>
  </si>
  <si>
    <t>ברכת הארץ</t>
  </si>
  <si>
    <t>כהנא, ברוך דוד בן לוי יצחק הכהן</t>
  </si>
  <si>
    <t>ברכת הארץ - 2 כר'</t>
  </si>
  <si>
    <t>מאשבוים, יהודה ליב בן משה</t>
  </si>
  <si>
    <t>עמנואל, יונה בן מרדכי</t>
  </si>
  <si>
    <t>ברכת הבית &lt;מהדורה חדשה&gt; - 2 כר'</t>
  </si>
  <si>
    <t>איינהורן, אברהם חיים בן יחיאל צבי</t>
  </si>
  <si>
    <t>ברכת הבית - 2 כר'</t>
  </si>
  <si>
    <t>ברכת הבית - חלה</t>
  </si>
  <si>
    <t>טויבער, עזיראל יוחנן</t>
  </si>
  <si>
    <t>ברכת הורי</t>
  </si>
  <si>
    <t>ברכת הזבח &lt;עומר מן - 2 כר'</t>
  </si>
  <si>
    <t>ברכת הזבח</t>
  </si>
  <si>
    <t>תכ"ט-ת"ל</t>
  </si>
  <si>
    <t>ברכת הזמן</t>
  </si>
  <si>
    <t>שילוני, מיכאל מנחם בן יצחק</t>
  </si>
  <si>
    <t>ברכת החדש</t>
  </si>
  <si>
    <t>פרידברג, שמואל בן זליגמאן</t>
  </si>
  <si>
    <t>ברכת החיים</t>
  </si>
  <si>
    <t>ברכת החיים - 2 כר'</t>
  </si>
  <si>
    <t>ברכת החמה &lt;ספינקא&gt;</t>
  </si>
  <si>
    <t>ברכת החמה</t>
  </si>
  <si>
    <t>ברכת החמה בהלכה ובאגדה</t>
  </si>
  <si>
    <t>ברכת החמה בתקופתה</t>
  </si>
  <si>
    <t>פרל, אהרן הכהן</t>
  </si>
  <si>
    <t>ברכת החמה והלכותיה</t>
  </si>
  <si>
    <t>יוסף, עובדיה</t>
  </si>
  <si>
    <t>נאה, אליהו</t>
  </si>
  <si>
    <t>ברכת החמה כהלכתה &lt;מהדורה חדשה&gt;</t>
  </si>
  <si>
    <t>ברכת החמה כהלכתה</t>
  </si>
  <si>
    <t>ברכת החמה כמנהג וירציללי</t>
  </si>
  <si>
    <t>תפילות. ברכת החמה. תרנ"ז</t>
  </si>
  <si>
    <t>ורצלי Vercelli</t>
  </si>
  <si>
    <t>ברכת החמה נוסחתה ומנהגיה</t>
  </si>
  <si>
    <t>וייס, מאיר בן יוסף מרדכי</t>
  </si>
  <si>
    <t>בית הוראה קהילות יעקב</t>
  </si>
  <si>
    <t>כהנא, מרדכי</t>
  </si>
  <si>
    <t>ברכת החמה - אור החמה</t>
  </si>
  <si>
    <t>תפילות. ברכת החמה. תקע"ג</t>
  </si>
  <si>
    <t>תקע"ג</t>
  </si>
  <si>
    <t>תפילות. ברכת החמה. תשי"ב</t>
  </si>
  <si>
    <t>ברכת החמה - 4 כר'</t>
  </si>
  <si>
    <t>תפילות. ברכת החמה. תשי"ג</t>
  </si>
  <si>
    <t>ברכת החמה, ערב פסח שחל בשבת, פורים שחל בשבת</t>
  </si>
  <si>
    <t>ברכת הטנא</t>
  </si>
  <si>
    <t>ברכת הלבנה</t>
  </si>
  <si>
    <t>אדלר, יוסף צבי בן בנימין</t>
  </si>
  <si>
    <t>ברכת הלוי</t>
  </si>
  <si>
    <t>ברכת הלחם</t>
  </si>
  <si>
    <t>גראוס, יקותיאל זלמן</t>
  </si>
  <si>
    <t>ברכת הלל - 2 כר'</t>
  </si>
  <si>
    <t>ברכת המדבר - ברכות</t>
  </si>
  <si>
    <t>דיין, דניאל בן מסעוד</t>
  </si>
  <si>
    <t>ברכת המזון  &lt;ביאורי הגר"ח קנייבסקי&gt; - 2 כר'</t>
  </si>
  <si>
    <t>קנייבסקי, שמריהו יוסף חיים בן יעקב ישראל - יברוב, צבי בן משה</t>
  </si>
  <si>
    <t>ברכת המזון &lt;פניני מהרא"ל&gt;</t>
  </si>
  <si>
    <t>ברכת המזון במחיצת החפץ חיים</t>
  </si>
  <si>
    <t>ברכת המזון המבואר</t>
  </si>
  <si>
    <t>ישראל, מאיר בן חיים</t>
  </si>
  <si>
    <t>ברכת המזון וזמירות (צילום פראג רע"ה)</t>
  </si>
  <si>
    <t>ברכת המזון וזמירות. פראג. רע"ה</t>
  </si>
  <si>
    <t>ברכת המזון וזמירות ופירושיהם</t>
  </si>
  <si>
    <t>תפילות. ברכת המזון. שנ"ז. קרקוב</t>
  </si>
  <si>
    <t>ברכת המזון וזמירות</t>
  </si>
  <si>
    <t>ברכת המזון ונוסחה</t>
  </si>
  <si>
    <t>ברונזניק, נחום מאיר</t>
  </si>
  <si>
    <t>ברכת המזון ושבע ברכות &lt;שפע ברכה&gt;</t>
  </si>
  <si>
    <t>הלברשטאם, יקותיאל יהודה בן צבי הירש - גולדשטיין, חיים</t>
  </si>
  <si>
    <t>- תש"מ</t>
  </si>
  <si>
    <t>ברכת המזון ושבע ברכות עם לקט פירושים</t>
  </si>
  <si>
    <t>מרן החתם סופר וצאצאיו</t>
  </si>
  <si>
    <t>ברכת המזון ושבע ברכות</t>
  </si>
  <si>
    <t>תמ"ז - תשנ"ב</t>
  </si>
  <si>
    <t>ווילהרמרשדארף - תל א</t>
  </si>
  <si>
    <t>ברכת המזון עם ביאור ופירוש</t>
  </si>
  <si>
    <t>ברכת המזון עם מדריך הברכות</t>
  </si>
  <si>
    <t>שטיצברג, שמואל יוסף</t>
  </si>
  <si>
    <t>ברכת המזון עם פירוש הריקאנאטי</t>
  </si>
  <si>
    <t>ריקאנאטי, מנחם בן בנימין</t>
  </si>
  <si>
    <t>ברכת המזון עם פירוש - 2 כר'</t>
  </si>
  <si>
    <t>של"ט</t>
  </si>
  <si>
    <t>ברכת המזון</t>
  </si>
  <si>
    <t>תפילות. ברכת המזון. תפ"ב. אמשטרדם</t>
  </si>
  <si>
    <t>ברכת המים</t>
  </si>
  <si>
    <t>טיימר, יחיאל מיכל בן יוסף</t>
  </si>
  <si>
    <t>ברכת המלך</t>
  </si>
  <si>
    <t>רקובר, ברוך</t>
  </si>
  <si>
    <t>ברכת המשנה &lt;טקסט&gt;</t>
  </si>
  <si>
    <t>ברכת המשנה</t>
  </si>
  <si>
    <t>ברכת הנהנין</t>
  </si>
  <si>
    <t>ברכת הנישואין</t>
  </si>
  <si>
    <t>מן, שלמה</t>
  </si>
  <si>
    <t>ברכת הנפשות</t>
  </si>
  <si>
    <t>ברכת הפירות</t>
  </si>
  <si>
    <t>ברכת הפסח &lt;שדה שמואל&gt; - פסחים, ר"ה</t>
  </si>
  <si>
    <t>אביטן, שמואל בן משה</t>
  </si>
  <si>
    <t>ברכת הפסח</t>
  </si>
  <si>
    <t>ברכת הפרנסה</t>
  </si>
  <si>
    <t>ברכת הקודש - תמורה</t>
  </si>
  <si>
    <t>ברכת הריח</t>
  </si>
  <si>
    <t>ברכת השבח</t>
  </si>
  <si>
    <t>רקובר, ברוך מרדכי בן חיים</t>
  </si>
  <si>
    <t>ברכת השבטים</t>
  </si>
  <si>
    <t>ברכת השבת - ד</t>
  </si>
  <si>
    <t>ברידס, אברהם בן עזרא</t>
  </si>
  <si>
    <t>ברכת השבת - 3 כר'</t>
  </si>
  <si>
    <t>טולידאנו, רפאל ברוך בן אברהם</t>
  </si>
  <si>
    <t>מועדי ישראל, שלחן ערוך ומפרשיו, תלמוד בבלי</t>
  </si>
  <si>
    <t>ברכת השבת</t>
  </si>
  <si>
    <t>פישר, אליהו  בן שלמה זלמן הלוי</t>
  </si>
  <si>
    <t>ברכת השחר</t>
  </si>
  <si>
    <t>שחר, עמנואל בן ישעיהו</t>
  </si>
  <si>
    <t>ברכת השיר (על הגדה של פסח)</t>
  </si>
  <si>
    <t>ברכת השיר והשבח - 2 כר'</t>
  </si>
  <si>
    <t>לוי, אברהם בן יצחק</t>
  </si>
  <si>
    <t>ברכת השלחן</t>
  </si>
  <si>
    <t>ברכת השם</t>
  </si>
  <si>
    <t>פארהאנד, משה יצחק</t>
  </si>
  <si>
    <t>ברכת השנים</t>
  </si>
  <si>
    <t>ברכת התורה - 3 כר'</t>
  </si>
  <si>
    <t>אדוין, שמואל בן אברהם קרפל</t>
  </si>
  <si>
    <t>ברכת התורה</t>
  </si>
  <si>
    <t>ברכת התורה - 2 כר'</t>
  </si>
  <si>
    <t>טג'ר, נסים</t>
  </si>
  <si>
    <t>סלומון, דוד בן יהושע</t>
  </si>
  <si>
    <t>ברכת התפילין</t>
  </si>
  <si>
    <t>גפנר, ברוך</t>
  </si>
  <si>
    <t>ברכת חיים &lt;עם ליקוטי שושנים&gt;</t>
  </si>
  <si>
    <t>האלברסברג, חיים ישעיה הכהן</t>
  </si>
  <si>
    <t>חסידות, חסידות, מחשבה ומוסר</t>
  </si>
  <si>
    <t>ברכת חיים &lt;שו"ת&gt;</t>
  </si>
  <si>
    <t>חיים ברוך בן יחיאל צבי</t>
  </si>
  <si>
    <t>ברכת חיים</t>
  </si>
  <si>
    <t>אפשטיין, חיים יהודה ליב הלוי</t>
  </si>
  <si>
    <t>ברכת חיים - 2 כר'</t>
  </si>
  <si>
    <t>הלכה ומנהג, חסידות, מחשבה ומוסר, משנה, נושאים שונים</t>
  </si>
  <si>
    <t>יפה, חיים</t>
  </si>
  <si>
    <t>ירוחם, חיים יצחק בן שרגא זאב</t>
  </si>
  <si>
    <t>שאלות ותשובות, תולדות עם ישראל, תלמוד בבלי, תנ"ך</t>
  </si>
  <si>
    <t>מגורי, חיים הכהן</t>
  </si>
  <si>
    <t>מרנלנדר, חיים ברוך ישראל בן נחום</t>
  </si>
  <si>
    <t>סמוטני, גבריאל בן חיים יצחק</t>
  </si>
  <si>
    <t>ברכת חיים - סוכה</t>
  </si>
  <si>
    <t>פיין, חיים אליעזר</t>
  </si>
  <si>
    <t>ברכת חיים - 32 כר'</t>
  </si>
  <si>
    <t>קצבורג, יהונתן בן ישראל חיים הכהן</t>
  </si>
  <si>
    <t>ברכת חלה</t>
  </si>
  <si>
    <t>דרעי, יגאל</t>
  </si>
  <si>
    <t>ברכת חמה</t>
  </si>
  <si>
    <t>ברכת חן</t>
  </si>
  <si>
    <t>ברכת חן - 4 כר'</t>
  </si>
  <si>
    <t>פינק, דוב הכהן</t>
  </si>
  <si>
    <t>ברכת חנוך - 2 כר'</t>
  </si>
  <si>
    <t>פרל, חנוך העניך אהרן</t>
  </si>
  <si>
    <t>ברכת חתניך - ג</t>
  </si>
  <si>
    <t>ברכת חתנים</t>
  </si>
  <si>
    <t>מינצברג, מאיר בן משה צבי</t>
  </si>
  <si>
    <t>ברכת חתנים - חמשה קולות</t>
  </si>
  <si>
    <t>צדיקי לובלין</t>
  </si>
  <si>
    <t>ברכת חתנים - ברכה משולשת</t>
  </si>
  <si>
    <t>צדיקי קוצק, פילוב, סוקלוב, לובלין</t>
  </si>
  <si>
    <t>קפלן, ניסן שלמה בן נפתלי הכהן</t>
  </si>
  <si>
    <t>ברכת טוב</t>
  </si>
  <si>
    <t>אפשטיין, אריה יהודה ליב בן יחיאל חיים הלוי</t>
  </si>
  <si>
    <t>קבלה, תנ"ך, תנ"ך</t>
  </si>
  <si>
    <t>ברכת טוביה</t>
  </si>
  <si>
    <t>ברכת יד"י</t>
  </si>
  <si>
    <t>דנא, יוסף יהודה</t>
  </si>
  <si>
    <t>ברכת יהודה &lt;שו"ת&gt; - 7 כר'</t>
  </si>
  <si>
    <t>ברכה, יהודה</t>
  </si>
  <si>
    <t>ברכת יהודה - 2 כר'</t>
  </si>
  <si>
    <t>גאנץ, יהודה בן אפרים פישל</t>
  </si>
  <si>
    <t>ברכת יהודה</t>
  </si>
  <si>
    <t>מאיר, יצחק זאב בן אפרים שמואל</t>
  </si>
  <si>
    <t>ברכת יהודה - 11 כר'</t>
  </si>
  <si>
    <t>שטארק, זלמן לייב בן חיים אהרן</t>
  </si>
  <si>
    <t>ברכת יהונתן - 2 כר'</t>
  </si>
  <si>
    <t>ברכת יהושע - א</t>
  </si>
  <si>
    <t>וויינשטיין, יהושע צבי בן יצחק אהרן</t>
  </si>
  <si>
    <t>ברכת יו"ט</t>
  </si>
  <si>
    <t>ברכת יום טוב</t>
  </si>
  <si>
    <t>ברכת יוסף ואליהו רבא</t>
  </si>
  <si>
    <t>תאומים, מאיר בן יוסף</t>
  </si>
  <si>
    <t>ברכת יוסף על התורה</t>
  </si>
  <si>
    <t>דוד, יוסף</t>
  </si>
  <si>
    <t>ברכת יוסף - לב יאושע</t>
  </si>
  <si>
    <t>איידלש, יוסף בן זאב - מוסאפיה, יהושע שלומיאל עובדיה ידידיה בן חיים יצחק</t>
  </si>
  <si>
    <t>ברכת יוסף</t>
  </si>
  <si>
    <t>איידלש, יוסף בן זאב</t>
  </si>
  <si>
    <t>ברכת יוסף - 3 כר'</t>
  </si>
  <si>
    <t>בוכריץ, יוסף בן אברהם</t>
  </si>
  <si>
    <t>ברכת יוסף - 2 כר'</t>
  </si>
  <si>
    <t>בלום, אליעזר דב - כולל ברכת יוסף</t>
  </si>
  <si>
    <t>הלוי, יוסף צבי בן אליהו</t>
  </si>
  <si>
    <t>וייס, אליעזר בן אהרן יהושע</t>
  </si>
  <si>
    <t>ז"ק, ברוך יוסף בן ישראל</t>
  </si>
  <si>
    <t>ידיד, יוסף בן מרדכי הלוי</t>
  </si>
  <si>
    <t>תרפ"ה - תרפ"ז</t>
  </si>
  <si>
    <t>לאנדא, יוסף בן מנחם מנדל</t>
  </si>
  <si>
    <t>לב, שמעון יהודה</t>
  </si>
  <si>
    <t>פייבלזון, ברוך יוסף</t>
  </si>
  <si>
    <t>שושנה, יוסף בן זבולון</t>
  </si>
  <si>
    <t>ברכת ים</t>
  </si>
  <si>
    <t>ברכת יעבץ - 4 כר'</t>
  </si>
  <si>
    <t>ברכת יעקב &lt;מהדורה חדשה&gt;</t>
  </si>
  <si>
    <t>היילפרין, יעקב יעקבקא בן יהודה אריה ליבוש</t>
  </si>
  <si>
    <t>ברכת יעקב</t>
  </si>
  <si>
    <t>אביטן, יעקב בן נסים</t>
  </si>
  <si>
    <t>בן ברוך, יעקב</t>
  </si>
  <si>
    <t>ברכת יעקב - מכירת יוסף</t>
  </si>
  <si>
    <t>גשטטנר, ברוך יעקב</t>
  </si>
  <si>
    <t>הירש, יעקב יוקיל בן מרדכי זאב וולף</t>
  </si>
  <si>
    <t>ברכת יעקב - חשן משפט</t>
  </si>
  <si>
    <t>יעקב בן ברוך מטיטשין</t>
  </si>
  <si>
    <t>ברכת יעקב - ברכות</t>
  </si>
  <si>
    <t>כהן, יעקב דוד בן מאיר</t>
  </si>
  <si>
    <t>ברכת יעקב - יבמות, כתובות, קדושין, בבא קמא</t>
  </si>
  <si>
    <t>ליבוביץ, זלמן נטע בן יעקב משה</t>
  </si>
  <si>
    <t>ברכת יעקב - 2 כר'</t>
  </si>
  <si>
    <t>מאיר, יעקב בן מנחם מרדכי</t>
  </si>
  <si>
    <t>פסטר, יעקב</t>
  </si>
  <si>
    <t>שיקאגאChicago</t>
  </si>
  <si>
    <t>ברכת יעקב - עטרת יעקב</t>
  </si>
  <si>
    <t>קרויס, יעקב קאפל</t>
  </si>
  <si>
    <t>רוזנבוים, ישראל יעקב אלתר בן דוד</t>
  </si>
  <si>
    <t>ברכת יצחק - 3 כר'</t>
  </si>
  <si>
    <t>אברג'ל, יצחק בן יעקב</t>
  </si>
  <si>
    <t>ברכת יצחק</t>
  </si>
  <si>
    <t>ברכת יצחק - 21 כר'</t>
  </si>
  <si>
    <t>ברכת יצחק - 2 כר'</t>
  </si>
  <si>
    <t>גנק (גנחובסקי), מנחם דוב בן חיים יצחק</t>
  </si>
  <si>
    <t>ברכת יצחק - 8 כר'</t>
  </si>
  <si>
    <t>גרומן, יעקב בן יצחק</t>
  </si>
  <si>
    <t>ברכת יצחק - ב</t>
  </si>
  <si>
    <t>הורוויץ, יצחק בן נפתלי</t>
  </si>
  <si>
    <t>לוונטאל, ברוך יצחק יששכר בן אפרים שרגא</t>
  </si>
  <si>
    <t>ברכת יצחק - 16 כר'</t>
  </si>
  <si>
    <t>לוין, יצחק בן חיים שרגא הלוי</t>
  </si>
  <si>
    <t>מרציאנו, גבריאל יצחק בן אהרן</t>
  </si>
  <si>
    <t>ברכת יצחק - 5 כר'</t>
  </si>
  <si>
    <t>פרקש, יצחק בן אהרן</t>
  </si>
  <si>
    <t>קובץ תורני ישיבת בית יוסף צבי</t>
  </si>
  <si>
    <t>רבינוביץ, יוסף יצחק בן חיים דוב</t>
  </si>
  <si>
    <t>דרושים, הלכה ומנהג, משנה, משנה, שלחן ערוך ומפרשיו, תלמוד בבלי, תלמוד בבלי, תלמוד ירושלמי, תלמוד ירושלמי</t>
  </si>
  <si>
    <t>שווייגר, יצחק בן משה שמואל</t>
  </si>
  <si>
    <t>שפיץ, יצחק זקל בן יששכר ברמאן הלוי</t>
  </si>
  <si>
    <t>ברכת ישורון - ויכתב דוד</t>
  </si>
  <si>
    <t>ברכת ישראל</t>
  </si>
  <si>
    <t>יוסף יצחק ואברהם</t>
  </si>
  <si>
    <t>כהן, ישראל בן נפתלי</t>
  </si>
  <si>
    <t>מרנלנדר, ישראל ברוך</t>
  </si>
  <si>
    <t>ברכת ישראל - 3 כר'</t>
  </si>
  <si>
    <t>שלום, ישראל בן יצחק</t>
  </si>
  <si>
    <t>ברכת כבוד</t>
  </si>
  <si>
    <t>וואהרמאן, יהודה</t>
  </si>
  <si>
    <t>ברכת כהן באהבה - 2 כר'</t>
  </si>
  <si>
    <t>ברקאי, יהודה יעקב</t>
  </si>
  <si>
    <t>ברכת כהן - 7 כר'</t>
  </si>
  <si>
    <t>דויטש, ברוך שמואל בן בנימין זאב הכהן</t>
  </si>
  <si>
    <t>ברכת כהן - על מלאכות שבת</t>
  </si>
  <si>
    <t>דויטש, שמואל ברוך בן בנימין זאב הכהן</t>
  </si>
  <si>
    <t>ברכת כהן</t>
  </si>
  <si>
    <t>מאנדעל, חיים בן אברהם ביינוש הכהן</t>
  </si>
  <si>
    <t>רפאפורט, טוביה גוטמאן בן דוד הכהן</t>
  </si>
  <si>
    <t>ברכת כהנים באהבה</t>
  </si>
  <si>
    <t>ברכת כהנים</t>
  </si>
  <si>
    <t>ברוך הכהן</t>
  </si>
  <si>
    <t>לוריא, מנחם מאנדל בן ברוך בנדט</t>
  </si>
  <si>
    <t>ריגהRiga</t>
  </si>
  <si>
    <t>ברכת מאיר &lt;מוסר&gt; - 2 כר'</t>
  </si>
  <si>
    <t>מדן, ברוך בן מאיר</t>
  </si>
  <si>
    <t>ברכת מאיר &lt;שיחות מוסר&gt; - וידעת והשבות</t>
  </si>
  <si>
    <t>ברכת מאיר - 2 כר'</t>
  </si>
  <si>
    <t>ליכטזון, (חיים) מאיר</t>
  </si>
  <si>
    <t>ברכת מאיר - יבמות</t>
  </si>
  <si>
    <t>ברכת מאיר</t>
  </si>
  <si>
    <t>סגל, משה מאיר שלום בן יוסף</t>
  </si>
  <si>
    <t>פדידה, מאיר בן דוד</t>
  </si>
  <si>
    <t>ברכת מאיר - ברכות הנהנין</t>
  </si>
  <si>
    <t>פרץ, מאיר משה</t>
  </si>
  <si>
    <t>ברכת מועדיך לחיים - 2 כר'</t>
  </si>
  <si>
    <t>תרכ"ח - תרל"א</t>
  </si>
  <si>
    <t>ברכת מועדיך</t>
  </si>
  <si>
    <t>ברכת מועדיך - 3 כר'</t>
  </si>
  <si>
    <t>מרגולין, הדר יהודה</t>
  </si>
  <si>
    <t>שמעיה, שלמה זלמן בן צבי</t>
  </si>
  <si>
    <t>ברכת מועדים</t>
  </si>
  <si>
    <t>קינאסט, חיים בן שמואל יעקב</t>
  </si>
  <si>
    <t>ברכת מנחם - ברכות</t>
  </si>
  <si>
    <t>ברכת מנחם - 2 כר'</t>
  </si>
  <si>
    <t>קניגסברג, מנחם שמואל בן נתן</t>
  </si>
  <si>
    <t>ברכת מעין שבע בליל פסח שחל בשבת</t>
  </si>
  <si>
    <t>ברכת מצותיך - ג</t>
  </si>
  <si>
    <t>ברכת מרדכי &lt;מוסר&gt; - 5 כר'</t>
  </si>
  <si>
    <t>אזרחי, ברוך מרדכי בן ישראל</t>
  </si>
  <si>
    <t>ברכת מרדכי השלם &lt;עה"ת&gt; - 5 כר'</t>
  </si>
  <si>
    <t>ברכת מרדכי - 14 כר'</t>
  </si>
  <si>
    <t>ברכת מרדכי</t>
  </si>
  <si>
    <t>טרייסטמאן, ברוך מרדכי בן דוד</t>
  </si>
  <si>
    <t>ברכת מרדכי - 4 כר'</t>
  </si>
  <si>
    <t>ברכת משה</t>
  </si>
  <si>
    <t>אשואל, אביעד בן שלום</t>
  </si>
  <si>
    <t>בידרמן, משה מרדכי בן שמעון נתן נטע (מלעלוב)</t>
  </si>
  <si>
    <t>ברכת משה - 2 כר'</t>
  </si>
  <si>
    <t>דרוק, משה בן מרדכי</t>
  </si>
  <si>
    <t>הגר, משה בן ברוך</t>
  </si>
  <si>
    <t>משנה, משנה, תלמוד בבלי, תלמוד בבלי, תלמוד ירושלמי, תנ"ך</t>
  </si>
  <si>
    <t>זאטורנסקי, משה שלמה זלמן בן אליהו דוד הלוי</t>
  </si>
  <si>
    <t>ברכת משה - גיטין</t>
  </si>
  <si>
    <t>ישיבת פאר משה</t>
  </si>
  <si>
    <t>משה יהודה ליב מפאשקאן</t>
  </si>
  <si>
    <t>נדב, טל בן רמי</t>
  </si>
  <si>
    <t>פולאק, משה בן יצחק זקל הלוי - פולאק, זקל הלוי</t>
  </si>
  <si>
    <t>פולאק, משה בן יצחק זקל הלוי</t>
  </si>
  <si>
    <t>ברכת משה - 5 כר'</t>
  </si>
  <si>
    <t>פינקל, משה בן אליעזר דוד</t>
  </si>
  <si>
    <t>קופשיץ, נפתלי בן משה פנחס הכהן</t>
  </si>
  <si>
    <t>קרנר, משה בן אליעזר פייבוש</t>
  </si>
  <si>
    <t>שאצקס, משה בן אברהם אהרן</t>
  </si>
  <si>
    <t>שפירא, משה בן יהושע אייזיק</t>
  </si>
  <si>
    <t>ברכת נחמן - 2 כר'</t>
  </si>
  <si>
    <t>רוזן, נחמן יהודה בן יהושע</t>
  </si>
  <si>
    <t>ברכת נישואין</t>
  </si>
  <si>
    <t>ברכת נסים</t>
  </si>
  <si>
    <t>ששון, ניסים</t>
  </si>
  <si>
    <t>ברכת נפתלי - א</t>
  </si>
  <si>
    <t>יונה, נפתלי בן יוסף</t>
  </si>
  <si>
    <t>ברכת נתן - שבת א, פרק יוה"כ, מזוזה</t>
  </si>
  <si>
    <t>שולמן, נתן צבי בן מרדכי</t>
  </si>
  <si>
    <t>ברכת עמנואל</t>
  </si>
  <si>
    <t>כולל אברכים דחסידי סלונים עמנואל</t>
  </si>
  <si>
    <t>ברכת ערב</t>
  </si>
  <si>
    <t>לבהר, מרדכי</t>
  </si>
  <si>
    <t>ברכת פינחס</t>
  </si>
  <si>
    <t>שטיגליץ, פינחס בן חיים אפרים נתן</t>
  </si>
  <si>
    <t>ברכת פנחס</t>
  </si>
  <si>
    <t>פרץ, פנחס שמעון בן יעקב</t>
  </si>
  <si>
    <t>ברכת פסח</t>
  </si>
  <si>
    <t>קוקיס, פסח בן זאב</t>
  </si>
  <si>
    <t>ברכת פרץ</t>
  </si>
  <si>
    <t>ברכת צבי מאיר - 2 כר'</t>
  </si>
  <si>
    <t>זילברברג, משה שמעון חיים בן רפאל צבי מאיר</t>
  </si>
  <si>
    <t>ברכת צבי</t>
  </si>
  <si>
    <t>דויטש, דוד נתן בן אברהם צבי</t>
  </si>
  <si>
    <t>ברכת צבי - 8 כר'</t>
  </si>
  <si>
    <t>ליפקוביץ, צבי הירש בן אברהם יצחק</t>
  </si>
  <si>
    <t>ברכת צבי - בראשית, שמות</t>
  </si>
  <si>
    <t>רבינוביץ, ירחמיאל צבי יהודה בן יחיאל יהושע</t>
  </si>
  <si>
    <t>ברכת ציון - 12 כר'</t>
  </si>
  <si>
    <t>אבא שאול, בן ציון בן אליהו</t>
  </si>
  <si>
    <t>ברכת ציון</t>
  </si>
  <si>
    <t>חרז, שלמה יוסף</t>
  </si>
  <si>
    <t>ברכת קדוש החמה</t>
  </si>
  <si>
    <t>תפילות. ברכת החמה. תרפ"ה</t>
  </si>
  <si>
    <t>ברכת קידוש החמה</t>
  </si>
  <si>
    <t>הרצברג, מאיר דוד</t>
  </si>
  <si>
    <t>ברכת ר"ש - 2 כר'</t>
  </si>
  <si>
    <t>שפירא, רפאל בן צבי</t>
  </si>
  <si>
    <t>ברכת ראובן שלמה &lt;דרשות על התורה&gt; - 6 כר'</t>
  </si>
  <si>
    <t>שלזינגר, ראובן שלמה בן שמעון הלל</t>
  </si>
  <si>
    <t>ברכת ראובן שלמה &lt;חידושים ובאורים&gt; - 13 כר'</t>
  </si>
  <si>
    <t>ברכת ראובן שלמה &lt;שו"ת&gt; - 11 כר'</t>
  </si>
  <si>
    <t>ברכת ראובן - מוקצה</t>
  </si>
  <si>
    <t>מאקאווסקי, אברהם אשר</t>
  </si>
  <si>
    <t>ברכת ראש - 2 כר'</t>
  </si>
  <si>
    <t>ברכת רחל</t>
  </si>
  <si>
    <t>מור יוסף, אורי אהרן בן כליפא</t>
  </si>
  <si>
    <t>ברכת רם אמרי דעת</t>
  </si>
  <si>
    <t>חזן, מאיר בן מיכאל</t>
  </si>
  <si>
    <t>ברכת רם - 5 כר'</t>
  </si>
  <si>
    <t>ברכת רפאל</t>
  </si>
  <si>
    <t>וויטלער, יהודה לייב בן רפאל</t>
  </si>
  <si>
    <t>ברכת רפאל - 5 כר'</t>
  </si>
  <si>
    <t>רובינשטיין, רפאל בן זאב</t>
  </si>
  <si>
    <t>ברכת רצ"ה</t>
  </si>
  <si>
    <t>אורנשטיין, צבי הירש בן מרדכי זאב</t>
  </si>
  <si>
    <t>ברכת רצה</t>
  </si>
  <si>
    <t>הורוויץ, ברוך אברהם צבי</t>
  </si>
  <si>
    <t>ברכת שאול</t>
  </si>
  <si>
    <t>ברכת שי - 15 כר'</t>
  </si>
  <si>
    <t>ברמן, שמריהו יוסף</t>
  </si>
  <si>
    <t>ברכת שלום &lt;מאמרים&gt; - 4 כר'</t>
  </si>
  <si>
    <t>אשלג, ברוך שלום בן יהודה ליב הלוי</t>
  </si>
  <si>
    <t>ברכת שלום &lt;על התורה&gt;</t>
  </si>
  <si>
    <t>ברכת שלום &lt;שמעתי&gt;</t>
  </si>
  <si>
    <t>ברכת שלום &lt;על התורה&gt; - בראשית</t>
  </si>
  <si>
    <t>הירשפרונג, שלום יוסף בן שמואל ישכר</t>
  </si>
  <si>
    <t>ברכת שלום</t>
  </si>
  <si>
    <t>גולדבוים, שלום צבי בן אהרן מרדכי</t>
  </si>
  <si>
    <t>ברכת שלום - 7 כר'</t>
  </si>
  <si>
    <t>וולף, זאב בן שלום יוסף</t>
  </si>
  <si>
    <t>ויינברגר, שלום משולם</t>
  </si>
  <si>
    <t>שטרנברג, שלום יצחק בן ישעיה קלונימוס הכהן</t>
  </si>
  <si>
    <t>ברכת שלמה אורחות לשון</t>
  </si>
  <si>
    <t>אגודת נוצרי לשון</t>
  </si>
  <si>
    <t>ברכת שלמה</t>
  </si>
  <si>
    <t>אומן, שלמה חיים</t>
  </si>
  <si>
    <t>בינעטה, שלמה בן טוביה</t>
  </si>
  <si>
    <t>ברכת שלמה - ב</t>
  </si>
  <si>
    <t>ברכת שלמה - ברכות</t>
  </si>
  <si>
    <t>ברכת שלמה - 6 כר'</t>
  </si>
  <si>
    <t>טנא, שלמה בן אליעזר</t>
  </si>
  <si>
    <t>כהן, שלמה יהונתן בן ראובן יוסף</t>
  </si>
  <si>
    <t>ברכת שלמה - גיטין</t>
  </si>
  <si>
    <t>קובץ כולל ברכת שלמה</t>
  </si>
  <si>
    <t>ברכת שלמה - 4 כר'</t>
  </si>
  <si>
    <t>קליינרמן, שלמה בן גבריאל</t>
  </si>
  <si>
    <t>ברכת שלמה - כתר תורה</t>
  </si>
  <si>
    <t>רבינוביץ, שלמה חנוך בן יחזקאל הכהן</t>
  </si>
  <si>
    <t>ברכת שם - הל' זימון</t>
  </si>
  <si>
    <t>מזרחי, שאול</t>
  </si>
  <si>
    <t>ברכת שמואל - על התורה</t>
  </si>
  <si>
    <t>בכרך, שמואל בן אברהם</t>
  </si>
  <si>
    <t>ברכת שמואל - 2 כר'</t>
  </si>
  <si>
    <t>דרזי, שמואל בן יצחק</t>
  </si>
  <si>
    <t>ברכת שמואל</t>
  </si>
  <si>
    <t>זכאי, שמואל בן אהרן</t>
  </si>
  <si>
    <t>תמ"ב - תמ"ג</t>
  </si>
  <si>
    <t>ברכת שמחה - 3 כר'</t>
  </si>
  <si>
    <t>היין, אורי בן שמחה</t>
  </si>
  <si>
    <t>ברכת שמים</t>
  </si>
  <si>
    <t>וייס, ברוך בן חיים זאב</t>
  </si>
  <si>
    <t>ברכת שמעון</t>
  </si>
  <si>
    <t>היימן, שמעון בן חיים</t>
  </si>
  <si>
    <t>ברכת שמעון - שו"ת</t>
  </si>
  <si>
    <t>יחיא, שמעון בן דוד</t>
  </si>
  <si>
    <t>ברכת שמעון - 4 כר'</t>
  </si>
  <si>
    <t>ממן, שמעון בן שלמה</t>
  </si>
  <si>
    <t>ברכת שמעון - 7 כר'</t>
  </si>
  <si>
    <t>שניאורסון, ברוך שמעון בן יוסף משה</t>
  </si>
  <si>
    <t>ברכת שרגא</t>
  </si>
  <si>
    <t>היימן, שרגא בן אליעזר</t>
  </si>
  <si>
    <t>ברכת שרגא - עירובין</t>
  </si>
  <si>
    <t>חינסקי, שרגא פייבל בן ישראל יוסף</t>
  </si>
  <si>
    <t>ברכתא דשירתא</t>
  </si>
  <si>
    <t>שטרן, מרדכי</t>
  </si>
  <si>
    <t>לורנס</t>
  </si>
  <si>
    <t>ברכתא ושירתא</t>
  </si>
  <si>
    <t>שאף, אלחנן צבי פייבל בן אליהו מרדכי</t>
  </si>
  <si>
    <t>ברן יחד</t>
  </si>
  <si>
    <t>ברנט שפיגל</t>
  </si>
  <si>
    <t>אלטשולר, משה בן חנוך</t>
  </si>
  <si>
    <t>ש"ע</t>
  </si>
  <si>
    <t>ברסלב מאחורי הפרגוד</t>
  </si>
  <si>
    <t>אנגל, יצחק</t>
  </si>
  <si>
    <t>ברסלב - 17 כר'</t>
  </si>
  <si>
    <t>בטאון חסידי ברסלב</t>
  </si>
  <si>
    <t>ברק השחר</t>
  </si>
  <si>
    <t>ברתא דמלכא</t>
  </si>
  <si>
    <t>בשביל ישראל</t>
  </si>
  <si>
    <t>מנדל, יצחק יוסף</t>
  </si>
  <si>
    <t>בשביל שתתעשר</t>
  </si>
  <si>
    <t>ליפסקי, אפרים יעקב</t>
  </si>
  <si>
    <t>בשבילי אהרן</t>
  </si>
  <si>
    <t>ברינקמן, אהרן</t>
  </si>
  <si>
    <t>בשבילי אורייתא - 30 כר'</t>
  </si>
  <si>
    <t>ליברמן, שמחה בונם בן ברכיה</t>
  </si>
  <si>
    <t>בשבילי הבבלי והירושלמי</t>
  </si>
  <si>
    <t>אזדאבא, אברהם</t>
  </si>
  <si>
    <t>בשבילי ההלכה</t>
  </si>
  <si>
    <t>בשבילי החינוך וההוראה</t>
  </si>
  <si>
    <t>בשבילי הלכה - 4 כר'</t>
  </si>
  <si>
    <t>שוורץ, יואל בן יעקב</t>
  </si>
  <si>
    <t>בשבילי המנהג - 5 כר'</t>
  </si>
  <si>
    <t>בשבילי הנצח - 3 כר'</t>
  </si>
  <si>
    <t>בשבילי הפרשה</t>
  </si>
  <si>
    <t>דבורקס, אליקום בן ישעיהו אריה ליב</t>
  </si>
  <si>
    <t>בשבילי הפרשה - 3 כר'</t>
  </si>
  <si>
    <t>דביר, שמואל</t>
  </si>
  <si>
    <t>בשבילי הרפואה - 9 כר'</t>
  </si>
  <si>
    <t>בשבילי השמחה</t>
  </si>
  <si>
    <t>בשבילי ראדין</t>
  </si>
  <si>
    <t>פלאטו, מנחם מנדל</t>
  </si>
  <si>
    <t>בשבילי תימן</t>
  </si>
  <si>
    <t>צברי, יחיא בן שלמה</t>
  </si>
  <si>
    <t>בשבעים נפש</t>
  </si>
  <si>
    <t>ארגון לב לאחים</t>
  </si>
  <si>
    <t>בשדה אליהו</t>
  </si>
  <si>
    <t>ברונשפיגל, רפאל</t>
  </si>
  <si>
    <t>בשדה אפרים</t>
  </si>
  <si>
    <t>בשדה הספר התורני - 2 כר'</t>
  </si>
  <si>
    <t>סקירה מקיפה לספרים תורניים</t>
  </si>
  <si>
    <t>בשדה הראי"ה</t>
  </si>
  <si>
    <t>קוק, אברהם יצחק בן שלמה זלמן - נריה, משה צבי בן פתחיה</t>
  </si>
  <si>
    <t>בשוב ה' ציון היינו כחולמים</t>
  </si>
  <si>
    <t>בשובי לירושלם</t>
  </si>
  <si>
    <t>מילצקי, ראובן בן משה</t>
  </si>
  <si>
    <t>בשובך לציון - 3 כר'</t>
  </si>
  <si>
    <t>בשולי גליוני</t>
  </si>
  <si>
    <t>לייטר, משה</t>
  </si>
  <si>
    <t>בשורות טובות</t>
  </si>
  <si>
    <t>מלר, ד</t>
  </si>
  <si>
    <t>בשורת אליהו</t>
  </si>
  <si>
    <t>בשכבך ובקומך</t>
  </si>
  <si>
    <t>קרפמן, מרדכי משה הכהן</t>
  </si>
  <si>
    <t>רובין, מרדכי בן נפתלי</t>
  </si>
  <si>
    <t>בשליחות ירושלים</t>
  </si>
  <si>
    <t>מורגנשטרן, אריה</t>
  </si>
  <si>
    <t>בשליטתם ותרבותם</t>
  </si>
  <si>
    <t>בשלם סוכו</t>
  </si>
  <si>
    <t>כהן, דוד בן יוסף</t>
  </si>
  <si>
    <t>בשלשלת הכהנים</t>
  </si>
  <si>
    <t>בשם אומרם - 4 כר'</t>
  </si>
  <si>
    <t>שריר, שלמה</t>
  </si>
  <si>
    <t>בשם אמרו לקט - 12 כר'</t>
  </si>
  <si>
    <t>בשם אמרו</t>
  </si>
  <si>
    <t>בשם אמרו - 3 כר'</t>
  </si>
  <si>
    <t>מכון אוצר התורה</t>
  </si>
  <si>
    <t>בשם אמרם</t>
  </si>
  <si>
    <t>סולובייצ'יק, יוסף דב בן משה הלוי</t>
  </si>
  <si>
    <t>בשם בצלאל &lt;מהדורה חדשה&gt;</t>
  </si>
  <si>
    <t>בצלאל בן אריה יהודה ליב הלוי</t>
  </si>
  <si>
    <t>בשם בצלאל</t>
  </si>
  <si>
    <t>ווייצמאן, משה דוד</t>
  </si>
  <si>
    <t>בשם מרדכי</t>
  </si>
  <si>
    <t>אמרוסי, מרדכי</t>
  </si>
  <si>
    <t>הורוויץ, מרדכי אריה בן אברהם יעקב הלוי</t>
  </si>
  <si>
    <t>בשם קדמון</t>
  </si>
  <si>
    <t>פרובנצאלו, משה בן אברהם</t>
  </si>
  <si>
    <t>בשמות הקודש</t>
  </si>
  <si>
    <t>בשמחה ובטוב לבב א</t>
  </si>
  <si>
    <t>מרגולין, הדר יהודה בן מיכאל משה</t>
  </si>
  <si>
    <t>בשמחה ובטוב לבב - ב</t>
  </si>
  <si>
    <t>בשמחה תצאו - במדבר</t>
  </si>
  <si>
    <t>בשמחת לבו - שמות</t>
  </si>
  <si>
    <t>בשמים ממעל</t>
  </si>
  <si>
    <t>קניגסופר, מנחם אריה בן יעקב יהודה</t>
  </si>
  <si>
    <t>בשמים ראש &lt;ריח בשמים&gt; - 2 כר'</t>
  </si>
  <si>
    <t>אשר בן יחיאל (רא"ש). מיוחס לו - עמאר, ראובן בן משה</t>
  </si>
  <si>
    <t>בשמים ראש &lt;עם הגהות רא"ב קלוגר ורצ"ה חיות בכת"י&gt;</t>
  </si>
  <si>
    <t>אשר בן יחיאל (רא"ש). מיוחס לו</t>
  </si>
  <si>
    <t>בשמים ראש</t>
  </si>
  <si>
    <t>הורוויץ, שאול בן משולם יששכר הלוי</t>
  </si>
  <si>
    <t>בשמן רענן - 2 כר'</t>
  </si>
  <si>
    <t>ספר זכרון לרבי שלום נתן רענן</t>
  </si>
  <si>
    <t>בשער הכוונות - 2 כר'</t>
  </si>
  <si>
    <t>בשער המלך</t>
  </si>
  <si>
    <t>הלכה ומנהג, הלכה ומנהג, תולדות עם ישראל, תלמוד בבלי</t>
  </si>
  <si>
    <t>בשערי המלך - 3 כר'</t>
  </si>
  <si>
    <t>בשערי התשובה</t>
  </si>
  <si>
    <t>בשערי ירושלים</t>
  </si>
  <si>
    <t>שווארץ, יהוסף בן מנחם</t>
  </si>
  <si>
    <t>בשערי ישכר - 7 כר'</t>
  </si>
  <si>
    <t>בשערי תורה (ללימוד ועיון עצמי) - 2 כר'</t>
  </si>
  <si>
    <t>קובץ ישיבת איתרי</t>
  </si>
  <si>
    <t>בשערי תורה - 6 כר'</t>
  </si>
  <si>
    <t>בשעריך ירושלים - 3 כר'</t>
  </si>
  <si>
    <t>בשעריך ירושלם</t>
  </si>
  <si>
    <t>ווייס, יהודה אהרן בן נפתלי הרץ הלוי</t>
  </si>
  <si>
    <t>שאג - צוובנר, יצחק דוד</t>
  </si>
  <si>
    <t>בשעריך - 9 כר'</t>
  </si>
  <si>
    <t>בטאון המועצה הדתית ירושלים</t>
  </si>
  <si>
    <t>בשפתי רחש</t>
  </si>
  <si>
    <t>ליכטנשטיין, חיים שרגא</t>
  </si>
  <si>
    <t>בשר בחלב - עיקרי הדינים</t>
  </si>
  <si>
    <t>בוקובזה, אברהם</t>
  </si>
  <si>
    <t>בשר בחלב - מדריך הלכתי מאוייר</t>
  </si>
  <si>
    <t>בשר על גבי גחלים</t>
  </si>
  <si>
    <t>ביבי גאון</t>
  </si>
  <si>
    <t>בשרתי צדק</t>
  </si>
  <si>
    <t>איילינבורג, יעקב בן חיים</t>
  </si>
  <si>
    <t>מוראפטשיק, משה בן אליעזר</t>
  </si>
  <si>
    <t>בת דינא</t>
  </si>
  <si>
    <t>בת הש"ך - במועד הנכון</t>
  </si>
  <si>
    <t>בת ישראל הכשרה</t>
  </si>
  <si>
    <t>ירושלים. בתי דין</t>
  </si>
  <si>
    <t>בת ישראל</t>
  </si>
  <si>
    <t>בת כהן</t>
  </si>
  <si>
    <t>אליאך, שלמה בן ישראל</t>
  </si>
  <si>
    <t>בת מלך - 2 כר'</t>
  </si>
  <si>
    <t>אביוב, שמעון בן דוד</t>
  </si>
  <si>
    <t>בת נעות המרדות - 2 כר'</t>
  </si>
  <si>
    <t>בן שמעון, רפאל אהרן בן דוד</t>
  </si>
  <si>
    <t>בת עין &lt;מהדורה חדשה&gt;</t>
  </si>
  <si>
    <t>אברהם דוב בן דוד מאבריטש</t>
  </si>
  <si>
    <t>בת עין - 2 כר'</t>
  </si>
  <si>
    <t>חסידות, שאלות ותשובות, תנ"ך</t>
  </si>
  <si>
    <t>בת עין</t>
  </si>
  <si>
    <t>ריינין, אברהם דב בן שמעון</t>
  </si>
  <si>
    <t>בת עיני - 2 כר'</t>
  </si>
  <si>
    <t>יששכר דוב בר בן אריה יהודה ליבוש מגזע צבי</t>
  </si>
  <si>
    <t>בת עמי</t>
  </si>
  <si>
    <t>בת רבים</t>
  </si>
  <si>
    <t>בן סמחון, רפאל יעקב בן מכלוף</t>
  </si>
  <si>
    <t>הלכה ומנהג, נושאים שונים, קבלה</t>
  </si>
  <si>
    <t>בתודה ושיר</t>
  </si>
  <si>
    <t>רבי אלעזר בירבי קליר - אליצור, שולמית</t>
  </si>
  <si>
    <t>בתוך ביתה</t>
  </si>
  <si>
    <t>ארגון הכתר</t>
  </si>
  <si>
    <t>בתוך הגולה</t>
  </si>
  <si>
    <t>מישל, אליעזר בן דוב הלוי</t>
  </si>
  <si>
    <t>בתוך החומות</t>
  </si>
  <si>
    <t>פרוש, מנחם מנדל בן גרשון</t>
  </si>
  <si>
    <t>תש"ז - תש"ח</t>
  </si>
  <si>
    <t>בתוך עמי - א</t>
  </si>
  <si>
    <t>אלמאליח, אברהם</t>
  </si>
  <si>
    <t>דימונה</t>
  </si>
  <si>
    <t>בתוככי ירושלים</t>
  </si>
  <si>
    <t>בתולת בת יהודה</t>
  </si>
  <si>
    <t>יהודה בן שמואל הלוי</t>
  </si>
  <si>
    <t>בתורת ד' חפצו</t>
  </si>
  <si>
    <t>בתורתו יהגה - חג השבועות</t>
  </si>
  <si>
    <t>מכון אור החסידות</t>
  </si>
  <si>
    <t>בתורתו יהגה - 4 כר'</t>
  </si>
  <si>
    <t>פלק, דוד בן יעקב יהודה</t>
  </si>
  <si>
    <t>בתורתו - חנוכה</t>
  </si>
  <si>
    <t>ביהמ"ד לדיינות ברכת אברהם</t>
  </si>
  <si>
    <t>בתחבולות תעשה לך מלחמה</t>
  </si>
  <si>
    <t>פאליי, שלמה</t>
  </si>
  <si>
    <t>בתי אבות &lt;מהדורה חדשה&gt;</t>
  </si>
  <si>
    <t>בתי אבות</t>
  </si>
  <si>
    <t>פרידלנדר, משה יוסף</t>
  </si>
  <si>
    <t>בתי הכנסת בצנעא בירת תימן</t>
  </si>
  <si>
    <t>גמליאל, שלום בן סעדיה</t>
  </si>
  <si>
    <t>בתי הנהגת גוף הבריא</t>
  </si>
  <si>
    <t>בתי כהונה &lt;רמב"ם&gt;</t>
  </si>
  <si>
    <t>רפאפורט, יצחק בן יהודה ליב הכהן</t>
  </si>
  <si>
    <t>בתי כהונה - חנוכה</t>
  </si>
  <si>
    <t>בתי כהונה</t>
  </si>
  <si>
    <t>פרסקי, יואל דוב בר בן מאיר הכהן</t>
  </si>
  <si>
    <t>בתי כהונה - 4 כר'</t>
  </si>
  <si>
    <t>תצ"ו - תקי"ד</t>
  </si>
  <si>
    <t>בתי כנסיות בבבל</t>
  </si>
  <si>
    <t>מרכז מורשת יהדות בבל</t>
  </si>
  <si>
    <t>אור יהודה</t>
  </si>
  <si>
    <t>בתי כנסיות - א</t>
  </si>
  <si>
    <t>בן עזרא, אברהם בן חיים ידידיה</t>
  </si>
  <si>
    <t>בתי מדרשות - 2 כר'</t>
  </si>
  <si>
    <t>וורטהיימר, שלמה אהרן - וורטהימר, אברהם יוסף (מהדירים)</t>
  </si>
  <si>
    <t>בתי משה - ברכות</t>
  </si>
  <si>
    <t>טויב, משה ב"ר אברהם</t>
  </si>
  <si>
    <t>בתי נפש - 2 כר'</t>
  </si>
  <si>
    <t>הכהן, שלמה בן משולם</t>
  </si>
  <si>
    <t>בתי נפש</t>
  </si>
  <si>
    <t>קוטנפלאן, יוסף בן מאיר</t>
  </si>
  <si>
    <t>בתים ומוסדות יהודיים ברובע המוסלמי</t>
  </si>
  <si>
    <t>זכריה, שבתי</t>
  </si>
  <si>
    <t>בתים לבדים</t>
  </si>
  <si>
    <t>הלוי, יצחק איזיק בן אליהו</t>
  </si>
  <si>
    <t>בתים לבדים - 2 כר'</t>
  </si>
  <si>
    <t>מאסקאוויטש, יעקב בן יחיאל מיכל משאץ</t>
  </si>
  <si>
    <t>בתים לבריחים</t>
  </si>
  <si>
    <t>שבתי בן אהרן יהושע מצ'אשניק</t>
  </si>
  <si>
    <t>בתלאות תימן וירושלים</t>
  </si>
  <si>
    <t>חבארה, יוסף בן שלום</t>
  </si>
  <si>
    <t>בתעצומות עוזך - אור השנים (קטעים)</t>
  </si>
  <si>
    <t>מועדי ישראל, נושאים שונים, תולדות עם ישראל</t>
  </si>
  <si>
    <t>בתפוצות הגולה</t>
  </si>
  <si>
    <t>הטל, אברהם</t>
  </si>
  <si>
    <t>ג"ל פנינים</t>
  </si>
  <si>
    <t>ליקוט</t>
  </si>
  <si>
    <t>ג'רבה יהודית</t>
  </si>
  <si>
    <t>חדאד, בועז בן דני</t>
  </si>
  <si>
    <t>גאוגרפיה מצוירת של ארץ ישראל</t>
  </si>
  <si>
    <t>קאמנצקי, אברהם שלום</t>
  </si>
  <si>
    <t>וורשה,</t>
  </si>
  <si>
    <t>גאוגרפיה קצרה של ארץ ישראל</t>
  </si>
  <si>
    <t>צ'ארנו, שלום יונה</t>
  </si>
  <si>
    <t>גאולה ושכנותיה</t>
  </si>
  <si>
    <t>קלוגר, בנימין</t>
  </si>
  <si>
    <t>גאולת ה'</t>
  </si>
  <si>
    <t>לביא, אליהו בן מרדכי</t>
  </si>
  <si>
    <t>גאולת הגר</t>
  </si>
  <si>
    <t>רוטנברג, אליקים</t>
  </si>
  <si>
    <t>שע"ח</t>
  </si>
  <si>
    <t>גאולת הצבי - 2 כר'</t>
  </si>
  <si>
    <t>לרר, ירחמיאל יגאל בן יהושע</t>
  </si>
  <si>
    <t>גאולת וישועת ישראל</t>
  </si>
  <si>
    <t>גאולת יצחק - 2 כר'</t>
  </si>
  <si>
    <t>גאולת ישראל השלם</t>
  </si>
  <si>
    <t>יהושע אברהם בן ישראל</t>
  </si>
  <si>
    <t>נושאים שונים, שאר ספרי חז"ל, תנ"ך</t>
  </si>
  <si>
    <t>גאולת ישראל - 3 כר'</t>
  </si>
  <si>
    <t>אדלר, שמריה מנשה בן צבי יהודה הכהן</t>
  </si>
  <si>
    <t>גאולת ישראל</t>
  </si>
  <si>
    <t>הגדה של פסח. תקצ"ג. ברסלאו</t>
  </si>
  <si>
    <t>הגדה של פסח. תש"ך. תל אביב</t>
  </si>
  <si>
    <t>גאולת ישראל - 2 כר'</t>
  </si>
  <si>
    <t>גאולת עולם</t>
  </si>
  <si>
    <t>ליכטשטיין, אברהם בן אליעזר ליפמן</t>
  </si>
  <si>
    <t>גאולת ציון</t>
  </si>
  <si>
    <t>גאון אברהם</t>
  </si>
  <si>
    <t>אברהם בן שאול</t>
  </si>
  <si>
    <t>גאון בתורה ובמידות &lt;ישראלי שאול&gt;</t>
  </si>
  <si>
    <t>שריר, אברהם ישראל</t>
  </si>
  <si>
    <t>גאון הגאונים</t>
  </si>
  <si>
    <t>גאון התורה - פרקים בתולדות רבי אליהו חזן</t>
  </si>
  <si>
    <t>גאון יעקב</t>
  </si>
  <si>
    <t>ווייסבלט, מנחם נחום - ווייסבלט, מרדכי דוב</t>
  </si>
  <si>
    <t>דרושים, הלכה ומנהג, מחשבה ומוסר, נושאים שונים, שלחן ערוך ומפרשיו, תולדות עם ישראל</t>
  </si>
  <si>
    <t>גאון יעקב - 2 כר'</t>
  </si>
  <si>
    <t>כהנא, יעקב בן אברהם</t>
  </si>
  <si>
    <t>שפירא, יעקב בן רפאל</t>
  </si>
  <si>
    <t>גאון יצחק</t>
  </si>
  <si>
    <t>ליפשיץ, יעקב הלוי</t>
  </si>
  <si>
    <t>גאון ישראל וקדושו - 3 כר'</t>
  </si>
  <si>
    <t>הגר, מנחם מנדל מווישווא</t>
  </si>
  <si>
    <t>גאון צבי</t>
  </si>
  <si>
    <t>הורוויץ, צבי הירש בן יהושע משה אהרן הלו</t>
  </si>
  <si>
    <t>תצ"ז - תצ"ח</t>
  </si>
  <si>
    <t>גאון צבי - 2 כר'</t>
  </si>
  <si>
    <t>הלר, משה צבי בן יוסף הלוי</t>
  </si>
  <si>
    <t>גאון צבי - 4 כר'</t>
  </si>
  <si>
    <t>צבי הירש בן יהודה מרישא</t>
  </si>
  <si>
    <t>גאון, יעקב, גדול ביהודה, חזון ישעיהו</t>
  </si>
  <si>
    <t>גאנץ, יהודה</t>
  </si>
  <si>
    <t>גאוני משפחת אביחצירא - 4 כר'</t>
  </si>
  <si>
    <t>מיארה, שלמה זלמן</t>
  </si>
  <si>
    <t>גאוני פולין האחרונים</t>
  </si>
  <si>
    <t>גאוניקה &lt;GEONICA&gt; - 2 כר'</t>
  </si>
  <si>
    <t>גינצבורג, לוי בן יצחק</t>
  </si>
  <si>
    <t>קבצים וכתבי עת, ספרי זכרון ויובל, שאלות ותשובות, תולדות עם ישראל</t>
  </si>
  <si>
    <t>גאל ישראל</t>
  </si>
  <si>
    <t>טולידאנו, גבריאל</t>
  </si>
  <si>
    <t>גבול אלמנה - סדר תיקון אלמנה</t>
  </si>
  <si>
    <t>גבול בני נפתלי</t>
  </si>
  <si>
    <t>גבול בנימין &lt;מהדורה חדשה&gt; - 2 כר'</t>
  </si>
  <si>
    <t>גבול בנימין</t>
  </si>
  <si>
    <t>גורליק, חיים צבי בן ברוך שמואל הכהן דויטש</t>
  </si>
  <si>
    <t>לכרייף, בנימין בן יחייא</t>
  </si>
  <si>
    <t>גבול יאודה - 2 כר'</t>
  </si>
  <si>
    <t>אשכנזי, יהודה בן יוסף</t>
  </si>
  <si>
    <t>גבול יהודה - 2 כר'</t>
  </si>
  <si>
    <t>צירלסון, יהודה ליב בן משה חיים</t>
  </si>
  <si>
    <t>גבול יעבץ - קונטרסים וסוגיות</t>
  </si>
  <si>
    <t>גבול מנשה</t>
  </si>
  <si>
    <t>גרוסברג, מנשה בן יחזקאל יונה</t>
  </si>
  <si>
    <t>גבול עולם - עירובין</t>
  </si>
  <si>
    <t>גבול עולם</t>
  </si>
  <si>
    <t>ירושלים. ועד הכללי כנסת ישראל</t>
  </si>
  <si>
    <t>גבול ראשונים</t>
  </si>
  <si>
    <t>יעקובוביץ, יוסף חנניה בן שלמה</t>
  </si>
  <si>
    <t>לווין, נחום בן אברהם הכהן</t>
  </si>
  <si>
    <t>גבולות השדה</t>
  </si>
  <si>
    <t>גבולי ציון</t>
  </si>
  <si>
    <t>מאצקביץ, שבתי בן יעקב</t>
  </si>
  <si>
    <t>גבולת בנימין &lt;מהדורה חדשה&gt;</t>
  </si>
  <si>
    <t>רפאפורט, בנימין בן שמחה הכהן</t>
  </si>
  <si>
    <t>גבולת בנימין</t>
  </si>
  <si>
    <t>גבורות אליהו</t>
  </si>
  <si>
    <t>הנקין, יוסף אליהו בן אליעזר קלונימוס</t>
  </si>
  <si>
    <t>גבורות ארי &lt;מהדורה חדשה&gt; - 3 כר'</t>
  </si>
  <si>
    <t>גינצבורג, אריה ליב בן אשר</t>
  </si>
  <si>
    <t>גבורות ארי &lt;עם באר משה&gt; - תענית</t>
  </si>
  <si>
    <t>תרס"ז - תשט"ז</t>
  </si>
  <si>
    <t>פיוטרקוב - ניו יורק</t>
  </si>
  <si>
    <t>גבורות ארי - 2 כר'</t>
  </si>
  <si>
    <t>גבורות אריה</t>
  </si>
  <si>
    <t>גבורות ה' &lt;דפו"ר&gt;</t>
  </si>
  <si>
    <t>גבורות ה' - 5 כר'</t>
  </si>
  <si>
    <t>גבורות הארי - 2 כר'</t>
  </si>
  <si>
    <t>אפשטיין, אפרים מרדכי בן שלמה זלמן הלוי</t>
  </si>
  <si>
    <t>גבורות הארי</t>
  </si>
  <si>
    <t>יוזשעף, יעקב הלוי</t>
  </si>
  <si>
    <t>גבורות יצחק על הרמב"ם - הלכות ק"ש</t>
  </si>
  <si>
    <t>סורוצקין, אברהם יצחק בן ברוך</t>
  </si>
  <si>
    <t>גבורות יצחק</t>
  </si>
  <si>
    <t>ספר זכרון לרבי יצחק יואל ברנשטיין זצ"ל</t>
  </si>
  <si>
    <t>גבורות יצחק - 3 כר'</t>
  </si>
  <si>
    <t>רוזנברג, יצחק</t>
  </si>
  <si>
    <t>גבורות ישעיהו</t>
  </si>
  <si>
    <t>לכבודו של ר' ישעיהו וינוגרד</t>
  </si>
  <si>
    <t>גבורות משה</t>
  </si>
  <si>
    <t>שנברגר, רפאל בן פסח יהודה</t>
  </si>
  <si>
    <t>גבורות רמח"ל</t>
  </si>
  <si>
    <t>גבורות שלושים</t>
  </si>
  <si>
    <t>גבורות שלמה</t>
  </si>
  <si>
    <t>גבורות שמונים</t>
  </si>
  <si>
    <t>כמה חכמים</t>
  </si>
  <si>
    <t>גבורות שמונים - 2 כר'</t>
  </si>
  <si>
    <t>גבורות</t>
  </si>
  <si>
    <t>צורבא, ישראל בן יהושע</t>
  </si>
  <si>
    <t>גבורי החי"ל - 2 כר'</t>
  </si>
  <si>
    <t>גבורי ישראל</t>
  </si>
  <si>
    <t>ניימאן, ישראל יהודה בן יוסף</t>
  </si>
  <si>
    <t>גבורי כח עושי דברו</t>
  </si>
  <si>
    <t>גבורי כח</t>
  </si>
  <si>
    <t>מזלומיאן, ישי</t>
  </si>
  <si>
    <t>גבורת אנשים - 2 כר'</t>
  </si>
  <si>
    <t>כ"ץ, שבתי בן מאיר הכהן</t>
  </si>
  <si>
    <t>גבורת ארי</t>
  </si>
  <si>
    <t>גבורת אריאל - זבחים</t>
  </si>
  <si>
    <t>חכם צדק, אריאל בן יונתן</t>
  </si>
  <si>
    <t>גבורת אריה - 4 כר'</t>
  </si>
  <si>
    <t>פרנקל, יעקב יהודה אריה ליב בן יום-טוב צבי</t>
  </si>
  <si>
    <t>גבורת גבריאל</t>
  </si>
  <si>
    <t>שטרית, גבריאל בן יוסף</t>
  </si>
  <si>
    <t>גבורת האר"י</t>
  </si>
  <si>
    <t>גבורת התורה - 3 כר'</t>
  </si>
  <si>
    <t>גרודזינסקי, אריה בן יצחק</t>
  </si>
  <si>
    <t>גבורת יהודה - 2 כר'</t>
  </si>
  <si>
    <t>גבורת יהונתן</t>
  </si>
  <si>
    <t>דרושים, דרושים, דרושים, תלמוד בבלי, תלמוד בבלי</t>
  </si>
  <si>
    <t>גבורת יעקב &lt;קובץ&gt;</t>
  </si>
  <si>
    <t>כולל נחלת משה</t>
  </si>
  <si>
    <t>גבורת יעקב</t>
  </si>
  <si>
    <t>גבורת יצחק &lt;על התורה&gt; - 2 כר'</t>
  </si>
  <si>
    <t>גבורת יצחק</t>
  </si>
  <si>
    <t>גרוסמן, ראובן</t>
  </si>
  <si>
    <t>גבורת יצחק - 26 כר'</t>
  </si>
  <si>
    <t>גבורת לב</t>
  </si>
  <si>
    <t>ברנבוים, אריה לייב בן רפאל שמואל</t>
  </si>
  <si>
    <t>גבורת משה אהרן</t>
  </si>
  <si>
    <t>קוטשינסקי, משה אהרן בן בנימין צבי</t>
  </si>
  <si>
    <t>גבורת משה - 3 כר'</t>
  </si>
  <si>
    <t>גץ, גבריאל משה בן אריה יוסף</t>
  </si>
  <si>
    <t>גבורת ראשונים</t>
  </si>
  <si>
    <t>חריזמאן, אברהם מרדכי בן יוסף שמואל</t>
  </si>
  <si>
    <t>גבורת שמשון - 2 כר'</t>
  </si>
  <si>
    <t>פישר, שמשון בן גבריאל</t>
  </si>
  <si>
    <t>גביע הכסף - 2 כר'</t>
  </si>
  <si>
    <t>זילבר, יוסף בן משה</t>
  </si>
  <si>
    <t>גביע הכסף - 5 כר'</t>
  </si>
  <si>
    <t>עטייה, גדעון</t>
  </si>
  <si>
    <t>גביעי גביע הכסף &lt;מהדורה חדשה&gt;</t>
  </si>
  <si>
    <t>ריבלין, בנימין בן שלמה זלמן</t>
  </si>
  <si>
    <t>גביעי גביע הכסף</t>
  </si>
  <si>
    <t>גביעי זהב</t>
  </si>
  <si>
    <t>הוזנפלד, יוסף יצחק בן ישעיה נפתלי משה</t>
  </si>
  <si>
    <t>גבעות עולם</t>
  </si>
  <si>
    <t>גינצבורג, מנשה יוסף בן משה שלמה</t>
  </si>
  <si>
    <t>קובו, יוסף בן שמעיה</t>
  </si>
  <si>
    <t>גבעות עולם - 5 כר'</t>
  </si>
  <si>
    <t>שמואליאן, יוסף בן משה</t>
  </si>
  <si>
    <t>גבעת בנימין</t>
  </si>
  <si>
    <t>בנימין בן יחיאל הלוי</t>
  </si>
  <si>
    <t>שע"ז</t>
  </si>
  <si>
    <t>שמעיה, בנימין</t>
  </si>
  <si>
    <t>גבעת הלבונה</t>
  </si>
  <si>
    <t>בומבאך, נפתלי הירץ בן יוסף</t>
  </si>
  <si>
    <t>גבעת הלבונה - סוטה</t>
  </si>
  <si>
    <t>וינוגרד, אברהם ישעיהו בן משה</t>
  </si>
  <si>
    <t>גבעת המורה - 2 כר'</t>
  </si>
  <si>
    <t>יוסף בן יצחק הלוי מפראג</t>
  </si>
  <si>
    <t>גבעת יוסף</t>
  </si>
  <si>
    <t>לנדא, יוסף צבי הלוי (רוז'אני)</t>
  </si>
  <si>
    <t>גבעת פינחס - 2 כר'</t>
  </si>
  <si>
    <t>ביליצר, פינחס בן עמרם ישי הלוי</t>
  </si>
  <si>
    <t>גבעת פינחס</t>
  </si>
  <si>
    <t>פינקלטויב, פינחס אליעזר בן מאיר</t>
  </si>
  <si>
    <t>פרידמן, ישכר דוב</t>
  </si>
  <si>
    <t>סאיני</t>
  </si>
  <si>
    <t>גבעת פנחס</t>
  </si>
  <si>
    <t>אנגלנדר, פינחס אלטיר בן צבי מנחם</t>
  </si>
  <si>
    <t>משנה, שלחן ערוך ומפרשיו, תלמוד בבלי</t>
  </si>
  <si>
    <t>ארבייטמן, פנחס</t>
  </si>
  <si>
    <t>גבעת פנחס - נדה</t>
  </si>
  <si>
    <t>ביהמ"ד נר גבריאל בישיבת מיר</t>
  </si>
  <si>
    <t>גבעת פנחס - 8 כר'</t>
  </si>
  <si>
    <t>דמביצר, פינחס אליהו בן משה יעקב</t>
  </si>
  <si>
    <t>גבעת פנחס - 2 כר'</t>
  </si>
  <si>
    <t>הורוויץ, פינחס בן צבי הירש הלוי</t>
  </si>
  <si>
    <t>פוריא, פינחס בן אריה</t>
  </si>
  <si>
    <t>גבעת פנחס - 3 כר'</t>
  </si>
  <si>
    <t>פרל, פינחס אברהם בן ישראל</t>
  </si>
  <si>
    <t>שווארץ, פינחס זליג בן נפתלי הכהן - יצחק בן אליעזר ממונקאץ'</t>
  </si>
  <si>
    <t>גבעת שאול - 2 כר'</t>
  </si>
  <si>
    <t>ארנפלד, שאול בן דוד צבי</t>
  </si>
  <si>
    <t>גבעת שאול</t>
  </si>
  <si>
    <t>ורנוב נד טופלו Vran</t>
  </si>
  <si>
    <t>הורנשטיין, שאול בן פינחס</t>
  </si>
  <si>
    <t>זילבר, שאול בן אהרן מיכאל</t>
  </si>
  <si>
    <t>טרקהיים, יצחק איצק בן ישראל</t>
  </si>
  <si>
    <t>מורטירה, שאול בן יוסף הלוי</t>
  </si>
  <si>
    <t>נחמיאש, שאול בן דוד</t>
  </si>
  <si>
    <t>טאנכיר</t>
  </si>
  <si>
    <t>שאול בן משה מלומאז'</t>
  </si>
  <si>
    <t>גדול בישראל - 2 כר'</t>
  </si>
  <si>
    <t>גדול בנים</t>
  </si>
  <si>
    <t>לוין, יש. בער</t>
  </si>
  <si>
    <t>גדול המצווה ועושה - בר מצוה</t>
  </si>
  <si>
    <t>גדול המצווה</t>
  </si>
  <si>
    <t>סויסה, אליהו אילן</t>
  </si>
  <si>
    <t>גדולה התשובה</t>
  </si>
  <si>
    <t>טאוב, ברוך אלתר</t>
  </si>
  <si>
    <t>טורונטו</t>
  </si>
  <si>
    <t>גדולה מלאכה</t>
  </si>
  <si>
    <t>גדולה תשובה - א</t>
  </si>
  <si>
    <t>גדולי ארץ ישראל</t>
  </si>
  <si>
    <t>גדולי הדורות על משמר מנהג אשכנז</t>
  </si>
  <si>
    <t>המבורגר, בנימין שלמה</t>
  </si>
  <si>
    <t>הלכה ומנהג, תולדות עם ישראל, תפלות בקשות פיוטים ושירה</t>
  </si>
  <si>
    <t>גדולי הדורות - 3 כר'</t>
  </si>
  <si>
    <t>גדולי הראשונים - סוכה</t>
  </si>
  <si>
    <t>גראס, אברהם יוסף בן משה</t>
  </si>
  <si>
    <t>גדולי חסידי בעלז - 2 כר'</t>
  </si>
  <si>
    <t>גדולי חסידי מונקאטש</t>
  </si>
  <si>
    <t>הוצאת חנוך לנער</t>
  </si>
  <si>
    <t>גדולי ישראל בביתם</t>
  </si>
  <si>
    <t>גדולי ישראל בילדותם - 2 כר'</t>
  </si>
  <si>
    <t>גדולי ישראל בשחרותם</t>
  </si>
  <si>
    <t>גדולי ישראל בתימן</t>
  </si>
  <si>
    <t>תדש"ם</t>
  </si>
  <si>
    <t>גדולי ישראל והזוהר</t>
  </si>
  <si>
    <t>מכון הזוהר</t>
  </si>
  <si>
    <t>גדולי ישראל מקדשי שביעי</t>
  </si>
  <si>
    <t>רבינר, זאב אריה</t>
  </si>
  <si>
    <t>גדולי ישראל קוראים לך</t>
  </si>
  <si>
    <t>יהדות התורה אגודת ישראל</t>
  </si>
  <si>
    <t>גדולי צבי רבא</t>
  </si>
  <si>
    <t>צבי הירש בן חיים הלוי מפלונסק</t>
  </si>
  <si>
    <t>גדולי קש בשביעית</t>
  </si>
  <si>
    <t>גדולי רבני טונסיה ולוב</t>
  </si>
  <si>
    <t>מסינג, יהודה</t>
  </si>
  <si>
    <t>גדולי רבני מארוקו ואלגיריה</t>
  </si>
  <si>
    <t>עמאר, משה מסינג יהודה</t>
  </si>
  <si>
    <t>גדולי רבני סוריה והלבנון</t>
  </si>
  <si>
    <t>פוזיילוב, גיורא</t>
  </si>
  <si>
    <t>גדולי רבני תימן</t>
  </si>
  <si>
    <t>קאפח, אהרן בן חיים דוד</t>
  </si>
  <si>
    <t>גדולים מעשה ה</t>
  </si>
  <si>
    <t>פרחי, יוסף שבתי</t>
  </si>
  <si>
    <t>גדולים מעשה צדיקים</t>
  </si>
  <si>
    <t>מרגליות, יעקב בן משולם נתן</t>
  </si>
  <si>
    <t>גדולים מעשי חייא</t>
  </si>
  <si>
    <t>כהן, רחמים (עליו)</t>
  </si>
  <si>
    <t>גדולים צדיקים</t>
  </si>
  <si>
    <t>מאיר, יצחק בן אהרן אריה</t>
  </si>
  <si>
    <t>סטרי Stryj</t>
  </si>
  <si>
    <t>מניר, סעדיה</t>
  </si>
  <si>
    <t>גדולת אברהם</t>
  </si>
  <si>
    <t>אברהם אב"ד ז'וביץ</t>
  </si>
  <si>
    <t>גדולת גדליהו</t>
  </si>
  <si>
    <t>גליק, יצחק יהודה</t>
  </si>
  <si>
    <t>גדולת החתם סופר</t>
  </si>
  <si>
    <t>גדולת הצדיקים</t>
  </si>
  <si>
    <t>סטאשבסקי, גרשון עמנואל בן משה יחיאל הלוי</t>
  </si>
  <si>
    <t>גדולת יהונתן - 2 כר'</t>
  </si>
  <si>
    <t>צינץ, דוד בן אריה ליב בן שמריהו</t>
  </si>
  <si>
    <t>מחשבה ומוסר, תולדות עם ישראל, תולדות עם ישראל</t>
  </si>
  <si>
    <t>גדולת יהושע</t>
  </si>
  <si>
    <t>לעוו, משה אריה</t>
  </si>
  <si>
    <t>גדולת יוסף</t>
  </si>
  <si>
    <t>פאוויר, אליעזר</t>
  </si>
  <si>
    <t>גדולת מרדכי &lt;קדושת ישראל&gt;</t>
  </si>
  <si>
    <t>קליין, ברוך מאיר בן שלמה (עורך)</t>
  </si>
  <si>
    <t>תרנ"ה - תשמ"ט</t>
  </si>
  <si>
    <t>גדולת מרדכי ואגודת אזוב - 3 כר'</t>
  </si>
  <si>
    <t>ברוך בן דוד מגניזן</t>
  </si>
  <si>
    <t>גדולת מרדכי וגדולת הצדיקים - א-ב</t>
  </si>
  <si>
    <t>תרצ"ד - תרצ"ו</t>
  </si>
  <si>
    <t>גדולת מרדכי מדרש אבי - 2 כר'</t>
  </si>
  <si>
    <t>גדולת מרדכי - ג - זרע ברוך</t>
  </si>
  <si>
    <t>אמייס, מרדכי בן יצחק הכהן - כהן, ברוך צגייר בן משה</t>
  </si>
  <si>
    <t>גדולת מרדכי - 3 כר'</t>
  </si>
  <si>
    <t>אמייס, מרדכי בן יצחק הכהן</t>
  </si>
  <si>
    <t>דרושים, מועדי ישראל, משנה, שאלות ותשובות, תלמוד בבלי, תנ"ך</t>
  </si>
  <si>
    <t>גדולת מרדכי</t>
  </si>
  <si>
    <t>זמל, אשר בן מרדכי</t>
  </si>
  <si>
    <t>גדולת מרדכי - 2 כר'</t>
  </si>
  <si>
    <t>טברסקי, מרדכי בן ניסן יהודה ליב</t>
  </si>
  <si>
    <t>גדולת מרדכי - דרושים</t>
  </si>
  <si>
    <t>סגרון, מרדכי</t>
  </si>
  <si>
    <t>קורקוס, מרדכי בן אברהם</t>
  </si>
  <si>
    <t>ראבינר, מרדכי בן אברהם</t>
  </si>
  <si>
    <t>רבקינד, משה מרדכי ישראל בן גדליהו</t>
  </si>
  <si>
    <t>גדולת משה</t>
  </si>
  <si>
    <t>גדולת פנחס - א</t>
  </si>
  <si>
    <t>הירשפרונג, פנחס (עליו)</t>
  </si>
  <si>
    <t>גדולת רבינו ישראל בעל שם טוב</t>
  </si>
  <si>
    <t>ברנאט, אברהם נתן בן ישראל</t>
  </si>
  <si>
    <t>גדולת שאול - 2 כר'</t>
  </si>
  <si>
    <t>אדלמאן, צבי הירש בן מרדכי</t>
  </si>
  <si>
    <t>גדולתך אספר</t>
  </si>
  <si>
    <t>גדי מקולס</t>
  </si>
  <si>
    <t>משה אברהם בן יעקב</t>
  </si>
  <si>
    <t>גדלו לה' אתי</t>
  </si>
  <si>
    <t>גדלות האדם</t>
  </si>
  <si>
    <t>גדלות האדם - 2 כר'</t>
  </si>
  <si>
    <t>גדלות הקדמונים</t>
  </si>
  <si>
    <t>גדלות - 2 כר'</t>
  </si>
  <si>
    <t>גדלת מרדכי - הספדים</t>
  </si>
  <si>
    <t>אליהו, מרדכי בן סלמאן (עליו)</t>
  </si>
  <si>
    <t>גדלת מרדכי - 5 כר'</t>
  </si>
  <si>
    <t>לאנדא, מרדכי בן יוסף דוד</t>
  </si>
  <si>
    <t>גדר עולם - 4 כר'</t>
  </si>
  <si>
    <t>גדרות מים</t>
  </si>
  <si>
    <t>יאקאב, מנחם</t>
  </si>
  <si>
    <t>גדרי המועדים</t>
  </si>
  <si>
    <t>הרשקוביץ, שמחה בונם בן אברהם דוד</t>
  </si>
  <si>
    <t>גדרי השבת</t>
  </si>
  <si>
    <t>הרשקוביץ, שמחה בונם בן דוד אברהם</t>
  </si>
  <si>
    <t>גדרי חצי שיעור</t>
  </si>
  <si>
    <t>טכורש, כתריאל פישל</t>
  </si>
  <si>
    <t>גדרי יחוד</t>
  </si>
  <si>
    <t>מושיאב, רחמים</t>
  </si>
  <si>
    <t>גדרי משפט</t>
  </si>
  <si>
    <t>גרוזמן, דוד בן מאיר צבי</t>
  </si>
  <si>
    <t>גואלי חי</t>
  </si>
  <si>
    <t>חדאד, יעקב</t>
  </si>
  <si>
    <t>גואלנו ה'</t>
  </si>
  <si>
    <t>גוטפרב, מנחם בן ציון</t>
  </si>
  <si>
    <t>גודל חיוב לימוד ספרי יראה</t>
  </si>
  <si>
    <t>זאהן, שלום שכנא בן חיים יצחק יעקב</t>
  </si>
  <si>
    <t>גודל תלפיות</t>
  </si>
  <si>
    <t>תיקונים. ל"ג בעומר. תרס"ג. ירושלים</t>
  </si>
  <si>
    <t>גוילי אפרים</t>
  </si>
  <si>
    <t>שטיין, אפרים פישל בן חיים אריה</t>
  </si>
  <si>
    <t>גוילי אש</t>
  </si>
  <si>
    <t>גדולי וקדושי ישיבות נובהרדוק</t>
  </si>
  <si>
    <t>גוילי קודש</t>
  </si>
  <si>
    <t>הלברשטאם, יקותיאל יהודה בן צבי הירש - קליין, מנשה בן אליעזר זאב</t>
  </si>
  <si>
    <t>גוילין ניצולין</t>
  </si>
  <si>
    <t>שניידמן, יעקב בן שמואל</t>
  </si>
  <si>
    <t>גויעת ארי</t>
  </si>
  <si>
    <t>Krakau</t>
  </si>
  <si>
    <t>גויעת שמואל</t>
  </si>
  <si>
    <t>מייזליס, שמואל בן משה</t>
  </si>
  <si>
    <t>גולל אור</t>
  </si>
  <si>
    <t>ביקייאם, מאיר בן חליפה</t>
  </si>
  <si>
    <t>גולת כלב</t>
  </si>
  <si>
    <t>זיו, כלב מאיר בן שמואל יחיאל</t>
  </si>
  <si>
    <t>דרושים, שאלות ותשובות, תלמוד בבלי</t>
  </si>
  <si>
    <t>גולת תחתיות</t>
  </si>
  <si>
    <t>גוף ונשמה</t>
  </si>
  <si>
    <t>מחשבה ומוסר, נושאים שונים, שונות</t>
  </si>
  <si>
    <t>גוף נפש ונשמה</t>
  </si>
  <si>
    <t>גופו של גט - 2 כר'</t>
  </si>
  <si>
    <t>בורשטיין, דוב</t>
  </si>
  <si>
    <t>גופי הלכות &lt;מהדורה חדשה&gt;</t>
  </si>
  <si>
    <t>אלגאזי, שלמה בן אברהם</t>
  </si>
  <si>
    <t>גופי הלכות</t>
  </si>
  <si>
    <t>גופי הלכות - 2 כר'</t>
  </si>
  <si>
    <t>ולהנדלר, יהושע העשל</t>
  </si>
  <si>
    <t>נייו יורק</t>
  </si>
  <si>
    <t>יעקב בן פינחס</t>
  </si>
  <si>
    <t>גופי הלכות - קנים</t>
  </si>
  <si>
    <t>כהן, רחמים בן מרדכי</t>
  </si>
  <si>
    <t>קראמר, כתריאל צבי הירש בן שלמה</t>
  </si>
  <si>
    <t>גור אריה  &lt;עה"ת&gt; - 5 כר'</t>
  </si>
  <si>
    <t>גור אריה יהודא - 2 כר'</t>
  </si>
  <si>
    <t>גור אריה יהודה</t>
  </si>
  <si>
    <t>היימן, משה</t>
  </si>
  <si>
    <t>גור אריה יהודה - 3 כר'</t>
  </si>
  <si>
    <t>זמבא, משה יהודה אריה ליב בן מנחם</t>
  </si>
  <si>
    <t>דרושים, הלכה ומנהג, שאלות ותשובות, תלמוד בבלי</t>
  </si>
  <si>
    <t>גור אריה</t>
  </si>
  <si>
    <t>יהודה אריה ליב בן דוד מקאליש</t>
  </si>
  <si>
    <t>גור אריה  - שבת, עירובין, פסחים</t>
  </si>
  <si>
    <t>צ'רמון, מסעוד בן יהודה</t>
  </si>
  <si>
    <t>הלכה ומנהג, משנה, תלמוד בבלי, תלמוד בבלי</t>
  </si>
  <si>
    <t>גור אריה - 2 כר'</t>
  </si>
  <si>
    <t>Cleveland קליבלנד</t>
  </si>
  <si>
    <t>גור אריה, משמרת הקודש - קידושין</t>
  </si>
  <si>
    <t>צינץ, אריה ליב בן משה - שולמאן, שמריהו בן פנחס אליהו</t>
  </si>
  <si>
    <t>גורל גדליהו</t>
  </si>
  <si>
    <t>קאבצקי, יחיאל גדליהו בן יעקב יהודה</t>
  </si>
  <si>
    <t>גורל יהושע</t>
  </si>
  <si>
    <t>יהושע פאלק בן יהודה ליב</t>
  </si>
  <si>
    <t>גורל לה'</t>
  </si>
  <si>
    <t>אלקלעי, יהודה בן שלמה חי</t>
  </si>
  <si>
    <t>גורמי היסורים</t>
  </si>
  <si>
    <t>גורן אטד</t>
  </si>
  <si>
    <t>לאנדא, אברהם יוסף שמואל בן ישראל יונה ה</t>
  </si>
  <si>
    <t>גורן דוד - 2 כר'</t>
  </si>
  <si>
    <t>דייטש, אהרן דוד בן אברהם אהרן</t>
  </si>
  <si>
    <t>גורן האטד - &lt;אודות הגר"א גנחובסקי&gt;</t>
  </si>
  <si>
    <t>אלטמן, שמשון</t>
  </si>
  <si>
    <t>גורן נכון - 2 כר'</t>
  </si>
  <si>
    <t>שכ"ב</t>
  </si>
  <si>
    <t>ריוה דטרנטו Riva</t>
  </si>
  <si>
    <t>גושפנקא דמלכא</t>
  </si>
  <si>
    <t>קארסינטי, פארוז</t>
  </si>
  <si>
    <t>גז צאנך - מתנת חלקו</t>
  </si>
  <si>
    <t>רוזנר, משה מנחם בן ישעיהו</t>
  </si>
  <si>
    <t>גזירות אשכנז וצרפת</t>
  </si>
  <si>
    <t>האברמאן, אברהם מאיר בן אורי פייבל</t>
  </si>
  <si>
    <t>גזירות ת"ח ות"ט</t>
  </si>
  <si>
    <t>גזירת איסטרייך וק"ק ווינה</t>
  </si>
  <si>
    <t>גזירה ממדינת אוסטרייך</t>
  </si>
  <si>
    <t>גזע ישי</t>
  </si>
  <si>
    <t>גזע ישישים</t>
  </si>
  <si>
    <t>קרינסקי, חיים בן אליהו</t>
  </si>
  <si>
    <t>גזע קודש</t>
  </si>
  <si>
    <t>גזע תרשישים</t>
  </si>
  <si>
    <t>שוורדשארף, משה יעקב בן דוד טבל</t>
  </si>
  <si>
    <t>גזרות ת"ח-ת"ט</t>
  </si>
  <si>
    <t>הנדל, מיכאל</t>
  </si>
  <si>
    <t>גחלי אש - א ב</t>
  </si>
  <si>
    <t>וואלפיש, ירוחם יהודה ליב בן אהרן</t>
  </si>
  <si>
    <t>גחלי אש - 2 כר'</t>
  </si>
  <si>
    <t>טייטלבוים, יואל</t>
  </si>
  <si>
    <t>גחלי אש</t>
  </si>
  <si>
    <t>לאזאר, משה</t>
  </si>
  <si>
    <t>שמן, אבישלום</t>
  </si>
  <si>
    <t>גט השמות</t>
  </si>
  <si>
    <t>גט מסודר</t>
  </si>
  <si>
    <t>מינץ, אלעזר בן אריה ליב</t>
  </si>
  <si>
    <t>גט מעושה בערכאות &lt;משנה הלכות&gt;</t>
  </si>
  <si>
    <t>גט מעושה</t>
  </si>
  <si>
    <t>גט מקושר &lt;מהדורה חדשה&gt;</t>
  </si>
  <si>
    <t>אלגאזי, יום טוב בן ישראל יעקב</t>
  </si>
  <si>
    <t>גט מקושר &lt;מהדורת משנת הגט&gt;</t>
  </si>
  <si>
    <t>בולה, רפאל משה בן יוסף</t>
  </si>
  <si>
    <t>גט מקושר וטיב גיטין &lt;מהדורה חדשה&gt; - 2 כר'</t>
  </si>
  <si>
    <t>גט מקושר וטיב גיטין</t>
  </si>
  <si>
    <t>גט מקושר</t>
  </si>
  <si>
    <t>נבון, יונה בן חנון</t>
  </si>
  <si>
    <t>גט פשוט - 3 כר'</t>
  </si>
  <si>
    <t>אבן-חביב, משה בן שלמה</t>
  </si>
  <si>
    <t>גיא חזיון</t>
  </si>
  <si>
    <t>אברהם יגל בן חנניה ממונסליצ'ה</t>
  </si>
  <si>
    <t>אלכסנדריה Alexandri</t>
  </si>
  <si>
    <t>גיא חזיון - 2 כר'</t>
  </si>
  <si>
    <t>תרפ"ח - תר"צ</t>
  </si>
  <si>
    <t>גיא חזיון - בראשית</t>
  </si>
  <si>
    <t>מושקוביץ, חיים שלמה בן צבי הירש</t>
  </si>
  <si>
    <t>פתח תקוה Petah Tikva</t>
  </si>
  <si>
    <t>פנדלר, בן-ציון הכהן</t>
  </si>
  <si>
    <t>גיא ינשא - 2 כר'</t>
  </si>
  <si>
    <t>אילוביץ, גבריאל יהודה</t>
  </si>
  <si>
    <t>גיא מלח</t>
  </si>
  <si>
    <t>אריאל, משה בן פרץ</t>
  </si>
  <si>
    <t>גיבור חיל - 4 כר'</t>
  </si>
  <si>
    <t>קינד, דניאל בן צבי אברהם</t>
  </si>
  <si>
    <t>גיבור כארי</t>
  </si>
  <si>
    <t>גיבורי כח</t>
  </si>
  <si>
    <t>ישיבת ברכת יצחק</t>
  </si>
  <si>
    <t>גידולי אהרן</t>
  </si>
  <si>
    <t>הופמן, אהרן גדליה בן משה צבי</t>
  </si>
  <si>
    <t>גידולי אליהו</t>
  </si>
  <si>
    <t>גידולי הקדש</t>
  </si>
  <si>
    <t>רבינוביץ, גדלי' הלוי</t>
  </si>
  <si>
    <t>גידולי הקדש - 2 כר'</t>
  </si>
  <si>
    <t>רבינוביץ, גדליה בן משה אליעזר</t>
  </si>
  <si>
    <t>גידולי חדש</t>
  </si>
  <si>
    <t>שטרן, שמואל אליעזר</t>
  </si>
  <si>
    <t>גידולי טהרה</t>
  </si>
  <si>
    <t>קארגויא, מנחם מענדל</t>
  </si>
  <si>
    <t>גידולי משה</t>
  </si>
  <si>
    <t>גלינסקי, גדליה משה</t>
  </si>
  <si>
    <t>גידולי שלום - יבמות</t>
  </si>
  <si>
    <t>מרצבך, שלום</t>
  </si>
  <si>
    <t>גידולי שמואל &lt;מהדורה חדשה&gt; - 5 כר'</t>
  </si>
  <si>
    <t>ניימן, שמואל גדליה בן יוסף</t>
  </si>
  <si>
    <t>גידולי שמואל &lt;מהדרוה חדשה&gt; - ב"ק</t>
  </si>
  <si>
    <t>גיזת הזהב של מחקר הגויות</t>
  </si>
  <si>
    <t>ועדה ציבורית להגנת כבוד האדם</t>
  </si>
  <si>
    <t>גייסטיקע שטראלן</t>
  </si>
  <si>
    <t>גיל אהרן &lt;נקי כפים ובר מצוה&gt;</t>
  </si>
  <si>
    <t>אוסף דרשות לבר מצוה</t>
  </si>
  <si>
    <t>גילה ורנה</t>
  </si>
  <si>
    <t>חדאד, אפרים (עורך)</t>
  </si>
  <si>
    <t>גילו ברעדה</t>
  </si>
  <si>
    <t>גילוי אליהו</t>
  </si>
  <si>
    <t>גילוי האור הגנוז לישראל - ה</t>
  </si>
  <si>
    <t>כלפוןף יהודה</t>
  </si>
  <si>
    <t>גילויי רזי התקופה בתורה</t>
  </si>
  <si>
    <t>גילת הזהב</t>
  </si>
  <si>
    <t>שוטלאנד, חיים צבי הירש בן יהודה</t>
  </si>
  <si>
    <t>גילת מאיר</t>
  </si>
  <si>
    <t>קובנר, אליהו מאיר בן יוסף שמעון</t>
  </si>
  <si>
    <t>מחשבה ומוסר, נושאים שונים, תולדות עם ישראל, תנ"ך</t>
  </si>
  <si>
    <t>גילת שלום</t>
  </si>
  <si>
    <t>הוכמאן, אברהם שלום בן משה יצחק</t>
  </si>
  <si>
    <t>גימטריא ונוטריקון</t>
  </si>
  <si>
    <t>זאלב, צבי חיים בן יצחק דוד</t>
  </si>
  <si>
    <t>גימטריא</t>
  </si>
  <si>
    <t>אורבך, יעקב - וכסלר, טוביה</t>
  </si>
  <si>
    <t>גימטריאות הדר התורה</t>
  </si>
  <si>
    <t>גימטריאות פרפראות לחכמה</t>
  </si>
  <si>
    <t>שווארץ, מאיר בן אהרן</t>
  </si>
  <si>
    <t>גימטריאות</t>
  </si>
  <si>
    <t>שלמה בן יהודה לייבוש מלובלין</t>
  </si>
  <si>
    <t>גינת אגוז - 5 כר'</t>
  </si>
  <si>
    <t>גינת אגוז - 2 כר'</t>
  </si>
  <si>
    <t>לוי, חגי בן חנניה</t>
  </si>
  <si>
    <t>גינת אגוז</t>
  </si>
  <si>
    <t>פויפר, שמואל בן אליהו</t>
  </si>
  <si>
    <t>גינת וורדים</t>
  </si>
  <si>
    <t>גינת ורדים - 4 כר'</t>
  </si>
  <si>
    <t>אברהם בן מרדכי הלוי</t>
  </si>
  <si>
    <t>גינת ורדים - 22 כר'</t>
  </si>
  <si>
    <t>תלמידי וחסידי סאטמאר</t>
  </si>
  <si>
    <t>גינת נוי</t>
  </si>
  <si>
    <t>ג'אן, ג'ינו בן משה</t>
  </si>
  <si>
    <t>דרושים, מועדי ישראל, נושאים שונים, תנ"ך, תפלות בקשות פיוטים ושירה</t>
  </si>
  <si>
    <t>גינת ראובן - 41 כר'</t>
  </si>
  <si>
    <t>גירוש יהודים מבתיהם בארץ ישראל</t>
  </si>
  <si>
    <t>גירושי שוטה</t>
  </si>
  <si>
    <t>פרי, אברהם</t>
  </si>
  <si>
    <t>גירות כהלכתה</t>
  </si>
  <si>
    <t>גירי דיליה - ב"ב</t>
  </si>
  <si>
    <t>גירסא דינוקא אלימלך</t>
  </si>
  <si>
    <t>אלימלך בן יעקב יהודה ליב</t>
  </si>
  <si>
    <t>גירסא דינקותא</t>
  </si>
  <si>
    <t>בית הספר בן איש חיל</t>
  </si>
  <si>
    <t>שליסל, נתן נטע שלמה בן דוד</t>
  </si>
  <si>
    <t>גל נעול</t>
  </si>
  <si>
    <t>גל עיני</t>
  </si>
  <si>
    <t>גל עיני - נדה</t>
  </si>
  <si>
    <t>דניאל, יוסף בן אברהם</t>
  </si>
  <si>
    <t>גל עיני - 2 כר'</t>
  </si>
  <si>
    <t>תשובה, אברהם</t>
  </si>
  <si>
    <t>גל של אגוזים</t>
  </si>
  <si>
    <t>אגוזי, מנחם בן משה</t>
  </si>
  <si>
    <t>גלאט - 26 כר'</t>
  </si>
  <si>
    <t>שארית ישראל</t>
  </si>
  <si>
    <t>גלגולי הנשמות - גלגל צדק</t>
  </si>
  <si>
    <t>יחזקאל, אליהו - טהרני, אבישי בן יצחק</t>
  </si>
  <si>
    <t>גלגולי נשמות &lt;מהדורה חדשה&gt;</t>
  </si>
  <si>
    <t>גלגולי נשמות - 3 כר'</t>
  </si>
  <si>
    <t>תמ"ח</t>
  </si>
  <si>
    <t>גלגל המזלות</t>
  </si>
  <si>
    <t>מזרחי, מרדכי</t>
  </si>
  <si>
    <t>גלגל העין - שמירת העיניים</t>
  </si>
  <si>
    <t>נהרי, עמרם בן אריה הלוי</t>
  </si>
  <si>
    <t>גלגלי המרכבה</t>
  </si>
  <si>
    <t>יאירוף, יהודה</t>
  </si>
  <si>
    <t>גלה כבוד מישראל</t>
  </si>
  <si>
    <t>על פטירת אדמו"ר מרחמיסטריווקא</t>
  </si>
  <si>
    <t>על פטירת הגרי"י פישר</t>
  </si>
  <si>
    <t>גלויות ישראל</t>
  </si>
  <si>
    <t>בצרי, שלמה בן דוד שלום</t>
  </si>
  <si>
    <t>גלויות סנהדרין</t>
  </si>
  <si>
    <t>קניג, מנשה בן חיים</t>
  </si>
  <si>
    <t>גלות השכינה</t>
  </si>
  <si>
    <t>גלות וגאולה</t>
  </si>
  <si>
    <t>הורוויץ, אברהם בן פינחס הלוי</t>
  </si>
  <si>
    <t>גלות יהודה</t>
  </si>
  <si>
    <t>ת</t>
  </si>
  <si>
    <t>פאדואה</t>
  </si>
  <si>
    <t>גלות ישמעאל</t>
  </si>
  <si>
    <t>גלות עליות &lt;מהדורה חדשה&gt;</t>
  </si>
  <si>
    <t>ליפשיץ, דב בער בן שמעון</t>
  </si>
  <si>
    <t>גלות עליות</t>
  </si>
  <si>
    <t>משנה, שאלות ותשובות, שאר ספרי חז"ל</t>
  </si>
  <si>
    <t>גלי הים - קידושין</t>
  </si>
  <si>
    <t>גלי הים - א</t>
  </si>
  <si>
    <t>הלל, יעקב בן  משה</t>
  </si>
  <si>
    <t>גלי הים</t>
  </si>
  <si>
    <t>גלי הים - 38 כר'</t>
  </si>
  <si>
    <t>מאיה, יצחק בן משה</t>
  </si>
  <si>
    <t>גלי הים - תורה</t>
  </si>
  <si>
    <t>שמידט, יהודה נפתלי</t>
  </si>
  <si>
    <t>גלי ים</t>
  </si>
  <si>
    <t>רבינוביץ, יחיאל מיכל בן ישעיה</t>
  </si>
  <si>
    <t>גלי עמיקתא</t>
  </si>
  <si>
    <t>גליא מסכת - 2 כר'</t>
  </si>
  <si>
    <t>דוד בן משה מנובהרדוק</t>
  </si>
  <si>
    <t>גליא רזא - 2 כר'</t>
  </si>
  <si>
    <t>גליא רזא</t>
  </si>
  <si>
    <t>מוהילב על נהר דנייסט</t>
  </si>
  <si>
    <t>גליון אוצר הלכות - ראש השנה</t>
  </si>
  <si>
    <t>מרמושטיין, אלטר אליהו</t>
  </si>
  <si>
    <t>גליון אוצר הפוסקים - 1-13</t>
  </si>
  <si>
    <t>גליון אר"ץ זבת חל'ב - 9-14</t>
  </si>
  <si>
    <t>עדס, אברהם בן עזרא</t>
  </si>
  <si>
    <t>גליון ארי</t>
  </si>
  <si>
    <t>רלב"ג, אריה ליב</t>
  </si>
  <si>
    <t>גליון ביאור פרשת התמיד</t>
  </si>
  <si>
    <t>גליון בעניני הלכות עירובין ואימוץ ילדים</t>
  </si>
  <si>
    <t>גליון הוגי תורה - 2 כר'</t>
  </si>
  <si>
    <t>חברת הוגי תורה ישכר באהלך דחסידי בעלזא מכונבקא</t>
  </si>
  <si>
    <t>תשע"ב - תשע"ג</t>
  </si>
  <si>
    <t>גליון הירושלמי מהגאון רעק"א</t>
  </si>
  <si>
    <t>גליון הש"ס המבואר - ברכות</t>
  </si>
  <si>
    <t>פלברבוים, נחמן אפרים מנשה בן אברהם מרדכי</t>
  </si>
  <si>
    <t>גליון התוספות - שבת</t>
  </si>
  <si>
    <t>גליון התוספות</t>
  </si>
  <si>
    <t>גליון מהרי"ל</t>
  </si>
  <si>
    <t>עליון, יקותיאל ליב בן יעקב</t>
  </si>
  <si>
    <t>הלכה ומנהג, משנה, משנה</t>
  </si>
  <si>
    <t>גליון מהרש"א - 2 כר'</t>
  </si>
  <si>
    <t>איגר, שלמה</t>
  </si>
  <si>
    <t>גליון רבינו ישראל מברונא</t>
  </si>
  <si>
    <t>ישראל בן חיים מברונא</t>
  </si>
  <si>
    <t>גליון רגלי מבשר</t>
  </si>
  <si>
    <t>גליון שו"ת יגדיל תורה - 2 כר'</t>
  </si>
  <si>
    <t>גליון תוספות טוך - 3 כר'</t>
  </si>
  <si>
    <t>אליעזר בן שלמה מטוך</t>
  </si>
  <si>
    <t>גליון תורת הקרבנות - 58 כר'</t>
  </si>
  <si>
    <t>גליונות אבני נזר על הרמב"ם</t>
  </si>
  <si>
    <t>גליונות אמור ואמרת - הלכות טהרת כהנים</t>
  </si>
  <si>
    <t>מכון תורת הטהרה</t>
  </si>
  <si>
    <t>גליונות ברוך טעם - 2 כר'</t>
  </si>
  <si>
    <t>גליונות דרך ה' - 2 כר'</t>
  </si>
  <si>
    <t>תשס"ד - תש"ע</t>
  </si>
  <si>
    <t>גליונות זרע שמשון</t>
  </si>
  <si>
    <t>נחמני, שמשון חיים בן נחמן מיכאל</t>
  </si>
  <si>
    <t>גליונות חיים טובים - 2 כר'</t>
  </si>
  <si>
    <t>גליונות לשם שבו ואחלמה</t>
  </si>
  <si>
    <t>אלישוב, שלמה בן חיים חייקל</t>
  </si>
  <si>
    <t>גליונות מהרש"ם</t>
  </si>
  <si>
    <t>שוואדרון, שלום מרדכי בן משה הכהן</t>
  </si>
  <si>
    <t>דרושים, דרושים, נושאים שונים, נושאים שונים</t>
  </si>
  <si>
    <t>גליונות מוהר"י - 2 כר'</t>
  </si>
  <si>
    <t>הורוויץ, יהודה</t>
  </si>
  <si>
    <t>גליונות מסכת פורים</t>
  </si>
  <si>
    <t>גליונות מרכז ההוראה - א-יב</t>
  </si>
  <si>
    <t>תשע"ו-תשע"ח</t>
  </si>
  <si>
    <t>גליונות משמרת איתמר - 2 כר'</t>
  </si>
  <si>
    <t>משמרת איתמר נדבורנה</t>
  </si>
  <si>
    <t>גליונות נפלאות שמשון - 2 כר'</t>
  </si>
  <si>
    <t>גליונות נפש החיים - 2 כר'</t>
  </si>
  <si>
    <t>גליונות</t>
  </si>
  <si>
    <t>גליונות עומק הפשט - 6 כר'</t>
  </si>
  <si>
    <t>גליונות עזר לשיעורים בנביא - ירמיהו</t>
  </si>
  <si>
    <t>לוי, יצחק בן יעקב</t>
  </si>
  <si>
    <t>גליונות עזר לשיעורים בנביא - 3 כר'</t>
  </si>
  <si>
    <t>לוי, יצחק</t>
  </si>
  <si>
    <t>גליונות צוף התורה - 2 כר'</t>
  </si>
  <si>
    <t>לסר, נועם</t>
  </si>
  <si>
    <t>גליונות קהלות יעקב על הש"ס</t>
  </si>
  <si>
    <t>משנה, משנה, תלמוד בבלי, תלמוד בבלי, תלמוד ירושלמי</t>
  </si>
  <si>
    <t>גליונות רבי עקיבא איגר על אליה רבא</t>
  </si>
  <si>
    <t>גליונות שמעתא עמיקתא</t>
  </si>
  <si>
    <t>גליוני אפרים - 2 כר'</t>
  </si>
  <si>
    <t>גליוני הגר"ש - 2 כר'</t>
  </si>
  <si>
    <t>שולזינגר, שמואל בן יצחק הלוי</t>
  </si>
  <si>
    <t>גליוני הוראה כהלכה</t>
  </si>
  <si>
    <t>מכון הוראה כהלכה</t>
  </si>
  <si>
    <t>גליוני הפלתי</t>
  </si>
  <si>
    <t>פרנקל תאומים, ברוך</t>
  </si>
  <si>
    <t>גליוני הש"ס - 2 כר'</t>
  </si>
  <si>
    <t>משנה, תלמוד בבלי, תלמוד ירושלמי</t>
  </si>
  <si>
    <t>גליוני יואל</t>
  </si>
  <si>
    <t>תולדות עם ישראל, תלמוד בבלי, תלמוד ירושלמי</t>
  </si>
  <si>
    <t>גליוני ישרון</t>
  </si>
  <si>
    <t>פלדר, גדליה בן צבי</t>
  </si>
  <si>
    <t>טורונטו Toronto</t>
  </si>
  <si>
    <t>הלכה ומנהג, משנה, נושאים שונים, תלמוד בבלי, תלמוד בבלי, תלמוד בבלי, תלמוד ירושלמי, תלמוד ירושלמי</t>
  </si>
  <si>
    <t>גליוני מהר"י על חתם סופר עה"ת</t>
  </si>
  <si>
    <t>גליוני מהר"י</t>
  </si>
  <si>
    <t>גליוני מוהר"י - ס"ת</t>
  </si>
  <si>
    <t>גליוני מנחת חן - 4 כר'</t>
  </si>
  <si>
    <t>אהלבוים, נח אייזיק</t>
  </si>
  <si>
    <t>גליוני קדש</t>
  </si>
  <si>
    <t>אביגדור, משה יצחק בן שמואל</t>
  </si>
  <si>
    <t>דרושים, הלכה ומנהג, משנה, נושאים שונים, שאר ספרי חז"ל, שלחן ערוך ומפרשיו, תלמוד בבלי, תלמוד ירושלמי, תנ"ך</t>
  </si>
  <si>
    <t>גליוני שיעורים - 2 כר'</t>
  </si>
  <si>
    <t>גלילות חן</t>
  </si>
  <si>
    <t>גלילי זהב</t>
  </si>
  <si>
    <t>גלילי זהב - 2 כר'</t>
  </si>
  <si>
    <t>מושקוביץ, דוד בן אברהם יצחק</t>
  </si>
  <si>
    <t>גלילי כסף</t>
  </si>
  <si>
    <t>גרייבר, יוסף בן צבי הירש</t>
  </si>
  <si>
    <t>הלכה ומנהג, מחשבה ומוסר, נושאים שונים, תלמוד בבלי</t>
  </si>
  <si>
    <t>גליקל האמעל</t>
  </si>
  <si>
    <t>האמל, גליקל בת ליב פינקרלה</t>
  </si>
  <si>
    <t>גלת חן</t>
  </si>
  <si>
    <t>גלת מים</t>
  </si>
  <si>
    <t>רובינשטיין, אהרון בן משה</t>
  </si>
  <si>
    <t>גלת - ז</t>
  </si>
  <si>
    <t>בית ועד לתורה הר חברון</t>
  </si>
  <si>
    <t>עתניאל</t>
  </si>
  <si>
    <t>גם אלה דברי דוד</t>
  </si>
  <si>
    <t>קאצנלנבוגן, דוד טביל בן נפתלי הירץ</t>
  </si>
  <si>
    <t>גם אני אודך - 99 כר'</t>
  </si>
  <si>
    <t>גם זו לטובה</t>
  </si>
  <si>
    <t>מוסקוב, ירחמיאל עמנואל הכהן</t>
  </si>
  <si>
    <t>פלדמן, בן ציון בן מאיר</t>
  </si>
  <si>
    <t>גם זו לטובה - כבוד חכמים</t>
  </si>
  <si>
    <t>גמול עתליה</t>
  </si>
  <si>
    <t>פראנקו-מנדס, דוד בן אברהם</t>
  </si>
  <si>
    <t>גמרא בקלות - 18 כר'</t>
  </si>
  <si>
    <t>גמרא ברורה - פרק השואל</t>
  </si>
  <si>
    <t>קדוש, אוריאל בן סלומון</t>
  </si>
  <si>
    <t>גמרא למתחילים</t>
  </si>
  <si>
    <t>גולדמאן, יעקב בן מרדכי</t>
  </si>
  <si>
    <t>גמרא נוחה - 37 כר'</t>
  </si>
  <si>
    <t>הולנדר, ישעיהו בן נפתלי</t>
  </si>
  <si>
    <t>גמרא סדורה &lt;ירושלמי&gt; - שקלים</t>
  </si>
  <si>
    <t>ויינט, דניאל ברק</t>
  </si>
  <si>
    <t>הר חברון</t>
  </si>
  <si>
    <t>גמרא שלמה מסכת פסחים - 2 כר'</t>
  </si>
  <si>
    <t>נאה, ברוך בן אברהם חיים</t>
  </si>
  <si>
    <t>תש"כ - תשמ"ו</t>
  </si>
  <si>
    <t>גן ברכות - ברכות</t>
  </si>
  <si>
    <t>אטיאס, אליהו בן מכלוף</t>
  </si>
  <si>
    <t>גן בשמים &lt;על שיר השירים&gt;</t>
  </si>
  <si>
    <t>יאנובסקי, שלמה בן חיים חייקל</t>
  </si>
  <si>
    <t>גן דוד</t>
  </si>
  <si>
    <t>גן הדסים</t>
  </si>
  <si>
    <t>גימאן, אלעזר דוב בן אהרן</t>
  </si>
  <si>
    <t>גן המלך &lt;שער הגן&gt;</t>
  </si>
  <si>
    <t>אברהם בן מרדכי הלוי - ברדא, דוד בן ישראל</t>
  </si>
  <si>
    <t>גן המלך &lt;מהדורת ישמח לב&gt;</t>
  </si>
  <si>
    <t>גן המשלים והחידות - 3 כר'</t>
  </si>
  <si>
    <t>אבולעפיה, טודרוס בן יהודה הלוי</t>
  </si>
  <si>
    <t>תרצ"ב-תרצ"ז</t>
  </si>
  <si>
    <t>גן הנשמות</t>
  </si>
  <si>
    <t>גרינבוים, אברהם</t>
  </si>
  <si>
    <t>גן השכלים &lt;בסתאן אלעקול&gt; - 2 כר'</t>
  </si>
  <si>
    <t>נתנאל בן פיומי</t>
  </si>
  <si>
    <t>גן ורדים</t>
  </si>
  <si>
    <t>ספריית חב"ד, קבצים וכתבי עת, ספרי זכרון ויובל</t>
  </si>
  <si>
    <t>גן חיים</t>
  </si>
  <si>
    <t>הילף, משה שמואל בן הילל</t>
  </si>
  <si>
    <t>קליין, משה ברוך בן אפרים מאיר</t>
  </si>
  <si>
    <t>תרצ"א - תרצ"ב</t>
  </si>
  <si>
    <t>גן יה</t>
  </si>
  <si>
    <t>חיים מווידז</t>
  </si>
  <si>
    <t>גן יוסף עדן דוד</t>
  </si>
  <si>
    <t>פראגר, יוסף חיים בן אברהם יהודה ליב</t>
  </si>
  <si>
    <t>גן יוסף - פרי יוסף - לקט יוסף</t>
  </si>
  <si>
    <t>פאצאנובסקי, יוסף בן משה יהודה</t>
  </si>
  <si>
    <t>גן יעקב</t>
  </si>
  <si>
    <t>גדישא, יעקב הכהן</t>
  </si>
  <si>
    <t>[תרע"ב,</t>
  </si>
  <si>
    <t>גרבה,</t>
  </si>
  <si>
    <t>גן יצחק</t>
  </si>
  <si>
    <t>גרויז, מנחם נחום יצחק</t>
  </si>
  <si>
    <t>גן ירושלים - 2 כר'</t>
  </si>
  <si>
    <t>באדהב, יצחק בן מיכאל</t>
  </si>
  <si>
    <t>גן ירושלם - 2 כר'</t>
  </si>
  <si>
    <t>גן ישראל</t>
  </si>
  <si>
    <t>גן מלכים</t>
  </si>
  <si>
    <t>גן נאה - 2 כר'</t>
  </si>
  <si>
    <t>שטרן, אלעזר בן מאיר זאב</t>
  </si>
  <si>
    <t>גן נטע</t>
  </si>
  <si>
    <t>איגר, נתן נטע בן אברהם</t>
  </si>
  <si>
    <t>תנ"ה או תס"ה</t>
  </si>
  <si>
    <t>גן נעול</t>
  </si>
  <si>
    <t>גן נעול - 4 כר'</t>
  </si>
  <si>
    <t>ווען, חיים מנחם בן יהודה ליב</t>
  </si>
  <si>
    <t>חסיד, יצחק בן חננאל הכהן</t>
  </si>
  <si>
    <t>לווינסון, אשר ניסן בן יהודה ליב</t>
  </si>
  <si>
    <t>לוי, יעקב בן יוסף</t>
  </si>
  <si>
    <t>גן עדן וגיהנום</t>
  </si>
  <si>
    <t>גן צבי</t>
  </si>
  <si>
    <t>חפץ, נפתלי צבי בן ישראל</t>
  </si>
  <si>
    <t>גן רוה</t>
  </si>
  <si>
    <t>אדימאשיק, יהודה ליבוש בן משה הכהן</t>
  </si>
  <si>
    <t>ערזאהן, חנוך העניך</t>
  </si>
  <si>
    <t>גן שושנים - 3 כר'</t>
  </si>
  <si>
    <t>גנק (גניחובסקי), מנחם דוב בן חיים יצחק</t>
  </si>
  <si>
    <t>גן שמואל</t>
  </si>
  <si>
    <t>ניימאן, שמואל גדליה בן יוסף</t>
  </si>
  <si>
    <t>גן שמואל - 2 כר'</t>
  </si>
  <si>
    <t>שטראוס, שמואל אליעזר בן יהודה ליב</t>
  </si>
  <si>
    <t>גנא דפלפלי</t>
  </si>
  <si>
    <t>גנוזות הפרשה</t>
  </si>
  <si>
    <t>דבורקס, אליקים בן ישעיהו אריה לייב</t>
  </si>
  <si>
    <t>גנוזות ותשובות מחכמי תימן</t>
  </si>
  <si>
    <t>חכמי תימן</t>
  </si>
  <si>
    <t>גנוזות ספרים</t>
  </si>
  <si>
    <t>מהלמן, ישראל</t>
  </si>
  <si>
    <t>גנוזות קדמונים - 2 כר'</t>
  </si>
  <si>
    <t>גנוזות - 3 כר'</t>
  </si>
  <si>
    <t>הרשלר, משה</t>
  </si>
  <si>
    <t>גנון והציל - 2 כר'</t>
  </si>
  <si>
    <t>מוינשטר, משה אברהם בן מנחם</t>
  </si>
  <si>
    <t>תרצ"ד - תרצ"ז</t>
  </si>
  <si>
    <t>גנזי אבות - ישועות מלכו, נפש חיה</t>
  </si>
  <si>
    <t>טרונק, ישראל יהושע, וואקס, חיים אלעזר</t>
  </si>
  <si>
    <t>גנזי אברהם</t>
  </si>
  <si>
    <t>פרנקל, אברהם חיים</t>
  </si>
  <si>
    <t>גנזי אור</t>
  </si>
  <si>
    <t>גנזי אלימלך</t>
  </si>
  <si>
    <t>גנזי אקספרד</t>
  </si>
  <si>
    <t>תר"י-תרי"א</t>
  </si>
  <si>
    <t>גנזי ארמוני</t>
  </si>
  <si>
    <t>גנזי ברכה</t>
  </si>
  <si>
    <t>בוכבזה, יצחק חי</t>
  </si>
  <si>
    <t>כהן, מאיר בן משה</t>
  </si>
  <si>
    <t>גנזי בשמים - 2 כר'</t>
  </si>
  <si>
    <t>פרבר, שמעון בן מנחם מנדל</t>
  </si>
  <si>
    <t>גנזי הגאונים - 2 כר'</t>
  </si>
  <si>
    <t>כהן, יקותיאל בן דב (עורך)</t>
  </si>
  <si>
    <t>גנזי היר"א - א</t>
  </si>
  <si>
    <t>אבולעפיא, ידידיה רפאל חי</t>
  </si>
  <si>
    <t>גנזי המלך - 4 כר'</t>
  </si>
  <si>
    <t>גנזי המלך&lt;המבואר&gt;</t>
  </si>
  <si>
    <t>גנזי המלך</t>
  </si>
  <si>
    <t>לסרי, שמעון</t>
  </si>
  <si>
    <t>גנזי הספרי</t>
  </si>
  <si>
    <t>זולטי, יעקב בצלאל</t>
  </si>
  <si>
    <t>גנזי הקודש</t>
  </si>
  <si>
    <t>גנזי הרב פירירה - א</t>
  </si>
  <si>
    <t>גנזי חיים - 2 כר'</t>
  </si>
  <si>
    <t>אשכנזי, חיים בן דוד</t>
  </si>
  <si>
    <t>גנזי חיים</t>
  </si>
  <si>
    <t>גנזי יבמות, נדרים</t>
  </si>
  <si>
    <t>זעלצער, יואל</t>
  </si>
  <si>
    <t>גנזי יהודה</t>
  </si>
  <si>
    <t>קאסוויץ, יהודה ליב</t>
  </si>
  <si>
    <t>הלכה ומנהג, מועדי ישראל, נושאים שונים, שאלות ותשובות, תלמוד בבלי</t>
  </si>
  <si>
    <t>גנזי יוסף &lt;על פתיחה כוללת לפמ"ג&gt;</t>
  </si>
  <si>
    <t>אפשטיין, יוסף אלטר בן מרדכי - תאומים, יוסף בן מאיר</t>
  </si>
  <si>
    <t>גנזי יוסף</t>
  </si>
  <si>
    <t>אפשטיין, יוסף אלטר בן מרדכי</t>
  </si>
  <si>
    <t>גנזי יוסף - 3 כר'</t>
  </si>
  <si>
    <t>בלוך, יוסף בן אברהם</t>
  </si>
  <si>
    <t>גנזי יוסף - 2 כר'</t>
  </si>
  <si>
    <t>שיינברגר, יוסף</t>
  </si>
  <si>
    <t>גנזי ירושלים - 2 כר'</t>
  </si>
  <si>
    <t>וורטהיימר, שלמה אהרן - וורטהיימר, אברהם יוסף (מהדירים)</t>
  </si>
  <si>
    <t>גנזי ירושלים - &lt;מהדורה ישנה&gt;</t>
  </si>
  <si>
    <t>גנזי ישראל בס"ט פיטורבורג - 2 כר'</t>
  </si>
  <si>
    <t>גורלאנד, חיים יונה בן יצחק אליהו</t>
  </si>
  <si>
    <t>תרכ"ו - תרכ"ח</t>
  </si>
  <si>
    <t>גנזי ישראל</t>
  </si>
  <si>
    <t>יודלוב, יצחק בן זאב דוד</t>
  </si>
  <si>
    <t>גנזי ישראל - 7 כר'</t>
  </si>
  <si>
    <t>רבי ישראל מטשורטקוב</t>
  </si>
  <si>
    <t>גנזי כתבים</t>
  </si>
  <si>
    <t>גנזי מועדים &lt;זכרון לר' אלכסנדר דינקל&gt;</t>
  </si>
  <si>
    <t>גנזי מועדים</t>
  </si>
  <si>
    <t>נושאים שונים, קבצים וכתבי עת, ספרי זכרון ויובל, שאלות ותשובות, תלמוד בבלי</t>
  </si>
  <si>
    <t>גנזי מצרים</t>
  </si>
  <si>
    <t>יוסף בן יהודה ראש הסדר</t>
  </si>
  <si>
    <t>Oxford אוקספורד</t>
  </si>
  <si>
    <t>גנזי מרגליות</t>
  </si>
  <si>
    <t>מרגליות, גבריאל זאב בן יחיאל יצחק</t>
  </si>
  <si>
    <t>גנזי נסתרות</t>
  </si>
  <si>
    <t>תרכ"ח - תרל"ט</t>
  </si>
  <si>
    <t>במברג Bamberg</t>
  </si>
  <si>
    <t>מחשבה ומוסר, נושאים שונים, קבצים וכתבי עת, ספרי זכרון ויובל, שאלות ותשובות, תפלות בקשות פיוטים ושירה</t>
  </si>
  <si>
    <t>גנזי פרקי משנה תורה טהרה</t>
  </si>
  <si>
    <t>ליס, יוסף בן אריה לייב (עורך)</t>
  </si>
  <si>
    <t>תשמ"ב הקדמה</t>
  </si>
  <si>
    <t>פתח תקוה?</t>
  </si>
  <si>
    <t>גנזי צדיקים</t>
  </si>
  <si>
    <t>מכון סוד ישרים</t>
  </si>
  <si>
    <t>גנזי קדם - 6 כר'</t>
  </si>
  <si>
    <t>גנזי קדם</t>
  </si>
  <si>
    <t>תרפ"ב - תש"ד</t>
  </si>
  <si>
    <t>נושאים שונים, קבצים וכתבי עת, ספרי זכרון ויובל, שאלות ותשובות</t>
  </si>
  <si>
    <t>גנזי קודש מוהרנ"ג - א</t>
  </si>
  <si>
    <t>גנזי קויפמן - א</t>
  </si>
  <si>
    <t>קויפמאן, דוד בן יהודה ליב</t>
  </si>
  <si>
    <t>נושאים שונים, קבצים וכתבי עת, ספרי זכרון ויובל, תפלות בקשות פיוטים ושירה</t>
  </si>
  <si>
    <t>גנזי ראש השנה</t>
  </si>
  <si>
    <t>שיירי כת"י של מסכת ר"ה מהגניזה</t>
  </si>
  <si>
    <t>ירושלים וניו יורק</t>
  </si>
  <si>
    <t>גנזי ראשונים - 3 כר'</t>
  </si>
  <si>
    <t>גנזי ראשונים</t>
  </si>
  <si>
    <t>גנזי רבי נחום</t>
  </si>
  <si>
    <t>פרידמן, נחום</t>
  </si>
  <si>
    <t>מחשבה ומוסר, משנה, תלמוד בבלי, תלמוד בבלי, תנ"ך, תנ"ך</t>
  </si>
  <si>
    <t>גנזי רבי עקיבא איגר</t>
  </si>
  <si>
    <t>גנזי רמח"ל</t>
  </si>
  <si>
    <t>גנזי שביעית</t>
  </si>
  <si>
    <t>גנזי שבת - מתנה טובה</t>
  </si>
  <si>
    <t>קליין, פתחיה בן אביגדור</t>
  </si>
  <si>
    <t>גנזי שירה ופיוט</t>
  </si>
  <si>
    <t>מארכוס, יוסף בן ראובן</t>
  </si>
  <si>
    <t>גנזי שכטר - 3 כר'</t>
  </si>
  <si>
    <t>גנזי שכטר</t>
  </si>
  <si>
    <t>גנזי שלום</t>
  </si>
  <si>
    <t>זנדני, סלאם (שלום)</t>
  </si>
  <si>
    <t>שמעוני, שלום בן אליהו</t>
  </si>
  <si>
    <t>מועדי ישראל, משנה, שאלות ותשובות, תלמוד בבלי, תנ"ך, תפלות בקשות פיוטים ושירה</t>
  </si>
  <si>
    <t>גנזי שערי ציון</t>
  </si>
  <si>
    <t>במברגר, בן ציון הלוי</t>
  </si>
  <si>
    <t>גנזי תורת רבותינו - מעילה</t>
  </si>
  <si>
    <t>גנזי תלמוד בבלי - 2 כר'</t>
  </si>
  <si>
    <t>כץ, אברהם יצחק בן ראובן</t>
  </si>
  <si>
    <t>גניבה וגזילה</t>
  </si>
  <si>
    <t>שטינמץ, אשר</t>
  </si>
  <si>
    <t>גניזת קודש</t>
  </si>
  <si>
    <t>גנת אגוז &lt;מהדורה חדשה&gt;</t>
  </si>
  <si>
    <t>פינחס בן דוד מסטאניסלאב</t>
  </si>
  <si>
    <t>גנת אגוז</t>
  </si>
  <si>
    <t>גנת אגוז - 4 כר'</t>
  </si>
  <si>
    <t>ג'יקאטיליה, יוסף בן אברהם</t>
  </si>
  <si>
    <t>גראייבסקי, אליעזר זלמן בן מרדכי יוסף</t>
  </si>
  <si>
    <t>גנת אלימלך - ב</t>
  </si>
  <si>
    <t>גנת ביתן</t>
  </si>
  <si>
    <t>בילצקי, תנחום גרשון בן נתן נטע ליב</t>
  </si>
  <si>
    <t>הכהן, יצחק בן אברהם</t>
  </si>
  <si>
    <t>גנת הביתן</t>
  </si>
  <si>
    <t>פאטאק, יהודה הלוי</t>
  </si>
  <si>
    <t>גנת וורדים</t>
  </si>
  <si>
    <t>גנת ורדים - 2 כר'</t>
  </si>
  <si>
    <t>תע"ו - תע"ז</t>
  </si>
  <si>
    <t>גנת חמד</t>
  </si>
  <si>
    <t>גנת ישראל - 2 כר'</t>
  </si>
  <si>
    <t>גולדברג, ישראל בן שמעון מנחם</t>
  </si>
  <si>
    <t>געדאנק און חכמה</t>
  </si>
  <si>
    <t>רוזמרין, אהרן</t>
  </si>
  <si>
    <t>געזונד אויף די עלטערע יאהרען</t>
  </si>
  <si>
    <t>דובובסקי, בנימין</t>
  </si>
  <si>
    <t>געלד אונט קיין געלד</t>
  </si>
  <si>
    <t>האמבורג</t>
  </si>
  <si>
    <t>געקליבענע פערל - ב</t>
  </si>
  <si>
    <t>מארקוס, ישראל</t>
  </si>
  <si>
    <t>געקליבענע שריפטן</t>
  </si>
  <si>
    <t>זילבר, שאול</t>
  </si>
  <si>
    <t>געשטאלטן און געשעענישען</t>
  </si>
  <si>
    <t>לוין, יצחק</t>
  </si>
  <si>
    <t>געשיכטע דער יודען אין פוילען</t>
  </si>
  <si>
    <t>ניסנבוים, שלמה ברוך</t>
  </si>
  <si>
    <t>געשלעכטליכע רייניגונג (טבילה)</t>
  </si>
  <si>
    <t>סמיטלין, יעקב</t>
  </si>
  <si>
    <t>גפי אש - 4 כר'</t>
  </si>
  <si>
    <t>שטרן, אברהם בן יצחק יהודה ליב אריה</t>
  </si>
  <si>
    <t>גפן בעצי היער</t>
  </si>
  <si>
    <t>גרינוולד, יצחק אייזיק</t>
  </si>
  <si>
    <t>גפן יחידית</t>
  </si>
  <si>
    <t>זאב וולף בן יהודה ליב</t>
  </si>
  <si>
    <t>גפן ישראל</t>
  </si>
  <si>
    <t>זובר, יעקב ישראל</t>
  </si>
  <si>
    <t>גפן ממצרים</t>
  </si>
  <si>
    <t>אלשאניצקי, משה זליג בן שרגא</t>
  </si>
  <si>
    <t>גפן פוריה</t>
  </si>
  <si>
    <t>בן זקן, שמואל בן שלמה</t>
  </si>
  <si>
    <t>גר המתגייר - 4 כר'</t>
  </si>
  <si>
    <t>פישר, בצלאל אורי</t>
  </si>
  <si>
    <t>גראמען לפורים</t>
  </si>
  <si>
    <t>ברסלואר, חיים אהרן בן יוסף שמואל</t>
  </si>
  <si>
    <t>גרגרים בראש אמיר</t>
  </si>
  <si>
    <t>תש"ם</t>
  </si>
  <si>
    <t>גרות וגרים בהלכה ובהגות</t>
  </si>
  <si>
    <t>אביגל, זכריה</t>
  </si>
  <si>
    <t>גרי הצדק</t>
  </si>
  <si>
    <t>שטינברג, משה בן יצחק הלוי</t>
  </si>
  <si>
    <t>גרים גרורים</t>
  </si>
  <si>
    <t>גרם המעלות - 2 כר'</t>
  </si>
  <si>
    <t>קנביל, שבח בן אליעזר ליפמאן</t>
  </si>
  <si>
    <t>גרם מלאכה בשבת באמצעות אור ורוח</t>
  </si>
  <si>
    <t>גרן שלמה</t>
  </si>
  <si>
    <t>מארכוס, שלמה צבי בן שמעיה</t>
  </si>
  <si>
    <t>גרסא דינקתא</t>
  </si>
  <si>
    <t>שטרן, נפתלי צבי בן מרדכי</t>
  </si>
  <si>
    <t>גרסה נפשי</t>
  </si>
  <si>
    <t>אלפייה, יצחק בן יעקב חיים ישראל רפאל - אלפייה, מרדכי</t>
  </si>
  <si>
    <t>גרש ירחים &lt;מהדורת משנת הגט&gt;</t>
  </si>
  <si>
    <t>גרש ירחים &lt;מהדורה חדשה&gt; - 3 כר'</t>
  </si>
  <si>
    <t>גרש ירחים</t>
  </si>
  <si>
    <t>גרש ירחים - 2 כר'</t>
  </si>
  <si>
    <t>גרש כרמל - שמחת כהן</t>
  </si>
  <si>
    <t>גשם ורוח</t>
  </si>
  <si>
    <t>אלפרט, פנחס</t>
  </si>
  <si>
    <t>גשמי ברכה</t>
  </si>
  <si>
    <t>גשמיות ורוחניות</t>
  </si>
  <si>
    <t>גשר החיים - 3 כר'</t>
  </si>
  <si>
    <t>תש""ך</t>
  </si>
  <si>
    <t>גשר יהושע</t>
  </si>
  <si>
    <t>קול, שמואל בן יהושע קויט</t>
  </si>
  <si>
    <t>גשר צר - 2 כר'</t>
  </si>
  <si>
    <t>ד"ר פלק שלזינגר זצ"ל - קובץ הערכות</t>
  </si>
  <si>
    <t>ד"ת משה וישראל</t>
  </si>
  <si>
    <t>גלרנטר, משה בן מנחם מנדל</t>
  </si>
  <si>
    <t>ד' אמות של רבי</t>
  </si>
  <si>
    <t>וינטרוב, משה צבי בן יעקב דוד</t>
  </si>
  <si>
    <t>דא גזירת אורייתא</t>
  </si>
  <si>
    <t>הלכה ומנהג, הלכה ומנהג, תולדות עם ישראל</t>
  </si>
  <si>
    <t>דאס אידישע ווארט - 64 כר'</t>
  </si>
  <si>
    <t>חודש זשורנאל</t>
  </si>
  <si>
    <t>דאס אידישע יאר</t>
  </si>
  <si>
    <t>פרידמן, ליפא</t>
  </si>
  <si>
    <t>דאס אידישע ליכט (תש"מ) - 6 כר'</t>
  </si>
  <si>
    <t>שבועון</t>
  </si>
  <si>
    <t>דאס אידישע ליכט - 48 כר'</t>
  </si>
  <si>
    <t>דאס בית המקדש מצב ירושלים</t>
  </si>
  <si>
    <t>כלבו, יהושע יוסף</t>
  </si>
  <si>
    <t>דאס יום טוב בוך</t>
  </si>
  <si>
    <t>שויס, חיים</t>
  </si>
  <si>
    <t>דאס לעבען און שאפען פון חפץ חיים - 4 כר'</t>
  </si>
  <si>
    <t>ישר, משה מאיר</t>
  </si>
  <si>
    <t>דאס קול פון בלוט</t>
  </si>
  <si>
    <t>שטרן, משה אריה</t>
  </si>
  <si>
    <t>דבור ומחשבה &lt;הכוזרי&gt;</t>
  </si>
  <si>
    <t>טולדנו, שלמה בן חביב</t>
  </si>
  <si>
    <t>דבור ומחשבה &lt;העיקרים&gt; - 2 כר'</t>
  </si>
  <si>
    <t>דבור ומחשבה &lt;חובות הלבבות&gt;</t>
  </si>
  <si>
    <t>דבור ומחשבה &lt;מורה נבוכים&gt; - 2 כר'</t>
  </si>
  <si>
    <t>דבורי אמת</t>
  </si>
  <si>
    <t>דבורי מוהרא"ש - 2 כר'</t>
  </si>
  <si>
    <t>דביר אהרן - 2 כר'</t>
  </si>
  <si>
    <t>ווינטרוב, אהרן בו יעקב דוד</t>
  </si>
  <si>
    <t>מועדי ישראל, תלמוד בבלי, תנ"ך, תפלות בקשות פיוטים ושירה</t>
  </si>
  <si>
    <t>דביר הבית</t>
  </si>
  <si>
    <t>מינץ, משה בן יהודה</t>
  </si>
  <si>
    <t>דביר הגן</t>
  </si>
  <si>
    <t>תשי"ג-תשי"ד</t>
  </si>
  <si>
    <t>דביר המוצנע - הגרש"ב שניאורסון זצ"ל</t>
  </si>
  <si>
    <t>דביר המוצנע</t>
  </si>
  <si>
    <t>דביר הקודש - 10 כר'</t>
  </si>
  <si>
    <t>זוכובסקי, נתן צבי בן חיים דב</t>
  </si>
  <si>
    <t>דביר קדשו - 7 כר'</t>
  </si>
  <si>
    <t>גולדברג, יעקב בן דב אריה</t>
  </si>
  <si>
    <t>דביר קודש</t>
  </si>
  <si>
    <t>אלטוסקי, יהודה דניאל</t>
  </si>
  <si>
    <t>דבק טוב - 2 כר'</t>
  </si>
  <si>
    <t>אושנבורג, שמעון בן יצחק הלוי</t>
  </si>
  <si>
    <t>דבק טוב - דינים והנהגות בענין נישואין</t>
  </si>
  <si>
    <t>דבק מא"ח</t>
  </si>
  <si>
    <t>דבק מאח</t>
  </si>
  <si>
    <t>ריז, אורי פייבל בן יצחק איצק הלוי</t>
  </si>
  <si>
    <t>דבקה נפשי אחריך - 2 כר'</t>
  </si>
  <si>
    <t>לוז, עקיבא</t>
  </si>
  <si>
    <t>דבקנו במצוותיך</t>
  </si>
  <si>
    <t>דבר אברהם - ברית מילה</t>
  </si>
  <si>
    <t>אסולין, אברהם</t>
  </si>
  <si>
    <t>הלכה ומנהג, שלחן ערוך ומפרשיו, תנ"ך</t>
  </si>
  <si>
    <t>דבר אברהם - בראשית</t>
  </si>
  <si>
    <t>זלמנסקי, אברהם בן זאב יצחק</t>
  </si>
  <si>
    <t>דבר אברהם - 6 כר'</t>
  </si>
  <si>
    <t>כהנא-שפירא, אברהם דוב בן שלמה זלמן סנדר</t>
  </si>
  <si>
    <t>תרס"ו - תש"ו</t>
  </si>
  <si>
    <t>דבר אהרן - 2 כר'</t>
  </si>
  <si>
    <t>רייך, אהרן בן דוד</t>
  </si>
  <si>
    <t>דבר אליהו</t>
  </si>
  <si>
    <t>דבר אליהו - 3 כר'</t>
  </si>
  <si>
    <t>תר"צ - תש"ו</t>
  </si>
  <si>
    <t>דבר אליעזר - 2 כר'</t>
  </si>
  <si>
    <t>וואלדינברג, אליעזר יהודה בן יעקב גדליהו</t>
  </si>
  <si>
    <t>דבר אליעזר</t>
  </si>
  <si>
    <t>דבר אלעזר</t>
  </si>
  <si>
    <t>מייזלש, אלעזר בן דוד דוב</t>
  </si>
  <si>
    <t>דבר אמת</t>
  </si>
  <si>
    <t>לזכרו של רבי דב בער אליעזרוב</t>
  </si>
  <si>
    <t>מונסונייגו, ידידיה בן רפאל אהרן</t>
  </si>
  <si>
    <t>דבר אמת - 5 כר'</t>
  </si>
  <si>
    <t>רבינוביץ, דוב בר בן יחיאל מיכל יפה</t>
  </si>
  <si>
    <t>דבר אסתר</t>
  </si>
  <si>
    <t>כהנא, דוד בן יצחק</t>
  </si>
  <si>
    <t>דבר אפרים</t>
  </si>
  <si>
    <t>דבר בעתו אבלות החורבן</t>
  </si>
  <si>
    <t>דבר בעתו מה טוב</t>
  </si>
  <si>
    <t>שלמה חזן מאנקונה</t>
  </si>
  <si>
    <t>שי"ו</t>
  </si>
  <si>
    <t>דבר בעתו</t>
  </si>
  <si>
    <t>דבר בעתו - א,ב</t>
  </si>
  <si>
    <t>בוגין, אברהם צדוק בן מנחם נחום</t>
  </si>
  <si>
    <t>גאלאנט, אברהם נפתלי בן ישראל יצחק</t>
  </si>
  <si>
    <t>הויזדורף, חיים אליעזר בן עזריאל זליג</t>
  </si>
  <si>
    <t>דבר בעתו - א</t>
  </si>
  <si>
    <t>חן, אברהם דוד בן אליעזר יהודה</t>
  </si>
  <si>
    <t>אוסטרוב מזוב</t>
  </si>
  <si>
    <t>יאבלונסקי, ניסן בן עזריאל זליג</t>
  </si>
  <si>
    <t>תרע"</t>
  </si>
  <si>
    <t>ארצות הברית United</t>
  </si>
  <si>
    <t>לווין, יהושע השל בן אליהו זאב הלוי</t>
  </si>
  <si>
    <t>לווינזון, יעקב בן יהודה</t>
  </si>
  <si>
    <t>לוסטיג, יהושע יונתן בן משה שמואל</t>
  </si>
  <si>
    <t>מוכאמל, יצחק צאלח</t>
  </si>
  <si>
    <t>פורילה, זאב וולף בן אלכסנדר זיסקינד</t>
  </si>
  <si>
    <t>פינקלשטיין, ברוך</t>
  </si>
  <si>
    <t>פלוטקין, יצחק אלחנן הנדל הכהן</t>
  </si>
  <si>
    <t>דבר בעתו - גיטין</t>
  </si>
  <si>
    <t>קובץ ישיבת נזר ישראל</t>
  </si>
  <si>
    <t>דבר בעתו - 2 כר'</t>
  </si>
  <si>
    <t>שווארצמאן, בנימין מנחם בן זבולון</t>
  </si>
  <si>
    <t>דבר בעתו - 8 כר'</t>
  </si>
  <si>
    <t>דבר בעתו - 3 כר'</t>
  </si>
  <si>
    <t>תרכ"ב - תרכ"ד</t>
  </si>
  <si>
    <t>דבר ה זו הלכה - תפילין ובר מצוה</t>
  </si>
  <si>
    <t>מכון משה מורשה</t>
  </si>
  <si>
    <t>דבר ה' מירושלים</t>
  </si>
  <si>
    <t>דבר ה' - זר זהב סביב</t>
  </si>
  <si>
    <t>דבר ה'</t>
  </si>
  <si>
    <t>נסיר, יהודה</t>
  </si>
  <si>
    <t>דבר ההלכה</t>
  </si>
  <si>
    <t>דבר ההתאחדות - 50 כר'</t>
  </si>
  <si>
    <t>תלמידי ישיבת בית יוסף צבי דושינסקי</t>
  </si>
  <si>
    <t>דבר היחוד</t>
  </si>
  <si>
    <t>היילברון, חיים מנחם בן אברהם מאיר</t>
  </si>
  <si>
    <t>ובר, רפאל צבי</t>
  </si>
  <si>
    <t>דבר הכהן</t>
  </si>
  <si>
    <t>רבינוביץ (ראפפורט), דב הכהן בן גמליאל</t>
  </si>
  <si>
    <t>רבינוביץ, דוב בן גמליאל הכהן</t>
  </si>
  <si>
    <t>דבר הלכה</t>
  </si>
  <si>
    <t>הורוויץ, אלעזר בן משולם יששכר הלוי</t>
  </si>
  <si>
    <t>דבר הלכה - הלכות נדה סימן קפג</t>
  </si>
  <si>
    <t>ווילליגער, דוד יהודה</t>
  </si>
  <si>
    <t>טלשבסקי, לוי יצחק בן אהרן אליקום</t>
  </si>
  <si>
    <t>דבר הלכה - 2 כר'</t>
  </si>
  <si>
    <t>דבר המלוכה - 2 כר'</t>
  </si>
  <si>
    <t>דבר המלך - 2 כר'</t>
  </si>
  <si>
    <t>אברהם בן יוסף ישראל מברודי</t>
  </si>
  <si>
    <t>תקס"ה - תקס"ח</t>
  </si>
  <si>
    <t>דבר המלך - מגילת אסתר</t>
  </si>
  <si>
    <t>דבר המלך - עטרת תפארת</t>
  </si>
  <si>
    <t>דבר המלך - 5 כר'</t>
  </si>
  <si>
    <t>קרויזר, דוב מאיר בן אליהו צבי</t>
  </si>
  <si>
    <t>דבר המלך - אסתר</t>
  </si>
  <si>
    <t>דבר המלכה</t>
  </si>
  <si>
    <t>דבר המשפט - 3 כר'</t>
  </si>
  <si>
    <t>דבר המשפט</t>
  </si>
  <si>
    <t>תרל"ד - תרל"ה</t>
  </si>
  <si>
    <t>שלחן ערוך ומפרשיו, שלחן ערוך ומפרשיו</t>
  </si>
  <si>
    <t>דבר הנשמע</t>
  </si>
  <si>
    <t>עידן, מנחם בן צמח דניאל</t>
  </si>
  <si>
    <t>מועדי ישראל, משנה, תנ"ך</t>
  </si>
  <si>
    <t>דבר העמק &lt;מהדורה חדשה&gt;</t>
  </si>
  <si>
    <t>דבר העמק</t>
  </si>
  <si>
    <t>דבר השוה</t>
  </si>
  <si>
    <t>ואעקנין, שמעון בן דוד</t>
  </si>
  <si>
    <t>דבר השמטה</t>
  </si>
  <si>
    <t>וואלנשטיין, אליעזר אליהו בן משה נחום</t>
  </si>
  <si>
    <t>דבר השמיטה &lt;מהדורה חדשה&gt;</t>
  </si>
  <si>
    <t>סירוביץ, מאיר</t>
  </si>
  <si>
    <t>דבר השמיטה - כה</t>
  </si>
  <si>
    <t>בד"ץ העדה החרדית ירושלים</t>
  </si>
  <si>
    <t>דבר השמיטה</t>
  </si>
  <si>
    <t>בד"ץ חניכי הישיבות</t>
  </si>
  <si>
    <t>העדה החרדית</t>
  </si>
  <si>
    <t>תשי"ח-תש"ך</t>
  </si>
  <si>
    <t>דבר התורה</t>
  </si>
  <si>
    <t>האלברשטאם, יקותיאל יהודה בן צבי הירש</t>
  </si>
  <si>
    <t>מרגלית, אברהם צבי</t>
  </si>
  <si>
    <t>דבר התפילה</t>
  </si>
  <si>
    <t>דבר התשובה</t>
  </si>
  <si>
    <t>דבר זה רבינו הגדול אמרו</t>
  </si>
  <si>
    <t>ליפקוביץ, מיכל יהודה</t>
  </si>
  <si>
    <t>דבר חיים - 2 כר'</t>
  </si>
  <si>
    <t>חיים מרדכי בן איתמר מנדבורנה</t>
  </si>
  <si>
    <t>דבר חיים</t>
  </si>
  <si>
    <t>יולוביץ, חיים בן אברהם צבי</t>
  </si>
  <si>
    <t>נובל, חיים הרצל</t>
  </si>
  <si>
    <t>דבר חיים -יומא</t>
  </si>
  <si>
    <t>דבר חריף</t>
  </si>
  <si>
    <t>דינקל, משה טוביה בן אכסנדר</t>
  </si>
  <si>
    <t>דבר טוב</t>
  </si>
  <si>
    <t>אביגדור בן שמחה הלוי מגלוגא</t>
  </si>
  <si>
    <t>טאראב, יעקב בן יוסף הכהן</t>
  </si>
  <si>
    <t>דבר טוב - הפך בה</t>
  </si>
  <si>
    <t>רוזנברג, דב בעריש</t>
  </si>
  <si>
    <t>דבר יהודה</t>
  </si>
  <si>
    <t>זאדה, יוסף יהודה</t>
  </si>
  <si>
    <t>דבר יהונתן - סוטה ערכין</t>
  </si>
  <si>
    <t>רובין, בנימן דוד בן יהונתן יצחק</t>
  </si>
  <si>
    <t>דבר יהושע - 8 כר'</t>
  </si>
  <si>
    <t>אהרנברג, יהושע מנחם מנדל</t>
  </si>
  <si>
    <t>דבר יום ביומו</t>
  </si>
  <si>
    <t>היידנהיים, וולף בן שמשון</t>
  </si>
  <si>
    <t>הלפרין, יוסף</t>
  </si>
  <si>
    <t>קנולר, חיים בן דוד</t>
  </si>
  <si>
    <t>תרס"ז - תר"ע</t>
  </si>
  <si>
    <t>דרושים, מועדי ישראל, מחשבה ומוסר, נושאים שונים, תולדות עם ישראל, תנ"ך</t>
  </si>
  <si>
    <t>דבר יוסף</t>
  </si>
  <si>
    <t>דאנון, יוסף</t>
  </si>
  <si>
    <t>פיינשטיין, יוסף דב בן חיים</t>
  </si>
  <si>
    <t>שרים, יוסף חיים</t>
  </si>
  <si>
    <t>דבר יחזקאל</t>
  </si>
  <si>
    <t>אישישקין, יחזקאל</t>
  </si>
  <si>
    <t>דטרויט</t>
  </si>
  <si>
    <t>דבר יעקב - 13 כר'</t>
  </si>
  <si>
    <t>שטיינהויז, יעקב בן דוב זאב</t>
  </si>
  <si>
    <t>דבר ירושלם</t>
  </si>
  <si>
    <t>ועד העיר לקהלת האשכנזים ירושלים</t>
  </si>
  <si>
    <t>דבר ישרים - 4 כר'</t>
  </si>
  <si>
    <t>זילבר-מרגליות, חיים דוד בן נפתלי צבי</t>
  </si>
  <si>
    <t>דבר כי שומע עבדך</t>
  </si>
  <si>
    <t>שגיב, עמית</t>
  </si>
  <si>
    <t>דבר לועידת המזרחי</t>
  </si>
  <si>
    <t>המזרחי. המשמרת הצעירה</t>
  </si>
  <si>
    <t>דבר ליעקב</t>
  </si>
  <si>
    <t>דבר למועד - הל' פסח וספה"ע</t>
  </si>
  <si>
    <t>אביטן, שמואל</t>
  </si>
  <si>
    <t>דבר למועד</t>
  </si>
  <si>
    <t>גנוט, שמואל ברוך בן יעקב צבי</t>
  </si>
  <si>
    <t>דבר למשפט - מכירה</t>
  </si>
  <si>
    <t>דבר מאיר</t>
  </si>
  <si>
    <t>ראק, מאיר בן יצחק אייזיק</t>
  </si>
  <si>
    <t>דבר מירושלים</t>
  </si>
  <si>
    <t>דבר מצוה</t>
  </si>
  <si>
    <t>עין, ברוך בן אליהו</t>
  </si>
  <si>
    <t>דבר מקרא</t>
  </si>
  <si>
    <t>ברנשטיין, מנחם עמנואל הלוי</t>
  </si>
  <si>
    <t>דבר מרדכי</t>
  </si>
  <si>
    <t>עמאר, מרדכי בן אברהם</t>
  </si>
  <si>
    <t>דבר משה - 3 כר'</t>
  </si>
  <si>
    <t>אמארילייו, חיים משה בן שלמה</t>
  </si>
  <si>
    <t>תק"ב - תק"י</t>
  </si>
  <si>
    <t>דבר משה - 19 כר'</t>
  </si>
  <si>
    <t>רוזמרין, משה בן אהרן</t>
  </si>
  <si>
    <t>דבר משה - 2 כר'</t>
  </si>
  <si>
    <t>דבר משולם - 3 כר'</t>
  </si>
  <si>
    <t>משולמי, משולם בן חיים</t>
  </si>
  <si>
    <t>דבר משנה</t>
  </si>
  <si>
    <t>מלצר, ישעיהו נתן בן שמריהו</t>
  </si>
  <si>
    <t>דבר נאה ומתקבל</t>
  </si>
  <si>
    <t>דבר נאה</t>
  </si>
  <si>
    <t>אליקים, ניסים</t>
  </si>
  <si>
    <t>ווייס, אהרן בן כתריאל שלום</t>
  </si>
  <si>
    <t>בודאפעסט,</t>
  </si>
  <si>
    <t>דבר סיני - 2 כר'</t>
  </si>
  <si>
    <t>אדלר, סיני יצחק - שיפר, סיני</t>
  </si>
  <si>
    <t>דבר סיני - 5 כר'</t>
  </si>
  <si>
    <t>דבר צבי - 2 כר'</t>
  </si>
  <si>
    <t>דבר ציון</t>
  </si>
  <si>
    <t>אליעזרוב, דוב בער בן אברהם</t>
  </si>
  <si>
    <t>דבר רפאל</t>
  </si>
  <si>
    <t>כהן, רפאל יעקב אשר</t>
  </si>
  <si>
    <t>דבר שאול &lt;מכון הכתב&gt;</t>
  </si>
  <si>
    <t>סתהון, שאול בן דוד - אבן חביב, משה בן שלמה</t>
  </si>
  <si>
    <t>דבר שאול - 5 כר'</t>
  </si>
  <si>
    <t>קוסובסקי-שחור, שאול בן דוד שלמה</t>
  </si>
  <si>
    <t>דבר שבמנין - 2 כר'</t>
  </si>
  <si>
    <t>קושלבסקי, אליהו בן משה אהרן</t>
  </si>
  <si>
    <t>דבר שבקדושה - 3 כר'</t>
  </si>
  <si>
    <t>כ"ץ, אברהם ראובן בן יהושע האשקי הכהן</t>
  </si>
  <si>
    <t>דבר שלום - 13 כר'</t>
  </si>
  <si>
    <t>הורוביץ, דב בן שלום הלוי</t>
  </si>
  <si>
    <t>דבר שלום</t>
  </si>
  <si>
    <t>ארצות הברית United S</t>
  </si>
  <si>
    <t>דבר שלמה</t>
  </si>
  <si>
    <t>בצראוי, שלמה בן אברהם</t>
  </si>
  <si>
    <t>תנ"ך, תפלות בקשות פיוטים ושירה, תפלות בקשות פיוטים ושירה</t>
  </si>
  <si>
    <t>דבר שלמה - 2 כר'</t>
  </si>
  <si>
    <t>ברנד, שלמה זלמן בן חיים</t>
  </si>
  <si>
    <t>גוטסגנדה, שלמה דב בן נתן נטע</t>
  </si>
  <si>
    <t>דבר שמואל</t>
  </si>
  <si>
    <t>אבוהב, שמואל בן אברהם</t>
  </si>
  <si>
    <t>דבר שמואל - 4 כר'</t>
  </si>
  <si>
    <t>אליעזרוב, שמואל ברוך בן דוב בער</t>
  </si>
  <si>
    <t>אלקין, שמואל אליהו בן חיים יעקב</t>
  </si>
  <si>
    <t>גרשוני, שמואל מרדכי בן אליהו</t>
  </si>
  <si>
    <t>חאגיז, שמואל בן יעקב</t>
  </si>
  <si>
    <t>שנ"ו</t>
  </si>
  <si>
    <t>כ"ץ, שמואל חיים בן שלום זאב הכהן</t>
  </si>
  <si>
    <t>מייזיל, שמואל בן יששכר</t>
  </si>
  <si>
    <t>מנדלסון, שמואל בן מנחם הלוי</t>
  </si>
  <si>
    <t>דבר שמואל - 2 כר'</t>
  </si>
  <si>
    <t>נבנצהל, נחום צבי רפאל</t>
  </si>
  <si>
    <t>עמאר, שמואל בן אהרן</t>
  </si>
  <si>
    <t>עקשטיין, שמואל אריה</t>
  </si>
  <si>
    <t>דבר שמועה</t>
  </si>
  <si>
    <t>וויינטרויב, ליפא דוב בן שמואל</t>
  </si>
  <si>
    <t>דבר תורה לשלחן שבת - תשע"א</t>
  </si>
  <si>
    <t>דבר תורה על השלחן</t>
  </si>
  <si>
    <t>דבר תורה - 2 כר'</t>
  </si>
  <si>
    <t>דברו על לב ירושלים</t>
  </si>
  <si>
    <t>טורנר, דוד</t>
  </si>
  <si>
    <t>דברו על לב</t>
  </si>
  <si>
    <t>דברות אברהם - 2 כר'</t>
  </si>
  <si>
    <t>דניאל, אברהם בן פנחס</t>
  </si>
  <si>
    <t>לוי, אברהם אבישי</t>
  </si>
  <si>
    <t>דברות אהרן - סוכה</t>
  </si>
  <si>
    <t>כהן, אהרן בן דוד</t>
  </si>
  <si>
    <t>דברות אליהו - 10 כר'</t>
  </si>
  <si>
    <t>אבירזל, אליהו בן יוסף</t>
  </si>
  <si>
    <t>דברות אליהו - 3 כר'</t>
  </si>
  <si>
    <t>דברות אליהו - 2 כר'</t>
  </si>
  <si>
    <t>פנחסי, אליהו</t>
  </si>
  <si>
    <t>דברות אליעזר</t>
  </si>
  <si>
    <t>גינסברגר, אליעזר בן חזקיהו שרגא</t>
  </si>
  <si>
    <t>דברות אריאל - 6 כר'</t>
  </si>
  <si>
    <t>וינברג, ברוך משה אריאל בן נח רפאל</t>
  </si>
  <si>
    <t>דברות אש - נדרים</t>
  </si>
  <si>
    <t>אנגל, שמואל בן שרגא</t>
  </si>
  <si>
    <t>דברות אש - אהלות א</t>
  </si>
  <si>
    <t>בנישו, אליהו שמואל בן גבריאל</t>
  </si>
  <si>
    <t>דברות אש - 4 כר'</t>
  </si>
  <si>
    <t>שפירא, אהוד בן ישראל</t>
  </si>
  <si>
    <t>דברות חיים - 2 כר'</t>
  </si>
  <si>
    <t>הורוויץ, אליעזר עמנואל</t>
  </si>
  <si>
    <t>פרץ,  חיים ראובן בן דוד</t>
  </si>
  <si>
    <t>דברות חיים - בית שמחת עולם</t>
  </si>
  <si>
    <t>רבי ישעיה מפשעדבורז</t>
  </si>
  <si>
    <t>מועדי ישראל, נושאים שונים, תולדות עם ישראל, תנ"ך</t>
  </si>
  <si>
    <t>דברות טהרה</t>
  </si>
  <si>
    <t>פרלמוטר, סיני בן חיים אלעזר</t>
  </si>
  <si>
    <t>דברות יוסף - 3 כר'</t>
  </si>
  <si>
    <t>לוי, יוסף יצחק</t>
  </si>
  <si>
    <t>דברות יעקב - 5 כר'</t>
  </si>
  <si>
    <t>דהאן, יעקב בן דוד</t>
  </si>
  <si>
    <t>דברות מנחם - 2 כר'</t>
  </si>
  <si>
    <t>פוקס, מנחם מנדל בן שבתי זאב</t>
  </si>
  <si>
    <t>דברות מרדכי - 3 כר'</t>
  </si>
  <si>
    <t>שפירא, מרדכי דב בן בן ציון הכהן</t>
  </si>
  <si>
    <t>דברות משה - 2 כר'</t>
  </si>
  <si>
    <t>בובליל, משה בן עמוס</t>
  </si>
  <si>
    <t>דברות משה - 23 כר'</t>
  </si>
  <si>
    <t>דברות צבי - 26 כר'</t>
  </si>
  <si>
    <t>וייספיש, צבי בן שמואל</t>
  </si>
  <si>
    <t>דברי אבי"ב &lt;מהדורה חדשה&gt;</t>
  </si>
  <si>
    <t>דברי אבי"ב</t>
  </si>
  <si>
    <t>נושאים שונים, שאר ספרי חז"ל, תנ"ך, תנ"ך</t>
  </si>
  <si>
    <t>דברי אברהם &lt;מהדורה חדשה&gt; - 2 כר'</t>
  </si>
  <si>
    <t>ארנשטיין, חיים אברהם בן מרדכי</t>
  </si>
  <si>
    <t>דברי אברהם</t>
  </si>
  <si>
    <t>ארנשטיין, חיים אברהם</t>
  </si>
  <si>
    <t>שאלות ותשובות, תולדות עם ישראל, תלמוד בבלי, תלמוד בבלי, תנ"ך</t>
  </si>
  <si>
    <t>דברי אברהם - 2 כר'</t>
  </si>
  <si>
    <t>תרמ"ו - תרנ"ד</t>
  </si>
  <si>
    <t>פיטסבורג</t>
  </si>
  <si>
    <t>דברי אברהם - 5 כר'</t>
  </si>
  <si>
    <t>טכורק, אברהם בן אהרן יוסף</t>
  </si>
  <si>
    <t>תרפ"ג - תרפ"ז</t>
  </si>
  <si>
    <t>מנדלזון, אברהם דוב בריש בן יקיר</t>
  </si>
  <si>
    <t>דברי אברהם - 4 כר'</t>
  </si>
  <si>
    <t>תש"א - הקד'</t>
  </si>
  <si>
    <t>דברי אגדה ומוסר</t>
  </si>
  <si>
    <t>סופר, ציון</t>
  </si>
  <si>
    <t>דברי אגדה</t>
  </si>
  <si>
    <t>אלישיב, יוסף שלום בן אברהם</t>
  </si>
  <si>
    <t>שטיינר, חיים בן דוד יהודה</t>
  </si>
  <si>
    <t>דברי אגרת</t>
  </si>
  <si>
    <t>שטיינהארט, מנחם מנדל בן שמעון</t>
  </si>
  <si>
    <t>Roedelheim רדלהים</t>
  </si>
  <si>
    <t>דברי אהרן</t>
  </si>
  <si>
    <t>גולדמן, אהרן בן יחיאל מיכל הלוי</t>
  </si>
  <si>
    <t>פולונסקי, שמשון אהרן בן אברהם יצחק</t>
  </si>
  <si>
    <t>דברי אור - 4 כר'</t>
  </si>
  <si>
    <t>דברי אי"ש - 2 כר'</t>
  </si>
  <si>
    <t>דולגין, אברהם ישעיהו</t>
  </si>
  <si>
    <t>דברי אליהו &lt;על הרמב"ם&gt; - 5 כר'</t>
  </si>
  <si>
    <t>חזן, אליהו שמחה הלוי</t>
  </si>
  <si>
    <t>דברי אליהו מרדכי</t>
  </si>
  <si>
    <t>דברי אליהו</t>
  </si>
  <si>
    <t>דברי אליהו - 2 כר'</t>
  </si>
  <si>
    <t>בלייער, אליהו</t>
  </si>
  <si>
    <t>ברדא, ישראל שלום אליהו בן דוד</t>
  </si>
  <si>
    <t>גורדון, אליהו בן דוד זאב</t>
  </si>
  <si>
    <t>דברי אליהו - 7 כר'</t>
  </si>
  <si>
    <t>טערקלטויב, אליהו אריה</t>
  </si>
  <si>
    <t>דברי אליהו - ו</t>
  </si>
  <si>
    <t>כולל אברכים דברי אליהו</t>
  </si>
  <si>
    <t>ניימינץ, משה אליהו בן יוסף</t>
  </si>
  <si>
    <t>דברי אליהו - 14 כר'</t>
  </si>
  <si>
    <t>שמרלר, אליהו שמואל</t>
  </si>
  <si>
    <t>דברי אלימלך - א ב</t>
  </si>
  <si>
    <t>דברי אליעזר - 3 כר'</t>
  </si>
  <si>
    <t>ווייזער, אברהם יהודה צבי</t>
  </si>
  <si>
    <t>דברי אליעזר</t>
  </si>
  <si>
    <t>ווייסבלום, אליעזר ליפא בן ישראל חיים</t>
  </si>
  <si>
    <t>דברי אליעזר - א</t>
  </si>
  <si>
    <t>ולדמן, אליעזר</t>
  </si>
  <si>
    <t>דברי אליעזר - 2 כר'</t>
  </si>
  <si>
    <t>ניצברג, אליעזר בן דוד יהודה</t>
  </si>
  <si>
    <t>פינקל, אליעזר יהודה בן נתן צבי</t>
  </si>
  <si>
    <t>פרבר, אליעזר ליפמאן בן שמעון יהודה ליב</t>
  </si>
  <si>
    <t>תרפ"ד - תרצ"ט</t>
  </si>
  <si>
    <t>בילגורי</t>
  </si>
  <si>
    <t>דברי אלקים חיים - 13 כר'</t>
  </si>
  <si>
    <t>דברי אמונה השלם - 2 כר'</t>
  </si>
  <si>
    <t>דברי אמונה</t>
  </si>
  <si>
    <t>אפלבוים, יוסף בן צבי יהודה הלוי</t>
  </si>
  <si>
    <t>תרס"ח,</t>
  </si>
  <si>
    <t>דברי אמונה - 4 כר'</t>
  </si>
  <si>
    <t>וולף, יאיר משה בן דוד זאב</t>
  </si>
  <si>
    <t>דברי אמונה - 5 כר'</t>
  </si>
  <si>
    <t>דברי אמת &lt;מהדורה חדשה&gt; - ילקוט דברי אמת</t>
  </si>
  <si>
    <t>ארנברג, יוסף אשר בן יעקב מנחם - שלאף, אברהם הכהן</t>
  </si>
  <si>
    <t>דרושים, הלכה ומנהג, נושאים שונים, שאלות ותשובות</t>
  </si>
  <si>
    <t>דברי אמת ומשפט שלום</t>
  </si>
  <si>
    <t>דברי אמת וצדק</t>
  </si>
  <si>
    <t>הכהן, טוביה יחיאל</t>
  </si>
  <si>
    <t>דברי אמת</t>
  </si>
  <si>
    <t>ארנברג, יוסף אשר בן יעקב מנחם</t>
  </si>
  <si>
    <t>דברי אמת - מבקש ה' -להבות אש-מקדש ה'</t>
  </si>
  <si>
    <t>דברי אמת - 4 כר'</t>
  </si>
  <si>
    <t>דברי אמת - 2 כר'</t>
  </si>
  <si>
    <t>יצחק בן דוד מקושטא</t>
  </si>
  <si>
    <t>תק"כ</t>
  </si>
  <si>
    <t>קושטא istanbul</t>
  </si>
  <si>
    <t>דברי אסף</t>
  </si>
  <si>
    <t>פיירשטיין, אלכסנדר סנדר הלוי</t>
  </si>
  <si>
    <t>דברי אסתר</t>
  </si>
  <si>
    <t>דברי אסתר - פינחס - מטות</t>
  </si>
  <si>
    <t>שפ"ח-שפ"ט</t>
  </si>
  <si>
    <t>דברי אפרים אליעזר</t>
  </si>
  <si>
    <t>יאלעס, אפרים אליעזר הכהן</t>
  </si>
  <si>
    <t>דברי אפרים</t>
  </si>
  <si>
    <t>אשרי, אפרים בן דוב</t>
  </si>
  <si>
    <t>דברי אפרים - 3 כר'</t>
  </si>
  <si>
    <t>טאוב, אפרים מנחם</t>
  </si>
  <si>
    <t>סנדרוביץ, אפרים פישל</t>
  </si>
  <si>
    <t>דברי אריה - 2 כר'</t>
  </si>
  <si>
    <t>אייזנשטאט, אריה ליב בן חיים חייקל</t>
  </si>
  <si>
    <t>דברי אריה</t>
  </si>
  <si>
    <t>מתיבתא לאברכים דביר אריה</t>
  </si>
  <si>
    <t>פרידמאן, אריה ליב אברהם בן ישראל אהרן</t>
  </si>
  <si>
    <t>דברי אשר</t>
  </si>
  <si>
    <t>(תל אביב),</t>
  </si>
  <si>
    <t>דברי בוצינא קדישא ועמידא דנהורא</t>
  </si>
  <si>
    <t>דברי בינה ומוסר</t>
  </si>
  <si>
    <t>בליאכר, דוד בן ישראל</t>
  </si>
  <si>
    <t>דברי בינה - 2 כר'</t>
  </si>
  <si>
    <t>ברודא, דוב בריש בן חיים</t>
  </si>
  <si>
    <t>דברי בינה - 5 כר'</t>
  </si>
  <si>
    <t>רבינוביץ, יצחק יעקב בן נתן דוד</t>
  </si>
  <si>
    <t>דברי בן עמרם - 2 כר'</t>
  </si>
  <si>
    <t>געשטעטנר, נתן בן עמרם</t>
  </si>
  <si>
    <t>משנה, תלמוד בבלי, תלמוד בבלי, תלמוד ירושלמי, תלמוד ירושלמי</t>
  </si>
  <si>
    <t>דברי בן שלמה - 2 כר'</t>
  </si>
  <si>
    <t>דברי בניהו - 32 כר'</t>
  </si>
  <si>
    <t>דיין, בניהו בן יששכר ידידיה</t>
  </si>
  <si>
    <t>דברי ברוך על הש"ס - א</t>
  </si>
  <si>
    <t>רוזנברג, ברוך בן גרשון חנוך</t>
  </si>
  <si>
    <t>דברי ברוך</t>
  </si>
  <si>
    <t>דברי ברוך - 2 כר'</t>
  </si>
  <si>
    <t>דברי ברוך - הוצאה</t>
  </si>
  <si>
    <t>רוזנברג, ברוך</t>
  </si>
  <si>
    <t>דברי ברכה ומועד</t>
  </si>
  <si>
    <t>הלפגוט, נתנאל בן שלמה</t>
  </si>
  <si>
    <t>דברי ברכה - 2 כר'</t>
  </si>
  <si>
    <t>גשטטנר, כלב רפאל בן שלמה</t>
  </si>
  <si>
    <t>דברי ברק</t>
  </si>
  <si>
    <t>כהן, ברק בן יוסף</t>
  </si>
  <si>
    <t>דברי גאונים</t>
  </si>
  <si>
    <t>כהנא, חיים אריה ליב בן יחיאל צבי</t>
  </si>
  <si>
    <t>דברי גדולים &lt;שביל הישר, מילי דאבות, חמדה טובה&gt;</t>
  </si>
  <si>
    <t>דברי גדלי'</t>
  </si>
  <si>
    <t>פרידמאן, יצחק בן גדליה</t>
  </si>
  <si>
    <t>דברי דבש</t>
  </si>
  <si>
    <t>שפיירס, דוב בר בן שלמה</t>
  </si>
  <si>
    <t>דברי דוד &lt;מהדורה חדשה&gt; - 3 כר'</t>
  </si>
  <si>
    <t>זאלצר, דוד הכהן</t>
  </si>
  <si>
    <t>דברי דוד צוואה</t>
  </si>
  <si>
    <t>רבינוביץ, נתן דוד בן ירחמיאל צבי</t>
  </si>
  <si>
    <t>דברי דוד</t>
  </si>
  <si>
    <t>בוצ'קובסקי, ישעיהו דוד בן משה יוסף</t>
  </si>
  <si>
    <t>דברי דוד - 6 כר'</t>
  </si>
  <si>
    <t>גולן, דוד</t>
  </si>
  <si>
    <t>דברי דוד - 5 כר'</t>
  </si>
  <si>
    <t>גרינגלאס, חנוך דוד בן יחזקאל</t>
  </si>
  <si>
    <t>דברי דוד - 2 כר'</t>
  </si>
  <si>
    <t>דוד בן שמואל הלוי</t>
  </si>
  <si>
    <t>דברי דוד - 3 כר'</t>
  </si>
  <si>
    <t>הלכה ומנהג, שאלות ותשובות, שלחן ערוך ומפרשיו, תלמוד בבלי, תלמוד ירושלמי</t>
  </si>
  <si>
    <t>טייטלבוים, דוד בן אברהם אהרן</t>
  </si>
  <si>
    <t>לידא, דוד בן אריה ליב</t>
  </si>
  <si>
    <t>מילדולה, דוד בן רפאל</t>
  </si>
  <si>
    <t>שאלות ותשובות, תפלות בקשות פיוטים ושירה</t>
  </si>
  <si>
    <t>נוחליש, דוד בן משה ליב</t>
  </si>
  <si>
    <t>דברי דוד - 8 כר'</t>
  </si>
  <si>
    <t>סבאג, דוד בן יצחק</t>
  </si>
  <si>
    <t>דברי דוד - 4 כר'</t>
  </si>
  <si>
    <t>פרידמאן, דוד משה בן ישראל</t>
  </si>
  <si>
    <t>הוסיאטין,</t>
  </si>
  <si>
    <t>צפ'ג', דוד בן ישועה</t>
  </si>
  <si>
    <t>קראנגלאס, דוד בן עזרא</t>
  </si>
  <si>
    <t>שחור, דוד בן יהושע השיל</t>
  </si>
  <si>
    <t>הוראדנא,</t>
  </si>
  <si>
    <t>דברי דוד, הון יוסף</t>
  </si>
  <si>
    <t>בן זמרא, דוד בן שלמה אבי (רדב"ז) - זאמירו, יוסף</t>
  </si>
  <si>
    <t>דברי דודים</t>
  </si>
  <si>
    <t>לווין, שאול בן שלמה הלוי - פרידלאנד, חנוך בן משה מרדכי</t>
  </si>
  <si>
    <t>הלכה ומנהג, הלכה ומנהג, נושאים שונים, שאלות ותשובות, תלמוד בבלי</t>
  </si>
  <si>
    <t>דברי דניאל</t>
  </si>
  <si>
    <t>שטיינשניידר, דניאל בן ישראל איסרל</t>
  </si>
  <si>
    <t>דברי דעת - 10 כר'</t>
  </si>
  <si>
    <t>דברי האגרת על אגרת הרמב"ן</t>
  </si>
  <si>
    <t>רעטעק, אברהם יהושע - ארלנגר, חיים אריה</t>
  </si>
  <si>
    <t>דברי האגרת</t>
  </si>
  <si>
    <t>יואל בן יהודה זלקי הלוי</t>
  </si>
  <si>
    <t>קראקא</t>
  </si>
  <si>
    <t>שפירא, חיים אלעזר בן צבי הירש</t>
  </si>
  <si>
    <t>דברי האדמורי"ם לבית ויז'ניץ</t>
  </si>
  <si>
    <t>דברי האדמורי"ם</t>
  </si>
  <si>
    <t>דברי הברית</t>
  </si>
  <si>
    <t>אברהם צבי הירש בן מאיר</t>
  </si>
  <si>
    <t>דברי הברית - 2 כר'</t>
  </si>
  <si>
    <t>עלוש, אברהם בן פינחס</t>
  </si>
  <si>
    <t>דברי הגאונים - 2 כר'</t>
  </si>
  <si>
    <t>דברי הגאונים</t>
  </si>
  <si>
    <t>דברי הגות וראות - 2 כר'</t>
  </si>
  <si>
    <t>כץ, דב</t>
  </si>
  <si>
    <t>דברי הילל - 3 כר'</t>
  </si>
  <si>
    <t>דברי הימים למלכי צרפת ומלכי בית אוטומאן התוגר</t>
  </si>
  <si>
    <t>תרי"ט - ?</t>
  </si>
  <si>
    <t>לעמברג -ירושלים</t>
  </si>
  <si>
    <t>דברי הימים עם תרגום רב יוסף</t>
  </si>
  <si>
    <t>דברי הימים. תרגום.</t>
  </si>
  <si>
    <t>דברי הימים של משה רבינו</t>
  </si>
  <si>
    <t>דברי הימים של משה רבינו. שפ"ח</t>
  </si>
  <si>
    <t>שפ"ח - שפ"ט</t>
  </si>
  <si>
    <t>שאר ספרי חז"ל, תולדות עם ישראל</t>
  </si>
  <si>
    <t>דברי הימים של משה רבינו. תרנ"ז</t>
  </si>
  <si>
    <t>דברי הימים של פאס</t>
  </si>
  <si>
    <t>בניהו, מאיר בן יצחק נסים (מהדיר)</t>
  </si>
  <si>
    <t>דברי הימים - 2 כר'</t>
  </si>
  <si>
    <t>דברי הלכה ומשנת מנחם</t>
  </si>
  <si>
    <t>רבינוביץ, מנחם מנדל מנכין עמנואל בן אברהם אריה ליפשיץ</t>
  </si>
  <si>
    <t>דברי הלכה</t>
  </si>
  <si>
    <t>דברי הלכה - 2 כר'</t>
  </si>
  <si>
    <t>נדב, יהודה אהרן בן ציון</t>
  </si>
  <si>
    <t>דברי הלל - 2 כר'</t>
  </si>
  <si>
    <t>טרייזון, הלל בן אליהו</t>
  </si>
  <si>
    <t>תרנ"ה - תרסב</t>
  </si>
  <si>
    <t>דברי המצוות</t>
  </si>
  <si>
    <t>שטיינברג, יעקב בן ישכר דב</t>
  </si>
  <si>
    <t>דברי הנסים</t>
  </si>
  <si>
    <t>דברי הספד ותנחומי אבלים</t>
  </si>
  <si>
    <t>ראבינר, צמח בן דובר</t>
  </si>
  <si>
    <t>דברי הפורים האלה</t>
  </si>
  <si>
    <t>דברי הפורים</t>
  </si>
  <si>
    <t>אהרן בן מרדכי מטריבטש</t>
  </si>
  <si>
    <t>הכהן, כאלפון משה</t>
  </si>
  <si>
    <t>דברי הפורים - דברי יחזקאל שרגא</t>
  </si>
  <si>
    <t>ראטה, יחזקאל בן יצחק אייזיק</t>
  </si>
  <si>
    <t>דברי הרב - 4 כר'</t>
  </si>
  <si>
    <t>כהנמן, יוסף שלמה</t>
  </si>
  <si>
    <t>דברי הרב</t>
  </si>
  <si>
    <t>סולובייצ'יק, יוסף דב בן משה הלוי - שכטר, צבי בן אלימלך</t>
  </si>
  <si>
    <t>דברי הרי"ם - א</t>
  </si>
  <si>
    <t>לננטר, יונתן מרדכי בן אברהם אבא</t>
  </si>
  <si>
    <t>דברי הריבות - 2 כר'</t>
  </si>
  <si>
    <t>זרחיה בן יצחק הלוי גירונדי (רז"ה)</t>
  </si>
  <si>
    <t>דברי השירה הזאת</t>
  </si>
  <si>
    <t>הלן, אלחנן בן אברהם</t>
  </si>
  <si>
    <t>דברי השכל</t>
  </si>
  <si>
    <t>וויסטינצקי, יצחק בן אברהם אבא הכהן</t>
  </si>
  <si>
    <t>דברי התורה</t>
  </si>
  <si>
    <t>אוירבאך, צבי הירש בן מנחם</t>
  </si>
  <si>
    <t>דברי התנאים</t>
  </si>
  <si>
    <t>פלדהיים, צבי מרדכי בן יעקב</t>
  </si>
  <si>
    <t>דברי התענוגים</t>
  </si>
  <si>
    <t>רייכלש, בנימין זאב וולף בן יואל</t>
  </si>
  <si>
    <t>דברי זאב - 17 כר'</t>
  </si>
  <si>
    <t>ביידנוביץ, זאב בן יששכר</t>
  </si>
  <si>
    <t>תרע"ג - תש"ה</t>
  </si>
  <si>
    <t>דברי זבח</t>
  </si>
  <si>
    <t>פרגר, דב בער בן חיים יוסף אריה</t>
  </si>
  <si>
    <t>דברי זי"ו</t>
  </si>
  <si>
    <t>וינוגרד, ישעיה זאב בן פנחס מרדכי</t>
  </si>
  <si>
    <t>דברי זכרון</t>
  </si>
  <si>
    <t>כהנא, אברהם בן ישראל חיים</t>
  </si>
  <si>
    <t>שטאטהאגן, יוסף בן שמשון</t>
  </si>
  <si>
    <t>תס"ה</t>
  </si>
  <si>
    <t>דברי חזקיהו - 2 כר'</t>
  </si>
  <si>
    <t>יהושע, חזקיה בן שבתי</t>
  </si>
  <si>
    <t>דברי חי"בה</t>
  </si>
  <si>
    <t>בלוך, חיים יצחק בן חנוך זונדל הכהן</t>
  </si>
  <si>
    <t>תולדות עם ישראל, תלמוד בבלי, תלמוד בבלי</t>
  </si>
  <si>
    <t>דברי חיזוק והתעוררות</t>
  </si>
  <si>
    <t>זיידה, נחמיה</t>
  </si>
  <si>
    <t>דברי חיזוק לבני תורה</t>
  </si>
  <si>
    <t>דברי חיים  &lt;מהדורה חדשה&gt; - 5 כר'</t>
  </si>
  <si>
    <t>שארין, חיים בן אברהם יואל</t>
  </si>
  <si>
    <t>דברי חיים &lt;מהדורת מכון משנת ר"א&gt; - 2 כר'</t>
  </si>
  <si>
    <t>אויערבאך, יצחק איצק בן חיים</t>
  </si>
  <si>
    <t>דברי חיים &lt;עם פירוש נצרף לחיים&gt; - בבא מציעא</t>
  </si>
  <si>
    <t>דברי חיים &lt;שו"ת&gt; - 2 כר'</t>
  </si>
  <si>
    <t>דברי חיים (שו"ת) &lt;מהדורה חדשה&gt; - 3 כר'</t>
  </si>
  <si>
    <t>דברי חיים (שו"ת) &lt;עם הערות והוספות&gt; - 3 כר'</t>
  </si>
  <si>
    <t>דברי חיים דוב - 6 כר'</t>
  </si>
  <si>
    <t>וויסברג, חיים דב</t>
  </si>
  <si>
    <t>דברי חיים השלם &lt;מתוך מהדורה עתידית&gt;</t>
  </si>
  <si>
    <t>דברי חיים ואמת</t>
  </si>
  <si>
    <t>לייטר, נתן נטע בן דוד דוב</t>
  </si>
  <si>
    <t>דברי חיים</t>
  </si>
  <si>
    <t>תרי"א - תרי"ב</t>
  </si>
  <si>
    <t>אילה, אהרן חיים בן נפתלי הרץ</t>
  </si>
  <si>
    <t>ברקוביץ, חיים בן ישראל דוד</t>
  </si>
  <si>
    <t>דברי חיים - 7 כר'</t>
  </si>
  <si>
    <t>זקש, חיים אריה ליב בן יהודה</t>
  </si>
  <si>
    <t>קליבלנד</t>
  </si>
  <si>
    <t>חיים בן שלמה ממאהלוב</t>
  </si>
  <si>
    <t>טשרנוביץ'</t>
  </si>
  <si>
    <t>ירושלם, חיים זאב וולף בן יצחק</t>
  </si>
  <si>
    <t>תרל"ב - תרל"ג</t>
  </si>
  <si>
    <t>דרושים, שאלות ותשובות, תלמוד בבלי, תנ"ך</t>
  </si>
  <si>
    <t>מודלינגר, חיים דוב הלוי</t>
  </si>
  <si>
    <t>שאלות ותשובות, תלמוד ירושלמי</t>
  </si>
  <si>
    <t>קופטשאן, חיים</t>
  </si>
  <si>
    <t>דברי חיים - 5 כר'</t>
  </si>
  <si>
    <t>שרל, חיים זלמן צבי בן מנחם מנדל</t>
  </si>
  <si>
    <t>דברי חיל</t>
  </si>
  <si>
    <t>רוטנברג, חנינא ישראל בן אליעזר שרגא</t>
  </si>
  <si>
    <t>דברי חכמים &lt;ישועת דוד&gt;</t>
  </si>
  <si>
    <t>רינהולד, יוסף צבי - פוברסקי, דוד - קרליץ, אברהם ישעיהו</t>
  </si>
  <si>
    <t>דברי חכמים בנחת - 2 כר'</t>
  </si>
  <si>
    <t>דברי חכמים וחידותם  (ועלים לתרופה לרמב"ן)</t>
  </si>
  <si>
    <t>דברי חכמים וחידותם - 3 כר'</t>
  </si>
  <si>
    <t>דברי חכמים וחידותם</t>
  </si>
  <si>
    <t>ישראל בן אברהם</t>
  </si>
  <si>
    <t>שפיץ, צבי הירש בן יצחק ליב הלוי</t>
  </si>
  <si>
    <t>דברי חכמים וחידתם</t>
  </si>
  <si>
    <t>דברי חכמים - ל"ג בעומר</t>
  </si>
  <si>
    <t>בוימל, יוסף</t>
  </si>
  <si>
    <t>דברי חכמים</t>
  </si>
  <si>
    <t>גאלינה, משה בן אליהו</t>
  </si>
  <si>
    <t>הלוי, שלום יצחק</t>
  </si>
  <si>
    <t>הרצקו, מרדכי</t>
  </si>
  <si>
    <t>ווייסמאן, מרדכי צבי בן יוסף זליג הלוי</t>
  </si>
  <si>
    <t>יהודה ליב בן יקותיאל</t>
  </si>
  <si>
    <t>דברי חכמים - 2 כר'</t>
  </si>
  <si>
    <t>הלכה ומנהג, מועדי ישראל, מחשבה ומוסר, קבלה, קבלה, שלחן ערוך ומפרשיו, תפלות בקשות פיוטים ושירה</t>
  </si>
  <si>
    <t>פיש, בן ציון</t>
  </si>
  <si>
    <t>דברי חכמים - 3 כר'</t>
  </si>
  <si>
    <t>ציינווירט, דוד אריה</t>
  </si>
  <si>
    <t>דברי חכמים - ציצית</t>
  </si>
  <si>
    <t>צינוירט, דוד אריה</t>
  </si>
  <si>
    <t>רוזנברג, משה בן יצחק</t>
  </si>
  <si>
    <t>רוקר, יהושע בן אפרים פישל</t>
  </si>
  <si>
    <t>דברי חלומות</t>
  </si>
  <si>
    <t>דברי חן</t>
  </si>
  <si>
    <t>נתנזון, חיים בן אברהם</t>
  </si>
  <si>
    <t>שוחט, חיים נתן בן משה</t>
  </si>
  <si>
    <t>דברי חנה השלם</t>
  </si>
  <si>
    <t>האלברשטאם, חנה בן מנחם מנדל ווגשל, יוסף נפתלי</t>
  </si>
  <si>
    <t>אנטווורפן</t>
  </si>
  <si>
    <t>דברי חנה</t>
  </si>
  <si>
    <t>האלברשטאם, חנה בן מנחם מנדל</t>
  </si>
  <si>
    <t>דברי חנוך ושאול בן הלוי</t>
  </si>
  <si>
    <t>פרידלאנד, חנוך בן משה מרדכי</t>
  </si>
  <si>
    <t>דברי חנינא - 4 כר'</t>
  </si>
  <si>
    <t>דברי חפץ &lt;קהלת&gt;</t>
  </si>
  <si>
    <t>כהן, יעקב בן אברהם מווידז</t>
  </si>
  <si>
    <t>דברי חפץ</t>
  </si>
  <si>
    <t>די טולידו, אהרן</t>
  </si>
  <si>
    <t>דברי חפץ - א-ב</t>
  </si>
  <si>
    <t>חרל"פ, משה אריה בן זאב</t>
  </si>
  <si>
    <t>דברי חפץ - זמן מתן תורתנו</t>
  </si>
  <si>
    <t>ישיבת בית יוסף</t>
  </si>
  <si>
    <t>גייטסהעד</t>
  </si>
  <si>
    <t>לדרר, מנחם</t>
  </si>
  <si>
    <t>דברי חפץ - 2 כר'</t>
  </si>
  <si>
    <t>פנט, חיים צבי בן יעקב</t>
  </si>
  <si>
    <t>פסחוביץ, חיים</t>
  </si>
  <si>
    <t>דברי חפץ - א</t>
  </si>
  <si>
    <t>פרץ, חנניה בן אברהם</t>
  </si>
  <si>
    <t>דברי חפץ - 13 כר'</t>
  </si>
  <si>
    <t>קובץ תורני לחידושי תורה הלכה ומסורת</t>
  </si>
  <si>
    <t>רוזנטל, דב בן אברהם אליהו</t>
  </si>
  <si>
    <t>דברי חשב</t>
  </si>
  <si>
    <t>ברודסקי, חיים שרגא בן נח</t>
  </si>
  <si>
    <t>דברי טביא</t>
  </si>
  <si>
    <t>כהנא, צבי הירש</t>
  </si>
  <si>
    <t>דברי טובה &lt;שער הפסוקים&gt; - בראשית</t>
  </si>
  <si>
    <t>טאוב, אברהם בן יחזקאל צבי</t>
  </si>
  <si>
    <t>דברי טובה - 18 כר'</t>
  </si>
  <si>
    <t>דברי טעם</t>
  </si>
  <si>
    <t>האפט, אריה ליב בן אליעזר יעקב</t>
  </si>
  <si>
    <t>דברי יא"ר - 2 כר'</t>
  </si>
  <si>
    <t>רולר, יצחק אייזיק בן משולם אליעזר</t>
  </si>
  <si>
    <t>תרמ"א - תר"נ</t>
  </si>
  <si>
    <t>דברי יאיר</t>
  </si>
  <si>
    <t>ציון, יאיר בן משה</t>
  </si>
  <si>
    <t>דברי יאשיהו לבב ימים - בין פסח לעצרת</t>
  </si>
  <si>
    <t>דברי יאשיהו - טוב עין</t>
  </si>
  <si>
    <t>דברי ידידיה - בראשית, שיר השירים</t>
  </si>
  <si>
    <t>ליפמן, אריה לייב בן ידידיה</t>
  </si>
  <si>
    <t>דברי יהודא</t>
  </si>
  <si>
    <t>יהודה בן משה מלובלין</t>
  </si>
  <si>
    <t>דברי יהודה וקול יהודה - 2 כר'</t>
  </si>
  <si>
    <t>קראוס, יהודה הכהן</t>
  </si>
  <si>
    <t>דברי יהודה</t>
  </si>
  <si>
    <t>גורדין, יהודה ליב בן מאיר אברהם אבא</t>
  </si>
  <si>
    <t>דברי יהודה - 3 כר'</t>
  </si>
  <si>
    <t>לאזארוב, יהודה ליב בן שמואל יצחק איזיק</t>
  </si>
  <si>
    <t>דברי יהודה - 4 כר'</t>
  </si>
  <si>
    <t>ראקאנשטיין, יהודה ליב בן קלונימוס כ"ץ</t>
  </si>
  <si>
    <t>דברי יהודה, קול יהודה</t>
  </si>
  <si>
    <t>דברי יהונתן - 3 כר'</t>
  </si>
  <si>
    <t>דברי יהושיע</t>
  </si>
  <si>
    <t>רובין, יהושע בן עזריאל יחיאל</t>
  </si>
  <si>
    <t>דברי יהושע דוד - מנחות</t>
  </si>
  <si>
    <t>רוזנפלד, יהושע דוד בן שמואל אהרן</t>
  </si>
  <si>
    <t>דברי יהושע - 4 כר'</t>
  </si>
  <si>
    <t>דברי יהושע - 2 כר'</t>
  </si>
  <si>
    <t>ליברמן, יהושע</t>
  </si>
  <si>
    <t>דברי יהושע</t>
  </si>
  <si>
    <t>קלעוואן, יהושע</t>
  </si>
  <si>
    <t>רבינוביץ, יהושע השל בן יצחק יואל</t>
  </si>
  <si>
    <t>תרנ"ט - תרס"ז</t>
  </si>
  <si>
    <t>דברי יהושע - 6 כר'</t>
  </si>
  <si>
    <t>שקלאר, יהושע בן דוד</t>
  </si>
  <si>
    <t>שראבני, ראובן שלום - שראבני, יהושע אריה בן ראובן שלום</t>
  </si>
  <si>
    <t>דברי יהושע - 3 כר'</t>
  </si>
  <si>
    <t>שרבני, יהושע אריה</t>
  </si>
  <si>
    <t>דברי יואל &lt;תורה - 5 כר'</t>
  </si>
  <si>
    <t>טייטלבוים, יואל בן חנניה יום טוב ליפא</t>
  </si>
  <si>
    <t>דברי יואל &lt;תורה&gt; - 9 כר'</t>
  </si>
  <si>
    <t>דברי יואל - 20 כר'</t>
  </si>
  <si>
    <t>דברי יונה - 2 כר'</t>
  </si>
  <si>
    <t>פארסט, יונה הלוי</t>
  </si>
  <si>
    <t>דברי יונתן - קהלת</t>
  </si>
  <si>
    <t>גוונט, אשר בן יהושע אורי הלוי</t>
  </si>
  <si>
    <t>דברי יוסף</t>
  </si>
  <si>
    <t>אירגאס, יוסף בן עמנואל</t>
  </si>
  <si>
    <t>בירדוגו, יוסף בן יהודה</t>
  </si>
  <si>
    <t>דברי יוסף - 2 כר'</t>
  </si>
  <si>
    <t>דויטש, יוסף אריה בן יהודה</t>
  </si>
  <si>
    <t>הכהן, יוסף תילה (תהילה)</t>
  </si>
  <si>
    <t>הלוי, יוסף בן בנימין</t>
  </si>
  <si>
    <t>יוסף בן מרדכי הכהן</t>
  </si>
  <si>
    <t>יוסף, עובדיה בן יצחק</t>
  </si>
  <si>
    <t>כ"ץ, יוסף אריה הכהן</t>
  </si>
  <si>
    <t>דברי יוסף - 4 כר'</t>
  </si>
  <si>
    <t>כהן, יוסף בן שמואל דוד</t>
  </si>
  <si>
    <t>כהן, יוסף דוב בער</t>
  </si>
  <si>
    <t>כהן, יוסף</t>
  </si>
  <si>
    <t>דברי יוסף - בראשית שמות</t>
  </si>
  <si>
    <t>פטרובר, יוסף אריה בן שמואל</t>
  </si>
  <si>
    <t>פיש, יוסף אריה בן צבי אלימלך</t>
  </si>
  <si>
    <t>קאנוויץ, יוסף בן אליה חיים</t>
  </si>
  <si>
    <t>רוזנבורג, יוסף יוזפא בן מנחם צבי</t>
  </si>
  <si>
    <t>תרמ"ה - תרנ"ו</t>
  </si>
  <si>
    <t>דברי יוסף - 3 כר'</t>
  </si>
  <si>
    <t>תר"ג - תרכ"ב</t>
  </si>
  <si>
    <t>שלוש, יוסף יצחק בן דוד</t>
  </si>
  <si>
    <t>דרושים, נושאים שונים, שאלות ותשובות, תלמוד בבלי, תנ"ך</t>
  </si>
  <si>
    <t>דברי יוסף, ויצבור יוסף, יד יוסף</t>
  </si>
  <si>
    <t>מנדלקורן, יוסף</t>
  </si>
  <si>
    <t>חסידות, נושאים שונים, נושאים שונים, תנ"ך</t>
  </si>
  <si>
    <t>דברי יושר - 2 כר'</t>
  </si>
  <si>
    <t>דברי יושר - 3 כר'</t>
  </si>
  <si>
    <t>רוזנטל, דוב בן אברהם אליהו</t>
  </si>
  <si>
    <t>דברי יחזקאל  &lt;מהדורה חדשה -קונטרס אחרון&gt;</t>
  </si>
  <si>
    <t>ברשטיין, יחזקאל בן צבי הירש הלוי</t>
  </si>
  <si>
    <t>דברי יחזקאל שרגא &lt;הלכות שמיטה&gt;</t>
  </si>
  <si>
    <t>דברי יחזקאל שרגא &lt;הלכות תרומות ומעשרות&gt;</t>
  </si>
  <si>
    <t>דברי יחזקאל שרגא - 5 כר'</t>
  </si>
  <si>
    <t>הלכה ומנהג, חסידות, מחשבה ומוסר, נושאים שונים</t>
  </si>
  <si>
    <t>דברי יחזקאל שרגא, תליתא &lt;תורה מועדים&gt;</t>
  </si>
  <si>
    <t>דברי יחזקאל - 3 כר'</t>
  </si>
  <si>
    <t>דברי יחזקאל</t>
  </si>
  <si>
    <t>דברי יחזקאל - 2 כר'</t>
  </si>
  <si>
    <t>האלברשטאם, יחזקאל שרגא בן חיים</t>
  </si>
  <si>
    <t>דרושים, מועדי ישראל, מחשבה ומוסר, משנה, משנה, נושאים שונים, שאלות ותשובות, שאר ספרי חז"ל, שלחן ערוך ומפרשיו, תנ"ך</t>
  </si>
  <si>
    <t>זינגר, יחזקאל בן משה</t>
  </si>
  <si>
    <t>תרס"א,</t>
  </si>
  <si>
    <t>פרנקל-תאומים, יחזקאל שרגא בן יהושע השל</t>
  </si>
  <si>
    <t>שאלות ותשובות, תולדות עם ישראל, תנ"ך</t>
  </si>
  <si>
    <t>דברי יחיאל</t>
  </si>
  <si>
    <t>דברי יעקב חיים - 2 כר'</t>
  </si>
  <si>
    <t>דברי יעקב - שביעית</t>
  </si>
  <si>
    <t>דברי יעקב</t>
  </si>
  <si>
    <t>דברי יעקב - 2 כר'</t>
  </si>
  <si>
    <t>לב, יעקב בן יוסף</t>
  </si>
  <si>
    <t>דברי יעקב - 3 כר'</t>
  </si>
  <si>
    <t>ספסל, יעקב דב בן רפאל</t>
  </si>
  <si>
    <t>דברי יעקב - 46 כר'</t>
  </si>
  <si>
    <t>קלאצקין, יעקב קופיל</t>
  </si>
  <si>
    <t>דוינסק Daugavpils</t>
  </si>
  <si>
    <t>שור, יעקב בן אלישע יצחק</t>
  </si>
  <si>
    <t>דברי יצחק - 2 כר'</t>
  </si>
  <si>
    <t>בונין, יצחק בן צבי הירש</t>
  </si>
  <si>
    <t>דברי יצחק</t>
  </si>
  <si>
    <t>ווייס, יצחק יעקב בן יוסף יהודה</t>
  </si>
  <si>
    <t>ווינגרטן, יצחק</t>
  </si>
  <si>
    <t>כדורי, יצחק</t>
  </si>
  <si>
    <t>הלכה ומנהג, קבלה, שאלות ותשובות</t>
  </si>
  <si>
    <t>דברי יצחק - על התורה</t>
  </si>
  <si>
    <t>מורסיא, יצחק</t>
  </si>
  <si>
    <t>דברי יצחק - 3 כר'</t>
  </si>
  <si>
    <t>פינפר, יצחק בן חיים הכהן</t>
  </si>
  <si>
    <t>רבינוביץ, יצחק אייזיק בן אהרן</t>
  </si>
  <si>
    <t>דברי יציב - 7 כר'</t>
  </si>
  <si>
    <t>דברי יקותיאל</t>
  </si>
  <si>
    <t>בירדוגו, חיים יקותיאל</t>
  </si>
  <si>
    <t>דברי ירוחם</t>
  </si>
  <si>
    <t>דברי ירמיהו על התורה - 2 כר'</t>
  </si>
  <si>
    <t>פלנסברג, חיים ירמיהו בן אברהם</t>
  </si>
  <si>
    <t>תרס"ט - תרפ"ז</t>
  </si>
  <si>
    <t>דברי ירמיהו - 6 כר'</t>
  </si>
  <si>
    <t>דברי ירמיהו - דרושים</t>
  </si>
  <si>
    <t>דברי ישועה ונחמה</t>
  </si>
  <si>
    <t>פינטר, אלעזר יהודה ליב בן פנחס</t>
  </si>
  <si>
    <t>דברי ישכר דוב</t>
  </si>
  <si>
    <t>ליפשיץ-האלברשטאם, יששכר דוב</t>
  </si>
  <si>
    <t>דברי ישכר</t>
  </si>
  <si>
    <t>בראנדס, יששכר דוב בן שלמה דוד</t>
  </si>
  <si>
    <t>דברי ישכר - 2 כר'</t>
  </si>
  <si>
    <t>רוזנבוים, ישכר בר בן איתמר</t>
  </si>
  <si>
    <t>דברי ישעיה - 2 כר'</t>
  </si>
  <si>
    <t>אלגאזי, ישעיה בן אריה ליב</t>
  </si>
  <si>
    <t>דברי ישעיהו</t>
  </si>
  <si>
    <t>חשין, ישעיהו בן יצחק</t>
  </si>
  <si>
    <t>מינצברג, ירחמיאל ישעיהו בן אברהם אליעזר</t>
  </si>
  <si>
    <t>דברי ישראל - 3 כר'</t>
  </si>
  <si>
    <t>וועלץ, ישראל</t>
  </si>
  <si>
    <t>דברי ישראל - 4 כר'</t>
  </si>
  <si>
    <t>טויב, ישראל בן שמואל אליהו</t>
  </si>
  <si>
    <t>דברי ישראל</t>
  </si>
  <si>
    <t>סתם, ישראל</t>
  </si>
  <si>
    <t>דברי יששכר</t>
  </si>
  <si>
    <t>אהרנפרייז, יששכר בריש</t>
  </si>
  <si>
    <t>גרויבארט, יששכר דוב בן בנימין</t>
  </si>
  <si>
    <t>דברי כבושין &lt;מתוך חרדים&gt; - אור צדיקים -אגרות קודש</t>
  </si>
  <si>
    <t>אזכרי, אלעזר - מרקסון, אברהם מרדכי</t>
  </si>
  <si>
    <t>דברי כבושין</t>
  </si>
  <si>
    <t>אזכרי, אלעזר בן משה</t>
  </si>
  <si>
    <t>דברי לוי - 3 כר'</t>
  </si>
  <si>
    <t>לוין, ברוך יצחק בן דב זאב</t>
  </si>
  <si>
    <t>דברי לוי</t>
  </si>
  <si>
    <t>רבינוביץ, יצחק שניאור בן חיים הלוי</t>
  </si>
  <si>
    <t>מונטריאול Montreal</t>
  </si>
  <si>
    <t>דברי מאיר - 3 כר'</t>
  </si>
  <si>
    <t>מאיר בן אהרן אריה ליב מפרמישלאן</t>
  </si>
  <si>
    <t>דברי מאיר - 2 כר'</t>
  </si>
  <si>
    <t>מנדלסון, מאיר</t>
  </si>
  <si>
    <t>דברי מאיר</t>
  </si>
  <si>
    <t>סנדר, מאיר</t>
  </si>
  <si>
    <t>דברי מאיר - א</t>
  </si>
  <si>
    <t>קפלן, מאיר הכהן בן יהושע הכהן</t>
  </si>
  <si>
    <t>מחשבה ומוסר, סוגיות, תלמוד בבלי</t>
  </si>
  <si>
    <t>שלזינגר, מאיר בן יחזקאל הלוי גלוגא</t>
  </si>
  <si>
    <t>דברי מהר"ז</t>
  </si>
  <si>
    <t>בורר, זלמן בן יחיאל</t>
  </si>
  <si>
    <t>דברי מהרי"א - 2 כר'</t>
  </si>
  <si>
    <t>אסאד, יהודה בן ישראל</t>
  </si>
  <si>
    <t>סבינוב Sabinov</t>
  </si>
  <si>
    <t>דברי מוסר - 3 כר'</t>
  </si>
  <si>
    <t>בן אבו, דוד</t>
  </si>
  <si>
    <t>דברי מוסר - 2 כר'</t>
  </si>
  <si>
    <t>יפה, דב</t>
  </si>
  <si>
    <t>דברי מועד - 3 כר'</t>
  </si>
  <si>
    <t>גולדשטוף, דוד נחום בן יעקב יוסף</t>
  </si>
  <si>
    <t>דברי מחוקק - 7 כר'</t>
  </si>
  <si>
    <t>שטיינברג, קלונימוס קלמן בן דב הלוי</t>
  </si>
  <si>
    <t>דרושים, הלכה ומנהג, מועדי ישראל, תלמוד בבלי, תנ"ך</t>
  </si>
  <si>
    <t>דברי מיכאל - 4 כר'</t>
  </si>
  <si>
    <t>שהם, מיכאל</t>
  </si>
  <si>
    <t>מתתיהו</t>
  </si>
  <si>
    <t>דברי מיעקב</t>
  </si>
  <si>
    <t>דוד יעקב בן יצחק</t>
  </si>
  <si>
    <t>דברי מלכיאל - 8 כר'</t>
  </si>
  <si>
    <t>טננבוים, מלכיאל צבי בן יונה הלוי</t>
  </si>
  <si>
    <t>דברי מנחם</t>
  </si>
  <si>
    <t>ארליך, מנחם מנדל בן משה בנדט</t>
  </si>
  <si>
    <t>דברי מנחם - וקורות רבני משפחת דמשק</t>
  </si>
  <si>
    <t>דמשק, מנחם מנדל בן יוסף</t>
  </si>
  <si>
    <t>האלברשטאם, מנחם מנדל בן אברהם שלום</t>
  </si>
  <si>
    <t>ווייסברג, איסר זלמן</t>
  </si>
  <si>
    <t>טורנטו</t>
  </si>
  <si>
    <t>דברי מנחם - 4 כר'</t>
  </si>
  <si>
    <t>דברי מנחם - 2 כר'</t>
  </si>
  <si>
    <t>תרכ"ו - תרכ"ט</t>
  </si>
  <si>
    <t>פרידמן, מנחם נחום בן אברהם יהושע השיל</t>
  </si>
  <si>
    <t>רגנשברג, דוב מנחם בן דוד</t>
  </si>
  <si>
    <t>מקוב מז.</t>
  </si>
  <si>
    <t>ריזיקוב, מנחם מנדל בן צבי יוסף הכהן</t>
  </si>
  <si>
    <t>דברי מרדכי &lt;מהדורה חדשה&gt;</t>
  </si>
  <si>
    <t>סגרון, מרדכי בן כמוס</t>
  </si>
  <si>
    <t>דברי מרדכי - 7 כר'</t>
  </si>
  <si>
    <t>אליהו, מרדכי בן סלמאן</t>
  </si>
  <si>
    <t>דברי מרדכי</t>
  </si>
  <si>
    <t>בירדוגו, מרדכי בן יוסף</t>
  </si>
  <si>
    <t>מכנס Meknes</t>
  </si>
  <si>
    <t>דברי מרדכי - גדולת מרדכי</t>
  </si>
  <si>
    <t>גאלאנטי, מרדכי בן משה</t>
  </si>
  <si>
    <t>גולדמן, מרדכי</t>
  </si>
  <si>
    <t>משנה, משנה, נושאים שונים, שאר ספרי חז"ל, תלמוד בבלי, תלמוד בבלי</t>
  </si>
  <si>
    <t>דברי מרדכי - 2 כר'</t>
  </si>
  <si>
    <t>וייס, מרדכי אריה ליב</t>
  </si>
  <si>
    <t>זילברר, מרדכי בן אהרן</t>
  </si>
  <si>
    <t>כהן, דן מרדכי</t>
  </si>
  <si>
    <t>כרמי, מרדכי בן אברהם</t>
  </si>
  <si>
    <t>לוריא, מרדכי בן משה</t>
  </si>
  <si>
    <t>מן, מרדכי אריה בן משה</t>
  </si>
  <si>
    <t>דברי מרדכי - 6 כר'</t>
  </si>
  <si>
    <t>מן, מרדכי לייב בן משה</t>
  </si>
  <si>
    <t>תש"א - תש"ה</t>
  </si>
  <si>
    <t>סטראל, מרדכי יהודה בן טודרוס</t>
  </si>
  <si>
    <t>דברי מרדכי - ב</t>
  </si>
  <si>
    <t>דרושים, דרושים, מועדי ישראל, משנה, תנ"ך, תפלות בקשות פיוטים ושירה</t>
  </si>
  <si>
    <t>פרידבורג, מרדכי בן אריה ליב</t>
  </si>
  <si>
    <t>קארפנשפרונג, מרדכי בן יונה</t>
  </si>
  <si>
    <t>קריספין, מרדכי בן יצחק</t>
  </si>
  <si>
    <t>דברי משה &lt;גליוני מהר"י - שופריה דמשה&gt;</t>
  </si>
  <si>
    <t>דברי משה &lt;שופריה דמשה&gt;</t>
  </si>
  <si>
    <t>דברי משה</t>
  </si>
  <si>
    <t>אדרת, משה בן</t>
  </si>
  <si>
    <t>בהרב, משה אריה ליב אלתר בן יונה</t>
  </si>
  <si>
    <t>בידרמאן, משה שלמה יחיאל בן דוד יוסף</t>
  </si>
  <si>
    <t>בירדוגו, משה בן אברהם</t>
  </si>
  <si>
    <t>דברי משה - 3 כר'</t>
  </si>
  <si>
    <t>ברנשטיין, משה בן אברהם אליהו</t>
  </si>
  <si>
    <t>הלברשטאם, משה בן יעקב</t>
  </si>
  <si>
    <t>זאקס, משה לוי בן דוב יעקב</t>
  </si>
  <si>
    <t>טויב, משה יהודה בן ירחמיאל צבי</t>
  </si>
  <si>
    <t>מזרחי, משה עזרא</t>
  </si>
  <si>
    <t>משה שלמה זלמן בן אליהו דוד הלוי</t>
  </si>
  <si>
    <t>נאמיוט, דוב משה בן יחיאל מיכל</t>
  </si>
  <si>
    <t>ספקטור, משה בן צבי</t>
  </si>
  <si>
    <t>סתהון, משה בן יוסף</t>
  </si>
  <si>
    <t>פלדמאן, משה בן מנחם אליעזר אלטר</t>
  </si>
  <si>
    <t>פפרברג, משה דוב בן מאיר יהודה ליב</t>
  </si>
  <si>
    <t>תר"ע - תרע"ד</t>
  </si>
  <si>
    <t>פריצקר, משה בן אשר</t>
  </si>
  <si>
    <t>קאנאל, משה אהרן בן ראובן</t>
  </si>
  <si>
    <t>קרויזר, משה</t>
  </si>
  <si>
    <t>רוטמאן, משה בן יואל יעקב</t>
  </si>
  <si>
    <t>דברי משיב - 2 כר'</t>
  </si>
  <si>
    <t>זלצמן, יחיאל מאיר בן שמעון יוסף</t>
  </si>
  <si>
    <t>דברי משפט &lt;מהדורת מכון משנת ר"א&gt; - 2 כר'</t>
  </si>
  <si>
    <t>אויערבאך, חיים בן יצחק איצק</t>
  </si>
  <si>
    <t>דברי משפט</t>
  </si>
  <si>
    <t>כולל אוסטריה - גאליציה</t>
  </si>
  <si>
    <t>דברי משפט - 2 כר'</t>
  </si>
  <si>
    <t>קרלין, אריה</t>
  </si>
  <si>
    <t>דברי מתתיהו ובית דוד</t>
  </si>
  <si>
    <t>אשכנזי, מתתיהו בן יהודה אריה ליב דייטש</t>
  </si>
  <si>
    <t>דברי נב"א</t>
  </si>
  <si>
    <t>דושנס, נחמיה פייבל בן אברהם הלוי</t>
  </si>
  <si>
    <t>דברי נבונים - 3 כר'</t>
  </si>
  <si>
    <t>דברי נגידים - 2 כר'</t>
  </si>
  <si>
    <t>קרולוויצקי, דוד מאיר בן יעקב</t>
  </si>
  <si>
    <t>תרנ"ג - תרס"א</t>
  </si>
  <si>
    <t>דברי נועם</t>
  </si>
  <si>
    <t>חסידות, מחשבה ומוסר, נושאים שונים, תולדות עם ישראל</t>
  </si>
  <si>
    <t>דברי נועם - 5 כר'</t>
  </si>
  <si>
    <t>מלאכי, דוב בן מרדכי שמריהו הלוי</t>
  </si>
  <si>
    <t>נשלסק Nasielk</t>
  </si>
  <si>
    <t>דברי נחום - 2 כר'</t>
  </si>
  <si>
    <t>ווייס, נחום</t>
  </si>
  <si>
    <t>דברי נחום</t>
  </si>
  <si>
    <t>פראנק, נחום יצחק ש.</t>
  </si>
  <si>
    <t>מועדי ישראל, נושאים שונים, תלמוד בבלי, תנ"ך</t>
  </si>
  <si>
    <t>דברי נחמיה - 3 כר'</t>
  </si>
  <si>
    <t>גינזבורג, נחמיה בן אברהם בירך הלוי</t>
  </si>
  <si>
    <t>תרכ"ו - תרמ"ז</t>
  </si>
  <si>
    <t>דברי נחמיה - 2 כר'</t>
  </si>
  <si>
    <t>דברי נחמיה</t>
  </si>
  <si>
    <t>למפרט, נחמיה</t>
  </si>
  <si>
    <t>דברי נעם</t>
  </si>
  <si>
    <t>מזרחי, נחמיה עזרא</t>
  </si>
  <si>
    <t>דברי נפתלי</t>
  </si>
  <si>
    <t>ברוינפלד, נפתלי</t>
  </si>
  <si>
    <t>דרושים, מועדי ישראל, מחשבה ומוסר, שאר ספרי חז"ל, תנ"ך</t>
  </si>
  <si>
    <t>גארבארסקי, נפתלי בן מאיר צבי הכהן</t>
  </si>
  <si>
    <t>לומזה Lomza</t>
  </si>
  <si>
    <t>דברי נפתלי - 3 כר'</t>
  </si>
  <si>
    <t>הלברשטאם, נפתלי</t>
  </si>
  <si>
    <t>דברי נתן</t>
  </si>
  <si>
    <t>זובער, נתן נטע</t>
  </si>
  <si>
    <t>דברי סופרים וספר הזכרונות &lt;מהדורת הר ברכה&gt;</t>
  </si>
  <si>
    <t>הר ברכה</t>
  </si>
  <si>
    <t>דברי סופרים</t>
  </si>
  <si>
    <t>הרבנים למשפחת סופר</t>
  </si>
  <si>
    <t>דברי סופרים - 15 כר'</t>
  </si>
  <si>
    <t>יברוב, נחום בן משה יצחק אהרן</t>
  </si>
  <si>
    <t>סופר, שמואל בנימין בן אליעזר זוסמן</t>
  </si>
  <si>
    <t>דברי סופרים - 3 כר'</t>
  </si>
  <si>
    <t>סופר, שמואל בנימין בן זוסמאן אליעזר</t>
  </si>
  <si>
    <t>תשט"ז - תשכ"א</t>
  </si>
  <si>
    <t>דברי סופרים - 2 כר'</t>
  </si>
  <si>
    <t>רוזין, משה בן יהודה ליב</t>
  </si>
  <si>
    <t>דברי ספר</t>
  </si>
  <si>
    <t>קארלין, אריה בן ישראל אליעזר הלוי</t>
  </si>
  <si>
    <t>דברי עז - 2 כר'</t>
  </si>
  <si>
    <t>המילטון, בועז נחמיה</t>
  </si>
  <si>
    <t>דברי עמוס</t>
  </si>
  <si>
    <t>כהן, עמוס</t>
  </si>
  <si>
    <t>פרץ, עמוס בן מאיר</t>
  </si>
  <si>
    <t>דברי עני</t>
  </si>
  <si>
    <t>אזולאי, דביר דוד יוסף</t>
  </si>
  <si>
    <t>דברי פינחס - 2 כר'</t>
  </si>
  <si>
    <t>מייערס, פינחס אברהם</t>
  </si>
  <si>
    <t>דברי פנחס</t>
  </si>
  <si>
    <t>גרויסלייט, פינחס מיכאל בן יצחק אייזיק</t>
  </si>
  <si>
    <t>דברי פנחס - 4 כר'</t>
  </si>
  <si>
    <t>דאוויד, פנחס מנחם בן מאיר</t>
  </si>
  <si>
    <t>צימעטבוים, פנחס סגל</t>
  </si>
  <si>
    <t>ווייטצען</t>
  </si>
  <si>
    <t>דברי פני אריה</t>
  </si>
  <si>
    <t>פרידן, פינחס ליב בן משה</t>
  </si>
  <si>
    <t>דברי פתחיה</t>
  </si>
  <si>
    <t>לאם, פתחיה בן דב בער</t>
  </si>
  <si>
    <t>דברי פתיחה</t>
  </si>
  <si>
    <t>דברי צבי</t>
  </si>
  <si>
    <t>קלוגמאן, יצחק צבי</t>
  </si>
  <si>
    <t>פיעטרקוב</t>
  </si>
  <si>
    <t>דברי צבי - עירובין</t>
  </si>
  <si>
    <t>רוזנפלד, דוד צבי</t>
  </si>
  <si>
    <t>שניידמיל, צבי הירש בן אהרן</t>
  </si>
  <si>
    <t>דברי צדיקים</t>
  </si>
  <si>
    <t>כהנא, יוסף מרדכי בן יחיאל צבי הכהן</t>
  </si>
  <si>
    <t>תרל"ד - תרל"ו</t>
  </si>
  <si>
    <t>דברי צדיקים - אמרי קודש - שלשה עדרי צאן</t>
  </si>
  <si>
    <t>כמה צדיקים</t>
  </si>
  <si>
    <t>דברי צדיקים - 3 כר'</t>
  </si>
  <si>
    <t>פרומר, דוב בריש בן משה</t>
  </si>
  <si>
    <t>דברי צדק</t>
  </si>
  <si>
    <t>ויכוח רבה</t>
  </si>
  <si>
    <t>מחשבה ומוסר, שאר ספרי חז"ל, תולדות עם ישראל</t>
  </si>
  <si>
    <t>קרויז, צדוק בן יוסף משה</t>
  </si>
  <si>
    <t>דברי ציון ויהודה - 2 כר'</t>
  </si>
  <si>
    <t>גבעת עדה</t>
  </si>
  <si>
    <t>דברי ציון</t>
  </si>
  <si>
    <t>כ"ץ, בן-ציון בן מאיר</t>
  </si>
  <si>
    <t>דברי קהלת - 2 כר'</t>
  </si>
  <si>
    <t>תרס"ה - תרס"ט</t>
  </si>
  <si>
    <t>דברי קהלת</t>
  </si>
  <si>
    <t>גייגר, שלמה זלמן בן אהרן יחיאל מיכל</t>
  </si>
  <si>
    <t>ליכטשטיין, שלמה בן אברהם יקותיאל זלמן</t>
  </si>
  <si>
    <t>דברי קודש</t>
  </si>
  <si>
    <t>תרצ"ג - תרצ"ז</t>
  </si>
  <si>
    <t>דברי ר"ש</t>
  </si>
  <si>
    <t>אולמאן, שלום בן ישראל איסר</t>
  </si>
  <si>
    <t>דברי רב משלם</t>
  </si>
  <si>
    <t>אשכנזי, אברהם משולם זלמן בן צבי</t>
  </si>
  <si>
    <t>דברי רבותינו</t>
  </si>
  <si>
    <t>גרוזובסקי, רפאל ראובן - הוטנר, יצחק</t>
  </si>
  <si>
    <t>דברי רבי חי</t>
  </si>
  <si>
    <t>תהילה, חי בן יוסף</t>
  </si>
  <si>
    <t>דברי רבינו משולם</t>
  </si>
  <si>
    <t>דברי רבינו שפטיה - דברי יהודה זרחיה</t>
  </si>
  <si>
    <t>דברי רבית</t>
  </si>
  <si>
    <t>כ"ץ, יהושע זאב בן יהודה ליב</t>
  </si>
  <si>
    <t>דברי רגש</t>
  </si>
  <si>
    <t>שוארץ, גדליה דוב</t>
  </si>
  <si>
    <t>דברי רד"ך</t>
  </si>
  <si>
    <t>בורשטין, ראובן דוד בן יהושע הכהן</t>
  </si>
  <si>
    <t>דברי רחמים - 8 כר'</t>
  </si>
  <si>
    <t>עבוד, רחמים בן שמואל</t>
  </si>
  <si>
    <t>ניו ג'רזי</t>
  </si>
  <si>
    <t>דברי ריבות</t>
  </si>
  <si>
    <t>אדרבי, יצחק בן שמואל</t>
  </si>
  <si>
    <t>דברי רננה</t>
  </si>
  <si>
    <t>כהנא, נתן נטע בן משה מרדכי</t>
  </si>
  <si>
    <t>דברי רפאל</t>
  </si>
  <si>
    <t>בוסקילה, רפאל בן שלום</t>
  </si>
  <si>
    <t>דברי שאול &lt;עדות ביוסף&gt; - 2 כר'</t>
  </si>
  <si>
    <t>דברי שאול &lt;עה"ת&gt; - 4 כר'</t>
  </si>
  <si>
    <t>דברי שאול</t>
  </si>
  <si>
    <t>טולידנו, שאול בן שמואל</t>
  </si>
  <si>
    <t>דברי שאול - 7 כר'</t>
  </si>
  <si>
    <t>שאול מלויטנבאך</t>
  </si>
  <si>
    <t>דברי שב"ח - 12 כר'</t>
  </si>
  <si>
    <t>דברי שבח - ברכת הגומל</t>
  </si>
  <si>
    <t>הרטמן, חנוך דב בן יהושע דוד</t>
  </si>
  <si>
    <t>דברי שבת</t>
  </si>
  <si>
    <t>שושנה, יוסף</t>
  </si>
  <si>
    <t>דברי שי</t>
  </si>
  <si>
    <t>דברי שי"ח - 8 כר'</t>
  </si>
  <si>
    <t>דברי שי"ר - 2 כר'</t>
  </si>
  <si>
    <t>רוט, שמואל יעקב בן משה שמעון</t>
  </si>
  <si>
    <t>דברי שיר - 2 כר'</t>
  </si>
  <si>
    <t>ברוק, יצחק בן שמואל</t>
  </si>
  <si>
    <t>דדש, רפאל יוסף בן ישר</t>
  </si>
  <si>
    <t>דברי שיר</t>
  </si>
  <si>
    <t>רבינוב, שמואל יוסף בן יהודה צבי</t>
  </si>
  <si>
    <t>דרושים, תולדות עם ישראל, תלמוד בבלי</t>
  </si>
  <si>
    <t>דברי שיר - תהילים</t>
  </si>
  <si>
    <t>רעטעק, שמואל ישעיה בן אברהם יהושע</t>
  </si>
  <si>
    <t>דברי שירה - 8 כר'</t>
  </si>
  <si>
    <t>דברי שלום &lt;דפו"ר&gt; - 2 כר'</t>
  </si>
  <si>
    <t>ש"מ</t>
  </si>
  <si>
    <t>דברי שלום &lt;מהדורה חדשה&gt;</t>
  </si>
  <si>
    <t>הלברשטאם, אברהם שלום בן יחזקאל שרגא</t>
  </si>
  <si>
    <t>פרלוב, שלום בן ברוך מרדכי</t>
  </si>
  <si>
    <t>דברי שלום &lt;מהדורה חדשה&gt; - 2 כר'</t>
  </si>
  <si>
    <t>שרעבי, רפאל אברהם שלום בן חזקיהו יצחק מ</t>
  </si>
  <si>
    <t>דברי שלום ואמת - מגילת אסתר</t>
  </si>
  <si>
    <t>אלטר, יהודה אריה ליב - אלטר, אברהם מרדכי</t>
  </si>
  <si>
    <t>דברי שלום ואמת - פורים</t>
  </si>
  <si>
    <t>דברי שלום ואמת</t>
  </si>
  <si>
    <t>בוזאגלו, שלום בן משה</t>
  </si>
  <si>
    <t>גילקרוב, גדעון מאיר</t>
  </si>
  <si>
    <t>דברי שלום ואמת - 4 כר'</t>
  </si>
  <si>
    <t>טולידאנו, שלמה בן חביב</t>
  </si>
  <si>
    <t>לויתן, שלום יצחק בן דוד בן ציון</t>
  </si>
  <si>
    <t>ליפשיץ, יעקב בן אליעזר ליפמאן הלוי</t>
  </si>
  <si>
    <t>פרידליין, יחיאל בנימין</t>
  </si>
  <si>
    <t>קריגר, ישראל אברהם אבא בן חיים זאב</t>
  </si>
  <si>
    <t>רבינוביץ, שלום בן יהושע</t>
  </si>
  <si>
    <t>מחשבה ומוסר, שאלות ותשובות, תולדות עם ישראל, תולדות עם ישראל</t>
  </si>
  <si>
    <t>דברי שלום חכמים</t>
  </si>
  <si>
    <t>דברי שלום</t>
  </si>
  <si>
    <t>אביחצירא, שלום</t>
  </si>
  <si>
    <t>דברי שלום - 3 כר'</t>
  </si>
  <si>
    <t>ש"ם - לפ"ג</t>
  </si>
  <si>
    <t>איזראלסון, שלום בן אשר</t>
  </si>
  <si>
    <t>דרושים, מחשבה ומוסר, שאלות ותשובות, תלמוד בבלי</t>
  </si>
  <si>
    <t>אלרייבי, שלום בן יחיא</t>
  </si>
  <si>
    <t>דברי שלום - בראשית שמות</t>
  </si>
  <si>
    <t>גולדנברג, שלום</t>
  </si>
  <si>
    <t>דרושים, מועדי ישראל, נושאים שונים, שלחן ערוך ומפרשיו, תלמוד בבלי, תנ"ך</t>
  </si>
  <si>
    <t>דברי שלום - 2 כר'</t>
  </si>
  <si>
    <t>זינובר, יהודה ליב שלום בן מאיר זלמן</t>
  </si>
  <si>
    <t>תשי"ב - תשט"ו</t>
  </si>
  <si>
    <t>דרושים, מועדי ישראל, מחשבה ומוסר, משנה, שאר ספרי חז"ל, שלחן ערוך ומפרשיו, תלמוד בבלי, תנ"ך</t>
  </si>
  <si>
    <t>דברי שלום - 9 כר'</t>
  </si>
  <si>
    <t>לוויטאן, שלום יצחק בן דוד בן-ציון</t>
  </si>
  <si>
    <t>דברי שלום - 12 כר'</t>
  </si>
  <si>
    <t>מזרחי, שלום יצחק בן משה עזרא</t>
  </si>
  <si>
    <t>משאש, שלום בן זכרי</t>
  </si>
  <si>
    <t>דברי שלום - 19 כר'</t>
  </si>
  <si>
    <t>עפג'ין, אבנר בן שלום</t>
  </si>
  <si>
    <t>דברי שלום - 7 כר'</t>
  </si>
  <si>
    <t>קרויז, שלום בן שמואל דוד</t>
  </si>
  <si>
    <t>דברי שלום, חמרא חיי</t>
  </si>
  <si>
    <t>זאדה, דניאל יוסף</t>
  </si>
  <si>
    <t>דברי שלמה</t>
  </si>
  <si>
    <t>דברי שלמה - א</t>
  </si>
  <si>
    <t>אצרף, שלמה יצחקי</t>
  </si>
  <si>
    <t>דברי שלמה - 4 כר'</t>
  </si>
  <si>
    <t>בלומנקרץ, אברהם שלמה</t>
  </si>
  <si>
    <t>ברויאר, שלמה זלמן בן מרדכי</t>
  </si>
  <si>
    <t>גוטמן, שלמה צבי בן משה דוד</t>
  </si>
  <si>
    <t>הלוי, שלמה בן יצחק הזקן</t>
  </si>
  <si>
    <t>לוי, שלמה בן שמעון</t>
  </si>
  <si>
    <t>דברי שלמה - 2 כר'</t>
  </si>
  <si>
    <t>מאירוביץ, שלמה בן שלום דוד</t>
  </si>
  <si>
    <t>דרושים, מחשבה ומוסר, משנה, נושאים שונים, תלמוד בבלי</t>
  </si>
  <si>
    <t>מעהר, שלמה בן מנחם</t>
  </si>
  <si>
    <t>תרס"ו - תרס"ז</t>
  </si>
  <si>
    <t>סלאווין, שלמה בן מיכל שאול דוב הלוי</t>
  </si>
  <si>
    <t>דברי שלמה - מועדים</t>
  </si>
  <si>
    <t>פרידמן, שלמה בן נחום מרדכי מטשורטקוב</t>
  </si>
  <si>
    <t>קום, חיים שלמה בן שמעון זימל</t>
  </si>
  <si>
    <t>קירשבוים, יוחנן בן שלמה</t>
  </si>
  <si>
    <t>תש"ט - תשט"ו</t>
  </si>
  <si>
    <t>קרליץ, שלמה שמשון בן מאיר</t>
  </si>
  <si>
    <t>ריבלין, שלמה זלמן בן הילל</t>
  </si>
  <si>
    <t>תרכ"ח - תר"מ</t>
  </si>
  <si>
    <t>שלם, שלמה בן יחיאל</t>
  </si>
  <si>
    <t>תקי"ג - תקי"ד</t>
  </si>
  <si>
    <t>שניידער, שלמה בן משה</t>
  </si>
  <si>
    <t>דברי שמואל &lt;מהדורה חדשה&gt;</t>
  </si>
  <si>
    <t>צרפתי, שמואל בן אברהם</t>
  </si>
  <si>
    <t>דברי שמואל הקטן</t>
  </si>
  <si>
    <t>ווינטורוצו, שמואל בן משה</t>
  </si>
  <si>
    <t>דברי שמואל</t>
  </si>
  <si>
    <t>אידלזאק, שמואל בן אבא</t>
  </si>
  <si>
    <t>ארדיטי, רפאל שמואל בן יעקב</t>
  </si>
  <si>
    <t>דברי שמואל - 2 כר'</t>
  </si>
  <si>
    <t>הורוויץ, שמואל שמלקה בן צבי הירש הלוי</t>
  </si>
  <si>
    <t>חסידות, משנה, תנ"ך</t>
  </si>
  <si>
    <t>דברי שמואל - 4 כר'</t>
  </si>
  <si>
    <t>ליפשיץ, נח שמואל בן יהודה ליב</t>
  </si>
  <si>
    <t>תרפ"ז הס'</t>
  </si>
  <si>
    <t>מודלינגר, שמואל בן חיים דוב הלוי</t>
  </si>
  <si>
    <t>דברי שמואל - ברכת התורה</t>
  </si>
  <si>
    <t>פרימן, שמואל מלאכי</t>
  </si>
  <si>
    <t>צ'אהרי, שמואל בן אברהם</t>
  </si>
  <si>
    <t>תנ"ט - ת"ס</t>
  </si>
  <si>
    <t>דברי שמואל - 5 כר'</t>
  </si>
  <si>
    <t>ראטה, שמואל זאב הלוי</t>
  </si>
  <si>
    <t>רובין, שמואל בן יחזקאל</t>
  </si>
  <si>
    <t>שמואל זאנוול בן חנוך</t>
  </si>
  <si>
    <t>דברי שמחה</t>
  </si>
  <si>
    <t>האלברשטאם, שמחה יששכר דוב בן יחזקאל שרג</t>
  </si>
  <si>
    <t>דברי שמחה - דברים</t>
  </si>
  <si>
    <t>דברי שמעיה</t>
  </si>
  <si>
    <t>דייטש, שמעיה</t>
  </si>
  <si>
    <t>טירנוי</t>
  </si>
  <si>
    <t>דברי שמריהו יצחק</t>
  </si>
  <si>
    <t>קליין, משה בן דוד אריה הכהן</t>
  </si>
  <si>
    <t>דברי שערי חיים &lt;מכת"י&gt; - 4 כר'</t>
  </si>
  <si>
    <t>דברי שערי חיים</t>
  </si>
  <si>
    <t>דברי שפר - ריבית</t>
  </si>
  <si>
    <t>שרייבר, פנחס בן ישראל בונם</t>
  </si>
  <si>
    <t>דברי שר - 3 כר'</t>
  </si>
  <si>
    <t>דברי תורה &lt;פרקי הגר וישמעאל&gt; - בראשית</t>
  </si>
  <si>
    <t>דברי תורה בעניני הלכות דעות וחובות הלבבות</t>
  </si>
  <si>
    <t>הוטנר, יצחק בן חיים</t>
  </si>
  <si>
    <t>[ניו-יורק],</t>
  </si>
  <si>
    <t>דברי תורה וסיפורי נפלאות מהסבא קדישא מקאזמיר</t>
  </si>
  <si>
    <t>טאוב, יהודה לייב בן פנחס משה</t>
  </si>
  <si>
    <t>דברי תורה ושיחת חולין</t>
  </si>
  <si>
    <t>גלאזר, נתן צבי</t>
  </si>
  <si>
    <t>דברי תורה ותולדות</t>
  </si>
  <si>
    <t>רוטנברג, פנחס אליהו (ר' פינטשע)</t>
  </si>
  <si>
    <t>דברי תורה מהרבנית מיכלא איטא רבינוביץ</t>
  </si>
  <si>
    <t>רבינוביץ, מיכלא איטא</t>
  </si>
  <si>
    <t>דברי תורה מכ"ק אדמו"ר מקאמרנא</t>
  </si>
  <si>
    <t>ספרין, נתנאל</t>
  </si>
  <si>
    <t>דברי תורה מכ"ק אדמו"ר שליט"א</t>
  </si>
  <si>
    <t>דברי תורה - 2 כר'</t>
  </si>
  <si>
    <t>דברי תורה</t>
  </si>
  <si>
    <t>הוטנר, יצחק בן חיים יואל</t>
  </si>
  <si>
    <t>דברי תורה - 3 כר'</t>
  </si>
  <si>
    <t>דברי תורה - מקואות</t>
  </si>
  <si>
    <t>ספראי, יוסף</t>
  </si>
  <si>
    <t>דברי תורה - חולין</t>
  </si>
  <si>
    <t>פרנקל-תאומים, יהונתן שמעון בן יעקב</t>
  </si>
  <si>
    <t>צוקר, דב בן יחיאל מאיר</t>
  </si>
  <si>
    <t>קורח, שלמה בן יחיא</t>
  </si>
  <si>
    <t>דברי תלמוד - 2 כר'</t>
  </si>
  <si>
    <t>קפלן, אברהם אליהו בן אברהם אליהו</t>
  </si>
  <si>
    <t>תשי"ח - תש"ל</t>
  </si>
  <si>
    <t>דברי תפלה</t>
  </si>
  <si>
    <t>דבריהם זכרונם</t>
  </si>
  <si>
    <t>ברוק, חיים אליעזר בן-ציון בן בנימין</t>
  </si>
  <si>
    <t>דבריך יאיר - 6 כר'</t>
  </si>
  <si>
    <t>חדאד, יאיר</t>
  </si>
  <si>
    <t>דברים אחדים &lt;אחורי תרעא&gt;</t>
  </si>
  <si>
    <t>דברים אחדים בדבר בית הספרים שבירושלים</t>
  </si>
  <si>
    <t>חזנוביץ, יוסף בן אהרן</t>
  </si>
  <si>
    <t>דברים אחדים - 3 כר'</t>
  </si>
  <si>
    <t>דברים אחדים</t>
  </si>
  <si>
    <t>דה לוו, יעקב בן חיים</t>
  </si>
  <si>
    <t>לידן Leiden</t>
  </si>
  <si>
    <t>דברים אחדים - ברייתא דמלאכת המשכן, קינים</t>
  </si>
  <si>
    <t>דים, חיים אברהם</t>
  </si>
  <si>
    <t>דברים בעתם - 3 כר'</t>
  </si>
  <si>
    <t>דברים בעתם</t>
  </si>
  <si>
    <t>פרידמן, שלמה חיים בן ישראל</t>
  </si>
  <si>
    <t>דברים המועילים לעילוי נשמת הנפטרים</t>
  </si>
  <si>
    <t>דברים חדים - בבא קמא</t>
  </si>
  <si>
    <t>הכמן שמחה בן משה</t>
  </si>
  <si>
    <t>דברים טובים - פירוש מגילת קהלת</t>
  </si>
  <si>
    <t>אלשיך, משה בן חיים</t>
  </si>
  <si>
    <t>דברים יקרים</t>
  </si>
  <si>
    <t>דברים כהוויתן</t>
  </si>
  <si>
    <t>קבוצת אברכים</t>
  </si>
  <si>
    <t>דברים ככתבם</t>
  </si>
  <si>
    <t>גרויבארט, יהודה ליב בן בנימין</t>
  </si>
  <si>
    <t>דברים לזכרו של מוהר"ר יצחק כדורי זצוק"ל</t>
  </si>
  <si>
    <t>נושאים שונים, שונות, תולדות עם ישראל</t>
  </si>
  <si>
    <t>דברים לזכרו של מורנו ורבנו הגאון הרב ד"ר יחיאל יעקב וינברג זצ"ל</t>
  </si>
  <si>
    <t>שטרן, משה - כהן, חיים גבריאל - ווינגוט, אברהם אבא</t>
  </si>
  <si>
    <t>דברים נחמדים</t>
  </si>
  <si>
    <t>חסידות, מחשבה ומוסר, נושאים שונים, נושאים שונים, קבצים וכתבי עת, ספרי זכרון ויובל, תולדות עם ישראל, תפלות בקשות פיוטים ושירה</t>
  </si>
  <si>
    <t>דברים נחמדים - 2 כר'</t>
  </si>
  <si>
    <t>דברים נכוחים - 2 כר'</t>
  </si>
  <si>
    <t>ליטש סג"ל רוזנבוים, גרשון בן משה אריה לייב</t>
  </si>
  <si>
    <t>דברים נעימים</t>
  </si>
  <si>
    <t>לווינסון, מנחם חיים בן צבי הירש הלוי</t>
  </si>
  <si>
    <t>דרושים, מחשבה ומוסר, משנה, משנה, משנה</t>
  </si>
  <si>
    <t>דברים נפלאים על שבת קדשנו</t>
  </si>
  <si>
    <t>דברים נפלאים</t>
  </si>
  <si>
    <t>גרשטל, זאב וולף בן שמואל</t>
  </si>
  <si>
    <t>דברים ערבים - א ב</t>
  </si>
  <si>
    <t>ארמאן, דוב בר בן משה שמואל</t>
  </si>
  <si>
    <t>תרס"ג - תרס"ה</t>
  </si>
  <si>
    <t>דברים ערבים - 3 כר'</t>
  </si>
  <si>
    <t>דברים עתיקים - 2 כר'</t>
  </si>
  <si>
    <t>דברים עתיקים</t>
  </si>
  <si>
    <t>תר"ד - תר"ו</t>
  </si>
  <si>
    <t>דברים שיש להם שיעור</t>
  </si>
  <si>
    <t>אוסף מאמרים</t>
  </si>
  <si>
    <t>דברים של טעם</t>
  </si>
  <si>
    <t>דברים שנאמרו על מסכת בבא קמא</t>
  </si>
  <si>
    <t>דברך נצב בשמים</t>
  </si>
  <si>
    <t>ברזל, פינחס ירוחם</t>
  </si>
  <si>
    <t>דברת שבועה - 2 כר'</t>
  </si>
  <si>
    <t>קונסטלר, רפאל הכהן</t>
  </si>
  <si>
    <t>דברת שלמה &lt;הוצאה חדשה&gt;</t>
  </si>
  <si>
    <t>שלמה בן אברהם מלוצק</t>
  </si>
  <si>
    <t>דברת שלמה - 2 כר'</t>
  </si>
  <si>
    <t>דברתי דברי</t>
  </si>
  <si>
    <t>דינר, אליעזר בן אברהם משה הלוי</t>
  </si>
  <si>
    <t>דבש השדה</t>
  </si>
  <si>
    <t>בריל, דוב בר</t>
  </si>
  <si>
    <t>דבש וחלב</t>
  </si>
  <si>
    <t>חזן, יששכר בן בן ציון</t>
  </si>
  <si>
    <t>ציגלמן, דניאל</t>
  </si>
  <si>
    <t>קרנגיל, מנחם מאנדל בן יוסף פינחס</t>
  </si>
  <si>
    <t>דבש לפי - 3 כר'</t>
  </si>
  <si>
    <t>דבש לפי</t>
  </si>
  <si>
    <t>הרשקוביץ, דוד בן שלמה</t>
  </si>
  <si>
    <t>נושאים שונים, שלחן ערוך ומפרשיו, תנ"ך</t>
  </si>
  <si>
    <t>דבש לפי, פה אחד</t>
  </si>
  <si>
    <t>דבש מסלע - 3 כר'</t>
  </si>
  <si>
    <t>אונגאר, שמואל דוד בן שלום משה הלוי</t>
  </si>
  <si>
    <t>דבש מסלע</t>
  </si>
  <si>
    <t>ברוידא, שלמה מאיר בן דוד</t>
  </si>
  <si>
    <t>שיף, דב</t>
  </si>
  <si>
    <t>דבש צבי</t>
  </si>
  <si>
    <t>ווייס, חיים צבי בן יעקב</t>
  </si>
  <si>
    <t>דבש תמר</t>
  </si>
  <si>
    <t>טייטלבוים, דוד בן שלמה</t>
  </si>
  <si>
    <t>נושאים שונים, תלמוד בבלי, תלמוד ירושלמי, תנ"ך</t>
  </si>
  <si>
    <t>דבש תמרים</t>
  </si>
  <si>
    <t>ישיבת תורה ויראה ובית רחל דרבינו יואל</t>
  </si>
  <si>
    <t>דבש תמרים - 2 כר'</t>
  </si>
  <si>
    <t>שיעורים מישיבת משנה תורה</t>
  </si>
  <si>
    <t>דג חי או דג נט</t>
  </si>
  <si>
    <t>לוי, קובי</t>
  </si>
  <si>
    <t>דגול מרבבה על שיר השירים</t>
  </si>
  <si>
    <t>גרוסמאן, דוב בן יחיאל מיכל</t>
  </si>
  <si>
    <t>דגול מרבבה</t>
  </si>
  <si>
    <t>טריוויש, רפאל בן ברוך</t>
  </si>
  <si>
    <t>דגול מרבבה - 2 כר'</t>
  </si>
  <si>
    <t>לאנדא, יחזקאל בן יהודה הלוי</t>
  </si>
  <si>
    <t>דגל אהבה</t>
  </si>
  <si>
    <t>ארקיוולטי, שמואל בן אלחנן יעקב</t>
  </si>
  <si>
    <t>שי"א</t>
  </si>
  <si>
    <t>דגל אפרים - 2 כר'</t>
  </si>
  <si>
    <t>פלדמאן, אפרים פישל בן משה ישראל</t>
  </si>
  <si>
    <t>דגל המוסר</t>
  </si>
  <si>
    <t>ליבמן, גרשון</t>
  </si>
  <si>
    <t>דגל הצעירים - 4 כר'</t>
  </si>
  <si>
    <t>דגל הרבנים - 4 כר'</t>
  </si>
  <si>
    <t>קובץ רבני תלמודי</t>
  </si>
  <si>
    <t>וורשה</t>
  </si>
  <si>
    <t>דגל התורה &lt;וישווא&gt; - 18 כר'</t>
  </si>
  <si>
    <t>מכתב חודשי</t>
  </si>
  <si>
    <t>וישווא</t>
  </si>
  <si>
    <t>דגל התורה תרפ"א - תרפ"ב</t>
  </si>
  <si>
    <t>מאסף רבני תלמודי - כשר, מנחם מנדל (עורך)</t>
  </si>
  <si>
    <t>תרפ"א - תרפ"ב</t>
  </si>
  <si>
    <t>דגל התורה</t>
  </si>
  <si>
    <t>דגל יהודה</t>
  </si>
  <si>
    <t>ביאלוסטוצקי, מאיר יהודה</t>
  </si>
  <si>
    <t>הלכה ומנהג, תלמוד בבלי, תלמוד ירושלמי</t>
  </si>
  <si>
    <t>לוקץ, יהודה ליב</t>
  </si>
  <si>
    <t>קאמינר, יהודה בן מאיר יחיאל הלוי</t>
  </si>
  <si>
    <t>דגל יוסף</t>
  </si>
  <si>
    <t>אלוני, זלמן יוסף בן יצחק</t>
  </si>
  <si>
    <t>דבלין Dublin</t>
  </si>
  <si>
    <t>דגל ירושלים - 5 כר'</t>
  </si>
  <si>
    <t>דגל ישראל</t>
  </si>
  <si>
    <t>דגל מחנה אפרים &lt;מהדורה חדשה&gt;</t>
  </si>
  <si>
    <t>אשכנזי, משה חיים אפרים בן יחיאל מיכל</t>
  </si>
  <si>
    <t>ניויורק</t>
  </si>
  <si>
    <t>דגל מחנה אפרים &lt;מהדורת ספרי אוה"ח&gt;</t>
  </si>
  <si>
    <t>דגל מחנה אפרים &lt;מכון הכתב&gt;</t>
  </si>
  <si>
    <t>לאניאדו, אפרים בן רפאל שלמה</t>
  </si>
  <si>
    <t>דגל מחנה אפרים - 4 כר'</t>
  </si>
  <si>
    <t>דגל מחנה אפרים</t>
  </si>
  <si>
    <t>קבלה, קבלה, שאלות ותשובות, שלחן ערוך ומפרשיו</t>
  </si>
  <si>
    <t>דגל מחנה אפרים - 2 כר'</t>
  </si>
  <si>
    <t>שטיינברג, אפרים מרדכי</t>
  </si>
  <si>
    <t>דגל מחנה יהודה &lt;מהדורה חדשה&gt;</t>
  </si>
  <si>
    <t>בראנדוויין, אליעזר בן יוסף</t>
  </si>
  <si>
    <t>מועדי ישראל, תלמוד בבלי, תנ"ך, תנ"ך</t>
  </si>
  <si>
    <t>דגל מחנה יהודה</t>
  </si>
  <si>
    <t>דגל מחנה ראובן</t>
  </si>
  <si>
    <t>לאנדא, ראובן בן יצחק הלוי</t>
  </si>
  <si>
    <t>ספר הזכרון לרבי ראובן אליצור</t>
  </si>
  <si>
    <t>קארנאווסקי, ראובן זליג (לזכרו)</t>
  </si>
  <si>
    <t>דגל מנשה</t>
  </si>
  <si>
    <t>דגל מנשה - 2 כר'</t>
  </si>
  <si>
    <t>ליברמאן, מנשה</t>
  </si>
  <si>
    <t>דגל נפתלי</t>
  </si>
  <si>
    <t>ליבוביץ, נפתלי זאב הכהן</t>
  </si>
  <si>
    <t>דגל ראובן - 4 כר'</t>
  </si>
  <si>
    <t>כ"ץ, ראובן בן שמעון הכהן</t>
  </si>
  <si>
    <t>תרפ"ג - תש"ט</t>
  </si>
  <si>
    <t>דגל שמעון</t>
  </si>
  <si>
    <t>רז, שמעון צבי</t>
  </si>
  <si>
    <t>דגלה של תורה - 2 כר'</t>
  </si>
  <si>
    <t>דגלי המדפיסים העבריים</t>
  </si>
  <si>
    <t>דגלי יהודה</t>
  </si>
  <si>
    <t>דגלנו - 124 כר'</t>
  </si>
  <si>
    <t>בטאון תנועת צא"י</t>
  </si>
  <si>
    <t>דגלנו - 9 כר'</t>
  </si>
  <si>
    <t>קובץ ספרותי חרדי</t>
  </si>
  <si>
    <t>וורשא</t>
  </si>
  <si>
    <t>דגן בחורים</t>
  </si>
  <si>
    <t>דזובאס, אברהם יצחק בן דוד מאיר</t>
  </si>
  <si>
    <t>תרס"ד - תרפ"ח</t>
  </si>
  <si>
    <t>דגן שמים</t>
  </si>
  <si>
    <t>פאלי, אליהו בן נח</t>
  </si>
  <si>
    <t>דגת הים</t>
  </si>
  <si>
    <t>דו יובלין, שבת שבתון, פרח שושנה אדומה</t>
  </si>
  <si>
    <t>גולבסקי, חיים דובער</t>
  </si>
  <si>
    <t>דו שיח</t>
  </si>
  <si>
    <t>דובב מישרים</t>
  </si>
  <si>
    <t>ברזון דוב אריה</t>
  </si>
  <si>
    <t>דובב מישרים - 5 כר'</t>
  </si>
  <si>
    <t>וויידנפלד, דוב בריש בן יעקב</t>
  </si>
  <si>
    <t>דובב שפתי ישנים [אטינגר]</t>
  </si>
  <si>
    <t>דובב שפתי ישנים</t>
  </si>
  <si>
    <t>אתרוג, נחום בן דוב</t>
  </si>
  <si>
    <t>דובב שפתי ישנים - ג</t>
  </si>
  <si>
    <t>בלוך, משה חיים אפרים בן אברהם אבא</t>
  </si>
  <si>
    <t>תשי"ט - תשכ"א</t>
  </si>
  <si>
    <t>בנבנישתי, משה די שיגוביא</t>
  </si>
  <si>
    <t>תל"א</t>
  </si>
  <si>
    <t>מחשבה ומוסר, משנה, תלמוד בבלי, תנ"ך, תפלות בקשות פיוטים ושירה</t>
  </si>
  <si>
    <t>ברודא, שמעון יהודה בן ישראל</t>
  </si>
  <si>
    <t>מיכאלוביץ</t>
  </si>
  <si>
    <t>דובב שפתי ישנים - חלק ג</t>
  </si>
  <si>
    <t>טובר, דוב בר בן עזריאל זאב</t>
  </si>
  <si>
    <t>דובב שפתי ישנים - 2 כר'</t>
  </si>
  <si>
    <t>מהדאר, מניני (בנימין)</t>
  </si>
  <si>
    <t>פישר, דוב</t>
  </si>
  <si>
    <t>Mattersdorf מטרסדורף</t>
  </si>
  <si>
    <t>דובב שפתי ישנים - רבן גמליאל דיבנה</t>
  </si>
  <si>
    <t>צנעני, איתן</t>
  </si>
  <si>
    <t>שכטר, אברהם בן יהודה ליב</t>
  </si>
  <si>
    <t>דובבות יעקב - סנהדרין</t>
  </si>
  <si>
    <t>אייזנבערג דב בן אברהם, פוזן יעקב בן פנחס פרץ</t>
  </si>
  <si>
    <t>דובבות יעקב - 2 כר'</t>
  </si>
  <si>
    <t>משינסקי, יואל נחום</t>
  </si>
  <si>
    <t>דובבות יעקב - קדושין</t>
  </si>
  <si>
    <t>שפירא, חיים צבי בן יוסף</t>
  </si>
  <si>
    <t>דובנא רבתי</t>
  </si>
  <si>
    <t>מרגליות, חיים זאב</t>
  </si>
  <si>
    <t>דובר ישרים - 5 כר'</t>
  </si>
  <si>
    <t>וייס, דוב</t>
  </si>
  <si>
    <t>דובר ישרים - 3 כר'</t>
  </si>
  <si>
    <t>דובר מישרים</t>
  </si>
  <si>
    <t>ברגמן, דוב בר בן יוסף זאב</t>
  </si>
  <si>
    <t>שאול, רפאל מרדכי יהושע בן חיים אברהם</t>
  </si>
  <si>
    <t>דובר מציון - 2 כר'</t>
  </si>
  <si>
    <t>דובר משרים</t>
  </si>
  <si>
    <t>יולס, זכריה ישעיהו בן מרדכי צבי הכהן</t>
  </si>
  <si>
    <t>דובר צדק  &lt;מהדורת הר ברכה&gt;</t>
  </si>
  <si>
    <t>דובר צדק</t>
  </si>
  <si>
    <t>דובר שלום - 3 כר'</t>
  </si>
  <si>
    <t>טובים, שלמה בן שלום</t>
  </si>
  <si>
    <t>דובר שלום</t>
  </si>
  <si>
    <t>לאנדא, יצחק אליהו בן שמואל</t>
  </si>
  <si>
    <t>דובר שלום - 2 כר'</t>
  </si>
  <si>
    <t>שטאם, שלום אליהו בן זוסמאן</t>
  </si>
  <si>
    <t>דובר שלום - תלמוד תורה</t>
  </si>
  <si>
    <t>שלום, מנשה</t>
  </si>
  <si>
    <t>דוברזין - יזכור בלעלטלעך</t>
  </si>
  <si>
    <t>ספר קהילה - רוסק, שמואל</t>
  </si>
  <si>
    <t>דובשנה של תורה</t>
  </si>
  <si>
    <t>דוד במצודה</t>
  </si>
  <si>
    <t>שלוניקי.תק"ח</t>
  </si>
  <si>
    <t>דוד המלך</t>
  </si>
  <si>
    <t>סבג, שמעון</t>
  </si>
  <si>
    <t>דוד מלך ישראל חי וקיים</t>
  </si>
  <si>
    <t>דודאי אליהו - 2 כר'</t>
  </si>
  <si>
    <t>אוחנה, אליהו דוד בן יוסף</t>
  </si>
  <si>
    <t>דודאי השדה</t>
  </si>
  <si>
    <t>דייטש, אליעזר חיים בן אברהם</t>
  </si>
  <si>
    <t>הקשר, דוד בן שמעון</t>
  </si>
  <si>
    <t>דודאי יעקב</t>
  </si>
  <si>
    <t>ריביאט, אדם בן יעקב</t>
  </si>
  <si>
    <t>אוק פארק מישיגן</t>
  </si>
  <si>
    <t>דודאי ישראל</t>
  </si>
  <si>
    <t>הרפנס, ישראל דוד</t>
  </si>
  <si>
    <t>דודאי מהרא"י</t>
  </si>
  <si>
    <t>אטינגר, יצחק יוסף</t>
  </si>
  <si>
    <t>תר"ז</t>
  </si>
  <si>
    <t>דודאי משה - שעורי הגרנ"ט החדשים</t>
  </si>
  <si>
    <t>טרופ, נפתלי - דרייען, משה דוד</t>
  </si>
  <si>
    <t>דודאי ראובן - 2 כר'</t>
  </si>
  <si>
    <t>נדאף, ראובן בן יהודה</t>
  </si>
  <si>
    <t>דודאי ראובן</t>
  </si>
  <si>
    <t>נלקן, ראובן בן שמואל</t>
  </si>
  <si>
    <t>סעדון, ראובן בן אליהו</t>
  </si>
  <si>
    <t>דודאי שמואל - 2 כר'</t>
  </si>
  <si>
    <t>וולפא, שמואל דוד בן ברוך מרדכי הלוי</t>
  </si>
  <si>
    <t>דודאים בשדה</t>
  </si>
  <si>
    <t>דוידוביץ, שמואל בן משה אברהם יוסף</t>
  </si>
  <si>
    <t>הורוויץ, ראובן בן יעקב חיים הלוי</t>
  </si>
  <si>
    <t>דודי לצבי</t>
  </si>
  <si>
    <t>רוטנשטרייך, צבי טוביה בן אליהו קלונימוס הכהן</t>
  </si>
  <si>
    <t>דולה ומשקה</t>
  </si>
  <si>
    <t>דולה ומשקה - 3 כר'</t>
  </si>
  <si>
    <t>הורוביץ, יעקב (בכר, תומר חיים בן עזריאל - עורך)</t>
  </si>
  <si>
    <t>דולה ומשקה - אלול וראש השנה</t>
  </si>
  <si>
    <t>הורוביץ, יעקב (ערך וכתב: בכר, תומר חיים בן עזריאל</t>
  </si>
  <si>
    <t>מועדי ישראל, מחשבה ומוסר, נושאים שונים</t>
  </si>
  <si>
    <t>דולה ומשקה - 7 כר'</t>
  </si>
  <si>
    <t>הורוביץ, יעקב - בכר, תומר חיים בן עזריאל  עורך</t>
  </si>
  <si>
    <t>דולה ומשקה - מאמרי חנוכה</t>
  </si>
  <si>
    <t>הורוביץ, יעקב</t>
  </si>
  <si>
    <t>לעבאוויטש, יצחק</t>
  </si>
  <si>
    <t>וואודרידזש</t>
  </si>
  <si>
    <t>מודזגברישווילי, גבריאל מנחם</t>
  </si>
  <si>
    <t>צישנסקי, אהרן דוד</t>
  </si>
  <si>
    <t>דולה ומשקה - 5 כר'</t>
  </si>
  <si>
    <t>קורמן, אליעזר בן נתנאל אלימלך מנחם</t>
  </si>
  <si>
    <t>שציגל, אברהם חיים</t>
  </si>
  <si>
    <t>דומברובאן</t>
  </si>
  <si>
    <t>דון יוסף הנשיא</t>
  </si>
  <si>
    <t>קלוזנר, יוסף</t>
  </si>
  <si>
    <t>דון יצחק אברבנאל</t>
  </si>
  <si>
    <t>לאנדא, יהודה ליב בן משה יששכר</t>
  </si>
  <si>
    <t>דופני הסוכה</t>
  </si>
  <si>
    <t>שטינברג, יואל בן חיים מאיר יחיאל הלוי</t>
  </si>
  <si>
    <t>דופקי תשובה - 2 כר'</t>
  </si>
  <si>
    <t>פרנקל, אברהם בן זאב וולף</t>
  </si>
  <si>
    <t>דור דור ודורשיו - 2 כר'</t>
  </si>
  <si>
    <t>אליאסי, אלקנה</t>
  </si>
  <si>
    <t>דור דורים - 2 כר'</t>
  </si>
  <si>
    <t>גלאזנר, עקיבא בן משה שמואל</t>
  </si>
  <si>
    <t>דור דעה</t>
  </si>
  <si>
    <t>דור דעה - 3 כר'</t>
  </si>
  <si>
    <t>תרצ"ג - תרצ"ה</t>
  </si>
  <si>
    <t>דור המלקטים - 8 כר'</t>
  </si>
  <si>
    <t>שטילרמן, יוסף בן נחום</t>
  </si>
  <si>
    <t>דור ודור ודורשיו &lt;דורות עולמים&gt;</t>
  </si>
  <si>
    <t>לווינשטיין, יוסף בן אברהם</t>
  </si>
  <si>
    <t>דור ודור ודורשיו</t>
  </si>
  <si>
    <t>תרע"ד אחרי</t>
  </si>
  <si>
    <t>דור ודור ודורשיו - בינו שנות דור ודור</t>
  </si>
  <si>
    <t>לוונשטיין, יוסף בן אברהם אבוש - רובינשטיין, יהודה</t>
  </si>
  <si>
    <t>דור ודורשיו</t>
  </si>
  <si>
    <t>גורדון, יעקב דוד בן יהודה</t>
  </si>
  <si>
    <t>דור ישרים</t>
  </si>
  <si>
    <t>ליינר, חיים שמחה בן אברהם יהושע השל</t>
  </si>
  <si>
    <t>דור ישרים - 2 כר'</t>
  </si>
  <si>
    <t>ליפשיץ, יהודה בן אליעזר ליפמאן הלוי</t>
  </si>
  <si>
    <t>תרס"ח - תר"ע</t>
  </si>
  <si>
    <t>דור רביעי לרבנות באזעל</t>
  </si>
  <si>
    <t>לוינגר, ישראל מאיר</t>
  </si>
  <si>
    <t>באזל</t>
  </si>
  <si>
    <t>דור רביעי - 2 כר'</t>
  </si>
  <si>
    <t>דור רבניו וסופריו - 5 כר'</t>
  </si>
  <si>
    <t>תרנ"ה - תרס"ה</t>
  </si>
  <si>
    <t>וארשה</t>
  </si>
  <si>
    <t>דור שבן דוד בא</t>
  </si>
  <si>
    <t>לופט, אפרים</t>
  </si>
  <si>
    <t>דור"ש סמוכים</t>
  </si>
  <si>
    <t>דורון דרשה</t>
  </si>
  <si>
    <t>דורון לבר-מצוה</t>
  </si>
  <si>
    <t>אברמוביץ, חיים יצחק בן גדליה</t>
  </si>
  <si>
    <t>דורות האחרונים - 5 כר'</t>
  </si>
  <si>
    <t>תרצ"ז - תש"א</t>
  </si>
  <si>
    <t>דורות הראשונים - 7 כר'</t>
  </si>
  <si>
    <t>תר"פ - תרפ"ב</t>
  </si>
  <si>
    <t>דורות ישרים - 2 כר'</t>
  </si>
  <si>
    <t>פריינד, יעקב שלום בן ישראל</t>
  </si>
  <si>
    <t>דרושים, מועדי ישראל, משנה, תולדות עם ישראל, תלמוד בבלי, תלמוד בבלי, תנ"ך, תפלות בקשות פיוטים ושירה</t>
  </si>
  <si>
    <t>דורות</t>
  </si>
  <si>
    <t>אלעי, מרדכי</t>
  </si>
  <si>
    <t>דורות - 60 כר'</t>
  </si>
  <si>
    <t>הגליון השבועי של בטאון העדה</t>
  </si>
  <si>
    <t>דורנו מול שאלות הנצח</t>
  </si>
  <si>
    <t>בארט, אהרן בן יעקב</t>
  </si>
  <si>
    <t>דורש בעדי</t>
  </si>
  <si>
    <t>עבודי יחיא משה</t>
  </si>
  <si>
    <t>דורש טוב &lt;המבואר&gt;</t>
  </si>
  <si>
    <t>דורש טוב &lt;החדש&gt; - תורה ומועדים</t>
  </si>
  <si>
    <t>פרידמן, נחום מרדכי מטשורטקוב</t>
  </si>
  <si>
    <t>דרושים, דרושים, מועדי ישראל, תולדות עם ישראל, תולדות עם ישראל</t>
  </si>
  <si>
    <t>דורש טוב לעמו - וערך הכהן</t>
  </si>
  <si>
    <t>הכהן, מרדכי אמייס</t>
  </si>
  <si>
    <t>דורש טוב לעמו - רבי מרדכי לסקר</t>
  </si>
  <si>
    <t>וינשטוק, חנוך חיים</t>
  </si>
  <si>
    <t>דורש טוב לעמו</t>
  </si>
  <si>
    <t>דורש טוב לעמו - א (בראשית)</t>
  </si>
  <si>
    <t>לעוווין, אלכסנדר זיסקינד בן שמואל יוסף</t>
  </si>
  <si>
    <t>דורש טוב לעמו - 2 כר'</t>
  </si>
  <si>
    <t>שווארץ, מרדכי צבי בן רפאל</t>
  </si>
  <si>
    <t>תרע"ז - תרע"ט</t>
  </si>
  <si>
    <t>דורש טוב - 4 כר'</t>
  </si>
  <si>
    <t>דורש טוב</t>
  </si>
  <si>
    <t>דורש טוב - 2 כר'</t>
  </si>
  <si>
    <t>דורש טוב - ברית מילה</t>
  </si>
  <si>
    <t>חלפון, אליהו בן חיים</t>
  </si>
  <si>
    <t>נוף אילון</t>
  </si>
  <si>
    <t>כאלפון, יעקב בן יוסף</t>
  </si>
  <si>
    <t>לאנדא, מרדכי בן זאב</t>
  </si>
  <si>
    <t>דורש טוב - מועדים</t>
  </si>
  <si>
    <t>דרושים, דרושים, מועדי ישראל</t>
  </si>
  <si>
    <t>קלאר, יצחק אלחנן</t>
  </si>
  <si>
    <t>דורש לציון</t>
  </si>
  <si>
    <t>בריל, יעקב בן מיכל</t>
  </si>
  <si>
    <t>דורש לציון  - זכרון שלמה</t>
  </si>
  <si>
    <t>גוטרמאן, אהרן מנחם בן שלמה יהושע דוד - פרידמן, שלמה</t>
  </si>
  <si>
    <t>דרשות מייסדי הישוב בארה"ק</t>
  </si>
  <si>
    <t>דורש לציון - 3 כר'</t>
  </si>
  <si>
    <t>דורש לשבח</t>
  </si>
  <si>
    <t>דורש מציון</t>
  </si>
  <si>
    <t>דורש משפט - 2 כר'</t>
  </si>
  <si>
    <t>ויצמן, מאיר יוסף בן אברהם יצחק</t>
  </si>
  <si>
    <t>דורש משפט</t>
  </si>
  <si>
    <t>פלורנטין, שלמה בן שמואל</t>
  </si>
  <si>
    <t>דורש רשומות האגדה - 2 כר'</t>
  </si>
  <si>
    <t>ליבוביץ, נחמיה שמואל בן יצחק</t>
  </si>
  <si>
    <t>מחשבה ומוסר, נושאים שונים, תולדות עם ישראל, תלמוד בבלי</t>
  </si>
  <si>
    <t>דורשי ה'</t>
  </si>
  <si>
    <t>סגל, יהודה זרחיה בן שפטיה הלוי</t>
  </si>
  <si>
    <t>דורשי רשומות</t>
  </si>
  <si>
    <t>מייזלעס, אברהם</t>
  </si>
  <si>
    <t>דורשי תורה - 2 כר'</t>
  </si>
  <si>
    <t>די באר - 8 כר'</t>
  </si>
  <si>
    <t>די ביאגראפיע פון א ווארשעווער רב [מיכלסון, צבי יחזקאל]</t>
  </si>
  <si>
    <t>שמן,  נ.</t>
  </si>
  <si>
    <t>די בימה - 16 כר'</t>
  </si>
  <si>
    <t>די ברכה אין שטוב - 231 כר'</t>
  </si>
  <si>
    <t>בית ברכה מרכז מפעלי חינוך לבנות סטולין קרלין</t>
  </si>
  <si>
    <t>די געשיכטע פון מיינע ליידען</t>
  </si>
  <si>
    <t>בייליס, מנדל</t>
  </si>
  <si>
    <t>די דריי ברידער (מעשה פליאה מג' אחים)</t>
  </si>
  <si>
    <t>מורגנשטרן, יעקב</t>
  </si>
  <si>
    <t>די השב ואם למסורת</t>
  </si>
  <si>
    <t>בירדוגו, שלמה בן דניאל</t>
  </si>
  <si>
    <t>הלכה ומנהג, מחשבה ומוסר, משנה, נושאים שונים, שאלות ותשובות, שלחן ערוך ומפרשיו, תלמוד בבלי, תנ"ך</t>
  </si>
  <si>
    <t>די השב</t>
  </si>
  <si>
    <t>בונאן, דוד בן יצחק</t>
  </si>
  <si>
    <t>די וואונדערליכע געשיכטע פון רבינו גרשום מאור הגולה</t>
  </si>
  <si>
    <t>להמאן, מאיר</t>
  </si>
  <si>
    <t>די מלכים פון יהודה און די נביאים</t>
  </si>
  <si>
    <t>מרכז בית יעקב הישן</t>
  </si>
  <si>
    <t>די מפרשים פון דער תורה - דייטשלאנד, פולין, ליטע</t>
  </si>
  <si>
    <t>דרוק, דוק</t>
  </si>
  <si>
    <t>די סדרה און הפטרה - 2 כר'</t>
  </si>
  <si>
    <t>זליג, ה, ל</t>
  </si>
  <si>
    <t>די סדרה פון דער וואך - 2 כר'</t>
  </si>
  <si>
    <t>זיידמן, הלל</t>
  </si>
  <si>
    <t>די צוואה פון בעל שם</t>
  </si>
  <si>
    <t>זעצער, שמואל צבי</t>
  </si>
  <si>
    <t>די רייזע קיין ירושלים</t>
  </si>
  <si>
    <t>משי זהב, מנחם מנדל</t>
  </si>
  <si>
    <t>די שבחים פון רבי שמואל און רבי יודא חסיד</t>
  </si>
  <si>
    <t>מייטליס, יעקב</t>
  </si>
  <si>
    <t>די שוחטים שטימע &lt;השומר&gt; - תרצב - תרצג</t>
  </si>
  <si>
    <t>גליון. תרצ"ב. תרצ"ג.</t>
  </si>
  <si>
    <t>תרצב - תרצג</t>
  </si>
  <si>
    <t>די שיינע פארגאנגענהייט פון מארמאראש</t>
  </si>
  <si>
    <t>סופר, אליעזר פנחס</t>
  </si>
  <si>
    <t>דיא געזונדהייט"ס לעהרע (היגיענע) פיר אללע</t>
  </si>
  <si>
    <t>המו"ל: שלמה הלוי היימליך</t>
  </si>
  <si>
    <t>שאמלוי</t>
  </si>
  <si>
    <t>דיבובי חן</t>
  </si>
  <si>
    <t>לבלוויטש, דוב בן ירמיהו</t>
  </si>
  <si>
    <t>קונסנטמיקלוש Kunszen</t>
  </si>
  <si>
    <t>דיבור בנחת</t>
  </si>
  <si>
    <t>דיואן &lt;רבי יהודה הלוי - 7 כר'</t>
  </si>
  <si>
    <t>דיואן &lt;ריה"ל - 2 כר'</t>
  </si>
  <si>
    <t>דיואן אפתחה שיר</t>
  </si>
  <si>
    <t>הכהן עראקי, יוסף בן שמעון</t>
  </si>
  <si>
    <t>דיואן נעימות שיר מפורש ומתורגם</t>
  </si>
  <si>
    <t>רצאבי, משה בן יצחק</t>
  </si>
  <si>
    <t>דיואן ר' יהודה הלוי</t>
  </si>
  <si>
    <t>Lyck ליק</t>
  </si>
  <si>
    <t>דיואן שבח אל חי</t>
  </si>
  <si>
    <t>מבחר שירי תימן</t>
  </si>
  <si>
    <t>דיואן שמואל הנגיד &lt;מהדורת ירדן&gt; - 3 כר'</t>
  </si>
  <si>
    <t>שמואל בן יוסף הלוי (הנגיד)</t>
  </si>
  <si>
    <t>דיואן שמואל הנגיד - 2 כר'</t>
  </si>
  <si>
    <t>דיואן</t>
  </si>
  <si>
    <t>אל-ביג, יחזקאל חי בן עזרא</t>
  </si>
  <si>
    <t>דיואן - 2 כר'</t>
  </si>
  <si>
    <t>אלעזר בן יעקב הבבלי</t>
  </si>
  <si>
    <t>דאפיירה, שלמה בן משולם</t>
  </si>
  <si>
    <t>פראנסיס, עמנואל בן דוד</t>
  </si>
  <si>
    <t>דיון לכף זכות</t>
  </si>
  <si>
    <t>דיוק בקריאת שמע</t>
  </si>
  <si>
    <t>מכון "משנת חכמים"</t>
  </si>
  <si>
    <t>דיוקי רש"י</t>
  </si>
  <si>
    <t>קליין, דוד אריה בן שמחה בנימין הכהן</t>
  </si>
  <si>
    <t>דיוקים בתורה - בראשית</t>
  </si>
  <si>
    <t>דיוקים על התורה - 5 כר'</t>
  </si>
  <si>
    <t>דיוקים על ספר משלי</t>
  </si>
  <si>
    <t>דיוקן לדמותה של הרבנית יגל</t>
  </si>
  <si>
    <t>יגל, טילה  (עליה)</t>
  </si>
  <si>
    <t>דיוקנו של יעקב</t>
  </si>
  <si>
    <t>לווין, יהודה ליב בן אברהם הלוי</t>
  </si>
  <si>
    <t>דילוגים אקטואלים בפרשת האזינו</t>
  </si>
  <si>
    <t>דילמות רפואיות ופתרונן ההלכתי</t>
  </si>
  <si>
    <t>כהן, עדי</t>
  </si>
  <si>
    <t>דין אמת</t>
  </si>
  <si>
    <t>נבון, יצחק בן יהודה</t>
  </si>
  <si>
    <t>דין אמת, בית מושב</t>
  </si>
  <si>
    <t>נבון, יצחק בן יהודה - נבון, אפרים בן יהודה</t>
  </si>
  <si>
    <t>דין ברכת הסופגניות</t>
  </si>
  <si>
    <t>בן שלמה, שמעון משה</t>
  </si>
  <si>
    <t>דין הפורים בבאר שבע</t>
  </si>
  <si>
    <t>שטינברג, דוב זאב הלוי</t>
  </si>
  <si>
    <t>דין וחשבון כספי ומעשי של הוועד הכללי לעדת הבבלים - 2 כר'</t>
  </si>
  <si>
    <t>מלמד, יעקב בן רחמים ראובן הכהן</t>
  </si>
  <si>
    <t>דין וחשבון מוגש לצירי הכנסיה הגדולה העולמית החמישית</t>
  </si>
  <si>
    <t>מחלקת ההסברה של הסתדרות אגודת ישראל העולמית</t>
  </si>
  <si>
    <t>דין וחשבון על פעולות ישיבת פורת יוסף</t>
  </si>
  <si>
    <t>ישיבת פורת יוסף</t>
  </si>
  <si>
    <t>דין וחשבון שנתי</t>
  </si>
  <si>
    <t>"אחוד" אגודה לאומית דתית</t>
  </si>
  <si>
    <t>דין וחשבון</t>
  </si>
  <si>
    <t>כהן, שמעון בן יחיאל</t>
  </si>
  <si>
    <t>דין מצות יבום בזמן הזה</t>
  </si>
  <si>
    <t>דינא דבור</t>
  </si>
  <si>
    <t>זכאי, עובדיה</t>
  </si>
  <si>
    <t>דינא דגזלן</t>
  </si>
  <si>
    <t>דינא דגרמי &lt;מילי דגרמי&gt;</t>
  </si>
  <si>
    <t>משה בן נחמן (רמב"ן) - אינגבר, יוסף</t>
  </si>
  <si>
    <t>דינא דגרמי עם אמרי מרדכי</t>
  </si>
  <si>
    <t>משה בן נחמן (רמב"ן) - שמואלביץ, מרדכי שמואל בן מאיר</t>
  </si>
  <si>
    <t>דינא דגרמי עם פירוש ביאור המשפט</t>
  </si>
  <si>
    <t>משה בן נחמן (רמב"ן) - ברזל, אברהם ישעיהו</t>
  </si>
  <si>
    <t>דינא דגרמי</t>
  </si>
  <si>
    <t>משה בן נחמן (רמב"ן) - יעקובזון, זאב - שיר, אביגדור ראובן</t>
  </si>
  <si>
    <t>משה בן נחמן (רמב"ן) - קמפה, ברוך מרדכי בן אורי דוד</t>
  </si>
  <si>
    <t>רע"ה-ר"ף</t>
  </si>
  <si>
    <t>דינא דחיי - 6 כר'</t>
  </si>
  <si>
    <t>דינא דמלכותא דינא</t>
  </si>
  <si>
    <t>שילה, שמואל</t>
  </si>
  <si>
    <t>דינא דמלכותא</t>
  </si>
  <si>
    <t>שור, דוד שלמה</t>
  </si>
  <si>
    <t>דינא דספיקא</t>
  </si>
  <si>
    <t>מזרחי, שלום יצחק בן יעקב</t>
  </si>
  <si>
    <t>דינא רפיא</t>
  </si>
  <si>
    <t>כהן, רפאל בן חיים</t>
  </si>
  <si>
    <t>דיני אבלות</t>
  </si>
  <si>
    <t>דיני איטר יד</t>
  </si>
  <si>
    <t>דיני איטר</t>
  </si>
  <si>
    <t>נחמנסון, יהודה ליב ויואל יאיר.</t>
  </si>
  <si>
    <t>דיני אישות - 2 כר'</t>
  </si>
  <si>
    <t>בצרי, עזרא בן יוסף</t>
  </si>
  <si>
    <t>דיני ארבע תעניות ציבור הקבועים</t>
  </si>
  <si>
    <t>דיני ארבעת המינים הלכה למעשה</t>
  </si>
  <si>
    <t>רובין, מרדכי</t>
  </si>
  <si>
    <t>בית עילית</t>
  </si>
  <si>
    <t>דיני בוררות</t>
  </si>
  <si>
    <t>אריאל, יועזר</t>
  </si>
  <si>
    <t>דיני ביעור מעשרות ומצות וידוי מעשר</t>
  </si>
  <si>
    <t>דיני בישולי נכרים</t>
  </si>
  <si>
    <t>דיני ברכות</t>
  </si>
  <si>
    <t>דיני ברכת השחר</t>
  </si>
  <si>
    <t>ורונה Verona</t>
  </si>
  <si>
    <t>דיני ברכת כהנים הנוגעים לישראל</t>
  </si>
  <si>
    <t>דיני בשר בחלב</t>
  </si>
  <si>
    <t>גולדשמידט, גדליהו</t>
  </si>
  <si>
    <t>דיני דרבנן בשבת (צבעוני)</t>
  </si>
  <si>
    <t>דיני הביעור בשביעית ובשמינית</t>
  </si>
  <si>
    <t>גולדשטוף, דוד</t>
  </si>
  <si>
    <t>יד בנימין</t>
  </si>
  <si>
    <t>דיני הגיור והגר</t>
  </si>
  <si>
    <t>דיני הדלקת הנרות</t>
  </si>
  <si>
    <t>דיני הדלקת נרות חנוכה</t>
  </si>
  <si>
    <t>דיני החולה בשבת, ביו"ט וביוה"כ</t>
  </si>
  <si>
    <t>אברהם סופר, אברהם</t>
  </si>
  <si>
    <t>דיני הכנת אוכל בשבת</t>
  </si>
  <si>
    <t>דוד, שמואל</t>
  </si>
  <si>
    <t>דיני המטבח היהודי</t>
  </si>
  <si>
    <t>דיני הניעור כל הלילה</t>
  </si>
  <si>
    <t>מרצ'נט, חיים ליב</t>
  </si>
  <si>
    <t>דיני הקרבת המנחה - מראי מקומות</t>
  </si>
  <si>
    <t>מכון תורת הקורבנות</t>
  </si>
  <si>
    <t>דיני הרופא בשבת וביום טוב</t>
  </si>
  <si>
    <t>דיני הרחקות</t>
  </si>
  <si>
    <t>שמש, ליאור חיים</t>
  </si>
  <si>
    <t>דיני ומנהגי פורים משולש וערב פסח שחל בשבת</t>
  </si>
  <si>
    <t>דיני ומנהגי ק"ק ארגי"ל</t>
  </si>
  <si>
    <t>דיני חג הסוכות</t>
  </si>
  <si>
    <t>דיני חג השבועות שחל ביום א'</t>
  </si>
  <si>
    <t>זיכרמן, ישראל שמעון</t>
  </si>
  <si>
    <t>דיני חוזים במשפט העברי</t>
  </si>
  <si>
    <t>ורהפטיג, שילם</t>
  </si>
  <si>
    <t>דיני חלת ארץ ישראל</t>
  </si>
  <si>
    <t>פריימן, חיים בן ישראל מאיר</t>
  </si>
  <si>
    <t>דיני חנוכה - ע"פ פסקי רבי מרדכי אליהו</t>
  </si>
  <si>
    <t>בית המדרש דרכי הוראה לרבנים</t>
  </si>
  <si>
    <t>דיני חנוכה</t>
  </si>
  <si>
    <t>הוצאת דגל ההלכה</t>
  </si>
  <si>
    <t>דיני יום הכיפורים שחל בשבת</t>
  </si>
  <si>
    <t>דיני ישראל ומנהגיו</t>
  </si>
  <si>
    <t>דיני ליל הסדר</t>
  </si>
  <si>
    <t>דיני ממונות</t>
  </si>
  <si>
    <t>לונדון,</t>
  </si>
  <si>
    <t>דיני ממונות - 4 כר'</t>
  </si>
  <si>
    <t>דיני משחקים בשבת</t>
  </si>
  <si>
    <t>דיני מתווך במשפט העברי</t>
  </si>
  <si>
    <t>דיני ספק ספיקא לש"ך &lt;דפו"ר&gt; עם ביאור שפתי ספק</t>
  </si>
  <si>
    <t>כ"ץ, שבתי בן מאיר הכהן - שמש, שמואל בן יעקב</t>
  </si>
  <si>
    <t>דיני ספר תורה שנמצאה בו טעות</t>
  </si>
  <si>
    <t>שטיינר, יצחק - גולדשטיין, יצחק</t>
  </si>
  <si>
    <t>דיני עירוב שבת בערי ובישובי ישראל</t>
  </si>
  <si>
    <t>קלמנוביץ, חיים</t>
  </si>
  <si>
    <t>דיני ערב פסח שחל בשבת</t>
  </si>
  <si>
    <t>דיני ערב פסח שחל להיות בשבת</t>
  </si>
  <si>
    <t>דיני עריכת שמחות בשבת</t>
  </si>
  <si>
    <t>דיני פורים וארבע פרשיות</t>
  </si>
  <si>
    <t>קרן התרבות דגל ירושלים</t>
  </si>
  <si>
    <t>דיני פרוז ומוקף בן יומו</t>
  </si>
  <si>
    <t>גרפל, מנחם יצחק בן משה</t>
  </si>
  <si>
    <t>דיני פרוזבול &lt;מהדורה חדשה&gt;</t>
  </si>
  <si>
    <t>רוזנברג, יהודה יודל בן ישראל יצחק - בן מאיר, מאיר יהושע</t>
  </si>
  <si>
    <t>דיני ציצית</t>
  </si>
  <si>
    <t>דיני צרירות בעופות המצויים בבית</t>
  </si>
  <si>
    <t>וויל, ישראל מאיר בן אברהם צבי</t>
  </si>
  <si>
    <t>דיני קטניות בפסח</t>
  </si>
  <si>
    <t>פפויפר, יהודה - שומן משולם</t>
  </si>
  <si>
    <t>דיני קידוש קונטרס ממצא חפציך</t>
  </si>
  <si>
    <t>דיני קרבן פסח והזאת מי חטאת</t>
  </si>
  <si>
    <t>פרל, יצחק מאיר - פרל, אברהם מרדכי</t>
  </si>
  <si>
    <t>דיני רבית</t>
  </si>
  <si>
    <t>דיני שביעית</t>
  </si>
  <si>
    <t>ועד הרבנים של בד"ץ אגו"י</t>
  </si>
  <si>
    <t>דיני שכירות מלמד</t>
  </si>
  <si>
    <t>מונק, אליהו בן מאיר</t>
  </si>
  <si>
    <t>דיני שלג</t>
  </si>
  <si>
    <t>דיני שמיטת כספים ופרוזבול - דבר השמיטה</t>
  </si>
  <si>
    <t>שפירא, משה נחום בן דוד</t>
  </si>
  <si>
    <t>דיני שעטנז (צבעוני)</t>
  </si>
  <si>
    <t>דיני תפיסה להרמב"ן ז"ל עם פירוש ביאור המשפט</t>
  </si>
  <si>
    <t>דיני תפלה</t>
  </si>
  <si>
    <t>הלוי, משה מסיאטין</t>
  </si>
  <si>
    <t>דיני תשלום שכר שכיר בזמנו</t>
  </si>
  <si>
    <t>אפללו, מאיר בן ברוך</t>
  </si>
  <si>
    <t>דיני תשעה באב שחל ביום א ודיני שבת שלפניו</t>
  </si>
  <si>
    <t>דיני תשעה באב שחל בשבת</t>
  </si>
  <si>
    <t>דינים וביאורים - סוכה</t>
  </si>
  <si>
    <t>דינים והנהגות ממרן החזון איש</t>
  </si>
  <si>
    <t>דינים וחשבונות של הקופות לגמילות חסדים בארץ - 2 כר'</t>
  </si>
  <si>
    <t>מרכז לגמילות חסדים בארץ-ישראל</t>
  </si>
  <si>
    <t>דינים ומנהגים בעניני חתן וכלה</t>
  </si>
  <si>
    <t>דינים ומנהגים בעניני שבע ברכות</t>
  </si>
  <si>
    <t>דינים ומנהגים לבית האבל</t>
  </si>
  <si>
    <t>פנחסי, מאיר בן שמואל</t>
  </si>
  <si>
    <t>דינים לנוער ולעם</t>
  </si>
  <si>
    <t>שצ'רנסקי, מאיר</t>
  </si>
  <si>
    <t>דינים מחודשים ממשנה ברורה</t>
  </si>
  <si>
    <t>דינים מצויים בהלכות ריבית</t>
  </si>
  <si>
    <t>ברונפמן, פנחס</t>
  </si>
  <si>
    <t>דירת ישראל - 2 כר'</t>
  </si>
  <si>
    <t>טנצמן, ישראל בן אברהם מנחם</t>
  </si>
  <si>
    <t>דירת עראי</t>
  </si>
  <si>
    <t>דל באלפ"י</t>
  </si>
  <si>
    <t>יונהיסבורג</t>
  </si>
  <si>
    <t>דלותי ולי יהושיע</t>
  </si>
  <si>
    <t>רזניק, אברהם</t>
  </si>
  <si>
    <t>דליות דוד - 3 כר'</t>
  </si>
  <si>
    <t>מצגר, דוד בן יהושע מנחם</t>
  </si>
  <si>
    <t>דליות דוד, דליות המלך</t>
  </si>
  <si>
    <t>דליות יחזקאל - 6 כר'</t>
  </si>
  <si>
    <t>דליות ראובן - 3 כר'</t>
  </si>
  <si>
    <t>קורדובה, אברהם</t>
  </si>
  <si>
    <t>דליית הכרם - 3 כר'</t>
  </si>
  <si>
    <t>גפן, יצחק אליהו בן אברהם שמעון</t>
  </si>
  <si>
    <t>דלית אמות</t>
  </si>
  <si>
    <t>דנציגר, שניאור זלמן בן מנחם</t>
  </si>
  <si>
    <t>דלתות שער העיר &lt;מהדורה חדשה&gt;</t>
  </si>
  <si>
    <t>ליינר, גרשון חנוך בן יעקב</t>
  </si>
  <si>
    <t>דלתות שער העיר - 2 כר'</t>
  </si>
  <si>
    <t>דלתי תשובה - 2 כר'</t>
  </si>
  <si>
    <t>תר"נ - תרנ"ה</t>
  </si>
  <si>
    <t>דלתיך דפקנו</t>
  </si>
  <si>
    <t>דלתים ובריח</t>
  </si>
  <si>
    <t>פישר, גוטליב בן גבריאל</t>
  </si>
  <si>
    <t>דלתים פתוחות</t>
  </si>
  <si>
    <t>דם ברית</t>
  </si>
  <si>
    <t>טרטיס, אלכסנדר בן בנימין דוב</t>
  </si>
  <si>
    <t>דם זבחים</t>
  </si>
  <si>
    <t>באטוס, שלמה זלמן טוביה בן יצחק משה</t>
  </si>
  <si>
    <t>דם עבדיו</t>
  </si>
  <si>
    <t>בני משפחת משולמי</t>
  </si>
  <si>
    <t>דם ענבים - שבת</t>
  </si>
  <si>
    <t>וינברג, דוב משה בן חיים מאיר</t>
  </si>
  <si>
    <t>דמויות בתנ"ך - א</t>
  </si>
  <si>
    <t>גויטיין, אליהו מנחם בן צבי</t>
  </si>
  <si>
    <t>דמויות הוד מאיזור וארזאזאת</t>
  </si>
  <si>
    <t>דאבדא, יוסף חיים</t>
  </si>
  <si>
    <t>דמויות הוד - 3 כר'</t>
  </si>
  <si>
    <t>דמויות</t>
  </si>
  <si>
    <t>בר סוקולוב</t>
  </si>
  <si>
    <t>דמות הגוף</t>
  </si>
  <si>
    <t>פררה, יוסף בן חיים</t>
  </si>
  <si>
    <t>דמות הכסא &lt;ר' מצליח מאזוז&gt; - 2 כר'</t>
  </si>
  <si>
    <t>דרושים, קבצים וכתבי עת, ספרי זכרון ויובל, תלמוד בבלי</t>
  </si>
  <si>
    <t>דמות צורות</t>
  </si>
  <si>
    <t>וויס, בנימין</t>
  </si>
  <si>
    <t>דמי יוסף</t>
  </si>
  <si>
    <t>גוטשטיין, יוסף בן אברהם שלמה</t>
  </si>
  <si>
    <t>דמיון אריה &lt;מהדורה חדשה&gt;</t>
  </si>
  <si>
    <t>פיסק, יהודה ליב בן דוד</t>
  </si>
  <si>
    <t>דמיון אריה</t>
  </si>
  <si>
    <t>דמע עיני</t>
  </si>
  <si>
    <t>נחום בן שלמה מטרנשין</t>
  </si>
  <si>
    <t>Ofen אופן</t>
  </si>
  <si>
    <t>דמעות ונחמות מנחם וסדר הגאולה</t>
  </si>
  <si>
    <t>דמעות ישראל</t>
  </si>
  <si>
    <t>הורניק, ישראל בן אפרים פישל</t>
  </si>
  <si>
    <t>דמעת אפרים</t>
  </si>
  <si>
    <t>דרושים, דרושים, תפלות בקשות פיוטים ושירה</t>
  </si>
  <si>
    <t>דמעת המלך - איכה</t>
  </si>
  <si>
    <t>דמעת ישראל</t>
  </si>
  <si>
    <t>דמשק אליעזר &lt;מהדורה חדשה&gt; - 2 כר'</t>
  </si>
  <si>
    <t>סופר, זוסמאן אליעזר בן מרדכי אפרים פישל</t>
  </si>
  <si>
    <t>דמשק אליעזר &lt;נהרות דמשק&gt;</t>
  </si>
  <si>
    <t>פאפו, אליעזר בן שם טוב</t>
  </si>
  <si>
    <t>דמשק אליעזר (ח"ב של השיב ר"א ושיח השדה)</t>
  </si>
  <si>
    <t>ליפשיץ, אליעזר בן שלמה זלמן</t>
  </si>
  <si>
    <t>נויביד Neuwied</t>
  </si>
  <si>
    <t>דמשק אליעזר</t>
  </si>
  <si>
    <t>דרושים, נושאים שונים, תלמוד בבלי, תנ"ך</t>
  </si>
  <si>
    <t>דמשק אליעזר - 3 כר'</t>
  </si>
  <si>
    <t>אליעזר בן יהודה</t>
  </si>
  <si>
    <t>דמשק אליעזר - 4 כר'</t>
  </si>
  <si>
    <t>אליעזר בן שמואל מאפטה</t>
  </si>
  <si>
    <t>ת"ו</t>
  </si>
  <si>
    <t>דמשק אליעזר - 2 כר'</t>
  </si>
  <si>
    <t>האגר, אליעזר בן ישראל מויז'ניץ</t>
  </si>
  <si>
    <t>הורוויץ, אליעזר בן נפתלי צבי</t>
  </si>
  <si>
    <t>מועדי ישראל, נושאים שונים, תנ"ך, תנ"ך, תפלות בקשות פיוטים ושירה</t>
  </si>
  <si>
    <t>חדש, נפתלי מנחם הלוי</t>
  </si>
  <si>
    <t>דמשק אליעזר - א-ב</t>
  </si>
  <si>
    <t>לאנדא, אליעזר בן שמואל</t>
  </si>
  <si>
    <t>דמשק אליעזר - א</t>
  </si>
  <si>
    <t>דמשק אליעזר - ש"ע חושן משפט - א-ב</t>
  </si>
  <si>
    <t>תר"נ - תרנ"ז</t>
  </si>
  <si>
    <t>דמשק אליעזר - 5 כר'</t>
  </si>
  <si>
    <t>תר"מ - תרמ"ו</t>
  </si>
  <si>
    <t>דמשק אליעזר - 7 כר'</t>
  </si>
  <si>
    <t>תרס"ב - תרפ"ט</t>
  </si>
  <si>
    <t>פרלמוטר, אברהם צבי בן אליעזר</t>
  </si>
  <si>
    <t>דמשק אליעזר - א (שו"ת)</t>
  </si>
  <si>
    <t>צוקר, אליעזר בן שלום דוב</t>
  </si>
  <si>
    <t>קאפלאן, דוד בן אליעזר הכהן</t>
  </si>
  <si>
    <t>דמשק אליעזר - ג</t>
  </si>
  <si>
    <t>דמשק אליעזר - 6 כר'</t>
  </si>
  <si>
    <t>קונשטט, אליעזר יחיאל</t>
  </si>
  <si>
    <t>רלב"ג, אליעזר דן בן אריה ליב</t>
  </si>
  <si>
    <t>שברשין, אליעזר בן יהושע</t>
  </si>
  <si>
    <t>תע"ח</t>
  </si>
  <si>
    <t>דמתה לתמר - 3 כר'</t>
  </si>
  <si>
    <t>דן אנכי - הגדה של פסח</t>
  </si>
  <si>
    <t>דן באהל - דיני עשיית אהל בשבת</t>
  </si>
  <si>
    <t>אבידן, דן</t>
  </si>
  <si>
    <t>דן בפתח - פתיחת אריזות בשבת</t>
  </si>
  <si>
    <t>דן ידין עמו - 2 כר'</t>
  </si>
  <si>
    <t>דודיאן, דן</t>
  </si>
  <si>
    <t>דן ידין - 7 כר'</t>
  </si>
  <si>
    <t>דן ידין</t>
  </si>
  <si>
    <t>דן ידין, ולדן אמר - סוכה</t>
  </si>
  <si>
    <t>דן מדניאל - 2 כר'</t>
  </si>
  <si>
    <t>כליפה, דניאל בן יצחק הכהן</t>
  </si>
  <si>
    <t>דן מדניאל</t>
  </si>
  <si>
    <t>תרמ"א-תרמ"ה</t>
  </si>
  <si>
    <t>דנא פשרא</t>
  </si>
  <si>
    <t>דניאל עם תרגום ופירוש רבינו סעדיה בן יוסף פיומי</t>
  </si>
  <si>
    <t>שונות, תנ"ך, תנ"ך</t>
  </si>
  <si>
    <t>דע את אלקי אביך</t>
  </si>
  <si>
    <t>דע מה שתשיב (לגביר לעשיר לקמצן)</t>
  </si>
  <si>
    <t>טיירשטיין, יהונתן</t>
  </si>
  <si>
    <t>דע מה שתשיב</t>
  </si>
  <si>
    <t>גרוס, משה דוד בן שמואל</t>
  </si>
  <si>
    <t>דעה את ה'</t>
  </si>
  <si>
    <t>טרופ, אברהם ישעיהו</t>
  </si>
  <si>
    <t>דעה ברורה - 2 כר'</t>
  </si>
  <si>
    <t>דויטש, אהרן בן זרח</t>
  </si>
  <si>
    <t>דעה והשכל - 2 כר'</t>
  </si>
  <si>
    <t>הדאיה, עובדיה בן שלום</t>
  </si>
  <si>
    <t>קבלה, שאלות ותשובות</t>
  </si>
  <si>
    <t>דעה חכמה לנפשך - 7 כר'</t>
  </si>
  <si>
    <t>מורגנשטרן, יצחק מאיר בן יעקב מנחם</t>
  </si>
  <si>
    <t>דעה ערוכה</t>
  </si>
  <si>
    <t>אלטמן, אביגדור</t>
  </si>
  <si>
    <t>דעות גדולי הפוסקים על שבועות הגלות</t>
  </si>
  <si>
    <t>פז, יהונתן</t>
  </si>
  <si>
    <t>דען מוסר אונ הנהגה: ווי זיך איין מענש הלטן זול</t>
  </si>
  <si>
    <t>דער אוצר פון שידוכים און שדכנות</t>
  </si>
  <si>
    <t>דער אוצר פון שמחת נישואין און הנהגת הבית</t>
  </si>
  <si>
    <t>דער אידישער חורבן אין אוקריינע</t>
  </si>
  <si>
    <t>חאזאנאוויטש, ל.</t>
  </si>
  <si>
    <t>דער אידישער רעדנער</t>
  </si>
  <si>
    <t>דער אידישער שטראל - 468 כר'</t>
  </si>
  <si>
    <t>דער אידישער שטראל</t>
  </si>
  <si>
    <t>דער אמת -2</t>
  </si>
  <si>
    <t>מילר, ישראל</t>
  </si>
  <si>
    <t>דער גריידיציער צדיק</t>
  </si>
  <si>
    <t>דער גריידיצער</t>
  </si>
  <si>
    <t>דער היילגער קוואל - 5 כר'</t>
  </si>
  <si>
    <t>דער היילגער שימאניער רב - רבי שבי שעפטיל וויס</t>
  </si>
  <si>
    <t>דער היינט אין תורה - 2 כר'</t>
  </si>
  <si>
    <t>רוזנבוים, מאיר בן איתמר</t>
  </si>
  <si>
    <t>דער הספד נאך דער לאדזער רב</t>
  </si>
  <si>
    <t>הלפרין, אליהו דב</t>
  </si>
  <si>
    <t>לודז'</t>
  </si>
  <si>
    <t>דער ווינשטאק</t>
  </si>
  <si>
    <t>גינצבורג, פנחס נטע בן יעקב</t>
  </si>
  <si>
    <t>דער וועג</t>
  </si>
  <si>
    <t>גליון</t>
  </si>
  <si>
    <t>דער זייל פון די אידישע וועלט אין די לעצעטע דורות</t>
  </si>
  <si>
    <t>דער חפץ חיים - א - ג</t>
  </si>
  <si>
    <t>פליסקין, שמואל</t>
  </si>
  <si>
    <t>דער יודישער אוצר - 2 כר'</t>
  </si>
  <si>
    <t>אנגלשר, אברהם</t>
  </si>
  <si>
    <t>דער יודישער גארטען</t>
  </si>
  <si>
    <t>טשרנטשפקי, חנוך הניך</t>
  </si>
  <si>
    <t>דער יודישער ערציהער</t>
  </si>
  <si>
    <t>פייטרקוב</t>
  </si>
  <si>
    <t>דער ייד און זיין צייט די יידשע צערעמאניאל געזעצן</t>
  </si>
  <si>
    <t>דער יידישער פלאם</t>
  </si>
  <si>
    <t>שווארצמאן, מאיר בן ישראל משה</t>
  </si>
  <si>
    <t>דער יידישער שבת</t>
  </si>
  <si>
    <t>שרגאי, שלמה זלמן בן משה</t>
  </si>
  <si>
    <t>פריז</t>
  </si>
  <si>
    <t>דער ליכטיגער שיין - 3 כר'</t>
  </si>
  <si>
    <t>דער סאטמארער רבי</t>
  </si>
  <si>
    <t>דער סאנזער צדיק</t>
  </si>
  <si>
    <t>ראקר, יהושע</t>
  </si>
  <si>
    <t>דער סך הכל</t>
  </si>
  <si>
    <t>בובליק, גדליה</t>
  </si>
  <si>
    <t>דער ערשטער רב פון באבוב</t>
  </si>
  <si>
    <t>דער פוטטערנער אייווען</t>
  </si>
  <si>
    <t>קריווינסקי, מרדכי אביגדור?</t>
  </si>
  <si>
    <t>פיעטרקוב Podgorze</t>
  </si>
  <si>
    <t>דער פינפטלינג צוזאמעטרעף</t>
  </si>
  <si>
    <t>פוקס, ח</t>
  </si>
  <si>
    <t>דער פלאקער - 3 כר'</t>
  </si>
  <si>
    <t>חודש בלאט</t>
  </si>
  <si>
    <t>דער קאצקער קוויטל</t>
  </si>
  <si>
    <t>קארו, יעקב יצחק - ראנד, מיכאל אריה</t>
  </si>
  <si>
    <t>דער קאצקער רבי</t>
  </si>
  <si>
    <t>גליקסמן, פנחס זליג</t>
  </si>
  <si>
    <t>דער קדושת ציון פון באבוב</t>
  </si>
  <si>
    <t>דער תורה קוואל - 4 כר'</t>
  </si>
  <si>
    <t>פרידמאן, אלכסנדר זושא בן אהרן יהושע</t>
  </si>
  <si>
    <t>דעש קדוש פון הענא זיין ליד</t>
  </si>
  <si>
    <t>דעת אביעזרי</t>
  </si>
  <si>
    <t>דעת אברהם - 2 כר'</t>
  </si>
  <si>
    <t>דעת אורח - 2 כר'</t>
  </si>
  <si>
    <t>נאה, חגי אלישיב</t>
  </si>
  <si>
    <t>דעת אליהו - זבים</t>
  </si>
  <si>
    <t>משניות ע"פ ראשונים ואחרונים</t>
  </si>
  <si>
    <t>דעת אליהו</t>
  </si>
  <si>
    <t>שרים, אליהו</t>
  </si>
  <si>
    <t>דעת אליעזר</t>
  </si>
  <si>
    <t>פורטיגול, אליעזר זוסיא בן ישראל אברהם</t>
  </si>
  <si>
    <t>דעת אליעזר - מכשירין, זבים, טבול יום, ידים, עוקצין</t>
  </si>
  <si>
    <t>דעת אלקים</t>
  </si>
  <si>
    <t>אולמן, שלום (עורך)</t>
  </si>
  <si>
    <t>אולמן, שלום</t>
  </si>
  <si>
    <t>דעת אמונה</t>
  </si>
  <si>
    <t>דעת אמונה - 3 כר'</t>
  </si>
  <si>
    <t>דעת אשר</t>
  </si>
  <si>
    <t>אליה, אשר</t>
  </si>
  <si>
    <t>דעת בחכמה</t>
  </si>
  <si>
    <t>כהן סקאלי, אברהם אביהוא בן אהרן</t>
  </si>
  <si>
    <t>דעת בנימין - בבא מציעא</t>
  </si>
  <si>
    <t>וולמן, בנימין זאב בן אריה צבי</t>
  </si>
  <si>
    <t>דעת ברכה - 2 כר'</t>
  </si>
  <si>
    <t>ליפשיץ, שלמה - ברנהולץ, דוד</t>
  </si>
  <si>
    <t>דעת גדולים</t>
  </si>
  <si>
    <t>דעת דרכיו - מבוא לתורת האר"י</t>
  </si>
  <si>
    <t>בר לב, ירון</t>
  </si>
  <si>
    <t>דעת ה'</t>
  </si>
  <si>
    <t>דעת החזון איש</t>
  </si>
  <si>
    <t>דעת החיים - אהל שרה</t>
  </si>
  <si>
    <t>רבינר, זאב אריה בן בנימין בינוש</t>
  </si>
  <si>
    <t>דעת הישראלי - 2 כר'</t>
  </si>
  <si>
    <t>פוקס, ישראל אליהו בן חנוך ישעיה</t>
  </si>
  <si>
    <t>תרצ"ה - תרצ"ט</t>
  </si>
  <si>
    <t>דעת הלכה - 3 כר'</t>
  </si>
  <si>
    <t>אייזנשטיין, יוסף שאול</t>
  </si>
  <si>
    <t>דעת הקדושה</t>
  </si>
  <si>
    <t>משה בן נחמן (רמב"ן) - מרגליות, ישעיה אשר זעליג</t>
  </si>
  <si>
    <t>דעת הרבנים</t>
  </si>
  <si>
    <t>שטיינברג, אברהם ברוך</t>
  </si>
  <si>
    <t>מחשבה ומוסר, נושאים שונים, נושאים שונים, תולדות עם ישראל</t>
  </si>
  <si>
    <t>דעת הרי"ד</t>
  </si>
  <si>
    <t>דיין</t>
  </si>
  <si>
    <t>דעת השבת</t>
  </si>
  <si>
    <t>שלוסברג, ראובן בן אברהם יצחק</t>
  </si>
  <si>
    <t>דעת השם</t>
  </si>
  <si>
    <t>דעת ומזימה</t>
  </si>
  <si>
    <t>לורברבוים, משולם זלמן בן מרדכי יהודה</t>
  </si>
  <si>
    <t>דעת ומחשבה - רמב"ם הל' דעות והל' ע"ז</t>
  </si>
  <si>
    <t>דעת וסתות</t>
  </si>
  <si>
    <t>וינברגר, יהושע בן משה דוד</t>
  </si>
  <si>
    <t>דעת ותבונה</t>
  </si>
  <si>
    <t>דעת ותבונה - מכשירין</t>
  </si>
  <si>
    <t>סנדומירסקי, אליהו</t>
  </si>
  <si>
    <t>דעת ותורה</t>
  </si>
  <si>
    <t>כהן, נסים בן ציון</t>
  </si>
  <si>
    <t>דעת זקנים - שיחת חולין של תלמידי חכמים</t>
  </si>
  <si>
    <t>סנוק Sanok</t>
  </si>
  <si>
    <t>דעת זקנים - 2 כר'</t>
  </si>
  <si>
    <t>דעת זקנים</t>
  </si>
  <si>
    <t>סגל, שלמה דב בן יעקב ישראל</t>
  </si>
  <si>
    <t>דעת חדרים - 2 כר'</t>
  </si>
  <si>
    <t>ישיבת נתיב הדעת</t>
  </si>
  <si>
    <t>דעת חיים - 2 כר'</t>
  </si>
  <si>
    <t>וואלקין, חיים בן שמואל דוד</t>
  </si>
  <si>
    <t>דעת חיים</t>
  </si>
  <si>
    <t>פרץ, ראובן בן דוד</t>
  </si>
  <si>
    <t>צימרמאן, חיים ישראל בן פנחס יעקב</t>
  </si>
  <si>
    <t>דעת חכמה ומוסר - 3 כר'</t>
  </si>
  <si>
    <t>ליבוביץ, ירוחם הלוי</t>
  </si>
  <si>
    <t>דעת חכמה - 4 כר'</t>
  </si>
  <si>
    <t>אלבוים, יוסף חיים בן ירמיהו</t>
  </si>
  <si>
    <t>דעת חכמה - 3 כר'</t>
  </si>
  <si>
    <t>ישיבת ירוחם ותפרח</t>
  </si>
  <si>
    <t>דעת חכמים - 7 כר'</t>
  </si>
  <si>
    <t>וינשטין, יוסף ברוך בן אברהם יצחק</t>
  </si>
  <si>
    <t>דעת חן</t>
  </si>
  <si>
    <t>שינפלד, נחמיה בן משה חיים</t>
  </si>
  <si>
    <t>דעת טהרה - הלכות נדה</t>
  </si>
  <si>
    <t>כולל נחלת ברוך</t>
  </si>
  <si>
    <t>דעת טהרה</t>
  </si>
  <si>
    <t>דעת טהרות - א</t>
  </si>
  <si>
    <t>וינברגר, יצחק בן אפרים הלוי</t>
  </si>
  <si>
    <t>דעת יהודה</t>
  </si>
  <si>
    <t>דעת יהונתן</t>
  </si>
  <si>
    <t>דעת יואל - 2 כר'</t>
  </si>
  <si>
    <t>קלופט, יואל</t>
  </si>
  <si>
    <t>דרושים, הלכה ומנהג, מועדי ישראל, מחשבה ומוסר, משנה, שלחן ערוך ומפרשיו, תלמוד בבלי</t>
  </si>
  <si>
    <t>דעת יוסף - 14 כר'</t>
  </si>
  <si>
    <t>דינקלס, חיים יוסף בן בנציון הלוי</t>
  </si>
  <si>
    <t>דעת יוסף</t>
  </si>
  <si>
    <t>לרמאן, יוסף משה בן מרדכי</t>
  </si>
  <si>
    <t>דעת יוסף - בבא מציעא</t>
  </si>
  <si>
    <t>דעת יושר - וסתות וכתמים</t>
  </si>
  <si>
    <t>מינקוביץ, יוסף שלמה בן שמואל אליעזר</t>
  </si>
  <si>
    <t>דעת יחזקאל - 2 כר'</t>
  </si>
  <si>
    <t>כהן, יחזקאל</t>
  </si>
  <si>
    <t>דעת ישראל - 2 כר'</t>
  </si>
  <si>
    <t>להמן, ישראל בן יוסף</t>
  </si>
  <si>
    <t>דעת יששכר</t>
  </si>
  <si>
    <t>דעת כהן - פסח</t>
  </si>
  <si>
    <t>וויס, אפרים בן שמואל ישראל הכהן</t>
  </si>
  <si>
    <t>דעת כהן - א</t>
  </si>
  <si>
    <t>כהן, שרגא פייבל בן אליעזר</t>
  </si>
  <si>
    <t>דעת כהן - 2 כר'</t>
  </si>
  <si>
    <t>כהנא, נחמן בן צבי הירש</t>
  </si>
  <si>
    <t>דעת כשרות - 11 כר'</t>
  </si>
  <si>
    <t>דעת כשרות</t>
  </si>
  <si>
    <t>דעת לנבונים</t>
  </si>
  <si>
    <t>דעת מזמות - מכות</t>
  </si>
  <si>
    <t>דעת מקרא - 2 כר'</t>
  </si>
  <si>
    <t>שכטר, שמואל הלוי</t>
  </si>
  <si>
    <t>דעת מרדכי - 2 כר'</t>
  </si>
  <si>
    <t>רבינוביץ, מרדכי יצחק אייזיק בן דוב בר</t>
  </si>
  <si>
    <t>תרצ"ט - תשי"ט</t>
  </si>
  <si>
    <t>דעת משה - מועדים</t>
  </si>
  <si>
    <t>אביטל, משה בן ניסים</t>
  </si>
  <si>
    <t>דעת משה</t>
  </si>
  <si>
    <t>דעת משה - 2 כר'</t>
  </si>
  <si>
    <t>פרידמאן, משה בן שלום יוסף</t>
  </si>
  <si>
    <t>חסידות, נושאים שונים, שאלות ותשובות, תולדות עם ישראל</t>
  </si>
  <si>
    <t>דעת משה - 6 כר'</t>
  </si>
  <si>
    <t>קובץ תורני סדיגורה</t>
  </si>
  <si>
    <t>דעת משפט - 5 כר'</t>
  </si>
  <si>
    <t>ריסנר, יעקב בן אברהם</t>
  </si>
  <si>
    <t>דעת נבונים</t>
  </si>
  <si>
    <t>כהנא-שפירא, יחיאל מיכל בן משה</t>
  </si>
  <si>
    <t>דעת נוטה - 3 כר'</t>
  </si>
  <si>
    <t>דעת סופר - 3 כר'</t>
  </si>
  <si>
    <t>גרינברג, אהרן בן שמחה</t>
  </si>
  <si>
    <t>דעת סופר - 4 כר'</t>
  </si>
  <si>
    <t>סופר, עקיבא בן שמחה בונם</t>
  </si>
  <si>
    <t>דעת סופרים - הפטרות ב</t>
  </si>
  <si>
    <t>רבינוביץ, חיים דב בן שרגא פייטל</t>
  </si>
  <si>
    <t>דעת עתים - 4 כר'</t>
  </si>
  <si>
    <t>דעת פוסקי הדור בענין שימוש בחשמל בשבת</t>
  </si>
  <si>
    <t>ברוורמן, אליהו</t>
  </si>
  <si>
    <t>דעת קדושים &lt;שבחי הדעת&gt;</t>
  </si>
  <si>
    <t>אייכנשטיין, יהודה צבי הירש בן משה</t>
  </si>
  <si>
    <t>דעת קדושים &lt;מקדש מעט - 3 כר'</t>
  </si>
  <si>
    <t>דעת קדושים &lt;מהדורה חדשה&gt;</t>
  </si>
  <si>
    <t>כ"ץ, רפאל בן יקותיאל זיסקינד הכהן</t>
  </si>
  <si>
    <t>דעת קדושים</t>
  </si>
  <si>
    <t>אייזנשטאט, ישראל טוביה בן יהודה צבי</t>
  </si>
  <si>
    <t>Peterburg פטרבורג</t>
  </si>
  <si>
    <t>דעת קדושים - 2 כר'</t>
  </si>
  <si>
    <t>דעת קדושים - 4 כר'</t>
  </si>
  <si>
    <t>דעת רבותינו בענין מכונות גילוח &lt;תפארת אדם&gt;</t>
  </si>
  <si>
    <t>דעת רבותינו בענין מכונות גילוח</t>
  </si>
  <si>
    <t>דעת רבית - ב</t>
  </si>
  <si>
    <t>גרינוולד, יעקב</t>
  </si>
  <si>
    <t>דעת ריבית</t>
  </si>
  <si>
    <t>שטרנשוס, יעקב שמעון בן ישראל</t>
  </si>
  <si>
    <t>דעת רפאל</t>
  </si>
  <si>
    <t>שרים, דביר בן אליהו</t>
  </si>
  <si>
    <t>דעת רש"י</t>
  </si>
  <si>
    <t>דעת שבת</t>
  </si>
  <si>
    <t>כולל אברכים אהל שרה</t>
  </si>
  <si>
    <t>דרושים, מחשבה ומוסר, מחשבה ומוסר</t>
  </si>
  <si>
    <t>דעת שלום</t>
  </si>
  <si>
    <t>דעת שלום - 5 כר'</t>
  </si>
  <si>
    <t>דעת שלמה</t>
  </si>
  <si>
    <t>בייטום, שלמה זלמן בן יעקב</t>
  </si>
  <si>
    <t>דעת שלמה - זבים</t>
  </si>
  <si>
    <t>פלדמן, שלמה בן אהרן</t>
  </si>
  <si>
    <t>דעת שלמה - גיטין</t>
  </si>
  <si>
    <t>קובץ כולל דעת שלמה</t>
  </si>
  <si>
    <t>דעת שפתי - לב אמרי</t>
  </si>
  <si>
    <t>דעת שפתי</t>
  </si>
  <si>
    <t>חפי, דוד</t>
  </si>
  <si>
    <t>דעת שרגא - 5 כר'</t>
  </si>
  <si>
    <t>גרוסברד, צבי שרגא בן אהרן זאב</t>
  </si>
  <si>
    <t>דעת תבונה - נדה</t>
  </si>
  <si>
    <t>דעת תבונות &lt;עם פירוש&gt;</t>
  </si>
  <si>
    <t>דעת תבונות &lt;עם תרגום צרפתית&gt;</t>
  </si>
  <si>
    <t>דעת תבונות &lt;רב לתלמיד&gt;</t>
  </si>
  <si>
    <t>דעת תבונות - 4 כר'</t>
  </si>
  <si>
    <t>דעת תורה והשקפה</t>
  </si>
  <si>
    <t>מערכת זקניך ויאמרו לך</t>
  </si>
  <si>
    <t>דעת תורה לקט פסקי דין על גיוס בנות לשרות לאומי</t>
  </si>
  <si>
    <t>דעת תורה - בענין כתב יד בן אשר</t>
  </si>
  <si>
    <t>דעת תורה</t>
  </si>
  <si>
    <t>מחשבה ומוסר, תולדות עם ישראל, תנ"ך</t>
  </si>
  <si>
    <t>ארה"ב</t>
  </si>
  <si>
    <t>דעת תורה - 8 כר'</t>
  </si>
  <si>
    <t>דעת תורה - 16 כר'</t>
  </si>
  <si>
    <t>דעת תושיה עה"ת - 2 כר'</t>
  </si>
  <si>
    <t>דעת תפלה</t>
  </si>
  <si>
    <t>דעת תרבית</t>
  </si>
  <si>
    <t>דף על הדף - 26 כר'</t>
  </si>
  <si>
    <t>קליין, אברהם נח - מנדלבוים, דוד אברהם - לפקוביץ, יהושע</t>
  </si>
  <si>
    <t>דף של ספינה - 5 כר'</t>
  </si>
  <si>
    <t>קנובלוביץ, חיים</t>
  </si>
  <si>
    <t>דף של ספינה</t>
  </si>
  <si>
    <t>דפוסים קדומים</t>
  </si>
  <si>
    <t>דפי הלכה להתישבות החקלאית - 2 כר'</t>
  </si>
  <si>
    <t>דפי עיון - 14 כר'</t>
  </si>
  <si>
    <t>דפים ועובדות</t>
  </si>
  <si>
    <t>דפים לחג השבועות</t>
  </si>
  <si>
    <t>דקדוק אליהו - 2 כר'</t>
  </si>
  <si>
    <t>דקדוק הארמית הגלילית לשפת התלמוד הירושלמי והמדרשים</t>
  </si>
  <si>
    <t>לויאס, קספר</t>
  </si>
  <si>
    <t>דקדוק הארמית המקראית</t>
  </si>
  <si>
    <t>קימרון, אלישע</t>
  </si>
  <si>
    <t>דקדוק ההלכה - 2 כר'</t>
  </si>
  <si>
    <t>כריף, משה בן חיים</t>
  </si>
  <si>
    <t>דקדוק הלשון ושמושה</t>
  </si>
  <si>
    <t>קאפלאן, חיים אהרן</t>
  </si>
  <si>
    <t>דקדוק לשון הקודש</t>
  </si>
  <si>
    <t>וולנר, רחל</t>
  </si>
  <si>
    <t>דקדוקה של נפש  - בקורים</t>
  </si>
  <si>
    <t>דקדוקי הגר"א - 6 כר'</t>
  </si>
  <si>
    <t>אליהו בן שלמה זלמן (הגר"א) - רובינשטיין, אברהם מרדכי</t>
  </si>
  <si>
    <t>דקדוקי הטעמים</t>
  </si>
  <si>
    <t>בן אשר, אהרן בן משה</t>
  </si>
  <si>
    <t>דקדוקי חברים &lt;מהדורה חדשה&gt; - תענית</t>
  </si>
  <si>
    <t>מיראנדה, חיים אברהם בן שמואל</t>
  </si>
  <si>
    <t>דקדוקי חברים</t>
  </si>
  <si>
    <t>דקדוקי סופרים השלם - 19 כר'</t>
  </si>
  <si>
    <t>חברי מכון התלמוד הישראלי השלם</t>
  </si>
  <si>
    <t>דקדוקי סופרים לפירש"י - שבת</t>
  </si>
  <si>
    <t>דקדוקי סופרים לפירש"י</t>
  </si>
  <si>
    <t>דקדוקי סופרים לתלמוד ירושלמי - ברכות</t>
  </si>
  <si>
    <t>זק"ש, מרדכי יהודה ליב בן שניאור זלמן זאב</t>
  </si>
  <si>
    <t>דקדוקי סופרים - גיטין</t>
  </si>
  <si>
    <t>פלדבלום, מאיר שמחה הכהן</t>
  </si>
  <si>
    <t>דקדוקי סופרים - 13 כר'</t>
  </si>
  <si>
    <t>רבינוביץ, רפאל נתן נטע בן שלמה זאלקינד</t>
  </si>
  <si>
    <t>תרכ"ח - תרנ"ז</t>
  </si>
  <si>
    <t>דקדוקי ספרים</t>
  </si>
  <si>
    <t>דקדוקי רש"י - 2 כר'</t>
  </si>
  <si>
    <t>דקדוקי רש"י</t>
  </si>
  <si>
    <t>דקדוקי תורה</t>
  </si>
  <si>
    <t>אסולין, שלמה בן מאיר</t>
  </si>
  <si>
    <t>רובינשטיין, זלמן מנשה בן אברהם אבא</t>
  </si>
  <si>
    <t>רייניץ, יעקב קאפל</t>
  </si>
  <si>
    <t>דקדוקים</t>
  </si>
  <si>
    <t>דר וסחרת</t>
  </si>
  <si>
    <t>דרבוני זהב</t>
  </si>
  <si>
    <t>כ"ץ, משה בן פייס</t>
  </si>
  <si>
    <t>דרופתקי דאורייתא - א ב ג</t>
  </si>
  <si>
    <t>תשמ"ז - תשנ"ה</t>
  </si>
  <si>
    <t>דרור יקרא</t>
  </si>
  <si>
    <t>דרוש א"י</t>
  </si>
  <si>
    <t>בן נאים, רפאל חיים משה בן ישעיה</t>
  </si>
  <si>
    <t>דרוש אשר דרש ברבים לכבוד הח"ק וגמ"ח</t>
  </si>
  <si>
    <t>לנדסברג, יחזקאל אליעזר</t>
  </si>
  <si>
    <t>קעמפנא</t>
  </si>
  <si>
    <t>דרוש בהלכות פסח</t>
  </si>
  <si>
    <t>אבן-בולאט, יהודה בן יוסף</t>
  </si>
  <si>
    <t>רפ"ד</t>
  </si>
  <si>
    <t>דרוש דרש - ב</t>
  </si>
  <si>
    <t>דרוש דרש</t>
  </si>
  <si>
    <t>דרוש המלבוש והצמצום</t>
  </si>
  <si>
    <t>סרוג, ישראל</t>
  </si>
  <si>
    <t>דרוש הספד - על פטירת הקיסר לעאפאלד השני</t>
  </si>
  <si>
    <t>לאנדא, שמואל בן יחזקאל הלוי</t>
  </si>
  <si>
    <t>דרוש וחדוש רבי עקיבא איגר - 2 כר'</t>
  </si>
  <si>
    <t>דרוש וחדוש תנינא</t>
  </si>
  <si>
    <t>דרוש וחדוש</t>
  </si>
  <si>
    <t>פלסנר, אליהו בן שלמה</t>
  </si>
  <si>
    <t>פרנקל-תאומים, מנחם מרדכי בן אלטר יששכר</t>
  </si>
  <si>
    <t>דרוש וחידוש &lt;מהדורת ספרי אור החיים&gt;</t>
  </si>
  <si>
    <t>דרוש יקר מבעל השפתי כהן</t>
  </si>
  <si>
    <t>קאלאמיא</t>
  </si>
  <si>
    <t>דרוש יקר מבעל שפתי כהן</t>
  </si>
  <si>
    <t>דרוש כבוד התורה</t>
  </si>
  <si>
    <t>דרוש לראש השנה</t>
  </si>
  <si>
    <t>וייס</t>
  </si>
  <si>
    <t>דרוש לשבת הגדול</t>
  </si>
  <si>
    <t>שמשוני, אברהם הלוי</t>
  </si>
  <si>
    <t>דרוש משה</t>
  </si>
  <si>
    <t>דרוש נאה ויפה לזקנים ונערים לחופתם</t>
  </si>
  <si>
    <t>יעקב בן אברהם שלמה שיננא</t>
  </si>
  <si>
    <t>דרוש נאה - 3 כר'</t>
  </si>
  <si>
    <t>דרוש נאה</t>
  </si>
  <si>
    <t>צבי בן יעקב מאוסטרהא</t>
  </si>
  <si>
    <t>רייך, יעקב קאפל</t>
  </si>
  <si>
    <t>דרוש נחמד</t>
  </si>
  <si>
    <t>דרוש על התורה והמצות</t>
  </si>
  <si>
    <t>דרוש על התורה ועל המצות</t>
  </si>
  <si>
    <t>דרוש פסח גדול - 2 כר'</t>
  </si>
  <si>
    <t>אלטונה</t>
  </si>
  <si>
    <t>דרוש שערי עזרה</t>
  </si>
  <si>
    <t>דרוש תמר</t>
  </si>
  <si>
    <t>קאם, חיים שמואל בן יוסף אריה הכהן</t>
  </si>
  <si>
    <t>דרוש תפלת ישרים - 2 כר'</t>
  </si>
  <si>
    <t>דרושי ברוך טעם</t>
  </si>
  <si>
    <t>דרושי הצל"ח &lt;מהדורה חדשה&gt;</t>
  </si>
  <si>
    <t>דרושי הצל"ח - 2 כר'</t>
  </si>
  <si>
    <t>דרושי וחידושי הרמבא"ד</t>
  </si>
  <si>
    <t>דייטש, משה בן אהרן דוד</t>
  </si>
  <si>
    <t>דרושי וחידושי רבי עקיבא איגר על התורה</t>
  </si>
  <si>
    <t>דרושי ושו"ת הרמ"ח</t>
  </si>
  <si>
    <t>מירוויש, משה חיים בן יוסף זאב</t>
  </si>
  <si>
    <t>דרושי חכמה ודעת</t>
  </si>
  <si>
    <t>St. Louis ס"ט לואיס</t>
  </si>
  <si>
    <t>מחשבה ומוסר, נושאים שונים, נושאים שונים</t>
  </si>
  <si>
    <t>דרושי יום יום</t>
  </si>
  <si>
    <t>דרושי יחזקאל</t>
  </si>
  <si>
    <t>דרושי מהר"י בריסק</t>
  </si>
  <si>
    <t>בריסק, יהושע בן אהרן צבי</t>
  </si>
  <si>
    <t>דרושי מהר"ם בריסק - תורה</t>
  </si>
  <si>
    <t>בריסק, מרדכי בן יהושע</t>
  </si>
  <si>
    <t>דרושי מהרא"ץ בריסק - 2 כר'</t>
  </si>
  <si>
    <t>בריסק, אהרן צבי בן מרדכי</t>
  </si>
  <si>
    <t>דרושי מהרש"ש סירירו - 2 כר'</t>
  </si>
  <si>
    <t>סירירו, שמואל שאול</t>
  </si>
  <si>
    <t>דרושי מהרשי"ם</t>
  </si>
  <si>
    <t>מארגולין, ישעיהו יוסף בן נח</t>
  </si>
  <si>
    <t>דרושי רמ"ץ</t>
  </si>
  <si>
    <t>וויטמאיר, מאיר צבי בן גבריאל</t>
  </si>
  <si>
    <t>דרושי שמחה</t>
  </si>
  <si>
    <t>פיש, יעקב חזקיהו בן אהרון צבי אביגדור</t>
  </si>
  <si>
    <t>דרושים הלולים</t>
  </si>
  <si>
    <t>דרושים וחידושים בענייני בר מצוה</t>
  </si>
  <si>
    <t>שצ'קלה, זיו</t>
  </si>
  <si>
    <t>דרושים ופירושים</t>
  </si>
  <si>
    <t>אנג'יל, נחמן בן וידאל</t>
  </si>
  <si>
    <t>דרושים לבר מצוה</t>
  </si>
  <si>
    <t>דרושים להגיד</t>
  </si>
  <si>
    <t>דרושים לחפציהם - 3 כר'</t>
  </si>
  <si>
    <t>דרושים לכל חפציהם - 2 כר'</t>
  </si>
  <si>
    <t>דרושים לכל חפציהם</t>
  </si>
  <si>
    <t>תרל"א-תרל"ו</t>
  </si>
  <si>
    <t>פיש, יעקב יחזקיה בן אהרן צבי אביגדור</t>
  </si>
  <si>
    <t>תאומים, נתן פייטל בן שמואל פייבוש</t>
  </si>
  <si>
    <t>דרושים נאים</t>
  </si>
  <si>
    <t>דרושים נחמדים ממהר"ם שי"ף - 2 כר'</t>
  </si>
  <si>
    <t>שיף, מאיר בן יעקב יוקב כהן</t>
  </si>
  <si>
    <t>רפיש, יעקב שמחה בן משה</t>
  </si>
  <si>
    <t>קראטאשין</t>
  </si>
  <si>
    <t>דרייסיג דורות אידען אין פוילען</t>
  </si>
  <si>
    <t>באדער, גרשם</t>
  </si>
  <si>
    <t>דרישה וחקירה - 3 כר'</t>
  </si>
  <si>
    <t>לינטופ, יהושע (עורך)</t>
  </si>
  <si>
    <t>דרישה וחקירה</t>
  </si>
  <si>
    <t>פרידמאן, מרדכי יוסף בן נחום יואל</t>
  </si>
  <si>
    <t>דרישה מחיים</t>
  </si>
  <si>
    <t>מודעי, ניסים חיים משה בן אברהם</t>
  </si>
  <si>
    <t>דרישות שבת</t>
  </si>
  <si>
    <t>בורנשטיין, אברהם יהושע השיל בן אפרים פי</t>
  </si>
  <si>
    <t>דרישת הארי</t>
  </si>
  <si>
    <t>ישראל איסר בן זאב וולף</t>
  </si>
  <si>
    <t>דרישת הזאב</t>
  </si>
  <si>
    <t>זאב וולף בן יוסף בן אהרן מברלין</t>
  </si>
  <si>
    <t>זאב וולף ממוהילוב</t>
  </si>
  <si>
    <t>מאהילוב</t>
  </si>
  <si>
    <t>משנה, משנה, משנה, משנה, משנה</t>
  </si>
  <si>
    <t>נושאים שונים, שלחן ערוך ומפרשיו, תלמוד בבלי, תנ"ך, תנ"ך</t>
  </si>
  <si>
    <t>דרישת הרחמים</t>
  </si>
  <si>
    <t>סעדון, בוגיד חנינא</t>
  </si>
  <si>
    <t>דרישת מרדכי</t>
  </si>
  <si>
    <t>הענא, מרדכי בן יוסף יוזפא</t>
  </si>
  <si>
    <t>דרישת פקודיך - 2 כר'</t>
  </si>
  <si>
    <t>דרישת צבי</t>
  </si>
  <si>
    <t>דרישת ציון</t>
  </si>
  <si>
    <t>דרך אבות - 3 כר'</t>
  </si>
  <si>
    <t>שיק, אליהו בן בנימין</t>
  </si>
  <si>
    <t>פילדלפיה Philadelphi</t>
  </si>
  <si>
    <t>דרך אבי - 2 כר'</t>
  </si>
  <si>
    <t>סלומון, אברהם יצחק בן דוד</t>
  </si>
  <si>
    <t>דרך אברהם</t>
  </si>
  <si>
    <t>סוכן, אברהם בן ש י ל הלוי</t>
  </si>
  <si>
    <t>תש"ב אחרי</t>
  </si>
  <si>
    <t>דרושים, מועדי ישראל, מחשבה ומוסר, משנה, תנ"ך</t>
  </si>
  <si>
    <t>דרך איש</t>
  </si>
  <si>
    <t>טיגר, אורי</t>
  </si>
  <si>
    <t>דרך איתן - 2 כר'</t>
  </si>
  <si>
    <t>יפהן, אברהם בן אשר צבי</t>
  </si>
  <si>
    <t>דרך אכילה</t>
  </si>
  <si>
    <t>הופמן, ברוך</t>
  </si>
  <si>
    <t>דרך אליעזר</t>
  </si>
  <si>
    <t>סילבר, אליעזר צבי בן יעקב דוד</t>
  </si>
  <si>
    <t>דרך אמונה &lt;מהדורה חדשה&gt;</t>
  </si>
  <si>
    <t>דרך אמונה ובטחון - 2 כר'</t>
  </si>
  <si>
    <t>דרך אמונה - 3 כר'</t>
  </si>
  <si>
    <t>אבן גבאי, מאיר בן יחזקאל</t>
  </si>
  <si>
    <t>דרך אמונה - 2 כר'</t>
  </si>
  <si>
    <t>אבן-גבאי, מאיר בן יחזקאל</t>
  </si>
  <si>
    <t>שכ"ג</t>
  </si>
  <si>
    <t>פדובה Padua</t>
  </si>
  <si>
    <t>אליאך, דוד צבי</t>
  </si>
  <si>
    <t>ביבאגי, אברהם בן שם טוב</t>
  </si>
  <si>
    <t>רפ"ב</t>
  </si>
  <si>
    <t>דרך אמונה - 10 כר'</t>
  </si>
  <si>
    <t>ביבאס, שמואל בן אברהם</t>
  </si>
  <si>
    <t>דוויך, יעקב בן שאול הכהן</t>
  </si>
  <si>
    <t>דרך אמונה</t>
  </si>
  <si>
    <t>מועדי ישראל, מחשבה ומוסר, תולדות עם ישראל</t>
  </si>
  <si>
    <t>דרך אמונה - 6 כר'</t>
  </si>
  <si>
    <t>רפאל בן נתן נטע</t>
  </si>
  <si>
    <t>שטרן, מנחם מנדל בן שמואל</t>
  </si>
  <si>
    <t>תרט"ז - תר"כ</t>
  </si>
  <si>
    <t>דרך אמת - 5 כר'</t>
  </si>
  <si>
    <t>הלר, משולם פייבוש בן אהרן משה הלוי</t>
  </si>
  <si>
    <t>דרך אמת</t>
  </si>
  <si>
    <t>מאלקוב, אביגדור בן מרדכי</t>
  </si>
  <si>
    <t>דרך אניה</t>
  </si>
  <si>
    <t>וידר, יעקב מאיר</t>
  </si>
  <si>
    <t>שיף, מאיר בן זלמן הכהן</t>
  </si>
  <si>
    <t>דרך אר"ץ - או"ח</t>
  </si>
  <si>
    <t>דרך ארץ ונימוסים - ספר הצוואות</t>
  </si>
  <si>
    <t>דרך ארץ זוטא</t>
  </si>
  <si>
    <t>לנדא, יצחק אליהו בן שמואל</t>
  </si>
  <si>
    <t>דרך בלב איש</t>
  </si>
  <si>
    <t>דרך בני חיל - 5 כר'</t>
  </si>
  <si>
    <t>לביא, חיים יוסף</t>
  </si>
  <si>
    <t>דרך בת עמי - א</t>
  </si>
  <si>
    <t>עמר, יוחאי בן סלימאן משה</t>
  </si>
  <si>
    <t>דרך גאולה</t>
  </si>
  <si>
    <t>היילפרין, שמעון בן יעקב ישראל</t>
  </si>
  <si>
    <t>דרך דוד [הקשר]</t>
  </si>
  <si>
    <t>דרך דוד</t>
  </si>
  <si>
    <t>מרגליות, דוד מרדכי</t>
  </si>
  <si>
    <t>דרך דעה - 5 כר'</t>
  </si>
  <si>
    <t>דרך ה'  &lt;דרך היחוד&gt;</t>
  </si>
  <si>
    <t>לוצאטו, משה חיים בן יעקב חי (רמח"ל) - שריקי, מרדכי</t>
  </si>
  <si>
    <t>דרך ה' &lt;דרך לחיים מראה דרך&gt;</t>
  </si>
  <si>
    <t>דרך ה' &lt;עם תרגום צרפתית&gt;</t>
  </si>
  <si>
    <t>דרך ה' לרמח"ל עם ביאור דרך שלמה - א</t>
  </si>
  <si>
    <t>בן אדמון, שלמה</t>
  </si>
  <si>
    <t>דרך ה' עם ביאור נתיבות עולם</t>
  </si>
  <si>
    <t>לוצאטו, משה חיים (רמח"ל) - גולדברג, אהרן דוד בן יצחק הלוי</t>
  </si>
  <si>
    <t>וויקליף</t>
  </si>
  <si>
    <t>דרך ה' עם הערות וביאורים</t>
  </si>
  <si>
    <t>לוצאטו, משה חיים בן יעקב חי (רמח"ל) - ספינר, יוסף</t>
  </si>
  <si>
    <t>דרך ה' - 2 כר'</t>
  </si>
  <si>
    <t>דרך האדם</t>
  </si>
  <si>
    <t>סוננזון, יצחק יחיאל בן אליעזר נפתלי</t>
  </si>
  <si>
    <t>דרך האמונה ומעשה רב</t>
  </si>
  <si>
    <t>דונר, יעקב שלום בן נתן נטע הכהן</t>
  </si>
  <si>
    <t>דרך החיים</t>
  </si>
  <si>
    <t>אלנקוה, אליהו</t>
  </si>
  <si>
    <t>דרך החיים - 4 כר'</t>
  </si>
  <si>
    <t>מקלר, חיים יהודה בן יוסף בנימין</t>
  </si>
  <si>
    <t>דרך החיים - 2 כר'</t>
  </si>
  <si>
    <t>תלמידי ישיבת ויז'ניץ</t>
  </si>
  <si>
    <t>דרך החכמה</t>
  </si>
  <si>
    <t>דרך החנוך</t>
  </si>
  <si>
    <t>יוסלוביץ, אליהו בן מ שכנא</t>
  </si>
  <si>
    <t>דרך החסידות</t>
  </si>
  <si>
    <t>דנציגר, אליעזר יצחק</t>
  </si>
  <si>
    <t>דרך הטהרה</t>
  </si>
  <si>
    <t>גרינברג, שמואל יוסף</t>
  </si>
  <si>
    <t>דרך הטוב</t>
  </si>
  <si>
    <t>צוקר, יהודה אריה בן ישראל דוד</t>
  </si>
  <si>
    <t>[תרס"א],</t>
  </si>
  <si>
    <t>מונקאטש,</t>
  </si>
  <si>
    <t>דרך הטובה והישרה - 2 כר'</t>
  </si>
  <si>
    <t>קליין, שלום יוסף בן אברהם שמחה</t>
  </si>
  <si>
    <t>הלכה ומנהג, חסידות, מחשבה ומוסר</t>
  </si>
  <si>
    <t>דרך הישר</t>
  </si>
  <si>
    <t>יעקב נפתלי בן יהודה ליב</t>
  </si>
  <si>
    <t>דרך הישרים - ספר הזכרון</t>
  </si>
  <si>
    <t>דרך הלכה - שערי מאיר</t>
  </si>
  <si>
    <t>ניסים, אוריאל</t>
  </si>
  <si>
    <t>דרך המדבר</t>
  </si>
  <si>
    <t>דרך המלך &lt;מהדורה חדשה&gt; - פירוש הארוך</t>
  </si>
  <si>
    <t>רפפורט, דובריש בן שמואל הכהן</t>
  </si>
  <si>
    <t>דרך המלך</t>
  </si>
  <si>
    <t>בן רבי, רפאל יוסף בן יהודה</t>
  </si>
  <si>
    <t>חוויידאנסקי, חיים יעקב בן שבתי שפטל</t>
  </si>
  <si>
    <t>יחיאל מיכל בן יהודה ליב מקאלוואריה</t>
  </si>
  <si>
    <t>דרך המלך - 5 כר'</t>
  </si>
  <si>
    <t>מנחם מענדיל בן יוסף</t>
  </si>
  <si>
    <t>דרך המלך - 3 כר'</t>
  </si>
  <si>
    <t>פוקסברומר</t>
  </si>
  <si>
    <t>קיש, מאיר</t>
  </si>
  <si>
    <t>דרך המלך - פירוש הארוך והקצר</t>
  </si>
  <si>
    <t>תרנ"ב - תרנ"ד</t>
  </si>
  <si>
    <t>שימל, יוסף חיים בן אברהם</t>
  </si>
  <si>
    <t>דרך המלך - 2 כר'</t>
  </si>
  <si>
    <t>דרך הנגב</t>
  </si>
  <si>
    <t>גבאי, ניסים</t>
  </si>
  <si>
    <t>דרך הנשר ותורת אמת - 2 כר'</t>
  </si>
  <si>
    <t>שווארץ, אברהם יהודה בן נפתלי הכהן</t>
  </si>
  <si>
    <t>דרך הנשר</t>
  </si>
  <si>
    <t>ריכטר, דב בעריש בן חיים</t>
  </si>
  <si>
    <t>דרך העבודה</t>
  </si>
  <si>
    <t>דרך הצלה</t>
  </si>
  <si>
    <t>העלבראנץ, שלמה</t>
  </si>
  <si>
    <t>דרך הקודש</t>
  </si>
  <si>
    <t>אלפנדארי, חיים (השני) בן יצחק רפאל</t>
  </si>
  <si>
    <t>ת"ע</t>
  </si>
  <si>
    <t>קושטנדיטא</t>
  </si>
  <si>
    <t>משקלאב, מנחם מענדיל</t>
  </si>
  <si>
    <t>דרך הקוצרים - 5 כר'</t>
  </si>
  <si>
    <t>ולדר, יעקב צבי</t>
  </si>
  <si>
    <t>דרך הרמב"ם</t>
  </si>
  <si>
    <t>אנגלרד, אורי שרגא</t>
  </si>
  <si>
    <t>דרך השלחן</t>
  </si>
  <si>
    <t>ינקלביץ, אשר חנוך</t>
  </si>
  <si>
    <t>דרך התורה</t>
  </si>
  <si>
    <t>קובץ - ישיבה לצעירים דרך התורה</t>
  </si>
  <si>
    <t>דרך התחומין - ג</t>
  </si>
  <si>
    <t>אנגלרד, משה בן אריה</t>
  </si>
  <si>
    <t>דרך התלמוד</t>
  </si>
  <si>
    <t>דרך התפלה</t>
  </si>
  <si>
    <t>מאיר, חנוך הניך דוב בן שמואל</t>
  </si>
  <si>
    <t>דרך חדשה</t>
  </si>
  <si>
    <t>דרך חוקיך</t>
  </si>
  <si>
    <t>וולדמן, אברהם שמואל בנימין בן יוסף מרדכי</t>
  </si>
  <si>
    <t>דרך חוקיך - 5 כר'</t>
  </si>
  <si>
    <t>יצחקי, ברוך בן יעקב יצחק</t>
  </si>
  <si>
    <t>דרך חוקיך - אבות</t>
  </si>
  <si>
    <t>פדלון, חן</t>
  </si>
  <si>
    <t>דרך חיים &lt;כולל מבוא&gt;</t>
  </si>
  <si>
    <t>דרך חיים. תקס"ג</t>
  </si>
  <si>
    <t>תקס"ג - תשכ"ג</t>
  </si>
  <si>
    <t>אלטונה Altona - קרית</t>
  </si>
  <si>
    <t>דרך חיים &lt;מהדורת פרדס&gt;</t>
  </si>
  <si>
    <t>דרך חיים &lt;שעשועי רעיונים&gt;</t>
  </si>
  <si>
    <t>לאזנובסקי, ברוך בן חיים</t>
  </si>
  <si>
    <t>דרך חיים להשמחה והאמת</t>
  </si>
  <si>
    <t>חנון, מנחם נחום יצחק אייזיק בן ישעיהו מיכל</t>
  </si>
  <si>
    <t>תשי"ג-תשי"ח</t>
  </si>
  <si>
    <t>דרך חיים</t>
  </si>
  <si>
    <t>אבות. תרל"ז. ורשה</t>
  </si>
  <si>
    <t>אורטנר, דוב בעריש</t>
  </si>
  <si>
    <t>דרך חיים - 2 כר'</t>
  </si>
  <si>
    <t>אזבנד, חיים מרדכי בן אייזיק</t>
  </si>
  <si>
    <t>ארנפלד, שמואל בן דוד צבי</t>
  </si>
  <si>
    <t>של"ג</t>
  </si>
  <si>
    <t>דרך חיים. תרס"ד</t>
  </si>
  <si>
    <t>דרך חיים - שארית יהודה, תוכחות מוסר</t>
  </si>
  <si>
    <t>טורנר, שמואל זנוויל חיים</t>
  </si>
  <si>
    <t>שמ"ט</t>
  </si>
  <si>
    <t>לוונשטאם, חיים בן אריה ליב</t>
  </si>
  <si>
    <t>Dessau דסאו</t>
  </si>
  <si>
    <t>ליפשיץ, חיים בן משה</t>
  </si>
  <si>
    <t>ציפר, יחיאל מיכל בן אברהם מאיר</t>
  </si>
  <si>
    <t>דרך חכמה</t>
  </si>
  <si>
    <t>כ"ץ, דוב בריש בן יצחק אברהם אבלי</t>
  </si>
  <si>
    <t>דרך חכמה - 3 כר'</t>
  </si>
  <si>
    <t>לוצאטו, משה חיים בן יעקב חי</t>
  </si>
  <si>
    <t>תרי"ט,</t>
  </si>
  <si>
    <t>Warszawa</t>
  </si>
  <si>
    <t>דרך חכמת האמת לרמח"ל</t>
  </si>
  <si>
    <t>דרך חסידים - 2 כר'</t>
  </si>
  <si>
    <t>גולדשטיין, נחמן בן צבי אריה</t>
  </si>
  <si>
    <t>דרך חקיך</t>
  </si>
  <si>
    <t>הארטמאן, מנחם מנדל בן יואל</t>
  </si>
  <si>
    <t>קורח, חננאל בן פנחס</t>
  </si>
  <si>
    <t>דרך טהרה - נגעים</t>
  </si>
  <si>
    <t>דרך טוב</t>
  </si>
  <si>
    <t>דוד שלמה בן בירך</t>
  </si>
  <si>
    <t>דרך טובים</t>
  </si>
  <si>
    <t>צבי הירש בן משה חנוך זונדל</t>
  </si>
  <si>
    <t>דרך יבחר</t>
  </si>
  <si>
    <t>פאנט, חיים בצלאל בן יחזקאל</t>
  </si>
  <si>
    <t>דרך יהושע</t>
  </si>
  <si>
    <t>לווינגר, יהושע יהודה בן מרדכי הלוי</t>
  </si>
  <si>
    <t>דרך ים</t>
  </si>
  <si>
    <t>מאסקאוויטש, יחיאל מיכל בן שלום</t>
  </si>
  <si>
    <t>דרך ים - 15 כר'</t>
  </si>
  <si>
    <t>צאהן, מרדכי צבי בן משולם זושא</t>
  </si>
  <si>
    <t>שטיגליץ, מרדכי נחמן בן יצחק זכריה</t>
  </si>
  <si>
    <t>דרך ימה &lt;מהדורה חדשה&gt;</t>
  </si>
  <si>
    <t>פרידלנדר, יעקב מאיר צבי בן דוב</t>
  </si>
  <si>
    <t>דרך ימה, הבה תמים</t>
  </si>
  <si>
    <t>פרידלנדר, יעקב מאיר צבי בן דוב - בראך, שאול בן אלעזר</t>
  </si>
  <si>
    <t>דרך יעקב - תש"ע</t>
  </si>
  <si>
    <t>בן נאים, יעקב</t>
  </si>
  <si>
    <t>דרך ישר</t>
  </si>
  <si>
    <t>ניצה, ישעיה בן אליעזר חיים</t>
  </si>
  <si>
    <t>שצ"ג</t>
  </si>
  <si>
    <t>דרך ישראל ברפואה</t>
  </si>
  <si>
    <t>מרגלית, דוד</t>
  </si>
  <si>
    <t>דרך ישראל - 15 כר'</t>
  </si>
  <si>
    <t>דרך ישרה</t>
  </si>
  <si>
    <t>דרך ישרה - 28 כר'</t>
  </si>
  <si>
    <t>ויינגולד, ישראל</t>
  </si>
  <si>
    <t>חוטש, צבי הירש בן ירחמיאל</t>
  </si>
  <si>
    <t>תנ"ז</t>
  </si>
  <si>
    <t>דרך ישרה - 2 כר'</t>
  </si>
  <si>
    <t>לרנר, משה יהודה בן שמשון אליעזר</t>
  </si>
  <si>
    <t>דרך ישרה - 3 כר'</t>
  </si>
  <si>
    <t>פפיס, דוד יוסף בן מרדכי בנימין</t>
  </si>
  <si>
    <t>הלכה ומנהג, מועדי ישראל, מועדי ישראל</t>
  </si>
  <si>
    <t>פרנקל, יצחק ידידיה</t>
  </si>
  <si>
    <t>קלצקין, אליהו</t>
  </si>
  <si>
    <t>ראובן בן אברהם מירושלים</t>
  </si>
  <si>
    <t>שיק, ברוך בן יעקב</t>
  </si>
  <si>
    <t>[תקל"ט</t>
  </si>
  <si>
    <t>האג,</t>
  </si>
  <si>
    <t>שמעוני, יוסף</t>
  </si>
  <si>
    <t>תוניס</t>
  </si>
  <si>
    <t>הלכה ומנהג, מועדי ישראל, משנה, תלמוד בבלי, תנ"ך, תפלות בקשות פיוטים ושירה</t>
  </si>
  <si>
    <t>דרך כוכב מיעקב</t>
  </si>
  <si>
    <t>כוכבי, יעקב (עורך)</t>
  </si>
  <si>
    <t>דרך כוכב מיעקב - 7 כר'</t>
  </si>
  <si>
    <t>דרך כוכב - זרע השלום - זרע יעקב</t>
  </si>
  <si>
    <t>הכהן, כדיר בן יעקב הכהן - הכהן,יעקב בן שלום (גאתו)</t>
  </si>
  <si>
    <t>תש"ס - חש"ד</t>
  </si>
  <si>
    <t>ירושלים  - ג'רבה</t>
  </si>
  <si>
    <t>דרך כוכב</t>
  </si>
  <si>
    <t>פפויפר, אהרן בן יעקב (עליו)</t>
  </si>
  <si>
    <t>דרך למלאכת הבורר</t>
  </si>
  <si>
    <t>פריימן, אריה בן יעקב</t>
  </si>
  <si>
    <t>דרך למלאכת הלש</t>
  </si>
  <si>
    <t>דרך לתלמוד - 2 כר'</t>
  </si>
  <si>
    <t>ליפערהאנט, יחזקאל בן יוסף הכהן</t>
  </si>
  <si>
    <t>דרך מבוא השמש</t>
  </si>
  <si>
    <t>ארלנגר, יצחק - ארונובסקי, מרדכי נחמן</t>
  </si>
  <si>
    <t>דרך מיעקב - ע"ז</t>
  </si>
  <si>
    <t>ורשנר, יעקב ירוחם בן יהושע יחזקאל</t>
  </si>
  <si>
    <t>דרך מצותיך</t>
  </si>
  <si>
    <t>סוסה,</t>
  </si>
  <si>
    <t>נוסבכר, אליעזר</t>
  </si>
  <si>
    <t>דרך מצותיך - תדיר וקדימה במצוות</t>
  </si>
  <si>
    <t>פזריני, דוד</t>
  </si>
  <si>
    <t>רוזאניס, יהודה בן שמואל</t>
  </si>
  <si>
    <t>דרך משפט</t>
  </si>
  <si>
    <t>דרך משפט - 3 כר'</t>
  </si>
  <si>
    <t>דרך נובהרדוק</t>
  </si>
  <si>
    <t>לקט שיחות מוסר</t>
  </si>
  <si>
    <t>בוסייר</t>
  </si>
  <si>
    <t>דרך נשר</t>
  </si>
  <si>
    <t>הלר, שמואל בן ישראל</t>
  </si>
  <si>
    <t>דרך נשר - 2 כר'</t>
  </si>
  <si>
    <t>לאקס, משה אריה לייב</t>
  </si>
  <si>
    <t>דרך סלולה</t>
  </si>
  <si>
    <t>פרילוקי Priluki</t>
  </si>
  <si>
    <t>דרך עדותיך</t>
  </si>
  <si>
    <t>קאהן, דוד בן אברהם יצחק (אדמו"ר מתו"א)</t>
  </si>
  <si>
    <t>דרך עליה - אגדה ומוסר</t>
  </si>
  <si>
    <t>דרך עץ החיים &lt;ודברת בם&gt;</t>
  </si>
  <si>
    <t>לוצאטו, משה חיים בן יעקב חי (רמח"ל) - גולדברג, אהרן דוד בן יצחק הלוי</t>
  </si>
  <si>
    <t>דרך עץ החיים והקדמת ללימוד החכמה ממהרח"ו</t>
  </si>
  <si>
    <t>דרך עץ החיים</t>
  </si>
  <si>
    <t>אלאשקר, יוסף</t>
  </si>
  <si>
    <t>אלגאזי, חיים יצחק בן יהודה</t>
  </si>
  <si>
    <t>דרך עץ החיים - עם פירוש</t>
  </si>
  <si>
    <t>לוצאטו, משה חיים בן יעקב חי (רמח"ל) - אבינר, שלמה</t>
  </si>
  <si>
    <t>ורשה,</t>
  </si>
  <si>
    <t>דרך פקודיך - הקדמה עם מ"מ והשוואות</t>
  </si>
  <si>
    <t>שפירא, צבי אלימלך בן פסח מדינוב - רייזמן, יואל</t>
  </si>
  <si>
    <t>דרך פקודיך - 4 כר'</t>
  </si>
  <si>
    <t>חסידות, נושאים שונים, קבלה</t>
  </si>
  <si>
    <t>דרך צדיקים</t>
  </si>
  <si>
    <t>[תרס"ג]).</t>
  </si>
  <si>
    <t>דרך ציון</t>
  </si>
  <si>
    <t>דרך קדושים</t>
  </si>
  <si>
    <t>דרך שיח</t>
  </si>
  <si>
    <t>אופנהיים, יהודה ליווא בן שמואל זנוויל</t>
  </si>
  <si>
    <t>דרך שיחה - תשובות הגר"ח קנייבסקי שליט"א</t>
  </si>
  <si>
    <t>יברוב, צבי בן משה יצחק אהרן (עורך)</t>
  </si>
  <si>
    <t>דרך שלום</t>
  </si>
  <si>
    <t>דרך שער העליון  - זבחים פרק י"ג וי"ד</t>
  </si>
  <si>
    <t>דרך תבונה</t>
  </si>
  <si>
    <t>דרך תבונות &lt;מהדורה חדשה&gt;</t>
  </si>
  <si>
    <t>לוצאטו, משה חיים בן יעקב חי (רמח"ל) - לדרמן, יוחנן</t>
  </si>
  <si>
    <t>דרך תבונות - 2 כר'</t>
  </si>
  <si>
    <t>דרך תחומין</t>
  </si>
  <si>
    <t>דונט, מרדכי -פלדמן, שמחה</t>
  </si>
  <si>
    <t>דרך תמים</t>
  </si>
  <si>
    <t>סטפאנסקי, אברהם בן ברוך הלוי - טברסקי, אברהם בן מרדכי (אודות)</t>
  </si>
  <si>
    <t>דרך תשובה</t>
  </si>
  <si>
    <t>זילבר, בנימין יהושע</t>
  </si>
  <si>
    <t>דרכה של אש</t>
  </si>
  <si>
    <t>אחרק, שאול</t>
  </si>
  <si>
    <t>דרכה של תורה - 3 כר'</t>
  </si>
  <si>
    <t>דרכה של תורה</t>
  </si>
  <si>
    <t>דרכה של תורה. תר"ף</t>
  </si>
  <si>
    <t>דרכה של תורה. תרס"ב</t>
  </si>
  <si>
    <t>ווילנה</t>
  </si>
  <si>
    <t>דרכה של תורה. תרפ"ז</t>
  </si>
  <si>
    <t>דרכי אבות</t>
  </si>
  <si>
    <t>דרכי אבות - 7 כר'</t>
  </si>
  <si>
    <t>כהן, מיכאל</t>
  </si>
  <si>
    <t>רוזנברג, חיים חנוך</t>
  </si>
  <si>
    <t>דרכי אהרן - 6 כר'</t>
  </si>
  <si>
    <t>ווינשטיין, אהרן בן מנחם מנדיל</t>
  </si>
  <si>
    <t>דרכי אורה</t>
  </si>
  <si>
    <t>הייזלר, מרדכי שרגא בן יוסף</t>
  </si>
  <si>
    <t>דרכי איש</t>
  </si>
  <si>
    <t>ארוואץ, ניסים שמואל יהודה</t>
  </si>
  <si>
    <t>כהן, רפאל בן יצחק</t>
  </si>
  <si>
    <t>דרכי איש - 2 כר'</t>
  </si>
  <si>
    <t>מלכה, אריה יהודה בן מסעוד דניאל</t>
  </si>
  <si>
    <t>דרכי אליהו</t>
  </si>
  <si>
    <t>הכהן, אליהו יהודה בן יצחק משה</t>
  </si>
  <si>
    <t>דרכי אמונה והשגחה</t>
  </si>
  <si>
    <t>דרכי אמונה - 2 כר'</t>
  </si>
  <si>
    <t>שפירא, צבי הירש בן שלמה</t>
  </si>
  <si>
    <t>דרכי אמת - 2 כר'</t>
  </si>
  <si>
    <t>דרכי ארץ הצבי</t>
  </si>
  <si>
    <t>דרכי בקדש</t>
  </si>
  <si>
    <t>דרכי ברוך - 15 כר'</t>
  </si>
  <si>
    <t>דרכי ברוך, צרופה אמרתך</t>
  </si>
  <si>
    <t>דרכי ברכות</t>
  </si>
  <si>
    <t>דרכי דוד - לזכרו של רבי מרדכי דוד לוין</t>
  </si>
  <si>
    <t>בני משפחת לוין</t>
  </si>
  <si>
    <t>דרכי דוד</t>
  </si>
  <si>
    <t>כליפה, דוד בן מכלוף</t>
  </si>
  <si>
    <t>דרכי דוד - 4 כר'</t>
  </si>
  <si>
    <t>לווין, מרדכי דוד בן ברוך</t>
  </si>
  <si>
    <t>לוריא, דוד מרדכי</t>
  </si>
  <si>
    <t>דרכי דוד - 5 כר'</t>
  </si>
  <si>
    <t>תקנ"ג - תקנ"ה</t>
  </si>
  <si>
    <t>קובץ חידושי תורה ביהמ"ד דרכי דוד</t>
  </si>
  <si>
    <t>דרכי דוד - 3 כר'</t>
  </si>
  <si>
    <t>קסל, דוד בן מיכאל</t>
  </si>
  <si>
    <t>דרכי דעת - 2 כר'</t>
  </si>
  <si>
    <t>דרכי האמונה</t>
  </si>
  <si>
    <t>יוסף דוד בן אפרים הכהן</t>
  </si>
  <si>
    <t>דרכי האריה</t>
  </si>
  <si>
    <t>רובינשטיין, מרדכי אריה בן אליעזר</t>
  </si>
  <si>
    <t>דרכי הגמרא - 4 כר'</t>
  </si>
  <si>
    <t>קאנפאנטון, יצחק בן יעקב</t>
  </si>
  <si>
    <t>דרכי הוראה</t>
  </si>
  <si>
    <t>אליאשברג, יהונתן בן מרדכי</t>
  </si>
  <si>
    <t>דרכי הוראה - 15 כר'</t>
  </si>
  <si>
    <t>דרכי החיים - 2 כר'</t>
  </si>
  <si>
    <t>דרכי החיים</t>
  </si>
  <si>
    <t>מארבר, גרשון אפרים בן משה נתן</t>
  </si>
  <si>
    <t>קוטקובסקי, יוסף בן זאב הלוי</t>
  </si>
  <si>
    <t>דרושים, הלכה ומנהג, שאלות ותשובות, שאלות ותשובות</t>
  </si>
  <si>
    <t>דרכי הים</t>
  </si>
  <si>
    <t>מאייו, רפאל יצחק בן אהרן-נוניס, יצחק</t>
  </si>
  <si>
    <t>דרכי הים - 2 כר'</t>
  </si>
  <si>
    <t>פישהוף, מרדכי בן תנחום</t>
  </si>
  <si>
    <t>דרכי הישר והטוב</t>
  </si>
  <si>
    <t>גולדברגר, זאב וולף בן יוסף</t>
  </si>
  <si>
    <t>דרכי הלכה - 2 כר'</t>
  </si>
  <si>
    <t>רוטנברג, מנחם עמי</t>
  </si>
  <si>
    <t>דרכי הלכה - 12 כר'</t>
  </si>
  <si>
    <t>שמרלר, חיים בן אליהו שמואל</t>
  </si>
  <si>
    <t>דרכי המגילה</t>
  </si>
  <si>
    <t>דרכי המלוכה</t>
  </si>
  <si>
    <t>אלטוסקי, ישראל ראובן</t>
  </si>
  <si>
    <t>דרכי המליצה בספר תהלים</t>
  </si>
  <si>
    <t>גרוסמאן, זאב וולף בן אברהם</t>
  </si>
  <si>
    <t>דרכי המשפט</t>
  </si>
  <si>
    <t>מנהיים, אהרן</t>
  </si>
  <si>
    <t>דרכי הנסיגה</t>
  </si>
  <si>
    <t>וויינקופ, יצחק יוסף בן-ציון</t>
  </si>
  <si>
    <t>דרכי הנקוד והנגינות - 2 כר'</t>
  </si>
  <si>
    <t>משה בן יום-טוב מלונדון</t>
  </si>
  <si>
    <t>דרכי העבודה - 3 כר'</t>
  </si>
  <si>
    <t>שיף, ירחמיאל בן אביגדור יחזקאל</t>
  </si>
  <si>
    <t>דרכי העיון</t>
  </si>
  <si>
    <t>אמסלם, חיים</t>
  </si>
  <si>
    <t>דרכי הפסק</t>
  </si>
  <si>
    <t>דרכי הקב"ה</t>
  </si>
  <si>
    <t>דרכי הקנינים</t>
  </si>
  <si>
    <t>שינדלר, מרדכי בן לוי יצחק</t>
  </si>
  <si>
    <t>דרכי הריבית</t>
  </si>
  <si>
    <t>כהן, אליעזר</t>
  </si>
  <si>
    <t>דרכי השינויים</t>
  </si>
  <si>
    <t>דרכי השכירות</t>
  </si>
  <si>
    <t>דרכי השלימות</t>
  </si>
  <si>
    <t>פיש, מרדכי הלוי</t>
  </si>
  <si>
    <t>דרכי התלמוד</t>
  </si>
  <si>
    <t>דרכי התלמוד, תרגילנו בתורתך</t>
  </si>
  <si>
    <t>קאנפאנטון, יצחק בן יעקב - אריאל, ישראל</t>
  </si>
  <si>
    <t>דרכי התשובה</t>
  </si>
  <si>
    <t>דרכי וכללי הגמרא</t>
  </si>
  <si>
    <t>נושאים שונים, תלמוד בבלי, תלמוד בבלי</t>
  </si>
  <si>
    <t>דרכי זקנים</t>
  </si>
  <si>
    <t>ליברמן, יוסף דב כהנא</t>
  </si>
  <si>
    <t>דרכי חושן - 6 כר'</t>
  </si>
  <si>
    <t>סילמן, יהודה משה בן טוביה</t>
  </si>
  <si>
    <t>דרכי חיים ושלום - 2 כר'</t>
  </si>
  <si>
    <t>גולד, יחיאל מיכל בן משה חיים הלוי</t>
  </si>
  <si>
    <t>דרכי חיים - 6 כר'</t>
  </si>
  <si>
    <t>אדלר, חיים מרדכי בן גדליה</t>
  </si>
  <si>
    <t>דרכי חיים</t>
  </si>
  <si>
    <t>הלוי, חיים אבתר זגול</t>
  </si>
  <si>
    <t>זילברברג, חיים יעקב נפתלי בן אברהם בנימין</t>
  </si>
  <si>
    <t>ניימאן, אפרים פישל בן מרדכי</t>
  </si>
  <si>
    <t>צימטבוים, רפאל הלוי</t>
  </si>
  <si>
    <t>דרכי חינוך להורים ומחנכים</t>
  </si>
  <si>
    <t>אורשלימי, אפרים</t>
  </si>
  <si>
    <t>דרכי חכמה - עירובין</t>
  </si>
  <si>
    <t>גנצרסקי, בצלאל שלמה הלוי</t>
  </si>
  <si>
    <t>דרכי חן</t>
  </si>
  <si>
    <t>דרכי חנוכה</t>
  </si>
  <si>
    <t>דרכי חסד</t>
  </si>
  <si>
    <t>אושפאל, יצחק דובער</t>
  </si>
  <si>
    <t>דרכי חשבון הראיה - 2 כר'</t>
  </si>
  <si>
    <t>קארפ, צבי משה בן אביגדור שלמה</t>
  </si>
  <si>
    <t>דרכי טהרה</t>
  </si>
  <si>
    <t>דרכי טוהר</t>
  </si>
  <si>
    <t>דרכי יום טוב</t>
  </si>
  <si>
    <t>דרכי יוסף צבי</t>
  </si>
  <si>
    <t>דינר, יוסף צבי הלוי</t>
  </si>
  <si>
    <t>דרכי יוסף - 2 כר'</t>
  </si>
  <si>
    <t>אדל, יוסף אליעזר ליבר בן יהודה ליב הלוי</t>
  </si>
  <si>
    <t>אוחנה, יוסף חיים</t>
  </si>
  <si>
    <t>דרכי יוסף - 5 כר'</t>
  </si>
  <si>
    <t>דרכי יושר &lt;מהדורה חדשה&gt; - ב</t>
  </si>
  <si>
    <t>שארף, משה יעקב בן אפרים</t>
  </si>
  <si>
    <t>דרכי יושר - 2 כר'</t>
  </si>
  <si>
    <t>דרכי ים סוף</t>
  </si>
  <si>
    <t>גינצלר, יוסף מרדכי בן יצחק אייזיק</t>
  </si>
  <si>
    <t>דרכי יעקב - הנהגות מרן הקהילות יעקב</t>
  </si>
  <si>
    <t>דרכי יעקב - קידושין</t>
  </si>
  <si>
    <t>ארנטרוי, יעקב מרדכי בן יונה יוסף הכהן</t>
  </si>
  <si>
    <t>דרכי יעקב - 2 כר'</t>
  </si>
  <si>
    <t>גרוסמאן, יעקב אריה בן ישראל גדליה הלוי</t>
  </si>
  <si>
    <t>דרכי יעקב - 15 כר'</t>
  </si>
  <si>
    <t>פוגלבלט, יעקב בן שמואל יוסף</t>
  </si>
  <si>
    <t>דרכי ירוחם</t>
  </si>
  <si>
    <t>הלכה ומנהג, הלכה ומנהג, שאלות ותשובות, שלחן ערוך ומפרשיו</t>
  </si>
  <si>
    <t>דרכי ישראל</t>
  </si>
  <si>
    <t>גרוסמן, יעקב אריה הלוי</t>
  </si>
  <si>
    <t>דרכי ישרים &lt;מהדורה חדשה&gt;</t>
  </si>
  <si>
    <t>מנחם מנדל בן אליעזר מפרמישלאן</t>
  </si>
  <si>
    <t>דרכי ישרים - פרק איזהו נשך</t>
  </si>
  <si>
    <t>כולל יששכר באהלך</t>
  </si>
  <si>
    <t>דרכי ישרים - 7 כר'</t>
  </si>
  <si>
    <t>דרכי ישרים</t>
  </si>
  <si>
    <t>שניידר, מרדכי</t>
  </si>
  <si>
    <t>דרכי לימוד העיון</t>
  </si>
  <si>
    <t>פלבני, יוסף</t>
  </si>
  <si>
    <t>דרכי לימוד - קידושין</t>
  </si>
  <si>
    <t>ויזל, ישראל בן אלתר יעקב הלוי</t>
  </si>
  <si>
    <t>דרכי לשון הקודש</t>
  </si>
  <si>
    <t>קמחי, משה בן יוסף</t>
  </si>
  <si>
    <t>דרכי מבשר</t>
  </si>
  <si>
    <t>דרכי מוסר - 2 כר'</t>
  </si>
  <si>
    <t>ניימן, יעקב אריה</t>
  </si>
  <si>
    <t>דרכי מנחם</t>
  </si>
  <si>
    <t>דרכי מרדכי</t>
  </si>
  <si>
    <t>בהרי"ף, מרדכי בן ידידיה פסח</t>
  </si>
  <si>
    <t>תורג'מן, מאור מאיר</t>
  </si>
  <si>
    <t>דרכי משה &lt;אורח מישור&gt; - יו"ד</t>
  </si>
  <si>
    <t>איסרלש, משה בן ישראל (רמ"א)</t>
  </si>
  <si>
    <t>תנ"ב</t>
  </si>
  <si>
    <t>דרכי משה החדש &lt;מהדורה חדשה&gt; - 2 כר'</t>
  </si>
  <si>
    <t>דרכי משה החדש</t>
  </si>
  <si>
    <t>דרכי משה - או"ח</t>
  </si>
  <si>
    <t>דרכי משה</t>
  </si>
  <si>
    <t>ברנט, משה הלוי</t>
  </si>
  <si>
    <t>Djerba ג'רבה</t>
  </si>
  <si>
    <t>דרכי משה - 4 כר'</t>
  </si>
  <si>
    <t>עמיאל, משה אביגדור</t>
  </si>
  <si>
    <t>דרכי משפט - 2 כר'</t>
  </si>
  <si>
    <t>כהן, חנוך בן יהודה</t>
  </si>
  <si>
    <t>דרכי משפט - 3 כר'</t>
  </si>
  <si>
    <t>נידאם, אלעזר בן מכלוף</t>
  </si>
  <si>
    <t>דרכי נוחם</t>
  </si>
  <si>
    <t>שטורך, נחום צבי בן שמואל</t>
  </si>
  <si>
    <t>דרכי נועם החיים - 2 כר'</t>
  </si>
  <si>
    <t>דרכי נועם על התורה - 2 כר'</t>
  </si>
  <si>
    <t>ארליך, אלחנן בן אליהו אייל</t>
  </si>
  <si>
    <t>דרכי נועם</t>
  </si>
  <si>
    <t>בלוגראדו,</t>
  </si>
  <si>
    <t>דרכי נועם - 2 כר'</t>
  </si>
  <si>
    <t>הורוויץ, חיים שלמה בן אלטר אליעזר</t>
  </si>
  <si>
    <t>הרינזון, שלום דוב בר בן שמעון</t>
  </si>
  <si>
    <t>ווייסבלום, אלימלך בן אליעזר ליפמאן</t>
  </si>
  <si>
    <t>דרכי נועם - בסוגיות הש"ס</t>
  </si>
  <si>
    <t>שמואל בן אליעזר</t>
  </si>
  <si>
    <t>דרכי נעם (שלחן ערוך קטן ח"ב)</t>
  </si>
  <si>
    <t>גוטליב, מנחם בן אליעזר</t>
  </si>
  <si>
    <t>דרכי נעם</t>
  </si>
  <si>
    <t>אבן-חביב, משה בן שם-טוב</t>
  </si>
  <si>
    <t>מרדכי בן יהודה הלוי ממצרים</t>
  </si>
  <si>
    <t>פרלמוטר, יעקב</t>
  </si>
  <si>
    <t>תש"ך-תשכ"ה</t>
  </si>
  <si>
    <t>דרכי עולם</t>
  </si>
  <si>
    <t>דרכי עונג - 2 כר'</t>
  </si>
  <si>
    <t>דרכי עזרי - 4 כר'</t>
  </si>
  <si>
    <t>לעבאוויטש, מרדכי אליעזר בן אפרים דוד</t>
  </si>
  <si>
    <t>דרכי עירובין</t>
  </si>
  <si>
    <t>דרכי פועלים</t>
  </si>
  <si>
    <t>לנדמן, צבי בן נתן נטע</t>
  </si>
  <si>
    <t>דרכי פלא - טלפון ופלאפון</t>
  </si>
  <si>
    <t>דרכי צבי - 6 כר'</t>
  </si>
  <si>
    <t>לרנר, צבי יוסף</t>
  </si>
  <si>
    <t>דרכי צדק</t>
  </si>
  <si>
    <t>זילבר, מנחם זכריה</t>
  </si>
  <si>
    <t>דרכי צדק - 3 כר'</t>
  </si>
  <si>
    <t>זכריה מנדל בן משה יהושע מיארוסלאב</t>
  </si>
  <si>
    <t>דרכי ציון - ליקוטי אמרים</t>
  </si>
  <si>
    <t>היילפרין, דוד בן ישראל - היילפרין  ישכר בעריש בן דוד</t>
  </si>
  <si>
    <t>הלכה ומנהג, משנה, נושאים שונים, תלמוד בבלי, תנ"ך</t>
  </si>
  <si>
    <t>דרכי ציון</t>
  </si>
  <si>
    <t>חיים יחיאל בן יוסף</t>
  </si>
  <si>
    <t>דרכי ציון - 3 כר'</t>
  </si>
  <si>
    <t>ירא, עובדיה בן אברהם מברטנורה</t>
  </si>
  <si>
    <t>פורגס, משה בן ישראל נפתלי הירש</t>
  </si>
  <si>
    <t>פרנקפורט דמיין</t>
  </si>
  <si>
    <t>דרכי קנין תורה</t>
  </si>
  <si>
    <t>דרכי שלום</t>
  </si>
  <si>
    <t>כהן, שלום בן יעקב</t>
  </si>
  <si>
    <t>דרכי שלום - 2 כר'</t>
  </si>
  <si>
    <t>לייטר, יחיאל מיכל בן שלום</t>
  </si>
  <si>
    <t>מארגונאטו, ניסים חיים שלום יעקב</t>
  </si>
  <si>
    <t>מייארא, אריאל שלום בן גבריאל</t>
  </si>
  <si>
    <t>סטול, משה שלום בן שלמה איסר</t>
  </si>
  <si>
    <t>דרכי שלום - הרה"ג רפאל שלום שאול הכהן מונק זצ"ל</t>
  </si>
  <si>
    <t>דרכי שלמה - בבא קמא</t>
  </si>
  <si>
    <t>זכאי, שלמה בן אהרן</t>
  </si>
  <si>
    <t>דרכי שלמה</t>
  </si>
  <si>
    <t>דרכי שמואל - 5 כר'</t>
  </si>
  <si>
    <t>דרכי שמואל</t>
  </si>
  <si>
    <t>שפירא, משה שמואל</t>
  </si>
  <si>
    <t>מועדי ישראל, תלמוד בבלי, תלמוד בבלי, תנ"ך</t>
  </si>
  <si>
    <t>דרכי שמחה</t>
  </si>
  <si>
    <t>רוזנברג, שמחה בן נחמן</t>
  </si>
  <si>
    <t>דרכי תשובה &lt;מהדורה חדשה&gt; - 2 כר'</t>
  </si>
  <si>
    <t>שפירא, צבי הירש בן שלמה - שפירא, חיים אלעזר בן צבי הירש</t>
  </si>
  <si>
    <t>דרכי תשובה</t>
  </si>
  <si>
    <t>רבינוביץ, יצחק יהודה ליב בן שמריהו</t>
  </si>
  <si>
    <t>דרושים, משנה, שאלות ותשובות, תלמוד בבלי</t>
  </si>
  <si>
    <t>דרכי תשובה - 7 כר'</t>
  </si>
  <si>
    <t>תרנ"ג - תרצ"ד</t>
  </si>
  <si>
    <t>דרכי</t>
  </si>
  <si>
    <t>ברויאר, יצחק בן שלמה זלמן</t>
  </si>
  <si>
    <t>דרכיה דרכי נועם - 2 כר'</t>
  </si>
  <si>
    <t>דרכיו ראיתי</t>
  </si>
  <si>
    <t>סופר, יוחנן בן משה (הנהגותיו)</t>
  </si>
  <si>
    <t>דרכים ושיטות לזכירת הלימוד</t>
  </si>
  <si>
    <t>בן ישי, ישראל בן דוד הכהן</t>
  </si>
  <si>
    <t>דרכים למשה</t>
  </si>
  <si>
    <t>עמרמי, משה מרדכי בן נח הכהן</t>
  </si>
  <si>
    <t>דרכים של אש - 4 כר'</t>
  </si>
  <si>
    <t>רקובסקי, יצחק בן אליהו</t>
  </si>
  <si>
    <t>דרכנו בחנוך</t>
  </si>
  <si>
    <t>דרעזדען - תולדות הקהילה היהודית</t>
  </si>
  <si>
    <t>גוראריה, אליהו יוחנן</t>
  </si>
  <si>
    <t>דרצקה - ספר זיכרון ליהודי דרצ'קה וגלילותיה</t>
  </si>
  <si>
    <t>דרש &lt;מו"מ בענייני הילפותות&gt; - 2 כר'</t>
  </si>
  <si>
    <t>ארליך, מיכאל בן אברהם</t>
  </si>
  <si>
    <t>דרש אב - 5 כר'</t>
  </si>
  <si>
    <t>תרפ"א - תרפ"ה</t>
  </si>
  <si>
    <t>דרש אברהם - 2 כר'</t>
  </si>
  <si>
    <t>אשכנזי, ניסים אברהם בן רפאל</t>
  </si>
  <si>
    <t>תר"א - תרי"ב</t>
  </si>
  <si>
    <t>דרש בחכמה</t>
  </si>
  <si>
    <t>שראבני, ראובן שלום</t>
  </si>
  <si>
    <t>דרש דרש משה</t>
  </si>
  <si>
    <t>דושינסקיא, ישראל משה בן יוסף צבי</t>
  </si>
  <si>
    <t>דרש וחקר - 2 כר'</t>
  </si>
  <si>
    <t>רייסנר, שמואל דוד בן מתתיהו</t>
  </si>
  <si>
    <t>דרש חיה</t>
  </si>
  <si>
    <t>דרש יוסף</t>
  </si>
  <si>
    <t>לוי, יוסף</t>
  </si>
  <si>
    <t>דרש יעקב</t>
  </si>
  <si>
    <t>דרש משה &lt;מהדורה חדשה&gt;</t>
  </si>
  <si>
    <t>משה בן שמואל מחליש מקראקא</t>
  </si>
  <si>
    <t>דרש משה</t>
  </si>
  <si>
    <t>איטלמאן, משה בן שבתי שפטל</t>
  </si>
  <si>
    <t>דרושים, תלמוד בבלי, תלמוד בבלי, תנ"ך</t>
  </si>
  <si>
    <t>אלבילדה, משה בן יעקב</t>
  </si>
  <si>
    <t>דרש משה - ב</t>
  </si>
  <si>
    <t>הכהן, משה בן שמעון דריהם</t>
  </si>
  <si>
    <t>משה בן יצחק מפיזנץ</t>
  </si>
  <si>
    <t>דרש משה - 2 כר'</t>
  </si>
  <si>
    <t>קאלנברג, משה בן אברהם יהודה ליבש</t>
  </si>
  <si>
    <t>דרושים, נושאים שונים, תולדות עם ישראל, תולדות עם ישראל</t>
  </si>
  <si>
    <t>קליינבוים, יעקב משה בן יוסף הלוי</t>
  </si>
  <si>
    <t>תרע"ה,</t>
  </si>
  <si>
    <t>דרש עולא רבה</t>
  </si>
  <si>
    <t>תשנ"</t>
  </si>
  <si>
    <t>דרשה לישראל - ב</t>
  </si>
  <si>
    <t>דרשה לפסח</t>
  </si>
  <si>
    <t>אלעזר בן יהודה מגרמיזא</t>
  </si>
  <si>
    <t>דרשה לפרשת במדבר</t>
  </si>
  <si>
    <t>ישעיה בן מאיר סופר</t>
  </si>
  <si>
    <t>[שנ"ז?]</t>
  </si>
  <si>
    <t>[קראקא?],</t>
  </si>
  <si>
    <t>דרשה לראש השנה</t>
  </si>
  <si>
    <t>דרשה לשבת הגדול (שמ"ט) &lt;מהדורת פרדס&gt;</t>
  </si>
  <si>
    <t>דרשה לתשובה</t>
  </si>
  <si>
    <t>דרשה מאדמו"ר בעל ישועות משה זצ"ל</t>
  </si>
  <si>
    <t>הגר, משה יהושע בן חים מאיר</t>
  </si>
  <si>
    <t>דרשה צמר ופשתים</t>
  </si>
  <si>
    <t>דרשה</t>
  </si>
  <si>
    <t>איגר, פרץ זאבל בן יהודה ליב</t>
  </si>
  <si>
    <t>Hanover הנובר</t>
  </si>
  <si>
    <t>דרשו ה' בהמצאו</t>
  </si>
  <si>
    <t>דרשו משפט</t>
  </si>
  <si>
    <t>דרשו ציון</t>
  </si>
  <si>
    <t>ספר זכרון למרן הנודע ביהודה</t>
  </si>
  <si>
    <t>דרשות אגרות ותולדות בעל שו"ת הרי בשמים</t>
  </si>
  <si>
    <t>הורוויץ, אריה ליבש בן יצחק הלוי</t>
  </si>
  <si>
    <t>דרשות אין אידיש - שמות</t>
  </si>
  <si>
    <t>קורנפלד, משה</t>
  </si>
  <si>
    <t>מילוואקי</t>
  </si>
  <si>
    <t>דרשות אליעזר</t>
  </si>
  <si>
    <t>שפירא, אליעזר יהושע זליג בן יעקב</t>
  </si>
  <si>
    <t>דרשות בית היוצר</t>
  </si>
  <si>
    <t>תרצ"ח - הקד' תש"א</t>
  </si>
  <si>
    <t>דרשות גבר"י - 2 כר'</t>
  </si>
  <si>
    <t>כהן, גבריאל בן יעקב</t>
  </si>
  <si>
    <t>דרשות הושענא רבה</t>
  </si>
  <si>
    <t>דרשות הזאב</t>
  </si>
  <si>
    <t>ברצפלד, בנימין וולף בן יהודה לימא</t>
  </si>
  <si>
    <t>דרשות הנצי"ב</t>
  </si>
  <si>
    <t>דרשות הצל"ח השלם</t>
  </si>
  <si>
    <t>דרשות הצל"ח - שבת שובה, הספדים</t>
  </si>
  <si>
    <t>לאנדא, יחזקאל בן יהודה הלוי - לנדאו, יחזקאל בן מאיר הלוי</t>
  </si>
  <si>
    <t>דרשות הר"ן - 5 כר'</t>
  </si>
  <si>
    <t>נסים בן ראובן גירונדי (ר"ן)</t>
  </si>
  <si>
    <t>דרושים, הלכה ומנהג, מחשבה ומוסר, נושאים שונים</t>
  </si>
  <si>
    <t>דרשות הרא"ש</t>
  </si>
  <si>
    <t>דרשות הרבי"ל</t>
  </si>
  <si>
    <t>לווין, בנימין בן יעקב</t>
  </si>
  <si>
    <t>דרשות הרמ"ה - 2 כר'</t>
  </si>
  <si>
    <t>הורוויץ, משה בן אהרן יהודה</t>
  </si>
  <si>
    <t>דרשות הרפ"ם</t>
  </si>
  <si>
    <t>דרשות התורה - 2 כר'</t>
  </si>
  <si>
    <t>אבן-שם טוב, שם טוב בן יוסף</t>
  </si>
  <si>
    <t>[רפ"ה,</t>
  </si>
  <si>
    <t>(שאלוניק)</t>
  </si>
  <si>
    <t>דרשות וחידושי רמ"ג</t>
  </si>
  <si>
    <t>גולדברגר, מיכאל בן מנשה</t>
  </si>
  <si>
    <t>Vac וץ</t>
  </si>
  <si>
    <t>דרשות ומאמרים לרבינו בצלאל אשכנזי</t>
  </si>
  <si>
    <t>דרושים, שאר ספרי חז"ל, תלמוד בבלי, תנ"ך</t>
  </si>
  <si>
    <t>דרשות ומאמרים</t>
  </si>
  <si>
    <t>דרשות ופירושי רבנו יונה גירונדי</t>
  </si>
  <si>
    <t>דרשות ושיחות שבט הלוי - 3 כר'</t>
  </si>
  <si>
    <t>ואזנר, שמואל בן יוסף צבי הלוי</t>
  </si>
  <si>
    <t>דרשות חלק לוי - 2 כר'</t>
  </si>
  <si>
    <t>פולאק, מנחם בן אברהם הלוי</t>
  </si>
  <si>
    <t>דרשות ילקוט סופר</t>
  </si>
  <si>
    <t>סופר, יוסף ליב בן זוסמאן אליעזר</t>
  </si>
  <si>
    <t>דרשות יצחק סאדין</t>
  </si>
  <si>
    <t>סאדין, יצחק בן קלמן</t>
  </si>
  <si>
    <t>דרשות לבר מצוה</t>
  </si>
  <si>
    <t>זלמנוביץ, מנחם מנדל בן אברהם אבלי</t>
  </si>
  <si>
    <t>דרשות לבר מצוה - 2 כר'</t>
  </si>
  <si>
    <t>דרשות לחם שלמה</t>
  </si>
  <si>
    <t>דרושים, דרושים, מועדי ישראל, תנ"ך</t>
  </si>
  <si>
    <t>דרשות לימי הפסח</t>
  </si>
  <si>
    <t>ישראלי, שאול בן בנימין איזראעליט</t>
  </si>
  <si>
    <t>דרשות לימים הנוראים</t>
  </si>
  <si>
    <t>דרשות לימים נוראים ולמועדים</t>
  </si>
  <si>
    <t>רייך, ישראל בן יעקב קופל</t>
  </si>
  <si>
    <t>דרשות לעמנו ולדתנו</t>
  </si>
  <si>
    <t>דרשות לפרשת שבוע</t>
  </si>
  <si>
    <t>דרשות מהר"י מינץ - 2 כר'</t>
  </si>
  <si>
    <t>קאצנלנבוגן, שמואל יהודה בן מאיר</t>
  </si>
  <si>
    <t>דרשות מהר"ל מפראג &lt;מהדורת פרדס&gt;</t>
  </si>
  <si>
    <t>דרשות מהר"ל מפראג - 2 כר'</t>
  </si>
  <si>
    <t>דרושים, קבלה</t>
  </si>
  <si>
    <t>דרשות מהר"ם בריסק - 2 כר'</t>
  </si>
  <si>
    <t>דרשות מהר"ם פארהאנד</t>
  </si>
  <si>
    <t>דרשות מהר"ם שיק - 3 כר'</t>
  </si>
  <si>
    <t>דרשות מהר"ם</t>
  </si>
  <si>
    <t>דרשות מהר"ש</t>
  </si>
  <si>
    <t>הורוויץ, שמריהו בן ניסן הלוי</t>
  </si>
  <si>
    <t>דרשות מהרא"ל - 4 כר'</t>
  </si>
  <si>
    <t>דרשות מהרי"ח</t>
  </si>
  <si>
    <t>קריקשטאנסקי, ישראל חיים בן יהודה</t>
  </si>
  <si>
    <t>דרשות מהרי"ץ - 4 כר'</t>
  </si>
  <si>
    <t>דושינסקי, יוסף צבי בן ישראל</t>
  </si>
  <si>
    <t>דרשות מהרצה"א - 2 כר'</t>
  </si>
  <si>
    <t>אורליאנסקי, צבי הירש בן יצחק</t>
  </si>
  <si>
    <t>דרשות מוהרא"ש - 3 כר'</t>
  </si>
  <si>
    <t>דרשות מרדכי</t>
  </si>
  <si>
    <t>לאנאראוויטש, מרדכי בן משה</t>
  </si>
  <si>
    <t>קעמעטשע</t>
  </si>
  <si>
    <t>דרשות משמר הלוי - 2 כר'</t>
  </si>
  <si>
    <t>דרשות עזיאל - מסכת אבות</t>
  </si>
  <si>
    <t>עוזיאל, בן-ציון מאיר חי בן יוסף רפאל</t>
  </si>
  <si>
    <t>דרשות עזרת כהנים</t>
  </si>
  <si>
    <t>פינברג, יהושע יוסף בן נחום דב</t>
  </si>
  <si>
    <t>דרשות על התורה</t>
  </si>
  <si>
    <t>אבן-שועיב, יהושע</t>
  </si>
  <si>
    <t>של"ג - של"ה</t>
  </si>
  <si>
    <t>דרשות על שמות הפרשיות</t>
  </si>
  <si>
    <t>שטרן, פנחס אליעזר</t>
  </si>
  <si>
    <t>דרשות פאר אלע</t>
  </si>
  <si>
    <t>דרשות ר' זרחיה הלוי סלדין</t>
  </si>
  <si>
    <t>סלדין, זרחיה הלוי - אקרמן, ארי</t>
  </si>
  <si>
    <t>דרשות ר' ישראל סלנטר</t>
  </si>
  <si>
    <t>דרושים, מחשבה ומוסר, נושאים שונים, שאלות ותשובות, תולדות עם ישראל, תלמוד בבלי</t>
  </si>
  <si>
    <t>דרשות רבי יהושע אבן שועיב</t>
  </si>
  <si>
    <t>של"ג - של"ה - תשכ"ט</t>
  </si>
  <si>
    <t>קרקוב - ירושלים</t>
  </si>
  <si>
    <t>דרשות רבי שמואל די אוזידא</t>
  </si>
  <si>
    <t>דרשות רבינו אברהם חריף</t>
  </si>
  <si>
    <t>חריף, אברהם</t>
  </si>
  <si>
    <t>דרשות רבנו יוסף נחמיה</t>
  </si>
  <si>
    <t>קורניצר, יוסף נחמיה</t>
  </si>
  <si>
    <t>בני  ברק</t>
  </si>
  <si>
    <t>דרשות שבט מוסר</t>
  </si>
  <si>
    <t>דרשות שלמות - 2 כר'</t>
  </si>
  <si>
    <t>לווין, חנוך זונדל בן שלום הלוי</t>
  </si>
  <si>
    <t>דרשות תורת חסד</t>
  </si>
  <si>
    <t>דרשות - 4 כר'</t>
  </si>
  <si>
    <t>הגר, מרדכי בן חיים מאיר</t>
  </si>
  <si>
    <t>דרשות - 7 כר'</t>
  </si>
  <si>
    <t>זנגר, יום טוב בן יעקב</t>
  </si>
  <si>
    <t>דרשת הראב"ד - דרשת הרמב"ן - חידושי הרשב"ץ</t>
  </si>
  <si>
    <t>פראג, בנימין זאב הלוי (עורך)</t>
  </si>
  <si>
    <t>דרשת הרמב"ן לראש השנה - התקיעות כהלכה ובהידור</t>
  </si>
  <si>
    <t>משה בן נחמן (רמב"ן) - שטרנבוך, משה</t>
  </si>
  <si>
    <t>דרשת הרמב"ן - קהלת עם פירוש חזון יואל</t>
  </si>
  <si>
    <t>משה בן נחמן (רמב"ן) - ספרקה, יואל יעקב</t>
  </si>
  <si>
    <t>דרשת מהר"ח &lt;כתבנו לחיים-יראת חיים&gt;</t>
  </si>
  <si>
    <t>חיים בן יצחק מוולוז'ין - לובנשטיין, יצחק</t>
  </si>
  <si>
    <t>דרשת מהר"ח - 2 כר'</t>
  </si>
  <si>
    <t>דרשת רי"ש סופר מקראקא</t>
  </si>
  <si>
    <t>דרשת שבת הגדול</t>
  </si>
  <si>
    <t>עדס, יהודה</t>
  </si>
  <si>
    <t>דשן ביתך - זבחים</t>
  </si>
  <si>
    <t>יגר, אברהם</t>
  </si>
  <si>
    <t>דשני</t>
  </si>
  <si>
    <t>ברגמן, שמעון בן נחום</t>
  </si>
  <si>
    <t>מועדי ישראל, תלמוד בבלי, תלמוד ירושלמי, תנ"ך</t>
  </si>
  <si>
    <t>דשנת בשמן</t>
  </si>
  <si>
    <t>אבן-דנאן, יצחק בן שמואל</t>
  </si>
  <si>
    <t>דת אש &lt;מהדורה חדשה&gt;</t>
  </si>
  <si>
    <t>חלפן, אורי שרגא פייבש בן אליעזר</t>
  </si>
  <si>
    <t>דת אש</t>
  </si>
  <si>
    <t>הלכה ומנהג, שאלות ותשובות, שאלות ותשובות</t>
  </si>
  <si>
    <t>דת הנשים</t>
  </si>
  <si>
    <t>ניגרין, משה</t>
  </si>
  <si>
    <t>דת ודין</t>
  </si>
  <si>
    <t>אבן-שאנג'י, אליעזר בן ניסים</t>
  </si>
  <si>
    <t>דת והלכה</t>
  </si>
  <si>
    <t>דת יהודית בלערבי</t>
  </si>
  <si>
    <t>לארידו, אברהם</t>
  </si>
  <si>
    <t>ארגיל,</t>
  </si>
  <si>
    <t>דת יהודית כהלכתה</t>
  </si>
  <si>
    <t>ועד משמרת הצניעות</t>
  </si>
  <si>
    <t>דת יהודית - חלה</t>
  </si>
  <si>
    <t>מנדלוביץ, ראובן בן רפאל יעקב</t>
  </si>
  <si>
    <t>דת יומים</t>
  </si>
  <si>
    <t>קרליבך, אליעזר יהודה בן בנימין</t>
  </si>
  <si>
    <t>דת יקותיאל</t>
  </si>
  <si>
    <t>יקותיאל זיסקינד בן שלמה זלמן הלוי</t>
  </si>
  <si>
    <t>דת ישראל - 2 כר'</t>
  </si>
  <si>
    <t>אברמוביץ, דוב בר בן אברהם מנחם</t>
  </si>
  <si>
    <t>תרנ"ז - תרס"ב</t>
  </si>
  <si>
    <t>דת שבת</t>
  </si>
  <si>
    <t>אולמן, משה נפתלי</t>
  </si>
  <si>
    <t>דתשרי על עמיה - טאלנא</t>
  </si>
  <si>
    <t>ה"למד-וו"</t>
  </si>
  <si>
    <t>ברטוב (רודניצקי), ראובן</t>
  </si>
  <si>
    <t>ה' אדר בעיה"ק טבריא תובב"א</t>
  </si>
  <si>
    <t>מכון נצח דוד דחסידי טאלנא</t>
  </si>
  <si>
    <t>ה' אור לי</t>
  </si>
  <si>
    <t>ה' אורי וישעי</t>
  </si>
  <si>
    <t>ה' נסי</t>
  </si>
  <si>
    <t>מאזוז, מאיר בן מצליח - הלוי, משה</t>
  </si>
  <si>
    <t>ה' עזרי - 24 כר'</t>
  </si>
  <si>
    <t>גליברסון, אריה</t>
  </si>
  <si>
    <t>ה' שמעתי שמעך - 2 כר'</t>
  </si>
  <si>
    <t>ה' שערים</t>
  </si>
  <si>
    <t>שיף, אברהם אליקים געצל</t>
  </si>
  <si>
    <t>הא לחמא עניא</t>
  </si>
  <si>
    <t>שקלים, עזרא</t>
  </si>
  <si>
    <t>האבא מסלבודקה - הגה"צ רבי חיים זאב פינקל</t>
  </si>
  <si>
    <t>פינקל, רמה</t>
  </si>
  <si>
    <t>האבלות בהלכה ובאגדה</t>
  </si>
  <si>
    <t>נקי, דוד שלום</t>
  </si>
  <si>
    <t>האבלות והנחומים</t>
  </si>
  <si>
    <t>האבן הראשה - א</t>
  </si>
  <si>
    <t>ליינר, חיים אשר בן משה צבי</t>
  </si>
  <si>
    <t>האבן והעזר - 3 כר'</t>
  </si>
  <si>
    <t>סעדה, יגאל</t>
  </si>
  <si>
    <t>האגדה שבהלכה</t>
  </si>
  <si>
    <t>לוי, מאיר</t>
  </si>
  <si>
    <t>האגור &lt;דפו"ר&gt;</t>
  </si>
  <si>
    <t>לאנדא, יעקב ברוך בן יהודה</t>
  </si>
  <si>
    <t>האגור השלם</t>
  </si>
  <si>
    <t>האגור - 2 כר'</t>
  </si>
  <si>
    <t>האגרת הזאת</t>
  </si>
  <si>
    <t>האדום האדום הזה</t>
  </si>
  <si>
    <t>האדם בעולמו</t>
  </si>
  <si>
    <t>קרלינסקי, שלמה בן יעקב</t>
  </si>
  <si>
    <t>האדם בעולמותיו</t>
  </si>
  <si>
    <t>קניגסהפר, מנחם אריה בן יעקב יהודה</t>
  </si>
  <si>
    <t>האדם לבדו</t>
  </si>
  <si>
    <t>האדם נברא לעזור ולשמח לאחרים</t>
  </si>
  <si>
    <t>האדמו"ר האמצעי רבי דובער שניאורי</t>
  </si>
  <si>
    <t>גליצנשטיין, שמעון בן יצחק</t>
  </si>
  <si>
    <t>האדמו"ר הרופא</t>
  </si>
  <si>
    <t>בורשטיין, אביעזר</t>
  </si>
  <si>
    <t>האדמו"ר מסאטמר</t>
  </si>
  <si>
    <t>פוקס, אברהם</t>
  </si>
  <si>
    <t>האדמו"ר רבי חנוך העניך הכהן</t>
  </si>
  <si>
    <t>לוין, יהודה ליב</t>
  </si>
  <si>
    <t>האדמורים מאיזביצה</t>
  </si>
  <si>
    <t>לוין, יהודה לייב</t>
  </si>
  <si>
    <t>האדרת והאמונה - 3 כר'</t>
  </si>
  <si>
    <t>לווין, יהודה ליב בן נחום פינחס</t>
  </si>
  <si>
    <t>האדרת והאמונה</t>
  </si>
  <si>
    <t>שמר, משה בן אליעזר</t>
  </si>
  <si>
    <t>האהל עולם</t>
  </si>
  <si>
    <t>לרן, עקיבא בן יהודה ליב</t>
  </si>
  <si>
    <t>האהל - 23 כר'</t>
  </si>
  <si>
    <t>האובדים בארץ אשור</t>
  </si>
  <si>
    <t>האוהבים דבריה גדולה בחרו</t>
  </si>
  <si>
    <t>קריגר, מרדכי אהרון בן זאב</t>
  </si>
  <si>
    <t>האופן האבוד ממערכת היוצר הקלירית לשבועות (תדפיס)</t>
  </si>
  <si>
    <t>האוצר האמיתי</t>
  </si>
  <si>
    <t>הלטן, מיכאל שלמה בן נתנאל הכהן</t>
  </si>
  <si>
    <t>האוצר מספורי צדיקים</t>
  </si>
  <si>
    <t>האוצר מסיפורי צדיקים</t>
  </si>
  <si>
    <t>האור המאיר - מסכת חייו של ר"מ שפירא מלובלין</t>
  </si>
  <si>
    <t>מנדלבוים, דוד אברהם בן משה מאיר</t>
  </si>
  <si>
    <t>האור</t>
  </si>
  <si>
    <t>אריה, שלמה בן חיים יצחק</t>
  </si>
  <si>
    <t>האורה</t>
  </si>
  <si>
    <t>האושר שבאמונה</t>
  </si>
  <si>
    <t>האושר שבבטחון</t>
  </si>
  <si>
    <t>האושר שבחיי נישואין</t>
  </si>
  <si>
    <t>האושר שבטהרה</t>
  </si>
  <si>
    <t>האושר שבנישואין - 2 כר'</t>
  </si>
  <si>
    <t>עובד, אפרים</t>
  </si>
  <si>
    <t>האושר שבתפלה</t>
  </si>
  <si>
    <t>האותיות הקדושות</t>
  </si>
  <si>
    <t>האותיות התגין והנקודות</t>
  </si>
  <si>
    <t>ע"פ ספר ריש מילין</t>
  </si>
  <si>
    <t>האזלא גרש - 2 כר'</t>
  </si>
  <si>
    <t>תרס"ו - תרפ"ו</t>
  </si>
  <si>
    <t>האח נפשנו</t>
  </si>
  <si>
    <t>האחוד - 8 כר'</t>
  </si>
  <si>
    <t>האחים הקדושים</t>
  </si>
  <si>
    <t>וינגרטן, ר</t>
  </si>
  <si>
    <t>האחים שולזינגר - הדפוס וההוצאה</t>
  </si>
  <si>
    <t>קרסל, גצל בן יחיאל מיכל</t>
  </si>
  <si>
    <t>האיגוד - 4 כר'</t>
  </si>
  <si>
    <t>האידרא - א</t>
  </si>
  <si>
    <t>האיחוד בחידוד - 8 כר'</t>
  </si>
  <si>
    <t>האיחוד - 5 כר'</t>
  </si>
  <si>
    <t>בטאון איחוד הבחורים דחסידי סטריקוב</t>
  </si>
  <si>
    <t>האיחוד - 4 כר'</t>
  </si>
  <si>
    <t>בטאון התאחדות בני הישיבות דאירופה</t>
  </si>
  <si>
    <t>האייפון בהלכה</t>
  </si>
  <si>
    <t>בן דוד, יהודה</t>
  </si>
  <si>
    <t>האילן הגדול</t>
  </si>
  <si>
    <t>פאפרש, מאיר כ"ץ</t>
  </si>
  <si>
    <t>האילן הקדוש עם ביאור</t>
  </si>
  <si>
    <t>לוצאטו, משה חיים בן יעקב חי (רמח"ל) - שפירא, אריה בן רפאל</t>
  </si>
  <si>
    <t>האילן</t>
  </si>
  <si>
    <t>האינטרנט בהלכה</t>
  </si>
  <si>
    <t>ליכטנשטיין, דוד בן שמואל צבי</t>
  </si>
  <si>
    <t>האינתיפאדה ולקחיה</t>
  </si>
  <si>
    <t>האיסור החמור</t>
  </si>
  <si>
    <t>האיר המזרח</t>
  </si>
  <si>
    <t>האיר ממזרח - 17 כר'</t>
  </si>
  <si>
    <t>האירה עיני</t>
  </si>
  <si>
    <t>האירוסין והנישואין השלם - 2 כר'</t>
  </si>
  <si>
    <t>שוורץ, יחזקאל אהרן בן חיים יעקב מנחם</t>
  </si>
  <si>
    <t>האיש הדומה למלאך ה'</t>
  </si>
  <si>
    <t>ליבוביץ, יחיאל צבי (עליו)</t>
  </si>
  <si>
    <t>האיש וחזונו</t>
  </si>
  <si>
    <t>האיש ופעלו</t>
  </si>
  <si>
    <t>לוין, יצחק מאיר הכהן (עליו)</t>
  </si>
  <si>
    <t>האיש מקדש</t>
  </si>
  <si>
    <t>קריסטל, דוד שלום</t>
  </si>
  <si>
    <t>האיש על החומה - 3 כר'</t>
  </si>
  <si>
    <t>האיש על העדה - 3 כר'</t>
  </si>
  <si>
    <t>משי זהב, מנחם מנדל - צבי</t>
  </si>
  <si>
    <t>האיש שהיה למגדלור</t>
  </si>
  <si>
    <t>האיש שלא נרתע</t>
  </si>
  <si>
    <t>טננבוים, אברהם</t>
  </si>
  <si>
    <t>האלולים קודש לה'</t>
  </si>
  <si>
    <t>דרדק, ישראל תנחום</t>
  </si>
  <si>
    <t>האלמין טורץ</t>
  </si>
  <si>
    <t>גבעת אולגה</t>
  </si>
  <si>
    <t>האלף לך שלמה</t>
  </si>
  <si>
    <t>חריף, יצחק בן יוסף משה</t>
  </si>
  <si>
    <t>האלף לך שלמה - 4 כר'</t>
  </si>
  <si>
    <t>האם כתב רבי משה מלונדון תוספות על הרי"ף?</t>
  </si>
  <si>
    <t>פוקס, יעקב</t>
  </si>
  <si>
    <t>האם לפנינו קטע חדש מאגרת הקודש?- תדפיס</t>
  </si>
  <si>
    <t>האמונה הנאמנה</t>
  </si>
  <si>
    <t>האמונה הרמה &lt;האמונה המבוארת&gt;</t>
  </si>
  <si>
    <t>אברהם בן דוד הלוי (הראב"ד הראשון)</t>
  </si>
  <si>
    <t>האמונה הרמה</t>
  </si>
  <si>
    <t>האמונה והבטחון - 3 כר'</t>
  </si>
  <si>
    <t>יעקב בן ששת - משה בן נחמן (רמב"ן, מיוחס לו)</t>
  </si>
  <si>
    <t>האמונה והבטחון</t>
  </si>
  <si>
    <t>יעקב בן ששת</t>
  </si>
  <si>
    <t>קוטנר, יהושע השל בן אהרן</t>
  </si>
  <si>
    <t>האמונה וההשגחה</t>
  </si>
  <si>
    <t>האמונה והחקירה</t>
  </si>
  <si>
    <t>האמונה וי"ג עיקריה</t>
  </si>
  <si>
    <t>הוכמן, אברהם מנחם בן שלום יהודה</t>
  </si>
  <si>
    <t>האמונה מה למעשה</t>
  </si>
  <si>
    <t>האמונה - ג</t>
  </si>
  <si>
    <t>קובץ קנאי ירושלים</t>
  </si>
  <si>
    <t>תשל"ז - תשל"ח</t>
  </si>
  <si>
    <t>האמונות והדעות &lt;עם דרך אמונה&gt; - 4 כר'</t>
  </si>
  <si>
    <t>סעדיה בן יוסף גאון - כהן, דוד</t>
  </si>
  <si>
    <t>האמונות והדעות &lt;מהדורת הרב קאפח&gt;</t>
  </si>
  <si>
    <t>האמונות והדעות - 4 כר'</t>
  </si>
  <si>
    <t>האמנת בני נח</t>
  </si>
  <si>
    <t>האמרי מנחם מאלכסנדר</t>
  </si>
  <si>
    <t>האמת היחידה - 2 כר'</t>
  </si>
  <si>
    <t>האמת והשלום אהבו</t>
  </si>
  <si>
    <t>האמת והשלום</t>
  </si>
  <si>
    <t>קובץ חידו"ת</t>
  </si>
  <si>
    <t>האמת והשקר</t>
  </si>
  <si>
    <t>שוורצבט, אברהם</t>
  </si>
  <si>
    <t>האמת לאמיתו בענין איסור הבחירות</t>
  </si>
  <si>
    <t>מחלקת ההסברה שע"י היהדות החרדית</t>
  </si>
  <si>
    <t>האמת לאמיתו</t>
  </si>
  <si>
    <t>האמת מאחורי המסך</t>
  </si>
  <si>
    <t>האמת תורה דרכה</t>
  </si>
  <si>
    <t>האסופות &lt;חוברת א&gt;</t>
  </si>
  <si>
    <t>ספר האסופות</t>
  </si>
  <si>
    <t>תש"א - תש"ב</t>
  </si>
  <si>
    <t>האסופות &lt;חוברת ב&gt;</t>
  </si>
  <si>
    <t>האסם</t>
  </si>
  <si>
    <t>מעטוף, שלום בן יפת</t>
  </si>
  <si>
    <t>האספקלריה המאירה</t>
  </si>
  <si>
    <t>האף אמנם שכבר דפסתי (סכסוך המדפיסים)</t>
  </si>
  <si>
    <t>פרנקל, משולם זלמן בן אהרן</t>
  </si>
  <si>
    <t>האציל מטרויינבורג</t>
  </si>
  <si>
    <t>בן דוד, שלמה</t>
  </si>
  <si>
    <t>האר עיני - 2 כר'</t>
  </si>
  <si>
    <t>חדאד, אליאור</t>
  </si>
  <si>
    <t>האר עינינו - 5 כר'</t>
  </si>
  <si>
    <t>האר"י שבחבורה</t>
  </si>
  <si>
    <t>הלוי, עזרא</t>
  </si>
  <si>
    <t>פדווא, עקיבא אשר</t>
  </si>
  <si>
    <t>הארוך מש"ך - 4 כר'</t>
  </si>
  <si>
    <t>הארות בדב"ש - 3 כר'</t>
  </si>
  <si>
    <t>הארות בעבודת ה' - 2 כר'</t>
  </si>
  <si>
    <t>פוגל, ישראל יהושע</t>
  </si>
  <si>
    <t>הארות השמש</t>
  </si>
  <si>
    <t>שפירא, משה מישל שמואל בן יוסף</t>
  </si>
  <si>
    <t>הארות חיים - 2 כר'</t>
  </si>
  <si>
    <t>איינהורן, חיים צבי</t>
  </si>
  <si>
    <t>הארות</t>
  </si>
  <si>
    <t>הארז מוילנא</t>
  </si>
  <si>
    <t>הארז שנגדע</t>
  </si>
  <si>
    <t>לזכר הבחור מנחם מנדל פייפער</t>
  </si>
  <si>
    <t>הארי במסתרים - תולדות רבי ששון מזרחי</t>
  </si>
  <si>
    <t>הארי הקדוש</t>
  </si>
  <si>
    <t>סטריקובסקי, אריה</t>
  </si>
  <si>
    <t>הארץ או השמש מרכז העולם</t>
  </si>
  <si>
    <t>הארץ ומצוותיה השלם</t>
  </si>
  <si>
    <t>גולדברג, אברהם הלל בן יצחק</t>
  </si>
  <si>
    <t>הארץ לגבולותיה</t>
  </si>
  <si>
    <t>טוקצ'נסקי, ניסן אהרן בן יחיאל מיכל</t>
  </si>
  <si>
    <t>הארץ סטרונעס - 2 כר'</t>
  </si>
  <si>
    <t>מרקוביץ, נעכא</t>
  </si>
  <si>
    <t>הארת זבחים - ב</t>
  </si>
  <si>
    <t>שימל, דוד שלמה בן יוסף</t>
  </si>
  <si>
    <t>הארת ירוחם - 3 כר'</t>
  </si>
  <si>
    <t>הרדט, ירוחם פישל בן משה אהרון</t>
  </si>
  <si>
    <t>הארת סוגיות - 6 כר'</t>
  </si>
  <si>
    <t>ילין, ע. - שפיגלר, א.</t>
  </si>
  <si>
    <t>הארת פנים</t>
  </si>
  <si>
    <t>האשה באספקלרית היהדות - 3 כר'</t>
  </si>
  <si>
    <t>האשה בשואה - 5 כר'</t>
  </si>
  <si>
    <t>האשה היהודית</t>
  </si>
  <si>
    <t>האשה על פי תורת ישראל</t>
  </si>
  <si>
    <t>האשכול</t>
  </si>
  <si>
    <t>הירשוביץ, יוסף ליב בן יהושע</t>
  </si>
  <si>
    <t>האשכול - 13 כר'</t>
  </si>
  <si>
    <t>האשל ברמה קצירת חטים - 5 כר'</t>
  </si>
  <si>
    <t>לויפער, אברהם</t>
  </si>
  <si>
    <t>האשל ברמה - 2 כר'</t>
  </si>
  <si>
    <t>האשל - 74 כר'</t>
  </si>
  <si>
    <t>כ"ץ, אליהו</t>
  </si>
  <si>
    <t>האשל</t>
  </si>
  <si>
    <t>ליפשיץ, שבתי בן יעקב יצחק</t>
  </si>
  <si>
    <t>דברצן Debrecen</t>
  </si>
  <si>
    <t>קלמנקס, אשר יעקב אברהם בן אריה ליב</t>
  </si>
  <si>
    <t>האתרוג התימני</t>
  </si>
  <si>
    <t>רצאבי, יצחק בן ניסים</t>
  </si>
  <si>
    <t>האתרוג שעליו דברה התורה</t>
  </si>
  <si>
    <t>צמח יצחק בן יוסף יצחק הלוי</t>
  </si>
  <si>
    <t>הבאורים דדברי קהלת</t>
  </si>
  <si>
    <t>הבאר &lt;באר יעקב&gt; - 17 כר'</t>
  </si>
  <si>
    <t>הבאר - 21 כר'</t>
  </si>
  <si>
    <t>הבאר - 8 כר'</t>
  </si>
  <si>
    <t>קובץ תורני - פרידלינג, צבי הירש (עורך)</t>
  </si>
  <si>
    <t>תרפ"ג - תרצ"ג</t>
  </si>
  <si>
    <t>זאמושטץ</t>
  </si>
  <si>
    <t>הבדלת מרא"ש</t>
  </si>
  <si>
    <t>כ"ץ, אברהם שלמה בן אליהו</t>
  </si>
  <si>
    <t>הבה נחזור למקור מחצבתנו</t>
  </si>
  <si>
    <t>לוין, יצחק מאיר הכהן</t>
  </si>
  <si>
    <t>הבה נראה את יד השי"ת</t>
  </si>
  <si>
    <t>פרידלנדר, חיים בן משה</t>
  </si>
  <si>
    <t>הבו גודל</t>
  </si>
  <si>
    <t>בינעטה, משה שמעון</t>
  </si>
  <si>
    <t>הבוחר בשמיטה - שביעית</t>
  </si>
  <si>
    <t>הבוטח</t>
  </si>
  <si>
    <t>הבונה</t>
  </si>
  <si>
    <t>הבחור</t>
  </si>
  <si>
    <t>Deva דוה</t>
  </si>
  <si>
    <t>הבט לברית</t>
  </si>
  <si>
    <t>לאנג, יצחק בן זאב</t>
  </si>
  <si>
    <t>הבינה והברכה</t>
  </si>
  <si>
    <t>ואזנר, יוסף בנימין בן חיים מאיר הלוי</t>
  </si>
  <si>
    <t>חן-תמים, אברהם משה בן יהושע אליעזר</t>
  </si>
  <si>
    <t>הונגריה Hungary</t>
  </si>
  <si>
    <t>הבינה והברכה - 2 כר'</t>
  </si>
  <si>
    <t>סורוצקין, רפאל ברוך בן זלמן</t>
  </si>
  <si>
    <t>הביננו תורתך - 4 כר'</t>
  </si>
  <si>
    <t>הביננו</t>
  </si>
  <si>
    <t>הבינני ואחיה - 2 כר'</t>
  </si>
  <si>
    <t>הבינני ואשיחה - 2 כר'</t>
  </si>
  <si>
    <t>אנגלדר, יעקב בן שלמה הכהן</t>
  </si>
  <si>
    <t>הבינני ואשיחה</t>
  </si>
  <si>
    <t>זרגרי, מתתיהו</t>
  </si>
  <si>
    <t>הבית הגדול</t>
  </si>
  <si>
    <t>ישיבת ברכת אפרים איגוד הבוגרים</t>
  </si>
  <si>
    <t>הבית היהודי בתורת רשב"י</t>
  </si>
  <si>
    <t>הבית היהודי - 10 כר'</t>
  </si>
  <si>
    <t>הבכורים והראיון</t>
  </si>
  <si>
    <t>שיפמאן, דוד מטבריה</t>
  </si>
  <si>
    <t>הבן בחכמה - 3 כר'</t>
  </si>
  <si>
    <t>הבן יקיר לי אפרים</t>
  </si>
  <si>
    <t>גלבמאן, שלמה זלמן יחזקאל</t>
  </si>
  <si>
    <t>הבן יקיר לי אפרים - 2 כר'</t>
  </si>
  <si>
    <t>קליין, אפרים חיים הלוי</t>
  </si>
  <si>
    <t>הבן יקיר לי</t>
  </si>
  <si>
    <t>בר ששת, אברהם חנן בן אליהו</t>
  </si>
  <si>
    <t>הבניה והתכנית</t>
  </si>
  <si>
    <t>ירושלים. תלמוד תורה וישיבת עץ חיים</t>
  </si>
  <si>
    <t>הבנים תקח לך</t>
  </si>
  <si>
    <t>ויינברגר, אלעזר דוד בן שלמה אברהם</t>
  </si>
  <si>
    <t>מרגליות, שמעון</t>
  </si>
  <si>
    <t>הבעל שם טוב האיש ותורתו</t>
  </si>
  <si>
    <t>אידלבוים, מאיר</t>
  </si>
  <si>
    <t>הבעל שם טוב</t>
  </si>
  <si>
    <t>צורף, אפרים בן יצחק מרדכי</t>
  </si>
  <si>
    <t>הבעש"ט ובני היכלו</t>
  </si>
  <si>
    <t>הבר מצוה</t>
  </si>
  <si>
    <t>הברון רוטשילד</t>
  </si>
  <si>
    <t>הברי והשמא - 4 כר'</t>
  </si>
  <si>
    <t>גראוס, יקותיאל זאב</t>
  </si>
  <si>
    <t>הברית והזכרון לחברת "אגודת מיסדי הישוב"</t>
  </si>
  <si>
    <t>אגודת מיסדי הישוב</t>
  </si>
  <si>
    <t>הברכה המשולשת - 2 כר'</t>
  </si>
  <si>
    <t>פקשר, מנחם מנדל בן דוד הכהן</t>
  </si>
  <si>
    <t>הברכה והמצוה</t>
  </si>
  <si>
    <t>הברכה והשבח</t>
  </si>
  <si>
    <t>הברכה ומקומה - 2 כר'</t>
  </si>
  <si>
    <t>טווערסקי, אברהם יהושע העשיל בן מנחם נחום</t>
  </si>
  <si>
    <t>הברכה - 8 כר'</t>
  </si>
  <si>
    <t>הברכי יהושע</t>
  </si>
  <si>
    <t>הלוי, יהושע טרייטיל בן יחיאל פישל</t>
  </si>
  <si>
    <t>הברת האותיות כתיקונם</t>
  </si>
  <si>
    <t>הבשם והשמן</t>
  </si>
  <si>
    <t>גרינוואלד, משה בן עמרם</t>
  </si>
  <si>
    <t>הגאון בחסד - 2 כר'</t>
  </si>
  <si>
    <t>פלטו, מנחם</t>
  </si>
  <si>
    <t>הגאון החסיד מוילנא</t>
  </si>
  <si>
    <t>הגאון החסיד</t>
  </si>
  <si>
    <t>גינזבורג, שמאי (עליו)</t>
  </si>
  <si>
    <t>הגאון הקדוש מגוטא</t>
  </si>
  <si>
    <t>בוים, יחיאל</t>
  </si>
  <si>
    <t>הגאון הקדוש מוישווא - 2 כר'</t>
  </si>
  <si>
    <t>הגאון הרוגאצ'ובי ותלמודו</t>
  </si>
  <si>
    <t>הגאון מטשעבין</t>
  </si>
  <si>
    <t>הגאון מלבים - 2 כר'</t>
  </si>
  <si>
    <t>הגאון רבי אליעזר גורדון זצ"ל</t>
  </si>
  <si>
    <t>הגאון רבי יהודה ליב צירלסון</t>
  </si>
  <si>
    <t>סליפוי, מרדכי</t>
  </si>
  <si>
    <t>הגאון רבי משה מרדכי אפשטין - 3 כר'</t>
  </si>
  <si>
    <t>דבורץ, ישראל זיסל כלב בן בצלאל</t>
  </si>
  <si>
    <t>הגאון שנשכח</t>
  </si>
  <si>
    <t>ניימאן, דוד צבי</t>
  </si>
  <si>
    <t>הגבול הדרומי והערבה</t>
  </si>
  <si>
    <t>שווארץ, בנימין זאב</t>
  </si>
  <si>
    <t>הגבול הדרומי ושטח הערבה</t>
  </si>
  <si>
    <t>קארפ, משה מרדכי</t>
  </si>
  <si>
    <t>הגדה חביבה</t>
  </si>
  <si>
    <t>דורי, שלמה בן דוד</t>
  </si>
  <si>
    <t>הגדה לליל שמורים עם פירוש אור ישרים</t>
  </si>
  <si>
    <t>הלר, יחיאל בן אהרן</t>
  </si>
  <si>
    <t>הגדה לליל שמורים עם פירוש תוספות בנימין</t>
  </si>
  <si>
    <t>קאנטור, בנימין אליהו בן יעקב זאב</t>
  </si>
  <si>
    <t>Lublin לובלין</t>
  </si>
  <si>
    <t>הגדה ללילי פסח</t>
  </si>
  <si>
    <t>הגדה לפסח נוסח הרמב"ם</t>
  </si>
  <si>
    <t>לנדא, אליהו</t>
  </si>
  <si>
    <t>הגדה סדר של פסח &lt;פיורדא&gt;</t>
  </si>
  <si>
    <t>הגדה של פסח. תק"א. פיורדה</t>
  </si>
  <si>
    <t>הגדה סדר של פסח &lt;זולצבאך&gt; עם פירוש אברבנאל</t>
  </si>
  <si>
    <t>הגדה של פסח. תקט"ו. זולצבך</t>
  </si>
  <si>
    <t>הגדה סדר של פסח - עם פירוש אברבנאל</t>
  </si>
  <si>
    <t>הגדה של פסח. תצ"א. פיורדה</t>
  </si>
  <si>
    <t>תצ"א</t>
  </si>
  <si>
    <t>הגדה של פסח. תקכ"ה. פיורדה</t>
  </si>
  <si>
    <t>הגדה של פסח  &lt;פקסמיליות של הגדות ישנות&gt; - 10 כר'</t>
  </si>
  <si>
    <t>פירט</t>
  </si>
  <si>
    <t>הגדה של פסח  &lt;עבדי השם&gt;</t>
  </si>
  <si>
    <t>הכט,</t>
  </si>
  <si>
    <t>הגדה של פסח  בשפה כורדית זאכויית</t>
  </si>
  <si>
    <t>אלפייה, שבתי בן מאיר</t>
  </si>
  <si>
    <t>הגדה של פסח  המבוארת</t>
  </si>
  <si>
    <t>גנזל, אברהם (עורך)</t>
  </si>
  <si>
    <t>הגדה של פסח &lt;הגדת הכוללים&gt;</t>
  </si>
  <si>
    <t>הגדה של פסח &lt;תורי זהב - סדר מערבי&gt;</t>
  </si>
  <si>
    <t>הגדה של פסח &lt;אמרי אש&gt; - 2 כר'</t>
  </si>
  <si>
    <t>א"ש, מאיר</t>
  </si>
  <si>
    <t>הגדה של פסח &lt;והגדת לבנך&gt;</t>
  </si>
  <si>
    <t>אבוטבול, שמעון (מלקט)</t>
  </si>
  <si>
    <t>הגדה של פסח &lt;ברכת אברהם&gt;</t>
  </si>
  <si>
    <t>אבוש, אברהם</t>
  </si>
  <si>
    <t>הגדה של פסח &lt;סיפור יציאת מצרים&gt;</t>
  </si>
  <si>
    <t>אברבנאל, יצחק בן יהודה</t>
  </si>
  <si>
    <t>הגדה של פסח &lt;ענבים במדבר&gt;</t>
  </si>
  <si>
    <t>אברהם בן חנוך הנוך</t>
  </si>
  <si>
    <t>הגדה של פסח &lt;אשל אברהם, יד רמה&gt;</t>
  </si>
  <si>
    <t>אברהם דוד וואהרמאן</t>
  </si>
  <si>
    <t>הגדה של פסח &lt;מנחת חן&gt;</t>
  </si>
  <si>
    <t>הגדה של פסח &lt;מטה לוי, מעשה אורג, באר יוסף&gt;</t>
  </si>
  <si>
    <t>אהרן בן יחיאל מיכל הלוי - סלנט, יוסף צבי</t>
  </si>
  <si>
    <t>הגדה של פסח &lt;מטה לוי, מעשה ארג&gt;</t>
  </si>
  <si>
    <t>אהרן בן יחיאל מיכל הלוי</t>
  </si>
  <si>
    <t>הגדה של פסח &lt;רשפי אש&gt;</t>
  </si>
  <si>
    <t>הגדה של פסח &lt;נאות דשא&gt;</t>
  </si>
  <si>
    <t>אונגאר, שמואל דוד בן יוסף משה הלוי</t>
  </si>
  <si>
    <t>הגדה של פסח &lt;אהלי יעקב&gt;</t>
  </si>
  <si>
    <t>הגדה של פסח &lt;ועשה פסח לה'&gt;</t>
  </si>
  <si>
    <t>הגדה של פסח &lt;חיד"א&gt;</t>
  </si>
  <si>
    <t>הגדה של פסח &lt;מנחת עני&gt;</t>
  </si>
  <si>
    <t>הגדה של פסח &lt;הלכות קבועות, שבחי דמרא&gt;</t>
  </si>
  <si>
    <t>איגרא, משולם - הורוויץ, משולם יששכר הלוי</t>
  </si>
  <si>
    <t>הגדה של פסח &lt;גנזי כנסת ישראל&gt;</t>
  </si>
  <si>
    <t>הגדה של פסח &lt;מגיד דבריו ליעקב&gt; - 2 כר'</t>
  </si>
  <si>
    <t>הלכה ומנהג, מועדי ישראל, תולדות עם ישראל</t>
  </si>
  <si>
    <t>הגדה של פסח &lt;שפת אמת&gt;</t>
  </si>
  <si>
    <t>אלטר, יהודה אריה ליב בן אברהם מרדכי - מרגלית, ערן משה</t>
  </si>
  <si>
    <t>הגדה של פסח &lt;הגדת הרי"מ&gt;</t>
  </si>
  <si>
    <t>הגדה של פסח &lt;שפת הים - מהדורה חדשה&gt;</t>
  </si>
  <si>
    <t>הגדה של פסח &lt;פירוש הגר"א - ליקוטי דודאים&gt;</t>
  </si>
  <si>
    <t>אליהו בן שלמה זלמן [הגר"א]</t>
  </si>
  <si>
    <t>הגדה של פסח &lt;ראב"ן&gt;</t>
  </si>
  <si>
    <t>אליעזר בן נתן (ראב"ן)</t>
  </si>
  <si>
    <t>הגדה של פסח &lt;ליקוטי נגלות לשם שבו ואחלמה&gt;</t>
  </si>
  <si>
    <t>הגדה של פסח &lt;בני שלמה&gt;</t>
  </si>
  <si>
    <t>הגדה של פסח &lt;ליל שמורים -מהדורה חדשה&gt;</t>
  </si>
  <si>
    <t>אפשטיין, יחיאל מיכל בן אהרן יצחק הלוי</t>
  </si>
  <si>
    <t>הגדה של פסח &lt;ליל שמורים&gt;</t>
  </si>
  <si>
    <t>אפשטיין, יחיאל מיכל הלוי</t>
  </si>
  <si>
    <t>הגדה של פסח &lt;נפש יהודי&gt;</t>
  </si>
  <si>
    <t>ארגון נפש יהודי</t>
  </si>
  <si>
    <t>הגדה של פסח &lt;היד החזקה&gt;</t>
  </si>
  <si>
    <t>אריאלי, שלמה בן יעקב</t>
  </si>
  <si>
    <t>הגדה של פסח &lt;פה סח&gt;</t>
  </si>
  <si>
    <t>ארלנגר, אברהם בן עקיבא</t>
  </si>
  <si>
    <t>הגדה של פסח &lt;חתן סופר&gt;</t>
  </si>
  <si>
    <t>הגדה של פסח &lt;אפיקומן, מצה שלמה&gt;</t>
  </si>
  <si>
    <t>הגדה של פסח &lt;מעשי ה' החדש&gt;</t>
  </si>
  <si>
    <t>אשכנזי, אליעזר בן אליה הרופא</t>
  </si>
  <si>
    <t>הגדה של פסח &lt;כבודה של תורה, זהב במלאתם&gt;</t>
  </si>
  <si>
    <t>בארי, ישראל הלוי</t>
  </si>
  <si>
    <t>בארנאצקי, מאיר יונה בן שמואל זלמן</t>
  </si>
  <si>
    <t>הגדה של פסח &lt;נחלי מגדים&gt;</t>
  </si>
  <si>
    <t>בורשטין, נחמן ישראל בן משה - בורשטין אברהם שמעון בן נחמן ישראל</t>
  </si>
  <si>
    <t>הגדה של פסח &lt;אור זורח&gt; - 2 כר'</t>
  </si>
  <si>
    <t>בזשיליאנסקי, משה יהושע בן אשר זליג</t>
  </si>
  <si>
    <t>הגדה של פסח &lt;מר דרור&gt;</t>
  </si>
  <si>
    <t>ביבלקינד, מרדכי בן נחמיה</t>
  </si>
  <si>
    <t>הגדה של פסח &lt;שלל ר"ב&gt;</t>
  </si>
  <si>
    <t>בירדוגו, רפאל</t>
  </si>
  <si>
    <t>הגדה של פסח &lt;משנת משה&gt;</t>
  </si>
  <si>
    <t>הגדה של פסח &lt;ערבי פסחים&gt;</t>
  </si>
  <si>
    <t>מועדי ישראל, תולדות עם ישראל, תלמוד ירושלמי</t>
  </si>
  <si>
    <t>הגדה של פסח &lt;ערבי פסחים&gt; עם תוספות</t>
  </si>
  <si>
    <t>הגדה של פסח &lt;כוס אליהו - 2 כר'</t>
  </si>
  <si>
    <t>בן הרוש, אליהו - בן שושן, שמואל</t>
  </si>
  <si>
    <t>הגדה של פסח &lt;ואמרת לבנך&gt;</t>
  </si>
  <si>
    <t>הגדה של פסח &lt;הגדת שבח ושירה&gt;</t>
  </si>
  <si>
    <t>הגדה של פסח &lt;חלקת בנימין&gt;</t>
  </si>
  <si>
    <t>בנימין בן אהרון, מזלוזיץ</t>
  </si>
  <si>
    <t>הגדה של פסח &lt;בצאת ישראל&gt;</t>
  </si>
  <si>
    <t>בעלסקי, חיים ישראל הלוי - הופמן, יצחק</t>
  </si>
  <si>
    <t>הגדה של פסח &lt;הגדת הכסף&gt;</t>
  </si>
  <si>
    <t>הגדה של פסח &lt;דברים נחמדים&gt;</t>
  </si>
  <si>
    <t>בריזל, אליעזר בן דוד אריה</t>
  </si>
  <si>
    <t>הגדה של פסח &lt;נחלת אבות&gt;</t>
  </si>
  <si>
    <t>בריסק נתן צבי בן יהושע</t>
  </si>
  <si>
    <t>הגדה של פסח &lt;מהר"ם בריסק&gt;</t>
  </si>
  <si>
    <t>הגדה של פסח &lt;קהלת משה&gt;</t>
  </si>
  <si>
    <t>בריעה, משה אליקים</t>
  </si>
  <si>
    <t>הגדה של פסח &lt;אמרי שפר, אמרי חיים&gt;</t>
  </si>
  <si>
    <t>ברלין, נפתלי צבי יהודה בן יעקב-ברלין, חיים בן נפתלי צבי יהודה</t>
  </si>
  <si>
    <t>הגדה של פסח &lt;פרי אהרן&gt;</t>
  </si>
  <si>
    <t>ברנשטיין, אהרן</t>
  </si>
  <si>
    <t>הגדה של פסח &lt;ר"י ג'יקאטליה - הגר"א&gt;</t>
  </si>
  <si>
    <t>ג'יקאטיליה, יוסף בן אברהם - אליהו בן שלמה זלמן (הגר"א)</t>
  </si>
  <si>
    <t>הורודנא</t>
  </si>
  <si>
    <t>הגדה של פסח &lt;לאילן ריח&gt;</t>
  </si>
  <si>
    <t>גוזל, אילן בן מכלוף</t>
  </si>
  <si>
    <t>הגדה של פסח &lt;צמח מנחם&gt;</t>
  </si>
  <si>
    <t>גוטרמן, אהרון מנחם מנדל בן שלמה יהושע דוד</t>
  </si>
  <si>
    <t>הגדה של פסח &lt;נגיד ונפיק&gt;</t>
  </si>
  <si>
    <t>גיטלסון, בנימין</t>
  </si>
  <si>
    <t>הגדה של פסח &lt;אמונת חנה&gt;</t>
  </si>
  <si>
    <t>הגדה של פסח &lt;נפתלי שבע רצון ודרושים יקרים&gt;</t>
  </si>
  <si>
    <t>גינצבורג, נפתלי הירץ בן שמעון - חכמי ישראל</t>
  </si>
  <si>
    <t>הגדה של פסח &lt;תרגום גרמנית&gt;</t>
  </si>
  <si>
    <t>גיסמר, נתן</t>
  </si>
  <si>
    <t>הגדה של פסח &lt;פרקי מועד&gt;</t>
  </si>
  <si>
    <t>גיפטר, מרדכי</t>
  </si>
  <si>
    <t>הגדה של פסח &lt;דעת ותבונה&gt;</t>
  </si>
  <si>
    <t>גירונדי, יונה בן אברהם - בן שושן, יצחק</t>
  </si>
  <si>
    <t>הגדה של פסח &lt;שיח שדה&gt;</t>
  </si>
  <si>
    <t>גלער, אבישי בן בן ציון</t>
  </si>
  <si>
    <t>הגדה של פסח &lt;מטה יששכר&gt;</t>
  </si>
  <si>
    <t>הגדה של פסח &lt;הגדת מפרשי המקרא&gt;</t>
  </si>
  <si>
    <t>הגדה של פסח &lt;שיח מאיר&gt;</t>
  </si>
  <si>
    <t>הגדה של פסח &lt;שפת חיים&gt;</t>
  </si>
  <si>
    <t>גרוס, אברהם חיים אלימלך</t>
  </si>
  <si>
    <t>הגדה של פסח &lt;חסדי דוד - קרן לדוד&gt;</t>
  </si>
  <si>
    <t>גרינוואלד, אליעזר דוד בן עמרם</t>
  </si>
  <si>
    <t>הגדה של פסח &lt;חסדי דוד&gt;</t>
  </si>
  <si>
    <t>הגדה של פסח &lt;ויחי יוסף&gt;</t>
  </si>
  <si>
    <t>הגדה של פסח &lt;אגודת אזוב&gt; - 2 כר'</t>
  </si>
  <si>
    <t>גרינוואלד, יעקב יחזקיהו בן משה</t>
  </si>
  <si>
    <t>הגדה של פסח &lt;הלל נרצה&gt;</t>
  </si>
  <si>
    <t>הגדה של פסח &lt;לאבות ולבנים&gt; - 3 כר'</t>
  </si>
  <si>
    <t>הגדה של פסח &lt;באר יצחק&gt;</t>
  </si>
  <si>
    <t>דאנציג, יצחק בן מנחם מאנוש - שמואל בן אהרן ממזריטש</t>
  </si>
  <si>
    <t>הגדה של פסח &lt;ישמח ישראל&gt; - 2 כר'</t>
  </si>
  <si>
    <t>דאנציגר, ירחמיאל ישראל יצחק בן יחיאל</t>
  </si>
  <si>
    <t>הגדה של פסח &lt;תפארת שמואל&gt;</t>
  </si>
  <si>
    <t>דאנציגר, שמואל צבי בן יחיאל</t>
  </si>
  <si>
    <t>פיטרקוב</t>
  </si>
  <si>
    <t>הגדה של פסח &lt;יד כהן&gt;</t>
  </si>
  <si>
    <t>דויטש, דוד יהודה בן אליהו הכהן</t>
  </si>
  <si>
    <t>הגדה של פסח &lt;הגדת מהרי"ץ&gt;</t>
  </si>
  <si>
    <t>הגדה של פסח &lt;קול יהודה&gt;</t>
  </si>
  <si>
    <t>הגדה של פסח &lt;וידבר משה&gt;</t>
  </si>
  <si>
    <t>דיין, משה בן יצחק</t>
  </si>
  <si>
    <t>הגדה של פסח &lt;ביד הראשונים&gt;</t>
  </si>
  <si>
    <t>דיקמן, אברהם בן ברוך</t>
  </si>
  <si>
    <t>הגדה של פסח &lt;תולדות אדם, אחרית לשלום, מנחת כהנים&gt;</t>
  </si>
  <si>
    <t>דנציג, אברהם בן יחיאל מיכל - לנדא, יצחק אליהו - הכהן, בצלאל</t>
  </si>
  <si>
    <t>הגדה של פסח &lt;מנחת ישראל&gt;</t>
  </si>
  <si>
    <t>דרוק, ישראל חיים בן זלמן</t>
  </si>
  <si>
    <t>הגדה של פסח &lt;אמרי יהודה&gt;</t>
  </si>
  <si>
    <t>הגדה של פסח &lt;דברי חיים&gt;</t>
  </si>
  <si>
    <t>האלברשטאם, חיים - האלברשטאם, יחזקאל שרגא</t>
  </si>
  <si>
    <t>הגדה של פסח &lt;והגדת&gt;</t>
  </si>
  <si>
    <t>הגדה של פסח מבוארת</t>
  </si>
  <si>
    <t>הגדה של פסח &lt;אברבנאל, שבלי הלקט, גר"א, יעב"ץ&gt;</t>
  </si>
  <si>
    <t>הגדה של פסח &lt;מיר&gt;</t>
  </si>
  <si>
    <t>הגדה של פסח &lt;נוסח תונס הישן&gt;</t>
  </si>
  <si>
    <t>הגדה של פסח &lt;עם פירושים נפלאים מגאוני וחסידי עולם&gt;</t>
  </si>
  <si>
    <t>ברדיטשוב</t>
  </si>
  <si>
    <t>הגדה של פסח &lt;פקסמיליות של הגדות ישנות&gt; - הגדה מתוך מחזור רומא</t>
  </si>
  <si>
    <t>ש</t>
  </si>
  <si>
    <t>בולניא</t>
  </si>
  <si>
    <t>הגדה של פסח &lt;פראג רפ"ז&gt;</t>
  </si>
  <si>
    <t>רפ"ז</t>
  </si>
  <si>
    <t>הגדה של פסח &lt;צילום כתב יד משנת ר"ל&gt;</t>
  </si>
  <si>
    <t>הגדה של פסח &lt;רל"ח פירושים&gt;</t>
  </si>
  <si>
    <t>הגדה של פסח &lt;עם פתרון בלשון ספרדי&gt;</t>
  </si>
  <si>
    <t>הגדה של פסח. ליוורנו . תרכ"ד</t>
  </si>
  <si>
    <t>הגדה של פסח &lt;אמשטרדם&gt;</t>
  </si>
  <si>
    <t>הגדה של פסח. תכ"ב. אמשטרדם</t>
  </si>
  <si>
    <t>תכ"ב</t>
  </si>
  <si>
    <t>הגדה של פסח &lt;עם פירוש אברבנאל&gt;</t>
  </si>
  <si>
    <t>הגדה של פסח. תנ"ה. אמשטרדם</t>
  </si>
  <si>
    <t>הגדה של פסח. תע"ב. אמשטרדם</t>
  </si>
  <si>
    <t>הגדה של פסח &lt;המרבה לספר&gt;</t>
  </si>
  <si>
    <t>הגדה של פסח. תקנ"א. קרלסרוה</t>
  </si>
  <si>
    <t>הגדה של פסח &lt;עם פירוש בלשון קוצי'ן&gt;</t>
  </si>
  <si>
    <t>הגדה של פסח. תר"ו. בומבי</t>
  </si>
  <si>
    <t>בומבי Bombay</t>
  </si>
  <si>
    <t>הגדה של פסח &lt;תהלה לדוד&gt;</t>
  </si>
  <si>
    <t>הגדה של פסח. תר"ל. וילנה</t>
  </si>
  <si>
    <t>הגדה של פסח &lt;עשרה באורים&gt;</t>
  </si>
  <si>
    <t>הגדה של פסח. תר"ם. וילנה</t>
  </si>
  <si>
    <t>הגדה של פסח &lt;ענפי תאנה&gt;</t>
  </si>
  <si>
    <t>הגדה של פסח. תרכ"ד. ורשה</t>
  </si>
  <si>
    <t>הגדה של פסח &lt;נאוה תהלה&gt;</t>
  </si>
  <si>
    <t>הגדה של פסח. תרל"ט. ורשה</t>
  </si>
  <si>
    <t>הגדה של פסח &lt;שער השמים&gt;</t>
  </si>
  <si>
    <t>הגדה של פסח. תרמ"ד. ורשה</t>
  </si>
  <si>
    <t>הגדה של פסח &lt;פני משה&gt;</t>
  </si>
  <si>
    <t>הגדה של פסח. תרנ"ה. ורשה</t>
  </si>
  <si>
    <t>הגדה של פסח &lt;שלחן הטהור&gt;</t>
  </si>
  <si>
    <t>הגדה של פסח. תרס"ח. למברג</t>
  </si>
  <si>
    <t>הגדה של פסח &lt;מטע לשם אבי&gt;</t>
  </si>
  <si>
    <t>הגדה של פסח. תרפ"ג. ורשה</t>
  </si>
  <si>
    <t>הגדה של פסח &lt;שם משמואל&gt;</t>
  </si>
  <si>
    <t>הגדה של פסח. תרפ"ח. פיטרקוב</t>
  </si>
  <si>
    <t>הגדה של פסח &lt;תפארת איש&gt;</t>
  </si>
  <si>
    <t>הגדה של פסח. תרצ"ג. ורשה</t>
  </si>
  <si>
    <t>הגדה של פסח &lt;תהלת ישרים&gt; (תרגום ערבי)</t>
  </si>
  <si>
    <t>הגדה של פסח. תש"ז. ירושלים</t>
  </si>
  <si>
    <t>הגדה של פסח &lt;שירת הגאולה&gt;</t>
  </si>
  <si>
    <t>הגדה של פסח. תשט"ז. ירושלים</t>
  </si>
  <si>
    <t>הגדה של פסח &lt;חמשה עשר פירושים יקרים&gt;</t>
  </si>
  <si>
    <t>הגדה של פסח. תשי"ד. ירושלים</t>
  </si>
  <si>
    <t>הגדה של פסח &lt;מאתים שלשים ושמונה פירושים&gt;</t>
  </si>
  <si>
    <t>הגדה של פסח. תשי"ז. ישראל</t>
  </si>
  <si>
    <t>ישראל Israel</t>
  </si>
  <si>
    <t>הגדה של פסח &lt;עם ליקוטים נחמדים מתלמידי הבעש"ט&gt;</t>
  </si>
  <si>
    <t>הגדה של פסח. תשי"ט. ירושלים</t>
  </si>
  <si>
    <t>הגדה של פסח &lt;לקוטים נחמדים מתלמידי הבעש"ט&gt;</t>
  </si>
  <si>
    <t>הגדה. חסידות.</t>
  </si>
  <si>
    <t>הגדה של פסח &lt;אדמו"ר רמ"י מוויזניץ&gt;</t>
  </si>
  <si>
    <t>הגדה של פסח &lt;גבורות ישראל, מטה משה, תפארת שלמה&gt;</t>
  </si>
  <si>
    <t>הופשטיין, ישראל בן שבתי - הופשטיין, משה אליקים בריעה בן ישראל</t>
  </si>
  <si>
    <t>הגדה של פסח &lt;גבורות ישראל, מטה משה&gt; - 2 כר'</t>
  </si>
  <si>
    <t>הגדה של פסח &lt;מטה משה&gt; - אורות יהושע - ניסן</t>
  </si>
  <si>
    <t>הופשטיין, משה אליקים בריעה - וויסבלום, יצחק</t>
  </si>
  <si>
    <t>הגדה של פסח &lt;מעדני מלך&gt;</t>
  </si>
  <si>
    <t>הורוויץ, אשר ישעיהו בן מאיר</t>
  </si>
  <si>
    <t>תרע"ג-תרע"ד</t>
  </si>
  <si>
    <t>הגדה של פסח &lt;מטעמי יצחק, הגדת יעקב&gt;</t>
  </si>
  <si>
    <t>הורוויץ, יצחק איזיק - שרגא, יעקב</t>
  </si>
  <si>
    <t>מועדי ישראל, תולדות עם ישראל, תולדות עם ישראל</t>
  </si>
  <si>
    <t>הגדה של פסח &lt;דברי הלוים&gt;</t>
  </si>
  <si>
    <t>הורוויץ, פינחס בן צבי הירש הלוי - הורוויץ, שמואל שמעלקא בן צבי הירש</t>
  </si>
  <si>
    <t>הגדה של פסח &lt;ע"פ מבעל הפלאה&gt;</t>
  </si>
  <si>
    <t>הגדה של פסח &lt;עם פירוש מבעל הפלאה&gt;</t>
  </si>
  <si>
    <t>הורוויץ, פנחס הלוי</t>
  </si>
  <si>
    <t>הגדה של פסח &lt;עם תרגום איטליאנו&gt;</t>
  </si>
  <si>
    <t>הזפרוני, ישראל</t>
  </si>
  <si>
    <t>הגדה של פסח &lt;אמרי החן&gt;</t>
  </si>
  <si>
    <t>הגדה של פסח &lt;ליקוטי יהודה&gt;</t>
  </si>
  <si>
    <t>היינה, יהודה אריה ליב</t>
  </si>
  <si>
    <t>הגדה של פסח &lt;זרע גד&gt;</t>
  </si>
  <si>
    <t>הירש, צבי בן תנחום</t>
  </si>
  <si>
    <t>הגדה של פסח &lt;נחלת השר&gt;</t>
  </si>
  <si>
    <t>הגדה של פסח &lt;פתח אליהו&gt;</t>
  </si>
  <si>
    <t>הגדה של פסח &lt;זכרון נפלאות&gt; - 2 כר'</t>
  </si>
  <si>
    <t>הכהן, אלעזר בן זאב וואלף</t>
  </si>
  <si>
    <t>הגדה של פסח &lt;קול דודי&gt;</t>
  </si>
  <si>
    <t>הכהן, דוד דניאל</t>
  </si>
  <si>
    <t>הגדה של פסח &lt;ביד רמה, והגדת לבנך&gt;</t>
  </si>
  <si>
    <t>הכהן, יוסף בן מאיר</t>
  </si>
  <si>
    <t>הגדה של פסח &lt;ויגד משה&gt;</t>
  </si>
  <si>
    <t>הגדה של פסח &lt;מעשי למלך&gt;</t>
  </si>
  <si>
    <t>הכהן, משה בן נתן</t>
  </si>
  <si>
    <t>חסידות, מועדי ישראל, מחשבה ומוסר</t>
  </si>
  <si>
    <t>הגדה של פסח &lt;פניני שמעון&gt;</t>
  </si>
  <si>
    <t>הכהן, שמעון</t>
  </si>
  <si>
    <t>הגדה של פסח &lt;הליכות חיים&gt;</t>
  </si>
  <si>
    <t>הלברשטאם, יקותיאל יהודה בן צבי הירש - קלוגר, אהרן יהושע</t>
  </si>
  <si>
    <t>הגדה של פסח &lt;שמחת יום טוב&gt;</t>
  </si>
  <si>
    <t>הלוי, יחזקאל עזרא בן יהושע.</t>
  </si>
  <si>
    <t>הגדה של פסח &lt;מרבה לספר&gt; - באנגלית</t>
  </si>
  <si>
    <t>המניק, יעקב דוד</t>
  </si>
  <si>
    <t>מיאמי</t>
  </si>
  <si>
    <t>הגדה של פסח &lt;איל תערוג&gt;</t>
  </si>
  <si>
    <t>הגדה של פסח &lt;ויגד אברהם&gt;</t>
  </si>
  <si>
    <t>הרצל, אברהם אבא בן יהושע</t>
  </si>
  <si>
    <t>הגדה של פסח &lt;רגלי מבשר&gt;</t>
  </si>
  <si>
    <t>הרשטיק, אליעזר זעירא</t>
  </si>
  <si>
    <t>הגדה של פסח &lt;שרידי אש&gt;</t>
  </si>
  <si>
    <t>הגדה של פסח &lt;עם שיטמ"ק מהגאונים והמקובלים&gt;</t>
  </si>
  <si>
    <t>הגדה של פסח &lt;ספינקא&gt;</t>
  </si>
  <si>
    <t>ווייס, יעקב אליעזר (עורך)</t>
  </si>
  <si>
    <t>הגדה של פסח &lt;אוצר דברי המפרשים&gt;</t>
  </si>
  <si>
    <t>הגדה של פסח &lt;מוציא אסירים&gt;</t>
  </si>
  <si>
    <t>וולפסון, ידידה בן אביעזר</t>
  </si>
  <si>
    <t>הגדה של פסח &lt;ייתי ויפסח&gt;</t>
  </si>
  <si>
    <t>וולפסון, משה - פינק, דב הכהן</t>
  </si>
  <si>
    <t>הגדה של פסח &lt;הגדת כי ישאלך בנך - עקבי אהרן ופשר דבר&gt;</t>
  </si>
  <si>
    <t>וועהל, יעקב בן אהרן</t>
  </si>
  <si>
    <t>וורטהיימר, הלל</t>
  </si>
  <si>
    <t>וורנר, חיים שלמה</t>
  </si>
  <si>
    <t>הגדה של פסח &lt;לב אברהם&gt;</t>
  </si>
  <si>
    <t>ויינפלד, אברהם</t>
  </si>
  <si>
    <t>הגדה של פסח &lt;איי הים&gt;</t>
  </si>
  <si>
    <t>הגדה של פסח &lt;שערי שפת אמת&gt;</t>
  </si>
  <si>
    <t>הגדה של פסח &lt;פני המנורה&gt;</t>
  </si>
  <si>
    <t>וינגורט, שאול יונתן</t>
  </si>
  <si>
    <t>הגדה של פסח &lt;שבעים פנים להגדה&gt;</t>
  </si>
  <si>
    <t>וינרוט, יואל</t>
  </si>
  <si>
    <t>הגדה של פסח &lt;דברי אגדה, מדרש אגדה, חידושי אגדה&gt;</t>
  </si>
  <si>
    <t>הגדה של פסח &lt;הגדת הגרשוני&gt;</t>
  </si>
  <si>
    <t>זאקס, אברהם גרשון בן מנחם מענדל</t>
  </si>
  <si>
    <t>הגדה של פסח &lt;ישמח ישראל - תפארת שמואל&gt;</t>
  </si>
  <si>
    <t>זינגר, ירחמיאל משה חיים (עורך)</t>
  </si>
  <si>
    <t>הגדה של פסח &lt;נמוקי הרז"ה - עזר שלמה&gt;</t>
  </si>
  <si>
    <t>זכריה הרופא - חכם נעלם</t>
  </si>
  <si>
    <t>הגדה של פסח &lt;מגיד שלום&gt;</t>
  </si>
  <si>
    <t>זכריהו, שלום בן נתנאל</t>
  </si>
  <si>
    <t>הגדה של פסח &lt;נתיבי ההגדה&gt;</t>
  </si>
  <si>
    <t>הגדה של פסח &lt;יד מצרים&gt; - 2 כר'</t>
  </si>
  <si>
    <t>חבר, יצחק איזיק בן יעקב - חבר, יוסף בן יצחק איזיק</t>
  </si>
  <si>
    <t>הגדה של פסח &lt;דומה דודי לצבי&gt;</t>
  </si>
  <si>
    <t>הגדה של פסח &lt;כי ישאלך&gt;</t>
  </si>
  <si>
    <t>חזקיהו, נתנאל יהונתן</t>
  </si>
  <si>
    <t>הגדה של פסח &lt;באר מים חיים&gt;</t>
  </si>
  <si>
    <t>הגדה של פסח &lt;מנחת אהרן, שירי מנחה&gt;</t>
  </si>
  <si>
    <t>חיים יצחק אהרן מוילקומיר</t>
  </si>
  <si>
    <t>וילנהVilna</t>
  </si>
  <si>
    <t>הגדה של פסח &lt;לאבות ובנים&gt;</t>
  </si>
  <si>
    <t>הגדה של פסח &lt;שערי הגדה&gt;</t>
  </si>
  <si>
    <t>חפוטא, חיים בן יאיר</t>
  </si>
  <si>
    <t>הגדה של פסח &lt;מי מרום&gt;</t>
  </si>
  <si>
    <t>הגדה של פסח &lt;נחלת צבי, ילקוט מנחם&gt;</t>
  </si>
  <si>
    <t>הלכה ומנהג, מועדי ישראל, מועדי ישראל, תנ"ך</t>
  </si>
  <si>
    <t>הגדה של פסח &lt;בית ישראל&gt;</t>
  </si>
  <si>
    <t>הגדה של פסח &lt;אור הטוב&gt;</t>
  </si>
  <si>
    <t>טולידאנו, ברוך בן אברהם</t>
  </si>
  <si>
    <t>הגדה של פסח &lt;מים אדירים&gt;</t>
  </si>
  <si>
    <t>טונקלאנג, ישראל מרדכי בן זאב יוסף</t>
  </si>
  <si>
    <t>הגדה של פסח &lt;ר"ש מאוסטרופלי - ברך משה&gt;</t>
  </si>
  <si>
    <t>הגדה של פסח &lt;תולדות אהרן&gt;</t>
  </si>
  <si>
    <t>טמסטית, עמרם</t>
  </si>
  <si>
    <t>הגדה של פסח &lt;קמחא דאבשונא&gt;</t>
  </si>
  <si>
    <t>טריויש, יוחנן בן יוסף</t>
  </si>
  <si>
    <t>הגדה של פסח &lt;פון אונזער אלטען אוצר&gt;</t>
  </si>
  <si>
    <t>יאושזון, ב (מלקט)</t>
  </si>
  <si>
    <t>ידלר -רבינוביץ, יהודה לייב</t>
  </si>
  <si>
    <t>הגדה של פסח &lt;זרע יהודה&gt;</t>
  </si>
  <si>
    <t>יהודה ליב בן שמעון</t>
  </si>
  <si>
    <t>תפ"א</t>
  </si>
  <si>
    <t>הגדה של פסח &lt;מהר"ל&gt;</t>
  </si>
  <si>
    <t>הגדה של פסח &lt;פדות יעקב&gt;</t>
  </si>
  <si>
    <t>יעקב בן משה מאמסטיסלאב</t>
  </si>
  <si>
    <t>קאפוסט</t>
  </si>
  <si>
    <t>הגדה של פסח &lt;מילי דאבות - באר שרים&gt;</t>
  </si>
  <si>
    <t>הגדה של פסח &lt;פסח אחד&gt;</t>
  </si>
  <si>
    <t>יצחק בן ישראל - חדידה, אברהם - נתן בן יוסף מקלרמון</t>
  </si>
  <si>
    <t>הגדה של פסח &lt;גאולת ישראל&gt;</t>
  </si>
  <si>
    <t>ישראל זאב בן שמשון מזאלשין</t>
  </si>
  <si>
    <t>זיטאמיר</t>
  </si>
  <si>
    <t>הגדה של פסח &lt;אבא בם&gt;</t>
  </si>
  <si>
    <t>ישראל, אלקנה בן אליהו</t>
  </si>
  <si>
    <t>הגדה של פסח &lt;אבני נזר&gt;</t>
  </si>
  <si>
    <t>הגדה של פסח &lt;גן רב&gt;</t>
  </si>
  <si>
    <t>הגדה של פסח &lt;ישמרו דעת&gt;</t>
  </si>
  <si>
    <t>כהן, שלמה בן עובדיה</t>
  </si>
  <si>
    <t>הגדה של פסח &lt;היושבת בגנים&gt;</t>
  </si>
  <si>
    <t>כהנא שפירא, אברהם אלקנה</t>
  </si>
  <si>
    <t>הגדה של פסח &lt;ספינקא&gt;  מועדי אבי</t>
  </si>
  <si>
    <t>הגדה של פסח &lt;נופת צופים&gt;</t>
  </si>
  <si>
    <t>כהנוב, משה מנחם בן משולם פיבוש</t>
  </si>
  <si>
    <t>הגדה של פסח &lt;אשירה עוזך&gt;</t>
  </si>
  <si>
    <t>כולל זכרון יעקב יוסף</t>
  </si>
  <si>
    <t>הגדה של פסח &lt;ש"ך, באור חדש, באר יצחק&gt;</t>
  </si>
  <si>
    <t>כץ, שבתי - דנציג, יצחק</t>
  </si>
  <si>
    <t>הגדה של פסח &lt;הגדת פסח ארצישראלית&gt;</t>
  </si>
  <si>
    <t>הגדה של פסח &lt;מגיד צדק&gt;</t>
  </si>
  <si>
    <t>לאנדא, אליהו בן אלעזר</t>
  </si>
  <si>
    <t>הגדה של פסח &lt;ראש אמנה&gt;</t>
  </si>
  <si>
    <t>לבנזון, אברהם בן יהודה</t>
  </si>
  <si>
    <t>הגדה של פסח &lt;מאיר נתיב&gt;</t>
  </si>
  <si>
    <t>הגדה של פסח &lt;המבואר ברכת אהרן וילקוט המדרשים&gt;</t>
  </si>
  <si>
    <t>הגדה של פסח &lt;טעם הפסח&gt;</t>
  </si>
  <si>
    <t>לויכטר, ראובן</t>
  </si>
  <si>
    <t>הגדה של פסח &lt;מזמור לתודה&gt; - 2 כר'</t>
  </si>
  <si>
    <t>הגדה של פסח &lt;מלחמת ה'&gt;</t>
  </si>
  <si>
    <t>לונץ, אליהו משהו</t>
  </si>
  <si>
    <t>הגדה של פסח &lt;שירת הלויים&gt;</t>
  </si>
  <si>
    <t>הגדה של פסח &lt;מעשה נסים - 2 כר'</t>
  </si>
  <si>
    <t>לורברבוים, יעקב בן יעקב משה - גולדברג, יהושע יוסף</t>
  </si>
  <si>
    <t>הגדה של פסח &lt;מעשה נסים&gt; - 2 כר'</t>
  </si>
  <si>
    <t>הגדה של פסח &lt;ספר הזמנים&gt; - 2 כר'</t>
  </si>
  <si>
    <t>הגדה של פסח &lt;אשל ברמה&gt;</t>
  </si>
  <si>
    <t>ליכטשטיין, אברהם</t>
  </si>
  <si>
    <t>הגדה של פסח &lt;אמרי אליעזר&gt;</t>
  </si>
  <si>
    <t>ליפמאן, אליעזר בן יצחק</t>
  </si>
  <si>
    <t>הגדה של פסח &lt;אריה דבי עילאי&gt;</t>
  </si>
  <si>
    <t>חסידות, מועדי ישראל, תולדות עם ישראל</t>
  </si>
  <si>
    <t>הגדה של פסח &lt;דברי יחזקאל שרגא&gt;</t>
  </si>
  <si>
    <t>הגדה של פסח &lt;ברכת אברהם - ויעש אברהם&gt;</t>
  </si>
  <si>
    <t>לנדא, אברהם - לנדא , מנחם מנדל</t>
  </si>
  <si>
    <t>הגדה של פסח &lt;חסד לאברהם, עטרת זקנים&gt;</t>
  </si>
  <si>
    <t>לנדא, אברהם - לנדא, מנחם מנדיל</t>
  </si>
  <si>
    <t>הגדה של פסח &lt;שפתי רננות&gt;</t>
  </si>
  <si>
    <t>לקט מפרשים</t>
  </si>
  <si>
    <t>הגדה של פסח &lt;לב שמח&gt;</t>
  </si>
  <si>
    <t>מאיר, חנוך הניך דוב בן שמואל - לורברבוים, יעקב בן יעקב משה</t>
  </si>
  <si>
    <t>סטניסלב Stanislav</t>
  </si>
  <si>
    <t>הגדה של פסח &lt;פירוש המאירי, לחמא עניא והלילא דפסחא&gt;</t>
  </si>
  <si>
    <t>הגדה של פסח &lt;חירות עולם&gt;</t>
  </si>
  <si>
    <t>מונדשיין, שלמה</t>
  </si>
  <si>
    <t>הגדה של פסח &lt;למען תלמד ליראה&gt;</t>
  </si>
  <si>
    <t>מושקוביץ, אריה בן יונה</t>
  </si>
  <si>
    <t>הגדה של פסח &lt;מגדל עדר החדש&gt;</t>
  </si>
  <si>
    <t>מילר, ישראל דוד בן י מ</t>
  </si>
  <si>
    <t>הגדה של פסח &lt;מגדל עדר&gt;</t>
  </si>
  <si>
    <t>הגדה של פסח &lt;בעלזא&gt;</t>
  </si>
  <si>
    <t>מכון אור לנתיבתי</t>
  </si>
  <si>
    <t>הגדה של פסח &lt;שואל כענין&gt;</t>
  </si>
  <si>
    <t>מכון דרך אליעזר</t>
  </si>
  <si>
    <t>הגדה של פסח &lt;אוצר הראשונים&gt;</t>
  </si>
  <si>
    <t>מכון על הראשונים</t>
  </si>
  <si>
    <t>ירולשים</t>
  </si>
  <si>
    <t>הגדה של פסח &lt;שיח יצחק&gt;</t>
  </si>
  <si>
    <t>מלצן, יצחק בן שמואל</t>
  </si>
  <si>
    <t>הגדה של פסח &lt;אגדת אזוב&gt;</t>
  </si>
  <si>
    <t>הגדה של פסח &lt;באר מרים, קהלת משה&gt; - 3 כר'</t>
  </si>
  <si>
    <t>הגדה של פסח &lt;והגדת לבנך ביום ההוא&gt;</t>
  </si>
  <si>
    <t>מרגלית, נתן</t>
  </si>
  <si>
    <t>הגדה של פסח &lt;מדרש הגדה - 2 כר'</t>
  </si>
  <si>
    <t>משכיל לאיתן, נפתלי בן אברהם</t>
  </si>
  <si>
    <t>הגדה של פסח &lt;ע"פ מתורתו של ר"נ מברסלב&gt;</t>
  </si>
  <si>
    <t>הגדה של פסח &lt;זרע שמשון&gt;</t>
  </si>
  <si>
    <t>הגדה של פסח &lt;ילקוט שמעוני&gt;</t>
  </si>
  <si>
    <t>ניימאן, שמעון בצלאל בן מאיר צבי</t>
  </si>
  <si>
    <t>הגדה של פסח &lt;שיר ציון&gt;</t>
  </si>
  <si>
    <t>הגדה של פסח &lt;שיח הגרי"ד&gt;</t>
  </si>
  <si>
    <t>הגדה של פסח &lt;קבוץ חכמים&gt;</t>
  </si>
  <si>
    <t>סומך, עבדאללה בן אברהם</t>
  </si>
  <si>
    <t>הגדה של פסח &lt;כתב סופר&gt;</t>
  </si>
  <si>
    <t>סופר, אברהם שמואל בנימין בן משה</t>
  </si>
  <si>
    <t>הגדה של פסח &lt;מסך הפסח&gt;</t>
  </si>
  <si>
    <t>הגדה של פסח &lt;חת"ם סופר, חתן סופר&gt;</t>
  </si>
  <si>
    <t>סופר, משה - ארנפלד, שמואל בן דוד צבי</t>
  </si>
  <si>
    <t>הגדה של פסח &lt;חתם סופר&gt;</t>
  </si>
  <si>
    <t>הגדה של פסח &lt;מכתב סופר&gt;</t>
  </si>
  <si>
    <t>הגדה של פסח &lt;גדולי טעלז&gt;</t>
  </si>
  <si>
    <t>סורוצקין, שלום בער בן בנימין (עורך)</t>
  </si>
  <si>
    <t>הגדה של פסח &lt;קרבן פסח&gt; - 2 כר'</t>
  </si>
  <si>
    <t>ושינגטון Washington</t>
  </si>
  <si>
    <t>הגדה של פסח &lt;פסח מעובין, מכשירי פסחא, אמרי שפר&gt;</t>
  </si>
  <si>
    <t>סיניגאליה, יעקב שמשון שבתי בן רפאל יששכר, בנבנישתי, חיים בן ישראל, ברלין, נפתלי</t>
  </si>
  <si>
    <t>הגדה של פסח &lt;קאמרנא&gt;</t>
  </si>
  <si>
    <t>ספרין, ישראל יצחק (עורך)</t>
  </si>
  <si>
    <t>הגדה של פסח &lt;מי מגידו&gt;</t>
  </si>
  <si>
    <t>הגדה של פסח &lt;יראה לעינים - יראה ללבב&gt;</t>
  </si>
  <si>
    <t>עזריאל בן אליהו</t>
  </si>
  <si>
    <t>הגדה של פסח &lt;תקות ישראל&gt;</t>
  </si>
  <si>
    <t>עטילזאהן, ברוך בן יונה</t>
  </si>
  <si>
    <t>הגדה של פסח &lt;מימים ימימה&gt;</t>
  </si>
  <si>
    <t>הגדה של פסח &lt;מטיב נגן - צפנת פענח&gt;</t>
  </si>
  <si>
    <t>עמדין, יעקב ישראל בן צבי - גולדנבום זהבי, יוסף</t>
  </si>
  <si>
    <t>הגדה של פסח &lt;מטיב נגן&gt;</t>
  </si>
  <si>
    <t>הגדה של פסח &lt;מדרכי ה' בגאולה&gt;</t>
  </si>
  <si>
    <t>ענתבי, מרדכי</t>
  </si>
  <si>
    <t>הגדה של פסח &lt;נטפי מים&gt;</t>
  </si>
  <si>
    <t>פאדווא, יעקב מאיר בן חיים</t>
  </si>
  <si>
    <t>הגדה של פסח &lt;מראה כהן&gt;</t>
  </si>
  <si>
    <t>פאם, אברהם יעקב הכהן</t>
  </si>
  <si>
    <t>הגדה של פסח &lt;מראה יחזקאל&gt;</t>
  </si>
  <si>
    <t>פאנט, יחזקאל בן יוסף - טייטלבוים, משה בן צבי הירש</t>
  </si>
  <si>
    <t>חסידות, מועדי ישראל, מחשבה ומוסר, נושאים שונים</t>
  </si>
  <si>
    <t>הגדה של פסח &lt;אורות פלא&gt;</t>
  </si>
  <si>
    <t>הגדה של פסח &lt;מדרש בחידוש, אמרי קודש&gt; - 2 כר'</t>
  </si>
  <si>
    <t>הגדה של פסח &lt;מדרש בחידוש&gt;</t>
  </si>
  <si>
    <t>הגדה של פסח &lt;חקת הפסח&gt;</t>
  </si>
  <si>
    <t>פיזאנטי, משה בן חיים - ברוך, שלמה</t>
  </si>
  <si>
    <t>הגדה של פסח &lt;מחזה אברהם&gt; - 2 כר'</t>
  </si>
  <si>
    <t>הגדה של פסח &lt;שמחת דוד&gt;</t>
  </si>
  <si>
    <t>פינטו, דוד חנניה</t>
  </si>
  <si>
    <t>הגדה של פסח &lt;פרי תבואה&gt; - 2 כר'</t>
  </si>
  <si>
    <t>הגדה של פסח &lt;משפחת הרבנים פינטו- ויגד משה&gt;</t>
  </si>
  <si>
    <t>הגדה של פסח &lt;יד החזקה&gt;</t>
  </si>
  <si>
    <t>פיעסקין, יעקב דוד בן מנחם</t>
  </si>
  <si>
    <t>הגדה של פסח &lt;בית אבא-ויגד משה&gt;</t>
  </si>
  <si>
    <t>פלס, משה מאיר בן חיים</t>
  </si>
  <si>
    <t>הגדה של פסח &lt;תפוחי חיים&gt;</t>
  </si>
  <si>
    <t>פנט, חיים אלתר</t>
  </si>
  <si>
    <t>הגדה של פסח &lt;תבלין למצוה&gt; - 2 כר'</t>
  </si>
  <si>
    <t>פרג, אברהם אהרן הלוי</t>
  </si>
  <si>
    <t>הגדה של פסח &lt;אך פרי תבואה&gt;</t>
  </si>
  <si>
    <t>פרידמאן, צבי הירש בן אהרן - שטיינברג, יהודה אריה בן חיים יוסף</t>
  </si>
  <si>
    <t>הגדה של פסח &lt;אוצרותיהם של צדיקים&gt;</t>
  </si>
  <si>
    <t>הגדה של פסח &lt;מעין חתום&gt;</t>
  </si>
  <si>
    <t>פרלמוטר, יצחק אייזיק בן דוד</t>
  </si>
  <si>
    <t>הגדה של פסח &lt;באזני בנך&gt;</t>
  </si>
  <si>
    <t>פרלמוטר, יצחק אייזיק</t>
  </si>
  <si>
    <t>הגדה של פסח &lt;מחט של יד&gt;</t>
  </si>
  <si>
    <t>פרנקל, יצחק דוד בן שניאור יחזקאל</t>
  </si>
  <si>
    <t>הגדה של פסח &lt;פרי עץ חיים&gt; - 2 כר'</t>
  </si>
  <si>
    <t>צאלח, יחיא בן יוסף - רצאבי, יצחק</t>
  </si>
  <si>
    <t>הגדה של פסח &lt;טעם זקנים - מאוצרות חכמי תימן&gt;</t>
  </si>
  <si>
    <t>צברי, יוסף</t>
  </si>
  <si>
    <t>הגדה של פסח &lt;הגדת בית בלאזוב&gt;</t>
  </si>
  <si>
    <t>צדיקי בית בלאזוב דינאב</t>
  </si>
  <si>
    <t>הגדה של פסח &lt;זרע יצחק&gt;</t>
  </si>
  <si>
    <t>צדיקי ווארקא אמשינוב</t>
  </si>
  <si>
    <t>הגדה של פסח &lt;שיח אבות&gt;</t>
  </si>
  <si>
    <t>צדיקי קוידינוב לכוביץ</t>
  </si>
  <si>
    <t>הגדה של פסח &lt;אמרי חיים ואמונה - קרטשניף - סיגעט&gt;</t>
  </si>
  <si>
    <t>צדיקי קרעטשינוף</t>
  </si>
  <si>
    <t>הגדה של פסח &lt;מגיד מראשית&gt;</t>
  </si>
  <si>
    <t>הגדה של פסח &lt;לשנה הזאת בירושלים&gt;</t>
  </si>
  <si>
    <t>ציון, מרדכי צבי הלוי</t>
  </si>
  <si>
    <t>הגדה של פסח &lt;ברכת השיר, מעשה נסים&gt;</t>
  </si>
  <si>
    <t>צינץ, אריה ליב בן משה - קרנץ, יעקב בן יעקב משה - מכיר, משה</t>
  </si>
  <si>
    <t>הגדה של פסח &lt;ברכת השיר&gt; - 2 כר'</t>
  </si>
  <si>
    <t>הגדה של פסח &lt;הלכות חג בחג&gt;</t>
  </si>
  <si>
    <t>הגדה של פסח &lt;לחזות בנועם&gt;</t>
  </si>
  <si>
    <t>קופלמן, יצחק דוב</t>
  </si>
  <si>
    <t>הגדה של פסח &lt;עולת ראיה&gt;</t>
  </si>
  <si>
    <t>הגדה של פסח &lt;הסדר הבהיר&gt;</t>
  </si>
  <si>
    <t>קייזר, אברהם</t>
  </si>
  <si>
    <t>הגדה של פסח &lt;לוית חן&gt;</t>
  </si>
  <si>
    <t>קליין, אברהם נח הלוי</t>
  </si>
  <si>
    <t>הגדה של פסח &lt;בן אשר&gt;</t>
  </si>
  <si>
    <t>קליין, זעליג ליב בן אשר אהרן</t>
  </si>
  <si>
    <t>הגדה של פסח &lt;מגיד משנה משנה הלכות&gt;</t>
  </si>
  <si>
    <t>הגדה של פסח &lt;צוף אמרים&gt;</t>
  </si>
  <si>
    <t>קליינמאן, משה חיים</t>
  </si>
  <si>
    <t>הגדה של פסח &lt;יציאת מצרים&gt;</t>
  </si>
  <si>
    <t>קלישר, צבי הירש</t>
  </si>
  <si>
    <t>הגדה של פסח &lt;חקי חיים&gt;</t>
  </si>
  <si>
    <t>קניג, חיים ישעיהו</t>
  </si>
  <si>
    <t>הגדה של פסח &lt;דרך אמונה&gt;</t>
  </si>
  <si>
    <t>הגדה של פסח &lt;אשי ישראל&gt;</t>
  </si>
  <si>
    <t>קנר, יששכר בן אברהם שמחה</t>
  </si>
  <si>
    <t>הגדה של פסח &lt;אור החמה&gt; - 2 כר'</t>
  </si>
  <si>
    <t>הגדה של פסח &lt;פוניבז'&gt; - ב</t>
  </si>
  <si>
    <t>ראשי ישיבת פוניבז'</t>
  </si>
  <si>
    <t>רבותינו לבית מודז'יץ וקוזמיר</t>
  </si>
  <si>
    <t>הגדה של פסח &lt;לבנת הספיר&gt; - 2 כר'</t>
  </si>
  <si>
    <t>הגדה של פסח &lt;תודת יהושע&gt;</t>
  </si>
  <si>
    <t>הגדה של פסח &lt;שבחי יעקב&gt;</t>
  </si>
  <si>
    <t>רבינוביץ, יעקב</t>
  </si>
  <si>
    <t>הגדה של פסח &lt;דברי בינה, תולדות אדם&gt;</t>
  </si>
  <si>
    <t>רבינוביץ, יצחק יעקב בן נתן דוד - יהושע בן שלמה יהודה ליב מאוסטרובה</t>
  </si>
  <si>
    <t>הגדה של פסח &lt;לקט יוסף, דודאי ראובן&gt;</t>
  </si>
  <si>
    <t>הגדה של פסח &lt;שבט סופרים&gt;</t>
  </si>
  <si>
    <t>רבני משפחת סופר</t>
  </si>
  <si>
    <t>הגדה של פסח &lt;שלשלת הזהב&gt;</t>
  </si>
  <si>
    <t>רוז'ין סאדיגורא</t>
  </si>
  <si>
    <t>הגדה של פסח &lt;זכרון אברהם&gt;</t>
  </si>
  <si>
    <t>רוזאנוס, אברהם אבלי בן צבי הירש</t>
  </si>
  <si>
    <t>הגדה של פסח &lt;צפנת פענח&gt;</t>
  </si>
  <si>
    <t>רוזין, יוסף בן אפרים פישל</t>
  </si>
  <si>
    <t>הגדה של פסח &lt;חכמי ספרד&gt;</t>
  </si>
  <si>
    <t>רוזן, משה (עורך)</t>
  </si>
  <si>
    <t>הגדה של פסח &lt;באר חיים מרדכי&gt;</t>
  </si>
  <si>
    <t>רולר, חיים מרדכי בן יצחק יהודה אייזיק</t>
  </si>
  <si>
    <t>הגדה של פסח &lt;תשבי מבשר&gt;</t>
  </si>
  <si>
    <t>הגדה של פסח &lt;אגדה מקובצת&gt;</t>
  </si>
  <si>
    <t>שהרבני, מנשה בן סלמן</t>
  </si>
  <si>
    <t>הגדה של פסח &lt;קול אריה&gt;</t>
  </si>
  <si>
    <t>שווארץ, אברהם יהודה אריה ליב בן פינחס ז</t>
  </si>
  <si>
    <t>הגדה של פסח &lt;דבר ירושלים&gt;</t>
  </si>
  <si>
    <t>הגדה של פסח &lt;רשב"ץ, יעב"ץ, כוס ישועות&gt;</t>
  </si>
  <si>
    <t>שטעסיל, ישראל חיים</t>
  </si>
  <si>
    <t>הגדה של פסח &lt;הגדה כפשוטה&gt;</t>
  </si>
  <si>
    <t>הגדה של פסח &lt;מאורות הראשונים - שביבי אש&gt;</t>
  </si>
  <si>
    <t>הגדה של פסח &lt;מהר"ם שיק&gt;</t>
  </si>
  <si>
    <t>הגדה של פסח &lt;מגיד נפלא&gt;</t>
  </si>
  <si>
    <t>הגדה של פסח &lt;שאל אביך ויגדך&gt;</t>
  </si>
  <si>
    <t>שלזינגר, יחיאל מיכל</t>
  </si>
  <si>
    <t>הגדה של פסח &lt;חמשה עשר באורים&gt;</t>
  </si>
  <si>
    <t>שמואל בן מאיר - אברבנאל, יצחק בן יהודה, שלמה, מוולוז'ין - יעקב, מדובנא</t>
  </si>
  <si>
    <t>הגדה של פסח &lt;מחזור ויטרי, שבלי הלקט&gt;</t>
  </si>
  <si>
    <t>שמחה מויטרי -צדקה בן אברהם</t>
  </si>
  <si>
    <t>הגדה של פסח &lt;מילי דשמי"א&gt;</t>
  </si>
  <si>
    <t>שמילוביץ, מאיר יצחק אלטר</t>
  </si>
  <si>
    <t>הגדה של פסח &lt;שניים מי יודע&gt;</t>
  </si>
  <si>
    <t>שני פירושים לרבותינו הראשונים</t>
  </si>
  <si>
    <t>הגדה של פסח &lt;באור יצחק&gt;</t>
  </si>
  <si>
    <t>שפיץ, יחיאל מיכל בן יצחק זקל</t>
  </si>
  <si>
    <t>הגדה של פסח &lt;מוננקאטש&gt;</t>
  </si>
  <si>
    <t>הגדה של פסח &lt;מאמר אגדתא דפסחא&gt;</t>
  </si>
  <si>
    <t>שפירא, חיים אלעזר</t>
  </si>
  <si>
    <t>הגדה של פסח &lt;באר יעקב&gt;</t>
  </si>
  <si>
    <t>שפירא, משה שמואל בן אריה</t>
  </si>
  <si>
    <t>הגדה של פסח &lt;תבואות שמש&gt;</t>
  </si>
  <si>
    <t>הגדה של פסח &lt;בני יששכר&gt; - 2 כר'</t>
  </si>
  <si>
    <t>הגדה של פסח &lt;תפארת בנים&gt;</t>
  </si>
  <si>
    <t>שפירא, צבי הירש</t>
  </si>
  <si>
    <t>הגדה של פסח &lt;משא המועד&gt;</t>
  </si>
  <si>
    <t>שפניר, אבידן משה בן בנימין זאב</t>
  </si>
  <si>
    <t>הגדה של פסח &lt;אגדת אליהו&gt;</t>
  </si>
  <si>
    <t>שרהזון, אליהו</t>
  </si>
  <si>
    <t>הגדה של פסח &lt;מצודת דוד וציון&gt;</t>
  </si>
  <si>
    <t>כלכתה Calcutta</t>
  </si>
  <si>
    <t>הגדה של פסח &lt;מהרש"א&gt;</t>
  </si>
  <si>
    <t>תוספאה, שמואל אביגדור בן אברהם</t>
  </si>
  <si>
    <t>הגדה של פסח (סקווירא)</t>
  </si>
  <si>
    <t>הגדה של פסח אגדות ריב"א</t>
  </si>
  <si>
    <t>הגדה של פסח אוהב ישראל</t>
  </si>
  <si>
    <t>אברהם יהושע השל בן שמואל מאפטה וצאצאיו (מפרשים)</t>
  </si>
  <si>
    <t>הגדה של פסח אור גנוז</t>
  </si>
  <si>
    <t>הגדה של פסח אור שמח</t>
  </si>
  <si>
    <t>הגדה של פסח אותו הלילה</t>
  </si>
  <si>
    <t>זילבר, דוד מרדכי</t>
  </si>
  <si>
    <t>הגדה של פסח באר החסידות</t>
  </si>
  <si>
    <t>בעש"ט ותלמידיו</t>
  </si>
  <si>
    <t>הגדה של פסח באר חיים מרדכי</t>
  </si>
  <si>
    <t>הגדה של פסח בית רימונוב - תפארת מנחם</t>
  </si>
  <si>
    <t>הגדה של פסח במחיצת החפץ חיים</t>
  </si>
  <si>
    <t>הגדה של פסח במשנתו של הרב דסלר</t>
  </si>
  <si>
    <t>דסלר, אליהו אליעזר</t>
  </si>
  <si>
    <t>הגדה של פסח בעברי וערבי עם העתקה אנגלית</t>
  </si>
  <si>
    <t>הגדה של פסח. תרס"ה. ירושלים</t>
  </si>
  <si>
    <t>הגדה של פסח בתרגום אנגלית</t>
  </si>
  <si>
    <t>הגדה של פסח גדולי ישראל</t>
  </si>
  <si>
    <t>שטיין, ישראל אברהם בן שלמה אהרן הכהן</t>
  </si>
  <si>
    <t>חש"ד (מהדורה רביעית)</t>
  </si>
  <si>
    <t>הגדה של פסח הלכות ומנהגים</t>
  </si>
  <si>
    <t>וינד, אליהו שמואל</t>
  </si>
  <si>
    <t>הגדה של פסח המאור הגדול</t>
  </si>
  <si>
    <t>הגדה של פסח המבוארת - א</t>
  </si>
  <si>
    <t>מכון כתר חיים</t>
  </si>
  <si>
    <t>הגדה של פסח ובדיקה וביעור חמץ</t>
  </si>
  <si>
    <t>הגדה של פסח. שנ"ט. ונציה</t>
  </si>
  <si>
    <t>הגדה של פסח וואלאז'ין</t>
  </si>
  <si>
    <t>ראשי ישיבת וואלאז'ין</t>
  </si>
  <si>
    <t>הגדה של פסח ושיר השירים &lt;עם פירוש הרוקח&gt;</t>
  </si>
  <si>
    <t>הגדה של פסח זכרון יהודה</t>
  </si>
  <si>
    <t>מנלה, יונה</t>
  </si>
  <si>
    <t>הגדה של פסח חברון כנסת ישראל</t>
  </si>
  <si>
    <t>ראשי ישיבת חברון</t>
  </si>
  <si>
    <t>הגדה של פסח טעם ודעת</t>
  </si>
  <si>
    <t>הגדה של פסח יחל ישראל</t>
  </si>
  <si>
    <t>לאו, ישראל מאיר בן משה חיים</t>
  </si>
  <si>
    <t>הגדה של פסח ילקוט למועדים</t>
  </si>
  <si>
    <t>בקר, חיים ש.</t>
  </si>
  <si>
    <t>הגדה של פסח כמנהג ק"ק איטאליאני</t>
  </si>
  <si>
    <t>הגדה של פסח. ונציה. תקנ"ב.</t>
  </si>
  <si>
    <t>ויניציאה</t>
  </si>
  <si>
    <t>הגדה של פסח לאדמור"י בית הוסיאטין</t>
  </si>
  <si>
    <t>הגדה של פסח לאור ההלכה</t>
  </si>
  <si>
    <t>דובאוו, זלמן יוסף בן יצחק</t>
  </si>
  <si>
    <t>דובלין</t>
  </si>
  <si>
    <t>הגדה של פסח לזמן בית המקדש</t>
  </si>
  <si>
    <t>המרכז לביהמ"ק והמשכן</t>
  </si>
  <si>
    <t>הגדה של פסח מבית לוי &lt;בריסק&gt; - קובץ הוספות</t>
  </si>
  <si>
    <t>גרליץ, משה שמעון בן מנחם מענדיל  (עורך)</t>
  </si>
  <si>
    <t>הגדה של פסח מבית לוי</t>
  </si>
  <si>
    <t>הגדה של פסח מהר"י ט"ב</t>
  </si>
  <si>
    <t>הגדה של פסח מיט זעכציג פירושים אין עברי טייטש</t>
  </si>
  <si>
    <t>חרצ"</t>
  </si>
  <si>
    <t>הגדה של פסח מיר</t>
  </si>
  <si>
    <t>ראשי ישיבת מיר</t>
  </si>
  <si>
    <t>הגדה של פסח מפורשת ומבוארת &lt;שבחו אהובים&gt;</t>
  </si>
  <si>
    <t>הגדה של פסח משך חכמה</t>
  </si>
  <si>
    <t>הגדה של פסח משלחנם של גדולי ירושלים - 2 כר'</t>
  </si>
  <si>
    <t>ורנר, שלמה חנוך</t>
  </si>
  <si>
    <t>הגדה של פסח נוסח הרמב"ם</t>
  </si>
  <si>
    <t>הגדה של פסח נוסח יהודי תימן</t>
  </si>
  <si>
    <t>ע"פ כתב יד משפחת זכריה</t>
  </si>
  <si>
    <t>הגדה של פסח נורא תהילות</t>
  </si>
  <si>
    <t>טולידאנו, יהודה בן מאיר</t>
  </si>
  <si>
    <t>הגדה של פסח נשמת כל חי</t>
  </si>
  <si>
    <t>גרוזמן, חיים בן מאיר צבי</t>
  </si>
  <si>
    <t>הגדה של פסח סלוצק קלצק לייקווד</t>
  </si>
  <si>
    <t>ראשי ישיבת עץ חיים</t>
  </si>
  <si>
    <t>הגדה של פסח ע"פ ברך משה</t>
  </si>
  <si>
    <t>הגדה של פסח ע"פ הרשב"א</t>
  </si>
  <si>
    <t>בן אדרת, שלמה בן אברהם (רשב"א) - מיוחס לו</t>
  </si>
  <si>
    <t>הגדה של פסח ע"פ וביאורים</t>
  </si>
  <si>
    <t>רבני משפחת ערנפלד</t>
  </si>
  <si>
    <t>הגדה של פסח ע"פ זיו יהודה</t>
  </si>
  <si>
    <t>הגדה של פסח ע"פ מגדים חדשים &lt;מהדורה חדשה&gt;</t>
  </si>
  <si>
    <t>ביק, מאיר מנחם בן שאול יששכר</t>
  </si>
  <si>
    <t>הגדה של פסח ע"פ מגדים חדשים</t>
  </si>
  <si>
    <t>הגדה של פסח ע"פ נגיד ונפיק &lt;מהדורה חדשה&gt;</t>
  </si>
  <si>
    <t>הגדה של פסח ע"פ עוללות יהודה</t>
  </si>
  <si>
    <t>גינוואלד, יהודה</t>
  </si>
  <si>
    <t>הגדה של פסח ע"פ פי המדבר &lt;מהדורה חדשה&gt;</t>
  </si>
  <si>
    <t>גיג',  יוסף בן דוד</t>
  </si>
  <si>
    <t>הגדה של פסח ע"פ שיח מצרים</t>
  </si>
  <si>
    <t>אוחנה, נתנאל ישראל</t>
  </si>
  <si>
    <t>הגדה של פסח עזרת אבותינו</t>
  </si>
  <si>
    <t>נוסח ומנהגי בית בוסטון</t>
  </si>
  <si>
    <t>הגדה של פסח עם באור דובר שלום</t>
  </si>
  <si>
    <t>לנדא, יצחק אליהו</t>
  </si>
  <si>
    <t>הגדה של פסח עם ביאור מהולל בתשבחות</t>
  </si>
  <si>
    <t>מושקוביץ, ברוך צבי בן דוד הכהן</t>
  </si>
  <si>
    <t>הגדה של פסח עם ביאור מועדים וזמנים</t>
  </si>
  <si>
    <t>הגדה של פסח עם ביאורים מתוך האנציקלופדיה תלמודית</t>
  </si>
  <si>
    <t>הגדה של פסח עם בית אהרן</t>
  </si>
  <si>
    <t>הגדה של פסח עם העתקות ופירושים בלשון הונגרית</t>
  </si>
  <si>
    <t>אבראהאם, מרדכי בן ישראל</t>
  </si>
  <si>
    <t>קעטשקעמעט</t>
  </si>
  <si>
    <t>הגדה של פסח עם ליקוטי שושנים</t>
  </si>
  <si>
    <t>הגדה של פסח עם מבוא גדול והערות שונות</t>
  </si>
  <si>
    <t>קנעביל, שבח</t>
  </si>
  <si>
    <t>הגדה של פסח עם עיוני ההגדה</t>
  </si>
  <si>
    <t>הגדה של פסח עם עריכת שלחן וילקוט חיים</t>
  </si>
  <si>
    <t>הגדה של פסח עם פירוש אור זרוע</t>
  </si>
  <si>
    <t>הגדה של פסח עם פירוש אמרי שפר</t>
  </si>
  <si>
    <t>הגדה של פסח עם פירוש ארבעה אופני הקודש</t>
  </si>
  <si>
    <t>טברסקי, מנחם נחום בן צבי</t>
  </si>
  <si>
    <t>יבורז'נו Jaworzno</t>
  </si>
  <si>
    <t>הגדה של פסח עם פירוש באנגלית</t>
  </si>
  <si>
    <t>הגדה של פסח עם פירוש אנגלית</t>
  </si>
  <si>
    <t>הגדה של פסח עם פירוש באר שמואל</t>
  </si>
  <si>
    <t>הגדה של פסח עם פירוש בנין ירושלים</t>
  </si>
  <si>
    <t>יוונין, נתן נטע בן אברהם יונה</t>
  </si>
  <si>
    <t>הגדה של פסח עם פירוש גבולות בנימין</t>
  </si>
  <si>
    <t>הגדה של פסח עם פירוש דמשק אליעזר</t>
  </si>
  <si>
    <t>שווערדשארף, אליעזר</t>
  </si>
  <si>
    <t>הגדה של פסח עם פירוש הגר"א השלם</t>
  </si>
  <si>
    <t>הגדה של פסח עם פירוש המהרש"א</t>
  </si>
  <si>
    <t>קרישבסקי, נתנאל בן ראובן</t>
  </si>
  <si>
    <t>הגדה של פסח עם פירוש השיר והשבח</t>
  </si>
  <si>
    <t>הגדה של פסח עם פירוש התקדש חג</t>
  </si>
  <si>
    <t>הגדה של פסח עם פירוש והגדת לבנך</t>
  </si>
  <si>
    <t>מויאל, אליהו בן אברהם</t>
  </si>
  <si>
    <t>הגדה של פסח עם פירוש וללוי אמר</t>
  </si>
  <si>
    <t>הגדה של פסח עם פירוש חג הפסח</t>
  </si>
  <si>
    <t>עידאן, משה</t>
  </si>
  <si>
    <t>הגדה של פסח עם פירוש חכמה עם נחלה</t>
  </si>
  <si>
    <t>קליין, זאב צבי בן זכריה הכהן</t>
  </si>
  <si>
    <t>הגדה של פסח עם פירוש כוס אליהו</t>
  </si>
  <si>
    <t>הגדה של פסח עם פירוש ליל שימורים</t>
  </si>
  <si>
    <t>ברהנץ, מבורך</t>
  </si>
  <si>
    <t>אלכסנדריהAlexandri</t>
  </si>
  <si>
    <t>הגדה של פסח עם פירוש מים עמוקים</t>
  </si>
  <si>
    <t>שפירא, רפאל בן ישראל איסר</t>
  </si>
  <si>
    <t>הגדה של פסח עם פירוש משלי יעקב</t>
  </si>
  <si>
    <t>הגדה של פסח עם פירוש נפש יהונתן</t>
  </si>
  <si>
    <t>יהונתן בנימין בן משה אריה הכהן</t>
  </si>
  <si>
    <t>הגדה של פסח עם פירוש עבודת הגפן</t>
  </si>
  <si>
    <t>יהודה ליב בן אליהו</t>
  </si>
  <si>
    <t>הגדה של פסח עם פירוש עוללות הגפן</t>
  </si>
  <si>
    <t>עטיה, גדעון בן ישועה</t>
  </si>
  <si>
    <t>הגדה של פסח עם פירוש עקידת יצחק</t>
  </si>
  <si>
    <t>דנציגר, יצחק מנחם מאלכסנדר</t>
  </si>
  <si>
    <t>הגדה של פסח עם פירוש פדיון שבוים</t>
  </si>
  <si>
    <t>קירשבוים, שלמה</t>
  </si>
  <si>
    <t>הגדה של פסח עם פירוש רבינו בחיי ז"ל</t>
  </si>
  <si>
    <t>בחיי בן אשר אבן חלאוה - בן שושן, יצחק בן יוסף</t>
  </si>
  <si>
    <t>הגדה של פסח עם פירוש שם ישראל</t>
  </si>
  <si>
    <t>פלדמן, משה ישראל בן אפרים פישל</t>
  </si>
  <si>
    <t>הגדה של פסח עם פירוש שמחת יום טוב</t>
  </si>
  <si>
    <t>כהן, שאול נחום</t>
  </si>
  <si>
    <t>הגדה של פסח עם פירושי אבני נזר</t>
  </si>
  <si>
    <t>הגדה של פסח עם פירושי הראשונים</t>
  </si>
  <si>
    <t>וקסלשטיין, אהרן</t>
  </si>
  <si>
    <t>הגדה של פסח עם פירושי ר"י גקטליא היעב"ץ והגר"א</t>
  </si>
  <si>
    <t>ר' יוסף גקטליא והגר"א</t>
  </si>
  <si>
    <t>תקס"ז תק"ץ לערך</t>
  </si>
  <si>
    <t>סדליקוב</t>
  </si>
  <si>
    <t>הגדה של פסח עם פירושי ר"י גקטליא והגר"א</t>
  </si>
  <si>
    <t>הגדה של פסח עם פירושים מגאוני וילנא</t>
  </si>
  <si>
    <t>פירושים מרבני גאוני ק"ק ווילנא</t>
  </si>
  <si>
    <t>הגדה של פסח עם פסקי משנ"ב ובאורים</t>
  </si>
  <si>
    <t>הגדה של פסח עם קיצור דיני פסח</t>
  </si>
  <si>
    <t>חלופסקי, יעקב בן יצחק נתן</t>
  </si>
  <si>
    <t>הגדה של פסח עם שיטה מקובצת</t>
  </si>
  <si>
    <t>שיטה מקובצת</t>
  </si>
  <si>
    <t>הגדה של פסח עם תהלה לדוד</t>
  </si>
  <si>
    <t>הגדה של פסח עם תמונות וסיפורים חסידיים מהבעש"ט ותלמידיו זי"ע</t>
  </si>
  <si>
    <t>רוטר, יעקב חיים בן יחזקאל</t>
  </si>
  <si>
    <t>הגדה של פסח עם תרגום אידיש ולקט מדרשי חז"ל</t>
  </si>
  <si>
    <t>שוורץ, אשר לעמל</t>
  </si>
  <si>
    <t>הגדה של פסח עם תרגום אנגלי</t>
  </si>
  <si>
    <t>פארסט, אשר</t>
  </si>
  <si>
    <t>הגדה של פסח פסח דורות</t>
  </si>
  <si>
    <t>אלאחדב, יצחק בן שלמה</t>
  </si>
  <si>
    <t>הגדה של פסח פרעשבורג</t>
  </si>
  <si>
    <t>ראשי ישיבת פרעשבורג</t>
  </si>
  <si>
    <t>הגדה של פסח פרפראות</t>
  </si>
  <si>
    <t>הגדה של פסח קעלם</t>
  </si>
  <si>
    <t>רבותינו שבקעלם</t>
  </si>
  <si>
    <t>הגדה של פסח רבת פנינים</t>
  </si>
  <si>
    <t>אוצר מפרשים על ההגדה</t>
  </si>
  <si>
    <t>הגדה של פסח רנת יצחק</t>
  </si>
  <si>
    <t>הגדה של פסח שי לתורה - בריסק</t>
  </si>
  <si>
    <t>מלר, שמעון יוסף בן אלימלך</t>
  </si>
  <si>
    <t>הגדה של פסח שיר מזמור לתודה</t>
  </si>
  <si>
    <t>הגדה של פסח שפת אמת ותפארת שלמה</t>
  </si>
  <si>
    <t>אלטר, אברהם יהודה ליב בן אברהם מרדכי - שלמה הכהן מראדומסק</t>
  </si>
  <si>
    <t>הגדה של פסח תפארת שמשון</t>
  </si>
  <si>
    <t>פינקוס, שמשון דוד</t>
  </si>
  <si>
    <t>הגדה של פסח - והגדת לבנך</t>
  </si>
  <si>
    <t>אדלר, אלי</t>
  </si>
  <si>
    <t>קרית ארבע</t>
  </si>
  <si>
    <t>הגדה של פסח - מאמר רפאל</t>
  </si>
  <si>
    <t>אזואלוס, רפאל בן שמואל</t>
  </si>
  <si>
    <t>הגדה של פסח - ע"פ האלשיך הקדוש</t>
  </si>
  <si>
    <t>אלשיך, משה בן חיים - אוחיון, מרדכי שמעון בן דוד</t>
  </si>
  <si>
    <t>הגדה של פסח - שבילי ההגדה</t>
  </si>
  <si>
    <t>ארגון "שבילים"</t>
  </si>
  <si>
    <t>בונדי, דוד טעבעלה בן משה יונה</t>
  </si>
  <si>
    <t>הגדה של פסח - ברכת משה</t>
  </si>
  <si>
    <t>בידרמן, משה מרדכי בן שמעון נתן נטע (מלעלוב) - קרקובסקי, שמחה מנחם</t>
  </si>
  <si>
    <t>הגדה של פסח - מגיד לאדם</t>
  </si>
  <si>
    <t>בן נאיים, יוסף בן יצחק</t>
  </si>
  <si>
    <t>הגדה של פסח - משאת המלך</t>
  </si>
  <si>
    <t>הגדה של פסח. ת"ש. כזבלנכה</t>
  </si>
  <si>
    <t>Casablanca כזבלנכה</t>
  </si>
  <si>
    <t>הגדה של פסח - עם ההלכות באידיש</t>
  </si>
  <si>
    <t>הגדה של פסח. תקכ"ה. אמשטרדם</t>
  </si>
  <si>
    <t>הגדה של פסח. תקכ"ה. מץ</t>
  </si>
  <si>
    <t>הגדה של פסח - מתורגמת ללשון אנגליה</t>
  </si>
  <si>
    <t>הגדה של פסח. תקצ"ג. לונדון</t>
  </si>
  <si>
    <t>הגדה של פסח - מתורגמת ללאדינו</t>
  </si>
  <si>
    <t>הגדה של פסח. תקצ"ט. ליוורנו</t>
  </si>
  <si>
    <t>הגדה של פסח. תר"ג. ליוורנו</t>
  </si>
  <si>
    <t>הגדה של פסח. תרפ"ב. קהיר</t>
  </si>
  <si>
    <t>הגדה של פסח. תרפ"ד. ברלין</t>
  </si>
  <si>
    <t>הגדה של פסח. תרצ"ה. בומבי</t>
  </si>
  <si>
    <t>Bombay בומבי</t>
  </si>
  <si>
    <t>הגדה של פסח - הגדת סופרים</t>
  </si>
  <si>
    <t>החת"ם סופר וצאצאיו</t>
  </si>
  <si>
    <t>הגדה של פסח - אריה שאג</t>
  </si>
  <si>
    <t>הגדה של פסח - רגלי מבשר</t>
  </si>
  <si>
    <t>הרשטיק, אליעזר זעירא בן מנחם שמואל</t>
  </si>
  <si>
    <t>הגדה של פסח - אב אני</t>
  </si>
  <si>
    <t>ואקנין, שאול בן שלמה</t>
  </si>
  <si>
    <t>הגדה של פסח - מגיד כהלכה</t>
  </si>
  <si>
    <t>זנדר, משה פנחס בן מאיר נחום</t>
  </si>
  <si>
    <t>הגדה של פסח&lt;הגדה יפה&gt;</t>
  </si>
  <si>
    <t>חכמי משפחת יפה</t>
  </si>
  <si>
    <t>הגדה של פסח - קול מנחם</t>
  </si>
  <si>
    <t>טאוב, מנחם מנדל בן יצחק איזיק מקאליב</t>
  </si>
  <si>
    <t>הגדה של פסח - 2 כר'</t>
  </si>
  <si>
    <t>טולידאנו, חביב בן אליעזר - קדמונים</t>
  </si>
  <si>
    <t>הגדה של פסח - גבורות ה' &lt;מכון עליות אליהו&gt;</t>
  </si>
  <si>
    <t>הגדה של פסח - היושבת בגנים</t>
  </si>
  <si>
    <t>הגדה של פסח - למען תספר</t>
  </si>
  <si>
    <t>הגדה של פסח - בשבילי ההגדה</t>
  </si>
  <si>
    <t>הגדה של פסח - שפת הים</t>
  </si>
  <si>
    <t>מאימראן, יצחק גבריאל</t>
  </si>
  <si>
    <t>הגדה של פסח - והגדת</t>
  </si>
  <si>
    <t>הגדה של פסח - שער בנימין</t>
  </si>
  <si>
    <t>מכון שער בנימין</t>
  </si>
  <si>
    <t>הגדה של פסח - בית צדיקים</t>
  </si>
  <si>
    <t>הגדה של פסח - ויצבור יוסף</t>
  </si>
  <si>
    <t>הגדה של פסח - &lt;ליל התקדש חג&gt;</t>
  </si>
  <si>
    <t>סופר, אברהם שמואל בנימין</t>
  </si>
  <si>
    <t>עובד, אפרים בן יוסף</t>
  </si>
  <si>
    <t>הגדה של פסח - מדרש בחידוש &lt;מהדורה חדשה&gt;</t>
  </si>
  <si>
    <t>הגדה של פסח - מעשה ברבי אלעזר</t>
  </si>
  <si>
    <t>הגדה של פסח - שבלי הלקט</t>
  </si>
  <si>
    <t>צדקיה בן אברהם הרופא</t>
  </si>
  <si>
    <t>הגדה של פסח-  &lt;פוניבז'&gt; -א</t>
  </si>
  <si>
    <t>הגדה של פסח - כנסת ישראל סלבודקה, חברון</t>
  </si>
  <si>
    <t>רבני ישיבת כנסת ישראל חברון</t>
  </si>
  <si>
    <t>הגדה של פסח - וטהר לבנו</t>
  </si>
  <si>
    <t>ריינר, יוחנן</t>
  </si>
  <si>
    <t>הגדה שלמה</t>
  </si>
  <si>
    <t>הגדול בדורו</t>
  </si>
  <si>
    <t>הגדול ממינסק</t>
  </si>
  <si>
    <t>היילפרין, מאיר</t>
  </si>
  <si>
    <t>הגדולה והגאולה</t>
  </si>
  <si>
    <t>הגדות התלמוד</t>
  </si>
  <si>
    <t>רע"א</t>
  </si>
  <si>
    <t>הגדות של פסח &lt;ההגדה הראשונה שנדפסה&gt;</t>
  </si>
  <si>
    <t>הגדה של פסח. ר"ם. ואדי אלחגארה</t>
  </si>
  <si>
    <t>ר"מ</t>
  </si>
  <si>
    <t>ואדי אלחגארה Guadal</t>
  </si>
  <si>
    <t>הגדות של פסח &lt;ואדי אלחגארה&gt;</t>
  </si>
  <si>
    <t>הגדת אליהו</t>
  </si>
  <si>
    <t>צוברי, אליהו</t>
  </si>
  <si>
    <t>הגדת הגאונים והרמב"ם</t>
  </si>
  <si>
    <t>כהן, יקותיאל בן דב</t>
  </si>
  <si>
    <t>הגדת הישיבה</t>
  </si>
  <si>
    <t>הגדת המבאר</t>
  </si>
  <si>
    <t>הגדה של פסח. תרע"ד. פיטרקוב</t>
  </si>
  <si>
    <t>הגדת חכמי ירושלים</t>
  </si>
  <si>
    <t>רוזנטל, שבתי דוב (עורך)</t>
  </si>
  <si>
    <t>הגדת חכמי צפת הקדמונים - שיר השירים ע"פ מהר"ש אוזידא</t>
  </si>
  <si>
    <t>חכמי צפת - אוזידא שמואל</t>
  </si>
  <si>
    <t>הגדת לחם עני לליל פסח</t>
  </si>
  <si>
    <t>הגדת מהר"ז</t>
  </si>
  <si>
    <t>בארער, זלמן (מפרש)</t>
  </si>
  <si>
    <t>הגדת מרדכי - בית ישראל</t>
  </si>
  <si>
    <t>הגדת מרן החיד"א</t>
  </si>
  <si>
    <t>הגדת פראג (רפ"ז) &lt;מהדורת פרדס&gt;</t>
  </si>
  <si>
    <t>הגדת פראג</t>
  </si>
  <si>
    <t>גולדברג, יהושע יוסף בן חיים ישראל</t>
  </si>
  <si>
    <t>הגדת רב סבא</t>
  </si>
  <si>
    <t>בריזמן, אלטר יעקב מאיר בן דב אהרן</t>
  </si>
  <si>
    <t>הגדת רבי אליעזר אשכנזי</t>
  </si>
  <si>
    <t>הגדת רש"י - 2 כר'</t>
  </si>
  <si>
    <t>בן שם, מאיר דוד</t>
  </si>
  <si>
    <t>הגדת שבלי הלקט</t>
  </si>
  <si>
    <t>הגדת שמואל</t>
  </si>
  <si>
    <t>רולניק, שמואל אליעזר בן צבי הירש</t>
  </si>
  <si>
    <t>הגדתי היום</t>
  </si>
  <si>
    <t>הגה אריה</t>
  </si>
  <si>
    <t>הגהות אליעזר</t>
  </si>
  <si>
    <t>ארלוזורוב, אליעזר בן שאול</t>
  </si>
  <si>
    <t>הגהות הב"ח</t>
  </si>
  <si>
    <t>הגהות הגר"א &lt;אור אליהו&gt; - 3 כר'</t>
  </si>
  <si>
    <t>אליהו בן שלמה זלמן (הגר"א) - שלמוני, אוריאל</t>
  </si>
  <si>
    <t>הגהות הירושלמי</t>
  </si>
  <si>
    <t>הגהות הרמ"ך</t>
  </si>
  <si>
    <t>משה הכהן מלוניל</t>
  </si>
  <si>
    <t>הגהות וביאורים לסידור הרש"ש</t>
  </si>
  <si>
    <t>הורוויץ, שמעון צבי בן מאיר ליב</t>
  </si>
  <si>
    <t>הגהות וביאורים על פרקי דרבי אליעזר למהרז"ו</t>
  </si>
  <si>
    <t>איינהורן, זאב וואלף בן ישראל איסר</t>
  </si>
  <si>
    <t>הגהות והערות</t>
  </si>
  <si>
    <t>שניאורסון, שניאור זלמן בן נחום יוסף</t>
  </si>
  <si>
    <t>הגהות וחידושים בן אריה - שו"ע</t>
  </si>
  <si>
    <t>וואלף, זאב בן אריה</t>
  </si>
  <si>
    <t>הגהות וחידושים מבעל המחבר טורי זהב</t>
  </si>
  <si>
    <t>הלה Halle</t>
  </si>
  <si>
    <t>הגהות ותיקונים לקונטרס עגונות</t>
  </si>
  <si>
    <t>שליטא, משה</t>
  </si>
  <si>
    <t>הגהות חתם סופר</t>
  </si>
  <si>
    <t>הגהות ירושלמי</t>
  </si>
  <si>
    <t>הגהות כבוד מלכים &lt;לרמב"ם הל' מלכים&gt;</t>
  </si>
  <si>
    <t>לייטר, זאב וולף בן נתן נטע &lt;מתוך רמב"ם מה' שלזינגר&gt;</t>
  </si>
  <si>
    <t>הגהות לספר נחל אשכול</t>
  </si>
  <si>
    <t>אויערבך, צבי בנימין - אויערבך, אביעזרי בן צבי בנימין</t>
  </si>
  <si>
    <t>הגהות מהגאון ר' חיים צאנזר</t>
  </si>
  <si>
    <t>חיים בן מנחם מצאנז</t>
  </si>
  <si>
    <t>הגהות מהרצ"א השלם - הצבי והצדק</t>
  </si>
  <si>
    <t>הגהות מהרצ"א</t>
  </si>
  <si>
    <t>הגהות מהרש"ם</t>
  </si>
  <si>
    <t>הגהות מוהר"י קרט</t>
  </si>
  <si>
    <t>קרט, ישראל</t>
  </si>
  <si>
    <t>הגהות מיימוניות</t>
  </si>
  <si>
    <t>וולש, יהודה</t>
  </si>
  <si>
    <t>הגהות מימוני</t>
  </si>
  <si>
    <t>מימון, עוזי בן מנחם</t>
  </si>
  <si>
    <t>הגהות על משנה תורה</t>
  </si>
  <si>
    <t>דינר, יוסף צבי בן אליעזר הלוי</t>
  </si>
  <si>
    <t>הגהות על משניות</t>
  </si>
  <si>
    <t>במברגר, יצחק דב בן שמחה הלוי</t>
  </si>
  <si>
    <t>הגהות על עץ חיים ומ"ש - מהרמ"ז ומהרנ"ש</t>
  </si>
  <si>
    <t>הרמ"ז והרנ"ש</t>
  </si>
  <si>
    <t>הגהות על ש"ע הרב הלכות פסח</t>
  </si>
  <si>
    <t>הגהות על שו"ע אורח חיים</t>
  </si>
  <si>
    <t>הירשוביץ, שניאור זלמן</t>
  </si>
  <si>
    <t>הגהות רבינו בצלאל אשכנזי - 2 כר'</t>
  </si>
  <si>
    <t>הגהות רבינו עקיבא איגר על שלחן ערוך אורח חיים</t>
  </si>
  <si>
    <t>הגהות רבינו עקיבא איגר על שלחן ערוך חו"מ ואהע"ז</t>
  </si>
  <si>
    <t>טורון Torun</t>
  </si>
  <si>
    <t>הגהות רבינו עקיבא איגר - חו"מ</t>
  </si>
  <si>
    <t>הגהות שבסידורי פראג הראשונים</t>
  </si>
  <si>
    <t>סץ, יצחק עקיבא</t>
  </si>
  <si>
    <t>הגהות שי"ח השדה על ספר אוצר המדרשים</t>
  </si>
  <si>
    <t>הגהות - 6 כר'</t>
  </si>
  <si>
    <t>תרנ"ו - תרפ"ב</t>
  </si>
  <si>
    <t>פרנקפורט דמין</t>
  </si>
  <si>
    <t>נושאים שונים, תלמוד בבלי, תלמוד ירושלמי</t>
  </si>
  <si>
    <t>הגות בפרשיות התורה - 2 כר'</t>
  </si>
  <si>
    <t>נחשוני, יהודה בן חיים יהושע</t>
  </si>
  <si>
    <t>הגות לבי תבונות</t>
  </si>
  <si>
    <t>הגות לבי</t>
  </si>
  <si>
    <t>יאוורקובסקי, יצחק</t>
  </si>
  <si>
    <t>הגות- תשובה ושבים</t>
  </si>
  <si>
    <t>מאסף למחשבה יהודית</t>
  </si>
  <si>
    <t>הגט מתל אביב</t>
  </si>
  <si>
    <t>הורביץ, אברהם מרדכי הלוי</t>
  </si>
  <si>
    <t>הגיגי אשר</t>
  </si>
  <si>
    <t>הלכה ומנהג, משנה, נושאים שונים, תלמוד בבלי, תלמוד בבלי, תלמוד בבלי, תנ"ך</t>
  </si>
  <si>
    <t>הגיגים ועיונים</t>
  </si>
  <si>
    <t>חגיז, יוסף לוי בן יצחק</t>
  </si>
  <si>
    <t>הגיד לעמו - 2 כר'</t>
  </si>
  <si>
    <t>הגיד מרדכי</t>
  </si>
  <si>
    <t>אסיאו, מרדכי</t>
  </si>
  <si>
    <t>הכהן, מרדכי</t>
  </si>
  <si>
    <t>דרושים, מחשבה ומוסר, קבצים וכתבי עת, ספרי זכרון ויובל, שאלות ותשובות</t>
  </si>
  <si>
    <t>הגיון בסערת הימים - חייו ומשנתו של הרב יצחק אייזיק הלוי הרצוג</t>
  </si>
  <si>
    <t>מייזליש, שאול</t>
  </si>
  <si>
    <t>הגיון הגורל</t>
  </si>
  <si>
    <t>מרצבך, עלי</t>
  </si>
  <si>
    <t>הגיון הנפש</t>
  </si>
  <si>
    <t>אברהם בן חייא הנשיא</t>
  </si>
  <si>
    <t>הגיון התלמוד</t>
  </si>
  <si>
    <t>יפה, משולם זלמן בן אליהו יששכר בר</t>
  </si>
  <si>
    <t>תרצ"ב,</t>
  </si>
  <si>
    <t>קיידאן,</t>
  </si>
  <si>
    <t>הגיון וצחות</t>
  </si>
  <si>
    <t>אפשטיין, רפאל צבי בן מרדכי יוסף הלוי</t>
  </si>
  <si>
    <t>[תש"ג]</t>
  </si>
  <si>
    <t>אטאווא,</t>
  </si>
  <si>
    <t>הגיון יעקב</t>
  </si>
  <si>
    <t>הגיון יצחק</t>
  </si>
  <si>
    <t>פרידמאן, יצחק אייזיק בן יוסף</t>
  </si>
  <si>
    <t>הגיון ישעיה</t>
  </si>
  <si>
    <t>קרלינסקי, ישעיהו בן אברהם דוב</t>
  </si>
  <si>
    <t>הגיון לב - 2 כר'</t>
  </si>
  <si>
    <t>הגיון לב</t>
  </si>
  <si>
    <t>קישינוב Kishinev</t>
  </si>
  <si>
    <t>הגיון לב - אור המאיר</t>
  </si>
  <si>
    <t>שרפהרץ, יצחק - שרפהרץ, מאיר</t>
  </si>
  <si>
    <t>הגיון לבב</t>
  </si>
  <si>
    <t>בר חיים, נתן שמעון בן חיים</t>
  </si>
  <si>
    <t>הגיון לבבי</t>
  </si>
  <si>
    <t>האגר, משה בן יעקב שמשון מקאסוב</t>
  </si>
  <si>
    <t>הגיון לבי - מוקצה</t>
  </si>
  <si>
    <t>באש, לוי בן יונה</t>
  </si>
  <si>
    <t>הגיון לבי</t>
  </si>
  <si>
    <t>בוגץ', יהודה ליב בן יעקב</t>
  </si>
  <si>
    <t>הגיון לבי - 7 כר'</t>
  </si>
  <si>
    <t>הגיון לבי - 4 כר'</t>
  </si>
  <si>
    <t>ברנדסדורפר, יעקב</t>
  </si>
  <si>
    <t>לאנדא, יהושע ברוך בן בנימין זאב</t>
  </si>
  <si>
    <t>ניוארק Newark</t>
  </si>
  <si>
    <t>עמר, אברהם</t>
  </si>
  <si>
    <t>הגיון לבר-מצוה</t>
  </si>
  <si>
    <t>הגיון לדוד - ב</t>
  </si>
  <si>
    <t>מכון הרב דוד מילר</t>
  </si>
  <si>
    <t>הגיון משה</t>
  </si>
  <si>
    <t>רבינוביץ, משה יעקב</t>
  </si>
  <si>
    <t>הגיון שלמה</t>
  </si>
  <si>
    <t>באמברגר, שלמה בן יצחק דוב הלוי</t>
  </si>
  <si>
    <t>הגיונות אל עמי - ב (נח-ויחי)</t>
  </si>
  <si>
    <t>עמיאל, משה אביגדור בן יעקב יוסף</t>
  </si>
  <si>
    <t>תרצ"ג - תרצ"ו</t>
  </si>
  <si>
    <t>הגיונות דברי חכמים</t>
  </si>
  <si>
    <t>הגיונות הגר"י</t>
  </si>
  <si>
    <t>קאנטראוויץ, יעקב</t>
  </si>
  <si>
    <t>הגיונות הגרשוני</t>
  </si>
  <si>
    <t>כצמאן, גרשון בן יעקב יוסף הכהן</t>
  </si>
  <si>
    <t>הגיונות והשתפכות הנפש</t>
  </si>
  <si>
    <t>הגיונות יצחק</t>
  </si>
  <si>
    <t>הגיונות תורה</t>
  </si>
  <si>
    <t>וינרייך, מאיר שמעון הכהן</t>
  </si>
  <si>
    <t>מועדי ישראל, מחשבה ומוסר, נושאים שונים, תנ"ך</t>
  </si>
  <si>
    <t>הגיונות - א ב</t>
  </si>
  <si>
    <t>תשי"ג - תשי"ד</t>
  </si>
  <si>
    <t>הגיונות</t>
  </si>
  <si>
    <t>הגיוני א"ב - א</t>
  </si>
  <si>
    <t>גולדנסון, אברהם דוב בר בן מנחם מנדל</t>
  </si>
  <si>
    <t>הגיוני אבות - 2 כר'</t>
  </si>
  <si>
    <t>הגיוני אהרן</t>
  </si>
  <si>
    <t>וינר, אהרן בן נתנאל</t>
  </si>
  <si>
    <t>מועדי ישראל, משנה, תלמוד בבלי, תלמוד בבלי, תנ"ך, תנ"ך, תפלות בקשות פיוטים ושירה</t>
  </si>
  <si>
    <t>הגיוני הפרשה - 5 כר'</t>
  </si>
  <si>
    <t>הגיוני ושרעפי - א</t>
  </si>
  <si>
    <t>דאכוביץ, צבי הירש בן שלמה זלמן</t>
  </si>
  <si>
    <t>הגיוני יהודי - 5 כר'</t>
  </si>
  <si>
    <t>אלטוסקי, יהודה בן חיים דוב</t>
  </si>
  <si>
    <t>תרצ"ה - תשי"ט</t>
  </si>
  <si>
    <t>הגיוני יצחק</t>
  </si>
  <si>
    <t>גרינבלאט, יצחק</t>
  </si>
  <si>
    <t>הגיוני ירוחם</t>
  </si>
  <si>
    <t>צכאנוביץ, ירוחם זאב בן יעקב שרגא</t>
  </si>
  <si>
    <t>הגיוני לב</t>
  </si>
  <si>
    <t>ראשגולין, זלמן דוב בן אברהם צבי</t>
  </si>
  <si>
    <t>הגיוני מוהרש"ה</t>
  </si>
  <si>
    <t>דרושים, משנה, משנה, תלמוד בבלי, תלמוד בבלי, תנ"ך</t>
  </si>
  <si>
    <t>הגיוני מוסר - 3 כר'</t>
  </si>
  <si>
    <t>הגיוני משה - 3 כר'</t>
  </si>
  <si>
    <t>בוצ'קו, משה בן ירחמיאל אליהו</t>
  </si>
  <si>
    <t>הגיוני עזיאל - 4 כר'</t>
  </si>
  <si>
    <t>הגיוני צבי</t>
  </si>
  <si>
    <t>הגיוני קדם</t>
  </si>
  <si>
    <t>בארי, ישראל בן שמואל זאב הלוי</t>
  </si>
  <si>
    <t>הגיוני שמואל</t>
  </si>
  <si>
    <t>מהרש"ק, שמואל דוב בן שמעון יצחק</t>
  </si>
  <si>
    <t>הגיוני תורה - 2 כר'</t>
  </si>
  <si>
    <t>נקש, משה</t>
  </si>
  <si>
    <t>הגיור האזרחי והצהל"י</t>
  </si>
  <si>
    <t>גיורי אמת</t>
  </si>
  <si>
    <t>הגיינת הגוף והנפש</t>
  </si>
  <si>
    <t>הגיע הזמן להתעורר</t>
  </si>
  <si>
    <t>שלום צור, יוסף</t>
  </si>
  <si>
    <t>הגיע זמן</t>
  </si>
  <si>
    <t>עבוד, ישראל אליהו בן מאיר</t>
  </si>
  <si>
    <t>הגישו עצמותיכם</t>
  </si>
  <si>
    <t>הגלות והפדות</t>
  </si>
  <si>
    <t>מאסאראן, אברהם בן יצחק</t>
  </si>
  <si>
    <t>שצ"ד</t>
  </si>
  <si>
    <t>הגם שאול א-ב</t>
  </si>
  <si>
    <t>אבן-דאנאן, שאול בן שלמה</t>
  </si>
  <si>
    <t>הגם שאול - 2 כר'</t>
  </si>
  <si>
    <t>הגניזה האיטלקית</t>
  </si>
  <si>
    <t>קובץ מחקרים</t>
  </si>
  <si>
    <t>הגניזה והגניזות</t>
  </si>
  <si>
    <t>הגעלת כלים והכשרת המטבח לפסח - שיעור כזית מצה</t>
  </si>
  <si>
    <t>בן מאיר, יהושע</t>
  </si>
  <si>
    <t>הגר"א מווילנא</t>
  </si>
  <si>
    <t>הגר"ח אליפנדרי &lt;אש דת&gt;</t>
  </si>
  <si>
    <t>אליפנדרי, חיים בן יצחק רפאל</t>
  </si>
  <si>
    <t>הגרים - 2 כר'</t>
  </si>
  <si>
    <t>הגשת המנחה</t>
  </si>
  <si>
    <t>הד אליהו - 12 כר'</t>
  </si>
  <si>
    <t>הד אם המושבות - א</t>
  </si>
  <si>
    <t>בטאון המועצה הדתית פתח תקוה</t>
  </si>
  <si>
    <t>הד הזמן</t>
  </si>
  <si>
    <t>גורדון, יעקב דוב בן אליהו</t>
  </si>
  <si>
    <t>הד החיים הישראליים</t>
  </si>
  <si>
    <t>(תרע"ב</t>
  </si>
  <si>
    <t>הד המזרח - 72 כר'</t>
  </si>
  <si>
    <t>אלמליח, אברהם ועוד</t>
  </si>
  <si>
    <t>הד משה</t>
  </si>
  <si>
    <t>תרפ"ג - תרפ"ד</t>
  </si>
  <si>
    <t>הד צבי - 4 כר'</t>
  </si>
  <si>
    <t>שכטר, צבי בן חיים מרדכי</t>
  </si>
  <si>
    <t>הדביר</t>
  </si>
  <si>
    <t>הדברה החמישית</t>
  </si>
  <si>
    <t>אברמוביץ, חיים יצחק</t>
  </si>
  <si>
    <t>הדברה העשירית - לא תחמוד, לא תתאווה</t>
  </si>
  <si>
    <t>ליטוואק, הלל דוד בן שלום</t>
  </si>
  <si>
    <t>הדוקומנטים</t>
  </si>
  <si>
    <t>גוטמאן, טוביה בן אלימלך</t>
  </si>
  <si>
    <t>הדור האחרון</t>
  </si>
  <si>
    <t>גולדברגר, אלטר משה מנחם</t>
  </si>
  <si>
    <t>הדור השביעי - מינצברג</t>
  </si>
  <si>
    <t>רוטנברג, הלל</t>
  </si>
  <si>
    <t>הדור קבלוה מאהבה</t>
  </si>
  <si>
    <t>הדור -משברים ותקומה</t>
  </si>
  <si>
    <t>בלייכר, משה</t>
  </si>
  <si>
    <t>חברון</t>
  </si>
  <si>
    <t>הדיבוק היה או לא היה</t>
  </si>
  <si>
    <t>הדיבוק מדימונה</t>
  </si>
  <si>
    <t>פישר, ישראל</t>
  </si>
  <si>
    <t>הדיואן המפורש</t>
  </si>
  <si>
    <t>הדילוגים והאור הגנוז</t>
  </si>
  <si>
    <t>מועדי ישראל, נושאים שונים, קבלה</t>
  </si>
  <si>
    <t>הדין ונימוקו</t>
  </si>
  <si>
    <t>הדלקת נר חנוכה לבחורי ישיבות</t>
  </si>
  <si>
    <t>הדלקת נר חנוכה</t>
  </si>
  <si>
    <t>וויס, יצחק יעקב בן יוסף יהודה</t>
  </si>
  <si>
    <t>הדלקת נרות חנוכה לבחורי ישיבות</t>
  </si>
  <si>
    <t>שילוני, מיכאל</t>
  </si>
  <si>
    <t>הדלקת נרות שבת</t>
  </si>
  <si>
    <t>שטראוס, שמואל</t>
  </si>
  <si>
    <t>הדם הקדוש</t>
  </si>
  <si>
    <t>גלאצר, דוב מרדכי בן דוד</t>
  </si>
  <si>
    <t>הדסה היא אסתר</t>
  </si>
  <si>
    <t>הדעה והבירור</t>
  </si>
  <si>
    <t>הדעה והדבור &lt;מהדורה חדשה&gt; - 3 כר'</t>
  </si>
  <si>
    <t>סורוצקין, זלמן בן בן-ציון</t>
  </si>
  <si>
    <t>הדעה והדבור</t>
  </si>
  <si>
    <t>הלוי, אברהם זאב בן גרשון יצחק</t>
  </si>
  <si>
    <t>הדעה והדבור - 3 כר'</t>
  </si>
  <si>
    <t>תש"ז - תשכ"ב</t>
  </si>
  <si>
    <t>רובין, שמואל בן עזריאל יחיאל</t>
  </si>
  <si>
    <t>הדעה והדיבור</t>
  </si>
  <si>
    <t>אדמו"ר מפוריסוב</t>
  </si>
  <si>
    <t>הדעה והדיבור - 381 כר'</t>
  </si>
  <si>
    <t>הדעות והמדות</t>
  </si>
  <si>
    <t>הדף היומי</t>
  </si>
  <si>
    <t>הדף היומי - 2 כר'</t>
  </si>
  <si>
    <t>תשעב</t>
  </si>
  <si>
    <t>הדפוס העברי בארצות  המזרח</t>
  </si>
  <si>
    <t>הדפוס העברי במאהלוב ע"נ דנייסטר</t>
  </si>
  <si>
    <t>הדפוס העברי בקושטא</t>
  </si>
  <si>
    <t>הדפוס העברי בשקלאוו</t>
  </si>
  <si>
    <t>הדפוס העברי הראשון בזיטאמיר</t>
  </si>
  <si>
    <t>הדפוס הראשון בירושלים</t>
  </si>
  <si>
    <t>הלוי, שושנה בת יעקב יהושע</t>
  </si>
  <si>
    <t>הדקדוק המקורי</t>
  </si>
  <si>
    <t>שכטר, יעקב מאיר בן ישראל</t>
  </si>
  <si>
    <t>הדקדוק קטן</t>
  </si>
  <si>
    <t>משה אריה בן זאב</t>
  </si>
  <si>
    <t>הדר דינא</t>
  </si>
  <si>
    <t>הדר הכרמל - 2 כר'</t>
  </si>
  <si>
    <t>לווין, שלמה לימא בן חיים נחמן יהודה</t>
  </si>
  <si>
    <t>תרס"ט - תרצ"ב</t>
  </si>
  <si>
    <t>הדר הכרמל - 5 כר'</t>
  </si>
  <si>
    <t>לרנר, מאיר בן מרדכי</t>
  </si>
  <si>
    <t>הדר המינים</t>
  </si>
  <si>
    <t>ירדני, משה</t>
  </si>
  <si>
    <t>הדר השלחן - 2 כר'</t>
  </si>
  <si>
    <t>סאמעט, פינחס בן בנימין</t>
  </si>
  <si>
    <t>הדר זקנים - 3 כר'</t>
  </si>
  <si>
    <t>הדר זקנים</t>
  </si>
  <si>
    <t>עבודי, יחיא משה בן יצחק</t>
  </si>
  <si>
    <t>נושאים שונים, שלחן ערוך ומפרשיו, תלמוד בבלי, תלמוד בבלי, תנ"ך</t>
  </si>
  <si>
    <t>הדר יוסף</t>
  </si>
  <si>
    <t>שיינין, יוסף בן מנחם</t>
  </si>
  <si>
    <t>הדר יעקב - 6 כר'</t>
  </si>
  <si>
    <t>הדר יצחק</t>
  </si>
  <si>
    <t>ווידלר, יצחק בן נתן נטע</t>
  </si>
  <si>
    <t>דרושים, נושאים שונים, תולדות עם ישראל</t>
  </si>
  <si>
    <t>הדר כבוד</t>
  </si>
  <si>
    <t>סופר, אברהם אליעזר</t>
  </si>
  <si>
    <t>הדר כבודו</t>
  </si>
  <si>
    <t>סאמט, פינחס בן בנימין</t>
  </si>
  <si>
    <t>הדר מזוזה</t>
  </si>
  <si>
    <t>טולידאנו, פנחס בן רפאל</t>
  </si>
  <si>
    <t>הדר מצוה</t>
  </si>
  <si>
    <t>צרכי, ניר בן אריה</t>
  </si>
  <si>
    <t>תשעו</t>
  </si>
  <si>
    <t>הדר עזר &lt;מהדורה חדשה&gt;</t>
  </si>
  <si>
    <t>שרים, יצחק בן יוסף</t>
  </si>
  <si>
    <t>הדר עזר</t>
  </si>
  <si>
    <t>הדר תפילין</t>
  </si>
  <si>
    <t>הדרה של תורה - 2 כר'</t>
  </si>
  <si>
    <t>קדוש, אילן</t>
  </si>
  <si>
    <t>הדרום - 68 כר'</t>
  </si>
  <si>
    <t>הסתדרות הרבנים דאמריקא</t>
  </si>
  <si>
    <t>הדרוש והנאום - 5 כר'</t>
  </si>
  <si>
    <t>אורנשטיין, אברהם</t>
  </si>
  <si>
    <t>הדריכני באמתך</t>
  </si>
  <si>
    <t>הדרך אל האושר</t>
  </si>
  <si>
    <t>פרצוביץ, שמעון מרדכי</t>
  </si>
  <si>
    <t>הדרך אל התכלית</t>
  </si>
  <si>
    <t>בצון, שלמה</t>
  </si>
  <si>
    <t>הדרך הנכונה בהוראת התנ"ך</t>
  </si>
  <si>
    <t>הדרך ילכו בה - 2 כר'</t>
  </si>
  <si>
    <t>הדרך לקידוש השם &lt;מהדורה שניה&gt;</t>
  </si>
  <si>
    <t>הדרך לקידוש השם</t>
  </si>
  <si>
    <t>הדרך לתשובה &lt;רמב"ם-הלכות תשובה&gt;</t>
  </si>
  <si>
    <t>הדרך נלך בה</t>
  </si>
  <si>
    <t>הדרך</t>
  </si>
  <si>
    <t>רוקח, מרדכי בן יששכר דוב</t>
  </si>
  <si>
    <t>הדרכה לבני תורה</t>
  </si>
  <si>
    <t>בן פורת, יוסף</t>
  </si>
  <si>
    <t>הדרכה להפרשת תרומות ומעשרות</t>
  </si>
  <si>
    <t>הדרכה ללמוד מוסר</t>
  </si>
  <si>
    <t>הדרכה למלמדים וחינוך הבנים</t>
  </si>
  <si>
    <t>הדרכה מעשית לתקיעת שופר</t>
  </si>
  <si>
    <t>הדרכה קצרצרה לבחורים</t>
  </si>
  <si>
    <t>קופרמן, אברהם</t>
  </si>
  <si>
    <t>הדרכות וצוואות שפתי צדיק</t>
  </si>
  <si>
    <t>יוסטמאן, פינחס מנחם אלעזר בן בנימין אליעזר</t>
  </si>
  <si>
    <t>הדרכות ישרות - ענינים</t>
  </si>
  <si>
    <t>טברסקי, דוד בן יעקב יוסף</t>
  </si>
  <si>
    <t>הדרן בענין דבר הבטל ע"י עצמו</t>
  </si>
  <si>
    <t>הדרן עלך בהלכה ובאגדה</t>
  </si>
  <si>
    <t>הדרן עלך</t>
  </si>
  <si>
    <t>ורנוב Vranov Nad Top</t>
  </si>
  <si>
    <t>הדרני אשר</t>
  </si>
  <si>
    <t>הדרנים לש"ס</t>
  </si>
  <si>
    <t>הדרש והמדרש</t>
  </si>
  <si>
    <t>פרנס, בצלאל</t>
  </si>
  <si>
    <t>הדרש והעיון - 6 כר'</t>
  </si>
  <si>
    <t>תרפ"ח - תרצ"ט</t>
  </si>
  <si>
    <t>הדרש והרעיון</t>
  </si>
  <si>
    <t>ברגמן, יששכר דוב בן שלמה</t>
  </si>
  <si>
    <t>הדרת אהרן</t>
  </si>
  <si>
    <t>קוטנא, אהרן בן יוסף</t>
  </si>
  <si>
    <t>הדרת אליהו</t>
  </si>
  <si>
    <t>הדרת אפרים - 2 כר'</t>
  </si>
  <si>
    <t>הדרת בנימין</t>
  </si>
  <si>
    <t>רומיגולסקי, בנימין אליהו</t>
  </si>
  <si>
    <t>הדרת הארץ</t>
  </si>
  <si>
    <t>הדרת המלך</t>
  </si>
  <si>
    <t>כהן, אליהו בן ראובן</t>
  </si>
  <si>
    <t>הדרת זקנים</t>
  </si>
  <si>
    <t>זוהר. אידרא. תרע"ג</t>
  </si>
  <si>
    <t>הדרת זקנים - 3 כר'</t>
  </si>
  <si>
    <t>יונגרייז, אשר אנשיל בן יצחק הלוי</t>
  </si>
  <si>
    <t>ספרים חיצוניים. תר"ם</t>
  </si>
  <si>
    <t>צבי הירש בן שמעון</t>
  </si>
  <si>
    <t>דוברובנה Dubrovno</t>
  </si>
  <si>
    <t>תיקונים. תרצ"ט. ליוורנו</t>
  </si>
  <si>
    <t>הדרת חולין</t>
  </si>
  <si>
    <t>חבורת פלפול חברים</t>
  </si>
  <si>
    <t>הדרת חיים &lt;צרור החיים&gt;</t>
  </si>
  <si>
    <t>ווילשטיין, חיים בן זלמן</t>
  </si>
  <si>
    <t>הדרת חן</t>
  </si>
  <si>
    <t>הדרת יוסף צבי</t>
  </si>
  <si>
    <t>הדרת יוסף</t>
  </si>
  <si>
    <t>גפן, טוביה בן יוסף</t>
  </si>
  <si>
    <t>הדרת יוסף - נזיר</t>
  </si>
  <si>
    <t>מוריאל, יוסף בן אברהם</t>
  </si>
  <si>
    <t>קפלן, יוסף לייב</t>
  </si>
  <si>
    <t>משנה, שאר ספרי חז"ל, תלמוד בבלי, תלמוד בבלי, תלמוד בבלי</t>
  </si>
  <si>
    <t>הדרת ישראל - 3 כר'</t>
  </si>
  <si>
    <t>וייסמן, ישראל אריה בן זידא יוסף</t>
  </si>
  <si>
    <t>הדרת ישראל</t>
  </si>
  <si>
    <t>לנדא, ישראל פגעיאל בן מאיר הלוי (סגל)</t>
  </si>
  <si>
    <t>הדרת מלך - 2 כר'</t>
  </si>
  <si>
    <t>תקכ"ו - תקל"ג</t>
  </si>
  <si>
    <t>הדרת מלך</t>
  </si>
  <si>
    <t>הדרת מלך - א</t>
  </si>
  <si>
    <t>הדרת מלך - ראש השנה</t>
  </si>
  <si>
    <t>הדרת מרדכי - 2 כר'</t>
  </si>
  <si>
    <t>ווייצל, מרדכי בן אברהם מנחם</t>
  </si>
  <si>
    <t>הדרת מרדכי</t>
  </si>
  <si>
    <t>הדרת מרדכי - א</t>
  </si>
  <si>
    <t>קופלוביץ, מרדכי בן יואל</t>
  </si>
  <si>
    <t>הדרת פנחס</t>
  </si>
  <si>
    <t>וינברג, דב משה בן חיים מאיר</t>
  </si>
  <si>
    <t>הדרת פני מלך</t>
  </si>
  <si>
    <t>לונדריש</t>
  </si>
  <si>
    <t>הדרת פנים זקן - 4 כר'</t>
  </si>
  <si>
    <t>ווניער, משה</t>
  </si>
  <si>
    <t>הדרת צבי</t>
  </si>
  <si>
    <t>אובצינסקי, לוי בן דובר יונה</t>
  </si>
  <si>
    <t>טורק, צבי הלוי</t>
  </si>
  <si>
    <t>הדרת קדש &lt;אדם שכלי&gt;</t>
  </si>
  <si>
    <t>מחשבה ומוסר, נושאים שונים, קבלה, תפלות בקשות פיוטים ושירה</t>
  </si>
  <si>
    <t>הדרת קדש - 5 כר'</t>
  </si>
  <si>
    <t>הדרת קדש</t>
  </si>
  <si>
    <t>הדרת קודש &lt;עם הערות הגרמ"א פריינד&gt;</t>
  </si>
  <si>
    <t>פריינד, אברהם יהושע בן משה אריה</t>
  </si>
  <si>
    <t>הדרת קודש</t>
  </si>
  <si>
    <t>גרודנצ'יק, קים קדש יהושע בן יחיאל יוסף</t>
  </si>
  <si>
    <t>Piotrkow פיוטרקוב</t>
  </si>
  <si>
    <t>היבנר, יחיאל מיכל בן ישראל משה</t>
  </si>
  <si>
    <t>הדרת קודש - 3 כר'</t>
  </si>
  <si>
    <t>לרנר, אליהו חיים בן צבי אלימלך הלוי</t>
  </si>
  <si>
    <t>סילמן, נחום (עורך)</t>
  </si>
  <si>
    <t>הדרת קודש - 2 כר'</t>
  </si>
  <si>
    <t>פרידמאן, אפרים בן אברהם</t>
  </si>
  <si>
    <t>תרצ"א הק'</t>
  </si>
  <si>
    <t>הלכה ומנהג, הלכה ומנהג, נושאים שונים, נושאים שונים, תפלות בקשות פיוטים ושירה</t>
  </si>
  <si>
    <t>הדת והחיים</t>
  </si>
  <si>
    <t>מושקין, אלעזר ראובן בן טוביה</t>
  </si>
  <si>
    <t>ההגדה המדוייקת איש מצליח</t>
  </si>
  <si>
    <t>הגדה של פסח. בני ברק. תשס"ג.</t>
  </si>
  <si>
    <t>ההגדה המצוירת - כתבי יד וספרי דפוס</t>
  </si>
  <si>
    <t>ההגדה לליל שמורים</t>
  </si>
  <si>
    <t>אדלמן, צבי הירש</t>
  </si>
  <si>
    <t>דנציג Danzig</t>
  </si>
  <si>
    <t>ההדרנים על הש"ס</t>
  </si>
  <si>
    <t>אושפיזאי, מנחם יהודה הלוי</t>
  </si>
  <si>
    <t>ההוד וההדר</t>
  </si>
  <si>
    <t>ההלכה במשפחה</t>
  </si>
  <si>
    <t>ההלכה שבפרשה</t>
  </si>
  <si>
    <t>שוורץ, אברהם יוסף</t>
  </si>
  <si>
    <t>ההלל בהקרבת קרבן פסח</t>
  </si>
  <si>
    <t>בריסק, הלל</t>
  </si>
  <si>
    <t>ההנהגה בעת הזאת ע"פ השקפת התורה</t>
  </si>
  <si>
    <t>ההנהגה בפירות שביעית</t>
  </si>
  <si>
    <t>רווח, גבריאל בן דוד</t>
  </si>
  <si>
    <t>ההפטרות של פרשת אחרי ופרשת קדושים - 2 כר'</t>
  </si>
  <si>
    <t>וינגרטן, שמואל הכהן</t>
  </si>
  <si>
    <t>ההקדמה והפתיחה</t>
  </si>
  <si>
    <t>קבלה, קבלה, תולדות עם ישראל</t>
  </si>
  <si>
    <t>ההקדמות</t>
  </si>
  <si>
    <t>אשלג, יהודה ליב בן שמחה הלוי</t>
  </si>
  <si>
    <t>ההר הטוב הזה - תולדות רבי שלמה מן ההר</t>
  </si>
  <si>
    <t>שטיינר, פועה בת שלמה</t>
  </si>
  <si>
    <t>ההשגחה - 8 כר'</t>
  </si>
  <si>
    <t>גליון בענייני השגחה וכשרות</t>
  </si>
  <si>
    <t>ההשגחה</t>
  </si>
  <si>
    <t>ההשקפה הנכונה</t>
  </si>
  <si>
    <t>ההתנהגות עם מי שאינם שומרי תורה</t>
  </si>
  <si>
    <t>ההתקפה</t>
  </si>
  <si>
    <t>עמיקם, ישראל בן חיים שלמה</t>
  </si>
  <si>
    <t>הוא היה אומר</t>
  </si>
  <si>
    <t>לזכר רבי שלום הלל שטרן</t>
  </si>
  <si>
    <t>הוא יגאל אותנו</t>
  </si>
  <si>
    <t>נמני, יגאל</t>
  </si>
  <si>
    <t>הוא תהלתך - אוצרות ההלל</t>
  </si>
  <si>
    <t>לנדאו, נחמן בן קלונימוס יצחק</t>
  </si>
  <si>
    <t>הואיל משה &lt;ספר בא גד&gt;</t>
  </si>
  <si>
    <t>אלפאלאס, משה</t>
  </si>
  <si>
    <t>הואיל משה החדש - איש נעמי</t>
  </si>
  <si>
    <t>תאומים, משה בן אפרים - אשכנזי, אלימלך</t>
  </si>
  <si>
    <t>דרושים, מועדי ישראל, משנה, נושאים שונים, תלמוד בבלי, תלמוד בבלי, תנ"ך</t>
  </si>
  <si>
    <t>הואיל משה - 2 כר'</t>
  </si>
  <si>
    <t>אשכנזי, משה יצחק בן שמואל</t>
  </si>
  <si>
    <t>תר"ל - תרנ"ב</t>
  </si>
  <si>
    <t>הואיל משה</t>
  </si>
  <si>
    <t>ויינברגר, משה בן ישכר בעריש</t>
  </si>
  <si>
    <t>הואיל משה - ד (במדבר)</t>
  </si>
  <si>
    <t>מאטצען, יצחק</t>
  </si>
  <si>
    <t>מת, משה בן אברהם</t>
  </si>
  <si>
    <t>הואיל משה - א</t>
  </si>
  <si>
    <t>קופל, אליהו משה הלוי</t>
  </si>
  <si>
    <t>הוגי שעשועות - 3 כר'</t>
  </si>
  <si>
    <t>אדלער, יוסף משה בן אריה אברהם</t>
  </si>
  <si>
    <t>הוד וגבורה - רבי יצחק שמואל פינקלר מראדושיץ</t>
  </si>
  <si>
    <t>גרנטשטין, יחיאל</t>
  </si>
  <si>
    <t>הוד והדר לבשת</t>
  </si>
  <si>
    <t>ארלנגר, חזקיהו אלכסנדר סנדר יצחק</t>
  </si>
  <si>
    <t>הוד והדר - גליציה המזרחית</t>
  </si>
  <si>
    <t>וונדר, מאיר - לוקין, בנימין - חיימוביץ, ברוך</t>
  </si>
  <si>
    <t>הוד והדר - 5 כר'</t>
  </si>
  <si>
    <t>הוד והדר</t>
  </si>
  <si>
    <t>שולמאן, חיים בן  שמריהו</t>
  </si>
  <si>
    <t>הוד יוסף [שלוש]</t>
  </si>
  <si>
    <t>הוד יוסף</t>
  </si>
  <si>
    <t>ארוואץ, יוסף בן משה</t>
  </si>
  <si>
    <t>הוד מלכות - 2 כר'</t>
  </si>
  <si>
    <t>וייס, חיים בן רפאל שלום</t>
  </si>
  <si>
    <t>הוד צבי</t>
  </si>
  <si>
    <t>אדלשטיין, צבי יהודה בן ירחמיאל גרשון</t>
  </si>
  <si>
    <t>הוד קדומים &lt;הגה"ק מנאראל זצוק"ל&gt;</t>
  </si>
  <si>
    <t>מוסדות נאראל בארה"ק</t>
  </si>
  <si>
    <t>חסידות, קבצים וכתבי עת, ספרי זכרון ויובל, תולדות עם ישראל</t>
  </si>
  <si>
    <t>הוד רפאל</t>
  </si>
  <si>
    <t>ביטון רפאל (אודותיו)</t>
  </si>
  <si>
    <t>הוד שבקדושה</t>
  </si>
  <si>
    <t>הוד שמואל</t>
  </si>
  <si>
    <t>קליינמן, שמואל זאב</t>
  </si>
  <si>
    <t>הוד תהלה</t>
  </si>
  <si>
    <t>חרל"פ, אפרים אליעזר צבי הירש בן זאב</t>
  </si>
  <si>
    <t>הודאה לבורא עולם</t>
  </si>
  <si>
    <t>הודאת בעל דין</t>
  </si>
  <si>
    <t>דוד נשיא</t>
  </si>
  <si>
    <t>הודאת הארץ</t>
  </si>
  <si>
    <t>הודאת על הנסים ופיוטי חנוכה</t>
  </si>
  <si>
    <t>הרט, משולם בן נתן נטע - קנייבסקי, שמריהו יוסף חיים בן יעקב ישראל</t>
  </si>
  <si>
    <t>הודאת צבי - בבא קמא, גיטין</t>
  </si>
  <si>
    <t>אדלשטיין, צבי יהודה בן יעקב</t>
  </si>
  <si>
    <t>הוורט שבפרשה</t>
  </si>
  <si>
    <t>הוי אריאל אריאל</t>
  </si>
  <si>
    <t>הוי אריאל</t>
  </si>
  <si>
    <t>הוי שודד</t>
  </si>
  <si>
    <t>נאווי דוואהר,</t>
  </si>
  <si>
    <t>הוי שקוד ללמוד תורה</t>
  </si>
  <si>
    <t>הויות דאביי</t>
  </si>
  <si>
    <t>שפירא, יוסף בן יצחק אלעזר</t>
  </si>
  <si>
    <t>הויכוח</t>
  </si>
  <si>
    <t>ארלנגר, גד</t>
  </si>
  <si>
    <t>הוכח תוכיח</t>
  </si>
  <si>
    <t>הוכשר הזבח</t>
  </si>
  <si>
    <t>מאיר צבי בן יעקב יצחק</t>
  </si>
  <si>
    <t>הולך בדרך תמים</t>
  </si>
  <si>
    <t>יפה, משה בן יששכר</t>
  </si>
  <si>
    <t>ת"ם</t>
  </si>
  <si>
    <t>הולך תמים ופועל צדק - 2 כר'</t>
  </si>
  <si>
    <t>דיין, אברהם בן ישעיה</t>
  </si>
  <si>
    <t>הולך תמים</t>
  </si>
  <si>
    <t>חיות, אברהם בן יצחק</t>
  </si>
  <si>
    <t>הולכי נתיבות - 2 כר'</t>
  </si>
  <si>
    <t>עובדיה, יצחק</t>
  </si>
  <si>
    <t>הון יקר</t>
  </si>
  <si>
    <t>הון עשיר &lt;מהדורה חדשה&gt; - 2 כר'</t>
  </si>
  <si>
    <t>הון עשיר - 2 כר'</t>
  </si>
  <si>
    <t>הון רב - 2 כר'</t>
  </si>
  <si>
    <t>נחמיאש, רפאל אלעזר</t>
  </si>
  <si>
    <t>תקל"ז - תקמ"ד</t>
  </si>
  <si>
    <t>הונדערט מעשיות און משלים פון חפץ חיים</t>
  </si>
  <si>
    <t>גריינימן, שמואל</t>
  </si>
  <si>
    <t>הוספות ותקונים לספר ראבי"ה</t>
  </si>
  <si>
    <t>אליעזר בן יואל הלוי (ראבי"ה)</t>
  </si>
  <si>
    <t>הוספות למשנה תורה להרמב"ם - 2 כר'</t>
  </si>
  <si>
    <t>הוספות ליד החזקה</t>
  </si>
  <si>
    <t>הוספות לספרי</t>
  </si>
  <si>
    <t>הוספות לפירוש העמק דבר והרחב דבר</t>
  </si>
  <si>
    <t>הוספות לקונטרס התשובות</t>
  </si>
  <si>
    <t>פריהאף, זלמן</t>
  </si>
  <si>
    <t>הועד - א</t>
  </si>
  <si>
    <t>מאסף שו"ת</t>
  </si>
  <si>
    <t>פיוטרקוב Piotrkov</t>
  </si>
  <si>
    <t>הוצאה זוטא</t>
  </si>
  <si>
    <t>בן פורת, אליעזר בן משה</t>
  </si>
  <si>
    <t>הוצאות משפט</t>
  </si>
  <si>
    <t>סלומון, ישי בן יוחנן דוד</t>
  </si>
  <si>
    <t>הוצאות שבת</t>
  </si>
  <si>
    <t>הוצאת בין דין צדק לונדון והמדינה - כ</t>
  </si>
  <si>
    <t>גרוסנס, אריה ליב</t>
  </si>
  <si>
    <t>הוצאת בית דין צדק לונדון והמדינה - 3 כר'</t>
  </si>
  <si>
    <t>הוצאת בית דין צדק לונדון והמדינה - 4 כר'</t>
  </si>
  <si>
    <t>הוצאת יסודי התורה</t>
  </si>
  <si>
    <t>הוצאת ספרים ציון - רשימת ספרים במדעי היהדות</t>
  </si>
  <si>
    <t>הוצאת ספרים ציון</t>
  </si>
  <si>
    <t>הוצק חן</t>
  </si>
  <si>
    <t>הוראה ברורה &lt;יורה דעה&gt; - 2 כר'</t>
  </si>
  <si>
    <t>מכון הרב מצליח</t>
  </si>
  <si>
    <t>הוראה דבית דין &lt;מהדורה חדשה&gt;</t>
  </si>
  <si>
    <t>פארדו, משה בן רפאל</t>
  </si>
  <si>
    <t>הוראה דבית דין</t>
  </si>
  <si>
    <t>הוראה כהלכתה</t>
  </si>
  <si>
    <t>הוראות ומנהגים - פסח</t>
  </si>
  <si>
    <t>קורח, שלמה עמרם</t>
  </si>
  <si>
    <t>הוראות שעה</t>
  </si>
  <si>
    <t>הוראת אוריאל</t>
  </si>
  <si>
    <t>אברהמיאן, אוריאל</t>
  </si>
  <si>
    <t>הוראת התורה</t>
  </si>
  <si>
    <t>עציון, יצחק רפאל בן שרגא פייבל הלוי</t>
  </si>
  <si>
    <t>הוראת זקן</t>
  </si>
  <si>
    <t>הוראת שעה &lt;מהדורת עלי עין&gt;</t>
  </si>
  <si>
    <t>הכהן, שלמה בן יהודה</t>
  </si>
  <si>
    <t>הוראת שעה</t>
  </si>
  <si>
    <t>בר שלום, עזרא</t>
  </si>
  <si>
    <t>גווירץ, שמואל בן משה</t>
  </si>
  <si>
    <t>כהן, שלמה בן יהודה</t>
  </si>
  <si>
    <t>הוראת שעה - 3 כר'</t>
  </si>
  <si>
    <t>שלמה בן שמואל מגרידץ</t>
  </si>
  <si>
    <t>הורדוס וביתו</t>
  </si>
  <si>
    <t>יוסף בן מתתיהו הכהן</t>
  </si>
  <si>
    <t>הורה גבר &lt;מהדורה חדשה&gt;</t>
  </si>
  <si>
    <t>רנשבורג, בצלאל בן יואל</t>
  </si>
  <si>
    <t>הורה גבר</t>
  </si>
  <si>
    <t>הורים כהלכה</t>
  </si>
  <si>
    <t>לוי, מרים</t>
  </si>
  <si>
    <t>הושיע ציון</t>
  </si>
  <si>
    <t>קואינקה, בן-ציון שמואל וידאל רפאל בן אברהם</t>
  </si>
  <si>
    <t>הושענות המבואר &lt;נוסח עדן&gt;</t>
  </si>
  <si>
    <t>מכון מורשת עדן</t>
  </si>
  <si>
    <t>מועדי ישראל, נושאים שונים, תפלות בקשות פיוטים ושירה</t>
  </si>
  <si>
    <t>הושענות לסכות עם פירוש</t>
  </si>
  <si>
    <t>דוראן, שמעון בן צמח - אלחכים, יצחק בן שמואל</t>
  </si>
  <si>
    <t>הזדמנות לברכת השבת ובנים גדולי ישראל</t>
  </si>
  <si>
    <t>הזהר בנגלה</t>
  </si>
  <si>
    <t>טיברג, משה חיים</t>
  </si>
  <si>
    <t>הזהר הקדוש עם תרגום לה"ק - 14 כר'</t>
  </si>
  <si>
    <t>זהר.</t>
  </si>
  <si>
    <t>הזוהר של הצדיק</t>
  </si>
  <si>
    <t>הורביץ, יוסף שלמה (אודותיו)</t>
  </si>
  <si>
    <t>הזיו לך</t>
  </si>
  <si>
    <t>הזיידע - רבי אפרים שמואל פפרמן</t>
  </si>
  <si>
    <t>לרנר, שפרה</t>
  </si>
  <si>
    <t>הזמן והעת</t>
  </si>
  <si>
    <t>הזמנים בהלכה - 2 כר'</t>
  </si>
  <si>
    <t>הזמנים להלכה ולמעשה</t>
  </si>
  <si>
    <t>שפירא, אברהם ישעיה בן חיים ישראל</t>
  </si>
  <si>
    <t>הזמנים</t>
  </si>
  <si>
    <t>הזקנה ביהדות - א</t>
  </si>
  <si>
    <t>נושאים שונים, נושאים שונים, קבצים וכתבי עת, ספרי זכרון ויובל</t>
  </si>
  <si>
    <t>הזריחה בפאתי קדם - 3 כר'</t>
  </si>
  <si>
    <t>מרכז פראגר</t>
  </si>
  <si>
    <t>החבור הגדול מההלכות הנהוגות  &lt;הלכות רב אלפס&gt; - ב</t>
  </si>
  <si>
    <t>רס"ט</t>
  </si>
  <si>
    <t>החבור הגדול מההלכות הנהוגות  &lt;רי"ף קושטא&gt; - 4 כר'</t>
  </si>
  <si>
    <t>החבור הגדול מההלכות הנהוגות &lt;הלכות רב אלפס&gt; - 5 כר'</t>
  </si>
  <si>
    <t>החבר התורתי - א</t>
  </si>
  <si>
    <t>החברה והשפעתה</t>
  </si>
  <si>
    <t>בהר"ן, אברהם  בן נחום</t>
  </si>
  <si>
    <t>החברותא</t>
  </si>
  <si>
    <t>ליזמי, משה</t>
  </si>
  <si>
    <t>החדש אשר נהפך</t>
  </si>
  <si>
    <t>החובב הבונה מר משה קנטרוביץ</t>
  </si>
  <si>
    <t>החובות של רבינו הגר"ח קנייבסקי</t>
  </si>
  <si>
    <t>החודש אשר בו ישועות מקיפות</t>
  </si>
  <si>
    <t>החודש השביעי</t>
  </si>
  <si>
    <t>גוראריה, יצחק מאיר</t>
  </si>
  <si>
    <t>מועדי ישראל, ספריית חב"ד</t>
  </si>
  <si>
    <t>החוזה מלובלין</t>
  </si>
  <si>
    <t>החוזרים בתשובה</t>
  </si>
  <si>
    <t>החוט המשולש</t>
  </si>
  <si>
    <t>החוט המשולש - 7 כר'</t>
  </si>
  <si>
    <t>רבפוגל, משה מאיר</t>
  </si>
  <si>
    <t>החולה הסופני</t>
  </si>
  <si>
    <t>החולץ</t>
  </si>
  <si>
    <t>הארמלין, משה אריה ליב בן מאיר</t>
  </si>
  <si>
    <t>החומה ושעריה</t>
  </si>
  <si>
    <t>החומה - 17 כר'</t>
  </si>
  <si>
    <t>ילקוט מאמרים מאנשי נטורי קרתא</t>
  </si>
  <si>
    <t>תש"ד - תש"ט</t>
  </si>
  <si>
    <t>החומר ההיסטורי בשאלות ותשובות ר' ישראל ברונא</t>
  </si>
  <si>
    <t>החומש המדוייק &lt;ביאור איש מצליח&gt; - 5 כר'</t>
  </si>
  <si>
    <t>ישיבת כסא רחמים</t>
  </si>
  <si>
    <t>החומש המדוייק - 5 כר'</t>
  </si>
  <si>
    <t>החופה והנישואין - 2 כר'</t>
  </si>
  <si>
    <t>החושן והמשפט - 5 כר'</t>
  </si>
  <si>
    <t>החותמת והפתילים - ברכת אליהו</t>
  </si>
  <si>
    <t>שוקרון, יהודה (מיוחס לו)</t>
  </si>
  <si>
    <t>החזון איש בדורותיו</t>
  </si>
  <si>
    <t>החזיון והתיקון</t>
  </si>
  <si>
    <t>ברייש, מרדכי יעקב בן חיים</t>
  </si>
  <si>
    <t>החזק במוסר אל תרף</t>
  </si>
  <si>
    <t>החזק במוסר</t>
  </si>
  <si>
    <t>גולד, דורון</t>
  </si>
  <si>
    <t>מאיער, משה</t>
  </si>
  <si>
    <t>החזקת התורה</t>
  </si>
  <si>
    <t>דידובסקי, רפאל יעקב בן עקיבא</t>
  </si>
  <si>
    <t>החיד"א</t>
  </si>
  <si>
    <t>בניהו, מאיר בן יצחק ניסים</t>
  </si>
  <si>
    <t>החיים בהלכה</t>
  </si>
  <si>
    <t>החיים בימי רש"י</t>
  </si>
  <si>
    <t>החיים והמות</t>
  </si>
  <si>
    <t>דאנובסקי, יוסף בן אברהם אהרן</t>
  </si>
  <si>
    <t>החיים והשלום</t>
  </si>
  <si>
    <t>החיים והשלום - א</t>
  </si>
  <si>
    <t>הדאיה, שלום בן משה חיים</t>
  </si>
  <si>
    <t>תרפ"ו-תרצ"ז</t>
  </si>
  <si>
    <t>כסאר, חיים בן שמואל</t>
  </si>
  <si>
    <t>החיים כגשר</t>
  </si>
  <si>
    <t>טיקוצקי, חיים אייזיק בן אליהו</t>
  </si>
  <si>
    <t>החיים תפקיד</t>
  </si>
  <si>
    <t>החיים</t>
  </si>
  <si>
    <t>החיל והחסן</t>
  </si>
  <si>
    <t>החילוקים שבין אנשי מזרח ובני ארץ ישראל</t>
  </si>
  <si>
    <t>מרגליות, מרדכי</t>
  </si>
  <si>
    <t>החינוך באותיותיו - 2 כר'</t>
  </si>
  <si>
    <t>החינוך בישראל לפי המקורות</t>
  </si>
  <si>
    <t>החינוך החרדי - מורשת סיני בדורנו</t>
  </si>
  <si>
    <t>החינוך המיוחד בראי היהדות</t>
  </si>
  <si>
    <t>החינוך וההוראה</t>
  </si>
  <si>
    <t>שפייצקי יצחק בן ירוחם משה</t>
  </si>
  <si>
    <t>החינוך ציפור נפשינו</t>
  </si>
  <si>
    <t>אטינגר, דב</t>
  </si>
  <si>
    <t>החכם המופלא - 2 כר'</t>
  </si>
  <si>
    <t>אלפסי, יצחק</t>
  </si>
  <si>
    <t>החכם מלייפציג - ר"ש הלוי הורביץ</t>
  </si>
  <si>
    <t>שרשבסקי, עזרא</t>
  </si>
  <si>
    <t>החכמה מאי"ן</t>
  </si>
  <si>
    <t>ליפשיץ, יוסף בן מרדכי גימפל</t>
  </si>
  <si>
    <t>החלאקה</t>
  </si>
  <si>
    <t>עזרא, יגאל</t>
  </si>
  <si>
    <t>החלוץ מתימן</t>
  </si>
  <si>
    <t>מסורי, אליעזר בן סעדיה</t>
  </si>
  <si>
    <t>החנוך הישראלי</t>
  </si>
  <si>
    <t>טיקוצינסקי, שלמה חיים בן דוד הכהן</t>
  </si>
  <si>
    <t>החנוך לאור התקופה</t>
  </si>
  <si>
    <t>וולף, יוסף אברהם</t>
  </si>
  <si>
    <t>החסד והרחמים בגנזי המלך</t>
  </si>
  <si>
    <t>החסידות במשנת ראשונים</t>
  </si>
  <si>
    <t>אייזנשטיין, דוד</t>
  </si>
  <si>
    <t>החסידות ברומניה</t>
  </si>
  <si>
    <t>החסידות וארץ ישראל</t>
  </si>
  <si>
    <t>החסידות מדור לדור - 2 כר'</t>
  </si>
  <si>
    <t>החסידות</t>
  </si>
  <si>
    <t>מארכוס, אהרן בן מאיר</t>
  </si>
  <si>
    <t>החפץ חיים בנתיבות התפילה</t>
  </si>
  <si>
    <t>החפץ חיים חייו ופעלו - 3 כר'</t>
  </si>
  <si>
    <t>ישר, משה מאיר בן דוד</t>
  </si>
  <si>
    <t>תשי"ח - תשכ"א</t>
  </si>
  <si>
    <t>החפץ חיים על אגדות הש"ס (באנגלית)</t>
  </si>
  <si>
    <t>החפץ חיים על הסידור</t>
  </si>
  <si>
    <t>כהן, ישראל מאיר בן אריה זאב - זריצקי, דוד</t>
  </si>
  <si>
    <t>החפץ חיים על שבת ומועדים</t>
  </si>
  <si>
    <t>החפץ חיים</t>
  </si>
  <si>
    <t>החרש והמסגר בירושלים</t>
  </si>
  <si>
    <t>החשמל בהלכה - 2 כר'</t>
  </si>
  <si>
    <t>החשמל בשבת</t>
  </si>
  <si>
    <t>מורגנשטרן, ישראל מאיר בן דוד אריה</t>
  </si>
  <si>
    <t>החשמל לאור ההלכה</t>
  </si>
  <si>
    <t>יודלביץ, שמואל אהרן בן שבתי</t>
  </si>
  <si>
    <t>החשן הבהיר - חושן משפט שלא - שלט</t>
  </si>
  <si>
    <t>פונט, אברהם שמואל בן צבי אלימלך</t>
  </si>
  <si>
    <t>החתם סופר ובית מדרשו</t>
  </si>
  <si>
    <t>קבצים וכתבי עת, ספרי זכרון ויובל, תלמוד בבלי, תנ"ך</t>
  </si>
  <si>
    <t>הט"ז הידוע</t>
  </si>
  <si>
    <t>הטבע היהודי</t>
  </si>
  <si>
    <t>הטוב והישר</t>
  </si>
  <si>
    <t>הורביץ, צבי הירש בן חיים שלמה</t>
  </si>
  <si>
    <t>הטוב והתכלית</t>
  </si>
  <si>
    <t>טברסקי, צבי אריה בן מרדכי יוסף</t>
  </si>
  <si>
    <t>הטור המבואר - 2 כר'</t>
  </si>
  <si>
    <t>מכון טור ובית יוסף המבואר</t>
  </si>
  <si>
    <t>הטיבו נגן</t>
  </si>
  <si>
    <t>אדרעי, רפאל בן מכלוף</t>
  </si>
  <si>
    <t>הטיפול בתינוק בשבת ויום טוב</t>
  </si>
  <si>
    <t>הטיפול בתינוקות</t>
  </si>
  <si>
    <t>ויטמן, פנחס דניאל בן יעקב</t>
  </si>
  <si>
    <t>הטלטול</t>
  </si>
  <si>
    <t>הטעמים שבמקרא</t>
  </si>
  <si>
    <t>הטעמת המילים הקדושות כהלכתן וכמשפטן</t>
  </si>
  <si>
    <t>הופמן, אברהם יצחק</t>
  </si>
  <si>
    <t>הטפות לטטפת</t>
  </si>
  <si>
    <t>פייאסטון, גרשון בן שלום</t>
  </si>
  <si>
    <t>הטפת דם ברית - א</t>
  </si>
  <si>
    <t>גולגר, ישעיהו</t>
  </si>
  <si>
    <t>הטריפות בישראל</t>
  </si>
  <si>
    <t>הי"א שיחתי</t>
  </si>
  <si>
    <t>אלימלך, יצחק בן רפאל מאיר</t>
  </si>
  <si>
    <t>היא שיחתי - 2 כר'</t>
  </si>
  <si>
    <t>היא שיחתי</t>
  </si>
  <si>
    <t>ישיבות נדבורנה ירושלים</t>
  </si>
  <si>
    <t>היא תתהלל - 2 כר'</t>
  </si>
  <si>
    <t>א. אברהם</t>
  </si>
  <si>
    <t>היא תתהלל</t>
  </si>
  <si>
    <t>זיאת, אברהם</t>
  </si>
  <si>
    <t>היארצייט</t>
  </si>
  <si>
    <t>אוצר כל בו ליום היארצייט</t>
  </si>
  <si>
    <t>היגיון השבת</t>
  </si>
  <si>
    <t>וסלי, יעקב</t>
  </si>
  <si>
    <t>היד החזקה</t>
  </si>
  <si>
    <t>קאלישר, יהודה ליב בן משה</t>
  </si>
  <si>
    <t>הידור מצוה</t>
  </si>
  <si>
    <t>כהן, אליהו בן יצחק</t>
  </si>
  <si>
    <t>מאן, מאיר בן יוסף</t>
  </si>
  <si>
    <t>הידור עטיפת הציצית</t>
  </si>
  <si>
    <t>הידור פנים</t>
  </si>
  <si>
    <t>הידורי הלכה - הלכות סוכה</t>
  </si>
  <si>
    <t>הידורי המידות</t>
  </si>
  <si>
    <t>הידורי לולב</t>
  </si>
  <si>
    <t>הידורי תפילין</t>
  </si>
  <si>
    <t>הידות אהרן</t>
  </si>
  <si>
    <t>קירשנבוים, אפרים בן אהרון</t>
  </si>
  <si>
    <t>הידרופוניקס (גדולי חצץ)</t>
  </si>
  <si>
    <t>שווארץ, מאיר</t>
  </si>
  <si>
    <t>היה נותן בהם סימנים</t>
  </si>
  <si>
    <t>היה עם פיפיות</t>
  </si>
  <si>
    <t>ארגון לראות טוב</t>
  </si>
  <si>
    <t>הלכה ומנהג, מועדי ישראל, מחשבה ומוסר</t>
  </si>
  <si>
    <t>היהדות וחכמיה</t>
  </si>
  <si>
    <t>היהדות מול בנותיה הסוררות</t>
  </si>
  <si>
    <t>היהודי הקדוש על התורה ומועדים</t>
  </si>
  <si>
    <t>יעקב יצחק בן אשר מפשיסחא</t>
  </si>
  <si>
    <t>חסידות, מועדי ישראל, תולדות עם ישראל, תנ"ך</t>
  </si>
  <si>
    <t>היהודים באונגאריא</t>
  </si>
  <si>
    <t>היהודים בהודו</t>
  </si>
  <si>
    <t>פישל, וואלטר יוסף</t>
  </si>
  <si>
    <t>היהודים בכינא</t>
  </si>
  <si>
    <t>אדלר, מרדכי בן נתן הכהן</t>
  </si>
  <si>
    <t>היהודים בסוריה</t>
  </si>
  <si>
    <t>לוריא, בן-ציון בן יצחק</t>
  </si>
  <si>
    <t>היהודים והמלך בתימן - 2 כר'</t>
  </si>
  <si>
    <t>היהלום שבסתר</t>
  </si>
  <si>
    <t>היו מספרים - 2 כר'</t>
  </si>
  <si>
    <t>היום לעשותם</t>
  </si>
  <si>
    <t>היום פנה</t>
  </si>
  <si>
    <t>היומם בכדור הארץ</t>
  </si>
  <si>
    <t>היופי הגנוז</t>
  </si>
  <si>
    <t>היוצר ויצירתו</t>
  </si>
  <si>
    <t>ניסטמפובר, מאיר זאב</t>
  </si>
  <si>
    <t>היורה והדעה - 2 כר'</t>
  </si>
  <si>
    <t>היחוד והצניעות</t>
  </si>
  <si>
    <t>טוויל, יוסף הכהן - סיט, יצחק הכהן</t>
  </si>
  <si>
    <t>היחיד והחברה</t>
  </si>
  <si>
    <t>היחיד והלכותיו</t>
  </si>
  <si>
    <t>הורוויץ, שרגא שמואל הלוי</t>
  </si>
  <si>
    <t>היחיד</t>
  </si>
  <si>
    <t>היחס מטשרנוביל ורוזין</t>
  </si>
  <si>
    <t>טברסקי, אהרן דוד בן משה מרדכי</t>
  </si>
  <si>
    <t>חסידות, נושאים שונים, תולדות עם ישראל, תולדות עם ישראל</t>
  </si>
  <si>
    <t>היחס שבין היקף המעגל לרוחבו</t>
  </si>
  <si>
    <t>אמיתי, אביגדור</t>
  </si>
  <si>
    <t>היחסים שבין יהודי יוון ליהודי איטליה</t>
  </si>
  <si>
    <t>בניהו, מאיר בן יצחק נסים</t>
  </si>
  <si>
    <t>היטיבו נגן</t>
  </si>
  <si>
    <t>בר שלום, אליהו</t>
  </si>
  <si>
    <t>היינו שמחים, ישמח ישראל</t>
  </si>
  <si>
    <t>הייתי שם</t>
  </si>
  <si>
    <t>שנפ, אברהם</t>
  </si>
  <si>
    <t>היכון לקראת אלוקיך יעקב - 3 כר'</t>
  </si>
  <si>
    <t>חזן, יעקב</t>
  </si>
  <si>
    <t>היכל אלימלך</t>
  </si>
  <si>
    <t>שפירא, דוד נחום</t>
  </si>
  <si>
    <t>היכל אריאל</t>
  </si>
  <si>
    <t>היכל באבוב</t>
  </si>
  <si>
    <t>היכל ה' - 2 כר'</t>
  </si>
  <si>
    <t>לוריא, יחיאל בן ישראל</t>
  </si>
  <si>
    <t>היכל הבעש"ט - 36 כר'</t>
  </si>
  <si>
    <t>מאסף למשנת החסידות</t>
  </si>
  <si>
    <t>היכל הוראה - 5 כר'</t>
  </si>
  <si>
    <t>בראנדסדארפער, משה בן מאיר</t>
  </si>
  <si>
    <t>היכל הנגינה</t>
  </si>
  <si>
    <t>מחשבה ומוסר, קבצים וכתבי עת, ספרי זכרון ויובל, תפלות בקשות פיוטים ושירה</t>
  </si>
  <si>
    <t>היכל הנר</t>
  </si>
  <si>
    <t>בעניני נר מצוה</t>
  </si>
  <si>
    <t>היכל הצדיק</t>
  </si>
  <si>
    <t>קפשיאן, דוד יהונתן בן יצחק</t>
  </si>
  <si>
    <t>היכל הקדש &lt;קונקורדנציה&gt;</t>
  </si>
  <si>
    <t>מאנדלקרן, שלמה בן שמחה דוב</t>
  </si>
  <si>
    <t>היכל הקודש - 2 כר'</t>
  </si>
  <si>
    <t>אלבאז, משה בן מימון</t>
  </si>
  <si>
    <t>היכל הקודש</t>
  </si>
  <si>
    <t>היכל הריב"ש &lt;ים החכמה&gt;</t>
  </si>
  <si>
    <t>ישראל בן אליעזר (בעש"ט) - מורגנשטרן, יצחק מאיר בן יעקב מנחם</t>
  </si>
  <si>
    <t>היכל השביעית</t>
  </si>
  <si>
    <t>משנה, תלמוד ירושלמי</t>
  </si>
  <si>
    <t>היכל השבת והמועדים</t>
  </si>
  <si>
    <t>וולפוביץ, רפאל בן צדוק הלוי</t>
  </si>
  <si>
    <t>היכל התורה - 2 כר'</t>
  </si>
  <si>
    <t>היכל התורה</t>
  </si>
  <si>
    <t>מיר</t>
  </si>
  <si>
    <t>כולל הרבנים גייטסהעד</t>
  </si>
  <si>
    <t>קנדל, ע</t>
  </si>
  <si>
    <t>היכל התלמוד - א</t>
  </si>
  <si>
    <t>בית מדרש גבוה לתלמוד</t>
  </si>
  <si>
    <t>היכל התלמוד - 3 כר'</t>
  </si>
  <si>
    <t>היכל התפילה</t>
  </si>
  <si>
    <t>היכל התשובה</t>
  </si>
  <si>
    <t>היכל ושערים</t>
  </si>
  <si>
    <t>ורטהימר, הלל בן אברהם יהודה</t>
  </si>
  <si>
    <t>היכל ידיד</t>
  </si>
  <si>
    <t>היכל יצחק - 3 כר'</t>
  </si>
  <si>
    <t>הרצוג, יצחק אייזיק בן יואל ליב הלוי</t>
  </si>
  <si>
    <t>היכל ישראל</t>
  </si>
  <si>
    <t>פראנקפורטר, ישראל</t>
  </si>
  <si>
    <t>דרושים, מחשבה ומוסר, משנה, תנ"ך</t>
  </si>
  <si>
    <t>היכל כאורה</t>
  </si>
  <si>
    <t>דאם, אשר בן נתן</t>
  </si>
  <si>
    <t>היכל לדברי חז"ל ופתגמיהם</t>
  </si>
  <si>
    <t>מחשבה ומוסר, נושאים שונים, נושאים שונים, שאר ספרי חז"ל, תולדות עם ישראל</t>
  </si>
  <si>
    <t>היכל מלך</t>
  </si>
  <si>
    <t>אריה, רפאל אברהם בן דוד</t>
  </si>
  <si>
    <t>היכל עבודת השם - 4 כר'</t>
  </si>
  <si>
    <t>שאקי, אברהם שלום</t>
  </si>
  <si>
    <t>היכל עונג</t>
  </si>
  <si>
    <t>הורוויץ, יהודה בן מרדכי הלוי</t>
  </si>
  <si>
    <t>היכל צבי - 2 כר'</t>
  </si>
  <si>
    <t>ווייס, צבי בן יעקב</t>
  </si>
  <si>
    <t>היכל צמח</t>
  </si>
  <si>
    <t>האפענברג, צמח</t>
  </si>
  <si>
    <t>דרושים, הלכה ומנהג, הלכה ומנהג, שאלות ותשובות, שאלות ותשובות</t>
  </si>
  <si>
    <t>היכל רחל - נוה רחל</t>
  </si>
  <si>
    <t>וולפביץ, רפאל בן צדוק הלוי</t>
  </si>
  <si>
    <t>הלכה ומנהג, מועדי ישראל, משנה, תלמוד בבלי, תלמוד בבלי, תנ"ך, תפלות בקשות פיוטים ושירה</t>
  </si>
  <si>
    <t>היכל רש"י - 4 כר'</t>
  </si>
  <si>
    <t>אבינרי, יצחק בן משה</t>
  </si>
  <si>
    <t>היכל שמואל</t>
  </si>
  <si>
    <t>היכל שמחה</t>
  </si>
  <si>
    <t>היכלא דאורייתא</t>
  </si>
  <si>
    <t>מרכז התורה - רשת הכוללים דחסידי מכנובקא בעלזא</t>
  </si>
  <si>
    <t>היכלא - 7 כר'</t>
  </si>
  <si>
    <t>קהילת בני תורה הר נוף</t>
  </si>
  <si>
    <t>היכלות &lt;קשר איתן&gt; - 54 כר'</t>
  </si>
  <si>
    <t>חסידי ויז'ניץ</t>
  </si>
  <si>
    <t>היכלות דרבי מאיר הלוי</t>
  </si>
  <si>
    <t>רגנסברג, אפרים בן מאיר הלוי</t>
  </si>
  <si>
    <t>היכלות הזוהר עם ביאור הגר"א</t>
  </si>
  <si>
    <t>הס' תרי"ז</t>
  </si>
  <si>
    <t>([קניגסברג],</t>
  </si>
  <si>
    <t>היכלי דוד</t>
  </si>
  <si>
    <t>היכלי דעה</t>
  </si>
  <si>
    <t>דגגה, דוד</t>
  </si>
  <si>
    <t>היכלי מרום</t>
  </si>
  <si>
    <t>לב, יהונתן בן יעקב</t>
  </si>
  <si>
    <t>היכלי שן תליתאי</t>
  </si>
  <si>
    <t>היכלי שן תניינא</t>
  </si>
  <si>
    <t>היכלי שן - תורה</t>
  </si>
  <si>
    <t>גאסנבויאר, שמואל נחום בן קהת הלוי</t>
  </si>
  <si>
    <t>היכלי שן - א</t>
  </si>
  <si>
    <t>הילד איננו - פרשת ילדי תימן</t>
  </si>
  <si>
    <t>זייד, שושנה</t>
  </si>
  <si>
    <t>הילולא דבי רב</t>
  </si>
  <si>
    <t>קובץ ישיבת קול יעקב לצעירים</t>
  </si>
  <si>
    <t>הילולא דצדיקיא</t>
  </si>
  <si>
    <t>גולדשטיין, יצחק</t>
  </si>
  <si>
    <t>הילולא דרבי יוסי בן זמרא</t>
  </si>
  <si>
    <t>עמאר, משה בן שלמה</t>
  </si>
  <si>
    <t>הילולא קדישא - 4 כר'</t>
  </si>
  <si>
    <t>שיף, מנשה יצחק מאיר</t>
  </si>
  <si>
    <t>הילולים לה'</t>
  </si>
  <si>
    <t>זכאי, יצחק דוד בן אהרן</t>
  </si>
  <si>
    <t>הילל בן שחר</t>
  </si>
  <si>
    <t>הילל בן זאב וולף</t>
  </si>
  <si>
    <t>הימים הנוראים בהלכה ובאגדה</t>
  </si>
  <si>
    <t>הימים הנוראים במחיצת החפץ חיים</t>
  </si>
  <si>
    <t>הימנותא דשלמה</t>
  </si>
  <si>
    <t>מאנדל, שלמה</t>
  </si>
  <si>
    <t>הין צדק ותיקון המדות</t>
  </si>
  <si>
    <t>הין צדק</t>
  </si>
  <si>
    <t>שפירא, מנחם מנדל בן משה ישעיהו</t>
  </si>
  <si>
    <t>דרושים, הלכה ומנהג, משנה, תנ"ך</t>
  </si>
  <si>
    <t>היסוד - 2 כר'</t>
  </si>
  <si>
    <t>היסטוריה צורך גבוה [מאמר]</t>
  </si>
  <si>
    <t>נושאים שונים, קבלה, קבצים וכתבי עת, ספרי זכרון ויובל</t>
  </si>
  <si>
    <t>היקף השבת</t>
  </si>
  <si>
    <t>הירדן - א-א</t>
  </si>
  <si>
    <t>מאסף וקובץ רבני תורני</t>
  </si>
  <si>
    <t>ריישא</t>
  </si>
  <si>
    <t>הירושה והצוואה במשפט העברי</t>
  </si>
  <si>
    <t>ריבלין, יוסף יהושע בן שמואל</t>
  </si>
  <si>
    <t>הירושלמי המבואר - מגילה</t>
  </si>
  <si>
    <t>הירח</t>
  </si>
  <si>
    <t>בלומנטאל, אהרן שמחה בן יעקב</t>
  </si>
  <si>
    <t>הירח - 2 כר'</t>
  </si>
  <si>
    <t>צבאן (כדיר), רפאל כצ'יר</t>
  </si>
  <si>
    <t>תש"ח - תש"י</t>
  </si>
  <si>
    <t>הירח - י-יב</t>
  </si>
  <si>
    <t>קובץ חדשי</t>
  </si>
  <si>
    <t>הישיבה הגדולה "מאור התורה"</t>
  </si>
  <si>
    <t>דבר מרבנן ורבנן בכנס הבוגרים הראשון</t>
  </si>
  <si>
    <t>הישיבה הגדולה מדרש פורת יוסף</t>
  </si>
  <si>
    <t>הישיבה הרמה בפיורדא - 3 כר'</t>
  </si>
  <si>
    <t>הישיבה</t>
  </si>
  <si>
    <t>הישיבות בהונגריה דברי ימיהן ובעיותיהן</t>
  </si>
  <si>
    <t>הישמח ישראל מאלכסנדר</t>
  </si>
  <si>
    <t>הישר והטוב - 2 כר'</t>
  </si>
  <si>
    <t>תר"מ - תרמ"ט</t>
  </si>
  <si>
    <t>הישר והטוב - 25 כר'</t>
  </si>
  <si>
    <t>קובץ בית הוראה הישר והטוב</t>
  </si>
  <si>
    <t>הישר והטוב</t>
  </si>
  <si>
    <t>דרושים, הלכה ומנהג, חסידות, מועדי ישראל, מחשבה ומוסר, משנה, תלמוד בבלי, תנ"ך</t>
  </si>
  <si>
    <t>היתר המכירה בשביעית לאחר קום המדינה</t>
  </si>
  <si>
    <t>קורן, זלמן מנחם</t>
  </si>
  <si>
    <t>נחלים</t>
  </si>
  <si>
    <t>היתר חדר"ג באשה נשתטית</t>
  </si>
  <si>
    <t>תמרת, אהרן שמואל בן משה יעקב</t>
  </si>
  <si>
    <t>היתר עגונה</t>
  </si>
  <si>
    <t>מינצברג, ישראל זאב בן משה צבי</t>
  </si>
  <si>
    <t>היתר עיסקא החדש - 2 כר'</t>
  </si>
  <si>
    <t>כרמל, אברהם מרדכי</t>
  </si>
  <si>
    <t>היתר עיסקא</t>
  </si>
  <si>
    <t>מכון כלכלה ע"פ ההלכה</t>
  </si>
  <si>
    <t>הכה"ג [הכהן גדול] והסגן</t>
  </si>
  <si>
    <t>סאמונוב, אפרים בן גרשון מנדל</t>
  </si>
  <si>
    <t>הכהן הגדול מאחיו</t>
  </si>
  <si>
    <t>הכהנים אשר בג'רבה</t>
  </si>
  <si>
    <t>סלושץ, נחום בן דוד שלמה</t>
  </si>
  <si>
    <t>הכוזרי החדש</t>
  </si>
  <si>
    <t>הכוכב (ארה"ב) - 2 כר'</t>
  </si>
  <si>
    <t>שטרנהל, יצחק בן דוד (עורך)</t>
  </si>
  <si>
    <t>הכוכב (מונקאטש) - שנה א-ג</t>
  </si>
  <si>
    <t>תרצ"ה - תרצ"ז</t>
  </si>
  <si>
    <t>הכולל - א</t>
  </si>
  <si>
    <t>כתב עת הלכתי</t>
  </si>
  <si>
    <t>הכון לקראת אלקיך ישראל</t>
  </si>
  <si>
    <t>הכותב והמוחק</t>
  </si>
  <si>
    <t>אדלר, יצחק אליהו הכהן</t>
  </si>
  <si>
    <t>הכותל המערבי</t>
  </si>
  <si>
    <t>רבינוביץ, שמואל בן ציון בן חיים יהודה - ברונשטיין, ישראל יוסף</t>
  </si>
  <si>
    <t>הכותל ואתה</t>
  </si>
  <si>
    <t>מורשת אבות</t>
  </si>
  <si>
    <t>הכי איתמר - 9 כר'</t>
  </si>
  <si>
    <t>טעפ, איתמר</t>
  </si>
  <si>
    <t>הכי גרסינן - 2 כר'</t>
  </si>
  <si>
    <t>זילבר, אריה בן משה</t>
  </si>
  <si>
    <t>הכי גרסינן - א</t>
  </si>
  <si>
    <t>זילבר, אריה</t>
  </si>
  <si>
    <t>הכי קאמר</t>
  </si>
  <si>
    <t>הכין עזרא</t>
  </si>
  <si>
    <t>הררי-רפול, עזרא</t>
  </si>
  <si>
    <t>הכיסופין</t>
  </si>
  <si>
    <t>הכל יודוך</t>
  </si>
  <si>
    <t>הכל ירוממוך</t>
  </si>
  <si>
    <t>הכל ישבחוך - 2 כר'</t>
  </si>
  <si>
    <t>הכל לאדון הכל</t>
  </si>
  <si>
    <t>שיין, רוחמה</t>
  </si>
  <si>
    <t>הכל נשמע</t>
  </si>
  <si>
    <t>חטיבי, אופיר</t>
  </si>
  <si>
    <t>הכנה דרבה &lt;מהדורה חדשה&gt; - 2 כר'</t>
  </si>
  <si>
    <t>הכנה דרבה - 2 כר'</t>
  </si>
  <si>
    <t>הכנה לחג המצות</t>
  </si>
  <si>
    <t>הכנה ליום טוב</t>
  </si>
  <si>
    <t>פרידמאן, משה צבי בן יצחק איזיק</t>
  </si>
  <si>
    <t>הכנור של רבי אלחנן יוסף</t>
  </si>
  <si>
    <t>הרצמן, אלחנן יוסף (אודותיו)</t>
  </si>
  <si>
    <t>הכנסיה הגדולה השניה</t>
  </si>
  <si>
    <t>הכנסיה הגדולה</t>
  </si>
  <si>
    <t>דרוק, משה עקיבא (עורך)</t>
  </si>
  <si>
    <t>הכנסיה</t>
  </si>
  <si>
    <t>מרכז צעירי אגודת ישראל באמריקה</t>
  </si>
  <si>
    <t>הכנסת ספר תורה - הלכה ומעשה</t>
  </si>
  <si>
    <t>הכנת לב לתפלה</t>
  </si>
  <si>
    <t>וויינשלבוים, שלמה אריה ליב בן זאב וולף</t>
  </si>
  <si>
    <t>תרפ"ז - תרצ"ב</t>
  </si>
  <si>
    <t>הכסא הריק</t>
  </si>
  <si>
    <t>מייקוף, משה</t>
  </si>
  <si>
    <t>הכעס וסבלנות</t>
  </si>
  <si>
    <t>הכעס ותוצאותיו</t>
  </si>
  <si>
    <t>הכפר העברי נוה יעקב</t>
  </si>
  <si>
    <t>הכפר העברי</t>
  </si>
  <si>
    <t>[תרצ"ט,</t>
  </si>
  <si>
    <t>(ירושלים,</t>
  </si>
  <si>
    <t>הכרם</t>
  </si>
  <si>
    <t>אטלס, אליעזר</t>
  </si>
  <si>
    <t>תרמ"ח,</t>
  </si>
  <si>
    <t>הכרם - 3 כר'</t>
  </si>
  <si>
    <t>הכרם - 5 כר'</t>
  </si>
  <si>
    <t>קבוץ המוסמכים להוראה מישיבה הגדולה דעת משה</t>
  </si>
  <si>
    <t>הכרם - 2 כר'</t>
  </si>
  <si>
    <t>קהילת בית שמעיה</t>
  </si>
  <si>
    <t>הכרמל - 2 כר'</t>
  </si>
  <si>
    <t>גרינבוים, יוסף בן מרדכי</t>
  </si>
  <si>
    <t>הכרת הטוב</t>
  </si>
  <si>
    <t>הכשר כלים - 2 כר'</t>
  </si>
  <si>
    <t>הכשרות כהלכה - 2 כר'</t>
  </si>
  <si>
    <t>הכשרות למעשה</t>
  </si>
  <si>
    <t>פנחסי, אליהו חיים בן שמואל</t>
  </si>
  <si>
    <t>הכשרות</t>
  </si>
  <si>
    <t>פוקס, יצחק יעקב</t>
  </si>
  <si>
    <t>הכשרת האברכים - 2 כר'</t>
  </si>
  <si>
    <t>הכשרת המטבח וכליו</t>
  </si>
  <si>
    <t>שימל, מנחם</t>
  </si>
  <si>
    <t>הכשרת המטבח לפסח</t>
  </si>
  <si>
    <t>הכשרת התורה</t>
  </si>
  <si>
    <t>הכשרת כלים לפסח</t>
  </si>
  <si>
    <t>הכתב והמכתב</t>
  </si>
  <si>
    <t>בורשטין, אברהם דוב בן אבא שלום</t>
  </si>
  <si>
    <t>הכתב והקבלה (בראשית-דברים)</t>
  </si>
  <si>
    <t>מקלנבורג, יעקב צבי בן גמליאל</t>
  </si>
  <si>
    <t>נירנברג Nuernberg</t>
  </si>
  <si>
    <t>הכתב והקבלה - ב</t>
  </si>
  <si>
    <t>[תר"ם]</t>
  </si>
  <si>
    <t>פראנקפורט אם מיין,</t>
  </si>
  <si>
    <t>הכתבים הציונים</t>
  </si>
  <si>
    <t>הכתוב והכונה</t>
  </si>
  <si>
    <t>בלוך, דניאל יהודה</t>
  </si>
  <si>
    <t>הכתוב לחיים - א</t>
  </si>
  <si>
    <t>גלרנטר, חיים בן יוסף שמואל</t>
  </si>
  <si>
    <t>דרושים, הלכה ומנהג, מועדי ישראל, שאלות ותשובות</t>
  </si>
  <si>
    <t>הכתוב לחיים</t>
  </si>
  <si>
    <t>הכתובה בעיטורים</t>
  </si>
  <si>
    <t>דוידוביץ, דוד</t>
  </si>
  <si>
    <t>הכתובות בא"י ובארצות הסמוכות לה</t>
  </si>
  <si>
    <t>רפאלי (רפאלוביץ), שמואל</t>
  </si>
  <si>
    <t>הכתל המערבי</t>
  </si>
  <si>
    <t>יהודה, יצחק יחזקאל</t>
  </si>
  <si>
    <t>הכתר והכבוד - לחי עולמים א</t>
  </si>
  <si>
    <t>הכתר מקראות גדולות - 2 כר'</t>
  </si>
  <si>
    <t>מקראות גדולות</t>
  </si>
  <si>
    <t>הלבוש כהלכתו</t>
  </si>
  <si>
    <t>הלבנון - 2 כר'</t>
  </si>
  <si>
    <t>אלבינגר, יהודה מרדכי</t>
  </si>
  <si>
    <t>הלבנון - א-א</t>
  </si>
  <si>
    <t>הלבנון</t>
  </si>
  <si>
    <t>הלבנון - קובץ א</t>
  </si>
  <si>
    <t>הלגימה במגילה</t>
  </si>
  <si>
    <t>ברקאי, הלל</t>
  </si>
  <si>
    <t>הלואה מאוזנת</t>
  </si>
  <si>
    <t>מרגלית, משה</t>
  </si>
  <si>
    <t>הלוח העברי</t>
  </si>
  <si>
    <t>לאדיגר, אליעזר בן משה</t>
  </si>
  <si>
    <t>ניו-יורק,</t>
  </si>
  <si>
    <t>הלולא דפסחא &lt;מהדורה חדשה&gt;</t>
  </si>
  <si>
    <t>יששכר בן יהושע יהודה מפודקאמין</t>
  </si>
  <si>
    <t>הלולא דפסחא</t>
  </si>
  <si>
    <t>הלולא דרבי מאיר</t>
  </si>
  <si>
    <t>מאיר בת עין</t>
  </si>
  <si>
    <t>הלולא דרבי</t>
  </si>
  <si>
    <t>הלולא רבא</t>
  </si>
  <si>
    <t>תיקונים. ל"ג בעומר. תקע"ט. ליוורנו</t>
  </si>
  <si>
    <t>תיקונים. ל"ג בעומר. תר"ז. ליוורנו</t>
  </si>
  <si>
    <t>תיקונים. ל"ג בעומר. תרל"ג. ליוורנו</t>
  </si>
  <si>
    <t>תיקונים. ל"ג בעומר. תרמ"א. ליוורנו</t>
  </si>
  <si>
    <t>תיקונים. ל"ג בעומר. תרפ"ט. ג'רבה</t>
  </si>
  <si>
    <t>תיקונים. ל"ג בעומר. תשט"ו. ירושלים</t>
  </si>
  <si>
    <t>תפילות. מקומות קדושים וקברי צדיקים</t>
  </si>
  <si>
    <t>הלולב הקנרי</t>
  </si>
  <si>
    <t>וייספיש, אליהו בן שלמה זלמן</t>
  </si>
  <si>
    <t>הלולי צבי - 3 כר'</t>
  </si>
  <si>
    <t>יעקבוביץ, צבי בן חיים יוסף</t>
  </si>
  <si>
    <t>הליכות &lt;סדרה חדשה&gt; - 3</t>
  </si>
  <si>
    <t>בטאון המועצה הדתית תל אביב יפו</t>
  </si>
  <si>
    <t>הליכות אבן ישראל - שבת א</t>
  </si>
  <si>
    <t>הליכות אדם - 2 כר'</t>
  </si>
  <si>
    <t>שולם, אסף</t>
  </si>
  <si>
    <t>הליכות אלי</t>
  </si>
  <si>
    <t>הליכות אליהו</t>
  </si>
  <si>
    <t>פיינשטיין, אליהו בן אהרן הלוי</t>
  </si>
  <si>
    <t>הליכות אמת</t>
  </si>
  <si>
    <t>גדסי, אמיתי בן אבנר</t>
  </si>
  <si>
    <t>הליכות בין אדם לחברו</t>
  </si>
  <si>
    <t>הליכות בין המצרים</t>
  </si>
  <si>
    <t>טוקצינסקי, יחיאל מיכל בן צבי אריה</t>
  </si>
  <si>
    <t>הליכות ביתה</t>
  </si>
  <si>
    <t>אויערבאך, דוד בן אברהם דב</t>
  </si>
  <si>
    <t>הליכות בקודש</t>
  </si>
  <si>
    <t>קרליבך, דוד</t>
  </si>
  <si>
    <t>הליכות בת ישראל</t>
  </si>
  <si>
    <t>הליכות הוריות</t>
  </si>
  <si>
    <t>רקוב, יוסף</t>
  </si>
  <si>
    <t>הליכות החיים</t>
  </si>
  <si>
    <t>גייגר, יחזקאל</t>
  </si>
  <si>
    <t>הליכות הישועות משה - 3 כר'</t>
  </si>
  <si>
    <t>הליכות הצדיקים בעלזא - שבת קודש ג</t>
  </si>
  <si>
    <t>רינגל, שלמה יעקב</t>
  </si>
  <si>
    <t>הליכות השבת</t>
  </si>
  <si>
    <t>גורדון, אברהם יוסף</t>
  </si>
  <si>
    <t>הליכות השולחן ערוך החמישי - 2 כר'</t>
  </si>
  <si>
    <t>סמג'ה, ארי אברהם</t>
  </si>
  <si>
    <t>הליכות והלכות לבית החולים</t>
  </si>
  <si>
    <t>שוורץ, חיים יעקב</t>
  </si>
  <si>
    <t>הליכות והלכות - ירח האיתנים</t>
  </si>
  <si>
    <t>הליכות והלכות - 7 כר'</t>
  </si>
  <si>
    <t>הליכות והנהגות אמרי סופר - 2 כר'</t>
  </si>
  <si>
    <t>סופר, יוחנן בן משה - פולק, אברהם שמעון</t>
  </si>
  <si>
    <t>הליכות והנהגות ממרן בעל קהילות יעקב זיע"א</t>
  </si>
  <si>
    <t>הליכות זבחים - 5 כר'</t>
  </si>
  <si>
    <t>הליכות חייו והנהגותיו של ר' ראובן קרלנשטיין</t>
  </si>
  <si>
    <t>הליכות חיים - 2 כר'</t>
  </si>
  <si>
    <t>ברנשטיין, חיים אריה בן ראובן</t>
  </si>
  <si>
    <t>הליכות חיים - רבינו הקדוש מריבניץ</t>
  </si>
  <si>
    <t>גרונר, דוד יהודה - גלדצלר, דוד</t>
  </si>
  <si>
    <t>הליכות חיים - 5 כר'</t>
  </si>
  <si>
    <t>הליכות חיים - מצות ישיבה בסוכה</t>
  </si>
  <si>
    <t>וידאל, חיים</t>
  </si>
  <si>
    <t>הליכות חיים</t>
  </si>
  <si>
    <t>ויטמן, שרגא יהודה</t>
  </si>
  <si>
    <t>פייער, שמואל זלמן בן אברהם חיים</t>
  </si>
  <si>
    <t>הליכות חנוך</t>
  </si>
  <si>
    <t>פדווא, חנוך דוב - שוורץ, אברהם יונה</t>
  </si>
  <si>
    <t>הליכות יהודה - 4 כר'</t>
  </si>
  <si>
    <t>קגן, יהודה ליב הכהן</t>
  </si>
  <si>
    <t>הליכות יוסף</t>
  </si>
  <si>
    <t>יוניוב, יוסף בן אביגדור</t>
  </si>
  <si>
    <t>הליכות יעקב</t>
  </si>
  <si>
    <t>לסיצין, צבי יעקב בן טוביה</t>
  </si>
  <si>
    <t>הליכות יצחק - 6 כר'</t>
  </si>
  <si>
    <t>בורודיאנסקי, יצחק ירוחם בן אפרים נחום</t>
  </si>
  <si>
    <t>הליכות יצחק</t>
  </si>
  <si>
    <t>קרלינסקי, חיים</t>
  </si>
  <si>
    <t>הליכות ישראל - 2 כר'</t>
  </si>
  <si>
    <t>גוסטמאן, ישראל זאב בן אברהם צבי</t>
  </si>
  <si>
    <t>הליכות ישראל</t>
  </si>
  <si>
    <t>הליכות לבת מצוה</t>
  </si>
  <si>
    <t>זכאי, מ.ש.</t>
  </si>
  <si>
    <t>הליכות מועדי השנה</t>
  </si>
  <si>
    <t>שרפר, יחזקאל</t>
  </si>
  <si>
    <t>הליכות מלכי בקודש</t>
  </si>
  <si>
    <t>צ'יקוטאי, יעקב</t>
  </si>
  <si>
    <t>מכבים - רעות</t>
  </si>
  <si>
    <t>הליכות מנחות (מזוזה ותפילין)</t>
  </si>
  <si>
    <t>הליכות מנחות (ציצית)</t>
  </si>
  <si>
    <t>הליכות מעילה</t>
  </si>
  <si>
    <t>הליכות מרדכי - 4 כר'</t>
  </si>
  <si>
    <t>חברוני, שמואל חיים בן מרדכי</t>
  </si>
  <si>
    <t>הליכות עולם &lt;מהדורה חדשה&gt;</t>
  </si>
  <si>
    <t>ישועה בן יוסף הלוי</t>
  </si>
  <si>
    <t>הליכות עולם ומבא הגמרא</t>
  </si>
  <si>
    <t>הליכות עולם קטן</t>
  </si>
  <si>
    <t>קאראסיק, דוב בר בן יצחק אייזיק</t>
  </si>
  <si>
    <t>הליכות עולם</t>
  </si>
  <si>
    <t>ברודא, אברהם בן שלמה זלמן</t>
  </si>
  <si>
    <t>הליכות עולם - 6 כר'</t>
  </si>
  <si>
    <t>כולל נחלת שפרה</t>
  </si>
  <si>
    <t>הליכות עולם - 3 כר'</t>
  </si>
  <si>
    <t>סלונים, זאב דב</t>
  </si>
  <si>
    <t>הליכות עולם - א</t>
  </si>
  <si>
    <t>הליכות עם עולם</t>
  </si>
  <si>
    <t>הירשוביץ, יצחק אייזיק אליעזר</t>
  </si>
  <si>
    <t>הליכות פסח</t>
  </si>
  <si>
    <t>הליכות קדוש &lt;שומרי אמונים&gt; - 4 כר'</t>
  </si>
  <si>
    <t>גלדצלר, אהרן יחיאל יהושע</t>
  </si>
  <si>
    <t>הליכות קדם</t>
  </si>
  <si>
    <t>נושאים שונים, שאלות ותשובות, תולדות עם ישראל, תפלות בקשות פיוטים ושירה</t>
  </si>
  <si>
    <t>הליכות שבא</t>
  </si>
  <si>
    <t>אוחיון, שמעון ברוך בן אברהם</t>
  </si>
  <si>
    <t>הליכות שבועות</t>
  </si>
  <si>
    <t>הליכות שבת - 2 כר'</t>
  </si>
  <si>
    <t>לינדר, יחזקאל בן משה אורי</t>
  </si>
  <si>
    <t>הליכות שבת - מסכת שבת</t>
  </si>
  <si>
    <t>קובץ חבורות ישיבת תושיה תפרח</t>
  </si>
  <si>
    <t>הליכות שדה - 167 כר'</t>
  </si>
  <si>
    <t>המכון לחקר החקלאות ע"פ התורה</t>
  </si>
  <si>
    <t>הליכות שלמה - 3 כר'</t>
  </si>
  <si>
    <t>אוירבאך, שלמה זלמן בן חיים יהודה ליב</t>
  </si>
  <si>
    <t>הליכות שמואל - 2 כר'</t>
  </si>
  <si>
    <t>רפאלי, שמואל</t>
  </si>
  <si>
    <t>הליכות שני</t>
  </si>
  <si>
    <t>ברנשטיין, אברהם - קרליץ, שמריהו יוסף ניסים בן נחום מאיר</t>
  </si>
  <si>
    <t>הליכות תלמוד - 2 כר'</t>
  </si>
  <si>
    <t>קליין, שמואל יודא בן משה</t>
  </si>
  <si>
    <t>הליכות - 48 כר'</t>
  </si>
  <si>
    <t>הליכות</t>
  </si>
  <si>
    <t>הלילה הזה - ענייני ההגדה בדברי הגאונים והרמב"ם</t>
  </si>
  <si>
    <t>הלילה הזה</t>
  </si>
  <si>
    <t>הלכה אדם מישראל</t>
  </si>
  <si>
    <t>ישראל בן יעקב מלוקאטש</t>
  </si>
  <si>
    <t>הלכה אחרונה וקונטרס הראיות</t>
  </si>
  <si>
    <t>הלכה אחרונה</t>
  </si>
  <si>
    <t>סאפרין, אברהם מרדכי בן שלום</t>
  </si>
  <si>
    <t>הלכה בהירה לתלמידים</t>
  </si>
  <si>
    <t>הלכה בפרשה - 6 כר'</t>
  </si>
  <si>
    <t>ישראלי, רן</t>
  </si>
  <si>
    <t>הלכה ברורה</t>
  </si>
  <si>
    <t>אוירבאך, פינחס בן שמעון וולף</t>
  </si>
  <si>
    <t>הלכה ברורה - 3 כר'</t>
  </si>
  <si>
    <t>וילהלם, אברהם בן נחמן יוסף</t>
  </si>
  <si>
    <t>הלכה ברורה - 20 כר'</t>
  </si>
  <si>
    <t>הלכה ברורה - 2 כר'</t>
  </si>
  <si>
    <t>הלכה ברורה - 4 כר'</t>
  </si>
  <si>
    <t>מכון עיון הלכה - חושן משפט</t>
  </si>
  <si>
    <t>פרידלאנד, יחיאל מיכל בן נתן</t>
  </si>
  <si>
    <t>שלזינגר, אורי פייבוש בן אלעזר ליברמאן הכהן</t>
  </si>
  <si>
    <t>הלכה ברינה</t>
  </si>
  <si>
    <t>טולידאנו, ברוך אברהם</t>
  </si>
  <si>
    <t>הלכה ואגדה בפיוטי יניי</t>
  </si>
  <si>
    <t>רבינוביץ, צבי מאיר</t>
  </si>
  <si>
    <t>הלכה ואגדה</t>
  </si>
  <si>
    <t>הלכה וכספים</t>
  </si>
  <si>
    <t>הלכה ולמעשה - 4 כר'</t>
  </si>
  <si>
    <t>מפעל הלכה למעשה</t>
  </si>
  <si>
    <t>הלכה ומנהג - (אב)</t>
  </si>
  <si>
    <t>הלכה ומעשה</t>
  </si>
  <si>
    <t>הלכה ומעשה - 2 כר'</t>
  </si>
  <si>
    <t>הלכה ומציאות בזמן הזה</t>
  </si>
  <si>
    <t>הלכה ומשפט</t>
  </si>
  <si>
    <t>קובץ מכון הלכה ומשפט</t>
  </si>
  <si>
    <t>הלכה ורפואה בפוריות</t>
  </si>
  <si>
    <t>הלכה ורפואה - 5 כר'</t>
  </si>
  <si>
    <t>תש"מ - תשמ"ה</t>
  </si>
  <si>
    <t>הלכה יומית - ב</t>
  </si>
  <si>
    <t>בר דע, ליאור</t>
  </si>
  <si>
    <t>הלכה יומית</t>
  </si>
  <si>
    <t>גרינברג, שלום פסח</t>
  </si>
  <si>
    <t>הלכה כפשוטה</t>
  </si>
  <si>
    <t>הלכה למעשה רב</t>
  </si>
  <si>
    <t>הלכה למעשה - א</t>
  </si>
  <si>
    <t>הלכה למעשה</t>
  </si>
  <si>
    <t>Dej דש</t>
  </si>
  <si>
    <t>מרגלית, משה בן שמעון</t>
  </si>
  <si>
    <t>הלכה למשה &lt;מהדורה חדשה&gt;</t>
  </si>
  <si>
    <t>הלכה למשה &lt;שו"ת&gt; - 2 כר'</t>
  </si>
  <si>
    <t>ניימאן, משה בן דוד</t>
  </si>
  <si>
    <t>תרפ"ג - תרצ"ה</t>
  </si>
  <si>
    <t>הלכה למשה ושירה חדשה</t>
  </si>
  <si>
    <t>הלכה למשה</t>
  </si>
  <si>
    <t>הלכה למשה - 4 כר'</t>
  </si>
  <si>
    <t>תקי"ב - תקט"ז</t>
  </si>
  <si>
    <t>גלזנר, משה שמואל</t>
  </si>
  <si>
    <t>קלויזנבורג</t>
  </si>
  <si>
    <t>וויינברגר, משה בן יששכר דוב</t>
  </si>
  <si>
    <t>הלכה למשה - ניר לדוד</t>
  </si>
  <si>
    <t>ניימאן, משה בן דוד - ניימאן, דוד</t>
  </si>
  <si>
    <t>הלכה למשה - א</t>
  </si>
  <si>
    <t>קליג, משה בן שמחה בונם הלוי</t>
  </si>
  <si>
    <t>רום, אהרן יוסף ולומדי כולל ישראל דוד</t>
  </si>
  <si>
    <t>הלכה למשה - עבודה זרה</t>
  </si>
  <si>
    <t>רום, אהרן יוסף</t>
  </si>
  <si>
    <t>שווארץ, משה ישעיהו בן שמואל</t>
  </si>
  <si>
    <t>הלכה מאגדתא - ברכות</t>
  </si>
  <si>
    <t>סופר, מנחם בן ישראל מרדכי אפרים</t>
  </si>
  <si>
    <t>הלכה מבוררת</t>
  </si>
  <si>
    <t>רוזנטאל, טוביה בן מרדכי אברהם</t>
  </si>
  <si>
    <t>הלכה מנהג ומסורת</t>
  </si>
  <si>
    <t>הלכה מפורשת</t>
  </si>
  <si>
    <t>טוויל, יצחק הכהן</t>
  </si>
  <si>
    <t>הלכה סדורה - הלכות יום טוב</t>
  </si>
  <si>
    <t>הלכה סדורה - 2 כר'</t>
  </si>
  <si>
    <t>בן חמו, אברהם ישעיהו בן משה</t>
  </si>
  <si>
    <t>הלכה סדורה - הלכות אבלות</t>
  </si>
  <si>
    <t>גרוס, גלעד</t>
  </si>
  <si>
    <t>הלכה סדורה - מילה וגירות</t>
  </si>
  <si>
    <t>צברי, יוסף בן דוד</t>
  </si>
  <si>
    <t>הלכה סדורה - 4 כר'</t>
  </si>
  <si>
    <t>רבינוביץ, בן ציון - בנימין</t>
  </si>
  <si>
    <t>הלכה ערוכה &lt;פורים&gt;</t>
  </si>
  <si>
    <t>דקה, גדעון</t>
  </si>
  <si>
    <t>הלכה ערוכה - אבלות</t>
  </si>
  <si>
    <t>הלכה ערוכה - 10 כר'</t>
  </si>
  <si>
    <t>הכהן, אברהם צבי</t>
  </si>
  <si>
    <t>הלכה פסוקה</t>
  </si>
  <si>
    <t>טודרוס בן צבי הירש מרובנה</t>
  </si>
  <si>
    <t>טורקה Turka</t>
  </si>
  <si>
    <t>הלכה פסוקה - 2 כר'</t>
  </si>
  <si>
    <t>ליפשיץ, צבי הירש פינחס בן יששכר בר</t>
  </si>
  <si>
    <t>תרל"ט - תרס"ט</t>
  </si>
  <si>
    <t>הלכה פסוקה - 9 כר'</t>
  </si>
  <si>
    <t>מכון הרי פישל</t>
  </si>
  <si>
    <t>הלכה רבה - 3 כר'</t>
  </si>
  <si>
    <t>קרוך, יעקב יהודה ליב בן שמעיהו</t>
  </si>
  <si>
    <t>הלכה ומנהג, סוגיות, תלמוד בבלי</t>
  </si>
  <si>
    <t>הלכה שלימה - 4 כר'</t>
  </si>
  <si>
    <t>סודרי, שלמה</t>
  </si>
  <si>
    <t>הלכות "בין הזמנים"</t>
  </si>
  <si>
    <t>שרייבר, דוד בן פנחס</t>
  </si>
  <si>
    <t>הלכות אבלות</t>
  </si>
  <si>
    <t>הלכות איסור והיתר</t>
  </si>
  <si>
    <t>ווייל, אברהם צבי - גולדבלט, חיים טודרוס</t>
  </si>
  <si>
    <t>וויל, אברהם צבי - גולדבלט, טודרוס חיים</t>
  </si>
  <si>
    <t>הלכות אירוסין ונשואין השלם</t>
  </si>
  <si>
    <t>הלכות אישות</t>
  </si>
  <si>
    <t>ילוז, אליהו בן אברהם</t>
  </si>
  <si>
    <t>הלכות אלפסי זוטא</t>
  </si>
  <si>
    <t>הלכות ארץ ישראל מן הגניזה</t>
  </si>
  <si>
    <t>הלכות ארץ ישראל - 2 כר'</t>
  </si>
  <si>
    <t>יעקב בן אשר (בעל הטורים). מיוחס לו</t>
  </si>
  <si>
    <t>הלכות בדיקת הסכין ובדיקת הריאה לרבנו יונה</t>
  </si>
  <si>
    <t>וויען</t>
  </si>
  <si>
    <t>הלכות בדיקת חמץ</t>
  </si>
  <si>
    <t>שטרן, משה בן אברהם - פרידמן, שלמה זלמן</t>
  </si>
  <si>
    <t>הלכות בין המצרים</t>
  </si>
  <si>
    <t>הלכות ביקור חולים</t>
  </si>
  <si>
    <t>רוזנר, אברהם זאב</t>
  </si>
  <si>
    <t>הלכות בית הכנסת</t>
  </si>
  <si>
    <t>הלכות בית כנסת ובית המדרש</t>
  </si>
  <si>
    <t>שפירא, ישראל אידל בן משה יהודה</t>
  </si>
  <si>
    <t>הלכות בכורות וחלה להרמב"ן עם הלכות יום טוב למהרי"ט אלגאזי - 3 כר'</t>
  </si>
  <si>
    <t>משה בן נחמן (רמב"ן) - אלגאזי, יום טוב בן ישראל יעקב</t>
  </si>
  <si>
    <t>הלכות ברכות (אידיש)</t>
  </si>
  <si>
    <t>הלכות ברכות</t>
  </si>
  <si>
    <t>יום טוב בן אברהם אשבילי (ריטב"א)</t>
  </si>
  <si>
    <t>הלכות ברכות, הלכות פסח, ברכות בחשבון, המעשר והעושר</t>
  </si>
  <si>
    <t>מני, אליהו בן סלימאן</t>
  </si>
  <si>
    <t>הלכות בשר בחלב</t>
  </si>
  <si>
    <t>וינגרטן, יוסף דוד בן יהושע שמעון</t>
  </si>
  <si>
    <t>הלכות גדולות &lt;משנה הלכות&gt; - 5 כר'</t>
  </si>
  <si>
    <t>קיירא, שמעון - קליין, מנשה בן אליעזר זאב</t>
  </si>
  <si>
    <t>הלכות גדולות &lt;כת"י פריז&gt;</t>
  </si>
  <si>
    <t>הלכות גדולות &lt;עם הגהות רא"ש טרויב בכ"י&gt;</t>
  </si>
  <si>
    <t>הלכות גדולות &lt;עם פירוש שפת אמת&gt;</t>
  </si>
  <si>
    <t>דרושים, הלכה ומנהג, הלכה ומנהג, שלחן ערוך ומפרשיו, תלמוד בבלי</t>
  </si>
  <si>
    <t>הלכות גדולות</t>
  </si>
  <si>
    <t>הלכות גזל זמן</t>
  </si>
  <si>
    <t>אמינוף, בכור צבי</t>
  </si>
  <si>
    <t>הלכות גידול צאן</t>
  </si>
  <si>
    <t>אייגנר, דוד</t>
  </si>
  <si>
    <t>הלכות דעות &lt;עם ביאור מדות ודעות&gt;</t>
  </si>
  <si>
    <t>משה בן מימון (רמב"ם) - הורביץ, שמריהו ליב</t>
  </si>
  <si>
    <t>הלכות דעות להרמב"ם &lt;עלים לתרופה&gt;</t>
  </si>
  <si>
    <t>הלכות דעות לרמב"ם &lt;נפש ישרה&gt;</t>
  </si>
  <si>
    <t>מוסקבה</t>
  </si>
  <si>
    <t>הלכות דעות לרמב"ם ע"פ דעת יעקב</t>
  </si>
  <si>
    <t>פטרוף, יעקב זאב</t>
  </si>
  <si>
    <t>הלכות דעות עם ספר שערי דעה</t>
  </si>
  <si>
    <t>סופר, שבתי בן יעקב חיים</t>
  </si>
  <si>
    <t>הלכות דעות עם פירוש דעת ישראל - 2 כר'</t>
  </si>
  <si>
    <t>הלכות דעות - 3 כר'</t>
  </si>
  <si>
    <t>הלכות דרב אבא</t>
  </si>
  <si>
    <t>אפשטיין, יעקב נחום בן חיים הלוי</t>
  </si>
  <si>
    <t>הלכות הארץ</t>
  </si>
  <si>
    <t>פרידמן, יואל וחבר רבני מכון התורה והארץ</t>
  </si>
  <si>
    <t>הלכות הגר"א ומנהגיו</t>
  </si>
  <si>
    <t>הלכות הונאה &lt;הרי הלכות&gt;</t>
  </si>
  <si>
    <t>רוזנבלט, העניך יצחק בן אברהם זאב</t>
  </si>
  <si>
    <t>הלכות החג</t>
  </si>
  <si>
    <t>פישמן, גרשון חנוך</t>
  </si>
  <si>
    <t>הלכות החדש</t>
  </si>
  <si>
    <t>הלכות החודש</t>
  </si>
  <si>
    <t>הלכות היזק ראיה</t>
  </si>
  <si>
    <t>גרוסמן, אברהם משה בן יעקב אריה הלוי</t>
  </si>
  <si>
    <t>הלכות המועדים - דיני יום טוב</t>
  </si>
  <si>
    <t>גרוסמן, שלמה זלמן</t>
  </si>
  <si>
    <t>הלכות המצויות במקומות נופש</t>
  </si>
  <si>
    <t>נאומבורג, משה</t>
  </si>
  <si>
    <t>הלכות הנגיד</t>
  </si>
  <si>
    <t>הלכה ומנהג, הלכה ומנהג, נושאים שונים, תולדות עם ישראל, תולדות עם ישראל, תלמוד בבלי</t>
  </si>
  <si>
    <t>הלכות הצלה השלם</t>
  </si>
  <si>
    <t>הלכות הצלה - ב</t>
  </si>
  <si>
    <t>כהן, חיים יודא</t>
  </si>
  <si>
    <t>הלכות הרי"ף - פסחים א &lt;מהדורה מוערת עם שינו"ס&gt;</t>
  </si>
  <si>
    <t>הלכות השבת אבדה &lt;הרי הלכות&gt;</t>
  </si>
  <si>
    <t>הלכות והגדה לפסח</t>
  </si>
  <si>
    <t>הלכות והליכות ביהדות - בר מצוה</t>
  </si>
  <si>
    <t>הלכות והליכות הימים הנוראים</t>
  </si>
  <si>
    <t>קורח, שלמה - צדוק, אוריאל</t>
  </si>
  <si>
    <t>הלכות והליכות ומנהגי ארץ ישראל</t>
  </si>
  <si>
    <t>לוונטל, חיים</t>
  </si>
  <si>
    <t>הלכות והליכות חג הסוכות</t>
  </si>
  <si>
    <t>הלכות והליכות</t>
  </si>
  <si>
    <t>רלב"ג, ירמיהו</t>
  </si>
  <si>
    <t>הלכה ומנהג, הלכה ומנהג, מועדי ישראל, נושאים שונים</t>
  </si>
  <si>
    <t>הלכות ומנהגי ברכת החמה</t>
  </si>
  <si>
    <t>הלכות ומנהגי ערב פסח שחל להיות בשבת</t>
  </si>
  <si>
    <t>הלכות ומנהגים לחג השבועות שחל להיות ביום א</t>
  </si>
  <si>
    <t>הלכות ומנהגים לערב פסח שחל להיות בשבת</t>
  </si>
  <si>
    <t>בית דין צדק ובית הוראה זכרון מאיר</t>
  </si>
  <si>
    <t>הלכות חג בחג - 14 כר'</t>
  </si>
  <si>
    <t>הלכות חגים</t>
  </si>
  <si>
    <t>הלכות חול המועד לרמב"ן עם ביאור חצר המועד</t>
  </si>
  <si>
    <t>משה בן נחמן (רמב"ן) - חיון, צורי בן יהודה</t>
  </si>
  <si>
    <t>הלכות חלה והלכות אבר מן החי</t>
  </si>
  <si>
    <t>מודובסקי, ישראל בן יעקב</t>
  </si>
  <si>
    <t>הלכות חנוכה</t>
  </si>
  <si>
    <t>איידר, שמעון דוד</t>
  </si>
  <si>
    <t>הלכות טומאת אוכלין - מכשירין</t>
  </si>
  <si>
    <t>בוצ'קובסקי, משה יוסף בן ישעיהו דוד</t>
  </si>
  <si>
    <t>הלכות טרפות</t>
  </si>
  <si>
    <t>אבן-יחיא, דוד בן שלמה</t>
  </si>
  <si>
    <t>רע"ה-רע"ח</t>
  </si>
  <si>
    <t>הלכות יובל</t>
  </si>
  <si>
    <t>הלכות יום ביום - 5 כר'</t>
  </si>
  <si>
    <t>הלכות יום טוב (אידיש)</t>
  </si>
  <si>
    <t>הלכות יום טוב</t>
  </si>
  <si>
    <t>קארו, יוסף בן אפרים - סאראוואל, שלמה חי בן נחמיה</t>
  </si>
  <si>
    <t>הלכות יחוד</t>
  </si>
  <si>
    <t>בוגרד, זאב בן אליעזר</t>
  </si>
  <si>
    <t>הלכות כלאים וערלה</t>
  </si>
  <si>
    <t>כהנא, קלמן בן בנימין זאב הכהן</t>
  </si>
  <si>
    <t>הלכות כלי ראשון ושני</t>
  </si>
  <si>
    <t>שטיינהרטר, רפאל בן ישכר</t>
  </si>
  <si>
    <t>הלכות כלים לרמב"ם עם באור דעת משה</t>
  </si>
  <si>
    <t>הלכות כשרות המזון</t>
  </si>
  <si>
    <t>הלכות לשון הרע ורכילות</t>
  </si>
  <si>
    <t>הלכות מבוארות לתלמידים</t>
  </si>
  <si>
    <t>הלכות מדינה - 3 כר'</t>
  </si>
  <si>
    <t>הלכות מליחה</t>
  </si>
  <si>
    <t>ווייסבלאט, מנחם נחום בן יעקב</t>
  </si>
  <si>
    <t>הלכה ומנהג, שלחן ערוך ומפרשיו, שלחן ערוך ומפרשיו</t>
  </si>
  <si>
    <t>הלכות מלמדים</t>
  </si>
  <si>
    <t>רוזנר, אברהם זאב בן אליעזר</t>
  </si>
  <si>
    <t>הלכות מצוות הקרבנות</t>
  </si>
  <si>
    <t>ישיבת הכהנים ללימודי קדשים</t>
  </si>
  <si>
    <t>הלכות מקואות &lt;חידושי הרז"ה&gt;</t>
  </si>
  <si>
    <t>רוזנבליה, זאב וולף בן יואל הלוי</t>
  </si>
  <si>
    <t>הלכות משפט - א</t>
  </si>
  <si>
    <t>קאהן, חיים בן יחיאל מיכל</t>
  </si>
  <si>
    <t>הלכות מתווכים</t>
  </si>
  <si>
    <t>הלכות מתנות כהונה זרוע לחיים וקיבה</t>
  </si>
  <si>
    <t>פלבני, משה</t>
  </si>
  <si>
    <t>הלכות נדה להרמב"ן &lt;עטרת הרמב"ן&gt;</t>
  </si>
  <si>
    <t>הלכות נדה להרמב"ן - פסקי רבינו יונה</t>
  </si>
  <si>
    <t>משה בן נחמן (רמב"ן) - רבינו יונה גירונדי</t>
  </si>
  <si>
    <t>הלכות נדה להרמב"ן - חידושי הרז"ה</t>
  </si>
  <si>
    <t>משה בן נחמן (רמב"ן) - רוזנבליה, זאב וולף בן יואל הלוי</t>
  </si>
  <si>
    <t>הלכות נדה לרא"ה</t>
  </si>
  <si>
    <t>אהרן בן יוסף הלוי מבארצלונה</t>
  </si>
  <si>
    <t>הלכות נדה לרא"ש עם ביאור זר דוד</t>
  </si>
  <si>
    <t>אשר בן יחיאל (רא"ש) - גליק, אלעזר דוד בן ישראל</t>
  </si>
  <si>
    <t>הלכות נדה - 2 כר'</t>
  </si>
  <si>
    <t>הלכות נדה</t>
  </si>
  <si>
    <t>קופיסט Kopys</t>
  </si>
  <si>
    <t>הלכות נזיקין</t>
  </si>
  <si>
    <t>גרוסברג, אהרן חיים</t>
  </si>
  <si>
    <t>הלכות נזיר, הלכות סוטה</t>
  </si>
  <si>
    <t>הלכות נטילת ידים לסעודה והלכות ברכות הנהנין</t>
  </si>
  <si>
    <t>הלכות ניתוחי חולים ומתים</t>
  </si>
  <si>
    <t>כפיר, אלקנה</t>
  </si>
  <si>
    <t>הלכות נשים</t>
  </si>
  <si>
    <t>שטינברג, משה הלוי</t>
  </si>
  <si>
    <t>הלכות סעודה</t>
  </si>
  <si>
    <t>הלכות עולם</t>
  </si>
  <si>
    <t>מייזלש, מאיר בן משה</t>
  </si>
  <si>
    <t>הלכה ומנהג, שלחן ערוך ומפרשיו, תלמוד בבלי, תלמוד בבלי</t>
  </si>
  <si>
    <t>הלכות עיטוף בטלית</t>
  </si>
  <si>
    <t>קוסובר, שלמה עובדיה</t>
  </si>
  <si>
    <t>הלכות עירובי תבשילין</t>
  </si>
  <si>
    <t>אריאל, ניר</t>
  </si>
  <si>
    <t>הלכות עירובין</t>
  </si>
  <si>
    <t>לנגה, אלימלך</t>
  </si>
  <si>
    <t>הלכות ערב פסח שחל בשבת</t>
  </si>
  <si>
    <t>וייסמאן, שמחה יהושע</t>
  </si>
  <si>
    <t>הלכות עשיית עירוב חצרות ובדיקת המחיצות - 2 כר'</t>
  </si>
  <si>
    <t>הלר, אברהם יחיאל הכהן</t>
  </si>
  <si>
    <t>הלכות פסוקות מן הגאונים</t>
  </si>
  <si>
    <t>תשובות הגאונים (רע"ו)</t>
  </si>
  <si>
    <t>הלכות פסוקות - 3 כר'</t>
  </si>
  <si>
    <t>יהודאי בן נחמן גאון</t>
  </si>
  <si>
    <t>ורסי Versailles</t>
  </si>
  <si>
    <t>הלכות פסוקות</t>
  </si>
  <si>
    <t>יעקב בצלאל בן פינחס</t>
  </si>
  <si>
    <t>הלכות פסח (אידיש)</t>
  </si>
  <si>
    <t>הלכות פסח לחולה</t>
  </si>
  <si>
    <t>טננבוים, יעקב</t>
  </si>
  <si>
    <t>הלכות פסח קיצור שלחן ערוך &lt;לקט בני איש&gt;</t>
  </si>
  <si>
    <t>שלנגר, אליקים בן אברהם יצחק</t>
  </si>
  <si>
    <t>הלכות פסח - ב</t>
  </si>
  <si>
    <t>הלכות פסחים</t>
  </si>
  <si>
    <t>אבן-גיאת, יצחק בן יהודה</t>
  </si>
  <si>
    <t>הלכות צדקה</t>
  </si>
  <si>
    <t>הלכות קטנות &lt;הלכה רווחת&gt;</t>
  </si>
  <si>
    <t>הלכות קטנות להרא"ש - מש"ס פפד"מ</t>
  </si>
  <si>
    <t>אשר בן יחיאל</t>
  </si>
  <si>
    <t>הלכות קטנות - 3 כר'</t>
  </si>
  <si>
    <t>הלכות קצובות</t>
  </si>
  <si>
    <t>יהודאי בן נחמן גאון. מיוחס לו</t>
  </si>
  <si>
    <t>הלכות קריאת ספר תורה</t>
  </si>
  <si>
    <t>הלכות קריעה על המקדש</t>
  </si>
  <si>
    <t>הלכות קריעה</t>
  </si>
  <si>
    <t>בן חיים, אברהם בן דוד</t>
  </si>
  <si>
    <t>הלכות ראש חודש ותעניות</t>
  </si>
  <si>
    <t>הלכות רב אלפס  עם ביאור שביל הישר - 16 כר'</t>
  </si>
  <si>
    <t>אלפאסי, יצחק בן יעקב (רי"ף) - שישקס, שאול</t>
  </si>
  <si>
    <t>הלכות רב אלפס &lt;אמ"ד&gt; - 2 כר'</t>
  </si>
  <si>
    <t>ת"ג</t>
  </si>
  <si>
    <t>הלכות רב אלפס &lt;שביל הישר&gt;</t>
  </si>
  <si>
    <t>הלכות רב אלפס (חלקי) - 2 כר'</t>
  </si>
  <si>
    <t>הלכות רב אלפס - 19 כר'</t>
  </si>
  <si>
    <t>ת"ף</t>
  </si>
  <si>
    <t>הלכות רבית עם לקט הלכה</t>
  </si>
  <si>
    <t>יאקאב, יהודה בן יהושע</t>
  </si>
  <si>
    <t>הלכות רבית - ביאור הגר"א עם מקורי הביאור</t>
  </si>
  <si>
    <t>הלכות שביעית</t>
  </si>
  <si>
    <t>רוזנטל, יצחק</t>
  </si>
  <si>
    <t>הלכות שבע ברכות</t>
  </si>
  <si>
    <t>בוסקילה, שאול בן יוסף</t>
  </si>
  <si>
    <t>הלכות שבת (אידיש)</t>
  </si>
  <si>
    <t>הלכות שבת בשבת - 2 כר'</t>
  </si>
  <si>
    <t>אוחיון, שלמה בן מאיר</t>
  </si>
  <si>
    <t>הלכות שבת בשבת - 6 כר'</t>
  </si>
  <si>
    <t>הלכות שבת בשבתו</t>
  </si>
  <si>
    <t>דיקמן, אברהם שלמה</t>
  </si>
  <si>
    <t>הלכות שבת למעשה</t>
  </si>
  <si>
    <t>גארדאן, יוסף אברהם - פלק, פסח אליהו בן אברהם צבי</t>
  </si>
  <si>
    <t>הלכות שבת מנוקד</t>
  </si>
  <si>
    <t>הלכות שבת - 2 כר'</t>
  </si>
  <si>
    <t>הלכות שבת - סיכום סימני הבקיאות</t>
  </si>
  <si>
    <t>דהן, אסף</t>
  </si>
  <si>
    <t>הלכות שבת</t>
  </si>
  <si>
    <t>דרבקין, מנחם</t>
  </si>
  <si>
    <t>הלכות שחיטה ובדיקה</t>
  </si>
  <si>
    <t>מאירי, מאיר בן יעקב אבן יאיר</t>
  </si>
  <si>
    <t>שי"ד</t>
  </si>
  <si>
    <t>סביונטה Sabbioneta</t>
  </si>
  <si>
    <t>מרדכי בן הלל</t>
  </si>
  <si>
    <t>ש"י</t>
  </si>
  <si>
    <t>הלכות שטענז</t>
  </si>
  <si>
    <t>כרמי, יצחק</t>
  </si>
  <si>
    <t>הלכות שטריימל</t>
  </si>
  <si>
    <t>ציון, מרדכי</t>
  </si>
  <si>
    <t>נריה</t>
  </si>
  <si>
    <t>הלכות שכיחות לנופשים</t>
  </si>
  <si>
    <t>שרייבר, דוד אריה לייב בן פינחס</t>
  </si>
  <si>
    <t>הלכות שליח צבור</t>
  </si>
  <si>
    <t>רפאל, שאול</t>
  </si>
  <si>
    <t>הלכות שמחות &lt;מחנה לויה&gt;</t>
  </si>
  <si>
    <t>מאיר בן ברוך מרוטנבורג - הלוי, יהודה בן נתן</t>
  </si>
  <si>
    <t>תקע"ט - תקפ"ח</t>
  </si>
  <si>
    <t>הלכות שמחות &lt;השלם&gt;</t>
  </si>
  <si>
    <t>מאיר בן ברוך מרוטנבורג</t>
  </si>
  <si>
    <t>הלכות שמיטה והלכות תרומות ומעשרות</t>
  </si>
  <si>
    <t>הלכות שמיטת כספים</t>
  </si>
  <si>
    <t>הלכות שמיטת קרקעות</t>
  </si>
  <si>
    <t>הלכות שמירת הדיבור</t>
  </si>
  <si>
    <t>הלכות תולעים</t>
  </si>
  <si>
    <t>הלכות תחומי ארץ ישראל מזמן חז"ל</t>
  </si>
  <si>
    <t>אגודת מטמוני ארץ</t>
  </si>
  <si>
    <t>הלכות תלמוד תורה להרמב"ם &lt;מאורי התורה&gt;</t>
  </si>
  <si>
    <t>נאטאן, מרדכי רפאל בן אברהם</t>
  </si>
  <si>
    <t>הלכות תלמוד תורה לרמב"ם &lt;תורת בנימין&gt;</t>
  </si>
  <si>
    <t>בן דוד, בנימין</t>
  </si>
  <si>
    <t>הלכות תלמוד תורה</t>
  </si>
  <si>
    <t>הלכות תפילין</t>
  </si>
  <si>
    <t>הלכות תפילת הדרך</t>
  </si>
  <si>
    <t>הלכות תפלין</t>
  </si>
  <si>
    <t>קופנהאגן, חיים מיכאל בן אליעזר</t>
  </si>
  <si>
    <t>תקצ"ב-תקצ"ג</t>
  </si>
  <si>
    <t>הלכות תרומות ומעשרות</t>
  </si>
  <si>
    <t>הלכות תשובה ושמונה פרקים להרמב"ם ז"ל</t>
  </si>
  <si>
    <t>משה בן מימון (רמב"ם) - בן שושן, יצחק בן יוסף</t>
  </si>
  <si>
    <t>הלכות תשובה להרמב"ם &lt;מאורי התשובה&gt;</t>
  </si>
  <si>
    <t>הלכות תשובה לרמב"ם &lt;שובי נפשי&gt;</t>
  </si>
  <si>
    <t>הלכתא בטעמא</t>
  </si>
  <si>
    <t>חפץ, אריה ליב זאב וולף בן משה יעקב</t>
  </si>
  <si>
    <t>הלכתא דמלכא - עמק הפתח</t>
  </si>
  <si>
    <t>שוורץ, אהרן בן בנימין יצחק</t>
  </si>
  <si>
    <t>הלכתא למשיחא</t>
  </si>
  <si>
    <t>בירדוגו, יעקב בן יקותיאל</t>
  </si>
  <si>
    <t>הייזלברג, יצחק בן יוסף משה</t>
  </si>
  <si>
    <t>הלכתא למשיחא - 2 כר'</t>
  </si>
  <si>
    <t>הלכתא מאורייתא - 3 כר'</t>
  </si>
  <si>
    <t>כהן, בנימין ישראל</t>
  </si>
  <si>
    <t>הלכתא מבי דינא - 4 כר'</t>
  </si>
  <si>
    <t>בד"צ ובית הוראה - בני ברק בראשות הגר"נ קרליץ</t>
  </si>
  <si>
    <t>הלכתא רבתא לשבתא</t>
  </si>
  <si>
    <t>ברנשטיין, יהודה דוד בן נתן</t>
  </si>
  <si>
    <t>ווייס, שבתי שעפטל</t>
  </si>
  <si>
    <t>הלכה ומנהג, הלכה ומנהג, נושאים שונים, שאלות ותשובות, תולדות עם ישראל</t>
  </si>
  <si>
    <t>הלכתא רבתא - דיני ערב שבת</t>
  </si>
  <si>
    <t>הלכתא רבתי לשחיטה</t>
  </si>
  <si>
    <t>הלל אומר</t>
  </si>
  <si>
    <t>ספר זכרון לרב הלל מרדכי שחור</t>
  </si>
  <si>
    <t>הלל הזקן</t>
  </si>
  <si>
    <t>הלל הכהן - ביאור הגר"א מקוואות</t>
  </si>
  <si>
    <t>גולדברג, הלל בן מתתיה הכהן</t>
  </si>
  <si>
    <t>הלל השלם מבואר</t>
  </si>
  <si>
    <t>מכון שתי הלכות ביום</t>
  </si>
  <si>
    <t>הלל וזמרה</t>
  </si>
  <si>
    <t>הלל וזמרה - על הגדת פסח</t>
  </si>
  <si>
    <t>פולק, פנחס שלום משה חיים</t>
  </si>
  <si>
    <t>הלל ושמחה - חנוכה ופורים</t>
  </si>
  <si>
    <t>הללי נפשי</t>
  </si>
  <si>
    <t>הלנת שכר</t>
  </si>
  <si>
    <t>הלפיד - ב</t>
  </si>
  <si>
    <t>הלקח והלבוב</t>
  </si>
  <si>
    <t>הלקח והליבוב</t>
  </si>
  <si>
    <t>המאור  [ברלין - 3 כר'</t>
  </si>
  <si>
    <t>המאור</t>
  </si>
  <si>
    <t>ברלין-תל אביב</t>
  </si>
  <si>
    <t>המאור &lt;תל אביב&gt; - 4 כר'</t>
  </si>
  <si>
    <t>המאור הגדול - 2 כר'</t>
  </si>
  <si>
    <t>מאיר בן יעקב ישראל עמדן</t>
  </si>
  <si>
    <t>המאור הגדול</t>
  </si>
  <si>
    <t>שוורצמן, מאיר</t>
  </si>
  <si>
    <t>המאור הגדול - תולדות רש"ז אויערבך</t>
  </si>
  <si>
    <t>המאור שבאגדה</t>
  </si>
  <si>
    <t>הורוויץ, יעקב בן שלמה זלמן</t>
  </si>
  <si>
    <t>המאור שבסוכה</t>
  </si>
  <si>
    <t>ישיבת מאור התורה</t>
  </si>
  <si>
    <t>המאור שבתורה</t>
  </si>
  <si>
    <t>המאור שבתורה - 5 כר'</t>
  </si>
  <si>
    <t>תשט"ז - תש"כ</t>
  </si>
  <si>
    <t>מוסדות אור החיים</t>
  </si>
  <si>
    <t>שפירא, שלום צבי בן בנציון הכהן</t>
  </si>
  <si>
    <t>המאור - 2 כר'</t>
  </si>
  <si>
    <t>ירחון התאחדות תלמידי אדמו"ר הגרי"צ דושינסקי</t>
  </si>
  <si>
    <t>המאור - 452 כר'</t>
  </si>
  <si>
    <t>ירחון תורני , אמסעל, מאיר (עורך)</t>
  </si>
  <si>
    <t>המאורות הגדולים לבית ביאלא</t>
  </si>
  <si>
    <t>רוטנברג, אברהם בן אהרן</t>
  </si>
  <si>
    <t>המאורות הגדולים</t>
  </si>
  <si>
    <t>המאיר &lt;ספר זכרון הגר"מ חדש זצ"ל&gt; - 2 כר'</t>
  </si>
  <si>
    <t>המאיר לארץ</t>
  </si>
  <si>
    <t>בראך, שלום יוסף (עורך)</t>
  </si>
  <si>
    <t>המאיר לארץ - 8 כר'</t>
  </si>
  <si>
    <t>גפן, ישראל צבי בן שמואל</t>
  </si>
  <si>
    <t>טוויג, רחמים בן מאיר</t>
  </si>
  <si>
    <t>סולובייצ'יק, מאיר בן בצלאל</t>
  </si>
  <si>
    <t>המאיר לארץ - 2 כר'</t>
  </si>
  <si>
    <t>המאיר לחיים - 5 כר'</t>
  </si>
  <si>
    <t>ביתאן, חיים</t>
  </si>
  <si>
    <t>המאיר לישראל</t>
  </si>
  <si>
    <t>אפען, מנחם משה</t>
  </si>
  <si>
    <t>המאיר למשפט</t>
  </si>
  <si>
    <t>וויס, חיים מאיר בן יוסף</t>
  </si>
  <si>
    <t>המאיר לעולם - 3 כר'</t>
  </si>
  <si>
    <t>רבינוביץ, מאיר מיכל בן שלום</t>
  </si>
  <si>
    <t>המאיר - א (קידושין)</t>
  </si>
  <si>
    <t>קובץ ישיבת בית מאיר ניו יורק</t>
  </si>
  <si>
    <t>המאיר - 9 כר'</t>
  </si>
  <si>
    <t>קובץ ישיבת בית מאיר</t>
  </si>
  <si>
    <t>המאמין והמשתדל</t>
  </si>
  <si>
    <t>המאמר בנשים הליליות</t>
  </si>
  <si>
    <t>אברהם בן יצחק הלוי תמך</t>
  </si>
  <si>
    <t>רע"ה - ר"פ</t>
  </si>
  <si>
    <t>המאסף &lt;מכון הכתב&gt; - 7 כר'</t>
  </si>
  <si>
    <t>מכון הכתב</t>
  </si>
  <si>
    <t>המאסף והמזכיר</t>
  </si>
  <si>
    <t>תרנ"ב - (תרנ"ד)</t>
  </si>
  <si>
    <t>ברדיטשוב - Odessa</t>
  </si>
  <si>
    <t>המאסף - 7 כר'</t>
  </si>
  <si>
    <t>המאסף - 20 כר'</t>
  </si>
  <si>
    <t>קואינקה, בן ציון אברהם (עורך)</t>
  </si>
  <si>
    <t>המאסף</t>
  </si>
  <si>
    <t>המבאר</t>
  </si>
  <si>
    <t>הרצמאן, חיים בן שלום הלוי</t>
  </si>
  <si>
    <t>המבחן הארצי בגמרא</t>
  </si>
  <si>
    <t>מרכז החינוך העצמאי בישראל</t>
  </si>
  <si>
    <t>הקד' תשי"ט</t>
  </si>
  <si>
    <t>המביא ברכה</t>
  </si>
  <si>
    <t>המברך יתברך</t>
  </si>
  <si>
    <t>המבשר תורני - 539 כר'</t>
  </si>
  <si>
    <t>המוסף התורני של עתון המבשר</t>
  </si>
  <si>
    <t>המבשר - ב</t>
  </si>
  <si>
    <t>אריאל, יגאל</t>
  </si>
  <si>
    <t>חיספין</t>
  </si>
  <si>
    <t>המגיד דורש ציון</t>
  </si>
  <si>
    <t>ריבלין, שלמה זלמן</t>
  </si>
  <si>
    <t>המגיד ממזריטש</t>
  </si>
  <si>
    <t>קלפהולץ, יעקב ישראל</t>
  </si>
  <si>
    <t>המדע והחיים</t>
  </si>
  <si>
    <t>המדפיס  קורנילייו אדיל קינד ובנו דניאל</t>
  </si>
  <si>
    <t>הברמן, אברהם מאיר בן אורי פייבל - יודלוב, יצחק</t>
  </si>
  <si>
    <t>המדפיס זואן די גארה</t>
  </si>
  <si>
    <t>המדפיסים בני חיים העליץ</t>
  </si>
  <si>
    <t>המדפיסים בני שונצינו</t>
  </si>
  <si>
    <t>המדריך האישי שלך - הורים ומחנכים</t>
  </si>
  <si>
    <t>ימי עיון</t>
  </si>
  <si>
    <t>המדריך המלא לנישואין מאושרים - 2 כר'</t>
  </si>
  <si>
    <t>המדריך התורני לארץ ישראל</t>
  </si>
  <si>
    <t>לוונטל חיים - ויא, משה</t>
  </si>
  <si>
    <t>המדריך להוראה - 2 כר'</t>
  </si>
  <si>
    <t>מכון המדריך להוראה</t>
  </si>
  <si>
    <t>המדריך להקניית הקריאה בשלבים</t>
  </si>
  <si>
    <t>המדריך ליולדת לאבי הבן המוהל</t>
  </si>
  <si>
    <t>בוכריס, אשר</t>
  </si>
  <si>
    <t>המדריך</t>
  </si>
  <si>
    <t>תלמוד בבלי. תרס"ב. פרסבורג</t>
  </si>
  <si>
    <t>המדרש וההגיון</t>
  </si>
  <si>
    <t>ברמאן, אפרים בן אברהם דוד</t>
  </si>
  <si>
    <t>המדרש והמעשה &lt;עמק הלכה&gt; - 5 כר'</t>
  </si>
  <si>
    <t>ליבשיץ, יחזקאל בן הילל אריה ליב</t>
  </si>
  <si>
    <t>המדרש והמעשה - 5 כר'</t>
  </si>
  <si>
    <t>תרס"א - תרפ"ט</t>
  </si>
  <si>
    <t>המדרש והמעשה - 3 כר'</t>
  </si>
  <si>
    <t>מוסדות צאנז בני ברק</t>
  </si>
  <si>
    <t>המדרש והמשנה</t>
  </si>
  <si>
    <t>המדרש כהלכה</t>
  </si>
  <si>
    <t>(נס-ציונה),</t>
  </si>
  <si>
    <t>המהפך העולמי - להחזרת עטרת סת"ם ליושנה</t>
  </si>
  <si>
    <t>גרינפלד, דוד ליב</t>
  </si>
  <si>
    <t>המהפך - 4 כר'</t>
  </si>
  <si>
    <t>המהר"ל המבואר - 2 כר'</t>
  </si>
  <si>
    <t>יהודה ליווא בן בצלאל (מהר"ל) מפראג - שילה, אביגדור</t>
  </si>
  <si>
    <t>המודד</t>
  </si>
  <si>
    <t>ניימאן, יצחק פסח בן שלמה טוביה</t>
  </si>
  <si>
    <t>המודיע - 12 כר'</t>
  </si>
  <si>
    <t>עתון אורתודוכסי</t>
  </si>
  <si>
    <t>פולטובה</t>
  </si>
  <si>
    <t>המון חוגג</t>
  </si>
  <si>
    <t>חאבילייו, אלישע מירקאדו בן שלמה</t>
  </si>
  <si>
    <t>המוסר והדעת - 5 כר'</t>
  </si>
  <si>
    <t>תשי"ז - תשל"ג</t>
  </si>
  <si>
    <t>המוסר והיראה - מרגניתא טבא</t>
  </si>
  <si>
    <t>יהונתן משה דוב בן אפרים הלוי</t>
  </si>
  <si>
    <t>המוסר והנועם - 3 כר'</t>
  </si>
  <si>
    <t>נייוונר, ישראל דוד</t>
  </si>
  <si>
    <t>המוסר</t>
  </si>
  <si>
    <t>אבן אפרים ממודינה</t>
  </si>
  <si>
    <t>המועדים בהלכה &lt;מהדורה חדשה&gt; - 2 כר'</t>
  </si>
  <si>
    <t>המועדים בהלכה</t>
  </si>
  <si>
    <t>המועדים כהלכתם</t>
  </si>
  <si>
    <t>המופלא והמיוחד - א</t>
  </si>
  <si>
    <t>המוציא יין</t>
  </si>
  <si>
    <t>חסידים, אמציה</t>
  </si>
  <si>
    <t>משנה, נושאים שונים, תלמוד בבלי, תנ"ך</t>
  </si>
  <si>
    <t>המזוזה עם אור המצות</t>
  </si>
  <si>
    <t>המזכיר</t>
  </si>
  <si>
    <t>רבינוביץ, שמואל יעקב בן יששכר בר</t>
  </si>
  <si>
    <t>המזלות</t>
  </si>
  <si>
    <t>המחדד</t>
  </si>
  <si>
    <t>כלבו, אברהם בן משה יחיאל</t>
  </si>
  <si>
    <t>המחדש בטובו</t>
  </si>
  <si>
    <t>ראובן, אהרן</t>
  </si>
  <si>
    <t>המחזור המבואר השלם &lt;ספרד&gt; - 2 כר'</t>
  </si>
  <si>
    <t>סגל, גדליה</t>
  </si>
  <si>
    <t>המחזור המדוייק איש מצליח - 5 כר'</t>
  </si>
  <si>
    <t>תפילות. מחזור. בני ברק</t>
  </si>
  <si>
    <t>המחזור כסדר האשכנזים</t>
  </si>
  <si>
    <t>תפילות. מחזור. רצ"ו. אוגסבורג</t>
  </si>
  <si>
    <t>רצ"ו</t>
  </si>
  <si>
    <t>המחזור</t>
  </si>
  <si>
    <t>זעקל בן אהרון</t>
  </si>
  <si>
    <t>המחזיר שכינתו לציון</t>
  </si>
  <si>
    <t>בוגנים, ציון שמעון</t>
  </si>
  <si>
    <t>לקט מאמרים</t>
  </si>
  <si>
    <t>המחנה החרדי - 289 כר'</t>
  </si>
  <si>
    <t>קהל מחזיקי הדת</t>
  </si>
  <si>
    <t>המטבח בשמיטה</t>
  </si>
  <si>
    <t>המטבח הכשר</t>
  </si>
  <si>
    <t>המטיף (ביידיש)</t>
  </si>
  <si>
    <t>המטיף</t>
  </si>
  <si>
    <t>המטמון</t>
  </si>
  <si>
    <t>עמאר, רבקה</t>
  </si>
  <si>
    <t>המינים המהודרים</t>
  </si>
  <si>
    <t>מרמורשטיין, אלטר אליהו בן אהרן צבי</t>
  </si>
  <si>
    <t>המיסיון בישראל</t>
  </si>
  <si>
    <t>בן זאב, ישראל</t>
  </si>
  <si>
    <t>המכונית והלכותיה - 2 כר'</t>
  </si>
  <si>
    <t>קשאני, יצחק</t>
  </si>
  <si>
    <t>המכלולים להרקב"ג</t>
  </si>
  <si>
    <t>דיקמאן, יעקב קופל צבי בן גבריאל</t>
  </si>
  <si>
    <t>המכשיל את חברו</t>
  </si>
  <si>
    <t>המכתם - 7 כר'</t>
  </si>
  <si>
    <t>דוד בן לוי מנארבונה</t>
  </si>
  <si>
    <t>המלאך רפאל</t>
  </si>
  <si>
    <t>אלנקווה, יוסף בן חיים - אנקאווא, רפאל בן מרדכי (אודותיו)</t>
  </si>
  <si>
    <t>המלבי"ם</t>
  </si>
  <si>
    <t>גלר, יעקב</t>
  </si>
  <si>
    <t>המלואים או משביר החדש</t>
  </si>
  <si>
    <t>שיינהאק, יוסף בן בנימין דוב</t>
  </si>
  <si>
    <t>המלואים למשה</t>
  </si>
  <si>
    <t>מימון, משה בן יצחק</t>
  </si>
  <si>
    <t>המלוכה והממשלה</t>
  </si>
  <si>
    <t>המלחמה האחרונה</t>
  </si>
  <si>
    <t>המלחמה והמצור</t>
  </si>
  <si>
    <t>אמסטרדם,</t>
  </si>
  <si>
    <t>המליכו ולא ממני</t>
  </si>
  <si>
    <t>האס, ראובן יוסף</t>
  </si>
  <si>
    <t>המלים</t>
  </si>
  <si>
    <t>חונס, יצחק דוב בר בן גדליהו</t>
  </si>
  <si>
    <t>המלך הקדוש</t>
  </si>
  <si>
    <t>המלמד ידי</t>
  </si>
  <si>
    <t>חדאד, כמוס</t>
  </si>
  <si>
    <t>המלמד</t>
  </si>
  <si>
    <t>נושאים שונים, תלמוד בבלי, תלמוד בבלי, תלמוד בבלי</t>
  </si>
  <si>
    <t>הממהרים לבוא</t>
  </si>
  <si>
    <t>המנהג האיטלקי בירושלים עיה"ק - 2 כר'</t>
  </si>
  <si>
    <t>הרטום, מנחם</t>
  </si>
  <si>
    <t>המנהל בדרך סלולה</t>
  </si>
  <si>
    <t>בלושטיין, עוזר בן אליעזר</t>
  </si>
  <si>
    <t>המנורה הטהורה - 3 כר'</t>
  </si>
  <si>
    <t>מדר, יצחק</t>
  </si>
  <si>
    <t>המסדרונה - שנה שניה</t>
  </si>
  <si>
    <t>המסולאים בפז - 2 כר'</t>
  </si>
  <si>
    <t>טובולסקי, אליהו בן אברהם</t>
  </si>
  <si>
    <t>המסורה הגדולה לתורה &lt;כתב יד ל&gt; - 2 כר'</t>
  </si>
  <si>
    <t>שמואל בן יעקב - ברויאר, מרדכי (מהדיר)</t>
  </si>
  <si>
    <t>המסורה לחומש מקראות גדולות - 3 כר'</t>
  </si>
  <si>
    <t>פרלמן, מיכאל בן בנימין יעקב</t>
  </si>
  <si>
    <t>המסורה</t>
  </si>
  <si>
    <t>המסורה - 6 כר'</t>
  </si>
  <si>
    <t>מסורה</t>
  </si>
  <si>
    <t>תר"מ- תרס"ה</t>
  </si>
  <si>
    <t>המסורת בספרי הרמב"ם</t>
  </si>
  <si>
    <t>רבל, אליעזר צבי בן דוב</t>
  </si>
  <si>
    <t>ניו-יארק,</t>
  </si>
  <si>
    <t>המסילה &lt;לונדון&gt; - א</t>
  </si>
  <si>
    <t>ועד הרבנים דפדריישן לונדון</t>
  </si>
  <si>
    <t>המסילה - 7 כר'</t>
  </si>
  <si>
    <t>בטאון בני הישיבות יוצאי תימן</t>
  </si>
  <si>
    <t>המסילה - 12 כר'</t>
  </si>
  <si>
    <t>ועד הרבנים דניו יארק רבתי</t>
  </si>
  <si>
    <t>המסילה</t>
  </si>
  <si>
    <t>כולל חכמי ירושלים</t>
  </si>
  <si>
    <t>המסירות נפש של כלל ישראל</t>
  </si>
  <si>
    <t>המסלות</t>
  </si>
  <si>
    <t>אדלמאן, שמחה ראובן בן חיים יהודה ליב</t>
  </si>
  <si>
    <t>המסע אל האושר</t>
  </si>
  <si>
    <t>המסע של קרן התורה אל אתרי התרבות היהודית במזרח</t>
  </si>
  <si>
    <t>קרליבך, יוסף</t>
  </si>
  <si>
    <t>המספיק לעובדי ה' &lt;מקור ערבי ותרגום אנגלי&gt; - ב</t>
  </si>
  <si>
    <t>המספיק לעובדי ה' &lt;תרגום חדש&gt;</t>
  </si>
  <si>
    <t>המספיק לעובדי ה'</t>
  </si>
  <si>
    <t>המסר במאורעות תשע"ו</t>
  </si>
  <si>
    <t>המסר שיש ללמוד ממהומות הר הבית</t>
  </si>
  <si>
    <t>המסתורין במועדים</t>
  </si>
  <si>
    <t>המסתורין שבגימטריה וסוד השמחה</t>
  </si>
  <si>
    <t>המעטפה</t>
  </si>
  <si>
    <t>שוהם, הלל</t>
  </si>
  <si>
    <t>המעיין הנצחי</t>
  </si>
  <si>
    <t>אסטרייכר, צבי בן משה</t>
  </si>
  <si>
    <t>המעין &lt;סדרה ישנה&gt; - 5 כר'</t>
  </si>
  <si>
    <t>המעין</t>
  </si>
  <si>
    <t>פעסט</t>
  </si>
  <si>
    <t>המעין &lt;פרשבורג&gt; - 20 כר'</t>
  </si>
  <si>
    <t>ירחון תורני - ישיבת פרשבורג</t>
  </si>
  <si>
    <t>המעין &lt;פרשבורג חדש&gt; - 2 כר'</t>
  </si>
  <si>
    <t>ישיבת פרשבורג</t>
  </si>
  <si>
    <t>המעין &lt;שבט סופר&gt; - ג</t>
  </si>
  <si>
    <t>המעין &lt;פרשבורג&gt;</t>
  </si>
  <si>
    <t>שיינברגר, יוסף עורך</t>
  </si>
  <si>
    <t>המעין המתגבר - 2 כר'</t>
  </si>
  <si>
    <t>המעין הנובע - תולדות הגרי"ד גולדשטיין</t>
  </si>
  <si>
    <t>גולדשטיין, ישכר דב (עליו)</t>
  </si>
  <si>
    <t>המעין הנובע - 5 כר'</t>
  </si>
  <si>
    <t>הרץ, יוסף (מלקט)</t>
  </si>
  <si>
    <t>המעין הקדוש - ח</t>
  </si>
  <si>
    <t>המעין - 103 כר'</t>
  </si>
  <si>
    <t>המעיר בבוקר - 2 כר'</t>
  </si>
  <si>
    <t>קרלינסקי, יעקב בן משה נתן</t>
  </si>
  <si>
    <t>המעלות לדוד - חג השבועות</t>
  </si>
  <si>
    <t>הבא"ר</t>
  </si>
  <si>
    <t>המעלות לדרגות ימות המשיח</t>
  </si>
  <si>
    <t>לא נודע שם מחברו</t>
  </si>
  <si>
    <t>המעלות לשלמה</t>
  </si>
  <si>
    <t>המעלות לשלמה - 2 כר'</t>
  </si>
  <si>
    <t>אלכסנדריה Alexandria</t>
  </si>
  <si>
    <t>המעריך</t>
  </si>
  <si>
    <t>המערכה על הצלת הרבנות בישראל</t>
  </si>
  <si>
    <t>הועד להצלת הרבנות</t>
  </si>
  <si>
    <t>המעשה והמדרש</t>
  </si>
  <si>
    <t>המעשר והתרומה &lt;מהדורה ישנה&gt;</t>
  </si>
  <si>
    <t>תרצ"ט - תש"ב.</t>
  </si>
  <si>
    <t>המעשר והתרומה</t>
  </si>
  <si>
    <t>המפלפל</t>
  </si>
  <si>
    <t>ראק, מאיר (עורך)</t>
  </si>
  <si>
    <t>המפתח השלם לספרי רבי צדוק הכהן מלובלין - 5 כר'</t>
  </si>
  <si>
    <t>הירש, חיים</t>
  </si>
  <si>
    <t>המפתח של מנעולי התלמוד</t>
  </si>
  <si>
    <t>נסים בן יעקב מקירואן</t>
  </si>
  <si>
    <t>המפתח</t>
  </si>
  <si>
    <t>רגק, נתן בן חיים</t>
  </si>
  <si>
    <t>תשט"ו-תשי"ז</t>
  </si>
  <si>
    <t>המצאה חדשה</t>
  </si>
  <si>
    <t>פיזא, משה בן יהודה</t>
  </si>
  <si>
    <t>המצוה המבוארת - 10 כר'</t>
  </si>
  <si>
    <t>אטלס, אברהם (עורך)</t>
  </si>
  <si>
    <t>המצוה והמקרא</t>
  </si>
  <si>
    <t>רבינוביץ, אברהם צבי בן ראובן הלוי</t>
  </si>
  <si>
    <t>המצפה - 5 כר'</t>
  </si>
  <si>
    <t>המצפה</t>
  </si>
  <si>
    <t>המקבץ - 2 כר'</t>
  </si>
  <si>
    <t>מכון באר התורה</t>
  </si>
  <si>
    <t>המקדש השלישי</t>
  </si>
  <si>
    <t>המקדש וקדשיו - 2 כר'</t>
  </si>
  <si>
    <t>המקדש שמו ברבים</t>
  </si>
  <si>
    <t>המקובל רבי אברהם אבולעפיה - ב</t>
  </si>
  <si>
    <t>בר יוסף, דוד</t>
  </si>
  <si>
    <t>המקום מרחק - יבמות</t>
  </si>
  <si>
    <t>קליין, ראובן חיים</t>
  </si>
  <si>
    <t>המקומות הקדושים בארץ ישראל</t>
  </si>
  <si>
    <t>המקומות הקדושים מהותם והלכותיהם</t>
  </si>
  <si>
    <t>המקומות הקדושים</t>
  </si>
  <si>
    <t>המקורבים - תשע"ט</t>
  </si>
  <si>
    <t>המקח והממכר &lt;זר זהב - עמק השער&gt;</t>
  </si>
  <si>
    <t>האיי בן שרירא גאון - ליפקוביץ מיכל יהודה בן משה דוד</t>
  </si>
  <si>
    <t>המקח והממכר &lt;זר זהב&gt; - 2 כר'</t>
  </si>
  <si>
    <t>האיי בן שרירא גאון</t>
  </si>
  <si>
    <t>המקח והממכר - 2 כר'</t>
  </si>
  <si>
    <t>המקנה &lt;מהדורה חדשה&gt;</t>
  </si>
  <si>
    <t>המקצוע - 2 כר'</t>
  </si>
  <si>
    <t>סימקאוויטש, יצחק מאיר בן שמואל אברהם</t>
  </si>
  <si>
    <t>המקצוע - ג</t>
  </si>
  <si>
    <t>סימקאוויטש, יצחק מאיר בן שמואל</t>
  </si>
  <si>
    <t>המרבה לספר</t>
  </si>
  <si>
    <t>המרד של מארדי</t>
  </si>
  <si>
    <t>המרכז הקהילתי איחוד שיבת ציון תרצ"ח תשע"ג</t>
  </si>
  <si>
    <t>איחוד שיבת ציון</t>
  </si>
  <si>
    <t>המשא</t>
  </si>
  <si>
    <t>מאיר, יעקב בן כלב</t>
  </si>
  <si>
    <t>המשביר - 3 כר'</t>
  </si>
  <si>
    <t>המשביר</t>
  </si>
  <si>
    <t>תרי"ז - תרי"ח</t>
  </si>
  <si>
    <t>נושאים שונים, שונות, תלמוד בבלי</t>
  </si>
  <si>
    <t>המשגיח דקמניץ</t>
  </si>
  <si>
    <t>המשגיח ר' מאיר</t>
  </si>
  <si>
    <t>אזרחי, שולמית</t>
  </si>
  <si>
    <t>המשכילים יזהירו</t>
  </si>
  <si>
    <t>מאמאן, משה בן מרדכי</t>
  </si>
  <si>
    <t>המשכן וכליו</t>
  </si>
  <si>
    <t>המשנה הראשונה ופלוגתא דתנאי</t>
  </si>
  <si>
    <t>הופמאן, דוד צבי בן משה</t>
  </si>
  <si>
    <t>משנה, משנה, נושאים שונים</t>
  </si>
  <si>
    <t>המשנה והתוספתא</t>
  </si>
  <si>
    <t>זאלקינד, יעקב מאיר בן מרדכי יהודה הלוי</t>
  </si>
  <si>
    <t>משנה, משנה, שאר ספרי חז"ל</t>
  </si>
  <si>
    <t>המשניות המבוארות מי באר - 12 כר'</t>
  </si>
  <si>
    <t>קנובל, מרדכי יהושע</t>
  </si>
  <si>
    <t>המשפחה בישראל ויעודה</t>
  </si>
  <si>
    <t>נויבירט, אהרן</t>
  </si>
  <si>
    <t>המשפחה בישראל</t>
  </si>
  <si>
    <t>המרכז לטהרת המשפחה</t>
  </si>
  <si>
    <t>המשפחה היהודית - 2 כר'</t>
  </si>
  <si>
    <t>אנטולגיה ספרותית מסורתית</t>
  </si>
  <si>
    <t>המשפט העברי בקהילות מרוקו - התקנות</t>
  </si>
  <si>
    <t>מכון תולדות</t>
  </si>
  <si>
    <t>המשפטים האלה</t>
  </si>
  <si>
    <t>המתיבתא - 28 כר'</t>
  </si>
  <si>
    <t>מתיבתא תורה ודעת</t>
  </si>
  <si>
    <t>המתמיד - על רבי עובדיה יוסף</t>
  </si>
  <si>
    <t>המתמידים</t>
  </si>
  <si>
    <t>הן גאלתי</t>
  </si>
  <si>
    <t>דייטש, שמואל חיים</t>
  </si>
  <si>
    <t>הן עם לבדד ישכון</t>
  </si>
  <si>
    <t>הרצוג, יעקב בן יצחק אייזק הלוי</t>
  </si>
  <si>
    <t>הן קול חדש</t>
  </si>
  <si>
    <t>הנאדר בקדושים</t>
  </si>
  <si>
    <t>הנאום והדרוש - 3 כר'</t>
  </si>
  <si>
    <t>הנאום והמאמר</t>
  </si>
  <si>
    <t>זילברשטיין, דוד צבי בן אביגדור</t>
  </si>
  <si>
    <t>הנאמן - 81 כר'</t>
  </si>
  <si>
    <t>הנאמרים באמת - 3 כר'</t>
  </si>
  <si>
    <t>גודמן, יואל יצחק</t>
  </si>
  <si>
    <t>הנביא יחזקאל</t>
  </si>
  <si>
    <t>הנביאים ראשונים - 2 כר'</t>
  </si>
  <si>
    <t>לוי בן גרשון (רלב"ג) - קמחי, דוד בן יוסף (רד"ק)</t>
  </si>
  <si>
    <t>רנ"ד</t>
  </si>
  <si>
    <t>ליריה Liria</t>
  </si>
  <si>
    <t>הנדר מסיביר למירון</t>
  </si>
  <si>
    <t>ישראלי, יואב</t>
  </si>
  <si>
    <t>הנה אני</t>
  </si>
  <si>
    <t>ברנדוויין, יצחק לייב</t>
  </si>
  <si>
    <t>הנה באוהל - סוכה</t>
  </si>
  <si>
    <t>שמש, חננאל הכהן</t>
  </si>
  <si>
    <t>הנה ימים באים</t>
  </si>
  <si>
    <t>הנה מלכך יבוא לך</t>
  </si>
  <si>
    <t>הנהגה ברורה</t>
  </si>
  <si>
    <t>וולף, אליהו</t>
  </si>
  <si>
    <t>הנהגה כהלכה</t>
  </si>
  <si>
    <t>הנהגות אדם - 2 כר'</t>
  </si>
  <si>
    <t>ליפשיץ, יהודה ליב בן יצחק</t>
  </si>
  <si>
    <t>קבלה, קבלה</t>
  </si>
  <si>
    <t>הנהגות החינוך</t>
  </si>
  <si>
    <t>בלום, צבי אלימלך בן מרדכי דוד</t>
  </si>
  <si>
    <t>הנהגות ואורחות חיים</t>
  </si>
  <si>
    <t>גרינברג, שמואל בן שלמה</t>
  </si>
  <si>
    <t>הנהגות וסדר היום מצדיקי קרלין</t>
  </si>
  <si>
    <t>פרלוב, אהרן בן יעקב</t>
  </si>
  <si>
    <t>הנהגות טובות</t>
  </si>
  <si>
    <t>סימנר, זכריה בן יעקב</t>
  </si>
  <si>
    <t>הנהגות יום יום - א</t>
  </si>
  <si>
    <t>רבי, חיים</t>
  </si>
  <si>
    <t>הנהגות ישראל</t>
  </si>
  <si>
    <t>ישראל בן מאיר ירל</t>
  </si>
  <si>
    <t>הנהגות כשרות וסדרי שחיטת עוף והודו</t>
  </si>
  <si>
    <t>רושגולד, ברוך בנימין</t>
  </si>
  <si>
    <t>הנהגות לשבת קדש - א</t>
  </si>
  <si>
    <t>הנהגות מכל השנה</t>
  </si>
  <si>
    <t>מרדכי בן שבתי</t>
  </si>
  <si>
    <t>הנהגות מלמדים עם התלמידים</t>
  </si>
  <si>
    <t>[סדילקוב Sudilkov</t>
  </si>
  <si>
    <t>הנהגות צדיקים</t>
  </si>
  <si>
    <t>הנהגות צדיקים - 8 כר'</t>
  </si>
  <si>
    <t>רוטנברג, חיים שלמה הלוי (עורך)</t>
  </si>
  <si>
    <t>הנהגות קבליות בשבת</t>
  </si>
  <si>
    <t>חלמיש, משה</t>
  </si>
  <si>
    <t>הנהגות ראש השנה</t>
  </si>
  <si>
    <t>הנהגות - 6 כר'</t>
  </si>
  <si>
    <t>הנהגת בית הכנסת</t>
  </si>
  <si>
    <t>אמשטרדאם. קהילת האשכנזים</t>
  </si>
  <si>
    <t>הנהגת הבריאות &lt;כתבים רפואיים&gt;</t>
  </si>
  <si>
    <t>תשי"ז - תשכ"ט</t>
  </si>
  <si>
    <t>הנהגת הדבר לפילוניו</t>
  </si>
  <si>
    <t>די טאראנטא, וואלסקוס</t>
  </si>
  <si>
    <t>הנהגת ליל הסדר</t>
  </si>
  <si>
    <t>שכטר, דן</t>
  </si>
  <si>
    <t>הנהגת מהרש"ל</t>
  </si>
  <si>
    <t>מת, משה בן אברהם מפרמישלה</t>
  </si>
  <si>
    <t>הלכה ומנהג, הלכה ומנהג, הלכה ומנהג</t>
  </si>
  <si>
    <t>הנהר המטהר</t>
  </si>
  <si>
    <t>מלוקט מספרי מוהר"ן מברסלב</t>
  </si>
  <si>
    <t>הנוטריקון הסימנים והכנויים</t>
  </si>
  <si>
    <t>היילפרין, מאיר בן ישראל</t>
  </si>
  <si>
    <t>הנוי הצלחה &lt;תשועת ישראל&gt; - פירוש על אקדמות</t>
  </si>
  <si>
    <t>ניימן, יונה אייזיק</t>
  </si>
  <si>
    <t>הנוי והנצח</t>
  </si>
  <si>
    <t>הנוספות למנחת שי</t>
  </si>
  <si>
    <t>נורצי, ידידיה שלמה רפאל בן אברהם - בצר, צבי</t>
  </si>
  <si>
    <t>הנוער והחנוך</t>
  </si>
  <si>
    <t>לוין, יצחק מאיר</t>
  </si>
  <si>
    <t>הנותן אמרי שפר</t>
  </si>
  <si>
    <t>אבן-חיים, אליהו בן ברוך (ראנ"ח)</t>
  </si>
  <si>
    <t>הנותן בים דרך</t>
  </si>
  <si>
    <t>הנותן ליעף כח</t>
  </si>
  <si>
    <t>בני הישיבות</t>
  </si>
  <si>
    <t>הנותן שלג</t>
  </si>
  <si>
    <t>הנחית הלכתיות לצוות הסיעודי</t>
  </si>
  <si>
    <t>בית החולים שערי צדק</t>
  </si>
  <si>
    <t>הנחלות בארץ ישראל</t>
  </si>
  <si>
    <t>צייטלין, יצחק צבי</t>
  </si>
  <si>
    <t>הנחמדים מזהב - 5 כר'</t>
  </si>
  <si>
    <t>הופמן, יוסף בן שלמה צדוק</t>
  </si>
  <si>
    <t>הנחמדים מזהב - ברכת כהנים</t>
  </si>
  <si>
    <t>הנחמדים מזהב</t>
  </si>
  <si>
    <t>קנובליך, שלמה זלמן בן חיים אלתר</t>
  </si>
  <si>
    <t>הנחמדים מפז</t>
  </si>
  <si>
    <t>הנחשונים על כנפי נשרים מתימן</t>
  </si>
  <si>
    <t>הניגון והריקוד בחסידות - א</t>
  </si>
  <si>
    <t>גשורי, מאיר שמעון בן אליעזר</t>
  </si>
  <si>
    <t>תשט"ו -</t>
  </si>
  <si>
    <t>הניגון של הצדיק</t>
  </si>
  <si>
    <t>מינץ, גיא צבי</t>
  </si>
  <si>
    <t>הנידון לחיים</t>
  </si>
  <si>
    <t>גוביץ, יוסף צבי</t>
  </si>
  <si>
    <t>הניעור כל הלילה</t>
  </si>
  <si>
    <t>הנישואין בהלכה ובאגדה</t>
  </si>
  <si>
    <t>הנסיונות</t>
  </si>
  <si>
    <t>שוורץ, מ</t>
  </si>
  <si>
    <t>הנפילים היו בארץ</t>
  </si>
  <si>
    <t>רוטנברג, שמואל בן הלל</t>
  </si>
  <si>
    <t>הנפש החכמה - 2 כר'</t>
  </si>
  <si>
    <t>משה בן שם טוב די-ליאון</t>
  </si>
  <si>
    <t>הנצו הרימונים</t>
  </si>
  <si>
    <t>אליסון, אבנר</t>
  </si>
  <si>
    <t>הנצו הרמונים</t>
  </si>
  <si>
    <t>הנצח - 2 כר'</t>
  </si>
  <si>
    <t>הנצח</t>
  </si>
  <si>
    <t>הנקודה הפנימית שבת</t>
  </si>
  <si>
    <t>הנקמה והנחמה</t>
  </si>
  <si>
    <t>ויינברגר, צבי - חפץ, ברוך</t>
  </si>
  <si>
    <t>הנשאר בציון</t>
  </si>
  <si>
    <t>טייטלבוים, שמואל צבי בן יששכר בר</t>
  </si>
  <si>
    <t>הנשואין - משימה</t>
  </si>
  <si>
    <t>בצרי, סימה</t>
  </si>
  <si>
    <t>הנשמה והקדיש</t>
  </si>
  <si>
    <t>הנשמות מספרות &lt;רוחות מספרות&gt;</t>
  </si>
  <si>
    <t>הנשק העדין</t>
  </si>
  <si>
    <t>הנשר הגדול בבית הספרים</t>
  </si>
  <si>
    <t>דוד, אברהם (עורך)</t>
  </si>
  <si>
    <t>הנשר - 137 כר'</t>
  </si>
  <si>
    <t>יוסף כהן צדק</t>
  </si>
  <si>
    <t>הנשר - 13 כר'</t>
  </si>
  <si>
    <t>שורץ, אברהם יהודה (עורך)</t>
  </si>
  <si>
    <t>תרצ"ג - תש"ד</t>
  </si>
  <si>
    <t>הנתן אמרי שפר - 7 כר'</t>
  </si>
  <si>
    <t>סגלשטיין, מרדכי</t>
  </si>
  <si>
    <t>הנתן אמרי שפר</t>
  </si>
  <si>
    <t>שפירא, ישעיהו נפתלי הירץ בן דוד</t>
  </si>
  <si>
    <t>תרמ"ח - תר"נ</t>
  </si>
  <si>
    <t>הס כל בשר מפני ה'</t>
  </si>
  <si>
    <t>ק. בן ציון</t>
  </si>
  <si>
    <t>הס מפני ה'</t>
  </si>
  <si>
    <t>הסבא הקדוש מראדושיץ</t>
  </si>
  <si>
    <t>אלפסי, יצחק בן ישראל</t>
  </si>
  <si>
    <t>הסבא מסלבודקה</t>
  </si>
  <si>
    <t>ויינברגר, דוד נתנאל</t>
  </si>
  <si>
    <t>הסבא קדישא אדמור סידנא בבא סאלי - 2 כר'</t>
  </si>
  <si>
    <t>אביחצירא, ברוך בן ישראל</t>
  </si>
  <si>
    <t>הסבא קדישא מווארקא</t>
  </si>
  <si>
    <t>מכון כרמנו אכסנדר</t>
  </si>
  <si>
    <t>הסבא קדישא מראדזימין - 2 כר'</t>
  </si>
  <si>
    <t>קלוגמן, בן ציון</t>
  </si>
  <si>
    <t>הסביבה בהלכה ובמחשבה - 4 כר'</t>
  </si>
  <si>
    <t>סביבה, ישראל</t>
  </si>
  <si>
    <t>הסברה ישרה - 2 כר'</t>
  </si>
  <si>
    <t>וולינסקי, יהודה בן אליעזר אבא</t>
  </si>
  <si>
    <t>הסגולה - במעלת תוספת שבת</t>
  </si>
  <si>
    <t>הסגולה - 70 כר'</t>
  </si>
  <si>
    <t>חסידה, מנחם זאב</t>
  </si>
  <si>
    <t>תרצ"ה - תש"ז</t>
  </si>
  <si>
    <t>הסדר הערוך - 3 כר'</t>
  </si>
  <si>
    <t>וינגרטן, משה יעקב בן יחיאל פישל</t>
  </si>
  <si>
    <t>הסדרים לרש"י</t>
  </si>
  <si>
    <t>הסוגיא להלכה - הלכות לולב</t>
  </si>
  <si>
    <t>בלודשטראק, ישראל</t>
  </si>
  <si>
    <t>הסולם</t>
  </si>
  <si>
    <t>גוטליב, אברהם מרדכי</t>
  </si>
  <si>
    <t>הסופר - 9 כר'</t>
  </si>
  <si>
    <t>קובץ תורני ישיבת חתן סופר</t>
  </si>
  <si>
    <t>הסוקר - ב</t>
  </si>
  <si>
    <t>הסוקר</t>
  </si>
  <si>
    <t>בודפסט</t>
  </si>
  <si>
    <t>הסידור המדוייק איש מצליח</t>
  </si>
  <si>
    <t>תפילות. סידור. תשס"ו. בני ברק</t>
  </si>
  <si>
    <t>הסידור</t>
  </si>
  <si>
    <t>אוברלנדר, גדליה (עורך)</t>
  </si>
  <si>
    <t>הסימנים השלם</t>
  </si>
  <si>
    <t>הסימנים מתורת חטאת</t>
  </si>
  <si>
    <t>הסינון הסופי</t>
  </si>
  <si>
    <t>הסירו מכשול מדרך עמי</t>
  </si>
  <si>
    <t>הסכם ממון - ניסוח הסכמי ממון ע"פ ההלכה</t>
  </si>
  <si>
    <t>הסכמת בעלי הועד בענין ישוב הארץ</t>
  </si>
  <si>
    <t>הסכמה. ירושלים. תרמ"ג.</t>
  </si>
  <si>
    <t>הסכת ושמע - 2 כר'</t>
  </si>
  <si>
    <t>פנחסי, יעקב בן שמואל</t>
  </si>
  <si>
    <t>הסלולרי מזוית יהודית</t>
  </si>
  <si>
    <t>מאיר, אליהו</t>
  </si>
  <si>
    <t>הסליחות כסדר וכמנהג פיהם פולן, מערהרן אויסטריך ושלעזיא</t>
  </si>
  <si>
    <t>תפילות. סליחות. של"ט. פרג</t>
  </si>
  <si>
    <t>הסליחות לכל השנה לפי מנהג האשכנזים</t>
  </si>
  <si>
    <t>תפילות. סליחות. תרנ"ה. רדלהים</t>
  </si>
  <si>
    <t>הסמ"ק מצוריך - 3 כר'</t>
  </si>
  <si>
    <t>יצחק בן יוסף מקורביל</t>
  </si>
  <si>
    <t>הסנה איננו אכל - 2 כר'</t>
  </si>
  <si>
    <t>קיבל, זאב</t>
  </si>
  <si>
    <t>הסעודה וברכותיה</t>
  </si>
  <si>
    <t>הספד הגרא"מ שך זצ"ל על רבינו בעל הקהלות יעקב זצ"ל</t>
  </si>
  <si>
    <t>הספד הגרא"מ שך זצ"ל</t>
  </si>
  <si>
    <t>הספד מר</t>
  </si>
  <si>
    <t>לאנגפלדר, זאב וולף</t>
  </si>
  <si>
    <t>הספד על הגאון רבי נתן צבי שולמן</t>
  </si>
  <si>
    <t>גוטנג, נחום</t>
  </si>
  <si>
    <t>הספד על פטירת חכם</t>
  </si>
  <si>
    <t>הספדא</t>
  </si>
  <si>
    <t>הספדו של חכם</t>
  </si>
  <si>
    <t>קובץ הספדים לזכרו של רבי יחזקאל ברטלר</t>
  </si>
  <si>
    <t>הספר הזכרון &lt;תורת השם, מלחמות השם, מוסר השם&gt;</t>
  </si>
  <si>
    <t>שפירא, משה בן יצחק הלוי</t>
  </si>
  <si>
    <t>משנה, נושאים שונים, קבלה, תלמוד בבלי, תלמוד בבלי, תנ"ך, תנ"ך</t>
  </si>
  <si>
    <t>הספר הלבן</t>
  </si>
  <si>
    <t>הספר העברי בהתפתחותו</t>
  </si>
  <si>
    <t>הספר - 5 כר'</t>
  </si>
  <si>
    <t>כתב עת לביבליוגרפיה</t>
  </si>
  <si>
    <t>תשי"ד - תשכ"א</t>
  </si>
  <si>
    <t>הספרות והתקשורת מזווית יהודית</t>
  </si>
  <si>
    <t>הספרים של רבינו הגר"ח קנייבסקי</t>
  </si>
  <si>
    <t>הסר כעס מלבך ואיסור חנופה</t>
  </si>
  <si>
    <t>הסר כעס מליבך</t>
  </si>
  <si>
    <t>טובולסקי, אברהם</t>
  </si>
  <si>
    <t>הסתכלות בהלכה</t>
  </si>
  <si>
    <t>הסתכלות הרמ"ה באמריקה</t>
  </si>
  <si>
    <t>העבודה ואשי ישראל</t>
  </si>
  <si>
    <t>העבודה שבלב</t>
  </si>
  <si>
    <t>העבר הישראלי - 8 כר'</t>
  </si>
  <si>
    <t>העבר - 2 כר'</t>
  </si>
  <si>
    <t>רבעון לדברי ימי היהודים והיהדות ברוסיה</t>
  </si>
  <si>
    <t>העגלה הערופה</t>
  </si>
  <si>
    <t>סמיט, נח</t>
  </si>
  <si>
    <t>העדה - 291 כר'</t>
  </si>
  <si>
    <t>בטאון העדה החרדית</t>
  </si>
  <si>
    <t>העוז והענוה</t>
  </si>
  <si>
    <t>הגר לאו, יהושע</t>
  </si>
  <si>
    <t>העולה הגדול - ד"ר נתן בירנבוים</t>
  </si>
  <si>
    <t>העולם הקטן</t>
  </si>
  <si>
    <t>אבן-צדיק, יוסף בן יעקב</t>
  </si>
  <si>
    <t>ברסלאו</t>
  </si>
  <si>
    <t>העז ביד</t>
  </si>
  <si>
    <t>קרלינשטיין, יהושע בן עזריאל זליג</t>
  </si>
  <si>
    <t>העטרה ליושנה</t>
  </si>
  <si>
    <t>העיקר חסר</t>
  </si>
  <si>
    <t>רון, צבי</t>
  </si>
  <si>
    <t>העיר ממזרח - 5 כר'</t>
  </si>
  <si>
    <t>אברהם, דוד</t>
  </si>
  <si>
    <t>העירוב בדיל</t>
  </si>
  <si>
    <t>תשובות ופסקים</t>
  </si>
  <si>
    <t>העירוב שלנו</t>
  </si>
  <si>
    <t>העירוב המהודר רמות</t>
  </si>
  <si>
    <t>העיתונאי - 2 כר'</t>
  </si>
  <si>
    <t>העליה הגדולה מתימן - 2 כר'</t>
  </si>
  <si>
    <t>העליה לארץ ישראל באספקלריה תורנית</t>
  </si>
  <si>
    <t>העליה - 3 כר'</t>
  </si>
  <si>
    <t>העלם דבר &lt;חקור דבר&gt;</t>
  </si>
  <si>
    <t>אזולאי, חיים יוסף דוד בן רפאל יצחק זרחיה - סעאדה, אליהו</t>
  </si>
  <si>
    <t>העלם דבר &lt;פשר דבר&gt; - אגרת רב שרירא גאון &lt;באר אברהם</t>
  </si>
  <si>
    <t>חפוטא, אברהם</t>
  </si>
  <si>
    <t>העמדת להררי עוז</t>
  </si>
  <si>
    <t>הררי, דורון</t>
  </si>
  <si>
    <t>העמידה הרוחנית של יהודי רומניה בתקופת השואה</t>
  </si>
  <si>
    <t>העמק - א</t>
  </si>
  <si>
    <t>העמק - 74 כר'</t>
  </si>
  <si>
    <t>העמק - 2 כר'</t>
  </si>
  <si>
    <t>קובץ, ישיבת עמק הלכה</t>
  </si>
  <si>
    <t>העץ להשכיל - 3 כר'</t>
  </si>
  <si>
    <t>עוזרי, יחיאל בן יוסף</t>
  </si>
  <si>
    <t>העץ</t>
  </si>
  <si>
    <t>העצלות ותוצאותיה</t>
  </si>
  <si>
    <t>העקוב למישור</t>
  </si>
  <si>
    <t>אדלמאן, מרדכי יצחק בן שמחה ראובן</t>
  </si>
  <si>
    <t>הערב נא</t>
  </si>
  <si>
    <t>וינד, ישעיהו בן אליעזר</t>
  </si>
  <si>
    <t>הערה אודות המנהג לאכול דבש בעשי"ת</t>
  </si>
  <si>
    <t>שטינברגר, שלמה מרדכי</t>
  </si>
  <si>
    <t>הערוך &lt;יקר הערך&gt; - 3 כר'</t>
  </si>
  <si>
    <t>נתן בן יחיאל מרומא - הלוי, יוסף בן נפתלי הירץ</t>
  </si>
  <si>
    <t>תש"א - תשי"ט</t>
  </si>
  <si>
    <t>הערוך &lt;דפו"ר&gt;</t>
  </si>
  <si>
    <t>נתן בן יחיאל מרומא</t>
  </si>
  <si>
    <t>ר"ל</t>
  </si>
  <si>
    <t>רומה Rome</t>
  </si>
  <si>
    <t>הערוך &lt;מהדורת שלזינגר&gt;</t>
  </si>
  <si>
    <t>הערוך &lt;עם שלחן הערוך&gt; חלק א</t>
  </si>
  <si>
    <t>הערוך הקצר - 2 כר'</t>
  </si>
  <si>
    <t>הערוך השלם - תוספות הערוך השלם</t>
  </si>
  <si>
    <t>נתן בן יחיאל מרומא - קרויס, שמואל שמשון ליב בן מאיר</t>
  </si>
  <si>
    <t>הערוך השלם - 8 כר'</t>
  </si>
  <si>
    <t>תרל"ח - תרנ"ב</t>
  </si>
  <si>
    <t>הערוך על הירושלמי &lt;מהדורת מייזליש&gt; - 2 כר'</t>
  </si>
  <si>
    <t>נתן בן יחיאל מרומא - מייזליש, מאיר</t>
  </si>
  <si>
    <t>הערוך על הש"ס &lt;מהדורת מייזליש&gt; - 3 כר'</t>
  </si>
  <si>
    <t>הערוך על הש"ס &lt;מהדורת עוז והדר&gt;</t>
  </si>
  <si>
    <t>הערוך - 9 כר'</t>
  </si>
  <si>
    <t>רצ"א - רצ"ב</t>
  </si>
  <si>
    <t>הערות אברהם יעקב יצחקי - א</t>
  </si>
  <si>
    <t>הערות אפיקי איל</t>
  </si>
  <si>
    <t>הערות בדיני תווך שדכנות ושכירות פועלים</t>
  </si>
  <si>
    <t>ווייל, אברהם צבי</t>
  </si>
  <si>
    <t>הערות בדיני תפילה וברכות - ר"ה, יוה"כ וסוכות</t>
  </si>
  <si>
    <t>הערות בדיני תפילה</t>
  </si>
  <si>
    <t>הערות בדיני תפילה, חזרת הש"ץ וקדיש</t>
  </si>
  <si>
    <t>הערות בהלכות התלויות בארץ ובענינים שונים</t>
  </si>
  <si>
    <t>גרודזיצקי, יהושע דב</t>
  </si>
  <si>
    <t>הערות בירורים וביאורים - 3 כר'</t>
  </si>
  <si>
    <t>ברמן, ישראל</t>
  </si>
  <si>
    <t>הערות במסכת בבא קמא</t>
  </si>
  <si>
    <t>הנדין, מתניה בן ישראל</t>
  </si>
  <si>
    <t>הערות במסכת מכות</t>
  </si>
  <si>
    <t>הערות בסוגיות הש"ס</t>
  </si>
  <si>
    <t>משנה, שלחן ערוך ומפרשיו, תלמוד בבלי, תלמוד ירושלמי</t>
  </si>
  <si>
    <t>הערות בענייני בר מצוה ותפילין</t>
  </si>
  <si>
    <t>הערות בעניני הפסח</t>
  </si>
  <si>
    <t>נבנצאל, נחום בן נפתלי</t>
  </si>
  <si>
    <t>הערות בעניני חג הסוכות</t>
  </si>
  <si>
    <t>הערות בעניני חנוכה ועוד עניינים</t>
  </si>
  <si>
    <t>הערות בעניני מילה ושאר ענינים</t>
  </si>
  <si>
    <t>הערות בעניני תחומין</t>
  </si>
  <si>
    <t>הערות בצניעות</t>
  </si>
  <si>
    <t>הערות וביאורים בהל' תשובה לרמב"ם</t>
  </si>
  <si>
    <t>הערות וביאורים בספר מוצל מאש</t>
  </si>
  <si>
    <t>הערות וביאורים בעניני טהרות</t>
  </si>
  <si>
    <t>אדלשטיין, ירחמיאל גרשון בן צבי יהודה</t>
  </si>
  <si>
    <t>הערות וביאורים בעניני עירובין</t>
  </si>
  <si>
    <t>הערות וביאורים בעניני ריבית</t>
  </si>
  <si>
    <t>הערות וביאורים על מסכת נדה</t>
  </si>
  <si>
    <t>הערות וביאורים</t>
  </si>
  <si>
    <t>הערות וביאורים על סדר המשנה ברורה</t>
  </si>
  <si>
    <t>הלפרין, מנחם מנדל</t>
  </si>
  <si>
    <t>הערות וביאורים - רמב"ם</t>
  </si>
  <si>
    <t>הערות וביאורים - סוטה</t>
  </si>
  <si>
    <t>חבורות זכרון אליהו משה</t>
  </si>
  <si>
    <t>הערות וביאורים - שנים אוחזין</t>
  </si>
  <si>
    <t>טוינה, שאול</t>
  </si>
  <si>
    <t>הערות והארות בסדר עבודת יום הכיפורים</t>
  </si>
  <si>
    <t>שטראוס, אפרים בן מרדכי</t>
  </si>
  <si>
    <t>הערות והארות בעניני אפית מצות</t>
  </si>
  <si>
    <t>גרינהויז, בן ציון רפאל</t>
  </si>
  <si>
    <t>הערות והארות בפירוש הרמב"ן על התורה</t>
  </si>
  <si>
    <t>מאהרשען, יצחק</t>
  </si>
  <si>
    <t>בודאפעסט</t>
  </si>
  <si>
    <t>הערות והארות</t>
  </si>
  <si>
    <t>הקשר, שמואל יעקב בן ישראל</t>
  </si>
  <si>
    <t>הערות והארות - מנחות</t>
  </si>
  <si>
    <t>רוט, יהושע בן צבי</t>
  </si>
  <si>
    <t>הערות וחידושים במסכת ב"ק</t>
  </si>
  <si>
    <t>הערות וחידושים במסכת גיטין</t>
  </si>
  <si>
    <t>הערות וחידושים בעניני קדשים</t>
  </si>
  <si>
    <t>הלפרט, אלעזר מנחם</t>
  </si>
  <si>
    <t>הערות וחידושים - נדרים פ"ק</t>
  </si>
  <si>
    <t>הברמן, יוסף חיים בן יהושע לייב</t>
  </si>
  <si>
    <t>הערות וחידושים - 9 כר'</t>
  </si>
  <si>
    <t>טויב, ישראל בן יחזקאל צבי</t>
  </si>
  <si>
    <t>הערות וציונים לספר תניא קדישא</t>
  </si>
  <si>
    <t>אייזנבך, חנניה יוסף</t>
  </si>
  <si>
    <t>חסידות, ספריית חב"ד</t>
  </si>
  <si>
    <t>הערות וציונים - 23 כר'</t>
  </si>
  <si>
    <t>אוסטרן, א.</t>
  </si>
  <si>
    <t>הערות וציונים - 5 כר'</t>
  </si>
  <si>
    <t>אפשטיין, יוסף צבי</t>
  </si>
  <si>
    <t>הערות ותקונים &lt;תשובות הגאונים והדיואן&gt;</t>
  </si>
  <si>
    <t>הערות ותיקונים</t>
  </si>
  <si>
    <t>הערות לבאור הגר"א על ספרא דצניעותא</t>
  </si>
  <si>
    <t>אליהו בן יעקב רוגולר - אלישוב, שלמה בן חיים חייקל</t>
  </si>
  <si>
    <t>הערות לחנוכה</t>
  </si>
  <si>
    <t>הערות למעשה (בעניני שביעית)</t>
  </si>
  <si>
    <t>נאה, אברהם חיים בן מנחם מנדל</t>
  </si>
  <si>
    <t>תשי"ב - תשי"ג</t>
  </si>
  <si>
    <t>הערות לשו"ע חו"מ מאת מרן החיד"א</t>
  </si>
  <si>
    <t>הערות מבני החבורה - 2 כר'</t>
  </si>
  <si>
    <t>חבורת עיון כולל נחלת משה</t>
  </si>
  <si>
    <t>הערות מבני החבורה - בבא מציעא</t>
  </si>
  <si>
    <t>הערות על אורחות חיים</t>
  </si>
  <si>
    <t>אורבך, כתריאל שלמה בן שמואל ברוך הכהן</t>
  </si>
  <si>
    <t>הערות על הזהר</t>
  </si>
  <si>
    <t>ליינר, ירוחם</t>
  </si>
  <si>
    <t>הערות על הקהילות יעקב - ברכות</t>
  </si>
  <si>
    <t>ברטמן, אברהם שלום בן שמעון מנחם מנדל</t>
  </si>
  <si>
    <t>הערות על פירוש רש"י לתורה</t>
  </si>
  <si>
    <t>וייזר, אשר</t>
  </si>
  <si>
    <t>הערות על קונטרס אחרון של שו"ע הרב - הלכות תלמוד תורה</t>
  </si>
  <si>
    <t>חנסוב, דן בן ראובן</t>
  </si>
  <si>
    <t>הערות רבינו הגרי"ש אלישיב - 23 כר'</t>
  </si>
  <si>
    <t>הערות - 5 כר'</t>
  </si>
  <si>
    <t>ברנשטיין, יצחק אליהו</t>
  </si>
  <si>
    <t>הערות</t>
  </si>
  <si>
    <t>רייסנר, אברהם</t>
  </si>
  <si>
    <t>הערכה והגשמה עצמית</t>
  </si>
  <si>
    <t>הערכת בקורת של המכונה החדשה "גאמקע קלעמף"</t>
  </si>
  <si>
    <t>לפקוביץ', יצחק דוב בן אברהם</t>
  </si>
  <si>
    <t>העשר והעני</t>
  </si>
  <si>
    <t>העתיד</t>
  </si>
  <si>
    <t>העתק וקיצר ומראה מקום</t>
  </si>
  <si>
    <t>צורף, שמואל בן יוסף הלוי</t>
  </si>
  <si>
    <t>תמ"א</t>
  </si>
  <si>
    <t>העתק פירוש הראב"ע על התורה - שטה אחת ע"פ כ"י</t>
  </si>
  <si>
    <t>הפאה והביכורים</t>
  </si>
  <si>
    <t>איינהורן, חיים צבי בן יצחק נתן</t>
  </si>
  <si>
    <t>הפדות והישועה</t>
  </si>
  <si>
    <t>מנצורה, שלום בן יהודה</t>
  </si>
  <si>
    <t>הפדות והפאר</t>
  </si>
  <si>
    <t>הפדות והפורקן</t>
  </si>
  <si>
    <t>סעדיה בן יוסף גאון - עמדין יעקב ישראל בן צבי</t>
  </si>
  <si>
    <t>הפוך בה והפוך בה</t>
  </si>
  <si>
    <t>בוים, דוד יהודה ליב בן יחיאל</t>
  </si>
  <si>
    <t>הפוסק - 12 כר'</t>
  </si>
  <si>
    <t>ת"ש - תש"א</t>
  </si>
  <si>
    <t>הפוסק</t>
  </si>
  <si>
    <t>הפותח והחותם</t>
  </si>
  <si>
    <t>גיטלסון, בנימין בן יהודה ליב</t>
  </si>
  <si>
    <t>הפטרה מפורשת</t>
  </si>
  <si>
    <t>לוי, אליעזר בן אליקים</t>
  </si>
  <si>
    <t>הפטרה ערוכה</t>
  </si>
  <si>
    <t>אלחיל, זכריה (עורך)</t>
  </si>
  <si>
    <t>הפטרות אלטרנטיביות בפיוטי ייני</t>
  </si>
  <si>
    <t>פריד, נתן</t>
  </si>
  <si>
    <t>הפטרות השלם</t>
  </si>
  <si>
    <t>הפטרות מכל השנה</t>
  </si>
  <si>
    <t>תנ"ך. תמ"ב. אמשטרדם</t>
  </si>
  <si>
    <t>תנ"ך. תקל"ח. דירנפורט</t>
  </si>
  <si>
    <t>הפטרות עם תרגום בגרמנית</t>
  </si>
  <si>
    <t>חש"ד;</t>
  </si>
  <si>
    <t>הפטרת מכל השנה</t>
  </si>
  <si>
    <t>תנ"ך. תרע"ו. פרנקפורט דאודר</t>
  </si>
  <si>
    <t>הפיוט</t>
  </si>
  <si>
    <t>הפיוטים לראש השנה</t>
  </si>
  <si>
    <t>ברויאר, יוסף</t>
  </si>
  <si>
    <t>פפד"מ</t>
  </si>
  <si>
    <t>הפיסוק של הסגנון העברי</t>
  </si>
  <si>
    <t>מירסקי, אהרן</t>
  </si>
  <si>
    <t>הפירמאנים המלכותים - 2 כר'</t>
  </si>
  <si>
    <t>הפך בה דכולה בה - א</t>
  </si>
  <si>
    <t>ישיבת רבי חיים עוזר לונדון</t>
  </si>
  <si>
    <t>הפכת מספדי למחול לי</t>
  </si>
  <si>
    <t>הפלאה עמ"ס כתובות &lt;מהדורה חדשה&gt;</t>
  </si>
  <si>
    <t>הפלאה שבערכין השלם</t>
  </si>
  <si>
    <t>הפלאה שבערכין</t>
  </si>
  <si>
    <t>רבינוביץ, חיים בן יצחק אייזיק</t>
  </si>
  <si>
    <t>הפלאה - 6 כר'</t>
  </si>
  <si>
    <t>שלחן ערוך ומפרשיו, תלמוד בבלי, תלמוד בבלי</t>
  </si>
  <si>
    <t>הפלאות האורים</t>
  </si>
  <si>
    <t>הפלאות נדרים &lt;מהדורה חדשה&gt;</t>
  </si>
  <si>
    <t>יוסף בן יעקב הלוי</t>
  </si>
  <si>
    <t>הפלאות נדרים</t>
  </si>
  <si>
    <t>הפלאת נדרים</t>
  </si>
  <si>
    <t>בית מדרש להפצת התורה קרית גת</t>
  </si>
  <si>
    <t>הפלאת נדרים - א</t>
  </si>
  <si>
    <t>פרנקל-תאומים, אלימלך בן יהושע השל</t>
  </si>
  <si>
    <t>הפלאת נזירות</t>
  </si>
  <si>
    <t>הלכה ומנהג, מחשבה ומוסר, קבצים וכתבי עת, ספרי זכרון ויובל, תלמוד בבלי</t>
  </si>
  <si>
    <t>הפלאת ערכין</t>
  </si>
  <si>
    <t>רייכמן, אליהו דוד הכהן</t>
  </si>
  <si>
    <t>הפלאת שבועות - 2 כר'</t>
  </si>
  <si>
    <t>הפלס - 01</t>
  </si>
  <si>
    <t>בטאון לעניני מחשבה ספרות ובעיות הזמן</t>
  </si>
  <si>
    <t>הפלס - 5 כר'</t>
  </si>
  <si>
    <t>הפלס - 10 כר'</t>
  </si>
  <si>
    <t>שבועון יהדות התורה</t>
  </si>
  <si>
    <t>הפני מנחם - 2 כר'</t>
  </si>
  <si>
    <t>מכון פני מנחם</t>
  </si>
  <si>
    <t>הפסגה - 10 כר'</t>
  </si>
  <si>
    <t>תרנ"ה - תרס"ד</t>
  </si>
  <si>
    <t>הפסח במועדו</t>
  </si>
  <si>
    <t>אליהו, ישראל בן משה</t>
  </si>
  <si>
    <t>הפסקים</t>
  </si>
  <si>
    <t>הפעלים הכפולים</t>
  </si>
  <si>
    <t>הפצות וחיזוקים</t>
  </si>
  <si>
    <t>הפצצה האטומית</t>
  </si>
  <si>
    <t>הפרדס &lt;ילקוט המכירי&gt;</t>
  </si>
  <si>
    <t>הפרדס &lt;פולין&gt; - 28 כר'</t>
  </si>
  <si>
    <t>הפרדס</t>
  </si>
  <si>
    <t>בנדין bedzin</t>
  </si>
  <si>
    <t>הפרדס &lt;צאנז&gt;</t>
  </si>
  <si>
    <t>מאסף רבני</t>
  </si>
  <si>
    <t>תרצ"א - תרצ"ט</t>
  </si>
  <si>
    <t>הפרדס - זכור ליצחק</t>
  </si>
  <si>
    <t>הפרדס - 107 כר'</t>
  </si>
  <si>
    <t>תרפ"ז - תשנ"ד</t>
  </si>
  <si>
    <t>הפרשה בהלכה - מתוך אנציקלופדיה תלמודית</t>
  </si>
  <si>
    <t>הפרשה המחכימה - 2 כר'</t>
  </si>
  <si>
    <t>בן דוד, שילה בן דרור</t>
  </si>
  <si>
    <t>הפרשה ולקחה</t>
  </si>
  <si>
    <t>כהן, ינון</t>
  </si>
  <si>
    <t>הפרשת חלה כהלכתה</t>
  </si>
  <si>
    <t>ברויאר, אברהם</t>
  </si>
  <si>
    <t>הפרשת חלה - עיקרי הדינים</t>
  </si>
  <si>
    <t>הפרשת תרומת ומעשרות במערכה הציבורית</t>
  </si>
  <si>
    <t>אריאל, עזריאל</t>
  </si>
  <si>
    <t>הפשט בסוגיא - 3 כר'</t>
  </si>
  <si>
    <t>עטרי, יוסף בן יחיאל</t>
  </si>
  <si>
    <t>הפשתים והצמר</t>
  </si>
  <si>
    <t>לזרזון, משה בן ישראל צבי</t>
  </si>
  <si>
    <t>הפתגם השנון</t>
  </si>
  <si>
    <t>אבוהב, אלעזר אהרן בן יצחק</t>
  </si>
  <si>
    <t>הצבי והצדק</t>
  </si>
  <si>
    <t>דאכאוויטץ, צבי הירש</t>
  </si>
  <si>
    <t>הצבי והצדק - א</t>
  </si>
  <si>
    <t>פאנט, צבי אלימלך</t>
  </si>
  <si>
    <t>הצבי והצדק - תנינא</t>
  </si>
  <si>
    <t>פאנעט, צבי אלימלך בן חיים אלתר</t>
  </si>
  <si>
    <t>דרושים, חסידות, מועדי ישראל, משנה, תנ"ך</t>
  </si>
  <si>
    <t>הצבי ישראל</t>
  </si>
  <si>
    <t>אורנשטיין, שמואל אליעזר</t>
  </si>
  <si>
    <t>לדמותו של הבה"ח צבי אריה הורביץ</t>
  </si>
  <si>
    <t>לזכרו של רבי נפתלי צבי שפריי</t>
  </si>
  <si>
    <t>ספר זכרון לזכרו של הגרצ"פ פראנק</t>
  </si>
  <si>
    <t>קליין, צבי</t>
  </si>
  <si>
    <t>הצדיק במשנתו של רבי נחמן מברסלב</t>
  </si>
  <si>
    <t>הצדיק המתמיד מירושלים</t>
  </si>
  <si>
    <t>תולדות רבי שלום זאב אייזנבך</t>
  </si>
  <si>
    <t>הצדיק השותק</t>
  </si>
  <si>
    <t>בנארי, נטע</t>
  </si>
  <si>
    <t>הצדיק מבית שאן</t>
  </si>
  <si>
    <t>אלעסרי, מכלוף בן חיים (עליו)</t>
  </si>
  <si>
    <t>הצדיק מקאלוב וקהילתו</t>
  </si>
  <si>
    <t>סילאג' ווינדט, טוביה</t>
  </si>
  <si>
    <t>הצדיק מראש פינה</t>
  </si>
  <si>
    <t>אדרעי, מסעוד בן מאיר (אודותיו)</t>
  </si>
  <si>
    <t>הצדיק ר' יוסף זונדל מסלאנט ורבותיו</t>
  </si>
  <si>
    <t>ריבלין, אליעזר בן בנימין</t>
  </si>
  <si>
    <t>הלכה ומנהג, מחשבה ומוסר, נושאים שונים, תולדות עם ישראל</t>
  </si>
  <si>
    <t>הצדיק רבי יצחק דוד רוטמן מלומז'ה</t>
  </si>
  <si>
    <t>קלר, שמואל ישעיהו בן חיים דב הלוי</t>
  </si>
  <si>
    <t>הצדיק רבי שלמה - אור תורה</t>
  </si>
  <si>
    <t>בלוך, שלמה זלמן (עליו)</t>
  </si>
  <si>
    <t>הצדיקים חיים</t>
  </si>
  <si>
    <t>הצדקה בישראל</t>
  </si>
  <si>
    <t>ברגמאן, יהודה בן דוד נפתלי הרש</t>
  </si>
  <si>
    <t>הצומח והחי במשנת הרמב"ם</t>
  </si>
  <si>
    <t>עמר, זהר</t>
  </si>
  <si>
    <t>הצונמי בדילוגים</t>
  </si>
  <si>
    <t>הצופה לדורו</t>
  </si>
  <si>
    <t>מונדשיין, יהושע בן מרדכי שמואל</t>
  </si>
  <si>
    <t>הציבי לך ציונים</t>
  </si>
  <si>
    <t>משה בן יצחק הלוי</t>
  </si>
  <si>
    <t>בלגרד Belgrade</t>
  </si>
  <si>
    <t>הציבי ציונים - 20 כר'</t>
  </si>
  <si>
    <t>הציד</t>
  </si>
  <si>
    <t>מנדלסון, יעקב בן-ציון בן מנחם הכהן</t>
  </si>
  <si>
    <t>הצידה בשבת</t>
  </si>
  <si>
    <t>אדלר, יצחק אליהו בן יהושע הכהן</t>
  </si>
  <si>
    <t>הציעור ותוצאותיו</t>
  </si>
  <si>
    <t>הציצית בזמננו</t>
  </si>
  <si>
    <t>הצלה כהלכה</t>
  </si>
  <si>
    <t>הצלחת הנפש</t>
  </si>
  <si>
    <t>לווין, יעקב בן נח חיים</t>
  </si>
  <si>
    <t>הצלת בית החיים של רביז"ל</t>
  </si>
  <si>
    <t>הועד להצלת בית החיים של רביז"ל</t>
  </si>
  <si>
    <t>הצלת הרבי מבלז מגיא ההריגה בפולין</t>
  </si>
  <si>
    <t>יחזקאלי (פראגר), משה</t>
  </si>
  <si>
    <t>הצלת נפשות</t>
  </si>
  <si>
    <t>הצניעות והישועה - 2 כר'</t>
  </si>
  <si>
    <t>הצניעות</t>
  </si>
  <si>
    <t>לרנר, שמשון</t>
  </si>
  <si>
    <t>הצנע לכת</t>
  </si>
  <si>
    <t>הצעה על אודות הגט</t>
  </si>
  <si>
    <t>הצעה על ישוב יהודי בעבר הירדן</t>
  </si>
  <si>
    <t>[גאלינסקי, אריה]</t>
  </si>
  <si>
    <t>תל-אביב,</t>
  </si>
  <si>
    <t>הצעות לקבלת מידע רפואי בשבת</t>
  </si>
  <si>
    <t>הצפון - 3 כר'</t>
  </si>
  <si>
    <t>בטאון תורני - צפון תל אביב שכונת סומל</t>
  </si>
  <si>
    <t>הקאנון הגדול &lt;ספר רפואה&gt;</t>
  </si>
  <si>
    <t>אבן-סינא, אבו עלי אל-חסין אבן-עבד אללה</t>
  </si>
  <si>
    <t>רנ"ב</t>
  </si>
  <si>
    <t>הקבוצה הדתית</t>
  </si>
  <si>
    <t>הוצאת הקיבוץ הדתי</t>
  </si>
  <si>
    <t>הקבלה שבשפות</t>
  </si>
  <si>
    <t>הקבלה</t>
  </si>
  <si>
    <t>הקבצו - 5 כר'</t>
  </si>
  <si>
    <t>הקברניט הנאמן</t>
  </si>
  <si>
    <t>הקדוש מטירנא</t>
  </si>
  <si>
    <t>רוטשטיין, שמואל</t>
  </si>
  <si>
    <t>הקדוש רבי יעקב ישראל דה האן</t>
  </si>
  <si>
    <t>משי זהב, צבי - משי זהב יהודה</t>
  </si>
  <si>
    <t>הקדושה והתשובה</t>
  </si>
  <si>
    <t>שטרן, מאיר יוסף בן דוד חיים</t>
  </si>
  <si>
    <t>הקדיש</t>
  </si>
  <si>
    <t>אסף, דוד בן אפרים אליעזר</t>
  </si>
  <si>
    <t>הקדמה הכללית לסידור ר' שבתי (בן יצחק) הסופר</t>
  </si>
  <si>
    <t>שבתי בן יצחק סופר מפרמישלה</t>
  </si>
  <si>
    <t>הקדמה לספר אבות על בנים</t>
  </si>
  <si>
    <t>הקדמה לספר הזהר</t>
  </si>
  <si>
    <t>אשלג, יהודה ליב בן יחזקאל יוסף</t>
  </si>
  <si>
    <t>הקדמה לספר ויואל משה החדש</t>
  </si>
  <si>
    <t>הקדמה לספר מנחת שי</t>
  </si>
  <si>
    <t>הקדמה לשו"ת הרשב"א רומא ר"ל</t>
  </si>
  <si>
    <t>הבלין, שלמה זלמן</t>
  </si>
  <si>
    <t>הקדמות הגאון הרב אריה ליב פרומקין לסידורים</t>
  </si>
  <si>
    <t>פרומקין, אריה ליב - סץ, יצחק עקיבא</t>
  </si>
  <si>
    <t>הקדמות הרמב"ם למשנה &lt;מהדורת שילת&gt;</t>
  </si>
  <si>
    <t>הקדמות הרמב"ם למשנה &lt;מהדורת שילת&gt; &lt;ללא המקור הערבי&gt;</t>
  </si>
  <si>
    <t>משה בן מימון &lt;רמב"ם&gt;</t>
  </si>
  <si>
    <t>הקדמות הרמב"ם</t>
  </si>
  <si>
    <t>משה בן מיימון (רמב"ם) - אלברט, אריה (עורך)</t>
  </si>
  <si>
    <t>הקדמות לחכמת האמת</t>
  </si>
  <si>
    <t>הקדמות לחכמת התכונה</t>
  </si>
  <si>
    <t>טרכטינגוט, א</t>
  </si>
  <si>
    <t>הקדמות רבי אריה ליב פרומקין לסידור</t>
  </si>
  <si>
    <t>הקדמת הזהר עם שינוי נוסחאות</t>
  </si>
  <si>
    <t>מכון מפיקים נגה</t>
  </si>
  <si>
    <t>הקדמת הספר חפץ חיים</t>
  </si>
  <si>
    <t>אסחייק, יחזקאל</t>
  </si>
  <si>
    <t>הקדמת הרוקח</t>
  </si>
  <si>
    <t>הקדמת הרמב"ם לסדר טהרות &lt;נתיבי דעת&gt; - א</t>
  </si>
  <si>
    <t>משה בן מימון (הרמב"ם) - זכריש, אלעזר</t>
  </si>
  <si>
    <t>הקדמת הרמב"ם לסדר טהרות &lt;דעת שלמה&gt;</t>
  </si>
  <si>
    <t>משה בן מימון (רמב"ם) - פלדמן, שלמה בן אהרן</t>
  </si>
  <si>
    <t>הקדמת ווי העמודים</t>
  </si>
  <si>
    <t>הורוויץ, שבתי בן ישעיה הלוי</t>
  </si>
  <si>
    <t>הקדמת חקל יצחק</t>
  </si>
  <si>
    <t>ווייס, יצחק אייזיק בן יוסף מאיר</t>
  </si>
  <si>
    <t>הקדמת ספר אשל אברהם</t>
  </si>
  <si>
    <t>הקדמת ספר ווי העמודים</t>
  </si>
  <si>
    <t>נירנברג</t>
  </si>
  <si>
    <t>הקדמת ספר מסילת ישרים ע"פ סלו המסילה</t>
  </si>
  <si>
    <t>הקהילה היהודית בירושלים במאה הי"ז</t>
  </si>
  <si>
    <t>רוזן, מינה</t>
  </si>
  <si>
    <t>הקהל</t>
  </si>
  <si>
    <t>כהנא שפירא, אברהם אלקנה - כהנא, שלמה דוד</t>
  </si>
  <si>
    <t>הקהל - 2 כר'</t>
  </si>
  <si>
    <t>הקול אריה - 2 כר'</t>
  </si>
  <si>
    <t>ארנרייך, יואל זיסמאן - ארנרייך, נפתלי</t>
  </si>
  <si>
    <t>הקול החמישי</t>
  </si>
  <si>
    <t>הקול המשקה את הגן</t>
  </si>
  <si>
    <t>הקול קול יעקב</t>
  </si>
  <si>
    <t>ליפשיץ, יעקב</t>
  </si>
  <si>
    <t>הקונטריס היחיאלי</t>
  </si>
  <si>
    <t>דרושים, הלכה ומנהג, הלכה ומנהג, מועדי ישראל, מחשבה ומוסר, נושאים שונים, נושאים שונים, תפלות בקשות פיוטים ושירה</t>
  </si>
  <si>
    <t>הקטן והלכותיו - 2 כר'</t>
  </si>
  <si>
    <t>הקידושין בישראל</t>
  </si>
  <si>
    <t>אלוני (דובאוו), יצחק</t>
  </si>
  <si>
    <t>הקידושין והבאר - ב</t>
  </si>
  <si>
    <t>סימן טוב, אהרן</t>
  </si>
  <si>
    <t>הקינות</t>
  </si>
  <si>
    <t>אשר בן יוסף</t>
  </si>
  <si>
    <t>שמ"ה</t>
  </si>
  <si>
    <t>הקיצו ורננו</t>
  </si>
  <si>
    <t>מנזלי, יעקב מעדן</t>
  </si>
  <si>
    <t>הקישור במורשת יהודי צפון תימן</t>
  </si>
  <si>
    <t>בן דוד, אהרן בן דוד</t>
  </si>
  <si>
    <t>הקלין שבדמאי</t>
  </si>
  <si>
    <t>ארן, נועם אלימלך בן חיים</t>
  </si>
  <si>
    <t>הקללה לברכה</t>
  </si>
  <si>
    <t>הקנטוניסטים</t>
  </si>
  <si>
    <t>מנדלביץ, יוסף</t>
  </si>
  <si>
    <t>הקפות לשמחת תורה</t>
  </si>
  <si>
    <t>תפילות. הושענות והקפות. תרכ"ד. ליוורנו</t>
  </si>
  <si>
    <t>הקריאה בתורה והלכותיה</t>
  </si>
  <si>
    <t>מלר, עקיבא</t>
  </si>
  <si>
    <t>הקריאה והקדושה</t>
  </si>
  <si>
    <t>הקשורים ליעקב</t>
  </si>
  <si>
    <t>הקשר שבין עם ישראל למצרים</t>
  </si>
  <si>
    <t>הר אבל</t>
  </si>
  <si>
    <t>אופנהיים, אברהם חיים בן שמעון</t>
  </si>
  <si>
    <t>הר אדני &lt;ע"פ הר יראה&gt;</t>
  </si>
  <si>
    <t>זוהר. זוהר חדש לרות. תשס"ח</t>
  </si>
  <si>
    <t>הר אדני</t>
  </si>
  <si>
    <t>זוהר. זוהר חדש. תקנ"א</t>
  </si>
  <si>
    <t>הר אפרים - הוריות</t>
  </si>
  <si>
    <t>גרבוז, אפרים זאב בן צבי אריה</t>
  </si>
  <si>
    <t>הר בשן &lt;מבשן אשיב&gt;</t>
  </si>
  <si>
    <t>בידרמן, שמעון נתן נטע</t>
  </si>
  <si>
    <t>הר בשן</t>
  </si>
  <si>
    <t>הר ה'</t>
  </si>
  <si>
    <t>הר הבית נזר תפארתנו</t>
  </si>
  <si>
    <t>הר הבית</t>
  </si>
  <si>
    <t>הר הזיתים - קדושתו וטהרתו</t>
  </si>
  <si>
    <t>כהן, אליהו יוסף שאר ישוב בן דוד</t>
  </si>
  <si>
    <t>הר הכרמל</t>
  </si>
  <si>
    <t>אופנהיים, שמעון בן דוד</t>
  </si>
  <si>
    <t>אליהו בן יחזקאל מבילגוריי</t>
  </si>
  <si>
    <t>הר המור</t>
  </si>
  <si>
    <t>בנט, מרדכי בן אברהם ביהא</t>
  </si>
  <si>
    <t>הר המור - 11 כר'</t>
  </si>
  <si>
    <t>פראנק, יהודה ליב - רוזנטל, שבתי דוב</t>
  </si>
  <si>
    <t>ראשקובר, משה</t>
  </si>
  <si>
    <t>הר המוריה</t>
  </si>
  <si>
    <t>הר המר</t>
  </si>
  <si>
    <t>רבי, רחמים נסים משה בן יצחק</t>
  </si>
  <si>
    <t>הר המריה - 2 כר'</t>
  </si>
  <si>
    <t>בארנאצקי, מאיר יונה</t>
  </si>
  <si>
    <t>הר הקדם</t>
  </si>
  <si>
    <t>הר הקודש</t>
  </si>
  <si>
    <t>הר יראה - תפארת יחזקאל</t>
  </si>
  <si>
    <t>מערץ, יואל זיסמן בן דוד צבי</t>
  </si>
  <si>
    <t>שלחן ערוך ומפרשיו, תלמוד בבלי, תלמוד בבלי, תנ"ך</t>
  </si>
  <si>
    <t>הר יראה - 4 כר'</t>
  </si>
  <si>
    <t>הר סיני</t>
  </si>
  <si>
    <t>שטיינר, סיני</t>
  </si>
  <si>
    <t>הר צבי &lt;על הש"ס&gt; - 5 כר'</t>
  </si>
  <si>
    <t>הר צבי &lt;שו"ת&gt; - 8 כר'</t>
  </si>
  <si>
    <t>הר צבי על התורה</t>
  </si>
  <si>
    <t>הר צבי - 3 כר'</t>
  </si>
  <si>
    <t>הר צבי - 2 כר'</t>
  </si>
  <si>
    <t>רייכמאן, צבי בן אליהו</t>
  </si>
  <si>
    <t>הר ציון &lt;אבל משה&gt;</t>
  </si>
  <si>
    <t>ברנשטיין, נפתלי הירץ בן חיים צבי</t>
  </si>
  <si>
    <t>הר ציון - 2 כר'</t>
  </si>
  <si>
    <t>הר קדשי</t>
  </si>
  <si>
    <t>הר שפר - 3 כר'</t>
  </si>
  <si>
    <t>פירר, שמואל בן אשר זליג</t>
  </si>
  <si>
    <t>תרפ"ג הק'</t>
  </si>
  <si>
    <t>הר תבור</t>
  </si>
  <si>
    <t>יפה, ישראל דוד בן מרדכי</t>
  </si>
  <si>
    <t>הראה לעניו - הרב מנדל זצוק"ל</t>
  </si>
  <si>
    <t>הראל</t>
  </si>
  <si>
    <t>קבצים וכתבי עת, ספרי זכרון ויובל, שאר ספרי חז"ל</t>
  </si>
  <si>
    <t>הראנו בבנינו</t>
  </si>
  <si>
    <t>חנונו, אברהם</t>
  </si>
  <si>
    <t>הראשון לציון רבי יצחק קובו</t>
  </si>
  <si>
    <t>אור עיני. הדר זקנים. המאורות הגדולים. גידולי הארץ</t>
  </si>
  <si>
    <t>הראשונים לציון</t>
  </si>
  <si>
    <t>אלמליח, אברהם</t>
  </si>
  <si>
    <t>הרב בן-ציון מאיר חי עוזיאל</t>
  </si>
  <si>
    <t>דון-יחיא, שבתי בן בן-ציון</t>
  </si>
  <si>
    <t>הרב ד"ר נסים יוסף עובדיה</t>
  </si>
  <si>
    <t>עמנואל, יצחק משה</t>
  </si>
  <si>
    <t>הרב דוב זאב שטיינהוז - פרקי חיים</t>
  </si>
  <si>
    <t>משפחת שטיינהוז</t>
  </si>
  <si>
    <t>הרב הדומה למלאך &lt;על השפת אמת&gt;</t>
  </si>
  <si>
    <t>ברסלר, חנוך שמחה בן אברהם</t>
  </si>
  <si>
    <t>הרב המאירי - עמ"ס מגילה</t>
  </si>
  <si>
    <t>[תקכ"ט,</t>
  </si>
  <si>
    <t>אמשטרדם,</t>
  </si>
  <si>
    <t>הרב המנהיג והרופא</t>
  </si>
  <si>
    <t>הלר, אברהם זיידא</t>
  </si>
  <si>
    <t>הרב הקדוש מבעלזא</t>
  </si>
  <si>
    <t>לנדוי, בצלאל בן לוי יצחק - אורטנר, נתן יהודה בן משה שמואל</t>
  </si>
  <si>
    <t>הרב חנוך שפרן - קטעים מיצירתו</t>
  </si>
  <si>
    <t>שפרן, חנוך בן בצלאל זאב</t>
  </si>
  <si>
    <t>הרב יונה מרצבך פרקי חיים, דרכו ופעליו</t>
  </si>
  <si>
    <t>הרב יוסף אלנדב הי"ד</t>
  </si>
  <si>
    <t>אלנדב, יוסף בן מאיר</t>
  </si>
  <si>
    <t>הרב יוסף זכריה שטרן</t>
  </si>
  <si>
    <t>הרב יוסף חיים מבגדד - 2 כר'</t>
  </si>
  <si>
    <t>הרב יוסף חיים</t>
  </si>
  <si>
    <t>הרב יוסף רבלין ז"ל</t>
  </si>
  <si>
    <t>תרפ"ו-תר"ץ</t>
  </si>
  <si>
    <t>הרב יעקב מזא"ה</t>
  </si>
  <si>
    <t>הרב יעקב עטלינגר ז"ל</t>
  </si>
  <si>
    <t>הרב יצחק דב הלוי במברגר ז"ל</t>
  </si>
  <si>
    <t>הרב יצחק צבי ריבלין זצ"ל</t>
  </si>
  <si>
    <t>ריבלין, בנימין</t>
  </si>
  <si>
    <t>הרב ישעיה איסר אליקס</t>
  </si>
  <si>
    <t>אלקיס, ישעיה איסר</t>
  </si>
  <si>
    <t>קרית טבעון</t>
  </si>
  <si>
    <t>הרב כדורי</t>
  </si>
  <si>
    <t>סופר, ר, ל, - חדד, ר</t>
  </si>
  <si>
    <t>הרב לינצ'נר זצ"ל</t>
  </si>
  <si>
    <t>דברי הספד ומתולדות חייו</t>
  </si>
  <si>
    <t>הרב מאפטא</t>
  </si>
  <si>
    <t>הרב מבריסק - 4 כר'</t>
  </si>
  <si>
    <t>הרב מיהוד מרדכי גימפל יפה</t>
  </si>
  <si>
    <t>יפה, בנימין בן אריה ליב</t>
  </si>
  <si>
    <t>הרב מלאדי</t>
  </si>
  <si>
    <t>הרב מפוניבז - 3 כר'</t>
  </si>
  <si>
    <t>הרב מפוניבז'</t>
  </si>
  <si>
    <t>הרב מרדכי אלישברג</t>
  </si>
  <si>
    <t>גנחובסקי, אליהו משה בן שלמה</t>
  </si>
  <si>
    <t>הרב משה פרוש</t>
  </si>
  <si>
    <t>הרב משה רבקש זצ"ל</t>
  </si>
  <si>
    <t>רבלין, בנימין</t>
  </si>
  <si>
    <t>הרב משורר חייו ותורתו</t>
  </si>
  <si>
    <t>הרב על הקו - תשס"ח</t>
  </si>
  <si>
    <t>בית ההוראה שע"י המועצה הדתית לת"א-יפו</t>
  </si>
  <si>
    <t>הרב על הקו</t>
  </si>
  <si>
    <t>בית ההוראה תל אביב</t>
  </si>
  <si>
    <t>חדש18</t>
  </si>
  <si>
    <t>הרב פנחס קהתי זצ"ל</t>
  </si>
  <si>
    <t>הרב ר' אברהם צבי פערעלמוטער</t>
  </si>
  <si>
    <t>פרלמוטר, משה</t>
  </si>
  <si>
    <t>הרב ר' יהונתן אייבשיץ</t>
  </si>
  <si>
    <t>הרב ר' יוסף קארו וזמנו</t>
  </si>
  <si>
    <t>הרב ר' משה סגל נאוועמעסטע המבורגר</t>
  </si>
  <si>
    <t>המבורגר, חיים - ריבלין, בנימין</t>
  </si>
  <si>
    <t>הרב רבי יהודא לייב פיין זצוק"ל</t>
  </si>
  <si>
    <t>הרב רבי יעקב משה חרל"פ</t>
  </si>
  <si>
    <t>הרב רבי יעקב קשטרו וחיבוריו - תדפיס</t>
  </si>
  <si>
    <t>הרב רבי שניאור זלמן זצ"ל</t>
  </si>
  <si>
    <t>הרב רש"י זווין כפותח תקופה בספרות ההלכה</t>
  </si>
  <si>
    <t>הוטנר, יהושע</t>
  </si>
  <si>
    <t>הרב שמואל מוהליבר ומזכרת בתיה</t>
  </si>
  <si>
    <t>ארקין, אחיעזר</t>
  </si>
  <si>
    <t>מזכרת בתיה</t>
  </si>
  <si>
    <t>הרב שמואל מוהליבר</t>
  </si>
  <si>
    <t>מוהליבר, שמואל בן יהודה ליב</t>
  </si>
  <si>
    <t>הרב שרעבי</t>
  </si>
  <si>
    <t>רפאלי, יונה</t>
  </si>
  <si>
    <t>הרב ששון ב"ר מרדכי שנדוך</t>
  </si>
  <si>
    <t>הרבה דרכים</t>
  </si>
  <si>
    <t>קהאן, אהרן</t>
  </si>
  <si>
    <t>הרבי (מסטריקוב)</t>
  </si>
  <si>
    <t>ויכלדר, חיים יהושע</t>
  </si>
  <si>
    <t>הרבי בישראל</t>
  </si>
  <si>
    <t>מוסדות קרעטשניף (מו"ל)</t>
  </si>
  <si>
    <t>הרבי הקדוש &lt;רבי אהרן ראטה זצוק"ל&gt;</t>
  </si>
  <si>
    <t>רוזן, דוד</t>
  </si>
  <si>
    <t>הרבי הקדוש מאוטוואצק</t>
  </si>
  <si>
    <t>וויס, אברהם צבי - קאליש, רפאל שלמה</t>
  </si>
  <si>
    <t>הרבי הקדוש מפיטסבורג</t>
  </si>
  <si>
    <t>מכון יד איתמר</t>
  </si>
  <si>
    <t>הרבי מקוצק - 2 כר'</t>
  </si>
  <si>
    <t>רוטנברג, יחזקאל - שנפלד, משה</t>
  </si>
  <si>
    <t>הרבי ר' אלימלך מליזענסק זי"ע</t>
  </si>
  <si>
    <t>הרבי ר' צבי אלימלך מדינוב - 3 כר'</t>
  </si>
  <si>
    <t>הרבי רבי בונם מפשיסחא - 2 כר'</t>
  </si>
  <si>
    <t>בוים, מנחם יהודה בן אברהם משה</t>
  </si>
  <si>
    <t>הרבי של כלל ישראל</t>
  </si>
  <si>
    <t>הרבנות הראשית לישראל</t>
  </si>
  <si>
    <t>אבן חן, יעקב</t>
  </si>
  <si>
    <t>הרבנות והקהילות בצרפת ובצפון אפריקה הצרפתית</t>
  </si>
  <si>
    <t>אילתי, נפתלי</t>
  </si>
  <si>
    <t>הרבנית</t>
  </si>
  <si>
    <t>חלופסקי, יעקב</t>
  </si>
  <si>
    <t>הרה"ח רבי לייביש בוים</t>
  </si>
  <si>
    <t>רבינוביץ, צבי מרדכי</t>
  </si>
  <si>
    <t>הרהורי דברים - 5 כר'</t>
  </si>
  <si>
    <t>אסחייק, דניאל</t>
  </si>
  <si>
    <t>הרהורי מועד</t>
  </si>
  <si>
    <t>הרהורי שלמה</t>
  </si>
  <si>
    <t>במברגר, שלמה הלוי</t>
  </si>
  <si>
    <t>הרהורי תורה</t>
  </si>
  <si>
    <t>בלוך, חיים בן צבי</t>
  </si>
  <si>
    <t>תרמ"ז - תרנ"ג</t>
  </si>
  <si>
    <t>רובין, ישראל אליעזר</t>
  </si>
  <si>
    <t>הרהורי תשובה</t>
  </si>
  <si>
    <t>הרהורים לימי הדין</t>
  </si>
  <si>
    <t>פרידמן, נפתלי</t>
  </si>
  <si>
    <t>הרואה ומבקר ספרי חכמי זמננו</t>
  </si>
  <si>
    <t>הרואה</t>
  </si>
  <si>
    <t>תקצ"ח - תקצ"ט</t>
  </si>
  <si>
    <t>הרובע היהודי</t>
  </si>
  <si>
    <t>ביר, אהרן</t>
  </si>
  <si>
    <t>הרוטשילדים</t>
  </si>
  <si>
    <t>חרמוני, אהרן בן חנוך</t>
  </si>
  <si>
    <t>הרועה בשושנים - 2 כר'</t>
  </si>
  <si>
    <t>חמד, רועי בן אריה</t>
  </si>
  <si>
    <t>הרועים בשושנים</t>
  </si>
  <si>
    <t>הרוצה בתשובה</t>
  </si>
  <si>
    <t>גבריאל, דוד</t>
  </si>
  <si>
    <t>הרוקח הגדול &lt;מהד' הגרב"ש שניאורסון&gt;</t>
  </si>
  <si>
    <t>הרוקח הגדול</t>
  </si>
  <si>
    <t>הרוקח קטן</t>
  </si>
  <si>
    <t>הרחב דעת - 16 כר'</t>
  </si>
  <si>
    <t>הורביץ, אליהו</t>
  </si>
  <si>
    <t>הרחבת גבול יעבץ - 2 כר'</t>
  </si>
  <si>
    <t>הרחק מעליה דרכך</t>
  </si>
  <si>
    <t>קרון, ישראל קלמן</t>
  </si>
  <si>
    <t>הרחקת נזיקין</t>
  </si>
  <si>
    <t>הרי את מקודשת</t>
  </si>
  <si>
    <t>אלירם, שלמה</t>
  </si>
  <si>
    <t>הרי בשמים וערוגת הבושם</t>
  </si>
  <si>
    <t>בדרשי, יצחק</t>
  </si>
  <si>
    <t>הרי בשמים - ב</t>
  </si>
  <si>
    <t>גינז, יעקב יוסף בן שמעון</t>
  </si>
  <si>
    <t>תרפ"ז-תרצ"א</t>
  </si>
  <si>
    <t>הרי בשמים</t>
  </si>
  <si>
    <t>הרי בשמים - 3 כר'</t>
  </si>
  <si>
    <t>תרמ"ג - תשי"ח</t>
  </si>
  <si>
    <t>סלומון, ברוך שמעון בן דוד</t>
  </si>
  <si>
    <t>הרי בשמים - 2 כר'</t>
  </si>
  <si>
    <t>שכנא צבי מנמירוב</t>
  </si>
  <si>
    <t>תרנ"ז - תש"ט</t>
  </si>
  <si>
    <t>שאלות ותשובות, שלחן ערוך ומפרשיו, תלמוד בבלי, תלמוד בבלי</t>
  </si>
  <si>
    <t>הרי יהודה - 3 כר'</t>
  </si>
  <si>
    <t>יוסף, משה יהודה</t>
  </si>
  <si>
    <t>הרי"ח הטוב</t>
  </si>
  <si>
    <t>בר אושר, אבישי</t>
  </si>
  <si>
    <t>הרי"ף ומשנתו &lt;סדרת הראשונים ומשנתם&gt;</t>
  </si>
  <si>
    <t>הרי"ף למסכת חולין</t>
  </si>
  <si>
    <t>הריח הטוב</t>
  </si>
  <si>
    <t>הרימו מכשול מדרך עמי</t>
  </si>
  <si>
    <t>הרימותי בחור מעם</t>
  </si>
  <si>
    <t>הריני מקבל עלי</t>
  </si>
  <si>
    <t>פריווער, שמעון דב</t>
  </si>
  <si>
    <t>הריסת משמרת</t>
  </si>
  <si>
    <t>טויבש, אהרן משה בן יעקב</t>
  </si>
  <si>
    <t>הרכסים לבקעה</t>
  </si>
  <si>
    <t>שפירא, יהודה ליב בן צבי הירש</t>
  </si>
  <si>
    <t>תקע"ה-תקע"ו</t>
  </si>
  <si>
    <t>הרמ"ז על ספר עץ חיים</t>
  </si>
  <si>
    <t>בטחה</t>
  </si>
  <si>
    <t>הרמב"ם השלם - 7 כר'</t>
  </si>
  <si>
    <t>וולפא, שלום דובער הלוי (עורך)</t>
  </si>
  <si>
    <t>הרמב"ם והגאונים</t>
  </si>
  <si>
    <t>חבצלת, מאיר</t>
  </si>
  <si>
    <t>הרמב"ם והמכילתא דרשב"י &lt;מהדורה שניה&gt;</t>
  </si>
  <si>
    <t>הלכה ומנהג, שאר ספרי חז"ל</t>
  </si>
  <si>
    <t>הרמב"ם והמכילתא דרשב"י</t>
  </si>
  <si>
    <t>הרמב"ם</t>
  </si>
  <si>
    <t>טובנהויז, אפרים בן מאיר</t>
  </si>
  <si>
    <t>הרמב"ן בחוג גרונה</t>
  </si>
  <si>
    <t>הרמב"ן וירושלם - 2 כר'</t>
  </si>
  <si>
    <t>הרמב"ן</t>
  </si>
  <si>
    <t>הרמנים ארבע מאות</t>
  </si>
  <si>
    <t>הרעה בשושנים</t>
  </si>
  <si>
    <t>הרעיון הגדול ומגוון הפעולות</t>
  </si>
  <si>
    <t>אברמוביץ, יהודה מאיר</t>
  </si>
  <si>
    <t>הרעיון וההגשמה</t>
  </si>
  <si>
    <t>קורן, אליהו</t>
  </si>
  <si>
    <t>הרפואה בהלכה ובאגדה</t>
  </si>
  <si>
    <t>הרפואה האלטרנטיבית בהלכה</t>
  </si>
  <si>
    <t>הרפואה לאור ההלכה - 5 כר'</t>
  </si>
  <si>
    <t>המכון לחקר הרפואה בהלכה</t>
  </si>
  <si>
    <t>הרצאת דברים על דבר המעון לבנות ישראל יתומות ועזובות</t>
  </si>
  <si>
    <t>ירושלים. מעון לבנות ישראל</t>
  </si>
  <si>
    <t>תרס"ט-תרע"א</t>
  </si>
  <si>
    <t>הרקיע השביעי - שבת עם ר"נ מברסלב</t>
  </si>
  <si>
    <t>הרקמה</t>
  </si>
  <si>
    <t>אבן-ג'נאח, יונה</t>
  </si>
  <si>
    <t>הררי נמרים</t>
  </si>
  <si>
    <t>הררי קדם - 3 כר'</t>
  </si>
  <si>
    <t>הררי שבת</t>
  </si>
  <si>
    <t>הבלין, מנחם בן אליהו דוד</t>
  </si>
  <si>
    <t>שפירא, הראל</t>
  </si>
  <si>
    <t>הררים בשערה</t>
  </si>
  <si>
    <t>הררים התלויים</t>
  </si>
  <si>
    <t>הררים התלוים בשערה</t>
  </si>
  <si>
    <t>גרינבלאט, יצחק בן יעקב אליעזר</t>
  </si>
  <si>
    <t>הררים התלוים בשערה - הוצאה</t>
  </si>
  <si>
    <t>טיירי, יוסף</t>
  </si>
  <si>
    <t>הרת עולם - ראש השנה</t>
  </si>
  <si>
    <t>הש"ך ומשפחת רפפורט</t>
  </si>
  <si>
    <t>גליס, יעקב בן אברהם ישראל</t>
  </si>
  <si>
    <t>השארת הנפש</t>
  </si>
  <si>
    <t>השבח לאל</t>
  </si>
  <si>
    <t>שבתאי, שלו בן אפרים</t>
  </si>
  <si>
    <t>לכיש</t>
  </si>
  <si>
    <t>השבט ליהודה</t>
  </si>
  <si>
    <t>ארטין, ישראל יעקב - פרלמוטר, אברהם צבי - יעקב יצחק מוולוצלבק</t>
  </si>
  <si>
    <t>השביעית והלכותיה</t>
  </si>
  <si>
    <t>השבת אבדה</t>
  </si>
  <si>
    <t>מאנדלבאום, אליעזר משה בן מנחם</t>
  </si>
  <si>
    <t>השבת אבידה כהלכה</t>
  </si>
  <si>
    <t>השבת בהלכה ובאגדה</t>
  </si>
  <si>
    <t>השבת בישראל כהלכתה</t>
  </si>
  <si>
    <t>השבת במחיצת החפץ חיים</t>
  </si>
  <si>
    <t>השבת בתפארתה</t>
  </si>
  <si>
    <t>השבת והאמונה</t>
  </si>
  <si>
    <t>גוטפריד, מרדכי בן עזריאל</t>
  </si>
  <si>
    <t>השבת והארץ</t>
  </si>
  <si>
    <t>פלדהורן, ישראל שמעון</t>
  </si>
  <si>
    <t>השבת והחזון</t>
  </si>
  <si>
    <t>השבת וזמירותיה</t>
  </si>
  <si>
    <t>השבת ומזרח העולם</t>
  </si>
  <si>
    <t>השבת לקדשו</t>
  </si>
  <si>
    <t>דושוביץ, ישראל בן שמעון יהודה ליב</t>
  </si>
  <si>
    <t>השבת</t>
  </si>
  <si>
    <t>ועקנין, יעקב</t>
  </si>
  <si>
    <t>השג יד - קידושין</t>
  </si>
  <si>
    <t>גריינמן, יצחק דוד בן חיים</t>
  </si>
  <si>
    <t>השג יד - 2 כר'</t>
  </si>
  <si>
    <t>השגות הראב"ד למשנה תורה - מדע, אהבה</t>
  </si>
  <si>
    <t>אברהם בן דוד (הראב"ד השלישי) - נאור, בצלאל</t>
  </si>
  <si>
    <t>השגות הרמ"ך על הרמב"ם &lt;מהדורת אטלס&gt; - 3 כר'</t>
  </si>
  <si>
    <t>השגות הרמב"ן על ספר המצות - כת"י</t>
  </si>
  <si>
    <t>השגות של הרמב"ן ז"ל</t>
  </si>
  <si>
    <t>השגות</t>
  </si>
  <si>
    <t>אלאשקאר, משה בן יצחק</t>
  </si>
  <si>
    <t>השגחה והמעשה</t>
  </si>
  <si>
    <t>אורדמאן, משולם שאול בן שרגא</t>
  </si>
  <si>
    <t>תער"ג</t>
  </si>
  <si>
    <t>השגחה פרטית</t>
  </si>
  <si>
    <t>השואה בדילוגים</t>
  </si>
  <si>
    <t>השואה במקורות רבניים</t>
  </si>
  <si>
    <t>השואה</t>
  </si>
  <si>
    <t>שוארץ, יואל - גולדשטיין, יצחק</t>
  </si>
  <si>
    <t>השוחט והשחיטה בספרות הרבנות</t>
  </si>
  <si>
    <t>השולח סבלונות</t>
  </si>
  <si>
    <t>פרקש,יצחק שלמה - רוזנברג, ברוך</t>
  </si>
  <si>
    <t>השולחן הטהור</t>
  </si>
  <si>
    <t>ליפשיץ, אברהם דוד בן הלל</t>
  </si>
  <si>
    <t>השולחן כהלכתו</t>
  </si>
  <si>
    <t>השומר אמת &lt;מהדורה חדשה&gt;</t>
  </si>
  <si>
    <t>אדאדי, אברהם חיים בן נתן</t>
  </si>
  <si>
    <t>השומר אמת</t>
  </si>
  <si>
    <t>השופט והמשפט</t>
  </si>
  <si>
    <t>השופר והלכותיו</t>
  </si>
  <si>
    <t>השופר סמל לתשובה ולאחרית הימים</t>
  </si>
  <si>
    <t>השורשים אור ליהדות</t>
  </si>
  <si>
    <t>מלכה, שלמה בן דוד</t>
  </si>
  <si>
    <t>השושלת לבית ואזאנא</t>
  </si>
  <si>
    <t>ואזאנא, אליהו בן שלמה</t>
  </si>
  <si>
    <t>השושלת לבית פינטו</t>
  </si>
  <si>
    <t>מיכלסון, אהוד</t>
  </si>
  <si>
    <t>השחיטה בהגרמה</t>
  </si>
  <si>
    <t>שרים, שאול</t>
  </si>
  <si>
    <t>השחיטה וצער בעלי חיים</t>
  </si>
  <si>
    <t>השיב לב אבות</t>
  </si>
  <si>
    <t>אבות. תרנ"ט. למברג</t>
  </si>
  <si>
    <t>השיב משה &lt;מהדורה חדשה&gt; - 5 כר'</t>
  </si>
  <si>
    <t>טייטלבוים, משה בן צבי הירש</t>
  </si>
  <si>
    <t>השיב משה</t>
  </si>
  <si>
    <t>השיב ר' אליעזר ושיח השדה</t>
  </si>
  <si>
    <t>השיבה לירושלים</t>
  </si>
  <si>
    <t>השידוכים בדרך חז"ל</t>
  </si>
  <si>
    <t>השיחות לדופקי תשובה מתוך שמחה - בראשית</t>
  </si>
  <si>
    <t>בידרמן, דוד צבי שלמה נפתלי בן אלתר אלעזר מנחם</t>
  </si>
  <si>
    <t>השימוש במטבח ובכליו במקומות נופש</t>
  </si>
  <si>
    <t>נאומברג, משה</t>
  </si>
  <si>
    <t>השיר הזה</t>
  </si>
  <si>
    <t>קיצינגן, יעקב בן יוסף</t>
  </si>
  <si>
    <t>השיר והפיוט</t>
  </si>
  <si>
    <t>משפחת טויטו (עורכים)</t>
  </si>
  <si>
    <t>השיר והשבח</t>
  </si>
  <si>
    <t>השיר והשבח - 2 כר'</t>
  </si>
  <si>
    <t>פרדס, שניאור זלמן בן חיים מאניס הלוי</t>
  </si>
  <si>
    <t>רוזנווסר, משה יהודה בן צבי דב</t>
  </si>
  <si>
    <t>השיר שבמקדש &lt;שלטי הגבורים&gt;</t>
  </si>
  <si>
    <t>שפר, שאול בן יעקב</t>
  </si>
  <si>
    <t>השירה הזאת</t>
  </si>
  <si>
    <t>השירה הזאת - 2 כר'</t>
  </si>
  <si>
    <t>חזן, ששון</t>
  </si>
  <si>
    <t>קליין, אליעזר</t>
  </si>
  <si>
    <t>השירה העברית באלג'יריה</t>
  </si>
  <si>
    <t>חזן, אפרים</t>
  </si>
  <si>
    <t>השירה וניגון בעבודת ה'</t>
  </si>
  <si>
    <t>השכיר והקבלן בשבת</t>
  </si>
  <si>
    <t>שיינברגר, דוד</t>
  </si>
  <si>
    <t>השכל וידוע אותי</t>
  </si>
  <si>
    <t>השכל וידוע</t>
  </si>
  <si>
    <t>רוזנבוים, יעקב ישכר בער בן חיים מרדכי</t>
  </si>
  <si>
    <t>השכל - 13 כר'</t>
  </si>
  <si>
    <t>ירחון לדברי תורה ומוסר</t>
  </si>
  <si>
    <t>השל"ה הקדוש (אנגלית)</t>
  </si>
  <si>
    <t>ניומאן, אברהם יעקב</t>
  </si>
  <si>
    <t>השלהבת בקיפאון הסקנדינבי - 2 כר'</t>
  </si>
  <si>
    <t>בני משפחת כהן</t>
  </si>
  <si>
    <t>השלום באספקלריה תורנית</t>
  </si>
  <si>
    <t>השלום והאחדות</t>
  </si>
  <si>
    <t>שפירא, חיים מאיר יחיאל</t>
  </si>
  <si>
    <t>דורהוביץ</t>
  </si>
  <si>
    <t>השלחן הבהיר</t>
  </si>
  <si>
    <t>השלחן הטהור</t>
  </si>
  <si>
    <t>השלחן השלם</t>
  </si>
  <si>
    <t>אוחנה, אלעזר בן משה חיים</t>
  </si>
  <si>
    <t>השלחן והכלים</t>
  </si>
  <si>
    <t>גרוס, אברהם חיים בן עוזר זלמן הכהן</t>
  </si>
  <si>
    <t>השלחן ערוך ונושאי כליו</t>
  </si>
  <si>
    <t>נושאים שונים, שלחן ערוך ומפרשיו, תולדות עם ישראל</t>
  </si>
  <si>
    <t>השליח הנודד - 2 כר'</t>
  </si>
  <si>
    <t>שרים, נוריאל - בן יעקב, אברהם</t>
  </si>
  <si>
    <t>השלמה לירושלמי</t>
  </si>
  <si>
    <t>השלמה לסדר הדורות &lt;כתב יד&gt;</t>
  </si>
  <si>
    <t>דויטש, ברוך שמואל הכהן</t>
  </si>
  <si>
    <t>השלמה מן שלחן ערוך רז"ל</t>
  </si>
  <si>
    <t>השלמות והוספות לערכים באנצ"ת - א -כ</t>
  </si>
  <si>
    <t>מכון להלכה ולמחקר שע"</t>
  </si>
  <si>
    <t>השלמת המדות</t>
  </si>
  <si>
    <t>פיינזילבר, שלמה בן אהרן יוסף הלוי</t>
  </si>
  <si>
    <t>השם אורחותיו</t>
  </si>
  <si>
    <t>כנרתי, עמיחי</t>
  </si>
  <si>
    <t>איתמר</t>
  </si>
  <si>
    <t>השם אקרא</t>
  </si>
  <si>
    <t>פראנק, משה קלונימוס מצאנז</t>
  </si>
  <si>
    <t>השם לנגדי</t>
  </si>
  <si>
    <t>השם ממית ומחיה</t>
  </si>
  <si>
    <t>בוטרשוילי, פנחס</t>
  </si>
  <si>
    <t>השמח בחלקו</t>
  </si>
  <si>
    <t>טוטיאן, משה</t>
  </si>
  <si>
    <t>השמחה באספקלרית היהדות</t>
  </si>
  <si>
    <t>השמחה בתפארתה</t>
  </si>
  <si>
    <t>קרישבסקי, שלמה</t>
  </si>
  <si>
    <t>השמחה האמיתית</t>
  </si>
  <si>
    <t>בובליל, משה</t>
  </si>
  <si>
    <t>השמחה ההודיה והשירה</t>
  </si>
  <si>
    <t>השמטות הרמב"ם</t>
  </si>
  <si>
    <t>אג'ייני, רחמים יוסף</t>
  </si>
  <si>
    <t>השמטות ושנויי הדפוס בספרי הטור שלנו</t>
  </si>
  <si>
    <t>השמיטה באור החסידות</t>
  </si>
  <si>
    <t>גרליץ, יוסף שלמה בן אריה לייב</t>
  </si>
  <si>
    <t>השמיטה במחיצת גדולי הדורות</t>
  </si>
  <si>
    <t>השמיטה והלכותיה</t>
  </si>
  <si>
    <t>השמיטה כהלכתה</t>
  </si>
  <si>
    <t>השמיטה</t>
  </si>
  <si>
    <t>ארגון אילת השחר</t>
  </si>
  <si>
    <t>השמים החדשים &lt;מהדורה חדשה&gt;</t>
  </si>
  <si>
    <t>טולידאנו, משה בן דניאל</t>
  </si>
  <si>
    <t>השמים מספרים כבוד א"ל</t>
  </si>
  <si>
    <t>עייש, דוד חיים</t>
  </si>
  <si>
    <t>השמים מספרים</t>
  </si>
  <si>
    <t>גמליאל, משה בן שלום</t>
  </si>
  <si>
    <t>השמיעני את קולך - 2 כר'</t>
  </si>
  <si>
    <t>השמעת כלאים - 2 כר'</t>
  </si>
  <si>
    <t>השמש בגבורתו</t>
  </si>
  <si>
    <t>ארלננגר, יצחק בן אהרן - ארונובסקי, מרדכי נחמן בן מאיר חיים</t>
  </si>
  <si>
    <t>פרידמאן, מנשה שמחה בן יחיאל</t>
  </si>
  <si>
    <t>השמש - 4 כר'</t>
  </si>
  <si>
    <t>קובץ תורני בטאון ברית בני תורה</t>
  </si>
  <si>
    <t>השמש</t>
  </si>
  <si>
    <t>השנאה והחינם</t>
  </si>
  <si>
    <t>ווינברגר, צבי - חפץ, ברוך</t>
  </si>
  <si>
    <t>השעטנז להלכה ולמעשה</t>
  </si>
  <si>
    <t>כהן, אלחנן בן צדקיהו</t>
  </si>
  <si>
    <t>השער לשמים</t>
  </si>
  <si>
    <t>השער</t>
  </si>
  <si>
    <t>השערים</t>
  </si>
  <si>
    <t>בונדי, אליהו בן זליג</t>
  </si>
  <si>
    <t>תקצ"ב,</t>
  </si>
  <si>
    <t>השפה האלוקית</t>
  </si>
  <si>
    <t>זילברברג, יעקב יהודה</t>
  </si>
  <si>
    <t>השפעת זכות רחל אמנו</t>
  </si>
  <si>
    <t>השקדן הצנוע - רבי חיים בנימין הלוי לוצקין</t>
  </si>
  <si>
    <t>לוצקין, אברהם אליהו</t>
  </si>
  <si>
    <t>השקדן - 3 כר'</t>
  </si>
  <si>
    <t>סג"ל, י</t>
  </si>
  <si>
    <t>השקפה לברכה &lt;מקורות הברכה&gt;</t>
  </si>
  <si>
    <t>השקפות הרמ"ה</t>
  </si>
  <si>
    <t>השקפת הנצח לשאלות הזמן</t>
  </si>
  <si>
    <t>מערכת המחנה החרדי</t>
  </si>
  <si>
    <t>תשד"ם</t>
  </si>
  <si>
    <t>השקפת ישראל סבא</t>
  </si>
  <si>
    <t>ירחון ישראל סבא</t>
  </si>
  <si>
    <t>השקפתינו - 3 כר'</t>
  </si>
  <si>
    <t>אוסף מאמרים ומכתבים</t>
  </si>
  <si>
    <t>השר מקוצי - האנוסים מוילנה</t>
  </si>
  <si>
    <t>השתא הכא עבדי</t>
  </si>
  <si>
    <t>השתדלות המאמין</t>
  </si>
  <si>
    <t>השתדלות רוחנית</t>
  </si>
  <si>
    <t>השתדלות</t>
  </si>
  <si>
    <t>שוורץ, עזריאל מרדכי</t>
  </si>
  <si>
    <t>יסודות</t>
  </si>
  <si>
    <t>השתיה כדת</t>
  </si>
  <si>
    <t>ליפקינד, יהודה ליב בן ישראל</t>
  </si>
  <si>
    <t>השתנות הטבעים בהלכה</t>
  </si>
  <si>
    <t>גוטל, נריה משה בן שלמה</t>
  </si>
  <si>
    <t>השתערות מלך הנגב עם מלך הצפון</t>
  </si>
  <si>
    <t>לונדון, יעקב בן משה יהודה</t>
  </si>
  <si>
    <t>השתפכות הנפש - 6 כר'</t>
  </si>
  <si>
    <t>פרמפול Frampol</t>
  </si>
  <si>
    <t>השתפכות הנפש</t>
  </si>
  <si>
    <t>[תרס"ז,</t>
  </si>
  <si>
    <t>התאחדות - 2 כר'</t>
  </si>
  <si>
    <t>התאחדותינו - 2 כר'</t>
  </si>
  <si>
    <t>מערכת דבר ההתאחדות</t>
  </si>
  <si>
    <t>התאנה חנטה פגיה - 2 כר'</t>
  </si>
  <si>
    <t>התבונה - 2 כר'</t>
  </si>
  <si>
    <t>קובץ לתורה ומוסר</t>
  </si>
  <si>
    <t>התבוננות אחר האסף</t>
  </si>
  <si>
    <t>כהן,  ישעיהו בן שמעון אשר</t>
  </si>
  <si>
    <t>התבוננות הנפש</t>
  </si>
  <si>
    <t>קויפמן, צבי בן נתן נטע</t>
  </si>
  <si>
    <t>התגלות הסודות והופעת המאורות</t>
  </si>
  <si>
    <t>אבן עקנין, יוסף בן יהודה בן יעקב</t>
  </si>
  <si>
    <t>התגלות הצדיקים - 2 כר'</t>
  </si>
  <si>
    <t>רוזנטאל, שלמה גבריאל בן מרדכי זאב</t>
  </si>
  <si>
    <t>התגלות קברי צדיקים</t>
  </si>
  <si>
    <t>התדמות הלשון - 3 כר'</t>
  </si>
  <si>
    <t>לובצקי, בן ציון חיים בן משה יצחק</t>
  </si>
  <si>
    <t>התהום</t>
  </si>
  <si>
    <t>התהלים המבואר &lt;מהדורה חדשה&gt;</t>
  </si>
  <si>
    <t>סגל, גדליה בן משה אהרן הלוי (מפרש)</t>
  </si>
  <si>
    <t>התהלים המבואר</t>
  </si>
  <si>
    <t>התודה</t>
  </si>
  <si>
    <t>סוקר, יוסף דוד</t>
  </si>
  <si>
    <t>שולביץ, חיים</t>
  </si>
  <si>
    <t>התוספות שעל האלפס - יבמות כתובות גיטין קדושין</t>
  </si>
  <si>
    <t>משה בן יום טוב מלונדריש</t>
  </si>
  <si>
    <t>התוספתא לפי סדר המשניות - 4 כר'</t>
  </si>
  <si>
    <t>תוספתא. תרמ"ב</t>
  </si>
  <si>
    <t>תרמ"ב - תרצ"ג</t>
  </si>
  <si>
    <t>התוספתא סדר זרעים &lt;ר' יונה מווילנא&gt;</t>
  </si>
  <si>
    <t>תוספתא. תקנ"ט</t>
  </si>
  <si>
    <t>התוקע בשופר והמקריא בתקיעות</t>
  </si>
  <si>
    <t>הלכה ומנהג, הלכה ומנהג, מועדי ישראל</t>
  </si>
  <si>
    <t>התורה הזאת</t>
  </si>
  <si>
    <t>התורה המסורה לשיטת הרמב"ם</t>
  </si>
  <si>
    <t>התורה התמימה - 7 כר'</t>
  </si>
  <si>
    <t>התורה והחיים - 2 כר'</t>
  </si>
  <si>
    <t>גידמן, משה בן יוסף</t>
  </si>
  <si>
    <t>תרנ"ז - תרנ"ט</t>
  </si>
  <si>
    <t>התורה והחכמה - 2 כר'</t>
  </si>
  <si>
    <t>התורה והליכות עמנו - 2 כר'</t>
  </si>
  <si>
    <t>ערוסי, רצון בן יוסף הלוי</t>
  </si>
  <si>
    <t>התורה והמדע</t>
  </si>
  <si>
    <t>התורה והמלאכה</t>
  </si>
  <si>
    <t>זאקהיים, אברהם בן משה נתן</t>
  </si>
  <si>
    <t>התורה והמסורה</t>
  </si>
  <si>
    <t>התורה והמצוה &lt;מהדורה חדשה&gt;</t>
  </si>
  <si>
    <t>כהנא-שפירא, צבי הירש אשר בן שמואל יהודה הכהן</t>
  </si>
  <si>
    <t>התורה והמצוה &lt;מלבי"ם&gt; - 2 כר'</t>
  </si>
  <si>
    <t>התורה והמצוה לריצב"א</t>
  </si>
  <si>
    <t>התורה והמצוה - איסור והיתר</t>
  </si>
  <si>
    <t>בית המדרש זכור ליעקב</t>
  </si>
  <si>
    <t>התורה והמצוה - א</t>
  </si>
  <si>
    <t>התורה והמצוה</t>
  </si>
  <si>
    <t>ליפקין, חיים יצחק בן אריה ליב</t>
  </si>
  <si>
    <t>התורה והמצוה - 2 כר'</t>
  </si>
  <si>
    <t>התורה והעבודה</t>
  </si>
  <si>
    <t>סטודיניצקי, יוסף חיים יצחק בן אברהם ירחמיאל</t>
  </si>
  <si>
    <t>תרס"ח!</t>
  </si>
  <si>
    <t>התורה והעולם - 3 כר'</t>
  </si>
  <si>
    <t>טלושקין, ניסן בן משה יצחק</t>
  </si>
  <si>
    <t>תשט"ז - תשי"ח</t>
  </si>
  <si>
    <t>התורה והעם</t>
  </si>
  <si>
    <t>וולף, יוסף אברהם בן פינחס</t>
  </si>
  <si>
    <t>התורה וחזון הדורות</t>
  </si>
  <si>
    <t>התורה וחכמות חיצוניות</t>
  </si>
  <si>
    <t>התורה וקבלתה במשנתם של רבותינו</t>
  </si>
  <si>
    <t>מערכת במשנתם</t>
  </si>
  <si>
    <t>התחזקות בתפילה לה' - 2 כר'</t>
  </si>
  <si>
    <t>יאדלר, משה מאיר בן נתנאל</t>
  </si>
  <si>
    <t>התחיה והפדות &lt;מהדורה חדשה&gt;</t>
  </si>
  <si>
    <t>התחיה והפדות</t>
  </si>
  <si>
    <t>התימנים</t>
  </si>
  <si>
    <t>גויטיין, שלמה דב</t>
  </si>
  <si>
    <t>התירוש</t>
  </si>
  <si>
    <t>תרנ"א - תרס"א</t>
  </si>
  <si>
    <t>התכלאל המבואר</t>
  </si>
  <si>
    <t>נחום, חיים בם שלום - בן נון, אדם</t>
  </si>
  <si>
    <t>התכלאל המדעי המהודר</t>
  </si>
  <si>
    <t>התכלאל המפורש &lt;תפילה בכוונה&gt; - 6 כר'</t>
  </si>
  <si>
    <t>מכון יוסף שלום</t>
  </si>
  <si>
    <t>התכלת וחידושה</t>
  </si>
  <si>
    <t>אריאל, שמואל</t>
  </si>
  <si>
    <t>התלמוד בתנ"ך</t>
  </si>
  <si>
    <t>בן הרוש, שמואל</t>
  </si>
  <si>
    <t>התלמוד הקצר (על הרי"ף) - 2 כר'</t>
  </si>
  <si>
    <t>וכטפוגל, משה אליעזר בן יהושע בצלאל (ביאור)</t>
  </si>
  <si>
    <t>התלמוד ומדעי התבל</t>
  </si>
  <si>
    <t>התלמוד על התנ"ך - 3 כר'</t>
  </si>
  <si>
    <t>גאלון, צמח בן משה צבי</t>
  </si>
  <si>
    <t>התנ"ך ערוך לפי סדריו ע"פ המסורה</t>
  </si>
  <si>
    <t>תנ"ך ע"פ סדרי המסורה</t>
  </si>
  <si>
    <t>התנאים המדיניים של יהודי פולין במאה הי"ח</t>
  </si>
  <si>
    <t>התנאים ומשנתם - תקופת הבית (תוספת למהדורה הראשונה)</t>
  </si>
  <si>
    <t>רוזנשטיין, אברהם משה</t>
  </si>
  <si>
    <t>התנאים לאיסור מלאכה בשבת</t>
  </si>
  <si>
    <t>התנהגות הדרך - 2 כר'</t>
  </si>
  <si>
    <t>התנועה ופעולותיה</t>
  </si>
  <si>
    <t>הסתדרות פועלי אגודת ישראל</t>
  </si>
  <si>
    <t>התעוררות התפלה</t>
  </si>
  <si>
    <t>דוד שלמה בן שמואל</t>
  </si>
  <si>
    <t>התעוררות לחתן</t>
  </si>
  <si>
    <t>אשכנזי, קלונימוס קלמן יהושע</t>
  </si>
  <si>
    <t>התעוררות ללימוד התורה</t>
  </si>
  <si>
    <t>ריסנר, מרדכי יעקב בן מנחם מנדל</t>
  </si>
  <si>
    <t>התעוררות תשובה - 7 כר'</t>
  </si>
  <si>
    <t>סופר, שמעון בן אברהם שמואל בנימין</t>
  </si>
  <si>
    <t>תרפ"ג - תרצ"ד</t>
  </si>
  <si>
    <t>התענג על ה' - 3 כר'</t>
  </si>
  <si>
    <t>התפילה במחיצת החפץ חיים</t>
  </si>
  <si>
    <t>התפילה בציבור</t>
  </si>
  <si>
    <t>פוקס, יעקב יצחק</t>
  </si>
  <si>
    <t>התפילה והדקדוק קשר הדוק</t>
  </si>
  <si>
    <t>מאזוז, מרדכי</t>
  </si>
  <si>
    <t>התפילה וההודאה</t>
  </si>
  <si>
    <t>התפילה ומשמעות הזמן ביהדות</t>
  </si>
  <si>
    <t>התפילה כקרבן - 2 כר'</t>
  </si>
  <si>
    <t>כודרי, יוסף בן אליהו ציון</t>
  </si>
  <si>
    <t>התפילין</t>
  </si>
  <si>
    <t>פרנקל, איסר בן יצחק ידידיה</t>
  </si>
  <si>
    <t>ריטרמן, זאב</t>
  </si>
  <si>
    <t>התקונים</t>
  </si>
  <si>
    <t>זוהר. תיקוני זוהר. תרי"ח. אזמיר</t>
  </si>
  <si>
    <t>התקופה באספקלריה תורנית</t>
  </si>
  <si>
    <t>התקופה בסערת אליהו</t>
  </si>
  <si>
    <t>התקופה הגדולה - 2 כר'</t>
  </si>
  <si>
    <t>התקופה ובעיותיה - 4 כר'</t>
  </si>
  <si>
    <t>התקופה ומשמעותה</t>
  </si>
  <si>
    <t>התקופה</t>
  </si>
  <si>
    <t>התקן עצמך ללמוד תורה - 2 כר'</t>
  </si>
  <si>
    <t>התקנות והסכמות ומנהגים</t>
  </si>
  <si>
    <t>כהן, איתי</t>
  </si>
  <si>
    <t>התקנות למאה שערים</t>
  </si>
  <si>
    <t>ירושלים. מאה שערים</t>
  </si>
  <si>
    <t>התקרבות להשם</t>
  </si>
  <si>
    <t>התקשרות בתפילין</t>
  </si>
  <si>
    <t>התרגשות הלב</t>
  </si>
  <si>
    <t>התרת נדרים המבואר</t>
  </si>
  <si>
    <t>התרת נדרים עם ביאור מילתא דשכיחא</t>
  </si>
  <si>
    <t>התרת נדרים</t>
  </si>
  <si>
    <t>התשב"ץ &lt;דפו"ר&gt;</t>
  </si>
  <si>
    <t>התשב"ץ - 6 כר'</t>
  </si>
  <si>
    <t>התשובה בספרות השו"ת</t>
  </si>
  <si>
    <t>וילמן, פנחס הכהן</t>
  </si>
  <si>
    <t>התשובה - 2 כר'</t>
  </si>
  <si>
    <t>ואביו שמר - 2 כר'</t>
  </si>
  <si>
    <t>ואביטה ארחותיך</t>
  </si>
  <si>
    <t>פרץ, מיכאל</t>
  </si>
  <si>
    <t>ואברהם זקן</t>
  </si>
  <si>
    <t>חורי, חיים</t>
  </si>
  <si>
    <t>דרושים, מועדי ישראל, משנה, תלמוד בבלי</t>
  </si>
  <si>
    <t>ואברהם שב למקומו</t>
  </si>
  <si>
    <t>לזכרו של הרב אברהם רביץ</t>
  </si>
  <si>
    <t>ואד יעלה - 9 כר'</t>
  </si>
  <si>
    <t>ואד יעלה - 3 כר'</t>
  </si>
  <si>
    <t>כולל בית אברהם דוד</t>
  </si>
  <si>
    <t>ואדעה עדותיך</t>
  </si>
  <si>
    <t>אברהמי, שמואל יעקב בן אליהו</t>
  </si>
  <si>
    <t>ואהבת לרעך כהלכה</t>
  </si>
  <si>
    <t>מונייצר, אבישלום בן ניסים</t>
  </si>
  <si>
    <t>ואהבת לרעך כמוך</t>
  </si>
  <si>
    <t>כהן, חיים בן שלום</t>
  </si>
  <si>
    <t>תש"י-תשי"א</t>
  </si>
  <si>
    <t>ואהבת לרעך</t>
  </si>
  <si>
    <t>ואוד מצל מאש</t>
  </si>
  <si>
    <t>שלזינגר, מרדכי בן שמואל</t>
  </si>
  <si>
    <t>ואוריתה קשוט</t>
  </si>
  <si>
    <t>יעקובוביץ, אברהם אליהם בן יהודה</t>
  </si>
  <si>
    <t>ואזמרה</t>
  </si>
  <si>
    <t>ואחד תרגום</t>
  </si>
  <si>
    <t>דינר, מיכאל שלום בן יהודה אריה הלוי</t>
  </si>
  <si>
    <t>ואין למו מכשול - 19 כר'</t>
  </si>
  <si>
    <t>ואיש שומע לנצח ידבר</t>
  </si>
  <si>
    <t>ואכלת ושבעת</t>
  </si>
  <si>
    <t>קנוהל, אלישיב - אריאל, שמואל</t>
  </si>
  <si>
    <t>ואל מעלת אבותם ישובו</t>
  </si>
  <si>
    <t>ואל תטש תורת אמך</t>
  </si>
  <si>
    <t>מאזוז, מאיר בן מצליח - יב"א הלוי</t>
  </si>
  <si>
    <t>ואלה הדברים שנאמרו לדוד - 2 כר'</t>
  </si>
  <si>
    <t>רבינוביץ, נתן דוד בן יצחק יעקב</t>
  </si>
  <si>
    <t>ואלה שמות בני ישראל</t>
  </si>
  <si>
    <t>ואלה שמות</t>
  </si>
  <si>
    <t>ואלה תולדות הרבי הראשון מגור</t>
  </si>
  <si>
    <t>ואלו ההלכות</t>
  </si>
  <si>
    <t>ביברפלד, חיים בן אברהם</t>
  </si>
  <si>
    <t>ואם תאמר - 8 כר'</t>
  </si>
  <si>
    <t>ואמונתך בלילות</t>
  </si>
  <si>
    <t>ואמרו אמן - 3 כר'</t>
  </si>
  <si>
    <t>ואמרתם זבח פסח</t>
  </si>
  <si>
    <t>סיגל, פסח גרשון</t>
  </si>
  <si>
    <t>ואמרתם כה לחי</t>
  </si>
  <si>
    <t>ואנוהו - לקט שיחות בין אדם לחבירו</t>
  </si>
  <si>
    <t>סמינר בית יעקב החדש אשדוד</t>
  </si>
  <si>
    <t>ואני אברכם - הלכות נשיאת כפים</t>
  </si>
  <si>
    <t>ואני בגולת סיביר</t>
  </si>
  <si>
    <t>אביב"י, אריה</t>
  </si>
  <si>
    <t>ואני בה' אצפה</t>
  </si>
  <si>
    <t>ואני תפילה</t>
  </si>
  <si>
    <t>תיקונים. שובבי"ם</t>
  </si>
  <si>
    <t>ואני תפילתי  ב</t>
  </si>
  <si>
    <t>בית הכנסת הספרדי אלון שבות</t>
  </si>
  <si>
    <t>ואני תפילתי לך ה'</t>
  </si>
  <si>
    <t>ואני תפילתי לך - עת רצון</t>
  </si>
  <si>
    <t>ואני תפילתי</t>
  </si>
  <si>
    <t>יוסף חיים בן אליהו  (ליקוט)</t>
  </si>
  <si>
    <t>ואני תפלה - 4 כר'</t>
  </si>
  <si>
    <t>ואני תפלה - 2 כר'</t>
  </si>
  <si>
    <t>ואני תפלה</t>
  </si>
  <si>
    <t>ואני תפלתי - א</t>
  </si>
  <si>
    <t>וארשה - אנציקלופדיה של גלויות - א</t>
  </si>
  <si>
    <t>ואשיבה דברי</t>
  </si>
  <si>
    <t>מוזסון, יעקב שלמה</t>
  </si>
  <si>
    <t>ואשיחה בחוקיך - 2 כר'</t>
  </si>
  <si>
    <t>ישיבת אהל שמעון ערלוי</t>
  </si>
  <si>
    <t>ואשיחה בחוקיך</t>
  </si>
  <si>
    <t>ואשפוך נפשי</t>
  </si>
  <si>
    <t>ואשר תבאנה יגידו</t>
  </si>
  <si>
    <t>קושלבסקי, שלמה</t>
  </si>
  <si>
    <t>ואת הבנים תקח לך</t>
  </si>
  <si>
    <t>יפה, הושעיה יהודה יעקב בן ארנון</t>
  </si>
  <si>
    <t>ואת הנחלים ארנון - 2 כר'</t>
  </si>
  <si>
    <t>שמואל, אליהו</t>
  </si>
  <si>
    <t>ואת עלית על כולנה - נשים בתנ"ך</t>
  </si>
  <si>
    <t>מסינג, גלעד</t>
  </si>
  <si>
    <t>ואת צנועים חכמה</t>
  </si>
  <si>
    <t>ואת רוחי אתן בקרבכם</t>
  </si>
  <si>
    <t>סרבניק, יהודה</t>
  </si>
  <si>
    <t>חש""ד</t>
  </si>
  <si>
    <t>ואתה את בריתי תשמור</t>
  </si>
  <si>
    <t>ועד להפצת רעיון הקדושה בישראל</t>
  </si>
  <si>
    <t>ואתה את בריתי תשמר</t>
  </si>
  <si>
    <t>הועד לחיזוק טהרת ישראל</t>
  </si>
  <si>
    <t>ואתה ברחמיך הרבים</t>
  </si>
  <si>
    <t>גינזבורג, אליעזר בן אפרים מרדכי</t>
  </si>
  <si>
    <t>ואתה קדוש</t>
  </si>
  <si>
    <t>ואתה תחזה - 4 כר'</t>
  </si>
  <si>
    <t>אלבום, אביגדור</t>
  </si>
  <si>
    <t>ואתם עדי</t>
  </si>
  <si>
    <t>ואתפלל כדת</t>
  </si>
  <si>
    <t>ובא הכהן - נדה</t>
  </si>
  <si>
    <t>כהן, אברהם משה</t>
  </si>
  <si>
    <t>ובא הלוי - 2 כר'</t>
  </si>
  <si>
    <t>שוק, מנחם הלוי בן צבי הירש</t>
  </si>
  <si>
    <t>ובא השמש</t>
  </si>
  <si>
    <t>טומבק, חיים אהרן לפידות בן אריה ליב</t>
  </si>
  <si>
    <t>ובא לציון גואל</t>
  </si>
  <si>
    <t>רובנשטיין, יוסף בן אשר זליג הכהן</t>
  </si>
  <si>
    <t>ובהם נהגה יום ולילה</t>
  </si>
  <si>
    <t>נחמני, יגאל</t>
  </si>
  <si>
    <t>ובהם נהגה</t>
  </si>
  <si>
    <t>איחוד אברכי ערלוי</t>
  </si>
  <si>
    <t>תשס"א - תשס"ב</t>
  </si>
  <si>
    <t>ובהם נהגה - ז</t>
  </si>
  <si>
    <t>ועד אהבת תורה סאדיגורה</t>
  </si>
  <si>
    <t>ובו תדבק</t>
  </si>
  <si>
    <t>ובחקתיהם לא תלכו</t>
  </si>
  <si>
    <t>רוזמן, יונתן הלוי</t>
  </si>
  <si>
    <t>ובחרת בחיים</t>
  </si>
  <si>
    <t>ווייס, חיים יוסף דוד</t>
  </si>
  <si>
    <t>זהר, אורי</t>
  </si>
  <si>
    <t>מאליק, חיים יצחק בן משה יעקב</t>
  </si>
  <si>
    <t>[תר"ף,</t>
  </si>
  <si>
    <t>סאטמאר,</t>
  </si>
  <si>
    <t>ובחרת בחיים - 2 כר'</t>
  </si>
  <si>
    <t>סופר, יפתח</t>
  </si>
  <si>
    <t>סיטיון, אליהו</t>
  </si>
  <si>
    <t>וביום השבת - 2 כר'</t>
  </si>
  <si>
    <t>וביום שמחתכם</t>
  </si>
  <si>
    <t>ובכל נפשך</t>
  </si>
  <si>
    <t>ובכן צדיקים</t>
  </si>
  <si>
    <t>ובלכתך בדרך</t>
  </si>
  <si>
    <t>זילבר, נטע שלמה אהרן</t>
  </si>
  <si>
    <t>ובמשה עבדו</t>
  </si>
  <si>
    <t>הירט, צבי ליפא</t>
  </si>
  <si>
    <t>פאססעיק</t>
  </si>
  <si>
    <t>ובמשפטי ילכו</t>
  </si>
  <si>
    <t>כולל מדבר שור</t>
  </si>
  <si>
    <t>חלוצה</t>
  </si>
  <si>
    <t>ובני ציון יגילו במלכם - 4 כר'</t>
  </si>
  <si>
    <t>ראקאוו, יום טוב ליפמאן בן בן ציון</t>
  </si>
  <si>
    <t>ובקש חכמה - קהלת</t>
  </si>
  <si>
    <t>אליאסי, שלום</t>
  </si>
  <si>
    <t>ובראשי חדשיכם</t>
  </si>
  <si>
    <t>וברכת</t>
  </si>
  <si>
    <t>בורשטין, אברהם דב בן אבא שלום</t>
  </si>
  <si>
    <t>ובשנה החמישית - א ב</t>
  </si>
  <si>
    <t>הלכה ומנהג, מחשבה ומוסר, שאלות ותשובות</t>
  </si>
  <si>
    <t>ובשנה הרביעית - 2 כר'</t>
  </si>
  <si>
    <t>ובשנה הרביעית</t>
  </si>
  <si>
    <t>רובינשטיין, מרדכי הכהן</t>
  </si>
  <si>
    <t>ובשנה השביעית</t>
  </si>
  <si>
    <t>הוטרר, בועז</t>
  </si>
  <si>
    <t>וגבורתיך יגידו</t>
  </si>
  <si>
    <t>וגילו צדיקים</t>
  </si>
  <si>
    <t>וגם את הגוי - דן</t>
  </si>
  <si>
    <t>וגר זאב</t>
  </si>
  <si>
    <t>ודבר דבר</t>
  </si>
  <si>
    <t>ודבר שלום</t>
  </si>
  <si>
    <t>ודברת ב"ם</t>
  </si>
  <si>
    <t>סנדומירסקי, בנימין מרדכי</t>
  </si>
  <si>
    <t>ודברת בם - 3 כר'</t>
  </si>
  <si>
    <t>אוחיון, נסים בן אליהו</t>
  </si>
  <si>
    <t>ודברת בם - 8 כר'</t>
  </si>
  <si>
    <t>גאולה, בועז בן יהודה</t>
  </si>
  <si>
    <t>ודברת בם</t>
  </si>
  <si>
    <t>דניאלי, בועז מרדכי</t>
  </si>
  <si>
    <t>ודברת בם - ד</t>
  </si>
  <si>
    <t>טרופ, אביעד - זילברליכט, יעקב יהודה</t>
  </si>
  <si>
    <t>ודברת בם - 2 כר'</t>
  </si>
  <si>
    <t>טרופ, אביעד - טוקר, אליעזר חיים</t>
  </si>
  <si>
    <t>ודברת בם - ב</t>
  </si>
  <si>
    <t>מוסקוביץ, ברוך</t>
  </si>
  <si>
    <t>פלדמן, פנחס אליהו</t>
  </si>
  <si>
    <t>פלק, יעקב יהודה בן מאיר</t>
  </si>
  <si>
    <t>קורט, חיים משה בן יששכר</t>
  </si>
  <si>
    <t>שאלות תמיהות וקושיות לימי בין הזמנים</t>
  </si>
  <si>
    <t>תשס"א - תשס"ד</t>
  </si>
  <si>
    <t>ודע מה שתשיב</t>
  </si>
  <si>
    <t>ודרשת בחגך - 5 כר'</t>
  </si>
  <si>
    <t>מייטליס, אבישי נתן</t>
  </si>
  <si>
    <t>ודרשת וחקרת - 12 כר'</t>
  </si>
  <si>
    <t>גרוסמן, אהרן יהודה בן אברהם משה הלוי</t>
  </si>
  <si>
    <t>והאיש מרדכי - 4 כר'</t>
  </si>
  <si>
    <t>רביבו, חיים בן יוסף</t>
  </si>
  <si>
    <t>והאיש משה</t>
  </si>
  <si>
    <t>והאיש משה - 2 כר'</t>
  </si>
  <si>
    <t>סולובייצ'יק, משה הלוי</t>
  </si>
  <si>
    <t>והאר עינינו</t>
  </si>
  <si>
    <t>גולדשמיט, יוסף שלמה בן פסח מאיר</t>
  </si>
  <si>
    <t>והאר עינינו - סיום מסכתות ולמוד תורה</t>
  </si>
  <si>
    <t>והארכת ימים - ויחי יעקב</t>
  </si>
  <si>
    <t>פיש, יעקב יחזקיה בן אהרן צבי אביגדור - סופר, יעקב חיים בן משה</t>
  </si>
  <si>
    <t>והארכת ימים</t>
  </si>
  <si>
    <t>והארץ אזכור</t>
  </si>
  <si>
    <t>והארץ לעולם עומדת</t>
  </si>
  <si>
    <t>והב בסופה - 2 כר'</t>
  </si>
  <si>
    <t>הרשקוביץ, משה  בן יונה זאב</t>
  </si>
  <si>
    <t>והגדת לבנך - א-ז</t>
  </si>
  <si>
    <t>בטאון המועצה הדתית באר שבע</t>
  </si>
  <si>
    <t>תשנ"ו - תשנ"ט</t>
  </si>
  <si>
    <t>והגדת לבנך</t>
  </si>
  <si>
    <t>נבון, אליהו</t>
  </si>
  <si>
    <t>סעדון, אלטר</t>
  </si>
  <si>
    <t>מועדי ישראל, שאלות ותשובות, תלמוד בבלי, תנ"ך</t>
  </si>
  <si>
    <t>והגית &lt;ספר הדרכה לעיון והעמקה&gt; - ב</t>
  </si>
  <si>
    <t>והגית בו</t>
  </si>
  <si>
    <t>והגית</t>
  </si>
  <si>
    <t>והדרת פני זקן</t>
  </si>
  <si>
    <t>שלזינגר, יצחק</t>
  </si>
  <si>
    <t>והודעתם לבנך</t>
  </si>
  <si>
    <t>בינעט, משה שמעון</t>
  </si>
  <si>
    <t>מועדי ישראל, מחשבה ומוסר, נושאים שונים, תולדות עם ישראל</t>
  </si>
  <si>
    <t>והוכח אברהם</t>
  </si>
  <si>
    <t>חאלימי, אברהם בן בנימין</t>
  </si>
  <si>
    <t>והזהיר - 2 כר'</t>
  </si>
  <si>
    <t>והזהיר</t>
  </si>
  <si>
    <t>תרל"ג - תר"מ</t>
  </si>
  <si>
    <t>והחי יתן אל לבו</t>
  </si>
  <si>
    <t>והחי יתן אל לבו - סדר ז' באדר לאנשי החברה קדישא</t>
  </si>
  <si>
    <t>רוז'ה, יעקב (עורך)</t>
  </si>
  <si>
    <t>תשנ "ט</t>
  </si>
  <si>
    <t>והחי יתן אל ליבו</t>
  </si>
  <si>
    <t>והחשכתי לארץ ביום אור</t>
  </si>
  <si>
    <t>אוסף מאמרים על הרבי מטאלנא זצ"ל</t>
  </si>
  <si>
    <t>והיה ברכה - א</t>
  </si>
  <si>
    <t>פרידלנד, אברהם מנדל</t>
  </si>
  <si>
    <t>והיה ברכה - 3 כר'</t>
  </si>
  <si>
    <t>חסידות, משנה, שאלות ותשובות, תלמוד בבלי</t>
  </si>
  <si>
    <t>והיה העולם</t>
  </si>
  <si>
    <t>והיה העקב למישור</t>
  </si>
  <si>
    <t>פרנק, עקיבא בן יעקב הלוי</t>
  </si>
  <si>
    <t>והיה לכם לציצית - 12 כר'</t>
  </si>
  <si>
    <t>אגודת פתיל תכלת</t>
  </si>
  <si>
    <t>והיה לשון שמחה</t>
  </si>
  <si>
    <t>אינדיג, משה בן יצחק</t>
  </si>
  <si>
    <t>והיה מחניך קדוש</t>
  </si>
  <si>
    <t>והיה מחנך קדוש</t>
  </si>
  <si>
    <t>והיה עקב תשמעון</t>
  </si>
  <si>
    <t>אבידן, משה בן ציון</t>
  </si>
  <si>
    <t>והיו הדברים האלה</t>
  </si>
  <si>
    <t>לזכר מרת לאה צ'ולק</t>
  </si>
  <si>
    <t>והיו לאחד</t>
  </si>
  <si>
    <t>והיו לאחדים בעיניך</t>
  </si>
  <si>
    <t>שוורץ, יוסף בן יעקב</t>
  </si>
  <si>
    <t>והיו לאחדים - א</t>
  </si>
  <si>
    <t>ישיבת נזר התורה</t>
  </si>
  <si>
    <t>והיו לכבוד ולתפארת</t>
  </si>
  <si>
    <t>זכריהו, שלום בן צדוק</t>
  </si>
  <si>
    <t>והיו למאורות - חולין</t>
  </si>
  <si>
    <t>כולל פנמה</t>
  </si>
  <si>
    <t>והיית אך שמח</t>
  </si>
  <si>
    <t>והייתם לי סגולה - 2 כר'</t>
  </si>
  <si>
    <t>והייתם קדושים (הלכות תולעים)</t>
  </si>
  <si>
    <t>גרינבוים, נתן</t>
  </si>
  <si>
    <t>והייתם קדושים</t>
  </si>
  <si>
    <t>הורוויץ, לוי יצחק הלוי</t>
  </si>
  <si>
    <t>קלצקי, חיים בנימין צבי בן יעקב ליב</t>
  </si>
  <si>
    <t>והכן לבבם אליך</t>
  </si>
  <si>
    <t>והכנעני אז בארץ</t>
  </si>
  <si>
    <t>והלא קצץ</t>
  </si>
  <si>
    <t>בטיסט שמואל</t>
  </si>
  <si>
    <t>והלך לפניך צדקך</t>
  </si>
  <si>
    <t>והלכת בדרכיו</t>
  </si>
  <si>
    <t>והלכתא כנחמני</t>
  </si>
  <si>
    <t>נדזווירז, אברהם יצחק הלוי</t>
  </si>
  <si>
    <t>ר' נחמן מהורודענקא</t>
  </si>
  <si>
    <t>והמשכילים יבינו</t>
  </si>
  <si>
    <t>והניף הכהן</t>
  </si>
  <si>
    <t>כהן, יואל בן חיים צבי</t>
  </si>
  <si>
    <t>כהן,יוסף</t>
  </si>
  <si>
    <t>מקסיקו סיטי</t>
  </si>
  <si>
    <t>והנער נער</t>
  </si>
  <si>
    <t>פלצינסקי, נתן צבי</t>
  </si>
  <si>
    <t>והסנה איננו אוכל</t>
  </si>
  <si>
    <t>רוזן, דוד משה</t>
  </si>
  <si>
    <t>והערב נא</t>
  </si>
  <si>
    <t>שווארץ, שמואל בן דוב חיים</t>
  </si>
  <si>
    <t>והצדיקו את הצדיק</t>
  </si>
  <si>
    <t>צדוק, יוסף בן חיים</t>
  </si>
  <si>
    <t>והצנע לכת</t>
  </si>
  <si>
    <t>הלכה ומנהג, מחשבה ומוסר, נושאים שונים, נושאים שונים</t>
  </si>
  <si>
    <t>דברי התעוררות</t>
  </si>
  <si>
    <t>והרבה להשיב - רביעאה</t>
  </si>
  <si>
    <t>והרים הכהן - 5 כר'</t>
  </si>
  <si>
    <t>כהן, ירמיהו מנחם בן דוד</t>
  </si>
  <si>
    <t>והשב כהנים</t>
  </si>
  <si>
    <t>כהן, יואל</t>
  </si>
  <si>
    <t>והשיב משה</t>
  </si>
  <si>
    <t>והתענג על ד'</t>
  </si>
  <si>
    <t>בר, ישראל חנוך</t>
  </si>
  <si>
    <t>וואונדער מעשיות פון רבי נחמן בראסלאווער</t>
  </si>
  <si>
    <t>וואכף אויף, וואכט אויף! דאס אידישע הויז ברענט</t>
  </si>
  <si>
    <t>וואס איז און וויל הבונה</t>
  </si>
  <si>
    <t>אורבאך, שמחה בונם בן חיים ברוך הכהן</t>
  </si>
  <si>
    <t>ווארט און צייט - 2 כר'</t>
  </si>
  <si>
    <t>מנטל, יחיאל</t>
  </si>
  <si>
    <t>תרח"צ</t>
  </si>
  <si>
    <t>ווארשע של מטה</t>
  </si>
  <si>
    <t>דוידזון, בנימין</t>
  </si>
  <si>
    <t>ווי העמודים &lt;על ספר יראים&gt;</t>
  </si>
  <si>
    <t>טייב, יצחק בן בנימין</t>
  </si>
  <si>
    <t>ווי העמודים וחשוקיהם - 63 כר'</t>
  </si>
  <si>
    <t>זילברשטיין, יצחק בן דוד יוסף</t>
  </si>
  <si>
    <t>ווי העמודים</t>
  </si>
  <si>
    <t>אוריאל בן עקיבא</t>
  </si>
  <si>
    <t>ווי העמודים - א</t>
  </si>
  <si>
    <t>ווי עמודים</t>
  </si>
  <si>
    <t>ווייסליץ - ספר וויסליץ</t>
  </si>
  <si>
    <t>וויכוח רבה</t>
  </si>
  <si>
    <t>בלקני Balkany</t>
  </si>
  <si>
    <t>וויכוחא רבה - 3 כר'</t>
  </si>
  <si>
    <t>קאדאניר, יעקב</t>
  </si>
  <si>
    <t>ווילנער זאמעלבוך - א</t>
  </si>
  <si>
    <t>שאבאד, צ</t>
  </si>
  <si>
    <t>ווים לעמודים &lt;תורה&gt; - 2 כר'</t>
  </si>
  <si>
    <t>אפרתי, יעקב אליהו</t>
  </si>
  <si>
    <t>ווים לעמודים - 3 כר'</t>
  </si>
  <si>
    <t>ווינרס &lt;יודאיקה ירושלים&gt; - 9 כר'</t>
  </si>
  <si>
    <t>קטלוג מכירה פומבית</t>
  </si>
  <si>
    <t>וולוז'ין - ספרה של העיר ושל ישיבת עץ חיים</t>
  </si>
  <si>
    <t>וועד חכמים &lt;מאיר עיני חכמים&gt;</t>
  </si>
  <si>
    <t>שור, אלישע יצחק בן מאיר</t>
  </si>
  <si>
    <t>תרל"א - תרל"ב</t>
  </si>
  <si>
    <t>וועד לחכמים - 2 כר'</t>
  </si>
  <si>
    <t>מלר, מאיר בן זאב הלוי</t>
  </si>
  <si>
    <t>ווען די וועלט האט געברענט - 2 כר'</t>
  </si>
  <si>
    <t>וורשה של מעלה</t>
  </si>
  <si>
    <t>עלברג, שמחה בן אהרן שמעון</t>
  </si>
  <si>
    <t>וזאת הברכה - 2 כר'</t>
  </si>
  <si>
    <t>חדד, ברוך רפאל עוזיאל</t>
  </si>
  <si>
    <t>וזאת הברכה</t>
  </si>
  <si>
    <t>וזאת הברכה - בפסוקי התורה</t>
  </si>
  <si>
    <t>וזאת המנוחה</t>
  </si>
  <si>
    <t>וזאת התורה</t>
  </si>
  <si>
    <t>טלבי, חיים</t>
  </si>
  <si>
    <t>וזאת התורה - 2 כר'</t>
  </si>
  <si>
    <t>כולל בית מתתיהו ורבקה</t>
  </si>
  <si>
    <t>שעיו, משה רחמים בן אדמון</t>
  </si>
  <si>
    <t>וזאת ליהודא</t>
  </si>
  <si>
    <t>תנ"ט</t>
  </si>
  <si>
    <t>וזאת ליהודא - ב</t>
  </si>
  <si>
    <t>סגל, יהודה זאב הלוי</t>
  </si>
  <si>
    <t>קופשטיין, יהודה בן יעקב הלוי</t>
  </si>
  <si>
    <t>וזאת ליהודה (כתב יד) - 3 כר'</t>
  </si>
  <si>
    <t>פלטרוביץ', יהודה ליב בן חיים נחום</t>
  </si>
  <si>
    <t>וזאת ליהודה (מאמר הנפש - תולדות רבינו מנחם עזריה)</t>
  </si>
  <si>
    <t>ווידיסלאבסקי, יהודה אריה ליב בן יעקב יצ</t>
  </si>
  <si>
    <t>וזאת ליהודה [גרוס]</t>
  </si>
  <si>
    <t>דרושים, קבצים וכתבי עת, ספרי זכרון ויובל, תלמוד בבלי, תלמוד בבלי</t>
  </si>
  <si>
    <t>וזאת ליהודה</t>
  </si>
  <si>
    <t>אבן דאנאן, יהודה בן אליהו</t>
  </si>
  <si>
    <t>דרושים, מחשבה ומוסר, משנה</t>
  </si>
  <si>
    <t>וזאת ליהודה - להקים שם</t>
  </si>
  <si>
    <t>אושפיזאי, מנחם יהודה בן משה בן-ציון הלוי (עליו) - גורביץ, שמואל</t>
  </si>
  <si>
    <t>ברוידא, ישראל צבי בן משה אהרון</t>
  </si>
  <si>
    <t>גלעדי, יהודה בן ששון</t>
  </si>
  <si>
    <t>ויסנשטרן, יהודה אריה</t>
  </si>
  <si>
    <t>זלצר, יהודה ליב בן יצחק</t>
  </si>
  <si>
    <t>דרושים, הלכה ומנהג, נושאים שונים, שאלות ותשובות, תלמוד בבלי</t>
  </si>
  <si>
    <t>טולידאנו, יהודה</t>
  </si>
  <si>
    <t>וזאת ליהודה - 2 כר'</t>
  </si>
  <si>
    <t>ליבוביץ, יהודה זאב בן יחיאל צבי</t>
  </si>
  <si>
    <t>וזאת ליהודה - ב</t>
  </si>
  <si>
    <t>מסלתון, יהודה חיים בן עזרא הכהן</t>
  </si>
  <si>
    <t>וזאת ליהודה - 3 כר'</t>
  </si>
  <si>
    <t>דרושים, הלכה ומנהג, מועדי ישראל, משנה, שונות, תלמוד בבלי, תנ"ך, תנ"ך, תנ"ך, תפלות בקשות פיוטים ושירה</t>
  </si>
  <si>
    <t>פיינטוך, אברהם אלטר בן יהודה אריה</t>
  </si>
  <si>
    <t>צוקר, יהודה אריה בן בן-ציון</t>
  </si>
  <si>
    <t>וזאת ליהודה - ימים נוראים</t>
  </si>
  <si>
    <t>שטרוק, שלמה מיכאל בן אליעזר</t>
  </si>
  <si>
    <t>תרמ"ח.</t>
  </si>
  <si>
    <t>וזאת ליהודה - 9 כר'</t>
  </si>
  <si>
    <t>שרייבר, שמעון שמואל בן יהודה</t>
  </si>
  <si>
    <t>וזאת ליצחק</t>
  </si>
  <si>
    <t>שווארץ, זלמן יצחק בן צבי הלוי</t>
  </si>
  <si>
    <t>וזאת לפנים בישראל</t>
  </si>
  <si>
    <t>בר"ג, ישראל זאב בן משה</t>
  </si>
  <si>
    <t>משנה, משנה, משנה</t>
  </si>
  <si>
    <t>וזבחת כאשר ציויתך</t>
  </si>
  <si>
    <t>רושגולד, ברוך בנימין בן משה יצחק</t>
  </si>
  <si>
    <t>וזה לך האות</t>
  </si>
  <si>
    <t>טייך, נפתלי</t>
  </si>
  <si>
    <t>וזה לשונו - 14 כר'</t>
  </si>
  <si>
    <t>ליינר, יעקב בן יוסף מנחם</t>
  </si>
  <si>
    <t>וזרח בחושך אורך</t>
  </si>
  <si>
    <t>תולדות רבי זרח ברוורמן</t>
  </si>
  <si>
    <t>וזרח השמש ובא השמש - ב</t>
  </si>
  <si>
    <t>התאחדות אברכי ובחורי ראדזין</t>
  </si>
  <si>
    <t>וזרח השמש</t>
  </si>
  <si>
    <t>בירנבוים, דוד בן דניאל יצחק הלוי</t>
  </si>
  <si>
    <t>וזרח השמש - 2 כר'</t>
  </si>
  <si>
    <t>ייסודה ומשנתה של "דגל התורה"</t>
  </si>
  <si>
    <t>מלכא, שלום</t>
  </si>
  <si>
    <t>דרושים, נושאים שונים, נושאים שונים</t>
  </si>
  <si>
    <t>וזרעו לברכה</t>
  </si>
  <si>
    <t>אדלר, יעקב יוסף בן בנציון ברוך</t>
  </si>
  <si>
    <t>וזרקתי עליכם מים טהורים - מנהגי טהרה</t>
  </si>
  <si>
    <t>רוז'ה, יעקב</t>
  </si>
  <si>
    <t>וחי אחיך עמך</t>
  </si>
  <si>
    <t>סיגל, דוד בן משה זאב</t>
  </si>
  <si>
    <t>וחי אחיך</t>
  </si>
  <si>
    <t>ברוק, דב בן דוד</t>
  </si>
  <si>
    <t>וחי בהם</t>
  </si>
  <si>
    <t>אדלר, אליעזר ישראל</t>
  </si>
  <si>
    <t>אקרמן, מרדכי דוד</t>
  </si>
  <si>
    <t>בן שלמה, אליעזר</t>
  </si>
  <si>
    <t>וחי בהם - 2 כר'</t>
  </si>
  <si>
    <t>הורביץ, בניהו</t>
  </si>
  <si>
    <t>ווייס, חיים יהודא</t>
  </si>
  <si>
    <t>קאופמן, משה בן שלום</t>
  </si>
  <si>
    <t>וחי בהם - כתבוני לדורות</t>
  </si>
  <si>
    <t>וחיי אחיך עמך</t>
  </si>
  <si>
    <t>וחם השמש - 2 כר'</t>
  </si>
  <si>
    <t>וחרב פיפיות &lt;כתם פז, גלילי זהב&gt;</t>
  </si>
  <si>
    <t>וחשב לו הכהן</t>
  </si>
  <si>
    <t>וטהר הכהן - 2 כר'</t>
  </si>
  <si>
    <t>וטהר לבנו</t>
  </si>
  <si>
    <t>וטהר לבנו - 2 כר'</t>
  </si>
  <si>
    <t>וי"ו של למשומדים ושל ולירושלים</t>
  </si>
  <si>
    <t>ויאהב אומן - קרובה קלירית לפורים בעיצוב מורחב (תדפיס)</t>
  </si>
  <si>
    <t>ויאהל שלמה - אהלות</t>
  </si>
  <si>
    <t>הרשלר, יהודה אריה בן שלמה</t>
  </si>
  <si>
    <t>ויאמר אברהם - 16 כר'</t>
  </si>
  <si>
    <t>ויאמר אברהם - על התורה</t>
  </si>
  <si>
    <t>ויאמר אליהו</t>
  </si>
  <si>
    <t>עטייה, אליהו בן מרדכי</t>
  </si>
  <si>
    <t>קבלן, אליהו בן רחמים</t>
  </si>
  <si>
    <t>ויאמר בועז - 3 כר'</t>
  </si>
  <si>
    <t>ויאמר גבריאל - 2 כר'</t>
  </si>
  <si>
    <t>פלאס, גבריאל סלים</t>
  </si>
  <si>
    <t>ויאמר דוד</t>
  </si>
  <si>
    <t>זאלר, דוד בן משה מנחם</t>
  </si>
  <si>
    <t>ויאמר יהודה</t>
  </si>
  <si>
    <t>טאראב, יהודה חיים בן עזרא הכהן</t>
  </si>
  <si>
    <t>ויאמר יהודה - 4 כר'</t>
  </si>
  <si>
    <t>קבסה, יהודה בן שלום</t>
  </si>
  <si>
    <t>ויאמר יהושע</t>
  </si>
  <si>
    <t>כץ, יהושע בן אשר אנשיל</t>
  </si>
  <si>
    <t>ויאמר יעקב</t>
  </si>
  <si>
    <t>הלפרין, יעקב מאיר שמחה</t>
  </si>
  <si>
    <t>תאומים, יעקב</t>
  </si>
  <si>
    <t>ויאמר יצחק</t>
  </si>
  <si>
    <t>בוחניך, יצחק רחמים חי</t>
  </si>
  <si>
    <t>ויאמר יצחק - 2 כר'</t>
  </si>
  <si>
    <t>וואליד, יצחק בן שם-טוב אבן</t>
  </si>
  <si>
    <t>ספירשטיין, יצחק בן זאב וולף</t>
  </si>
  <si>
    <t>משנה, נושאים שונים, תלמוד בבלי, תלמוד בבלי, תנ"ך, תנ"ך</t>
  </si>
  <si>
    <t>ויאמר ישעיהו - א</t>
  </si>
  <si>
    <t>חדד, ישעיה בן מעתוק</t>
  </si>
  <si>
    <t>תולדות עם ישראל, תלמוד בבלי, תנ"ך, תנ"ך</t>
  </si>
  <si>
    <t>ויאמר ישראל</t>
  </si>
  <si>
    <t>זאלדאן, ישראל יוסף</t>
  </si>
  <si>
    <t>ויאמר מאיר - 3 כר'</t>
  </si>
  <si>
    <t>אלקובי, מאיר יוחנן</t>
  </si>
  <si>
    <t>ויאמר מאיר - א</t>
  </si>
  <si>
    <t>ואעקנין, מאיר בן דוד</t>
  </si>
  <si>
    <t>תרצ"ט - תשכ"ח</t>
  </si>
  <si>
    <t>Tiberias טבריה</t>
  </si>
  <si>
    <t>ויאמר מאיר</t>
  </si>
  <si>
    <t>וואעקנין, מאיר בן דוד</t>
  </si>
  <si>
    <t>ויאמר מרדכי</t>
  </si>
  <si>
    <t>ויאמר משה ושערי צדק - א (בראשית)</t>
  </si>
  <si>
    <t>שנדוך, משה בן שמעון</t>
  </si>
  <si>
    <t>ויאמר משה</t>
  </si>
  <si>
    <t>אבירמאט, משה</t>
  </si>
  <si>
    <t>דרושים, משנה, נושאים שונים, תנ"ך</t>
  </si>
  <si>
    <t>ויאמר משה - 3 כר'</t>
  </si>
  <si>
    <t>ויאמר עזרא &lt;מהדורה חדשה&gt;</t>
  </si>
  <si>
    <t>טאראב, עזרא בן אליהו הכהן</t>
  </si>
  <si>
    <t>ויאמר עזרא</t>
  </si>
  <si>
    <t>ויאמר עמוס - א</t>
  </si>
  <si>
    <t>ויאמר שאול - 2 כר'</t>
  </si>
  <si>
    <t>נחמיאש, שאול</t>
  </si>
  <si>
    <t>ויאמר שלום</t>
  </si>
  <si>
    <t>אדרעי, שלום</t>
  </si>
  <si>
    <t>ויאמר שמואל</t>
  </si>
  <si>
    <t>אלבאז, שמואל בן יצחק</t>
  </si>
  <si>
    <t>עלוש, שמואל</t>
  </si>
  <si>
    <t>דרושים, דרושים, נושאים שונים, נושאים שונים, שאלות ותשובות, תולדות עם ישראל, תלמוד בבלי, תנ"ך, תפלות בקשות פיוטים ושירה</t>
  </si>
  <si>
    <t>עקשטין, שמואל אריה</t>
  </si>
  <si>
    <t>ויאסוף דוד (ליקוטי אברהם)</t>
  </si>
  <si>
    <t>קצין, דוד בן בכור יהודה</t>
  </si>
  <si>
    <t>ויאסוף דוד</t>
  </si>
  <si>
    <t>מרוזביץ, דוד בן אברהם</t>
  </si>
  <si>
    <t>תרנ"ט - תשל"ו</t>
  </si>
  <si>
    <t>ירושלים- בני ברק</t>
  </si>
  <si>
    <t>ויאר לנו - 2 כר'</t>
  </si>
  <si>
    <t>ויבא יהודה</t>
  </si>
  <si>
    <t>ויבא יוסף</t>
  </si>
  <si>
    <t>דאבילה, יוסף</t>
  </si>
  <si>
    <t>משנה, נושאים שונים, תולדות עם ישראל, תנ"ך</t>
  </si>
  <si>
    <t>ויבוא יעקב שלם</t>
  </si>
  <si>
    <t>שווראץ, משה אהרון אליהו בן ישראל מרדכי יצחק</t>
  </si>
  <si>
    <t>ויבוא מלך הכבוד</t>
  </si>
  <si>
    <t>קלופט, חיים בן יואל</t>
  </si>
  <si>
    <t>ויבינו במקרא</t>
  </si>
  <si>
    <t>ויבינו במקרא - בראשית</t>
  </si>
  <si>
    <t>פייבלזון, אליהו מאיר בן שמואל אביגדור</t>
  </si>
  <si>
    <t>ויבינו במקרא - 5 כר'</t>
  </si>
  <si>
    <t>ויבך יוסף</t>
  </si>
  <si>
    <t>פרידמן, אריה ליב בן מרדכי זאב</t>
  </si>
  <si>
    <t>ויבן משה</t>
  </si>
  <si>
    <t>לאו, משה חיים בן ישראל מאיר</t>
  </si>
  <si>
    <t>דרושים, הלכה ומנהג, מחשבה ומוסר, שלחן ערוך ומפרשיו, תלמוד בבלי</t>
  </si>
  <si>
    <t>ויבן שלמה - קונטרס ההתמנות</t>
  </si>
  <si>
    <t>דרושים, הלכה ומנהג, נושאים שונים, שלחן ערוך ומפרשיו, תלמוד בבלי, תלמוד בבלי</t>
  </si>
  <si>
    <t>ויברך דוד</t>
  </si>
  <si>
    <t>הילדסהיים, דוד אריה בן יעקב</t>
  </si>
  <si>
    <t>ויברך דוד - 4 כר'</t>
  </si>
  <si>
    <t>טברסקי, ברוך דוד בן מרדכי דב</t>
  </si>
  <si>
    <t>טמקין, מנחם דוד בן מיכאל</t>
  </si>
  <si>
    <t>ויברך דוד - 9 כר'</t>
  </si>
  <si>
    <t>מוסקוב, דוד משה בן אפרים</t>
  </si>
  <si>
    <t>ויברך דוד- ברכות</t>
  </si>
  <si>
    <t>מימוני, דוד</t>
  </si>
  <si>
    <t>ויברך דוד - 2 כר'</t>
  </si>
  <si>
    <t>ויברך יהודה - 7 כר'</t>
  </si>
  <si>
    <t>ויברך עזרא</t>
  </si>
  <si>
    <t>שתיאת, עזרא</t>
  </si>
  <si>
    <t>ויברכהו יהושע - א</t>
  </si>
  <si>
    <t>ויגבה לבו</t>
  </si>
  <si>
    <t>בצון, אליהו דוד בן אברהם</t>
  </si>
  <si>
    <t>ויגבה ליבו</t>
  </si>
  <si>
    <t>ויגד יעקב  &lt;מהדורה חדשה&gt; - 2 כר'</t>
  </si>
  <si>
    <t>ויגד יעקב - 5 כר'</t>
  </si>
  <si>
    <t>תש"כ - תשכ"ח</t>
  </si>
  <si>
    <t>ויגד יעקב</t>
  </si>
  <si>
    <t>ויגד לאברהם</t>
  </si>
  <si>
    <t>ויגד לשאול</t>
  </si>
  <si>
    <t>ויגד משה</t>
  </si>
  <si>
    <t>אדלר, משה מישל הלוי</t>
  </si>
  <si>
    <t>ויזגאן, משה בן חנניה</t>
  </si>
  <si>
    <t>ויגד משה - 2 כר'</t>
  </si>
  <si>
    <t>כ"ץ, משה יהודה</t>
  </si>
  <si>
    <t>מוזס, יצחק צבי משה בן אביגדור</t>
  </si>
  <si>
    <t>ויגש אליהו</t>
  </si>
  <si>
    <t>וידבר דוד &lt;מהדורה חדשה&gt;</t>
  </si>
  <si>
    <t>ואעקנין, דוד בן יעקב</t>
  </si>
  <si>
    <t>וידבר דוד</t>
  </si>
  <si>
    <t>אמסלם, דוד</t>
  </si>
  <si>
    <t>וידבר דוד - מועדים לשמחה</t>
  </si>
  <si>
    <t>שטיינוורצל, משה דוד</t>
  </si>
  <si>
    <t>וידבר יוסף</t>
  </si>
  <si>
    <t>תרפ"ז,</t>
  </si>
  <si>
    <t>שעדלעץ,</t>
  </si>
  <si>
    <t>חבה, יוסף</t>
  </si>
  <si>
    <t>וידבר משה &lt;כללים&gt; - 2 כר'</t>
  </si>
  <si>
    <t>וידבר משה - אלול תשרי</t>
  </si>
  <si>
    <t>וידבר משה - 6 כר'</t>
  </si>
  <si>
    <t>תרנ"ד - תרנ"ו</t>
  </si>
  <si>
    <t>וידבר משה</t>
  </si>
  <si>
    <t>וידבר משה - מועדים א</t>
  </si>
  <si>
    <t>תרפ"ז-תרפ"ח</t>
  </si>
  <si>
    <t>וידגו לרוב</t>
  </si>
  <si>
    <t>וידוי גדול</t>
  </si>
  <si>
    <t>וידוי של יום כיפור (בגרמנית)</t>
  </si>
  <si>
    <t>אורמן, גוסטב</t>
  </si>
  <si>
    <t>וידעת את ה'</t>
  </si>
  <si>
    <t>א. ר.</t>
  </si>
  <si>
    <t>וידעת היום</t>
  </si>
  <si>
    <t>ויהודה עד רד - 2 כר'</t>
  </si>
  <si>
    <t>דהאן, רפאל בן יעקב</t>
  </si>
  <si>
    <t>ויהי אור</t>
  </si>
  <si>
    <t>הלכה ומנהג, מועדי ישראל, שלחן ערוך ומפרשיו, תלמוד בבלי</t>
  </si>
  <si>
    <t>ויהי בישורון מלך - 2 כר'</t>
  </si>
  <si>
    <t>ויהי בישרון מלך</t>
  </si>
  <si>
    <t>ויהי בנסוע</t>
  </si>
  <si>
    <t>גרינפלד, משה חנוך</t>
  </si>
  <si>
    <t>סופר, משה בן עקיבא מנחם</t>
  </si>
  <si>
    <t>ויהי בשלם סוכו</t>
  </si>
  <si>
    <t>קובץ ישיבת תורת רפאל</t>
  </si>
  <si>
    <t>ויהי ידיו אמונה</t>
  </si>
  <si>
    <t>מכון מאד נעלה</t>
  </si>
  <si>
    <t>ויהיו חיים לנפשך</t>
  </si>
  <si>
    <t>ויהללוה</t>
  </si>
  <si>
    <t>מוסף בית נאמן על הרבנית קנייבסקי ע"ה</t>
  </si>
  <si>
    <t>ויואל יצחק - במדבר</t>
  </si>
  <si>
    <t>קופרמן, יצחק יואל בן אברהם שמחה</t>
  </si>
  <si>
    <t>ויואל משה עם ביאור אור כי טוב</t>
  </si>
  <si>
    <t>טייטלבוים, יואל בן חנניה יום טוב ליפא - וויינברגר, מאיר</t>
  </si>
  <si>
    <t>ויואל משה עם ביאור כי טוב</t>
  </si>
  <si>
    <t>טייטלבוים, יואל בן חנניה יום טוב ליפא - וויינבערגער, מאיר</t>
  </si>
  <si>
    <t>ויואל משה</t>
  </si>
  <si>
    <t>ויוסף אברהם &lt;מהדורה חדשה&gt;</t>
  </si>
  <si>
    <t>ויוסף אברהם</t>
  </si>
  <si>
    <t>ויוסף איש - 2 כר'</t>
  </si>
  <si>
    <t>ויוסף הוא המשביר לכל הארץ</t>
  </si>
  <si>
    <t>ויוסף ישראל</t>
  </si>
  <si>
    <t>זולדן, ישראל יוסף בן משה יעקב</t>
  </si>
  <si>
    <t>ויוסף משה</t>
  </si>
  <si>
    <t>סופר, משה</t>
  </si>
  <si>
    <t>ויוסף עוד דוד</t>
  </si>
  <si>
    <t>בטיש, יוסף הלוי</t>
  </si>
  <si>
    <t>לוי, דוד</t>
  </si>
  <si>
    <t>ויוסף שאול</t>
  </si>
  <si>
    <t>אלישר, יוסף שאול בן חיים משה</t>
  </si>
  <si>
    <t>הלכה ומנהג, נושאים שונים, שאלות ותשובות, תלמוד בבלי</t>
  </si>
  <si>
    <t>ויושט המלך - ביאור מגילת אסתר</t>
  </si>
  <si>
    <t>ויז'ניץ - 24 כר'</t>
  </si>
  <si>
    <t>בטאון התאחדות תלמידי וחסידי ויז'ניץ</t>
  </si>
  <si>
    <t>ויזבח אלקנה - 5 כר'</t>
  </si>
  <si>
    <t>לוטינגר, גיא אלקנה</t>
  </si>
  <si>
    <t>ויזניץ בתפארתה</t>
  </si>
  <si>
    <t>מוסדות ויזניץ</t>
  </si>
  <si>
    <t>ויזרח אור</t>
  </si>
  <si>
    <t>ויזרע יצחק</t>
  </si>
  <si>
    <t>אלמאליח, יצחק בן אליהו</t>
  </si>
  <si>
    <t>ביתאן, יצחק</t>
  </si>
  <si>
    <t>ויזרע יצחק - על המגילות</t>
  </si>
  <si>
    <t>דלויה, רפאל משה בן חנניה</t>
  </si>
  <si>
    <t>דרושים, הלכה ומנהג, תלמוד בבלי, תלמוד בבלי, תנ"ך</t>
  </si>
  <si>
    <t>זיאת, יצחק בן שמעון</t>
  </si>
  <si>
    <t>ויזרע יצחק - 3 כר'</t>
  </si>
  <si>
    <t>זעפראני, שלמה בן יצחק</t>
  </si>
  <si>
    <t>ויזרע יצחק - 2 כר'</t>
  </si>
  <si>
    <t>כהן, יגאל (עורך)</t>
  </si>
  <si>
    <t>לאניאדו, יצחק בן אליהו</t>
  </si>
  <si>
    <t>סויסא, יצחק בן משה</t>
  </si>
  <si>
    <t>ויזרע יצחק - א</t>
  </si>
  <si>
    <t>פינחס, יצחק</t>
  </si>
  <si>
    <t>פרלס, יצחק בן אלעזר</t>
  </si>
  <si>
    <t>ויחד לבבנו באמונתך - רבי משה לוי</t>
  </si>
  <si>
    <t>חן, עובדיה (כתיבה)</t>
  </si>
  <si>
    <t>ויחד לבבנו</t>
  </si>
  <si>
    <t>ויחזק יהושע</t>
  </si>
  <si>
    <t>בוראק, יהושע</t>
  </si>
  <si>
    <t>ויחי ויתן</t>
  </si>
  <si>
    <t>וויטירבו, יחיאל חיים בן מרדכי רפאל שמשון צמח</t>
  </si>
  <si>
    <t>ויחי יוסף &lt;על התורה&gt; - 5 כר'</t>
  </si>
  <si>
    <t>ויחי יוסף - 4 כר'</t>
  </si>
  <si>
    <t>ויחי יוסף</t>
  </si>
  <si>
    <t>וויס, חיים יוסף דוד</t>
  </si>
  <si>
    <t>שרגא, יוסף בן חיים</t>
  </si>
  <si>
    <t>ויחי יעקב</t>
  </si>
  <si>
    <t>ויחי יעקב - 3 כר'</t>
  </si>
  <si>
    <t>הכהן, יעקב</t>
  </si>
  <si>
    <t>חאביף, יעקב בן נסים אברהם</t>
  </si>
  <si>
    <t>ויחי יעקב - א, וקונטרס הוספות</t>
  </si>
  <si>
    <t>ויחי יעקב - שבת</t>
  </si>
  <si>
    <t>ויחי עוד</t>
  </si>
  <si>
    <t>ויחכם שלמה</t>
  </si>
  <si>
    <t>חורי, בנציון כמייס</t>
  </si>
  <si>
    <t>דרושים, שאלות ותשובות, שלחן ערוך ומפרשיו, תלמוד בבלי</t>
  </si>
  <si>
    <t>ויחל משה - 3 כר'</t>
  </si>
  <si>
    <t>אלטשולר, יהודה אהרן משה בן אברהם חנוך</t>
  </si>
  <si>
    <t>ויחל משה</t>
  </si>
  <si>
    <t>משה בן חיים יונה הלוי</t>
  </si>
  <si>
    <t>ויחל משה - 2 כר'</t>
  </si>
  <si>
    <t>עסיס, משה חי בן מיכאל</t>
  </si>
  <si>
    <t>פיג'וטו, חי משה בן חיים הלל</t>
  </si>
  <si>
    <t>ויחל שלמה, ויאסוף שלמה</t>
  </si>
  <si>
    <t>כהן, שלמה בן יוסף מדובדו</t>
  </si>
  <si>
    <t>ויחן משה</t>
  </si>
  <si>
    <t>וויינברגר, משה יוחנן</t>
  </si>
  <si>
    <t>ויחנו בסכת</t>
  </si>
  <si>
    <t>שמעיה, ש. משה</t>
  </si>
  <si>
    <t>ויטע אשל - 4 כר'</t>
  </si>
  <si>
    <t>יוז'וק, שאול</t>
  </si>
  <si>
    <t>ויטע אשל</t>
  </si>
  <si>
    <t>ויין ישמח - 2 כר'</t>
  </si>
  <si>
    <t>וייקץ שלמה</t>
  </si>
  <si>
    <t>אזאגורי, שלמה בן יצחק סקלי הכהן</t>
  </si>
  <si>
    <t>ויכוח הדת והאמונה</t>
  </si>
  <si>
    <t>ויכוח יוסף והשבטים - 2 כר'</t>
  </si>
  <si>
    <t>חנוך בן אברהם</t>
  </si>
  <si>
    <t>[ת"י,</t>
  </si>
  <si>
    <t>(אמשטרדם,</t>
  </si>
  <si>
    <t>ויכוח מים חיים - 3 כר'</t>
  </si>
  <si>
    <t>ויכוח מר ינוקא ומר קשישא</t>
  </si>
  <si>
    <t>גורדון, יקותיאל מווילנא</t>
  </si>
  <si>
    <t>ויכוח רבינו יחיאל מפאריז</t>
  </si>
  <si>
    <t>יחיאל בן יוסף מפאריס</t>
  </si>
  <si>
    <t>ויכוחא רבה</t>
  </si>
  <si>
    <t>ויכלכל יוסף</t>
  </si>
  <si>
    <t>כהן, יוסף חיים בן יהודה</t>
  </si>
  <si>
    <t>ויכתב דוד</t>
  </si>
  <si>
    <t>ויכתב מרדכי - 2 כר'</t>
  </si>
  <si>
    <t>זאלצר, מרדכי בן דוד הכהן</t>
  </si>
  <si>
    <t>תרצ"ו - תרצ"ח</t>
  </si>
  <si>
    <t>ויכתוב דוד</t>
  </si>
  <si>
    <t>פנירי, דוד</t>
  </si>
  <si>
    <t>ויכתוב מרדכי - א</t>
  </si>
  <si>
    <t>אלמקייס, מרדכי</t>
  </si>
  <si>
    <t>ויכתוב מרדכי - 2 כר'</t>
  </si>
  <si>
    <t>שווימער, מרדכי בן ישראל</t>
  </si>
  <si>
    <t>ויכתוב משה</t>
  </si>
  <si>
    <t>משה בן שמעיה</t>
  </si>
  <si>
    <t>וילהלם, אהרון אליהו בן יחזקאל</t>
  </si>
  <si>
    <t>וילן בעמק - ריבית</t>
  </si>
  <si>
    <t>וילקט יוסף</t>
  </si>
  <si>
    <t>אלמאליח, יוסף בן אהרן</t>
  </si>
  <si>
    <t>אשלג, יהודה ליב הלוי - וויינשטוק, יוסף</t>
  </si>
  <si>
    <t>קבלה, תנ"ך, תפלות בקשות פיוטים ושירה</t>
  </si>
  <si>
    <t>מאנדלקרן, יוסף בן יצחק מאיר</t>
  </si>
  <si>
    <t>סתהון, יוסף בן אברהם</t>
  </si>
  <si>
    <t>פינצי, יוסף בן יצחק</t>
  </si>
  <si>
    <t>וילקט יוסף - 20 כר'</t>
  </si>
  <si>
    <t>וימהר אברהם</t>
  </si>
  <si>
    <t>וימצא כתוב</t>
  </si>
  <si>
    <t>פוזן, רפאל בנימין</t>
  </si>
  <si>
    <t>וימת שמואל</t>
  </si>
  <si>
    <t>הובשה, יחיאל מיכל בן ראובן צבי</t>
  </si>
  <si>
    <t>אונגרפלד, משה בן יצחק</t>
  </si>
  <si>
    <t>וינטלם וינשאם</t>
  </si>
  <si>
    <t>פרזיס, משה</t>
  </si>
  <si>
    <t>ויספר משה</t>
  </si>
  <si>
    <t>ווכסלר, משה בן ישראל</t>
  </si>
  <si>
    <t>ויעודם - 18 כר'</t>
  </si>
  <si>
    <t>ויעל אליהו &lt;מהדורה חדשה&gt;</t>
  </si>
  <si>
    <t>טאראב, אליהו יעקב הכהן</t>
  </si>
  <si>
    <t>ויעל אליהו בסערה</t>
  </si>
  <si>
    <t>וינטרויב, ישראל אליהו (אודותיו)</t>
  </si>
  <si>
    <t>ויעל אליהו</t>
  </si>
  <si>
    <t>זכרון</t>
  </si>
  <si>
    <t>קינרייך, אליהו</t>
  </si>
  <si>
    <t>ויעל אליהו - תולדות רבי אליהו שרים</t>
  </si>
  <si>
    <t>ויעמד פינחס</t>
  </si>
  <si>
    <t>חדאד, פינחס רחמים בן מעתוק</t>
  </si>
  <si>
    <t>ויעמוד פינחס</t>
  </si>
  <si>
    <t>מוסבי, פינחס</t>
  </si>
  <si>
    <t>ויעמוד פנחס</t>
  </si>
  <si>
    <t>אביטבול, פנחס</t>
  </si>
  <si>
    <t>ויעמידה ליעקב</t>
  </si>
  <si>
    <t>ויען אברהם</t>
  </si>
  <si>
    <t>איזראעל, אברהם מאיר בן יהודה ליב</t>
  </si>
  <si>
    <t>ריווח, אברהם דוד</t>
  </si>
  <si>
    <t>ויען אליהו (מנחת אליהו)</t>
  </si>
  <si>
    <t>בן שושן, אליהו שמעון</t>
  </si>
  <si>
    <t>ויען אליהו</t>
  </si>
  <si>
    <t>ויען דוד - 7 כר'</t>
  </si>
  <si>
    <t>וויס, חיים יוסף דוד בן פנחס</t>
  </si>
  <si>
    <t>ויען הכהן - 2 כר'</t>
  </si>
  <si>
    <t>הכהן, אדיר</t>
  </si>
  <si>
    <t>ויען יוסף - 6 כר'</t>
  </si>
  <si>
    <t>ויען יוסף</t>
  </si>
  <si>
    <t>זילברברג, יצחק יוסף בן מיכאל משה יהודה</t>
  </si>
  <si>
    <t>מנדלקרן, יוסף בן יצחק מאיר</t>
  </si>
  <si>
    <t>ויען יצחק - 2 כר'</t>
  </si>
  <si>
    <t>ויען עמוס א-ב</t>
  </si>
  <si>
    <t>נושאים שונים, שאלות ותשובות, תלמוד בבלי, תלמוד בבלי</t>
  </si>
  <si>
    <t>ויען שאול - 4 כר'</t>
  </si>
  <si>
    <t>ואקנין, שאול חנן-יה</t>
  </si>
  <si>
    <t>ויען שמואל</t>
  </si>
  <si>
    <t>מארצייאנו, שמואל בן משה</t>
  </si>
  <si>
    <t>ויען שמואל - 20 כר'</t>
  </si>
  <si>
    <t>דרושים, הלכה ומנהג, קבצים וכתבי עת, ספרי זכרון ויובל</t>
  </si>
  <si>
    <t>ויעש אברהם</t>
  </si>
  <si>
    <t>מחשבה ומוסר, נושאים שונים, נושאים שונים, שאלות ותשובות, תנ"ך</t>
  </si>
  <si>
    <t>דידי, אברהם בן עטייה</t>
  </si>
  <si>
    <t>לנדא, אברהם בן רפאל</t>
  </si>
  <si>
    <t>הלכה ומנהג, הלכה ומנהג, חסידות, מחשבה ומוסר, מחשבה ומוסר, שאלות ותשובות, תפלות בקשות פיוטים ושירה</t>
  </si>
  <si>
    <t>ויעש העץ</t>
  </si>
  <si>
    <t>גוטליב, מרדכי ר. י. בן יהושע</t>
  </si>
  <si>
    <t>ויעשו כולם אגודה אחת</t>
  </si>
  <si>
    <t>מנצור, אלחנן בן עוזיאל</t>
  </si>
  <si>
    <t>קרית ארבע חברון</t>
  </si>
  <si>
    <t>ויעתר יצחק - 3 כר'</t>
  </si>
  <si>
    <t>אמסלם, יצחק בן אברהם</t>
  </si>
  <si>
    <t>ויעתר יצחק</t>
  </si>
  <si>
    <t>הלר, יצחק בן נחמן</t>
  </si>
  <si>
    <t>ליברמן,יצחק אייזיק</t>
  </si>
  <si>
    <t>ויפגע במקום</t>
  </si>
  <si>
    <t>ויפלל פנחס</t>
  </si>
  <si>
    <t>ויצא יצחק לשוח</t>
  </si>
  <si>
    <t>ויצא פרח</t>
  </si>
  <si>
    <t>ריינמאן, אברהם חיים בן אלעזר</t>
  </si>
  <si>
    <t>ויצב אברהם - 3 כר'</t>
  </si>
  <si>
    <t>ויצבור יוסף בר - 4 כר'</t>
  </si>
  <si>
    <t>ויצבור יוסף - 5 כר'</t>
  </si>
  <si>
    <t>בר שלום, יוסף בן בן ציון חי</t>
  </si>
  <si>
    <t>ויצבור יוסף</t>
  </si>
  <si>
    <t>ענתיבי, יוסף בן דוד יצחק</t>
  </si>
  <si>
    <t>ויצבור יוסף - 3 כר'</t>
  </si>
  <si>
    <t>ויצבר יוסף &lt;עם הערות שירת משה&gt;</t>
  </si>
  <si>
    <t>ויצבר יוסף - 6 כר'</t>
  </si>
  <si>
    <t>צמח, יוסף בן ראובן</t>
  </si>
  <si>
    <t>ויצבר יוסף</t>
  </si>
  <si>
    <t>ויקבוץ יוסף</t>
  </si>
  <si>
    <t>אלנתנוב, יוסף בן אליהו</t>
  </si>
  <si>
    <t>ויקהל משה</t>
  </si>
  <si>
    <t>ברנשטיין, משה בן יצחק צבי</t>
  </si>
  <si>
    <t>ויקהל משה - 2 כר'</t>
  </si>
  <si>
    <t>גורדון, משה בן ישראל הכהן</t>
  </si>
  <si>
    <t>ויקהל משה - 3 כר'</t>
  </si>
  <si>
    <t>גראף, משה בן מנחם</t>
  </si>
  <si>
    <t>ווייס, משה</t>
  </si>
  <si>
    <t>ויסבלום, שלום בן משה שלמה</t>
  </si>
  <si>
    <t>ויקהל משה - 5 כר'</t>
  </si>
  <si>
    <t>קליין, משה שאול</t>
  </si>
  <si>
    <t>קליין, משה</t>
  </si>
  <si>
    <t>רובין, משה אהרן בן יהודה הכהן</t>
  </si>
  <si>
    <t>ויקהל שלמה</t>
  </si>
  <si>
    <t>רפאפורט, שלמה זלמן בן יצחק</t>
  </si>
  <si>
    <t>ויקונן דוד</t>
  </si>
  <si>
    <t>יפה, דוד טבל בן יעקב</t>
  </si>
  <si>
    <t>ויקונן דויד</t>
  </si>
  <si>
    <t>ארי, דוד בן פינחס אריה</t>
  </si>
  <si>
    <t>ויקח יעקב אבן &lt;על התורה&gt; - 6 כר'</t>
  </si>
  <si>
    <t>קרעי, יעקב</t>
  </si>
  <si>
    <t>ויקח יעקב אבן - 2 כר'</t>
  </si>
  <si>
    <t>ויקח משה</t>
  </si>
  <si>
    <t>האגר, משה בן יוסף אלטר</t>
  </si>
  <si>
    <t>ויקח עבדיהו - ג,ד,ה</t>
  </si>
  <si>
    <t>ויקח עמרם</t>
  </si>
  <si>
    <t>אצבאן, עמרם בן פרץ</t>
  </si>
  <si>
    <t>ויקטר אהרן - זכרון אהרן</t>
  </si>
  <si>
    <t>כהן, שמואל</t>
  </si>
  <si>
    <t>ויקם עדות ביעקב</t>
  </si>
  <si>
    <t>פולאק, יעקב בן יצחק הלוי</t>
  </si>
  <si>
    <t>שנ"ד</t>
  </si>
  <si>
    <t>תל"ב</t>
  </si>
  <si>
    <t>ויקם עזרא - 2 כר'</t>
  </si>
  <si>
    <t>עטיה, עזרא בן פנחס</t>
  </si>
  <si>
    <t>ויקן יוסף</t>
  </si>
  <si>
    <t>בורג'ל, יוסף בן אליהו חי</t>
  </si>
  <si>
    <t>ויקרא אברהם</t>
  </si>
  <si>
    <t>הלכה ומנהג, נושאים שונים, שאלות ותשובות, תולדות עם ישראל, תלמוד בבלי</t>
  </si>
  <si>
    <t>הלכה ומנהג, משנה, שלחן ערוך ומפרשיו, תולדות עם ישראל, תלמוד בבלי, תנ"ך</t>
  </si>
  <si>
    <t>ויקרא בהם שמי - יבמות, חנוכה</t>
  </si>
  <si>
    <t>ויקרא יהושע</t>
  </si>
  <si>
    <t>פרחיה, יהושע בן אהרן הכהן</t>
  </si>
  <si>
    <t>דרושים, הלכה ומנהג, שאלות ותשובות, שלחן ערוך ומפרשיו</t>
  </si>
  <si>
    <t>ויקרא יוסף</t>
  </si>
  <si>
    <t>אלפאנדארי, יוסף</t>
  </si>
  <si>
    <t>ויקרא יעבץ</t>
  </si>
  <si>
    <t>אבן צור, יעקב בן ראובן</t>
  </si>
  <si>
    <t>ויקרא יעקב</t>
  </si>
  <si>
    <t>סוכרי, יעקב בן שלמה</t>
  </si>
  <si>
    <t>ויקרא יצחק דורש טוב עקב ענוה</t>
  </si>
  <si>
    <t>ויקרא יצחק - 2 כר'</t>
  </si>
  <si>
    <t>תרס"ה - תרס"ו</t>
  </si>
  <si>
    <t>ויקרא שמו בישראל</t>
  </si>
  <si>
    <t>אופנהיימר, יוסף הכהן</t>
  </si>
  <si>
    <t>לוי, אברהם</t>
  </si>
  <si>
    <t>וירא יעקב - 2 כר'</t>
  </si>
  <si>
    <t>וירא מנוחה כי טוב</t>
  </si>
  <si>
    <t>וירא מנוחה - א</t>
  </si>
  <si>
    <t>וירא משה - 5 כר'</t>
  </si>
  <si>
    <t>שלומון, משה בן שלמה יהודה</t>
  </si>
  <si>
    <t>וירא פינחס</t>
  </si>
  <si>
    <t>ווכטר רבינוביץ, פנחס בן משה</t>
  </si>
  <si>
    <t>וירא פנחס - 2 כר'</t>
  </si>
  <si>
    <t>ויש תקוה - ימי הפורים</t>
  </si>
  <si>
    <t>ויש"א יעקב</t>
  </si>
  <si>
    <t>אלמליח, יעקב שמואל</t>
  </si>
  <si>
    <t>ירשולים</t>
  </si>
  <si>
    <t>וישא אהרן - 2 כר'</t>
  </si>
  <si>
    <t>טראב, אהרן בן גמליאל</t>
  </si>
  <si>
    <t>וישאל שאול - 2 כר'</t>
  </si>
  <si>
    <t>וישב אברהם</t>
  </si>
  <si>
    <t>וישב הים - 3 כר'</t>
  </si>
  <si>
    <t>וישב יוסף</t>
  </si>
  <si>
    <t>בורלא, יוסף נסים בן חיים יעקב</t>
  </si>
  <si>
    <t>וישב יוסף - שו"ת</t>
  </si>
  <si>
    <t>סופר, אלטר יוסף צבי</t>
  </si>
  <si>
    <t>וישב משה - 3 כר'</t>
  </si>
  <si>
    <t>אסרוסי, משה בן ראובן</t>
  </si>
  <si>
    <t>תרנ"ז - תרס"ז</t>
  </si>
  <si>
    <t>וישב משה - 2 כר'</t>
  </si>
  <si>
    <t>וישב משה</t>
  </si>
  <si>
    <t>פרשיל, יוחנן בן משה</t>
  </si>
  <si>
    <t>וישבר יוסף - 2 כר'</t>
  </si>
  <si>
    <t>שיינפלד, יהוסף חיים</t>
  </si>
  <si>
    <t>וישם דניאל - 2 כר'</t>
  </si>
  <si>
    <t>לוין, דניאל בן מרדכי ליב הכהן</t>
  </si>
  <si>
    <t>וישם לך שלום</t>
  </si>
  <si>
    <t>וישם מדברה כעדן</t>
  </si>
  <si>
    <t>ספר זכרון לרב אבשלום עדן</t>
  </si>
  <si>
    <t>וישמור משמרתי</t>
  </si>
  <si>
    <t>וישמע משה</t>
  </si>
  <si>
    <t>ארבל, משה</t>
  </si>
  <si>
    <t>סלאם, משה בן יצחק</t>
  </si>
  <si>
    <t>וישמע משה - 5 כר'</t>
  </si>
  <si>
    <t>פריד, משה בן עמרם</t>
  </si>
  <si>
    <t>וישמע שאול</t>
  </si>
  <si>
    <t>דרושים, מועדי ישראל, שלחן ערוך ומפרשיו</t>
  </si>
  <si>
    <t>וישרים יעלוזו</t>
  </si>
  <si>
    <t>קובץ ישיבת כנסת יצחק</t>
  </si>
  <si>
    <t>ויתילדו על משפחותם</t>
  </si>
  <si>
    <t>פרידמן, שלמה זלמן</t>
  </si>
  <si>
    <t>ויתנו לך כתר מלוכה</t>
  </si>
  <si>
    <t>ויתענגו מטובך - שיר השירים המבואר</t>
  </si>
  <si>
    <t>וכוח הרמב"ן - תולדות הרמב"ן</t>
  </si>
  <si>
    <t>וכיצד אין מערבין - 3 כר'</t>
  </si>
  <si>
    <t>וכל מצותיך אמת</t>
  </si>
  <si>
    <t>סילם, שאול</t>
  </si>
  <si>
    <t>וכמטמונים תחפשנה - 2 כר'</t>
  </si>
  <si>
    <t>וכפר בקודש - פיוטי עבודת יוה"כ מפורש ומבואר</t>
  </si>
  <si>
    <t>וכשר הדבר</t>
  </si>
  <si>
    <t>מוסקוביץ, דוד</t>
  </si>
  <si>
    <t>וכתב משה</t>
  </si>
  <si>
    <t>לוצקי, משה</t>
  </si>
  <si>
    <t>וכתבתם - 9 כר'</t>
  </si>
  <si>
    <t>וכתבתם</t>
  </si>
  <si>
    <t>וכתבתם - א</t>
  </si>
  <si>
    <t>כולל גבורות יעקב</t>
  </si>
  <si>
    <t>וכתורה הזאת</t>
  </si>
  <si>
    <t>זילברשטיין, ישעיהו</t>
  </si>
  <si>
    <t>ולא בעל שבט הלוי בלבד</t>
  </si>
  <si>
    <t>ואזנר, שמואל בן יוסף צבי הלוי (עליו) - גרוסברד, בנימין</t>
  </si>
  <si>
    <t>ולא עוד אלא</t>
  </si>
  <si>
    <t>קבלה, שאר ספרי חז"ל, שונות, תלמוד בבלי, תלמוד ירושלמי</t>
  </si>
  <si>
    <t>ולאשר אמר - שו"ת</t>
  </si>
  <si>
    <t>כץ, אשר אנשיל</t>
  </si>
  <si>
    <t>ולאשר אמר</t>
  </si>
  <si>
    <t>פולק, אשר בן משה הלוי</t>
  </si>
  <si>
    <t>ולאשר אמר, ויגד משה - 3 כר'</t>
  </si>
  <si>
    <t>כץ, אשר אנשיל - כץ, משה יהודה</t>
  </si>
  <si>
    <t>ולבבו יבין</t>
  </si>
  <si>
    <t>ולבש הכהן</t>
  </si>
  <si>
    <t>חמצי, חיים יהושע אלעזר בן יוסף הכהן</t>
  </si>
  <si>
    <t>תלמוד בבלי, תלמוד בבלי, תנ"ך, תנ"ך, תנ"ך</t>
  </si>
  <si>
    <t>כהן, אברהם בן סעיד מג'רבה</t>
  </si>
  <si>
    <t>תלמוד בבלי, תלמוד בבלי, תפלות בקשות פיוטים ושירה</t>
  </si>
  <si>
    <t>ולגשמים בעיתם</t>
  </si>
  <si>
    <t>כהן, אהרן בן משה ישעיה</t>
  </si>
  <si>
    <t>ולהבה לא תבער בך</t>
  </si>
  <si>
    <t>זילבר, יצחק בן בן ציון</t>
  </si>
  <si>
    <t>ולחם לבב אנוש יסעד</t>
  </si>
  <si>
    <t>וליוסף אמר - 2 כר'</t>
  </si>
  <si>
    <t>ואעקנין, יוסף בן אברהם</t>
  </si>
  <si>
    <t>וליוסף אמר - ב</t>
  </si>
  <si>
    <t>וליוסף אמר, יצחק בנו</t>
  </si>
  <si>
    <t>ביתאן, יוסף - ביתאן, יצחק</t>
  </si>
  <si>
    <t>ולישרי לב - 9 כר'</t>
  </si>
  <si>
    <t>וללוי אמר</t>
  </si>
  <si>
    <t>הורביץ, לוי יצחק הלוי (מבוסטון)</t>
  </si>
  <si>
    <t>וללוי אמר - ב</t>
  </si>
  <si>
    <t>לוי, שבתי בן יוסף</t>
  </si>
  <si>
    <t>ולעלובת נפש תושיע - א</t>
  </si>
  <si>
    <t>ולערב עירובו &lt;מהדורת ביקורת&gt; - עירובי חצירות</t>
  </si>
  <si>
    <t>ולקח אלעזר</t>
  </si>
  <si>
    <t>זומר, אלעזר הכהן</t>
  </si>
  <si>
    <t>ולקחתם לכם - 3 כר'</t>
  </si>
  <si>
    <t>ולתתך עליון</t>
  </si>
  <si>
    <t>ומאזין תרועה</t>
  </si>
  <si>
    <t>ברסלב</t>
  </si>
  <si>
    <t>ומדותי פעולתם</t>
  </si>
  <si>
    <t>בן ארויה, רפאל בן יעקב</t>
  </si>
  <si>
    <t>ומחדרים אימה</t>
  </si>
  <si>
    <t>שוורץ, זהבה - צ'ולק, הדסה</t>
  </si>
  <si>
    <t>ומלכות תהפך למינות</t>
  </si>
  <si>
    <t>בלוי, עמרם בן שלמה יצחק</t>
  </si>
  <si>
    <t>וממנה יוושע</t>
  </si>
  <si>
    <t>ומצא חן</t>
  </si>
  <si>
    <t>ומצדיקי הרבים - הלכות מלמדים</t>
  </si>
  <si>
    <t>ברנשטיין, אברהם</t>
  </si>
  <si>
    <t>ומצור דבש</t>
  </si>
  <si>
    <t>ומקדשי תיראו - 5 כר'</t>
  </si>
  <si>
    <t>מכון מורא מקדש</t>
  </si>
  <si>
    <t>ומקרב בימין - 2 כר'</t>
  </si>
  <si>
    <t>זקוטינסקי, חיים אברהם</t>
  </si>
  <si>
    <t>ומקרבן לתורה - כלאים</t>
  </si>
  <si>
    <t>שפירא, אברהם בן ישראל אהרן</t>
  </si>
  <si>
    <t>הלכה ומנהג, משנה, תלמוד ירושלמי</t>
  </si>
  <si>
    <t>ומרדכי יושב בשער המלך</t>
  </si>
  <si>
    <t>אליהו, מרדכי</t>
  </si>
  <si>
    <t>ומרדכי יצא</t>
  </si>
  <si>
    <t>זליכה, יוסף</t>
  </si>
  <si>
    <t>ומשה היה רועה - 6 כר'</t>
  </si>
  <si>
    <t>מיטלמן, יצחק - טלר, שמואל שלמה</t>
  </si>
  <si>
    <t>ומשחרי ימצאוני - 2 כר'</t>
  </si>
  <si>
    <t>חבשוש, איתמר בן אברהם</t>
  </si>
  <si>
    <t>ומשם עתידין להיגאל - בפסוקי התורה</t>
  </si>
  <si>
    <t>ומתוקים מדבש</t>
  </si>
  <si>
    <t>דויטש, אברהם ישעיהו בן יעקב פרץ</t>
  </si>
  <si>
    <t>ונבנתה עיר</t>
  </si>
  <si>
    <t>ונגש הכהן</t>
  </si>
  <si>
    <t>טריווש, הילל דוד בן עוזר הכהן</t>
  </si>
  <si>
    <t>ונהר יוצא מעדן - הקדמת רחובות הנהר</t>
  </si>
  <si>
    <t>ונהרות לא ישטפוה</t>
  </si>
  <si>
    <t>ונכתב בספר - 2 כר'</t>
  </si>
  <si>
    <t>ונמצא חן</t>
  </si>
  <si>
    <t>ונצדק קדש</t>
  </si>
  <si>
    <t>הבלין, דוד</t>
  </si>
  <si>
    <t>ונקריב לפניך באהבה</t>
  </si>
  <si>
    <t>מכון לדביר ביתך</t>
  </si>
  <si>
    <t>ונשמע פתגם - פורים</t>
  </si>
  <si>
    <t>ונשמרתם מאד לנפשותיכם</t>
  </si>
  <si>
    <t>ונשמרתם</t>
  </si>
  <si>
    <t>ונתן לכהן</t>
  </si>
  <si>
    <t>ונתת לעבדך</t>
  </si>
  <si>
    <t>שרים, דביר</t>
  </si>
  <si>
    <t>ונתתי שלום</t>
  </si>
  <si>
    <t>הורוויץ, יהונתן בנימין בן משה יהודה הלוי</t>
  </si>
  <si>
    <t>וסמך ידו - 2 כר'</t>
  </si>
  <si>
    <t>סגרון, כמוס</t>
  </si>
  <si>
    <t>וספרתם לכם</t>
  </si>
  <si>
    <t>כהן, דקל</t>
  </si>
  <si>
    <t>הלכה ומנהג, מועדי ישראל, שאלות ותשובות, שלחן ערוך ומפרשיו, תלמוד בבלי</t>
  </si>
  <si>
    <t>וסתות בהלכה</t>
  </si>
  <si>
    <t>זילבר, יצחק בן שמואל ליב</t>
  </si>
  <si>
    <t>ועבד הלוי</t>
  </si>
  <si>
    <t>הורוויץ, יחיאל בן אברהם זאב וולף הלוי</t>
  </si>
  <si>
    <t>ועבדי דוד -תדפיס</t>
  </si>
  <si>
    <t>פירסאן, חיים בן ציון</t>
  </si>
  <si>
    <t>מועדי ישראל, ספריית חב"ד, תנ"ך</t>
  </si>
  <si>
    <t>ועד הבית בהלכה</t>
  </si>
  <si>
    <t>דרברמדיקר, אברהם יהושע העשיל</t>
  </si>
  <si>
    <t>ועד היוזם להרחבת משמרת שבת</t>
  </si>
  <si>
    <t>יפו-תל-אביב. חברת משמרת-שבת</t>
  </si>
  <si>
    <t>[תש"ט</t>
  </si>
  <si>
    <t>(תל-אביב),</t>
  </si>
  <si>
    <t>ועד הכנה לראש השנה</t>
  </si>
  <si>
    <t>ולדמן, מיכאל</t>
  </si>
  <si>
    <t>ועד חכמים</t>
  </si>
  <si>
    <t>גדליהו בן חיים צבי</t>
  </si>
  <si>
    <t>ועד חכמים - א-ב</t>
  </si>
  <si>
    <t>ציטראן, צבי דוב (עורך)</t>
  </si>
  <si>
    <t>יזלוביץ Pomortsy</t>
  </si>
  <si>
    <t>ועד חסדי דוד לעדת הבבלים - מכתבי המלצות</t>
  </si>
  <si>
    <t>מכתבי המלצות</t>
  </si>
  <si>
    <t>ועד לחכמים - 2 כר'</t>
  </si>
  <si>
    <t>ועד לחכמים - 7 כר'</t>
  </si>
  <si>
    <t>ועד לחכמים</t>
  </si>
  <si>
    <t>ועדי חנוכה</t>
  </si>
  <si>
    <t>ועדים בספר חובת הלבבות שער הבטחון</t>
  </si>
  <si>
    <t>נוביק, טוביה</t>
  </si>
  <si>
    <t>ועדים מהרב שלמה הופמן זצ"ל</t>
  </si>
  <si>
    <t>הופמן, שלמה - שטיין, מאיר שמחה</t>
  </si>
  <si>
    <t>ועדים על התפילה</t>
  </si>
  <si>
    <t>ועידת אשרינו - ב</t>
  </si>
  <si>
    <t>קהל יראים חוג חתם סופר</t>
  </si>
  <si>
    <t>ועלה האיש</t>
  </si>
  <si>
    <t>ספר זכרון לרבי אברהם ישעיהו ברמן</t>
  </si>
  <si>
    <t>ועלהו לתרופה</t>
  </si>
  <si>
    <t>מצגר, יעקב - מלאכי, חיים</t>
  </si>
  <si>
    <t>ועמך כולם צדיקים</t>
  </si>
  <si>
    <t>וענפיה ארזי אל &lt;מועדים&gt; - פסח</t>
  </si>
  <si>
    <t>גורביץ, אברהם</t>
  </si>
  <si>
    <t>דרושים, הלכה ומנהג, מועדי ישראל, מחשבה ומוסר, שלחן ערוך ומפרשיו, תלמוד בבלי</t>
  </si>
  <si>
    <t>וענפיה ארזי אל &lt;עה"ת&gt; - 2 כר'</t>
  </si>
  <si>
    <t>וענתה בי צדקתי</t>
  </si>
  <si>
    <t>רבינוביץ, אליהו עקיבא בן דוב בר</t>
  </si>
  <si>
    <t>וענתה השירה הזאת</t>
  </si>
  <si>
    <t>וערך הכהן</t>
  </si>
  <si>
    <t>ועשו לי מקדש - המשכן וכליו ובגדי כהונה</t>
  </si>
  <si>
    <t>ועשית מעקה</t>
  </si>
  <si>
    <t>ועתה כתבו לכם - הלכות שבת ויום טוב</t>
  </si>
  <si>
    <t>ועתה כתבו לכם</t>
  </si>
  <si>
    <t>ברגר, אביגדור (עורך)</t>
  </si>
  <si>
    <t>ועתה כתבו</t>
  </si>
  <si>
    <t>ועתה כתבו - כתיבת ספר תורה</t>
  </si>
  <si>
    <t>ועתה לשון תשובה</t>
  </si>
  <si>
    <t>ופדויי ה' ישובון</t>
  </si>
  <si>
    <t>יששכר, מנשה</t>
  </si>
  <si>
    <t>ופקדת נוך</t>
  </si>
  <si>
    <t>וצבי עדיו</t>
  </si>
  <si>
    <t>וצדיק באמונתו יחיה</t>
  </si>
  <si>
    <t>וצדקתו עומדת לעד</t>
  </si>
  <si>
    <t>וצוה הכהן - 2 כר'</t>
  </si>
  <si>
    <t>כ"ץ, אהרן שמואל בן נפתלי הירץ הכהן</t>
  </si>
  <si>
    <t>וקמו נדריה</t>
  </si>
  <si>
    <t>רייניץ, יצחק מאיר</t>
  </si>
  <si>
    <t>וקמת ועלית - ב</t>
  </si>
  <si>
    <t>קובץ לבירור עניני ארץ ישראל</t>
  </si>
  <si>
    <t>וקמת ועלית</t>
  </si>
  <si>
    <t>וקנה לך חבר</t>
  </si>
  <si>
    <t>כהן, יגאל</t>
  </si>
  <si>
    <t>הלכה ומנהג, הלכה ומנהג, מחשבה ומוסר, משנה, נושאים שונים, תלמוד בבלי, תנ"ך</t>
  </si>
  <si>
    <t>וקנה לך חבר - שנה ה</t>
  </si>
  <si>
    <t>וקראת לשבת עונג - 2 כר'</t>
  </si>
  <si>
    <t>וקרבה שנת השבע</t>
  </si>
  <si>
    <t>וקשרתם לאות</t>
  </si>
  <si>
    <t>וראיתם אותו</t>
  </si>
  <si>
    <t>ורוח על פני המים</t>
  </si>
  <si>
    <t>ורוממתנו</t>
  </si>
  <si>
    <t>ורחמיו על כל מעשיו</t>
  </si>
  <si>
    <t>תדש"מ</t>
  </si>
  <si>
    <t>ורעה אמונה</t>
  </si>
  <si>
    <t>ורפא ירפא [לוי]</t>
  </si>
  <si>
    <t>תשמ"</t>
  </si>
  <si>
    <t>ורפא ירפא</t>
  </si>
  <si>
    <t>ורצית שבח</t>
  </si>
  <si>
    <t>ושב הכהן &lt;מהדורה חדשה&gt;</t>
  </si>
  <si>
    <t>ושב הכהן &lt;שו"ת&gt;</t>
  </si>
  <si>
    <t>ושב הכהן</t>
  </si>
  <si>
    <t>כהנא, יעקב יהודה בן צבי הירש הכהן</t>
  </si>
  <si>
    <t>ושב ורפא לו</t>
  </si>
  <si>
    <t>טיקוצינסקי, רפאל יונה בן ישראל מאיר</t>
  </si>
  <si>
    <t>ושב ורפא - 4 כר'</t>
  </si>
  <si>
    <t>אייפרס, רפאל בן יוחנן</t>
  </si>
  <si>
    <t>ושבועתו ליצחק</t>
  </si>
  <si>
    <t>נטף, יצחק</t>
  </si>
  <si>
    <t>ושבתה הארץ</t>
  </si>
  <si>
    <t>זקס, משה</t>
  </si>
  <si>
    <t>ושבתה הארץ - 2 כר'</t>
  </si>
  <si>
    <t>רוזנבך, אברהם יחיאל בן אליעזר דב</t>
  </si>
  <si>
    <t>ושומר תורה אשרהו</t>
  </si>
  <si>
    <t>ושחטתם בזה</t>
  </si>
  <si>
    <t>ביג'אג'ו, אברהם בן אהרן</t>
  </si>
  <si>
    <t>ושכנתי בתוכם</t>
  </si>
  <si>
    <t>קדוש, ציון בן דוד</t>
  </si>
  <si>
    <t>ושם אשה גדולה</t>
  </si>
  <si>
    <t>ספר זכרון על הרבנית רוחמה אבוחצירא</t>
  </si>
  <si>
    <t>פרקים מחייה של הרבנית צפורה רוזנברג</t>
  </si>
  <si>
    <t>ושמואל בקוראי שמו</t>
  </si>
  <si>
    <t>שמאי, שמואל</t>
  </si>
  <si>
    <t>ושמואל בקראי שמו</t>
  </si>
  <si>
    <t>ארלנגר, ש</t>
  </si>
  <si>
    <t>ושמח בלבו</t>
  </si>
  <si>
    <t>ושמחת בחגך</t>
  </si>
  <si>
    <t>ושמחת בחייך</t>
  </si>
  <si>
    <t>טייץ, רבקה (בלאו)</t>
  </si>
  <si>
    <t>ראובן, יהושע שי</t>
  </si>
  <si>
    <t>ושמחת בכל הטוב</t>
  </si>
  <si>
    <t>וויינערב, משה בן יעקב</t>
  </si>
  <si>
    <t>שיינברג, יעקב שלמה</t>
  </si>
  <si>
    <t>ושמרו לעשות</t>
  </si>
  <si>
    <t>ושמרו - ג</t>
  </si>
  <si>
    <t>סלושץ, מרדכי אליהו בן חיים משה אהרן</t>
  </si>
  <si>
    <t>ושמרתם</t>
  </si>
  <si>
    <t>סלושץ, מרדכי אליהו</t>
  </si>
  <si>
    <t>ושמת בטנא</t>
  </si>
  <si>
    <t>ושננתם לבניך</t>
  </si>
  <si>
    <t>ושננתם לבניך - 3 כר'</t>
  </si>
  <si>
    <t>קדרי, יהודה</t>
  </si>
  <si>
    <t>מועדי ישראל, נושאים שונים, תנ"ך, תנ"ך</t>
  </si>
  <si>
    <t>ושננתם</t>
  </si>
  <si>
    <t>ותאמר ציון - 2 כר'</t>
  </si>
  <si>
    <t>תש"י - תשי"ח</t>
  </si>
  <si>
    <t>ותומכיה מאושר</t>
  </si>
  <si>
    <t>ותחי רוח יעקב</t>
  </si>
  <si>
    <t>רענן, יעקב בן יואל הלוי</t>
  </si>
  <si>
    <t>ותימרון חידושא - מודז'יץ</t>
  </si>
  <si>
    <t>ותימרון חידושא</t>
  </si>
  <si>
    <t>ותלמוד תורה כנגד כולם</t>
  </si>
  <si>
    <t>ותלמודו בידו - 2 כר'</t>
  </si>
  <si>
    <t>אנגלנדר, שלמה</t>
  </si>
  <si>
    <t>ותלמודו בידו</t>
  </si>
  <si>
    <t>ותלמודו בידו - סנהדרין</t>
  </si>
  <si>
    <t>ישיבת נחלת דוד</t>
  </si>
  <si>
    <t>תשסד</t>
  </si>
  <si>
    <t>קובץ ישיבת בית שמעיה</t>
  </si>
  <si>
    <t>ותלמודו בידו - 8 כר'</t>
  </si>
  <si>
    <t>קראם, ירחמיאל</t>
  </si>
  <si>
    <t>ותמכיה מאשר</t>
  </si>
  <si>
    <t>ותן חלקנו בתורתך</t>
  </si>
  <si>
    <t>במברגר, יוסף אהרן בן משה אריה הלוי</t>
  </si>
  <si>
    <t>משנה, תנ"ך, תפלות בקשות פיוטים ושירה</t>
  </si>
  <si>
    <t>ותעצר המגפה</t>
  </si>
  <si>
    <t>ותקננו בחבר טוב</t>
  </si>
  <si>
    <t>לוי, שלמה</t>
  </si>
  <si>
    <t>ותקעתם בחצוצרות</t>
  </si>
  <si>
    <t>ותרא אותו כי טוב</t>
  </si>
  <si>
    <t>משנת הגר"א</t>
  </si>
  <si>
    <t>ותרגז הארץ</t>
  </si>
  <si>
    <t>ותשקט הארץ</t>
  </si>
  <si>
    <t>ותתפלל חנה</t>
  </si>
  <si>
    <t>יהודה, פאראג' חיים בן שלמה</t>
  </si>
  <si>
    <t>פרידמן, יעקב יצחק</t>
  </si>
  <si>
    <t>זאב יטרוף</t>
  </si>
  <si>
    <t>זאב וולף בן שלמה זלמן מלאנדסברג</t>
  </si>
  <si>
    <t>זאב יטרף - 20 כר'</t>
  </si>
  <si>
    <t>זאבים טורפים את בנימין &lt;נועם וחובלים&gt;</t>
  </si>
  <si>
    <t>קפשאלי, אליהו בן אלקנה</t>
  </si>
  <si>
    <t>זאבלודאווע (זבלודוב)</t>
  </si>
  <si>
    <t>זאגט א גוט ווארט</t>
  </si>
  <si>
    <t>זאת אמונתי</t>
  </si>
  <si>
    <t>זאת אשיב אל לבי</t>
  </si>
  <si>
    <t>זאת בריתי</t>
  </si>
  <si>
    <t>שרעבי, יוסף</t>
  </si>
  <si>
    <t>זאת הדף העתקתי אות באות</t>
  </si>
  <si>
    <t>פרנקל, משולם זלמן בן אהרן (אודות)</t>
  </si>
  <si>
    <t>זאת התורה והמציאות לא תהיה מוחלפת</t>
  </si>
  <si>
    <t>תלמידי וחסידי באבוב</t>
  </si>
  <si>
    <t>ברולין</t>
  </si>
  <si>
    <t>זאת התורה</t>
  </si>
  <si>
    <t>זאת התורה - 2 כר'</t>
  </si>
  <si>
    <t>זאת התפלה</t>
  </si>
  <si>
    <t>משיח, שלמה</t>
  </si>
  <si>
    <t>זאת התרומה</t>
  </si>
  <si>
    <t>גולדשמיט, פינחס בן פסח מאיר</t>
  </si>
  <si>
    <t>זאת זכרון</t>
  </si>
  <si>
    <t>זאת חוקת התורה - 2 כר'</t>
  </si>
  <si>
    <t>חזקוני, אברהם בן יחזקיה פייבל</t>
  </si>
  <si>
    <t>זאת חנוכה</t>
  </si>
  <si>
    <t>זאת חקת התורה</t>
  </si>
  <si>
    <t>זאת ליהודה</t>
  </si>
  <si>
    <t>וואכסנר, יהודה ליב בן אברהם</t>
  </si>
  <si>
    <t>זאת ליעקב &lt;על התורה&gt; - 4 כר'</t>
  </si>
  <si>
    <t>זאת ליעקב - 5 כר'</t>
  </si>
  <si>
    <t>זאת מנוחתי</t>
  </si>
  <si>
    <t>אלטשולר, משה יוסף בן שמאי הילל</t>
  </si>
  <si>
    <t>זאת נחמתי</t>
  </si>
  <si>
    <t>זאת תורת האדם</t>
  </si>
  <si>
    <t>אהרן בן יהודה ליב הלוי מאולקסיניץ</t>
  </si>
  <si>
    <t>זאת תורת הבית</t>
  </si>
  <si>
    <t>תלמוד תורה וישיבת חיי עולם</t>
  </si>
  <si>
    <t>זאת תורת הזבח</t>
  </si>
  <si>
    <t>סעד, יונתן אלכסנדר</t>
  </si>
  <si>
    <t>זבד בנימין</t>
  </si>
  <si>
    <t>גריסהאבר, בנימין וולף בן ראובן זליגמאן הלוי</t>
  </si>
  <si>
    <t>זבד טוב - 2 כר'</t>
  </si>
  <si>
    <t>אלטשול, זאב וולף בן דוב בר</t>
  </si>
  <si>
    <t>זבד טוב</t>
  </si>
  <si>
    <t>זאקס, זלמן בן דב</t>
  </si>
  <si>
    <t>זוכובסקי, חיים דוב בן אלתר משה יוסף</t>
  </si>
  <si>
    <t>לייכטר, זאב וולף בן נתנאל מנחם</t>
  </si>
  <si>
    <t>ספר זכרון - עורך: זץ, ארי שלמה</t>
  </si>
  <si>
    <t>זבד טוב - 3 כר'</t>
  </si>
  <si>
    <t>פופרש, זאב בן דוב</t>
  </si>
  <si>
    <t>זבול יהודה</t>
  </si>
  <si>
    <t>מייקל, זנוויל בן יהודה</t>
  </si>
  <si>
    <t>זבח השלמים - 3 כר'</t>
  </si>
  <si>
    <t>גאלאנטי, משה בן יהונתן</t>
  </si>
  <si>
    <t>הלכה ומנהג, תלמוד בבלי, תלמוד בבלי, תנ"ך, תנ"ך</t>
  </si>
  <si>
    <t>זבח טוב - זבחים</t>
  </si>
  <si>
    <t>בן דוד, טוביה פנחס בן יוסף</t>
  </si>
  <si>
    <t>זבח טוב</t>
  </si>
  <si>
    <t>ליברמן, שוחט בן יוסף</t>
  </si>
  <si>
    <t>שפ"ו</t>
  </si>
  <si>
    <t>זבח יוסף - 5 כר'</t>
  </si>
  <si>
    <t>זבח יעקב - 2 כר'</t>
  </si>
  <si>
    <t>ליברמן, יעקב בן אברהם</t>
  </si>
  <si>
    <t>זבח משפחה - ב</t>
  </si>
  <si>
    <t>זבח משפחה</t>
  </si>
  <si>
    <t>הלכה ומנהג, קבצים וכתבי עת, ספרי זכרון ויובל, תפלות בקשות פיוטים ושירה</t>
  </si>
  <si>
    <t>לכבוד רבי יעקב ורות פלדהיים</t>
  </si>
  <si>
    <t>זבח פסח</t>
  </si>
  <si>
    <t>זבח פסח - אכילת התרנגולים כהלכתה</t>
  </si>
  <si>
    <t>יעקב פסח בן יצחק מזולקווא</t>
  </si>
  <si>
    <t>תיקונים. ימי ניסן. תרל"ה</t>
  </si>
  <si>
    <t>זבח ש"י</t>
  </si>
  <si>
    <t>לב, שמעון יהודה בן יוסף</t>
  </si>
  <si>
    <t>זבח שי - 3 כר'</t>
  </si>
  <si>
    <t>זבח שלום - א</t>
  </si>
  <si>
    <t>בוחבוט, אייל שלום</t>
  </si>
  <si>
    <t>זבח שלמה - זבחים</t>
  </si>
  <si>
    <t>זבח שלמה - 4 כר'</t>
  </si>
  <si>
    <t>גולינסקי, שלמה זאב</t>
  </si>
  <si>
    <t>זבח שמואל - 2 כר'</t>
  </si>
  <si>
    <t>ווייל, יעקב בן יהודה</t>
  </si>
  <si>
    <t>זבח שמואל</t>
  </si>
  <si>
    <t>שמואל בן משה מליסא</t>
  </si>
  <si>
    <t>זבח תודה</t>
  </si>
  <si>
    <t>אויערבאך, יעקב בן אהרן יהודה ליב</t>
  </si>
  <si>
    <t>הלוי, מתתיהו בן משה זכות</t>
  </si>
  <si>
    <t>ליוורנו,</t>
  </si>
  <si>
    <t>תלמסאן</t>
  </si>
  <si>
    <t>פרלס, אלעזר בן אברהם חנוך</t>
  </si>
  <si>
    <t>זבח תודה - ימין משה &lt;כת"י&gt;</t>
  </si>
  <si>
    <t>צאלח, יחיא בן יוסף - ווינטורה, משה בן יוסף</t>
  </si>
  <si>
    <t>תרס"ה - תש"מ</t>
  </si>
  <si>
    <t>זבח תודה - 2 כר'</t>
  </si>
  <si>
    <t>צאלח, יחיא בן יוסף</t>
  </si>
  <si>
    <t>תרי"א-תרי"ב</t>
  </si>
  <si>
    <t>זבחו זבחי צדק</t>
  </si>
  <si>
    <t>זבחי איש</t>
  </si>
  <si>
    <t>שפירא, אליהו ירוחם</t>
  </si>
  <si>
    <t>זבחי אלקים</t>
  </si>
  <si>
    <t>זבחי אפרים</t>
  </si>
  <si>
    <t>לאפ, אפרים דוב בן אלחנן צבי הכהן</t>
  </si>
  <si>
    <t>זבחי הזבח</t>
  </si>
  <si>
    <t>אלבאז, אבא</t>
  </si>
  <si>
    <t>זבחי טוביה</t>
  </si>
  <si>
    <t>זבחי יצחק - יומא</t>
  </si>
  <si>
    <t>טולדאנו, ישראל נתן בן יצחק</t>
  </si>
  <si>
    <t>זבחי כהן</t>
  </si>
  <si>
    <t>כהן, יצחק בן מאיר מליוורנו</t>
  </si>
  <si>
    <t>זבחי צדק תנינא</t>
  </si>
  <si>
    <t>דיסקין, יצחק זאב בן שמעון משה</t>
  </si>
  <si>
    <t>הלכה ומנהג, תנ"ך, תנ"ך</t>
  </si>
  <si>
    <t>זבחי צדק</t>
  </si>
  <si>
    <t>בר, יצחק זליגמאן בן אריה יוסף</t>
  </si>
  <si>
    <t>זבחי צדק - 2 כר'</t>
  </si>
  <si>
    <t>זבחי צדק - 3 כר'</t>
  </si>
  <si>
    <t>תרפ"ט - חרצ"ג</t>
  </si>
  <si>
    <t>זבחי צדק - זבחים</t>
  </si>
  <si>
    <t>זשוראוועל, יעקב יהושע בן שמואל זאב</t>
  </si>
  <si>
    <t>שאלות ותשובות, שלחן ערוך ומפרשיו, תולדות עם ישראל</t>
  </si>
  <si>
    <t>רכס, אברהם יוסף</t>
  </si>
  <si>
    <t>זבחי קדשים</t>
  </si>
  <si>
    <t>זבחי קודש</t>
  </si>
  <si>
    <t>זבחי רצון  על הלכות שחיטה וטריפות (כת"י)</t>
  </si>
  <si>
    <t>אבן צור, שלמה בן רפאל</t>
  </si>
  <si>
    <t>מרוקו</t>
  </si>
  <si>
    <t>זבחי רצון</t>
  </si>
  <si>
    <t>הירש, יהודה מאיר</t>
  </si>
  <si>
    <t>זבחי רצון - 3 כר'</t>
  </si>
  <si>
    <t>פרנקל, שרגא פייבש בן מתתיהו הלוי</t>
  </si>
  <si>
    <t>זבחי שלמה</t>
  </si>
  <si>
    <t>זבחי שלמים (כתב יד)</t>
  </si>
  <si>
    <t>דיוואן, יהודה בן עמרם</t>
  </si>
  <si>
    <t>זבחי שלמים</t>
  </si>
  <si>
    <t>בק, יעקב בן חנוך</t>
  </si>
  <si>
    <t>זבחי שלמים - 2 כר'</t>
  </si>
  <si>
    <t>זבחי שמואל</t>
  </si>
  <si>
    <t>וולר, שמואל יוסף בן יצחק אייזיק יעקב</t>
  </si>
  <si>
    <t>Pinsk פינסק</t>
  </si>
  <si>
    <t>זבחי תודה בן שמעון יהודה ליב</t>
  </si>
  <si>
    <t>פרבר, צבי הירש</t>
  </si>
  <si>
    <t>זבחי תודה</t>
  </si>
  <si>
    <t>הוכגלרנטר, זאב וולף בן אליעזר</t>
  </si>
  <si>
    <t>זבחי תודה - 7 כר'</t>
  </si>
  <si>
    <t>זבחי תרועה</t>
  </si>
  <si>
    <t>דייכס, אריה ליב צבי הירש בן דוד</t>
  </si>
  <si>
    <t>וויל, יעקב בן יצחק</t>
  </si>
  <si>
    <t>זרקא, שלמה בן שלום</t>
  </si>
  <si>
    <t>זבחים שלמים</t>
  </si>
  <si>
    <t>כאלאץ, יהודה בן שלמה (השני)</t>
  </si>
  <si>
    <t>הלכה ומנהג, הלכה ומנהג, הלכה ומנהג, נושאים שונים</t>
  </si>
  <si>
    <t>זה דודי</t>
  </si>
  <si>
    <t>ווייספעלד, יששכר זאב</t>
  </si>
  <si>
    <t>זה דרוש ההספד</t>
  </si>
  <si>
    <t>קעניגסברג</t>
  </si>
  <si>
    <t>זה הדרך לכו בו</t>
  </si>
  <si>
    <t>זה הים - 3 כר'</t>
  </si>
  <si>
    <t>זה השלחן - 4 כר'</t>
  </si>
  <si>
    <t>אברהם, אברהם</t>
  </si>
  <si>
    <t>זה השלחן - 5 כר'</t>
  </si>
  <si>
    <t>זה השלחן - חסד ואמת</t>
  </si>
  <si>
    <t>גיג', אליהו חי בן יוסף</t>
  </si>
  <si>
    <t>תרמ"ח-תרנ"ה</t>
  </si>
  <si>
    <t>אלג'יר Algiers</t>
  </si>
  <si>
    <t>זה השלחן - 3 כר'</t>
  </si>
  <si>
    <t>הלכה ומנהג, נושאים שונים, שלחן ערוך ומפרשיו, שלחן ערוך ומפרשיו</t>
  </si>
  <si>
    <t>זה השלחן - א</t>
  </si>
  <si>
    <t>לקט פנינים מתורתם של רבותינו</t>
  </si>
  <si>
    <t>זה השער לה' - הלכות מזוזה</t>
  </si>
  <si>
    <t>זה השער - 3 כר'</t>
  </si>
  <si>
    <t>אברמוביץ, זיידא צבי</t>
  </si>
  <si>
    <t>זה השער - 2 כר'</t>
  </si>
  <si>
    <t>זה ינחמנו</t>
  </si>
  <si>
    <t>רפ"ג</t>
  </si>
  <si>
    <t>זה ינחמנו - 2 כר'</t>
  </si>
  <si>
    <t>מכילתא. תע"ב</t>
  </si>
  <si>
    <t>זה כתב ידי &lt;מכון הכתב&gt;</t>
  </si>
  <si>
    <t>זה כתב ידי</t>
  </si>
  <si>
    <t>שאלות ותשובות, שלחן ערוך ומפרשיו, שלחן ערוך ומפרשיו</t>
  </si>
  <si>
    <t>זה מצאתי - 2 כר'</t>
  </si>
  <si>
    <t>ברכות, זכריה</t>
  </si>
  <si>
    <t>משנה, שלחן ערוך ומפרשיו, תלמוד בבלי, תלמוד בבלי, תלמוד בבלי, תנ"ך</t>
  </si>
  <si>
    <t>זה ספר תולדות אדם</t>
  </si>
  <si>
    <t>קירשנבוים, ישראל שמעון (עליו)</t>
  </si>
  <si>
    <t>זה קרה בארץ ישראל</t>
  </si>
  <si>
    <t>זה שמי - 2 כר'</t>
  </si>
  <si>
    <t>מילר, יוסף שמעון הלוי</t>
  </si>
  <si>
    <t>זהב הארץ</t>
  </si>
  <si>
    <t>וינגורט, יחיאל מאיר</t>
  </si>
  <si>
    <t>זהב הארץ - 2 כר'</t>
  </si>
  <si>
    <t>תש"ד - תש"כ</t>
  </si>
  <si>
    <t>זהב המנורה</t>
  </si>
  <si>
    <t>ווייסבלום, משולם זוסיא בן אליעזר ליפמאן</t>
  </si>
  <si>
    <t>זהב הקודש - 3 כר'</t>
  </si>
  <si>
    <t>זהב התרומה - 5 כר'</t>
  </si>
  <si>
    <t>זהב ולבונה - 5 כר'</t>
  </si>
  <si>
    <t>ענבל, יעקב בן צבי</t>
  </si>
  <si>
    <t>זהב טהור - 4 כר'</t>
  </si>
  <si>
    <t>זהב טהור</t>
  </si>
  <si>
    <t>ברוך בן אריה ליב מזאמושץ</t>
  </si>
  <si>
    <t>זהב טוב</t>
  </si>
  <si>
    <t>זהב יצוק</t>
  </si>
  <si>
    <t>שעשוע, שאול בן חיים</t>
  </si>
  <si>
    <t>זהב לבושה</t>
  </si>
  <si>
    <t>זהב מכתם אופיר</t>
  </si>
  <si>
    <t>ברדה, אופיר חי</t>
  </si>
  <si>
    <t>זהב מרדכי - 3 כר'</t>
  </si>
  <si>
    <t>אליפנט, מרדכי</t>
  </si>
  <si>
    <t>זהב משבא - 2 כר'</t>
  </si>
  <si>
    <t>זהב סגור - לב דוד</t>
  </si>
  <si>
    <t>הלכה ומנהג, מועדי ישראל, קבלה</t>
  </si>
  <si>
    <t>זהב פרוים</t>
  </si>
  <si>
    <t>לווין, ישראל דוב בן אברהם הלוי</t>
  </si>
  <si>
    <t>זהב שב"א</t>
  </si>
  <si>
    <t>גרוס, דוד בן אהרן אלעזר</t>
  </si>
  <si>
    <t>זהב שבא</t>
  </si>
  <si>
    <t>גרינפלד, שמעון בן יהודה</t>
  </si>
  <si>
    <t>דיין, שמעון בן אליהו</t>
  </si>
  <si>
    <t>זהב שחוט</t>
  </si>
  <si>
    <t>שוחט, שבתי חיים בן י ל</t>
  </si>
  <si>
    <t>זהב שיבה - 2 כר'</t>
  </si>
  <si>
    <t>זהב שמואל</t>
  </si>
  <si>
    <t>זהורי חמה - חמש מגילות</t>
  </si>
  <si>
    <t>זוהר. חמש מגילות. תצ"ח</t>
  </si>
  <si>
    <t>שלוניקי,</t>
  </si>
  <si>
    <t>זהורי חמה - על מגילת אסתר</t>
  </si>
  <si>
    <t>זוהר. תרכ"ה. למברג</t>
  </si>
  <si>
    <t>! תרמ"ה</t>
  </si>
  <si>
    <t>Lemberg</t>
  </si>
  <si>
    <t>מועדי ישראל, קבלה, תנ"ך, תפלות בקשות פיוטים ושירה</t>
  </si>
  <si>
    <t>זהורי שמואל - 4 כר'</t>
  </si>
  <si>
    <t>טולידנו, אברהם בן שמואל</t>
  </si>
  <si>
    <t>זהות</t>
  </si>
  <si>
    <t>פינטו, יעקב ישועה בן משה אהרון</t>
  </si>
  <si>
    <t>זהירות כאן בונים - 3 כר'</t>
  </si>
  <si>
    <t>רוט, יצחק אייזיק</t>
  </si>
  <si>
    <t>זהר &lt;פירוש זהר בהיר&gt; - 15 כר'</t>
  </si>
  <si>
    <t>אייכנשטיין, יצחק אייזיק מנחם בן שלמה יעקב</t>
  </si>
  <si>
    <t>זהר &lt;פירוש הסולם&gt; - 6 כר'</t>
  </si>
  <si>
    <t>אשלג, יהודה ליב הלוי (מלוקט מתוך פירושו) - אשלג, יחזקאל יוסף</t>
  </si>
  <si>
    <t>זהר &lt;פירוש הסולם&gt; - 4 כר'</t>
  </si>
  <si>
    <t>אשלג, יהודה ליב הלוי (מלוקט מתוך פירושו)</t>
  </si>
  <si>
    <t>זהר &lt;פירוש הסולם - מאורות הסולם&gt; - הקדמות</t>
  </si>
  <si>
    <t>זהר &lt;פירוש הסולם&gt; - 21 כר'</t>
  </si>
  <si>
    <t>תש"ה - תשי"ח</t>
  </si>
  <si>
    <t>זהר &lt;אמ"ד תע"ה&gt; - 4 כר'</t>
  </si>
  <si>
    <t>זהר. אמסטרדם. תע"ה.</t>
  </si>
  <si>
    <t>זהר &lt;מנטובה&gt; - 3 כר'</t>
  </si>
  <si>
    <t>זוהר. שי"ח. מנטובה</t>
  </si>
  <si>
    <t>שי"ח - ש"כ</t>
  </si>
  <si>
    <t>זהר &lt;קושטא&gt; - 2 כר'</t>
  </si>
  <si>
    <t>תצ"ו</t>
  </si>
  <si>
    <t>זהר &lt;קרימונה שי"ט&gt;</t>
  </si>
  <si>
    <t>זוהר. שי"ט. קרמונה</t>
  </si>
  <si>
    <t>שי"ט - ש"כ</t>
  </si>
  <si>
    <t>קרמונה Cremona</t>
  </si>
  <si>
    <t>זהר &lt;קרימונה&gt; - 3 כר'</t>
  </si>
  <si>
    <t>זהר &lt;מקדש מלך, קהלת יעקב&gt; - 4 כר'</t>
  </si>
  <si>
    <t>זוהר. תר"ם. פרמישלה</t>
  </si>
  <si>
    <t>זהר &lt;אזמיר&gt; - 4 כר'</t>
  </si>
  <si>
    <t>זוהר. תרכ"ב. אזמיר</t>
  </si>
  <si>
    <t>אזמיר</t>
  </si>
  <si>
    <t>זהר &lt;ליוורנו&gt; - א (בראשית)</t>
  </si>
  <si>
    <t>זוהר. תרל"ב. ליוורנו</t>
  </si>
  <si>
    <t>זהר &lt;הרמ"ז, מקדש מלך והדרת מלך&gt; - 5 כר'</t>
  </si>
  <si>
    <t>תרי"ח - תרי"ט</t>
  </si>
  <si>
    <t>זהר הרמב"ם</t>
  </si>
  <si>
    <t>זהר הרקיע</t>
  </si>
  <si>
    <t>זהר השלם</t>
  </si>
  <si>
    <t>זוהר. תש"ו. פתח תקוה</t>
  </si>
  <si>
    <t>פתח תקוה Petah Tikv</t>
  </si>
  <si>
    <t>זהר חדש ומדרש נעלם</t>
  </si>
  <si>
    <t>זוהר. זוהר חדש. תי"ח</t>
  </si>
  <si>
    <t>Venice ונציה</t>
  </si>
  <si>
    <t>זהר חדש - 2 כר'</t>
  </si>
  <si>
    <t>זהר חדש</t>
  </si>
  <si>
    <t>זוהר. זוהר חדש. שנ"ז</t>
  </si>
  <si>
    <t>זוהר. זוהר חדש. ת"ק</t>
  </si>
  <si>
    <t>זוהר. זוהר חדש. תס"א</t>
  </si>
  <si>
    <t>זוהר. זוהר חדש. תר"ל</t>
  </si>
  <si>
    <t>זוהר. זוהר חדש. תרמ"ה</t>
  </si>
  <si>
    <t>זוהר. זוהר חדש. תרע"א</t>
  </si>
  <si>
    <t>זוהר. זוהר חדש. תשי"ג</t>
  </si>
  <si>
    <t>זהר חי - 3 כר'</t>
  </si>
  <si>
    <t>זהר על התורה - 5 כר'</t>
  </si>
  <si>
    <t>זוהר. ת"ש. ג'רבה</t>
  </si>
  <si>
    <t>ת"ש - תש"ח</t>
  </si>
  <si>
    <t>זהר על התורה - 6 כר'</t>
  </si>
  <si>
    <t>זוהר. תרל"ז. ליוורנו</t>
  </si>
  <si>
    <t>תרל"ז-תרמ"ח</t>
  </si>
  <si>
    <t>זהר עם פירוש דמשק אליעזר - 6 כר'</t>
  </si>
  <si>
    <t>זהר רות, מדרש אותיות דרבי עקיבא</t>
  </si>
  <si>
    <t>זהר תורה &lt;עם זיו הזהר&gt; - 7 כר'</t>
  </si>
  <si>
    <t>תרפ"ד - תר"צ</t>
  </si>
  <si>
    <t>זהר תניינא לרמח"ל &lt;עם תרגום ללשה"ק&gt;</t>
  </si>
  <si>
    <t>תשע"וד</t>
  </si>
  <si>
    <t>זהר תניינא לרמח"ל - 2 כר'</t>
  </si>
  <si>
    <t>זהר - 2 כר'</t>
  </si>
  <si>
    <t>זוהר. תצ"ו. קושטא</t>
  </si>
  <si>
    <t>תצ"ו - תצ"ז</t>
  </si>
  <si>
    <t>זהר - שמות</t>
  </si>
  <si>
    <t>זוהר. תרי"א. צ'רנוביץ</t>
  </si>
  <si>
    <t>זהר - 3 כר'</t>
  </si>
  <si>
    <t>זוהר. תרכ"ג. זיטומיר</t>
  </si>
  <si>
    <t>זוהר. תרנ"ה. וילנה</t>
  </si>
  <si>
    <t>זהרי הש"ס - 2 כר'</t>
  </si>
  <si>
    <t>אינדעך, יהודה לייב</t>
  </si>
  <si>
    <t>זהרי זהר</t>
  </si>
  <si>
    <t>נייהויזן, חיים שמעון בן משה יהושע</t>
  </si>
  <si>
    <t>זהרי חמה - 2 כר'</t>
  </si>
  <si>
    <t>צינגר, יצחק בן נחמן צבי</t>
  </si>
  <si>
    <t>זהרי חמה</t>
  </si>
  <si>
    <t>קקון, דוד בן יוסף</t>
  </si>
  <si>
    <t>שטוקהמר, שמואל אבישי</t>
  </si>
  <si>
    <t>זהרי חמה - תולדות רבי זונדל קרויזר</t>
  </si>
  <si>
    <t>שניידער, משה חיים הכהן</t>
  </si>
  <si>
    <t>זהרי חן</t>
  </si>
  <si>
    <t>זו הקינה על מאה ועשרים אלפים קדושים במדינות רוסיא</t>
  </si>
  <si>
    <t>מרדכי בן נפתלי הירש</t>
  </si>
  <si>
    <t>זובח תודה</t>
  </si>
  <si>
    <t>אצבאן, מרדכי בן יצחק</t>
  </si>
  <si>
    <t>שלוניקי</t>
  </si>
  <si>
    <t>זוג המלים בתנ"ך</t>
  </si>
  <si>
    <t>זוג מקודש</t>
  </si>
  <si>
    <t>קימן, זאב הלוי</t>
  </si>
  <si>
    <t>זוג משמים</t>
  </si>
  <si>
    <t>זוהי דרך ישרה</t>
  </si>
  <si>
    <t>קאזיס, לוליאני שלום בן שמואל</t>
  </si>
  <si>
    <t>זוהר דעת</t>
  </si>
  <si>
    <t>זוהר הגאולה</t>
  </si>
  <si>
    <t>זהר (ליקוטים)</t>
  </si>
  <si>
    <t>זוהר הלבנה</t>
  </si>
  <si>
    <t>פרנקל, דוד יחזקאל</t>
  </si>
  <si>
    <t>Chernovtsy צ'רנוביץ</t>
  </si>
  <si>
    <t>זוהר הרקיע - 3 כר'</t>
  </si>
  <si>
    <t>זוהר הרקיע</t>
  </si>
  <si>
    <t>זוהר הרקיע - 2 כר'</t>
  </si>
  <si>
    <t>צמח, יעקב בן חיים</t>
  </si>
  <si>
    <t>זוהר השמש</t>
  </si>
  <si>
    <t>זוהר חדש ומדרש נעלם</t>
  </si>
  <si>
    <t>זוהר חדש</t>
  </si>
  <si>
    <t>זוהר. זוהר חדש. שס"ג</t>
  </si>
  <si>
    <t>זוהר סבא דמשפטים עם פירוש מתוק לנפש</t>
  </si>
  <si>
    <t>זוהר על התהלים - 2 כר'</t>
  </si>
  <si>
    <t>זוהר רמח"ל</t>
  </si>
  <si>
    <t>זוהר תורה</t>
  </si>
  <si>
    <t>זוהרי תורה</t>
  </si>
  <si>
    <t>אבלס, שמחה בן משה יהודה</t>
  </si>
  <si>
    <t>זוודין לאורחא ותיקון הנפש</t>
  </si>
  <si>
    <t>שווארץ, משה בן עזריאל</t>
  </si>
  <si>
    <t>זווהיל</t>
  </si>
  <si>
    <t>זוטו של ים</t>
  </si>
  <si>
    <t>לייטר, משה בן יחיאל מיכל</t>
  </si>
  <si>
    <t>זוטו של נהר</t>
  </si>
  <si>
    <t>זוכר ברית אבות - מנהגי אבותינו שבמרוקו</t>
  </si>
  <si>
    <t>זוכר הברית</t>
  </si>
  <si>
    <t>גרינוואלד, אשר אנשיל בן מאיר</t>
  </si>
  <si>
    <t>הלכה ומנהג, נושאים שונים, תנ"ך, תפלות בקשות פיוטים ושירה</t>
  </si>
  <si>
    <t>זוכרי קדושתיך</t>
  </si>
  <si>
    <t>טברסקי, יעקב יוסף (עליו)</t>
  </si>
  <si>
    <t>זולתות בין פסח לשבועת</t>
  </si>
  <si>
    <t>טנהאוזן Thannhausen</t>
  </si>
  <si>
    <t>זורע צדקות</t>
  </si>
  <si>
    <t>הלכה ומנהג, קבלה, שאלות ותשובות, שלחן ערוך ומפרשיו</t>
  </si>
  <si>
    <t>זי"ת רענן</t>
  </si>
  <si>
    <t>תאומים, נחום צבי (זיידה) בן אברהם</t>
  </si>
  <si>
    <t>זיבולא בתרייתא - 2 כר'</t>
  </si>
  <si>
    <t>ברגמן, משה בן אליעזר</t>
  </si>
  <si>
    <t>זיו אבות - 2 כר'</t>
  </si>
  <si>
    <t>וויס, פנחס זליג בן זאב יהודה</t>
  </si>
  <si>
    <t>זיו החכמה</t>
  </si>
  <si>
    <t>זיו הים &lt;המעיר&gt; - 3 כר'</t>
  </si>
  <si>
    <t>דייטש, משה יצחק בן יהושע זאב</t>
  </si>
  <si>
    <t>זיו הים - בבא קמא</t>
  </si>
  <si>
    <t>זיו הלבנון</t>
  </si>
  <si>
    <t>נוסנבוים, זאב וולף בן דוד</t>
  </si>
  <si>
    <t>זיו המועדים - 9 כר'</t>
  </si>
  <si>
    <t>וועטטעשטיין, יוסף זאב</t>
  </si>
  <si>
    <t>זיו המנהגים</t>
  </si>
  <si>
    <t>זינגר, יהודה דוב</t>
  </si>
  <si>
    <t>זיו המצוות</t>
  </si>
  <si>
    <t>זיו המצות</t>
  </si>
  <si>
    <t>זיו השבת</t>
  </si>
  <si>
    <t>זיו השמש</t>
  </si>
  <si>
    <t>טנין, שמשון בן משה</t>
  </si>
  <si>
    <t>זיו התורה - 2 כר'</t>
  </si>
  <si>
    <t>זיו משנה - 2 כר'</t>
  </si>
  <si>
    <t>טורבוביץ, זאב וולף בן אהרן יהושע</t>
  </si>
  <si>
    <t>זיו ציון</t>
  </si>
  <si>
    <t>זיו קידושין</t>
  </si>
  <si>
    <t>הגר, זאב וולף</t>
  </si>
  <si>
    <t>זיוא דאורייתא</t>
  </si>
  <si>
    <t>דייויס, פסח יום טוב</t>
  </si>
  <si>
    <t>זיווג הגון</t>
  </si>
  <si>
    <t>זיווג משמים</t>
  </si>
  <si>
    <t>וקסברגר, בנימין</t>
  </si>
  <si>
    <t>חלמיש, יצחק בן ישעיהו</t>
  </si>
  <si>
    <t>זיז שדי &lt;מהדורה חדשה&gt;</t>
  </si>
  <si>
    <t>יהודה ליב בן אהרן שמואל</t>
  </si>
  <si>
    <t>זיז שדי</t>
  </si>
  <si>
    <t>זיכוי הרבים - 6 כר'</t>
  </si>
  <si>
    <t>זיכרון בספר</t>
  </si>
  <si>
    <t>אסף, ידידיה - כהן, נתן - פרבשטין, אסתר</t>
  </si>
  <si>
    <t>זיכרון יהושע</t>
  </si>
  <si>
    <t>האיתן, יהושע בן יצחק מאיר (לזכרו)</t>
  </si>
  <si>
    <t>זימון כהלכה</t>
  </si>
  <si>
    <t>זיקוקין דנורא וביעורין דאשא - 2 כר'</t>
  </si>
  <si>
    <t>תנא דבי אליהו. תרנ"ז</t>
  </si>
  <si>
    <t>זיקי אור</t>
  </si>
  <si>
    <t>וייס, יצחק בן בנימין זאב</t>
  </si>
  <si>
    <t>זיקנה ובחרות</t>
  </si>
  <si>
    <t>זיר זהב</t>
  </si>
  <si>
    <t>זיר יצחק</t>
  </si>
  <si>
    <t>יוסף זונדל בן יצחק</t>
  </si>
  <si>
    <t>זית רענן - 2 כר'</t>
  </si>
  <si>
    <t>אברהם אבלי בן חיים הלוי גומבינר</t>
  </si>
  <si>
    <t>זית רענן - 4 כר'</t>
  </si>
  <si>
    <t>זילברברג, משה יהודה ליב יהושע בן בנימין</t>
  </si>
  <si>
    <t>זית רענן</t>
  </si>
  <si>
    <t>זיתון, ישראל</t>
  </si>
  <si>
    <t>לזכר הבחור רענן יצחק יומטוב ז"ל</t>
  </si>
  <si>
    <t>זית רענן - ענייני חנוכה</t>
  </si>
  <si>
    <t>זך ונקי - ב</t>
  </si>
  <si>
    <t>ועד רבני זק"א</t>
  </si>
  <si>
    <t>זך יאיר</t>
  </si>
  <si>
    <t>ליפשיץ, אברהם הלוי</t>
  </si>
  <si>
    <t>זכו</t>
  </si>
  <si>
    <t>דיאמנט, נחום</t>
  </si>
  <si>
    <t>זכור אהבת קדומים</t>
  </si>
  <si>
    <t>זכור את בוראך</t>
  </si>
  <si>
    <t>זכור את היום אשר יצאתם ממצרים</t>
  </si>
  <si>
    <t>כהן, שאול נ.</t>
  </si>
  <si>
    <t>זכור ברית אברהם</t>
  </si>
  <si>
    <t>זכור ברית</t>
  </si>
  <si>
    <t>זכור דבר לעבדך</t>
  </si>
  <si>
    <t>לחמי, עזרא בן שלום</t>
  </si>
  <si>
    <t>זכור הנאקות ורעש הצעקות</t>
  </si>
  <si>
    <t>מאיר, מרדכי</t>
  </si>
  <si>
    <t>זכור ואל תשכח</t>
  </si>
  <si>
    <t>טסלר, ירמיה בן חיים אלטר</t>
  </si>
  <si>
    <t>זכור ושמור (זמירות שבת)</t>
  </si>
  <si>
    <t>זכור ושמור - 2 כר'</t>
  </si>
  <si>
    <t>יונגרייז, אשר אנשל בן משה נתן נטע הלוי</t>
  </si>
  <si>
    <t>זכור זאת ליעקב [כהן]</t>
  </si>
  <si>
    <t>זכור זאת ליעקב</t>
  </si>
  <si>
    <t>זכור ימות עולם - 4 כר'</t>
  </si>
  <si>
    <t>יעקובוביץ, בן ציון בן משולם שרגא</t>
  </si>
  <si>
    <t>זכור לאברהם &lt;אוצר שרידי תימן&gt;</t>
  </si>
  <si>
    <t>אלנדאף, אברהם בן חיים</t>
  </si>
  <si>
    <t>זכור לאברהם &lt;לר' אברהם צבי ווייס&gt;</t>
  </si>
  <si>
    <t>זכור לאברהם</t>
  </si>
  <si>
    <t>זכור לאברהם &lt;תכלאל שאמי&gt; - 7 כר'</t>
  </si>
  <si>
    <t>מחפוד, שגיב בן אבנר (עורך)</t>
  </si>
  <si>
    <t>זכור לאברהם &lt;לר' אברהם אלמאליח&gt;</t>
  </si>
  <si>
    <t>זכור לאברהם &lt;לר' אברהם יפהן&gt;</t>
  </si>
  <si>
    <t>מחשבה ומוסר, קבצים וכתבי עת, ספרי זכרון ויובל, תולדות עם ישראל</t>
  </si>
  <si>
    <t>אברהם בן אביגדור</t>
  </si>
  <si>
    <t>זכור לאברהם - 8 כר'</t>
  </si>
  <si>
    <t>אלקלעי, אברהם בן שמואל</t>
  </si>
  <si>
    <t>זכור לאברהם - 2 כר'</t>
  </si>
  <si>
    <t>דהן, יוסף בן מרדכי</t>
  </si>
  <si>
    <t>ווייס, אברהם אביש בן יעקב יוסף</t>
  </si>
  <si>
    <t>זוסמאן, אברהם בן יוסף</t>
  </si>
  <si>
    <t>לבנון, אברהם צבי</t>
  </si>
  <si>
    <t>לזכרו של רבי אברהם טרגר</t>
  </si>
  <si>
    <t>סופר, אברהם שמואל בנימין בן עקיבא</t>
  </si>
  <si>
    <t>הלכה ומנהג, נושאים שונים, קבצים וכתבי עת, ספרי זכרון ויובל, תולדות עם ישראל</t>
  </si>
  <si>
    <t>קובץ זכרון תורני</t>
  </si>
  <si>
    <t>זכור לאברהם - 14 כר'</t>
  </si>
  <si>
    <t>קורלנדר, אברהם</t>
  </si>
  <si>
    <t>זכור לאברהם - 4 כר'</t>
  </si>
  <si>
    <t>רוזנפלד, שמשון</t>
  </si>
  <si>
    <t>שניאור, יעקב בן אברהם</t>
  </si>
  <si>
    <t>זכור לאברהם - 3 כר'</t>
  </si>
  <si>
    <t>תפילות. מחזור. ליוורנו</t>
  </si>
  <si>
    <t>Livorno ליוורנו</t>
  </si>
  <si>
    <t>תפילות. מחזור. תרפ"ו. ליוורנו</t>
  </si>
  <si>
    <t>זכור לדוד - תורה ומועדים</t>
  </si>
  <si>
    <t>בצלאל, משה אריאל</t>
  </si>
  <si>
    <t>זכור לדוד - 4 כר'</t>
  </si>
  <si>
    <t>ולס, זכריה דוד בן יהושע הלוי</t>
  </si>
  <si>
    <t>זכור לדוד - הוריות</t>
  </si>
  <si>
    <t>זכור ליצחק - ד</t>
  </si>
  <si>
    <t>זכור ליצחק</t>
  </si>
  <si>
    <t>הררי, יצחק בן משה</t>
  </si>
  <si>
    <t>זכור למרים - 3 כר'</t>
  </si>
  <si>
    <t>זכור לקדשו</t>
  </si>
  <si>
    <t>לאבין, אברהם יהודה יקותיאל בן אהרן מאיר</t>
  </si>
  <si>
    <t>זכור - 13 כר'</t>
  </si>
  <si>
    <t>אגודת זכור בישראל</t>
  </si>
  <si>
    <t>זכור</t>
  </si>
  <si>
    <t>ורדיגר, חיה</t>
  </si>
  <si>
    <t>פורטמן (בן פורת), משה בן נחמיה</t>
  </si>
  <si>
    <t>זכות אבות &lt;מהדורה חדשה&gt;</t>
  </si>
  <si>
    <t>עטייה, יצחק בן ישעיה</t>
  </si>
  <si>
    <t>זכות אבות</t>
  </si>
  <si>
    <t>זכות אבות - א</t>
  </si>
  <si>
    <t>ברודר, חיים יצחק מאיר בן דוד</t>
  </si>
  <si>
    <t>תרפ"ב - תר"צ</t>
  </si>
  <si>
    <t>גיביאנסקי, יוסף בן יעקב</t>
  </si>
  <si>
    <t>האגר, גרשון</t>
  </si>
  <si>
    <t>זכות אבות - 9 כר'</t>
  </si>
  <si>
    <t>מוסדות ס. פאולא</t>
  </si>
  <si>
    <t>פינצי, יעקב</t>
  </si>
  <si>
    <t>קורייאט, אברהם רפאל בן יהודה</t>
  </si>
  <si>
    <t>דרושים, נושאים שונים, שאלות ותשובות, תנ"ך</t>
  </si>
  <si>
    <t>קלירס, משה בן מאיר</t>
  </si>
  <si>
    <t>שימון, יצחק אהרן</t>
  </si>
  <si>
    <t>זכות אליהו</t>
  </si>
  <si>
    <t>זכות הדן</t>
  </si>
  <si>
    <t>ששון, ישראל בן נסים</t>
  </si>
  <si>
    <t>זכות הרבים &lt;כף זכות&gt;</t>
  </si>
  <si>
    <t>זכות וזכר</t>
  </si>
  <si>
    <t>דודזון, מנחם מנדל</t>
  </si>
  <si>
    <t>זכות יהונתן - על ספר אוצרות חיים</t>
  </si>
  <si>
    <t>חן, יהונתן - זרד, יצחק</t>
  </si>
  <si>
    <t>זכות יוסף</t>
  </si>
  <si>
    <t>בוכריץ, יוסף - בוכריץ, כמוס - חדאד, רפאל - כהן, שלום</t>
  </si>
  <si>
    <t>דרושים, נושאים שונים, שלחן ערוך ומפרשיו, תלמוד בבלי</t>
  </si>
  <si>
    <t>זכות יצחק - 4 כר'</t>
  </si>
  <si>
    <t>תרפ"ח-תשכ"ד</t>
  </si>
  <si>
    <t>זכות יצחק - 2 כר'</t>
  </si>
  <si>
    <t>זכות ישראל &lt;מהדורה חדשה&gt; - 2 כר'</t>
  </si>
  <si>
    <t>ברגר, ישראל בן יצחק שמחה</t>
  </si>
  <si>
    <t>זכות ישראל &lt;עשר עטרות&gt;</t>
  </si>
  <si>
    <t>זכות ישראל &lt;עשר צחצחות&gt;</t>
  </si>
  <si>
    <t>זכות ישראל &lt;עשר קדושות&gt;</t>
  </si>
  <si>
    <t>זכות ישראל מהדורא תנינא</t>
  </si>
  <si>
    <t>זכות לאהרן</t>
  </si>
  <si>
    <t>לזכר רבי אהרן ועקנין</t>
  </si>
  <si>
    <t>זכות משה &lt;מהדורה חדשה&gt;</t>
  </si>
  <si>
    <t>זכות משה</t>
  </si>
  <si>
    <t>זכותא דאברהם</t>
  </si>
  <si>
    <t>ורדיגר, יעקב בן ישראל חנוך</t>
  </si>
  <si>
    <t>זכותא דאברהם - 2 כר'</t>
  </si>
  <si>
    <t>דרושים, חסידות, נושאים שונים</t>
  </si>
  <si>
    <t>רבינוביץ, אריה מרדכי בן יעקב אהרן</t>
  </si>
  <si>
    <t>זכותא דיעקב</t>
  </si>
  <si>
    <t>זכותא דמנחם - זכרון יעקב</t>
  </si>
  <si>
    <t>מייזליש, צבי הירש</t>
  </si>
  <si>
    <t>זכותיה דאברהם</t>
  </si>
  <si>
    <t>זכיות יוסף</t>
  </si>
  <si>
    <t>זלטופלר, יוסף ראובן הכהן</t>
  </si>
  <si>
    <t>זכירה ועניני סגולה</t>
  </si>
  <si>
    <t>זכירה לחיים - 2 כר'</t>
  </si>
  <si>
    <t>תרל"ט - תרמ"ה</t>
  </si>
  <si>
    <t>קבלה, שאר ספרי חז"ל</t>
  </si>
  <si>
    <t>זכירת השבת ושמירתה</t>
  </si>
  <si>
    <t>סטניצקי, יואל בן פרץ</t>
  </si>
  <si>
    <t>זכר אב</t>
  </si>
  <si>
    <t>לזכר ברוך אברהם לאב</t>
  </si>
  <si>
    <t>זכר אבות</t>
  </si>
  <si>
    <t>נושאים שונים, נושאים שונים, קבצים וכתבי עת, ספרי זכרון ויובל, תולדות עם ישראל, תלמוד בבלי</t>
  </si>
  <si>
    <t>זכר אברהם יצחק</t>
  </si>
  <si>
    <t>זעלמאנאוויטש, אברהם יצחק</t>
  </si>
  <si>
    <t>זכר אברהם</t>
  </si>
  <si>
    <t>איילברט, אברהם משה</t>
  </si>
  <si>
    <t>תרפ</t>
  </si>
  <si>
    <t>בארמאט, אברהם בן אשר הנזיל</t>
  </si>
  <si>
    <t>זכר אברהם - 2 כר'</t>
  </si>
  <si>
    <t>ברקוביץ, אברהם דוב בער</t>
  </si>
  <si>
    <t>קאצנלסון, אברהם בן יואל</t>
  </si>
  <si>
    <t>תרע"א - הסכ'</t>
  </si>
  <si>
    <t>זכר אריה - עטרת אריה</t>
  </si>
  <si>
    <t>שפיץ, אריה ליב בן שלום הכהן - שפיץ, שלום יוסף בן אריה ליב הכהן</t>
  </si>
  <si>
    <t>זכר בן ציון - 2 כר'</t>
  </si>
  <si>
    <t>בית מדרש אהל יוסף</t>
  </si>
  <si>
    <t>זכר בנימין</t>
  </si>
  <si>
    <t>רוטברג, בנימין זאב בן חנינא ליפא</t>
  </si>
  <si>
    <t>זכר דבר</t>
  </si>
  <si>
    <t>בנבנישתי, יהודה בן כלב</t>
  </si>
  <si>
    <t>זכר דוד</t>
  </si>
  <si>
    <t>בעער, דוד</t>
  </si>
  <si>
    <t>גלאט,  דוד בן ישראל יוסף</t>
  </si>
  <si>
    <t>זכר דוד - 2 כר'</t>
  </si>
  <si>
    <t>מודינה, דוד זכות בן מזל טוב</t>
  </si>
  <si>
    <t>זכר החיים</t>
  </si>
  <si>
    <t>רפאפורט, חיים בן שמחה הכהן</t>
  </si>
  <si>
    <t>זכר זאת ליעקב - 3 כר'</t>
  </si>
  <si>
    <t>הלכה ומנהג, נושאים שונים, תולדות עם ישראל, תנ"ך</t>
  </si>
  <si>
    <t>זכר חיים - 2 כר'</t>
  </si>
  <si>
    <t>הגר, חיים יהודה מאיר מויז'ניץ</t>
  </si>
  <si>
    <t>זכר חנוך</t>
  </si>
  <si>
    <t>ולר, חנוך</t>
  </si>
  <si>
    <t>זכר יהודה</t>
  </si>
  <si>
    <t>גולדשטיין, זכריה יהודה בן יוסף</t>
  </si>
  <si>
    <t>זכר יהוסף - 5 כר'</t>
  </si>
  <si>
    <t>תרנ"ט - תרס"ב</t>
  </si>
  <si>
    <t>זכר יהושע</t>
  </si>
  <si>
    <t>זילברמן, יהושע בן שאול משה</t>
  </si>
  <si>
    <t>זכר יוסף</t>
  </si>
  <si>
    <t>קריביצקי, יוסף בן מרדכי</t>
  </si>
  <si>
    <t>זכר יעקב</t>
  </si>
  <si>
    <t>גפן, יעקב ברוך</t>
  </si>
  <si>
    <t>זכר יעקב - 3 כר'</t>
  </si>
  <si>
    <t>כולל אהל יעקב</t>
  </si>
  <si>
    <t>לוי, יעקב</t>
  </si>
  <si>
    <t>זכר יצחק &lt;הוכברגר&gt;</t>
  </si>
  <si>
    <t>זכר יצחק - נדרים ושבועות</t>
  </si>
  <si>
    <t>זכר יצחק</t>
  </si>
  <si>
    <t>רבינוביץ, יצחק יעקב בן שמואל ליב -</t>
  </si>
  <si>
    <t>זכר ישעיהו - א ב</t>
  </si>
  <si>
    <t>הלכה ומנהג, שאלות ותשובות, שאר ספרי חז"ל, תלמוד בבלי</t>
  </si>
  <si>
    <t>זכר לאברהם אליעזר</t>
  </si>
  <si>
    <t>ווג, אברהם אליעזר בן חיים</t>
  </si>
  <si>
    <t>זכר לאברהם - 15 כר'</t>
  </si>
  <si>
    <t>זכר לב אברהם</t>
  </si>
  <si>
    <t>זכריש, ישראל מאיר בן אברהם</t>
  </si>
  <si>
    <t>זכר לדוד</t>
  </si>
  <si>
    <t>קלמנוביץ, יעקב</t>
  </si>
  <si>
    <t>זכר לחגיגה</t>
  </si>
  <si>
    <t>ריינהולד, חיים משה בן מרדכי צבי</t>
  </si>
  <si>
    <t>זכר לחיים - 9 כר'</t>
  </si>
  <si>
    <t>כהנא, יצחק מרדכי בן ברוך ישעיה</t>
  </si>
  <si>
    <t>זכר לחיים - ב</t>
  </si>
  <si>
    <t>סויסה, מיכאל בן יחיאל</t>
  </si>
  <si>
    <t>זכר ליעקב על הש"ס</t>
  </si>
  <si>
    <t>פרידמאן, יעקב אריה בן שמואל</t>
  </si>
  <si>
    <t>זכר למקדש כהלל</t>
  </si>
  <si>
    <t>רובינסון, גרשון</t>
  </si>
  <si>
    <t>זכר למקדש</t>
  </si>
  <si>
    <t>זכר מנחם</t>
  </si>
  <si>
    <t>געללעי, זכריה</t>
  </si>
  <si>
    <t>זכר מרדכי  - תשובות הגר"י</t>
  </si>
  <si>
    <t>פיינשטיין, מרדכי - קנטרוביץ, יעקב - פיינשטין, משה</t>
  </si>
  <si>
    <t>זכר משה</t>
  </si>
  <si>
    <t>זכר נחמיה - פירוש ברכת המזון</t>
  </si>
  <si>
    <t>זכר נפתלי</t>
  </si>
  <si>
    <t>טפלי, נפתלי בן ישעיהו יהודה</t>
  </si>
  <si>
    <t>הלכה ומנהג, מחשבה ומוסר, נושאים שונים, שלחן ערוך ומפרשיו</t>
  </si>
  <si>
    <t>זכר נתן</t>
  </si>
  <si>
    <t>הלכה ומנהג, נושאים שונים, קבצים וכתבי עת, ספרי זכרון ויובל, קבצים וכתבי עת, ספרי זכרון ויובל</t>
  </si>
  <si>
    <t>שפיגלגלאס, נתן</t>
  </si>
  <si>
    <t>זכר עשה ליראה</t>
  </si>
  <si>
    <t>לקט דברי הספד</t>
  </si>
  <si>
    <t>זכר עשה - יזכור לעולם</t>
  </si>
  <si>
    <t>אוהב ציון, אברהם יקותיאל בן מרדכי</t>
  </si>
  <si>
    <t>זכר עשה</t>
  </si>
  <si>
    <t>בן מיימון, שרון משה</t>
  </si>
  <si>
    <t>זכר עשות</t>
  </si>
  <si>
    <t>ארגואיטי, יעקב</t>
  </si>
  <si>
    <t>זכר צבי - תחום שבת ומדידתו</t>
  </si>
  <si>
    <t>בלייכר, מיכאל שמואל</t>
  </si>
  <si>
    <t>זכר צדיק &lt;מהדורה חדשה&gt; קונטרס תורת חסד</t>
  </si>
  <si>
    <t>כ"ץ, רפאל בן יקותיאל זיסקינד הכהן - ציילברגר, בנימין בן יהודה</t>
  </si>
  <si>
    <t>זכר צדיק יסוד עולם</t>
  </si>
  <si>
    <t>כהן, אלעזר בן זאב וולף</t>
  </si>
  <si>
    <t>זכר צדיק לברכה</t>
  </si>
  <si>
    <t>שטמר, שלום</t>
  </si>
  <si>
    <t>תלמידי רבינו מדז'יקוב</t>
  </si>
  <si>
    <t>זכר צדיק</t>
  </si>
  <si>
    <t>הספדים ודברי זכרון</t>
  </si>
  <si>
    <t>זכר צדיק - 2 כר'</t>
  </si>
  <si>
    <t>פרלוב, אהרן בן ברוך מרדכי</t>
  </si>
  <si>
    <t>זכר צדיקים</t>
  </si>
  <si>
    <t>סולטאנסקי, מרדכי בן יוסף</t>
  </si>
  <si>
    <t>זכר ראובן</t>
  </si>
  <si>
    <t>לזכרו של רבי ראובן נדל</t>
  </si>
  <si>
    <t>זכר רב - 3 כר'</t>
  </si>
  <si>
    <t>מוסאפיה, בנימין בן עמנואל</t>
  </si>
  <si>
    <t>זכר רב</t>
  </si>
  <si>
    <t>זכר שלמה</t>
  </si>
  <si>
    <t>זינגרביץ, שלמה חנוך</t>
  </si>
  <si>
    <t>דרושים, מועדי ישראל, נושאים שונים, תלמוד בבלי</t>
  </si>
  <si>
    <t>ספר זכרון לרבי שלמה זלמן גולדשטוף</t>
  </si>
  <si>
    <t>זכר שמואל - 7 כר'</t>
  </si>
  <si>
    <t>גריינימן, שמואל בן מאיר</t>
  </si>
  <si>
    <t>זכר שמחה</t>
  </si>
  <si>
    <t>באמברגר, שמחה בן יצחק דוב הלוי</t>
  </si>
  <si>
    <t>זכר שמעון</t>
  </si>
  <si>
    <t>לוריא, שמעון משולם זושא</t>
  </si>
  <si>
    <t>זכרו ברוך</t>
  </si>
  <si>
    <t>אסקל, ברוך בן יהודה</t>
  </si>
  <si>
    <t>זכרו לעולם בריתו - 3 כר'</t>
  </si>
  <si>
    <t>זכרו תורת משה &lt;עם משאת שבת&gt;</t>
  </si>
  <si>
    <t>דאנציג, אברהם בן יחיאל - מיכלזאטורנסקי, משה שלמה זלמן בן אליהו דוד הלוי</t>
  </si>
  <si>
    <t>זכרו תורת משה &lt;מהדורה חדשה&gt;</t>
  </si>
  <si>
    <t>זכרו תורת משה &lt;עם קהלת יום טוב&gt; - 2 כר'</t>
  </si>
  <si>
    <t>זכרו תורת משה &lt;קיצור ספר חרדים בסופו&gt;</t>
  </si>
  <si>
    <t>זכרו תורת משה &lt;קובץ תורני&gt; - א</t>
  </si>
  <si>
    <t>זכרו תורת משה עבדי</t>
  </si>
  <si>
    <t>זכרו תורת משה - 8 כר'</t>
  </si>
  <si>
    <t>[תר"ד],</t>
  </si>
  <si>
    <t>זכרו תורת משה - 6 כר'</t>
  </si>
  <si>
    <t>מרכז מוסדות לעלוב</t>
  </si>
  <si>
    <t>זכרו תורת משה</t>
  </si>
  <si>
    <t>זכרון אב ואם</t>
  </si>
  <si>
    <t>זכרון אב</t>
  </si>
  <si>
    <t>גרינוואלד, יקותיאל יהודה בן משה</t>
  </si>
  <si>
    <t>זכרון אבות</t>
  </si>
  <si>
    <t>גויטין, ברוך בענדיט</t>
  </si>
  <si>
    <t>דרושים, נושאים שונים, שאלות ותשובות, תלמוד בבלי</t>
  </si>
  <si>
    <t>סג"ל לעפפלער</t>
  </si>
  <si>
    <t>זכרון אביר</t>
  </si>
  <si>
    <t>רבינוביץ, אריה בן יצחק</t>
  </si>
  <si>
    <t>זכרון אברהם אבא</t>
  </si>
  <si>
    <t>זכרון אברהם דוב</t>
  </si>
  <si>
    <t>אפרתי, אברהם דב בן זאב</t>
  </si>
  <si>
    <t>משנה, שאלות ותשובות, שלחן ערוך ומפרשיו, תלמוד בבלי, תלמוד בבלי, תלמוד ירושלמי, תנ"ך</t>
  </si>
  <si>
    <t>זכרון אברהם השלם</t>
  </si>
  <si>
    <t>זכרון אברהם משה</t>
  </si>
  <si>
    <t>זכרון אברהם</t>
  </si>
  <si>
    <t>אברהם הלוי מארלע</t>
  </si>
  <si>
    <t>בינג, אברהם בן אנוש הלוי</t>
  </si>
  <si>
    <t>שלחן ערוך ומפרשיו, תולדות עם ישראל</t>
  </si>
  <si>
    <t>כהן, אברהם אבלי בן מאיר</t>
  </si>
  <si>
    <t>זכרון אברהם - סוכה</t>
  </si>
  <si>
    <t>לאיוש וויס, אברהם</t>
  </si>
  <si>
    <t>פייאר, אברהם בן שלמה מאיר</t>
  </si>
  <si>
    <t>פרידמאן, אברהם יהושע בן שמואל</t>
  </si>
  <si>
    <t>זכרון אהרן</t>
  </si>
  <si>
    <t>הורליק, ירמיהו בן חנא</t>
  </si>
  <si>
    <t>זכרון אהרן - 2 כר'</t>
  </si>
  <si>
    <t>כהן, אהרן בן צבי</t>
  </si>
  <si>
    <t>לוו, אלעזר בן אריה ליב</t>
  </si>
  <si>
    <t>סידערסקי, אהרן בן יהושע</t>
  </si>
  <si>
    <t>פוריש, אהרן בן בנימין</t>
  </si>
  <si>
    <t>רוגוב, אהרן</t>
  </si>
  <si>
    <t>זכרון אי"ש</t>
  </si>
  <si>
    <t>זכרון איש</t>
  </si>
  <si>
    <t>ספר זכרון לר' אברהם יוסף שפירא</t>
  </si>
  <si>
    <t>ספר זכרון לר' אריה יוסף שינפלד</t>
  </si>
  <si>
    <t>שויבר, אברהם יחזקאל</t>
  </si>
  <si>
    <t>דרושים, הלכה ומנהג, קבצים וכתבי עת, ספרי זכרון ויובל, תלמוד בבלי</t>
  </si>
  <si>
    <t>זכרון אלחנן</t>
  </si>
  <si>
    <t>תר"ף-תרפ"א</t>
  </si>
  <si>
    <t>זכרון אליהו משה</t>
  </si>
  <si>
    <t>קובץ זכרון ע"ש ר' אליהו משה גראס</t>
  </si>
  <si>
    <t>זכרון אליהו</t>
  </si>
  <si>
    <t>אייכנשטיין, אליהו בן יצחק איזיק</t>
  </si>
  <si>
    <t>אליהו בן שלמה זלמן (הגר"א) (עליו)</t>
  </si>
  <si>
    <t>בלוך, אליהו מאיר</t>
  </si>
  <si>
    <t>דיין, אליהו בן נסים</t>
  </si>
  <si>
    <t>טויבס, אליהו יצחק בן נפתלי</t>
  </si>
  <si>
    <t>זכרון אליהו - 2 כר'</t>
  </si>
  <si>
    <t>כולל זכרון אליהו</t>
  </si>
  <si>
    <t>זכרון אלימלך - כל הקונטרסים</t>
  </si>
  <si>
    <t>זינגר, יצחק אלימלך בן משה חיים הכהן</t>
  </si>
  <si>
    <t>זכרון אלימלך - בבא מציעא פ"ב</t>
  </si>
  <si>
    <t>צלר, יוסף</t>
  </si>
  <si>
    <t>זכרון אליעזר</t>
  </si>
  <si>
    <t>ברגר, אליעזר בן מרדכי</t>
  </si>
  <si>
    <t>וואלף, אליעזר אברהם בן משה</t>
  </si>
  <si>
    <t>ישיבת בית התלמוד</t>
  </si>
  <si>
    <t>זכרון אלעזר</t>
  </si>
  <si>
    <t>ישיבת בין הזמנים פקודת אלעזר</t>
  </si>
  <si>
    <t>לאנדא, אלעזר בן יהודה הלוי</t>
  </si>
  <si>
    <t>דרושים, משנה, תולדות עם ישראל, תלמוד ירושלמי</t>
  </si>
  <si>
    <t>לעוו, אלעזר</t>
  </si>
  <si>
    <t>רובין, אלעזר בן יעקב יוסף</t>
  </si>
  <si>
    <t>זכרון אפרים - ערכין</t>
  </si>
  <si>
    <t>ברונר, אלחנן</t>
  </si>
  <si>
    <t>זכרון אפרים - רבבות אפרים</t>
  </si>
  <si>
    <t>גרינבלט, אפרים בן אברהם ברוך - אלמקייס, מרדכי</t>
  </si>
  <si>
    <t>זכרון אפרים</t>
  </si>
  <si>
    <t>לזכר רבי אפרים סטרול</t>
  </si>
  <si>
    <t>סופר, ישראל מרדכי אפרים פישל בן זוסמאן אליעזר</t>
  </si>
  <si>
    <t>קוניטופסקי, אפרים בן שמעון</t>
  </si>
  <si>
    <t>זכרון ארבע</t>
  </si>
  <si>
    <t>זכרון אשר</t>
  </si>
  <si>
    <t>הספדים על הר"ר אשר טננבוים זצ"ל</t>
  </si>
  <si>
    <t>ריוח, מסעוד</t>
  </si>
  <si>
    <t>זכרון בירושלים</t>
  </si>
  <si>
    <t>פולייאשטרו, יהודה</t>
  </si>
  <si>
    <t>זכרון בית יהודה</t>
  </si>
  <si>
    <t>מאלין, נחמיה בן איסר יהודה</t>
  </si>
  <si>
    <t>זכרון בנימין זאב - 3 כר'</t>
  </si>
  <si>
    <t>וויינגרטן, צבי בן ישראל</t>
  </si>
  <si>
    <t>זכרון בנימין זאב</t>
  </si>
  <si>
    <t>לזכר הרב בנימין זאב שטרן</t>
  </si>
  <si>
    <t>זכרון בנימין</t>
  </si>
  <si>
    <t>פרידמן, דוד בן בנימין</t>
  </si>
  <si>
    <t>זכרון בנימין - 6 כר'</t>
  </si>
  <si>
    <t>זכרון בספר ואבן ספיר</t>
  </si>
  <si>
    <t>ספירשטיין, יוסף בן מרדכי</t>
  </si>
  <si>
    <t>זכרון בספר מהמוסד עזרת תורה</t>
  </si>
  <si>
    <t>ניו יורק. עזרת תורה</t>
  </si>
  <si>
    <t>זכרון בספר</t>
  </si>
  <si>
    <t>גינצבורג, משה ראובן בן יעקב משולם</t>
  </si>
  <si>
    <t>חסידות, מחשבה ומוסר, נושאים שונים, נושאים שונים</t>
  </si>
  <si>
    <t>אטלנטה Atlanta</t>
  </si>
  <si>
    <t>זכרון בספר - 2 כר'</t>
  </si>
  <si>
    <t>ווישניאק, אליעזר אלימלך בן ישראל</t>
  </si>
  <si>
    <t>חבורת בני מחשבה טובה ב"ב</t>
  </si>
  <si>
    <t>סופר, שמחה בונם דוד</t>
  </si>
  <si>
    <t>דרושים, נושאים שונים, נושאים שונים, קבצים וכתבי עת, ספרי זכרון ויובל, תולדות עם ישראל, תלמוד בבלי</t>
  </si>
  <si>
    <t>סינגר, יהושע השל בן חנוך זונדל</t>
  </si>
  <si>
    <t>דרושים, הלכה ומנהג, משנה, תלמוד בבלי, תלמוד בבלי, תנ"ך</t>
  </si>
  <si>
    <t>ספר זכרון לר' יוסף פינסקי</t>
  </si>
  <si>
    <t>וינוגרדוב Vinogrado</t>
  </si>
  <si>
    <t>שלזינגר, מורי בן משה הכהן</t>
  </si>
  <si>
    <t>זכרון בצלאל - 2 כר'</t>
  </si>
  <si>
    <t>כהנוב, אלעזר בן אורי מאיר הכהן</t>
  </si>
  <si>
    <t>זכרון ברוך</t>
  </si>
  <si>
    <t>קובץ חידושי תורה לזכר הרב ברוך נוסבוים</t>
  </si>
  <si>
    <t>זכרון ברוריה</t>
  </si>
  <si>
    <t>זכרון ברית לראשונים - 2 כר'</t>
  </si>
  <si>
    <t>יעקב הגוזר</t>
  </si>
  <si>
    <t>זכרון ברכת יוסף</t>
  </si>
  <si>
    <t>רובין-גליקמן,יוסף ברוך (עליו)</t>
  </si>
  <si>
    <t>זכרון גבריאל [ריקליס]</t>
  </si>
  <si>
    <t>זכרון גבריאל</t>
  </si>
  <si>
    <t>זכרון גבריאל  - הלכות נדה וטבילה</t>
  </si>
  <si>
    <t>כולל זכרון גבריאל</t>
  </si>
  <si>
    <t>זכרון גרשון</t>
  </si>
  <si>
    <t>אהרמן, אברהם יוסף</t>
  </si>
  <si>
    <t>זכרון דברים למקומות העיון</t>
  </si>
  <si>
    <t>שמואל אליעזר בן יהודה הלוי (מהרש"א)</t>
  </si>
  <si>
    <t>זכרון דברים - 2 כר'</t>
  </si>
  <si>
    <t>אייכנשטיין, אלכסנדר בן יצחק איזיק</t>
  </si>
  <si>
    <t>זכרון דברים</t>
  </si>
  <si>
    <t>גלברג, מנחם בנימין בן יצחק דוד</t>
  </si>
  <si>
    <t>דרושים, חסידות, מועדי ישראל, מחשבה ומוסר, תלמוד בבלי, תנ"ך, תפלות בקשות פיוטים ושירה</t>
  </si>
  <si>
    <t>נימינסקי, פינחס אהרן בן יעקב יוסף</t>
  </si>
  <si>
    <t>סאפרין, אלכסנדר סנדר מקומרנא</t>
  </si>
  <si>
    <t>שאהן, יעקב ישעיה</t>
  </si>
  <si>
    <t>זכרון דוד</t>
  </si>
  <si>
    <t>קרויז, שמואל דוד</t>
  </si>
  <si>
    <t>רעבהון, פסח דוד</t>
  </si>
  <si>
    <t>זכרון הרב</t>
  </si>
  <si>
    <t>ישיבת רבינו יצחק אלחנן</t>
  </si>
  <si>
    <t>זכרון השלשה</t>
  </si>
  <si>
    <t>זכרון זאב</t>
  </si>
  <si>
    <t>זכרון זאת - 3 כר'</t>
  </si>
  <si>
    <t>חסידות, חסידות, תנ"ך</t>
  </si>
  <si>
    <t>זכרון זכריה</t>
  </si>
  <si>
    <t>רוזנפלד, זכריה יוסף בן משה גבריאל</t>
  </si>
  <si>
    <t>זכרון זמר</t>
  </si>
  <si>
    <t>שפיגל, יהושע פנחס בן אברהם דוד</t>
  </si>
  <si>
    <t>זכרון חי</t>
  </si>
  <si>
    <t>יברוב, צבי בן משה</t>
  </si>
  <si>
    <t>זכרון חיים שמואל - בבא בתרא</t>
  </si>
  <si>
    <t>ספר זכרון, ישיבת תורת משה</t>
  </si>
  <si>
    <t>זכרון חיים</t>
  </si>
  <si>
    <t>בכרך, חיים בן דוב בר</t>
  </si>
  <si>
    <t>חיים מקאמינסק - וולברום</t>
  </si>
  <si>
    <t>זכרון חיים - בני חיי</t>
  </si>
  <si>
    <t>שכטר, יצחק שמואל בן יעקב יוסף חיים - אלגאזי, חיים בן מנחם</t>
  </si>
  <si>
    <t>הלכה ומנהג, נושאים שונים, שאלות ותשובות, שלחן ערוך ומפרשיו</t>
  </si>
  <si>
    <t>שרייבר, חיים</t>
  </si>
  <si>
    <t>זכרון חן</t>
  </si>
  <si>
    <t>זכרון חנה פערל</t>
  </si>
  <si>
    <t>כולל ערב רמת בית שמש</t>
  </si>
  <si>
    <t>זכרון חנוך</t>
  </si>
  <si>
    <t>פייזט, חנוך בן יהושע שוואבאך סג"ל</t>
  </si>
  <si>
    <t>זכרון טוב לפניך</t>
  </si>
  <si>
    <t>ביגל, אביחי יצחק בן משה</t>
  </si>
  <si>
    <t>קדימה</t>
  </si>
  <si>
    <t>זכרון טוב - 2 כר'</t>
  </si>
  <si>
    <t>לאנדא, יצחק בן ליב</t>
  </si>
  <si>
    <t>זכרון טוב</t>
  </si>
  <si>
    <t>צורף, עזרא בן יוסף</t>
  </si>
  <si>
    <t>תרל"ד - תרמ"א</t>
  </si>
  <si>
    <t>רוזא, משה בן ראובן</t>
  </si>
  <si>
    <t>זכרון טוביה</t>
  </si>
  <si>
    <t>זכרון יא"ה</t>
  </si>
  <si>
    <t>אוסף חידו"ת מגאוני הדורות</t>
  </si>
  <si>
    <t>זכרון יהודא ויוסף</t>
  </si>
  <si>
    <t>הלוי, יוסף טוביה בן יצחק</t>
  </si>
  <si>
    <t>זכרון יהודא</t>
  </si>
  <si>
    <t>פריינדל, יהודה זינדל מרדכי בן נחמיה אריה</t>
  </si>
  <si>
    <t>זכרון יהודה &lt;מהדורה חדשה&gt;</t>
  </si>
  <si>
    <t>אייזנשטטר (א"ש), מנחם בן מאיר</t>
  </si>
  <si>
    <t>זכרון יהודה (הוחק לזכר)</t>
  </si>
  <si>
    <t>אבלסון, יהודה בן יצחק</t>
  </si>
  <si>
    <t>זכרון יהודה - 4 כר'</t>
  </si>
  <si>
    <t>זכרון יהודה - 2 כר'</t>
  </si>
  <si>
    <t>דרושים, הלכה ומנהג, נושאים שונים, תפלות בקשות פיוטים ושירה</t>
  </si>
  <si>
    <t>זכרון יהודה</t>
  </si>
  <si>
    <t>ברודא, יהודה בן נפתלי הירץ</t>
  </si>
  <si>
    <t>גרינוואלד, יהודה בן יהושע פאלק</t>
  </si>
  <si>
    <t>תרפ"ג - תרפ"ח</t>
  </si>
  <si>
    <t>יהודה בן אשר</t>
  </si>
  <si>
    <t>לאש, משה מנחם מנדיל בן נחמן יהודה</t>
  </si>
  <si>
    <t>זכרון יהודה - על רבי יהודה מדזיקוב</t>
  </si>
  <si>
    <t>קאהן, שמואל יעקב בן אברהם יצחק</t>
  </si>
  <si>
    <t>שיף, יהודה גרשון</t>
  </si>
  <si>
    <t>זכרון יהונתן - 2 כר'</t>
  </si>
  <si>
    <t>אבלמאן, יהונתן בן אברהם אבא יצחק</t>
  </si>
  <si>
    <t>זכרון יהונתן - שבת</t>
  </si>
  <si>
    <t>ישיבת חברון כנסת ישראל</t>
  </si>
  <si>
    <t>זכרון יהושיע - 3 כר'</t>
  </si>
  <si>
    <t>לזכר רבי יהושע העשיל ווייסבוים</t>
  </si>
  <si>
    <t>זכרון יהושע [ויסברוד]</t>
  </si>
  <si>
    <t>קבצים וכתבי עת, ספרי זכרון ויובל, שאלות ותשובות, תלמוד בבלי, תלמוד בבלי, תלמוד בבלי</t>
  </si>
  <si>
    <t>זכרון יהושע</t>
  </si>
  <si>
    <t>זכרון יהושע - 8 כר'</t>
  </si>
  <si>
    <t>הלוי, יהושע פאליק מנחם בן אברהם</t>
  </si>
  <si>
    <t>תר"צ - תרצ"ז</t>
  </si>
  <si>
    <t>ניסבום, יהושע</t>
  </si>
  <si>
    <t>פיינברג, יהושע בן אברהם יצחק</t>
  </si>
  <si>
    <t>פריד, יהושע השיל בן גדליה הכהן</t>
  </si>
  <si>
    <t>קרויס, אהרן מאיר</t>
  </si>
  <si>
    <t>מלבורן</t>
  </si>
  <si>
    <t>זכרון יונה - 2 כר'</t>
  </si>
  <si>
    <t>זכרון יוסף (כת"י)</t>
  </si>
  <si>
    <t>גראכוו</t>
  </si>
  <si>
    <t>זכרון יוסף הלוי</t>
  </si>
  <si>
    <t>הלוי, יוסף בן שלמה</t>
  </si>
  <si>
    <t>זכרון יוסף צבי</t>
  </si>
  <si>
    <t>זכרון יוסף שמואל</t>
  </si>
  <si>
    <t>כולל נחלת צבי</t>
  </si>
  <si>
    <t>זכרון יוסף</t>
  </si>
  <si>
    <t>אביחצרא, יוסף בן מכלוף (לזכרו)</t>
  </si>
  <si>
    <t>זכרון יוסף - א-ב</t>
  </si>
  <si>
    <t>טאראן, יוסף אהרן בן אשר יעקב</t>
  </si>
  <si>
    <t>טולידנו, שמואל בן גבריאל</t>
  </si>
  <si>
    <t>זכרון יוסף - 2 כר'</t>
  </si>
  <si>
    <t>יוסקוביץ, יוסף  בן יצחק</t>
  </si>
  <si>
    <t>הלכה ומנהג, מועדי ישראל, נושאים שונים, שאלות ותשובות, שלחן ערוך ומפרשיו, תולדות עם ישראל, תלמוד בבלי, תלמוד ירושלמי, תנ"ך</t>
  </si>
  <si>
    <t>כהן, אהרן בן יוסף</t>
  </si>
  <si>
    <t>זכרון יוסף - קובץ</t>
  </si>
  <si>
    <t>כולל אור יוסף</t>
  </si>
  <si>
    <t>זכרון יוסף - זרעים</t>
  </si>
  <si>
    <t>כולל זכרון יוסף</t>
  </si>
  <si>
    <t>זכרון יוסף - דיני ק"ש תפילה וברכות</t>
  </si>
  <si>
    <t>מאלין, יוסף שרגא</t>
  </si>
  <si>
    <t>פאק, חנוך בן אלקנה</t>
  </si>
  <si>
    <t>פרחי, יוסף בן דוד</t>
  </si>
  <si>
    <t>שטיינהארט, יוסף בן מנחם</t>
  </si>
  <si>
    <t>תקל"ג - תקל"ד</t>
  </si>
  <si>
    <t>זכרון יחזקאל ושמחה</t>
  </si>
  <si>
    <t>לזכר ר' יחזקאל ואשתו שמחה חבה</t>
  </si>
  <si>
    <t>זכרון יחזקאל</t>
  </si>
  <si>
    <t>מייזלש, יחזקאל שרגא בן דוד דוב</t>
  </si>
  <si>
    <t>רבינוביץ, משה אברהם שמואל בן יחזקאל</t>
  </si>
  <si>
    <t>רוטר, יחזקאל בן עזריאל</t>
  </si>
  <si>
    <t>ת"ש - תשמ"ב</t>
  </si>
  <si>
    <t>Cluj קלוז' - בניברק</t>
  </si>
  <si>
    <t>זכרון יחיאל אברהם - 2 כר'</t>
  </si>
  <si>
    <t>ספר הזכרון לרבי יחיאל אברהם זילבר</t>
  </si>
  <si>
    <t>זכרון יעקב &lt;מהדורה חדשה&gt;</t>
  </si>
  <si>
    <t>פאנט, יעקב אלימלך בן יחזקאל</t>
  </si>
  <si>
    <t>זכרון יעקב ויהודה</t>
  </si>
  <si>
    <t>זכרון יעקב יוסף</t>
  </si>
  <si>
    <t>רובינשטיין, יהושע יונתן בן צבי</t>
  </si>
  <si>
    <t>זכרון יעקב יצחק - ה</t>
  </si>
  <si>
    <t>זכרון יעקב משה - בבא מציעא</t>
  </si>
  <si>
    <t>קובץ ישיבת נר ישראל</t>
  </si>
  <si>
    <t>זכרון יעקב צבי - 2 כר'</t>
  </si>
  <si>
    <t>כולל זכרון אברהם</t>
  </si>
  <si>
    <t>בנדיטמאן, יעקב בן יהודה</t>
  </si>
  <si>
    <t>הלכה ומנהג, נושאים שונים, שאלות ותשובות, שלחן ערוך ומפרשיו, תולדות עם ישראל, תלמוד בבלי</t>
  </si>
  <si>
    <t>גינצבורג, יעקב בן שבתי</t>
  </si>
  <si>
    <t>זכרון יעקב - ב</t>
  </si>
  <si>
    <t>גנאסיא, יוסף בן דוד</t>
  </si>
  <si>
    <t>תשי"</t>
  </si>
  <si>
    <t>גפן, יעקב בן שאול</t>
  </si>
  <si>
    <t>כולל אברכים זכרון יעקב</t>
  </si>
  <si>
    <t>זכרון יעקב - 3 כר'</t>
  </si>
  <si>
    <t>זכרון יעקב - 6 כר'</t>
  </si>
  <si>
    <t>מרל, שמואל גרשון בן נחום יצחק</t>
  </si>
  <si>
    <t>זכרון יעקב - 2 כר'</t>
  </si>
  <si>
    <t>זכרון יעקב - 4 כר'</t>
  </si>
  <si>
    <t>ריינר, יעקב בן חיים משה דוד</t>
  </si>
  <si>
    <t>שפירא, יצחק בן-ציון בן משה משולם</t>
  </si>
  <si>
    <t>ששון, אלישע בן מרדכי</t>
  </si>
  <si>
    <t>זכרון יצחק (גולדשמיד)</t>
  </si>
  <si>
    <t>זכרון יצחק (טרוזמן)</t>
  </si>
  <si>
    <t>זכרון יצחק (ניימן)</t>
  </si>
  <si>
    <t>זכרון יצחק</t>
  </si>
  <si>
    <t>גאוני ישיבת לומז'א</t>
  </si>
  <si>
    <t>זכרון יצחק - 4 כר'</t>
  </si>
  <si>
    <t>דרחי, זכריה דוד בן יעקב</t>
  </si>
  <si>
    <t>הוכגלרנטר, יצחק בן יוסף</t>
  </si>
  <si>
    <t>וויס, יצחק בן בנימן זאב</t>
  </si>
  <si>
    <t>זק"ש, יצחק דוב בן אליעזר</t>
  </si>
  <si>
    <t>טרכטנברג, יצחק</t>
  </si>
  <si>
    <t>נושאים שונים, שאלות ותשובות, שלחן ערוך ומפרשיו, תנ"ך</t>
  </si>
  <si>
    <t>פריידיגר, יצחק איזיק בן פינחס ליב</t>
  </si>
  <si>
    <t>זכרון יקותיאל</t>
  </si>
  <si>
    <t>לוויטאס, יקותיאל זלמן בן צבי הירש הלוי</t>
  </si>
  <si>
    <t>זכרון יקותיאל - 2 כר'</t>
  </si>
  <si>
    <t>ספר זכרון לרבי יקותיאל עזריאלי (קושלבסקי)</t>
  </si>
  <si>
    <t>זכרון ירושלים</t>
  </si>
  <si>
    <t>הורוויץ, אליקים גציל בן יצחק הלוי</t>
  </si>
  <si>
    <t>זכרון ירושלם</t>
  </si>
  <si>
    <t>חזן, אליהו בכור בן יוסף רפאל</t>
  </si>
  <si>
    <t>זכרון יריב משה</t>
  </si>
  <si>
    <t>זכרון ישכר - 2 כר'</t>
  </si>
  <si>
    <t>לוונטאל, ברוך יצחק יששכר בן אפרים שרגא הלוי</t>
  </si>
  <si>
    <t>תרצ"ג - תשנ"ד</t>
  </si>
  <si>
    <t>זכרון ישעיה</t>
  </si>
  <si>
    <t>אבוביץ, מאיר בן ישעיהו</t>
  </si>
  <si>
    <t>תער"ב</t>
  </si>
  <si>
    <t>חנון, ישעיה  (אודותיו)</t>
  </si>
  <si>
    <t>זכרון ישעיהו</t>
  </si>
  <si>
    <t>גרוסבארג, ישעיהו חיים בן צבי הירש</t>
  </si>
  <si>
    <t>שמענוביץ, ישעיהו בן דב מאיר</t>
  </si>
  <si>
    <t>זכרון ישראל משה</t>
  </si>
  <si>
    <t>קרנביסר, ישראל משה</t>
  </si>
  <si>
    <t>זכרון ישראל</t>
  </si>
  <si>
    <t>Cluj קלוז'</t>
  </si>
  <si>
    <t>קסלר, ישראל בן דוד צבי</t>
  </si>
  <si>
    <t>שפירא, ישראל</t>
  </si>
  <si>
    <t>זכרון כהונה</t>
  </si>
  <si>
    <t>זכרון כהן</t>
  </si>
  <si>
    <t>רבינוביץ, דוד משה</t>
  </si>
  <si>
    <t>זכרון לבני ישראל (כתב יד)</t>
  </si>
  <si>
    <t>מזרחי, אברהם בן ברוך</t>
  </si>
  <si>
    <t>זכרון לבני ישראל - 2 כר'</t>
  </si>
  <si>
    <t>זכרון לבני ישראל</t>
  </si>
  <si>
    <t>כלכתה</t>
  </si>
  <si>
    <t>זכרון לדוד [וין]</t>
  </si>
  <si>
    <t>זכרון לדוד</t>
  </si>
  <si>
    <t>סופר, שלמה בן יעקב עקיבא</t>
  </si>
  <si>
    <t>זכרון לוי</t>
  </si>
  <si>
    <t>זכרון לחובבים הראשונים - 18 כר'</t>
  </si>
  <si>
    <t>זכרון לחיים</t>
  </si>
  <si>
    <t>סולטאן, אליעזר בן אליהו אבא</t>
  </si>
  <si>
    <t>זכרון לטוביה</t>
  </si>
  <si>
    <t>כהן, טוביה בן דוד</t>
  </si>
  <si>
    <t>זכרון לידיה</t>
  </si>
  <si>
    <t>זכרון ליהודה</t>
  </si>
  <si>
    <t>ישגר (יאזגער), דניאל אברהם בן אפרים זאב</t>
  </si>
  <si>
    <t>זכרון לירחמיאל [דושינסקי]</t>
  </si>
  <si>
    <t>דרושים, חסידות, קבצים וכתבי עת, ספרי זכרון ויובל</t>
  </si>
  <si>
    <t>זכרון לישראל</t>
  </si>
  <si>
    <t>קליין, יצחק בן ישראל</t>
  </si>
  <si>
    <t>סאטמר</t>
  </si>
  <si>
    <t>זכרון למעשה בראשית</t>
  </si>
  <si>
    <t>ניימאן, אהרן ליב בן אשר אנשיל</t>
  </si>
  <si>
    <t>זכרון למשה בן ציון</t>
  </si>
  <si>
    <t>לזכר רבי משה בן ציון הלוי אושפיזאי</t>
  </si>
  <si>
    <t>זכרון למשה</t>
  </si>
  <si>
    <t>ברגילבסקי, משה בן שלמה הכהן</t>
  </si>
  <si>
    <t>ספר זכרון לרבי משה ברקוביץ זצ"ל</t>
  </si>
  <si>
    <t>ראסקס, משה בן נחמן</t>
  </si>
  <si>
    <t>זכרון למשה - 2 כר'</t>
  </si>
  <si>
    <t>[תשט"ז]</t>
  </si>
  <si>
    <t>(Brooklyn)</t>
  </si>
  <si>
    <t>זכרון לנפש &lt;מכון הכתב&gt;</t>
  </si>
  <si>
    <t>זכרון לנפש מלכה</t>
  </si>
  <si>
    <t>זכרון לקדושי בטלאן</t>
  </si>
  <si>
    <t>זכרון לראשונים וגם לאחרונים - 2 כר'</t>
  </si>
  <si>
    <t>הרכבי, אברהם אליהו בן יעקב</t>
  </si>
  <si>
    <t>תרל"ט - תרס"ג</t>
  </si>
  <si>
    <t>Peterburg</t>
  </si>
  <si>
    <t>זכרון לראשונים</t>
  </si>
  <si>
    <t>איזראליט, אלימלך בן אברהם יצחק</t>
  </si>
  <si>
    <t>זכרון לראשונים - 2 כר'</t>
  </si>
  <si>
    <t>תאומים, חיים צבי הירש בן יעקב</t>
  </si>
  <si>
    <t>זכרון לריב"א</t>
  </si>
  <si>
    <t>בן שושן, יצחק</t>
  </si>
  <si>
    <t>זכרון מאיר - 3 כר'</t>
  </si>
  <si>
    <t>טמסטית, שמעון</t>
  </si>
  <si>
    <t>זכרון מאיר - ספר זכרון</t>
  </si>
  <si>
    <t>לזכר הרב מאיר וייסמאן</t>
  </si>
  <si>
    <t>לזכר הרב מאיר צבי שנקר</t>
  </si>
  <si>
    <t>לזכרו של רבי מאיר מאלין</t>
  </si>
  <si>
    <t>זכרון מאיר - ב</t>
  </si>
  <si>
    <t>זכרון מאיר - 4 כר'</t>
  </si>
  <si>
    <t>רובמן, דב מאיר</t>
  </si>
  <si>
    <t>רוזנבוים, מאיר הלוי</t>
  </si>
  <si>
    <t>דרושים, מועדי ישראל, קבצים וכתבי עת, ספרי זכרון ויובל, תנ"ך, תפלות בקשות פיוטים ושירה</t>
  </si>
  <si>
    <t>זכרון מאיר - קרן ישועה - זכרון יוסף</t>
  </si>
  <si>
    <t>שפירא, מאיר - שפירא יהושע - שפירא, יוסף</t>
  </si>
  <si>
    <t>זכרון מאיר - מועדים ב</t>
  </si>
  <si>
    <t>שפירא, מאיר בן ישועה</t>
  </si>
  <si>
    <t>זכרון מהרי"ו</t>
  </si>
  <si>
    <t>וידמן, יחזקאל</t>
  </si>
  <si>
    <t>חסידות, מחשבה ומוסר, נושאים שונים, קבלה, תלמוד בבלי</t>
  </si>
  <si>
    <t>זכרון מיכאל יוסף</t>
  </si>
  <si>
    <t>זכרון מיכאל - 22 כר'</t>
  </si>
  <si>
    <t>זכרון מלך - א</t>
  </si>
  <si>
    <t>זכרון מנחם</t>
  </si>
  <si>
    <t>בודק, מנחם מנדל בן ראובן שרגא</t>
  </si>
  <si>
    <t>הלכה ומנהג, שאלות ותשובות, תלמוד בבלי, תלמוד ירושלמי</t>
  </si>
  <si>
    <t>זלאטולוב, שלמה בן מנחם מנדל</t>
  </si>
  <si>
    <t>מנחם מנדל בן יחיאל</t>
  </si>
  <si>
    <t>מנחם נחום בן יעקב אור שרגא פייבל</t>
  </si>
  <si>
    <t>דרושים, משנה, שאלות ותשובות, שאלות ותשובות, תלמוד בבלי</t>
  </si>
  <si>
    <t>סטולפר, מנחם מנדל בן ברוך</t>
  </si>
  <si>
    <t>דרושים, דרושים, מחשבה ומוסר, קבלה, תלמוד בבלי, תנ"ך</t>
  </si>
  <si>
    <t>זכרון מנחם - 3 כר'</t>
  </si>
  <si>
    <t>רוזנבורג, מנחם צבי בן חיים אהרן</t>
  </si>
  <si>
    <t>זכרון מנשה</t>
  </si>
  <si>
    <t>כהן, שמואל בן רחמים</t>
  </si>
  <si>
    <t>זכרון מעשה רב</t>
  </si>
  <si>
    <t>אורי פייבוש בן אהרן הלוי</t>
  </si>
  <si>
    <t>זכרון מרדכי &lt;לזכר רבי אביגדור מרדכי קרטמן&gt;</t>
  </si>
  <si>
    <t>אברכי כולל חזון איש</t>
  </si>
  <si>
    <t>זכרון מרדכי מנחם</t>
  </si>
  <si>
    <t>לזכר מרדכי מנחם קמפינסקי</t>
  </si>
  <si>
    <t>זכרון מרדכי</t>
  </si>
  <si>
    <t>וינברג, מרדכי בן חיים</t>
  </si>
  <si>
    <t>מונטיריאול</t>
  </si>
  <si>
    <t>זכרון משה אליהו</t>
  </si>
  <si>
    <t>מגן, משה אליהו בן דוד יצחק</t>
  </si>
  <si>
    <t>זכרון משה ומספד מר</t>
  </si>
  <si>
    <t>מאירוביץ, שלום דוד בן מאיר</t>
  </si>
  <si>
    <t>זכרון משה חיים</t>
  </si>
  <si>
    <t>לזכר הבחור משה חיים שהר</t>
  </si>
  <si>
    <t>זכרון משה מאיר</t>
  </si>
  <si>
    <t>לנטשיצקי, משה מאיר</t>
  </si>
  <si>
    <t>זכרון משה - 2 כר'</t>
  </si>
  <si>
    <t>אזולאי, משה בן רפאל ישעיה</t>
  </si>
  <si>
    <t>זכרון משה</t>
  </si>
  <si>
    <t>אייכנשטיין, משה בן ישכר בעריש</t>
  </si>
  <si>
    <t>בית מדרש זכרון משה</t>
  </si>
  <si>
    <t>בראק, משה בן נפתלי הירש</t>
  </si>
  <si>
    <t>ברומר, משה בן יחיאל מיכל הלוי</t>
  </si>
  <si>
    <t>דוויק, משה הכהן (עליו)</t>
  </si>
  <si>
    <t>דסוי, משה בן מיכאל</t>
  </si>
  <si>
    <t>הורוויץ, חיים אריה ליבש בן שאול הלוי</t>
  </si>
  <si>
    <t>וויינגארטען, צבי בן ישראל</t>
  </si>
  <si>
    <t>טאראשצאנסקי, משה</t>
  </si>
  <si>
    <t>נושאים שונים, קבצים וכתבי עת, ספרי זכרון ויובל, תולדות עם ישראל, תנ"ך</t>
  </si>
  <si>
    <t>יאקאבאוויטש, משה יהודה</t>
  </si>
  <si>
    <t>יברוב, צבי בן משה יצחק אהרן</t>
  </si>
  <si>
    <t>זכרון משה - דברי הלל - שערי אונאה - שערי דמעות</t>
  </si>
  <si>
    <t>הלכה ומנהג, מחשבה ומוסר, קבצים וכתבי עת, ספרי זכרון ויובל, תלמוד בבלי, תנ"ך</t>
  </si>
  <si>
    <t>לייזר, חיים יעקב בן משה</t>
  </si>
  <si>
    <t>זכרון משה - מרבה חיים א</t>
  </si>
  <si>
    <t>מונדרי, יוסף חיים צבי בן ישעיה</t>
  </si>
  <si>
    <t>סיני, ראובן בן אהרן הכהן</t>
  </si>
  <si>
    <t>מנצ'סטרManchester</t>
  </si>
  <si>
    <t>ספר זכרון לרבי משה אלמליח</t>
  </si>
  <si>
    <t>פולאק, גבריאל בן יצחק אייזיק</t>
  </si>
  <si>
    <t>פינסקר, משה בן יצחק</t>
  </si>
  <si>
    <t>פרץ, נדב</t>
  </si>
  <si>
    <t>קלמנוביץ, שרגא משה בן אברהם</t>
  </si>
  <si>
    <t>שוואב, משה</t>
  </si>
  <si>
    <t>שרייבר, יצחק יהודה בן דוד</t>
  </si>
  <si>
    <t>זכרון משיח</t>
  </si>
  <si>
    <t>זכרון נחום</t>
  </si>
  <si>
    <t>זכרון נחום - ג</t>
  </si>
  <si>
    <t>זכרון ניסן - על שם ר' ניסן גדניאן זצ"ל</t>
  </si>
  <si>
    <t>זכרון נפתלי</t>
  </si>
  <si>
    <t>הלוי, נפתלי הירצקא</t>
  </si>
  <si>
    <t>זכרון נתן צבי</t>
  </si>
  <si>
    <t>זכרון נתן</t>
  </si>
  <si>
    <t>זכרון נתנאל</t>
  </si>
  <si>
    <t>קובץ זכרון ע"ש הבח' נתנאל לוין</t>
  </si>
  <si>
    <t>זכרון סופרים - 5 כר'</t>
  </si>
  <si>
    <t>סופר, אליעזר ישראל מרדכי בן אברהם יעקב</t>
  </si>
  <si>
    <t>זכרון עולמים</t>
  </si>
  <si>
    <t>שטרן, רפאל בן אשר ישעיה</t>
  </si>
  <si>
    <t>זכרון עז - 2 כר'</t>
  </si>
  <si>
    <t>וינברג, עזריאל זעליג בן אברהם</t>
  </si>
  <si>
    <t>זכרון עזרא</t>
  </si>
  <si>
    <t>דורי, אברהם</t>
  </si>
  <si>
    <t>זכרון עמרם צבי</t>
  </si>
  <si>
    <t>ווייס, משה שמואל</t>
  </si>
  <si>
    <t>זכרון עקידת יצחק - 2 כר'</t>
  </si>
  <si>
    <t>זכרון פנחס</t>
  </si>
  <si>
    <t>וינטרוב, גרשון יהודה</t>
  </si>
  <si>
    <t>זכרון פנחס - 3 כר'</t>
  </si>
  <si>
    <t>קובץ כולל זכרון פנחס</t>
  </si>
  <si>
    <t>זכרון פני יוסף</t>
  </si>
  <si>
    <t>ריין, יוסף ישי בן נתן (לזכרו)</t>
  </si>
  <si>
    <t>זכרון צבי הירש - 4 כר'</t>
  </si>
  <si>
    <t>זכרון צבי מאיר - 5 כר'</t>
  </si>
  <si>
    <t>זכרון צבי מאיר - א</t>
  </si>
  <si>
    <t>זכרון צבי מנחם</t>
  </si>
  <si>
    <t>מייזלש, צבי מנחם בן יצחק</t>
  </si>
  <si>
    <t>דרושים, מחשבה ומוסר, שאלות ותשובות, שאר ספרי חז"ל, תלמוד בבלי, תנ"ך</t>
  </si>
  <si>
    <t>זכרון צבי - 4 כר'</t>
  </si>
  <si>
    <t>דישון, משה שניאור זלמן</t>
  </si>
  <si>
    <t>זכרון צבי - 6 כר'</t>
  </si>
  <si>
    <t>כולל זכרון צבי שע"י ישיבת שערי תורה</t>
  </si>
  <si>
    <t>זכרון צדיקים</t>
  </si>
  <si>
    <t>שווארץ, פינחס זליג בן יצחק מאיר הכהן</t>
  </si>
  <si>
    <t>זכרון ציון</t>
  </si>
  <si>
    <t>יחיאל מיכל בן אברם בירך</t>
  </si>
  <si>
    <t>ת"מ</t>
  </si>
  <si>
    <t>זכרון קדוש</t>
  </si>
  <si>
    <t>קאליש, יעקב דוד</t>
  </si>
  <si>
    <t>זכרון קדושים - 3 כר'</t>
  </si>
  <si>
    <t>מושקוביץ, נתן אהרן בן מנחם גרשון</t>
  </si>
  <si>
    <t>תשכ"ב - תשכ"ד</t>
  </si>
  <si>
    <t>זכרון קודש לבעל אש קודש</t>
  </si>
  <si>
    <t>זכרון ראובן יוסף</t>
  </si>
  <si>
    <t>זכרון רחמים - ב</t>
  </si>
  <si>
    <t>מלמד, רחמים ראובן בן חיים הכהן</t>
  </si>
  <si>
    <t>תר"צ - תרצ"ב</t>
  </si>
  <si>
    <t>זכרון רחמים - 2 כר'</t>
  </si>
  <si>
    <t>קובץ כולל "תורת רחמים"</t>
  </si>
  <si>
    <t>זכרון רפאל מאיר</t>
  </si>
  <si>
    <t>קובץ כנסת בית אהרן</t>
  </si>
  <si>
    <t>זכרון רפאל</t>
  </si>
  <si>
    <t>זכרון ש"י</t>
  </si>
  <si>
    <t>קליין, משה בן אליהו</t>
  </si>
  <si>
    <t>זכרון שאול - 7 כר'</t>
  </si>
  <si>
    <t>ברזם, שאול</t>
  </si>
  <si>
    <t>זכרון שאול</t>
  </si>
  <si>
    <t>זאראחוביץ, אברהם בן שאול</t>
  </si>
  <si>
    <t>זכרון שארית יוסף</t>
  </si>
  <si>
    <t>יוסף בן משה פינחס מפוזנא</t>
  </si>
  <si>
    <t>זכרון שבתי ואריה</t>
  </si>
  <si>
    <t>זכרון שלום</t>
  </si>
  <si>
    <t>כולל מרכזי בית שלום</t>
  </si>
  <si>
    <t>זכרון שלמה &lt;לזכר ר' שלמה קאליש&gt;</t>
  </si>
  <si>
    <t>מנדלבוים, דוד אברהם (עורך)</t>
  </si>
  <si>
    <t>זכרון שלמה &lt;לזכר ר' שלמה אלחרר&gt;</t>
  </si>
  <si>
    <t>דרושים, מחשבה ומוסר, קבצים וכתבי עת, ספרי זכרון ויובל</t>
  </si>
  <si>
    <t>זכרון שלמה &lt;ר' שלמה זאב ורנר&gt;</t>
  </si>
  <si>
    <t>קבצים וכתבי עת, ספרי זכרון ויובל, שאלות ותשובות, תלמוד בבלי, תלמוד ירושלמי</t>
  </si>
  <si>
    <t>זכרון שלמה &lt;ספר הזכרון&gt;</t>
  </si>
  <si>
    <t>קרליץ, אברהם ישעיהו (עורך)</t>
  </si>
  <si>
    <t>זכרון שלמה ויעקב [שפיצר]</t>
  </si>
  <si>
    <t>זכרון שלמה וכיבוד אב</t>
  </si>
  <si>
    <t>קליין, שלמה זלמן בן אלעזר - קליין, אלעזר בן שלמה זלמן</t>
  </si>
  <si>
    <t>זכרון שלמה חיים - 3 כר'</t>
  </si>
  <si>
    <t>זכרון שלמה</t>
  </si>
  <si>
    <t>זכרון שלמה - ב</t>
  </si>
  <si>
    <t>מתיבתא להוראה</t>
  </si>
  <si>
    <t>זכרון שלמה - א</t>
  </si>
  <si>
    <t>זכרון שלמה - כיבוד אב</t>
  </si>
  <si>
    <t>קליין, שלמה זלמן בן אלעזר</t>
  </si>
  <si>
    <t>שטיינברגר, שלמה בן ישראל משה</t>
  </si>
  <si>
    <t>קלינורדין Kleinwarde</t>
  </si>
  <si>
    <t>זכרון שלמה, אבני זכרון</t>
  </si>
  <si>
    <t>קליין, שלמה זלמן בן אלעזר - לנדאו, יעקב ישראל</t>
  </si>
  <si>
    <t>זכרון שמואל</t>
  </si>
  <si>
    <t>בראך, שמואל</t>
  </si>
  <si>
    <t>זכרון שמואל - 4 כר'</t>
  </si>
  <si>
    <t>היינה, שמואל שמריהו בן יעקב</t>
  </si>
  <si>
    <t>הלר, שמואל זאנוויל בן אריה ליב</t>
  </si>
  <si>
    <t>זכרון שמואל - 2 כר'</t>
  </si>
  <si>
    <t>טויבענפלד, שמואל ישכר דב</t>
  </si>
  <si>
    <t>לווינסון, שמואל בן ישראל הלוי</t>
  </si>
  <si>
    <t>דרושים, דרושים, תלמוד בבלי, תנ"ך, תנ"ך</t>
  </si>
  <si>
    <t>זכרון שמואל - תולדות משפחת לוריא</t>
  </si>
  <si>
    <t>לוריא, שמואל</t>
  </si>
  <si>
    <t>לזכר הבחור שמואל מאיר הלוי זיסקינד</t>
  </si>
  <si>
    <t>מודרן, יהודה בן ישעיהו</t>
  </si>
  <si>
    <t>ספר זכרון לע"נ ר' שמואל מלול</t>
  </si>
  <si>
    <t>רוזובסקי, שמואל בן מיכל דוד</t>
  </si>
  <si>
    <t>זכרון שמעון</t>
  </si>
  <si>
    <t>וויס, שמעון עוזר</t>
  </si>
  <si>
    <t>זכרון שמשון</t>
  </si>
  <si>
    <t>רודנסקי, שמשון</t>
  </si>
  <si>
    <t>זכרון תורת משה</t>
  </si>
  <si>
    <t>וינברגר, משה בן אפרים פישל</t>
  </si>
  <si>
    <t>פיגו, משה בן יוסף</t>
  </si>
  <si>
    <t>קופשיץ, משה פנחס בן צבי הירש</t>
  </si>
  <si>
    <t>דרושים, מחשבה ומוסר, קבצים וכתבי עת, ספרי זכרון ויובל, תולדות עם ישראל</t>
  </si>
  <si>
    <t>זכרון תפארת צבי</t>
  </si>
  <si>
    <t>הלפרט, ירחמיאל צבי בן אפרים פישל</t>
  </si>
  <si>
    <t>זכרון תרועה</t>
  </si>
  <si>
    <t>בראנדס, מרדכי בן אליעזר</t>
  </si>
  <si>
    <t>יצחק אייזיק בן פראדמן</t>
  </si>
  <si>
    <t>זכרון - מליחה בשר בחלב תערובת</t>
  </si>
  <si>
    <t>זכרונות (רבנו אליהו חיים מייזעל זצ"ל)</t>
  </si>
  <si>
    <t>מייזל, אליהו חיים</t>
  </si>
  <si>
    <t>זכרונות אב ובנו</t>
  </si>
  <si>
    <t>ברור, מיכאל הכהן, ובנו אברהם יעקב</t>
  </si>
  <si>
    <t>זכרונות אליהו - 4 כר'</t>
  </si>
  <si>
    <t>זכרונות גליקל</t>
  </si>
  <si>
    <t>זכרונות הרב משה אויערבך</t>
  </si>
  <si>
    <t>אויערבך, משה</t>
  </si>
  <si>
    <t>זכרונות הרב ר' אברהם צ'צ'יק</t>
  </si>
  <si>
    <t>צ'צ'יק, אברהם חיים בן זאב דב</t>
  </si>
  <si>
    <t>זכרונות ומסורות על החתם סופר</t>
  </si>
  <si>
    <t>זכרונות חיי</t>
  </si>
  <si>
    <t>הרבסט, מרדכי</t>
  </si>
  <si>
    <t>זכרונות מנעורי ועד הנה</t>
  </si>
  <si>
    <t>זכרונות מעולם שאבד וקורות חיי - דוקלא</t>
  </si>
  <si>
    <t>שטרנברג, שמואל</t>
  </si>
  <si>
    <t>זכרונות מקהילת מטרסדורף</t>
  </si>
  <si>
    <t>הירש, שמואל</t>
  </si>
  <si>
    <t>זכרונות מרדכי</t>
  </si>
  <si>
    <t>זכרונות פון צווי דורות</t>
  </si>
  <si>
    <t>הורביץ, אלכסנדר זיסקינד</t>
  </si>
  <si>
    <t>זכרונות ר' זרח ברנט</t>
  </si>
  <si>
    <t>בארנט, זרח בן נחום</t>
  </si>
  <si>
    <t>זכרונות ראשונים</t>
  </si>
  <si>
    <t>פרוש, אליהו בן גרשון</t>
  </si>
  <si>
    <t>זכרונות רמב"ח - בית רבי</t>
  </si>
  <si>
    <t>זכרונות</t>
  </si>
  <si>
    <t>איגוד יוצאי ברעזנא</t>
  </si>
  <si>
    <t>לונדין, צבי יצחק</t>
  </si>
  <si>
    <t>זכרונות - 2 כר'</t>
  </si>
  <si>
    <t>רוזנהיים, יעקב בן אליהו</t>
  </si>
  <si>
    <t>זכרונותי על בני ברק - 2 כר'</t>
  </si>
  <si>
    <t>זכרונם לברכה - 2 כר'</t>
  </si>
  <si>
    <t>זכרי כהונה - 2 כר'</t>
  </si>
  <si>
    <t>זכרי כהונה</t>
  </si>
  <si>
    <t>זכריה המבין - 2 כר'</t>
  </si>
  <si>
    <t>זכריה מנדל בן אריה ליב מבוצ'אץ'</t>
  </si>
  <si>
    <t>זכריה משלם</t>
  </si>
  <si>
    <t>תקל"ט - תק"מ</t>
  </si>
  <si>
    <t>זכרם לברכה</t>
  </si>
  <si>
    <t>זכרן שלמה</t>
  </si>
  <si>
    <t>ביגלאייזן, שלמה בן יוסף חיים</t>
  </si>
  <si>
    <t>זכרנו בזכרון טוב</t>
  </si>
  <si>
    <t>מירקין, אליעזר</t>
  </si>
  <si>
    <t>זכרנו לחיים &lt;מהדורה חדשה&gt; - אספרה לאחי</t>
  </si>
  <si>
    <t>כהן, חיים בן שלמה מטריפולי - חדאד, אפרים</t>
  </si>
  <si>
    <t>זכרנו לחיים</t>
  </si>
  <si>
    <t>זכרנו לחיים - 2 כר'</t>
  </si>
  <si>
    <t>פרץ, רפאל חיים בנימין בן אברהם</t>
  </si>
  <si>
    <t>תרכ"ז - תרל"ב</t>
  </si>
  <si>
    <t>זכרתי ימים מקדם</t>
  </si>
  <si>
    <t>זמירות אור אש</t>
  </si>
  <si>
    <t>זמירות דוד</t>
  </si>
  <si>
    <t>זמירות החקים - א</t>
  </si>
  <si>
    <t>שלומוף, חיים אליעזר בן יהושע יוסף</t>
  </si>
  <si>
    <t>זמירות המבוארות לשבת</t>
  </si>
  <si>
    <t>גרוס, שלום יהודה (פירושים ממנו)</t>
  </si>
  <si>
    <t>זמירות וסדר האושפיזין וסדר הקפות</t>
  </si>
  <si>
    <t>מבעל שומר אמונים ועוד צדיקים - בלום, מרדכי הכהן</t>
  </si>
  <si>
    <t>זמירות ישראל</t>
  </si>
  <si>
    <t>הוצאת קול רנה</t>
  </si>
  <si>
    <t>מכון מאור ישראל</t>
  </si>
  <si>
    <t>זמירות ישראל - 3 כר'</t>
  </si>
  <si>
    <t>נאג'ארה, ישראל בן משה</t>
  </si>
  <si>
    <t>שנ"ט - ש"ס</t>
  </si>
  <si>
    <t>רוזנברג, ישראל איסר בן מרדכי</t>
  </si>
  <si>
    <t>חסידות, חסידות, תולדות עם ישראל, תנ"ך, תפלות בקשות פיוטים ושירה</t>
  </si>
  <si>
    <t>זמירות לבני ישראל</t>
  </si>
  <si>
    <t>[תרע"ד],</t>
  </si>
  <si>
    <t>Frankfurt a. M.,</t>
  </si>
  <si>
    <t>זמירות לסעודה שלישית נוסח קאסאן</t>
  </si>
  <si>
    <t>מוסדות בני שלשים דקוסון</t>
  </si>
  <si>
    <t>זמירות לשבת &lt;מנחת יהודה&gt;</t>
  </si>
  <si>
    <t>זמירות לשבת &lt;בית סופרים - פרעשבורג&gt;</t>
  </si>
  <si>
    <t>מכון בית סופרים</t>
  </si>
  <si>
    <t>זמירות לשבת המבואר</t>
  </si>
  <si>
    <t>זמירות לשבת המבוארות</t>
  </si>
  <si>
    <t>זמירות לשבת ויו"ט - חמדת ימים</t>
  </si>
  <si>
    <t>מנהגים הלכות עובדות והליכות</t>
  </si>
  <si>
    <t>זמירות לשבת ויום טוב &lt;אמרי משה&gt;</t>
  </si>
  <si>
    <t>זמירות לשבת עם ביאור אור עינים &lt;קאמרנא&gt;</t>
  </si>
  <si>
    <t>זמירות לשבת עם הערות וליקוטים</t>
  </si>
  <si>
    <t>באמבערגער, משה הלוי</t>
  </si>
  <si>
    <t>זמירות לשבת עם ילקוט עיר התמרים</t>
  </si>
  <si>
    <t>לקט חיבורים</t>
  </si>
  <si>
    <t>זמירות לשבת קודש &lt;ישמחו במלכותך&gt;</t>
  </si>
  <si>
    <t>זמירות לשבת קודש &lt;נועם הנשמות&gt;</t>
  </si>
  <si>
    <t>מורשה להנחיל</t>
  </si>
  <si>
    <t>זמירות לשבת קודש &lt;קול אריה&gt;</t>
  </si>
  <si>
    <t>שווארץ, אברהם יהודה אריה ליב בן פינחס ויו"ח</t>
  </si>
  <si>
    <t>זמירות לשבת קודש ויום טוב, נוסח ויז'ניץ</t>
  </si>
  <si>
    <t>זמירות לשבת קודש זכרון אבות</t>
  </si>
  <si>
    <t>זמירות לשבת קודש כמנהג בוהוש</t>
  </si>
  <si>
    <t>בית בוהוש</t>
  </si>
  <si>
    <t>זמירות לשבת קודש ראפשיץ</t>
  </si>
  <si>
    <t>שטרן, חיים שרגא הכהן</t>
  </si>
  <si>
    <t>זמירות לשבת קודש - ליקוטי תורת איש</t>
  </si>
  <si>
    <t>אונגר, יצחק שלמה</t>
  </si>
  <si>
    <t>זמירות לשבת קודש - קאברין</t>
  </si>
  <si>
    <t>זלצמן, שלמה</t>
  </si>
  <si>
    <t>זמירות לשבת קודש</t>
  </si>
  <si>
    <t>מכון להוצאת ספרים שע"י חסידי אלכסנדר</t>
  </si>
  <si>
    <t>זמירות לשבת קודש - טועמיה חיים זכו</t>
  </si>
  <si>
    <t>צאנז</t>
  </si>
  <si>
    <t>זמירות לשבת רב פנינים</t>
  </si>
  <si>
    <t>כהן, חיים</t>
  </si>
  <si>
    <t>זמירות לשבת תפארת ישראל</t>
  </si>
  <si>
    <t>מכון תפארת ישראל סטאניסלב</t>
  </si>
  <si>
    <t>זמירות לשבת - תהלות אליעזר</t>
  </si>
  <si>
    <t>מכון דמשק אליעזר</t>
  </si>
  <si>
    <t>זמירות לשבת - אפטא קאפיטשניץ</t>
  </si>
  <si>
    <t>מכון שפתי צדיקים</t>
  </si>
  <si>
    <t>זמירות לשבת - קונטרס שלחן גבוה</t>
  </si>
  <si>
    <t>קולדצקי, יצחק בן שכנא</t>
  </si>
  <si>
    <t>זמירות מזמור לדוד - 2 כר'</t>
  </si>
  <si>
    <t>זמירות נועם שבת</t>
  </si>
  <si>
    <t>זמירות עם עטרת בני שלשים</t>
  </si>
  <si>
    <t>ביהמ"ד בני שלשים דקוסון</t>
  </si>
  <si>
    <t>זמירות צבי</t>
  </si>
  <si>
    <t>קושלבסקי, צבי</t>
  </si>
  <si>
    <t>זמירות קודש</t>
  </si>
  <si>
    <t>זמירות שבת &lt;פניני מהרא"ל&gt;</t>
  </si>
  <si>
    <t>זמירות שבת אילת השחר</t>
  </si>
  <si>
    <t>זמירות שבת עם שבת שלום</t>
  </si>
  <si>
    <t>וייס, שלום הכהן</t>
  </si>
  <si>
    <t>זמירות שבת קודש עם לקט מנהגים ודברי תורה מצדיקי בית קוזניץ</t>
  </si>
  <si>
    <t>רדזינר, נתנאל</t>
  </si>
  <si>
    <t>תשסב</t>
  </si>
  <si>
    <t>זמירות שבת שלום ומבורך</t>
  </si>
  <si>
    <t>מכון דברי יחזקאל שרגא</t>
  </si>
  <si>
    <t>זמירות שבת - משנה שכיר</t>
  </si>
  <si>
    <t>טייכטהאל, ישכר שלמה</t>
  </si>
  <si>
    <t>זמירות שובה ישראל</t>
  </si>
  <si>
    <t>זמירות של שבת</t>
  </si>
  <si>
    <t>בן מנחם, נפתלי</t>
  </si>
  <si>
    <t>זמן בית דין</t>
  </si>
  <si>
    <t>זמן הקרבת הפסח במשנת הדבר יהושע</t>
  </si>
  <si>
    <t>זמן חיינו</t>
  </si>
  <si>
    <t>בצרי, מנחם</t>
  </si>
  <si>
    <t>זמן חירותינו - 3 כר'</t>
  </si>
  <si>
    <t>זמן חרותנו</t>
  </si>
  <si>
    <t>מערכת משמרת איתמר נדבורנה</t>
  </si>
  <si>
    <t>זמן נקט</t>
  </si>
  <si>
    <t>זמן שמחתינו</t>
  </si>
  <si>
    <t>זמן שמחתנו</t>
  </si>
  <si>
    <t>זמן תפילת נעילה</t>
  </si>
  <si>
    <t>כהן, חיים עוזר בן אהרן</t>
  </si>
  <si>
    <t>זמני ההלכה למעשה &lt;מהדורה ישנה&gt;</t>
  </si>
  <si>
    <t>מנת, ידידיה</t>
  </si>
  <si>
    <t>זמני ההלכה למעשה</t>
  </si>
  <si>
    <t>זמני הפורים</t>
  </si>
  <si>
    <t>דנציגר, יחיאל יהודה משה בן ישראל צבי יאיר</t>
  </si>
  <si>
    <t>זמני יהודה וישראל</t>
  </si>
  <si>
    <t>זולדן, יהודה</t>
  </si>
  <si>
    <t>זמני ישראל</t>
  </si>
  <si>
    <t>זמני ראובן - 4 כר'</t>
  </si>
  <si>
    <t>זמני ששון - 7 כר'</t>
  </si>
  <si>
    <t>צימנט, עזריאל</t>
  </si>
  <si>
    <t>זמנים כהלכה</t>
  </si>
  <si>
    <t>לוי, יהודה</t>
  </si>
  <si>
    <t>זמנים כהלכתם - 2 כר'</t>
  </si>
  <si>
    <t>בורשטיין, דוד יהודה בן שלמה</t>
  </si>
  <si>
    <t>זמנים</t>
  </si>
  <si>
    <t>זק"ש, מרדכי יהודה ליב בן שניאור זלמן זא</t>
  </si>
  <si>
    <t>זמר ארזים</t>
  </si>
  <si>
    <t>וויינער, ברוך יצחק</t>
  </si>
  <si>
    <t>זמר נאה ומשובח</t>
  </si>
  <si>
    <t>משה בן נפתלי הכהן</t>
  </si>
  <si>
    <t>זמר נאה לכבוד התורה &lt;מהדורה חדשה&gt;</t>
  </si>
  <si>
    <t>קרוכמאל, מנחם מנדל בן אברהם</t>
  </si>
  <si>
    <t>זמר נאה לכבוד התורה</t>
  </si>
  <si>
    <t>זמר נאה</t>
  </si>
  <si>
    <t>אליעזר ליברמן בן יהודה ליב</t>
  </si>
  <si>
    <t>ת"ך</t>
  </si>
  <si>
    <t>זמרו לשמו</t>
  </si>
  <si>
    <t>רוטנברג, ישעיהו משולם פייש הלוי</t>
  </si>
  <si>
    <t>זמרת אליהו</t>
  </si>
  <si>
    <t>גנאסייה, יוסף בן דוד</t>
  </si>
  <si>
    <t>זמרת הארץ ושמים</t>
  </si>
  <si>
    <t>זמרת הארץ</t>
  </si>
  <si>
    <t>אדרי, יהודה</t>
  </si>
  <si>
    <t>זמרת הארץ - 5 כר'</t>
  </si>
  <si>
    <t>בירב, יעקב בן חיים</t>
  </si>
  <si>
    <t>נושאים שונים, תולדות עם ישראל, תולדות עם ישראל, תפלות בקשות פיוטים ושירה</t>
  </si>
  <si>
    <t>זמרת הארץ - 6 כר'</t>
  </si>
  <si>
    <t>וויל, אברהם צבי</t>
  </si>
  <si>
    <t>נחמן בן שמחה מבראסלאב</t>
  </si>
  <si>
    <t>עזריאל, אביגדור</t>
  </si>
  <si>
    <t>רבינוביץ, יחיאל מיכל</t>
  </si>
  <si>
    <t>זמרת הלוי</t>
  </si>
  <si>
    <t>זמרת יצחק</t>
  </si>
  <si>
    <t>שטרן, יצחק</t>
  </si>
  <si>
    <t>זמרת ישע - 4 כר'</t>
  </si>
  <si>
    <t>זמרת מרדכי</t>
  </si>
  <si>
    <t>טרבלסי, עוזי שלום בן דוד</t>
  </si>
  <si>
    <t>זעליג הויזדארף</t>
  </si>
  <si>
    <t>אחר תרס"ה</t>
  </si>
  <si>
    <t>זעקת השביעית</t>
  </si>
  <si>
    <t>זעקת ישני עפר</t>
  </si>
  <si>
    <t>סלומון, יעקב ר.</t>
  </si>
  <si>
    <t>זעקת מרדכי</t>
  </si>
  <si>
    <t>זעקת שפירין</t>
  </si>
  <si>
    <t>זקוקי נורא</t>
  </si>
  <si>
    <t>זקוקין דנורא ובעורין דאשא</t>
  </si>
  <si>
    <t>תנא דבי אליהו. תל"ו</t>
  </si>
  <si>
    <t>זקינך ויאמרו לך</t>
  </si>
  <si>
    <t>קליין, אשר לעמל</t>
  </si>
  <si>
    <t>זקן אברהם</t>
  </si>
  <si>
    <t>דאנציגרקרון, אברהם חיים בן ישראל פינחס</t>
  </si>
  <si>
    <t>זקן אהרן &lt;מהדורה חדשה&gt;</t>
  </si>
  <si>
    <t>זקן אהרן</t>
  </si>
  <si>
    <t>הלוי, אליהו בן בנימין</t>
  </si>
  <si>
    <t>זקן אהרן - 2 כר'</t>
  </si>
  <si>
    <t>תשי"א - תשי"ח</t>
  </si>
  <si>
    <t>פריד, אהרן בן אפרים פישל</t>
  </si>
  <si>
    <t>קורץ, אהרן יוסף בן מרדכי דוד</t>
  </si>
  <si>
    <t>זקן אהרן -ג</t>
  </si>
  <si>
    <t>רפאפורט, חיים יצחק אהרן בן יהודה ליב</t>
  </si>
  <si>
    <t>זקן ביתו - 2 כר'</t>
  </si>
  <si>
    <t>זקן גרשון</t>
  </si>
  <si>
    <t>רוזנברג, חיים</t>
  </si>
  <si>
    <t>זקן שמואל</t>
  </si>
  <si>
    <t>שמואל בן דניאל</t>
  </si>
  <si>
    <t>זקני יהודה</t>
  </si>
  <si>
    <t>זקני מחנה יהודה</t>
  </si>
  <si>
    <t>בלכרוביץ, יהודה אריה ליב בן יצחק</t>
  </si>
  <si>
    <t>נושאים שונים, תולדות עם ישראל, תנ"ך, תנ"ך</t>
  </si>
  <si>
    <t>זקני שארית הפליטה - 2 כר'</t>
  </si>
  <si>
    <t>רוזנפלד, אהרן בן שלמה</t>
  </si>
  <si>
    <t>Jaffa יפו</t>
  </si>
  <si>
    <t>זקני שארית ישראל</t>
  </si>
  <si>
    <t>זקניך ויאמרו לך - 8 כר'</t>
  </si>
  <si>
    <t>זר אהרן</t>
  </si>
  <si>
    <t>זר הצבי - 2 כר'</t>
  </si>
  <si>
    <t>רייכנברג, זאב בן יצחק צבי</t>
  </si>
  <si>
    <t>זר השלחן א-ג</t>
  </si>
  <si>
    <t>זר השולחן</t>
  </si>
  <si>
    <t>זר השלחן - 3 כר'</t>
  </si>
  <si>
    <t>טרויבע, חנוך משה אליהו בן אפרים</t>
  </si>
  <si>
    <t>זר התורה</t>
  </si>
  <si>
    <t>גרוסברג, חנוך זונדל בן דוב בער</t>
  </si>
  <si>
    <t>זר זהב כתר תורה</t>
  </si>
  <si>
    <t>לאנדא, זאב וולף בן אברהם</t>
  </si>
  <si>
    <t>דרושים, חסידות, תנ"ך, תנ"ך</t>
  </si>
  <si>
    <t>זר זהב</t>
  </si>
  <si>
    <t>ברוך בן דוד מפורבישטש</t>
  </si>
  <si>
    <t>זלזניק, זליג ראובן בן שמעון דוב</t>
  </si>
  <si>
    <t>חסידות, נושאים שונים, סוגיות, תולדות עם ישראל, תנ"ך, תנ"ך</t>
  </si>
  <si>
    <t>לעוי, שלמה זלמן בן נחום בהר"ן</t>
  </si>
  <si>
    <t>פראג, בנימין זאב הלוי</t>
  </si>
  <si>
    <t>ציטרוננבוים, דוד בן זישא</t>
  </si>
  <si>
    <t>זר כסף</t>
  </si>
  <si>
    <t>זר סופרים</t>
  </si>
  <si>
    <t>ראשי אבות שושלת איגר-סופר</t>
  </si>
  <si>
    <t>זר צדק</t>
  </si>
  <si>
    <t>קאצבורג, דוד צבי בן משולם זלמן הכהן</t>
  </si>
  <si>
    <t>(תרל"ח</t>
  </si>
  <si>
    <t>פרעסבורג,</t>
  </si>
  <si>
    <t>זר תורה - 2 כר'</t>
  </si>
  <si>
    <t>קובץ בית מדרש עטרת שלמה</t>
  </si>
  <si>
    <t>זרוע ימין</t>
  </si>
  <si>
    <t>זרח ברנט</t>
  </si>
  <si>
    <t>חורגין, יעקב</t>
  </si>
  <si>
    <t>זרח יעקב</t>
  </si>
  <si>
    <t>מזרחי, יעקב</t>
  </si>
  <si>
    <t>זריז נשכר</t>
  </si>
  <si>
    <t>זריזותא דאברהם &lt;מהדורה חדשה&gt;</t>
  </si>
  <si>
    <t>הלר, אברהם נוח בן משה אהרן הלוי</t>
  </si>
  <si>
    <t>זריזותא דאברהם</t>
  </si>
  <si>
    <t>זריעת יצחק</t>
  </si>
  <si>
    <t>שיק, יצחק איזיק בן דוד</t>
  </si>
  <si>
    <t>זרע אברהם אוהבי</t>
  </si>
  <si>
    <t>זרע אברהם</t>
  </si>
  <si>
    <t>אסבן, אברהם בן אליהו</t>
  </si>
  <si>
    <t>בונדי, אברהם בן יום טוב</t>
  </si>
  <si>
    <t>דאוועק, ראובן חיים בן יהודה זאב</t>
  </si>
  <si>
    <t>הירשל, אברהם זאב צבי בן אלטר מאיר</t>
  </si>
  <si>
    <t>זלזניק, שלמה זלמן בן מנחם יעקב</t>
  </si>
  <si>
    <t>משנה, נושאים שונים, תלמוד בבלי</t>
  </si>
  <si>
    <t>זרע אברהם - 2 כר'</t>
  </si>
  <si>
    <t>יצחקי, אברהם בן דוד</t>
  </si>
  <si>
    <t>תצ"ב - תצ"ג</t>
  </si>
  <si>
    <t>כהן, אברהם ישראל בן דוד</t>
  </si>
  <si>
    <t>כטורזא, אברהם</t>
  </si>
  <si>
    <t>הלכה ומנהג, משנה, שלחן ערוך ומפרשיו, תלמוד בבלי, תנ"ך</t>
  </si>
  <si>
    <t>לופטביר, אברהם בן ליב - זמבא, מנחם בן אליעזר</t>
  </si>
  <si>
    <t>זרע אברהם - חידושים וביאורים</t>
  </si>
  <si>
    <t>לופטביר, אברהם בן ליב</t>
  </si>
  <si>
    <t>ליפשיץ, אברהם בן בנימין זאב</t>
  </si>
  <si>
    <t>תמ"ה</t>
  </si>
  <si>
    <t>צאצאי רבי אברהם פרוש</t>
  </si>
  <si>
    <t>ראצקר , צבי זאב בן אברהם ישכר</t>
  </si>
  <si>
    <t>שמו, אברהם בן ראובן</t>
  </si>
  <si>
    <t>זרע אהרן</t>
  </si>
  <si>
    <t>ייטלש, אהרן בן דוב?</t>
  </si>
  <si>
    <t>עזריאל בן אהרן</t>
  </si>
  <si>
    <t>זרע אמונים</t>
  </si>
  <si>
    <t>זרע אמת</t>
  </si>
  <si>
    <t>זרע אמת - 4 כר'</t>
  </si>
  <si>
    <t>כהן, ישמעאל בן אברהם יצחק</t>
  </si>
  <si>
    <t>תקמ"ו - תקפ"ג</t>
  </si>
  <si>
    <t>זרע אנשים</t>
  </si>
  <si>
    <t>הלכה ומנהג, קבצים וכתבי עת, ספרי זכרון ויובל, שאלות ותשובות</t>
  </si>
  <si>
    <t>זרע אפרים &lt;על פסיקתא רבתי&gt;</t>
  </si>
  <si>
    <t>זרע ברוך</t>
  </si>
  <si>
    <t>ברוך בן יעקב יוסף</t>
  </si>
  <si>
    <t>כהן, ברוך צגייר בן משה</t>
  </si>
  <si>
    <t>זרע ברוך - 2 כר'</t>
  </si>
  <si>
    <t>מנחם מנלי בן ברוך הלוי מלבוב</t>
  </si>
  <si>
    <t>הלכה ומנהג, משנה, קבלה, שאלות ותשובות, תלמוד בבלי, תנ"ך, תפלות בקשות פיוטים ושירה</t>
  </si>
  <si>
    <t>זרע ברך שלישי - 2 כר'</t>
  </si>
  <si>
    <t>ברכיה ברך בן אליקים גצל</t>
  </si>
  <si>
    <t>אחר שנת תצ"ה</t>
  </si>
  <si>
    <t>זרע ברך</t>
  </si>
  <si>
    <t>זרע ברך - 4 כר'</t>
  </si>
  <si>
    <t>שפירא, ברכיה ברך בן יצחק אייזיק</t>
  </si>
  <si>
    <t>זרע דוד</t>
  </si>
  <si>
    <t>זרע דוד - 3 כר'</t>
  </si>
  <si>
    <t>תרס"ה - תשי"ב</t>
  </si>
  <si>
    <t>זרע הארץ</t>
  </si>
  <si>
    <t>זרע הארץ - הלכות דמאי</t>
  </si>
  <si>
    <t>סלושץ, מרדכי אליהו בן משה אהרן</t>
  </si>
  <si>
    <t>זרע הארץ - 2 כר'</t>
  </si>
  <si>
    <t>זרע הילולים - 4 כר'</t>
  </si>
  <si>
    <t>דויטש, אשר הכהן בן בנימין זאב</t>
  </si>
  <si>
    <t>זרע השלום</t>
  </si>
  <si>
    <t>הכהן,יעקב בן שלום (גאתו)</t>
  </si>
  <si>
    <t>זרע חיים</t>
  </si>
  <si>
    <t>ברודא, חיים בן בנימין</t>
  </si>
  <si>
    <t>זרע חיים - כתית למאור</t>
  </si>
  <si>
    <t>כהן, יצחק בן דוד</t>
  </si>
  <si>
    <t>דרושים, מחשבה ומוסר, שאלות ותשובות, תנ"ך</t>
  </si>
  <si>
    <t>זרע יהודה - 2 כר'</t>
  </si>
  <si>
    <t>גולדברג, חיים יחיאל מיכל</t>
  </si>
  <si>
    <t>זרע יהודה - א</t>
  </si>
  <si>
    <t>זרע ים - 4 כר'</t>
  </si>
  <si>
    <t>בונדי, פנחס</t>
  </si>
  <si>
    <t>זרע יעקב &lt;מהדורה חדשה&gt;</t>
  </si>
  <si>
    <t>זרע יעקב - פאה</t>
  </si>
  <si>
    <t>זרע יעקב</t>
  </si>
  <si>
    <t>בן נאים, יעקב חיים בן שמואל</t>
  </si>
  <si>
    <t>זרע יעקב - 3 כר'</t>
  </si>
  <si>
    <t>גינצבורג, יעקב בן יצחק דוד</t>
  </si>
  <si>
    <t>זרע יעקב - 2 כר'</t>
  </si>
  <si>
    <t>זאלאזניק, שלמה זלמן בן מנחם יעקב</t>
  </si>
  <si>
    <t>יעקב בן חיים פייבוש הכהן</t>
  </si>
  <si>
    <t>כהן, בן ציון בן אלישר</t>
  </si>
  <si>
    <t>זרע יעקב - 37 כר'</t>
  </si>
  <si>
    <t>מרכז הכוללים דשיכון סקווירא</t>
  </si>
  <si>
    <t>צבאן, רפאל כ'צ'יר בן יעקב</t>
  </si>
  <si>
    <t>קוניץ, יעקב בן פסח</t>
  </si>
  <si>
    <t>זרע יצחק</t>
  </si>
  <si>
    <t>אייזנברג, אברהם בן יצחק</t>
  </si>
  <si>
    <t>אשכנזי, ר.מ.</t>
  </si>
  <si>
    <t>גוטבלאט, יעקב בן פינחס אריה</t>
  </si>
  <si>
    <t>זרע יצחק - 2 כר'</t>
  </si>
  <si>
    <t>גראנבום, אהרן משה יצחק בן אברהם</t>
  </si>
  <si>
    <t>זרע יצחק - ב</t>
  </si>
  <si>
    <t>זמירות שבת נוסח אמישנאוו</t>
  </si>
  <si>
    <t>זרע יצחק - 3 כר'</t>
  </si>
  <si>
    <t>חיות, יצחק בן יעקב</t>
  </si>
  <si>
    <t>לומברוזו, יצחק בן יעקב</t>
  </si>
  <si>
    <t>זרע יצחק - 9 כר'</t>
  </si>
  <si>
    <t>לינטופ, יעקב יוסף בן דב יצחק</t>
  </si>
  <si>
    <t>זרע יצחק - 7 כר'</t>
  </si>
  <si>
    <t>מלחי, דוד חיים</t>
  </si>
  <si>
    <t>תקנ"ג - תקנ"ד</t>
  </si>
  <si>
    <t>דרושים, דרושים, תולדות עם ישראל, תלמוד בבלי, תלמוד בבלי, תנ"ך</t>
  </si>
  <si>
    <t>קאצנלנבוגן, יואל יצחק בן מרדכי</t>
  </si>
  <si>
    <t>שילמאן, חיים יצחק בן משה יחיאל מיכל</t>
  </si>
  <si>
    <t>זרע ישראל - 2 כר'</t>
  </si>
  <si>
    <t>יעקב בן יוסף</t>
  </si>
  <si>
    <t>זרע מרדכי</t>
  </si>
  <si>
    <t>שווארץ, מרדכי</t>
  </si>
  <si>
    <t>דרושים, שאלות ותשובות, שלחן ערוך ומפרשיו, שלחן ערוך ומפרשיו, תלמוד בבלי, תנ"ך</t>
  </si>
  <si>
    <t>זרע ציון - 4 כר'</t>
  </si>
  <si>
    <t>זרע ציון</t>
  </si>
  <si>
    <t>זרע קדש מצבתה</t>
  </si>
  <si>
    <t>תולדות משפחת הומינר</t>
  </si>
  <si>
    <t>זרע קודש מצבתה - 4 כר'</t>
  </si>
  <si>
    <t>זרע קודש מצבתה</t>
  </si>
  <si>
    <t>רובין, אשר ישעיה</t>
  </si>
  <si>
    <t>זרע קודש - 3 כר'</t>
  </si>
  <si>
    <t>זרע קודש</t>
  </si>
  <si>
    <t>שמואל בן חיים הלוי</t>
  </si>
  <si>
    <t>זרע רב &lt;יכין ובעז&gt;</t>
  </si>
  <si>
    <t>מסעוד בן גנון</t>
  </si>
  <si>
    <t>זרע רחמים</t>
  </si>
  <si>
    <t>כהן, יגאל רחמים</t>
  </si>
  <si>
    <t>זרע שמואל</t>
  </si>
  <si>
    <t>ברוך בן שמואל זאנוויל סג"ל</t>
  </si>
  <si>
    <t>זרע שמשון &lt;מהדורה חדשה&gt; - אשת חיל</t>
  </si>
  <si>
    <t>זרע שמשון - 4 כר'</t>
  </si>
  <si>
    <t>זרעא דיוסף</t>
  </si>
  <si>
    <t>זרעא חיא - מועדים</t>
  </si>
  <si>
    <t>זרעא חייא וקיימא</t>
  </si>
  <si>
    <t>זרעא קדישא</t>
  </si>
  <si>
    <t>הורוויץ, אלימלך</t>
  </si>
  <si>
    <t>זרעא קיימא</t>
  </si>
  <si>
    <t>זרעה של רחל - 2 כר'</t>
  </si>
  <si>
    <t>זרעו של אברהם &lt;מהדורה חדשה&gt; - א</t>
  </si>
  <si>
    <t>חג'אג', אברהם</t>
  </si>
  <si>
    <t>זרעו של אברהם - 2 כר'</t>
  </si>
  <si>
    <t>תרמ"ד - תרפ"ח</t>
  </si>
  <si>
    <t>דרושים, נושאים שונים, תולדות עם ישראל, תלמוד בבלי</t>
  </si>
  <si>
    <t>זרעו של יצחק</t>
  </si>
  <si>
    <t>צדיקא, יצחק בן יהודה</t>
  </si>
  <si>
    <t>הלכה ומנהג, הלכה ומנהג, הלכה ומנהג, תלמוד בבלי</t>
  </si>
  <si>
    <t>חאלת אליהוד פי פרנקפורט</t>
  </si>
  <si>
    <t>שלי, שאול מקיקץ</t>
  </si>
  <si>
    <t>חבור המעשיות והמדרשות וההגדות</t>
  </si>
  <si>
    <t>חיבור המעשיות והמדרשות וההגדות</t>
  </si>
  <si>
    <t>חבור המשיחה והתשבורת</t>
  </si>
  <si>
    <t>חבור התשובה</t>
  </si>
  <si>
    <t>חבורות במסכת ברכות</t>
  </si>
  <si>
    <t>כולל בוני ירושלים</t>
  </si>
  <si>
    <t>חבורות על מסכת ב"ק</t>
  </si>
  <si>
    <t>ברקלי, ע.</t>
  </si>
  <si>
    <t>חבורות על מסכת כתובות</t>
  </si>
  <si>
    <t>שוויכה, יעקב בן שמואל</t>
  </si>
  <si>
    <t>חבורות שנאמרו ע"י מו"ר הגר"א דויטש שליט"א</t>
  </si>
  <si>
    <t>דויטש, אשר</t>
  </si>
  <si>
    <t>חבורי טהרה - חולין (פרק העור והרוטב)</t>
  </si>
  <si>
    <t>חבורי לקוטים</t>
  </si>
  <si>
    <t>מרגליות, אביעזרי זליג בן יצחק איזק</t>
  </si>
  <si>
    <t>חבורת הפסח</t>
  </si>
  <si>
    <t>לב, חיים בן יעקב</t>
  </si>
  <si>
    <t>חבורתא קדישתא</t>
  </si>
  <si>
    <t>חשס"ד</t>
  </si>
  <si>
    <t>חביב אדם</t>
  </si>
  <si>
    <t>חביבא אורייתא קמי דקב"ה</t>
  </si>
  <si>
    <t>חביבות הצניעות</t>
  </si>
  <si>
    <t>חביבות התורה</t>
  </si>
  <si>
    <t>חביבי עירובין</t>
  </si>
  <si>
    <t>מרזל, צבי חיים בן אריה ליב</t>
  </si>
  <si>
    <t>חביבים יסורים</t>
  </si>
  <si>
    <t>חביבין דבקבעתא</t>
  </si>
  <si>
    <t>פוקס, עקיבא דב בן דוד זלמן</t>
  </si>
  <si>
    <t>חביבין יסורים</t>
  </si>
  <si>
    <t>אייזנבלט, שמואל דב בן שלמה הכהן</t>
  </si>
  <si>
    <t>חביבין ישראל - 6 כר'</t>
  </si>
  <si>
    <t>שולגסר, חנוך ח בן ישראל אריה</t>
  </si>
  <si>
    <t>חביון עוז - 2 כר'</t>
  </si>
  <si>
    <t>וינברג, עזריאל זליג בן חיים יוסף דוד</t>
  </si>
  <si>
    <t>חבל בני יהודה</t>
  </si>
  <si>
    <t>חביליו, שמעון בן יהודה</t>
  </si>
  <si>
    <t>תנ"ד - תנ"ה</t>
  </si>
  <si>
    <t>חבל בנימין</t>
  </si>
  <si>
    <t>ליפקין, חיים בנימין בן ישראל מתתיהו</t>
  </si>
  <si>
    <t>יוהנסבורג, אפריקה הד</t>
  </si>
  <si>
    <t>חבל הכסף</t>
  </si>
  <si>
    <t>אלנבוגן, יצחק מאיר בן חיים שלמה</t>
  </si>
  <si>
    <t>חבל יהודה</t>
  </si>
  <si>
    <t>יהודה בן ישראל מקאלוואריה</t>
  </si>
  <si>
    <t>חבל יוסף - 4 כר'</t>
  </si>
  <si>
    <t>תר"מ - תרפ"ב</t>
  </si>
  <si>
    <t>חבל יעקב - 4 כר'</t>
  </si>
  <si>
    <t>ברוכוב, אבא יעקב בן יחיאל מיכל הכהן</t>
  </si>
  <si>
    <t>חבל להחיות</t>
  </si>
  <si>
    <t>גלוגוי, משה בן צבי הירש</t>
  </si>
  <si>
    <t>חבל נביאים</t>
  </si>
  <si>
    <t>יעקב בן רפאל הלוי</t>
  </si>
  <si>
    <t>חבל נחלה - 2 כר'</t>
  </si>
  <si>
    <t>פרידמאן, נחמיה בן ישראל</t>
  </si>
  <si>
    <t>תר"ע - תרע"ב</t>
  </si>
  <si>
    <t>חבלי חיים</t>
  </si>
  <si>
    <t>רוזנטל, חיים עוזר בן יהושע מאיר</t>
  </si>
  <si>
    <t>חבלי יוצר</t>
  </si>
  <si>
    <t>חבלי משיח בזמננו</t>
  </si>
  <si>
    <t>איזנברג, רפאל הלוי</t>
  </si>
  <si>
    <t>חבלי משיח וביאור לספר מסילת ישרים</t>
  </si>
  <si>
    <t>קנריק, ישראל אליעזר</t>
  </si>
  <si>
    <t>חבלי משיח - 2 כר'</t>
  </si>
  <si>
    <t>חבלים בנעימים - 5 כר'</t>
  </si>
  <si>
    <t>תרס"א - תרצ"ט</t>
  </si>
  <si>
    <t>חבצלת השרון לרבי יחיא בשירי</t>
  </si>
  <si>
    <t>בשירי, יחיא</t>
  </si>
  <si>
    <t>חבצלת השרון</t>
  </si>
  <si>
    <t>[שנ"ב,</t>
  </si>
  <si>
    <t>חבצלת השרון - 3 כר'</t>
  </si>
  <si>
    <t>באב"ד, דוד מנחם מוניש בן יהושע השל</t>
  </si>
  <si>
    <t>חבצלת השרון - 11 כר'</t>
  </si>
  <si>
    <t>קרליבך, מרדכי בן משה</t>
  </si>
  <si>
    <t>חבקבוק הנביא - 2 כר'</t>
  </si>
  <si>
    <t>לוי בן גרשון (רלב"ג). מיוחס לו - קלונימוס בן קלונימוס</t>
  </si>
  <si>
    <t>רע"ג-תשל"ח</t>
  </si>
  <si>
    <t>Pesaro פזרו -ירושלים</t>
  </si>
  <si>
    <t>חבר אמרים - 5 כר'</t>
  </si>
  <si>
    <t>חבר מאמרי התורה</t>
  </si>
  <si>
    <t>ברוידא, שמחה זיסל</t>
  </si>
  <si>
    <t>חבר שעורים - יבמות</t>
  </si>
  <si>
    <t>רוטברג, זלמן בן טוביה</t>
  </si>
  <si>
    <t>חברה יהודית ים תיכונית בשלהי ימי הביניים לאור גניזת קהיר</t>
  </si>
  <si>
    <t>דוד, אברהם</t>
  </si>
  <si>
    <t>חברה מחזירי עטרה ליושנה</t>
  </si>
  <si>
    <t>חברה קדושה של ביקור חולים</t>
  </si>
  <si>
    <t>באסאן, חזקיה מרדכי בן שמואל חיים</t>
  </si>
  <si>
    <t>חברון - מפרעות תרפ"ט עד מאורעות תשנ"ד</t>
  </si>
  <si>
    <t>חברותא - 71 כר'</t>
  </si>
  <si>
    <t>שולביץ, יעקב</t>
  </si>
  <si>
    <t>חברי דעה</t>
  </si>
  <si>
    <t>קובץ כולל עבודת לוי</t>
  </si>
  <si>
    <t>חברים מקשיבים</t>
  </si>
  <si>
    <t>חברים מקשיבים - תורת זאב - דמאי</t>
  </si>
  <si>
    <t>חברת בית אברהם - תקנות</t>
  </si>
  <si>
    <t>כולל ווילנא</t>
  </si>
  <si>
    <t>חבש פאר - 2 כר'</t>
  </si>
  <si>
    <t>הלכה ומנהג, הלכה ומנהג, מחשבה ומוסר</t>
  </si>
  <si>
    <t>חבת הקדש</t>
  </si>
  <si>
    <t>חבת הקודש</t>
  </si>
  <si>
    <t>חבת ירושלים</t>
  </si>
  <si>
    <t>הורוויץ, חיים בן דוב הלוי</t>
  </si>
  <si>
    <t>שרהזון, אליהו בן יצחק אייזיק</t>
  </si>
  <si>
    <t>חבת ירושלם - 3 כר'</t>
  </si>
  <si>
    <t>חבת ציון (מהרש"א מראי מקומות)</t>
  </si>
  <si>
    <t>קנופלעך, אריה לייב</t>
  </si>
  <si>
    <t>חבת שמואל</t>
  </si>
  <si>
    <t>רודניא, שמואל בן גרשון</t>
  </si>
  <si>
    <t>תרצ"א - תרצ"ה</t>
  </si>
  <si>
    <t>חג האסיף</t>
  </si>
  <si>
    <t>אלמולי, משה יצחק קונורטי</t>
  </si>
  <si>
    <t>ליברמן, יצחק מאיר ברכיה בן שמחה בונם</t>
  </si>
  <si>
    <t>חג המימונה</t>
  </si>
  <si>
    <t>חג המימונה - פנים לגאולה</t>
  </si>
  <si>
    <t>שושנה, אליהו</t>
  </si>
  <si>
    <t>חג המצות - 2 כר'</t>
  </si>
  <si>
    <t>דרושים, הלכה ומנהג, מועדי ישראל, מחשבה ומוסר, נושאים שונים, תנ"ך</t>
  </si>
  <si>
    <t>חג הסוכות בהלכה ובאגדה</t>
  </si>
  <si>
    <t>ישראל ?</t>
  </si>
  <si>
    <t>חג הסוכות ומצוותיו</t>
  </si>
  <si>
    <t>חג הסוכות - שיח איש</t>
  </si>
  <si>
    <t>חג הפסח בהלכה ובאגדה</t>
  </si>
  <si>
    <t>חג הפסח בעיירתנו</t>
  </si>
  <si>
    <t>ברקאן, לאה</t>
  </si>
  <si>
    <t>חג הפסח</t>
  </si>
  <si>
    <t>הורוויץ, שמריהו ליב</t>
  </si>
  <si>
    <t>עידאן, דוד בן משה</t>
  </si>
  <si>
    <t>חג השבועות</t>
  </si>
  <si>
    <t>סידרת זמנים</t>
  </si>
  <si>
    <t>שכטר, ישעיהו בן ישראל אברהם</t>
  </si>
  <si>
    <t>חג ומועד</t>
  </si>
  <si>
    <t>אלקריף, רפאל</t>
  </si>
  <si>
    <t>חג שמואל</t>
  </si>
  <si>
    <t>חגוי הסלע</t>
  </si>
  <si>
    <t>הורוביץ, יוסף יונה צבי הלוי</t>
  </si>
  <si>
    <t>חגוי הסלע - 6 כר'</t>
  </si>
  <si>
    <t>טאובה, יונה בן שמואל ברוך בענדיט</t>
  </si>
  <si>
    <t>חגור האפד</t>
  </si>
  <si>
    <t>חגורת שמואל</t>
  </si>
  <si>
    <t>שמואל בן עזריאל מלאנצבורג</t>
  </si>
  <si>
    <t>חגי דוד</t>
  </si>
  <si>
    <t>חגי דוד - 2 כר'</t>
  </si>
  <si>
    <t>סעדון, מקיקץ דוד</t>
  </si>
  <si>
    <t>חגי יהודה</t>
  </si>
  <si>
    <t>חגיגת הרגל</t>
  </si>
  <si>
    <t>חגיגת שלמה</t>
  </si>
  <si>
    <t>מילר, שלמה בן דוד אלימלך</t>
  </si>
  <si>
    <t>חגים וזמנים</t>
  </si>
  <si>
    <t>אייכנשטיין, יצחק אייזיק בן אליהו</t>
  </si>
  <si>
    <t>חסידות, חסידות, תולדות עם ישראל</t>
  </si>
  <si>
    <t>חגים וזמנים - 2 כר'</t>
  </si>
  <si>
    <t>חגים ומועדים</t>
  </si>
  <si>
    <t>צוריאל, אברהם בן מאיר</t>
  </si>
  <si>
    <t>חד וחלק - 3 כר'</t>
  </si>
  <si>
    <t>אסמאן, ברוך בן יעקב יוסף</t>
  </si>
  <si>
    <t>תרמ"ב - תרע"א</t>
  </si>
  <si>
    <t>חד וחלק - 4 כר'</t>
  </si>
  <si>
    <t>פרוש, משה צבי</t>
  </si>
  <si>
    <t>חד"ר בריו"ח - ב</t>
  </si>
  <si>
    <t>דרעי, חנניה בן יעיש</t>
  </si>
  <si>
    <t>חד"ר נא"ה</t>
  </si>
  <si>
    <t>חדוות החיים - 10 כר'</t>
  </si>
  <si>
    <t>חדוות השבת - מוקצה</t>
  </si>
  <si>
    <t>חבורת אברכים בישיבת מיר</t>
  </si>
  <si>
    <t>חדוות יוסף - 2 כר'</t>
  </si>
  <si>
    <t>ברנד, יוסף בן חיים</t>
  </si>
  <si>
    <t>חדוות יעקב - 4 כר'</t>
  </si>
  <si>
    <t>תופיק, יעקב</t>
  </si>
  <si>
    <t>חדוות מרדכי - 4 כר'</t>
  </si>
  <si>
    <t>אפוליון, מרדכי</t>
  </si>
  <si>
    <t>חדוותא דבי מדרשא - 2 כר'</t>
  </si>
  <si>
    <t>חדוותא דשמעתתא זכרון שמואל - עירובין</t>
  </si>
  <si>
    <t>כולל חמדת ישראל</t>
  </si>
  <si>
    <t>חדוותא דשמעתתא</t>
  </si>
  <si>
    <t>אמסלם, אשר</t>
  </si>
  <si>
    <t>חדוותא דשמעתתא - גיטין</t>
  </si>
  <si>
    <t>חדוותא דשמעתתא - נדה</t>
  </si>
  <si>
    <t>קובץ כולל חמדת ישראל</t>
  </si>
  <si>
    <t>חדוותא תליתאי</t>
  </si>
  <si>
    <t>חדושי בבא בתרא &lt;רמב"ן"&gt;</t>
  </si>
  <si>
    <t>[תע"ה,</t>
  </si>
  <si>
    <t>חדושי דינים מהלכות פסח</t>
  </si>
  <si>
    <t>אבן רובי, יצחק דוד</t>
  </si>
  <si>
    <t>חדושי הגאון רבי אלעזר משה</t>
  </si>
  <si>
    <t>חדושי הרב רבנו נסים (חידושי הר"ן לגיטין)</t>
  </si>
  <si>
    <t>ניסים בן ראובן גירונדי (ר"ן)</t>
  </si>
  <si>
    <t>[תע"א,</t>
  </si>
  <si>
    <t>קושטאנדינה,</t>
  </si>
  <si>
    <t>חדושי הרשב"א חמש שיטות</t>
  </si>
  <si>
    <t>אבן-אדרת, שלמה בן אברהם (רשב"א)</t>
  </si>
  <si>
    <t>תר"ך,</t>
  </si>
  <si>
    <t>חדושי הרשב"א על שבע שיטות</t>
  </si>
  <si>
    <t>[תר"ך],</t>
  </si>
  <si>
    <t>חדושי יחיאל</t>
  </si>
  <si>
    <t>ליבשיץ, יחיאל אידל בן דוב זאב</t>
  </si>
  <si>
    <t>חדושי מהרא"י</t>
  </si>
  <si>
    <t>חדושי נדה</t>
  </si>
  <si>
    <t>בן אדרת, שלמה בן אברהם (רשב"א)</t>
  </si>
  <si>
    <t>תקלו</t>
  </si>
  <si>
    <t>מיץ</t>
  </si>
  <si>
    <t>חדושי תורה</t>
  </si>
  <si>
    <t>הלוי, מרדכי בן שלמה דניאל</t>
  </si>
  <si>
    <t>חדושי תלמיד הרשב"א והרא"ש - ב"ק</t>
  </si>
  <si>
    <t>חדושי תלמיד הרשב"א והרא"ש</t>
  </si>
  <si>
    <t>חדושים ממסכת נדה</t>
  </si>
  <si>
    <t>חדושים על התורה מתלמידי מרן החזו"א</t>
  </si>
  <si>
    <t>חדות אליהו</t>
  </si>
  <si>
    <t>חדאד, אליהו בן אברהם</t>
  </si>
  <si>
    <t>תלמוד בבלי, תלמוד בבלי, תנ"ך</t>
  </si>
  <si>
    <t>חדות המועדים - 2 כר'</t>
  </si>
  <si>
    <t>הררי רפול, יוסף בן שלמה</t>
  </si>
  <si>
    <t>חדות השבת</t>
  </si>
  <si>
    <t>חדות השבת - ב</t>
  </si>
  <si>
    <t>ירושים</t>
  </si>
  <si>
    <t>חדות השם - 6 כר'</t>
  </si>
  <si>
    <t>גרינברגר, שמואל בן יצחק אייזיק</t>
  </si>
  <si>
    <t>חדות יהושע</t>
  </si>
  <si>
    <t>חדות יו"ט - ביצה</t>
  </si>
  <si>
    <t>אריאל, יעקב אריה בן משה</t>
  </si>
  <si>
    <t>חדות יוצר - 2 כר'</t>
  </si>
  <si>
    <t>רוזנבלט, יצחק בן יהושע</t>
  </si>
  <si>
    <t>חדות יעקב - 2 כר'</t>
  </si>
  <si>
    <t>זאמשט, יעקב</t>
  </si>
  <si>
    <t>יעקב בן יהודה יידל</t>
  </si>
  <si>
    <t>חדות יעקב</t>
  </si>
  <si>
    <t>יעקב זאב בן אריה</t>
  </si>
  <si>
    <t>תרצ"-</t>
  </si>
  <si>
    <t>חדות יעקב - בבא מציעא</t>
  </si>
  <si>
    <t>ישיבת גאון יעקב</t>
  </si>
  <si>
    <t>מייזלש, צבי אריה יהודה יעקב בן דוד דוב</t>
  </si>
  <si>
    <t>עדס, יעקב בן אברהם חיים</t>
  </si>
  <si>
    <t>חדות שמחה</t>
  </si>
  <si>
    <t>שמחה בונם בן צבי הירש מפרשיסחה</t>
  </si>
  <si>
    <t>חדותא דמלכה</t>
  </si>
  <si>
    <t>חדותא דשמעתתא</t>
  </si>
  <si>
    <t>ישינסקי, ירחמיאל צבי בן שמחה מאיר הלוי</t>
  </si>
  <si>
    <t>תרע"ב - תרע"ג</t>
  </si>
  <si>
    <t>חדי בחידה</t>
  </si>
  <si>
    <t>עמאש, יעקב דניאל בן יוסף אברהם הכהן</t>
  </si>
  <si>
    <t>חדר הורתי</t>
  </si>
  <si>
    <t>חדרי בטן</t>
  </si>
  <si>
    <t>חדרי בית</t>
  </si>
  <si>
    <t>חדרי דעה</t>
  </si>
  <si>
    <t>רוזנבלום, דוד דב בן יצחק אליעזר</t>
  </si>
  <si>
    <t>חדרי דעת - 4 כר'</t>
  </si>
  <si>
    <t>חדרי מצות</t>
  </si>
  <si>
    <t>רייך, יוסף חיים דוד</t>
  </si>
  <si>
    <t>חדרי תורה</t>
  </si>
  <si>
    <t>דעי, חגי בן יוסף</t>
  </si>
  <si>
    <t>חדש בחדשו</t>
  </si>
  <si>
    <t>חדש בקרבי - 4 כר'</t>
  </si>
  <si>
    <t>חדש בשנה</t>
  </si>
  <si>
    <t>הלוי, אליהו בן דוד הלוי חסדאי</t>
  </si>
  <si>
    <t>חדש האביב</t>
  </si>
  <si>
    <t>חורי, אבי שלום</t>
  </si>
  <si>
    <t>חדש האביב - 2 כר'</t>
  </si>
  <si>
    <t>חדשים גם ישנים</t>
  </si>
  <si>
    <t>הברמן, אברהם מאיר</t>
  </si>
  <si>
    <t>חדשים גם ישנים - ב</t>
  </si>
  <si>
    <t>חדשים גם ישנים - 5 כר'</t>
  </si>
  <si>
    <t>שטייף, יונתן בן צבי</t>
  </si>
  <si>
    <t>חדשים לבקרים - 2 כר'</t>
  </si>
  <si>
    <t>פולק, יהושע</t>
  </si>
  <si>
    <t>חדשים לבקרים</t>
  </si>
  <si>
    <t>תפילות. סליחות. אשמורת הבוקר. שפ"ב</t>
  </si>
  <si>
    <t>חדשים לקטרת</t>
  </si>
  <si>
    <t>טננבוים, אהרן בן אריה</t>
  </si>
  <si>
    <t>חובות הבטחון</t>
  </si>
  <si>
    <t>חובות הלבבות &lt;לב טוב&gt; - 2 כר'</t>
  </si>
  <si>
    <t>אבן-פקודה, בחיי בן יוסף - ליברמן, פנחס יהודה בן טוביה</t>
  </si>
  <si>
    <t>חובות הלבבות &lt;דפוס ראשון&gt;</t>
  </si>
  <si>
    <t>אבן-פקודה, בחיי בן יוסף</t>
  </si>
  <si>
    <t>חובות הלבבות &lt;מהדורת ירושלמי&gt;</t>
  </si>
  <si>
    <t>חובות הלבבות &lt;מנוח הלבבות&gt;</t>
  </si>
  <si>
    <t>חובות הלבבות &lt;שער היחוד&gt; עם דרך הקודש, פחד יצחק ומנוח הלבבות</t>
  </si>
  <si>
    <t>חובות הלבבות &lt;לב טוב הקצר&gt;</t>
  </si>
  <si>
    <t>ליברמן, פנחס יהודה בן טוביה</t>
  </si>
  <si>
    <t>חובות הלבבות הקצר</t>
  </si>
  <si>
    <t>מאור, אבישי</t>
  </si>
  <si>
    <t>חובות הלבבות שער הבטחון &lt;לב הארי&gt;</t>
  </si>
  <si>
    <t>אבן-פקודה, בחיי בן יוסף - פישר, ברוך אריה הלוי</t>
  </si>
  <si>
    <t>חובות הלבבות שער התשובה &lt;נאדר בקודש&gt;</t>
  </si>
  <si>
    <t>אבן-פקודה, בחיי בן יוסף - לובנשטיין, יצחק</t>
  </si>
  <si>
    <t>חובות הלבבות שער חשבון הנפש &lt;הבנת החשבון - בינת המקרא&gt;</t>
  </si>
  <si>
    <t>חובות הלבבות - 3 כר'</t>
  </si>
  <si>
    <t>אבן-בקודה, בחיי בן יוסף</t>
  </si>
  <si>
    <t>חובות הלבבות - 4 כר'</t>
  </si>
  <si>
    <t>חוברת ביבליוגרפית לקורות מאבקיה של היהדות הנאמנה</t>
  </si>
  <si>
    <t>רומנוב, מרים</t>
  </si>
  <si>
    <t>חוברת המשכן</t>
  </si>
  <si>
    <t>חוברת זכרון להרב משה בלוי</t>
  </si>
  <si>
    <t>בלוי, משה בן יצחק שלמה</t>
  </si>
  <si>
    <t>חוברת יד יוסף</t>
  </si>
  <si>
    <t>חוברת לבית הזמנים</t>
  </si>
  <si>
    <t>המתיבתא שע"י ישיבת פורת יוסף</t>
  </si>
  <si>
    <t>חוברת לימוד טעמו וראו</t>
  </si>
  <si>
    <t>כהן, חיים דוד</t>
  </si>
  <si>
    <t>חוברת ללימוד הקריאה הערבית</t>
  </si>
  <si>
    <t>ריבלין, יוסף יואל</t>
  </si>
  <si>
    <t>חוברת למוסר</t>
  </si>
  <si>
    <t>כהן, אפרים מנשה</t>
  </si>
  <si>
    <t>חוברת מבוא להלכות תחום שבת</t>
  </si>
  <si>
    <t>ערבתם</t>
  </si>
  <si>
    <t>חוברת מוסר - 2 כר'</t>
  </si>
  <si>
    <t>חוברת מפתח למפעלי רבי יוסף ריבלין</t>
  </si>
  <si>
    <t>ווישנאצקי, אלתר דוב בן אריה ליב</t>
  </si>
  <si>
    <t>חוברת נפלאים מעשיך</t>
  </si>
  <si>
    <t>לובן, ישראל</t>
  </si>
  <si>
    <t>חוברת עזר ללימוד פרשות קדושים אמור</t>
  </si>
  <si>
    <t>סלובס, משה דב בן אברהם יהודה</t>
  </si>
  <si>
    <t>חוברת עזר ללימוד פרשות - 4 כר'</t>
  </si>
  <si>
    <t>חוברת של קרן התורה</t>
  </si>
  <si>
    <t>אגודת ישראל. קרן התורה</t>
  </si>
  <si>
    <t>וינה,</t>
  </si>
  <si>
    <t>חוברת שמעון ולוי אחים</t>
  </si>
  <si>
    <t>מרצינו, שמעון</t>
  </si>
  <si>
    <t>חוברת שרידי תימן</t>
  </si>
  <si>
    <t>חוברת תורת חיים</t>
  </si>
  <si>
    <t>בית המדרש 'החדש' מנשסתר</t>
  </si>
  <si>
    <t>מנסשסתר</t>
  </si>
  <si>
    <t>חובת אדם</t>
  </si>
  <si>
    <t>למדן, אהרן בן ברוך יעקב</t>
  </si>
  <si>
    <t>חובת גידולי הארץ</t>
  </si>
  <si>
    <t>חובת האדם בעולמו - לפי הסכמת זקני גדולי ישראל</t>
  </si>
  <si>
    <t>חובת האדם בעולמו - סוגיות במוסר ובמידות לפי סדר פרשות השבוע</t>
  </si>
  <si>
    <t>חובת האדם בעולמו</t>
  </si>
  <si>
    <t>חובת הארץ &lt;מהדורה חדשה&gt;</t>
  </si>
  <si>
    <t>כצ'ורי, נסים עזרא</t>
  </si>
  <si>
    <t>חובת הארץ</t>
  </si>
  <si>
    <t>קראוויץ, משה בן ירוחם פישל</t>
  </si>
  <si>
    <t>חובת הבחירה</t>
  </si>
  <si>
    <t>חובת הבטחון וההשתדלות</t>
  </si>
  <si>
    <t>שרים, עזרא בן משה</t>
  </si>
  <si>
    <t>חובת הדר &lt;מהדורה חדשה&gt;</t>
  </si>
  <si>
    <t>חובת הדר</t>
  </si>
  <si>
    <t>חובת היהודי בעולמו</t>
  </si>
  <si>
    <t>חובת השמירה - 2 כר'</t>
  </si>
  <si>
    <t>חובת התלמידים &lt;מהדורת אורייתא&gt;</t>
  </si>
  <si>
    <t>חובת התלמידים - 2 כר'</t>
  </si>
  <si>
    <t>חובת נשים &lt;מדת ודין&gt; - ד</t>
  </si>
  <si>
    <t>פרידלנדר, יואל בן מאיר</t>
  </si>
  <si>
    <t>חובת שירטוט</t>
  </si>
  <si>
    <t>שוויי, מנשה נתנאל</t>
  </si>
  <si>
    <t>חובתינו בשעה זו</t>
  </si>
  <si>
    <t>חוג הארץ השלם</t>
  </si>
  <si>
    <t>שלמה בן משה מחלמא</t>
  </si>
  <si>
    <t>חוג הארץ - 2 כר'</t>
  </si>
  <si>
    <t>חודש בחדשו - 12 כר'</t>
  </si>
  <si>
    <t>חודש ניסן פסח ויציאת מצרים</t>
  </si>
  <si>
    <t>חוות בנימין - 3 כר'</t>
  </si>
  <si>
    <t>חוות דעת - על בעיית ניתוחי המתים בישראל</t>
  </si>
  <si>
    <t>חוות דעת רבני ישראל</t>
  </si>
  <si>
    <t>חוות דעת</t>
  </si>
  <si>
    <t>לוברבוים, יעקב בן יעקב משה</t>
  </si>
  <si>
    <t>פולנאה,</t>
  </si>
  <si>
    <t>חוות דעת - 2 כר'</t>
  </si>
  <si>
    <t>חוזה דוד</t>
  </si>
  <si>
    <t>תפ"ד</t>
  </si>
  <si>
    <t>חוזה לך ברח - עמוס</t>
  </si>
  <si>
    <t>חוט המשולש ברכי יוסף - 2 כר'</t>
  </si>
  <si>
    <t>לוביאניקר, אברהם יוסף בן זיסא</t>
  </si>
  <si>
    <t>חוט המשולש בשערים &lt;יד יואל&gt; - 2 כר'</t>
  </si>
  <si>
    <t>אשר למל בן יהודה זלקי הלוי</t>
  </si>
  <si>
    <t>חוט המשולש בשערים &lt;מהדורה חדשה&gt;</t>
  </si>
  <si>
    <t>חוט המשולש בשערים</t>
  </si>
  <si>
    <t>חוט המשולש החדש - 3 כר'</t>
  </si>
  <si>
    <t>חוט המשולש השני</t>
  </si>
  <si>
    <t>הלכה ומנהג, הלכה ומנהג, קבצים וכתבי עת, ספרי זכרון ויובל, שאלות ותשובות</t>
  </si>
  <si>
    <t>חוט המשולש - 2 כר'</t>
  </si>
  <si>
    <t>חוט המשולש</t>
  </si>
  <si>
    <t>בריסקין, יהושע בן חיים ישראל</t>
  </si>
  <si>
    <t>גינז, אלעזר שמחה בונים בן שמואל</t>
  </si>
  <si>
    <t>הכהן, שאול בן משה</t>
  </si>
  <si>
    <t>מחשבה ומוסר, נושאים שונים, שלחן ערוך ומפרשיו, תולדות עם ישראל</t>
  </si>
  <si>
    <t>טייכהאלץ, אריה משה בן יוסף צבי</t>
  </si>
  <si>
    <t>פעפער, צבי פרץ שבתי בן שמעון יצחק</t>
  </si>
  <si>
    <t>פפר, צבי פרץ שבתי</t>
  </si>
  <si>
    <t>חוט המשולש - ח</t>
  </si>
  <si>
    <t>רום, משה בן יוחנן הכהן</t>
  </si>
  <si>
    <t>חוט השני &lt;דפו"ר&gt;</t>
  </si>
  <si>
    <t>בכרך, אברהם שמואל בן יצחק</t>
  </si>
  <si>
    <t>[תל"ט,</t>
  </si>
  <si>
    <t>[פראנקפורט דמיין],</t>
  </si>
  <si>
    <t>חוט השני</t>
  </si>
  <si>
    <t>בכרך, יאיר חיים בן משה שמשון, בכרך, אברהם שמואל בן יצחק</t>
  </si>
  <si>
    <t>Sudilkov סדילקוב</t>
  </si>
  <si>
    <t>חוט של חסד &lt;מהדורה חדשה&gt;</t>
  </si>
  <si>
    <t>חוט של חסד</t>
  </si>
  <si>
    <t>חוט של חסד - 9 כר'</t>
  </si>
  <si>
    <t>חוט שני - 16 כר'</t>
  </si>
  <si>
    <t>קרליץ, שמריהו יוסף ניסים בן נחום מאיר</t>
  </si>
  <si>
    <t>חוט תכלת</t>
  </si>
  <si>
    <t>חוטים המשולשים</t>
  </si>
  <si>
    <t>שטרן, אברהם בן יששכר</t>
  </si>
  <si>
    <t>חול המועד כהלכתו</t>
  </si>
  <si>
    <t>פרקש, יקותיאל</t>
  </si>
  <si>
    <t>חולו של מועד</t>
  </si>
  <si>
    <t>חולין בטהרה</t>
  </si>
  <si>
    <t>מרדכי דוד</t>
  </si>
  <si>
    <t>חולת אהבה</t>
  </si>
  <si>
    <t>הכהן, צמח בן סעייד</t>
  </si>
  <si>
    <t>חומות ירושלים</t>
  </si>
  <si>
    <t>קליינרמאן, דוד בן יעקב</t>
  </si>
  <si>
    <t>חומות מבצר</t>
  </si>
  <si>
    <t>חומר בקודש &lt;מהדורה חדשה&gt;</t>
  </si>
  <si>
    <t>הורוויץ, צבי הירש בן פינחס הלוי</t>
  </si>
  <si>
    <t>חומר בקודש</t>
  </si>
  <si>
    <t>בית מדרש "כולל קדשים"</t>
  </si>
  <si>
    <t>חומר החקלאות בתלמוד</t>
  </si>
  <si>
    <t>פרוש-גליקמאן, אליהו נחום בן שלמה זלמן</t>
  </si>
  <si>
    <t>חומרות וקולות</t>
  </si>
  <si>
    <t>חומרי מתניתא</t>
  </si>
  <si>
    <t>חומש &lt;משפטי ה' אמת צדקו יחדיו&gt; - 2 כר'</t>
  </si>
  <si>
    <t>קריספין, יעקב (עורך)</t>
  </si>
  <si>
    <t>חומש אביר יעקב - 5 כר'</t>
  </si>
  <si>
    <t>חומש אדרת אליהו &lt;מנורת שלמה - 2 כר'</t>
  </si>
  <si>
    <t>אליהו בן שלמה זלמן (הגר"א) - אור שרגא פייבוש בן שלמה זלמן, מדוברובנה</t>
  </si>
  <si>
    <t>דוברונה</t>
  </si>
  <si>
    <t>חומש אוצר הראשונים - 5 כר'</t>
  </si>
  <si>
    <t>אסיא, יוסף דב (עורך)</t>
  </si>
  <si>
    <t>חומש אוצר התרגומים - א</t>
  </si>
  <si>
    <t>מכון בי מדרשא</t>
  </si>
  <si>
    <t>חומש אור החיים עם ביאור אור לעינים - 7 כר'</t>
  </si>
  <si>
    <t>הלחמי, שמואל נחום</t>
  </si>
  <si>
    <t>חומש בינו שנות דור ודור - אלפיים שנות תורה</t>
  </si>
  <si>
    <t>כליל, אייל</t>
  </si>
  <si>
    <t>חומש בית הכנסת</t>
  </si>
  <si>
    <t>מערכת עוז והדר</t>
  </si>
  <si>
    <t>חומש בית יהודא - 5 כר'</t>
  </si>
  <si>
    <t>תנ"ך. תשי"ד. ניו יורק</t>
  </si>
  <si>
    <t>חומש בכתב אשורי עם תרגום אונקלוס מדויק - 5 כר'</t>
  </si>
  <si>
    <t>פוזן, מיכאל (עורך התרגום)</t>
  </si>
  <si>
    <t>חומש בראשית עם למודי השם</t>
  </si>
  <si>
    <t>חומש גסטר &lt;THE TITTLED BIBLE&gt;</t>
  </si>
  <si>
    <t>גסטר, משה</t>
  </si>
  <si>
    <t>חומש דעת ותבונה ע"פ רבינו יונה - 5 כר'</t>
  </si>
  <si>
    <t>חומש הגבורים</t>
  </si>
  <si>
    <t>חומש החיד"א - 10 כר'</t>
  </si>
  <si>
    <t>אזולאי, חיים יוסף דוד בן רפאל יצחק זרחיה - מנדלבוים, דוד אברהם</t>
  </si>
  <si>
    <t>חומש המבואר &lt;שימה בפיהם&gt; - 5 כר'</t>
  </si>
  <si>
    <t>סג"ל, פנחס שמען הלוי</t>
  </si>
  <si>
    <t>חומש העמק דבר &lt;חדש&gt; - 5 כר'</t>
  </si>
  <si>
    <t>חומש העמק דבר - 5 כר'</t>
  </si>
  <si>
    <t>תרל"ט - תר"מ</t>
  </si>
  <si>
    <t>חומש הרא"ם &lt;המזרחי&gt; - 6 כר'</t>
  </si>
  <si>
    <t>חומש ילקוט שמואל - 10 כר'</t>
  </si>
  <si>
    <t>חומש כתר יונתן - 5 כר'</t>
  </si>
  <si>
    <t>וורטהיימר, יעקב מנחם</t>
  </si>
  <si>
    <t>חומש מאור עינים &lt;עם עין הקורא&gt; - 4 כר'</t>
  </si>
  <si>
    <t>תנ"ך. תקע"ח. רדלהים</t>
  </si>
  <si>
    <t>תקע"ח - תקפ"א</t>
  </si>
  <si>
    <t>חומש מלאכת הקדש - 5 כר'</t>
  </si>
  <si>
    <t>חומש מנחת שי - במדבר</t>
  </si>
  <si>
    <t>תנ"ך. תרפ"ג. וילנה</t>
  </si>
  <si>
    <t>חומש משיבת נפש - 5 כר'</t>
  </si>
  <si>
    <t>טאמבאר, מנחם מנדל</t>
  </si>
  <si>
    <t>חומש ע"פ המסורה עם תרגום אונקלוס מדויק - 5 כר'</t>
  </si>
  <si>
    <t>פוזן, משה אליעזר - פוזן, מיכאל</t>
  </si>
  <si>
    <t>חומש עטרת רש"י - 5 כר'</t>
  </si>
  <si>
    <t>גולדשמיט, שמואל חיים</t>
  </si>
  <si>
    <t>חומש עין הסופר</t>
  </si>
  <si>
    <t>חומש עם הפסקי עליות בדבר טוב</t>
  </si>
  <si>
    <t>יצחקוב, יוסף אילן</t>
  </si>
  <si>
    <t>חומש עם פירוש האריז"ל - 5 כר'</t>
  </si>
  <si>
    <t>לוריא, יצחק בן שלמה (האר"י)</t>
  </si>
  <si>
    <t>חומש עם פירוש המליץ בינותם - 3 כר'</t>
  </si>
  <si>
    <t>פישביין, צבי בן מתתיהו</t>
  </si>
  <si>
    <t>חומש עם פירוש סייעתא דשמיא - שמות</t>
  </si>
  <si>
    <t>חומש פניני החסידות - 5 כר'</t>
  </si>
  <si>
    <t>אגודת פניני החסידות</t>
  </si>
  <si>
    <t>חומש פרדס הקודש - בראשית</t>
  </si>
  <si>
    <t>ניו  יורק</t>
  </si>
  <si>
    <t>חומש ק"כ פירושים &lt;עברי טייטש&gt; - 4 כר'</t>
  </si>
  <si>
    <t>תנ"ך. ניו יורק</t>
  </si>
  <si>
    <t>חומש רש"י - 2 כר'</t>
  </si>
  <si>
    <t>חומש שיבה לבצרון לפי החלוקה היהודית לסדרים</t>
  </si>
  <si>
    <t>אריאל, בצלאל</t>
  </si>
  <si>
    <t>חומש תולדות אהרן - בראשית</t>
  </si>
  <si>
    <t>אהרן מפיאסרו</t>
  </si>
  <si>
    <t>חומש תורה ברורה - 5 כר'</t>
  </si>
  <si>
    <t>באב"ד, משה יהודה לייבוש</t>
  </si>
  <si>
    <t>חומש תורה לאורה - 4 כר'</t>
  </si>
  <si>
    <t>חומש תורה מאירה - 3 כר'</t>
  </si>
  <si>
    <t>חומת אנ"ך</t>
  </si>
  <si>
    <t>חומת אנך (תורה, חמש מגילות)</t>
  </si>
  <si>
    <t>תולדות עם ישראל, תנ"ך, תנ"ך</t>
  </si>
  <si>
    <t>חומת אנך - 6 כר'</t>
  </si>
  <si>
    <t>תקס"ג - תקס"ד</t>
  </si>
  <si>
    <t>חומת אריאל</t>
  </si>
  <si>
    <t>חומת אש דת - הקבלה והמסורת</t>
  </si>
  <si>
    <t>חומה, ברוך בן אברהם אבא</t>
  </si>
  <si>
    <t>סט לואיס</t>
  </si>
  <si>
    <t>חומת אש - 2 כר'</t>
  </si>
  <si>
    <t>חומת אש</t>
  </si>
  <si>
    <t>ג'סל עקיבא עוזיאל בן שלמה זלמן</t>
  </si>
  <si>
    <t>מושב מתתיהו</t>
  </si>
  <si>
    <t>הוכמן, שמואל אריה</t>
  </si>
  <si>
    <t>ליסר, אלעזר בן שלמה זלמן</t>
  </si>
  <si>
    <t>חומת אש - 10 כר'</t>
  </si>
  <si>
    <t>שילה, אהרן בן דוד</t>
  </si>
  <si>
    <t>חומת הדת והאמונה - 2 כר'</t>
  </si>
  <si>
    <t>היילפרין, שלמה הלוי</t>
  </si>
  <si>
    <t>חומת הדת</t>
  </si>
  <si>
    <t>חומת הדת - 2 כר'</t>
  </si>
  <si>
    <t>חומת הכשרות - א</t>
  </si>
  <si>
    <t>בד"ץ חומת הכשרות</t>
  </si>
  <si>
    <t>חומת יהושע</t>
  </si>
  <si>
    <t>חומת ירושלים - 4 כר'</t>
  </si>
  <si>
    <t>קובץ חידושי תורה על הירושלמי</t>
  </si>
  <si>
    <t>חומת ירושלם</t>
  </si>
  <si>
    <t>ברומברג, אברהם יצחק בן נתן</t>
  </si>
  <si>
    <t>חומת משפט - א</t>
  </si>
  <si>
    <t>כולל חושן משפט שע"י שומרי החומות</t>
  </si>
  <si>
    <t>חומתינו (החומה) - 3 כר'</t>
  </si>
  <si>
    <t>קובץ מאמרים מאנשי נטורי קרתא</t>
  </si>
  <si>
    <t>חונן דעה - יומא</t>
  </si>
  <si>
    <t>פרידלנדר, נחמיה בן חיים</t>
  </si>
  <si>
    <t>חונן ומלוה</t>
  </si>
  <si>
    <t>חוסן יהושע המבואר</t>
  </si>
  <si>
    <t>חוסן יהושע - 2 כר'</t>
  </si>
  <si>
    <t>חוסן יוסף</t>
  </si>
  <si>
    <t>חוסן ישועות</t>
  </si>
  <si>
    <t>גלבשטיין, הלל משה משל בן צבי הירש</t>
  </si>
  <si>
    <t>זולצבאך, אברהם בן יצחק</t>
  </si>
  <si>
    <t>זילברמן, אברהם</t>
  </si>
  <si>
    <t>חוסן ישועות - 4 כר'</t>
  </si>
  <si>
    <t>מייזלש, יצחק בן חיים</t>
  </si>
  <si>
    <t>תקס"ח - תרכ"ח</t>
  </si>
  <si>
    <t>עזרא בן יקותיאל זוסמאן</t>
  </si>
  <si>
    <t>חוסן רב</t>
  </si>
  <si>
    <t>חוף ימים - 5 כר'</t>
  </si>
  <si>
    <t>חרל"פ, יחיאל מיכל בן יעקב משה</t>
  </si>
  <si>
    <t>תשי"ז - תשכ"א</t>
  </si>
  <si>
    <t>הלכה ומנהג, הלכה ומנהג, שלחן ערוך ומפרשיו, תלמוד בבלי</t>
  </si>
  <si>
    <t>חופה וקידושין כהלכתה, שמעתתא כהלכה, לקראת שבת</t>
  </si>
  <si>
    <t>רבינוביץ, רפאל אלחנן</t>
  </si>
  <si>
    <t>חופה וקידושין למעשה</t>
  </si>
  <si>
    <t>דודיאן, דניאל</t>
  </si>
  <si>
    <t>חופה כהלכה</t>
  </si>
  <si>
    <t>חופש הבחירה בהגותו של רבי אברהם אזולאי</t>
  </si>
  <si>
    <t>מאימראן, ישראל</t>
  </si>
  <si>
    <t>חופת אליהו</t>
  </si>
  <si>
    <t>רביע, אליהו בן אפרים</t>
  </si>
  <si>
    <t>חופת חתנים - 3 כר'</t>
  </si>
  <si>
    <t>חופת חתנים - 2 כר'</t>
  </si>
  <si>
    <t>חופת ציון</t>
  </si>
  <si>
    <t>חופת שלמה - בית שלמה</t>
  </si>
  <si>
    <t>שוב, שלמה בן נסים</t>
  </si>
  <si>
    <t>חוקות הארץ - 2 כר'</t>
  </si>
  <si>
    <t>חוקות הדיינים - 3 כר'</t>
  </si>
  <si>
    <t>טזרטי, אברהם בן שלמה</t>
  </si>
  <si>
    <t>חוקות עולם</t>
  </si>
  <si>
    <t>דרושים, הלכה ומנהג, הלכה ומנהג</t>
  </si>
  <si>
    <t>חוקות שדה</t>
  </si>
  <si>
    <t>חוקותי תשמורו</t>
  </si>
  <si>
    <t>חוקי דעה</t>
  </si>
  <si>
    <t>פרץ, אלחנן בן יעקב</t>
  </si>
  <si>
    <t>חוקי האישות על פי דת משה והתלמוד</t>
  </si>
  <si>
    <t>חוקי החיים</t>
  </si>
  <si>
    <t>חוקי הכסף</t>
  </si>
  <si>
    <t>חוקי הקרבנות - 2 כר'</t>
  </si>
  <si>
    <t>שאפר, שאול בן יעקב</t>
  </si>
  <si>
    <t>חוקי ומנהגי הבית דין</t>
  </si>
  <si>
    <t>ועד רבני ליובאוויטש</t>
  </si>
  <si>
    <t>חוקי חיים - 3 כר'</t>
  </si>
  <si>
    <t>בלייר, חיים אהרן בן יהושע שמואל</t>
  </si>
  <si>
    <t>חוקי חיים</t>
  </si>
  <si>
    <t>גאגין, חיים אברהם בן משה</t>
  </si>
  <si>
    <t>חוקי חיים - 4 כר'</t>
  </si>
  <si>
    <t>חוקי חיים - 5 כר'</t>
  </si>
  <si>
    <t>פרידמן, חיים בן הלל</t>
  </si>
  <si>
    <t>חוקי רצונך - 3 כר'</t>
  </si>
  <si>
    <t>חוקר ומקבל</t>
  </si>
  <si>
    <t>חוקר ומקובל ומלחמת משה</t>
  </si>
  <si>
    <t>חוקר ומקובל - 2 כר'</t>
  </si>
  <si>
    <t>חוקת הגר</t>
  </si>
  <si>
    <t>חוקת הטהרה</t>
  </si>
  <si>
    <t>אהלבוים, נח אייזיק - סקוצילס, יעקב אהרן</t>
  </si>
  <si>
    <t>חוקת היום - 3 כר'</t>
  </si>
  <si>
    <t>בראנדר, שלום בן דוד הכהן</t>
  </si>
  <si>
    <t>חוקת הפורים</t>
  </si>
  <si>
    <t>חוקת הפסח &lt;מהדורה ראשונה&gt;</t>
  </si>
  <si>
    <t>גרשוני, יהודה בן גרשון יצחק</t>
  </si>
  <si>
    <t>חוקת הפסח</t>
  </si>
  <si>
    <t>חוקת הפסח - א-ב</t>
  </si>
  <si>
    <t>פרץ, אלחנן - מימון, דוד בן נתן</t>
  </si>
  <si>
    <t>חוקת הפרה</t>
  </si>
  <si>
    <t>חוקת הפתח - מזוזה</t>
  </si>
  <si>
    <t>לפקוביץ, שלמה דב</t>
  </si>
  <si>
    <t>חוקת ישראל - 3 כר'</t>
  </si>
  <si>
    <t>תשי"ג - תש"כ</t>
  </si>
  <si>
    <t>חוקת משפט - 2 כר'</t>
  </si>
  <si>
    <t>רבינוביץ-תאומים, בנימין צבי יהודה בן יעקב</t>
  </si>
  <si>
    <t>חוקת עולם</t>
  </si>
  <si>
    <t>גיאת, מנחם</t>
  </si>
  <si>
    <t>הלכה ומנהג, מועדי ישראל, תפלות בקשות פיוטים ושירה, תפלות בקשות פיוטים ושירה</t>
  </si>
  <si>
    <t>וייל, מאיר דניאל בן יצחק</t>
  </si>
  <si>
    <t>חורב &lt;תרגום חדש&gt;</t>
  </si>
  <si>
    <t>חורב - 2 כר'</t>
  </si>
  <si>
    <t>חורב - 3 כר'</t>
  </si>
  <si>
    <t>חורב</t>
  </si>
  <si>
    <t>תרצ"ו - תרצ"ז</t>
  </si>
  <si>
    <t>חורבן און אופשטאנד פון די אידן אין ווארשע - 2 כר'</t>
  </si>
  <si>
    <t>ניישטאדט, מלך</t>
  </si>
  <si>
    <t>חורבן אירופה &lt;אידיש&gt;</t>
  </si>
  <si>
    <t>חורבן הבית ושבעה דנחמתא - 2 כר'</t>
  </si>
  <si>
    <t>חורבן היהודים בפולין, גליציה ובוקובינה - 4 כר'</t>
  </si>
  <si>
    <t>אנ-סקי, ש.</t>
  </si>
  <si>
    <t>חורבן ישיבת טלז</t>
  </si>
  <si>
    <t>סורוצקין, אליעזר</t>
  </si>
  <si>
    <t>חורבן ליטע</t>
  </si>
  <si>
    <t>חושב מחשבות &lt;מהדורה חדשה&gt;</t>
  </si>
  <si>
    <t>משנה, תלמוד בבלי, תלמוד בבלי, תנ"ך, תנ"ך, תנ"ך, תפלות בקשות פיוטים ושירה</t>
  </si>
  <si>
    <t>חושב מחשבות - 2 כר'</t>
  </si>
  <si>
    <t>קרופמאן, מאיר יהושע בן יעקב</t>
  </si>
  <si>
    <t>מועדי ישראל, תנ"ך, תנ"ך</t>
  </si>
  <si>
    <t>הלכה ומנהג, משנה, תולדות עם ישראל, תלמוד בבלי, תנ"ך</t>
  </si>
  <si>
    <t>חושבי שמו - 2 כר'</t>
  </si>
  <si>
    <t>חושן אהרן</t>
  </si>
  <si>
    <t>מיטלמן, אהרן</t>
  </si>
  <si>
    <t>חושן האפד</t>
  </si>
  <si>
    <t>תרנ"א - תרע"ה</t>
  </si>
  <si>
    <t>חושן שלמה - חו"מ ע"ה-צ"ו</t>
  </si>
  <si>
    <t>עמאר, שלמה</t>
  </si>
  <si>
    <t>חות אליעזר</t>
  </si>
  <si>
    <t>קלר, אליעזר בן יעקב יונה</t>
  </si>
  <si>
    <t>חות יא"ר</t>
  </si>
  <si>
    <t>רוזנפלד, יוסף אלעזר בן צבי הירש</t>
  </si>
  <si>
    <t>חות יאיר &lt;דפו"ר&gt;</t>
  </si>
  <si>
    <t>בכרך, יאיר חיים בן משה שמשון</t>
  </si>
  <si>
    <t>חות יאיר &lt;מהדורה חדשה&gt;</t>
  </si>
  <si>
    <t>חות יאיר חדש &lt;מהדורה חדשה&gt;</t>
  </si>
  <si>
    <t>חות יאיר חדש - 2 כר'</t>
  </si>
  <si>
    <t>חות יאיר</t>
  </si>
  <si>
    <t>כהן, יאיר</t>
  </si>
  <si>
    <t>פורטו, אברהם בן יחיאל הכהן</t>
  </si>
  <si>
    <t>חותם ה'</t>
  </si>
  <si>
    <t>יוסף בן אריה ליב מלובלין</t>
  </si>
  <si>
    <t>חותם האבות - 3 כר'</t>
  </si>
  <si>
    <t>חותם המלך - 2 כר'</t>
  </si>
  <si>
    <t>סופר, משה בן שמואל - פינק, דב הכהן (עורך)</t>
  </si>
  <si>
    <t>חותם כהן - 2 כר'</t>
  </si>
  <si>
    <t>קאהן, משה אהרן בן חיים</t>
  </si>
  <si>
    <t>חותם קדש</t>
  </si>
  <si>
    <t>לווין, יעקב מסאדיגורה</t>
  </si>
  <si>
    <t>חותם של זהב</t>
  </si>
  <si>
    <t>הורביץ, בנימין זאב בן דב הלוי</t>
  </si>
  <si>
    <t>חותם תכנית</t>
  </si>
  <si>
    <t>אביגדור בן שמחה הלוי</t>
  </si>
  <si>
    <t>ריינס, יצחק יעקב בן שלמה נפתלי</t>
  </si>
  <si>
    <t>חותמו של כהן גדול - 3 כר'</t>
  </si>
  <si>
    <t>בלום, אהרן</t>
  </si>
  <si>
    <t>חותמו של כהן</t>
  </si>
  <si>
    <t>כץ, שרגא צבי</t>
  </si>
  <si>
    <t>חזה התנופה</t>
  </si>
  <si>
    <t>ברושילייש, משה בן משה</t>
  </si>
  <si>
    <t>תקנ"ב - תקנ"ה</t>
  </si>
  <si>
    <t>חזה ציון &lt;מהדורה חדשה&gt; - 2 כר'</t>
  </si>
  <si>
    <t>חזה ציון &lt;תהלים&gt;</t>
  </si>
  <si>
    <t>תק"ב - תק"ג</t>
  </si>
  <si>
    <t>חזון אבי - 2 כר'</t>
  </si>
  <si>
    <t>כולל חזון אברהם יצחק</t>
  </si>
  <si>
    <t>חזון אבי</t>
  </si>
  <si>
    <t>עלזאס, נפתלי</t>
  </si>
  <si>
    <t>חזון איש &lt;עיונים וביאורים&gt; - 2 כר'</t>
  </si>
  <si>
    <t>מגיד, אברהם בן מאיר מנחם</t>
  </si>
  <si>
    <t>חזון איש &lt;אמונה ובטחון&gt;</t>
  </si>
  <si>
    <t>חזון איש &lt;קונטרס ח"י שעות&gt;</t>
  </si>
  <si>
    <t>חזון איש עירובין מחיצות עם פירוש פשר חזון</t>
  </si>
  <si>
    <t>קרליץ, אברהם ישעיהו - רוטנברג, ישראל בן מרדכי</t>
  </si>
  <si>
    <t>חזון איש שמונה עשרה שעות ע"פ פשר חזון</t>
  </si>
  <si>
    <t>חזון איש</t>
  </si>
  <si>
    <t>חזון איש - 9 כר'</t>
  </si>
  <si>
    <t>חזון אליהו - א</t>
  </si>
  <si>
    <t>אביטן, אליהו חי</t>
  </si>
  <si>
    <t>חזון אליהו</t>
  </si>
  <si>
    <t>דרבקין, אליהו בן צבי</t>
  </si>
  <si>
    <t>חזון דוד</t>
  </si>
  <si>
    <t>קובץ כולל זכרון משה</t>
  </si>
  <si>
    <t>חזון האיש</t>
  </si>
  <si>
    <t>חזון האמונה וההשגחה</t>
  </si>
  <si>
    <t>גורדון, אריה ליב</t>
  </si>
  <si>
    <t>חזון הנביאים</t>
  </si>
  <si>
    <t>חזון הקולמוס</t>
  </si>
  <si>
    <t>קלמנוביץ, אברהם בן אהרן אריה</t>
  </si>
  <si>
    <t>חזון התקופה</t>
  </si>
  <si>
    <t>ביק, אברהם יהושע בן שאול ישכר</t>
  </si>
  <si>
    <t>חזון התשובה</t>
  </si>
  <si>
    <t>חזון ודרך</t>
  </si>
  <si>
    <t>מנדלברג, ראובן</t>
  </si>
  <si>
    <t>חזון חיים - יו"ד סי' קצו</t>
  </si>
  <si>
    <t>דוידוביץ, חיים צבי</t>
  </si>
  <si>
    <t>חזון יאשיהו - 9 כר'</t>
  </si>
  <si>
    <t>חזון יהודה וירושלם</t>
  </si>
  <si>
    <t>חזון יהושע</t>
  </si>
  <si>
    <t>לרר, יהושע בו יוסף ליב</t>
  </si>
  <si>
    <t>חזון יוסף - 2 כר'</t>
  </si>
  <si>
    <t>סגל, יוסף בן חיים נתן הלוי</t>
  </si>
  <si>
    <t>חזון יחזקאל &lt;תוספתא&gt; - 10 כר'</t>
  </si>
  <si>
    <t>אברמסקי, יחזקאל</t>
  </si>
  <si>
    <t>חזון יחזקאל - 3 כר'</t>
  </si>
  <si>
    <t>משנה, נושאים שונים, שלחן ערוך ומפרשיו, תלמוד בבלי, תלמוד בבלי</t>
  </si>
  <si>
    <t>חזון ישעי' - 3 כר'</t>
  </si>
  <si>
    <t>יונגרייז, ישעיה בן אברהם הלוי</t>
  </si>
  <si>
    <t>חזון ישעיה</t>
  </si>
  <si>
    <t>אברכי כולל בית שלום</t>
  </si>
  <si>
    <t>בביוף, ישעיה</t>
  </si>
  <si>
    <t>טורנוב</t>
  </si>
  <si>
    <t>דיין, ישעיה</t>
  </si>
  <si>
    <t>חזון ישעיהו &lt;ספר זכרון&gt;</t>
  </si>
  <si>
    <t>חזון ישעיהו (יד השל"ה)</t>
  </si>
  <si>
    <t>הורוויץ, ישעיה בן אברהם הלוי - גרוסברג, חנוך זונדל בן דוב בר (עורך)</t>
  </si>
  <si>
    <t>חזון ישעיהו</t>
  </si>
  <si>
    <t>גלזר, ישעיהו בן אברהם אליהו</t>
  </si>
  <si>
    <t>ווילף, ישעיה יוסף</t>
  </si>
  <si>
    <t>פירסט, ישעיהו</t>
  </si>
  <si>
    <t>מועדי ישראל, משנה, שאלות ותשובות, תלמוד בבלי, תלמוד בבלי, תנ"ך</t>
  </si>
  <si>
    <t>רוטפלד, ישעיהו בן שמריהו שמריל</t>
  </si>
  <si>
    <t>תרס"ז! צ"ל: תרס"ט</t>
  </si>
  <si>
    <t>חזון למועד &lt;מהדורה חדשה&gt;</t>
  </si>
  <si>
    <t>חזון למועד</t>
  </si>
  <si>
    <t>איידלברג, מרדכי דוב בן יצחק</t>
  </si>
  <si>
    <t>חזון למועד - הלכות שמחות</t>
  </si>
  <si>
    <t>וואליריאו, שמואל בן יהודה</t>
  </si>
  <si>
    <t>שמ"ו</t>
  </si>
  <si>
    <t>לעדערער, מנחם</t>
  </si>
  <si>
    <t>חזון למועד - 5 כר'</t>
  </si>
  <si>
    <t>שפירא, אריה ליב הכהן</t>
  </si>
  <si>
    <t>חזון למועד, עולת חודש - א &lt;מהדורה חדשה&gt;</t>
  </si>
  <si>
    <t>חזון נחום</t>
  </si>
  <si>
    <t>ברילל, נחום</t>
  </si>
  <si>
    <t>חזון נחום - 2 כר'</t>
  </si>
  <si>
    <t>וויידנפלד, נחום בן יעקב</t>
  </si>
  <si>
    <t>חזון נחום - שביעית תרומות</t>
  </si>
  <si>
    <t>חזון נחום - 5 כר'</t>
  </si>
  <si>
    <t>נחום, אליעזר בן יעקב</t>
  </si>
  <si>
    <t>חזון נחום - 3 כר'</t>
  </si>
  <si>
    <t>ראגוזניצקי, נחום בן יצחק שמעון</t>
  </si>
  <si>
    <t>(תרצ"ה</t>
  </si>
  <si>
    <t>שלזינגר, נחום בן כלב פייבל</t>
  </si>
  <si>
    <t>חזון עובדי'</t>
  </si>
  <si>
    <t>טרופר, עובדיה יהודה בן שניאור זלמן</t>
  </si>
  <si>
    <t>חזון עובדיה - רבנו עובדיה ירא מברטנורא</t>
  </si>
  <si>
    <t>חזון עובדיה</t>
  </si>
  <si>
    <t>וארשאנו, עובדיה</t>
  </si>
  <si>
    <t>עובדיה בן אברהם הלוי</t>
  </si>
  <si>
    <t>עובדיה, מצליח יחיאל בן משה דוד</t>
  </si>
  <si>
    <t>תקצ"ג-תקצ"ו</t>
  </si>
  <si>
    <t>חזון קדומים</t>
  </si>
  <si>
    <t>גולדברג, זלמן נחמיה</t>
  </si>
  <si>
    <t>חזון רפאל</t>
  </si>
  <si>
    <t>לזכר רבי רפאל קוק</t>
  </si>
  <si>
    <t>חזון שמואל - 2 כר'</t>
  </si>
  <si>
    <t>סולניצה, שמואל בן ישעיהו</t>
  </si>
  <si>
    <t>חזון שמואל</t>
  </si>
  <si>
    <t>עזריאל, שמואל בן שלמה</t>
  </si>
  <si>
    <t>חזון שמים</t>
  </si>
  <si>
    <t>ציקינובסקי (ציקוני), איתן בן יצחק</t>
  </si>
  <si>
    <t>חזוק אמונה &lt;עברית וגרמנית&gt;</t>
  </si>
  <si>
    <t>יצחק בן אברהם מטרוקי</t>
  </si>
  <si>
    <t>[תרל"ג].</t>
  </si>
  <si>
    <t>Breslau</t>
  </si>
  <si>
    <t>חזוק אמונה &lt;עם תרגום גרמנית&gt;</t>
  </si>
  <si>
    <t>זאהרויא</t>
  </si>
  <si>
    <t>חזוק אמונה</t>
  </si>
  <si>
    <t>בריסק דליטע,</t>
  </si>
  <si>
    <t>חזות קשה &lt;מהדורה חדשה&gt;</t>
  </si>
  <si>
    <t>עראמה, יצחק בן משה</t>
  </si>
  <si>
    <t>חזות קשה &lt;מהדורת יד הרב נסים&gt;</t>
  </si>
  <si>
    <t>חזות קשה - 2 כר'</t>
  </si>
  <si>
    <t>חזות קשות</t>
  </si>
  <si>
    <t>האלטרכט, יששכר דוב בן נח</t>
  </si>
  <si>
    <t>חזיונות אברהם</t>
  </si>
  <si>
    <t>חזיונות הרמ"ה</t>
  </si>
  <si>
    <t>חזיונות יוסף</t>
  </si>
  <si>
    <t>קסלר, יוסף אביגדור בן יום-טוב ליפמאן</t>
  </si>
  <si>
    <t>חזן אש</t>
  </si>
  <si>
    <t>חרש, חיים זאב בן אשר שמואל</t>
  </si>
  <si>
    <t>חזן נעים זמירות - תולדות רבצ"מ חזן</t>
  </si>
  <si>
    <t>ויזר, נורית</t>
  </si>
  <si>
    <t>חזק ויאמץ לבך</t>
  </si>
  <si>
    <t>קונטרס ליקוטי מאמרים</t>
  </si>
  <si>
    <t>חזק ונתחזק - חזקת הבתים</t>
  </si>
  <si>
    <t>רוטה, משה בן יחזקאל</t>
  </si>
  <si>
    <t>חזק יד</t>
  </si>
  <si>
    <t>בן מובחר, שלמה בן שמואל</t>
  </si>
  <si>
    <t>חזקה רבה - 12 כר'</t>
  </si>
  <si>
    <t>תרפ"ז - תשכ"ג</t>
  </si>
  <si>
    <t>חזקוני - 4 כר'</t>
  </si>
  <si>
    <t>חזקיה בן מנוח</t>
  </si>
  <si>
    <t>חזקת אבות</t>
  </si>
  <si>
    <t>חורי, נסים חיים חזקיה</t>
  </si>
  <si>
    <t>חזקת אהרן</t>
  </si>
  <si>
    <t>חשין, אהרן זאב</t>
  </si>
  <si>
    <t>חזקת הבתים - בבא בתרא פ"ג</t>
  </si>
  <si>
    <t>שטיינצעטץ, אשר א.</t>
  </si>
  <si>
    <t>חזקת המטלטלין</t>
  </si>
  <si>
    <t>סגל, יעקב שאול בן נתן דוד</t>
  </si>
  <si>
    <t>חזקת השילוש</t>
  </si>
  <si>
    <t>מועלם, יהושע אריה בן שמעון</t>
  </si>
  <si>
    <t>חזקת טהרה - 2 כר'</t>
  </si>
  <si>
    <t>חזקת טהרה</t>
  </si>
  <si>
    <t>ראטה, יחזקאל</t>
  </si>
  <si>
    <t>חזרה ברורה - 3 כר'</t>
  </si>
  <si>
    <t>זליקוביץ, אהרן</t>
  </si>
  <si>
    <t>חזרת רבית</t>
  </si>
  <si>
    <t>קלויזנר, משה מאיר - עמרם, אריה</t>
  </si>
  <si>
    <t>חח ונזם - 4 כר'</t>
  </si>
  <si>
    <t>חורי, חויתו</t>
  </si>
  <si>
    <t>חח ונזם</t>
  </si>
  <si>
    <t>חלואה, חנניה בן דוד</t>
  </si>
  <si>
    <t>חי אלף עולמות</t>
  </si>
  <si>
    <t>חן, יהונתן</t>
  </si>
  <si>
    <t>חי באמונה</t>
  </si>
  <si>
    <t>חי בבטחון</t>
  </si>
  <si>
    <t>חי בגאולה</t>
  </si>
  <si>
    <t>חי בגבורה</t>
  </si>
  <si>
    <t>חי בחסד</t>
  </si>
  <si>
    <t>חי ביושר</t>
  </si>
  <si>
    <t>חי ביציבות</t>
  </si>
  <si>
    <t>חי בן מקיץ</t>
  </si>
  <si>
    <t>חי בנצח</t>
  </si>
  <si>
    <t>חי בנצחון</t>
  </si>
  <si>
    <t>חי בסגולה</t>
  </si>
  <si>
    <t>חי בעונג</t>
  </si>
  <si>
    <t>חי ברוגע</t>
  </si>
  <si>
    <t>חי בשלום</t>
  </si>
  <si>
    <t>חי בשמחה</t>
  </si>
  <si>
    <t>חי בשמירה</t>
  </si>
  <si>
    <t>חי בתודה</t>
  </si>
  <si>
    <t>חי בתורה</t>
  </si>
  <si>
    <t>חי בתפילה</t>
  </si>
  <si>
    <t>חי בתשובה</t>
  </si>
  <si>
    <t>חי גואלי - ב</t>
  </si>
  <si>
    <t>חי וקיים</t>
  </si>
  <si>
    <t>חי נפש - 2 כר'</t>
  </si>
  <si>
    <t>זלמנוביץ, ישראל אריה בן שמואל נטע פישר</t>
  </si>
  <si>
    <t>תשט"ז - תשכ"ג</t>
  </si>
  <si>
    <t>חי עם התקופה</t>
  </si>
  <si>
    <t>חיאת אל איאם</t>
  </si>
  <si>
    <t>מזרחי, חיים אלעזר בן חנינא</t>
  </si>
  <si>
    <t>חיבור בענין זמן של ד' מילין לעה"ש וצאה"כ כפי דעת ר"ת והראשונים</t>
  </si>
  <si>
    <t>שטרנליכט, שלמה</t>
  </si>
  <si>
    <t>חיבור התשובה</t>
  </si>
  <si>
    <t>חיבור יפה מהישועה</t>
  </si>
  <si>
    <t>ניסים בן יעקב מקירואן</t>
  </si>
  <si>
    <t>חיבור יפה מהישועה - 3 כר'</t>
  </si>
  <si>
    <t>חיבורי לקט</t>
  </si>
  <si>
    <t>אברהם בן יהודה מקרמניץ</t>
  </si>
  <si>
    <t>שע"א - שע"ב</t>
  </si>
  <si>
    <t>חיבורים הלכתיים של רב סעדיה גאון</t>
  </si>
  <si>
    <t>סעדיה בן יוסף גאון - ברודי, ירחמיאל (עורך)</t>
  </si>
  <si>
    <t>חיבר לטהרה &lt;מהדורה חדשה&gt; - 2 כר'</t>
  </si>
  <si>
    <t>טברסקי, מרדכי דוב בן משולם זושא יצחק</t>
  </si>
  <si>
    <t>חיבר לטהרה</t>
  </si>
  <si>
    <t>חיבת הארץ וברכת הארץ &lt;מהדורה חדשה&gt;</t>
  </si>
  <si>
    <t>חיבת הארץ</t>
  </si>
  <si>
    <t>חיבת הקדש</t>
  </si>
  <si>
    <t>חיבת הקודש</t>
  </si>
  <si>
    <t>יצחק אייזיק בן יחיאל מיכל</t>
  </si>
  <si>
    <t>לאנג, יהושע בן משה</t>
  </si>
  <si>
    <t>חיבת הקודש - זבחים</t>
  </si>
  <si>
    <t>סלומון, אהרן</t>
  </si>
  <si>
    <t>חיבת קודש - 3 כר'</t>
  </si>
  <si>
    <t>חידה יפה להחכם אבן עזרא</t>
  </si>
  <si>
    <t>חידוד הלכה</t>
  </si>
  <si>
    <t>הלר, אריה בן פינחס משה</t>
  </si>
  <si>
    <t>חידוד התלמידים</t>
  </si>
  <si>
    <t>וויזל, עזרא בן נפתלי הערץ</t>
  </si>
  <si>
    <t>חידודי דוד</t>
  </si>
  <si>
    <t>קולדצקי, דוד</t>
  </si>
  <si>
    <t>חידודי תורה - 2 כר'</t>
  </si>
  <si>
    <t>ניימן, אליעזר צבי בן שמואל גדליה</t>
  </si>
  <si>
    <t>חידון התנ"ך</t>
  </si>
  <si>
    <t>חידונים לפרשיות השבוע</t>
  </si>
  <si>
    <t>דהן, מיכאל</t>
  </si>
  <si>
    <t>קרית ים</t>
  </si>
  <si>
    <t>חידוש אור החמה</t>
  </si>
  <si>
    <t>חידוש היומי - 2 כר'</t>
  </si>
  <si>
    <t>וויליגער, פנחס יהודה שרגא</t>
  </si>
  <si>
    <t>חידוש הסנהדרין במדינתנו המחודשת</t>
  </si>
  <si>
    <t>חידושי אב"י</t>
  </si>
  <si>
    <t>אניקסטר, יהודה אליעזר בן יצחק אייזיק</t>
  </si>
  <si>
    <t>חידושי אבי"ר</t>
  </si>
  <si>
    <t>זילברמן, יצחק אייזיק</t>
  </si>
  <si>
    <t>חידושי אבני נזר - 5 כר'</t>
  </si>
  <si>
    <t>חידושי אבר"ח - 4 כר'</t>
  </si>
  <si>
    <t>חידושי אגדות &lt;זרע ישראל&gt;</t>
  </si>
  <si>
    <t>ישראל בן בנימין מהרימלוב</t>
  </si>
  <si>
    <t>וילהרמרסדורף</t>
  </si>
  <si>
    <t>חידושי אגדות מהר"ל מפראג - 4 כר'</t>
  </si>
  <si>
    <t>חידושי אגדות מהר"ם שיק עמ"ס אבות</t>
  </si>
  <si>
    <t>חידושי אגדות מהר"ם שיק</t>
  </si>
  <si>
    <t>משנה, תולדות עם ישראל</t>
  </si>
  <si>
    <t>חידושי אגדות מהרא"ל</t>
  </si>
  <si>
    <t>חידושי אגדות מהרש"א השלם &lt;לב אגדות&gt; - 4 כר'</t>
  </si>
  <si>
    <t>חידושי אגדות - 2 כר'</t>
  </si>
  <si>
    <t>חידושי אור שמח על הש"ס - 2 כר'</t>
  </si>
  <si>
    <t>חידושי איבר"א</t>
  </si>
  <si>
    <t>לרמאן, אברהם יוזפא בן אליהו</t>
  </si>
  <si>
    <t>תרצ"ד - הס' תרצ"ה</t>
  </si>
  <si>
    <t>חידושי אלימלך</t>
  </si>
  <si>
    <t>חידושי אמרי משה</t>
  </si>
  <si>
    <t>קב, משה זעליג בן שלום גרשון דב</t>
  </si>
  <si>
    <t>חידושי אנשי שם</t>
  </si>
  <si>
    <t>חידושי ב"מ</t>
  </si>
  <si>
    <t>יצחק בנימין זאב וולף בן אליעזר ליפמאן אשכנזי</t>
  </si>
  <si>
    <t>חידושי בבא בתרא &lt;רמב"ן&gt;</t>
  </si>
  <si>
    <t>חידושי בבא בתרא &lt;רמב"ן&gt; &lt;עם הגהות מכת"י&gt;</t>
  </si>
  <si>
    <t>חידושי בית יוסף - כתובות</t>
  </si>
  <si>
    <t>תרפ"ב - תרפ"ט</t>
  </si>
  <si>
    <t>חידושי בן אריה - 2 כר'</t>
  </si>
  <si>
    <t>אדלשטיין, ירחמיאל גרשון בן יצחק אריה</t>
  </si>
  <si>
    <t>חידושי בן יאיר</t>
  </si>
  <si>
    <t>חידושי בני אהרן</t>
  </si>
  <si>
    <t>אליעזר בן אהרן משוואבאך</t>
  </si>
  <si>
    <t>חידושי בני יששכר</t>
  </si>
  <si>
    <t>חידושי בנין צבי</t>
  </si>
  <si>
    <t>חידושי בעל שרידי אש - 3 כר'</t>
  </si>
  <si>
    <t>חידושי בר נחמני</t>
  </si>
  <si>
    <t>הורוויץ, דוב נחמן</t>
  </si>
  <si>
    <t>חידושי ברכות</t>
  </si>
  <si>
    <t>חידושי בתרא - 45 כר'</t>
  </si>
  <si>
    <t>אלטוסקי, חיים דב</t>
  </si>
  <si>
    <t>חידושי גאונים</t>
  </si>
  <si>
    <t>חידושי גור אריה</t>
  </si>
  <si>
    <t>חידושי גיטין להרמב"ן (חמש שיטות)</t>
  </si>
  <si>
    <t>משה בן נחמן רמב"ן</t>
  </si>
  <si>
    <t>זלצבך</t>
  </si>
  <si>
    <t>חידושי גיטין מהרשבא ז"ל</t>
  </si>
  <si>
    <t>חידושי גלאנטי - 2 כר'</t>
  </si>
  <si>
    <t>גאלאנטי, ידידיה בן משה</t>
  </si>
  <si>
    <t>חידושי דברי שיר - נזר שיר</t>
  </si>
  <si>
    <t>משנה, משנה, תלמוד בבלי, תלמוד בבלי, תלמוד בבלי</t>
  </si>
  <si>
    <t>חידושי דוד</t>
  </si>
  <si>
    <t>אליאך, דוד צבי בן אברהם אשר</t>
  </si>
  <si>
    <t>חידושי דינים בעניני איסור והיתר</t>
  </si>
  <si>
    <t>חידושי דינים לרבני ירושלם הקדמונים</t>
  </si>
  <si>
    <t>ירושלים. חכמים ורבנים</t>
  </si>
  <si>
    <t>חידושי דינים מהלכות פסח</t>
  </si>
  <si>
    <t>אבן-רובי, יצחק דוד</t>
  </si>
  <si>
    <t>חידושי דינים מירושלים</t>
  </si>
  <si>
    <t>חידושי הגאון האדר"ת</t>
  </si>
  <si>
    <t>חידושי הגאון מפוניבז'</t>
  </si>
  <si>
    <t>ירושלים - בני ברק</t>
  </si>
  <si>
    <t>חידושי הגאון רבי איסר זלמן - זרעים</t>
  </si>
  <si>
    <t>הלכה ומנהג, תלמוד ירושלמי</t>
  </si>
  <si>
    <t>חידושי הגאון רבי יעקב אורנשטיין</t>
  </si>
  <si>
    <t>דרושים, מחשבה ומוסר, נושאים שונים, שאלות ותשובות, תולדות עם ישראל</t>
  </si>
  <si>
    <t>חידושי הגאון רבי יצחק קוליץ - ברכות, שבת</t>
  </si>
  <si>
    <t>קוליץ, יצחק בן אברהם אליהו דוד נחמן</t>
  </si>
  <si>
    <t>חידושי הגהות</t>
  </si>
  <si>
    <t>חידושי הגר"א &lt;מהדורת סופר&gt; - 2 כר'</t>
  </si>
  <si>
    <t>אליהו בן שלמה זלמן (הגר"א) - סופר דוד אהרן בן יעקב חיים</t>
  </si>
  <si>
    <t>משנה, שאר ספרי חז"ל, שלחן ערוך ומפרשיו</t>
  </si>
  <si>
    <t>חידושי הגר"א &lt;אור אליהו&gt; - 5 כר'</t>
  </si>
  <si>
    <t>חידושי הגר"א &lt;ליקוטי תורה&gt;</t>
  </si>
  <si>
    <t>חידושי הגר"ד - 3 כר'</t>
  </si>
  <si>
    <t>שובקס, ליפמן דוד</t>
  </si>
  <si>
    <t>חידושי הגר"ח &lt;מהדורת מישור&gt;</t>
  </si>
  <si>
    <t>סולובייצ'יק, חיים בן יוסף דוב הלוי</t>
  </si>
  <si>
    <t>חידושי הגר"ח השלם &lt;סטנסיל&gt;</t>
  </si>
  <si>
    <t>חידושי הגר"ח השלם - 3 כר'</t>
  </si>
  <si>
    <t>חידושי הגר"י - 3 כר'</t>
  </si>
  <si>
    <t>קאנטורוביץ, יעקב בן זאב חיים</t>
  </si>
  <si>
    <t>חידושי הגר"מ אריק - מקואות</t>
  </si>
  <si>
    <t>חידושי הגר"מ הלוי</t>
  </si>
  <si>
    <t>סולובייצ'יק, משה בן חיים</t>
  </si>
  <si>
    <t>חידושי הגרא"א דסלר על הש"ס</t>
  </si>
  <si>
    <t>חידושי הגרח"ס ז"ל</t>
  </si>
  <si>
    <t>חידושי הגרי"ז פוזנא</t>
  </si>
  <si>
    <t>פוזנא, יקותיאל זלמן</t>
  </si>
  <si>
    <t>חידושי הגרי"ח</t>
  </si>
  <si>
    <t>סנקביץ, יעקב חנוך בן משה יהודה</t>
  </si>
  <si>
    <t>חידושי הגריי"ר</t>
  </si>
  <si>
    <t>רבינוביץ, יצחק יעקב בן שמואל ליב</t>
  </si>
  <si>
    <t>חידושי הגרמ"ז - 3 כר'</t>
  </si>
  <si>
    <t>חידושי הגרנ"ט - 4 כר'</t>
  </si>
  <si>
    <t>טרופ, נפתלי</t>
  </si>
  <si>
    <t>חידושי הגרש"ז</t>
  </si>
  <si>
    <t>וובר, שניאור זלמן</t>
  </si>
  <si>
    <t>חידושי הגרשוני</t>
  </si>
  <si>
    <t>אשכנזי, גרשון בן יצחק</t>
  </si>
  <si>
    <t>פיקהולץ, יהודה גרשון בן ישראל יואל</t>
  </si>
  <si>
    <t>דרושים, הלכה ומנהג, נושאים שונים, נושאים שונים</t>
  </si>
  <si>
    <t>חידושי החוזה מלובלין על הש"ס</t>
  </si>
  <si>
    <t>חידושי החנוכי - 2 כר'</t>
  </si>
  <si>
    <t>חידושי היהודי</t>
  </si>
  <si>
    <t>יעקב יצחק בן אשר מפשיסחה</t>
  </si>
  <si>
    <t>חידושי הלב - 6 כר'</t>
  </si>
  <si>
    <t>לייבאוויטש, אלתר חנוך הענאך בן דוד</t>
  </si>
  <si>
    <t>חידושי הלבנה - 4 כר'</t>
  </si>
  <si>
    <t>חידושי הלכות &lt;מהר"י בן לב, מהרש"ך&gt;</t>
  </si>
  <si>
    <t>בן לב, יוסף בן דוד</t>
  </si>
  <si>
    <t>חידושי הלכות &lt;מהר"ם שיף&gt; - 3 כר'</t>
  </si>
  <si>
    <t>שיף, מאיר בן יעקב יוקב הכהן</t>
  </si>
  <si>
    <t>תר"כ - תרכ"ד</t>
  </si>
  <si>
    <t>חידושי הלכות &lt;דרך ים התלמוד&gt;</t>
  </si>
  <si>
    <t>חידושי הלכות המהר"ם שי"ף &lt;עם הערות&gt; - גיטין</t>
  </si>
  <si>
    <t>חידושי הלכות ושו"ת פנים מסבירות</t>
  </si>
  <si>
    <t>שפירא, יהושע בן צבי הירש</t>
  </si>
  <si>
    <t>חידושי הלכות למהרש"א עם פתח להיכל</t>
  </si>
  <si>
    <t>פרידמן, נתן</t>
  </si>
  <si>
    <t>חידושי הלכות מבעל הבני יששכר</t>
  </si>
  <si>
    <t>חידושי הלכות מהדורי בתרא - 3 כר'</t>
  </si>
  <si>
    <t>חידושי הלכות מהר"ם ברבי א - ב</t>
  </si>
  <si>
    <t>ברבי, מאיר בן שאול</t>
  </si>
  <si>
    <t>חידושי הלכות מהר"ם ברבי - 2 כר'</t>
  </si>
  <si>
    <t>תקמ"ו - תקנ"ג</t>
  </si>
  <si>
    <t>חידושי הלכות נדה</t>
  </si>
  <si>
    <t>חידושי הלכות על הלכות פסח</t>
  </si>
  <si>
    <t>חידושי הלכות על מסכת כריתות</t>
  </si>
  <si>
    <t>יעקב משה בן נתן אשכנזי</t>
  </si>
  <si>
    <t>חידושי הלכות על מסכת עירובין</t>
  </si>
  <si>
    <t>דלאקרוט, יוסף בן מתתיהו - הלוי, אברהם צבי</t>
  </si>
  <si>
    <t>ברוקליןBrooklyn</t>
  </si>
  <si>
    <t>חידושי הלכות על מסכת שבת</t>
  </si>
  <si>
    <t>חידושי הלכות רשב"ץ - 2 כר'</t>
  </si>
  <si>
    <t>רפאפורט, שמחה בונם בן צבי הירש כהנא</t>
  </si>
  <si>
    <t>חידושי הלכות - ב"ק, ב"מ, ב"ב</t>
  </si>
  <si>
    <t>אברהם יהושע השל בן יעקב</t>
  </si>
  <si>
    <t>חידושי הלכות - ב"ק</t>
  </si>
  <si>
    <t>חידושי הלכות - גיטין</t>
  </si>
  <si>
    <t>חידושי הלכות</t>
  </si>
  <si>
    <t>דלאקרוט, יוסף בן מתתיהו</t>
  </si>
  <si>
    <t>יואל בן משה גד</t>
  </si>
  <si>
    <t>יצחק בן שמואל הלוי</t>
  </si>
  <si>
    <t>חידושי הלכות - 4 כר'</t>
  </si>
  <si>
    <t>תס"ו</t>
  </si>
  <si>
    <t>חידושי הלכות - פסח</t>
  </si>
  <si>
    <t>חידושי המאירי - 8 כר'</t>
  </si>
  <si>
    <t>חידושי המהריל"ד - 2 כר'</t>
  </si>
  <si>
    <t>חידושי המלבי"ם על הש"ס -</t>
  </si>
  <si>
    <t>חידושי הנצי"ב על התורת כהנים</t>
  </si>
  <si>
    <t>חידושי הנתיבות, בפלפול התלמידים</t>
  </si>
  <si>
    <t>לורברבוים, יעקב - ישיבות לצעירים צאנז</t>
  </si>
  <si>
    <t>חידושי העלוי ממייצ'יט - 3 כר'</t>
  </si>
  <si>
    <t>חידושי הפלא"ה</t>
  </si>
  <si>
    <t>חידושי הפלאה &lt;מכת"י&gt; - 2 כר'</t>
  </si>
  <si>
    <t>חידושי הר"י מיגאש ע"מ שבועות עם פי' אמרי יחיאל</t>
  </si>
  <si>
    <t>אבן-מיגאש, יוסף בן מאיר הלוי - זק"ש, יחיאל</t>
  </si>
  <si>
    <t>חידושי הר"י מיגאש - 6 כר'</t>
  </si>
  <si>
    <t>אבן-מיגאש, יוסף בן מאיר הלוי</t>
  </si>
  <si>
    <t>חידושי הר"ן &lt;הוצאת פרדס&gt; - 15 כר'</t>
  </si>
  <si>
    <t>חידושי הר"ן - 18 כר'</t>
  </si>
  <si>
    <t>חידושי הרא"ה - 11 כר'</t>
  </si>
  <si>
    <t>חידושי הרא"ה, תלמיד הרשב"א, רבינו יעקב בירב - קידושין</t>
  </si>
  <si>
    <t>אהרן בן יוסף הלוי מבארצלונה, תלמיד הרשב"א, ר"י בירב</t>
  </si>
  <si>
    <t>חידושי הראב"ד על מסכת קידושין</t>
  </si>
  <si>
    <t>חידושי הראב"ד</t>
  </si>
  <si>
    <t>חידושי הראי"ה - 2 כר'</t>
  </si>
  <si>
    <t>צימערמאן, אברהם יצחק בן מאיר הלוי</t>
  </si>
  <si>
    <t>חידושי הראנ"ח</t>
  </si>
  <si>
    <t>חידושי הרב אברהם לייב שור</t>
  </si>
  <si>
    <t>שור, אברהם לייב בן ישראל</t>
  </si>
  <si>
    <t>חידושי הרב ציטרון - קטרוני</t>
  </si>
  <si>
    <t>ציטרון, ישראל אבא בן גרשון</t>
  </si>
  <si>
    <t>חידושי הרב</t>
  </si>
  <si>
    <t>אנג'יל, ברוך</t>
  </si>
  <si>
    <t>חידושי הרב"ז זינגר</t>
  </si>
  <si>
    <t>זינגר, בנימין זאב</t>
  </si>
  <si>
    <t>חידושי הרד"ד &lt;מהדורה חדשה&gt;</t>
  </si>
  <si>
    <t>חידושי הרד"ד</t>
  </si>
  <si>
    <t>חידושי הרז"ה</t>
  </si>
  <si>
    <t>זאב וולף בן שמואל הלוי</t>
  </si>
  <si>
    <t>חידושי הרי"מ &lt;ליקוטי הרי"מ&gt; - 2 כר'</t>
  </si>
  <si>
    <t>חידושי הרי"מ &lt;מהדורה חדשה&gt; - אה"ע</t>
  </si>
  <si>
    <t>חידושי הרי"מ וגור אריה - על התורה ומסכת אבות</t>
  </si>
  <si>
    <t>מועדי ישראל, משנה, נושאים שונים, תנ"ך</t>
  </si>
  <si>
    <t>חידושי הרי"מ על הש"ס &lt;מהדורה חדשה&gt; - 5 כר'</t>
  </si>
  <si>
    <t>חידושי הרי"מ על התורה</t>
  </si>
  <si>
    <t>דרושים, חסידות, מועדי ישראל, תלמוד בבלי, תנ"ך</t>
  </si>
  <si>
    <t>חידושי הרי"מ על שו"ע &lt;מהדורה חדשה&gt; - 3 כר'</t>
  </si>
  <si>
    <t>חידושי הרי"מ - 15 כר'</t>
  </si>
  <si>
    <t>חידושי הריא"ם - א</t>
  </si>
  <si>
    <t>מיטניק, יצחק אלחנן בן אבא ליב</t>
  </si>
  <si>
    <t>חידושי הריב"ש</t>
  </si>
  <si>
    <t>הורוויץ, צבי יהושע בן שמואל הלוי</t>
  </si>
  <si>
    <t>חידושי הריטב"א &lt;אור החכמה&gt; - 8 כר'</t>
  </si>
  <si>
    <t>חידושי הריטב"א &lt;דברי חיבה&gt; - 3 כר'</t>
  </si>
  <si>
    <t>חידושי הריטב"א על מסכת עבודה זרה</t>
  </si>
  <si>
    <t>[תקפ"ד],</t>
  </si>
  <si>
    <t>אפען,</t>
  </si>
  <si>
    <t>חידושי הריטב"א - 20 כר'</t>
  </si>
  <si>
    <t>חידושי הרמ"ה &lt;יד רמה&gt; - סנהדרין</t>
  </si>
  <si>
    <t>אבולעפיא, מאיר בן טודרוס הלוי</t>
  </si>
  <si>
    <t>חידושי הרמ"ל &lt;עם הגהות ר"נ שפירא&gt;</t>
  </si>
  <si>
    <t>משה יהודה ליב בן יעקב מסאסוב</t>
  </si>
  <si>
    <t>חידושי הרמ"ל - 2 כר'</t>
  </si>
  <si>
    <t>חידושי הרמ"ל</t>
  </si>
  <si>
    <t>שטיין, מנחם מנדל ליפא בן דוד</t>
  </si>
  <si>
    <t>חידושי הרמב"ם לתלמוד</t>
  </si>
  <si>
    <t>חידושי הרמב"ן &lt;זכרון יעקב&gt; - 4 כר'</t>
  </si>
  <si>
    <t>משה בן נחמן (הרמב"ן)</t>
  </si>
  <si>
    <t>חידושי הרמב"ן &lt;הרשלר&gt; - 9 כר'</t>
  </si>
  <si>
    <t>חידושי הרמב"ן על הש"ס &lt;טקסט&gt;</t>
  </si>
  <si>
    <t>חידושי הרמב"ן על מסכת בבא בתרא</t>
  </si>
  <si>
    <t>[תרי"ט,</t>
  </si>
  <si>
    <t>[ברעסלויא?],</t>
  </si>
  <si>
    <t>חידושי הרמב"ן - 5 כר'</t>
  </si>
  <si>
    <t>משנה, נושאים שונים, תלמוד בבלי, תלמוד בבלי</t>
  </si>
  <si>
    <t>חידושי הרש"כ</t>
  </si>
  <si>
    <t>כריף, שלום</t>
  </si>
  <si>
    <t>חידושי הרשב"א  &lt;זכרון יעקב&gt; - 5 כר'</t>
  </si>
  <si>
    <t>חידושי הרשב"א &lt;עם אמרי יחיאל&gt; - ברכות</t>
  </si>
  <si>
    <t>חידושי הרשב"א על מסכת יבמות &lt;קונטרס אחרון&gt;</t>
  </si>
  <si>
    <t>חידושי הרשב"א - 15 כר'</t>
  </si>
  <si>
    <t>חידושי הרשב"א - מנחות</t>
  </si>
  <si>
    <t>טראני, ישעיה בן מאלי (מיוחס לו)</t>
  </si>
  <si>
    <t>חידושי הרשב"א</t>
  </si>
  <si>
    <t>ריזנמאן, שרגא פייבל בן אהרן</t>
  </si>
  <si>
    <t>חידושי הרשב"ץ - 3 כר'</t>
  </si>
  <si>
    <t>חידושי הרשב"ש - ב</t>
  </si>
  <si>
    <t>רוזנברג, שלמה כ"ץ הכהן</t>
  </si>
  <si>
    <t>חידושי הש"ס</t>
  </si>
  <si>
    <t>חידושי התורה - 2 כר'</t>
  </si>
  <si>
    <t>גינצבורג, יוסף בן מרדכי</t>
  </si>
  <si>
    <t>חידושי ובאורי רבינו הגר"א - 2 כר'</t>
  </si>
  <si>
    <t>חידושי וביאורי הפוסקים - אלו מציאות, המפקיד</t>
  </si>
  <si>
    <t>הלפרין, יצחק אייזיק הכהן</t>
  </si>
  <si>
    <t>חידושי וביאורי סוגיות - ב"מ ונדרים</t>
  </si>
  <si>
    <t>בריקמן, נחום</t>
  </si>
  <si>
    <t>חידושי וביאורי רבינו הגר"א - 2 כר'</t>
  </si>
  <si>
    <t>חידושי וכללות הרז"ה</t>
  </si>
  <si>
    <t>חידושי וכתבי הר"י הורביץ</t>
  </si>
  <si>
    <t>הורביץ, יעקב יוסף בן שמואל אריה</t>
  </si>
  <si>
    <t>הלכה ומנהג, משנה, נושאים שונים, שאר ספרי חז"ל, שלחן ערוך ומפרשיו, תלמוד בבלי</t>
  </si>
  <si>
    <t>חידושי ומקורי התפילות</t>
  </si>
  <si>
    <t>רוזובסקי, שמואל זלמן בן נחום רייז</t>
  </si>
  <si>
    <t>תשמ"ב?</t>
  </si>
  <si>
    <t>נתניה?</t>
  </si>
  <si>
    <t>חידושי ופירושי המהרי"ק - 2 כר'</t>
  </si>
  <si>
    <t>קולון, יוסף בן שלמה (מהרי"ק)</t>
  </si>
  <si>
    <t>חידושי ושו"ת הר"צ חריף</t>
  </si>
  <si>
    <t>הלר, צבי הירש בן אריה ליב</t>
  </si>
  <si>
    <t>שאלות ותשובות, תולדות עם ישראל, תולדות עם ישראל, תלמוד בבלי, תלמוד בבלי</t>
  </si>
  <si>
    <t>חידושי ושו"ת מהר"מ ברודא</t>
  </si>
  <si>
    <t>ברודא, מרדכי בן נתן נטע</t>
  </si>
  <si>
    <t>חידושי ושיעורי מרן רבי ברוך בער - 3 כר'</t>
  </si>
  <si>
    <t>ליבוביץ, ברוך דב בן שמואל דוד,</t>
  </si>
  <si>
    <t>ליקוווד</t>
  </si>
  <si>
    <t>חידושי חביבא</t>
  </si>
  <si>
    <t>כהן, ליבר בן בנימין</t>
  </si>
  <si>
    <t>חידושי חולין להריטב"א &lt;דפו"ר&gt;</t>
  </si>
  <si>
    <t>חידושי חמדת שלמה - 3 כר'</t>
  </si>
  <si>
    <t>ליפשיץ, שלמה זלמן בן יצחק</t>
  </si>
  <si>
    <t>תרי"א - תרל"ז</t>
  </si>
  <si>
    <t>חידושי חתם סופר - כתב סופר - ביצה</t>
  </si>
  <si>
    <t>סופר, משה בן שמואל - סופר, אברהם שמואל בנימין בן משה</t>
  </si>
  <si>
    <t>חידושי חתם סופר - 11 כר'</t>
  </si>
  <si>
    <t>חידושי טיב גיטין</t>
  </si>
  <si>
    <t>חידושי ידידיה הלוי - 4 כר'</t>
  </si>
  <si>
    <t>זילברמן, ידידיה בן יעקב הלוי</t>
  </si>
  <si>
    <t>משנה, תלמוד בבלי, תנ"ך, תנ"ך, תפלות בקשות פיוטים ושירה</t>
  </si>
  <si>
    <t>חידושי יחיאל - 3 כר'</t>
  </si>
  <si>
    <t>חידושי יעב"ץ - 2 כר'</t>
  </si>
  <si>
    <t>אלטנקונשטאט, יעקב קופל בן צבי הירש</t>
  </si>
  <si>
    <t>חידושי יעב"ץ</t>
  </si>
  <si>
    <t>טיראספולסקי, יעקב בן צבי הירש</t>
  </si>
  <si>
    <t>חידושי יעקב</t>
  </si>
  <si>
    <t>גאלדוואסער, יעקב הלוי</t>
  </si>
  <si>
    <t>חידושי יפה לב - ברכות</t>
  </si>
  <si>
    <t>לוינסון, יוסף פנחס הלוי</t>
  </si>
  <si>
    <t>חידושי ירוחם</t>
  </si>
  <si>
    <t>חידושי כהונה</t>
  </si>
  <si>
    <t>כהן, עמי</t>
  </si>
  <si>
    <t>חידושי כריתות</t>
  </si>
  <si>
    <t>י. א.</t>
  </si>
  <si>
    <t>חידושי כתב סופר - זבחים מנחות חולין ערכין נדה</t>
  </si>
  <si>
    <t>חידושי לחם רב - סוגיות הש"ס</t>
  </si>
  <si>
    <t>ליטש-רוזנבוים, משה חיים סג"ל</t>
  </si>
  <si>
    <t>חידושי מארי חיים כסאר</t>
  </si>
  <si>
    <t>כסאר, חיים</t>
  </si>
  <si>
    <t>חידושי מגילה מכ"י לרבינו נסים זצ"ל</t>
  </si>
  <si>
    <t>יצחק בן אברהם מנארבונה</t>
  </si>
  <si>
    <t>חידושי מהר"א</t>
  </si>
  <si>
    <t>אויערבאך, אליעזר בן חיים</t>
  </si>
  <si>
    <t>היילפרין, אריה ליב מאפטא-סוכאטשוב</t>
  </si>
  <si>
    <t>חידושי מהר"י בן לב - 3 כר'</t>
  </si>
  <si>
    <t>חידושי מהר"י הכהן</t>
  </si>
  <si>
    <t>רפאפורט, ישראל בן אברהם אבלי הכהן</t>
  </si>
  <si>
    <t>חידושי מהר"י כ"ץ</t>
  </si>
  <si>
    <t>כ"ץ, יהושע בן יהודה הכהן</t>
  </si>
  <si>
    <t>חידושי מהר"י שפירא - 5 כר'</t>
  </si>
  <si>
    <t>שפירא, יוסף יאסקי בן אליהו</t>
  </si>
  <si>
    <t>חידושי מהר"י</t>
  </si>
  <si>
    <t>יעקב בן לוי</t>
  </si>
  <si>
    <t>חידושי מהר"ל מפראג &lt;ע"ט י"ד&gt;</t>
  </si>
  <si>
    <t>חידושי מהר"ל מפראג - 4 כר'</t>
  </si>
  <si>
    <t>חידושי מהר"ם חלאווה - פסחים &lt;נטעי גבריאל&gt; - הלכות פסח מהראשונים</t>
  </si>
  <si>
    <t>חלאווה, משה - ציננער, גבריאל</t>
  </si>
  <si>
    <t>חידושי מהר"ם חלאווה - 2 כר'</t>
  </si>
  <si>
    <t>חלאווה, משה</t>
  </si>
  <si>
    <t>חידושי מהר"ם צבי</t>
  </si>
  <si>
    <t>וויינגארטן, משה צבי בן יעקב</t>
  </si>
  <si>
    <t>תרנ"א,</t>
  </si>
  <si>
    <t>חידושי מהר"פ</t>
  </si>
  <si>
    <t>גוטליב, פסח בן מאיר</t>
  </si>
  <si>
    <t>חידושי מהר"ץ</t>
  </si>
  <si>
    <t>רייזפדר, צבי בן שמעון דוד הלוי</t>
  </si>
  <si>
    <t>חידושי מהר"ש</t>
  </si>
  <si>
    <t>ענגיל, שמואל בן זאב</t>
  </si>
  <si>
    <t>חידושי מהרא"ך - 2 כר'</t>
  </si>
  <si>
    <t>תרנ"ח - תרע"ג</t>
  </si>
  <si>
    <t>חידושי מהרא"ל &lt;מהדורה חדשה&gt; - 2 כר'</t>
  </si>
  <si>
    <t>חידושי מהרא"ל צינץ - 3 כר'</t>
  </si>
  <si>
    <t>חידושי מהרא"ל - 3 כר'</t>
  </si>
  <si>
    <t>חידושי מהרא"ש אסאד - כתובות</t>
  </si>
  <si>
    <t>אסאד, אהרן שמואל בן יהודה</t>
  </si>
  <si>
    <t>חידושי מהרי"א &lt;יהודה יעלה&gt;</t>
  </si>
  <si>
    <t>חידושי מהרי"א &lt;מהדורה חדשה&gt;</t>
  </si>
  <si>
    <t>חידושי מהרי"א על מסכת אבות</t>
  </si>
  <si>
    <t>חידושי מהרי"א ציטרון</t>
  </si>
  <si>
    <t>חידושי מהרי"א</t>
  </si>
  <si>
    <t>וואיצען,</t>
  </si>
  <si>
    <t>חידושי מהרי"ו</t>
  </si>
  <si>
    <t>ווידרקר, יהושע בן יעקב</t>
  </si>
  <si>
    <t>חידושי מהרי"ט - 3 כר'</t>
  </si>
  <si>
    <t>טראני, יוסף בן משה (מהרי"ט)</t>
  </si>
  <si>
    <t>חידושי מהרי"ץ - 2 כר'</t>
  </si>
  <si>
    <t>חידושי מהרי"ק</t>
  </si>
  <si>
    <t>חידושי מהרי"ש - ישמח לב</t>
  </si>
  <si>
    <t>גינסברגר, יצחק שלמה זלמן בן משה חיים</t>
  </si>
  <si>
    <t>חידושי מהריא"א</t>
  </si>
  <si>
    <t>לאנדא, ישראל אברהם אלטר</t>
  </si>
  <si>
    <t>חידושי מהריב"ץ</t>
  </si>
  <si>
    <t>מרגליות, יחיאל בן צבי הירש</t>
  </si>
  <si>
    <t>חידושי מהריט"ץ ע"פ איזהו נשך והשוכר את האומנין</t>
  </si>
  <si>
    <t>חידושי מהרמ"י</t>
  </si>
  <si>
    <t>גרודנצ'יק, משה יחזקאל בן דניאל</t>
  </si>
  <si>
    <t>חידושי מהרצ"א על הלכות חנוכה - עם הגהות הצבי והצדק</t>
  </si>
  <si>
    <t>חידושי מהרצ"א</t>
  </si>
  <si>
    <t>חידושי מהרש"א &lt;עם ביאורים&gt; - מגילה</t>
  </si>
  <si>
    <t>שמואל אליעזר בן יהודה הלוי (מהרש"א) - ווייס, ניסן</t>
  </si>
  <si>
    <t>חידושי מהרש"א על התורה</t>
  </si>
  <si>
    <t>חידושי מהרש"א על פירוש רש"י</t>
  </si>
  <si>
    <t>חידושי מהרש"ג</t>
  </si>
  <si>
    <t>גרויז, שמואל בן משה</t>
  </si>
  <si>
    <t>חידושי מהרש"ך - 13 כר'</t>
  </si>
  <si>
    <t>חידושי מהרש"ך</t>
  </si>
  <si>
    <t>שלמה בן אברהם הכהן (מהרש"ך)</t>
  </si>
  <si>
    <t>ווילהרמרשדארף</t>
  </si>
  <si>
    <t>חידושי מהרשא"ך</t>
  </si>
  <si>
    <t>כהנא, שמעון אריה בן שאול</t>
  </si>
  <si>
    <t>דרושים, שאלות ותשובות, תלמוד בבלי, תלמוד בבלי</t>
  </si>
  <si>
    <t>חידושי מהרשד"ם - 2 כר'</t>
  </si>
  <si>
    <t>מרגליות, דוד שלמה בן יצחק</t>
  </si>
  <si>
    <t>תרל"ז - תרמ"ב</t>
  </si>
  <si>
    <t>חידושי מוהרמ"ז - 2 כר'</t>
  </si>
  <si>
    <t>נושאים שונים, שלחן ערוך ומפרשיו, תלמוד בבלי</t>
  </si>
  <si>
    <t>חידושי מורנו הגאון רבי דב לנדו - 22 כר'</t>
  </si>
  <si>
    <t>לנדו, דב</t>
  </si>
  <si>
    <t>חידושי מסכת חולין מהרשב"א ז"ל</t>
  </si>
  <si>
    <t>חידושי מסכת פסחים - ערבי פסחים</t>
  </si>
  <si>
    <t>חידושי מסכת קדושין לאחד מן הרבנים &lt;שיטה לא נודע למי&gt;</t>
  </si>
  <si>
    <t>שיטה לא נודע למי על מסכת קידושין</t>
  </si>
  <si>
    <t>חידושי מסכת ראש השנה</t>
  </si>
  <si>
    <t>לבוב, משה בן אהרן</t>
  </si>
  <si>
    <t>חידושי מר שמואל</t>
  </si>
  <si>
    <t>שמואל בן יוסף מאמדור</t>
  </si>
  <si>
    <t>חידושי מרן הגר"ב סורוצקין - 3 כר'</t>
  </si>
  <si>
    <t>סורוצקין, רפאל ברוך</t>
  </si>
  <si>
    <t>חידושי מרן הגר"ח קניבסקי - 5 כר'</t>
  </si>
  <si>
    <t>קנייבסקי, שמריהו יוסף חיים בן יעקב ישראל - אוהב ציון, יצחק בן מרדכי</t>
  </si>
  <si>
    <t>חידושי מרן הגר"נ לסמן זצ"ל</t>
  </si>
  <si>
    <t>לסמן, נחום</t>
  </si>
  <si>
    <t>חידושי מרן הגרא"ג - בכורות</t>
  </si>
  <si>
    <t>זאקס, אברהם גרשון בן מנחם מענדיל יוסף</t>
  </si>
  <si>
    <t>חידושי מרן הגרי"מ</t>
  </si>
  <si>
    <t>פיינשטיין, יחיאל מיכל</t>
  </si>
  <si>
    <t>חידושי משנה &lt;טקסט&gt; - קידושין</t>
  </si>
  <si>
    <t>חידושי משנה &lt;משנה הלכות&gt; - 3 כר'</t>
  </si>
  <si>
    <t>חידושי נדה להרמב"ן (חמש שיטות)</t>
  </si>
  <si>
    <t>חידושי נחלת בן יוסף</t>
  </si>
  <si>
    <t>מייזלש, עקיבא בן יוסף חנניה ליפא</t>
  </si>
  <si>
    <t>חידושי נשמת צבי - 2 כר'</t>
  </si>
  <si>
    <t>צבי הירש בן דוד מגלינה</t>
  </si>
  <si>
    <t>חידושי סוגיות - 5 כר'</t>
  </si>
  <si>
    <t>חידושי סליחות</t>
  </si>
  <si>
    <t>משולם, אברהם</t>
  </si>
  <si>
    <t>חידושי עזיאל - 3 כר'</t>
  </si>
  <si>
    <t>חידושי עיני ישראל</t>
  </si>
  <si>
    <t>שור, ישראל בן יעקב</t>
  </si>
  <si>
    <t>חידושי עקיבא הכהן דיאמנט זצ"ל</t>
  </si>
  <si>
    <t>דימאנט, עקיבא בן נחום הכהן</t>
  </si>
  <si>
    <t>חידושי פוסקים</t>
  </si>
  <si>
    <t>חידושי פני אריה</t>
  </si>
  <si>
    <t>תר"מ - תרנ"א</t>
  </si>
  <si>
    <t>חידושי פרק הזהב שבספר מהררי נמרים</t>
  </si>
  <si>
    <t>בויארין, דניאל (מהדיר)</t>
  </si>
  <si>
    <t>חידושי קדושת לוי</t>
  </si>
  <si>
    <t>לוי יצחק בן מאיר מברדיטשוב</t>
  </si>
  <si>
    <t>חידושי ר"י בן חכמון - 2 כר'</t>
  </si>
  <si>
    <t>ישמעאל בן חכמון</t>
  </si>
  <si>
    <t>חידושי ר' יעקב בטאן</t>
  </si>
  <si>
    <t>בטאן, יעקב</t>
  </si>
  <si>
    <t>משנה, תלמוד בבלי, תלמוד בבלי, תלמוד ירושלמי, תנ"ך</t>
  </si>
  <si>
    <t>חידושי ר' יעקב מאיר</t>
  </si>
  <si>
    <t>ליברמאן, יעקב מאיר בן אליעזר הכהן</t>
  </si>
  <si>
    <t>חידושי רא"ם</t>
  </si>
  <si>
    <t>חידושי רא"מ</t>
  </si>
  <si>
    <t>קרפל, אברהם מרדכי בן יעקב</t>
  </si>
  <si>
    <t>חידושי ראשבי"ד אש דת</t>
  </si>
  <si>
    <t>דרושים, הלכה ומנהג, מחשבה ומוסר, תלמוד בבלי, תנ"ך</t>
  </si>
  <si>
    <t>חידושי רבי אברהם משה - 3 כר'</t>
  </si>
  <si>
    <t>המבורגר, אברהם משה</t>
  </si>
  <si>
    <t>חידושי רבי אפרים מרדכי - 4 כר'</t>
  </si>
  <si>
    <t>גינזבורג, אפרים מרדכי בן אליעזר</t>
  </si>
  <si>
    <t>חידושי רבי אריה לייב - 2 כר'</t>
  </si>
  <si>
    <t>מאלין, אריה לייב בן אברהם משה</t>
  </si>
  <si>
    <t>חידושי רבי בונים איגר זצ"ל - 2 כר'</t>
  </si>
  <si>
    <t>גינז-איגר, שמחה בונם</t>
  </si>
  <si>
    <t>חידושי רבי בן ציון</t>
  </si>
  <si>
    <t>פריימן, בן ציון בן שלמה אליהו</t>
  </si>
  <si>
    <t>חידושי רבי גרשון - 2 כר'</t>
  </si>
  <si>
    <t>חידושי רבי זאב הלוי</t>
  </si>
  <si>
    <t>חידושי רבי זרח איידליץ</t>
  </si>
  <si>
    <t>חידושי רבי חיים מטעלז - 3 כר'</t>
  </si>
  <si>
    <t>רבינוביץ, חיים</t>
  </si>
  <si>
    <t>חידושי רבי חנוך הענאך - 2 כר'</t>
  </si>
  <si>
    <t>פישמן, חנוך הענאך</t>
  </si>
  <si>
    <t>חידושי רבי יהודה זרחיה - 2 כר'</t>
  </si>
  <si>
    <t>חידושי רבי יהונתן אייבשיץ</t>
  </si>
  <si>
    <t>חידושי רבי יהונתן מלוניל &lt;מהדורת מכון התלמוד הישראלי&gt; - מגילה יבמות גיטין</t>
  </si>
  <si>
    <t>יהונתן בן דוד הכהן מלוניל</t>
  </si>
  <si>
    <t>חידושי רבי יהונתן מלוניל &lt;מהדורת מכון התלמוד הישראלי&gt; שבת א &lt;דליות דוד&gt;</t>
  </si>
  <si>
    <t>חידושי רבי יהונתן מלוניל &lt;מהדרות מכון התלמוד הישראלי&gt; -  שבת ב &lt;דליות דוד&gt;</t>
  </si>
  <si>
    <t>חידושי רבי יונה צבי - 3 כר'</t>
  </si>
  <si>
    <t>ברנפלד, יונה צבי</t>
  </si>
  <si>
    <t>חידושי רבי יוסף שאול - שבת</t>
  </si>
  <si>
    <t>חידושי רבי יעקב בן עלון</t>
  </si>
  <si>
    <t>בן עלון, יעקב בן מימון</t>
  </si>
  <si>
    <t>חידושי רבי יעקב מקמניץ</t>
  </si>
  <si>
    <t>בוברובסקי, יעקב בן אברהם</t>
  </si>
  <si>
    <t>חידושי רבי יעקב עדס - 5 כר'</t>
  </si>
  <si>
    <t>חידושי רבי מענדיל</t>
  </si>
  <si>
    <t>זאקס, מנחם מענדיל יוסף</t>
  </si>
  <si>
    <t>חידושי רבי מרדכי מגרידץ - ב"מ</t>
  </si>
  <si>
    <t>מרדכי בן מרוך מגרידץ</t>
  </si>
  <si>
    <t>חידושי רבי נח - 2 כר'</t>
  </si>
  <si>
    <t>שימנוביץ, נח</t>
  </si>
  <si>
    <t>חידושי רבי נחום - 5 כר'</t>
  </si>
  <si>
    <t>פרצוביץ, נחום</t>
  </si>
  <si>
    <t>חידושי רבי נחמיה</t>
  </si>
  <si>
    <t>אלטר, נחמיה</t>
  </si>
  <si>
    <t>שאלות ותשובות, שאלות ותשובות, תולדות עם ישראל, תולדות עם ישראל, תלמוד בבלי</t>
  </si>
  <si>
    <t>חידושי רבי נתן צבי - 5 כר'</t>
  </si>
  <si>
    <t>פינקל, נתן צבי</t>
  </si>
  <si>
    <t>חידושי רבי עקיבא איגר &lt;זכרון יעקב&gt; - 4 כר'</t>
  </si>
  <si>
    <t>חידושי רבי עקיבא איגר השלם עם משנת כהן - 2 כר'</t>
  </si>
  <si>
    <t>איגר, עקיבא בן משה - כהן, אברהם ישעיהו</t>
  </si>
  <si>
    <t>חידושי רבי עקיבא איגר על הרמב"ם</t>
  </si>
  <si>
    <t>חידושי רבי עקיבא איגר - 2 כר'</t>
  </si>
  <si>
    <t>חידושי רבי ראובן - 4 כר'</t>
  </si>
  <si>
    <t>חידושי רבי שאול משה</t>
  </si>
  <si>
    <t>חידושי רבי שלום בוזאגלו - ע"ז</t>
  </si>
  <si>
    <t>חידושי רבי שלמה - 4 כר'</t>
  </si>
  <si>
    <t>היימן, שלמה</t>
  </si>
  <si>
    <t>חידושי רבי שמואל - 7 כר'</t>
  </si>
  <si>
    <t>חידושי רבי שמעון אשר גולדברג - סוכה</t>
  </si>
  <si>
    <t>חידושי רבי שמעון יהודא הכהן מהדורה חדשה&gt; - 4 כר'</t>
  </si>
  <si>
    <t>שקופ, שמעון יהודה בן יצחק שמואל הכהן</t>
  </si>
  <si>
    <t>חידושי רבי שמעון יהודא הכהן - 4 כר'</t>
  </si>
  <si>
    <t>תש"ז - תשט"ז</t>
  </si>
  <si>
    <t>חידושי רבי שפטיה</t>
  </si>
  <si>
    <t>חידושי רבינו אברהם חריף - 2 כר'</t>
  </si>
  <si>
    <t>חידושי רבינו אפרים - נדה</t>
  </si>
  <si>
    <t>רבינו אפרים מרגנשבורג</t>
  </si>
  <si>
    <t>חידושי רבינו דוד דוב - 2 כר'</t>
  </si>
  <si>
    <t>חידושי רבינו הגרי"ז הלוי &lt;סטנסיל&gt; - 3 כר'</t>
  </si>
  <si>
    <t>סולובייצ'יק, יצחק זאב בן חיים הלוי</t>
  </si>
  <si>
    <t>חידושי רבינו הגרי"ז סאלאווייציק &lt;סטנסיל&gt; - תורה</t>
  </si>
  <si>
    <t>חידושי רבינו הגרי"מ - 4 כר'</t>
  </si>
  <si>
    <t>חידושי רבינו חיים הלוי בסוגיא דכוורת</t>
  </si>
  <si>
    <t>חידושי רבינו חיים הלוי על הרמב"ם ע"פ תיבת גמא</t>
  </si>
  <si>
    <t>זלזניק, ישכר איסר בן דב אהרן</t>
  </si>
  <si>
    <t>חידושי רבינו חיים הלוי</t>
  </si>
  <si>
    <t>חידושי רבינו חיים זצ"ל (מפי השמועה)</t>
  </si>
  <si>
    <t>חידושי רבינו יהונתן אייבשיץ</t>
  </si>
  <si>
    <t>חידושי רבינו יהונתן מלוניל &lt;מהדורת מכון התלמוד הישראלי&gt; - חולין</t>
  </si>
  <si>
    <t>חידושי רבינו יהונתן מלוניל &lt;מהדרות מכון התלמוד הישראלי&gt; - 4 כר'</t>
  </si>
  <si>
    <t>חידושי רבינו יונה החסיד מגירונדי ותלמידיו - כתובות</t>
  </si>
  <si>
    <t>חידושי רבינו יונה סדר ליל פסח &lt;שביבי אש&gt;</t>
  </si>
  <si>
    <t>חידושי רבינו יונה - 3 כר'</t>
  </si>
  <si>
    <t>חידושי רבינו יונתן אייבשיץ (או"ח)</t>
  </si>
  <si>
    <t>חידושי רבינו יוסף מפוזנא</t>
  </si>
  <si>
    <t>רבי יוסף מפוזנא</t>
  </si>
  <si>
    <t>דרושים, שלחן ערוך ומפרשיו, תלמוד בבלי, תלמוד בבלי, תנ"ך</t>
  </si>
  <si>
    <t>חידושי רבינו יוסף שאול הלוי</t>
  </si>
  <si>
    <t>חידושי רבינו יצחק אבן גיאת - בבא מציעא</t>
  </si>
  <si>
    <t>יצחק בן גיאת</t>
  </si>
  <si>
    <t>חידושי רבינו ישעיה שור</t>
  </si>
  <si>
    <t>שור, ישעיהו בן משה</t>
  </si>
  <si>
    <t>חידושי רבינו מאיר שמחה - 3 כר'</t>
  </si>
  <si>
    <t>חידושי רבינו פרחיה ב"ר ניסים - 2 כר'</t>
  </si>
  <si>
    <t>פרחיה בן ניסים</t>
  </si>
  <si>
    <t>חידושי רבינו פרץ - נזיר</t>
  </si>
  <si>
    <t>פרץ בן יצחק הכהן מברצלונה</t>
  </si>
  <si>
    <t>חידושי רבינו שלמה בן אדרת - ר"ה</t>
  </si>
  <si>
    <t>חידושי רבנו ברוך טעם על הש"ס</t>
  </si>
  <si>
    <t>חידושי רבנו חיים הלוי - 2 כר'</t>
  </si>
  <si>
    <t>חידושי רבנו יוסף נחמיה</t>
  </si>
  <si>
    <t>חידושי רבנו יוסף ענגיל עה"ת</t>
  </si>
  <si>
    <t>חידושי רבנו נחמן בן הרמב"ן - 2 כר'</t>
  </si>
  <si>
    <t>נחמן בן משה</t>
  </si>
  <si>
    <t>חידושי רבנו קרשקש - כתובות</t>
  </si>
  <si>
    <t>וידאל, קרשקש</t>
  </si>
  <si>
    <t>חידושי רבנו שמעון הלוי</t>
  </si>
  <si>
    <t>לוי, שמעון בן יהושע</t>
  </si>
  <si>
    <t>חידושי רי"ח - 2 כר'</t>
  </si>
  <si>
    <t>אפשטיין, יהושע חיים בן מרדכי צבי הלוי</t>
  </si>
  <si>
    <t>תר"נ - תרנ"ח</t>
  </si>
  <si>
    <t>חידושי ריב"ש</t>
  </si>
  <si>
    <t>חידושי ריזב"ש</t>
  </si>
  <si>
    <t>חידושי רמ"ז</t>
  </si>
  <si>
    <t>מזוזה, משה זאב בן ישראל יחיאל מיכל</t>
  </si>
  <si>
    <t>חידושי רפאל</t>
  </si>
  <si>
    <t>שלזינגר, רפאל בן צבי הירש</t>
  </si>
  <si>
    <t>חידושי רצד"א - צנא דספרא</t>
  </si>
  <si>
    <t>אייזנער, צבי דב בן אליקים געצל געציל</t>
  </si>
  <si>
    <t>חידושי ש"י</t>
  </si>
  <si>
    <t>לאנדא, שמואל יצחק בן יחיאל איכל</t>
  </si>
  <si>
    <t>חידושי ש"ס</t>
  </si>
  <si>
    <t>מאיר ברוך בן ישראל</t>
  </si>
  <si>
    <t>מינסק Minsk</t>
  </si>
  <si>
    <t>חידושי שבט הלוי - 2 כר'</t>
  </si>
  <si>
    <t>חידושי שומרי החומות</t>
  </si>
  <si>
    <t>תלמידי ישיבות "כולל שומרי החומות"</t>
  </si>
  <si>
    <t>חידושי שיטה לא נודע למי - ביצה</t>
  </si>
  <si>
    <t>שיטה לא נודע למי</t>
  </si>
  <si>
    <t>חידושי שלחן ערוך &lt;רש"ש&gt;</t>
  </si>
  <si>
    <t>שטראשון, שמואל מווילנא (רש"ש)</t>
  </si>
  <si>
    <t>חידושי שמואל הרמש"י</t>
  </si>
  <si>
    <t>דונאט, שמואל בן מנחם</t>
  </si>
  <si>
    <t>חידושי שני המאורות</t>
  </si>
  <si>
    <t>שניאור פייבוש בן מנחם מניש מבולחוב</t>
  </si>
  <si>
    <t>חידושי שער המלך &lt;עם פתח השער&gt; - 2 כר'</t>
  </si>
  <si>
    <t>נוניס-בילמונטי, יצחק בן משה - סנדרוסי, שמעון</t>
  </si>
  <si>
    <t>חידושי תוספות שאנץ</t>
  </si>
  <si>
    <t>שמשון בן אברהם משאנץ</t>
  </si>
  <si>
    <t>חידושי תורה בדף היומי העולמי בתלמוד - חולין</t>
  </si>
  <si>
    <t>קפלן, נתן</t>
  </si>
  <si>
    <t>חידושי תורה בענייני תחומין</t>
  </si>
  <si>
    <t>חידושי תורה בעניני שביעית</t>
  </si>
  <si>
    <t>לרר, יחיאל</t>
  </si>
  <si>
    <t>חידושי תורה הלכה ואגדה - 3 כר'</t>
  </si>
  <si>
    <t>חידושי תורה ותולדות קול אריה</t>
  </si>
  <si>
    <t>שפיצר, דוב בער בן יואל זוסמאן</t>
  </si>
  <si>
    <t>חידושי תורה מאת הגאון רבי מנחם מנדל זאקס - חידושי ר' גרשון זאקס תמורה</t>
  </si>
  <si>
    <t>זאקס, מנחם מנדל - זאקס, אברהם גרשון</t>
  </si>
  <si>
    <t>חידושי תורה מהר"א ט"ב - 20 כר'</t>
  </si>
  <si>
    <t>טייטלבוים, אהרן בן משה</t>
  </si>
  <si>
    <t>חידושי תורה על מסכת בבא בתרא</t>
  </si>
  <si>
    <t>ישיבת אבי עזרי</t>
  </si>
  <si>
    <t>פאריז</t>
  </si>
  <si>
    <t>חידושי תורה שנשמעו מכ"ק מרן אדמו"ר שליט"א מסאטמאר</t>
  </si>
  <si>
    <t>חידושי תורה</t>
  </si>
  <si>
    <t>איטינגא, יקותיאל זלמן בן נח</t>
  </si>
  <si>
    <t>חידושי תורה - 4 כר'</t>
  </si>
  <si>
    <t>חידושי תורה - 6 כר'</t>
  </si>
  <si>
    <t>קובץ כולל משך חכמה אור יהושע</t>
  </si>
  <si>
    <t>חידושי תורה - בהלכות גניבה ובאגדות חז"ל</t>
  </si>
  <si>
    <t>הלכה ומנהג, מחשבה ומוסר, תלמוד בבלי, תלמוד בבלי</t>
  </si>
  <si>
    <t>חידושי תורה - קידושין, ב"מ</t>
  </si>
  <si>
    <t>שייר, יהודה אריה לייב</t>
  </si>
  <si>
    <t>חידושי תורות</t>
  </si>
  <si>
    <t>חידושי תלמיד הרמב"ן - סוכה</t>
  </si>
  <si>
    <t>תלמיד הרמב"ן</t>
  </si>
  <si>
    <t>חידושי תלמיד הרשב"א והרא"ש - ב"ק</t>
  </si>
  <si>
    <t>קרנז, ח. הרץ (עורך)</t>
  </si>
  <si>
    <t>חידושי תלמיד הרשב"א -  כלאים, ביצה, מו"ק, יומא</t>
  </si>
  <si>
    <t>יונגרמן, שלום מאיר</t>
  </si>
  <si>
    <t>חידושי תלמיד הרשב"א - עירובין</t>
  </si>
  <si>
    <t>תלמיד הרשב"א - יונגרמן, שלום מאיר</t>
  </si>
  <si>
    <t>חידושי תלמיד הרשב"א - בבא מציעא</t>
  </si>
  <si>
    <t>תלמיד הרשב"א</t>
  </si>
  <si>
    <t>חידושי תלמיד הרשב"א, רבינו יהונתן מלוניל - פסחים</t>
  </si>
  <si>
    <t>חידושי תלמידי רבינו יונה - עבודה זרה</t>
  </si>
  <si>
    <t>חידושים בש"ס</t>
  </si>
  <si>
    <t>גינס-שלזינגר, יוסף שמואל בנימין בן עקיבא</t>
  </si>
  <si>
    <t>חידושים ובאורים על הלכות ממרים, עכו"ם וחוקותיהם להרמב"ם</t>
  </si>
  <si>
    <t>פינס, אברהם בן דוב</t>
  </si>
  <si>
    <t>חידושים ובאורים על הלכות סנהדרין לרמב"ם</t>
  </si>
  <si>
    <t>חידושים וביאורים במסכת כתובות</t>
  </si>
  <si>
    <t>טרוביץ, מרדכי דוד</t>
  </si>
  <si>
    <t>חידושים וביאורים במצות תפילין</t>
  </si>
  <si>
    <t>סבתו, אלחנן</t>
  </si>
  <si>
    <t>חידושים וביאורים בענינים שונים</t>
  </si>
  <si>
    <t>אושינסקי, יהושע בן מרדכי זלמן הלוי</t>
  </si>
  <si>
    <t>חידושים וביאורים בפרק קמא דעירובין</t>
  </si>
  <si>
    <t>עזיז, יאיר בן דניאל</t>
  </si>
  <si>
    <t>חידושים וביאורים ורעיונות על התורה</t>
  </si>
  <si>
    <t>כהן, אהרן בן דוד (עורך)</t>
  </si>
  <si>
    <t>חידושים וביאורים למסכת ברכות</t>
  </si>
  <si>
    <t>חידושים וביאורים על מסכת מועד קטן</t>
  </si>
  <si>
    <t>חידושים וביאורים</t>
  </si>
  <si>
    <t>אביטבול, שלמה בן מיימון</t>
  </si>
  <si>
    <t>חידושים ופלפולים</t>
  </si>
  <si>
    <t>חידושים לפרשת השבוע מלוקט מספר זרע שמשון</t>
  </si>
  <si>
    <t>חידושים ממסכת י"ט</t>
  </si>
  <si>
    <t>חידושים מספר אלחנן - ב</t>
  </si>
  <si>
    <t>קירכהאן, אלחנן הנלה בן בנימין וולף</t>
  </si>
  <si>
    <t>תפ"ב-תצ"א</t>
  </si>
  <si>
    <t>חידושים על הלכות י"ט להרמב"ם</t>
  </si>
  <si>
    <t>חידושים על התורה</t>
  </si>
  <si>
    <t>גואיטה, יצחק בן פריגה</t>
  </si>
  <si>
    <t>חידושים על מסכת ברכות</t>
  </si>
  <si>
    <t>וואלף, שמואל בן יהודה</t>
  </si>
  <si>
    <t>חידושים על מסכת פאה</t>
  </si>
  <si>
    <t>נאור, בצלאל</t>
  </si>
  <si>
    <t>חידושים על מסכת שבועות - 2 כר'</t>
  </si>
  <si>
    <t>חידושים קדמונים לרבינו אליעזר אשכנזי למסכת קידושין</t>
  </si>
  <si>
    <t>חידות חכמה</t>
  </si>
  <si>
    <t>חידות מגילה</t>
  </si>
  <si>
    <t>גורדון, יקותיאל בן יהודה ליב</t>
  </si>
  <si>
    <t>חידות מני קדם</t>
  </si>
  <si>
    <t>כ"ץ, יצחק</t>
  </si>
  <si>
    <t>חידת שמשון</t>
  </si>
  <si>
    <t>חיה באמונה</t>
  </si>
  <si>
    <t>חיובי אישות</t>
  </si>
  <si>
    <t>כהן, יהודה צבי בן יעקב</t>
  </si>
  <si>
    <t>חיוכה של תורה</t>
  </si>
  <si>
    <t>גרינשפן, יהודה</t>
  </si>
  <si>
    <t>חיזוק און מוסר - א</t>
  </si>
  <si>
    <t>חיזוק בתורה מפרשת המרגלים</t>
  </si>
  <si>
    <t>חיזוק האמונה</t>
  </si>
  <si>
    <t>פראנק, צבי פסח בן זאב</t>
  </si>
  <si>
    <t>חיזוק והדרכה בעניני השעה - 4 כר'</t>
  </si>
  <si>
    <t>עבוד, אליהו</t>
  </si>
  <si>
    <t>חיזוק למשכני יעקב - תפלה כהלכתה</t>
  </si>
  <si>
    <t>פוזן, יעקב יחזקאל בן יוסף יצחק</t>
  </si>
  <si>
    <t>חיזוק מדת הבטחון</t>
  </si>
  <si>
    <t>דייטש, מיכאל בן אליהו</t>
  </si>
  <si>
    <t>חיזוק - 8 כר'</t>
  </si>
  <si>
    <t>חיי אבות</t>
  </si>
  <si>
    <t>חיי אברהם</t>
  </si>
  <si>
    <t>אלטמן, אברהם בן חיים הלוי</t>
  </si>
  <si>
    <t>וולמאן, אברהם חיים בן יוסף מרדכי ווילימובסקי</t>
  </si>
  <si>
    <t>דרושים, דרושים, נושאים שונים</t>
  </si>
  <si>
    <t>טייב, אברהם</t>
  </si>
  <si>
    <t>חיי אברהם - 2 כר'</t>
  </si>
  <si>
    <t>כאלפון, אברהם בן רפאל</t>
  </si>
  <si>
    <t>קובו, רפאל חיים אברהם בכור בן שמואל</t>
  </si>
  <si>
    <t>חיי אדם &lt;בית ברוך&gt; - 3 כר'</t>
  </si>
  <si>
    <t>חיי אדם &lt;תוספות חיים&gt;</t>
  </si>
  <si>
    <t>חיי אדם השלם עם נשמת אדם - 2 כר'</t>
  </si>
  <si>
    <t>חיי אדם וחכמת אדם אין אידיש</t>
  </si>
  <si>
    <t>חיי אדם ונשמת אדם המפואר - 2 כר'</t>
  </si>
  <si>
    <t>חיי אדם עם נשמת אדם &lt;חיי אריכי&gt; - 2 כר'</t>
  </si>
  <si>
    <t>חיי אדם</t>
  </si>
  <si>
    <t>חיי אדם - עברי טייטש</t>
  </si>
  <si>
    <t>חיי אדם - 8 כר'</t>
  </si>
  <si>
    <t>פרוז'אנסקי, אברהם</t>
  </si>
  <si>
    <t>חיי אורה - 3 כר'</t>
  </si>
  <si>
    <t>פריינד, חיים אורי</t>
  </si>
  <si>
    <t>חיי איסר - 3 כר'</t>
  </si>
  <si>
    <t>טאוב, חיים בן יחזקאל צבי</t>
  </si>
  <si>
    <t>חיי אליהו - ב"ק, ב"מ</t>
  </si>
  <si>
    <t>אלטמן, אליהו</t>
  </si>
  <si>
    <t>חיי אליהו</t>
  </si>
  <si>
    <t>עברון, אליהו בן חיים יצחק</t>
  </si>
  <si>
    <t>קרופניק, אליהו חיים בן שמעון</t>
  </si>
  <si>
    <t>קרופניק, אליהו חיים בן שמשון</t>
  </si>
  <si>
    <t>חיי אפרים - 3 כר'</t>
  </si>
  <si>
    <t>חיי אריה</t>
  </si>
  <si>
    <t>הורוויץ, אריה ליב בן ישראל</t>
  </si>
  <si>
    <t>חיי אריה - 2 כר'</t>
  </si>
  <si>
    <t>חיי אריכי</t>
  </si>
  <si>
    <t>חיי אשר</t>
  </si>
  <si>
    <t>מילר, אשר אנשיל יהודה בן חיים</t>
  </si>
  <si>
    <t>חיי בנימין - 7 כר'</t>
  </si>
  <si>
    <t>חיי בנימין - 2 כר'</t>
  </si>
  <si>
    <t>פוזן, בנימין יחיאל</t>
  </si>
  <si>
    <t>חיי דוד על התורה</t>
  </si>
  <si>
    <t>חיי דוד - 2 כר'</t>
  </si>
  <si>
    <t>חיי דוד - 14 כר'</t>
  </si>
  <si>
    <t>חיי הבחירה - 5 כר'</t>
  </si>
  <si>
    <t>חיי הגאון רבנו רבי עקיבא איגר</t>
  </si>
  <si>
    <t>בלום, שאול</t>
  </si>
  <si>
    <t>חיי הגוף והנפש</t>
  </si>
  <si>
    <t>חיי היהודי על פי השלחן ערוך</t>
  </si>
  <si>
    <t>קאנוביץ, ישראל בן יצחק מאיר</t>
  </si>
  <si>
    <t>חיי היהודי על פי התלמוד  עם אור החיים - חיים ושלום</t>
  </si>
  <si>
    <t>סובאלסקי, יצחק בן שמשון - מדר שמעון - הכהן, שלום</t>
  </si>
  <si>
    <t>חיי היהודי על פי התלמוד</t>
  </si>
  <si>
    <t>סובאלסקי, יצחק בן שמשון</t>
  </si>
  <si>
    <t>חיי היהודים באיטליה בתקופת הריניסאנס</t>
  </si>
  <si>
    <t>שולוואס, משה אביגדור בן מאיר</t>
  </si>
  <si>
    <t>חיי היהודים בזמן התלמוד -נהרדעא</t>
  </si>
  <si>
    <t>יודילוביץ, מרדכי דוב בן שלמה</t>
  </si>
  <si>
    <t>תרס"ו,</t>
  </si>
  <si>
    <t>חיי הכהן</t>
  </si>
  <si>
    <t>יוסף בן יואל הכהן</t>
  </si>
  <si>
    <t>חיי הלוי - 10 כר'</t>
  </si>
  <si>
    <t>סג"ל וואזנער, יוחנן</t>
  </si>
  <si>
    <t>חיי המאיר</t>
  </si>
  <si>
    <t>אג'אג'אן, ישמעאל</t>
  </si>
  <si>
    <t>חיי המוסר - 3 כר'</t>
  </si>
  <si>
    <t>חיי המוסר</t>
  </si>
  <si>
    <t>אוסטרובצה Ostrowiec</t>
  </si>
  <si>
    <t>חיי המלך</t>
  </si>
  <si>
    <t>בלוך, יוסף זלמן בן אליהו מאיר</t>
  </si>
  <si>
    <t>חיי המשנה</t>
  </si>
  <si>
    <t>משנה, תפלות בקשות פיוטים ושירה</t>
  </si>
  <si>
    <t>חיי הנפש ונצחיותה</t>
  </si>
  <si>
    <t>חיי הנפש - מצרף לכסף וכור לזהב</t>
  </si>
  <si>
    <t>חיי הנפש</t>
  </si>
  <si>
    <t>אלנקוה, אליהו בן אפרים</t>
  </si>
  <si>
    <t>הלכה ומנהג, מחשבה ומוסר, תנ"ך</t>
  </si>
  <si>
    <t>חיי העולם הבא - וזאת ליהודה</t>
  </si>
  <si>
    <t>חיי הקיבוץ</t>
  </si>
  <si>
    <t>חיי הרש"ש</t>
  </si>
  <si>
    <t>חיי התרבות בישראל</t>
  </si>
  <si>
    <t>הרשברג, אברהם שמואל בן ישראל</t>
  </si>
  <si>
    <t>חיי וחמרא</t>
  </si>
  <si>
    <t>חיי ורפואת ישראל בשבת</t>
  </si>
  <si>
    <t>הוניסברג, ישראל</t>
  </si>
  <si>
    <t>חיי חיים - תולדות רבי חיים חורי</t>
  </si>
  <si>
    <t>חיי חנוך &lt;מהדורה חדשה&gt;</t>
  </si>
  <si>
    <t>חיי חנוך</t>
  </si>
  <si>
    <t>חיי יוסף</t>
  </si>
  <si>
    <t>עצטה, יוסף</t>
  </si>
  <si>
    <t>חיי יוסף - 7 כר'</t>
  </si>
  <si>
    <t>רוזן, משה בן עמוס</t>
  </si>
  <si>
    <t>חיי יחיאל - 3 כר'</t>
  </si>
  <si>
    <t>חיי יעקב</t>
  </si>
  <si>
    <t>לאנדא, חיים יעקב בן שמואל</t>
  </si>
  <si>
    <t>חיי יעקב - מזוזה</t>
  </si>
  <si>
    <t>חיי יצחק</t>
  </si>
  <si>
    <t>יוסטמאן, חיים יצחק איזיק בן יעקב אריה</t>
  </si>
  <si>
    <t>תרע"ב - תרפ"ח</t>
  </si>
  <si>
    <t>חיי ישראל</t>
  </si>
  <si>
    <t>אברמוביץ, מיכל ליב</t>
  </si>
  <si>
    <t>חיי לבב - 2 כר'</t>
  </si>
  <si>
    <t>היימן, אריה לייב</t>
  </si>
  <si>
    <t>חיי מוהר"ן &lt;המנוקד&gt;</t>
  </si>
  <si>
    <t>שטרנהארץ, נתן בן נפתלי הירץ</t>
  </si>
  <si>
    <t>חיי מוהר"ן &lt;טקסט&gt;</t>
  </si>
  <si>
    <t>חיי מוהר"ן &lt;מהדורת משך הנחל&gt;</t>
  </si>
  <si>
    <t>חיי מוהר"ן</t>
  </si>
  <si>
    <t>חיי מוהר"ן - 2 כר'</t>
  </si>
  <si>
    <t>חיי משה - 3 כר'</t>
  </si>
  <si>
    <t>ביק, משה צבי אריה</t>
  </si>
  <si>
    <t>חיי משה</t>
  </si>
  <si>
    <t>יעיש, משה</t>
  </si>
  <si>
    <t>מאיימראן, משה</t>
  </si>
  <si>
    <t>חיי משה - 7 כר'</t>
  </si>
  <si>
    <t>שקלארש, משה מנדל בן זלמן אריה</t>
  </si>
  <si>
    <t>חיי נפש - 10 כר'</t>
  </si>
  <si>
    <t>זלמנוביץ, ישראל אריה בן שמואל נטע</t>
  </si>
  <si>
    <t>חיי נפש - 2 כר'</t>
  </si>
  <si>
    <t>קניג, גדליהו אהרן בן אלעזר מרדכי</t>
  </si>
  <si>
    <t>חיי נצח (באנגלית) ETERNAL LIFE</t>
  </si>
  <si>
    <t>חיי סבא ישראל</t>
  </si>
  <si>
    <t>אודסר, ישראל בער</t>
  </si>
  <si>
    <t>חיי עד</t>
  </si>
  <si>
    <t>קצבורג, דוד צבי</t>
  </si>
  <si>
    <t>חיי עולם &lt;עץ חיים&gt; א</t>
  </si>
  <si>
    <t>חיי עולם &lt;עץ חיים&gt; ב</t>
  </si>
  <si>
    <t>חיי עולם &lt;עץ חיים&gt; ג</t>
  </si>
  <si>
    <t>חיי עולם &lt;עץ חיים&gt; ד</t>
  </si>
  <si>
    <t>חיי עולם &lt;שער הכוונות, מועדים&gt; ה</t>
  </si>
  <si>
    <t>חיי עולם &lt;מכתב מאליהו&gt;</t>
  </si>
  <si>
    <t>חיי עולם</t>
  </si>
  <si>
    <t>חיי עולם &lt;מהדורה חדשה&gt; - א</t>
  </si>
  <si>
    <t>טויבש, שמואל שמלקא בן אהרן משה</t>
  </si>
  <si>
    <t>חיי עולם &lt;עם הרחב דבר&gt;</t>
  </si>
  <si>
    <t>חיי עולם הדרך לשלמות</t>
  </si>
  <si>
    <t>זיסהולץ, ישראל יעקב</t>
  </si>
  <si>
    <t>חיי עולם - א</t>
  </si>
  <si>
    <t>אדלמן, מרדכי בן צבי (עורך)</t>
  </si>
  <si>
    <t>פאריס</t>
  </si>
  <si>
    <t>חיי עולם - 4 כר'</t>
  </si>
  <si>
    <t>גוטליב, דוב בריש בן יעקב</t>
  </si>
  <si>
    <t>גליק, גדליה בן חנוך</t>
  </si>
  <si>
    <t>חיי עולם - 2 כר'</t>
  </si>
  <si>
    <t>חיי עולם - בפסוקי התורה</t>
  </si>
  <si>
    <t>חיי עמרם &lt;מהדורה חדשה&gt;</t>
  </si>
  <si>
    <t>אלבאז, עמרם בן יהודה</t>
  </si>
  <si>
    <t>חיי עמרם</t>
  </si>
  <si>
    <t>חיי פנחס</t>
  </si>
  <si>
    <t>קרית יערים טלז סטון</t>
  </si>
  <si>
    <t>קליין, פנחס חיים</t>
  </si>
  <si>
    <t>חיי ראובן - 2 כר'</t>
  </si>
  <si>
    <t>חיי רחמים</t>
  </si>
  <si>
    <t>חיי שלום</t>
  </si>
  <si>
    <t>הכהן, יחיא בן שלום</t>
  </si>
  <si>
    <t>חיי שלמה</t>
  </si>
  <si>
    <t>פרידמן, שלמה חיים</t>
  </si>
  <si>
    <t>חיי שמחה</t>
  </si>
  <si>
    <t>חיי שע"ה</t>
  </si>
  <si>
    <t>חיי תמיד</t>
  </si>
  <si>
    <t>חייל בצבא ה'</t>
  </si>
  <si>
    <t>חיים באמונותם</t>
  </si>
  <si>
    <t>שמלצר, ראובן מרדכי</t>
  </si>
  <si>
    <t>חיים ביד - א</t>
  </si>
  <si>
    <t>הכהן, יוסף סוסו בן שאול</t>
  </si>
  <si>
    <t>חיים ביד</t>
  </si>
  <si>
    <t>חיים בריאים כהלכה - 2 כר'</t>
  </si>
  <si>
    <t>חיים ברצונו - זבחים, סוגיות, הגהות הש"ס</t>
  </si>
  <si>
    <t>גרינפלד, משה חיים</t>
  </si>
  <si>
    <t>חיים ברצונו</t>
  </si>
  <si>
    <t>גרינפעלד, משה חיים</t>
  </si>
  <si>
    <t>חיים דרכיו דרכיו למשה</t>
  </si>
  <si>
    <t>[תר"ה,</t>
  </si>
  <si>
    <t>שאלוניקי,</t>
  </si>
  <si>
    <t>חיים הנצחיים</t>
  </si>
  <si>
    <t>פרידלינג, צבי הירש בן דוב</t>
  </si>
  <si>
    <t>דרושים, שאלות ותשובות, תפלות בקשות פיוטים ושירה</t>
  </si>
  <si>
    <t>חיים וברכה - 2 כר'</t>
  </si>
  <si>
    <t>צ'רניאק, שלום שכנא בן מרדכי יהודה</t>
  </si>
  <si>
    <t>חיים וחסד</t>
  </si>
  <si>
    <t>אלחאייך, עוזיאל</t>
  </si>
  <si>
    <t>תרכ"ה-תרל"ג</t>
  </si>
  <si>
    <t>חיים וחסד - 2 כר'</t>
  </si>
  <si>
    <t>חורי, חיים נסים חזקיה</t>
  </si>
  <si>
    <t>חיים חייקא בן שמואל מאמדור</t>
  </si>
  <si>
    <t>חיים וחסד - חנן אלהים</t>
  </si>
  <si>
    <t>יצחק נסים בן ג'אמיל</t>
  </si>
  <si>
    <t>חיים וחסד - 3 כר'</t>
  </si>
  <si>
    <t>מוסאפיה, חיים יצחק</t>
  </si>
  <si>
    <t>חיים ומזון</t>
  </si>
  <si>
    <t>חיים ומלך</t>
  </si>
  <si>
    <t>חיים ועשר</t>
  </si>
  <si>
    <t>חיים ושבע - ברכת המזון</t>
  </si>
  <si>
    <t>פאלאג'י, חיים בן יעקב - אברהם, דוד בן אברהם</t>
  </si>
  <si>
    <t>חיים ושלום &lt;מהדורה חדשה&gt;</t>
  </si>
  <si>
    <t>חיים ושלום - שו"ת</t>
  </si>
  <si>
    <t>דאבח, חיים ויקטור</t>
  </si>
  <si>
    <t>חיים ושלום</t>
  </si>
  <si>
    <t>חיים ושלום - 2 כר'</t>
  </si>
  <si>
    <t>תרי"ז - תרל"ב</t>
  </si>
  <si>
    <t>חיים חן</t>
  </si>
  <si>
    <t>חיים טובים</t>
  </si>
  <si>
    <t>לוי, י</t>
  </si>
  <si>
    <t>חיים כולכם היום</t>
  </si>
  <si>
    <t>חיים לגופא</t>
  </si>
  <si>
    <t>חיים לישראל - 3 כר'</t>
  </si>
  <si>
    <t>גיג', חיים דוד בן יוסף</t>
  </si>
  <si>
    <t>חיים לישראל - 2 כר'</t>
  </si>
  <si>
    <t>גרינברג, ישראל</t>
  </si>
  <si>
    <t>חיים לכל חי</t>
  </si>
  <si>
    <t>רינגל, יששכר צבי</t>
  </si>
  <si>
    <t>דרושים, הלכה ומנהג, מועדי ישראל, תפלות בקשות פיוטים ושירה</t>
  </si>
  <si>
    <t>חיים ללא חובות</t>
  </si>
  <si>
    <t>ארוש, שלום</t>
  </si>
  <si>
    <t>חסידות, חסידות, מחשבה ומוסר, תפלות בקשות פיוטים ושירה</t>
  </si>
  <si>
    <t>חיים ללא עישון</t>
  </si>
  <si>
    <t>חיים למצאיהם</t>
  </si>
  <si>
    <t>חיים לעולם - 2 כר'</t>
  </si>
  <si>
    <t>מודעי, חיים בן אליהו</t>
  </si>
  <si>
    <t>חיים לראש</t>
  </si>
  <si>
    <t>חיים מדבר</t>
  </si>
  <si>
    <t>די טולידו, בכור חיים בן יום-טוב</t>
  </si>
  <si>
    <t>חיים מירושלם</t>
  </si>
  <si>
    <t>חיים עד העולם &lt;מהדורה חדשה&gt;</t>
  </si>
  <si>
    <t>ביז'ה, חיים</t>
  </si>
  <si>
    <t>חיים עד העולם</t>
  </si>
  <si>
    <t>תרמ"ח-תרנ"ט</t>
  </si>
  <si>
    <t>כולל רב פעלים</t>
  </si>
  <si>
    <t>סופר, יעקב חיים בן יצחק ברוך אליהו</t>
  </si>
  <si>
    <t>חיים שאל ממך</t>
  </si>
  <si>
    <t>מנשה, חיים שלום</t>
  </si>
  <si>
    <t>חיים שאל - 5 כר'</t>
  </si>
  <si>
    <t>חיים שאל - 2 כר'</t>
  </si>
  <si>
    <t>מוסאפיה, אברהם חי בן חיים יצחק</t>
  </si>
  <si>
    <t>חיים שיש בהם - 8 כר'</t>
  </si>
  <si>
    <t>גראס, יצחק שרגא בן משה חיים</t>
  </si>
  <si>
    <t>חיים שיש בהם</t>
  </si>
  <si>
    <t>זכרון לרב חיים סופר זצ"ל</t>
  </si>
  <si>
    <t>חיים שיש בהם - 2 כר'</t>
  </si>
  <si>
    <t>קליגר, חיים בן עזרא</t>
  </si>
  <si>
    <t>חיים של ברכה</t>
  </si>
  <si>
    <t>חיים של טובה</t>
  </si>
  <si>
    <t>גליק, חיים צבי בן יצחק הכהן</t>
  </si>
  <si>
    <t>חיים של פרנסה</t>
  </si>
  <si>
    <t>חיים של קידוש ה'</t>
  </si>
  <si>
    <t>חיים של שלום</t>
  </si>
  <si>
    <t>אייזנבלאט, שמואל דוב בן שלמה הכהן</t>
  </si>
  <si>
    <t>חיים של שלום - 2 כר'</t>
  </si>
  <si>
    <t>טויבש, חיים בן שלום</t>
  </si>
  <si>
    <t>תרנ"ד - תרס"ג</t>
  </si>
  <si>
    <t>חיים של שלמה - 2 כר'</t>
  </si>
  <si>
    <t>גרוסקין, שלמה חיים</t>
  </si>
  <si>
    <t>חיים של תורה - גיטין, נדרים</t>
  </si>
  <si>
    <t>דוידוביץ, חיים יעקב בן גבריאל צבי</t>
  </si>
  <si>
    <t>חיים של תורה</t>
  </si>
  <si>
    <t>כולל תורת חיים</t>
  </si>
  <si>
    <t>חיים של תורה - 2 כר'</t>
  </si>
  <si>
    <t>לוונשטיין, שלמה</t>
  </si>
  <si>
    <t>ספר הזכרון לרבי חיים אלימיך קורנברג</t>
  </si>
  <si>
    <t>חיים שנים ישלם</t>
  </si>
  <si>
    <t>ויטאל, שמואל בן חיים</t>
  </si>
  <si>
    <t>חיים שנים</t>
  </si>
  <si>
    <t>טארסה, חיים שלמה</t>
  </si>
  <si>
    <t>חיים תחילה דרכיו למשה</t>
  </si>
  <si>
    <t>חיים תחילה - 2 כר'</t>
  </si>
  <si>
    <t>חייקינים</t>
  </si>
  <si>
    <t>חייקין, אהוד מנחם צבי</t>
  </si>
  <si>
    <t>חיכו ממתקים - 5 כר'</t>
  </si>
  <si>
    <t>זאדה, אבנר בן אהרן</t>
  </si>
  <si>
    <t>חיל דמשק</t>
  </si>
  <si>
    <t>קריינר, אליעזר בן אהרן זליג</t>
  </si>
  <si>
    <t>חיל הארץ</t>
  </si>
  <si>
    <t>ליוש, חנניה יום טוב ליפא בן חיים</t>
  </si>
  <si>
    <t>חיל המלך</t>
  </si>
  <si>
    <t>חיל המלך - 3 כר'</t>
  </si>
  <si>
    <t>לווין, חיים יעקב בן אריה</t>
  </si>
  <si>
    <t>ג'רזי סיטי Jersey C</t>
  </si>
  <si>
    <t>חיל המקדש - קדשים א</t>
  </si>
  <si>
    <t>חיל הצבא</t>
  </si>
  <si>
    <t>משנה, תלמוד בבלי, תלמוד ירושלמי, תנ"ך</t>
  </si>
  <si>
    <t>חיל וחוסן</t>
  </si>
  <si>
    <t>זילברמינץ, חיים יהודה ליב בן מאיר הלוי</t>
  </si>
  <si>
    <t>שאר ספרי חז"ל, תולדות עם ישראל, תלמוד בבלי</t>
  </si>
  <si>
    <t>חיל יהודה - א</t>
  </si>
  <si>
    <t>ליפקביץ, יחזקאל בן משה דוד</t>
  </si>
  <si>
    <t>חיל שלמה - ביצה, סנהדרין</t>
  </si>
  <si>
    <t>גולובנציץ, יחיאל בן שלמה</t>
  </si>
  <si>
    <t>חילופי מכתבים</t>
  </si>
  <si>
    <t>הורוביץ, ישראל זאב בן פנחס הלוי - סיגל, יהושע</t>
  </si>
  <si>
    <t>חילך לאורייתא - ג</t>
  </si>
  <si>
    <t>ישיבת באר אברהם סלאנים</t>
  </si>
  <si>
    <t>חילך לאורייתא</t>
  </si>
  <si>
    <t>כולל יד משה</t>
  </si>
  <si>
    <t>לעוו, שמעיה</t>
  </si>
  <si>
    <t>חימום מים בשבת</t>
  </si>
  <si>
    <t>חינא דחיי</t>
  </si>
  <si>
    <t>חינא וחסדא - 3 כר'</t>
  </si>
  <si>
    <t>תרכ"ד - תרל"ז</t>
  </si>
  <si>
    <t>חינוך בדקה - א</t>
  </si>
  <si>
    <t>ווכטר, מוטל</t>
  </si>
  <si>
    <t>חינוך בית יהודא</t>
  </si>
  <si>
    <t>יהודה ליב בן חנוך מפפרשה</t>
  </si>
  <si>
    <t>חינוך בית יהודה</t>
  </si>
  <si>
    <t>חינוך בית יצחק - 2 כר'</t>
  </si>
  <si>
    <t>גליק, יצחק בן משה אהרן</t>
  </si>
  <si>
    <t>חינוך בצלאל</t>
  </si>
  <si>
    <t>קאנטורוביץ, יהושע בצלאל בן יעקב קופיל</t>
  </si>
  <si>
    <t>חינוך הבית למצות ודיני קטן</t>
  </si>
  <si>
    <t>נויבירט, יהושע ישעיה בן אהרן</t>
  </si>
  <si>
    <t>חינוך הבית</t>
  </si>
  <si>
    <t>חינוך הבנים והבנות</t>
  </si>
  <si>
    <t>ווגדער, שבתי שלמה</t>
  </si>
  <si>
    <t>חינוך הבנים כהלכתו - 2 כר'</t>
  </si>
  <si>
    <t>רבינוביץ, אליעזר בן אלחנן יעקב דוד הכהן</t>
  </si>
  <si>
    <t>חינוך הבנים - ברכת אהרן - ליקוטי רא"ם</t>
  </si>
  <si>
    <t>גוטרמאן, אהרן מנחם בן שלמה יהושע דוד</t>
  </si>
  <si>
    <t>חינוך הבנים</t>
  </si>
  <si>
    <t>חינוך ילדים - 2 כר'</t>
  </si>
  <si>
    <t>שוורץ, חיים שלום</t>
  </si>
  <si>
    <t>חינוך ישראל - 2 כר'</t>
  </si>
  <si>
    <t>חינוך כיתה בהנאה</t>
  </si>
  <si>
    <t>פלדמן, שלמה יהודה</t>
  </si>
  <si>
    <t>חינוך מלכותי - 2 כר'</t>
  </si>
  <si>
    <t>הומינר, מרדכי בן ברוך</t>
  </si>
  <si>
    <t>חינוך מן השמים</t>
  </si>
  <si>
    <t>לוגסי, יעקב ישראל - שמואלי, אלדד</t>
  </si>
  <si>
    <t>חינוך עם חיוך</t>
  </si>
  <si>
    <t>סבן, מיכאל</t>
  </si>
  <si>
    <t>חיסכון והגיון</t>
  </si>
  <si>
    <t>קלמרסקי, משה - מלמן, יעקב</t>
  </si>
  <si>
    <t>חירגא דיומ"א</t>
  </si>
  <si>
    <t>ממן, רחמים יוסף</t>
  </si>
  <si>
    <t>דרושים, תלמוד בבלי, תנ"ך, תנ"ך</t>
  </si>
  <si>
    <t>חישבתי דרכי - 2 כר'</t>
  </si>
  <si>
    <t>חישוב ראיית הירח</t>
  </si>
  <si>
    <t>כליפא, שמואל בן יואל</t>
  </si>
  <si>
    <t>חית קנה</t>
  </si>
  <si>
    <t>רוטנבורג, אברהם בן יוסף יוזפא</t>
  </si>
  <si>
    <t>ת"כ</t>
  </si>
  <si>
    <t>חיתו ארץ</t>
  </si>
  <si>
    <t>חכו ממתקים</t>
  </si>
  <si>
    <t>פיין, צבי יעקב</t>
  </si>
  <si>
    <t>חכימא ברמיזא</t>
  </si>
  <si>
    <t>דרושים, חסידות, מועדי ישראל, משנה</t>
  </si>
  <si>
    <t>חכימא דיהודאי</t>
  </si>
  <si>
    <t>גולדשמיד, עזריאל יצחק בן אהרן</t>
  </si>
  <si>
    <t>חכם הרזים כהלכתו</t>
  </si>
  <si>
    <t>זילבר, שמעון בן יצחק</t>
  </si>
  <si>
    <t>חכם הרזים</t>
  </si>
  <si>
    <t>חכם לב יקח מצוות</t>
  </si>
  <si>
    <t>חכם לב</t>
  </si>
  <si>
    <t>אויערבאך, חיים יהודא ליב בן אברהם דובער</t>
  </si>
  <si>
    <t>חכם לב - 2 כר'</t>
  </si>
  <si>
    <t>יהודה ליב בן הילל משוורזנץ</t>
  </si>
  <si>
    <t>חכם לב - תולדות רבי פנחס ליברמן</t>
  </si>
  <si>
    <t>ליברמן, דוד בן חיים</t>
  </si>
  <si>
    <t>חכם צבי &lt;מכון דובב מישרים&gt; - 2 כר'</t>
  </si>
  <si>
    <t>אשכנזי, צבי בן יעקב</t>
  </si>
  <si>
    <t>חכם צבי - 3 כר'</t>
  </si>
  <si>
    <t>חכם ר' בן ציון אבא שאול</t>
  </si>
  <si>
    <t>חכמה און חריפות</t>
  </si>
  <si>
    <t>ויזן, משה אהרן</t>
  </si>
  <si>
    <t>חכמה ודעת - 3 כר'</t>
  </si>
  <si>
    <t>קובץ ישיבת חכמה ודעת</t>
  </si>
  <si>
    <t>חכמה ודעת - 2 כר'</t>
  </si>
  <si>
    <t>חכמה ומדע</t>
  </si>
  <si>
    <t>חכמה ומוסר &lt;מכון הכתב&gt;</t>
  </si>
  <si>
    <t>חכמה ומוסר לרלב"ג</t>
  </si>
  <si>
    <t>חכמה ומוסר - 3 כר'</t>
  </si>
  <si>
    <t>פראנקפורט-ציילסהיים,</t>
  </si>
  <si>
    <t>חכמה ומוסר - קיצור חובת הלבבות - יורה חטאים</t>
  </si>
  <si>
    <t>חמדי, אהרן בן יהודה</t>
  </si>
  <si>
    <t>לוי בן גרשון (רלב"ג) (מלוקט מכתביו)</t>
  </si>
  <si>
    <t>חכמה ומוסר - 2 כר'</t>
  </si>
  <si>
    <t>חכמה ומוסר, אהל ישרים</t>
  </si>
  <si>
    <t>חכמה ותבונה</t>
  </si>
  <si>
    <t>חכמה מאין</t>
  </si>
  <si>
    <t>אלגראנאטי, נסים יצחק</t>
  </si>
  <si>
    <t>חכמה עם נחלה - 3 כר'</t>
  </si>
  <si>
    <t>תרפ"ה - תש"ב בערך</t>
  </si>
  <si>
    <t>משנה, תלמוד בבלי, תנ"ך, תנ"ך</t>
  </si>
  <si>
    <t>חכמה שבה</t>
  </si>
  <si>
    <t>קארו, יום טוב</t>
  </si>
  <si>
    <t>חכמה</t>
  </si>
  <si>
    <t>יפה, י.</t>
  </si>
  <si>
    <t>לאדז'</t>
  </si>
  <si>
    <t>חכמות נשים</t>
  </si>
  <si>
    <t>ועד קהילת לוב בישראל</t>
  </si>
  <si>
    <t>חכמי א'ה'ו' - ח"ב מאוה למושב</t>
  </si>
  <si>
    <t>חכמי היהודים בתימן</t>
  </si>
  <si>
    <t>חכמי המזרח</t>
  </si>
  <si>
    <t>חכמי המערב בירושלים</t>
  </si>
  <si>
    <t>דיין, שלמה</t>
  </si>
  <si>
    <t>חכמי התלמוד - 2 כר'</t>
  </si>
  <si>
    <t>אומאנסקי, יוסף בן חיים ישראל</t>
  </si>
  <si>
    <t>תש"ט - תשי"ב</t>
  </si>
  <si>
    <t>נושאים שונים, תולדות עם ישראל, תלמוד ירושלמי</t>
  </si>
  <si>
    <t>חכמי וגאוני מרוקו - 2 כר'</t>
  </si>
  <si>
    <t>חכמי יהודי מצרים</t>
  </si>
  <si>
    <t>חכמי ירושלים</t>
  </si>
  <si>
    <t>גאון, משה דוד</t>
  </si>
  <si>
    <t>חכמי ישראל בג'רבא ובתוניס</t>
  </si>
  <si>
    <t>חכמי ישראל בילדותם</t>
  </si>
  <si>
    <t>חכמי ישראל בעש"ט</t>
  </si>
  <si>
    <t>חכמי ישראל שבתימן - 2 כר'</t>
  </si>
  <si>
    <t>חכמי ישראל - 2 כר'</t>
  </si>
  <si>
    <t>הלחמי, דוד בן שמואל</t>
  </si>
  <si>
    <t>חכמי לב - 6 כר'</t>
  </si>
  <si>
    <t>ישיבת לב אברהם</t>
  </si>
  <si>
    <t>חכמי ליטא</t>
  </si>
  <si>
    <t>בן מנחם, נפתלי בן מנחם</t>
  </si>
  <si>
    <t>קלוריה Kalvarija</t>
  </si>
  <si>
    <t>חכמי פולין</t>
  </si>
  <si>
    <t>חכמי שפייר בימי גזרות תתנ"ו ואחריהם</t>
  </si>
  <si>
    <t>בן גדליה, מתניה יוסף</t>
  </si>
  <si>
    <t>חכמיהם של ארבע ערי הקודש - 2 כר'</t>
  </si>
  <si>
    <t>חכמיהם של יהודי ספרד והמזרח</t>
  </si>
  <si>
    <t>חכמיהם של יהודי פרס ואפגניסטאן</t>
  </si>
  <si>
    <t>חכמים וסופרים בתימן במאה הי"ח</t>
  </si>
  <si>
    <t>חכמים ותורתם</t>
  </si>
  <si>
    <t>רוקח, אפרים חיים</t>
  </si>
  <si>
    <t>חכמת אדם &lt;חיי אברהם&gt; - 2 כר'</t>
  </si>
  <si>
    <t>דאנציג, אברהם בן יחיאל מיכל - שפיצר, אברהם חיים</t>
  </si>
  <si>
    <t>חכמת אדם &lt;דרכי החכמה - 5 כר'</t>
  </si>
  <si>
    <t>חכמת אדם &lt;מהדורה חדשה&gt; - 3 כר'</t>
  </si>
  <si>
    <t>חכמת אדם &lt;תוספות חכמה&gt;</t>
  </si>
  <si>
    <t>חכמת אדם &lt;ביאורים והערות&gt; - צדקה, מילה, פדיון הבן, אבילות</t>
  </si>
  <si>
    <t>שולמאן, שמריהו בן פנחס אליהו</t>
  </si>
  <si>
    <t>חכמת אדם ובינת אדם</t>
  </si>
  <si>
    <t>חכמת אדם ושערי צדק &lt;הערות בעניינים שונים&gt;</t>
  </si>
  <si>
    <t>דאנציג, אברהם בן יחיאל מיכל - גרודזיצקי, יהושע דב</t>
  </si>
  <si>
    <t>חכמת אדם ושערי צדק</t>
  </si>
  <si>
    <t>חכמת אדם עם בינת אדם וחכמת ישראל</t>
  </si>
  <si>
    <t>חכמת אדם - 4 כר'</t>
  </si>
  <si>
    <t>חכמת אליהו - 2 כר'</t>
  </si>
  <si>
    <t>דבורץ, בצלאל בן זלמן</t>
  </si>
  <si>
    <t>חכמת גרשון</t>
  </si>
  <si>
    <t>חכמת ההתמודדות</t>
  </si>
  <si>
    <t>חכמת החינוך</t>
  </si>
  <si>
    <t>זילברמן, א. ליפא</t>
  </si>
  <si>
    <t>חכמת היד - 2 כר'</t>
  </si>
  <si>
    <t>[תק"ס,</t>
  </si>
  <si>
    <t>[רוסיה-פולין],</t>
  </si>
  <si>
    <t>חכמת הלב - עירובי חצירות</t>
  </si>
  <si>
    <t>רוזנר, מאיר</t>
  </si>
  <si>
    <t>חכמת המוסר</t>
  </si>
  <si>
    <t>גרודזינסקי, אברהם</t>
  </si>
  <si>
    <t>חכמת המצפון - 15 כר'</t>
  </si>
  <si>
    <t>אבגי, משה בן ישראל</t>
  </si>
  <si>
    <t>חכמת המשכן</t>
  </si>
  <si>
    <t>ריקיטי, יוסף בן אליעזר שליט</t>
  </si>
  <si>
    <t>חכמת הנפש &lt;זכות משה&gt;</t>
  </si>
  <si>
    <t>אלעזר בן יהודה מגרמיזא - קורח, שלמה בן יחיא</t>
  </si>
  <si>
    <t>חכמת הנפש - 2 כר'</t>
  </si>
  <si>
    <t>דרושים, מחשבה ומוסר, נושאים שונים, קבלה</t>
  </si>
  <si>
    <t>חכמת הנפש</t>
  </si>
  <si>
    <t>חכמת חינוך</t>
  </si>
  <si>
    <t>פופקו, אלחנן</t>
  </si>
  <si>
    <t>חכמת ידידיה - 2 כר'</t>
  </si>
  <si>
    <t>חכמת לב - 2 כר'</t>
  </si>
  <si>
    <t>סולומונס, יהושע הרשל אברהם בן נח</t>
  </si>
  <si>
    <t>חכמת לב</t>
  </si>
  <si>
    <t>חכמת מהר"ל מפראג - 2 כר'</t>
  </si>
  <si>
    <t>חכמת מנוח</t>
  </si>
  <si>
    <t>מנוח הנדל בן שמריה</t>
  </si>
  <si>
    <t>[שע"ב,</t>
  </si>
  <si>
    <t>חכמת שלמה המלך</t>
  </si>
  <si>
    <t>חכמת שלמה עם פירוש ע"ט</t>
  </si>
  <si>
    <t>ספרים חיצוניים. תרס"א</t>
  </si>
  <si>
    <t>חכמת שלמה</t>
  </si>
  <si>
    <t>טביב, שלמה בן יוסף</t>
  </si>
  <si>
    <t>חכמת שלמה - 8 כר'</t>
  </si>
  <si>
    <t>חכמת שלמה - עם פירוש רוח חן</t>
  </si>
  <si>
    <t>ספרים חיצוניים. תרפ"ד</t>
  </si>
  <si>
    <t>חכמת שלמה - 2 כר'</t>
  </si>
  <si>
    <t>פיגא, שלמה</t>
  </si>
  <si>
    <t>פרץ, סלימאן שלמה</t>
  </si>
  <si>
    <t>חכמת תקופות ומזלות</t>
  </si>
  <si>
    <t>חלב חגי - יבמות</t>
  </si>
  <si>
    <t>גינזבורג, חיים ירוחם  בן אפרים מרדכי</t>
  </si>
  <si>
    <t>חלב חגי - 2 כר'</t>
  </si>
  <si>
    <t>חוברה, חגי בן מרדכי</t>
  </si>
  <si>
    <t>חלב חטה - שביעית, תרומות, מעשרות</t>
  </si>
  <si>
    <t>ליוש, חנניה יו"ט  ליפא בן חיים</t>
  </si>
  <si>
    <t>חלב חטים &lt;המבואר&gt; - 2 כר'</t>
  </si>
  <si>
    <t>טייב, יצחק חי</t>
  </si>
  <si>
    <t>חלב חטים &lt;מהדורה חדשה&gt; - 2 כר'</t>
  </si>
  <si>
    <t>חלב חטים</t>
  </si>
  <si>
    <t>חלה כהלכתה</t>
  </si>
  <si>
    <t>בראך, שמעון יואל</t>
  </si>
  <si>
    <t>חלוף מנהגים</t>
  </si>
  <si>
    <t>חלוצים לציון</t>
  </si>
  <si>
    <t>נחמני, משה יהודה בן מרדכי</t>
  </si>
  <si>
    <t>חלוקא דרבנן &lt;מהדורה חדשה&gt;</t>
  </si>
  <si>
    <t>חלוקא דרבנן</t>
  </si>
  <si>
    <t>הגדה של פסח. תרנ"ד. למברג</t>
  </si>
  <si>
    <t>יוסף משה מדריגיטשין</t>
  </si>
  <si>
    <t>פוקס, אברהם עזרא בן יעקב פינחס</t>
  </si>
  <si>
    <t>חלזון התכלת במשנת הראשונים</t>
  </si>
  <si>
    <t>ליפשיץ, אהרן הלוי</t>
  </si>
  <si>
    <t>חליפות שמלות</t>
  </si>
  <si>
    <t>חליצה כהלכתה - 2 כר'</t>
  </si>
  <si>
    <t>חללי בת עמי</t>
  </si>
  <si>
    <t>חלם - יזכור בוך כעלם</t>
  </si>
  <si>
    <t>חלפות שמלת בנימין - 3 כר'</t>
  </si>
  <si>
    <t>סופר, בנימין זאב בן דוד צבי</t>
  </si>
  <si>
    <t>תרנ"ו - תרס"א</t>
  </si>
  <si>
    <t>חלק בני יהודה</t>
  </si>
  <si>
    <t>חאבילייו, שמעון בן יהודה</t>
  </si>
  <si>
    <t>תנ"ה - תנ"ו</t>
  </si>
  <si>
    <t>חלק בנימין</t>
  </si>
  <si>
    <t>חלק הדקדוק &lt;דברי שלום&gt;</t>
  </si>
  <si>
    <t>יחיא בן יוסף בן צאלח</t>
  </si>
  <si>
    <t>חלק הלוי - נשיאת כפיים</t>
  </si>
  <si>
    <t>לוי, חגי - לוי, חברון</t>
  </si>
  <si>
    <t>חלק הלוי - 4 כר'</t>
  </si>
  <si>
    <t>שיף, מנחם בן חיים שאול הלוי</t>
  </si>
  <si>
    <t>חלק יהונתן</t>
  </si>
  <si>
    <t>כ"ץ, יהונתן בנימין</t>
  </si>
  <si>
    <t>חלק יעקב &lt;מהדורה חדשה&gt;</t>
  </si>
  <si>
    <t>חלק יעקב - 2 כר'</t>
  </si>
  <si>
    <t>תרפ"ט - תש"י</t>
  </si>
  <si>
    <t>חלק יעקב</t>
  </si>
  <si>
    <t>אלבעלי, יעקב בן יצחק</t>
  </si>
  <si>
    <t>בנדזאמין, יעקב ליב בן כתריאל</t>
  </si>
  <si>
    <t>תרע"ו אחרי</t>
  </si>
  <si>
    <t>בראוורמאן, יעקב בן אלכסנדר זוסא יהודה</t>
  </si>
  <si>
    <t>סאו פאולו Sao Paulo</t>
  </si>
  <si>
    <t>גרינוואלד, יעקב בן נפתלי</t>
  </si>
  <si>
    <t>וורונובסקי, יצחק יעקב בן אהרן דוב</t>
  </si>
  <si>
    <t>חלק יפה</t>
  </si>
  <si>
    <t>חלק לוי &lt;מהדורה חדשה&gt;</t>
  </si>
  <si>
    <t>חלק לוי - 3 כר'</t>
  </si>
  <si>
    <t>מחשבה ומוסר, נושאים שונים, נושאים שונים, שאלות ותשובות</t>
  </si>
  <si>
    <t>חלק לעולם הבא</t>
  </si>
  <si>
    <t>חלק ראובן</t>
  </si>
  <si>
    <t>הרשטיין, ראובן</t>
  </si>
  <si>
    <t>חלק שמואל - 8 כר'</t>
  </si>
  <si>
    <t>יעקובזון, שמואל מנחם</t>
  </si>
  <si>
    <t>חלק שמעון - 2 כר'</t>
  </si>
  <si>
    <t>שמעון בן אפרים יהודה</t>
  </si>
  <si>
    <t>חלקו של ידיד - סוכה</t>
  </si>
  <si>
    <t>אלמשעלי, ידידיה בן אלחנן</t>
  </si>
  <si>
    <t>תשעח</t>
  </si>
  <si>
    <t>חלקו של ידיד</t>
  </si>
  <si>
    <t>חלקו של יוסף</t>
  </si>
  <si>
    <t>זוסמאנוביץ, יוסף בן אשר דוב</t>
  </si>
  <si>
    <t>חלקו של יעקב - 5 כר'</t>
  </si>
  <si>
    <t>בלומנטל, יעקב</t>
  </si>
  <si>
    <t>חלקי אבנים - 2 כר'</t>
  </si>
  <si>
    <t>חלקינו בתורתך - 5 כר'</t>
  </si>
  <si>
    <t>חלקם בחיים</t>
  </si>
  <si>
    <t>חלקם של רבנן סבוראי בתלמוד הבבלי</t>
  </si>
  <si>
    <t>שפיגל, יעקב שמואל</t>
  </si>
  <si>
    <t>חלקנו בתורתך - 2 כר'</t>
  </si>
  <si>
    <t>פרידמאן, צבי הירש בן מנשה שמחה</t>
  </si>
  <si>
    <t>חלקנו עמהם</t>
  </si>
  <si>
    <t>חזני, עמיחי</t>
  </si>
  <si>
    <t>חלקת אברהם - 3 כר'</t>
  </si>
  <si>
    <t>תפילינסקי, אברהם</t>
  </si>
  <si>
    <t>חלקת אהרן</t>
  </si>
  <si>
    <t>מילבסקי, אהרן בן משה אריה</t>
  </si>
  <si>
    <t>מונטוידאו Montevide</t>
  </si>
  <si>
    <t>חלקת אליהו - 5 כר'</t>
  </si>
  <si>
    <t>חלקת אפרים - 2 כר'</t>
  </si>
  <si>
    <t>רוזן, אפרים</t>
  </si>
  <si>
    <t>חלקת אריה - 2 כר'</t>
  </si>
  <si>
    <t>אדלר, אריה אברהם בן ישעיהו חנוך</t>
  </si>
  <si>
    <t>חלקת בועז - ה</t>
  </si>
  <si>
    <t>כהן, בועז בן משה אליהו</t>
  </si>
  <si>
    <t>חלקת בנימין</t>
  </si>
  <si>
    <t>הגדה של פסח. תקנ"ד. למברג</t>
  </si>
  <si>
    <t>חלקת בנימין - 3 כר'</t>
  </si>
  <si>
    <t>כהן, בנימין בן שרגא פיוול</t>
  </si>
  <si>
    <t>קורינמאן, בנימין בן מרדכי צבי</t>
  </si>
  <si>
    <t>חלקת בצלאל</t>
  </si>
  <si>
    <t>בלידשטיין, בצלאל יצחק</t>
  </si>
  <si>
    <t>חלקת השדה - פאה</t>
  </si>
  <si>
    <t>חלקת השדה</t>
  </si>
  <si>
    <t>תרמ"ז - תר"ס</t>
  </si>
  <si>
    <t>חלקת השדה - 4 כר'</t>
  </si>
  <si>
    <t>חלקת חיים - 2 כר'</t>
  </si>
  <si>
    <t>רבינוביץ, חיים מנחם בן אלטר יהודה אריה</t>
  </si>
  <si>
    <t>חלקת חנוך - 7 כר'</t>
  </si>
  <si>
    <t>פרידמן, חנוך אריה בן יוסף</t>
  </si>
  <si>
    <t>חלקת ידיד - בבא מציעא</t>
  </si>
  <si>
    <t>חלקת יהושע על התורה - 5 כר'</t>
  </si>
  <si>
    <t>חלקת יהושע - 7 כר'</t>
  </si>
  <si>
    <t>ברסלר, יהושע בן חיים</t>
  </si>
  <si>
    <t>חלקת יהושע - תקנות והנהגות</t>
  </si>
  <si>
    <t>חלקת יואב על כללי הש"ס - 2 כר'</t>
  </si>
  <si>
    <t>וויינגארטן, יואב יהושע בן נתן נטע</t>
  </si>
  <si>
    <t>חלקת יואב - 3 כר'</t>
  </si>
  <si>
    <t>חלקת יוסף &lt;הוצאה ב&gt;</t>
  </si>
  <si>
    <t>ברקוביץ, יוסף בן קלונימוס קלמן</t>
  </si>
  <si>
    <t>חלקת יוסף &lt;הוצאה ג&gt;</t>
  </si>
  <si>
    <t>חלקת יוסף משה</t>
  </si>
  <si>
    <t>הורוויץ, יוסף משה בן נפתלי הלוי</t>
  </si>
  <si>
    <t>חלקת יוסף</t>
  </si>
  <si>
    <t>ארליך, יוסף בן יחזקאל</t>
  </si>
  <si>
    <t>חלקת יוסף - 2 כר'</t>
  </si>
  <si>
    <t>וויס, יוסף בן עביר</t>
  </si>
  <si>
    <t>חלקת יעקב - 7 כר'</t>
  </si>
  <si>
    <t>תשי"א - תשכ"ו</t>
  </si>
  <si>
    <t>חלקת יצחק - 3 כר'</t>
  </si>
  <si>
    <t>זייבלד, חיים יצחק</t>
  </si>
  <si>
    <t>חלקת ישראל</t>
  </si>
  <si>
    <t>יפה, ישראל</t>
  </si>
  <si>
    <t>חלקת לוי - סוכה, בכורות</t>
  </si>
  <si>
    <t>חלקת מאיר - 2 כר'</t>
  </si>
  <si>
    <t>כהן, מאיר בן שמואל</t>
  </si>
  <si>
    <t>חלקת מחוקק - 2 כר'</t>
  </si>
  <si>
    <t>חלקת מחוקק</t>
  </si>
  <si>
    <t>משה שדיל בן אברהם</t>
  </si>
  <si>
    <t>חלקת מחקק - מטר השמים</t>
  </si>
  <si>
    <t>חלקת מרדכי - 2 כר'</t>
  </si>
  <si>
    <t>איזבי, אברהם מרדכי הכהן</t>
  </si>
  <si>
    <t>חלקת משה - 3 כר'</t>
  </si>
  <si>
    <t>גורן, משה חיים בן יוסף</t>
  </si>
  <si>
    <t>חלקת צבי</t>
  </si>
  <si>
    <t>גורא, צבי בן משה חיים</t>
  </si>
  <si>
    <t>חלקת צבי - גיטין</t>
  </si>
  <si>
    <t>יגר, צבי בן יוסף מאיר</t>
  </si>
  <si>
    <t>חלקת צבי - ב"מ</t>
  </si>
  <si>
    <t>כהן, צבי</t>
  </si>
  <si>
    <t>רינקוביץ, צבי</t>
  </si>
  <si>
    <t>חלקת ראובן</t>
  </si>
  <si>
    <t>מאירוביץ, נחמן ראובן בן אליהו</t>
  </si>
  <si>
    <t>חלקת שלמה</t>
  </si>
  <si>
    <t>כהן, שלמה בן אבא</t>
  </si>
  <si>
    <t>חלקת שמואל</t>
  </si>
  <si>
    <t>פרייליך, שמואל בן אברהם יוסף</t>
  </si>
  <si>
    <t>חלקת שמחה - 2 כר'</t>
  </si>
  <si>
    <t>חילקו, יעקב בן שמחה</t>
  </si>
  <si>
    <t>חלת אהרן</t>
  </si>
  <si>
    <t>חלת דבש - 8 כר'</t>
  </si>
  <si>
    <t>קוסובסקי-שחור, שאול בן יצחק אברהם</t>
  </si>
  <si>
    <t>חלת יעקב</t>
  </si>
  <si>
    <t>גנס, יחיאל יעקב</t>
  </si>
  <si>
    <t>חלת לחם &lt;מהדורה חדשה&gt;</t>
  </si>
  <si>
    <t>רובינשטיין, שמחה יואל בן ישעיהו הכהן</t>
  </si>
  <si>
    <t>חלת לחם</t>
  </si>
  <si>
    <t>יהושע העשיל בן אברהם הכהן</t>
  </si>
  <si>
    <t>חם השמש</t>
  </si>
  <si>
    <t>לזכרו של רבי מסעוד חי חביב</t>
  </si>
  <si>
    <t>חם לבי</t>
  </si>
  <si>
    <t>חמד אלהים</t>
  </si>
  <si>
    <t>תיקונים. שבעה ימי סוכות.</t>
  </si>
  <si>
    <t>חמד אלוקים &lt;מכון הכתב&gt;</t>
  </si>
  <si>
    <t>תיקונים. שבעה ימי סוכות. תש"ס. ירושלים</t>
  </si>
  <si>
    <t>חמד אלוקים</t>
  </si>
  <si>
    <t>תיקונים. שבעה ימי סוכות. תרפ"ז. ליוורנו</t>
  </si>
  <si>
    <t>חמד מרדכי</t>
  </si>
  <si>
    <t>חמד משה &lt;מהדורה חדשה&gt; - 2 כר'</t>
  </si>
  <si>
    <t>גדליה משה בן צבי הירש הלוי</t>
  </si>
  <si>
    <t>חמד משה - 3 כר'</t>
  </si>
  <si>
    <t>חמד צבי</t>
  </si>
  <si>
    <t>דוד צבי בן יחזקאל</t>
  </si>
  <si>
    <t>חמד שלמה - 2 כר'</t>
  </si>
  <si>
    <t>דרושים, מועדי ישראל, מועדי ישראל, מחשבה ומוסר</t>
  </si>
  <si>
    <t>חמד שמחה - 3 כר'</t>
  </si>
  <si>
    <t>שוסטאל, אליהו שמחה בן טוביה ירוחם פישל</t>
  </si>
  <si>
    <t>חמדה גנוזה זכר מרדכי - 2 כר'</t>
  </si>
  <si>
    <t>רבינוביץ, חיים מאיר דוד</t>
  </si>
  <si>
    <t>חמדה גנוזה</t>
  </si>
  <si>
    <t>[תרט"ז]</t>
  </si>
  <si>
    <t>קאניגסבערג,</t>
  </si>
  <si>
    <t>חמדה גנוזה - 3 כר'</t>
  </si>
  <si>
    <t>דייטש, יעקב מנחם מנדל</t>
  </si>
  <si>
    <t>הלפרין, חיים דוב משה בן שלום</t>
  </si>
  <si>
    <t>זכאי, שמואל</t>
  </si>
  <si>
    <t>מייזלש, משה צבי הירש בן שמשון</t>
  </si>
  <si>
    <t>רוזנפלד, אליעזר בן זאב וולף סג"ל</t>
  </si>
  <si>
    <t>תשובות הגאונים (תרכ"ג)</t>
  </si>
  <si>
    <t>חמדה יקרה - 4 כר'</t>
  </si>
  <si>
    <t>גינזבורג, דניאל בן ראובן יהושע</t>
  </si>
  <si>
    <t>חמדת אברהם - 4 כר'</t>
  </si>
  <si>
    <t>דיין, אברהם בן משה</t>
  </si>
  <si>
    <t>חמדת אברהם</t>
  </si>
  <si>
    <t>רפופורט, אברהם זלמן הכהן</t>
  </si>
  <si>
    <t>תולדות עם ישראל, תלמוד בבלי, תנ"ך</t>
  </si>
  <si>
    <t>חמדת אהרן - 2 כר'</t>
  </si>
  <si>
    <t>קוגמן, אהרן בן סברי</t>
  </si>
  <si>
    <t>חמדת אליה רבה</t>
  </si>
  <si>
    <t>חמדת אפרים - שו"ת</t>
  </si>
  <si>
    <t>לוונטאל, אפרים שרגא הלוי</t>
  </si>
  <si>
    <t>חמדת אריה - 2 כר'</t>
  </si>
  <si>
    <t>רוטנברג, אריה יוסף בן אליעזר שרגא</t>
  </si>
  <si>
    <t>חמדת בנימין - מכות</t>
  </si>
  <si>
    <t>חמדת דוד</t>
  </si>
  <si>
    <t>טויב, דוד צבי בן יחזקאל</t>
  </si>
  <si>
    <t>מועדי ישראל, מועדי ישראל, שאלות ותשובות, תנ"ך</t>
  </si>
  <si>
    <t>חמדת דניאל</t>
  </si>
  <si>
    <t>ואקנין, דניאל בן דוד</t>
  </si>
  <si>
    <t>חמדת דניאל - 2 כר'</t>
  </si>
  <si>
    <t>זקש, דניאל זליג בן חיים פסח</t>
  </si>
  <si>
    <t>תרצ"ב - ת"ש</t>
  </si>
  <si>
    <t>חמדת דניאל - 3 כר'</t>
  </si>
  <si>
    <t>פרבשטיין, דניאל בן אברהם יהודה</t>
  </si>
  <si>
    <t>חמדת המוסר - ב</t>
  </si>
  <si>
    <t>חמדת הנפש</t>
  </si>
  <si>
    <t>חמדת הרמ"ע מפאנו</t>
  </si>
  <si>
    <t>חמדת השבת</t>
  </si>
  <si>
    <t>חמדת התורה - בפסוקי התורה</t>
  </si>
  <si>
    <t>חמדת חיים - 2 כר'</t>
  </si>
  <si>
    <t>מייטקס, קלמן חיים בן פנחס יוסף</t>
  </si>
  <si>
    <t>חמדת יהושע</t>
  </si>
  <si>
    <t>זאמברובסקי, יהושע בן ישראל יצחק הלוי</t>
  </si>
  <si>
    <t>חמדת יוסף</t>
  </si>
  <si>
    <t>מזרחי, יוסף חיים</t>
  </si>
  <si>
    <t>חמדת יוסף - ב</t>
  </si>
  <si>
    <t>סרברולוב, יוסף</t>
  </si>
  <si>
    <t>תרפ"א-תרפ"ג</t>
  </si>
  <si>
    <t>לובלין,</t>
  </si>
  <si>
    <t>חמדת יוסף - 7 כר'</t>
  </si>
  <si>
    <t>חמדת יחזקאל - 5 כר'</t>
  </si>
  <si>
    <t>חמדת ימים &lt;מהדורה חדשה&gt; - 3 כר'</t>
  </si>
  <si>
    <t>חמדת ימים</t>
  </si>
  <si>
    <t>חמדת ימים - 3 כר'</t>
  </si>
  <si>
    <t>חמדת ימים. תצ"א</t>
  </si>
  <si>
    <t>תצ"א - תצ"ב</t>
  </si>
  <si>
    <t>חמדת ימים - 4 כר'</t>
  </si>
  <si>
    <t>חמדת ימים. תקכ"ב</t>
  </si>
  <si>
    <t>תקכ"ב - תקכ"ד</t>
  </si>
  <si>
    <t>הלכה ומנהג, הלכה ומנהג, מחשבה ומוסר, תפלות בקשות פיוטים ושירה</t>
  </si>
  <si>
    <t>חמדת ימים. תקכ"ג</t>
  </si>
  <si>
    <t>פילבר, יעקב</t>
  </si>
  <si>
    <t>חמדת ימים - שבת, פסחים, יומא, סוכה, ב"ק</t>
  </si>
  <si>
    <t>פרצוביץ, ישראל מאיר בן יחזקאל אהרן</t>
  </si>
  <si>
    <t>שבזי, שלם בן יוסף</t>
  </si>
  <si>
    <t>נושאים שונים, תנ"ך, תנ"ך, תנ"ך</t>
  </si>
  <si>
    <t>חמדת יעקב</t>
  </si>
  <si>
    <t>בוימאן, יעקב בן שמעון</t>
  </si>
  <si>
    <t>לוס אנג'לס Los Ange</t>
  </si>
  <si>
    <t>חמדת יעקב - 2 כר'</t>
  </si>
  <si>
    <t>לוי, חיים יעקב</t>
  </si>
  <si>
    <t>חמדת יצחק - ברכות</t>
  </si>
  <si>
    <t>אביטבול, יצחק בן משה</t>
  </si>
  <si>
    <t>חמדת יצחק - 2 כר'</t>
  </si>
  <si>
    <t>חמדת ירושלים - ירושלמי ברכות</t>
  </si>
  <si>
    <t>חמדת ירושלם</t>
  </si>
  <si>
    <t>אלקלעי, בן ציון בן משה</t>
  </si>
  <si>
    <t>הלכה ומנהג, נושאים שונים, קבלה, תפלות בקשות פיוטים ושירה</t>
  </si>
  <si>
    <t>חמדת ישראל</t>
  </si>
  <si>
    <t>דגני, ירוחם בן ישראל</t>
  </si>
  <si>
    <t>ירב</t>
  </si>
  <si>
    <t>חמדת ישראל - 2 כר'</t>
  </si>
  <si>
    <t>היילפרין, אליהו דוב בן ישראל דוד</t>
  </si>
  <si>
    <t>זילברשיץ, חיים משה בן שמואל</t>
  </si>
  <si>
    <t>זלוצ'וב Zolochev</t>
  </si>
  <si>
    <t>חמדת ישראל - קידושין</t>
  </si>
  <si>
    <t>ישיבת חיי משה</t>
  </si>
  <si>
    <t>פלוצקי, מאיר דן רפאל בן חיים יצחק</t>
  </si>
  <si>
    <t>חמדת מרדכי</t>
  </si>
  <si>
    <t>אפשטיין, מרדכי לייב</t>
  </si>
  <si>
    <t>חמדת משה</t>
  </si>
  <si>
    <t>גולונבק, משה אהרן בן חיים ראובן</t>
  </si>
  <si>
    <t>חמדת משה - 2 כר'</t>
  </si>
  <si>
    <t>ספר זכרון לזכר דיין, משה</t>
  </si>
  <si>
    <t>קגן, משה אהרן הכהן</t>
  </si>
  <si>
    <t>רוזנצוויג, משה</t>
  </si>
  <si>
    <t>חמדת צאן קדשים</t>
  </si>
  <si>
    <t>קליינווארדיין,</t>
  </si>
  <si>
    <t>חמדת צבי ושפתי צדיקים - 2 כר'</t>
  </si>
  <si>
    <t>גלאזר, צבי דוד בן יוסף</t>
  </si>
  <si>
    <t>חמדת צבי - 2 כר'</t>
  </si>
  <si>
    <t>חמדת צבי</t>
  </si>
  <si>
    <t>הורוויץ, צבי הירש בן יעקב יהושע הלוי</t>
  </si>
  <si>
    <t>ליברמאן, צבי הירש בן שלמה זלמן</t>
  </si>
  <si>
    <t>מוהילב על נהר דנייפר</t>
  </si>
  <si>
    <t>קוויאט, צבי הירש בן יצחק</t>
  </si>
  <si>
    <t>חמדת ראם</t>
  </si>
  <si>
    <t>חמדת שאול - 2 כר'</t>
  </si>
  <si>
    <t>רוזנברג, שאול בן מרדכי</t>
  </si>
  <si>
    <t>חמדת שאול</t>
  </si>
  <si>
    <t>שפירא, שאול בן דוב</t>
  </si>
  <si>
    <t>חמדת שלמה &lt;מהדורת מכון משנת ר"א&gt; - 3 כר'</t>
  </si>
  <si>
    <t>חמדת שלמה - 2 כר'</t>
  </si>
  <si>
    <t>לוי, שלמה (עורך)</t>
  </si>
  <si>
    <t>חמדת שלמה - 4 כר'</t>
  </si>
  <si>
    <t>דרושים, הלכה ומנהג, תלמוד בבלי, תנ"ך</t>
  </si>
  <si>
    <t>חמודה גנוזה</t>
  </si>
  <si>
    <t>הלכה ומנהג, תולדות עם ישראל, תלמוד בבלי</t>
  </si>
  <si>
    <t>חמודות אליהו</t>
  </si>
  <si>
    <t>חמודות צפונות - 4 כר'</t>
  </si>
  <si>
    <t>וולמרק, יעקב ישראל הכהן</t>
  </si>
  <si>
    <t>חמודי אלימלך</t>
  </si>
  <si>
    <t>חמודי אפרים</t>
  </si>
  <si>
    <t>דרושים, דרושים, הלכה ומנהג, תלמוד בבלי, תנ"ך, תנ"ך</t>
  </si>
  <si>
    <t>חמודי דניאל &lt;מהדורה חדשה&gt;</t>
  </si>
  <si>
    <t>דניאל בן יעקב מהורודנה</t>
  </si>
  <si>
    <t>חמודי דניאל (עם תמונות בצבעים)</t>
  </si>
  <si>
    <t>סויסה, דניאל - קדוש, עמירם יוסף (עורכים)</t>
  </si>
  <si>
    <t>חמודי דניאל - 2 כר'</t>
  </si>
  <si>
    <t>חמודי דניאל</t>
  </si>
  <si>
    <t>חמודי דניאל - א</t>
  </si>
  <si>
    <t>פהלבני, דניאל בן משה</t>
  </si>
  <si>
    <t>נושאים שונים, שאלות ותשובות, שאר ספרי חז"ל, תולדות עם ישראל</t>
  </si>
  <si>
    <t>חמודי דניאל, מעין בינה</t>
  </si>
  <si>
    <t>דניאל בן יעקב מהורודנא - עטייה, בניהו מן ברדכי</t>
  </si>
  <si>
    <t>חמודי צבי - 5 כר'</t>
  </si>
  <si>
    <t>יאיר, צבי הירש בן חיים יהודה</t>
  </si>
  <si>
    <t>חמודי צבי</t>
  </si>
  <si>
    <t>ליפשיץ, צבי הירש בן אליהו</t>
  </si>
  <si>
    <t>חמודי ציון</t>
  </si>
  <si>
    <t>וולפא, בן ציון בן יהודה דוד הלוי</t>
  </si>
  <si>
    <t>חמי טבריא</t>
  </si>
  <si>
    <t>חמישה חומשי תורה - אוצר הראשונים- א בראשית</t>
  </si>
  <si>
    <t>חממה, אברהם א</t>
  </si>
  <si>
    <t>חמישה שיעורים - 5 כר'</t>
  </si>
  <si>
    <t>דויטש, חיים בן נתן יהודה</t>
  </si>
  <si>
    <t>חמישים שנה של תורה בישיבת איתרי</t>
  </si>
  <si>
    <t>גרינולד, שמואל</t>
  </si>
  <si>
    <t>חמישים שערי חסידות</t>
  </si>
  <si>
    <t>חמר חדת ועתיק</t>
  </si>
  <si>
    <t>שבתי שעפטל בן עקיבא הלוי הורוויץ - אנקאווא, אברהם בן מרדכי</t>
  </si>
  <si>
    <t>חמר משה</t>
  </si>
  <si>
    <t>פרקוביץ, משה בן אברהם</t>
  </si>
  <si>
    <t>חמרא וחיי - 2 כר'</t>
  </si>
  <si>
    <t>חמרא טבא - 2 כר'</t>
  </si>
  <si>
    <t>חמרא טבא</t>
  </si>
  <si>
    <t>רטנר, חיים מאיר</t>
  </si>
  <si>
    <t>חמש היריעות</t>
  </si>
  <si>
    <t>זילבר, דוד מרדכי בן שמואל יצחק</t>
  </si>
  <si>
    <t>חמש חנוכות</t>
  </si>
  <si>
    <t>חמש ידות - שער בנימין</t>
  </si>
  <si>
    <t>לאדזמאן, בנימין בישקא</t>
  </si>
  <si>
    <t>חמש ידות - 2 כר'</t>
  </si>
  <si>
    <t>דרושים, דרושים, תנ"ך, תנ"ך</t>
  </si>
  <si>
    <t>חמש מגילות &lt;אלשיך&gt; - 3 כר'</t>
  </si>
  <si>
    <t>חמש מגילות &lt;אורח לחיים, מחנת יהודה, החיים והשלום, דברי דוד&gt;</t>
  </si>
  <si>
    <t>חמש מגילות - מקרא, תרגום, תפסיר</t>
  </si>
  <si>
    <t>חמש מגילות &lt;מוגה ומנוקד ע"פ מסורת תימן&gt;</t>
  </si>
  <si>
    <t>חמש מגילות</t>
  </si>
  <si>
    <t>חמש מגילות &lt;עיר התמרים&gt; - 5 כר'</t>
  </si>
  <si>
    <t>חמש מגילות &lt;שימה בפיהם&gt; - 4 כר'</t>
  </si>
  <si>
    <t>חמש מגילות &lt;עם פירושים עתיקים&gt;</t>
  </si>
  <si>
    <t>קאפח, יוסף בן דוד</t>
  </si>
  <si>
    <t>חמש מגילות &lt;תפסיר רס"ג&gt;</t>
  </si>
  <si>
    <t>תנ"ך. תשכ"א. ירושלים</t>
  </si>
  <si>
    <t>חמש מגילות עם פירוש אלשיך &lt;מהד' וגשל&gt; - 2 כר'</t>
  </si>
  <si>
    <t>חמש מגילות עם פירוש נר לרגלי</t>
  </si>
  <si>
    <t>אורנשטיין, אביאל בן שלום</t>
  </si>
  <si>
    <t>חמש מגילות עם פירושים</t>
  </si>
  <si>
    <t>חמש מגלות &lt;כפלים לתושיה, משל ומליצה, מפורש, דברי חכמים&gt;</t>
  </si>
  <si>
    <t>חמש מגלות &lt;מנחת שי, באר שבע&gt;</t>
  </si>
  <si>
    <t>תנ"ך. תר"ה. וילנה</t>
  </si>
  <si>
    <t>חמש מגלות &lt;עם תרגום סורי פשיטא&gt;</t>
  </si>
  <si>
    <t>תנ"ך. תרכ"ו. פרג</t>
  </si>
  <si>
    <t>חמש מגלות &lt;עם י"ב פרושים&gt;</t>
  </si>
  <si>
    <t>תנ"ך. תשי"ב. ירושלים</t>
  </si>
  <si>
    <t>חמש פרוטות הן</t>
  </si>
  <si>
    <t>סגל, נחמיה שלום בן יעקב משה הלוי</t>
  </si>
  <si>
    <t>חמש תעניות</t>
  </si>
  <si>
    <t>תפילות. סליחות. תעניות. תרנ"ב. בגדד</t>
  </si>
  <si>
    <t>תפילות. סליחות. תעניות. תשי"ז. ליוורנו</t>
  </si>
  <si>
    <t>חמשה אלפין</t>
  </si>
  <si>
    <t>אפרון, אהרן אליעזר בן שאול</t>
  </si>
  <si>
    <t>חמשה ואלף</t>
  </si>
  <si>
    <t>חמשה חומשי תורה  &lt;באר יעקב&gt; - 2 כר'</t>
  </si>
  <si>
    <t>לוי, יעקב לייב</t>
  </si>
  <si>
    <t>חמשה חומשי תורה &lt;תקון סופרים&gt; - 5 כר'</t>
  </si>
  <si>
    <t>בוסקוביץ, חיים בן יעקב - אובורניק, מאיר בן שמעיהו</t>
  </si>
  <si>
    <t>חמשה חומשי תורה &lt;דרך מסילה&gt; - 5 כר'</t>
  </si>
  <si>
    <t>היידנהיים, בנימין וולף בן שמשון - צירנדורפר, דוד בן יצחק</t>
  </si>
  <si>
    <t>חמשה חומשי תורה &lt;רש"ר הירש&gt; - 10 כר'</t>
  </si>
  <si>
    <t>חמשה חומשי תורה &lt;רש"ר הירש&gt; (באנגלית) - 6 כר'</t>
  </si>
  <si>
    <t>חמשה חומשי תורה &lt;רש"ר הירש&gt; בגרמנית - 2 כר'</t>
  </si>
  <si>
    <t>חמשה חומשי תורה &lt;ע"פ רי"ץ הערץ&gt; - בראשית</t>
  </si>
  <si>
    <t>הערץ, יוסף צבי (מפרש)</t>
  </si>
  <si>
    <t>חמשה חומשי תורה &lt;כתב יד הללי&gt; - 2 כר'</t>
  </si>
  <si>
    <t>חמשה חומשי תורה</t>
  </si>
  <si>
    <t>חמשה חומשי תורה &lt;אונקלוס מדויק - 5 כר'</t>
  </si>
  <si>
    <t>לב, יעקב זאב</t>
  </si>
  <si>
    <t>חמשה חומשי תורה &lt;עם תרגום אונקלוס מדויק ע"פ כ"י&gt; - 5 כר'</t>
  </si>
  <si>
    <t>לוונשטין, ליפמן הירש -  היידנהיים, בנימין וולף בן שמשון</t>
  </si>
  <si>
    <t>תר"ך -תש?</t>
  </si>
  <si>
    <t>רדלהיים - ירושלים</t>
  </si>
  <si>
    <t>חמשה חומשי תורה &lt;עיר התמרים&gt; - 10 כר'</t>
  </si>
  <si>
    <t>חמשה חומשי תורה &lt;מלבי"ם&gt; - 6 כר'</t>
  </si>
  <si>
    <t>תר"מ - תרמ"א</t>
  </si>
  <si>
    <t>חמשה חומשי תורה &lt;תורת גבריאל&gt; - 5 כר'</t>
  </si>
  <si>
    <t>תר"ע - תרפ"ו</t>
  </si>
  <si>
    <t>חמשה חומשי תורה &lt;חשוקי כסף&gt; - 2 כר'</t>
  </si>
  <si>
    <t>סילבר, משה בן ישראל</t>
  </si>
  <si>
    <t>תרצ"ו - תש"א</t>
  </si>
  <si>
    <t>חמשה חומשי תורה &lt;ספורנו, אדרת אליהו, מנורת שלמה, מנחת כליל&gt;</t>
  </si>
  <si>
    <t>ספורנו, עובדיה - נורצי, ידידיה שלמה רפאל - אליהו בן שלמה זלמן (הגר"א) - אור שרגא</t>
  </si>
  <si>
    <t>חמשה חומשי תורה &lt;החלוקה על פי מסורת חז"ל&gt;</t>
  </si>
  <si>
    <t>פוזן, משה אליעזר</t>
  </si>
  <si>
    <t>לונדון - ישראל</t>
  </si>
  <si>
    <t>חמשה חומשי תורה &lt;ספר הברית&gt; - 5 כר'</t>
  </si>
  <si>
    <t>קאלישר, צבי הירש בן שלמה - אהרן מפיסארו</t>
  </si>
  <si>
    <t>תרל"ג - תרל"ה</t>
  </si>
  <si>
    <t>חמשה חומשי תורה &lt;מחוקקי יהודה&gt; - 5 כר'</t>
  </si>
  <si>
    <t>קרינסקי, יהודה ליב בן יצחק - אבן-עזרא, אברהם בן מאיר</t>
  </si>
  <si>
    <t>חמשה חומשי תורה &lt;פרח שושנה&gt; - 5 כר'</t>
  </si>
  <si>
    <t>חמשה חומשי תורה &lt;מדרש הלכה&gt; - 5 כר'</t>
  </si>
  <si>
    <t>חמשה חומשי תורה &lt;אור החיים - 5 כר'</t>
  </si>
  <si>
    <t>תורה. לעמברג. תרל"ד</t>
  </si>
  <si>
    <t>לעמברג</t>
  </si>
  <si>
    <t>חמשה חומשי תורה &lt;שפתי חכמים&gt;</t>
  </si>
  <si>
    <t>תנ"ך. ת"ם. אמשטרדם</t>
  </si>
  <si>
    <t>חמשה חומשי תורה &lt;תקון סופרים - 2 כר'</t>
  </si>
  <si>
    <t>תנ"ך. תקמ"ז. המבורג</t>
  </si>
  <si>
    <t>המבורגHamburg</t>
  </si>
  <si>
    <t>חמשה חומשי תורה &lt;משכיל לדוד, היכל הברכה, מנורת שלמה&gt; - 5 כר'</t>
  </si>
  <si>
    <t>תנ"ך. תרכ"ד. לבוב</t>
  </si>
  <si>
    <t>תרכ"ד - תרל"ד</t>
  </si>
  <si>
    <t>חמשה חומשי תורה &lt;פנים יפות, מלא העומר, קומץ המנחה&gt; - 5 כר'</t>
  </si>
  <si>
    <t>תנ"ך. תרס"ג. ורשה</t>
  </si>
  <si>
    <t>חמשה חומשי תורה &lt;עם מגילות&gt;</t>
  </si>
  <si>
    <t>תנ"ך. תרפ"ז. פרנקפורט דמין</t>
  </si>
  <si>
    <t>חמשה חומשי תורה ע"פ תורתך שעשועי - 5 כר'</t>
  </si>
  <si>
    <t>חמשה חומשי תורה עם התרגום</t>
  </si>
  <si>
    <t>תנ"ך. שי"ז. סביונטה</t>
  </si>
  <si>
    <t>שי"ז - שי"ח</t>
  </si>
  <si>
    <t>חמשה חומשי תורה עם פירוש ותרגום גרמנית - ד (במדבר)</t>
  </si>
  <si>
    <t>חומש עם תרגום גרמנית</t>
  </si>
  <si>
    <t>חמשה חומשי תורה עם פירוש רש"י</t>
  </si>
  <si>
    <t>תנ"ך. רנ"ב. נאפולי</t>
  </si>
  <si>
    <t>נאפולי</t>
  </si>
  <si>
    <t>חמשה חומשי תורה עם פירש"י ושפתי חכמים</t>
  </si>
  <si>
    <t>חמשה חומשי תורה עם פרש"י מנוקד - ויקרא</t>
  </si>
  <si>
    <t>הוצאת החומש המנוקד</t>
  </si>
  <si>
    <t>חמשה חומשי תורה עם רש"י וחזקוני &lt;ונציה רפ"ד&gt;</t>
  </si>
  <si>
    <t>תנ"ך. רפ"ד. ונציה</t>
  </si>
  <si>
    <t>חמשה חומשי תורה עם רש"י מתורגם לאנגלית - דברים</t>
  </si>
  <si>
    <t>תורה</t>
  </si>
  <si>
    <t>תנ"ך. ר"נ אישר</t>
  </si>
  <si>
    <t>אישר</t>
  </si>
  <si>
    <t>תנ"ך. רנ"א. נאפולי</t>
  </si>
  <si>
    <t>רנ"א</t>
  </si>
  <si>
    <t>תנ"ך. ש"ז. קושטא</t>
  </si>
  <si>
    <t>ש"ז</t>
  </si>
  <si>
    <t>חמשה חומשי תורה - א בראשית</t>
  </si>
  <si>
    <t>תנ"ך. תס"ג. ברלין</t>
  </si>
  <si>
    <t>תס"ג-תס"ח</t>
  </si>
  <si>
    <t>תנ"ך. תקצ"א. ווין</t>
  </si>
  <si>
    <t>תנ"ך. תרצ"ד. ברלין</t>
  </si>
  <si>
    <t>תנ"ך.</t>
  </si>
  <si>
    <t>רמ"ו - רמ"ט</t>
  </si>
  <si>
    <t>איחר</t>
  </si>
  <si>
    <t>חמשה חלוקי אבנים</t>
  </si>
  <si>
    <t>חמשה מאורות הגדולים</t>
  </si>
  <si>
    <t>מחשבה ומוסר, מחשבה ומוסר, תנ"ך, תפלות בקשות פיוטים ושירה</t>
  </si>
  <si>
    <t>חמשה מאמרות &lt;מהדורה חדשה&gt;</t>
  </si>
  <si>
    <t>חמשה מאמרות</t>
  </si>
  <si>
    <t>דרושים, חסידות, מועדי ישראל, מחשבה ומוסר, נושאים שונים, תולדות עם ישראל, תנ"ך</t>
  </si>
  <si>
    <t>חמשה מאמרים מספר חיי הנפש &lt;סוד עץ הדעת&gt;</t>
  </si>
  <si>
    <t>ישעיהו בן יוסף הלוי מתבריז</t>
  </si>
  <si>
    <t>תרנ"א - תרנ"ב</t>
  </si>
  <si>
    <t>חמשה ספרים נפתחים על מצות כתיבת ספר תורה</t>
  </si>
  <si>
    <t>חמשה ספרים נפתחים</t>
  </si>
  <si>
    <t>דמשק, יוסף - דמשק, מנחם מנדל</t>
  </si>
  <si>
    <t>חמשה ספרים נפתחים - פירוש חמש מגילות</t>
  </si>
  <si>
    <t>חמשה קולות</t>
  </si>
  <si>
    <t>חמשה קונטרסים</t>
  </si>
  <si>
    <t>חמישה קונטרסים</t>
  </si>
  <si>
    <t>הלכה ומנהג, קבצים וכתבי עת, ספרי זכרון ויובל, שאר ספרי חז"ל</t>
  </si>
  <si>
    <t>חמשה שיטות, ר"ן סנהדרין, ריטב"א מכות, רמב"ן גיטין, רמב"ן נדה, ר"ן חולין - 2 כר'</t>
  </si>
  <si>
    <t>חמשים דרושים יקרים</t>
  </si>
  <si>
    <t>מורטירא, שאול בן יוסף הלוי</t>
  </si>
  <si>
    <t>חמשים הספדים</t>
  </si>
  <si>
    <t>חן אהרן</t>
  </si>
  <si>
    <t>רבינוביץ, גדליהו אהרן בן יצחק יואל</t>
  </si>
  <si>
    <t>חן בשפתותיך - 2 כר'</t>
  </si>
  <si>
    <t>חזקיהו, יהונתן נתנאל</t>
  </si>
  <si>
    <t>חן המגילה</t>
  </si>
  <si>
    <t>שנברגר, נחמיה</t>
  </si>
  <si>
    <t>חן המקום</t>
  </si>
  <si>
    <t>דויטש, אליעזר יששכר</t>
  </si>
  <si>
    <t>חן העירוב</t>
  </si>
  <si>
    <t>חן וחסד</t>
  </si>
  <si>
    <t>חן וכבוד</t>
  </si>
  <si>
    <t>ניניו, רחמים שאלתיאל יעקב בן חיים מאיר</t>
  </si>
  <si>
    <t>עזרן, ליאור בן יצחק</t>
  </si>
  <si>
    <t>חן טוב &lt;מהדורה חדשה&gt;- פרד"ס אגדות התלמוד</t>
  </si>
  <si>
    <t>בדיחי, יחיא בן שכר</t>
  </si>
  <si>
    <t>חן טוב &lt;מהדורה חדשה&gt; - 5 כר'</t>
  </si>
  <si>
    <t>טוביה בן אברהם הלוי</t>
  </si>
  <si>
    <t>חן טוב הישנות &lt;מהדורה חדשה&gt; - חלק שו"ת</t>
  </si>
  <si>
    <t>חן טוב זבד טוב</t>
  </si>
  <si>
    <t>מאטרסדורף, יואב בן ירמיהו - פרנקל, יצחק בן אורי ליפמאן</t>
  </si>
  <si>
    <t>חן טוב למרי נפש</t>
  </si>
  <si>
    <t>חדאד, נסים בן חנאני</t>
  </si>
  <si>
    <t>חן טוב</t>
  </si>
  <si>
    <t>הלכה ומנהג, שאלות ותשובות, תנ"ך</t>
  </si>
  <si>
    <t>הילל בן אהרן מקופוסט</t>
  </si>
  <si>
    <t>חן יוסף - 2 כר'</t>
  </si>
  <si>
    <t>חן יוסף - רבי יוסף המערבי מתונסיה</t>
  </si>
  <si>
    <t>מלאכי, מיכל</t>
  </si>
  <si>
    <t>חן מלכים - דברי חכמים</t>
  </si>
  <si>
    <t>חן מרדכי (דרכי חן)</t>
  </si>
  <si>
    <t>עבאדי, מרדכי בן יעקב</t>
  </si>
  <si>
    <t>מחשבה ומוסר, קבלה, קבלה</t>
  </si>
  <si>
    <t>חן משה</t>
  </si>
  <si>
    <t>חנה דוד</t>
  </si>
  <si>
    <t>בערקאוויץ, דוד</t>
  </si>
  <si>
    <t>מגיד, אלחנן דוד בן יעקב</t>
  </si>
  <si>
    <t>חנה ושבעת בניה</t>
  </si>
  <si>
    <t>ירמיהו, מנחם נחום בן לוי</t>
  </si>
  <si>
    <t>חנה של חנה</t>
  </si>
  <si>
    <t>זילביגר, אוריאל הכהן</t>
  </si>
  <si>
    <t>חנוך בית יהודה</t>
  </si>
  <si>
    <t>ליכטנשטיין, אברהם דוב בן שמעון</t>
  </si>
  <si>
    <t>חנוך הבנים - 2 כר'</t>
  </si>
  <si>
    <t>לפידות, אליעזר יוסף בן אהרן</t>
  </si>
  <si>
    <t>חנוך לנער</t>
  </si>
  <si>
    <t>וגשל, שאול</t>
  </si>
  <si>
    <t>חנוך לנער - משלי</t>
  </si>
  <si>
    <t>תרכ"ב-תרל"ב</t>
  </si>
  <si>
    <t>חנוך צאנז - 8 כר'</t>
  </si>
  <si>
    <t>מוסדות חנוך צאנז</t>
  </si>
  <si>
    <t>חנוכה בציון</t>
  </si>
  <si>
    <t>חנוכה דיליה</t>
  </si>
  <si>
    <t>חנוכה עם ר"נ מברסלב</t>
  </si>
  <si>
    <t>סטארט, יהושע</t>
  </si>
  <si>
    <t>חנוכה, צום עשרה בטבת, ט"ו בשבט</t>
  </si>
  <si>
    <t>חנוכת אברהם</t>
  </si>
  <si>
    <t>לזכר רבי אברהם רביץ</t>
  </si>
  <si>
    <t>חנוכת אברך</t>
  </si>
  <si>
    <t>חנוכת בית כנסת והכנסת ספר תורה</t>
  </si>
  <si>
    <t>מרק, עידו בן יוסף יצחק</t>
  </si>
  <si>
    <t>חנוכת הארון - 2 כר'</t>
  </si>
  <si>
    <t>חנוכת הבית &lt;מנורת זהב טהור&gt;</t>
  </si>
  <si>
    <t>שאול בן דוד - לוריא שלמה בן יחיאל (מהרש"ל)</t>
  </si>
  <si>
    <t>חנוכת הבית לדוד</t>
  </si>
  <si>
    <t>חנוכת הבית לדוד - 2 כר'</t>
  </si>
  <si>
    <t>חנוכת הבית</t>
  </si>
  <si>
    <t>גנוט, שמואל ברוך</t>
  </si>
  <si>
    <t>חפץ, משה בן גרשום</t>
  </si>
  <si>
    <t>חנוכת הבית - נישואין וימי החנוכה</t>
  </si>
  <si>
    <t>ליקוטים משיחות אדמו"ר מביטשקוב</t>
  </si>
  <si>
    <t>מרק, עידו</t>
  </si>
  <si>
    <t>חנוכת הבית - 2 כר'</t>
  </si>
  <si>
    <t>קוטינר, אברהם חנוך בן יחיאל פנחס</t>
  </si>
  <si>
    <t>חנוכת המזבח</t>
  </si>
  <si>
    <t>ישיבת פוניבז' לצעירים</t>
  </si>
  <si>
    <t>חנוכת התורה</t>
  </si>
  <si>
    <t>תולדות עם ישראל, תולדות עם ישראל, תלמוד בבלי, תנ"ך, תנ"ך</t>
  </si>
  <si>
    <t>חנוכת שלמה - 2 כר'</t>
  </si>
  <si>
    <t>ברמן, חנוך</t>
  </si>
  <si>
    <t>חנוכת שמואל</t>
  </si>
  <si>
    <t>חנינת בנימין</t>
  </si>
  <si>
    <t>מילייקובסקי, בנימין בן אברהם</t>
  </si>
  <si>
    <t>דרושים, מחשבה ומוסר, משנה, תלמוד בבלי</t>
  </si>
  <si>
    <t>חנינת דוד</t>
  </si>
  <si>
    <t>תימסית, יוחנן</t>
  </si>
  <si>
    <t>חנינת ישראל - 4 כר'</t>
  </si>
  <si>
    <t>אביעד (וולנסקי), מנחם ישראל</t>
  </si>
  <si>
    <t>חנכת הבית</t>
  </si>
  <si>
    <t>חנן דעה</t>
  </si>
  <si>
    <t>ברזל, אברהם ישעיהו</t>
  </si>
  <si>
    <t>חנני אלוקים בזה</t>
  </si>
  <si>
    <t>גרוסברד, אברהם אליקים</t>
  </si>
  <si>
    <t>חנני אלוקים</t>
  </si>
  <si>
    <t>אהרמן, אלחנן בן יצחק יונה</t>
  </si>
  <si>
    <t>חסד אברהם מנחם</t>
  </si>
  <si>
    <t>גלנאטי, אברהם מנחם בן יצחק יעקב</t>
  </si>
  <si>
    <t>חסד אל</t>
  </si>
  <si>
    <t>אלמושנינו, חסדאי</t>
  </si>
  <si>
    <t>חסד ה'</t>
  </si>
  <si>
    <t>אלמאליח, יוסף בן עיוש</t>
  </si>
  <si>
    <t>חסד ואמת &lt;מעי"ן רבי אליעזר&gt;</t>
  </si>
  <si>
    <t>חסד ואמת השלם</t>
  </si>
  <si>
    <t>חסד ואמת נפגשו - סדר אושפיזין</t>
  </si>
  <si>
    <t>חסד ואמת</t>
  </si>
  <si>
    <t>חורי, חיים בן אברהם זקן</t>
  </si>
  <si>
    <t>חסד ואמת - 2 כר'</t>
  </si>
  <si>
    <t>צבע, יצחק בן יהודה</t>
  </si>
  <si>
    <t>חסד ומשפט אשירה</t>
  </si>
  <si>
    <t>חסד ונתינה</t>
  </si>
  <si>
    <t>חסד ורחמים</t>
  </si>
  <si>
    <t>דמרי, משה אברהם</t>
  </si>
  <si>
    <t>דרושים, מחשבה ומוסר, שאלות ותשובות, תולדות עם ישראל, תלמוד בבלי, תלמוד בבלי, תנ"ך</t>
  </si>
  <si>
    <t>יאנה מכלוף - יאנה, גד</t>
  </si>
  <si>
    <t>חסד חיים</t>
  </si>
  <si>
    <t>פינקל, חיים זאב בן אליעזר יהודה</t>
  </si>
  <si>
    <t>חסד יהושע - 3 כר'</t>
  </si>
  <si>
    <t>גרינוואלד, יהושע בן אברהם יוסף</t>
  </si>
  <si>
    <t>תש"ח - תשכ"ט</t>
  </si>
  <si>
    <t>חסד יצחק</t>
  </si>
  <si>
    <t>נשר, יצחק בן אברהם</t>
  </si>
  <si>
    <t>חסד לאברהם &lt;על התורה&gt;</t>
  </si>
  <si>
    <t>אברהם מפודולסק</t>
  </si>
  <si>
    <t>חסד לאברהם &lt;מגן לאברהם&gt;</t>
  </si>
  <si>
    <t>אזולאי, אברהם בן מרדכי - שבתאי, אברהם בן מרדכי</t>
  </si>
  <si>
    <t>חסד לאברהם &lt;מהדורה חדשה&gt;</t>
  </si>
  <si>
    <t>מחשבה ומוסר, נושאים שונים, שאר ספרי חז"ל</t>
  </si>
  <si>
    <t>חסד לאברהם &lt;לך - ויחי&gt;</t>
  </si>
  <si>
    <t>חסד לאברהם &lt;עשרה מאמרות  - מהדורה חדשה&gt;</t>
  </si>
  <si>
    <t>חסד לאברהם &lt;עשרה מאמרות&gt;</t>
  </si>
  <si>
    <t>חסד לאברהם &lt;שמות - בא&gt;</t>
  </si>
  <si>
    <t>תשד"ו</t>
  </si>
  <si>
    <t>חסד לאברהם &lt;על מסכת אבות&gt;</t>
  </si>
  <si>
    <t>שור, אברהם יוסף בן אלעזר</t>
  </si>
  <si>
    <t>חסד לאברהם - 4 כר'</t>
  </si>
  <si>
    <t>אברהם בן דוב בר ממזריץ' (רבי אברהם המלאך)</t>
  </si>
  <si>
    <t>חסד לאברהם</t>
  </si>
  <si>
    <t>אברהם בן יחיאל</t>
  </si>
  <si>
    <t>חסד לאברהם - 3 כר'</t>
  </si>
  <si>
    <t>חסד לאברהם - 2 כר'</t>
  </si>
  <si>
    <t>תקע"ג - תקע"ד</t>
  </si>
  <si>
    <t>חסד לאברהם - בראשית</t>
  </si>
  <si>
    <t>דרייזין, אהרן</t>
  </si>
  <si>
    <t>טרוימאן, אברהם בן טוביה</t>
  </si>
  <si>
    <t>חסד לאברהם - 11 כר'</t>
  </si>
  <si>
    <t>יצחקי, אורי</t>
  </si>
  <si>
    <t>תרפ"ח הס'</t>
  </si>
  <si>
    <t>לנשמת אברהם דב ריין</t>
  </si>
  <si>
    <t>סומפולינסקי, אברהם זאב בן דוד בונם</t>
  </si>
  <si>
    <t>ספר זכרון לרבי אברהם טייטלבוים</t>
  </si>
  <si>
    <t>רבינוביץ, אברהם יששכר בר בן שלמה הכהן</t>
  </si>
  <si>
    <t>תרנ"ג - תרנ"ז</t>
  </si>
  <si>
    <t>תאומים, אברהם בן צבי הירש</t>
  </si>
  <si>
    <t>לבוב?</t>
  </si>
  <si>
    <t>חסד לאברהם - סידור</t>
  </si>
  <si>
    <t>תפילות. סידור. תקמ"ג. מנטובה</t>
  </si>
  <si>
    <t>תפילות. סידור. תר"ה. ליוורנו</t>
  </si>
  <si>
    <t>חסד לאלפים</t>
  </si>
  <si>
    <t>חסד לאלפים - 4 כר'</t>
  </si>
  <si>
    <t>חסד לשמואל - א</t>
  </si>
  <si>
    <t>סטל, שמואל דב בן יעקב משה</t>
  </si>
  <si>
    <t>חסד שמו אל</t>
  </si>
  <si>
    <t>אוירבאך, שמואל בן דוד</t>
  </si>
  <si>
    <t>חסדי אבות וראשי אבות</t>
  </si>
  <si>
    <t>חסדי אבות על פרקי אבות</t>
  </si>
  <si>
    <t>חסדי אבות</t>
  </si>
  <si>
    <t>אבות. תרנ"ג. וילנה</t>
  </si>
  <si>
    <t>מועדי ישראל, משנה, שאר ספרי חז"ל</t>
  </si>
  <si>
    <t>חסדי אבות - 2 כר'</t>
  </si>
  <si>
    <t>וייס, שלמה צבי</t>
  </si>
  <si>
    <t>יעבץ, יצחק בן שלמה</t>
  </si>
  <si>
    <t>שמ"ג</t>
  </si>
  <si>
    <t>ליון, מאיר בן טוביה</t>
  </si>
  <si>
    <t>פישלר, יחיאל מיכל בן חיים צבי</t>
  </si>
  <si>
    <t>משנה, שאלות ותשובות, תלמוד בבלי, תנ"ך, תנ"ך</t>
  </si>
  <si>
    <t>חסדי אבות - 3 כר'</t>
  </si>
  <si>
    <t>חסדי אליעזר</t>
  </si>
  <si>
    <t>סורוצקין, אליעזר בן זלמן</t>
  </si>
  <si>
    <t>חסדי דוד &lt;תוספתא&gt; - 13 כר'</t>
  </si>
  <si>
    <t>פארדו, דוד בן יעקב</t>
  </si>
  <si>
    <t>תקל"ו - תר"נ</t>
  </si>
  <si>
    <t>חסדי דוד הנאמנים - 12 כר'</t>
  </si>
  <si>
    <t>תשס"ח - תשע"ח</t>
  </si>
  <si>
    <t>חסדי דוד - 2 כר'</t>
  </si>
  <si>
    <t>בר חן, אליהו חיים בן ישי</t>
  </si>
  <si>
    <t>ניצן</t>
  </si>
  <si>
    <t>חסדי דוד</t>
  </si>
  <si>
    <t>כהן, דוד בן אבאתו</t>
  </si>
  <si>
    <t>פתייא, יהודה בן משה ישועה</t>
  </si>
  <si>
    <t>צימטבוים, דוד סג"ל</t>
  </si>
  <si>
    <t>בילגורייא</t>
  </si>
  <si>
    <t>חסדי ה'</t>
  </si>
  <si>
    <t>חדאד, סאסי נסים</t>
  </si>
  <si>
    <t>דרושים, הלכה ומנהג, משנה, שלחן ערוך ומפרשיו, תלמוד בבלי, תנ"ך</t>
  </si>
  <si>
    <t>חסדי ה' - 3 כר'</t>
  </si>
  <si>
    <t>מרגליות, משה מרדכי בן שמואל</t>
  </si>
  <si>
    <t>חסדי השם על התורה - 5 כר'</t>
  </si>
  <si>
    <t>קריגר, מרדכי אהרן בן זאב</t>
  </si>
  <si>
    <t>חסדי השם על עין יעקב - 12 כר'</t>
  </si>
  <si>
    <t>חסדי השם - 4 כר'</t>
  </si>
  <si>
    <t>חסדי חן</t>
  </si>
  <si>
    <t>חסדי יהונתן</t>
  </si>
  <si>
    <t>חסדי יי</t>
  </si>
  <si>
    <t>חסדך מחיים</t>
  </si>
  <si>
    <t>חסידות חב"ד</t>
  </si>
  <si>
    <t>צייטלין, הלל בן אהרן אליעזר</t>
  </si>
  <si>
    <t>חסידות מפורשת - 3 כר'</t>
  </si>
  <si>
    <t>חסידות ספינקא ואדמוריה</t>
  </si>
  <si>
    <t>אגודת חסידי ספינקא</t>
  </si>
  <si>
    <t>חסידות - 22 כר'</t>
  </si>
  <si>
    <t>חסידים דערציילן - א</t>
  </si>
  <si>
    <t>מכון מראה יחזקאל</t>
  </si>
  <si>
    <t>חסידים הראשונים</t>
  </si>
  <si>
    <t>חסידים מספרים - 3 כר'</t>
  </si>
  <si>
    <t>חסידישע מעשיות</t>
  </si>
  <si>
    <t>שטערין, אברהם בן ישכר</t>
  </si>
  <si>
    <t>חסן ישועות</t>
  </si>
  <si>
    <t>חסן, שבתי בן עמנואל</t>
  </si>
  <si>
    <t>חסר ומלא בתנ"ך</t>
  </si>
  <si>
    <t>יאקבס, אברהם בן מאיר</t>
  </si>
  <si>
    <t>חסרונות הש"ס</t>
  </si>
  <si>
    <t>חסרונות הש"ס. תרנ"ד</t>
  </si>
  <si>
    <t>חפיפה כהלכתה</t>
  </si>
  <si>
    <t>חפץ ה' - 5 כר'</t>
  </si>
  <si>
    <t>חפץ חיים &lt;שי"ח התמר&gt;</t>
  </si>
  <si>
    <t>כהן, ישראל מאיר בן אריה זאב - היימן, עופר שמאי</t>
  </si>
  <si>
    <t>חפץ חיים &lt;עם הארות&gt;</t>
  </si>
  <si>
    <t>כהן, ישראל מאיר בן אריה זאב - הרבנים לבית קוק ועוד</t>
  </si>
  <si>
    <t>חפץ חיים &lt;עם הערות&gt;</t>
  </si>
  <si>
    <t>כהן, ישראל מאיר בן אריה זאב - רוזלאר, יהונתן בנימין הלוי</t>
  </si>
  <si>
    <t>חפץ חיים &lt;עקבי חיים&gt;</t>
  </si>
  <si>
    <t>חפץ חיים &lt;משכיל על נגינות, משכיל שיר ידידות&gt;</t>
  </si>
  <si>
    <t>קורח, יחיא בן שלום</t>
  </si>
  <si>
    <t>חפץ חיים &lt;באר חפרוה&gt;</t>
  </si>
  <si>
    <t>חפץ חיים המבואר &lt;לימוד יומי&gt;</t>
  </si>
  <si>
    <t>אורטנר, דב בעריש בן נתן יהודה</t>
  </si>
  <si>
    <t>חפץ חיים ושמירת הלשון &lt;אידיש&gt;</t>
  </si>
  <si>
    <t>כהן, ישראל מאיר בן אריה זאב - קויפמאן, צבי בן נתן נטע</t>
  </si>
  <si>
    <t>חפץ חיים על אגדות הש"ס - 2 כר'</t>
  </si>
  <si>
    <t>חפץ חיים על התורה</t>
  </si>
  <si>
    <t>חפץ חיים על מסכת אבות</t>
  </si>
  <si>
    <t>חפץ חיים על נביאים וכתובים</t>
  </si>
  <si>
    <t>חפץ חיים עם ביאור דעת חיים</t>
  </si>
  <si>
    <t>כהן, ישראל מאיר בן אריה זאב - הופמן, יהודה אריה בן יואל דוד</t>
  </si>
  <si>
    <t>חפץ חיים עם ביאור שיח התמר</t>
  </si>
  <si>
    <t>כהן, ישראל מאיר בן אריה זאב - היימן, עומר שמאי</t>
  </si>
  <si>
    <t>חפץ חיים עם נתיבות חיים</t>
  </si>
  <si>
    <t>כהן, ישראל מאיר בן אריה זאב - קאופמן משה בן שלום</t>
  </si>
  <si>
    <t>חפץ חיים עם עלי באר ומקור הבאר</t>
  </si>
  <si>
    <t>כהן, ישראל מאיר בן אריה זאב - רוזנר, שלמה</t>
  </si>
  <si>
    <t>חפץ חיים</t>
  </si>
  <si>
    <t>יוזפסברג, חיים יצחק</t>
  </si>
  <si>
    <t>חפץ חיים - 4 כר'</t>
  </si>
  <si>
    <t>מאיימראן, חיים בן משה</t>
  </si>
  <si>
    <t>מקנס</t>
  </si>
  <si>
    <t>חפץ חיים - שירי רבי שלם שבזי</t>
  </si>
  <si>
    <t>חפץ יהונתן</t>
  </si>
  <si>
    <t>חפצי בה'</t>
  </si>
  <si>
    <t>חפש מטמונים</t>
  </si>
  <si>
    <t>חופש מטמונים</t>
  </si>
  <si>
    <t>חץ תשועה</t>
  </si>
  <si>
    <t>אולמאן, חיים צבי</t>
  </si>
  <si>
    <t>חצות לילה אקום להודות לך על משפטי צדקך</t>
  </si>
  <si>
    <t>חצות לילה אקום</t>
  </si>
  <si>
    <t>תיקונים. חצות. תרצ"ב</t>
  </si>
  <si>
    <t>חצי גבור</t>
  </si>
  <si>
    <t>אולמן, חיים צבי יוסף</t>
  </si>
  <si>
    <t>חצי מנשה</t>
  </si>
  <si>
    <t>חציו לה' וחציו לכם</t>
  </si>
  <si>
    <t>חציצות בטבילה כתוצאה מתכשירים רפואיים</t>
  </si>
  <si>
    <t>בורשטין, אברהם בן מנחם</t>
  </si>
  <si>
    <t>חצר אהל מועד</t>
  </si>
  <si>
    <t>חצר אמונים - 3 כר'</t>
  </si>
  <si>
    <t>חצר חורבת רבי יהודה החסיד</t>
  </si>
  <si>
    <t>זילבר, ליאור</t>
  </si>
  <si>
    <t>חצרות בית ה' - 2 כר'</t>
  </si>
  <si>
    <t>קורן (וינקלר), זלמן מנחם בן שמעון</t>
  </si>
  <si>
    <t>חצרות ישע</t>
  </si>
  <si>
    <t>הלברשטט, ישעיה בן יוסף</t>
  </si>
  <si>
    <t>חק הטהרה</t>
  </si>
  <si>
    <t>קטן, חגי בן גבריאל</t>
  </si>
  <si>
    <t>יערה</t>
  </si>
  <si>
    <t>חק המוסר - 2 כר'</t>
  </si>
  <si>
    <t>הרשקוביץ, שמעון אהרן</t>
  </si>
  <si>
    <t>חק המלך - 2 כר'</t>
  </si>
  <si>
    <t>חק הקדש - זבחים</t>
  </si>
  <si>
    <t>חק וזמן - נדה וטבילה</t>
  </si>
  <si>
    <t>בלייך, אברהם יהושע העשיל בן ראובן</t>
  </si>
  <si>
    <t>חק וזמן</t>
  </si>
  <si>
    <t>חק ומשפט</t>
  </si>
  <si>
    <t>טולידאנו, חיים בן משה</t>
  </si>
  <si>
    <t>כץ, משה בן יוסף דוב הכהן</t>
  </si>
  <si>
    <t>חק חיים</t>
  </si>
  <si>
    <t>קואינקה, וידאל</t>
  </si>
  <si>
    <t>חק יהו"א ומבטליו  -  דרש דרש א</t>
  </si>
  <si>
    <t>חק יוסף</t>
  </si>
  <si>
    <t>ברסלוי, יוסף משה בן דוד</t>
  </si>
  <si>
    <t>חק יעקב - 3 כר'</t>
  </si>
  <si>
    <t>ריישר, יעקב בן יוסף</t>
  </si>
  <si>
    <t>חק יריכות</t>
  </si>
  <si>
    <t>חק ישראל - 2 כר'</t>
  </si>
  <si>
    <t>וולץ, ישראל בן צבי</t>
  </si>
  <si>
    <t>תרפ"ז - תר"צ</t>
  </si>
  <si>
    <t>חק לחדש</t>
  </si>
  <si>
    <t>חיימוביץ, חיים יהודה בן סעדיה הלוי</t>
  </si>
  <si>
    <t>חק לישראל &lt;דפוס ראשון&gt; - 2 כר'</t>
  </si>
  <si>
    <t>חוק לישראל. ת"ק</t>
  </si>
  <si>
    <t>מצרים,</t>
  </si>
  <si>
    <t>חק לישראל &lt;ספר המצות לרמב"ם&gt;</t>
  </si>
  <si>
    <t>חק לישראל זהר עם פירוש הסולם</t>
  </si>
  <si>
    <t>חק לישראל - 3 כר'</t>
  </si>
  <si>
    <t>חק לישראל - ד דברים</t>
  </si>
  <si>
    <t>חוק לישראל</t>
  </si>
  <si>
    <t>חק לישראל - 5 כר'</t>
  </si>
  <si>
    <t>חוק לישראל. תקצ"ב</t>
  </si>
  <si>
    <t>סלויטה Slavuta</t>
  </si>
  <si>
    <t>חוק לישראל. תר"פ</t>
  </si>
  <si>
    <t>חוק לישראל. תרנ"ד</t>
  </si>
  <si>
    <t>חוק לישראל. תרנ"ז</t>
  </si>
  <si>
    <t>חק לישראל</t>
  </si>
  <si>
    <t>קאזיס, חנניה בן מנחם</t>
  </si>
  <si>
    <t>חק משה - 2 כר'</t>
  </si>
  <si>
    <t>ברמאן, משה יהודה ליב בן דוד הלוי</t>
  </si>
  <si>
    <t>חק נתן &lt;מהדורה חדשה&gt;</t>
  </si>
  <si>
    <t>בורג'ל, נתן בן אברהם</t>
  </si>
  <si>
    <t>חק נתן</t>
  </si>
  <si>
    <t>חק עולם</t>
  </si>
  <si>
    <t>הויכמאן, משה בן יצחק אהרן</t>
  </si>
  <si>
    <t>Berdichev</t>
  </si>
  <si>
    <t>כולל וולין</t>
  </si>
  <si>
    <t>חקור דבר</t>
  </si>
  <si>
    <t>חקות החיים</t>
  </si>
  <si>
    <t>חקי דעת</t>
  </si>
  <si>
    <t>קופמן, משה יקותיאל בן אביגדור הכהן</t>
  </si>
  <si>
    <t>חקי דעת - א</t>
  </si>
  <si>
    <t>רשבסקי, שמואל חיים</t>
  </si>
  <si>
    <t>מילווקי Milwaukee</t>
  </si>
  <si>
    <t>חקי דרך</t>
  </si>
  <si>
    <t>משה יקותיאל קופמאן בן אביגדור הכהן</t>
  </si>
  <si>
    <t>[תק"ז,</t>
  </si>
  <si>
    <t>דיהרן פארט,</t>
  </si>
  <si>
    <t>חקי חיים על התורה - 2 כר'</t>
  </si>
  <si>
    <t>חקי חיים</t>
  </si>
  <si>
    <t>יעקב חיים בן יהושע הכהן</t>
  </si>
  <si>
    <t>כהן, שמעון בן יעקב</t>
  </si>
  <si>
    <t>מרמלשטיין, יהודה ישכר בן צבי סג"ל</t>
  </si>
  <si>
    <t>חקי חיים - 7 כר'</t>
  </si>
  <si>
    <t>חקי משפט</t>
  </si>
  <si>
    <t>שפירא, נתן נטע בן שלמה - קופמן, משה יקותיאל בן אביגדור הכהן</t>
  </si>
  <si>
    <t>חקירות במסכת ברכות</t>
  </si>
  <si>
    <t>חקירות והארות</t>
  </si>
  <si>
    <t>חקירות שמואל</t>
  </si>
  <si>
    <t>רולניק, שמואל אליעזר בן צבי</t>
  </si>
  <si>
    <t>חקירות</t>
  </si>
  <si>
    <t>ראם, אברהם</t>
  </si>
  <si>
    <t>חקירת ראשית</t>
  </si>
  <si>
    <t>כהנא-שפירא, ישעיהו מאיר בן יוסף בירך</t>
  </si>
  <si>
    <t>חקל חיים - 2 כר'</t>
  </si>
  <si>
    <t>שטייגר, חיים מענדיל</t>
  </si>
  <si>
    <t>חקל יצחק &lt;מהדורה חדשה&gt; - 2 כר'</t>
  </si>
  <si>
    <t>חקל יצחק &lt;עה"ת&gt; - א</t>
  </si>
  <si>
    <t>חקל תפוחים</t>
  </si>
  <si>
    <t>תרע"ב ותרנ"ו הוא ט"ס</t>
  </si>
  <si>
    <t>חקל תפוחין</t>
  </si>
  <si>
    <t>חקל תפוחין, סמא דחיי</t>
  </si>
  <si>
    <t>משמר, יעקב נגר</t>
  </si>
  <si>
    <t>חקקי לב - 3 כר'</t>
  </si>
  <si>
    <t>ת"ר - תר"ט</t>
  </si>
  <si>
    <t>חקר דבר</t>
  </si>
  <si>
    <t>קיסטאהל, חיים מאיר</t>
  </si>
  <si>
    <t>חקר דעת - 2 כר'</t>
  </si>
  <si>
    <t>תרנ"ח - תרס"ב</t>
  </si>
  <si>
    <t>חקר הלכה &lt;מהדורה חדשה&gt; - 2 כר'</t>
  </si>
  <si>
    <t>חקר הלכה</t>
  </si>
  <si>
    <t>ארנטרוי, חנוך בן יונה הכהן</t>
  </si>
  <si>
    <t>חקר הלכה - במעשר פרי הבננות</t>
  </si>
  <si>
    <t>גרוסברג, ירוחם פישל</t>
  </si>
  <si>
    <t>חקר הלכה - הלכות ריבית</t>
  </si>
  <si>
    <t>מאנדיל, יצחק הלוי</t>
  </si>
  <si>
    <t>חקר המנחה</t>
  </si>
  <si>
    <t>רוזין, קלונימוס קלמן בן אליהו חיים</t>
  </si>
  <si>
    <t>חקר ועיון - 5 כר'</t>
  </si>
  <si>
    <t>חקר ועיון - 24 כר'</t>
  </si>
  <si>
    <t>פרוש, חיים יצחק</t>
  </si>
  <si>
    <t>חקר יהדות תימן</t>
  </si>
  <si>
    <t>חקר יצחק</t>
  </si>
  <si>
    <t>חקר שמואל</t>
  </si>
  <si>
    <t>ליאצקי, שמואל בן דוב</t>
  </si>
  <si>
    <t>חקרי אור</t>
  </si>
  <si>
    <t>חזן, יעקב בן לוי</t>
  </si>
  <si>
    <t>צשע"ה</t>
  </si>
  <si>
    <t>חקרי דוד - 3 כר'</t>
  </si>
  <si>
    <t>קפנר, דוד יוסף חיים בן דוב</t>
  </si>
  <si>
    <t>חקרי הלכה - 2 כר'</t>
  </si>
  <si>
    <t>חקרי הלכות</t>
  </si>
  <si>
    <t>משכיל-לאיתן, משה ניסן בן אברהם</t>
  </si>
  <si>
    <t>חקרי הלכות - 2 כר'</t>
  </si>
  <si>
    <t>שווימר, יחיאל נתן בן יוסף</t>
  </si>
  <si>
    <t>חקרי טל</t>
  </si>
  <si>
    <t>חקרי יהדות</t>
  </si>
  <si>
    <t>פדרבוש, שמעון בן צבי הרש</t>
  </si>
  <si>
    <t>נושאים שונים, תולדות עם ישראל, תולדות עם ישראל</t>
  </si>
  <si>
    <t>חקרי לב - 3 כר'</t>
  </si>
  <si>
    <t>חקרי לב - 14 כר'</t>
  </si>
  <si>
    <t>חזן, רפאל יוסף בן חיים</t>
  </si>
  <si>
    <t>תקמ"ז - תרל"ה</t>
  </si>
  <si>
    <t>חקרי לב - א</t>
  </si>
  <si>
    <t>ישיבת הגרז"ר בענגיס</t>
  </si>
  <si>
    <t>ירופשלים</t>
  </si>
  <si>
    <t>חקרי לב</t>
  </si>
  <si>
    <t>לווינבוק, ראובן בן יצחק נח</t>
  </si>
  <si>
    <t>חקרי לב - חובת הלבבות</t>
  </si>
  <si>
    <t>חקרי תורה - א</t>
  </si>
  <si>
    <t>חקרים</t>
  </si>
  <si>
    <t>חקת הפסח הקצר</t>
  </si>
  <si>
    <t>גאסנבויאר, בן ציון בן שמואל נחום הלוי</t>
  </si>
  <si>
    <t>חקת הפסח</t>
  </si>
  <si>
    <t>הגדה של פסח. תר"ד. כלכתה</t>
  </si>
  <si>
    <t>פיזאנטי, משה בן חיים</t>
  </si>
  <si>
    <t>שכ"ט</t>
  </si>
  <si>
    <t>תיקונים. ימי ניסן. תרכ"ג</t>
  </si>
  <si>
    <t>מועדי ישראל, משנה, תפלות בקשות פיוטים ושירה</t>
  </si>
  <si>
    <t>חקת משפט - 3 כר'</t>
  </si>
  <si>
    <t>חקת משפט - לא תגזול</t>
  </si>
  <si>
    <t>חקת עולם - 5 כר'</t>
  </si>
  <si>
    <t>תפילות. מחזור. תרנ"ג. ירושלים</t>
  </si>
  <si>
    <t>תרנ"ג-תרנ"ה</t>
  </si>
  <si>
    <t>חקת עולם - ו</t>
  </si>
  <si>
    <t>תפלות. מחזור. ירושלים. תרנ"ג</t>
  </si>
  <si>
    <t>תרנ"ג - תרנ"ה</t>
  </si>
  <si>
    <t>חרב פיפיות</t>
  </si>
  <si>
    <t>יאיר בן שבתי מקוריו</t>
  </si>
  <si>
    <t>חרבות ירושלם &lt;מהדורה מוערת&gt;</t>
  </si>
  <si>
    <t>רוזן, מינה (מהדירה)</t>
  </si>
  <si>
    <t>חרבות ירושלם - 2 כר'</t>
  </si>
  <si>
    <t>חורבות ירושלים</t>
  </si>
  <si>
    <t>חרבות צורים</t>
  </si>
  <si>
    <t>רוטמן, נתן</t>
  </si>
  <si>
    <t>חרדים - על התורה</t>
  </si>
  <si>
    <t>חרוז נאה על דרך הלצה לשמוח בפורים</t>
  </si>
  <si>
    <t>יהודה יצחק בן יעקב מחנצ'ין</t>
  </si>
  <si>
    <t>חרוזי מרגליות - 2 כר'</t>
  </si>
  <si>
    <t>חרוזי פנינים</t>
  </si>
  <si>
    <t>אורנשטיין, יצחק ראובן הכהן</t>
  </si>
  <si>
    <t>חרות על הלוחות</t>
  </si>
  <si>
    <t>פרידמן, אהרן</t>
  </si>
  <si>
    <t>חרותה ליום השביעי</t>
  </si>
  <si>
    <t>חרמש בקמה על מסכת אבות</t>
  </si>
  <si>
    <t>פולק, פנחס שלום</t>
  </si>
  <si>
    <t>חרש אבן</t>
  </si>
  <si>
    <t>טויב, משה בן מנחם אלטר</t>
  </si>
  <si>
    <t>תרצ"ב-תרצ"ט</t>
  </si>
  <si>
    <t>חרש וחשב</t>
  </si>
  <si>
    <t>חשב האפד - 7 כר'</t>
  </si>
  <si>
    <t>פאל, אליעזר דוד</t>
  </si>
  <si>
    <t>חשב האפד</t>
  </si>
  <si>
    <t>פינחס אריה בן צבי</t>
  </si>
  <si>
    <t>פרידמן, אברהם בן נפתלי צבי</t>
  </si>
  <si>
    <t>חשב האפוד - 3 כר'</t>
  </si>
  <si>
    <t>חשב ההלכה - בשר בחלב</t>
  </si>
  <si>
    <t>ויסבלום, ברוך בן שלום</t>
  </si>
  <si>
    <t>חשב משה - מנחת שמעון - פרי זאב</t>
  </si>
  <si>
    <t>גובנער, שמעון זאב</t>
  </si>
  <si>
    <t>חשב סופר &lt;מהדורה חדשה&gt; - 2 כר'</t>
  </si>
  <si>
    <t>חשב סופר - 2 כר'</t>
  </si>
  <si>
    <t>חשב שלמה - א</t>
  </si>
  <si>
    <t>חשבה לטובה &lt;מהדורה חדשה&gt;</t>
  </si>
  <si>
    <t>לווין, חנוך הניך בן פינחס הכהן</t>
  </si>
  <si>
    <t>דרושים, חסידות, מועדי ישראל, נושאים שונים, תנ"ך</t>
  </si>
  <si>
    <t>חשבה לטובה</t>
  </si>
  <si>
    <t>דנציגר, יהודה משה בן יחיאל יוסף</t>
  </si>
  <si>
    <t>חסידות, נושאים שונים, תנ"ך, תפלות בקשות פיוטים ושירה</t>
  </si>
  <si>
    <t>חשבון בית כור</t>
  </si>
  <si>
    <t>חשבון ההכנסות והוצאות</t>
  </si>
  <si>
    <t>כולל שומרי החומות</t>
  </si>
  <si>
    <t>תרצ"ו - הקד'</t>
  </si>
  <si>
    <t>חשבון הנפש</t>
  </si>
  <si>
    <t>כהן, יעקב מרדכי בן מיכל יוסף</t>
  </si>
  <si>
    <t>חשבון העולם</t>
  </si>
  <si>
    <t>בלוך, אברהם דוד בן מרדכי יעקב</t>
  </si>
  <si>
    <t>חשבון מהלכות הכוכבים</t>
  </si>
  <si>
    <t>Barcelona ברצלונה</t>
  </si>
  <si>
    <t>חשבון פרטי המצות</t>
  </si>
  <si>
    <t>גולדמאן, צבי אריה בן חיים שלום שכנא</t>
  </si>
  <si>
    <t>חשבון שבעים שנות שמיטה ויובל שלא נשתמרו</t>
  </si>
  <si>
    <t>חשבונו של עולם</t>
  </si>
  <si>
    <t>חשבונות רבים</t>
  </si>
  <si>
    <t>חשבי מחשבות</t>
  </si>
  <si>
    <t>פולק, יהושע בן משה יהודה</t>
  </si>
  <si>
    <t>חשוקי חמד - 26 כר'</t>
  </si>
  <si>
    <t>חשוקי כסף</t>
  </si>
  <si>
    <t>פיינשטיין, ברוך אברהם בן חיים</t>
  </si>
  <si>
    <t>חשיפת גנוזים מתימן</t>
  </si>
  <si>
    <t>נחום, יהודה לוי</t>
  </si>
  <si>
    <t>חשמונאי ובניו</t>
  </si>
  <si>
    <t>חשמל ושבת</t>
  </si>
  <si>
    <t>המכון המדעי הטכנולוגי</t>
  </si>
  <si>
    <t>חשן אהרן - 2 כר'</t>
  </si>
  <si>
    <t>חשן המשפט של הכהן הגדול</t>
  </si>
  <si>
    <t>חשן ואפוד</t>
  </si>
  <si>
    <t>אמסל, יצחק צבי בן פרץ</t>
  </si>
  <si>
    <t>חשק שלמה &lt;שיר השירים&gt;</t>
  </si>
  <si>
    <t>חשק שלמה &lt;מהדורת מכון הכתב&gt;</t>
  </si>
  <si>
    <t>חיים ניסים שלמה בן מרדכי</t>
  </si>
  <si>
    <t>חשק שלמה שרשים &lt;מכון שלמה אומן&gt;</t>
  </si>
  <si>
    <t>חשק שלמה</t>
  </si>
  <si>
    <t>דוראן, שלמה בן צמח (התשב"ץ)</t>
  </si>
  <si>
    <t>חשק שלמה - 2 כר'</t>
  </si>
  <si>
    <t>הלוי, שלמה בן יצחק הזקן - יצחק בן שלמה הלוי</t>
  </si>
  <si>
    <t>חורי, שלמה בן אליהו</t>
  </si>
  <si>
    <t>לווינסון, משה שלמה בן יהודה</t>
  </si>
  <si>
    <t>מאזוז, שלמה</t>
  </si>
  <si>
    <t>קורדובירו, גדליה בן משה</t>
  </si>
  <si>
    <t>וונציה</t>
  </si>
  <si>
    <t>חשקת התורה</t>
  </si>
  <si>
    <t>חשקת שלמה - 3 כר'</t>
  </si>
  <si>
    <t>הערשאפט, יצחק בן שלמה</t>
  </si>
  <si>
    <t>חשקת שלמה</t>
  </si>
  <si>
    <t>חשרת מים</t>
  </si>
  <si>
    <t>גלר, שלום דוד בן שמעון</t>
  </si>
  <si>
    <t>כהן, יחיאל מיכל בן אברהם הכהן</t>
  </si>
  <si>
    <t>חת"ם משה</t>
  </si>
  <si>
    <t>הסגל, משה בן אברהם</t>
  </si>
  <si>
    <t>חתונה ונישואין</t>
  </si>
  <si>
    <t>חתם סופר &lt;דרשות&gt; - 4 כר'</t>
  </si>
  <si>
    <t>תרפ"ט - תשל"ד</t>
  </si>
  <si>
    <t>חתם סופר &lt;על הש"ס&gt; - 18 כר'</t>
  </si>
  <si>
    <t>חתם סופר &lt;על התורה&gt; - 7 כר'</t>
  </si>
  <si>
    <t>חתם סופר &lt;ש"ס&gt; - 8 כר'</t>
  </si>
  <si>
    <t>חתם סופר &lt;שו"ת. מהדורה חדשה&gt; - 8 כר'</t>
  </si>
  <si>
    <t>חתם סופר &lt;שו"ת&gt; - 8 כר'</t>
  </si>
  <si>
    <t>חתם סופר החדש על התורה</t>
  </si>
  <si>
    <t>חתם סופר מאמרים חדשים</t>
  </si>
  <si>
    <t>חתם סופר על התורה - 7 כר'</t>
  </si>
  <si>
    <t>חתם סופר על מסכת אבות</t>
  </si>
  <si>
    <t>חתם סופר - מילה</t>
  </si>
  <si>
    <t>דויטש, דוד יהודה בן אליהו הכהן (עורך)</t>
  </si>
  <si>
    <t>חתם סופר - 10 כר'</t>
  </si>
  <si>
    <t>חתם קדש לה'</t>
  </si>
  <si>
    <t>חתן דמים</t>
  </si>
  <si>
    <t>רונקיל, זלמן</t>
  </si>
  <si>
    <t>חתן ותורה</t>
  </si>
  <si>
    <t>חתן ישעי'</t>
  </si>
  <si>
    <t>חתן מצוה</t>
  </si>
  <si>
    <t>חתן סופר - 11 כר'</t>
  </si>
  <si>
    <t>חתן עם הכלה</t>
  </si>
  <si>
    <t>ט"ו בשבט בהלכה</t>
  </si>
  <si>
    <t>ט"ו בשבט ללא תולעים</t>
  </si>
  <si>
    <t>על פי ספרי הרב משה ויא</t>
  </si>
  <si>
    <t>ט"ו בשבט לענין תחנון ונפילת אפים</t>
  </si>
  <si>
    <t>ט"ו בשבט ראש השנה לאילנות</t>
  </si>
  <si>
    <t>קורצוויל, אהרן</t>
  </si>
  <si>
    <t>ט"ו בשבט - הלכות ומנהגים</t>
  </si>
  <si>
    <t>בית מדרש גבוה להלכה בהתישבות</t>
  </si>
  <si>
    <t>ט"ו מאמרים</t>
  </si>
  <si>
    <t>חודרוב, מנחם דוד</t>
  </si>
  <si>
    <t>ט"ו מעלות יחיאל</t>
  </si>
  <si>
    <t>מונק, יחיאל אריה בן מתתיהו הכהן</t>
  </si>
  <si>
    <t>ט"ל מלאכות שבת</t>
  </si>
  <si>
    <t>טאשנד</t>
  </si>
  <si>
    <t>טבור הארץ - 2 כר'</t>
  </si>
  <si>
    <t>טבח והכן &lt;מהדורה חדשה&gt;</t>
  </si>
  <si>
    <t>קרא, יוסף חיים בן יצחק זליג</t>
  </si>
  <si>
    <t>טבח והכן</t>
  </si>
  <si>
    <t>טביחת הבהמה</t>
  </si>
  <si>
    <t>דמבו, יצחק בן אהרן</t>
  </si>
  <si>
    <t>טבילת כלים חדשים</t>
  </si>
  <si>
    <t>טבילת כלים</t>
  </si>
  <si>
    <t>טבלאות חזרה על הש"ס</t>
  </si>
  <si>
    <t>טבלת הכשרת כלים לפסח</t>
  </si>
  <si>
    <t>על פי פסקי רבי עובדיה יוסף</t>
  </si>
  <si>
    <t>טבע הבריאה והתשובה</t>
  </si>
  <si>
    <t>טבעות השולחן - תולעים</t>
  </si>
  <si>
    <t>בניאל, לוי יצחק - בר און, אריאל שלמה</t>
  </si>
  <si>
    <t>טבעות זהב - 2 כר'</t>
  </si>
  <si>
    <t>שפירא, משה אריה ליב</t>
  </si>
  <si>
    <t>טבעת החושן - 5 כר'</t>
  </si>
  <si>
    <t>טבעת המלך</t>
  </si>
  <si>
    <t>טבעת המלך - קידושין</t>
  </si>
  <si>
    <t>מס, אליהו בן עזריאל</t>
  </si>
  <si>
    <t>תולדות עם ישראל, תלמוד ירושלמי</t>
  </si>
  <si>
    <t>שפירא, יצחק</t>
  </si>
  <si>
    <t>טהויער פון גיהנם</t>
  </si>
  <si>
    <t>לעוונער, ג. ח.</t>
  </si>
  <si>
    <t>טהור רעיונים - 2 כר'</t>
  </si>
  <si>
    <t>יום-טוב נטיל בן מנחם</t>
  </si>
  <si>
    <t>טהר לבנו</t>
  </si>
  <si>
    <t>טהרה הריון ולידה כהלכה</t>
  </si>
  <si>
    <t>טהרה כהלכה</t>
  </si>
  <si>
    <t>ינאי, יאיר יששכר  בו יהודה אריה</t>
  </si>
  <si>
    <t>טהרות הקודש</t>
  </si>
  <si>
    <t>טהרות הקודש. תצ"ג</t>
  </si>
  <si>
    <t>טהרות הקודש - טהרות</t>
  </si>
  <si>
    <t>טהרת אליהו - 2 כר'</t>
  </si>
  <si>
    <t>לבנון ויספיש, אליהו אליעזר</t>
  </si>
  <si>
    <t>טהרת אליהו</t>
  </si>
  <si>
    <t>טהרת אליעזר</t>
  </si>
  <si>
    <t>גלדצלר, אליעזר</t>
  </si>
  <si>
    <t>טהרת בנות ישראל</t>
  </si>
  <si>
    <t>טהרת ברוך</t>
  </si>
  <si>
    <t>טהרת בת ישראל - 3 כר'</t>
  </si>
  <si>
    <t>טהרת בת ישראל</t>
  </si>
  <si>
    <t>ראבינאוויטץ, מרדכי</t>
  </si>
  <si>
    <t>טהרת דוד</t>
  </si>
  <si>
    <t>יוז'וק, חיים בן שמעון אריה</t>
  </si>
  <si>
    <t>טהרת האתרוגים</t>
  </si>
  <si>
    <t>סופר, לוי יצחק</t>
  </si>
  <si>
    <t>טהרת הגוף והנפש</t>
  </si>
  <si>
    <t>עמיאל, משה</t>
  </si>
  <si>
    <t>טהרת הכהנים כהלכתה</t>
  </si>
  <si>
    <t>גרוס, משה הכהן בן יששכר דב</t>
  </si>
  <si>
    <t>טהרת הכהנים</t>
  </si>
  <si>
    <t>מונק, דוד הכהן - לומברד, יוחנן אלכסנדר</t>
  </si>
  <si>
    <t>טהרת הכלים - 5 כר'</t>
  </si>
  <si>
    <t>בעדני, דוד ישעיהו בן שמעון</t>
  </si>
  <si>
    <t>טהרת הכסף</t>
  </si>
  <si>
    <t>טהרת הלשון</t>
  </si>
  <si>
    <t>טהרת המים</t>
  </si>
  <si>
    <t>טהרת המשפחה והיקף השפעתה</t>
  </si>
  <si>
    <t>אונטרמן, איסר יהודה בן אליהו</t>
  </si>
  <si>
    <t>טהרת המשפחה</t>
  </si>
  <si>
    <t>מלאכי, ינון בן יצחק</t>
  </si>
  <si>
    <t>קפלן, מרדכי אהרן</t>
  </si>
  <si>
    <t>טהרת הנפש</t>
  </si>
  <si>
    <t>אוירבאך, שלמה אהרן בן נחמן זאב</t>
  </si>
  <si>
    <t>טהרת הקדש &lt;מהדורה חדשה&gt; - זבחים</t>
  </si>
  <si>
    <t>אשכנזי, יצחק בן צבי</t>
  </si>
  <si>
    <t>טהרת הקדש - 2 כר'</t>
  </si>
  <si>
    <t>תקנ"ב - תקנ"ג</t>
  </si>
  <si>
    <t>טהרת הקדש</t>
  </si>
  <si>
    <t>לווין, שמואל דוד בן אברהם אליעזר הלוי</t>
  </si>
  <si>
    <t>טהרת הקודש &lt;המנוקד&gt; - 3 כר'</t>
  </si>
  <si>
    <t>טהרת הקודש - 2 כר'</t>
  </si>
  <si>
    <t>טהרת הקודש - א</t>
  </si>
  <si>
    <t>טהרת הקודש - א-ב</t>
  </si>
  <si>
    <t>טהרת השבת כהלכתה - 2 כר'</t>
  </si>
  <si>
    <t>טהרת השולחן</t>
  </si>
  <si>
    <t>טהרת השלחן</t>
  </si>
  <si>
    <t>טהרת התורה - 2 כר'</t>
  </si>
  <si>
    <t>טהרת התפלה - 2 כר'</t>
  </si>
  <si>
    <t>טהרת זאב - נדה</t>
  </si>
  <si>
    <t>גרינשפן, דב בן מרדכי מנחם</t>
  </si>
  <si>
    <t>טהרת חיים - כלים</t>
  </si>
  <si>
    <t>טהרת יד</t>
  </si>
  <si>
    <t>טהרת ידים</t>
  </si>
  <si>
    <t>טהרת יוסף - כלים</t>
  </si>
  <si>
    <t>קורמן, יוסף בן משה</t>
  </si>
  <si>
    <t>טהרת יעקב</t>
  </si>
  <si>
    <t>טהרת יצחק</t>
  </si>
  <si>
    <t>טהרת ישראל</t>
  </si>
  <si>
    <t>איבגי, ישראל מאיר בן עמרם</t>
  </si>
  <si>
    <t>ימודיעין עילית</t>
  </si>
  <si>
    <t>טהרת ישראל - א</t>
  </si>
  <si>
    <t>אריאל, עזריה בן ישראל</t>
  </si>
  <si>
    <t>טהרת ישראל - 4 כר'</t>
  </si>
  <si>
    <t>תר"ע - תרע"ג</t>
  </si>
  <si>
    <t>טהרת כהן</t>
  </si>
  <si>
    <t>כהן, יניב</t>
  </si>
  <si>
    <t>טהרת כלים - 2 כר'</t>
  </si>
  <si>
    <t>חבורת אברכים בכולל פוניבז'</t>
  </si>
  <si>
    <t>טהרת כלים</t>
  </si>
  <si>
    <t>טהרת לשון הקודש</t>
  </si>
  <si>
    <t>טהרת מים חיים - הבלנית בהלכה</t>
  </si>
  <si>
    <t>מימון, דוד</t>
  </si>
  <si>
    <t>טהרת מירון - הר המערות</t>
  </si>
  <si>
    <t>טהרת מש"ה</t>
  </si>
  <si>
    <t>ערוסי, צפניה בן רצון</t>
  </si>
  <si>
    <t>טהרת משה &lt;מקוואות&gt; - 2 כר'</t>
  </si>
  <si>
    <t>ווילליגער, משה בן דוד יהודה</t>
  </si>
  <si>
    <t>טהרת משה &lt;קובץ&gt; - מקוואות</t>
  </si>
  <si>
    <t>נחלת משה - מאקאווא</t>
  </si>
  <si>
    <t>טהרת משה - פרה</t>
  </si>
  <si>
    <t>גלין, משה בן ראובן הכהן</t>
  </si>
  <si>
    <t>טהרת משפחה</t>
  </si>
  <si>
    <t>טהרת פנחס - נדה</t>
  </si>
  <si>
    <t>טהרת פתחים</t>
  </si>
  <si>
    <t>טהרת רפאל - 2 כר'</t>
  </si>
  <si>
    <t>כולל בית אברהם ואליס הררי</t>
  </si>
  <si>
    <t>טהרת שלמה</t>
  </si>
  <si>
    <t>טהרת שלמה - אהלות, מקואות, ידים</t>
  </si>
  <si>
    <t>וויסנשטרן, שלמה זלמן</t>
  </si>
  <si>
    <t>טהרת שלמה - 2 כר'</t>
  </si>
  <si>
    <t>וייס, אהרן</t>
  </si>
  <si>
    <t>טהרת שמחה</t>
  </si>
  <si>
    <t>טוב דברך - 2 כר'</t>
  </si>
  <si>
    <t>טוב דעת - 6 כר'</t>
  </si>
  <si>
    <t>טוב הארץ - 2 כר'</t>
  </si>
  <si>
    <t>שולזינגר, טוביה בן שמואל</t>
  </si>
  <si>
    <t>טוב הארץ - הערות הגר"ב רוזנברג</t>
  </si>
  <si>
    <t>שולזינגר, טוביה בן שמואל- רוזנברג, ברוך</t>
  </si>
  <si>
    <t>טוב הארץ - סוד מצות מילה- קדושת הארץ - דרושי הרמ"ז &lt;מהדורה חדשה&gt;</t>
  </si>
  <si>
    <t>שפירא, נתן בן ראובן דוד טבל - זכות, משה בן מרדכי</t>
  </si>
  <si>
    <t>שפירא, נתן בן ראובן דוד טבל</t>
  </si>
  <si>
    <t>מועדי ישראל, נושאים שונים, קבלה, תפלות בקשות פיוטים ושירה</t>
  </si>
  <si>
    <t>טוב החיים - 12 כר'</t>
  </si>
  <si>
    <t>טוב החיים</t>
  </si>
  <si>
    <t>טור, חיים בן דוב</t>
  </si>
  <si>
    <t>טוב הלל</t>
  </si>
  <si>
    <t>טוב הפנינים - 2 כר'</t>
  </si>
  <si>
    <t>טוב הצפון - גיטין</t>
  </si>
  <si>
    <t>ישיבת מיר מודיעין עלית</t>
  </si>
  <si>
    <t>טוב ויפה</t>
  </si>
  <si>
    <t>טוב וישר</t>
  </si>
  <si>
    <t>טוב חן</t>
  </si>
  <si>
    <t>טוב טעם &lt;מכון הכתב&gt;</t>
  </si>
  <si>
    <t>מחשבה ומוסר, תלמוד בבלי, תלמוד בבלי, תנ"ך</t>
  </si>
  <si>
    <t>טוב טעם ודעת - 4 כר'</t>
  </si>
  <si>
    <t>תרי"ב - תר"ס</t>
  </si>
  <si>
    <t>טוב טעם</t>
  </si>
  <si>
    <t>אליהו בן אשר הלוי אשכנזי</t>
  </si>
  <si>
    <t>תלמוד בבלי, תנ"ך, תנ"ך</t>
  </si>
  <si>
    <t>טוב טעם - 2 כר'</t>
  </si>
  <si>
    <t>ווינקלר, מיכאל שלום</t>
  </si>
  <si>
    <t>טוב טעם - כריתות</t>
  </si>
  <si>
    <t>כץ, מנחם בן יצחק</t>
  </si>
  <si>
    <t>טוב יגאל</t>
  </si>
  <si>
    <t>Bardejov ברדיוב</t>
  </si>
  <si>
    <t>טוב ימים - 2 כר'</t>
  </si>
  <si>
    <t>פרלמן, יהונתן ישעיה טוביה בן יוסף</t>
  </si>
  <si>
    <t>טוב ירושלים</t>
  </si>
  <si>
    <t>בית המדרש פשעוורסק</t>
  </si>
  <si>
    <t>טוב לב על מגילת אסתר</t>
  </si>
  <si>
    <t>טוב להודות לה'</t>
  </si>
  <si>
    <t>הרבנד, יואל</t>
  </si>
  <si>
    <t>טוב להודות - על מזמור לתודה</t>
  </si>
  <si>
    <t>הרבסט, חיים בן שלום אליעזר</t>
  </si>
  <si>
    <t>טוב להודות</t>
  </si>
  <si>
    <t>סאמעט, יהודה טרייטל</t>
  </si>
  <si>
    <t>טוב להודות - 3 כר'</t>
  </si>
  <si>
    <t>טוב לזכרון</t>
  </si>
  <si>
    <t>קלאס, מרדכי זאב בן בנימין</t>
  </si>
  <si>
    <t>טוב לישראל</t>
  </si>
  <si>
    <t>סמאון, ש. ן' (מיוחס לו) - חיון , אליהו בן יצחק</t>
  </si>
  <si>
    <t>טוב לכת</t>
  </si>
  <si>
    <t>פראנקפורט, משה בן שמעון</t>
  </si>
  <si>
    <t>Amsterdam אמשטרדם</t>
  </si>
  <si>
    <t>טוב לקח</t>
  </si>
  <si>
    <t>בוכינגער, יונתן בנימין</t>
  </si>
  <si>
    <t>טוב מאד</t>
  </si>
  <si>
    <t>חיים בריש בן יעקב הכהן</t>
  </si>
  <si>
    <t>טוב מצרים - 3 כר'</t>
  </si>
  <si>
    <t>טוב משה</t>
  </si>
  <si>
    <t>ספר זכרון - אייזנשטיין, משה טוביה</t>
  </si>
  <si>
    <t>טוב נהורך</t>
  </si>
  <si>
    <t>טוב סחרה - 2 כר'</t>
  </si>
  <si>
    <t>קרויס, גבריאל</t>
  </si>
  <si>
    <t>מנשסתר</t>
  </si>
  <si>
    <t>טוב סחרה</t>
  </si>
  <si>
    <t>טוב עין הוא יבורך</t>
  </si>
  <si>
    <t>טוב עין - 2 כר'</t>
  </si>
  <si>
    <t>טוב עין</t>
  </si>
  <si>
    <t>הורוויץ, אלעזר משה בן חיים אריה הלוי</t>
  </si>
  <si>
    <t>ניימאן, אלתר יחיאל בן מרדכי מנחם</t>
  </si>
  <si>
    <t>טוב ציון</t>
  </si>
  <si>
    <t>טוב ראי - 4 כר'</t>
  </si>
  <si>
    <t>טוב רואי</t>
  </si>
  <si>
    <t>גרינהוט, דוד בן נתן</t>
  </si>
  <si>
    <t>טוב שם - 2 כר'</t>
  </si>
  <si>
    <t>אליקים בן נפתלי</t>
  </si>
  <si>
    <t>טוב תורה - פסח</t>
  </si>
  <si>
    <t>טוב</t>
  </si>
  <si>
    <t>טובה חכמה</t>
  </si>
  <si>
    <t>הדאיה, אריאל</t>
  </si>
  <si>
    <t>טובה ראייתה</t>
  </si>
  <si>
    <t>ישיבת קדש הלולים</t>
  </si>
  <si>
    <t>נושאים שונים, נושאים שונים, תולדות עם ישראל, תולדות עם ישראל, תפלות בקשות פיוטים ושירה</t>
  </si>
  <si>
    <t>טובה ראייתה - בפסוקי התורה</t>
  </si>
  <si>
    <t>טובה ראייתו -מסלונים עד טבריה</t>
  </si>
  <si>
    <t>סנדברג, יצחק מתתיהו - וינשטוק, יאיר (עורך)</t>
  </si>
  <si>
    <t>טובה תוכחת - משלי</t>
  </si>
  <si>
    <t>בוכבזה - אבי לחם, יצחק חי (גאגו) בן עמרם</t>
  </si>
  <si>
    <t>טובו אהליך</t>
  </si>
  <si>
    <t>טובות זכרונות</t>
  </si>
  <si>
    <t>כוכב לב, אברהם</t>
  </si>
  <si>
    <t>קוסטינר, יהודה ליב - האס, יוסף מאיר</t>
  </si>
  <si>
    <t>טובי החיים</t>
  </si>
  <si>
    <t>טובי העיר - הלכות נבחרי ציבור, תקנות ציבור, יחיד וציבור</t>
  </si>
  <si>
    <t>טוביה הרופא</t>
  </si>
  <si>
    <t>לווינסון, אברהם בן יהודה</t>
  </si>
  <si>
    <t>טובים השנים</t>
  </si>
  <si>
    <t>וועג, יהושע</t>
  </si>
  <si>
    <t>טובים השנים - 7 כר'</t>
  </si>
  <si>
    <t>טובים מאורות</t>
  </si>
  <si>
    <t>שטינמן, מאיר</t>
  </si>
  <si>
    <t>הלכה ומנהג, משנה, שלחן ערוך ומפרשיו</t>
  </si>
  <si>
    <t>טובת מראה</t>
  </si>
  <si>
    <t>אוחנא, רפאל בן חיים</t>
  </si>
  <si>
    <t>טוהר הלשון</t>
  </si>
  <si>
    <t>רוטשילד, שמואל</t>
  </si>
  <si>
    <t>טוהר המעשים</t>
  </si>
  <si>
    <t>טוטפת ותפילין</t>
  </si>
  <si>
    <t>טויזנט יאר אידיש לעבן אין אונגארן</t>
  </si>
  <si>
    <t>קולומבוס</t>
  </si>
  <si>
    <t>טועמיה חיים זכו</t>
  </si>
  <si>
    <t>טועמיה חיים זכו - 3 כר'</t>
  </si>
  <si>
    <t>תרפ"ד - תרפ"ז</t>
  </si>
  <si>
    <t>טועמיה חיים</t>
  </si>
  <si>
    <t>אלחדיף, חיים</t>
  </si>
  <si>
    <t>הכהן, חיים (אודותיו)</t>
  </si>
  <si>
    <t>טופס כתובות</t>
  </si>
  <si>
    <t>טופסי גיטין - צמידי זהב</t>
  </si>
  <si>
    <t>טופסי גיטין - כתובות, גיטין</t>
  </si>
  <si>
    <t>צורף, עזרא</t>
  </si>
  <si>
    <t>טור &lt;הרגיל&gt; - 7 כר'</t>
  </si>
  <si>
    <t>יעקב בן אשר (בעל הטורים)</t>
  </si>
  <si>
    <t>תרכ"א - תרכ"ח</t>
  </si>
  <si>
    <t>טור &lt;מכון שירת דבורה&gt; - 22 כר'</t>
  </si>
  <si>
    <t>טור &lt;אל המקורות - 7 כר'</t>
  </si>
  <si>
    <t>טור האבן</t>
  </si>
  <si>
    <t>אויערבאך, אליעזר בן ניסן</t>
  </si>
  <si>
    <t>טור יהלם</t>
  </si>
  <si>
    <t>טור יורה דעה - 2 כר'</t>
  </si>
  <si>
    <t>שצ"ה</t>
  </si>
  <si>
    <t>טור - 28 כר'</t>
  </si>
  <si>
    <t>תקע"ח - תקפ"ב</t>
  </si>
  <si>
    <t>מזיבוז Medzibezh</t>
  </si>
  <si>
    <t>טורי אבן &lt;ברכת צבי&gt; - חגיגה</t>
  </si>
  <si>
    <t>גינצבורג, אריה ליב בן אשר - איינשטטר, צבי</t>
  </si>
  <si>
    <t>טורי אבן &lt;מהדורה חדשה&gt; - ראש השנה</t>
  </si>
  <si>
    <t>טורי אבן &lt;מלואת אבן&gt; - 3 כר'</t>
  </si>
  <si>
    <t>טורי אבן - 2 כר'</t>
  </si>
  <si>
    <t>טיב גטין</t>
  </si>
  <si>
    <t>טיב גיטין וקידושין &lt;חלקי&gt;</t>
  </si>
  <si>
    <t>גוטליב, חיים יוסף בן יהודה אריה</t>
  </si>
  <si>
    <t>טיב גיטין וקידושין</t>
  </si>
  <si>
    <t>טיב גיטין</t>
  </si>
  <si>
    <t>טיב האמונה - 2 כר'</t>
  </si>
  <si>
    <t>רבינוביץ, גמליאל בן לוי הכהן</t>
  </si>
  <si>
    <t>טיב הברכה - 2 כר'</t>
  </si>
  <si>
    <t>אביטן, מיכאל בן נסים</t>
  </si>
  <si>
    <t>טיב ההגדה על הגדה של פסח</t>
  </si>
  <si>
    <t>טיב ההגדה - ג</t>
  </si>
  <si>
    <t>טיב ההלכה - או"ח</t>
  </si>
  <si>
    <t>טיב החסד</t>
  </si>
  <si>
    <t>טיב הכונות - 5 כר'</t>
  </si>
  <si>
    <t>טיב הליקוטים</t>
  </si>
  <si>
    <t>טיב המועדים - 3 כר'</t>
  </si>
  <si>
    <t>טיב הנחמה</t>
  </si>
  <si>
    <t>טיב הנסתר</t>
  </si>
  <si>
    <t>טיב הנרות</t>
  </si>
  <si>
    <t>טיב העבודה</t>
  </si>
  <si>
    <t>טיב הפורים</t>
  </si>
  <si>
    <t>טיב הפרשה - 5 כר'</t>
  </si>
  <si>
    <t>טיב הקהילה - 3 כר'</t>
  </si>
  <si>
    <t>טיב הרש"י - 5 כר'</t>
  </si>
  <si>
    <t>מכון הטיב</t>
  </si>
  <si>
    <t>טיב השבוע - מאמרים</t>
  </si>
  <si>
    <t>טיב השידוכים</t>
  </si>
  <si>
    <t>טיב התהילות</t>
  </si>
  <si>
    <t>טיב התורה - 6 כר'</t>
  </si>
  <si>
    <t>טיב התחזקות - ב</t>
  </si>
  <si>
    <t>טיב התפילה - 2 כר'</t>
  </si>
  <si>
    <t>טיב התפילה</t>
  </si>
  <si>
    <t>טיב התשובה</t>
  </si>
  <si>
    <t>טיב חליצה - 2 כר'</t>
  </si>
  <si>
    <t>טיב לשון הקודש</t>
  </si>
  <si>
    <t>טיב מירון</t>
  </si>
  <si>
    <t>טיב קדושין &lt;מהדורה חדשה&gt; - 2 כר'</t>
  </si>
  <si>
    <t>טיב קדושין - 2 כר'</t>
  </si>
  <si>
    <t>טיב קידושין</t>
  </si>
  <si>
    <t>טיב שמות גיטין</t>
  </si>
  <si>
    <t>טיול בגן</t>
  </si>
  <si>
    <t>שנור, נתנאל בן גרשון יצחק</t>
  </si>
  <si>
    <t>טיול בפרד"ס בפרק אין דורשין</t>
  </si>
  <si>
    <t>קליגר, איסר</t>
  </si>
  <si>
    <t>טיול בפרדס - 2 כר'</t>
  </si>
  <si>
    <t>תרצ"ט - תש"ב</t>
  </si>
  <si>
    <t>שימלוי Simleul Silv</t>
  </si>
  <si>
    <t>טיול בשבילי החיים</t>
  </si>
  <si>
    <t>טיול הגן</t>
  </si>
  <si>
    <t>שלמה בן בצלאל</t>
  </si>
  <si>
    <t>טיט היון - 2 כר'</t>
  </si>
  <si>
    <t>שמואל פייבוש בן נתן פייטל</t>
  </si>
  <si>
    <t>טיסה נעימה</t>
  </si>
  <si>
    <t>נושאים שונים, ספריית חב"ד</t>
  </si>
  <si>
    <t>טיסמעניץ - ספר יזכור</t>
  </si>
  <si>
    <t>טיפ טיפה מן הים - 6 כר'</t>
  </si>
  <si>
    <t>בורגר, טוביה אברהם בן שמואל</t>
  </si>
  <si>
    <t>דרושים, משנה, תלמוד בבלי, תלמוד בבלי, תלמוד בבלי, תלמוד ירושלמי</t>
  </si>
  <si>
    <t>טיפה מן הדבש</t>
  </si>
  <si>
    <t>שטרנבוך, בנימין</t>
  </si>
  <si>
    <t>טיפול בפצע בשבת</t>
  </si>
  <si>
    <t>פרל, ב.</t>
  </si>
  <si>
    <t>טיקטין - פנקס טיקטין</t>
  </si>
  <si>
    <t>טירת כסף - ב</t>
  </si>
  <si>
    <t>בית מדרש גבוה להוראה</t>
  </si>
  <si>
    <t>טירת הכרמל</t>
  </si>
  <si>
    <t>טירת כסף</t>
  </si>
  <si>
    <t>גאטינייו, חיים אברהם בן חיים בנבנישתי</t>
  </si>
  <si>
    <t>דרושים, תנ"ך, תנ"ך</t>
  </si>
  <si>
    <t>כ"ץ, יואל בן מאיר</t>
  </si>
  <si>
    <t>פרידמאן, משה בן יהושע</t>
  </si>
  <si>
    <t>קרנגיל, מנחם מנדל בן יוסף פינחס</t>
  </si>
  <si>
    <t>טל אורות &lt;מהדורת אור ודרך&gt; - 2 כר'</t>
  </si>
  <si>
    <t>בן ג'וייא, יוסף</t>
  </si>
  <si>
    <t>טל אורות &lt;הקדמון&gt; - 2 כר'</t>
  </si>
  <si>
    <t>שאול בן דוד</t>
  </si>
  <si>
    <t>שע"ה הס'</t>
  </si>
  <si>
    <t>טל אורות &lt;קובץ&gt; - 8 כר'</t>
  </si>
  <si>
    <t>שניאור, דוד בן משה (עורך)</t>
  </si>
  <si>
    <t>טל אורות &lt;מהדורה חדשה&gt;</t>
  </si>
  <si>
    <t>טל אורות</t>
  </si>
  <si>
    <t>נושאים שונים, שאלות ותשובות, תלמוד בבלי, תלמוד בבלי, תנ"ך, תנ"ך</t>
  </si>
  <si>
    <t>טל אורות - החזקת תורה</t>
  </si>
  <si>
    <t>ברדא, דוד בן ישראל</t>
  </si>
  <si>
    <t>טל אורות - 3 כר'</t>
  </si>
  <si>
    <t>תש"ח - תשי"ג</t>
  </si>
  <si>
    <t>טובול, יחייא</t>
  </si>
  <si>
    <t>טל אורות - 2 כר'</t>
  </si>
  <si>
    <t>טירנויאר, זאב וולף הלוי</t>
  </si>
  <si>
    <t>תשט"ו - תשי"ח</t>
  </si>
  <si>
    <t>למבערג</t>
  </si>
  <si>
    <t>שירים קדמוניים</t>
  </si>
  <si>
    <t>טל אורות - 4 כר'</t>
  </si>
  <si>
    <t>תרל"ה - תרמ"ג</t>
  </si>
  <si>
    <t>משנה, קבלה</t>
  </si>
  <si>
    <t>טל אמרתי</t>
  </si>
  <si>
    <t>טל אמרתי - חורש</t>
  </si>
  <si>
    <t>דואר, טל בן יאיר</t>
  </si>
  <si>
    <t>טובי, זכריה</t>
  </si>
  <si>
    <t>טל ברכות</t>
  </si>
  <si>
    <t>בראלי, מאיר בן מרדכי אליהו</t>
  </si>
  <si>
    <t>טל דוד - 2 כר'</t>
  </si>
  <si>
    <t>שפיגל, יואל דוד</t>
  </si>
  <si>
    <t>טל דשא - 2 כר'</t>
  </si>
  <si>
    <t>שפירא, אליעזר דוד</t>
  </si>
  <si>
    <t>טל השמים</t>
  </si>
  <si>
    <t>בראט, ישעיה בן שמואל הלוי</t>
  </si>
  <si>
    <t>[תרפ"ט,</t>
  </si>
  <si>
    <t>ברוט, ישעיה בן שמואל הלוי</t>
  </si>
  <si>
    <t>טל חיים &lt;באנגלית&gt;</t>
  </si>
  <si>
    <t>טל, שמואל</t>
  </si>
  <si>
    <t>טל חיים &lt;מהדורה חדשה&gt;</t>
  </si>
  <si>
    <t>טל חיים והברכה</t>
  </si>
  <si>
    <t>טל חיים - תמורה</t>
  </si>
  <si>
    <t>הרשלר, חיים טודרוס בן אברהם ישראל</t>
  </si>
  <si>
    <t>טל חיים - מלאכות שבת</t>
  </si>
  <si>
    <t>טל חיים - סנהדרין</t>
  </si>
  <si>
    <t>טירנויער, חיים הלוי</t>
  </si>
  <si>
    <t>טל חיים - 9 כר'</t>
  </si>
  <si>
    <t>טל חיים</t>
  </si>
  <si>
    <t>סגל, חיים בן דב בער</t>
  </si>
  <si>
    <t>טל חיים - א</t>
  </si>
  <si>
    <t>קובץ כולל שארית דוד</t>
  </si>
  <si>
    <t>טל חרמון</t>
  </si>
  <si>
    <t>טל ילדות</t>
  </si>
  <si>
    <t>סיאני, דוד בן שמעון</t>
  </si>
  <si>
    <t>טל ילדותך</t>
  </si>
  <si>
    <t>סילברמן, יוסף יצחק</t>
  </si>
  <si>
    <t>טל ירושלים</t>
  </si>
  <si>
    <t>הורנשטיין, יהודא לייב</t>
  </si>
  <si>
    <t>טל לישראל - א</t>
  </si>
  <si>
    <t>ביטון, ישראל מאיר בן שמעון חנניה</t>
  </si>
  <si>
    <t>טל לישראל</t>
  </si>
  <si>
    <t>גנס, ישראל</t>
  </si>
  <si>
    <t>טל לישראל - 8 כר'</t>
  </si>
  <si>
    <t>גרבר, ישראל בן אליהו בן ציון</t>
  </si>
  <si>
    <t>טל לישראל - 2 כר'</t>
  </si>
  <si>
    <t>טל נתן</t>
  </si>
  <si>
    <t>טל שבת</t>
  </si>
  <si>
    <t>טל שחקים</t>
  </si>
  <si>
    <t>קורב, חיים יצחק בן שאול</t>
  </si>
  <si>
    <t>טל של תחיה - ב (זכרון דוד)</t>
  </si>
  <si>
    <t>אולשוואנג, דוד יעקב בן יחיאל מיכל</t>
  </si>
  <si>
    <t>טל תורה &lt;מהדורה חדשה&gt;</t>
  </si>
  <si>
    <t>טל תורה - 2 כר'</t>
  </si>
  <si>
    <t>טל תורה</t>
  </si>
  <si>
    <t>פרלמן, אליהו ברוך</t>
  </si>
  <si>
    <t>טל תורה - בסוגיות הש"ס</t>
  </si>
  <si>
    <t>טל תחיה</t>
  </si>
  <si>
    <t>טלא דבדולחא</t>
  </si>
  <si>
    <t>כהן, נתנאל</t>
  </si>
  <si>
    <t>טלה חלב</t>
  </si>
  <si>
    <t>שמואלי, עודד</t>
  </si>
  <si>
    <t>טלטולי שבת</t>
  </si>
  <si>
    <t>בונדר, ישראל פנחס</t>
  </si>
  <si>
    <t>טלי נחמיה</t>
  </si>
  <si>
    <t>טלית קטן</t>
  </si>
  <si>
    <t>רוקיס, עמנואל בן דוד אליהו</t>
  </si>
  <si>
    <t>טללי אורות &lt;מהדורה חדשה&gt;</t>
  </si>
  <si>
    <t>קלר, משה אורי בן שלום</t>
  </si>
  <si>
    <t>טללי אורות &lt;ביאורי תפילה&gt; - 4 כר'</t>
  </si>
  <si>
    <t>רובין, יששכר דוב בן שאול</t>
  </si>
  <si>
    <t>טללי אורות &lt;על מועדי השנה&gt; - 7 כר'</t>
  </si>
  <si>
    <t>טללי אורות &lt;על פרשיות התורה&gt; - 10 כר'</t>
  </si>
  <si>
    <t>טללי אורות &lt;שנים מקרא&gt; - 5 כר'</t>
  </si>
  <si>
    <t>טללי אורות על תהלים</t>
  </si>
  <si>
    <t>טללי אורות</t>
  </si>
  <si>
    <t>טללי ברכה - ברכת אירוסין ושבע ברכות</t>
  </si>
  <si>
    <t>ישיבה דחסידי בעלזא מכנובקא</t>
  </si>
  <si>
    <t>טללי חכמה</t>
  </si>
  <si>
    <t>טללי טהר - נדה</t>
  </si>
  <si>
    <t>טללי מדרש</t>
  </si>
  <si>
    <t>דוראס-כהן, שלמה</t>
  </si>
  <si>
    <t>טללי שמואל - דיני המורדת</t>
  </si>
  <si>
    <t>טולידאנו, שמואל בן אברהם</t>
  </si>
  <si>
    <t>טללי שנה</t>
  </si>
  <si>
    <t>שפירא, נתן בן זכריה</t>
  </si>
  <si>
    <t>טנא דקשייתא</t>
  </si>
  <si>
    <t>טנא פירות העמל - 11 כר'</t>
  </si>
  <si>
    <t>שטיינמץ, זאב</t>
  </si>
  <si>
    <t>טנא</t>
  </si>
  <si>
    <t>גוטמכר, שרגא</t>
  </si>
  <si>
    <t>טעטיקייס באריכט פון אגודת הרבנים</t>
  </si>
  <si>
    <t>אגודת הרבנים ליטא</t>
  </si>
  <si>
    <t>ליטא</t>
  </si>
  <si>
    <t>טעטש - תפוח, קובץ שמות ופרטים מתולדות קהילת טעטש</t>
  </si>
  <si>
    <t>טעם ברוך &lt;מהדורה חדשה&gt;</t>
  </si>
  <si>
    <t>לייזרובסקי, ברוך בן שרגא הלוי</t>
  </si>
  <si>
    <t>טעם ברוך</t>
  </si>
  <si>
    <t>טעם הצבי - 8 כר'</t>
  </si>
  <si>
    <t>אברמוביץ, צבי יצחק בן יהודה מאיר</t>
  </si>
  <si>
    <t>טעם הצבי - 4 כר'</t>
  </si>
  <si>
    <t>טעם ודעת</t>
  </si>
  <si>
    <t>ג'אנם, אליהו בן סעדיה</t>
  </si>
  <si>
    <t>תרע"ז-תרע"ח</t>
  </si>
  <si>
    <t>לבל, אהרן חיים</t>
  </si>
  <si>
    <t>טעם ודעת - 2 כר'</t>
  </si>
  <si>
    <t>פישהוף, יחיאל בן שמואל</t>
  </si>
  <si>
    <t>טעם ודעת - 3 כר'</t>
  </si>
  <si>
    <t>טעם זקנים</t>
  </si>
  <si>
    <t>אשכנזי, אליעזר, מתוניס</t>
  </si>
  <si>
    <t>מחשבה ומוסר, מחשבה ומוסר, נושאים שונים, קבצים וכתבי עת, ספרי זכרון ויובל</t>
  </si>
  <si>
    <t>טעם חן</t>
  </si>
  <si>
    <t>טעם למוסף תקנת שבת</t>
  </si>
  <si>
    <t>יוסף בן אברהם הכהן</t>
  </si>
  <si>
    <t>טעם לעיקר</t>
  </si>
  <si>
    <t>אדלר, צבי יצחק הכהן בן גבריאל</t>
  </si>
  <si>
    <t>טעם לש"ד</t>
  </si>
  <si>
    <t>טעם לשבח</t>
  </si>
  <si>
    <t>וולפא, מנחם מנדל בן אליעזר הלוי</t>
  </si>
  <si>
    <t>טעם לשבח - 2 כר'</t>
  </si>
  <si>
    <t>טולידאנו, שאול בן שמואל</t>
  </si>
  <si>
    <t>טעם לשבח - ברכת האילנות</t>
  </si>
  <si>
    <t>ספיר, משה</t>
  </si>
  <si>
    <t>טעם ריבית</t>
  </si>
  <si>
    <t>שרייבר, יששכר דב</t>
  </si>
  <si>
    <t>טעמא דהלכתא</t>
  </si>
  <si>
    <t>הרמן, פנחס צבי בן שמואל דוד</t>
  </si>
  <si>
    <t>תדנ"ד</t>
  </si>
  <si>
    <t>טעמא דקרא - 2 כר'</t>
  </si>
  <si>
    <t>הלכה ומנהג, מועדי ישראל, תנ"ך, תנ"ך, תנ"ך</t>
  </si>
  <si>
    <t>טעמו וראו - 2 כר'</t>
  </si>
  <si>
    <t>בן סימון, אהרן</t>
  </si>
  <si>
    <t>טעמו וראו - 4 כר'</t>
  </si>
  <si>
    <t>בעילום שם - שלז, צבי בן בן-ציון</t>
  </si>
  <si>
    <t>טעמו וראו</t>
  </si>
  <si>
    <t>הולס, בנימין</t>
  </si>
  <si>
    <t>טעמו וראו - איסור והיתר</t>
  </si>
  <si>
    <t>חזן, דוד בן אברהם</t>
  </si>
  <si>
    <t>טעמי הטעמים</t>
  </si>
  <si>
    <t>יצחק בן יעקב הכהן</t>
  </si>
  <si>
    <t>טעמי המנהגים &lt;אידיש&gt; - 2 כר'</t>
  </si>
  <si>
    <t>שפרלינג, אברהם יצחק</t>
  </si>
  <si>
    <t>טעמי המנהגים - א</t>
  </si>
  <si>
    <t>טעמי המסורה</t>
  </si>
  <si>
    <t>יעקב בן יצחק מצויזמיר</t>
  </si>
  <si>
    <t>תי"א</t>
  </si>
  <si>
    <t>טעמי המצוות</t>
  </si>
  <si>
    <t>ראפל, דוב בן מנחם</t>
  </si>
  <si>
    <t>טעמי המצות &lt;ליקוטי דודאים&gt;</t>
  </si>
  <si>
    <t>עזרא מגירונה (משה בן נחמן (רמב"ן) מיוחס בטעות)</t>
  </si>
  <si>
    <t>קליולנד</t>
  </si>
  <si>
    <t>טעמי המצות - 3 כר'</t>
  </si>
  <si>
    <t>אביכזר, שלמה</t>
  </si>
  <si>
    <t>תשמ"ד - תשמ"ז</t>
  </si>
  <si>
    <t>טעמי המצות</t>
  </si>
  <si>
    <t>יוסף, בנימין</t>
  </si>
  <si>
    <t>לאנדא, יהודה בן חיים</t>
  </si>
  <si>
    <t>טעמי המצות - 4 כר'</t>
  </si>
  <si>
    <t>שנפלד, אברהם  - הבלין שלמה</t>
  </si>
  <si>
    <t>טעמי המקרא בהלכה ובאגדה - 5 כר'</t>
  </si>
  <si>
    <t>פישר, זלמן</t>
  </si>
  <si>
    <t>טעמי המקרא</t>
  </si>
  <si>
    <t>אבו אלפראג' הרון</t>
  </si>
  <si>
    <t>בן עטר, מימון</t>
  </si>
  <si>
    <t>טעמי המשניות - 5 כר'</t>
  </si>
  <si>
    <t>קרמר, ניסן ברוך בן משה אליעזר</t>
  </si>
  <si>
    <t>טעמי השחיטה</t>
  </si>
  <si>
    <t>אלעסרי, מכלוף</t>
  </si>
  <si>
    <t>טעמי התורה - בראשית</t>
  </si>
  <si>
    <t>טעמי וסודות התפילות להושענות ופיוטי שמח"ת</t>
  </si>
  <si>
    <t>טעמי זבחים</t>
  </si>
  <si>
    <t>בריזל, משה בן ישראל זאב</t>
  </si>
  <si>
    <t>טעמי מסורת המקרא</t>
  </si>
  <si>
    <t>טעמי מסורת</t>
  </si>
  <si>
    <t>מייזל, יהודה ליב בן שמחה בונם</t>
  </si>
  <si>
    <t>טעמי מצות - 3 כר'</t>
  </si>
  <si>
    <t>מנחם בן משה הבבלי</t>
  </si>
  <si>
    <t>טעמי סוכה</t>
  </si>
  <si>
    <t>האנובר, נתן נטע בן משה</t>
  </si>
  <si>
    <t>טעמי ספר החינוך</t>
  </si>
  <si>
    <t>שונמאכר, דוד</t>
  </si>
  <si>
    <t>טעמי תורה</t>
  </si>
  <si>
    <t>ברד"ח, ישראל יצחק בן חיים משה</t>
  </si>
  <si>
    <t>כהנא, אליעזר בן ראובן</t>
  </si>
  <si>
    <t>טעמים ומשמעותם במקרא - א</t>
  </si>
  <si>
    <t>טעמים וניקוד</t>
  </si>
  <si>
    <t>וינברג, אברהם</t>
  </si>
  <si>
    <t>טפה מן הים</t>
  </si>
  <si>
    <t>תש"ך,</t>
  </si>
  <si>
    <t>טקסטים ומחקרים - גאונים ראשונים</t>
  </si>
  <si>
    <t>מאן, יעקב בן ניסן</t>
  </si>
  <si>
    <t>נושאים שונים, נושאים שונים, קבצים וכתבי עת, ספרי זכרון ויובל, שאלות ותשובות, תולדות עם ישראל</t>
  </si>
  <si>
    <t>טראבלס של מעלה - 60 כר'</t>
  </si>
  <si>
    <t>בטאון תורני למורשת יהודת לוב</t>
  </si>
  <si>
    <t>טרנופול - אנציקלופדיה של גלויות</t>
  </si>
  <si>
    <t>ירושלים - תל אביב</t>
  </si>
  <si>
    <t>טשענגר, פורצלמה וסביבתה - ספר יזכור</t>
  </si>
  <si>
    <t>י"ב דרשות לריב"א</t>
  </si>
  <si>
    <t>י"ג מאמרות</t>
  </si>
  <si>
    <t>דרושים, דרושים, הלכה ומנהג, הלכה ומנהג, מחשבה ומוסר, נושאים שונים</t>
  </si>
  <si>
    <t>י"ג מידות של רחמים</t>
  </si>
  <si>
    <t>לנדאו, משה דוד יחזקאל</t>
  </si>
  <si>
    <t>י"ג עיקרי האמונה עם פירוש חזון יואל</t>
  </si>
  <si>
    <t>ספרקה, יואל יעקב</t>
  </si>
  <si>
    <t>י"ג עיקרים להרמב"ם עם ביאור הקדמות ושערים</t>
  </si>
  <si>
    <t>אפשטיין, בן ציון בן שלמה</t>
  </si>
  <si>
    <t>יאודה יעלה</t>
  </si>
  <si>
    <t>קובו, יהודה בן אברהם</t>
  </si>
  <si>
    <t>יאיר אור - 2 כר'</t>
  </si>
  <si>
    <t>יאיר אור</t>
  </si>
  <si>
    <t>פרנקל, יאיר בן ישעיהו</t>
  </si>
  <si>
    <t>יאיר דעת - 2 כר'</t>
  </si>
  <si>
    <t>יאיר דרך - פרק ארבעה אבות</t>
  </si>
  <si>
    <t>בלוך, יאיר יעקב</t>
  </si>
  <si>
    <t>יאיר הבוקר - ביאור תפילת נשמת</t>
  </si>
  <si>
    <t>יאיר השולחן - 2 כר'</t>
  </si>
  <si>
    <t>וסרטיל, יאיר</t>
  </si>
  <si>
    <t>יאיר חיים</t>
  </si>
  <si>
    <t>רוקח, יאיר חיים ישראל</t>
  </si>
  <si>
    <t>יאיר מבין</t>
  </si>
  <si>
    <t>בן נון, יוסף רפאל בן יעקב</t>
  </si>
  <si>
    <t>יאיר משפט - 2 כר'</t>
  </si>
  <si>
    <t>בן מנחם, יאיר יהודה בן דוד</t>
  </si>
  <si>
    <t>יאיר נרי</t>
  </si>
  <si>
    <t>יאיר נתיב &lt;דברי מרדכי&gt;</t>
  </si>
  <si>
    <t>יאיר נתיב &lt;מהדורת ישמח לב&gt;</t>
  </si>
  <si>
    <t>יאיר נתיב</t>
  </si>
  <si>
    <t>חסידות, מחשבה ומוסר, נושאים שונים, קבלה</t>
  </si>
  <si>
    <t>יאיר נתיב - א</t>
  </si>
  <si>
    <t>חזן, יאיר</t>
  </si>
  <si>
    <t>מכון שלהבת - טשערנוביל</t>
  </si>
  <si>
    <t>יאיר נתיבות - 3 כר'</t>
  </si>
  <si>
    <t>יאיר נתיבות - 2 כר'</t>
  </si>
  <si>
    <t>יאיר נתיבים</t>
  </si>
  <si>
    <t>אהרנסון, ישראל יהודה בן יהושע משה</t>
  </si>
  <si>
    <t>יאיר שיח - ביאורי תפילה</t>
  </si>
  <si>
    <t>יאיר שמשי - 2 כר'</t>
  </si>
  <si>
    <t>יאירו שבעת הנרות</t>
  </si>
  <si>
    <t>יאכלו ענוים וישבעו - 2 כר'</t>
  </si>
  <si>
    <t>מעון</t>
  </si>
  <si>
    <t>יאמר בספר - בכורות</t>
  </si>
  <si>
    <t>זייבלד, משה</t>
  </si>
  <si>
    <t>יאמר ליעקב ולישראל</t>
  </si>
  <si>
    <t>קנייבסקי, יעקב ישראל - טברסקי אברהם יהושע העשיל</t>
  </si>
  <si>
    <t>יאמרו גאולי ה' - 3 כר'</t>
  </si>
  <si>
    <t>יאמרו המושלים - 8 כר'</t>
  </si>
  <si>
    <t>גלר, יצחק דוד</t>
  </si>
  <si>
    <t>יאמרו המושלים</t>
  </si>
  <si>
    <t>עמיר, יצחק דוד</t>
  </si>
  <si>
    <t>יאר ה'</t>
  </si>
  <si>
    <t>רותן, יהודה אריה בן זאב</t>
  </si>
  <si>
    <t>יאר הפסיק - לבאר הפסיקים שבתורה</t>
  </si>
  <si>
    <t>יאר יעקב</t>
  </si>
  <si>
    <t>ניסן, יעקב ישראל בן אמנון</t>
  </si>
  <si>
    <t>יאר יצחק</t>
  </si>
  <si>
    <t>לוי, יצחק נתן</t>
  </si>
  <si>
    <t>יאר פנים - עבודה זרה</t>
  </si>
  <si>
    <t>רוט, יחיאל אהרן בן צבי אביגדור</t>
  </si>
  <si>
    <t>יבא הלוי</t>
  </si>
  <si>
    <t>יוסף בן אליהו הלוי</t>
  </si>
  <si>
    <t>דרושים, הלכה ומנהג, שאלות ותשובות, שלחן ערוך ומפרשיו, תלמוד בבלי, תלמוד בבלי, תלמוד בבלי, תנ"ך</t>
  </si>
  <si>
    <t>יבא חיים - 2 כר'</t>
  </si>
  <si>
    <t>גרינוואלד, יהודה בן חיים</t>
  </si>
  <si>
    <t>תרע"ז - תרע"ח</t>
  </si>
  <si>
    <t>יבא ידיד - א</t>
  </si>
  <si>
    <t>זעפרני, שלמה ידידיה - בן יהוידע, יצחק מאיד</t>
  </si>
  <si>
    <t>יבא ידיד - ב</t>
  </si>
  <si>
    <t>זעפרני, שלמה ידידיה - בן יהוידע, יצחק מאיר</t>
  </si>
  <si>
    <t>יבא שילה</t>
  </si>
  <si>
    <t>הורוויץ, ישעיה בן אשר יחזקאל הלוי</t>
  </si>
  <si>
    <t>דרושים, הלכה ומנהג, שאלות ותשובות, תולדות עם ישראל</t>
  </si>
  <si>
    <t>יבא שילה - שבת קודש</t>
  </si>
  <si>
    <t>יבא שילה - 2 כר'</t>
  </si>
  <si>
    <t>שרעבי, זכריה יחיאל בן אביגד</t>
  </si>
  <si>
    <t>יבול היובלות</t>
  </si>
  <si>
    <t>ישיבת רי"א</t>
  </si>
  <si>
    <t>יבולי השדה - א</t>
  </si>
  <si>
    <t>רווח, שניאור זלמן - אביטן, דוד</t>
  </si>
  <si>
    <t>יבולי רון</t>
  </si>
  <si>
    <t>שרון, רון נחמן בן שלמה</t>
  </si>
  <si>
    <t>יבורך גבר</t>
  </si>
  <si>
    <t>ברהנץ, מבורך בן משה</t>
  </si>
  <si>
    <t>יבחר וידבש</t>
  </si>
  <si>
    <t>דיין, יונתן בן חברון</t>
  </si>
  <si>
    <t>יבין דעה</t>
  </si>
  <si>
    <t>הכהן, ישראל יצחק</t>
  </si>
  <si>
    <t>יבין דעת &lt;חסדי אבות - גרם המעלות&gt;</t>
  </si>
  <si>
    <t>טרונק, ישראל יהושע בן דוד - טרונק, יצחק יהודה בן פנחס דוד</t>
  </si>
  <si>
    <t>שלחן ערוך ומפרשיו, שלחן ערוך ומפרשיו, תלמוד בבלי</t>
  </si>
  <si>
    <t>יבין שמועה &lt;מהדורת אהבת שלום&gt;</t>
  </si>
  <si>
    <t>בירדוגו, יוסף בן אלישע</t>
  </si>
  <si>
    <t>הלכה ומנהג, קבלה, שאלות ותשובות, תלמוד בבלי</t>
  </si>
  <si>
    <t>יבין שמועה &lt;מהדורה חדשה&gt;</t>
  </si>
  <si>
    <t>יבין שמועה &lt;מכון שלמה אומן&gt;</t>
  </si>
  <si>
    <t>יבין שמועה - יורה דעה</t>
  </si>
  <si>
    <t>ביין, מרדכי יהודה בן קלמן</t>
  </si>
  <si>
    <t>יבין שמועה - 2 כר'</t>
  </si>
  <si>
    <t>יבין שמועה</t>
  </si>
  <si>
    <t>ברינגר, נתן בן יהודה</t>
  </si>
  <si>
    <t>יבין שמועה - 3 כר'</t>
  </si>
  <si>
    <t>יבין שמועה - פסקי הלכות</t>
  </si>
  <si>
    <t>נתן, יובל</t>
  </si>
  <si>
    <t>שרייבר, שמעון בן אברהם שמואל בנימין</t>
  </si>
  <si>
    <t>יביע אומר</t>
  </si>
  <si>
    <t>גולדשטיין, משה דוד בן יהודה ליב הכהן</t>
  </si>
  <si>
    <t>יבמה כאשת איש</t>
  </si>
  <si>
    <t>מורבסקי, אילן</t>
  </si>
  <si>
    <t>עלי</t>
  </si>
  <si>
    <t>יבנה המקדש</t>
  </si>
  <si>
    <t>ברעוודה, שלמה</t>
  </si>
  <si>
    <t>יבנה - ב [ד-ו]</t>
  </si>
  <si>
    <t>תש"ו - תש"ט</t>
  </si>
  <si>
    <t>פביאניץ Pabianice</t>
  </si>
  <si>
    <t>יבקש תורה - 9 כר'</t>
  </si>
  <si>
    <t>קויפמן, יצחק בן שמעון</t>
  </si>
  <si>
    <t>יבקשו תורה מפיהו</t>
  </si>
  <si>
    <t>יברך את עמו בשלום</t>
  </si>
  <si>
    <t>יברך ישראל - 26 כר'</t>
  </si>
  <si>
    <t>בינשטוק, אברהם יונה</t>
  </si>
  <si>
    <t>יברך ישראל - 6 כר'</t>
  </si>
  <si>
    <t>כהן, ישראל</t>
  </si>
  <si>
    <t>יברכך ה' - 4 כר'</t>
  </si>
  <si>
    <t>רוטלוי, אליעזר שלום בן ירוחם הכהן</t>
  </si>
  <si>
    <t>יבשר טוב</t>
  </si>
  <si>
    <t>יגדיל תורה &lt;אודסה&gt; - 4 כר'</t>
  </si>
  <si>
    <t>יגדיל תורה</t>
  </si>
  <si>
    <t>Odessa אודסה</t>
  </si>
  <si>
    <t>קבצים וכתבי עת, ספרי זכרון ויובל, שאלות ותשובות, תלמוד בבלי</t>
  </si>
  <si>
    <t>יגדיל תורה &lt;הרב אבמרסקי&gt; - 2 כר'</t>
  </si>
  <si>
    <t>יגדיל תורה &lt;סלוצק&gt; - 7 כר'</t>
  </si>
  <si>
    <t>תרס"ט -</t>
  </si>
  <si>
    <t>יגדיל תורה &lt;לונדון&gt; - 34 כר'</t>
  </si>
  <si>
    <t>עורך: הלפרין, אלחנן</t>
  </si>
  <si>
    <t>יגדיל תורה &lt;ורשא&gt; - 5 כר'</t>
  </si>
  <si>
    <t>קובץ רבני תלמודי פלפולי</t>
  </si>
  <si>
    <t>אקרמאן, ישראל חיים</t>
  </si>
  <si>
    <t>יגדיל תורה - 6 כר'</t>
  </si>
  <si>
    <t>תרע"ו - תרע"ז</t>
  </si>
  <si>
    <t>יגדיל תורה - 2 כר'</t>
  </si>
  <si>
    <t>לודמיר, משה מנחם</t>
  </si>
  <si>
    <t>יגדיל תורה - זכרון יהודה</t>
  </si>
  <si>
    <t>מונק, יהודה ליבוש בן יהושע גרשון</t>
  </si>
  <si>
    <t>יגיה שביב - 1</t>
  </si>
  <si>
    <t>חשין, אליעזר</t>
  </si>
  <si>
    <t>יגיעות מרדכי - 4 כר'</t>
  </si>
  <si>
    <t>גארפיל, מרדכי בן צבי הירש</t>
  </si>
  <si>
    <t>תרס"ז - תרצ"ד</t>
  </si>
  <si>
    <t>יגיעת מרדכי</t>
  </si>
  <si>
    <t>קוסובסקי, מרדכי בן שאול</t>
  </si>
  <si>
    <t>יגיעת שמואל</t>
  </si>
  <si>
    <t>אופנהיים, שמואל בן יהודה ליב</t>
  </si>
  <si>
    <t>יגל חזון</t>
  </si>
  <si>
    <t>כ"ץ, אברהם יצחק (עורך)</t>
  </si>
  <si>
    <t>יגל יעקב &lt;המבואר&gt;</t>
  </si>
  <si>
    <t>יגל יעקב &lt;מהדורה חדשה&gt; - 2 כר'</t>
  </si>
  <si>
    <t>גוטליב, חיים מרדכי יעקב בן אברהם</t>
  </si>
  <si>
    <t>יגל יעקב &lt;על התורה&gt; - 2 כר'</t>
  </si>
  <si>
    <t>יגל יעקב ע"פ אברהם יגל</t>
  </si>
  <si>
    <t>אביחצירא, יעקב בן מסעוד - חפוטא, אברהם</t>
  </si>
  <si>
    <t>יגל יעקב - 2 כר'</t>
  </si>
  <si>
    <t>אופמן, יעקב צבי בן אברהם חיים</t>
  </si>
  <si>
    <t>יגל יעקב</t>
  </si>
  <si>
    <t>אקער, יעקב ישראל בן יוסף</t>
  </si>
  <si>
    <t>שאר ספרי חז"ל, תלמוד בבלי, תפלות בקשות פיוטים ושירה</t>
  </si>
  <si>
    <t>בורלא, יעקב חי בן יהודה</t>
  </si>
  <si>
    <t>בן-שבת, יעקב בן יחיא הלוי</t>
  </si>
  <si>
    <t>יגל יעקב - 3 כר'</t>
  </si>
  <si>
    <t>ווארשאנו, חיים יעקב בן יוסף</t>
  </si>
  <si>
    <t>תרס"ו הס'</t>
  </si>
  <si>
    <t>תפלינסקי, יעקב גדליה בן נתנאל</t>
  </si>
  <si>
    <t>יגל לבי - 3 כר'</t>
  </si>
  <si>
    <t>הלכה ומנהג, חסידות, מועדי ישראל</t>
  </si>
  <si>
    <t>יגל לבנו</t>
  </si>
  <si>
    <t>אלון, יגאל בן אליעזר</t>
  </si>
  <si>
    <t>יגעת ומצאת</t>
  </si>
  <si>
    <t>יד אב - 2 כר'</t>
  </si>
  <si>
    <t>בלוך, דניאל בן אברהם</t>
  </si>
  <si>
    <t>יד אב - תורה</t>
  </si>
  <si>
    <t>בלוך, דניאל יהודה בן אברהם</t>
  </si>
  <si>
    <t>יד אבי שלום</t>
  </si>
  <si>
    <t>יוסף שלום בן דוד</t>
  </si>
  <si>
    <t>יד אבישלום</t>
  </si>
  <si>
    <t>יד אברהם</t>
  </si>
  <si>
    <t>גבאי-איזידרו, אברהם</t>
  </si>
  <si>
    <t>גולדשטיין, אברהם</t>
  </si>
  <si>
    <t>יד אברהם - 6 כר'</t>
  </si>
  <si>
    <t>טנזר, יחיאל דוב בן אברהם חיים</t>
  </si>
  <si>
    <t>יד אהרן &lt;מהדורה חדשה&gt; דרוש שבת הגדול</t>
  </si>
  <si>
    <t>טויבר, אהרן בן יחיאל הלוי</t>
  </si>
  <si>
    <t>יד אהרן &lt;מהדורה חדשה&gt; ראש השנה, שבת שובה, כפור</t>
  </si>
  <si>
    <t>יד אהרן &lt;מהדורה חדשה&gt; שבת הגדול, פירוש חד גדיא ואחד מי יודע</t>
  </si>
  <si>
    <t>יד אהרן &lt;לר' אהרן ברנשטיין&gt;</t>
  </si>
  <si>
    <t>יד אהרן</t>
  </si>
  <si>
    <t>יד אהרן - 6 כר'</t>
  </si>
  <si>
    <t>אלפאנדארי, אהרן בן משה</t>
  </si>
  <si>
    <t>תצ"ה - תקכ"ו</t>
  </si>
  <si>
    <t>דרילמן, אהרן בן יוסף דוד</t>
  </si>
  <si>
    <t>טויבלש, אהרן בן שמעון</t>
  </si>
  <si>
    <t>יד אהרן - 2 כר'</t>
  </si>
  <si>
    <t>לייפר, אהרן אריה ליב בן יששכר דוב</t>
  </si>
  <si>
    <t>סטאשבסקי, אהרן בן מאיר</t>
  </si>
  <si>
    <t>יד אור החיים הקדוש ותולדותיו</t>
  </si>
  <si>
    <t>קרלבך, אליהו חיים</t>
  </si>
  <si>
    <t>יד אליהו - 2 כר'</t>
  </si>
  <si>
    <t>אליהו בן יעקב רוגולר</t>
  </si>
  <si>
    <t>תר"ס - תשל"א</t>
  </si>
  <si>
    <t>ורשה - ירושלים</t>
  </si>
  <si>
    <t>הלכה ומנהג, נושאים שונים, נושאים שונים, שאלות ותשובות, תלמוד בבלי</t>
  </si>
  <si>
    <t>יד אליהו</t>
  </si>
  <si>
    <t>אליהו בן ישראל יחיאל</t>
  </si>
  <si>
    <t>אליהו בן שמואל מלובלין</t>
  </si>
  <si>
    <t>יד אליהו - 4 כר'</t>
  </si>
  <si>
    <t>סלוטקי, אליהו בן אהרן אברהם</t>
  </si>
  <si>
    <t>פלאקסמאן, אליהו בן שמואל יצחק</t>
  </si>
  <si>
    <t>תש"י,</t>
  </si>
  <si>
    <t>מונטריאל,</t>
  </si>
  <si>
    <t>פרסקי, אליהו יונה בן יהושע סג"ל</t>
  </si>
  <si>
    <t>רוסוף, אליהו בן ישעיהו הלוי</t>
  </si>
  <si>
    <t>יד אלימלך</t>
  </si>
  <si>
    <t>יד אליעזר - קידושין</t>
  </si>
  <si>
    <t>כולל מיר מודיעין עילית</t>
  </si>
  <si>
    <t>יד אליעזר - 2 כר'</t>
  </si>
  <si>
    <t>יד אליעזר - 11 כר'</t>
  </si>
  <si>
    <t>יד אלעזר</t>
  </si>
  <si>
    <t>הורוויץ, אלעזר בן דוד יהושע השל הלוי</t>
  </si>
  <si>
    <t>יד אלעזר - א</t>
  </si>
  <si>
    <t>ישיבת חיי עולם</t>
  </si>
  <si>
    <t>יד אפרים על ספר בן איש חי - א</t>
  </si>
  <si>
    <t>ביבי, אפרים יצחק</t>
  </si>
  <si>
    <t>יד אפרים - 15 כר'</t>
  </si>
  <si>
    <t>ביליצר, אפרים הלוי</t>
  </si>
  <si>
    <t>יד אפרים</t>
  </si>
  <si>
    <t>וינברגר, אפרים פישל</t>
  </si>
  <si>
    <t>יד אריה - לוח זמני היום</t>
  </si>
  <si>
    <t>וגנאר, אריה בן אהרן</t>
  </si>
  <si>
    <t>יד אשר - 2 כר'</t>
  </si>
  <si>
    <t>גליק, יצחק דוב בן אשר הכהן</t>
  </si>
  <si>
    <t>יד בבין המצרים</t>
  </si>
  <si>
    <t>פלדשטיין, יהושע דוב בן פסח</t>
  </si>
  <si>
    <t>יד בנימין - 8 כר'</t>
  </si>
  <si>
    <t>אלישיב, בנימין דוד בן יוסף שלום</t>
  </si>
  <si>
    <t>דידי, בנימין מקיקיץ</t>
  </si>
  <si>
    <t>סינקובסקי, בנימין אהרן דוב</t>
  </si>
  <si>
    <t>יד בספירת העומר ובשבועות</t>
  </si>
  <si>
    <t>יד בפורים</t>
  </si>
  <si>
    <t>יד בקריאת התורה</t>
  </si>
  <si>
    <t>יד בתורה - בראשית</t>
  </si>
  <si>
    <t>שמעוני, יואב דן בן לוי חי</t>
  </si>
  <si>
    <t>יד בתשובה - א</t>
  </si>
  <si>
    <t>דהן, יוסף בן נסים</t>
  </si>
  <si>
    <t>יד בתשובה</t>
  </si>
  <si>
    <t>יד גבריאל</t>
  </si>
  <si>
    <t>דסויאר, גבריאל בן נתן הלוי</t>
  </si>
  <si>
    <t>יד גדליה</t>
  </si>
  <si>
    <t>פרידמן, ישראל גדליה</t>
  </si>
  <si>
    <t>יד דוד טעבלי</t>
  </si>
  <si>
    <t>אפרתי, דוד טבלי בן אברהם</t>
  </si>
  <si>
    <t>יד דוד - על התורה</t>
  </si>
  <si>
    <t>אופנהיים, דוד בן אברהם</t>
  </si>
  <si>
    <t>יד דוד</t>
  </si>
  <si>
    <t>די בוטון, דוד בן יהודה</t>
  </si>
  <si>
    <t>זילברשטיין, דוד יהודא</t>
  </si>
  <si>
    <t>יד דוד - 20 כר'</t>
  </si>
  <si>
    <t>זינצהיים, יוסף דוד בן אברהם יצחק</t>
  </si>
  <si>
    <t>יד דוד - דברי ירמיהו</t>
  </si>
  <si>
    <t>קאליש, יעקב דוד - קאליש, ירמיהו</t>
  </si>
  <si>
    <t>יד ה'</t>
  </si>
  <si>
    <t>יד החזקה</t>
  </si>
  <si>
    <t>יד הים</t>
  </si>
  <si>
    <t>שטיצברג, ירחמיאל מנחם בן יוסף דוב</t>
  </si>
  <si>
    <t>דרושים, דרושים, שלחן ערוך ומפרשיו, תנ"ך</t>
  </si>
  <si>
    <t>יד הלוי - 4 כר'</t>
  </si>
  <si>
    <t>יד הלוי - 2 כר'</t>
  </si>
  <si>
    <t>דהאן, יצחק</t>
  </si>
  <si>
    <t>יד הלוי</t>
  </si>
  <si>
    <t>לווין, יוסף דוב בן אבא נתן הלוי</t>
  </si>
  <si>
    <t>דרושים, דרושים, הלכה ומנהג, שאלות ותשובות, שאלות ותשובות, שלחן ערוך ומפרשיו, תולדות עם ישראל, תלמוד בבלי, תלמוד בבלי</t>
  </si>
  <si>
    <t>פוטישמאן, ישכר דוב בן יחזקאל הלוי</t>
  </si>
  <si>
    <t>יד הלוי - 7 כר'</t>
  </si>
  <si>
    <t>שכטר, יצחק דב בן שלום הלוי</t>
  </si>
  <si>
    <t>יד המאיר</t>
  </si>
  <si>
    <t>קלופמאן, יוסף דוד</t>
  </si>
  <si>
    <t>קריסטיאנפולר, מאיר בן צבי הירש</t>
  </si>
  <si>
    <t>יד המלך</t>
  </si>
  <si>
    <t>יד המלך - 3 כר'</t>
  </si>
  <si>
    <t>לאנדא, אלעזר בן ישראל הלוי</t>
  </si>
  <si>
    <t>תק"ע - תקפ"ו</t>
  </si>
  <si>
    <t>פאלומבו, אליהו</t>
  </si>
  <si>
    <t>הלכה ומנהג, הלכה ומנהג, שלחן ערוך ומפרשיו, תנ"ך</t>
  </si>
  <si>
    <t>יד המשפט</t>
  </si>
  <si>
    <t>שוורץ, דוד נתנאל בן חיים יעקב מנחם</t>
  </si>
  <si>
    <t>יד הנהר</t>
  </si>
  <si>
    <t>נהר, דניאל בן יהושע אברהם הכהן</t>
  </si>
  <si>
    <t>יד הקטנה &lt;מהדורה חדשה&gt; - 2 כר'</t>
  </si>
  <si>
    <t>יד הקטנה - 4 כר'</t>
  </si>
  <si>
    <t>תרט"ז - תרי"ט</t>
  </si>
  <si>
    <t>[קעניגסבערג],</t>
  </si>
  <si>
    <t>יד הרש"ז - ב (סוכה)</t>
  </si>
  <si>
    <t>יד השולחן</t>
  </si>
  <si>
    <t>הילדסהיים, משה</t>
  </si>
  <si>
    <t>יד ושם - 5 כר'</t>
  </si>
  <si>
    <t>פייגנבוים, ישראל בן גמליאל</t>
  </si>
  <si>
    <t>יד חזקה</t>
  </si>
  <si>
    <t>יד חיים</t>
  </si>
  <si>
    <t>אנגלנדר, חיים בן יהודה</t>
  </si>
  <si>
    <t>עדעלין</t>
  </si>
  <si>
    <t>דוהן, חיים יואל בן מאיר צבי</t>
  </si>
  <si>
    <t>יד חנוך</t>
  </si>
  <si>
    <t>מאייער, חנוך העניך מסאסוב</t>
  </si>
  <si>
    <t>יד חרוזים</t>
  </si>
  <si>
    <t>חפץ, גרשום בן משה</t>
  </si>
  <si>
    <t>יד חרוצים</t>
  </si>
  <si>
    <t>צהלון, אברהם בן יצחק</t>
  </si>
  <si>
    <t>יד יהודה &lt;מהדורה חדשה&gt; - 4 כר'</t>
  </si>
  <si>
    <t>לאנדא, יהודה ליבוש בן יונה</t>
  </si>
  <si>
    <t>יד יהודה</t>
  </si>
  <si>
    <t>יד יהודה - 6 כר'</t>
  </si>
  <si>
    <t>טשרנוויץ</t>
  </si>
  <si>
    <t>לווין, דוד יהודה בן אברהם</t>
  </si>
  <si>
    <t>רבינוביץ, נתן יהודה ליב בן אברהם אבא</t>
  </si>
  <si>
    <t>יד יוסף ורביד הזהב - 3 כר'</t>
  </si>
  <si>
    <t>תרכ"ג - תר"ל</t>
  </si>
  <si>
    <t>הלכה ומנהג, שלחן ערוך ומפרשיו, תולדות עם ישראל</t>
  </si>
  <si>
    <t>יד יוסף</t>
  </si>
  <si>
    <t>אברמוביץ, יוסף טוביה בן שמשון</t>
  </si>
  <si>
    <t>אפפעל, יוסף יהושע</t>
  </si>
  <si>
    <t>דזיאלובסקי, יוסף בן משה פינחס</t>
  </si>
  <si>
    <t>דייטש, יוסף יואל</t>
  </si>
  <si>
    <t>חראר, יוסף</t>
  </si>
  <si>
    <t>יד יוסף - 4 כר'</t>
  </si>
  <si>
    <t>מארילוס, יוסף אהרן בן אליעזר זאב</t>
  </si>
  <si>
    <t>יד יוסף - 2 כר'</t>
  </si>
  <si>
    <t>צרפתי, יוסף בן חיים</t>
  </si>
  <si>
    <t>ת"ס - תס"א</t>
  </si>
  <si>
    <t>שטראסברג, יוסף יהודה בן דוב הלוי</t>
  </si>
  <si>
    <t>תרנ"ח - תרס"ג</t>
  </si>
  <si>
    <t>שטרן, יוסף יוזפא בן שמואל הלוי</t>
  </si>
  <si>
    <t>יד יוסף, אבני מנחם</t>
  </si>
  <si>
    <t>רוזנברג, יוסף יוזפע - רוזנברג, מנחם צבי</t>
  </si>
  <si>
    <t>יד יחזקאל</t>
  </si>
  <si>
    <t>בורנשטיין, יחזקאל בן קלונימוס פרץ הלוי</t>
  </si>
  <si>
    <t>תש"ז - תשי"א</t>
  </si>
  <si>
    <t>יד ימין</t>
  </si>
  <si>
    <t>ישראל, מיכאל יעקב בן חיים יהודה</t>
  </si>
  <si>
    <t>יד יעקב - קדשים</t>
  </si>
  <si>
    <t>יד יצחק - על הש"ס</t>
  </si>
  <si>
    <t>ארונובסקי, יצחק צבי בן יעקב קופל הכהן</t>
  </si>
  <si>
    <t>דרושים, הלכה ומנהג, משנה, שאלות ותשובות, תלמוד בבלי</t>
  </si>
  <si>
    <t>יד יצחק - 4 כר'</t>
  </si>
  <si>
    <t>תרס"ב - תרס"ט</t>
  </si>
  <si>
    <t>וליה-לוי-מיהאי Vale</t>
  </si>
  <si>
    <t>יד יצחק</t>
  </si>
  <si>
    <t>ולנר, שמחה</t>
  </si>
  <si>
    <t>זלזניק, יצחק דוד בן אברהם יעקב</t>
  </si>
  <si>
    <t>יד יקותיאל</t>
  </si>
  <si>
    <t>דמביצר, יקותיאל זלמן בן משה יעקב</t>
  </si>
  <si>
    <t>יד ישראל</t>
  </si>
  <si>
    <t>היימליך, ישראל</t>
  </si>
  <si>
    <t>זליגמן, ישראל בן חיים דוד</t>
  </si>
  <si>
    <t>יד כהן באמצע</t>
  </si>
  <si>
    <t>זופניק, יהודה דוב בן דוד הכהן</t>
  </si>
  <si>
    <t>יד כהן - 9 כר'</t>
  </si>
  <si>
    <t>יד כהן - 5 כר'</t>
  </si>
  <si>
    <t>יד כהן - 2 כר'</t>
  </si>
  <si>
    <t>כהן, יוסף דוד בן משה חיים</t>
  </si>
  <si>
    <t>יד כהן - 3 כר'</t>
  </si>
  <si>
    <t>כהן, ניסן בן יששכר</t>
  </si>
  <si>
    <t>יד כהן - שבת, כריתות</t>
  </si>
  <si>
    <t>פאדאווער, יחיאל דב הכהן</t>
  </si>
  <si>
    <t>יד כהן</t>
  </si>
  <si>
    <t>שקופ, שמעון יהודה בן יצחק שמואל הכהן - רזניקוב, יהודה דב</t>
  </si>
  <si>
    <t>יד כל בו - 2 כר'</t>
  </si>
  <si>
    <t>יד לאחים - 3 כר'</t>
  </si>
  <si>
    <t>חבר פעילי המחנה התורתי</t>
  </si>
  <si>
    <t>יד להשם</t>
  </si>
  <si>
    <t>אביטן</t>
  </si>
  <si>
    <t>יד למיגו</t>
  </si>
  <si>
    <t>מוזס, צבי יהודה</t>
  </si>
  <si>
    <t>יד לנתיבתי</t>
  </si>
  <si>
    <t>יד לפאה</t>
  </si>
  <si>
    <t>פלדמן, אהרן בן יוסף</t>
  </si>
  <si>
    <t>יד לשומרים</t>
  </si>
  <si>
    <t>מאזעס, צבי יהודה בן חיים</t>
  </si>
  <si>
    <t>יד מאור ושמש ותולדותיו</t>
  </si>
  <si>
    <t>יד מאיר</t>
  </si>
  <si>
    <t>פריימאן, מאיר בן זאב וולף</t>
  </si>
  <si>
    <t>פריש, דוד מאיר בן יהושע</t>
  </si>
  <si>
    <t>יד מהרש"א - 44 כר'</t>
  </si>
  <si>
    <t>פולגר, יחזקאל</t>
  </si>
  <si>
    <t>יד מיכאל</t>
  </si>
  <si>
    <t>כולל ישיבת הכותל</t>
  </si>
  <si>
    <t>יד מלאכי &lt;הוצאת מישור&gt;</t>
  </si>
  <si>
    <t>הכהן, מלאכי בן יעקב</t>
  </si>
  <si>
    <t>יד מלאכי - 3 כר'</t>
  </si>
  <si>
    <t>יד מלך - 3 כר'</t>
  </si>
  <si>
    <t>יד מלכים</t>
  </si>
  <si>
    <t>זויברמן, דוד</t>
  </si>
  <si>
    <t>יד מרדכי - סוכה</t>
  </si>
  <si>
    <t>אלימלך, מרדכי</t>
  </si>
  <si>
    <t>יד מרדכי - א</t>
  </si>
  <si>
    <t>יד מרדכי</t>
  </si>
  <si>
    <t>רוטנברג, מרדכי בן נפתלי</t>
  </si>
  <si>
    <t>יד משה</t>
  </si>
  <si>
    <t>אדרעי, משה בן יצחק</t>
  </si>
  <si>
    <t>דרושים, שאר ספרי חז"ל, תלמוד בבלי, תלמוד ירושלמי, תנ"ך, תנ"ך</t>
  </si>
  <si>
    <t>יד משה - 8 כר'</t>
  </si>
  <si>
    <t>גפן, משה</t>
  </si>
  <si>
    <t>יד משה - בבא בתרא</t>
  </si>
  <si>
    <t>ישיבת חזון נחום</t>
  </si>
  <si>
    <t>יד משה - א</t>
  </si>
  <si>
    <t>ספר הזכרון לרבי משה זאב פלדמן</t>
  </si>
  <si>
    <t>שמואלביץ, משה דוד בן שמואל צבי</t>
  </si>
  <si>
    <t>יד נאמ"ן</t>
  </si>
  <si>
    <t>יד נחמיה &lt;מנהגי ליל הסדר דק"ק תימן&gt;</t>
  </si>
  <si>
    <t>יד נתן - 3 כר'</t>
  </si>
  <si>
    <t>יד נתן - נדה</t>
  </si>
  <si>
    <t>גלר, דוד נתן בן שמואל</t>
  </si>
  <si>
    <t>יד נתן</t>
  </si>
  <si>
    <t>נתן דוד בן ישראל</t>
  </si>
  <si>
    <t>יד סופר &lt;תשובות&gt; - א ב</t>
  </si>
  <si>
    <t>סופר, משה בן שמעון</t>
  </si>
  <si>
    <t>יד סופר - 2 כר'</t>
  </si>
  <si>
    <t>יד על כס</t>
  </si>
  <si>
    <t>הכהן, סאסי</t>
  </si>
  <si>
    <t>יד עם קודש</t>
  </si>
  <si>
    <t>יד עני - הוצאה</t>
  </si>
  <si>
    <t>יד פינחס</t>
  </si>
  <si>
    <t>גרבר, פינחס שמואל יעקב בן יהודה</t>
  </si>
  <si>
    <t>יד פלטיאל - 2 כר'</t>
  </si>
  <si>
    <t>פריינד, פלטיאל בן דוד ישעיהו</t>
  </si>
  <si>
    <t>יד רא"ם &lt;סמיכת חכמים, ספר תירוכין&gt;</t>
  </si>
  <si>
    <t>דרושים, מחשבה ומוסר, שאלות ותשובות, תולדות עם ישראל</t>
  </si>
  <si>
    <t>יד רא"ם [ליפשיץ]</t>
  </si>
  <si>
    <t>יד רמ"א</t>
  </si>
  <si>
    <t>יד רמ"ה</t>
  </si>
  <si>
    <t>סולוביי, רפאל מרדכי בן דוד הלוי</t>
  </si>
  <si>
    <t>יד רמה - 7 כר'</t>
  </si>
  <si>
    <t>יד רמה</t>
  </si>
  <si>
    <t>פוקס, משה צבי בן בנימין זאב וולף</t>
  </si>
  <si>
    <t>יד רפאל - יומא</t>
  </si>
  <si>
    <t>יד שאול ונהר שלום</t>
  </si>
  <si>
    <t>הכהן, שאול - הכהן, שלום</t>
  </si>
  <si>
    <t>יד שאול</t>
  </si>
  <si>
    <t>ביק, שאול ישכר בן יצחק</t>
  </si>
  <si>
    <t>וויינגורט, שאול בן אברהם</t>
  </si>
  <si>
    <t>יד שאול - 2 כר'</t>
  </si>
  <si>
    <t>יד של שלמה</t>
  </si>
  <si>
    <t>כהנא, שלמה בן יצחק בן שלמה הכהן</t>
  </si>
  <si>
    <t>יד שלוחה</t>
  </si>
  <si>
    <t>יד שלום - 2 כר'</t>
  </si>
  <si>
    <t>אונגר, שלום דוד בן יעקב יצחק</t>
  </si>
  <si>
    <t>יד שלום</t>
  </si>
  <si>
    <t>לוקיאנובסקי, שלום בן אברהם</t>
  </si>
  <si>
    <t>נושאים שונים, נושאים שונים, שלחן ערוך ומפרשיו</t>
  </si>
  <si>
    <t>יד שלום - 3 כר'</t>
  </si>
  <si>
    <t>פרידמן, ישכר דב</t>
  </si>
  <si>
    <t>יד שלמה [נוסבאום]</t>
  </si>
  <si>
    <t>יד שלמה</t>
  </si>
  <si>
    <t>בן עזרא, חיים שלמה בן אברהם</t>
  </si>
  <si>
    <t>דרויש, יצחק בן שלמה</t>
  </si>
  <si>
    <t>יד שלמה - יבמות</t>
  </si>
  <si>
    <t>דרילמן, יעקב</t>
  </si>
  <si>
    <t>כהן, אבא מרקיל שלמה בן יצחק איזיק</t>
  </si>
  <si>
    <t>מחפוד, שלמה יוסף</t>
  </si>
  <si>
    <t>פראטשינסקי, גבריאל שלמה</t>
  </si>
  <si>
    <t>פריידר, שלמה הלל בן ישראל מאיר</t>
  </si>
  <si>
    <t>יד שמואל</t>
  </si>
  <si>
    <t>גורביץ, שמואל</t>
  </si>
  <si>
    <t>יד שמעון - מגילת רות, איכה, קהלת פרקי אבות</t>
  </si>
  <si>
    <t>ידבר פי - ב</t>
  </si>
  <si>
    <t>ידו בכל</t>
  </si>
  <si>
    <t>דרושים, דרושים, נושאים שונים, נושאים שונים, תנ"ך</t>
  </si>
  <si>
    <t>ידון משה</t>
  </si>
  <si>
    <t>ידות אפרים &lt;שארית יעקב&gt;</t>
  </si>
  <si>
    <t>פאנט, יעקב בן יצחק משה</t>
  </si>
  <si>
    <t>ידות אפרים - 2 כר'</t>
  </si>
  <si>
    <t>ידות דרכים</t>
  </si>
  <si>
    <t>ידות החיים - א</t>
  </si>
  <si>
    <t>ידות הלוי</t>
  </si>
  <si>
    <t>ידות המדות</t>
  </si>
  <si>
    <t>אדלמן, מרדכי יצחק</t>
  </si>
  <si>
    <t>ביאליסטוק</t>
  </si>
  <si>
    <t>ידות המשנה - 2 כר'</t>
  </si>
  <si>
    <t>גליס, יהודה דניאל</t>
  </si>
  <si>
    <t>ידות כלים</t>
  </si>
  <si>
    <t>גריובר, יהודה זאב בן מאיר</t>
  </si>
  <si>
    <t>ידות לטהרה</t>
  </si>
  <si>
    <t>ידות נדרים &lt;מהדורה חדשה&gt;</t>
  </si>
  <si>
    <t>ידות נדרים - 2 כר'</t>
  </si>
  <si>
    <t>ידי אהרן - 4 כר'</t>
  </si>
  <si>
    <t>אהרוני, דוד</t>
  </si>
  <si>
    <t>ידי אליהו</t>
  </si>
  <si>
    <t>גאליפאפה, אליהו בן דוד</t>
  </si>
  <si>
    <t>ידי אליהו - 2 כר'</t>
  </si>
  <si>
    <t>חזן, אליהו יצחק</t>
  </si>
  <si>
    <t>ידי אמן - בבא מציעא</t>
  </si>
  <si>
    <t>ידי אריאל</t>
  </si>
  <si>
    <t>כרמל, אריה בן אברהם חיים</t>
  </si>
  <si>
    <t>ידי דוד</t>
  </si>
  <si>
    <t>קאראסו, רפאל דוד בן יהודה הלוי</t>
  </si>
  <si>
    <t>ידי הלוי</t>
  </si>
  <si>
    <t>יונגרייז, יוסף דוב הלוי</t>
  </si>
  <si>
    <t>ידי השלחן</t>
  </si>
  <si>
    <t>אושרי, ידידיה</t>
  </si>
  <si>
    <t>ידי יצחק</t>
  </si>
  <si>
    <t>דיין, יצחק בן ישעיה</t>
  </si>
  <si>
    <t>דרושים, הלכה ומנהג, מחשבה ומוסר, משנה, שאלות ותשובות, שלחן ערוך ומפרשיו, תלמוד בבלי, תנ"ך</t>
  </si>
  <si>
    <t>ידי כהן - 28 כר'</t>
  </si>
  <si>
    <t>ידי משה ותורה אור &lt;מהדורה חדשה&gt;</t>
  </si>
  <si>
    <t>ידי משה ותורה אור</t>
  </si>
  <si>
    <t>ידי משה - 6 כר'</t>
  </si>
  <si>
    <t>אלמושנינו, משה בן ברוך</t>
  </si>
  <si>
    <t>ידי משה - 4 כר'</t>
  </si>
  <si>
    <t>ידי משה - ידים</t>
  </si>
  <si>
    <t>ידי משה</t>
  </si>
  <si>
    <t>גויטיין, צבי בן ברוך בנדט</t>
  </si>
  <si>
    <t>ידי משה - עבד עברי</t>
  </si>
  <si>
    <t>הולס, אהרן</t>
  </si>
  <si>
    <t>הורוויץ, משה שמואל</t>
  </si>
  <si>
    <t>ידי משה - 3 כר'</t>
  </si>
  <si>
    <t>משה ירושלמי</t>
  </si>
  <si>
    <t>ידי משה - 2 כר'</t>
  </si>
  <si>
    <t>קום, משה בן חיים דוב</t>
  </si>
  <si>
    <t>ידי משה - הוריות</t>
  </si>
  <si>
    <t>שכטר, משה אליהו בן סנדר ליפא</t>
  </si>
  <si>
    <t>ידי סופר</t>
  </si>
  <si>
    <t>לוסטיג, יהודה צבי בן חיים זאב</t>
  </si>
  <si>
    <t>ידי עלמ"א - אורח חיים</t>
  </si>
  <si>
    <t>עבדלחק, משה אליעזר בן אברהם</t>
  </si>
  <si>
    <t>ידי קידוש</t>
  </si>
  <si>
    <t>צינווירט, דוד אריה בן יוסף</t>
  </si>
  <si>
    <t>ידיד ה' - א</t>
  </si>
  <si>
    <t>בנימין, בנימין בן מאיר</t>
  </si>
  <si>
    <t>ידיד נפש על תלמוד בבלי - 10 כר'</t>
  </si>
  <si>
    <t>ידיד נפש על תלמוד ירושלמי - 38 כר'</t>
  </si>
  <si>
    <t>ידיד נפש - 9 כר'</t>
  </si>
  <si>
    <t>ידיד נפש - ימים נוראים</t>
  </si>
  <si>
    <t>ידיד נפש</t>
  </si>
  <si>
    <t>קריאף, יעקב דב</t>
  </si>
  <si>
    <t>ידידות משכנותיך</t>
  </si>
  <si>
    <t>קופלמאן, יצחק דב</t>
  </si>
  <si>
    <t>ידידות</t>
  </si>
  <si>
    <t>ידיו אמונה</t>
  </si>
  <si>
    <t>ברוקמן, יצחק דב</t>
  </si>
  <si>
    <t>דרושים, משנה, קבלה, שלחן ערוך ומפרשיו, תולדות עם ישראל, תלמוד בבלי, תלמוד בבלי, תנ"ך</t>
  </si>
  <si>
    <t>ידיו אמונה - 3 כר'</t>
  </si>
  <si>
    <t>רוזן, שמואל אהרן</t>
  </si>
  <si>
    <t>ידיו של משה - א-ב</t>
  </si>
  <si>
    <t>פריסקו, משה</t>
  </si>
  <si>
    <t>הלכה ומנהג, נושאים שונים, שאלות ותשובות, שלחן ערוך ומפרשיו, תלמוד בבלי</t>
  </si>
  <si>
    <t>ידיעון בענין חרקים במזון</t>
  </si>
  <si>
    <t>ידיעות הטבע שבתלמוד</t>
  </si>
  <si>
    <t>ידיעות המכון למדעי היהדות - א</t>
  </si>
  <si>
    <t>ידיעות המכון - תשכ"ט</t>
  </si>
  <si>
    <t>ידיעות השבת</t>
  </si>
  <si>
    <t>קסלר, מאיר בן יוסף</t>
  </si>
  <si>
    <t>ידיעות השיעורים</t>
  </si>
  <si>
    <t>ליכטנפלד, גבריאל יהודה בן אברהם</t>
  </si>
  <si>
    <t>ידיעות חדשות על תוספות גורניש ועניינן</t>
  </si>
  <si>
    <t>תא שמע, ישראל</t>
  </si>
  <si>
    <t>ידיעת הטהרה</t>
  </si>
  <si>
    <t>קליין, משה שאול - (ורטהיימר, הלל - מו"ל)</t>
  </si>
  <si>
    <t>ידיעת הספק - ספק דאורייתא</t>
  </si>
  <si>
    <t>יודאיקין, גדעון לוי הכהן</t>
  </si>
  <si>
    <t>ידיעת הש"ס - 3 כר'</t>
  </si>
  <si>
    <t>בלומנטל, דורון</t>
  </si>
  <si>
    <t>ידך המלאה</t>
  </si>
  <si>
    <t>לפקוביץ, יואל</t>
  </si>
  <si>
    <t>ידעו דורותיכם - 3 כר'</t>
  </si>
  <si>
    <t>ידעת ומצאת</t>
  </si>
  <si>
    <t>קושלבסקי, אברהם בן אליהו</t>
  </si>
  <si>
    <t>ידרוש לציון</t>
  </si>
  <si>
    <t>סורוצקין, יואל בן בן ציון</t>
  </si>
  <si>
    <t>ידרך ענוים</t>
  </si>
  <si>
    <t>סלומונס, דוד יצחק בן נח</t>
  </si>
  <si>
    <t>יהא שלמא רבה - בפסוקי התורה</t>
  </si>
  <si>
    <t>יהגה האריה</t>
  </si>
  <si>
    <t>פומרנצ'יק, אריה בן זאב</t>
  </si>
  <si>
    <t>יהגה חכמה</t>
  </si>
  <si>
    <t>דרשן, אריאל בן אליהו הכהן</t>
  </si>
  <si>
    <t>יהגה חכמה - 2 כר'</t>
  </si>
  <si>
    <t>פייגעלשטאק, יוסף יצחק</t>
  </si>
  <si>
    <t>שטיינאייזן, דוב בן קים קדש</t>
  </si>
  <si>
    <t>יהדות &lt;אידיש&gt;</t>
  </si>
  <si>
    <t>זאלער, יצחק</t>
  </si>
  <si>
    <t>יהדות אתיופיה</t>
  </si>
  <si>
    <t>קרוינאלדי, מיכאל</t>
  </si>
  <si>
    <t>יהדות בבל</t>
  </si>
  <si>
    <t>הרפנס, גרשום</t>
  </si>
  <si>
    <t>נושאים שונים, שאלות ותשובות, תולדות עם ישראל, תלמוד בבלי</t>
  </si>
  <si>
    <t>יהדות בוכארה, גדוליה ומנהגיה</t>
  </si>
  <si>
    <t>יהדות התורה והמדינה - 2 כר'</t>
  </si>
  <si>
    <t>צימר, אוריאל</t>
  </si>
  <si>
    <t>יהדות ומיסטיקה</t>
  </si>
  <si>
    <t>יהדות חבאן בדורות האחרונים</t>
  </si>
  <si>
    <t>מעטוף, סעדיה בן יצחק</t>
  </si>
  <si>
    <t>יהדות ליטא - 4 כר'</t>
  </si>
  <si>
    <t>יהדות מרוקו</t>
  </si>
  <si>
    <t>בן שמחון, רפאל</t>
  </si>
  <si>
    <t>יהדות פיורדא</t>
  </si>
  <si>
    <t>הינמן, חיים אהרן</t>
  </si>
  <si>
    <t>יהדות צפון אפריקה (ביביליוגרפיה)</t>
  </si>
  <si>
    <t>יהדות קרים מקדמותה ועד השואה</t>
  </si>
  <si>
    <t>קרן, יחזקאל</t>
  </si>
  <si>
    <t>יהדות רומניה - 1</t>
  </si>
  <si>
    <t>החברה ההיסטורית של יהודי רומניה</t>
  </si>
  <si>
    <t>יהדות תימן ויצירותיה</t>
  </si>
  <si>
    <t>שער יוסף</t>
  </si>
  <si>
    <t>יהדות - 11 כר'</t>
  </si>
  <si>
    <t>בטאון היהדות הנאמנה</t>
  </si>
  <si>
    <t>יהדות - 2 כר'</t>
  </si>
  <si>
    <t>יהודה וישראל</t>
  </si>
  <si>
    <t>יהודה יעלה</t>
  </si>
  <si>
    <t>חדאד, יששכר בן נסים</t>
  </si>
  <si>
    <t>דרושים, מועדי ישראל, שאלות ותשובות, תולדות עם ישראל, תלמוד בבלי, תנ"ך</t>
  </si>
  <si>
    <t>יהודה יעלה - 2 כר'</t>
  </si>
  <si>
    <t>כהן, יהודה בן חיים</t>
  </si>
  <si>
    <t>תרפ"ה - תרפ"ו</t>
  </si>
  <si>
    <t>סיני, יהודה מקוליניאה</t>
  </si>
  <si>
    <t>יהודה לקדשו</t>
  </si>
  <si>
    <t>אסופת מערכות</t>
  </si>
  <si>
    <t>יהודה לקדשו - זבחים, מנחות, מעילה</t>
  </si>
  <si>
    <t>גרינבוים, יקותיאל יהודה</t>
  </si>
  <si>
    <t>יהודה מחוקקי</t>
  </si>
  <si>
    <t>יהודי בבל בארץ ישראל</t>
  </si>
  <si>
    <t>יהודי בבל בתפוצות</t>
  </si>
  <si>
    <t>יהודי בבל בתקופות האחרונות</t>
  </si>
  <si>
    <t>יהודי בבל מסוף תקופת הגאונים עד ימינו</t>
  </si>
  <si>
    <t>יהודי בסוד ויכלו</t>
  </si>
  <si>
    <t>יהודי הונגריה</t>
  </si>
  <si>
    <t>האגודה לחקר תולדות יהודי הונגריה</t>
  </si>
  <si>
    <t>יהודי המזרח בארץ ישראל - 2 כר'</t>
  </si>
  <si>
    <t>תרפ"ח - תרצ"ח</t>
  </si>
  <si>
    <t>יהודי כורדיסתאן</t>
  </si>
  <si>
    <t>בראוור, אריך</t>
  </si>
  <si>
    <t>יהודי מוצל</t>
  </si>
  <si>
    <t>לניאדו, עזרא</t>
  </si>
  <si>
    <t>טירת כרמל</t>
  </si>
  <si>
    <t>יהודי מיהו ומהו</t>
  </si>
  <si>
    <t>קורמן, אברהם</t>
  </si>
  <si>
    <t>יהודי ספרד בארץ ישראל</t>
  </si>
  <si>
    <t>יהודי עדן</t>
  </si>
  <si>
    <t>אהרוני, ראובן</t>
  </si>
  <si>
    <t>יהודי צעדה וסביבותיה</t>
  </si>
  <si>
    <t>יעבץ, עובדיה</t>
  </si>
  <si>
    <t>יהודי תימן במאה הי"ט</t>
  </si>
  <si>
    <t>טובי, יוסף</t>
  </si>
  <si>
    <t>יהודי תימן בתל אביב</t>
  </si>
  <si>
    <t>יהודים אל יאוש - 2 כר'</t>
  </si>
  <si>
    <t>יהודים בדרכי השיירות ובמכרות הכסף של מקדוניה</t>
  </si>
  <si>
    <t>יעקבסון, חנה</t>
  </si>
  <si>
    <t>יהודים ויהדות בברית המועצות</t>
  </si>
  <si>
    <t>גרשוני, אהרן אליהו בן ישראל גרשון</t>
  </si>
  <si>
    <t>יהודית &lt;חלקי&gt;</t>
  </si>
  <si>
    <t>מונטיפיורי, יהודית בת לוי בארנט</t>
  </si>
  <si>
    <t>יהודית - 2 כר'</t>
  </si>
  <si>
    <t>גאגין, שם טוב בן יצחק רפאל יחזקיהו (עורך)</t>
  </si>
  <si>
    <t>ת"ש-תש"ג</t>
  </si>
  <si>
    <t>יהודית - 7 כר'</t>
  </si>
  <si>
    <t>ירחון מוקדש לחינוך הבנות ברוח היהדות הנאמנה</t>
  </si>
  <si>
    <t>יהודית</t>
  </si>
  <si>
    <t>יהודית - א</t>
  </si>
  <si>
    <t>יהי אור</t>
  </si>
  <si>
    <t>יהי אור - קידושין</t>
  </si>
  <si>
    <t>כהן, יצחק</t>
  </si>
  <si>
    <t>שוורצמן, יאיר</t>
  </si>
  <si>
    <t>יהי שלום בחילך - לנשים</t>
  </si>
  <si>
    <t>יהי שמו לעולם</t>
  </si>
  <si>
    <t>יהי שמו - ברכות. שימו יהושע - שו"ת</t>
  </si>
  <si>
    <t>יהל אור (מתוך מנחת יהודה)</t>
  </si>
  <si>
    <t>יהודה ליב בן יוסף הלוי</t>
  </si>
  <si>
    <t>דרושים, תלמוד בבלי, תלמוד בבלי</t>
  </si>
  <si>
    <t>יהל אור</t>
  </si>
  <si>
    <t>יהל לנר ברוך - ב</t>
  </si>
  <si>
    <t>לאנדא, יוסף בן דוד דוב</t>
  </si>
  <si>
    <t>תרע"ח-תרע"ט</t>
  </si>
  <si>
    <t>יהל</t>
  </si>
  <si>
    <t>קובץ ישיבת לעלוב</t>
  </si>
  <si>
    <t>יובל היא</t>
  </si>
  <si>
    <t>משפחת שולביץ</t>
  </si>
  <si>
    <t>יובל העשרים של הישיבה הגדולה ישיבת פתח תקוה</t>
  </si>
  <si>
    <t>ישיבת פתח תקוה</t>
  </si>
  <si>
    <t>יובלי צבי</t>
  </si>
  <si>
    <t>קצנלבוגן, יחיאל צבי הלוי</t>
  </si>
  <si>
    <t>דרושים, הלכה ומנהג, מחשבה ומוסר</t>
  </si>
  <si>
    <t>יוגענד קרעפטען</t>
  </si>
  <si>
    <t>רביץ, ש.</t>
  </si>
  <si>
    <t>יודאיקה ירושלים - 80 כר'</t>
  </si>
  <si>
    <t>יודישר טירייאק</t>
  </si>
  <si>
    <t>מאופהוזן, שלמה זלמן צבי</t>
  </si>
  <si>
    <t>הנוואה</t>
  </si>
  <si>
    <t>יודע ספר</t>
  </si>
  <si>
    <t>רוזנטל, אליעזר</t>
  </si>
  <si>
    <t>יודעי בינה &lt;הבינה והברכה&gt;</t>
  </si>
  <si>
    <t>שפירא, אלעזר בן צבי אלימלך - שפירא, משה בן ציון</t>
  </si>
  <si>
    <t>יודעי בינה - 5 כר'</t>
  </si>
  <si>
    <t>ואלטר, שי (עורך)</t>
  </si>
  <si>
    <t>יודעי בינה</t>
  </si>
  <si>
    <t>זכות, משה בן מרדכי - חמיץ יוסף</t>
  </si>
  <si>
    <t>ישראלי, יצחק</t>
  </si>
  <si>
    <t>שפירא, אלעזר בן צבי אלימלך</t>
  </si>
  <si>
    <t>יודעי העתים - 3 כר'</t>
  </si>
  <si>
    <t>יודעי חן</t>
  </si>
  <si>
    <t>יודעי שמך - דרך הרמח"ל בתכנית הבריאה</t>
  </si>
  <si>
    <t>טורנר, אהרן</t>
  </si>
  <si>
    <t>יום בבית המקדש</t>
  </si>
  <si>
    <t>סלאכטער, שלמה</t>
  </si>
  <si>
    <t>יום הבר מצוה</t>
  </si>
  <si>
    <t>יום ההולדת ומשמעותו</t>
  </si>
  <si>
    <t>בניאל, לוי יצחק</t>
  </si>
  <si>
    <t>יום הנשואין</t>
  </si>
  <si>
    <t>יום הקדוש - 3 כר'</t>
  </si>
  <si>
    <t>יום ולילה של תורה</t>
  </si>
  <si>
    <t>וייס, יעקב גרשון בן חיים</t>
  </si>
  <si>
    <t>יום טוב וחול המועד כהלכתם</t>
  </si>
  <si>
    <t>ינאי, יאיר יששכר בן יהודה אריה</t>
  </si>
  <si>
    <t>יום טוב כהלכתו</t>
  </si>
  <si>
    <t>ליברמן, משה אפרים - גראזינגר, שמעון</t>
  </si>
  <si>
    <t>יום טוב מקרא קדש הזה</t>
  </si>
  <si>
    <t>יום טוב שני כהלכתו</t>
  </si>
  <si>
    <t>פריד, ירחמיאל דוד בן נחמן צבי</t>
  </si>
  <si>
    <t>יום טוב שני של גלויות בהלכה</t>
  </si>
  <si>
    <t>יום טוב שני של גלויות להלכה</t>
  </si>
  <si>
    <t>יום יום חג</t>
  </si>
  <si>
    <t>יום סליחה</t>
  </si>
  <si>
    <t>תפילות. מחזור. תש"ח. ג'רבה</t>
  </si>
  <si>
    <t>יום צום תעניתנו</t>
  </si>
  <si>
    <t>זקס, יונתן אבנר</t>
  </si>
  <si>
    <t>יום שבתון - 2 כר'</t>
  </si>
  <si>
    <t>יום שמחת כהן</t>
  </si>
  <si>
    <t>יום שמחת לבו</t>
  </si>
  <si>
    <t>יום תוכחה</t>
  </si>
  <si>
    <t>כ"ץ, יהודה בן יחזקאל הכהן</t>
  </si>
  <si>
    <t>יום תרועה יום יבבא</t>
  </si>
  <si>
    <t>יום תרועה</t>
  </si>
  <si>
    <t>תפילות. מחזור. תש"ה. ג'רבה</t>
  </si>
  <si>
    <t>יומא דאורייתא - חג השבועות</t>
  </si>
  <si>
    <t>מכון שפע חיים</t>
  </si>
  <si>
    <t>יומא דעצרתא</t>
  </si>
  <si>
    <t>יומא טבא לרבנן</t>
  </si>
  <si>
    <t>דינין, משה - גולדברג, חיים בנימין</t>
  </si>
  <si>
    <t>יומא טבא לרבנן - חידושי מהר"ל פישלס</t>
  </si>
  <si>
    <t>רנשבורג, בצלאל בן יואל- פישלס, יהודה ליב</t>
  </si>
  <si>
    <t>יומא טובא לרבנן - ביצה</t>
  </si>
  <si>
    <t>כולל שבראשות רבי אליעזר סטפן</t>
  </si>
  <si>
    <t>יומי דפגרי</t>
  </si>
  <si>
    <t>יומין דחנוכה - 2 כר'</t>
  </si>
  <si>
    <t>יומן אומאן - עיר הגעגועים</t>
  </si>
  <si>
    <t>זילברמן, יצחק</t>
  </si>
  <si>
    <t>יומן גיטו ווארשה</t>
  </si>
  <si>
    <t>זיידמאן, הילל בן אברהם</t>
  </si>
  <si>
    <t>יומן הבריתות והנדוניות (כתב יד)</t>
  </si>
  <si>
    <t>ואענונו, דוד</t>
  </si>
  <si>
    <t>יומן הכותל המערבי</t>
  </si>
  <si>
    <t>אורנשטיין, יצחק אביגדור</t>
  </si>
  <si>
    <t>יומן מסע לארץ הקודש</t>
  </si>
  <si>
    <t>קאפוסטו, משה חיים</t>
  </si>
  <si>
    <t>יומן רשמי בקורי כ"ק אדמו"ר שליט"א מליובאוויטש</t>
  </si>
  <si>
    <t>גליצנשטיין, שמעון</t>
  </si>
  <si>
    <t>יומנו של רבי אלעזר אזכרי</t>
  </si>
  <si>
    <t>אזכרי, אלעזר בן משה - פכטר, מרדכי</t>
  </si>
  <si>
    <t>יון מצולה - מגילת עיפה &lt;מהדורת סץ&gt;</t>
  </si>
  <si>
    <t>האנובר, נתן נטע בן משה - רפאפורט, שבתי בן אברהם אבלי הכהן</t>
  </si>
  <si>
    <t>יון מצולה - 4 כר'</t>
  </si>
  <si>
    <t>יונה בן אמתי ואליהו</t>
  </si>
  <si>
    <t>בכרך, יהושע בן חיים אריה</t>
  </si>
  <si>
    <t>יונה הומיה</t>
  </si>
  <si>
    <t>פליישר, בנימין בן יעקב שלמה הכהן</t>
  </si>
  <si>
    <t>יונה מצא מנוח</t>
  </si>
  <si>
    <t>יונה תמה</t>
  </si>
  <si>
    <t>יונה - &lt;הגר"א&gt;</t>
  </si>
  <si>
    <t>יונת אלם</t>
  </si>
  <si>
    <t>קארפילוב, יונה בן יחזקאל</t>
  </si>
  <si>
    <t>יונת צבי - 2 כר'</t>
  </si>
  <si>
    <t>וולק, צבי בן אברהם הלוי</t>
  </si>
  <si>
    <t>יונתי תמתי</t>
  </si>
  <si>
    <t>סער, יונתן אלכסנדר</t>
  </si>
  <si>
    <t>יוסיף אומץ &lt;פרקי חינוך&gt;</t>
  </si>
  <si>
    <t>האן, יוסף יוזפא בן פינחס זליגמאן</t>
  </si>
  <si>
    <t>יוסיף אור</t>
  </si>
  <si>
    <t>מגן, יוסף מאיר בן דוד יצחק</t>
  </si>
  <si>
    <t>יוסיף דוד</t>
  </si>
  <si>
    <t>יוסיף דעת - לקט פירושים על ברכת המזון</t>
  </si>
  <si>
    <t>ווגל, יונה</t>
  </si>
  <si>
    <t>יוסיף דעת - גליונות תשע"ד-תשע"ה</t>
  </si>
  <si>
    <t>יוסיף חיים</t>
  </si>
  <si>
    <t>הורן, חיים ליפא בן אליהו</t>
  </si>
  <si>
    <t>מאדאוויטש, יוסף חיים</t>
  </si>
  <si>
    <t>יוסיפון - 3 כר'</t>
  </si>
  <si>
    <t>הכהן, יוסף בן גוריון</t>
  </si>
  <si>
    <t>יוסלה רוזנבלט</t>
  </si>
  <si>
    <t>רוזנבלט, שמואל בן יוסף</t>
  </si>
  <si>
    <t>יוסף  לקח - שבת</t>
  </si>
  <si>
    <t>מרכוס, יוסף בן אברהם</t>
  </si>
  <si>
    <t>יוסף אברהם - 5 כר'</t>
  </si>
  <si>
    <t>שאלתיאל, יוסף בן אברהם</t>
  </si>
  <si>
    <t>יוסף אומץ &lt;מכון שלמה אומן&gt;</t>
  </si>
  <si>
    <t>יוסף אומץ - 3 כר'</t>
  </si>
  <si>
    <t>יוסף אומץ</t>
  </si>
  <si>
    <t>יוסף בן שלמה מליסא</t>
  </si>
  <si>
    <t>יוסף את אחיו &lt;מהדורה חדשה&gt;</t>
  </si>
  <si>
    <t>פאלאג'י, יוסף בן חיים</t>
  </si>
  <si>
    <t>יוסף את אחיו</t>
  </si>
  <si>
    <t>יוסף באור</t>
  </si>
  <si>
    <t>יוסף בסד"ר</t>
  </si>
  <si>
    <t>יוסף דעת - 42 כר'</t>
  </si>
  <si>
    <t>בן ארזה, יוסף (עורך)</t>
  </si>
  <si>
    <t>תשנ"ד - תשס"ד</t>
  </si>
  <si>
    <t>יוסף דעת - 4 כר'</t>
  </si>
  <si>
    <t>יוסף דעת</t>
  </si>
  <si>
    <t>ליס, יוסף</t>
  </si>
  <si>
    <t>דרושים, מחשבה ומוסר, נושאים שונים, תולדות עם ישראל</t>
  </si>
  <si>
    <t>יוסף דעת - 2 כר'</t>
  </si>
  <si>
    <t>יוסף דעת, דובר שלום</t>
  </si>
  <si>
    <t>ביטון, יוסף שלום בן שמעון חנניה</t>
  </si>
  <si>
    <t>יוסף ה' עליכם - בפסוקי התורה</t>
  </si>
  <si>
    <t>יוסף הלל - 2 כר'</t>
  </si>
  <si>
    <t>ברכפלד, מנחם מנדל</t>
  </si>
  <si>
    <t>יוסף הצדיק - על שמירת הברית ותיקונו</t>
  </si>
  <si>
    <t>עמית, ירון</t>
  </si>
  <si>
    <t>יוסף חי</t>
  </si>
  <si>
    <t>דמרי, אליהו חואתי בן פראג'י</t>
  </si>
  <si>
    <t>יוסף חיים</t>
  </si>
  <si>
    <t>קובץ שו"ת</t>
  </si>
  <si>
    <t>יוסף חן</t>
  </si>
  <si>
    <t>נחמיאש, יוסף בן דוד</t>
  </si>
  <si>
    <t>פרידלאנד, נתן בן יוסף</t>
  </si>
  <si>
    <t>תרל"ח-תרמ"א</t>
  </si>
  <si>
    <t>משנה, קבלה, קבלה, תנ"ך, תפלות בקשות פיוטים ושירה</t>
  </si>
  <si>
    <t>יוסף חן - מיני מרקחת - חכמי לוב</t>
  </si>
  <si>
    <t>רובין, יוסף - רקח, יעקב בן שלמה - זוארץ, אליהו</t>
  </si>
  <si>
    <t>רובין, יוסף</t>
  </si>
  <si>
    <t>יוסף לחק, לקחת מוסר</t>
  </si>
  <si>
    <t>יוסף לקח - 3 כר'</t>
  </si>
  <si>
    <t>אבולעפיא, חיים בן יעקב</t>
  </si>
  <si>
    <t>ת"צ - תצ"ב</t>
  </si>
  <si>
    <t>יוסף לקח - 2 כר'</t>
  </si>
  <si>
    <t>יוסף לקח</t>
  </si>
  <si>
    <t>יוסף לקח - שו"ת</t>
  </si>
  <si>
    <t>יוסף לקח - 4 כר'</t>
  </si>
  <si>
    <t>ראפ, יוסף בן אריה ליב</t>
  </si>
  <si>
    <t>תש"ז - תש"ל</t>
  </si>
  <si>
    <t>רינהולד, יוסף צבי בן מרדכי</t>
  </si>
  <si>
    <t>תנ"ך. תרנ"ט. אמשטרדם</t>
  </si>
  <si>
    <t>(הק' תרנ"ט)</t>
  </si>
  <si>
    <t>Amsterdam</t>
  </si>
  <si>
    <t>יוסף עליו</t>
  </si>
  <si>
    <t>מונטקיו, יוסף בן יצחק משה</t>
  </si>
  <si>
    <t>דרושים, דרושים, משנה, תלמוד בבלי</t>
  </si>
  <si>
    <t>יוסף קדישא  - תולדות רבי יוסף קדיש קרישבסקי</t>
  </si>
  <si>
    <t>קרישבסקי, אהרן אשר</t>
  </si>
  <si>
    <t>יוסף שאלה - סוכה</t>
  </si>
  <si>
    <t>שרשבסקי, יוסף שאול</t>
  </si>
  <si>
    <t>יוסף שיח - הוצאה</t>
  </si>
  <si>
    <t>אקער, יוסף אליעזר בן חיים ישעיהו</t>
  </si>
  <si>
    <t>יוסף שלמה דילמדיגו</t>
  </si>
  <si>
    <t>פרידמן, ד.א.</t>
  </si>
  <si>
    <t>יוסף תהלות - 3 כר'</t>
  </si>
  <si>
    <t>יוסף תואר</t>
  </si>
  <si>
    <t>משדי, יוסף תומר</t>
  </si>
  <si>
    <t>יוסף תודה</t>
  </si>
  <si>
    <t>קרסניניסקי, אברהם</t>
  </si>
  <si>
    <t>יוצר אור - 2 כר'</t>
  </si>
  <si>
    <t>יוצרות המבואורת</t>
  </si>
  <si>
    <t>יוצרות כמנהג פולן ופיהם ומערהרן</t>
  </si>
  <si>
    <t>יוצרות מכל השנה</t>
  </si>
  <si>
    <t>רפ"ו</t>
  </si>
  <si>
    <t>יוצרות - 3 כר'</t>
  </si>
  <si>
    <t>בית חג"י</t>
  </si>
  <si>
    <t>יוצרות - (תש"ע)</t>
  </si>
  <si>
    <t>קובץ כולל אור יוסף</t>
  </si>
  <si>
    <t>בית חגי</t>
  </si>
  <si>
    <t>יוקח נא</t>
  </si>
  <si>
    <t>יורה דעה - א</t>
  </si>
  <si>
    <t>ענבל, יהושע בן צבי</t>
  </si>
  <si>
    <t>יורה דרך</t>
  </si>
  <si>
    <t>רוזנטאל, אליהו בן רפאל</t>
  </si>
  <si>
    <t>יורה ומלקוש</t>
  </si>
  <si>
    <t>יורה חטאים - 4 כר'</t>
  </si>
  <si>
    <t>עליס, יצחק בן משה</t>
  </si>
  <si>
    <t>יורה חכימא &lt;מהדורה חדשה&gt;</t>
  </si>
  <si>
    <t>יורו משפטיך ליעקב &lt;המבואר&gt; - 2 כר'</t>
  </si>
  <si>
    <t>יורו משפטיך ליעקב &lt;מהדורת מכון באר יעקב&gt; - 2 כר'</t>
  </si>
  <si>
    <t>יורו משפטיך ליעקב &lt;מהדורה חדשה&gt;</t>
  </si>
  <si>
    <t>יורו משפטיך ליעקב - 5 כר'</t>
  </si>
  <si>
    <t>יורו משפטיך ליעקב</t>
  </si>
  <si>
    <t>יושב אהלים - כתובות,  קידושין</t>
  </si>
  <si>
    <t>יושב אהלים</t>
  </si>
  <si>
    <t>מנטרוז, יעקב בן דוד</t>
  </si>
  <si>
    <t>יושב אהלים - 3 כר'</t>
  </si>
  <si>
    <t>שוב, יצחק אליעזר</t>
  </si>
  <si>
    <t>יושב כרובים - 7 כר'</t>
  </si>
  <si>
    <t>יושבי אהל</t>
  </si>
  <si>
    <t>שטיינמץ, יוסף יוזפא</t>
  </si>
  <si>
    <t>יושבי אהלים</t>
  </si>
  <si>
    <t>קובץ איגוד בני החבורות - ויזניץ</t>
  </si>
  <si>
    <t>יושבי ביתך</t>
  </si>
  <si>
    <t>יושבי תבל</t>
  </si>
  <si>
    <t>דרנבורג, צבי הירש בן יעקב</t>
  </si>
  <si>
    <t>יושבת בגנים - 2 כר'</t>
  </si>
  <si>
    <t>עגערט, זאב וולף - סטארטש, אברהם יצחק</t>
  </si>
  <si>
    <t>יושיע ציון</t>
  </si>
  <si>
    <t>הכהן, ציון בן אבאתו</t>
  </si>
  <si>
    <t>תש"ז-תש"ח</t>
  </si>
  <si>
    <t>יושר דברי אמת &lt;מהדורה חדשה&gt;</t>
  </si>
  <si>
    <t>יושר דברי אמת - 2 כר'</t>
  </si>
  <si>
    <t>חסידות, שאלות ותשובות, תנ"ך, תנ"ך</t>
  </si>
  <si>
    <t>יושר הורי</t>
  </si>
  <si>
    <t>לב, ישראל בן יעקב</t>
  </si>
  <si>
    <t>יושר לבב</t>
  </si>
  <si>
    <t>יושר לבב - 4 כר'</t>
  </si>
  <si>
    <t>יזכר</t>
  </si>
  <si>
    <t>ברזין, אבא צבי</t>
  </si>
  <si>
    <t>יזל מים מדליו - תורה</t>
  </si>
  <si>
    <t>יזל מים</t>
  </si>
  <si>
    <t>מאיער, יצחק זאב</t>
  </si>
  <si>
    <t>יזמרך כבוד &lt;מהדורה חדשה&gt;</t>
  </si>
  <si>
    <t>אליעזר בן יצחק אייזק</t>
  </si>
  <si>
    <t>יזמרך כבוד</t>
  </si>
  <si>
    <t>אליעזר בן יצחק אייזיק</t>
  </si>
  <si>
    <t>יזרח אור &lt;מהדורה חדשה&gt;</t>
  </si>
  <si>
    <t>שווארץ, פינחס זליג בן נפתלי הכהן</t>
  </si>
  <si>
    <t>יזרח אור</t>
  </si>
  <si>
    <t>יזרעאלי</t>
  </si>
  <si>
    <t>חכם, אברהם בן עזריה</t>
  </si>
  <si>
    <t>יחד הרים ירננו</t>
  </si>
  <si>
    <t>אזולאי, אליהו בן מסעוד</t>
  </si>
  <si>
    <t>יחוד ברכה וקדושה - שבת קודש</t>
  </si>
  <si>
    <t>יחוד ההתבודדות (אנגלית)</t>
  </si>
  <si>
    <t>יחוד ההתבודדות</t>
  </si>
  <si>
    <t>יחוד השבת - 2 כר'</t>
  </si>
  <si>
    <t>יחוד</t>
  </si>
  <si>
    <t>יחוד - הלכותיו בקצרה</t>
  </si>
  <si>
    <t>טרופר, ליב</t>
  </si>
  <si>
    <t>יחודים ועליות כמוך - פורים</t>
  </si>
  <si>
    <t>כולל דעת קדושים ספינקא</t>
  </si>
  <si>
    <t>יחודים ועליות כמותך - סוכות</t>
  </si>
  <si>
    <t>יחודים כמותך - חנוכה</t>
  </si>
  <si>
    <t>יחוה דעת - 3 כר'</t>
  </si>
  <si>
    <t>חזן, יצחק</t>
  </si>
  <si>
    <t>יחוה דעת  - פרדס רמונים - &lt;קפט&gt;</t>
  </si>
  <si>
    <t>לורברבוים, יעקב בן יעקב משה - אביגדור, משה יצחק בן שמואל - אייכנשטיין, יצחק אייז</t>
  </si>
  <si>
    <t>יחוה דעת</t>
  </si>
  <si>
    <t>מאקובסקי, צבי בן בנימין</t>
  </si>
  <si>
    <t>יחוס הגדולים</t>
  </si>
  <si>
    <t>הורביץ, שמואל בן ישעיה</t>
  </si>
  <si>
    <t>יחוס הצדיקים</t>
  </si>
  <si>
    <t>יחוס הצדיקים. שכ"א</t>
  </si>
  <si>
    <t>שכ"א</t>
  </si>
  <si>
    <t>מנטובה,</t>
  </si>
  <si>
    <t>יחוס הצדיקים. תרנ"ו</t>
  </si>
  <si>
    <t>מחשבה ומוסר, נושאים שונים, קבלה, תולדות עם ישראל</t>
  </si>
  <si>
    <t>יחוס משפחת עלעפאנט -אייזנבערגער</t>
  </si>
  <si>
    <t>יחוסי תנאים ואמוראים</t>
  </si>
  <si>
    <t>יהודה בן קלונימוס משפירא</t>
  </si>
  <si>
    <t>יחזקאל איוב ודניאל - מתורגמים ללאדינו</t>
  </si>
  <si>
    <t>תנ"ך. של"ב. שלוניקי</t>
  </si>
  <si>
    <t>יחי יוסף</t>
  </si>
  <si>
    <t>יחי עזרא</t>
  </si>
  <si>
    <t>יחי ראובן &lt;לר' ראובן פיין&gt;</t>
  </si>
  <si>
    <t>קבצים וכתבי עת, ספרי זכרון ויובל, תולדות עם ישראל, תלמוד בבלי</t>
  </si>
  <si>
    <t>יחי ראובן ואל ימות</t>
  </si>
  <si>
    <t>שרעבי, ראובן</t>
  </si>
  <si>
    <t>יחי ראובן</t>
  </si>
  <si>
    <t>[גבאי, ראובן בן ישראל]</t>
  </si>
  <si>
    <t>יחי ראובן - א</t>
  </si>
  <si>
    <t>וויינברגר, ראובן חיים בן יצחק צבי</t>
  </si>
  <si>
    <t>זמאן, ראובן בן צבי מנחם הלוי</t>
  </si>
  <si>
    <t>יחי ראובן - 3 כר'</t>
  </si>
  <si>
    <t>שראבני, ראובן שלום (לזכרו)</t>
  </si>
  <si>
    <t>יחי שלמה</t>
  </si>
  <si>
    <t>קופר, יחיאל שלמה בן מרדכי הכהן</t>
  </si>
  <si>
    <t>יחיד בדורו</t>
  </si>
  <si>
    <t>חורב, אורי</t>
  </si>
  <si>
    <t>יחיד ודורו - 2 כר'</t>
  </si>
  <si>
    <t>וגשל, אהרן - הופמן, שלמה</t>
  </si>
  <si>
    <t>יחידי סגולה</t>
  </si>
  <si>
    <t>יחיו דגן</t>
  </si>
  <si>
    <t>וויטירבו, יחיאל חיים בן מרדכי רפאל שמשו</t>
  </si>
  <si>
    <t>תק"צ - תר"ג</t>
  </si>
  <si>
    <t>יחיל מדבר</t>
  </si>
  <si>
    <t>לוי, חגי</t>
  </si>
  <si>
    <t>יחל ישראל &lt;אבות&gt; - 6 כר'</t>
  </si>
  <si>
    <t>יחל ישראל &lt;שו"ת&gt; - 3 כר'</t>
  </si>
  <si>
    <t>יחל ישראל</t>
  </si>
  <si>
    <t>טאובה, ישראל</t>
  </si>
  <si>
    <t>יחלק שלל - 6 כר'</t>
  </si>
  <si>
    <t>מערכת תלמודו בידו</t>
  </si>
  <si>
    <t>יחלק שלל - 2 כר'</t>
  </si>
  <si>
    <t>רבינוביץ-תאומים, בנימין בן יעקב</t>
  </si>
  <si>
    <t>יחס דבדו החדש</t>
  </si>
  <si>
    <t>יידיש השפה הקדושה - 4 כר'</t>
  </si>
  <si>
    <t>יידישע מאכלים</t>
  </si>
  <si>
    <t>קוסובר, מרדכי</t>
  </si>
  <si>
    <t>יידישע פאלקס - 2 כר'</t>
  </si>
  <si>
    <t>פיעטרושקא , שמחה</t>
  </si>
  <si>
    <t>יידן אין יאהאנעסבורג</t>
  </si>
  <si>
    <t>פלדמן, לייבל</t>
  </si>
  <si>
    <t>ייטב לב</t>
  </si>
  <si>
    <t>חזן, חיים דוד בן רפאל יוסף</t>
  </si>
  <si>
    <t>ייטב לב - 3 כר'</t>
  </si>
  <si>
    <t>ייטב פנים - 5 כר'</t>
  </si>
  <si>
    <t>תרמ"ב - תרמ"ג</t>
  </si>
  <si>
    <t>יין הטוב &lt;מהדורה חדשה&gt;</t>
  </si>
  <si>
    <t>ניסים, יצחק בן רחמים</t>
  </si>
  <si>
    <t>יין הטוב - 5 כר'</t>
  </si>
  <si>
    <t>וין, אלתר טוביה</t>
  </si>
  <si>
    <t>יין הטוב - א</t>
  </si>
  <si>
    <t>יין המלך - 2 כר'</t>
  </si>
  <si>
    <t>יין המשומר - 3 כר'</t>
  </si>
  <si>
    <t>יין המשמח - 2 כר'</t>
  </si>
  <si>
    <t>יין הרוקח</t>
  </si>
  <si>
    <t>יין הרקח</t>
  </si>
  <si>
    <t>משה בן מיינסטר</t>
  </si>
  <si>
    <t>יין ישן בקנקן חדש - 4 כר'</t>
  </si>
  <si>
    <t>אסיפת חיבורים מגדולי האחרונים</t>
  </si>
  <si>
    <t>יין ישן - 2 כר'</t>
  </si>
  <si>
    <t>יין לבנון</t>
  </si>
  <si>
    <t>ברי"ל, יחיאל בן יהודה ליב</t>
  </si>
  <si>
    <t>יין לנסך</t>
  </si>
  <si>
    <t>יין לשבת</t>
  </si>
  <si>
    <t>ננקנסקי, יהושע</t>
  </si>
  <si>
    <t>יין מלכות</t>
  </si>
  <si>
    <t>פוגל, יהושע בן יעקב שמעון</t>
  </si>
  <si>
    <t>יין משמח - 5 כר'</t>
  </si>
  <si>
    <t>תשס"ד-תשע"א</t>
  </si>
  <si>
    <t>יינה של תורה - 7 כר'</t>
  </si>
  <si>
    <t>יינה של תורה - ב</t>
  </si>
  <si>
    <t>יכבד אב</t>
  </si>
  <si>
    <t>יכהן פאר &lt;על זמירות שבת קודש&gt; - 2 כר'</t>
  </si>
  <si>
    <t>יכהן פאר</t>
  </si>
  <si>
    <t>הכהן, חנוך צבי</t>
  </si>
  <si>
    <t>חסידות, נושאים שונים, תולדות עם ישראל, תנ"ך</t>
  </si>
  <si>
    <t>לווין, חנוך צבי בן פינחס יעקב הכהן</t>
  </si>
  <si>
    <t>דרושים, דרושים, הלכה ומנהג, הלכה ומנהג, משנה, נושאים שונים, תלמוד בבלי</t>
  </si>
  <si>
    <t>יכין ובועז - הוריות</t>
  </si>
  <si>
    <t>יכין ובעז - 4 כר'</t>
  </si>
  <si>
    <t>דוראן, צמח בן שלמה</t>
  </si>
  <si>
    <t>ילדות בירושלים הישנה - 5 כר'</t>
  </si>
  <si>
    <t>יהושע, יעקב בן חנניה גבריאל</t>
  </si>
  <si>
    <t>ילדי הזמן</t>
  </si>
  <si>
    <t>ילדי טהרן מאשימים</t>
  </si>
  <si>
    <t>ילדי טיהרן מאשימים</t>
  </si>
  <si>
    <t>ילדי יוסף</t>
  </si>
  <si>
    <t>ילדי קודש</t>
  </si>
  <si>
    <t>טויב, יוסף יהושע בן שמואל דוד</t>
  </si>
  <si>
    <t>ילדים כהלכה</t>
  </si>
  <si>
    <t>ילמד דעת</t>
  </si>
  <si>
    <t>האלצער, ישעיהו בנימין</t>
  </si>
  <si>
    <t>ילמדנו רבינו</t>
  </si>
  <si>
    <t>גאלד, חיים</t>
  </si>
  <si>
    <t>ילקוט אבני אמונת ישראל</t>
  </si>
  <si>
    <t>לינטופ, פינחס בן יהודה ליב הכהן</t>
  </si>
  <si>
    <t>ילקוט אבנים &lt;מהדורה חדשה&gt;</t>
  </si>
  <si>
    <t>פרלמאן, צבי הירש בן ברוך</t>
  </si>
  <si>
    <t>ילקוט אבנים - 2 כר'</t>
  </si>
  <si>
    <t>ילקוט אברהם - 2 כר'</t>
  </si>
  <si>
    <t>וינר, אברהם בן יוסף בנימין</t>
  </si>
  <si>
    <t>ילקוט אברהם</t>
  </si>
  <si>
    <t>ליפשיץ, אברהם בן שבתי</t>
  </si>
  <si>
    <t>דרושים, חסידות, שאלות ותשובות, שלחן ערוך ומפרשיו</t>
  </si>
  <si>
    <t>ילקוט אברך - 13 כר'</t>
  </si>
  <si>
    <t>ילקוט אהבת ישראל - 2 כר'</t>
  </si>
  <si>
    <t>ילקוט אהבת שלום</t>
  </si>
  <si>
    <t>צופר, שלמה צדוק</t>
  </si>
  <si>
    <t>דרושים, מועדי ישראל, מחשבה ומוסר, נושאים שונים, תנ"ך, תפלות בקשות פיוטים ושירה</t>
  </si>
  <si>
    <t>ילקוט אהל מועד - מגילת אסתר</t>
  </si>
  <si>
    <t>אסופת מפרשים מכמאה ספרים שונים</t>
  </si>
  <si>
    <t>ילקוט אהל רבקה</t>
  </si>
  <si>
    <t>קליין, יוסף שמחה בן שמואל</t>
  </si>
  <si>
    <t>ילקוט אוהב ישראל</t>
  </si>
  <si>
    <t>ילקוט אור החיים &lt;ניצוצי אור&gt; - 2 כר'</t>
  </si>
  <si>
    <t>ילקוט אור החיים הקדוש</t>
  </si>
  <si>
    <t>ילקוט אור השנה - 3 כר'</t>
  </si>
  <si>
    <t>צלר, שמואל</t>
  </si>
  <si>
    <t>ילקוט אורה ושמחה</t>
  </si>
  <si>
    <t>ליקוט מכתבי קודש</t>
  </si>
  <si>
    <t>ילקוט אורות רבותינו</t>
  </si>
  <si>
    <t>גוטמן, אברהם דוד</t>
  </si>
  <si>
    <t>ילקוט איים רבים - 2 כר'</t>
  </si>
  <si>
    <t>מרגליות, ישראל אריה יצחק</t>
  </si>
  <si>
    <t>ילקוט אילנא דחיי</t>
  </si>
  <si>
    <t>ילקוט אליעזר &lt;תהלים&gt;</t>
  </si>
  <si>
    <t>ילקוט אליעזר - 4 כר'</t>
  </si>
  <si>
    <t>תרכ"ד-תרל"א</t>
  </si>
  <si>
    <t>ילקוט אליעזר - 2 כר'</t>
  </si>
  <si>
    <t>רונין, אליעזר בן שמואל</t>
  </si>
  <si>
    <t>ילקוט אמונה ובטחון</t>
  </si>
  <si>
    <t>ילקוט אמרי נועם</t>
  </si>
  <si>
    <t>ראם, ישראל נועם בן שמואל אהרן</t>
  </si>
  <si>
    <t>ילקוט אמרי קודש</t>
  </si>
  <si>
    <t>פרידמן, ישראל משה בן אברהם יעקב</t>
  </si>
  <si>
    <t>ילקוט אמרים</t>
  </si>
  <si>
    <t>ילקוט אפרים</t>
  </si>
  <si>
    <t>פרידמאן, אפרים בן מרדכי</t>
  </si>
  <si>
    <t>דרושים, שאר ספרי חז"ל, תנ"ך</t>
  </si>
  <si>
    <t>קוקיא, אפרים בן יעקב הלוי</t>
  </si>
  <si>
    <t>שיקוואי-שווילי, אפרים בן שלום</t>
  </si>
  <si>
    <t>ילקוט ארבעה ערכים</t>
  </si>
  <si>
    <t>ילקוט ארץ ישראל</t>
  </si>
  <si>
    <t>ציזלינג, יהודה אידל בן יוסף</t>
  </si>
  <si>
    <t>ילקוט באר מרים - במדבר</t>
  </si>
  <si>
    <t>צימר, אברהם</t>
  </si>
  <si>
    <t>ילקוט בגלל אבות - קול יהודה</t>
  </si>
  <si>
    <t>היילפרין, יהודה ליבש בן שבח</t>
  </si>
  <si>
    <t>חסידות, נושאים שונים, שאלות ותשובות</t>
  </si>
  <si>
    <t>ילקוט בחסד ובאמת</t>
  </si>
  <si>
    <t>ילקוט ביאור מילות רות</t>
  </si>
  <si>
    <t>כרמי, יובל</t>
  </si>
  <si>
    <t>ילקוט ביאורים בית משה אליהו - גיטין</t>
  </si>
  <si>
    <t>ילקוט ביקור חולים</t>
  </si>
  <si>
    <t>הלוי, דוד</t>
  </si>
  <si>
    <t>ילקוט בני בינה</t>
  </si>
  <si>
    <t>ילקוט בצלאל</t>
  </si>
  <si>
    <t>אלכסנדרוב, בצלאל בן אברהם</t>
  </si>
  <si>
    <t>תרפ"ז-תרפ"ט</t>
  </si>
  <si>
    <t>ילקוט בראשי</t>
  </si>
  <si>
    <t>בראשי, זכריה בן אליהו</t>
  </si>
  <si>
    <t>ילקוט ברוך דוב</t>
  </si>
  <si>
    <t>ליכטנשטיין, ברוך דוב בן יעקב</t>
  </si>
  <si>
    <t>ילקוט גאולת ישראל</t>
  </si>
  <si>
    <t>ילקוט גבריאל - 3 כר'</t>
  </si>
  <si>
    <t>יזדי, גבריאל</t>
  </si>
  <si>
    <t>ילקוט דברי אסף</t>
  </si>
  <si>
    <t>ילקוט דברי חיים</t>
  </si>
  <si>
    <t>ביטון, דניאל</t>
  </si>
  <si>
    <t>ילקוט דברי חכמים - 6 כר'</t>
  </si>
  <si>
    <t>אגודת תקנת נר"ן</t>
  </si>
  <si>
    <t>ילקוט דוד &lt;מהדורה חדשה&gt;</t>
  </si>
  <si>
    <t>פוזנר, דוד בן נפתלי הירץ</t>
  </si>
  <si>
    <t>ילקוט דוד</t>
  </si>
  <si>
    <t>ילקוט דוד - 2 כר'</t>
  </si>
  <si>
    <t>ילקוט דניאל</t>
  </si>
  <si>
    <t>ילקוט דפי החידושים - קידושין</t>
  </si>
  <si>
    <t>ישיבה הרמה לונדון</t>
  </si>
  <si>
    <t>ילקוט דת ודין &lt;מהדורה חדשה&gt;</t>
  </si>
  <si>
    <t>ילקוט דת ודין</t>
  </si>
  <si>
    <t>ילקוט האורים &lt;מהדורה חדשה&gt;</t>
  </si>
  <si>
    <t>ילקוט האורים</t>
  </si>
  <si>
    <t>ילקוט הגרשוני &lt;אגדות הש"ס&gt; - 3 כר'</t>
  </si>
  <si>
    <t>שטרן, גרשון בן משה</t>
  </si>
  <si>
    <t>תרפ"ב - תרפ"ז</t>
  </si>
  <si>
    <t>דרושים, משנה, שאלות ותשובות, תלמוד בבלי, תלמוד בבלי</t>
  </si>
  <si>
    <t>ילקוט הגרשוני &lt;כללים&gt; - 5 כר'</t>
  </si>
  <si>
    <t>ילקוט הגרשוני &lt;שו"ע&gt; - 3 כר'</t>
  </si>
  <si>
    <t>תרס"א - תרס"ח</t>
  </si>
  <si>
    <t>ילקוט הגרשוני &lt;תנ"ך&gt; - 2 כר'</t>
  </si>
  <si>
    <t>ילקוט הגרשוני על מסכת אבות</t>
  </si>
  <si>
    <t>ילקוט הגרשוני - יור"ד, עגונות, חולין, שביעית</t>
  </si>
  <si>
    <t>ילקוט הדרוש - 3 כר'</t>
  </si>
  <si>
    <t>ווייסבלום, אליעזר ליפא בן ישראל חיים - לויטן, שלום יצחק</t>
  </si>
  <si>
    <t>תר"פ - תרפ"ז</t>
  </si>
  <si>
    <t>דרושים, קבצים וכתבי עת, ספרי זכרון ויובל, שאר ספרי חז"ל, תנ"ך</t>
  </si>
  <si>
    <t>ילקוט הזהר</t>
  </si>
  <si>
    <t>אייזנשמיד, ישעיה מנחם מנדל בן אברהם אלי</t>
  </si>
  <si>
    <t>נושאים שונים, נושאים שונים, קבלה</t>
  </si>
  <si>
    <t>ילקוט החברה קדישא</t>
  </si>
  <si>
    <t>חברה קדישא. תל אביב</t>
  </si>
  <si>
    <t>ילקוט החיים</t>
  </si>
  <si>
    <t>שיפמאן, אלתר חיים בן משה יהודה ליב הלוי</t>
  </si>
  <si>
    <t>מחשבה ומוסר, נושאים שונים, קבלה, שאר ספרי חז"ל</t>
  </si>
  <si>
    <t>ילקוט הכרת הטוב</t>
  </si>
  <si>
    <t>ילקוט הלוי</t>
  </si>
  <si>
    <t>הלוי, רפאל בן אהרן ידידיה</t>
  </si>
  <si>
    <t>ילקוט הליכות עולם</t>
  </si>
  <si>
    <t>פרידמאן, ישראל בן דוד משה</t>
  </si>
  <si>
    <t>פרידמן, ישראל (עורך)</t>
  </si>
  <si>
    <t>ילקוט הליכות - 3 כר'</t>
  </si>
  <si>
    <t>גרין, אהרן מרדכי</t>
  </si>
  <si>
    <t>ילקוט המאירי - 2 כר'</t>
  </si>
  <si>
    <t>ילקוט המוסר ואבני השהם - א</t>
  </si>
  <si>
    <t>ילקוט המוסר ואבני השהם - 2 כר'</t>
  </si>
  <si>
    <t>ילקוט המועדים - ב</t>
  </si>
  <si>
    <t>רבינוביץ, צבי יהודה בן אליהו עקיבא</t>
  </si>
  <si>
    <t>ילקוט המחדש בטובו</t>
  </si>
  <si>
    <t>רייזמן, אהרן</t>
  </si>
  <si>
    <t>ילקוט המכירי - 6 כר'</t>
  </si>
  <si>
    <t>מכיר בן אבא מרי</t>
  </si>
  <si>
    <t>ילקוט הנהגות ותקנות - א</t>
  </si>
  <si>
    <t>ילקוט הנהגות ותקנות</t>
  </si>
  <si>
    <t>הלכה ומנהג, הלכה ומנהג, מחשבה ומוסר, נושאים שונים, קבצים וכתבי עת, ספרי זכרון ויובל</t>
  </si>
  <si>
    <t>ילקוט הנפלאות</t>
  </si>
  <si>
    <t>ילקוט הפיוטים</t>
  </si>
  <si>
    <t>מירסקי, אהרן בן יהושע יצחק</t>
  </si>
  <si>
    <t>ילקוט הפירושים</t>
  </si>
  <si>
    <t>הולנדר, עקיבא בן יצחק משולם</t>
  </si>
  <si>
    <t>ילקוט הפלאות</t>
  </si>
  <si>
    <t>פוטרניק, חיים בן ישכר בעריש</t>
  </si>
  <si>
    <t>בילגוריי</t>
  </si>
  <si>
    <t>ילקוט הפתגמים</t>
  </si>
  <si>
    <t>ארזי, אברהם</t>
  </si>
  <si>
    <t>ילקוט הצמחים</t>
  </si>
  <si>
    <t>טכורש, אלכסנדר סנדר גדליהו בן אברהם יצחק</t>
  </si>
  <si>
    <t>ילקוט הרועים</t>
  </si>
  <si>
    <t>הרצוג, נפתלי הרץ בן מ' סנדר</t>
  </si>
  <si>
    <t>זליקוביץ, משה</t>
  </si>
  <si>
    <t>ילקוט הרועים - 2 כר'</t>
  </si>
  <si>
    <t>ילקוט הריח - 2 כר'</t>
  </si>
  <si>
    <t>ילקוט השבעתי אתכם - 7 כר'</t>
  </si>
  <si>
    <t>נייגר, אביעד</t>
  </si>
  <si>
    <t>ילקוט השמות הפרטיים שבתנ"ך ומדרשיהם</t>
  </si>
  <si>
    <t>הרדוף, דוד מנדל</t>
  </si>
  <si>
    <t>ילקוט ווהלין - 8 כר'</t>
  </si>
  <si>
    <t>ילקוט ווהלין</t>
  </si>
  <si>
    <t>תש"ה-תשי"ג</t>
  </si>
  <si>
    <t>ילקוט ומקדשי תראו</t>
  </si>
  <si>
    <t>קולא, יעקב צבי - ועוד</t>
  </si>
  <si>
    <t>ילקוט ופירושים דברי תורה</t>
  </si>
  <si>
    <t>יפה, שמואל בן אשר יצחק</t>
  </si>
  <si>
    <t>ילקוט זכרונות</t>
  </si>
  <si>
    <t>חדד, בועז</t>
  </si>
  <si>
    <t>ילקוט זרע שמשון - חנוכה</t>
  </si>
  <si>
    <t>ילקוט חדש &lt;כתב יד&gt;</t>
  </si>
  <si>
    <t>ילקוט חדש</t>
  </si>
  <si>
    <t>ילקוט חדש - 8 כר'</t>
  </si>
  <si>
    <t>ישראל בן בנימין מבלזיץ</t>
  </si>
  <si>
    <t>הלכה ומנהג, משנה, נושאים שונים, תלמוד בבלי</t>
  </si>
  <si>
    <t>לייטר, שמעון בן יהודה לייב</t>
  </si>
  <si>
    <t>דרושים, משנה, נושאים שונים, תולדות עם ישראל, תלמוד בבלי, תנ"ך, תפלות בקשות פיוטים ושירה</t>
  </si>
  <si>
    <t>ילקוט חידושים - 3 כר'</t>
  </si>
  <si>
    <t>ילקוט חמישאי - 6 כר'</t>
  </si>
  <si>
    <t>ילקוט טוב</t>
  </si>
  <si>
    <t>ילקוט יד חזקיה - 2 כר'</t>
  </si>
  <si>
    <t>זרובבלי, דוד בן חזקיה</t>
  </si>
  <si>
    <t>ילקוט ידיעות האמת - 2 כר'</t>
  </si>
  <si>
    <t>ילקוט יהודה - 5 כר'</t>
  </si>
  <si>
    <t>גינזבורג, יהודה ליב בן דוב בר</t>
  </si>
  <si>
    <t>ילקוט יהושע</t>
  </si>
  <si>
    <t>דרושים, חסידות, תלמוד בבלי</t>
  </si>
  <si>
    <t>ילקוט יוסיף לקח - 2 כר'</t>
  </si>
  <si>
    <t>בייפוס, יעקב ישראל הכהן</t>
  </si>
  <si>
    <t>ילקוט יוסף</t>
  </si>
  <si>
    <t>בובר, יוסף צבי בן אברהם הלוי</t>
  </si>
  <si>
    <t>גרוסמן, יוסף</t>
  </si>
  <si>
    <t>ילקוט יוסף - 50 כר'</t>
  </si>
  <si>
    <t>ילוז, יוסף חיים בן אליהו</t>
  </si>
  <si>
    <t>ילקוט יוסף - 2 כר'</t>
  </si>
  <si>
    <t>לעוו, ישראל יוסף</t>
  </si>
  <si>
    <t>ילקוט יחזקאל</t>
  </si>
  <si>
    <t>כהן, יחזקאל בן טוביה</t>
  </si>
  <si>
    <t>סונדרלנד, אנגליה</t>
  </si>
  <si>
    <t>ילקוט יעקב</t>
  </si>
  <si>
    <t>יעקב בן יעקב יוסף</t>
  </si>
  <si>
    <t>דרושים, מועדי ישראל, נושאים שונים, תפלות בקשות פיוטים ושירה</t>
  </si>
  <si>
    <t>ילקוט יצחק</t>
  </si>
  <si>
    <t>ברמאן, יחיאל יצחק בן אפרים פישל</t>
  </si>
  <si>
    <t>ילקוט יצחק - 4 כר'</t>
  </si>
  <si>
    <t>זאלר, יצחק בן משה מנחם מנדל</t>
  </si>
  <si>
    <t>תרנ"ה - תר"ס</t>
  </si>
  <si>
    <t>שמחוביץ, יצחק בן ישראל</t>
  </si>
  <si>
    <t>דרושים, חסידות, מחשבה ומוסר</t>
  </si>
  <si>
    <t>ילקוט יצחקי - פני יצחק</t>
  </si>
  <si>
    <t>קוניק, יצחק אייזיק בן אברהם הכהן</t>
  </si>
  <si>
    <t>בואנוס איירס</t>
  </si>
  <si>
    <t>ילקוט ירח למועדים</t>
  </si>
  <si>
    <t>מועדי ישראל, נושאים שונים, קבלה, קבלה</t>
  </si>
  <si>
    <t>ילקוט ישעיהו - 5 כר'</t>
  </si>
  <si>
    <t>וינד, ישעיהו בן ברוך</t>
  </si>
  <si>
    <t>ילקוט ישר - ילקוט משה</t>
  </si>
  <si>
    <t>רוקח, ישעיה שלום בן אפרים זלמן - רוקח, משה</t>
  </si>
  <si>
    <t>ילקוט ישר</t>
  </si>
  <si>
    <t>רוקח, ישעיה שלום בן אפרים זלמן</t>
  </si>
  <si>
    <t>חסידות, מועדי ישראל, נושאים שונים, נושאים שונים, קבלה</t>
  </si>
  <si>
    <t>ילקוט ישראל</t>
  </si>
  <si>
    <t>משורר, ישראל בן חיים אריה</t>
  </si>
  <si>
    <t>ילקוט ישראל - 3 כר'</t>
  </si>
  <si>
    <t>קלפוהלץ, ישראל יעקב</t>
  </si>
  <si>
    <t>ילקוט כבוד המת</t>
  </si>
  <si>
    <t>חברה קדישא תל אביב יפו</t>
  </si>
  <si>
    <t>ילקוט כהונה - 3 כר'</t>
  </si>
  <si>
    <t>הכהן, אדיר בן שמעון (עורך)</t>
  </si>
  <si>
    <t>ילקוט כתבי קודש</t>
  </si>
  <si>
    <t>כתבי קודש</t>
  </si>
  <si>
    <t>ילקוט כתרי אותיות - 2 כר'</t>
  </si>
  <si>
    <t>ילקוט לוים</t>
  </si>
  <si>
    <t>ניו יורק,</t>
  </si>
  <si>
    <t>ילקוט למועדים - 4 כר'</t>
  </si>
  <si>
    <t>ילקוט לפורים המשולש</t>
  </si>
  <si>
    <t>ילקוט לקח טוב &lt;חיים של תורה&gt; - 3 כר'</t>
  </si>
  <si>
    <t>ילקוט לקח טוב &lt;על מועדי השנה&gt; - 2 כר'</t>
  </si>
  <si>
    <t>ילקוט לקח טוב &lt;על פרשיות השבוע&gt; - 6 כר'</t>
  </si>
  <si>
    <t>ילקוט לקח טוב - 4 כר'</t>
  </si>
  <si>
    <t>ילקוט מאמרים לחיזוק אהבת תורה ושקידתה - 2 כר'</t>
  </si>
  <si>
    <t>שקלאר, יהושע</t>
  </si>
  <si>
    <t>ילקוט מגן אבות</t>
  </si>
  <si>
    <t>גערמאן, נחום מאיר</t>
  </si>
  <si>
    <t>ילקוט מגן - 3 כר'</t>
  </si>
  <si>
    <t>ילקוט מדרשי תימן - 2 כר'</t>
  </si>
  <si>
    <t>חכם תימני בלתי נודע</t>
  </si>
  <si>
    <t>ילקוט מדרשים - 7 כר'</t>
  </si>
  <si>
    <t>דשא, עידן (עורך)</t>
  </si>
  <si>
    <t>ילקוט מהרי"ח</t>
  </si>
  <si>
    <t>ילקוט מועדי ישראל - 2 כר'</t>
  </si>
  <si>
    <t>ילקוט מועדי ישראל - פסח, שבועות, סוכות</t>
  </si>
  <si>
    <t>ילקוט מועדי קדשיך - חג הפסח</t>
  </si>
  <si>
    <t>התאחדות אברכים דקהל יט"ל סאטמאר</t>
  </si>
  <si>
    <t>ילקוט מחיר כסף</t>
  </si>
  <si>
    <t>תשובות גדולי הדורות</t>
  </si>
  <si>
    <t>ילקוט מילואים</t>
  </si>
  <si>
    <t>ליפסקי, ישראל בן צבי הכהן</t>
  </si>
  <si>
    <t>ילקוט מנהגים</t>
  </si>
  <si>
    <t>וסרטיל, אשר</t>
  </si>
  <si>
    <t>ילקוט מנוחת אשר - מנוחת משה - פסח</t>
  </si>
  <si>
    <t>יונגרייז, אשר אנשל בן שמואל הלוי - יונגרייז, משה נתן נטע בן אשר אנשיל</t>
  </si>
  <si>
    <t>ילקוט מנחם</t>
  </si>
  <si>
    <t>ברוד, שמואל מנחם בן נחום דוב</t>
  </si>
  <si>
    <t>הל Hull</t>
  </si>
  <si>
    <t>מנחם מנדל בן יארא</t>
  </si>
  <si>
    <t>ילקוט מעם לועז - 2 כר'</t>
  </si>
  <si>
    <t>ילקוט מעם לועז - 5 כר'</t>
  </si>
  <si>
    <t>ילקוט מעם לועז - יב (יהושע)</t>
  </si>
  <si>
    <t>ילקוט מעם לועז - 20 כר'</t>
  </si>
  <si>
    <t>ילקוט מפרשים על מסכת כלים</t>
  </si>
  <si>
    <t>ילקוט מפרשים</t>
  </si>
  <si>
    <t>ילקוט מפרשים - מעילה</t>
  </si>
  <si>
    <t>קובץ ספרי אחרונים</t>
  </si>
  <si>
    <t>ילקוט מרגליות</t>
  </si>
  <si>
    <t>ילקוט משה - א</t>
  </si>
  <si>
    <t>ילקוט משה</t>
  </si>
  <si>
    <t>גורדון, משה הכהן</t>
  </si>
  <si>
    <t>דבש, משה בן ישראל בנימין</t>
  </si>
  <si>
    <t>דרושים, נושאים שונים, נושאים שונים, שונות, תנ"ך</t>
  </si>
  <si>
    <t>ילקוט משה - הלכות תפילה</t>
  </si>
  <si>
    <t>כהן, איתמר</t>
  </si>
  <si>
    <t>לבקוביץ, משה בן מאיר</t>
  </si>
  <si>
    <t>ילקוט משיב נפש</t>
  </si>
  <si>
    <t>קליין, יוסף שמחה</t>
  </si>
  <si>
    <t>ילקוט משלי החפץ חיים - סגולת התורה</t>
  </si>
  <si>
    <t>שיינפלד, שבתי - שיינפלד משה</t>
  </si>
  <si>
    <t>ילקוט מתן תורתנו - שבועות</t>
  </si>
  <si>
    <t>חברת יגדיל תורה</t>
  </si>
  <si>
    <t>ילקוט נח - שמות</t>
  </si>
  <si>
    <t>קפלן, נח</t>
  </si>
  <si>
    <t>ילקוט נחמני - 2 כר'</t>
  </si>
  <si>
    <t>בריינר, נחום בן נפתלי</t>
  </si>
  <si>
    <t>מחשבה ומוסר, נושאים שונים, נושאים שונים, קבלה, שאר ספרי חז"ל, תלמוד בבלי, תלמוד ירושלמי</t>
  </si>
  <si>
    <t>ילקוט סוד</t>
  </si>
  <si>
    <t>שמשון, יוסף שלמה</t>
  </si>
  <si>
    <t>ילקוט סופר החדש - 2 כר'</t>
  </si>
  <si>
    <t>ילקוט סופר - 3 כר'</t>
  </si>
  <si>
    <t>ילקוט סיני</t>
  </si>
  <si>
    <t>ילקוט ספורים ומדרשים - 2 כר'</t>
  </si>
  <si>
    <t>גרינוואלד, זאב וולף בן משה אהרן</t>
  </si>
  <si>
    <t>ילקוט ספורים - 2 כר'</t>
  </si>
  <si>
    <t>ילקוט ספר הזהר על ברית מילה</t>
  </si>
  <si>
    <t>אשלג, יחזקאל יוסף הלוי</t>
  </si>
  <si>
    <t>ילקוט ספר החינוך</t>
  </si>
  <si>
    <t>ילקוט סת"ם</t>
  </si>
  <si>
    <t>מכון מלאכת שמים</t>
  </si>
  <si>
    <t>ילקוט עבודת ישראל</t>
  </si>
  <si>
    <t>הופשטיין, ישראל בן שבתי - בלומנברג, משה יחזקאל הלוי</t>
  </si>
  <si>
    <t>ילקוט על התורה &lt;ילקוט ראובני&gt;</t>
  </si>
  <si>
    <t>ילקוט על התפלה</t>
  </si>
  <si>
    <t>גרינבום, נפתלי (עורך)</t>
  </si>
  <si>
    <t>ילקוט על פטירת אהרן ומשה</t>
  </si>
  <si>
    <t>ילקוט עמוד התפילה</t>
  </si>
  <si>
    <t>ילקוט עני</t>
  </si>
  <si>
    <t>מוזס, זאב בן יהודה</t>
  </si>
  <si>
    <t>ילקוט עצות והדרכות מספרי החפץ חיים</t>
  </si>
  <si>
    <t>ילקוט ערבות הילדים</t>
  </si>
  <si>
    <t>בלומנטאל, אברהם יוחנן בן יעקב</t>
  </si>
  <si>
    <t>ילקוט עת דודים</t>
  </si>
  <si>
    <t>ילקוט פירושים &lt;משלי&gt; - 2 כר'</t>
  </si>
  <si>
    <t>ילקוט פירושים &lt;פרקי אבות&gt; - 2 כר'</t>
  </si>
  <si>
    <t>ילקוט פירושים &lt;תהילים&gt; - 4 כר'</t>
  </si>
  <si>
    <t>ילקוט פירושים לתורה</t>
  </si>
  <si>
    <t>עציון, יצחק רפאל הלוי</t>
  </si>
  <si>
    <t>ילקוט פירושים על התורה</t>
  </si>
  <si>
    <t>ילקוט פירושים - 7 כר'</t>
  </si>
  <si>
    <t>כ"ץ, ישראל בן אברהם דב</t>
  </si>
  <si>
    <t>ילקוט פירושים - 40 כר'</t>
  </si>
  <si>
    <t>ילקוט פני מבין</t>
  </si>
  <si>
    <t>פריד, נתנאל בן יחיאל מיכל הכהן</t>
  </si>
  <si>
    <t>ילקוט פנינים</t>
  </si>
  <si>
    <t>ילקוט פרי עץ הדר</t>
  </si>
  <si>
    <t>ילקוט צדקה וחסד</t>
  </si>
  <si>
    <t>ילקוט צורת האותיות</t>
  </si>
  <si>
    <t>גרינפלד, דוד לייב - גרנטשטיין, שמואל אליהו</t>
  </si>
  <si>
    <t>ילקוט ציוני דרך - 7 כר'</t>
  </si>
  <si>
    <t>ילקוט ציצים ופרחים</t>
  </si>
  <si>
    <t>איצקוביץ, יואל</t>
  </si>
  <si>
    <t>ילקוט ראובני - 6 כר'</t>
  </si>
  <si>
    <t>נושאים שונים, קבלה, תנ"ך</t>
  </si>
  <si>
    <t>ילקוט ראשונים - יבמות &lt;עם הגהות&gt;</t>
  </si>
  <si>
    <t>ילקוט ראשונים</t>
  </si>
  <si>
    <t>ילקוט רבה</t>
  </si>
  <si>
    <t>כהן, רועי בן הלל</t>
  </si>
  <si>
    <t>ילקוט רני ושמחי</t>
  </si>
  <si>
    <t>ילקוט רש"י</t>
  </si>
  <si>
    <t>קנזס סיטי Kansas Cit</t>
  </si>
  <si>
    <t>ילקוט ש"י על פרקי אבות</t>
  </si>
  <si>
    <t>גוטליב, שמעון</t>
  </si>
  <si>
    <t>ילקוט שארית ישראל</t>
  </si>
  <si>
    <t>ישראל דוב בר בן יוסף מווילדניק - קאהן, מנחם נחום הכהן</t>
  </si>
  <si>
    <t>ילקוט שבע - 16 כר'</t>
  </si>
  <si>
    <t>ילקוט שבת אחים</t>
  </si>
  <si>
    <t>ישיבת בית יוסף צבי</t>
  </si>
  <si>
    <t>ילקוט שבת קודש</t>
  </si>
  <si>
    <t>ילקוט שו"ת בעניני הלכה ומנהג - 3 כר'</t>
  </si>
  <si>
    <t>ניו סקווער</t>
  </si>
  <si>
    <t>ילקוט שיחות מוסר</t>
  </si>
  <si>
    <t>ראקאוו, בן ציון בן יום טוב ליפמאן</t>
  </si>
  <si>
    <t>ילקוט שיעורים - 3 כר'</t>
  </si>
  <si>
    <t>אלתר, שאול בן פנחס מנחם</t>
  </si>
  <si>
    <t>ילקוט שיעורים - פסחים</t>
  </si>
  <si>
    <t>וינגרטן, יעקב</t>
  </si>
  <si>
    <t>ילקוט שיעורים</t>
  </si>
  <si>
    <t>טולידאנו, יצחק בן יוסף</t>
  </si>
  <si>
    <t>ילקוט שיעורים - 6 כר'</t>
  </si>
  <si>
    <t>ילקוט שלמה</t>
  </si>
  <si>
    <t>דריליך, שלמה בן בצלאל</t>
  </si>
  <si>
    <t>ילקוט שמואל</t>
  </si>
  <si>
    <t>ילקוט שמואל - 2 כר'</t>
  </si>
  <si>
    <t>ילקוט שמחת ירושלים</t>
  </si>
  <si>
    <t>קלויזנר, ישראל בן חיים זאב</t>
  </si>
  <si>
    <t>מועדי ישראל, תלמוד ירושלמי</t>
  </si>
  <si>
    <t>ילקוט שמעון</t>
  </si>
  <si>
    <t>ילקוט שמעוני &lt;דפו"ר&gt; - ב</t>
  </si>
  <si>
    <t>שמעון הדרשן מפראנקפורט</t>
  </si>
  <si>
    <t>רפ"א - רפ"ז</t>
  </si>
  <si>
    <t>ילקוט שמעוני &lt;דפוס ראשון&gt; - 5 כר'</t>
  </si>
  <si>
    <t>ילקוט שמעוני &lt;שמן רענן והיכל רענן&gt; - 4 כר'</t>
  </si>
  <si>
    <t>קבלה, שאר ספרי חז"ל, תלמוד ירושלמי, תנ"ך</t>
  </si>
  <si>
    <t>ילקוט שמעוני המנוקד והמבואר - 10 כר'</t>
  </si>
  <si>
    <t>שמעון הדרשן - לוין, רפאל בן משה ברוך</t>
  </si>
  <si>
    <t>ילקוט שמעוני השלם  &lt;מהדורת וגשל&gt; - 5 כר'</t>
  </si>
  <si>
    <t>ילקוט שמעוני - פרקי אבות</t>
  </si>
  <si>
    <t>אבות. תשי"ז. ניו יורק</t>
  </si>
  <si>
    <t>ילקוט שמעוני - 3 כר'</t>
  </si>
  <si>
    <t>שאר ספרי חז"ל, תלמוד ירושלמי, תנ"ך</t>
  </si>
  <si>
    <t>ילקוט שערים לרבנו יונה</t>
  </si>
  <si>
    <t>ילקוט ששון ושמחה</t>
  </si>
  <si>
    <t>ילקוט שתי המילים</t>
  </si>
  <si>
    <t>היינריך, יונה</t>
  </si>
  <si>
    <t>ילקוט תורתך שעשעי - טשורקוב</t>
  </si>
  <si>
    <t>רבינוביץ, מרדכי שלמה (עורך)</t>
  </si>
  <si>
    <t>ילקוט תלמוד תורה - 8 כר'</t>
  </si>
  <si>
    <t>יעקב הסקילי</t>
  </si>
  <si>
    <t>ילקוט תלמוד תורה</t>
  </si>
  <si>
    <t>ילקוט תשובת ישראל</t>
  </si>
  <si>
    <t>מועדי ישראל, מחשבה ומוסר, נושאים שונים, נושאים שונים</t>
  </si>
  <si>
    <t>ילקוטי אליהו - 2 כר'</t>
  </si>
  <si>
    <t>דנינו, אליהו בן דוד</t>
  </si>
  <si>
    <t>ים הגדול</t>
  </si>
  <si>
    <t>שאלות ותשובות, שאר ספרי חז"ל</t>
  </si>
  <si>
    <t>ים ההלכה - הלכות תפילה</t>
  </si>
  <si>
    <t>מדר, יעקב</t>
  </si>
  <si>
    <t>ים ההלכה - 2 כר'</t>
  </si>
  <si>
    <t>מדרש חיים</t>
  </si>
  <si>
    <t>ים החיים - קהלת</t>
  </si>
  <si>
    <t>עזרא, משה בצלאל בן עבודי</t>
  </si>
  <si>
    <t>ים החכמה - 14 כר'</t>
  </si>
  <si>
    <t>ים החכמה</t>
  </si>
  <si>
    <t>שפירא, שמשון יואל בן יצחק הלוי</t>
  </si>
  <si>
    <t>ים המוסר - 2 כר'</t>
  </si>
  <si>
    <t>סיבוני, יוסף מרדכי</t>
  </si>
  <si>
    <t>ים הפלפול</t>
  </si>
  <si>
    <t>קסטינברג, יצחק מאיר בן משה הלוי</t>
  </si>
  <si>
    <t>ים הרחב - 2 כר'</t>
  </si>
  <si>
    <t>פנט, חיים בצלאל בן יחזקאל</t>
  </si>
  <si>
    <t>תולדות עם ישראל, תולדות עם ישראל, תלמוד בבלי</t>
  </si>
  <si>
    <t>ים התורה</t>
  </si>
  <si>
    <t>גולדשטיין, יוסף בן מרדכי</t>
  </si>
  <si>
    <t>קובץ מאמרים תורניים</t>
  </si>
  <si>
    <t>ים התלמוד &lt;מפרשי הים&gt; - 2 כר'</t>
  </si>
  <si>
    <t>אורנשטיין, משה יהושע השל בן מרדכי זאב</t>
  </si>
  <si>
    <t>ים התלמוד</t>
  </si>
  <si>
    <t>יצחק זלקא בן זאב וולף</t>
  </si>
  <si>
    <t>ים יששכר</t>
  </si>
  <si>
    <t>יששכר בר בן יהודה לימא</t>
  </si>
  <si>
    <t>משנה, שאר ספרי חז"ל, תלמוד בבלי</t>
  </si>
  <si>
    <t>ים של יהודה</t>
  </si>
  <si>
    <t>אלטמאן, יהודה בן יצחק</t>
  </si>
  <si>
    <t>ים של שלמה &lt;מכון משנת רבי אהרן&gt; ב"ק א</t>
  </si>
  <si>
    <t>ים של שלמה &lt;מכון משנת רבי אהרן&gt; ב"ק ב</t>
  </si>
  <si>
    <t>ים של שלמה - 4 כר'</t>
  </si>
  <si>
    <t>[לוריא, שלמה בן יחיאל (מהרש"ל)]</t>
  </si>
  <si>
    <t>שטעטטין</t>
  </si>
  <si>
    <t>ים של שלמה - 7 כר'</t>
  </si>
  <si>
    <t>[שצ"ג-שצ"ה,</t>
  </si>
  <si>
    <t>ים של שמואל</t>
  </si>
  <si>
    <t>קרמר, יעקב משה</t>
  </si>
  <si>
    <t>הלכה ומנהג, מועדי ישראל, משנה, נושאים שונים, שלחן ערוך ומפרשיו, תולדות עם ישראל, תלמוד בבלי, תנ"ך</t>
  </si>
  <si>
    <t>ים שמחה - 4 כר'</t>
  </si>
  <si>
    <t>פריעד, ישראל משה בן יוסף חיים</t>
  </si>
  <si>
    <t>הלכה ומנהג, מועדי ישראל, שלחן ערוך ומפרשיו, תלמוד בבלי, תנ"ך</t>
  </si>
  <si>
    <t>ימ"י שמחה</t>
  </si>
  <si>
    <t>ימה וקדמה</t>
  </si>
  <si>
    <t>הלוי, יחזקאל בן משה</t>
  </si>
  <si>
    <t>ימות החמ"ה - על בעל האמרי חיים מויז'ניץ</t>
  </si>
  <si>
    <t>ימות המשיח</t>
  </si>
  <si>
    <t>גרוס, יעקב בן חיים יששכר דוב</t>
  </si>
  <si>
    <t>ימות המשיח, תחיית המתים והעולם הבא</t>
  </si>
  <si>
    <t>ימות עולם</t>
  </si>
  <si>
    <t>ימי אברהם &lt;מהדורה חדשה&gt;</t>
  </si>
  <si>
    <t>ימי בין המצרים</t>
  </si>
  <si>
    <t>ימי ברכה</t>
  </si>
  <si>
    <t>רוטשילד, יחיאל מיכאל בן יששכר</t>
  </si>
  <si>
    <t>ימי דוד &lt;מהדורה חדשה&gt;</t>
  </si>
  <si>
    <t>ימי דוד</t>
  </si>
  <si>
    <t>ימי האורים</t>
  </si>
  <si>
    <t>ימי הבית השני</t>
  </si>
  <si>
    <t>רבינוביץ, חיים דב</t>
  </si>
  <si>
    <t>ימי החג - ב</t>
  </si>
  <si>
    <t>ימי החנוכה בהלכה ובאגדה - 2 כר'</t>
  </si>
  <si>
    <t>ימי החנוכה</t>
  </si>
  <si>
    <t>ימי החנוכה - 2 כר'</t>
  </si>
  <si>
    <t>ימי הלל והודאה</t>
  </si>
  <si>
    <t>ימי הפורים בהלכה ובאגדה</t>
  </si>
  <si>
    <t>ימי הפורים במשנתם של רבותינו</t>
  </si>
  <si>
    <t>ימי הפורים</t>
  </si>
  <si>
    <t>ויין, אברהם בן דוב</t>
  </si>
  <si>
    <t>ימי הפסח</t>
  </si>
  <si>
    <t>ימי הרחמים והסליחות</t>
  </si>
  <si>
    <t>אדמו"ר מויז'ניץ שליט"א</t>
  </si>
  <si>
    <t>ימי הרצון (ר"ה, יו"כ)</t>
  </si>
  <si>
    <t>שכטר, ישעיה בן ישראל אברהם</t>
  </si>
  <si>
    <t>ימי השובבי"ם</t>
  </si>
  <si>
    <t>ימי השובבים</t>
  </si>
  <si>
    <t>ימי התשובה</t>
  </si>
  <si>
    <t>ימי זכרון - 11 כר'</t>
  </si>
  <si>
    <t>ימי חייך הימים</t>
  </si>
  <si>
    <t>רוזנבוים, יהודה ליבוש בן ישראל משה</t>
  </si>
  <si>
    <t>ימי חנוכה</t>
  </si>
  <si>
    <t>ימי טוהר - א-ב</t>
  </si>
  <si>
    <t>יונה, ינון בן מרדכי</t>
  </si>
  <si>
    <t>ימי יוסף - 2 כר'</t>
  </si>
  <si>
    <t>ימי מהרנ"ת</t>
  </si>
  <si>
    <t>ימי מוהרנ"ת - א ב</t>
  </si>
  <si>
    <t>ימי מועד - ביצה</t>
  </si>
  <si>
    <t>בני החבורה ביהמ"ד הגבוה לייקוואד</t>
  </si>
  <si>
    <t>ימי משתה ושמחה</t>
  </si>
  <si>
    <t>טאוב, נועם חיים</t>
  </si>
  <si>
    <t>ימי משתה ושמחה - הלכות פורים</t>
  </si>
  <si>
    <t>ימי נחמה - שערי נחמה</t>
  </si>
  <si>
    <t>ימי נחמיה</t>
  </si>
  <si>
    <t>ימי סופר המלך א</t>
  </si>
  <si>
    <t>ברנפלד, יצחק צבי (עליו)</t>
  </si>
  <si>
    <t>ימי רצון</t>
  </si>
  <si>
    <t>ימי רצון - אלול וסליחות</t>
  </si>
  <si>
    <t>ימי שלמה</t>
  </si>
  <si>
    <t>קמחי, שלמה בן נסים יוסף דוד</t>
  </si>
  <si>
    <t>ימי שמואל - 3 כר'</t>
  </si>
  <si>
    <t>ימי שמונה - חנוכה</t>
  </si>
  <si>
    <t>רבותינו מדעעש</t>
  </si>
  <si>
    <t>ימי שמחה</t>
  </si>
  <si>
    <t>רייכמן, דוד מנחם</t>
  </si>
  <si>
    <t>ימי שמנה</t>
  </si>
  <si>
    <t>ימי תמימים</t>
  </si>
  <si>
    <t>נוויירה, מנחם בן יצחק</t>
  </si>
  <si>
    <t>ימי תשובה</t>
  </si>
  <si>
    <t>קרניאל, שלום בן שמעון</t>
  </si>
  <si>
    <t>ימיך אמלא</t>
  </si>
  <si>
    <t>ימים אחדים</t>
  </si>
  <si>
    <t>אזוביב, יוסף בן נהוראי</t>
  </si>
  <si>
    <t>ימים ידברו</t>
  </si>
  <si>
    <t>יאקאב, אברהם יעקב</t>
  </si>
  <si>
    <t>ימים כי יסערו</t>
  </si>
  <si>
    <t>רוטנברג, אליעזר שרגא</t>
  </si>
  <si>
    <t>ימים מקדם</t>
  </si>
  <si>
    <t>רזמוביץ, יצחק דוד</t>
  </si>
  <si>
    <t>ימים נוראים אלמאנאך</t>
  </si>
  <si>
    <t>פרידנזון, יוסף</t>
  </si>
  <si>
    <t>ימים נוראים</t>
  </si>
  <si>
    <t>ימין דוד - 3 כר'</t>
  </si>
  <si>
    <t>דוד, ימין</t>
  </si>
  <si>
    <t>ימין דוד - סוכה וברכת חתנים</t>
  </si>
  <si>
    <t>ימין, דוד</t>
  </si>
  <si>
    <t>ימין ה' רוממה - 2 כר'</t>
  </si>
  <si>
    <t>ימין ה'</t>
  </si>
  <si>
    <t>ימין המלך</t>
  </si>
  <si>
    <t>סורוצקין, בנימין בן ברוך</t>
  </si>
  <si>
    <t>ימין ושמאל</t>
  </si>
  <si>
    <t>ימין יוסף</t>
  </si>
  <si>
    <t>שמעונוביץ, יוסף בנימין בן יהודה צבי</t>
  </si>
  <si>
    <t>ימין יעקב</t>
  </si>
  <si>
    <t>רבינוביץ, יעקב משה בן ישראל נתן</t>
  </si>
  <si>
    <t>ימין לארמוני</t>
  </si>
  <si>
    <t>תפלות ותיקונים</t>
  </si>
  <si>
    <t>ימין משה &lt;באר מיים חיים&gt;</t>
  </si>
  <si>
    <t>ווינטורה, משה בן יוסף</t>
  </si>
  <si>
    <t>תקל"ז-תקל"ח</t>
  </si>
  <si>
    <t>הג Hague, The</t>
  </si>
  <si>
    <t>ימין משה (כתב יד)</t>
  </si>
  <si>
    <t>ימין משה</t>
  </si>
  <si>
    <t>בוחבוט, משה צבי</t>
  </si>
  <si>
    <t>ימין משה - 2 כר'</t>
  </si>
  <si>
    <t>טביב, משה בן יהודה</t>
  </si>
  <si>
    <t>קרוניק, משה בן עקיבא</t>
  </si>
  <si>
    <t>ימין שמואל</t>
  </si>
  <si>
    <t>זוגלוואקס, שמואל צבי בן דוב בריש</t>
  </si>
  <si>
    <t>שמואלביץ, מרדכי שמואל בן מאיר הלוי</t>
  </si>
  <si>
    <t>ימינו תחבקני</t>
  </si>
  <si>
    <t>ימלא פי תהלתך - 7 כר'</t>
  </si>
  <si>
    <t>ימלט נפשו - 2 כר'</t>
  </si>
  <si>
    <t>ימצא חיים</t>
  </si>
  <si>
    <t>ימצא חן</t>
  </si>
  <si>
    <t>גוטמן, נפתלי חיים</t>
  </si>
  <si>
    <t>ינון ואליה - בראשית</t>
  </si>
  <si>
    <t>אוחנה, שמעון בן גבריאל</t>
  </si>
  <si>
    <t>ינחנו</t>
  </si>
  <si>
    <t>אייזנברג, יוחנן בן יוחנן</t>
  </si>
  <si>
    <t>תר"ס - תרס"א</t>
  </si>
  <si>
    <t>שאר ספרי חז"ל, תנ"ך, תנ"ך, תנ"ך, תנ"ך</t>
  </si>
  <si>
    <t>יסד המלך</t>
  </si>
  <si>
    <t>סיד, יהודה בן יעקב</t>
  </si>
  <si>
    <t>תרכ"ו - הסכ'</t>
  </si>
  <si>
    <t>יסדת עוז</t>
  </si>
  <si>
    <t>כפיר, עוז דוד בן אילן</t>
  </si>
  <si>
    <t>יסדת עז</t>
  </si>
  <si>
    <t>יסוד אוהל מועד</t>
  </si>
  <si>
    <t>יסוד אמונה ומדה ענוה</t>
  </si>
  <si>
    <t>כהן, חנוך בן טוביה</t>
  </si>
  <si>
    <t>יסוד אמונה</t>
  </si>
  <si>
    <t>יסוד האחדות</t>
  </si>
  <si>
    <t>רוזנטל, נחום בן יואב</t>
  </si>
  <si>
    <t>יסוד האמונה &lt;מהדורה חדשה&gt;</t>
  </si>
  <si>
    <t>ברוך בן אברהם מקוסוב</t>
  </si>
  <si>
    <t>יסוד האמונה ושרש הבטחון - 2 כר'</t>
  </si>
  <si>
    <t>קאן, שמואל בן דוד</t>
  </si>
  <si>
    <t>תרמ"ט-תרס"ג</t>
  </si>
  <si>
    <t>פאקש - חמ"ד,</t>
  </si>
  <si>
    <t>יסוד האמונה - 2 כר'</t>
  </si>
  <si>
    <t>דרושים, חסידות, מועדי ישראל, מחשבה ומוסר, משנה, נושאים שונים, קבלה, תולדות עם ישראל, תלמוד בבלי, תנ"ך, תנ"ך</t>
  </si>
  <si>
    <t>יסוד האמונה</t>
  </si>
  <si>
    <t>דרושים, מחשבה ומוסר, שאלות ותשובות</t>
  </si>
  <si>
    <t>יסוד הבריאה - 2 כר'</t>
  </si>
  <si>
    <t>יסוד הגאולה</t>
  </si>
  <si>
    <t>יסוד הדעת</t>
  </si>
  <si>
    <t>אורנשטיין, אלעזר דוד סופר בן אברהם יהושע השל</t>
  </si>
  <si>
    <t>יסוד החכמה &lt;שרשי חכמת הקבלה&gt;</t>
  </si>
  <si>
    <t>יסוד הטהרה (באנגלית)</t>
  </si>
  <si>
    <t>קליין, משה שאול - ורטהיימר, הלל</t>
  </si>
  <si>
    <t>יסוד הטהרה</t>
  </si>
  <si>
    <t>יסוד המועדים - 2 כר'</t>
  </si>
  <si>
    <t>וויינגארטן, יהודה</t>
  </si>
  <si>
    <t>יסוד המועדים</t>
  </si>
  <si>
    <t>יסוד המעלה - 2 כר'</t>
  </si>
  <si>
    <t>יסוד הניקוד</t>
  </si>
  <si>
    <t>יסוד העבודה &lt;טקסט&gt;</t>
  </si>
  <si>
    <t>יסוד העבודה</t>
  </si>
  <si>
    <t>בורוכוביץ, ישעיהו</t>
  </si>
  <si>
    <t>יסוד השאיפה</t>
  </si>
  <si>
    <t>אנושי, נתנאל בן אברהם</t>
  </si>
  <si>
    <t>יסוד השבת</t>
  </si>
  <si>
    <t>יעקובסון, יוסף מאיר בן ישעיהו יעקב</t>
  </si>
  <si>
    <t>יסוד התורה</t>
  </si>
  <si>
    <t>יסוד התשובה &lt;משיבת נפש&gt;</t>
  </si>
  <si>
    <t>גירונדי, יונה בן אברהם - גולדברג, אהרן דוד בן יצחק הלוי</t>
  </si>
  <si>
    <t>יסוד התשובה</t>
  </si>
  <si>
    <t>הכהן, אהרון יוסף בן נפתלי הירץ</t>
  </si>
  <si>
    <t>יסוד ושורש המוקצה</t>
  </si>
  <si>
    <t>יסוד ושורש העבודה &lt;מהדורה חדשה&gt; - 2 כר'</t>
  </si>
  <si>
    <t>אלכסנדר זיסקינד בן משה מהורודנה</t>
  </si>
  <si>
    <t>יסוד ושורש העבודה - 4 כר'</t>
  </si>
  <si>
    <t>יסוד טעות המתירים</t>
  </si>
  <si>
    <t>יסוד יוסף &lt;טהרת יום טוב&gt; - 20 כר'</t>
  </si>
  <si>
    <t>יוסף בן שלמה מפוזנא - דייטש, חנניה יום טוב ליפא</t>
  </si>
  <si>
    <t>תש"ח - תשכ"ב</t>
  </si>
  <si>
    <t>Kosice קשוי</t>
  </si>
  <si>
    <t>יסוד יוסף &lt;המבואר&gt; - נעימה קדושה - יראי חן</t>
  </si>
  <si>
    <t>יוסף יוסקא בן יהודה יודל מדובנא</t>
  </si>
  <si>
    <t>יסוד יוסף &lt;המבואר&gt;, נעימה קדושה, יראי חן</t>
  </si>
  <si>
    <t>יסוד יוסף - 4 כר'</t>
  </si>
  <si>
    <t>יוסף בן שלמה מפוזנא</t>
  </si>
  <si>
    <t>יסוד יוסף</t>
  </si>
  <si>
    <t>יוסף יוסקא בן יצחק הלוי</t>
  </si>
  <si>
    <t>כ"ץ, יוסף בן אליהו</t>
  </si>
  <si>
    <t>שצ"ח</t>
  </si>
  <si>
    <t>יסוד יוסף - יחוד</t>
  </si>
  <si>
    <t>משדי, יוסף</t>
  </si>
  <si>
    <t>יסוד יצחק</t>
  </si>
  <si>
    <t>הלכה ומנהג, חסידות, תפלות בקשות פיוטים ושירה</t>
  </si>
  <si>
    <t>יסוד לקרא</t>
  </si>
  <si>
    <t>ליפשיץ, אריה ליבוש בן יוסף זכריה מנחם</t>
  </si>
  <si>
    <t>חסידות, נושאים שונים, שאלות ותשובות, תולדות עם ישראל, תפלות בקשות פיוטים ושירה</t>
  </si>
  <si>
    <t>יסוד לקרא, אהל רחל אמנו</t>
  </si>
  <si>
    <t>יסוד מורא וסוד תורה - 2 כר'</t>
  </si>
  <si>
    <t>ר"צ</t>
  </si>
  <si>
    <t>יסוד מורא - 4 כר'</t>
  </si>
  <si>
    <t>יסוד מערבי - 2 כר'</t>
  </si>
  <si>
    <t>יסוד משנה תורה - 7 כר'</t>
  </si>
  <si>
    <t>אלבוטיני, יהודה בן משה</t>
  </si>
  <si>
    <t>יסוד עולם</t>
  </si>
  <si>
    <t>אלגאבה, משה בן אהרן</t>
  </si>
  <si>
    <t>יסוד עולם - 3 כר'</t>
  </si>
  <si>
    <t>בן ישראל, יצחק בן יוסף</t>
  </si>
  <si>
    <t>יסוד עולם - רמח"ל</t>
  </si>
  <si>
    <t>נושאים שונים, קבלה, תולדות עם ישראל</t>
  </si>
  <si>
    <t>יסוד צדיק</t>
  </si>
  <si>
    <t>גולדמן, שלמה בן מרדכי מזוועהיל</t>
  </si>
  <si>
    <t>הלכה ומנהג, מועדי ישראל, נושאים שונים, שאלות ותשובות, תנ"ך</t>
  </si>
  <si>
    <t>יסוד צדיק - סילוקן של צדיקים</t>
  </si>
  <si>
    <t>יסוד ציון</t>
  </si>
  <si>
    <t>יסוד ציון - ג - ד</t>
  </si>
  <si>
    <t>יסוד שירים</t>
  </si>
  <si>
    <t>זוהר. זוהר חדש. שנ"ג</t>
  </si>
  <si>
    <t>יסוד שלום</t>
  </si>
  <si>
    <t>יסוד תשובה</t>
  </si>
  <si>
    <t>וניציאה</t>
  </si>
  <si>
    <t>יסודות בהלכות שבת</t>
  </si>
  <si>
    <t>כהן,יוסף בן אליהו</t>
  </si>
  <si>
    <t>יסודות בחושן משפט - 4 כר'</t>
  </si>
  <si>
    <t>רייסנר, מתתיהו בן אברהם</t>
  </si>
  <si>
    <t>יסודות דקדוק לשון הקדש</t>
  </si>
  <si>
    <t>יסודות האמונה וביאורם</t>
  </si>
  <si>
    <t>אלמעלם, חטר בן שלמה</t>
  </si>
  <si>
    <t>יסודות הבית היהודי - מספר החינוך</t>
  </si>
  <si>
    <t>כהנוב, נחום</t>
  </si>
  <si>
    <t>יסודות הבית וקדושתו</t>
  </si>
  <si>
    <t>יסודות הבית</t>
  </si>
  <si>
    <t>יסודות החינוך - 2 כר'</t>
  </si>
  <si>
    <t>יסודות החתם סופר - 2 כר'</t>
  </si>
  <si>
    <t>יסודות הכתב סופר</t>
  </si>
  <si>
    <t>יסודות הלכות שבת</t>
  </si>
  <si>
    <t>יסודות הלכות תערובות</t>
  </si>
  <si>
    <t>פרטיג, אהרן יהודה</t>
  </si>
  <si>
    <t>יסודות המשפחה היהודית</t>
  </si>
  <si>
    <t>טביומי, טוביה יהודה</t>
  </si>
  <si>
    <t>יסודות הערבי נחל</t>
  </si>
  <si>
    <t>יסודות הריבית</t>
  </si>
  <si>
    <t>יסודות השבת - מלאכת הזורע</t>
  </si>
  <si>
    <t>מדר, שמעון</t>
  </si>
  <si>
    <t>יסודות השמועה</t>
  </si>
  <si>
    <t>אדלשטיין, גרשון</t>
  </si>
  <si>
    <t>יסודות התפלה</t>
  </si>
  <si>
    <t>תל אביבTel Aviv</t>
  </si>
  <si>
    <t>יסודות ועקרים בהלכות שבת</t>
  </si>
  <si>
    <t>אוסטרי, מנחם הכהן</t>
  </si>
  <si>
    <t>יסודות ושרשים במשמעת - הדרכה בחינוך לשמירת הלשון</t>
  </si>
  <si>
    <t>מונק, מאיר בן אליהו הכהן</t>
  </si>
  <si>
    <t>יסודות לחינוך</t>
  </si>
  <si>
    <t>יסודות נאמנים - 2 כר'</t>
  </si>
  <si>
    <t>ליקוטים מדברי גדולי הדורות</t>
  </si>
  <si>
    <t>יסודות קודש - בפרדס התשובה</t>
  </si>
  <si>
    <t>בוהדנה, שקד בן אהרן</t>
  </si>
  <si>
    <t>יסודי הדעת</t>
  </si>
  <si>
    <t>יסודי הדת</t>
  </si>
  <si>
    <t>יסודי הלכה - 8 כר'</t>
  </si>
  <si>
    <t>יסודי המקרא והתלמוד</t>
  </si>
  <si>
    <t>היילפרין, אהרן בן יחיאל</t>
  </si>
  <si>
    <t>יסודי העקרים - 2 כר'</t>
  </si>
  <si>
    <t>תרמ"ח - תרס"ד</t>
  </si>
  <si>
    <t>דרושים, נושאים שונים, תלמוד בבלי, תנ"ך, תנ"ך</t>
  </si>
  <si>
    <t>יסודי הצדקה</t>
  </si>
  <si>
    <t>כשדן, מנחם מן בן שמשון דב הכהן</t>
  </si>
  <si>
    <t>יסודי התורה - 2 כר'</t>
  </si>
  <si>
    <t>לופיאנסקי, אהרן שרגא הלוי</t>
  </si>
  <si>
    <t>יסודי חיים - מגילה</t>
  </si>
  <si>
    <t>חדד, יששכר בן דוד</t>
  </si>
  <si>
    <t>יסודי חכמת ההגיון</t>
  </si>
  <si>
    <t>יסודי טהרה</t>
  </si>
  <si>
    <t>זעפרני, דניאל בן דוד</t>
  </si>
  <si>
    <t>יסודי ישרון - 11 כר'</t>
  </si>
  <si>
    <t>תשי"ד - תש"ל</t>
  </si>
  <si>
    <t>יסודי עולם - 2 כר'</t>
  </si>
  <si>
    <t>לוי, יעקב שמואל</t>
  </si>
  <si>
    <t>יסודי שבת</t>
  </si>
  <si>
    <t>יסופר לדור</t>
  </si>
  <si>
    <t>יסור יסרני - 3 כר'</t>
  </si>
  <si>
    <t>גיברלטר, יצחק אלחנן</t>
  </si>
  <si>
    <t>יסורים</t>
  </si>
  <si>
    <t>וילנסקי, משה בן יואל גרשון</t>
  </si>
  <si>
    <t>יסרתני ואוסר</t>
  </si>
  <si>
    <t>יעטה מורה - 4 כר'</t>
  </si>
  <si>
    <t>טראב, יעקב ברוך הכהן</t>
  </si>
  <si>
    <t>יעיר אזן &lt;עין זוכר&gt; עם תוספות יעקב - א</t>
  </si>
  <si>
    <t>אזולאי, חיים יוסף דוד בן רפאל יצחק זרחיה - ליפפא, יעקב</t>
  </si>
  <si>
    <t>יעיר אזן &lt;עין זוכר&gt; - 2 כר'</t>
  </si>
  <si>
    <t>יעיר אזן - 2 כר'</t>
  </si>
  <si>
    <t>יעיר לי אוזן - 2 כר'</t>
  </si>
  <si>
    <t>קפלושניק, יצחק - קנופף, ראובן</t>
  </si>
  <si>
    <t>יעיר קנו</t>
  </si>
  <si>
    <t>יעלה הד"ס</t>
  </si>
  <si>
    <t>סתהון דבח, דוד משה</t>
  </si>
  <si>
    <t>יעלה הדס</t>
  </si>
  <si>
    <t>יעלזו חסידים</t>
  </si>
  <si>
    <t>יעלת חן &lt;מהדורה חדשה&gt;</t>
  </si>
  <si>
    <t>תל אביב יפו</t>
  </si>
  <si>
    <t>יעלת חן - א</t>
  </si>
  <si>
    <t>יעלת חן</t>
  </si>
  <si>
    <t>תשי"ד - תשכ"ח</t>
  </si>
  <si>
    <t>יעלת חן - 2 כר'</t>
  </si>
  <si>
    <t>יעלת חן - 3 כר'</t>
  </si>
  <si>
    <t>יענה באש</t>
  </si>
  <si>
    <t>יענה ברוך</t>
  </si>
  <si>
    <t>קונשטט, ברוך</t>
  </si>
  <si>
    <t>יעננו בקול</t>
  </si>
  <si>
    <t>יעקב איש וביתו - 2 כר'</t>
  </si>
  <si>
    <t>כהן, יעקב בן מגאצי</t>
  </si>
  <si>
    <t>יעקב בעזרו</t>
  </si>
  <si>
    <t>יפה, יעקב</t>
  </si>
  <si>
    <t>יעקב דסקל הי"ד</t>
  </si>
  <si>
    <t>יעקב חבל</t>
  </si>
  <si>
    <t>יעקב לחק</t>
  </si>
  <si>
    <t>יעקב סלה</t>
  </si>
  <si>
    <t>יער הלבנון</t>
  </si>
  <si>
    <t>רוזנבלט, יעקב בן יצחק</t>
  </si>
  <si>
    <t>יערב שיחי - 3 כר'</t>
  </si>
  <si>
    <t>יפה, שמואל יצחק</t>
  </si>
  <si>
    <t>יערות דבש &lt;מנוקד&gt; - 2 כר'</t>
  </si>
  <si>
    <t>יערות דבש - 7 כר'</t>
  </si>
  <si>
    <t>יערות האושר</t>
  </si>
  <si>
    <t>יערי ודבשי</t>
  </si>
  <si>
    <t>יערי עם דבשי</t>
  </si>
  <si>
    <t>יערת הדבש</t>
  </si>
  <si>
    <t>רחמים, יחזקאל בן יעקב</t>
  </si>
  <si>
    <t>יפאר ענוים</t>
  </si>
  <si>
    <t>יפה בנעימים</t>
  </si>
  <si>
    <t>שטראוס, יפה מרים</t>
  </si>
  <si>
    <t>יפה בעיתו</t>
  </si>
  <si>
    <t>יפה דעת</t>
  </si>
  <si>
    <t>פיגנבוים, יצחק הכהן</t>
  </si>
  <si>
    <t>הלכה ומנהג, שאלות ותשובות, תולדות עם ישראל, תלמוד בבלי, תלמוד בבלי</t>
  </si>
  <si>
    <t>יפה וברה</t>
  </si>
  <si>
    <t>ווייס, יקותיאל</t>
  </si>
  <si>
    <t>יפה ירושתנו</t>
  </si>
  <si>
    <t>לזכרה של מרת יפה שורש</t>
  </si>
  <si>
    <t>גוש עציון</t>
  </si>
  <si>
    <t>יפה לב</t>
  </si>
  <si>
    <t>יפה לבשמים - 3 כר'</t>
  </si>
  <si>
    <t>יפה, אבא בן אשר צבי</t>
  </si>
  <si>
    <t>יפה ללב - 9 כר'</t>
  </si>
  <si>
    <t>תרל"ב - תרס"ו</t>
  </si>
  <si>
    <t>יפה מראה - 2 כר'</t>
  </si>
  <si>
    <t>אשכנזי-יפה, שמואל בן יצחק</t>
  </si>
  <si>
    <t>תפ"ה - תפ"ו</t>
  </si>
  <si>
    <t>נושאים שונים, תלמוד ירושלמי, תלמוד ירושלמי, תלמוד ירושלמי, תלמוד ירושלמי</t>
  </si>
  <si>
    <t>יפה מראה - 13 כר'</t>
  </si>
  <si>
    <t>ליסיצין, יוסף שלמה בן צבי יעקב</t>
  </si>
  <si>
    <t>יפה מראה</t>
  </si>
  <si>
    <t>תלמוד ירושלמי. ש"ן. ונציה</t>
  </si>
  <si>
    <t>ש"נ</t>
  </si>
  <si>
    <t>יפה נדרשת - 11 כר'</t>
  </si>
  <si>
    <t>יפה נוף</t>
  </si>
  <si>
    <t>הלר, אברהם בן יחיאל</t>
  </si>
  <si>
    <t>יפה נוף - 2 כר'</t>
  </si>
  <si>
    <t>של"ב אחרי</t>
  </si>
  <si>
    <t>פרנס, ישראל בן מרדכי שלמה</t>
  </si>
  <si>
    <t>יפה עינים &lt;מהדורה חדשה&gt; - ב</t>
  </si>
  <si>
    <t>יפה עינים &lt;הוצאה חדשה&gt;</t>
  </si>
  <si>
    <t>דוד בן מרדכי מברודי</t>
  </si>
  <si>
    <t>יפה עינים</t>
  </si>
  <si>
    <t>שצ"א</t>
  </si>
  <si>
    <t>יפה עינים, בדרכי שמים</t>
  </si>
  <si>
    <t>יפה ענף - רות אסתר ואיכה</t>
  </si>
  <si>
    <t>יפה ענף</t>
  </si>
  <si>
    <t>פאלומבו, ניסים</t>
  </si>
  <si>
    <t>דרושים, דרושים, נושאים שונים, שלחן ערוך ומפרשיו</t>
  </si>
  <si>
    <t>יפה קול - שיר השירים</t>
  </si>
  <si>
    <t>יפה שיחתן</t>
  </si>
  <si>
    <t>יפה שעה אחת</t>
  </si>
  <si>
    <t>סבאג, אלעזר</t>
  </si>
  <si>
    <t>יפה שעה - 2 כר'</t>
  </si>
  <si>
    <t>אביחצירא, מכלוף בן אליהו</t>
  </si>
  <si>
    <t>יפה שעה - 3 כר'</t>
  </si>
  <si>
    <t>יפה תאר</t>
  </si>
  <si>
    <t>יפה תואר - 2 כר'</t>
  </si>
  <si>
    <t>שנ"ז-תי"ז</t>
  </si>
  <si>
    <t>יפה תלמוד - 3 כר'</t>
  </si>
  <si>
    <t>תרל"ח - תר"נ</t>
  </si>
  <si>
    <t>יפח לקץ</t>
  </si>
  <si>
    <t>תרכ"ב - תרמ"ח</t>
  </si>
  <si>
    <t>יפיות מלכות וזמירות</t>
  </si>
  <si>
    <t>יפיח אמונה - 2 כר'</t>
  </si>
  <si>
    <t>וולקוביץ, יהודה צבי בן יוסף</t>
  </si>
  <si>
    <t>תרנ"ח-תר"ס</t>
  </si>
  <si>
    <t>יפיק תבונה</t>
  </si>
  <si>
    <t>עורכים: גינזבורג בנימין - סטרוץ, יהודה</t>
  </si>
  <si>
    <t>יפיק תבונה - 8 כר'</t>
  </si>
  <si>
    <t>קובץ תורני נחלת דוד</t>
  </si>
  <si>
    <t>יפק רצון</t>
  </si>
  <si>
    <t>יפרוש כנפיו</t>
  </si>
  <si>
    <t>יפרח בימיו צדיק</t>
  </si>
  <si>
    <t>יפרח כשושנה</t>
  </si>
  <si>
    <t>מאדאר, נסים חיים בן מסיעד</t>
  </si>
  <si>
    <t>יפרח כשושנה - 4 כר'</t>
  </si>
  <si>
    <t>יצאת לישע עמך</t>
  </si>
  <si>
    <t>קונטרס</t>
  </si>
  <si>
    <t>יצב אברהם - 3 כר'</t>
  </si>
  <si>
    <t>גינצלר, אברהם צבי</t>
  </si>
  <si>
    <t>יצב גבולות</t>
  </si>
  <si>
    <t>אלחאדיף, חיים בן אהרן בכור</t>
  </si>
  <si>
    <t>יצחק בן אברהם אבן עזרא - שירים</t>
  </si>
  <si>
    <t>יצחק בן אברהם אבן עזרא - שמלצר, מנחם חיים (מהדיר)</t>
  </si>
  <si>
    <t>יצחק ירנן - 18 כר'</t>
  </si>
  <si>
    <t>ברדא, יצחק בן ישראל</t>
  </si>
  <si>
    <t>יצחק ירנן</t>
  </si>
  <si>
    <t>יצחק בן נחמן הכהן</t>
  </si>
  <si>
    <t>לזכרו של רבי יצחק לוונשטיין</t>
  </si>
  <si>
    <t>רואש, יצחק</t>
  </si>
  <si>
    <t>תולדות רבי חיים יצחק שבקס</t>
  </si>
  <si>
    <t>יצחק לשוח</t>
  </si>
  <si>
    <t>יציאות השבת</t>
  </si>
  <si>
    <t>ווייסמאן, משה יצחק בן שמחה יהושע</t>
  </si>
  <si>
    <t>יציאות השבת - פרק יציאות השבת ופרק הזורק</t>
  </si>
  <si>
    <t>קובץ חידושי תורה כולל "יוסף לקח"</t>
  </si>
  <si>
    <t>יציאת מצרים והזמן הזה</t>
  </si>
  <si>
    <t>תשי"ז-תשי"ט</t>
  </si>
  <si>
    <t>יציאת מצרים וחודש ניסן</t>
  </si>
  <si>
    <t>יציאת מצרים - 2 כר'</t>
  </si>
  <si>
    <t>שיינברגר, ישעיה בן יוסף חיים</t>
  </si>
  <si>
    <t>יציב פתגם - 10 כר'</t>
  </si>
  <si>
    <t>יציב פתגם - 2 כר'</t>
  </si>
  <si>
    <t>יציץ נזרו</t>
  </si>
  <si>
    <t>יצירת אדם</t>
  </si>
  <si>
    <t>יצפן לישרים תושיה</t>
  </si>
  <si>
    <t>יצפנני בסכה</t>
  </si>
  <si>
    <t>יקב אליעזר</t>
  </si>
  <si>
    <t>דבורץ, אליעזר זאב  בן ישראל זיסל כלב</t>
  </si>
  <si>
    <t>מחשבה ומוסר, משנה, נושאים שונים, שאלות ותשובות, תלמוד בבלי, תלמוד בבלי, תלמוד ירושלמי, תנ"ך</t>
  </si>
  <si>
    <t>יקב אפרים - 10 כר'</t>
  </si>
  <si>
    <t>שווארץ, יעקב קאפיל</t>
  </si>
  <si>
    <t>יקב זאב</t>
  </si>
  <si>
    <t>פרידמאן, שבתי זאב בן אברהם אליהו</t>
  </si>
  <si>
    <t>יקהיל שלמה</t>
  </si>
  <si>
    <t>יקהל שלמה</t>
  </si>
  <si>
    <t>יקהל שלמה, בית שלמה, עטרת תפארת</t>
  </si>
  <si>
    <t>בוכנר, שלמה בן בנימין וולף - רבינוביץ, שלמה בן דוב צבי הכהן</t>
  </si>
  <si>
    <t>יקהת עמים</t>
  </si>
  <si>
    <t>טאובה, יונה</t>
  </si>
  <si>
    <t>יקו לאור - מאמר סמיכות התורה</t>
  </si>
  <si>
    <t>יקובל האמת</t>
  </si>
  <si>
    <t>אביטבול, יחיא</t>
  </si>
  <si>
    <t>יקוו המים - 2 כר'</t>
  </si>
  <si>
    <t>יקום דבר</t>
  </si>
  <si>
    <t>בן משה, יוסף</t>
  </si>
  <si>
    <t>יקום דבר - מכות</t>
  </si>
  <si>
    <t>סובל, שמואל</t>
  </si>
  <si>
    <t>יקח מצוות - 5 כר'</t>
  </si>
  <si>
    <t>ארצי, יהודה בן עזרא</t>
  </si>
  <si>
    <t>יקח מצוות - 2 כר'</t>
  </si>
  <si>
    <t>קרלינסקי, ישעיהו בן אשר</t>
  </si>
  <si>
    <t>יקר הערך &lt;מהדורה חדשה&gt;</t>
  </si>
  <si>
    <t>ארדיט, יצחק בן שלמה</t>
  </si>
  <si>
    <t>יקר הערך</t>
  </si>
  <si>
    <t>דרושים, דרושים, משנה, נושאים שונים, שאלות ותשובות, תלמוד בבלי, תלמוד בבלי</t>
  </si>
  <si>
    <t>כהן, מעתוק (עתוגי) בן עמרם</t>
  </si>
  <si>
    <t>יקר וגדולה</t>
  </si>
  <si>
    <t>יקר חכמים</t>
  </si>
  <si>
    <t>יקר טוטפתא</t>
  </si>
  <si>
    <t>אייזנבאך, חיים בן שלמה זלמן</t>
  </si>
  <si>
    <t>יקר מפז - 3 כר'</t>
  </si>
  <si>
    <t>יקר מפז</t>
  </si>
  <si>
    <t>כהנא, אלכסנדר זיסקינד בן אברהם הכהן</t>
  </si>
  <si>
    <t>חסידות, שאר ספרי חז"ל, תנ"ך, תנ"ך</t>
  </si>
  <si>
    <t>יקר משה</t>
  </si>
  <si>
    <t>דייטשמאן, חיים אברהם בן יעקב מאיר</t>
  </si>
  <si>
    <t>יקר תפארת גדולתו</t>
  </si>
  <si>
    <t>לזכר הגאון רבי עקיבא קיסטר זצ"ל</t>
  </si>
  <si>
    <t>יקר תפארת - יבמות</t>
  </si>
  <si>
    <t>ישיבת תפארת ישראל</t>
  </si>
  <si>
    <t>יקר תפארת - 7 כר'</t>
  </si>
  <si>
    <t>קיסטר, עקיבא</t>
  </si>
  <si>
    <t>יקרא דאורייתא - גיטין</t>
  </si>
  <si>
    <t>ישיבת כנסת יצחק קרית ספר</t>
  </si>
  <si>
    <t>יקרא דאורייתא</t>
  </si>
  <si>
    <t>יקרא דאורייתא - 9 כר'</t>
  </si>
  <si>
    <t>ציק, יחיאל בן אברהם אליעזר</t>
  </si>
  <si>
    <t>שטארק, שמואל יששכר בן יחיאל אברהם</t>
  </si>
  <si>
    <t>יקרא דחי'</t>
  </si>
  <si>
    <t>יקרא דחיי ודשכבי</t>
  </si>
  <si>
    <t>יקרא דחיי - 2 כר'</t>
  </si>
  <si>
    <t>ברנשטיין, חיים בן אביגדור</t>
  </si>
  <si>
    <t>יקרא דחיי</t>
  </si>
  <si>
    <t>דרושים, שונות</t>
  </si>
  <si>
    <t>Seini סאיני</t>
  </si>
  <si>
    <t>יקרא דחיי"ם</t>
  </si>
  <si>
    <t>יקרא דחיי - ביקור חולים, אבילות</t>
  </si>
  <si>
    <t>רבי, נסים - רבי, חיים - כהן, אלון</t>
  </si>
  <si>
    <t>יקרא דחיים</t>
  </si>
  <si>
    <t>דרוהוביטשר, ישראל נחמן בן יוסף</t>
  </si>
  <si>
    <t>ספר זכרון לכבוד הגרח"י גולדויכט</t>
  </si>
  <si>
    <t>יקרא דמלכא - 5 כר'</t>
  </si>
  <si>
    <t>גולדמן, מרדכי בן גדליה משה מזוועהיל</t>
  </si>
  <si>
    <t>יקרא דצבורא</t>
  </si>
  <si>
    <t>אמסלם, שמעון בן אליהו</t>
  </si>
  <si>
    <t>יקרא דשבתא - 2 כר'</t>
  </si>
  <si>
    <t>אסנפי, שי בן אברהם</t>
  </si>
  <si>
    <t>יקרא דשבתא - קדושת שבת</t>
  </si>
  <si>
    <t>יקרא דשכבי</t>
  </si>
  <si>
    <t>דרושים, נושאים שונים, תפלות בקשות פיוטים ושירה</t>
  </si>
  <si>
    <t>יקרא דשכביה</t>
  </si>
  <si>
    <t>לזכר הבחור פנחס כהן</t>
  </si>
  <si>
    <t>יקרה דחיה</t>
  </si>
  <si>
    <t>יקרה היא מפנינים</t>
  </si>
  <si>
    <t>דבי, נתנאל</t>
  </si>
  <si>
    <t>יקרה מפנינים</t>
  </si>
  <si>
    <t>בארקין, אליהו מאיר בן דוד</t>
  </si>
  <si>
    <t>יקרה מפנינים - 3 כר'</t>
  </si>
  <si>
    <t>ביטון, חנוך בן חביב</t>
  </si>
  <si>
    <t>עלוש, שמעון אליהו</t>
  </si>
  <si>
    <t>יראו וישמחו - 3 כר'</t>
  </si>
  <si>
    <t>אונגרישר, ירחמיאל</t>
  </si>
  <si>
    <t>יראו עינינו</t>
  </si>
  <si>
    <t>קארפ, יעקב בן משה מרדכי</t>
  </si>
  <si>
    <t>יראו עיננו</t>
  </si>
  <si>
    <t>יראוך עם שמ"ש</t>
  </si>
  <si>
    <t>מכון ים החכמה</t>
  </si>
  <si>
    <t>יראת ה' לחיים</t>
  </si>
  <si>
    <t>[תר"ך,</t>
  </si>
  <si>
    <t>[קניגסברג],</t>
  </si>
  <si>
    <t>יראת ההוראה</t>
  </si>
  <si>
    <t>ניסן, ראובן יששכר</t>
  </si>
  <si>
    <t>יראת השם</t>
  </si>
  <si>
    <t>עמבר, משה</t>
  </si>
  <si>
    <t>יראת שמים</t>
  </si>
  <si>
    <t>פירדא, מאיר בן אברהם אלחנן</t>
  </si>
  <si>
    <t>הלכה ומנהג, נושאים שונים, נושאים שונים, תלמוד בבלי</t>
  </si>
  <si>
    <t>ירון ושמח - תוכחה וחינוך קטן</t>
  </si>
  <si>
    <t>ביתאן, ירון</t>
  </si>
  <si>
    <t>ירון ישראל</t>
  </si>
  <si>
    <t>מלכא, נסים</t>
  </si>
  <si>
    <t>ירוץ דברו</t>
  </si>
  <si>
    <t>ירוץ דברו - 2 כר'</t>
  </si>
  <si>
    <t>ירושה וחזקה בשררה</t>
  </si>
  <si>
    <t>ירושלים בין החומות &lt;מגילת יוחסין&gt;</t>
  </si>
  <si>
    <t>בן יעקב, אברהם - מיוחס, רפאל מיוחס בן שמואל</t>
  </si>
  <si>
    <t>ירושלים במועדיה - 8 כר'</t>
  </si>
  <si>
    <t>מועדי ישראל, מחשבה ומוסר, שאלות ותשובות, תנ"ך</t>
  </si>
  <si>
    <t>ירושלים בספרותנו</t>
  </si>
  <si>
    <t>ירושלים בעיני רואיה</t>
  </si>
  <si>
    <t>בר טורא, אברהם</t>
  </si>
  <si>
    <t>ירושלים דדהבא</t>
  </si>
  <si>
    <t>כ"ץ, בן-ציון בן יעקב קופל הכהן</t>
  </si>
  <si>
    <t>הלכה ומנהג, נושאים שונים, תולדות עם ישראל, תלמוד בבלי, תלמוד בבלי, תלמוד ירושלמי</t>
  </si>
  <si>
    <t>ירושלים הבנויה</t>
  </si>
  <si>
    <t>דושאק, מרדכי</t>
  </si>
  <si>
    <t>ירושלים העיר שחוברה</t>
  </si>
  <si>
    <t>מוצפי, יחזקאל בן בן ציון</t>
  </si>
  <si>
    <t>ירושלים העתיקה</t>
  </si>
  <si>
    <t>רימון, יעקב בן אפרים אליעזר</t>
  </si>
  <si>
    <t>נושאים שונים, תולדות עם ישראל, תולדות עם ישראל, תולדות עם ישראל</t>
  </si>
  <si>
    <t>ירושלים הרים סביב לה</t>
  </si>
  <si>
    <t>תשמ"ז - תשמ"ט</t>
  </si>
  <si>
    <t>ירושלים חומות העיר</t>
  </si>
  <si>
    <t>ירושלים עיר הקודש והמקדש - 2 כר'</t>
  </si>
  <si>
    <t>ירושלים עיר הקודש והנצח</t>
  </si>
  <si>
    <t>ירושלים שכונות סביב לה</t>
  </si>
  <si>
    <t>ירושלים של זהב - 9 כר'</t>
  </si>
  <si>
    <t>קטלוג יודאיקה</t>
  </si>
  <si>
    <t>ירושלים של מעלה - 5 כר'</t>
  </si>
  <si>
    <t>ירושלים תמול שלשום - 2 כר'</t>
  </si>
  <si>
    <t>ירושלים - אתרים קדומים</t>
  </si>
  <si>
    <t>ברושי, עזריאל</t>
  </si>
  <si>
    <t>ירושלים - 5 כר'</t>
  </si>
  <si>
    <t>תש"ח - תשט"ו</t>
  </si>
  <si>
    <t>ירושלים - 2 כר'</t>
  </si>
  <si>
    <t>לונץ, אברהם משה</t>
  </si>
  <si>
    <t>תרמ"ב - תרע"ט</t>
  </si>
  <si>
    <t>ירושת הארץ</t>
  </si>
  <si>
    <t>פרלמוטר, מלאכי</t>
  </si>
  <si>
    <t>ירושת פליטה - 2 כר'</t>
  </si>
  <si>
    <t>ירושת פליטה. קובץ</t>
  </si>
  <si>
    <t>ירושתנו - 2 כר'</t>
  </si>
  <si>
    <t>ירחון איגוד היראים</t>
  </si>
  <si>
    <t>ירושתנו - 7 כר'</t>
  </si>
  <si>
    <t>מכון מורשת אשכנז</t>
  </si>
  <si>
    <t>ירח האיתנים במשנת הספורנו</t>
  </si>
  <si>
    <t>ירח האיתנים</t>
  </si>
  <si>
    <t>אריאלי, יצחק בן אביגדור</t>
  </si>
  <si>
    <t>חסידות, מועדי ישראל, קבלה</t>
  </si>
  <si>
    <t>צאצאי משפחות אייגר וסופר</t>
  </si>
  <si>
    <t>ירח למועדים - חנוכה</t>
  </si>
  <si>
    <t>אלשין, ירוחם</t>
  </si>
  <si>
    <t>ירח למועדים</t>
  </si>
  <si>
    <t>מנחם מנדל בן יוזל</t>
  </si>
  <si>
    <t>תפו</t>
  </si>
  <si>
    <t>פרנקפוט דמיין</t>
  </si>
  <si>
    <t>ירחון האוצר - 37 כר'</t>
  </si>
  <si>
    <t>כתב עת</t>
  </si>
  <si>
    <t>ירחון מרכז התורה - ב</t>
  </si>
  <si>
    <t>תלמידי ישיבת מרכז התורה במונטריאל</t>
  </si>
  <si>
    <t>מונטריאל</t>
  </si>
  <si>
    <t>ירחי כלה אירופה - 2 כר'</t>
  </si>
  <si>
    <t>ירחי כלה גיטסהד</t>
  </si>
  <si>
    <t>ירחי כלה - 6 כר'</t>
  </si>
  <si>
    <t>ירידת הדורות לאור התפתחות המדע</t>
  </si>
  <si>
    <t>ירים משה &lt;מנחת שלום&gt;</t>
  </si>
  <si>
    <t>אזאגורי, משה - בוחבוט, אייל שלום</t>
  </si>
  <si>
    <t>ירים משה - 3 כר'</t>
  </si>
  <si>
    <t>אזאגורי, משה</t>
  </si>
  <si>
    <t>דרושים, הלכה ומנהג, קבלה, תנ"ך, תפלות בקשות פיוטים ושירה</t>
  </si>
  <si>
    <t>ירים משה</t>
  </si>
  <si>
    <t>קאסטרו, משה בן אברהם</t>
  </si>
  <si>
    <t>ירים משה, חסדי אבות - 2 כר'</t>
  </si>
  <si>
    <t>אלשיך, משה בן חיים - אזולאי, חיים יוסף דוד</t>
  </si>
  <si>
    <t>ירים ראש - תכנית בית הבחירה</t>
  </si>
  <si>
    <t>שלם, רפאל אברהם</t>
  </si>
  <si>
    <t>יריעות האהל</t>
  </si>
  <si>
    <t>סג"ל, בנימין זבולון בן יעקב</t>
  </si>
  <si>
    <t>יריעות החושן - 2 כר'</t>
  </si>
  <si>
    <t>יריעות המשכן - 2 כר'</t>
  </si>
  <si>
    <t>יריעות עזים</t>
  </si>
  <si>
    <t>שמשון בן שמואל מירושלים</t>
  </si>
  <si>
    <t>יריעות שלמה &lt;על ביאור הגר"א&gt; - הלכות רבית</t>
  </si>
  <si>
    <t>יריעות שלמה &lt;מהדורה חדשה&gt;</t>
  </si>
  <si>
    <t>יריעות שלמה אהלי יעקב - יוחסין</t>
  </si>
  <si>
    <t>יריעות שלמה - 8 כר'</t>
  </si>
  <si>
    <t>אולמאן, שלמה זלמן בן שלום</t>
  </si>
  <si>
    <t>יריעות שלמה</t>
  </si>
  <si>
    <t>ווזאן, שלמה בן יהודה</t>
  </si>
  <si>
    <t>יריעות שלמה - בבא מציעא</t>
  </si>
  <si>
    <t>ירחי, שלמה בן יצחק</t>
  </si>
  <si>
    <t>מחשבה ומוסר, נושאים שונים, נושאים שונים, תולדות עם ישראל, תנ"ך</t>
  </si>
  <si>
    <t>יריעות שלמה - 3 כר'</t>
  </si>
  <si>
    <t>לינצ'נר, שלמה</t>
  </si>
  <si>
    <t>לעוויטאן, שלמה יהודה ליב בן בן ציון הלוי</t>
  </si>
  <si>
    <t>פיינזילבר, שלמה בן אהרן יוסף</t>
  </si>
  <si>
    <t>יריעות שלמה - על סדר התפילה</t>
  </si>
  <si>
    <t>שלמה בן משולם מפינטשוב</t>
  </si>
  <si>
    <t>ת"ץ</t>
  </si>
  <si>
    <t>יריעת האהל</t>
  </si>
  <si>
    <t>רובינשטיין, אריה ליב בן שמואל</t>
  </si>
  <si>
    <t>ירך אברהם א -ב</t>
  </si>
  <si>
    <t>ירך יעקב - א ב</t>
  </si>
  <si>
    <t>ארגואיטי, יעקב בן אברהם</t>
  </si>
  <si>
    <t>ירך יעקב</t>
  </si>
  <si>
    <t>סויסה, יעקב בן רפאל</t>
  </si>
  <si>
    <t>דרושים, שאלות ותשובות, שלחן ערוך ומפרשיו, תלמוד בבלי, תנ"ך</t>
  </si>
  <si>
    <t>ירכתי צפון - 2 כר'</t>
  </si>
  <si>
    <t>בלוך, משה בן אברהם יחזקאל</t>
  </si>
  <si>
    <t>ירכתי צפון - יבמות</t>
  </si>
  <si>
    <t>כהן, יחיאל</t>
  </si>
  <si>
    <t>ירכתי צפון - ברכות</t>
  </si>
  <si>
    <t>קליקשטין, אליהו בן חיים</t>
  </si>
  <si>
    <t>ירמיהו - מתורגם ללאדינו</t>
  </si>
  <si>
    <t>תנ"ך. שכ"ט. שלוניקי</t>
  </si>
  <si>
    <t>יש בורא עולם</t>
  </si>
  <si>
    <t>יש מאין &lt;מהדורה חדשה&gt; - א</t>
  </si>
  <si>
    <t>יש מאין</t>
  </si>
  <si>
    <t>ויזנפלד, שמעון יוסף הכהן</t>
  </si>
  <si>
    <t>יש מאין - 2 כר'</t>
  </si>
  <si>
    <t>יש מאין - א</t>
  </si>
  <si>
    <t>שניאור, יחייא</t>
  </si>
  <si>
    <t>יש מנחילין</t>
  </si>
  <si>
    <t>קצנלנבוגן, פנחס</t>
  </si>
  <si>
    <t>יש נוחלין - 3 כר'</t>
  </si>
  <si>
    <t>יש נוחלין, ברית אברהם &lt;מהדורה חדשה&gt;</t>
  </si>
  <si>
    <t>יש קונה עולמו</t>
  </si>
  <si>
    <t>לזכר הילד יעקב שלמה יודלביץ</t>
  </si>
  <si>
    <t>יש שכר &lt;מהדורה חדשה&gt;</t>
  </si>
  <si>
    <t>יש שכר</t>
  </si>
  <si>
    <t>בן-צבי, יששכר זאב בן צבי</t>
  </si>
  <si>
    <t>יש שכר - 4 כר'</t>
  </si>
  <si>
    <t>יש תקוה</t>
  </si>
  <si>
    <t>וויינמאן, בנימין זאב</t>
  </si>
  <si>
    <t>יש"א ברכה</t>
  </si>
  <si>
    <t>ישא איש</t>
  </si>
  <si>
    <t>ישא ברכה</t>
  </si>
  <si>
    <t>ישא ברכה - 3 כר'</t>
  </si>
  <si>
    <t>האלפערן, ישראל מאיר הלוי</t>
  </si>
  <si>
    <t>ישא ברכה - 5 כר'</t>
  </si>
  <si>
    <t>טויב, שאול ידידיה אלעזר בן ישראל</t>
  </si>
  <si>
    <t>ירוחם בן משולם - אשכנזי, יהודה שמואל</t>
  </si>
  <si>
    <t>ישא יוסף - 5 כר'</t>
  </si>
  <si>
    <t>אפרתי, יוסף יקותיאל</t>
  </si>
  <si>
    <t>ישא מדברותיך - 2 כר'</t>
  </si>
  <si>
    <t>אדלשטיין, ישראל</t>
  </si>
  <si>
    <t>ישא מדברותיך</t>
  </si>
  <si>
    <t>אדלשטין, ישראל בן ירחמיאל גרשון</t>
  </si>
  <si>
    <t>ישא מדברותיך - 9 כר'</t>
  </si>
  <si>
    <t>אפלבוים, דוב בער</t>
  </si>
  <si>
    <t>ישא מדברתיך</t>
  </si>
  <si>
    <t>שנרב, שמעיה אריה</t>
  </si>
  <si>
    <t>ישא פניו</t>
  </si>
  <si>
    <t>ישאו הרים שלום</t>
  </si>
  <si>
    <t>ברגמן, אליעזר בן יוסף בנימין - (ועוד)</t>
  </si>
  <si>
    <t>ישאו נהרות מדהרות דהרות אסירים</t>
  </si>
  <si>
    <t>פינצי, יצחק רפאל</t>
  </si>
  <si>
    <t>Padua פדובה</t>
  </si>
  <si>
    <t>ישב אהלים</t>
  </si>
  <si>
    <t>ישב מצרף</t>
  </si>
  <si>
    <t>ווינקלר, מרדכי יהודה ליב בן נפתלי הרץ</t>
  </si>
  <si>
    <t>ישב רוחו</t>
  </si>
  <si>
    <t>ישבב סופר - סנהדרין</t>
  </si>
  <si>
    <t>סופר, יעקב שלום בן חיים</t>
  </si>
  <si>
    <t>ישבו בסוכות</t>
  </si>
  <si>
    <t>הולס, צבי בן בנימין</t>
  </si>
  <si>
    <t>ישבת ציון</t>
  </si>
  <si>
    <t>בלוי, יצחק שלמה בן עמרם</t>
  </si>
  <si>
    <t>ישגא בקודש</t>
  </si>
  <si>
    <t>אוחנה, שגיא</t>
  </si>
  <si>
    <t>ישגיב בכוחו</t>
  </si>
  <si>
    <t>ישגיב בכוחו - איוב</t>
  </si>
  <si>
    <t>ישוב ארץ ישראל בזמן הזה</t>
  </si>
  <si>
    <t>ישוב ארץ ישראל</t>
  </si>
  <si>
    <t>ישוב הארץ</t>
  </si>
  <si>
    <t>דיסקין, מרדכי בן יצחק</t>
  </si>
  <si>
    <t>ישוב הדעת</t>
  </si>
  <si>
    <t>ישוב משפט</t>
  </si>
  <si>
    <t>קלוז'. הקהילה האורתודוכסית</t>
  </si>
  <si>
    <t>ישועה בישראל &lt;מהדורה חדשה&gt;</t>
  </si>
  <si>
    <t>יהונתן בן יוסף</t>
  </si>
  <si>
    <t>ישועה בישראל - 2 כר'</t>
  </si>
  <si>
    <t>ישועה בראש</t>
  </si>
  <si>
    <t>יהושע השל בן מאיר</t>
  </si>
  <si>
    <t>ישועה גדולה</t>
  </si>
  <si>
    <t>בלפסט Belfast</t>
  </si>
  <si>
    <t>ישועה והצלחה</t>
  </si>
  <si>
    <t>ישועה ונחמה</t>
  </si>
  <si>
    <t>שלזינגר, חיים יהודה בן יצחק דוב</t>
  </si>
  <si>
    <t>Budapest</t>
  </si>
  <si>
    <t>ישועה ורחמים</t>
  </si>
  <si>
    <t>מלמד, רחמים בן חיים</t>
  </si>
  <si>
    <t>משנה, נושאים שונים, תפלות בקשות פיוטים ושירה</t>
  </si>
  <si>
    <t>ישועה ורחמים - 2 כר'</t>
  </si>
  <si>
    <t>סופר, ישועה חויתה</t>
  </si>
  <si>
    <t>ישועות אהרן</t>
  </si>
  <si>
    <t>ווסטהיים, אהרן</t>
  </si>
  <si>
    <t>ישועות אליעזר - סדר הושענות &lt;כובע ישועה&gt;</t>
  </si>
  <si>
    <t>ישועות אריה - 2 כר'</t>
  </si>
  <si>
    <t>ישועות אשא</t>
  </si>
  <si>
    <t>אנקאווה, אפרים שלום</t>
  </si>
  <si>
    <t>דרושים, הלכה ומנהג, נושאים שונים, תלמוד בבלי, תנ"ך, תפלות בקשות פיוטים ושירה</t>
  </si>
  <si>
    <t>ישועות ונחמות</t>
  </si>
  <si>
    <t>ויל, יעקב בן משלם</t>
  </si>
  <si>
    <t>ישועות חיים</t>
  </si>
  <si>
    <t>ישועות חיים - 2 כר'</t>
  </si>
  <si>
    <t>ישועות חכמה</t>
  </si>
  <si>
    <t>ישועות יהושע</t>
  </si>
  <si>
    <t>ריינס, יהושע השל בן אריה ליב הכהן</t>
  </si>
  <si>
    <t>ישועות יעקב אחרון</t>
  </si>
  <si>
    <t>ישועות יעקב - 6 כר'</t>
  </si>
  <si>
    <t>אורנשטיין, יעקב משולם בן מרדכי זאב</t>
  </si>
  <si>
    <t>ישועות יעקב</t>
  </si>
  <si>
    <t>אנהורי, יעקב בן יוסף</t>
  </si>
  <si>
    <t>ישועות ישראל</t>
  </si>
  <si>
    <t>גולדרייך, יהושע אלכסנדר בן שאול</t>
  </si>
  <si>
    <t>ישועות ישראל - 2 כר'</t>
  </si>
  <si>
    <t>טרונק, ישראל יהושע בן דוד</t>
  </si>
  <si>
    <t>ראט, יוסף</t>
  </si>
  <si>
    <t>ישועות כהן - 29 כר'</t>
  </si>
  <si>
    <t>אדלר, יהושע העשיל בן אהרן הכהן</t>
  </si>
  <si>
    <t>ישועות מלכו &lt;קרית ארבע&gt;</t>
  </si>
  <si>
    <t>ישועות מלכו</t>
  </si>
  <si>
    <t>יחיאל מיכל, המגיד מזלאטשוב</t>
  </si>
  <si>
    <t>ישועות מנחם</t>
  </si>
  <si>
    <t>ליבמן, מנחם</t>
  </si>
  <si>
    <t>ישועות משה - 9 כר'</t>
  </si>
  <si>
    <t>ישועות משיחו - 2 כר'</t>
  </si>
  <si>
    <t>ישועות שלום - סוכה</t>
  </si>
  <si>
    <t>וינשטוק, ישעיהו שלום בן אריה</t>
  </si>
  <si>
    <t>ישועות שמשון - 2 כר'</t>
  </si>
  <si>
    <t>ש"ס, ישעיהו שמשון בן משה אליהו</t>
  </si>
  <si>
    <t>ישועת בנימן</t>
  </si>
  <si>
    <t>ישועת ברוך - 2 כר'</t>
  </si>
  <si>
    <t>מועלם, ברוך ישעיהו בן יצחק</t>
  </si>
  <si>
    <t>ישועת ברוך - 3 כר'</t>
  </si>
  <si>
    <t>פורטנוי, ברוך יוסף בן אברהם לייב</t>
  </si>
  <si>
    <t>ישועת דוד - 7 כר'</t>
  </si>
  <si>
    <t>פוברסקי, יהושע דוד בן שלום</t>
  </si>
  <si>
    <t>ישועת דניאל - 4 כר'</t>
  </si>
  <si>
    <t>גולדשמידט, דניאל יהושע</t>
  </si>
  <si>
    <t>ישועת יעקב</t>
  </si>
  <si>
    <t>5614 תרי"ד</t>
  </si>
  <si>
    <t>ישועת יעקב - 2 כר'</t>
  </si>
  <si>
    <t>סולובייצ'יק, יעקב בן בצלאל</t>
  </si>
  <si>
    <t>ישועת ישכר</t>
  </si>
  <si>
    <t>אייכנשטיין, ישכר בעריש בן יהושע</t>
  </si>
  <si>
    <t>ישועת ישראל</t>
  </si>
  <si>
    <t>ישועת משה - 4 כר'</t>
  </si>
  <si>
    <t>אהרונסון, יהושע משה בן מיכאל אליהו</t>
  </si>
  <si>
    <t>תשכ"ח - תשל"א</t>
  </si>
  <si>
    <t>ישועת משה</t>
  </si>
  <si>
    <t>לאנדא, משה יהושע בן לוי יצחק</t>
  </si>
  <si>
    <t>ישורון &lt;גרמנית&gt; - 130 כר'</t>
  </si>
  <si>
    <t>ישורון - 42 כר'</t>
  </si>
  <si>
    <t>ישיב יצחק &lt;שו"ע&gt; - 13 כר'</t>
  </si>
  <si>
    <t>שכטר, יצחק שמואל בן יעקב יוסף חיים</t>
  </si>
  <si>
    <t>ישיב יצחק &lt;שו"ת&gt; - 10 כר'</t>
  </si>
  <si>
    <t>ישיב משה - 3 כר'</t>
  </si>
  <si>
    <t>שתרוג, משה</t>
  </si>
  <si>
    <t>ישיבה - מהותה יחודה וחשיבותה</t>
  </si>
  <si>
    <t>ישיבות הונגריה בגדולתן ובחורבנן - 2 כר'</t>
  </si>
  <si>
    <t>ישיבת אהבת תורה ברנוביץ - 22 כר'</t>
  </si>
  <si>
    <t>קטלוג ישיבת אהבת תורה</t>
  </si>
  <si>
    <t>ישיבת חכמי לובלין ומחוללו</t>
  </si>
  <si>
    <t>ישיבת חכמי לובלין - 2 כר'</t>
  </si>
  <si>
    <t>ישיבת כנסת חזקיהו</t>
  </si>
  <si>
    <t>יובל לישיבה</t>
  </si>
  <si>
    <t>ישיבת נחלת ישראל - נדרים</t>
  </si>
  <si>
    <t>קובץ ישיבת נחלת ישראל</t>
  </si>
  <si>
    <t>ישיבת פומבדיתא בימי האמוראים</t>
  </si>
  <si>
    <t>ישיבת קישינוב</t>
  </si>
  <si>
    <t>איגוד תלמידי ישיבת קישינוב</t>
  </si>
  <si>
    <t>ישיבת ראמיילעס נצח ישראל 160 שנה של תורה</t>
  </si>
  <si>
    <t>ישיר משה &lt;מכון הכתב&gt;</t>
  </si>
  <si>
    <t>דיין, משה בן אברהם</t>
  </si>
  <si>
    <t>ישיר משה &lt;פרק שירה&gt;</t>
  </si>
  <si>
    <t>ישיר משה - 2 כר'</t>
  </si>
  <si>
    <t>ישיר משה</t>
  </si>
  <si>
    <t>מועטי, משה</t>
  </si>
  <si>
    <t>משה בן זכריה הכהן</t>
  </si>
  <si>
    <t>סיינה. בית הכנסת</t>
  </si>
  <si>
    <t>פאלקון, רפאל משה</t>
  </si>
  <si>
    <t>ישכיל עבדי - 9 כר'</t>
  </si>
  <si>
    <t>תרצ"א - תש"מ</t>
  </si>
  <si>
    <t>ישכן אור</t>
  </si>
  <si>
    <t>כולל אור דוד</t>
  </si>
  <si>
    <t>ישלח דברו - א</t>
  </si>
  <si>
    <t>ישמח אב - 3 כר'</t>
  </si>
  <si>
    <t>ישמח אב - 8 כר'</t>
  </si>
  <si>
    <t>ישמח השם - שמחת לבו</t>
  </si>
  <si>
    <t>ישמח חיים</t>
  </si>
  <si>
    <t>אלפרשטיין, בנימין חיים בן יוסף</t>
  </si>
  <si>
    <t>ישמח יהודה - 5 כר'</t>
  </si>
  <si>
    <t>יאקאבאוויץ, יצחק יהודה</t>
  </si>
  <si>
    <t>ישמח יהודה - 9 כר'</t>
  </si>
  <si>
    <t>יאקובוביץ, יצחק יהודה</t>
  </si>
  <si>
    <t>ישמח יעקב</t>
  </si>
  <si>
    <t>ישמח יצחק</t>
  </si>
  <si>
    <t>עווער, יצחק צבי</t>
  </si>
  <si>
    <t>ישמח יצירך</t>
  </si>
  <si>
    <t>חדאד, מאיר</t>
  </si>
  <si>
    <t>ישמח ישראל &lt;מהדורה חדשה&gt;</t>
  </si>
  <si>
    <t>רבינוביץ, ישראל בן ברוך פנחס</t>
  </si>
  <si>
    <t>ישמח ישראל בעושיו</t>
  </si>
  <si>
    <t>קליפארה, ישראל שמואל בן שלמה רופא</t>
  </si>
  <si>
    <t>ישמח ישראל המבואר - 6 כר'</t>
  </si>
  <si>
    <t>מכון ישמח ישראל</t>
  </si>
  <si>
    <t>ישמח ישראל</t>
  </si>
  <si>
    <t>אברמסון, ישראל שמחה</t>
  </si>
  <si>
    <t>ישמח ישראל - 4 כר'</t>
  </si>
  <si>
    <t>ליטווין, יוסף בן ישראל</t>
  </si>
  <si>
    <t>ישמח ישראל - 2 כר'</t>
  </si>
  <si>
    <t>פלורידה</t>
  </si>
  <si>
    <t>הלכה ומנהג, נושאים שונים, שלחן ערוך ומפרשיו, תלמוד בבלי, תלמוד בבלי</t>
  </si>
  <si>
    <t>ישמח ישראל - א</t>
  </si>
  <si>
    <t>ישמח לב &lt;קובץ&gt; - 5 כר'</t>
  </si>
  <si>
    <t>ישמח לב א-ב</t>
  </si>
  <si>
    <t>פראנג'י, רפאל חיים מנחם בן ניסים שלמה</t>
  </si>
  <si>
    <t>ישמח לב</t>
  </si>
  <si>
    <t>גאגין, שלום משה חי בן חיים אברהם</t>
  </si>
  <si>
    <t>נושאים שונים, שאלות ותשובות, שאלות ותשובות</t>
  </si>
  <si>
    <t>ישמח לב - 5 כר'</t>
  </si>
  <si>
    <t>ישמח לב - 4 כר'</t>
  </si>
  <si>
    <t>הלוי, משה שמעון בן יהודה</t>
  </si>
  <si>
    <t>נושאים שונים, סוגיות, שאלות ותשובות, תלמוד בבלי</t>
  </si>
  <si>
    <t>ישמח לב - א</t>
  </si>
  <si>
    <t>ישמח לב - 3 כר'</t>
  </si>
  <si>
    <t>טמפלר, משה יצחק</t>
  </si>
  <si>
    <t>ישמח לב - ריבית</t>
  </si>
  <si>
    <t>כולל תפארת חיים שמואל</t>
  </si>
  <si>
    <t>לובינסקי, יוסף ניסן בן פנחס יהודא</t>
  </si>
  <si>
    <t>דרושים, הלכה ומנהג, מועדי ישראל, משנה, תלמוד בבלי, תנ"ך</t>
  </si>
  <si>
    <t>סאוויץ, מנחם בן ראובן</t>
  </si>
  <si>
    <t>ישמח לבב &lt;שו"ת&gt;</t>
  </si>
  <si>
    <t>ישמח לבב - 2 כר'</t>
  </si>
  <si>
    <t>עובדיה, ישועה שמעון חיים בן מסעוד</t>
  </si>
  <si>
    <t>ישמח לבי - משלי</t>
  </si>
  <si>
    <t>ישמח לבנו &lt;שו"ת&gt;</t>
  </si>
  <si>
    <t>ישמח מלך - שמות, ויקרא</t>
  </si>
  <si>
    <t>ישמח מלך</t>
  </si>
  <si>
    <t>ישמח משה  &lt;איכה&gt; - תהלה למשה</t>
  </si>
  <si>
    <t>תולדות עם ישראל, תנ"ך, תפלות בקשות פיוטים ושירה</t>
  </si>
  <si>
    <t>ישמח משה &lt;שיעורים&gt; - 3 כר'</t>
  </si>
  <si>
    <t>חיות, שמואל חיים בן משה דוד</t>
  </si>
  <si>
    <t>ישמח משה &lt;ליקוטים&gt; - 3 כר'</t>
  </si>
  <si>
    <t>ישמח משה &lt;מהדורה חדשה&gt; - 2 כר'</t>
  </si>
  <si>
    <t>ישמח משה &lt;מהדורה ראשונה&gt; - 5 כר'</t>
  </si>
  <si>
    <t>תר"ט-תרכ"א,</t>
  </si>
  <si>
    <t>ישמח משה על התורה</t>
  </si>
  <si>
    <t>גפן, ישראל חיים בן משה</t>
  </si>
  <si>
    <t>ישמח משה</t>
  </si>
  <si>
    <t>אומן, משה</t>
  </si>
  <si>
    <t>בלאך, משה משטראסבורג</t>
  </si>
  <si>
    <t>בן חיים, משה</t>
  </si>
  <si>
    <t>גאליפוליטי, שבתי בן חיים משה</t>
  </si>
  <si>
    <t>גיג', משה בן יעקב</t>
  </si>
  <si>
    <t>ישמח משה - 3 כר'</t>
  </si>
  <si>
    <t>דוויק, משה בן אליהו חי</t>
  </si>
  <si>
    <t>די בושאל, משה בן שלמה</t>
  </si>
  <si>
    <t>הלוי, משה חיים מיתא</t>
  </si>
  <si>
    <t>ישמח משה - החיים יודוך</t>
  </si>
  <si>
    <t>ישמח משה - שו"ת א</t>
  </si>
  <si>
    <t>חדד, משה</t>
  </si>
  <si>
    <t>ישמח משה - 9 כר'</t>
  </si>
  <si>
    <t>ישמח משה - 6 כר'</t>
  </si>
  <si>
    <t>תש"ז! צ"ל: תש"ב</t>
  </si>
  <si>
    <t>דרושים, משנה, משנה, שלחן ערוך ומפרשיו, תלמוד בבלי, תלמוד בבלי, תלמוד בבלי</t>
  </si>
  <si>
    <t>משה בן יואל מניקלשבורג</t>
  </si>
  <si>
    <t>ישמח משה - 2 כר'</t>
  </si>
  <si>
    <t>שרון, משה</t>
  </si>
  <si>
    <t>ישמח משה, מלאכת שלמה, בריתי יעקב</t>
  </si>
  <si>
    <t>אילויצקי משה הכהן - מילר, שלמה - דבליצקי, שריה</t>
  </si>
  <si>
    <t>ישמח צדיק &lt;מהדורה חדשה&gt;</t>
  </si>
  <si>
    <t>ישמח צדיק</t>
  </si>
  <si>
    <t>ישמחו בך - מסכת אבות</t>
  </si>
  <si>
    <t>ישמחו במלכותך</t>
  </si>
  <si>
    <t>ישמע דברו</t>
  </si>
  <si>
    <t>יאשה, שאמע</t>
  </si>
  <si>
    <t>חשד</t>
  </si>
  <si>
    <t>ישמע מהיכלו קולי</t>
  </si>
  <si>
    <t>ישע אלהים &lt;הגדה של פסח&gt;</t>
  </si>
  <si>
    <t>פרנקל, יונתן שמעון בן יעקב</t>
  </si>
  <si>
    <t>ישע אלהים - 3 כר'</t>
  </si>
  <si>
    <t>ישע אלוקים</t>
  </si>
  <si>
    <t>פרנקל, יונתן שמעון</t>
  </si>
  <si>
    <t>ישע דוד</t>
  </si>
  <si>
    <t>מלכיאל, ישעיה דוד</t>
  </si>
  <si>
    <t>ישע יה</t>
  </si>
  <si>
    <t>שצ"ז</t>
  </si>
  <si>
    <t>ישע שלמה - דיינים ועדות</t>
  </si>
  <si>
    <t>ארוואץ, שלמה בן ישעיה משה</t>
  </si>
  <si>
    <t>ישעיהו כפשוטו</t>
  </si>
  <si>
    <t>ישעיהו - עם רד"ק</t>
  </si>
  <si>
    <t>קמחי, דוד בן יוסף (רד"ק)</t>
  </si>
  <si>
    <t>ליסבון Lisbon</t>
  </si>
  <si>
    <t>ישפה</t>
  </si>
  <si>
    <t>גורדון, בנימין גרשון</t>
  </si>
  <si>
    <t>ישר הורי</t>
  </si>
  <si>
    <t>ישר וטוב - 2 כר'</t>
  </si>
  <si>
    <t>כהן, ישראל טוביה</t>
  </si>
  <si>
    <t>ישראל באדם</t>
  </si>
  <si>
    <t>גוטמאן, אברהם יוסף בן משה</t>
  </si>
  <si>
    <t>ישראל באומות כלב באברים &lt;אנגלית&gt;</t>
  </si>
  <si>
    <t>גרינברג, מרדכי</t>
  </si>
  <si>
    <t>ישראל בחירי - 2 כר'</t>
  </si>
  <si>
    <t>ישראל בין העמים</t>
  </si>
  <si>
    <t>ארנרייך, חיים יהודה בן קלמן קלונימוס</t>
  </si>
  <si>
    <t>ישראל במעמדם - 2 כר'</t>
  </si>
  <si>
    <t>פלדמן, שמעון ישראל בן מרדכי זלמן</t>
  </si>
  <si>
    <t>ישראל בעמים</t>
  </si>
  <si>
    <t>ישראל הדתית - א</t>
  </si>
  <si>
    <t>ישראל הדתית</t>
  </si>
  <si>
    <t>ישראל ואורייתא</t>
  </si>
  <si>
    <t>ישראל ואורייתא - 4 כר'</t>
  </si>
  <si>
    <t>קראהן, ישראל קלמן</t>
  </si>
  <si>
    <t>ישראל והזמנים - 2 כר'</t>
  </si>
  <si>
    <t>ישראל והזמנים</t>
  </si>
  <si>
    <t>וינגרטן, ישראל מנחם</t>
  </si>
  <si>
    <t>ישראל והזמנים - 3 כר'</t>
  </si>
  <si>
    <t>ישראל וקדושתו</t>
  </si>
  <si>
    <t>תר"צ בערך - תשי"ג</t>
  </si>
  <si>
    <t>פשעמשיל - ניו יורק</t>
  </si>
  <si>
    <t>ישראל ושבתו</t>
  </si>
  <si>
    <t>ישראל ותורתו</t>
  </si>
  <si>
    <t>ישראל ישמעאל בדילוגי אותיות בתורה</t>
  </si>
  <si>
    <t>ישראל לסגולתו - סוכות</t>
  </si>
  <si>
    <t>ישראל לסגולתו - הגדה של פסח</t>
  </si>
  <si>
    <t>ישראל לסגולתו</t>
  </si>
  <si>
    <t>ישראל סבא &lt;ארה"ב&gt; - 4 כר'</t>
  </si>
  <si>
    <t>ישראל סבא</t>
  </si>
  <si>
    <t>ישראל סבא - 77 כר'</t>
  </si>
  <si>
    <t>תשכ"ב - תשכ"ג</t>
  </si>
  <si>
    <t>ישראל עושה חיל</t>
  </si>
  <si>
    <t>ספר יובל לכבוד ר' ישראל זופניק</t>
  </si>
  <si>
    <t>ישראל ערבים</t>
  </si>
  <si>
    <t>ישראל קדושים &lt;מהדורת הר ברכה&gt;</t>
  </si>
  <si>
    <t>ישראל קדושים</t>
  </si>
  <si>
    <t>ישרו בערבה מסילה</t>
  </si>
  <si>
    <t>ששון, דוד</t>
  </si>
  <si>
    <t>ישרון - ו</t>
  </si>
  <si>
    <t>קובק, יוסף יצחק</t>
  </si>
  <si>
    <t>במברג</t>
  </si>
  <si>
    <t>ישרי לב</t>
  </si>
  <si>
    <t>יעקב בן אפרים אברהם החסיד</t>
  </si>
  <si>
    <t>ישרי לב - שבת</t>
  </si>
  <si>
    <t>רבינוביץ, יצחק יעקב בן נתן דוד - זילבר, בנימן יהושע</t>
  </si>
  <si>
    <t>ישרי לב - 2 כר'</t>
  </si>
  <si>
    <t>שוורץ, יחזקאל שרגא</t>
  </si>
  <si>
    <t>שיין, יוחנן בן זאב יהודה</t>
  </si>
  <si>
    <t>ישרש יעקב &lt;מהדורה חדשה&gt; - 2 כר'</t>
  </si>
  <si>
    <t>ישרש יעקב &lt;מהדורה חדשה&gt;</t>
  </si>
  <si>
    <t>טננבוים, יעקב יהודה בן נתן נטע</t>
  </si>
  <si>
    <t>ישרש יעקב</t>
  </si>
  <si>
    <t>באבאני, יעקב (מיוחס לו)</t>
  </si>
  <si>
    <t>ישרש יעקב - יסוד הקיום</t>
  </si>
  <si>
    <t>באבאני, יעקב - אספינוזא, בנימין</t>
  </si>
  <si>
    <t>חסידות, מועדי ישראל, שונות, תנ"ך, תנ"ך</t>
  </si>
  <si>
    <t>רוזנר, חיים יעקב הלוי</t>
  </si>
  <si>
    <t>ישרש יעקב - 2 כר'</t>
  </si>
  <si>
    <t>שיק, יעקב בן דוד</t>
  </si>
  <si>
    <t>ישרת התורה</t>
  </si>
  <si>
    <t>בייטנר, אברהם אבנר בן טוביה צבי</t>
  </si>
  <si>
    <t>יששכר באהליך</t>
  </si>
  <si>
    <t>כולל בעלזא לונדון</t>
  </si>
  <si>
    <t>כולל מכון להוראה</t>
  </si>
  <si>
    <t>יששכר וזבולון</t>
  </si>
  <si>
    <t>טוויל, אהרן בן אליהו עילי הכהן</t>
  </si>
  <si>
    <t>טוויל, אהרן עילי הכהן</t>
  </si>
  <si>
    <t>כהן, ניסן קדוש</t>
  </si>
  <si>
    <t>יששכר וזבולון - 2 כר'</t>
  </si>
  <si>
    <t>שטרנבוך, אפרים זלמן בן משה</t>
  </si>
  <si>
    <t>יתגבר כארי &lt;מהדורה מנוקדת&gt;</t>
  </si>
  <si>
    <t>יתגבר כארי</t>
  </si>
  <si>
    <t>יתגדל ויתקדש שמיה רבא</t>
  </si>
  <si>
    <t>יתד המאיר - 119 כר'</t>
  </si>
  <si>
    <t>יתד נאמן - 3 כר'</t>
  </si>
  <si>
    <t>יתד נאמן</t>
  </si>
  <si>
    <t>יתדות אוהלים</t>
  </si>
  <si>
    <t>אש, יואל בן מאיר</t>
  </si>
  <si>
    <t>יתדות החצר</t>
  </si>
  <si>
    <t>כהן, אברהם משה בן אליהו</t>
  </si>
  <si>
    <t>יתום ואלמנה יעודד</t>
  </si>
  <si>
    <t>יתן מציון - ב</t>
  </si>
  <si>
    <t>הכהן, בן ציון</t>
  </si>
  <si>
    <t>יתן מציון - ברכות, ביצה</t>
  </si>
  <si>
    <t>כהן, בן-ציון יהונתן בן יעקב</t>
  </si>
  <si>
    <t>יתר הבז - 2 כר'</t>
  </si>
  <si>
    <t>ג'ארמון, נהוראי בן יצחק</t>
  </si>
  <si>
    <t>יתרון לחכמה</t>
  </si>
  <si>
    <t>כ"ה לחי - 2 כר'</t>
  </si>
  <si>
    <t>מאסף לעניינים הקשורים לחברא קדישא</t>
  </si>
  <si>
    <t>כ"פ אחת</t>
  </si>
  <si>
    <t>כ"ק מרן אדמו"ר מנדבורנה זצוקללה"ה</t>
  </si>
  <si>
    <t>כ"ק מרן האדמו"ר מגור זצוקלל"ה</t>
  </si>
  <si>
    <t>קטעי עיתונות</t>
  </si>
  <si>
    <t>כאור החמה מזהיר</t>
  </si>
  <si>
    <t>פקשר, מנחם מנדל הכהן</t>
  </si>
  <si>
    <t>כאור נגה</t>
  </si>
  <si>
    <t>כהן, ב.</t>
  </si>
  <si>
    <t>כאייל תערוג</t>
  </si>
  <si>
    <t>כאיל תערג</t>
  </si>
  <si>
    <t>ביטר, צבי בן שלמה</t>
  </si>
  <si>
    <t>כאיל תערוג &lt;עלון שבועי&gt; - 5 כר'</t>
  </si>
  <si>
    <t>כאיל תערוג</t>
  </si>
  <si>
    <t>הלוי, יעקב ישראל</t>
  </si>
  <si>
    <t>כאיל תערוג - 4 כר'</t>
  </si>
  <si>
    <t>ליפקוביץ, אברהם יצחק בן מיכל יהודה</t>
  </si>
  <si>
    <t>כאיל תערוג - 10 כר'</t>
  </si>
  <si>
    <t>כארז בלבנון ישגה</t>
  </si>
  <si>
    <t>דויטש, אברהם יחיאל בן שמעון</t>
  </si>
  <si>
    <t>כארי יתנשא</t>
  </si>
  <si>
    <t>כארי יתנשא - רבי יצחק פלקסר</t>
  </si>
  <si>
    <t>פלקסר, נחום בן אלעזר</t>
  </si>
  <si>
    <t>כאשר צוה השם</t>
  </si>
  <si>
    <t>גרפינקל, דניאל אליעזר בן אברהם משה</t>
  </si>
  <si>
    <t>כבא השמש</t>
  </si>
  <si>
    <t>הספדים על ר' שמואל רוזובסקי זצ"ל</t>
  </si>
  <si>
    <t>כבה נר המערבי</t>
  </si>
  <si>
    <t>הספדים על מרן המנחת יצחק זצ"ל</t>
  </si>
  <si>
    <t>כבה נר ישראל - 2 כר'</t>
  </si>
  <si>
    <t>דושינסקי, ישראל משה בן יוסף צבי (עליו)</t>
  </si>
  <si>
    <t>כבוד אב ואם בהלכה ובאגדה</t>
  </si>
  <si>
    <t>כבוד אב ואם לגיל הרך</t>
  </si>
  <si>
    <t>כבוד אב ואם</t>
  </si>
  <si>
    <t>פלדמן, יעקב פנחס</t>
  </si>
  <si>
    <t>כבוד אכסניא</t>
  </si>
  <si>
    <t>פרייסקל, אפרים יצחק בן ברוך</t>
  </si>
  <si>
    <t>כבוד אלוהים - 2 כר'</t>
  </si>
  <si>
    <t>אבן-מיגאש, אברהם בן יצחק הלוי</t>
  </si>
  <si>
    <t>שמ"ה - שמ"ו</t>
  </si>
  <si>
    <t>כבוד אלוהים</t>
  </si>
  <si>
    <t>אבן-שם טוב, יוסף בן שם טוב</t>
  </si>
  <si>
    <t>כבוד דוד</t>
  </si>
  <si>
    <t>גלעדי, ששון בן דוד</t>
  </si>
  <si>
    <t>כבוד הבית</t>
  </si>
  <si>
    <t>שמעון וולף בן יעקב מפינטשוב</t>
  </si>
  <si>
    <t>כבוד הורים כהלכתו</t>
  </si>
  <si>
    <t>כבוד הורים</t>
  </si>
  <si>
    <t>כבוד הכהן</t>
  </si>
  <si>
    <t>כבוד הלבנון</t>
  </si>
  <si>
    <t>בלייער, מנחם בן מיכאל</t>
  </si>
  <si>
    <t>כבוד המת</t>
  </si>
  <si>
    <t>וויטריאל, נחמן יהוסף</t>
  </si>
  <si>
    <t>כבוד הספרים</t>
  </si>
  <si>
    <t>טוויל, יצחק חיים בן משה הכהן</t>
  </si>
  <si>
    <t>כבוד העצמי החדש, הכבוד האמיתי</t>
  </si>
  <si>
    <t>כבוד הרב</t>
  </si>
  <si>
    <t>שרמן, משה</t>
  </si>
  <si>
    <t>כבוד השבת</t>
  </si>
  <si>
    <t>ויינגרטן, יוסף דוד בן יהושע שמעון</t>
  </si>
  <si>
    <t>כבוד התורה בארגאנטינא</t>
  </si>
  <si>
    <t>מזל, יוסף שלמה בן מנחם זינדל</t>
  </si>
  <si>
    <t>מחשבה ומוסר, נושאים שונים, תלמוד בבלי, תנ"ך</t>
  </si>
  <si>
    <t>כבוד התורה - 3 כר'</t>
  </si>
  <si>
    <t>כבוד התורה</t>
  </si>
  <si>
    <t>לרנוביץ, שמואל בן זוסיא</t>
  </si>
  <si>
    <t>כבוד והדר</t>
  </si>
  <si>
    <t>כבוד והדר - 2 כר'</t>
  </si>
  <si>
    <t>כבוד והידור</t>
  </si>
  <si>
    <t>כבוד ועז</t>
  </si>
  <si>
    <t>כבוד חופה</t>
  </si>
  <si>
    <t>כבוד חכמים</t>
  </si>
  <si>
    <t>בוש, מיכאל דוד בן יהודה משה</t>
  </si>
  <si>
    <t>כבוד חכמים - 2 כר'</t>
  </si>
  <si>
    <t>היילפרין, מנחם מנכין בן שלום</t>
  </si>
  <si>
    <t>לאנדא, יעקב בן אלעזר הלוי</t>
  </si>
  <si>
    <t>לוונטאל, דוב אריה בן אברהם הכהן</t>
  </si>
  <si>
    <t>ת"ס דפוס אחר</t>
  </si>
  <si>
    <t>קאליש, צבי אלימלך בן חיים</t>
  </si>
  <si>
    <t>תרנ"ח - תרע"</t>
  </si>
  <si>
    <t>רובינשטיין, משה נתן בן מרדכי מנחם מנדל</t>
  </si>
  <si>
    <t>כבוד יום טוב &lt;ידיד הלוי&gt;</t>
  </si>
  <si>
    <t>כבוד יום טוב</t>
  </si>
  <si>
    <t>דאנון, יום טוב</t>
  </si>
  <si>
    <t>יום-טוב ליפמאן בן משה שלמה מאיישישוק</t>
  </si>
  <si>
    <t>כבוד יעקב</t>
  </si>
  <si>
    <t>כבוד ירושלים</t>
  </si>
  <si>
    <t>כבוד לאיש</t>
  </si>
  <si>
    <t>אלישר, חיים משה בן יעקב שאול</t>
  </si>
  <si>
    <t>כבוד מלכים</t>
  </si>
  <si>
    <t>כבוד מלכים - 2 כר'</t>
  </si>
  <si>
    <t>לאנדא, משה צבי בן שלום</t>
  </si>
  <si>
    <t>כבוד צדיקים</t>
  </si>
  <si>
    <t>כבוד שבת</t>
  </si>
  <si>
    <t>חכם, דוד בן אליהו</t>
  </si>
  <si>
    <t>מועדי ישראל, קבלה, תפלות בקשות פיוטים ושירה</t>
  </si>
  <si>
    <t>שורץ, יצחק מאיר הכהן</t>
  </si>
  <si>
    <t>כבוד שלם - תשובה שלימה</t>
  </si>
  <si>
    <t>כבוד שמים - 2 כר'</t>
  </si>
  <si>
    <t>כבוד שמים</t>
  </si>
  <si>
    <t>כבודה בת מלך</t>
  </si>
  <si>
    <t>ווינער, משה</t>
  </si>
  <si>
    <t>כבודה של תורה - 4 כר'</t>
  </si>
  <si>
    <t>כבודה של תורה</t>
  </si>
  <si>
    <t>קובץ ישיבת אש התלמוד</t>
  </si>
  <si>
    <t>כבודה של תורה - אגרות המשמר</t>
  </si>
  <si>
    <t>כבודו מלא עולם</t>
  </si>
  <si>
    <t>כבולעו כך פולטו - מליחה</t>
  </si>
  <si>
    <t>אופקים;</t>
  </si>
  <si>
    <t>כבני מירון</t>
  </si>
  <si>
    <t>כבש לעולה</t>
  </si>
  <si>
    <t>כבשונה של תקופתנו ודרך הקודש</t>
  </si>
  <si>
    <t>תנעמי זכריה</t>
  </si>
  <si>
    <t>כג"ן הירק</t>
  </si>
  <si>
    <t>זוהר. תיקוני זוהר. תרס"ט. ירושלים</t>
  </si>
  <si>
    <t>כגבר יאזור חלציו</t>
  </si>
  <si>
    <t>כגונא - 2 כר'</t>
  </si>
  <si>
    <t>כגן עדנים</t>
  </si>
  <si>
    <t>גיג', כלפה בן אליהו</t>
  </si>
  <si>
    <t>כגן רוה</t>
  </si>
  <si>
    <t>כגנות עלי נהר</t>
  </si>
  <si>
    <t>כד המים</t>
  </si>
  <si>
    <t>כד הקמח</t>
  </si>
  <si>
    <t>כד הקמח - 7 כר'</t>
  </si>
  <si>
    <t>כדאי הוא רבי שמעון</t>
  </si>
  <si>
    <t>כדבר אליהו - אהלות</t>
  </si>
  <si>
    <t>כדבר משה - מסכת פרה</t>
  </si>
  <si>
    <t>ברוידא, ישראל צבי בן משה אהרן</t>
  </si>
  <si>
    <t>כדי גאולתו</t>
  </si>
  <si>
    <t>כדרבנות וכמסמרות - 3 כר'</t>
  </si>
  <si>
    <t>כדת היום</t>
  </si>
  <si>
    <t>כדת וכדין</t>
  </si>
  <si>
    <t>כדת נפש משיבת</t>
  </si>
  <si>
    <t>כה לחי</t>
  </si>
  <si>
    <t>אנגלמן, מרדכי אורי הלוי</t>
  </si>
  <si>
    <t>כה לחי - הגדה של פסח</t>
  </si>
  <si>
    <t>חזן, יצחק בן מאיר</t>
  </si>
  <si>
    <t>כהן, חי</t>
  </si>
  <si>
    <t>כהן, שלמה בן אברהם יצחק</t>
  </si>
  <si>
    <t>פלסנר, שלמה בן ליב</t>
  </si>
  <si>
    <t>Breslau ברסלאו</t>
  </si>
  <si>
    <t>כה תאמר לבית יעקב</t>
  </si>
  <si>
    <t>כה תאמר - שפתי עני</t>
  </si>
  <si>
    <t>שנבלג, מנחם מנדל</t>
  </si>
  <si>
    <t>כה תברכו</t>
  </si>
  <si>
    <t>כה תברכו - 3 כר'</t>
  </si>
  <si>
    <t>כהונת אלימלך</t>
  </si>
  <si>
    <t>כהונת עולם</t>
  </si>
  <si>
    <t>משה הכהן מקושטא</t>
  </si>
  <si>
    <t>כהונת רפאל - 3 כר'</t>
  </si>
  <si>
    <t>קוק, רפאל הכהן</t>
  </si>
  <si>
    <t>הלכה ומנהג, משנה, שאלות ותשובות, שלחן ערוך ומפרשיו, תלמוד בבלי</t>
  </si>
  <si>
    <t>כהיום תמצאון</t>
  </si>
  <si>
    <t>מועדי ישראל, תלמוד בבלי, תנ"ך, תנ"ך, תפלות בקשות פיוטים ושירה</t>
  </si>
  <si>
    <t>כהלכות הפסח</t>
  </si>
  <si>
    <t>כהן גדול משרת</t>
  </si>
  <si>
    <t>כהן הגדול ביום הכיפורים</t>
  </si>
  <si>
    <t>צוקר, יוסף בן אהרן יהושע</t>
  </si>
  <si>
    <t>כהנא מסייע כהנא</t>
  </si>
  <si>
    <t>כהנת אברהם</t>
  </si>
  <si>
    <t>אברהם בן שבתי הכהן מזאנטה</t>
  </si>
  <si>
    <t>[תע"ט,</t>
  </si>
  <si>
    <t>כהנת עולם &lt;מהדורה חדשה&gt;</t>
  </si>
  <si>
    <t>שוטן, שמעון בן משה יחיאל הכהן</t>
  </si>
  <si>
    <t>כהנת עולם</t>
  </si>
  <si>
    <t>טוויל, אלחנן בן דוד שמעון כהן</t>
  </si>
  <si>
    <t>כובע ישועה</t>
  </si>
  <si>
    <t>לוריא, משה בצלאל בן שרגא פייבוש</t>
  </si>
  <si>
    <t>כוונות ישרות</t>
  </si>
  <si>
    <t>כוונת התפלה</t>
  </si>
  <si>
    <t>מילהויזן, יום טוב ליפמאן בן שלמה</t>
  </si>
  <si>
    <t>כוונת ספירת העומר</t>
  </si>
  <si>
    <t>כוונת תהלים</t>
  </si>
  <si>
    <t>שימוש תהלים. תפ"ד</t>
  </si>
  <si>
    <t>כוחה של מלה</t>
  </si>
  <si>
    <t>כוחה של צניעות</t>
  </si>
  <si>
    <t>כוחה של שבת - 2 כר'</t>
  </si>
  <si>
    <t>כוחה של תורה לשמה בתיקון היסוד</t>
  </si>
  <si>
    <t>מחשבה ומוסר, קבלה, תפלות בקשות פיוטים ושירה</t>
  </si>
  <si>
    <t>כוחה של תפילה</t>
  </si>
  <si>
    <t>כוכב השחר</t>
  </si>
  <si>
    <t>רבינוביץ, חיים בן שלום</t>
  </si>
  <si>
    <t>סעאיני,</t>
  </si>
  <si>
    <t>כוכב מיעקב &lt;מהדורה חדשה&gt;</t>
  </si>
  <si>
    <t>גרינברג, יעקב סנדר בן אברהם</t>
  </si>
  <si>
    <t>כוכב מיעקב</t>
  </si>
  <si>
    <t>היילברון, יעקב</t>
  </si>
  <si>
    <t>דרושים, הלכה ומנהג, תולדות עם ישראל</t>
  </si>
  <si>
    <t>כוכב מיעקב - 3 כר'</t>
  </si>
  <si>
    <t>וויידנפלד, יעקב בן אליעזר</t>
  </si>
  <si>
    <t>משנה, שאלות ותשובות</t>
  </si>
  <si>
    <t>קובו, יעקב חנניה</t>
  </si>
  <si>
    <t>כוכבי אור השלם &lt;מהדות משך הנחל&gt;</t>
  </si>
  <si>
    <t>כוכבי אור</t>
  </si>
  <si>
    <t>בלאזר, יצחק בן שלמה</t>
  </si>
  <si>
    <t>כהנא, חיים יצחק בן נחמן</t>
  </si>
  <si>
    <t>כוכבי אור - ביאלא</t>
  </si>
  <si>
    <t>כוכבי אור - 2 כר'</t>
  </si>
  <si>
    <t>תולדות מרנן הדובב מישרים והברכת שמעון</t>
  </si>
  <si>
    <t>כוכבי אשר</t>
  </si>
  <si>
    <t>כוכבי בוקר - 2 כר'</t>
  </si>
  <si>
    <t>כוכבי יצחק - 5 כר'</t>
  </si>
  <si>
    <t>שטרנהל, יצחק בן דוד</t>
  </si>
  <si>
    <t>נושאים שונים, שאלות ותשובות, תולדות עם ישראל, תלמוד ירושלמי</t>
  </si>
  <si>
    <t>כולו מחמדים</t>
  </si>
  <si>
    <t>כולל פורת יוסף  - ב"ק</t>
  </si>
  <si>
    <t>סאלם, אברהם בן נתן</t>
  </si>
  <si>
    <t>כולם אהובים</t>
  </si>
  <si>
    <t>אריה ליב בן נחמיה</t>
  </si>
  <si>
    <t>בר, אריה לייב בן נחמיה</t>
  </si>
  <si>
    <t>כולם בחכמה עשית</t>
  </si>
  <si>
    <t>כונות האגדות &lt;כפתר ופרח&gt;</t>
  </si>
  <si>
    <t>לוצאטו, יעקב בן יצחק</t>
  </si>
  <si>
    <t>דרושים, נושאים שונים, שאר ספרי חז"ל, תלמוד בבלי, תלמוד ירושלמי</t>
  </si>
  <si>
    <t>כונות האגדות - 2 כר'</t>
  </si>
  <si>
    <t>שמ"א</t>
  </si>
  <si>
    <t>בסיליאה</t>
  </si>
  <si>
    <t>כונות נפלאות</t>
  </si>
  <si>
    <t>כונות פרטיות</t>
  </si>
  <si>
    <t>כונן הדעת</t>
  </si>
  <si>
    <t>כוננת מאז</t>
  </si>
  <si>
    <t>כוננת מישרים</t>
  </si>
  <si>
    <t>כונת הלב - 2 כר'</t>
  </si>
  <si>
    <t>ליכטנשטיין, הילל בן ברוך בנדט מברוקלין</t>
  </si>
  <si>
    <t>כונת המצות - קונטרס ב</t>
  </si>
  <si>
    <t>פרלמאן, שמעון זאב בן שמואל צבי</t>
  </si>
  <si>
    <t>תרצ"ג-תרצ"ח</t>
  </si>
  <si>
    <t>כונת שלמה - 2 כר'</t>
  </si>
  <si>
    <t>רוקה, שלמה</t>
  </si>
  <si>
    <t>תפלות בקשות פיוטים ושירה, תפלות בקשות פיוטים ושירה</t>
  </si>
  <si>
    <t>כוס הישועות</t>
  </si>
  <si>
    <t>שוטן, שמואל בן יוסף הכהן (מהרשש"ך)</t>
  </si>
  <si>
    <t>כוס חמישי</t>
  </si>
  <si>
    <t>כוס ישועה ונחמה</t>
  </si>
  <si>
    <t>כוס ישועות - 2 כר'</t>
  </si>
  <si>
    <t>אשכנזי, צבי הירש בן נפתלי הירץ</t>
  </si>
  <si>
    <t>כוס ישועות</t>
  </si>
  <si>
    <t>בורודיאנסקי, יהושע בן יצחק ירוחם</t>
  </si>
  <si>
    <t>כוס של אליהו - טבילת כלים</t>
  </si>
  <si>
    <t>רוטשטיין, משה צבי בן אברהם יעקב</t>
  </si>
  <si>
    <t>כוס תנחומים</t>
  </si>
  <si>
    <t>כוסי רויה - 3 כר'</t>
  </si>
  <si>
    <t>וינברג, שלמה זלמינא - לוי, יהודה</t>
  </si>
  <si>
    <t>כור הבחינה משו"ת ודרשות משכן שיל"ה</t>
  </si>
  <si>
    <t>לאנדא, אברהם יוסף שמואל בן ישראל יונה הלוי</t>
  </si>
  <si>
    <t>כור הברזל</t>
  </si>
  <si>
    <t>רבי זעליג ברוורמן</t>
  </si>
  <si>
    <t>כור ההלכה - 11 כר'</t>
  </si>
  <si>
    <t>בוק, יהושע בן משה</t>
  </si>
  <si>
    <t>כור הזהב</t>
  </si>
  <si>
    <t>כור המבחן &lt;מהדורה חדשה&gt; - 2 כר'</t>
  </si>
  <si>
    <t>ראזענבערג, מאיר יהושע</t>
  </si>
  <si>
    <t>כור המבחן - סנהדרין</t>
  </si>
  <si>
    <t>טיקוצינסקי, רפאל יונה</t>
  </si>
  <si>
    <t>כור המבחן - 2 כר'</t>
  </si>
  <si>
    <t>ישיבת ירוחם</t>
  </si>
  <si>
    <t>כור המבחן - 3 כר'</t>
  </si>
  <si>
    <t>כור המשנה - 7 כר'</t>
  </si>
  <si>
    <t>מפעל ההלכה הארצי</t>
  </si>
  <si>
    <t>כור זהב</t>
  </si>
  <si>
    <t>שטיינהארט, אריה ליב בן מרדכי</t>
  </si>
  <si>
    <t>כור לזהב - 2 כר'</t>
  </si>
  <si>
    <t>תע"ו</t>
  </si>
  <si>
    <t>כור לזהב</t>
  </si>
  <si>
    <t>כור מצרף האמונות ומראה האמת</t>
  </si>
  <si>
    <t>לופס, יצחק</t>
  </si>
  <si>
    <t>Metz מץ</t>
  </si>
  <si>
    <t>כורת הברית</t>
  </si>
  <si>
    <t>הלכה ומנהג, שלחן ערוך ומפרשיו, תפלות בקשות פיוטים ושירה</t>
  </si>
  <si>
    <t>כורתי בריתי עלי זבח</t>
  </si>
  <si>
    <t>אנגלמן, מרדכי אורי בן יעקב מיכל הלוי</t>
  </si>
  <si>
    <t>כותל מערבי</t>
  </si>
  <si>
    <t>כזה ראה וחדש</t>
  </si>
  <si>
    <t>עציון, יהודה</t>
  </si>
  <si>
    <t>כזוהר הרקיע</t>
  </si>
  <si>
    <t>זבורוב, זוהר</t>
  </si>
  <si>
    <t>אזור</t>
  </si>
  <si>
    <t>כזית בזמננו</t>
  </si>
  <si>
    <t>כח בי"ד יפה</t>
  </si>
  <si>
    <t>ברייטשטיין, אברהם מרדכי בן שלמה זלמן</t>
  </si>
  <si>
    <t>כח הטענה</t>
  </si>
  <si>
    <t>אומן, יוסף בן אורי מנחם</t>
  </si>
  <si>
    <t>כח המוסר בדין</t>
  </si>
  <si>
    <t>כח הפה היהודי</t>
  </si>
  <si>
    <t>מכון צפית לישועה</t>
  </si>
  <si>
    <t>כח התורה</t>
  </si>
  <si>
    <t>פרידמן, צבי הירש בן מנשה שמחה</t>
  </si>
  <si>
    <t>כח התשובה</t>
  </si>
  <si>
    <t>כח ליעף - ביצה</t>
  </si>
  <si>
    <t>פרייס, יוסף עקיבא בן אריה ליבש</t>
  </si>
  <si>
    <t>כח מחיצות</t>
  </si>
  <si>
    <t>פרידנר, אריה יהודה בן יקותיאל</t>
  </si>
  <si>
    <t>כח מכתבי קודש</t>
  </si>
  <si>
    <t>כח מעשיו הגיד לעמו</t>
  </si>
  <si>
    <t>דרושים, נושאים שונים, קבלה, שאלות ותשובות, תלמוד בבלי, תנ"ך</t>
  </si>
  <si>
    <t>כח מעשיו</t>
  </si>
  <si>
    <t>חדאד, כדורה</t>
  </si>
  <si>
    <t>כחלון, חיים</t>
  </si>
  <si>
    <t>כח שור</t>
  </si>
  <si>
    <t>שור, יצחק בן אברהם</t>
  </si>
  <si>
    <t>כחה של תפילה</t>
  </si>
  <si>
    <t>כחו דרבי אלעזר ברשב"י</t>
  </si>
  <si>
    <t>כחו דרשב"י</t>
  </si>
  <si>
    <t>כחותם על לבי - על אדמו"ר מסד"ג</t>
  </si>
  <si>
    <t>כחתן יכהן פאר</t>
  </si>
  <si>
    <t>הלפרין, ירחמיאל ישראל יצחק</t>
  </si>
  <si>
    <t>כחתן יכהן פאר - סדר החופה וברכותיה</t>
  </si>
  <si>
    <t>רוזנבוים, יעקב בן חיים מרדכי</t>
  </si>
  <si>
    <t>כטל אמרתי - ב</t>
  </si>
  <si>
    <t>כי אליך אתפלל</t>
  </si>
  <si>
    <t>כי אם ברוחי</t>
  </si>
  <si>
    <t>ברונר, חיים בן שלמה אריה</t>
  </si>
  <si>
    <t>כי אם לבינה תקרא</t>
  </si>
  <si>
    <t>כי אם - לדמותו של הגאון רבי מרדכי שולמן</t>
  </si>
  <si>
    <t>כי אתה עמדי - 11 כר'</t>
  </si>
  <si>
    <t>כי בא מועד - מו"ק</t>
  </si>
  <si>
    <t>ווייס, דוד</t>
  </si>
  <si>
    <t>סטעטן איינלד</t>
  </si>
  <si>
    <t>כי בא מועד - &lt;מהדורה ישנה&gt; ד' תעניות ובין המצרים</t>
  </si>
  <si>
    <t>כי ביצחק - 2 כר'</t>
  </si>
  <si>
    <t>כי בם חייתני</t>
  </si>
  <si>
    <t>כי במקלי</t>
  </si>
  <si>
    <t>כי האדם עץ השדה</t>
  </si>
  <si>
    <t>פוסק, אליהו בן משה צבי - פוסק, הילל בן אליהו</t>
  </si>
  <si>
    <t>דרושים, הלכה ומנהג, מועדי ישראל, נושאים שונים, שלחן ערוך ומפרשיו</t>
  </si>
  <si>
    <t>כי היא חכמתכם</t>
  </si>
  <si>
    <t>כי הם חיינו - 2 כר'</t>
  </si>
  <si>
    <t>ישיבת נזר ישראל</t>
  </si>
  <si>
    <t>כי הם חיינו</t>
  </si>
  <si>
    <t>כי יונית כ"ף יונית</t>
  </si>
  <si>
    <t>כי לעולם חסדו - בסוגיות הש"ס</t>
  </si>
  <si>
    <t>כי מציון תצא תורה</t>
  </si>
  <si>
    <t>כי מתאמצת</t>
  </si>
  <si>
    <t>גולד, מנחם</t>
  </si>
  <si>
    <t>כי עץ נשא פריו</t>
  </si>
  <si>
    <t>הס, מרדכי זאב</t>
  </si>
  <si>
    <t>כי תצא למלחמה</t>
  </si>
  <si>
    <t>כיבוד אב ואם ומוראם</t>
  </si>
  <si>
    <t>כיבוד אב ואם - זכר יצחק</t>
  </si>
  <si>
    <t>מקובר, זאב וולף וצבי דוד</t>
  </si>
  <si>
    <t>כיבוד הורים בהלכה ובאגדה</t>
  </si>
  <si>
    <t>כיבוד ומורא</t>
  </si>
  <si>
    <t>כיד המלך - אסתר - ציונים עמ"ס מגילה</t>
  </si>
  <si>
    <t>לייטער, משה חיים  בן אבא - לייטער, זאב וואלף</t>
  </si>
  <si>
    <t>כיום יאיר - 2 כר'</t>
  </si>
  <si>
    <t>לווינזון, יחיאל יהודה בן יוסף משה</t>
  </si>
  <si>
    <t>כיום יאיר - 4 כר'</t>
  </si>
  <si>
    <t>סירוטה, מאיר</t>
  </si>
  <si>
    <t>כיונה מארץ אשור</t>
  </si>
  <si>
    <t>כיין לבנון</t>
  </si>
  <si>
    <t>כיסו וכוסו</t>
  </si>
  <si>
    <t>כיסוי הראש כהלכה וכיפה כהלכה</t>
  </si>
  <si>
    <t>כיצד אטפל בילדי בשבת ובחג - 2 כר'</t>
  </si>
  <si>
    <t>שלזינגר, יחיאל משה</t>
  </si>
  <si>
    <t>כיצד יעלו לרגל לבית המקדש</t>
  </si>
  <si>
    <t>כיצד ישירו וינגנו בבית המקדש</t>
  </si>
  <si>
    <t>כיצד להמנע מאיסור אכילת שרצים</t>
  </si>
  <si>
    <t>כיצד להנות ולשמוח</t>
  </si>
  <si>
    <t>כיצד מברכים</t>
  </si>
  <si>
    <t>כיצד מזמנין - 2 כר'</t>
  </si>
  <si>
    <t>בלייער, מרדכי יהודה</t>
  </si>
  <si>
    <t>כיצד מנקים לפסח בשמחה ובקלות</t>
  </si>
  <si>
    <t>כיצד מערבין</t>
  </si>
  <si>
    <t>כיצד מרקדין</t>
  </si>
  <si>
    <t>כיצד מתמודדים - א</t>
  </si>
  <si>
    <t>כיצד נחנך לתפילה בבית הכנסת</t>
  </si>
  <si>
    <t>פיירמן, דוד</t>
  </si>
  <si>
    <t>כיצד סדר משנה</t>
  </si>
  <si>
    <t>מוראפטשיק, משה בן אהרן</t>
  </si>
  <si>
    <t>[לובלין Lublin</t>
  </si>
  <si>
    <t>כיצד תשובה</t>
  </si>
  <si>
    <t>כיתרון האור</t>
  </si>
  <si>
    <t>כך ברחתי מתימן</t>
  </si>
  <si>
    <t>יצהרי, צדוק</t>
  </si>
  <si>
    <t>כך בתנ"ך</t>
  </si>
  <si>
    <t>כך היא דרכה של תורה - 2 כר'</t>
  </si>
  <si>
    <t>וואלדברג, משה בן יואל</t>
  </si>
  <si>
    <t>כך היא דרכה של תורה</t>
  </si>
  <si>
    <t>כך נפרצו החומות</t>
  </si>
  <si>
    <t>ככב יעקב &lt;מהדורה חדשה&gt;</t>
  </si>
  <si>
    <t>יעקב בן אריה ליב</t>
  </si>
  <si>
    <t>ככב יעקב</t>
  </si>
  <si>
    <t>ככבא דשביט</t>
  </si>
  <si>
    <t>ווינטורה, אליהו בן אברהם</t>
  </si>
  <si>
    <t>ככל אשר שאלת - 2 כר'</t>
  </si>
  <si>
    <t>פוזן, אביגדור</t>
  </si>
  <si>
    <t>ככר זהב</t>
  </si>
  <si>
    <t>הכהן, כ'ליפה בן משה מג'רבה</t>
  </si>
  <si>
    <t>ככר לאדן - 3 כר'</t>
  </si>
  <si>
    <t>ככרות של בעל הבית</t>
  </si>
  <si>
    <t>קליין, זאב וולף</t>
  </si>
  <si>
    <t>תרצ"ה תרצ"ו</t>
  </si>
  <si>
    <t>משקאלץ,</t>
  </si>
  <si>
    <t>ככרי זהב</t>
  </si>
  <si>
    <t>כל בו &lt;עם הגהות וביאורים&gt; - 8 כר'</t>
  </si>
  <si>
    <t>כל בו - אברהם, דוד בן אברהם (הערות וביאורים)</t>
  </si>
  <si>
    <t>כל בו &lt;דפו"ר&gt;</t>
  </si>
  <si>
    <t>כל בו. ר"ן</t>
  </si>
  <si>
    <t>כל בו &lt;ונציה ש"ז&gt;</t>
  </si>
  <si>
    <t>כל בו. ש"ז</t>
  </si>
  <si>
    <t>כל בו החדש</t>
  </si>
  <si>
    <t>רבינוביץ, ישראל בן מנחם מנדל</t>
  </si>
  <si>
    <t>כל בו לפורים ומסכת פורים</t>
  </si>
  <si>
    <t>מור, אברהם מנחם מנדל</t>
  </si>
  <si>
    <t>כל בו לפורים</t>
  </si>
  <si>
    <t>אייזנבך, עקיבא יוסף בן שלום ליב</t>
  </si>
  <si>
    <t>כל בו על אבלות - 3 כר'</t>
  </si>
  <si>
    <t>תש"ז - תשי"ב</t>
  </si>
  <si>
    <t>כל בו - עירובין</t>
  </si>
  <si>
    <t>גרוס, יקותיאל זאב</t>
  </si>
  <si>
    <t>כל בו</t>
  </si>
  <si>
    <t>כל בו. שכ"ו</t>
  </si>
  <si>
    <t>שכ"ז</t>
  </si>
  <si>
    <t>כל בו. תקמ"ב</t>
  </si>
  <si>
    <t>כל בו. תר"ך</t>
  </si>
  <si>
    <t>כל דאמר רחמנא - 3 כר'</t>
  </si>
  <si>
    <t>גרוס, אהרן צבי בן יעקב יוסף</t>
  </si>
  <si>
    <t>תרצ"ב - תש"א</t>
  </si>
  <si>
    <t>כל החיים</t>
  </si>
  <si>
    <t>כל החיים, באר החיים, יודוך סלה</t>
  </si>
  <si>
    <t>פאלאג'י, חיים בן יעקב - איפרגן, אשר חיים בן רפאל, סופר, יעקב חיים בן שלום</t>
  </si>
  <si>
    <t>כל הכתוב לחיים &lt;דרכי חיים&gt;</t>
  </si>
  <si>
    <t>כל הכתוב לחיים</t>
  </si>
  <si>
    <t>ספר זכרון לרבי חיים טוביאס</t>
  </si>
  <si>
    <t>כל המצוה - א</t>
  </si>
  <si>
    <t>כל המתאבל עליה - הלכות בין המצרים ות"ב</t>
  </si>
  <si>
    <t>כל הנקרא בשמי</t>
  </si>
  <si>
    <t>כל השביעין</t>
  </si>
  <si>
    <t>כל חפציך לא ישוו בה</t>
  </si>
  <si>
    <t>כל ישראל חברים - א</t>
  </si>
  <si>
    <t>כל ישראל - 2 כר'</t>
  </si>
  <si>
    <t>הבר, שמואל בן ישראל צבי</t>
  </si>
  <si>
    <t>כל כתבי המשכנות יעקב והבית אפרים בענין אתו רבים ומבטלי מחיצות</t>
  </si>
  <si>
    <t>ברוכין, יעקב - מרגליות, אפרים זלמן</t>
  </si>
  <si>
    <t>כל כתבי רבי יעקב ספיר ז"ל</t>
  </si>
  <si>
    <t>ספיר, יעקב הלוי</t>
  </si>
  <si>
    <t>כל מלאכת הגיון לארסטוטלוס</t>
  </si>
  <si>
    <t>אבן-רשד, אבו אל-וליד מחמד אבן-אחמד אבן-מחמד</t>
  </si>
  <si>
    <t>כל מצותיך אמונה</t>
  </si>
  <si>
    <t>כל מקדש שביעית</t>
  </si>
  <si>
    <t>כל משבריך</t>
  </si>
  <si>
    <t>כל נדרי - על הלכות נדרים</t>
  </si>
  <si>
    <t>שטסמן, יצחק אליהו בן משה</t>
  </si>
  <si>
    <t>כל סיפורי בעל שם טוב - 3 כר'</t>
  </si>
  <si>
    <t>כל ספרי מוהר"ץ חיות - 2 כר'</t>
  </si>
  <si>
    <t>חיות, צבי הירש</t>
  </si>
  <si>
    <t>דרושים, הלכה ומנהג, מחשבה ומוסר, תלמוד בבלי</t>
  </si>
  <si>
    <t>כל פניות לימין</t>
  </si>
  <si>
    <t>כל שירי ר' שמואל הנגיד</t>
  </si>
  <si>
    <t>כל שירי רב האי גאון</t>
  </si>
  <si>
    <t>כל שירי רבי יהודה הלוי &lt;יוצרות רשיות&gt;</t>
  </si>
  <si>
    <t>כל שירי רבי יהודה הלוי &lt;קרובות וסליחות&gt;</t>
  </si>
  <si>
    <t>כל שירי רבי יהודה הלוי &lt;שירי חול&gt;</t>
  </si>
  <si>
    <t>כל שירי רבי יהודה הלוי &lt;שירי ידידות&gt;</t>
  </si>
  <si>
    <t>כל שירי רבי יהודה הלוי &lt;שירי ציון, שירי דודים, שבחים ומשלים&gt;</t>
  </si>
  <si>
    <t>כל שירי רבי יהודה הלוי &lt;שירי קינה והספד, מכתמים וחידות&gt;</t>
  </si>
  <si>
    <t>כל שירי רבי שמואל הנגיד - 4 כר'</t>
  </si>
  <si>
    <t>תש"ז-תשי"ג</t>
  </si>
  <si>
    <t>כלביא שכן</t>
  </si>
  <si>
    <t>כלביא שכן - בראשית, שמות</t>
  </si>
  <si>
    <t>קרול, שלמה נח בן מרדכי שמואל</t>
  </si>
  <si>
    <t>כלולות אברהם</t>
  </si>
  <si>
    <t>ברנדווין, אברהם</t>
  </si>
  <si>
    <t>כלולות אפריון</t>
  </si>
  <si>
    <t>כלולות חתנים</t>
  </si>
  <si>
    <t>כלי גולה וסופרי שמעון - 4 כר'</t>
  </si>
  <si>
    <t>גאבעל, שמעון</t>
  </si>
  <si>
    <t>כלי גולה - על התורה ומנחת חינוך</t>
  </si>
  <si>
    <t>כלי גולה - זכור לאברהם</t>
  </si>
  <si>
    <t>הלכה ומנהג, מחשבה ומוסר, נושאים שונים, שאלות ותשובות, תולדות עם ישראל</t>
  </si>
  <si>
    <t>כלי גמא</t>
  </si>
  <si>
    <t>כלי הרואים</t>
  </si>
  <si>
    <t>כלי השלחן &lt;בשר בחלב&gt; - 2 כר'</t>
  </si>
  <si>
    <t>כלי השלחן &lt;שבת&gt; - 3 כר'</t>
  </si>
  <si>
    <t>כלי השלחן &lt;תערובות&gt; - 2 כר'</t>
  </si>
  <si>
    <t>כלי השלחן - &lt;דם ומליחה&gt;</t>
  </si>
  <si>
    <t>כלי חמדה &lt;מהדורת מכון אבני שהם&gt; - 2 כר'</t>
  </si>
  <si>
    <t>כלי חמדה &lt;מועדי השנה&gt; - 4 כר'</t>
  </si>
  <si>
    <t>כלי חמדה</t>
  </si>
  <si>
    <t>כלי חמדה - 6 כר'</t>
  </si>
  <si>
    <t>לאנייאדו, שמואל בן אברהם</t>
  </si>
  <si>
    <t>שנ"ד - שנ"ו</t>
  </si>
  <si>
    <t>כלי חמדה - 10 כר'</t>
  </si>
  <si>
    <t>תרס"ו - תרצ"ח</t>
  </si>
  <si>
    <t>כלי טהור - כלים א</t>
  </si>
  <si>
    <t>קנייבסקי, ישראל בן שלמה</t>
  </si>
  <si>
    <t>כלי יקר &lt;דפו"ר&gt;</t>
  </si>
  <si>
    <t>כלי יקר השלם - 2 כר'</t>
  </si>
  <si>
    <t>כלי יקר שפתי דעת</t>
  </si>
  <si>
    <t>כלי יקר - 11 כר'</t>
  </si>
  <si>
    <t>כלי יקר - נביאים ראשונים</t>
  </si>
  <si>
    <t>לניאדו, שמואל</t>
  </si>
  <si>
    <t>שס"ג - שס"ד</t>
  </si>
  <si>
    <t>כלי כסף - 2 כר'</t>
  </si>
  <si>
    <t>כלי מחזיק ברכה &lt;מהד"ח&gt;</t>
  </si>
  <si>
    <t>כלי מחזיק ברכה - 2 כר'</t>
  </si>
  <si>
    <t>תולדות עם ישראל, תפלות בקשות פיוטים ושירה, תפלות בקשות פיוטים ושירה</t>
  </si>
  <si>
    <t>כלי מלחמה - 3 כר'</t>
  </si>
  <si>
    <t>ת"ש-תשי"ז</t>
  </si>
  <si>
    <t>כלי נחושת - 2 כר'</t>
  </si>
  <si>
    <t>כלי פז - 5 כר'</t>
  </si>
  <si>
    <t>כלי שרת - 2 כר'</t>
  </si>
  <si>
    <t>רזניק, אברהם אבא בן משה</t>
  </si>
  <si>
    <t>נתניה Netanyah</t>
  </si>
  <si>
    <t>שלחן ערוך ומפרשיו, תולדות עם ישראל, תלמוד בבלי</t>
  </si>
  <si>
    <t>כליות יועצות</t>
  </si>
  <si>
    <t>רביץ</t>
  </si>
  <si>
    <t>כליל החשבון - 2 כר'</t>
  </si>
  <si>
    <t>פריזנהויזן, דוד בן מאיר הכהן</t>
  </si>
  <si>
    <t>כליל תכלת</t>
  </si>
  <si>
    <t>הלכה ומנהג, הלכה ומנהג, נושאים שונים, תולדות עם ישראל</t>
  </si>
  <si>
    <t>כליל תפארת &lt;מהדורה חדשה&gt;</t>
  </si>
  <si>
    <t>כליל תפארת משה</t>
  </si>
  <si>
    <t>קלינגר, ישעיה ראובן בן אהרן</t>
  </si>
  <si>
    <t>כליל תפארת</t>
  </si>
  <si>
    <t>ישיבת משכן ישראל</t>
  </si>
  <si>
    <t>כליל תפארת - 2 כר'</t>
  </si>
  <si>
    <t>פעסין, משה יהושע בן אהרן יוסף</t>
  </si>
  <si>
    <t>צבי הירש בן מאיר</t>
  </si>
  <si>
    <t>תלמידי תפארת ירושלים</t>
  </si>
  <si>
    <t>כלילת המנורה</t>
  </si>
  <si>
    <t>כלילת חן</t>
  </si>
  <si>
    <t>כלילת חתנים</t>
  </si>
  <si>
    <t>כלילת יופי</t>
  </si>
  <si>
    <t>כלילת יופי - 2 כר'</t>
  </si>
  <si>
    <t>דמביצר, חיים נתן בן יקותיאל זלמן</t>
  </si>
  <si>
    <t>תרמ"ח - תרנ"ג</t>
  </si>
  <si>
    <t>לונטשיץ, אברהם יצחק בן יעקב שמואל</t>
  </si>
  <si>
    <t>כלילת שאול</t>
  </si>
  <si>
    <t>הורוויץ, שאול חיים בן אברהם הלוי</t>
  </si>
  <si>
    <t>כלים של שלמה</t>
  </si>
  <si>
    <t>גאולדמאן, יחיאל מיכל</t>
  </si>
  <si>
    <t>כלכלת שבת</t>
  </si>
  <si>
    <t>ירחמ"ד</t>
  </si>
  <si>
    <t>כלל גדול בתורה</t>
  </si>
  <si>
    <t>כלל קטן</t>
  </si>
  <si>
    <t>בלוך, מתתיהו בן בנימין זאב</t>
  </si>
  <si>
    <t>תכ"ה</t>
  </si>
  <si>
    <t>כלל קצר</t>
  </si>
  <si>
    <t>כללא דאבדתא</t>
  </si>
  <si>
    <t>כללא דרביתא</t>
  </si>
  <si>
    <t>איתן, אהרן בן יצחק אייזיק</t>
  </si>
  <si>
    <t>כללא דריביתא</t>
  </si>
  <si>
    <t>אנגלנדר, שלמה בן יעקב</t>
  </si>
  <si>
    <t>כללות תיקון ועליות העולמות</t>
  </si>
  <si>
    <t>שבתי מראשקוב</t>
  </si>
  <si>
    <t>כללי אמירה לנכרי</t>
  </si>
  <si>
    <t>פפא, מתתיהו מאיר יהודה בן יוסף הלוי</t>
  </si>
  <si>
    <t>כללי דברים שבלב</t>
  </si>
  <si>
    <t>טרנובסקי, יעקב בן משה</t>
  </si>
  <si>
    <t>כללי דיחוי</t>
  </si>
  <si>
    <t>כללי דקדוק הקריאה</t>
  </si>
  <si>
    <t>סתהון, מנשה בן מטלוב</t>
  </si>
  <si>
    <t>ארם צובה</t>
  </si>
  <si>
    <t>כללי הגיור</t>
  </si>
  <si>
    <t>כללי הדקדוק</t>
  </si>
  <si>
    <t>בריאל, יהודה בן אליעזר</t>
  </si>
  <si>
    <t>[תפ"ד,</t>
  </si>
  <si>
    <t>כללי הוראה</t>
  </si>
  <si>
    <t>הלכה ומנהג, נושאים שונים, שונות, שלחן ערוך ומפרשיו</t>
  </si>
  <si>
    <t>כללי הוראת איסור והיתר</t>
  </si>
  <si>
    <t>וויל, אברהם צבי - גולדבלט, חיים טודרוס</t>
  </si>
  <si>
    <t>כללי הטעמים של ספרי אמ"ת - 4 כר'</t>
  </si>
  <si>
    <t>כללי המנהגים</t>
  </si>
  <si>
    <t>עובדיה, ליאור יאיר</t>
  </si>
  <si>
    <t>כללי המצוות</t>
  </si>
  <si>
    <t>כללי המצות</t>
  </si>
  <si>
    <t>כללי המקרא בתורת הפרשנות - א</t>
  </si>
  <si>
    <t>כללי הפוסקים</t>
  </si>
  <si>
    <t>חייקין, משה אביגדור בן ישראל שרגא</t>
  </si>
  <si>
    <t>כללי הפוסקים - אחרונים</t>
  </si>
  <si>
    <t>כללי התחלת החכמה</t>
  </si>
  <si>
    <t>כללי התלמוד</t>
  </si>
  <si>
    <t>כללי התלמוד - 2 כר'</t>
  </si>
  <si>
    <t>כללי חיים - 6 כר'</t>
  </si>
  <si>
    <t>מילר, חיים זאב בן אלכסנדר</t>
  </si>
  <si>
    <t>כללי חכמת האמת</t>
  </si>
  <si>
    <t>כללי טהרה קנה בשם</t>
  </si>
  <si>
    <t>בראנדסדארפער, מאיר</t>
  </si>
  <si>
    <t>כללי טעמא דקרא</t>
  </si>
  <si>
    <t>שטרוכליץ, שלמה בן אלתר מנחם</t>
  </si>
  <si>
    <t>כללי טעמי המקרא</t>
  </si>
  <si>
    <t>גוטמן, יהודה אריה</t>
  </si>
  <si>
    <t>כללי כסף נבחר - 4 כר'</t>
  </si>
  <si>
    <t>גויטיין, ברוך בנדט</t>
  </si>
  <si>
    <t>כללי מיגו</t>
  </si>
  <si>
    <t>אוסף חיבורים - רוזמן, דב (עורך)</t>
  </si>
  <si>
    <t>כללי ספק ספיקא המבואר</t>
  </si>
  <si>
    <t>כללי ספק ספיקא לש"ך - קונטרס הספיקות &lt;בירורי הספיקות&gt;</t>
  </si>
  <si>
    <t>כ"ץ, שבתי בן מאיר הכהן -ריישר, יעקב - שטיינפלד, אברהם מרדכי</t>
  </si>
  <si>
    <t>כללי ספק ספיקא מספרי מרן יביע אומר</t>
  </si>
  <si>
    <t>כללי קלב"מ</t>
  </si>
  <si>
    <t>כללי קצור ספר הפליאה</t>
  </si>
  <si>
    <t>זמרא, דוד בן שלמה אבי (רדב"ז)</t>
  </si>
  <si>
    <t>תר"ע-תרע"ד</t>
  </si>
  <si>
    <t>כללי רש"י ותוספות</t>
  </si>
  <si>
    <t>בן יצחק, נתן שמואל</t>
  </si>
  <si>
    <t>כללי שמואל</t>
  </si>
  <si>
    <t>אבן-סיד, שמואל</t>
  </si>
  <si>
    <t>כללי תורה - 2 כר'</t>
  </si>
  <si>
    <t>כללים בהלכה - שבת א</t>
  </si>
  <si>
    <t>כללים בהלכות שבת - 8 כר'</t>
  </si>
  <si>
    <t>פלדברגר, יחזקאל</t>
  </si>
  <si>
    <t>כללים הערות וביאורים בענין תליה במכה</t>
  </si>
  <si>
    <t>כולל להוראה דחסידי ראחיסטריווקא</t>
  </si>
  <si>
    <t>כמה ענינים בסוגיות הש"ס</t>
  </si>
  <si>
    <t>מס, עקיבא</t>
  </si>
  <si>
    <t>כמו השחר &lt;מהדורה חדשה&gt; - צפית לישועה, ים התלמוד</t>
  </si>
  <si>
    <t>לאנדא, נתן נטע בן משה דוד הלוי - אינטרטר, צבי מאיר</t>
  </si>
  <si>
    <t>כמו השחר</t>
  </si>
  <si>
    <t>לאנדא, נתן נטע בן משה דוד הלוי</t>
  </si>
  <si>
    <t>כמוס עמדי - ב</t>
  </si>
  <si>
    <t>כהן, וצייף יתרו</t>
  </si>
  <si>
    <t>עגיב, כמוס</t>
  </si>
  <si>
    <t>כמות ואיכות בעבודת השי"ת</t>
  </si>
  <si>
    <t>כמטר לקחי - 2 כר'</t>
  </si>
  <si>
    <t>כמעיין המתגבר</t>
  </si>
  <si>
    <t>ארז, אברהם</t>
  </si>
  <si>
    <t>כן ירבה</t>
  </si>
  <si>
    <t>כנגה צדקה - 2 כר'</t>
  </si>
  <si>
    <t>ירושלים. עדת הספרדים</t>
  </si>
  <si>
    <t>תרצ"ג - תרצ"ד</t>
  </si>
  <si>
    <t>כנגן המנגן - 2 כר'</t>
  </si>
  <si>
    <t>כנגן המנגן</t>
  </si>
  <si>
    <t>כנור דוד</t>
  </si>
  <si>
    <t>פלק, דוד בן יעקב יהודה;</t>
  </si>
  <si>
    <t>כנור של דוד - 2 כר'</t>
  </si>
  <si>
    <t>סמיט, צבי יהודה</t>
  </si>
  <si>
    <t>כנס הדיינים - 3 כר'</t>
  </si>
  <si>
    <t>הנהלת בתי הדין הרבניים - ירושלים</t>
  </si>
  <si>
    <t>כנסיה לשם שמים &lt;מהדורה חדשה&gt;</t>
  </si>
  <si>
    <t>כנסיה לשם שמים</t>
  </si>
  <si>
    <t>הלכה ומנהג, נושאים שונים, תולדות עם ישראל, תולדות עם ישראל</t>
  </si>
  <si>
    <t>כנסת אברהם - 2 כר'</t>
  </si>
  <si>
    <t>פרבשטיין, אברהם יהודה</t>
  </si>
  <si>
    <t>כנסת אהרן</t>
  </si>
  <si>
    <t>רפאלי, אהרן בן יונה</t>
  </si>
  <si>
    <t>כנסת אליהו אהרן</t>
  </si>
  <si>
    <t>כנסת אליהו - 2 כר'</t>
  </si>
  <si>
    <t>כנסת אליהו</t>
  </si>
  <si>
    <t>נושאים שונים, נושאים שונים, קבלה, שאר ספרי חז"ל, תפלות בקשות פיוטים ושירה</t>
  </si>
  <si>
    <t>כנסת בית יצחק</t>
  </si>
  <si>
    <t>כנסת דוד</t>
  </si>
  <si>
    <t>זאלר, דוד בן משה</t>
  </si>
  <si>
    <t>כנסת הגדולה &lt;מכון הכתב&gt; - 29 כר'</t>
  </si>
  <si>
    <t>כנסת הגדולה &lt;שיירי כנה"ג&gt; - 5 כר'</t>
  </si>
  <si>
    <t>כנסת הגדולה - 14 כר'</t>
  </si>
  <si>
    <t>כנסת הגדולה - 2 כר'</t>
  </si>
  <si>
    <t>תרס"ג-תרס"ד</t>
  </si>
  <si>
    <t>כנסת הגדולה - 4 כר'</t>
  </si>
  <si>
    <t>כנסת המוסר</t>
  </si>
  <si>
    <t>התאחדות בוגרי ישיבת כנסת ישראל</t>
  </si>
  <si>
    <t>כנסת הראשונים - 3 כר'</t>
  </si>
  <si>
    <t>אילן, יעקב דוד בן מרדכי</t>
  </si>
  <si>
    <t>כנסת הראשונים - 2 כר'</t>
  </si>
  <si>
    <t>אילן, מרדכי בן אריה</t>
  </si>
  <si>
    <t>כנסת הרבנים האורתודאקסים באמעריקא</t>
  </si>
  <si>
    <t>כנסת הרבנים האורתוסאקסים באמעריקא</t>
  </si>
  <si>
    <t>כנסת חיים</t>
  </si>
  <si>
    <t>הלכה ומנהג, מועדי ישראל, נושאים שונים, שאלות ותשובות</t>
  </si>
  <si>
    <t>כנסת חכמי ישראל &lt;קובץ&gt; - 15 כר'</t>
  </si>
  <si>
    <t>אבעלסאן, אברהם יואל</t>
  </si>
  <si>
    <t>כנסת חכמים</t>
  </si>
  <si>
    <t>כנסת חקקי ישרון</t>
  </si>
  <si>
    <t>מארגולין, ישעיהו זאב בן אברהם דוב</t>
  </si>
  <si>
    <t>כנסת יהודה &lt;קובץ&gt; - 2 כר'</t>
  </si>
  <si>
    <t>כולל תוספות יום טוב</t>
  </si>
  <si>
    <t>כנסת יהודה - א</t>
  </si>
  <si>
    <t>ישיבת כנסת יהודה</t>
  </si>
  <si>
    <t>כנסת יהושע - בבא מציעא</t>
  </si>
  <si>
    <t>לרנר, יהושע</t>
  </si>
  <si>
    <t>כנסת יחזקאל &lt;ספר זכרון לר' יחזקאל סרנא&gt;</t>
  </si>
  <si>
    <t>כנסת יחזקאל</t>
  </si>
  <si>
    <t>כנסת יחזקאל &lt;מהדורה חדשה&gt; - 2 כר'</t>
  </si>
  <si>
    <t>פאנט, יחזקאל בן משה</t>
  </si>
  <si>
    <t>כנסת יחזקאל - 2 כר'</t>
  </si>
  <si>
    <t>כנסת יחזקאל - 3 כר'</t>
  </si>
  <si>
    <t>גרובנער, יחזקאל בן שמעון זימל הלוי</t>
  </si>
  <si>
    <t>קאצנלנבוגן, יחזקאל בן אברהם</t>
  </si>
  <si>
    <t>רבינוביץ, יחזקאל בן אברהם ישכר הכהן</t>
  </si>
  <si>
    <t>בנדין Bedzin</t>
  </si>
  <si>
    <t>חסידות, חסידות, מועדי ישראל, תנ"ך, תנ"ך</t>
  </si>
  <si>
    <t>כנסת יעקב</t>
  </si>
  <si>
    <t>כנסת ישראל &lt;ארה"ב&gt; - 5 כר'</t>
  </si>
  <si>
    <t>הסתדרות תלמידי סלובודקה דבאה"ב וקנדה</t>
  </si>
  <si>
    <t>כנסת ישראל &lt;ישיבת חברון כנסת ישראל&gt; - 2 כר'</t>
  </si>
  <si>
    <t>ישיבת חברון ירושלים</t>
  </si>
  <si>
    <t>כנסת ישראל &lt;חברון ירושלים סדרה חדשה&gt; - יבמות</t>
  </si>
  <si>
    <t>כנסת ישראל (וילנא)</t>
  </si>
  <si>
    <t>כנסת ישראל</t>
  </si>
  <si>
    <t>תר"צ - תרצ"ה</t>
  </si>
  <si>
    <t>כנסת ישראל (סלבודקה בני ברק) - 4 כר'</t>
  </si>
  <si>
    <t>כנסת ישראל (סלבודקה בני ברק) - קובץ זכרון</t>
  </si>
  <si>
    <t>קובץ זכרון לזכרו של רבי ברוך רוזנברג</t>
  </si>
  <si>
    <t>קובץ זכרון לזכרו של רבי עמרם זקס</t>
  </si>
  <si>
    <t>כנסת ישראל (סלבודקה בני ברק) - 5 כר'</t>
  </si>
  <si>
    <t>כנסת ישראל (סלבודקה ירושלים) - 6 כר'</t>
  </si>
  <si>
    <t>כנסת ישראל (סלבודקה) - 10 כר'</t>
  </si>
  <si>
    <t>סלבודקה</t>
  </si>
  <si>
    <t>כנסת ישראל ירושלים - 4 כר'</t>
  </si>
  <si>
    <t>כנסת ישראל - 2 כר'</t>
  </si>
  <si>
    <t>כנסת ישראל - 6 כר'</t>
  </si>
  <si>
    <t>גולדמן, ישראל בן אהרן יצחק</t>
  </si>
  <si>
    <t>וויינברגר, אשר יונה</t>
  </si>
  <si>
    <t>יפה, ישראל יעקב בן אברהם הכהן</t>
  </si>
  <si>
    <t>מנצ'סטר Manchester</t>
  </si>
  <si>
    <t>ירחון אייר תרצ"ב</t>
  </si>
  <si>
    <t>משנה, קבלה, תלמוד בבלי</t>
  </si>
  <si>
    <t>פולאק, ישראל בן יצחק</t>
  </si>
  <si>
    <t>כנסת ישראל - 3 כר'</t>
  </si>
  <si>
    <t>מחשבה ומוסר, קבצים וכתבי עת, ספרי זכרון ויובל, שאלות ותשובות</t>
  </si>
  <si>
    <t>כנסת ישראל - זכרון מרדכי</t>
  </si>
  <si>
    <t>ששון, ישראל בן יוסף</t>
  </si>
  <si>
    <t>כנסת מרדכי</t>
  </si>
  <si>
    <t>כנסת מרדכי - 3 כר'</t>
  </si>
  <si>
    <t>פרידמן, מרדכי שלום יוסף בן אהרן</t>
  </si>
  <si>
    <t>תל  אביב</t>
  </si>
  <si>
    <t>כנסת סופרים - פרעשבורג</t>
  </si>
  <si>
    <t>אסופת גנזים</t>
  </si>
  <si>
    <t>כנסת קהל צבאות &lt;ליקוטי עצות המשולש&gt;</t>
  </si>
  <si>
    <t>כנף איש יהודי</t>
  </si>
  <si>
    <t>כנף הבגד</t>
  </si>
  <si>
    <t>אולך, יעקב דוד</t>
  </si>
  <si>
    <t>כנף רננה - 2 כר'</t>
  </si>
  <si>
    <t>תרמ"ו - תרנ"ט</t>
  </si>
  <si>
    <t>שאלות ותשובות, שלחן ערוך ומפרשיו, תולדות עם ישראל, תנ"ך</t>
  </si>
  <si>
    <t>כנף רננים - 2 כר'</t>
  </si>
  <si>
    <t>כנף רננים - 3 כר'</t>
  </si>
  <si>
    <t>כנף רננים - 5 כר'</t>
  </si>
  <si>
    <t>לוריא, חנוך זונדל בן ישעיה</t>
  </si>
  <si>
    <t>כנף רננים</t>
  </si>
  <si>
    <t>קרמי, יוסף ידידיה בן בנימין יקותיאל</t>
  </si>
  <si>
    <t>כנפי הנשר</t>
  </si>
  <si>
    <t>כנפי יונה</t>
  </si>
  <si>
    <t>כנפי יונה - 3 כר'</t>
  </si>
  <si>
    <t>אנסבאכער, יונה</t>
  </si>
  <si>
    <t>כנפי יונה - הלכות שמחות</t>
  </si>
  <si>
    <t>כנפי יונה - 4 כר'</t>
  </si>
  <si>
    <t>ולר, יונה בן חנוך</t>
  </si>
  <si>
    <t>הלכה ומנהג, נושאים שונים, שלחן ערוך ומפרשיו, תולדות עם ישראל</t>
  </si>
  <si>
    <t>מאמו, יונה דניאל בן יעקב</t>
  </si>
  <si>
    <t>כנפי יונה - 2 כר'</t>
  </si>
  <si>
    <t>מצגר, יונה</t>
  </si>
  <si>
    <t>קובץ זכרון בענייני המועדים</t>
  </si>
  <si>
    <t>כנפי יונה - כתובות</t>
  </si>
  <si>
    <t>כנפי נשרים</t>
  </si>
  <si>
    <t>אקשטיין, ליב</t>
  </si>
  <si>
    <t>נשר (אדלר), אברהם בן אליהו חיים</t>
  </si>
  <si>
    <t>כנפי שחר &lt;מהדורה חדשה&gt;</t>
  </si>
  <si>
    <t>אייזנשטאט, שלום דוב בר בן נח חיים</t>
  </si>
  <si>
    <t>כנפי שחר</t>
  </si>
  <si>
    <t>כסא אליהו - 2 כר'</t>
  </si>
  <si>
    <t>כסא אליהו</t>
  </si>
  <si>
    <t>כהן, אליהו גנוש בן פינחס</t>
  </si>
  <si>
    <t>מני, אליהו בן סלימאן. מיוחס לו</t>
  </si>
  <si>
    <t>כסא דוד השלם &lt;צמח דוד, רצון מנחם&gt;</t>
  </si>
  <si>
    <t>רבי דוד מזאבליטוב</t>
  </si>
  <si>
    <t>כסא דוד - 2 כר'</t>
  </si>
  <si>
    <t>כסא דוד, גאולת עולם - 2 כר'</t>
  </si>
  <si>
    <t>כסא דנחמתא</t>
  </si>
  <si>
    <t>כסא דפלפלי - מגילת אסתר</t>
  </si>
  <si>
    <t>כסא דפסחא</t>
  </si>
  <si>
    <t>הכהן, סוסו יוסף בן שאול</t>
  </si>
  <si>
    <t>תשב"ב</t>
  </si>
  <si>
    <t>כסא מלך</t>
  </si>
  <si>
    <t>כסא משפט</t>
  </si>
  <si>
    <t>טויבר, יחיאל בן אהרן הלוי</t>
  </si>
  <si>
    <t>כסא נכון</t>
  </si>
  <si>
    <t>כסא רחמים - 4 כר'</t>
  </si>
  <si>
    <t>כסא רחמים - 5 כר'</t>
  </si>
  <si>
    <t>חורי, רחמים בן יעקב</t>
  </si>
  <si>
    <t>כסא רחמים - 2 כר'</t>
  </si>
  <si>
    <t>חורי, רחמים בן יצחק</t>
  </si>
  <si>
    <t>כסא רחמים</t>
  </si>
  <si>
    <t>מאזוז, רחמים בן מנחם</t>
  </si>
  <si>
    <t>מחשבה ומוסר, משנה, תנ"ך</t>
  </si>
  <si>
    <t>כסא שלמה &lt;מכון הכתב&gt;</t>
  </si>
  <si>
    <t>כסא שלמה</t>
  </si>
  <si>
    <t>זרקא, שלמה מתוניס</t>
  </si>
  <si>
    <t>חכים, שלמה בן שמואל</t>
  </si>
  <si>
    <t>כסאות לבית דוד</t>
  </si>
  <si>
    <t>טוב, יהודה עשהאל בן אליעזר דוד</t>
  </si>
  <si>
    <t>ת"ט - תי"א</t>
  </si>
  <si>
    <t>כסאות לבית דוד - 2 כר'</t>
  </si>
  <si>
    <t>שמאהל, יעקב דוד בן חיים שאול</t>
  </si>
  <si>
    <t>כסאות למשפט</t>
  </si>
  <si>
    <t>כסאות למשפט - סנהדרין</t>
  </si>
  <si>
    <t>כסף הכפורים</t>
  </si>
  <si>
    <t>כסף הקדשים</t>
  </si>
  <si>
    <t>וורמאן, מרדכי</t>
  </si>
  <si>
    <t>כסף ישיב - 2 כר'</t>
  </si>
  <si>
    <t>שנפלד, יוסף בן יצחק הכהן כ"ץ</t>
  </si>
  <si>
    <t>כסף כשר</t>
  </si>
  <si>
    <t>בראלי, אריאל</t>
  </si>
  <si>
    <t>תמרי, מאיר</t>
  </si>
  <si>
    <t>כסף מזוקק</t>
  </si>
  <si>
    <t>כסף מזקק</t>
  </si>
  <si>
    <t>ליבליין, אברהם</t>
  </si>
  <si>
    <t>כסף נבחר &lt;מהדורה חדשה&gt; - 2 כר'</t>
  </si>
  <si>
    <t>מרגליות, אבי עזרי זליג בן יצחק איזק</t>
  </si>
  <si>
    <t>כסף נבחר לשון צדיק - 2 כר'</t>
  </si>
  <si>
    <t>כסף נבחר</t>
  </si>
  <si>
    <t>כסף נבחר - 2 כר'</t>
  </si>
  <si>
    <t>כסף נבחר - 3 כר'</t>
  </si>
  <si>
    <t>תרע"ט - תרפ"ב</t>
  </si>
  <si>
    <t>כסף נבחר - א</t>
  </si>
  <si>
    <t>כסף צרוף &lt;שמן זית זך&gt;</t>
  </si>
  <si>
    <t>צפירה, סעדיה בן יוסף</t>
  </si>
  <si>
    <t>כסף צרוף</t>
  </si>
  <si>
    <t>יוסף בן יוסף</t>
  </si>
  <si>
    <t>כסף צרוף - בראשית</t>
  </si>
  <si>
    <t>כספא דכיא</t>
  </si>
  <si>
    <t>כעין תער</t>
  </si>
  <si>
    <t>כעלמער נאראנים</t>
  </si>
  <si>
    <t>בן מרדכי</t>
  </si>
  <si>
    <t>כעמיר גורנה</t>
  </si>
  <si>
    <t>הופמן, יששכר דוב</t>
  </si>
  <si>
    <t>כענבים במדבר</t>
  </si>
  <si>
    <t>כעס ועצבים אפשר לצאת מזה</t>
  </si>
  <si>
    <t>אריכא, רוני רפאל</t>
  </si>
  <si>
    <t>כעץ שתול - 2 כר'</t>
  </si>
  <si>
    <t>כולל להוראה דחסידי בעלזא</t>
  </si>
  <si>
    <t>נחמני, שלמה</t>
  </si>
  <si>
    <t>כערער בערבה</t>
  </si>
  <si>
    <t>כעת חיה</t>
  </si>
  <si>
    <t>כעת חיה - ברכות, שבת</t>
  </si>
  <si>
    <t>כעת יאמר - 2 כר'</t>
  </si>
  <si>
    <t>חייקין, ישראל אריה מרדכי בן חיים יצחק</t>
  </si>
  <si>
    <t>כף אחת</t>
  </si>
  <si>
    <t>כף הדן</t>
  </si>
  <si>
    <t>לובצקי, יחיאל מיכל בן אליהו יהודה</t>
  </si>
  <si>
    <t>כף הזהב - נדה</t>
  </si>
  <si>
    <t>מועלם, רפאל אברהם שלום</t>
  </si>
  <si>
    <t>כף החיים &lt;מהדורה חדשה&gt; - 10 כר'</t>
  </si>
  <si>
    <t>כף החיים &lt;מהדורה חדשה&gt;</t>
  </si>
  <si>
    <t>כף החיים - 11 כר'</t>
  </si>
  <si>
    <t>כף החיים</t>
  </si>
  <si>
    <t>כף הכהן</t>
  </si>
  <si>
    <t>יצחקי, אברהם בן יצחק חי הכהן</t>
  </si>
  <si>
    <t>כף המאזנים</t>
  </si>
  <si>
    <t>גבריאלוב, אלכסנדר זיסקינד בן מרדכי</t>
  </si>
  <si>
    <t>כף זכות</t>
  </si>
  <si>
    <t>קוג'ה, דוד</t>
  </si>
  <si>
    <t>כף חן</t>
  </si>
  <si>
    <t>כף נחת</t>
  </si>
  <si>
    <t>כף נחת - 2 כר'</t>
  </si>
  <si>
    <t>היילבוט, אברהם בן לייב</t>
  </si>
  <si>
    <t>כף נקי השלם</t>
  </si>
  <si>
    <t>בן מלכה, כליפה</t>
  </si>
  <si>
    <t>תשע"</t>
  </si>
  <si>
    <t>כף נקי</t>
  </si>
  <si>
    <t>כפור קטן</t>
  </si>
  <si>
    <t>תפילות. ערב ראש חודש. ת"ש. ג'רבה</t>
  </si>
  <si>
    <t>כפור תמים - ב</t>
  </si>
  <si>
    <t>תפילות. מחזור. תרצ"ה. בגדד</t>
  </si>
  <si>
    <t>כפות זהב</t>
  </si>
  <si>
    <t>כ"ץ, יוסף בן אשר הכהן</t>
  </si>
  <si>
    <t>כפטיש יפוצץ</t>
  </si>
  <si>
    <t>כפי אהרן תליתאה</t>
  </si>
  <si>
    <t>כפי אהרן</t>
  </si>
  <si>
    <t>אפשטיין, אהרן הלוי</t>
  </si>
  <si>
    <t>כפי אהרן - 2 כר'</t>
  </si>
  <si>
    <t>תרל"ד - תרמ"ו</t>
  </si>
  <si>
    <t>כפי חיים - כף איש</t>
  </si>
  <si>
    <t>כפי חיים</t>
  </si>
  <si>
    <t>רפופורט, חיים בן שניאור זלמן</t>
  </si>
  <si>
    <t>כפי תהיה</t>
  </si>
  <si>
    <t>כפל לשון</t>
  </si>
  <si>
    <t>אסולין, שלמה</t>
  </si>
  <si>
    <t>כפלים לתושיה</t>
  </si>
  <si>
    <t>כפלים לתשיה</t>
  </si>
  <si>
    <t>חבר, יוסף בן יצחק איזיק</t>
  </si>
  <si>
    <t>כפר חב"ד - 0001-0012</t>
  </si>
  <si>
    <t>שבועון כפר חב"ד</t>
  </si>
  <si>
    <t>כפר חבד</t>
  </si>
  <si>
    <t>כפר לחיים</t>
  </si>
  <si>
    <t>כפר ליצחק</t>
  </si>
  <si>
    <t>אבירז'ל, יצחק</t>
  </si>
  <si>
    <t>כפרת מלקות</t>
  </si>
  <si>
    <t>כפת המנעול</t>
  </si>
  <si>
    <t>בוימגארטן, אברהם בן מנחם מנדל</t>
  </si>
  <si>
    <t>כפתור ופרח &lt;הוצאת ביהמ"ד להלכה בהתישבות&gt; - 3 כר'</t>
  </si>
  <si>
    <t>אשתורי בן משה הפרחי</t>
  </si>
  <si>
    <t>כפתור ופרח &lt;שביעית&gt; - עיוני שמועה</t>
  </si>
  <si>
    <t>ווינר, משה ידידה</t>
  </si>
  <si>
    <t>כפתור ופרח - 5 כר'</t>
  </si>
  <si>
    <t>כפתור ופרח</t>
  </si>
  <si>
    <t>כפתור ופרח - בראשית, שמות</t>
  </si>
  <si>
    <t>כצאן יוסף</t>
  </si>
  <si>
    <t>פרנקל, ידידיה הלוי (עורך)</t>
  </si>
  <si>
    <t>כצאת השמש - 3 כר'</t>
  </si>
  <si>
    <t>כצאת השמש</t>
  </si>
  <si>
    <t>שוורץ, שמואל מרדכי</t>
  </si>
  <si>
    <t>כצרף הכסף</t>
  </si>
  <si>
    <t>פרידמן, שמחה</t>
  </si>
  <si>
    <t>כרביבים עלי עשב</t>
  </si>
  <si>
    <t>איגר, עקיבא בן משה - איגר, שמחה בונם בן משה</t>
  </si>
  <si>
    <t>כרוב ממשח</t>
  </si>
  <si>
    <t>אלפסי, שלמה בן מסעוד רפאל</t>
  </si>
  <si>
    <t>כרוב ממשח - 2 כר'</t>
  </si>
  <si>
    <t>כרחם אב - א</t>
  </si>
  <si>
    <t>חדד, מכלוף בן כמוס</t>
  </si>
  <si>
    <t>כרטיסי אשראי, הגמ"ח המרכזי, פריטת שיק במט"ח</t>
  </si>
  <si>
    <t>כריח שדה</t>
  </si>
  <si>
    <t>גרינבלט, נטע צבי בן יצחק</t>
  </si>
  <si>
    <t>כרך של ירושלים</t>
  </si>
  <si>
    <t>כרך של רומי</t>
  </si>
  <si>
    <t>חזן, ישראל משה בן אליעזר</t>
  </si>
  <si>
    <t>כרכים המוקפים חומה</t>
  </si>
  <si>
    <t>כרכים ומוקפים</t>
  </si>
  <si>
    <t>מועלם, שמעון בן יעקב רחמים</t>
  </si>
  <si>
    <t>כרם אברהם</t>
  </si>
  <si>
    <t>גולדשמידט, אברהם</t>
  </si>
  <si>
    <t>סנדרס, אברהם</t>
  </si>
  <si>
    <t>כרם אהרן</t>
  </si>
  <si>
    <t>וולאנוב, אהרן בן אברהם נחום</t>
  </si>
  <si>
    <t>כרם אליהו</t>
  </si>
  <si>
    <t>כרם אליעזר - 6 כר'</t>
  </si>
  <si>
    <t>כרם אלעזר - 3 כר'</t>
  </si>
  <si>
    <t>כהן, אלעזר בן אהרן</t>
  </si>
  <si>
    <t>כרם אפרים</t>
  </si>
  <si>
    <t>לנדא, אפרים יששכר</t>
  </si>
  <si>
    <t>שטיגליץ, אלתר משה אליהו בן אפרים נתן</t>
  </si>
  <si>
    <t>כרם אריאל</t>
  </si>
  <si>
    <t>מרק, אריאל</t>
  </si>
  <si>
    <t>כרם אריה</t>
  </si>
  <si>
    <t>כרם ביבנה - 4 כר'</t>
  </si>
  <si>
    <t>כרם בית ישראל</t>
  </si>
  <si>
    <t>כרם בית שמואל &lt;שנה א&gt; - 3 כר'</t>
  </si>
  <si>
    <t>וויינאכט, חיים ישראל יצחק (עורך)</t>
  </si>
  <si>
    <t>כרם בית שמואל &lt;שנה ב&gt; - 4 כר'</t>
  </si>
  <si>
    <t>כרם בית שמואל - 4 כר'</t>
  </si>
  <si>
    <t>כרם בנימין - 3 כר'</t>
  </si>
  <si>
    <t>מגיד, בנימין מאיר בן אלחנן</t>
  </si>
  <si>
    <t>כרם בנימין  - שבת</t>
  </si>
  <si>
    <t>קרעי, בנימין בן עמוס</t>
  </si>
  <si>
    <t>כרם ד"ל</t>
  </si>
  <si>
    <t>לוי, דניאל בן שלמה</t>
  </si>
  <si>
    <t>כרם דוד (באנגלית)</t>
  </si>
  <si>
    <t>פינטו, דוד חנניה בן משה אהרון</t>
  </si>
  <si>
    <t>כרם דוד (בצרפתית)</t>
  </si>
  <si>
    <t>כרם דוד</t>
  </si>
  <si>
    <t>כרם הארץ</t>
  </si>
  <si>
    <t>כרם החסידות - 5 כר'</t>
  </si>
  <si>
    <t>זילברשלג, דוד (עורך)</t>
  </si>
  <si>
    <t>כרם הצבי - 7 כר'</t>
  </si>
  <si>
    <t>תר"ף-תרצ"ח</t>
  </si>
  <si>
    <t>כרם התורה</t>
  </si>
  <si>
    <t>זינגר, יחיאל מנחם (ליקוט מצדיקי פרשיסחא וורקא וקוצק)</t>
  </si>
  <si>
    <t>ניויורק NewYork</t>
  </si>
  <si>
    <t>כרם חמד &lt;מהדורה חדשה&gt;</t>
  </si>
  <si>
    <t>כרם חמד</t>
  </si>
  <si>
    <t>כרם חמד - 2 כר'</t>
  </si>
  <si>
    <t>הורוויץ, יואל בן שאול סג"ל</t>
  </si>
  <si>
    <t>הלפאנד, אברהם משה בן אהרן</t>
  </si>
  <si>
    <t>דרושים, תלמוד בבלי, תלמוד ירושלמי</t>
  </si>
  <si>
    <t>ליפמאן, יוסף בן אליעזר</t>
  </si>
  <si>
    <t>משיח, חיים דניאל</t>
  </si>
  <si>
    <t>כרם חמד - 3 כר'</t>
  </si>
  <si>
    <t>פריידש, שלמה בן יוסף אליעזר</t>
  </si>
  <si>
    <t>כרם חמדה</t>
  </si>
  <si>
    <t>הכהן, רחמים בן מרדכי</t>
  </si>
  <si>
    <t>תרע"ה - תרע"ו</t>
  </si>
  <si>
    <t>כרם חמר</t>
  </si>
  <si>
    <t>כרם חמר - 2 כר'</t>
  </si>
  <si>
    <t>רוטנברג, מרדכי בן שמואל</t>
  </si>
  <si>
    <t>כרם טוביה</t>
  </si>
  <si>
    <t>ליסיצין, טוביה בן צבי יעקב</t>
  </si>
  <si>
    <t>כרם יבנה</t>
  </si>
  <si>
    <t>כרם יהושע</t>
  </si>
  <si>
    <t>וואלרשטיין, יהושע השל בן יצחק חיים</t>
  </si>
  <si>
    <t>כרם יוסף - 7 כר'</t>
  </si>
  <si>
    <t>כרם יעקב</t>
  </si>
  <si>
    <t>כרם יצחק</t>
  </si>
  <si>
    <t>כרם ישראל</t>
  </si>
  <si>
    <t>בורנשטיין, ישראל בן מנחם יוסף הלוי</t>
  </si>
  <si>
    <t>חסידות, חסידות, נושאים שונים</t>
  </si>
  <si>
    <t>כרם כהונה</t>
  </si>
  <si>
    <t>כהן, ראובן בן ברוך</t>
  </si>
  <si>
    <t>כרם נטע - סוטה</t>
  </si>
  <si>
    <t>כרם עין גדי - 2 כר'</t>
  </si>
  <si>
    <t>דובנו Dubno</t>
  </si>
  <si>
    <t>כרם פתחיה - 4 כר'</t>
  </si>
  <si>
    <t>כרם צבי</t>
  </si>
  <si>
    <t>גוטמאן, צבי בן אריה</t>
  </si>
  <si>
    <t>בוקרסט Bucharest</t>
  </si>
  <si>
    <t>גולדברג, צבי זאב בן ישראל אלעזר</t>
  </si>
  <si>
    <t>טוירק, שמואל אלימלך</t>
  </si>
  <si>
    <t>כרם ציון השלם - 6 כר'</t>
  </si>
  <si>
    <t>כרם ציון - 14 כר'</t>
  </si>
  <si>
    <t>כרם ציון</t>
  </si>
  <si>
    <t>תרצ"ה - תשכ"ג</t>
  </si>
  <si>
    <t>כרם ציון - 3 כר'</t>
  </si>
  <si>
    <t>כרם ראובן</t>
  </si>
  <si>
    <t>כרם רבנן</t>
  </si>
  <si>
    <t>מוסדות אור התורה</t>
  </si>
  <si>
    <t>כרם רבנן - חכמה ומוסר</t>
  </si>
  <si>
    <t>כרם שביעית</t>
  </si>
  <si>
    <t>בן דוד, איל</t>
  </si>
  <si>
    <t>כרם שלמה &lt;שו"ת&gt;</t>
  </si>
  <si>
    <t>האס, שלמה בן יקותיאל קויפמאן</t>
  </si>
  <si>
    <t>כרם שלמה וגדולי צבי</t>
  </si>
  <si>
    <t>כרם שלמה - יבמות</t>
  </si>
  <si>
    <t>כרם שלמה</t>
  </si>
  <si>
    <t>אמארילייו, שלמה בן יוסף</t>
  </si>
  <si>
    <t>גייגר, שלמה זלמן בן אברהם</t>
  </si>
  <si>
    <t>כרם שלמה - 2 כר'</t>
  </si>
  <si>
    <t>הורודצקי, שמואל אבא בן יוסף משה</t>
  </si>
  <si>
    <t>טובייאנה, שלמה בן דוד</t>
  </si>
  <si>
    <t>משנה, תלמוד בבלי, תלמוד בבלי, תלמוד בבלי, תנ"ך, תנ"ך</t>
  </si>
  <si>
    <t>כרם שלמה - ריבית</t>
  </si>
  <si>
    <t>סגלוביץ, שלמה זלמן בן משה הלוי</t>
  </si>
  <si>
    <t>תרצ"ח-תש"ב</t>
  </si>
  <si>
    <t>דרושים, מועדי ישראל, שאלות ותשובות, תלמוד בבלי</t>
  </si>
  <si>
    <t>רוזנצווייג, שלמה יוסף בן בצלאל חיים</t>
  </si>
  <si>
    <t>שלמה אהרן זליג בן יואל</t>
  </si>
  <si>
    <t>שפרינץ, שלמה דוב בן גדליהו הכהן</t>
  </si>
  <si>
    <t>כרם שמואל</t>
  </si>
  <si>
    <t>הכרמי, זלמן שמואל בן עקיבא</t>
  </si>
  <si>
    <t>כרם שמעון חיים</t>
  </si>
  <si>
    <t>וקנין, שמעון חיים בן ברוך</t>
  </si>
  <si>
    <t>כרם - 11 כר'</t>
  </si>
  <si>
    <t>צימערמאן, אהרן חיים הלוי (עורך)</t>
  </si>
  <si>
    <t>תשי"א-תשי"ח</t>
  </si>
  <si>
    <t>כרמי אברהם</t>
  </si>
  <si>
    <t>פרידמן, מרדכי אברהם</t>
  </si>
  <si>
    <t>כרמי ישראל</t>
  </si>
  <si>
    <t>תלמוד בבלי, תנ"ך, תנ"ך, תפלות בקשות פיוטים ושירה</t>
  </si>
  <si>
    <t>כרמי שומרון</t>
  </si>
  <si>
    <t>קירכהיים, רפאל ליב בן שמעון</t>
  </si>
  <si>
    <t>כרמי שלי - 3 כר'</t>
  </si>
  <si>
    <t>שלי, שאול מקיקץ בן מעתוק</t>
  </si>
  <si>
    <t>כרמנו - 51 כר'</t>
  </si>
  <si>
    <t>בטאון מרכז מוסדות חסידי אלכסנדר</t>
  </si>
  <si>
    <t>כרמנו - מכות</t>
  </si>
  <si>
    <t>ישיבת אלכסנדר</t>
  </si>
  <si>
    <t>כרסייא דאליהו</t>
  </si>
  <si>
    <t>סתהון, חביב חיים דוד בן דוד</t>
  </si>
  <si>
    <t>שאר ספרי חז"ל, שאר ספרי חז"ל, תפלות בקשות פיוטים ושירה</t>
  </si>
  <si>
    <t>כרע רבץ</t>
  </si>
  <si>
    <t>כרעיה דאבוה</t>
  </si>
  <si>
    <t>שלזינגר, ישעיהו יחיאל בן אליקים</t>
  </si>
  <si>
    <t>כרתי ופלתי &lt;דפו"ר&gt;</t>
  </si>
  <si>
    <t>כרתי ופלתי המבואר - 2 כר'</t>
  </si>
  <si>
    <t>אייבשיץ, יהונתן בן נתן נטע - קליין, משה בן מנשה</t>
  </si>
  <si>
    <t>כרתי ופלתי - הלכות נדה &lt;ליקוטי הערות&gt;</t>
  </si>
  <si>
    <t>אייבשיץ, יהונתן בן נתן נטע - ביסטריצקי, יצחק</t>
  </si>
  <si>
    <t>כרתי ופלתי - 2 כר'</t>
  </si>
  <si>
    <t>כשחר אורך</t>
  </si>
  <si>
    <t>ניב, אהרן י.</t>
  </si>
  <si>
    <t>כשלג ילבינו</t>
  </si>
  <si>
    <t>כשר או חלק</t>
  </si>
  <si>
    <t>כהן, דן יעקב</t>
  </si>
  <si>
    <t>פסגות</t>
  </si>
  <si>
    <t>כשרות ארבעת המינים (צבעוני)</t>
  </si>
  <si>
    <t>כשרות ארבעת המינים</t>
  </si>
  <si>
    <t>כשרות בבית</t>
  </si>
  <si>
    <t>כשרות בפסח</t>
  </si>
  <si>
    <t>כשרות החלב ומוצריו</t>
  </si>
  <si>
    <t>ויטמן, זאב</t>
  </si>
  <si>
    <t>כשרות הכלים</t>
  </si>
  <si>
    <t>כשרות המאכלים</t>
  </si>
  <si>
    <t>כשרות המזון כהלכה</t>
  </si>
  <si>
    <t>כשרות המזון - 4 כר'</t>
  </si>
  <si>
    <t>כשרות המטבח בהלכה ובאגדה</t>
  </si>
  <si>
    <t>כשרות המטבח - מושגים וערכים</t>
  </si>
  <si>
    <t>סופר, יחזקאל</t>
  </si>
  <si>
    <t>כשרות המטבח</t>
  </si>
  <si>
    <t>כשרות המשקאות</t>
  </si>
  <si>
    <t>כשרות וטרפות בעוף</t>
  </si>
  <si>
    <t>כשרות ושבת במטבח המודרני</t>
  </si>
  <si>
    <t>כשרות כהלכה - א</t>
  </si>
  <si>
    <t>רבני עמותת כושרות</t>
  </si>
  <si>
    <t>אלון מורה</t>
  </si>
  <si>
    <t>כשרות להלכה ולמעשה</t>
  </si>
  <si>
    <t>רבינוביץ, יואל</t>
  </si>
  <si>
    <t>כשרות מכונות הגילוח</t>
  </si>
  <si>
    <t>דרעי, אליהו</t>
  </si>
  <si>
    <t>כתאב אלנתף</t>
  </si>
  <si>
    <t>חיוג', יהודה</t>
  </si>
  <si>
    <t>כתאב אלרסאייל (ספר האיגרות)</t>
  </si>
  <si>
    <t>כתב איש - 4 כר'</t>
  </si>
  <si>
    <t>שטיינהויז, אריה</t>
  </si>
  <si>
    <t>כתב אמת</t>
  </si>
  <si>
    <t>היילפרין, משולם שרגא פייבוש בן נפתלי הירץ</t>
  </si>
  <si>
    <t>כתב אמת - 3 כר'</t>
  </si>
  <si>
    <t>כתב בית ישראל</t>
  </si>
  <si>
    <t>רייכר, ישעיה בן ראובן</t>
  </si>
  <si>
    <t>כתב הדת</t>
  </si>
  <si>
    <t>כתב המלצה - &lt;חכמי איטליה, קושטא, יוון&gt;</t>
  </si>
  <si>
    <t>כתב המלצה</t>
  </si>
  <si>
    <t>ויניציה</t>
  </si>
  <si>
    <t>כתב הנשתון - 5 כר'</t>
  </si>
  <si>
    <t>כתב הסופר - צורת האותיות</t>
  </si>
  <si>
    <t>רוזנברג, נפתלי דב - גליקסברג, ישראל</t>
  </si>
  <si>
    <t>כתב הקדש - כתובות</t>
  </si>
  <si>
    <t>כתב התנצלות לדרשנים</t>
  </si>
  <si>
    <t>דוד בן מנשה מקראקא</t>
  </si>
  <si>
    <t>של"ד</t>
  </si>
  <si>
    <t>כתב וחתם סופר</t>
  </si>
  <si>
    <t>כתב זאת זכרון</t>
  </si>
  <si>
    <t>סופר-שרייבער, אברהם שמואל בנימין</t>
  </si>
  <si>
    <t>רפאלי, יעקב בן אברהם</t>
  </si>
  <si>
    <t>כתב י"ד - 2 כר'</t>
  </si>
  <si>
    <t>דמשק, יוסף בן אברהם אליעזר</t>
  </si>
  <si>
    <t>כתב יד וספר</t>
  </si>
  <si>
    <t>כתב יוחסין</t>
  </si>
  <si>
    <t>יפה, שמואל ישעיהו בן יוסף ליב</t>
  </si>
  <si>
    <t>כתב יושר לשליח &lt;בשבטי ישראל מודעת&gt;</t>
  </si>
  <si>
    <t>כתב יושר</t>
  </si>
  <si>
    <t>אוסטרר, שמואל בן שלום</t>
  </si>
  <si>
    <t>תק"ץ</t>
  </si>
  <si>
    <t>כתב משה - 2 כר'</t>
  </si>
  <si>
    <t>פלדמן, יעקב אשר בן משה</t>
  </si>
  <si>
    <t>כתב נבחר &lt;עט סופר&gt;</t>
  </si>
  <si>
    <t>כ"ץ, משה בן יעקב קופל</t>
  </si>
  <si>
    <t>כתב סופר &lt;דרשות&gt; - 2 כר'</t>
  </si>
  <si>
    <t>כתב סופר &lt;על הש"ס&gt; - 8 כר'</t>
  </si>
  <si>
    <t>כתב סופר &lt;על התורה&gt; - 2 כר'</t>
  </si>
  <si>
    <t>תרל"ג - תרנ"ד</t>
  </si>
  <si>
    <t>כתב סופר &lt;שו"ת&gt; - 4 כר'</t>
  </si>
  <si>
    <t>כתב סופר החדש על התורה</t>
  </si>
  <si>
    <t>כתב סופר החדשות</t>
  </si>
  <si>
    <t>כתב סופר - 3 כר'</t>
  </si>
  <si>
    <t>כתבו לכם</t>
  </si>
  <si>
    <t>ישיבת אור ישראל</t>
  </si>
  <si>
    <t>מנדלקורן, יצחק</t>
  </si>
  <si>
    <t>כתבוני לדורות</t>
  </si>
  <si>
    <t>כתבות עתיקות</t>
  </si>
  <si>
    <t>כתבי אבא מרי - 2 כר'</t>
  </si>
  <si>
    <t>וואלקין, שמואל דוד בן אהרן</t>
  </si>
  <si>
    <t>דרושים, מועדי ישראל, משנה, שאר ספרי חז"ל, תלמוד בבלי, תנ"ך</t>
  </si>
  <si>
    <t>כתבי אבינו הר"ר יונה עמנואל ז"ל</t>
  </si>
  <si>
    <t>עמנואל, יונה</t>
  </si>
  <si>
    <t>כתבי אחים - א (בהלכה ובאגדה)</t>
  </si>
  <si>
    <t>ראגוזניצקי, ברוך מרדכי בן נחום</t>
  </si>
  <si>
    <t>כתבי אש</t>
  </si>
  <si>
    <t>כתבי בית המדרש</t>
  </si>
  <si>
    <t>דרושים, הלכה ומנהג, מועדי ישראל, שלחן ערוך ומפרשיו, תלמוד בבלי</t>
  </si>
  <si>
    <t>כתבי בית ישראל &lt;מהדורה חדשה&gt;</t>
  </si>
  <si>
    <t>שר, חיים יצחק איזיק</t>
  </si>
  <si>
    <t>תרפ"ג - תרצ"א</t>
  </si>
  <si>
    <t>כתבי בית ישראל - 3 כר'</t>
  </si>
  <si>
    <t>כתבי הגאון רבי יוסף אליהו הענקין זצ"ל - 2 כר'</t>
  </si>
  <si>
    <t>כתבי הגאון רבי יחיאל יעקב ויינברג - 2 כר'</t>
  </si>
  <si>
    <t>כתבי הגאונים</t>
  </si>
  <si>
    <t>הורוויץ, צבי הירש בן חיים אריה הלוי</t>
  </si>
  <si>
    <t>כתבי הגר"ח והגרי"ז</t>
  </si>
  <si>
    <t>סולוביציק, חיים בן יוסף דב הלוי - סולוויציק, יצחק זאב בן חיים הלוי</t>
  </si>
  <si>
    <t>כתבי הגר"י</t>
  </si>
  <si>
    <t>רבי יצחק מלעטשוב</t>
  </si>
  <si>
    <t>כתבי הגרי"ש - 2 כר'</t>
  </si>
  <si>
    <t>כתבי הגרמ"מ ז"ל - 2 כר'</t>
  </si>
  <si>
    <t>כתבי הדעת קדושים</t>
  </si>
  <si>
    <t>כתבי החפץ חיים</t>
  </si>
  <si>
    <t>גליס, משה</t>
  </si>
  <si>
    <t>כתבי היד התימניים במכון בן צבי</t>
  </si>
  <si>
    <t>כתבי היד של יהודי המגרב במכון בן צבי</t>
  </si>
  <si>
    <t>כתבי היד של יהודי פרס במכון בן צבי</t>
  </si>
  <si>
    <t>נצר, אמנון</t>
  </si>
  <si>
    <t>כתבי המגיד מדובנה - 2 כר'</t>
  </si>
  <si>
    <t>כתבי הסבא מקלם - 6 כר'</t>
  </si>
  <si>
    <t>כתבי הסטוריה</t>
  </si>
  <si>
    <t>פילון האלכסנדרוני</t>
  </si>
  <si>
    <t>כתבי העלוי מראקוב</t>
  </si>
  <si>
    <t>קפלן, אברהם אליהו בן משה מרדכי</t>
  </si>
  <si>
    <t>דרושים, דרושים, נושאים שונים, נושאים שונים, תולדות עם ישראל, תלמוד בבלי, תלמוד בבלי, תפלות בקשות פיוטים ושירה</t>
  </si>
  <si>
    <t>כתבי הקבלה שלרמח"ל</t>
  </si>
  <si>
    <t>בניהו, מאיר</t>
  </si>
  <si>
    <t>כתבי הקדוש</t>
  </si>
  <si>
    <t>אריה ליב בן יוסף</t>
  </si>
  <si>
    <t>כתבי הרב הירש - טבת שבט אדר</t>
  </si>
  <si>
    <t>כתבי הרב י. ל. הכהן פישמן</t>
  </si>
  <si>
    <t>בן-מנחם, נפתלי בן מנחם</t>
  </si>
  <si>
    <t>כתבי הריטב"א</t>
  </si>
  <si>
    <t>כתבי וחידושי הגאון רבי יעקב שור</t>
  </si>
  <si>
    <t>שור, יעקב</t>
  </si>
  <si>
    <t>כתבי וחכמי תלמסאן</t>
  </si>
  <si>
    <t>גייאן, נתן - קצבי, חיים</t>
  </si>
  <si>
    <t>הלכה ומנהג, שאלות ותשובות, שלחן ערוך ומפרשיו, תולדות עם ישראל</t>
  </si>
  <si>
    <t>כתבי חיים - 3 כר'</t>
  </si>
  <si>
    <t>פרידמן, חיים</t>
  </si>
  <si>
    <t>כתבי חסידים ראשונים לבית רוזין</t>
  </si>
  <si>
    <t>לקט אמרות</t>
  </si>
  <si>
    <t>כתבי י"ד</t>
  </si>
  <si>
    <t>קליין, יוסף דוד</t>
  </si>
  <si>
    <t>דרושים, מועדי ישראל, נושאים שונים, שאלות ותשובות, תנ"ך</t>
  </si>
  <si>
    <t>כתבי יד ודפוסים נבחרים מאוצרות בית הספרים הלאומי</t>
  </si>
  <si>
    <t>בית הספרים הלאומי</t>
  </si>
  <si>
    <t>כתבי יד עבריים מאוצרות ספריית הפאלאטינה בפארמא</t>
  </si>
  <si>
    <t>כתבי יד של הרמב"ם - 6 כר'</t>
  </si>
  <si>
    <t>כתבי יד של התלמוד הבבלי</t>
  </si>
  <si>
    <t>מבחר צילומים</t>
  </si>
  <si>
    <t>כתבי יד</t>
  </si>
  <si>
    <t>פינר, אפרים משה בן אלכסנדר זיסקינד</t>
  </si>
  <si>
    <t>תרכ"א - תר"ל</t>
  </si>
  <si>
    <t>כתבי יצחק יפה</t>
  </si>
  <si>
    <t>יפה, יצחק בן מרדכי</t>
  </si>
  <si>
    <t>כתבי מא"ה</t>
  </si>
  <si>
    <t>כתבי מאסליאנסקי - ב</t>
  </si>
  <si>
    <t>מאסליאנסקי, צבי הירש בן חיים</t>
  </si>
  <si>
    <t>כתבי מהר"ם איררה</t>
  </si>
  <si>
    <t>איררה, משה</t>
  </si>
  <si>
    <t>כתבי מהרי"ח</t>
  </si>
  <si>
    <t>קאצבורג, ישראל חיים בן יהושע דוד צבי הכהן</t>
  </si>
  <si>
    <t>כתבי מהרי"ל דיסקין (או"ח)</t>
  </si>
  <si>
    <t>כתבי מהרש"ג</t>
  </si>
  <si>
    <t>כתבי מכון הערי פישעל &lt;ראשונים למו"ק&gt;</t>
  </si>
  <si>
    <t>ירושלים. מכון הרי פישל לדרישת התלמוד</t>
  </si>
  <si>
    <t>כתבי מנחם מבש"ן</t>
  </si>
  <si>
    <t>מבש"ן, מנחם בן חיים צבי</t>
  </si>
  <si>
    <t>תרפ"ח-תרצ"ג</t>
  </si>
  <si>
    <t>כתבי מרדכי - 4 כר'</t>
  </si>
  <si>
    <t>משען, מרדכי בן שלמה</t>
  </si>
  <si>
    <t>כתבי משה</t>
  </si>
  <si>
    <t>פרידמן, משה</t>
  </si>
  <si>
    <t>כתבי פז</t>
  </si>
  <si>
    <t>גולדברג, אברהם יהושע</t>
  </si>
  <si>
    <t>כתבי קבלה לבעל התוספות יו"ט</t>
  </si>
  <si>
    <t>כתבי קדש עשרים וארבעה - ב</t>
  </si>
  <si>
    <t>תנ"ך. תר"ך. ורשה</t>
  </si>
  <si>
    <t>תר"ך-תרכ"ב</t>
  </si>
  <si>
    <t>כתבי קהלות יעקב החדשים - 5 כר'</t>
  </si>
  <si>
    <t>כתבי קודש ומליצות</t>
  </si>
  <si>
    <t>גלדר, שמעון בן אליעזר די</t>
  </si>
  <si>
    <t>[תק"ך,</t>
  </si>
  <si>
    <t>כתבי קודש מחכמי אמת</t>
  </si>
  <si>
    <t>כתבי קודש. תרמ"ד</t>
  </si>
  <si>
    <t>כתבי ר' יאשע שו"ב</t>
  </si>
  <si>
    <t>כתבי רבי אח"ה - 2 כר'</t>
  </si>
  <si>
    <t>הירש, אבא חייא</t>
  </si>
  <si>
    <t>כתבי רבי יחיאל - 2 כר'</t>
  </si>
  <si>
    <t>גוטווירטה, יחיאל</t>
  </si>
  <si>
    <t>כתבי רבי יעקב עמדין ביבליוגראפיה</t>
  </si>
  <si>
    <t>רפאל, יצחק</t>
  </si>
  <si>
    <t>כתבי רבי מענדיל</t>
  </si>
  <si>
    <t>כתבי רבי משה בלוי</t>
  </si>
  <si>
    <t>כתבי רבי משה חיים לוצאטו</t>
  </si>
  <si>
    <t>כתבי רבי שמואל אדוני - 3 כר'</t>
  </si>
  <si>
    <t>אדוני ברזאני, שמואל</t>
  </si>
  <si>
    <t>כתבי רבינו חיים הכהן מארם צובה - 3 כר'</t>
  </si>
  <si>
    <t>חיים בן אברהם הכהן מארם צובה</t>
  </si>
  <si>
    <t>כתבי רבינו יצחק דב הלוי מווירצבורג - 2 כר'</t>
  </si>
  <si>
    <t>דרושים, הלכה ומנהג, שלחן ערוך ומפרשיו, תולדות עם ישראל, תלמוד בבלי</t>
  </si>
  <si>
    <t>כתבי שיעורי הגאון רבי שמואל רוזובסקי - נדרים</t>
  </si>
  <si>
    <t>כתבי שמואל</t>
  </si>
  <si>
    <t>כתבים בספר</t>
  </si>
  <si>
    <t>מלאכובסקי, הילל בן זאב</t>
  </si>
  <si>
    <t>פילדלפיה Philadelph</t>
  </si>
  <si>
    <t>כתבים לבת ישראל</t>
  </si>
  <si>
    <t>בוים, בראנדיל בת צבי מרדכי</t>
  </si>
  <si>
    <t>כתבים מימי השואה</t>
  </si>
  <si>
    <t>ברויאר, יצחק</t>
  </si>
  <si>
    <t>כתבים נבחרים</t>
  </si>
  <si>
    <t>בירנבוים, נתן בן מנחם</t>
  </si>
  <si>
    <t>כ"ץ, ישראל יצחק בן ברוך בנדיט</t>
  </si>
  <si>
    <t>כתבים נבחרים - 2 כר'</t>
  </si>
  <si>
    <t>עובדיה, אברהם בן גבריאל הכהן</t>
  </si>
  <si>
    <t>תש"ב - תש"ד</t>
  </si>
  <si>
    <t>פרידמן, אלכסנדר זושא</t>
  </si>
  <si>
    <t>מחשבה ומוסר, נושאים שונים, תולדות עם ישראל, תולדות עם ישראל, תפלות בקשות פיוטים ושירה</t>
  </si>
  <si>
    <t>כתבים</t>
  </si>
  <si>
    <t>כתבים - 3 כר'</t>
  </si>
  <si>
    <t>כתבים - 2 כר'</t>
  </si>
  <si>
    <t>כתבם על לוח</t>
  </si>
  <si>
    <t>כתוב זאת זכרון בספר</t>
  </si>
  <si>
    <t>בורנשטיין, מרדכי שרגא פייבל בן יעקב קופל</t>
  </si>
  <si>
    <t>חוסט. קהל עדת יראים שומרי הדת</t>
  </si>
  <si>
    <t>Vinogradov וינוגרדו</t>
  </si>
  <si>
    <t>כתוב ישר דברי אמת ומשיב מלחמות שערה</t>
  </si>
  <si>
    <t>ברכר, יעקב זאב בן צבי הכהן</t>
  </si>
  <si>
    <t>כתוב לאמר</t>
  </si>
  <si>
    <t>הלוי, יצחק</t>
  </si>
  <si>
    <t>כתוב לחיים</t>
  </si>
  <si>
    <t>אברהם חיים בן יצחק יעקב</t>
  </si>
  <si>
    <t>כתוב שם &lt;מהדורת פריימן&gt;</t>
  </si>
  <si>
    <t>כתוב שם השלם</t>
  </si>
  <si>
    <t>כתוב שם - 2 כר'</t>
  </si>
  <si>
    <t>כתובה כהלכתה</t>
  </si>
  <si>
    <t>כתובה נוסח תימן</t>
  </si>
  <si>
    <t>כתובים במשפט</t>
  </si>
  <si>
    <t>סגרה, אביעד יהושע בן דוד</t>
  </si>
  <si>
    <t>כתובים עם פירוש רש"י ורלב"ג</t>
  </si>
  <si>
    <t>תנ"ך. רמ"ח. נפולי</t>
  </si>
  <si>
    <t>רמ"ח</t>
  </si>
  <si>
    <t>כתובים עם תרגום ופירוש רס"ג &lt;כת"י בלשון ערב&gt;</t>
  </si>
  <si>
    <t>כתובים</t>
  </si>
  <si>
    <t>תנ"ך. תש"ט. לונדון</t>
  </si>
  <si>
    <t>כתונת יוסף - 5 כר'</t>
  </si>
  <si>
    <t>תרפ"ב - תש"ג</t>
  </si>
  <si>
    <t>כתונת יוסף</t>
  </si>
  <si>
    <t>מונטיקיו, יוסף בן יצחק משה</t>
  </si>
  <si>
    <t>הלכה ומנהג, הלכה ומנהג, נושאים שונים, שאלות ותשובות, שאלות ותשובות, תלמוד בבלי</t>
  </si>
  <si>
    <t>כתונת יוסף, וליוסף אמר</t>
  </si>
  <si>
    <t>כתונת פסים &lt;מהדורה חדשה&gt;</t>
  </si>
  <si>
    <t>כתונת פסים</t>
  </si>
  <si>
    <t>שע"ד</t>
  </si>
  <si>
    <t>יוסף בן משה מפרמישלה</t>
  </si>
  <si>
    <t>כתועפות ראם</t>
  </si>
  <si>
    <t>ראם, שמואל אלעזר בן שמחה</t>
  </si>
  <si>
    <t>כתות מני קדם</t>
  </si>
  <si>
    <t>כתיבה ברורה - כתיבת ספר תורה</t>
  </si>
  <si>
    <t>כתיבה כהלכתה</t>
  </si>
  <si>
    <t>קליין, יעקב בן יוסף יחיאל מיכל</t>
  </si>
  <si>
    <t>כתיבה לחיים</t>
  </si>
  <si>
    <t>גרוס, חיים ישכר דוב</t>
  </si>
  <si>
    <t>כתיבה תמה</t>
  </si>
  <si>
    <t>כתיבת סת"ם בקולמוס נירוסטה</t>
  </si>
  <si>
    <t>כהן, אליהו בן שמעון</t>
  </si>
  <si>
    <t>כתיבת תורה</t>
  </si>
  <si>
    <t>כתית למאור</t>
  </si>
  <si>
    <t>כתית למאור - 3 כר'</t>
  </si>
  <si>
    <t>זוסמן, מאיר</t>
  </si>
  <si>
    <t>כתית למאור - 9 כר'</t>
  </si>
  <si>
    <t>שפיץ, מאיר בן יוחנן</t>
  </si>
  <si>
    <t>כתלי בית המדרש - 7 כר'</t>
  </si>
  <si>
    <t>כתלי היכל - בבא בתרא</t>
  </si>
  <si>
    <t>כתלנו - ספר היובל</t>
  </si>
  <si>
    <t>קובץ ישיבת הכותל</t>
  </si>
  <si>
    <t>כתלנו - 15 כר'</t>
  </si>
  <si>
    <t>קובץ ישיבת הכתל</t>
  </si>
  <si>
    <t>כתם אופיר על מגילת אסתר</t>
  </si>
  <si>
    <t>כתם אופיר - 3 כר'</t>
  </si>
  <si>
    <t>כתם אופיר - 2 כר'</t>
  </si>
  <si>
    <t>כתם פז &lt;מהדורה חדשה&gt; - 4 כר'</t>
  </si>
  <si>
    <t>לביא, שמעון</t>
  </si>
  <si>
    <t>כתם פז &lt;מהדורה חדשה&gt;</t>
  </si>
  <si>
    <t>צבי הירש בן יצחק מסמוטריץ'</t>
  </si>
  <si>
    <t>כתם פז - 4 כר'</t>
  </si>
  <si>
    <t>כתם פז - 2 כר'</t>
  </si>
  <si>
    <t>כתמר יפרח</t>
  </si>
  <si>
    <t>כתנות אור &lt;מהדורה חדשה&gt;</t>
  </si>
  <si>
    <t>ווארזיר, מאיר בן יצחק</t>
  </si>
  <si>
    <t>כתנות אור</t>
  </si>
  <si>
    <t>כתנות אור - 2 כר'</t>
  </si>
  <si>
    <t>כתנות עור</t>
  </si>
  <si>
    <t>כתנת יוסף</t>
  </si>
  <si>
    <t>כתנת כהונה</t>
  </si>
  <si>
    <t>כתפוח בעצי היער &lt;מדרש קדמון&gt;</t>
  </si>
  <si>
    <t>כתפוח בעצי היער</t>
  </si>
  <si>
    <t>כתפת האפד</t>
  </si>
  <si>
    <t>כתר אורייתא - קובץ</t>
  </si>
  <si>
    <t>כתר אפרים</t>
  </si>
  <si>
    <t>כתר דוד תנינא - תולדות נח</t>
  </si>
  <si>
    <t>קאפלין, כתריאל דוד בן נח</t>
  </si>
  <si>
    <t>כתר דוד</t>
  </si>
  <si>
    <t>כתר הדעת - חוקת-מסעי</t>
  </si>
  <si>
    <t>כתר היהודי</t>
  </si>
  <si>
    <t>חסידות, חסידות, נושאים שונים, שאלות ותשובות, שלחן ערוך ומפרשיו, תלמוד בבלי</t>
  </si>
  <si>
    <t>כתר המלך (הלכות סת"ם)</t>
  </si>
  <si>
    <t>כתר המלך</t>
  </si>
  <si>
    <t>נתן, כתריאל אהרן בן הלל</t>
  </si>
  <si>
    <t>כתר השבת</t>
  </si>
  <si>
    <t>מועדי ישראל, מחשבה ומוסר, משנה, תנ"ך</t>
  </si>
  <si>
    <t>כתר חיים</t>
  </si>
  <si>
    <t>אליעזרוב, כתריאל חיים</t>
  </si>
  <si>
    <t>כתר טוב - מצוות</t>
  </si>
  <si>
    <t>כתר יוסף, כתר כהונה - על תהלים ומעמדות</t>
  </si>
  <si>
    <t>אשכנזי, יוסף בן משה (מתוך סידור כתר יוסף)</t>
  </si>
  <si>
    <t>כתר ישועה</t>
  </si>
  <si>
    <t>דיין, משה בן אלעזר</t>
  </si>
  <si>
    <t>כתר כהונה &lt;מהדורה חדשה&gt; - 2 כר'</t>
  </si>
  <si>
    <t>כ"ץ, יצחק אברהם בן דוב בריש</t>
  </si>
  <si>
    <t>כתר כהונה</t>
  </si>
  <si>
    <t>די לארה, דוד בן יצחק הכהן</t>
  </si>
  <si>
    <t>תכ"ט</t>
  </si>
  <si>
    <t>כתר כהונה - 2 כר'</t>
  </si>
  <si>
    <t>כתר כהונה - א</t>
  </si>
  <si>
    <t>פולצ'ק, הלל בן שלמה</t>
  </si>
  <si>
    <t>כתר כהונה - 3 כר'</t>
  </si>
  <si>
    <t>ריפמאן, דוב בר דוד בן פרץ</t>
  </si>
  <si>
    <t>כתר כהנה</t>
  </si>
  <si>
    <t>כתר לתורה</t>
  </si>
  <si>
    <t>היילפרין, ברוך בן צבי הירש</t>
  </si>
  <si>
    <t>כתר מלוכה - 18 כר'</t>
  </si>
  <si>
    <t>איגוד בוגרי ישיבת כסא רחמים</t>
  </si>
  <si>
    <t>כתר מלוכה</t>
  </si>
  <si>
    <t>זלוף, צבי בן יעקב</t>
  </si>
  <si>
    <t>כתר מלוכה - 3 כר'</t>
  </si>
  <si>
    <t>כברה, ערן בן אברהם</t>
  </si>
  <si>
    <t>כתר מלוכה - ענייני עניית אמן</t>
  </si>
  <si>
    <t>כתר מלוכה - מערכי לב</t>
  </si>
  <si>
    <t>כתר מלכות (עם העתקה בלשון פארסי)</t>
  </si>
  <si>
    <t>כתר מלכות - 2 כר'</t>
  </si>
  <si>
    <t>כתר מלכות</t>
  </si>
  <si>
    <t>יוסף חיים בן אליהו מבגדאד</t>
  </si>
  <si>
    <t>[תר"ס,</t>
  </si>
  <si>
    <t>כתר מלכים</t>
  </si>
  <si>
    <t>כתר מרדכי</t>
  </si>
  <si>
    <t>אסולין, מרדכי בן חנניה (עורך)</t>
  </si>
  <si>
    <t>כתר נהורא &lt;פירוש התפילה מתוך סידור תפילה ישרה&gt;</t>
  </si>
  <si>
    <t>כתר נהורא</t>
  </si>
  <si>
    <t>כתר נחום שלמה</t>
  </si>
  <si>
    <t>קובץ כולל כתר נחום שלמה, קארלין</t>
  </si>
  <si>
    <t>כתר עמרם ישעיהו</t>
  </si>
  <si>
    <t>כתר צבי</t>
  </si>
  <si>
    <t>פלטרוביץ, שמחה בן צבי</t>
  </si>
  <si>
    <t>כתר צדיק - שמות, ויקרא</t>
  </si>
  <si>
    <t>כתר קדושה</t>
  </si>
  <si>
    <t>תולדות חכמי משפחת פינטו</t>
  </si>
  <si>
    <t>כתר שלמה - 2 כר'</t>
  </si>
  <si>
    <t>כתר שלמה</t>
  </si>
  <si>
    <t>קרון, שלמה אברהם</t>
  </si>
  <si>
    <t>שהרבני, שלמה</t>
  </si>
  <si>
    <t>כתר שם טוב</t>
  </si>
  <si>
    <t>דזיאלושינסקי, אברהם יהודה</t>
  </si>
  <si>
    <t>כתר שם טוב - 2 כר'</t>
  </si>
  <si>
    <t>כתר שם טוב - 3 כר'</t>
  </si>
  <si>
    <t>ישראל בן אליעזר (בעש"ט)</t>
  </si>
  <si>
    <t>ליבוביץ, אהרן דוד</t>
  </si>
  <si>
    <t>מלמד, שם טוב בן יעקב</t>
  </si>
  <si>
    <t>כתר תורה &lt;מהדורה חדשה&gt;</t>
  </si>
  <si>
    <t>מאיר בן לוי יצחק</t>
  </si>
  <si>
    <t>הלכה ומנהג, שלחן ערוך ומפרשיו, תלמוד בבלי, תלמוד בבלי, תלמוד בבלי, תנ"ך</t>
  </si>
  <si>
    <t>כתר תורה &lt;רדומסק&gt; - 7 כר'</t>
  </si>
  <si>
    <t>כתר תורה (ירחון) - א</t>
  </si>
  <si>
    <t>מייזליש, דוד דוב</t>
  </si>
  <si>
    <t>כתר תורה (קונטרס)</t>
  </si>
  <si>
    <t>כתר תורה</t>
  </si>
  <si>
    <t>כתר תורה וסדר הכתרת הרבנות</t>
  </si>
  <si>
    <t>ירושלים. הסתדרות "עדת ירושלם"</t>
  </si>
  <si>
    <t>כתר תורה לדוד</t>
  </si>
  <si>
    <t>אלישובסקי, אבנר נתן נטע בן יהושע זליג</t>
  </si>
  <si>
    <t>כתר תורה תאג' &lt;חמשים מפרשים&gt; - 5 כר'</t>
  </si>
  <si>
    <t>תנ"ך. תש"ס. ירושלים</t>
  </si>
  <si>
    <t>כתר תורה תאג' - 7 כר'</t>
  </si>
  <si>
    <t>תנ"ך. תרנ"ד. ירושלים</t>
  </si>
  <si>
    <t>תרנ"ד - תשכ"ח</t>
  </si>
  <si>
    <t>הרמן, עזריאל למיל</t>
  </si>
  <si>
    <t>כתר תורה - תרי"ג מצות</t>
  </si>
  <si>
    <t>וויטאל, דוד בן שלמה</t>
  </si>
  <si>
    <t>כתר תורה - כללי התלמוד מרבותינו בעלי התוספות</t>
  </si>
  <si>
    <t>חורב, משה בן ברוך</t>
  </si>
  <si>
    <t>חורי, משה בן ברוך</t>
  </si>
  <si>
    <t>כתר תורה - 2 כר'</t>
  </si>
  <si>
    <t>ירחון תלמודי פלפולי</t>
  </si>
  <si>
    <t>כתר תורה - שבועות ומסכת אבות</t>
  </si>
  <si>
    <t>מכון אבני שוהם</t>
  </si>
  <si>
    <t>פינחס בן יהודה מפולוצק</t>
  </si>
  <si>
    <t>פרסקי, דוב אריה בן זליג פינחס</t>
  </si>
  <si>
    <t>קובץ תורני כולל נר המזרח</t>
  </si>
  <si>
    <t>כתר תורה - 4 כר'</t>
  </si>
  <si>
    <t>מחשבה ומוסר, מחשבה ומוסר, נושאים שונים, תלמוד בבלי</t>
  </si>
  <si>
    <t>שארפבערג, ישעיה בן אברהם</t>
  </si>
  <si>
    <t>שטרן, מנדל בן יצחק</t>
  </si>
  <si>
    <t>כתר - 7 כר'</t>
  </si>
  <si>
    <t>מחקרים בכלכלה ובמשפט ע"פ התורה</t>
  </si>
  <si>
    <t>כתרא דמלכא - ב</t>
  </si>
  <si>
    <t>קובץ תורני ע"פ משנתם של רבה"ק מביאלא</t>
  </si>
  <si>
    <t>כתרה של תורה &lt;כנסת שלמה&gt;</t>
  </si>
  <si>
    <t>כתרה של תורה</t>
  </si>
  <si>
    <t>בירנבוים, רפאל שמואל (אודות)</t>
  </si>
  <si>
    <t>כתרי אותיות</t>
  </si>
  <si>
    <t>טוקצ'ינסקי, עזרא גמול</t>
  </si>
  <si>
    <t>כתרי אלעזר - 2 כר'</t>
  </si>
  <si>
    <t>ל"ג בעמר</t>
  </si>
  <si>
    <t>ל"ו צדיקים נסתרים - 2 כר'</t>
  </si>
  <si>
    <t>ל"ו שערים</t>
  </si>
  <si>
    <t>ל"ט מלאכות שבת - לתלמידים</t>
  </si>
  <si>
    <t>לא אמות כי אחיה</t>
  </si>
  <si>
    <t>חלימי, פרג בן אברהם</t>
  </si>
  <si>
    <t>פרידמן, חיים שלמה</t>
  </si>
  <si>
    <t>לא גבה לבי - אני קהלת - אתה לבדך ידעת - בכה ר"ע</t>
  </si>
  <si>
    <t>לא יסור שבט מיהודה</t>
  </si>
  <si>
    <t>עקשטיין, אהרן יהודה</t>
  </si>
  <si>
    <t>לא כל הזכויות שמורות</t>
  </si>
  <si>
    <t>לא מעבר לים</t>
  </si>
  <si>
    <t>ישיבת יד אהרן</t>
  </si>
  <si>
    <t>לא נחש ביעקב</t>
  </si>
  <si>
    <t>לא נתנו צאנס</t>
  </si>
  <si>
    <t>לא סתם ליקוט</t>
  </si>
  <si>
    <t>לא תחנם</t>
  </si>
  <si>
    <t>לא תסור ימין ושמאל</t>
  </si>
  <si>
    <t>לא תעמוד על דם רעך</t>
  </si>
  <si>
    <t>שמואלי, אלדד</t>
  </si>
  <si>
    <t>לא תשיך</t>
  </si>
  <si>
    <t>לא תשכח</t>
  </si>
  <si>
    <t>ירוחם, אהרן</t>
  </si>
  <si>
    <t>לא תשנא את אחיך</t>
  </si>
  <si>
    <t>לא תתגודדו בהלכה ואגדה</t>
  </si>
  <si>
    <t>לאברהם למקנה (מתוך ויען אברהם)</t>
  </si>
  <si>
    <t>לאברהם למקנה</t>
  </si>
  <si>
    <t>שיראנו, אברהם</t>
  </si>
  <si>
    <t>לאהבה וליראה</t>
  </si>
  <si>
    <t>לאהוב ולחנך</t>
  </si>
  <si>
    <t>ריבקין, יצחק</t>
  </si>
  <si>
    <t>לאוקמי גירסא - 2 כר'</t>
  </si>
  <si>
    <t>לאוקמי גירסא</t>
  </si>
  <si>
    <t>דיסקין, א</t>
  </si>
  <si>
    <t>לאור באור החיים - 2 כר'</t>
  </si>
  <si>
    <t>לאור האגדה</t>
  </si>
  <si>
    <t>דמשק, גרשון זאב בן אברהם נפתלי הכהן</t>
  </si>
  <si>
    <t>לאור האמונה</t>
  </si>
  <si>
    <t>לאור ההלכה - ב</t>
  </si>
  <si>
    <t>המועצה הדתית ירושלים</t>
  </si>
  <si>
    <t>לאור ההלכה - 2 כר'</t>
  </si>
  <si>
    <t>לאור הנצח</t>
  </si>
  <si>
    <t>פראגר, משה</t>
  </si>
  <si>
    <t>לאור קדושת לוי</t>
  </si>
  <si>
    <t>וינרוט, אברהם בן משה אהרן</t>
  </si>
  <si>
    <t>לאורו נלך</t>
  </si>
  <si>
    <t>לאורך ימים ושנים</t>
  </si>
  <si>
    <t>לאורם של גדולי ישראל וראשי עם</t>
  </si>
  <si>
    <t>לאות ולזכרון</t>
  </si>
  <si>
    <t>ריבקינד, יצחק בן ברוך דניאל</t>
  </si>
  <si>
    <t>לאות ולעד - פנקס זכרון לבתי עלמין שנהרסו וחוללו</t>
  </si>
  <si>
    <t>לאחדות האומה</t>
  </si>
  <si>
    <t>לאחוז בכוכבים [גורא]</t>
  </si>
  <si>
    <t>לאילן ריח - 4 כר'</t>
  </si>
  <si>
    <t>לאיש שלום</t>
  </si>
  <si>
    <t>הירשמן, צבי יעקב שלום</t>
  </si>
  <si>
    <t>לאכול כשר - יסודות הכשרות</t>
  </si>
  <si>
    <t>לאלהי מעוזים רני תודות</t>
  </si>
  <si>
    <t>מאנטובה. קהילה</t>
  </si>
  <si>
    <t>Mantua מנטובה</t>
  </si>
  <si>
    <t>לאן &lt;אגרת לבן ישיבה&gt; - ט</t>
  </si>
  <si>
    <t>אגרת לבן ישיבה</t>
  </si>
  <si>
    <t>לאן</t>
  </si>
  <si>
    <t>לאנוש בינה</t>
  </si>
  <si>
    <t>לאסוקי שמעתתא - 12 כר'</t>
  </si>
  <si>
    <t>בית מדרש לאסוקי שמעתתא</t>
  </si>
  <si>
    <t>לאסור איסר</t>
  </si>
  <si>
    <t>דנינו, נתנאל יצחק בן יוסף</t>
  </si>
  <si>
    <t>לאפרושי מאיסורא - תולעים בדגים</t>
  </si>
  <si>
    <t>לאקענבך - קהלה קדושה לאקענבך</t>
  </si>
  <si>
    <t>לב אבות על בנים</t>
  </si>
  <si>
    <t>לב אבות</t>
  </si>
  <si>
    <t>אבות. שכ"ה. שלוניקי</t>
  </si>
  <si>
    <t>לב אבות - בנים על אבותם - א</t>
  </si>
  <si>
    <t>העבר, יעקב</t>
  </si>
  <si>
    <t>עדי, יוסף בן אברהם חי</t>
  </si>
  <si>
    <t>חסידות, משנה</t>
  </si>
  <si>
    <t>לב אביגדור</t>
  </si>
  <si>
    <t>מילר, אביגדור הכהן</t>
  </si>
  <si>
    <t>לב אברהם &lt;שו"ת&gt; - א</t>
  </si>
  <si>
    <t>לב אברהם על התורה והמועדים</t>
  </si>
  <si>
    <t>לב אברהם - 2 כר'</t>
  </si>
  <si>
    <t>אברהם, אברהם סופר</t>
  </si>
  <si>
    <t>לב אברהם - פרקי אבות</t>
  </si>
  <si>
    <t>לב אהרן - 2 כר'</t>
  </si>
  <si>
    <t>אבן-חיים, אהרן בן אברהם</t>
  </si>
  <si>
    <t>לב אהרן</t>
  </si>
  <si>
    <t>אנגל, אהרן בן נפתלי הירץ</t>
  </si>
  <si>
    <t>באקשט, אהרן יוסף</t>
  </si>
  <si>
    <t>לב אהרן - 5 כר'</t>
  </si>
  <si>
    <t>סורוצקין, יוסף יהודה לייב בן אליעזר</t>
  </si>
  <si>
    <t>קלמנוביץ, אהרן אריה ליב בן אשר</t>
  </si>
  <si>
    <t>לב איש - 2 כר'</t>
  </si>
  <si>
    <t>ריינמן, אריה לייב</t>
  </si>
  <si>
    <t>לב אליהו</t>
  </si>
  <si>
    <t>אטיגינא, אליהו ליב בן זוסמאן הלוי</t>
  </si>
  <si>
    <t>לב ארי</t>
  </si>
  <si>
    <t>רביץ, אריה לייב</t>
  </si>
  <si>
    <t>לב אריה &lt;לר' אריה לייב קאליש&gt;</t>
  </si>
  <si>
    <t>לב אריה החדש - 2 כר'</t>
  </si>
  <si>
    <t>פרלוב, יהודה אריה בן יעקב</t>
  </si>
  <si>
    <t>לב אריה - 2 כר'</t>
  </si>
  <si>
    <t>אריה יהודה ליב בן עקיבא הלוי</t>
  </si>
  <si>
    <t>גרוסנס, אריה ליב בן מרדכי הלוי</t>
  </si>
  <si>
    <t>לב אריה</t>
  </si>
  <si>
    <t>הורביץ, אריה ליב בן ישראל מנחם</t>
  </si>
  <si>
    <t>יהודה אריה ליב בן יהושע האשקי</t>
  </si>
  <si>
    <t>לב אריה - פסחים</t>
  </si>
  <si>
    <t>כהן קובלסקי, אריה ליב בן חיים בנימין</t>
  </si>
  <si>
    <t>קליג, דוב אריה בן שמעון הלוי</t>
  </si>
  <si>
    <t>תר"צ - תרצ"ו</t>
  </si>
  <si>
    <t>לב בנים - בן סורר ומורה</t>
  </si>
  <si>
    <t>בלעדי, יצחק הלוי</t>
  </si>
  <si>
    <t>לב בנימין - קידושין</t>
  </si>
  <si>
    <t>לב דוד &lt;מהדורת מישור&gt;</t>
  </si>
  <si>
    <t>לב דוד - 7 כר'</t>
  </si>
  <si>
    <t>לב דוד</t>
  </si>
  <si>
    <t>בן לולו, דוד</t>
  </si>
  <si>
    <t>פלדמן, דוד</t>
  </si>
  <si>
    <t>לב דוד - 2 כר'</t>
  </si>
  <si>
    <t>קדוש, דוד בן יוסף</t>
  </si>
  <si>
    <t>תלמוד בבלי, תלמוד ירושלמי, תנ"ך</t>
  </si>
  <si>
    <t>לב האדם לאדם</t>
  </si>
  <si>
    <t>אדלמן, משה בן רפאל</t>
  </si>
  <si>
    <t>לב האר"י</t>
  </si>
  <si>
    <t>גולדשטיין, פסח</t>
  </si>
  <si>
    <t>לב הארי - 5 כר'</t>
  </si>
  <si>
    <t>גולדשטוף, אריה לייב</t>
  </si>
  <si>
    <t>לב הארי - 2 כר'</t>
  </si>
  <si>
    <t>מקובצקי, אריה ליב בן יצחק שמחה</t>
  </si>
  <si>
    <t>לב האריה</t>
  </si>
  <si>
    <t>מאירוביץ, אהרן אריה ליב בן יוסף</t>
  </si>
  <si>
    <t>לב האריה - 2 כר'</t>
  </si>
  <si>
    <t>לב הטהרה</t>
  </si>
  <si>
    <t>לב המלך - 4 כר'</t>
  </si>
  <si>
    <t>לב הסוגיא - 4 כר'</t>
  </si>
  <si>
    <t>מייזלס, אליהו חיים</t>
  </si>
  <si>
    <t>לב העיברי - א</t>
  </si>
  <si>
    <t>סופר, משה בן שמואל - שלזינגר, עקיבה יהוסף בן יחיאל</t>
  </si>
  <si>
    <t>[תרפ"ד,</t>
  </si>
  <si>
    <t>לב העיברי - ב</t>
  </si>
  <si>
    <t>סופר, משה בן שמואל - שלזינגר, עקיבה יוסף בן יחיאל</t>
  </si>
  <si>
    <t>לב העיברי - 2 כר'</t>
  </si>
  <si>
    <t>שלזינגר, עקיבא יהוסף בן יחיאל</t>
  </si>
  <si>
    <t>תרל"ג - תרל"ד</t>
  </si>
  <si>
    <t>לב ולשון</t>
  </si>
  <si>
    <t>גולדפארב, שלמה דוד</t>
  </si>
  <si>
    <t>לב חיים</t>
  </si>
  <si>
    <t>ביטון, חיים</t>
  </si>
  <si>
    <t>לב חיים - 3 כר'</t>
  </si>
  <si>
    <t>תקפ"ג - תר"נ</t>
  </si>
  <si>
    <t>לב חכם לימינו</t>
  </si>
  <si>
    <t>לב חכם על ספר תורת חכם - 4 כר'</t>
  </si>
  <si>
    <t>לב חכם - 2 כר'</t>
  </si>
  <si>
    <t>לב חכמים</t>
  </si>
  <si>
    <t>לב חנון - 2 כר'</t>
  </si>
  <si>
    <t>מימון, אברהם בן חנון</t>
  </si>
  <si>
    <t>לב טהור</t>
  </si>
  <si>
    <t>פינצוק, אליהו בן פייבל</t>
  </si>
  <si>
    <t>[תר"ס],</t>
  </si>
  <si>
    <t>לב טהור - 2 כר'</t>
  </si>
  <si>
    <t>פרנס, אביגדור בן שמשון</t>
  </si>
  <si>
    <t>לב טוב</t>
  </si>
  <si>
    <t>תרס"ד - תשל"ה</t>
  </si>
  <si>
    <t>לובלין - ירושלים</t>
  </si>
  <si>
    <t>מימון, משה</t>
  </si>
  <si>
    <t>לב יאושע</t>
  </si>
  <si>
    <t>מוסאפיה, יהושע שלומיאל עובדיה ידידיה בן חיים יצחק</t>
  </si>
  <si>
    <t>לב יהודה</t>
  </si>
  <si>
    <t>אבלס, יום טוב יהודה בן אברהם צבי</t>
  </si>
  <si>
    <t>לב יהודה - 2 כר'</t>
  </si>
  <si>
    <t>לב יוסף</t>
  </si>
  <si>
    <t>ארנסט, חיים יוסף ליב בן צבי הירש</t>
  </si>
  <si>
    <t>לב ים</t>
  </si>
  <si>
    <t>ברקמאן, יחיאל מיכל בן יצחק</t>
  </si>
  <si>
    <t>לב ים - 5 כר'</t>
  </si>
  <si>
    <t>לב ים - 2 כר'</t>
  </si>
  <si>
    <t>כולל זכרון יעקב מנחם</t>
  </si>
  <si>
    <t>רבינוביץ, יצחק מרדכי</t>
  </si>
  <si>
    <t>לב יצחק - ביאור לתרגום יוב"ע - יהושע, שופטים</t>
  </si>
  <si>
    <t>בלאו, יצחק ליב בן ברוך</t>
  </si>
  <si>
    <t>לב יצחק</t>
  </si>
  <si>
    <t>וויינהויז, יצחק בן אהרון</t>
  </si>
  <si>
    <t>לב ישראל</t>
  </si>
  <si>
    <t>לב לדעת - 5 כר'</t>
  </si>
  <si>
    <t>זוין, אהרן מרדכי</t>
  </si>
  <si>
    <t>לב מבין - פני מבין</t>
  </si>
  <si>
    <t>בירדוגו, מימון בן רפאל</t>
  </si>
  <si>
    <t>לב מבין</t>
  </si>
  <si>
    <t>נאבארו, בכור יצחק בן יעקב</t>
  </si>
  <si>
    <t>סאלם, יוסף</t>
  </si>
  <si>
    <t>לב מלכים</t>
  </si>
  <si>
    <t>חדאד, אוהד</t>
  </si>
  <si>
    <t>לב מנחם</t>
  </si>
  <si>
    <t>הורוויץ, אברהם מנחם בן יעקב שרגא</t>
  </si>
  <si>
    <t>לב מפרשי התלמוד - 2 כר'</t>
  </si>
  <si>
    <t>לב מרדכי</t>
  </si>
  <si>
    <t>לוריא, מרדכי בן שמואל בער</t>
  </si>
  <si>
    <t>צוקרמן, מרדכי לייב</t>
  </si>
  <si>
    <t>לב מרפ"א</t>
  </si>
  <si>
    <t>פאניז'יל, רפאל מאיר בן יהודה</t>
  </si>
  <si>
    <t>לב משה</t>
  </si>
  <si>
    <t>ברנשטיין, משה בנימין בן נחמן לייב</t>
  </si>
  <si>
    <t>זילבר, משה מנחם בן יחיאל אברהם</t>
  </si>
  <si>
    <t>לב משה - 2 כר'</t>
  </si>
  <si>
    <t>פרידמן, אברהם משה הכהן</t>
  </si>
  <si>
    <t>לב נאמן</t>
  </si>
  <si>
    <t>נדלר, אברהם מנדל</t>
  </si>
  <si>
    <t>לב נשבר</t>
  </si>
  <si>
    <t>אבולעפיא, יצחק בן משה</t>
  </si>
  <si>
    <t>לב צדיק</t>
  </si>
  <si>
    <t>טוויל, דניאל בן יוסף מעלי הכהן</t>
  </si>
  <si>
    <t>לב ציון</t>
  </si>
  <si>
    <t>לפיינסקי, אריה ליב הלוי</t>
  </si>
  <si>
    <t>לב רחב &lt;על הש"ס&gt; - 3 כר'</t>
  </si>
  <si>
    <t>בוכריס, רחמים בן משה</t>
  </si>
  <si>
    <t>לב רחב &lt;על התורה&gt; - 2 כר'</t>
  </si>
  <si>
    <t>לב רחב - 6 כר'</t>
  </si>
  <si>
    <t>לב שומע &lt;מהדורה חדשה&gt;</t>
  </si>
  <si>
    <t>לב שומע לשלמה - 2 כר'</t>
  </si>
  <si>
    <t>דיכובסקי, שלמה בן שמעיה</t>
  </si>
  <si>
    <t>לב שומע</t>
  </si>
  <si>
    <t>לב שומע - 8 כר'</t>
  </si>
  <si>
    <t>לב שלום</t>
  </si>
  <si>
    <t>כהן, שלום בן אפרים</t>
  </si>
  <si>
    <t>לב שלם</t>
  </si>
  <si>
    <t>לב שלמה</t>
  </si>
  <si>
    <t>הלוי, שלמה בן בנימין</t>
  </si>
  <si>
    <t>קליין, שלמה זלמן צבי</t>
  </si>
  <si>
    <t>לב שמח החדש - 2 כר'</t>
  </si>
  <si>
    <t>חסידות, תולדות עם ישראל, תפלות בקשות פיוטים ושירה</t>
  </si>
  <si>
    <t>לב שמח יטיב פנים</t>
  </si>
  <si>
    <t>לב שמח ייטיב פנים</t>
  </si>
  <si>
    <t>לב שמח - רוח יעקב</t>
  </si>
  <si>
    <t>אליגרי, אברהם בן שלמה - קורונה, יעקב אשכנזי די</t>
  </si>
  <si>
    <t>לב שמח</t>
  </si>
  <si>
    <t>אליגרי, אברהם בן שלמה</t>
  </si>
  <si>
    <t>לב שמח - פורים</t>
  </si>
  <si>
    <t>תפילות. סידור. תרכ"ב. לבוב</t>
  </si>
  <si>
    <t>תרכ"ב הק'</t>
  </si>
  <si>
    <t>לב שמח, ראש שמחתי</t>
  </si>
  <si>
    <t>לב שמחה &lt;שו"ת&gt;</t>
  </si>
  <si>
    <t>לב שמחה</t>
  </si>
  <si>
    <t>לבאר שבע - שבע מצות בני נח</t>
  </si>
  <si>
    <t>לבב דוד</t>
  </si>
  <si>
    <t>לבב דוד - 4 כר'</t>
  </si>
  <si>
    <t>קסטרו, דוד בן קלמנט</t>
  </si>
  <si>
    <t>לבב חכמה &lt;על התורה&gt; - א</t>
  </si>
  <si>
    <t>וייס, ברוך</t>
  </si>
  <si>
    <t>לבב חכמה</t>
  </si>
  <si>
    <t>לבב ימים</t>
  </si>
  <si>
    <t>טננבוים, יצחק מתתיהו</t>
  </si>
  <si>
    <t>לבב שלם</t>
  </si>
  <si>
    <t>לבוב - אנציקלופדיה של גלויות</t>
  </si>
  <si>
    <t>לבון הלכה - 2 כר'</t>
  </si>
  <si>
    <t>לבונה זכה &lt;המבואר&gt;</t>
  </si>
  <si>
    <t>לבונה זכה - 2 כר'</t>
  </si>
  <si>
    <t>לבונה זכה</t>
  </si>
  <si>
    <t>לבונת המנחה &lt;על מנחת חינוך&gt; - 5 כר'</t>
  </si>
  <si>
    <t>אברמוביץ, יהודה זאב בן פנחס</t>
  </si>
  <si>
    <t>לבוש הארון</t>
  </si>
  <si>
    <t>הלמן, מאיר הלוי</t>
  </si>
  <si>
    <t>לבוש יוסף &lt;מועדים&gt; - 2 כר'</t>
  </si>
  <si>
    <t>ישר, יוסף</t>
  </si>
  <si>
    <t>לבוש יוסף &lt;על השמחות&gt; - 4 כר'</t>
  </si>
  <si>
    <t>לבוש יוסף &lt;על התורה&gt; - 5 כר'</t>
  </si>
  <si>
    <t>לבוש יוסף</t>
  </si>
  <si>
    <t>זכאי, יוסף בן אברהם</t>
  </si>
  <si>
    <t>לבוש יוסף - 4 כר'</t>
  </si>
  <si>
    <t>לבוש ישע &lt;מהדורה חדשה&gt;</t>
  </si>
  <si>
    <t>אפשטיין, ישעיהו בן אברהם</t>
  </si>
  <si>
    <t>לבוש ישע</t>
  </si>
  <si>
    <t>לבוש מחלצות</t>
  </si>
  <si>
    <t>מאיר, רפאל בן אשר</t>
  </si>
  <si>
    <t>לבוש מלכות &lt;ונציה ש"פ&gt; - 3 כר'</t>
  </si>
  <si>
    <t>יפה, מרדכי בן אברהם</t>
  </si>
  <si>
    <t>ש"פ - שפ"א</t>
  </si>
  <si>
    <t>לבוש מלכות</t>
  </si>
  <si>
    <t>ברנשטיין, מרדכי בן טוביה</t>
  </si>
  <si>
    <t>שאר ספרי חז"ל, תלמוד בבלי, תלמוד בבלי, תנ"ך</t>
  </si>
  <si>
    <t>לבוש מלכות - 6 כר'</t>
  </si>
  <si>
    <t>לבוש מרדכי - 8 כר'</t>
  </si>
  <si>
    <t>אפשטיין, משה מרדכי בן צבי חיים</t>
  </si>
  <si>
    <t>לבוש מרדכי - 2 כר'</t>
  </si>
  <si>
    <t>הומינר, יעקב שמואל</t>
  </si>
  <si>
    <t>לבוש צדק</t>
  </si>
  <si>
    <t>יצחק גבריאל בן שלמה הכהן</t>
  </si>
  <si>
    <t>לבושה של תורה - 2 כר'</t>
  </si>
  <si>
    <t>פלק, פסח אליהו בן אברהם צבי</t>
  </si>
  <si>
    <t>לבושי אהרן - 3 כר'</t>
  </si>
  <si>
    <t>טייטלבוים, אהרן בן חנניא יו"ט ליפא</t>
  </si>
  <si>
    <t>לבושי אור יקרות (ריקאנטי) - 2 כר'</t>
  </si>
  <si>
    <t>לבושי אור יקרות (ריקאנטי)</t>
  </si>
  <si>
    <t>(שנ"ה)</t>
  </si>
  <si>
    <t>לבושי בדים</t>
  </si>
  <si>
    <t>לבושי האריה</t>
  </si>
  <si>
    <t>לבושי חושן - 4 כר'</t>
  </si>
  <si>
    <t>אסחייק, מאיר בן דניאל</t>
  </si>
  <si>
    <t>לבושי יהודה - בראשית</t>
  </si>
  <si>
    <t>מקובר,יהודה ליב</t>
  </si>
  <si>
    <t>לבושי יום טוב - 4 כר'</t>
  </si>
  <si>
    <t>טייטלבוים, חנניא יום טוב ליפא</t>
  </si>
  <si>
    <t>לבושי יוסף - על הלכות כלאי בגדים להרא"ש</t>
  </si>
  <si>
    <t>סטפנסקי, יוסף שלמה</t>
  </si>
  <si>
    <t>לבושי מכלול</t>
  </si>
  <si>
    <t>לבושי מרדכי &lt;מהדורה חדשה&gt; - 4 כר'</t>
  </si>
  <si>
    <t>לבושי מרדכי - 7 כר'</t>
  </si>
  <si>
    <t>לבושי צדקה</t>
  </si>
  <si>
    <t>הלכה ומנהג, נושאים שונים, סוגיות, שלחן ערוך ומפרשיו</t>
  </si>
  <si>
    <t>לבושי שרד - תבואות שור</t>
  </si>
  <si>
    <t>אייבשיץ, דוד שלמה בן ירחמיאל - שור, אלכסנדר סנדר בן אפרים זלמן</t>
  </si>
  <si>
    <t>לבושי שרד - 7 כר'</t>
  </si>
  <si>
    <t>לבי במזרח</t>
  </si>
  <si>
    <t>אברהם, דוד בן אברהם (עורך)</t>
  </si>
  <si>
    <t>הונג קונג</t>
  </si>
  <si>
    <t>לבי ובשרי ירננו</t>
  </si>
  <si>
    <t>לבי ער</t>
  </si>
  <si>
    <t>עמאר, ראובן</t>
  </si>
  <si>
    <t>לבי שמח</t>
  </si>
  <si>
    <t>לבירור שאלת חליבה בשבת</t>
  </si>
  <si>
    <t>לבית יעקב - 3 כר'</t>
  </si>
  <si>
    <t>יוסף, יעקב בן דוב בר</t>
  </si>
  <si>
    <t>לבית ישראל</t>
  </si>
  <si>
    <t>תפילות. שונות</t>
  </si>
  <si>
    <t>לבן הישיבה</t>
  </si>
  <si>
    <t>לבנה בחידושה</t>
  </si>
  <si>
    <t>שוב, אהרן בן צבי דוד</t>
  </si>
  <si>
    <t>לבנו ישמח - ויקרא</t>
  </si>
  <si>
    <t>לבנון נטע &lt;מהדורה חדשה&gt;</t>
  </si>
  <si>
    <t>לבנון נטע</t>
  </si>
  <si>
    <t>לבנות בית נאמן</t>
  </si>
  <si>
    <t>יונגרמן, מרדכי בן שלום מאיר</t>
  </si>
  <si>
    <t>לבני בנימן &lt;דברי יעקב&gt;</t>
  </si>
  <si>
    <t>דיסקין, ישראל אברהם שמואל בן בנימין</t>
  </si>
  <si>
    <t>לבני בנימן</t>
  </si>
  <si>
    <t>לבני ישראל &lt;מכת"י&gt;</t>
  </si>
  <si>
    <t>פייבלזון, ישראל בנימין בנדט בן ברוך</t>
  </si>
  <si>
    <t>לבני ישראל</t>
  </si>
  <si>
    <t>לבני ישראל - 2 כר'</t>
  </si>
  <si>
    <t>שטול, ישראל בן אשר אנטשל</t>
  </si>
  <si>
    <t>לבני מנשה  (מתוך גבול מנשה)</t>
  </si>
  <si>
    <t>לבניכם ספרו</t>
  </si>
  <si>
    <t>צדוק, גלעד בן סימן</t>
  </si>
  <si>
    <t>לבנימין אמר</t>
  </si>
  <si>
    <t>בוסקוביץ, בנימין זאב וולף בן שמואל הלוי</t>
  </si>
  <si>
    <t>גליאן, בנימין</t>
  </si>
  <si>
    <t>גרינגרס, בנימין אברהם</t>
  </si>
  <si>
    <t>חדאד, בנימין</t>
  </si>
  <si>
    <t>לבנת הספיר</t>
  </si>
  <si>
    <t>אנג'לינו, יוסף</t>
  </si>
  <si>
    <t>לבסומי בפוריא</t>
  </si>
  <si>
    <t>טיגרמן, עמרם</t>
  </si>
  <si>
    <t>לבקר בהיכלו - על הרב בן ציון פריימן</t>
  </si>
  <si>
    <t>פלהיימר, מיכל</t>
  </si>
  <si>
    <t>לבקר בהיכלו - 2 כר'</t>
  </si>
  <si>
    <t>קובץ לימוד</t>
  </si>
  <si>
    <t>לבקר רינה - 3 כר'</t>
  </si>
  <si>
    <t>ברנשטיין, משה מאיר</t>
  </si>
  <si>
    <t>לברית הבט</t>
  </si>
  <si>
    <t>לבת ישראל - 2 כר'</t>
  </si>
  <si>
    <t>לגדור פרץ</t>
  </si>
  <si>
    <t>לגלות את האור הפנימי</t>
  </si>
  <si>
    <t>ברוד, מנחם</t>
  </si>
  <si>
    <t>לדובר מישרים</t>
  </si>
  <si>
    <t>קרמר, יהודה משה בן אברהם</t>
  </si>
  <si>
    <t>לדוד אמת - 4 כר'</t>
  </si>
  <si>
    <t>תק"ף</t>
  </si>
  <si>
    <t>לדוד ברוך</t>
  </si>
  <si>
    <t>אזוג, דוד בן ברוך הכהן</t>
  </si>
  <si>
    <t>לדוד ה' אורי וישעי</t>
  </si>
  <si>
    <t>סופר, שמואל יעקב בן ישעיהו אברהם הלוי</t>
  </si>
  <si>
    <t>לדוד ולזרעו</t>
  </si>
  <si>
    <t>חש'מ</t>
  </si>
  <si>
    <t>שנבלג, דוד צבי</t>
  </si>
  <si>
    <t>מנשסטר</t>
  </si>
  <si>
    <t>לדוד מזמור - פיוטי דוד הנשיא</t>
  </si>
  <si>
    <t>דוד בן יחזקיהו ראש הגולה</t>
  </si>
  <si>
    <t>לדוד מזמור - נשים</t>
  </si>
  <si>
    <t>וילמובסקי, דוד</t>
  </si>
  <si>
    <t>לדוד עד עולם [לנדאו]</t>
  </si>
  <si>
    <t>לדוד צבי &lt;ספר היובל לרד"צ הופמן&gt; - 3 כר'</t>
  </si>
  <si>
    <t>לדוד שיר</t>
  </si>
  <si>
    <t>אלבז, אשר בן דוד</t>
  </si>
  <si>
    <t>לדופקי בתשובה</t>
  </si>
  <si>
    <t>טיגר, אורי הכהן</t>
  </si>
  <si>
    <t>לדופקי בתשובה - 2 כר'</t>
  </si>
  <si>
    <t>מערכת לדופקי בתשובה</t>
  </si>
  <si>
    <t>לדור אחרון</t>
  </si>
  <si>
    <t>אגודת הרבנים בארצות הברית וקנדה</t>
  </si>
  <si>
    <t>לדורותם - 5 כר'</t>
  </si>
  <si>
    <t>קהל עדת חסידי נדבורנה ירושלים</t>
  </si>
  <si>
    <t>לדורשי האמת - פאה נכרית</t>
  </si>
  <si>
    <t>לדמותו של חסיד</t>
  </si>
  <si>
    <t>לדעת בארץ דרכך</t>
  </si>
  <si>
    <t>גרינולד, יהודה</t>
  </si>
  <si>
    <t>לדעת חכמה ומוסר</t>
  </si>
  <si>
    <t>בן יוסף, סעדיה</t>
  </si>
  <si>
    <t>נס ציונה</t>
  </si>
  <si>
    <t>לדעת חכמה ומוסר - 2 כר'</t>
  </si>
  <si>
    <t>עטייה, ניסים יעקב בן ישועה</t>
  </si>
  <si>
    <t>לדעת לכתוב</t>
  </si>
  <si>
    <t>חיטובסקי, ירוחם</t>
  </si>
  <si>
    <t>לדעת ללמוד</t>
  </si>
  <si>
    <t>לדרך הציון וההפניה בשמות מסכתות ופרקים אצל הראשונים  -  תדפיס</t>
  </si>
  <si>
    <t>לדרש אלהים - 3 כר'</t>
  </si>
  <si>
    <t>לה' הארץ ומלואה - 3 כר'</t>
  </si>
  <si>
    <t>להאיר באור החיים - ב</t>
  </si>
  <si>
    <t>כולל בני תורה</t>
  </si>
  <si>
    <t>להאיר באור החיים - 5 כר'</t>
  </si>
  <si>
    <t>להאיר מתוך חשכה</t>
  </si>
  <si>
    <t>גוטמן, יוסף</t>
  </si>
  <si>
    <t>להאיר - חנוכה</t>
  </si>
  <si>
    <t>דומב, יונתן שרגא</t>
  </si>
  <si>
    <t>להאיר - 2 כר'</t>
  </si>
  <si>
    <t>להב אש - 2 כר'</t>
  </si>
  <si>
    <t>זיכלינסקי, אפרים מאיר גד בן חנוך סעדיה</t>
  </si>
  <si>
    <t>להבדיל בין תכלת לארגמן</t>
  </si>
  <si>
    <t>טיטלבוים, שלמה</t>
  </si>
  <si>
    <t>להבות אש - אלול תשרי</t>
  </si>
  <si>
    <t>להבות אש - תשע"ח</t>
  </si>
  <si>
    <t>להבות באמריקה</t>
  </si>
  <si>
    <t>להבות קודש</t>
  </si>
  <si>
    <t>להבין ולהשכיל - 4 כר'</t>
  </si>
  <si>
    <t>כולל פתחי שערים</t>
  </si>
  <si>
    <t>קובץ בית מדרש נר ישראל</t>
  </si>
  <si>
    <t>להבין ולהשכיל</t>
  </si>
  <si>
    <t>להבין צורתא דשמעתתא - 2 כר'</t>
  </si>
  <si>
    <t>שאול, שלמה בן יהושע</t>
  </si>
  <si>
    <t>להבין שמועות - 4 כר'</t>
  </si>
  <si>
    <t>להבין שמועות - שבת ב</t>
  </si>
  <si>
    <t>טורצין, חזקיה אברהם ישעיה בן יהושע חנן</t>
  </si>
  <si>
    <t>להבין שמועות - 6 כר'</t>
  </si>
  <si>
    <t>מעש, יהודה ליב בן דב</t>
  </si>
  <si>
    <t>להבין - ליל הסדר, הגדה של פסח</t>
  </si>
  <si>
    <t>שווב, אהרן בן מנשה</t>
  </si>
  <si>
    <t>להבת אש - שבועות</t>
  </si>
  <si>
    <t>שטרן, אהרן</t>
  </si>
  <si>
    <t>להבת דוד - 6 כר'</t>
  </si>
  <si>
    <t>להגות באמרי שפר</t>
  </si>
  <si>
    <t>אייזנטל, נפתלי הרצל</t>
  </si>
  <si>
    <t>להגיד בבוקר חסדך</t>
  </si>
  <si>
    <t>צאצאי משפחת אברמס</t>
  </si>
  <si>
    <t>להגיד - 4 כר'</t>
  </si>
  <si>
    <t>אריאל, יעקב אריה בן משה  (עורך)</t>
  </si>
  <si>
    <t>להדליק ולברך</t>
  </si>
  <si>
    <t>להודות ולבקש</t>
  </si>
  <si>
    <t>לנדאו, מ</t>
  </si>
  <si>
    <t>להודות ולהלל - חנוכה</t>
  </si>
  <si>
    <t>להודות ולהלל - אוצר ההלכה והדרוש על הלל</t>
  </si>
  <si>
    <t>להודות ולהלל - 3 כר'</t>
  </si>
  <si>
    <t>וינברגר, נחום עזריאל אלימלך</t>
  </si>
  <si>
    <t>להודות ולהלל</t>
  </si>
  <si>
    <t>פיינברג, עקביא דב</t>
  </si>
  <si>
    <t>להודות ולשבח - 2 כר'</t>
  </si>
  <si>
    <t>מן, רפאל משה בן מרדכי ליב</t>
  </si>
  <si>
    <t>להודות לה'</t>
  </si>
  <si>
    <t>להודיע שכל קוויך לא יבושו</t>
  </si>
  <si>
    <t>להוסיף לקח ופלפול</t>
  </si>
  <si>
    <t>להורות חכמה ומשפט</t>
  </si>
  <si>
    <t>כהן, תמיר שלמה בן ציון</t>
  </si>
  <si>
    <t>להורות לפניו - נגעים</t>
  </si>
  <si>
    <t>מרגנשטרן, יהודה חיים</t>
  </si>
  <si>
    <t>להורות נתן &lt;מועדים&gt; - 5 כר'</t>
  </si>
  <si>
    <t>להורות נתן &lt;תורה&gt; - 5 כר'</t>
  </si>
  <si>
    <t>להורות נתן - 21 כר'</t>
  </si>
  <si>
    <t>להחזרת עטרה ליושנה בעשית הגבהת ס"ת כהלכתה</t>
  </si>
  <si>
    <t>להחיות רוח ולב</t>
  </si>
  <si>
    <t>להט החרב המתהפכת</t>
  </si>
  <si>
    <t>דרושים, הלכה ומנהג, מחשבה ומוסר, נושאים שונים, תלמוד בבלי</t>
  </si>
  <si>
    <t>להט החרב</t>
  </si>
  <si>
    <t>פדר, טוביה בן צבי הירש</t>
  </si>
  <si>
    <t>להיות בשמחה תמיד</t>
  </si>
  <si>
    <t>להכות שורש</t>
  </si>
  <si>
    <t>וסרמן, אברהם - הנקין, איתם</t>
  </si>
  <si>
    <t>להמשיך לחיות</t>
  </si>
  <si>
    <t>טרביס, דניאל יעקב בן פסח</t>
  </si>
  <si>
    <t>להנחיל אהבי יש</t>
  </si>
  <si>
    <t>להנחיל אוהבי יש - 3 כר'</t>
  </si>
  <si>
    <t>טוויל, יעקב שמואל בן משה הכהן</t>
  </si>
  <si>
    <t>להנחיל לדורות</t>
  </si>
  <si>
    <t>פרקי הכנה למסעות בני הנוער לפולין</t>
  </si>
  <si>
    <t>להניח ברכה - עמ"ס חלה</t>
  </si>
  <si>
    <t>ברוק, יהונתן יהושע בן יוסף</t>
  </si>
  <si>
    <t>להניח ברכה</t>
  </si>
  <si>
    <t>להסיר המסוה</t>
  </si>
  <si>
    <t>נטורי קרתא</t>
  </si>
  <si>
    <t>להעיר להורות ולהשכיל - 4 כר'</t>
  </si>
  <si>
    <t>דומב, יונתן שרגא בן יוסף</t>
  </si>
  <si>
    <t>להצדיק קודש</t>
  </si>
  <si>
    <t>דרושים, נושאים שונים, שאר ספרי חז"ל</t>
  </si>
  <si>
    <t>להקים לאחיו שם</t>
  </si>
  <si>
    <t>להקים שם</t>
  </si>
  <si>
    <t>להשאר יהודי</t>
  </si>
  <si>
    <t>זילבר, יצחק</t>
  </si>
  <si>
    <t>להשיב לשואלנו</t>
  </si>
  <si>
    <t>ועד העוסקים בישוב הארץ</t>
  </si>
  <si>
    <t>להתגבר - מכתבי נחמיה לנחום (להפיג יגון מלב)</t>
  </si>
  <si>
    <t>להתעלות - א</t>
  </si>
  <si>
    <t>גינצבורג, זאב</t>
  </si>
  <si>
    <t>להתענג על ה'</t>
  </si>
  <si>
    <t>להתענג</t>
  </si>
  <si>
    <t>להתענג - 2 כר'</t>
  </si>
  <si>
    <t>להתענג - 6 כר'</t>
  </si>
  <si>
    <t>צימרוט, יהודה</t>
  </si>
  <si>
    <t>להתפרנס</t>
  </si>
  <si>
    <t>מכון טעם ודעת</t>
  </si>
  <si>
    <t>שמן, נחמן</t>
  </si>
  <si>
    <t>לוח אוצר החכמה ועשר עולמים</t>
  </si>
  <si>
    <t>קארטוזינסקי, אהרן אליעזר</t>
  </si>
  <si>
    <t>לוח ארז החדש</t>
  </si>
  <si>
    <t>קונשטאט, יצחק בן אליעזר ליפמאן</t>
  </si>
  <si>
    <t>לוח ארז - 2 כר'</t>
  </si>
  <si>
    <t>תרמ"ו - תר"נ</t>
  </si>
  <si>
    <t>לוח ארץ ישראל על מאה וחמשים שנה</t>
  </si>
  <si>
    <t>ברנשטיין, אברהם חיים</t>
  </si>
  <si>
    <t>לוח ארץ ישראל - 15 כר'</t>
  </si>
  <si>
    <t>לונץ, אברהם משה בן צבי</t>
  </si>
  <si>
    <t>לוח ארש &lt;מהדורת אוצרנו&gt;</t>
  </si>
  <si>
    <t>טורנטו - ירושלים</t>
  </si>
  <si>
    <t>לוח ארש</t>
  </si>
  <si>
    <t>לוח בכורי יוסף - 2 כר'</t>
  </si>
  <si>
    <t>קלר, חיים - בן דוד, דרור</t>
  </si>
  <si>
    <t>לוח ברכות</t>
  </si>
  <si>
    <t>לוח דבר בעתו - 38 כר'</t>
  </si>
  <si>
    <t>גנוט, מרדכי</t>
  </si>
  <si>
    <t>לוח דינים ומנהגים לק"ק יוצאי לוב - תשע"ה</t>
  </si>
  <si>
    <t>זרוק, רפאל</t>
  </si>
  <si>
    <t>לוח דף היומי - 2 כר'</t>
  </si>
  <si>
    <t>הוצאת נצח</t>
  </si>
  <si>
    <t>לוח ההלכות והמנהגים - 13 כר'</t>
  </si>
  <si>
    <t>זלזניק, אליהו אשר</t>
  </si>
  <si>
    <t>לוח הזמנים כהלכתם - תש"פ</t>
  </si>
  <si>
    <t>לוח היובל של עזרת תורה</t>
  </si>
  <si>
    <t>לוח הלוחות של המאה העשרים</t>
  </si>
  <si>
    <t>זדאק, יעקב</t>
  </si>
  <si>
    <t>לוח הלכות ומנהגים - 2 כר'</t>
  </si>
  <si>
    <t>אבוזגלו, עמרם</t>
  </si>
  <si>
    <t>לוח המועדים וראשי חדשים</t>
  </si>
  <si>
    <t>וויזינו, עזרא בן יוסף</t>
  </si>
  <si>
    <t>שמ"ד</t>
  </si>
  <si>
    <t>לוח המוקצה</t>
  </si>
  <si>
    <t>בן צור, יהונתן בן שלום</t>
  </si>
  <si>
    <t>לוח הנץ ושקיעת החמה לרבי נתנאל סופר - ובסופו טבלה מעודכנת</t>
  </si>
  <si>
    <t>תפילנסקי, נתנאל - סופר, דוד אהרן בן יעקב חיים</t>
  </si>
  <si>
    <t>לוח העיבור של שארית העולם</t>
  </si>
  <si>
    <t>נחמייאס, שלמה</t>
  </si>
  <si>
    <t>לוח הפעלים המשכלל</t>
  </si>
  <si>
    <t>יאנקילבסקי, א</t>
  </si>
  <si>
    <t>לודז,</t>
  </si>
  <si>
    <t>לוח הפעלים השלם</t>
  </si>
  <si>
    <t>ברקלי, שאול אהרן בן מרדכי</t>
  </si>
  <si>
    <t>לוח הפעלים</t>
  </si>
  <si>
    <t>מיכאל בן צבי יהונתן</t>
  </si>
  <si>
    <t>לוח השואה של יהדות פולין</t>
  </si>
  <si>
    <t>שציפאנסקי, ישראל שבתי בן אלחנן</t>
  </si>
  <si>
    <t>לוח התקון של  ט"ס שבספר משנה ברורה</t>
  </si>
  <si>
    <t>לוח זמן כהלכתו &lt;רוז'ין סאדיגורה&gt; - 4 כר'</t>
  </si>
  <si>
    <t>שפונד, ישראל בן שלמה זלמן</t>
  </si>
  <si>
    <t>לוח חרמון - תרפ"ה</t>
  </si>
  <si>
    <t>לוח חרמון</t>
  </si>
  <si>
    <t>לוח חשבון השנים של השופטים ומלכי ישראל ויהודה - 2 כר'</t>
  </si>
  <si>
    <t>לוח יומי למוסר ומידות</t>
  </si>
  <si>
    <t>לוח ירושלים - 10 כר'</t>
  </si>
  <si>
    <t>ברינקר, דב נתן</t>
  </si>
  <si>
    <t>לוח ירושלמי</t>
  </si>
  <si>
    <t>ירושלים. ישיבת זקני תלמידי חכמים הכללית</t>
  </si>
  <si>
    <t>לוח ל216 שנים תקמ"ה- תש"ס</t>
  </si>
  <si>
    <t>סלומון ויללהם פרוינד</t>
  </si>
  <si>
    <t>לוח לבך - א</t>
  </si>
  <si>
    <t>קובץ כולל לבו חפץ</t>
  </si>
  <si>
    <t>לוח למאה ועשרים שנה</t>
  </si>
  <si>
    <t>לוח למאה שנה</t>
  </si>
  <si>
    <t>לוח לקביעות השנים</t>
  </si>
  <si>
    <t>מוסאיוב, שלמה</t>
  </si>
  <si>
    <t>לוח לשנת תש"ז</t>
  </si>
  <si>
    <t>הצדקות המאוחדות בירושלים</t>
  </si>
  <si>
    <t>לוח לשנת תש"ח</t>
  </si>
  <si>
    <t>לוח לשנת תשמ"א</t>
  </si>
  <si>
    <t>לוח לשנת תשמ"ג</t>
  </si>
  <si>
    <t>לוח מעגל השנה &lt;סקווירא&gt; - 8 כר'</t>
  </si>
  <si>
    <t>אונגר, יששכר יואל</t>
  </si>
  <si>
    <t>לוח מתמידים - תשע"ז תשע"ח</t>
  </si>
  <si>
    <t>קהל עדת ירושלים</t>
  </si>
  <si>
    <t>לוח נחוץ לארבע מאות שנה</t>
  </si>
  <si>
    <t>צלניקר, נחום אריה בן יצחק צבי</t>
  </si>
  <si>
    <t>לוח עבודת היום - תשע"ד</t>
  </si>
  <si>
    <t>לוח עבודת היום</t>
  </si>
  <si>
    <t>לוח עברי טייטש - תר"ץ</t>
  </si>
  <si>
    <t>לוח עברי טייטש - תרע"ח</t>
  </si>
  <si>
    <t>new</t>
  </si>
  <si>
    <t>נווילנא</t>
  </si>
  <si>
    <t>לוח עזר לפירושים מתקופת הגאונים</t>
  </si>
  <si>
    <t>קימלמן, אריה</t>
  </si>
  <si>
    <t>לוח על כח שנה</t>
  </si>
  <si>
    <t>אופלאטקה, רחמים יוסף חיים בן יצחק</t>
  </si>
  <si>
    <t>לוח עץ חיים - תרצ"ב</t>
  </si>
  <si>
    <t>לוח עץ חיים</t>
  </si>
  <si>
    <t>לוח עקבי היום - 10 כר'</t>
  </si>
  <si>
    <t>שקו, יעקב</t>
  </si>
  <si>
    <t>לוח עתים לתורה</t>
  </si>
  <si>
    <t>לוחות ללימוד יומי</t>
  </si>
  <si>
    <t>לוח שנה עיתים לבינה - 434 כר'</t>
  </si>
  <si>
    <t>לוח שנת רנ"ג</t>
  </si>
  <si>
    <t>לוח קיר</t>
  </si>
  <si>
    <t>רנ"ו</t>
  </si>
  <si>
    <t>ברקו</t>
  </si>
  <si>
    <t>לוח שנתי לתכנית לימוד השולחן ערוך</t>
  </si>
  <si>
    <t>מנדלוביץ, נפתלי הירץ</t>
  </si>
  <si>
    <t>לוח תורת הארץ - תש"ח</t>
  </si>
  <si>
    <t>מדרש בני ציון</t>
  </si>
  <si>
    <t>לוחות אבן - 2 כר'</t>
  </si>
  <si>
    <t>פרידמן, אלחנן בן מאיר</t>
  </si>
  <si>
    <t>פרידמן, אלחנן</t>
  </si>
  <si>
    <t>לוחות אבנים</t>
  </si>
  <si>
    <t>לוחות העדות - 2 כר'</t>
  </si>
  <si>
    <t>צוזמיר, עוזר בן אברהם</t>
  </si>
  <si>
    <t>לוחות העיבור - 2 כר'</t>
  </si>
  <si>
    <t>הלוי, רפאל בן יעקב יוסף</t>
  </si>
  <si>
    <t>תקט"ז - תקי"ז</t>
  </si>
  <si>
    <t>לוחות ושברי לוחות</t>
  </si>
  <si>
    <t>קלוגמן, בן ציון (עורך)</t>
  </si>
  <si>
    <t>לוחות זכרון</t>
  </si>
  <si>
    <t>לוחות זמנים שביעית תשע"ה</t>
  </si>
  <si>
    <t>אוסף לוחות</t>
  </si>
  <si>
    <t>לוחות עדות</t>
  </si>
  <si>
    <t>לוחות שנה ישנים - 49 כר'</t>
  </si>
  <si>
    <t>לוח שנה. ונציה</t>
  </si>
  <si>
    <t>לוחות שנה ישנים - 9 כר'</t>
  </si>
  <si>
    <t>לוח שנה. זולצבאך</t>
  </si>
  <si>
    <t>זולצבאך</t>
  </si>
  <si>
    <t>לוחות שנה ישנים - 5 כר'</t>
  </si>
  <si>
    <t>לוח שנה. לאדינו</t>
  </si>
  <si>
    <t>בולגריה</t>
  </si>
  <si>
    <t>לוחות שנה ישנים - 68 כר'</t>
  </si>
  <si>
    <t>לוח שנה. לאדינו.</t>
  </si>
  <si>
    <t>שאלוניקי</t>
  </si>
  <si>
    <t>לוחות שנה ישנים - 7 כר'</t>
  </si>
  <si>
    <t>לוח שנה. ספרדית.</t>
  </si>
  <si>
    <t>מונטוידאו</t>
  </si>
  <si>
    <t>לוחות שנה ישנים - 2 כר'</t>
  </si>
  <si>
    <t>לוח שנה. פיורדא</t>
  </si>
  <si>
    <t>פיורדא</t>
  </si>
  <si>
    <t>לוחת עדות - 2 כר'</t>
  </si>
  <si>
    <t>לוית חן ואור יקרות</t>
  </si>
  <si>
    <t>אריה יהודה ליב בן שמואל גרשון</t>
  </si>
  <si>
    <t>לוית חן לראשך</t>
  </si>
  <si>
    <t>לוית חן - 2 כר'</t>
  </si>
  <si>
    <t>בנוונטו, עמנואל בן יקותיאל</t>
  </si>
  <si>
    <t>לוית חן</t>
  </si>
  <si>
    <t>לוית חן - 3 כר'</t>
  </si>
  <si>
    <t>לוית חן - משלי</t>
  </si>
  <si>
    <t>סינגר, חנוך הניך בן אהרן אליהו</t>
  </si>
  <si>
    <t>לוית חן - מעשרות</t>
  </si>
  <si>
    <t>פלס, מיכאל ישורון בן משה מאיר</t>
  </si>
  <si>
    <t>קובץ ישיבת לוית חן</t>
  </si>
  <si>
    <t>קוסובסקי, חינה בת בן ציון</t>
  </si>
  <si>
    <t>לוית חן - סוכה</t>
  </si>
  <si>
    <t>רודנסקי, יוחנן בן אברהם</t>
  </si>
  <si>
    <t>לולאות התכלת</t>
  </si>
  <si>
    <t>טייטלבוים, שלמה יעקב</t>
  </si>
  <si>
    <t>לזכר הר"ר שלום קלזאן</t>
  </si>
  <si>
    <t>גרידי, שמעון</t>
  </si>
  <si>
    <t>לזכר לישראל</t>
  </si>
  <si>
    <t>יחיאל מיכל בן צבי הירש ממינסק</t>
  </si>
  <si>
    <t>לזכר עולם</t>
  </si>
  <si>
    <t>מלול, שלמה</t>
  </si>
  <si>
    <t>לזכר תשעים ושלש מאחיותינו בפולין</t>
  </si>
  <si>
    <t>תל-אביב. הרבנות הראשית</t>
  </si>
  <si>
    <t>לזכרו של הרב משה אשר דורף</t>
  </si>
  <si>
    <t>דורף, משה אשר הכהן</t>
  </si>
  <si>
    <t>לזכרון עולם</t>
  </si>
  <si>
    <t>גרשטיין, יעקב</t>
  </si>
  <si>
    <t>לזכרון</t>
  </si>
  <si>
    <t>לזמן הזה - יום ירושלים</t>
  </si>
  <si>
    <t>לזמן חרותנו</t>
  </si>
  <si>
    <t>לחג החרות</t>
  </si>
  <si>
    <t>לחדשיו יבכר - ב</t>
  </si>
  <si>
    <t>לחושבי שמו</t>
  </si>
  <si>
    <t>יעקבזון, מרדכי עמרם</t>
  </si>
  <si>
    <t>לחושבי שמו - 4 כר'</t>
  </si>
  <si>
    <t>לחות אבנים</t>
  </si>
  <si>
    <t>תרמ"א-תרצ"ה</t>
  </si>
  <si>
    <t>לחזור בתשובה ע"פ המגילה</t>
  </si>
  <si>
    <t>כהן, ש</t>
  </si>
  <si>
    <t>לחזור בתשובה</t>
  </si>
  <si>
    <t>לחזות בנועם - 4 כר'</t>
  </si>
  <si>
    <t>לחזות בנועם - 8 כר'</t>
  </si>
  <si>
    <t>התאחדות החבורות צעירי סאדיגורה</t>
  </si>
  <si>
    <t>לחזות בנועם - תמורה</t>
  </si>
  <si>
    <t>לחזות בנעם - אורו של התלמוד הירושלמי</t>
  </si>
  <si>
    <t>ויצמן, ישי בן יהושע</t>
  </si>
  <si>
    <t>מעלות</t>
  </si>
  <si>
    <t>לחזות בנעם - 5 כר'</t>
  </si>
  <si>
    <t>נויפלד, משה עזריאל בן אליהו אברהם</t>
  </si>
  <si>
    <t>לחי ראי</t>
  </si>
  <si>
    <t>רוזן, אהרן יוסף</t>
  </si>
  <si>
    <t>לחי רואי</t>
  </si>
  <si>
    <t>רובי, אברהם יוסף בן מרדכי</t>
  </si>
  <si>
    <t>לחיות אל סף האושר</t>
  </si>
  <si>
    <t>ורנר, דוד</t>
  </si>
  <si>
    <t>לחיות אמונה</t>
  </si>
  <si>
    <t>לחיות במרחב אלוקי</t>
  </si>
  <si>
    <t>לחיות כהלכה</t>
  </si>
  <si>
    <t>לחיות עם הזמן - 5 כר'</t>
  </si>
  <si>
    <t>תש"ע - תשע"ב</t>
  </si>
  <si>
    <t>לחיים בירושלם</t>
  </si>
  <si>
    <t>לחישת שרף &lt;למען דעת כל עמי הארץ&gt;</t>
  </si>
  <si>
    <t>הנאו Hanau</t>
  </si>
  <si>
    <t>לחם אבירים &lt;מהדורה חדשה&gt; - 3 כר'</t>
  </si>
  <si>
    <t>בורגיל, אברהם בן עזוז</t>
  </si>
  <si>
    <t>לחם אבירים</t>
  </si>
  <si>
    <t>יעקב משה בן אברהם</t>
  </si>
  <si>
    <t>מגן, יעקב בן אברהם</t>
  </si>
  <si>
    <t>מועלם, דוד חי שאול משה סלימאן</t>
  </si>
  <si>
    <t>פישמאן, אלימלך בן ישראל</t>
  </si>
  <si>
    <t>לחם איש - לחם משנה</t>
  </si>
  <si>
    <t>לחם אשי &lt;מהדורה חדשה&gt; - 2 כר'</t>
  </si>
  <si>
    <t>וינגוט, שמואל יהודה - וינגוט, אפרים שרגא</t>
  </si>
  <si>
    <t>לחם אשי - בראשית</t>
  </si>
  <si>
    <t>נושאים שונים, תולדות עם ישראל, תולדות עם ישראל, תנ"ך</t>
  </si>
  <si>
    <t>לחם אשר - 2 כר'</t>
  </si>
  <si>
    <t>לחם בכורים</t>
  </si>
  <si>
    <t>קורזון, דוד גדעון בן פנחס</t>
  </si>
  <si>
    <t>לחם דמעה</t>
  </si>
  <si>
    <t>לחם הארץ</t>
  </si>
  <si>
    <t>לחם הבכורים</t>
  </si>
  <si>
    <t>תר"ל - תרל"א</t>
  </si>
  <si>
    <t>לחם הפנים &lt;מהדורה חדשה&gt;</t>
  </si>
  <si>
    <t>לחם הפנים</t>
  </si>
  <si>
    <t>לחם הפנים - 4 כר'</t>
  </si>
  <si>
    <t>תשל"א - תשל"ב</t>
  </si>
  <si>
    <t>לחם התמיד גביעי זהב</t>
  </si>
  <si>
    <t>האזענפעלד, יוסף יצחק</t>
  </si>
  <si>
    <t>לחם ושמלה &lt;מהדורה חדשה&gt;</t>
  </si>
  <si>
    <t>לחם ושמלה</t>
  </si>
  <si>
    <t>תר"י - תרט"ו</t>
  </si>
  <si>
    <t>לחם ושמלה - 2 כר'</t>
  </si>
  <si>
    <t>לחם חקי</t>
  </si>
  <si>
    <t>לחם חקי - 2 כר'</t>
  </si>
  <si>
    <t>לחם יהודה &lt;ר' יהודה לירמה&gt;</t>
  </si>
  <si>
    <t>לירמה, יהודה בן שמואל</t>
  </si>
  <si>
    <t>שי"ד - שט"ו</t>
  </si>
  <si>
    <t>לחם יהודה - 2 כר'</t>
  </si>
  <si>
    <t>זארקו, יהודה בן אברהם</t>
  </si>
  <si>
    <t>לחם לפי הטף - 2 כר'</t>
  </si>
  <si>
    <t>בוכבזא, יצחק חי בן גבריאל כמוס</t>
  </si>
  <si>
    <t>לחם מן השמים</t>
  </si>
  <si>
    <t>לחם מן השמים - 2 כר'</t>
  </si>
  <si>
    <t>תר"ה - תר"ח</t>
  </si>
  <si>
    <t>לחם משנה על מסכת אבות</t>
  </si>
  <si>
    <t>ליפשיץ, משה בן נח יצחק</t>
  </si>
  <si>
    <t>ת"ב</t>
  </si>
  <si>
    <t>לחם משנה - 2 כר'</t>
  </si>
  <si>
    <t>די בוטון, אברהם בן משה</t>
  </si>
  <si>
    <t>תס"ג - תע"ד</t>
  </si>
  <si>
    <t>לחם משנה - 5 כר'</t>
  </si>
  <si>
    <t>משנה, משנה, משנה, תלמוד בבלי, תלמוד ירושלמי</t>
  </si>
  <si>
    <t>לחם סתרים - 3 כר'</t>
  </si>
  <si>
    <t>סטרזבור Strasbourg</t>
  </si>
  <si>
    <t>טאיטאצאק, יוסף בן שלמה</t>
  </si>
  <si>
    <t>לחם עוני</t>
  </si>
  <si>
    <t>חסאן, רפאל</t>
  </si>
  <si>
    <t>לחם עני - דברות שלמה יהודה</t>
  </si>
  <si>
    <t>אינטראטר, שלמה יהודה</t>
  </si>
  <si>
    <t>דרושים, מועדי ישראל, משנה, משנה, נושאים שונים, שלחן ערוך ומפרשיו, תלמוד בבלי, תלמוד בבלי, תלמוד בבלי, תלמוד בבלי, תלמוד ירושלמי, תנ"ך</t>
  </si>
  <si>
    <t>לחם עני</t>
  </si>
  <si>
    <t>גייזלר, זאב חיים בן נתן יהודה</t>
  </si>
  <si>
    <t>לחם ערב (מתוך ברכת אברהם)</t>
  </si>
  <si>
    <t>לחם רב השלם</t>
  </si>
  <si>
    <t>לחם רב</t>
  </si>
  <si>
    <t>לחם רב - 2 כר'</t>
  </si>
  <si>
    <t>ליטש-רוזנבוים, משה בן גרשון הלוי</t>
  </si>
  <si>
    <t>קליינווארדיין</t>
  </si>
  <si>
    <t>שמואל בן יוסף יוסקה מלובלין</t>
  </si>
  <si>
    <t>לחם שלמה &lt;מכון הכתב&gt;</t>
  </si>
  <si>
    <t>לחם שלמה - 5 כר'</t>
  </si>
  <si>
    <t>לחם שלמה</t>
  </si>
  <si>
    <t>בולה, שלמה בן רפאל משה</t>
  </si>
  <si>
    <t>קוזניץ Kozienice</t>
  </si>
  <si>
    <t>לחם שמים - 6 כר'</t>
  </si>
  <si>
    <t>תצ"ג - תקכ"ח</t>
  </si>
  <si>
    <t>לחם שמן</t>
  </si>
  <si>
    <t>לחם שמנה</t>
  </si>
  <si>
    <t>רובין, מנשה בן אשר ישעיה</t>
  </si>
  <si>
    <t>לחם שערים</t>
  </si>
  <si>
    <t>בורנשטיין, יחיאל מיכל בן זרח</t>
  </si>
  <si>
    <t>שאול בן משה מקיידאן</t>
  </si>
  <si>
    <t>לחם תנופה</t>
  </si>
  <si>
    <t>לחם תרומה</t>
  </si>
  <si>
    <t>קרגלושקר, אהרן בן ישעיהו</t>
  </si>
  <si>
    <t>לחמה של תורה</t>
  </si>
  <si>
    <t>לחמי אבירים - הלכות נדה</t>
  </si>
  <si>
    <t>קליין, מרדכי בצלאל בן אלעזר</t>
  </si>
  <si>
    <t>לחמי ברכה - 2 כר'</t>
  </si>
  <si>
    <t>לחמי פסחים</t>
  </si>
  <si>
    <t>לחמי תודה</t>
  </si>
  <si>
    <t>באסאן, ישעיהו בן ישראל חזקיה</t>
  </si>
  <si>
    <t>לחמי תודה - 2 כר'</t>
  </si>
  <si>
    <t>לחמניות מזונות</t>
  </si>
  <si>
    <t>לחן ולכבוד</t>
  </si>
  <si>
    <t>קיהן, שחר</t>
  </si>
  <si>
    <t>מודיעין</t>
  </si>
  <si>
    <t>לחסידים מזמור</t>
  </si>
  <si>
    <t>לחקר ביאורי הגר"א</t>
  </si>
  <si>
    <t>הלכה ומנהג, משנה, משנה, נושאים שונים, שאר ספרי חז"ל</t>
  </si>
  <si>
    <t>לחקר התלמוד</t>
  </si>
  <si>
    <t>ווייס, אברהם בן דוב בר</t>
  </si>
  <si>
    <t>לחקר משפחות - 2 כר'</t>
  </si>
  <si>
    <t>הרכבי, צבי הירש גרשון בן יהודה ליב</t>
  </si>
  <si>
    <t>לחקר שאילתות רב אחאי גאון</t>
  </si>
  <si>
    <t>לחקר שמות וכינויים בתלמוד</t>
  </si>
  <si>
    <t>לחקרי הלכות - 2 כר'</t>
  </si>
  <si>
    <t>הלר, חיים בן ישראל</t>
  </si>
  <si>
    <t>לחש וקמע</t>
  </si>
  <si>
    <t>יצחקי, יצחק (עורך)</t>
  </si>
  <si>
    <t>לחשוב מחשבות</t>
  </si>
  <si>
    <t>באללאג, משה עזריאל בן יעקב</t>
  </si>
  <si>
    <t>גענף - שוויץ</t>
  </si>
  <si>
    <t>לי יהושיע, דבר בעתו</t>
  </si>
  <si>
    <t>ליבא בעי</t>
  </si>
  <si>
    <t>ליבון הברכה</t>
  </si>
  <si>
    <t>ליבון הלכות - 2 כר'</t>
  </si>
  <si>
    <t>שיינברגר, צבי הירש</t>
  </si>
  <si>
    <t>ליבון הלכתא - הגעלת כלים</t>
  </si>
  <si>
    <t>שץ, שמואל</t>
  </si>
  <si>
    <t>ליגמר איניש - כלים א</t>
  </si>
  <si>
    <t>ליד שלחן שבת - 5 כר'</t>
  </si>
  <si>
    <t>סלובטיצקי, שלמה</t>
  </si>
  <si>
    <t>ליהודה ויאמר</t>
  </si>
  <si>
    <t>גייגר, יחזקאל יוסף</t>
  </si>
  <si>
    <t>ליהודים היתה אורה</t>
  </si>
  <si>
    <t>ליום אתמול - 2 כר'</t>
  </si>
  <si>
    <t>ליטא - 2 כר'</t>
  </si>
  <si>
    <t>חסידה, שמואל - צינוביץ, משה</t>
  </si>
  <si>
    <t>ליטע - ב</t>
  </si>
  <si>
    <t>קולטור-געזעלשאפט פון ליטווישע יידן</t>
  </si>
  <si>
    <t>ליל שמורים</t>
  </si>
  <si>
    <t>לילה כיום יאיר</t>
  </si>
  <si>
    <t>באום, אברהם</t>
  </si>
  <si>
    <t>לילה כיום יאיר - ליל הסדר</t>
  </si>
  <si>
    <t>טננבוים, יעקב בן יצחק מתתיהו</t>
  </si>
  <si>
    <t>לימד דעת</t>
  </si>
  <si>
    <t>רוטברג, צבי בן זלמן</t>
  </si>
  <si>
    <t>לימוד בנושא - 2 כר'</t>
  </si>
  <si>
    <t>בריגה, רון</t>
  </si>
  <si>
    <t>לימוד החסידות בתומכי תמימים</t>
  </si>
  <si>
    <t>בטאון 'התמים'</t>
  </si>
  <si>
    <t>לימוד הפרשה בליקוטי תורה ותורה אור</t>
  </si>
  <si>
    <t>לימוד התורה</t>
  </si>
  <si>
    <t>לימוד וסדר הישיבה אשר בעה"ק חברון</t>
  </si>
  <si>
    <t>חברון. כנסת ישראל ועבודת הקודש וגמילות חסדים</t>
  </si>
  <si>
    <t>לימוד זכות</t>
  </si>
  <si>
    <t>לימוד סוגיא בתורה עפ"י המקורות - 17 כר'</t>
  </si>
  <si>
    <t>קופרמן, יהודה</t>
  </si>
  <si>
    <t>לימוד סודות התורה</t>
  </si>
  <si>
    <t>לימוד תורה בתימן</t>
  </si>
  <si>
    <t>לימודי אצילות</t>
  </si>
  <si>
    <t>לימודי דעה - 2 כר'</t>
  </si>
  <si>
    <t>פייבלזון, אלעזר יעקב חיים בן ברוך יוסף</t>
  </si>
  <si>
    <t>לימודי דעת - 5 כר'</t>
  </si>
  <si>
    <t>כולל טהרות בעיון</t>
  </si>
  <si>
    <t>לימודי דעת - 8 כר'</t>
  </si>
  <si>
    <t>כולל טהרות</t>
  </si>
  <si>
    <t>לימודי חול על טהרת הקודש</t>
  </si>
  <si>
    <t>לימודי ניסן - א</t>
  </si>
  <si>
    <t>אלפרט, ניסן ליפא</t>
  </si>
  <si>
    <t>לימודים שראוי ללמדם בישיבת שם ועבר</t>
  </si>
  <si>
    <t>ליצחק ריח</t>
  </si>
  <si>
    <t>ליקוט אמרים - 2 כר'</t>
  </si>
  <si>
    <t>תרפ"ב - תרצ"ה</t>
  </si>
  <si>
    <t>ליקוט אשת חיל</t>
  </si>
  <si>
    <t>שרייבר סופר, יוסף יצחק</t>
  </si>
  <si>
    <t>ליקוט בדיני הכשר כלים</t>
  </si>
  <si>
    <t>ליקוט בדיני תערובות</t>
  </si>
  <si>
    <t>בויאר, משה חיים  בן יואל יהודה</t>
  </si>
  <si>
    <t>ליקוט בענין בנין בית המקדש והקרבת קרבנות בזמן הזה</t>
  </si>
  <si>
    <t>ליקוט בעניני תורה ותפילה ועבודת השי"ת - 3 כר'</t>
  </si>
  <si>
    <t>קהל חסידי בויאן</t>
  </si>
  <si>
    <t>ליקוט ובירור בדין  איסור פינוי המתים</t>
  </si>
  <si>
    <t>ליקוט בדין איסור פינוי המתים</t>
  </si>
  <si>
    <t>ליקוט מספרי הרמ"ז על ספר הכוונות</t>
  </si>
  <si>
    <t>מושב בטחה</t>
  </si>
  <si>
    <t>ליקוט מראי מקומות על התורה ומועדים</t>
  </si>
  <si>
    <t>מוסדות טשערנוביל בני ברק</t>
  </si>
  <si>
    <t>ליקוט ספרי סת"ם</t>
  </si>
  <si>
    <t>ליקוט פירושי הקדמונים - ב"ק, ב"מ, ב"ב</t>
  </si>
  <si>
    <t>ליקוטי קדמונים</t>
  </si>
  <si>
    <t>ליקוט ראשונים - 21 כר'</t>
  </si>
  <si>
    <t>מכון ליקוט ראשונים תפרח</t>
  </si>
  <si>
    <t>תשמ"ג - תשנ"ז</t>
  </si>
  <si>
    <t>ליקוט שמחת נעים</t>
  </si>
  <si>
    <t>ליקוט תשובות בענין ביה"ק העתיק בבית שמש</t>
  </si>
  <si>
    <t>ליקוט תשובות</t>
  </si>
  <si>
    <t>ליקוט תשובות וחידושים מרבינו עקיבא איגר</t>
  </si>
  <si>
    <t>ליקוטי אבן, תפלות הבוקר</t>
  </si>
  <si>
    <t>וויינברג, אפרים בן נפתלי</t>
  </si>
  <si>
    <t>ליקוטי אברהם עטרת צבי</t>
  </si>
  <si>
    <t>ליקוטי אברהם - 2 כר'</t>
  </si>
  <si>
    <t>אברהם בן יצחק משוורזנץ</t>
  </si>
  <si>
    <t>ליקוטי אברהם</t>
  </si>
  <si>
    <t>ונגרובר, אברהם בן יהודה יוסף</t>
  </si>
  <si>
    <t>תרצ"א - הסכ'</t>
  </si>
  <si>
    <t>חסידות, נושאים שונים, תלמוד בבלי</t>
  </si>
  <si>
    <t>ליקוטי אגדה ומוסר - ב</t>
  </si>
  <si>
    <t>זילבר, מאיר טודרוס</t>
  </si>
  <si>
    <t>ליקוטי אגדה - 2 כר'</t>
  </si>
  <si>
    <t>מלין, יהודה יצחק בן פסח</t>
  </si>
  <si>
    <t>תש"ד-(הק' תש"ז)</t>
  </si>
  <si>
    <t>(חיפה),</t>
  </si>
  <si>
    <t>ליקוטי אהרן</t>
  </si>
  <si>
    <t>ללום, ישועה בן מכלוף ביבי</t>
  </si>
  <si>
    <t>ליקוטי אורה - 5 כר'</t>
  </si>
  <si>
    <t>קרית יואל</t>
  </si>
  <si>
    <t>ליקוטי אורות בענין הבטחון</t>
  </si>
  <si>
    <t>ליקוטי אלחנן - 7 כר'</t>
  </si>
  <si>
    <t>ברשינסקי, אלחנן הכהן</t>
  </si>
  <si>
    <t>ליקוטי אלחנן</t>
  </si>
  <si>
    <t>נוסבוים, חיים אלחנן</t>
  </si>
  <si>
    <t>ליקוטי אליהו</t>
  </si>
  <si>
    <t>קרית מוצקין</t>
  </si>
  <si>
    <t>ליקוטי אמונת עתיך - פורים</t>
  </si>
  <si>
    <t>ליקוטי אמרי אבות</t>
  </si>
  <si>
    <t>מועלם, יחזקאל מאיר בן רחמים</t>
  </si>
  <si>
    <t>ליקוטי אמרי אל - 4 כר'</t>
  </si>
  <si>
    <t>ליקוטי אמרי ט"ו בשבט</t>
  </si>
  <si>
    <t>ליקוטי אמרי יוסף - 3 כר'</t>
  </si>
  <si>
    <t>ליקוטי אמרים &lt;על פרק שירה&gt;</t>
  </si>
  <si>
    <t>אברהם בן יהודה ליב מברודי</t>
  </si>
  <si>
    <t>ליקוטי אמרים &lt;דפו"ר&gt; - 2 כר'</t>
  </si>
  <si>
    <t>תקנ"ו - תקנ"ז</t>
  </si>
  <si>
    <t>ליקוטי אמרים - א</t>
  </si>
  <si>
    <t>הלכה ומנהג, משנה, נושאים שונים, תנ"ך</t>
  </si>
  <si>
    <t>ליקוטי אפרים</t>
  </si>
  <si>
    <t>אופנהיים, גומפריך</t>
  </si>
  <si>
    <t>ליקוטי אש</t>
  </si>
  <si>
    <t>ברום, אברהם שלמה בן ישראל יצחק</t>
  </si>
  <si>
    <t>דרושים, הלכה ומנהג, חסידות, מועדי ישראל, משנה, נושאים שונים, שלחן ערוך ומפרשיו, תלמוד בבלי, תלמוד בבלי, תלמוד בבלי, תנ"ך</t>
  </si>
  <si>
    <t>ליקוטי בית אהרן</t>
  </si>
  <si>
    <t>רוזנברג, אהרן אלימלך בן יהודה יודל</t>
  </si>
  <si>
    <t>תולדות עם ישראל, תולדות עם ישראל, תנ"ך</t>
  </si>
  <si>
    <t>ליקוטי בית אפרים ממטה נפתלי</t>
  </si>
  <si>
    <t>ליקוטי בית אפרים - 2 כר'</t>
  </si>
  <si>
    <t>ליקוטי בני שלשים</t>
  </si>
  <si>
    <t>חסידות, מועדי ישראל, משנה, תולדות עם ישראל, תלמוד בבלי, תנ"ך</t>
  </si>
  <si>
    <t>ליקוטי בעש"ט &lt;מהדורה חדשה&gt;</t>
  </si>
  <si>
    <t>ליקוטי בר פחתי</t>
  </si>
  <si>
    <t>ליקוטי בשמי"ם</t>
  </si>
  <si>
    <t>ברמאן, יחיאל מיכל שלמה בן אברהם משה</t>
  </si>
  <si>
    <t>ליקוטי בת עין</t>
  </si>
  <si>
    <t>אויערבאך, אברהם דוב בן דוד</t>
  </si>
  <si>
    <t>ליקוטי בתר ליקוטי - 14 כר'</t>
  </si>
  <si>
    <t>אלטר, שמואל בן אברהם יהודה</t>
  </si>
  <si>
    <t>תשי"א - תשי"ב</t>
  </si>
  <si>
    <t>ליקוטי בתר ליקוטי</t>
  </si>
  <si>
    <t>ליקוטי גאונים</t>
  </si>
  <si>
    <t>ליקוטי גמרא לכל השנה - 2 כר'</t>
  </si>
  <si>
    <t>אליהו נחום פרוש גליקמן</t>
  </si>
  <si>
    <t>ליקוטי דב"ש</t>
  </si>
  <si>
    <t>בכרך, דוד בן חנוך</t>
  </si>
  <si>
    <t>ליקוטי דברי דוד</t>
  </si>
  <si>
    <t>לקט אמרים מרבוה"ק מלעלוב</t>
  </si>
  <si>
    <t>חסידות, מועדי ישראל, תלמוד בבלי, תלמוד ירושלמי, תנ"ך</t>
  </si>
  <si>
    <t>ליקוטי דברי חיים - קדושין</t>
  </si>
  <si>
    <t>ליקוטי דברי רבוה"ק מביאלא - 2 כר'</t>
  </si>
  <si>
    <t>מרדכי רוטנברג (עורך)</t>
  </si>
  <si>
    <t>ליקוטי דוד</t>
  </si>
  <si>
    <t>לאנייאדו, דוד בן ציון</t>
  </si>
  <si>
    <t>ליקוטי דינים - 6 כר'</t>
  </si>
  <si>
    <t>אמינוף, אברהם בן בנימין</t>
  </si>
  <si>
    <t>ליקוטי דינים - הלכות שחיטה בקצרה</t>
  </si>
  <si>
    <t>ליקוטי דעת</t>
  </si>
  <si>
    <t>ויינגולד, יעקב בן שרגא יאיר</t>
  </si>
  <si>
    <t>ליקוטי דרשות - שמות-משפטים</t>
  </si>
  <si>
    <t>הורוויץ, מאיר יצחק</t>
  </si>
  <si>
    <t>ליקוטי דרשות - 4 כר'</t>
  </si>
  <si>
    <t>קרייזווירט, חיים</t>
  </si>
  <si>
    <t>ליקוטי דשא</t>
  </si>
  <si>
    <t>שפירא, אהרן דוד בן יקותיאל</t>
  </si>
  <si>
    <t>ליקוטי האור - 2 כר'</t>
  </si>
  <si>
    <t>לוי, אריה ליב בן שמואל</t>
  </si>
  <si>
    <t>ליקוטי הגר"א - 4 כר'</t>
  </si>
  <si>
    <t>הלכה ומנהג, קבלה, תלמוד בבלי</t>
  </si>
  <si>
    <t>ליקוטי הוראות</t>
  </si>
  <si>
    <t>ליקוטי הזאבי</t>
  </si>
  <si>
    <t>הירשקופף, פינחס בן זאב וולף</t>
  </si>
  <si>
    <t>ליקוטי הלוי</t>
  </si>
  <si>
    <t>באמברגר, נתן בן יצחק דוב הלוי</t>
  </si>
  <si>
    <t>ליקוטי הלכות (לקח טוב)</t>
  </si>
  <si>
    <t>תלמוד בבלי. תרמ"ט. וילנה</t>
  </si>
  <si>
    <t>תלמוד בבלי. תרע"א. וילנה</t>
  </si>
  <si>
    <t>ליקוטי הלכות על הלכות סת"ם</t>
  </si>
  <si>
    <t>וויגדער, שבתי שלמה</t>
  </si>
  <si>
    <t>ליקוטי הלכות על הלכות צדקה</t>
  </si>
  <si>
    <t>ליקוטי הלכות - 3 כר'</t>
  </si>
  <si>
    <t>ברונשפיגל, יום-טוב נטיל בן צבי דוב</t>
  </si>
  <si>
    <t>תרס"ד - תר"ע</t>
  </si>
  <si>
    <t>ליקוטי הלכות  - &lt;עם פירוש מרי"ד&gt;</t>
  </si>
  <si>
    <t>כהן, ישראל מאיר בן אריה זאב - אקרמן, מרדכי דוד</t>
  </si>
  <si>
    <t>תר"ס - תרפ"ב</t>
  </si>
  <si>
    <t>תלמוד בבלי, תלמוד בבלי, תלמוד בבלי, תלמוד בבלי</t>
  </si>
  <si>
    <t>ליקוטי הלכות - 24 כר'</t>
  </si>
  <si>
    <t>ז'ולקווא</t>
  </si>
  <si>
    <t>חסידות, שלחן ערוך ומפרשיו</t>
  </si>
  <si>
    <t>ליקוטי המליץ</t>
  </si>
  <si>
    <t>לניאדו, מאיר בן אברהם</t>
  </si>
  <si>
    <t>ליקוטי המשנה</t>
  </si>
  <si>
    <t>ליקוטי הערות על ספרי תשובות חת"ס - 6 כר'</t>
  </si>
  <si>
    <t>גולדשטיין, יששכר דוב</t>
  </si>
  <si>
    <t>ליקוטי הפרדס &lt;דפו"ר&gt; - 2 כר'</t>
  </si>
  <si>
    <t>ליקוטי הפרדס - 2 כר'</t>
  </si>
  <si>
    <t>ליקוטי הפרשה</t>
  </si>
  <si>
    <t>בלייער, יהודה זאב</t>
  </si>
  <si>
    <t>ליקוטי הקדמות - א</t>
  </si>
  <si>
    <t>טולידנו, שמואל</t>
  </si>
  <si>
    <t>ליקוטי הרמ"ז</t>
  </si>
  <si>
    <t>הבנשטריט, משולם זושא</t>
  </si>
  <si>
    <t>ליקוטי הרמא"ה</t>
  </si>
  <si>
    <t>הלמן, מאיר איסר</t>
  </si>
  <si>
    <t>תש"ט-תשי"ב</t>
  </si>
  <si>
    <t>ליקוטי הש"ס - 3 כר'</t>
  </si>
  <si>
    <t>ליקוטי ופסקי מהרש"ם - בבא בתרא</t>
  </si>
  <si>
    <t>ליקוטי זהב</t>
  </si>
  <si>
    <t>ליקוטי חבר בן חיים - 11 כר'</t>
  </si>
  <si>
    <t>פלויט, חזקיה פייבל בן חיים</t>
  </si>
  <si>
    <t>תרל"ח - תרנ"ג</t>
  </si>
  <si>
    <t>דרושים, הלכה ומנהג, משנה, נושאים שונים, שלחן ערוך ומפרשיו, תלמוד בבלי, תלמוד בבלי, תלמוד ירושלמי, תנ"ך</t>
  </si>
  <si>
    <t>ליקוטי חז"ל</t>
  </si>
  <si>
    <t>לוי, חיים זגול</t>
  </si>
  <si>
    <t>ליקוטי חידושי תורה - 3 כר'</t>
  </si>
  <si>
    <t>פריינד, משה אריה בן ישראל</t>
  </si>
  <si>
    <t>ליקוטי חידושים ודרושים</t>
  </si>
  <si>
    <t>שמרלר, משה חיים</t>
  </si>
  <si>
    <t>ליקוטי חידושים ושו"ת &lt;הגרי"ז יוסקוביץ&gt;</t>
  </si>
  <si>
    <t>יוסקוביץ, יעקב זאב</t>
  </si>
  <si>
    <t>ליקוטי חיים</t>
  </si>
  <si>
    <t>בדיחי, חיים בן יחיא</t>
  </si>
  <si>
    <t>וויץ, חיים יצחק דוד</t>
  </si>
  <si>
    <t>ליקוטי חמד - 2 כר'</t>
  </si>
  <si>
    <t>דיין, משה</t>
  </si>
  <si>
    <t>ליקוטי חפץ חיים על דעה והשקפה</t>
  </si>
  <si>
    <t>ליקוטי חפץ חיים - 5 כר'</t>
  </si>
  <si>
    <t>ליקוטי חקל יצחק - מועדים</t>
  </si>
  <si>
    <t>ליקוטי טהרה</t>
  </si>
  <si>
    <t>דפנר, זאב בן  אלעזר זיסמן</t>
  </si>
  <si>
    <t>ליקוטי טוב להודות</t>
  </si>
  <si>
    <t>סמט טרייטל, יהודה בן יששכר דב</t>
  </si>
  <si>
    <t>ליקוטי יהודה  &lt;מהדורה חדשה&gt; - 5 כר'</t>
  </si>
  <si>
    <t>אלטר, יהודה אריה ליב בן אברהם מרדכי - היינה, יהודה אריה ליב</t>
  </si>
  <si>
    <t>ליקוטי יהודה - 11 כר'</t>
  </si>
  <si>
    <t>ליקוטי יהושע</t>
  </si>
  <si>
    <t>שינפלד, יהושע</t>
  </si>
  <si>
    <t>ליקוטי יום טוב - ביצה</t>
  </si>
  <si>
    <t>ברקוביץ, פנחס בן שרגא מנחם</t>
  </si>
  <si>
    <t>ליקוטי יוסף מדי שבת בשבתו - 2 כר'</t>
  </si>
  <si>
    <t>ענבתי, יוסף  בן מאיר</t>
  </si>
  <si>
    <t>ליקוטי יוסף</t>
  </si>
  <si>
    <t>גבאי, יוסף</t>
  </si>
  <si>
    <t>ליקוטי יוסף - 5 כר'</t>
  </si>
  <si>
    <t>זאב, יוסף חיים בן שלמה</t>
  </si>
  <si>
    <t>ליקוטי יוסף - 2 כר'</t>
  </si>
  <si>
    <t>יוסף בן יצחק הלוי</t>
  </si>
  <si>
    <t>שפילמאן, יוסף יוזפא בן אברהם אליעזר</t>
  </si>
  <si>
    <t>ליקוטי יושר - לא יחפור</t>
  </si>
  <si>
    <t>רייניץ, יוסף שלמה בן שמואל דוד</t>
  </si>
  <si>
    <t>ליקוטי יעב"ץ</t>
  </si>
  <si>
    <t>ליקוטי יעקב</t>
  </si>
  <si>
    <t>לבלוויטש, יעקב יהודה בן יהושע דב</t>
  </si>
  <si>
    <t>פרום, יעקב ניסן בן אריה</t>
  </si>
  <si>
    <t>ליקוטי יצחק</t>
  </si>
  <si>
    <t>בלושטיין, יצחק</t>
  </si>
  <si>
    <t>גלב, יצחק אייזיק בן שלמה זלמן</t>
  </si>
  <si>
    <t>יצחק בן מנחם מאניש הכהן</t>
  </si>
  <si>
    <t>ליקוטי יצחק - 2 כר'</t>
  </si>
  <si>
    <t>רוטהולץ, יצחק איציק בן שמואל</t>
  </si>
  <si>
    <t>שץ, יצחק אייזיק בן זאב וולף</t>
  </si>
  <si>
    <t>ליקוטי יקותיאל</t>
  </si>
  <si>
    <t>מלמוד, זוסיא בן יקותיאל</t>
  </si>
  <si>
    <t>ליקוטי ישועות משה</t>
  </si>
  <si>
    <t>ליקוטי ישעיה - בראשית</t>
  </si>
  <si>
    <t>גרוס, ישעיה בן משה שמואל</t>
  </si>
  <si>
    <t>ליקוטי ישרים - 5 כר'</t>
  </si>
  <si>
    <t>מגיד, יוסף אברהם בן יצחק</t>
  </si>
  <si>
    <t>ליקוטי מאיר - א</t>
  </si>
  <si>
    <t>שטינברג, מאיר הלוי</t>
  </si>
  <si>
    <t>ליקוטי מאמרים &lt;מהדורת הר ברכה&gt;</t>
  </si>
  <si>
    <t>ליקוטי מאמרים ומכתבים - 2 כר'</t>
  </si>
  <si>
    <t>ליקוטי מאמרים שבילי פנחס - 3 כר'</t>
  </si>
  <si>
    <t>ליקוטי מאמרים</t>
  </si>
  <si>
    <t>ליקוטי מהר"א &lt;מהדורה חדשה&gt;</t>
  </si>
  <si>
    <t>הופשטיין, אלעזר בן משה אליקים בריעה</t>
  </si>
  <si>
    <t>ליקוטי מהר"א - 2 כר'</t>
  </si>
  <si>
    <t>דרושים, חסידות, חסידות, תנ"ך</t>
  </si>
  <si>
    <t>ליקוטי מהר"ל</t>
  </si>
  <si>
    <t>רוזנבליט, פנחס</t>
  </si>
  <si>
    <t>ליקוטי מהר"ם שיק החדש - על התורה</t>
  </si>
  <si>
    <t>ליקוטי מהר"ם שיק</t>
  </si>
  <si>
    <t>ליקוטי מהרא"ל</t>
  </si>
  <si>
    <t>ליקוטי מהרי"א - 2 כר'</t>
  </si>
  <si>
    <t>אייכנשטיין, יצחק אייזיק בן יששכר דוב בר</t>
  </si>
  <si>
    <t>ליקוטי מהרי"א</t>
  </si>
  <si>
    <t>יוסף אשר אנטשיל בן יהונתן</t>
  </si>
  <si>
    <t>ליקוטי מהרי"ח &lt;מהדורה חדשה&gt; - 3 כר'</t>
  </si>
  <si>
    <t>פרידמאן, ישראל חיים בן יהודה</t>
  </si>
  <si>
    <t>ליקוטי מהרי"ח - 3 כר'</t>
  </si>
  <si>
    <t>תר"ס - תרע"א</t>
  </si>
  <si>
    <t>ליקוטי מהרי"ל - 2 כר'</t>
  </si>
  <si>
    <t>יהודה ליב מזאקליקוב</t>
  </si>
  <si>
    <t>ליקוטי מהרי"ן ותולדות יצחק בן לוי</t>
  </si>
  <si>
    <t>ישראל בן לוי יצחק מפיקוב</t>
  </si>
  <si>
    <t>ליקוטי מהריא"ץ</t>
  </si>
  <si>
    <t>וויינבערגר, יהושע אהרן צבי</t>
  </si>
  <si>
    <t>מועדי ישראל, משנה, שאלות ותשובות, תלמוד בבלי, תנ"ך</t>
  </si>
  <si>
    <t>ליקוטי מהרמ"י</t>
  </si>
  <si>
    <t>פלדמן, משה ישראל</t>
  </si>
  <si>
    <t>ליקוטי מהרמ"ם</t>
  </si>
  <si>
    <t>ליקוטי מהרצ"א - 2 כר'</t>
  </si>
  <si>
    <t>ליקוטי מוהר"ם</t>
  </si>
  <si>
    <t>מאיר אב"ד שוורזנץ</t>
  </si>
  <si>
    <t>ליקוטי מוהר"ן &lt;מקור חכמה&gt;</t>
  </si>
  <si>
    <t>כרמל, אברהם יצחק הלוי</t>
  </si>
  <si>
    <t>ליקוטי מוהר"ן &lt;ע"פ נעימות נצח&gt; - 6 כר'</t>
  </si>
  <si>
    <t>נחמן בן שמחה מברסלב - קרמר, חיים מנחם (מבאר)</t>
  </si>
  <si>
    <t>ליקוטי מוהר"ן &lt;דפו"ר&gt;</t>
  </si>
  <si>
    <t>תקס"ח - תקע"א</t>
  </si>
  <si>
    <t>ליקוטי מוהר"ן &lt;טקסט&gt;</t>
  </si>
  <si>
    <t>ליקוטי מוהר"ן &lt;עם נוסחאות והגהות כת"י מוהרנ"ת&gt;</t>
  </si>
  <si>
    <t>ליקוטי מוהר"ן &lt;שפת הנחל, ליקוטי תפילות&gt;</t>
  </si>
  <si>
    <t>ליקוטי מוהר"ן ע"פ שלום מלכות</t>
  </si>
  <si>
    <t>נחמן בן שמחה מברסלב - ארוש, שלום</t>
  </si>
  <si>
    <t>ליקוטי מוהר"ן עם ביאור פני מנורה</t>
  </si>
  <si>
    <t>ליקוטי מוהר"ן עם פירוש שפת הנחל - 2 כר'</t>
  </si>
  <si>
    <t>ליקוטי מוהר"ן</t>
  </si>
  <si>
    <t>[תרל"ו].</t>
  </si>
  <si>
    <t>ליקוטי מוהר"ן - 6 כר'</t>
  </si>
  <si>
    <t>ליקוטי מוסר מספר יערות דבש - בנתיב שלום</t>
  </si>
  <si>
    <t>אייבשיץ, יהונתן בן נתן נטע - קאהן, ישראל בן אברהם</t>
  </si>
  <si>
    <t>ליקוטי מן</t>
  </si>
  <si>
    <t>חיון, יוסף בן אברהם</t>
  </si>
  <si>
    <t>ליקוטי מנהגים</t>
  </si>
  <si>
    <t>שור, אלכסנדר סנדר חיים בן ישראל</t>
  </si>
  <si>
    <t>ליקוטי מנהגים, ליקוטי ש"ם, ליקוטי מאיר</t>
  </si>
  <si>
    <t>ליקוטי מנחת חינוך - פסח</t>
  </si>
  <si>
    <t>באב"ד, יוסף - גרוסמן, שמואל ראובן - טיברג, ישראל מרדכי</t>
  </si>
  <si>
    <t>ליקוטי מנחת חינוך - על הש"ס</t>
  </si>
  <si>
    <t>קאגאן, שלמה בן מרדכי מאיר</t>
  </si>
  <si>
    <t>ליקוטי מנשה - 2 כר'</t>
  </si>
  <si>
    <t>תרצ"ז - תשי"ב</t>
  </si>
  <si>
    <t>הלכה ומנהג, הלכה ומנהג, הלכה ומנהג, מחשבה ומוסר, נושאים שונים</t>
  </si>
  <si>
    <t>ליקוטי מעשיות</t>
  </si>
  <si>
    <t>ישראל בן ששון</t>
  </si>
  <si>
    <t>ליקוטי מעשרות</t>
  </si>
  <si>
    <t>ליקוטי מרגליות</t>
  </si>
  <si>
    <t>ארונסון, טוביה בן אהרן</t>
  </si>
  <si>
    <t>ליקוטי משמחי לב - 2 כר'</t>
  </si>
  <si>
    <t>בארנט, מאיר בן נחום</t>
  </si>
  <si>
    <t>תרס"ג - תרע"ט</t>
  </si>
  <si>
    <t>ליקוטי נגלות לשם שבו ואחלמה</t>
  </si>
  <si>
    <t>ליקוטי נסים</t>
  </si>
  <si>
    <t>רבין, נסים הכהן</t>
  </si>
  <si>
    <t>ליקוטי נפתלי</t>
  </si>
  <si>
    <t>צבי הירש בן חיים מפיורדא</t>
  </si>
  <si>
    <t>ליקוטי סגולות ישראל &lt;ישראל לסגולתו&gt;</t>
  </si>
  <si>
    <t>ליפשיץ, שבתי בן יעקב יצחק  (מתוך ספרו)</t>
  </si>
  <si>
    <t>ליקוטי סופר - א</t>
  </si>
  <si>
    <t>תרע"ג - תרפ"א</t>
  </si>
  <si>
    <t>ליקוטי עין יעקב - 2 כר'</t>
  </si>
  <si>
    <t>ליקוטי עצות &lt;עברי טייטש&gt;</t>
  </si>
  <si>
    <t>ליקוטי עצות המשולש - ב</t>
  </si>
  <si>
    <t>תרפ"ב - תרצ"ו</t>
  </si>
  <si>
    <t>ליקוטי עצות - 2 כר'</t>
  </si>
  <si>
    <t>ליקוטי פאה</t>
  </si>
  <si>
    <t>ליקוטי פלא יועץ</t>
  </si>
  <si>
    <t>ליקוטי פנחס</t>
  </si>
  <si>
    <t>ליקוטי פני חסד &lt;מהדורה חדשה&gt;</t>
  </si>
  <si>
    <t>אדלר, פינחס בן שלום</t>
  </si>
  <si>
    <t>ליקוטי פניני בן ישכר - 2 כר'</t>
  </si>
  <si>
    <t>ליקוטי פנינים נבחרים</t>
  </si>
  <si>
    <t>ליקוטי פרושים על קהלת - א</t>
  </si>
  <si>
    <t>ליקוטי פרושים</t>
  </si>
  <si>
    <t>פריצקר, אשר</t>
  </si>
  <si>
    <t>ליקוטי פרי חדש - ברכות, חלה</t>
  </si>
  <si>
    <t>די סילווה, חזקיה בן דוד</t>
  </si>
  <si>
    <t>ליקוטי צבי</t>
  </si>
  <si>
    <t>הכהן, צבי הירש בן יהונתן בנימין</t>
  </si>
  <si>
    <t>צבי הירש בן יצחק מיאנובה</t>
  </si>
  <si>
    <t>שפיטצר, צבי</t>
  </si>
  <si>
    <t>ליקוטי קול אריה</t>
  </si>
  <si>
    <t>ליקוטי קצות החושן - בבא מציעא א</t>
  </si>
  <si>
    <t>הלר, אריה ליב בן יוסף הכהן - ברזל, יוסף צבי</t>
  </si>
  <si>
    <t>ליקוטי ר' יצחק בן יהודה אבן גיאת</t>
  </si>
  <si>
    <t>ציריך Zurich</t>
  </si>
  <si>
    <t>ליקוטי רבינו בצלאל אשכנזי - 2 כר'</t>
  </si>
  <si>
    <t>ליקוטי רבינו החפץ חיים - תשובה</t>
  </si>
  <si>
    <t>עילום שם</t>
  </si>
  <si>
    <t>ליקוטי רמ"ל - 3 כר'</t>
  </si>
  <si>
    <t>ליקוטי רפאל - ב</t>
  </si>
  <si>
    <t>חקק, רפאל יעקב</t>
  </si>
  <si>
    <t>ליקוטי רצב"א</t>
  </si>
  <si>
    <t>כהנא, צבי הירש בן אברהם הכהן</t>
  </si>
  <si>
    <t>ליקוטי ש"ס</t>
  </si>
  <si>
    <t>ליקוטי שארית ישראל</t>
  </si>
  <si>
    <t>ישראל דוב בר בן יוסף מווילדניק</t>
  </si>
  <si>
    <t>ליקוטי שדה יער</t>
  </si>
  <si>
    <t>א, יצחק</t>
  </si>
  <si>
    <t>ליקוטי שושנים &lt;מהדורה חדשה&gt;</t>
  </si>
  <si>
    <t>גוטרמאן, משה צבי בן שמעון שלמה</t>
  </si>
  <si>
    <t>ליקוטי שושנים &lt;שו"ת ויברך דוד&gt;</t>
  </si>
  <si>
    <t>שמשון בן פסח מאוסטרופולי</t>
  </si>
  <si>
    <t>ליקוטי שושנים לדוד</t>
  </si>
  <si>
    <t>ליקוטי שושנים</t>
  </si>
  <si>
    <t>ליקוטי שושנים - 4 כר'</t>
  </si>
  <si>
    <t>גרשטיין, יעקב בן אלחנן דוב</t>
  </si>
  <si>
    <t>יאזדי, אברהם מאיר בן רפאל</t>
  </si>
  <si>
    <t>דרושים, דרושים, חסידות, תנ"ך</t>
  </si>
  <si>
    <t>ליקוטי שושנים - 2 כר'</t>
  </si>
  <si>
    <t>כ"ץ, אהרן הכהן</t>
  </si>
  <si>
    <t>ליקוטי שושנים - 3 כר'</t>
  </si>
  <si>
    <t>מאיר בן לוי מזולקווא</t>
  </si>
  <si>
    <t>מייזלש, יצחק בן יעקב</t>
  </si>
  <si>
    <t>ניומאן, דוד זכריה בן אביגדור</t>
  </si>
  <si>
    <t>ליקוטי שושנים - השוכר את האומנין</t>
  </si>
  <si>
    <t>ניומאן, דוד זכריה</t>
  </si>
  <si>
    <t>גרוסודיין</t>
  </si>
  <si>
    <t>שטראשון, מתתיהו בן שמואל</t>
  </si>
  <si>
    <t>ליקוטי שי - 5 כר'</t>
  </si>
  <si>
    <t>בארפאס, שמעון יעקב בן אברהם יצחק</t>
  </si>
  <si>
    <t>ליקוטי שיעורים - 5 כר'</t>
  </si>
  <si>
    <t>שטיין, פסח יצחק בן אהרון שמואל</t>
  </si>
  <si>
    <t>ליקוטי שכחה ופאה - 2 כר'</t>
  </si>
  <si>
    <t>אלמליך, אברהם בן יהודה</t>
  </si>
  <si>
    <t>נושאים שונים, קבלה, תלמוד בבלי, תלמוד בבלי</t>
  </si>
  <si>
    <t>ליקוטי של"ה</t>
  </si>
  <si>
    <t>ישורון, משה</t>
  </si>
  <si>
    <t>ליקוטי שלום</t>
  </si>
  <si>
    <t>בוזגלו, שלום בן יעקב</t>
  </si>
  <si>
    <t>ליקוטי שלמה</t>
  </si>
  <si>
    <t>קליין, שלמה בן גרשון ליב הכהן</t>
  </si>
  <si>
    <t>משנה, שלחן ערוך ומפרשיו, תלמוד בבלי, תנ"ך</t>
  </si>
  <si>
    <t>ליקוטי שלמה - ספר האסיף</t>
  </si>
  <si>
    <t>קליין, שלמה זלמן בן משה</t>
  </si>
  <si>
    <t>הלכה ומנהג, מועדי ישראל, משנה, תלמוד בבלי, תנ"ך</t>
  </si>
  <si>
    <t>ליקוטי שמאי - 2 כר'</t>
  </si>
  <si>
    <t>יודייקין, שמאי בן שמואל יצחק הכהן</t>
  </si>
  <si>
    <t>ליקוטי שמואל</t>
  </si>
  <si>
    <t>קליינרמן, אברהם אבא</t>
  </si>
  <si>
    <t>ליקוטי שמחה</t>
  </si>
  <si>
    <t>שארפהארץ, שמחה בונם בן ישראל</t>
  </si>
  <si>
    <t>ליקוטי שמשון</t>
  </si>
  <si>
    <t>רוזנברג, שמשון</t>
  </si>
  <si>
    <t>ליקוטי שפע חיים - 2 כר'</t>
  </si>
  <si>
    <t>ליקוטי שפת אמת</t>
  </si>
  <si>
    <t>אלטר, יהודה אריה ליב בן אברהם מרדכי</t>
  </si>
  <si>
    <t>ליקוטי תהלים &lt;על סדר אלפ"א בית"א&gt;</t>
  </si>
  <si>
    <t>תנ"ך. תרי"ז. ורשה</t>
  </si>
  <si>
    <t>תנ"ך.תרי"ז. ורשה</t>
  </si>
  <si>
    <t>ליקוטי תורה &lt;מהדורה חדשה&gt;</t>
  </si>
  <si>
    <t>טברסקי, מרדכי בן מנחם נחום</t>
  </si>
  <si>
    <t>ליקוטי תורה (באלטימור) - 3 כר'</t>
  </si>
  <si>
    <t>מאסף תורני מגדולי ישראל</t>
  </si>
  <si>
    <t>ליקוטי תורה דברי אמונה</t>
  </si>
  <si>
    <t>ליקוטי תורה והש"ס - 5 כר'</t>
  </si>
  <si>
    <t>תרל"ז - תרנ"ב</t>
  </si>
  <si>
    <t>ליקוטי תורה נביאים וכתובים - 3 כר'</t>
  </si>
  <si>
    <t>הלכה ומנהג, קבלה, תנ"ך</t>
  </si>
  <si>
    <t>ליקוטי תורה עם פירוש חסידות מבוארת</t>
  </si>
  <si>
    <t>מכון אליעזר יצחק</t>
  </si>
  <si>
    <t>ליקוטי תורה</t>
  </si>
  <si>
    <t>ליקוטי תורה - 3 כר'</t>
  </si>
  <si>
    <t>ליקוטי תפלות - 4 כר'</t>
  </si>
  <si>
    <t>ליקוטי תקון שלמה</t>
  </si>
  <si>
    <t>סג"ל הלוי שפיצר, בנימין שלמה זלמן</t>
  </si>
  <si>
    <t>דרושים, משנה, תלמוד בבלי, תלמוד ירושלמי, תנ"ך</t>
  </si>
  <si>
    <t>ליקוטי תשובות הראשונים - יבמות</t>
  </si>
  <si>
    <t>ליקוט ראשונים</t>
  </si>
  <si>
    <t>ליקוטי תשובות והנהגות &lt;מועדים&gt; - פורים</t>
  </si>
  <si>
    <t>ליקוטי תשובות וחידושי אגדות מהרי"א על חג הפסח</t>
  </si>
  <si>
    <t>ליקוטי תשובות משנת יוסף - מילה</t>
  </si>
  <si>
    <t>רבינוביץ, גמליאל בן אלחנן הכהן (עורך)</t>
  </si>
  <si>
    <t>ליקוטי תשובות</t>
  </si>
  <si>
    <t>ישראל, יום-טוב בן אליהו שיריזלי</t>
  </si>
  <si>
    <t>ליקוטי תשובות - משנת יוסף</t>
  </si>
  <si>
    <t>רבינוביץ, גמליאל הכהן</t>
  </si>
  <si>
    <t>ליקוטים ביבליוגרפיים</t>
  </si>
  <si>
    <t>יערי אברהם בן חיים יוסף - כותבים נוספים</t>
  </si>
  <si>
    <t>ליקוטים וביאורים למגילת אסתר והגדה של פסח</t>
  </si>
  <si>
    <t>ליקוטים והערות  לספר במדבר</t>
  </si>
  <si>
    <t>ליקוטים והערות  לתפילת שמונה עשרה וברכת המזון</t>
  </si>
  <si>
    <t>ליקוטים והערות - 5 כר'</t>
  </si>
  <si>
    <t>ליקוטים וחבורים - 2 כר'</t>
  </si>
  <si>
    <t>לקוטים וחבורים</t>
  </si>
  <si>
    <t>ליקוטים חדשים מהאר"י ומהרח"ו</t>
  </si>
  <si>
    <t>לוריא, יצחק בן שלמה (האר"י) - וויטאל, חיים בן יוסף</t>
  </si>
  <si>
    <t>ליקוטים חדשים</t>
  </si>
  <si>
    <t>יחיאל משה בן מ י</t>
  </si>
  <si>
    <t>חסידות, חסידות, שאלות ותשובות, תנ"ך</t>
  </si>
  <si>
    <t>ליקוטים יקרים &lt;דפו"ר&gt;</t>
  </si>
  <si>
    <t>ליקוטים יקרים להשם</t>
  </si>
  <si>
    <t>דמגיאן, רפאל</t>
  </si>
  <si>
    <t>ליקוטים יקרים - 3 כר'</t>
  </si>
  <si>
    <t>ליקוטים יקרים</t>
  </si>
  <si>
    <t>משחי"ז, מרדכי</t>
  </si>
  <si>
    <t>טשערנוביץ</t>
  </si>
  <si>
    <t>ליקוטים מהרב ר' פנחס מקאריץ</t>
  </si>
  <si>
    <t>משה בן שלמה מבורגוש</t>
  </si>
  <si>
    <t>ליקוטים ממדרש אבכיר</t>
  </si>
  <si>
    <t>שאר ספרי חז"ל, שאר ספרי חז"ל</t>
  </si>
  <si>
    <t>ליקוטים ממדרש אלה הדברים רבה</t>
  </si>
  <si>
    <t>ליקוטים מפרדס - 7 כר'</t>
  </si>
  <si>
    <t>תר"ל - תרל"ג</t>
  </si>
  <si>
    <t>ליקוטים מפרוש על התורה - 2 כר'</t>
  </si>
  <si>
    <t>מלכי, רפאל מרדכי</t>
  </si>
  <si>
    <t>תרפ"ג - תרפ"ה</t>
  </si>
  <si>
    <t>ליקוטים מר' פנחס מקאריץ</t>
  </si>
  <si>
    <t>ליקוטים מרב האי גאון</t>
  </si>
  <si>
    <t>ליקוטים נפלאים</t>
  </si>
  <si>
    <t>פישמאן, יואל אריה ליב בן יהודה</t>
  </si>
  <si>
    <t>ליקוטים שונים מס' דבי אליהו</t>
  </si>
  <si>
    <t>קאפסאלי, אליהו בן אלקנה</t>
  </si>
  <si>
    <t>ליקוטים שפת אמת</t>
  </si>
  <si>
    <t>ליקוטים תלפיות</t>
  </si>
  <si>
    <t>היילפרין, יוסף בן שמואל</t>
  </si>
  <si>
    <t>ליראה את שמך</t>
  </si>
  <si>
    <t>לישועתך קויתי ה'</t>
  </si>
  <si>
    <t>לישרי לב שמחה</t>
  </si>
  <si>
    <t>סגל, שמחה נתן (עליו)</t>
  </si>
  <si>
    <t>לישרים נאוה תהילה</t>
  </si>
  <si>
    <t>דברי זכרון לרבי קלמן כהנא זצ"ל</t>
  </si>
  <si>
    <t>לישרים נאווה תהילה</t>
  </si>
  <si>
    <t>אלברט, אריה בן יצחק שאול</t>
  </si>
  <si>
    <t>לישרים תהלה &lt;מהדורה חדשה&gt;</t>
  </si>
  <si>
    <t>לישרים תהלה עם ביאור המילים</t>
  </si>
  <si>
    <t>לוצאטו, משה חיים בן יעקב חי (רמח"ל) - פרץ, פנחס</t>
  </si>
  <si>
    <t>לישרים תהלה - 2 כר'</t>
  </si>
  <si>
    <t>לישרים תהלה - 5 כר'</t>
  </si>
  <si>
    <t>יוזעפאף,</t>
  </si>
  <si>
    <t>לישרים תהלה</t>
  </si>
  <si>
    <t>לך אלי תשוקתי - 2 כר'</t>
  </si>
  <si>
    <t>דביר כדורי, אורן</t>
  </si>
  <si>
    <t>לך דוד, ולדוד ברוך</t>
  </si>
  <si>
    <t>סקלי, דוד בן משה הכהן</t>
  </si>
  <si>
    <t>לך והודיעם</t>
  </si>
  <si>
    <t>לך לך בני</t>
  </si>
  <si>
    <t>שפירא, חיים</t>
  </si>
  <si>
    <t>לך לך</t>
  </si>
  <si>
    <t>לך נאה להודות</t>
  </si>
  <si>
    <t>לך שלמה</t>
  </si>
  <si>
    <t>לך תהלתי</t>
  </si>
  <si>
    <t>יוסיאן, דן</t>
  </si>
  <si>
    <t>לכבוד ולתפארת - 3 כר'</t>
  </si>
  <si>
    <t>הלפרין, ירחמיאל ישראל יצחק בן בנימין מנחם</t>
  </si>
  <si>
    <t>לכבוד עמודי התורה</t>
  </si>
  <si>
    <t>דינר, זאב יצחק בן אליעזר הלוי</t>
  </si>
  <si>
    <t>לכבוד פסח</t>
  </si>
  <si>
    <t>לכבוד ראש השנה - 3 כר'</t>
  </si>
  <si>
    <t>לכבוד שבת</t>
  </si>
  <si>
    <t>לכבוד שבת - 2 כר'</t>
  </si>
  <si>
    <t>רוטנברג, יחזקאל (עורך)</t>
  </si>
  <si>
    <t>לכו לחמו בלחמי</t>
  </si>
  <si>
    <t>לכו נרננה</t>
  </si>
  <si>
    <t>לכל זמן ועת</t>
  </si>
  <si>
    <t>ארג'ואן, אביעד בן אליהו</t>
  </si>
  <si>
    <t>לכל חפץ - 2 כר'</t>
  </si>
  <si>
    <t>מילי, אליעזר</t>
  </si>
  <si>
    <t>לכסיקון ראשי תיבות</t>
  </si>
  <si>
    <t>קרוא, ברוך בן יעקב יוסף הלוי</t>
  </si>
  <si>
    <t>ללב עמי - ב</t>
  </si>
  <si>
    <t>סינגר, אהרן יעקב בן אברהם</t>
  </si>
  <si>
    <t>תרצ"ט - תשט"ו</t>
  </si>
  <si>
    <t>ללמד על הכלל</t>
  </si>
  <si>
    <t>ללמדו תורה</t>
  </si>
  <si>
    <t>ללמוד וללמד</t>
  </si>
  <si>
    <t>גולדנר, יהושע הלל</t>
  </si>
  <si>
    <t>קובץ בענייני ברכות</t>
  </si>
  <si>
    <t>ללקוט שושנים - 6 כר'</t>
  </si>
  <si>
    <t>בחבוט, אליהו בן יהודה</t>
  </si>
  <si>
    <t>ללקט שושנים</t>
  </si>
  <si>
    <t>יאקב, שושנה</t>
  </si>
  <si>
    <t>ללשונות הרמב"ם</t>
  </si>
  <si>
    <t>הלכה ומנהג, נושאים שונים, נושאים שונים, שאלות ותשובות</t>
  </si>
  <si>
    <t>למד דעת</t>
  </si>
  <si>
    <t>בקשט, משה דוד</t>
  </si>
  <si>
    <t>למד לכתוב במכונת כתיבה עברית</t>
  </si>
  <si>
    <t>שטרנברג, יהושע בן אברהם יוחנן</t>
  </si>
  <si>
    <t>למדנות</t>
  </si>
  <si>
    <t>דינין, חנוך</t>
  </si>
  <si>
    <t>למה תתראו</t>
  </si>
  <si>
    <t>למוד ערוך - 6 כר'</t>
  </si>
  <si>
    <t>למוד תורה לשמה</t>
  </si>
  <si>
    <t>למודי אברהם - 2 כר'</t>
  </si>
  <si>
    <t>מיכלסקי, יעקב אברהם יחיאל בן שאול</t>
  </si>
  <si>
    <t>למודי ה'</t>
  </si>
  <si>
    <t>למודי ה' - 2 כר'</t>
  </si>
  <si>
    <t>למודי חמד</t>
  </si>
  <si>
    <t>תיקונים. שבעה ימי סוכות. תרנ"ד. בודפשט</t>
  </si>
  <si>
    <t>למודי חן</t>
  </si>
  <si>
    <t>למודי לשון - 2 כר'</t>
  </si>
  <si>
    <t>לוי, יעקב בן מיכאל</t>
  </si>
  <si>
    <t>למודי משה - עירובין</t>
  </si>
  <si>
    <t>שפירא, משה</t>
  </si>
  <si>
    <t>למודים בנסים</t>
  </si>
  <si>
    <t>למועד חודש האביב</t>
  </si>
  <si>
    <t>ליקוט מתורת הגרעק"א החת"ס ורבני משפחת עהרנפלד</t>
  </si>
  <si>
    <t>למועד שנת השמיטה</t>
  </si>
  <si>
    <t>למועד - א (סוכות, פסח, שבועות)</t>
  </si>
  <si>
    <t>למועד</t>
  </si>
  <si>
    <t>תש"ה - תש"ז</t>
  </si>
  <si>
    <t>למזהיר ולנזהר - 2 כר'</t>
  </si>
  <si>
    <t>ארנטאל, משה</t>
  </si>
  <si>
    <t>למזכרת</t>
  </si>
  <si>
    <t>יוונין, בצלאל בן אברהם יונה</t>
  </si>
  <si>
    <t>למטה יהודה</t>
  </si>
  <si>
    <t>העס, משה טוביה</t>
  </si>
  <si>
    <t>קמפנר, דוד אברהם בן יהודה ליב</t>
  </si>
  <si>
    <t>שאלות ותשובות, שאלות ותשובות, תלמוד בבלי</t>
  </si>
  <si>
    <t>למיסבר קראי - 6 כר'</t>
  </si>
  <si>
    <t>למכה מלכים</t>
  </si>
  <si>
    <t>למכסה עתיק &lt;מהדורה מורחבת&gt;</t>
  </si>
  <si>
    <t>קנייבסקי, שמריהו יוסף חיים בן יעקב ישראל -גרינגרס, בנימין אברהם</t>
  </si>
  <si>
    <t>למנוע מכשול - 2 כר'</t>
  </si>
  <si>
    <t>למנצח לדוד</t>
  </si>
  <si>
    <t>למנצח על אילת השחר</t>
  </si>
  <si>
    <t>שטיינמן, אהרן יהודה ליב בן נח צבי (עליו) - גרוסברד, בנימין</t>
  </si>
  <si>
    <t>למעלה למשכיל</t>
  </si>
  <si>
    <t>למעלה מן השמש &lt;מסילות במחשבת ישראל&gt; - 5 כר'</t>
  </si>
  <si>
    <t>קובץ מאמרים במחשבת ישראל</t>
  </si>
  <si>
    <t>למען אחי ורעי</t>
  </si>
  <si>
    <t>סורוצקין, אלחנן בן זלמן</t>
  </si>
  <si>
    <t>צמל, אפרים</t>
  </si>
  <si>
    <t>למען אספרה</t>
  </si>
  <si>
    <t>למען דעת - 2 כר'</t>
  </si>
  <si>
    <t>בית המדרש למען דעת, ירושלים</t>
  </si>
  <si>
    <t>למען דעת - עבודה זרה</t>
  </si>
  <si>
    <t>למען דעת - 3 כר'</t>
  </si>
  <si>
    <t>קאהן, דוד בן אברהם יצחק (אדמו"ר מתולדות אהרן)</t>
  </si>
  <si>
    <t>למען דעת</t>
  </si>
  <si>
    <t>למען השבת</t>
  </si>
  <si>
    <t>למען יאריכון ימיך</t>
  </si>
  <si>
    <t>פלדמן, יעקב צבי הלוי</t>
  </si>
  <si>
    <t>למען ידעו</t>
  </si>
  <si>
    <t>דרבקין, ירוחם אליהו (אודותיו)</t>
  </si>
  <si>
    <t>טויסיג, שרה</t>
  </si>
  <si>
    <t>למען ירושלים</t>
  </si>
  <si>
    <t>קוטניק, אליהו צבי</t>
  </si>
  <si>
    <t>למען כבוד התורה לא אחשה</t>
  </si>
  <si>
    <t>מימון, יורם בן משה</t>
  </si>
  <si>
    <t>למען לא תהיה האמת נעדרת &lt;נגד מאור עיניים&gt;</t>
  </si>
  <si>
    <t>למען עמי</t>
  </si>
  <si>
    <t>ברנט, איתן</t>
  </si>
  <si>
    <t>ארגנטינה</t>
  </si>
  <si>
    <t>למען פארך</t>
  </si>
  <si>
    <t>למען ציון לא אחשה - רבי בן ציון הכהן</t>
  </si>
  <si>
    <t>כהן, הילדה</t>
  </si>
  <si>
    <t>למען שלום בניך</t>
  </si>
  <si>
    <t>כי טוב, אברהם אליהו בן מיכאל</t>
  </si>
  <si>
    <t>למען שמו באהבה</t>
  </si>
  <si>
    <t>מתתוב, ישראל</t>
  </si>
  <si>
    <t>למען תזכור</t>
  </si>
  <si>
    <t>למען תזכרו</t>
  </si>
  <si>
    <t>אבענסן, יצחק</t>
  </si>
  <si>
    <t>למען תספר</t>
  </si>
  <si>
    <t>שמחה, מרדכי בן דובריש</t>
  </si>
  <si>
    <t>למעשה</t>
  </si>
  <si>
    <t>פלק, פסח אליהו בן אברהם צבי - גורדון אברהם יוסף</t>
  </si>
  <si>
    <t>למקומו של היוצר במורשתו של ר' אלעזר בירבי קליר (תדפיס)</t>
  </si>
  <si>
    <t>למשאלה בקדרות</t>
  </si>
  <si>
    <t>למשה מסיני</t>
  </si>
  <si>
    <t>למשה מתנה - שבת</t>
  </si>
  <si>
    <t>למשמעות &lt;אידיש&gt; - בראשית</t>
  </si>
  <si>
    <t>יעקובזון, חיים יהודה בן אברהם דוד</t>
  </si>
  <si>
    <t>למשמעות &lt;לשה"ק&gt; - 4 כר'</t>
  </si>
  <si>
    <t>לנפש חיה &lt;על מעשה הקרבנות&gt;</t>
  </si>
  <si>
    <t>לנפש חיה - 2 כר'</t>
  </si>
  <si>
    <t>דרברמדיגר, אברהם יעקב</t>
  </si>
  <si>
    <t>לנפש תדרשנו - 2 כר'</t>
  </si>
  <si>
    <t>לנתיבות ישראל - ב</t>
  </si>
  <si>
    <t>קוק, צבי יהודה בן אברהם יצחק הכהן</t>
  </si>
  <si>
    <t>לספר בציון &lt;מהדורה חדשה&gt;</t>
  </si>
  <si>
    <t>כהן, בן ציון יהונתן בן יעקב</t>
  </si>
  <si>
    <t>לספר בציון - הגדה של פסח</t>
  </si>
  <si>
    <t>כהן יהונתן, בן ציון בן יעקב</t>
  </si>
  <si>
    <t>לספר בציון - בראשית, במדבר</t>
  </si>
  <si>
    <t>כהן יהונתן, וזיפה יוסף בן ציון</t>
  </si>
  <si>
    <t>לעבדו באמת</t>
  </si>
  <si>
    <t>שווב, מנשה (עליו)</t>
  </si>
  <si>
    <t>לעבדו בכל לבבכם</t>
  </si>
  <si>
    <t>מוסדות ביאלא חלקת יהושע</t>
  </si>
  <si>
    <t>לעבדו בלבב שלם</t>
  </si>
  <si>
    <t>לעבדך באמת &lt;פרשיות השבוע&gt; - 2 כר'</t>
  </si>
  <si>
    <t>לעבדך באמת (תשע"ג)</t>
  </si>
  <si>
    <t>לעבדך באמת (תשע"ה)</t>
  </si>
  <si>
    <t>לעבדך באמת - 2 כר'</t>
  </si>
  <si>
    <t>לעבדך באמת</t>
  </si>
  <si>
    <t>פרקי חייו של ר' ישראל וקסלמן</t>
  </si>
  <si>
    <t>לעודד ולשמח</t>
  </si>
  <si>
    <t>לעולם אודך</t>
  </si>
  <si>
    <t>אדלר, סיני</t>
  </si>
  <si>
    <t>לעולם אודך - 2 כר'</t>
  </si>
  <si>
    <t>פיש, יצחק זאב בן משה שלמה הלוי</t>
  </si>
  <si>
    <t>לעולם יהיה אדם מן הטובים</t>
  </si>
  <si>
    <t>לעומקו של מקרא - תשע"ו א</t>
  </si>
  <si>
    <t>לעומקו של רש"י - 3 כר'</t>
  </si>
  <si>
    <t>בנש"ק, אביגדור בן חנוך שלמה הכהן</t>
  </si>
  <si>
    <t>לעזי רש"י בתנ"ך</t>
  </si>
  <si>
    <t>גרינברג, יוסף אלחנן</t>
  </si>
  <si>
    <t>לעטר פתורא</t>
  </si>
  <si>
    <t>אשכנזי, חנוך העניך</t>
  </si>
  <si>
    <t>לעיונא - נדה</t>
  </si>
  <si>
    <t>רפפורט, משה בן יהודה אריה</t>
  </si>
  <si>
    <t>לעילוי נשמה - 2 כר'</t>
  </si>
  <si>
    <t>לעיני כל ישראל</t>
  </si>
  <si>
    <t>לעלות</t>
  </si>
  <si>
    <t>לעמלים בתורה</t>
  </si>
  <si>
    <t>ראט, משולם בן שמעון</t>
  </si>
  <si>
    <t>לענג את השבת בעסק התורה</t>
  </si>
  <si>
    <t>לעקסיקאן פון יודישע חכמות</t>
  </si>
  <si>
    <t>זלאטניק, ישעיה</t>
  </si>
  <si>
    <t>לעשות אמת</t>
  </si>
  <si>
    <t>לעשות את השבת</t>
  </si>
  <si>
    <t>לעשות את השבת - 4 כר'</t>
  </si>
  <si>
    <t>לעשות רצונך</t>
  </si>
  <si>
    <t>לעת דודים</t>
  </si>
  <si>
    <t>לעת מצוא</t>
  </si>
  <si>
    <t>אדלר, יצחק</t>
  </si>
  <si>
    <t>לעת מצוא - ב</t>
  </si>
  <si>
    <t>בן עמארה, רחמים בן ברוך</t>
  </si>
  <si>
    <t>לעת מצוא - לקט תפילות</t>
  </si>
  <si>
    <t>גמ"ח עוד ישמע</t>
  </si>
  <si>
    <t>לפי ספרי א-ב</t>
  </si>
  <si>
    <t>לפי ספרי - ג - לקט יהונתן</t>
  </si>
  <si>
    <t>הלכה ומנהג, מחשבה ומוסר, נושאים שונים, תנ"ך</t>
  </si>
  <si>
    <t>לפי ספריו - א</t>
  </si>
  <si>
    <t>לפי שעה -ז</t>
  </si>
  <si>
    <t>לפי שעה</t>
  </si>
  <si>
    <t>תרע"ו-תרע"ז</t>
  </si>
  <si>
    <t>לפיד אש נובהרדקאי</t>
  </si>
  <si>
    <t>אורלנסקי, יצחק (עליו)</t>
  </si>
  <si>
    <t>לפיד אש</t>
  </si>
  <si>
    <t>לפיד האש - 2 כר'</t>
  </si>
  <si>
    <t>לפיד של אש</t>
  </si>
  <si>
    <t>הוצאת לפידי אש</t>
  </si>
  <si>
    <t>לפידי אש דת - 3 כר'</t>
  </si>
  <si>
    <t>לפלגות ישראל באונגריא</t>
  </si>
  <si>
    <t>לפלגות ראובן - 11 כר'</t>
  </si>
  <si>
    <t>בנגיס, זליג ראובן בן צבי הירש</t>
  </si>
  <si>
    <t>תש"ז הק'</t>
  </si>
  <si>
    <t>לפני ד' תטהרו</t>
  </si>
  <si>
    <t>לפני ההכרעה</t>
  </si>
  <si>
    <t>לפני המלך</t>
  </si>
  <si>
    <t>לפני עור</t>
  </si>
  <si>
    <t>לפני שתי מאות שנה</t>
  </si>
  <si>
    <t>לפני תמיד</t>
  </si>
  <si>
    <t>סוסבסקי, אליהו בן משה חיים</t>
  </si>
  <si>
    <t>לפקוח עינים</t>
  </si>
  <si>
    <t>לפרקים &lt;מהדורה חדשה&gt; - 2 כר'</t>
  </si>
  <si>
    <t>לפרקים</t>
  </si>
  <si>
    <t>לפרשת הכשרות באנית הדגל הישראלית שלום</t>
  </si>
  <si>
    <t>פרבר, פנחס</t>
  </si>
  <si>
    <t>לפשוטו ולמדרשו - 2 כר'</t>
  </si>
  <si>
    <t>גולדשטיין, ישראל בן מרדכי</t>
  </si>
  <si>
    <t>מיצד</t>
  </si>
  <si>
    <t>לצאצאי - ב</t>
  </si>
  <si>
    <t>ילין, איטה בת יחיאל מיכל</t>
  </si>
  <si>
    <t>לצאת מהבית מעוטף בטלית ומעוטר בתפילין</t>
  </si>
  <si>
    <t>לציון ברחמים</t>
  </si>
  <si>
    <t>לוי, רחמים - לוי, אברהם</t>
  </si>
  <si>
    <t>לקבלם באהבה</t>
  </si>
  <si>
    <t>חיבטוב, יהודה</t>
  </si>
  <si>
    <t>לקדושים אשר באר"ץ - 2 כר'</t>
  </si>
  <si>
    <t>לאניאדו, דוד ציון בן שלמה</t>
  </si>
  <si>
    <t>לקדושים אשר בארץ</t>
  </si>
  <si>
    <t>לקדושים אשר בארץ - 7 כר'</t>
  </si>
  <si>
    <t>וינברג, יוסף</t>
  </si>
  <si>
    <t>לקוט אמרים</t>
  </si>
  <si>
    <t>(תרפ"ב)-תרצ"ה</t>
  </si>
  <si>
    <t>לקוטות הרמב"ן</t>
  </si>
  <si>
    <t>לקוטי אהרן</t>
  </si>
  <si>
    <t>שינדרמן, אהרן בן נחום דב</t>
  </si>
  <si>
    <t>לקוטי ביאורים</t>
  </si>
  <si>
    <t>לקוטי דברי תורה</t>
  </si>
  <si>
    <t>לקוטי דברים - 2 כר'</t>
  </si>
  <si>
    <t>ששונקין, נחום שמריהו בן אברהם</t>
  </si>
  <si>
    <t>תשי"ד-</t>
  </si>
  <si>
    <t>לקוטי הלכות &lt;מהדורה ראשונה&gt; - 2 כר'</t>
  </si>
  <si>
    <t>לקוטי הלכות</t>
  </si>
  <si>
    <t>לקוטי זוודא קלילא</t>
  </si>
  <si>
    <t>זלצר, אהרן</t>
  </si>
  <si>
    <t>לקוטי חפץ חיים - קונטרס תלמוד תורה ב</t>
  </si>
  <si>
    <t>לקוטי יהודא - 2 כר'</t>
  </si>
  <si>
    <t>תרס"ט-תרע"ב</t>
  </si>
  <si>
    <t>לקוטי יושר - השותפין</t>
  </si>
  <si>
    <t>לקוטי יצחק</t>
  </si>
  <si>
    <t>לקוטי יקותיאל - 2 כר'</t>
  </si>
  <si>
    <t>מלמוד, יקותיאל זוסיא בן מאיר הכהן</t>
  </si>
  <si>
    <t>תר"ץ-תשי"ד</t>
  </si>
  <si>
    <t>לקוטי ישראל - 4 כר'</t>
  </si>
  <si>
    <t>אידלמן, ישראל מרדכי הכהן</t>
  </si>
  <si>
    <t>לקוטי מאיר</t>
  </si>
  <si>
    <t>בנט, מאיר בן שמואל מרדכי</t>
  </si>
  <si>
    <t>לקוטי מהר"י</t>
  </si>
  <si>
    <t>לקוטי מהרי"א השלם על ילקוט שמעוני</t>
  </si>
  <si>
    <t>לקוטי מהרין ותולדות יצחק בן לוי &lt;מהדורה חדשה&gt;</t>
  </si>
  <si>
    <t>נושאים שונים, שאר ספרי חז"ל, תלמוד בבלי, תנ"ך</t>
  </si>
  <si>
    <t>לקוטי מכתבים על עקבתא דמשיחא</t>
  </si>
  <si>
    <t>כהן, ישראל מאיר בן זאב</t>
  </si>
  <si>
    <t>לקוטי מנחם</t>
  </si>
  <si>
    <t>מנחם מנדל בן יעקב הלוי</t>
  </si>
  <si>
    <t>לקוטי מנחת אהבת אליהו</t>
  </si>
  <si>
    <t>אשירוב, אליהו</t>
  </si>
  <si>
    <t>לקוטי משנה - 6 כר'</t>
  </si>
  <si>
    <t>לקוטי עצות - 2 כר'</t>
  </si>
  <si>
    <t>לקוטי צבי - 4 כר'</t>
  </si>
  <si>
    <t>לקוטי רבי משה יעקב - 2 כר'</t>
  </si>
  <si>
    <t>רביקוב, משה יעקב הכהן ('הסנדלר')</t>
  </si>
  <si>
    <t>לקוטי ש"ס - 2 כר'</t>
  </si>
  <si>
    <t>לקוטי שושנים</t>
  </si>
  <si>
    <t>ברוקלין,</t>
  </si>
  <si>
    <t>לקוטי שושנים - 2 כר'</t>
  </si>
  <si>
    <t>הר, שלמה זאב בן מאיר</t>
  </si>
  <si>
    <t>הק' תר"ן</t>
  </si>
  <si>
    <t>לקוטי שלום</t>
  </si>
  <si>
    <t>יעקובוביץ, שלום</t>
  </si>
  <si>
    <t>לקוטי שמואל</t>
  </si>
  <si>
    <t>מאריס, שמואל</t>
  </si>
  <si>
    <t>לקוטי תורה</t>
  </si>
  <si>
    <t>אביחצירא, יצחק בן יעקב</t>
  </si>
  <si>
    <t>ישיבת נר ישראל באלטימאר</t>
  </si>
  <si>
    <t>לקוטי תיקונים</t>
  </si>
  <si>
    <t>לקוטי תפלות ותחנונים</t>
  </si>
  <si>
    <t>לקוטים יקרים</t>
  </si>
  <si>
    <t>אריה ליב בן יעקב ניסן</t>
  </si>
  <si>
    <t>לקוטים מפרוש על התורה - א</t>
  </si>
  <si>
    <t>לקוטים נחמדים</t>
  </si>
  <si>
    <t>ליקוטים נחמדים</t>
  </si>
  <si>
    <t>לקוטים</t>
  </si>
  <si>
    <t>לקורות בני ישראל בקיוב</t>
  </si>
  <si>
    <t>קופרניק, אברהם</t>
  </si>
  <si>
    <t>לקורות הגזרות על ישראל - 3 כר'</t>
  </si>
  <si>
    <t>לקורות היהדות בטרנסילבניא</t>
  </si>
  <si>
    <t>לקורות היהודים בדמשק</t>
  </si>
  <si>
    <t>לקורות היהודים בלובלין - 2 כר'</t>
  </si>
  <si>
    <t>לקורות היהודים בפולין וביחוד בקראקא</t>
  </si>
  <si>
    <t>ווטשטיין, פייבל הירש</t>
  </si>
  <si>
    <t>לקורות היהודים בקיוב</t>
  </si>
  <si>
    <t>דארווסקי, ישראל נחום בן אברהם משה</t>
  </si>
  <si>
    <t>לקורות היהודים ברוסיא פולין וליטא</t>
  </si>
  <si>
    <t>כץ, בן-ציון בן אברהם צבי</t>
  </si>
  <si>
    <t>לקורות הרבנות</t>
  </si>
  <si>
    <t>אסף, שמחה</t>
  </si>
  <si>
    <t>לקורות השבתאים באונגאריא</t>
  </si>
  <si>
    <t>לקורות ישראל ברוסיא</t>
  </si>
  <si>
    <t>לקורות עיר נאוואהרדאק ורבניה</t>
  </si>
  <si>
    <t>וולברינסקי, דוד בן משה צבי הירש</t>
  </si>
  <si>
    <t>לקורות עיר קידאן ורבניה</t>
  </si>
  <si>
    <t>מרקוביץ, משה בן שלמה זלמן</t>
  </si>
  <si>
    <t>לקורות עיר ראסיין ורבניה</t>
  </si>
  <si>
    <t>לקורות קהלת גניזן</t>
  </si>
  <si>
    <t>פוזנר, עקיבא ברוך בן יהודה</t>
  </si>
  <si>
    <t>לקח דעת</t>
  </si>
  <si>
    <t>אזבנד, אייזיק</t>
  </si>
  <si>
    <t>לקח הישיבה</t>
  </si>
  <si>
    <t>אפשטיין, משה מרדכי בן צבי חיים - חסמן, יהודה ליב</t>
  </si>
  <si>
    <t>לקח וליבוב</t>
  </si>
  <si>
    <t>לקח טוב (מגילת אסתר)</t>
  </si>
  <si>
    <t>של"ז - של"ח</t>
  </si>
  <si>
    <t>לקח טוב</t>
  </si>
  <si>
    <t>אבן סאמון, שם טוב בן יוסף חיים</t>
  </si>
  <si>
    <t>לקח טוב - 4 כר'</t>
  </si>
  <si>
    <t>אליעזר ליפמאן בן מנחם מנלי</t>
  </si>
  <si>
    <t>לקח טוב - 3 כר'</t>
  </si>
  <si>
    <t>דיין, חננאל טוביה בן יששכר</t>
  </si>
  <si>
    <t>טוביה בן אליעזר</t>
  </si>
  <si>
    <t>לקח טוב - תולדות משפחת לשצינסקי</t>
  </si>
  <si>
    <t>לשצינסקי, ישראל אריה ליב</t>
  </si>
  <si>
    <t>נאג'ארה, משה בן לוי</t>
  </si>
  <si>
    <t>של"ה</t>
  </si>
  <si>
    <t>ניסים, שלמה סלים בן יצחק</t>
  </si>
  <si>
    <t>פינטו, יוסף בן יעקב</t>
  </si>
  <si>
    <t>קובץ כולל לקח טוב</t>
  </si>
  <si>
    <t>לקח יעקב - ברכות</t>
  </si>
  <si>
    <t>נחמני, יעקב בן שלמה</t>
  </si>
  <si>
    <t>לקח יצחק</t>
  </si>
  <si>
    <t>בוגץ', יצחק בן יהודה לייב</t>
  </si>
  <si>
    <t>לקחי המוסר</t>
  </si>
  <si>
    <t>לקחי חיים</t>
  </si>
  <si>
    <t>לקט אהבת תורה</t>
  </si>
  <si>
    <t>לקט אליהו</t>
  </si>
  <si>
    <t>ברגר, אליהו</t>
  </si>
  <si>
    <t>שפירא, אליהו</t>
  </si>
  <si>
    <t>תקצ"ד - תקצ"ה</t>
  </si>
  <si>
    <t>לקט אמרי קודש - 8 כר'</t>
  </si>
  <si>
    <t>אוסף מתורת רבותינו הק' לבית בעלזא</t>
  </si>
  <si>
    <t>לקט אמרים - 2 כר'</t>
  </si>
  <si>
    <t>לקט ביאורים בעניני חנוכה</t>
  </si>
  <si>
    <t>סטפנסקי, יעקב בן יהודה</t>
  </si>
  <si>
    <t>לקט ביאורים מרבי בצלאל הכהן מווילנא</t>
  </si>
  <si>
    <t>כהן, בצלאל בן ישראל משה מווילנא</t>
  </si>
  <si>
    <t>לקט ביאורים - אוהב את הבריות, אוהב את המקום</t>
  </si>
  <si>
    <t>לקט בעניני חג הפורים</t>
  </si>
  <si>
    <t>לוי, יהושע בן יום טוב</t>
  </si>
  <si>
    <t>לקט בעניני חג הפסח - 2 כר'</t>
  </si>
  <si>
    <t>לקט בעניני ראש השנה</t>
  </si>
  <si>
    <t>לקט בעניני שבועות</t>
  </si>
  <si>
    <t>לקט דברי גדולים בסדר הלימוד</t>
  </si>
  <si>
    <t>מלוקט</t>
  </si>
  <si>
    <t>לקט דברי התעוררות לימים נוראים</t>
  </si>
  <si>
    <t>לקט דברי חיזוק - 2 כר'</t>
  </si>
  <si>
    <t>לקט דברי חכמים</t>
  </si>
  <si>
    <t>כהן, שמעון אשר</t>
  </si>
  <si>
    <t>לקט ההלכה - נדרים, שבועות</t>
  </si>
  <si>
    <t>לקט החנוכה זכרון דוד</t>
  </si>
  <si>
    <t>לקט החנוכה</t>
  </si>
  <si>
    <t>לקט הלכות ביעור מעשרות</t>
  </si>
  <si>
    <t>רוזנברג, שריאל</t>
  </si>
  <si>
    <t>לקט הלכות ברכת המזון וברכות לתלמידים</t>
  </si>
  <si>
    <t>ישיבת והגדת לבנך</t>
  </si>
  <si>
    <t>לקט הלכות המצויות בברכות</t>
  </si>
  <si>
    <t>לקט הלכות המצויות במזוזה</t>
  </si>
  <si>
    <t>לקט הלכות ודינים הנוהגים בראש השנה שחל בשבת</t>
  </si>
  <si>
    <t>לייזרזון, שמחה בונם</t>
  </si>
  <si>
    <t>לקט הלכות ומנהגים - 7 כר'</t>
  </si>
  <si>
    <t>לקט הלכות ופסקי דין - 2 כר'</t>
  </si>
  <si>
    <t>בית דין צדק  בני ברק</t>
  </si>
  <si>
    <t>לקט הלכות חנוכה  - פורים</t>
  </si>
  <si>
    <t>לקט הלכות יום טוב וחול המועד</t>
  </si>
  <si>
    <t>לקט הלכות יום טוב</t>
  </si>
  <si>
    <t>לקט הלכות לימים נוראים - 2 כר'</t>
  </si>
  <si>
    <t>לקט הלכות לישובי העולים</t>
  </si>
  <si>
    <t>לקט הלכות פסח</t>
  </si>
  <si>
    <t>לקט הלכות שביעית</t>
  </si>
  <si>
    <t>לקט הלכות שבת בענינים המצויים בישיבה</t>
  </si>
  <si>
    <t>לקט הלכות שבת</t>
  </si>
  <si>
    <t>לקט הלכות - 3 כר'</t>
  </si>
  <si>
    <t>לקט הנהגות לבן תורה</t>
  </si>
  <si>
    <t>לקט הנהגות ממרן בעל החזון איש</t>
  </si>
  <si>
    <t>קארליץ, אברהם ישעיהו בן שמריהו יוסף</t>
  </si>
  <si>
    <t>הלכה ומנהג, מחשבה ומוסר, נושאים שונים, תולדות עם ישראל, תולדות עם ישראל</t>
  </si>
  <si>
    <t>לקט הנמושות</t>
  </si>
  <si>
    <t>מונק, שמואל דוד הכהן בן רפאל שלום שאול</t>
  </si>
  <si>
    <t>תשלח</t>
  </si>
  <si>
    <t>לקט הספדים על הרבנית אדלשטיין</t>
  </si>
  <si>
    <t>אדלשטיין, הניה רחל (אודותיה)</t>
  </si>
  <si>
    <t>לקט הערות והארות על פרק יום הכיפורים</t>
  </si>
  <si>
    <t>פרידמן, ישראל אהרן בן דוד</t>
  </si>
  <si>
    <t>לקט הערות והארות</t>
  </si>
  <si>
    <t>וויזל, עזרא בן נפתלי הרץ</t>
  </si>
  <si>
    <t>לקט הפורים תהילה לדוד</t>
  </si>
  <si>
    <t>לקט הפסח שואלין ודורשין</t>
  </si>
  <si>
    <t>לקט הקוצרים - 2 כר'</t>
  </si>
  <si>
    <t>נושאים שונים, תולדות עם ישראל, תלמוד בבלי, תלמוד בבלי, תלמוד בבלי</t>
  </si>
  <si>
    <t>לקט הקמח החדש - 6 כר'</t>
  </si>
  <si>
    <t>כץ, יעקב צבי בן שלמה</t>
  </si>
  <si>
    <t>לקט הקמח - 5 כר'</t>
  </si>
  <si>
    <t>לקט הקציר</t>
  </si>
  <si>
    <t>לקט השבת - 2 כר'</t>
  </si>
  <si>
    <t>לקט חידו"ת ממרן הגר"ש ברנבוים זצוק"ל</t>
  </si>
  <si>
    <t>ברנבוים, רפאל שמואל</t>
  </si>
  <si>
    <t>לקט יהודה</t>
  </si>
  <si>
    <t>וורניקובסקי, יהודה בן יצחק</t>
  </si>
  <si>
    <t>לקט יוסף</t>
  </si>
  <si>
    <t>לקט יוסף - 2 כר'</t>
  </si>
  <si>
    <t>לווין, יוסף מאיר בן שמואל דוד</t>
  </si>
  <si>
    <t>לקט יושר - א-ב</t>
  </si>
  <si>
    <t>יוסף יוזפא בן משה אוסטרייכר</t>
  </si>
  <si>
    <t>תרס"ג - תרס"ד</t>
  </si>
  <si>
    <t>לקט יסודות הקדיש</t>
  </si>
  <si>
    <t>סאפרין, יוסף מאיר בן שאול יחזקאל</t>
  </si>
  <si>
    <t>לקט ישראל</t>
  </si>
  <si>
    <t>נושא-חן, ישראל בן נח</t>
  </si>
  <si>
    <t>לקט כללי הגמרא - 3 כר'</t>
  </si>
  <si>
    <t>לקט לחג השבועות &lt;ליקוט מחמדת ימים&gt;</t>
  </si>
  <si>
    <t>לקט מאוצר החסידות</t>
  </si>
  <si>
    <t>לקט מאמרי חובת הלבבות</t>
  </si>
  <si>
    <t>רוזנברג, אברהם בן ברוך (עורך)</t>
  </si>
  <si>
    <t>לקט מאמרים - 2 כר'</t>
  </si>
  <si>
    <t>לקט מבואות</t>
  </si>
  <si>
    <t>לקט מדברי ראשונים ואחרונים - 3 כר'</t>
  </si>
  <si>
    <t>נדב, מאיר</t>
  </si>
  <si>
    <t>לקט מהגיוני התורה</t>
  </si>
  <si>
    <t>לקט מהרי"ט</t>
  </si>
  <si>
    <t>רוזנברג, יחיאל טוביה בן חיים יהודה ליבו</t>
  </si>
  <si>
    <t>נושאים שונים, שאלות ותשובות, שלחן ערוך ומפרשיו, תולדות עם ישראל, תלמוד בבלי, תלמוד בבלי</t>
  </si>
  <si>
    <t>לקט מנחת עני</t>
  </si>
  <si>
    <t>לקט מספר פלא יועץ</t>
  </si>
  <si>
    <t>לקט מפאה</t>
  </si>
  <si>
    <t>קמפניינו, ראובן</t>
  </si>
  <si>
    <t>לקט מפתחות לספרי סוד</t>
  </si>
  <si>
    <t>לקט מקורות ומאמרים על קבר רחל בטבריה</t>
  </si>
  <si>
    <t>אגודת בני מרדכי</t>
  </si>
  <si>
    <t>תשנה</t>
  </si>
  <si>
    <t>לקט נבואות</t>
  </si>
  <si>
    <t>לקט נועם שיח</t>
  </si>
  <si>
    <t>אייכנשטיין, משה שלמה</t>
  </si>
  <si>
    <t>לקט עני &lt;מהדורה חדשה&gt;</t>
  </si>
  <si>
    <t>לקט עני</t>
  </si>
  <si>
    <t>אסבאג, דוד בן יצחק</t>
  </si>
  <si>
    <t>Meknes מכנס</t>
  </si>
  <si>
    <t>לקט עני - 2 כר'</t>
  </si>
  <si>
    <t>סקליאר, מרדכי צבי בן חיים</t>
  </si>
  <si>
    <t>בריסק Brest Litovsk</t>
  </si>
  <si>
    <t>לקט פיוטי סליחות - 3 כר'</t>
  </si>
  <si>
    <t>גולדשמיט, דניאל - פרנקל, אברהם</t>
  </si>
  <si>
    <t>לקט פירושי אגדה - 4 כר'</t>
  </si>
  <si>
    <t>לקט פירושים - 3 כר'</t>
  </si>
  <si>
    <t>מצגר, בנימין</t>
  </si>
  <si>
    <t>לקט פנינים והערות בענייני לימוד תורה - תפארת יהושע</t>
  </si>
  <si>
    <t>אייזמן, גדליה - נויבירט, יהושע ישעיה</t>
  </si>
  <si>
    <t>חמד</t>
  </si>
  <si>
    <t>לקט פתגמין קדישין</t>
  </si>
  <si>
    <t>רבינוביץ, שמחה בן ציון</t>
  </si>
  <si>
    <t>לקט צבי</t>
  </si>
  <si>
    <t>לקט רשימות - 9 כר'</t>
  </si>
  <si>
    <t>וואכטפויגל, נתן מאיר</t>
  </si>
  <si>
    <t>לקט שאלות המצויות - 6 כר'</t>
  </si>
  <si>
    <t>לקט שבלים - 2 כר'</t>
  </si>
  <si>
    <t>בוקשפן, שמעון</t>
  </si>
  <si>
    <t>לקט שדך</t>
  </si>
  <si>
    <t>לקט שו"ת בענין התקנה לקדש בפני עשרה</t>
  </si>
  <si>
    <t>לקט שאלות ותשובות ראשונים ואחרונים</t>
  </si>
  <si>
    <t>לקט שו"ת</t>
  </si>
  <si>
    <t>מועדי ישראל, נושאים שונים, שאלות ותשובות</t>
  </si>
  <si>
    <t>לקט שושנים &lt;כתב יד&gt;</t>
  </si>
  <si>
    <t>לקט שושנים - 3 כר'</t>
  </si>
  <si>
    <t>גולדשטיין, פסח - שנטג שמואל צבי</t>
  </si>
  <si>
    <t>לקט שושנים - שבועות</t>
  </si>
  <si>
    <t>לקט שיח סוד</t>
  </si>
  <si>
    <t>לקט שיחות וביאורים</t>
  </si>
  <si>
    <t>לקט שיחות מוסר &lt;מהדורה חדשה&gt; - 3 כר'</t>
  </si>
  <si>
    <t>שר, יצחק אייזיק</t>
  </si>
  <si>
    <t>גרינהוז, צבי</t>
  </si>
  <si>
    <t>לקט שיחות</t>
  </si>
  <si>
    <t>לקט שיעורים &lt;ר"י סלבודקה&gt; - 2 כר'</t>
  </si>
  <si>
    <t>זקס, עמרם - לנדו, דב - הירש, משה הלל - שוורץ, יצחק</t>
  </si>
  <si>
    <t>לקט שיעורים &lt;ר"י סלבודקה&gt; - 3 כר'</t>
  </si>
  <si>
    <t>זקס, עמרם - לנדו, דב - הירש, משה הלל</t>
  </si>
  <si>
    <t>לקט שיעורים &lt;ר"י סלבודקה&gt; - 9 כר'</t>
  </si>
  <si>
    <t>ראשי ישיבת סלבודקה</t>
  </si>
  <si>
    <t>לקט שיעורים &lt;ר"י סלבודקה&gt; - 16 כר'</t>
  </si>
  <si>
    <t>לקט שיעורים &lt;ר"י סלבודקה&gt; - שבת א</t>
  </si>
  <si>
    <t>לקט שיעורים &lt;ר"י סלבודקה&gt; - שבת ב</t>
  </si>
  <si>
    <t>שולמן, מרדכי - רוזנברג, ברוך</t>
  </si>
  <si>
    <t>שולמן, מרדכי, בן שמחה שמואל -  רוזנברג, ברוך בן גרשון חנוך</t>
  </si>
  <si>
    <t>לקט שיעורים &lt;ר"י סלבודקה&gt; - 4 כר'</t>
  </si>
  <si>
    <t>שורץ, יצחק</t>
  </si>
  <si>
    <t>לקט שיעורים פרק בן סורר ומורה</t>
  </si>
  <si>
    <t>ישיבת ברכת יוסף</t>
  </si>
  <si>
    <t>לקט שיעורים</t>
  </si>
  <si>
    <t>גפן, נפתלי</t>
  </si>
  <si>
    <t>לקט שיעורים - ב"ב, כתובות</t>
  </si>
  <si>
    <t>וויס, אשר</t>
  </si>
  <si>
    <t>לקט שיעורים - פסחים</t>
  </si>
  <si>
    <t>סרף, גבריאל</t>
  </si>
  <si>
    <t>לקט שיעורים - א</t>
  </si>
  <si>
    <t>קוק, אברהם יצחק בן רפאל הכהן</t>
  </si>
  <si>
    <t>לקט שיעורים - שבת</t>
  </si>
  <si>
    <t>לקט שכחה וטעות - א</t>
  </si>
  <si>
    <t>לקט שכחה</t>
  </si>
  <si>
    <t>[בנימין, מסעוד בן דוד]</t>
  </si>
  <si>
    <t>לקט שכחה - 2 כר'</t>
  </si>
  <si>
    <t>בנימין, מסעוד בן דוד</t>
  </si>
  <si>
    <t>תרע"ו-תרפ"ג</t>
  </si>
  <si>
    <t>לקט שמואל - דרוש שמואל</t>
  </si>
  <si>
    <t>שמואל פייבוש בן יוסף יוזפא הכהן</t>
  </si>
  <si>
    <t>לקט ששנ"ה - 10 כר'</t>
  </si>
  <si>
    <t>ירחון תורני (עורך: שורץ, שמואל הכהן)</t>
  </si>
  <si>
    <t>לקט תשובה וצדקה (מהד"א)</t>
  </si>
  <si>
    <t>לקט תשובה וצדקה (מהד"ב)</t>
  </si>
  <si>
    <t>לקט תשובה וצדקה (מהד"ג)</t>
  </si>
  <si>
    <t>לקטים מזהירים</t>
  </si>
  <si>
    <t>קריצמאן, משה יחזקאל בן לוי מאיר הכהן</t>
  </si>
  <si>
    <t>לקיחה תמה - לולב הגזול</t>
  </si>
  <si>
    <t>לקיחה תמה</t>
  </si>
  <si>
    <t>לקיטת יצחק בן אברהם - 2 כר'</t>
  </si>
  <si>
    <t>קאפף, יצחק</t>
  </si>
  <si>
    <t>לקיטת יצחק</t>
  </si>
  <si>
    <t>לקסיקון הכינויים בלשון הפייטנים</t>
  </si>
  <si>
    <t>דוד, יונה</t>
  </si>
  <si>
    <t>לקץ הימין</t>
  </si>
  <si>
    <t>ימיני, משה בן יצחק</t>
  </si>
  <si>
    <t>לקראת הגאולה השלמה</t>
  </si>
  <si>
    <t>אפרתי, משה אפרים בן אברהם אבא</t>
  </si>
  <si>
    <t>לקראת הגאולה</t>
  </si>
  <si>
    <t>לקראת המועדים</t>
  </si>
  <si>
    <t>ברוס, משה מנדל בן שאול</t>
  </si>
  <si>
    <t>לקראת הנישואין</t>
  </si>
  <si>
    <t>לקראת כלה</t>
  </si>
  <si>
    <t>אביטן, נסים בן מיכאל</t>
  </si>
  <si>
    <t>ארנד, יצחק</t>
  </si>
  <si>
    <t>לקראת כלה - 2 כר'</t>
  </si>
  <si>
    <t>וייס, יוסף בן יקותיאל יהודה</t>
  </si>
  <si>
    <t>לקראת צמא</t>
  </si>
  <si>
    <t>דיינובסקי, דוד טביל</t>
  </si>
  <si>
    <t>לקראת שבת מלכתא</t>
  </si>
  <si>
    <t>מאסף תורני לזכר הילדה בת שבע אסתר וולפסון</t>
  </si>
  <si>
    <t>לקראת שבת - 2 כר'</t>
  </si>
  <si>
    <t>אלקובי, גבריאל אליהו בן רפאל</t>
  </si>
  <si>
    <t>לקראת שבת</t>
  </si>
  <si>
    <t>לקראת שבת - 3 כר'</t>
  </si>
  <si>
    <t>ברוך, שמעון בן מרדכי</t>
  </si>
  <si>
    <t>כולל יום השישי</t>
  </si>
  <si>
    <t>קובץ ישיבת בית מרדכי דחסידי בעלזא</t>
  </si>
  <si>
    <t>לקראת שמיטה תשי"ט</t>
  </si>
  <si>
    <t>לקראת שנת השמיטה - 2 כר'</t>
  </si>
  <si>
    <t>מכון לחקר החקלאות על פי התורה</t>
  </si>
  <si>
    <t>[תשי"ח,</t>
  </si>
  <si>
    <t>לראות טוב - עירובין</t>
  </si>
  <si>
    <t>לראות מהרה</t>
  </si>
  <si>
    <t>לראות פני מלך</t>
  </si>
  <si>
    <t>לראש יוסף</t>
  </si>
  <si>
    <t>יפרח, יוסף</t>
  </si>
  <si>
    <t>לרוץ אורח - 2 כר'</t>
  </si>
  <si>
    <t>לרחוק ולקרוב</t>
  </si>
  <si>
    <t>מאמרים שנאמרו בישיבת באר יעקב</t>
  </si>
  <si>
    <t>לרעות בגנים - 2 כר'</t>
  </si>
  <si>
    <t>לרפואה שלמה</t>
  </si>
  <si>
    <t>לרצנכם תזבחוהו</t>
  </si>
  <si>
    <t>לשאלת ניתוחי מתים</t>
  </si>
  <si>
    <t>לשאלת נתוח המת ובעלות האדם על הגוף</t>
  </si>
  <si>
    <t>לשבעים ולרעבים</t>
  </si>
  <si>
    <t>לשבת יצרה</t>
  </si>
  <si>
    <t>לשבת משה - 2 כר'</t>
  </si>
  <si>
    <t>משה זאב בן יעקב ממזריטש</t>
  </si>
  <si>
    <t>לשד השמן</t>
  </si>
  <si>
    <t>דרושים, הלכה ומנהג, תלמוד בבלי, תנ"ך, תפלות בקשות פיוטים ושירה</t>
  </si>
  <si>
    <t>מלכא, ניסים</t>
  </si>
  <si>
    <t>לשוח בשדה &lt;אסירי התקוה&gt;</t>
  </si>
  <si>
    <t>לשוח בשדה</t>
  </si>
  <si>
    <t>ארלנגר, יצחק בן אהרון</t>
  </si>
  <si>
    <t>לשון אש</t>
  </si>
  <si>
    <t>לשון הזהב - כיצד לדרוש ברבים</t>
  </si>
  <si>
    <t>לשון הזהב - 3 כר'</t>
  </si>
  <si>
    <t>זאב וולף בן אלעזר מליזנסק</t>
  </si>
  <si>
    <t>לשון הזהב</t>
  </si>
  <si>
    <t>לשון הים</t>
  </si>
  <si>
    <t>Bialystok ביאליסטוק</t>
  </si>
  <si>
    <t>לשון הים - 4 כר'</t>
  </si>
  <si>
    <t>ישיבת טלז ריווערדייל</t>
  </si>
  <si>
    <t>ריווערדייל</t>
  </si>
  <si>
    <t>לשון הקודש</t>
  </si>
  <si>
    <t>רוכלין, יצחק אריה ליב</t>
  </si>
  <si>
    <t>רחובות Rehovot</t>
  </si>
  <si>
    <t>לשון ורפואה בתנ"ך</t>
  </si>
  <si>
    <t>מרגלית, דוד בן שלמה נתן</t>
  </si>
  <si>
    <t>לשון זהב</t>
  </si>
  <si>
    <t>מארשן, יוסף בן יעקב</t>
  </si>
  <si>
    <t>לשון זהב - 2 כר'</t>
  </si>
  <si>
    <t>שיף, דוד טבלי בן שלמה זלמן הכהן</t>
  </si>
  <si>
    <t>תקפ"ב - תקפ"ג</t>
  </si>
  <si>
    <t>דרושים, משנה, שאלות ותשובות, תלמוד בבלי, תלמוד בבלי, תנ"ך</t>
  </si>
  <si>
    <t>תנ"ך. תצ"ב. קושטא</t>
  </si>
  <si>
    <t>לשון זהורית - הגהות והערות</t>
  </si>
  <si>
    <t>לשון חיים</t>
  </si>
  <si>
    <t>חרז, משה חיים</t>
  </si>
  <si>
    <t>תלמידי מרן החתם סופר</t>
  </si>
  <si>
    <t>לשון חכמים ולשון פז</t>
  </si>
  <si>
    <t>לשון חכמים</t>
  </si>
  <si>
    <t>בראנדייס, ברוך יהודה בן בצלאל הלוי</t>
  </si>
  <si>
    <t>לשון חכמים - 2 כר'</t>
  </si>
  <si>
    <t>גולדבליט, שמעון יהודה ליב בן אברהם דוד</t>
  </si>
  <si>
    <t>מונדשיין, זליג צבי בן אליעזר</t>
  </si>
  <si>
    <t>לשון חסידים</t>
  </si>
  <si>
    <t>לשון ים - 5 כר'</t>
  </si>
  <si>
    <t>מאיר, יחזקאל בן מיכאל יצחק</t>
  </si>
  <si>
    <t>לשון לימודים</t>
  </si>
  <si>
    <t>לשון למודים - 2 כר'</t>
  </si>
  <si>
    <t>רס"ו</t>
  </si>
  <si>
    <t>לשון למודים</t>
  </si>
  <si>
    <t>זלץ, זאב בן יהושע</t>
  </si>
  <si>
    <t>יעבץ, ברזילי בן ברוך</t>
  </si>
  <si>
    <t>לשון למודים - 4 כר'</t>
  </si>
  <si>
    <t>לנדא, משה דוד בן קלמן הלוי</t>
  </si>
  <si>
    <t>לשון מרפא - הלכות רפואה בשבת</t>
  </si>
  <si>
    <t>ווקסמן, ישעיהו לייב</t>
  </si>
  <si>
    <t>לשון מרפא - 2 כר'</t>
  </si>
  <si>
    <t>לשון מרפא</t>
  </si>
  <si>
    <t>ספר זכרון לרבי פרץ אריאל</t>
  </si>
  <si>
    <t>לשון משנה</t>
  </si>
  <si>
    <t>לשון נקי</t>
  </si>
  <si>
    <t>בלוך, יוסף בן דוד טבל</t>
  </si>
  <si>
    <t>לשון ערומים</t>
  </si>
  <si>
    <t>לשון קדושה</t>
  </si>
  <si>
    <t>לשונות ארגמן - 2 כר'</t>
  </si>
  <si>
    <t>מצגר, חיים יצחק משה</t>
  </si>
  <si>
    <t>לשונות פירוש והוספות מאוחרות בתלמוד הבבלי - תדפיס</t>
  </si>
  <si>
    <t>לשונות קודש - מסכת אבות</t>
  </si>
  <si>
    <t>חסידות, חסידות, משנה</t>
  </si>
  <si>
    <t>לשונות של אש - 2 כר'</t>
  </si>
  <si>
    <t>לשיח באמרתך</t>
  </si>
  <si>
    <t>בן גיגי, שמעון</t>
  </si>
  <si>
    <t>לשכנו תדרשו</t>
  </si>
  <si>
    <t>אסרף, אליהו בן שמעון</t>
  </si>
  <si>
    <t>לשכנו תדרשו - 2 כר'</t>
  </si>
  <si>
    <t>לשכת המלח</t>
  </si>
  <si>
    <t>קלר, אריה ליב בן שמואל ישעיהו</t>
  </si>
  <si>
    <t>לשכת הסופר</t>
  </si>
  <si>
    <t>לשכת הקודש - 2 כר'</t>
  </si>
  <si>
    <t>קובץ תורני לברורי הלכה ומנהג בענייני סת"ם</t>
  </si>
  <si>
    <t>לשלמה</t>
  </si>
  <si>
    <t>לשם זבח</t>
  </si>
  <si>
    <t>יעקב יהודה ליב בן חנוך זונדל</t>
  </si>
  <si>
    <t>לשם שבו ואחלמה - 8 כר'</t>
  </si>
  <si>
    <t>לשמוע בלמודים</t>
  </si>
  <si>
    <t>לשמוע בקול דברו</t>
  </si>
  <si>
    <t>לשמוע</t>
  </si>
  <si>
    <t>ישיבת בית רבי שמעיהו</t>
  </si>
  <si>
    <t>לשמש שם אהל - 2 כר'</t>
  </si>
  <si>
    <t>קול מהיכל</t>
  </si>
  <si>
    <t>לשנה טובה</t>
  </si>
  <si>
    <t>בריזל, אליעזר</t>
  </si>
  <si>
    <t>לשנת השמיטה</t>
  </si>
  <si>
    <t>לשעה ולדורות</t>
  </si>
  <si>
    <t>עכו Acre</t>
  </si>
  <si>
    <t>לשעה ולדורות - 2 כר'</t>
  </si>
  <si>
    <t>לשרידים אשר ה' קורא - &lt;מודעה למכירת טליתות&gt;</t>
  </si>
  <si>
    <t>חפץ, חברה משפחתית לאריגת טליתות</t>
  </si>
  <si>
    <t>לשרת בקדש</t>
  </si>
  <si>
    <t>בנדיקט, יחיאל</t>
  </si>
  <si>
    <t>לשרת בקודש - זבחים ב</t>
  </si>
  <si>
    <t>לשרת בקודש</t>
  </si>
  <si>
    <t>לופיאן, זאב בן שמואל שלמה</t>
  </si>
  <si>
    <t>לששון ולשמחה</t>
  </si>
  <si>
    <t>לתולדות הגאון בעל חוות דעת זצ"ל</t>
  </si>
  <si>
    <t>לתולדות היהודים בקובנה וסלבודקה</t>
  </si>
  <si>
    <t>ליפמאן, דוד מתתיהו בן יצחק איזיק מרדכי</t>
  </si>
  <si>
    <t>לתולדות הישיבה בוולוז'ין (תדפיס)</t>
  </si>
  <si>
    <t>ועד מקיצי נרדמים</t>
  </si>
  <si>
    <t>לתולדות הישיבות כנסת יחזקאל וחסד אל בירושלים</t>
  </si>
  <si>
    <t>לתולדות הסנהדרין בישראל</t>
  </si>
  <si>
    <t>לתולדות הרב שלמה אלגאזי והדפסת ספריו - תדפיס</t>
  </si>
  <si>
    <t>לתולדות הריפורמציאן הדתית בגרמניא ובאונגריא</t>
  </si>
  <si>
    <t>לתולדות כתבי יד המשנה</t>
  </si>
  <si>
    <t>פרידמן, ח,ב</t>
  </si>
  <si>
    <t>משנה, נושאים שונים, קבצים וכתבי עת, ספרי זכרון ויובל</t>
  </si>
  <si>
    <t>לתולדות משפחת רוזנבוים הירש</t>
  </si>
  <si>
    <t>מכון זכרון</t>
  </si>
  <si>
    <t>לתולדות נר של שבת</t>
  </si>
  <si>
    <t>לוין, בנימין מנשה</t>
  </si>
  <si>
    <t>לתולדות פולמוס שמיטת תרמ"ט</t>
  </si>
  <si>
    <t>לתולדות קהילת בולונייה</t>
  </si>
  <si>
    <t>זנה, ישעיהו</t>
  </si>
  <si>
    <t>סינסינטי</t>
  </si>
  <si>
    <t>לתורה והוראה - 10 כר'</t>
  </si>
  <si>
    <t>בית מדרש לתורה והוראה - ניו יורק</t>
  </si>
  <si>
    <t>לתורה והוראה</t>
  </si>
  <si>
    <t>ספר זכרון למרן הגר"מ פיינשטיין</t>
  </si>
  <si>
    <t>לתורה ולמועדים &lt;מהדורה חדשה&gt;</t>
  </si>
  <si>
    <t>לתורה ולמועדים</t>
  </si>
  <si>
    <t>לתקופת הימים</t>
  </si>
  <si>
    <t>לתקן את הגשר</t>
  </si>
  <si>
    <t>אבידני, פתחיה שמעון מרדכי</t>
  </si>
  <si>
    <t>לתקנת עגונות</t>
  </si>
  <si>
    <t>כהנא, יצחק זאב בן משה</t>
  </si>
  <si>
    <t>לתשובה ולתקומה</t>
  </si>
  <si>
    <t>לתשובת השנה</t>
  </si>
  <si>
    <t>מ"ח דברים</t>
  </si>
  <si>
    <t>מ"ח קניינים למעשה</t>
  </si>
  <si>
    <t>מ"י מנוחות - נזקי שכנים ושכירות פועלים</t>
  </si>
  <si>
    <t>ריזל, משה יוסף בן יחיאל זאב</t>
  </si>
  <si>
    <t>מאבדן אלי פדות</t>
  </si>
  <si>
    <t>מאבני המקום</t>
  </si>
  <si>
    <t>אטון, בן ציון בן שבתי</t>
  </si>
  <si>
    <t>מאבני המקום - 18 כר'</t>
  </si>
  <si>
    <t>ישיבת בית אל</t>
  </si>
  <si>
    <t>מאבני המקום - 2 כר'</t>
  </si>
  <si>
    <t>מאגדות החורבן</t>
  </si>
  <si>
    <t>בן שחר, אברהם יצחק בן אפרים מרדכי</t>
  </si>
  <si>
    <t>מאגדות תימן</t>
  </si>
  <si>
    <t>ירמי, יהודה בן אהרן</t>
  </si>
  <si>
    <t>מאגר לחידוני תנ"ך</t>
  </si>
  <si>
    <t>אבוטבול, יוסף חיים</t>
  </si>
  <si>
    <t>מאגר ערכים בספרות חב"ד - 4 כר'</t>
  </si>
  <si>
    <t>לייאנס, דוד</t>
  </si>
  <si>
    <t>מאה אדנים</t>
  </si>
  <si>
    <t>מאה ברכות</t>
  </si>
  <si>
    <t>מאה שנה לחידוש התכלת</t>
  </si>
  <si>
    <t>מאה שנה של ספרים</t>
  </si>
  <si>
    <t>ברס, צבי</t>
  </si>
  <si>
    <t>מאה שנים רבנות ורבנים בפתח תקוה</t>
  </si>
  <si>
    <t>הרבנות הראשית פתח תקוה</t>
  </si>
  <si>
    <t>מאה שערים ושכונותיה</t>
  </si>
  <si>
    <t>מאה שערים שלי</t>
  </si>
  <si>
    <t>מאה שערים</t>
  </si>
  <si>
    <t>הורוויץ, יצחק בן משולם יששכר הלוי</t>
  </si>
  <si>
    <t>הכהן, יצחק</t>
  </si>
  <si>
    <t>מאה שערים - 2 כר'</t>
  </si>
  <si>
    <t>מורגנשטרן, יצחק בצלאל בן פינחס יהודה לי</t>
  </si>
  <si>
    <t>פסחוביץ, נחמן בן ישכר דוב</t>
  </si>
  <si>
    <t>שטיינר, יצחק אייזיק בן אברהם</t>
  </si>
  <si>
    <t>מאה שערים - 3 כר'</t>
  </si>
  <si>
    <t>שני, יצחק בן אליהו</t>
  </si>
  <si>
    <t>ש"ג</t>
  </si>
  <si>
    <t>שנעעבאלג, יצחק בן אברהם זאב</t>
  </si>
  <si>
    <t>מאהלי תורה - 2 כר'</t>
  </si>
  <si>
    <t>מאוצר גנזי</t>
  </si>
  <si>
    <t>ערמון-קסטנבאום, חיים דב בן צבי</t>
  </si>
  <si>
    <t>מאוצר המהרש"א - 2 כר'</t>
  </si>
  <si>
    <t>מאוצר השבת שבפרשה - 5 כר'</t>
  </si>
  <si>
    <t>בצלאל, אבישי רחמים בן יעקב</t>
  </si>
  <si>
    <t>מאוצר התלמוד - תענית ומגילה</t>
  </si>
  <si>
    <t>תלמוד בבלי. תש"ד. תל אביב</t>
  </si>
  <si>
    <t>מאוצר מהרש"א - 2 כר'</t>
  </si>
  <si>
    <t>מאוצרות התורה - 6 כר'</t>
  </si>
  <si>
    <t>ישיבה הגדולה אוצרות התורה</t>
  </si>
  <si>
    <t>מאוצרות ספריית עץ חיים</t>
  </si>
  <si>
    <t>מאוצרות שבט הלוי - שביבי אש נישואין וכתובה</t>
  </si>
  <si>
    <t>ואזנר, שמואל בן יוסף צבי הלוי - שטרן, שמואל אליעזר</t>
  </si>
  <si>
    <t>מאוצרותיהם של מגידים - 2 כר'</t>
  </si>
  <si>
    <t>כהן, איתן בן אליהו</t>
  </si>
  <si>
    <t>מאוצרותיו של המגיד - 3 כר'</t>
  </si>
  <si>
    <t>פערל, שלום</t>
  </si>
  <si>
    <t>מאוצרנו הישן - 4 כר'</t>
  </si>
  <si>
    <t>יוסטמן &lt;יאושזאהן&gt;, משה בונים</t>
  </si>
  <si>
    <t>מאור אברהם - 2 כר'</t>
  </si>
  <si>
    <t>חבורות הבחורים דחסידי סטריקוב</t>
  </si>
  <si>
    <t>מאור אברהם</t>
  </si>
  <si>
    <t>יעקובוביץ, אברהם מאיר בן אהרן</t>
  </si>
  <si>
    <t>מאור אגדה</t>
  </si>
  <si>
    <t>מאור אהרן</t>
  </si>
  <si>
    <t>מאור ברוך - 4 כר'</t>
  </si>
  <si>
    <t>ישיבת אור ברוך</t>
  </si>
  <si>
    <t>מאור גדול</t>
  </si>
  <si>
    <t>מאור האוהל</t>
  </si>
  <si>
    <t>חדש, מאיר הלוי - כהן, ישעיהו בן שמעון אשר</t>
  </si>
  <si>
    <t>מאור האפלה</t>
  </si>
  <si>
    <t>נתנאל בן ישעיה</t>
  </si>
  <si>
    <t>מאור הבחירה</t>
  </si>
  <si>
    <t>מאור הגולה - 2 כר'</t>
  </si>
  <si>
    <t>לוין, יהודה לייב הכהן</t>
  </si>
  <si>
    <t>מאור הגולה - יום טוב שני של גלויות</t>
  </si>
  <si>
    <t>ליכט, משה</t>
  </si>
  <si>
    <t>מאור הגליל - 2 כר'</t>
  </si>
  <si>
    <t>קובץ, ישיבת מאור הגליל</t>
  </si>
  <si>
    <t>מאור ההלכה</t>
  </si>
  <si>
    <t>בורה, אור</t>
  </si>
  <si>
    <t>מאור החיים</t>
  </si>
  <si>
    <t>מאור החיים - 2 כר'</t>
  </si>
  <si>
    <t>אונגאר, מאיר חיים בן יעקב</t>
  </si>
  <si>
    <t>סוגיות, שאלות ותשובות, תולדות עם ישראל</t>
  </si>
  <si>
    <t>איינהורן, דוד בן חיים מאיר</t>
  </si>
  <si>
    <t>מאור החיים - 5 כר'</t>
  </si>
  <si>
    <t>ישיבת אמרי חיים ויזניץ</t>
  </si>
  <si>
    <t>מאור החיים - 11 כר'</t>
  </si>
  <si>
    <t>שיינברג, ראובן בן מאיר</t>
  </si>
  <si>
    <t>מאור החשמל</t>
  </si>
  <si>
    <t>מאור המועדים</t>
  </si>
  <si>
    <t>ברטמן, שלום אברהם</t>
  </si>
  <si>
    <t>מאור המילה</t>
  </si>
  <si>
    <t>צוברי, מאור יצחק</t>
  </si>
  <si>
    <t>מאור העין</t>
  </si>
  <si>
    <t>נגר, עוואד, בן יחיא</t>
  </si>
  <si>
    <t>מאור הקודש - 2 כר'</t>
  </si>
  <si>
    <t>לב, מאיר אריה בן יוסף</t>
  </si>
  <si>
    <t>מאור הקטן - 2 כר'</t>
  </si>
  <si>
    <t>מאיר בן יצחק מטארנופול</t>
  </si>
  <si>
    <t>מאור הרמה - ב</t>
  </si>
  <si>
    <t>מרכז התורני האשל ברמה</t>
  </si>
  <si>
    <t>מאור השבת</t>
  </si>
  <si>
    <t>לקט מאמרי רבוה"ק מטשערנאביל-טאלנא</t>
  </si>
  <si>
    <t>מאור השמ"ש - 2 כר'</t>
  </si>
  <si>
    <t>מאור התוכחה</t>
  </si>
  <si>
    <t>קפלן, מאיר בן יהושע הכהן</t>
  </si>
  <si>
    <t>מאור התורה - 2 כר'</t>
  </si>
  <si>
    <t>מאור התורה</t>
  </si>
  <si>
    <t>מאור התורה - 7 כר'</t>
  </si>
  <si>
    <t>כולל אברכים מאור התורה</t>
  </si>
  <si>
    <t>מאור התורה, להורות נתן - 5 כר'</t>
  </si>
  <si>
    <t>אונגר, מאיר חיים - געשטעטנער, נתן בן עמרם</t>
  </si>
  <si>
    <t>מאור התפילה</t>
  </si>
  <si>
    <t>מאור ושמש &lt;מהדורה חדשה&gt; - 2 כר'</t>
  </si>
  <si>
    <t>אפשטיין, קלונימוס קלמן בן אהרן הלוי</t>
  </si>
  <si>
    <t>מאור ושמש השלם - 6 כר'</t>
  </si>
  <si>
    <t>מאור ושמש - 3 כר'</t>
  </si>
  <si>
    <t>מאור ושמש - רמזי ראש השנה</t>
  </si>
  <si>
    <t>מכון אור הספר</t>
  </si>
  <si>
    <t>מאור ושמש - 2 כר'</t>
  </si>
  <si>
    <t>קורייאט, יהודה בן אברהם רפאל</t>
  </si>
  <si>
    <t>מאור חדש</t>
  </si>
  <si>
    <t>אנגל, משה בן שרגא</t>
  </si>
  <si>
    <t>בן ישי, מאיר חנוך הנוך בן איסר פסח</t>
  </si>
  <si>
    <t>מאור חיים - 2 כר'</t>
  </si>
  <si>
    <t>מאור יהושע &lt;שו"ת&gt;</t>
  </si>
  <si>
    <t>מאור יחזקאל</t>
  </si>
  <si>
    <t>הורוויץ, אלתר יחזקאל</t>
  </si>
  <si>
    <t>מאור יעקב</t>
  </si>
  <si>
    <t>בידרמן, יעקב מאיר בן נתן שלמה בצלאל</t>
  </si>
  <si>
    <t>נושאים שונים, תלמוד בבלי, תנ"ך, תנ"ך</t>
  </si>
  <si>
    <t>מאור יעקב - 8 כר'</t>
  </si>
  <si>
    <t>כהנא, יעקב מאיר</t>
  </si>
  <si>
    <t>תל אבי</t>
  </si>
  <si>
    <t>מאור יצחק על פרק איזהו נשך</t>
  </si>
  <si>
    <t>כולל מאור יצחק</t>
  </si>
  <si>
    <t>מאור ישעי</t>
  </si>
  <si>
    <t>כהן, ישעיהו בן שמעון אשר</t>
  </si>
  <si>
    <t>מאור ישראל &lt;מהדורה חדשה&gt;</t>
  </si>
  <si>
    <t>הראל, אריה יהודה</t>
  </si>
  <si>
    <t>מאור ישראל</t>
  </si>
  <si>
    <t>מאור ישראל - קדושין</t>
  </si>
  <si>
    <t>ישיבת מאור ישראל</t>
  </si>
  <si>
    <t>מאור לאש</t>
  </si>
  <si>
    <t>מאור לכשרות - 4 כר'</t>
  </si>
  <si>
    <t>מאור למלך - 14 כר'</t>
  </si>
  <si>
    <t>מלר, יחזקאל בן אלימלך</t>
  </si>
  <si>
    <t>מאור למסכת חולין - 2 כר'</t>
  </si>
  <si>
    <t>מאור למסכתות חולין זבחים בכורות</t>
  </si>
  <si>
    <t>מאור לתורה</t>
  </si>
  <si>
    <t>סגל, פ. אברהם</t>
  </si>
  <si>
    <t>מאור מרדכי</t>
  </si>
  <si>
    <t>גניזי, מרדכי צבי בן יעקב</t>
  </si>
  <si>
    <t>מאור מרדכי - 3 כר'</t>
  </si>
  <si>
    <t>הרבסט, מרדכי אברהם</t>
  </si>
  <si>
    <t>מאור עינים</t>
  </si>
  <si>
    <t>הוכשטיין, מנחם מנדל בן אפרים בנימין</t>
  </si>
  <si>
    <t>ורג'אני, מאיר הכהן</t>
  </si>
  <si>
    <t>דרושים, מועדי ישראל, משנה, נושאים שונים, נושאים שונים, שלחן ערוך ומפרשיו, תלמוד בבלי, תנ"ך</t>
  </si>
  <si>
    <t>מאור עינים - 6 כר'</t>
  </si>
  <si>
    <t>מאור עינים - 2 כר'</t>
  </si>
  <si>
    <t>מאור עינים - 11 כר'</t>
  </si>
  <si>
    <t>רוסי, עזריה בן משה די</t>
  </si>
  <si>
    <t>מאור צבי</t>
  </si>
  <si>
    <t>בן אריה, צבי מאיר</t>
  </si>
  <si>
    <t>מאור צדיק</t>
  </si>
  <si>
    <t>מאור קטן</t>
  </si>
  <si>
    <t>מאור שביעי</t>
  </si>
  <si>
    <t>גילרנטר, יעקב ירוחם בן אלעזר מנחם</t>
  </si>
  <si>
    <t>מאור שבת</t>
  </si>
  <si>
    <t>מאור של תורה - 2 כר'</t>
  </si>
  <si>
    <t>יפה, יוסף חיים בן דוד ליב</t>
  </si>
  <si>
    <t>[תרצ"ה,</t>
  </si>
  <si>
    <t>מאור שרגא</t>
  </si>
  <si>
    <t>וילוז'ני, שרגא בן בנימין</t>
  </si>
  <si>
    <t>מאור תורה</t>
  </si>
  <si>
    <t>תש"ד - תש"ו</t>
  </si>
  <si>
    <t>שנגהי Shanghai</t>
  </si>
  <si>
    <t>מאורה של תורה - 3 כר'</t>
  </si>
  <si>
    <t>תרצ"ב - תש"ז</t>
  </si>
  <si>
    <t>מאורה של תורה - 5 כר'</t>
  </si>
  <si>
    <t>ירושלמי, שמואל בן יוסף חיים</t>
  </si>
  <si>
    <t>מאורות אליהו - פתיחה לחכמת הקבלה</t>
  </si>
  <si>
    <t>מכון באר אליהו</t>
  </si>
  <si>
    <t>מאורות אש</t>
  </si>
  <si>
    <t>שטיינברגר, אלכסנדר הכהן</t>
  </si>
  <si>
    <t>מאורות בחסידות</t>
  </si>
  <si>
    <t>מאורות בן יצחק</t>
  </si>
  <si>
    <t>צ'רקס, אלטר יעקב מאיר בן יצחק נח</t>
  </si>
  <si>
    <t>מאורות בשמי היהדות</t>
  </si>
  <si>
    <t>וויס, שרגא</t>
  </si>
  <si>
    <t>מאורות הגדולים - 2 כר'</t>
  </si>
  <si>
    <t>מאורות הגר"א &lt;חידושי הגר"א&gt;</t>
  </si>
  <si>
    <t>משנה, משנה, משנה, משנה, משנה, משנה</t>
  </si>
  <si>
    <t>מאורות ההגדה</t>
  </si>
  <si>
    <t>טולידאנו, שלמה מאיר בן שמואל</t>
  </si>
  <si>
    <t>מאורות הזהר</t>
  </si>
  <si>
    <t>מאורות הלב</t>
  </si>
  <si>
    <t>כולל לב אברהם</t>
  </si>
  <si>
    <t>מאורות המגילה</t>
  </si>
  <si>
    <t>מאורות המגילה - 2 כר'</t>
  </si>
  <si>
    <t>רוז, מאיר</t>
  </si>
  <si>
    <t>מאורות המצוה - חג הפסח</t>
  </si>
  <si>
    <t>מאורות המצות</t>
  </si>
  <si>
    <t>מאורות הפורים</t>
  </si>
  <si>
    <t>צדיקי דעעש</t>
  </si>
  <si>
    <t>מאורות הפרד"ס</t>
  </si>
  <si>
    <t>גבריאל, יניב</t>
  </si>
  <si>
    <t>מאורות הפרשה</t>
  </si>
  <si>
    <t>זכאי, יוסף בן אהרן</t>
  </si>
  <si>
    <t>מאורות הראי"ה - 3 כר'</t>
  </si>
  <si>
    <t>מאורות הרצי"ה - ב</t>
  </si>
  <si>
    <t>קוק, צבי יהודה בן אברהם יצחק הכהן - רבינוביץ' הושע</t>
  </si>
  <si>
    <t>אלקנה</t>
  </si>
  <si>
    <t>מאורות השלחן - 2 כר'</t>
  </si>
  <si>
    <t>פרידמן, שמעון בן יעקב</t>
  </si>
  <si>
    <t>ארצות הברית</t>
  </si>
  <si>
    <t>מאורות חיים - תרומות</t>
  </si>
  <si>
    <t>כולל ויז'ניץ</t>
  </si>
  <si>
    <t>מאורות יצחק</t>
  </si>
  <si>
    <t>שלזינגר, יצחק בן ישראל</t>
  </si>
  <si>
    <t>הלכה ומנהג, מועדי ישראל, מחשבה ומוסר, נושאים שונים, תנ"ך</t>
  </si>
  <si>
    <t>מאורות ירושלים - 9 כר'</t>
  </si>
  <si>
    <t>מאורות ישראל</t>
  </si>
  <si>
    <t>מאורות לשבת ויאירו לישראל - 2 כר'</t>
  </si>
  <si>
    <t>מלול, משה בן רפאל</t>
  </si>
  <si>
    <t>מאורות מעולם התורה</t>
  </si>
  <si>
    <t>מאורות נתן &lt;אבני צדק&gt; - ב"מ</t>
  </si>
  <si>
    <t>מאורות נתן &lt;ברכת החמה בתקופתה&gt;</t>
  </si>
  <si>
    <t>מאורות נתן - חנוכה</t>
  </si>
  <si>
    <t>מאורות נתן</t>
  </si>
  <si>
    <t>אשכנזי, נתן יהודה ליב בן גרשון</t>
  </si>
  <si>
    <t>בורגיל, נתן בן אברהם</t>
  </si>
  <si>
    <t>מושב ברכיה</t>
  </si>
  <si>
    <t>גולדברג, נתן בן חיים הלוי</t>
  </si>
  <si>
    <t>דרושים, נושאים שונים, שאלות ותשובות, תלמוד בבלי, תלמוד בבלי, תלמוד בבלי, תנ"ך</t>
  </si>
  <si>
    <t>מאורות נתן - 6 כר'</t>
  </si>
  <si>
    <t>קופרשטוק, יצחק נתן בן יהודה יעקב</t>
  </si>
  <si>
    <t>שפיגלגלאס, נתן בן דוב בר</t>
  </si>
  <si>
    <t>מאורות שלמה מאיר</t>
  </si>
  <si>
    <t>מאורות תורת המשפט - 2 כר'</t>
  </si>
  <si>
    <t>מאורות - 30 כר'</t>
  </si>
  <si>
    <t>ירחון להזריח אור האמונה בחיינו</t>
  </si>
  <si>
    <t>מאורות</t>
  </si>
  <si>
    <t>(תשט"ז)</t>
  </si>
  <si>
    <t>מאורות - א</t>
  </si>
  <si>
    <t>קובץ תורני ישיבת בית מאיר</t>
  </si>
  <si>
    <t>מאורות - 2 כר'</t>
  </si>
  <si>
    <t>תלמידי ישיבת בית אהרן וישראל</t>
  </si>
  <si>
    <t>מאורי א"ש &lt;כתונת אור&gt;</t>
  </si>
  <si>
    <t>אייזנשטאט, מאיר בן יצחק - קאליר, אלעזר בן אלעזר</t>
  </si>
  <si>
    <t>דרושים, מועדי ישראל, תולדות עם ישראל, תנ"ך</t>
  </si>
  <si>
    <t>מאורי אור &lt;ב"ן נו"ן&gt;</t>
  </si>
  <si>
    <t>ווירמש, אהרן בן אברהם אברלי יוסף</t>
  </si>
  <si>
    <t>תק"נ - תקצ"א</t>
  </si>
  <si>
    <t>מאורי אור &lt;קיצור שלחן ערוך יורה דעה&gt;</t>
  </si>
  <si>
    <t>מאורי אור</t>
  </si>
  <si>
    <t>אזראד, שלמה</t>
  </si>
  <si>
    <t>מאורי אור - 7 כר'</t>
  </si>
  <si>
    <t>מאורי אליהו</t>
  </si>
  <si>
    <t>רבינרזון, אליהו בן נחמן</t>
  </si>
  <si>
    <t>מאורי אש &lt;כתנות אור&gt;</t>
  </si>
  <si>
    <t>מאורי אש השלם - ב - קרני אורה</t>
  </si>
  <si>
    <t>אוירבאך, שלמה זלמן בן חיים יהודה ליב - קורן, זלמן מנחם</t>
  </si>
  <si>
    <t>מאורי אש השלם - א</t>
  </si>
  <si>
    <t>מאורי אש</t>
  </si>
  <si>
    <t>שווארץ, אלטער אברהם</t>
  </si>
  <si>
    <t>מאורי הזמנים - 2 כר'</t>
  </si>
  <si>
    <t>מאורי הלכה - 8 כר'</t>
  </si>
  <si>
    <t>מאורי הרמב"ם - 3 כר'</t>
  </si>
  <si>
    <t>משה בן מיימון (הרמב"ם) - קרליבך, אליעזר יהודה בן בנימין</t>
  </si>
  <si>
    <t>מאורי חנוכה</t>
  </si>
  <si>
    <t>שוקר, אבשלום</t>
  </si>
  <si>
    <t>מאורי יהושע - 4 כר'</t>
  </si>
  <si>
    <t>מאורי יעקב - 3 כר'</t>
  </si>
  <si>
    <t>בטאון תורה וחסידות שע"י חסידי סקווירא בארה"ק</t>
  </si>
  <si>
    <t>מאורי יעקב</t>
  </si>
  <si>
    <t>קולדנר, יעקב מארים</t>
  </si>
  <si>
    <t>מאורי יעקב - סת"ם</t>
  </si>
  <si>
    <t>שפיצר, יעקב מאיר בן שלום</t>
  </si>
  <si>
    <t>מאורי יצחק</t>
  </si>
  <si>
    <t>פרידמאן, מאיר יצחק בן יעקב</t>
  </si>
  <si>
    <t>מאורי מהרש"א - עירובין</t>
  </si>
  <si>
    <t>מנדלוביץ, מאיר זאב בן צבי דב</t>
  </si>
  <si>
    <t>מאורי מרדכי</t>
  </si>
  <si>
    <t>אביכזר, מרדכי</t>
  </si>
  <si>
    <t>מאורי סוכה</t>
  </si>
  <si>
    <t>שניאור, משה יעקב בן דוד</t>
  </si>
  <si>
    <t>מאורי ציון</t>
  </si>
  <si>
    <t>אורי בן אשר מסטרליסק</t>
  </si>
  <si>
    <t>מאורי שערים</t>
  </si>
  <si>
    <t>מאורי תפילה</t>
  </si>
  <si>
    <t>מאורם של ישראל</t>
  </si>
  <si>
    <t>עובדות מחיי רבי מיכל יהודה ליפקוביץ זצ"ל</t>
  </si>
  <si>
    <t>מאורן של ישראל</t>
  </si>
  <si>
    <t>מאורן של ישראל - א</t>
  </si>
  <si>
    <t>הירשלר, שמעון - שטרסר, יהודה הכהן, פרל, אהרן הכהן</t>
  </si>
  <si>
    <t>מאורן של ישראל - ב</t>
  </si>
  <si>
    <t>שטרסר, יהודה הכהן, פרל, אהרן הכהן</t>
  </si>
  <si>
    <t>מאורעות התקופה כהכנה לקראת הגאולה</t>
  </si>
  <si>
    <t>מאורעות יוסף</t>
  </si>
  <si>
    <t>אבוחבוט, יוסף חיים - מיארה, שלמה (מו"ל)</t>
  </si>
  <si>
    <t>מאורעות עולם</t>
  </si>
  <si>
    <t>סאמבארי, יוסף בן יצחק</t>
  </si>
  <si>
    <t>מאורעות צבי</t>
  </si>
  <si>
    <t>מאורעות צבי. תרמ"ג</t>
  </si>
  <si>
    <t>מאורעות תשע"ז - 2 כר'</t>
  </si>
  <si>
    <t>מאורת נתן &lt;מאורי אור עם יאיר נתיב&gt;</t>
  </si>
  <si>
    <t>מאורת נתן &lt;מאורי אור עם פירוש יאיר נתיב&gt;</t>
  </si>
  <si>
    <t>מאזין תרועה</t>
  </si>
  <si>
    <t>ברנדמן, משה יהודה</t>
  </si>
  <si>
    <t>מאזני לשון הקדש - 2 כר'</t>
  </si>
  <si>
    <t>מאזני צדק</t>
  </si>
  <si>
    <t>גזאלי, אבו חאמד מחמד, אל-</t>
  </si>
  <si>
    <t>מאזני צדק - ג</t>
  </si>
  <si>
    <t>זילבער מנחם זכריה בן רפאל</t>
  </si>
  <si>
    <t>מאזניים למשפט ומשנה אחרונה - א,ב</t>
  </si>
  <si>
    <t>מאזנים למשפט</t>
  </si>
  <si>
    <t>משנה, נושאים שונים, שאלות ותשובות, תולדות עם ישראל</t>
  </si>
  <si>
    <t>מאזנים לתורה</t>
  </si>
  <si>
    <t>תאומים, דוד בן משה</t>
  </si>
  <si>
    <t>מאחורי הפרגוד</t>
  </si>
  <si>
    <t>שטיינמן, אהרן יהודה ליב בן נח צבי - קנייבסקי, שמריהו יוסף חיים בן יעקב ישראל</t>
  </si>
  <si>
    <t>מאי חנוכה</t>
  </si>
  <si>
    <t>מאי רות</t>
  </si>
  <si>
    <t>מאי שבת</t>
  </si>
  <si>
    <t>מאיבה לאהבה</t>
  </si>
  <si>
    <t>חפץ, ברוך - וינברגר, צבי</t>
  </si>
  <si>
    <t>מאין יבא</t>
  </si>
  <si>
    <t>מאין יבוא עזרנו</t>
  </si>
  <si>
    <t>מאין יבוא</t>
  </si>
  <si>
    <t>מאיר אבות</t>
  </si>
  <si>
    <t>מאיר אור לי</t>
  </si>
  <si>
    <t>מאיר איוב - 2 כר'</t>
  </si>
  <si>
    <t>שכ"ב-שכ"ז</t>
  </si>
  <si>
    <t>מאיר אלהים</t>
  </si>
  <si>
    <t>מאיר בן אליקום</t>
  </si>
  <si>
    <t>מאיר באהבה</t>
  </si>
  <si>
    <t>מינץ, בנימין בן בונם</t>
  </si>
  <si>
    <t>מאיר בת עין &lt;מהדורה חדשה&gt;</t>
  </si>
  <si>
    <t>מאיר בת עין השלם</t>
  </si>
  <si>
    <t>מאיר דרך 1-8</t>
  </si>
  <si>
    <t>מאיר דרך 17-21</t>
  </si>
  <si>
    <t>מאיר דרך 9-16</t>
  </si>
  <si>
    <t>מאיר דרך - ביצה</t>
  </si>
  <si>
    <t>מאיר דרך</t>
  </si>
  <si>
    <t>מאיר החיים - 5 כר'</t>
  </si>
  <si>
    <t>מאיר הלכה - 2 כר'</t>
  </si>
  <si>
    <t>רבינוביץ, יחיאל מאיר בן גמליאל הכהן</t>
  </si>
  <si>
    <t>מאיר השחר &lt;מהדורה חדשה&gt;</t>
  </si>
  <si>
    <t>מאיר בן אליעזר ליברמאן הלוי</t>
  </si>
  <si>
    <t>מאיר השחר</t>
  </si>
  <si>
    <t>מאיר השלחן</t>
  </si>
  <si>
    <t>נייהויז, דוד בן שלמה זלמן</t>
  </si>
  <si>
    <t>מאיר לארץ</t>
  </si>
  <si>
    <t>מאיר לציון</t>
  </si>
  <si>
    <t>מאיר מלהבה</t>
  </si>
  <si>
    <t>יוסלובסקי, מאיר בן יוסף</t>
  </si>
  <si>
    <t>מאיר נתיב - בראשית שמות</t>
  </si>
  <si>
    <t>ועקנין, מ.</t>
  </si>
  <si>
    <t>מאיר נתיב</t>
  </si>
  <si>
    <t>כ"ץ, שבתי בן אליעזר זוסמאן הכהן</t>
  </si>
  <si>
    <t>תקנ"ג-תקס"ב</t>
  </si>
  <si>
    <t>מאיר נתיבות - 3 כר'</t>
  </si>
  <si>
    <t>מאיר עוז - 11 כר'</t>
  </si>
  <si>
    <t>ערבה, מאיר בן מנחם</t>
  </si>
  <si>
    <t>מאיר עין</t>
  </si>
  <si>
    <t>איש שלום, מאיר</t>
  </si>
  <si>
    <t>מאיר עיני הגולה - 3 כר'</t>
  </si>
  <si>
    <t>אלטר, אברהם ישכר בנימין אליהו בן מנחם מנדל</t>
  </si>
  <si>
    <t>מאיר עיני חכמים - 3 כר'</t>
  </si>
  <si>
    <t>מאיר עיני חכמים - 4 כר'</t>
  </si>
  <si>
    <t>מאיר בן גדליה (מהר"ם מלובלין)</t>
  </si>
  <si>
    <t>מאיר עיני חכמים - 2 כר'</t>
  </si>
  <si>
    <t>מאיר בן נתן מקורסטשוב</t>
  </si>
  <si>
    <t>שדה לבן Belaya Tserk</t>
  </si>
  <si>
    <t>מאיר עיני חכמים</t>
  </si>
  <si>
    <t>פריד, מאיר בן אברהם מבוסקוביץ'</t>
  </si>
  <si>
    <t>Viennaוינה</t>
  </si>
  <si>
    <t>מאיר עיני ישרים - 5 כר'</t>
  </si>
  <si>
    <t>תש"ב - תשי"ב</t>
  </si>
  <si>
    <t>מאיר עיני סופרים - 2 כר'</t>
  </si>
  <si>
    <t>מאיר עיני - 8 כר'</t>
  </si>
  <si>
    <t>בן דב, מאיר בן שמואל דב</t>
  </si>
  <si>
    <t>מאיר עינים - 3 כר'</t>
  </si>
  <si>
    <t>מאיר עינים</t>
  </si>
  <si>
    <t>רפאפורט, משה בן מאיר הכהן</t>
  </si>
  <si>
    <t>מאיר תהלות</t>
  </si>
  <si>
    <t>מאיר תפילה</t>
  </si>
  <si>
    <t>מאירים את העולם</t>
  </si>
  <si>
    <t>מאירת חיינו</t>
  </si>
  <si>
    <t>ישיבת ויז'ניץ מונסי</t>
  </si>
  <si>
    <t>מאירת חיינו - 2 כר'</t>
  </si>
  <si>
    <t>מוסדות דז'יקוב ויז'ניץ</t>
  </si>
  <si>
    <t>מאירת עינים - 2 כר'</t>
  </si>
  <si>
    <t>איטינגא, מרדכי זאב בן יצחק אהרן הלוי</t>
  </si>
  <si>
    <t>מאירת עינים</t>
  </si>
  <si>
    <t>אשכנזי, מאיר בן יוזפא הכהן</t>
  </si>
  <si>
    <t>גבאי, שלמה בן דוד</t>
  </si>
  <si>
    <t>קבלה, קבלה, תנ"ך</t>
  </si>
  <si>
    <t>קלאר, יחזקאל</t>
  </si>
  <si>
    <t>מאכל כשר</t>
  </si>
  <si>
    <t>מאכלות אסורות</t>
  </si>
  <si>
    <t>מאכסניא של התורה</t>
  </si>
  <si>
    <t>היבנר שמואל - היבנר, יקותיאל זלמן חיים - היבנר, משה</t>
  </si>
  <si>
    <t>מאמץ כח - 2 כר'</t>
  </si>
  <si>
    <t>שמ"ח</t>
  </si>
  <si>
    <t>מאמר אברהם &lt;זרע אברהם&gt;</t>
  </si>
  <si>
    <t>וואלרשטיין, אברהם בן אשר</t>
  </si>
  <si>
    <t>מאמר אדון כל</t>
  </si>
  <si>
    <t>מאמר איש - 2 כר'</t>
  </si>
  <si>
    <t>מרקוביץ, משה אליהו</t>
  </si>
  <si>
    <t>מאמר אסתר - איסור והיתר</t>
  </si>
  <si>
    <t>אביב, ניר</t>
  </si>
  <si>
    <t>מאמר אסתר</t>
  </si>
  <si>
    <t>בריסק, נתן צבי בן יהושע</t>
  </si>
  <si>
    <t>מאמר אסתר - משלי</t>
  </si>
  <si>
    <t>דידי, בנימין מקיקץ בן יצחק</t>
  </si>
  <si>
    <t>חדאד, משה דוד בן ניסים</t>
  </si>
  <si>
    <t>מאמר אפרים - 2 כר'</t>
  </si>
  <si>
    <t>מאמר אפשרית הטבעית</t>
  </si>
  <si>
    <t>גוסלאר, נפתלי הירש בן יעקב</t>
  </si>
  <si>
    <t>מאמר בין ישראל לגויים</t>
  </si>
  <si>
    <t>מאמר במעלת לימוד הלכות טהרה</t>
  </si>
  <si>
    <t>מאמר בנין ירושלים</t>
  </si>
  <si>
    <t>זילברמן, יצחק שלמה</t>
  </si>
  <si>
    <t>מאמר בענין ימי הגשמים</t>
  </si>
  <si>
    <t>מאמר בענין תורה שבעל פה והש"ס</t>
  </si>
  <si>
    <t>לוצאטו, משה חיים בן יעקב חי (רמח"ל) - כהנוב, נחום</t>
  </si>
  <si>
    <t>מאמר גלה על ראשה - חנוכה</t>
  </si>
  <si>
    <t>מאמר גלות וגאולה</t>
  </si>
  <si>
    <t>מאמר דבר תורה</t>
  </si>
  <si>
    <t>לוויטאן, אליקים גצל בן יעקב דוד</t>
  </si>
  <si>
    <t>מאמר דברים כהוייתן</t>
  </si>
  <si>
    <t>מאמר דוד</t>
  </si>
  <si>
    <t>הפטר, דוד בן משה משל</t>
  </si>
  <si>
    <t>מאמר דרכה של תורה</t>
  </si>
  <si>
    <t>מאמר האחדות - 3 כר'</t>
  </si>
  <si>
    <t>מאמר הגאולה &lt;אור הגאולה&gt;</t>
  </si>
  <si>
    <t>מאמר הגאולה</t>
  </si>
  <si>
    <t>לוצאטו, משה חיים בן יעקב חי (רמח"ל) - אדרי, יהודה</t>
  </si>
  <si>
    <t>מאמר הזבח</t>
  </si>
  <si>
    <t>כולל גבוה לעיון</t>
  </si>
  <si>
    <t>מאמר החכמה &lt;ביאורי חכמה,  מאמרי חכמה&gt;</t>
  </si>
  <si>
    <t>לוצאטו, משה חיים (רמח"ל) - כהן, דוד בן יוסף</t>
  </si>
  <si>
    <t>מאמר החכמה &lt;גילוי מלכותו&gt;</t>
  </si>
  <si>
    <t>מאמר החכמה</t>
  </si>
  <si>
    <t>מאמר הלוי - 15 כר'</t>
  </si>
  <si>
    <t>מאמר המועד</t>
  </si>
  <si>
    <t>מאמר המלך</t>
  </si>
  <si>
    <t>מצליח, רפאל אברהם</t>
  </si>
  <si>
    <t>מאמר הנוגע לענינים של ההשקפה</t>
  </si>
  <si>
    <t>מאמר הנפש - 2 כר'</t>
  </si>
  <si>
    <t>מאמר הנרות הללו</t>
  </si>
  <si>
    <t>מאמר העיבור</t>
  </si>
  <si>
    <t>מאמר העיקרים - 3 כר'</t>
  </si>
  <si>
    <t>וישאול-דה-סוס Viseul</t>
  </si>
  <si>
    <t>מאמר הצחוק בתורה</t>
  </si>
  <si>
    <t>מאמר השכל - 4 כר'</t>
  </si>
  <si>
    <t>מאמר השכל</t>
  </si>
  <si>
    <t>מאמר התורה והחכמה</t>
  </si>
  <si>
    <t>לוויזון, מרדכי גומפל בן יהודה ליב הלוי</t>
  </si>
  <si>
    <t>מאמר התורה והמצוה</t>
  </si>
  <si>
    <t>מאמר חיות אש</t>
  </si>
  <si>
    <t>מאמר חיים - 2 כר'</t>
  </si>
  <si>
    <t>ציטרנבוים, חיים מאיר בן אברהם צבי</t>
  </si>
  <si>
    <t>מאמר חנוך לנער על פי דורו</t>
  </si>
  <si>
    <t>מאמר חסד ואמת</t>
  </si>
  <si>
    <t>מאמר חקירה על הכתר</t>
  </si>
  <si>
    <t>נחמד, מאיר בן חיים</t>
  </si>
  <si>
    <t>מאמר יבמין</t>
  </si>
  <si>
    <t>מאמר יהונתן</t>
  </si>
  <si>
    <t>מאמר יום טוב</t>
  </si>
  <si>
    <t>מאמר יום ישועה</t>
  </si>
  <si>
    <t>רוקח, שלום בן אלעזר</t>
  </si>
  <si>
    <t>מאמר יונת אלם &lt;מהדורת ישמח לב&gt;</t>
  </si>
  <si>
    <t>מאמר יונת אלם - 2 כר'</t>
  </si>
  <si>
    <t>מאמר יחזקאל - 2 כר'</t>
  </si>
  <si>
    <t>יחזקאל בן צבי הירש מקאזמיר</t>
  </si>
  <si>
    <t>מאמר יעקב - 2 כר'</t>
  </si>
  <si>
    <t>מאמר יקוו המים</t>
  </si>
  <si>
    <t>מאמר יראה טהורה</t>
  </si>
  <si>
    <t>מאמר כוונות התורה</t>
  </si>
  <si>
    <t>מאמר כל דאי</t>
  </si>
  <si>
    <t>מאמר כסא אליהו הנביא זכור לטוב</t>
  </si>
  <si>
    <t>מאמר לגדל הבנים לתוה"ק</t>
  </si>
  <si>
    <t>מאמר לחיזוק שמירת שבת ולחיזוק גמילות חסדים</t>
  </si>
  <si>
    <t>הלר, שלמה בן משה</t>
  </si>
  <si>
    <t>מאמר לימוד חכמת האמת בדורנו</t>
  </si>
  <si>
    <t>מאמר למען יאריכון ימיך</t>
  </si>
  <si>
    <t>מאמר מאה קשיטה</t>
  </si>
  <si>
    <t>מאמר מגן ומושיע</t>
  </si>
  <si>
    <t>לייפער, אברהם אבא</t>
  </si>
  <si>
    <t>מאמר מזכה הרבים</t>
  </si>
  <si>
    <t>הורוויץ, יוסף בן שלמה זלמן זיו</t>
  </si>
  <si>
    <t>מאמר מילי דהספידא</t>
  </si>
  <si>
    <t>מאמר מנוחה שלמה - קונטרס דברים שבכתב</t>
  </si>
  <si>
    <t>עדס, יהודה - אסטנבולי, יהושע בן יוסף</t>
  </si>
  <si>
    <t>מאמר מנחם</t>
  </si>
  <si>
    <t>טל, אלעזר מנחם מן בן צבי</t>
  </si>
  <si>
    <t>מאמר מסלול ודרך</t>
  </si>
  <si>
    <t>מאמר מעין גנים</t>
  </si>
  <si>
    <t>מאמר מר ינוקא ומר קשישא</t>
  </si>
  <si>
    <t>רבי יקותיאל תלמיד הרמח"ל</t>
  </si>
  <si>
    <t>מאמר מרדכי</t>
  </si>
  <si>
    <t>מאמר מרדכי - 10 כר'</t>
  </si>
  <si>
    <t>דובינסקי, שמעון מרדכי בן ישעיה</t>
  </si>
  <si>
    <t>האלברשטאט, מרדכי</t>
  </si>
  <si>
    <t>הוליש, מרדכי בן יהודה ליב</t>
  </si>
  <si>
    <t>ווינוגורה, מרדכי בן ישראל יצחק</t>
  </si>
  <si>
    <t>וינר, מרדכי</t>
  </si>
  <si>
    <t>וואיטצען</t>
  </si>
  <si>
    <t>טברסקי, מרדכי בן אברהם</t>
  </si>
  <si>
    <t>מאמר מרדכי - 3 כר'</t>
  </si>
  <si>
    <t>תקמ"ד - תקמ"ו</t>
  </si>
  <si>
    <t>לטניר, מרדכי</t>
  </si>
  <si>
    <t>מאמר מרדכי - 2 כר'</t>
  </si>
  <si>
    <t>לייפר, מרדכי בן יששכר דוב</t>
  </si>
  <si>
    <t>לנדאו, אברהם מרדכי</t>
  </si>
  <si>
    <t>מאיר, מרדכי יוסף בן מאיר ליב</t>
  </si>
  <si>
    <t>מיכלסון, מרדכי בן שלמה</t>
  </si>
  <si>
    <t>מירקין, מרדכי בן חיים</t>
  </si>
  <si>
    <t>מנקס, מרדכי בן אריה ליב</t>
  </si>
  <si>
    <t>מרדכי בן אריה ליב הכהן</t>
  </si>
  <si>
    <t>מרדכי בן יצחק איצק מקאליש</t>
  </si>
  <si>
    <t>מרדכי בן מנחם</t>
  </si>
  <si>
    <t>הלכה ומנהג, הלכה ומנהג, הלכה ומנהג, נושאים שונים, שאלות ותשובות, תלמוד בבלי, תלמוד בבלי</t>
  </si>
  <si>
    <t>מאמר מרדכי - א</t>
  </si>
  <si>
    <t>פוליאצוק, מרדכי יעקב בן אהרן</t>
  </si>
  <si>
    <t>פונפדר, מרדכי בן יעקב</t>
  </si>
  <si>
    <t>צ'רמון, מרדכי בן יהודה</t>
  </si>
  <si>
    <t>קוסובסקי, מרדכי צבי בן שמעון</t>
  </si>
  <si>
    <t>קופמאן, ברוך מרדכי בן משה אליעזר</t>
  </si>
  <si>
    <t>קורנמל, מרדכי בן שבתי</t>
  </si>
  <si>
    <t>דרושים, הלכה ומנהג, הלכה ומנהג, נושאים שונים, שלחן ערוך ומפרשיו, תנ"ך</t>
  </si>
  <si>
    <t>קורנמל, מרדכי</t>
  </si>
  <si>
    <t>מאמר מרדכי - ב</t>
  </si>
  <si>
    <t>קורנמל, נחום צבי בן מרדכי</t>
  </si>
  <si>
    <t>מאמר מרדכי - ברכות, סדר מועד</t>
  </si>
  <si>
    <t>ראזענאק, מרדכי יהודה בן שמואל</t>
  </si>
  <si>
    <t>שוואב, מרדכי מנחם בן יהודה ליב</t>
  </si>
  <si>
    <t>מאמר משמרת הקודש</t>
  </si>
  <si>
    <t>לייטער, נתן שמואל</t>
  </si>
  <si>
    <t>מאמר סגולת מלך</t>
  </si>
  <si>
    <t>שרייבר, יצחק צבי</t>
  </si>
  <si>
    <t>מאמר עבודה שבלב</t>
  </si>
  <si>
    <t>מאמר עיקבתא דמשיחא ומאמר על האמונה</t>
  </si>
  <si>
    <t>מאמר על הדפסת התלמוד</t>
  </si>
  <si>
    <t>מאמר על ההגדות</t>
  </si>
  <si>
    <t>מאמר על התשובה</t>
  </si>
  <si>
    <t>מאמר על ישמעאל</t>
  </si>
  <si>
    <t>בן אדרת, שלמה בן אברהם (רשב"א) - נאור, בצלאל</t>
  </si>
  <si>
    <t>מאמר על כתבי היד חמאת החמדה וחמדת התעודה</t>
  </si>
  <si>
    <t>מאמר פליאה עם פירוש דברי חכמים</t>
  </si>
  <si>
    <t>מאמר פתחו שערים ומאמר נתיב עבודת התפלה</t>
  </si>
  <si>
    <t>מאמר צבאות ה'</t>
  </si>
  <si>
    <t>לבוב Lvov ?</t>
  </si>
  <si>
    <t>מאמר ציון - 6 כר'</t>
  </si>
  <si>
    <t>מאמר קדישין</t>
  </si>
  <si>
    <t>ליבר, עקיבא בן משה הכהן</t>
  </si>
  <si>
    <t>קים קדיש בן קים קדיש</t>
  </si>
  <si>
    <t>מאמר קנין החיים</t>
  </si>
  <si>
    <t>שניאורסון, יוסף יצחק בן שלום דוב בר</t>
  </si>
  <si>
    <t>ריגה</t>
  </si>
  <si>
    <t>מאמר קרסי זהב</t>
  </si>
  <si>
    <t>מאמר שבועי בדרכי עבודת ה' וענייני הזמן - תשע"ז</t>
  </si>
  <si>
    <t>מאמר שבע קהילות</t>
  </si>
  <si>
    <t>גולדשטיין, משה בן חיים שלמה</t>
  </si>
  <si>
    <t>מאמר שברי לוחות - 2 כר'</t>
  </si>
  <si>
    <t>מאמר שבתות ד'</t>
  </si>
  <si>
    <t>מאמר שמואל - 2 כר'</t>
  </si>
  <si>
    <t>זרקא, שמואל גד בן אברהם</t>
  </si>
  <si>
    <t>מאמר תורה אור</t>
  </si>
  <si>
    <t>וולק, צבי הירש בן עזריאל הכהן</t>
  </si>
  <si>
    <t>מאמר תורה מן השמים</t>
  </si>
  <si>
    <t>רוזנבלום, שמואל בן שרגא פייבל</t>
  </si>
  <si>
    <t>מאמר תחית המתים</t>
  </si>
  <si>
    <t>אפשטיין, משה יחיאל הלוי</t>
  </si>
  <si>
    <t>מאמר תפילת פתח אליהו &lt;זיו הזוהר והמקובלים&gt;</t>
  </si>
  <si>
    <t>מאמר תקון סופרים - הלכות שטרות</t>
  </si>
  <si>
    <t>דוראן, שלמה בן שמעון</t>
  </si>
  <si>
    <t>מאמר - 14 כר'</t>
  </si>
  <si>
    <t>מאמר - צא והלחם בעמלק</t>
  </si>
  <si>
    <t>מרמלשטיין, אברהם יצחק הלוי</t>
  </si>
  <si>
    <t>מאמר - 2 כר'</t>
  </si>
  <si>
    <t>מאמר - 17 כר'</t>
  </si>
  <si>
    <t>מאמרי אב - 2 כר'</t>
  </si>
  <si>
    <t>בראלי, מרדכי אליהו</t>
  </si>
  <si>
    <t>מאמרי אברהם</t>
  </si>
  <si>
    <t>מאמרי אדמו"ר הזקן  עם פירוש חסידות מבוארת</t>
  </si>
  <si>
    <t>מאמרי אמונה לרשב"א</t>
  </si>
  <si>
    <t>מאמרי באר חיים מרדכי</t>
  </si>
  <si>
    <t>מאמרי בקרת על ספרי "אוצר הגאונים" - א</t>
  </si>
  <si>
    <t>הועד להפצת "אוצר הגאונים"</t>
  </si>
  <si>
    <t>מאמרי המשגיח רבינו ירוחם הלוי ממיר - 2 כר'</t>
  </si>
  <si>
    <t>מאמרי הצדקה</t>
  </si>
  <si>
    <t>ראטה, אהרן</t>
  </si>
  <si>
    <t>מאמרי הקודש - אגרת הקודש שער הקדושה ועוד</t>
  </si>
  <si>
    <t>רבותינו ראשונים ואחרונים</t>
  </si>
  <si>
    <t>מאמרי הרב אהרון הלוי פיצ'ניק לירח האיתנים</t>
  </si>
  <si>
    <t>פיצ'ניק, אהרון</t>
  </si>
  <si>
    <t>מאמרי הרמ"ע מפאנו - 3 כר'</t>
  </si>
  <si>
    <t>מאמרי התחזקות</t>
  </si>
  <si>
    <t>ממן, אליהו</t>
  </si>
  <si>
    <t>מאמרי התנאים - 4 כר'</t>
  </si>
  <si>
    <t>ליקוט דברי התנאים</t>
  </si>
  <si>
    <t>מאמרי זמן שמחתנו</t>
  </si>
  <si>
    <t>עהרנפלד, יצחק יחיאל בן עקיבא</t>
  </si>
  <si>
    <t>מאמרי חודש השביעי</t>
  </si>
  <si>
    <t>מאמרי חיים</t>
  </si>
  <si>
    <t>מילר, אלחנן בן שלמה הלוי</t>
  </si>
  <si>
    <t>מאמרי חכמינו בעניני ארץ ישראל</t>
  </si>
  <si>
    <t>מאמרי חנוכה ופורים</t>
  </si>
  <si>
    <t>מאמרי חנוכה</t>
  </si>
  <si>
    <t>מאמרי יוסף</t>
  </si>
  <si>
    <t>מאמרי יעקב הברכי מהעבור ומנין השנים</t>
  </si>
  <si>
    <t>בכרך, יעקב בן משה</t>
  </si>
  <si>
    <t>מאמרי כ"ק אדמו"ר מליובאוויטש - א</t>
  </si>
  <si>
    <t>מאמרי כנס ההתעוררות לנשים בנושא הצניעות</t>
  </si>
  <si>
    <t>מאמרים</t>
  </si>
  <si>
    <t>מאמרי פגם וטהרת המחשבה</t>
  </si>
  <si>
    <t>מאמרי פורים</t>
  </si>
  <si>
    <t>ישיבת בית שמואל</t>
  </si>
  <si>
    <t>מאמרי פחד יצחק - סוכות</t>
  </si>
  <si>
    <t>מאמרי קשר של תפילין</t>
  </si>
  <si>
    <t>פלאטמן, אפרים</t>
  </si>
  <si>
    <t>מאמרי רבי אלעזר ברשב"י</t>
  </si>
  <si>
    <t>מועדי ישראל, נושאים שונים, קבלה, שאלות ותשובות, שאר ספרי חז"ל</t>
  </si>
  <si>
    <t>מאמרי רבי דב שוורצמן - 2 כר'</t>
  </si>
  <si>
    <t>מאמרי רבי ראובן על התורה</t>
  </si>
  <si>
    <t>לייקואוד</t>
  </si>
  <si>
    <t>מאמרי שיר השירים</t>
  </si>
  <si>
    <t>מאמרי שלמה - 2 כר'</t>
  </si>
  <si>
    <t>הרכבי, שלמה</t>
  </si>
  <si>
    <t>מאמרי שפת אמת - 3 כר'</t>
  </si>
  <si>
    <t>רודמן, זאב חיים</t>
  </si>
  <si>
    <t>מאמרי תורה - קובץ</t>
  </si>
  <si>
    <t>כולל אורות חיים ומשה</t>
  </si>
  <si>
    <t>מאמרים בחינוך הבנים</t>
  </si>
  <si>
    <t>מאמרים ברפואה</t>
  </si>
  <si>
    <t>מאמרים הגיונים</t>
  </si>
  <si>
    <t>קרינסקי, טוביה</t>
  </si>
  <si>
    <t>מאמרים על התקופה</t>
  </si>
  <si>
    <t>מאמרים על מעלת התפילה - 2 כר'</t>
  </si>
  <si>
    <t>ברנשטיין, משה עורך</t>
  </si>
  <si>
    <t>מאמרים על סדר פרשיות ימי שובבי"ם-ת"ת</t>
  </si>
  <si>
    <t>מאמרים - 15 כר'</t>
  </si>
  <si>
    <t>אברמסון, שרגא בן קלמן</t>
  </si>
  <si>
    <t>מאמרים - 4 כר'</t>
  </si>
  <si>
    <t>מאמרים - 6 כר'</t>
  </si>
  <si>
    <t>גלינסקי, יהודה דב</t>
  </si>
  <si>
    <t>מאמרים - לתולדות גדולי ישראל</t>
  </si>
  <si>
    <t>ווטשטיין, פ ה</t>
  </si>
  <si>
    <t>זלוטניק, יהודא ליב</t>
  </si>
  <si>
    <t>נושאים שונים, קבלה, שאר ספרי חז"ל</t>
  </si>
  <si>
    <t>מאמרים - אוגירה</t>
  </si>
  <si>
    <t>לשם, חיים</t>
  </si>
  <si>
    <t>מאמרים - מעין ספר המקצועות למסכת ב"מ</t>
  </si>
  <si>
    <t>עמנואל, שמחה בן  יונה - לנרד, אנדריאס</t>
  </si>
  <si>
    <t>מאמרים - 40 כר'</t>
  </si>
  <si>
    <t>עמנואל, שמחה בן  יונה</t>
  </si>
  <si>
    <t>מאמרים - 3 כר'</t>
  </si>
  <si>
    <t>ריינר,  אברהם (רמי)</t>
  </si>
  <si>
    <t>מאן מלכי רבנן - 2 כר'</t>
  </si>
  <si>
    <t>ע, יוסף</t>
  </si>
  <si>
    <t>מאן מלכי רבנן</t>
  </si>
  <si>
    <t>מאסיפת המורשת - 12 כר'</t>
  </si>
  <si>
    <t>מורשת חכמי אמריקה</t>
  </si>
  <si>
    <t>מאסליאנסקי'ס זכרונות</t>
  </si>
  <si>
    <t>מאסף אור אלחנן "נר יצחק"</t>
  </si>
  <si>
    <t>בני החבורה אור אלחנן</t>
  </si>
  <si>
    <t>מאסף דרושי - 2 כר'</t>
  </si>
  <si>
    <t>מאסף דרושי</t>
  </si>
  <si>
    <t>תרס"ט - תרע"ג</t>
  </si>
  <si>
    <t>מאסף חידו"ת המאזנים - טו</t>
  </si>
  <si>
    <t>כולל ויואל משה דסאטמר</t>
  </si>
  <si>
    <t>קרית יואל מונרו</t>
  </si>
  <si>
    <t>מאסף חידו"ת עמ"ס כתובות</t>
  </si>
  <si>
    <t>אברכי כולל ארחות תורה</t>
  </si>
  <si>
    <t>מאסף יד סופרים - בבא מציעא</t>
  </si>
  <si>
    <t>ישיבת גרודנא באר יעקב</t>
  </si>
  <si>
    <t>מאסף לכל המחנות</t>
  </si>
  <si>
    <t>אלמולי, שלמה בן יעקב</t>
  </si>
  <si>
    <t>מאסף ראשונים (הלכות ברכות)</t>
  </si>
  <si>
    <t>תרע"ד-תרצ"ג</t>
  </si>
  <si>
    <t>מאסף שערי בינה</t>
  </si>
  <si>
    <t>מכון תורני ספרותי אורייתא</t>
  </si>
  <si>
    <t>מאסף תורני בענייני כשרות המזון והשגחה</t>
  </si>
  <si>
    <t>דברים שנאמרו בכינוס הכשרות האירופאי</t>
  </si>
  <si>
    <t>מאפילה לאור גדול - 2 כר'</t>
  </si>
  <si>
    <t>מאפלה לאורה</t>
  </si>
  <si>
    <t>מאקארוב</t>
  </si>
  <si>
    <t>לנדא, יונה</t>
  </si>
  <si>
    <t>מארמארוש</t>
  </si>
  <si>
    <t>מאש וממים</t>
  </si>
  <si>
    <t>שטיגל, משה אליעזר (לזכרו)</t>
  </si>
  <si>
    <t>דרושים, נושאים שונים, קבצים וכתבי עת, ספרי זכרון ויובל, שלחן ערוך ומפרשיו, תלמוד בבלי, תלמוד ירושלמי, תנ"ך</t>
  </si>
  <si>
    <t>מאשר לאהרן - 2 כר'</t>
  </si>
  <si>
    <t>קייזר, אהרן בן ארז שלמה</t>
  </si>
  <si>
    <t>מאת לצדיק - קובץ מאמרים על ר' צדוק הכהן ומשנתו</t>
  </si>
  <si>
    <t>קיציס, גרשון (עורך)</t>
  </si>
  <si>
    <t>מאתים לנוטרים פריו</t>
  </si>
  <si>
    <t>מאתרא דחכימיא - 2 כר'</t>
  </si>
  <si>
    <t>קובץ חידושי תורה מבני ישיבות דיבנה</t>
  </si>
  <si>
    <t>מבא השלחן</t>
  </si>
  <si>
    <t>מבא התלמוד - 7 כר'</t>
  </si>
  <si>
    <t>פורת, ישראל בן אריה ליב</t>
  </si>
  <si>
    <t>מבא למחזור כמנהג בני רומא</t>
  </si>
  <si>
    <t>לוצאטו, שמואל דוד בן חזקיה</t>
  </si>
  <si>
    <t>מבא שערים - 8 כר'</t>
  </si>
  <si>
    <t>מבאר הפשט - 6 כר'</t>
  </si>
  <si>
    <t>וינרוט, יחיאל בן יעקב</t>
  </si>
  <si>
    <t>מבאר חיים</t>
  </si>
  <si>
    <t>בוכמאן, חיים יהודה ליב בן משה ברוך</t>
  </si>
  <si>
    <t>מבאר חיים - בבא קמא, בבא מציעא</t>
  </si>
  <si>
    <t>צ'רבקובסקי, חיים אברהם בן משה עקיבא</t>
  </si>
  <si>
    <t>מבארה של ירושלים</t>
  </si>
  <si>
    <t>אלישיב, אברהם בן בנימין דוד</t>
  </si>
  <si>
    <t>מבוא המדרש</t>
  </si>
  <si>
    <t>נושאים שונים, נושאים שונים, שאר ספרי חז"ל, תנ"ך</t>
  </si>
  <si>
    <t>מבוא המסורה &lt;מהדורה חדשה&gt;</t>
  </si>
  <si>
    <t>יוסף קלמן בן שלמה הלוי</t>
  </si>
  <si>
    <t>מבוא המסורה - 2 כר'</t>
  </si>
  <si>
    <t>מבוא השער - שער היחוד והאמונה</t>
  </si>
  <si>
    <t>שפירא, יצחק בן משה</t>
  </si>
  <si>
    <t>יצהר</t>
  </si>
  <si>
    <t>מבוא התלמוד &lt;עם הערות&gt;</t>
  </si>
  <si>
    <t>אבן-עקנין, יוסף בן יהודה - מצגר, איתמר בן דוד</t>
  </si>
  <si>
    <t>מבוא התלמוד</t>
  </si>
  <si>
    <t>אבן-עקנין, יוסף בן יהודה</t>
  </si>
  <si>
    <t>ברעסלויא,</t>
  </si>
  <si>
    <t>מבוא לדיני ההנהגות</t>
  </si>
  <si>
    <t>ליברמן, איתמר</t>
  </si>
  <si>
    <t>מבוא להלכות דרך ארץ</t>
  </si>
  <si>
    <t>ליכט, אברהם יהודה</t>
  </si>
  <si>
    <t>מבוא להלכות מקוואות</t>
  </si>
  <si>
    <t>מבוא להסדר עולם רבה</t>
  </si>
  <si>
    <t>נושאים שונים, שאר ספרי חז"ל, תולדות עם ישראל</t>
  </si>
  <si>
    <t>מבוא ללימוד תורה</t>
  </si>
  <si>
    <t>קופרמן, יהודה בן אברהם שמחה</t>
  </si>
  <si>
    <t>מבוא ללמוד הקבלה</t>
  </si>
  <si>
    <t>מבוא למסכת ברכות</t>
  </si>
  <si>
    <t>מבוא למסכת שבת</t>
  </si>
  <si>
    <t>מבוא לספר אסף הרופא</t>
  </si>
  <si>
    <t>מונטנר, זיסמאן בן יעקב</t>
  </si>
  <si>
    <t>מבוא לספר הלכות פסוקות</t>
  </si>
  <si>
    <t>דנציג, נחמן</t>
  </si>
  <si>
    <t>מבוא לספר חסידים</t>
  </si>
  <si>
    <t>פריימאנן, יעקב</t>
  </si>
  <si>
    <t>מבוא לפירוש הגאונים לטהרות</t>
  </si>
  <si>
    <t>אפשטיין, יעקב נחום</t>
  </si>
  <si>
    <t>מבוא לפירוש עזרא ונחמיה</t>
  </si>
  <si>
    <t>גרינהוט, אלעזר בן משה יהודה הלוי</t>
  </si>
  <si>
    <t>מבוא לקבלת האר"י</t>
  </si>
  <si>
    <t>מבוא לראבי"ה</t>
  </si>
  <si>
    <t>אפטוביצר, אביגדור</t>
  </si>
  <si>
    <t>מבוא לשיטת היסוד בשלבים - 2 כר'</t>
  </si>
  <si>
    <t>קהאן, אבינועם</t>
  </si>
  <si>
    <t>מבוא לתורה נביאים וכתובים</t>
  </si>
  <si>
    <t>מבוא לתורת החסידות</t>
  </si>
  <si>
    <t>אקשטיין, מנחם בן מרדכי</t>
  </si>
  <si>
    <t>מבוא לתלמוד בבלי הנמצא בכ"י בבית עקד הספרים במינכען</t>
  </si>
  <si>
    <t>שטרק, הרמן לברכט</t>
  </si>
  <si>
    <t>ליידען</t>
  </si>
  <si>
    <t>מבוא פתחים</t>
  </si>
  <si>
    <t>מבוא שערים עם הגהות הרב יהודה פתייא</t>
  </si>
  <si>
    <t>תרס"ד - תשנ"ח</t>
  </si>
  <si>
    <t>מבוא שערים</t>
  </si>
  <si>
    <t>ברגמן, מאיר צבי בן משה</t>
  </si>
  <si>
    <t>מבוא שערים - 4 כר'</t>
  </si>
  <si>
    <t>[שאלוניקי],</t>
  </si>
  <si>
    <t>מבואות ים</t>
  </si>
  <si>
    <t>ויליגער, יעקב מנחם</t>
  </si>
  <si>
    <t>מבואי הקדשים - 2 כר'</t>
  </si>
  <si>
    <t>מבוכארה לירושלים</t>
  </si>
  <si>
    <t>מבועי הנחל - 32 כר'</t>
  </si>
  <si>
    <t>מבועי ירח האיתנים</t>
  </si>
  <si>
    <t>מבחירי צדיקיא</t>
  </si>
  <si>
    <t>זוסמן, יוסף ליב</t>
  </si>
  <si>
    <t>מבחר אמרים - 15 כר'</t>
  </si>
  <si>
    <t>בר אוריין, אברהם</t>
  </si>
  <si>
    <t>מבחר החשבון</t>
  </si>
  <si>
    <t>לטבלא, יחזקאל יעקב בן ישראל</t>
  </si>
  <si>
    <t>מבחר המאמרים</t>
  </si>
  <si>
    <t>נתן בן שמואל הרופא</t>
  </si>
  <si>
    <t>מבחר המחשבה והמוסר ביהדות</t>
  </si>
  <si>
    <t>זהבי, יקותיאל צבי בן אברהם</t>
  </si>
  <si>
    <t>מבחר הערות והארות - 2 כר'</t>
  </si>
  <si>
    <t>בית מדרש שבט מיהודה</t>
  </si>
  <si>
    <t>מבחר הערות והארות - ג</t>
  </si>
  <si>
    <t>כולל שבט מיהודה</t>
  </si>
  <si>
    <t>מבחר הפנינים &lt;פירוש קדמון - 2 כר'</t>
  </si>
  <si>
    <t>אבן-גבירול, שלמה בן יהודה - מדר, שמעון</t>
  </si>
  <si>
    <t>מבחר הפנינים &lt;פרוש מספיק, מהריעב"ץ, רב פנינים&gt;</t>
  </si>
  <si>
    <t>מבחר הפנינים &lt;פרוש מספיק, מהריעב"ץ&gt;</t>
  </si>
  <si>
    <t>מבחר הפנינים - 2 כר'</t>
  </si>
  <si>
    <t>רמ"ד</t>
  </si>
  <si>
    <t>מבחר הפנינים</t>
  </si>
  <si>
    <t>מבחר כתבי מו"ה מרדכי גומפל שנאבר הלוי לעוויזאהן</t>
  </si>
  <si>
    <t>מבחר כתבים</t>
  </si>
  <si>
    <t>יפה, מרדכי גימפל בן דב בר</t>
  </si>
  <si>
    <t>מבחר כתבים - 2 כר'</t>
  </si>
  <si>
    <t>קפלן, אברהם אליהו</t>
  </si>
  <si>
    <t>מבחר מחשבות על יהדות ויהודים</t>
  </si>
  <si>
    <t>הרץ, יוסף צבי בן שמריה</t>
  </si>
  <si>
    <t>מבחר מסיפורי יהודי תימן</t>
  </si>
  <si>
    <t>כוכבי, שלמה</t>
  </si>
  <si>
    <t>מבחר נאומים בכנסת</t>
  </si>
  <si>
    <t>גרוס שלמה יעקב</t>
  </si>
  <si>
    <t>מבחר ספורי מסורת</t>
  </si>
  <si>
    <t>מבחר פירושי רש"י ראב"ע ורד"ק לספר תהלים</t>
  </si>
  <si>
    <t>בן נון, יחיאל בן יואל (עורך)</t>
  </si>
  <si>
    <t>מבחר צדק - 2 כר'</t>
  </si>
  <si>
    <t>מבחר שיחות לפורים</t>
  </si>
  <si>
    <t>אייזמן, גדליה</t>
  </si>
  <si>
    <t>מבחר שיעורי התבוננות - 24 כר'</t>
  </si>
  <si>
    <t>מבחר שירי שמואל בן - 2 כר'</t>
  </si>
  <si>
    <t>מבט באור מעט</t>
  </si>
  <si>
    <t>מבט גורלי</t>
  </si>
  <si>
    <t>מבט על מאורעות התקופה בראי התורה</t>
  </si>
  <si>
    <t>מבי מדרשא - 22 כר'</t>
  </si>
  <si>
    <t>ישיבת עטרת ישראל</t>
  </si>
  <si>
    <t>מבי מדרשא - תשע"א</t>
  </si>
  <si>
    <t>כולל שוטנשטיין</t>
  </si>
  <si>
    <t>מבי מדרשא - בבא קמא, בבא מציעא</t>
  </si>
  <si>
    <t>מבי מתיבתא</t>
  </si>
  <si>
    <t>בית המתיבתא</t>
  </si>
  <si>
    <t>מבי תלמודא - כתובות, נדרים</t>
  </si>
  <si>
    <t>מביא וקורא</t>
  </si>
  <si>
    <t>הערץ, אברהם</t>
  </si>
  <si>
    <t>מבין במקרא</t>
  </si>
  <si>
    <t>בר-און, משה יחיאל</t>
  </si>
  <si>
    <t>מבין השיטין של תורה</t>
  </si>
  <si>
    <t>מבין חידות</t>
  </si>
  <si>
    <t>היילברון, יוסף בן דוד</t>
  </si>
  <si>
    <t>מביני עמודי</t>
  </si>
  <si>
    <t>מבית אבא - בעקבות בית אבא</t>
  </si>
  <si>
    <t>גרוסברד, אבא - הררי, שמשון</t>
  </si>
  <si>
    <t>מבית אבא - 4 כר'</t>
  </si>
  <si>
    <t>גרוסברד, אבא</t>
  </si>
  <si>
    <t>מבית אברהם - 3 כר'</t>
  </si>
  <si>
    <t>גרודזינסקי, אברהם פינחס בן משה</t>
  </si>
  <si>
    <t>מבית אברהם - 2 כר'</t>
  </si>
  <si>
    <t>האדמורי"ם לבית סוכטשוב</t>
  </si>
  <si>
    <t>מבית הגנזים</t>
  </si>
  <si>
    <t>לווין, שלום דובער</t>
  </si>
  <si>
    <t>מבית היין</t>
  </si>
  <si>
    <t>מבית יעקב</t>
  </si>
  <si>
    <t>קובץ עיונים</t>
  </si>
  <si>
    <t>מבית ישראל - 2 כר'</t>
  </si>
  <si>
    <t>מבית לוי - 26 כר'</t>
  </si>
  <si>
    <t>קובץ מבית מדרשו של בעל שבט הלוי</t>
  </si>
  <si>
    <t>מבית מאיר &lt;חקר הלכות&gt; - 4 כר'</t>
  </si>
  <si>
    <t>סטולביץ, מאיר בן אברהם</t>
  </si>
  <si>
    <t>דרושים, הלכה ומנהג, הלכה ומנהג, משנה, נושאים שונים, שאלות ותשובות</t>
  </si>
  <si>
    <t>מבית מדרשו של מהרש"ל  למסכת גיטין - מגדל דוד - חכמת שלמה</t>
  </si>
  <si>
    <t>דוד בן יעקב הכהן- לוריא, שלמה בן יחיאל (מהרש"ל)</t>
  </si>
  <si>
    <t>מבית מדרשנו - 11 כר'</t>
  </si>
  <si>
    <t>מבית מדרשנו - קובץ חנוכה</t>
  </si>
  <si>
    <t>מבית עבדים - 2 כר'</t>
  </si>
  <si>
    <t>מבית ציון</t>
  </si>
  <si>
    <t>נחום, י בן ציון</t>
  </si>
  <si>
    <t>מבכורי המקום - 2 כר'</t>
  </si>
  <si>
    <t>מבן שמואל</t>
  </si>
  <si>
    <t>הומינר, מרדכי זאב בן שמואל</t>
  </si>
  <si>
    <t>תשט"ו-תש"ל</t>
  </si>
  <si>
    <t>מבנה מקואות והכשרם - 2 כר'</t>
  </si>
  <si>
    <t>מינצברג, דוד</t>
  </si>
  <si>
    <t>מבני אשר</t>
  </si>
  <si>
    <t>ליבראט, יעקב מאיר בן אשר זליג</t>
  </si>
  <si>
    <t>מבעד לחרכים</t>
  </si>
  <si>
    <t>בן מנחם, משה</t>
  </si>
  <si>
    <t>מבעד למסוה</t>
  </si>
  <si>
    <t>יהודה בן זכאי</t>
  </si>
  <si>
    <t>מבצע הצלת התורה</t>
  </si>
  <si>
    <t>לייטנר, יחזקאל</t>
  </si>
  <si>
    <t>מבצע קודש הדפסת ספרי גדולי רבני ג'רבא</t>
  </si>
  <si>
    <t>מבצר היהדות באנגליה - סיפור מחזיקי הדת &lt;A FROTRESS IN ANGLO-JEWRY&gt;</t>
  </si>
  <si>
    <t>ברוך, חומא</t>
  </si>
  <si>
    <t>מבצר יצחק - יצחק ירנן</t>
  </si>
  <si>
    <t>בוכובזא, יצחק חי</t>
  </si>
  <si>
    <t>הלכה ומנהג, תלמוד בבלי, תלמוד בבלי, תלמוד בבלי, תפלות בקשות פיוטים ושירה</t>
  </si>
  <si>
    <t>מבצר ישראל</t>
  </si>
  <si>
    <t>פישלדר, ישראל משה בן אברהם</t>
  </si>
  <si>
    <t>Mexico City מכסיקו</t>
  </si>
  <si>
    <t>מבצרי הדת</t>
  </si>
  <si>
    <t>מבצרי יהודה - 20 כר'</t>
  </si>
  <si>
    <t>בצרי, יהודה דוד בן משה</t>
  </si>
  <si>
    <t>מבקש אמונה - 4 כר'</t>
  </si>
  <si>
    <t>מבקש ה' - 2 כר'</t>
  </si>
  <si>
    <t>מבקשי אמונה - 3 כר'</t>
  </si>
  <si>
    <t>איחוד אברכים דתולדות אהרן</t>
  </si>
  <si>
    <t>מבקשי השלמות</t>
  </si>
  <si>
    <t>טשינאגעל, משה בן אברהם אליעזר</t>
  </si>
  <si>
    <t>מחשבה ומוסר, מחשבה ומוסר, נושאים שונים, תנ"ך</t>
  </si>
  <si>
    <t>מבקשי פניך</t>
  </si>
  <si>
    <t>מבשן אשיב - א</t>
  </si>
  <si>
    <t>ון דייק, יהשוע שלמה</t>
  </si>
  <si>
    <t>מבשן אשיב - 16 כר'</t>
  </si>
  <si>
    <t>צויבל, משה שמעון בן ניסן</t>
  </si>
  <si>
    <t>מבשר ואומר</t>
  </si>
  <si>
    <t>מבשר טוב &lt;מהדורה חדשה&gt;</t>
  </si>
  <si>
    <t>ניסל, שבתי בן משה</t>
  </si>
  <si>
    <t>מבשר טוב &lt;על הש"ס&gt; - 6 כר'</t>
  </si>
  <si>
    <t>רבינוביץ, בצלאל שמחה מנחם בן ציון</t>
  </si>
  <si>
    <t>מבשר טוב (תורה) - 2 כר'</t>
  </si>
  <si>
    <t>מבשר טוב על התורה (באנגלית)</t>
  </si>
  <si>
    <t>מבשר טוב - 3 כר'</t>
  </si>
  <si>
    <t>אייזיקסון, מאיר בן שלמה</t>
  </si>
  <si>
    <t>מבשר טוב</t>
  </si>
  <si>
    <t>קולוז'וואר</t>
  </si>
  <si>
    <t>מבשר טוב - 12 כר'</t>
  </si>
  <si>
    <t>צורף, אהרן</t>
  </si>
  <si>
    <t>מבשר טוב - 2 כר'</t>
  </si>
  <si>
    <t>קאמלהאר, גרשון בן יצחק שלמה</t>
  </si>
  <si>
    <t>רישה Rzeszow</t>
  </si>
  <si>
    <t>מבשר טוב - 33 כר'</t>
  </si>
  <si>
    <t>מבשר ישועה</t>
  </si>
  <si>
    <t>מבשר עזרא</t>
  </si>
  <si>
    <t>ראטה, משלם</t>
  </si>
  <si>
    <t>נושאים שונים, תנ"ך, תנ"ך, תנ"ך, תנ"ך</t>
  </si>
  <si>
    <t>מבשר צדק &lt;ילקוט המליצות&gt;</t>
  </si>
  <si>
    <t>מבשר צדק &lt;מהדורה חדשה&gt;</t>
  </si>
  <si>
    <t>מבשר צדק - 2 כר'</t>
  </si>
  <si>
    <t>מבשר צדק - 3 כר'</t>
  </si>
  <si>
    <t>מבשר צדק</t>
  </si>
  <si>
    <t>שבתי בן ישראל מקופוסט</t>
  </si>
  <si>
    <t>מבשר שלום</t>
  </si>
  <si>
    <t>מבשרי אחזה</t>
  </si>
  <si>
    <t>הכהן, בן ציון בן יעקב</t>
  </si>
  <si>
    <t>מבשרת ציון - שיר השירים</t>
  </si>
  <si>
    <t>כרמולי, אליקים בן דוד</t>
  </si>
  <si>
    <t>בריסל Brussels</t>
  </si>
  <si>
    <t>מבשרת ציון - 4 כר'</t>
  </si>
  <si>
    <t>מגבעות אשורנו - ב זכרון רחל</t>
  </si>
  <si>
    <t>ישיבת בין הזמנים מגבעות אשרונו</t>
  </si>
  <si>
    <t>מגבעות אשורנו - ירח האיתנים</t>
  </si>
  <si>
    <t>מגבעות אשורנו</t>
  </si>
  <si>
    <t>מגד ארץ</t>
  </si>
  <si>
    <t>האלברשטאם, אהרן בן יוסף זאב</t>
  </si>
  <si>
    <t>חסידות, נושאים שונים, שלחן ערוך ומפרשיו</t>
  </si>
  <si>
    <t>מגד גבעות עולם - 2 כר'</t>
  </si>
  <si>
    <t>שורקין, מיכל זלמן בן יעקב משה</t>
  </si>
  <si>
    <t>מגד גבעות - 2 כר'</t>
  </si>
  <si>
    <t>זלצר, זאב</t>
  </si>
  <si>
    <t>תשל"ז?</t>
  </si>
  <si>
    <t>מגד גרש ירחים</t>
  </si>
  <si>
    <t>מגד חדש - 2 כר'</t>
  </si>
  <si>
    <t>שובקס, חיים דוד</t>
  </si>
  <si>
    <t>מגד יהודה</t>
  </si>
  <si>
    <t>פאלאטשעק, יהודה משולם דב</t>
  </si>
  <si>
    <t>מגד יוסף - 3 כר'</t>
  </si>
  <si>
    <t>איתן, יוסף בן פינחס אלימלך הלוי</t>
  </si>
  <si>
    <t>מגד יוסף</t>
  </si>
  <si>
    <t>דייטש, יוסף בן חיים ישראל זאב</t>
  </si>
  <si>
    <t>מגד יוסף - 4 כר'</t>
  </si>
  <si>
    <t>מגד יעקב - 5 כר'</t>
  </si>
  <si>
    <t>קליימן, יעקב גד בן גרשון</t>
  </si>
  <si>
    <t>מגד ירחים</t>
  </si>
  <si>
    <t>התאחדות הבחורים דחסידי ביאלא</t>
  </si>
  <si>
    <t>מגד ירחים - 2 כר'</t>
  </si>
  <si>
    <t>ווייס, יוסף חיים הכהן</t>
  </si>
  <si>
    <t>תרפ"ה - תרפ"ח</t>
  </si>
  <si>
    <t>דרושים, קבצים וכתבי עת, ספרי זכרון ויובל, תנ"ך</t>
  </si>
  <si>
    <t>מגד שמים</t>
  </si>
  <si>
    <t>דרקסלר, גיורא בן מיכאל</t>
  </si>
  <si>
    <t>מגד שמים - 3 כר'</t>
  </si>
  <si>
    <t>שטגר, משה מרדכי בן עקיבא אפרים</t>
  </si>
  <si>
    <t>תרמ"ט - תרנ"ה</t>
  </si>
  <si>
    <t>מגד תבואת שמש</t>
  </si>
  <si>
    <t>מגדול דוד</t>
  </si>
  <si>
    <t>מגדול ישועות</t>
  </si>
  <si>
    <t>מגדולי הדור &lt;על השרידי אש&gt;</t>
  </si>
  <si>
    <t>גרינברג, חיים חייקל בן אברהם</t>
  </si>
  <si>
    <t>מגדולי החסידות - 24 כר'</t>
  </si>
  <si>
    <t>מגדולי החסידות - 4 כר'</t>
  </si>
  <si>
    <t>חסידות, חסידות, תולדות עם ישראל, תנ"ך</t>
  </si>
  <si>
    <t>מגדולי ירושלים</t>
  </si>
  <si>
    <t>מגדולי ישראל - 4 כר'</t>
  </si>
  <si>
    <t>מגדי חיים - 3 כר'</t>
  </si>
  <si>
    <t>פימשטין, חיים</t>
  </si>
  <si>
    <t>מגדיל ישועות מלכו</t>
  </si>
  <si>
    <t>הורוויץ, אברהם שמחה בן ישראל</t>
  </si>
  <si>
    <t>מגדיל ישועות</t>
  </si>
  <si>
    <t>מגדים חדשים - בראשית, שמות</t>
  </si>
  <si>
    <t>מגדים חדשים - 2 כר'</t>
  </si>
  <si>
    <t>גוטליב, נתן</t>
  </si>
  <si>
    <t>מגדים חדשים - 5 כר'</t>
  </si>
  <si>
    <t>ווייס, דוד יואל</t>
  </si>
  <si>
    <t>מגדים חדשים - ע"ז</t>
  </si>
  <si>
    <t>זינגר, פינחס מנחם מנדל בן שמואל הכהן</t>
  </si>
  <si>
    <t>זלווינסקי, בנימין שמואל</t>
  </si>
  <si>
    <t>מגדים יקרים - ברכות</t>
  </si>
  <si>
    <t>שוירץ, שלמה מנחם</t>
  </si>
  <si>
    <t>מגדל אריאל - שבת</t>
  </si>
  <si>
    <t>שוורץ, שמעון אריאל</t>
  </si>
  <si>
    <t>מגדל דוד &lt;מהדורה חדשה&gt;</t>
  </si>
  <si>
    <t>ברוקמאן, מרדכי בן מנחם שמעון</t>
  </si>
  <si>
    <t>מגדל דוד</t>
  </si>
  <si>
    <t>אייזיקוביץ, דוד אריה בן שמואל</t>
  </si>
  <si>
    <t>מגדל דוד - 2 כר'</t>
  </si>
  <si>
    <t>דוד בן יהודה מרוסיה</t>
  </si>
  <si>
    <t>דוד בן יעקב הכהן</t>
  </si>
  <si>
    <t>[שנ"ז,</t>
  </si>
  <si>
    <t>דוד בן יצחק</t>
  </si>
  <si>
    <t>האלטרכט, דוד אלכסנדר בן נח</t>
  </si>
  <si>
    <t>ווילאווסקי, יעקב דוד בן זאב</t>
  </si>
  <si>
    <t>מגדל דוד - ערכין</t>
  </si>
  <si>
    <t>זילבר, דוד</t>
  </si>
  <si>
    <t>לידא, משה דוד</t>
  </si>
  <si>
    <t>מגדל דוד - בעין יהודית - ו</t>
  </si>
  <si>
    <t>מגדל דויד</t>
  </si>
  <si>
    <t>מגדל השן</t>
  </si>
  <si>
    <t>מגדל חננאל</t>
  </si>
  <si>
    <t>חאביף, חננאל</t>
  </si>
  <si>
    <t>חננאל בן חושיאל</t>
  </si>
  <si>
    <t>עמר, חננאל בן אשר</t>
  </si>
  <si>
    <t>שלוסברג, חננאל</t>
  </si>
  <si>
    <t>מגדל עדר</t>
  </si>
  <si>
    <t>חברה זכרון דוד</t>
  </si>
  <si>
    <t>רינעצקי, גדליהו בן זאב</t>
  </si>
  <si>
    <t>מגדל עז</t>
  </si>
  <si>
    <t>מגדל עז - 3 כר'</t>
  </si>
  <si>
    <t>מגדל עז - 2 כר'</t>
  </si>
  <si>
    <t>חסידות, מחשבה ומוסר, נושאים שונים, קבלה, שאלות ותשובות, תלמוד בבלי</t>
  </si>
  <si>
    <t>מגדל צופים - 10 כר'</t>
  </si>
  <si>
    <t>אקסלרוד, גדליהו בן משה</t>
  </si>
  <si>
    <t>מגדל שיר</t>
  </si>
  <si>
    <t>מגדל תורה</t>
  </si>
  <si>
    <t>מגדלות מרקחים - 4 כר'</t>
  </si>
  <si>
    <t>גרינוואלד, לוי יצחק</t>
  </si>
  <si>
    <t>מגדלי התאומים בדילוגי אותיות בתורה</t>
  </si>
  <si>
    <t>מגדנות אליהו - 6 כר'</t>
  </si>
  <si>
    <t>רובינשטיין, אלטר אליהו בן אפרים פישל הלוי</t>
  </si>
  <si>
    <t>מגדנות אליעזר</t>
  </si>
  <si>
    <t>חסידות, מועדי ישראל, שאלות ותשובות, תלמוד בבלי, תנ"ך, תנ"ך, תפלות בקשות פיוטים ושירה, תפלות בקשות פיוטים ושירה</t>
  </si>
  <si>
    <t>שנמאן, חיים אליעזר בן שרגא דוד</t>
  </si>
  <si>
    <t>מגדנות הצבי &lt;עין הצבי&gt;</t>
  </si>
  <si>
    <t>סנדרס, צבי אריה בן יצחק</t>
  </si>
  <si>
    <t>מגדנות יחזקיהו - אמרי פי</t>
  </si>
  <si>
    <t>כץ, יחזקיהו הכהן - פייפר, פנחס יהודה זעליג</t>
  </si>
  <si>
    <t>מגדנות לחזקיהו</t>
  </si>
  <si>
    <t>מגדנות מהרי"ל</t>
  </si>
  <si>
    <t>תרפ"ז-תר"ץ</t>
  </si>
  <si>
    <t>מגדנות נתן &lt;מהדורה חדשה&gt;</t>
  </si>
  <si>
    <t>בורג'ל, אליהו חי בן נתן</t>
  </si>
  <si>
    <t>מגדנות נתן</t>
  </si>
  <si>
    <t>דרושים, הלכה ומנהג, הלכה ומנהג, שלחן ערוך ומפרשיו, תלמוד בבלי, תלמוד בבלי, תלמוד בבלי</t>
  </si>
  <si>
    <t>מלינובסקי, נתן בן דוד אלכסנדר</t>
  </si>
  <si>
    <t>מגדני אשר</t>
  </si>
  <si>
    <t>משנה, נושאים שונים, שאר ספרי חז"ל, תלמוד בבלי, תלמוד ירושלמי</t>
  </si>
  <si>
    <t>מגחלי התורה</t>
  </si>
  <si>
    <t>לפה, גרשון חנוך</t>
  </si>
  <si>
    <t>מגיא ההריגה</t>
  </si>
  <si>
    <t>אפרתי, שמעון</t>
  </si>
  <si>
    <t>מגיד דבריו ליעקב &lt;עם הוספות&gt;</t>
  </si>
  <si>
    <t>מגיד דבריו ליעקב &lt;מגיד מראשית - ויגידו למרדכי&gt;</t>
  </si>
  <si>
    <t>הכהן, רחמים חי חויתה בן חנינא - צבאן, רפאל כדיר</t>
  </si>
  <si>
    <t>מגיד דבריו ליעקב</t>
  </si>
  <si>
    <t>לנדא, דב בעריש בן אברהם</t>
  </si>
  <si>
    <t>חסידות, מועדי ישראל, משנה, תלמוד בבלי, תנ"ך</t>
  </si>
  <si>
    <t>מגיד דבריו ליעקב, מועדים - 6 כר'</t>
  </si>
  <si>
    <t>מגיד דבריו ליעקב, עה"ת - 61 כר'</t>
  </si>
  <si>
    <t>מגיד דבריו ליעקב, שונות - 5 כר'</t>
  </si>
  <si>
    <t>מגיד דבריו</t>
  </si>
  <si>
    <t>די שיגורה, רחמים ניסים יהודה בן יהושע רפאל פינחס</t>
  </si>
  <si>
    <t>מגיד חדשות - 11 כר'</t>
  </si>
  <si>
    <t>מגיד מישרים - 2 כר'</t>
  </si>
  <si>
    <t>מגיד מישרים</t>
  </si>
  <si>
    <t>מגיד מראשית אחרית</t>
  </si>
  <si>
    <t>ספריית חב"ד, קבלה</t>
  </si>
  <si>
    <t>מגיד מראשית</t>
  </si>
  <si>
    <t>אלפאנדארי, חיים בן יעקב</t>
  </si>
  <si>
    <t>מגיד משנה &lt;משנה הלכות&gt; על התורה - 5 כר'</t>
  </si>
  <si>
    <t>מגיד משנה (משנה הלכות) על התורה &lt;טקסט&gt;</t>
  </si>
  <si>
    <t>מגיד משנה האחרון</t>
  </si>
  <si>
    <t>לוינגר, יצחק אייזיק שלום בן יהודה אריה</t>
  </si>
  <si>
    <t>מגיד משנה - 2 כר'</t>
  </si>
  <si>
    <t>מגיד משרים &lt;דפו"ר&gt;</t>
  </si>
  <si>
    <t>ת"ו - ת"ט</t>
  </si>
  <si>
    <t>מגיד משרים &lt;מהדורה חדשה&gt;</t>
  </si>
  <si>
    <t>מגיד משרים</t>
  </si>
  <si>
    <t>מגיד משרים - 6 כר'</t>
  </si>
  <si>
    <t>מגיד עתידות</t>
  </si>
  <si>
    <t>פתרון חלומות</t>
  </si>
  <si>
    <t>מגיד צדק</t>
  </si>
  <si>
    <t>שנקל, זאב דוב</t>
  </si>
  <si>
    <t>מגיד תהלות &lt;מהדורה חדשה&gt;</t>
  </si>
  <si>
    <t>יחיאל איכל ממליץ</t>
  </si>
  <si>
    <t>מגיד תהלות</t>
  </si>
  <si>
    <t>מגיד תעלומה</t>
  </si>
  <si>
    <t>מגיד תעלומה - 5 כר'</t>
  </si>
  <si>
    <t>מגיד תשובה - 7 כר'</t>
  </si>
  <si>
    <t>דרושים, שאלות ותשובות, שלחן ערוך ומפרשיו</t>
  </si>
  <si>
    <t>מגידות</t>
  </si>
  <si>
    <t>מגילה במוקפות חומה</t>
  </si>
  <si>
    <t>מגילה עפה</t>
  </si>
  <si>
    <t>Cracow קרקוב</t>
  </si>
  <si>
    <t>מגילות קוצ'ין</t>
  </si>
  <si>
    <t>מגילת אבי</t>
  </si>
  <si>
    <t>מגילת אונטיוכוס לחנוכה</t>
  </si>
  <si>
    <t>מגילת אנטיוכוס. תר"ן</t>
  </si>
  <si>
    <t>מגילת אחימעץ - 2 כר'</t>
  </si>
  <si>
    <t>אחימעץ בן פלטיאל</t>
  </si>
  <si>
    <t>מגילת איבה - 5 כר'</t>
  </si>
  <si>
    <t>מגילת איכה &lt;תורה תמימה&gt;</t>
  </si>
  <si>
    <t>מגילת איכה &lt;רמז חשבוני&gt;</t>
  </si>
  <si>
    <t>מגילת איכה &lt;פרי חיים&gt;</t>
  </si>
  <si>
    <t>מגילת איכה &lt;דבר ירושלים&gt;</t>
  </si>
  <si>
    <t>מגילת איכה &lt;דמעת חיים&gt;</t>
  </si>
  <si>
    <t>שיינין, אלטר חיים</t>
  </si>
  <si>
    <t>מגילת איכה ע"פ רש"י ואבן עזרא &lt;פשר דבר&gt;</t>
  </si>
  <si>
    <t>מגילת איכה עם ביאור</t>
  </si>
  <si>
    <t>מזרחי, מאיר</t>
  </si>
  <si>
    <t>מגילת איכה עם פירוש עץ הטוב</t>
  </si>
  <si>
    <t>יעקב בן דוד</t>
  </si>
  <si>
    <t>מגילת איכה קינות וציונים</t>
  </si>
  <si>
    <t>תפילות. קינות. תק"ט. ונציה</t>
  </si>
  <si>
    <t>מגילת אליהו - 2 כר'</t>
  </si>
  <si>
    <t>מגילת אנטיוכוס &lt;שיח יצחק&gt;</t>
  </si>
  <si>
    <t>אוהב ציון, יצחק בן מרדכי</t>
  </si>
  <si>
    <t>מגילת אנטיוכוס &lt;כוונת הלב&gt;</t>
  </si>
  <si>
    <t>מכון שירה חדשה</t>
  </si>
  <si>
    <t>מגילת אנטיוכוס בארמית ובעברית</t>
  </si>
  <si>
    <t>מגלת אנטיוכוס. ואדי אלחגארה. רמ"ב</t>
  </si>
  <si>
    <t>רמ"ב</t>
  </si>
  <si>
    <t>מגילת אנטיוכוס מורחבת</t>
  </si>
  <si>
    <t>מגילת אנטיוכוס - פקסימיליה</t>
  </si>
  <si>
    <t>מגילת אנטיוכוס</t>
  </si>
  <si>
    <t>ניו הייוון</t>
  </si>
  <si>
    <t>מגילת אנטיוכס</t>
  </si>
  <si>
    <t>מגילת אסתר &lt;פנים מאירות, פנים מסבירות&gt;</t>
  </si>
  <si>
    <t>מגילת אסתר &lt;ראב"ע, הדר עזר, אברהם יגל&gt;</t>
  </si>
  <si>
    <t>מגילת אסתר &lt;על סהמ"צ&gt;</t>
  </si>
  <si>
    <t>אבן-צור, יצחק ליאון בן אליעזר</t>
  </si>
  <si>
    <t>שנ"ב</t>
  </si>
  <si>
    <t>מגילת אסתר &lt;דובר שלום&gt;</t>
  </si>
  <si>
    <t>אחיאל, דורון</t>
  </si>
  <si>
    <t>מגילת אסתר &lt;מחיר יין&gt;</t>
  </si>
  <si>
    <t>מגילת אסתר &lt;מירא  דכיא&gt;</t>
  </si>
  <si>
    <t>אלבז, מרדכי</t>
  </si>
  <si>
    <t>מגילת אסתר &lt;הגר"א - מלא העומר&gt;</t>
  </si>
  <si>
    <t>מגילת אסתר &lt;הגר"א&gt; - 4 כר'</t>
  </si>
  <si>
    <t>מגילת אסתר &lt;תורה תמימה&gt;</t>
  </si>
  <si>
    <t>מגילת אסתר &lt;מדרש רבינו בחיי&gt;</t>
  </si>
  <si>
    <t>מגילת אסתר &lt;ר"י די שיגוביא - ר"ש אלגאזי&gt;</t>
  </si>
  <si>
    <t>בנבנישתי, משה די שיגוביא - אלגאזי, שלמה</t>
  </si>
  <si>
    <t>מגילת אסתר &lt;אור המגילה&gt;</t>
  </si>
  <si>
    <t>מגילת אסתר &lt;איש ימיני&gt;</t>
  </si>
  <si>
    <t>בראון, שלמה יהושע בן צבי</t>
  </si>
  <si>
    <t>מגילת אסתר &lt;מגילת מפרשי המקרא&gt;</t>
  </si>
  <si>
    <t>מגילת אסתר &lt;מלכה של תורה&gt;</t>
  </si>
  <si>
    <t>דייטש, ישעיהו בן שמואל</t>
  </si>
  <si>
    <t>מגילת אסתר &lt;מנחת ישראל&gt;</t>
  </si>
  <si>
    <t>מגילת אסתר &lt;תקפו של נס&gt;</t>
  </si>
  <si>
    <t>הלכה ומנהג, תולדות עם ישראל, תנ"ך</t>
  </si>
  <si>
    <t>מגילת אסתר &lt;דברי שלום ואמת&gt;</t>
  </si>
  <si>
    <t>הלוי, משה שלמה זלמן</t>
  </si>
  <si>
    <t>מגילת אסתר &lt;זהב הים&gt;</t>
  </si>
  <si>
    <t>זנזורי, הראל</t>
  </si>
  <si>
    <t>מגילת אסתר &lt;נזר הקודש&gt;</t>
  </si>
  <si>
    <t>מגילת אסתר &lt;ביאורים מלוקטים&gt;</t>
  </si>
  <si>
    <t>לוי, גבריאל יוסף (עורך)</t>
  </si>
  <si>
    <t>מגילת אסתר &lt;מילי דאגדתא&gt;</t>
  </si>
  <si>
    <t>לקט דברי חז"ל</t>
  </si>
  <si>
    <t>מגילת אסתר &lt;כתב הדת - פתשגן הכתב&gt;</t>
  </si>
  <si>
    <t>מדר, מיכאל</t>
  </si>
  <si>
    <t>מגילת אסתר &lt;מלבי"ם&gt;</t>
  </si>
  <si>
    <t>מגילת אסתר &lt;זרע שמשון&gt;</t>
  </si>
  <si>
    <t>מגילת אסתר &lt;בית סערענטש&gt;</t>
  </si>
  <si>
    <t>נעטצער, משה יהודה בן צבי (עורך)</t>
  </si>
  <si>
    <t>מגילת אסתר &lt;חוט של חסד&gt;</t>
  </si>
  <si>
    <t>מגילת אסתר &lt;מימים ימימה&gt;</t>
  </si>
  <si>
    <t>עמאר, שלמה משה</t>
  </si>
  <si>
    <t>מגילת אסתר &lt;דבר ישועה&gt; - 2 כר'</t>
  </si>
  <si>
    <t>מגילת אסתר &lt;מסתרי ההשגחה, סתרי הנלוזים&gt;</t>
  </si>
  <si>
    <t>מגילת אסתר &lt;טעם זקנים&gt;</t>
  </si>
  <si>
    <t>מגילת אסתר &lt;הללי נפשי&gt;</t>
  </si>
  <si>
    <t>מגילת אסתר &lt;יקר תפארת&gt;</t>
  </si>
  <si>
    <t>מגילת אסתר &lt;שלום ואמת&gt; - ע"פ מסורת יהודי תימן</t>
  </si>
  <si>
    <t>מגילת אסתר &lt;תכלת אברהם&gt;</t>
  </si>
  <si>
    <t>מגילת אסתר &lt;פרי חיים&gt;</t>
  </si>
  <si>
    <t>מגילת אסתר &lt;קול רנה וישועה&gt;</t>
  </si>
  <si>
    <t>מגילת אסתר &lt;משפטי ה' אמת צדקו יחדיו&gt;</t>
  </si>
  <si>
    <t>קריספין, יעקב</t>
  </si>
  <si>
    <t>מגילת אסתר &lt;דברות חיים&gt;</t>
  </si>
  <si>
    <t>רבותינו לבית צאנז</t>
  </si>
  <si>
    <t>מגילת אסתר &lt;בית היין&gt;</t>
  </si>
  <si>
    <t>רבותינו מווארקא ואמשינאוו</t>
  </si>
  <si>
    <t>מגילת אסתר &lt;שערי צבי&gt;</t>
  </si>
  <si>
    <t>רוטר, מנחם צבי</t>
  </si>
  <si>
    <t>מגילת אסתר &lt;דבר ירושלים&gt;</t>
  </si>
  <si>
    <t>מגילת אסתר &lt;רמזי אסתר&gt;</t>
  </si>
  <si>
    <t>שטרנפלד, יעקב בן נחמן (מפרש)</t>
  </si>
  <si>
    <t>מגילת אסתר &lt;בכורי חיים&gt;</t>
  </si>
  <si>
    <t>מגילת אסתר &lt;מעשה תקפו&gt; - אילה שלוחה</t>
  </si>
  <si>
    <t>מגילת אסתר &lt;עין הקורא - עין הסופר&gt;</t>
  </si>
  <si>
    <t>תנ"ך. תקפ"ה.</t>
  </si>
  <si>
    <t>רעדלהיים</t>
  </si>
  <si>
    <t>מגילת אסתר &lt;יערת דבש, צוף דבש, אמרי נועם&gt;</t>
  </si>
  <si>
    <t>תנ"ך. תרל"ד. לבוב</t>
  </si>
  <si>
    <t>מגילת אסתר אורה ושמחה</t>
  </si>
  <si>
    <t>כהן, יוסף מן מאיר</t>
  </si>
  <si>
    <t>מגילת אסתר במשנתו של בעל אילת השחר</t>
  </si>
  <si>
    <t>מגילת אסתר מבוארת</t>
  </si>
  <si>
    <t>מגילת אסתר ע"פ דורש טוב לעמו</t>
  </si>
  <si>
    <t>מגילת אסתר ע"פ פירוש הגר"א</t>
  </si>
  <si>
    <t>שרוגו, שמואל אהליאב בן אברהם</t>
  </si>
  <si>
    <t>מגילת אסתר ע"פ רש"י</t>
  </si>
  <si>
    <t>גולד, שמואל יהושע</t>
  </si>
  <si>
    <t>מגילת אסתר עם ליקוט מי באר</t>
  </si>
  <si>
    <t>מגילת אסתר עם מדרש אסתר המלכה</t>
  </si>
  <si>
    <t>מגילת אסתר עם סיפור אחד</t>
  </si>
  <si>
    <t>משומר, בן טוב - משה, מנחם משה</t>
  </si>
  <si>
    <t>מגילת אסתר עם פירוש גנזי המלך</t>
  </si>
  <si>
    <t>מגילת אסתר עם פירוש יין המשמח</t>
  </si>
  <si>
    <t>מגילת אסתר עם פירוש ישועה גדולה &lt;מהדורה חדשה&gt;</t>
  </si>
  <si>
    <t>מגילת אסתר עם פירוש ישועה גדולה</t>
  </si>
  <si>
    <t>מגילת אסתר עם פירוש מגילת סתרים - 2 כר'</t>
  </si>
  <si>
    <t>לורברבוים, יעקב בן משה</t>
  </si>
  <si>
    <t>מגילת אסתר עם פירוש עקדת יצחק</t>
  </si>
  <si>
    <t>עראמה, יצחק בן משה - ורנר, דוד</t>
  </si>
  <si>
    <t>מגילת אסתר עם פירוש פנים מאירות</t>
  </si>
  <si>
    <t>מגילת אסתר עם פירוש רבינו אביגדור כהן צדק. ששון ושמחה מרבינו בחיי</t>
  </si>
  <si>
    <t>מגילת אסתר</t>
  </si>
  <si>
    <t>מגילת אסתר עם פירוש שושנת יעקב</t>
  </si>
  <si>
    <t>קרויס, יעקב קופל בן צבי יהודה</t>
  </si>
  <si>
    <t>מגילת אסתר&lt;מגילת סתרים, אילה שלוחה&gt;</t>
  </si>
  <si>
    <t>לורברבוים, יעקב - וילהלם, אהרן אליהו</t>
  </si>
  <si>
    <t>מגילת אסתר - זיו יהודה</t>
  </si>
  <si>
    <t>מגילת אסתר - פתגם המלך</t>
  </si>
  <si>
    <t>לייטנר, משה שמואל</t>
  </si>
  <si>
    <t>מגילת אסתר - חיים וקיימים</t>
  </si>
  <si>
    <t>מגילת האורים</t>
  </si>
  <si>
    <t>מגילת היטלר בצפון אפריקה</t>
  </si>
  <si>
    <t>שרף, מיכל</t>
  </si>
  <si>
    <t>מגילת המגלה</t>
  </si>
  <si>
    <t>מגילת הסתר</t>
  </si>
  <si>
    <t>מגילת השבת</t>
  </si>
  <si>
    <t>ירושלים. משמרת שבת</t>
  </si>
  <si>
    <t>מגילת חיים</t>
  </si>
  <si>
    <t>קצבורג, אוריאל צבי הכהן</t>
  </si>
  <si>
    <t>מגילת חמשה עשר באב</t>
  </si>
  <si>
    <t>קלירס, יהודה לייב בן שמואל</t>
  </si>
  <si>
    <t>מגילת חמשה עשר בשבט</t>
  </si>
  <si>
    <t>מגילת חנוכה</t>
  </si>
  <si>
    <t>מגילת יוחסין למשפחות ארנרייך דמביצר</t>
  </si>
  <si>
    <t>ארנרייך, נפתלי בן אליעזר</t>
  </si>
  <si>
    <t>מגילת יוחסין למשפחות לעווי קנאבלאך</t>
  </si>
  <si>
    <t>וובער, דובעריש</t>
  </si>
  <si>
    <t>מגילת יוחסין למשפחות רושגולד, מרגליות</t>
  </si>
  <si>
    <t>וקשטיין, נפתלי אהרן</t>
  </si>
  <si>
    <t>מגילת יוחסין למשפחת פרסטר</t>
  </si>
  <si>
    <t>מגילת יוחסין משפחות עסטרייכער ופריעד</t>
  </si>
  <si>
    <t>שווימער, חיים ישעיה</t>
  </si>
  <si>
    <t>מגילת יוחסין</t>
  </si>
  <si>
    <t>סיימון, שמחה</t>
  </si>
  <si>
    <t>מגילת יוחסין - 2 כר'</t>
  </si>
  <si>
    <t>פרלס, מאיר בן אלעזר</t>
  </si>
  <si>
    <t>שטרנהל, דוד בן משה יהושע השל</t>
  </si>
  <si>
    <t>מגילת יוסף</t>
  </si>
  <si>
    <t>ריבלין, יוסף בן אברהם בנימין</t>
  </si>
  <si>
    <t>מגילת יעקב - מגילה</t>
  </si>
  <si>
    <t>אופנהיימר, יעקב</t>
  </si>
  <si>
    <t>מגילת ישראל - כתיבת מגילת אסתר</t>
  </si>
  <si>
    <t>גרטנר, ישראל</t>
  </si>
  <si>
    <t>מגילת מלחמה ושלום</t>
  </si>
  <si>
    <t>מגילת מרדכי</t>
  </si>
  <si>
    <t>מגילת משפחתנו</t>
  </si>
  <si>
    <t>ריש, יצחק</t>
  </si>
  <si>
    <t>מגילת סדרים</t>
  </si>
  <si>
    <t>מגילת סדרים - 3 כר'</t>
  </si>
  <si>
    <t>היילברון, יעקב בן יצחק</t>
  </si>
  <si>
    <t>לייפניק, אברהם בן מרדכי</t>
  </si>
  <si>
    <t>מגילת סופר</t>
  </si>
  <si>
    <t>מגילת ספר &lt;מהדורת הרב בומבך&gt;</t>
  </si>
  <si>
    <t>מגילת ספר - אגרת הפורים</t>
  </si>
  <si>
    <t>מגילת ספר - דברות שמואל</t>
  </si>
  <si>
    <t>אויערבאך, שמואל בן שלמה זלמן - אייזנטל, אוריאל</t>
  </si>
  <si>
    <t>מגילת ספר - 5 כר'</t>
  </si>
  <si>
    <t>איזנטל, אוריאל הלוי</t>
  </si>
  <si>
    <t>מגילת ספר</t>
  </si>
  <si>
    <t>דויטש, מרדכי בן בנימין זאב</t>
  </si>
  <si>
    <t>דומיניץ, חיים יעקב בן נפתלי נתן נטע</t>
  </si>
  <si>
    <t>וואנפרידן, אליקים גטשליק בן יחיאל מיכל</t>
  </si>
  <si>
    <t>מגילת ספר - 3 כר'</t>
  </si>
  <si>
    <t>פרלס, משה מאיר בן אלעזר</t>
  </si>
  <si>
    <t>קאזיס, בנימין בן דוד</t>
  </si>
  <si>
    <t>מגילת סתרים &lt;מהדורת ווערנער&gt;</t>
  </si>
  <si>
    <t>מגילת סתרים &lt;מהדורה חדשה&gt;</t>
  </si>
  <si>
    <t>מגילת סתרים - 2 כר'</t>
  </si>
  <si>
    <t>מגילת סתרים</t>
  </si>
  <si>
    <t>דוד בן אריה ליב מאמשטרדם</t>
  </si>
  <si>
    <t>מגילת סתרים - 3 כר'</t>
  </si>
  <si>
    <t>רע"ג</t>
  </si>
  <si>
    <t>פיזרו</t>
  </si>
  <si>
    <t>מגילת עסלאר</t>
  </si>
  <si>
    <t>מגילת פולין - 4 כר'</t>
  </si>
  <si>
    <t>לוין, יהודא לייב</t>
  </si>
  <si>
    <t>מגילת פורים מצרים</t>
  </si>
  <si>
    <t>ספור נס ההצלה של יהודי מצרים</t>
  </si>
  <si>
    <t>מגילת פלסתר</t>
  </si>
  <si>
    <t>גשטטנר, אברהם שמואל יהודה בן נתן</t>
  </si>
  <si>
    <t>מגילת קהלת &lt;דברי חפץ&gt;</t>
  </si>
  <si>
    <t>אסטאנסקי, צמח דוד בן נתנאל</t>
  </si>
  <si>
    <t>מגילת קהלת &lt;אמרי קהלת - דברי קהלת&gt;</t>
  </si>
  <si>
    <t>דנגור, עזרא ראובן</t>
  </si>
  <si>
    <t>מגילת קהלת &lt;באור חדש&gt;</t>
  </si>
  <si>
    <t>וורבר, ברוך</t>
  </si>
  <si>
    <t>מגילת קהלת &lt;בנין ירושלים&gt;</t>
  </si>
  <si>
    <t>לובלצ'יק, פלטיאל ידידיה בן אברהם</t>
  </si>
  <si>
    <t>מגילת קהלת &lt;הללי נפשי&gt;</t>
  </si>
  <si>
    <t>מגילת קהלת &lt;פרי חיים&gt;</t>
  </si>
  <si>
    <t>מגילת קהלת &lt;צרי גלעד&gt;</t>
  </si>
  <si>
    <t>רוזנצוייג, יעקב</t>
  </si>
  <si>
    <t>מגילת קהלת &lt;שמע שלמה&gt;</t>
  </si>
  <si>
    <t>מגילת קהלת ע"פ רבינו עובדיה ספורנו המבואר</t>
  </si>
  <si>
    <t>מגילת קהלת עם ביאור חכמת המלך</t>
  </si>
  <si>
    <t>לייטער, משה חיים</t>
  </si>
  <si>
    <t>מגילת רב סבא</t>
  </si>
  <si>
    <t>פילדפיה</t>
  </si>
  <si>
    <t>מגילת רבי מאיר</t>
  </si>
  <si>
    <t>מאיר בן יחיאל מברוד</t>
  </si>
  <si>
    <t>מגילת רות &lt;הגר"א&gt;</t>
  </si>
  <si>
    <t>נושאים שונים, קבלה, תנ"ך, תנ"ך</t>
  </si>
  <si>
    <t>מגילת רות &lt;ר"י די שיגוביא - ר"ש אלגאזי&gt;</t>
  </si>
  <si>
    <t>מגילת רות &lt;בן ישי&gt;</t>
  </si>
  <si>
    <t>מגילת רות &lt;מגילת שיר&gt;</t>
  </si>
  <si>
    <t>ברייטקופף, שמעון יאיר</t>
  </si>
  <si>
    <t>מגילת רות &lt;נחלת יוסף&gt;</t>
  </si>
  <si>
    <t>ליפוביץ, יוסף זאב הלוי</t>
  </si>
  <si>
    <t>מגילת רות &lt;גזע ישי&gt;</t>
  </si>
  <si>
    <t>מגילת רות &lt;שושלת בית פרץ&gt;</t>
  </si>
  <si>
    <t>מגילת רות &lt;מלכות שלמה&gt;</t>
  </si>
  <si>
    <t>צופיוף, שלמה</t>
  </si>
  <si>
    <t>מגילת רות &lt;פרי חיים&gt;</t>
  </si>
  <si>
    <t>מגילת רות &lt;חסד למשיחו&gt;</t>
  </si>
  <si>
    <t>מגילת רות &lt;דבר ירושלים&gt;</t>
  </si>
  <si>
    <t>מגילת רות בראי הנצח</t>
  </si>
  <si>
    <t>פורמן, אברהם</t>
  </si>
  <si>
    <t>מגילת רות המבוארת</t>
  </si>
  <si>
    <t>פ. מרדכי</t>
  </si>
  <si>
    <t>מגילת רות מדרש אור יקרות</t>
  </si>
  <si>
    <t>מגילת רות עם פירוש ויאמר לקוצרים</t>
  </si>
  <si>
    <t>מגילת רות עם שמועות וביאורים</t>
  </si>
  <si>
    <t>מכון מבקשי שמועה</t>
  </si>
  <si>
    <t>מגילת רות - באור בדרך פרדס</t>
  </si>
  <si>
    <t>מגילת רזין</t>
  </si>
  <si>
    <t>לדרמן, יוחנן</t>
  </si>
  <si>
    <t>מגילת רמות</t>
  </si>
  <si>
    <t>מגילת שיר השירים &lt;תרגום, מעיין מבית ה'&gt;</t>
  </si>
  <si>
    <t>יוהניסבורג, פרוסיה J</t>
  </si>
  <si>
    <t>מגילת שיר השירים &lt;מטיב שיר, שאר ישראל&gt;</t>
  </si>
  <si>
    <t>מגילת שיר השירים &lt;בית היין&gt;</t>
  </si>
  <si>
    <t>הכהן, ראובן בן ברוך</t>
  </si>
  <si>
    <t>מגילת שיר השירים &lt;השיר לשלמה&gt;</t>
  </si>
  <si>
    <t>הלפרין, שמואל חיים דוד בן יהושע השל</t>
  </si>
  <si>
    <t>מגילת שיר השירים &lt;הללי נפשי - יקרת השיר&gt;</t>
  </si>
  <si>
    <t>מגילת שיר השירים &lt;פרי חיים&gt;</t>
  </si>
  <si>
    <t>מגילת שיר השירים &lt;עם פירוש ר"א תמך&gt; - 2 כר'</t>
  </si>
  <si>
    <t>תמך, אברהם בן יצחק הלוי</t>
  </si>
  <si>
    <t>מגילת שיר השירים &lt;הגר"א, האר"י, הרוקח, באר אברהם&gt;</t>
  </si>
  <si>
    <t>תנ"ך. תרמ"ז. ורשה</t>
  </si>
  <si>
    <t>מגילת שיר השירים - קיצור פירוש המלבי"ם ופירוש לפירושו</t>
  </si>
  <si>
    <t>רם, אלחנן</t>
  </si>
  <si>
    <t>מגילת שמואל - 3 כר'</t>
  </si>
  <si>
    <t>מגילת תענית &lt;באור התענית - דברי התענית&gt;</t>
  </si>
  <si>
    <t>ברנשטיין, יוסף עמרם</t>
  </si>
  <si>
    <t>מגילת תענית &lt;פירוש מספיק, פירוש מהר"א&gt;</t>
  </si>
  <si>
    <t>מגילת תענית. תר"ח</t>
  </si>
  <si>
    <t>מגילת תענית בביטולה</t>
  </si>
  <si>
    <t>מגילת תענית עם ביאור קצר</t>
  </si>
  <si>
    <t>מגילת תענית</t>
  </si>
  <si>
    <t>מגילת תענית. תרל"ד</t>
  </si>
  <si>
    <t>שאר ספרי חז"ל, שאר ספרי חז"ל, תולדות עם ישראל</t>
  </si>
  <si>
    <t>מגילת תענית. תרס"ו</t>
  </si>
  <si>
    <t>מגילת תענית. תרס"ח</t>
  </si>
  <si>
    <t>מגילת תענית. תרפ"ה</t>
  </si>
  <si>
    <t>מגילת תענית. תרצ"ב</t>
  </si>
  <si>
    <t>מגיני ארץ</t>
  </si>
  <si>
    <t>הכהן, דניאל</t>
  </si>
  <si>
    <t>מגיני זהב</t>
  </si>
  <si>
    <t>יואל בן גד</t>
  </si>
  <si>
    <t>מגיני שלמה &lt;מהדורה חדשה&gt;</t>
  </si>
  <si>
    <t>יהושע בן יוסף מקראקא</t>
  </si>
  <si>
    <t>מגיני שלמה - 3 כר'</t>
  </si>
  <si>
    <t>מגישי מנחה - 2 כר'</t>
  </si>
  <si>
    <t>באב"ד, יוסף - גרוסמן, שמואל ראובן</t>
  </si>
  <si>
    <t>מגישי מנחה - מנחות</t>
  </si>
  <si>
    <t>נהוראי, יהודה מאיר בן ציון</t>
  </si>
  <si>
    <t>מגל האומר</t>
  </si>
  <si>
    <t>כ"ץ, יעקב בן משה הכהן מיאנוב</t>
  </si>
  <si>
    <t>מגל  - ג</t>
  </si>
  <si>
    <t>המכון הגבוה לתורה</t>
  </si>
  <si>
    <t>מגלה סוד - 2 כר'</t>
  </si>
  <si>
    <t>גומפרץ, אהרן (אמריך) בן שלמה</t>
  </si>
  <si>
    <t>מגלה עמוקות &lt;בארות עמוקים&gt;</t>
  </si>
  <si>
    <t>שפירא, נתן נטע בן שלמה</t>
  </si>
  <si>
    <t>למברג</t>
  </si>
  <si>
    <t>מגלה עמוקות &lt;דפו"ר&gt;</t>
  </si>
  <si>
    <t>מגלה עמוקות &lt;מהדורה חדשה&gt;</t>
  </si>
  <si>
    <t>מגלה עמוקות &lt;פרישת שלום&gt; - 3 כר'</t>
  </si>
  <si>
    <t>מגלה עמוקות (על הרי"ף)</t>
  </si>
  <si>
    <t>מגלה עמוקות בכוונת התפלה</t>
  </si>
  <si>
    <t>מגלה עמוקות מני חשך</t>
  </si>
  <si>
    <t>אלמאליח, אליהו בן אברהם</t>
  </si>
  <si>
    <t>מגלה עמוקות על התורה - 2 כר'</t>
  </si>
  <si>
    <t>דרושים, מועדי ישראל, מועדי ישראל, מועדי ישראל, תנ"ך</t>
  </si>
  <si>
    <t>מגלה עמוקות עם גלא עמיקתא</t>
  </si>
  <si>
    <t>שפירא, נתן נטע בן שלמה - זידמן, איל ישראל</t>
  </si>
  <si>
    <t>מגלה עמוקות - איוב</t>
  </si>
  <si>
    <t>מגלה עמוקות</t>
  </si>
  <si>
    <t>מגלה צפונות - 3 כר'</t>
  </si>
  <si>
    <t>תרי"ז - תרכ"א</t>
  </si>
  <si>
    <t>מגלה צפונות - 2 כר'</t>
  </si>
  <si>
    <t>מגלה תעלומות</t>
  </si>
  <si>
    <t>הורוויץ, צבי הירש הלוי</t>
  </si>
  <si>
    <t>סט. לואיס,</t>
  </si>
  <si>
    <t>מגלת איכה &lt;אלון בכות&gt;</t>
  </si>
  <si>
    <t>מגלת אנטיוכוס</t>
  </si>
  <si>
    <t>מגילת אנטיוכוס. רמ"ב</t>
  </si>
  <si>
    <t>ואדי אלחיגארה</t>
  </si>
  <si>
    <t>מגלת אנטיוכס</t>
  </si>
  <si>
    <t>מגילת אנטיוכוס. תש"ח</t>
  </si>
  <si>
    <t>מגלת אסתר הפראגמאטית</t>
  </si>
  <si>
    <t>ריבקין, צבי הירש</t>
  </si>
  <si>
    <t>מגלת אסתר</t>
  </si>
  <si>
    <t>ברעסלויא</t>
  </si>
  <si>
    <t>מגלת הטבח - 4 כר'</t>
  </si>
  <si>
    <t>רוזנטאל, אליעזר דוד</t>
  </si>
  <si>
    <t>תרפ"ז - תרצ"א</t>
  </si>
  <si>
    <t>ירושלים - תל-אביב,</t>
  </si>
  <si>
    <t>מגלת יוחסין לבית הנגיד ר' יוסף גראנדמאן</t>
  </si>
  <si>
    <t>גרונדמן, חיים</t>
  </si>
  <si>
    <t>מגלת יוחסין לבית הנגיד ר' שלמה גראנדמאן</t>
  </si>
  <si>
    <t>טננבוים, ישראל דוב</t>
  </si>
  <si>
    <t>שידלובצי</t>
  </si>
  <si>
    <t>מגלת יוחסין</t>
  </si>
  <si>
    <t>שמשי, צבי בן ראובן ישראל</t>
  </si>
  <si>
    <t>מגלת סדרים</t>
  </si>
  <si>
    <t>מגלת סופרים</t>
  </si>
  <si>
    <t>משפחת הסופרים</t>
  </si>
  <si>
    <t>מגלת קהלת &lt;רוח חיים&gt;</t>
  </si>
  <si>
    <t>ליבשיץ, דוב בער זאב וולף בן חיים</t>
  </si>
  <si>
    <t>מגלת שיר השירים &lt;בינה בכתובים&gt;</t>
  </si>
  <si>
    <t>עוזיאלי, ישראל יוסף בן משה</t>
  </si>
  <si>
    <t>מגן אבות  (אמונות ודעות) &lt;מכון הכתב&gt;</t>
  </si>
  <si>
    <t>מגן אבות &lt;מכון הכתב&gt;</t>
  </si>
  <si>
    <t>מגן אבות</t>
  </si>
  <si>
    <t>ביהמ"ד סטניסלוב</t>
  </si>
  <si>
    <t>מגן אבות - 4 כר'</t>
  </si>
  <si>
    <t>מגן אבות - 2 כר'</t>
  </si>
  <si>
    <t>לבהר, מרדכי עקיבא אריה</t>
  </si>
  <si>
    <t>קרויס, יהודה בן יקותיאל</t>
  </si>
  <si>
    <t>מגן אבות - (מסכת אבות)</t>
  </si>
  <si>
    <t>מגן אבות - 7 כר'</t>
  </si>
  <si>
    <t>שניאורסון, שלמה זלמן בן יהודה ליב</t>
  </si>
  <si>
    <t>מגן אברהם &lt;תוספתא&gt;</t>
  </si>
  <si>
    <t>תוספתא. תצ"ב</t>
  </si>
  <si>
    <t>הלכה ומנהג, שאלות ותשובות, שאר ספרי חז"ל</t>
  </si>
  <si>
    <t>מגן אברהם המבואר</t>
  </si>
  <si>
    <t>אנגלברג, קלמן אהרן</t>
  </si>
  <si>
    <t>מגן אברהם - 3 כר'</t>
  </si>
  <si>
    <t>טברסקי, אברהם בן מרדכי</t>
  </si>
  <si>
    <t>מגן אברהם</t>
  </si>
  <si>
    <t>לאניאדו, אברהם בן יצחק</t>
  </si>
  <si>
    <t>רובין, שמואל</t>
  </si>
  <si>
    <t>מגן אלהים</t>
  </si>
  <si>
    <t>אבוהב, יצחק (השני?)</t>
  </si>
  <si>
    <t>מגן בעדי</t>
  </si>
  <si>
    <t>עבאדי, שאול מטלוב בן אברהם</t>
  </si>
  <si>
    <t>מגן בעדי - ב</t>
  </si>
  <si>
    <t>מגן בעדי - א</t>
  </si>
  <si>
    <t>עבודי, יחיא משה</t>
  </si>
  <si>
    <t>מגן גבורים - 7 כר'</t>
  </si>
  <si>
    <t>איטינגא, מרדכי זאב - נתנזון, יוסף שאול בן אריה ליבוש הלוי</t>
  </si>
  <si>
    <t>מגן גבורים</t>
  </si>
  <si>
    <t>אישטרושה, דניאל בן משה</t>
  </si>
  <si>
    <t>מגן גבורים - 3 כר'</t>
  </si>
  <si>
    <t>תקמ"א - תקס"ו</t>
  </si>
  <si>
    <t>מגן דוד &lt;מהדורה חדשה&gt;</t>
  </si>
  <si>
    <t>מגן דוד - 3 כר'</t>
  </si>
  <si>
    <t>מגן דוד - 2 כר'</t>
  </si>
  <si>
    <t>אלישע בן אברהם מקושטא</t>
  </si>
  <si>
    <t>רע"ז</t>
  </si>
  <si>
    <t>מגן דוד</t>
  </si>
  <si>
    <t>אסתרמאן, דוד יצחק בן ישעיהו</t>
  </si>
  <si>
    <t>גאנז, דוד בן שלמה</t>
  </si>
  <si>
    <t>גיג', מרדכי בן דוד</t>
  </si>
  <si>
    <t>דוד בן יהודה מלובלין</t>
  </si>
  <si>
    <t>ת"ד</t>
  </si>
  <si>
    <t>מגן דוד - פירוש על חד גדיא</t>
  </si>
  <si>
    <t>דוד בן משולם משה</t>
  </si>
  <si>
    <t>[אמשטרדם?],</t>
  </si>
  <si>
    <t>דוד בן שמואל מדראזני</t>
  </si>
  <si>
    <t>ווזאן, דוד</t>
  </si>
  <si>
    <t>סביבי, דוד בן יהודה</t>
  </si>
  <si>
    <t>פרץ, דוד בן יוסף</t>
  </si>
  <si>
    <t>מגן הדת</t>
  </si>
  <si>
    <t>אזולאי, חנניה חביב</t>
  </si>
  <si>
    <t>מגן התלמוד</t>
  </si>
  <si>
    <t>כהנא, שמחה הכהן</t>
  </si>
  <si>
    <t>מגן וצינה - 2 כר'</t>
  </si>
  <si>
    <t>דרושים, מחשבה ומוסר, קבלה, תולדות עם ישראל</t>
  </si>
  <si>
    <t>מגן וצנה</t>
  </si>
  <si>
    <t>שרעבי, אברהם</t>
  </si>
  <si>
    <t>מגן ישעך</t>
  </si>
  <si>
    <t>שלחן ערוך ומפרשיו, תלמוד בבלי, תלמוד ירושלמי, תנ"ך</t>
  </si>
  <si>
    <t>מגן ישראל</t>
  </si>
  <si>
    <t>מגן לדוד</t>
  </si>
  <si>
    <t>מלכה, אליעזר בן דוד</t>
  </si>
  <si>
    <t>מגן צבי - קדושת הארץ</t>
  </si>
  <si>
    <t>מגנצא, צבי בן דוד</t>
  </si>
  <si>
    <t>מגן שאול</t>
  </si>
  <si>
    <t>מגן שאול - 2 כר'</t>
  </si>
  <si>
    <t>גרינפלד, שאול יחזקאל בן אברהם שלמה</t>
  </si>
  <si>
    <t>מאירוב, אהרן שאול זליג בן מאיר שלום הכהן</t>
  </si>
  <si>
    <t>פרידנזון, שאול אליעזר בן ש הכהן</t>
  </si>
  <si>
    <t>שאול, חנניה בן יעקב</t>
  </si>
  <si>
    <t>מגנזי הגר"ח</t>
  </si>
  <si>
    <t>מגנזי החסידות</t>
  </si>
  <si>
    <t>[תש"ח,</t>
  </si>
  <si>
    <t>מגנזי היהודים בתימן</t>
  </si>
  <si>
    <t>גרידי, שמעון בן יחיא</t>
  </si>
  <si>
    <t>מגנזי הים - גליונות אור השבת</t>
  </si>
  <si>
    <t>תשס"ה?</t>
  </si>
  <si>
    <t>מגנזי העבר</t>
  </si>
  <si>
    <t>אלמאליח, אברהם רפאל בן-ציון בן יוסף</t>
  </si>
  <si>
    <t>מגנזי חכמי טבריא &lt;חנא וחסדא - מדרש שמואל&gt;</t>
  </si>
  <si>
    <t>אבואלעפייא, חיים נסים - קונוורטי, חיים שמואל הכהן</t>
  </si>
  <si>
    <t>מגנזי חכמי טבריא &lt;מערכות שמואל - מעוז חיי&gt;</t>
  </si>
  <si>
    <t>בן קיקי, שמואל - ילוז, יוסף חיים</t>
  </si>
  <si>
    <t>מגנזי חכמי תונס</t>
  </si>
  <si>
    <t>ישיבת כסא רחמים (מו"ל)</t>
  </si>
  <si>
    <t>מגנזי ירושלים - 19 כר'</t>
  </si>
  <si>
    <t>מגנזי ישראל בוואטיקאן</t>
  </si>
  <si>
    <t>מגנזי ישראל בפריס</t>
  </si>
  <si>
    <t>גולדבלום, ישראל איסר בן משה</t>
  </si>
  <si>
    <t>מגני אברהם</t>
  </si>
  <si>
    <t>שאלות ותשובות, שלחן ערוך ומפרשיו, תלמוד בבלי, תלמוד בבלי, תלמוד בבלי</t>
  </si>
  <si>
    <t>מגני ארץ ישראל</t>
  </si>
  <si>
    <t>מדאני אסא - 2 כר'</t>
  </si>
  <si>
    <t>אריבי, סעדיה בן אליהו</t>
  </si>
  <si>
    <t>מדבר יהודה</t>
  </si>
  <si>
    <t>מדבר מתנה א' - 5 כר'</t>
  </si>
  <si>
    <t>טירני, מתתיה ניסים בן יעקב ישראל</t>
  </si>
  <si>
    <t>[איטליה-פירינצי- Se</t>
  </si>
  <si>
    <t>מדבר מתנה ב' - 4 כר'</t>
  </si>
  <si>
    <t>מדבר סין</t>
  </si>
  <si>
    <t>קארא, אביגדור בן יצחק</t>
  </si>
  <si>
    <t>מדבר קדמות - 3 כר'</t>
  </si>
  <si>
    <t>מדבר קדש - 2 כר'</t>
  </si>
  <si>
    <t>רוקח, שר שלום</t>
  </si>
  <si>
    <t>מדבר שור</t>
  </si>
  <si>
    <t>מדבש לפי (מהדורת ביקורת)</t>
  </si>
  <si>
    <t>מדה כנגד מדה</t>
  </si>
  <si>
    <t>מדו בד - 2 כר'</t>
  </si>
  <si>
    <t>פישר, משה דב</t>
  </si>
  <si>
    <t>מדוע סבא שלנו צעיר</t>
  </si>
  <si>
    <t>גולומבוביץ, בלה</t>
  </si>
  <si>
    <t>מדור אל דור</t>
  </si>
  <si>
    <t>טברסקי, נחום</t>
  </si>
  <si>
    <t>שטרסבורגר, ברוך הלוי</t>
  </si>
  <si>
    <t>כפר סבא</t>
  </si>
  <si>
    <t>מדור דור</t>
  </si>
  <si>
    <t>בלום, אלעזר חיים בן רפאל</t>
  </si>
  <si>
    <t>מדור לדור</t>
  </si>
  <si>
    <t>חי, אברהם</t>
  </si>
  <si>
    <t>מדות הבתים</t>
  </si>
  <si>
    <t>דוקטורוביץ (רפאלי), יוסף בן יעקב</t>
  </si>
  <si>
    <t>מדות הרחמים</t>
  </si>
  <si>
    <t>מדות התורה</t>
  </si>
  <si>
    <t>ברקוביץ, יצחק צבי בן אשר</t>
  </si>
  <si>
    <t>מדות והנהגות טובות</t>
  </si>
  <si>
    <t>מדות ומעשים - 2 כר'</t>
  </si>
  <si>
    <t>מדות ומשקלות של התורה</t>
  </si>
  <si>
    <t>מדות ושיעורי תורה</t>
  </si>
  <si>
    <t>בניש, חיים פינחס בן שמעון יהודה</t>
  </si>
  <si>
    <t>מדות חן</t>
  </si>
  <si>
    <t>לומברד, יוחנן</t>
  </si>
  <si>
    <t>מדות רשב"י</t>
  </si>
  <si>
    <t>מדי דברי</t>
  </si>
  <si>
    <t>מהרש"ק, דניאל יוסף בן יחזקאל שלמה חיים</t>
  </si>
  <si>
    <t>מדי שבת בשבתו - צחות הלשון</t>
  </si>
  <si>
    <t>מדי שבת בשבתו - 2 כר'</t>
  </si>
  <si>
    <t>שצרנסקי, בנימין</t>
  </si>
  <si>
    <t>מדי שבת - 3 כר'</t>
  </si>
  <si>
    <t>דרוק, ישראל מאיר בן מרדכי</t>
  </si>
  <si>
    <t>מדמויות ירושלים</t>
  </si>
  <si>
    <t>מדע אהבה זמנים</t>
  </si>
  <si>
    <t>(שכ"ו</t>
  </si>
  <si>
    <t>מדע הרפוי בתימן</t>
  </si>
  <si>
    <t>אקצע, זכריה בן שלמה יחיא</t>
  </si>
  <si>
    <t>מדרגת האדם &lt;מהדורה חדשה&gt;</t>
  </si>
  <si>
    <t>מדרגת האדם בבקשת השלימות</t>
  </si>
  <si>
    <t>מדרגת האדם בדרכי החיים</t>
  </si>
  <si>
    <t>מדרגת האדם בדרכי התשובה</t>
  </si>
  <si>
    <t>מדרגת האדם ביראה ואהבה</t>
  </si>
  <si>
    <t>מדרגת האדם בנקודת האמת</t>
  </si>
  <si>
    <t>מדרגת האדם בתקופת העולם</t>
  </si>
  <si>
    <t>מדרגת האדם</t>
  </si>
  <si>
    <t>מדריך הכשרות  (ארה"ב) - 4 כר'</t>
  </si>
  <si>
    <t>מדריך הכשרות</t>
  </si>
  <si>
    <t>תשל"ח - תשנ"ד</t>
  </si>
  <si>
    <t>מדריך הכשרות המעשי</t>
  </si>
  <si>
    <t>מדריך הכשרות - תש"ס</t>
  </si>
  <si>
    <t>בד"ץ בית יוסף</t>
  </si>
  <si>
    <t>מדריך הכשרות - 30 כר'</t>
  </si>
  <si>
    <t>ועד הכשרות של בד"ץ העדה החרדית</t>
  </si>
  <si>
    <t>מדריך הלכתי לאחיות בבתי חולים</t>
  </si>
  <si>
    <t>מדריך כשרות פסח תשמ"א ולכל ימות השנה</t>
  </si>
  <si>
    <t>הרבנות הראשית ירושלים</t>
  </si>
  <si>
    <t>מדריך כשרות פסח תשס"ה ולכל ימות השנה</t>
  </si>
  <si>
    <t>מדריך כשרות פסח תשע"ה ולכל ימות השנה</t>
  </si>
  <si>
    <t>מדריך לארבעה מינים מהודרים</t>
  </si>
  <si>
    <t>קרויס, ישראל בן שמשון יחיאל</t>
  </si>
  <si>
    <t>מדריך לגר</t>
  </si>
  <si>
    <t>מדריך להלכות טרפות - 2 כר'</t>
  </si>
  <si>
    <t>מדריך להלכות ניקור</t>
  </si>
  <si>
    <t>מדריך לחייל היהודי - 2 כר'</t>
  </si>
  <si>
    <t>מדריך לכלה</t>
  </si>
  <si>
    <t>מדריך לכשרות המזון</t>
  </si>
  <si>
    <t>מדריך למורה ללימוד טעמי המקרא לתלמיד</t>
  </si>
  <si>
    <t>מדריך למנהג אשכנז המובהק &lt;גירסא זמנית&gt;</t>
  </si>
  <si>
    <t>מדריך למתפלל</t>
  </si>
  <si>
    <t>מדריך לשיפור המידות</t>
  </si>
  <si>
    <t>מדריך שמיטה לחקלאים - 2 כר'</t>
  </si>
  <si>
    <t>מדריך שמיטה לצרכן</t>
  </si>
  <si>
    <t>מדריך שמיטה לצרכנים - תשנ"ד</t>
  </si>
  <si>
    <t>מדריך תורני לאמנות</t>
  </si>
  <si>
    <t>מדרך עוז - 2 כר'</t>
  </si>
  <si>
    <t>רינהולד, מרדכי  בן חים</t>
  </si>
  <si>
    <t>מדרכי אברהם - 2 כר'</t>
  </si>
  <si>
    <t>מדרכי הדעת</t>
  </si>
  <si>
    <t>רוט, ברוך מרדכי בן דוד יעקב</t>
  </si>
  <si>
    <t>מדרכי החיים</t>
  </si>
  <si>
    <t>פרוש גליקמן, מרדכי בן חיים</t>
  </si>
  <si>
    <t>מדרכי הטהרה</t>
  </si>
  <si>
    <t>לרנר, מרדכי בן שמואל אפרים</t>
  </si>
  <si>
    <t>מדרכי הטוהר</t>
  </si>
  <si>
    <t>ווייס, מרדכי בן יעקב</t>
  </si>
  <si>
    <t>מדרכי הכרם - 2 כר'</t>
  </si>
  <si>
    <t>מדרכי התשובה</t>
  </si>
  <si>
    <t>נויגרשל, מרדכי דוד</t>
  </si>
  <si>
    <t>מדרכי טהרה</t>
  </si>
  <si>
    <t>מנע, מרדכי</t>
  </si>
  <si>
    <t>מדרכי יוסף</t>
  </si>
  <si>
    <t>וילמובסקי, יוסף מרדכי בן אברהם חיים</t>
  </si>
  <si>
    <t>שטראוס, מרדכי יוסף</t>
  </si>
  <si>
    <t>מדרכי משה</t>
  </si>
  <si>
    <t>זנימרובסקי, משה בן מרדכי יששכר</t>
  </si>
  <si>
    <t>דרושים, משנה, נושאים שונים, תולדות עם ישראל, תלמוד בבלי, תנ"ך</t>
  </si>
  <si>
    <t>קליבאנוב, משה מרדכי</t>
  </si>
  <si>
    <t>דרושים, דרושים, מחשבה ומוסר, תלמוד בבלי</t>
  </si>
  <si>
    <t>מדרכי נועם - 2 כר'</t>
  </si>
  <si>
    <t>ברנשטיין, חיים מרדכי</t>
  </si>
  <si>
    <t>מדרכיו של אבא</t>
  </si>
  <si>
    <t>ברסקה, יצחק בן שלמה  (עליו)</t>
  </si>
  <si>
    <t>מדרס לפירושים</t>
  </si>
  <si>
    <t>סאבאן, רפאל דוד (פרץ, אליהו - מו"ל)</t>
  </si>
  <si>
    <t>סבן, רפאל דוד בן נסים</t>
  </si>
  <si>
    <t>מדרש אבא גוריון &lt;שלום ואמת&gt;</t>
  </si>
  <si>
    <t>מדרש אבות</t>
  </si>
  <si>
    <t>מדרש אברנבאל</t>
  </si>
  <si>
    <t>אברבנאל, יצחק בן יהודה - לדרמן, יוחנן</t>
  </si>
  <si>
    <t>מדרש אגדה &lt;מהדורה חדשה&gt;</t>
  </si>
  <si>
    <t>מדרש אגדה</t>
  </si>
  <si>
    <t>מדרש אגדה - 2 כר'</t>
  </si>
  <si>
    <t>מדרש אגדת בראשית</t>
  </si>
  <si>
    <t>מדרש אגדת בראשית. תקס"ד</t>
  </si>
  <si>
    <t>מדרש אהרן</t>
  </si>
  <si>
    <t>ווייס, אהרן בן שמואל צבי</t>
  </si>
  <si>
    <t>מדרש אור חדש - 2 כר'</t>
  </si>
  <si>
    <t>מדרש איוב</t>
  </si>
  <si>
    <t>מדרש איכה רבה</t>
  </si>
  <si>
    <t>מדרש אלה אזכרה &lt;שיח יצחק&gt;</t>
  </si>
  <si>
    <t>מדרש אלה אזכרה</t>
  </si>
  <si>
    <t>מדרש עשרה הרוגי מלכות</t>
  </si>
  <si>
    <t>מדרש אליהו &lt;ספר זכרון&gt; - 2 כר'</t>
  </si>
  <si>
    <t>כולל מדרש אליהו</t>
  </si>
  <si>
    <t>מדרש אליהו - 3 כר'</t>
  </si>
  <si>
    <t>מדרש אליהו</t>
  </si>
  <si>
    <t>אליהו בן משה חיים</t>
  </si>
  <si>
    <t>מדרש אליהו - 2 כר'</t>
  </si>
  <si>
    <t>יחזקאל, אליהו</t>
  </si>
  <si>
    <t>מדרש אריאל - 2 כר'</t>
  </si>
  <si>
    <t>מדרש אשרי</t>
  </si>
  <si>
    <t>קרח, שלום בן יחיא</t>
  </si>
  <si>
    <t>מדרש בחודש</t>
  </si>
  <si>
    <t>מדרש בראשית רבא &lt;מנחת יהודה&gt; - 3 כר'</t>
  </si>
  <si>
    <t>מדרש רבה. תרע"ב</t>
  </si>
  <si>
    <t>תרע"ב - תרצ"ו</t>
  </si>
  <si>
    <t>מדרש בראשית רבה &lt;כת"י וטיקן&gt;</t>
  </si>
  <si>
    <t>מדרש בראשית רבה כת"י</t>
  </si>
  <si>
    <t>מדרש בראשית רבתי</t>
  </si>
  <si>
    <t>מדרש גאולת הקרקע</t>
  </si>
  <si>
    <t>וולפסברג, ישעיהו - גרוס, דוד</t>
  </si>
  <si>
    <t>מדרש דברים רבה &lt;מהדורת ליברמן&gt; - 2 כר'</t>
  </si>
  <si>
    <t>מדרש רבה. ת"ש</t>
  </si>
  <si>
    <t>מדרש דוד - 2 כר'</t>
  </si>
  <si>
    <t>דוד בן אברהם הנגיד. מיוחס לו</t>
  </si>
  <si>
    <t>מדרש דוד - ג</t>
  </si>
  <si>
    <t>מדרש דוד</t>
  </si>
  <si>
    <t>שפירא, דוד שלמה בן זלמן שמואל</t>
  </si>
  <si>
    <t>מדרש דניאל ומדרש עזרא</t>
  </si>
  <si>
    <t>מסנות, שמואל בן נסים</t>
  </si>
  <si>
    <t>מדרש האתמרי &lt;מנחת אליהו&gt;</t>
  </si>
  <si>
    <t>מדרש האתמרי - 2 כר'</t>
  </si>
  <si>
    <t>מדרש הביאור - 2 כר'</t>
  </si>
  <si>
    <t>אלדמארי, סעדיה בן דוד</t>
  </si>
  <si>
    <t>מדרש הגדה</t>
  </si>
  <si>
    <t>כהן, צמח בן סעייד</t>
  </si>
  <si>
    <t>מדרש הגדול לדברים &lt;מתוך ירחון הסגולה&gt;</t>
  </si>
  <si>
    <t>תרצ"ה - תש"ב</t>
  </si>
  <si>
    <t>מדרש הגדול - ויקרא</t>
  </si>
  <si>
    <t>מדרש הגדול. תר"ץ</t>
  </si>
  <si>
    <t>מדרש הגדול - שמות</t>
  </si>
  <si>
    <t>מדרש הגדול. תרע"ד</t>
  </si>
  <si>
    <t>תרע"ד - תרפ"א</t>
  </si>
  <si>
    <t>מדרש הגדול - 2 כר'</t>
  </si>
  <si>
    <t>מדרש הגדול. תשי"ח</t>
  </si>
  <si>
    <t>תשי"ח - תשכ"ג</t>
  </si>
  <si>
    <t>מדרש החיים</t>
  </si>
  <si>
    <t>אפשטיין, חיים פישל בן דוד שלמה</t>
  </si>
  <si>
    <t>מדרש החפץ - 3 כר'</t>
  </si>
  <si>
    <t>זכריה בן שלמה, הרופא</t>
  </si>
  <si>
    <t>מדרש הלל</t>
  </si>
  <si>
    <t>מדרש המכילתא</t>
  </si>
  <si>
    <t>מכילתא. ש"ה</t>
  </si>
  <si>
    <t>מדרש ויושע</t>
  </si>
  <si>
    <t>מדרש ויקרא רבה &lt;מהדורת מרגליות&gt; - 2 כר'</t>
  </si>
  <si>
    <t>מדרש ומעשה - א</t>
  </si>
  <si>
    <t>מאירוביץ, אברהם נחום בן צבי יהודה</t>
  </si>
  <si>
    <t>מדרש זוטא על ארבע מגילות &lt;רוחצות בחלב&gt;</t>
  </si>
  <si>
    <t>מדרש זוטא - 2 כר'</t>
  </si>
  <si>
    <t>מדרש זוטא</t>
  </si>
  <si>
    <t>מדרש חדש על התורה</t>
  </si>
  <si>
    <t>דמאנט</t>
  </si>
  <si>
    <t>מדרש חכמים</t>
  </si>
  <si>
    <t>מאהלר, מנחם אליעזר בן יצחק אשר</t>
  </si>
  <si>
    <t>מדרש חמדת ימים &lt;מהדורה חדשה&gt; - 5 כר'</t>
  </si>
  <si>
    <t>מדרש חמש מגילות רבתא &lt;מתנות כהונה&gt;</t>
  </si>
  <si>
    <t>מדרש. שלוניקי. שנ"ד.</t>
  </si>
  <si>
    <t>מדרש חמש מגלות &lt;מדרש רבה&gt;</t>
  </si>
  <si>
    <t>מדרש רבה. רע"ט</t>
  </si>
  <si>
    <t>פזרו Pesaro</t>
  </si>
  <si>
    <t>מדרש חסידים</t>
  </si>
  <si>
    <t>יהודה בן שמואל החסיד - קורמן, אליעזר</t>
  </si>
  <si>
    <t>מדרש חסירות ויתירות</t>
  </si>
  <si>
    <t>מדרש חסרות ויתרות - תכלאל כת"י מהרי"ץ - ליקוטי שושן</t>
  </si>
  <si>
    <t>מדרש - תכלאל</t>
  </si>
  <si>
    <t>מדרש יהודה</t>
  </si>
  <si>
    <t>שפיץ, יהודה בן נ</t>
  </si>
  <si>
    <t>מדרש יהונתן</t>
  </si>
  <si>
    <t>דרושים, קבצים וכתבי עת, ספרי זכרון ויובל, תלמוד בבלי, תנ"ך</t>
  </si>
  <si>
    <t>מדרש ילמדנו עם באור כתנת תשבץ</t>
  </si>
  <si>
    <t>ווייס, שלום הכהן</t>
  </si>
  <si>
    <t>מדרש יעב"ץ</t>
  </si>
  <si>
    <t>מדרש ישראל</t>
  </si>
  <si>
    <t>גולדברגר, ישראל בן בנימין</t>
  </si>
  <si>
    <t>מדרש כונן</t>
  </si>
  <si>
    <t>מדרש כונן. ת"ח</t>
  </si>
  <si>
    <t>[ת"ח,</t>
  </si>
  <si>
    <t>צינגר, יצחק</t>
  </si>
  <si>
    <t>מדרש כתובה - 2 כר'</t>
  </si>
  <si>
    <t>מרגליות, אלכסנדר יהודה בן נפתלי הירץ הל</t>
  </si>
  <si>
    <t>מדרש לפירושים</t>
  </si>
  <si>
    <t>אליעזר פישל בן יצחק מסטריזוב</t>
  </si>
  <si>
    <t>מדרש מלאכת המשכן</t>
  </si>
  <si>
    <t>שטרנפלד, יעקב בן נחמן</t>
  </si>
  <si>
    <t>מדרש מספר</t>
  </si>
  <si>
    <t>מדרש מעורר</t>
  </si>
  <si>
    <t>ברדיטשוב,</t>
  </si>
  <si>
    <t>מדרש משה &lt;מדרכי משה&gt; - 5 כר'</t>
  </si>
  <si>
    <t>מורגנשטרן, משה מרדכי בן חיים ישראל</t>
  </si>
  <si>
    <t>מדרש משה</t>
  </si>
  <si>
    <t>מדרש משלי רבתי &lt;זרע אברהם&gt;</t>
  </si>
  <si>
    <t>אברהם בן אריה יהודה ליב, מוואשילישאק</t>
  </si>
  <si>
    <t>מדרש משלי רבתי &lt;ביאור מספיק בדרך קצרה&gt;</t>
  </si>
  <si>
    <t>מדרש משלי. תרכ"א</t>
  </si>
  <si>
    <t>שטעטטין,</t>
  </si>
  <si>
    <t>מדרש משלי</t>
  </si>
  <si>
    <t>מדרש משלי. רע"ז</t>
  </si>
  <si>
    <t>מדרש משלי. תרנ"ג</t>
  </si>
  <si>
    <t>מדרש סגולת ישראל &lt;כת"י&gt; - 2 כר'</t>
  </si>
  <si>
    <t>הכהן, ישראל</t>
  </si>
  <si>
    <t>קבלה, קבצים וכתבי עת, ספרי זכרון ויובל, שאר ספרי חז"ל, תולדות עם ישראל, תנ"ך</t>
  </si>
  <si>
    <t>מדרש סגולת ישראל - 2 כר'</t>
  </si>
  <si>
    <t>מדרש עשרת הדברות</t>
  </si>
  <si>
    <t>מדרש עשרת הדברות. ת"ש</t>
  </si>
  <si>
    <t>מדרש עשרת הדברות - 3 כר'</t>
  </si>
  <si>
    <t>רבי אליעזר הגדול</t>
  </si>
  <si>
    <t>מדרש פליאה &lt;דמשק אליעזר&gt;</t>
  </si>
  <si>
    <t>ווייסבלום, אליעזר ליפא</t>
  </si>
  <si>
    <t>מדרש פליאה &lt;כתנת תשב"ץ&gt; - 2 כר'</t>
  </si>
  <si>
    <t>מדרש פליאה &lt;בינת נבונים&gt;</t>
  </si>
  <si>
    <t>מדרש פליאה</t>
  </si>
  <si>
    <t>מדרש פליאה החדש &lt;ביאור חידוד ופלפול&gt;</t>
  </si>
  <si>
    <t>מדרש פליאה עם ביאור זכרון מנחם</t>
  </si>
  <si>
    <t>לבקוביץ, מנחם מנדל בן פינחס</t>
  </si>
  <si>
    <t>מדרש פנחס &lt;עם גבעת פנחס&gt;</t>
  </si>
  <si>
    <t>מדרש פנחס החדש</t>
  </si>
  <si>
    <t>מדרש פנחס</t>
  </si>
  <si>
    <t>פינחס בן שמואל מוויסוקי</t>
  </si>
  <si>
    <t>מדרש פנחס - 3 כר'</t>
  </si>
  <si>
    <t>מדרש פסיקתא רבתי</t>
  </si>
  <si>
    <t>פסיקתא רבתי. תקס"ו</t>
  </si>
  <si>
    <t>פסיקתא רבתי. תר"ם</t>
  </si>
  <si>
    <t>מדרש צדיקים</t>
  </si>
  <si>
    <t>ברודוצקי, יצחק צבי בן יוסף</t>
  </si>
  <si>
    <t>מדרש קהלת עם יפה ענף &lt;מהדורה חדשה&gt;</t>
  </si>
  <si>
    <t>מדרש רבה &lt;מתנות כהונה, פירוש מהרי"א&gt; - 4 כר'</t>
  </si>
  <si>
    <t>אייכנשטיין, יצחק אייזיק</t>
  </si>
  <si>
    <t>מדרש רבה &lt;מפורש ומתורגם&gt; - 8 כר'</t>
  </si>
  <si>
    <t>אפשטיין, אלימלך הלוי (עורך)</t>
  </si>
  <si>
    <t>מדרש רבה &lt;יפה תואר&gt; - 7 כר'</t>
  </si>
  <si>
    <t>מדרש רבה &lt;עיר גבורים - רחובות עיר&gt; - א (בראשית)</t>
  </si>
  <si>
    <t>תרי"ג - תרי"ז</t>
  </si>
  <si>
    <t>מדרש רבה &lt;ווילנא&gt; - 2 כר'</t>
  </si>
  <si>
    <t>מדרש רבה</t>
  </si>
  <si>
    <t>מדרש רבה &lt;טקסט&gt;</t>
  </si>
  <si>
    <t>מדרש רבה &lt;מתנות כהונה, אסיפת אמרים&gt; - 5 כר'</t>
  </si>
  <si>
    <t>מדרש רבה &lt;מדרש רבות&gt; - 2 כר'</t>
  </si>
  <si>
    <t>מדרש רבה. רע"ב</t>
  </si>
  <si>
    <t>מדרש רבה &lt;מדרש רבות&gt; - תורה מגלות</t>
  </si>
  <si>
    <t>מדרש רבה. ש"ה</t>
  </si>
  <si>
    <t>מדרש רבה &lt;מתנות כהונה&gt;</t>
  </si>
  <si>
    <t>מדרש רבה. ת"ב</t>
  </si>
  <si>
    <t>ת"א-ת"ב</t>
  </si>
  <si>
    <t>מדרש רבה. תע"א</t>
  </si>
  <si>
    <t>תע"א - תע"ב</t>
  </si>
  <si>
    <t>מדרש רבה &lt;מדרש רבות&gt; - דברים, איכה, קהלת</t>
  </si>
  <si>
    <t>מדרש רבה. תקס"ח</t>
  </si>
  <si>
    <t>מדרש רבה &lt;מתנות כהונה, אשד הנחלים&gt; - 4 כר'</t>
  </si>
  <si>
    <t>מדרש רבה. תר"ג</t>
  </si>
  <si>
    <t>תר"ג - תר"ה</t>
  </si>
  <si>
    <t>מדרש רבה &lt;פירושי רבי ידעיה הפניני, רבי יעקב עמדן, ר"י אדלר&gt;</t>
  </si>
  <si>
    <t>מדרש רבה. תרי"ד</t>
  </si>
  <si>
    <t>מדרש רבה &lt;מדרש רבות&gt; - 3 כר'</t>
  </si>
  <si>
    <t>מדרש רבה. תרכ"ו</t>
  </si>
  <si>
    <t>מדרש רבה &lt;מדרש רבות&gt; - ב (ויקרא, במדבר, דברים, מגלות)</t>
  </si>
  <si>
    <t>מדרש רבה. תרל"א</t>
  </si>
  <si>
    <t>מדרש רבה &lt;מתנות כהונה, אסיפת מאמרים&gt; - 5 כר'</t>
  </si>
  <si>
    <t>מדרש רבה. תרל"ח</t>
  </si>
  <si>
    <t>מדרש רבה &lt;מתנות כהונה, עברי טייטש&gt; - 5 כר'</t>
  </si>
  <si>
    <t>מדרש רבה. תרמ"ח</t>
  </si>
  <si>
    <t>מדרש רבה &lt;מתנות כהונה, אסיפת אמרים&gt; - ג (במדבר, רות, דברים, איכה, קהלת)</t>
  </si>
  <si>
    <t>מדרש רבה. תרע"ג</t>
  </si>
  <si>
    <t>מדרש רבה &lt;עין חנוך&gt; - 2 כר'</t>
  </si>
  <si>
    <t>מדרש רבה. תשי"ז</t>
  </si>
  <si>
    <t>מדרש רבה &lt;מהדורת וגשל&gt; - 6 כר'</t>
  </si>
  <si>
    <t>מדרש רבה. תשס"א.</t>
  </si>
  <si>
    <t>מדרש רבה איכה &lt;פירוש באידיש&gt;</t>
  </si>
  <si>
    <t>דונסקי, שמעון</t>
  </si>
  <si>
    <t>מדרש רבה על שה"ש עם ביאור כנפי יונה</t>
  </si>
  <si>
    <t>אטלזון, ברוך בן יונה</t>
  </si>
  <si>
    <t>מדרש רבה על שה"ש עם פירוש כנפי יונה</t>
  </si>
  <si>
    <t>מדרש רבה עם פירוש אור המאיר</t>
  </si>
  <si>
    <t>מדרש רבה עם פירוש קורא מראש</t>
  </si>
  <si>
    <t>מדרש רבה - א (בראשית)</t>
  </si>
  <si>
    <t>מדרש רבה. תרנ"ז</t>
  </si>
  <si>
    <t>מדרש רבינו בחיי - 2 כר'</t>
  </si>
  <si>
    <t>תנ"ך, תנ"ך, תנ"ך, תנ"ך</t>
  </si>
  <si>
    <t>מדרש רבינו דוד הנגיד</t>
  </si>
  <si>
    <t>דוד בן אברהם הנגיד</t>
  </si>
  <si>
    <t>מדרש רות החדש &lt;הדרת קודש&gt; - 2 כר'</t>
  </si>
  <si>
    <t>מדרש ריב"ש טוב</t>
  </si>
  <si>
    <t>בעל שם טוב, ישראל בן אליעזר</t>
  </si>
  <si>
    <t>מדרש שוחר טוב &lt;יבקש רצון&gt;</t>
  </si>
  <si>
    <t>הורוויץ, אפרים הלוי בן משה הלוי</t>
  </si>
  <si>
    <t>שאלות ותשובות, שאר ספרי חז"ל, תנ"ך</t>
  </si>
  <si>
    <t>מדרש שוחר טוב &lt;מהר"י הכהן&gt; - תהלים, שמואל, משלי</t>
  </si>
  <si>
    <t>כהן, יצחק בן שמשון</t>
  </si>
  <si>
    <t>מדרש שוחר טוב &lt;פירוש יקר מלא כל טוב&gt; - שמואל, משלי</t>
  </si>
  <si>
    <t>מדרש שמואל. תרל"ד</t>
  </si>
  <si>
    <t>מדרש שוחר טוב &lt;באור הרא"מ&gt; - תהלים</t>
  </si>
  <si>
    <t>פאדווה, אהרון משה בן יעקב מאיר</t>
  </si>
  <si>
    <t>מדרש שוחר טוב - משלי</t>
  </si>
  <si>
    <t>מדרש משלי. תרל"ד</t>
  </si>
  <si>
    <t>מדרש שוחר טוב - שמואל, משלי</t>
  </si>
  <si>
    <t>מדרש שמואל. תקצ"ג</t>
  </si>
  <si>
    <t>מדרש שוחר טוב</t>
  </si>
  <si>
    <t>מדרש תהלים. ת"ץ</t>
  </si>
  <si>
    <t>מדרש תהלים. תקנ"ד</t>
  </si>
  <si>
    <t>מדרש שיר השירים &lt;עפ"י כת"י גניזה&gt;</t>
  </si>
  <si>
    <t>ורטהימר, יוסף חיים עורך</t>
  </si>
  <si>
    <t>מדרש שיר השירים</t>
  </si>
  <si>
    <t>מדרש שלום ואמת &lt;שלום ואמת&gt;</t>
  </si>
  <si>
    <t>מדרש שלמה - 3 כר'</t>
  </si>
  <si>
    <t>תרפ"ח - תש"ח</t>
  </si>
  <si>
    <t>מדרש שלמה</t>
  </si>
  <si>
    <t>דרושים, הלכה ומנהג, מחשבה ומוסר, משנה, נושאים שונים, תנ"ך, תפלות בקשות פיוטים ושירה</t>
  </si>
  <si>
    <t>מדרש שלמה - המאור לאגדה</t>
  </si>
  <si>
    <t>צדוק, שלמה בן שלום</t>
  </si>
  <si>
    <t>משנה, נושאים שונים, תלמוד בבלי, תלמוד בבלי, תלמוד בבלי, תלמוד בבלי</t>
  </si>
  <si>
    <t>ריבלין, שלמה זלמן בן יוסף יהושע</t>
  </si>
  <si>
    <t>מדרש שם ועבר - 3 כר'</t>
  </si>
  <si>
    <t>עברלין, אברהם אבריל</t>
  </si>
  <si>
    <t>מדרש שמואל &lt;מהדורת בובר&gt;</t>
  </si>
  <si>
    <t>מדרש שמואל. תרנ"ג</t>
  </si>
  <si>
    <t>מדרש שמואל. תרפ"ה</t>
  </si>
  <si>
    <t>מדרש שמואל על מסכת אבות &lt;מהדורת ס.ל.א&gt;</t>
  </si>
  <si>
    <t>מדרש שמואל על מסכת אבות &lt;מכון הכתב&gt;</t>
  </si>
  <si>
    <t>מדרש שמואל על מסכת אבות - 4 כר'</t>
  </si>
  <si>
    <t>מדרש שמואל רבתי &lt;יפה נוף&gt;</t>
  </si>
  <si>
    <t>מדרש שמואל רבתי עם כמה מפרשים</t>
  </si>
  <si>
    <t>מדרש שמואל.</t>
  </si>
  <si>
    <t>מדרש שמואל רבתי</t>
  </si>
  <si>
    <t>מדרש שמואל. תר"ך</t>
  </si>
  <si>
    <t>מדרש שמואל - 3 כר'</t>
  </si>
  <si>
    <t>ישיבת מדרש שמואל</t>
  </si>
  <si>
    <t>מדרש שמואל</t>
  </si>
  <si>
    <t>מדרש שמואל. תרפ"ו</t>
  </si>
  <si>
    <t>מדרש שמחה - 2 כר'</t>
  </si>
  <si>
    <t>מדרש שמעוני</t>
  </si>
  <si>
    <t>מדרש שפה אחת - 2 כר'</t>
  </si>
  <si>
    <t>מדרש תדשא &lt;אשל אברהם&gt;</t>
  </si>
  <si>
    <t>פנחס בן יאיר - גולדבלט חיים אברהם אבא בן שמעון</t>
  </si>
  <si>
    <t>מדרש תדשא - 2 כר'</t>
  </si>
  <si>
    <t>מדרש תדשא</t>
  </si>
  <si>
    <t>מדרש תהלים רבתא</t>
  </si>
  <si>
    <t>מדרש תהלים. ש"ו</t>
  </si>
  <si>
    <t>ש"ו - ש"ז</t>
  </si>
  <si>
    <t>מדרש תהלים שוחר טוב &lt;מהדורת בובר&gt;</t>
  </si>
  <si>
    <t>מדרש תהלים. תרנ"א</t>
  </si>
  <si>
    <t>מדרש תהלים</t>
  </si>
  <si>
    <t>מדרש תהלים. רע"ב</t>
  </si>
  <si>
    <t>מדרש תלפיות - 5 כר'</t>
  </si>
  <si>
    <t>מדרש תנאים על ספר דברים</t>
  </si>
  <si>
    <t>תרס"ח - תרס"ט</t>
  </si>
  <si>
    <t>מדרש תנאים - 2 כר'</t>
  </si>
  <si>
    <t>מדרש תנחומא &lt;נחלת בנימין&gt;</t>
  </si>
  <si>
    <t>אפשטיין, בנימין</t>
  </si>
  <si>
    <t>מדרש תנחומא &lt;ספרי אוה"ח&gt; - 2 כר'</t>
  </si>
  <si>
    <t>מדרש תנחומא &lt;טקסט&gt;</t>
  </si>
  <si>
    <t>מדרש תנחומא</t>
  </si>
  <si>
    <t>מדרש תנחומא &lt;דפוס ראשון&gt; - 2 כר'</t>
  </si>
  <si>
    <t>מדרש תנחומא. ר"ף</t>
  </si>
  <si>
    <t>ר"פ - רפ"ב</t>
  </si>
  <si>
    <t>מדרש תנחומא &lt;באור אשכנזי&gt; - 3 כר'</t>
  </si>
  <si>
    <t>מדרש תנחומא. תרמ"ז</t>
  </si>
  <si>
    <t>מדרש תנחומא &lt;נתיב הים&gt; - א</t>
  </si>
  <si>
    <t>מדרש תנחומא. תרע"ד</t>
  </si>
  <si>
    <t>מדרש תנחומא &lt;באור האמרים&gt; - 2 כר'</t>
  </si>
  <si>
    <t>רויזען, אברהם מאיר בן חיים</t>
  </si>
  <si>
    <t>תרל"ח - תרמ"ח</t>
  </si>
  <si>
    <t>מדרש תנחומא הקדום והישן - 2 כר'</t>
  </si>
  <si>
    <t>מדרש תנחומא עם פירוש איל תודה - 2 כר'</t>
  </si>
  <si>
    <t>קפצן, איל בן אברהם</t>
  </si>
  <si>
    <t>מדרש תנחומא עם פירוש עץ יוסף וענף יוסף</t>
  </si>
  <si>
    <t>מדרש תנחומא - 8 כר'</t>
  </si>
  <si>
    <t>שע"ב-שע"ג</t>
  </si>
  <si>
    <t>מדרשו של ש"ם - 3 כר'</t>
  </si>
  <si>
    <t>מדרשו של שם ועבר</t>
  </si>
  <si>
    <t>הכהן, סאסי בן חואתי</t>
  </si>
  <si>
    <t>מדרשי אליהו</t>
  </si>
  <si>
    <t>אליהו בן נחמן ממעזריטש</t>
  </si>
  <si>
    <t>מדרשי ארץ ישראל</t>
  </si>
  <si>
    <t>זהבי, יוסף בן חיים אהרן</t>
  </si>
  <si>
    <t>מדרשי גאולה</t>
  </si>
  <si>
    <t>אבן שמואל, יהודה</t>
  </si>
  <si>
    <t>מדרשי הזהר &lt;לקט שמואל&gt; - 3 כר'</t>
  </si>
  <si>
    <t>זוהר. ליקוטים. תשי"ז. ירושלים</t>
  </si>
  <si>
    <t>תשי"ז - תש"כ</t>
  </si>
  <si>
    <t>מדרשי הזהר &lt;לקט שמואל&gt; - 4 כר'</t>
  </si>
  <si>
    <t>קיפניס, שמואל בן יהושע פאלק</t>
  </si>
  <si>
    <t>מדרשי הזהר</t>
  </si>
  <si>
    <t>זוהר. ליקוטים. תרצ"ג. פילדלפיה</t>
  </si>
  <si>
    <t>תרצ"ג-תרצ"ד</t>
  </si>
  <si>
    <t>מדרשי הלכה של התנאים בתלמוד בבלי</t>
  </si>
  <si>
    <t>מלמד, עזרא ציון בן רחמים ראובן הכהן</t>
  </si>
  <si>
    <t>מדרשי התורה</t>
  </si>
  <si>
    <t>אשתרוק, שלמה</t>
  </si>
  <si>
    <t>מדרשי חז"ל - 2 כר'</t>
  </si>
  <si>
    <t>מתוך אוצר המדרשים</t>
  </si>
  <si>
    <t>מדרשי משלי &lt;מהדורת וויסאצקי&gt;</t>
  </si>
  <si>
    <t>מדרשי ציון וירושלים</t>
  </si>
  <si>
    <t>זהבי, יוסף</t>
  </si>
  <si>
    <t>מדרשי שמואל - 2</t>
  </si>
  <si>
    <t>דרשות וחידושים מישיבת מדרש שמואל</t>
  </si>
  <si>
    <t>מדרשי תפילה</t>
  </si>
  <si>
    <t>מדרשים ואגדות &lt;מדרש הלל&gt;</t>
  </si>
  <si>
    <t>מדרשים ואגדות</t>
  </si>
  <si>
    <t>מדרשים ואגדות &lt;מדרש תדשא&gt;</t>
  </si>
  <si>
    <t>מדרשים ואגדות &lt;עשרת הדברות&gt;</t>
  </si>
  <si>
    <t>מדת הקודש</t>
  </si>
  <si>
    <t>הוכברגר, מתתיהו זכריה בן מאיר</t>
  </si>
  <si>
    <t>מדת משנה</t>
  </si>
  <si>
    <t>פינס, אליעזר צבי</t>
  </si>
  <si>
    <t>דרושים, משנה, משנה, משנה</t>
  </si>
  <si>
    <t>מה אדם</t>
  </si>
  <si>
    <t>דנינו, מסעוד</t>
  </si>
  <si>
    <t>מה אהבתי תורתך</t>
  </si>
  <si>
    <t>מה אשיב לה'</t>
  </si>
  <si>
    <t>מה את מחפשת</t>
  </si>
  <si>
    <t>מה בין שאול לדוד</t>
  </si>
  <si>
    <t>מה ה' אלקיך שואל מעמך</t>
  </si>
  <si>
    <t>מה זאת</t>
  </si>
  <si>
    <t>מה טובו אהליך יעקב</t>
  </si>
  <si>
    <t>מה טובו אהליך</t>
  </si>
  <si>
    <t>מה טובו משכנותיך</t>
  </si>
  <si>
    <t>מה יעשו בחג הסוכות בבית המקדש</t>
  </si>
  <si>
    <t>מה יעשו ביום הכיפורים בבית המקדש</t>
  </si>
  <si>
    <t>מה יעשו בראש השנה בבית המקדש</t>
  </si>
  <si>
    <t>מה יעשו בראש חודש בבית המקדש</t>
  </si>
  <si>
    <t>מה יעשו בשבת בבית המקדש</t>
  </si>
  <si>
    <t>מה יעשו היום בבית המקדש - העבודה היומית</t>
  </si>
  <si>
    <t>מה יעשו היום במקדש - חגי תשרי</t>
  </si>
  <si>
    <t>מה מקרא זה בא ללמדנו</t>
  </si>
  <si>
    <t>עשהאל, יקי</t>
  </si>
  <si>
    <t>מה נאכל בשנה השביעית</t>
  </si>
  <si>
    <t>א.א</t>
  </si>
  <si>
    <t>מה רב טובך</t>
  </si>
  <si>
    <t>מה שהיה הוא שיהיה - 3 כר'</t>
  </si>
  <si>
    <t>מה שחשוב לך לדעת על גיוס בנות</t>
  </si>
  <si>
    <t>זיכל, מאיר</t>
  </si>
  <si>
    <t>מה שראוי לדעת על דפוסי התנ"ך</t>
  </si>
  <si>
    <t>מה' אשה לאיש</t>
  </si>
  <si>
    <t>מלמד, אברהם</t>
  </si>
  <si>
    <t>מה' יצא הדבר</t>
  </si>
  <si>
    <t>ורטהיימר, הלל</t>
  </si>
  <si>
    <t>מהגיטו הוילנאי</t>
  </si>
  <si>
    <t>לונסקי, חיים חייקל בן שמואל אשר הלוי</t>
  </si>
  <si>
    <t>מהדורא בתרא של עבודת בורא</t>
  </si>
  <si>
    <t>תפילות. סידור. תס"ז. זולצבך</t>
  </si>
  <si>
    <t>מהדורא קמא - 15 כר'</t>
  </si>
  <si>
    <t>הילדסהיימר, יהודה</t>
  </si>
  <si>
    <t>מהדורא תניינא - 2 כר'</t>
  </si>
  <si>
    <t>מהדורות מסכת בבא קמא מדפוסי שאלוניקי</t>
  </si>
  <si>
    <t>הורביץ, אלעזר</t>
  </si>
  <si>
    <t>מהדרין - 3 כר'</t>
  </si>
  <si>
    <t>מאסף תורני בעניני כשרות</t>
  </si>
  <si>
    <t>מהודי ליהודי</t>
  </si>
  <si>
    <t>מהות החיים</t>
  </si>
  <si>
    <t>פ"ל, משה יוסף בן בלומא</t>
  </si>
  <si>
    <t>מהות היהדות</t>
  </si>
  <si>
    <t>צדיקוב, שלום בצלאל בן חיים צבי</t>
  </si>
  <si>
    <t>מהישמ"ח - ב</t>
  </si>
  <si>
    <t>מהלברשטט עד פתח תקוה</t>
  </si>
  <si>
    <t>אויערבך, משה בן אביעזרי</t>
  </si>
  <si>
    <t>מהלך הכוכבים</t>
  </si>
  <si>
    <t>מהלך התורה</t>
  </si>
  <si>
    <t>ורטהיימר, יצחק ישעיה בן אברהם יוסף</t>
  </si>
  <si>
    <t>מהלך שבילי הדעת</t>
  </si>
  <si>
    <t>מהלך</t>
  </si>
  <si>
    <t>מהלמות לגו כסילים</t>
  </si>
  <si>
    <t>הורוויץ, שמעון בן שאול הלוי</t>
  </si>
  <si>
    <t>מהמקור - 2 כר'</t>
  </si>
  <si>
    <t>סטרליץ, שמעון</t>
  </si>
  <si>
    <t>מהפכת התשובה שבימינו</t>
  </si>
  <si>
    <t>מהפכת חינוך הבנות בדורנו</t>
  </si>
  <si>
    <t>מהפרשה לחיינו</t>
  </si>
  <si>
    <t>פיזנטי, ראובן</t>
  </si>
  <si>
    <t>מהר שלם</t>
  </si>
  <si>
    <t>מן ההר, שלמה זלמן בן חיים יהודה</t>
  </si>
  <si>
    <t>מהר"א אליעזר</t>
  </si>
  <si>
    <t>ציטרון, אברהם אליעזר בן זאב וולף</t>
  </si>
  <si>
    <t>מהר"א מבעלזא (ליקוטי אמרים טהורים)</t>
  </si>
  <si>
    <t>מהר"א מבעלזא - 2 כר'</t>
  </si>
  <si>
    <t>רוקח, אהרן בן יששכר דוב</t>
  </si>
  <si>
    <t>מהר"ז סופר &lt;מהדורה חדשה&gt;</t>
  </si>
  <si>
    <t>סופר, זלמן בן שמעון</t>
  </si>
  <si>
    <t>מהר"ז סופר - שארית יהודה</t>
  </si>
  <si>
    <t>סופר, זלמן בן שמעון - גרינפלד, יהודה דב</t>
  </si>
  <si>
    <t>מהר"ז סופר</t>
  </si>
  <si>
    <t>מהר"י מבעלזא (ליקוטי אמרים טהורים)</t>
  </si>
  <si>
    <t>מהר"י מבעלזא - 2 כר'</t>
  </si>
  <si>
    <t>רוקח, יהושע בן שלום</t>
  </si>
  <si>
    <t>מהר"ל מפראג</t>
  </si>
  <si>
    <t>גרשוני, בן ציון</t>
  </si>
  <si>
    <t>מהר"ם בנעט על חג הפסח</t>
  </si>
  <si>
    <t>מהר"ם בנעט</t>
  </si>
  <si>
    <t>מהר"ם מינץ - 2 כר'</t>
  </si>
  <si>
    <t>מהר"ם סופר - 2 כר'</t>
  </si>
  <si>
    <t>סופר, משה בן יעקב שלום</t>
  </si>
  <si>
    <t>מהר"ם שיק  תרי"ג מצות &lt;מהדורה חדשה&gt; - 2 כר'</t>
  </si>
  <si>
    <t>מהר"ם שיק &lt;שו"ת&gt; - 3 כר'</t>
  </si>
  <si>
    <t>תר"מ - תרמ"ד</t>
  </si>
  <si>
    <t>מהר"ם שיק השלם על התורה - 5 כר'</t>
  </si>
  <si>
    <t>מהר"ם שיק על מס' אבות</t>
  </si>
  <si>
    <t>מהר"ם שיק - מאסף תורני</t>
  </si>
  <si>
    <t>מהר"ם שיק - שאילת יעקב - חנוכה</t>
  </si>
  <si>
    <t>שיק, משה בן יוסף - פראגר, יעקב בן מרדכי סג"ל</t>
  </si>
  <si>
    <t>מהר"ם שיק - 9 כר'</t>
  </si>
  <si>
    <t>תרנ"ה - תרנ"ח</t>
  </si>
  <si>
    <t>מהר"ן יפה</t>
  </si>
  <si>
    <t>יפה, מנחם נחום בן בנימין מיכל</t>
  </si>
  <si>
    <t>מהר"ש &lt;אמרי קדש&gt;</t>
  </si>
  <si>
    <t>מהר"ש מבעלזא - 2 כר'</t>
  </si>
  <si>
    <t>מהר"ש צילטץ על התורה</t>
  </si>
  <si>
    <t>צילץ, שמואל בן משה יהודה ליב</t>
  </si>
  <si>
    <t>מהרי"א הלוי - 2 כר'</t>
  </si>
  <si>
    <t>איטינגא, יצחק אהרן בן מרדכי זאב הלוי</t>
  </si>
  <si>
    <t>מהרי"ד מבעלזא - א (בראשית, שמות, ויקרא)</t>
  </si>
  <si>
    <t>רוקח, ישכר דוב בן יהושע</t>
  </si>
  <si>
    <t>מהרי"ד מבעלזא - ב (במדבר, דברים, מועדים)</t>
  </si>
  <si>
    <t>רוקח, יששכר דוב בן יהושע</t>
  </si>
  <si>
    <t>מהרי"ד</t>
  </si>
  <si>
    <t>מהרי"ל דיסקין על התורה</t>
  </si>
  <si>
    <t>מהרי"ל וזמנו</t>
  </si>
  <si>
    <t>מהרי"ץ &lt;ומשפחתו&gt;</t>
  </si>
  <si>
    <t>צדוק, ב.צ</t>
  </si>
  <si>
    <t>מהררי נמרים</t>
  </si>
  <si>
    <t>עקרא, אברהם בן שלמה</t>
  </si>
  <si>
    <t>מהרש"א &lt;עם ביאורים והערות&gt; - ביצה</t>
  </si>
  <si>
    <t>מהרש"א &lt;עם ביאורים וציונים&gt; - ביצה</t>
  </si>
  <si>
    <t>מהרש"א הארוך - 18 כר'</t>
  </si>
  <si>
    <t>שמואל אליעזר בן יהודה הלוי (מהרש"א) - מאיער, יצחק זאב</t>
  </si>
  <si>
    <t>מהרש"א המבואר - 10 כר'</t>
  </si>
  <si>
    <t>ברנהולץ, שמואל בן נחום</t>
  </si>
  <si>
    <t>מהרש"א עם ביאורים וציונים - 2 כר'</t>
  </si>
  <si>
    <t>היילברון, בנימין בן חיים מנחם</t>
  </si>
  <si>
    <t>מהרש"ם הפוסק האחרון</t>
  </si>
  <si>
    <t>מהרש"ם על הש"ס</t>
  </si>
  <si>
    <t>מהרש"מ הכהן</t>
  </si>
  <si>
    <t>הולנדר, שמואל מאיר בן נתן דוד הכהן</t>
  </si>
  <si>
    <t>מוגש לעיון</t>
  </si>
  <si>
    <t>כהן, אהרן</t>
  </si>
  <si>
    <t>מודה ועוזב</t>
  </si>
  <si>
    <t>[תש"א,</t>
  </si>
  <si>
    <t>מודע לבינה והרכסים לבקעה</t>
  </si>
  <si>
    <t>היידנהיים, בנימין וולף בן שמשון</t>
  </si>
  <si>
    <t>מודע לבינה</t>
  </si>
  <si>
    <t>לפין, מנחם מנדל בן יהודה ליב</t>
  </si>
  <si>
    <t>מודע לבינה - 9 כר'</t>
  </si>
  <si>
    <t>מודעא ואונס - 2 כר'</t>
  </si>
  <si>
    <t>שבתי, חיים בן שבתי</t>
  </si>
  <si>
    <t>מודעא לבית ישראל - מודעה לבית ישראל</t>
  </si>
  <si>
    <t>מודעא רבה &lt;מודיע על ספרים הנדפסים בדפוס מאי&gt;</t>
  </si>
  <si>
    <t>מאי, משה</t>
  </si>
  <si>
    <t>מודעה &lt;זרע יהודה&gt;</t>
  </si>
  <si>
    <t>קארלבורג, יהודה ליב</t>
  </si>
  <si>
    <t>תקצ"ח - הסכמה</t>
  </si>
  <si>
    <t>מודעה וגלוי דעת</t>
  </si>
  <si>
    <t>מודעה מבשרת ציון</t>
  </si>
  <si>
    <t>מודעה רבה &lt;בענין אתרוגים של ערלה&gt;</t>
  </si>
  <si>
    <t>מודעה רבה</t>
  </si>
  <si>
    <t>מודעות טבעית</t>
  </si>
  <si>
    <t>מודעת זאת בכל הארץ</t>
  </si>
  <si>
    <t>וויניציאה. קהילה</t>
  </si>
  <si>
    <t>מוזיקאלישער פנקס - 2 כר'</t>
  </si>
  <si>
    <t>ברנשטיין, א, מ</t>
  </si>
  <si>
    <t>מוזיקה וקבלה</t>
  </si>
  <si>
    <t>מונחי רש"י</t>
  </si>
  <si>
    <t>סגל, חיים שלום</t>
  </si>
  <si>
    <t>מוסד היסוד</t>
  </si>
  <si>
    <t>מוסד הרב קוק</t>
  </si>
  <si>
    <t>מוסדות בוהוש פאשקאן</t>
  </si>
  <si>
    <t>מוסדות בוהוש</t>
  </si>
  <si>
    <t>מוסדות האמונה</t>
  </si>
  <si>
    <t>ניסנבוים, מרדכי אריה בן משה הלוי</t>
  </si>
  <si>
    <t>מוסדות שארית הפליטה בארץ-ישראל</t>
  </si>
  <si>
    <t>ועד שארית הפליטה בארץ-ישראל</t>
  </si>
  <si>
    <t>מוסדות תבל</t>
  </si>
  <si>
    <t>מוסדות תורה באירופה</t>
  </si>
  <si>
    <t>מירסקי שמואל ק.</t>
  </si>
  <si>
    <t>מוסדות תורה שבעל-פה</t>
  </si>
  <si>
    <t>מוסדי ישעיה</t>
  </si>
  <si>
    <t>היילפרין, ישעיה זליג בן משה</t>
  </si>
  <si>
    <t>מוסיף והולך</t>
  </si>
  <si>
    <t>מוסך השבת &lt;חידושים וביאורים&gt;</t>
  </si>
  <si>
    <t>באב"ד, יוסף - דוידוביץ, אברהם מרדכי</t>
  </si>
  <si>
    <t>מוסך השבת &lt;עם הערות&gt;</t>
  </si>
  <si>
    <t>באב"ד, יוסף - ורנר, דוד</t>
  </si>
  <si>
    <t>מוסף שבת קודש - 1738 כר'</t>
  </si>
  <si>
    <t>מוסר אבות</t>
  </si>
  <si>
    <t>מוסר אביך - 2 כר'</t>
  </si>
  <si>
    <t>מילר, אליהו בן יואל</t>
  </si>
  <si>
    <t>מוסר און הלכה</t>
  </si>
  <si>
    <t>מוסר אונ הנהגה</t>
  </si>
  <si>
    <t>מוסר אירועי התקופה</t>
  </si>
  <si>
    <t>רובינשטיין, יוסף בן אשר זליג הכהן</t>
  </si>
  <si>
    <t>מוסר דרך אפיקי חיים &lt;שמחת אלעזר&gt;</t>
  </si>
  <si>
    <t>גולדבאום, מנחם צבי בן אפרים - וואסרמאן, אלעזר שמחה בן אלחנן בונם</t>
  </si>
  <si>
    <t>מוסר דרך מאיר דרך</t>
  </si>
  <si>
    <t>מוסר דרשות יערות דבש</t>
  </si>
  <si>
    <t>ס. וואראליא</t>
  </si>
  <si>
    <t>מוסר ה' - 2 כר'</t>
  </si>
  <si>
    <t>מוסר המשנה - 2 כר'</t>
  </si>
  <si>
    <t>תרצ"ט - תש"ג</t>
  </si>
  <si>
    <t>מוסר השכל</t>
  </si>
  <si>
    <t>גן, יוסף</t>
  </si>
  <si>
    <t>מוסר התורה והיהדות</t>
  </si>
  <si>
    <t>מוסר התורה</t>
  </si>
  <si>
    <t>וויטקינד, הילל בן חיים אהרן</t>
  </si>
  <si>
    <t>מוסר ודעת</t>
  </si>
  <si>
    <t>משה בן מימון (רמב"ם) - שלמה זאב בן יחזקאל פיבל</t>
  </si>
  <si>
    <t>מוסר ודעת - 3 כר'</t>
  </si>
  <si>
    <t>פוברסקי, דוד</t>
  </si>
  <si>
    <t>מוסר חכמה</t>
  </si>
  <si>
    <t>מוסר חכמים השלם - 8 כר'</t>
  </si>
  <si>
    <t>שרים, יצחק בן יוסף - שרים, אליהו</t>
  </si>
  <si>
    <t>מוסר חכמים</t>
  </si>
  <si>
    <t>מוסר ישמח לב</t>
  </si>
  <si>
    <t>מוסר לבב</t>
  </si>
  <si>
    <t>מוסר להתעוררות הלב קודם תקיעת שופר</t>
  </si>
  <si>
    <t>שרעבי, שלום בן יצחק מזרחי - לובנשטיין, יצחק</t>
  </si>
  <si>
    <t>מוסר מלכים</t>
  </si>
  <si>
    <t>רומאנין, ישעיה בן יוסף</t>
  </si>
  <si>
    <t>מוסר</t>
  </si>
  <si>
    <t>מוסרי הצדיקים - מוסרי הלש"ם</t>
  </si>
  <si>
    <t>מוסרי הרמב"ם - 4 כר'</t>
  </si>
  <si>
    <t>מוסרי השל"ה - 2 כר'</t>
  </si>
  <si>
    <t>מוסרי התורה</t>
  </si>
  <si>
    <t>ארקינג, חיים אשר - אלבז, יחיאל</t>
  </si>
  <si>
    <t>מוסרי קלצק</t>
  </si>
  <si>
    <t>ננדיק, יוסף ליב - לוונשטיין, יחזקאל - קוטלר אהרן</t>
  </si>
  <si>
    <t>מוסרי רבינו יהונתן אייבשיץ</t>
  </si>
  <si>
    <t>מועד דוד &lt;על עבודת הקודש להרשב"א - בית מועד&gt; - א</t>
  </si>
  <si>
    <t>מועד דוד</t>
  </si>
  <si>
    <t>מועד כל חי</t>
  </si>
  <si>
    <t>מועד לכל חי &lt;מהדורה חדשה&gt;</t>
  </si>
  <si>
    <t>מועד לכל חי</t>
  </si>
  <si>
    <t>חברא קדישא גחש"א ירושלים</t>
  </si>
  <si>
    <t>תרכ"א - תרכ"ב</t>
  </si>
  <si>
    <t>מועד</t>
  </si>
  <si>
    <t>ליפסון, מרדכי בן יום-טוב</t>
  </si>
  <si>
    <t>מועדי אב</t>
  </si>
  <si>
    <t>סורוצקין, מיכאל</t>
  </si>
  <si>
    <t>מועדי אליהו - א</t>
  </si>
  <si>
    <t>מועדי ה' (שלש רגלים)</t>
  </si>
  <si>
    <t>מועדי ה' וקריאי מועד - הושענא רבה</t>
  </si>
  <si>
    <t>תפילות. מחזור. תר"ג. ירושלים</t>
  </si>
  <si>
    <t>תר"ג-תר"ד</t>
  </si>
  <si>
    <t>מועדי ה' לברכה - 2 כר'</t>
  </si>
  <si>
    <t>מועדי ה' - חנוכה</t>
  </si>
  <si>
    <t>אזולאי, יהודה</t>
  </si>
  <si>
    <t>עכו</t>
  </si>
  <si>
    <t>מועדי ה'</t>
  </si>
  <si>
    <t>אליהו, ארז</t>
  </si>
  <si>
    <t>טבילה, יוסף</t>
  </si>
  <si>
    <t>מועדי ה' - 3 כר'</t>
  </si>
  <si>
    <t>מועדי ה' - חנוכה ופורים</t>
  </si>
  <si>
    <t>טרנובסקי, אריאל גרשון בן משה</t>
  </si>
  <si>
    <t>מועדי ה' - חול המועד</t>
  </si>
  <si>
    <t>נאגר, יהודה</t>
  </si>
  <si>
    <t>נג'אר,יהודה בן יעקב</t>
  </si>
  <si>
    <t>תפילות. מחזור. תרל"ד. ליוורנו</t>
  </si>
  <si>
    <t>מועדי האר"י</t>
  </si>
  <si>
    <t>מועדי הארץ</t>
  </si>
  <si>
    <t>מועדי הגר"ח - 2 כר'</t>
  </si>
  <si>
    <t>מועדי הרב</t>
  </si>
  <si>
    <t>סולובייצ'יק, יוסף דוב בן משה הלוי</t>
  </si>
  <si>
    <t>מועדי השנה</t>
  </si>
  <si>
    <t>מועדי חיים - 3 כר'</t>
  </si>
  <si>
    <t>מועדי יהושע - 4 כר'</t>
  </si>
  <si>
    <t>מועדי יי' וקריאי מועד - שלש רגלים</t>
  </si>
  <si>
    <t>מועדי יעקב - 2 כר'</t>
  </si>
  <si>
    <t>כוכב, יעקב בן צבי</t>
  </si>
  <si>
    <t>מועדי ישראל  על פי בעל השרידי אש</t>
  </si>
  <si>
    <t>מועדי ישראל באגדה - 2 כר'</t>
  </si>
  <si>
    <t>מועדי ישראל בהלכה ובאגדה - 2 כר'</t>
  </si>
  <si>
    <t>שלינקה, יעקב יצחק בן אברהם דוד</t>
  </si>
  <si>
    <t>מועדי ישראל ומשמעותם לאומות העולם שומרי מצוות בני נח</t>
  </si>
  <si>
    <t>מועדי ישראל - 2 כר'</t>
  </si>
  <si>
    <t>מועדי ישרון - א</t>
  </si>
  <si>
    <t>פלדר, אהרן</t>
  </si>
  <si>
    <t>מועדי משה - חנוכה</t>
  </si>
  <si>
    <t>מועדי נסים - 2 כר'</t>
  </si>
  <si>
    <t>מועדי ישראל, שאלות ותשובות</t>
  </si>
  <si>
    <t>מועדי קדשך</t>
  </si>
  <si>
    <t>מועדי קדשך - 3 כר'</t>
  </si>
  <si>
    <t>מועדי קודש - 3 כר'</t>
  </si>
  <si>
    <t>מועדי קודש - 4 כר'</t>
  </si>
  <si>
    <t>וינטרויב, ישראל אליהו - לובנשטיין, יצחק</t>
  </si>
  <si>
    <t>מועדיך לחיים</t>
  </si>
  <si>
    <t>בנון, חיים בן אורי</t>
  </si>
  <si>
    <t>מועדים וזמנים השלם - 8 כר'</t>
  </si>
  <si>
    <t>תשכ"א - תשנ"ב</t>
  </si>
  <si>
    <t>מועדים כהלכה</t>
  </si>
  <si>
    <t>מועדים לישראל</t>
  </si>
  <si>
    <t>מועדים לשמחה</t>
  </si>
  <si>
    <t>אונגר, מנשה בן שלום דוד</t>
  </si>
  <si>
    <t>[תשי"-,</t>
  </si>
  <si>
    <t>מועדים לשמחה - 2 כר'</t>
  </si>
  <si>
    <t>מועדים לשמחה - 4 כר'</t>
  </si>
  <si>
    <t>מועדים לשמחה - בירורי הלכה בעניני המועדים</t>
  </si>
  <si>
    <t>פולק, אליעזר בן ישראל</t>
  </si>
  <si>
    <t>מועדים</t>
  </si>
  <si>
    <t>מן ההר, שלמה - איזנברג, יהודה</t>
  </si>
  <si>
    <t>ניסנבוים, יצחק בן אברהם ליפמאן</t>
  </si>
  <si>
    <t>מועצת הרבנים במרוקו - 6 כר'</t>
  </si>
  <si>
    <t>מועצת הרבנים במרוקו</t>
  </si>
  <si>
    <t>פאס</t>
  </si>
  <si>
    <t>מופת הדור</t>
  </si>
  <si>
    <t>מופת הדור - 2 כר'</t>
  </si>
  <si>
    <t>מוצא דשא - 2 כר'</t>
  </si>
  <si>
    <t>שניאור, דוד בן משה</t>
  </si>
  <si>
    <t>מוצא שפתים</t>
  </si>
  <si>
    <t>מוצאי מים</t>
  </si>
  <si>
    <t>מוצאי פסח בקהילות המערב והמזרח</t>
  </si>
  <si>
    <t>מוציא אסירים</t>
  </si>
  <si>
    <t>מוציא אסירים - חג המצות</t>
  </si>
  <si>
    <t>ויינפעלד, יחזקאל שרגא</t>
  </si>
  <si>
    <t>מוצל מאש השלם - חתם סופר</t>
  </si>
  <si>
    <t>אלפאנדארי, יעקב בן חיים</t>
  </si>
  <si>
    <t>מוצל מאש</t>
  </si>
  <si>
    <t>פרגר, ישכר דוב בן משה</t>
  </si>
  <si>
    <t>מוצל מהאש - 2 כר'</t>
  </si>
  <si>
    <t>דרושים, דרושים, חסידות, נושאים שונים, תולדות עם ישראל, תלמוד בבלי, תנ"ך</t>
  </si>
  <si>
    <t>מוקדם ומאוחר - 3 כר'</t>
  </si>
  <si>
    <t>ברודא, אריה ליב בן אברהם יוסף</t>
  </si>
  <si>
    <t>תר"פ - תרפ"ו</t>
  </si>
  <si>
    <t>מוקצה ובסיס לדבר האסור בשבת חנוכה</t>
  </si>
  <si>
    <t>אויערבך, חיים יהודה ליב בן דוד</t>
  </si>
  <si>
    <t>מור דרור &lt;מהדורה חדשה&gt;</t>
  </si>
  <si>
    <t>דייטש, מרדכי בן חנוך יהודה</t>
  </si>
  <si>
    <t>מור דרור</t>
  </si>
  <si>
    <t>הכהן, מרדכי חיים בן יוסף מאיר</t>
  </si>
  <si>
    <t>מור ואהלות</t>
  </si>
  <si>
    <t>גוטפארב, פנחס</t>
  </si>
  <si>
    <t>הלכה ומנהג, שאלות ותשובות, שאלות ותשובות, שלחן ערוך ומפרשיו</t>
  </si>
  <si>
    <t>מור והדס - מגילת אסתר מפורשת ומבוארת</t>
  </si>
  <si>
    <t>מור וקציעה - 3 כר'</t>
  </si>
  <si>
    <t>תקכ"א - תקכ"ח</t>
  </si>
  <si>
    <t>מור"ה צד"ק</t>
  </si>
  <si>
    <t>צבאח, דוד חיים</t>
  </si>
  <si>
    <t>מורא מלך - 2 כר'</t>
  </si>
  <si>
    <t>מורא מקדש &lt;עם הוספות&gt;</t>
  </si>
  <si>
    <t>יעקב יוסף בן יהודה ליב מאוסטרהא</t>
  </si>
  <si>
    <t>מורא מקדש</t>
  </si>
  <si>
    <t>בוארון, משה</t>
  </si>
  <si>
    <t>בן שלמה, הלל</t>
  </si>
  <si>
    <t>סטמר</t>
  </si>
  <si>
    <t>מוראים גדולים</t>
  </si>
  <si>
    <t>מורדי הגיטו</t>
  </si>
  <si>
    <t>מורה באצבע - 3 כר'</t>
  </si>
  <si>
    <t>מורה באצבע, צפורן שמיר, קשר גודל</t>
  </si>
  <si>
    <t>מורה בהלכה - 3 כר'</t>
  </si>
  <si>
    <t>מורה דעה</t>
  </si>
  <si>
    <t>מורה דרך בהלכה</t>
  </si>
  <si>
    <t>מורה דרך למקומות הקדושים - 4 כר'</t>
  </si>
  <si>
    <t>צ'ינגל, יצחק</t>
  </si>
  <si>
    <t>מורה דרך</t>
  </si>
  <si>
    <t>אהרן בן חיים</t>
  </si>
  <si>
    <t>דטמולד, שמואל בן וולף</t>
  </si>
  <si>
    <t>מורה דרכי הרפואה</t>
  </si>
  <si>
    <t>הופלאנד, כריסטוף ווילהלם</t>
  </si>
  <si>
    <t>[תרכ"ט].</t>
  </si>
  <si>
    <t>מורה הלשון - 3 כר'</t>
  </si>
  <si>
    <t>לרנר, חיים צבי בן טודרוס</t>
  </si>
  <si>
    <t>מורה המורה &lt;מהדורת האיגוד העולמי למדעי היהדות&gt;</t>
  </si>
  <si>
    <t>מורה המורה</t>
  </si>
  <si>
    <t>פרעעסבורג</t>
  </si>
  <si>
    <t>מורה הנבוכים &lt;תרגום אלחריזי&gt; - ב</t>
  </si>
  <si>
    <t>מורה הנבוכים</t>
  </si>
  <si>
    <t>מורה הנער</t>
  </si>
  <si>
    <t>אביטל, מאיר</t>
  </si>
  <si>
    <t>מורה הפרישות ומדריך הפשיטות</t>
  </si>
  <si>
    <t>דוד בן יהושע הנגיד</t>
  </si>
  <si>
    <t>מורה התועים</t>
  </si>
  <si>
    <t>שפאק, יהושע נח בן אלחנן הכהן</t>
  </si>
  <si>
    <t>מורה לזובחים &lt;מקור לזובחים&gt;</t>
  </si>
  <si>
    <t>באמברגר, יצחק דוב בן שמחה</t>
  </si>
  <si>
    <t>מורה לרבים</t>
  </si>
  <si>
    <t>מורה לתועי הזמן</t>
  </si>
  <si>
    <t>קופצ'ובסקי, אברהם בן יוסף</t>
  </si>
  <si>
    <t>מורה נבוכי הדור</t>
  </si>
  <si>
    <t>אהרונסון, משה זלמן בן שמואל הילל</t>
  </si>
  <si>
    <t>מורה נבוכים &lt;תרגום בגרמנית&gt;</t>
  </si>
  <si>
    <t>משה בן מיימון (רמב"ם)</t>
  </si>
  <si>
    <t>מורה נבוכים &lt;אפודי-שם טוב&gt;</t>
  </si>
  <si>
    <t>מורה נבוכים &lt;גבעת המורה, נורבוני&gt;</t>
  </si>
  <si>
    <t>מורה נבוכים &lt;דפוס למברג&gt; - ג</t>
  </si>
  <si>
    <t>[תרט"ו-תרט"ז].</t>
  </si>
  <si>
    <t>Lemberg,</t>
  </si>
  <si>
    <t>מורה נבוכים &lt;הערות ד"ר שייער&gt;</t>
  </si>
  <si>
    <t>מורה נבוכים &lt;עברית וגרמנית&gt; - ג</t>
  </si>
  <si>
    <t>פרנקפורט (am Main),</t>
  </si>
  <si>
    <t>מורה נבוכים &lt;שם טוב, אפודי, קרשקש, אברבנאל&gt; - 2 כר'</t>
  </si>
  <si>
    <t>מורה נבוכים &lt;חשב האפד&gt; - א</t>
  </si>
  <si>
    <t>מורה נבוכים - 10 כר'</t>
  </si>
  <si>
    <t>תרי"א - תרל"ט</t>
  </si>
  <si>
    <t>מורה צדק</t>
  </si>
  <si>
    <t>יעקב בן יהודה משקלוב</t>
  </si>
  <si>
    <t>מיכאל בן משה הכהן</t>
  </si>
  <si>
    <t>רוסטובסקי, גרשון מנדל בן יוסף</t>
  </si>
  <si>
    <t>שלמה בן אליעזר הלוי</t>
  </si>
  <si>
    <t>מורה קריאת התורה</t>
  </si>
  <si>
    <t>תרנ"</t>
  </si>
  <si>
    <t>מורי דעה</t>
  </si>
  <si>
    <t>בורשטיין, אביעזר בן אלתר משה מרדכי</t>
  </si>
  <si>
    <t>מורי האומה - 6 כר'</t>
  </si>
  <si>
    <t>שורין, ישראל</t>
  </si>
  <si>
    <t>מוריה &lt;מהדורה חדשה&gt;</t>
  </si>
  <si>
    <t>מוריה &lt;מפעל התורה&gt; - ה</t>
  </si>
  <si>
    <t>קובץ מפעל התורה</t>
  </si>
  <si>
    <t>תש"ג-תש"ז</t>
  </si>
  <si>
    <t>מוריה - שנה א חוברת ט-י</t>
  </si>
  <si>
    <t>ירחון תורני - אגודת ישראל</t>
  </si>
  <si>
    <t>מוריה - 192 כר'</t>
  </si>
  <si>
    <t>ירחון תורני - מכון ירושלים</t>
  </si>
  <si>
    <t>מורנו ורבנו הגאון רבי חיים שמואלביץ</t>
  </si>
  <si>
    <t>כולל אברכים מהר"ם ומהרא"ץ בריסק</t>
  </si>
  <si>
    <t>מורשה קהילת יעקב</t>
  </si>
  <si>
    <t>מורשה - 10 כר'</t>
  </si>
  <si>
    <t>בטאון לתורה הלכה ודעת קהל פרושים ירושלים</t>
  </si>
  <si>
    <t>מורשה - 5 כר'</t>
  </si>
  <si>
    <t>הכמן, משה</t>
  </si>
  <si>
    <t>ירושלים - טורנטו</t>
  </si>
  <si>
    <t>מורשה - 4 כר'</t>
  </si>
  <si>
    <t>מורשה</t>
  </si>
  <si>
    <t>מורשת אב - הרב אליקים ישראל הכהן מונק זצ"ל</t>
  </si>
  <si>
    <t>פרקי חיים, מילי דהספידא</t>
  </si>
  <si>
    <t>מורשת אבות - 5 כר'</t>
  </si>
  <si>
    <t>גרינוולד, זאב</t>
  </si>
  <si>
    <t>מורשת אבות - 35 כר'</t>
  </si>
  <si>
    <t>לקט רעיונות מוסר ויר"ש ע"ס הפרשיות</t>
  </si>
  <si>
    <t>קעלמאן, יצחק בן משה - קעלמאן, צבי יהודה בן יצחק</t>
  </si>
  <si>
    <t>מורשת גד - 3 כר'</t>
  </si>
  <si>
    <t>אייזנר, גדל</t>
  </si>
  <si>
    <t>מורשת חיים</t>
  </si>
  <si>
    <t>לזכר רבי חיים מיכל לוי</t>
  </si>
  <si>
    <t>פאבר, חיים</t>
  </si>
  <si>
    <t>מורשת יעקב - 5 כר'</t>
  </si>
  <si>
    <t>מורשת יעקב</t>
  </si>
  <si>
    <t>מורשת יעקב - 3 כר'</t>
  </si>
  <si>
    <t>שנתון בית המדרש</t>
  </si>
  <si>
    <t>מורשת ישראל</t>
  </si>
  <si>
    <t>מורשת משה אהרן</t>
  </si>
  <si>
    <t>רייף, משה אהרן</t>
  </si>
  <si>
    <t>מורשת משה</t>
  </si>
  <si>
    <t>מרצייאנו, משה</t>
  </si>
  <si>
    <t>קליערס, משה</t>
  </si>
  <si>
    <t>מורשת משה - 17 כר'</t>
  </si>
  <si>
    <t>שטיינהויז, משה בן יעקב</t>
  </si>
  <si>
    <t>מורשת רבני הונגריה</t>
  </si>
  <si>
    <t>שוורץ, יהודה</t>
  </si>
  <si>
    <t>מורשת - 9 כר'</t>
  </si>
  <si>
    <t>בטאון המועצה הדתית בני ברק</t>
  </si>
  <si>
    <t>מושב זקנים - 2 כר'</t>
  </si>
  <si>
    <t>מושגי החיים</t>
  </si>
  <si>
    <t>גליקסברג, שמעון יעקב בן מאיר דוב הלוי</t>
  </si>
  <si>
    <t>מושגי שוא והאמת</t>
  </si>
  <si>
    <t>מושגים ונידונים בעניני קדשים</t>
  </si>
  <si>
    <t>פוגלבלט,  יעקב בן שמואל יוסף</t>
  </si>
  <si>
    <t>מושגים ונידונים - קדשים</t>
  </si>
  <si>
    <t>מושיב יחידים ביתה</t>
  </si>
  <si>
    <t>בר דע יצחק ואסתר</t>
  </si>
  <si>
    <t>מושיע חוסים</t>
  </si>
  <si>
    <t>מושעות אל</t>
  </si>
  <si>
    <t>תפילות. הושענות והקפות. שס"ד. ונציה</t>
  </si>
  <si>
    <t>מות בהסיר</t>
  </si>
  <si>
    <t>יעקב בן משה יוזביל הלוי</t>
  </si>
  <si>
    <t>מותיב ומפרק - 3 כר'</t>
  </si>
  <si>
    <t>מותיב ומפרק</t>
  </si>
  <si>
    <t>תאומים, יוסף בן נחום צבי (זיידה)</t>
  </si>
  <si>
    <t>מותרות</t>
  </si>
  <si>
    <t>מזבח אבנים</t>
  </si>
  <si>
    <t>מזבח אדמה</t>
  </si>
  <si>
    <t>מיוחס, רפאל מיוחס בן שמואל</t>
  </si>
  <si>
    <t>מזבח אליהו</t>
  </si>
  <si>
    <t>מזבח הזהב - 3 כר'</t>
  </si>
  <si>
    <t>שלמה בן מרדכי ממזריטש</t>
  </si>
  <si>
    <t>מזבח חדש</t>
  </si>
  <si>
    <t>מזבח יעקב - 2 כר'</t>
  </si>
  <si>
    <t>חבורת קדשים בכולל פוניבז'</t>
  </si>
  <si>
    <t>מזבח יעקב</t>
  </si>
  <si>
    <t>מרגלית, יעקב קופל בן צבי</t>
  </si>
  <si>
    <t>מזבח כפרה - 2 כר'</t>
  </si>
  <si>
    <t>מזבח לה'</t>
  </si>
  <si>
    <t>מזה ומזה הם כתובים - 2 כר'</t>
  </si>
  <si>
    <t>זילברמן, משה בן אברהם יוסף</t>
  </si>
  <si>
    <t>מזהב ומפז &lt;המקוצר&gt; - 4 כר'</t>
  </si>
  <si>
    <t>מזהב ומפז - 3 כר'</t>
  </si>
  <si>
    <t>מזהב מרדכי - פסח שבועות</t>
  </si>
  <si>
    <t>מזוזות מלכים</t>
  </si>
  <si>
    <t>תרצ"ה - תש"א</t>
  </si>
  <si>
    <t>מזוזות פתחי - זכרון מרדכי</t>
  </si>
  <si>
    <t>גורטלר, בנימן שמחה בן נחום שמואל</t>
  </si>
  <si>
    <t>מזוזות שעריך</t>
  </si>
  <si>
    <t>חסקל, ישראל</t>
  </si>
  <si>
    <t>מזוזת השער</t>
  </si>
  <si>
    <t>מזון כשר מן החי</t>
  </si>
  <si>
    <t>מזון לנפש</t>
  </si>
  <si>
    <t>אורדנטליך, יובל יוסף</t>
  </si>
  <si>
    <t>מזון רוחני</t>
  </si>
  <si>
    <t>קליגר, משולם יששכר בן יוסף</t>
  </si>
  <si>
    <t>מזור ותרופה - 2 כר'</t>
  </si>
  <si>
    <t>שטרן, אברהם בן יצחק</t>
  </si>
  <si>
    <t>מזור מתימן</t>
  </si>
  <si>
    <t>עדני, רחמים בן שלמה</t>
  </si>
  <si>
    <t>מזכה הרבים - 2 כר'</t>
  </si>
  <si>
    <t>מזכיר שלום - 3 כר'</t>
  </si>
  <si>
    <t>מזכרונותיו של מאה שערים'דיגער</t>
  </si>
  <si>
    <t>מזכרת אבל</t>
  </si>
  <si>
    <t>מזכרת אהבה</t>
  </si>
  <si>
    <t>גלר, יעקב - לייטר, יחיאל מיכל</t>
  </si>
  <si>
    <t>מזכרת חיים &lt;הגיוני חיים&gt;</t>
  </si>
  <si>
    <t>מעדניק, חיים בן שמואל</t>
  </si>
  <si>
    <t>דרושים, דרושים, מועדי ישראל, סוגיות, תולדות עם ישראל, תלמוד בבלי, תנ"ך</t>
  </si>
  <si>
    <t>מזכרת כבוד</t>
  </si>
  <si>
    <t>בן ציון בן משה</t>
  </si>
  <si>
    <t>מזכרת לגדולי אוסטרהא</t>
  </si>
  <si>
    <t>ביבר, מנחם מנדל בן אריה ליבוש</t>
  </si>
  <si>
    <t>מזכרת למשה</t>
  </si>
  <si>
    <t>מזכרת מרדכי</t>
  </si>
  <si>
    <t>פרידמאן, מרדכי בן יצחק</t>
  </si>
  <si>
    <t>מזכרת משה</t>
  </si>
  <si>
    <t>אריאל, אגודת בחירי חמד להגדיל הספרות והיהדות, בוטושאן</t>
  </si>
  <si>
    <t>מזכרת נצח</t>
  </si>
  <si>
    <t>מזכרת פאקש - 3 כר'</t>
  </si>
  <si>
    <t>מזכרת רחל</t>
  </si>
  <si>
    <t>מזכרת שם הגדולים</t>
  </si>
  <si>
    <t>מזכרת</t>
  </si>
  <si>
    <t>לוונשטאם, מרדכי בן אריה ליב</t>
  </si>
  <si>
    <t>מזל לישראל</t>
  </si>
  <si>
    <t>דודזאן, שמואל זאב בן מנחם מנדל</t>
  </si>
  <si>
    <t>מזל שעה</t>
  </si>
  <si>
    <t>מזמור לאיתן</t>
  </si>
  <si>
    <t>משכיל לאיתן, נפתלי</t>
  </si>
  <si>
    <t>מזמור לאסף &lt;מהדורה חדשה&gt;</t>
  </si>
  <si>
    <t>מזמור לאסף - בבא מציעא</t>
  </si>
  <si>
    <t>גוטמן, אסף</t>
  </si>
  <si>
    <t>מזמור לאסף</t>
  </si>
  <si>
    <t>מסוורי, אסף בן שאול</t>
  </si>
  <si>
    <t>סימן טוב, אסף</t>
  </si>
  <si>
    <t>מזמור לדוד</t>
  </si>
  <si>
    <t>בוזגלו, דוד</t>
  </si>
  <si>
    <t>מזמור לדוד - 2 כר'</t>
  </si>
  <si>
    <t>פרלמן, רפאל דוד בן יוסף יצחק (לזכרו)</t>
  </si>
  <si>
    <t>מזמור לתודה - 2 כר'</t>
  </si>
  <si>
    <t>מזמור לתודה</t>
  </si>
  <si>
    <t>הלכה ומנהג, מועדי ישראל, נושאים שונים, שלחן ערוך ומפרשיו</t>
  </si>
  <si>
    <t>משפחת מנדלבוים</t>
  </si>
  <si>
    <t>מזמור שיר חנוכת הבית</t>
  </si>
  <si>
    <t>מזמור שיר ליום השבת</t>
  </si>
  <si>
    <t>מזמור שיר</t>
  </si>
  <si>
    <t>ישיבת קרית מלך</t>
  </si>
  <si>
    <t>מזמורי תהלים לאומרם על קברי צדיקים</t>
  </si>
  <si>
    <t>כתקנת אדמוה"ז מסאדיגורא</t>
  </si>
  <si>
    <t>מזמורי תהלים לתפילת קבלת שבת מפוסקות ע"פ טעמיהם</t>
  </si>
  <si>
    <t>מזמרת הארץ</t>
  </si>
  <si>
    <t>נעים, פרג'י בן רחמים</t>
  </si>
  <si>
    <t>מזמרת הארץ - 2 כר'</t>
  </si>
  <si>
    <t>ת"ש - תשי"ג</t>
  </si>
  <si>
    <t>רוזנצווייג, גרשון בן זלמן ליב</t>
  </si>
  <si>
    <t>מזקנים אתבונן</t>
  </si>
  <si>
    <t>משפחת טרגר</t>
  </si>
  <si>
    <t>מזקנים אתבונן - 5 כר'</t>
  </si>
  <si>
    <t>פרייס, משה בן ישכר הלוי</t>
  </si>
  <si>
    <t>מזקנים אתבונן - 12 כר'</t>
  </si>
  <si>
    <t>שטרן, ישראל בן בנימין שלמה</t>
  </si>
  <si>
    <t>מזרח השמש</t>
  </si>
  <si>
    <t>מזרח ומערב - 7 כר'</t>
  </si>
  <si>
    <t>מזרח ומערב</t>
  </si>
  <si>
    <t>מזרח שמ"ש</t>
  </si>
  <si>
    <t>מזרח שמש - 3 כר'</t>
  </si>
  <si>
    <t>מעודד, נתנאל בן שלום</t>
  </si>
  <si>
    <t>מחאה פומבית</t>
  </si>
  <si>
    <t>יפו. תושבים חרדים</t>
  </si>
  <si>
    <t>מחברות איתיאל</t>
  </si>
  <si>
    <t>אלחרירי, אבו מחמד אל-קאסם</t>
  </si>
  <si>
    <t>מחברות מני קדם</t>
  </si>
  <si>
    <t>אבידע, יהודה בן אברהם יצחק</t>
  </si>
  <si>
    <t>מחברת הלוי</t>
  </si>
  <si>
    <t>תרנ"ד,</t>
  </si>
  <si>
    <t>מחברת המסרה הגדולה</t>
  </si>
  <si>
    <t>מחברת הערוך</t>
  </si>
  <si>
    <t>אבן-פרחון, שלמה בן אברהם</t>
  </si>
  <si>
    <t>מחברת הקודש</t>
  </si>
  <si>
    <t>מחברת הקודש - 2 כר'</t>
  </si>
  <si>
    <t>מחברת התיגאן</t>
  </si>
  <si>
    <t>מחברת כללי דקדוק הקריאה</t>
  </si>
  <si>
    <t>סתיהון, מנשה</t>
  </si>
  <si>
    <t>מחברת כתרי התורה &lt;מחברת התיגאן&gt; - לעמת המחברת</t>
  </si>
  <si>
    <t>בעילום שם - הלוי, יואב בן יוסף פנחס</t>
  </si>
  <si>
    <t>מחברת לרשימת השיעורים - יבמות</t>
  </si>
  <si>
    <t>מחברת מנחם</t>
  </si>
  <si>
    <t>אבן-סרוק, מנחם בן יעקב</t>
  </si>
  <si>
    <t>תרי"ד - תרט"ו</t>
  </si>
  <si>
    <t>מחברת משירי קדש</t>
  </si>
  <si>
    <t>פילאדלפיא,</t>
  </si>
  <si>
    <t>מחברת צמחי המשנה של הרב יוסף קאפח</t>
  </si>
  <si>
    <t>מחברת שיעורים - 6 כר'</t>
  </si>
  <si>
    <t>מחברת שלום ושלוה - שבת שלום</t>
  </si>
  <si>
    <t>וויס, שלום הכהן</t>
  </si>
  <si>
    <t>מחברת תשועת ישראל על ידי אסתר</t>
  </si>
  <si>
    <t>מחדושי בעלי התוספות - 2 כר'</t>
  </si>
  <si>
    <t>קובץ חיבורים</t>
  </si>
  <si>
    <t>מחדש חדשים</t>
  </si>
  <si>
    <t>מחובר לטהור</t>
  </si>
  <si>
    <t>מייזלס, אליהו חיים בן מנחם דן</t>
  </si>
  <si>
    <t>מחודדים בפיך - 18 כר'</t>
  </si>
  <si>
    <t>מחודדים בפיך - 2 כר'</t>
  </si>
  <si>
    <t>טובול, איתמר בן אברהם</t>
  </si>
  <si>
    <t>לוין, נחום בן עזריאל</t>
  </si>
  <si>
    <t>מחודדים בפיך - שבת</t>
  </si>
  <si>
    <t>שרייבר, יעקב דוד</t>
  </si>
  <si>
    <t>מחוזא</t>
  </si>
  <si>
    <t>מחול הכרמים</t>
  </si>
  <si>
    <t>מחול הרוחות</t>
  </si>
  <si>
    <t>תשט"ו,</t>
  </si>
  <si>
    <t>מחולת המחנים</t>
  </si>
  <si>
    <t>מחוקק במשענותם - 5 כר'</t>
  </si>
  <si>
    <t>מחוקק יהודה &lt;חוקי דעת&gt;</t>
  </si>
  <si>
    <t>אוורבוך, יהודה ליב בן ישראל</t>
  </si>
  <si>
    <t>מחזה אברהם &lt;מהדורה חדשה&gt;</t>
  </si>
  <si>
    <t>די בוטון, אברהם בן יהודה</t>
  </si>
  <si>
    <t>מחזה אברהם &lt;ליקוטי יעקב&gt;</t>
  </si>
  <si>
    <t>מחזה אברהם על חמשה חומשי תורה</t>
  </si>
  <si>
    <t>מחזה אברהם</t>
  </si>
  <si>
    <t>וולפינסון, אברהם בן זאב וולף</t>
  </si>
  <si>
    <t>מחזה אברהם - 2 כר'</t>
  </si>
  <si>
    <t>יפה, אברהם עבר בן שלום שכנא</t>
  </si>
  <si>
    <t>מחזה אברהם - 3 כר'</t>
  </si>
  <si>
    <t>מירלשוילי, אברהם בן יצחק</t>
  </si>
  <si>
    <t>קופרמן, אברהם בן יהודה</t>
  </si>
  <si>
    <t>מחזה אברהם - 4 כר'</t>
  </si>
  <si>
    <t>שטיינברג, אברהם מנחם בן מאיר הלוי</t>
  </si>
  <si>
    <t>תשל''ב</t>
  </si>
  <si>
    <t>מחזה איש</t>
  </si>
  <si>
    <t>געשטעטנער, אברהם שמואל יהודה בן נתן</t>
  </si>
  <si>
    <t>מחזה אליהו - 2 כר'</t>
  </si>
  <si>
    <t>מחזה חג האסיף</t>
  </si>
  <si>
    <t>מחזה יהודה</t>
  </si>
  <si>
    <t>לוריא, יהודה ליב בן אברהם</t>
  </si>
  <si>
    <t>מחזה יושר</t>
  </si>
  <si>
    <t>שימאנאוויטש, חנוך זונדל</t>
  </si>
  <si>
    <t>מחזה עינים &lt;גיא חזיון&gt;</t>
  </si>
  <si>
    <t>מחזה עינים  - גיא חזיון &lt;מהדורה חדשה&gt;</t>
  </si>
  <si>
    <t>מחזה עליון - 2 כר'</t>
  </si>
  <si>
    <t>מחזור &lt;גולדשמידט&gt; - 3 כר'</t>
  </si>
  <si>
    <t>גולדשמידט, דניאל</t>
  </si>
  <si>
    <t>מחזור &lt;רעדלהיים, אשכנז&gt; - 4 כר'</t>
  </si>
  <si>
    <t>מחזור &lt;רעדלהיים, אשכנז?&gt; - 3 כר'</t>
  </si>
  <si>
    <t>מחזור &lt;רעדלהיים, פולין&gt; - 8 כר'</t>
  </si>
  <si>
    <t>תק"ס - תקס"ג</t>
  </si>
  <si>
    <t>מחזור &lt;לעטריס&gt; - מועדים</t>
  </si>
  <si>
    <t>לעטריס, מאיר הלוי</t>
  </si>
  <si>
    <t>מחזור &lt;גולדשמידט&gt; - 2 כר'</t>
  </si>
  <si>
    <t>פרנקל, יונה</t>
  </si>
  <si>
    <t>מחזור &lt;רעדלהיים, אשכנז&gt; - ליום ראשון של ראש השנה</t>
  </si>
  <si>
    <t>תפילות. מחזור. רדלהים</t>
  </si>
  <si>
    <t>מחזור &lt;לעמבערג&gt; - 5 כר'</t>
  </si>
  <si>
    <t>תפילות. מחזור. תרס"ז. למברג</t>
  </si>
  <si>
    <t>מחזור &lt;היידנהיים, פולין&gt; - ב ימים אחרונים של סוכות</t>
  </si>
  <si>
    <t>תפילות. מחזור.</t>
  </si>
  <si>
    <t>ווינה</t>
  </si>
  <si>
    <t>מחזור אבותינו &lt;נוסח מרוקו&gt; - 8 כר'</t>
  </si>
  <si>
    <t>מחזור אהלי יעקב - 2 כר'</t>
  </si>
  <si>
    <t>תפילות. מחזור. תרס"ח. ירושלים</t>
  </si>
  <si>
    <t>מחזור אר"צ - המבואות</t>
  </si>
  <si>
    <t>מחזור ארם צובא - 2 כר'</t>
  </si>
  <si>
    <t>יד הרב נסים</t>
  </si>
  <si>
    <t>רפז</t>
  </si>
  <si>
    <t>מחזור בית אל &lt;מתורגם יהודית&gt; - יום כיפור</t>
  </si>
  <si>
    <t>פינקלשטיין, ה</t>
  </si>
  <si>
    <t>פולין וורשה</t>
  </si>
  <si>
    <t>מחזור הגר"א - 5 כר'</t>
  </si>
  <si>
    <t>מחזור הגר"א</t>
  </si>
  <si>
    <t>מחזור הדרת קדש - שלוש רגלים</t>
  </si>
  <si>
    <t>תפילות. מחזור. שנ"ט. ונציה</t>
  </si>
  <si>
    <t>שנ"ט-ש"ס</t>
  </si>
  <si>
    <t>מחזור הדרת קודש - 3 כר'</t>
  </si>
  <si>
    <t>מחזור התפילה של רבינו יונה</t>
  </si>
  <si>
    <t>קלירס, יהודה לייב (עורך)</t>
  </si>
  <si>
    <t>מחזור התפילה של רבינו תם</t>
  </si>
  <si>
    <t>מחזור וורמיישא מנהג  אשכנז - 2 כר'</t>
  </si>
  <si>
    <t>מחזור אשכנז. שנת ל"ב. כתב יד. הספריה הלאומית</t>
  </si>
  <si>
    <t>מחזור ויטרי &lt;מהדורת גולדשמידט&gt; - 3 כר'</t>
  </si>
  <si>
    <t>שמחה בן שמואל מוויטרי</t>
  </si>
  <si>
    <t>מחזור ויטרי - 3 כר'</t>
  </si>
  <si>
    <t>מינץ</t>
  </si>
  <si>
    <t>מחזור וילנא כתר מלכות - 2 כר'</t>
  </si>
  <si>
    <t>עם ביאור על הפיוטים מרבותינו הראשונים</t>
  </si>
  <si>
    <t>מחזור זכור לאברהם &lt;מהדורת ארץ ישראל&gt; - 2 כר'</t>
  </si>
  <si>
    <t>בן טובו, דוד רפאל בן אברהם  הלוי</t>
  </si>
  <si>
    <t>מחזור זכור לאברהם &lt;כמנהג ק"ק הספרדים בא"י&gt; - 2 כר'</t>
  </si>
  <si>
    <t>זייני, רחמים אליהו בן מאיר (עורך)</t>
  </si>
  <si>
    <t>מחזור זכור ליעקב &lt;נוסח עדן&gt; - 2 כר'</t>
  </si>
  <si>
    <t>מוסדות זכור ליעקב</t>
  </si>
  <si>
    <t>מחזור יום כיפור &lt;מנהג קאטאלאן&gt;</t>
  </si>
  <si>
    <t>תפילות. מחזור. תרפ"ז. שלוניקי</t>
  </si>
  <si>
    <t>מחזור יניי</t>
  </si>
  <si>
    <t>יניי</t>
  </si>
  <si>
    <t>מחזור יסוד ושורש העבודה - 4 כר'</t>
  </si>
  <si>
    <t>מחזור כל בו &lt;בית ישראל&gt; - 2 כר'</t>
  </si>
  <si>
    <t>תפילות. מחזור. תרע"ב. ניו יורק</t>
  </si>
  <si>
    <t>מחזור כל בו - 2 כר'</t>
  </si>
  <si>
    <t>תפילות. מחזור. תשכ"ג. ירושלים.</t>
  </si>
  <si>
    <t>מחזור כל השנה כפי מנהג ק"ק איטאלייאני - 2 כר'</t>
  </si>
  <si>
    <t>תפילות. מחזור. תרט"ז. ליוורנו</t>
  </si>
  <si>
    <t>מחזור כל נדרי ליוה"כ &lt;תכלאל כמנהג ביד'א&gt;</t>
  </si>
  <si>
    <t>מגער, מרדכי בן צאלח סלימן</t>
  </si>
  <si>
    <t>מחזור כמנהג אשכנזים - 2 כר'</t>
  </si>
  <si>
    <t>תפילות. מחזור. תל"ג. וילהרמסדורף</t>
  </si>
  <si>
    <t>תל"ג</t>
  </si>
  <si>
    <t>מחזור כמנהג בני רומה - 5 כר'</t>
  </si>
  <si>
    <t>סרמוניטה, הלל משה - פיאטילי, אנג'לו מרדכי</t>
  </si>
  <si>
    <t>מחזור כמנהג פולין ליטא ורייסן פיהם ומעהרין &lt;קרבן אהרון&gt; - 2 כר'</t>
  </si>
  <si>
    <t>תפילות. מחזור. תרט"ז. וינה</t>
  </si>
  <si>
    <t>מחזור כמנהג פולין ליטא ורייסן פיהם ומעהרין</t>
  </si>
  <si>
    <t>תפילות. מחזור. תקע"ח. וינה</t>
  </si>
  <si>
    <t>מחזור כמנהג פולין, רייסן, ליטא, פיהם, מעהרין - שבועות</t>
  </si>
  <si>
    <t>תפילות. מחזור. תר"ל. קרוטושין</t>
  </si>
  <si>
    <t>מחזור כמנהג ק"ק רומא</t>
  </si>
  <si>
    <t>תפילות. מחזור. שי"ז. מנטובה</t>
  </si>
  <si>
    <t>שי"ז-ש"ך</t>
  </si>
  <si>
    <t>מחזור כפי מנהג ק"ק רומא - 3 כר'</t>
  </si>
  <si>
    <t>תפילות. מחזור. ש"א. בולוניה</t>
  </si>
  <si>
    <t>ש"א</t>
  </si>
  <si>
    <t>מחזור לבני ישראל &lt;קרבן אהרון&gt; - יום הכפורים</t>
  </si>
  <si>
    <t>תפילות. מחזור. תרפ"ג. וילנא</t>
  </si>
  <si>
    <t>מחזור לחג הסוכות ושמיני עצרת - מנהג אשכנז המובהק</t>
  </si>
  <si>
    <t>אומן, אברהם</t>
  </si>
  <si>
    <t>מחזור ליום הכיפורים - מנהג אשכנז המובהק</t>
  </si>
  <si>
    <t>מחזור ליום הכפורים מנהג ספרד בק"ק קונשטאנטינה</t>
  </si>
  <si>
    <t>תפילות. מחזור. תרכ"ז. וינה</t>
  </si>
  <si>
    <t>תפילות. מחזור. תרצ"ב. וינה</t>
  </si>
  <si>
    <t>מחזור ליום הכפורים מנהג ספרד</t>
  </si>
  <si>
    <t>תפילות. מחזור. ת"ש. כזבלנכה</t>
  </si>
  <si>
    <t>מחזור ליום כיפור &lt;מכתם לדוד&gt;</t>
  </si>
  <si>
    <t>מחזור ליום כיפור - אשכנז &lt;אוצר הראשונים&gt;</t>
  </si>
  <si>
    <t>מחזור ליום כפור כמנהג ק"ק חיידאן אלשאם</t>
  </si>
  <si>
    <t>תפילות. מחזור. תשכ"ב. ליוורנו</t>
  </si>
  <si>
    <t>מחזור ליום כפור עם תרגום רוססי</t>
  </si>
  <si>
    <t>תפילות. מחזור. תרע"ד. וילנא</t>
  </si>
  <si>
    <t>מחזור ליום כפור</t>
  </si>
  <si>
    <t>תפילות. מחזור. תר"א. ליוורנו</t>
  </si>
  <si>
    <t>מחזור ליום ראשון ושני של פסח עם תרגום אשכנזי</t>
  </si>
  <si>
    <t>רדלהיים</t>
  </si>
  <si>
    <t>מחזור ליום ראשון של ראש השנה</t>
  </si>
  <si>
    <t>הנובר</t>
  </si>
  <si>
    <t>מחזור ליום שני של ראש השנה</t>
  </si>
  <si>
    <t>תפילות. מחזור. ראש השנה.</t>
  </si>
  <si>
    <t>מחזור לימים נוראים</t>
  </si>
  <si>
    <t>תפילות. מחזור. תקל"ב. אלטונה</t>
  </si>
  <si>
    <t>מחזור לכל מועדי השנה &lt;זקש&gt; - 2 כר'</t>
  </si>
  <si>
    <t>זקש, יחיאל מיכל</t>
  </si>
  <si>
    <t>מחזור לנוסח ברצלונה מנהג קאטאלוניה</t>
  </si>
  <si>
    <t>תפילות. מחזור. רפ"ז. שלוניקי</t>
  </si>
  <si>
    <t>מחזור לסוכות עפ"נ ספרד</t>
  </si>
  <si>
    <t>תפילות. מחזור. תרנ"א. ורשה</t>
  </si>
  <si>
    <t>מחזור לערבית יום כפור עם תרגום אשכנזי</t>
  </si>
  <si>
    <t>היידנהיים, וולף</t>
  </si>
  <si>
    <t>מחזור לפסח &lt;תרגום גרמני&gt;</t>
  </si>
  <si>
    <t>מחזור</t>
  </si>
  <si>
    <t>מחזור לראש השנה  &lt;מכתם לדוד&gt;</t>
  </si>
  <si>
    <t>מחזור לראש השנה &lt;קדושת היום&gt;</t>
  </si>
  <si>
    <t>מחזור לראש השנה &lt;עם תרגום ענגליש&gt;</t>
  </si>
  <si>
    <t>אוסטריה</t>
  </si>
  <si>
    <t>מחזור לראש השנה ויום הכיפורים למנהג ק"ק ארגון</t>
  </si>
  <si>
    <t>מחזור. ארגון. רפ"ט</t>
  </si>
  <si>
    <t>רפ"ט</t>
  </si>
  <si>
    <t>שאלונקי</t>
  </si>
  <si>
    <t>מחזור לראש השנה כמנהג ק"ק חיידאן אלשאם</t>
  </si>
  <si>
    <t>תפילות. מחזור. תשכ"ב. ירושלים</t>
  </si>
  <si>
    <t>מחזור לראש השנה מנהג ספרד</t>
  </si>
  <si>
    <t>מחזור לראש השנה - זכור ליצחק &lt;מנהג לוב&gt;</t>
  </si>
  <si>
    <t>דולב</t>
  </si>
  <si>
    <t>מחזור לראש השנה - 2 כר'</t>
  </si>
  <si>
    <t>מחזור לראש השנה</t>
  </si>
  <si>
    <t>תפילות. מחזור. תשט"ו. ליוורנו</t>
  </si>
  <si>
    <t>מחזור לשבועות עפ"נ ספרד</t>
  </si>
  <si>
    <t>מחזור לשלש רגלים מנהג ספרד</t>
  </si>
  <si>
    <t>תפילות. מחזור. תרצ"ד. וינה</t>
  </si>
  <si>
    <t>תפילות. מחזור. תרצ"ח. וינה</t>
  </si>
  <si>
    <t>מחזור לשלש רגלים עם פירוש מטה לוי</t>
  </si>
  <si>
    <t>תפילות. מחזור. תרמ"ב. וילנא.</t>
  </si>
  <si>
    <t>תפילות. מחזור. תשכ"ו. ניו יורק</t>
  </si>
  <si>
    <t>מחזור לשלשה רגלים מועדי ה' &lt;כמנהג הספרדים בארץ הצבי&gt;</t>
  </si>
  <si>
    <t>מחזור מוסקוביץ - סידור מנהג רומא כת"י ירושלים</t>
  </si>
  <si>
    <t>מחזור מנהג רומא</t>
  </si>
  <si>
    <t>מחזור מועדי השם &lt;מהדורת ארץ ישראל&gt;</t>
  </si>
  <si>
    <t>מחזור מטה לוי - שבועות</t>
  </si>
  <si>
    <t>תפילות. מחזור. תרס"ו. למברג</t>
  </si>
  <si>
    <t>מחזור מכל השנה &lt;מעגלי צדק&gt; - 2 כר'</t>
  </si>
  <si>
    <t>בנימין בן מאיר הלוי (מעגלי צדק)</t>
  </si>
  <si>
    <t>שי"ז - ש"כ</t>
  </si>
  <si>
    <t>מחזור מכל השנה</t>
  </si>
  <si>
    <t>תפילות. מחזור. שכ"ז. לובלין</t>
  </si>
  <si>
    <t>תפילות. מחזור. שמ"ה. קרקוב</t>
  </si>
  <si>
    <t>תפילות. מחזור. תס"ג פרג</t>
  </si>
  <si>
    <t>תפילות. מחזור. תקנ"ד. זולצבך</t>
  </si>
  <si>
    <t>זולצבך</t>
  </si>
  <si>
    <t>מחזור מנהג איטלייאני - 3 כר'</t>
  </si>
  <si>
    <t>הרטום, מנחם עמנואל</t>
  </si>
  <si>
    <t>מחזור מנהג בני רומא - 2 כר'</t>
  </si>
  <si>
    <t>מחזור רומא</t>
  </si>
  <si>
    <t>רסד-רסה</t>
  </si>
  <si>
    <t>פאנו</t>
  </si>
  <si>
    <t>מחזור מנהג בני רומי &lt;שונצינו רמ"ו&gt;</t>
  </si>
  <si>
    <t>תפילות. מחזור. רמ"ו. שונצינו</t>
  </si>
  <si>
    <t>רמ"ו</t>
  </si>
  <si>
    <t>מחזור מנהג בני רומי</t>
  </si>
  <si>
    <t>מחזור מעשה חכמים &lt;מטה לוי&gt;</t>
  </si>
  <si>
    <t>תפילות. מחזור. תש"ל. ירושלים</t>
  </si>
  <si>
    <t>מחזור מפורש ומבואר &lt;מועדי השם&gt; - ראש השנה</t>
  </si>
  <si>
    <t>מחזור מפי עוללים - 3 כר'</t>
  </si>
  <si>
    <t>מחזור מקראי קודש &lt;קרבן אהרן השלם&gt; - יום כיפור</t>
  </si>
  <si>
    <t>מחזור. יום כיפור</t>
  </si>
  <si>
    <t>מחזור מקראי קודש &lt;קרבן אהרן השלם&gt; - ראש השנה</t>
  </si>
  <si>
    <t>מחזור. ראש השנה</t>
  </si>
  <si>
    <t>מחזור מראש השנה ויום הכפורים &lt;ע"פ הרמ"ק&gt;</t>
  </si>
  <si>
    <t>מחזור משלי יהודה - ראש השנה</t>
  </si>
  <si>
    <t>תפילות. מחזור. תרע"ב. וילנה</t>
  </si>
  <si>
    <t>מחזור נירברג - א</t>
  </si>
  <si>
    <t>מחזור. מנה אוסטרייך. שנת צ"א</t>
  </si>
  <si>
    <t>מחזור סוכת מרדכי לסוכות ושמח"ת &lt;תכלאל כמנהג ביד'א&gt;</t>
  </si>
  <si>
    <t>מחזור ספרדי  ליום כפור משנת 1481</t>
  </si>
  <si>
    <t>כתב יד פארמה די רוססי  1377</t>
  </si>
  <si>
    <t>מחזור ספרדי לר"ה ויום כפור משנת 1320</t>
  </si>
  <si>
    <t>כתב יד פארמה די רוססי 860</t>
  </si>
  <si>
    <t>מחזור עבדת אהל מועד עם תרגום אנגלית - 4 כר'</t>
  </si>
  <si>
    <t>מחזור עבודת אהל מועד</t>
  </si>
  <si>
    <t>מחזור עם כל הפירוש הרחב - 2 כר'</t>
  </si>
  <si>
    <t>תפילות. מחזור. שע"ג. פרג</t>
  </si>
  <si>
    <t>מחזור עם תרגום רוססי - ראש השנה</t>
  </si>
  <si>
    <t>מחזור קטלוניה</t>
  </si>
  <si>
    <t>מחזור כת"י כמנהג קטלוניה</t>
  </si>
  <si>
    <t>מחזור קטן</t>
  </si>
  <si>
    <t>נקר, אברהם</t>
  </si>
  <si>
    <t>תש</t>
  </si>
  <si>
    <t>? אורן?</t>
  </si>
  <si>
    <t>מחזור ראש השנה &lt;עת רצון&gt;  ספרד</t>
  </si>
  <si>
    <t>חסידי ברסלב</t>
  </si>
  <si>
    <t>מחזור ראש השנה &lt;עת רצון&gt;  ספרדים</t>
  </si>
  <si>
    <t>מחזור ראש השנה &lt;מחזור תונס - שי למורא&gt;</t>
  </si>
  <si>
    <t>כהן, שאול בן משה (מפרש)</t>
  </si>
  <si>
    <t>מחזור רב פנינים - שבועות</t>
  </si>
  <si>
    <t>מחזור רב פנינים - 4 כר'</t>
  </si>
  <si>
    <t>תפילות. מחזור. תשכ"ד. ירושלים</t>
  </si>
  <si>
    <t>מחזור רבא - 4 כר'</t>
  </si>
  <si>
    <t>תפילות. מחזור. ורשה</t>
  </si>
  <si>
    <t>מחזור רינת ישראל &lt;אשכנז&gt; - 4 כר'</t>
  </si>
  <si>
    <t>טל, שלמה (עורך)</t>
  </si>
  <si>
    <t>מחזור רינת ישראל &lt;ספרד&gt; - 5 כר'</t>
  </si>
  <si>
    <t>מחזור רמח"ל</t>
  </si>
  <si>
    <t>לוצאטו, משה חיים בן יעקב חי (רמח"ל) - אביב"י, יוסף</t>
  </si>
  <si>
    <t>מחזור שבועות עם דברי יואל</t>
  </si>
  <si>
    <t>מחזור שי"ח שפתותינו - 5 כר'</t>
  </si>
  <si>
    <t>מחזור שיח בשדה - 4 כר'</t>
  </si>
  <si>
    <t>מובשוביץ, ישראל בן שמואל דוד</t>
  </si>
  <si>
    <t>מחזור של יום כיפור כמנהג אשכנז ופולין &lt;מבואר בבאור מספיק&gt;</t>
  </si>
  <si>
    <t>בידינגן, משה בן ישראל (מבאר)</t>
  </si>
  <si>
    <t>מץ</t>
  </si>
  <si>
    <t>מחזור של ימים נוראים</t>
  </si>
  <si>
    <t>תפילות. מחזור. שס"ח. קרקוב</t>
  </si>
  <si>
    <t>מחזור של סוכות כמנהג אשכנז ופולין &lt;מבואר בבאור מספיק&gt;</t>
  </si>
  <si>
    <t>מחזור של פסח כמנהג אשכנז ופולין &lt;מבואר בבאור מספיק&gt;</t>
  </si>
  <si>
    <t>מחזור של ר"ה כמנהג אשכנז &lt;יום א - מבואר בבאור מספיק&gt;</t>
  </si>
  <si>
    <t>מחזור של ר"ה כמנהג אשכנז &lt;יום ב - מבואר בבאור מספיק&gt;</t>
  </si>
  <si>
    <t>מחזור של שבועות כמנהג אשכנז ופולין &lt;מבואר בבאור מספיק&gt;</t>
  </si>
  <si>
    <t>מחזור של שלש רגלים</t>
  </si>
  <si>
    <t>מחזור שלוניקי - 3 כר'</t>
  </si>
  <si>
    <t>עייאש, משה יעקב בן יהודה (מסדר) -רקנטי, אברהם דוד (מהדיר)</t>
  </si>
  <si>
    <t>תרל"ו - תשכ"ג</t>
  </si>
  <si>
    <t>שאלוניקי -תל אביב</t>
  </si>
  <si>
    <t>מחזור שער בנימין - 3 כר'</t>
  </si>
  <si>
    <t>מחזור שער השמים</t>
  </si>
  <si>
    <t>מחזור כמנהג פולין</t>
  </si>
  <si>
    <t>אלטונא</t>
  </si>
  <si>
    <t>מחזור שער התפילה &lt;שונה הלכות&gt; - 7 כר'</t>
  </si>
  <si>
    <t>מחזור תפילת הרחמים לר"ה &lt;תכלאל מנהג ביד'א&gt;</t>
  </si>
  <si>
    <t>מחזור תפלת ישרים - 3 כר'</t>
  </si>
  <si>
    <t>תפילות. מחזור. תשי"ח. ירושלים</t>
  </si>
  <si>
    <t>מחזור - יו"כ, סוכות</t>
  </si>
  <si>
    <t>מחזור - יו"כ</t>
  </si>
  <si>
    <t>פלזנבך, מנדל</t>
  </si>
  <si>
    <t>תפילות. מחזור. שנ"ז. קרקוב</t>
  </si>
  <si>
    <t>מחזור - 2 כר'</t>
  </si>
  <si>
    <t>תפילות. מחזור. תקנ"ה. וינה</t>
  </si>
  <si>
    <t>תקנ"ה אחרי</t>
  </si>
  <si>
    <t>מחזיק ברכה - 2 כר'</t>
  </si>
  <si>
    <t>מחזיקי הדת - 2 כר'</t>
  </si>
  <si>
    <t>מחזיר עטרה ליושנה - לזכר הגה"צ ר' יהושע העשיל ברים</t>
  </si>
  <si>
    <t>ברים, ראובן בן יהושע העשיל</t>
  </si>
  <si>
    <t>מחזקי תורה</t>
  </si>
  <si>
    <t>כוללים מרכז התורה צאנז</t>
  </si>
  <si>
    <t>מחזקי תורה - 2 כר'</t>
  </si>
  <si>
    <t>כוללים צאנז</t>
  </si>
  <si>
    <t>מחזקי תורה - א</t>
  </si>
  <si>
    <t>קובץ כולל מרכז התורה קרית צאנז</t>
  </si>
  <si>
    <t>מחיל אל חיל</t>
  </si>
  <si>
    <t>מחיצות העירוב</t>
  </si>
  <si>
    <t>מושקוביץ, מנחם בן ישעיהו הכהן</t>
  </si>
  <si>
    <t>מחיר יין - 4 כר'</t>
  </si>
  <si>
    <t>מחל'ב האר"ץ [החדש] - 21</t>
  </si>
  <si>
    <t>בטאון לתורת חכמי ארם צובה</t>
  </si>
  <si>
    <t>מחלב הארץ</t>
  </si>
  <si>
    <t>עבאדי, יוסף בן עזרא (עורך)</t>
  </si>
  <si>
    <t>דרושים, משנה, קבלה, שאלות ותשובות, תלמוד בבלי, תנ"ך</t>
  </si>
  <si>
    <t>מחמדי ארץ - 7 כר'</t>
  </si>
  <si>
    <t>עדני, חיים גד</t>
  </si>
  <si>
    <t>מחמדי המעשיות</t>
  </si>
  <si>
    <t>מחמדי התורה</t>
  </si>
  <si>
    <t>מחמדי שמים - 2 כר'</t>
  </si>
  <si>
    <t>קוריני, יעיש בן בן מוסא</t>
  </si>
  <si>
    <t>מחמדיה מימי קדם - 4 כר'</t>
  </si>
  <si>
    <t>אסטרייכר, שמאי מיכאל</t>
  </si>
  <si>
    <t>מחמצת שאסרה תורה מהי</t>
  </si>
  <si>
    <t>אייזנברג, מנחם מנדל</t>
  </si>
  <si>
    <t>מחנ"ה שיל"ו (כתב יד)</t>
  </si>
  <si>
    <t>חיון, שלמה</t>
  </si>
  <si>
    <t>מחנה אברהם - כלים</t>
  </si>
  <si>
    <t>פוגל, אברהם יוסף בן יעקב לייב</t>
  </si>
  <si>
    <t>מחנה אהרן</t>
  </si>
  <si>
    <t>חאיון, אהרן בן אהרן</t>
  </si>
  <si>
    <t>מחנה אפרים &lt;ציון יעקב&gt;</t>
  </si>
  <si>
    <t>נבון, אפרים בן אהרן - סופר, יעקב חיים בן יצחק שלום</t>
  </si>
  <si>
    <t>מחנה אפרים &lt;הארות חיים&gt;</t>
  </si>
  <si>
    <t>נבון, אפרים בן אהרן</t>
  </si>
  <si>
    <t>מחנה אפרים &lt;מהדורת ספרי אור החיים&gt;</t>
  </si>
  <si>
    <t>מחנה אפרים</t>
  </si>
  <si>
    <t>מחנה ארון</t>
  </si>
  <si>
    <t>היילפרין, אהרן בן נתן נטע</t>
  </si>
  <si>
    <t>מחנה ד"ן</t>
  </si>
  <si>
    <t>נחמיאש, דוד בן אברהם</t>
  </si>
  <si>
    <t>דרושים, הלכה ומנהג, הלכה ומנהג, שלחן ערוך ומפרשיו, שלחן ערוך ומפרשיו, תנ"ך</t>
  </si>
  <si>
    <t>מחנה דוד</t>
  </si>
  <si>
    <t>מחנה דן - 3 כר'</t>
  </si>
  <si>
    <t>בינדר, דן בן משה זאב</t>
  </si>
  <si>
    <t>מחנה דן</t>
  </si>
  <si>
    <t>פרוסטיץ, דניאל בן בנימין וולף</t>
  </si>
  <si>
    <t>קולמן, אהרן דן</t>
  </si>
  <si>
    <t>מחנה הלויים - א-ב</t>
  </si>
  <si>
    <t>מחנה חיים - 5 כר'</t>
  </si>
  <si>
    <t>תרכ"ב - תרמ"ה</t>
  </si>
  <si>
    <t>מחנה יאודה א - ב</t>
  </si>
  <si>
    <t>מחנה יהודה</t>
  </si>
  <si>
    <t>יהודה בן אהרן חיים מווילייקא</t>
  </si>
  <si>
    <t>מחנה יהודה - 2 כר'</t>
  </si>
  <si>
    <t>תר"מ - תרס"ג</t>
  </si>
  <si>
    <t>מחנה יוסף - 12 כר'</t>
  </si>
  <si>
    <t>מחנה יצחק</t>
  </si>
  <si>
    <t>מחנה ישראל</t>
  </si>
  <si>
    <t>מחנה ישראל - 3 כר'</t>
  </si>
  <si>
    <t>דזימיטרובסקי, ישראל צבי בן אברהם הלוי</t>
  </si>
  <si>
    <t>מחנה ישראל - 2 כר'</t>
  </si>
  <si>
    <t>תרמ"ד - תרמ"ו</t>
  </si>
  <si>
    <t>מחנה ישראל - דיני מליחה, חלה, נדה, הדלקה</t>
  </si>
  <si>
    <t>פרנק, יששכר דוב הלוי</t>
  </si>
  <si>
    <t>מחנה ישראל, עוגת אליהו</t>
  </si>
  <si>
    <t>ישראל, משה - ישראל, אליהו בן משה</t>
  </si>
  <si>
    <t>מחנה כהונה</t>
  </si>
  <si>
    <t>בישקוביץ, חיים נחמן בן יעקב צבי הכהן</t>
  </si>
  <si>
    <t>מחנה לוי</t>
  </si>
  <si>
    <t>רוזנפלד, נחמיה בן נתן הלוי</t>
  </si>
  <si>
    <t>מחנה ראובן - 4 כר'</t>
  </si>
  <si>
    <t>וובשת, ראובן</t>
  </si>
  <si>
    <t>מחנה ראובן</t>
  </si>
  <si>
    <t>ראובן זליג בן ישראל אליעזר</t>
  </si>
  <si>
    <t>מחנה ראובן - 2 כר'</t>
  </si>
  <si>
    <t>תימצטית, ראובן בן יעיש</t>
  </si>
  <si>
    <t>מחנה שכינה</t>
  </si>
  <si>
    <t>כהן, אליעזר בן גבריאל</t>
  </si>
  <si>
    <t>מחניך קדוש - 2 כר'</t>
  </si>
  <si>
    <t>מחניך - א</t>
  </si>
  <si>
    <t>בטאון הרבנות הצבאית</t>
  </si>
  <si>
    <t>מחנים</t>
  </si>
  <si>
    <t>למדן, יצחק בן יהודה אריה</t>
  </si>
  <si>
    <t>מחנך לדורות - 2 כר'</t>
  </si>
  <si>
    <t>דסלר, אליהו אליעזר (עליו)</t>
  </si>
  <si>
    <t>מחסה ומגן &lt;ספר הזכות&gt;</t>
  </si>
  <si>
    <t>מחסה ועז</t>
  </si>
  <si>
    <t>מחפש את שביל החינוך</t>
  </si>
  <si>
    <t>מחצית השקל - 5 כר'</t>
  </si>
  <si>
    <t>יאגיד, משה</t>
  </si>
  <si>
    <t>תרל"ג - תרע"ג</t>
  </si>
  <si>
    <t>מחצית השקל - 14 כר'</t>
  </si>
  <si>
    <t>קלין, שמואל בן נתן נטע הלוי</t>
  </si>
  <si>
    <t>מחקק ספון - 8 כר'</t>
  </si>
  <si>
    <t>מחקר מקיף על כתב ידו של הרמב"ם</t>
  </si>
  <si>
    <t>ששון, סלימאן דוד</t>
  </si>
  <si>
    <t>מחקרי אבות</t>
  </si>
  <si>
    <t>מחקרי אליעזר</t>
  </si>
  <si>
    <t>בשן, אליעזר</t>
  </si>
  <si>
    <t>מחקרי ארץ &lt;שו"ת&gt; - 8 כר'</t>
  </si>
  <si>
    <t>מחקרי ארץ אבותינו</t>
  </si>
  <si>
    <t>מחקרי ארץ - &lt;שו"ת&gt; א</t>
  </si>
  <si>
    <t>הכהן, רזיאל בן שמעון</t>
  </si>
  <si>
    <t>מחקרי ארץ - לקט חקירות בענייני חג הסוכות</t>
  </si>
  <si>
    <t>מחקרי ארץ</t>
  </si>
  <si>
    <t>מחקרי ארץ - 2 כר'</t>
  </si>
  <si>
    <t>מחקרי חסידות</t>
  </si>
  <si>
    <t>מחקרי לשון וספרות - 3 כר'</t>
  </si>
  <si>
    <t>אלוני, נחמיה</t>
  </si>
  <si>
    <t>מחקרי מרדכי</t>
  </si>
  <si>
    <t>שיף, מרדכי בן חיים צבי</t>
  </si>
  <si>
    <t>מחקרים בביבליוגרפיה יהודית ובפיוטי ימי הביניים</t>
  </si>
  <si>
    <t>שמלצר, מנחם חיים</t>
  </si>
  <si>
    <t>מחקרים בסידורי תימן - 4 כר'</t>
  </si>
  <si>
    <t>מחקרים בספרות הגאונים</t>
  </si>
  <si>
    <t>אפטוביצר, אביגדור בן משה אהרן</t>
  </si>
  <si>
    <t>מחקרים בתולדות היהודים בארץ ישראל ובאיטליה</t>
  </si>
  <si>
    <t>מחקרים בתלמוד</t>
  </si>
  <si>
    <t>מחקרים בתפילה</t>
  </si>
  <si>
    <t>קארל, צבי</t>
  </si>
  <si>
    <t>מחקרים ומקורות - ב</t>
  </si>
  <si>
    <t>רוזנטל, יהודה</t>
  </si>
  <si>
    <t>מחקרים שונים בתקופת הגאונים</t>
  </si>
  <si>
    <t>מחר יהיה מאוחר</t>
  </si>
  <si>
    <t>המרכז למודעות חרדית</t>
  </si>
  <si>
    <t>מחרוזת</t>
  </si>
  <si>
    <t>בראון, רות  - גור אריה, רות</t>
  </si>
  <si>
    <t>בראון, רות - גור אריה, רות</t>
  </si>
  <si>
    <t>מחשבה אחת</t>
  </si>
  <si>
    <t>מחשבה אחת - 5 כר'</t>
  </si>
  <si>
    <t>מחשבה ולשון</t>
  </si>
  <si>
    <t>מכסיקו,</t>
  </si>
  <si>
    <t>מחשבה וערכים ביהדות</t>
  </si>
  <si>
    <t>שפירא, יעקב בן נחום</t>
  </si>
  <si>
    <t>מחשבה למעשה</t>
  </si>
  <si>
    <t>בוטרמן, יהודה</t>
  </si>
  <si>
    <t>מחשבות אברהם</t>
  </si>
  <si>
    <t>אברהם בן דוד מאישפאנמעזע</t>
  </si>
  <si>
    <t>מחשבות אדם</t>
  </si>
  <si>
    <t>רוזנברג, אברהם בן ברוך</t>
  </si>
  <si>
    <t>מחשבות בעצה</t>
  </si>
  <si>
    <t>ווייסמאן, יעקב נתן בן יוסף</t>
  </si>
  <si>
    <t>תרס"ב - תרס"ז</t>
  </si>
  <si>
    <t>מחשבות האדם</t>
  </si>
  <si>
    <t>דוידוביץ, משה צבי בן יעקב דוב</t>
  </si>
  <si>
    <t>מחשבות חרוץ &lt;מהדורת הר ברכה&gt;</t>
  </si>
  <si>
    <t>מחשבות חרוץ - 2 כר'</t>
  </si>
  <si>
    <t>מחשבות ישראל</t>
  </si>
  <si>
    <t>וואלפיש, ישראל יעקב בן ישעיה</t>
  </si>
  <si>
    <t>מחשבות לב - א</t>
  </si>
  <si>
    <t>הלפרט, ליבוש בער</t>
  </si>
  <si>
    <t>מחשבות משה</t>
  </si>
  <si>
    <t>בוכנר, משה בן אברהם יהושע השל</t>
  </si>
  <si>
    <t>מחשבות שלום</t>
  </si>
  <si>
    <t>מחשבות שמואל</t>
  </si>
  <si>
    <t>שייטלמאן, שמואל בן משה</t>
  </si>
  <si>
    <t>וילקובישק Vilkavisk</t>
  </si>
  <si>
    <t>מחשבת אדם - 2 כר'</t>
  </si>
  <si>
    <t>ליווי, אברהם דוד משה</t>
  </si>
  <si>
    <t>מחשבת אמונה</t>
  </si>
  <si>
    <t>מחשבת בנימין</t>
  </si>
  <si>
    <t>מחשבת בצלאל - 2 כר'</t>
  </si>
  <si>
    <t>מחשבת בצלאל</t>
  </si>
  <si>
    <t>הר-שושן, בצלאל בן יהושע השיל</t>
  </si>
  <si>
    <t>דרושים, מחשבה ומוסר, נושאים שונים, תולדות עם ישראל, תלמוד בבלי</t>
  </si>
  <si>
    <t>מחשבת היהדות</t>
  </si>
  <si>
    <t>מחשבת המשנה</t>
  </si>
  <si>
    <t>אייזנשטיין, מרדכי בן נפתלי צבי</t>
  </si>
  <si>
    <t>מחשבת העבודה</t>
  </si>
  <si>
    <t>שאטין, שמעון</t>
  </si>
  <si>
    <t>מחשבת הצבי</t>
  </si>
  <si>
    <t>אורטנר, צבי בן נתן יהודה</t>
  </si>
  <si>
    <t>מחשבת הקודש - 2 כר'</t>
  </si>
  <si>
    <t>הרשברג, אברהם מרדכי בן אברהם מרדכי</t>
  </si>
  <si>
    <t>מחשבת השבת</t>
  </si>
  <si>
    <t>כהן, שמואל בן דוד</t>
  </si>
  <si>
    <t>ירושד</t>
  </si>
  <si>
    <t>מחשבת התורה - 2 כר'</t>
  </si>
  <si>
    <t>מחשבת התקופה &lt;לחושבי שמו&gt;</t>
  </si>
  <si>
    <t>מחשבת זקנים</t>
  </si>
  <si>
    <t>מחשבת חיים - 3 כר'</t>
  </si>
  <si>
    <t>אליהו, משה חיים בן שלמה</t>
  </si>
  <si>
    <t>מחשבת חיים - נדה</t>
  </si>
  <si>
    <t>רוט, אהרן בן אליהו</t>
  </si>
  <si>
    <t>מחשבת חיים - 2 כר'</t>
  </si>
  <si>
    <t>מחשבת יוסף - 2 כר'</t>
  </si>
  <si>
    <t>וינגורט, יוסף מאיר</t>
  </si>
  <si>
    <t>מחשבת כהן</t>
  </si>
  <si>
    <t>כהן, ניב בן איתן</t>
  </si>
  <si>
    <t>מחשבת לב - 2 כר'</t>
  </si>
  <si>
    <t>אפשטיין, מרדכי לייב בן יעקב נחום</t>
  </si>
  <si>
    <t>מחשבת מוסר - 3 כר'</t>
  </si>
  <si>
    <t>מחשבת מרדכי - תפארת יעקב</t>
  </si>
  <si>
    <t>בנט, מרדכי בן אברהם ביהא - יונגרייז, יהושע צבי הלוי</t>
  </si>
  <si>
    <t>מחשבת מרדכי</t>
  </si>
  <si>
    <t>מחשבת מרדכי - 2 כר'</t>
  </si>
  <si>
    <t>גרינעס, מרדכי זאב בן משה</t>
  </si>
  <si>
    <t>מישיגן</t>
  </si>
  <si>
    <t>מחשבת משה  א-ב &lt;ספר המצות לרמב"ם&gt;</t>
  </si>
  <si>
    <t>זיו, משה בן גרשון מנדל</t>
  </si>
  <si>
    <t>מחשבת נחום</t>
  </si>
  <si>
    <t>רבינוביץ, מנחם נחום בן פנחס מקנטקוזבה</t>
  </si>
  <si>
    <t>מחשבת סופר- בורר</t>
  </si>
  <si>
    <t>ברוורמן, ישראל דוד בן שלמה</t>
  </si>
  <si>
    <t>מחשבת עם</t>
  </si>
  <si>
    <t>רלב"ג, עמנואל בן משה</t>
  </si>
  <si>
    <t>מחשבת פנים - זבחים ומעילה</t>
  </si>
  <si>
    <t>ביטאן, רפאל ברוך בן שלום</t>
  </si>
  <si>
    <t>מחשבת צדיק</t>
  </si>
  <si>
    <t>מחשבת ציון - 2 כר'</t>
  </si>
  <si>
    <t>אפשטיין, בן ציון בן שלמה משה</t>
  </si>
  <si>
    <t>מחשבת ציון</t>
  </si>
  <si>
    <t>פרידמן, בן ציון</t>
  </si>
  <si>
    <t>מחשבת שבת</t>
  </si>
  <si>
    <t>מחשבת שלמה</t>
  </si>
  <si>
    <t>חשס"ג</t>
  </si>
  <si>
    <t>קוק, שלמה הכהן</t>
  </si>
  <si>
    <t>מחשבת - לג</t>
  </si>
  <si>
    <t>מחשוף הלבן &lt;המבואר&gt; - 5 כר'</t>
  </si>
  <si>
    <t>מחשוף הלבן</t>
  </si>
  <si>
    <t>פוזנר, חנינה שמחה</t>
  </si>
  <si>
    <t>מחשף הלבן &lt;מהדורת מכון באר יעקב&gt; - 5 כר'</t>
  </si>
  <si>
    <t>מחשף הלבן</t>
  </si>
  <si>
    <t>מחשקים כסף</t>
  </si>
  <si>
    <t>גאטינייו, בנבנישתי בן משה</t>
  </si>
  <si>
    <t>מטבח כהלכה</t>
  </si>
  <si>
    <t>אדרעי, יוסף יצחק בן נסים אליהו</t>
  </si>
  <si>
    <t>מטבע הברכות</t>
  </si>
  <si>
    <t>מטבע של אברהם</t>
  </si>
  <si>
    <t>מטבע של אברהם - ב</t>
  </si>
  <si>
    <t>ראזינג, אברהם אפרים בן יעקב דוד</t>
  </si>
  <si>
    <t>מטבע של אש</t>
  </si>
  <si>
    <t>הגר, מנחם מנדל בן משה יהושע</t>
  </si>
  <si>
    <t>מטבעות ארץ ישראל - א</t>
  </si>
  <si>
    <t>נרקיס, מרדכי בן יקותיאל דוד</t>
  </si>
  <si>
    <t>מטבעות היהודים</t>
  </si>
  <si>
    <t>רייפנברג, אברהם אדולף</t>
  </si>
  <si>
    <t>רפאלי, שמואל בן משה</t>
  </si>
  <si>
    <t>מטה אהרן - 2 כר'</t>
  </si>
  <si>
    <t>אהרן הלוי</t>
  </si>
  <si>
    <t>תקע"ט - תק"פ</t>
  </si>
  <si>
    <t>אנסבכר, אהרן בן יששכר</t>
  </si>
  <si>
    <t>מטה אהרן</t>
  </si>
  <si>
    <t>בן חסין, אהרן</t>
  </si>
  <si>
    <t>ווישנביץ, דוד אהרן בן פ</t>
  </si>
  <si>
    <t>זלדנר, אהרן דוד בן חיים הכהן</t>
  </si>
  <si>
    <t>מטה אהרן - פסח וסוכה</t>
  </si>
  <si>
    <t>כולל דברי אהרן טעפליק</t>
  </si>
  <si>
    <t>מוסדות דברי אהרן טעפליק</t>
  </si>
  <si>
    <t>פיצ'ניק, אהרן הלוי</t>
  </si>
  <si>
    <t>קרויס, אהרן בן יעקב קופל</t>
  </si>
  <si>
    <t>קרייזר, אהרן גדליה</t>
  </si>
  <si>
    <t>מטה אהרן - 7 כר'</t>
  </si>
  <si>
    <t>רוזנטל, משה אהרן בן אברהם דוד</t>
  </si>
  <si>
    <t>מטה אפרים &lt;אלף למטה, קצה המטה&gt; - 2 כר'</t>
  </si>
  <si>
    <t>הלכה ומנהג, הלכה ומנהג, מועדי ישראל, שלחן ערוך ומפרשיו</t>
  </si>
  <si>
    <t>מטה אפרים &lt;דפו"ר&gt;</t>
  </si>
  <si>
    <t>מטה אפרים השלם &lt;אלף למטה, אלף המגן&gt;</t>
  </si>
  <si>
    <t>מטה אפרים</t>
  </si>
  <si>
    <t>ארדיט, אפרים בן אברהם</t>
  </si>
  <si>
    <t>[תר"ב],</t>
  </si>
  <si>
    <t>מטה אשר</t>
  </si>
  <si>
    <t>שלם, אשר בן עמנואל</t>
  </si>
  <si>
    <t>דרושים, הלכה ומנהג, נושאים שונים, שאלות ותשובות, תלמוד בבלי, תנ"ך</t>
  </si>
  <si>
    <t>מטה אשר - 3 כר'</t>
  </si>
  <si>
    <t>שרייבר, אשר זאב בן צבי</t>
  </si>
  <si>
    <t>מטה בנימין</t>
  </si>
  <si>
    <t>בוסל, בצלאל</t>
  </si>
  <si>
    <t>מטה דן &lt;כוזרי שני&gt; - 4 כר'</t>
  </si>
  <si>
    <t>ורשה Warsau</t>
  </si>
  <si>
    <t>מטה דן</t>
  </si>
  <si>
    <t>גרינבלט</t>
  </si>
  <si>
    <t>[תרי"ז]</t>
  </si>
  <si>
    <t>מטה האלקים - 2 כר'</t>
  </si>
  <si>
    <t>מטה יהודה</t>
  </si>
  <si>
    <t>אופנהיים, לייב בן שמואל</t>
  </si>
  <si>
    <t>מטה יהודה - 4 כר'</t>
  </si>
  <si>
    <t>מטה יונתן</t>
  </si>
  <si>
    <t>מטה יוסף  &lt;מהדורת טוב מצרים&gt; - 2 כר'</t>
  </si>
  <si>
    <t>נזיר, יוסף בן חיים משה הלוי</t>
  </si>
  <si>
    <t>מטה יוסף</t>
  </si>
  <si>
    <t>יקואל, יוסף בן יצחק</t>
  </si>
  <si>
    <t>מטה יוסף - 2 כר'</t>
  </si>
  <si>
    <t>תע"ז - תפ"ו</t>
  </si>
  <si>
    <t>פיש, יוסף</t>
  </si>
  <si>
    <t>מטה יחיאל - 3 כר'</t>
  </si>
  <si>
    <t>שלזינגר, אליעזר בן יחיאל</t>
  </si>
  <si>
    <t>הלכה ומנהג, משנה, תלמוד בבלי, תלמוד ירושלמי</t>
  </si>
  <si>
    <t>מטה יששכר</t>
  </si>
  <si>
    <t>פרנקל, יששכר ברמאן בן דוד יצחק הלוי</t>
  </si>
  <si>
    <t>דרושים, דרושים, קבלה</t>
  </si>
  <si>
    <t>מטה לוי - 2 כר'</t>
  </si>
  <si>
    <t>הורוויץ, מרדכי בן יוסף חיים הלוי</t>
  </si>
  <si>
    <t>תרנ"א - תרצ"ג</t>
  </si>
  <si>
    <t>טורק, דב הלוי</t>
  </si>
  <si>
    <t>מטה לוי</t>
  </si>
  <si>
    <t>מטה לחם</t>
  </si>
  <si>
    <t>מטה מנשה</t>
  </si>
  <si>
    <t>מטה משה &lt;באר מרדכי&gt;</t>
  </si>
  <si>
    <t>משה בן אברהם, מפרמישלא</t>
  </si>
  <si>
    <t>דרושים, הלכה ומנהג, מחשבה ומוסר, נושאים שונים, נושאים שונים, תולדות עם ישראל</t>
  </si>
  <si>
    <t>מטה משה</t>
  </si>
  <si>
    <t>מטה משה - 4 כר'</t>
  </si>
  <si>
    <t>מטה משה - מוקצה</t>
  </si>
  <si>
    <t>נבון, יאיר</t>
  </si>
  <si>
    <t>שפיוואק, משה מנחם מענדיל</t>
  </si>
  <si>
    <t>מטה נפתלי וליקוטי בית אפרים</t>
  </si>
  <si>
    <t>תרמ"ג - תרמ"ז</t>
  </si>
  <si>
    <t>מטה נפתלי - 2 כר'</t>
  </si>
  <si>
    <t>מטה עזך - מכות</t>
  </si>
  <si>
    <t>מימון, עוזי (עורך)</t>
  </si>
  <si>
    <t>מטה ראובן</t>
  </si>
  <si>
    <t>גבאי, ראובן בן ישראל</t>
  </si>
  <si>
    <t>עבו, מימון בן ראובן</t>
  </si>
  <si>
    <t>קליין, ראובן חיים בן צבי דוב</t>
  </si>
  <si>
    <t>ורנוב Vranov Nad To</t>
  </si>
  <si>
    <t>מטה שמעון - 3 כר'</t>
  </si>
  <si>
    <t>תרפ"ג - תר"צ</t>
  </si>
  <si>
    <t>מרדכי שמעון בן שלמה</t>
  </si>
  <si>
    <t>תקנ"ז - תקע"ט</t>
  </si>
  <si>
    <t>מטוב נהורך</t>
  </si>
  <si>
    <t>מטיב נגן</t>
  </si>
  <si>
    <t>אברהם הכהן, מאנאנייב</t>
  </si>
  <si>
    <t>מטיב שפה - סליחות מבוארות</t>
  </si>
  <si>
    <t>פירשטענטהאל, רפאל בן ישראל</t>
  </si>
  <si>
    <t>תקפ"ג-תקפ"ד</t>
  </si>
  <si>
    <t>מטל השבת</t>
  </si>
  <si>
    <t>רענן, אליהו אליעזר</t>
  </si>
  <si>
    <t>מטל השמים - הבדלה</t>
  </si>
  <si>
    <t>אברהם, טל</t>
  </si>
  <si>
    <t>מטל השמים</t>
  </si>
  <si>
    <t>מטל השמים - מלאכות</t>
  </si>
  <si>
    <t>הפטקה, יעקב שלום מאיר</t>
  </si>
  <si>
    <t>מטל השמים - 6 כר'</t>
  </si>
  <si>
    <t>טולידאנו, מרדכי בן יצחק</t>
  </si>
  <si>
    <t>כ"ץ, אברהם שלמה</t>
  </si>
  <si>
    <t>ליכטשטיין, מרדכי בן אברהם דוב</t>
  </si>
  <si>
    <t>מטמוני השבת  - בורר</t>
  </si>
  <si>
    <t>וינד, ישכר דב בן אלחנן</t>
  </si>
  <si>
    <t>מטמוני זהב</t>
  </si>
  <si>
    <t>מטמוני מסתרים - א</t>
  </si>
  <si>
    <t>ברודי, חיים בן שלמה זלמן</t>
  </si>
  <si>
    <t>תרנ"ד - תרס"ט</t>
  </si>
  <si>
    <t>מטמונים בשבת</t>
  </si>
  <si>
    <t>שלמון, דוד הלוי</t>
  </si>
  <si>
    <t>מטמונים</t>
  </si>
  <si>
    <t>מטמין ומבשל בשבת</t>
  </si>
  <si>
    <t>מטע אהלים</t>
  </si>
  <si>
    <t>מטעי מאיר</t>
  </si>
  <si>
    <t>דרושים, תלמוד בבלי, תלמוד בבלי, תלמוד ירושלמי</t>
  </si>
  <si>
    <t>מטעי משה</t>
  </si>
  <si>
    <t>אהרונזון, יוסף משה בן אהרן</t>
  </si>
  <si>
    <t>מטעם המלך - 4 כר'</t>
  </si>
  <si>
    <t>עמרם, חיים בן שלמה</t>
  </si>
  <si>
    <t>תקפ"ט - תרס"ח</t>
  </si>
  <si>
    <t>מטעמי אשר - א</t>
  </si>
  <si>
    <t>מטעמי יעקב</t>
  </si>
  <si>
    <t>ליטווין, יעקב זאב</t>
  </si>
  <si>
    <t>תש"ך?</t>
  </si>
  <si>
    <t>מטעמי יצחק &lt;מהדורה חדשה&gt; - 2 כר'</t>
  </si>
  <si>
    <t>הורוויץ, יצחק בן יעקב יוקל הלוי - מנדלבוים דוד אברהם (עורך)</t>
  </si>
  <si>
    <t>מטעמי יצחק - 2 כר'</t>
  </si>
  <si>
    <t>בורשטיין, יצחק בן שלמה</t>
  </si>
  <si>
    <t>מטעמי יצחק</t>
  </si>
  <si>
    <t>גלדר, אייזיק בן ליב יהודה פון</t>
  </si>
  <si>
    <t>הלכה ומנהג, משנה, משנה, שאלות ותשובות, שלחן ערוך ומפרשיו, תלמוד בבלי, תלמוד בבלי, תנ"ך</t>
  </si>
  <si>
    <t>הורוויץ, יצחק בן יעקב יוקל הלוי</t>
  </si>
  <si>
    <t>תרס"ד - תרס"ה</t>
  </si>
  <si>
    <t>יצחק יונה בן אליעזר</t>
  </si>
  <si>
    <t>מטעמי מגדני יעקב</t>
  </si>
  <si>
    <t>יעקב קופל בן משה סג"ל</t>
  </si>
  <si>
    <t>מטעמי מרדכי</t>
  </si>
  <si>
    <t>קאברע,  איתן עמי בן מרדכי</t>
  </si>
  <si>
    <t>מטעמים החדש</t>
  </si>
  <si>
    <t>מטעמים לאבי</t>
  </si>
  <si>
    <t>ווייס, יעקב בן אברהם יוסף</t>
  </si>
  <si>
    <t>מטעמים</t>
  </si>
  <si>
    <t>מטעמים - 2 כר'</t>
  </si>
  <si>
    <t>מטפחת ספרים &lt;עיטור ספרים&gt;</t>
  </si>
  <si>
    <t>מטר השמים &lt;על התורה&gt; - 3 כר'</t>
  </si>
  <si>
    <t>מטר השמים - 4 כר'</t>
  </si>
  <si>
    <t>מטרת ההגדה</t>
  </si>
  <si>
    <t>מטרת החיים</t>
  </si>
  <si>
    <t>מטרת היסורים</t>
  </si>
  <si>
    <t>מטרת השבת</t>
  </si>
  <si>
    <t>מי אהרון</t>
  </si>
  <si>
    <t>מי אשברן</t>
  </si>
  <si>
    <t>שהרבני, נסים</t>
  </si>
  <si>
    <t>מי באר ישעיהו &lt;תליתא&gt;</t>
  </si>
  <si>
    <t>מי באר ישעיהו - 3 כר'</t>
  </si>
  <si>
    <t>מי באר מים חיים - 2 כר'</t>
  </si>
  <si>
    <t>הופמאן, משה יוסף בן מיכאל</t>
  </si>
  <si>
    <t>מי באר</t>
  </si>
  <si>
    <t>אופנהיימר, בר בן יצחק</t>
  </si>
  <si>
    <t>מי באר - 8 כר'</t>
  </si>
  <si>
    <t>גומבו, אליהו</t>
  </si>
  <si>
    <t>זיסקינד, ישראל משה בן יהושע אליהו</t>
  </si>
  <si>
    <t>מי באר - 10 כר'</t>
  </si>
  <si>
    <t>יעקבזון, חיים מנחם בן ישראל</t>
  </si>
  <si>
    <t>מי באר - ערבי פסחים</t>
  </si>
  <si>
    <t>פישר, מאיר יהודה</t>
  </si>
  <si>
    <t>פסח, אברהם יוסף בן מנחם</t>
  </si>
  <si>
    <t>מי באר - 3 כר'</t>
  </si>
  <si>
    <t>קובץ - ישיבת באר יצחק</t>
  </si>
  <si>
    <t>קובץ ישיבת כנסת חזקיהו</t>
  </si>
  <si>
    <t>מי גבא</t>
  </si>
  <si>
    <t>היילפרין, גדליה בן יחיאל</t>
  </si>
  <si>
    <t>מי דבש - סוטה</t>
  </si>
  <si>
    <t>מי דבש</t>
  </si>
  <si>
    <t>סופר, יוסף משה בן שמחה בונם דוד</t>
  </si>
  <si>
    <t>הלכה ומנהג, מועדי ישראל, משנה, שלחן ערוך ומפרשיו, תלמוד בבלי, תלמוד בבלי, תנ"ך</t>
  </si>
  <si>
    <t>מי דבש - 6 כר'</t>
  </si>
  <si>
    <t>קדוש, משה בן דוד</t>
  </si>
  <si>
    <t>מי דעת - טהרות</t>
  </si>
  <si>
    <t>מי דעת - 2 כר'</t>
  </si>
  <si>
    <t>כהן ארזי, ישראל מאיר בן רפאל</t>
  </si>
  <si>
    <t>מי דעת</t>
  </si>
  <si>
    <t>נחומי, פנחס בן מרדכי</t>
  </si>
  <si>
    <t>מי האיש</t>
  </si>
  <si>
    <t>אזריאל, אליהו</t>
  </si>
  <si>
    <t>מי הדעת</t>
  </si>
  <si>
    <t>מי הדעת - 4 כר'</t>
  </si>
  <si>
    <t>המניק, ישראל מאיר</t>
  </si>
  <si>
    <t>מי הדעת - 2 כר'</t>
  </si>
  <si>
    <t>מי הדעת - עוקצין</t>
  </si>
  <si>
    <t>מרגולין, ידידיה בן שמעון</t>
  </si>
  <si>
    <t>מי הדעת - ב</t>
  </si>
  <si>
    <t>סידור כוונות מכון ים החכמה</t>
  </si>
  <si>
    <t>מי החג</t>
  </si>
  <si>
    <t>פישמאן, גרשון חנוך בן משה יהודה ליב</t>
  </si>
  <si>
    <t>מי החסד - 2 כר'</t>
  </si>
  <si>
    <t>תרמ"א - תרמ"ה</t>
  </si>
  <si>
    <t>מי הים</t>
  </si>
  <si>
    <t>יצחק מאיר מסוכטשוב</t>
  </si>
  <si>
    <t>ליפשיץ, יחיאל מאיר בן יעקב צבי</t>
  </si>
  <si>
    <t>מי הים - רוב וחזקה</t>
  </si>
  <si>
    <t>מינצר, מרדכי</t>
  </si>
  <si>
    <t>מי הנחל</t>
  </si>
  <si>
    <t>מי השילוח &lt;עם גליונות ר' ירוחם ליינער כת"י&gt; - א</t>
  </si>
  <si>
    <t>ליינר, מרדכי יוסף בן יעקב</t>
  </si>
  <si>
    <t>תר"כ - תרפ"ב</t>
  </si>
  <si>
    <t>מי השילוח &lt;מקור נפתח&gt; - הל' מקוואות</t>
  </si>
  <si>
    <t>מי השלוח - 3 כר'</t>
  </si>
  <si>
    <t>מי השלח</t>
  </si>
  <si>
    <t>מונסונייגו, רפאל אהרן בן ידידיה משה</t>
  </si>
  <si>
    <t>ציפסר, מאיר בן יעקב</t>
  </si>
  <si>
    <t>מי השליח</t>
  </si>
  <si>
    <t>רבינוביץ, ישראל בן אהרון</t>
  </si>
  <si>
    <t>מי זהב</t>
  </si>
  <si>
    <t>מי זהב - א</t>
  </si>
  <si>
    <t>וויס, משה יעקב בן שמואל</t>
  </si>
  <si>
    <t>מי טהרה</t>
  </si>
  <si>
    <t>היילפרין, יצחק בן אליעזר ליפמאן</t>
  </si>
  <si>
    <t>מי טהרה - 2 כר'</t>
  </si>
  <si>
    <t>וינטר, יוסף דוב בן יצחק מרדכי</t>
  </si>
  <si>
    <t>מי טוהר</t>
  </si>
  <si>
    <t>זכריהו, מרדכי בן נתנאל</t>
  </si>
  <si>
    <t>מי יהודה &lt;מהדורה חדשה&gt; - 2 כר'</t>
  </si>
  <si>
    <t>מי יהודה - 2 כר'</t>
  </si>
  <si>
    <t>תרצ"ד - תש"ג</t>
  </si>
  <si>
    <t>מי יוסף</t>
  </si>
  <si>
    <t>מי יזמן</t>
  </si>
  <si>
    <t>מי ימלל</t>
  </si>
  <si>
    <t>מרציאנו, יהודה</t>
  </si>
  <si>
    <t>מי ימצא</t>
  </si>
  <si>
    <t>מי ימצא - סוכה</t>
  </si>
  <si>
    <t>שורש, משה יוסף בן יצחק צבי</t>
  </si>
  <si>
    <t>מי ירפא לך</t>
  </si>
  <si>
    <t>מי יתנך כאח לי</t>
  </si>
  <si>
    <t>מי כיור</t>
  </si>
  <si>
    <t>מי כמוך (לשבת זכור)</t>
  </si>
  <si>
    <t>מי מועד - מועד קטן</t>
  </si>
  <si>
    <t>זקטונסקי, מרדכייוסף</t>
  </si>
  <si>
    <t>מי מיכל</t>
  </si>
  <si>
    <t>זאבלודובסקי, יחיאל מיכל בן חיים</t>
  </si>
  <si>
    <t>מי מלא</t>
  </si>
  <si>
    <t>מי מנוחות &lt;מהדורה חדשה&gt; - 2 כר'</t>
  </si>
  <si>
    <t>בירדוגו, רפאל בן מרדכי</t>
  </si>
  <si>
    <t>מי מנוחות</t>
  </si>
  <si>
    <t>מי מנוחות - 16 כר'</t>
  </si>
  <si>
    <t>כהנא, נחמן בן יחזקאל שרגא</t>
  </si>
  <si>
    <t>מי מנוחות - 11 כר'</t>
  </si>
  <si>
    <t>מי מנחות</t>
  </si>
  <si>
    <t>רצון, יוסף</t>
  </si>
  <si>
    <t>מי מעין</t>
  </si>
  <si>
    <t>ווילדמאן, מרדכי יוסף בן אלימלך</t>
  </si>
  <si>
    <t>דרושים, דרושים, משנה, נושאים שונים, תלמוד בבלי, תלמוד בבלי, תנ"ך</t>
  </si>
  <si>
    <t>מונדרוביץ, יצחק בן משה</t>
  </si>
  <si>
    <t>מי מעינות - 4 כר'</t>
  </si>
  <si>
    <t>מזוז, מאיר יששכר</t>
  </si>
  <si>
    <t>מי מרום - 20 כר'</t>
  </si>
  <si>
    <t>מי מרום</t>
  </si>
  <si>
    <t>טלשווסקי, לוי יצחק</t>
  </si>
  <si>
    <t>מי משה</t>
  </si>
  <si>
    <t>כהנא, משה יעקב בן שלמה</t>
  </si>
  <si>
    <t>מי נדה</t>
  </si>
  <si>
    <t>מי נח</t>
  </si>
  <si>
    <t>ברנשטיין, נח טוביה בן יוסף יהודה הכהן</t>
  </si>
  <si>
    <t>סומברג, אליקים נח גציל</t>
  </si>
  <si>
    <t>קניגסברג, נח בן לוי יצחק</t>
  </si>
  <si>
    <t>רבינוביץ, נח בן יחיאל מיכל</t>
  </si>
  <si>
    <t>מי נחל - שבועות</t>
  </si>
  <si>
    <t>יעקבזון, מנחם חיים בן ישראל</t>
  </si>
  <si>
    <t>מי נפתוח &lt;אמנה, פרפר&gt; - 2 כר'</t>
  </si>
  <si>
    <t>מי נפתוח</t>
  </si>
  <si>
    <t>מי נתן למשיסה יעקב וישראל לבוזזים</t>
  </si>
  <si>
    <t>מי פנחס</t>
  </si>
  <si>
    <t>בן הרוש, פנחס</t>
  </si>
  <si>
    <t>מי רביעית</t>
  </si>
  <si>
    <t>מי שברך</t>
  </si>
  <si>
    <t>מי שלמה (קונטרס הוספות)</t>
  </si>
  <si>
    <t>הורודנסקי, יעקב מאיר בן שלמה זלמן</t>
  </si>
  <si>
    <t>מי שלמה</t>
  </si>
  <si>
    <t>פולק, אלכסנדר,שלמה</t>
  </si>
  <si>
    <t>מי שם קץ למערכה?</t>
  </si>
  <si>
    <t>מועצת אגודת ישראל בירושלים</t>
  </si>
  <si>
    <t>מי ששון</t>
  </si>
  <si>
    <t>מיאוש לנחמה</t>
  </si>
  <si>
    <t>מיבול הארץ - 2 כר'</t>
  </si>
  <si>
    <t>בוימל, אריה צבי</t>
  </si>
  <si>
    <t>מיגון לשמחה</t>
  </si>
  <si>
    <t>מיד מלכים - 2 כר'</t>
  </si>
  <si>
    <t>מידה כנגד מידה - תוספות ודיוקים</t>
  </si>
  <si>
    <t>גרינפלד, אברהם יהודה</t>
  </si>
  <si>
    <t>מידות אהרן - על ברייתא דרבי ישמעאל</t>
  </si>
  <si>
    <t>מידות בית המקדש של הורדוס</t>
  </si>
  <si>
    <t>מידות ומעשים</t>
  </si>
  <si>
    <t>מידות טובות - פירוש המכילתא מסכתא דפסחא</t>
  </si>
  <si>
    <t>ביטראן, רפאל</t>
  </si>
  <si>
    <t>מידות שבין אדם לחבירו</t>
  </si>
  <si>
    <t>מידע לשידוכים</t>
  </si>
  <si>
    <t>מיהו יהודי בעיני התנ"ך</t>
  </si>
  <si>
    <t>מיוסף עד יוסף</t>
  </si>
  <si>
    <t>מיוסף עד יוסף - 2 כר'</t>
  </si>
  <si>
    <t>רביוב, ישראל נתנאל בן גדעון</t>
  </si>
  <si>
    <t>מיזד לארץ הקדש</t>
  </si>
  <si>
    <t>שרגא, יוסף</t>
  </si>
  <si>
    <t>מיטב הגיון - 2 כר'</t>
  </si>
  <si>
    <t>מיין הרקח</t>
  </si>
  <si>
    <t>קדוש, יצחק בן יוסף</t>
  </si>
  <si>
    <t>מייסדי התלמוד - חותמי התלמוד</t>
  </si>
  <si>
    <t>מיישר תועי דרך</t>
  </si>
  <si>
    <t>רובין, מאיר בן שאול</t>
  </si>
  <si>
    <t>מיכאל באחת</t>
  </si>
  <si>
    <t>פארשלגר, מיכאל אליעזר הכהן (עליו) - ברגמן, בן ציון</t>
  </si>
  <si>
    <t>מיכאל - 14 כר'</t>
  </si>
  <si>
    <t>מאסף לתולדות היהודים בתפוצות</t>
  </si>
  <si>
    <t>תשל"ג - תשס"ד</t>
  </si>
  <si>
    <t>מיכל המים - על הירושלמי (מועד נשים)</t>
  </si>
  <si>
    <t>מיכל המים</t>
  </si>
  <si>
    <t>מושקין, יחיאל מיכל בן ירמיהו</t>
  </si>
  <si>
    <t>מיכל מים חיים - 3 כר'</t>
  </si>
  <si>
    <t>תרצ"ח - תש"ו</t>
  </si>
  <si>
    <t>מיכל מים - ד (במדבר)</t>
  </si>
  <si>
    <t>מילה ופדיון כהלכה</t>
  </si>
  <si>
    <t>מילה כהלכתה</t>
  </si>
  <si>
    <t>עזר, יאיר</t>
  </si>
  <si>
    <t>מילה שלמה</t>
  </si>
  <si>
    <t>שוחט, שלמה בן שמעון</t>
  </si>
  <si>
    <t>מילואים לאפוד - 3 כר'</t>
  </si>
  <si>
    <t>מילואים לתוספות ישנים - יבמות</t>
  </si>
  <si>
    <t>תוספות ישנים</t>
  </si>
  <si>
    <t>מילול נואמו</t>
  </si>
  <si>
    <t>בראון, יגאל בן צבי</t>
  </si>
  <si>
    <t>מילון ארמי עברי לתלמוד בבלי</t>
  </si>
  <si>
    <t>מלמד, עזרא ציון בן רחמים</t>
  </si>
  <si>
    <t>מילון ארמי עברי לתרגום אנקלוס</t>
  </si>
  <si>
    <t>מלמד, עזרא ציון</t>
  </si>
  <si>
    <t>מילון הארמית (כורדית) היהודית המדוברת</t>
  </si>
  <si>
    <t>ישרראל</t>
  </si>
  <si>
    <t>מילון ומפתח למדרשי השמות התנכיי"ם באגדה</t>
  </si>
  <si>
    <t>מילון עברי יידי שלם - 2 כר'</t>
  </si>
  <si>
    <t>צאנין, ישעיהו מרדכי</t>
  </si>
  <si>
    <t>מילון עברי ערבי בדיאלקט חבאני</t>
  </si>
  <si>
    <t>ברקת</t>
  </si>
  <si>
    <t>מילון עברי ערבי</t>
  </si>
  <si>
    <t>מילון עברי קבלי</t>
  </si>
  <si>
    <t>מילון עברי - 2 כר'</t>
  </si>
  <si>
    <t>מילון רש"י</t>
  </si>
  <si>
    <t>אביכזר, שמעון</t>
  </si>
  <si>
    <t>מילון שמושי לתלמוד למדרש ולתרגום - 2 כר'</t>
  </si>
  <si>
    <t>מילון תלמודי</t>
  </si>
  <si>
    <t>מילי דאבות &lt;מהדורה חדשה&gt;</t>
  </si>
  <si>
    <t>יצחק בן חיים מוולוז'ין</t>
  </si>
  <si>
    <t>מילי דאבות</t>
  </si>
  <si>
    <t>הירש, צבי</t>
  </si>
  <si>
    <t>ורשה WarsaW</t>
  </si>
  <si>
    <t>מרדכי בן יהושע, משברשין</t>
  </si>
  <si>
    <t>מילי דאבות - ב</t>
  </si>
  <si>
    <t>נמני, עזרא - בראנץ, יעקב</t>
  </si>
  <si>
    <t>רוזנברג, ישעיהו</t>
  </si>
  <si>
    <t>מילי דאבות - 2 כר'</t>
  </si>
  <si>
    <t>שלזינגר, שמואל בן משה ליב יוסף</t>
  </si>
  <si>
    <t>מילי דאגדתא ושו"ת</t>
  </si>
  <si>
    <t>מילי דאגדתא</t>
  </si>
  <si>
    <t>מילי דאגרות - 4 כר'</t>
  </si>
  <si>
    <t>מילי דאורייתא</t>
  </si>
  <si>
    <t>סטרול, אפרים בן אברהם</t>
  </si>
  <si>
    <t>מילי דאיסור והיתר</t>
  </si>
  <si>
    <t>מילי דבבא בתרא</t>
  </si>
  <si>
    <t>פריצקי, אהרן</t>
  </si>
  <si>
    <t>מילי דבדיחותא</t>
  </si>
  <si>
    <t>פכמאן, צבי הירש בן משה</t>
  </si>
  <si>
    <t>קאלימאני, יהושע אברהם בן שמחה</t>
  </si>
  <si>
    <t>מילי דבי הילולא</t>
  </si>
  <si>
    <t>הרשקוביץ, יצחק בן אפרים פישל (עורך)</t>
  </si>
  <si>
    <t>מילי דבי כנישתא</t>
  </si>
  <si>
    <t>הגר, צבי בן גרשון</t>
  </si>
  <si>
    <t>מילי דבי מדרשא</t>
  </si>
  <si>
    <t>מילי דברכות - 2 כר'</t>
  </si>
  <si>
    <t>תרפ"ג - תש"ה</t>
  </si>
  <si>
    <t>מילי דברכות</t>
  </si>
  <si>
    <t>הינדין, משה יהודה ליב בן שמואל</t>
  </si>
  <si>
    <t>וייס, אפרים יהודה בן יוסף מאיר</t>
  </si>
  <si>
    <t>פינקל, מאיר הלוי</t>
  </si>
  <si>
    <t>פישר, אהרון בן יחיאל מיכל</t>
  </si>
  <si>
    <t>מילי דברכות - א</t>
  </si>
  <si>
    <t>פרידמאן, שלום בן בנימין</t>
  </si>
  <si>
    <t>מילי דברכות - מילי דאבות</t>
  </si>
  <si>
    <t>מילי דהוריות</t>
  </si>
  <si>
    <t>מילי דהספידא ליום השלושים</t>
  </si>
  <si>
    <t>נזרית, אורן</t>
  </si>
  <si>
    <t>מילי דהספידא ליום השנה</t>
  </si>
  <si>
    <t>מילי דהספידא על הגאון ר"ד חנוך זילבר</t>
  </si>
  <si>
    <t>קובץ הספדים</t>
  </si>
  <si>
    <t>מילי דהספידא</t>
  </si>
  <si>
    <t>הספדים על הבה"ח ישראל נח בלוי ז"ל</t>
  </si>
  <si>
    <t>מילי דהספידא - 2 כר'</t>
  </si>
  <si>
    <t>הספדים על הגר"ח גריינימן זצ"ל</t>
  </si>
  <si>
    <t>שפירא, יעקב יוסף בן שמואל</t>
  </si>
  <si>
    <t>דרושים, חסידות, תולדות עם ישראל</t>
  </si>
  <si>
    <t>מילי דזבים</t>
  </si>
  <si>
    <t>פריצקי, אהרן בן אברהם יעקב</t>
  </si>
  <si>
    <t>מילי דחנוכה</t>
  </si>
  <si>
    <t>מילי דחסידותא &lt;מהדורה חדשה&gt;</t>
  </si>
  <si>
    <t>מילי דחסידותא - 2 כר'</t>
  </si>
  <si>
    <t>מ'-סיגעט,</t>
  </si>
  <si>
    <t>מילי דטהרה</t>
  </si>
  <si>
    <t>מילי דטהרות</t>
  </si>
  <si>
    <t>מילי דכתובות</t>
  </si>
  <si>
    <t>מילי דמוקצה</t>
  </si>
  <si>
    <t>שרעבי, דוד בן בנימין</t>
  </si>
  <si>
    <t>מילי דמילה</t>
  </si>
  <si>
    <t>מילי דמכות</t>
  </si>
  <si>
    <t>מילי דמערבא - שבת ועירובין</t>
  </si>
  <si>
    <t>כולל לינק</t>
  </si>
  <si>
    <t>מילי דמקרא</t>
  </si>
  <si>
    <t>רוזנטל, יוסף גרשון</t>
  </si>
  <si>
    <t>מילי דמרדכי - 2 כר'</t>
  </si>
  <si>
    <t>דרושים, הלכה ומנהג, מחשבה ומוסר, תנ"ך</t>
  </si>
  <si>
    <t>מילי דנדרים</t>
  </si>
  <si>
    <t>מילי דנהנה</t>
  </si>
  <si>
    <t>מילר, אשר בן יצחק</t>
  </si>
  <si>
    <t>מילי דנזיקין</t>
  </si>
  <si>
    <t>הכהן, שלום אביחי</t>
  </si>
  <si>
    <t>מילי דנזיקין - 3 כר'</t>
  </si>
  <si>
    <t>מילי דנזיקין - 2 כר'</t>
  </si>
  <si>
    <t>מילי דנחמתא</t>
  </si>
  <si>
    <t>מילי דעזרא &lt;מהדורת מכון צופה פני דמשק&gt;</t>
  </si>
  <si>
    <t>מילי דעזרא</t>
  </si>
  <si>
    <t>מילי דפיסחא</t>
  </si>
  <si>
    <t>מילי דפרה</t>
  </si>
  <si>
    <t>מילי דקדושין</t>
  </si>
  <si>
    <t>מילי דקידושין</t>
  </si>
  <si>
    <t>קובץ ישיבת מיר</t>
  </si>
  <si>
    <t>מילי דרבנן</t>
  </si>
  <si>
    <t>קופמן, אהרן בן מרדכי</t>
  </si>
  <si>
    <t>מילי דשבתא - 2 כר'</t>
  </si>
  <si>
    <t>מילי דשטרות</t>
  </si>
  <si>
    <t>אייזנשטיין, יהודה</t>
  </si>
  <si>
    <t>מילי דשליחות</t>
  </si>
  <si>
    <t>מילי דשמיא</t>
  </si>
  <si>
    <t>מילי דשמעתא - שבת, מלאכות שבת</t>
  </si>
  <si>
    <t>פישר, אהרן</t>
  </si>
  <si>
    <t>מילי דשמעתתא - 2 כר'</t>
  </si>
  <si>
    <t>מילי דתכשיט - במה אשה</t>
  </si>
  <si>
    <t>לורץ, יעקב בן נפתלי צבי</t>
  </si>
  <si>
    <t>מילי דתפילין</t>
  </si>
  <si>
    <t>מילי מחיים</t>
  </si>
  <si>
    <t>מילי מעלייתא</t>
  </si>
  <si>
    <t>ביבר, אברהם זאב</t>
  </si>
  <si>
    <t>מילין דרבנן</t>
  </si>
  <si>
    <t>מיכלשטטר, ישראל</t>
  </si>
  <si>
    <t>מילין יקירין - 2 כר'</t>
  </si>
  <si>
    <t>מילין קדישין - 2 כר'</t>
  </si>
  <si>
    <t>אדמו"ר מראחמיסטריווקא שליט"א</t>
  </si>
  <si>
    <t>מילתא בטעמא - 3 כר'</t>
  </si>
  <si>
    <t>גרומן, מרדכי בן שלמה צבי</t>
  </si>
  <si>
    <t>מילתא דשטרא</t>
  </si>
  <si>
    <t>מילתא דשכיחא - 3 כר'</t>
  </si>
  <si>
    <t>לאנגער, צבי משה בן עזריאל דוד</t>
  </si>
  <si>
    <t>מים אדירים &lt;מים מתוקים&gt;</t>
  </si>
  <si>
    <t>מנחם מנדל בן ברוך בנדט משקלוב - טולידנו, שמואל</t>
  </si>
  <si>
    <t>מים אדירים</t>
  </si>
  <si>
    <t>אשר בן שלמה זלמן</t>
  </si>
  <si>
    <t>מים אדירים - 2 כר'</t>
  </si>
  <si>
    <t>יאקאבאוויטש, מנחם מאיר</t>
  </si>
  <si>
    <t>מים אדירים - מנחם ציון &lt;מהדורה חדשה&gt;</t>
  </si>
  <si>
    <t>מים ההלכה - 4 כר'</t>
  </si>
  <si>
    <t>מצגר, יונה בן אלימלך</t>
  </si>
  <si>
    <t>מים החיים</t>
  </si>
  <si>
    <t>בן ארולייא, אהרן אברהם</t>
  </si>
  <si>
    <t>מים זכים</t>
  </si>
  <si>
    <t>מים חיים &lt;מהדורה חדשה&gt;</t>
  </si>
  <si>
    <t>משנה, משנה, שאלות ותשובות, תלמוד בבלי, תלמוד בבלי, תלמוד בבלי</t>
  </si>
  <si>
    <t>מים חיים &lt;מהדורה חדשה&gt; - 2 כר'</t>
  </si>
  <si>
    <t>מים חיים &lt;מים טהורים&gt; - ד</t>
  </si>
  <si>
    <t>מים חיים &lt;מים קדושים&gt; - ג</t>
  </si>
  <si>
    <t>מים חיים &lt;על הגר"ח קרייזווירט&gt;</t>
  </si>
  <si>
    <t>נוסבוים, שמואל אברהם</t>
  </si>
  <si>
    <t>מים חיים על ליקוטי מוהר"ן</t>
  </si>
  <si>
    <t>טוניק, אבנר</t>
  </si>
  <si>
    <t>מים חיים שני</t>
  </si>
  <si>
    <t>הורוויץ, חיים בן יהושע משה אברהם הלוי</t>
  </si>
  <si>
    <t>מים חיים</t>
  </si>
  <si>
    <t>אורבך, חיים</t>
  </si>
  <si>
    <t>מים חיים - 2 כר'</t>
  </si>
  <si>
    <t>בן נעים, אילן</t>
  </si>
  <si>
    <t>ברונרוטה, חיים מרדכי בן נתן צבי</t>
  </si>
  <si>
    <t>הלכה ומנהג, משנה, נושאים שונים, שאלות ותשובות, תלמוד בבלי</t>
  </si>
  <si>
    <t>מים חיים - מצות התלויות בארץ</t>
  </si>
  <si>
    <t>הוכמן, חיים אריה בן שלום יהודה</t>
  </si>
  <si>
    <t>מים חיים - 3 כר'</t>
  </si>
  <si>
    <t>חי, משה ישראל</t>
  </si>
  <si>
    <t>מים חיים - עירובין</t>
  </si>
  <si>
    <t>כהן, יוסף חיים בן אפרים</t>
  </si>
  <si>
    <t>לוריא, יחיאל מיכל בן יעקב</t>
  </si>
  <si>
    <t>מרזל, יצחק</t>
  </si>
  <si>
    <t>קרויס, חיים בן גבריאל</t>
  </si>
  <si>
    <t>רפאפורט, חיים בן דוב בריש הכהן</t>
  </si>
  <si>
    <t>שמואלביץ, חיים ליב הלוי (מתורתו), פריימן, דוד</t>
  </si>
  <si>
    <t>שני, אליהו דרור - אלעד, נסים</t>
  </si>
  <si>
    <t>מים חיים, באר מרים</t>
  </si>
  <si>
    <t>חיון, חיים בן אהליאב</t>
  </si>
  <si>
    <t>מים טהורים &lt;מהדורה חדשה&gt;</t>
  </si>
  <si>
    <t>מים טהורים השלם - 2 כר'</t>
  </si>
  <si>
    <t>תקע"ז - תשי"ז</t>
  </si>
  <si>
    <t>מים טהורים - מכשירין, זבין</t>
  </si>
  <si>
    <t>גוטמן, צבי</t>
  </si>
  <si>
    <t>מים טהורים</t>
  </si>
  <si>
    <t>ווייסבלאט, נחום</t>
  </si>
  <si>
    <t>מים טהורים - 2 כר'</t>
  </si>
  <si>
    <t>שוורץ, אלתר יהודה אריה - וויס דוד</t>
  </si>
  <si>
    <t>מים יחזקאל &lt;מכון משנת ר"א&gt;</t>
  </si>
  <si>
    <t>מים יחזקאל</t>
  </si>
  <si>
    <t>מים מגבא</t>
  </si>
  <si>
    <t>קוסטליץ, גבריאל בן אהרן</t>
  </si>
  <si>
    <t>מים מדליו</t>
  </si>
  <si>
    <t>טאגער, שלמה יהודה בן נתן</t>
  </si>
  <si>
    <t>מים נאמנים</t>
  </si>
  <si>
    <t>מים עזים</t>
  </si>
  <si>
    <t>מעוז, יום טוב בן יוסף</t>
  </si>
  <si>
    <t>מים עמוקים &lt;פותר מים&gt;</t>
  </si>
  <si>
    <t>בירדוגו, יהודה בן יוסף - אלבאז, רפאל משה</t>
  </si>
  <si>
    <t>מים עמוקים &lt;תשובות ראנ"ח&gt; - 2 כר'</t>
  </si>
  <si>
    <t>מזרחי, אליהו בן אברהם - אליהו בן חיים</t>
  </si>
  <si>
    <t>מים עמוקים &lt;פעמוני זהב, מנחת כהן, אסיפת דינים&gt;</t>
  </si>
  <si>
    <t>מים עמוקים - גלי עמיקתא - שושנת העמקים</t>
  </si>
  <si>
    <t>בירדוגו, יהודה בן יוסף - זריהן יעקב חי</t>
  </si>
  <si>
    <t>מים עמוקים - 2 כר'</t>
  </si>
  <si>
    <t>בירדוגו, יהודה בן יוסף</t>
  </si>
  <si>
    <t>מים עמוקים</t>
  </si>
  <si>
    <t>סירקין, מרדכי בן נחמן</t>
  </si>
  <si>
    <t>מים עמוקים - ירח האיתנים</t>
  </si>
  <si>
    <t>מים קדושים - 2 כר'</t>
  </si>
  <si>
    <t>אברהם משה בן אשר הלוי</t>
  </si>
  <si>
    <t>מים קדושים</t>
  </si>
  <si>
    <t>קריספין, יהושע משה מרדכי בן יצחק</t>
  </si>
  <si>
    <t>מים קדושים - מקואות</t>
  </si>
  <si>
    <t>קרסנטי, דניאל אליעזר בן אברהם</t>
  </si>
  <si>
    <t>מים רבים - סוכה</t>
  </si>
  <si>
    <t>בלויא, יצחק יהודה</t>
  </si>
  <si>
    <t>מים רבים - 2 כר'</t>
  </si>
  <si>
    <t>מים רבים</t>
  </si>
  <si>
    <t>ליבוביץ, אברהם דוד בן חיים יצחק</t>
  </si>
  <si>
    <t>מילדולה, רפאל בן אלעזר</t>
  </si>
  <si>
    <t>מים רבים, יסוד צדיק</t>
  </si>
  <si>
    <t>יחיאל מיכל מזלאטשוב - גולדמן, שלמה מזוועהיל</t>
  </si>
  <si>
    <t>מים רבים, רזין דאורייתא, תפארת צבי זאב</t>
  </si>
  <si>
    <t>מים שאובים</t>
  </si>
  <si>
    <t>דוד בן מסעוד הלוי</t>
  </si>
  <si>
    <t>מים שאובים - פסחים</t>
  </si>
  <si>
    <t>מנדל, משה בן יעקב</t>
  </si>
  <si>
    <t>מים שאל</t>
  </si>
  <si>
    <t>מימי הדעת - 2 כר'</t>
  </si>
  <si>
    <t>דמביצר, משה יעקב בן יקותיאל זלמן</t>
  </si>
  <si>
    <t>מימי הירדן</t>
  </si>
  <si>
    <t>מימי קדם - בפסוקי התורה</t>
  </si>
  <si>
    <t>מימיני מיכאל</t>
  </si>
  <si>
    <t>מימיני מיכאל - 4 כר'</t>
  </si>
  <si>
    <t>פודור, מיכאל בן יוסף הכהן</t>
  </si>
  <si>
    <t>מימיני מיכאל - 6 כר'</t>
  </si>
  <si>
    <t>קלאגסבאלד, מיכאל  בן שלמה</t>
  </si>
  <si>
    <t>מינוי ושחיטה בתימן בדורות האחרונים</t>
  </si>
  <si>
    <t>צוריאלי, יוסף</t>
  </si>
  <si>
    <t>מיני מגדים</t>
  </si>
  <si>
    <t>הראל, משה אליהו בן אריה יהודה</t>
  </si>
  <si>
    <t>מיני מנחה</t>
  </si>
  <si>
    <t>פרידמן, נתן נטע</t>
  </si>
  <si>
    <t>מיני מתיקה</t>
  </si>
  <si>
    <t>מיני מתיקה, עטרת פז, ארבעה שומרים, שיר חדש &lt;מהדורת ישמח לב&gt;</t>
  </si>
  <si>
    <t>הלכה ומנהג, מחשבה ומוסר, נושאים שונים, תפלות בקשות פיוטים ושירה</t>
  </si>
  <si>
    <t>מיני תרגומא - 2 כר'</t>
  </si>
  <si>
    <t>מיני תרגימא</t>
  </si>
  <si>
    <t>מינקת רבקה</t>
  </si>
  <si>
    <t>רבקה בת  מאיר</t>
  </si>
  <si>
    <t>מיצירות ספרותיות מתימן</t>
  </si>
  <si>
    <t>מיקירי ירושלים</t>
  </si>
  <si>
    <t>וסרמן, יעקב זונדל בן אליהו צבי</t>
  </si>
  <si>
    <t>מיקירי ירושלם</t>
  </si>
  <si>
    <t>מיקירי ירושלמי - 3 כר'</t>
  </si>
  <si>
    <t>תרצ"ב - תרצ"ח</t>
  </si>
  <si>
    <t>מיר - אנציקלופדיה של גלויות</t>
  </si>
  <si>
    <t>מיר - תולדות ישיבת מיר</t>
  </si>
  <si>
    <t>מירא דכיא - 3 כר'</t>
  </si>
  <si>
    <t>אלפסי, מסעוד רפאל</t>
  </si>
  <si>
    <t>מירא דכיא</t>
  </si>
  <si>
    <t>מירא דכיא - 2 כר'</t>
  </si>
  <si>
    <t>מרדכי בן יחיאל מיכל הלוי</t>
  </si>
  <si>
    <t>[תרכ"ד].</t>
  </si>
  <si>
    <t>מירא דכייא</t>
  </si>
  <si>
    <t>קאראוואליו, מרדכי ברוך</t>
  </si>
  <si>
    <t>מירכתי תבל</t>
  </si>
  <si>
    <t>כשדאי, צבי בן דוד חיים</t>
  </si>
  <si>
    <t>מירער ישיבה אין גלות</t>
  </si>
  <si>
    <t>מישור הערבה</t>
  </si>
  <si>
    <t>בלוי, בצלאל חיים</t>
  </si>
  <si>
    <t>מישר נבוכים</t>
  </si>
  <si>
    <t>שטראשון, אברהם דוד משה בן יעקב</t>
  </si>
  <si>
    <t>מישרים אהבוך - 2 כר'</t>
  </si>
  <si>
    <t>מישרים אהבוך</t>
  </si>
  <si>
    <t>מישרים</t>
  </si>
  <si>
    <t>פרלמן, אלתר משה אהרן</t>
  </si>
  <si>
    <t>מישרים - 9 כר'</t>
  </si>
  <si>
    <t>מכבי יהודה</t>
  </si>
  <si>
    <t>יהודה בן אברהם יעקב מפוזנה</t>
  </si>
  <si>
    <t>מכבשונה של פשיסחא</t>
  </si>
  <si>
    <t>בוים, משה</t>
  </si>
  <si>
    <t>מכון הוראה ומשפט - 12 כר'</t>
  </si>
  <si>
    <t>כולל עיון דחסידי בעלזא</t>
  </si>
  <si>
    <t>מכון לשבתך - 7 כר'</t>
  </si>
  <si>
    <t>רוזנברג, חיים בן ציון</t>
  </si>
  <si>
    <t>מכון שבתך - 3 כר'</t>
  </si>
  <si>
    <t>מכונת גילוח בהלכה</t>
  </si>
  <si>
    <t>פפויפר, יהודה אריה בן אהרן - שומן, משולם יוסף בן יעקב</t>
  </si>
  <si>
    <t>מכותבי ראי"ה</t>
  </si>
  <si>
    <t>מכילתא &lt;הר אפרים&gt;</t>
  </si>
  <si>
    <t>הלכה ומנהג, נושאים שונים, שאר ספרי חז"ל</t>
  </si>
  <si>
    <t>מכילתא &lt;ברורי המדות, מיצוי המדות, איפת צדק&gt;</t>
  </si>
  <si>
    <t>מכילתא &lt;דפו"ר&gt;</t>
  </si>
  <si>
    <t>מכילתא. רע"ה</t>
  </si>
  <si>
    <t>מכילתא דרבי ישמעאל &lt;ברכת הנצי"ב&gt; - 2 כר'</t>
  </si>
  <si>
    <t>מכילתא דרבי ישמעאל &lt;הורוויץ&gt;</t>
  </si>
  <si>
    <t>מכילתא. תרצ"א</t>
  </si>
  <si>
    <t>מכילתא דרבי ישמעאל &lt;מאיר עין&gt;</t>
  </si>
  <si>
    <t>שלום, מאיר איש</t>
  </si>
  <si>
    <t>מכילתא דרבי שמעון בן יוחאי &lt;אפשטיין&gt;</t>
  </si>
  <si>
    <t>מכילתא דרבי שמעון בן יוחאי</t>
  </si>
  <si>
    <t>מכילתא דרבי שמעון בן יוחאי &lt;הופמן&gt;</t>
  </si>
  <si>
    <t>מכילתא דרבנן</t>
  </si>
  <si>
    <t>מכילתא עם פירוש אור יהודה - 2 כר'</t>
  </si>
  <si>
    <t>קויפמאן, אורי יהודה בן חיים לייב</t>
  </si>
  <si>
    <t>מכירת המצוות בהלכה</t>
  </si>
  <si>
    <t>לבקוביץ, אברהם ישראל בן דוד דוב</t>
  </si>
  <si>
    <t>מכירת חמץ כהלכתו</t>
  </si>
  <si>
    <t>מכירת חמץ</t>
  </si>
  <si>
    <t>רפאלי, מרדכי חיים בן אברהם</t>
  </si>
  <si>
    <t>מכירת ספרים בתימן על ידי שליחי ארץ ישראל</t>
  </si>
  <si>
    <t>מכל מלמדי השכלתי</t>
  </si>
  <si>
    <t>מכל משמר נצור לבך</t>
  </si>
  <si>
    <t>מכלול יופי - 3 כר'</t>
  </si>
  <si>
    <t>מכלול - יג</t>
  </si>
  <si>
    <t>מכללה ירושלים לבנות</t>
  </si>
  <si>
    <t>מכלול - 3 כר'</t>
  </si>
  <si>
    <t>מכלכל חיים בחסד</t>
  </si>
  <si>
    <t>מכלכל חיים</t>
  </si>
  <si>
    <t>מכלל יופי</t>
  </si>
  <si>
    <t>אבן כליפא, דוד בן מכלוף</t>
  </si>
  <si>
    <t>מכלל יופי - 4 כר'</t>
  </si>
  <si>
    <t>אבן-מלך, שלמה</t>
  </si>
  <si>
    <t>אוריאל, יואב</t>
  </si>
  <si>
    <t>מכלל יפי</t>
  </si>
  <si>
    <t>יצחק בן בן-ציון מקוצק</t>
  </si>
  <si>
    <t>מכלל יפי - 2 כר'</t>
  </si>
  <si>
    <t>מכלל מציון</t>
  </si>
  <si>
    <t>מכמני אשר</t>
  </si>
  <si>
    <t>מכמני עזיאל - 3 כר'</t>
  </si>
  <si>
    <t>מכמנים מחשיפת גנזי תימן</t>
  </si>
  <si>
    <t>מכניע זדים</t>
  </si>
  <si>
    <t>מכנסיה לכנסיה</t>
  </si>
  <si>
    <t>מכנשתא דבי דרי - ב"מ</t>
  </si>
  <si>
    <t>מכשירי מילה</t>
  </si>
  <si>
    <t>מכתב אליהו</t>
  </si>
  <si>
    <t>בינקוביצר, אליהו בן אריה ליב הלוי</t>
  </si>
  <si>
    <t>מכתב אמת ליעקב</t>
  </si>
  <si>
    <t>מכתב גלוי עם מלחמת מצוה</t>
  </si>
  <si>
    <t>סיגט. קהל עדת יראים</t>
  </si>
  <si>
    <t>מכתב הראשון והשני</t>
  </si>
  <si>
    <t>רייניטץ, יהושע ברוך בן נתן פייטל</t>
  </si>
  <si>
    <t>מכתב ישראל - 2 כר'</t>
  </si>
  <si>
    <t>בירנהק, אברהם ישעיהו הכהן  - וינטרויב, ישראל אליהו-</t>
  </si>
  <si>
    <t>מכתב לבן ישיבה</t>
  </si>
  <si>
    <t>מכתב לחזקיהו</t>
  </si>
  <si>
    <t>פרץ, חזקיה</t>
  </si>
  <si>
    <t>מכתב לשואלים מהמפונים מגוש קטיף</t>
  </si>
  <si>
    <t>מכתב מאליהו  &lt;מהדורת ישמח לב&gt;</t>
  </si>
  <si>
    <t>אלפאנדארי, אליהו בן יעקב</t>
  </si>
  <si>
    <t>מכתב מאליהו - 2 כר'</t>
  </si>
  <si>
    <t>מכתב מאליהו</t>
  </si>
  <si>
    <t>בונימוביץ, דוד בן אליקים</t>
  </si>
  <si>
    <t>מכתב מאליהו - 3 כר'</t>
  </si>
  <si>
    <t>מכתב סופר - 3 כר'</t>
  </si>
  <si>
    <t>דרושים, תולדות עם ישראל, תולדות עם ישראל, תנ"ך</t>
  </si>
  <si>
    <t>מכתב שלמה</t>
  </si>
  <si>
    <t>מכתב שנת המאה</t>
  </si>
  <si>
    <t>מכתבי אליהו</t>
  </si>
  <si>
    <t>לרמאן, אליהו</t>
  </si>
  <si>
    <t>מכתבי בקרת</t>
  </si>
  <si>
    <t>מכתבי ברכה והסכמה</t>
  </si>
  <si>
    <t>מכתבי הדרכה</t>
  </si>
  <si>
    <t>מכתבי ההלכה יצחק ירנן</t>
  </si>
  <si>
    <t>שחיבר, יצחק</t>
  </si>
  <si>
    <t>בואנוס איירס,</t>
  </si>
  <si>
    <t>מכתבי הערכה מאת כבוד הרבנים הגאונים שליט"א על ספר בחירת ציון</t>
  </si>
  <si>
    <t>מכתבי הרב חפץ חיים</t>
  </si>
  <si>
    <t>פופקו, אריה ליב בן ישראל מאיר הכהן</t>
  </si>
  <si>
    <t>מכתבי הרב מפירט זצ"ל</t>
  </si>
  <si>
    <t>כהנא שפירא, דוד</t>
  </si>
  <si>
    <t>מכתבי השמש בגבורתו</t>
  </si>
  <si>
    <t>מכתבי חזון איש - צורת אות צ</t>
  </si>
  <si>
    <t>רוטנברג ישראל בן מרדכי - מועלם, יהונתן בן עוזיאל</t>
  </si>
  <si>
    <t>מכתבי מחקר ובקרת</t>
  </si>
  <si>
    <t>אלכסנדרוב, שמואל בן הלל</t>
  </si>
  <si>
    <t>מכתבי מסחר</t>
  </si>
  <si>
    <t>פרידמאן, דוב אריה בן טוביה מיכל</t>
  </si>
  <si>
    <t>(תרנ"ד</t>
  </si>
  <si>
    <t>מכתבי עברית</t>
  </si>
  <si>
    <t>ניימאן, משה שמואל בן מנחם</t>
  </si>
  <si>
    <t>מכתבי קודש</t>
  </si>
  <si>
    <t>מכתבי קודש - באבוב</t>
  </si>
  <si>
    <t>כולל אברכים דבאבוב</t>
  </si>
  <si>
    <t>מכתבי רבי יחיאל האמאקער</t>
  </si>
  <si>
    <t>גראס, יחיאל בן דוד צבי</t>
  </si>
  <si>
    <t>מכתבי רבי עקיבא איגר</t>
  </si>
  <si>
    <t>מכתבי תורה</t>
  </si>
  <si>
    <t>קאלינה, מרדכי - רוזין, יוסף</t>
  </si>
  <si>
    <t>מכתבים אחרונים ממחנה קייליס בוילנה</t>
  </si>
  <si>
    <t>בר אילן, נפתלי בן טוביה</t>
  </si>
  <si>
    <t>מכתבים ואגרות קודש</t>
  </si>
  <si>
    <t>אוסף מכתבים מגדולי ישראל</t>
  </si>
  <si>
    <t>מכתבים ומאמרים הרב בוצ'קו</t>
  </si>
  <si>
    <t>מכתבים ותקנות</t>
  </si>
  <si>
    <t>מכתבים למשגיח</t>
  </si>
  <si>
    <t>שניצר, שמואל</t>
  </si>
  <si>
    <t>מכתבים קדושים</t>
  </si>
  <si>
    <t>מרגליות, ישראל</t>
  </si>
  <si>
    <t>מכתם לדוד &lt;קדשי דוד&gt;</t>
  </si>
  <si>
    <t>חסאן, דוד חיים שמואל</t>
  </si>
  <si>
    <t>הלכה ומנהג, שאלות ותשובות, תלמוד בבלי, תלמוד בבלי</t>
  </si>
  <si>
    <t>מכתם לדוד &lt;ר' דוד שרעבי&gt;</t>
  </si>
  <si>
    <t>מכתם לדוד &lt;רבי דוד ששון&gt;</t>
  </si>
  <si>
    <t>מכתם לדוד &lt;מהדורה חדשה&gt; - 2 כר'</t>
  </si>
  <si>
    <t>מכתם לדוד - נדרים</t>
  </si>
  <si>
    <t>הירשפעלד, דוד יודא</t>
  </si>
  <si>
    <t>מכתם לדוד - 2 כר'</t>
  </si>
  <si>
    <t>מכתם לדוד</t>
  </si>
  <si>
    <t>מכתם לדוד - כתובות</t>
  </si>
  <si>
    <t>לזכר רבי דוד צבי גרליץ</t>
  </si>
  <si>
    <t>מכתם לדוד - קידושין</t>
  </si>
  <si>
    <t>פאללאק, שמואל דוד בן אהרן</t>
  </si>
  <si>
    <t>קריסטל, דוד יהודה הכהן</t>
  </si>
  <si>
    <t>מכתם לדוד - 4 כר'</t>
  </si>
  <si>
    <t>מכתם שלום ישראל, מכתם שלום ירושלם</t>
  </si>
  <si>
    <t>מל ולא פרע</t>
  </si>
  <si>
    <t>מלא העומר מן &lt;פרקי אבות&gt; - א</t>
  </si>
  <si>
    <t>מויאל, ניסים</t>
  </si>
  <si>
    <t>מלא העומר - 14 כר'</t>
  </si>
  <si>
    <t>(הס' תרפ"ח)</t>
  </si>
  <si>
    <t>פיוטרקוב,</t>
  </si>
  <si>
    <t>מלא העמר - לקט העמר</t>
  </si>
  <si>
    <t>מלא הרועים א - ג</t>
  </si>
  <si>
    <t>מלא הרועים</t>
  </si>
  <si>
    <t>הלברשטאטט,</t>
  </si>
  <si>
    <t>מלא כל הארץ כבודו</t>
  </si>
  <si>
    <t>מלא פי הגדי</t>
  </si>
  <si>
    <t>יהודה ליב בן משה מהמבורג</t>
  </si>
  <si>
    <t>מלא רצון</t>
  </si>
  <si>
    <t>שפיץ, אברהם נפתלי צבי הירש בן משה הלוי</t>
  </si>
  <si>
    <t>מלאה קטרת - 2 כר'</t>
  </si>
  <si>
    <t>מלאים זיו - 3 כר'</t>
  </si>
  <si>
    <t>מלאים זיו</t>
  </si>
  <si>
    <t>מלאך הברית &lt;כרסייא דאליהו&gt; - 3 כר'</t>
  </si>
  <si>
    <t>סתהון, חיים דוד - גרוס, מרדכי בן צדוק</t>
  </si>
  <si>
    <t>מלאך הברית</t>
  </si>
  <si>
    <t>גונן, אורי שלום</t>
  </si>
  <si>
    <t>דרושים, קבלה, תולדות עם ישראל, תנ"ך</t>
  </si>
  <si>
    <t>מלאך המשיב</t>
  </si>
  <si>
    <t>טיטאצק, יוסף</t>
  </si>
  <si>
    <t>מלאכי עליון</t>
  </si>
  <si>
    <t>רבינוביץ, יצחק</t>
  </si>
  <si>
    <t>מלאכי קדש</t>
  </si>
  <si>
    <t>משה בן אליהו מלובלין</t>
  </si>
  <si>
    <t>[תרכ"ב,</t>
  </si>
  <si>
    <t>מלאכת בצלאל</t>
  </si>
  <si>
    <t>מלאכת הבורר</t>
  </si>
  <si>
    <t>ששון, משה הלל בן אלישע</t>
  </si>
  <si>
    <t>מלאכת החשבון</t>
  </si>
  <si>
    <t>ניימן, משה שמואל</t>
  </si>
  <si>
    <t>מלאכת המפרק</t>
  </si>
  <si>
    <t>מלאכת הסופר</t>
  </si>
  <si>
    <t>בן זאברה, משה</t>
  </si>
  <si>
    <t>מלאכת הקדש &lt;מהדורה חדשה&gt;</t>
  </si>
  <si>
    <t>מלאכת הקדש</t>
  </si>
  <si>
    <t>מלאכת הקודש</t>
  </si>
  <si>
    <t>קופלוביץ, אברהם יעקב בן גדליה</t>
  </si>
  <si>
    <t>מלאכת חושב</t>
  </si>
  <si>
    <t>מלאכת חכמה</t>
  </si>
  <si>
    <t>גוטמן, אברהם בן יהודה ליב</t>
  </si>
  <si>
    <t>מלאכת חרש</t>
  </si>
  <si>
    <t>בר"ח, יהודה ליבש בן מ</t>
  </si>
  <si>
    <t>מלאכת חרש - 2 כר'</t>
  </si>
  <si>
    <t>חפץ, יחזקאל בן אליעזר</t>
  </si>
  <si>
    <t>מלאכת חשב</t>
  </si>
  <si>
    <t>אבן צור, חביב אורי בן שלמה</t>
  </si>
  <si>
    <t>מלאכת יום טוב &lt;מהדורה חדשה&gt;</t>
  </si>
  <si>
    <t>מלאכת יום טוב</t>
  </si>
  <si>
    <t>מלאכת יוסף - וסתות</t>
  </si>
  <si>
    <t>וויס, יוסף בן יקותיאל יהודה</t>
  </si>
  <si>
    <t>מלאכת יוסף - שחיטה, בן פקועה</t>
  </si>
  <si>
    <t>מלאכת מחשבת - 3 כר'</t>
  </si>
  <si>
    <t>מלאכת מחשבת</t>
  </si>
  <si>
    <t>אקער, מאיר בן מנחם</t>
  </si>
  <si>
    <t>גוטליב, ישראל מתתיהו</t>
  </si>
  <si>
    <t>מלאכת מחשבת - 4 כר'</t>
  </si>
  <si>
    <t>גרינשפאן, נחמן שלמה בן יעקב משה</t>
  </si>
  <si>
    <t>[ת"ע,</t>
  </si>
  <si>
    <t>תשנ"ה - תשנ"ז</t>
  </si>
  <si>
    <t>מלאכת מפרק</t>
  </si>
  <si>
    <t>מלאכת נכרי - 2 כר'</t>
  </si>
  <si>
    <t>ציגלהיים, שלמה הלל</t>
  </si>
  <si>
    <t>מלאכת עבודה</t>
  </si>
  <si>
    <t>וינברג, דוד</t>
  </si>
  <si>
    <t>מלאכת עבודת הקדש - 2 כר'</t>
  </si>
  <si>
    <t>שכ"ח</t>
  </si>
  <si>
    <t>מלאכת שבת</t>
  </si>
  <si>
    <t>מלאכת שלמה</t>
  </si>
  <si>
    <t>מלאכת שלמה - 2 כר'</t>
  </si>
  <si>
    <t>טויסיק, שלמה זלמן בן שלום</t>
  </si>
  <si>
    <t>תרל"ו - תרל"ט</t>
  </si>
  <si>
    <t>Munich מינכן</t>
  </si>
  <si>
    <t>קלירס, שלמה</t>
  </si>
  <si>
    <t>מלאכת שמואל - א</t>
  </si>
  <si>
    <t>אליעזרי, שמואל</t>
  </si>
  <si>
    <t>מלאכת שמואל</t>
  </si>
  <si>
    <t>מלאכת שמים - 3 כר'</t>
  </si>
  <si>
    <t>Altona אלטונה</t>
  </si>
  <si>
    <t>מלאכת שמים</t>
  </si>
  <si>
    <t>שפיץ, דוד</t>
  </si>
  <si>
    <t>מלאכת שמעון</t>
  </si>
  <si>
    <t>ביטון, שמעון</t>
  </si>
  <si>
    <t>מלאכת - קושר ומתיר</t>
  </si>
  <si>
    <t>מלאכתו אשר עשה</t>
  </si>
  <si>
    <t>שבתאי, עובדיה בן אלעזר</t>
  </si>
  <si>
    <t>מלאת אבן</t>
  </si>
  <si>
    <t>מלאת אבן - א-ב</t>
  </si>
  <si>
    <t>משנה, שלחן ערוך ומפרשיו, שלחן ערוך ומפרשיו, תולדות עם ישראל, תלמוד בבלי, תנ"ך</t>
  </si>
  <si>
    <t>מלבוש לשבת ויום טוב &lt;מהדורה חדשה&gt;</t>
  </si>
  <si>
    <t>אייכנשטיין, ישכר בריש בן אלכסנדר סנדר יום טוב ליפא</t>
  </si>
  <si>
    <t>מלבוש לשבת ויום טוב</t>
  </si>
  <si>
    <t>מלבושי טהרה &lt;עם באר מים חיים&gt;</t>
  </si>
  <si>
    <t>אויערבאך, דוד צבי בן חיים</t>
  </si>
  <si>
    <t>מלבושי יום טוב - 2 כר'</t>
  </si>
  <si>
    <t>באסליאנסקי, יום טוב ליפמאן בן יהודה זאב</t>
  </si>
  <si>
    <t>תרמ"א - תרנ"ב</t>
  </si>
  <si>
    <t>מלבושי יום טוב</t>
  </si>
  <si>
    <t>תרנ"ה - תרנ"ז</t>
  </si>
  <si>
    <t>מלבושי ישע</t>
  </si>
  <si>
    <t>מלבושי כבוד ותפארת</t>
  </si>
  <si>
    <t>חיימוביץ, נחום</t>
  </si>
  <si>
    <t>מלבושי מרדכי - 3 כר'</t>
  </si>
  <si>
    <t>גלבר, מרדכי בן שמואל מאיר</t>
  </si>
  <si>
    <t>מלה טבא - 2 כר'</t>
  </si>
  <si>
    <t>מלוא העומר</t>
  </si>
  <si>
    <t>בלוי, יצחק שלמה</t>
  </si>
  <si>
    <t>מלואי אבן</t>
  </si>
  <si>
    <t>מלואי אבן - 5 כר'</t>
  </si>
  <si>
    <t>מלואי שלמה</t>
  </si>
  <si>
    <t>מלואים למשה</t>
  </si>
  <si>
    <t>רבין, משה יצחק בן שלמה</t>
  </si>
  <si>
    <t>מלואים לספר המצות של רב חפץ בן יצליח</t>
  </si>
  <si>
    <t>חפץ בן יצליח</t>
  </si>
  <si>
    <t>מלואת אבן - 4 כר'</t>
  </si>
  <si>
    <t>אטיאס, ישראל בן יעקב</t>
  </si>
  <si>
    <t>מלוה ה' - 2 כר'</t>
  </si>
  <si>
    <t>מלון אורחים</t>
  </si>
  <si>
    <t>זאב פאלאק, יהושע</t>
  </si>
  <si>
    <t>דרהאביטש</t>
  </si>
  <si>
    <t>מלון השתים - 2 כר'</t>
  </si>
  <si>
    <t>מלון שמושי לתלמוד למדרש ולתרגום - 2 כר'</t>
  </si>
  <si>
    <t>מלון תלמודי</t>
  </si>
  <si>
    <t>סמבטיון, משה בן אהרן</t>
  </si>
  <si>
    <t>מלות ההגיון &lt;דפו"ר&gt;</t>
  </si>
  <si>
    <t>Basel בזל</t>
  </si>
  <si>
    <t>מלות ההגיון - 6 כר'</t>
  </si>
  <si>
    <t>מלח ברית</t>
  </si>
  <si>
    <t>מלחמה בשלום</t>
  </si>
  <si>
    <t>כ"ץ, חיים אברהם בן אריה ליב</t>
  </si>
  <si>
    <t>מלחמה לה' - 2 כר'</t>
  </si>
  <si>
    <t>מלחמות אני עשיתי</t>
  </si>
  <si>
    <t>שפרכר, נ.</t>
  </si>
  <si>
    <t>מלחמות ה'</t>
  </si>
  <si>
    <t>מאיר בן אליהו</t>
  </si>
  <si>
    <t>סאקס, יוסף עורך. התאחדות הרבנים דארה"ב</t>
  </si>
  <si>
    <t>מלחמות היהודים עם הרומאים - 2 כר'</t>
  </si>
  <si>
    <t>מלחמות הלוים</t>
  </si>
  <si>
    <t>הלכה ומנהג, שאר ספרי חז"ל, שלחן ערוך ומפרשיו, תלמוד בבלי, תלמוד בבלי</t>
  </si>
  <si>
    <t>מלחמות הפלחים בארץ ישראל</t>
  </si>
  <si>
    <t>מלחמות השם - 2 כר'</t>
  </si>
  <si>
    <t>ש"כ - שכ"א</t>
  </si>
  <si>
    <t>מלחמות יהודה - 2 כר'</t>
  </si>
  <si>
    <t>לובארט, מרדכי יהודה בן ישראל יואל חיים</t>
  </si>
  <si>
    <t>מלחמות יהודה</t>
  </si>
  <si>
    <t>סוגיות, שאלות ותשובות, תלמוד בבלי</t>
  </si>
  <si>
    <t>מלחמת אהרן</t>
  </si>
  <si>
    <t>פרידמאן, אהרן בן יחיאל מיכל</t>
  </si>
  <si>
    <t>מלחמת החכמה והעושר - 2 כר'</t>
  </si>
  <si>
    <t>אבן-שבתי, יהודה בן יצחק הלוי</t>
  </si>
  <si>
    <t>מלחמת היהודים במיסיון</t>
  </si>
  <si>
    <t>מלחמת היהודים</t>
  </si>
  <si>
    <t>יוסף בן מתתיהו הכהן - תרגום, שמואל חגי</t>
  </si>
  <si>
    <t>מלחמת היצר</t>
  </si>
  <si>
    <t>מארמורשטיין, משה אליהו</t>
  </si>
  <si>
    <t>מלחמת המגן</t>
  </si>
  <si>
    <t>אליקים, משה מאיר חי בן ניסים</t>
  </si>
  <si>
    <t>מלחמת הרוח</t>
  </si>
  <si>
    <t>מלחמת חובה (ועדות שושנים)</t>
  </si>
  <si>
    <t>מלחמת חובה</t>
  </si>
  <si>
    <t>קובץ ספרי ויכוח נגד הנוצרים</t>
  </si>
  <si>
    <t>מלחמת יהושע</t>
  </si>
  <si>
    <t>בעלסקי, יהושע יצחק</t>
  </si>
  <si>
    <t>רייכנפלד, יהושע בן יהודה ליב</t>
  </si>
  <si>
    <t>מלחמת יעבץ</t>
  </si>
  <si>
    <t>מלחמת מצוה &lt;מהדורת ישמח לב&gt;</t>
  </si>
  <si>
    <t>מלחמת מצוה</t>
  </si>
  <si>
    <t>מלחמת מצוה - 2 כר'</t>
  </si>
  <si>
    <t>הערץ, נחמיה</t>
  </si>
  <si>
    <t>מלחמת משה</t>
  </si>
  <si>
    <t>מלחמת קודש</t>
  </si>
  <si>
    <t>גולוב, מרדכי אורי</t>
  </si>
  <si>
    <t>מלחמת שלום</t>
  </si>
  <si>
    <t>הכהן, מאיר שלום בן שאול בנימין</t>
  </si>
  <si>
    <t>מלחמת שמואל</t>
  </si>
  <si>
    <t>וויינטרויב, שמואל שמלקה בן דוד</t>
  </si>
  <si>
    <t>מליזענסק לירושלים</t>
  </si>
  <si>
    <t>מפי סופרים וספרים</t>
  </si>
  <si>
    <t>מלין דרבנן - 2 כר'</t>
  </si>
  <si>
    <t>מלין חדתין</t>
  </si>
  <si>
    <t>מלין יקירין</t>
  </si>
  <si>
    <t>מליץ יושר - 5 כר'</t>
  </si>
  <si>
    <t>מליץ ישר</t>
  </si>
  <si>
    <t>אפרים בן יעקב מבונא - רומאנין, ישעיה בן יוסף</t>
  </si>
  <si>
    <t>מליץ נעים &lt;מהדורה חדשה&gt;</t>
  </si>
  <si>
    <t>מליץ נעים</t>
  </si>
  <si>
    <t>מליצה למשכיל - 2 כר'</t>
  </si>
  <si>
    <t>בנבנישתי, ווידאל בן שלמה</t>
  </si>
  <si>
    <t>רימיני Rimini</t>
  </si>
  <si>
    <t>מליצי אש - 8 כר'</t>
  </si>
  <si>
    <t>תר"צ - תרצ"ח</t>
  </si>
  <si>
    <t>דרושים, הלכה ומנהג, חסידות, תולדות עם ישראל</t>
  </si>
  <si>
    <t>מליצי יושר</t>
  </si>
  <si>
    <t>מלך ביופיו</t>
  </si>
  <si>
    <t>מלך ביפיו</t>
  </si>
  <si>
    <t>קפלן, צבי בן אברהם אליהו</t>
  </si>
  <si>
    <t>מלך יושב</t>
  </si>
  <si>
    <t>זילברשלג, דוד חיים</t>
  </si>
  <si>
    <t>מלך שלם</t>
  </si>
  <si>
    <t>שלם, שמואל בן עמנואל</t>
  </si>
  <si>
    <t>הלכה ומנהג, משנה, שאלות ותשובות, תלמוד בבלי, תלמוד ירושלמי</t>
  </si>
  <si>
    <t>מלכה של תורה - 10 כר'</t>
  </si>
  <si>
    <t>מלכו של עולם</t>
  </si>
  <si>
    <t>ווייס, ניסן</t>
  </si>
  <si>
    <t>מלכות ארי</t>
  </si>
  <si>
    <t>הלברשטט, משה ליב בן מיכאל שלמה הכהן</t>
  </si>
  <si>
    <t>מלכות בית דוד</t>
  </si>
  <si>
    <t>זילברברג, יהושע עוזיאל</t>
  </si>
  <si>
    <t>מלכות בית דוד - 2 כר'</t>
  </si>
  <si>
    <t>מלכות בית רדומסק</t>
  </si>
  <si>
    <t>מלכות דוד - א</t>
  </si>
  <si>
    <t>מאסף תורני לתורה והלכה</t>
  </si>
  <si>
    <t>מלכות התורה שבעל פה - ד</t>
  </si>
  <si>
    <t>מלכות ויז'ניץ</t>
  </si>
  <si>
    <t>ני ברק</t>
  </si>
  <si>
    <t>מלכות יהודה וישראל</t>
  </si>
  <si>
    <t>מלכות יהודה - לזכר מרן הגאון ר' יהודה הכהן רבין זצ"ל</t>
  </si>
  <si>
    <t>מלכות יהודה</t>
  </si>
  <si>
    <t>מלכות יוסף</t>
  </si>
  <si>
    <t>כהן, מאיר בן יוסף</t>
  </si>
  <si>
    <t>מלכות ישראל - 5 כר'</t>
  </si>
  <si>
    <t>רחובות- כפר חב"ד</t>
  </si>
  <si>
    <t>מלכות שבא - על התורה</t>
  </si>
  <si>
    <t>קנייבסקי, שלמה בן שמריהו יוסף חיים</t>
  </si>
  <si>
    <t>מלכות שלמה</t>
  </si>
  <si>
    <t>טברסקי, בן ציון חיים שלמה משולם זושא בן יעקב ישראל</t>
  </si>
  <si>
    <t>מלכות תהפך למינות</t>
  </si>
  <si>
    <t>בלויא, עמרם בן יצחק שלמה</t>
  </si>
  <si>
    <t>מלכי בקדש - 2 כר'</t>
  </si>
  <si>
    <t>מלכי, עזרא בן רפאל מרדכי</t>
  </si>
  <si>
    <t>הלכה ומנהג, מועדי ישראל, מועדי ישראל, שלחן ערוך ומפרשיו, תלמוד בבלי</t>
  </si>
  <si>
    <t>מלכי בקודש - תורת המגיד מזלאטשוב</t>
  </si>
  <si>
    <t>המגיד מזלאטשוב</t>
  </si>
  <si>
    <t>דרושים, חסידות, מועדי ישראל, משנה, תלמוד בבלי, תלמוד בבלי, תנ"ך, תנ"ך</t>
  </si>
  <si>
    <t>מלכי חי"ל &lt;חכמי לוב&gt; - פנקס בית דין טריפולי</t>
  </si>
  <si>
    <t>מלכי יהודה &lt;מהדורה חדשה&gt;</t>
  </si>
  <si>
    <t>ביגה, יהודה בן משה</t>
  </si>
  <si>
    <t>מלכי יהודה - 2 כר'</t>
  </si>
  <si>
    <t>מלכי ישורון &lt;חכמי אלג'יר&gt; ושבחי חכמי אלג'יריה</t>
  </si>
  <si>
    <t>מלכי צדק</t>
  </si>
  <si>
    <t>מלכי צדק - הלכות מוקצה</t>
  </si>
  <si>
    <t>פרנקל, יואל יחיאל מיכל בן יצחק</t>
  </si>
  <si>
    <t>מלכי רבנן</t>
  </si>
  <si>
    <t>מלכי תרשיש</t>
  </si>
  <si>
    <t>כהן, רפאל בנימין בן סאסי</t>
  </si>
  <si>
    <t>מלכיאל</t>
  </si>
  <si>
    <t>מלכיאל חזקיה בן אברהם</t>
  </si>
  <si>
    <t>תרל"ה-תרל"ו</t>
  </si>
  <si>
    <t>מלכים אמניך</t>
  </si>
  <si>
    <t>הלכה ומנהג, הלכה ומנהג, שאלות ותשובות</t>
  </si>
  <si>
    <t>מלכת שבא - ב</t>
  </si>
  <si>
    <t>בר אילן,שאול בן  נפתלי צבי יהודה</t>
  </si>
  <si>
    <t>מלל אברהם</t>
  </si>
  <si>
    <t>מלל לאברהם &lt;מהדורה חדשה&gt; - 2 כר'</t>
  </si>
  <si>
    <t>מלל לאברהם &lt;מכון הכתב&gt;</t>
  </si>
  <si>
    <t>סתהון, אברהם בן שלמה</t>
  </si>
  <si>
    <t>מלל לאברהם</t>
  </si>
  <si>
    <t>בן שטרית, חיים אליהו אברהם</t>
  </si>
  <si>
    <t>משנה, שאלות ותשובות, שלחן ערוך ומפרשיו, תלמוד בבלי, תלמוד בבלי, תלמוד ירושלמי, תנ"ך, תנ"ך, תפלות בקשות פיוטים ושירה</t>
  </si>
  <si>
    <t>וויינברגר, אברהם יצחק בן מרדכי יהושע</t>
  </si>
  <si>
    <t>מלל לאברהם - א</t>
  </si>
  <si>
    <t>כהן, אברהם בן יעקב מתוניס</t>
  </si>
  <si>
    <t>מלל לאברהם - 3 כר'</t>
  </si>
  <si>
    <t>מלל לשלמה</t>
  </si>
  <si>
    <t>מלמד התלמידים</t>
  </si>
  <si>
    <t>יעקב בן אבא מרי אנאטולי</t>
  </si>
  <si>
    <t>מלמד זכות - 2 כר'</t>
  </si>
  <si>
    <t>טשארני, אהרן ראובן בן יצחק</t>
  </si>
  <si>
    <t>תשי"ג - תשי"ח</t>
  </si>
  <si>
    <t>מלמד להועיל &lt;מהדורה חדשה&gt;</t>
  </si>
  <si>
    <t>מלמד להועיל - 3 כר'</t>
  </si>
  <si>
    <t>תרפ"ו - תרצ"ב</t>
  </si>
  <si>
    <t>מלמדך להועיל - א</t>
  </si>
  <si>
    <t>מלתא בטעמא - 2 כר'</t>
  </si>
  <si>
    <t>ממגד גרש ירחים - 6 כר'</t>
  </si>
  <si>
    <t>ממגד ירחים - 7 כר'</t>
  </si>
  <si>
    <t>ירחי כלה קרית גן ישראל</t>
  </si>
  <si>
    <t>ממגד שמים - 3 כר'</t>
  </si>
  <si>
    <t>יונגרמן, שלום מאיר בן יחיאל מיכל</t>
  </si>
  <si>
    <t>ממדבר מתנה</t>
  </si>
  <si>
    <t>ממדבר מתנה - 4 כר'</t>
  </si>
  <si>
    <t>ממדבר מתנה - 2 כר'</t>
  </si>
  <si>
    <t>מאדאר, דוד</t>
  </si>
  <si>
    <t>מדר, דוד</t>
  </si>
  <si>
    <t>ממדבר מתנה, תמלוך בכבוד, קנה בשם, פתחי עולם, אילת אהבים</t>
  </si>
  <si>
    <t>ממדותיו של אהרן</t>
  </si>
  <si>
    <t>לזכרו של רבי אהרן דרייזין</t>
  </si>
  <si>
    <t>ממה שנאמר בשמחה - 2 כר'</t>
  </si>
  <si>
    <t>וינדרבוים, גרשון חנוך בן פנחס הלוי</t>
  </si>
  <si>
    <t>ממון כשר</t>
  </si>
  <si>
    <t>ממזרח נועם</t>
  </si>
  <si>
    <t>ורהפטיג, זרח בן ירוחם</t>
  </si>
  <si>
    <t>ממזרח שמש עד מבואו</t>
  </si>
  <si>
    <t>ממזרח שמש</t>
  </si>
  <si>
    <t>ארלנגר, יצחק בן אהרן - ארונובסקי, מרדכי נחמן בן מאיר חיים</t>
  </si>
  <si>
    <t>ממלכת האותיות</t>
  </si>
  <si>
    <t>בר עמ"י, בן ציון</t>
  </si>
  <si>
    <t>ממלכת כהנים - 2 כר'</t>
  </si>
  <si>
    <t>אדמור"י ראדומסק</t>
  </si>
  <si>
    <t>ממלכת כהנים</t>
  </si>
  <si>
    <t>וינר, דוד הלל</t>
  </si>
  <si>
    <t>כץ, אליעזר לאזי - כץ, טוביה</t>
  </si>
  <si>
    <t>לייטר, משה חיים בן אבא</t>
  </si>
  <si>
    <t>הלכה ומנהג, שאר ספרי חז"ל, תולדות עם ישראל, תפלות בקשות פיוטים ושירה</t>
  </si>
  <si>
    <t>קהאן, ראובן אליהו הכהן</t>
  </si>
  <si>
    <t>ממנהגי ברית מילה</t>
  </si>
  <si>
    <t>ממני פריך</t>
  </si>
  <si>
    <t>מני, סלימאן מנחם</t>
  </si>
  <si>
    <t>ממספרים אתבונן</t>
  </si>
  <si>
    <t>ממעונות אריות</t>
  </si>
  <si>
    <t>קושלבסקי, עזריאל זליג נח בן יצחק צבי</t>
  </si>
  <si>
    <t>תרפ""ה</t>
  </si>
  <si>
    <t>ממעיינות הפולקלור החסידי</t>
  </si>
  <si>
    <t>רפאל, יצחק בן שמואל צבי</t>
  </si>
  <si>
    <t>ממעייני הישועה</t>
  </si>
  <si>
    <t>התאחדות האברכים דקהל יטב לב</t>
  </si>
  <si>
    <t>ממעייני הישועה - 2 כר'</t>
  </si>
  <si>
    <t>כהן, אברהם סקלי</t>
  </si>
  <si>
    <t>ממעין החכמה של עם ישראל</t>
  </si>
  <si>
    <t>שטינברג, ישראל</t>
  </si>
  <si>
    <t>ממעינות הלוי</t>
  </si>
  <si>
    <t>מכון ממעינות הלוי</t>
  </si>
  <si>
    <t>ממעיני החושן - 13 כר'</t>
  </si>
  <si>
    <t>ממעיני הישועה</t>
  </si>
  <si>
    <t>וויסבלום, יהושע אשר</t>
  </si>
  <si>
    <t>ממעיני השלום</t>
  </si>
  <si>
    <t>קובץ תורני שאץ</t>
  </si>
  <si>
    <t>ממעיני ישועה</t>
  </si>
  <si>
    <t>הירשהורן, יהושע בן סנדר הלוי</t>
  </si>
  <si>
    <t>ממעלות הקדושה</t>
  </si>
  <si>
    <t>ממעמקים - 5 כר'</t>
  </si>
  <si>
    <t>תשי"ט - תשל"ו</t>
  </si>
  <si>
    <t>נושאים שונים, שאלות ותשובות, תולדות עם ישראל, תולדות עם ישראל</t>
  </si>
  <si>
    <t>ממעמקים</t>
  </si>
  <si>
    <t>גולן, יהודית</t>
  </si>
  <si>
    <t>ממפלגה לאגודה של ישראל כולו</t>
  </si>
  <si>
    <t>פאצ'יפיצ'י, יהודה מנחם בן יוסף</t>
  </si>
  <si>
    <t>ממצרים גאלתנו (באידיש)</t>
  </si>
  <si>
    <t>שווארץ, יהוסף</t>
  </si>
  <si>
    <t>ממצרים גאלתנו</t>
  </si>
  <si>
    <t>ממצרים ועד הנה</t>
  </si>
  <si>
    <t>ממקור הנצח</t>
  </si>
  <si>
    <t>שמואלוביץ, יצחק</t>
  </si>
  <si>
    <t>ממשה עד משה</t>
  </si>
  <si>
    <t>שיק, שלמה צבי בן נתן</t>
  </si>
  <si>
    <t>ממשה עד עזרא - 2 כר'</t>
  </si>
  <si>
    <t>הכהן, שמואל</t>
  </si>
  <si>
    <t>ממשכן שילה - 3 כר'</t>
  </si>
  <si>
    <t>נוטוביץ, משה בן שאול יהודה</t>
  </si>
  <si>
    <t>ממשלי מגידים</t>
  </si>
  <si>
    <t>ממשנתה של תורה - 3 כר'</t>
  </si>
  <si>
    <t>ממשנתו של ר' גדל</t>
  </si>
  <si>
    <t>ממשנתו של רמח"ל</t>
  </si>
  <si>
    <t>מן הבאר</t>
  </si>
  <si>
    <t>בטאון תלמידי ישיבת באר יעקב</t>
  </si>
  <si>
    <t>בר-שאול, אהרן אלימלך בן פסח</t>
  </si>
  <si>
    <t>מן הבאר - ב</t>
  </si>
  <si>
    <t>מן, ישראל איסר בן אליהו</t>
  </si>
  <si>
    <t>מן הבאר - 4 כר'</t>
  </si>
  <si>
    <t>מן הבאר - בבא בתרא</t>
  </si>
  <si>
    <t>קובץ ישיבת באר ישראל</t>
  </si>
  <si>
    <t>מן הבאר - קידושין</t>
  </si>
  <si>
    <t>קובץ ישיבת באר שלמה</t>
  </si>
  <si>
    <t>מן הבאר - ביצה</t>
  </si>
  <si>
    <t>רוזנטל, יוסף שלמה</t>
  </si>
  <si>
    <t>מן הגנזים - 3 כר'</t>
  </si>
  <si>
    <t>ביאלר, יהודה ליב</t>
  </si>
  <si>
    <t>מן הגנזים - 12 כר'</t>
  </si>
  <si>
    <t>הלל, שלום בן יעקב (עורך)</t>
  </si>
  <si>
    <t>תשע"ד - תשע"ז</t>
  </si>
  <si>
    <t>מן הדברים שנאמרו בפרק מרובה</t>
  </si>
  <si>
    <t>מן המים משיתהו</t>
  </si>
  <si>
    <t>ראטה, משה בן יחזקאל</t>
  </si>
  <si>
    <t>מן המים - 7 כר'</t>
  </si>
  <si>
    <t>אייכנשטיין, משה מרדכי בן יהושע השיל</t>
  </si>
  <si>
    <t>מן המיצר</t>
  </si>
  <si>
    <t>וייסמאנדל, חיים מיכאל דוב בן יוסף</t>
  </si>
  <si>
    <t>צדוק, חיים</t>
  </si>
  <si>
    <t>מן המעין העתיק</t>
  </si>
  <si>
    <t>מן המעין</t>
  </si>
  <si>
    <t>מן המצר</t>
  </si>
  <si>
    <t>מן המקור - 5 כר'</t>
  </si>
  <si>
    <t>מן העידית</t>
  </si>
  <si>
    <t>מן העמק - ב</t>
  </si>
  <si>
    <t>כהנוביץ, שלמה זלמן</t>
  </si>
  <si>
    <t>מן הרמתים צופים</t>
  </si>
  <si>
    <t>מן השרש - 6 כר'</t>
  </si>
  <si>
    <t>מערכת כשרות למהדרין</t>
  </si>
  <si>
    <t>מן התורה - 5 כר'</t>
  </si>
  <si>
    <t>מנבכי הים</t>
  </si>
  <si>
    <t>ספר יובל</t>
  </si>
  <si>
    <t>מנגד תראה</t>
  </si>
  <si>
    <t>מלאכי, אליעזר רפאל</t>
  </si>
  <si>
    <t>מנהג אבותינו בידינו - 5 כר'</t>
  </si>
  <si>
    <t>מנהג אבותינו בידינו</t>
  </si>
  <si>
    <t>מונק, אברהם הכהן</t>
  </si>
  <si>
    <t>מנהג הקריאה המתייחס לסימן יתק"ק תדפיס</t>
  </si>
  <si>
    <t>מנהג טוב</t>
  </si>
  <si>
    <t>מנהג טוב-ויס, מאיר צבי</t>
  </si>
  <si>
    <t>מנהג ישראל תורה - (ז) יורה דעה</t>
  </si>
  <si>
    <t>לעווי, יוסף</t>
  </si>
  <si>
    <t>מנהג מרשלייאה ספר המנהגות לר' משה ב"ר שמואל</t>
  </si>
  <si>
    <t>גרטנר, יעקב</t>
  </si>
  <si>
    <t>מנהגי ארץ ישראל</t>
  </si>
  <si>
    <t>מנהגי ביהכ"נ דקהל עדת ישראל פה בערלין</t>
  </si>
  <si>
    <t>ברלין. קהילה</t>
  </si>
  <si>
    <t>[ברלין],</t>
  </si>
  <si>
    <t>מנהגי ביהמ"ד הישן דק"ק בערלין</t>
  </si>
  <si>
    <t>בערלין,</t>
  </si>
  <si>
    <t>מנהגי בית אליק - אליק וחכמיה</t>
  </si>
  <si>
    <t>ברנדווין, אהרן יעקב בן יחיאל מיכל</t>
  </si>
  <si>
    <t>מנהגי בית הכנסת חזון איש לדרמן</t>
  </si>
  <si>
    <t>כהן, אלחנן</t>
  </si>
  <si>
    <t>מנהגי בית הכנסת לבני אשכנז - תשע"ט</t>
  </si>
  <si>
    <t>מנהגי בעל החת"ם סופר</t>
  </si>
  <si>
    <t>שיל, יהושע ליב בן משה שמואל</t>
  </si>
  <si>
    <t>מנהגי בעל החתם סופר החדש</t>
  </si>
  <si>
    <t>קינסטליכאר, משה אלכסנדר זושא</t>
  </si>
  <si>
    <t>מנהגי בעלזא</t>
  </si>
  <si>
    <t>מנהגי בציעת לחם משנה</t>
  </si>
  <si>
    <t>ברגר, אביגדור</t>
  </si>
  <si>
    <t>מנהגי החיד"א - 5 כר'</t>
  </si>
  <si>
    <t>מנהגי החסידים בעיה"ק צפת</t>
  </si>
  <si>
    <t>ברלינסקי, אסף</t>
  </si>
  <si>
    <t>מנהגי הקידוש בליל שבת</t>
  </si>
  <si>
    <t>מנהגי השלחן - אורח חיים</t>
  </si>
  <si>
    <t>מנהגי ופסקי מהרי"ץ - ימים נוראים, סוכות</t>
  </si>
  <si>
    <t>מנהגי זידיטשוב</t>
  </si>
  <si>
    <t>גוטליב, יוסף</t>
  </si>
  <si>
    <t>מנהגי חג השבועות</t>
  </si>
  <si>
    <t>טסלר, חיים ישראל</t>
  </si>
  <si>
    <t>מנהגי חתם סופר</t>
  </si>
  <si>
    <t>סופר, עקיבא מנחם בן יוחנן</t>
  </si>
  <si>
    <t>מנהגי ישרון</t>
  </si>
  <si>
    <t>מנהגי לוב טראבלס</t>
  </si>
  <si>
    <t>סרוסי, רפאל</t>
  </si>
  <si>
    <t>מנהגי מהרי"צ הלוי - 3 כר'</t>
  </si>
  <si>
    <t>מנהגי מהריי"ו סוליצא &lt;מהדורה חדשה&gt;</t>
  </si>
  <si>
    <t>רובין, יעקב ישראל וישורון</t>
  </si>
  <si>
    <t>מנהגי מהריי"ו סוליצא</t>
  </si>
  <si>
    <t>מנהגי מרן בעל החתם סופר זצ"ל - 3 כר'</t>
  </si>
  <si>
    <t>מנהגי ספינקא</t>
  </si>
  <si>
    <t>מנהגי פרנקפורט - מועדים</t>
  </si>
  <si>
    <t>לייטנר, צבי יהושע</t>
  </si>
  <si>
    <t>מנהגי צפת לעדת האשכנזים חסידים</t>
  </si>
  <si>
    <t>מנהגי ק"ק "בית יעקב" בחברון</t>
  </si>
  <si>
    <t>מנהגי ק"ק מגנצא</t>
  </si>
  <si>
    <t>מתוך סדור שפת אמת תרכ"ב</t>
  </si>
  <si>
    <t>מנהגי קדש רוזין</t>
  </si>
  <si>
    <t>מנהגי קומרנא</t>
  </si>
  <si>
    <t>זיס, אברהם אבא</t>
  </si>
  <si>
    <t>מנהגי רבותינו והליכותיהם - רנ"א, רעק"א, ועוד</t>
  </si>
  <si>
    <t>מנהגי שביעית</t>
  </si>
  <si>
    <t>סיריליו, שלמה בן יוסף - דינקליס, חיים יוסף</t>
  </si>
  <si>
    <t>מנהגי תימן כרמב"ם וכשו"ע</t>
  </si>
  <si>
    <t>מנהגים דקהילתינו</t>
  </si>
  <si>
    <t>ישראל בן מרדכי גומפיל</t>
  </si>
  <si>
    <t>מנהגים ישנים מדורא</t>
  </si>
  <si>
    <t>יצחק בן מאיר הלוי מדורא</t>
  </si>
  <si>
    <t>מנהגים של כל השנה</t>
  </si>
  <si>
    <t>מנהגים</t>
  </si>
  <si>
    <t>גינזבורג, שמעון לוי</t>
  </si>
  <si>
    <t>טירנא, יצחק אייזיק</t>
  </si>
  <si>
    <t>לינויל Luneville</t>
  </si>
  <si>
    <t>מנהגים - אשכנז, פולין, מעהרין, בעהמן</t>
  </si>
  <si>
    <t>קרלסרוה</t>
  </si>
  <si>
    <t>מנהגים - 2 כר'</t>
  </si>
  <si>
    <t>קלויזנר, אברהם בן חיים</t>
  </si>
  <si>
    <t>מנובהרדוק דרך מונטרה לירושלים</t>
  </si>
  <si>
    <t>שלם, חיים</t>
  </si>
  <si>
    <t>מנוח מצא חן</t>
  </si>
  <si>
    <t>מנוחה וחיים</t>
  </si>
  <si>
    <t>מהצאר, מסיעד</t>
  </si>
  <si>
    <t>גרבה</t>
  </si>
  <si>
    <t>מנוחה וקדושה &lt;השלם&gt;</t>
  </si>
  <si>
    <t>ישראל איסר בן דוב בר</t>
  </si>
  <si>
    <t>מנוחה וקדושה - 2 כר'</t>
  </si>
  <si>
    <t>מנוחה וקדושה - קובץ</t>
  </si>
  <si>
    <t>כולל נר יצחק ואהבת שלום</t>
  </si>
  <si>
    <t>מנוחה ושמחה</t>
  </si>
  <si>
    <t>פסיקוב, יואל מרדכי</t>
  </si>
  <si>
    <t>מנוחה טובה - מועדים</t>
  </si>
  <si>
    <t>סולומונס, שמואל ליב</t>
  </si>
  <si>
    <t>מנוחה נכונה עם הערות מנוחה שלמה</t>
  </si>
  <si>
    <t>ביברפלד, חיים בן אברהם - דבליצקי, שריה בן בצלאל יעקב</t>
  </si>
  <si>
    <t>מנוחה נכונה</t>
  </si>
  <si>
    <t>אברהם, יגאל בן חנוך</t>
  </si>
  <si>
    <t>מנוחה שלוחה - ויקרא</t>
  </si>
  <si>
    <t>מנוחה שלימה - דברים שבכתב</t>
  </si>
  <si>
    <t>אסטנבולי, יהושע בן יוסף - עדס, יהודה</t>
  </si>
  <si>
    <t>מנוחה שלימה</t>
  </si>
  <si>
    <t>מרגליות, יהודה ליב שלמה בן יצחק חיים</t>
  </si>
  <si>
    <t>מנוחה שלמה - קונטרס דברים שבכתב ודברים שבע"פ</t>
  </si>
  <si>
    <t>אסטנבולי, יהושע בן יוסף</t>
  </si>
  <si>
    <t>מנוחה שלמה - 3 כר'</t>
  </si>
  <si>
    <t>כהן, שלמה בן עמרם</t>
  </si>
  <si>
    <t>מנוחה שלמה</t>
  </si>
  <si>
    <t>בראדי,</t>
  </si>
  <si>
    <t>מנוחה שלמה - 2 כר'</t>
  </si>
  <si>
    <t>מנוחת אברהם</t>
  </si>
  <si>
    <t>שלוסברג, שמואל</t>
  </si>
  <si>
    <t>מנוחת אהבה - 4 כר'</t>
  </si>
  <si>
    <t>מנוחת אהרן - 17 כר'</t>
  </si>
  <si>
    <t>ישראל, רפאל יעקב בן אהרן</t>
  </si>
  <si>
    <t>סרסאל, צרפת</t>
  </si>
  <si>
    <t>מנוחת אליהו - 3 כר'</t>
  </si>
  <si>
    <t>קווינט, אליהו בן אברהם יעקב הכהן</t>
  </si>
  <si>
    <t>מנוחת אמת</t>
  </si>
  <si>
    <t>מנוחת אמת - 2 כר'</t>
  </si>
  <si>
    <t>סני, מרדכי אברהם בן נפתלי</t>
  </si>
  <si>
    <t>מנוחת אמת - שבת</t>
  </si>
  <si>
    <t>פישהוף, תנחום</t>
  </si>
  <si>
    <t>מנוחת אשר - 4 כר'</t>
  </si>
  <si>
    <t>יונגרייז, אשר אנשיל בן שמואל הלוי</t>
  </si>
  <si>
    <t>מחשבה ומוסר, נושאים שונים, נושאים שונים, תולדות עם ישראל, תולדות עם ישראל, תלמוד בבלי</t>
  </si>
  <si>
    <t>מנוחת דוד (מהד"ב)</t>
  </si>
  <si>
    <t>אלמליח, נסים</t>
  </si>
  <si>
    <t>מנוחת הנפש השלם - יקרא דחיי</t>
  </si>
  <si>
    <t>רבי, ניסים - רבי, חיים</t>
  </si>
  <si>
    <t>מנוחת הנפש</t>
  </si>
  <si>
    <t>מנוחת יעקב - מקוואות</t>
  </si>
  <si>
    <t>מנוחת יעקב</t>
  </si>
  <si>
    <t>אטינגר, יעקב בן דב</t>
  </si>
  <si>
    <t>מנוחת יעקב - 2 כר'</t>
  </si>
  <si>
    <t>אטינגר, יעקב בן דוב</t>
  </si>
  <si>
    <t>מנוחת משה &lt;מהדורה חדשה&gt; - 2 כר'</t>
  </si>
  <si>
    <t>יונגרייז, משה נתן נטע בן אשר אנשיל הלוי</t>
  </si>
  <si>
    <t>מנוחת משה</t>
  </si>
  <si>
    <t>מנוחת נסים</t>
  </si>
  <si>
    <t>מנוחת עמי</t>
  </si>
  <si>
    <t>מנוחת שלום</t>
  </si>
  <si>
    <t>באלקען, שלום הכהן</t>
  </si>
  <si>
    <t>סאניק</t>
  </si>
  <si>
    <t>דרושים, מועדי ישראל, תלמוד בבלי, תלמוד בבלי, תנ"ך</t>
  </si>
  <si>
    <t>מנוחת שלום - 10 כר'</t>
  </si>
  <si>
    <t>סלושץ, דוד שלמה</t>
  </si>
  <si>
    <t>מנוחתם כבוד</t>
  </si>
  <si>
    <t>פיניא, דוד בן גדעון</t>
  </si>
  <si>
    <t>מנורה הטהורה &lt;מהדורה חדשה&gt; - א</t>
  </si>
  <si>
    <t>מייזלש, עוזיאל בן צבי</t>
  </si>
  <si>
    <t>מנורה הטהורה</t>
  </si>
  <si>
    <t>תרמ"ג - תרמ"ד</t>
  </si>
  <si>
    <t>פרמישלה</t>
  </si>
  <si>
    <t>מנורת אהרן</t>
  </si>
  <si>
    <t>קנאפפלער, רפאל אהרן</t>
  </si>
  <si>
    <t>מנורת בצלאל</t>
  </si>
  <si>
    <t>בייראק, בצלאל בן דוד צבי</t>
  </si>
  <si>
    <t>ראנד, בצלאל דוד</t>
  </si>
  <si>
    <t>מנורת הזהב</t>
  </si>
  <si>
    <t>מנורת המאור &lt;נפש יהודה - חק יעקב&gt;</t>
  </si>
  <si>
    <t>אבוהב, יצחק בן אברהם (הראשון) - בן נון, אדם (עורך)</t>
  </si>
  <si>
    <t>מנורת המאור &lt;דפו"ר&gt;</t>
  </si>
  <si>
    <t>אבוהב, יצחק בן אברהם (הראשון)</t>
  </si>
  <si>
    <t>רע"ד</t>
  </si>
  <si>
    <t>מנורת המאור &lt;לשבתות ומועדים&gt; - בניקוד מסורת תימן</t>
  </si>
  <si>
    <t>מנורת המאור &lt;נפש יהודה&gt; - בניקוד מסורת יהודי תימן עם ספר שמח נפש</t>
  </si>
  <si>
    <t>מנורת המאור &lt;אלנקאוה - 3 כר'</t>
  </si>
  <si>
    <t>אלנקאוה, ישראל בן יוסף</t>
  </si>
  <si>
    <t>מנורת המאור &lt;אלנקאוה&gt; - 3 כר'</t>
  </si>
  <si>
    <t>תרפ"ט - תרצ"ב</t>
  </si>
  <si>
    <t>מנורת המאור - 7 כר'</t>
  </si>
  <si>
    <t>מנורת זהב טהור</t>
  </si>
  <si>
    <t>מנורת זהב - מזבח הזהב</t>
  </si>
  <si>
    <t>לוריא, שלמה בן יחיאל (מהרש"ל) -שלמה בן מרדכי ממזריטש</t>
  </si>
  <si>
    <t>מנורת זהב - חנוכה</t>
  </si>
  <si>
    <t>רז, משה יוחאי בן אלעזר זאב</t>
  </si>
  <si>
    <t>מנורת זכריה</t>
  </si>
  <si>
    <t>תקל"ו - תקל"ז</t>
  </si>
  <si>
    <t>מנות אהרן</t>
  </si>
  <si>
    <t>מנות הלוי &lt;חצי היריעה - 2 כר'</t>
  </si>
  <si>
    <t>מנות הלוי &lt;מהדורה חדשה&gt;</t>
  </si>
  <si>
    <t>מנות הלוי - 2 כר'</t>
  </si>
  <si>
    <t>מנח יומא</t>
  </si>
  <si>
    <t>געטינגער, מנחם (מענדל)</t>
  </si>
  <si>
    <t>מנחה בלולה בשמן - 6 כר'</t>
  </si>
  <si>
    <t>תרפ"ז - תרצ"</t>
  </si>
  <si>
    <t>מנחה בלולה</t>
  </si>
  <si>
    <t>אסבאג, ברוך בן שלמה</t>
  </si>
  <si>
    <t>לויטרבאך, אשר זליג בן יעקב בצלאל הכהן</t>
  </si>
  <si>
    <t>מנחה בלולה - דברים</t>
  </si>
  <si>
    <t>רפאפורט, אברהם מנחם בן יעקב הכהן - די לונזאנו, מנחם בן יהודה</t>
  </si>
  <si>
    <t>מנחה בלולה - 3 כר'</t>
  </si>
  <si>
    <t>רפאפורט, אברהם מנחם בן יעקב הכהן</t>
  </si>
  <si>
    <t>שמעון בן דוב בר מסלונימא</t>
  </si>
  <si>
    <t>מנחה חדשה והחזיון</t>
  </si>
  <si>
    <t>חריף, יעקב בן צבי</t>
  </si>
  <si>
    <t>מנחה חדשה על הש"ס</t>
  </si>
  <si>
    <t>הורוויץ, נפתלי חיים בן מאיר</t>
  </si>
  <si>
    <t>מנחה חדשה - 2 כר'</t>
  </si>
  <si>
    <t>איפרגאן, יעקב בן יצחק</t>
  </si>
  <si>
    <t>מנחה חדשה</t>
  </si>
  <si>
    <t>גוטסמאן, אלעזר ישראל מרוזדול</t>
  </si>
  <si>
    <t>מנחה חדשה - 3 כר'</t>
  </si>
  <si>
    <t>ויסמן, יעקב נחמיה</t>
  </si>
  <si>
    <t>חן-טוב, גרשון מאיר בן משה</t>
  </si>
  <si>
    <t>דרושים, שאלות ותשובות, תולדות עם ישראל, תולדות עם ישראל, תלמוד בבלי</t>
  </si>
  <si>
    <t>לויטרבך, אשר זליג הכהן</t>
  </si>
  <si>
    <t>משה בן שמעון</t>
  </si>
  <si>
    <t>מנחה חדשה - עירובין</t>
  </si>
  <si>
    <t>נייהוז, מנחם בן שלמה זלמן</t>
  </si>
  <si>
    <t>פופרש, יוסף בן יעקב</t>
  </si>
  <si>
    <t>פיצר, חיים בן דוד</t>
  </si>
  <si>
    <t>תרע"ב,</t>
  </si>
  <si>
    <t>שור, יצחק אייזיק בן ישראל</t>
  </si>
  <si>
    <t>מנחה טהורה</t>
  </si>
  <si>
    <t>בן שמעון, מסעוד בן מנצור</t>
  </si>
  <si>
    <t>מנחה טהורה - נדה</t>
  </si>
  <si>
    <t>וולף, דניאל</t>
  </si>
  <si>
    <t>מנחה לאי"ש</t>
  </si>
  <si>
    <t>מנחה לברוך - 2 כר'</t>
  </si>
  <si>
    <t>וידר, ברוך</t>
  </si>
  <si>
    <t>מנחה לה'</t>
  </si>
  <si>
    <t>מנחה לזכרון</t>
  </si>
  <si>
    <t>גנס, שלמה אהרן</t>
  </si>
  <si>
    <t>מנחה לחיים</t>
  </si>
  <si>
    <t>מנחה ליעקב</t>
  </si>
  <si>
    <t>ינובסקי, שלמה בן חיים חייקיל</t>
  </si>
  <si>
    <t>מנחה ליצחק</t>
  </si>
  <si>
    <t>לאו, משה חיים בן ישראל</t>
  </si>
  <si>
    <t>מנחה לשמי</t>
  </si>
  <si>
    <t>ליסיצין, יוסף שלמה</t>
  </si>
  <si>
    <t>מנחה עריבה</t>
  </si>
  <si>
    <t>רוזנר, יואל בן משה הלוי</t>
  </si>
  <si>
    <t>מנחה קטנה</t>
  </si>
  <si>
    <t>גליק, ראובן בן נתן נטע</t>
  </si>
  <si>
    <t>חיים בן יששכר בר מאמשטרדם</t>
  </si>
  <si>
    <t>מנחה קטנה - 2 כר'</t>
  </si>
  <si>
    <t>פסין, אליהו בן אהרן יהושע</t>
  </si>
  <si>
    <t>חמ"דתשע"ו</t>
  </si>
  <si>
    <t>רוזנפלד, נתן בן משה הלוי</t>
  </si>
  <si>
    <t>מנחה שלוחה - 39 כר'</t>
  </si>
  <si>
    <t>מנחה שלוחה - 2 כר'</t>
  </si>
  <si>
    <t>קיציס, אשר</t>
  </si>
  <si>
    <t>מנחה שלוחה</t>
  </si>
  <si>
    <t>מנחות יעקב סלת</t>
  </si>
  <si>
    <t>מנחיל אמונה</t>
  </si>
  <si>
    <t>רוגאלין, יהודה ליב בן שרגא</t>
  </si>
  <si>
    <t>תרע"ג,</t>
  </si>
  <si>
    <t>פאלטאווא,</t>
  </si>
  <si>
    <t>מנחיל יעקב</t>
  </si>
  <si>
    <t>מנחם אבלים &lt;ליצחק ריח&gt;</t>
  </si>
  <si>
    <t>מנחם בן שמעון מרדכי - קשאני, יצחק</t>
  </si>
  <si>
    <t>מנחם אבלים</t>
  </si>
  <si>
    <t>האגר, מנחם מנדל בן דוד אליעזר</t>
  </si>
  <si>
    <t>מנחם משיב נפש - 8 כר'</t>
  </si>
  <si>
    <t>בוסקילה, דוד</t>
  </si>
  <si>
    <t>מנחם משיב נפש - 3 כר'</t>
  </si>
  <si>
    <t>היילפרין, מנחם מאנוש בן מרדכי</t>
  </si>
  <si>
    <t>תר"ס - תרס"ז</t>
  </si>
  <si>
    <t>נושאים שונים, שאלות ותשובות, תולדות עם ישראל, תלמוד בבלי, תלמוד ירושלמי</t>
  </si>
  <si>
    <t>מנחם משיב נפש</t>
  </si>
  <si>
    <t>מנחם משיב נפשי ציון ובונה ירושלים צדק צדקה צדיק</t>
  </si>
  <si>
    <t>חסידות, משנה, קבלה</t>
  </si>
  <si>
    <t>מנחם משיב נפשי</t>
  </si>
  <si>
    <t>מנחם משיב</t>
  </si>
  <si>
    <t>ברוש, מנחם בן מרדכי</t>
  </si>
  <si>
    <t>מנחם משיב - 2 כר'</t>
  </si>
  <si>
    <t>קירשבוים, מנחם מנדל בן שמואל</t>
  </si>
  <si>
    <t>מנחם צבי</t>
  </si>
  <si>
    <t>דייטש, צבי הירש בן שמעון</t>
  </si>
  <si>
    <t>מנחם ציון השלם - עם הגהות הצבי והצדק</t>
  </si>
  <si>
    <t>מנחם ציון - 3 כר'</t>
  </si>
  <si>
    <t>זקס, מנחם בן ציון בן דובער</t>
  </si>
  <si>
    <t>מנחם ציון</t>
  </si>
  <si>
    <t>מנחם מנדל בן ברוך בנדט משקלוב (המחבר האמיתי)</t>
  </si>
  <si>
    <t>קבלה, קבלה, שאר ספרי חז"ל, תנ"ך</t>
  </si>
  <si>
    <t>מנחם ציון - 2 כר'</t>
  </si>
  <si>
    <t>חסידות, תנ"ך, תנ"ך, תנ"ך</t>
  </si>
  <si>
    <t>מנחם ציון, ילקוט מנחם &lt;מהדורה חדשה&gt;</t>
  </si>
  <si>
    <t>מנחם שלמה</t>
  </si>
  <si>
    <t>גורדין, מנחם שלמה בן אליהו</t>
  </si>
  <si>
    <t>Szeczin שצ'צ'ין</t>
  </si>
  <si>
    <t>מנחם שמו</t>
  </si>
  <si>
    <t>תרצ"ז-תרצ"ט</t>
  </si>
  <si>
    <t>מנחש צפע עד נשל הנחש</t>
  </si>
  <si>
    <t>מנחת אב</t>
  </si>
  <si>
    <t>מנחת אביב</t>
  </si>
  <si>
    <t>ברטפלד, אברהם יצחק</t>
  </si>
  <si>
    <t>ליכטנשטיין, אהרן</t>
  </si>
  <si>
    <t>מנחת אברהם יוסף</t>
  </si>
  <si>
    <t>אברהם יוסף בן משה בונם</t>
  </si>
  <si>
    <t>מנחת אברהם - 11 כר'</t>
  </si>
  <si>
    <t>גרבוז, אברהם נח בן אפרים זאב</t>
  </si>
  <si>
    <t>מנחת אברהם</t>
  </si>
  <si>
    <t>חלואה, אברהם בן יצחק</t>
  </si>
  <si>
    <t>מנחת אברהם - 4 כר'</t>
  </si>
  <si>
    <t>מנחת אברהם - דברי מרדכי</t>
  </si>
  <si>
    <t>ריינהולד, אברהם בן ישראל - אברמציק, מרדכי</t>
  </si>
  <si>
    <t>מנחת אברהם - א</t>
  </si>
  <si>
    <t>ריינהולד, אברהם בן ישראל</t>
  </si>
  <si>
    <t>ה'תש"ב</t>
  </si>
  <si>
    <t>מנחת אברהם - 3 כר'</t>
  </si>
  <si>
    <t>מנחת אדם</t>
  </si>
  <si>
    <t>מילצקי, אריה דוב בן שמעון אליעזר</t>
  </si>
  <si>
    <t>מנחת אהרן</t>
  </si>
  <si>
    <t>אהרן בן אלחנן</t>
  </si>
  <si>
    <t>אראק, אהרן יהודה - אראק, מאיר</t>
  </si>
  <si>
    <t>מנחת אהרן - 3 כר'</t>
  </si>
  <si>
    <t>תרע"ח - תר"פ</t>
  </si>
  <si>
    <t>מנחת אהרן - זכרו תורת משה</t>
  </si>
  <si>
    <t>זיסו, אהרן בן יצחק דוד - דאנציג, אברהם</t>
  </si>
  <si>
    <t>מנחת אהרן - א</t>
  </si>
  <si>
    <t>לוונטאל, אהרן בן יששכר דוב הלוי</t>
  </si>
  <si>
    <t>תש"ט הס'</t>
  </si>
  <si>
    <t>מנחת אהרן - 7 כר'</t>
  </si>
  <si>
    <t>ספר זכרון לרבי אהרן שויקה</t>
  </si>
  <si>
    <t>פאדווא, אהרן בן מאיר מבריסק</t>
  </si>
  <si>
    <t>פוקס, אהרן</t>
  </si>
  <si>
    <t>קלעפפיש, אהרן יעקב</t>
  </si>
  <si>
    <t>מנחת אהרן - 5 כר'</t>
  </si>
  <si>
    <t>מנחת אזכרה</t>
  </si>
  <si>
    <t>מנחת איש - 2 כר'</t>
  </si>
  <si>
    <t>וייס, אלטר ישראל שמעון בן דוד יואל</t>
  </si>
  <si>
    <t>מנחת איש - 7 כר'</t>
  </si>
  <si>
    <t>מנחת איתן</t>
  </si>
  <si>
    <t>וואקסשטאק, איתן אליעזר בן אפרים יהושע</t>
  </si>
  <si>
    <t>מנחת איתן - א</t>
  </si>
  <si>
    <t>מנחת אליה</t>
  </si>
  <si>
    <t>ברודא, אליהו</t>
  </si>
  <si>
    <t>מנחת אליהו &lt;מהדורה חדשה&gt;</t>
  </si>
  <si>
    <t>מנחת אליהו &lt;מתוך בית הילל&gt;</t>
  </si>
  <si>
    <t>תרפ"ד-תרפ"ה</t>
  </si>
  <si>
    <t>מנחת אליהו</t>
  </si>
  <si>
    <t>מנחת אליהו - 2 כר'</t>
  </si>
  <si>
    <t>ביטון, אליהו בן חביב</t>
  </si>
  <si>
    <t>מנחת אליהו - 14 כר'</t>
  </si>
  <si>
    <t>מנחת אליהו - 19 כר'</t>
  </si>
  <si>
    <t>חיון, אליהו בן שלמה</t>
  </si>
  <si>
    <t>מנחת אליהו - 3 כר'</t>
  </si>
  <si>
    <t>מן, אליהו בן מרדכי ליב</t>
  </si>
  <si>
    <t>צאצאי משפחת לוי המורחבת</t>
  </si>
  <si>
    <t>מנחת אליהו - ב"מ</t>
  </si>
  <si>
    <t>קובץ ישיבת כנסת יום טוב</t>
  </si>
  <si>
    <t>מנחת אליהו - 5 כר'</t>
  </si>
  <si>
    <t>שורץ, מנחם בן אליהו</t>
  </si>
  <si>
    <t>שפירא, אליהו נחום בן יחיאל צבי</t>
  </si>
  <si>
    <t>מנחת אלימלך - 5 כר'</t>
  </si>
  <si>
    <t>אללעך, אלימלך</t>
  </si>
  <si>
    <t>מנחת אלימלך - 3 כר'</t>
  </si>
  <si>
    <t>וינטר, אלימלך בן מרדכי</t>
  </si>
  <si>
    <t>מנחת אלימלך</t>
  </si>
  <si>
    <t>מנחת אליעזר</t>
  </si>
  <si>
    <t>מנחת אלעזר</t>
  </si>
  <si>
    <t>מנחת אלעזר - 5 כר'</t>
  </si>
  <si>
    <t>תרס"ב - תר"צ</t>
  </si>
  <si>
    <t>מנחת אמת</t>
  </si>
  <si>
    <t>מנחת אפרים</t>
  </si>
  <si>
    <t>זורגר, אפרים אהרן בן משה זאב</t>
  </si>
  <si>
    <t>סטאניסלאבסקי, אפרים בן ברוך</t>
  </si>
  <si>
    <t>מנחת אפרים - ביטול איסור לכתחילה</t>
  </si>
  <si>
    <t>פילברבוים, נחמן אפרים מנשה בן אברהם מרדכי</t>
  </si>
  <si>
    <t>מנחת אריאל - 2 כר'</t>
  </si>
  <si>
    <t>מנחת אריה</t>
  </si>
  <si>
    <t>זיידמן, יהודה אריה ליב בן יצחק מאיר</t>
  </si>
  <si>
    <t>מנחת אש</t>
  </si>
  <si>
    <t>מנחת אשר &lt;שו"ת&gt; - 3 כר'</t>
  </si>
  <si>
    <t>וייס, אשר זעליג</t>
  </si>
  <si>
    <t>מנחת אשר - 11 כר'</t>
  </si>
  <si>
    <t>מנחת אשר - 4 כר'</t>
  </si>
  <si>
    <t>גולדברגר, פנחס אשר זליג</t>
  </si>
  <si>
    <t>מנחת אשר - 19 כר'</t>
  </si>
  <si>
    <t>מנחת אשר</t>
  </si>
  <si>
    <t>שווארץ, אשר בן צבי</t>
  </si>
  <si>
    <t>מנחת ביכורים</t>
  </si>
  <si>
    <t>מנחת ביכורים - בבא בתרא</t>
  </si>
  <si>
    <t>שמש, ינון בן יעקב</t>
  </si>
  <si>
    <t>מנחת בכורים &lt;תורת המנחה&gt;</t>
  </si>
  <si>
    <t>יעקב בן חננאל סיקילי</t>
  </si>
  <si>
    <t>מנחת בכורים</t>
  </si>
  <si>
    <t>אלברג, שמחה בן אהרן שמעון</t>
  </si>
  <si>
    <t>תפילות. מחזור. תרל"ה. ליוורנו</t>
  </si>
  <si>
    <t>מנחת בנימין</t>
  </si>
  <si>
    <t>גרוסברד, בנימין בן מנחם</t>
  </si>
  <si>
    <t>מנחת בצלאל - 2 כר'</t>
  </si>
  <si>
    <t>מנחת בצלאל</t>
  </si>
  <si>
    <t>מנחת ברוך</t>
  </si>
  <si>
    <t>וויס, ברוך</t>
  </si>
  <si>
    <t>מנחת ברוך - 2 כר'</t>
  </si>
  <si>
    <t>זילברפרב, ברוך בן שאול נטע</t>
  </si>
  <si>
    <t>לאבסקי, ברוך בן שמואל מאיר</t>
  </si>
  <si>
    <t>מנחת גדעון - 3 כר'</t>
  </si>
  <si>
    <t>מנחת דב - גיטין</t>
  </si>
  <si>
    <t>אייזנשטיין, דב (בערל) בן ישראל</t>
  </si>
  <si>
    <t>מנחת דבשי - 2 כר'</t>
  </si>
  <si>
    <t>שווארץ, ישכר דובער בן חיים יקותיאל</t>
  </si>
  <si>
    <t>מנחת דוד - אמרי דוד</t>
  </si>
  <si>
    <t>אלעזרוף, דוד</t>
  </si>
  <si>
    <t>מנחת דוד</t>
  </si>
  <si>
    <t>בריינסקי, דוד בן שמואל אהרן</t>
  </si>
  <si>
    <t>מנחת דוד - 3 כר'</t>
  </si>
  <si>
    <t>דויטש, דוד נתן בן אהרן יוסף</t>
  </si>
  <si>
    <t>מנחת דוד - עירובין</t>
  </si>
  <si>
    <t>חבושה, דוד בן משה</t>
  </si>
  <si>
    <t>מנחת דוד - 6 כר'</t>
  </si>
  <si>
    <t>ליפקוביץ, משה דוד בן אברהם יצחק</t>
  </si>
  <si>
    <t>מנחת דוד - 8 כר'</t>
  </si>
  <si>
    <t>ליפקוביץ, משה דוד</t>
  </si>
  <si>
    <t>מנחת דוד - 4 כר'</t>
  </si>
  <si>
    <t>רוזנברג, דוד הכהן</t>
  </si>
  <si>
    <t>הלכה ומנהג, שאר ספרי חז"ל, שלחן ערוך ומפרשיו</t>
  </si>
  <si>
    <t>מנחת דניאל - א</t>
  </si>
  <si>
    <t>גודיס, דניאל הלוי</t>
  </si>
  <si>
    <t>מנחת האומר</t>
  </si>
  <si>
    <t>שמשון זליג בן יעקב יוסף יוזפא הלוי</t>
  </si>
  <si>
    <t>מנחת הארץ</t>
  </si>
  <si>
    <t>י.ט.</t>
  </si>
  <si>
    <t>מנחת הבקר</t>
  </si>
  <si>
    <t>מורגנשטרן, שלמה יהודה אריה ליב בן נטע מ</t>
  </si>
  <si>
    <t>מנחת הגרשוני</t>
  </si>
  <si>
    <t>האגר, גרשון בן מנחם מנדל</t>
  </si>
  <si>
    <t>חסידות, נושאים שונים, נושאים שונים, שאלות ותשובות, תנ"ך</t>
  </si>
  <si>
    <t>מנחת הזבח &lt;עשרון וקומץ&gt;</t>
  </si>
  <si>
    <t>משה אהרן בן יצחק הכהן</t>
  </si>
  <si>
    <t>מנחת הזמן</t>
  </si>
  <si>
    <t>קזצ'קוב, נח גדליה בן קלמן אריה</t>
  </si>
  <si>
    <t>מנחת הח"ג - 2 כר'</t>
  </si>
  <si>
    <t>חנניה בן גבריאל יהושע שבתי</t>
  </si>
  <si>
    <t>תש"ב - תש"ח</t>
  </si>
  <si>
    <t>מנחת החודש</t>
  </si>
  <si>
    <t>גרסטל, יחיאל יצחק מאיר בן שמואל אריה</t>
  </si>
  <si>
    <t>מנחת החיים - 3 כר'</t>
  </si>
  <si>
    <t>מרל, מנחם חיים</t>
  </si>
  <si>
    <t>מנחת הלוי - 2 כר'</t>
  </si>
  <si>
    <t>סגל, חנניה בן חיים יהושע הלוי</t>
  </si>
  <si>
    <t>מנחת הלל</t>
  </si>
  <si>
    <t>כהן, רועי</t>
  </si>
  <si>
    <t>מנחת העומר</t>
  </si>
  <si>
    <t>תש"י - תשי"א</t>
  </si>
  <si>
    <t>דרושים, נושאים שונים, נושאים שונים, שאלות ותשובות, שאלות ותשובות, תנ"ך, תפלות בקשות פיוטים ושירה</t>
  </si>
  <si>
    <t>מנחת הערב - קידושין</t>
  </si>
  <si>
    <t>מנחת הקדש &lt;כתב יד&gt;</t>
  </si>
  <si>
    <t>קבלה, קבצים וכתבי עת, ספרי זכרון ויובל</t>
  </si>
  <si>
    <t>מנחת הקדשים</t>
  </si>
  <si>
    <t>מנחת הקומץ</t>
  </si>
  <si>
    <t>צוקרמאן, קלונימוס קלמן בן ברוך בנדיט</t>
  </si>
  <si>
    <t>יבלונוב Yablonov</t>
  </si>
  <si>
    <t>מנחת זאב</t>
  </si>
  <si>
    <t>מנחת זאב - 3 כר'</t>
  </si>
  <si>
    <t>רוגין, זאב וולף בן נחום</t>
  </si>
  <si>
    <t>שיק, מנחם זאב</t>
  </si>
  <si>
    <t>מועדי ישראל, משנה, שלחן ערוך ומפרשיו, תלמוד בבלי, תלמוד בבלי, תלמוד בבלי, תלמוד ירושלמי, תנ"ך</t>
  </si>
  <si>
    <t>מנחת זכרון</t>
  </si>
  <si>
    <t>מונסונייגו, ידידיה</t>
  </si>
  <si>
    <t>ברעסלוי,</t>
  </si>
  <si>
    <t>שיף, זאב דוב בן צבי הירש</t>
  </si>
  <si>
    <t>מנחת חזקיה - 2 כר'</t>
  </si>
  <si>
    <t>קנר, חזקיה צבי בן קדיש אריה</t>
  </si>
  <si>
    <t>מנחת חיים</t>
  </si>
  <si>
    <t>היילברון, חיים מנחם</t>
  </si>
  <si>
    <t>מנחת חיים - 2 כר'</t>
  </si>
  <si>
    <t>כץ, חיים מנחם</t>
  </si>
  <si>
    <t>רוזובסקי, מנחם חיים</t>
  </si>
  <si>
    <t>מנחת חיים - 13 כר'</t>
  </si>
  <si>
    <t>מנחת חיים - 5 כר'</t>
  </si>
  <si>
    <t>שוויד מרדכי יעקב, בן חיים</t>
  </si>
  <si>
    <t>מנחת חיינו - 2 כר'</t>
  </si>
  <si>
    <t>מנחת חינוך &lt;ביאורים והערות - מנחת מילואים&gt;</t>
  </si>
  <si>
    <t>מנחת חינוך &lt;מאור המנחה&gt;</t>
  </si>
  <si>
    <t>מכון אור כשלמה</t>
  </si>
  <si>
    <t>מנחת חינוך המורחב - מצוות הפסח</t>
  </si>
  <si>
    <t>באב"ד, יוסף  - ברוק אברהם משה, בן חיים אליעזר בן ציון</t>
  </si>
  <si>
    <t>מנחת חינוך מוסך השבת עם מנחת הבוקר</t>
  </si>
  <si>
    <t>גינזבורג, אליעזר - מיטלמן, דוב בער</t>
  </si>
  <si>
    <t>מנחת חינוך עם עשירית האיפה - א</t>
  </si>
  <si>
    <t>באב"ד, יוסף - שלזינגר, שמואל עקיבא</t>
  </si>
  <si>
    <t>מנחת חינוך - 4 כר'</t>
  </si>
  <si>
    <t>באב"ד, יוסף</t>
  </si>
  <si>
    <t>מנחת חינוך - מוסך השבת &lt;נתיבי מועד&gt;</t>
  </si>
  <si>
    <t>מנחת חן - 5 כר'</t>
  </si>
  <si>
    <t>מנחת חן</t>
  </si>
  <si>
    <t>ווייס, צבי אלימלך</t>
  </si>
  <si>
    <t>מנחת חן - 9 כר'</t>
  </si>
  <si>
    <t>מנחת טהורה &lt;גרמנית&gt;</t>
  </si>
  <si>
    <t>מנחת יאיר - 2 כר'</t>
  </si>
  <si>
    <t>מנחת יהודא</t>
  </si>
  <si>
    <t>אופנהיים, יהודה ליב בן יששכר דוב</t>
  </si>
  <si>
    <t>מנחת יהודא - 2 כר'</t>
  </si>
  <si>
    <t>בומבאך, יהודה צבי בן חיים זאב</t>
  </si>
  <si>
    <t>תקצ"א - תקצ"ח</t>
  </si>
  <si>
    <t>קליין, יהודה בן מאיר צבי</t>
  </si>
  <si>
    <t>קונסנטמיקלוש Kunsze</t>
  </si>
  <si>
    <t>שטאטהאגן, יהודה בן בנימין וולף</t>
  </si>
  <si>
    <t>מנחת יהודא - 7 כר'</t>
  </si>
  <si>
    <t>שפרייער, אברהם יהודה בן משה</t>
  </si>
  <si>
    <t>מנחת יהודה &lt;מהדורה חדשה&gt;</t>
  </si>
  <si>
    <t>מנחת יהודה &lt;שו"ת&gt; - 2 כר'</t>
  </si>
  <si>
    <t>שטרית, יהודה בן מכלוף</t>
  </si>
  <si>
    <t>מנחת יהודה וירושלים</t>
  </si>
  <si>
    <t>מנחת יהודה שונא הנשים</t>
  </si>
  <si>
    <t>מנחת יהודה</t>
  </si>
  <si>
    <t>מנחת יהודה - 3 כר'</t>
  </si>
  <si>
    <t>אבן עטר, יהודה בן יעקב</t>
  </si>
  <si>
    <t>אונגאר, יהודה זונדל בן שרגא</t>
  </si>
  <si>
    <t>דרושים, משנה, תלמוד בבלי</t>
  </si>
  <si>
    <t>איילינבורג, יהודה ליב בן עובדיה</t>
  </si>
  <si>
    <t>[ווינה?</t>
  </si>
  <si>
    <t>אפשטיין, יהודה יודיל בן שמעון זימל הלוי</t>
  </si>
  <si>
    <t>משנה, שאר ספרי חז"ל, תולדות עם ישראל, תלמוד בבלי</t>
  </si>
  <si>
    <t>בוים, דוד יהודה</t>
  </si>
  <si>
    <t>מנחת יהודה - 2 כר'</t>
  </si>
  <si>
    <t>ברוידא, יהודה אידל בן נתן נאטיל</t>
  </si>
  <si>
    <t>מנחת יהודה - 6 כר'</t>
  </si>
  <si>
    <t>גזפאן, יהודה בן יוסף</t>
  </si>
  <si>
    <t>גרוסמאן, יהודה בן נחמן</t>
  </si>
  <si>
    <t>מנחת יהודה - ב</t>
  </si>
  <si>
    <t>הירשפלד, יהודה אריה בן ברוך</t>
  </si>
  <si>
    <t>מנחת יהודה - יהושע, שופטים, שמואל</t>
  </si>
  <si>
    <t>חנין, יהודה</t>
  </si>
  <si>
    <t>מנחת יהודה - מליחה</t>
  </si>
  <si>
    <t>מנחת יהודה - שבת</t>
  </si>
  <si>
    <t>טל, יהודה</t>
  </si>
  <si>
    <t>יהודה ליב בן ישראל</t>
  </si>
  <si>
    <t>מנחת יהודה - 9 כר'</t>
  </si>
  <si>
    <t>עטיה, יהודה בן ניסים</t>
  </si>
  <si>
    <t>תרפ"ד - תרפ"ט</t>
  </si>
  <si>
    <t>משנה, קבלה, תנ"ך</t>
  </si>
  <si>
    <t>מנחת יום טוב - בבא בתרא</t>
  </si>
  <si>
    <t>ברנדווין, משה יו"ט בן יעקב מרדכי</t>
  </si>
  <si>
    <t>מנחת יום טוב - פסחים</t>
  </si>
  <si>
    <t>ברנדויין, משה יום טוב בן יעקב מרדכי</t>
  </si>
  <si>
    <t>מנחת יוסף שני חלקים</t>
  </si>
  <si>
    <t>דרושים, שאלות ותשובות, תולדות עם ישראל, תולדות עם ישראל, תנ"ך</t>
  </si>
  <si>
    <t>מנחת יוסף - תפילה וברכות</t>
  </si>
  <si>
    <t>אינגבר, יוסף</t>
  </si>
  <si>
    <t>מנחת יוסף - 2 כר'</t>
  </si>
  <si>
    <t>אקער, יוסף</t>
  </si>
  <si>
    <t>מנחת יוסף</t>
  </si>
  <si>
    <t>חנימוב, יוסף</t>
  </si>
  <si>
    <t>יוסלביץ, יוסף בן ישראל אריה</t>
  </si>
  <si>
    <t>לשינסקי, ניסן יוסף</t>
  </si>
  <si>
    <t>מנחת יוסף - מוקצה</t>
  </si>
  <si>
    <t>מייברג, יוסף מאיר בן שמואל</t>
  </si>
  <si>
    <t>מנחת יוסף - 4 כר'</t>
  </si>
  <si>
    <t>פרגר, חיים יוסף אריה בן משה אליעזר</t>
  </si>
  <si>
    <t>מנחת יחזקאל משמרת הקודש והדיבור - 2 כר'</t>
  </si>
  <si>
    <t>ורהפטיג, יצחק יחזקאל בן חיים יעקב</t>
  </si>
  <si>
    <t>מנחת יחיאל - 3 כר'</t>
  </si>
  <si>
    <t>נבנצאל, אלטר יחיאל בן יוסף</t>
  </si>
  <si>
    <t>מנחת יחיאל - כיסוי הדם</t>
  </si>
  <si>
    <t>רוזנר, ייאל פישל בן משה מנחם</t>
  </si>
  <si>
    <t>מנחת יחיד - 3 כר'</t>
  </si>
  <si>
    <t>זילברברג, יחיאל</t>
  </si>
  <si>
    <t>מנחת ים - קידושין</t>
  </si>
  <si>
    <t>פלמנבוים, ישראל מאיר בן יצחק</t>
  </si>
  <si>
    <t>מנחת ימים</t>
  </si>
  <si>
    <t>מנחת יעקב ישראל</t>
  </si>
  <si>
    <t>קדוש, יעקב ישראל בן יוסף</t>
  </si>
  <si>
    <t>מנחת יעקב</t>
  </si>
  <si>
    <t>גולדברג, צבי יעקב בן יהושע טוביה</t>
  </si>
  <si>
    <t>גורדון, יעקב בן יהודה ליב</t>
  </si>
  <si>
    <t>מנחת יעקב - 4 כר'</t>
  </si>
  <si>
    <t>מנחת יעקב - בגדי כהונה</t>
  </si>
  <si>
    <t>הופמן, יעקב ישראל</t>
  </si>
  <si>
    <t>מנחת יעקב - חו"מ סימנים א-עה</t>
  </si>
  <si>
    <t>ווייסמאן, יעקב בן ישראל צבי</t>
  </si>
  <si>
    <t>סג"ל, יעקב אליעזר בן יהודה הלוי</t>
  </si>
  <si>
    <t>מנחת יצחק &lt;מהדורה חדשה&gt; - 11 כר'</t>
  </si>
  <si>
    <t>מנחת יצחק על התורה - 3 כר'</t>
  </si>
  <si>
    <t>מנחת יצחק על משניות סדר זרעים</t>
  </si>
  <si>
    <t>מנחת יצחק על משניות - כלים, ידים</t>
  </si>
  <si>
    <t>מנחת יצחק</t>
  </si>
  <si>
    <t>הוכנער, יצחק בן מנחם מנדיל</t>
  </si>
  <si>
    <t>מנחת יצחק - 19 כר'</t>
  </si>
  <si>
    <t>טויבש, יצחק איזיק בן שמואל</t>
  </si>
  <si>
    <t>יצחק בן ברכה הכהן</t>
  </si>
  <si>
    <t>לנדא, יצחק בן יהודה</t>
  </si>
  <si>
    <t>מאליר, יצחק בן אליהו</t>
  </si>
  <si>
    <t>מנץ, יצחק בן יהודה ליב</t>
  </si>
  <si>
    <t>מנחת יצחק - 4 כר'</t>
  </si>
  <si>
    <t>סטולמאן, יצחק בן אריה ליב</t>
  </si>
  <si>
    <t>תרצ"ד - תשי"ז</t>
  </si>
  <si>
    <t>שטארק, יצחק נתן</t>
  </si>
  <si>
    <t>מנחת ירושלים - 3 כר'</t>
  </si>
  <si>
    <t>מנחת ירושלם &lt;מנחה חריבה&gt; - א</t>
  </si>
  <si>
    <t>תרע"ד - תרפ"ג</t>
  </si>
  <si>
    <t>מנחת ישכר - א,ב,ג</t>
  </si>
  <si>
    <t>גולדראט, יששכר בר בן מרדכי</t>
  </si>
  <si>
    <t>מנחת ישראל ואמונת ישראל</t>
  </si>
  <si>
    <t>מנחת ישראל - גיטין</t>
  </si>
  <si>
    <t>איסלר, ישראל איסר</t>
  </si>
  <si>
    <t>מנחת ישראל - 2 כר'</t>
  </si>
  <si>
    <t>מנחת ישראל - 7 כר'</t>
  </si>
  <si>
    <t>מנחת ישראל</t>
  </si>
  <si>
    <t>מנחת ישראל - 3 כר'</t>
  </si>
  <si>
    <t>קיהן, ישראל מנחם</t>
  </si>
  <si>
    <t>דרושים, דרושים, נושאים שונים, תלמוד בבלי, תלמוד בבלי, תלמוד בבלי</t>
  </si>
  <si>
    <t>מנחת ישראל - 4 כר'</t>
  </si>
  <si>
    <t>תרס"ח - תרפ"ז</t>
  </si>
  <si>
    <t>שטיינמץ, ישראל בן מרדכי שלמה</t>
  </si>
  <si>
    <t>מנחת ישרון</t>
  </si>
  <si>
    <t>רובין, מנחם מנדל</t>
  </si>
  <si>
    <t>מנחת כהן &lt;מהדורה חדשה&gt; - א</t>
  </si>
  <si>
    <t>מנחת כהן &lt;שונה הלכות, הליכות עולם&gt; - 3 כר'</t>
  </si>
  <si>
    <t>הלכה ומנהג, נושאים שונים, קבלה, שאלות ותשובות</t>
  </si>
  <si>
    <t>מנחת כהן &lt;תהלים&gt;</t>
  </si>
  <si>
    <t>מנחת כהן על התורה</t>
  </si>
  <si>
    <t>כ"ץ, דוד בן צבי הירש הכהן</t>
  </si>
  <si>
    <t>מנחת כהן</t>
  </si>
  <si>
    <t>אנטוקולסקי, משה שמעון בן ברוך ראובן הכהן</t>
  </si>
  <si>
    <t>מנחת כהן - 4 כר'</t>
  </si>
  <si>
    <t>יוסף בן שניאור הכהן</t>
  </si>
  <si>
    <t>מנחת כהן - 2 כר'</t>
  </si>
  <si>
    <t>כ"ץ, יהודה בן יעקב הכהן</t>
  </si>
  <si>
    <t>כ"ץ, מיכאל בן ברוך הכהן</t>
  </si>
  <si>
    <t>תרס"ב - תרע"א</t>
  </si>
  <si>
    <t>כהן-פריווה, אליהו בן מרדכי</t>
  </si>
  <si>
    <t>פרדס חנה Pardes Han</t>
  </si>
  <si>
    <t>מנחת כהן - 10 כר'</t>
  </si>
  <si>
    <t>כהנא, יוסף י בן אפרים</t>
  </si>
  <si>
    <t>מנחת כהן - 5 כר'</t>
  </si>
  <si>
    <t>כהנא, יוסף י. בן אפרים</t>
  </si>
  <si>
    <t>מנחת כהן - משמרת שבת &lt;משמרת למשמרתי&gt;</t>
  </si>
  <si>
    <t>פימינטיל, אברהם כהן - שקלאר, אברהם בן מנחם</t>
  </si>
  <si>
    <t>פימינטיל, אברהם כהן</t>
  </si>
  <si>
    <t>רפאפורט, מאיר בן שבתי הכהן</t>
  </si>
  <si>
    <t>שבתי בן משה הכהן מטיקטין</t>
  </si>
  <si>
    <t>שמואל בן יוסף כהן</t>
  </si>
  <si>
    <t>שנ"ח - ש"ס</t>
  </si>
  <si>
    <t>מנחת כהנא</t>
  </si>
  <si>
    <t>כהנא, ראובן גרשון בן זאב וולף</t>
  </si>
  <si>
    <t>מנחת כהנים</t>
  </si>
  <si>
    <t>מנחת לחם עני</t>
  </si>
  <si>
    <t>מייזלש, חנניה ליפא בן יונה</t>
  </si>
  <si>
    <t>מנחת מאיר</t>
  </si>
  <si>
    <t>הכהן, מאיר בן אברהם</t>
  </si>
  <si>
    <t>רויז, מאיר</t>
  </si>
  <si>
    <t>מנחת מועד - 2 כר'</t>
  </si>
  <si>
    <t>מנחת מחבת - 3 כר'</t>
  </si>
  <si>
    <t>באב"ד, מרדכי משולם זלמן</t>
  </si>
  <si>
    <t>מנחת מחשבת</t>
  </si>
  <si>
    <t>מנחת מיכאל - 4 כר'</t>
  </si>
  <si>
    <t>רביוב, מיכאל בן משה</t>
  </si>
  <si>
    <t>מנחת מנוח - עירובין, בבא בתרא</t>
  </si>
  <si>
    <t>רוזנטל, נחום בן משה אהרן</t>
  </si>
  <si>
    <t>מנחת מנחם - אגדה ומחשבה א</t>
  </si>
  <si>
    <t>פיבלזון, מנחם בן אליעזר יעקב חיים</t>
  </si>
  <si>
    <t>מנחת מנחם - 5 כר'</t>
  </si>
  <si>
    <t>פייבלזון, מנחם בן אליעזר יעקב חיים</t>
  </si>
  <si>
    <t>מנחת מנחם</t>
  </si>
  <si>
    <t>מנחת מנשה</t>
  </si>
  <si>
    <t>מוזגו, מנשה</t>
  </si>
  <si>
    <t>מנחת מרדכי (יו"ד א-ס - קפג-רא)</t>
  </si>
  <si>
    <t>שרייבמאן, מרדכי בן עזרא</t>
  </si>
  <si>
    <t>תש"ז - תשי"ז</t>
  </si>
  <si>
    <t>Tel Aviv תל אביב</t>
  </si>
  <si>
    <t>מנחת מרדכי (יו"ד סא-פז)</t>
  </si>
  <si>
    <t>מנחת מרדכי - 3 כר'</t>
  </si>
  <si>
    <t>עליאש, מיכאל יחיאל בן יוסף הלוי</t>
  </si>
  <si>
    <t>מנחת מרדכי - מנחת חינוך</t>
  </si>
  <si>
    <t>מנחת מרדכי</t>
  </si>
  <si>
    <t>פליגלמן, מרדכי דוד</t>
  </si>
  <si>
    <t>מנחת מרדכי - 2 כר'</t>
  </si>
  <si>
    <t>קרטמן, אביגדור מרדכי בן ישראל מנחם</t>
  </si>
  <si>
    <t>מנחת מרחשת</t>
  </si>
  <si>
    <t>אליהו בן שלמה מימופלה</t>
  </si>
  <si>
    <t>מנחת מרחשת - 2 כר'</t>
  </si>
  <si>
    <t>לייקוווד</t>
  </si>
  <si>
    <t>קנלר, אהרן שמואל בן משה</t>
  </si>
  <si>
    <t>מנחת משה - 2 כר'</t>
  </si>
  <si>
    <t>מנחת משה</t>
  </si>
  <si>
    <t>גולדברג, משה בנימין בן נחום צבי</t>
  </si>
  <si>
    <t>מנחת משה - 3 כר'</t>
  </si>
  <si>
    <t>משה בן נחמן (הרמב"ן) - שבתי, משה אליהו</t>
  </si>
  <si>
    <t>מנחת משה - 6 כר'</t>
  </si>
  <si>
    <t>פינקל, משה בן גדליה</t>
  </si>
  <si>
    <t>קרויס, משה בונם בן יונה</t>
  </si>
  <si>
    <t>מנחת משה - או"ה, נדה</t>
  </si>
  <si>
    <t>רחמים, משה בן דוד</t>
  </si>
  <si>
    <t>מנחת משה - 5 כר'</t>
  </si>
  <si>
    <t>מנחת נדבה - מנחות</t>
  </si>
  <si>
    <t>ברקוביץ, יואל בן בצלאל</t>
  </si>
  <si>
    <t>מנחת נחשון</t>
  </si>
  <si>
    <t>שילר, נחשון בן נטע</t>
  </si>
  <si>
    <t>מנחת נסכים</t>
  </si>
  <si>
    <t>גוטסגנדה, מרדכי</t>
  </si>
  <si>
    <t>מועדי ישראל, משנה, נושאים שונים</t>
  </si>
  <si>
    <t>מנחת נתן - 3 כר'</t>
  </si>
  <si>
    <t>אינפלד, נתן חיים</t>
  </si>
  <si>
    <t>מנחת נתן</t>
  </si>
  <si>
    <t>שטרנבורג, נתן בן יצחק</t>
  </si>
  <si>
    <t>מנחת נתנאל</t>
  </si>
  <si>
    <t>ווייל, יעקב נתנאל בן נפתלי צבי הירש</t>
  </si>
  <si>
    <t>מנחת נתנאל - ב"ק, קידושין</t>
  </si>
  <si>
    <t>משולם, נתנאל בן יצחק</t>
  </si>
  <si>
    <t>רביבו, נתנאל</t>
  </si>
  <si>
    <t>מנחת סולת - 3 כר'</t>
  </si>
  <si>
    <t>זמאן, דוד טבל צבי בן אליקים גצל</t>
  </si>
  <si>
    <t>מנחת סופר</t>
  </si>
  <si>
    <t>שנברון, מנחם מנדל בן אברהם הכהן</t>
  </si>
  <si>
    <t>מנחת עומר</t>
  </si>
  <si>
    <t>Kleinwardein קלינור</t>
  </si>
  <si>
    <t>מנחת עזרא - 5 כר'</t>
  </si>
  <si>
    <t>מנחת עזרא</t>
  </si>
  <si>
    <t>מנחת עיון</t>
  </si>
  <si>
    <t>רוטנברג, ישראל בן מרדכי</t>
  </si>
  <si>
    <t>מנחת עמרם - ברכות</t>
  </si>
  <si>
    <t>מנחת עני &lt;מהדורה חדשה&gt;</t>
  </si>
  <si>
    <t>מנחת עני &lt;על התורה ומועדים&gt; - 5 כר'</t>
  </si>
  <si>
    <t>מנחת עני ומנחת כהן</t>
  </si>
  <si>
    <t>יצחק זליג מאן בן אברהם כהן</t>
  </si>
  <si>
    <t>מנחת עני</t>
  </si>
  <si>
    <t>אריה ליב בן אליהו</t>
  </si>
  <si>
    <t>יוסף שלמה זלמן בן מאיר</t>
  </si>
  <si>
    <t>ספיר, סיני בן אלעזר</t>
  </si>
  <si>
    <t>פישר, מרדכי יצחק בן שמואל פתחיה</t>
  </si>
  <si>
    <t>שימאנדל, יששכר דוב בר בן סיני</t>
  </si>
  <si>
    <t>מנחת ערב &lt;מהדורה חדשה&gt;</t>
  </si>
  <si>
    <t>מנחת ערב</t>
  </si>
  <si>
    <t>מנחת ערב - 2 כר'</t>
  </si>
  <si>
    <t>קשוי Kosice</t>
  </si>
  <si>
    <t>תר"ס-</t>
  </si>
  <si>
    <t>עידאן, מכלוף בן משה</t>
  </si>
  <si>
    <t>מנחת ערב - 3 כר'</t>
  </si>
  <si>
    <t>פנירי, אברהם</t>
  </si>
  <si>
    <t>מנחת ערב - ערבי פסחים</t>
  </si>
  <si>
    <t>מנחת ערב - ביצה</t>
  </si>
  <si>
    <t>קובץ, כולל ערב אהל יוסף</t>
  </si>
  <si>
    <t>מנחת ערבה</t>
  </si>
  <si>
    <t>מנחת פאר</t>
  </si>
  <si>
    <t>פנחסי, אליהו בן משה</t>
  </si>
  <si>
    <t>מנחת פי</t>
  </si>
  <si>
    <t>בוגץ', פינחס בן מרדכי ש.</t>
  </si>
  <si>
    <t>מנחת פנחס - 3 כר'</t>
  </si>
  <si>
    <t>זונאבנד, דב רפאל בן פנחס מנחם</t>
  </si>
  <si>
    <t>מנחת פסחים</t>
  </si>
  <si>
    <t>כולל מנחת שלום</t>
  </si>
  <si>
    <t>מנחת פרי &lt;שו"ת&gt; - 6 כר'</t>
  </si>
  <si>
    <t>רוטנברג, ישעיהו פנחס בן אליעזר שרגא</t>
  </si>
  <si>
    <t>מנחת פרי - שבת, עירובין</t>
  </si>
  <si>
    <t>רוטנברג, ישעיהו פנחס בן אליעזא שרגא</t>
  </si>
  <si>
    <t>מנחת פרי - 4 כר'</t>
  </si>
  <si>
    <t>מנחת פתים &lt;מהדורה חדשה&gt; - 3 כר'</t>
  </si>
  <si>
    <t>מנחת פתים - 2 כר'</t>
  </si>
  <si>
    <t>מנחת פתים</t>
  </si>
  <si>
    <t>גליקסמן, פנחס הכהן</t>
  </si>
  <si>
    <t>דרושים, הלכה ומנהג, משנה, שלחן ערוך ומפרשיו, תלמוד בבלי, תלמוד בבלי, תלמוד בבלי, תנ"ך, תנ"ך</t>
  </si>
  <si>
    <t>שיין, מנחם מנדל בן שמואל</t>
  </si>
  <si>
    <t>שיראן,</t>
  </si>
  <si>
    <t>מנחת צבי</t>
  </si>
  <si>
    <t>אייזנשטט, מנחם צבי בן יחיאל יצחק</t>
  </si>
  <si>
    <t>מנחת צבי - 2 כר'</t>
  </si>
  <si>
    <t>וידר, מנחם צבי בן שלום</t>
  </si>
  <si>
    <t>מנחת צבי - 4 כר'</t>
  </si>
  <si>
    <t>זריל, צבי בן מרדכי</t>
  </si>
  <si>
    <t>מנחת צבי - 3 כר'</t>
  </si>
  <si>
    <t>שפיץ, צבי בן חיים יצחק</t>
  </si>
  <si>
    <t>מנחת ציבור - קינים</t>
  </si>
  <si>
    <t>מנחת ציון - פסח</t>
  </si>
  <si>
    <t>מנחת צמח</t>
  </si>
  <si>
    <t>האפענבערג, צמח בן פסח נתן</t>
  </si>
  <si>
    <t>מנחת קדש</t>
  </si>
  <si>
    <t>מנחת קנאות &lt;מהדורה חדשה&gt;</t>
  </si>
  <si>
    <t>מנחת קנאות מזכרת עון</t>
  </si>
  <si>
    <t>פינסו, אברהם חיים בן יוסף</t>
  </si>
  <si>
    <t>מנחת קנאות</t>
  </si>
  <si>
    <t>אבא מארי בן משה הירחי</t>
  </si>
  <si>
    <t>מחשבה ומוסר, נושאים שונים, שאלות ותשובות</t>
  </si>
  <si>
    <t>מנחת קנאות - 2 כר'</t>
  </si>
  <si>
    <t>פיסא, יחיאל ניסים בן שמואל</t>
  </si>
  <si>
    <t>מנחת ראובן - עירובין</t>
  </si>
  <si>
    <t>יעקובוביץ, ראובן</t>
  </si>
  <si>
    <t>מנחת ראובן - 4 כר'</t>
  </si>
  <si>
    <t>מנוחין, ראובן</t>
  </si>
  <si>
    <t>מנחת ראם</t>
  </si>
  <si>
    <t>מנחת ריב"א</t>
  </si>
  <si>
    <t>קאצקה, יצחק בן אברהם</t>
  </si>
  <si>
    <t>מנחת רפאל - 3 כר'</t>
  </si>
  <si>
    <t>סקירה, רפאל</t>
  </si>
  <si>
    <t>מנחת רפאל - 2 כר'</t>
  </si>
  <si>
    <t>פרצוביץ, רפאל בן נחום</t>
  </si>
  <si>
    <t>מנחת רפאל</t>
  </si>
  <si>
    <t>מנחת ש"י</t>
  </si>
  <si>
    <t>גרינברג, שלמה ירמיה בן נחום צבי</t>
  </si>
  <si>
    <t>מנחת שאול - 4 כר'</t>
  </si>
  <si>
    <t>ברוס, שאול בן מנחם מנדל</t>
  </si>
  <si>
    <t>מנחת שאול - 13 כר'</t>
  </si>
  <si>
    <t>סעיד, שאול דניאל</t>
  </si>
  <si>
    <t>מנחת שביעית</t>
  </si>
  <si>
    <t>לינדר, יחזקאל אלימלך - אייזנשטיין, יוסף שאול</t>
  </si>
  <si>
    <t>מנחת שבת &lt;סלת למנחה, פירוש הרמב"ם&gt;</t>
  </si>
  <si>
    <t>מנחת שבת &lt;סלת למנחה&gt;</t>
  </si>
  <si>
    <t>מנחת שבת</t>
  </si>
  <si>
    <t>בושארי, עזריהו</t>
  </si>
  <si>
    <t>לייפר, מאיר בן חיים אלטר דוד</t>
  </si>
  <si>
    <t>מנחת שי &lt;מהדורת בצר&gt;</t>
  </si>
  <si>
    <t>מנחת שי - 4 כר'</t>
  </si>
  <si>
    <t>בלוי, יצחק שלמה בן אהרן ישעיה</t>
  </si>
  <si>
    <t>מנחת שי - 2 כר'</t>
  </si>
  <si>
    <t>הירש, שלמה יהודה</t>
  </si>
  <si>
    <t>מנחת שי</t>
  </si>
  <si>
    <t>יחזקאל, שלמה י.</t>
  </si>
  <si>
    <t>כולל שומרי גחלת</t>
  </si>
  <si>
    <t>מנחת שי - ספר זכרון</t>
  </si>
  <si>
    <t>לזכר הרב שאול יעקב כהן</t>
  </si>
  <si>
    <t>מנחת שי - אור החיים &lt;מהדורה חדשה&gt;</t>
  </si>
  <si>
    <t>נורצי, ידידיה שלמה רפאל בן אברהם - בנדר, חיים בן זאב</t>
  </si>
  <si>
    <t>רוזנבלום, שמעון יצחק בן מרדכי</t>
  </si>
  <si>
    <t>שור, שמואל יצחק בן משה חיים</t>
  </si>
  <si>
    <t>תרנ"א - תרע"א</t>
  </si>
  <si>
    <t>לעמבערג Lemberg</t>
  </si>
  <si>
    <t>מנחת שי - 5 כר'</t>
  </si>
  <si>
    <t>שלטי, יצחק בן אליהו</t>
  </si>
  <si>
    <t>שריקי, יוסף בן נסים</t>
  </si>
  <si>
    <t>מנחת שלום</t>
  </si>
  <si>
    <t>גרוסמן, שלום מנחם הלוי</t>
  </si>
  <si>
    <t>מנחת שלום - 17 כר'</t>
  </si>
  <si>
    <t>יפרח, שלום בן מאיר</t>
  </si>
  <si>
    <t>מנחת שלמה &lt;על הש"ס&gt; - 13 כר'</t>
  </si>
  <si>
    <t>מנחת שלמה &lt;שו"ת מחולק לחלקים&gt; - 3 כר'</t>
  </si>
  <si>
    <t>מנחת שלמה &lt;שו"ת מחולק למהדורות&gt; - 3 כר'</t>
  </si>
  <si>
    <t>מנחת שלמה מאיר</t>
  </si>
  <si>
    <t>מנחת שלמה</t>
  </si>
  <si>
    <t>לווין, שלמה יצחק</t>
  </si>
  <si>
    <t>מנחת שמואל &lt;אמרות טהורות&gt;</t>
  </si>
  <si>
    <t>שמואל בן יהושע זליג מדולהינוב</t>
  </si>
  <si>
    <t>מנחת שמואל - 2 כר'</t>
  </si>
  <si>
    <t>ביטון, שמואל מיכאל בן שמעון חנניה</t>
  </si>
  <si>
    <t>מנחת שמואל - ביצה</t>
  </si>
  <si>
    <t>מנחת שמואל</t>
  </si>
  <si>
    <t>גורג'י, שמואל בן שלמה</t>
  </si>
  <si>
    <t>ווייס, שמואל בן משה</t>
  </si>
  <si>
    <t>ילוב, שמואל ליב בן ישראל משה</t>
  </si>
  <si>
    <t>כאשכראמן, שמואל</t>
  </si>
  <si>
    <t>אטלנטה</t>
  </si>
  <si>
    <t>מנחת שמואל - 4 כר'</t>
  </si>
  <si>
    <t>מנחת שמואל - 3 כר'</t>
  </si>
  <si>
    <t>שמואל בן יצחק אייזיק משוורין</t>
  </si>
  <si>
    <t>קופנהגן Copenhagen</t>
  </si>
  <si>
    <t>הלכה ומנהג, משנה, שלחן ערוך ומפרשיו, תלמוד בבלי, תלמוד בבלי, תנ"ך</t>
  </si>
  <si>
    <t>מנחת שמעון</t>
  </si>
  <si>
    <t>מנחת שמעון - 7 כר'</t>
  </si>
  <si>
    <t>מנחת תודה - 2 כר'</t>
  </si>
  <si>
    <t>מנחת תודה - דמאי</t>
  </si>
  <si>
    <t>פולק, צבי בן גרשון מאיר</t>
  </si>
  <si>
    <t>מנחת תודה</t>
  </si>
  <si>
    <t>מנחת תודה - ב</t>
  </si>
  <si>
    <t>מנחת תושיה</t>
  </si>
  <si>
    <t>כולל מיר ברכפלד</t>
  </si>
  <si>
    <t>מני שמחוך - 2 כר'</t>
  </si>
  <si>
    <t>מני תימן ובשעריים</t>
  </si>
  <si>
    <t>קפרא, פנחס</t>
  </si>
  <si>
    <t>מנין הגידים האסורים לרס"ג</t>
  </si>
  <si>
    <t>מנין המצוות - 2 כר'</t>
  </si>
  <si>
    <t>ליקוט מנייני המצוות</t>
  </si>
  <si>
    <t>מנין המצות &lt;בית הב"ד&gt;</t>
  </si>
  <si>
    <t>מנין התנאים - 11 כר'</t>
  </si>
  <si>
    <t>מנסתרי בראשית - ב</t>
  </si>
  <si>
    <t>אסדו, אליהו</t>
  </si>
  <si>
    <t>מנפת צוף - ב</t>
  </si>
  <si>
    <t>בלס, יהונתן שמחה</t>
  </si>
  <si>
    <t>נוה צוף</t>
  </si>
  <si>
    <t>מנרת זהב - 2 כר'</t>
  </si>
  <si>
    <t>מנרת זהב</t>
  </si>
  <si>
    <t>מנת חלקי</t>
  </si>
  <si>
    <t>חסן, רפאל מאיר</t>
  </si>
  <si>
    <t>לנדא, קלמן בן אליעזר נתן הלוי סג"ל</t>
  </si>
  <si>
    <t>מסביב לשלחן - 43 כר'</t>
  </si>
  <si>
    <t>רוזנשטיין, שלמה (עורך)</t>
  </si>
  <si>
    <t>מסגרת השלחן</t>
  </si>
  <si>
    <t>בנימין זאב וולף בן שבתי</t>
  </si>
  <si>
    <t>קאסטלנובו, מנחם חיים עזריה מאיר בן אליה</t>
  </si>
  <si>
    <t>מסדר חילוקים ושיטות</t>
  </si>
  <si>
    <t>מסו"ד חכמים</t>
  </si>
  <si>
    <t>משפחת הרב לוי יצחק הלפרין</t>
  </si>
  <si>
    <t>מסוא משה</t>
  </si>
  <si>
    <t>סוויד, משה</t>
  </si>
  <si>
    <t>מסוד ישרים</t>
  </si>
  <si>
    <t>לבל, משה יואל</t>
  </si>
  <si>
    <t>מסוד שיח חסידים</t>
  </si>
  <si>
    <t>מסורה בלעטער - 3 כר'</t>
  </si>
  <si>
    <t>גרובשטיין, אברהם משה</t>
  </si>
  <si>
    <t>מסורה ברורה</t>
  </si>
  <si>
    <t>יוסף בן מרדכי מברדיטשוב</t>
  </si>
  <si>
    <t>תקס"ז - תקע"ח</t>
  </si>
  <si>
    <t>מסורה גדולה &lt;כתר ארם צובה&gt;</t>
  </si>
  <si>
    <t>לוינגר, דוד שמואל (עורך)</t>
  </si>
  <si>
    <t>תשלז</t>
  </si>
  <si>
    <t>מסורה גדולה</t>
  </si>
  <si>
    <t>ביאליסטוצקי, יוסף בן שלמה שלום ישראל</t>
  </si>
  <si>
    <t>מסורה ליוסף - 4 כר'</t>
  </si>
  <si>
    <t>עיונים במורשתו של רבי יוסף קאפח</t>
  </si>
  <si>
    <t>מסורה - 28 כר'</t>
  </si>
  <si>
    <t>מסורת אבות</t>
  </si>
  <si>
    <t>מסורת אבותינו</t>
  </si>
  <si>
    <t>ועד מחזיקי חינוך הישן</t>
  </si>
  <si>
    <t>מסורת האותיות - משמרת האמת</t>
  </si>
  <si>
    <t>כהן, אהרן - הס, מרדכי</t>
  </si>
  <si>
    <t>מסורת הברית הגדול</t>
  </si>
  <si>
    <t>אנג'יל, מאיר בן אברהם</t>
  </si>
  <si>
    <t>[שפ"ב,</t>
  </si>
  <si>
    <t>מסורת הברית - מנהגי ברית מילה לבני אשכנז</t>
  </si>
  <si>
    <t>מסורת הברית</t>
  </si>
  <si>
    <t>דוד טבל בן בנימין זאב וולף מפוזנא</t>
  </si>
  <si>
    <t>מסורת ההוראה</t>
  </si>
  <si>
    <t>בתי ההוראה ובית הדין שע"י ק"ק חניכי הישיבות ספרדים</t>
  </si>
  <si>
    <t>מסורת ההוראה - 2 כר'</t>
  </si>
  <si>
    <t>מסורת הזהר</t>
  </si>
  <si>
    <t>אשלג, יחזקאל יוסף</t>
  </si>
  <si>
    <t>מסורת החינוך</t>
  </si>
  <si>
    <t>מסורת המסורת - 2 כר'</t>
  </si>
  <si>
    <t>מסורת העוף</t>
  </si>
  <si>
    <t>מסורת הפיוט</t>
  </si>
  <si>
    <t>אהרוני, משה אהרן בן נח</t>
  </si>
  <si>
    <t>מסורת הקריאה</t>
  </si>
  <si>
    <t>מסורת הש"ס &lt;ציון יהושע&gt;</t>
  </si>
  <si>
    <t>מסורת התורה והנביאים</t>
  </si>
  <si>
    <t>פינפר, פסח בן חיים הכהן</t>
  </si>
  <si>
    <t>מסורת התורה שבעל פה</t>
  </si>
  <si>
    <t>הבלין, שלמה זלמן בן שלום</t>
  </si>
  <si>
    <t>מסורת התורה</t>
  </si>
  <si>
    <t>מסורת התנ"ך - 4 כר'</t>
  </si>
  <si>
    <t>העליר, חיים</t>
  </si>
  <si>
    <t>מסורת התנ"ך</t>
  </si>
  <si>
    <t>מסורת התפילה ושורש המנהג</t>
  </si>
  <si>
    <t>מלמד, עובדיה</t>
  </si>
  <si>
    <t>מסורת ועקרונות במסכת האבות</t>
  </si>
  <si>
    <t>מסורת טהרת עופות</t>
  </si>
  <si>
    <t>מסורת יהודי תימן בבהמה</t>
  </si>
  <si>
    <t>יצחק, אביחי בן אברהם</t>
  </si>
  <si>
    <t>מסורת יהודי תימן בעוף</t>
  </si>
  <si>
    <t>מסורת ישראל</t>
  </si>
  <si>
    <t>מסורת מרדכי - 2 כר'</t>
  </si>
  <si>
    <t>מסורת משה - 3 כר'</t>
  </si>
  <si>
    <t>מסורת משקל הדרהם</t>
  </si>
  <si>
    <t>נאה, מנחם מנדל - נאה, משה צבי</t>
  </si>
  <si>
    <t>מסורת סייג לתורה - 2 כר'</t>
  </si>
  <si>
    <t>תקכ"א</t>
  </si>
  <si>
    <t>מסורת סייג לתורה - 3 כר'</t>
  </si>
  <si>
    <t>מסורת סת"ם</t>
  </si>
  <si>
    <t>משמרת מסורת סת"ם</t>
  </si>
  <si>
    <t>מסורת שאול</t>
  </si>
  <si>
    <t>מסורת תלמוד ירושלמי</t>
  </si>
  <si>
    <t>גדליה, יהודה בן משה</t>
  </si>
  <si>
    <t>מסורת - 2 כר'</t>
  </si>
  <si>
    <t>תש"ל - תשל"ג</t>
  </si>
  <si>
    <t>מסורתנו</t>
  </si>
  <si>
    <t>גולדברג, צבי הירש הלוי</t>
  </si>
  <si>
    <t>מסות ורעיונות</t>
  </si>
  <si>
    <t>מסחר כהלכה</t>
  </si>
  <si>
    <t>ביהמ"ד לדיני ממונות זכרון משה</t>
  </si>
  <si>
    <t>מסילה לאלקינו</t>
  </si>
  <si>
    <t>שפירא, משה יוסף בן אברהם הכהן</t>
  </si>
  <si>
    <t>דרושים, הלכה ומנהג, מחשבה ומוסר, נושאים שונים, תנ"ך</t>
  </si>
  <si>
    <t>מסילה - 1</t>
  </si>
  <si>
    <t>העיתון לבית היהודי</t>
  </si>
  <si>
    <t>מסילות אל הנפש - בלק</t>
  </si>
  <si>
    <t>אברג'ל, ישראל בן יורם מיכאל</t>
  </si>
  <si>
    <t>מסילות באגדה - 2 כר'</t>
  </si>
  <si>
    <t>אייזנברגר, בנימין אלימלך</t>
  </si>
  <si>
    <t>מסילות בהגדה</t>
  </si>
  <si>
    <t>מסילות בלבבם - 4 כר'</t>
  </si>
  <si>
    <t>מסילות במחשבת החסידות</t>
  </si>
  <si>
    <t>מסילות בשבת</t>
  </si>
  <si>
    <t>מסילות הברזל</t>
  </si>
  <si>
    <t>האלפר, ניסן שבתי בן שלמה ישעיה</t>
  </si>
  <si>
    <t>מסילות הנביאים - 4 כר'</t>
  </si>
  <si>
    <t>מסילות חיים בחינוך - 2 כר'</t>
  </si>
  <si>
    <t>מסילות חכמה &lt;דפו"ר&gt;</t>
  </si>
  <si>
    <t>מסילות חכמה &lt;מנחה לה'&gt;</t>
  </si>
  <si>
    <t>מסילות חכמה ומוסר - 2 כר'</t>
  </si>
  <si>
    <t>מסילות יעקב</t>
  </si>
  <si>
    <t>מסילות לבב</t>
  </si>
  <si>
    <t>אופמן, משה יעקב</t>
  </si>
  <si>
    <t>מסילות לימי הפורים</t>
  </si>
  <si>
    <t>מסילות שבת</t>
  </si>
  <si>
    <t>מסילות - 28 כר'</t>
  </si>
  <si>
    <t>בטאון חסידי רוז'ין סאדיגורא</t>
  </si>
  <si>
    <t>מסילות</t>
  </si>
  <si>
    <t>ישיבת קרני שומרון</t>
  </si>
  <si>
    <t>מסילת הניקוד</t>
  </si>
  <si>
    <t>מונסה, אברהם</t>
  </si>
  <si>
    <t>מסילת התורה</t>
  </si>
  <si>
    <t>מסילת יוסף - ב"ק, נדרים</t>
  </si>
  <si>
    <t>מסילת ישרים &lt;ביאורים ועיונים&gt;</t>
  </si>
  <si>
    <t>לוצאטו משה חיים בן יעקב חי (רמח"ל) - מכון ארחות יושר</t>
  </si>
  <si>
    <t>מסילת ישרים &lt;אורות גנוזים&gt;</t>
  </si>
  <si>
    <t>לוצאטו, משה חיים (רמח"ל) - הופמן, דוד צבי</t>
  </si>
  <si>
    <t>מסילת ישרים &lt;במסילה נעלה&gt;</t>
  </si>
  <si>
    <t>לוצאטו, משה חיים (רמח"ל) - פרץ, פנחס שמעון בן יעקב</t>
  </si>
  <si>
    <t>מסילת ישרים &lt;פתח המסילה - פתח העיון&gt;</t>
  </si>
  <si>
    <t>לוצאטו, משה חיים - פפנהיים, חיים צבי בן אברהם שמואל</t>
  </si>
  <si>
    <t>מסילת ישרים &lt;מסילות אפרים&gt;</t>
  </si>
  <si>
    <t>לוצאטו, משה חיים בן יעקב חי (רמח"ל) - אורשלימי, אפרים</t>
  </si>
  <si>
    <t>מסילת ישרים &lt;מאור המסילה&gt;</t>
  </si>
  <si>
    <t>לוצאטו, משה חיים בן יעקב חי (רמח"ל) - ארלנגר, אברהם בן שמשון רפאל</t>
  </si>
  <si>
    <t>מסילת ישרים &lt;אורות רמח"ל&gt;</t>
  </si>
  <si>
    <t>לוצאטו, משה חיים בן יעקב חי (רמח"ל) - בובליל, משה (מפרש)</t>
  </si>
  <si>
    <t>מסילת ישרים &lt;עומד כנגדו&gt;</t>
  </si>
  <si>
    <t>לוצאטו, משה חיים בן יעקב חי (רמח"ל) - ברנדוויין, יצחק לייב</t>
  </si>
  <si>
    <t>מסילת ישרים &lt;ובו תדבק&gt; - 2 כר'</t>
  </si>
  <si>
    <t>מסילת ישרים &lt;ילקוט שמעוני&gt;</t>
  </si>
  <si>
    <t>לוצאטו, משה חיים בן יעקב חי (רמח"ל) - סורסקי, שמעון</t>
  </si>
  <si>
    <t>לוצאטו, משה חיים בן יעקב חי (רמח"ל) - פרץ, פנחס שמעון</t>
  </si>
  <si>
    <t>מסילת ישרים &lt;סודות ישרים&gt;</t>
  </si>
  <si>
    <t>לוצאטו, משה חיים בן יעקב חי (רמח"ל) - קורח, שלמה בן יחיא</t>
  </si>
  <si>
    <t>מסילת ישרים &lt;ממתיק לנפש&gt;</t>
  </si>
  <si>
    <t>לוצאטו, משה חיים בן יעקב חי (רמח"ל) - קריספין, יעקב</t>
  </si>
  <si>
    <t>מסילת ישרים &lt;נעימה קדושה&gt;</t>
  </si>
  <si>
    <t>לוצאטו, משה חיים בן יעקב חי (רמח"ל) - שיף, דב</t>
  </si>
  <si>
    <t>מסילת ישרים &lt;קונטרס העבודה&gt;</t>
  </si>
  <si>
    <t>לוצאטו, משה חיים בן יעקב חי (רמח"ל) - שרף, חיים</t>
  </si>
  <si>
    <t>מסילת ישרים &lt;דפו"ר&gt; - 2 כר'</t>
  </si>
  <si>
    <t>מסילת ישרים &lt;המבואר והמפורש&gt;</t>
  </si>
  <si>
    <t>מסילת ישרים &lt;מהדורת נצח&gt;</t>
  </si>
  <si>
    <t>מסילת ישרים &lt;סוד לישרים&gt;</t>
  </si>
  <si>
    <t>מסילת ישרים &lt;עיונים ר' יחזקאל סרנא&gt;</t>
  </si>
  <si>
    <t>מסילת ישרים &lt;עיונים&gt;</t>
  </si>
  <si>
    <t>מסילת ישרים &lt;עם תרגום בגרמנית - קובץ שירים אורות מאופל&gt;</t>
  </si>
  <si>
    <t>מסילת ישרים &lt;רב לתלמיד&gt;</t>
  </si>
  <si>
    <t>מסילת ישרים &lt;תרגום אידיש&gt;</t>
  </si>
  <si>
    <t>מסילת ישרים &lt;מליץ יושר&gt;</t>
  </si>
  <si>
    <t>מסילת ישרים &lt;יושר מסילה&gt;</t>
  </si>
  <si>
    <t>רוט, אליהו - לוצאטו, משה חיים בן יעקב חי (רמח"ל)</t>
  </si>
  <si>
    <t>מסילת ישרים בתוספת ליקוטים מקורות וציונים</t>
  </si>
  <si>
    <t>מסילת ישרים המבואר - פרקים יח -כא</t>
  </si>
  <si>
    <t>לוצאטו, משה חיים בן יעקב חי (רמח"ל) - לוי, אהרן בן בנימין יוסף</t>
  </si>
  <si>
    <t>מסילת ישרים עם ביאור פי כהן - א</t>
  </si>
  <si>
    <t>לוצאטו, משה חיים בן יעקב חי (רמח"ל) - אייכארן, יששכר דוב בן יעקב יצחק הכהן</t>
  </si>
  <si>
    <t>מסילת ישרים עם ביאור שמחת מרדכי</t>
  </si>
  <si>
    <t>לוצאטו, משה חיים בן יעקב חי (רמח"ל) - שלנגר, משה חיים בן אברהם יצחק</t>
  </si>
  <si>
    <t>מסילת ישרים עם הערות הרב נבנצל</t>
  </si>
  <si>
    <t>לוצאטו, משה חיים בן יעקב חי (רמח"ל) - נבנצל, אביגדר</t>
  </si>
  <si>
    <t>מסילת ישרים עם הערות וביאורים</t>
  </si>
  <si>
    <t>מסילת ישרים עם פירוש אור לישרים - 2 כר'</t>
  </si>
  <si>
    <t>לוצאטו, משה חיים בן יעקב חי (רמח"ל) - עבוד, יצחק רחמים</t>
  </si>
  <si>
    <t>מסילת ישרים עם פירוש המאיר ליעקב</t>
  </si>
  <si>
    <t>לוצאטו, משה חיים בן יעקב חי (רמח"ל) - רבינוביץ תאומים, יעקב</t>
  </si>
  <si>
    <t>מסילת ישרים עם תרגום בגרמנית</t>
  </si>
  <si>
    <t>מסילת ישרים</t>
  </si>
  <si>
    <t>לוצאטו, משה חיים בן יעקב חי (רמח"ל) - וולפסברג, ישעיהו - קוק, צבי יהודה</t>
  </si>
  <si>
    <t>מסילת ישרים - 6 כר'</t>
  </si>
  <si>
    <t>מסילת מנחם</t>
  </si>
  <si>
    <t>מסיני בא</t>
  </si>
  <si>
    <t>מסיפורי הסבתא</t>
  </si>
  <si>
    <t>שפרבר, מרים</t>
  </si>
  <si>
    <t>מסכנות יעקב</t>
  </si>
  <si>
    <t>מסכת אבות &lt;רבינו יונה ורבינו עובדיה ספורנו&gt;</t>
  </si>
  <si>
    <t>אבות. תרכ"ד. לבוב</t>
  </si>
  <si>
    <t>מסכת אבות &lt;דרכי יושר&gt;</t>
  </si>
  <si>
    <t>אבות. תרס"ב. ברדיטשוב</t>
  </si>
  <si>
    <t>מסכת אבות &lt;ר' שמחה מויטרי&gt;</t>
  </si>
  <si>
    <t>אבות. תשט"ו. תל אביב</t>
  </si>
  <si>
    <t>מסכת אבות &lt;בכורי יחזקאל&gt;</t>
  </si>
  <si>
    <t>אבות. תשי"ד. יפו</t>
  </si>
  <si>
    <t>מסכת אבות &lt;אוהב ישראל&gt;</t>
  </si>
  <si>
    <t>מסכת אבות &lt;ראשי אבות&gt;</t>
  </si>
  <si>
    <t>מסכת אבות &lt;הגר"א, פרקי דאברהם&gt;</t>
  </si>
  <si>
    <t>אליהו בן שלמה זלמן (הגר"א) - אברהם בן שלמה זלמן</t>
  </si>
  <si>
    <t>מסכת אבות &lt;ביאורי הגר"א, עץ יוסף, רוח חיים&gt;</t>
  </si>
  <si>
    <t>מסכת אבות &lt;הגר"א&gt;</t>
  </si>
  <si>
    <t>מסכת אבות &lt;תפארת בנים על אבות&gt;</t>
  </si>
  <si>
    <t>ברמן, משה יהודה בן דוד הלוי</t>
  </si>
  <si>
    <t>מסכת אבות &lt;מנחת שי&gt;</t>
  </si>
  <si>
    <t>ברפוס, שמעון יעקב</t>
  </si>
  <si>
    <t>מסכת אבות &lt;רבינו יונה, הגר"א&gt;</t>
  </si>
  <si>
    <t>גירונדי, יונה בן אברהם - אליהו בן שלמה זלמן (הגר"א)</t>
  </si>
  <si>
    <t>מסכת אבות &lt;רבינו יונה&gt; - 2 כר'</t>
  </si>
  <si>
    <t>מסכת אבות &lt;זכות אבות&gt;</t>
  </si>
  <si>
    <t>מסכת אבות &lt;משנת מהרי"ץ&gt;</t>
  </si>
  <si>
    <t>מסכת אבות &lt;משנת יהודה&gt;</t>
  </si>
  <si>
    <t>מסכת אבות &lt;עטרת צבי&gt; - ממעינות הנצח על פרקי אבות</t>
  </si>
  <si>
    <t>מסכת אבות &lt;זרעא חיא&gt;</t>
  </si>
  <si>
    <t>וויס, יוסף מאיר - וויס, יצחק אייזיק</t>
  </si>
  <si>
    <t>מסכת אבות &lt;אושר אבות&gt;</t>
  </si>
  <si>
    <t>וולינץ, אהרון אשר</t>
  </si>
  <si>
    <t>מסכת אבות &lt;רוח חיים, מצפה יהושע&gt; - 2 כר'</t>
  </si>
  <si>
    <t>מסכת אבות &lt;נאדר בקודש&gt; - 2 כר'</t>
  </si>
  <si>
    <t>חיים בן מנחם צאנזר</t>
  </si>
  <si>
    <t>מסכת אבות &lt;אמרי שאול - יד לבנים&gt;</t>
  </si>
  <si>
    <t>טאוב, שאול ידידיה - טאוב, ישראל דן</t>
  </si>
  <si>
    <t>מסכת אבות &lt;מטל השמים&gt;</t>
  </si>
  <si>
    <t>טאובר, יצחק אייזיק בן אפרים זלמן</t>
  </si>
  <si>
    <t>מסכת אבות &lt;תפארת ציון - כרם חמד&gt;</t>
  </si>
  <si>
    <t>יאדלר, יצחק זאב בן יהודה דוד - רבינוביץ, יהודה ליב בן חיים מאיר דוד</t>
  </si>
  <si>
    <t>מסכת אבות &lt;פסקי משנה, מנחת יצחק, ליקוטי יצחק&gt; - נזיקין</t>
  </si>
  <si>
    <t>ינובסקי, ישראל יצחק בן אליהו -  זאלר יצחק בן משה מנחם</t>
  </si>
  <si>
    <t>מסכת אבות &lt;ר"י יעב"ץ - בית אהרן&gt;</t>
  </si>
  <si>
    <t>יעב"ץ, יוסף בן חיים</t>
  </si>
  <si>
    <t>מסכת אבות &lt;ר"י יעב"ץ&gt; מהדורה חדשה</t>
  </si>
  <si>
    <t>מסכת אבות &lt;מאיר נתיב&gt; - 3 כר'</t>
  </si>
  <si>
    <t>משנה, תולדות עם ישראל, תולדות עם ישראל</t>
  </si>
  <si>
    <t>מסכת אבות &lt;פעמון זהב - מילי דאבות&gt;</t>
  </si>
  <si>
    <t>מוסדות מתימן יבוא</t>
  </si>
  <si>
    <t>מסכת אבות &lt;עגת אליהו&gt;</t>
  </si>
  <si>
    <t>מיכלין, חיים מיכל - שרהזון, אליהו</t>
  </si>
  <si>
    <t>מסכת אבות &lt;מאור הבנים, מוסר היהדות&gt;</t>
  </si>
  <si>
    <t>מירוויס, אריה מרדכי</t>
  </si>
  <si>
    <t>מסכת אבות &lt;רמב"ם, ספורנו&gt;</t>
  </si>
  <si>
    <t>משה בן מימון (רמב"ם) - ספורנו, עובדיה בן יעקב</t>
  </si>
  <si>
    <t>מסכת אבות &lt;חתם סופר&gt;</t>
  </si>
  <si>
    <t>מסכת אבות &lt;לב אבות&gt;</t>
  </si>
  <si>
    <t>מסכת אבות &lt;זכרון אבות&gt;</t>
  </si>
  <si>
    <t>מסכת אבות &lt;מוסר ישראל&gt;</t>
  </si>
  <si>
    <t>פיבלזון, ישראל בנימין בנדט</t>
  </si>
  <si>
    <t>מסכת אבות &lt;עם פירוש לא נודע למי&gt;</t>
  </si>
  <si>
    <t>פירוש לא נודע למי</t>
  </si>
  <si>
    <t>מסכת אבות &lt;מעשה אבות&gt;</t>
  </si>
  <si>
    <t>פערלאוו, שלמה חיים</t>
  </si>
  <si>
    <t>סיגט</t>
  </si>
  <si>
    <t>מסכת אבות &lt;ילקוט אבהן עלאין&gt;</t>
  </si>
  <si>
    <t>מסכת אבות &lt;תוספות בנימין&gt;</t>
  </si>
  <si>
    <t>מסכת אבות &lt;חכמת חיים&gt;</t>
  </si>
  <si>
    <t>מסכת אבות &lt;פרי חיים&gt;</t>
  </si>
  <si>
    <t>מסכת אבות &lt;ספורנו&gt; עם ביאור תורת עבדי אבות</t>
  </si>
  <si>
    <t>מסכת אבות &lt;אור החמה&gt;</t>
  </si>
  <si>
    <t>מסכת אבות &lt;תורת אבות&gt;</t>
  </si>
  <si>
    <t>מסכת אבות דר"נ ע"פ הגר"א המבואר &lt;מאורי אור&gt;</t>
  </si>
  <si>
    <t>אליהו בן שלמה זלמן (הגר"א) - אתרוג, מאיר</t>
  </si>
  <si>
    <t>מסכת אבות מדרש שפתי ראם</t>
  </si>
  <si>
    <t>מסכת אבות מנוקדת במסורת תימן</t>
  </si>
  <si>
    <t>קיסר, צמח</t>
  </si>
  <si>
    <t>מסכת אבות ע"פ הגר"א המבואר &lt;מאורי אור&gt;</t>
  </si>
  <si>
    <t>מסכת אבות ע"פ רש"י וראב"ן</t>
  </si>
  <si>
    <t>שלמה בן יצחק (רש"י) - אליעזר בן נתן (ראב"ן)</t>
  </si>
  <si>
    <t>מסכת אבות עם באור בכורי יחזקאל</t>
  </si>
  <si>
    <t>גוטמן, מתתיהו יחזקאל</t>
  </si>
  <si>
    <t>מסכת אבות עם ילקוט אמרות טהורות</t>
  </si>
  <si>
    <t>ילקוט אמרות</t>
  </si>
  <si>
    <t>מסכת אבות עם ילקוט עיר התמרים</t>
  </si>
  <si>
    <t>מסכת אבות עם כתבי י"ד</t>
  </si>
  <si>
    <t>מאנטריאל</t>
  </si>
  <si>
    <t>מסכת אבות עם פירוש אבות לבנים</t>
  </si>
  <si>
    <t>נייגר, חיים</t>
  </si>
  <si>
    <t>מסכת אבות עם פירוש אהבת אבות</t>
  </si>
  <si>
    <t>מסכת אבות עם פירוש בני יששכר</t>
  </si>
  <si>
    <t>מסכת אבות עם פירוש ברית אבות</t>
  </si>
  <si>
    <t>מסכת אבות עם פירוש דבר ירושלים</t>
  </si>
  <si>
    <t>מסכת אבות עם פירוש הגר"א</t>
  </si>
  <si>
    <t>אליהו בן שלמה זלמן (הגר"א) - קלצקין, משה הלל</t>
  </si>
  <si>
    <t>מסכת אבות עם פירוש זכות אבות</t>
  </si>
  <si>
    <t>מסכת אבות עם פירוש חסדי אבות</t>
  </si>
  <si>
    <t>מסכת אבות עם פירוש לב אבות</t>
  </si>
  <si>
    <t>מסכת אבות עם פירוש מגן אבות</t>
  </si>
  <si>
    <t>מסכת אבות עם פירוש מלוקט</t>
  </si>
  <si>
    <t>סתהון, דוד הלל מנשה בן מנשה</t>
  </si>
  <si>
    <t>מסכת אבות עם פירוש מן</t>
  </si>
  <si>
    <t>פרידמן, מנחם נחום בן אברהם יהושע העשל</t>
  </si>
  <si>
    <t>תר"פ - תרפ"ח</t>
  </si>
  <si>
    <t>מסכת אבות עם פירוש מרן החיד"א</t>
  </si>
  <si>
    <t>מסכת אבות עם פירוש נחלת אבות</t>
  </si>
  <si>
    <t>מסכת אבות עם פירוש שפת אמת</t>
  </si>
  <si>
    <t>מסכת אבות עם פירוש תורת אבות</t>
  </si>
  <si>
    <t>מסכת אבות עם פירושי רבינו ישראל בעל שם טוב</t>
  </si>
  <si>
    <t>מסכת אבות עם פירושי רבינו ישראל מאיר הכהן</t>
  </si>
  <si>
    <t>מסכת אבות עם שני פירושים</t>
  </si>
  <si>
    <t>אבות. תרמ"ט. ורשה</t>
  </si>
  <si>
    <t>מסכת אבות עם תלמוד בבלי וירושלמי</t>
  </si>
  <si>
    <t>לוין, נח חיים בן משה</t>
  </si>
  <si>
    <t>מסכת אבות - אבות דרבי נתן &lt;מסורת תימן&gt;</t>
  </si>
  <si>
    <t>יצהרי, מרדכי</t>
  </si>
  <si>
    <t>מסכת אבות - עטרת יהושע</t>
  </si>
  <si>
    <t>מסכת אבות - שמועסן מיט די קינדער - ב</t>
  </si>
  <si>
    <t>מסכת אבות, פירושיה ותרגומיה באספקלרית הדורות</t>
  </si>
  <si>
    <t>כהן, י. יוסף</t>
  </si>
  <si>
    <t>מסכת אהלות &lt;מהדורה מדעית&gt;</t>
  </si>
  <si>
    <t>גולדברג, אברהם בן משה</t>
  </si>
  <si>
    <t>מסכת אהלות עם פירושי הראשונים והאחרונים</t>
  </si>
  <si>
    <t>בית מדרש טהרות, ירושלים</t>
  </si>
  <si>
    <t>מסכת אמונות ודיעות</t>
  </si>
  <si>
    <t>הורוויץ, יהושע יצחק יאיר בן יעקב</t>
  </si>
  <si>
    <t>מסכת אצילות &lt;גנזי מרומים&gt;</t>
  </si>
  <si>
    <t>מסכת אצילות - חבר, יצחק איזיק בן יעקב (מפרש)</t>
  </si>
  <si>
    <t>קובנה</t>
  </si>
  <si>
    <t>מסכת בבא מציעא &lt;עם תרגום אידיש&gt;</t>
  </si>
  <si>
    <t>היבנר, שמואל (מתרגם)</t>
  </si>
  <si>
    <t>בריסל</t>
  </si>
  <si>
    <t>מסכת בבא מציעא פרק המפקיד תרוגם אנגלי עם ביאור</t>
  </si>
  <si>
    <t>מרקוס, יוסף בן ראובן</t>
  </si>
  <si>
    <t>מסכת בבא קמא &lt;עם תרגום אידיש&gt;</t>
  </si>
  <si>
    <t>ברוקסלס</t>
  </si>
  <si>
    <t>מסכת ביצה &lt;עם פירוש יידיש כפי רש"י ומלבי"ם&gt;</t>
  </si>
  <si>
    <t>מסכת ביצה עם הלכה ברורה</t>
  </si>
  <si>
    <t>קוק, אברהם יצחק בן שלמה זלמן</t>
  </si>
  <si>
    <t>מסכת ביצה</t>
  </si>
  <si>
    <t>מוינשטר, יעקב ליב בן משה אברהם</t>
  </si>
  <si>
    <t>מסכת בכורות &lt;וילנא תרע"ה&gt;</t>
  </si>
  <si>
    <t>תלמוד בבלי. תרע"ה.</t>
  </si>
  <si>
    <t>מסכת בכורים מן תלמוד ירושלמי עם פירוש ספר הראל</t>
  </si>
  <si>
    <t>אלפרשטיין, אברהם אליעזר בן ישעיה</t>
  </si>
  <si>
    <t>מסכת בכורים מן תלמוד ירושלמי</t>
  </si>
  <si>
    <t>מסכת בצורה קלה - 8 כר'</t>
  </si>
  <si>
    <t>מסכת ברכות &lt;עם סימני ההפסק והערות&gt;</t>
  </si>
  <si>
    <t>בורנשטיין, שבתי (עורך)</t>
  </si>
  <si>
    <t>מסכת ברכות &lt;עם תרגום לאידיש&gt;</t>
  </si>
  <si>
    <t>זאלקינד, יעקב מאיר(עורך)</t>
  </si>
  <si>
    <t>מסכת ברכות &lt;עם פירוש והערות&gt; - 2 כר'</t>
  </si>
  <si>
    <t>פרומוביץ, יוסף (עורך)</t>
  </si>
  <si>
    <t>מסכת ברכות וסדר מועד</t>
  </si>
  <si>
    <t>משנה. תל"ה. אמשטרדם</t>
  </si>
  <si>
    <t>מסכת ברכות מן הגניזה</t>
  </si>
  <si>
    <t>כ"ץ, אברהם יצחק בן ראובן (מהדיר)</t>
  </si>
  <si>
    <t>מסכת ברכות - על פי כתבי יד ודפוסים ראשונים</t>
  </si>
  <si>
    <t>פרפרקוביץ', נחמיה</t>
  </si>
  <si>
    <t>תרס"ט,</t>
  </si>
  <si>
    <t>סאנקט פעטערסבורג,</t>
  </si>
  <si>
    <t>מסכת גיטין &lt;מהרש"א ומהר"ם על הגליון&gt;</t>
  </si>
  <si>
    <t>תלמוד בבלי. תר"מ וילנה</t>
  </si>
  <si>
    <t>מסכת גיטין מן תלמוד ירושלמי &lt;מאור השמחה, צבי תפארתו&gt;</t>
  </si>
  <si>
    <t>מסכת גרים &lt;יאיר נתיבות&gt;</t>
  </si>
  <si>
    <t>מסכת גרים</t>
  </si>
  <si>
    <t>מסכת דמאי ומעשר שני מן תלמוד ירושלמי</t>
  </si>
  <si>
    <t>תלמוד ירושלמי. תשט"ו. ירושלים</t>
  </si>
  <si>
    <t>מסכת דרך ארץ &lt;תפילות מטבעות ומורה דרך&gt;</t>
  </si>
  <si>
    <t>באס, שבתי בן יוסף</t>
  </si>
  <si>
    <t>מסכת דרך ארץ רבה &lt;נוסחת הגר"א&gt;</t>
  </si>
  <si>
    <t>מסכת דרך ארץ רבה &lt;דרך הרבים - דרך היחיד&gt;</t>
  </si>
  <si>
    <t>מסכת הוריות &lt;חלקת משה&gt;</t>
  </si>
  <si>
    <t>טברסקי, משה צבי בן דוד אריה</t>
  </si>
  <si>
    <t>ירחש"</t>
  </si>
  <si>
    <t>מסכת הלכה למשה מסיני &lt;מהדורה חדשה&gt;</t>
  </si>
  <si>
    <t>ליאון-טימפלו, שלמה רפאל בן יעקב יהודה אריה</t>
  </si>
  <si>
    <t>מסכת הלכה למשה מסיני</t>
  </si>
  <si>
    <t>מסכת זבחים &lt;עם פירוש יידיש כפי רש"י ומלבי"ם&gt;</t>
  </si>
  <si>
    <t>מסכת זבחים &lt;זכר חנוך&gt;</t>
  </si>
  <si>
    <t>תלמוד בבלי. תשנ"ז. ירושלים</t>
  </si>
  <si>
    <t>מסכת חגיגה</t>
  </si>
  <si>
    <t>תלמוד בבלי. ר"מ. ואדי אל חג'ארה</t>
  </si>
  <si>
    <t>מסכת חולין &lt;עם פירוש יידיש כפי רש"י ומלבי"ם&gt;</t>
  </si>
  <si>
    <t>מסכת חלה עם שיעורי חלה</t>
  </si>
  <si>
    <t>הופמן, אברהם גרשון</t>
  </si>
  <si>
    <t>מסכת טהרות עם פירושי הראשונים והאחרונים</t>
  </si>
  <si>
    <t>מסכת יבמות מן תלמוד ירושלמי &lt;חשק שלמה&gt;</t>
  </si>
  <si>
    <t>פרידלנדר, שלמה יהודה ליב בן מנחם</t>
  </si>
  <si>
    <t>מסכת יום טוב פרק שלישי - נוסחאות</t>
  </si>
  <si>
    <t>אפרתי, יעקב אליהו - יצחקי, אפרים</t>
  </si>
  <si>
    <t>מסכת ייני</t>
  </si>
  <si>
    <t>אבידן, דן בן אברהם משה</t>
  </si>
  <si>
    <t>מסכת כותים &lt;מצרף ומטהר&gt;</t>
  </si>
  <si>
    <t>מסכת כותים - עם פירושים ונוסחאות</t>
  </si>
  <si>
    <t>מכון התלמוד הישראלי השלם</t>
  </si>
  <si>
    <t>מסכת כלה &lt;הגהות הגר"א, קהלות יעקב&gt;</t>
  </si>
  <si>
    <t>המבורג, יעקב בן דב בר</t>
  </si>
  <si>
    <t>מסכת כלה &lt;כלה נאה&gt;</t>
  </si>
  <si>
    <t>שור, רועי בן מרדכי</t>
  </si>
  <si>
    <t>מסכת כלה עם ביאור תואר כלה</t>
  </si>
  <si>
    <t>מסכת כלה עם גדולת מרדכי וקריאה נעימה</t>
  </si>
  <si>
    <t>מרדכי בן משה מלובשין - פינק, דוד הכהן</t>
  </si>
  <si>
    <t>מסכת כלה עם גדולת מרדכי</t>
  </si>
  <si>
    <t>מרדכי בן משה מלובשין</t>
  </si>
  <si>
    <t>מסכת כלה רבתי והברייתא עם פי' לחם שערים</t>
  </si>
  <si>
    <t>שרלין, חיים מנדל</t>
  </si>
  <si>
    <t>מסכת כלה רבתי עם ביאור מעין גנים</t>
  </si>
  <si>
    <t>זעליגמאן, ישראל בן חיים דוד</t>
  </si>
  <si>
    <t>מסכת כלה רבתי עם ביאור ר' חיים קנייבסקי</t>
  </si>
  <si>
    <t>מסכת כלה</t>
  </si>
  <si>
    <t>ברסלר, יהוידע זאב</t>
  </si>
  <si>
    <t>מסכת כלים &lt;ניב שפתים&gt;</t>
  </si>
  <si>
    <t>יהלום משנה תמימה</t>
  </si>
  <si>
    <t>מסכת מגילה ומסכת מועד קטן &lt;עפ"י כת"י תימני&gt;</t>
  </si>
  <si>
    <t>פרייס, יוליוס</t>
  </si>
  <si>
    <t>מסכת מדות מפורשת</t>
  </si>
  <si>
    <t>בוגרד, יהושע</t>
  </si>
  <si>
    <t>מסכת מדות ע"פ בצרפתית</t>
  </si>
  <si>
    <t>בן שמחון, יהודה (מפרש)</t>
  </si>
  <si>
    <t>מסכת מכות &lt;אור נגה&gt;</t>
  </si>
  <si>
    <t>אור שרגא פייבל בן יהודה ליב הכהן מאוסטרהא</t>
  </si>
  <si>
    <t>מסכת מכות &lt;מהדורה ביקורתית&gt;</t>
  </si>
  <si>
    <t>איש-שלום, מאיר בן ירמיהו</t>
  </si>
  <si>
    <t>מסכת מכות &lt;שער אשר, גבול אשר&gt;</t>
  </si>
  <si>
    <t>מסכת מכות &lt;עם סימני ההפסק והערות&gt;</t>
  </si>
  <si>
    <t>בורנשטיין, שבתי</t>
  </si>
  <si>
    <t>מסכת מכות &lt;עם פירוש יידיש כפי רש"י ומלבי"ם&gt;</t>
  </si>
  <si>
    <t>שונות, תלמוד בבלי</t>
  </si>
  <si>
    <t>מסכת מכות מתלמוד ירושלמי עם ביאור</t>
  </si>
  <si>
    <t>כרמל, יצחק מאיר</t>
  </si>
  <si>
    <t>מסכת מכות עם קיצור דברי רש"י ותוס'</t>
  </si>
  <si>
    <t>מסכת מקואות</t>
  </si>
  <si>
    <t>אדלין Edeleny</t>
  </si>
  <si>
    <t>דרושים, הלכה ומנהג, משנה</t>
  </si>
  <si>
    <t>מסכת מקוואות ע"פ הר"ש &lt;כנסת ישראל&gt;</t>
  </si>
  <si>
    <t>מסכת מקוואות</t>
  </si>
  <si>
    <t>אלחדאד, מיכאל דוד</t>
  </si>
  <si>
    <t>מסכת נגעים עם  מראות נגעים</t>
  </si>
  <si>
    <t>ליכטר, הלל</t>
  </si>
  <si>
    <t>מסכת נגעים עם פירושי הראשונים והאחרונים</t>
  </si>
  <si>
    <t>בית מדרש טהרות ירושלים</t>
  </si>
  <si>
    <t>מסכת נדה &lt;פסקי הרא"ש, פתחי נדה, מקור הלכה&gt;</t>
  </si>
  <si>
    <t>יעקב יהודה המכונה ליב אשכנזי</t>
  </si>
  <si>
    <t>ברין</t>
  </si>
  <si>
    <t>מסכת נזיר &lt;פירוש הרא"ש ופירוש האביב&gt;</t>
  </si>
  <si>
    <t>אשר בן יחיאל (רא"ש) - סופר, אליעזר בן ציון</t>
  </si>
  <si>
    <t>מסכת סופרים &lt;מהדורת מכון קרן רא"ם&gt;</t>
  </si>
  <si>
    <t>ורנר, שלמה חנוך (עורך)</t>
  </si>
  <si>
    <t>מסכת סופרים &lt;הגהות הגר"א מקרא ועיטור סופרים&gt;</t>
  </si>
  <si>
    <t>סובלק Suwalki</t>
  </si>
  <si>
    <t>מסכת סופרים &lt;נחלת אריאל - מעון אריות&gt;</t>
  </si>
  <si>
    <t>שפירא, אריה ליב בן יצחק</t>
  </si>
  <si>
    <t>מסכת סופרים לפי נוסחת הגר"א &lt;ביאורי סופרים&gt;</t>
  </si>
  <si>
    <t>וסרשטיין, שמואל נטע בן אברהם צבי</t>
  </si>
  <si>
    <t>מסכת סופרים</t>
  </si>
  <si>
    <t>היגר, מיכאל</t>
  </si>
  <si>
    <t>מסכת ספר תורה</t>
  </si>
  <si>
    <t>מסכת ספרים, פירקא דרבנו הקדוש, ברייתא דישועה</t>
  </si>
  <si>
    <t>שנבלום, שמואל בן בנימין וולף</t>
  </si>
  <si>
    <t>מסכת עבדים - מסכת כותים</t>
  </si>
  <si>
    <t>מסכת עבודה זרה - כת"י ביהמ"ד לרבנים</t>
  </si>
  <si>
    <t>עורך: אברמסון, שרגא בן קלמן</t>
  </si>
  <si>
    <t>מסכת עדיות בחירתא</t>
  </si>
  <si>
    <t>מסכת פאה מתלמוד ארץ ישראל</t>
  </si>
  <si>
    <t>ניומאן, יעקב</t>
  </si>
  <si>
    <t>מסכת פורים</t>
  </si>
  <si>
    <t>מסכת פסחים &lt;שער אשר, גבול אשר&gt;</t>
  </si>
  <si>
    <t>מסכת פסחים &lt;פסקי הרא"ש, גבול אשר, שער אשר&gt;</t>
  </si>
  <si>
    <t>מסכת פסחים</t>
  </si>
  <si>
    <t>זהבי, יוסף (עורך)</t>
  </si>
  <si>
    <t>מסכת ציצית עם עין משפט ונר מצוה</t>
  </si>
  <si>
    <t>טנר, דוד פנחס</t>
  </si>
  <si>
    <t>מסכת ציצית, מסכת תפילין, מסכת מזוזה</t>
  </si>
  <si>
    <t>מסכת קדושין</t>
  </si>
  <si>
    <t>תלמוד בבלי. שי"ג. סביונטה</t>
  </si>
  <si>
    <t>מסכת קידושין &lt;עם פירוש יידיש כפי רש"י ומלבי"ם&gt; - 2 כר'</t>
  </si>
  <si>
    <t>מסכת קינים &lt;יוסף לקח&gt;</t>
  </si>
  <si>
    <t>דוידוביץ, יוסף</t>
  </si>
  <si>
    <t>מסכת קינים &lt;שערי קינים&gt;</t>
  </si>
  <si>
    <t>כהן, דוד בן מרדכי</t>
  </si>
  <si>
    <t>מסכת קנים ע"פ הרא"ש וע"פ פתח הקן</t>
  </si>
  <si>
    <t>מסכת קנים עם פירוש יוסף לקח</t>
  </si>
  <si>
    <t>מסכת ראש השנה &lt;עם סימני ההפסק והערות&gt;</t>
  </si>
  <si>
    <t>מסכת שביעית &lt;משנה ערוכה&gt;</t>
  </si>
  <si>
    <t>מסכת שביעית &lt;משנת יוסף&gt; - 4 כר'</t>
  </si>
  <si>
    <t>ליברמן, יוסף</t>
  </si>
  <si>
    <t>מסכת שביעית &lt;מהדורת סופר&gt; - 2 כר'</t>
  </si>
  <si>
    <t>מסכת שביעית &lt;עם תלמוד בבלי&gt;</t>
  </si>
  <si>
    <t>מסכת שביעית והלכות שביעית</t>
  </si>
  <si>
    <t>בקר, חיים ש</t>
  </si>
  <si>
    <t>מסכת שביעית מן תלמוד ירושלמי  עם ביאורי הגר"א וע"פ חזון איש - 2 כר'</t>
  </si>
  <si>
    <t>תלמוד ירושלמי. תשי"ח. גבעתים</t>
  </si>
  <si>
    <t>מסכת שביעית מנוקדת עפ"י גירסת רבני תימן</t>
  </si>
  <si>
    <t>זכריה בן שלמה, הרופא - צאלח, יחיא בן יוסף</t>
  </si>
  <si>
    <t>מסכת שביעית - חקר ועיון</t>
  </si>
  <si>
    <t>מסכת שבת ועירובין תלמוד ירושלמי &lt;פני מאיר&gt;</t>
  </si>
  <si>
    <t>מסכת שבת תלמוד ירושלמי &lt;פני מאיר&gt;</t>
  </si>
  <si>
    <t>מסכת שטרות</t>
  </si>
  <si>
    <t>ראקובסקי, אברהם אבא בן עזריאל אריה ליב</t>
  </si>
  <si>
    <t>מסכת שמחות</t>
  </si>
  <si>
    <t>מסכתות קטנות. שמחות. תרצ"א</t>
  </si>
  <si>
    <t>מסכת שקלים &lt;פרישת הרא"ש&gt;</t>
  </si>
  <si>
    <t>מסכת שקלים &lt;עם פירוש פני זקן - עצי עדן&gt;</t>
  </si>
  <si>
    <t>מסכת שקלים &lt;עם תלמוד בבלי&gt;</t>
  </si>
  <si>
    <t>פנט, צבי אלימלך בן חיים אלתר</t>
  </si>
  <si>
    <t>מסכת שקלים &lt;שקלי אש&gt;</t>
  </si>
  <si>
    <t>שרבינטר,  אליעזר בן אברהם צבי</t>
  </si>
  <si>
    <t>פלעסבערג</t>
  </si>
  <si>
    <t>מסכת שקלים &lt;רבי אליהו פולדא&gt;</t>
  </si>
  <si>
    <t>תלמוד ירושלמי. תקע"ז. זולקוה</t>
  </si>
  <si>
    <t>מסכת שקלים מן תלמוד ירושלמי &lt;שקלי יוסף&gt;</t>
  </si>
  <si>
    <t>אהרנזאהן, יוסף צבי</t>
  </si>
  <si>
    <t>שאר ספרי חז"ל, תלמוד ירושלמי, תלמוד ירושלמי</t>
  </si>
  <si>
    <t>מסכת שקלים מן תלמוד ירושלמי &lt;פני זקן&gt;</t>
  </si>
  <si>
    <t>אייזק יהודה יחיאל מקמארנא</t>
  </si>
  <si>
    <t>מסכת שקלים מן תלמוד ירושלמי - ביאור באנגלית</t>
  </si>
  <si>
    <t>שולמן, יעקב בן שמריהו</t>
  </si>
  <si>
    <t>מסכת שקלים מן תלמוד ירושלמי</t>
  </si>
  <si>
    <t>תלמוד ירושלמי. תשי"ח. וינה</t>
  </si>
  <si>
    <t>מסכת שקלים ע"פ ר' משולם ופי' תלמידו של ר"ש בר' שניאור</t>
  </si>
  <si>
    <t>תלמוד ירושלמי. תשי"ד. ניו יורק</t>
  </si>
  <si>
    <t>מסכת שקלים עם תרומת הלשכה</t>
  </si>
  <si>
    <t>קולודצקי, אברהם צדוק בן כתריאל</t>
  </si>
  <si>
    <t>מסכת תמיד &lt;ע"פ הרא"ש והר"ב נר תמיד&gt;</t>
  </si>
  <si>
    <t>ברוך בנדט בן משה מזאבלודובה</t>
  </si>
  <si>
    <t>מסכת תענית</t>
  </si>
  <si>
    <t>מסכתא אצילות &lt;גנזי מרומים&gt;</t>
  </si>
  <si>
    <t>מסכת אצילות</t>
  </si>
  <si>
    <t>מסכתא דכלה - קידושין</t>
  </si>
  <si>
    <t>ישיבת מיר</t>
  </si>
  <si>
    <t>מסכתא דמהרי"ץ</t>
  </si>
  <si>
    <t>צדוק, דוד בן שלמה</t>
  </si>
  <si>
    <t>מסכתות דרך ארץ רבא וזוטא</t>
  </si>
  <si>
    <t>מסכתות קטנות</t>
  </si>
  <si>
    <t>מסכתות דרך ארץ</t>
  </si>
  <si>
    <t>מסכתות קטנות. דרך ארץ. תרצ"ה</t>
  </si>
  <si>
    <t>מסכתות זעירות</t>
  </si>
  <si>
    <t>מסכתות כלה</t>
  </si>
  <si>
    <t>היגר, מיכאל בן דוד</t>
  </si>
  <si>
    <t>מסלול - 2 כר'</t>
  </si>
  <si>
    <t>קסלין, חיים בן נפתלי הירץ</t>
  </si>
  <si>
    <t>מסלות החיים</t>
  </si>
  <si>
    <t>משי זהב, אברהם</t>
  </si>
  <si>
    <t>מסלות המאורות</t>
  </si>
  <si>
    <t>רוקנשטיין, דוב בר</t>
  </si>
  <si>
    <t>מסלות התלמוד</t>
  </si>
  <si>
    <t>מסלות חיים - 3 כר'</t>
  </si>
  <si>
    <t>מסלות חכמה - 2 כר'</t>
  </si>
  <si>
    <t>מסלות ים - 8 כר'</t>
  </si>
  <si>
    <t>אסולין, יחיאל בן מימון</t>
  </si>
  <si>
    <t>מסלות לתורת התנאים</t>
  </si>
  <si>
    <t>משנה, נושאים שונים, שאר ספרי חז"ל</t>
  </si>
  <si>
    <t>מסלות תשובה</t>
  </si>
  <si>
    <t>מסנני המים בשבת</t>
  </si>
  <si>
    <t>מסע אל האמת</t>
  </si>
  <si>
    <t>מסע אל מלאכת בורר</t>
  </si>
  <si>
    <t>מסע בארץ הקדם</t>
  </si>
  <si>
    <t>ניימארק, אפרים בן מנחם מנדל</t>
  </si>
  <si>
    <t>מסע בבל</t>
  </si>
  <si>
    <t>מסע ההצלה</t>
  </si>
  <si>
    <t>מסע המלכות</t>
  </si>
  <si>
    <t>משי זהב, צבי - יהודה</t>
  </si>
  <si>
    <t>מסע הצלב של המסיון</t>
  </si>
  <si>
    <t>מרכז "יהדות" ירושלים</t>
  </si>
  <si>
    <t>מסע הקודש</t>
  </si>
  <si>
    <t>מסע לארץ ישראל בשנת ת"ת</t>
  </si>
  <si>
    <t>לווינסקי, אלחנן ליב בן צבי</t>
  </si>
  <si>
    <t>מסע מירון וערי הגליל</t>
  </si>
  <si>
    <t>רובין, מנחם מנדל בן שמואל אהרן</t>
  </si>
  <si>
    <t>מסע מירון</t>
  </si>
  <si>
    <t>לנדוי, בצלאל</t>
  </si>
  <si>
    <t>מועדי ישראל, נושאים שונים, נושאים שונים, תפלות בקשות פיוטים ושירה</t>
  </si>
  <si>
    <t>מסע עזרת אבותינו</t>
  </si>
  <si>
    <t>מסע פולין</t>
  </si>
  <si>
    <t>וידיסלבסקי, ברוך - מרקסון, אברהם מרדכי יוסף</t>
  </si>
  <si>
    <t>מסע פולין - 2 כר'</t>
  </si>
  <si>
    <t>מסע תימן</t>
  </si>
  <si>
    <t>מסעד לבית ה'</t>
  </si>
  <si>
    <t>מאהצאר, מסיעד בן כלפאני</t>
  </si>
  <si>
    <t>מסעדי גבר</t>
  </si>
  <si>
    <t>מהצ'אר, מסיעד</t>
  </si>
  <si>
    <t>מסעות ארץ-ישראל לרבי משה באסולה</t>
  </si>
  <si>
    <t>באסולה, משה בן מרדכי צרפתי</t>
  </si>
  <si>
    <t>מסעות ירושלים - 3 כר'</t>
  </si>
  <si>
    <t>גולדשטיין, משה בן יהודה</t>
  </si>
  <si>
    <t>מסעות ישראל</t>
  </si>
  <si>
    <t>מסעות משה</t>
  </si>
  <si>
    <t>טננבוים, משה בן מנחם מנדל</t>
  </si>
  <si>
    <t>מסעות רבי בנימן</t>
  </si>
  <si>
    <t>בנימין בן יונה מטודילה</t>
  </si>
  <si>
    <t>מסעות רבי פתחיה מרעגנשפורג</t>
  </si>
  <si>
    <t>בניש, א.</t>
  </si>
  <si>
    <t>מסעות של ר' בנימן ז"ל</t>
  </si>
  <si>
    <t>מסעות של רבי בנימן</t>
  </si>
  <si>
    <t>פריבורג Freiburg im</t>
  </si>
  <si>
    <t>מסעי הירח</t>
  </si>
  <si>
    <t>מסעיהם למוצאיהם</t>
  </si>
  <si>
    <t>גרינבוים, זאב דוב</t>
  </si>
  <si>
    <t>מספד גדול וכבד מאוד</t>
  </si>
  <si>
    <t>מספד גדול</t>
  </si>
  <si>
    <t>על מרן הגרא"מ שך זצללה"ה</t>
  </si>
  <si>
    <t>רובינשטיין, גדליהו צבי בן מרדכי</t>
  </si>
  <si>
    <t>מספד דמעה - לזכרו של הרבי מלאכסנדר</t>
  </si>
  <si>
    <t>מקובר, יהודה משה - גוטמן, אברהם דוד</t>
  </si>
  <si>
    <t>מספד וקינה - על מרן בעל החפץ חיים</t>
  </si>
  <si>
    <t>מספד מר</t>
  </si>
  <si>
    <t>מספד רב</t>
  </si>
  <si>
    <t>מספד שנשא מרן הגרא"מ שך שליט"א</t>
  </si>
  <si>
    <t>מספד תמרורים</t>
  </si>
  <si>
    <t>גולדברג, משה יהודה ליב בן יצחק אליעזר</t>
  </si>
  <si>
    <t>גולדמאן, ישראל בן אהרן יצחק</t>
  </si>
  <si>
    <t>זגנר, שלמה זלמן בן יצחק יונה</t>
  </si>
  <si>
    <t>זינגר, זאב בן דוד צבי</t>
  </si>
  <si>
    <t>יאפו, יהודה ליב בן אליעזר ליפמאן</t>
  </si>
  <si>
    <t>קוטנא, שלום בן אהרן</t>
  </si>
  <si>
    <t>מספורי החסידים</t>
  </si>
  <si>
    <t>רכט, ברל בן יצחק מאיר</t>
  </si>
  <si>
    <t>מספר בני ישראל</t>
  </si>
  <si>
    <t>מספר הסופר &lt;מעט צרי&gt; - ב (אה"ע)</t>
  </si>
  <si>
    <t>סופר, יצחק צבי בן מרדכי אפרים</t>
  </si>
  <si>
    <t>מועדי ישראל, מחשבה ומוסר, שאלות ותשובות, שלחן ערוך ומפרשיו, תולדות עם ישראל, תנ"ך</t>
  </si>
  <si>
    <t>מספר הסופר &lt;מעט צרי&gt; - א (או"ח, יו"ד)</t>
  </si>
  <si>
    <t>סופר, יצחק צבי</t>
  </si>
  <si>
    <t>מספר צבאם</t>
  </si>
  <si>
    <t>מירלש, צבי הירש בן אהרן</t>
  </si>
  <si>
    <t>מספרא לסייפא - 6 כר'</t>
  </si>
  <si>
    <t>קובץ ישיבת שעלבים</t>
  </si>
  <si>
    <t>מספרות הגאונים</t>
  </si>
  <si>
    <t>מספרי צדיקים ויראים</t>
  </si>
  <si>
    <t>מספרי רב שמואל בן חפני &lt;מתוך תרביץ&gt;</t>
  </si>
  <si>
    <t>מסרות - 2 כר'</t>
  </si>
  <si>
    <t>שמואל בן ריי</t>
  </si>
  <si>
    <t>שס"ז</t>
  </si>
  <si>
    <t>מסרת המסרת</t>
  </si>
  <si>
    <t>מסרת מסיני</t>
  </si>
  <si>
    <t>הירש, עזריאל שמשון בן נתן</t>
  </si>
  <si>
    <t>מסרת סיג למקרא</t>
  </si>
  <si>
    <t>מסתרי האגדה - ב</t>
  </si>
  <si>
    <t>וולמאן, מנחם מנדל בן אליהו</t>
  </si>
  <si>
    <t>תרפ"ד-תר"ץ</t>
  </si>
  <si>
    <t>ורשה-תל אביב,</t>
  </si>
  <si>
    <t>מעבר יבק עם עברי טייטש</t>
  </si>
  <si>
    <t>מודינה, אהרן ברכיה בן משה</t>
  </si>
  <si>
    <t>מעבר יבק - 4 כר'</t>
  </si>
  <si>
    <t>מעבר לחומר</t>
  </si>
  <si>
    <t>מעגל החיים</t>
  </si>
  <si>
    <t>מעגל השנה</t>
  </si>
  <si>
    <t>מעגל השנה - 2 כר'</t>
  </si>
  <si>
    <t>מעגל טוב השלם</t>
  </si>
  <si>
    <t>תרפ"א - תרצ"ד</t>
  </si>
  <si>
    <t>מעגל טוב - 3 כר'</t>
  </si>
  <si>
    <t>מעגל טוב</t>
  </si>
  <si>
    <t>מעגלות אור</t>
  </si>
  <si>
    <t>אליעזר ליפמאן בן דוד</t>
  </si>
  <si>
    <t>מעגלי אליהו - 4 כר'</t>
  </si>
  <si>
    <t>מעגלי אליהו</t>
  </si>
  <si>
    <t>מעגלי החיים - 6 כר'</t>
  </si>
  <si>
    <t>ירושלמי, שמואל</t>
  </si>
  <si>
    <t>מעגלי ישר</t>
  </si>
  <si>
    <t>רפאלוביץ, ישעיהו</t>
  </si>
  <si>
    <t>דרושים, דרושים, מועדי ישראל, מועדי ישראל, משנה, תנ"ך</t>
  </si>
  <si>
    <t>מעגלי צדק &lt;המבואר&gt; - 2 כר'</t>
  </si>
  <si>
    <t>מעגלי צדק &lt;המבואר&gt; - 5 כר'</t>
  </si>
  <si>
    <t>מעגלי צדק - 4 כר'</t>
  </si>
  <si>
    <t>מעגלי צדק  - שו"ת רבי בנימין הלוי</t>
  </si>
  <si>
    <t>הלוי, בנימין בן מאיר</t>
  </si>
  <si>
    <t>מעגלי צדק</t>
  </si>
  <si>
    <t>מעגלי צדק - על התורה</t>
  </si>
  <si>
    <t>קוסובר, משה</t>
  </si>
  <si>
    <t>מעגלי קצירה</t>
  </si>
  <si>
    <t>מעדני אברהם</t>
  </si>
  <si>
    <t>וויליגר, אברהם בן חיים צבי</t>
  </si>
  <si>
    <t>לייקואד</t>
  </si>
  <si>
    <t>נגר, אברהם</t>
  </si>
  <si>
    <t>מעדני איש</t>
  </si>
  <si>
    <t>מעדני ארץ - 6 כר'</t>
  </si>
  <si>
    <t>תש"ד - תשי"ב</t>
  </si>
  <si>
    <t>מעדני אשר - 6 כר'</t>
  </si>
  <si>
    <t>לונצר, אשר צבי בן יהודה מיכאל</t>
  </si>
  <si>
    <t>מעדני אשר - 2 כר'</t>
  </si>
  <si>
    <t>קליין, אשר אנשיל בן שמואל שמחה בונם</t>
  </si>
  <si>
    <t>מעדני אשר</t>
  </si>
  <si>
    <t>קליינמאן, אשר בן אברהם</t>
  </si>
  <si>
    <t>תשט"ז - תשי"ז</t>
  </si>
  <si>
    <t>מעדני אשר - 14 כר'</t>
  </si>
  <si>
    <t>שוורץ, אשר אנשיל</t>
  </si>
  <si>
    <t>מעדני ביאורים</t>
  </si>
  <si>
    <t>גולדמן, עדן פנחס</t>
  </si>
  <si>
    <t>מעדני דניאל &lt;שו"ע &gt; - א-כד</t>
  </si>
  <si>
    <t>מעדני דניאל &lt;שו"ע&gt; - 2 כר'</t>
  </si>
  <si>
    <t>מעדני דניאל - 11 כר'</t>
  </si>
  <si>
    <t>מעדני השלחן - בראשית</t>
  </si>
  <si>
    <t>מעדני השלחן - 6 כר'</t>
  </si>
  <si>
    <t>רבינוביץ, לוי בן גמליאל הכהן</t>
  </si>
  <si>
    <t>מעדני התורה - שמות</t>
  </si>
  <si>
    <t>זייבלד, רפאל חיים</t>
  </si>
  <si>
    <t>מעדני חיים - 3 כר'</t>
  </si>
  <si>
    <t>כהן, חיים זלמן בן מאיר</t>
  </si>
  <si>
    <t>מעדני יום טוב - 14 כר'</t>
  </si>
  <si>
    <t>זנגר, יום טוב בן יעקב ישראל</t>
  </si>
  <si>
    <t>מעדני יוסף - ברית מילה</t>
  </si>
  <si>
    <t>מעדני יוסף - זכרון שמואל</t>
  </si>
  <si>
    <t>מעדני כהן - 7 כר'</t>
  </si>
  <si>
    <t>מעדני מלך - תשע"ו</t>
  </si>
  <si>
    <t>מעדני מלך - נקודות הכסף</t>
  </si>
  <si>
    <t>מעדני מלך - 3 כר'</t>
  </si>
  <si>
    <t>מעדני מלך- על ליקוטי מוהר"ן</t>
  </si>
  <si>
    <t>וייצהנדלר, אברהם נחמן שמחה</t>
  </si>
  <si>
    <t>מעדני מלך</t>
  </si>
  <si>
    <t>כהן, אשר בן חיים לוי יצחק</t>
  </si>
  <si>
    <t>מעדני מלכים - 2 כר'</t>
  </si>
  <si>
    <t>מעדני משה</t>
  </si>
  <si>
    <t>יפה, משה דוב</t>
  </si>
  <si>
    <t>מעדני נתן</t>
  </si>
  <si>
    <t>גולדברג, נתן</t>
  </si>
  <si>
    <t>מעדני סופר - 3 כר'</t>
  </si>
  <si>
    <t>מעדני רפאל</t>
  </si>
  <si>
    <t>זייבאלד, רפאל חיים</t>
  </si>
  <si>
    <t>מעדני שבת &lt;מעדני אשר&gt;</t>
  </si>
  <si>
    <t>מעדני שי - הנהגת הספיקות וחזקת ממון</t>
  </si>
  <si>
    <t>שמידע, יעקב בן משה</t>
  </si>
  <si>
    <t>מעדני שלמה</t>
  </si>
  <si>
    <t>אוירבאך, שלמה זלמן בן חיים יהודה ליב - פריד, ירחמיאל דוד (עורך)</t>
  </si>
  <si>
    <t>אוירבאך, שלמה זלמן בן חיים יהודה ליב - פריד, ירחמיאל דוד</t>
  </si>
  <si>
    <t>האנף, צבי זלמן בן אהרן דוד</t>
  </si>
  <si>
    <t>מעדני שמואל</t>
  </si>
  <si>
    <t>הרצברג, שמואל בן משה ברוך</t>
  </si>
  <si>
    <t>מעדני שמואל - 6 כר'</t>
  </si>
  <si>
    <t>טרוביץ, שמואל בן גד</t>
  </si>
  <si>
    <t>מעדנים</t>
  </si>
  <si>
    <t>קרמר, אשר זליג בן יוסף</t>
  </si>
  <si>
    <t>תרפ"ו-תרפ"ז</t>
  </si>
  <si>
    <t>מעודד ענוים</t>
  </si>
  <si>
    <t>Wien</t>
  </si>
  <si>
    <t>מעוז הדת - 2 כר'</t>
  </si>
  <si>
    <t>מעוז חיי - בראשית, שמות</t>
  </si>
  <si>
    <t>פרלמוטר, יהודה</t>
  </si>
  <si>
    <t>מעוז חיי</t>
  </si>
  <si>
    <t>קלאר, חיים עוזר בו ישעיה</t>
  </si>
  <si>
    <t>מעוז חיים</t>
  </si>
  <si>
    <t>פילץ, חיים יעקב, בן עזריאל יהודה</t>
  </si>
  <si>
    <t>מעוז צור</t>
  </si>
  <si>
    <t>שוויצה, עוזי</t>
  </si>
  <si>
    <t>כפר יונה</t>
  </si>
  <si>
    <t>מעולפת ספירים &lt;מהדו"ח&gt; - 2 כר'</t>
  </si>
  <si>
    <t>מעולפת ספירים &lt;מהדורה חדשה&gt;</t>
  </si>
  <si>
    <t>מעולפת ספירים</t>
  </si>
  <si>
    <t>מעון אריה</t>
  </si>
  <si>
    <t>בינקוביץ, אריה ליב בן אברהם שלמה</t>
  </si>
  <si>
    <t>מעון הברכה - ברכות</t>
  </si>
  <si>
    <t>מעון הברכות</t>
  </si>
  <si>
    <t>לאנדא, ישראל יונה בן יוסף הלוי</t>
  </si>
  <si>
    <t>תקע"ה - תקע"ו</t>
  </si>
  <si>
    <t>מעון הברכות - 2 כר'</t>
  </si>
  <si>
    <t>מעונות הגבורים</t>
  </si>
  <si>
    <t>ברנשטיין, א. י</t>
  </si>
  <si>
    <t>מעורר זכרון ומאסף הכללים</t>
  </si>
  <si>
    <t>מעורר זכרון</t>
  </si>
  <si>
    <t>מעורר זכרון ומאסף המחנות</t>
  </si>
  <si>
    <t>מעורר ישנים</t>
  </si>
  <si>
    <t>אייזנשטאט, יצחק אייזיק</t>
  </si>
  <si>
    <t>פרידמאן, מרדכי בן יעקב ממזריטש</t>
  </si>
  <si>
    <t>מעט דבש - 3 כר'</t>
  </si>
  <si>
    <t>בן יצחק, דוד</t>
  </si>
  <si>
    <t>מעט דבש - בית יעקב</t>
  </si>
  <si>
    <t>דרושים, מועדי ישראל, משנה, תנ"ך, תנ"ך</t>
  </si>
  <si>
    <t>מעט דבש</t>
  </si>
  <si>
    <t>אוקספורד Oxford</t>
  </si>
  <si>
    <t>מעט מים &lt;מהדורה חדשה&gt;</t>
  </si>
  <si>
    <t>עטייא, משה בן יצחק</t>
  </si>
  <si>
    <t>מעט מים</t>
  </si>
  <si>
    <t>בן יהוידע, יצחק מאיר</t>
  </si>
  <si>
    <t>הלכה ומנהג, נושאים שונים, תנ"ך, תנ"ך, תפלות בקשות פיוטים ושירה</t>
  </si>
  <si>
    <t>מעט ממרובה</t>
  </si>
  <si>
    <t>מעט צרי על תרגום אונקלוס - 5 כר'</t>
  </si>
  <si>
    <t>מעט צרי</t>
  </si>
  <si>
    <t>הלפרט-היילפרין, יוסף צבי</t>
  </si>
  <si>
    <t>מעטה חן</t>
  </si>
  <si>
    <t>מעטה נפתלי</t>
  </si>
  <si>
    <t>שרייבר, נפתלי בן צבי</t>
  </si>
  <si>
    <t>מעטה תהלה</t>
  </si>
  <si>
    <t>מעיין אלישע</t>
  </si>
  <si>
    <t>מעיין גנים - 5 כר'</t>
  </si>
  <si>
    <t>תשס"ב - תשע"א</t>
  </si>
  <si>
    <t>מעיין גנים</t>
  </si>
  <si>
    <t>טרני, עקיבא בן אליהו</t>
  </si>
  <si>
    <t>מעיין גנים - 2 כר'</t>
  </si>
  <si>
    <t>עבאדי, מרדכי</t>
  </si>
  <si>
    <t>מעיין דוד</t>
  </si>
  <si>
    <t>מסודות אור יעקב לעלוב</t>
  </si>
  <si>
    <t>מעיין הברכה</t>
  </si>
  <si>
    <t>מאמרים מלוקטים</t>
  </si>
  <si>
    <t>מעיין החיים - 5 כר'</t>
  </si>
  <si>
    <t>קובץ חידושי תורה (גארליץ - צאנז)</t>
  </si>
  <si>
    <t>מעיין החכמה</t>
  </si>
  <si>
    <t>אשר צבי בן דוד</t>
  </si>
  <si>
    <t>מעין החכמה. תקמ"ד</t>
  </si>
  <si>
    <t>מעיין הטהרה - נדה</t>
  </si>
  <si>
    <t>קוריץ, מנחם</t>
  </si>
  <si>
    <t>מעיין המקום - יומא, כתובות</t>
  </si>
  <si>
    <t>מעיין הסופר - 3 כר'</t>
  </si>
  <si>
    <t>קובץ מגנזי תורת החת"ס ובית מדרשו</t>
  </si>
  <si>
    <t>מעיין השילוח</t>
  </si>
  <si>
    <t>תאנה, ברוך</t>
  </si>
  <si>
    <t>מעיין התלמוד - 2 כר'</t>
  </si>
  <si>
    <t>מעיין חיים - 2 כר'</t>
  </si>
  <si>
    <t>צמאני, דוד</t>
  </si>
  <si>
    <t>מעיין חיים - 4 כר'</t>
  </si>
  <si>
    <t>שנור, חיים בן אברהם אביש</t>
  </si>
  <si>
    <t>מעיין טוהר</t>
  </si>
  <si>
    <t>כהן, אמנון בן צבי</t>
  </si>
  <si>
    <t>מעיין משה</t>
  </si>
  <si>
    <t>מעיין שמואל</t>
  </si>
  <si>
    <t>וייס, שמואל מאיר בן דוד</t>
  </si>
  <si>
    <t>מעיינו מים - פסחים</t>
  </si>
  <si>
    <t>ישועה יוסף מ - עמר, יהודה</t>
  </si>
  <si>
    <t>מעיינות החיים</t>
  </si>
  <si>
    <t>מעיינות החכמה</t>
  </si>
  <si>
    <t>אבוזגלו, מרדכי</t>
  </si>
  <si>
    <t>מעיינות החסידות - ב</t>
  </si>
  <si>
    <t>מעיינות הרים - כח</t>
  </si>
  <si>
    <t>מוסדות זוועהיל ירושלים</t>
  </si>
  <si>
    <t>מעיינות התלמוד - 2 כר'</t>
  </si>
  <si>
    <t>ישיבת בית התלמוד לצעירים</t>
  </si>
  <si>
    <t>מעייני אגם</t>
  </si>
  <si>
    <t>מעייני החיים - 3 כר'</t>
  </si>
  <si>
    <t>מעייני הישועה - 2 כר'</t>
  </si>
  <si>
    <t>מעייני הישועה</t>
  </si>
  <si>
    <t>לודמיר, חנוך הענך בן מרדכי דוד</t>
  </si>
  <si>
    <t>מעייני התורה - 3 כר'</t>
  </si>
  <si>
    <t>עטייה, נסים יעקב בן ישועה</t>
  </si>
  <si>
    <t>מעייני טוהר</t>
  </si>
  <si>
    <t>יעקובי, עמנואל בן אליהו</t>
  </si>
  <si>
    <t>מעייני יהושע - יבמות, נדרים</t>
  </si>
  <si>
    <t>גולדברג, יהושע יוסף</t>
  </si>
  <si>
    <t>מעייני יעקב - 5 כר'</t>
  </si>
  <si>
    <t>גולדשטיין, שמואל יעקב בן אליעזר יצחק</t>
  </si>
  <si>
    <t>מעייני מים - 4 כר'</t>
  </si>
  <si>
    <t>מעייני מקרא - רות</t>
  </si>
  <si>
    <t>חמיאל, חיים יצחק</t>
  </si>
  <si>
    <t>מעיל  אהרן - חק נתן השלם - מעילה</t>
  </si>
  <si>
    <t>לעזער, אהרן בן פנחס - בורגיל, נתן</t>
  </si>
  <si>
    <t>מעיל אליהו</t>
  </si>
  <si>
    <t>מעיל יעקב - 2 כר'</t>
  </si>
  <si>
    <t>מעיל ישע - מעילה</t>
  </si>
  <si>
    <t>שיינברגר, ישעיה בן משה</t>
  </si>
  <si>
    <t>מעיל צדקה - 5 כר'</t>
  </si>
  <si>
    <t>מעיל צדקה - 2 כר'</t>
  </si>
  <si>
    <t>מעיל קדש ובגדי ישע &lt;מהדורת עלי עין&gt; - 2 כר'</t>
  </si>
  <si>
    <t>מעיל קדש ובגדי ישע</t>
  </si>
  <si>
    <t>מעיל קטן</t>
  </si>
  <si>
    <t>קונשטט, שמואל בן אליעזר יחיאל</t>
  </si>
  <si>
    <t>מעיל קינ"ה</t>
  </si>
  <si>
    <t>אלמנצי, יוסף בן ברוך</t>
  </si>
  <si>
    <t>מעיל שמואל &lt;פעמוני המעיל&gt;</t>
  </si>
  <si>
    <t>שפירא, שמואל בן אברהם</t>
  </si>
  <si>
    <t>מעיל שמואל על התורה</t>
  </si>
  <si>
    <t>יודלביץ, שמואל אהרן</t>
  </si>
  <si>
    <t>מעיל שמואל - 2 כר'</t>
  </si>
  <si>
    <t>אוטולינגי, שמואל דוד בן יחיאל</t>
  </si>
  <si>
    <t>הלכה ומנהג, קבלה, תלמוד בבלי, תנ"ך</t>
  </si>
  <si>
    <t>מעיל שמואל</t>
  </si>
  <si>
    <t>מעיל שמואל - 4 כר'</t>
  </si>
  <si>
    <t>מעיל שמואל - א</t>
  </si>
  <si>
    <t>כ"ץ, שמואל הילל בן מרדכי גימפל הכהן</t>
  </si>
  <si>
    <t>סיימנס, שמואל</t>
  </si>
  <si>
    <t>עידאן, שמואל (אודותיו)</t>
  </si>
  <si>
    <t>פלורנטין, חיים שמואל בן יעקב</t>
  </si>
  <si>
    <t>מעילו של שמואל</t>
  </si>
  <si>
    <t>יודלביץ, שמואל אהרן (עליו)</t>
  </si>
  <si>
    <t>מעין אברהם - אמונה</t>
  </si>
  <si>
    <t>מעין גנים &lt;על דרוש אור החיים&gt;</t>
  </si>
  <si>
    <t>מעין גנים - 2 כר'</t>
  </si>
  <si>
    <t>אהרונסון, ניסן בן אהרן</t>
  </si>
  <si>
    <t>מעין גנים - דברים</t>
  </si>
  <si>
    <t>מעין גנים - 3 כר'</t>
  </si>
  <si>
    <t>מעין גנים</t>
  </si>
  <si>
    <t>דיינארד, דוד מנחם בן שמואל</t>
  </si>
  <si>
    <t>דנגור, יהודה</t>
  </si>
  <si>
    <t>הארט, אליקים בן אברהם</t>
  </si>
  <si>
    <t>זבדיה, משה יעקב בן נתן ישעיהו הלוי</t>
  </si>
  <si>
    <t>תרס"ד-תרע"ד</t>
  </si>
  <si>
    <t>ימין, מרדכי</t>
  </si>
  <si>
    <t>מאסנות, שמואל בן ניסים</t>
  </si>
  <si>
    <t>מזרחי, ראובן בן חנניה</t>
  </si>
  <si>
    <t>מעין גנים - כתובות</t>
  </si>
  <si>
    <t>מעין הברכה</t>
  </si>
  <si>
    <t>[תרע"א].</t>
  </si>
  <si>
    <t>מעין הברכה - 5 כר'</t>
  </si>
  <si>
    <t>קובץ לתורה וחסידות</t>
  </si>
  <si>
    <t>מעין הברכות</t>
  </si>
  <si>
    <t>ריין, משה נתנאל</t>
  </si>
  <si>
    <t>מעין החיים - 2 כר'</t>
  </si>
  <si>
    <t>מעין החיים</t>
  </si>
  <si>
    <t>מעין החכמה &lt;ע"פ בית יעקב&gt;</t>
  </si>
  <si>
    <t>מעין החכמה. ת"ש - פיטרקובסקי, יעקב</t>
  </si>
  <si>
    <t>מעין החכמה &lt;דפו"ר&gt;</t>
  </si>
  <si>
    <t>מעין החכמה. תי"א</t>
  </si>
  <si>
    <t>מעין החכמה עם חקרי לב וחקק השם - 2 כר'</t>
  </si>
  <si>
    <t>מעין החכמה</t>
  </si>
  <si>
    <t>ברלין, נח חיים צבי בן אברהם מאיר</t>
  </si>
  <si>
    <t>חכם קדמון מתקופת גירוש ספרד</t>
  </si>
  <si>
    <t>מעין החכמה - 3 כר'</t>
  </si>
  <si>
    <t>לוריא, יצחק בן שלמה (האר"י). מיוחס לו</t>
  </si>
  <si>
    <t>שארף, משה יוסף בן אברהם אריה ליב</t>
  </si>
  <si>
    <t>מעין החסידות - 6 כר'</t>
  </si>
  <si>
    <t>גוטמן, מנחם (עורך)</t>
  </si>
  <si>
    <t>מעין המאורע</t>
  </si>
  <si>
    <t>כהן, דוד בן נסים</t>
  </si>
  <si>
    <t>מעין התורה - 3 כר'</t>
  </si>
  <si>
    <t>בלוי, יהושע העשיל</t>
  </si>
  <si>
    <t>מעין התורה</t>
  </si>
  <si>
    <t>מעין התורה - 6 כר'</t>
  </si>
  <si>
    <t>מעין התלמוד - מכות</t>
  </si>
  <si>
    <t>קרשינסקי, יוסף</t>
  </si>
  <si>
    <t>מעין ונחל - זהרי חמה - ימין עליון</t>
  </si>
  <si>
    <t>מעין חיים - 5 כר'</t>
  </si>
  <si>
    <t>זריהן, מיכאל</t>
  </si>
  <si>
    <t>מעין חיים</t>
  </si>
  <si>
    <t>חרל"פ, חיים זבולון בן יעקב משה</t>
  </si>
  <si>
    <t>מעין חיים - 2 כר'</t>
  </si>
  <si>
    <t>תרל"ד - תרל"ח</t>
  </si>
  <si>
    <t>מעין חיים, נחלי חיים, באר חיים</t>
  </si>
  <si>
    <t>הלכה ומנהג, נושאים שונים, שאלות ותשובות, תנ"ך</t>
  </si>
  <si>
    <t>מעין חן</t>
  </si>
  <si>
    <t>מעין טהור - 2 כר'</t>
  </si>
  <si>
    <t>גיגי, יוסף בן מאיר</t>
  </si>
  <si>
    <t>מעין טהרה השלם</t>
  </si>
  <si>
    <t>מעין יוסף - 2 כר'</t>
  </si>
  <si>
    <t>קוהוט, ישעיהו</t>
  </si>
  <si>
    <t>מעין יצחק</t>
  </si>
  <si>
    <t>מעין מים</t>
  </si>
  <si>
    <t>בוחבוט, אליהו</t>
  </si>
  <si>
    <t>מעין מים - 2 כר'</t>
  </si>
  <si>
    <t>מעין משה - ביאור עשר ספירות לר"ע מגירונה, דרך אמונה, מכתבי הלשם</t>
  </si>
  <si>
    <t>שץ, משה</t>
  </si>
  <si>
    <t>מעין נצח - 2 כר'</t>
  </si>
  <si>
    <t>פישהוף, אליעזר</t>
  </si>
  <si>
    <t>מעין עולם הבא - א</t>
  </si>
  <si>
    <t>מעין רפאל - גן צפורה</t>
  </si>
  <si>
    <t>משנה, נושאים שונים, שאר ספרי חז"ל, תלמוד בבלי, תנ"ך, תפלות בקשות פיוטים ושירה</t>
  </si>
  <si>
    <t>מעין שלמה</t>
  </si>
  <si>
    <t>היון, שלמה</t>
  </si>
  <si>
    <t>מעינה של תורה - 6 כר'</t>
  </si>
  <si>
    <t>תשט"ו-תשט"ז</t>
  </si>
  <si>
    <t>מעינות האמונה</t>
  </si>
  <si>
    <t>פרסמן, אליעזר</t>
  </si>
  <si>
    <t>מעינות הפשט</t>
  </si>
  <si>
    <t>פינק, דוד הכהן</t>
  </si>
  <si>
    <t>מעינות השמחה</t>
  </si>
  <si>
    <t>ממעינות רבוה"ק לבית זוועהיל</t>
  </si>
  <si>
    <t>מעינות טהרה</t>
  </si>
  <si>
    <t>בלאנק, מנחם מניס</t>
  </si>
  <si>
    <t>מעינות - 11 כר'</t>
  </si>
  <si>
    <t>מאסף לעניני חינוך והוראה</t>
  </si>
  <si>
    <t>מעיני החכמה &lt;מהדורה חדשה&gt; - 3 כר'</t>
  </si>
  <si>
    <t>מעיני החכמה</t>
  </si>
  <si>
    <t>מעיני הישועה &lt;מהדורה חדשה&gt;</t>
  </si>
  <si>
    <t>מעיני הישועה - 2 כר'</t>
  </si>
  <si>
    <t>מעיני הישועה - 4 כר'</t>
  </si>
  <si>
    <t>מונדרוביץ, יצחק</t>
  </si>
  <si>
    <t>מעיני הישועה - ירח האיתנים</t>
  </si>
  <si>
    <t>מעיני הישועה</t>
  </si>
  <si>
    <t>קרלנשטיין, יהושע</t>
  </si>
  <si>
    <t>מעיני המים - 2 כר'</t>
  </si>
  <si>
    <t>מעיני התלמוד - כריתות</t>
  </si>
  <si>
    <t>רלב"ג, יצחק (מלקט)</t>
  </si>
  <si>
    <t>מעיני חיים - ב</t>
  </si>
  <si>
    <t>ליטואר, חיים יעקב</t>
  </si>
  <si>
    <t>תרפ"ג-תרצ"ג,</t>
  </si>
  <si>
    <t>לומזה,</t>
  </si>
  <si>
    <t>מעיני יהושע</t>
  </si>
  <si>
    <t>מעיני ישועה</t>
  </si>
  <si>
    <t>ישועה הכהן</t>
  </si>
  <si>
    <t>דרושים, משנה, שאלות ותשובות, שלחן ערוך ומפרשיו, תלמוד בבלי, תנ"ך</t>
  </si>
  <si>
    <t>מעיני ישועות</t>
  </si>
  <si>
    <t>מעיני מים</t>
  </si>
  <si>
    <t>שילמאן, משה יחיאל מיכל בן שמואל</t>
  </si>
  <si>
    <t>מעיקרי היהדות - א</t>
  </si>
  <si>
    <t>הורביץ, יהושע העשיל הלוי</t>
  </si>
  <si>
    <t>מעלה בית חורין</t>
  </si>
  <si>
    <t>הגדה של פסח. תרכ"ח. בודפסט</t>
  </si>
  <si>
    <t>מעלה עשן</t>
  </si>
  <si>
    <t>מעלות אליהו</t>
  </si>
  <si>
    <t>מעלות אליהו - 2 כר'</t>
  </si>
  <si>
    <t>שריקי, אליהו</t>
  </si>
  <si>
    <t>מועדי ישראל, משנה, תולדות עם ישראל, תלמוד בבלי, תנ"ך</t>
  </si>
  <si>
    <t>מעלות היוחסין - 2 כר'</t>
  </si>
  <si>
    <t>מעלות המדות &lt;מהדורה חדשה&gt;</t>
  </si>
  <si>
    <t>מעלות המדות - 2 כר'</t>
  </si>
  <si>
    <t>מעלות המסילה</t>
  </si>
  <si>
    <t>גינזבורג, בן ירוחם</t>
  </si>
  <si>
    <t>מןדיעין עילית</t>
  </si>
  <si>
    <t>מעלות המשנה</t>
  </si>
  <si>
    <t>מכון דעת חיים</t>
  </si>
  <si>
    <t>מעלות הצדיקים</t>
  </si>
  <si>
    <t>מעלות הצדקה - מופת יחזקאל</t>
  </si>
  <si>
    <t>ברנשטיין, בנימין משה בן נחמן ליב</t>
  </si>
  <si>
    <t>מעלות הצדקה</t>
  </si>
  <si>
    <t>מעלות התורה &lt;אור תורה, יקר אורייתא&gt;</t>
  </si>
  <si>
    <t>אברהם בן שלמה זלמן</t>
  </si>
  <si>
    <t>מעלות התורה והמצוה</t>
  </si>
  <si>
    <t>מעלות התורה - 5 כר'</t>
  </si>
  <si>
    <t>מעלות התפילה</t>
  </si>
  <si>
    <t>מעלות התשובה</t>
  </si>
  <si>
    <t>מעלות לשלמה</t>
  </si>
  <si>
    <t>סלובטיצקי, שלמה בן משה חיים</t>
  </si>
  <si>
    <t>מעלות רבקה</t>
  </si>
  <si>
    <t>מעלות שלמה</t>
  </si>
  <si>
    <t>האי גאון</t>
  </si>
  <si>
    <t>מעליות בשבת</t>
  </si>
  <si>
    <t>מעליות - 3 כר'</t>
  </si>
  <si>
    <t>ביטאון ישיבת ברכת משה</t>
  </si>
  <si>
    <t>מעלין בקודש - 34 כר'</t>
  </si>
  <si>
    <t>כולל בית הבחירה - כרמי צור</t>
  </si>
  <si>
    <t>מעלית אוטמטית בשבת</t>
  </si>
  <si>
    <t>מעלפת ספירים - 2 כר'</t>
  </si>
  <si>
    <t>מעלפת ספירים</t>
  </si>
  <si>
    <t>לאנגער, בן ציון</t>
  </si>
  <si>
    <t>סבג, מאיר</t>
  </si>
  <si>
    <t>מעלת הארץ - א"י בפירוש הרמב"ן עה"ת</t>
  </si>
  <si>
    <t>רבלין, חיים בן ישראל</t>
  </si>
  <si>
    <t>מעלת היוחסין</t>
  </si>
  <si>
    <t>חבורת בני תורה</t>
  </si>
  <si>
    <t>מעלת היסורים</t>
  </si>
  <si>
    <t>סובר, שבתי בן אריה ליב</t>
  </si>
  <si>
    <t>תפילינסקי, יעקב גדליהו בן שמואל</t>
  </si>
  <si>
    <t>מעלת המדות</t>
  </si>
  <si>
    <t>מעלת עלינו לשבח</t>
  </si>
  <si>
    <t>מעם לועז החדש</t>
  </si>
  <si>
    <t>קונפינו, יהודה אברהם</t>
  </si>
  <si>
    <t>מעם לועז - א (בראשית)</t>
  </si>
  <si>
    <t>אלברטס, משה ז</t>
  </si>
  <si>
    <t>תרע"ז - תרפ"ג</t>
  </si>
  <si>
    <t>מעמד האשה בעם ישראל</t>
  </si>
  <si>
    <t>מעמד הקהל בתפארתו</t>
  </si>
  <si>
    <t>טויבש, חיים צבי בן זכריה</t>
  </si>
  <si>
    <t>צוריך,</t>
  </si>
  <si>
    <t>מעמד הר סיני</t>
  </si>
  <si>
    <t>מעמדו של הפועל במקרא</t>
  </si>
  <si>
    <t>מעמק הבכא</t>
  </si>
  <si>
    <t>אלפסי, יצחק (עורך)</t>
  </si>
  <si>
    <t>אפרתי, שמעון בן יקותיאל</t>
  </si>
  <si>
    <t>מעמקים בפרשה</t>
  </si>
  <si>
    <t>ניר, אריאל</t>
  </si>
  <si>
    <t>מענבי הכרם - שמות</t>
  </si>
  <si>
    <t>גרינברג, מרדכי - ריבלין, אברהם</t>
  </si>
  <si>
    <t>קבוצת יבנה</t>
  </si>
  <si>
    <t>מענה אברהם &lt;מכון הכתב&gt;</t>
  </si>
  <si>
    <t>עמאר, אברהם בן אהרן אלעזר</t>
  </si>
  <si>
    <t>מענה אליהו</t>
  </si>
  <si>
    <t>בומבאך, אליהו בן יהושע פינחס</t>
  </si>
  <si>
    <t>צאהלין, אליהו בן משה גרשון</t>
  </si>
  <si>
    <t>מענה השלחן</t>
  </si>
  <si>
    <t>נסימי, עוזי בן רחמים</t>
  </si>
  <si>
    <t>מענה לשון עם תרגום אנגלית</t>
  </si>
  <si>
    <t>מענה לשון</t>
  </si>
  <si>
    <t>אנגלנדר, גבריאל צבי בן ליב</t>
  </si>
  <si>
    <t>מענה לשון - שמות</t>
  </si>
  <si>
    <t>מענה לשון - 6 כר'</t>
  </si>
  <si>
    <t>עוזיאל, יצחק בן אברהם</t>
  </si>
  <si>
    <t>תפלות חולים ומתים</t>
  </si>
  <si>
    <t>מענה פיו - 2 כר'</t>
  </si>
  <si>
    <t>סרי, יורם</t>
  </si>
  <si>
    <t>מענה רך &lt;מהדורה חדשה&gt;</t>
  </si>
  <si>
    <t>מענה רך על חזות קשה</t>
  </si>
  <si>
    <t>מענה רך</t>
  </si>
  <si>
    <t>מענה שמחה</t>
  </si>
  <si>
    <t>ארנפלד, שמחה בונם בן שמואל</t>
  </si>
  <si>
    <t>מענינא דיומא</t>
  </si>
  <si>
    <t>מענש און תורה - 2 כר'</t>
  </si>
  <si>
    <t>שניצר, י. ל.</t>
  </si>
  <si>
    <t>יו יורק</t>
  </si>
  <si>
    <t>שניצר, י.ל</t>
  </si>
  <si>
    <t>מעפר קומי</t>
  </si>
  <si>
    <t>גלאט, צבי</t>
  </si>
  <si>
    <t>שהרבני, רונן</t>
  </si>
  <si>
    <t>מעריך המערכות</t>
  </si>
  <si>
    <t>אקן, פיליפ דה</t>
  </si>
  <si>
    <t>שפ"ט</t>
  </si>
  <si>
    <t>ברד"ח, אליהו בן דוד</t>
  </si>
  <si>
    <t>מערכה בשמעתא דשאולה ושכורה</t>
  </si>
  <si>
    <t>שפירא, שמואל מאיר</t>
  </si>
  <si>
    <t>מערכה ודרוש - פסח א</t>
  </si>
  <si>
    <t>מערכה לקראת מערכה</t>
  </si>
  <si>
    <t>מערכות הקנינים - 2 כר'</t>
  </si>
  <si>
    <t>רוטנר, חיים מאיר</t>
  </si>
  <si>
    <t>מערכות חיים - 4 כר'</t>
  </si>
  <si>
    <t>מערכות קידושין</t>
  </si>
  <si>
    <t>קרויס, אפרים פישל - יורוביץ', מנחם מנדל</t>
  </si>
  <si>
    <t>מערכות רעק"א - כתובות</t>
  </si>
  <si>
    <t>איגר, עקיבא בן משה - בדיל, ישראל מאיר</t>
  </si>
  <si>
    <t>מערכי המשפט - ירושה</t>
  </si>
  <si>
    <t>בורכוב, יונתן</t>
  </si>
  <si>
    <t>מערכי יושר - 2 כר'</t>
  </si>
  <si>
    <t>כהן, רועי יעקב</t>
  </si>
  <si>
    <t>מערכי ל"ב</t>
  </si>
  <si>
    <t>רוקח, יששכר דב בן יהושע</t>
  </si>
  <si>
    <t>מערכי לב יבא הלוי - 2 כר'</t>
  </si>
  <si>
    <t>הורוויץ, יואל בן אלכסנדר הלוי</t>
  </si>
  <si>
    <t>מערכי לב</t>
  </si>
  <si>
    <t>מערכי לב - א ב</t>
  </si>
  <si>
    <t>תקפ"א - תקפ"ב</t>
  </si>
  <si>
    <t>מערכי לב - 11 כר'</t>
  </si>
  <si>
    <t>מערכי לב - 2 כר'</t>
  </si>
  <si>
    <t>מערכי לב - 4 כר'</t>
  </si>
  <si>
    <t>מערכי מועד - 3 כר'</t>
  </si>
  <si>
    <t>מערכי משפט</t>
  </si>
  <si>
    <t>זוין, ראובן יהודה בן נחום</t>
  </si>
  <si>
    <t>מערכי עירובין</t>
  </si>
  <si>
    <t>שוגרמן, יצחק צבי בן אברהם זרח</t>
  </si>
  <si>
    <t>מערכי שמואל</t>
  </si>
  <si>
    <t>הולל,</t>
  </si>
  <si>
    <t>מערכי תבונה - 2 כר'</t>
  </si>
  <si>
    <t>מערכת האלהות &lt;מהדורה חדשה&gt;</t>
  </si>
  <si>
    <t>פרץ בן יצחק גירונדי. מיוחס לו</t>
  </si>
  <si>
    <t>מערכת האלהות - 3 כר'</t>
  </si>
  <si>
    <t>שי"ח</t>
  </si>
  <si>
    <t>מערכת המשנה ברורה - 3 כר'</t>
  </si>
  <si>
    <t>מערכת הפעלים</t>
  </si>
  <si>
    <t>קליינמאן, אברהם בן יחיאל</t>
  </si>
  <si>
    <t>[תר"ע].</t>
  </si>
  <si>
    <t>מערכת הקנינים - 2 כר'</t>
  </si>
  <si>
    <t>מערכת השבת - ואלה שמות</t>
  </si>
  <si>
    <t>מערכת השלחן - 4 כר'</t>
  </si>
  <si>
    <t>קורנפלד, פנחס שמחה בן יחיאל דוד</t>
  </si>
  <si>
    <t>מערכת התלמוד והפוסקים - 10 כר'</t>
  </si>
  <si>
    <t>ולקובסקי, אליהו מרדכי בן צבי יחיאל הלוי</t>
  </si>
  <si>
    <t>מערכת יסוד איתן</t>
  </si>
  <si>
    <t>ישיבה גדולה ומתיבתא דרבינו יואל</t>
  </si>
  <si>
    <t>מערכת לחם - הלכות תערובות</t>
  </si>
  <si>
    <t>מערכת פלך השתיקה ופלך ההודיה</t>
  </si>
  <si>
    <t>מערת עדלם</t>
  </si>
  <si>
    <t>מערת שדה המכפלה - 2 כר'</t>
  </si>
  <si>
    <t>אבן-צור, משה בן יצחק</t>
  </si>
  <si>
    <t>מעשה אב</t>
  </si>
  <si>
    <t>מאנדעל, יעקב</t>
  </si>
  <si>
    <t>מעשה אבות &lt;מהדורה חדשה&gt;</t>
  </si>
  <si>
    <t>פשקס, אהרן אלעזר</t>
  </si>
  <si>
    <t>מעשה אבות סימן לבנים - 6 כר'</t>
  </si>
  <si>
    <t>מעשה אבות</t>
  </si>
  <si>
    <t>מעשה אבות - בראשית</t>
  </si>
  <si>
    <t>ברוכי, אהרן</t>
  </si>
  <si>
    <t>גלברט, ישראל בן מרדכי</t>
  </si>
  <si>
    <t>מעשה אבות - א</t>
  </si>
  <si>
    <t>מלוקט מכתבי רבותינו מספינקא</t>
  </si>
  <si>
    <t>מעשה אבות - על מסכת אבות</t>
  </si>
  <si>
    <t>ממן, משה מרדכי בן אברהם</t>
  </si>
  <si>
    <t>משה בן יונה מואלוז'ין</t>
  </si>
  <si>
    <t>מעשה אבות - 4 כר'</t>
  </si>
  <si>
    <t>משלה, חדימאן</t>
  </si>
  <si>
    <t>תרט"ז - תרי"ז</t>
  </si>
  <si>
    <t>הלכה ומנהג, נושאים שונים, נושאים שונים, תולדות עם ישראל</t>
  </si>
  <si>
    <t>מעשה אברהם</t>
  </si>
  <si>
    <t>מעשה אורג</t>
  </si>
  <si>
    <t>גוקאוויצקי, ישראל</t>
  </si>
  <si>
    <t>כהן, עקיבא</t>
  </si>
  <si>
    <t>מעשה אי"ש</t>
  </si>
  <si>
    <t>מעשה אילפס</t>
  </si>
  <si>
    <t>מעשה איש &lt;תולדות החזון איש&gt; - 7 כר'</t>
  </si>
  <si>
    <t>מעשה איש - 2 כר'</t>
  </si>
  <si>
    <t>יונגרמן, אברהם ישעיהו בן שלום מאיר</t>
  </si>
  <si>
    <t>מעשה איש</t>
  </si>
  <si>
    <t>קניג, יצחק</t>
  </si>
  <si>
    <t>מעשה אליהו</t>
  </si>
  <si>
    <t>מעשה אלפס - 6 כר'</t>
  </si>
  <si>
    <t>מעשה אפד</t>
  </si>
  <si>
    <t>דוראן, יצחק בן משה הלוי</t>
  </si>
  <si>
    <t>מעשה ארג - 2 כר'</t>
  </si>
  <si>
    <t>מעשה ארג</t>
  </si>
  <si>
    <t>גרוכובסקי, אלחנן ראובן בן שלום</t>
  </si>
  <si>
    <t>מעשה בוסתנאי באערבי</t>
  </si>
  <si>
    <t>מעשה בוסתנאי</t>
  </si>
  <si>
    <t>סוסה, תוניס</t>
  </si>
  <si>
    <t>מעשה בית דין - א</t>
  </si>
  <si>
    <t>מעשה בצלאל</t>
  </si>
  <si>
    <t>דויטש, בצלאל בן משה</t>
  </si>
  <si>
    <t>מעשה בר' אלעזר</t>
  </si>
  <si>
    <t>מעשה בראשית בשלשה</t>
  </si>
  <si>
    <t>מעשה בראשית</t>
  </si>
  <si>
    <t>אליוונשטיין, זאב וולף בן אליהו</t>
  </si>
  <si>
    <t>מעשה בראשית - 4 כר'</t>
  </si>
  <si>
    <t>בן אדהאן, יוסף נסים</t>
  </si>
  <si>
    <t>שפירא, מרדכי זלמן</t>
  </si>
  <si>
    <t>מעשה ברבי עקיבא</t>
  </si>
  <si>
    <t>ברנסדורפר, משה יעקב בן ידידיה</t>
  </si>
  <si>
    <t>מעשה בשבעה קבצנים</t>
  </si>
  <si>
    <t>מעשה גבורות ד'</t>
  </si>
  <si>
    <t>מעשה גבורות השם</t>
  </si>
  <si>
    <t>מעשה גדול ונורא</t>
  </si>
  <si>
    <t>ניקלשבורג</t>
  </si>
  <si>
    <t>מעשה ה'</t>
  </si>
  <si>
    <t>מעשה הגאונים</t>
  </si>
  <si>
    <t>אפשטיין, אברהם בן ישראל</t>
  </si>
  <si>
    <t>הלכה ומנהג, נושאים שונים, קבצים וכתבי עת, ספרי זכרון ויובל, שאלות ותשובות</t>
  </si>
  <si>
    <t>מעשה הגדולים החדש</t>
  </si>
  <si>
    <t>סלודובניק, מתתיהו צבי בן ישראל יעקב</t>
  </si>
  <si>
    <t>מעשה הגדולים עם מילין דרבנן</t>
  </si>
  <si>
    <t>מעשה הגדולים</t>
  </si>
  <si>
    <t>מעשה הגדולים - 5 כר'</t>
  </si>
  <si>
    <t>אבידני, עלואן שמעון</t>
  </si>
  <si>
    <t>מעשה הכתב</t>
  </si>
  <si>
    <t>לסר, ישי בן דוד יעקב</t>
  </si>
  <si>
    <t>מעשה הפת בידאדראן</t>
  </si>
  <si>
    <t>יוסף בן יצחק מבוכארה</t>
  </si>
  <si>
    <t>מעשה הצדיקים</t>
  </si>
  <si>
    <t>אבן סוסאן, אברהם בן יצחק הלוי</t>
  </si>
  <si>
    <t>מעשה הצדקה</t>
  </si>
  <si>
    <t>טייכר, צבי אלימלך בן יוסף משה</t>
  </si>
  <si>
    <t>מעשה הקרבנות - 2 כר'</t>
  </si>
  <si>
    <t>חורוזינסקי, שמואל ברוך</t>
  </si>
  <si>
    <t>מעשה הרב</t>
  </si>
  <si>
    <t>ארדויטאל, שם טוב בן יצחק</t>
  </si>
  <si>
    <t>מעשה השבת</t>
  </si>
  <si>
    <t>ח, שמואל</t>
  </si>
  <si>
    <t>מעשה השבת - 2 כר'</t>
  </si>
  <si>
    <t>כהן, אליה רפאל בן אפרים</t>
  </si>
  <si>
    <t>מעשה התשובה</t>
  </si>
  <si>
    <t>מעשה וגרמא בהלכה</t>
  </si>
  <si>
    <t>מעשה וחשבון</t>
  </si>
  <si>
    <t>מנבי, שמעון דב בן מרדכי צבי</t>
  </si>
  <si>
    <t>מעשה זית</t>
  </si>
  <si>
    <t>גולדברג, אברהם נפתלי הירצקה בן יעקב</t>
  </si>
  <si>
    <t>מעשה חושב</t>
  </si>
  <si>
    <t>מעשה חושב - 4 כר'</t>
  </si>
  <si>
    <t>מעשה חושב - הלכות דיינים ועדות</t>
  </si>
  <si>
    <t>מזרחי, יוסף חיים בן מאיר</t>
  </si>
  <si>
    <t>מעשה חושב - 3 כר'</t>
  </si>
  <si>
    <t>מעשה חושן וקטורת</t>
  </si>
  <si>
    <t>פרלהפטר, שמואל יששכר בר בן יהודה ליב</t>
  </si>
  <si>
    <t>מעשה חושן - מקח וממכר</t>
  </si>
  <si>
    <t>טהבש, שמעיה אליהו</t>
  </si>
  <si>
    <t>מעשה חייא &lt;מכון הכתב&gt;</t>
  </si>
  <si>
    <t>רופא, חייא</t>
  </si>
  <si>
    <t>מעשה חייא</t>
  </si>
  <si>
    <t>אמסלם, יחייא</t>
  </si>
  <si>
    <t>הלכה ומנהג, מועדי ישראל, שאלות ותשובות, שלחן ערוך ומפרשיו, תלמוד בבלי, תנ"ך</t>
  </si>
  <si>
    <t>מעשה חייא - 2 כר'</t>
  </si>
  <si>
    <t>מעשה חמד</t>
  </si>
  <si>
    <t>כהן, אליהו בן משה ישעיהו</t>
  </si>
  <si>
    <t>מעשה חרש - 6 כר'</t>
  </si>
  <si>
    <t>שכטר, רפאל חיים בן משולם</t>
  </si>
  <si>
    <t>מעשה חשב - 2 כר'</t>
  </si>
  <si>
    <t>גאלאנדויאר, משה בן אברהם</t>
  </si>
  <si>
    <t>Turna n/B</t>
  </si>
  <si>
    <t>מעשה חשב - 5 כר'</t>
  </si>
  <si>
    <t>ישיבת אור יוסף</t>
  </si>
  <si>
    <t>ניימינץ, יוסף בן משה</t>
  </si>
  <si>
    <t>מעשה טובי בן טוביאל</t>
  </si>
  <si>
    <t>ספרים חיצוניים. ת"ר</t>
  </si>
  <si>
    <t>מעשה טוביה</t>
  </si>
  <si>
    <t>מעשה טוביה - 3 כר'</t>
  </si>
  <si>
    <t>טוביה בן משה ירמיהו הכהן</t>
  </si>
  <si>
    <t>מעשה יהודית,  מעשה שושנה</t>
  </si>
  <si>
    <t>ספרים חיצוניים. ת"ש</t>
  </si>
  <si>
    <t>מעשה יחיאל, מיכל המים, מיכלא דאסוותא</t>
  </si>
  <si>
    <t>מעשה ירושלמי</t>
  </si>
  <si>
    <t>מעשה ישראל</t>
  </si>
  <si>
    <t>מעשה כהן</t>
  </si>
  <si>
    <t>כהן, אלישע</t>
  </si>
  <si>
    <t>מעשה כהן - 3 כר'</t>
  </si>
  <si>
    <t>כהן, משה שמעון עקיבא בן כתריאל יהודה</t>
  </si>
  <si>
    <t>מעשה מאבידת בת מלך - מבואר</t>
  </si>
  <si>
    <t>מעשה מחכם ותם</t>
  </si>
  <si>
    <t>מעשה נורא זכה וברורה</t>
  </si>
  <si>
    <t>מעשה נורא מהגאון הצדיק... יצחק חיות</t>
  </si>
  <si>
    <t>בריקנשטיין, ישראל נתן</t>
  </si>
  <si>
    <t>מעשה נורא</t>
  </si>
  <si>
    <t>מעשה יוסף די לה ריינה. תרס"ה</t>
  </si>
  <si>
    <t>תרס"ה,</t>
  </si>
  <si>
    <t>מעשה נחמיה</t>
  </si>
  <si>
    <t>רבינוביץ, מנחם מנדל בן נתן אריה ליב</t>
  </si>
  <si>
    <t>מעשה ניסים - לזכר רבי ניסים מויאל</t>
  </si>
  <si>
    <t>מעשה ניסים</t>
  </si>
  <si>
    <t>מלכה, חנניה בן ניסים</t>
  </si>
  <si>
    <t>ניסים, יהודה</t>
  </si>
  <si>
    <t>מעשה נסים &lt;מהדורה חדשה&gt;</t>
  </si>
  <si>
    <t>אהרן בן דוד הכהן מראגוזה</t>
  </si>
  <si>
    <t>מעשה נסים &lt;עם הגהות כת"י&gt;</t>
  </si>
  <si>
    <t>סיביליו, ניסים בן יהושע</t>
  </si>
  <si>
    <t>מעשה נסים כתב יד</t>
  </si>
  <si>
    <t>דניאל הבבלי</t>
  </si>
  <si>
    <t>מעשה נסים</t>
  </si>
  <si>
    <t>מעשה נסים - 2 כר'</t>
  </si>
  <si>
    <t>דניאל הבבלי - אברהם בן משה בן מימון</t>
  </si>
  <si>
    <t>הכהן, ניסים בן מרדכי</t>
  </si>
  <si>
    <t>ווברמן, משה</t>
  </si>
  <si>
    <t>חדאד, בן דוד מעתוק</t>
  </si>
  <si>
    <t>מעשה נסים - 7 כר'</t>
  </si>
  <si>
    <t>מוגרבי, אברהם</t>
  </si>
  <si>
    <t>מעשה נסים - 5 כר'</t>
  </si>
  <si>
    <t>נסים בן אברהם מגוץ הכהן</t>
  </si>
  <si>
    <t>נסים בן משה ממרסיי</t>
  </si>
  <si>
    <t>מעשה סופרים</t>
  </si>
  <si>
    <t>חזן, מיכאל אליהו</t>
  </si>
  <si>
    <t>שטרסבורג</t>
  </si>
  <si>
    <t>מעשה עזרא</t>
  </si>
  <si>
    <t>שתיאת, דוד חי בן עזרא</t>
  </si>
  <si>
    <t>מעשה צדיקים עם דברי צדיקים</t>
  </si>
  <si>
    <t>מעשה צדיקים</t>
  </si>
  <si>
    <t>מעשה צופר</t>
  </si>
  <si>
    <t>מעשה רב &lt;מהדורה חדשה&gt;</t>
  </si>
  <si>
    <t>יששכר דוב בר בן תנחום - אליהו בן שלמה זלמן [הגר"א]</t>
  </si>
  <si>
    <t>מעשה רב החדש</t>
  </si>
  <si>
    <t>מעשה רב</t>
  </si>
  <si>
    <t>יוחנן בן יצחק מהלישוי</t>
  </si>
  <si>
    <t>מעשה רב - 4 כר'</t>
  </si>
  <si>
    <t>משה בן בנימין</t>
  </si>
  <si>
    <t>מעשה רוקח &lt;מהדורה חדשה&gt;</t>
  </si>
  <si>
    <t>מעשה רוקח</t>
  </si>
  <si>
    <t>מעשה רוקח - 5 כר'</t>
  </si>
  <si>
    <t>מעשה רק"ם - 2 כר'</t>
  </si>
  <si>
    <t>קורייאט, יצחק בן יהודה</t>
  </si>
  <si>
    <t>מעשה רקח &lt;מהדורה חדשה&gt; - 3 כר'</t>
  </si>
  <si>
    <t>רקח, מסעוד חי בן אהרן</t>
  </si>
  <si>
    <t>מעשה רקח - לתולדות בעל דברי יהושע</t>
  </si>
  <si>
    <t>אברמוביץ, מרדכי דוד</t>
  </si>
  <si>
    <t>מעשה רקח - 5 כר'</t>
  </si>
  <si>
    <t>מעשה רקם - 3 כר'</t>
  </si>
  <si>
    <t>בר, קלמן מאיר</t>
  </si>
  <si>
    <t>מעשה רשת - האינטרנט בהלכה</t>
  </si>
  <si>
    <t>מעשה שבת</t>
  </si>
  <si>
    <t>פרקש, משה בן מנחם</t>
  </si>
  <si>
    <t>מעשה שהיה</t>
  </si>
  <si>
    <t>מזרחי, ראובן רועי</t>
  </si>
  <si>
    <t>מעשה שושן</t>
  </si>
  <si>
    <t>הכהן, שושן</t>
  </si>
  <si>
    <t>דרושים, הלכה ומנהג, מועדי ישראל, נושאים שונים</t>
  </si>
  <si>
    <t>מעשה שושן - 3 כר'</t>
  </si>
  <si>
    <t>שושן, אשר בן יוסף מנחם</t>
  </si>
  <si>
    <t>מעשות מהגדולים והצדיקים</t>
  </si>
  <si>
    <t>זיס, ישראל דוד בן אברהם ניסן הלוי</t>
  </si>
  <si>
    <t>מעשות פון בעל שם טוב</t>
  </si>
  <si>
    <t>אפאטאשו, י</t>
  </si>
  <si>
    <t>מעשי אבות</t>
  </si>
  <si>
    <t>חדד, דוד</t>
  </si>
  <si>
    <t>מעשי בראשית (באידיש)</t>
  </si>
  <si>
    <t>מעשי ד' כי נורא הוא</t>
  </si>
  <si>
    <t>מעשי ה' - 4 כר'</t>
  </si>
  <si>
    <t>מעשי הגדולים (מתורגם ללשון ערבי)</t>
  </si>
  <si>
    <t>מעשי הגדולים - 2 כר'</t>
  </si>
  <si>
    <t>מעשי הקדושים</t>
  </si>
  <si>
    <t>תרפ"ו - הקד'</t>
  </si>
  <si>
    <t>מעשי חייא - 2 כר'</t>
  </si>
  <si>
    <t>טורצין, חיים אהרן בן יצחק יונה</t>
  </si>
  <si>
    <t>מעשי חכמים</t>
  </si>
  <si>
    <t>הופמאן, נחמיה דוב בן זאב</t>
  </si>
  <si>
    <t>יצחק בן יעקב מן הלויים</t>
  </si>
  <si>
    <t>ת"ז</t>
  </si>
  <si>
    <t>מחשבה ומוסר, נושאים שונים, תלמוד בבלי, תלמוד בבלי, תלמוד ירושלמי</t>
  </si>
  <si>
    <t>מעשי למלך - 2 כר'</t>
  </si>
  <si>
    <t>זילברשטיין, ישעיה בן דוד ליב</t>
  </si>
  <si>
    <t>תרע"ג - תר"צ</t>
  </si>
  <si>
    <t>מעשי נסים</t>
  </si>
  <si>
    <t>מעשי צדיקים</t>
  </si>
  <si>
    <t>מעשי רבותינו - 2 כר'</t>
  </si>
  <si>
    <t>מעשיהם של צדיקים - ניסן, אייר, סיון</t>
  </si>
  <si>
    <t>מעשיהם של תנאים ואמוראים</t>
  </si>
  <si>
    <t>מעשיות הזהר - 7 כר'</t>
  </si>
  <si>
    <t>בצרי, דוד שלום בן יוסף (עורך)</t>
  </si>
  <si>
    <t>מעשיות התלמוד - 6 כר'</t>
  </si>
  <si>
    <t>בצרי, משה בן עזרא (עורך)</t>
  </si>
  <si>
    <t>מעשיות ומאמרים יקרים</t>
  </si>
  <si>
    <t>ציקרניק, ישעיה וולף</t>
  </si>
  <si>
    <t>מעשיות וסיפורים מימי קדם</t>
  </si>
  <si>
    <t>יספאן, משנה צאלח</t>
  </si>
  <si>
    <t>מעשיות ושיחות צדיקים</t>
  </si>
  <si>
    <t>מעשיות מבית אבא</t>
  </si>
  <si>
    <t>מעשיות מהגדולים והצדיקים</t>
  </si>
  <si>
    <t>הלוי, אברהם ניסן</t>
  </si>
  <si>
    <t>מעשיות מצדיקי יסודי עולם</t>
  </si>
  <si>
    <t>מעשיות נוראים ונפלאים</t>
  </si>
  <si>
    <t>תרנ"ו,</t>
  </si>
  <si>
    <t>מעשיות נוראים</t>
  </si>
  <si>
    <t>ברגמן, משה אהרן</t>
  </si>
  <si>
    <t>מעשיות פליאות נוראים ונפלאים</t>
  </si>
  <si>
    <t>מעשיות פליאות</t>
  </si>
  <si>
    <t>מעשים טובים</t>
  </si>
  <si>
    <t>סקואני Sacueni</t>
  </si>
  <si>
    <t>מעשים נפלאים</t>
  </si>
  <si>
    <t>מעשים שבכל יום - א</t>
  </si>
  <si>
    <t>מעשר כספים</t>
  </si>
  <si>
    <t>מעת לעטרת - 12 כר'</t>
  </si>
  <si>
    <t>מפארי לב</t>
  </si>
  <si>
    <t>מפולין לארץ ישראל</t>
  </si>
  <si>
    <t>מפז יקרה</t>
  </si>
  <si>
    <t>מפי אהרן</t>
  </si>
  <si>
    <t>אלחאדיף, אהרן בכור בן חיים (אב"א)</t>
  </si>
  <si>
    <t>מפי אוד מוצל</t>
  </si>
  <si>
    <t>פיבלוביץ, פנחס מנחם</t>
  </si>
  <si>
    <t>מפי אריה - מועדים</t>
  </si>
  <si>
    <t>כהן, אריה</t>
  </si>
  <si>
    <t>מפי אריה</t>
  </si>
  <si>
    <t>מאנל, צבי נתן</t>
  </si>
  <si>
    <t>מפי דודי</t>
  </si>
  <si>
    <t>פרלמאן, משה אהרן</t>
  </si>
  <si>
    <t>מפי זרעו</t>
  </si>
  <si>
    <t>פשווזמן, פינחס מנחם (לזכרו)</t>
  </si>
  <si>
    <t>מפי חסידים</t>
  </si>
  <si>
    <t>לקט סיפורים על כ"ק אדמו"ר הזקן</t>
  </si>
  <si>
    <t>מפי כהן - 7 כר'</t>
  </si>
  <si>
    <t>כהן, ישעיהו בן אליעזר</t>
  </si>
  <si>
    <t>מפי סופרים וספרים - 10 כר'</t>
  </si>
  <si>
    <t>מפי עוללים</t>
  </si>
  <si>
    <t>חבר רבנים</t>
  </si>
  <si>
    <t>מפיהם ומפי כתבם - 3 כר'</t>
  </si>
  <si>
    <t>לקט שיחות ומאמרים</t>
  </si>
  <si>
    <t>מפיהם</t>
  </si>
  <si>
    <t>לקט ראיונות עם גדולי ישראל</t>
  </si>
  <si>
    <t>מפינסק ועד ירושלים - 2 כר'</t>
  </si>
  <si>
    <t>לוצקין, גרשון הלוי בן חיים בנימין</t>
  </si>
  <si>
    <t>מפיק מרגליות</t>
  </si>
  <si>
    <t>הורוויץ, דוב בר בן צבי הלוי</t>
  </si>
  <si>
    <t>מפירושו של הרמב"ם ז"ל למס' שבת</t>
  </si>
  <si>
    <t>מפירושי הגר"א על התורה</t>
  </si>
  <si>
    <t>מפירות האילן</t>
  </si>
  <si>
    <t>אלסטר, אילן</t>
  </si>
  <si>
    <t>מפלאי הבריאה</t>
  </si>
  <si>
    <t>בר דע, אסתר</t>
  </si>
  <si>
    <t>מפלגי ראובן</t>
  </si>
  <si>
    <t>מרדכי גימפל בן ראובן מלבוב</t>
  </si>
  <si>
    <t>מפלת יודפת</t>
  </si>
  <si>
    <t>מפני מה אסור להשתתף בבחירות</t>
  </si>
  <si>
    <t>מפניני המהר"ל מפראג</t>
  </si>
  <si>
    <t>מפניני הרמב"ם - 5 כר'</t>
  </si>
  <si>
    <t>מפנקס בית הדין</t>
  </si>
  <si>
    <t>ברוורמן, צבי</t>
  </si>
  <si>
    <t>מפנקסו של מרצה</t>
  </si>
  <si>
    <t>מפנקסו של עיתונאי חסיד</t>
  </si>
  <si>
    <t>ביין, ליב</t>
  </si>
  <si>
    <t>מפסקי הרב עזיאל במבחן הזמן - 2 כר'</t>
  </si>
  <si>
    <t>מפסקי ישראל</t>
  </si>
  <si>
    <t>מפעלות אלהים - 4 כר'</t>
  </si>
  <si>
    <t>מפעלות אלקים &lt;מהדורה חדשה&gt;</t>
  </si>
  <si>
    <t>מפעלות אלוקים. תשנ"ד</t>
  </si>
  <si>
    <t>מפעלות אלקים</t>
  </si>
  <si>
    <t>מפעלות אלוקים. תקכ"ז</t>
  </si>
  <si>
    <t>מפעלות אלוקים. תקס"ה</t>
  </si>
  <si>
    <t>מפעלות אלוקים. תרי"ח</t>
  </si>
  <si>
    <t>מפעלות אלוקים. תרל"ב</t>
  </si>
  <si>
    <t>מפעלות הצדיקים - 2 כר'</t>
  </si>
  <si>
    <t>מפעלות עבדי יעקב</t>
  </si>
  <si>
    <t>פיקסלר, יעקב</t>
  </si>
  <si>
    <t>מפעלות צדיקים החדש</t>
  </si>
  <si>
    <t>יוסף בן א</t>
  </si>
  <si>
    <t>מפעלי הצדיק</t>
  </si>
  <si>
    <t>חג'בי, ישי בן חיים</t>
  </si>
  <si>
    <t>מפענח נעלמים - 2 כר'</t>
  </si>
  <si>
    <t>מפענח נעלמים</t>
  </si>
  <si>
    <t>שאר ספרי חז"ל, שלחן ערוך ומפרשיו</t>
  </si>
  <si>
    <t>מפענח צפונות</t>
  </si>
  <si>
    <t>מפקודיך אתבונן - א</t>
  </si>
  <si>
    <t>מפרוזדור לטרקלין</t>
  </si>
  <si>
    <t>מפרי אפרים</t>
  </si>
  <si>
    <t>מפרי הארץ - 5 כר'</t>
  </si>
  <si>
    <t>קובץ בימ"ד גבוה להלכה בהתישבות</t>
  </si>
  <si>
    <t>מפרי הגן - 2 כר'</t>
  </si>
  <si>
    <t>גרינפלד, ישכר בעריש</t>
  </si>
  <si>
    <t>מפרי הכרם - קידושין</t>
  </si>
  <si>
    <t>ארז, יוסף ברכיה</t>
  </si>
  <si>
    <t>מפרי ידיה</t>
  </si>
  <si>
    <t>מפרי עטי</t>
  </si>
  <si>
    <t>מפרי פי איש השלם - 2 כר'</t>
  </si>
  <si>
    <t>הלכה ומנהג, משנה, קבלה, שאלות ותשובות, שאר ספרי חז"ל, שלחן ערוך ומפרשיו, תלמוד בבלי, תלמוד ירושלמי, תנ"ך</t>
  </si>
  <si>
    <t>מפרי פי איש</t>
  </si>
  <si>
    <t>מפרנקפורט עד ירושלים</t>
  </si>
  <si>
    <t>מפרש חטאים</t>
  </si>
  <si>
    <t>מפרשת השואה  - ג, ד</t>
  </si>
  <si>
    <t>סוכנות יהודית לארץ ישראל. ועד ההצלה</t>
  </si>
  <si>
    <t>תש"ה-תש"ז</t>
  </si>
  <si>
    <t>מפתח בית דוד</t>
  </si>
  <si>
    <t>טרייבר, מנחם מנדל אפרים פישל בן דוד</t>
  </si>
  <si>
    <t>מפתח בתי הלויים</t>
  </si>
  <si>
    <t>מפתח האגדות</t>
  </si>
  <si>
    <t>מפתח האחיעזר</t>
  </si>
  <si>
    <t>מפתח הביאורים על הרמב"ם</t>
  </si>
  <si>
    <t>מפתח הביאורים</t>
  </si>
  <si>
    <t>חברי כולל בני ברק</t>
  </si>
  <si>
    <t>מפתח הבית</t>
  </si>
  <si>
    <t>ויספיש, אברהם אשר</t>
  </si>
  <si>
    <t>מפתח הדלת</t>
  </si>
  <si>
    <t>לנטשיץ, ישראל חיים</t>
  </si>
  <si>
    <t>מפתח ההספדים - 4 כר'</t>
  </si>
  <si>
    <t>תרפ"ב - תרצ"ב</t>
  </si>
  <si>
    <t>מפתח הזהר</t>
  </si>
  <si>
    <t>רוויגו, אברהם בן רפאל מיכאל</t>
  </si>
  <si>
    <t>מפתח הזוהר - 2 כר'</t>
  </si>
  <si>
    <t>גאלאנטי, משה בן מרדכי מצפת</t>
  </si>
  <si>
    <t>מפתח החיים</t>
  </si>
  <si>
    <t>מפתח החיים - התורה</t>
  </si>
  <si>
    <t>מפתח החכמות</t>
  </si>
  <si>
    <t>מפתח הים</t>
  </si>
  <si>
    <t>קובלנץ,יעקב מאיר בן וולף סג"ל</t>
  </si>
  <si>
    <t>מפתח הספירות</t>
  </si>
  <si>
    <t>מפתח העולמות</t>
  </si>
  <si>
    <t>מפתח הענינים לספרי המאורות ההשלמה המכתם ונימוק"י</t>
  </si>
  <si>
    <t>מפתח הענינים</t>
  </si>
  <si>
    <t>מפתח הפרנסה</t>
  </si>
  <si>
    <t>מפתח הקבלה</t>
  </si>
  <si>
    <t>מפתח הרעיון</t>
  </si>
  <si>
    <t>מפתח השלחן השלם - או"ח</t>
  </si>
  <si>
    <t>אייזנבאך, משה שמואל</t>
  </si>
  <si>
    <t>מפתח השלם</t>
  </si>
  <si>
    <t>פרוש - גליקמן, אליהו נחום</t>
  </si>
  <si>
    <t>מפתח השמות</t>
  </si>
  <si>
    <t>מפתח התוכחות</t>
  </si>
  <si>
    <t>מפתח התורה</t>
  </si>
  <si>
    <t>מפתח התלמוד - 3 כר'</t>
  </si>
  <si>
    <t>גוטמאן, יחיאל מיכל בן אלכסנדר הכהן</t>
  </si>
  <si>
    <t>תרס"ו - תר"ץ</t>
  </si>
  <si>
    <t>צ'ונגרד Czongrad</t>
  </si>
  <si>
    <t>מפתח וקיצור לספר גט מסודר</t>
  </si>
  <si>
    <t>מפתח כתבי רבי צדוק הכהן מלובלין זצוקללה"ה</t>
  </si>
  <si>
    <t>ניימאן, אבא צבי</t>
  </si>
  <si>
    <t>מפתח לאגרות הראיה</t>
  </si>
  <si>
    <t>איזנר, בנימין</t>
  </si>
  <si>
    <t>מפתח לאוצר האגדה</t>
  </si>
  <si>
    <t>וינא-ברלין,</t>
  </si>
  <si>
    <t>מפתח לביאורים בדברי הרמב"ם</t>
  </si>
  <si>
    <t>מפתח להלכות טבילת כלים</t>
  </si>
  <si>
    <t>ווייס, יחזקאל שרגא</t>
  </si>
  <si>
    <t>מפתח להלכות טרפות</t>
  </si>
  <si>
    <t>מפתח להלכות שבת</t>
  </si>
  <si>
    <t>מפתח לירחון המסילה</t>
  </si>
  <si>
    <t>רובינשטיין, יהודה</t>
  </si>
  <si>
    <t>מפתח למאמרי הלכה ומאמרי אגדה - 2 כר'</t>
  </si>
  <si>
    <t>גלבארט, ברוך בן צבי מאיר</t>
  </si>
  <si>
    <t>מפתח למדרש תדשא</t>
  </si>
  <si>
    <t>מפתח למפתח של פרנסה וכלכלה</t>
  </si>
  <si>
    <t>וובר, יצחק הלוי</t>
  </si>
  <si>
    <t>מפתח לנתיבות המשפט</t>
  </si>
  <si>
    <t>מפתח לספר מחנה אפרים</t>
  </si>
  <si>
    <t>שטיינהויז, יהודה</t>
  </si>
  <si>
    <t>מפתח לספר נצח ישראל של רבינו המהר"ל</t>
  </si>
  <si>
    <t>פרומר, זאב</t>
  </si>
  <si>
    <t>מפתח לספרי הגר"ח והגרי"ז</t>
  </si>
  <si>
    <t>מפתח הגר"ח והגרי"ז</t>
  </si>
  <si>
    <t>מפתח לפירושים על משנה תורה להרמב"ם - 2 כר'</t>
  </si>
  <si>
    <t>עורכים: כהנא, ברוך - רענן, אליהו שלמה - בלום, יעקב</t>
  </si>
  <si>
    <t>מפתח לשבת</t>
  </si>
  <si>
    <t>מפתח לששה סדרי משנה</t>
  </si>
  <si>
    <t>Miskolc מישקולץ</t>
  </si>
  <si>
    <t>מפתח לתשובות הגאונים</t>
  </si>
  <si>
    <t>מילר, יואל בן משה ליב הכהן</t>
  </si>
  <si>
    <t>מפתח מפורט לשו"ת יחוה דעת</t>
  </si>
  <si>
    <t>מפתח מתוקן על קצות החושן</t>
  </si>
  <si>
    <t>כהן, יקותיאל</t>
  </si>
  <si>
    <t>מפתח נביאים וכתובים</t>
  </si>
  <si>
    <t>מפתח נושאים לספר שאו ידיכם קודש - נטילת ידים</t>
  </si>
  <si>
    <t>קראוני, יואל בן נסים</t>
  </si>
  <si>
    <t>מפתח נושאים לפירוש כלי יקר</t>
  </si>
  <si>
    <t>גולדפינגר, נתנאל</t>
  </si>
  <si>
    <t>תל אביב+</t>
  </si>
  <si>
    <t>מפתח עירובין</t>
  </si>
  <si>
    <t>מפתח עניינים לספר תורת אברהם</t>
  </si>
  <si>
    <t>מפתח ענינים לספר שם משמואל</t>
  </si>
  <si>
    <t>מיטב, נדב</t>
  </si>
  <si>
    <t>מפתח ענינים לספרים משפטיך ליעקב</t>
  </si>
  <si>
    <t>בן יעקב, צבי יהודה</t>
  </si>
  <si>
    <t>מפתח ערוך מסכת חולין</t>
  </si>
  <si>
    <t>שולץ, ישראל צבי</t>
  </si>
  <si>
    <t>מפתח של בנים - תשרי</t>
  </si>
  <si>
    <t>מפתח של בנים</t>
  </si>
  <si>
    <t>דייויס, זכריה בן משה זלמן (עורך)</t>
  </si>
  <si>
    <t>מפתח של חיה</t>
  </si>
  <si>
    <t>מפתח שלמה - כתב יד</t>
  </si>
  <si>
    <t>מפתח שלמה</t>
  </si>
  <si>
    <t>מפתחות גן עדן</t>
  </si>
  <si>
    <t>לובלין, Lublin</t>
  </si>
  <si>
    <t>מפתחות הדמשק</t>
  </si>
  <si>
    <t>ריינס, אלעזר בן ישראל</t>
  </si>
  <si>
    <t>מפתחות הזהר ורעיונותיו</t>
  </si>
  <si>
    <t>מפתחות הזהר</t>
  </si>
  <si>
    <t>פונטאנילה, ישראל ברכיה בן יוסף יקותיאל</t>
  </si>
  <si>
    <t>מפתחות החכמה - האילן הקדוש לרמח"ל</t>
  </si>
  <si>
    <t>לוצאטו, משה חיים בן יעקב חי (רמח"ל) - אולמן, שלום</t>
  </si>
  <si>
    <t>מפתחות הש"ס - ב"ב</t>
  </si>
  <si>
    <t>אילני, צבי</t>
  </si>
  <si>
    <t>מפתחות לדברי המשכנות יעקב והבית אפרים בעניני עירובין</t>
  </si>
  <si>
    <t>רוטשטיין, שמחה יונה</t>
  </si>
  <si>
    <t>מפתחות לחיים</t>
  </si>
  <si>
    <t>מפתחות לספר בית הלוי</t>
  </si>
  <si>
    <t>מפתחות לבית הלוי</t>
  </si>
  <si>
    <t>מפתחות לספר חידושי מר"ן רי"ז הלוי</t>
  </si>
  <si>
    <t>מפתחות לספר מחנה ישראל</t>
  </si>
  <si>
    <t>מפתחות לספר מנחת חינוך</t>
  </si>
  <si>
    <t>מפתחות למנחת חינוך</t>
  </si>
  <si>
    <t>מפתחות לספרי ים החכמה ודעה חכמה לנפשך</t>
  </si>
  <si>
    <t>מפתחות לתלמוד - 2 כר'</t>
  </si>
  <si>
    <t>מפתחות על מסכת נדה מספר חוות דעת וסדרי טהרה</t>
  </si>
  <si>
    <t>רביץ, יחיאל מרדכי בן ראובן</t>
  </si>
  <si>
    <t>מפתחות על ספר מזוזות ביתך - 2 כר'</t>
  </si>
  <si>
    <t>מפתחות פרקי המשנה והתלמוד</t>
  </si>
  <si>
    <t>(שנ"ט)</t>
  </si>
  <si>
    <t>(לובלין)</t>
  </si>
  <si>
    <t>מפתחות שו"ת אחיעזר ג' חלקים</t>
  </si>
  <si>
    <t>מפתחות שו"ת אחיעזר</t>
  </si>
  <si>
    <t>מפתחות שו"ת מהר"ם מרוטנבורג</t>
  </si>
  <si>
    <t>מפתחות שער המלך</t>
  </si>
  <si>
    <t>מצא חיים</t>
  </si>
  <si>
    <t>חורי, חיים בן אברהם</t>
  </si>
  <si>
    <t>טוויל, חיים בן עזרא עילי הכהן</t>
  </si>
  <si>
    <t>דרושים, דרושים, נושאים שונים, תולדות עם ישראל</t>
  </si>
  <si>
    <t>ניסים, חיים בן אליהו</t>
  </si>
  <si>
    <t>מצא חיים - הלכות נדה</t>
  </si>
  <si>
    <t>קובץ כולל מצא חיים</t>
  </si>
  <si>
    <t>מצא חן - שליח ציבור</t>
  </si>
  <si>
    <t>גולדברג, יצחק אייזיק ברוך בן מנחם צבי אלימלך</t>
  </si>
  <si>
    <t>מצא חן - לוית חן</t>
  </si>
  <si>
    <t>חאקו, אליהו בן יהודה השני - רז, משה יוחאי בן אלעזר זאב</t>
  </si>
  <si>
    <t>תרי"א, תשע"א</t>
  </si>
  <si>
    <t>מצא חן</t>
  </si>
  <si>
    <t>חאקו, אליהו בן יהודה השני</t>
  </si>
  <si>
    <t>סלוצקין, צבי אליעזר בן יצחק</t>
  </si>
  <si>
    <t>מצא טוב</t>
  </si>
  <si>
    <t>ווייס, אברהם צבי - ווייס משה יעקב</t>
  </si>
  <si>
    <t>מצא טוב - 2 כר'</t>
  </si>
  <si>
    <t>סערט ויזניץ</t>
  </si>
  <si>
    <t>מצאת חן</t>
  </si>
  <si>
    <t>מצאתי דוד עבדי</t>
  </si>
  <si>
    <t>כהן, אליהו</t>
  </si>
  <si>
    <t>מצב אנטווערפען</t>
  </si>
  <si>
    <t>מצב הישר - 2 כר'</t>
  </si>
  <si>
    <t>אנושיסקי, שניאור זלמן דוב בן שלמה אברהם</t>
  </si>
  <si>
    <t>תרמ"א - תרמ"ז</t>
  </si>
  <si>
    <t>מצבא העבודה</t>
  </si>
  <si>
    <t>סלושץ, מרדכי אליהו בן צבי הירש</t>
  </si>
  <si>
    <t>מצבות בית העלמין העתיק בווירצבורג 1147-1346'</t>
  </si>
  <si>
    <t>ריינר, רמי - קרלהיינץ, מולר - שוורצפוקס, שמעון</t>
  </si>
  <si>
    <t>מצבות שאלוניקי - ב</t>
  </si>
  <si>
    <t>עמנואל, יצחק שמואל</t>
  </si>
  <si>
    <t>תשכ"גח</t>
  </si>
  <si>
    <t>מצבת אבן</t>
  </si>
  <si>
    <t>מצבת מרדכי ואסתר</t>
  </si>
  <si>
    <t>הלוי, מנחם בן שמואל</t>
  </si>
  <si>
    <t>מצבת משה &lt;ארץ צבי&gt;</t>
  </si>
  <si>
    <t>מצבת משה - 2 כר'</t>
  </si>
  <si>
    <t>משה אשר בן אברהם אריה</t>
  </si>
  <si>
    <t>מצבת פנחס</t>
  </si>
  <si>
    <t>בק, בנימין הכהן</t>
  </si>
  <si>
    <t>מצבת קבורת רחל</t>
  </si>
  <si>
    <t>מצבת קודש</t>
  </si>
  <si>
    <t>מצבת קודש - 3 כר'</t>
  </si>
  <si>
    <t>סוכסטוב, גבריאל בן נפתלי הירץ</t>
  </si>
  <si>
    <t>מצבת שלמה יוסף</t>
  </si>
  <si>
    <t>טשיל, יחיאל מיכל</t>
  </si>
  <si>
    <t>מצה שמורה</t>
  </si>
  <si>
    <t>מצהלות חתנים</t>
  </si>
  <si>
    <t>מערכת מיוחסות, פוניבז'</t>
  </si>
  <si>
    <t>קופשיץ, נפתלי בן משה</t>
  </si>
  <si>
    <t>מצודת בן ציון</t>
  </si>
  <si>
    <t>אוליוונשטיין, בן ציון בן אליהו</t>
  </si>
  <si>
    <t>מצודת דוד - 2 כר'</t>
  </si>
  <si>
    <t>מצודת דוד</t>
  </si>
  <si>
    <t>דוד בן משה מווילנא</t>
  </si>
  <si>
    <t>מצודת משה &lt;מהדורה חדשה&gt;</t>
  </si>
  <si>
    <t>זילברשטיין, משה צבי בן ישעיה</t>
  </si>
  <si>
    <t>מצודת משה</t>
  </si>
  <si>
    <t>מצודת ציון - המצבה, הלכותיה מנהגיה ודברי ימיה</t>
  </si>
  <si>
    <t>גרטנר, מ.</t>
  </si>
  <si>
    <t>מצוה ברה</t>
  </si>
  <si>
    <t>מצוה ברה - ספר המצות לרמב"ם - א</t>
  </si>
  <si>
    <t>ויצמן, יהושע טוביה בן אברהם יעקב</t>
  </si>
  <si>
    <t>רמת הגולן</t>
  </si>
  <si>
    <t>מצוה ברורה</t>
  </si>
  <si>
    <t>מצוה גוררת מצוה - 4 כר'</t>
  </si>
  <si>
    <t>מצוה ולב - 2 כר'</t>
  </si>
  <si>
    <t>מצוה חביבה</t>
  </si>
  <si>
    <t>גינויער, צבי יוסף</t>
  </si>
  <si>
    <t>מצוה תרי"ג</t>
  </si>
  <si>
    <t>מצווה ועושה - 2 כר'</t>
  </si>
  <si>
    <t>מצוות בליל הסדר</t>
  </si>
  <si>
    <t>הומינר, שמואל בן מרדכי</t>
  </si>
  <si>
    <t>מצוות הארץ כהלכתן</t>
  </si>
  <si>
    <t>מצוות הארץ - 3 כר'</t>
  </si>
  <si>
    <t>מצוות הארץ</t>
  </si>
  <si>
    <t>ליבוביץ, מאיר בן יהושע</t>
  </si>
  <si>
    <t>מצוות הבית - 2 כר'</t>
  </si>
  <si>
    <t>מצוות המוסר - 2 כר'</t>
  </si>
  <si>
    <t>מצוות המלך</t>
  </si>
  <si>
    <t>מצוות הנשים</t>
  </si>
  <si>
    <t>מצוות העומר הנוהגות בזמן הזה</t>
  </si>
  <si>
    <t>מצוות הקרבנות - לשמה בקרבנות</t>
  </si>
  <si>
    <t>ישיבת הכהנים ללימוד קדשים</t>
  </si>
  <si>
    <t>מצוות השלום - 2 כר'</t>
  </si>
  <si>
    <t>מצוות התורה</t>
  </si>
  <si>
    <t>יונה, מרדכי בן שלמה</t>
  </si>
  <si>
    <t>מצוות התלויות בארץ - יסודות וכללים</t>
  </si>
  <si>
    <t>מצוות חבילות</t>
  </si>
  <si>
    <t>מצוות כרימון</t>
  </si>
  <si>
    <t>סרלואי, שמואל מנחם</t>
  </si>
  <si>
    <t>מצוות לעיתים</t>
  </si>
  <si>
    <t>עצמוני, ירוחם</t>
  </si>
  <si>
    <t>מצוות צריכות כוונה</t>
  </si>
  <si>
    <t>מצוות תלמוד תורה</t>
  </si>
  <si>
    <t>מצוותי תשמורו - 2 כר'</t>
  </si>
  <si>
    <t>מצוותיך אמונה - 5 כר'</t>
  </si>
  <si>
    <t>מצור דבש</t>
  </si>
  <si>
    <t>טורפשטיין, שמעון יהודה בן נתן</t>
  </si>
  <si>
    <t>מצור דבש - 2 כר'</t>
  </si>
  <si>
    <t>צימרינג, דוד</t>
  </si>
  <si>
    <t>משנה, תולדות עם ישראל, תלמוד בבלי, תלמוד ירושלמי</t>
  </si>
  <si>
    <t>שטיינהוז, דב זאב</t>
  </si>
  <si>
    <t>מצות אברך - 2 כר'</t>
  </si>
  <si>
    <t>מצות איש - 3 כר'</t>
  </si>
  <si>
    <t>שטינמן, אברהם ישעיה בן שרגא</t>
  </si>
  <si>
    <t>מצות ביקור חולים</t>
  </si>
  <si>
    <t>מצות ברכת החמה</t>
  </si>
  <si>
    <t>[אלכסנדריה]</t>
  </si>
  <si>
    <t>מצות הארץ בהלכה ובאגדה</t>
  </si>
  <si>
    <t>מצות הבטחון</t>
  </si>
  <si>
    <t>מצות החסד</t>
  </si>
  <si>
    <t>מצות החצוצרות בהלכה ובאגדה</t>
  </si>
  <si>
    <t>מצות היום (סתו"מ)</t>
  </si>
  <si>
    <t>מצות היראה</t>
  </si>
  <si>
    <t>קסלר, משה בן שמחה</t>
  </si>
  <si>
    <t>מצות הלבבות</t>
  </si>
  <si>
    <t>מצות הלבבות, נתיבות הלכה, מטל השמים, ספר המידות, אגרת לבני עמנו</t>
  </si>
  <si>
    <t>מצות הלוי</t>
  </si>
  <si>
    <t>מצות המאה ברכות כהלכתה</t>
  </si>
  <si>
    <t>מצות המלך &lt;סמ"ה&gt; - 2 כר'</t>
  </si>
  <si>
    <t>מצות המלך</t>
  </si>
  <si>
    <t>מצות המלך - 4 כר'</t>
  </si>
  <si>
    <t>צימענט, עזריאל בן יעקב דוד</t>
  </si>
  <si>
    <t>מצות המציצה</t>
  </si>
  <si>
    <t>שיפר, סיני בן יקותיאל זאב</t>
  </si>
  <si>
    <t>מצות העומר כהלכתה</t>
  </si>
  <si>
    <t>מנדלסון, יצחק דוב בן נחמיה</t>
  </si>
  <si>
    <t>מצות השבה</t>
  </si>
  <si>
    <t>מצות השבת</t>
  </si>
  <si>
    <t>מצות השחיטה</t>
  </si>
  <si>
    <t>מצות השם - 8 כר'</t>
  </si>
  <si>
    <t>מצות השם</t>
  </si>
  <si>
    <t>מצות השמחה</t>
  </si>
  <si>
    <t>כהן, יוסף ניסים בן יעקב ישעיהו</t>
  </si>
  <si>
    <t>מצות השמיטה כהלכתה</t>
  </si>
  <si>
    <t>מצות התוכחה</t>
  </si>
  <si>
    <t>מצות התקיעות</t>
  </si>
  <si>
    <t>מצות וידוי</t>
  </si>
  <si>
    <t>מצות זמניות</t>
  </si>
  <si>
    <t>ישראל בן יוסף הישראלי</t>
  </si>
  <si>
    <t>מצות חבורה - 2 כר'</t>
  </si>
  <si>
    <t>ראטה, אפרים אליעזר</t>
  </si>
  <si>
    <t>מצות חג הפסח</t>
  </si>
  <si>
    <t>מצות חליצה</t>
  </si>
  <si>
    <t>מצות יבמין</t>
  </si>
  <si>
    <t>מצות ישוב ארץ ישראל</t>
  </si>
  <si>
    <t>מצות ישיבת ארץ ישראל</t>
  </si>
  <si>
    <t>בלומברג-הררי, יונה דוב בן יהודה</t>
  </si>
  <si>
    <t>מצות כהונה</t>
  </si>
  <si>
    <t>מצות כיבוד הורים</t>
  </si>
  <si>
    <t>מצות לחם משנה</t>
  </si>
  <si>
    <t>קוט, מרדכי</t>
  </si>
  <si>
    <t>מצות מאה ברכות</t>
  </si>
  <si>
    <t>טוקר, מנחם בן אברהם יצחק</t>
  </si>
  <si>
    <t>מצות מילה וברית מילה</t>
  </si>
  <si>
    <t>נריה, משה צבי בן פתחיה</t>
  </si>
  <si>
    <t>מצות מכונה החדשות לאור ההלכה</t>
  </si>
  <si>
    <t>מצות מצוה</t>
  </si>
  <si>
    <t>לינדר, משה אורי</t>
  </si>
  <si>
    <t>מצות משה &lt;לבושי חיים&gt;</t>
  </si>
  <si>
    <t>דאנציג, אברהם בן יחיאל מיכל - האלברסברג, חיים ישעיה הכהן</t>
  </si>
  <si>
    <t>מצות משה &lt;עם יוסיף חיים&gt;</t>
  </si>
  <si>
    <t>מצות משה</t>
  </si>
  <si>
    <t>קובץ ספרים</t>
  </si>
  <si>
    <t>פרשבורג</t>
  </si>
  <si>
    <t>מצות נר איש וביתו</t>
  </si>
  <si>
    <t>מצות סוכה</t>
  </si>
  <si>
    <t>מצות ספירת העומר - 2 כר'</t>
  </si>
  <si>
    <t>מצות סת"ם השלם</t>
  </si>
  <si>
    <t>גראס, שלום יודא</t>
  </si>
  <si>
    <t>מצות עמר</t>
  </si>
  <si>
    <t>מצות פרו ורבו</t>
  </si>
  <si>
    <t>מצות קריאת המגילה במשנת הדבר יהושע</t>
  </si>
  <si>
    <t>מצות שביעית כהלכה</t>
  </si>
  <si>
    <t>מצות שבת</t>
  </si>
  <si>
    <t>רוזנברג, צבי בן אברהם יצחק אלטר</t>
  </si>
  <si>
    <t>מצות תפילין &lt;עטרת משה&gt;</t>
  </si>
  <si>
    <t>הורוויץ, ישעיה בן אברהם הלוי - קרויזר, משה</t>
  </si>
  <si>
    <t>מצות תפילין</t>
  </si>
  <si>
    <t>גרינברגר, שמואל</t>
  </si>
  <si>
    <t>מצות תשביתו</t>
  </si>
  <si>
    <t>מצותיך שעשועי</t>
  </si>
  <si>
    <t>לאנדא, יואל</t>
  </si>
  <si>
    <t>מצותיך שעשעי</t>
  </si>
  <si>
    <t>מצח אהרן - 2 כר'</t>
  </si>
  <si>
    <t>מצחף' שמירת שבת</t>
  </si>
  <si>
    <t>סתהון, דוד בן משה</t>
  </si>
  <si>
    <t>מציאות ורפואה בסדר נשים &lt;מהדורה ראשונה&gt;</t>
  </si>
  <si>
    <t>מציאות ורפואה בסדר נשים &lt;מהדורה שניה&gt;</t>
  </si>
  <si>
    <t>מציאת איש - בבא מציעא</t>
  </si>
  <si>
    <t>אדלר, אברהם ישעיהו</t>
  </si>
  <si>
    <t>מציאת יצחק</t>
  </si>
  <si>
    <t>צינקין, יצחק בן בן-ציון</t>
  </si>
  <si>
    <t>מציאת עזרי</t>
  </si>
  <si>
    <t>אפטייקר, אברהם בן אשכנזי</t>
  </si>
  <si>
    <t>מציאת עצי היער</t>
  </si>
  <si>
    <t>מציאת עשרת השבטים</t>
  </si>
  <si>
    <t>האגא, עוזיאל</t>
  </si>
  <si>
    <t>מציב גבול אלמנה</t>
  </si>
  <si>
    <t>שומריה</t>
  </si>
  <si>
    <t>מציון אורה - 2 כר'</t>
  </si>
  <si>
    <t>מציון מכלל יופי - מכות</t>
  </si>
  <si>
    <t>הישיבה הגדולה ראשון לציון</t>
  </si>
  <si>
    <t>מציון מכלל יפי</t>
  </si>
  <si>
    <t>מציון תצא תורה</t>
  </si>
  <si>
    <t>צבי הירש בן גדליה</t>
  </si>
  <si>
    <t>מציל נפשות</t>
  </si>
  <si>
    <t>תכ"ד</t>
  </si>
  <si>
    <t>מציץ ומליץ</t>
  </si>
  <si>
    <t>צהלון, מרדכי בן יעקב</t>
  </si>
  <si>
    <t>מציץ מן החרכים - 2 כר'</t>
  </si>
  <si>
    <t>מצל מאש</t>
  </si>
  <si>
    <t>מצליח בידו - חפץ ה'</t>
  </si>
  <si>
    <t>מצמיח ישועה</t>
  </si>
  <si>
    <t>מצמיח ישועות</t>
  </si>
  <si>
    <t>ראוויצקי, מנחם מנדל בן בנימין יוסף</t>
  </si>
  <si>
    <t>מצנפת בד</t>
  </si>
  <si>
    <t>אלכסנדר זיסקינד בן דוד קאנטשיגר</t>
  </si>
  <si>
    <t>מצעדי גבר - 10 כר'</t>
  </si>
  <si>
    <t>טולידאנו, גבריאל בן שלמה</t>
  </si>
  <si>
    <t>מצעדי גבר</t>
  </si>
  <si>
    <t>לרר, גבריאל</t>
  </si>
  <si>
    <t>מצפה אריה - 2 כר'</t>
  </si>
  <si>
    <t>מצפה אריה</t>
  </si>
  <si>
    <t>ילין, אריה ליב בן שלום שכנא</t>
  </si>
  <si>
    <t>מצפה יחזקאל</t>
  </si>
  <si>
    <t>מצפה יקתאל</t>
  </si>
  <si>
    <t>לווין, שאול בן צבי הירש</t>
  </si>
  <si>
    <t>מצפה מגדים - 2 כר'</t>
  </si>
  <si>
    <t>בן עמי, משה בן אהרן</t>
  </si>
  <si>
    <t>מצפון הלב</t>
  </si>
  <si>
    <t>מצפונות יהודי תימן</t>
  </si>
  <si>
    <t>מצפים לישועה</t>
  </si>
  <si>
    <t>מצפת שמואל &lt;ישיבת אונצדארף&gt;</t>
  </si>
  <si>
    <t>מצרף העבודה - 2 כר'</t>
  </si>
  <si>
    <t>מצרף השכל וספר האות</t>
  </si>
  <si>
    <t>מצרף לחכמה - 2 כר'</t>
  </si>
  <si>
    <t>שמעיה בן שמעון צבי סג"ל הלוי</t>
  </si>
  <si>
    <t>מצרף לכסף &lt;אלף כסף&gt;</t>
  </si>
  <si>
    <t>גאטינייו, בנבנישתי מירקאדו בן חיים אברה</t>
  </si>
  <si>
    <t>מצרף לכסף - 2 כר'</t>
  </si>
  <si>
    <t>נפתלי הירץ מלאחוביץ</t>
  </si>
  <si>
    <t>מצרף לכסף</t>
  </si>
  <si>
    <t>מצת שמורים - 2 כר'</t>
  </si>
  <si>
    <t>מקבץ בעניני הימים הנחמדים</t>
  </si>
  <si>
    <t>פרלמוטר,</t>
  </si>
  <si>
    <t>מקבץ גליונות ויכירו כח מלכותך - השכל וידוע אותו</t>
  </si>
  <si>
    <t>תשעח-תשע"ט</t>
  </si>
  <si>
    <t>מקבץ מאמרים</t>
  </si>
  <si>
    <t>קרלינסקי, משה נתן</t>
  </si>
  <si>
    <t>מקבץ עניינים - 7 כר'</t>
  </si>
  <si>
    <t>בורודיאנסקי, בן ציון בן אפרים נחום</t>
  </si>
  <si>
    <t>מקבץ ענינים - 2 כר'</t>
  </si>
  <si>
    <t>מקבץ שיחות בעניני פורים</t>
  </si>
  <si>
    <t>מקבץ שיעורים - 7 כר'</t>
  </si>
  <si>
    <t>זלזניק, דב אהרן</t>
  </si>
  <si>
    <t>מקבץ שיעורים</t>
  </si>
  <si>
    <t>נהרי, מימון</t>
  </si>
  <si>
    <t>מקבצאל - ג</t>
  </si>
  <si>
    <t>מקבציאל - 39 כר'</t>
  </si>
  <si>
    <t>מקבציאל</t>
  </si>
  <si>
    <t>מזוז, שלמה בן מנחם</t>
  </si>
  <si>
    <t>הלכה ומנהג, משנה, שלחן ערוך ומפרשיו, תלמוד בבלי, תלמוד בבלי</t>
  </si>
  <si>
    <t>מקבצים לאבוקה</t>
  </si>
  <si>
    <t>שנוולד, אליעזר חיים</t>
  </si>
  <si>
    <t>מקדמי ארץ - 7 כר'</t>
  </si>
  <si>
    <t>ישיבת קדומים</t>
  </si>
  <si>
    <t>מקדש אהרן - 2 כר'</t>
  </si>
  <si>
    <t>דגלין, אהרן צבי זליג הירש בן חיים נחום</t>
  </si>
  <si>
    <t>מקדש דוד &lt;עם הערות וביאורים&gt; - 2 כר'</t>
  </si>
  <si>
    <t>רפאפורט, דוד בן עקיבא הכהן - זכריש, אלעזר בן יעקב</t>
  </si>
  <si>
    <t>מקדש דוד &lt;עם ביאור שמועת חיים&gt; - 2 כר'</t>
  </si>
  <si>
    <t>רפאפורט, דוד בן עקיבא הכהן - יוז'וק, חיים בן שמעון אריה</t>
  </si>
  <si>
    <t>מקדש דוד &lt;עם ביאור שמועת חיים&gt; זרעים</t>
  </si>
  <si>
    <t>מקדש דוד - פרה &lt;נתיבי דעת&gt;</t>
  </si>
  <si>
    <t>רפאפורט, דוד בן עקיבא הכהן - זכריש, אלעזר</t>
  </si>
  <si>
    <t>מקדש דוד - 5 כר'</t>
  </si>
  <si>
    <t>רפאפורט, דוד בן עקיבא הכהן</t>
  </si>
  <si>
    <t>תשי"ח - תשכ"ו</t>
  </si>
  <si>
    <t>מקדש הלוי</t>
  </si>
  <si>
    <t>מקדש הקודש</t>
  </si>
  <si>
    <t>גולדשטוף, יצחק בן יוסף יעקב</t>
  </si>
  <si>
    <t>מקדש השבת והזמנים</t>
  </si>
  <si>
    <t>קליין, שלמה דוד בן מנשה</t>
  </si>
  <si>
    <t>מקדש השבת - 2 כר'</t>
  </si>
  <si>
    <t>מקדש יה</t>
  </si>
  <si>
    <t>מקדש יחזקאל - 8 כר'</t>
  </si>
  <si>
    <t>ראטער, יחזקאל בן אהרן ישעיה</t>
  </si>
  <si>
    <t>מקדש ישראל בזמנים</t>
  </si>
  <si>
    <t>מקדש ישראל והזמנים - לוח שנה לכל עת וזמן תשע"ח</t>
  </si>
  <si>
    <t>מכון אור דוד</t>
  </si>
  <si>
    <t>מקדש ישראל והזמנים</t>
  </si>
  <si>
    <t>מקדש ישראל - 5 כר'</t>
  </si>
  <si>
    <t>מקדש מלך השלם - 5 כר'</t>
  </si>
  <si>
    <t>מקדש מלך - 9 כר'</t>
  </si>
  <si>
    <t>מקדש מלך</t>
  </si>
  <si>
    <t>מקדש מלך - בראשית</t>
  </si>
  <si>
    <t>קדוש, אהרן מיכאל בן יהודה</t>
  </si>
  <si>
    <t>מקדש מעט &lt;ציון המקדש&gt;</t>
  </si>
  <si>
    <t>פייבל, אורי הלוי - טולידאנו, בן ציון</t>
  </si>
  <si>
    <t>מקדש מעט - 2 כר'</t>
  </si>
  <si>
    <t>מקדש מעט</t>
  </si>
  <si>
    <t>דרוק, זלמן בן יהודה</t>
  </si>
  <si>
    <t>מקדש מרדכי - 2 כר'</t>
  </si>
  <si>
    <t>אילן, מרדכי</t>
  </si>
  <si>
    <t>מועדי ישראל, נושאים שונים, תנ"ך, תפלות בקשות פיוטים ושירה</t>
  </si>
  <si>
    <t>מקדש שלמה &lt;קובץ&gt; - 2 כר'</t>
  </si>
  <si>
    <t>לוקטש, דוב בער (עורך)</t>
  </si>
  <si>
    <t>מקדשי השם &lt;מהדורה חדשה&gt; - 2 כר'</t>
  </si>
  <si>
    <t>מקדשי השם - 3 כר'</t>
  </si>
  <si>
    <t>תשט"ו-תשכ"ז</t>
  </si>
  <si>
    <t>מקדשי ישראל</t>
  </si>
  <si>
    <t>מקדשי שביעי</t>
  </si>
  <si>
    <t>פלד, יואל</t>
  </si>
  <si>
    <t>מקדשי שביעי - 2 כר'</t>
  </si>
  <si>
    <t>קובץ מנין בני הישיבות מקור ברוך</t>
  </si>
  <si>
    <t>מקדשי שמך</t>
  </si>
  <si>
    <t>פרידמאן, שרגא פיבל</t>
  </si>
  <si>
    <t>דענווער</t>
  </si>
  <si>
    <t>מקדשי תראו</t>
  </si>
  <si>
    <t>מקהיל קהלת</t>
  </si>
  <si>
    <t>מקואות</t>
  </si>
  <si>
    <t>שנברגר, יוסף</t>
  </si>
  <si>
    <t>מקודש החודש</t>
  </si>
  <si>
    <t>רוזנבוים, פנחס מאיר</t>
  </si>
  <si>
    <t>מקוה המים &lt;מהדורה חדשה&gt;</t>
  </si>
  <si>
    <t>מקוה המים</t>
  </si>
  <si>
    <t>מקוה המים - 5 כר'</t>
  </si>
  <si>
    <t>מקוה טהרה</t>
  </si>
  <si>
    <t>מקוה יהודה</t>
  </si>
  <si>
    <t>מקוה ישראל ה' &lt;מהדורה חדשה&gt;</t>
  </si>
  <si>
    <t>שטיינמץ, אשר בן חיים ברוך רובין</t>
  </si>
  <si>
    <t>מקוה ישראל ה'</t>
  </si>
  <si>
    <t>מקוה ישראל</t>
  </si>
  <si>
    <t>מקוה ישראל - 2 כר'</t>
  </si>
  <si>
    <t>בן ישראל, מנשה בן יוסף</t>
  </si>
  <si>
    <t>לידז Leeds</t>
  </si>
  <si>
    <t>פתח-תקוה,</t>
  </si>
  <si>
    <t>מקוה ישראל - 3 כר'</t>
  </si>
  <si>
    <t>וולודורסקי, ישראל בן חיים חייקיל</t>
  </si>
  <si>
    <t>טוריקאשוילי, זבולון</t>
  </si>
  <si>
    <t>כחלון, רפאל בן אליהו</t>
  </si>
  <si>
    <t>מושב יציץ</t>
  </si>
  <si>
    <t>מילר, דוד</t>
  </si>
  <si>
    <t>אוקלנד</t>
  </si>
  <si>
    <t>פאנו, יהודה בן משה מסאלטארו</t>
  </si>
  <si>
    <t>פרוסטיץ, ישראל המכונה איסרל</t>
  </si>
  <si>
    <t>מקוה מים - 2 כר'</t>
  </si>
  <si>
    <t>כ"ץ, ירמיה בן יחיאל מיכל</t>
  </si>
  <si>
    <t>מקוה מים - א</t>
  </si>
  <si>
    <t>מייזליש, יוסף משה בן דוד דב</t>
  </si>
  <si>
    <t>מקוה מים</t>
  </si>
  <si>
    <t>מייזליש, יוסף משה</t>
  </si>
  <si>
    <t>תרס"ב - תרע"ב</t>
  </si>
  <si>
    <t>מקוה שלמה</t>
  </si>
  <si>
    <t>לנדא, שלמה יוסף בן ישראל</t>
  </si>
  <si>
    <t>מקום בינה</t>
  </si>
  <si>
    <t>קבלה, תולדות עם ישראל, תולדות עם ישראל</t>
  </si>
  <si>
    <t>מקום הדיון</t>
  </si>
  <si>
    <t>מקום הניחו אבתיו</t>
  </si>
  <si>
    <t>בקינרוט, גילי בן שמואל יצחק</t>
  </si>
  <si>
    <t>מקום הניחו לי</t>
  </si>
  <si>
    <t>מנדלקורן, שמואל פנחס בן מאיר</t>
  </si>
  <si>
    <t>מקום שמגדלין בו תפלה</t>
  </si>
  <si>
    <t>מקום שמואל - א-ב</t>
  </si>
  <si>
    <t>שמואל בן אלקנה מאלטונה</t>
  </si>
  <si>
    <t>מקום שנהגו</t>
  </si>
  <si>
    <t>קטנקה, שלמה הלוי</t>
  </si>
  <si>
    <t>מקומות הקדושים</t>
  </si>
  <si>
    <t>קודש הילולים</t>
  </si>
  <si>
    <t>מקומות קדושים בארץ הקודש</t>
  </si>
  <si>
    <t>מקומות קדושים ומקומות היסטוריים בארץ-ישראל</t>
  </si>
  <si>
    <t>איש-שלום, מיכאל בן יהודה</t>
  </si>
  <si>
    <t>מקומות קדושים שחוללו</t>
  </si>
  <si>
    <t>מקומן של זבחים</t>
  </si>
  <si>
    <t>בערל, בן ציון בן יוסף שמעון</t>
  </si>
  <si>
    <t>מקומן של זבחים - א</t>
  </si>
  <si>
    <t>מקור בהלכה - 2 כר'</t>
  </si>
  <si>
    <t>מקור ברוך</t>
  </si>
  <si>
    <t>אבן-יעיש, ברוך בן יצחק</t>
  </si>
  <si>
    <t>מקור ברוך - 6 כר'</t>
  </si>
  <si>
    <t>ארמאן, ברוך בן משה</t>
  </si>
  <si>
    <t>מקור ברוך - 2 כר'</t>
  </si>
  <si>
    <t>גינצבורג, נחום ברוך בן צמח דוד</t>
  </si>
  <si>
    <t>תרפ"ח - תרצ"א</t>
  </si>
  <si>
    <t>וויזל, ברוך בנדיט בן ראובן אליהו</t>
  </si>
  <si>
    <t>פייתוסי, ברוך בן שלמה</t>
  </si>
  <si>
    <t>פריידנברג, ברוך בן צבי</t>
  </si>
  <si>
    <t>דרושים, תולדות עם ישראל, תלמוד בבלי, תנ"ך, תנ"ך</t>
  </si>
  <si>
    <t>קלעי, ברוך בן שלמה</t>
  </si>
  <si>
    <t>תי"ט</t>
  </si>
  <si>
    <t>מקור דמעה</t>
  </si>
  <si>
    <t>מקור האמונה</t>
  </si>
  <si>
    <t>מקור הברכה - 3 כר'</t>
  </si>
  <si>
    <t>מקור הברכה</t>
  </si>
  <si>
    <t>פליישמן, ישעיהו</t>
  </si>
  <si>
    <t>מקור הברכה - א</t>
  </si>
  <si>
    <t>מקור הברכות - 2 כר'</t>
  </si>
  <si>
    <t>גולדברג, אברהם יהושע בן חיים דוד</t>
  </si>
  <si>
    <t>מקור הברכות</t>
  </si>
  <si>
    <t>יעבץ, זאב בן זוסמאן</t>
  </si>
  <si>
    <t>מקור ההלכה - נדה</t>
  </si>
  <si>
    <t>מקור ההלכות והדינים</t>
  </si>
  <si>
    <t>אפרן, אברהם בן יהושע השיל</t>
  </si>
  <si>
    <t>מקור החיים</t>
  </si>
  <si>
    <t>פינטו, חיים בן שלמה (עליו)</t>
  </si>
  <si>
    <t>כזבלנכא</t>
  </si>
  <si>
    <t>קרוכמאל, חיים</t>
  </si>
  <si>
    <t>מקור החכמה</t>
  </si>
  <si>
    <t>מקור הלכה - א ב</t>
  </si>
  <si>
    <t>תש"ט - תשי"ז</t>
  </si>
  <si>
    <t>מקור הרחמים, אריק חרבי</t>
  </si>
  <si>
    <t>קוסקס, רחמים דוד</t>
  </si>
  <si>
    <t>מקור השמחה</t>
  </si>
  <si>
    <t>מקור השמחות</t>
  </si>
  <si>
    <t>בוארון, זבולון</t>
  </si>
  <si>
    <t>מקור התפלות</t>
  </si>
  <si>
    <t>מקור חיים &lt;תפארת צבי&gt;</t>
  </si>
  <si>
    <t>גונדרשהיים, שניאור זיסקינד בן צבי הירש</t>
  </si>
  <si>
    <t>מקור חיים &lt;מהדורה חדשה&gt;</t>
  </si>
  <si>
    <t>מקור חיים ומגן האלף &lt;מהדורה חדשה&gt; - 2 כר'</t>
  </si>
  <si>
    <t>לורברבוים, יעקב בן יעקב משה - אייבשיץ, יהונתן בן נתן נטע - צינץ, אריה ליב בן משה</t>
  </si>
  <si>
    <t>מקור חיים ומגן האלף</t>
  </si>
  <si>
    <t>מקור חיים - 3 כר'</t>
  </si>
  <si>
    <t>מקור חיים</t>
  </si>
  <si>
    <t>מקור חיים - 7 כר'</t>
  </si>
  <si>
    <t>וויטאל, שמואל בן חיים</t>
  </si>
  <si>
    <t>תר"ב - תרי"ט</t>
  </si>
  <si>
    <t>מקור חיים - 9 כר'</t>
  </si>
  <si>
    <t>תרל"ז - תרל"ט</t>
  </si>
  <si>
    <t>קבלה, שלחן ערוך ומפרשיו</t>
  </si>
  <si>
    <t>לורברבוים, יעקב בן יעקב משה - יעקב משה בן נתן אשכנזי</t>
  </si>
  <si>
    <t>תקצ"ז,</t>
  </si>
  <si>
    <t>זאלקווא,</t>
  </si>
  <si>
    <t>מאדאר, צבי חיים</t>
  </si>
  <si>
    <t>סאגאלוביץ, חיים בן יחיאל משה</t>
  </si>
  <si>
    <t>מכסיקו סיטי Mexico C</t>
  </si>
  <si>
    <t>צאלח, יחיא בן יעקב</t>
  </si>
  <si>
    <t>עדן Aden</t>
  </si>
  <si>
    <t>מקור חיים - 2 כר'</t>
  </si>
  <si>
    <t>צרצה, שמואל</t>
  </si>
  <si>
    <t>שי"ט</t>
  </si>
  <si>
    <t>מקור חיים - 4 כר'</t>
  </si>
  <si>
    <t>מקור חכמה</t>
  </si>
  <si>
    <t>גולדברג, שימן בן אברהם חיים</t>
  </si>
  <si>
    <t>מקור חכמה - 3 כר'</t>
  </si>
  <si>
    <t>נושאים שונים, נושאים שונים, קבלה, קבלה, תנ"ך</t>
  </si>
  <si>
    <t>מקור חכמה - על ספר עץ חיים</t>
  </si>
  <si>
    <t>מקור חסד</t>
  </si>
  <si>
    <t>יהודה בן שמואל החסיד -מרגליות,ראובן</t>
  </si>
  <si>
    <t>Lwow</t>
  </si>
  <si>
    <t>מקור ישראל</t>
  </si>
  <si>
    <t>בורלא, ישראל יעקב</t>
  </si>
  <si>
    <t>מקור מים חיים</t>
  </si>
  <si>
    <t>כולל ללימוד סדר טהרות</t>
  </si>
  <si>
    <t>מסילתי, יוסף</t>
  </si>
  <si>
    <t>מקור מים חיים - 2 כר'</t>
  </si>
  <si>
    <t>שכטר, חיים בן פינחס</t>
  </si>
  <si>
    <t>מקור מים - מקוואות</t>
  </si>
  <si>
    <t>מסינג, נפתלי</t>
  </si>
  <si>
    <t>מקור נאמן - 2 כר'</t>
  </si>
  <si>
    <t>מקורות הלכה</t>
  </si>
  <si>
    <t>מקורות הרב</t>
  </si>
  <si>
    <t>סולובייצ'יק, יוסף דב בן משה הלוי - טורקל, אלי וחיים</t>
  </si>
  <si>
    <t>מקורות וקורות</t>
  </si>
  <si>
    <t>כהן, יצחק יוסף</t>
  </si>
  <si>
    <t>הלכה ומנהג, תולדות עם ישראל, תולדות עם ישראל</t>
  </si>
  <si>
    <t>מקורות לקורות ישראל</t>
  </si>
  <si>
    <t>מקורות לתולדות החינוך בישראל</t>
  </si>
  <si>
    <t>שצ'אראנסקי, מאיר בן בנימין</t>
  </si>
  <si>
    <t>מקורות רפואה</t>
  </si>
  <si>
    <t>שושן, אריה</t>
  </si>
  <si>
    <t>מקורות רש"י - חמש מגלות</t>
  </si>
  <si>
    <t>זהרי, מנחם</t>
  </si>
  <si>
    <t>מקורי ברוך</t>
  </si>
  <si>
    <t>האמבורגר, ברוך בנדיט בן דוד</t>
  </si>
  <si>
    <t>מקורי הנקור</t>
  </si>
  <si>
    <t>שלמה יעקב</t>
  </si>
  <si>
    <t>מקורי הרמב"ם לרש"ש</t>
  </si>
  <si>
    <t>שטראשון, שמואל בן יוסף</t>
  </si>
  <si>
    <t>מקורי הרמב"ם</t>
  </si>
  <si>
    <t>ה'תר"ל</t>
  </si>
  <si>
    <t>מקורי התפילה - 2 כר'</t>
  </si>
  <si>
    <t>זלוטניק, אפרים</t>
  </si>
  <si>
    <t>מקורי מנהגים</t>
  </si>
  <si>
    <t>לוויזון, אברהם בן יוסף הלוי</t>
  </si>
  <si>
    <t>פינקלשטיין, יוסף בן שלמה</t>
  </si>
  <si>
    <t>מקורך ברוך</t>
  </si>
  <si>
    <t>קיסוס, יהודה</t>
  </si>
  <si>
    <t>מקח טוב - שבת</t>
  </si>
  <si>
    <t>מנדלסון, נחמן בן יצחק נחום</t>
  </si>
  <si>
    <t>מקטוביץ עד ירושלים</t>
  </si>
  <si>
    <t>תנועת דגל התורה</t>
  </si>
  <si>
    <t>מקטר קטורת</t>
  </si>
  <si>
    <t>מקיץ בן חי</t>
  </si>
  <si>
    <t>קאניטי, אברהם בן יוסף</t>
  </si>
  <si>
    <t>מקיץ נרדמים - ב</t>
  </si>
  <si>
    <t>חוצין, צדקה</t>
  </si>
  <si>
    <t>מקיץ נרדמים</t>
  </si>
  <si>
    <t>לאנדא, מנחם מנדל חיים בן יעקב</t>
  </si>
  <si>
    <t>מקיץ רדומים</t>
  </si>
  <si>
    <t>ריאיטי, חנניה אליקים בן עשהאל רפאל</t>
  </si>
  <si>
    <t>מקל יעקב</t>
  </si>
  <si>
    <t>מקל נועם</t>
  </si>
  <si>
    <t>גריסהאבר, יצחק איצק</t>
  </si>
  <si>
    <t>מקלו של אהרן</t>
  </si>
  <si>
    <t>מקנה אברהם</t>
  </si>
  <si>
    <t>מקנה וקנין &lt;מהדורה חדשה&gt;</t>
  </si>
  <si>
    <t>מקנה וקנין</t>
  </si>
  <si>
    <t>מקנת אליהו</t>
  </si>
  <si>
    <t>סעדיאן, אליהו</t>
  </si>
  <si>
    <t>מקנת חיים, חזקת חיים</t>
  </si>
  <si>
    <t>יאמניק, חיים אברהם</t>
  </si>
  <si>
    <t>מקנת יוסף - קנינים</t>
  </si>
  <si>
    <t>מקנת כסף - עבדים</t>
  </si>
  <si>
    <t>שרייבר, ישראל בונם בן פנחס</t>
  </si>
  <si>
    <t>מקצה הארץ - קו התאריך בהלכה</t>
  </si>
  <si>
    <t>טאוב</t>
  </si>
  <si>
    <t>מקצוע בתורה &lt;מהדורה חדשה&gt; - 3 כר'</t>
  </si>
  <si>
    <t>מקצוע בתורה - 3 כר'</t>
  </si>
  <si>
    <t>מקצת מאמרי קודש על סדר המועדים</t>
  </si>
  <si>
    <t>פרידמן, אברהם יעקב מבויאן-לבוב</t>
  </si>
  <si>
    <t>מקרא בכורים</t>
  </si>
  <si>
    <t>מקרא העדה - 6 כר'</t>
  </si>
  <si>
    <t>גרינצייג, אליהו בן חיים</t>
  </si>
  <si>
    <t>מקרא ומדרשו - 2 כר'</t>
  </si>
  <si>
    <t>סופר, אברהם בן שמעון</t>
  </si>
  <si>
    <t>תש"ד - תש"ה</t>
  </si>
  <si>
    <t>מקרא ומסרת</t>
  </si>
  <si>
    <t>מקרא מבואר</t>
  </si>
  <si>
    <t>כוכב, דוד</t>
  </si>
  <si>
    <t>מקרא מפורש &lt;תפסיר&gt; - 5 כר'</t>
  </si>
  <si>
    <t>חכם, שמעון בן אליהו סופר בבלי</t>
  </si>
  <si>
    <t>מקרא מפורש</t>
  </si>
  <si>
    <t>טרונק, יצחק יהודה בן משה פינחס</t>
  </si>
  <si>
    <t>מקרא קדש</t>
  </si>
  <si>
    <t>בייפוס, יוסף שלמה בן יעקב ישראל הכהן</t>
  </si>
  <si>
    <t>הרשמאן, צבי הירש בן שלמה זלמן</t>
  </si>
  <si>
    <t>ידיד, אליהו</t>
  </si>
  <si>
    <t>מקרא קודש</t>
  </si>
  <si>
    <t>מקראות גדולות &lt;יין הטוב&gt; - 2 כר'</t>
  </si>
  <si>
    <t>מקראות גדולות &lt;החוט המשולש&gt; - שמות</t>
  </si>
  <si>
    <t>מקראות גדולות &lt;רב פנינים&gt; - 5 כר'</t>
  </si>
  <si>
    <t>מקראות גדולות &lt;ל"ב פירושים&gt; - 7 כר'</t>
  </si>
  <si>
    <t>תר"כ - תרכ"ו</t>
  </si>
  <si>
    <t>מקראות גדולות &lt;נטר&gt; - 5 כר'</t>
  </si>
  <si>
    <t>תנ"ך. תרי"ט. וינה</t>
  </si>
  <si>
    <t>מקראות גדולות &lt;נ"ך&gt; עם ח"י פירושים - 10 כר'</t>
  </si>
  <si>
    <t>תנ"ך. תרנ"ז. לובלין</t>
  </si>
  <si>
    <t>תרנ"ז-תר"ס</t>
  </si>
  <si>
    <t>מקראות גדולות &lt;בית דוד&gt; - 5 כר'</t>
  </si>
  <si>
    <t>תנ"ך. תרס"ט. לבוב</t>
  </si>
  <si>
    <t>מקראות גדולות מאורות - 5 כר'</t>
  </si>
  <si>
    <t>תנ"ך. ירושלים. תשנ"ה.</t>
  </si>
  <si>
    <t>מקראות גדולות עם ח"י פירושים והוספות (יהושע שופטים)</t>
  </si>
  <si>
    <t>תרנ"ז-תשל"ה</t>
  </si>
  <si>
    <t>מקראות גדולות עם מבוא המסורה - 3 כר'</t>
  </si>
  <si>
    <t>מקראות גדולות - דברים</t>
  </si>
  <si>
    <t>מקראות שיש להם הכרע</t>
  </si>
  <si>
    <t>ברויאר, מרדכי בן שמשון</t>
  </si>
  <si>
    <t>מקראות תמימות - 12 כר'</t>
  </si>
  <si>
    <t>המרכז התורני אור עציון</t>
  </si>
  <si>
    <t>מקראי קדש &lt;מלבי"ם&gt; - 2 כר'</t>
  </si>
  <si>
    <t>מקראי קדש</t>
  </si>
  <si>
    <t>מקראי קדש - חמשה חומשי תורה וקריאתם</t>
  </si>
  <si>
    <t>ציטלין, שניאור זלמן - בר דין, חיים</t>
  </si>
  <si>
    <t>מקראי קודש &lt;ליקוטי נ"ך&gt;</t>
  </si>
  <si>
    <t>מקראי קודש</t>
  </si>
  <si>
    <t>מקראי קודש - 3 כר'</t>
  </si>
  <si>
    <t>דרוק, זלמן</t>
  </si>
  <si>
    <t>מקראי קודש - 7 כר'</t>
  </si>
  <si>
    <t>הררי, משה</t>
  </si>
  <si>
    <t>מקראי קודש - 2 כר'</t>
  </si>
  <si>
    <t>ווטנשטיין, בצלאל טוביה</t>
  </si>
  <si>
    <t>מקראי קודש - במדבר</t>
  </si>
  <si>
    <t>חבורת חומש בבית המדרש ערוך לנר רמת שלמה ירושלים</t>
  </si>
  <si>
    <t>סאמיגה, יוסף בן בנימין</t>
  </si>
  <si>
    <t>ששון, מרדכי בן שמחה</t>
  </si>
  <si>
    <t>מקרי דרדקי</t>
  </si>
  <si>
    <t>טראבוט, פרץ</t>
  </si>
  <si>
    <t>מקרי דרדקי - 2 כר'</t>
  </si>
  <si>
    <t>תרמ"ח - תרנ"ט</t>
  </si>
  <si>
    <t>מקררים ומקפיאים בשבת</t>
  </si>
  <si>
    <t>מקשה זהב</t>
  </si>
  <si>
    <t>דרושים, נושאים שונים, קבלה, תנ"ך</t>
  </si>
  <si>
    <t>מר דרור &lt;מהדורה חדשה&gt; - ע"ז</t>
  </si>
  <si>
    <t>עטיה, מרדכי בן יצחק</t>
  </si>
  <si>
    <t>מר דרור חמש מאות</t>
  </si>
  <si>
    <t>מר דרור - מועדים</t>
  </si>
  <si>
    <t>דרמר, מרדכי</t>
  </si>
  <si>
    <t>מר דרור</t>
  </si>
  <si>
    <t>לוו, מרדכי בן אריה יהודה</t>
  </si>
  <si>
    <t>מר ואהלות</t>
  </si>
  <si>
    <t>מר קשישא השלם - ז, ח</t>
  </si>
  <si>
    <t>מרא דארעא ישראל - 3 כר'</t>
  </si>
  <si>
    <t>סופר, יוסף משה - גרליץ, מנחם מנדל</t>
  </si>
  <si>
    <t>מרא דשמעתתא - עטרת יהושע</t>
  </si>
  <si>
    <t>מרא"ה האופנים</t>
  </si>
  <si>
    <t>מראה אהרן</t>
  </si>
  <si>
    <t>כהן, אהרן בן שלום</t>
  </si>
  <si>
    <t>מראה אור - 3 כר'</t>
  </si>
  <si>
    <t>מראה איש - 2 כר'</t>
  </si>
  <si>
    <t>בלוי, אהרן ישעיה בן אברהם</t>
  </si>
  <si>
    <t>מראה אליהו - 2 כר'</t>
  </si>
  <si>
    <t>וינר, אליהו בן צבי דב</t>
  </si>
  <si>
    <t>מראה אליהו - 6 כר'</t>
  </si>
  <si>
    <t>קסלר, אליהו בן שמחה</t>
  </si>
  <si>
    <t>מראה אפרים</t>
  </si>
  <si>
    <t>מאיר, גבריאל אפרים בן משה הלוי</t>
  </si>
  <si>
    <t>מראה אש</t>
  </si>
  <si>
    <t>אש, אברהם בן יוסף</t>
  </si>
  <si>
    <t>מראה אש - 3 כר'</t>
  </si>
  <si>
    <t>מראה דבר - 5 כר'</t>
  </si>
  <si>
    <t>הרט, אברהם בן משולם פייש</t>
  </si>
  <si>
    <t>מראה דעה - תערבות</t>
  </si>
  <si>
    <t>דרבקין, צבי בן אליהו</t>
  </si>
  <si>
    <t>מראה דעה</t>
  </si>
  <si>
    <t>נויפלד, גבריאל חיים צבי</t>
  </si>
  <si>
    <t>מראה האדם</t>
  </si>
  <si>
    <t>מראה האופנים</t>
  </si>
  <si>
    <t>מורדוך, רפאל שלמה בן חיים</t>
  </si>
  <si>
    <t>מראה הבזק - 2 כר'</t>
  </si>
  <si>
    <t>קרויס, בנימין זאב בן אליעזר צבי</t>
  </si>
  <si>
    <t>מראה הגדול - 2 כר'</t>
  </si>
  <si>
    <t>אשכנזי, רפאל בן יהודה</t>
  </si>
  <si>
    <t>תקפ"ט - תקצ"א</t>
  </si>
  <si>
    <t>מראה הדשא</t>
  </si>
  <si>
    <t>בורנשטיין, אהרן ישראל</t>
  </si>
  <si>
    <t>מראה החודש</t>
  </si>
  <si>
    <t>הברמן, מרדכי אריה בן שמחה</t>
  </si>
  <si>
    <t>מראה היכל</t>
  </si>
  <si>
    <t>מראה הילדים</t>
  </si>
  <si>
    <t>חסידות, מחשבה ומוסר, מחשבה ומוסר, נושאים שונים</t>
  </si>
  <si>
    <t>מראה המלאכות</t>
  </si>
  <si>
    <t>דרבקין,</t>
  </si>
  <si>
    <t>מראה הנוגה</t>
  </si>
  <si>
    <t>מראה הנרות - א</t>
  </si>
  <si>
    <t>מראה הרקיע - תכלת</t>
  </si>
  <si>
    <t>רוזנברג, ישראל</t>
  </si>
  <si>
    <t>מראה השביעית</t>
  </si>
  <si>
    <t>מראה השבת</t>
  </si>
  <si>
    <t>מראה וחידות</t>
  </si>
  <si>
    <t>מראה זוהר</t>
  </si>
  <si>
    <t>פורסט, משה יוסף</t>
  </si>
  <si>
    <t>נושאים שונים, קבלה, תולדות עם ישראל, תנ"ך</t>
  </si>
  <si>
    <t>מראה יחזקאל &lt;שו"ת&gt; - 2 כר'</t>
  </si>
  <si>
    <t>פאנעט, יחזקאל בן יוסף</t>
  </si>
  <si>
    <t>מראה יחזקאל קטן</t>
  </si>
  <si>
    <t>קינדלס, יחזקאל בן יצחק</t>
  </si>
  <si>
    <t>ברגסס</t>
  </si>
  <si>
    <t>מראה יחזקאל - א</t>
  </si>
  <si>
    <t>הוכברג, רפאל יחזקאל בן דוד משה</t>
  </si>
  <si>
    <t>מראה יחזקאל</t>
  </si>
  <si>
    <t>ליפקוביץ, יחזקאל בן משה דוד</t>
  </si>
  <si>
    <t>מראה יחזקאל - 7 כר'</t>
  </si>
  <si>
    <t>חסידות, נושאים שונים, שאלות ותשובות, תלמוד בבלי</t>
  </si>
  <si>
    <t>פרצוביץ, יחזקאל אהרן</t>
  </si>
  <si>
    <t>מראה יחזקאל - נדה</t>
  </si>
  <si>
    <t>שוב, יחזקאל בן זבולון</t>
  </si>
  <si>
    <t>שלזינגר, יחזקאל בן שמואל הלוי גלוגא</t>
  </si>
  <si>
    <t>מראה יעקב</t>
  </si>
  <si>
    <t>גוזמאן, יעקב בן משה מרדכי</t>
  </si>
  <si>
    <t>מראה כהן &lt;מהדורה חדשה&gt;</t>
  </si>
  <si>
    <t>מראה כהן - עבודת הכהן  הגדול ביוה"כ</t>
  </si>
  <si>
    <t>אברהמוב, ארז</t>
  </si>
  <si>
    <t>מראה כהן - 5 כר'</t>
  </si>
  <si>
    <t>מראה כהן - 3 כר'</t>
  </si>
  <si>
    <t>יששכר בר בן נפתלי הכהן</t>
  </si>
  <si>
    <t>מראה כהן</t>
  </si>
  <si>
    <t>מראה כהן - סנהדרין</t>
  </si>
  <si>
    <t>כאהן, שמעון - עמנואל, יעקב</t>
  </si>
  <si>
    <t>מראה כהן  - בבא בתרא</t>
  </si>
  <si>
    <t>כאהן, שמעון</t>
  </si>
  <si>
    <t>כהן, יחיאל פישל בן אברהם משה</t>
  </si>
  <si>
    <t>לזכר רבי אהרן הכהן בייפוס</t>
  </si>
  <si>
    <t>מראה כהן - 2 כר'</t>
  </si>
  <si>
    <t>רבינוביץ, מאיר בן אלחנן יעקב דוד הכהן</t>
  </si>
  <si>
    <t>רובין, יצחק מרדכי בן יחיאל מיכל הכהן</t>
  </si>
  <si>
    <t>מראה לדעת</t>
  </si>
  <si>
    <t>קופמאן, יואל בן אברהם משה</t>
  </si>
  <si>
    <t>מראה להתקשט בו</t>
  </si>
  <si>
    <t>דירנפורט</t>
  </si>
  <si>
    <t>מראה לקשט הנשמה - 2 כר'</t>
  </si>
  <si>
    <t>משה בן יקר אשכנזי</t>
  </si>
  <si>
    <t>מראה מוסר</t>
  </si>
  <si>
    <t>אולמא-גינצבורג, יהודה זליגמאן בן משה שמעון הלוי</t>
  </si>
  <si>
    <t>מראה מקום הדינים</t>
  </si>
  <si>
    <t>משולם פייבוש בן ישראל</t>
  </si>
  <si>
    <t>מראה מקום</t>
  </si>
  <si>
    <t>זאבי, מיכאל</t>
  </si>
  <si>
    <t>מראה מקום - 3 כר'</t>
  </si>
  <si>
    <t>מלכא, אלחנן יצחק בן אליהו</t>
  </si>
  <si>
    <t>מראה מקומות בענין הערבה הדרומית</t>
  </si>
  <si>
    <t>מראה מקומות והערות לפרק כיצד מברכין</t>
  </si>
  <si>
    <t>מראה מקומות</t>
  </si>
  <si>
    <t>מראה מקומות והערות - 2 כר'</t>
  </si>
  <si>
    <t>מראה מקומות ללימוד הבקיאות - כתובות, קידושין</t>
  </si>
  <si>
    <t>מראה מקומות לפרק שלשה שאכלו</t>
  </si>
  <si>
    <t>מראה משה</t>
  </si>
  <si>
    <t>פירסט, משה בן ישעיה</t>
  </si>
  <si>
    <t>ניפסט Ujpest</t>
  </si>
  <si>
    <t>מראה עוזר - 10 כר'</t>
  </si>
  <si>
    <t>דרורי, עוזר</t>
  </si>
  <si>
    <t>מראה עיני הכהן - 2 כר'</t>
  </si>
  <si>
    <t>כ"ץ, צבי הירש בן רפאל הכהן</t>
  </si>
  <si>
    <t>מראה עינים</t>
  </si>
  <si>
    <t>מראה קנים - קן מפורשת</t>
  </si>
  <si>
    <t>וולף,טוביה- גוטמאכר, אליהו בן שלמה</t>
  </si>
  <si>
    <t>מראה רחל - על ספר משלי</t>
  </si>
  <si>
    <t>הרצג, ישראל איסר צבי בן דוד</t>
  </si>
  <si>
    <t>מושב זנוח</t>
  </si>
  <si>
    <t>מראה ריאה - 2 כר'</t>
  </si>
  <si>
    <t>האלפרט, יונה זאב בן עקיבא הלוי</t>
  </si>
  <si>
    <t>מראות אלהים - 2 כר'</t>
  </si>
  <si>
    <t>מראות האדם</t>
  </si>
  <si>
    <t>דודלסון, אריה מלכיאל בן דניאל</t>
  </si>
  <si>
    <t>מראות הים</t>
  </si>
  <si>
    <t>מראות הצובאות &lt;מהדורה חדשה&gt;</t>
  </si>
  <si>
    <t>מראות הצובאות - 3 כר'</t>
  </si>
  <si>
    <t>[תקכ"ה]</t>
  </si>
  <si>
    <t>מראות הצובאות</t>
  </si>
  <si>
    <t>מראות הצובאות - אה"ע</t>
  </si>
  <si>
    <t>מראות הצובאות - 14 כר'</t>
  </si>
  <si>
    <t>פוגל, צבי מאיר</t>
  </si>
  <si>
    <t>מראות השבת</t>
  </si>
  <si>
    <t>רובין, מאיר בן שלמה</t>
  </si>
  <si>
    <t>מראות טהורות - נגעים</t>
  </si>
  <si>
    <t>מראות יחזקאל</t>
  </si>
  <si>
    <t>מראות ישרים &lt;שו"ת&gt; - 2 כר'</t>
  </si>
  <si>
    <t>טובול, יחיה</t>
  </si>
  <si>
    <t>מראות ישרים - 4 כר'</t>
  </si>
  <si>
    <t>מראות להלכות טריפות</t>
  </si>
  <si>
    <t>אדלר, צבי יצחק הכהן</t>
  </si>
  <si>
    <t>מראות מה -400</t>
  </si>
  <si>
    <t>מראי מקומות "מיוחסות" - סנהדרין</t>
  </si>
  <si>
    <t>מראי מקומות בסוגיות ארץ ישראל</t>
  </si>
  <si>
    <t>מראי מקומות וליקוטים נחמדים</t>
  </si>
  <si>
    <t>מראי מקומות וציונים למסכת עבודה זרה</t>
  </si>
  <si>
    <t>מראי מקומות וציונים - דברים</t>
  </si>
  <si>
    <t>מראי מקומות</t>
  </si>
  <si>
    <t>מראי מקומות וראשי פרקים למסכת עבודה זרה</t>
  </si>
  <si>
    <t>מראי מקומות לפרק שלשה שאכלו</t>
  </si>
  <si>
    <t>קגן, ד</t>
  </si>
  <si>
    <t>מראי מקומות על מסכת ערכין</t>
  </si>
  <si>
    <t>פרידמן, דוד מנחם</t>
  </si>
  <si>
    <t>מראי מקומות על ספר עבודת הקרבנות - 2 כר'</t>
  </si>
  <si>
    <t>בית מדרש גבוה לכהנים</t>
  </si>
  <si>
    <t>מראי מקומות - 10 כר'</t>
  </si>
  <si>
    <t>אדלשטיין, י. גרשון</t>
  </si>
  <si>
    <t>מראי מקומות - מסכת מידות</t>
  </si>
  <si>
    <t>מראי מקומות - 6 כר'</t>
  </si>
  <si>
    <t>מראית העין - 2 כר'</t>
  </si>
  <si>
    <t>מועדי ישראל, קבלה, שאר ספרי חז"ל, שאר ספרי חז"ל, שאר ספרי חז"ל, תלמוד בבלי, תלמוד בבלי</t>
  </si>
  <si>
    <t>מראקש וחכמיה - 2 כר'</t>
  </si>
  <si>
    <t>מראש מקדם</t>
  </si>
  <si>
    <t>מראש צורים אראנו</t>
  </si>
  <si>
    <t>מראש צורים - אלה מסעי</t>
  </si>
  <si>
    <t>זוסמן - סופר, שמעון אליעזר - זוסמן-סופר, מרדכי אפרים</t>
  </si>
  <si>
    <t>מראש צורים</t>
  </si>
  <si>
    <t>לאנדא, יונה</t>
  </si>
  <si>
    <t>ליבוביץ, נחמן הלוי</t>
  </si>
  <si>
    <t>מראש צורים - רבי חיים צבי שבארץ</t>
  </si>
  <si>
    <t>מערכת אוצר החיים</t>
  </si>
  <si>
    <t>מראש צורים - 5 כר'</t>
  </si>
  <si>
    <t>מראשית השנה</t>
  </si>
  <si>
    <t>מראת הצדק</t>
  </si>
  <si>
    <t>ישראל בן משה</t>
  </si>
  <si>
    <t>מרבדי חן - 2 כר'</t>
  </si>
  <si>
    <t>מרבה  קדושה - קידושין</t>
  </si>
  <si>
    <t>מרבה אמונה</t>
  </si>
  <si>
    <t>מרבה ברכה</t>
  </si>
  <si>
    <t>מרבה בשמחה</t>
  </si>
  <si>
    <t>מרבה בתפילה</t>
  </si>
  <si>
    <t>מרבה זכרון - 2 כר'</t>
  </si>
  <si>
    <t>מרבה חותם</t>
  </si>
  <si>
    <t>מרבה חיים - 2 כר'</t>
  </si>
  <si>
    <t>מרבה חיים</t>
  </si>
  <si>
    <t>מרבה טובה</t>
  </si>
  <si>
    <t>מרבה ישיבה מרבה חכמה - א ב</t>
  </si>
  <si>
    <t>מרבה ישיבה</t>
  </si>
  <si>
    <t>מרבה להפליא</t>
  </si>
  <si>
    <t>המניק, יעקב דוד בן משה  - ניסים, מרדכי יאיר</t>
  </si>
  <si>
    <t>מרבה לספר על הגדה של פסח</t>
  </si>
  <si>
    <t>מרבה משפט</t>
  </si>
  <si>
    <t>מרבה נפש - כריתות</t>
  </si>
  <si>
    <t>מרבה ספרים מרבה חכמה</t>
  </si>
  <si>
    <t>סמינר למורות וגננות בית יעקב תל אביב</t>
  </si>
  <si>
    <t>מרבה עמידה</t>
  </si>
  <si>
    <t>מרבה עצה</t>
  </si>
  <si>
    <t>מרבה שלום</t>
  </si>
  <si>
    <t>מרבה תבונה</t>
  </si>
  <si>
    <t>מרבה תורה מרבה חיים</t>
  </si>
  <si>
    <t>מרבה תורה</t>
  </si>
  <si>
    <t>גוטליב, זאב</t>
  </si>
  <si>
    <t>מרבה תורה - בראשית ב</t>
  </si>
  <si>
    <t>פוסק, אליהו בן משה צבי - טראכטנבארג, מרדכי בן יהונתן כ"ץ</t>
  </si>
  <si>
    <t>מרבה תורה - שבועות</t>
  </si>
  <si>
    <t>תלמידי ישיבת צאנז נתניה</t>
  </si>
  <si>
    <t>מרביץ תורה הגדול</t>
  </si>
  <si>
    <t>מרביצי תורה ומוסר - 4 כר'</t>
  </si>
  <si>
    <t>מרביצי תורה מעולם החסידות - 8 כר'</t>
  </si>
  <si>
    <t>מרגליות הזוהר &lt;נופך דעת&gt; - 3 כר'</t>
  </si>
  <si>
    <t>מרגליות הים</t>
  </si>
  <si>
    <t>מארגולין, יעקב משה בן אברהם דוב</t>
  </si>
  <si>
    <t>מרגליות הש"ס - 17 כר'</t>
  </si>
  <si>
    <t>מרגליות התורה - 2 כר'</t>
  </si>
  <si>
    <t>צבי הירש בן חיים שמואל זנוויל הלוי</t>
  </si>
  <si>
    <t>תקמ"ח - תקס"ז</t>
  </si>
  <si>
    <t>מרגליות טובה</t>
  </si>
  <si>
    <t>גרינוולד, מנחם גרשון</t>
  </si>
  <si>
    <t>מרגליות טובות</t>
  </si>
  <si>
    <t>מרגליות מרבותינו שבסוריא</t>
  </si>
  <si>
    <t>מרגלית הים</t>
  </si>
  <si>
    <t>מרגלית, יחיאל מיכל</t>
  </si>
  <si>
    <t>מרגלית טובה</t>
  </si>
  <si>
    <t>מרגניטין טבין</t>
  </si>
  <si>
    <t>פרידמן, אליעזר דוד - ביגל, משה אליעזר הכהן</t>
  </si>
  <si>
    <t>מרגניתא דבי רבנן</t>
  </si>
  <si>
    <t>סגל, יוסף אייזק הלוי מפיטשאנקע</t>
  </si>
  <si>
    <t>מרגניתא דר"ב</t>
  </si>
  <si>
    <t>מרגניתא דר' מאיר &lt;מהדורה חדשה&gt;</t>
  </si>
  <si>
    <t>משנה, נושאים שונים, תלמוד בבלי, תנ"ך, תפלות בקשות פיוטים ושירה</t>
  </si>
  <si>
    <t>מרגניתא דר' מאיר</t>
  </si>
  <si>
    <t>מרגניתא דרבי מאיר &lt;מהדורה חדשה&gt;</t>
  </si>
  <si>
    <t>מרגניתא דרבי מאיר</t>
  </si>
  <si>
    <t>קובץ הדרכה בעניני צניעות</t>
  </si>
  <si>
    <t>הלכה ומנהג, משנה, תולדות עם ישראל, תלמוד בבלי</t>
  </si>
  <si>
    <t>מרגניתא טבא &lt;על סהמ"צ&gt;</t>
  </si>
  <si>
    <t>הורוויץ, אריה ליב זיטל סגל</t>
  </si>
  <si>
    <t>מרגניתא טבא &lt;אבן ספיר - אבן תרשיש&gt;</t>
  </si>
  <si>
    <t>יהונתן משה דוב בן אפרים הלוי - גרוס, מרדכי בן צדוק</t>
  </si>
  <si>
    <t>מרגניתא טבא</t>
  </si>
  <si>
    <t>סילברסטון, אליהו אליעזר</t>
  </si>
  <si>
    <t>מרגניתא שפירא</t>
  </si>
  <si>
    <t>אופנהיים, אברהם בן יהודה ליב</t>
  </si>
  <si>
    <t>מרדכי - קידושין</t>
  </si>
  <si>
    <t>מרוז'ין לציון</t>
  </si>
  <si>
    <t>קמפינסקי, מנחם</t>
  </si>
  <si>
    <t>מרום הרי"ם</t>
  </si>
  <si>
    <t>מרום הרי"מ</t>
  </si>
  <si>
    <t>מרום ציון - א</t>
  </si>
  <si>
    <t>מרומא עד ירושלים</t>
  </si>
  <si>
    <t>מרומי נפתלי</t>
  </si>
  <si>
    <t>מרומי שדה - 3 כר'</t>
  </si>
  <si>
    <t>מרומי שדה</t>
  </si>
  <si>
    <t>מרחבי ים - סנהדרין, מכות</t>
  </si>
  <si>
    <t>מקובר, יהודה</t>
  </si>
  <si>
    <t>מרחבי יצחקי - 2 כר'</t>
  </si>
  <si>
    <t>ראביד, חיים יצחק בן אברהם שלום</t>
  </si>
  <si>
    <t>תרפ"ט - תשל"ג</t>
  </si>
  <si>
    <t>מרחביה Merhavyah</t>
  </si>
  <si>
    <t>מרחבים - 2 כר'</t>
  </si>
  <si>
    <t>מרחבים מרכז תורני לחינוך</t>
  </si>
  <si>
    <t>מרחיב גבולות ירושלים</t>
  </si>
  <si>
    <t>כולל גבורת יוסף</t>
  </si>
  <si>
    <t>מרחשת - 3 כר'</t>
  </si>
  <si>
    <t>אייגש, חנוך הניך בן שמחה ראובן</t>
  </si>
  <si>
    <t>מרי צבי - 2 כר'</t>
  </si>
  <si>
    <t>צבי הירש בן יהודה ידל מטימקוביץ</t>
  </si>
  <si>
    <t>מרי"ח ניחוח - 3 כר'</t>
  </si>
  <si>
    <t>מרי"ח ניחוח - קונטרס עצי המערכה</t>
  </si>
  <si>
    <t>מערכת מרי"ח ניחוח</t>
  </si>
  <si>
    <t>מריא דכיא</t>
  </si>
  <si>
    <t>לוריא, מרדכי מרקיל בן יחיאל</t>
  </si>
  <si>
    <t>מריבת קדש</t>
  </si>
  <si>
    <t>מריש בבירה</t>
  </si>
  <si>
    <t>מרכבה שלמה</t>
  </si>
  <si>
    <t>קבלה, קבלה, שאר ספרי חז"ל</t>
  </si>
  <si>
    <t>מרכבו ארגמן</t>
  </si>
  <si>
    <t>דוד, סימן טוב בן דוד</t>
  </si>
  <si>
    <t>מרכבות ארגמן &lt;תורה&gt; - 2 כר'</t>
  </si>
  <si>
    <t>אליהו, מאיר</t>
  </si>
  <si>
    <t>מרכבות ארגמן - 7 כר'</t>
  </si>
  <si>
    <t>מרכבת אליהו</t>
  </si>
  <si>
    <t>מרכבת המשנה  &lt;מהדורת פלדהיים&gt; - 6 כר'</t>
  </si>
  <si>
    <t>מרכבת המשנה השלם - 4 כר'</t>
  </si>
  <si>
    <t>מרכבת המשנה על המכילתא</t>
  </si>
  <si>
    <t>אברהם, דוד משה</t>
  </si>
  <si>
    <t>מרכבת המשנה - מסכת אבות</t>
  </si>
  <si>
    <t>מרכבת המשנה</t>
  </si>
  <si>
    <t>אשר אנשיל</t>
  </si>
  <si>
    <t>רצ"ד</t>
  </si>
  <si>
    <t>ליפשיץ, זוסמאן אבא בן יהושע יצחק</t>
  </si>
  <si>
    <t>מרכבת המשנה - 2 כר'</t>
  </si>
  <si>
    <t>תקי"א - תקמ"ב</t>
  </si>
  <si>
    <t>מרכבת יוסף</t>
  </si>
  <si>
    <t>שלופר, יוסף בן צבי הירש</t>
  </si>
  <si>
    <t>מרכבת יחזקאל - בראשית</t>
  </si>
  <si>
    <t>א''ףם8</t>
  </si>
  <si>
    <t>מרכבת יחזקאל</t>
  </si>
  <si>
    <t>תולדות רבי יחזקאל פאנט בעל מראה יחזקאל</t>
  </si>
  <si>
    <t>מרן הבית יוסף</t>
  </si>
  <si>
    <t>קארו, יוסף בן אפרים- רוזן, משה</t>
  </si>
  <si>
    <t>מרן הגאון רבי אהרן קוטלר</t>
  </si>
  <si>
    <t>מרן החלקת יהושע</t>
  </si>
  <si>
    <t>מוסדות ביאלא</t>
  </si>
  <si>
    <t>מרן הקהילות יעקב זצוק"ל</t>
  </si>
  <si>
    <t>מרן ראש הישיבה</t>
  </si>
  <si>
    <t>מרן רבינו מאיר שמחה כהן זצ"ל</t>
  </si>
  <si>
    <t>מרן - תולדות רבי עובדיה יוסף</t>
  </si>
  <si>
    <t>מרנן</t>
  </si>
  <si>
    <t>מרעה טוב</t>
  </si>
  <si>
    <t>אדיריה, פנחס</t>
  </si>
  <si>
    <t>מרפא בכנפיה</t>
  </si>
  <si>
    <t>ברנבוים, ישראל יצחק בן רפאל שמואל</t>
  </si>
  <si>
    <t>מרפא לנפש &lt;מהדורת ארץ ישראל&gt;</t>
  </si>
  <si>
    <t>מרפא לנפש החדש לימות אגד"ו</t>
  </si>
  <si>
    <t>מרפא לנפש - 5 כר'</t>
  </si>
  <si>
    <t>זילבר, רפאל בן משה</t>
  </si>
  <si>
    <t>מרפא לנפש</t>
  </si>
  <si>
    <t>מאמאן, רפאל בן שלמה</t>
  </si>
  <si>
    <t>מרפא לנפש - 2 כר'</t>
  </si>
  <si>
    <t>פוטרמן, שמעון אלעזר בן יוסף</t>
  </si>
  <si>
    <t>תיקונים. חצות. תרכ"א</t>
  </si>
  <si>
    <t>תיקונים. שבת. תקל"ג. שלוניקי</t>
  </si>
  <si>
    <t>תיקונים. שבת. תר"ך. קושטא</t>
  </si>
  <si>
    <t>מרפא לעצם</t>
  </si>
  <si>
    <t>בגדאד,</t>
  </si>
  <si>
    <t>מרפא לשון &lt;מהדורה חדשה&gt;</t>
  </si>
  <si>
    <t>מרפא לשון</t>
  </si>
  <si>
    <t>ר"ע - רע"ד</t>
  </si>
  <si>
    <t>ארדיט, רפאל בן שלמה</t>
  </si>
  <si>
    <t>בזנסון, ישראל יצחק</t>
  </si>
  <si>
    <t>מרפא לשון - 2 כר'</t>
  </si>
  <si>
    <t>לאנדא, משה בן ישראל הלוי</t>
  </si>
  <si>
    <t>מרפא לשון - 8 כר'</t>
  </si>
  <si>
    <t>קובץ בעניני שמירת הלשון</t>
  </si>
  <si>
    <t>הלכה ומנהג, מחשבה ומוסר, קבצים וכתבי עת, ספרי זכרון ויובל</t>
  </si>
  <si>
    <t>שלמה זלמן צבי הירש בן אלעזר מאופהויזן</t>
  </si>
  <si>
    <t>מרקחת חיים - 2 כר'</t>
  </si>
  <si>
    <t>ווייס, חיים אלעזר</t>
  </si>
  <si>
    <t>מש"א גיא חזון</t>
  </si>
  <si>
    <t>אלפיה, מאיר</t>
  </si>
  <si>
    <t>משא אליעזר</t>
  </si>
  <si>
    <t>הלוי, אליעזר בן מרדכי יעקב</t>
  </si>
  <si>
    <t>משא בני קהת</t>
  </si>
  <si>
    <t>גרוס, שמאי קהת בן משה נחום הכהן</t>
  </si>
  <si>
    <t>משא בערב - 3 כר'</t>
  </si>
  <si>
    <t>רומאנילי, שמואל אהרן בן משה חי</t>
  </si>
  <si>
    <t>משא גיא חזיון - 2 כר'</t>
  </si>
  <si>
    <t>עניו, בנימין בן אברהם הרופא</t>
  </si>
  <si>
    <t>משא דבר ה'</t>
  </si>
  <si>
    <t>משא דבר..אדמו"ר</t>
  </si>
  <si>
    <t>משא דמשק - 2 כר'</t>
  </si>
  <si>
    <t>קרול, מרדכי שמואל בן ישראל דב</t>
  </si>
  <si>
    <t>משא הלוי</t>
  </si>
  <si>
    <t>דרצ'ינסקי, שמואל אביגדור בן משה הלוי</t>
  </si>
  <si>
    <t>נושאים שונים, שאלות ותשובות, שלחן ערוך ומפרשיו, שלחן ערוך ומפרשיו, שלחן ערוך ומפרשיו, תולדות עם ישראל, תלמוד בבלי</t>
  </si>
  <si>
    <t>משא הלכה - 2 כר'</t>
  </si>
  <si>
    <t>משא המלך - 6 כר'</t>
  </si>
  <si>
    <t>אברג'ל, מרדכי שמעון</t>
  </si>
  <si>
    <t>משא השבת</t>
  </si>
  <si>
    <t>אטינגר, משה שמואל</t>
  </si>
  <si>
    <t>שימלמן, אפרים דניאל בן יחזקאל</t>
  </si>
  <si>
    <t>משא ומתן ליוצאי בית מדרשו של רבינו</t>
  </si>
  <si>
    <t>תרצ"א-</t>
  </si>
  <si>
    <t>טירנוי,</t>
  </si>
  <si>
    <t>משא ומתן</t>
  </si>
  <si>
    <t>וויינטרויב, ישראל אליהו</t>
  </si>
  <si>
    <t>משא חיים</t>
  </si>
  <si>
    <t>משא חכמה</t>
  </si>
  <si>
    <t>אטינגר, משה שמואל בן מנחם ישראל</t>
  </si>
  <si>
    <t>משא יד - 5 כר'</t>
  </si>
  <si>
    <t>אילן, יעקב דוד</t>
  </si>
  <si>
    <t>משא יהודה - 2 כר'</t>
  </si>
  <si>
    <t>משא מדבר ים</t>
  </si>
  <si>
    <t>מרגליות, משה דובר בן יהודה ליב</t>
  </si>
  <si>
    <t>משא מלך - 2 כר'</t>
  </si>
  <si>
    <t>אבן-עזרא, יוסף בן יצחק</t>
  </si>
  <si>
    <t>משא פדררבוש</t>
  </si>
  <si>
    <t>משא קינה</t>
  </si>
  <si>
    <t>משא רה"י מרן הגרא"מ שך שליט"א</t>
  </si>
  <si>
    <t>משארית יעקב</t>
  </si>
  <si>
    <t>הופמן, יעקב ראובן</t>
  </si>
  <si>
    <t>משאת אברהם - 5 כר'</t>
  </si>
  <si>
    <t>דיין, אברהם ישראל בן בניהו</t>
  </si>
  <si>
    <t>משאת אחי - שבת, ביצה</t>
  </si>
  <si>
    <t>קוסובסקי שחור, אחיה בן עמנואל</t>
  </si>
  <si>
    <t>משאת בית הלוי</t>
  </si>
  <si>
    <t>משאת בנימין [כהן]</t>
  </si>
  <si>
    <t>משאת בנימין</t>
  </si>
  <si>
    <t>אייזנשטאט, בנימין בן אברהם צבי</t>
  </si>
  <si>
    <t>משאת בנימין - 5 כר'</t>
  </si>
  <si>
    <t>בירנבוים, בנימין בן אביגדור</t>
  </si>
  <si>
    <t>משאת בנימין - 3 כר'</t>
  </si>
  <si>
    <t>סולניק, בנימין אהרן בן אברהם</t>
  </si>
  <si>
    <t>משאת בנימין - 4 כר'</t>
  </si>
  <si>
    <t>רייך, אליהו בן בנימין זאב וולף</t>
  </si>
  <si>
    <t>תרס"ח - תרע"ד</t>
  </si>
  <si>
    <t>משאת דוד - בכורות, ידים</t>
  </si>
  <si>
    <t>אריאלי, אלעזר דוד בן שמריהו</t>
  </si>
  <si>
    <t>משאת הלוי</t>
  </si>
  <si>
    <t>משאת המלך &lt;על סדר הרמב"ם&gt; - 5 כר'</t>
  </si>
  <si>
    <t>משאת המלך אהל יהושע - על התורה</t>
  </si>
  <si>
    <t>משאת המלך - 15 כר'</t>
  </si>
  <si>
    <t>משאת השבת - תיקוני מבואות</t>
  </si>
  <si>
    <t>עזריאל, ישראל בן מרדכי</t>
  </si>
  <si>
    <t>משאת וארוחה</t>
  </si>
  <si>
    <t>משאת יוסף</t>
  </si>
  <si>
    <t>הרץ, יוסף בן צבי אריה</t>
  </si>
  <si>
    <t>משאת יצחק - בבא בתרא</t>
  </si>
  <si>
    <t>ברכה, יצחק</t>
  </si>
  <si>
    <t>משאת ישראל</t>
  </si>
  <si>
    <t>כרמל, ישראל יוסף בן משה הלוי</t>
  </si>
  <si>
    <t>משאת כפי - 3 כר'</t>
  </si>
  <si>
    <t>מרק, אלעזר</t>
  </si>
  <si>
    <t>משאת כפי - 11 כר'</t>
  </si>
  <si>
    <t>משאת לבנימין - 2 כר'</t>
  </si>
  <si>
    <t>משאת לבנימין</t>
  </si>
  <si>
    <t>משאת לוי</t>
  </si>
  <si>
    <t>רודרמאן, יעקב יצחק בן יהודה ליב הלוי</t>
  </si>
  <si>
    <t>משאת מרדכי - 2 כר'</t>
  </si>
  <si>
    <t>חברוני, מרדכי בן  אברהם משה</t>
  </si>
  <si>
    <t>משאת מרדכי - 3 כר'</t>
  </si>
  <si>
    <t>סעמיאטיצקי, מרדכי שמואל בן יצחק צבי זיידל</t>
  </si>
  <si>
    <t>משאת משה &lt;מהדו"ח&gt; - 2 כר'</t>
  </si>
  <si>
    <t>משאת משה - 2 כר'</t>
  </si>
  <si>
    <t>אונגר, שלום משה הלוי</t>
  </si>
  <si>
    <t>איידלשטיין, משה צבי בן יעקב הכהן</t>
  </si>
  <si>
    <t>משאת משה</t>
  </si>
  <si>
    <t>אנסר, משה צבי</t>
  </si>
  <si>
    <t>תרי"ד - תרט"ז</t>
  </si>
  <si>
    <t>משאת משה - 16 כר'</t>
  </si>
  <si>
    <t>חברוני, אברהם משה</t>
  </si>
  <si>
    <t>משאת משה - 3 כר'</t>
  </si>
  <si>
    <t>תצ"ד - תצ"ה</t>
  </si>
  <si>
    <t>משאת שבת</t>
  </si>
  <si>
    <t>חבורת הבחורים בויאן</t>
  </si>
  <si>
    <t>יוננר, מרדכי זאב</t>
  </si>
  <si>
    <t>משב יעקב - 2 כר'</t>
  </si>
  <si>
    <t>זוקבסקי, יעקב</t>
  </si>
  <si>
    <t>משבחי ישראל</t>
  </si>
  <si>
    <t>משביר בר</t>
  </si>
  <si>
    <t>כהן, יוסף שלמה בן משה</t>
  </si>
  <si>
    <t>משביר ברכה</t>
  </si>
  <si>
    <t>משביר זרע - 2 כר'</t>
  </si>
  <si>
    <t>משביר לחם - חלה</t>
  </si>
  <si>
    <t>משביר ליוסף - בבא מציעא</t>
  </si>
  <si>
    <t>משבית מלחמות - 2 כר'</t>
  </si>
  <si>
    <t>משבית מלחמות</t>
  </si>
  <si>
    <t>משבצות זהב לבושה</t>
  </si>
  <si>
    <t>משבצות זהב - 10 כר'</t>
  </si>
  <si>
    <t>משבצות זהב</t>
  </si>
  <si>
    <t>משבצות חיים - 6 כר'</t>
  </si>
  <si>
    <t>מנדל, חיים מאיר</t>
  </si>
  <si>
    <t>משבצי שלמה</t>
  </si>
  <si>
    <t>מינצברג, יחיאל שלמה בן שמואל צבי</t>
  </si>
  <si>
    <t>משבצת הפנינים</t>
  </si>
  <si>
    <t>תר"ו !</t>
  </si>
  <si>
    <t>משבצת התרשיש</t>
  </si>
  <si>
    <t>שאול בן עבדאללה יוסף</t>
  </si>
  <si>
    <t>[תרפ"ו].</t>
  </si>
  <si>
    <t>London</t>
  </si>
  <si>
    <t>משבר עזה לבנון ואירן ואחרית הימים</t>
  </si>
  <si>
    <t>משברי ים</t>
  </si>
  <si>
    <t>בראון, משה בצלאל בן יוסף</t>
  </si>
  <si>
    <t>משברי ים - 3 כר'</t>
  </si>
  <si>
    <t>יפה-שלזינגר, מרדכי</t>
  </si>
  <si>
    <t>משברי ים - 11 כר'</t>
  </si>
  <si>
    <t>חרבין Harbin</t>
  </si>
  <si>
    <t>שלאגר, יחיאל מיכל בן אברהם</t>
  </si>
  <si>
    <t>משגב לדך - 2 כר'</t>
  </si>
  <si>
    <t>כהן, דוד בן משה מג'רבה</t>
  </si>
  <si>
    <t>תרע"ה ותרפ"ה הוא ט"ס</t>
  </si>
  <si>
    <t>מועדי ישראל, משנה, נושאים שונים, שאר ספרי חז"ל, שלחן ערוך ומפרשיו, תלמוד בבלי, תלמוד בבלי, תנ"ך</t>
  </si>
  <si>
    <t>משגב לי - 3 כר'</t>
  </si>
  <si>
    <t>משגב לעתות</t>
  </si>
  <si>
    <t>משה אבן עזרא שירי החול - 2 כר'</t>
  </si>
  <si>
    <t>משה אבן עזרא</t>
  </si>
  <si>
    <t>משה איש האלוקים - 2 כר'</t>
  </si>
  <si>
    <t>משה אמת ותורתו אמת</t>
  </si>
  <si>
    <t>תש"ב הס'</t>
  </si>
  <si>
    <t>סייקס, דוד</t>
  </si>
  <si>
    <t>משה בחירו עמד בפרץ</t>
  </si>
  <si>
    <t>פרץ, משה בן רחמים</t>
  </si>
  <si>
    <t>משה בצלאל טודרסוביץ</t>
  </si>
  <si>
    <t>משה האי"ש</t>
  </si>
  <si>
    <t>משה וירושלם</t>
  </si>
  <si>
    <t>מונטיפיורי, משה בן יוסף אליהו</t>
  </si>
  <si>
    <t>משה ידבר &lt;מהדורת מכון שלמה אומן&gt;</t>
  </si>
  <si>
    <t>ישראל, משה בן אליהו</t>
  </si>
  <si>
    <t>תשע</t>
  </si>
  <si>
    <t>משה ידבר - ביצה סוכה</t>
  </si>
  <si>
    <t>הררי, חיים בן משה הכהן</t>
  </si>
  <si>
    <t>משה ידבר</t>
  </si>
  <si>
    <t>משה ידבר - 2 כר'</t>
  </si>
  <si>
    <t>פריידיגר, משה בן פנחס לייב</t>
  </si>
  <si>
    <t>ראם, משה דוד</t>
  </si>
  <si>
    <t>משה ידו</t>
  </si>
  <si>
    <t>זרניקיאן, יהודה משה בן מרדכי</t>
  </si>
  <si>
    <t>משה מבחוריו - 2 כר'</t>
  </si>
  <si>
    <t>זילברבלאט, משה בן אריה צבי</t>
  </si>
  <si>
    <t>משה עבד ה'</t>
  </si>
  <si>
    <t>וינשטוק, יאיר</t>
  </si>
  <si>
    <t>משה עבד - פני חמה</t>
  </si>
  <si>
    <t>קורקידי, משה</t>
  </si>
  <si>
    <t>תרמ"ב-תרמ"ד</t>
  </si>
  <si>
    <t>משה עבדי</t>
  </si>
  <si>
    <t>למברגר, משה ברוך. אשלג, יהודה ליב הלוי</t>
  </si>
  <si>
    <t>משה עלה למרום</t>
  </si>
  <si>
    <t>אוסף הספדים על רמ"א פריינד זצוק"ל</t>
  </si>
  <si>
    <t>משה רעיא מהימנא - 2 כר'</t>
  </si>
  <si>
    <t>פריינד, משה אריה (עליו)</t>
  </si>
  <si>
    <t>משה שפיר קאמרת - 3 כר'</t>
  </si>
  <si>
    <t>גליונות שאלות לפרשת השבוע</t>
  </si>
  <si>
    <t>תשע"ה - תשע"ו</t>
  </si>
  <si>
    <t>משה שפיר קאמרת - וזאת ליהודה</t>
  </si>
  <si>
    <t>קלישר, אברהם משה - קלישר יהודה ליב</t>
  </si>
  <si>
    <t>משהו על יצירתו של ר' יהודה ן' בולט - תדפיס</t>
  </si>
  <si>
    <t>משואה ליצחק - 2 כר'</t>
  </si>
  <si>
    <t>ספר זכרון לכבוד רבי יצחק אייזיק הלוי הרצוג</t>
  </si>
  <si>
    <t>משואות</t>
  </si>
  <si>
    <t>בלוי, אברהם בן משה</t>
  </si>
  <si>
    <t>משואות - 5 כר'</t>
  </si>
  <si>
    <t>משובב נתיבות &lt;יאיר נתיב, דליות דוד&gt;</t>
  </si>
  <si>
    <t>משובב נתיבות</t>
  </si>
  <si>
    <t>משובח ומפואר</t>
  </si>
  <si>
    <t>משולחן אבותינו</t>
  </si>
  <si>
    <t>משונצינו ועד וילנא</t>
  </si>
  <si>
    <t>לויפר, יעקב</t>
  </si>
  <si>
    <t>משוש אבות על בנים - אור יצהר</t>
  </si>
  <si>
    <t>לאנדמאן, אורי</t>
  </si>
  <si>
    <t>משוש דודים - נישואין</t>
  </si>
  <si>
    <t>משוש דודים</t>
  </si>
  <si>
    <t>משוש דור ודור - 2 כר'</t>
  </si>
  <si>
    <t>רימר, אברהם בן בנימין</t>
  </si>
  <si>
    <t>משוש הארץ</t>
  </si>
  <si>
    <t>קרוק, ישראל יהודה בן משה הכהן</t>
  </si>
  <si>
    <t>משוש חתן</t>
  </si>
  <si>
    <t>משולם, מסעוד בן אברהם</t>
  </si>
  <si>
    <t>משוש כל הארץ</t>
  </si>
  <si>
    <t>רום, איתמר בן משה</t>
  </si>
  <si>
    <t>משוש כל המתאבלים</t>
  </si>
  <si>
    <t>משח זיתא דכיא</t>
  </si>
  <si>
    <t>פרומלט, מיכאל בן אברהם</t>
  </si>
  <si>
    <t>משחא דרבותא - 3 כר'</t>
  </si>
  <si>
    <t>משחקת בתבל &lt;מתוך זמירות ישראל&gt;</t>
  </si>
  <si>
    <t>משחת אהרן</t>
  </si>
  <si>
    <t>אהרן זליג בן יואל פייבוש</t>
  </si>
  <si>
    <t>משחת אהרן - 3 כר'</t>
  </si>
  <si>
    <t>משחת קדש</t>
  </si>
  <si>
    <t>משחת קודש</t>
  </si>
  <si>
    <t>משחת שמן - 6 כר'</t>
  </si>
  <si>
    <t>קויפמאן, חיים שאול</t>
  </si>
  <si>
    <t>משטר ומדינה בישראל על פי התורה - 4 כר'</t>
  </si>
  <si>
    <t>בר אילן, נפתלי צבי יהודה בן טוביה</t>
  </si>
  <si>
    <t>משיב בהלכה - 2 כר'</t>
  </si>
  <si>
    <t>משיב דבר</t>
  </si>
  <si>
    <t>משיב דברים</t>
  </si>
  <si>
    <t>משיב דברים - 2 כר'</t>
  </si>
  <si>
    <t>ליטש-רוזנבוים, גרשון בן משה אריה ליב הלוי</t>
  </si>
  <si>
    <t>תר"ס - תרס"ב</t>
  </si>
  <si>
    <t>משיב הלכה</t>
  </si>
  <si>
    <t>לוריא, חיים פינחס בן שלמה זלמן צבי</t>
  </si>
  <si>
    <t>משיב הרוח</t>
  </si>
  <si>
    <t>מרזל, שר שלום בן משה חיים</t>
  </si>
  <si>
    <t>משיב חיים</t>
  </si>
  <si>
    <t>שבת, מרדכי בן בנימין</t>
  </si>
  <si>
    <t>משיב טעם</t>
  </si>
  <si>
    <t>בנעט, יחזקאל בן גרשון וואלף</t>
  </si>
  <si>
    <t>משיב כהלכה - 2 כר'</t>
  </si>
  <si>
    <t>משיב כהלכה</t>
  </si>
  <si>
    <t>דירקטור, ישעיהו טוביה הלוי</t>
  </si>
  <si>
    <t>משיב כהלכה - 3 כר'</t>
  </si>
  <si>
    <t>קרביץ, נחום זאב בן יוסף</t>
  </si>
  <si>
    <t>משיב משובב נפש חיה</t>
  </si>
  <si>
    <t>גולבסקי, חיים דובער בן משה ראובן</t>
  </si>
  <si>
    <t>משיב נבונים - 6 כר'</t>
  </si>
  <si>
    <t>משיב נפש - 4 כר'</t>
  </si>
  <si>
    <t>איזיקוב, יעקב</t>
  </si>
  <si>
    <t>משיב נפש</t>
  </si>
  <si>
    <t>גינצלר, שמואל בן משה יהודה ליב</t>
  </si>
  <si>
    <t>גראס, מנחם בן יונתן בנימין</t>
  </si>
  <si>
    <t>משיב נפש - נדה א</t>
  </si>
  <si>
    <t>דאננבוים, קלונימוס</t>
  </si>
  <si>
    <t>מרטן, דב בער</t>
  </si>
  <si>
    <t>משיב נפש - 2 כר'</t>
  </si>
  <si>
    <t>ניירמאן, אברהם</t>
  </si>
  <si>
    <t>סילברמן, אליאב הכהן</t>
  </si>
  <si>
    <t>עומסי, יחיא</t>
  </si>
  <si>
    <t>עמותת משיב נפש</t>
  </si>
  <si>
    <t>שרהיי, מנחם מנדל יהודה ליב בן יואל שלום</t>
  </si>
  <si>
    <t>משיב צדק</t>
  </si>
  <si>
    <t>משיב שלום - א</t>
  </si>
  <si>
    <t>משיב שלום</t>
  </si>
  <si>
    <t>פייגנבוים, שלום יוסף בן זאב הלוי</t>
  </si>
  <si>
    <t>משיבי מרדכי</t>
  </si>
  <si>
    <t>וולמרק, מרדכי גימפל</t>
  </si>
  <si>
    <t>דרושים, הלכה ומנהג, מועדי ישראל, תלמוד בבלי, תלמוד בבלי, תלמוד בבלי</t>
  </si>
  <si>
    <t>משיבת מרדכי</t>
  </si>
  <si>
    <t>סלוצק</t>
  </si>
  <si>
    <t>משיבת נפש &lt;אור זרוע, תורת כהנים&gt;</t>
  </si>
  <si>
    <t>יוסף בן צבי הירש ממשפחת רם</t>
  </si>
  <si>
    <t>משיבת נפש &lt;גלגולי נשמות&gt; - עם מקורות ביאורים ורמזים</t>
  </si>
  <si>
    <t>פאנו, מנחם עזריה בן יצחק ברכיה - גליק, אברהם טוביה</t>
  </si>
  <si>
    <t>משיבת נפש - 2 כר'</t>
  </si>
  <si>
    <t>משיבת נפש</t>
  </si>
  <si>
    <t>פעלדמאן, יעקב משה</t>
  </si>
  <si>
    <t>זולקוה</t>
  </si>
  <si>
    <t>משיבת נפש - 4 כר'</t>
  </si>
  <si>
    <t>קובץ ישיבת עטרת שלמה כולל משכן דוד</t>
  </si>
  <si>
    <t>משיבת רגל</t>
  </si>
  <si>
    <t>פראנק, מיכאל בן משה הלוי</t>
  </si>
  <si>
    <t>משיח אלמים</t>
  </si>
  <si>
    <t>כאלאץ, יהודה בן שלמה</t>
  </si>
  <si>
    <t>משיח ה'</t>
  </si>
  <si>
    <t>משיח לאור ההלכה</t>
  </si>
  <si>
    <t>משימה בשניים</t>
  </si>
  <si>
    <t>משיעורי הגרב"צ פלמן -ג הפרשת תרו"מ</t>
  </si>
  <si>
    <t>פלמן, שלום בן ציון</t>
  </si>
  <si>
    <t>משיעורי מערת המכפלה - א</t>
  </si>
  <si>
    <t>משיעורי מרן הראשון לציון - 4 כר'</t>
  </si>
  <si>
    <t>פרץ, פנחס שמעון בן יעקב - עורך</t>
  </si>
  <si>
    <t>משיעורי נתיבות רמח"ל - 2 כר'</t>
  </si>
  <si>
    <t>משך הנחל</t>
  </si>
  <si>
    <t>ברסלבר, שמואל בן אברהם חיים צציק</t>
  </si>
  <si>
    <t>משך הפרשה</t>
  </si>
  <si>
    <t>כהן, מאיר שלום</t>
  </si>
  <si>
    <t>משך חכמה  עם בינת החכמה &lt;אסופת גליונות שבועיים&gt; - 2 כר'</t>
  </si>
  <si>
    <t>משך חכמה  עם בינת החכמה - &lt;מגילת אסתר&gt;</t>
  </si>
  <si>
    <t>משך חכמה &lt;עם ביאור&gt; - 6 כר'</t>
  </si>
  <si>
    <t>כהן, מאיר שמחה בן שמשון קלונימוס - קופרמן, יהודה בן אברהם שמחה</t>
  </si>
  <si>
    <t>משך חכמה &lt;מהדורת אור החיים&gt;</t>
  </si>
  <si>
    <t>משך חכמה השלם &lt;מהדורת רש"ח דומב&gt; - 3 כר'</t>
  </si>
  <si>
    <t>משך חכמה עם ביאור &lt;מהדורה חדשה&gt; - 5 כר'</t>
  </si>
  <si>
    <t>משך חכמה עם בינת החכמה - 2 כר'</t>
  </si>
  <si>
    <t>כהן, מאיר שמחה בן שמשון קלונימוס - דסקל, יצחק בירך בן שמואל יהודה</t>
  </si>
  <si>
    <t>משך חכמה - 5 כר'</t>
  </si>
  <si>
    <t>משך חכמה</t>
  </si>
  <si>
    <t>משכיות כסף</t>
  </si>
  <si>
    <t>פייאר, אברהם בן נתן</t>
  </si>
  <si>
    <t>משכיות לבב</t>
  </si>
  <si>
    <t>הכהן, חיים בן כלפה</t>
  </si>
  <si>
    <t>ליפשיץ, מיכאל אליעזר בן ישראל</t>
  </si>
  <si>
    <t>משכיל אל דוד</t>
  </si>
  <si>
    <t>בלייכר, מיכאל שמואל בן מרדכי צבי</t>
  </si>
  <si>
    <t>משכיל אל דל - 4 כר'</t>
  </si>
  <si>
    <t>תרכ"ז - תרל"א</t>
  </si>
  <si>
    <t>משכיל אל דל, אליהו האיש</t>
  </si>
  <si>
    <t>משכיל דורש</t>
  </si>
  <si>
    <t>משנה, נושאים שונים, תנ"ך, תפלות בקשות פיוטים ושירה</t>
  </si>
  <si>
    <t>משכיל לאיתן - א</t>
  </si>
  <si>
    <t>גלביין, משה בן יעקב יוסף</t>
  </si>
  <si>
    <t>מחשבה ומוסר, שלחן ערוך ומפרשיו, תנ"ך</t>
  </si>
  <si>
    <t>משכיל לאיתן</t>
  </si>
  <si>
    <t>משכיל לאיתן - בראשית</t>
  </si>
  <si>
    <t>מלמד, איתן בן יוסף</t>
  </si>
  <si>
    <t>משכיל לאיתן - 2 כר'</t>
  </si>
  <si>
    <t>משכיל לאסף - 2 כר'</t>
  </si>
  <si>
    <t>אביטן, אסף בן שלמה</t>
  </si>
  <si>
    <t>משכיל לאסף - 8 כר'</t>
  </si>
  <si>
    <t>אברהם, אסף בן משה</t>
  </si>
  <si>
    <t>משכיל לאסף - 3 כר'</t>
  </si>
  <si>
    <t>גולדשטיין, אסף בן יהושע</t>
  </si>
  <si>
    <t>משכיל לאסף</t>
  </si>
  <si>
    <t>לזכר רבי איסר פרנקל</t>
  </si>
  <si>
    <t>משכיל לדוד - 2 כר'</t>
  </si>
  <si>
    <t>אוקס, דוד</t>
  </si>
  <si>
    <t>משכיל לדוד - 3 כר'</t>
  </si>
  <si>
    <t>משכיל לדוד</t>
  </si>
  <si>
    <t>כהן , דוד מרדכי</t>
  </si>
  <si>
    <t>לאו, דוד ברוך בן ישראל מאיר</t>
  </si>
  <si>
    <t>קוליק, דוד בן אברהם</t>
  </si>
  <si>
    <t>משכיל ליהודה</t>
  </si>
  <si>
    <t>משכיל לשלמה - מועדים</t>
  </si>
  <si>
    <t>קרליבך, שלמה בן צבי</t>
  </si>
  <si>
    <t>משכיל שיר הידידות</t>
  </si>
  <si>
    <t>אבן צור, משה</t>
  </si>
  <si>
    <t>משכן אהרן - 2 כר'</t>
  </si>
  <si>
    <t>שטיין, אהרון בן פסח</t>
  </si>
  <si>
    <t>ווילקלף אוהיו</t>
  </si>
  <si>
    <t>משכן אליהו</t>
  </si>
  <si>
    <t>משכן בצלאל</t>
  </si>
  <si>
    <t>משכן בצלאל - 2 כר'</t>
  </si>
  <si>
    <t>כהן, בצלאל בן בנימין</t>
  </si>
  <si>
    <t>משכן גבריאל - 2 כר'</t>
  </si>
  <si>
    <t>קובץ כולל משכן גבריאל</t>
  </si>
  <si>
    <t>משכן גד - שבת</t>
  </si>
  <si>
    <t>קובץ ישיבת באר יצחק</t>
  </si>
  <si>
    <t>משכן העדות</t>
  </si>
  <si>
    <t>באסאן, בצלאל בן יהודה ליב הלוי</t>
  </si>
  <si>
    <t>משכן הראל</t>
  </si>
  <si>
    <t>בן דוד, הראל</t>
  </si>
  <si>
    <t>משכן התורה - 2 כר'</t>
  </si>
  <si>
    <t>עלון בהמ"ד משכן התורה באב"ד</t>
  </si>
  <si>
    <t>משכן יצחק</t>
  </si>
  <si>
    <t>משכן יצחק - 3 כר'</t>
  </si>
  <si>
    <t>משכן יצחק - מעילה</t>
  </si>
  <si>
    <t>קולודצקי, יצחק</t>
  </si>
  <si>
    <t>משכן ישראל</t>
  </si>
  <si>
    <t>משכן משה</t>
  </si>
  <si>
    <t>מיארה, משה</t>
  </si>
  <si>
    <t>סאכאטשעווסקי, משה נחום בן ישעיהו ראובן</t>
  </si>
  <si>
    <t>קניגסברג, משה יצחק בן אברהם אבא</t>
  </si>
  <si>
    <t>משכן רבקה</t>
  </si>
  <si>
    <t>מש' קרלינסקי</t>
  </si>
  <si>
    <t>משכן שילה - זמירות למוצ"ש כמנהג עדן</t>
  </si>
  <si>
    <t>דוד, שילה בן ציון</t>
  </si>
  <si>
    <t>משכן שילה</t>
  </si>
  <si>
    <t>משכן שלום</t>
  </si>
  <si>
    <t>טויב, משה בן יחזקאל צבי</t>
  </si>
  <si>
    <t>משכן שלום - הלכות שמחות</t>
  </si>
  <si>
    <t>קובץ כולל נחלי צדיק</t>
  </si>
  <si>
    <t>משכנות אפרים</t>
  </si>
  <si>
    <t>משכנות הרועים</t>
  </si>
  <si>
    <t>משכנות הרועים - 2 כר'</t>
  </si>
  <si>
    <t>רבינוביץ, דב</t>
  </si>
  <si>
    <t>משכנות הרועים - א</t>
  </si>
  <si>
    <t>רוזנברג, אהרן</t>
  </si>
  <si>
    <t>משכנות ידידיה &lt;מהדורה חדשה&gt;</t>
  </si>
  <si>
    <t>גרוסברג, ידידיה בן ירוחם פישל</t>
  </si>
  <si>
    <t>משכנות ידידיה - 3 כר'</t>
  </si>
  <si>
    <t>משכנות יעקב</t>
  </si>
  <si>
    <t>בן נעים, יעקב</t>
  </si>
  <si>
    <t>משכנות יעקב - 2 כר'</t>
  </si>
  <si>
    <t>ברוכין, יעקב בן אהרן</t>
  </si>
  <si>
    <t>משכנות ישראל</t>
  </si>
  <si>
    <t>משכנות ישראל - א</t>
  </si>
  <si>
    <t>משכנות ישראל - גיטין</t>
  </si>
  <si>
    <t>הורוויץ, ישראל</t>
  </si>
  <si>
    <t>פרץ, ישראל יהודה בן יוסף</t>
  </si>
  <si>
    <t>משכנות לאביר יעקב - תמיד</t>
  </si>
  <si>
    <t>תרמ"א - תרנ"ד</t>
  </si>
  <si>
    <t>משכנותיך ישראל</t>
  </si>
  <si>
    <t>משכנותיך ישראל - גיטין</t>
  </si>
  <si>
    <t>משכנותיך</t>
  </si>
  <si>
    <t>קרית משכנות יעקב</t>
  </si>
  <si>
    <t>משכני אחריך</t>
  </si>
  <si>
    <t>משכני עליון &lt;כתר מרדכי&gt;</t>
  </si>
  <si>
    <t>משל האבות - 9 כר'</t>
  </si>
  <si>
    <t>לוי, משה בן שמואל זאב</t>
  </si>
  <si>
    <t>משל הקדמוני - 3 כר'</t>
  </si>
  <si>
    <t>אבן-סהולה, יצחק בן שלמה</t>
  </si>
  <si>
    <t>משל ומליצה - 5 כר'</t>
  </si>
  <si>
    <t>תרפ"ז - תרצ"ו</t>
  </si>
  <si>
    <t>משל ומליצה - 6 כר'</t>
  </si>
  <si>
    <t>תר"ך-תרכ"ד</t>
  </si>
  <si>
    <t>Lemberg - Wien - Tar</t>
  </si>
  <si>
    <t>משל ומליצה</t>
  </si>
  <si>
    <t>משל ונמשל</t>
  </si>
  <si>
    <t>יוסף חיים בן אליהו- חזן, בן-ציון בן מרדכי</t>
  </si>
  <si>
    <t>משל סופרים - שכירות</t>
  </si>
  <si>
    <t>לוי, מנחם שלמה בן מאיר</t>
  </si>
  <si>
    <t>משלוח מנות</t>
  </si>
  <si>
    <t>שפיגל, יהושע</t>
  </si>
  <si>
    <t>משלח מנות</t>
  </si>
  <si>
    <t>משלחן גבוה - 7 כר'</t>
  </si>
  <si>
    <t>משלחן הרמ"ח</t>
  </si>
  <si>
    <t>קסטלניץ, מרדכי חיים מסלונים - ריזל, אהרון יוסף - ריזל, דוד</t>
  </si>
  <si>
    <t>משלחן יהודה</t>
  </si>
  <si>
    <t>שפיץ, יהודה בצלאל בן מאניש אברהם</t>
  </si>
  <si>
    <t>משלחן מלכים - 5 כר'</t>
  </si>
  <si>
    <t>משלחן רבי אליהו ברוך - 4 כר'</t>
  </si>
  <si>
    <t>משלחנם של אחרונים</t>
  </si>
  <si>
    <t>משלי &lt;הגר"א&gt;</t>
  </si>
  <si>
    <t>משלי &lt;רש"י, הגר"א&gt;</t>
  </si>
  <si>
    <t>משלי &lt;רבינו בחיי, שפת אמת, ליקוטי יהודה&gt; - 2 כר'</t>
  </si>
  <si>
    <t>בחיי בן אשר אבן חלאוה - אלטר, יהודה אריה ליב בן אברהם מרדכי</t>
  </si>
  <si>
    <t>משלי &lt;תבונת משלי&gt;</t>
  </si>
  <si>
    <t>משלי &lt;מאורי חיים&gt;</t>
  </si>
  <si>
    <t>חרל"פ, זבולון בן יצחק</t>
  </si>
  <si>
    <t>משלי &lt;יד אבשלום&gt; - 2 כר'</t>
  </si>
  <si>
    <t>משלי &lt;שבט מיהודה&gt;</t>
  </si>
  <si>
    <t>משלי &lt;מעשה רקמה, שפתי ישנים&gt;</t>
  </si>
  <si>
    <t>מחשבה ומוסר, נושאים שונים, תנ"ך, תנ"ך</t>
  </si>
  <si>
    <t>משלי &lt;מכתם לדוד - להבין משל&gt;</t>
  </si>
  <si>
    <t>משלי &lt;מעשי רקמה, שפתי ישנים&gt;</t>
  </si>
  <si>
    <t>תנ"ך. תרכ"ה. ליפציג</t>
  </si>
  <si>
    <t>משלי אלעזר</t>
  </si>
  <si>
    <t>שלזינגר, אלעזר בן צבי הירש</t>
  </si>
  <si>
    <t>הס' תרפ"ו-תר"ץ</t>
  </si>
  <si>
    <t>סעאיני</t>
  </si>
  <si>
    <t>משלי החיד"א</t>
  </si>
  <si>
    <t>אזולאי, חיים יוסף דוד בן רפאל יצחק זרחיה  - רוזן, משה</t>
  </si>
  <si>
    <t>משלי החפץ חיים</t>
  </si>
  <si>
    <t>משלי החתם סופר</t>
  </si>
  <si>
    <t>משלי התלמוד</t>
  </si>
  <si>
    <t>משלי ופרקי אבות &lt;בניקוד מסורת תימן&gt;</t>
  </si>
  <si>
    <t>משלי. פרקי אבות</t>
  </si>
  <si>
    <t>משנה, נושאים שונים, תנ"ך</t>
  </si>
  <si>
    <t>משלי חכמים</t>
  </si>
  <si>
    <t>משלי חסידים על התורה</t>
  </si>
  <si>
    <t>משלי יעקב - 2 כר'</t>
  </si>
  <si>
    <t>משלי ישראל ואומות העולם - א</t>
  </si>
  <si>
    <t>בלנקשטיין, אלעזר</t>
  </si>
  <si>
    <t>משלי ע"פ שפתי דעת</t>
  </si>
  <si>
    <t>משלי עין בן משק</t>
  </si>
  <si>
    <t>קוורט, ישראל נחום בן משה</t>
  </si>
  <si>
    <t>משלי עם פירוש דרך השלימות</t>
  </si>
  <si>
    <t>משלי עם פירוש עמנואל הרומי</t>
  </si>
  <si>
    <t>עמנואל בן שלמה הרומי</t>
  </si>
  <si>
    <t>רמ"ז - תשמ"א</t>
  </si>
  <si>
    <t>נאפולי - ירושלים</t>
  </si>
  <si>
    <t>משלי עם פירוש קב ונקי</t>
  </si>
  <si>
    <t>אבן יחיא דוד בן שלמה תנ"ך. רנ"ב. ליסבון</t>
  </si>
  <si>
    <t>משלי עם תרגום ופירוש רס"ג</t>
  </si>
  <si>
    <t>משלי פנחס</t>
  </si>
  <si>
    <t>משלי שועלים - 4 כר'</t>
  </si>
  <si>
    <t>ברכיה בן נטרונאי הנקדן</t>
  </si>
  <si>
    <t>משלי שלמה</t>
  </si>
  <si>
    <t>משלי תרי עשר &lt;קדושת התורה ודקדוקה&gt;</t>
  </si>
  <si>
    <t>משלי - עם באור חדשים גם ישנים</t>
  </si>
  <si>
    <t>משמ"ר התורה</t>
  </si>
  <si>
    <t>משמח ציון</t>
  </si>
  <si>
    <t>אפל, בן ציון הלוי</t>
  </si>
  <si>
    <t>משמח ציון - כתובות</t>
  </si>
  <si>
    <t>משמחי לב &lt;קובץ&gt; - 2 כר'</t>
  </si>
  <si>
    <t>חסידי טשערנוביל בארה"ק</t>
  </si>
  <si>
    <t>משמחי לב &lt;מראה מוסר&gt;</t>
  </si>
  <si>
    <t>מרדכי גימפל בן אלעזר</t>
  </si>
  <si>
    <t>משמחי לב</t>
  </si>
  <si>
    <t>משמחי לב  -  תלמוד תורה</t>
  </si>
  <si>
    <t>משמחי לב - 2 כר'</t>
  </si>
  <si>
    <t>סגל, חיים לייב בן משה אהרון</t>
  </si>
  <si>
    <t>פרלמוטר, ישראל בן נפתלי הירץ</t>
  </si>
  <si>
    <t>משמי אש</t>
  </si>
  <si>
    <t>משמיע ישועה &lt;מהדורה חדשה&gt;</t>
  </si>
  <si>
    <t>משמיע ישועה - 4 כר'</t>
  </si>
  <si>
    <t>משמיע ישועה</t>
  </si>
  <si>
    <t>משמיע ישועות - א</t>
  </si>
  <si>
    <t>משמיע שלום &lt;תמצית נתיבות שלום&gt; - 5 כר'</t>
  </si>
  <si>
    <t>משמיע שלום</t>
  </si>
  <si>
    <t>ווידער, שלום</t>
  </si>
  <si>
    <t>משמיע שלום - 5 כר'</t>
  </si>
  <si>
    <t>סטפנסקי, שלום בן רפאל</t>
  </si>
  <si>
    <t>משמיע שלום - א</t>
  </si>
  <si>
    <t>משמיעי ישועה &lt;על הגדה של פסח&gt;</t>
  </si>
  <si>
    <t>משמני הארץ - 3 כר'</t>
  </si>
  <si>
    <t>ברייש, יצחק אייזיק</t>
  </si>
  <si>
    <t>משמני הארץ</t>
  </si>
  <si>
    <t>שניר, משה</t>
  </si>
  <si>
    <t>משמעות חג הסוכות</t>
  </si>
  <si>
    <t>משמר הלוי על התורה</t>
  </si>
  <si>
    <t>משמר הלוי - 16 כר'</t>
  </si>
  <si>
    <t>משמר הלויים - 2 כר'</t>
  </si>
  <si>
    <t>משמר הרש"ם</t>
  </si>
  <si>
    <t>מחשבה ומוסר, נושאים שונים, שאלות ותשובות, תולדות עם ישראל, תלמוד בבלי</t>
  </si>
  <si>
    <t>משמרות כהונה</t>
  </si>
  <si>
    <t>די לארה, חייא הכהן</t>
  </si>
  <si>
    <t>משמרות כהונה - 8 כר'</t>
  </si>
  <si>
    <t>משמרת איש</t>
  </si>
  <si>
    <t>דומב, אברהם ישעיה בן יונתן שרגא</t>
  </si>
  <si>
    <t>משמרת איתמר &lt;מהדורה חדשה&gt; - 2 כר'</t>
  </si>
  <si>
    <t>וולגלרנטר, איתמר בן ישראל</t>
  </si>
  <si>
    <t>משמרת איתמר</t>
  </si>
  <si>
    <t>משמרת אלעזר - 2 כר'</t>
  </si>
  <si>
    <t>משמרת אלעזר</t>
  </si>
  <si>
    <t>משמרת אריאל - 3 כר'</t>
  </si>
  <si>
    <t>אריאלי, שמריהו בן יצחק</t>
  </si>
  <si>
    <t>משמרת גיטין</t>
  </si>
  <si>
    <t>בן צור, יהונתן בן שלום - כולל בית עטעל</t>
  </si>
  <si>
    <t>משמרת האורים</t>
  </si>
  <si>
    <t>משמרת הבית</t>
  </si>
  <si>
    <t>פרלס, משה בן משה מאיר</t>
  </si>
  <si>
    <t>משמרת הבית - 2 כר'</t>
  </si>
  <si>
    <t>משמרת הברית</t>
  </si>
  <si>
    <t>משמרת הזמנים</t>
  </si>
  <si>
    <t>גוטשטיין, חיים משה בנימין בן אברהם שלמה</t>
  </si>
  <si>
    <t>משמרת החדש</t>
  </si>
  <si>
    <t>תפילות. ערב ראש חודש. תרכ"ג. צפת</t>
  </si>
  <si>
    <t>[תרכ"ג]</t>
  </si>
  <si>
    <t>משמרת הטהרה - 5 כר'</t>
  </si>
  <si>
    <t>משמרת הטהרה - 2 כר'</t>
  </si>
  <si>
    <t>רבינוביקי, שמואל מנחם בן מבנימין מאיר</t>
  </si>
  <si>
    <t>משמרת הכהנים - 2 כר'</t>
  </si>
  <si>
    <t>כהנוב, אורי מאיר בן אליהו הכהן</t>
  </si>
  <si>
    <t>משמרת הכהנים - קדושין</t>
  </si>
  <si>
    <t>כהנוב, אלעזר הכהן</t>
  </si>
  <si>
    <t>משמרת הכשרות - 9 כר'</t>
  </si>
  <si>
    <t>יאקאב,יצחק אליעזר</t>
  </si>
  <si>
    <t>משמרת המועדות - 2 כר'</t>
  </si>
  <si>
    <t>לייפער, משה מאיר בן אהרן יחיאל</t>
  </si>
  <si>
    <t>משמרת הפסח</t>
  </si>
  <si>
    <t>בן שמעון, יעקב חיים ידידיה</t>
  </si>
  <si>
    <t>משמרת הקדש</t>
  </si>
  <si>
    <t>משמרת הקדש - יבמות</t>
  </si>
  <si>
    <t>חדש, משה מרדכי בן רפאל נפתלי מנחם הלוי</t>
  </si>
  <si>
    <t>משמרת הקדשים - כריתות</t>
  </si>
  <si>
    <t>משמרת הקודש</t>
  </si>
  <si>
    <t>ארנסטר, יוסף בן ישראל</t>
  </si>
  <si>
    <t>משה בן יעקב מסאטאנוב</t>
  </si>
  <si>
    <t>משמרת הקודש - הלכות תערובות</t>
  </si>
  <si>
    <t>שרייאר, אורי שרגא פייבל בן ישראל משה הל</t>
  </si>
  <si>
    <t>משמרת השביעית</t>
  </si>
  <si>
    <t>הבלין, אברהם יצחק</t>
  </si>
  <si>
    <t>משמרת השביעית - 2 כר'</t>
  </si>
  <si>
    <t>משמרת השבת</t>
  </si>
  <si>
    <t>רוט, חיים דוב</t>
  </si>
  <si>
    <t>משמרת חומתנו - 12 כר'</t>
  </si>
  <si>
    <t>משמרת חיים</t>
  </si>
  <si>
    <t>רגנשברג, חיים דוד</t>
  </si>
  <si>
    <t>שיינברג, חיים פינחס</t>
  </si>
  <si>
    <t>משמרת חנוכה ופורים</t>
  </si>
  <si>
    <t>משמרת טהרה</t>
  </si>
  <si>
    <t>משמרת ימים נוראים</t>
  </si>
  <si>
    <t>משמרת כהן - 8 כר'</t>
  </si>
  <si>
    <t>משמרת ליל שימורים</t>
  </si>
  <si>
    <t>משמרת לסייג</t>
  </si>
  <si>
    <t>משמרת לתורה</t>
  </si>
  <si>
    <t>אסופת דברי רבותינו בענין פגעי הטכנולוגיה</t>
  </si>
  <si>
    <t>משמרת מועד</t>
  </si>
  <si>
    <t>בוארון, ציון</t>
  </si>
  <si>
    <t>משמרת מועד - 8 כר'</t>
  </si>
  <si>
    <t>משמרת מוצאות הדיבור בטהרתן</t>
  </si>
  <si>
    <t>משמרת מצוה</t>
  </si>
  <si>
    <t>מאליניאק, דוב בן משה אריה</t>
  </si>
  <si>
    <t>משמרת סת"ם - צורת האותיות</t>
  </si>
  <si>
    <t>גרינפלד דוד ליב - גרנטשטיין, שמואל אליהו</t>
  </si>
  <si>
    <t>משמרת צבי, ויברך דוד - 5 כר'</t>
  </si>
  <si>
    <t>משמרת שלום</t>
  </si>
  <si>
    <t>ווייס, שלום</t>
  </si>
  <si>
    <t>משמרת שלום - 2 כר'</t>
  </si>
  <si>
    <t>הלכה ומנהג, הלכה ומנהג, חסידות</t>
  </si>
  <si>
    <t>משמרת שלום - 3 כר'</t>
  </si>
  <si>
    <t>משמרת שמואל - תמיד נשחט</t>
  </si>
  <si>
    <t>שבקס, שמואל בן מנחם</t>
  </si>
  <si>
    <t>משמרת שמועות - 4 כר'</t>
  </si>
  <si>
    <t>רקובסקי, משה שמואל</t>
  </si>
  <si>
    <t>משמרת שמחות - 2 כר'</t>
  </si>
  <si>
    <t>משמרת תרומה</t>
  </si>
  <si>
    <t>משמרת תרומותי</t>
  </si>
  <si>
    <t>משמרת תרומותי - על מסכת תרומות</t>
  </si>
  <si>
    <t>משנה אחרונה</t>
  </si>
  <si>
    <t>אפרים יצחק בן ליבוש מפרמיסלא</t>
  </si>
  <si>
    <t>משנה אחת נתחלקה בטעות לשתים</t>
  </si>
  <si>
    <t>משנה ברורה  &lt;משנה אחרונה&gt; - ו</t>
  </si>
  <si>
    <t>כהן, ישראל מאיר בן אריה זאב - ליכטנשטיין, דוד בן שמואל צבי</t>
  </si>
  <si>
    <t>משנה ברורה  &lt;תפארת המזרח&gt; - חנוכה</t>
  </si>
  <si>
    <t>כהן, ישראל מאיר בן אריה זאב - רחימי , יעקב יוסף</t>
  </si>
  <si>
    <t>משנה ברורה &lt;מאורות&gt; - א</t>
  </si>
  <si>
    <t>כהן, ישראל מאיר בן אריה זאב - בוכריס עוזיאל</t>
  </si>
  <si>
    <t>משנה ברורה &lt;ליקוטי כף החיים&gt; - 2 כר'</t>
  </si>
  <si>
    <t>משנה ברורה &lt;מהדורת אור החיים&gt; - 6 כר'</t>
  </si>
  <si>
    <t>משנה ברורה &lt;משנה אחרונה&gt; - 2 כר'</t>
  </si>
  <si>
    <t>משנה ברורה המבואר &lt;ברכת אשר&gt; - שבת ב</t>
  </si>
  <si>
    <t>פאדאווער, אפרים אליעזר</t>
  </si>
  <si>
    <t>משנה ברורה עם בדק המשנה - 2 כר'</t>
  </si>
  <si>
    <t>כהנא, משה נחמן</t>
  </si>
  <si>
    <t>משנה ברורה עם הגהות איש מצליח - 6 כר'</t>
  </si>
  <si>
    <t>משנה ברורה עם מקורות וביאורים - א-כד</t>
  </si>
  <si>
    <t>בנימין אליהו בן ישעיה יצחק</t>
  </si>
  <si>
    <t>משנה ברורה עם פסקי חזון איש - 6 כר'</t>
  </si>
  <si>
    <t>משנה ברורה</t>
  </si>
  <si>
    <t>משנה ברורה - ברכות</t>
  </si>
  <si>
    <t>זילברשיץ, חיים משה</t>
  </si>
  <si>
    <t>משנה ברורה - 12 כר'</t>
  </si>
  <si>
    <t>רוזנשטיין, חיים דוד בן מיכל</t>
  </si>
  <si>
    <t>משנה ברכה</t>
  </si>
  <si>
    <t>משנה דפוס בלתי נודע - זרעים, מועד, נשים</t>
  </si>
  <si>
    <t>משנה.</t>
  </si>
  <si>
    <t>פיזרו או קושטא</t>
  </si>
  <si>
    <t>משנה הלכה - 4 כר'</t>
  </si>
  <si>
    <t>משנה הלכה - 2 כר'</t>
  </si>
  <si>
    <t>שטיינברג, ראובן חיים שמעון הלוי</t>
  </si>
  <si>
    <t>משנה הלכות &lt;טקסט&gt;</t>
  </si>
  <si>
    <t>משנה הלכות - 20 כר'</t>
  </si>
  <si>
    <t>משנה התלמוד - 2 כר'</t>
  </si>
  <si>
    <t>תרע"ג - תרע"ה</t>
  </si>
  <si>
    <t>משנה והלכה ברורה -  שא - שדמ</t>
  </si>
  <si>
    <t>משנה ותוספתא &lt;אפיקי מים&gt; - 8 כר'</t>
  </si>
  <si>
    <t>מיטלמן משה יעקב בן יהושע</t>
  </si>
  <si>
    <t>משנה ותוספתא &lt;אפיקי מים&gt; - פרה</t>
  </si>
  <si>
    <t>מיטלמן, משה יעקב בן יהושע</t>
  </si>
  <si>
    <t>משנה ותוספתא - שבת</t>
  </si>
  <si>
    <t>פורסט, בן ציון</t>
  </si>
  <si>
    <t>משנה ותלמוד עם פירוש המזרחי</t>
  </si>
  <si>
    <t>זכריה בן שלום החלפוני</t>
  </si>
  <si>
    <t>משנה זכרון</t>
  </si>
  <si>
    <t>משנה זרעים &lt;עם שנויי נוס' מכת"י&gt; - 2 כר'</t>
  </si>
  <si>
    <t>זק"ש, ניסן (עורך)</t>
  </si>
  <si>
    <t>משנה חב"ד - ב</t>
  </si>
  <si>
    <t>בונין, חיים יצחק בן אברהם</t>
  </si>
  <si>
    <t>משנה יפה</t>
  </si>
  <si>
    <t>פרידקין, יעקב בן אהרן</t>
  </si>
  <si>
    <t>משנה ישרה</t>
  </si>
  <si>
    <t>כהנא, יחזקאל שרגא</t>
  </si>
  <si>
    <t>משנה כסף</t>
  </si>
  <si>
    <t>שירירו, חיים דוד בן ברוך</t>
  </si>
  <si>
    <t>משנה כת"י פארמה ב סדר טהרות</t>
  </si>
  <si>
    <t>משנה. כתב יד</t>
  </si>
  <si>
    <t>משנה כת"י פארמה ג סדר נשים נזיקין</t>
  </si>
  <si>
    <t>משנה לחם - 3 כר'</t>
  </si>
  <si>
    <t>יחיאל מיכל בן פתחיה</t>
  </si>
  <si>
    <t>משנה לחם - זרעים מועד</t>
  </si>
  <si>
    <t>משנה לחם</t>
  </si>
  <si>
    <t>חסידות, חסידות, שאלות ותשובות, תולדות עם ישראל, תולדות עם ישראל</t>
  </si>
  <si>
    <t>משנה למלך אחרון</t>
  </si>
  <si>
    <t>משנה למלך על מסכתות הש"ס</t>
  </si>
  <si>
    <t>משנה למלך</t>
  </si>
  <si>
    <t>משנה למלך - 2 כר'</t>
  </si>
  <si>
    <t>ווייסבלום, אלעזר בן אלימלך מרישא</t>
  </si>
  <si>
    <t>משנה מועד כ"י פירנצי - 2 כר'</t>
  </si>
  <si>
    <t>משנה שנת קכ"א</t>
  </si>
  <si>
    <t>משנה מפורשת - ברכות</t>
  </si>
  <si>
    <t>שמש, סנדר צבי בן חיים גרשון הלוי</t>
  </si>
  <si>
    <t>תרפ"ט-תר"ץ</t>
  </si>
  <si>
    <t>משנה סדורה - 4 כר'</t>
  </si>
  <si>
    <t>משנה סדר מועד ע"פ הרמב"ם - כת"י תימן</t>
  </si>
  <si>
    <t>משנה עם פירוש הרמב"ם &lt;מהדורת מעליות&gt; - 4 כר'</t>
  </si>
  <si>
    <t>משנה עם פירוש הרמב"ם &lt;מהדורת ר"י קאפח&gt; - אבות</t>
  </si>
  <si>
    <t>משנה ערוכה לתשב"ר &lt;כנפי יונה&gt; - תענית</t>
  </si>
  <si>
    <t>משנה ערוכה - שביעית</t>
  </si>
  <si>
    <t>משנה ערוכה - כתובות א</t>
  </si>
  <si>
    <t>אשר, שמעון י. - מגן, יעקב</t>
  </si>
  <si>
    <t>משנה ערוכה - תענית</t>
  </si>
  <si>
    <t>אשר, שמעון</t>
  </si>
  <si>
    <t>משנה ערוכה - 4 כר'</t>
  </si>
  <si>
    <t>גולדשטוף, דוד נחום בן יוסף יעקב</t>
  </si>
  <si>
    <t>משנה ערוכה - כלאים</t>
  </si>
  <si>
    <t>משנה. כלאים.</t>
  </si>
  <si>
    <t>משנה ערוכה - ברכות הנהנין</t>
  </si>
  <si>
    <t>משנה צרופה</t>
  </si>
  <si>
    <t>משנה שכיר &lt;מהדורה חדשה&gt; - 5 כר'</t>
  </si>
  <si>
    <t>משנה שכיר - 4 כר'</t>
  </si>
  <si>
    <t>טייכטאל, ישכר שלמה בן יצחק</t>
  </si>
  <si>
    <t>משנה שכיר - 3 כר'</t>
  </si>
  <si>
    <t>תרפ"ד - ת"ש</t>
  </si>
  <si>
    <t>משנה שלמה</t>
  </si>
  <si>
    <t>גראס, שלמה בן משה הכהן</t>
  </si>
  <si>
    <t>משנה שלמה - 3 כר'</t>
  </si>
  <si>
    <t>חדד, דוד בן שלמה</t>
  </si>
  <si>
    <t>משנה, משנה, שאלות ותשובות</t>
  </si>
  <si>
    <t>משנה שלמה - שבת, פסחים, יומא</t>
  </si>
  <si>
    <t>סילמן, יצחק בן יוחנן</t>
  </si>
  <si>
    <t>משנה שלמה - 8 כר'</t>
  </si>
  <si>
    <t>שיפמן, שלמה</t>
  </si>
  <si>
    <t>משנה תורה &lt;הרמב"ם המבואר&gt; - 7 כר'</t>
  </si>
  <si>
    <t>מכון הרמב"ם המבואר</t>
  </si>
  <si>
    <t>משנה תורה &lt;מבואר&gt; - זרעים</t>
  </si>
  <si>
    <t>משנה תורה &lt;רמב"ם המאיר&gt; - דעות</t>
  </si>
  <si>
    <t>משה בן מימון (הרמב"ם)</t>
  </si>
  <si>
    <t>משנה תורה &lt;שם טוב&gt; - 8 כר'</t>
  </si>
  <si>
    <t>משה בן מימון (רמב"ם) - כסאר, חיים בן שמואל (מפרש)</t>
  </si>
  <si>
    <t>משנה תורה &lt;המבואר&gt; - 12 כר'</t>
  </si>
  <si>
    <t>משה בן מימון (רמב"ם) - צדוק, שלמה ב"ר שלום יעקב (מפרש)</t>
  </si>
  <si>
    <t>משנה תורה &lt;דפוס ר"מ בן שאלתיאל&gt;</t>
  </si>
  <si>
    <t>משנה תורה &lt;ונציה של"ד&gt; - 4 כר'</t>
  </si>
  <si>
    <t>של"ד - של"ו</t>
  </si>
  <si>
    <t>משנה תורה &lt;ונציה שע"ה&gt; מדע אהבה זמנים</t>
  </si>
  <si>
    <t>משנה תורה &lt;מהדורה חדשה&gt; - 15 כר'</t>
  </si>
  <si>
    <t>משנה תורה &lt;מהדורת ר"י קאפח&gt; - 25 כר'</t>
  </si>
  <si>
    <t>תשמ"ד - תשס"ז</t>
  </si>
  <si>
    <t>משנה תורה &lt;ספרד ר"מ&gt;</t>
  </si>
  <si>
    <t>ספרד Spain</t>
  </si>
  <si>
    <t>משנה תורה &lt;ע"פ מגדל עוז&gt; - 4 כר'</t>
  </si>
  <si>
    <t>משנה תורה &lt;עם פירוש תמציתי&gt; - מדע</t>
  </si>
  <si>
    <t>משנה תורה &lt;קושטא&gt; - 5 כר'</t>
  </si>
  <si>
    <t>משנה תורה &lt;קטע בודד מהלכות עבודה זרה&gt;</t>
  </si>
  <si>
    <t>משנה תורה &lt;ר"ש לוי&gt; - 3 כר'</t>
  </si>
  <si>
    <t>תרכ"ב - תרכ"ז</t>
  </si>
  <si>
    <t>משנה תורה &lt;רומי רל"ה&gt; - 2 כר'</t>
  </si>
  <si>
    <t>משנה תורה &lt;רמב"ם מדויק&gt; - 9 כר'</t>
  </si>
  <si>
    <t>משנה תורה &lt;שונצינו ר"נ&gt;</t>
  </si>
  <si>
    <t>משנה תורה &lt;שפת מלך&gt; - 6 כר'</t>
  </si>
  <si>
    <t>רמב"ם - קורח, שלמה בן יחיא</t>
  </si>
  <si>
    <t>משנה תורה להרמב"ם &lt;טקסט&gt;</t>
  </si>
  <si>
    <t>משנה תורה להרמב"ם הל' עבדים ע"פ יקר תפארת ומשפטי שמואל</t>
  </si>
  <si>
    <t>בן זמרא, דוד (הרדב"ז) - ורנר, שמואל ברוך בן חנוך הניך</t>
  </si>
  <si>
    <t>משנה תורה לרמב"ם &lt;דפוסי ספרד&gt;</t>
  </si>
  <si>
    <t>משנה תורה לרמב"ם -ביבליוגראפיה של הוצאות</t>
  </si>
  <si>
    <t>דינסטאג, ישראל יעקב</t>
  </si>
  <si>
    <t>משנה תורה - 20 כר'</t>
  </si>
  <si>
    <t>מפרשי היד החזקה</t>
  </si>
  <si>
    <t>משנה תורה - &lt;שולזינגר - ההוספות&gt; - נזיקין, קנין, משפטים, שופטים, פרקים מספר משנה תורה שנכתבו בעצם כתב יד קדשו של רבינו המחבר</t>
  </si>
  <si>
    <t>משה בן מימון (רמב"ם) -לוצקי, משה בן פנחס</t>
  </si>
  <si>
    <t>משנה תורה - 15 כר'</t>
  </si>
  <si>
    <t>משניות  שביעית עם דרך אמונה</t>
  </si>
  <si>
    <t>קנייבסקי, שמריהו יוסף חיים בן יעקב ישראל - איזאקוב, יעקב משה</t>
  </si>
  <si>
    <t>משניות &lt;קב ונקי - 4 כר'</t>
  </si>
  <si>
    <t>אלישע בר אברהם - ליפשיץ, ישראל בן גדליה</t>
  </si>
  <si>
    <t>משניות &lt;תוספת ומפתח&gt;</t>
  </si>
  <si>
    <t>בלכמן, שלום שרגא</t>
  </si>
  <si>
    <t>תשי"א - תשי"ז</t>
  </si>
  <si>
    <t>משניות &lt;כת"י קאופמן&gt; - 2 כר'</t>
  </si>
  <si>
    <t>בר, ג'ורג' - קאופמן, דוד</t>
  </si>
  <si>
    <t>Hague, The הג</t>
  </si>
  <si>
    <t>משניות &lt;כף נחת&gt; - 2 כר'</t>
  </si>
  <si>
    <t>גבאי, יצחק בן שלמה בן חיים</t>
  </si>
  <si>
    <t>משניות &lt;טהרת יום טוב&gt; - 20 כר'</t>
  </si>
  <si>
    <t>דייטש, חנניא יום טוב ליפא</t>
  </si>
  <si>
    <t>דרושים, הלכה ומנהג, משנה, שאלות ותשובות, שאר ספרי חז"ל, תנ"ך, תפלות בקשות פיוטים ושירה</t>
  </si>
  <si>
    <t>משניות &lt;עיר חדשה&gt; - זרעים א</t>
  </si>
  <si>
    <t>הכהן, יהודה בן שלמה</t>
  </si>
  <si>
    <t>משניות &lt;מנוקדות במסורת תימן&gt; - 6 כר'</t>
  </si>
  <si>
    <t>הלוי, שלום יצחק (מנקד)</t>
  </si>
  <si>
    <t>משניות &lt;פסקי משנה, מנחת יצחק, ליקוטי יצחק&gt; - 5 כר'</t>
  </si>
  <si>
    <t>משניות &lt;פסקי משנה, מנחת יצחק, ליקוטי יצחק&gt; - מועד</t>
  </si>
  <si>
    <t>ינובסקי, ישראל יצחק בן אליהו - זאלר, יצחק בן משה מנחם</t>
  </si>
  <si>
    <t>משניות &lt;לחם משנה  באר אברהם&gt; - זרעים , נשים</t>
  </si>
  <si>
    <t>ליסקר, אברהם בן חיים - ליפשיץ, משה בן נח יצחק</t>
  </si>
  <si>
    <t>משניות &lt;ע"פ באר אברהם&gt; - 2 כר'</t>
  </si>
  <si>
    <t>ליסקר, אברהם בן חיים</t>
  </si>
  <si>
    <t>משניות &lt;תפארת ישראל&gt; - 14 כר'</t>
  </si>
  <si>
    <t>ליפשיץ, ישראל בן גדליה</t>
  </si>
  <si>
    <t>משניות &lt;תפארת ישראל&gt; - 12 כר'</t>
  </si>
  <si>
    <t>תק"צ - תר"י</t>
  </si>
  <si>
    <t>משניות &lt;לעמבערג&gt; - 6 כר'</t>
  </si>
  <si>
    <t>משנה. למברג. תרל"ו</t>
  </si>
  <si>
    <t>משניות &lt;ע"פ כף נחת&gt;</t>
  </si>
  <si>
    <t>משנה. ת"ד. קושטא</t>
  </si>
  <si>
    <t>ת"ד-ת"ה</t>
  </si>
  <si>
    <t>משניות &lt;עם תוספות יום טוב&gt; - 4 כר'</t>
  </si>
  <si>
    <t>משנה. תמ"ה. אמשטרדם</t>
  </si>
  <si>
    <t>תמ"ה-תמ"ח</t>
  </si>
  <si>
    <t>משניות &lt;וילנא&gt; - 13 כר'</t>
  </si>
  <si>
    <t>משנה. תרפ"ט. וילנה</t>
  </si>
  <si>
    <t>משניות &lt;עם ביאורי המילים ופסק הלכה&gt;</t>
  </si>
  <si>
    <t>משניות</t>
  </si>
  <si>
    <t>רמ"ה בערך</t>
  </si>
  <si>
    <t>קושטא או פזרו</t>
  </si>
  <si>
    <t>משניות &lt;וילנא החדש&gt; - 13 כר'</t>
  </si>
  <si>
    <t>משניות. וילנא החדש.</t>
  </si>
  <si>
    <t>משניות &lt;מעשה ארג פני זקן עצי עדן&gt; - 6 כר'</t>
  </si>
  <si>
    <t>משניות &lt;ע"פ ביידיש&gt; - 6 כר'</t>
  </si>
  <si>
    <t>פיטרושקה, שמחה</t>
  </si>
  <si>
    <t>משניות &lt;קהלת יעקב&gt;</t>
  </si>
  <si>
    <t>קורנברג, יעקב</t>
  </si>
  <si>
    <t>משניות &lt;מלא כף נחת&gt; - 7 כר'</t>
  </si>
  <si>
    <t>שניאור פיבוש בן יעקב</t>
  </si>
  <si>
    <t>משניות &lt;דפוס קראקא&gt; - 6 כר'</t>
  </si>
  <si>
    <t>ששה סדרי משנה</t>
  </si>
  <si>
    <t>ת"ג - ת"ד</t>
  </si>
  <si>
    <t>משניות דעת אליהו - 3 כר'</t>
  </si>
  <si>
    <t>משניות זכר חנוך - 13 כר'</t>
  </si>
  <si>
    <t>משניות זכרון אבות</t>
  </si>
  <si>
    <t>משנה. תרצ"ז. גרוסורדין</t>
  </si>
  <si>
    <t>משניות זרע ישראל - זרעים</t>
  </si>
  <si>
    <t>משניות זרעים מועד נשים</t>
  </si>
  <si>
    <t>תט"ו - תי"ז</t>
  </si>
  <si>
    <t>משניות זרעים עם תוספות חכמים ומנחת יצחק</t>
  </si>
  <si>
    <t>משנה. תרפ"א. פיטרקוב</t>
  </si>
  <si>
    <t>משניות זרעים</t>
  </si>
  <si>
    <t>משניות טהרות &lt;לימודי דעת&gt; - 2 כר'</t>
  </si>
  <si>
    <t>משניות מוארות - 4 כר'</t>
  </si>
  <si>
    <t>קמחי, יעקב</t>
  </si>
  <si>
    <t>משניות מנוקדות - 3 כר'</t>
  </si>
  <si>
    <t>מכון טורי זהב</t>
  </si>
  <si>
    <t>משניות מסכת ברכות עם תרגום הולנדית ועם הערות</t>
  </si>
  <si>
    <t>טל, צדוק בן משה טוביה</t>
  </si>
  <si>
    <t>משניות מסכת הוריות</t>
  </si>
  <si>
    <t>שטולברג, אריה</t>
  </si>
  <si>
    <t>משניות מסכת מקואות &lt;מחנה אברהם&gt;</t>
  </si>
  <si>
    <t>אונגר, אברהם צבי</t>
  </si>
  <si>
    <t>משניות מסכת פסחים עם ליקוטים ופירושים</t>
  </si>
  <si>
    <t>מאונט קיסקא</t>
  </si>
  <si>
    <t>משניות מסכת שביעית &lt;דברי שיר - דברי הלכה&gt;</t>
  </si>
  <si>
    <t>רייכנברג, שאול יוסף</t>
  </si>
  <si>
    <t>משניות מתורגמים ומפורשים בלשון אשכנז - 2 כר'</t>
  </si>
  <si>
    <t>משניות נזיקין עם תוספות יום טוב</t>
  </si>
  <si>
    <t>משניות נשמת אדם ע"ט (ע"פ תפארת ציון וישראל)</t>
  </si>
  <si>
    <t>משניות סדר זרעים &lt;משנת חיים&gt;</t>
  </si>
  <si>
    <t>חיים זכריהו, מהרובושוב - יעקב מרדכי בן זכריהו</t>
  </si>
  <si>
    <t>אלעקסניץ</t>
  </si>
  <si>
    <t>משניות סדר טהרות עם הגהות כת"י ר' בצלאל אשכנזי על הרמב"ם והר"ש משאנץ</t>
  </si>
  <si>
    <t>משניות סדר טהרות עם הגהות כת"י ר' בצלאל אשכנזי על הרמב"ם והר"ש - מקואות</t>
  </si>
  <si>
    <t>משניות סדר מועד - הוספות וחידושים</t>
  </si>
  <si>
    <t>משניות ע"ב כליל תפארת ישראל - 3 כר'</t>
  </si>
  <si>
    <t>קלצקין, משה הלל</t>
  </si>
  <si>
    <t>משניות עם ביאור הצבי - מסכת ראש השנה</t>
  </si>
  <si>
    <t>טוקצינסקי, אברהם (מפרש)</t>
  </si>
  <si>
    <t>משניות עם ביאור ותרגום ללשון אשכנז - ב מועד</t>
  </si>
  <si>
    <t>משניות עם ביאור ותרגום ללשון אשכנז - ד נזיקין</t>
  </si>
  <si>
    <t>משניות עם ביאור ותרגום ללשון אשכנז - 2 כר'</t>
  </si>
  <si>
    <t>משניות עם ביאור ותרגום ללשון אשכנז - ה קדשים</t>
  </si>
  <si>
    <t>משניות עם ביאור ותרגום ללשון אשכנז - א זרעים</t>
  </si>
  <si>
    <t>משניות עם ביאור ותרגום ללשון אשכנז - ג נשים</t>
  </si>
  <si>
    <t>משניות עם ביאור מים טהורים - 4 כר'</t>
  </si>
  <si>
    <t>משניות עם ביאור ר"פ קהתי - 13 כר'</t>
  </si>
  <si>
    <t>קהתי, פנחס בן קהת</t>
  </si>
  <si>
    <t>משניות עם ביאורי הפוסקים - 3 כר'</t>
  </si>
  <si>
    <t>וייס, שמעון אהרן</t>
  </si>
  <si>
    <t>משניות עם ילקוט ביאורים - 6 כר'</t>
  </si>
  <si>
    <t>מפעל המשניות</t>
  </si>
  <si>
    <t>משניות עם עברי דייטש - 6 כר'</t>
  </si>
  <si>
    <t>יעבץ, יוסף מאיר (מפרש)</t>
  </si>
  <si>
    <t>משניות עם פירוש סיעתא דשמיא - 4 כר'</t>
  </si>
  <si>
    <t>משניות עם תרגום אנגלית - 3 כר'</t>
  </si>
  <si>
    <t>בלקמן, שלום שרגא</t>
  </si>
  <si>
    <t>משניות עץ החיים - 7 כר'</t>
  </si>
  <si>
    <t>חגיז, יעקב בן שמואל</t>
  </si>
  <si>
    <t>משניות קנים ע"פ הרשב"ץ</t>
  </si>
  <si>
    <t>משניות שביעית &lt;דרך אמונה&gt; - פירוש רבינו נתן אב הישיבה - שביעית</t>
  </si>
  <si>
    <t>משניות שינון המשנה</t>
  </si>
  <si>
    <t>וויסקופ, משה</t>
  </si>
  <si>
    <t>משניות תוספות יום טוב המבואר &lt;ששון יום טוב&gt; - 5 כר'</t>
  </si>
  <si>
    <t>הלר, גרשון שאול יום-טוב ליפמאן בן נתן הלוי -מנס, שמואל שמריהו הכהן</t>
  </si>
  <si>
    <t>משניות תמיד ומדות &lt;אדרת הקודש&gt;</t>
  </si>
  <si>
    <t>תרס"ה אחרי</t>
  </si>
  <si>
    <t>משניות - ברכות, פאה, דמאי</t>
  </si>
  <si>
    <t>הרצוג, יעקב דוד הלוי</t>
  </si>
  <si>
    <t>משניות - זרעים</t>
  </si>
  <si>
    <t>משנה. תרכ"ג. ברלין</t>
  </si>
  <si>
    <t>משנת אב - הוריות</t>
  </si>
  <si>
    <t>ברוורמן, אליעזר בן נתן</t>
  </si>
  <si>
    <t>משנת אברהם</t>
  </si>
  <si>
    <t>יפה, אברהם בן צבי</t>
  </si>
  <si>
    <t>דרושים, הלכה ומנהג, שלחן ערוך ומפרשיו, שלחן ערוך ומפרשיו</t>
  </si>
  <si>
    <t>משנת אברהם - 8 כר'</t>
  </si>
  <si>
    <t>סטוארט, אברהם בן משה הלוי</t>
  </si>
  <si>
    <t>משנת אברהם - 2 כר'</t>
  </si>
  <si>
    <t>תש"ד - תש"י</t>
  </si>
  <si>
    <t>משנת אהרן - בבא בתרא</t>
  </si>
  <si>
    <t>ישיבת פינסק קרלין</t>
  </si>
  <si>
    <t>משנת אהרן</t>
  </si>
  <si>
    <t>קובץ ישיבת משנת אהרן</t>
  </si>
  <si>
    <t>משנת איש</t>
  </si>
  <si>
    <t>אדרי, ישי בן יהודה</t>
  </si>
  <si>
    <t>משנת איש - חלה</t>
  </si>
  <si>
    <t>יעקבזון, אברהם ישעיהו בן טוביה</t>
  </si>
  <si>
    <t>משנת אליהו - 23 כר'</t>
  </si>
  <si>
    <t>משנת אליהו</t>
  </si>
  <si>
    <t>משנת אליהו - 2 כר'</t>
  </si>
  <si>
    <t>מישקובסקי, רפאל אליהו אליעזר בן חזקיהו יוסף</t>
  </si>
  <si>
    <t>משנת אליעזר - 2 כר'</t>
  </si>
  <si>
    <t>משנת אליעזר - 6 כר'</t>
  </si>
  <si>
    <t>עקשטיין, אליעזר שמעון</t>
  </si>
  <si>
    <t>שפירא, אליעזר בן בן-ציון הכהן</t>
  </si>
  <si>
    <t>תר"ף-תרפ"ב</t>
  </si>
  <si>
    <t>משנת אריה - 2 כר'</t>
  </si>
  <si>
    <t>יוכט, אריה לייב</t>
  </si>
  <si>
    <t>משנת אריה - 5 כר'</t>
  </si>
  <si>
    <t>לוין, אריה</t>
  </si>
  <si>
    <t>משנת בבא מציעא</t>
  </si>
  <si>
    <t>גרבוז, איתמר בן אברהם נח</t>
  </si>
  <si>
    <t>משנת בית אבא</t>
  </si>
  <si>
    <t>דייטש, יהודה יואל</t>
  </si>
  <si>
    <t>משנת בן פקועה</t>
  </si>
  <si>
    <t>קנפלמכר, מרדכי בן יוסף</t>
  </si>
  <si>
    <t>משנת בנימין</t>
  </si>
  <si>
    <t>משנת בר חיובא</t>
  </si>
  <si>
    <t>משנת ברוך - ברכות</t>
  </si>
  <si>
    <t>האס, ברוך בן יצחק דב</t>
  </si>
  <si>
    <t>משנת ברוך - 5 כר'</t>
  </si>
  <si>
    <t>משנת ברכה</t>
  </si>
  <si>
    <t>קסלר, יוסף בן מאיר</t>
  </si>
  <si>
    <t>משנת ברכות</t>
  </si>
  <si>
    <t>משנת דוד</t>
  </si>
  <si>
    <t>גלעדי, דוד בן ששון</t>
  </si>
  <si>
    <t>משנת דרבי אליעזר - חו"מ</t>
  </si>
  <si>
    <t>היילבוט, אלעזר לאזי בן יוסף</t>
  </si>
  <si>
    <t>משנת דרבי עקיבא - 3 כר'</t>
  </si>
  <si>
    <t>איגר, עקיבא בן שמחה בונם</t>
  </si>
  <si>
    <t>משנת האדם</t>
  </si>
  <si>
    <t>משנת האותיות</t>
  </si>
  <si>
    <t>וינד, אליעזר זאב בן ישעיהו</t>
  </si>
  <si>
    <t>משנת הבכורה</t>
  </si>
  <si>
    <t>ורנר, נתנאל</t>
  </si>
  <si>
    <t>משנת הברכה</t>
  </si>
  <si>
    <t>ויספיש, נחום מנשה</t>
  </si>
  <si>
    <t>משנת הגזילה</t>
  </si>
  <si>
    <t>כולל אברכים דחסידי סלונים - קרית גת</t>
  </si>
  <si>
    <t>משנת הגט</t>
  </si>
  <si>
    <t>אסיפת חיבורים בעניני גיטין</t>
  </si>
  <si>
    <t>משנת הגט - 2 כר'</t>
  </si>
  <si>
    <t>ברכה, אליהו בן דניאל</t>
  </si>
  <si>
    <t>משנת הגר</t>
  </si>
  <si>
    <t>קליין, משה בן מנשה</t>
  </si>
  <si>
    <t>משנת הדברי חיים</t>
  </si>
  <si>
    <t>היילפרין, יעקב מאיר שמחה (עורך)</t>
  </si>
  <si>
    <t>משנת הדעת</t>
  </si>
  <si>
    <t>משנת החזקה</t>
  </si>
  <si>
    <t>משנת החסידות - 10 כר'</t>
  </si>
  <si>
    <t>לוסטיגמן, אשר זעליג</t>
  </si>
  <si>
    <t>משנת היחוד</t>
  </si>
  <si>
    <t>משנת הישיבה - 2 כר'</t>
  </si>
  <si>
    <t>משנת הכתובה - ב</t>
  </si>
  <si>
    <t>משנת הכתובה - א</t>
  </si>
  <si>
    <t>קליין, משה, בן מנשה</t>
  </si>
  <si>
    <t>משנת הלוי - 2 כר'</t>
  </si>
  <si>
    <t>ולס, אהרון הלוי</t>
  </si>
  <si>
    <t>משנת הלוי - 5 כר'</t>
  </si>
  <si>
    <t>שארר, רפאל הלוי בן גדליה</t>
  </si>
  <si>
    <t>משנת המגיד מזלאטשוב - 2 כר'</t>
  </si>
  <si>
    <t>יחיאל מיכל, המגיד מזלאטשוב - הורוויץ, אליעזר עמנואל</t>
  </si>
  <si>
    <t>משנת המדות - א</t>
  </si>
  <si>
    <t>משנת המועדים - 7 כר'</t>
  </si>
  <si>
    <t>משנת המועדים - חנוכה</t>
  </si>
  <si>
    <t>משנת המיגו</t>
  </si>
  <si>
    <t>מושקוביץ, יואל</t>
  </si>
  <si>
    <t>משנת המלבן</t>
  </si>
  <si>
    <t>זיצמן, אברהם בן יחיאל מנחם</t>
  </si>
  <si>
    <t>משנת המלך - עבודה זרה</t>
  </si>
  <si>
    <t>משנת המנחה</t>
  </si>
  <si>
    <t>משנת המשפט - 3 כר'</t>
  </si>
  <si>
    <t>שווארץ, ישעיהו בן חיים יעקב</t>
  </si>
  <si>
    <t>משנת הנזיר</t>
  </si>
  <si>
    <t>ברנדוין, משה יו"ט בן יעקב מרדכי</t>
  </si>
  <si>
    <t>משנת הנחלות</t>
  </si>
  <si>
    <t>משנת הסופר - על קסת הסופר</t>
  </si>
  <si>
    <t>משנת העיבור</t>
  </si>
  <si>
    <t>משנת העתים</t>
  </si>
  <si>
    <t>משנת הצניעות</t>
  </si>
  <si>
    <t>משנת הרא"ש - 2 כר'</t>
  </si>
  <si>
    <t>אשר בן יחיאל (רא"ש) - כהן, ישעיה (עורך)</t>
  </si>
  <si>
    <t>משנת הרמ"ל</t>
  </si>
  <si>
    <t>משנת הש"ס</t>
  </si>
  <si>
    <t>וייץ, שאול חיים</t>
  </si>
  <si>
    <t>משנת השביעית</t>
  </si>
  <si>
    <t>משנת השבת - 3 כר'</t>
  </si>
  <si>
    <t>אפשטיין, אלעזר דוד - גרבוז איתמר</t>
  </si>
  <si>
    <t>משנת השבת - 2 כר'</t>
  </si>
  <si>
    <t>משנת השבת</t>
  </si>
  <si>
    <t>משנת השומרים</t>
  </si>
  <si>
    <t>משנת השכירות</t>
  </si>
  <si>
    <t>משנת השמטה</t>
  </si>
  <si>
    <t>משנת השמיטה</t>
  </si>
  <si>
    <t>פאללאק, שלום</t>
  </si>
  <si>
    <t>משנת התורה</t>
  </si>
  <si>
    <t>משנת התלמוד - 6 כר'</t>
  </si>
  <si>
    <t>וויספיש, נחום מנשה</t>
  </si>
  <si>
    <t>משנת ויכולו</t>
  </si>
  <si>
    <t>מילר, שלמה בן שרגא</t>
  </si>
  <si>
    <t>משנת זבחים</t>
  </si>
  <si>
    <t>משנת זכויות היוצר</t>
  </si>
  <si>
    <t>משנת זרעים - 4 כר'</t>
  </si>
  <si>
    <t>גליס, מרדכי עורך</t>
  </si>
  <si>
    <t>משנה, שאר ספרי חז"ל, תלמוד ירושלמי</t>
  </si>
  <si>
    <t>משנת זרעים - 3 כר'</t>
  </si>
  <si>
    <t>מכון משנת רבי אהרן</t>
  </si>
  <si>
    <t>משנת חולין</t>
  </si>
  <si>
    <t>רוטמן, נתן אהרן בן אברהם יוסף הלוי</t>
  </si>
  <si>
    <t>משנת חיי שעה</t>
  </si>
  <si>
    <t>לייזרזון, שמחה בונם בן אברהם יוסף</t>
  </si>
  <si>
    <t>משנת חיים &lt;על התורה&gt; - 5 כר'</t>
  </si>
  <si>
    <t>שטינברג, חיים מאיר יחיאל הלוי בן שרגא</t>
  </si>
  <si>
    <t>משנת חיים - 35 כר'</t>
  </si>
  <si>
    <t>משנת חכמים &lt;מהדורה חדשה&gt; - 2 כר'</t>
  </si>
  <si>
    <t>הורוויץ, משולם פייבוש הלוי</t>
  </si>
  <si>
    <t>משנת חכמים (יבין שמועה - צפנת פענח)</t>
  </si>
  <si>
    <t>הוכגלרנטר, יוסף בן יעקב יצחק</t>
  </si>
  <si>
    <t>משנת חכמים</t>
  </si>
  <si>
    <t>תק"נ - תקנ"ב</t>
  </si>
  <si>
    <t>משנת חכמים - 3 כר'</t>
  </si>
  <si>
    <t>משנת חכמים - 4 כר'</t>
  </si>
  <si>
    <t>משנת חכמים - א</t>
  </si>
  <si>
    <t>שפירא, אברהם אלימלך בן ישראל</t>
  </si>
  <si>
    <t>משנת חנוך</t>
  </si>
  <si>
    <t>משנת חנוכה</t>
  </si>
  <si>
    <t>משנת חסידים &lt;פרי הג"ן&gt;</t>
  </si>
  <si>
    <t>ריקי, רפאל עמנואל חי בן אברהם - גולן, ניר</t>
  </si>
  <si>
    <t>משנת חסידים &lt;טעם עצו&gt;</t>
  </si>
  <si>
    <t>משנת חסידים &lt;מגיד משנה&gt;</t>
  </si>
  <si>
    <t>משנת חסידים &lt;מגיד שני&gt;</t>
  </si>
  <si>
    <t>משנת חסידים &lt;עם הוספות מכת"י&gt;</t>
  </si>
  <si>
    <t>משנת חסידים - 2 כר'</t>
  </si>
  <si>
    <t>משנת חסידים</t>
  </si>
  <si>
    <t>תפילות. סידור. תקכ"ד. אמשטרדם</t>
  </si>
  <si>
    <t>תפילות. סידור. תקמ"ה. קורץ</t>
  </si>
  <si>
    <t>משנת חציצה</t>
  </si>
  <si>
    <t>משנת טהרה</t>
  </si>
  <si>
    <t>משנת טהרות - 10 כר'</t>
  </si>
  <si>
    <t>משנת טהרות</t>
  </si>
  <si>
    <t>משנת טהרות - 2 כר'</t>
  </si>
  <si>
    <t>משנת טוביה - 7 כר'</t>
  </si>
  <si>
    <t>משנת יבמות</t>
  </si>
  <si>
    <t>משנת יהודה - 2 כר'</t>
  </si>
  <si>
    <t>משנת יהודה</t>
  </si>
  <si>
    <t>מאלין, יוסף שרגא בן איסר יהודה</t>
  </si>
  <si>
    <t>משנת יהודה - שבת</t>
  </si>
  <si>
    <t>משנת יהושע - 9 כר'</t>
  </si>
  <si>
    <t>חילו, יהושע בן ציון</t>
  </si>
  <si>
    <t>משנת יואל ימי הנעורים</t>
  </si>
  <si>
    <t>שטינברג, יואל בן  חיים מאיר יחיאל הלוי</t>
  </si>
  <si>
    <t>משנת יום הכיפורים</t>
  </si>
  <si>
    <t>מכון חת"ם סופר</t>
  </si>
  <si>
    <t>משנת יום טוב</t>
  </si>
  <si>
    <t>משנת יום טוב - ביצה</t>
  </si>
  <si>
    <t>מוסקוביץ, ישראל שלמה - שפירא, נחום</t>
  </si>
  <si>
    <t>משנת יוסף &lt;אגדות הש"ס&gt; - 2 כר'</t>
  </si>
  <si>
    <t>משנת יוסף &lt;דרשות ומאמרים&gt; - 3 כר'</t>
  </si>
  <si>
    <t>משנת יוסף &lt;סוגיות הש"ס&gt; - 2 כר'</t>
  </si>
  <si>
    <t>משנת יוסף &lt;שו"ת&gt; - 14 כר'</t>
  </si>
  <si>
    <t>משנת יוסף - 30 כר'</t>
  </si>
  <si>
    <t>בן דוד, יהודה (עורך) -</t>
  </si>
  <si>
    <t>משנת יוסף - 5 כר'</t>
  </si>
  <si>
    <t>משנת יחזקאל</t>
  </si>
  <si>
    <t>חביב, ישראל בן יחזקאל</t>
  </si>
  <si>
    <t>משנת יחיאל - 6 כר'</t>
  </si>
  <si>
    <t>קלאזן, יחיאל בן שמעון</t>
  </si>
  <si>
    <t>משנת יעב"ץ</t>
  </si>
  <si>
    <t>נושאים שונים, שאלות ותשובות, שאר ספרי חז"ל</t>
  </si>
  <si>
    <t>משנת יעבץ - 4 כר'</t>
  </si>
  <si>
    <t>זולטי, יעקב בצלאל בן משה אריה</t>
  </si>
  <si>
    <t>תשי"ד - תשכ"ג</t>
  </si>
  <si>
    <t>משנת יעקב - 2 כר'</t>
  </si>
  <si>
    <t>ישראלי, יעקב בן גבריאל</t>
  </si>
  <si>
    <t>משנת יעקב - בבא קמא</t>
  </si>
  <si>
    <t>מרגליות, יעקב ישראל בן דוד מרדכי</t>
  </si>
  <si>
    <t>משנת יעקב - 15 כר'</t>
  </si>
  <si>
    <t>רוזנטל, יעקב ניסן בן אברהם דוד</t>
  </si>
  <si>
    <t>משנת יצחק - 5 כר'</t>
  </si>
  <si>
    <t>בלעדי, יצחק בן שלמה הלוי</t>
  </si>
  <si>
    <t>משנת יצחק</t>
  </si>
  <si>
    <t>הדר, יצחק</t>
  </si>
  <si>
    <t>וסרמן, רפאל יצחק בן נחמן</t>
  </si>
  <si>
    <t>משנת יקרה - 2 כר'</t>
  </si>
  <si>
    <t>שינדלר, רפאל בן לוי יצחק</t>
  </si>
  <si>
    <t>משנת ירושלים - 2 כר'</t>
  </si>
  <si>
    <t>משנת ירושלים</t>
  </si>
  <si>
    <t>שוויי, מנשה נתנאל בן דוד</t>
  </si>
  <si>
    <t>משנת ישעיהו</t>
  </si>
  <si>
    <t>משנת ישראל - 2 כר'</t>
  </si>
  <si>
    <t>בלומנפלד, מאיר</t>
  </si>
  <si>
    <t>משנת ישראל</t>
  </si>
  <si>
    <t>וינמן ,ישראל בן מנחם מנדל</t>
  </si>
  <si>
    <t>משנת כהן - 3 כר'</t>
  </si>
  <si>
    <t>כהן, אברהם ישעיהו בן שרגא פייוול</t>
  </si>
  <si>
    <t>משנת כהן - כיבוד אב ואם</t>
  </si>
  <si>
    <t>כהן, יוסף נסים בן יעקב ישעיהו</t>
  </si>
  <si>
    <t>משנת כולל הגר"א - ב</t>
  </si>
  <si>
    <t>כולל הגר"א</t>
  </si>
  <si>
    <t>משנת כתובות</t>
  </si>
  <si>
    <t>משנת לוי - תורה ומועדי השנה</t>
  </si>
  <si>
    <t>דיקער, לוי</t>
  </si>
  <si>
    <t>משנת מהר"ל</t>
  </si>
  <si>
    <t>רוזנברג, משולם זלמן</t>
  </si>
  <si>
    <t>משנת מוקצה</t>
  </si>
  <si>
    <t>רותן, צבי דב בן זאב</t>
  </si>
  <si>
    <t>משנת מרדכי</t>
  </si>
  <si>
    <t>אמסילי, מרדכי בן יהושע</t>
  </si>
  <si>
    <t>משנת משה - 10 כר'</t>
  </si>
  <si>
    <t>משנת משה - גרים, מזוזה</t>
  </si>
  <si>
    <t>דישון, שניאור זלמן</t>
  </si>
  <si>
    <t>משנת משה</t>
  </si>
  <si>
    <t>משנת נזיר</t>
  </si>
  <si>
    <t>משנת נחמיה - 2 כר'</t>
  </si>
  <si>
    <t>רוז'נסקי, נחמיה בן שמואל אליהו</t>
  </si>
  <si>
    <t>משנת סופר - שבועות</t>
  </si>
  <si>
    <t>סופר, זלמן דוד ישעיה בן יוחנן</t>
  </si>
  <si>
    <t>משנת סופר - א</t>
  </si>
  <si>
    <t>סופר, זלמן דוד ישעיה</t>
  </si>
  <si>
    <t>משנת סופרים &lt;עם ביאור באנגלית&gt;</t>
  </si>
  <si>
    <t>כהן, ישראל מאיר - ווגל, יונה נחום</t>
  </si>
  <si>
    <t>שראל</t>
  </si>
  <si>
    <t>משנת סופרים &lt;אותיות א ב&gt; עם משמרת סת"ם</t>
  </si>
  <si>
    <t>כהן, ישראל מאיר בן אריה זאב - מכון משמרת סת"ם</t>
  </si>
  <si>
    <t>משנת סופרים עם משמרת סת"ם</t>
  </si>
  <si>
    <t>משנת עזר - 2 כר'</t>
  </si>
  <si>
    <t>משנת פיקוח נפש</t>
  </si>
  <si>
    <t>לורינץ, יוסף אריה - שיין, שלמה יעקב - קנייבסקי, חיים</t>
  </si>
  <si>
    <t>משנת צדיק</t>
  </si>
  <si>
    <t>האגר, מנחם מנדל בן חיים</t>
  </si>
  <si>
    <t>משנת צדיקים</t>
  </si>
  <si>
    <t>קאהן, משה הלל</t>
  </si>
  <si>
    <t>משנת ציון - 3 כר'</t>
  </si>
  <si>
    <t>משנת קול אריה</t>
  </si>
  <si>
    <t>באקשט, אריה לייב</t>
  </si>
  <si>
    <t>משנת קידושין</t>
  </si>
  <si>
    <t>משנת ר' אליעזר - 2 כר'</t>
  </si>
  <si>
    <t>די טולידו, אליעזר בן חיים</t>
  </si>
  <si>
    <t>משנת ר' בנימין - 2 כר'</t>
  </si>
  <si>
    <t>רבינוביץ, בנימין בן יחיאל</t>
  </si>
  <si>
    <t>תרס"ה - תרע"ב</t>
  </si>
  <si>
    <t>משנת ר' עקיבה - א</t>
  </si>
  <si>
    <t>פרוש, עקיבא בן שלמה זלמן</t>
  </si>
  <si>
    <t>משנת רא"ם</t>
  </si>
  <si>
    <t>משנת ראב"י</t>
  </si>
  <si>
    <t>רבין, יהודה הכהן</t>
  </si>
  <si>
    <t>משנת ראשונים - 3 כר'</t>
  </si>
  <si>
    <t>בארי (קולודנר), ישראל הלוי</t>
  </si>
  <si>
    <t>משנת רבי אהרן &lt;מאמרים ושיחות מוסר&gt; - 4 כר'</t>
  </si>
  <si>
    <t>משנת רבי אהרן &lt;שו"ת&gt; - 2 כר'</t>
  </si>
  <si>
    <t>משנת רבי אהרן - 14 כר'</t>
  </si>
  <si>
    <t>תשמ"ו - תשנ"ט</t>
  </si>
  <si>
    <t>משנת רבי אליעזר &lt;מהדורה חדשה&gt;</t>
  </si>
  <si>
    <t>טרילנגר, אליעזר בן יוסף</t>
  </si>
  <si>
    <t>משנת רבי אליעזר &lt;משנה שלימה&gt;</t>
  </si>
  <si>
    <t>רבי אליעזר בנו של רבי יוסי הגלילי</t>
  </si>
  <si>
    <t>משנת רבי אליעזר בן יעקב</t>
  </si>
  <si>
    <t>אליעזר בן יעקב גרייבר</t>
  </si>
  <si>
    <t>משנת רבי אליעזר עם פרוש</t>
  </si>
  <si>
    <t>מדרש אגור</t>
  </si>
  <si>
    <t>משנת רבי אליעזר</t>
  </si>
  <si>
    <t>אלנדאף, רפאל ברוך</t>
  </si>
  <si>
    <t>עפשטיין, אליעזר יהושע הלוי</t>
  </si>
  <si>
    <t>משנת רבי אלעזר</t>
  </si>
  <si>
    <t>ברכהן, אלעזר בן דובר יהודה ליב הכהן</t>
  </si>
  <si>
    <t>משנת רבי גרשון</t>
  </si>
  <si>
    <t>לפידות, גרשון</t>
  </si>
  <si>
    <t>משנת רבי חיים - ב"ק</t>
  </si>
  <si>
    <t>לאער, חיים</t>
  </si>
  <si>
    <t>משנת רבי יעקב - 2 כר'</t>
  </si>
  <si>
    <t>משנת רבי נתן &lt;מהדורה חדשה&gt;</t>
  </si>
  <si>
    <t>אדלר, נתן בן יעקב שמעון הכהן</t>
  </si>
  <si>
    <t>משנת רבי נתן</t>
  </si>
  <si>
    <t>משנת רבינו יוסף הרוגאצ'ובי</t>
  </si>
  <si>
    <t>משנת רבינו עקיבא איגר &lt;האיר יוסף&gt; - 8 כר'</t>
  </si>
  <si>
    <t>איגר, עקיבא בן משה - לורינץ אריה בן שלמה זלמן</t>
  </si>
  <si>
    <t>משנת רמ"א - מקוואות</t>
  </si>
  <si>
    <t>משנה, שאלות ותשובות, שלחן ערוך ומפרשיו</t>
  </si>
  <si>
    <t>משנת שביעית</t>
  </si>
  <si>
    <t>משנת שבתון</t>
  </si>
  <si>
    <t>משנת שהייה והטמנה</t>
  </si>
  <si>
    <t>משנת שלוח הקן (האיר יוסף)</t>
  </si>
  <si>
    <t>לורינץ, יוסף אריה בן שלמה זלמן</t>
  </si>
  <si>
    <t>משנת שלום - 7 כר'</t>
  </si>
  <si>
    <t>גוטליב, שלום מנשה בן צבי יהודה</t>
  </si>
  <si>
    <t>משנת שלום</t>
  </si>
  <si>
    <t>פאללק, שלום</t>
  </si>
  <si>
    <t>משנת שלמה</t>
  </si>
  <si>
    <t>משנת שלמה - 2 כר'</t>
  </si>
  <si>
    <t>רביבו, שלמה בן דוד</t>
  </si>
  <si>
    <t>משנת שלמה - 3 כר'</t>
  </si>
  <si>
    <t>שלוש, שלמה בן אברהם</t>
  </si>
  <si>
    <t>משנת שמואל - 2 כר'</t>
  </si>
  <si>
    <t>ברוק, שמואל בן אליהו יצחק מנחם</t>
  </si>
  <si>
    <t>משנת שמחה</t>
  </si>
  <si>
    <t>ורנר, שמחה בונם בן אשר זאב</t>
  </si>
  <si>
    <t>משנת שפת אמת</t>
  </si>
  <si>
    <t>הרצוג, לוי יצחק</t>
  </si>
  <si>
    <t>משנת תורה - 3 כר'</t>
  </si>
  <si>
    <t>משנת תמורה</t>
  </si>
  <si>
    <t>משנת תנאים &lt;משנה ותוספתא&gt; - 6 כר'</t>
  </si>
  <si>
    <t>משנת תשביתו</t>
  </si>
  <si>
    <t>אדלר, שאול בן קלמן</t>
  </si>
  <si>
    <t>משנתה של אגודת ישראל</t>
  </si>
  <si>
    <t>משנתו של הגאון רבי עקיבא איגר ב"גליון הש"ס"</t>
  </si>
  <si>
    <t>משנתו של רבי עמרם</t>
  </si>
  <si>
    <t>משנתם סדורה - 4 כר'</t>
  </si>
  <si>
    <t>הנדל, שלמה זושא הכהן</t>
  </si>
  <si>
    <t>משעבוד לגאולה מפסח עד שבועות</t>
  </si>
  <si>
    <t>משעול הכרמים</t>
  </si>
  <si>
    <t>מיימון, משה</t>
  </si>
  <si>
    <t>משעול יעקב</t>
  </si>
  <si>
    <t>עגמי, יעקב לוי</t>
  </si>
  <si>
    <t>משעורי הגרי"ד - זבחים</t>
  </si>
  <si>
    <t>סאלאוויציק, יוסף דב בן יצחק זאב</t>
  </si>
  <si>
    <t>משעורי רבינו &lt;שעור דעת&gt; - 5 כר'</t>
  </si>
  <si>
    <t>בלוך, יוסף יהודה ליב בן מרדכי</t>
  </si>
  <si>
    <t>טלז Telsiai</t>
  </si>
  <si>
    <t>משעורי רבינו &lt;שעור הלכה&gt; - 2 כר'</t>
  </si>
  <si>
    <t>תרצ"ב - תש"ג</t>
  </si>
  <si>
    <t>משען המים - 2 כר'</t>
  </si>
  <si>
    <t>הכהן, משולם זלמן בן שלמה</t>
  </si>
  <si>
    <t>משען מים</t>
  </si>
  <si>
    <t>משפחות יואל - אדלר - קרליבך</t>
  </si>
  <si>
    <t>יוצא לאור ע"י המשפחות</t>
  </si>
  <si>
    <t>משפחות סופרים</t>
  </si>
  <si>
    <t>אלבק, שלום בן יחזקאל</t>
  </si>
  <si>
    <t>משפחות עתיקות בישראל</t>
  </si>
  <si>
    <t>שפירא, יעקב לייב בן יצחק דוד</t>
  </si>
  <si>
    <t>משפחות ק"ק פראג</t>
  </si>
  <si>
    <t>הוק, סיני בן הרמאן</t>
  </si>
  <si>
    <t>משפחת אויערבך - 2 כר'</t>
  </si>
  <si>
    <t>אויערבך, שמואל בן משה</t>
  </si>
  <si>
    <t>משפחת אלישר בתוככי ירושלים</t>
  </si>
  <si>
    <t>אפרתי, נתן</t>
  </si>
  <si>
    <t>משפחת במברגר</t>
  </si>
  <si>
    <t>ספר משפחה</t>
  </si>
  <si>
    <t>משפחת ברודא</t>
  </si>
  <si>
    <t>ברודא, עזריאל מאיר בן שמחה</t>
  </si>
  <si>
    <t>משפחת הרבנים אדלר</t>
  </si>
  <si>
    <t>אדלר, מרדכי בן נתן</t>
  </si>
  <si>
    <t>משפחת השמעוני</t>
  </si>
  <si>
    <t>גרינפלד, ישכר בעריש - הירשלער, שמעון</t>
  </si>
  <si>
    <t>משפחת חבשוש - א</t>
  </si>
  <si>
    <t>חבשוש, יחיאל בן אהרן</t>
  </si>
  <si>
    <t>משפחת לוריא</t>
  </si>
  <si>
    <t>משפחת סופרים</t>
  </si>
  <si>
    <t>סופר, אברהם יעקב בן ישראל מרדכי אפרים</t>
  </si>
  <si>
    <t>רוזנפלד, שמואל בן בנימין וולף</t>
  </si>
  <si>
    <t>משפחת פצ'יפיצ'י</t>
  </si>
  <si>
    <t>משפחת קובו רבניה וגביריה</t>
  </si>
  <si>
    <t>קובו, אליעזר בבו</t>
  </si>
  <si>
    <t>משפחת קוטק</t>
  </si>
  <si>
    <t>משפחת רוזנבלט</t>
  </si>
  <si>
    <t>רוזנבלט, נתנאל יהודה</t>
  </si>
  <si>
    <t>משפט אהרן</t>
  </si>
  <si>
    <t>כץ, אהרן</t>
  </si>
  <si>
    <t>משפט אונאה</t>
  </si>
  <si>
    <t>מרגלית, משה בן ישראל</t>
  </si>
  <si>
    <t>משפט אמת</t>
  </si>
  <si>
    <t>דה מיליו, משה בן מיכאל</t>
  </si>
  <si>
    <t>שרעבי, זכריה יחיאל אביגד בן אבוסעוד</t>
  </si>
  <si>
    <t>משפט ברור</t>
  </si>
  <si>
    <t>כולל דרכי התורה</t>
  </si>
  <si>
    <t>משפט גרים - 2 כר'</t>
  </si>
  <si>
    <t>בלמס, שמואל בן אליהו</t>
  </si>
  <si>
    <t>משפט האבידה - חו"מ רנט - רעא</t>
  </si>
  <si>
    <t>משפט האומנים</t>
  </si>
  <si>
    <t>קסלר, אברהם בן מאיר</t>
  </si>
  <si>
    <t>משפט האורים</t>
  </si>
  <si>
    <t>משפט הארץ</t>
  </si>
  <si>
    <t>רוט, יחזקאל בן יצחק אייזיק</t>
  </si>
  <si>
    <t>הלכה ומנהג, הלכה ומנהג, שלחן ערוך ומפרשיו, שלחן ערוך ומפרשיו</t>
  </si>
  <si>
    <t>משפט הבחירה</t>
  </si>
  <si>
    <t>בראדי, חיים</t>
  </si>
  <si>
    <t>פראגא</t>
  </si>
  <si>
    <t>משפט הברכות - ב</t>
  </si>
  <si>
    <t>וידר, אהרן</t>
  </si>
  <si>
    <t>משפט הגט - 3 כר'</t>
  </si>
  <si>
    <t>משפט החוב - מילי דגזילה</t>
  </si>
  <si>
    <t>אטינגר, ברוך מרדכי בן דב</t>
  </si>
  <si>
    <t>משפט החושן בימינו - א</t>
  </si>
  <si>
    <t>משפט החושן</t>
  </si>
  <si>
    <t>בארי, שלמה</t>
  </si>
  <si>
    <t>משפט החושן - טוען ונטען פ"ב-צ"ב</t>
  </si>
  <si>
    <t>בית ההוראה משפט החושן</t>
  </si>
  <si>
    <t>משפט החושן - ג</t>
  </si>
  <si>
    <t>ריבלין, גדעון בן יצחק - אליה, משה דוד בן אשר</t>
  </si>
  <si>
    <t>משפט החושן - 2 כר'</t>
  </si>
  <si>
    <t>ריבלין, גדעון בן יצחק</t>
  </si>
  <si>
    <t>משפט החושן - 3 כר'</t>
  </si>
  <si>
    <t>משפט הטענה</t>
  </si>
  <si>
    <t>משפט היחוד</t>
  </si>
  <si>
    <t>משפט הירושה</t>
  </si>
  <si>
    <t>משפט הכהנים</t>
  </si>
  <si>
    <t>מכון איגוד הכהנים</t>
  </si>
  <si>
    <t>משפט הכותל</t>
  </si>
  <si>
    <t>טריוואקס, אברהם יצחק בן גבריאל</t>
  </si>
  <si>
    <t>משפט הכתובה - 8 כר'</t>
  </si>
  <si>
    <t>בר שלום, אליהו חיים בן יוסף</t>
  </si>
  <si>
    <t>משפט הלילה</t>
  </si>
  <si>
    <t>ישיבת ברית יעקב</t>
  </si>
  <si>
    <t>משפט המזיק - 2 כר'</t>
  </si>
  <si>
    <t>בריזל, דוד בן יוחנן</t>
  </si>
  <si>
    <t>משפט המלוכה בישראל (מה' שניה מורחבת)</t>
  </si>
  <si>
    <t>משפט המלוכה</t>
  </si>
  <si>
    <t>משפט המלך</t>
  </si>
  <si>
    <t>פינטו, יוסף בן חיים</t>
  </si>
  <si>
    <t>משפט המלכים בתנ"ך</t>
  </si>
  <si>
    <t>משפט המציאה</t>
  </si>
  <si>
    <t>לוי, יונתן בן יעקב</t>
  </si>
  <si>
    <t>משפט המצרנות</t>
  </si>
  <si>
    <t>כולל חושן משפט קרלין סטולין - מודיעין עילית</t>
  </si>
  <si>
    <t>משפט הנזיר</t>
  </si>
  <si>
    <t>ריסנר, יעקב</t>
  </si>
  <si>
    <t>משפט העדות</t>
  </si>
  <si>
    <t>שטיינמץ, פרץ טוביה בן יוסף יוזפא צבי</t>
  </si>
  <si>
    <t>משפט הערב</t>
  </si>
  <si>
    <t>דישון, צבי הירש חיים בן שמואל</t>
  </si>
  <si>
    <t>משפט הפועלים</t>
  </si>
  <si>
    <t>רוזנר, יוסף בן יהודה אריה</t>
  </si>
  <si>
    <t>משפט הצוואה &lt;צוואות וירושות&gt; - 2 כר'</t>
  </si>
  <si>
    <t>שוארץ, מתתיהו בן שמעון</t>
  </si>
  <si>
    <t>משפט הצנועין</t>
  </si>
  <si>
    <t>קובץ ישיבת כוכב מיעקב</t>
  </si>
  <si>
    <t>משפט הקורא</t>
  </si>
  <si>
    <t>ספקטר, לוי בן אליעזר מנחם</t>
  </si>
  <si>
    <t>משפט הקרבנות - 2 כר'</t>
  </si>
  <si>
    <t>משפט הרבית</t>
  </si>
  <si>
    <t>משפט הרוב</t>
  </si>
  <si>
    <t>קמניץ, יהודה בן יצחק</t>
  </si>
  <si>
    <t>משפט השבועה</t>
  </si>
  <si>
    <t>משפט השכנים</t>
  </si>
  <si>
    <t>משפט השלום - בין שלום לגירושין</t>
  </si>
  <si>
    <t>משפט התוספות</t>
  </si>
  <si>
    <t>בלומנטל, ד.</t>
  </si>
  <si>
    <t>משפט התרועה</t>
  </si>
  <si>
    <t>משפט וצדק</t>
  </si>
  <si>
    <t>משפט וצדקה ביעקב - 2 כר'</t>
  </si>
  <si>
    <t>אבן-צור, יעקב בן ראובן (יעב"ץ)</t>
  </si>
  <si>
    <t>משפט וצדקה - 2 כר'</t>
  </si>
  <si>
    <t>משפט יהודה - 3 כר'</t>
  </si>
  <si>
    <t>וויס, זאב יהודה</t>
  </si>
  <si>
    <t>משפט ירושת משרה</t>
  </si>
  <si>
    <t>משפט ישועות</t>
  </si>
  <si>
    <t>ברויאר, אברהם בן שלמה</t>
  </si>
  <si>
    <t>משפט כהלכה - 2 כר'</t>
  </si>
  <si>
    <t>קליין, שמחה יונה</t>
  </si>
  <si>
    <t>משפט כתוב</t>
  </si>
  <si>
    <t>גרוסמן, יששכר דוב</t>
  </si>
  <si>
    <t>משפט ליעקב - ב</t>
  </si>
  <si>
    <t>אוטולינגי, משה יעקב בן דוד</t>
  </si>
  <si>
    <t>תרנ"ב-תרנ"ה</t>
  </si>
  <si>
    <t>משפט ליעקב</t>
  </si>
  <si>
    <t>משפט לעשוקים</t>
  </si>
  <si>
    <t>סנג'ורג'-ביי. קהילה</t>
  </si>
  <si>
    <t>גרלה Gherla</t>
  </si>
  <si>
    <t>משפט מחוקק</t>
  </si>
  <si>
    <t>רוהאטין, שרגא פייבל בן אליעזר</t>
  </si>
  <si>
    <t>משפט עם הארץ</t>
  </si>
  <si>
    <t>משפט ערוך - 6 כר'</t>
  </si>
  <si>
    <t>משפט צדק &lt;מהדורה חדשה&gt;</t>
  </si>
  <si>
    <t>משה בן גרשון מזאלשין</t>
  </si>
  <si>
    <t>משפט צדק</t>
  </si>
  <si>
    <t>גולדשטיין, זאב - גאלדפיין משה</t>
  </si>
  <si>
    <t>משפט צדק - 5 כר'</t>
  </si>
  <si>
    <t>מלמד, מאיר בן שם טוב</t>
  </si>
  <si>
    <t>שע"ה - תקנ"ה</t>
  </si>
  <si>
    <t>קוטנא, משה יהודה ליב בן אהרן</t>
  </si>
  <si>
    <t>משפט קלב"ם</t>
  </si>
  <si>
    <t>ישיבת כוכב מיעקב - טשעבין</t>
  </si>
  <si>
    <t>משפט שי</t>
  </si>
  <si>
    <t>בריסק, שמואל יהודה</t>
  </si>
  <si>
    <t>משפט שלום</t>
  </si>
  <si>
    <t>משפט שלמה - 2 כר'</t>
  </si>
  <si>
    <t>אלבוים, שלמה בן יוסף יצחק</t>
  </si>
  <si>
    <t>משפט שלמה - 4 כר'</t>
  </si>
  <si>
    <t>משפטי אביעזרי</t>
  </si>
  <si>
    <t>אויערבך, אביעזרי זליג בן צבי</t>
  </si>
  <si>
    <t>משפטי אברהם</t>
  </si>
  <si>
    <t>זרביב, אברהם דב</t>
  </si>
  <si>
    <t>משפטי אהרן</t>
  </si>
  <si>
    <t>אקר, אהרן</t>
  </si>
  <si>
    <t>משפטי אישות</t>
  </si>
  <si>
    <t>רודנר, אברהם עקיבא בן משה פישל</t>
  </si>
  <si>
    <t>משפטי אליהו - 3 כר'</t>
  </si>
  <si>
    <t>משפטי אלימלך - 7 כר'</t>
  </si>
  <si>
    <t>וינברג, אלימלך בן נח</t>
  </si>
  <si>
    <t>משפטי אמת</t>
  </si>
  <si>
    <t>משפטי אמת - 2 כר'</t>
  </si>
  <si>
    <t>משפטי אמת - 4 כר'</t>
  </si>
  <si>
    <t>שרעבי, זכריה יחיא בן אביגד</t>
  </si>
  <si>
    <t>משפטי בני אדם - 5 כר'</t>
  </si>
  <si>
    <t>משפטי ה'</t>
  </si>
  <si>
    <t>אבן-לחמיש, שלמה - בויארסקי, גרשון מאיר</t>
  </si>
  <si>
    <t>משפטי ה' - ב</t>
  </si>
  <si>
    <t>קובץ הלכתי לדיני ממונות</t>
  </si>
  <si>
    <t>משפטי הבשן - 4 כר'</t>
  </si>
  <si>
    <t>בן שמעון, נסים בן מנצור</t>
  </si>
  <si>
    <t>משפטי הדעת</t>
  </si>
  <si>
    <t>פרבשטיין, משה מרדכי</t>
  </si>
  <si>
    <t>משפטי החושן - 2 כר'</t>
  </si>
  <si>
    <t>בית ההוראה "הישר והטוב"</t>
  </si>
  <si>
    <t>משפטי החן</t>
  </si>
  <si>
    <t>משפטי החרם והנדוי והנזיפה</t>
  </si>
  <si>
    <t>משפטי הטעמים</t>
  </si>
  <si>
    <t>משפטי הכוכבים - ספר המאורות</t>
  </si>
  <si>
    <t>משפטי הכתובה</t>
  </si>
  <si>
    <t>הלוי, אליעזר בן יואל</t>
  </si>
  <si>
    <t>משפטי הלוי - 7 כר'</t>
  </si>
  <si>
    <t>הלוי, הלל יצחק</t>
  </si>
  <si>
    <t>משפטי הלשון העברית</t>
  </si>
  <si>
    <t>משפטי המיגו</t>
  </si>
  <si>
    <t>לויפר, עודד ליפא</t>
  </si>
  <si>
    <t>משפטי המלך - ברית מילה</t>
  </si>
  <si>
    <t>סאראקע, אברהם דן הלוי בן מרדכי ברוך</t>
  </si>
  <si>
    <t>משפטי הממון - 4 כר'</t>
  </si>
  <si>
    <t>משפטי הנישואין</t>
  </si>
  <si>
    <t>משפטי השכנים</t>
  </si>
  <si>
    <t>משפטי השלום</t>
  </si>
  <si>
    <t>משפטי השליחות</t>
  </si>
  <si>
    <t>משפטי השם - 5 כר'</t>
  </si>
  <si>
    <t>קרפף, משה</t>
  </si>
  <si>
    <t>משפטי התורה - 6 כר'</t>
  </si>
  <si>
    <t>משפטי התורה, נבואה ונביא</t>
  </si>
  <si>
    <t>משפטי התנאים</t>
  </si>
  <si>
    <t>משפטי חיים - 2 כר'</t>
  </si>
  <si>
    <t>משפטי חיים - סנהדרין</t>
  </si>
  <si>
    <t>משפטי יוסף - א</t>
  </si>
  <si>
    <t>משפטי יעקב - 2 כר'</t>
  </si>
  <si>
    <t>קסטין, יעקב אריה ליב בן דן זליג</t>
  </si>
  <si>
    <t>משפטי יעקב</t>
  </si>
  <si>
    <t>משפטי ישראל</t>
  </si>
  <si>
    <t>הועד העולמי ליוחסין משפטי ישראל</t>
  </si>
  <si>
    <t>שטרית, צוריאל בן אליהו</t>
  </si>
  <si>
    <t>משפטי מלוכה</t>
  </si>
  <si>
    <t>בנבנישתי, יגאל בן יהודה</t>
  </si>
  <si>
    <t>משפטי עזיאל תנינא - א (או"ח)</t>
  </si>
  <si>
    <t>תש"ז - תשכ"ד</t>
  </si>
  <si>
    <t>משפטי עזיאל - 14 כר'</t>
  </si>
  <si>
    <t>משפטי צדק - 2 כר'</t>
  </si>
  <si>
    <t>משפטי צדקך - 2 כר'</t>
  </si>
  <si>
    <t>גרוסברג, אהרן חיים בן יחיאל גרשון</t>
  </si>
  <si>
    <t>משפטי רבית</t>
  </si>
  <si>
    <t>משפטי רבית - 2 כר'</t>
  </si>
  <si>
    <t>מזוז, אפרים זאב בן שמואל</t>
  </si>
  <si>
    <t>משפטי שאול</t>
  </si>
  <si>
    <t>משפטי שבועות &lt;שמועות חיים&gt;</t>
  </si>
  <si>
    <t>האיי בן שרירא גאון - יוז'וק, חיים בן שמעון אריה</t>
  </si>
  <si>
    <t>משפטי שבועות &lt;מהדורת דומב&gt;</t>
  </si>
  <si>
    <t>משפטי שבועות - 5 כר'</t>
  </si>
  <si>
    <t>משפטי שלמה - 2 כר'</t>
  </si>
  <si>
    <t>משפטי שמואל - זרעים</t>
  </si>
  <si>
    <t>הכהן, שמואל בן אברהם</t>
  </si>
  <si>
    <t>משפטי שמואל</t>
  </si>
  <si>
    <t>ורנר, שמואל ברוך בן חנוך הניך</t>
  </si>
  <si>
    <t>קלעי, שמואל בן משה</t>
  </si>
  <si>
    <t>משפטי שמואל - 2 כר'</t>
  </si>
  <si>
    <t>משפטי שמעון - 4 כר'</t>
  </si>
  <si>
    <t>משפטי תעשו</t>
  </si>
  <si>
    <t>משפטי תשמורו</t>
  </si>
  <si>
    <t>משפטיו לישראל</t>
  </si>
  <si>
    <t>מארבורגר, ארי שמעון</t>
  </si>
  <si>
    <t>משפטיך ליעקב - 10 כר'</t>
  </si>
  <si>
    <t>משפטיך ליעקב</t>
  </si>
  <si>
    <t>קובץ - כולל זכרון שמואל</t>
  </si>
  <si>
    <t>משפטיך שויתי - 3 כר'</t>
  </si>
  <si>
    <t>משפטים דד' מזיקים - קונטרס הגניבה והגזילה</t>
  </si>
  <si>
    <t>קליימן, שניאור זלמן</t>
  </si>
  <si>
    <t>משפטים ישרים</t>
  </si>
  <si>
    <t>בן חסון, שלמה - גאון, שמואל</t>
  </si>
  <si>
    <t>משפטים צדיקים - 2 כר'</t>
  </si>
  <si>
    <t>משק ביתי</t>
  </si>
  <si>
    <t>קריספין, שמואל בן יהושע אברהם</t>
  </si>
  <si>
    <t>תקצ"ג - תקצ"ו</t>
  </si>
  <si>
    <t>משקה הרים - מועד</t>
  </si>
  <si>
    <t>משקה ישראל</t>
  </si>
  <si>
    <t>משקיעים כהלכה</t>
  </si>
  <si>
    <t>זלכה, ינון</t>
  </si>
  <si>
    <t>משרא קטרין - 2 כר'</t>
  </si>
  <si>
    <t>אברהם בן אליעזר הלוי (הזקן)</t>
  </si>
  <si>
    <t>משרת משה</t>
  </si>
  <si>
    <t>נבר, שמחה שמואל</t>
  </si>
  <si>
    <t>משתה יין - 3 כר'</t>
  </si>
  <si>
    <t>קאצנלנבוגן, מאיר בן חיים</t>
  </si>
  <si>
    <t>מת לחיות</t>
  </si>
  <si>
    <t>משולמי, כתריאל בן שמעון</t>
  </si>
  <si>
    <t>מתא דירושלים</t>
  </si>
  <si>
    <t>נושאים שונים, תלמוד ירושלמי, תלמוד ירושלמי</t>
  </si>
  <si>
    <t>מתוך האהל - 2 כר'</t>
  </si>
  <si>
    <t>כולל אהל חיים משה</t>
  </si>
  <si>
    <t>מתוך האהל</t>
  </si>
  <si>
    <t>סיביליה, יהושע בן יעקב</t>
  </si>
  <si>
    <t>קהילת אהלי יוסף בית שמש</t>
  </si>
  <si>
    <t>מתוך האש - שואתה של יהדות ראדין</t>
  </si>
  <si>
    <t>שלוסברג הרשקוביץ, אהובה ליבה</t>
  </si>
  <si>
    <t>מתוך ההפיכה</t>
  </si>
  <si>
    <t>שטיינר, פועה בת שלמה זלמן</t>
  </si>
  <si>
    <t>מתוך העמק</t>
  </si>
  <si>
    <t>מתוך הפרשה</t>
  </si>
  <si>
    <t>מתוספות הרשב"ם לרי"ף</t>
  </si>
  <si>
    <t>מתוק לחכי</t>
  </si>
  <si>
    <t>מתוק לנפש ומרפא לעצם - 3 כר'</t>
  </si>
  <si>
    <t>מתוק לנפש</t>
  </si>
  <si>
    <t>זכות, אברהם בן שמואל. מיוחס לו</t>
  </si>
  <si>
    <t>מתוק לנפש - 2 כר'</t>
  </si>
  <si>
    <t>מתוק מדבש - 2 כר'</t>
  </si>
  <si>
    <t>מתוק מדבש - מתוק לחכי</t>
  </si>
  <si>
    <t>מאזוז, מעתוק</t>
  </si>
  <si>
    <t>מתוק מדבש - ג</t>
  </si>
  <si>
    <t>מייזליש, דוד דב בעריש בן שלמה זלמן</t>
  </si>
  <si>
    <t>מתוק מדבש - 3 כר'</t>
  </si>
  <si>
    <t>Washington D. C. ושי</t>
  </si>
  <si>
    <t>מתוק מדבש</t>
  </si>
  <si>
    <t>מתוק מדבש, טוב ירושלים</t>
  </si>
  <si>
    <t>מתוקים מדבש</t>
  </si>
  <si>
    <t>מתוקים מדבש - 2 כר'</t>
  </si>
  <si>
    <t>דרושים, נושאים שונים, קבצים וכתבי עת, ספרי זכרון ויובל, תנ"ך</t>
  </si>
  <si>
    <t>פלעש, משה דוד בן שמואל</t>
  </si>
  <si>
    <t>מתוקים מדבש - נדה</t>
  </si>
  <si>
    <t>קובץ חידושי תורה כולל מן התורה</t>
  </si>
  <si>
    <t>קרדש, דוד אברהם בן דניאל</t>
  </si>
  <si>
    <t>מתורגמן</t>
  </si>
  <si>
    <t>Isny איזני</t>
  </si>
  <si>
    <t>מתורת הלומדים</t>
  </si>
  <si>
    <t>ישיבת בן הזמנים לוד</t>
  </si>
  <si>
    <t>מתורת הלשון והשירה בימי הביניים</t>
  </si>
  <si>
    <t>אלוני, נחמיה בן נפתלי הירץ</t>
  </si>
  <si>
    <t>מתורת חג האסיף</t>
  </si>
  <si>
    <t>גוטמן, אריה יהודה בן חיים צבי</t>
  </si>
  <si>
    <t>מתורת ימי הפורים</t>
  </si>
  <si>
    <t>מתורת צבי יוסף</t>
  </si>
  <si>
    <t>מתורת רבינו</t>
  </si>
  <si>
    <t>מתורת שמחה</t>
  </si>
  <si>
    <t>קפלן, אברהם שמחה בן נתנאל דוד</t>
  </si>
  <si>
    <t>מתורתו של רבי פנחס</t>
  </si>
  <si>
    <t>אפשטיין, פנחס</t>
  </si>
  <si>
    <t>מתורתו של רבינו - 4 כר'</t>
  </si>
  <si>
    <t>מתורתו של רש"י - 4 כר'</t>
  </si>
  <si>
    <t>מרקוביץ, יצחק בן יעקב מרדכי</t>
  </si>
  <si>
    <t>מתורתם של חכמי פרובאנס וספרד</t>
  </si>
  <si>
    <t>שעוועל, חיים דוב - הורביץ, אלעזר</t>
  </si>
  <si>
    <t>מתורתם של ראשונים</t>
  </si>
  <si>
    <t>מתורתן של ראשונים</t>
  </si>
  <si>
    <t>מתחזקים בתורה - 10 כר'</t>
  </si>
  <si>
    <t>אסופת חידו"ת מתורתם של בני הישיבות בוגרי המדרשות של לב לאחים</t>
  </si>
  <si>
    <t>מתחים ואפליה עדתית בישראל</t>
  </si>
  <si>
    <t>מנחם, נחום</t>
  </si>
  <si>
    <t>מתי שמעו ילדי בקולי</t>
  </si>
  <si>
    <t>מתיבות</t>
  </si>
  <si>
    <t>מהדורת ר' בנימין מנשה לוין</t>
  </si>
  <si>
    <t>הלכה ומנהג, נושאים שונים, תולדות עם ישראל, תולדות עם ישראל, תלמוד בבלי, תלמוד בבלי</t>
  </si>
  <si>
    <t>מתיבתא (כג) בבא בתרא - 9 כר'</t>
  </si>
  <si>
    <t>עוז והדר</t>
  </si>
  <si>
    <t>מתיבתא דרבנן - 2 כר'</t>
  </si>
  <si>
    <t>מכון עטרות ישראל</t>
  </si>
  <si>
    <t>מתיבתא דרבנן - 3 כר'</t>
  </si>
  <si>
    <t>תלמידי ישיבת פוניבז</t>
  </si>
  <si>
    <t>מתיקא כדובשא</t>
  </si>
  <si>
    <t>שווארץ, חיים שלום בן אליעזר</t>
  </si>
  <si>
    <t>מתיקות אלול</t>
  </si>
  <si>
    <t>מתיקות האדם</t>
  </si>
  <si>
    <t>מתיקות השבת</t>
  </si>
  <si>
    <t>מתיקות התורה - 2 כר'</t>
  </si>
  <si>
    <t>שטיגליץ, זאב אריה בן חיים אפרים</t>
  </si>
  <si>
    <t>מתיקות התפילה - 2 כר'</t>
  </si>
  <si>
    <t>מתיקת הפרי &lt;על פרי מגדים&gt; - 4 כר'</t>
  </si>
  <si>
    <t>לויפער, רפאל בן אלטר גרשון</t>
  </si>
  <si>
    <t>מתן בסתר - 3 כר'</t>
  </si>
  <si>
    <t>מתן קדש - 4 כר'</t>
  </si>
  <si>
    <t>מתן שכרן של מצוות &lt;מהדורה חדשה&gt;</t>
  </si>
  <si>
    <t>מתן שכרן של מצוות</t>
  </si>
  <si>
    <t>מתן תורה באור החסידות</t>
  </si>
  <si>
    <t>שניאורסון, מנחם מנדל בן לוי יצחק</t>
  </si>
  <si>
    <t>מתן תורה וסוד התורה באספקלרית רמח"ל &lt;גילוי מלכותו&gt;</t>
  </si>
  <si>
    <t>מתן תורה - 2 כר'</t>
  </si>
  <si>
    <t>מתן תורתינו</t>
  </si>
  <si>
    <t>מתנה טובה - שבת</t>
  </si>
  <si>
    <t>ארביב, בנימין - גוטליב, פתחיה אוריאל</t>
  </si>
  <si>
    <t>מתנה טובה</t>
  </si>
  <si>
    <t>דוד, אלעזר בן בצלאל</t>
  </si>
  <si>
    <t>מתנה לבר מצוה - 3 כר'</t>
  </si>
  <si>
    <t>מתנה מועטת - 3 כר'</t>
  </si>
  <si>
    <t>טורצ'ין, אלעזר צדוק בן יצחק יונה</t>
  </si>
  <si>
    <t>מתנה מרובה</t>
  </si>
  <si>
    <t>מויאל, מתן יעקב בן מרדכי</t>
  </si>
  <si>
    <t>מתנובת שדי - 2 כר'</t>
  </si>
  <si>
    <t>לפקוביץ, יוסף שלמה הכהן</t>
  </si>
  <si>
    <t>מתנות כהונה</t>
  </si>
  <si>
    <t>מתנות שמים</t>
  </si>
  <si>
    <t>גליק, ישראל בן יהושע</t>
  </si>
  <si>
    <t>מתנת אברהם - 2 כר'</t>
  </si>
  <si>
    <t>שפיצר, אברהם</t>
  </si>
  <si>
    <t>מתנת אהרן - 2 כר'</t>
  </si>
  <si>
    <t>לעווין, נתן בן אהרן</t>
  </si>
  <si>
    <t>מתנת איש</t>
  </si>
  <si>
    <t>אביטן, שמעון בן נסים</t>
  </si>
  <si>
    <t>מתנת חינם - 2 כר'</t>
  </si>
  <si>
    <t>פרצוביץ, נחום בן רפאל</t>
  </si>
  <si>
    <t>מתנת חלקו &lt;בארות המים&gt;</t>
  </si>
  <si>
    <t>מתנת חלקו - נשים-נזיקין</t>
  </si>
  <si>
    <t>נקש, משה בן יצחק</t>
  </si>
  <si>
    <t>מתנת חנם - כתובות</t>
  </si>
  <si>
    <t>מתנת יד - 2 כר'</t>
  </si>
  <si>
    <t>טירני, דניאל בן משה דוד</t>
  </si>
  <si>
    <t>תקנ"ד - תקנ"ה</t>
  </si>
  <si>
    <t>פירנצה Florence</t>
  </si>
  <si>
    <t>מתנת יהודה - שבת</t>
  </si>
  <si>
    <t>מאיר, יוסף בן  אריה יהודה</t>
  </si>
  <si>
    <t>מתנת יהודה - 6 כר'</t>
  </si>
  <si>
    <t>מאיר, יוסף בן אריה יהודה</t>
  </si>
  <si>
    <t>מתנת יושר - 5 כר'</t>
  </si>
  <si>
    <t>גינסברגר, מתתיהו בן יחיאל יוסף</t>
  </si>
  <si>
    <t>מתנת יצחק</t>
  </si>
  <si>
    <t>גרינבלט, יצחק בן אהרן משה</t>
  </si>
  <si>
    <t>משנה, שאר ספרי חז"ל, תלמוד בבלי, תנ"ך, תפלות בקשות פיוטים ושירה</t>
  </si>
  <si>
    <t>מתנת כהונה</t>
  </si>
  <si>
    <t>אברכי כולל פוניבז'</t>
  </si>
  <si>
    <t>מתנת כהן - 2 כר'</t>
  </si>
  <si>
    <t>קופשיץ, יעקב בן נפתלי הכהן</t>
  </si>
  <si>
    <t>מתנת לוי</t>
  </si>
  <si>
    <t>כהן, לוי יצחק בן שמואל יעקב</t>
  </si>
  <si>
    <t>מתנת משה - 2 כר'</t>
  </si>
  <si>
    <t>מתנת משה - 3 כר'</t>
  </si>
  <si>
    <t>סאקס, משה בן דוד</t>
  </si>
  <si>
    <t>מתנת משה - 4 כר'</t>
  </si>
  <si>
    <t>מתנת שבת</t>
  </si>
  <si>
    <t>מתנת שלמה - 5 כר'</t>
  </si>
  <si>
    <t>אלשטיין, שלמה בן משה הכהן</t>
  </si>
  <si>
    <t>מתפללים (לימוד) ליקוט</t>
  </si>
  <si>
    <t>מתק שפתים - שבת</t>
  </si>
  <si>
    <t>יפה, אברהם אבלי בן ישראל</t>
  </si>
  <si>
    <t>מתק שפתים - ב</t>
  </si>
  <si>
    <t>יפת, ישראל מאיר</t>
  </si>
  <si>
    <t>מתקנות הגאונים &lt;כתב חרם&gt;</t>
  </si>
  <si>
    <t>רבני איטליה</t>
  </si>
  <si>
    <t>מתת אלהים</t>
  </si>
  <si>
    <t>הלפנביין, מרדכי אריה ליב בן יצחק</t>
  </si>
  <si>
    <t>מתת אלהים - 2 כר'</t>
  </si>
  <si>
    <t>מתת ידו - 2 כר'</t>
  </si>
  <si>
    <t>מאירוביץ, מתתיהו בן מאיר</t>
  </si>
  <si>
    <t>מתת ידי</t>
  </si>
  <si>
    <t>קאגאן, אברהם מתתיה הכהן</t>
  </si>
  <si>
    <t>מתת יה</t>
  </si>
  <si>
    <t>מתתיה ליברמאן בן אשר למל</t>
  </si>
  <si>
    <t>מתת שלומים - 3 כר'</t>
  </si>
  <si>
    <t>פרידמאן, מתתיהו בן שמואל</t>
  </si>
  <si>
    <t>תשל"</t>
  </si>
  <si>
    <t>נ"ך מקראות גדולות המאיר לישראל - 23 כר'</t>
  </si>
  <si>
    <t>נ"ר יהודה</t>
  </si>
  <si>
    <t>נאד דמעות</t>
  </si>
  <si>
    <t>נאדר בקדש</t>
  </si>
  <si>
    <t>זוהר. אידרא. תפ"ג</t>
  </si>
  <si>
    <t>נאדר בקודש</t>
  </si>
  <si>
    <t>נאה דור"ש</t>
  </si>
  <si>
    <t>משנה, שאר ספרי חז"ל, תלמוד בבלי, תלמוד בבלי</t>
  </si>
  <si>
    <t>נאה דורש</t>
  </si>
  <si>
    <t>נאה זיום</t>
  </si>
  <si>
    <t>נאה משיב</t>
  </si>
  <si>
    <t>אוחנה, נסים בנימין בן מסעוד</t>
  </si>
  <si>
    <t>נאוה קדש</t>
  </si>
  <si>
    <t>וואלטש, שמעון בן נתן נטע</t>
  </si>
  <si>
    <t>כהן, צמח בן סעיד - כהן, חיים בן שלמה מטריפולי</t>
  </si>
  <si>
    <t>נאוה תהלה</t>
  </si>
  <si>
    <t>וינטרוב, יעקב דוד בן יצחק איזיק יום טוב</t>
  </si>
  <si>
    <t>נאוו לחייך</t>
  </si>
  <si>
    <t>קהל חסידי ירושלים</t>
  </si>
  <si>
    <t>נאום ההכתרה של הראשון לציון</t>
  </si>
  <si>
    <t>נאום על טהרת המשפחה &lt;מהדורה חדשה&gt;</t>
  </si>
  <si>
    <t>שפירא, אברהם דובער כהנא</t>
  </si>
  <si>
    <t>נאום על טהרת המשפחה</t>
  </si>
  <si>
    <t>נאומי יצחק יעקב</t>
  </si>
  <si>
    <t>שבלביץ, יצחק יעקב</t>
  </si>
  <si>
    <t>נאומי-שמואל</t>
  </si>
  <si>
    <t>בר אדון, שמואל בנימין בן זאב יהודה</t>
  </si>
  <si>
    <t>נאות אפרים - 4 כר'</t>
  </si>
  <si>
    <t>נאות אריה &lt;מהדו"ח&gt;</t>
  </si>
  <si>
    <t>לופיאן, אריה ליב בן אליהו</t>
  </si>
  <si>
    <t>נאות אריה</t>
  </si>
  <si>
    <t>נאות דשא &lt;על הש"ס&gt; - א</t>
  </si>
  <si>
    <t>נאות דשא - 3 כר'</t>
  </si>
  <si>
    <t>נאות דשא - 2 כר'</t>
  </si>
  <si>
    <t>דיכובסקי, שמעיה אלעזר בן שלמה חיים</t>
  </si>
  <si>
    <t>נאות דשא - בבא מציעא</t>
  </si>
  <si>
    <t>דירנפלד, אהרן</t>
  </si>
  <si>
    <t>נאות דשא - 5 כר'</t>
  </si>
  <si>
    <t>נאות הדשא - 3 כר'</t>
  </si>
  <si>
    <t>נאות יוסף - נדה</t>
  </si>
  <si>
    <t>קובץ כולל פוניבז'</t>
  </si>
  <si>
    <t>נאות יעקב - 3 כר'</t>
  </si>
  <si>
    <t>דרושים, הלכה ומנהג, מועדי ישראל, נושאים שונים, שאלות ותשובות</t>
  </si>
  <si>
    <t>נאות יעקב</t>
  </si>
  <si>
    <t>כהנא-שפירא, יעקב בן שלמה זלמן סנדר</t>
  </si>
  <si>
    <t>נאות יעקב - סוכה</t>
  </si>
  <si>
    <t>פיינשטיין, מרדכי יעקב בן חיים</t>
  </si>
  <si>
    <t>נאות מרדכי - 23 כר'</t>
  </si>
  <si>
    <t>נאם דוד</t>
  </si>
  <si>
    <t>נאם יהודה</t>
  </si>
  <si>
    <t>נאמים לבר מצוה ולאביו</t>
  </si>
  <si>
    <t>נאמן שמואל</t>
  </si>
  <si>
    <t>נאמנו מא"ד</t>
  </si>
  <si>
    <t>אונגער, מרדכי דוד</t>
  </si>
  <si>
    <t>הלכה ומנהג, חסידות, תלמוד בבלי, תנ"ך, תנ"ך</t>
  </si>
  <si>
    <t>נאמנות ה'</t>
  </si>
  <si>
    <t>נאמני ה'</t>
  </si>
  <si>
    <t>נבואה והשגחה</t>
  </si>
  <si>
    <t>סוקולובסקי, מאיר שמחה בן אפרים שמואל</t>
  </si>
  <si>
    <t>נבואה לדורות</t>
  </si>
  <si>
    <t>נבואה שעריך</t>
  </si>
  <si>
    <t>גרוסברג, חנוך זונדל</t>
  </si>
  <si>
    <t>נבואת הושע</t>
  </si>
  <si>
    <t>נבואת הילד</t>
  </si>
  <si>
    <t>הלוי, אברהם בן אליעזר</t>
  </si>
  <si>
    <t>נבואת יונה</t>
  </si>
  <si>
    <t>תנ"ך. תשי"ד. ברוקלין</t>
  </si>
  <si>
    <t>תשי"ד הק'</t>
  </si>
  <si>
    <t>נבחר מכסף &lt;מהדורה חדשה&gt;</t>
  </si>
  <si>
    <t>נבחר מכסף</t>
  </si>
  <si>
    <t>נבחרים מזבח</t>
  </si>
  <si>
    <t>ורמברנר, שמשון בן יוסף</t>
  </si>
  <si>
    <t>נביאי אמת</t>
  </si>
  <si>
    <t>קליין, אברהם יצחק - וולף, יוסף אברהם</t>
  </si>
  <si>
    <t>נביאי האמת וצדק</t>
  </si>
  <si>
    <t>יצחקי, דוד</t>
  </si>
  <si>
    <t>נביאים אחרונים עם פירוש דון יצחק אברבניאל</t>
  </si>
  <si>
    <t>ר"ף</t>
  </si>
  <si>
    <t>נביאים אחרונים</t>
  </si>
  <si>
    <t>תנ"ך. רמ"ו. שונצינו</t>
  </si>
  <si>
    <t>תנ"ך. רמ"ז</t>
  </si>
  <si>
    <t>רמ"ז</t>
  </si>
  <si>
    <t>ספרד</t>
  </si>
  <si>
    <t>נביאים אחרונים - יחזקאל</t>
  </si>
  <si>
    <t>תנ"ך. תקע"ח. אופנבך</t>
  </si>
  <si>
    <t>תקע"ח-תק"ף</t>
  </si>
  <si>
    <t>נביאים וכתובים &lt;מלבי"ם&gt; - 8 כר'</t>
  </si>
  <si>
    <t>נביאים וכתובים &lt;יפלס נתיב&gt; - שופטים</t>
  </si>
  <si>
    <t>נוסבוים, צבי</t>
  </si>
  <si>
    <t>נביאים וכתובים מאורי רש"י - 2 כר'</t>
  </si>
  <si>
    <t>נביאים וכתובים מבוארים &lt;ביאורי משה&gt; - 12 כר'</t>
  </si>
  <si>
    <t>קארפ, משה שלום בן מרדכי</t>
  </si>
  <si>
    <t>נביאים וכתובים - 11 כר'</t>
  </si>
  <si>
    <t>נביאים וכתובים המפואר</t>
  </si>
  <si>
    <t>נביאים כתובים &lt;אילה שלוחה, מגישי מנחה&gt; - 12 כר'</t>
  </si>
  <si>
    <t>תקל"ז - תקל"ח</t>
  </si>
  <si>
    <t>נביאים ראשונים לאור המסורה - 4 כר'</t>
  </si>
  <si>
    <t>וולף, צבי בנימין</t>
  </si>
  <si>
    <t>נביאים ראשונים לבתי ספר - ד</t>
  </si>
  <si>
    <t>תנ"ך. תרפ"ה. ניו יורק</t>
  </si>
  <si>
    <t>נביאים ראשונים עם פירוש רד"ק</t>
  </si>
  <si>
    <t>נביאים ראשונים - 2 כר'</t>
  </si>
  <si>
    <t>נביאים ראשונים</t>
  </si>
  <si>
    <t>נבכי נהרות - 2 כר'</t>
  </si>
  <si>
    <t>אלטמן, אליעזר זוסמאן בן שמשון</t>
  </si>
  <si>
    <t>נבל עשור</t>
  </si>
  <si>
    <t>נברשת הילנה</t>
  </si>
  <si>
    <t>וולף, פינחס בן זאב וולף</t>
  </si>
  <si>
    <t>נברשת - 2 כר'</t>
  </si>
  <si>
    <t>תרנ"ח - תרס"ו</t>
  </si>
  <si>
    <t>הלכה ומנהג, משנה, נושאים שונים, תנ"ך, תנ"ך</t>
  </si>
  <si>
    <t>נגד הזרם</t>
  </si>
  <si>
    <t>גרשוני, א.א</t>
  </si>
  <si>
    <t>נגה אש</t>
  </si>
  <si>
    <t>שלומוביץ, אברהם אבא בן זאב מרדכי</t>
  </si>
  <si>
    <t>נגוני חסידים של שושלת מודזיץ.</t>
  </si>
  <si>
    <t>נגיד ומצוה &lt;מהדורה חדשה&gt; - א</t>
  </si>
  <si>
    <t>נגיד ומצוה - 4 כר'</t>
  </si>
  <si>
    <t>נגילה ונשמחה</t>
  </si>
  <si>
    <t>נגינות אות תפילות ביי יודן</t>
  </si>
  <si>
    <t>חדקל, יהודה לייב</t>
  </si>
  <si>
    <t>בונס איירס</t>
  </si>
  <si>
    <t>נגלות האר"י</t>
  </si>
  <si>
    <t>ליקוטים מתורת האריז"ל</t>
  </si>
  <si>
    <t>נגלות ונסתרות בחיים</t>
  </si>
  <si>
    <t>נגנות און תפלות ביי יידן</t>
  </si>
  <si>
    <t>חדקל, יהודה ליב</t>
  </si>
  <si>
    <t>נדב ואביהוא - 2 כר'</t>
  </si>
  <si>
    <t>כהן, שלמה בן אהרן</t>
  </si>
  <si>
    <t>נדבות פי &lt;דרשות&gt; - 4 כר'</t>
  </si>
  <si>
    <t>נדבות פי</t>
  </si>
  <si>
    <t>יודמאן, אלעזר חיים בן יהודה ליב</t>
  </si>
  <si>
    <t>פרוידיגר, נפתלי</t>
  </si>
  <si>
    <t>נדבות פי - 2 כר'</t>
  </si>
  <si>
    <t>פרידמן, צבי בן בצלאל</t>
  </si>
  <si>
    <t>רבינוביץ, יצחק בן יצחק</t>
  </si>
  <si>
    <t>נדברה נא - תל תלפיות - יומא טובא לרבנן</t>
  </si>
  <si>
    <t>אוסף גליונות</t>
  </si>
  <si>
    <t>נדברה נא - 5 כר'</t>
  </si>
  <si>
    <t>חסידי נדבורנא</t>
  </si>
  <si>
    <t>נדבת פי</t>
  </si>
  <si>
    <t>נדבת פרץ - 9 כר'</t>
  </si>
  <si>
    <t>נדחי ישראל</t>
  </si>
  <si>
    <t>נדיב לב - 3 כר'</t>
  </si>
  <si>
    <t>תרכ"ב - תרכ"ו</t>
  </si>
  <si>
    <t>נדרי איסר - נדרים</t>
  </si>
  <si>
    <t>נדרי זריזין - 2 כר'</t>
  </si>
  <si>
    <t>תקצ"ט - תרט"ו</t>
  </si>
  <si>
    <t>נדרי יעקב</t>
  </si>
  <si>
    <t>בלויא, יעקב ישעיהו</t>
  </si>
  <si>
    <t>נדרי כשרים</t>
  </si>
  <si>
    <t>נדרי לה' - נדרים</t>
  </si>
  <si>
    <t>נדרי תודה</t>
  </si>
  <si>
    <t>לינק, דוד יהודה בן פנחס</t>
  </si>
  <si>
    <t>נדרי תורה</t>
  </si>
  <si>
    <t>שור, ש.פ. דוד</t>
  </si>
  <si>
    <t>נדרשת יפה</t>
  </si>
  <si>
    <t>גולדברג, אברהם ישראל בן יוסף</t>
  </si>
  <si>
    <t>נהג כצאן יוסף</t>
  </si>
  <si>
    <t>יוסף יוזפא בן משה קושמאן הלוי</t>
  </si>
  <si>
    <t>נהגו העם</t>
  </si>
  <si>
    <t>נהור שרגא</t>
  </si>
  <si>
    <t>עורך: יעקובוביץ, אלתר יוסף</t>
  </si>
  <si>
    <t>נהורא דאברהם</t>
  </si>
  <si>
    <t>גוטרמן, אברהם שרגא</t>
  </si>
  <si>
    <t>נהורא דאורייתא יקר אורייתא - 2 כר'</t>
  </si>
  <si>
    <t>וולפסון, יהושע פאלק זאב בן יוסף צבי</t>
  </si>
  <si>
    <t>נהורא דיעקב - 2 כר'</t>
  </si>
  <si>
    <t>קופריץ, יעקב אהרן בן צבי הירש</t>
  </si>
  <si>
    <t>נהורא דשבתא - מלאכות שבת</t>
  </si>
  <si>
    <t>ספרקה, יצחק יוסף</t>
  </si>
  <si>
    <t>נהורא דשמעתתא - 2 כר'</t>
  </si>
  <si>
    <t>בית המדרש להוראה - אש התורה</t>
  </si>
  <si>
    <t>נהורא דשמעתתא - אגרות עץ ארז</t>
  </si>
  <si>
    <t>ישיבת תלמידי הכתב סופר - דויטש, אברהם יחיאל הלוי</t>
  </si>
  <si>
    <t>נהורא דשרגא - 2 כר'</t>
  </si>
  <si>
    <t>לונדין, אליעזר שרגא פאבי</t>
  </si>
  <si>
    <t>נהורא וחדותא</t>
  </si>
  <si>
    <t>נהורא מעליא</t>
  </si>
  <si>
    <t>נהורא שרגא</t>
  </si>
  <si>
    <t>גלבפיש, שרגא פייבל בן אברהם</t>
  </si>
  <si>
    <t>נהורא - 5 כר'</t>
  </si>
  <si>
    <t>כתב עת לתורה ויהדות</t>
  </si>
  <si>
    <t>נהורא</t>
  </si>
  <si>
    <t>נהוראי - 9 כר'</t>
  </si>
  <si>
    <t>נהורי דנורא</t>
  </si>
  <si>
    <t>נהלך ברגש</t>
  </si>
  <si>
    <t>פרידמן, יוסף בן צבי זאב</t>
  </si>
  <si>
    <t>נהמת דוב - 2 כר'</t>
  </si>
  <si>
    <t>קנפלר, יששכר דוב</t>
  </si>
  <si>
    <t>נהר דע"ה - 4 כר'</t>
  </si>
  <si>
    <t>נהר יוצא מעדן</t>
  </si>
  <si>
    <t>חסידות, חסידות, שונות</t>
  </si>
  <si>
    <t>נהר מעדן - 5 כר'</t>
  </si>
  <si>
    <t>מכון שיח אבות קוידינוב</t>
  </si>
  <si>
    <t>נהר מצרים - 4 כר'</t>
  </si>
  <si>
    <t>נא אמון</t>
  </si>
  <si>
    <t>נהר משה - 2 כר'</t>
  </si>
  <si>
    <t>לייזער, דוד שמעון בן יוסף שמואל</t>
  </si>
  <si>
    <t>נהר פישון</t>
  </si>
  <si>
    <t>נהר שלום &lt;מהדורה חדשה&gt;</t>
  </si>
  <si>
    <t>נהר שלום</t>
  </si>
  <si>
    <t>נהר שלום - 6 כר'</t>
  </si>
  <si>
    <t>ווינטורה, שבתי בן אברהם</t>
  </si>
  <si>
    <t>רבינוביץ, מאיר שלום בן יהושע אשר</t>
  </si>
  <si>
    <t>נהר שלמה</t>
  </si>
  <si>
    <t>הייזלער, שלמה חיים</t>
  </si>
  <si>
    <t>דרושים, חסידות, תולדות עם ישראל, תנ"ך</t>
  </si>
  <si>
    <t>נהרות איתן - 2 כר'</t>
  </si>
  <si>
    <t>נהרות איתן</t>
  </si>
  <si>
    <t>נהרות איתן - 5 כר'</t>
  </si>
  <si>
    <t>רובין, אברהם ישראל</t>
  </si>
  <si>
    <t>נהרות דמשק</t>
  </si>
  <si>
    <t>נהרי אפרסמון - 3 כר'</t>
  </si>
  <si>
    <t>טננבוים, יעקב בן זאב וולף</t>
  </si>
  <si>
    <t>תרנ"ח - תרע"א</t>
  </si>
  <si>
    <t>נובלות חכמה</t>
  </si>
  <si>
    <t>שפ"ט - שצ"א</t>
  </si>
  <si>
    <t>נודע ביהודה &lt;מהדורה חדשה&gt; - לחם יהודה</t>
  </si>
  <si>
    <t>נודע ביהודה &lt;מהדורה חדשה&gt; - 4 כר'</t>
  </si>
  <si>
    <t>נודע ביהודה על המועדים - 2 כר'</t>
  </si>
  <si>
    <t>נודע ביהודה על התורה - 2 כר'</t>
  </si>
  <si>
    <t>נודע ביהודה תנינא</t>
  </si>
  <si>
    <t>תרי"ז-תרי"ט</t>
  </si>
  <si>
    <t>נודע ביהודה</t>
  </si>
  <si>
    <t>אבן-דאנאן, יהודה בן אליהו</t>
  </si>
  <si>
    <t>פסFez</t>
  </si>
  <si>
    <t>נודע ביהודה - 8 כר'</t>
  </si>
  <si>
    <t>תקל"ו - תקע"א</t>
  </si>
  <si>
    <t>נודע בשערים - 2 כר'</t>
  </si>
  <si>
    <t>אשכנזי, דוברוש בן משה</t>
  </si>
  <si>
    <t>תרי"ט - תרכ"ד</t>
  </si>
  <si>
    <t>דרושים, הלכה ומנהג, נושאים שונים, שאלות ותשובות, שלחן ערוך ומפרשיו, תלמוד בבלי, תלמוד בבלי, תנ"ך, תנ"ך</t>
  </si>
  <si>
    <t>מאנדלבוים, ברוך בן מרדכי יהודה ליב</t>
  </si>
  <si>
    <t>נוה אפריון</t>
  </si>
  <si>
    <t>שמילוביץ, מאיר יצחק</t>
  </si>
  <si>
    <t>נוה הבחירה</t>
  </si>
  <si>
    <t>נוה החיים</t>
  </si>
  <si>
    <t>כלף, פנחס בן סלימאן</t>
  </si>
  <si>
    <t>נוה הלל</t>
  </si>
  <si>
    <t>נוה חן</t>
  </si>
  <si>
    <t>נוה יעקב</t>
  </si>
  <si>
    <t>ורנר, יעקב ישראל בן שלמה חנוך</t>
  </si>
  <si>
    <t>נוה לנתיבתי</t>
  </si>
  <si>
    <t>נוה צדיקים</t>
  </si>
  <si>
    <t>נוה צדק</t>
  </si>
  <si>
    <t>מירקדו, סעדיה הלוי</t>
  </si>
  <si>
    <t>נוה ציון</t>
  </si>
  <si>
    <t>סופר, ציון בן כמוס</t>
  </si>
  <si>
    <t>נוה שאנן - מזוזה</t>
  </si>
  <si>
    <t>נוה שלום &lt;מהדורה חדשה&gt;</t>
  </si>
  <si>
    <t>נוה שלום</t>
  </si>
  <si>
    <t>דרושים, דרושים, הלכה ומנהג, הלכה ומנהג, שלחן ערוך ומפרשיו, שלחן ערוך ומפרשיו, תלמוד בבלי</t>
  </si>
  <si>
    <t>נוה שלום - 2 כר'</t>
  </si>
  <si>
    <t>שאר ספרי חז"ל, שונות, תולדות עם ישראל</t>
  </si>
  <si>
    <t>נוה שלום - ב</t>
  </si>
  <si>
    <t>כהן, שלמה יהודה ליב בן שלום צבי</t>
  </si>
  <si>
    <t>נוה שלום - 4 כר'</t>
  </si>
  <si>
    <t>קובץ אברכי כולל אהבת שלום בני ברק</t>
  </si>
  <si>
    <t>שולאל, שלום הכהן</t>
  </si>
  <si>
    <t>שלום, אברהם בן יצחק</t>
  </si>
  <si>
    <t>רצ"ח - רצ"ט</t>
  </si>
  <si>
    <t>נוהג בחכמה</t>
  </si>
  <si>
    <t>נוהג בם</t>
  </si>
  <si>
    <t>דדון, כפיר ברוך מבורך</t>
  </si>
  <si>
    <t>נוהג כצאן יוסף</t>
  </si>
  <si>
    <t>נווה צבי</t>
  </si>
  <si>
    <t>נוטרי אמן - 2 כר'</t>
  </si>
  <si>
    <t>קסלר, אברהם</t>
  </si>
  <si>
    <t>נוטריקון ראשי תיבות - 2 כר'</t>
  </si>
  <si>
    <t>היילפרין, מאיר - שטערן, יונה</t>
  </si>
  <si>
    <t>נוי סוכה</t>
  </si>
  <si>
    <t>נויות ברמה</t>
  </si>
  <si>
    <t>נוית ברמה</t>
  </si>
  <si>
    <t>איסרלס, אברהם צבי בן מאיר</t>
  </si>
  <si>
    <t>נוכח השולחן - 2 כר'</t>
  </si>
  <si>
    <t>נוסח הרשימה הנמצאת במנג'יליס</t>
  </si>
  <si>
    <t>יהודה בן משה מזרחי (קראי)</t>
  </si>
  <si>
    <t>נוסח כתובה מתוקן</t>
  </si>
  <si>
    <t>נוסח לחזן - 2 כר'</t>
  </si>
  <si>
    <t>נאמן, יהושע ליב בן חיים זליג</t>
  </si>
  <si>
    <t>נוסח פירוש רש"י - כיצד הרגל</t>
  </si>
  <si>
    <t>שלמי, אפרתי</t>
  </si>
  <si>
    <t>נוסח שטר היתר מכירה</t>
  </si>
  <si>
    <t>המכון להלכה יישומית</t>
  </si>
  <si>
    <t>נוסח תפלה קצרה בעד כללות כל ישראל</t>
  </si>
  <si>
    <t>נוסחא ישרה - יבמות</t>
  </si>
  <si>
    <t>מכון סולת נקייה</t>
  </si>
  <si>
    <t>נוסחאות התרגומים לתורה</t>
  </si>
  <si>
    <t>נוסף על נחלת</t>
  </si>
  <si>
    <t>ג'ארמון, יהודה בן מאיר</t>
  </si>
  <si>
    <t>נועם אחים</t>
  </si>
  <si>
    <t>הוכמאן, מרדכי בן בנימין הלוי</t>
  </si>
  <si>
    <t>נועם אלימלך &lt;גליוני מהר"י - 2 כר'</t>
  </si>
  <si>
    <t>נועם אלימלך &lt;דפו"ר&gt; - 2 כר'</t>
  </si>
  <si>
    <t>נועם אלימלך - 9 כר'</t>
  </si>
  <si>
    <t>נועם אליעזר - א</t>
  </si>
  <si>
    <t>נועם אליעזר - תורה</t>
  </si>
  <si>
    <t>נועם אמרים</t>
  </si>
  <si>
    <t>טייטלבוים, יוסף דוד</t>
  </si>
  <si>
    <t>נועם אפרים</t>
  </si>
  <si>
    <t>נועם דברים</t>
  </si>
  <si>
    <t>הירש, דוד יהודה בן משה</t>
  </si>
  <si>
    <t>נועם הברכה</t>
  </si>
  <si>
    <t>הגר, ברוך בן ישראל - מילר, מנשה (עורך)</t>
  </si>
  <si>
    <t>נועם הגן - א</t>
  </si>
  <si>
    <t>נועם החיים</t>
  </si>
  <si>
    <t>מייזלעס, אלתר חיים צבי</t>
  </si>
  <si>
    <t>נועם הכבוד</t>
  </si>
  <si>
    <t>נועם הלבבות - 4 כר'</t>
  </si>
  <si>
    <t>נועם הלכה - 6 כר'</t>
  </si>
  <si>
    <t>וינד, אלחנן בן ברוך</t>
  </si>
  <si>
    <t>נועם המדות</t>
  </si>
  <si>
    <t>תרט"ו - תרכ"ט</t>
  </si>
  <si>
    <t>נועם המצות - 5 כר'</t>
  </si>
  <si>
    <t>קרצ'מר, נפתלי הירץ בן אברהם</t>
  </si>
  <si>
    <t>נועם הנשמות</t>
  </si>
  <si>
    <t>הגר, יששכר דב</t>
  </si>
  <si>
    <t>נועם השבת - ברכת המזון ע"פ ר"נ שפירא</t>
  </si>
  <si>
    <t>איילבוים, אברהם עקיבא</t>
  </si>
  <si>
    <t>נועם השבת</t>
  </si>
  <si>
    <t>נועם התורה</t>
  </si>
  <si>
    <t>הרשלר, אליעזר נחמן - חנון, יוסף</t>
  </si>
  <si>
    <t>נועם זיוך</t>
  </si>
  <si>
    <t>שמילאוויטש</t>
  </si>
  <si>
    <t>נועם יצחק</t>
  </si>
  <si>
    <t>נועם ירושלמי - 4 כר'</t>
  </si>
  <si>
    <t>תרכ"ג - תרכ"ט</t>
  </si>
  <si>
    <t>נועם מגדים וכבוד התורה</t>
  </si>
  <si>
    <t>נועם מגדים - 2 כר'</t>
  </si>
  <si>
    <t>נועם מלך</t>
  </si>
  <si>
    <t>וולך, יצחק בן אלימלך</t>
  </si>
  <si>
    <t>נועם שבת - 2 כר'</t>
  </si>
  <si>
    <t>נועם שבת</t>
  </si>
  <si>
    <t>כולל שע"י ישיבת כרם ביבנה</t>
  </si>
  <si>
    <t>צויבל, ניסן בן דוד</t>
  </si>
  <si>
    <t>נועם שבת - 3 כר'</t>
  </si>
  <si>
    <t>נועם שי"ח - 3 כר'</t>
  </si>
  <si>
    <t>קוטלר, יוסף חיים שניאור בן אהרן</t>
  </si>
  <si>
    <t>נועם שיח &lt;ספיקא דאורייתא&gt; - א</t>
  </si>
  <si>
    <t>נועם שיח &lt;ספיקא דרבנן&gt; - ב</t>
  </si>
  <si>
    <t>נועם שיח &lt;ספק ספיקא&gt; - ג</t>
  </si>
  <si>
    <t>נועם שיח</t>
  </si>
  <si>
    <t>נועם שיח - 2 כר'</t>
  </si>
  <si>
    <t>יהב, אבינועם שמואל</t>
  </si>
  <si>
    <t>נועם שיח - 4 כר'</t>
  </si>
  <si>
    <t>נועם - 25 כר'</t>
  </si>
  <si>
    <t>כשר, מנחם מנדל בן יצחק פרץ (עורך)</t>
  </si>
  <si>
    <t>תשי"ח - תשמ"ד</t>
  </si>
  <si>
    <t>נוף מרדכי - 2 כר'</t>
  </si>
  <si>
    <t>ברקוביץ, מרדכי משה הלוי</t>
  </si>
  <si>
    <t>נופך דעת - 12 כר'</t>
  </si>
  <si>
    <t>נופך משלי</t>
  </si>
  <si>
    <t>האלטר, משה בן אברהם</t>
  </si>
  <si>
    <t>נופת צופים - 2 כר'</t>
  </si>
  <si>
    <t>אבן-אלפאוואל, יצחק בן חיים</t>
  </si>
  <si>
    <t>נופת צופים - עצי בשמים - משנת חכמים</t>
  </si>
  <si>
    <t>בן אור, סעדיה בן עוואד</t>
  </si>
  <si>
    <t>נופת צופים</t>
  </si>
  <si>
    <t>בצלאל בן שלמה מקוברין</t>
  </si>
  <si>
    <t>תקצ"</t>
  </si>
  <si>
    <t>נופת צופים - בראשית, ;שמות</t>
  </si>
  <si>
    <t>נופת צופים - חופה וקידושין</t>
  </si>
  <si>
    <t>חאטש, צבי הירש בן יוסי</t>
  </si>
  <si>
    <t>יהודה בן יחיאל מסיר ליאון</t>
  </si>
  <si>
    <t>יוניאן, חיים בן משה</t>
  </si>
  <si>
    <t>לובצקי, נפתלי צבי</t>
  </si>
  <si>
    <t>עבאדי, מרדכי בן יוסף</t>
  </si>
  <si>
    <t>נופת צופים - 8 כר'</t>
  </si>
  <si>
    <t>קוק, יהודה בן יצחק משה</t>
  </si>
  <si>
    <t>נופת צופים - 4 כר'</t>
  </si>
  <si>
    <t>נוצר אדם</t>
  </si>
  <si>
    <t>סתהון, אליעזר מנצור בן חביב חיים דוד</t>
  </si>
  <si>
    <t>טבריה Tiberias</t>
  </si>
  <si>
    <t>נוצר חסד - 3 כר'</t>
  </si>
  <si>
    <t>נוצר תאנה</t>
  </si>
  <si>
    <t>גלבמן, שלמה זלמן יחזקאל</t>
  </si>
  <si>
    <t>נורא עלילה (פירוש על מגילת אסתר ע"פ המהר"ל)</t>
  </si>
  <si>
    <t>נורא תהלות - 2 כר'</t>
  </si>
  <si>
    <t>אבן-שועיב, יואל</t>
  </si>
  <si>
    <t>כהן, חיים בן שלמה מטריפולי - חורי, חיים בן אברהם זקן</t>
  </si>
  <si>
    <t>תרפ"ה-תרפ"ו</t>
  </si>
  <si>
    <t>נורא תהלות</t>
  </si>
  <si>
    <t>סלמן, אורן כדורי</t>
  </si>
  <si>
    <t>חשמונאים</t>
  </si>
  <si>
    <t>נושא אלמתיו</t>
  </si>
  <si>
    <t>נושא בעול עם חברו</t>
  </si>
  <si>
    <t>כרם דיבנה</t>
  </si>
  <si>
    <t>נושא כלי יהונתן</t>
  </si>
  <si>
    <t>פינסקי, קלמן עזריאל בן אלתר אריה</t>
  </si>
  <si>
    <t>נותן טעם - נדרים</t>
  </si>
  <si>
    <t>שנקר, איתי יצחק בן אברהם</t>
  </si>
  <si>
    <t>נזד הדמע - 2 כר'</t>
  </si>
  <si>
    <t>ישראל בן משה הלוי מזאמושץ</t>
  </si>
  <si>
    <t>נזיר אלהים</t>
  </si>
  <si>
    <t>רוטשטיין, יחזקאל פייבל הלוי</t>
  </si>
  <si>
    <t>נזיר היה שמואל</t>
  </si>
  <si>
    <t>נזיר השם וסמיכת משה &lt;מהדורה חדשה&gt;</t>
  </si>
  <si>
    <t>דרושים, שלחן ערוך ומפרשיו, תנ"ך</t>
  </si>
  <si>
    <t>נזיר השם וסמיכת משה</t>
  </si>
  <si>
    <t>דרושים, דרושים, שלחן ערוך ומפרשיו, תלמוד בבלי, תנ"ך, תנ"ך</t>
  </si>
  <si>
    <t>נזיר שמשון</t>
  </si>
  <si>
    <t>נזירות שמשון</t>
  </si>
  <si>
    <t>בלוך, שמשון בן משה</t>
  </si>
  <si>
    <t>נזקי החיישנים</t>
  </si>
  <si>
    <t>נזקי ממון</t>
  </si>
  <si>
    <t>נזר אברהם - נזיר</t>
  </si>
  <si>
    <t>נזר אברהם - 4 כר'</t>
  </si>
  <si>
    <t>קריזר, אברהם אהרן בן יצחק אליעזר</t>
  </si>
  <si>
    <t>נזר אריה</t>
  </si>
  <si>
    <t>דוידזון, אריה בן אבינועם</t>
  </si>
  <si>
    <t>נזר החיים</t>
  </si>
  <si>
    <t>נזר הטהרה</t>
  </si>
  <si>
    <t>רוטן, זאב בן שרגא פייבל</t>
  </si>
  <si>
    <t>נזר המועדים</t>
  </si>
  <si>
    <t>גולדברג, ניסן</t>
  </si>
  <si>
    <t>נזר המלוכה</t>
  </si>
  <si>
    <t>נזר המלך - 5 כר'</t>
  </si>
  <si>
    <t>גולדברג, ניסן זלמן בן דב אריה</t>
  </si>
  <si>
    <t>נזר הנצחון</t>
  </si>
  <si>
    <t>נזר הקדש &lt;מהדורת זכרון אהרן&gt; - 3 כר'</t>
  </si>
  <si>
    <t>יחיאל מיכל בן עוזיאל</t>
  </si>
  <si>
    <t>נזר הקדש</t>
  </si>
  <si>
    <t>גורונצ'יק, שלמה בן אברהם</t>
  </si>
  <si>
    <t>נזר הקדש - 3 כר'</t>
  </si>
  <si>
    <t>נזר הקודש</t>
  </si>
  <si>
    <t>נזר הקודש - 5 כר'</t>
  </si>
  <si>
    <t>קפלן, נתן בן ישראל חיים</t>
  </si>
  <si>
    <t>נזר הקודש - 4 כר'</t>
  </si>
  <si>
    <t>נזר הקודש - 15 כר'</t>
  </si>
  <si>
    <t>נזר הראש - 2 כר'</t>
  </si>
  <si>
    <t>זוננפלד, אשר</t>
  </si>
  <si>
    <t>נזר השולחן</t>
  </si>
  <si>
    <t>סימון, יוסף צבי</t>
  </si>
  <si>
    <t>נזר השלחן</t>
  </si>
  <si>
    <t>רייך, זרח</t>
  </si>
  <si>
    <t>נזר השמחה</t>
  </si>
  <si>
    <t>נזר התורה - 2 כר'</t>
  </si>
  <si>
    <t>נזר התורה</t>
  </si>
  <si>
    <t>נזר התורה - 30 כר'</t>
  </si>
  <si>
    <t>נזר התפילה</t>
  </si>
  <si>
    <t>נזר חמודות</t>
  </si>
  <si>
    <t>וואסרטרילינג, צבי הירש בן נתן</t>
  </si>
  <si>
    <t>נזר יוסף  &lt;מועדים&gt; - 4 כר'</t>
  </si>
  <si>
    <t>ללזר, יוסף</t>
  </si>
  <si>
    <t>נזר יוסף  &lt;תורה&gt; - 2 כר'</t>
  </si>
  <si>
    <t>נזר יוסף</t>
  </si>
  <si>
    <t>אטלנטנה</t>
  </si>
  <si>
    <t>נזר ישראל - 2 כר'</t>
  </si>
  <si>
    <t>נזר ישראל</t>
  </si>
  <si>
    <t>דנציגר, יהושע</t>
  </si>
  <si>
    <t>נזר ישראל - על התורה ומועדים</t>
  </si>
  <si>
    <t>נזר ישראל - 6 כר'</t>
  </si>
  <si>
    <t>נזר כהן - א</t>
  </si>
  <si>
    <t>נזר מרדכי - חג השבועות</t>
  </si>
  <si>
    <t>נזר צבי</t>
  </si>
  <si>
    <t>אסופת כתבי יד ומסמכים מאוצרות המשפחה</t>
  </si>
  <si>
    <t>מילר, אליעזר יצחק</t>
  </si>
  <si>
    <t>נזר שושנה - 2 כר'</t>
  </si>
  <si>
    <t>נזר תפארה - ב"ב, פסח</t>
  </si>
  <si>
    <t>ישיבת כנסת יצחק מודיעין עילית</t>
  </si>
  <si>
    <t>נזר תפארה - בבא מציעא</t>
  </si>
  <si>
    <t>ישיבת כנסת יצחק</t>
  </si>
  <si>
    <t>נזר תפארת - מגילה</t>
  </si>
  <si>
    <t>נח לבריות</t>
  </si>
  <si>
    <t>נח קרבן הלב</t>
  </si>
  <si>
    <t>נחית בחסדך</t>
  </si>
  <si>
    <t>נחל אברהם</t>
  </si>
  <si>
    <t>שרשבסקי, אברהם משה בן חיים</t>
  </si>
  <si>
    <t>נחל איתן</t>
  </si>
  <si>
    <t>נחל איתן - 3 כר'</t>
  </si>
  <si>
    <t>וינברג, אברהם בן נח</t>
  </si>
  <si>
    <t>זינאר, איתן בן נתן</t>
  </si>
  <si>
    <t>חזן, אברהם אבא הלוי</t>
  </si>
  <si>
    <t>נחל אליהו</t>
  </si>
  <si>
    <t>דיסקין, אליהו בן יוסף</t>
  </si>
  <si>
    <t>נחל אמונה - 2 כר'</t>
  </si>
  <si>
    <t>לבין, נחום אריה בן אברהם שמחה</t>
  </si>
  <si>
    <t>נחל אשכול - 2 כר'</t>
  </si>
  <si>
    <t>נחל אשכול</t>
  </si>
  <si>
    <t>נחל אשכל</t>
  </si>
  <si>
    <t>נחל בכי</t>
  </si>
  <si>
    <t>נחל דמעה</t>
  </si>
  <si>
    <t>קאצנלנבוגן, צבי הירש בן שמחה</t>
  </si>
  <si>
    <t>דרושים, תלמוד בבלי, תנ"ך, תפלות בקשות פיוטים ושירה</t>
  </si>
  <si>
    <t>ראפלד, יצחק מאיר</t>
  </si>
  <si>
    <t>זלישצ'יק Zaleshchiki</t>
  </si>
  <si>
    <t>נחל דעת - 2 כר'</t>
  </si>
  <si>
    <t>נחל הברית - 3 כר'</t>
  </si>
  <si>
    <t>נחל הערבים</t>
  </si>
  <si>
    <t>פיונטניצקי, יוסף בן משה</t>
  </si>
  <si>
    <t>נחל זרד - 3 כר'</t>
  </si>
  <si>
    <t>נחל חוסן - קידושין</t>
  </si>
  <si>
    <t>נחל חכמה - זבחים, מנחות, תמורה</t>
  </si>
  <si>
    <t>נחל יאודה - 2 כר'</t>
  </si>
  <si>
    <t>גיז, יהודה בן יעקב חי</t>
  </si>
  <si>
    <t>תרע"ה - תרצ"ו</t>
  </si>
  <si>
    <t>נחל יבק - 2 כר'</t>
  </si>
  <si>
    <t>ליברמן, ישראל בער</t>
  </si>
  <si>
    <t>נחל יהודה</t>
  </si>
  <si>
    <t>נחל יצחק - 2 כר'</t>
  </si>
  <si>
    <t>תרל"ב - תרמ"ד</t>
  </si>
  <si>
    <t>נחל יצחק - 3 כר'</t>
  </si>
  <si>
    <t>נחל ישועות - בבא מציעא</t>
  </si>
  <si>
    <t>נחל משה</t>
  </si>
  <si>
    <t>נחל נובע</t>
  </si>
  <si>
    <t>נחל עדה</t>
  </si>
  <si>
    <t>הכהן, אליהו ישעיה</t>
  </si>
  <si>
    <t>נחל עדן</t>
  </si>
  <si>
    <t>גורדון, רפאל בן שמשון</t>
  </si>
  <si>
    <t>נחל עדניך - 5 כר'</t>
  </si>
  <si>
    <t>נחל פז - 2 כר'</t>
  </si>
  <si>
    <t>בר שלום, אלון משה בן שמואל</t>
  </si>
  <si>
    <t>נחל קדומים</t>
  </si>
  <si>
    <t>דוקס, יהודה ליב בן צבי הירש</t>
  </si>
  <si>
    <t>נחל קדומים - 2 כר'</t>
  </si>
  <si>
    <t>לובצקי, אריה נחום בן יצחק עקיבא</t>
  </si>
  <si>
    <t>תרצ"א - תרצ"ח</t>
  </si>
  <si>
    <t>נחל קדומים, נחל אשכול, נחל שורק</t>
  </si>
  <si>
    <t>נחל שורק - 2 כר'</t>
  </si>
  <si>
    <t>נחל שורק</t>
  </si>
  <si>
    <t>נחל שלמה - 12 כר'</t>
  </si>
  <si>
    <t>נחלה ליהושע</t>
  </si>
  <si>
    <t>צונצין, יהושע</t>
  </si>
  <si>
    <t>נחלה לישראל וארץ חמדה</t>
  </si>
  <si>
    <t>נחלה לישראל - 2 כר'</t>
  </si>
  <si>
    <t>קליינווארדן</t>
  </si>
  <si>
    <t>נחלה לישראל</t>
  </si>
  <si>
    <t>חזן ישראל משה בן אליעזר</t>
  </si>
  <si>
    <t>נחלה - 2 כר'</t>
  </si>
  <si>
    <t>עלון פנימי בית הכנסת נחלת אבות</t>
  </si>
  <si>
    <t>נחלי אביב</t>
  </si>
  <si>
    <t>עתרי, שחר חיים</t>
  </si>
  <si>
    <t>נחלי אמונה - 8 כר'</t>
  </si>
  <si>
    <t>בטאון חבורת האברכים והבחורים דחסידי ספינקא</t>
  </si>
  <si>
    <t>נחלי אמונה</t>
  </si>
  <si>
    <t>לוריא, יצחק מתתיהו בן צבי הירש (מלקט)</t>
  </si>
  <si>
    <t>ציגלמאן, אליעזר צבי בן נח</t>
  </si>
  <si>
    <t>מועדי ישראל, משנה, נושאים שונים, תלמוד בבלי, תנ"ך</t>
  </si>
  <si>
    <t>נחלי אמונה - 14 כר'</t>
  </si>
  <si>
    <t>קובץ מוסדות חסידי סלאנים באר אברהם</t>
  </si>
  <si>
    <t>נחלי אפרסמון - 3 כר'</t>
  </si>
  <si>
    <t>בלזם, רפאל</t>
  </si>
  <si>
    <t>נחלי בא גד - 2 כר'</t>
  </si>
  <si>
    <t>בא גד, יוסף</t>
  </si>
  <si>
    <t>נחלי בינה - 7 כר'</t>
  </si>
  <si>
    <t>לקט מספרי יראים וספרי חסידות</t>
  </si>
  <si>
    <t>נחלי דבש</t>
  </si>
  <si>
    <t>באמברגר, יצחק דוב בן שמחה הלוי - טיימר, יחיאל מיכל בן יוסף</t>
  </si>
  <si>
    <t>גרוסקוף, אברהם יצחק</t>
  </si>
  <si>
    <t>נחלי דבש - 2 כר'</t>
  </si>
  <si>
    <t>וילמן, דוד בן שרגא הכהן</t>
  </si>
  <si>
    <t>פיליפסטאל, דוב בר בן שרגא פייבוש</t>
  </si>
  <si>
    <t>פרידמאן, שמואל בן דוד שלמה</t>
  </si>
  <si>
    <t>נחלי דבש - 5 כר'</t>
  </si>
  <si>
    <t>שטיין, דוד שלמה</t>
  </si>
  <si>
    <t>שלזינגר, דוב בר</t>
  </si>
  <si>
    <t>נחלי דעה - 4 כר'</t>
  </si>
  <si>
    <t>אדלשטיין, נחמן בן מרדכי שמואל</t>
  </si>
  <si>
    <t>נחלי דעת - 3 כר'</t>
  </si>
  <si>
    <t>מרכז תורני נחלי דעת</t>
  </si>
  <si>
    <t>נחלי חיים - א</t>
  </si>
  <si>
    <t>ראשון לציון Rishon</t>
  </si>
  <si>
    <t>נחלי מים - 3 כר'</t>
  </si>
  <si>
    <t>נחלי מים</t>
  </si>
  <si>
    <t>שענפעלד, משה יוחנן</t>
  </si>
  <si>
    <t>נחלי צבי &lt;אגדות הש"ס&gt; - 2 כר'</t>
  </si>
  <si>
    <t>קאהן, צבי הרשל הכהן</t>
  </si>
  <si>
    <t>נחלי צבי - 4 כר'</t>
  </si>
  <si>
    <t>נחליאל &lt;מאסף לתודעה תורתית ולספרות חרדית&gt; - 2 כר'</t>
  </si>
  <si>
    <t>נחלים - ב</t>
  </si>
  <si>
    <t>נחלת אב"י</t>
  </si>
  <si>
    <t>פרנקל-תאומים, אליהו בן יהושע השל</t>
  </si>
  <si>
    <t>נחלת אבות &lt;מהדורה חדשה&gt;</t>
  </si>
  <si>
    <t>נחלת אבות &lt;ויז'ניץ&gt; - 3 כר'</t>
  </si>
  <si>
    <t>מכון נחלת אבות</t>
  </si>
  <si>
    <t>נחלת אבות ותקון יצחק</t>
  </si>
  <si>
    <t>קורייאט, יצחק בן אברהם</t>
  </si>
  <si>
    <t>נחלת אבות - א</t>
  </si>
  <si>
    <t>נחלת אבות</t>
  </si>
  <si>
    <t>אסופת גנזים מבית משפחת ששון</t>
  </si>
  <si>
    <t>הלכה ומנהג, נושאים שונים, שאלות ותשובות, תפלות בקשות פיוטים ושירה</t>
  </si>
  <si>
    <t>נחלת אבות - מנהגי יהדות לוב</t>
  </si>
  <si>
    <t>נחלת אבות - 3 כר'</t>
  </si>
  <si>
    <t>נחלת אבות - 2 כר'</t>
  </si>
  <si>
    <t>ברטיסלבה</t>
  </si>
  <si>
    <t>סאטומארע,</t>
  </si>
  <si>
    <t>נחלת אבות - יד לבני בנים</t>
  </si>
  <si>
    <t>מנקין, פתחיה בן אריה ליב - עמיחי, יהודה</t>
  </si>
  <si>
    <t>מנקין, פתחיה</t>
  </si>
  <si>
    <t>נחלת אבות - 7 כר'</t>
  </si>
  <si>
    <t>נחלת אבות - שרשי מנהגי תימן - א</t>
  </si>
  <si>
    <t>נחלת אבות - 6 כר'</t>
  </si>
  <si>
    <t>קובץ תורני במנהגי תימן</t>
  </si>
  <si>
    <t>ראבין, חזקיה הכהן - יהודה הכהן</t>
  </si>
  <si>
    <t>שדה-לבן, משה שמואל בן אליהו</t>
  </si>
  <si>
    <t>נחלת אברהם יצחק</t>
  </si>
  <si>
    <t>קליין, אברהם יצחק</t>
  </si>
  <si>
    <t>נחלת אברהם</t>
  </si>
  <si>
    <t>גולדשטיין, אברהם אלימלך</t>
  </si>
  <si>
    <t>נחלת אברהם - 2 כר'</t>
  </si>
  <si>
    <t>למברגר, אברהם יחיאל</t>
  </si>
  <si>
    <t>נחלת אברהם - 5 כר'</t>
  </si>
  <si>
    <t>פאלייעס, אליעזר בן אברהם</t>
  </si>
  <si>
    <t>נחלת אדן</t>
  </si>
  <si>
    <t>ניזניק, אברהם דוד</t>
  </si>
  <si>
    <t>נחלת אהרן</t>
  </si>
  <si>
    <t>מונטוידאו Montevideo</t>
  </si>
  <si>
    <t>נחלת אלחנן - 3 כר'</t>
  </si>
  <si>
    <t>אינהורן, אלחנן יחזקאל</t>
  </si>
  <si>
    <t>נחלת אליהו</t>
  </si>
  <si>
    <t>דושניצר, אליהו הכהן</t>
  </si>
  <si>
    <t>מחשבה ומוסר, תולדות עם ישראל, תלמוד בבלי, תנ"ך</t>
  </si>
  <si>
    <t>נחלת אליעזר</t>
  </si>
  <si>
    <t>קאהן, חזקיהו אליעזר</t>
  </si>
  <si>
    <t>נחלת אפרים</t>
  </si>
  <si>
    <t>נחלת אריה אליהו - בבא בתרא</t>
  </si>
  <si>
    <t>נחלת אריה</t>
  </si>
  <si>
    <t>אויערבאך, אריה לייביש</t>
  </si>
  <si>
    <t>חסידות, משנה, שאלות ותשובות, תולדות עם ישראל, תלמוד בבלי, תלמוד ירושלמי</t>
  </si>
  <si>
    <t>נחלת אשר</t>
  </si>
  <si>
    <t>מרגליות, אשר בן יהודה ליב</t>
  </si>
  <si>
    <t>נכס, אשר אנשיל</t>
  </si>
  <si>
    <t>נחלת בנימין - 2 כר'</t>
  </si>
  <si>
    <t>בר לב, יחיאל אברהם בן בנימין הלוי</t>
  </si>
  <si>
    <t>נחלת בנימין</t>
  </si>
  <si>
    <t>ברויאר, בנימין זאב וולף בן אלעזר יעקב</t>
  </si>
  <si>
    <t>נחלת בנימין - 16 כר'</t>
  </si>
  <si>
    <t>טלזסטון</t>
  </si>
  <si>
    <t>נחלת בנימין - ביכורים, זרעים</t>
  </si>
  <si>
    <t>ציילברגר, בנימין בן יהודה</t>
  </si>
  <si>
    <t>נחלת בנימן</t>
  </si>
  <si>
    <t>ליפמן אשכנזי, יצחק בנימין זאב וולף בן אליעזר</t>
  </si>
  <si>
    <t>נחלת ברוך</t>
  </si>
  <si>
    <t>נחלת גבריאל</t>
  </si>
  <si>
    <t>מייארא, גבריאל בן שמעון</t>
  </si>
  <si>
    <t>נחלת גד</t>
  </si>
  <si>
    <t>רזי, גד</t>
  </si>
  <si>
    <t>ניר עציון</t>
  </si>
  <si>
    <t>נחלת דבש</t>
  </si>
  <si>
    <t>ברייזאכער, דוד בנימין בן שמואל הלוי</t>
  </si>
  <si>
    <t>נחלת דבש - 4 כר'</t>
  </si>
  <si>
    <t>ליפשיטץ, שבתי</t>
  </si>
  <si>
    <t>נחלת דוד &lt;מהדורה חדשה&gt;</t>
  </si>
  <si>
    <t>נחלת דוד - בראשית, שמות</t>
  </si>
  <si>
    <t>אופנהיים, דוד בן צבי</t>
  </si>
  <si>
    <t>תרצ"ב-תרצ"ד</t>
  </si>
  <si>
    <t>נחלת דוד</t>
  </si>
  <si>
    <t>אמר, יואל</t>
  </si>
  <si>
    <t>נחלת דוד - 4 כר'</t>
  </si>
  <si>
    <t>נחלת דניאל - 2 כר'</t>
  </si>
  <si>
    <t>מהרש"ק, דניאל יוסף</t>
  </si>
  <si>
    <t>נחלת ה' - 1 - 62</t>
  </si>
  <si>
    <t>תשע"ד-תשע"ט</t>
  </si>
  <si>
    <t>נחלת הגרשוני</t>
  </si>
  <si>
    <t>גולדברגר, גרשון אברהם בן יוזף</t>
  </si>
  <si>
    <t>נחלת הלוי</t>
  </si>
  <si>
    <t>נחלת הלוי - יבמות כתובות</t>
  </si>
  <si>
    <t>שיש, יעקב יוסף דב הלוי בן ברוך</t>
  </si>
  <si>
    <t>נחלת הלוים</t>
  </si>
  <si>
    <t>הורוויץ, דוב בר זליג בן ברוך מרדכי הלוי</t>
  </si>
  <si>
    <t>נחלת התלמוד - בבא בתרא</t>
  </si>
  <si>
    <t>נחלת זאב &lt;גרמנית&gt;</t>
  </si>
  <si>
    <t>וולף, זאב</t>
  </si>
  <si>
    <t>קלן</t>
  </si>
  <si>
    <t>נחלת זאב</t>
  </si>
  <si>
    <t>נחלת זאב - 2 כר'</t>
  </si>
  <si>
    <t>נחלת חיים שני</t>
  </si>
  <si>
    <t>נחלת חיים</t>
  </si>
  <si>
    <t>כ"ץ, חיים הלוי בן יהודה ליב נח</t>
  </si>
  <si>
    <t>דרושים, מועדי ישראל, שלחן ערוך ומפרשיו, תלמוד בבלי</t>
  </si>
  <si>
    <t>לזכר רבי חיים בן דוד עוזרי</t>
  </si>
  <si>
    <t>נחלת חמשה</t>
  </si>
  <si>
    <t>גוסטינסקי, חיים משה בן יצחק</t>
  </si>
  <si>
    <t>נחלת יהודה</t>
  </si>
  <si>
    <t>אידלסון, יהודה אידל בן חיים חייקל</t>
  </si>
  <si>
    <t>נחלת יהודה - נדרים</t>
  </si>
  <si>
    <t>פרידמן, אריה בן יהודה מנשה</t>
  </si>
  <si>
    <t>נחלת יהושע</t>
  </si>
  <si>
    <t>אביכזר, שמעון בן ישועה</t>
  </si>
  <si>
    <t>נחלת יהושע - 7 כר'</t>
  </si>
  <si>
    <t>אפרתי, יהושע השל בן יעקב</t>
  </si>
  <si>
    <t>תרי"ד - תשל"ו</t>
  </si>
  <si>
    <t>לבוב Lvov - ירושלים</t>
  </si>
  <si>
    <t>נחלת יהושע - 2 כר'</t>
  </si>
  <si>
    <t>וודיאנר, יהושע קושמאן בן שרגא פייבש</t>
  </si>
  <si>
    <t>קורצר, גרשון בן יהושע פאליק</t>
  </si>
  <si>
    <t>נחלת יואל זאב - 2 כר'</t>
  </si>
  <si>
    <t>גלאטטשטיין, יואל זאב וואלף</t>
  </si>
  <si>
    <t>נניו יורק</t>
  </si>
  <si>
    <t>נחלת יום טוב</t>
  </si>
  <si>
    <t>אולחוב, צבי הירש בן אביגדור</t>
  </si>
  <si>
    <t>נחלת יוסף &lt;מהדורה חדשה&gt; - א</t>
  </si>
  <si>
    <t>ארנגרובר, מרדכי אליעזר בן יוסף</t>
  </si>
  <si>
    <t>נחלת יוסף - א</t>
  </si>
  <si>
    <t>נחלת יוסף - יבמות</t>
  </si>
  <si>
    <t>כולל נחלת יוסף</t>
  </si>
  <si>
    <t>נחלת יוסף - 5 כר'</t>
  </si>
  <si>
    <t>מייזלש, יוסף חנניה ליפא בן אריה יהודה ל</t>
  </si>
  <si>
    <t>נחלת יוסף - 2 כר'</t>
  </si>
  <si>
    <t>שמואל בן יוסף בן ישועה</t>
  </si>
  <si>
    <t>נחלת יחזקאל - 2 כר'</t>
  </si>
  <si>
    <t>ארנטרוי, יחזקאל בן יונה יוסף הכהן</t>
  </si>
  <si>
    <t>נחלת יעקב &lt;דפו"ר&gt;</t>
  </si>
  <si>
    <t>סולניק, יעקב בן בנימין אהרן</t>
  </si>
  <si>
    <t>שצ"ט - ת"ב</t>
  </si>
  <si>
    <t>נחלת יעקב &lt;מהדורה חדשה&gt;</t>
  </si>
  <si>
    <t>פרידמן, אברהם יעקב בן יצחק</t>
  </si>
  <si>
    <t>נחלת יעקב &lt;שארית נחלה&gt;</t>
  </si>
  <si>
    <t>נחלת יעקב יהושע</t>
  </si>
  <si>
    <t>פרומאן, יעקב יהושע בן אפרים פישל</t>
  </si>
  <si>
    <t>נחלת יעקב מליצות</t>
  </si>
  <si>
    <t>יעקב בן נפתלי מגניזן</t>
  </si>
  <si>
    <t>נחלת יעקב - 5 כר'</t>
  </si>
  <si>
    <t>אמסל, יעקב חיים</t>
  </si>
  <si>
    <t>נחלת יעקב</t>
  </si>
  <si>
    <t>באסוק, זלמן יהודה בן אברהם מרדכי</t>
  </si>
  <si>
    <t>נחלת יעקב - 2 כר'</t>
  </si>
  <si>
    <t>בורנשטיין, יעקב</t>
  </si>
  <si>
    <t>בן ברוך, יעקב בן עזרא</t>
  </si>
  <si>
    <t>נחלת יעקב - מגילות</t>
  </si>
  <si>
    <t>היילפרין, יהושע יעקב בן אלחנן</t>
  </si>
  <si>
    <t>נחלת יעקב - 3 כר'</t>
  </si>
  <si>
    <t>זיסברג, יעקב</t>
  </si>
  <si>
    <t>נחלת יעקב - אבני שוהם</t>
  </si>
  <si>
    <t>יעקב אברהם בן רפאל - שמריה זלמן בן יעקב אברהם</t>
  </si>
  <si>
    <t>יעקב בן מרדכי משעפס</t>
  </si>
  <si>
    <t>יעקב קופל בן אהרן זאסלבר</t>
  </si>
  <si>
    <t>נחלת יעקב - 7 כר'</t>
  </si>
  <si>
    <t>דרושים, נושאים שונים, שאלות ותשובות, שאלות ותשובות, תלמוד בבלי, תנ"ך</t>
  </si>
  <si>
    <t>נחלת יעקב - ב</t>
  </si>
  <si>
    <t>צלניק, יעקב</t>
  </si>
  <si>
    <t>קאמנצקי, אברהם יעקב בן ישראל</t>
  </si>
  <si>
    <t>שפטל, חיים יעקב</t>
  </si>
  <si>
    <t>נחלת יצחק - 3 כר'</t>
  </si>
  <si>
    <t>יגיד, אברהם בן יצחק אייזיק</t>
  </si>
  <si>
    <t>נחלת יצחק - 2 כר'</t>
  </si>
  <si>
    <t>סעמיאטיצקי, יצחק צבי (טיקטינר, זיידל)</t>
  </si>
  <si>
    <t>נחלת ישראל - 2 כר'</t>
  </si>
  <si>
    <t>הלר, ישראל בן אהרן</t>
  </si>
  <si>
    <t>נחלת ישראל - נדרים</t>
  </si>
  <si>
    <t>נחלת ישראל - גיטין</t>
  </si>
  <si>
    <t>וייס, ישראל מאיר</t>
  </si>
  <si>
    <t>נחלת ישראל</t>
  </si>
  <si>
    <t>פרידמאן, ישראל בן שלום שכנא</t>
  </si>
  <si>
    <t>קרויס, ישראל נפתלי בן גבריאל</t>
  </si>
  <si>
    <t>נחלת יששכר</t>
  </si>
  <si>
    <t>נחלת כהן</t>
  </si>
  <si>
    <t>כהנא, קאפל</t>
  </si>
  <si>
    <t>נחלת לוי - 2 כר'</t>
  </si>
  <si>
    <t>הלוי, אסי אבן יולי</t>
  </si>
  <si>
    <t>נחלת מאיר</t>
  </si>
  <si>
    <t>נחלת מים - 3 כר'</t>
  </si>
  <si>
    <t>רדנר, יוסף מאיר בן חיים יחיאל</t>
  </si>
  <si>
    <t>נחלת מנוחה</t>
  </si>
  <si>
    <t>נחלת מנשה - הוצאה, מוקצה, סוטה</t>
  </si>
  <si>
    <t>אורשלימי, נוך</t>
  </si>
  <si>
    <t>נחלת משה</t>
  </si>
  <si>
    <t>נחלת משה - הלכות ברכות</t>
  </si>
  <si>
    <t>נחלת משה - 5 כר'</t>
  </si>
  <si>
    <t>רוטשטיין, עוזיאל משה</t>
  </si>
  <si>
    <t>נחלת ניסן עטרת צבי</t>
  </si>
  <si>
    <t>פקר, ניסן</t>
  </si>
  <si>
    <t>נחלת נפתלי</t>
  </si>
  <si>
    <t>הלוי, נפתלי בן פינחס זאב</t>
  </si>
  <si>
    <t>נחלת עולמים</t>
  </si>
  <si>
    <t>יוונין, שמואל בן אברהם יונה</t>
  </si>
  <si>
    <t>נחלת עזרא - 3 כר'</t>
  </si>
  <si>
    <t>הדאיה, עזרא בן שלום</t>
  </si>
  <si>
    <t>נחלת עזריאל &lt;מהדורה חדשה&gt;</t>
  </si>
  <si>
    <t>גרין, עזריאל בן שמעון</t>
  </si>
  <si>
    <t>נחלת עזריאל &lt;פרפראות לחכמה&gt;</t>
  </si>
  <si>
    <t>פינחס בן עזריאל הלוי</t>
  </si>
  <si>
    <t>נחלת עזריאל - 2 כר'</t>
  </si>
  <si>
    <t>אשכנזי, עזריאל בן משה הלוי</t>
  </si>
  <si>
    <t>נחלת עזריאל</t>
  </si>
  <si>
    <t>ליטש-רוזנבוים, עזריאל ליטש סג"ל</t>
  </si>
  <si>
    <t>מליק, חיים יצחק בן משה יעקב</t>
  </si>
  <si>
    <t>קארלנשטיין, עזריאל זליג בן יששכר דוב</t>
  </si>
  <si>
    <t>נחלת עמי - 4 כר'</t>
  </si>
  <si>
    <t>גרוסברג, עמנואל יצחק בן ירוחם פישל</t>
  </si>
  <si>
    <t>נחלת פנחס</t>
  </si>
  <si>
    <t>בלאנק, יצחק בן פנחס</t>
  </si>
  <si>
    <t>ירושלין</t>
  </si>
  <si>
    <t>נחלת צבי</t>
  </si>
  <si>
    <t>אולמאן, נח צבי בן משה</t>
  </si>
  <si>
    <t>בלייער, מרדכי יהודה בן יצחק</t>
  </si>
  <si>
    <t>נחלת צבי - 2 כר'</t>
  </si>
  <si>
    <t>גוטמאכר, צבי בן אליהו</t>
  </si>
  <si>
    <t>גרוס, משולם פייבש צבי בן ראובן</t>
  </si>
  <si>
    <t>טוך פירר, צבי הירש בן שמשון</t>
  </si>
  <si>
    <t>כ"ץ, צבי בן יוסף הכהן</t>
  </si>
  <si>
    <t>תכ"א</t>
  </si>
  <si>
    <t>מכון רבינר הירש</t>
  </si>
  <si>
    <t>סיימן, צבי משה</t>
  </si>
  <si>
    <t>פאליי, צבי זאב</t>
  </si>
  <si>
    <t>פוקס, צבי יהודה בן מנחם אליעזר</t>
  </si>
  <si>
    <t>נחלת צבי - 3 כר'</t>
  </si>
  <si>
    <t>נחלת צבי - 16 כר'</t>
  </si>
  <si>
    <t>קובץ במה למשנת החסידות ותולדותיה</t>
  </si>
  <si>
    <t>נחלת צבי - 6 כר'</t>
  </si>
  <si>
    <t>קליין, אפרים זאב בן צבי אריה</t>
  </si>
  <si>
    <t>נחלת ראובן</t>
  </si>
  <si>
    <t>פלסקר, נחום ראובן בן דוד</t>
  </si>
  <si>
    <t>ראובן בן אברהם הלוי</t>
  </si>
  <si>
    <t>נחלת שבעה &lt;השלם&gt; - 3 כר'</t>
  </si>
  <si>
    <t>שמואל בן דוד משה הלוי</t>
  </si>
  <si>
    <t>נחלת שבעה בת מאה</t>
  </si>
  <si>
    <t>ריבלין, אשר א</t>
  </si>
  <si>
    <t>נחלת שבעה - 4 כר'</t>
  </si>
  <si>
    <t>תכ"ז-תכ"ח</t>
  </si>
  <si>
    <t>נחלת שדה - 6 כר'</t>
  </si>
  <si>
    <t>בן אהרן, איתי חיים בן אהרן</t>
  </si>
  <si>
    <t>נחלת שי - 5 כר'</t>
  </si>
  <si>
    <t>נחלת שלמה</t>
  </si>
  <si>
    <t>ויזמאן, שלמה בן מאיר</t>
  </si>
  <si>
    <t>נחלת שלמה - שמירת הלשון א</t>
  </si>
  <si>
    <t>נחלת שמואל</t>
  </si>
  <si>
    <t>גולדשטיין, נחמיה שמואל בן ראובן</t>
  </si>
  <si>
    <t>מלמד, שמואל דוב בן נחמיה</t>
  </si>
  <si>
    <t>נחלת שמעון - 2 כר'</t>
  </si>
  <si>
    <t>אמוראי, שמעון בן מאיר הכהן</t>
  </si>
  <si>
    <t>תרצ"ט - תש"ט</t>
  </si>
  <si>
    <t>אשכנזי, שמעון בן אברהם</t>
  </si>
  <si>
    <t>נחלת שמעון</t>
  </si>
  <si>
    <t>זרחי, שמעון בן זרח</t>
  </si>
  <si>
    <t>יוסף, שמעון</t>
  </si>
  <si>
    <t>נחלת שמעוני</t>
  </si>
  <si>
    <t>פייזר, שמעון בן יהודה ליב</t>
  </si>
  <si>
    <t>נחלתנו - 6 כר'</t>
  </si>
  <si>
    <t>נחמד ונעים &lt;מהדורה חדשה&gt;</t>
  </si>
  <si>
    <t>נחמד ונעים - 2 כר'</t>
  </si>
  <si>
    <t>נחמד ונעים - 5 כר'</t>
  </si>
  <si>
    <t>תרצ"ד - ת"ש</t>
  </si>
  <si>
    <t>נחמד למראה - 4 כר'</t>
  </si>
  <si>
    <t>תקצ"ב - תרכ"א</t>
  </si>
  <si>
    <t>נחמד למראה</t>
  </si>
  <si>
    <t>וויטנשטיין, זאב דוב בן פסח דוד</t>
  </si>
  <si>
    <t>נחמד למראה - 2 כר'</t>
  </si>
  <si>
    <t>נחמד מזהב</t>
  </si>
  <si>
    <t>טויב, יחזקאל בן צבי הירש</t>
  </si>
  <si>
    <t>נחמו נחמו עמי</t>
  </si>
  <si>
    <t>נחמות ארץ ישראל - 2 כר'</t>
  </si>
  <si>
    <t>בלומברג &lt;קפלן&gt;, נחום בן משה אהרן</t>
  </si>
  <si>
    <t>תרס"ח - הסכ' תרע"א</t>
  </si>
  <si>
    <t>נחמות הנפש</t>
  </si>
  <si>
    <t>נחמות ישראל - 2 כר'</t>
  </si>
  <si>
    <t>נחמות ישראל</t>
  </si>
  <si>
    <t>ברנר, ישראל נחום בן שלמה זלמן אבא</t>
  </si>
  <si>
    <t>נחמות ציון</t>
  </si>
  <si>
    <t>רבינו, מנחם ציון בן שלמה זלמן</t>
  </si>
  <si>
    <t>נחמות צמח ישראל</t>
  </si>
  <si>
    <t>תרס"ט הק'</t>
  </si>
  <si>
    <t>נחמות קדושת ארץ ישראל</t>
  </si>
  <si>
    <t>נחמת אהרן</t>
  </si>
  <si>
    <t>שטיינהויז, אהרן בן משה</t>
  </si>
  <si>
    <t>נחמת אמרתך</t>
  </si>
  <si>
    <t>נחמת דוד</t>
  </si>
  <si>
    <t>לזכר רבי דוד נחמן בלוי</t>
  </si>
  <si>
    <t>נחמת יהודא</t>
  </si>
  <si>
    <t>נחמת יהודה</t>
  </si>
  <si>
    <t>גוזיק, מנחם יהודה בן יצחק יעקב</t>
  </si>
  <si>
    <t>נחמת יוסף</t>
  </si>
  <si>
    <t>נחמת ישראל</t>
  </si>
  <si>
    <t>נחמת מאיר - 2 כר'</t>
  </si>
  <si>
    <t>יוזינט, מאיר</t>
  </si>
  <si>
    <t>שיקאגא</t>
  </si>
  <si>
    <t>נחמת ציון וירושלים</t>
  </si>
  <si>
    <t>נחמת ציון</t>
  </si>
  <si>
    <t>נחמת רות</t>
  </si>
  <si>
    <t>רוטנשטריך, בן ציון בן צבי טוביה הכהן</t>
  </si>
  <si>
    <t>נחמת רפאל</t>
  </si>
  <si>
    <t>נחמת שלמה על מגילת אסתר - 2 כר'</t>
  </si>
  <si>
    <t>נחפה בכסף - 2 כר'</t>
  </si>
  <si>
    <t>תק"ח - תר"ג</t>
  </si>
  <si>
    <t>נחפשה דרכינו ונשובה אל ה'</t>
  </si>
  <si>
    <t>נחפשה דרכינו</t>
  </si>
  <si>
    <t>נחקרה ונשובה</t>
  </si>
  <si>
    <t>אייזנברג, רפאל הלוי</t>
  </si>
  <si>
    <t>נחשוני השמיטה</t>
  </si>
  <si>
    <t>נחת השלחן</t>
  </si>
  <si>
    <t>הלכה ומנהג, חסידות, שלחן ערוך ומפרשיו</t>
  </si>
  <si>
    <t>נחת רוח</t>
  </si>
  <si>
    <t>רוט, יוסף - שטיין מנחם</t>
  </si>
  <si>
    <t>נטילה כדת</t>
  </si>
  <si>
    <t>נטילת ידים כהלכתה</t>
  </si>
  <si>
    <t>נטיעה של שמחה</t>
  </si>
  <si>
    <t>דרושים, הלכה ומנהג, מועדי ישראל, מחשבה ומוסר, משנה, נושאים שונים, תפלות בקשות פיוטים ושירה</t>
  </si>
  <si>
    <t>נטיעה של שמחה - 14 כר'</t>
  </si>
  <si>
    <t>ציינוירט, נטע (עליו)</t>
  </si>
  <si>
    <t>נטיעה של תורה ותפלה</t>
  </si>
  <si>
    <t>נטיעות אד"ר</t>
  </si>
  <si>
    <t>רובינשטיין, אהרן דוד</t>
  </si>
  <si>
    <t>נטיעות הארץ</t>
  </si>
  <si>
    <t>נטיעות חיים</t>
  </si>
  <si>
    <t>שור, אליהו יעקב דוב בן חיים</t>
  </si>
  <si>
    <t>נטיעות משה - תערובות</t>
  </si>
  <si>
    <t>יונגרייז, יצחק אייזיק בן משה נתן הלוי</t>
  </si>
  <si>
    <t>נטיעות משה - 6 כר'</t>
  </si>
  <si>
    <t>יונגרייז, יצחק אייזק בן משה נתן הלוי</t>
  </si>
  <si>
    <t>נטיעות שושנים</t>
  </si>
  <si>
    <t>נטיעת חיים - 3 כר'</t>
  </si>
  <si>
    <t>פפנהיים, חיים צבי בן אברהם שמואל</t>
  </si>
  <si>
    <t>נטע אהלים</t>
  </si>
  <si>
    <t>נטע בתוכינו</t>
  </si>
  <si>
    <t>נטע הארץ</t>
  </si>
  <si>
    <t>נטע הילולים</t>
  </si>
  <si>
    <t>נטע יעקב - 2 כר'</t>
  </si>
  <si>
    <t>כ"ץ, יעקב בן דב</t>
  </si>
  <si>
    <t>נטע משפט זכרון שלמה - 2 כר'</t>
  </si>
  <si>
    <t>קובץ - מכון משנת רבי אהרן</t>
  </si>
  <si>
    <t>נטע רענן</t>
  </si>
  <si>
    <t>לוי, ראובן בן דוד</t>
  </si>
  <si>
    <t>נטע שורק - 3 כר'</t>
  </si>
  <si>
    <t>טננבוים, שרגא צבי בן זאב וולף</t>
  </si>
  <si>
    <t>נטע שעשועים &lt;מהדורה חדשה&gt;</t>
  </si>
  <si>
    <t>טננבוים, נתן נטע בן אברהם</t>
  </si>
  <si>
    <t>נטע שעשועים</t>
  </si>
  <si>
    <t>בויארסקי, נתן נטע בן תנחום</t>
  </si>
  <si>
    <t>דוב בר בן נתן נטע מפינסק</t>
  </si>
  <si>
    <t>מייזלש, אברהם נתן נטע בן משה</t>
  </si>
  <si>
    <t>קארא, צבי הירש בן יעקב</t>
  </si>
  <si>
    <t>נטעי אברהם</t>
  </si>
  <si>
    <t>איטינגא, אברהם בן יוסף הלוי</t>
  </si>
  <si>
    <t>משנה, משנה, משנה, תלמוד בבלי, תלמוד בבלי</t>
  </si>
  <si>
    <t>נטעי אדם</t>
  </si>
  <si>
    <t>אייזנשטיין, דב מאיר</t>
  </si>
  <si>
    <t>נטעי אור</t>
  </si>
  <si>
    <t>נטעי איתן - 8 כר'</t>
  </si>
  <si>
    <t>תרס"א - תרצ"ח</t>
  </si>
  <si>
    <t>נטעי אליהו - 4 כר'</t>
  </si>
  <si>
    <t>משפחת לופיאן</t>
  </si>
  <si>
    <t>נטעי אש"ל</t>
  </si>
  <si>
    <t>לידר, שמואל אהרן</t>
  </si>
  <si>
    <t>נטעי אש</t>
  </si>
  <si>
    <t>נטעי בחורים - 3 כר'</t>
  </si>
  <si>
    <t>מוצן, יצחק</t>
  </si>
  <si>
    <t>נטעי בחורים - 8 כר'</t>
  </si>
  <si>
    <t>קצבורג, אביגדור בן דוד צבי (עורך)</t>
  </si>
  <si>
    <t>וויטצען</t>
  </si>
  <si>
    <t>נטעי גבריאל - 28 כר'</t>
  </si>
  <si>
    <t>נטעי הכרם - 2 כר'</t>
  </si>
  <si>
    <t>נטעי חמד</t>
  </si>
  <si>
    <t>ווייס, נטע צבי בן משה דוב</t>
  </si>
  <si>
    <t>נטעי יוסף</t>
  </si>
  <si>
    <t>ונדרולדה, יעקב בן יוסף</t>
  </si>
  <si>
    <t>נטעי יצחק</t>
  </si>
  <si>
    <t>רוזנגרטן, חיים יצחק עוזר</t>
  </si>
  <si>
    <t>נטעי נאמנה</t>
  </si>
  <si>
    <t>נטעי נאמנים</t>
  </si>
  <si>
    <t>ברגר, נטע יעקב בן מרדכי דוב</t>
  </si>
  <si>
    <t>נטעי נעמנים - 3 כר'</t>
  </si>
  <si>
    <t>איחוד תלמידי קלעצק ובית מדרש גבוה</t>
  </si>
  <si>
    <t>נטעי נעמנים</t>
  </si>
  <si>
    <t>Breslauברסלאו</t>
  </si>
  <si>
    <t>סלוצקי, חיים יעקב בן יהודה ליב</t>
  </si>
  <si>
    <t>נטעי נעמנים - א</t>
  </si>
  <si>
    <t>נטעי נעמנים - כתובות</t>
  </si>
  <si>
    <t>נטעי נעמנים - 2 כר'</t>
  </si>
  <si>
    <t>נטעי נתן</t>
  </si>
  <si>
    <t>פריעד, נתן נטע בן חיים</t>
  </si>
  <si>
    <t>משנה, משנה, תלמוד בבלי, תלמוד בבלי</t>
  </si>
  <si>
    <t>נטעי שושנה</t>
  </si>
  <si>
    <t>נטעי שושנים</t>
  </si>
  <si>
    <t>נטעי שלום</t>
  </si>
  <si>
    <t>גולדשטיין, מרדכי</t>
  </si>
  <si>
    <t>נטעי שמחה</t>
  </si>
  <si>
    <t>נטעי-נתן</t>
  </si>
  <si>
    <t>זייציק, נתן נטע בן ראובן הכהן</t>
  </si>
  <si>
    <t>נטפי אורות השירה</t>
  </si>
  <si>
    <t>נטפי דבש - 4 כר'</t>
  </si>
  <si>
    <t>כולל רצופות</t>
  </si>
  <si>
    <t>נטפי המים - 2 כר'</t>
  </si>
  <si>
    <t>נטפי חיים</t>
  </si>
  <si>
    <t>נטפי מעיינות גנזי חנוכה</t>
  </si>
  <si>
    <t>נטפי משה - 2 כר'</t>
  </si>
  <si>
    <t>סלושץ, חיים משה אהרן</t>
  </si>
  <si>
    <t>נטפי נאומים</t>
  </si>
  <si>
    <t>לווינזון, יהודה בן דוד</t>
  </si>
  <si>
    <t>ניב המדרשיה - 6 כר'</t>
  </si>
  <si>
    <t>ניב המורה (קובץ תורני) - 2 כר'</t>
  </si>
  <si>
    <t>בטאון הסתדרות מורי אגו"י בא"י</t>
  </si>
  <si>
    <t>ניב המורה - 72 כר'</t>
  </si>
  <si>
    <t>ניב והגות</t>
  </si>
  <si>
    <t>ניב מנחם - 2 כר'</t>
  </si>
  <si>
    <t>צ'צ'יק, מנחם מנדל בן אברהם חיים</t>
  </si>
  <si>
    <t>ניב שפתים על הלכות מבשל בשבת</t>
  </si>
  <si>
    <t>ניב, דוד</t>
  </si>
  <si>
    <t>ניב שפתים - שערי ציון</t>
  </si>
  <si>
    <t>במברגר, בן ציון הלוי - יברוב, נחום</t>
  </si>
  <si>
    <t>ניב שפתים - 2 כר'</t>
  </si>
  <si>
    <t>ניבון עברי</t>
  </si>
  <si>
    <t>כהן, טוביה אליעזר בן משה</t>
  </si>
  <si>
    <t>ניבי נפתלי</t>
  </si>
  <si>
    <t>אלבום, נפתלי אהרן בן יעקב מרדכי</t>
  </si>
  <si>
    <t>ניבי שלום</t>
  </si>
  <si>
    <t>עשורי, יניב בן נתן</t>
  </si>
  <si>
    <t>ניבת נחום</t>
  </si>
  <si>
    <t>פרייז, מנחם נחום בן יוסף</t>
  </si>
  <si>
    <t>ניגון כשר מנגן כשר ושו"ת</t>
  </si>
  <si>
    <t>ניגוני הרבי שלימד לאורך השנים</t>
  </si>
  <si>
    <t>קונטרסי תשורה משמחות חסידות חב"ד</t>
  </si>
  <si>
    <t>נידוני המועדים</t>
  </si>
  <si>
    <t>וילנברג, בצלאל</t>
  </si>
  <si>
    <t>נידונים הלכתיים שכיחים לנופשים</t>
  </si>
  <si>
    <t>כולל מקדשי שביעי</t>
  </si>
  <si>
    <t>ניות ברמה - 4 כר'</t>
  </si>
  <si>
    <t>קובץ, בית מדרש לקדשים במעלה הזיתים</t>
  </si>
  <si>
    <t>ניחוח אבות</t>
  </si>
  <si>
    <t>ניחום אבלים</t>
  </si>
  <si>
    <t>ניט אויסדערציילן</t>
  </si>
  <si>
    <t>פרלשטיין, יוסף</t>
  </si>
  <si>
    <t>נימוקי אורח חיים &lt;מהדורה חדשה&gt;</t>
  </si>
  <si>
    <t>נימוקי אורח חיים</t>
  </si>
  <si>
    <t>נימוקי המנחה</t>
  </si>
  <si>
    <t>ראטה, שמואל בן חיים אלטר</t>
  </si>
  <si>
    <t>נימוקי חיים</t>
  </si>
  <si>
    <t>האגר, חיים בן ברוך</t>
  </si>
  <si>
    <t>הלכה ומנהג, שאלות ותשובות, שלחן ערוך ומפרשיו, תולדות עם ישראל, תלמוד בבלי, תנ"ך</t>
  </si>
  <si>
    <t>נימוקי יוסף</t>
  </si>
  <si>
    <t>זאנד, יוסף</t>
  </si>
  <si>
    <t>נימוקי יעקב</t>
  </si>
  <si>
    <t>הלברשטאם, יעקב בן אריה ליבוש</t>
  </si>
  <si>
    <t>נימוקי לוי - א</t>
  </si>
  <si>
    <t>נימוקי מלב"ם - 2 כר'</t>
  </si>
  <si>
    <t>שפירא, משה אריה ליב בן מאיר בנימין</t>
  </si>
  <si>
    <t>נימוקי רידב"ז</t>
  </si>
  <si>
    <t>נימוקי רמח"ל על עניני ר"ה ויוה"כ</t>
  </si>
  <si>
    <t>ניצוצות בפסוקים שבתורה</t>
  </si>
  <si>
    <t>ניצוצות האור והתקוה</t>
  </si>
  <si>
    <t>אייזנברג, שושנה בלומה</t>
  </si>
  <si>
    <t>ניצוצות מעולם האצילות - א</t>
  </si>
  <si>
    <t>בית המדרש קדושת ישככר סאווראן</t>
  </si>
  <si>
    <t>ניצוצי אגרות</t>
  </si>
  <si>
    <t>ניצוצי אור החיים הקדוש</t>
  </si>
  <si>
    <t>ניצוצי אור החיים - ב"ק, ב"מ, ב"ב</t>
  </si>
  <si>
    <t>ניצוצי אור המאיר</t>
  </si>
  <si>
    <t>שפירא, מאיר - סורסקי, אהרן</t>
  </si>
  <si>
    <t>ניצוצי אור</t>
  </si>
  <si>
    <t>חדאד, אליהו מאיר</t>
  </si>
  <si>
    <t>ניצוצי אור - 2 כר'</t>
  </si>
  <si>
    <t>ליקוט מתורת אדמור"י גור</t>
  </si>
  <si>
    <t>ניצוצי אורות - ב (ניצוצי התחיה)</t>
  </si>
  <si>
    <t>אושפיזאי, משה בן ציון הלוי</t>
  </si>
  <si>
    <t>ניצוצי אש פנחס</t>
  </si>
  <si>
    <t>הירשפרונג, פנחס - וויליגר, יהודה שרגא</t>
  </si>
  <si>
    <t>דרושים, נושאים שונים, תלמוד בבלי, תלמוד ירושלמי</t>
  </si>
  <si>
    <t>ניצוצי אש</t>
  </si>
  <si>
    <t>גרשנוביץ, ראובן יוסף (עליו)</t>
  </si>
  <si>
    <t>ניצוצי גבורה</t>
  </si>
  <si>
    <t>ניצוצי החסד לאברהם - ב</t>
  </si>
  <si>
    <t>ניצוצי התורה - 5 כר'</t>
  </si>
  <si>
    <t>ניצוצי התפארת שלמה - 2 כר'</t>
  </si>
  <si>
    <t>רבינוביץ, שלמה בן דוב צבי הכהן</t>
  </si>
  <si>
    <t>ניצוצי חמה</t>
  </si>
  <si>
    <t>הורביץ, חיים משה הלוי</t>
  </si>
  <si>
    <t>ניצוצי יעב"ץ -דקדוקי יעב"ץ - נסתרות יעב"ץ</t>
  </si>
  <si>
    <t>ניצוצי ישראל</t>
  </si>
  <si>
    <t>ניצוצי צבי מאיר</t>
  </si>
  <si>
    <t>ניצוצי ציון</t>
  </si>
  <si>
    <t>בלוי, בן ציון בן אברהם</t>
  </si>
  <si>
    <t>ניצוצי רש"י - 2 כר'</t>
  </si>
  <si>
    <t>פרוסקין, יהושע בן שמואל</t>
  </si>
  <si>
    <t>ניצוצי שמשון &lt;מהדורה חדשה&gt;</t>
  </si>
  <si>
    <t>שמשון בן פסח מאוסטרופולי - בומבך, אברהם יעקב בן יוסף אשר</t>
  </si>
  <si>
    <t>ניצוצי שמשון &lt;מהדורה ישנה&gt;</t>
  </si>
  <si>
    <t>חסידות, משנה, נושאים שונים, תלמוד בבלי, תנ"ך</t>
  </si>
  <si>
    <t>ניצוצין בפסוקי התורה</t>
  </si>
  <si>
    <t>ניצוצין בפסוקים שבתורה</t>
  </si>
  <si>
    <t>ניצוצין מאירין</t>
  </si>
  <si>
    <t>ניצני ארץ - 2 כר'</t>
  </si>
  <si>
    <t>גליקסברג, שלמה</t>
  </si>
  <si>
    <t>ניצני ארץ - יח</t>
  </si>
  <si>
    <t>ניצני ארץ - 5 כר'</t>
  </si>
  <si>
    <t>קובץ ישיבת מרכז הרב</t>
  </si>
  <si>
    <t>ניצני הנגב - 5</t>
  </si>
  <si>
    <t>קובץ בית מדרש גבוה לתלמוד ולהוראה בנגב</t>
  </si>
  <si>
    <t>ניצני ניסן</t>
  </si>
  <si>
    <t>המאירי, ניסן</t>
  </si>
  <si>
    <t>צשלר, ניסן בן יצחק אייזיק</t>
  </si>
  <si>
    <t>ניצני עוז בימי עברה</t>
  </si>
  <si>
    <t>אלעזר, יעקב</t>
  </si>
  <si>
    <t>ניצני תורה</t>
  </si>
  <si>
    <t>ניקוד ומשמעותו במקרא - א שורוק חולם</t>
  </si>
  <si>
    <t>ניקור המעשי בתמונות</t>
  </si>
  <si>
    <t>ניר לבית הלוי</t>
  </si>
  <si>
    <t>ניר לדוד ולזרעו</t>
  </si>
  <si>
    <t>אלדמן, צבי הירש</t>
  </si>
  <si>
    <t>ניר לדוד</t>
  </si>
  <si>
    <t>ניימאן, דוד</t>
  </si>
  <si>
    <t>ניר לדוד - 2 כר'</t>
  </si>
  <si>
    <t>פינקל, אליעזר דוד בן משה</t>
  </si>
  <si>
    <t>נישואין כהלכה</t>
  </si>
  <si>
    <t>נישואין משלחן גבוה</t>
  </si>
  <si>
    <t>ברלין, זאב</t>
  </si>
  <si>
    <t>נכבדי נעם - 3 כר'</t>
  </si>
  <si>
    <t>זליבנסקי, פנחס בן מרדכי אלתר</t>
  </si>
  <si>
    <t>נכון כסאך</t>
  </si>
  <si>
    <t>נכון להיום &lt;מסכת אבות&gt; - 2 כר'</t>
  </si>
  <si>
    <t>נכון להיום - ויקרא, במדבר, דברים</t>
  </si>
  <si>
    <t>נכח השלחן &lt;מכון הכתב&gt;</t>
  </si>
  <si>
    <t>נכח השלחן</t>
  </si>
  <si>
    <t>נכח השלחן - 2 כר'</t>
  </si>
  <si>
    <t>צביון, דן</t>
  </si>
  <si>
    <t>נכנס יין יצא סוד</t>
  </si>
  <si>
    <t>נכנס יין</t>
  </si>
  <si>
    <t>איבלאגון, אברהם בן דוד</t>
  </si>
  <si>
    <t>נכנס יין - מגילת המלך</t>
  </si>
  <si>
    <t>נכספה</t>
  </si>
  <si>
    <t>שיש, דוד -קטינא, יהושע העשיל</t>
  </si>
  <si>
    <t>נמוקי הלכה</t>
  </si>
  <si>
    <t>קסלר, מאיר נתן</t>
  </si>
  <si>
    <t>נמוקי יוסף &lt;מהדורת בלוי&gt; - שבת</t>
  </si>
  <si>
    <t>חביבא יוסף בן דוד</t>
  </si>
  <si>
    <t>נמוקי יוסף &lt;מהדורת בלוי&gt; - 6 כר'</t>
  </si>
  <si>
    <t>חביבא, יוסף בן דוד</t>
  </si>
  <si>
    <t>נמוקי יוסף - 7 כר'</t>
  </si>
  <si>
    <t>נמוקי רש"י ז"ל - 4 כר'</t>
  </si>
  <si>
    <t>נמוקי שזבנ"י</t>
  </si>
  <si>
    <t>נמוקי שמואל &lt;מעולפת ספירים&gt;</t>
  </si>
  <si>
    <t>נמכר יוסף השלם</t>
  </si>
  <si>
    <t>נמלא טל - 3 כר'</t>
  </si>
  <si>
    <t>כהנוב, לוי ירמיהו בן מנחם נחום הכהן</t>
  </si>
  <si>
    <t>נס ההצלה של הרבי מגור</t>
  </si>
  <si>
    <t>נס ההצלה של ישיבת מיר</t>
  </si>
  <si>
    <t>נס ההצלה של רה"ק מסאטמאר</t>
  </si>
  <si>
    <t>נס ההצלה</t>
  </si>
  <si>
    <t>נס התשובה</t>
  </si>
  <si>
    <t>נס חנוכה במקום ובזמן</t>
  </si>
  <si>
    <t>נס חנוכה - אגדת פך השמן</t>
  </si>
  <si>
    <t>ברייזמן, ברוך בן חיים חייקיל</t>
  </si>
  <si>
    <t>נס יהודה - 3 כר'</t>
  </si>
  <si>
    <t>שוב, ניסן יהודה ליב בן יצחק אליעזר</t>
  </si>
  <si>
    <t>נס להתנוסס</t>
  </si>
  <si>
    <t>שוורץ, יואל בן אהרן, זילברשטיין יצחק</t>
  </si>
  <si>
    <t>מחשבה ומוסר, שאלות ותשובות, תולדות עם ישראל</t>
  </si>
  <si>
    <t>נס לשושנים (אידיש)</t>
  </si>
  <si>
    <t>רכס, שמואל</t>
  </si>
  <si>
    <t>נס לשושנים</t>
  </si>
  <si>
    <t>הלכה ומנהג, מועדי ישראל, תלמוד בבלי, תלמוד בבלי</t>
  </si>
  <si>
    <t>נס פך השמן</t>
  </si>
  <si>
    <t>נסי מלחמת המפרץ</t>
  </si>
  <si>
    <t>שכטר, סימה</t>
  </si>
  <si>
    <t>נסיונות אברהם</t>
  </si>
  <si>
    <t>לוריא, אברהם בן ניסן</t>
  </si>
  <si>
    <t>נסיונות</t>
  </si>
  <si>
    <t>נסיך מלכות התורה - הגרי"מ גורדון</t>
  </si>
  <si>
    <t>נסיך ממלכת התורה - הגרש"ז ברוידא</t>
  </si>
  <si>
    <t>נסים ונפלאות</t>
  </si>
  <si>
    <t>נסיעה לצדיק</t>
  </si>
  <si>
    <t>נסיעות והליכה בדרכים בהלכה</t>
  </si>
  <si>
    <t>נסיעות לאה"ק מאדמו"ר שליט"א מגור</t>
  </si>
  <si>
    <t>נסיעת הבעל שם טוב לארץ ישראל</t>
  </si>
  <si>
    <t>נסך לה'</t>
  </si>
  <si>
    <t>נסכתי מלכי על ציון</t>
  </si>
  <si>
    <t>הכהן, בן ציון בן יוסף</t>
  </si>
  <si>
    <t>נספח לתלמוד ירושלמי כתב יד ליידן</t>
  </si>
  <si>
    <t>ליברמן, שאול</t>
  </si>
  <si>
    <t>נספחים לסדר אליהו זוטא</t>
  </si>
  <si>
    <t>נספר נפלאותיך</t>
  </si>
  <si>
    <t>גדי, אברהם בן שמעון שלום</t>
  </si>
  <si>
    <t>נעים זמירות ישראל - 8 כר'</t>
  </si>
  <si>
    <t>נעים זמירות ישראל</t>
  </si>
  <si>
    <t>סרוק, ישראל</t>
  </si>
  <si>
    <t>מועדי ישראל, משנה, קבלה, תפלות בקשות פיוטים ושירה</t>
  </si>
  <si>
    <t>נעימה קדושה &lt;שפה ברורה&gt; א - ב</t>
  </si>
  <si>
    <t>נעימה קדושה &lt;ברכת יוסף&gt;</t>
  </si>
  <si>
    <t>נעימות ברוך</t>
  </si>
  <si>
    <t>רבינוביץ, יוסף ברוך פנחס</t>
  </si>
  <si>
    <t>נעימות נצח - 3 כר'</t>
  </si>
  <si>
    <t>נעימות נצח</t>
  </si>
  <si>
    <t>מכתבי קודש זקני חסידי ברסלב</t>
  </si>
  <si>
    <t>נעימת החיים</t>
  </si>
  <si>
    <t>גרוס, חיים בן פנחס</t>
  </si>
  <si>
    <t>נעימת המגילה</t>
  </si>
  <si>
    <t>פריעדמאן, אליעזר זוסיא</t>
  </si>
  <si>
    <t>נעכטן היינט און מארגן</t>
  </si>
  <si>
    <t>גולדין, יוסף</t>
  </si>
  <si>
    <t>נעלה ביהודה - 6 כר'</t>
  </si>
  <si>
    <t>גליק, יונתן בנימין בן יהודה</t>
  </si>
  <si>
    <t>נעם אהרן</t>
  </si>
  <si>
    <t>בן פורת, אליעזר בן משה הכהן</t>
  </si>
  <si>
    <t>נעם אליעזר - 4 כר'</t>
  </si>
  <si>
    <t>נעם אמרי - 5 כר'</t>
  </si>
  <si>
    <t>נעם הליכות</t>
  </si>
  <si>
    <t>זילברמן, יעקב</t>
  </si>
  <si>
    <t>נעם חן</t>
  </si>
  <si>
    <t>נעם יעקב - 2 כר'</t>
  </si>
  <si>
    <t>ענתבי, משה בן אברהם</t>
  </si>
  <si>
    <t>נעם מגדים - 2 כר'</t>
  </si>
  <si>
    <t>חאייטין, משה בן זאב</t>
  </si>
  <si>
    <t>נעם שבת - 4 כר'</t>
  </si>
  <si>
    <t>נעם שיח</t>
  </si>
  <si>
    <t>אינהורן, יצחק נתן</t>
  </si>
  <si>
    <t>נעם שיח - 2 כר'</t>
  </si>
  <si>
    <t>הורביץ, ישראל זישא הלוי</t>
  </si>
  <si>
    <t>נעמות בימינך</t>
  </si>
  <si>
    <t>נעמת לי מאד</t>
  </si>
  <si>
    <t>נער הייתי</t>
  </si>
  <si>
    <t>קוזי, ערן</t>
  </si>
  <si>
    <t>נער ישראל</t>
  </si>
  <si>
    <t>נעשה אדם</t>
  </si>
  <si>
    <t>נעשה ונשמע</t>
  </si>
  <si>
    <t>נעשה ונשמע - 2 כר'</t>
  </si>
  <si>
    <t>נעשה לך</t>
  </si>
  <si>
    <t>אברמסון, שמואל אביגדור בן אבא</t>
  </si>
  <si>
    <t>נפוצות יהודה - 5 כר'</t>
  </si>
  <si>
    <t>מוסקאטו, יהודה בן יוסף</t>
  </si>
  <si>
    <t>נפלאו דבריך</t>
  </si>
  <si>
    <t>נפלאות אליהו</t>
  </si>
  <si>
    <t>נפלאות אשר</t>
  </si>
  <si>
    <t>[אחר תר"ף,</t>
  </si>
  <si>
    <t>סעיני,</t>
  </si>
  <si>
    <t>נפלאות בעיננו</t>
  </si>
  <si>
    <t>אלטמן, יוסף מאיר</t>
  </si>
  <si>
    <t>נפלאות בתורה</t>
  </si>
  <si>
    <t>נפלאות גדולות</t>
  </si>
  <si>
    <t>? - תשי"ד</t>
  </si>
  <si>
    <t>נפלאות האמונה - 2 כר'</t>
  </si>
  <si>
    <t>נפלאות הבעל שם</t>
  </si>
  <si>
    <t>נפלאות הגאונים</t>
  </si>
  <si>
    <t>תרפ"ד - תשי"ד</t>
  </si>
  <si>
    <t>וארשא - ניו יורק</t>
  </si>
  <si>
    <t>נפלאות הזהר</t>
  </si>
  <si>
    <t>זוהר. ליקוטים. תרפ"ז. מונטריול</t>
  </si>
  <si>
    <t>נפלאות החוזה</t>
  </si>
  <si>
    <t>הורוויץ, יעקב יצחק הלוי</t>
  </si>
  <si>
    <t>נפלאות היהודי</t>
  </si>
  <si>
    <t>נפלאות המהר"ל - מעשה פונ'ם מהר"ל מפראג &lt;בלה"ק ובאידיש&gt;</t>
  </si>
  <si>
    <t>נפלאות המהר"ל</t>
  </si>
  <si>
    <t>מח"ד</t>
  </si>
  <si>
    <t>נפלאות הסבא קדישא &lt;מהדורה חדשה&gt; - א</t>
  </si>
  <si>
    <t>צ'ארניחה, ראובן חיים אלכסנדר בן יוסף יהודה</t>
  </si>
  <si>
    <t>חסידות, משנה, נושאים שונים, תנ"ך</t>
  </si>
  <si>
    <t>נפלאות הסבא קדישא - 2 כר'</t>
  </si>
  <si>
    <t>נפלאות הצדיקים - 2 כר'</t>
  </si>
  <si>
    <t>למברגר, יקותיאל זלמן בן חיים יהושע השל</t>
  </si>
  <si>
    <t>נפלאות הקדושים</t>
  </si>
  <si>
    <t>נפלאות הקדיש</t>
  </si>
  <si>
    <t>נפלאות הרבי &lt;מהדורה חדשה&gt;</t>
  </si>
  <si>
    <t>נפלאות הרבי ר' בונם מפרשיסחא</t>
  </si>
  <si>
    <t>נפלאות הצדיקים</t>
  </si>
  <si>
    <t>נפלאות הרבי</t>
  </si>
  <si>
    <t>נפלאות השם</t>
  </si>
  <si>
    <t>נפלאות התפארת שלמה</t>
  </si>
  <si>
    <t>זילברשטיין, אברהם שמואל צבי הירש בן אבי</t>
  </si>
  <si>
    <t>נפלאות חדשות &lt;דפו"ר&gt;</t>
  </si>
  <si>
    <t>ליפשיץ, נח בן אברהם</t>
  </si>
  <si>
    <t>נפלאות חדשות</t>
  </si>
  <si>
    <t>נפלאות חדשות - 2 כר'</t>
  </si>
  <si>
    <t>נפלאות יעקב - בראשית</t>
  </si>
  <si>
    <t>פקטע, יעקב זאב בן צבי</t>
  </si>
  <si>
    <t>נפלאות ישראל</t>
  </si>
  <si>
    <t>מעשיות מגדולי ישראל</t>
  </si>
  <si>
    <t>נפלאות מהר"ל - 2 כר'</t>
  </si>
  <si>
    <t>נפלאות מהרי"ט</t>
  </si>
  <si>
    <t>טייעטלבוים, יואל בן חנניה יום טוב ליפא</t>
  </si>
  <si>
    <t>נפלאות מתורת השי"ת</t>
  </si>
  <si>
    <t>נפלאות מתורתיך</t>
  </si>
  <si>
    <t>אדרי, ראובן שמעון</t>
  </si>
  <si>
    <t>נפלאות מתורתך &lt;במדבר א&gt;</t>
  </si>
  <si>
    <t>נפלאות מתורתך &lt;במדבר ב&gt;</t>
  </si>
  <si>
    <t>נפלאות מתורתך</t>
  </si>
  <si>
    <t>ארונובסקי, מרדכי נחמן בן מאיר חיים</t>
  </si>
  <si>
    <t>חדאד, שושן בן פרז'י</t>
  </si>
  <si>
    <t>נפלאות מתורתך - בראשית, חנוכה</t>
  </si>
  <si>
    <t>כהן, עופר</t>
  </si>
  <si>
    <t>נפלאות מתורתך - 2 כר'</t>
  </si>
  <si>
    <t>נפלאות רבי יהושע מדינוב</t>
  </si>
  <si>
    <t>שניד, יוסף - וונדר, מאיר</t>
  </si>
  <si>
    <t>נפלאות רש"י - 2 כר'</t>
  </si>
  <si>
    <t>נפלאות - 31 כר'</t>
  </si>
  <si>
    <t>נפלאותיך אשיחה - 2 כר'</t>
  </si>
  <si>
    <t>קלוגער, אברהם צבי</t>
  </si>
  <si>
    <t>נפלאים מעשיך - רוב וחזקות פ"ק דחולין</t>
  </si>
  <si>
    <t>נפלאים מעשיך</t>
  </si>
  <si>
    <t>נפלאים מעשיך - 2 כר'</t>
  </si>
  <si>
    <t>נפלאתיך אשיחה</t>
  </si>
  <si>
    <t>בן-נאים, יוסף בן יצחק</t>
  </si>
  <si>
    <t>(פאס),</t>
  </si>
  <si>
    <t>נפש אד"ם &lt;מהדורה חדשה&gt;</t>
  </si>
  <si>
    <t>קרויז, אברהם משה דוד סג"ל</t>
  </si>
  <si>
    <t>נפש אד"ם</t>
  </si>
  <si>
    <t>נפש אדוני'</t>
  </si>
  <si>
    <t>שמלצר, אדוניהו</t>
  </si>
  <si>
    <t>נפש אדם</t>
  </si>
  <si>
    <t>משה וואלף בן פנחס</t>
  </si>
  <si>
    <t>נפש אחת מישראל</t>
  </si>
  <si>
    <t>ארלנגר, רחל</t>
  </si>
  <si>
    <t>נפש אליהו &lt;מהדורה חדשה&gt;</t>
  </si>
  <si>
    <t>נפש אליהו</t>
  </si>
  <si>
    <t>נפש בצלאל - 2 כר'</t>
  </si>
  <si>
    <t>נפש ברכה - ב (ויקרא, במדבר, דברים)</t>
  </si>
  <si>
    <t>בלוי, משה</t>
  </si>
  <si>
    <t>נפש דוד</t>
  </si>
  <si>
    <t>בוכנר, דוד בן משה הכהן</t>
  </si>
  <si>
    <t>דוד טבל בן נתן נטע מליסה</t>
  </si>
  <si>
    <t>שלחן ערוך ומפרשיו, שלחן ערוך ומפרשיו, תלמוד בבלי, תנ"ך</t>
  </si>
  <si>
    <t>די מדינה, דוד בן משה</t>
  </si>
  <si>
    <t>דייטש, דוד נתן בן יוסף יואל</t>
  </si>
  <si>
    <t>נפש הגר</t>
  </si>
  <si>
    <t>לוונשטיין, מרדכי בן צבי הלוי</t>
  </si>
  <si>
    <t>תרס"ו - תרע"ב</t>
  </si>
  <si>
    <t>נפש החיים &lt;ביאור יראת חיים&gt;</t>
  </si>
  <si>
    <t>נפש החיים &lt;ובחרת בחיים&gt;</t>
  </si>
  <si>
    <t>חיים בן יצחק מוולוז'ין - גולדברג, אהרן דוד</t>
  </si>
  <si>
    <t>נפש החיים &lt;רנת יצחק&gt;</t>
  </si>
  <si>
    <t>חיים בן יצחק מוולוז'ין - סורוצקין, אברהם יצחק בן ברוך</t>
  </si>
  <si>
    <t>נפש החיים &lt;לוח הלימוד היומי&gt;</t>
  </si>
  <si>
    <t>נפש החיים &lt;מילואים וציונים ליקוטים והוספות&gt;</t>
  </si>
  <si>
    <t>נפש החיים עם ביאור משיבת נפש - 4 כר'</t>
  </si>
  <si>
    <t>חיים בן יצחק מוולוז'ין - לויכטר, ראובן</t>
  </si>
  <si>
    <t>נפש החיים שער ד עם ביאור נשמת יונה</t>
  </si>
  <si>
    <t>חיים בן יצחק מוולוז'ין - פורמן, אברהם בן מנחם מנדל הלוי</t>
  </si>
  <si>
    <t>נפש החיים - הקדמות ושערים</t>
  </si>
  <si>
    <t>חיים בן יצחק מוולוז'ין - אפשטיין, בן ציון (מבאר)</t>
  </si>
  <si>
    <t>נפש החיים - 4 כר'</t>
  </si>
  <si>
    <t>נפש המסכת - ענג שבת</t>
  </si>
  <si>
    <t>נפש הרב</t>
  </si>
  <si>
    <t>סולובייצ'יק, יוסף דוב בן משה הלוי - שכטר, צבי בן אלימלך</t>
  </si>
  <si>
    <t>נפש זכ"ה</t>
  </si>
  <si>
    <t>לזכרו של ר' זכריה בן יפת הכהן</t>
  </si>
  <si>
    <t>נפש חיה &lt;מהדורה חדשה&gt;</t>
  </si>
  <si>
    <t>נפש חיה</t>
  </si>
  <si>
    <t>גורדון, אברהם יעקב</t>
  </si>
  <si>
    <t>נפש חיה - 7 כר'</t>
  </si>
  <si>
    <t>וואקס, חיים אלעזר בן אברהם יהודה ליבוש</t>
  </si>
  <si>
    <t>נפש חיה - 2 כר'</t>
  </si>
  <si>
    <t>ישיבת שערי שמחה</t>
  </si>
  <si>
    <t>לאנדא, ישראל בן יהודה הלוי</t>
  </si>
  <si>
    <t>מחשבה ומוסר, תלמוד בבלי, תלמוד בבלי</t>
  </si>
  <si>
    <t>פולאק, פנחס שלום בן משה חיים</t>
  </si>
  <si>
    <t>צבאן, רפאל כדיר</t>
  </si>
  <si>
    <t>נפש חיים &lt;מהדורה חדשה&gt;</t>
  </si>
  <si>
    <t>נפש חיים</t>
  </si>
  <si>
    <t>נפש חנה - 2 כר'</t>
  </si>
  <si>
    <t>נפש טוב</t>
  </si>
  <si>
    <t>נפש טובה</t>
  </si>
  <si>
    <t>ירושלמי, פינחס נפתלי בן יצחק</t>
  </si>
  <si>
    <t>נפש יהודה - 2 כר'</t>
  </si>
  <si>
    <t>נפש יהונתן &lt;ציון לנפש&gt; - 2 כר'</t>
  </si>
  <si>
    <t>מחשבה ומוסר, שאר ספרי חז"ל</t>
  </si>
  <si>
    <t>נפש יהונתן - 3 כר'</t>
  </si>
  <si>
    <t>כהן, יהונתן בנימין בן משה אריה</t>
  </si>
  <si>
    <t>נפש יוסף &lt;זמירות שבת&gt;</t>
  </si>
  <si>
    <t>דוידוויטש, יוסף</t>
  </si>
  <si>
    <t>נפש יוסף</t>
  </si>
  <si>
    <t>וויס, יוסף</t>
  </si>
  <si>
    <t>רושלים</t>
  </si>
  <si>
    <t>מורדוך, יוסף בן רפאל שלמה</t>
  </si>
  <si>
    <t>נפש יחזקאל - מאמרים</t>
  </si>
  <si>
    <t>טאוב, יחזקאל צבי</t>
  </si>
  <si>
    <t>נפש יחזקאל - 3 כר'</t>
  </si>
  <si>
    <t>פלס, יחזקאל בן בנימין מנחם</t>
  </si>
  <si>
    <t>נפש יצחק</t>
  </si>
  <si>
    <t>קובץ הספדים לזכרו של רבי יצחק גולדשטיין</t>
  </si>
  <si>
    <t>נפש יקרה</t>
  </si>
  <si>
    <t>ריסנר, אברהם (עליו)</t>
  </si>
  <si>
    <t>נפש ישעיה - א</t>
  </si>
  <si>
    <t>נפש יששכר - 2 כר'</t>
  </si>
  <si>
    <t>נפש כל חי</t>
  </si>
  <si>
    <t>נפש להרב פינחס קהתי</t>
  </si>
  <si>
    <t>קהתי, פנחס</t>
  </si>
  <si>
    <t>נפש לחבר</t>
  </si>
  <si>
    <t>ליפשיץ, יצחק בן משה</t>
  </si>
  <si>
    <t>נפש לכהר"ר סעדיה עוזרי</t>
  </si>
  <si>
    <t>קובץ מאמרי זכרון</t>
  </si>
  <si>
    <t>נפש לראובן</t>
  </si>
  <si>
    <t>הלכה ומנהג, נושאים שונים, קבצים וכתבי עת, ספרי זכרון ויובל, תלמוד בבלי</t>
  </si>
  <si>
    <t>נפש נקי וצדיק</t>
  </si>
  <si>
    <t>תולודת רבי יצחק נתן קופרשטאק</t>
  </si>
  <si>
    <t>נפש נקי חקוק לזכרון</t>
  </si>
  <si>
    <t>נפש שמשון - 6 כר'</t>
  </si>
  <si>
    <t>נפשות חסידיו - 2 כר'</t>
  </si>
  <si>
    <t>בומבך, אברהם יעקב</t>
  </si>
  <si>
    <t>נפשות לצדיקים</t>
  </si>
  <si>
    <t>ליבוביץ, יצחק צבי בן משה יהודה</t>
  </si>
  <si>
    <t>Beregovo ברגסס</t>
  </si>
  <si>
    <t>נפשי בכפי</t>
  </si>
  <si>
    <t>נפשי בשאלתי - 3 כר'</t>
  </si>
  <si>
    <t>נפשי חולת אהבתך - 2 כר'</t>
  </si>
  <si>
    <t>נפת צופים &lt;מהדורה חדשה&gt;</t>
  </si>
  <si>
    <t>בירדוגו, פתחיה מרדכי בן יקותיאל</t>
  </si>
  <si>
    <t>נפת צופים</t>
  </si>
  <si>
    <t>טולידאנו, אהרן בן עמנואל</t>
  </si>
  <si>
    <t>נפתולי נפתלי</t>
  </si>
  <si>
    <t>לרפלד, יצחק נפתלי בן דניאל</t>
  </si>
  <si>
    <t>נפתלי אילה שלוחה</t>
  </si>
  <si>
    <t>נפתלי הירש בן ישעיה</t>
  </si>
  <si>
    <t>נפתלי שבע רצון - 3 כר'</t>
  </si>
  <si>
    <t>גינצבורג, נפתלי הירץ בן שמעון</t>
  </si>
  <si>
    <t>נצא השדה</t>
  </si>
  <si>
    <t>נצוצות</t>
  </si>
  <si>
    <t>נצוצי אור המאיר</t>
  </si>
  <si>
    <t>נצוצי אורות</t>
  </si>
  <si>
    <t>נצח דוד - 3 כר'</t>
  </si>
  <si>
    <t>קובץ למשנת ותולדות בית טשערנאביל-טאלנא</t>
  </si>
  <si>
    <t>נצח חיינו</t>
  </si>
  <si>
    <t>נצח יוסף - 2 כר'</t>
  </si>
  <si>
    <t>נצח ישראל - 4 כר'</t>
  </si>
  <si>
    <t>ארגון נצח משפחת ישראל</t>
  </si>
  <si>
    <t>נצח ישראל</t>
  </si>
  <si>
    <t>ברינשטיין, ישראל אריה בן משה</t>
  </si>
  <si>
    <t>נצח ישראל - 2 כר'</t>
  </si>
  <si>
    <t>פייבלזון, אליהו מאיר בן ברוך</t>
  </si>
  <si>
    <t>נצח ישראל - זכרון לאה</t>
  </si>
  <si>
    <t>קוסובסקי, ישראל יעקב בן שמעון</t>
  </si>
  <si>
    <t>שור, זאב וולף בן טוביה</t>
  </si>
  <si>
    <t>נצח מכון ספרותי מסורתי</t>
  </si>
  <si>
    <t>לוח ומדריך שימושי</t>
  </si>
  <si>
    <t>נצח משה</t>
  </si>
  <si>
    <t>גרוסמן, יחיאל איכל בן משה שניאור זלמן</t>
  </si>
  <si>
    <t>נצח רחל - ב</t>
  </si>
  <si>
    <t>נצח שבנצח</t>
  </si>
  <si>
    <t>נצחיות הנפש</t>
  </si>
  <si>
    <t>קוזלובסקי, משה מנחם מנדל בן יצחק</t>
  </si>
  <si>
    <t>נצני ניסן</t>
  </si>
  <si>
    <t>נצר חסד</t>
  </si>
  <si>
    <t>אבות. תשט"ו. ירושלים</t>
  </si>
  <si>
    <t>נצר מטעי [ראקאוו]</t>
  </si>
  <si>
    <t>קבצים וכתבי עת, ספרי זכרון ויובל, תלמוד בבלי, תלמוד בבלי</t>
  </si>
  <si>
    <t>נצר מטעי</t>
  </si>
  <si>
    <t>פרידמן, נתן צבי בן מנחם גרשון</t>
  </si>
  <si>
    <t>רייטפארט, יצחק בן חיים</t>
  </si>
  <si>
    <t>נצר משרשים - 4 כר'</t>
  </si>
  <si>
    <t>נצר תאנה</t>
  </si>
  <si>
    <t>ראבי, שמעון בן יוסף</t>
  </si>
  <si>
    <t>נקדות הכסף &lt;דפו"ר&gt;</t>
  </si>
  <si>
    <t>נקדות הכסף</t>
  </si>
  <si>
    <t>שע"ט</t>
  </si>
  <si>
    <t>נקדמה פניו בתודה</t>
  </si>
  <si>
    <t>נקדש את שמך - מלאכת הקודש</t>
  </si>
  <si>
    <t>פרקש, חיים יהודה - פלקלס, אלעזר</t>
  </si>
  <si>
    <t>נקדש בצדקה</t>
  </si>
  <si>
    <t>נקדש השבת</t>
  </si>
  <si>
    <t>נקודות אור - 8 כר'</t>
  </si>
  <si>
    <t>הלוי, שמואל בן אברהם יצחק</t>
  </si>
  <si>
    <t>נקודות אור</t>
  </si>
  <si>
    <t>רודנער, אברהם וואלף</t>
  </si>
  <si>
    <t>נקודות בהלכה - הלכות המועדים</t>
  </si>
  <si>
    <t>נקודות הכסף על סידור הרש"ש - 19 כר'</t>
  </si>
  <si>
    <t>בינג, יחזקאל</t>
  </si>
  <si>
    <t>נקודות הכסף - 10 כר'</t>
  </si>
  <si>
    <t>נקודות הכסף - שיר השירים</t>
  </si>
  <si>
    <t>בן שטרית, שמעון</t>
  </si>
  <si>
    <t>נקודת השמחה</t>
  </si>
  <si>
    <t>זילבר, ירמיהו בן יחיאל אברהם</t>
  </si>
  <si>
    <t>נקודת לבבי &lt;מהדורה חדשה עם הוספות&gt;</t>
  </si>
  <si>
    <t>רבינוביץ, דוד</t>
  </si>
  <si>
    <t>נקודת לבבי</t>
  </si>
  <si>
    <t>נקי יהיה</t>
  </si>
  <si>
    <t>נקי כפים</t>
  </si>
  <si>
    <t>נקיות וכבוד בתפלה</t>
  </si>
  <si>
    <t>נקנית בחבורה - יבמות</t>
  </si>
  <si>
    <t>נר אבנר - מועדים וראש חודש</t>
  </si>
  <si>
    <t>קבץ, אבנר</t>
  </si>
  <si>
    <t>נר אברהם</t>
  </si>
  <si>
    <t>בראנדוויין, אברהם בן יהודה צבי</t>
  </si>
  <si>
    <t>נר אברהם - פלגי מים</t>
  </si>
  <si>
    <t>כהן, יאיר, דבליצקי, שריה בן בצלאל יעקב</t>
  </si>
  <si>
    <t>סויצקי, מרדכי בן יוסף</t>
  </si>
  <si>
    <t>נר אהרן</t>
  </si>
  <si>
    <t>בורשטין, אברהם אהרן בן יהושע הכהן</t>
  </si>
  <si>
    <t>נר איש וביתו - 3 כר'</t>
  </si>
  <si>
    <t>פייגנבוים, יצחק שלמה</t>
  </si>
  <si>
    <t>נר אלהים</t>
  </si>
  <si>
    <t>נר אלחנן</t>
  </si>
  <si>
    <t>נר אליהו - 20 כר'</t>
  </si>
  <si>
    <t>כולל נר אליהו</t>
  </si>
  <si>
    <t>נר אליהו - חנוכה</t>
  </si>
  <si>
    <t>סימאן, אליהו</t>
  </si>
  <si>
    <t>נר אלכסנדר</t>
  </si>
  <si>
    <t>נר בנימין</t>
  </si>
  <si>
    <t>נר דוד</t>
  </si>
  <si>
    <t>גיג', דוד בן אברהם</t>
  </si>
  <si>
    <t>נר דוד - חנוכה</t>
  </si>
  <si>
    <t>וייס, צבי בן דוד</t>
  </si>
  <si>
    <t>נר דוד - 3 כר'</t>
  </si>
  <si>
    <t>סלומון, יהושע בן דוד</t>
  </si>
  <si>
    <t>נר דוד, אור שבעת הימים</t>
  </si>
  <si>
    <t>האדמו"רים מסקאליע</t>
  </si>
  <si>
    <t>נר דוד, חידושי מהרא"ך</t>
  </si>
  <si>
    <t>מייזלש, דוד דוב - הכהן, אלעזר</t>
  </si>
  <si>
    <t>נר דולק</t>
  </si>
  <si>
    <t>גוטליב, צבי יהודה בן אליעזר יצחק</t>
  </si>
  <si>
    <t>נר ה'</t>
  </si>
  <si>
    <t>נר המאיר</t>
  </si>
  <si>
    <t>גרינפלד, מאיר בן ברוך הלוי</t>
  </si>
  <si>
    <t>נר המאיר - שבת</t>
  </si>
  <si>
    <t>כולל אור הנר</t>
  </si>
  <si>
    <t>נר המאיר - 2 כר'</t>
  </si>
  <si>
    <t>נר המערב - תולדות עם ישראל במרוקו</t>
  </si>
  <si>
    <t>טולידנו, יעקב משה</t>
  </si>
  <si>
    <t>נר המערבי ונרותיו שהדליק</t>
  </si>
  <si>
    <t>גולדמן, בן ציון - בייגל אהרון בן ציון</t>
  </si>
  <si>
    <t>נר המערבי</t>
  </si>
  <si>
    <t>נר השבת</t>
  </si>
  <si>
    <t>רוזנפלד, יוסף</t>
  </si>
  <si>
    <t>נר והלל</t>
  </si>
  <si>
    <t>נר זכרון לגרי"א ורהפטיג זצ"ל</t>
  </si>
  <si>
    <t>ורהפטיג, איתמר בן זרח</t>
  </si>
  <si>
    <t>נר זכרון למחנכת הצדקת מרת חנה אידלמן ע"ה</t>
  </si>
  <si>
    <t>נר זכרון</t>
  </si>
  <si>
    <t>לקט מאמרים וכתבות על אדמו"ר בעל לב שמחה מגור</t>
  </si>
  <si>
    <t>נר חדש - 5 כר'</t>
  </si>
  <si>
    <t>ליכטמן, יחזקאל בן אברהם משה הלוי</t>
  </si>
  <si>
    <t>נר חוה - 9 כר'</t>
  </si>
  <si>
    <t>ברמן, אוריאל בן שלמה אהרן</t>
  </si>
  <si>
    <t>נר חיים [אלעזרי]</t>
  </si>
  <si>
    <t>נר חיים [לזכר הרב חיים אריה דויטש]</t>
  </si>
  <si>
    <t>נר חיים - על בי' הגר"א הל' בשר בחלב</t>
  </si>
  <si>
    <t>קירשנבוים, חיים מאיר</t>
  </si>
  <si>
    <t>נר חנוכה</t>
  </si>
  <si>
    <t>נר יאיר</t>
  </si>
  <si>
    <t>נר יהודה אריה</t>
  </si>
  <si>
    <t>קובץ תורני כולל נר יהודה</t>
  </si>
  <si>
    <t>נר יהודה</t>
  </si>
  <si>
    <t>נר יהושע - 2 כר'</t>
  </si>
  <si>
    <t>סג"ל, מאיר נתן נטע</t>
  </si>
  <si>
    <t>נר יום טוב - 15 כר'</t>
  </si>
  <si>
    <t>נר יום טוב</t>
  </si>
  <si>
    <t>נר יוסף - 4 כר'</t>
  </si>
  <si>
    <t>דומב, שמואל חיים בן יוסף</t>
  </si>
  <si>
    <t>נר יחיאל  - סוכה</t>
  </si>
  <si>
    <t>נר יצחק</t>
  </si>
  <si>
    <t>נר יצחק - 4 כר'</t>
  </si>
  <si>
    <t>ריף, יצחק זונדל בן ישראל</t>
  </si>
  <si>
    <t>נושאים שונים, קבצים וכתבי עת, ספרי זכרון ויובל, תולדות עם ישראל, תלמוד בבלי</t>
  </si>
  <si>
    <t>נר ישראל &lt;פתילת הנר&gt;</t>
  </si>
  <si>
    <t>הופשטיין, ישראל בן שבתי - אופמן, עמרם</t>
  </si>
  <si>
    <t>נר ישראל יעקב - 3 כר'</t>
  </si>
  <si>
    <t>גבעת אסף</t>
  </si>
  <si>
    <t>ברנר, גיורא</t>
  </si>
  <si>
    <t>נר ישראל</t>
  </si>
  <si>
    <t>נר ישראל - מליחה</t>
  </si>
  <si>
    <t>וינברג, ישראל בן נח</t>
  </si>
  <si>
    <t>נר ישראל - ל"ט מלאכות</t>
  </si>
  <si>
    <t>כולל נר ישראל - זכרון יעקב</t>
  </si>
  <si>
    <t>נר ישראל - חנוכה</t>
  </si>
  <si>
    <t>נר ישראל - 2 כר'</t>
  </si>
  <si>
    <t>מושקוביץ, ישראל אלימלך בן מאיר</t>
  </si>
  <si>
    <t>דרושים, נושאים שונים, תולדות עם ישראל, תלמוד בבלי, תנ"ך</t>
  </si>
  <si>
    <t>נר ישראל - ב</t>
  </si>
  <si>
    <t>רשת ארצית של ישיבות מתמידים לנוער</t>
  </si>
  <si>
    <t>נר ישראל - 6 כר'</t>
  </si>
  <si>
    <t>שטרן, חיים דב</t>
  </si>
  <si>
    <t>נר לאבות</t>
  </si>
  <si>
    <t>נר לאברהם - 3 כר'</t>
  </si>
  <si>
    <t>ראשי, אברהם</t>
  </si>
  <si>
    <t>נר לאחד</t>
  </si>
  <si>
    <t>נר לדוד</t>
  </si>
  <si>
    <t>נר להצדיק</t>
  </si>
  <si>
    <t>נר ליחזקאל [בצלאל]</t>
  </si>
  <si>
    <t>נר ליצהר - צהר ליוסף</t>
  </si>
  <si>
    <t>סמיטצקי, שלמה נפתלי הערץ בן חיים אשר</t>
  </si>
  <si>
    <t>נר לישראל</t>
  </si>
  <si>
    <t>ספר זכרון - סורסקי, אהרן (עורך)</t>
  </si>
  <si>
    <t>נר למאה - פירוש למסכת אבות</t>
  </si>
  <si>
    <t>נר למאה - 2 כר'</t>
  </si>
  <si>
    <t>זלצר, ירחמיאל בן צבי יהודה</t>
  </si>
  <si>
    <t>לוי, אלטר משה אהרן בן ישראל טוביה צבי</t>
  </si>
  <si>
    <t>נר למאה</t>
  </si>
  <si>
    <t>נר למאור</t>
  </si>
  <si>
    <t>חלפן, אברהם מתתיה בן רפאל</t>
  </si>
  <si>
    <t>נר למאור - 2 כר'</t>
  </si>
  <si>
    <t>תרצ"ב הק'</t>
  </si>
  <si>
    <t>פארעצקי, שרגא פייוויל בן קאפל</t>
  </si>
  <si>
    <t>נר למנחם</t>
  </si>
  <si>
    <t>נר למרדכי</t>
  </si>
  <si>
    <t>אברהם מרדכי צבי בן בן ציון הכהן</t>
  </si>
  <si>
    <t>נר למשה</t>
  </si>
  <si>
    <t>קובץ תורני חסידי קרלין לעלוב</t>
  </si>
  <si>
    <t>נר למשיחי חנו כ"ה</t>
  </si>
  <si>
    <t>נר למשיחי</t>
  </si>
  <si>
    <t>נר לעזרא - 2 כר'</t>
  </si>
  <si>
    <t>נר לצדיק - ה דברים</t>
  </si>
  <si>
    <t>אייכנעשטיין, יצחק אייזיק מנחם</t>
  </si>
  <si>
    <t>נר לצדיק - 4 כר'</t>
  </si>
  <si>
    <t>אייכנשטיין, יצחק אייזיק מנחם</t>
  </si>
  <si>
    <t>נר לרגלי דבריך</t>
  </si>
  <si>
    <t>שוב, זבולון בן יצחק אליעזר</t>
  </si>
  <si>
    <t>נר לרגלי דברך</t>
  </si>
  <si>
    <t>הלוי, נהוראי בן ראובן</t>
  </si>
  <si>
    <t>נר לרגלי - 2 כר'</t>
  </si>
  <si>
    <t>נר לרגלי</t>
  </si>
  <si>
    <t>נר לרגלי - חנוכה</t>
  </si>
  <si>
    <t>נר לשבת - 2 כר'</t>
  </si>
  <si>
    <t>לרנר, נחמן</t>
  </si>
  <si>
    <t>נר לשמעיה</t>
  </si>
  <si>
    <t>שאנן, חיים שלמה בן שמעיה (עורך)</t>
  </si>
  <si>
    <t>נר מאיר</t>
  </si>
  <si>
    <t>נר מיכאל</t>
  </si>
  <si>
    <t>נר מנרות</t>
  </si>
  <si>
    <t>מנקס, דוב בר בן מרדכי</t>
  </si>
  <si>
    <t>נר מערבי - 13 כר'</t>
  </si>
  <si>
    <t>במה ללומדי הירושלמי</t>
  </si>
  <si>
    <t>קבצים וכתבי עת, ספרי זכרון ויובל, תלמוד ירושלמי</t>
  </si>
  <si>
    <t>נר מערבי - 2 כר'</t>
  </si>
  <si>
    <t>כהן, מערבי</t>
  </si>
  <si>
    <t>מלכא, יעקב</t>
  </si>
  <si>
    <t>עטיאה מנחם בן יצחק</t>
  </si>
  <si>
    <t>נר מצוה &lt;פירוש על האזהרות שחיבר ר' שלמה אבן גבירול&gt; - 2 כר'</t>
  </si>
  <si>
    <t>פיזאנטי, משה בן חיים- אברהם, דוד בן אברהם</t>
  </si>
  <si>
    <t>נר מצוה ותורה אור</t>
  </si>
  <si>
    <t>נדב, יוסף חיים</t>
  </si>
  <si>
    <t>נר מצוה</t>
  </si>
  <si>
    <t>אלקריף, רפאל בן יחיא</t>
  </si>
  <si>
    <t>נר מצוה - 3 כר'</t>
  </si>
  <si>
    <t>ואלק,  מנחם יוסף בן עזריאל הכהן</t>
  </si>
  <si>
    <t>נר מצוה - 2 כר'</t>
  </si>
  <si>
    <t>תק"ע - תקע"א</t>
  </si>
  <si>
    <t>נר מצוה - בפסוקי התורה</t>
  </si>
  <si>
    <t>נר מצוה, אור חדש</t>
  </si>
  <si>
    <t>נר מציון - פרקי אבות</t>
  </si>
  <si>
    <t>נר משפט</t>
  </si>
  <si>
    <t>יפהן, יעקב חיים</t>
  </si>
  <si>
    <t>נר צבי</t>
  </si>
  <si>
    <t>טננבאום, שרגא צבי בן אברהם יעקב</t>
  </si>
  <si>
    <t>נר ציון - 14 כר'</t>
  </si>
  <si>
    <t>בן סניור, נתן</t>
  </si>
  <si>
    <t>נר רחמים</t>
  </si>
  <si>
    <t>נר שאול</t>
  </si>
  <si>
    <t>נר שבת</t>
  </si>
  <si>
    <t>הלכה ומנהג, הלכה ומנהג, חסידות, מועדי ישראל</t>
  </si>
  <si>
    <t>נר שמואל</t>
  </si>
  <si>
    <t>וילנסקי, שמואל הלוי</t>
  </si>
  <si>
    <t>נר שרגא</t>
  </si>
  <si>
    <t>נר תורה - 2 כר'</t>
  </si>
  <si>
    <t>מינצר, מתתיהו בן יצחק זאב</t>
  </si>
  <si>
    <t>נר תמיד</t>
  </si>
  <si>
    <t>בן דוד, אמתי</t>
  </si>
  <si>
    <t>גינצבורג, זאב בן קלונימוס</t>
  </si>
  <si>
    <t>נר תמיד - 4 כר'</t>
  </si>
  <si>
    <t>שוגרוויט, יוסף</t>
  </si>
  <si>
    <t>נרדפי זהר</t>
  </si>
  <si>
    <t>נרות אהרן</t>
  </si>
  <si>
    <t>נרות המערכה</t>
  </si>
  <si>
    <t>נרות זכריה</t>
  </si>
  <si>
    <t>נרות יהושע - 2 כר'</t>
  </si>
  <si>
    <t>וויינברגר, אברהם אהרון בן יהושע</t>
  </si>
  <si>
    <t>נרות להאיר - אלבום</t>
  </si>
  <si>
    <t>אלבום ישיבת ת"ת המרכזית באה"ק</t>
  </si>
  <si>
    <t>נרות שבת - 5 כר'</t>
  </si>
  <si>
    <t>בטאון השבת העל מפלגתי</t>
  </si>
  <si>
    <t>תש"ג- תש"ד</t>
  </si>
  <si>
    <t>נרות שלמה &lt;פנינים ואגרות משמר הלוי ח&gt;</t>
  </si>
  <si>
    <t>נרות שלמה</t>
  </si>
  <si>
    <t>פישר, שלמה אלכסנדר בן אהרן</t>
  </si>
  <si>
    <t>הלכה ומנהג, מועדי ישראל, תולדות עם ישראל, תלמוד בבלי</t>
  </si>
  <si>
    <t>נרות שמונה</t>
  </si>
  <si>
    <t>נשא פריו - א</t>
  </si>
  <si>
    <t>במנולקר, שמשון בן אליהו</t>
  </si>
  <si>
    <t>נשאו קול מגיד דוד</t>
  </si>
  <si>
    <t>עייאש, יוסף דוד בן יעקב משה</t>
  </si>
  <si>
    <t>נשאל דוד &lt;הוצאת חמדה גנוזה&gt; - שו"ת על ד"ח שו"ע</t>
  </si>
  <si>
    <t>תל לאביב</t>
  </si>
  <si>
    <t>נשאל דוד - 3 כר'</t>
  </si>
  <si>
    <t>נשבע לאבותיך - 3 כר'</t>
  </si>
  <si>
    <t>נשואי ישראל כהלכה</t>
  </si>
  <si>
    <t>נשיא הלויים</t>
  </si>
  <si>
    <t>נשיא יששכר - 2 כר'</t>
  </si>
  <si>
    <t>כהן, נתנאל אליהו</t>
  </si>
  <si>
    <t>נשיאות כפים בערי הגליל</t>
  </si>
  <si>
    <t>נשיאי מועד</t>
  </si>
  <si>
    <t>ברים, מנחם מנדל בן ישראל</t>
  </si>
  <si>
    <t>נשיאים בישראל הראשונים לציון</t>
  </si>
  <si>
    <t>אלעזר, יעקב (כתב וליקט)</t>
  </si>
  <si>
    <t>נשיאים בישראל</t>
  </si>
  <si>
    <t>נשיאת כפים כהלכתה</t>
  </si>
  <si>
    <t>גרוס, משה הכהן בן יששכר דוב</t>
  </si>
  <si>
    <t>נשיאת כפים</t>
  </si>
  <si>
    <t>פישברג, יצחק</t>
  </si>
  <si>
    <t>נשיח בחוקיך</t>
  </si>
  <si>
    <t>נשיח בחוקיך - כללי המצוות לחיי אדם</t>
  </si>
  <si>
    <t>ליבוביץ, אברהם דוד</t>
  </si>
  <si>
    <t>נשים בהלכה</t>
  </si>
  <si>
    <t>נשים במאי קזכיין - ג</t>
  </si>
  <si>
    <t>כהנא, שמואל שמעלקא בן ברוך</t>
  </si>
  <si>
    <t>נשים עבריות בתור מדפיסות</t>
  </si>
  <si>
    <t>נשך כסף המקוצר</t>
  </si>
  <si>
    <t>נשך כסף</t>
  </si>
  <si>
    <t>נשמחה בך</t>
  </si>
  <si>
    <t>נשמע קולם - 8 כר'</t>
  </si>
  <si>
    <t>ללוש, שמעון</t>
  </si>
  <si>
    <t>נשמת אברהם &lt;מהד"ב&gt; - 5 כר'</t>
  </si>
  <si>
    <t>נשמת אברהם - 6 כר'</t>
  </si>
  <si>
    <t>נשמת אדם &lt;מכון שפתי צדיקים&gt;</t>
  </si>
  <si>
    <t>אהרן שמואל בן משה שלום מקרמניץ</t>
  </si>
  <si>
    <t>נשמת אדם - 2 כר'</t>
  </si>
  <si>
    <t>תר"ע תרע"א</t>
  </si>
  <si>
    <t>נשמת אדם - סדר לוויה כמנהג תימן</t>
  </si>
  <si>
    <t>נשמת אדם</t>
  </si>
  <si>
    <t>נשמת אליעזר</t>
  </si>
  <si>
    <t>ויספיש, אליעזר בן יחיאל צבי</t>
  </si>
  <si>
    <t>נשמת העזר</t>
  </si>
  <si>
    <t>אליאס, מנשה</t>
  </si>
  <si>
    <t>נשמת חיים &lt;מהדורת קוסובסקי&gt; - 2 כר'</t>
  </si>
  <si>
    <t>ברלין, חיים בן נפתלי צבי יהודה</t>
  </si>
  <si>
    <t>נשמת חיים</t>
  </si>
  <si>
    <t>אבולעפיא, חיים בן דוד</t>
  </si>
  <si>
    <t>נשמת חיים - 2 כר'</t>
  </si>
  <si>
    <t>בן-ישראל, מנשה בן יוסף</t>
  </si>
  <si>
    <t>נשמת חיים - 4 כר'</t>
  </si>
  <si>
    <t>הכהן, חיים (אלחדד)</t>
  </si>
  <si>
    <t>אשבול</t>
  </si>
  <si>
    <t>לנגזם, חיים</t>
  </si>
  <si>
    <t>מונסונייגו, יהושע</t>
  </si>
  <si>
    <t>נשמת חיים - לקט הקמח - תפארת בנים אבותם</t>
  </si>
  <si>
    <t>משאש, חיים - משאש, יוסף</t>
  </si>
  <si>
    <t>שלחן ערוך ומפרשיו, תנ"ך, תנ"ך, תנ"ך, תפלות בקשות פיוטים ושירה</t>
  </si>
  <si>
    <t>רינהולד, חיים משה בן מרדכי צבי</t>
  </si>
  <si>
    <t>נשמת יוסף</t>
  </si>
  <si>
    <t>נשמת יעקב</t>
  </si>
  <si>
    <t>נשמת יעקב - 2 כר'</t>
  </si>
  <si>
    <t>קווינט, משה דוב בן דוד מיכל</t>
  </si>
  <si>
    <t>נשמת ישראל - 3 כר'</t>
  </si>
  <si>
    <t>נשמת ישראל - 5 כר'</t>
  </si>
  <si>
    <t>פריס</t>
  </si>
  <si>
    <t>נשמת ישראל - הלכות טהרה</t>
  </si>
  <si>
    <t>תורגמן, שמואל משה בן אליהו</t>
  </si>
  <si>
    <t>נשמת כל חי</t>
  </si>
  <si>
    <t>בורשטיין, אברהם דוד בן אבא שלום</t>
  </si>
  <si>
    <t>שונות, תפלות בקשות פיוטים ושירה</t>
  </si>
  <si>
    <t>נשמת כל חי - 2 כר'</t>
  </si>
  <si>
    <t>נשמת כל חי - 4 כר'</t>
  </si>
  <si>
    <t>ניסן, שמעון</t>
  </si>
  <si>
    <t>תקצ"ב - תקצ"ז</t>
  </si>
  <si>
    <t>נשמת שבת - 8 כר'</t>
  </si>
  <si>
    <t>נשמת שבתי הלוי - 2 כר'</t>
  </si>
  <si>
    <t>הורוויץ, שבתי בן עקיבא הלוי</t>
  </si>
  <si>
    <t>נשמת שלום - תשע"ח</t>
  </si>
  <si>
    <t>מוסדות מעליץ אשדוד</t>
  </si>
  <si>
    <t>נשמת שלמה מרדכי</t>
  </si>
  <si>
    <t>נשמתא דצלותא</t>
  </si>
  <si>
    <t>ז'ורנו, שלמה לוי יצחק בן מאיר</t>
  </si>
  <si>
    <t>נשמתין חדתין - 2 כר'</t>
  </si>
  <si>
    <t>נתוחי מתים בהלכה &lt;סקירה ביבליוגרפית&gt;</t>
  </si>
  <si>
    <t>כהנא, קלמן</t>
  </si>
  <si>
    <t>נתון תתן</t>
  </si>
  <si>
    <t>נתחדשה הלכה</t>
  </si>
  <si>
    <t>נתיב אברהם א - סוגיות הש"ס</t>
  </si>
  <si>
    <t>שאר ישוב, אברהם בן אליעזר</t>
  </si>
  <si>
    <t>נתיב אברהם ב - מקואות</t>
  </si>
  <si>
    <t>נתיב בינה - 30 כר'</t>
  </si>
  <si>
    <t>נתיב במים עזים</t>
  </si>
  <si>
    <t>קראוס, מרדכי יהודה בן עקיבא</t>
  </si>
  <si>
    <t>נתיב ברכה</t>
  </si>
  <si>
    <t>ספרקה, יצחק יוסף בן יואל יעקב</t>
  </si>
  <si>
    <t>נתיב גבוה - יבמות</t>
  </si>
  <si>
    <t>נתיב החינוך - 2 כר'</t>
  </si>
  <si>
    <t>נתיב החכמה</t>
  </si>
  <si>
    <t>נתיב הישר</t>
  </si>
  <si>
    <t>נפתלי הירש בן יהונתן הלוי</t>
  </si>
  <si>
    <t>נתיב הכתובה</t>
  </si>
  <si>
    <t>נתיב המצוות</t>
  </si>
  <si>
    <t>נתיב המצרנות</t>
  </si>
  <si>
    <t>נתיב המשפחה - 2 כר'</t>
  </si>
  <si>
    <t>נתיב הקודש - מוקצה</t>
  </si>
  <si>
    <t>נתיב השכירות</t>
  </si>
  <si>
    <t>נתיב השמיטה</t>
  </si>
  <si>
    <t>נתיב התורה - 6 כר'</t>
  </si>
  <si>
    <t>סאלים, אברהם בן נתן</t>
  </si>
  <si>
    <t>נתיב חיים</t>
  </si>
  <si>
    <t>נתיב חיים - 7 כר'</t>
  </si>
  <si>
    <t>קנובליך, אלתר חיים</t>
  </si>
  <si>
    <t>נתיב יושר - מקח וממכר</t>
  </si>
  <si>
    <t>נתיב יחיאל - 6 כר'</t>
  </si>
  <si>
    <t>נתיב ים - 2 כר'</t>
  </si>
  <si>
    <t>גורדון, יחיאל מרדכי בן משה אהרן</t>
  </si>
  <si>
    <t>נתיב ישר - 3 כר'</t>
  </si>
  <si>
    <t>נתיב לגר - 2 כר'</t>
  </si>
  <si>
    <t>נתיב לדרך החיים</t>
  </si>
  <si>
    <t>ריינס, שמואל שלמה זלמן בן צבי</t>
  </si>
  <si>
    <t>נתיב לחיי עולם - 2 כר'</t>
  </si>
  <si>
    <t>[תרנ"ט],</t>
  </si>
  <si>
    <t>נתיב לישיבה</t>
  </si>
  <si>
    <t>נתיב למהר"ל</t>
  </si>
  <si>
    <t>פיירמן, ראובן</t>
  </si>
  <si>
    <t>נתיב מאיר - יבמות</t>
  </si>
  <si>
    <t>הרשקוביץ, מאיר בן צבי</t>
  </si>
  <si>
    <t>נתיב מאיר</t>
  </si>
  <si>
    <t>מץ, מאיר ליב בן יהושע מרדכי</t>
  </si>
  <si>
    <t>נתיב מצוותיך</t>
  </si>
  <si>
    <t>נתיב מצותיך</t>
  </si>
  <si>
    <t>נתיב מצותיך - 2 כר'</t>
  </si>
  <si>
    <t>נתיב מרדכי</t>
  </si>
  <si>
    <t>רוזנבלום, מאיר ברוך</t>
  </si>
  <si>
    <t>נתיב ניטרא - 11 כר'</t>
  </si>
  <si>
    <t>בטאון תלמידי ישיבת ניטרא</t>
  </si>
  <si>
    <t>נתיב עבודת התפלה - 2 כר'</t>
  </si>
  <si>
    <t>נתיב עולם</t>
  </si>
  <si>
    <t>האנדלסמאן, יעקב נתן נטע בן ברוך</t>
  </si>
  <si>
    <t>נתיב עז - 15 כר'</t>
  </si>
  <si>
    <t>זיו, עזריאל יהודה</t>
  </si>
  <si>
    <t>נתיב צדיק</t>
  </si>
  <si>
    <t>נתיב רפאל</t>
  </si>
  <si>
    <t>ויכסלבוים, רפאל הלוי</t>
  </si>
  <si>
    <t>נתיב של חכמה - 2 כר'</t>
  </si>
  <si>
    <t>נתיב - א</t>
  </si>
  <si>
    <t>בטאון תנועת בני תורה</t>
  </si>
  <si>
    <t>נתיב - 2 כר'</t>
  </si>
  <si>
    <t>נתיבות אברהם  - הבונה</t>
  </si>
  <si>
    <t>נתיבות אגם</t>
  </si>
  <si>
    <t>נתיבות אדם - 2 כר'</t>
  </si>
  <si>
    <t>דייטש, מתתיהו בן יהודה אריה מארים צבי</t>
  </si>
  <si>
    <t>נתיבות אור - בירורי הדעות</t>
  </si>
  <si>
    <t>נתיבות אור - 2 כר'</t>
  </si>
  <si>
    <t>נתיבות אור - ג</t>
  </si>
  <si>
    <t>קובץ לתורה יר"ש ולחסידות</t>
  </si>
  <si>
    <t>נתיבות אור</t>
  </si>
  <si>
    <t>נתיבות אורה - 5 כר'</t>
  </si>
  <si>
    <t>נתיבות אשר - מאמרים</t>
  </si>
  <si>
    <t>דומב, אשר</t>
  </si>
  <si>
    <t>נתיבות אשר</t>
  </si>
  <si>
    <t>חמוי, אשר עזרא בן מרדכי</t>
  </si>
  <si>
    <t>נתיבות בחנוך</t>
  </si>
  <si>
    <t>ליכט, אברהם יהודה בן רפאל</t>
  </si>
  <si>
    <t>נתיבות במחשבת החסידות</t>
  </si>
  <si>
    <t>נתיבות בנים</t>
  </si>
  <si>
    <t>נתיבות בסוגיות - יבמות</t>
  </si>
  <si>
    <t>לינצ'נר, שלמה בן שרגא פייבל</t>
  </si>
  <si>
    <t>נתיבות ברכה</t>
  </si>
  <si>
    <t>נתיבות האושר</t>
  </si>
  <si>
    <t>קניגסברג, ברוך ראובן שלמה</t>
  </si>
  <si>
    <t>נתיבות הברכה</t>
  </si>
  <si>
    <t>ברונר</t>
  </si>
  <si>
    <t>נתיבות החיים - 4 כר'</t>
  </si>
  <si>
    <t>ווינוגראד, יוסף אליהו בן אברהם חיים</t>
  </si>
  <si>
    <t>נתיבות החיים - 5 כר'</t>
  </si>
  <si>
    <t>סימן טוב, אהרן בן חיים יחזקאל</t>
  </si>
  <si>
    <t>נתיבות החכמה - 2 כר'</t>
  </si>
  <si>
    <t>נתיבות החכמה</t>
  </si>
  <si>
    <t>רפאפורט, בנימין זאב וולף בן יצחק הכהן</t>
  </si>
  <si>
    <t>נתיבות הטהרה</t>
  </si>
  <si>
    <t>לברון, ישראל</t>
  </si>
  <si>
    <t>צסרק, יהודה אריה ליב</t>
  </si>
  <si>
    <t>נתיבות הי"ם</t>
  </si>
  <si>
    <t>אנסבכר, יצחק משה בן יששכר</t>
  </si>
  <si>
    <t>נתיבות הי"ם - עירובין</t>
  </si>
  <si>
    <t>חבורת עירובין בביהמ"ד נר גבריאל בישיבת מיר</t>
  </si>
  <si>
    <t>נתיבות הכשרות - 13 כר'</t>
  </si>
  <si>
    <t>בד"ץ מחזיקי הדת</t>
  </si>
  <si>
    <t>נתיבות הלכה (מתוך מצות הלבבות)</t>
  </si>
  <si>
    <t>נתיבות הלכה - 2 כר'</t>
  </si>
  <si>
    <t>מלכא, נתנאל בן אברהם שלמה</t>
  </si>
  <si>
    <t>נתיבות המוסר &lt;מהדורה חדשה&gt;</t>
  </si>
  <si>
    <t>פינקל, אברהם שמואל בן נתן צבי</t>
  </si>
  <si>
    <t>נתיבות המוסר</t>
  </si>
  <si>
    <t>נתיבות המלוכה</t>
  </si>
  <si>
    <t>ברכר, ישראל מנחם מנדל - גפנר, ברוך</t>
  </si>
  <si>
    <t>נתיבות המערב - מנהגי מרוקו</t>
  </si>
  <si>
    <t>נתיבות המשפט - 5 כר'</t>
  </si>
  <si>
    <t>נתיבות העיון - שבת</t>
  </si>
  <si>
    <t>נתיבות הקודש - 3 כר'</t>
  </si>
  <si>
    <t>סאלמאן, אברהם ישראל משה</t>
  </si>
  <si>
    <t>נתיבות הקודש</t>
  </si>
  <si>
    <t>סלמון, אברהם ישראל משה</t>
  </si>
  <si>
    <t>נתיבות השבת - קונטרס המוקצה</t>
  </si>
  <si>
    <t>נתיבות השלום - 4 כר'</t>
  </si>
  <si>
    <t>נתיבות התורה</t>
  </si>
  <si>
    <t>נתיבות התורה - ב</t>
  </si>
  <si>
    <t>קובץ ישיבה דחסידי בעלזא ב"ב</t>
  </si>
  <si>
    <t>נתיבות התורה - 6 כר'</t>
  </si>
  <si>
    <t>קובץ כולל אברכים דחסידי בעלזא ב"ב</t>
  </si>
  <si>
    <t>קובץ תלמידי חדשי</t>
  </si>
  <si>
    <t>קאליש,</t>
  </si>
  <si>
    <t>נתיבות התלמוד</t>
  </si>
  <si>
    <t>נושאים שונים, נושאים שונים, תלמוד בבלי, תלמוד ירושלמי</t>
  </si>
  <si>
    <t>נתיבות התשובה</t>
  </si>
  <si>
    <t>נתיבות זוהר</t>
  </si>
  <si>
    <t>נתיבות חיים - 5 כר'</t>
  </si>
  <si>
    <t>תרפ"ז - תשי"ב</t>
  </si>
  <si>
    <t>נתיבות חיים - פרקי אבות</t>
  </si>
  <si>
    <t>נתיבות חיים</t>
  </si>
  <si>
    <t>שמסיאב, רפאל בן מישאל</t>
  </si>
  <si>
    <t>נתיבות חכמה - 2 כר'</t>
  </si>
  <si>
    <t>נתיבות חן - 2 כר'</t>
  </si>
  <si>
    <t>קייזר, אלתר נח בן אריה מאיר הכהן</t>
  </si>
  <si>
    <t>נתיבות טהרה</t>
  </si>
  <si>
    <t>עמיאל, יעקב בן שמואל</t>
  </si>
  <si>
    <t>נתיבות יאיר</t>
  </si>
  <si>
    <t>בן חמו, יאיר בן יצחק</t>
  </si>
  <si>
    <t>נתיבות יהושע</t>
  </si>
  <si>
    <t>יגל, יהושע בן מרדכי גציל</t>
  </si>
  <si>
    <t>יגל, יהושע</t>
  </si>
  <si>
    <t>הלכה ומנהג, הלכה ומנהג, תלמוד בבלי, תלמוד בבלי</t>
  </si>
  <si>
    <t>נתיבות יושר - 3 כר'</t>
  </si>
  <si>
    <t>כהן, יהודה בן מרדכי</t>
  </si>
  <si>
    <t>נתיבות יושר</t>
  </si>
  <si>
    <t>ליברמן, משולם</t>
  </si>
  <si>
    <t>דרושים, מועדי ישראל, שאלות ותשובות, תלמוד בבלי, תלמוד בבלי, תלמוד בבלי, תנ"ך</t>
  </si>
  <si>
    <t>נתיבות ים - 3 כר'</t>
  </si>
  <si>
    <t>נתיבות יצחק - 3 כר'</t>
  </si>
  <si>
    <t>נתיבות יצחק</t>
  </si>
  <si>
    <t>מוכאמל, יצחק בן צאלח</t>
  </si>
  <si>
    <t>נתיבות לשבת &lt;מהדורה חדשה&gt;</t>
  </si>
  <si>
    <t>נתיבות לשבת</t>
  </si>
  <si>
    <t>נתיבות מאיר - 2 כר'</t>
  </si>
  <si>
    <t>בן שושן, מאיר בן יעקב</t>
  </si>
  <si>
    <t>נתיבות מאיר</t>
  </si>
  <si>
    <t>שלאף, מאיר צבי בן יחזקאל דוד הכהן</t>
  </si>
  <si>
    <t>נתיבות מעש</t>
  </si>
  <si>
    <t>נתיבות מרדכי - 6 כר'</t>
  </si>
  <si>
    <t>נתיבות משה</t>
  </si>
  <si>
    <t>נתיבות משה - ריבית</t>
  </si>
  <si>
    <t>גרוס, ניסן משה</t>
  </si>
  <si>
    <t>נתיבות משה - איזהו נשך א</t>
  </si>
  <si>
    <t>פינקל, משה בן נתן צבי</t>
  </si>
  <si>
    <t>נתיבות משפט</t>
  </si>
  <si>
    <t>ירוחם בן משולם - אלגאזי, חיים</t>
  </si>
  <si>
    <t>נתיבות נפתלי - בבא מציעא, גיטין</t>
  </si>
  <si>
    <t>נתיבות חכמה</t>
  </si>
  <si>
    <t>נתיבות עולם &lt;מהדורת פרדס&gt; - 2 כר'</t>
  </si>
  <si>
    <t>נתיבות עולם &lt;נתיב התורה&gt; - 2 כר'</t>
  </si>
  <si>
    <t>נתיבות עולם &lt;דפו"ר&gt;</t>
  </si>
  <si>
    <t>שנ"ה - שנ"ו</t>
  </si>
  <si>
    <t>נתיבות עולם - 3 כר'</t>
  </si>
  <si>
    <t>נתיבות עולם</t>
  </si>
  <si>
    <t>תרמ"ד,</t>
  </si>
  <si>
    <t>משה בן יעקב מקוצי - גלאנטי, שמואל בן מרדכי הלוי</t>
  </si>
  <si>
    <t>נתיבות עולם - מפתח לספר</t>
  </si>
  <si>
    <t>פראמער, זאב</t>
  </si>
  <si>
    <t>נתיבות עירובין</t>
  </si>
  <si>
    <t>כולל אברכים בנשיאות הגר"ח ארנטרוי</t>
  </si>
  <si>
    <t>נתיבות שבת</t>
  </si>
  <si>
    <t>נתיבות שכיר</t>
  </si>
  <si>
    <t>נתיבות שלום</t>
  </si>
  <si>
    <t>אביצרור, שלום בן נסים</t>
  </si>
  <si>
    <t>נתיבות שלום - 2 כר'</t>
  </si>
  <si>
    <t>גלבר, שלום יוסף בן קלונימוס קלמן הלוי</t>
  </si>
  <si>
    <t>הלוי, שלום - הלוי,  דוד</t>
  </si>
  <si>
    <t>למפרט, שלום צבי בן שמעיה ליב הלוי</t>
  </si>
  <si>
    <t>הלכה ומנהג, שאלות ותשובות, תולדות עם ישראל, תולדות עם ישראל, תלמוד בבלי</t>
  </si>
  <si>
    <t>עזרא בן יחזקאל הבבלי</t>
  </si>
  <si>
    <t>שפירא, אברהם יעקב בן חיים מאיר יחיאל</t>
  </si>
  <si>
    <t>נתיבות שמואל - 3 כר'</t>
  </si>
  <si>
    <t>קושלביץ, שמואל בן צבי יהודה</t>
  </si>
  <si>
    <t>נתיבות תורה - 8 כר'</t>
  </si>
  <si>
    <t>כולל ברסלב בני ברק</t>
  </si>
  <si>
    <t>קבצים וכתבי עת, ספרי זכרון ויובל, שלחן ערוך ומפרשיו, תלמוד בבלי</t>
  </si>
  <si>
    <t>נתיבותיה שלום - 2 כר'</t>
  </si>
  <si>
    <t>נתיבי א"ש - ראש השנה</t>
  </si>
  <si>
    <t>בייגל, אפרים מלכיאל</t>
  </si>
  <si>
    <t>נתיבי א"ש - מפתח כללי הש"ס</t>
  </si>
  <si>
    <t>מכון נתיבי אש</t>
  </si>
  <si>
    <t>נתיבי אשר</t>
  </si>
  <si>
    <t>נתיבי דעה - בשר בחלב, תערובות</t>
  </si>
  <si>
    <t>דירנפלד, אברהם צבי</t>
  </si>
  <si>
    <t>נתיבי דעת - 2 כר'</t>
  </si>
  <si>
    <t>נתיבי האור</t>
  </si>
  <si>
    <t>נתיבי האירוסין</t>
  </si>
  <si>
    <t>נתיבי הוראה</t>
  </si>
  <si>
    <t>נתיבי הוראה - רבית</t>
  </si>
  <si>
    <t>כולל נתיבי הוראה</t>
  </si>
  <si>
    <t>נתיבי החנוך</t>
  </si>
  <si>
    <t>ברזובסקי, שלום נח</t>
  </si>
  <si>
    <t>נתיבי הלכה - 2 כר'</t>
  </si>
  <si>
    <t>מאורי, יואב</t>
  </si>
  <si>
    <t>מלכא, יואל</t>
  </si>
  <si>
    <t>נתיבי המנהגים</t>
  </si>
  <si>
    <t>דבורקס, אליקום בן ישעיהו אריה</t>
  </si>
  <si>
    <t>נתיבי הספיקות - שער החזקה</t>
  </si>
  <si>
    <t>נתיבי השידוך</t>
  </si>
  <si>
    <t>נתיבי חיים - 6 כר'</t>
  </si>
  <si>
    <t>נתיבי חיים - מיד ולדורות</t>
  </si>
  <si>
    <t>פריד, חיים - קרויס, חיים בן ישעיה</t>
  </si>
  <si>
    <t>נתיבי יבמות</t>
  </si>
  <si>
    <t>שטרית, אוריאל בן יוסף</t>
  </si>
  <si>
    <t>נתיבי ים - חלה</t>
  </si>
  <si>
    <t>קוסובסקי-שחור, ישראל מאיר בן יצחק אברהם</t>
  </si>
  <si>
    <t>נתיבי ים - קדושין</t>
  </si>
  <si>
    <t>קפלן, ישראל מנדל בן אברהם הכהן</t>
  </si>
  <si>
    <t>נתיבי ישורון - 17 כר'</t>
  </si>
  <si>
    <t>לוריא, יעקב ישראל</t>
  </si>
  <si>
    <t>נתיבי מאיר</t>
  </si>
  <si>
    <t>רפלד, מאיר</t>
  </si>
  <si>
    <t>נתיבי מועד - חול המועד</t>
  </si>
  <si>
    <t>נתיבי מועד - שבת</t>
  </si>
  <si>
    <t>נתיבי מליחה</t>
  </si>
  <si>
    <t>וייס, יהונתן בנימין</t>
  </si>
  <si>
    <t>נתיבי עם &lt;מהדורה חדשה&gt;</t>
  </si>
  <si>
    <t>אבורביע, עמרם</t>
  </si>
  <si>
    <t>נתיבי עם - 2 כר'</t>
  </si>
  <si>
    <t>נתיבי ריפוי</t>
  </si>
  <si>
    <t>סלצר, דויד</t>
  </si>
  <si>
    <t>נתיבי רש"י</t>
  </si>
  <si>
    <t>סימנובסקי, לוי יצחק בן אריה</t>
  </si>
  <si>
    <t>נתיבי שבת</t>
  </si>
  <si>
    <t>נתיבים במי הים - 3 כר'</t>
  </si>
  <si>
    <t>תרצ"ח - תש"ט</t>
  </si>
  <si>
    <t>נתינת הדורות</t>
  </si>
  <si>
    <t>אלנתן, נתן</t>
  </si>
  <si>
    <t>נתן בלבו</t>
  </si>
  <si>
    <t>נתן דברו - 3 כר'</t>
  </si>
  <si>
    <t>נוסבאום, נתן בן בנימין</t>
  </si>
  <si>
    <t>נתן דויד</t>
  </si>
  <si>
    <t>נתן דעת - 2 כר'</t>
  </si>
  <si>
    <t>אורדמן, נתן בן יהושע מרדכי</t>
  </si>
  <si>
    <t>נתן חכמה לשלמה</t>
  </si>
  <si>
    <t>ששון, סלימאן בן דוד</t>
  </si>
  <si>
    <t>משנה, נושאים שונים, שאלות ותשובות, תלמוד בבלי, תנ"ך</t>
  </si>
  <si>
    <t>נתן חכמה</t>
  </si>
  <si>
    <t>נתן פריו - 23 כר'</t>
  </si>
  <si>
    <t>נתעלמה ממנו הלכה</t>
  </si>
  <si>
    <t>נתקיימה בי</t>
  </si>
  <si>
    <t>עסטרייכר, יונתן בנימין</t>
  </si>
  <si>
    <t>ס"ת המנוקד - תגא דאורייתא</t>
  </si>
  <si>
    <t>סאה סלת - 2 כר'</t>
  </si>
  <si>
    <t>סאלי וחכמיה</t>
  </si>
  <si>
    <t>אלנקוה, אורי חנניה בן חיים מסעוד</t>
  </si>
  <si>
    <t>סבא אליהו</t>
  </si>
  <si>
    <t>אליהו בן רפאל שלמה הלוי</t>
  </si>
  <si>
    <t>סבא שמעון מספר</t>
  </si>
  <si>
    <t>שיף, הנדה לאה בן שמעון</t>
  </si>
  <si>
    <t>סבו ציון</t>
  </si>
  <si>
    <t>סבוב הרב רבי פתחיה מרעגנשפורג</t>
  </si>
  <si>
    <t>פתחיה בן יעקב מרגנשבורג</t>
  </si>
  <si>
    <t>סבוב הרב רבי פתחיה</t>
  </si>
  <si>
    <t>סביב לעמו - אסתר</t>
  </si>
  <si>
    <t>סבנו ד"ר יצחק ברויאר</t>
  </si>
  <si>
    <t>סבר נפתלי - 6 כר'</t>
  </si>
  <si>
    <t>סבר פנים &lt;מהדורה חדשה&gt;</t>
  </si>
  <si>
    <t>סבר פנים</t>
  </si>
  <si>
    <t>סברא דשמעתא</t>
  </si>
  <si>
    <t>מאיר, אפרים שמואל</t>
  </si>
  <si>
    <t>סברא דשמעתתא</t>
  </si>
  <si>
    <t>מאיר, אפרים שמואל בן משה דוד</t>
  </si>
  <si>
    <t>סברי מרנן</t>
  </si>
  <si>
    <t>יוסף ראש הסדר</t>
  </si>
  <si>
    <t>סבתא מחיה</t>
  </si>
  <si>
    <t>סגולה זהב</t>
  </si>
  <si>
    <t>סגולה מהבעל שם טוב - 2 כר'</t>
  </si>
  <si>
    <t>סגולה מכל העמים</t>
  </si>
  <si>
    <t>סגולה</t>
  </si>
  <si>
    <t>סטל, יעקב ישראל</t>
  </si>
  <si>
    <t>סגולות &lt;החיד"א&gt; לשמירה ברכה והצלחה</t>
  </si>
  <si>
    <t>סגולות אברהם - אוצר סגולות</t>
  </si>
  <si>
    <t>גנזל, אברהם</t>
  </si>
  <si>
    <t>סגולות ורפואות - רפאל המלאך</t>
  </si>
  <si>
    <t>סגולות ותפילות</t>
  </si>
  <si>
    <t>סגולות ישראל</t>
  </si>
  <si>
    <t>סגולות רבותינו</t>
  </si>
  <si>
    <t>סגולת אש"י</t>
  </si>
  <si>
    <t>וויזל, אברהם שלום ישעיה</t>
  </si>
  <si>
    <t>סגולת השוחטים - קובץ טעמי תורה</t>
  </si>
  <si>
    <t>הכהן, שמעון - שרעבי, יהודה</t>
  </si>
  <si>
    <t>סגולת יחיאל</t>
  </si>
  <si>
    <t>זיצמן, מאיר בן יחיאל מנחם</t>
  </si>
  <si>
    <t>סגולת ישראל</t>
  </si>
  <si>
    <t>ליהמן, רפאל מנשה</t>
  </si>
  <si>
    <t>קנר, משה יעקב בן ישראל הלוי</t>
  </si>
  <si>
    <t>סגולת משה</t>
  </si>
  <si>
    <t>הופשטיין, משה בן נפתלי הירץ</t>
  </si>
  <si>
    <t>תרנ"ז - תרס"ג</t>
  </si>
  <si>
    <t>סגל חן</t>
  </si>
  <si>
    <t>סגלת חן</t>
  </si>
  <si>
    <t>סגלת ישראל - 2 כר'</t>
  </si>
  <si>
    <t>תרע"א - תרפ"ט</t>
  </si>
  <si>
    <t>סגן הכהנים</t>
  </si>
  <si>
    <t>מרקוביץ, שמואל בן צבי</t>
  </si>
  <si>
    <t>סדור בית יוסף ע"פ מקור חיים</t>
  </si>
  <si>
    <t>סידור</t>
  </si>
  <si>
    <t>סדור ברכה</t>
  </si>
  <si>
    <t>סדור דעת קדושים &lt;תפילה לדוד&gt;</t>
  </si>
  <si>
    <t>פרעמישלא</t>
  </si>
  <si>
    <t>סדור המנהגים - 4 כר'</t>
  </si>
  <si>
    <t>טירנא, יצחק אייזיק - שיק, שלמה צבי</t>
  </si>
  <si>
    <t>תר"מ - תרמ"ח</t>
  </si>
  <si>
    <t>הלכה ומנהג, הלכה ומנהג, נושאים שונים, שאלות ותשובות</t>
  </si>
  <si>
    <t>סדור השלום</t>
  </si>
  <si>
    <t>לוין,  יהודה ליב</t>
  </si>
  <si>
    <t>סדור התהלה והתפארת</t>
  </si>
  <si>
    <t>סדור כנסת הגדולה &lt;תכלאל&gt; - 5 כר'</t>
  </si>
  <si>
    <t>סדור מברכה - 4 כר'</t>
  </si>
  <si>
    <t>סדור מה"ר שבתי סופר מפרעמישלא - 4 כר'</t>
  </si>
  <si>
    <t>סדור מנחת ערב</t>
  </si>
  <si>
    <t>דבורקס, ישעיהו אריה</t>
  </si>
  <si>
    <t>סדור מקור התפלות</t>
  </si>
  <si>
    <t>מישקולץ</t>
  </si>
  <si>
    <t>סדור משכן אהרון (עם תרגום אנגלית)</t>
  </si>
  <si>
    <t>סדור נהר שלום &lt;כתב יד&gt; - 4 כר'</t>
  </si>
  <si>
    <t>סדור עבודת תמיד</t>
  </si>
  <si>
    <t>שווארץ, מרדכי צבי</t>
  </si>
  <si>
    <t>סדור על כנפי הנפש (עם תרגום הונגרי)</t>
  </si>
  <si>
    <t>קרויס, אפרים פישל</t>
  </si>
  <si>
    <t>סדור שיח ירושלים &lt;תכלאל מהדורת ר"י קאפח&gt; - 6 כר'</t>
  </si>
  <si>
    <t>סדור תפלה שיח ירושלים</t>
  </si>
  <si>
    <t>סדור שירה חדשה</t>
  </si>
  <si>
    <t>סדור שפת אמת</t>
  </si>
  <si>
    <t>תפילות. סידור. תקצ"ה. רדלהים</t>
  </si>
  <si>
    <t>סדור תפילה &lt;מנחת יהודה&gt; - 4 כר'</t>
  </si>
  <si>
    <t>סדור תפילה ליום השבת עולת שבת</t>
  </si>
  <si>
    <t>סדור. תרגום לפרסית. ירושלים. תשל"ו</t>
  </si>
  <si>
    <t>סדור תפילה קול אליהו  עם פסקי הגר"מ אליהו</t>
  </si>
  <si>
    <t>סדור תפילה קול יעקב עם פסקי הגר"מ אליהו</t>
  </si>
  <si>
    <t>סדור תפילת השבים</t>
  </si>
  <si>
    <t>סדור תפילת יונה ע"פ יסוד ושורש העבודה</t>
  </si>
  <si>
    <t>ת"ת תפארת יונה</t>
  </si>
  <si>
    <t>סדור תפילת כל פה &lt;תכלאל בלדי&gt; - 3 כר'</t>
  </si>
  <si>
    <t>סידור תפילה. תכלאל</t>
  </si>
  <si>
    <t>סדור תפילת רש"י</t>
  </si>
  <si>
    <t>סדור תפלה (מנהג איטאליאני)</t>
  </si>
  <si>
    <t>תפילות. סידור. תשי"ט. רומה</t>
  </si>
  <si>
    <t>רומא</t>
  </si>
  <si>
    <t>סדור תפלה דרך שיח השדה</t>
  </si>
  <si>
    <t>עזריאל בן משה משל מווילנא - אליהו בן עזריאל מווילנא</t>
  </si>
  <si>
    <t>סדור תפלה השלם &lt;אור הישר - וראה ישר&gt;</t>
  </si>
  <si>
    <t>תפילות. סידור. תשי"ז. ירושלים</t>
  </si>
  <si>
    <t>סדור תפלה למשה</t>
  </si>
  <si>
    <t>סדור תפלה משאת בנימין עם תרגום פרסית</t>
  </si>
  <si>
    <t>תפילות. סידור. תרס"ו. ירושלים</t>
  </si>
  <si>
    <t>תרס"ו-תרס"ט</t>
  </si>
  <si>
    <t>סדור תפלה עבודת התמיד</t>
  </si>
  <si>
    <t>תפילות. סידור. תרס"ח. ירושלים</t>
  </si>
  <si>
    <t>סדור תפלה שפתי רננות</t>
  </si>
  <si>
    <t>סדור תפלה</t>
  </si>
  <si>
    <t>תפילות. רע"ה</t>
  </si>
  <si>
    <t>רע"ה כנראה</t>
  </si>
  <si>
    <t>סדור תפלות השנה למנהג קהלות רומניא</t>
  </si>
  <si>
    <t>תפילות. מחזור. רפ"ג. ונציה</t>
  </si>
  <si>
    <t>סדור תפלות כמנהג האשכנזים</t>
  </si>
  <si>
    <t>תפילות. סידור. שפ"ג. הנאו</t>
  </si>
  <si>
    <t>סדור תפלות לערב שבת וליל שבת קודש</t>
  </si>
  <si>
    <t>בית המדרש אהבת חסד</t>
  </si>
  <si>
    <t>סדור תפלות לשבת ויום טוב</t>
  </si>
  <si>
    <t>היימאן (חרלפ), א</t>
  </si>
  <si>
    <t>סדור תפלות</t>
  </si>
  <si>
    <t>תפילות. סידור. ר"ן. נפולי</t>
  </si>
  <si>
    <t>סדור תפלת אליהו - נוסח הגר"א</t>
  </si>
  <si>
    <t>סידור. בני ברק. תשל"ח</t>
  </si>
  <si>
    <t>סדור תפלת החדש &lt;מהדורת ארץ ישראל&gt;</t>
  </si>
  <si>
    <t>סדור תפלת יוסף</t>
  </si>
  <si>
    <t>בקר, ירוחם</t>
  </si>
  <si>
    <t>סדור תפלת כל פה - ג</t>
  </si>
  <si>
    <t>תכלאל.</t>
  </si>
  <si>
    <t>סדור תקרב רנתי (עם תרגום ספרדית)</t>
  </si>
  <si>
    <t>סדורה משנתו - 6 כר'</t>
  </si>
  <si>
    <t>סדר אור זרוע, דרך החיים, יריעות שלמה עם נהורא השלם - 2 כר'</t>
  </si>
  <si>
    <t>סדר אושפיזין</t>
  </si>
  <si>
    <t>תפילות. הושענות והקפות. תר"ס. ורשה</t>
  </si>
  <si>
    <t>סדר אירוסין ונישואין עם פירוש שפת אמת וליקוטי יהודה</t>
  </si>
  <si>
    <t>סדר אליהו זוטא</t>
  </si>
  <si>
    <t>אליהו בן מאיר הכהן</t>
  </si>
  <si>
    <t>סדר אליהו זוטא - 3 כר'</t>
  </si>
  <si>
    <t>סדר אליהו רבה וזוטא</t>
  </si>
  <si>
    <t>סדר אליהו רבה וסדר אליהו זוטא - 2 כר'</t>
  </si>
  <si>
    <t>תנא דבי אליהו. תש"ך</t>
  </si>
  <si>
    <t>סדר אליהו - א</t>
  </si>
  <si>
    <t>סדר אליהו</t>
  </si>
  <si>
    <t>ניסים, אליהו</t>
  </si>
  <si>
    <t>סדר אמירת קרבן פסח</t>
  </si>
  <si>
    <t>סדר אקדמות וארכין</t>
  </si>
  <si>
    <t>סדר ארבע תעניות - 2 כר'</t>
  </si>
  <si>
    <t>תפילות. סליחות. תעניות. שפ"ד. ונציה</t>
  </si>
  <si>
    <t>סדר ארבע תעניות</t>
  </si>
  <si>
    <t>תפילות. סליחות. תעניות. תי"ח. אמשטרדם</t>
  </si>
  <si>
    <t>תפילות. סליחות. תעניות. תרי"ד. ליוורנו</t>
  </si>
  <si>
    <t>סדר ארבע תענית כמנהג ספרדים</t>
  </si>
  <si>
    <t>תפילות. סליחות. תעניות. תרל"ח. ווין</t>
  </si>
  <si>
    <t>סדר ארוסין ונשואין</t>
  </si>
  <si>
    <t>שטרן, שמואל אליעזר  (מלקט)</t>
  </si>
  <si>
    <t>סדר אשמורות &lt;מנהג ביצ'א&gt;</t>
  </si>
  <si>
    <t>מגער, מרדכי בן צלח סלימן</t>
  </si>
  <si>
    <t>סדר אשמורת הבוקר</t>
  </si>
  <si>
    <t>שפד</t>
  </si>
  <si>
    <t>סדר ברכות המגילה עם פסקי הלכות</t>
  </si>
  <si>
    <t>קרליץ, ניסים</t>
  </si>
  <si>
    <t>סדר ברכות השחר</t>
  </si>
  <si>
    <t>מועלם, ציון בן יהודה</t>
  </si>
  <si>
    <t>סדר ברכות - 2 כר'</t>
  </si>
  <si>
    <t>וינברג, יצחק אייזיק בן ברוך משה אריאל</t>
  </si>
  <si>
    <t>מוראפטשיק, יחיאל מיכל בן ידידיה</t>
  </si>
  <si>
    <t>סדר ברכת החמה &lt;עם שו"ת בסוגיא דברכת החמה&gt;</t>
  </si>
  <si>
    <t>סדר ברכת החמה &lt;מכון הכתב&gt;</t>
  </si>
  <si>
    <t>תפילות. ברכת החמה. תשמ"א</t>
  </si>
  <si>
    <t>סדר ברכת החמה (מתוך ספר עתרת החיים)</t>
  </si>
  <si>
    <t>סדר ברכת החמה</t>
  </si>
  <si>
    <t>סדר ברכת החמה- פשט רמז סוד</t>
  </si>
  <si>
    <t>רפאל, אליהו</t>
  </si>
  <si>
    <t>תפילות. ברכת החמה. תרכ"ט</t>
  </si>
  <si>
    <t>סדר ברכת החמה - 2 כר'</t>
  </si>
  <si>
    <t>בגדאד</t>
  </si>
  <si>
    <t>סדר ברכת המזון אוצרות השל"ה</t>
  </si>
  <si>
    <t>ברכת המזון עם ליקוטים מהשל"ה</t>
  </si>
  <si>
    <t>סדר ברכת המזון ותי' קריאת שמע על המטה</t>
  </si>
  <si>
    <t>סדר ברכת המזון עם פירוש מה"ר נתן שפירא</t>
  </si>
  <si>
    <t>סדר ברכת קידוש החמה</t>
  </si>
  <si>
    <t>שטראהלי, שמחה פינחס</t>
  </si>
  <si>
    <t>סדר גיטין וחליצה</t>
  </si>
  <si>
    <t>סדר דורות ראשונים</t>
  </si>
  <si>
    <t>קושס, אברהם שמעון בן חיים יצחק</t>
  </si>
  <si>
    <t>תרצ"ה-ת"ש</t>
  </si>
  <si>
    <t>סדר האשמורות</t>
  </si>
  <si>
    <t>הלוי, אבירן יצחק בן אבנר</t>
  </si>
  <si>
    <t>סדר הגדה וספירת העומד עם כונות האר"י</t>
  </si>
  <si>
    <t>הגדה וספירת העומר עם כונות האר"י</t>
  </si>
  <si>
    <t>סדר הגדה של פסח &lt;עם תרגום בערבית&gt;</t>
  </si>
  <si>
    <t>כזאבלנכה</t>
  </si>
  <si>
    <t>סדר הגדה של פסח (כתב יד) - 10 כר'</t>
  </si>
  <si>
    <t>סדר הגדות של פסח</t>
  </si>
  <si>
    <t>הגדה של פסח. ש"ן. פרג</t>
  </si>
  <si>
    <t>סדר הגט &lt;ברכת המים&gt;</t>
  </si>
  <si>
    <t>סדר הגיטו</t>
  </si>
  <si>
    <t>סדר הדורות &lt;מהדורת רנמ"ל&gt; - 2 כר'</t>
  </si>
  <si>
    <t>היילפרין, יחיאל בן שלמה</t>
  </si>
  <si>
    <t>תרל"ז-תרמ"ב</t>
  </si>
  <si>
    <t>סדר הדורות החדש</t>
  </si>
  <si>
    <t>סדר הדורות הקצר</t>
  </si>
  <si>
    <t>סדר הדורות השלם א -ב</t>
  </si>
  <si>
    <t>תרס"א - תרס"ז</t>
  </si>
  <si>
    <t>סדר הדורות מתלמידי הבעש"ט</t>
  </si>
  <si>
    <t>תרס"</t>
  </si>
  <si>
    <t>סדר הדורות - 4 כר'</t>
  </si>
  <si>
    <t>סדר הדין</t>
  </si>
  <si>
    <t>סדר הדלקת נר חנוכה אמרי חיים ואמונה &lt;קרעטשניף סיגעט&gt;</t>
  </si>
  <si>
    <t>קרעטשניף סיגעט</t>
  </si>
  <si>
    <t>סדר הדלקת נר חנוכה כמנהג צאנז</t>
  </si>
  <si>
    <t>מוסדות צאנז (חיפה)</t>
  </si>
  <si>
    <t>סדר הדלקת נר חנוכה כנוסח קרעטשניף</t>
  </si>
  <si>
    <t>ישיבת ציון באור החיים דקרעטשינף</t>
  </si>
  <si>
    <t>סדר הדלקת נר חנוכה עם כוונות האריז"ל</t>
  </si>
  <si>
    <t>ספרין, אברהם מרדכי בן נתנאל</t>
  </si>
  <si>
    <t>סדר הדלקת נר חנוכה עם פסקי בעל המנחת יצחק</t>
  </si>
  <si>
    <t>סדר הדלקת נר חנוכה - זרע קודש</t>
  </si>
  <si>
    <t>סדר ההושענות עם פירוש המילים וביאורים</t>
  </si>
  <si>
    <t>אתרוג, מאיר</t>
  </si>
  <si>
    <t>סדר ההסכמה</t>
  </si>
  <si>
    <t>סדר ההערכה</t>
  </si>
  <si>
    <t>תנ"ה - תשכ"ד</t>
  </si>
  <si>
    <t>מנטובה - ירושלים</t>
  </si>
  <si>
    <t>סדר ההפטרות &lt;מקבץ נדחי ישראל&gt;</t>
  </si>
  <si>
    <t>מקבץ נדחי ישראל</t>
  </si>
  <si>
    <t>קלה Chufut Kale</t>
  </si>
  <si>
    <t>סדר ההפטרות כמנהג בני רומה</t>
  </si>
  <si>
    <t>סדר ההפטרות עם פירוש</t>
  </si>
  <si>
    <t>הירש, מנדל בן שמשון רפאל</t>
  </si>
  <si>
    <t>סדר ההפרשות לרבינו החזו"א ותלמידיו</t>
  </si>
  <si>
    <t>סדר הוידוי הנהוג לבני חברת מרפא לנפש</t>
  </si>
  <si>
    <t>[תק"ע</t>
  </si>
  <si>
    <t>[רג'יו?].</t>
  </si>
  <si>
    <t>סדר הוידוי ומסירת מודעה והתרת קללות</t>
  </si>
  <si>
    <t>סדר הוראות התפילות &lt;קראים&gt;</t>
  </si>
  <si>
    <t>סדר הושענות הבהיר</t>
  </si>
  <si>
    <t>סדר הושענות כמנהג ק"ק עדן ותימן</t>
  </si>
  <si>
    <t>תפילות. הושענות והקפות. תרצ"ח. תל-אביב</t>
  </si>
  <si>
    <t>סדר הושענות כמנהג ק"ק תימן</t>
  </si>
  <si>
    <t>תפילות. הושענות והקפות. תרס"ב. ליוורנו</t>
  </si>
  <si>
    <t>סדר הושענות - ישועות אליעזר</t>
  </si>
  <si>
    <t>סדר הושענות</t>
  </si>
  <si>
    <t>תפילות. הושענות והקפות. תש"ך. ניו-יורק</t>
  </si>
  <si>
    <t>סדר הושענות, סליחות ויוצרות - ב</t>
  </si>
  <si>
    <t>גריבסקי, אליעזר זלמן</t>
  </si>
  <si>
    <t>סדר החגיגה לחברת נחלת השבים</t>
  </si>
  <si>
    <t>סדר החיים</t>
  </si>
  <si>
    <t>בלוט, חיים בן אברהם אהרן</t>
  </si>
  <si>
    <t>סדר החכמים וקורות הימים - 2 כר'</t>
  </si>
  <si>
    <t>נויבואר, אברהם בן יעקב</t>
  </si>
  <si>
    <t>תרמ"ח - תרנ"ה</t>
  </si>
  <si>
    <t>סדר החליצה ונוסח הגט</t>
  </si>
  <si>
    <t>סדר היום &lt;עם אות יעקב&gt;</t>
  </si>
  <si>
    <t>אבן-מכיר, משה בן יהודה</t>
  </si>
  <si>
    <t>הלכה ומנהג, הלכה ומנהג, מועדי ישראל, תנ"ך, תפלות בקשות פיוטים ושירה</t>
  </si>
  <si>
    <t>סדר היום &lt;עם אמרי ישראל&gt;</t>
  </si>
  <si>
    <t>סדר היום בהלכה ובאגדה</t>
  </si>
  <si>
    <t>סדר היום - 6 כר'</t>
  </si>
  <si>
    <t>סדר היום</t>
  </si>
  <si>
    <t>בלתי ידוע</t>
  </si>
  <si>
    <t>סדר היום - 2 כר'</t>
  </si>
  <si>
    <t>סדר הכנסת ספר תורה</t>
  </si>
  <si>
    <t>סדר הכשרות כהלכתו</t>
  </si>
  <si>
    <t>סדר הליכות היום</t>
  </si>
  <si>
    <t>אוביץ, שלמה יוסף</t>
  </si>
  <si>
    <t>סדר הליכות זמירות שבת</t>
  </si>
  <si>
    <t>סדר הלכה</t>
  </si>
  <si>
    <t>אדלשיין, דוד שלמה הכהן</t>
  </si>
  <si>
    <t>סדר הלכות פסח לרש"י</t>
  </si>
  <si>
    <t>שלמה בן יצחק  (רש"י)</t>
  </si>
  <si>
    <t>סדר הלמוד בליל חג השבועות ובליל הושענא רבא</t>
  </si>
  <si>
    <t>תיקונים. ליל שבועות. תרל"ח. רדלהים</t>
  </si>
  <si>
    <t>סדר המחזור - ב</t>
  </si>
  <si>
    <t>תפילות. מחזור. תק"ל. זולצבך</t>
  </si>
  <si>
    <t>סדר המעמדות</t>
  </si>
  <si>
    <t>מעמדות. תקכ"ז. אמשטרדם</t>
  </si>
  <si>
    <t>סדר המצוה היומית</t>
  </si>
  <si>
    <t>סדר המצות להרמב"ם</t>
  </si>
  <si>
    <t>סדר המצות</t>
  </si>
  <si>
    <t>קאלינברג, יעקב יוסף בן מתתיהו חיים</t>
  </si>
  <si>
    <t>סדר הנהגת אדם</t>
  </si>
  <si>
    <t>סדר הנחת תפילין</t>
  </si>
  <si>
    <t>סדר הניקור</t>
  </si>
  <si>
    <t>יפה, יוסף בן אליעזר ליפמאן</t>
  </si>
  <si>
    <t>סדר הנקור עם בעל העיטור</t>
  </si>
  <si>
    <t>סוראזינה, יעקב בן יוסף (יוזיפה) הכהן</t>
  </si>
  <si>
    <t>סדר הנקור</t>
  </si>
  <si>
    <t>סדר הסליחות השלם עטרת פז</t>
  </si>
  <si>
    <t>סדר הסליחות והתפילות דרבינו מאיר ז"ל מרוטנבורג</t>
  </si>
  <si>
    <t>סדר הסליחות כמנהג הספרדים ובני עדות המזרח</t>
  </si>
  <si>
    <t>אבירן, יצחק הלוי</t>
  </si>
  <si>
    <t>סדר הסליחות כמנהג קהילות הרומניוטים</t>
  </si>
  <si>
    <t>וינברגר,יהודה ליב</t>
  </si>
  <si>
    <t>סינסניטי</t>
  </si>
  <si>
    <t>סדר הסליחות לתעניות</t>
  </si>
  <si>
    <t>סליחות</t>
  </si>
  <si>
    <t>סדר הסליחות של שובבים ת"ת</t>
  </si>
  <si>
    <t>תפילות. סליחות. שובבי"ם ת"ת. תקט"ו</t>
  </si>
  <si>
    <t>סדר העבודה  לוית חן</t>
  </si>
  <si>
    <t>טריקי, יוסף שלמה</t>
  </si>
  <si>
    <t>סדר העבודה לר"ה וילי"כ (בית הכנסת ניעדדערהאפהיים)</t>
  </si>
  <si>
    <t>סדרי התפילה בבית הכנסת, על פי מנהגי ר' נתן אדלר, השונים ממנהג אשכנז הרגיל.</t>
  </si>
  <si>
    <t>תר"פ?</t>
  </si>
  <si>
    <t>סדר העבודה</t>
  </si>
  <si>
    <t>תפילות. סידור. ניו יורק. תרע"א</t>
  </si>
  <si>
    <t>סדר הפורים המשולש - 2 כר'</t>
  </si>
  <si>
    <t>זוננפלד, יוסף חיים בן אברהם שמחה</t>
  </si>
  <si>
    <t>סדר הפזמונים לשמחת תורה כמנהג ק"ק תימן</t>
  </si>
  <si>
    <t>סדר הפרשת תרומות ומעשרות באולמות שמחה</t>
  </si>
  <si>
    <t>יעקבזון, מרדכי נפתלי דוד</t>
  </si>
  <si>
    <t>סדר הקאפיטליך</t>
  </si>
  <si>
    <t>מנהג צדיקי ריז'ין</t>
  </si>
  <si>
    <t>סדר הקהל</t>
  </si>
  <si>
    <t>סדר הקינות לתשעה באב - 2 כר'</t>
  </si>
  <si>
    <t>תפילות. קינות. תרנ"ו. וינה</t>
  </si>
  <si>
    <t>רעדעלהיים</t>
  </si>
  <si>
    <t>סדר הקמת מצבה</t>
  </si>
  <si>
    <t>סדר הקפות לשמח"ת &lt;קרעטישנוף - סיגעט&gt;</t>
  </si>
  <si>
    <t>מכון רזא דאמונה</t>
  </si>
  <si>
    <t>סדר הקפות לשמיני עצרת ולשמחת תורה</t>
  </si>
  <si>
    <t>תפילות. הושענות והקפות. תרס"ט. פיטרקוב</t>
  </si>
  <si>
    <t>סדר הקפות לשמנ"ע ושמח"ת</t>
  </si>
  <si>
    <t>ע"פ נוסח ר"פ מקוריץ</t>
  </si>
  <si>
    <t>סדר הקפות - שמחת אליעזר</t>
  </si>
  <si>
    <t>סדר הקפות</t>
  </si>
  <si>
    <t>תפילות. הושענות והקפות. תרס"ד. קראשנוב</t>
  </si>
  <si>
    <t>קראשנוב</t>
  </si>
  <si>
    <t>סדר הקפות, הקרבנות ואושפיזין על פי נוסח צאנז</t>
  </si>
  <si>
    <t>מוסדות צאנז סטרופקוב</t>
  </si>
  <si>
    <t>סדר הקרבנות</t>
  </si>
  <si>
    <t>ארגמן, אפרים משה</t>
  </si>
  <si>
    <t>סדר הקרבת קרבן הפסח למעשה</t>
  </si>
  <si>
    <t>מכון באר החיים</t>
  </si>
  <si>
    <t>סדר הרבית - 2 כר'</t>
  </si>
  <si>
    <t>שימל, מנחם בן אברהם</t>
  </si>
  <si>
    <t>סדר השביעית - 10 כר'</t>
  </si>
  <si>
    <t>סדר התמיד - 2 כר'</t>
  </si>
  <si>
    <t>תפילות. סידור. תקכ"ז. אויניון</t>
  </si>
  <si>
    <t>אויניון Avignon</t>
  </si>
  <si>
    <t>סדר התנאים והכתובה - 2 כר'</t>
  </si>
  <si>
    <t>נאג'ארה, ישראל בן משה. מיוחס לו</t>
  </si>
  <si>
    <t>סדר התפילה</t>
  </si>
  <si>
    <t>סדר התפילות לברית</t>
  </si>
  <si>
    <t>קליין, חיים יעקב בן רפאל אהרן</t>
  </si>
  <si>
    <t>סדר התפילות למציאת זווג הגון</t>
  </si>
  <si>
    <t>סדר התפלה שנעשית פה מנטובה</t>
  </si>
  <si>
    <t>ש"ן</t>
  </si>
  <si>
    <t>סדר התפלות וההודיות</t>
  </si>
  <si>
    <t>תפילות. יום העצמאות. תשכ"ג. ירושלים</t>
  </si>
  <si>
    <t>סדר התפלות כפי מנהג ק"ק ספרדים שער השמים - (פסח, שבועות)</t>
  </si>
  <si>
    <t>תפילות. מחזור. תש"כ. לונדון</t>
  </si>
  <si>
    <t>סדר התרת נדרים לכל השנה</t>
  </si>
  <si>
    <t>וינר, יואל בן אברהם</t>
  </si>
  <si>
    <t>סדר והנהגה של נשואין - 3 כר'</t>
  </si>
  <si>
    <t>סדר והנהגה של נשואין</t>
  </si>
  <si>
    <t>סדר וידוי דברים</t>
  </si>
  <si>
    <t>סדר ומנהגי הבדלה</t>
  </si>
  <si>
    <t>סדר ותיקון ברכת החמה בתקופתה</t>
  </si>
  <si>
    <t>סדר ותיקון ז באדר</t>
  </si>
  <si>
    <t>ווירונה. חברת העשירי</t>
  </si>
  <si>
    <t>סדר ותיקון ק"ש שעל המטה</t>
  </si>
  <si>
    <t>תפילות. קריאת שמע על המטה. שע"ה. פרג</t>
  </si>
  <si>
    <t>סדר ז' אדר</t>
  </si>
  <si>
    <t>סדר זמירות ובקשות</t>
  </si>
  <si>
    <t>סדר זמירות לשבת &lt;עונג ושמחה לשבת&gt;</t>
  </si>
  <si>
    <t>התאחדות האברכים וחברת הבחורים דישיבה קהלת יעקב מפאפא</t>
  </si>
  <si>
    <t>סדר זמירות לשבת ומועדי השנה &lt;טשערנאביל&gt;</t>
  </si>
  <si>
    <t>זמירות שבת</t>
  </si>
  <si>
    <t>סדר זמירות לשבת עם באר החסידות</t>
  </si>
  <si>
    <t>סדר זמירות לשבת קודש &lt;מעשה אבותי&gt;</t>
  </si>
  <si>
    <t>הורביץ, משה שמעון הלוי</t>
  </si>
  <si>
    <t>סדר זמירות לשבת קודש זוועהיל</t>
  </si>
  <si>
    <t>זמירות שבת קודש ע"פ מנהגי זוועהיל</t>
  </si>
  <si>
    <t>סדר זמירות שבת קודש לעטר פתורא</t>
  </si>
  <si>
    <t>נוסח דז'יקוב</t>
  </si>
  <si>
    <t>סדר זמירות שירין ורחשין</t>
  </si>
  <si>
    <t>סדר זמנים</t>
  </si>
  <si>
    <t>גבריאל, חייא</t>
  </si>
  <si>
    <t>סדר זמנים - 2 כר'</t>
  </si>
  <si>
    <t>לונגו, סעדיה בן אברהם</t>
  </si>
  <si>
    <t>Salonika שלוניקי</t>
  </si>
  <si>
    <t>סדר חופה וקידושין אהל יעקב</t>
  </si>
  <si>
    <t>דייטש, מתתיהו - סקוצילס, יעקב אהרן</t>
  </si>
  <si>
    <t>סדר חיבור ברכות &lt;STUDIES IN JEWISH LITURGY&gt;</t>
  </si>
  <si>
    <t>שכטר, אברהם</t>
  </si>
  <si>
    <t>סדר חיבור ברכות</t>
  </si>
  <si>
    <t>פיאטלי, אנג'לו מרדכי (מעתיק)</t>
  </si>
  <si>
    <t>סדר חליצה - טיב חליצה - נתן פריו</t>
  </si>
  <si>
    <t>סדר חליצה</t>
  </si>
  <si>
    <t>טיימר, יחיאל מיכל בן יוסף - קניג, דוד יהושע בן יוסף צבי</t>
  </si>
  <si>
    <t>סדר טהרה</t>
  </si>
  <si>
    <t>סדר טהרות - 4 כר'</t>
  </si>
  <si>
    <t>מכון תלמוד טהרות</t>
  </si>
  <si>
    <t>סדר טרוייש</t>
  </si>
  <si>
    <t>מנחם בן יוסף הלוי מטרוייש</t>
  </si>
  <si>
    <t>סדר יום ברית מילה</t>
  </si>
  <si>
    <t>סדר יום הבר מצוה</t>
  </si>
  <si>
    <t>סדר יום כיפור קטן עם ביאורים ממרן הגר"ח קנייבסקי</t>
  </si>
  <si>
    <t>קנייבסקי, שמריהו יוסף חיים בן יעקב ישראל - יברוב, צבי</t>
  </si>
  <si>
    <t>סדר יום כפור קטן עם משמרת החדש</t>
  </si>
  <si>
    <t>סדר יום כפור קטן</t>
  </si>
  <si>
    <t>סדר יוצרות &lt;ע"פ ידי יוצר&gt;</t>
  </si>
  <si>
    <t>הכהן, אברהם</t>
  </si>
  <si>
    <t>סדר יוצרות המבואר - כונת הלב</t>
  </si>
  <si>
    <t>סדר יוצרות לארבע פרשיות - הגיון אליעזר</t>
  </si>
  <si>
    <t>סדר יוצרות עם קרובץ לפורים</t>
  </si>
  <si>
    <t>אלפערין, דובער</t>
  </si>
  <si>
    <t>סדר ימי הסליחות</t>
  </si>
  <si>
    <t>תפילות. סליחות. תר"ך. פרג</t>
  </si>
  <si>
    <t>סדר ימי הפורים</t>
  </si>
  <si>
    <t>סדר ימי סליחות כמנהג ק"ק אונגארן, בעהמען, מעהרען ושלעזיען</t>
  </si>
  <si>
    <t>תפילות. סליחות. תרי"ג. וינה</t>
  </si>
  <si>
    <t>סדר ימי עולם</t>
  </si>
  <si>
    <t>סדר ימים נוראים</t>
  </si>
  <si>
    <t>בן-הרוש, שמואל</t>
  </si>
  <si>
    <t>ג'רבא,</t>
  </si>
  <si>
    <t>סדר יעקב - 5 כר'</t>
  </si>
  <si>
    <t>סדר כוונות ר"ה ועשי"ת</t>
  </si>
  <si>
    <t>סדר כוונת הרי"ו בר"ה</t>
  </si>
  <si>
    <t>סדר כונת ברכת הסוכה וסדר הקפות לשמחת תורה</t>
  </si>
  <si>
    <t>כת"י רבי וידאל קווינקא</t>
  </si>
  <si>
    <t>סדר ליל הברית</t>
  </si>
  <si>
    <t>קרמר, אהרן יוסף בן חיים מנחם</t>
  </si>
  <si>
    <t>סדר ליל הושענא רבא</t>
  </si>
  <si>
    <t>תיקונים. ליל הושענא רבה. תקמ"ה. מנטובה</t>
  </si>
  <si>
    <t>[תקמ"ה]</t>
  </si>
  <si>
    <t>סדר ליל ר"ה</t>
  </si>
  <si>
    <t>[תשכ"א</t>
  </si>
  <si>
    <t>סדר לימוד ליל ש"ק - חיי שרה</t>
  </si>
  <si>
    <t>קאהן, דוד בן אברהם יצחק</t>
  </si>
  <si>
    <t>סדר לימוד משניות לעילוי הנשמה</t>
  </si>
  <si>
    <t>סדר לימוד תשב"ר</t>
  </si>
  <si>
    <t>סדר מאה ברכות</t>
  </si>
  <si>
    <t>סדר מאמר &lt;על סדר הדורות&gt;</t>
  </si>
  <si>
    <t>גפנר, מנחם מנדל ראובן</t>
  </si>
  <si>
    <t>סדר מוצאי שבת השלם</t>
  </si>
  <si>
    <t>סדר מלוה מלכה</t>
  </si>
  <si>
    <t>סדר מנחת ערב ראש חדש</t>
  </si>
  <si>
    <t>תפילות. ערב ראש חודש. תרל"ה. שלוניקי</t>
  </si>
  <si>
    <t>סדר מעמדות</t>
  </si>
  <si>
    <t>מכון מעמדות העולמי</t>
  </si>
  <si>
    <t>מעמדות. ש"ז. ונציה</t>
  </si>
  <si>
    <t>מעמדות. תרט"ז. צ'רנוביץ</t>
  </si>
  <si>
    <t>סדר מצות הנשים</t>
  </si>
  <si>
    <t>סדר משנה - 9 כר'</t>
  </si>
  <si>
    <t>סדר משנה</t>
  </si>
  <si>
    <t>תאומים, חיים יונה</t>
  </si>
  <si>
    <t>סדר נהורא השלם &lt;דרך החיים&gt;</t>
  </si>
  <si>
    <t>סדר נהורא השלם</t>
  </si>
  <si>
    <t>סדר נוסח ההקפות</t>
  </si>
  <si>
    <t>תפילות. הושענות והקפות. תש"א. ירושלים</t>
  </si>
  <si>
    <t>סדר נוסח הקפות</t>
  </si>
  <si>
    <t>תפילות. הושענות והקפות. תרפ"ה. קלויזנבורג</t>
  </si>
  <si>
    <t>סדר נוסח הקרבנות ואושפיזין והקפות</t>
  </si>
  <si>
    <t>תפילות. הושענות והקפות. תש"ך. לונדון</t>
  </si>
  <si>
    <t>סדר נחלות</t>
  </si>
  <si>
    <t>פזריני, דוד - גודמן, אברהם ברוך</t>
  </si>
  <si>
    <t>סדר נישואין ושבע ברכות עם מאמרים נבחרים</t>
  </si>
  <si>
    <t>סדר נשים - סידור לנשים</t>
  </si>
  <si>
    <t>תפילות. סידור. ש"ך. שלוניקי</t>
  </si>
  <si>
    <t>סדר סליחות השלם</t>
  </si>
  <si>
    <t>תפילות. סליחות. תשי"ז. לונדון</t>
  </si>
  <si>
    <t>[תשי"ז]</t>
  </si>
  <si>
    <t>סדר סליחות כמנהג בהמען, מערהען, אונגארן ופולין</t>
  </si>
  <si>
    <t>תפילות. מחזור. תקצ"ד. וינה</t>
  </si>
  <si>
    <t>סדר סליחות כמנהג הספרדים &lt;מכתם לדוד&gt;</t>
  </si>
  <si>
    <t>סדר סליחות כמנהג עלזוז</t>
  </si>
  <si>
    <t>תפילות. סליחות. תקכ"ו. פיורדה</t>
  </si>
  <si>
    <t>סדר סליחות כמנהג קהילות ישראל שבצפון אפריקה</t>
  </si>
  <si>
    <t>סדר סליחות כפי מנהג הספרדים בארץ ישראל</t>
  </si>
  <si>
    <t>סדר סליחות כפי מנהגי הספרדים</t>
  </si>
  <si>
    <t>סדר סליחות לאשמורת הבוקר</t>
  </si>
  <si>
    <t>סליחות. ליוורנו. תק"נ</t>
  </si>
  <si>
    <t>סדר סליחות לימות השנה -בה"ב, י' בטבת, תענית אסתר, י"ז בתמוז, יוכ"ק</t>
  </si>
  <si>
    <t>סדר סליחות ללילי האשמורות &lt;אשמורה בלילה&gt;</t>
  </si>
  <si>
    <t>סדר סליחות מכל השנה כמנהג עלזאס</t>
  </si>
  <si>
    <t>תפילות. סליחות. תקצ"ח. רדלהים</t>
  </si>
  <si>
    <t>סדר סליחות מפורשות באר יעקב - 2 כר'</t>
  </si>
  <si>
    <t>סדר סליחות עם תרגום בלשון פרס</t>
  </si>
  <si>
    <t>אקלאר, מרדכי בן רפאל</t>
  </si>
  <si>
    <t>סדר סליחות</t>
  </si>
  <si>
    <t>תפילות. סליחות. תרפ"ה. וילנה</t>
  </si>
  <si>
    <t>סדר סעודה וברכת המזון על פי ספר אור השנים</t>
  </si>
  <si>
    <t>סדר ספירת העומר עם מ"ח קניני תורה</t>
  </si>
  <si>
    <t>סדר ספירת העומר</t>
  </si>
  <si>
    <t>תפילות. ספירת העומר. תר"ך. אמשטרדם</t>
  </si>
  <si>
    <t>סדר עבודה והודאה</t>
  </si>
  <si>
    <t>תפילות. עבודה. תרל"ה</t>
  </si>
  <si>
    <t>סדר עבודה ומורה דרך - 2 כר'</t>
  </si>
  <si>
    <t>תפילות. סידור. תקפ"ז. סלויטה</t>
  </si>
  <si>
    <t>סדר עבודה לתמידין ולמוספין &lt;עבודת ישראל&gt;</t>
  </si>
  <si>
    <t>סדר עבודה לתמידין ולמוספין - 2 כר'</t>
  </si>
  <si>
    <t>סדר עבודה רבא וזוטא</t>
  </si>
  <si>
    <t>סדר עבודת הקרבנות</t>
  </si>
  <si>
    <t>ויינשטין, עקיבא בן חיים ליב</t>
  </si>
  <si>
    <t>סדר עבודת יום הכיפורים לר' יצחק אבן גיאת הספרדי</t>
  </si>
  <si>
    <t>סדר עבודת יום הכפורים &lt;פירוש רחב&gt;</t>
  </si>
  <si>
    <t>פוברסקי, ירוחם בן ברוך דב</t>
  </si>
  <si>
    <t>סדר עבודת יום הכפורים</t>
  </si>
  <si>
    <t>סדר עבודת ישראל &lt;נוסח אשכנז&gt;</t>
  </si>
  <si>
    <t>בר, יצחק בן אריה יוסף דוב</t>
  </si>
  <si>
    <t>רדלהים</t>
  </si>
  <si>
    <t>סדר עבודת ישראל &lt;נוסח פולין&gt;</t>
  </si>
  <si>
    <t>סדר עבודת ישראל &lt;פולין -אשכנז  מהדורת סץ&gt; - ההערות</t>
  </si>
  <si>
    <t>סדר עבודת כהן גדול ביום הכפורים בבהמ"ק</t>
  </si>
  <si>
    <t>סדר עולם &lt;ניב עולם&gt;</t>
  </si>
  <si>
    <t>סדר עולם רבה. תרס"ה - וינברג, יצחק בן דוד משה (מפרש)</t>
  </si>
  <si>
    <t>סדר עולם זוטא</t>
  </si>
  <si>
    <t>סדר עולם זוטא. תר"ע</t>
  </si>
  <si>
    <t>סדר עולם רבא &lt;ע"פ הגר"א -דפו"ר&gt;</t>
  </si>
  <si>
    <t>שקלאוו,</t>
  </si>
  <si>
    <t>סדר עולם רבא</t>
  </si>
  <si>
    <t>סדר עולם רבה. תר"ה</t>
  </si>
  <si>
    <t>סדר עולם רבה. תשט"ו</t>
  </si>
  <si>
    <t>סדר עולם רבה השלם - 3 כר'</t>
  </si>
  <si>
    <t>סדר עולם רבה. תשט"ז - וויינשטוק, משה יאיר (מפרש)</t>
  </si>
  <si>
    <t>תשט"ז - תשכ"ב</t>
  </si>
  <si>
    <t>סדר עולם רבה וזוטא &lt;עם פולמוס מהיעב"ץ&gt;</t>
  </si>
  <si>
    <t>סדר עולם רבה. תקי"ז</t>
  </si>
  <si>
    <t>Hamburg המבורג</t>
  </si>
  <si>
    <t>סדר עולם רבה עם הערות ותיקונים - 2 כר'</t>
  </si>
  <si>
    <t>סדר עולם רבה. תרנ"ד - רטנר, דוב בער</t>
  </si>
  <si>
    <t>תרנ"ד - תרנ"ז</t>
  </si>
  <si>
    <t>סדר עולם</t>
  </si>
  <si>
    <t>נושאים שונים, שאר ספרי חז"ל, תולדות עם ישראל, תולדות עם ישראל</t>
  </si>
  <si>
    <t>סדר עולם רבה. תרס"ה</t>
  </si>
  <si>
    <t>סדר עירוב תבשילין - 3 כר'</t>
  </si>
  <si>
    <t>סדר עננו הגדול עם פירוש ברית שלום</t>
  </si>
  <si>
    <t>סדר עשית קרבן פסח בקצרה</t>
  </si>
  <si>
    <t>סדר פדיון הבן עם ליקוטים מר"ח מוולוזין</t>
  </si>
  <si>
    <t>חיים בן יצחק מוולוז'ין - הלפרין ירחמיאל ישראל יצחק</t>
  </si>
  <si>
    <t>סדר פורים משולש</t>
  </si>
  <si>
    <t>קובץ ספרים - סופר, יעקב חיים בן יצחק שלום</t>
  </si>
  <si>
    <t>סדר פורים</t>
  </si>
  <si>
    <t>תפילות. סידור. תרל"ו. רדלהים</t>
  </si>
  <si>
    <t>סדר פטום הקטורת</t>
  </si>
  <si>
    <t>סדר פיוטים לחג השבועות</t>
  </si>
  <si>
    <t>סדר פירוש על הגדה של פסח</t>
  </si>
  <si>
    <t>אחד מגדולי הקדמונים</t>
  </si>
  <si>
    <t>סדר פסח</t>
  </si>
  <si>
    <t>מחזור. פאס. כת"י</t>
  </si>
  <si>
    <t>סדר פרשיות</t>
  </si>
  <si>
    <t>סדר קול יעקב</t>
  </si>
  <si>
    <t>פיוטרקובסקי, יעקב</t>
  </si>
  <si>
    <t>סדר קידוש החמה &lt;ברכת החמה&gt;</t>
  </si>
  <si>
    <t>תפילות. ברכת החמה. תרנ"ו</t>
  </si>
  <si>
    <t>אגר Eger</t>
  </si>
  <si>
    <t>סדר קידוש והבדלה לרבותינו הראשונים</t>
  </si>
  <si>
    <t>סדר קינות השלם</t>
  </si>
  <si>
    <t>קינות. לונדון. תשכ"ד</t>
  </si>
  <si>
    <t>סדר קינות לתשעה באב &lt;לב אהרן&gt;</t>
  </si>
  <si>
    <t>סדר קינות לתשעה באב &lt;מבוארות ומפורשות&gt;</t>
  </si>
  <si>
    <t>מכון בני משה</t>
  </si>
  <si>
    <t>סדר קנים - ביאור למסכת קנים</t>
  </si>
  <si>
    <t>קופל, משה</t>
  </si>
  <si>
    <t>סדר קריאה ותיקון</t>
  </si>
  <si>
    <t>תיקונים. ליל שבועות. תכ"ט. אמשטרדם</t>
  </si>
  <si>
    <t>סדר קריאת הנשיא</t>
  </si>
  <si>
    <t>סדר רב עמרם גאון &lt;גרש ירחים&gt;</t>
  </si>
  <si>
    <t>עמרם בן ששנא גאון</t>
  </si>
  <si>
    <t>סדר רב עמרם גאון &lt;כת"י בריטיש מוזיאון&gt;</t>
  </si>
  <si>
    <t>סדר רב עמרם גאון &lt;מהדורת סץ&gt; - 3 כר'</t>
  </si>
  <si>
    <t>סדר רב עמרם גאון ז"ל</t>
  </si>
  <si>
    <t>סדר רב עמרם גאון - 2 כר'</t>
  </si>
  <si>
    <t>סדר רב עמרם השלם</t>
  </si>
  <si>
    <t>תפילות. סידור. תרע"ב. ירושלים</t>
  </si>
  <si>
    <t>סדר רננות</t>
  </si>
  <si>
    <t>סדר שובבי"ם ת"ת</t>
  </si>
  <si>
    <t>סדר שומרים לבקר</t>
  </si>
  <si>
    <t>תפילות. סליחות. אשמורת הבוקר. תמ"ב</t>
  </si>
  <si>
    <t>סדר שכיבה וקימה על פי ספר אור השנים</t>
  </si>
  <si>
    <t>סדר שנה האחרונה - 2 כר'</t>
  </si>
  <si>
    <t>סדר תיקון סעודה</t>
  </si>
  <si>
    <t>סדר תיקון קריאת שמע שעל המטה</t>
  </si>
  <si>
    <t>תפילות. קריאת שמע על המטה. ת"ה. קרקוב</t>
  </si>
  <si>
    <t>סדר תנאים ואמוראים &lt;עם הערות&gt;</t>
  </si>
  <si>
    <t>מצגר, איתמר בן דוד</t>
  </si>
  <si>
    <t>סדר תנאים ואמוראים - 2 כר'</t>
  </si>
  <si>
    <t>סדר תנאים ואמוראים</t>
  </si>
  <si>
    <t>ברסלוי</t>
  </si>
  <si>
    <t>סדר תפילה בבית הכנסת - 5 כר'</t>
  </si>
  <si>
    <t>הופנר, נח</t>
  </si>
  <si>
    <t>סדר תפילה ורינה, מנהגי חתם סופר ויוצאי חלציו</t>
  </si>
  <si>
    <t>סדר תפילה עם ביאור שיח יצחק</t>
  </si>
  <si>
    <t>פינקלשטין, שמעון יצחק הלוי</t>
  </si>
  <si>
    <t>סדר תפילות כמנהג איטאלייאני</t>
  </si>
  <si>
    <t>סרמוניטה, הלל מ - פיאטלי - אנגלו מ</t>
  </si>
  <si>
    <t>סדר תפילות כמנהג בני רומה &lt;סידורילו&gt;</t>
  </si>
  <si>
    <t>סדר תפילות כמנהג בני רומה - 2 כר'</t>
  </si>
  <si>
    <t>סדר תפילות כמנהג ק"ק ספרדים</t>
  </si>
  <si>
    <t>סידור. ונציה.</t>
  </si>
  <si>
    <t>סדר תפילות כפי מנהג הספרדים באמריקא</t>
  </si>
  <si>
    <t>סדר תפילות מכל השנה - 2 כר'</t>
  </si>
  <si>
    <t>סידור מנהג פולין</t>
  </si>
  <si>
    <t>סדר תפילות - סידור הרמ"ז</t>
  </si>
  <si>
    <t>סדר תפילת ישראל &lt;דרך החיים עם הוספות ר"א פולד&gt;</t>
  </si>
  <si>
    <t>לורברבוים, יעקב בן יעקב משה - פולד, אהרן בן משה</t>
  </si>
  <si>
    <t>תר"ץ לערך</t>
  </si>
  <si>
    <t>סדר תפלה דרך ישרה</t>
  </si>
  <si>
    <t>תפילות. סידור. תקנ"ג. אופנבך</t>
  </si>
  <si>
    <t>תפילות. סידור.</t>
  </si>
  <si>
    <t>סדר תפלה דרך שיח השדה &lt;ר"א ור"ע&gt; - מהדורת אוצרנו</t>
  </si>
  <si>
    <t>רבי עזריאל ובנו רבי אליהו</t>
  </si>
  <si>
    <t>סדר תפלה ישרה החדש וכתר נהורא השלם</t>
  </si>
  <si>
    <t>הורוויץ, לוי יצחק הלוי (אדמו"ר מבוסטון)</t>
  </si>
  <si>
    <t>סדר תפלה מכל השנה כמנהג אשכנז ופולין &lt;סידור רבי עזריאל ורבי אליהו&gt;</t>
  </si>
  <si>
    <t>תפילות. סידור. תמ"ז. פרנקפורט דמין</t>
  </si>
  <si>
    <t>סדר תפלה - 2 כר'</t>
  </si>
  <si>
    <t>סדר תפלה</t>
  </si>
  <si>
    <t>תפילות. סידור. תרס"ח. וינה</t>
  </si>
  <si>
    <t>סדר תפלות (כמנהג איטאליאני)</t>
  </si>
  <si>
    <t>תפילות. סידור. תשנ"ה. טורינו</t>
  </si>
  <si>
    <t>טורינו</t>
  </si>
  <si>
    <t>סדר תפלות למועדים טובים</t>
  </si>
  <si>
    <t>תפילות. מחזור. שצ"ה. ונציה</t>
  </si>
  <si>
    <t>סדר תפלות למתעסקים במתים</t>
  </si>
  <si>
    <t>כנסת ישראל קהילת ירושלים. חברה קדישא גחש"א</t>
  </si>
  <si>
    <t>סדר תפלות מכל השנה כמנהג האשכנזים</t>
  </si>
  <si>
    <t>סדור. אשכנזים. מנטובה. שי"ח.</t>
  </si>
  <si>
    <t>סדר תפלות מכל השנה עם פירוש הרי בשמים</t>
  </si>
  <si>
    <t>סדר תפלות תחנות ופזמונים</t>
  </si>
  <si>
    <t>סדור כמנהג ספרדים. וונציה תט"ז</t>
  </si>
  <si>
    <t>תט"ז</t>
  </si>
  <si>
    <t>תפילות. סידור. תפ"ו. אמשטרדם</t>
  </si>
  <si>
    <t>[תפ"ו,</t>
  </si>
  <si>
    <t>סדר תפלת ישראל ע"פ אור הישר</t>
  </si>
  <si>
    <t>סידור. נוסח קוידינוב</t>
  </si>
  <si>
    <t>סדר תפלת מנחה של ערב ראש חדש</t>
  </si>
  <si>
    <t>תפילות. ערב ראש חודש. תק"ט. פירנצה</t>
  </si>
  <si>
    <t>סדר תקון חצות</t>
  </si>
  <si>
    <t>סדר תקון ליל שבועות והושענא רבה</t>
  </si>
  <si>
    <t>תיקון ליל שבועות. תקצ"ו.</t>
  </si>
  <si>
    <t>סדר תקון ליל שבועות וליל הושענא רבה</t>
  </si>
  <si>
    <t>טשערנואוויץ</t>
  </si>
  <si>
    <t>סדר תקוני שטרות</t>
  </si>
  <si>
    <t>סדר תקיעת שופר - כתב יד</t>
  </si>
  <si>
    <t>סדר תקיעת שופר</t>
  </si>
  <si>
    <t>סדר תשליך ומנהגיו</t>
  </si>
  <si>
    <t>סדר תשעה באב לילה ויום</t>
  </si>
  <si>
    <t>תפילות. קינות. תקצ"ה. פרג</t>
  </si>
  <si>
    <t>סדרא דהילולא</t>
  </si>
  <si>
    <t>בוקשפן</t>
  </si>
  <si>
    <t>סדרי גיטין</t>
  </si>
  <si>
    <t>חורי, ינון</t>
  </si>
  <si>
    <t>סדרי המשנה - 2 כר'</t>
  </si>
  <si>
    <t>סדרי הש"ס (שבת, סוכה, ע"ז, חולין)</t>
  </si>
  <si>
    <t>חורי, ינון בן אברהם ישראל</t>
  </si>
  <si>
    <t>סדרי חינוך</t>
  </si>
  <si>
    <t>סדרי טהרה - 2 כר'</t>
  </si>
  <si>
    <t>אשכנזי, אלחנן בן שמואל זאנוויל</t>
  </si>
  <si>
    <t>סדרי טהרות - 2 כר'</t>
  </si>
  <si>
    <t>תרל"ג - תרס"ג</t>
  </si>
  <si>
    <t>סדרי משיח לרמב"ם</t>
  </si>
  <si>
    <t>סדרי נדה</t>
  </si>
  <si>
    <t>סדרי פרשיות</t>
  </si>
  <si>
    <t>גולדשטיין, יצחק מאיר</t>
  </si>
  <si>
    <t>סדרי תורה</t>
  </si>
  <si>
    <t>סדרת גדולי ישראל - 2 כר'</t>
  </si>
  <si>
    <t>סדרת המידות - 3 כר'</t>
  </si>
  <si>
    <t>סדרת כשרות המזון - מדריך להלכות ערלה</t>
  </si>
  <si>
    <t>סדרת נפלאות הבורא - 5 כר'</t>
  </si>
  <si>
    <t>סדרת שיעורים בהלכות טהרה</t>
  </si>
  <si>
    <t>דרייפוס, אליהו</t>
  </si>
  <si>
    <t>סדרת תורה ומדע - 3 כר'</t>
  </si>
  <si>
    <t>סובאלק - יזכור בוך סואוואלק</t>
  </si>
  <si>
    <t>סובלנות וויתור</t>
  </si>
  <si>
    <t>סוגה בשושנים &lt;רועה בשושנים&gt;</t>
  </si>
  <si>
    <t>גלייזר, יואל יהודה בן משה - שניאורסון, יוסף משה</t>
  </si>
  <si>
    <t>סוגה בשושנים</t>
  </si>
  <si>
    <t>גלייזר, יואל יהודה בן משה</t>
  </si>
  <si>
    <t>סוגה בשושנים - 2 כר'</t>
  </si>
  <si>
    <t>גרינברג, דוד בן שמואל</t>
  </si>
  <si>
    <t>מרגליות, מרדכי בן אליהו</t>
  </si>
  <si>
    <t>סוגה בשושנים - שיר השירים</t>
  </si>
  <si>
    <t>סוגה בשושנים - הלכות נדה</t>
  </si>
  <si>
    <t>קובץ, כולל אחיסמך</t>
  </si>
  <si>
    <t>סוגיא דחוששין לסבלונות</t>
  </si>
  <si>
    <t>סוגיא דמוקצה - 4 כר'</t>
  </si>
  <si>
    <t>סוגיא דסימנים</t>
  </si>
  <si>
    <t>ציק, יחיאל מיכל - וייס, יצחק יעקב</t>
  </si>
  <si>
    <t>סוגיא דפאה נכרית</t>
  </si>
  <si>
    <t>ליפשיץ בריזל, אברהם מאיר</t>
  </si>
  <si>
    <t>סוגיות בבא קמא</t>
  </si>
  <si>
    <t>ישיבת ארחות תורה</t>
  </si>
  <si>
    <t>סוגיות במסכת כתובות</t>
  </si>
  <si>
    <t>ישיבת באר התורה - בית שמש</t>
  </si>
  <si>
    <t>סוגיות בקדשים</t>
  </si>
  <si>
    <t>ברוט, שמואל</t>
  </si>
  <si>
    <t>סוגיות בקידושין</t>
  </si>
  <si>
    <t>אלינסון, אליקים געציל</t>
  </si>
  <si>
    <t>סוגיות גיטין</t>
  </si>
  <si>
    <t>סוגיות התלמוד - 2 כר'</t>
  </si>
  <si>
    <t>משה בן דניאל מרוהאטין</t>
  </si>
  <si>
    <t>סוגיות מכון ש"ס בש"ס - 35 כר'</t>
  </si>
  <si>
    <t>מכון ש"ס בש"ס</t>
  </si>
  <si>
    <t>סוגיות שביעית</t>
  </si>
  <si>
    <t>סוגית יחוד כלים - תש"ע</t>
  </si>
  <si>
    <t>קצב,</t>
  </si>
  <si>
    <t>סוד ברית יצחק</t>
  </si>
  <si>
    <t>יצחק מקריסנפולי</t>
  </si>
  <si>
    <t>סוד ה'</t>
  </si>
  <si>
    <t>סוד השם</t>
  </si>
  <si>
    <t>סוד הארץ</t>
  </si>
  <si>
    <t>שהם, אלי</t>
  </si>
  <si>
    <t>סוד הבנים</t>
  </si>
  <si>
    <t>סוד ההצלחה</t>
  </si>
  <si>
    <t>סוד החינוך</t>
  </si>
  <si>
    <t>פרידלנדר, אליהו בן חיים</t>
  </si>
  <si>
    <t>סוד החצי</t>
  </si>
  <si>
    <t>פיש, יקותיאל זלמן זאב בן יעקב יחזקיה</t>
  </si>
  <si>
    <t>סוד החשמל - 6 כר'</t>
  </si>
  <si>
    <t>סוד היחוד</t>
  </si>
  <si>
    <t>סוד היסודות</t>
  </si>
  <si>
    <t>יעקב, יעקב</t>
  </si>
  <si>
    <t>סוד הנישואין באותיות ומילים</t>
  </si>
  <si>
    <t>סוד הפרנסה</t>
  </si>
  <si>
    <t>שלזינגר, ישראל דוד - פיש, יצחק זאב הלוי (עורך)</t>
  </si>
  <si>
    <t>סוד השבועה</t>
  </si>
  <si>
    <t>סוד השמחה - 2 כר'</t>
  </si>
  <si>
    <t>אדמון, מישאל</t>
  </si>
  <si>
    <t>סוד התשובה</t>
  </si>
  <si>
    <t>סוד טהרת המשפחה</t>
  </si>
  <si>
    <t>סוד ישרים &lt;מהדורה חדשה&gt; - נפש אליהו</t>
  </si>
  <si>
    <t>ליינר, גרשון חנוך בן יעקב - ויינטרוב, ישראל אליהו</t>
  </si>
  <si>
    <t>סוד ישרים - 4 כר'</t>
  </si>
  <si>
    <t>תרס"ב - תרס"ח</t>
  </si>
  <si>
    <t>סוד ישרים</t>
  </si>
  <si>
    <t>סוד לשון הקודש - ב</t>
  </si>
  <si>
    <t>אשכנזי, יהודה ליאון בן דוד</t>
  </si>
  <si>
    <t>סוד מדרש התולדות - 2 כר'</t>
  </si>
  <si>
    <t>סוד נשמות עם ישראל</t>
  </si>
  <si>
    <t>שמולי, יוסף כהן</t>
  </si>
  <si>
    <t>סוד פלשתים וההנתקות בדילוגים</t>
  </si>
  <si>
    <t>סוד קיומנו או המחנך</t>
  </si>
  <si>
    <t>סוד תקון העולם</t>
  </si>
  <si>
    <t>מלוקט מספרי רבי נחמן מברסלב</t>
  </si>
  <si>
    <t>סודות נפלאות הבורא - עולם הזוחלים</t>
  </si>
  <si>
    <t>סודי חומש ושאר</t>
  </si>
  <si>
    <t>יהודה בן שמואל החסיד (תלמידיו)</t>
  </si>
  <si>
    <t>סודי רזי סמוכים</t>
  </si>
  <si>
    <t>סודי רזיא &lt;פרישת שלום&gt;</t>
  </si>
  <si>
    <t>אלעזר בן יהודה מגרמיזא - וויס, שלום</t>
  </si>
  <si>
    <t>סודי רזיא עם פי' סודות השמים</t>
  </si>
  <si>
    <t>אלעזר בן יהודה מגרמיזא - קורח, שלמה בן יחיה</t>
  </si>
  <si>
    <t>סודי רזיא - 2 כר'</t>
  </si>
  <si>
    <t>סוכה וארבעת המינים</t>
  </si>
  <si>
    <t>כהן, מרדכי דוד</t>
  </si>
  <si>
    <t>סוכה ולולב</t>
  </si>
  <si>
    <t>סוכה כהלכתה</t>
  </si>
  <si>
    <t>סוכה נאה - סוכה</t>
  </si>
  <si>
    <t>סוכה קטנה</t>
  </si>
  <si>
    <t>שוולב, שמעון</t>
  </si>
  <si>
    <t>סוכה של מי</t>
  </si>
  <si>
    <t>סוכות כהלכה</t>
  </si>
  <si>
    <t>סוכת אריה</t>
  </si>
  <si>
    <t>קליין, אריה</t>
  </si>
  <si>
    <t>סוכת גדולי ישראל</t>
  </si>
  <si>
    <t>סוכת דוד &lt;מקראי קודש&gt; - 2 כר'</t>
  </si>
  <si>
    <t>קוויאט, דוד</t>
  </si>
  <si>
    <t>סוכת דוד &lt;על המועדים&gt; - 6 כר'</t>
  </si>
  <si>
    <t>סוכת דוד &lt;על התורה&gt; - 9 כר'</t>
  </si>
  <si>
    <t>סוכת דוד &lt;על פרקי אבות&gt;</t>
  </si>
  <si>
    <t>סוכת דוד על מסכת סוכה</t>
  </si>
  <si>
    <t>אוצר כת"י מרבותינו ראשונים ואחרונים</t>
  </si>
  <si>
    <t>סוכת דוד - 2 כר'</t>
  </si>
  <si>
    <t>סוכת דוד</t>
  </si>
  <si>
    <t>סוכת דוד - 13 כר'</t>
  </si>
  <si>
    <t>סוכת הגר"א</t>
  </si>
  <si>
    <t>סוכת החג</t>
  </si>
  <si>
    <t>סוכת הלויים</t>
  </si>
  <si>
    <t>תורת רבותינו מבריסק</t>
  </si>
  <si>
    <t>סוכת זכרון</t>
  </si>
  <si>
    <t>שימלמן, אפרים דניאל</t>
  </si>
  <si>
    <t>סוכת חיים</t>
  </si>
  <si>
    <t>אורצל, חיים משה יהודה בן עזרא</t>
  </si>
  <si>
    <t>סוכת חיים - 4 כר'</t>
  </si>
  <si>
    <t>לונדינסקי, שמחה בונים בן ישראל דוד</t>
  </si>
  <si>
    <t>סוכת יעקב - סוכה</t>
  </si>
  <si>
    <t>סוכת עצי היער</t>
  </si>
  <si>
    <t>סוכת ציון</t>
  </si>
  <si>
    <t>סוכת רועים עם עטרת בני שלשים</t>
  </si>
  <si>
    <t>סוכת רחל</t>
  </si>
  <si>
    <t>סוכת רחמים</t>
  </si>
  <si>
    <t>אלמליח, רחמים</t>
  </si>
  <si>
    <t>סוכת שלום &lt;עטרת זקנים&gt;</t>
  </si>
  <si>
    <t>גוטמאכר, אליהו בן שלמה - הירשנזון, חיים בן יעקב מרדכי</t>
  </si>
  <si>
    <t>סוכת שלום יצחק</t>
  </si>
  <si>
    <t>סוכת שלום</t>
  </si>
  <si>
    <t>סוכת שלום - כל בו לחג הסוכות ושמחת תורה</t>
  </si>
  <si>
    <t>בית המדרש שארית אברהם - וידר, אהרן</t>
  </si>
  <si>
    <t>סוכת שלום - סוכה</t>
  </si>
  <si>
    <t>טולדינו, שלום משה</t>
  </si>
  <si>
    <t>סוכת שלום - 2 כר'</t>
  </si>
  <si>
    <t>כולל חלקת יעקב</t>
  </si>
  <si>
    <t>מזרחי עדני, שלום בן סעדיה</t>
  </si>
  <si>
    <t>קובץ תורני במדרש ובהלכה</t>
  </si>
  <si>
    <t>תפילות. הושענות והקפות. תרנ"ב. ורשה</t>
  </si>
  <si>
    <t>סוכת שלומך - סוכה</t>
  </si>
  <si>
    <t>אדמן, עקיבא אלעזר</t>
  </si>
  <si>
    <t>סוכת שלומך</t>
  </si>
  <si>
    <t>לאקס, שלמה העניך הכהן</t>
  </si>
  <si>
    <t>סוכת שמואל</t>
  </si>
  <si>
    <t>סוכת שמחה</t>
  </si>
  <si>
    <t>ברעם, עודד בן יוסף</t>
  </si>
  <si>
    <t>סולו המסילה</t>
  </si>
  <si>
    <t>סולם בית אל - 2 כר'</t>
  </si>
  <si>
    <t>סולם יעקב</t>
  </si>
  <si>
    <t>סופה וסערה &lt;מהדורה ישנה&gt;</t>
  </si>
  <si>
    <t>טוביאס, חנוך</t>
  </si>
  <si>
    <t>סופה של מפת הדרכים</t>
  </si>
  <si>
    <t>סופוטקין</t>
  </si>
  <si>
    <t>סופר המלך - 3 כר'</t>
  </si>
  <si>
    <t>ברנפלד, יצחק צבי</t>
  </si>
  <si>
    <t>סופר מהיר - 2 כר'</t>
  </si>
  <si>
    <t>סופר, יצחק ליב בן אברהם שמואל בנימין</t>
  </si>
  <si>
    <t>סופרי המלך עוללות מרן החתם סופר - 3 כר'</t>
  </si>
  <si>
    <t>ראקאוו, יום טוב ליפמאן</t>
  </si>
  <si>
    <t>סופרי המלך עוללות רבינו עקיבא איגר</t>
  </si>
  <si>
    <t>סופרי המלך - זכור לאברהם</t>
  </si>
  <si>
    <t>סופרי ישראל</t>
  </si>
  <si>
    <t>קובץ מכתבים</t>
  </si>
  <si>
    <t>סופרים וגניזותיהם</t>
  </si>
  <si>
    <t>סופרים וספרים - 3 כר'</t>
  </si>
  <si>
    <t>סור מרע ועשה טוב &lt;מהדורה חדשה&gt;</t>
  </si>
  <si>
    <t>סור מרע ועשה טוב - 4 כר'</t>
  </si>
  <si>
    <t>חסידות, קבלה, קבלה</t>
  </si>
  <si>
    <t>סורא - ב &lt;תשט"ו - תשט"ז&gt;</t>
  </si>
  <si>
    <t>מירסקי, שמואל קלמן (עורך)</t>
  </si>
  <si>
    <t>סח אהרן</t>
  </si>
  <si>
    <t>וינברג, חיים אהרן בן דוד</t>
  </si>
  <si>
    <t>סיביר - עדות אישית</t>
  </si>
  <si>
    <t>קליבנסקי, גרשון</t>
  </si>
  <si>
    <t>סיגריות והמכשולים הנולדים מהן</t>
  </si>
  <si>
    <t>סידור אבותינו &lt;נוסח מרוקו&gt;</t>
  </si>
  <si>
    <t>סידור אהלי יעקב</t>
  </si>
  <si>
    <t>סידור אוצר המטמונים</t>
  </si>
  <si>
    <t>סידור אוצר התפלות - 3 כר'</t>
  </si>
  <si>
    <t>סדור</t>
  </si>
  <si>
    <t>סידור אור החמה</t>
  </si>
  <si>
    <t>סידור אור הישר &lt;קוידינוב&gt;</t>
  </si>
  <si>
    <t>נוסח צדיקי קוידינוב</t>
  </si>
  <si>
    <t>סידור אור לישרים - 2 כר'</t>
  </si>
  <si>
    <t>סידור. זיטאמיר.</t>
  </si>
  <si>
    <t>סידור אזור אליהו - 2 כר'</t>
  </si>
  <si>
    <t>כהן, יהושע - וינוגרד, ישעיהו</t>
  </si>
  <si>
    <t>סידור אשל אברהם</t>
  </si>
  <si>
    <t>סידור אשת חיל</t>
  </si>
  <si>
    <t>סידור באר משה</t>
  </si>
  <si>
    <t>ירחמיאל משה מקאזניץ</t>
  </si>
  <si>
    <t>סידור בית אהרן וישראל</t>
  </si>
  <si>
    <t>סידור נוסח קרלין</t>
  </si>
  <si>
    <t>סידור בית דוד ושלמה</t>
  </si>
  <si>
    <t>סידור בית הלוי &lt;ע"פ עטרת בני שלשים&gt;</t>
  </si>
  <si>
    <t>סידור בית יעקב</t>
  </si>
  <si>
    <t>עמדין, יעקב ישראל בן צבי, קלוגר שלמה</t>
  </si>
  <si>
    <t>סידור בכתב אשורית</t>
  </si>
  <si>
    <t>ברוין, אשר אנשיל</t>
  </si>
  <si>
    <t>סידור בני יששכר</t>
  </si>
  <si>
    <t>סידור ברכה ותהלה</t>
  </si>
  <si>
    <t>סידור גאולת ישראל - 2 כר'</t>
  </si>
  <si>
    <t>סידור גאולת ישראל</t>
  </si>
  <si>
    <t>סידור דרך החיים עבודת ישראל - שבת</t>
  </si>
  <si>
    <t>לורברבוים, יעקב בן יעקב משה - גאנצפריד, שלמה בן יוסף</t>
  </si>
  <si>
    <t>סידור דרך החיים עם עיון תפילה - אשכנז</t>
  </si>
  <si>
    <t>סידור דרך החיים עם עיון תפלה - ספרד</t>
  </si>
  <si>
    <t>סידור האר"י - 5 כר'</t>
  </si>
  <si>
    <t>ליפשיץ, יעקב קופל בן משה</t>
  </si>
  <si>
    <t>סידור האר"י  - סדור ר' אשר &lt;הגהות עטרת צבי - הצבי והצדק&gt;</t>
  </si>
  <si>
    <t>מכון בני שלשים</t>
  </si>
  <si>
    <t>סידור האר"י - סידור ר' שבתי</t>
  </si>
  <si>
    <t>סדור האר"י</t>
  </si>
  <si>
    <t>סידור האר"י - כת"י הרה"ק רא"ש בן התולדות</t>
  </si>
  <si>
    <t>סידור האר"י כתב יד</t>
  </si>
  <si>
    <t>סידור האר"י - זולקווא</t>
  </si>
  <si>
    <t>תפילות. סידור. תקמ"א. זולקוה</t>
  </si>
  <si>
    <t>סידור האר"י - 3 כר'</t>
  </si>
  <si>
    <t>תפילות. סידור. תקמ"ח. לבוב</t>
  </si>
  <si>
    <t>תקמ"ח - תש"ל</t>
  </si>
  <si>
    <t>סידור האר"י - 2 כר'</t>
  </si>
  <si>
    <t>סידור הגאונים והמקובלים - 20 כר'</t>
  </si>
  <si>
    <t>סידור הגר"א &lt;שער נפתלי, אמרי שפר&gt;</t>
  </si>
  <si>
    <t>תפילות. סידור. תרנ"ה. ירושלים</t>
  </si>
  <si>
    <t>סידור הגר"א אשי ישראל &lt;שיח יצחק - 2 כר'</t>
  </si>
  <si>
    <t>מאלצאן, יצחק בן שמואל -לנדא אליהו בן אלעזר</t>
  </si>
  <si>
    <t>סידור החיד"א - 2 כר'</t>
  </si>
  <si>
    <t>סידור המבואר  אביר יעקב - ימות החול</t>
  </si>
  <si>
    <t>מכון אור לישרים</t>
  </si>
  <si>
    <t>ירושלים - נהריה</t>
  </si>
  <si>
    <t>סידור המפורש</t>
  </si>
  <si>
    <t>נוסח האר"י ז"ל (חב"ד)</t>
  </si>
  <si>
    <t>ספריית חב"ד, תפלות בקשות פיוטים ושירה</t>
  </si>
  <si>
    <t>סידור הנאו שפה</t>
  </si>
  <si>
    <t>מהדורה פקסמילית</t>
  </si>
  <si>
    <t>סידור הראב"ן</t>
  </si>
  <si>
    <t>סידור הרב &lt;דפוס ראשון&gt;</t>
  </si>
  <si>
    <t>סידור אדמו"ר בעל התניא</t>
  </si>
  <si>
    <t>תקס"ג?</t>
  </si>
  <si>
    <t>שקלוב?</t>
  </si>
  <si>
    <t>סידור הרמח"ל - 2 כר'</t>
  </si>
  <si>
    <t>סידור הרש"ש &lt;בית אל - 4 כר'</t>
  </si>
  <si>
    <t>סידור הרש"ש כת"י - פירירה, אהרן רפאל חיים משה בן יצחק</t>
  </si>
  <si>
    <t>סידור הרש"ש &lt;כת"י השמן ששון&gt; - ספירת העומר</t>
  </si>
  <si>
    <t>סידור הרש"ש &lt;תרע"א - הארוך&gt; - א</t>
  </si>
  <si>
    <t>תפילות. סידור. תרע"ו. ירושלים</t>
  </si>
  <si>
    <t>סידור הרש"ש &lt;ע"פ עבודת המלך&gt;</t>
  </si>
  <si>
    <t>תפילות. סידור. תשע"ו. ירושלים</t>
  </si>
  <si>
    <t>סידור הרש"ש אור המלך</t>
  </si>
  <si>
    <t>סידור הרש"ש - הגדה של פסח</t>
  </si>
  <si>
    <t>שרעבי, שלום בן יצחק מזרחי - סופר, ראובן ניסים</t>
  </si>
  <si>
    <t>סידור הרש"ש - 3 כר'</t>
  </si>
  <si>
    <t>סידור השולחן &lt;מנהגי עדן&gt;</t>
  </si>
  <si>
    <t>משמור, איתמר גדליה בן מאיר</t>
  </si>
  <si>
    <t>סידור השל"ה &lt;שער השמים&gt;</t>
  </si>
  <si>
    <t>הורוויץ, ישעיהו בן אברהם הלוי</t>
  </si>
  <si>
    <t>תפילות. סידור. תע"ז. אמשטרדם</t>
  </si>
  <si>
    <t>סידור השלחן (שו"ע - של"ז-של"ט)</t>
  </si>
  <si>
    <t>סידור התפלה</t>
  </si>
  <si>
    <t>סידור ווילנא</t>
  </si>
  <si>
    <t>סידור ושננתם</t>
  </si>
  <si>
    <t>שנון, אליהו</t>
  </si>
  <si>
    <t>סעד</t>
  </si>
  <si>
    <t>סידור זבח כהלכתו</t>
  </si>
  <si>
    <t>סידור זכרון תפילה</t>
  </si>
  <si>
    <t>סידור זמירות</t>
  </si>
  <si>
    <t>סידור ח"ן - סדר ט"ו בשבט</t>
  </si>
  <si>
    <t>שפהרד, יעקב אברהם</t>
  </si>
  <si>
    <t>סידור חיים ושלום</t>
  </si>
  <si>
    <t>סידור חמדת ישראל - כוונות האר"י</t>
  </si>
  <si>
    <t>ויטאל,  שמואל בן חיים - שפירא, חיים אלעזר</t>
  </si>
  <si>
    <t>סידור חנוך תפלה &lt;מסלול ודרך&gt;</t>
  </si>
  <si>
    <t>גארדאן, אריה ליב</t>
  </si>
  <si>
    <t>סידור חתם סופר - 2 כר'</t>
  </si>
  <si>
    <t>סידור טהרת השם</t>
  </si>
  <si>
    <t>תפילות. סידור. תרפ"ז. ירושלים</t>
  </si>
  <si>
    <t>סידור יחודים כמותך - 4 כר'</t>
  </si>
  <si>
    <t>סידור יסוד ושורש העבודה</t>
  </si>
  <si>
    <t>סידור ישועות ישראל &lt;דברי חיים&gt;</t>
  </si>
  <si>
    <t>תפילות. סידור. תש"י.</t>
  </si>
  <si>
    <t>סידור כוונות בית אל - 3 כר'</t>
  </si>
  <si>
    <t>שרעבי, שלום מזרחי דידיע - טבילה, יוסף</t>
  </si>
  <si>
    <t>סידור כוונות היר"א &lt;שלחן הטהור&gt; - סדר ט"ו בשבט</t>
  </si>
  <si>
    <t>אזולאי (אילון), ישראל שניאור אוראל בן תדהר (עורך)</t>
  </si>
  <si>
    <t>סידור כוונות היר"א - ישא ברכה</t>
  </si>
  <si>
    <t>סידור כוונות הרש"ש &lt;אהבת שלום&gt; - 9 כר'</t>
  </si>
  <si>
    <t>סידור כוונות הרש"ש הירא - 4 כר'</t>
  </si>
  <si>
    <t>אבולעפייא, ידידיה רפאל</t>
  </si>
  <si>
    <t>סידור כוונות התפילה בקצרה</t>
  </si>
  <si>
    <t>סידור כוונות עץ התדהר - 2 כר'</t>
  </si>
  <si>
    <t>אילון אזולאי, תדהר</t>
  </si>
  <si>
    <t>סידור כוונת הלב - 12 כר'</t>
  </si>
  <si>
    <t>סידור כוונת השם</t>
  </si>
  <si>
    <t>סידור. תשנ"ג. ירושלים.</t>
  </si>
  <si>
    <t>סידור כונת הלב עם ביאור (אשכנז)</t>
  </si>
  <si>
    <t>סידור כונת הלב עם ביאור (ספרד)</t>
  </si>
  <si>
    <t>סידור כונת הרש"ש בכתב אשורית עם שילוב הויה ואדנות - 3 כר'</t>
  </si>
  <si>
    <t>סידור כמנהג אשכנז &lt;יוצרות&gt;</t>
  </si>
  <si>
    <t>תפילות. סידור. רע"ה. איטליה</t>
  </si>
  <si>
    <t>סידור כת"י - ערבית ליל שבת &lt;כתב יד&gt;</t>
  </si>
  <si>
    <t>סידור לחופה</t>
  </si>
  <si>
    <t>סידור ליום כיפור &lt;זכור לרפאל&gt; - מנהג לוב</t>
  </si>
  <si>
    <t>סידור לימות החול עם פירוש עת רצון - 2 כר'</t>
  </si>
  <si>
    <t>סידור עת רצון</t>
  </si>
  <si>
    <t>סידור לכל השנה כמנהג פולין</t>
  </si>
  <si>
    <t>תפילות. סידור. ת'. קרקוב</t>
  </si>
  <si>
    <t>סידור לפסח &lt;זכור לרפאל&gt; - מנהג לוב</t>
  </si>
  <si>
    <t>סידור לראש השנה &lt;זכור לרפאל&gt; - מנהג לוב</t>
  </si>
  <si>
    <t>סידור מאורי הגר"א</t>
  </si>
  <si>
    <t>אליהו בן שלמה זלמן (הגר"א) - הוכברגר, מאיר</t>
  </si>
  <si>
    <t>סידור מברכה</t>
  </si>
  <si>
    <t>סידור מה"ר שבתי סופר מפרעמישלע &lt;כת"י ב"ד לונדון&gt;</t>
  </si>
  <si>
    <t>שע"ז בערך</t>
  </si>
  <si>
    <t>סידור מנהג בני רומי</t>
  </si>
  <si>
    <t>סידור מנחת יהודה</t>
  </si>
  <si>
    <t>פרלמן, יהודה לייב בן אליהו</t>
  </si>
  <si>
    <t>סידור נחלת אבות השלם כמנהג כל קהילות מרוקו</t>
  </si>
  <si>
    <t>סידור נחלת אבות</t>
  </si>
  <si>
    <t>סידור סדר העבודה</t>
  </si>
  <si>
    <t>סידור עבודת תמיד</t>
  </si>
  <si>
    <t>סידור עטרת ירושלים - 2 כר'</t>
  </si>
  <si>
    <t>אלינסון, משה בן גרשון</t>
  </si>
  <si>
    <t>סידור עטרת פז השלם</t>
  </si>
  <si>
    <t>סידור עיון תפלה</t>
  </si>
  <si>
    <t>סידור עליות אליהו</t>
  </si>
  <si>
    <t>מכון עליות אליהו</t>
  </si>
  <si>
    <t>סידור עם פירוש באר חיים</t>
  </si>
  <si>
    <t>סידור עם פירוש הזהר השלם - 2 כר'</t>
  </si>
  <si>
    <t>סידור עם פירוש הזהר</t>
  </si>
  <si>
    <t>סידור עמודי ושערי שמים &lt;סידור יעב"ץ&gt; - 2 כר'</t>
  </si>
  <si>
    <t>תק"ה - תק"ז</t>
  </si>
  <si>
    <t>סידור עמודי שמים &lt;סידור יעב"ץ&gt; - מהדורת כוכב מיעקב</t>
  </si>
  <si>
    <t>סידור ערוגת הבושם - סדר ליל שבת, תפילות וזמירות</t>
  </si>
  <si>
    <t>סידור פאר התפילה  &lt;תכלאל מנהג ביד'א&gt;</t>
  </si>
  <si>
    <t>סידור פסח כהלכתו - 2 כר'</t>
  </si>
  <si>
    <t>סידור צלותא דאבא</t>
  </si>
  <si>
    <t>נוסח ומנהגי פיטסבורג</t>
  </si>
  <si>
    <t>סידור צלותא דאהרן &lt;בית אהרן&gt; - 2 כר'</t>
  </si>
  <si>
    <t>סידור צלותא דאהרן</t>
  </si>
  <si>
    <t>נוסח תולדות אהרן</t>
  </si>
  <si>
    <t>סידור קמחא דאבישונא &lt;מהדורת אוצרנו&gt;</t>
  </si>
  <si>
    <t>סידור. תשע"ד.</t>
  </si>
  <si>
    <t>סידור קרני הוד</t>
  </si>
  <si>
    <t>סידור ר' הירץ ש"ץ &lt;מלאה הארץ דעה&gt;</t>
  </si>
  <si>
    <t>טריוויש, נפתלי הירץ בן אליעזר</t>
  </si>
  <si>
    <t>סידור רב סעדיה גאון</t>
  </si>
  <si>
    <t>תפילות. סידור. תש"א. ירושלים</t>
  </si>
  <si>
    <t>סידור רביד הזהב</t>
  </si>
  <si>
    <t>שפטשניק, יוסף</t>
  </si>
  <si>
    <t>סידור רבינו שלמה ברבי נתן</t>
  </si>
  <si>
    <t>קרויזר, שמואל</t>
  </si>
  <si>
    <t>סידור רבנו שלמה, סידור חסידי אשכנז</t>
  </si>
  <si>
    <t>שלמה בן שמשון מגרמיזא (מיוחס לו)</t>
  </si>
  <si>
    <t>סידור רינת ישראל &lt;מהדורה חדשה&gt; - ספרד</t>
  </si>
  <si>
    <t>טל, שלמה - קטן, יואל</t>
  </si>
  <si>
    <t>סידור רינת ישראל - 2 כר'</t>
  </si>
  <si>
    <t>טל, שלמה</t>
  </si>
  <si>
    <t>סידור רש"י</t>
  </si>
  <si>
    <t>סידור רשב"ן</t>
  </si>
  <si>
    <t>סידור שיח תפילה - 2 כר'</t>
  </si>
  <si>
    <t>סידור שים שלום &lt;נוסח עדן&gt; - ימות החול, שבת ור"ח</t>
  </si>
  <si>
    <t>סידור שמע ישראל קול מנחם</t>
  </si>
  <si>
    <t>טויב, מנחם מנדל</t>
  </si>
  <si>
    <t>סידור שער בנימין - 4 כר'</t>
  </si>
  <si>
    <t>סידור שער יששכר &lt;מונקאטש&gt;</t>
  </si>
  <si>
    <t>סידור נוסח ספרד. תשל"ב</t>
  </si>
  <si>
    <t>סידור שערי יחזקאל</t>
  </si>
  <si>
    <t>סידור תהילת יצחק</t>
  </si>
  <si>
    <t>ישיבת באר יהודה</t>
  </si>
  <si>
    <t>סידור תהלת ה' עם תרגום צרפתי</t>
  </si>
  <si>
    <t>סידור תורת חכם - 2 כר'</t>
  </si>
  <si>
    <t>סידור תיקון אשר</t>
  </si>
  <si>
    <t>סידור תפילה &lt;פראג רע"ג&gt;</t>
  </si>
  <si>
    <t>תפילה. סידור. פרג. רע"ג</t>
  </si>
  <si>
    <t>סידור תפילה דרך שיח השדה</t>
  </si>
  <si>
    <t>תפילות. סידור. תע"ג. ברלין</t>
  </si>
  <si>
    <t>סידור תפילה למשה &lt;ביאורי הגר"ח קנייבסקי&gt; - 2 כר'</t>
  </si>
  <si>
    <t>סידור תפילה עם סיפורים חסידיים</t>
  </si>
  <si>
    <t>סידור תפילת החודש החדש &lt;מהדורת אור וישועה&gt;</t>
  </si>
  <si>
    <t>סידור תפילת חנה</t>
  </si>
  <si>
    <t>סידור תפילת ישראל עם פירוש דברי שלמה</t>
  </si>
  <si>
    <t>סידור תפילת רש"י</t>
  </si>
  <si>
    <t>סידור תפלה &lt;תפלה למשה, אור הישר&gt; - א</t>
  </si>
  <si>
    <t>סידור תפלה &lt;עולת תמיד&gt;</t>
  </si>
  <si>
    <t>תפילות. סידור. תרנ"ו. פרמישלה</t>
  </si>
  <si>
    <t>סידור תפלה כמנהג אשכנז</t>
  </si>
  <si>
    <t>ר' אריה ליב פרומקין</t>
  </si>
  <si>
    <t>סידור תפלה עם ליקוטי תורה - 2 כר'</t>
  </si>
  <si>
    <t>תפילות. סידור. תרע"ב. וילנה</t>
  </si>
  <si>
    <t>סידור תפלה</t>
  </si>
  <si>
    <t>סידור תפלות ישראל &lt;עם פירוש ותרגום גרמנית&gt;</t>
  </si>
  <si>
    <t>תפילות. סידור. תרנ"ה. פרנקפורט דמין</t>
  </si>
  <si>
    <t>סידור תפלות כמנהג האשכנזים ופולין</t>
  </si>
  <si>
    <t>תפילות. סידור. שע"ו. הנאו</t>
  </si>
  <si>
    <t>סידור תפלת ישראל</t>
  </si>
  <si>
    <t>סידור תפלת ישרים</t>
  </si>
  <si>
    <t>פאפע, נתנאל חיים</t>
  </si>
  <si>
    <t>סידור תקון מאיר</t>
  </si>
  <si>
    <t>חינסקי, מאיר בן צבי אריה</t>
  </si>
  <si>
    <t>סידורא דפת</t>
  </si>
  <si>
    <t>סידורא דשמעתא - מר"מ נדה</t>
  </si>
  <si>
    <t>סופר, שאול אברהם</t>
  </si>
  <si>
    <t>סידורא דשמעתתא - נדה</t>
  </si>
  <si>
    <t>סופר, אברהם שאול</t>
  </si>
  <si>
    <t>סידורו של שבת - 7 כר'</t>
  </si>
  <si>
    <t>דרושים, הלכה ומנהג, חסידות, מועדי ישראל</t>
  </si>
  <si>
    <t>סידנא בבא חאקי</t>
  </si>
  <si>
    <t>אביחצירא, שמעון בן יצחק</t>
  </si>
  <si>
    <t>סידרת מקדש ישראל והזמנים - 2 כר'</t>
  </si>
  <si>
    <t>שטרענגער, יוסף אלטר</t>
  </si>
  <si>
    <t>סיום על הירושלמי</t>
  </si>
  <si>
    <t>סיומה הפרשיות מהתורה</t>
  </si>
  <si>
    <t>מיינק, משה יצחק זקיל בן ברוך</t>
  </si>
  <si>
    <t>סיומי המסכתות במשנה ובתלמוד הבבלי</t>
  </si>
  <si>
    <t>מירסקי, שמואל קלמן</t>
  </si>
  <si>
    <t>סיחה נאה</t>
  </si>
  <si>
    <t>חדאד, סעייד (מסעוד)</t>
  </si>
  <si>
    <t>סייג לתורה</t>
  </si>
  <si>
    <t>ווירמש, אשר אנשל בן וולף</t>
  </si>
  <si>
    <t>סייעתא דשמיא - 2 כר'</t>
  </si>
  <si>
    <t>שמעיה בן יהונתן מטומאשוב</t>
  </si>
  <si>
    <t>סיכום הטור בית יוסף - 2 כר'</t>
  </si>
  <si>
    <t>סיכום הלכות שחיטה וטריפות על ספר בית דוד</t>
  </si>
  <si>
    <t>הורליק, אליהו בן חנא</t>
  </si>
  <si>
    <t>סיכום הלכות - 12 כר'</t>
  </si>
  <si>
    <t>ברוכיאן, שמואל אהרון</t>
  </si>
  <si>
    <t>סיכום הש"ס - בכורות, ערכין, תמורה</t>
  </si>
  <si>
    <t>פיינהנדלר, יחזקאל</t>
  </si>
  <si>
    <t>סיכום סוגיות - 5 כר'</t>
  </si>
  <si>
    <t>פרוביין, ישראל מאיר בן יהודה</t>
  </si>
  <si>
    <t>סיכום פסחים</t>
  </si>
  <si>
    <t>סיכום שו"ע ונו"כ - הלכות נדה</t>
  </si>
  <si>
    <t>לאבנשטיין, אליעזר</t>
  </si>
  <si>
    <t>סיכומי הלכות הלכות גיטין</t>
  </si>
  <si>
    <t>שרייבר, אברהם</t>
  </si>
  <si>
    <t>סיכומי הלכות - 2 כר'</t>
  </si>
  <si>
    <t>רבינוביץ, זאב נחום הכהן בן אלחנן יעקב דוד</t>
  </si>
  <si>
    <t>שרייבר</t>
  </si>
  <si>
    <t>סיכומי הסוגיות - 2 כר'</t>
  </si>
  <si>
    <t>שכטר, יעקב</t>
  </si>
  <si>
    <t>סיכומי וביאורי ספר נפש החיים - א</t>
  </si>
  <si>
    <t>סיכומי סוגיות והערות - 5 כר'</t>
  </si>
  <si>
    <t>עוזר, חננאל</t>
  </si>
  <si>
    <t>סיכומי סוגיות - 2 כר'</t>
  </si>
  <si>
    <t>וולס, מאיר בן צבי הלוי</t>
  </si>
  <si>
    <t>סיכומי סוגיות - 3 כר'</t>
  </si>
  <si>
    <t>טויב, משה בן אברהם</t>
  </si>
  <si>
    <t>סיכומי סוגיות - 4 כר'</t>
  </si>
  <si>
    <t>טולידנו, ישי</t>
  </si>
  <si>
    <t>סיכומי סוגיות</t>
  </si>
  <si>
    <t>סיכומי סוגיות - 5 כר'</t>
  </si>
  <si>
    <t>פרידמן, יוסף יצחק</t>
  </si>
  <si>
    <t>סיכומי סוגיות - ב"ק</t>
  </si>
  <si>
    <t>רימר, י</t>
  </si>
  <si>
    <t>סיכומים בהלכות שביעית</t>
  </si>
  <si>
    <t>זליכה, יוסף עזרא בן סלמן</t>
  </si>
  <si>
    <t>סיכומים בשלחן ערוך</t>
  </si>
  <si>
    <t>שלום, רועי</t>
  </si>
  <si>
    <t>סיכומים והערות - 4 כר'</t>
  </si>
  <si>
    <t>חובארה, דניאל בן חיים</t>
  </si>
  <si>
    <t>סימא בביתא &lt;פנינים ואגרות משמר הלוי ז&gt;</t>
  </si>
  <si>
    <t>סימן ברכה</t>
  </si>
  <si>
    <t>סימן טוב</t>
  </si>
  <si>
    <t>יעקובוביץ, ישי</t>
  </si>
  <si>
    <t>קופילוביץ, משה בן שמעון</t>
  </si>
  <si>
    <t>סימן טוב - 2 כר'</t>
  </si>
  <si>
    <t>סימן כד &lt;מהדורה חדשה&gt;</t>
  </si>
  <si>
    <t>סימן כד</t>
  </si>
  <si>
    <t>סימן לבנים - שמות</t>
  </si>
  <si>
    <t>סימן סיבה והבדלה</t>
  </si>
  <si>
    <t>דרור, צבי יהודה</t>
  </si>
  <si>
    <t>סימנא טבא / סדר ברכות</t>
  </si>
  <si>
    <t>יעקובזון, חיים יהודה</t>
  </si>
  <si>
    <t>סימנא מילתא</t>
  </si>
  <si>
    <t>בורנשטיין, חנוך הניך בן מרדכי</t>
  </si>
  <si>
    <t>סימני אור זרוע - ברכות</t>
  </si>
  <si>
    <t>אור זרוע, חיים בן יצחק</t>
  </si>
  <si>
    <t>סימני ברכה</t>
  </si>
  <si>
    <t>רפפורט, רפאל</t>
  </si>
  <si>
    <t>סימני השחיטה</t>
  </si>
  <si>
    <t>אפלבוים, אפרים אלעד בן מנחם עמי</t>
  </si>
  <si>
    <t>סימני התורה</t>
  </si>
  <si>
    <t>סימני וקיצורי המרדכי</t>
  </si>
  <si>
    <t>סימני טהרה</t>
  </si>
  <si>
    <t>סימני כל השמנה בנינים</t>
  </si>
  <si>
    <t>סביוניטה</t>
  </si>
  <si>
    <t>סימני ספר תהלות</t>
  </si>
  <si>
    <t>פינצי, יצחק בן רפאל</t>
  </si>
  <si>
    <t>סימני רעשים ורעמים - 3 כר'</t>
  </si>
  <si>
    <t>רעמים ורעשים. תר"ח</t>
  </si>
  <si>
    <t>סימני רעשים ורעמים</t>
  </si>
  <si>
    <t>רעמים ורעשים. תר"ע</t>
  </si>
  <si>
    <t>סימנים טובים</t>
  </si>
  <si>
    <t>סימנים עשה</t>
  </si>
  <si>
    <t>סיני ועוקר הרים</t>
  </si>
  <si>
    <t>שבחי הגרע"י יוסף</t>
  </si>
  <si>
    <t>סיעתא דשמיא</t>
  </si>
  <si>
    <t>גרינובוים, שמעיה</t>
  </si>
  <si>
    <t>סיפור דוד הראובני</t>
  </si>
  <si>
    <t>דוד הראובני</t>
  </si>
  <si>
    <t>סיפור הצלתו המופלאה של ס"ת</t>
  </si>
  <si>
    <t>שנטג, אלכסנדר</t>
  </si>
  <si>
    <t>סיפור השתלשלות הגילויים של ספר סיפורי מעשיות</t>
  </si>
  <si>
    <t>סיפור יציאת מצרים</t>
  </si>
  <si>
    <t>שווארץ, אשר לעמיל</t>
  </si>
  <si>
    <t>סיפור לחג - 4 כר'</t>
  </si>
  <si>
    <t>סיפור לשבת - 8 כר'</t>
  </si>
  <si>
    <t>סיפור מבית אבא -א</t>
  </si>
  <si>
    <t>סיפור מן ההפטרה</t>
  </si>
  <si>
    <t>הדרי, חיים ישעיהו</t>
  </si>
  <si>
    <t>סיפור מפליא הנוגע לכבוד התורה</t>
  </si>
  <si>
    <t>שולמן, שמואל ברוך</t>
  </si>
  <si>
    <t>סיפור קטן - מעשה גדול</t>
  </si>
  <si>
    <t>סיפורה של משפחה בני הדור הקודם</t>
  </si>
  <si>
    <t>סיפורי אליהו הנביא - 2 כר'</t>
  </si>
  <si>
    <t>סיפורי בית דין של מעלה</t>
  </si>
  <si>
    <t>סיפורי החג - פסח</t>
  </si>
  <si>
    <t>מנחם מנדל - נפתלי צבי</t>
  </si>
  <si>
    <t>סיפורי חז"ל ממדרש רבה עם הערות וביאורים</t>
  </si>
  <si>
    <t>סיפורי חז"ל מתלמוד בבלי עם הערות וביאורים - 2 כר'</t>
  </si>
  <si>
    <t>סיפורי חז"ל מתלמוד ירושלמי עם הערות וביאורים</t>
  </si>
  <si>
    <t>סיפורי חסידים באר יעקב חיים - 3 כר'</t>
  </si>
  <si>
    <t>סיפורי חסידים - 3 כר'</t>
  </si>
  <si>
    <t>סיפורי חצרות ובתים בין החומות</t>
  </si>
  <si>
    <t>סיפורי מעשיות &lt;דפו"ר&gt;</t>
  </si>
  <si>
    <t>סיפורי מעשיות עם נועם מגדים</t>
  </si>
  <si>
    <t>סיפורי מעשיות</t>
  </si>
  <si>
    <t>סיפורי עדות המזרח</t>
  </si>
  <si>
    <t>מרציאנו, שמעון</t>
  </si>
  <si>
    <t>סיפורי צדיקים החדש</t>
  </si>
  <si>
    <t>סויבלמאן, אברהם יצחק בן אשר אנזיל</t>
  </si>
  <si>
    <t>סיפורי צדיקים - חנוכה</t>
  </si>
  <si>
    <t>סיפורי שמואל</t>
  </si>
  <si>
    <t>סיפורים וחיזוקים - 3 כר'</t>
  </si>
  <si>
    <t>סיפורים ירושלמים - 5 כר'</t>
  </si>
  <si>
    <t>אנשין, נתן בן אברהם</t>
  </si>
  <si>
    <t>סיפורים מחכימים</t>
  </si>
  <si>
    <t>סיפורים נפלאים</t>
  </si>
  <si>
    <t>סיפורים קטנים על אנשים גדולים - ב</t>
  </si>
  <si>
    <t>סיפורים - א</t>
  </si>
  <si>
    <t>בן חיים, צ.</t>
  </si>
  <si>
    <t>סכורא וחכמיה</t>
  </si>
  <si>
    <t>דאבדא, יוסף חיים בן יעיש</t>
  </si>
  <si>
    <t>סכותה לראשי</t>
  </si>
  <si>
    <t>סכין שחיטה כהלכתה</t>
  </si>
  <si>
    <t>פלקסר, אלעזר בן יצחק</t>
  </si>
  <si>
    <t>סל המצות</t>
  </si>
  <si>
    <t>סלא דפלפלי - חג הסוכות</t>
  </si>
  <si>
    <t>סלו סלו המסילה</t>
  </si>
  <si>
    <t>לסלו Wloclawek</t>
  </si>
  <si>
    <t>סלו סלו המסלה - 2 כר'</t>
  </si>
  <si>
    <t>סלונים - 3 כר'</t>
  </si>
  <si>
    <t>סליחה בשביל ילדים קטנים</t>
  </si>
  <si>
    <t>סליחה כל בו השלמה</t>
  </si>
  <si>
    <t>תפילות. סליחות. תש"י. ניו יורק</t>
  </si>
  <si>
    <t>סליחה לקדושים</t>
  </si>
  <si>
    <t>סליחה נתייסדה על הקדושים</t>
  </si>
  <si>
    <t>יוסף בן שלמה הלוי סופר</t>
  </si>
  <si>
    <t>סליחות באותיות גדולות</t>
  </si>
  <si>
    <t>תפילות. סליחות. תרס"ה. למברג</t>
  </si>
  <si>
    <t>סליחות בעד חברה קדישא</t>
  </si>
  <si>
    <t>פוזנה. חברה קדישא וביקור חולים</t>
  </si>
  <si>
    <t>סליחות ומענה לשון &lt;קודש הלולים&gt;</t>
  </si>
  <si>
    <t>תפילות. סליחות. תרע"ז</t>
  </si>
  <si>
    <t>סליחות כמנהג אשכנז - שער אפרים</t>
  </si>
  <si>
    <t>לוינגר, ישראל מאיר - ביטרלי, שולה - דוברובינסקי, ד</t>
  </si>
  <si>
    <t>סליחות כמנהג אשכנז - מפורשות</t>
  </si>
  <si>
    <t>שוסטר, שמעון</t>
  </si>
  <si>
    <t>סליחות כמנהג אשכנז</t>
  </si>
  <si>
    <t>תפילות. סליחות. רל"ה. פיוה די סקו</t>
  </si>
  <si>
    <t>פיובה די סקו Pieve</t>
  </si>
  <si>
    <t>סליחות כמנהג ליטא, רייסין, וזאמוט</t>
  </si>
  <si>
    <t>תפילות. סליחות. תרנ"ב. וילנא.</t>
  </si>
  <si>
    <t>סליחות כמנהג ליטא, רייסין, זאמיט, ושאר קהלות</t>
  </si>
  <si>
    <t>תפילות. סליחות. תרכ"ב. קניגסברג</t>
  </si>
  <si>
    <t>סליחות כמנהג פולין, בעהמן, מעהרין, אונגרארן, אנגליא ודענימארק</t>
  </si>
  <si>
    <t>תפילות. סליחות. תקפ"ג. אלטונה</t>
  </si>
  <si>
    <t>סליחות כמנהג פיהם, פולין, מעהרן, אונגארן</t>
  </si>
  <si>
    <t>תפילות. סליחות. תק"ף. אופן</t>
  </si>
  <si>
    <t>סליחות כמנהג קהל קדוש תימנים</t>
  </si>
  <si>
    <t>כהן, טוב בן יצחק</t>
  </si>
  <si>
    <t>סליחות לאשמורת הבקר</t>
  </si>
  <si>
    <t>תפילות. סליחות. תרל"ד. פונה</t>
  </si>
  <si>
    <t>פונה</t>
  </si>
  <si>
    <t>סליחות להתפלל על חולי הילדים שקרוין רובליז</t>
  </si>
  <si>
    <t>סליחות. אמשטרדם</t>
  </si>
  <si>
    <t>סליחות ליום כ' סיון</t>
  </si>
  <si>
    <t>סליחות לימים נוראים כמנהג פוזנן והוראדני</t>
  </si>
  <si>
    <t>תפילות. סליחות. תרל"ז. וילנה</t>
  </si>
  <si>
    <t>סליחות לכ' סיון</t>
  </si>
  <si>
    <t>תפילות. סליחות. כ סיון. ת"י</t>
  </si>
  <si>
    <t>סליחות לכל יום מפוסקות ע"פ טעמיהם</t>
  </si>
  <si>
    <t>סליחות לשחרית של יום הכפורים</t>
  </si>
  <si>
    <t>סליחות מבוארות</t>
  </si>
  <si>
    <t>מקלב, מרדכי</t>
  </si>
  <si>
    <t>סליחות מכל השנה כמנהג האשכנזים</t>
  </si>
  <si>
    <t>שח</t>
  </si>
  <si>
    <t>סליחות מכל השנה</t>
  </si>
  <si>
    <t>תפילות. סליחות. תק"ט. פיורדה</t>
  </si>
  <si>
    <t>סליחות מפורשות ומבוארות &lt;ישמיענו סלחתי&gt; - פולין</t>
  </si>
  <si>
    <t>סליחות עם רב פנינים כמנהג פוילן</t>
  </si>
  <si>
    <t>תפילות. סליחות. תר"ף. ורשה</t>
  </si>
  <si>
    <t>סליחות תפלה למשה</t>
  </si>
  <si>
    <t>פייבא די שקו</t>
  </si>
  <si>
    <t>סליחות - כמנהג קהילות קדושות דמדינות ליטא</t>
  </si>
  <si>
    <t>תפילות. סליחות. תצ"ט. אמשטרדם</t>
  </si>
  <si>
    <t>תפילות. סליחות. תרל"ט. ווארשא</t>
  </si>
  <si>
    <t>סליחות - כמנהג יושבי רוססיא הצפונית מערבית</t>
  </si>
  <si>
    <t>תפילות. סליחות. תרס"ה. וילנה</t>
  </si>
  <si>
    <t>סלם יעקב</t>
  </si>
  <si>
    <t>סלם מצב</t>
  </si>
  <si>
    <t>בסר, משה צבי בן יהודה אריה דב</t>
  </si>
  <si>
    <t>הלכה ומנהג, נושאים שונים, תלמוד בבלי, תנ"ך</t>
  </si>
  <si>
    <t>סלסלות יוסף</t>
  </si>
  <si>
    <t>צינוביץ, יוסף אברהם בן חיים צבי</t>
  </si>
  <si>
    <t>סלע מדינה</t>
  </si>
  <si>
    <t>אושינסקי, יונתן</t>
  </si>
  <si>
    <t>סלעי ומצודתי - 2 כר'</t>
  </si>
  <si>
    <t>גורן, עמי בן יונה</t>
  </si>
  <si>
    <t>סלת מנחה בלולה - 2 כר'</t>
  </si>
  <si>
    <t>סם החיים</t>
  </si>
  <si>
    <t>סם חיי</t>
  </si>
  <si>
    <t>עשאל, חיים בן בנימין</t>
  </si>
  <si>
    <t>סם חיים &lt;בענין מכונות הגילוח&gt;</t>
  </si>
  <si>
    <t>סם חיים</t>
  </si>
  <si>
    <t>סם חיים - תוס' שאנץ מכות, פסקי רי"ד ה"ק וסוכה, ר' יונה סנהדרין</t>
  </si>
  <si>
    <t>אברהם בן אלעזר הלוי</t>
  </si>
  <si>
    <t>סם חיים - ליקוטי תורה</t>
  </si>
  <si>
    <t>אייזן, חיים יצחק אייזיק הלוי</t>
  </si>
  <si>
    <t>חיגר, משה</t>
  </si>
  <si>
    <t>חיים בן צבי מפוזנא</t>
  </si>
  <si>
    <t>סמ"ג &lt;ע"פ משנת אברהם&gt; - 3 כר'</t>
  </si>
  <si>
    <t>פרייס, אברהם אהרן</t>
  </si>
  <si>
    <t>סמ"ג &lt;עם פירוש מי קמא&gt; - 3 כר'</t>
  </si>
  <si>
    <t>שלזינגר, אליקים בן יחיאל מיכל</t>
  </si>
  <si>
    <t>סמ"י דחיי</t>
  </si>
  <si>
    <t>סמ"ע ליור"ד &lt;שלחן ערוך ע"פ סמ"ע&gt;</t>
  </si>
  <si>
    <t>כ"ץ, יושע</t>
  </si>
  <si>
    <t>סמא דחיי</t>
  </si>
  <si>
    <t>חיים יעקב בן יעקב דוד</t>
  </si>
  <si>
    <t>סמבטיון עשרת השבטים ובני משה &lt;אוסף&gt;</t>
  </si>
  <si>
    <t>סמוכים לעד &lt;מהדורה חדשה&gt; - 2 כר'</t>
  </si>
  <si>
    <t>סמוכים לעד</t>
  </si>
  <si>
    <t>סמוכים לעולם</t>
  </si>
  <si>
    <t>סמיכה לחיים</t>
  </si>
  <si>
    <t>סמיכת זקנים (קונטרס הסמיכה)</t>
  </si>
  <si>
    <t>אבן חביב, לוי בן יעקב</t>
  </si>
  <si>
    <t>סמיכת חכמים - א-ב</t>
  </si>
  <si>
    <t>כ"ץ, נפתלי בן יצחק הכהן</t>
  </si>
  <si>
    <t>תס"ד - תס"ו</t>
  </si>
  <si>
    <t>סמיכת חכמים</t>
  </si>
  <si>
    <t>סמיכת משה</t>
  </si>
  <si>
    <t>סמיכת נופלים - 2 כר'</t>
  </si>
  <si>
    <t>וויינברגר, אביגדור בן יצחק</t>
  </si>
  <si>
    <t>סמכוני באשישות</t>
  </si>
  <si>
    <t>סמן טוב</t>
  </si>
  <si>
    <t>סמנים על חידושי הבחיי</t>
  </si>
  <si>
    <t>הדרנהים Heddernheim</t>
  </si>
  <si>
    <t>סנה בוער באש</t>
  </si>
  <si>
    <t>סנהדרי גדולה &lt;סנהדרין&gt; - ט</t>
  </si>
  <si>
    <t>גרוסברג, יחיאל גרשון (מהדיר)</t>
  </si>
  <si>
    <t>סנהדרי גדולה &lt;סנהדרין&gt; - ה</t>
  </si>
  <si>
    <t>לזבניק, גרונם הכהן (מהדיר)</t>
  </si>
  <si>
    <t>סנהדרי גדולה &lt;סנהדרין&gt; - 6 כר'</t>
  </si>
  <si>
    <t>ליפשיץ, יעקב הלוי (מהדיר)</t>
  </si>
  <si>
    <t>סנהדרי גדולה &lt;מהדורה חדשה&gt; - סנהדרין  א</t>
  </si>
  <si>
    <t>סנהדרי גדולה &lt;מכות&gt; - 2 כר'</t>
  </si>
  <si>
    <t>סנהדרי גדולה</t>
  </si>
  <si>
    <t>סנהדרי גדולה &lt;סנהדרין&gt; - ב</t>
  </si>
  <si>
    <t>קופרברג, יהודה הלוי (מהדיר)</t>
  </si>
  <si>
    <t>סנהדרי גדולה &lt;סנהדרין&gt; - ד</t>
  </si>
  <si>
    <t>רלב"ג, יצחק (מהדיר)</t>
  </si>
  <si>
    <t>סנהדרי קטנה</t>
  </si>
  <si>
    <t>קובץ חידושי תורה ישיבת רבנו יצחק אלחנן</t>
  </si>
  <si>
    <t>סניא דיבי</t>
  </si>
  <si>
    <t>מוינשטר, אורי בן משה אברהם</t>
  </si>
  <si>
    <t>סניגור של הציבור</t>
  </si>
  <si>
    <t>קמרי, אליהו אלירם</t>
  </si>
  <si>
    <t>זכריה</t>
  </si>
  <si>
    <t>סניגוריא</t>
  </si>
  <si>
    <t>מחשבה ומוסר, נושאים שונים, קבלה, קבלה, תפלות בקשות פיוטים ושירה</t>
  </si>
  <si>
    <t>סנסן ליאיר</t>
  </si>
  <si>
    <t>סנסני חיים</t>
  </si>
  <si>
    <t>אלבום, חיים צבי בן אברהם</t>
  </si>
  <si>
    <t>סעדיאנא &lt;Saadyana&gt;</t>
  </si>
  <si>
    <t>Cambridge קימבריג'</t>
  </si>
  <si>
    <t>סעדיה בן יוסף גאון סורא</t>
  </si>
  <si>
    <t>הולנדר, עקיבה</t>
  </si>
  <si>
    <t>סעודה כדת</t>
  </si>
  <si>
    <t>סעודת יתרו</t>
  </si>
  <si>
    <t>סעודת מצוה</t>
  </si>
  <si>
    <t>סעפלאק וגליל מארגרטין - עולמי ספר זכרון</t>
  </si>
  <si>
    <t>סערה לדממה</t>
  </si>
  <si>
    <t>סערת אליהו</t>
  </si>
  <si>
    <t>אברהם בן אליהו מווילנא</t>
  </si>
  <si>
    <t>סערת תימן</t>
  </si>
  <si>
    <t>קורח, עמרם בן יחיא</t>
  </si>
  <si>
    <t>ספור החיים</t>
  </si>
  <si>
    <t>אנג'יל, חיים ווידאל שבתי בן שבתי</t>
  </si>
  <si>
    <t>ספור מן ההפטרה - 2 כר'</t>
  </si>
  <si>
    <t>ספור נסיעת דוד ראובני</t>
  </si>
  <si>
    <t>ספורו של הבית הספרדי ברובע היהודי</t>
  </si>
  <si>
    <t>ספורי אנשי שם</t>
  </si>
  <si>
    <t>ספורי האר"י ושבחי ר' חיים ויטאל</t>
  </si>
  <si>
    <t>פרנס, ב</t>
  </si>
  <si>
    <t>ספורי הגזרות בשנות ת"ח ות"ט</t>
  </si>
  <si>
    <t>ספורי הגזרות</t>
  </si>
  <si>
    <t>ספורי החג - סוכות</t>
  </si>
  <si>
    <t>ספורי י"ש</t>
  </si>
  <si>
    <t>ספורי יעקב - 2 כר'</t>
  </si>
  <si>
    <t>סופר, יעקב בן מאיר זאב</t>
  </si>
  <si>
    <t>תרס"ד - תרע"ג</t>
  </si>
  <si>
    <t>ספורי כתל המערבי</t>
  </si>
  <si>
    <t>ספורי מעשיות &lt;המנוקד&gt;</t>
  </si>
  <si>
    <t>ספורי מעשיות עם פרוש נהרי אפרסמון - 2 כר'</t>
  </si>
  <si>
    <t>ספורי מעשיות פון רבי נחמן בראסלאווער</t>
  </si>
  <si>
    <t>ספורי מעשיות - 2 כר'</t>
  </si>
  <si>
    <t>אוסטרהא?</t>
  </si>
  <si>
    <t>ספורי נפלאות מגדולי ישראל - 2 כר'</t>
  </si>
  <si>
    <t>ספורי נפלאות</t>
  </si>
  <si>
    <t>סיפורי נפלאות</t>
  </si>
  <si>
    <t>ספורי צדיקים מהחוט המשולש</t>
  </si>
  <si>
    <t>ספורים ומאמרים יקרים</t>
  </si>
  <si>
    <t>ספורים נחמדים</t>
  </si>
  <si>
    <t>ספורים נפלאים ומאמרים יקרים</t>
  </si>
  <si>
    <t>ספורים נפלאים - 3 כר'</t>
  </si>
  <si>
    <t>קניג, יוסף הלל בן אליעזר מרדכי</t>
  </si>
  <si>
    <t>ספורים פון רבי יצחק אשכנזי לוריא</t>
  </si>
  <si>
    <t>מילר, ישראל דוד</t>
  </si>
  <si>
    <t>ספורנו על התורה &lt;השלם והמבואר&gt; - 2 כר'</t>
  </si>
  <si>
    <t>ספורנו, עובדיה בן יעקב - קופרמן, יהודה</t>
  </si>
  <si>
    <t>ספורנו על התורה &lt;עם הערות וביאורים&gt; - 4 כר'</t>
  </si>
  <si>
    <t>ספיח למנחה</t>
  </si>
  <si>
    <t>ספיח קציר</t>
  </si>
  <si>
    <t>קלורפלד, משה אליעזר בן יוסף הכהן</t>
  </si>
  <si>
    <t>ספיקא דמוקפין</t>
  </si>
  <si>
    <t>ספיקא דרבנן</t>
  </si>
  <si>
    <t>ספיקות הסופר</t>
  </si>
  <si>
    <t>ספיקות מלכים</t>
  </si>
  <si>
    <t>תרצ"ה - תשס"ה</t>
  </si>
  <si>
    <t>קלינורדין - ניו יורק</t>
  </si>
  <si>
    <t>ספיר גזרתם - 2 כר'</t>
  </si>
  <si>
    <t>ספק דברי סופרים</t>
  </si>
  <si>
    <t>ספר א"ש פנחס - 3 כר'</t>
  </si>
  <si>
    <t>הירשפרונג, פנחס</t>
  </si>
  <si>
    <t>ספר אאלף בינה</t>
  </si>
  <si>
    <t>ואכטפוגל, משה אליעזר</t>
  </si>
  <si>
    <t>ספר אאלפך חכמה</t>
  </si>
  <si>
    <t>ספר אב בברכה - פרק כיצד מברכין</t>
  </si>
  <si>
    <t>פרץ, ישראל מאיר (עורך)</t>
  </si>
  <si>
    <t>ספר אב בדעת</t>
  </si>
  <si>
    <t>וינרוט, אברהם</t>
  </si>
  <si>
    <t>ספר אב הרחמים - 2 כר'</t>
  </si>
  <si>
    <t>ספר אב מלאכה - מלאכת מחשבת</t>
  </si>
  <si>
    <t>ספר אב"י יושבי אהל</t>
  </si>
  <si>
    <t>ספר אבא באהל ביתי</t>
  </si>
  <si>
    <t>ספר אבא באהל</t>
  </si>
  <si>
    <t>בן אדיבה, אהרן</t>
  </si>
  <si>
    <t>ספר אבא בגבורות</t>
  </si>
  <si>
    <t>ספר אבא ביתך</t>
  </si>
  <si>
    <t>ספר אבא ביתך - על השב שמעתתא</t>
  </si>
  <si>
    <t>ספר אבא ביתך - 2 כר'</t>
  </si>
  <si>
    <t>גודמן, אברהם אליעזר</t>
  </si>
  <si>
    <t>ספר אבא בם</t>
  </si>
  <si>
    <t>אזולאי, מרדכי</t>
  </si>
  <si>
    <t>סוויסה, אליהו בן אליעזר</t>
  </si>
  <si>
    <t>ספר אבא בם - זבחים</t>
  </si>
  <si>
    <t>ראבין, אלעזר בן מרדכי</t>
  </si>
  <si>
    <t>ספר אבא בם - חולין</t>
  </si>
  <si>
    <t>רפאל-כהן, אליה בן אפרים</t>
  </si>
  <si>
    <t>ספר אבא חלקיה - בסוגיות הש"ס</t>
  </si>
  <si>
    <t>ספר אבא לכולם - הרבי מפיטסבורג</t>
  </si>
  <si>
    <t>בארי, אהרן</t>
  </si>
  <si>
    <t>ספר אבד חסיד מן הארץ</t>
  </si>
  <si>
    <t>ספר אבוקה בודדה</t>
  </si>
  <si>
    <t>הורביץ, פערל</t>
  </si>
  <si>
    <t>ספר אבוקות של אור</t>
  </si>
  <si>
    <t>ספר אבוקת תמיד</t>
  </si>
  <si>
    <t>ספר אבותינו</t>
  </si>
  <si>
    <t>ספר אביע בם</t>
  </si>
  <si>
    <t>פלינטשטיין, אברהם יעקב</t>
  </si>
  <si>
    <t>ספר איוב &lt;רמב"ן, תוכחת חיים&gt;</t>
  </si>
  <si>
    <t>ספר איוב &lt;גבעת פנחס&gt;</t>
  </si>
  <si>
    <t>ספר איוב ע"פ רמב"ן, תוכחת חיים, פי הבאר</t>
  </si>
  <si>
    <t>משה בן נחמן (רמב"ן) - אלבו, יוסף - פרלוב, אליעזר זאב בן אהרן</t>
  </si>
  <si>
    <t>ספר איוב עם באור מורה חיים</t>
  </si>
  <si>
    <t>צדיקוב, חיים אלחנן בן יהודה ליב</t>
  </si>
  <si>
    <t>ספר איזוב</t>
  </si>
  <si>
    <t>ספר אליהו ופרקי משיח</t>
  </si>
  <si>
    <t>ספר אליהו</t>
  </si>
  <si>
    <t>ספר אלישיב</t>
  </si>
  <si>
    <t>ספר אלכסנדר &lt;האדמו"ר רבי חנוך מאלכסנדר&gt;</t>
  </si>
  <si>
    <t>ספר אמת</t>
  </si>
  <si>
    <t>ספר אסיא - ח</t>
  </si>
  <si>
    <t>הלפרין, מרדכי  - פרינר, ירוחם (עורכים)</t>
  </si>
  <si>
    <t>ספר אסיא - 2 כר'</t>
  </si>
  <si>
    <t>הלפרין, מרדכי - אליאב, משה (עורכים)</t>
  </si>
  <si>
    <t>ספר אסיא - טז</t>
  </si>
  <si>
    <t>הלפרין, מרדכי - בלפר, ישראל -  דוידי, סיגלית  (עורכים)</t>
  </si>
  <si>
    <t>ספר אסיא - 5 כר'</t>
  </si>
  <si>
    <t>הלפרין, מרדכי - בלפר, שרית תהילה  (עורכים)</t>
  </si>
  <si>
    <t>ספר אסיא - ז</t>
  </si>
  <si>
    <t>הלפרין, מרדכי - פרינר, ירוחם (עורכים)</t>
  </si>
  <si>
    <t>הלפרין, מרדכי - שלזינגר יחיאל (עורכים)</t>
  </si>
  <si>
    <t>ספר אסיא - 4 כר'</t>
  </si>
  <si>
    <t>שטיינברג, אברהם (עורך)</t>
  </si>
  <si>
    <t>ספר באבוב</t>
  </si>
  <si>
    <t>ספר בכושרות</t>
  </si>
  <si>
    <t>יאברובר, אפרים בן יוסף</t>
  </si>
  <si>
    <t>קרקא</t>
  </si>
  <si>
    <t>ספר במדבר מפוסק ע"פ טעמי המקרא</t>
  </si>
  <si>
    <t>ספר בן גוריון &lt;יוסיפון&gt; - 2 כר'</t>
  </si>
  <si>
    <t>יוסיפון. רל"ה</t>
  </si>
  <si>
    <t>רל"ה או רל"ו</t>
  </si>
  <si>
    <t>ספר בראשית ופירוש פי ישרים</t>
  </si>
  <si>
    <t>ספר בראשית מפוסק ע"פ טעמי המקרא</t>
  </si>
  <si>
    <t>ספר גימטריאות - 2 כר'</t>
  </si>
  <si>
    <t>ספר גליונות</t>
  </si>
  <si>
    <t>שיינקופף, משה דן</t>
  </si>
  <si>
    <t>ספר גרושין ותומר דבורה &lt;מהדורה חדשה&gt;</t>
  </si>
  <si>
    <t>ספר גרושין - 2 כר'</t>
  </si>
  <si>
    <t>ספר דברים מפוסק ע"פ טעמי המקרא</t>
  </si>
  <si>
    <t>ספר דבש</t>
  </si>
  <si>
    <t>הלפרין, שבתי בן דובער</t>
  </si>
  <si>
    <t>ספר דודאים</t>
  </si>
  <si>
    <t>רימאלט, אלימלך שמעון בן טודרוס</t>
  </si>
  <si>
    <t>ספר דניאל &lt;מתורגם בלשון אשכנז - פירוש הרב אבן יחיא</t>
  </si>
  <si>
    <t>וולף, זאב וולף בן יוסף מדסאו</t>
  </si>
  <si>
    <t>דסאו</t>
  </si>
  <si>
    <t>ספר דניאל כתב יד בבלי תימני</t>
  </si>
  <si>
    <t>ספר דניאל</t>
  </si>
  <si>
    <t>ספר דקדוק</t>
  </si>
  <si>
    <t>די בלמש, אברהם בן מאיר</t>
  </si>
  <si>
    <t>ספר דרושים ולקחי מוסר - 2 כר'</t>
  </si>
  <si>
    <t>מתלמיד הגאון ר' מרדכי בנט זצ"ל</t>
  </si>
  <si>
    <t>ספר האביב</t>
  </si>
  <si>
    <t>שטלצברג, ניסן</t>
  </si>
  <si>
    <t>ספר האגודה &lt;הגהות וביאורים&gt; - 8 כר'</t>
  </si>
  <si>
    <t>אלכסנדר זוסלין הכהן</t>
  </si>
  <si>
    <t>ספר האגודה על מסכת פרה</t>
  </si>
  <si>
    <t>ספר האגודה</t>
  </si>
  <si>
    <t>אגודת הרבנים הכללית</t>
  </si>
  <si>
    <t>ספר האגודה - 2 כר'</t>
  </si>
  <si>
    <t>של"א</t>
  </si>
  <si>
    <t>ספר האדמורי"ם</t>
  </si>
  <si>
    <t>ספר האורה - 2 כר'</t>
  </si>
  <si>
    <t>ספר האות - 2 כר'</t>
  </si>
  <si>
    <t>ספר האחוה</t>
  </si>
  <si>
    <t>אגודת אחווה</t>
  </si>
  <si>
    <t>ספר האחלמה - 2 כר'</t>
  </si>
  <si>
    <t>ספר האמונות - 2 כר'</t>
  </si>
  <si>
    <t>אבן-שם טוב, שם טוב</t>
  </si>
  <si>
    <t>שט"ז - שי"ז</t>
  </si>
  <si>
    <t>ספר האשכול &lt;מהדורת אלבק&gt; - 2 כר'</t>
  </si>
  <si>
    <t>אברהם בן יצחק מנארבונה (הראב"ד השני)</t>
  </si>
  <si>
    <t>ספר האשכול &lt;מהדורת נחל אשכול&gt; - 4 כר'</t>
  </si>
  <si>
    <t>ספר הבגרות לרב שמואל בן חפני גאון</t>
  </si>
  <si>
    <t>שמואל בן חפני גאון</t>
  </si>
  <si>
    <t>ספר הבהיר &lt;ע"פ רחש לבי&gt; - ביאורי הכנויים</t>
  </si>
  <si>
    <t>דרחי, יעקב בן רחמים שלום</t>
  </si>
  <si>
    <t>ספר הבהיר</t>
  </si>
  <si>
    <t>ספר הבהיר. תי"א</t>
  </si>
  <si>
    <t>ספר הבהיר. תס"ו</t>
  </si>
  <si>
    <t>ספר הבהיר. תרע"ג</t>
  </si>
  <si>
    <t>ספר הבחור - 3 כר'</t>
  </si>
  <si>
    <t>ספר הברית &lt;באידיש&gt;</t>
  </si>
  <si>
    <t>הורוויץ, פינחס אליהו בן מאיר</t>
  </si>
  <si>
    <t>ספר הברית &lt;מהדורה חדשה ומורחבת&gt;</t>
  </si>
  <si>
    <t>ספר הברית השלם</t>
  </si>
  <si>
    <t>ספר הברית</t>
  </si>
  <si>
    <t>וויטקינד, אריה ליב בן מאיר</t>
  </si>
  <si>
    <t>נידערהאפהיים, בנימין</t>
  </si>
  <si>
    <t>פירוטינסקי, משה בונם בן יהודה ישעיה</t>
  </si>
  <si>
    <t>ספר הבריתות</t>
  </si>
  <si>
    <t>טכאואר, אלכסנדר</t>
  </si>
  <si>
    <t>ספר הבתים &lt;מהדורת בלוי&gt; - 3 כר'</t>
  </si>
  <si>
    <t>דוד בן שמואל הכוכבי</t>
  </si>
  <si>
    <t>ספר הבתים &lt;מהדורת הרשלר&gt; - 3 כר'</t>
  </si>
  <si>
    <t>ספר הבתים &lt;עם נתיבות הבית&gt; - 4 כר'</t>
  </si>
  <si>
    <t>ספר הגאולה &lt;חזון הגאולה&gt;</t>
  </si>
  <si>
    <t>ספר הגאולה - 3 כר'</t>
  </si>
  <si>
    <t>ספר הגדרים</t>
  </si>
  <si>
    <t>פרפיניאן, מנחם בן אברהם</t>
  </si>
  <si>
    <t>ספר הגורלות - 3 כר'</t>
  </si>
  <si>
    <t>תרע"-</t>
  </si>
  <si>
    <t>ספר הגורלות - 2 כר'</t>
  </si>
  <si>
    <t>סעדיה בן יוסף גאון. מיוחס לו</t>
  </si>
  <si>
    <t>ספר הגירושין</t>
  </si>
  <si>
    <t>ספר הגלגולים - 5 כר'</t>
  </si>
  <si>
    <t>ספר הגן ודרך משה &lt;מהדורה חדשה&gt;</t>
  </si>
  <si>
    <t>ספר הגן ודרך משה - 2 כר'</t>
  </si>
  <si>
    <t>יצחק בן אליעזר ממונקאץ' ועוד</t>
  </si>
  <si>
    <t>ספר הגן ודרך משה</t>
  </si>
  <si>
    <t>יצחק בן אליעזר</t>
  </si>
  <si>
    <t>ספר הגן</t>
  </si>
  <si>
    <t>ספר הדינים (שרידים)</t>
  </si>
  <si>
    <t>רבינו יהודה כהן</t>
  </si>
  <si>
    <t>ספר הדעת</t>
  </si>
  <si>
    <t>פוליר, סנדר בן אריה ליב</t>
  </si>
  <si>
    <t>ספר הדקדוק לרמח"ל &lt;הגהות אשי בני ישראל&gt;</t>
  </si>
  <si>
    <t>לוצאטו, משה חיים בן יעקב חי (רמח"ל) - בריעגער, אלעזר שמואל בן יעקב יצחק</t>
  </si>
  <si>
    <t>ספר הדקדוק</t>
  </si>
  <si>
    <t>רפ"ה</t>
  </si>
  <si>
    <t>ספר הדקדוק - כת"י</t>
  </si>
  <si>
    <t>ספר הדרושים</t>
  </si>
  <si>
    <t>שור, זאב וואלף</t>
  </si>
  <si>
    <t>ספר הדרכה</t>
  </si>
  <si>
    <t>אהרן בן אברהם מראוויטש</t>
  </si>
  <si>
    <t>ספר הדרכים</t>
  </si>
  <si>
    <t>מחשבה ומוסר, קבלה, תלמוד בבלי</t>
  </si>
  <si>
    <t>ספר ההגיון &lt;עם תרגום צרפתית&gt;</t>
  </si>
  <si>
    <t>ספר ההגיון - 2 כר'</t>
  </si>
  <si>
    <t>ספר ההגיון</t>
  </si>
  <si>
    <t>ספר ההדרנים</t>
  </si>
  <si>
    <t>ספר ההודיה</t>
  </si>
  <si>
    <t>ספר ההוכחות - ב</t>
  </si>
  <si>
    <t>בן עזרא, ערן</t>
  </si>
  <si>
    <t>ספר ההסתלקות</t>
  </si>
  <si>
    <t>ספר ההפטרות לכל השנה</t>
  </si>
  <si>
    <t>הפטרות</t>
  </si>
  <si>
    <t>ספר ההפטרות מפוסק ע"פ טעמי המקרא</t>
  </si>
  <si>
    <t>ספר ההפטריות לכל השנה</t>
  </si>
  <si>
    <t>אלטביב, יחיא בן סלימאן</t>
  </si>
  <si>
    <t>ספר ההקדמה &lt;דרך הקדים&gt;</t>
  </si>
  <si>
    <t>טראני, משה בן יוסף (מבי"ט) - גרשי, אבשלום</t>
  </si>
  <si>
    <t>ספר ההקדמות - 2 כר'</t>
  </si>
  <si>
    <t>אשלג, יהודה ליב</t>
  </si>
  <si>
    <t>ספר ההרכבה</t>
  </si>
  <si>
    <t>ספר ההשלמה &lt;ראשית ההשלמה&gt; - 11 כר'</t>
  </si>
  <si>
    <t>משולם בן משה מבדרש - חפוטא, אברהם בן יאיר</t>
  </si>
  <si>
    <t>ספר ההשלמה &lt;תורת ההשלמה&gt; - 2 כר'</t>
  </si>
  <si>
    <t>משולם בן משה מבדרש - לובצקי, יהודה בן יצחק עקיבא</t>
  </si>
  <si>
    <t>תרמ"ה - תר"ע</t>
  </si>
  <si>
    <t>ספר ההשלמה &lt;בלוי&gt; - 6 כר'</t>
  </si>
  <si>
    <t>משולם בן משה מבדרש</t>
  </si>
  <si>
    <t>ספר ההשלמה על ספר מנחת חינוך &lt;כולל עשרים וששה הוספות&gt;</t>
  </si>
  <si>
    <t>ספר ההשלמה על ספר מנחת חינוך</t>
  </si>
  <si>
    <t>ספר ההשלמה - ברכות</t>
  </si>
  <si>
    <t>ספר הזהב</t>
  </si>
  <si>
    <t>שוסטאק, זאב אריה בן אלקנה</t>
  </si>
  <si>
    <t>ספר הזהר &lt;מפעל הזהר שע"י מכון מפיקים נגה&gt; - הקדמת הזהר</t>
  </si>
  <si>
    <t>ועקנין, שמעון בן שלמה (עורך)</t>
  </si>
  <si>
    <t>ספר הזהר &lt;טקסט&gt;</t>
  </si>
  <si>
    <t>ספר הזהר</t>
  </si>
  <si>
    <t>ספר הזהר ע"פ הסולם &lt;מאורות הסולם&gt; - הקדמות</t>
  </si>
  <si>
    <t>ספר הזהר ע"פ שי עולמות</t>
  </si>
  <si>
    <t>נדלר, שלמה יחזקאל</t>
  </si>
  <si>
    <t>ספר הזהר על מועדים</t>
  </si>
  <si>
    <t>ספר הזהר עם פירוש אור יקר - 20 כר'</t>
  </si>
  <si>
    <t>תשכ''ב</t>
  </si>
  <si>
    <t>ספר הזהר עם פירוש חמדת הזוהר</t>
  </si>
  <si>
    <t>ספר הזהר עם פירוש ידיד נפש - 13 כר'</t>
  </si>
  <si>
    <t>בר לב, יחיאל אברהם בן בנימין הלוי (מפרש)</t>
  </si>
  <si>
    <t>ספר הזהר עניני נישואין ע"פ הסולם</t>
  </si>
  <si>
    <t>ספר הזהר - 3 כר'</t>
  </si>
  <si>
    <t>זוהר. תקנ"א. ליוורנו</t>
  </si>
  <si>
    <t>תקנ"א-תקנ"ג</t>
  </si>
  <si>
    <t>ספר הזוהר לש"ס דף היומי - בכורות</t>
  </si>
  <si>
    <t>ספר הזוהר</t>
  </si>
  <si>
    <t>זוהר. תמ"ד. זולצבך</t>
  </si>
  <si>
    <t>ספר הזוהר - בראשית</t>
  </si>
  <si>
    <t>זוהר. תר"כ. לבוב</t>
  </si>
  <si>
    <t>ספר הזכות - 4 כר'</t>
  </si>
  <si>
    <t>ספר הזכות</t>
  </si>
  <si>
    <t>ספר הזכירה</t>
  </si>
  <si>
    <t>אפרים בן יעקב מבונה</t>
  </si>
  <si>
    <t>ספר הזכירות - 4 כר'</t>
  </si>
  <si>
    <t>רפאל בן זכריה מנדל</t>
  </si>
  <si>
    <t>ספר הזכרון &lt;על התורה&gt;</t>
  </si>
  <si>
    <t>באקראט, אברהם בן שלמה הלוי</t>
  </si>
  <si>
    <t>ספר הזכרון &lt;על התלמוד&gt;</t>
  </si>
  <si>
    <t>טאנוג'י, ישמעאל הכהן</t>
  </si>
  <si>
    <t>ספר הזכרון &lt;תפארת יצחק&gt;</t>
  </si>
  <si>
    <t>טייב, יצחק בן בנימין - סופר, יעקב חיים בן יצחק שלום</t>
  </si>
  <si>
    <t>תרנ"ב - תשמ"ח</t>
  </si>
  <si>
    <t>ספר הזכרון &lt;למרן בעל הפחד יצחק זצ"ל&gt;</t>
  </si>
  <si>
    <t>ספר זכרון (הוצאת מוריה)</t>
  </si>
  <si>
    <t>ספר הזכרון &lt;למרן הגר"ח שמואלביץ זצ"ל&gt;</t>
  </si>
  <si>
    <t>ספר הזכרון &lt;למרן הגר"י אברמסקי זצ"ל&gt;</t>
  </si>
  <si>
    <t>ספר הזכרון &lt;למרן הגר"ש קוטלר זצ"ל&gt;</t>
  </si>
  <si>
    <t>ספר הזכרון &lt;למרן הגרא"ז גורביץ זצ"ל&gt;</t>
  </si>
  <si>
    <t>ספר הזכרון &lt;למרן הגרי"ב ז'ולטי זצ"ל&gt;</t>
  </si>
  <si>
    <t>ספר הזכרון &lt;למרן הגרש"ב ורנר זצ"ל&gt;</t>
  </si>
  <si>
    <t>ספר הזכרון &lt;לרבי משה סוויפט זצ"ל&gt;</t>
  </si>
  <si>
    <t>ספר הזכרון &lt;למרן הגרי"י פרנקל זצ"ל&gt;</t>
  </si>
  <si>
    <t>ספר הזכרון &lt;ר' יחיאל יעקב וינברג&gt;</t>
  </si>
  <si>
    <t>ספר הזכרון אהל שרה</t>
  </si>
  <si>
    <t>לזכר הרבנית שרה הינדה זכריש</t>
  </si>
  <si>
    <t>ספר הזכרון בצאת ישראל</t>
  </si>
  <si>
    <t>לזכר רבי ישראל מאיר זכריש</t>
  </si>
  <si>
    <t>ספר הזכרון דברי ראובן</t>
  </si>
  <si>
    <t>לזכרו של ר' ראובן בוכינגר</t>
  </si>
  <si>
    <t>ספר הזכרון יד יהודה</t>
  </si>
  <si>
    <t>לזכר רבי יהודה דויטש</t>
  </si>
  <si>
    <t>ספר הזכרון כנסת עזרא [עטיה]</t>
  </si>
  <si>
    <t>ספר הזכרון לב אריה</t>
  </si>
  <si>
    <t>רוטמן, ברוך אריה ליב</t>
  </si>
  <si>
    <t>ספר הזכרון לבעל המכתב מאליהו - 2 כר'</t>
  </si>
  <si>
    <t>ספר הזכרון למורינו הגאון רבי עקיבא קיסטר - כתובות</t>
  </si>
  <si>
    <t>ספר הזכרון למרן בעל הפחד יצחק זצ"ל</t>
  </si>
  <si>
    <t>ספר הזכרון למרן הגאון רבי דב שורצמן - סוכה</t>
  </si>
  <si>
    <t>ספר הזכרון לצביה חמלניצקי</t>
  </si>
  <si>
    <t>אידלס, חיים יצחק (עורך)</t>
  </si>
  <si>
    <t>ספר הזכרון לרבי משה ליפשיץ זצ"ל</t>
  </si>
  <si>
    <t>ספר הזכרון לרבי רפאל ברוך סורוצקין</t>
  </si>
  <si>
    <t>שושנה, אברהם (עורך)</t>
  </si>
  <si>
    <t>ספר הזכרון עין הבאר - 2 כר'</t>
  </si>
  <si>
    <t>ליבוביץ, יצחק בן אפרים</t>
  </si>
  <si>
    <t>ספר הזכרון שמעתתא דבי רב</t>
  </si>
  <si>
    <t>לזכרו של רבי בערל איזנשטיין</t>
  </si>
  <si>
    <t>ספר הזכרון תורת יעקב</t>
  </si>
  <si>
    <t>לזכרו של רבי יעקב יוסף זצ"ל</t>
  </si>
  <si>
    <t>ספר הזכרון - א</t>
  </si>
  <si>
    <t>ספר הזכרון</t>
  </si>
  <si>
    <t>ספר הזכרונות לבית ליסקא</t>
  </si>
  <si>
    <t>גולדשטין, שמואל</t>
  </si>
  <si>
    <t>ספר הזכרונות - 2 כר'</t>
  </si>
  <si>
    <t>שצ"א - תי"א</t>
  </si>
  <si>
    <t>ספר הזכרונות</t>
  </si>
  <si>
    <t>ספר הזכרונות, משיב הטענה, משיב צדק, לבושי צדקה &lt;מהדורת הר ברכה&gt;</t>
  </si>
  <si>
    <t>ספר הזמירות מאור ישראל</t>
  </si>
  <si>
    <t>בוסו, דוד בן משה אליהו</t>
  </si>
  <si>
    <t>ספר החזון</t>
  </si>
  <si>
    <t>ספר החיבור וספר המצרף</t>
  </si>
  <si>
    <t>ספר החידושים</t>
  </si>
  <si>
    <t>חדאד, יעקב ישראל בן ישועה</t>
  </si>
  <si>
    <t>ספר החידות - 2 כר'</t>
  </si>
  <si>
    <t>גורדון, יצחק יעקב בן אברהם ניסן</t>
  </si>
  <si>
    <t>ספר החיים &lt;מהדורת שפתי צדיקים&gt;</t>
  </si>
  <si>
    <t>ספר החיים</t>
  </si>
  <si>
    <t>ביק, מאיר מנחם מנדל בן שאול ישכר בריש</t>
  </si>
  <si>
    <t>תר"ה - תר"י</t>
  </si>
  <si>
    <t>ספר החיים - 2 כר'</t>
  </si>
  <si>
    <t>ספר החיים - 5 כר'</t>
  </si>
  <si>
    <t>ספר החיים - על יום הדין של ר"ה</t>
  </si>
  <si>
    <t>אונגור</t>
  </si>
  <si>
    <t>ספר החינוך &lt;מכון מירב&gt;</t>
  </si>
  <si>
    <t>אהרן בן יוסף הלוי מבארצלונה (מיוחס לו)</t>
  </si>
  <si>
    <t>ספר החינוך &lt;מהדורת ספרי אוה"ח&gt; - 2 כר'</t>
  </si>
  <si>
    <t>אהרן הלוי, מברצלונה (מיוחס לו)</t>
  </si>
  <si>
    <t>ספר החינוך &lt;מנחת חינוך - עשירית האיפה&gt;</t>
  </si>
  <si>
    <t>ספר החינוך &lt;מנחת יצחק&gt; - 3 כר'</t>
  </si>
  <si>
    <t>ספר החינוך המבואר השלם</t>
  </si>
  <si>
    <t>ספר החינוך מבואר - 3 כר'</t>
  </si>
  <si>
    <t>בר יוסף, מרדכי</t>
  </si>
  <si>
    <t>ספר החינוך ע"פ מנחת צבי - 3 כר'</t>
  </si>
  <si>
    <t>ספר החינוך - 2 כר'</t>
  </si>
  <si>
    <t>ש"ס - שס"א</t>
  </si>
  <si>
    <t>ספר החינוך</t>
  </si>
  <si>
    <t>ספר החינוך. רפ"ג</t>
  </si>
  <si>
    <t>ספר החינוך. תע"ו</t>
  </si>
  <si>
    <t>ספר החינוך. תר"ם</t>
  </si>
  <si>
    <t>ספר החכמה עם פירוש אסירי התקוה</t>
  </si>
  <si>
    <t>ספר החכמה</t>
  </si>
  <si>
    <t>אברהם בן יצחק הלוי מלוקץ'</t>
  </si>
  <si>
    <t>ספר החסידות מתורת בעלז</t>
  </si>
  <si>
    <t>ספר החשק - 2 כר'</t>
  </si>
  <si>
    <t>ספר החשק</t>
  </si>
  <si>
    <t>ספר הטעמים - 2 כר'</t>
  </si>
  <si>
    <t>ספר הטעמים</t>
  </si>
  <si>
    <t>ספר הטעמים - בראשית</t>
  </si>
  <si>
    <t>פולאנסקי, יעקב שמואל</t>
  </si>
  <si>
    <t>ספר היארצייט - א</t>
  </si>
  <si>
    <t>ספר היובל &lt;לכבוד הרב דר. אליהו יונג&gt;</t>
  </si>
  <si>
    <t>ספר היובל</t>
  </si>
  <si>
    <t>ספר היובל &lt;פישל&gt;</t>
  </si>
  <si>
    <t>פישל, ישראל אהרן בן נחמן</t>
  </si>
  <si>
    <t>ספר היובל &lt;ר' שמעון יהודא הכהן שקאפ&gt;</t>
  </si>
  <si>
    <t>ספר היובל אהלי יעקב</t>
  </si>
  <si>
    <t>ספר היובל ה - 25</t>
  </si>
  <si>
    <t>ספר היובל לבית הכנסת הגדול בתל אביב</t>
  </si>
  <si>
    <t>חצרוני, אברהם</t>
  </si>
  <si>
    <t>ספר היובל לישיבת לוצערן</t>
  </si>
  <si>
    <t>ספר היובל לישיבת מקור חיים</t>
  </si>
  <si>
    <t>ספר היובל לכבוד אלכסנדר מארכס</t>
  </si>
  <si>
    <t>מארכס, אלכסנדר בן שמשון</t>
  </si>
  <si>
    <t>ספר היובל למהר"ם שפירא</t>
  </si>
  <si>
    <t>ספר היובל למלאת חמשים שנה ליסוד פתח-תקוה</t>
  </si>
  <si>
    <t>פתח-תקווה</t>
  </si>
  <si>
    <t>ספר היובל למרן בעל החתם סופר</t>
  </si>
  <si>
    <t>קרן אברהם הכהן</t>
  </si>
  <si>
    <t>ספר היובל לקהילת חברת אהבת תורה</t>
  </si>
  <si>
    <t>ספר היובל לרבי יהודה ליב הכהן פישמן</t>
  </si>
  <si>
    <t>ספר היובל מבצר הכוללים</t>
  </si>
  <si>
    <t>ספר היובל מנחה ליהודה</t>
  </si>
  <si>
    <t>ספר היובל שומר אמת</t>
  </si>
  <si>
    <t>הלכה ומנהג, מחשבה ומוסר, שלחן ערוך ומפרשיו, תנ"ך, תפלות בקשות פיוטים ושירה</t>
  </si>
  <si>
    <t>ספר היובל של אגודת הרבנים האורטודוכסים</t>
  </si>
  <si>
    <t>ספר היובל תפארת ישראל</t>
  </si>
  <si>
    <t>ספר היובל - חוג חתם סופר</t>
  </si>
  <si>
    <t>חוג חתם סופר</t>
  </si>
  <si>
    <t>ירושלים. מוסדות החינוך לבנות שפיצר</t>
  </si>
  <si>
    <t>ספר היובל - כתר תורה</t>
  </si>
  <si>
    <t>ישיבת כתר תורה</t>
  </si>
  <si>
    <t>משפחת בורשטין</t>
  </si>
  <si>
    <t>ספר היחס לבית עליאש</t>
  </si>
  <si>
    <t>ספר היחס מטשרנוביל ורוזין</t>
  </si>
  <si>
    <t>ספר היחס</t>
  </si>
  <si>
    <t>לווין, יצחק דוד אשר למל בן אברהם צבי</t>
  </si>
  <si>
    <t>תרצ"ה - ת"ש</t>
  </si>
  <si>
    <t>ספר היחש</t>
  </si>
  <si>
    <t>ספר היכלות &lt;הגר"א כת"י&gt;</t>
  </si>
  <si>
    <t>ספר היכלות</t>
  </si>
  <si>
    <t>היכלות. תר"י</t>
  </si>
  <si>
    <t>ספר היכלות - 2 כר'</t>
  </si>
  <si>
    <t>היכלות. תרל"ה</t>
  </si>
  <si>
    <t>ספר הילקוט &lt;ילקוט שמעוני ע"פ ברית אברהם&gt; - 2 כר'</t>
  </si>
  <si>
    <t>ת"י - תי"ז</t>
  </si>
  <si>
    <t>ספר היסודות</t>
  </si>
  <si>
    <t>יצחק בן שלמה הישראלי</t>
  </si>
  <si>
    <t>ספר היקר</t>
  </si>
  <si>
    <t>מייזלש, רפאל בן חיים</t>
  </si>
  <si>
    <t>ספר היראה &lt;עם ביאורים והערות&gt;</t>
  </si>
  <si>
    <t>גירונדי, יונה בן אברהם - נאטאן, מרדכי רפאל בן אברהם</t>
  </si>
  <si>
    <t>ספר היראה &lt;מקור היראה&gt;</t>
  </si>
  <si>
    <t>ספר היראה עם הגהות רבינו משה נגרין</t>
  </si>
  <si>
    <t>גירונדי, יונה בן אברהם - ניגרין, משה</t>
  </si>
  <si>
    <t>ספר היראה - 3 כר'</t>
  </si>
  <si>
    <t>ספר הישוב</t>
  </si>
  <si>
    <t>ספר הישר &lt;בעקבות בית אבא&gt;</t>
  </si>
  <si>
    <t>זרחיה היווני. מיוחס לו</t>
  </si>
  <si>
    <t>ספר הישר &lt;אור לישרים&gt;</t>
  </si>
  <si>
    <t>יעקב בן מאיר (רבינו תם)</t>
  </si>
  <si>
    <t>ספר הישר &lt;מהדורת דבליצקי&gt; - חלק החידושים</t>
  </si>
  <si>
    <t>ספר הישר &lt;מעובד&gt; - 2 כר'</t>
  </si>
  <si>
    <t>ספר הישר. תשי"ט</t>
  </si>
  <si>
    <t>ספר הישר &lt;דברי יושר&gt;</t>
  </si>
  <si>
    <t>ספר הישר לרבינו תם - 2 כר'</t>
  </si>
  <si>
    <t>ספר הישר - 4 כר'</t>
  </si>
  <si>
    <t>ספר הישר</t>
  </si>
  <si>
    <t>ספר הישר - 2 כר'</t>
  </si>
  <si>
    <t>ספר הישר. שפ"ה</t>
  </si>
  <si>
    <t>ספר הישר. תס"ו</t>
  </si>
  <si>
    <t>ספר הישר. תר"ל</t>
  </si>
  <si>
    <t>ספר הישר. תרנ"ח</t>
  </si>
  <si>
    <t>ספר הישר. תרפ"ג</t>
  </si>
  <si>
    <t>ספר הישר. תשט"ו</t>
  </si>
  <si>
    <t>ספר הכוונות - מאורות נתן</t>
  </si>
  <si>
    <t>ספר הכוזרי &lt;המפורש&gt;</t>
  </si>
  <si>
    <t>גניזי, מרדכי</t>
  </si>
  <si>
    <t>ספר הכוזרי &lt;הכוזרי המפורש&gt;</t>
  </si>
  <si>
    <t>יהודה בן שמואל הלוי - גניזי, מרדכי</t>
  </si>
  <si>
    <t>ספר הכוזרי &lt;ערוך לפי ערכים&gt;</t>
  </si>
  <si>
    <t>יהודה בן שמואל הלוי - סרנא, יחזקאל</t>
  </si>
  <si>
    <t>ספר הכוזרי &lt;מקור ותרגום&gt;</t>
  </si>
  <si>
    <t>יהודה בן שמואל הלוי - קאפח יוסף בן דוד</t>
  </si>
  <si>
    <t>ספר הכוזרי &lt;המקור הערבי ותרגום ר"י אבן תבון. מהדורה מדעית&gt;</t>
  </si>
  <si>
    <t>ספר הכוזרי &lt;מהדורת שילת&gt;</t>
  </si>
  <si>
    <t>ספר הכוזרי &lt;נוסח לקוי&gt;</t>
  </si>
  <si>
    <t>ספר הכוזרי - השוואת, הערות, מפתחות</t>
  </si>
  <si>
    <t>יהודה בן שמואל הלוי - ציפרינוביץ, א.</t>
  </si>
  <si>
    <t>ספר הכוזרי - 8 כר'</t>
  </si>
  <si>
    <t>[תקנ"ה],</t>
  </si>
  <si>
    <t>ספר הכוכבים</t>
  </si>
  <si>
    <t>בן דוד, משה</t>
  </si>
  <si>
    <t>ספר הכונות &lt;ר"מ טרינקי&gt; - 2 כר'</t>
  </si>
  <si>
    <t>ש"פ</t>
  </si>
  <si>
    <t>ספר הכונות ומעשה ניסים</t>
  </si>
  <si>
    <t>[תרל"ו,</t>
  </si>
  <si>
    <t>צפת,</t>
  </si>
  <si>
    <t>ספר הכונות ומעשה נסים</t>
  </si>
  <si>
    <t>ספר הכונות ישן עם הגהות הרמ"ז</t>
  </si>
  <si>
    <t>לוריא, יצחק בן שלמה (האר"י) - זכות, משה</t>
  </si>
  <si>
    <t>טחה</t>
  </si>
  <si>
    <t>ספר הכונות - 2 כר'</t>
  </si>
  <si>
    <t>ספר הכל</t>
  </si>
  <si>
    <t>ספר הכללים - עירובין</t>
  </si>
  <si>
    <t>ספר הכריתות &lt;תחלת חכמה&gt;</t>
  </si>
  <si>
    <t>שמשון בן יצחק מקינון</t>
  </si>
  <si>
    <t>ספר הכריתות, ספר הברית</t>
  </si>
  <si>
    <t>יצחק בן אבא מארי - אופנהיים, שמעון בן דוד</t>
  </si>
  <si>
    <t>ספר הלולב הגדול למאירי - תלמיד הרמב"ן - רשב"ן</t>
  </si>
  <si>
    <t>ספר הלולב הגדול לראב"ד</t>
  </si>
  <si>
    <t>ספר הלולב הגדול לרמב"ן</t>
  </si>
  <si>
    <t>ספר הליקוטים - 6 כר'</t>
  </si>
  <si>
    <t>ספר הליקוטים - 2 כר'</t>
  </si>
  <si>
    <t>ספר הליקוטים</t>
  </si>
  <si>
    <t>זיסווין, אברהם מאיר</t>
  </si>
  <si>
    <t>ספר הלכה למעשה - ברכות הנהנין</t>
  </si>
  <si>
    <t>ספר הלכה - 11 כר'</t>
  </si>
  <si>
    <t>ספר הלכות רבתי לרבינו יצחק אלפסי - 2 כר'</t>
  </si>
  <si>
    <t>ספר הלכות - ב</t>
  </si>
  <si>
    <t>ספר הלשון לרמח"ל - לשון למודים, ספר המליצה, ספר ההגיון</t>
  </si>
  <si>
    <t>ספר המאור &lt;מאורות שלמה&gt;</t>
  </si>
  <si>
    <t>נושאים שונים, תולדות עם ישראל, תלמוד בבלי, תלמוד בבלי</t>
  </si>
  <si>
    <t>ספר המאור - 8 כר'</t>
  </si>
  <si>
    <t>זרחיה הלוי בן יצחק (רז"ה), משה בן נחמן (רמב"ן), אברהם בן דוד (ראב"ד)</t>
  </si>
  <si>
    <t>ספר המאור - ב</t>
  </si>
  <si>
    <t>משה בן מימון (רמב"ם) - רבינוביץ, מרדכי דב בן שבתי הכהן</t>
  </si>
  <si>
    <t>תש"ח - תש"ט</t>
  </si>
  <si>
    <t>ספר המאורות - 15 כר'</t>
  </si>
  <si>
    <t>מאיר בן שמעון המעילי</t>
  </si>
  <si>
    <t>ספר המאמרים</t>
  </si>
  <si>
    <t>ספר המבחן</t>
  </si>
  <si>
    <t>ספר המבקש - 2 כר'</t>
  </si>
  <si>
    <t>תקל"ח - תקל"ט</t>
  </si>
  <si>
    <t>ספר המגיד - 10 כר'</t>
  </si>
  <si>
    <t>דלוגאטש, שמואל בן משה</t>
  </si>
  <si>
    <t>ספר המגיד - 4 כר'</t>
  </si>
  <si>
    <t>ספר המדות &lt;הוא ארחות צדיקים&gt;</t>
  </si>
  <si>
    <t>לא נודע מחברו</t>
  </si>
  <si>
    <t>ספר המדות &lt;המנוקד&gt;</t>
  </si>
  <si>
    <t>ספר המדות &lt;טקסט&gt;</t>
  </si>
  <si>
    <t>ספר המדות &lt;משך הנחל&gt;</t>
  </si>
  <si>
    <t>ספר המדות &lt;עם מראה מקומות&gt;</t>
  </si>
  <si>
    <t>ספר המדות להמאירי</t>
  </si>
  <si>
    <t>ספר המדות - 5 כר'</t>
  </si>
  <si>
    <t>ספר המדות - 3 כר'</t>
  </si>
  <si>
    <t>ספר המדות - 2 כר'</t>
  </si>
  <si>
    <t>ספר המדע - 2 כר'</t>
  </si>
  <si>
    <t>תקע"א,</t>
  </si>
  <si>
    <t>ספר המדריך</t>
  </si>
  <si>
    <t>נוישטדט, מרדכי</t>
  </si>
  <si>
    <t>ספר המו"ד - 5 כר'</t>
  </si>
  <si>
    <t>הירש, יעקב בן צבי הלוי</t>
  </si>
  <si>
    <t>תרנ"ב - תר"ס</t>
  </si>
  <si>
    <t>ספר המוסר &lt;השירה והפיוט&gt;</t>
  </si>
  <si>
    <t>אלצ'אהרי, זכריה בן סעדיה</t>
  </si>
  <si>
    <t>ספר המוסר &lt;הנהגות ישרות&gt;</t>
  </si>
  <si>
    <t>ספר יראה. תקס"ה</t>
  </si>
  <si>
    <t>ספר המוסר - 4 כר'</t>
  </si>
  <si>
    <t>ספר המועדים</t>
  </si>
  <si>
    <t>ספר המחלוקות - 4 כר'</t>
  </si>
  <si>
    <t>בועז,  יהושע בן ברוך</t>
  </si>
  <si>
    <t>ספר המחנך</t>
  </si>
  <si>
    <t>ספר המילואים לספר כלי חמדה</t>
  </si>
  <si>
    <t>ספר המכריע &lt;מהדורת ורטהימר&gt;</t>
  </si>
  <si>
    <t>טראני, ישעיה בן מאלי (רי"ד)</t>
  </si>
  <si>
    <t>ספר המכריע - 3 כר'</t>
  </si>
  <si>
    <t>ספר המכתבים &lt;אגרת הזאת&gt;</t>
  </si>
  <si>
    <t>ספר המכתבים תשובה מאהבה</t>
  </si>
  <si>
    <t>קנייבסקי, שמריהו יוסף חיים בן יעקב ישראל - נבנצל, אביגדר יחזקאל הלוי</t>
  </si>
  <si>
    <t>ספר המלבי"ם</t>
  </si>
  <si>
    <t>רוטנברג, יחזקאל</t>
  </si>
  <si>
    <t>ספר המלים &lt;קונקורדנציה&gt;</t>
  </si>
  <si>
    <t>גלבלום, שלמה בן יהודה ליב</t>
  </si>
  <si>
    <t>ספר המליצה - 2 כר'</t>
  </si>
  <si>
    <t>ספר המלכות &lt;ואינו&gt;</t>
  </si>
  <si>
    <t>דוד בן שמואל הלוי מסביליה. מיוחס לו</t>
  </si>
  <si>
    <t>ספר המלכות &lt;מהדורת אלנקוה&gt;</t>
  </si>
  <si>
    <t>ספר המלמד</t>
  </si>
  <si>
    <t>ספר המנהגים עם ביאור ליקוטי אמרים</t>
  </si>
  <si>
    <t>ספר המנהגים - 4 כר'</t>
  </si>
  <si>
    <t>ספר המנהיג - 3 כר'</t>
  </si>
  <si>
    <t>אברהם בן נתן הירחי</t>
  </si>
  <si>
    <t>ספר המנוחה &lt;בית מנוחה&gt;</t>
  </si>
  <si>
    <t>מנוח בן יעקב מנארבונה - סידון, שמעון בן יהודה</t>
  </si>
  <si>
    <t>ספר המנוחה - 3 כר'</t>
  </si>
  <si>
    <t>מנוח בן יעקב מנארבונה</t>
  </si>
  <si>
    <t>ספר המסע לארץ הקדושה</t>
  </si>
  <si>
    <t>ספר המסעות</t>
  </si>
  <si>
    <t>צ'ורני, יוסף יהודה בן יעקב הלוי</t>
  </si>
  <si>
    <t>ספר המספר</t>
  </si>
  <si>
    <t>רצ"ג - רצ"ד</t>
  </si>
  <si>
    <t>ספר המספרים</t>
  </si>
  <si>
    <t>קאפלין, דוב אריה בן מנחם מנדל הכהן</t>
  </si>
  <si>
    <t>ספר המעלות</t>
  </si>
  <si>
    <t>ספר המעשיות</t>
  </si>
  <si>
    <t>ספר המעשים - 2 כר'</t>
  </si>
  <si>
    <t>בן דוד, אהרן</t>
  </si>
  <si>
    <t>ספר המפואר - 2 כר'</t>
  </si>
  <si>
    <t>מולכו, שלמה</t>
  </si>
  <si>
    <t>ספר המפתחות</t>
  </si>
  <si>
    <t>ספר המצוות &lt;קושטא ר"ע&gt;</t>
  </si>
  <si>
    <t>ספר המצוות לרמב"ם עם ביאור בקוראי שמו - עשים, שרשים</t>
  </si>
  <si>
    <t>חורוזינסקי, שמואל חיים בן בצלאל</t>
  </si>
  <si>
    <t>ספר המצות &lt;יד הלוי - מגילת אסתר&gt; - א</t>
  </si>
  <si>
    <t>הורוביץ, יצחק שמחה בן יוסף דוב הלוי</t>
  </si>
  <si>
    <t>ספר המצות &lt;יד הלוי&gt;</t>
  </si>
  <si>
    <t>ספר המצות &lt;ז' פירושים&gt;</t>
  </si>
  <si>
    <t>ספר המצות &lt;חידושי מהרד"ם&gt;</t>
  </si>
  <si>
    <t>ספר המצות &lt;תוצאות חיים&gt;</t>
  </si>
  <si>
    <t>ספר המצות הקצר לנשים</t>
  </si>
  <si>
    <t>יפהן, שמואל בן רפאל אהרן</t>
  </si>
  <si>
    <t>ספר המצות הקצר עם הערות וציונים</t>
  </si>
  <si>
    <t>כהן, ישראל מאיר בן אריה זאב - ורנר, דוד</t>
  </si>
  <si>
    <t>ספר המצות הקצר - 2 כר'</t>
  </si>
  <si>
    <t>ספר המצות להרמב"ם &lt;מגילת אסתר&gt;</t>
  </si>
  <si>
    <t>ספר המצות לרמב"ם  כתב יד המבורג</t>
  </si>
  <si>
    <t>ספר המצות לרמב"ם  כתב יד מינכן</t>
  </si>
  <si>
    <t>ספר המצות לרמב"ם עם פירוש פקודי ישרים - 2 כר'</t>
  </si>
  <si>
    <t>ספר המצות לרס"ג &lt;ביאור הגרי"פ פערלא&gt; - 2 כר'</t>
  </si>
  <si>
    <t>ספר המצות לרס"ג &lt;ביאורי הגרי"פ פערלא&gt; - 6 כר'</t>
  </si>
  <si>
    <t>תרע"ד - תרע"ז</t>
  </si>
  <si>
    <t>ספר המצות לרס"ג</t>
  </si>
  <si>
    <t>ספר המצות - 2 כר'</t>
  </si>
  <si>
    <t>Philadelphia פילדלפי</t>
  </si>
  <si>
    <t>ספר המצות - 3 כר'</t>
  </si>
  <si>
    <t>ספר המצרף - ב</t>
  </si>
  <si>
    <t>תק"פ - תרי"ז</t>
  </si>
  <si>
    <t>ספר המקדש</t>
  </si>
  <si>
    <t>ספר המקנה &lt;ספר הפלאה&gt;</t>
  </si>
  <si>
    <t>תקמ"ז - תקס"א</t>
  </si>
  <si>
    <t>ספר המקנה &lt;מהדורה חדשה&gt; - 3 כר'</t>
  </si>
  <si>
    <t>ספר המקנה</t>
  </si>
  <si>
    <t>יוסף בן גרשון איש רוסהיים</t>
  </si>
  <si>
    <t>ספר המקנה - 3 כר'</t>
  </si>
  <si>
    <t>תרל"ז - תרמ"ד</t>
  </si>
  <si>
    <t>ספר המקצועות</t>
  </si>
  <si>
    <t>ספר המרדכי &lt;באור מרדכי&gt;</t>
  </si>
  <si>
    <t>מרדכי בן הלל - בנט, מרדכי</t>
  </si>
  <si>
    <t>ספר המרדכי השלם - ב"ק ב</t>
  </si>
  <si>
    <t>מרדכי בן הלל - הלפרין, אברהם</t>
  </si>
  <si>
    <t>ספר המשלים</t>
  </si>
  <si>
    <t>ספר הניקוד</t>
  </si>
  <si>
    <t>ספר הנעים - ספר הותיק</t>
  </si>
  <si>
    <t>באב"ד, יהושע השל בן יצחק</t>
  </si>
  <si>
    <t>ספר הנפש &lt;עם ביאור&gt;</t>
  </si>
  <si>
    <t>תרכ"ד,</t>
  </si>
  <si>
    <t>ווארשויא,</t>
  </si>
  <si>
    <t>ספר הנפש - 2 כר'</t>
  </si>
  <si>
    <t>תקצ"ה אחרי</t>
  </si>
  <si>
    <t>ספר הנצחון</t>
  </si>
  <si>
    <t>אלטדורף Altdorf</t>
  </si>
  <si>
    <t>ספר הנקור</t>
  </si>
  <si>
    <t>אלטמאן, שלמה</t>
  </si>
  <si>
    <t>ספר הנר (כת"י) - 3 כר'</t>
  </si>
  <si>
    <t>אגמאתי, זכריה בן יהודה</t>
  </si>
  <si>
    <t>ספר הנר - 4 כר'</t>
  </si>
  <si>
    <t>ספר הסגולות והתרופות &lt;כתב יד&gt;</t>
  </si>
  <si>
    <t>ספר הסגולות</t>
  </si>
  <si>
    <t>ישיבת כתר שושנים - מכון הכתב</t>
  </si>
  <si>
    <t>ספר הסוגיא - 4 כר'</t>
  </si>
  <si>
    <t>ספר הסומא</t>
  </si>
  <si>
    <t>רודריגז, אריה</t>
  </si>
  <si>
    <t>ספר הסימנים</t>
  </si>
  <si>
    <t>ספר הסתום</t>
  </si>
  <si>
    <t>ספר העבור - 2 כר'</t>
  </si>
  <si>
    <t>ספר העבור</t>
  </si>
  <si>
    <t>ספר העברונות - 2 כר'</t>
  </si>
  <si>
    <t>בלין, אליעזר בן יעקב</t>
  </si>
  <si>
    <t>ספר העיטור &lt;שער החדש&gt; - 2 כר'</t>
  </si>
  <si>
    <t>יצחק בן אבא מארי</t>
  </si>
  <si>
    <t>תרל"ד - תרמ"ה</t>
  </si>
  <si>
    <t>ספר העיטור - 2 כר'</t>
  </si>
  <si>
    <t>תקס"א - תקס"ב</t>
  </si>
  <si>
    <t>ספר העליות לארץ ישראל</t>
  </si>
  <si>
    <t>ספר הענק הוא התרשיש</t>
  </si>
  <si>
    <t>אבן-עזרא, משה בן יעקב</t>
  </si>
  <si>
    <t>ספר העצמים</t>
  </si>
  <si>
    <t>ספר העקרונות</t>
  </si>
  <si>
    <t>ספר העקרים &lt;ע"פ טעם בעיקר&gt;</t>
  </si>
  <si>
    <t>אלבו, יוסף - נויגרשל, מרדכי</t>
  </si>
  <si>
    <t>ספר העקרים &lt;דפו"ר&gt;</t>
  </si>
  <si>
    <t>אלבו, יוסף</t>
  </si>
  <si>
    <t>ספר העקרים &lt;עץ שתול&gt;</t>
  </si>
  <si>
    <t>ספר העקרים - 3 כר'</t>
  </si>
  <si>
    <t>ספר העתים</t>
  </si>
  <si>
    <t>יהודה בן ברזילי מברצלונה</t>
  </si>
  <si>
    <t>ספר הפטרות</t>
  </si>
  <si>
    <t>ספר הפליאה</t>
  </si>
  <si>
    <t>קארא, אביגדור בן יצחק, מיוחס לו</t>
  </si>
  <si>
    <t>ספר הפנים</t>
  </si>
  <si>
    <t>ספר הפעלים</t>
  </si>
  <si>
    <t>אבן-חיוג', יהודה בן דוד - אלפסי יהודה</t>
  </si>
  <si>
    <t>ספר הפעלים - מדריך תורה שבע"פ</t>
  </si>
  <si>
    <t>אבן-חיוג', יהודה בן דוד - הולנדר, עקיבא</t>
  </si>
  <si>
    <t>ספר הפרד"ס - 2 כר'</t>
  </si>
  <si>
    <t>קניגסברג</t>
  </si>
  <si>
    <t>ספר הפרדס - 2 כר'</t>
  </si>
  <si>
    <t>אשר בן חיים, ממונתשון</t>
  </si>
  <si>
    <t>ספר הפרדס</t>
  </si>
  <si>
    <t>ספר הפרדס - 3 כר'</t>
  </si>
  <si>
    <t>ספר הפרנס עם ביאור אמרי צבי</t>
  </si>
  <si>
    <t>משה פרנס מרוטנבורג</t>
  </si>
  <si>
    <t>ספר הפרנס</t>
  </si>
  <si>
    <t>ספר הפרעות</t>
  </si>
  <si>
    <t>כהן, שמעון בן יעקב ישעיהו</t>
  </si>
  <si>
    <t>ספר הפרענומעראנטן</t>
  </si>
  <si>
    <t>כהן, בערל</t>
  </si>
  <si>
    <t>ספר הפרשיות - בראשית נח</t>
  </si>
  <si>
    <t>ספר הפתגמים</t>
  </si>
  <si>
    <t>ספר הצבא &lt;ע"פ דבר הצבא&gt;</t>
  </si>
  <si>
    <t>ספר הצבא עם תקון הצבא</t>
  </si>
  <si>
    <t>אלטשולר, עזרא בן יהודה ליב</t>
  </si>
  <si>
    <t>ספר הצבא</t>
  </si>
  <si>
    <t>ספר הצואות (בעברית ובאנגלית)</t>
  </si>
  <si>
    <t>ספר הצוואה &lt;לדוד להזכיר&gt;</t>
  </si>
  <si>
    <t>האגר, משה בן יעקב שמשון - שפרבר, דוד</t>
  </si>
  <si>
    <t>ספר הצוואה</t>
  </si>
  <si>
    <t>ספר הצוואה - 2 כר'</t>
  </si>
  <si>
    <t>ספר הצחוק</t>
  </si>
  <si>
    <t>ספר הצירוף</t>
  </si>
  <si>
    <t>ספר הצלה</t>
  </si>
  <si>
    <t>ספר הקבוצה</t>
  </si>
  <si>
    <t>בארב, יצחק</t>
  </si>
  <si>
    <t>[תרס"א].</t>
  </si>
  <si>
    <t>פשעמישל,</t>
  </si>
  <si>
    <t>ספר הקבלה &lt;מהדורת גרשון כהן&gt;</t>
  </si>
  <si>
    <t>ספר הקבלה</t>
  </si>
  <si>
    <t>ספר הקהל</t>
  </si>
  <si>
    <t>ספר הקנה &lt;קנה בינה&gt;</t>
  </si>
  <si>
    <t>ספר הקנה</t>
  </si>
  <si>
    <t>ש"ע-שע"א</t>
  </si>
  <si>
    <t>ספר הקנה - 3 כר'</t>
  </si>
  <si>
    <t>ספר הקנינים &lt;משנה הלכות&gt;</t>
  </si>
  <si>
    <t>מחשבה ומוסר, משנה, נושאים שונים, שאלות ותשובות</t>
  </si>
  <si>
    <t>ספר הקנינים (משנה הלכות) &lt;טקסט&gt;</t>
  </si>
  <si>
    <t>ספר הראיון זכור לאברהם</t>
  </si>
  <si>
    <t>ספר הרוחות - 2 כר'</t>
  </si>
  <si>
    <t>ספר הרוקח &lt;דפו"ר&gt;</t>
  </si>
  <si>
    <t>רס"ה</t>
  </si>
  <si>
    <t>פנו Fano</t>
  </si>
  <si>
    <t>ספר הרוקח &lt;מהדורת רוזנפלד&gt; - הלכות תשובה</t>
  </si>
  <si>
    <t>ספר הרוקח - 5 כר'</t>
  </si>
  <si>
    <t>ספר הרכבה</t>
  </si>
  <si>
    <t>ספר הרמון - ר"ה ויוה"כ</t>
  </si>
  <si>
    <t>די ליאון, משה בן שם טוב</t>
  </si>
  <si>
    <t>ספר השבת</t>
  </si>
  <si>
    <t>רשובסקי, מנשה גד - שינובר, צבי</t>
  </si>
  <si>
    <t>ספר השדה - 2 כר'</t>
  </si>
  <si>
    <t>ספר השו"ת - 3 כר'</t>
  </si>
  <si>
    <t>ספר השטרות (מהדורת ריבלין)</t>
  </si>
  <si>
    <t>ספר השטרות להלכה ולמעשה</t>
  </si>
  <si>
    <t>ספר השטרות</t>
  </si>
  <si>
    <t>ספר השיטות - 4 כר'</t>
  </si>
  <si>
    <t>צברי, שמואל בן יחיא</t>
  </si>
  <si>
    <t>ספר השירים הגדול והשלם</t>
  </si>
  <si>
    <t>ספר השירים</t>
  </si>
  <si>
    <t>שירים ופיוטים</t>
  </si>
  <si>
    <t>ספר השלחן - 2 כר'</t>
  </si>
  <si>
    <t>חייא בן שלמה</t>
  </si>
  <si>
    <t>ספר השנה - שנה טו</t>
  </si>
  <si>
    <t>קובץ הסתדרות בני א"י באמריקה</t>
  </si>
  <si>
    <t>ספר השנים לרב יהודה הכהן ראש הסדר</t>
  </si>
  <si>
    <t>רב יהודה הכהן ראש הסדר</t>
  </si>
  <si>
    <t>ספר השעשועים</t>
  </si>
  <si>
    <t>חדאד, ישועה</t>
  </si>
  <si>
    <t>ספר השרשים</t>
  </si>
  <si>
    <t>תרנ"ג - תרנ"ו</t>
  </si>
  <si>
    <t>ספר השרשים - 6 כר'</t>
  </si>
  <si>
    <t>ספר השתיקה</t>
  </si>
  <si>
    <t>שלטר, מרדכי</t>
  </si>
  <si>
    <t>ספר התדיר</t>
  </si>
  <si>
    <t>משה בן יקותיאל מן האדומים</t>
  </si>
  <si>
    <t>ספר התיקונים</t>
  </si>
  <si>
    <t>ספר התכונה - 2 כר'</t>
  </si>
  <si>
    <t>ספר התמונה &lt;דפו"ר&gt; - 2 כר'</t>
  </si>
  <si>
    <t>ספר התמונה</t>
  </si>
  <si>
    <t>תרנ"ב,</t>
  </si>
  <si>
    <t>ספר התעודה ממפעל חשיפת גנזי תימן</t>
  </si>
  <si>
    <t>נחום, יהודה לוי בן יוסף יחיא</t>
  </si>
  <si>
    <t>ספר התפוח</t>
  </si>
  <si>
    <t>ספר התקנות (המגורשים)</t>
  </si>
  <si>
    <t>ספר התקנות ומנהגי ירושלים &lt;חומות ירושלים&gt;</t>
  </si>
  <si>
    <t>ספר התקנות</t>
  </si>
  <si>
    <t>ספר התקנות חברת אור תורה משמורים</t>
  </si>
  <si>
    <t>ירושלים. מנחם ציון</t>
  </si>
  <si>
    <t>ספר התקנות לדוגמא</t>
  </si>
  <si>
    <t>סופר, יצחק ליב</t>
  </si>
  <si>
    <t>ספר התקנות מחברה גמילות חסדים</t>
  </si>
  <si>
    <t>ירושלים. מאה שערים. גמילות חסדים</t>
  </si>
  <si>
    <t>ספר התרגום</t>
  </si>
  <si>
    <t>עראקי הכהן, יוסף בן שמעון</t>
  </si>
  <si>
    <t>ספר התרומה הלכות ארץ ישראל (נוסח כת"י לונדון)</t>
  </si>
  <si>
    <t>ברוך בן יצחק מצרפת - פרידמן, יואל</t>
  </si>
  <si>
    <t>ספר התרומה - תשלומי התרומה, לעזי התרומה</t>
  </si>
  <si>
    <t>ספר התרומה - 4 כר'</t>
  </si>
  <si>
    <t>ברוך בן יצחק מצרפת</t>
  </si>
  <si>
    <t>ספר התרומות עם גדולי תרומה - 3 כר'</t>
  </si>
  <si>
    <t>שמואל בן יצחק הסרדי - פיגו, עזריה בן אפרים</t>
  </si>
  <si>
    <t>ספר התרומות עם גדולי תרומה - 2 כר'</t>
  </si>
  <si>
    <t>שמואל בן יצחק הסרדי- פיגו, עזריה בן אפרים</t>
  </si>
  <si>
    <t>ספר התרומות</t>
  </si>
  <si>
    <t>שמואל בן יצחק הסרדי</t>
  </si>
  <si>
    <t>ספר התשבי - 5 כר'</t>
  </si>
  <si>
    <t>ספר התשובה - 3 כר'</t>
  </si>
  <si>
    <t>ספר ויקרא מפוסק ע"פ טעמי המקרא</t>
  </si>
  <si>
    <t>ספר וכוח</t>
  </si>
  <si>
    <t>ספר וסיפור</t>
  </si>
  <si>
    <t>ספר זיכרון למרן האבי עזרי</t>
  </si>
  <si>
    <t>ספר זכירה &lt;דפו"ר&gt;</t>
  </si>
  <si>
    <t>ספר זכירה &lt;עם זכירת מנחם&gt;</t>
  </si>
  <si>
    <t>ספר זכירה</t>
  </si>
  <si>
    <t>ספר זכר לדוד</t>
  </si>
  <si>
    <t>קלמנוביץ, יעקב אחי דוד</t>
  </si>
  <si>
    <t>ספר זכרון &lt;ר' יצחק וינאגראד, ר' יוסף אליהו וינאגראד&gt;</t>
  </si>
  <si>
    <t>ווינוגראד, יצחק בן אברהם חיים</t>
  </si>
  <si>
    <t>ספר זכרון &lt;מנחת ירושלים - מנחת העומר&gt;</t>
  </si>
  <si>
    <t>לזכר רבי עמרם ברבי משה בלוי</t>
  </si>
  <si>
    <t>ספר זכרון &lt;חתם סופר&gt; - 2 כר'</t>
  </si>
  <si>
    <t>ספר זכרון &lt;להרב זליג פריבלסקי&gt;</t>
  </si>
  <si>
    <t>ספר זכרון &lt;ר' חיים משה יהודה שניידר&gt; - 2 כר'</t>
  </si>
  <si>
    <t>ספר זכרון &lt;קמחי&gt;</t>
  </si>
  <si>
    <t>קמחי, יוסף בן יצחק</t>
  </si>
  <si>
    <t>ספר זכרון אבוא בם</t>
  </si>
  <si>
    <t>לזכרו של רבי אברהם אבא זיונס</t>
  </si>
  <si>
    <t>ספר זכרון אהלה של תורה - כג</t>
  </si>
  <si>
    <t>כולל האברכים שע"י ישיבת מיר רמת שלמה</t>
  </si>
  <si>
    <t>ספר זכרון אילת אהבים אש"ד הנחלים</t>
  </si>
  <si>
    <t>לזכרם של רבי אברהם דב וויספיש ורעיתו</t>
  </si>
  <si>
    <t>הלכה ומנהג, קבצים וכתבי עת, ספרי זכרון ויובל, שאלות ותשובות, שלחן ערוך ומפרשיו</t>
  </si>
  <si>
    <t>ספר זכרון בחקתיך אשתעשע</t>
  </si>
  <si>
    <t>האיתן, יצחק מאיר בן ישראל - האיתן, יהושע בן יצחק מאיר (לזכרם)</t>
  </si>
  <si>
    <t>ספר זכרון בית יהודה</t>
  </si>
  <si>
    <t>לזכר רבי יהודה פרנקל</t>
  </si>
  <si>
    <t>ספר זכרון הצבי והצדק</t>
  </si>
  <si>
    <t>שטינברג, דוב זאב, (עורך)</t>
  </si>
  <si>
    <t>ספר זכרון זכרון פנחס</t>
  </si>
  <si>
    <t>לזכר רבי פנחס וינטרוב</t>
  </si>
  <si>
    <t>ספר זכרון חסדי אברהם</t>
  </si>
  <si>
    <t>לזכרון רבי אברהם דוד שולמן</t>
  </si>
  <si>
    <t>ספר זכרון יד משה צבי הלוי</t>
  </si>
  <si>
    <t>ספר זכרון ישרים יעלוזו</t>
  </si>
  <si>
    <t>ספר זכרון כרם ישראל</t>
  </si>
  <si>
    <t>ישיבת בית הכרם</t>
  </si>
  <si>
    <t>ספר זכרון לגרח"ש ברוק</t>
  </si>
  <si>
    <t>אורי בן שחר</t>
  </si>
  <si>
    <t>ספר זכרון להג"ר נסים טולידנו</t>
  </si>
  <si>
    <t>ספר זכרון להגאון רבי שילה רפאל זצ"ל - 2 כר'</t>
  </si>
  <si>
    <t>מובשוביץ, יוסף אליהו הלוי</t>
  </si>
  <si>
    <t>ספר זכרון להגאון רבי שמואל דוד ורשבצ'יק</t>
  </si>
  <si>
    <t>שורין, יעקב (עורך)</t>
  </si>
  <si>
    <t>ספר זכרון להרכבי - החלק הלועזי</t>
  </si>
  <si>
    <t>פטרבורג</t>
  </si>
  <si>
    <t>ספר זכרון לע"נ הבחור אביגדור כהן ז"ל</t>
  </si>
  <si>
    <t>ספר זכרון לפוזננסקי (החלק הלועזי)</t>
  </si>
  <si>
    <t>ספר זכרון לקדושי ישיבת חברון</t>
  </si>
  <si>
    <t>ירושלים. ישיבת חברון "כנסת ישראל"</t>
  </si>
  <si>
    <t>ספר זכרון לקהילת קליינווארדיין והסביבה</t>
  </si>
  <si>
    <t>ספר זכרון לר' שמואל אברהם פוזננסקי</t>
  </si>
  <si>
    <t>נושאים שונים, קבצים וכתבי עת, ספרי זכרון ויובל, שאלות ותשובות, תנ"ך, תנ"ך, תפלות בקשות פיוטים ושירה</t>
  </si>
  <si>
    <t>ספר זכרון לרבי יצחק אייזיק הלוי</t>
  </si>
  <si>
    <t>אויערבאך, משה</t>
  </si>
  <si>
    <t>ספר זכרון מעשה נסים</t>
  </si>
  <si>
    <t>קרואני, נסים בן יוסף (לזכרו)</t>
  </si>
  <si>
    <t>ספר זכרון סטראפקאוו - סטרופקוב</t>
  </si>
  <si>
    <t>ווינשטיין, אברהם אביש הכהן - ספר קהילה</t>
  </si>
  <si>
    <t>ספר זכרון עיונים בתענית - 2 כר'</t>
  </si>
  <si>
    <t>ספר זכרון עמוד השלשה</t>
  </si>
  <si>
    <t>ישיבת פרעשבורג שבט סופר</t>
  </si>
  <si>
    <t>ספר זכרון עקבי יהודה - חולין</t>
  </si>
  <si>
    <t>לזכר רבי יעקב יהודה פולק</t>
  </si>
  <si>
    <t>ספר זכרון רבינו שמואל סלאנט</t>
  </si>
  <si>
    <t>סלאנט, נתן נטע בן צבי הירש</t>
  </si>
  <si>
    <t>ספר זכרון רוח יוסף</t>
  </si>
  <si>
    <t>רוטשטטין, יוסף לייב בן מרדכי צבי</t>
  </si>
  <si>
    <t>ספר זכרון שירת מרים</t>
  </si>
  <si>
    <t>פטרפרוינד, מרדכי הלוי (עורך)</t>
  </si>
  <si>
    <t>ספר זכרון - למרן ר' חיים עוזר גרודזינסקי זצ"ל</t>
  </si>
  <si>
    <t>אברמסקי, יחזקאל בן מרדכי זלמן (עורך)</t>
  </si>
  <si>
    <t>דרושים, נושאים שונים, שאלות ותשובות, תולדות עם ישראל, תנ"ך</t>
  </si>
  <si>
    <t>ספר זכרון - 2 כר'</t>
  </si>
  <si>
    <t>פולטיס- סילג'י</t>
  </si>
  <si>
    <t>ספר זכרון - אבא ז"ל</t>
  </si>
  <si>
    <t>קלינמן, משה בנימין (אודותיו)</t>
  </si>
  <si>
    <t>רבני משפחת אולמן</t>
  </si>
  <si>
    <t>שפירא, יצחק בן נח כ"ץ</t>
  </si>
  <si>
    <t>ספר זכרונות</t>
  </si>
  <si>
    <t>ספר זרובבל ונחמת ציון</t>
  </si>
  <si>
    <t>ספר זרובבל</t>
  </si>
  <si>
    <t>ספר חוקה</t>
  </si>
  <si>
    <t>ספר חזון - 2 כר'</t>
  </si>
  <si>
    <t>ספר חיים</t>
  </si>
  <si>
    <t>בילוגראדו,</t>
  </si>
  <si>
    <t>ספר חיים - 2 כר'</t>
  </si>
  <si>
    <t>ספר חכמוני</t>
  </si>
  <si>
    <t>דונולו, שבתי בן אברהם - דוידוביץ, אברהם</t>
  </si>
  <si>
    <t>דונולו, שבתי בן אברהם</t>
  </si>
  <si>
    <t>ספר חסידים &lt;משנת אברהם&gt; - 3 כר'</t>
  </si>
  <si>
    <t>יהודה בן שמואל החסיד - פרייס, אברהם אהרן</t>
  </si>
  <si>
    <t>ספר חסידים &lt;ברית עולם&gt;</t>
  </si>
  <si>
    <t>ספר חסידים &lt;דפו"ר&gt;</t>
  </si>
  <si>
    <t>רצ"ח</t>
  </si>
  <si>
    <t>ספר חסידים &lt;מהדורת מקיצי נרדמים - 2 כר'</t>
  </si>
  <si>
    <t>ספר חסידים החדש</t>
  </si>
  <si>
    <t>הכהן, משה בן אליעזר</t>
  </si>
  <si>
    <t>ספר חסידים תנינא</t>
  </si>
  <si>
    <t>משה בן אלעזר הכהן</t>
  </si>
  <si>
    <t>ספר חסידים - 8 כר'</t>
  </si>
  <si>
    <t>ספר חסידים - 2 כר'</t>
  </si>
  <si>
    <t>ספר חרדים &lt;דפו"ר&gt; - 2 כר'</t>
  </si>
  <si>
    <t>ספר חרדים השלם</t>
  </si>
  <si>
    <t>ספר חרדים עם ביאור באר יהודה</t>
  </si>
  <si>
    <t>אזכרי, אלעזר בן משה - דייטש, חיים יהודה סג"ל</t>
  </si>
  <si>
    <t>ספר חרדים - 4 כר'</t>
  </si>
  <si>
    <t>ספר יהושע עם פירוש באר חיים</t>
  </si>
  <si>
    <t>ספר יהושע עם פירוש פורת יוסף</t>
  </si>
  <si>
    <t>ספר יהושע</t>
  </si>
  <si>
    <t>שאלות ותשובות, שונות, שלחן ערוך ומפרשיו</t>
  </si>
  <si>
    <t>הרשקוביץ, יהודה - זיידמאן, ישראל איסר בן יהודה דוב</t>
  </si>
  <si>
    <t>רייכמאן, יהושע מאיר בן נתן</t>
  </si>
  <si>
    <t>תש"ב - תש"ג</t>
  </si>
  <si>
    <t>ספר יובל &lt;דוד הופמן&gt;</t>
  </si>
  <si>
    <t>ספר יובל לכבוד שמואל קלמן מירסקי</t>
  </si>
  <si>
    <t>מירסקי, שמואל קלמן בן משה צבי</t>
  </si>
  <si>
    <t>ספר יוחסין השלם - 3 כר'</t>
  </si>
  <si>
    <t>זכות, אברהם בן שמואל</t>
  </si>
  <si>
    <t>ספר יוחסין למשפחת ברייער גאלדהירש</t>
  </si>
  <si>
    <t>ספר יוחסין - 4 כר'</t>
  </si>
  <si>
    <t>ספר יוחסין</t>
  </si>
  <si>
    <t>ספר יונה עם ביאור הגר"א</t>
  </si>
  <si>
    <t>ספר יונה עם פירוש דבר ירושלים</t>
  </si>
  <si>
    <t>ספר יונה עם פירוש ויזרע יצחק</t>
  </si>
  <si>
    <t>ספר יונה עם פירוש כנפי יונה</t>
  </si>
  <si>
    <t>יהודי, יעקב יצחק</t>
  </si>
  <si>
    <t>ספר יונה עם פירוש רזי יונה</t>
  </si>
  <si>
    <t>וינגורט, מרדכי מנחם</t>
  </si>
  <si>
    <t>ספר יוסיפון &lt;כתב יד ירושלים&gt;</t>
  </si>
  <si>
    <t>יוסיפון</t>
  </si>
  <si>
    <t>ספר יעקב שלמה - שמואל</t>
  </si>
  <si>
    <t>ספר יצירה &lt;פירוש הגר"א - מהדורה חדשה&gt;</t>
  </si>
  <si>
    <t>ספר יצירה &lt;הקדמת הר"מ חאגיז בלבד&gt;</t>
  </si>
  <si>
    <t>חאגיז, משה בן יעקב ישראל</t>
  </si>
  <si>
    <t>ספר יצירה &lt;פירוש הגר"א דפו"ר&gt;</t>
  </si>
  <si>
    <t>ספר יצירה. תקס"ו</t>
  </si>
  <si>
    <t>ספר יצירה &lt;ביאור הגר"א - תולדות יצחק&gt;</t>
  </si>
  <si>
    <t>ספר יצירה. תרל"ה</t>
  </si>
  <si>
    <t>תרל"ה - הסכ'</t>
  </si>
  <si>
    <t>ספר יצירה &lt;רזא דיצירה&gt;</t>
  </si>
  <si>
    <t>שרים, עזרא</t>
  </si>
  <si>
    <t>ספר יצירה השלם</t>
  </si>
  <si>
    <t>ספר יצירה עם פי' רס"ג</t>
  </si>
  <si>
    <t>סעדיה בן יוסף גאון - קאפח, יוסף</t>
  </si>
  <si>
    <t>ספר יצירה עם פירוש יוצר המאורות</t>
  </si>
  <si>
    <t>ספר יצירה</t>
  </si>
  <si>
    <t>אקשטיין, מנחם מנדל בן יוסף שלמה</t>
  </si>
  <si>
    <t>ספר יצירה - עם פירוש אבוסהל דונש בן תמים</t>
  </si>
  <si>
    <t>גרוסברג, מנשה בן יחזקאל יונה - דונש בן תמים</t>
  </si>
  <si>
    <t>ספר יצירה - עם תולדות יצחק וביאור הגר"א</t>
  </si>
  <si>
    <t>כהנא, יצחק בן יהודה ליב</t>
  </si>
  <si>
    <t>ספר יצירה. שכ"ב</t>
  </si>
  <si>
    <t>ספר יצירה - ט' פירושים</t>
  </si>
  <si>
    <t>ספר יצירה. תרמ"ד</t>
  </si>
  <si>
    <t>ספר יראה</t>
  </si>
  <si>
    <t>אריה ליב בן חיים מפרילוק</t>
  </si>
  <si>
    <t>ספר יראה. תפ"ד</t>
  </si>
  <si>
    <t>ספר יראה - ארחות חיים - מדרש כונן - כולם אהובים</t>
  </si>
  <si>
    <t>ספר יראים &lt;תועפות ראם&gt;</t>
  </si>
  <si>
    <t>אליעזר בן שמואל ממץ</t>
  </si>
  <si>
    <t>תרנ"ב - תרס"ב</t>
  </si>
  <si>
    <t>ספר יראים &lt;סביב ליראיו&gt;</t>
  </si>
  <si>
    <t>ספר יראים &lt;ווי העמודים&gt;</t>
  </si>
  <si>
    <t>ליוורנו - ניו יורק</t>
  </si>
  <si>
    <t>ספר יראים &lt;יראה ואהבה&gt;</t>
  </si>
  <si>
    <t>ספר יראים השלם &lt;מהדורה חדשה&gt; - 3 כר'</t>
  </si>
  <si>
    <t>ספר יראים</t>
  </si>
  <si>
    <t>ספר ישעיה &lt;נחמות ציון&gt;</t>
  </si>
  <si>
    <t>שמואל בן יחיאל מהופנברוק</t>
  </si>
  <si>
    <t>ספר ישעיהו &lt;עם פירוש מלבי"ם&gt;</t>
  </si>
  <si>
    <t>תנ"ך. תר"ט. קרוטושין</t>
  </si>
  <si>
    <t>ספר כריתות &lt;התחלת חכמה&gt;</t>
  </si>
  <si>
    <t>ספר כריתות &lt;מעט צר"י ושערי המדות&gt;</t>
  </si>
  <si>
    <t>נושאים שונים, תולדות עם ישראל, תולדות עם ישראל, תלמוד בבלי, תלמוד בבלי, תפלות בקשות פיוטים ושירה</t>
  </si>
  <si>
    <t>ספר כריתות &lt;מעט צרי ושערי המדות&gt;</t>
  </si>
  <si>
    <t>ספר כריתות &lt;עיטור סופרים&gt;</t>
  </si>
  <si>
    <t>נושאים שונים, שאר ספרי חז"ל, תולדות עם ישראל, תולדות עם ישראל, תלמוד בבלי, תלמוד בבלי</t>
  </si>
  <si>
    <t>ספר כריתות &lt;עם פירוש ליקוטי מרדכי&gt;</t>
  </si>
  <si>
    <t>ספר כריתות</t>
  </si>
  <si>
    <t>ספר כריתות - 3 כר'</t>
  </si>
  <si>
    <t>רע"ו</t>
  </si>
  <si>
    <t>ספר כרתי &lt;ספר המדע&gt; - המבואר</t>
  </si>
  <si>
    <t>ספר כתוב</t>
  </si>
  <si>
    <t>בונימוביץ, אברהם אליהו בן חיים הלוי</t>
  </si>
  <si>
    <t>ספר מבי"ט</t>
  </si>
  <si>
    <t>רובינשטיין, משולם בן יחיאל</t>
  </si>
  <si>
    <t>קיש-קרש Kiskoeroes</t>
  </si>
  <si>
    <t>ספר מהלך</t>
  </si>
  <si>
    <t>ספר מהרי"ל &lt;שאל שלמה&gt;</t>
  </si>
  <si>
    <t>אלעזר זלמן בן יעקב מסאנט גואר</t>
  </si>
  <si>
    <t>ספר מהרי"ל &lt;עם מזרח שמש ועין השמש&gt;</t>
  </si>
  <si>
    <t>ספר מהרי"ל - 4 כר'</t>
  </si>
  <si>
    <t>ספר מוסר &lt;פרקי אבות&gt;</t>
  </si>
  <si>
    <t>ספר מוסר</t>
  </si>
  <si>
    <t>ספר מחכים &lt;ספר המחכים&gt;</t>
  </si>
  <si>
    <t>נתן בן יהודה</t>
  </si>
  <si>
    <t>ספר מירון</t>
  </si>
  <si>
    <t>הגלילי, יוסף</t>
  </si>
  <si>
    <t>ספר מלים &lt;יאסטרוב&gt; - 2 כר'</t>
  </si>
  <si>
    <t>מרקוס יאסטרוב</t>
  </si>
  <si>
    <t>ספר מנהגים דבי מהר"ם</t>
  </si>
  <si>
    <t>ספר מנהגים דקהלתנו פיורדא יצ"ו &lt;מנהגים דקהילתינו&gt;</t>
  </si>
  <si>
    <t>ספר מעשיות</t>
  </si>
  <si>
    <t>ספר מצוות גדול (סמ"ג)</t>
  </si>
  <si>
    <t>משה בן יעקב מקוצי</t>
  </si>
  <si>
    <t>ספר מצוות הערוך - 3 כר'</t>
  </si>
  <si>
    <t>לקט ספרי מצוות ואזהרות</t>
  </si>
  <si>
    <t>ספר מצות גדול (סמ"ג) &lt;עם אוסף פירושים&gt; - 4 כר'</t>
  </si>
  <si>
    <t>משה בן יעקב מקוצי - אוסף פירושים</t>
  </si>
  <si>
    <t>ספר מצות גדול (סמ"ג) &lt;ברית משה&gt; - 2 כר'</t>
  </si>
  <si>
    <t>משה בן יעקב מקוצי -וויס, משה חיים בן אברהם אהרן</t>
  </si>
  <si>
    <t>תרס"ה  - תשי"ט</t>
  </si>
  <si>
    <t>מונקץ' Mukachevo - נ</t>
  </si>
  <si>
    <t>ספר מצות גדול (סמ"ג) - 4 כר'</t>
  </si>
  <si>
    <t>ספר מצות גדול - עשין</t>
  </si>
  <si>
    <t>ספר מצות הגדול</t>
  </si>
  <si>
    <t>ספר מרדכי - בבא מציעא</t>
  </si>
  <si>
    <t>ספר מרי"ח ניחוח - א</t>
  </si>
  <si>
    <t>ספר משבח - 2 כר'</t>
  </si>
  <si>
    <t>סנט לואיס,</t>
  </si>
  <si>
    <t>ספר משבי"ח - 3 כר'</t>
  </si>
  <si>
    <t>ספר משלי &lt;כפלים לתושיה, משל ומליצה, מפורש, דברי חכמים&gt;</t>
  </si>
  <si>
    <t>ספר משלי &lt;בינה במקרא&gt;</t>
  </si>
  <si>
    <t>ספר משלי בדברי חז"ל עם ביאור דברי יעקב - 2 כר'</t>
  </si>
  <si>
    <t>שכטר, יעקב בן אברהם</t>
  </si>
  <si>
    <t>ספר משלי עם ביאורי מהר"ל מפראג</t>
  </si>
  <si>
    <t>יהודה ליווא בן בצלאל (מהר"ל) - גרומן, פנחס</t>
  </si>
  <si>
    <t>ספר משלי עם פירוש דבר ירושלים</t>
  </si>
  <si>
    <t>ספר נחמד</t>
  </si>
  <si>
    <t>ספר נטריקן</t>
  </si>
  <si>
    <t>ספר ניר - 3 כר'</t>
  </si>
  <si>
    <t>שאפיט, מאיר מארים בן משה</t>
  </si>
  <si>
    <t>תרל"ה - תרצ"ב</t>
  </si>
  <si>
    <t>ספר נמוקי יוסף לר' יוסף חביבא - תדפיס</t>
  </si>
  <si>
    <t>ספר נפלאות</t>
  </si>
  <si>
    <t>פינחס יהודה ליב מלייפניק</t>
  </si>
  <si>
    <t>ספר נפתלי &lt;נפתולי אלקים נפתלתי&gt; - 3 כר'</t>
  </si>
  <si>
    <t>ספר סגולה להציל נפשות. וגם אן שפראך</t>
  </si>
  <si>
    <t>ספר סגולות - לחם שלמה  - מפעלות אלהים - עשר אותות</t>
  </si>
  <si>
    <t>הקרחי, שלום בן יוסף - הכהן , שלמה בן דוד - שמואל מגרמיזא - מה טוב, יאיר</t>
  </si>
  <si>
    <t>ספר סוכה וארבעת המינים</t>
  </si>
  <si>
    <t>ספר סטטיסטי לארץ ישראל תרפ"ט - 1929</t>
  </si>
  <si>
    <t>גורביץ, דוד בן שלמה נח</t>
  </si>
  <si>
    <t>ספר סמד"ר</t>
  </si>
  <si>
    <t>גוזלאן, מסעוד בן יוסף</t>
  </si>
  <si>
    <t>ספר סניגור - 3 כר'</t>
  </si>
  <si>
    <t>בארו, ישעיה בן בן-ציון</t>
  </si>
  <si>
    <t>ספר סת"ם</t>
  </si>
  <si>
    <t>ספר עברנות שע"ה</t>
  </si>
  <si>
    <t>עברונות. שע"ה</t>
  </si>
  <si>
    <t>ספר עזרא</t>
  </si>
  <si>
    <t>ספר עצרת - 3 כר'</t>
  </si>
  <si>
    <t>צלניק, נחמן הלוי</t>
  </si>
  <si>
    <t>ספר פזמונים</t>
  </si>
  <si>
    <t>ספר פסקים לר"י הזקן ר"ת ושאר בעלי תוספות</t>
  </si>
  <si>
    <t>ספר צב"א</t>
  </si>
  <si>
    <t>לוין, צבי הירש בן אברהם הלוי</t>
  </si>
  <si>
    <t>דרושים, דרושים, דרושים, מועדי ישראל, שאלות ותשובות, שלחן ערוך ומפרשיו, תנ"ך</t>
  </si>
  <si>
    <t>ספר צהר</t>
  </si>
  <si>
    <t>רובינזון, צבי הירש בן יצחק אייזיק</t>
  </si>
  <si>
    <t>ספר צחות</t>
  </si>
  <si>
    <t>ספר קדושה</t>
  </si>
  <si>
    <t>ספר קדושים</t>
  </si>
  <si>
    <t>אונגר, מנשה</t>
  </si>
  <si>
    <t>ספר קהלת &lt;עם ביאור כוכב מיעקב ושבט מאפרים&gt;</t>
  </si>
  <si>
    <t>אבן-ברוך, ברוך בן משה - אפרים בן צבי הירש הלוי</t>
  </si>
  <si>
    <t>ספר קהלת &lt;דרך החיים&gt;</t>
  </si>
  <si>
    <t>ספר קושיות</t>
  </si>
  <si>
    <t>לא נודע למי</t>
  </si>
  <si>
    <t>ספר קטן &lt;פירושו הודו, כונות מקוה&gt;</t>
  </si>
  <si>
    <t>ספר קצור על פי בן איש חי - שנה א</t>
  </si>
  <si>
    <t>הכהן, דניאל עזרא</t>
  </si>
  <si>
    <t>ספר קרניים &lt;דן ידין - 2 כר'</t>
  </si>
  <si>
    <t>אהרן בן אברהם מקרדינא - שמשון בן פסח מאוסטרופולי</t>
  </si>
  <si>
    <t>תתשנ"ו</t>
  </si>
  <si>
    <t>ספר קרניים &lt;דן ידין - פרשת אליעזר&gt;</t>
  </si>
  <si>
    <t>אהרן בן אברהם מקרדינא</t>
  </si>
  <si>
    <t>ספר קרניים &lt;דן ידין&gt; - 2 כר'</t>
  </si>
  <si>
    <t>ספר קרניים &lt;קרן הצבי&gt;</t>
  </si>
  <si>
    <t>ספר קרניים</t>
  </si>
  <si>
    <t>ספר רב אלפס - 4 כר'</t>
  </si>
  <si>
    <t>רפ"א-רפ"ב</t>
  </si>
  <si>
    <t>ספר רב מרדכי - 2 כר'</t>
  </si>
  <si>
    <t>ספר רבותינו</t>
  </si>
  <si>
    <t>ספר רבי שמעון בר יוחאי</t>
  </si>
  <si>
    <t>דייטש, יוסף יצחק</t>
  </si>
  <si>
    <t>ספר רחל</t>
  </si>
  <si>
    <t>ספר ריקאנטי &lt;מעשה בצלאל&gt;</t>
  </si>
  <si>
    <t>ריקאנאטי, מנחם בן בנימין - לוריא, משה בצלאל בן שרגא פייבוש</t>
  </si>
  <si>
    <t>ספר רמ"ז</t>
  </si>
  <si>
    <t>ספר רפואות הגדול</t>
  </si>
  <si>
    <t>ליינר, חיים שמחה</t>
  </si>
  <si>
    <t>ספר רפואות - חבל מנשה</t>
  </si>
  <si>
    <t>משה בן מימון (רמב"ם) - גרוסברג, מנשה בן יחזקאל יונה</t>
  </si>
  <si>
    <t>תרס"ד-תרס"ה</t>
  </si>
  <si>
    <t>ספר רפואות</t>
  </si>
  <si>
    <t>סגולות ורפואות. תרפ"ז</t>
  </si>
  <si>
    <t>ספר רקח &lt;מהדורת רוזנפלד&gt; - הקדמה הלכות חסידות</t>
  </si>
  <si>
    <t>ספר רש"י</t>
  </si>
  <si>
    <t>ספר שאילתות &lt;העמק שאלה - 3 כר'</t>
  </si>
  <si>
    <t>תרכ"א - תרכ"ז</t>
  </si>
  <si>
    <t>ספר שאילתות &lt;העמק שאלה&gt; - 3 כר'</t>
  </si>
  <si>
    <t>ספר שאילתות &lt;שאילת שלום, ראשון לציון - 2 כר'</t>
  </si>
  <si>
    <t>ספר שאילתות &lt;שאילת שלום, שואל כענין&gt;</t>
  </si>
  <si>
    <t>ספר שבטיאל</t>
  </si>
  <si>
    <t>מחקרים בלשון העברית ובמסורות העדות</t>
  </si>
  <si>
    <t>ספר שופטים בגובה חז"ל</t>
  </si>
  <si>
    <t>רוזן, ישראל בן דב</t>
  </si>
  <si>
    <t>ספר שירים</t>
  </si>
  <si>
    <t>מאנצור, צאלח בן יעקב</t>
  </si>
  <si>
    <t>ספר של תריג מצות</t>
  </si>
  <si>
    <t>ספר שמואל &lt;עם פירוש בגרמנית&gt; - שמואל א</t>
  </si>
  <si>
    <t>וולף,פנחס</t>
  </si>
  <si>
    <t>ספר שמוש - 2 כר'</t>
  </si>
  <si>
    <t>ספר שמות</t>
  </si>
  <si>
    <t>שמחה בן גרשון הכהן</t>
  </si>
  <si>
    <t>ספר שמירה וסגולה &lt;כת"י&gt;</t>
  </si>
  <si>
    <t>חיבורים שונים בכתב יד</t>
  </si>
  <si>
    <t>ספר שמירה, תפלות סגולות ורפואות (כת"י)</t>
  </si>
  <si>
    <t>צלא התפרש</t>
  </si>
  <si>
    <t>ספר שער השמים - 2 כר'</t>
  </si>
  <si>
    <t>גרשון בן שלמה</t>
  </si>
  <si>
    <t>ספר שעשועים</t>
  </si>
  <si>
    <t>אבן-זבארה, יוסף בן מאיר</t>
  </si>
  <si>
    <t>ספר תגין - 2 כר'</t>
  </si>
  <si>
    <t>ספר תגין</t>
  </si>
  <si>
    <t>ספר תגמולי הנפש</t>
  </si>
  <si>
    <t>הלל בן שמואל מווירונה</t>
  </si>
  <si>
    <t>ספר תהילים עם פירוש רבי אברהם בן רמוך</t>
  </si>
  <si>
    <t>בן רמוך, אברהם בן חיים</t>
  </si>
  <si>
    <t>ספר תהלים &lt;קדש הלולים - 2 כר'</t>
  </si>
  <si>
    <t>ספר תהלים &lt;אור עולם&gt;</t>
  </si>
  <si>
    <t>ספר תהלים &lt;תהלת ה'&gt;</t>
  </si>
  <si>
    <t>ספר תהלים &lt;כפלים לתושיה&gt;</t>
  </si>
  <si>
    <t>ספר תהלים &lt;דברי משה&gt;</t>
  </si>
  <si>
    <t>לאנדסברג, משה</t>
  </si>
  <si>
    <t>ספר תהלים &lt;עתרת רחמים, נאוה תהילה&gt;</t>
  </si>
  <si>
    <t>מלמד, רחמים הכהן - מלמד, יעקב חיים הכהן</t>
  </si>
  <si>
    <t>ספר תהלים &lt;משפט צדק&gt; - 2 כר'</t>
  </si>
  <si>
    <t>ספר תהלים &lt;תהלות סופרים&gt;</t>
  </si>
  <si>
    <t>סופר, אברהם שמואל בנימין בן משה - ארנפלד, שמואל בן דוד צבי</t>
  </si>
  <si>
    <t>ספר תהלים &lt;ע"פ שלמה עתיה&gt;</t>
  </si>
  <si>
    <t>עטיה, שלמה בן שם-טוב</t>
  </si>
  <si>
    <t>ש"ט</t>
  </si>
  <si>
    <t>ספר תהלים &lt;חלק הדקדוק&gt;</t>
  </si>
  <si>
    <t>ספר תהלים &lt;תהלות שמואל&gt;</t>
  </si>
  <si>
    <t>רולניק, שמואל אליעזר</t>
  </si>
  <si>
    <t>ספר תהלים המבואר והמדויק עטרת פז</t>
  </si>
  <si>
    <t>ספר תהלים המפואר עם ביאור תפילה למשה</t>
  </si>
  <si>
    <t>ספר תהלים ומעמדות &lt;עם ילקוט, ועוד פירושים והוספות&gt;</t>
  </si>
  <si>
    <t>תנ"ך. תרמ"ז. וילנה</t>
  </si>
  <si>
    <t>ספר תהלים ושירי ציון בחרוזים</t>
  </si>
  <si>
    <t>יפה, בן ציון</t>
  </si>
  <si>
    <t>ספר תהלים יוסף חיים</t>
  </si>
  <si>
    <t>ספר תהלים ע"פ קן צפור</t>
  </si>
  <si>
    <t>לנגנר, יצחק אייזק</t>
  </si>
  <si>
    <t>ספר תהלים עם פירוש אשרי האיש</t>
  </si>
  <si>
    <t>ספר תהלים עם פירוש המהר"ל מפראג</t>
  </si>
  <si>
    <t>ספר תהלים עם פירוש עצי חיים</t>
  </si>
  <si>
    <t>טייטלבוים, חיים צבי</t>
  </si>
  <si>
    <t>ספר תהלים עם פירוש פנים יפות השלם</t>
  </si>
  <si>
    <t>ספר תהלים עם פירוש פשוטו של מקרא</t>
  </si>
  <si>
    <t>פנחס, יצחק אריה ליב בן אברהם צבי</t>
  </si>
  <si>
    <t>ספר תהלים עם פירוש רד"ק</t>
  </si>
  <si>
    <t>ספר תהלים עם פירוש תהלה לדוד - 3 כר'</t>
  </si>
  <si>
    <t>ווראמאן, אברהם דוד בן אשר</t>
  </si>
  <si>
    <t>ספר תהלים עם פירושי רד"ק ור' יוסף חיון</t>
  </si>
  <si>
    <t>רבי דוד קמחי, רבי יוסף חיון</t>
  </si>
  <si>
    <t>ספר תהלים עם פירש"י מבואר ומפורש</t>
  </si>
  <si>
    <t>ספר תהלים - משה פירש</t>
  </si>
  <si>
    <t>ספר תורה המיוחד של הרה"ק מאפטא</t>
  </si>
  <si>
    <t>הופמן, יעקב</t>
  </si>
  <si>
    <t>ספר תקנות - עדת ישראל אורטודוקסים דיאהאנגעסבורג</t>
  </si>
  <si>
    <t>ספר תקנות</t>
  </si>
  <si>
    <t>ספר תרי"ג מצות</t>
  </si>
  <si>
    <t>אוחנה, נסים בנימין</t>
  </si>
  <si>
    <t>ספר תשב"ץ &lt;תשב"ץ קטן&gt; ע"פ שבעת הנרות</t>
  </si>
  <si>
    <t>שמשון בן צדוק - לוריא, משה בצלאל בן שרגא פייבוש</t>
  </si>
  <si>
    <t>ספר תשב"ץ &lt;תשב"ץ קטן&gt; ע"פ שבעת הנרות והוספות</t>
  </si>
  <si>
    <t>ספר תשב"ץ &lt;תשב"ץ קטן&gt; - 3 כר'</t>
  </si>
  <si>
    <t>שמשון בן צדוק</t>
  </si>
  <si>
    <t>ספר תשב"ץ &lt;תשב"ץ קטן&gt; &lt;מהדורת שניאורסון&gt;</t>
  </si>
  <si>
    <t>ספר תשובות &lt;תלמידי מנחם ותלמיד דונש&gt;</t>
  </si>
  <si>
    <t>שטרן, שלמה זלמן בן גוטליב</t>
  </si>
  <si>
    <t>ספרא &lt;דפו"ר&gt; - 2 כר'</t>
  </si>
  <si>
    <t>ספרא. ש"ה</t>
  </si>
  <si>
    <t>ש"ה - ש"ו</t>
  </si>
  <si>
    <t>ספרא &lt;ר"ש משאנץ&gt;</t>
  </si>
  <si>
    <t>ספרא דאגדתא</t>
  </si>
  <si>
    <t>ליבוביץ,  נחמיה שמואל</t>
  </si>
  <si>
    <t>ספרא דאפטרתא - ביאור על ההפטרות</t>
  </si>
  <si>
    <t>אופמן, אברהם חיים</t>
  </si>
  <si>
    <t>ספרא דבי רב &lt;מלבי"ם&gt;</t>
  </si>
  <si>
    <t>ספרא דבי רב &lt;מהדורת פינקלשטיין&gt; - 5 כר'</t>
  </si>
  <si>
    <t>תורת כהנים</t>
  </si>
  <si>
    <t>ספרא דבי רב</t>
  </si>
  <si>
    <t>ספרא. תשי"ט</t>
  </si>
  <si>
    <t>ספרא דצניעותא &lt;הגר"א&gt; - 3 כר'</t>
  </si>
  <si>
    <t>ספרא דצניעותא &lt;פירוש הגר"א - מהדורה חדשה&gt;</t>
  </si>
  <si>
    <t>ספרא דצניעותא &lt;יפה שעה&gt;</t>
  </si>
  <si>
    <t>ספרא דצניעותא &lt;נתיבות יאיר&gt;</t>
  </si>
  <si>
    <t>ספרא דצניעותא &lt;הגר"א&gt; עם הערות כ"י מבעל הלשם - 2 כר'</t>
  </si>
  <si>
    <t>זוהר. ספרא דצניעותא. תרמ"ב</t>
  </si>
  <si>
    <t>ספרא דצניעותא דיעקב - 2 כר'</t>
  </si>
  <si>
    <t>תמרליש, יעקב בן אליעזר</t>
  </si>
  <si>
    <t>ספרא דשלמה</t>
  </si>
  <si>
    <t>טויבער, עמרם נתן הלוי</t>
  </si>
  <si>
    <t>ספרא חדתא</t>
  </si>
  <si>
    <t>ספרא רבה דישראל</t>
  </si>
  <si>
    <t>שטרסר, יהודה הכהן -  פרל, אהרן הכהן</t>
  </si>
  <si>
    <t>ספרא - א</t>
  </si>
  <si>
    <t>כהן, שמואל מניו יורק</t>
  </si>
  <si>
    <t>ספרד וגירוש קנ"א</t>
  </si>
  <si>
    <t>ספרו של בדאי</t>
  </si>
  <si>
    <t>ספרות ישראל - 4 כר'</t>
  </si>
  <si>
    <t>שטיינשניידר, משה בן יעקב</t>
  </si>
  <si>
    <t>ספרות ציונית דתית</t>
  </si>
  <si>
    <t>ספרי &lt;הגהות הגר"א כת"י&gt;</t>
  </si>
  <si>
    <t>ספרי &lt;מאיר עין&gt;</t>
  </si>
  <si>
    <t>ספרי תרכ"ד. איש שלום, מאיר</t>
  </si>
  <si>
    <t>ספרי &lt;מהדורת פינקלשטיין&gt;</t>
  </si>
  <si>
    <t>ספרי</t>
  </si>
  <si>
    <t>ספרי &lt;דפו"ר&gt; - 2 כר'</t>
  </si>
  <si>
    <t>ספרי. ש"ו</t>
  </si>
  <si>
    <t>ספרי &lt;עם קונטרס אחרון&gt;</t>
  </si>
  <si>
    <t>ספרי. תקס"ב</t>
  </si>
  <si>
    <t>ספרי &lt;זרע אברהם&gt;</t>
  </si>
  <si>
    <t>ספרי. תקע"א</t>
  </si>
  <si>
    <t>תקע"א - תק"פ</t>
  </si>
  <si>
    <t>ספרי &lt;הגהות הגר"א&gt;</t>
  </si>
  <si>
    <t>ספרי. תרכ"ו</t>
  </si>
  <si>
    <t>ספרי &lt;מהדורת פינקלשטיין הורביץ&gt; - דברים</t>
  </si>
  <si>
    <t>ספרי. תשנ"ג</t>
  </si>
  <si>
    <t>ירושלים ניו יורק</t>
  </si>
  <si>
    <t>ספרי אבות החסידות בארץ הקודש</t>
  </si>
  <si>
    <t>לקט ספרים</t>
  </si>
  <si>
    <t>ספרי אר"ץ</t>
  </si>
  <si>
    <t>הראל, ירון</t>
  </si>
  <si>
    <t>ספרי במדבר - 3 כר'</t>
  </si>
  <si>
    <t>ספרי במדבר - גירסת הגר"א</t>
  </si>
  <si>
    <t>ספרי בעל הפרדס - 2 כר'</t>
  </si>
  <si>
    <t>ספרי ברוך (אהל ברוך)</t>
  </si>
  <si>
    <t>שטרויס, ברוך בן יעקב מאיר</t>
  </si>
  <si>
    <t>ספרי דאגדתא על מגילת אסתר &lt;לקח טוב&gt;</t>
  </si>
  <si>
    <t>ספרי דאגדתא על מגילת אסתר</t>
  </si>
  <si>
    <t>ספרי דבי רב וספרא זוטא &lt;מהדורת פינקלשטיין הורביץ&gt; - במדבר</t>
  </si>
  <si>
    <t>ספרי דבי רב - 5 כר'</t>
  </si>
  <si>
    <t>ספרי הזכרונות לסיר משה מונטיפיורי ורעיתו יהודית - 2 כר'</t>
  </si>
  <si>
    <t>ספרי החפץ חיים באידיש - 3 כר'</t>
  </si>
  <si>
    <t>כהן, ישראל מאיר בן אריה זאב- קויפמן, צבי בן נתן נטע</t>
  </si>
  <si>
    <t>ספרי המגיד מקאזניץ - יקר מפז, שארית ישראל, תהלות ישראל, אבות ישראל</t>
  </si>
  <si>
    <t>ספרי הערכים בקבלה - מאורי אור, ציצים ופרחים, כל הנקרא בשמי</t>
  </si>
  <si>
    <t>ספרי הרה"ק רבי שמעלקא - תולדות שמואל, דברי שמואל, אמרי שמואל</t>
  </si>
  <si>
    <t>ספרי הרשב"א - 2 כר'</t>
  </si>
  <si>
    <t>משנה, שאלות ותשובות, תולדות עם ישראל, תלמוד בבלי</t>
  </si>
  <si>
    <t>ספרי הרשב"ש - 5 כר'</t>
  </si>
  <si>
    <t>בן שלמה, שובאל בן אלעזר</t>
  </si>
  <si>
    <t>ספרי התורה של אבות החסידות</t>
  </si>
  <si>
    <t>ספרי התנאים בתקופת הגאונים</t>
  </si>
  <si>
    <t>ספרי זוטא &lt;ספירי אפרים&gt;</t>
  </si>
  <si>
    <t>ספרי זוטא במדבר - מתוך הילקוט שמעוני ומקורות אחרים</t>
  </si>
  <si>
    <t>הורוביץ, ש.ח.</t>
  </si>
  <si>
    <t>ספרי זוטא - 2 כר'</t>
  </si>
  <si>
    <t>ספרי זוטא. תרנ"ה</t>
  </si>
  <si>
    <t>תרנ"ה -תרס"ז</t>
  </si>
  <si>
    <t>פלשן Pleszew</t>
  </si>
  <si>
    <t>ספרי זוטא - 3 כר'</t>
  </si>
  <si>
    <t>ספרי זוטא. תרפ"ט</t>
  </si>
  <si>
    <t>ספרי חיים</t>
  </si>
  <si>
    <t>ספרי מוסד הרב קוק</t>
  </si>
  <si>
    <t>ספרי מנחם מנדל - 37 כר'</t>
  </si>
  <si>
    <t>ספרי על ספר דברים</t>
  </si>
  <si>
    <t>ספרי. ת"ש</t>
  </si>
  <si>
    <t>ספרי קבלת הגאונים</t>
  </si>
  <si>
    <t>ספרי ר"א מגרמייזא בעל הרוקח - 2 כר'</t>
  </si>
  <si>
    <t>ספרי ראשונים</t>
  </si>
  <si>
    <t>ספרי רבותינו לימי הקיץ</t>
  </si>
  <si>
    <t>ספרי רבותינו לפסח</t>
  </si>
  <si>
    <t>רבותינו לבית גור</t>
  </si>
  <si>
    <t>ספרי רבי אליעזר ידיד הלוי &lt;שבחי מהר"ם&gt;</t>
  </si>
  <si>
    <t>דרושים, מחשבה ומוסר, נושאים שונים, קבלה, תפלות בקשות פיוטים ושירה</t>
  </si>
  <si>
    <t>ספרי רבינו סעדיה גאון - ספר הירושות</t>
  </si>
  <si>
    <t>תרנ"ג - תרנ"ט</t>
  </si>
  <si>
    <t>ספרי שמירת מצוות כהלכתן - 4 כר'</t>
  </si>
  <si>
    <t>גרוס, שלום יהודה (וליקוטי ספרים)</t>
  </si>
  <si>
    <t>ספרי - 3 כר'</t>
  </si>
  <si>
    <t>ספרי - 2 כר'</t>
  </si>
  <si>
    <t>הילל בן אליקים מארץ יוון</t>
  </si>
  <si>
    <t>ספרי - &lt;הורוויץ&gt;</t>
  </si>
  <si>
    <t>ספרי. תרע"ז</t>
  </si>
  <si>
    <t>ספרי - עם פירוש המיוחס לראב"ד</t>
  </si>
  <si>
    <t>ספרי. תשס"ט. ע"פ המיוחס לראב"ד</t>
  </si>
  <si>
    <t>ספרים  בספרדית - כשרות</t>
  </si>
  <si>
    <t>טבצ'ניק, דוד</t>
  </si>
  <si>
    <t>ספרים באנגלית - ציבי ציונים מדור דור</t>
  </si>
  <si>
    <t>שיקאגו</t>
  </si>
  <si>
    <t>ספרים באנגלית - A Rabbi's Faith</t>
  </si>
  <si>
    <t>ספרים באנגלית - TALES FROM THE ZOHAR 1</t>
  </si>
  <si>
    <t>ספרים באנגלית - 9 כר'</t>
  </si>
  <si>
    <t>ספרים באנגלית - 4 כר'</t>
  </si>
  <si>
    <t>ספרים באנגלית - 2 כר'</t>
  </si>
  <si>
    <t>ספרים באנגלית - What The Jews Belive</t>
  </si>
  <si>
    <t>ספרים באנגלית - Introduction to Rabbi Samson Raphael Hirsch's commentary on the</t>
  </si>
  <si>
    <t>ספרים באנגלית - JEWISH FOLK ART OVER THE AGES</t>
  </si>
  <si>
    <t>ספרים באנגלית - A WORD IN SEASON</t>
  </si>
  <si>
    <t>ספרים באנגלית - The Eternal Fount</t>
  </si>
  <si>
    <t>ספרים באנגלית  - TOWARD SINAI</t>
  </si>
  <si>
    <t>ספרים באנגלית - The Ten Commandments in a changing world</t>
  </si>
  <si>
    <t>ספרים באנגלית - The Jewish Festivals</t>
  </si>
  <si>
    <t>ספרים באנגלית - A NEW WORLD IS BORN</t>
  </si>
  <si>
    <t>ספרים באנגלית - A GUIDE to shatbez</t>
  </si>
  <si>
    <t>ספרים באנגלית - ESSENCE OF THE JEWISH HOLIDAYS</t>
  </si>
  <si>
    <t>ספרים באנגלית - מדריך למחזור של ר"ה ויוה"כ</t>
  </si>
  <si>
    <t>ספרים באנגלית - Best Jewish Sermons of 5715-5716</t>
  </si>
  <si>
    <t>ספרים באנגלית - BAR MITZVAH</t>
  </si>
  <si>
    <t>ספרים באנגלית - AUTHORITATIVE RESPONSES</t>
  </si>
  <si>
    <t>ספרים באנגלית - The Yom Kippur Avodah</t>
  </si>
  <si>
    <t>ספרים באנגלית - THE UPROOTED</t>
  </si>
  <si>
    <t>ספרים באנגלית - חיים בריאים כהלכה</t>
  </si>
  <si>
    <t>ספרים באנגלית - 3 כר'</t>
  </si>
  <si>
    <t>ספרים באנגלית - the housekeeper in the home</t>
  </si>
  <si>
    <t>ספרים באנגלית - The Lesson of AMALEK</t>
  </si>
  <si>
    <t>ספרים באנגלית - 36 כר'</t>
  </si>
  <si>
    <t>ספרים באנגלית - THE JEWISH MONETARY CODE OF TEN PER CENT</t>
  </si>
  <si>
    <t>ספרים באנגלית - Days of splndor</t>
  </si>
  <si>
    <t>ספרים באנגלית - 13 כר'</t>
  </si>
  <si>
    <t>ספרים באנגלית - עיונים שביבים ובאורים על הגדה של פסח</t>
  </si>
  <si>
    <t>ספרים באנגלית - מנחת ישראל - כיבוד אב ואם</t>
  </si>
  <si>
    <t>ספרים באנגלית - THE JEWISH SABBATH</t>
  </si>
  <si>
    <t>ספרים באנגלית - The Sun Cycle</t>
  </si>
  <si>
    <t>ספרים באנגלית - עיוני תפילה</t>
  </si>
  <si>
    <t>ספרים באנגלית - THE ISHMAELITE EXILE</t>
  </si>
  <si>
    <t>ספרים באנגלית - HUSBAND AND WIFE</t>
  </si>
  <si>
    <t>ספרים באנגלית - BAR MI</t>
  </si>
  <si>
    <t>ספרים באנגלית - הלכות נזקי שכנים</t>
  </si>
  <si>
    <t>שיקאגא Chicago</t>
  </si>
  <si>
    <t>ספרים באנגלית - אמור אל הכהנים</t>
  </si>
  <si>
    <t>ספרים באנגלית - TheMANHATTAN ERUV</t>
  </si>
  <si>
    <t>ספרים באנגלית - GUID TO MASECHET CHULIN - 2</t>
  </si>
  <si>
    <t>ספרים באנגלית - SHCHITA IN LIGHT OF THE YEAR 2000</t>
  </si>
  <si>
    <t>ספרים באנגלית - the stolen light</t>
  </si>
  <si>
    <t>ספרים באנגלית - our lost treasure</t>
  </si>
  <si>
    <t>ספרים באנגלית - סוד נצח ישראל</t>
  </si>
  <si>
    <t>אוקלנד Oakland</t>
  </si>
  <si>
    <t>ספרים באנגלית - guide to minhag ashkenaz &lt;גירסא זמנית&gt;</t>
  </si>
  <si>
    <t>ספרים באנגלית - OF SOCIETIES PERFECT AND IMPERFECT</t>
  </si>
  <si>
    <t>ספרים באנגלית - The Environment in Jewish Thought and Law</t>
  </si>
  <si>
    <t>ספרים באנגלית - REI'ACH HASADEH</t>
  </si>
  <si>
    <t>ספרים באנגלית - AKEIDA</t>
  </si>
  <si>
    <t>ספרים באנגלית - MEN of FAITH</t>
  </si>
  <si>
    <t>ספרים באנגלית - To Fill The Earth</t>
  </si>
  <si>
    <t>ספרים באנגלית - Sheva Kehillos</t>
  </si>
  <si>
    <t>ספרים באנגלית - נגילה ונשמחה</t>
  </si>
  <si>
    <t>ספרים באנגלית - 8 כר'</t>
  </si>
  <si>
    <t>ספרים באנגלית - The Conference of European Rabbis</t>
  </si>
  <si>
    <t>ספרים באנגלית - Bat Kohen To a Kohen</t>
  </si>
  <si>
    <t>ספרים באנגלית - Grasshoppersx and Locusts in Jewish Tradhition</t>
  </si>
  <si>
    <t>ספרים באנגלית - Mashgiach המשגיח (אנגלית)</t>
  </si>
  <si>
    <t>ספרים באנגלית - ranquiliy in the Home</t>
  </si>
  <si>
    <t>ספרים באנגלית - שיחות רבי משה אהרן שטרן</t>
  </si>
  <si>
    <t>ספרים באנגלית - BRESLEV a guide to life</t>
  </si>
  <si>
    <t>ספרים באנגלית - רבי אליעזר אשכנזי</t>
  </si>
  <si>
    <t>ספרים באנגלית - The Complete Gude To The Arba Minim</t>
  </si>
  <si>
    <t>ספרים באנגלית - Chasdei Hashem</t>
  </si>
  <si>
    <t>ספרים בגרמנית- Dr Leo Munk</t>
  </si>
  <si>
    <t>מרברוג</t>
  </si>
  <si>
    <t>ספרים בגרמנית - נפתולי נפתלי</t>
  </si>
  <si>
    <t>ספרים בגרמנית - Gedanken und anekdoten zu ben Wochenabschnitten</t>
  </si>
  <si>
    <t>ספרים בגרמנית - תורת נשים</t>
  </si>
  <si>
    <t>ספרים בגרמנית - אונקלוס ועקילס</t>
  </si>
  <si>
    <t>ספרים בגרמנית - DER BABYLONISCHE TALMUD</t>
  </si>
  <si>
    <t>- תלמוד בבלי. תרצ"ד. ברלין</t>
  </si>
  <si>
    <t>ספרים בגרמנית - 6 כר'</t>
  </si>
  <si>
    <t>-</t>
  </si>
  <si>
    <t>ספרים בגרמנית -</t>
  </si>
  <si>
    <t>ספרים בגרמנית - SHCHITA IM LICHTE DES JAHRES 2000</t>
  </si>
  <si>
    <t>ספרים בגרמנית - לבנון</t>
  </si>
  <si>
    <t>נובל, יוסף</t>
  </si>
  <si>
    <t>ספרים בגרמנית- HERMANN SCHWAB זצ"ל</t>
  </si>
  <si>
    <t>שוואב, הרמן</t>
  </si>
  <si>
    <t>ספרים בהולנדית - liepman philip prins</t>
  </si>
  <si>
    <t>ספרים בספרדית - 5 כר'</t>
  </si>
  <si>
    <t>ספרים בספרדית - 4 כר'</t>
  </si>
  <si>
    <t>ספרים בספרדית - 3 כר'</t>
  </si>
  <si>
    <t>ספרים בספרדית - DESPUES DE LA VIDA</t>
  </si>
  <si>
    <t>ספרים בספרדית - EL RAMBAM</t>
  </si>
  <si>
    <t>ספרים בספרדית - EL RECUERDO DEL ALMA</t>
  </si>
  <si>
    <t>ספרים בספרדית - SHULJAN HAMELEJ 1</t>
  </si>
  <si>
    <t>ספרים בספרדית - LA SENDA DE LOS JUSTOS</t>
  </si>
  <si>
    <t>ספרים בספרדית -  DIBER SHAUL</t>
  </si>
  <si>
    <t>ספרים בספרדית - EL EXILIO ISMAELITA</t>
  </si>
  <si>
    <t>ספרים בספרדית - חיים בריאים כהלכה</t>
  </si>
  <si>
    <t>ספרים בספרדית - 2 כר'</t>
  </si>
  <si>
    <t>ספרים בספרדית - משנה תורה לרמב"ם - זמנים</t>
  </si>
  <si>
    <t>ספרים בספרדית - קיצור הלכות נדה</t>
  </si>
  <si>
    <t>בויאר, יהודה</t>
  </si>
  <si>
    <t>ספרים בספרדית - נסים אדירים</t>
  </si>
  <si>
    <t>ספרים בספרדית - EXILIO DE YISHMAEL</t>
  </si>
  <si>
    <t>ספרים בספרדית - מגילת איכה וקינות</t>
  </si>
  <si>
    <t>ספרים בספרדית - 6 כר'</t>
  </si>
  <si>
    <t>ספרים בספרדית - נצור לשונך Guarde sua Fala</t>
  </si>
  <si>
    <t>פליסקין, זליג</t>
  </si>
  <si>
    <t>ברזיל</t>
  </si>
  <si>
    <t>ספרים בצרפתית - 2 כר'</t>
  </si>
  <si>
    <t>ספרים בצרפתית - 6 כר'</t>
  </si>
  <si>
    <t>ספרים בצרפתית - UNE ENTREPRISE A DEUX</t>
  </si>
  <si>
    <t>ספרים בצרפתית - Le Roi du monde</t>
  </si>
  <si>
    <t>ספרים בצרפתית - LA VOIE DE LHONNETETE</t>
  </si>
  <si>
    <t>ספרים בצרפתית - CHEERIT YAACUV - MICHKENOT YAACOV</t>
  </si>
  <si>
    <t>ספרים בצרפתית - MAIMONIDE</t>
  </si>
  <si>
    <t>ספרים בצרפתית - חיים בריאים כהלכה</t>
  </si>
  <si>
    <t>ספרים בצרפתית - חיים שבילי</t>
  </si>
  <si>
    <t>ספרים בצרפתית - HOUKE HANACHIM &lt;משל ונמשל&gt;</t>
  </si>
  <si>
    <t>מרסיי</t>
  </si>
  <si>
    <t>ספרים בצרפתית - לב אבות על בנים</t>
  </si>
  <si>
    <t>ספרים בצרפתית - LHOMME ET SON CHEMIN</t>
  </si>
  <si>
    <t>ספרים ברוסית - חיים בריאים כהלכה</t>
  </si>
  <si>
    <t>ספרים ברוסית - 5 כר'</t>
  </si>
  <si>
    <t>ספרים חמשה</t>
  </si>
  <si>
    <t>ספרים עבריים עתיקים - רשימה 38</t>
  </si>
  <si>
    <t>קטלוג במברגר את ואהרמן</t>
  </si>
  <si>
    <t>ספרים עברים עתיקים - 2 כר'</t>
  </si>
  <si>
    <t>ספרים שנתחברו בבבל וספרים שנעתקו בה</t>
  </si>
  <si>
    <t>ספרן של צדיקים - 3 כר'</t>
  </si>
  <si>
    <t>ספרן של ראשונים - תשובות ראב"י אב"ד, תשובות הרמב"ן, המנהגות, איסור משהו לראב"ד</t>
  </si>
  <si>
    <t>אסף, שמחה בן יהודה זאב, מו"ל</t>
  </si>
  <si>
    <t>סקירה לתולדות עדת היהודים הספרדים בירושלים.</t>
  </si>
  <si>
    <t>סקירה פרטית</t>
  </si>
  <si>
    <t>ירושלים. בית חינוך יתומים הכללי (לעדת הספרדים)</t>
  </si>
  <si>
    <t>סקר הועדה לבדיקת חילול בתי העלמין בהר הזיתים ובחברון</t>
  </si>
  <si>
    <t>הועדה לבדיקת חילול בתי העלמין</t>
  </si>
  <si>
    <t>סקרנות ופיזור הדעת</t>
  </si>
  <si>
    <t>סרדאהלי &lt;דונאסרדאהלי&gt; - ספר זכרון לקהילה</t>
  </si>
  <si>
    <t>סת"ם כהלכתן</t>
  </si>
  <si>
    <t>סתומים וחתומים</t>
  </si>
  <si>
    <t>סתירת זקנים</t>
  </si>
  <si>
    <t>סתרי ומגיני ישן וחדש</t>
  </si>
  <si>
    <t>סתרי ומגני</t>
  </si>
  <si>
    <t>סתרי תורה</t>
  </si>
  <si>
    <t>ע שמות דמטטרון</t>
  </si>
  <si>
    <t>עב הענן</t>
  </si>
  <si>
    <t>עבד אברהם</t>
  </si>
  <si>
    <t>פונטרימולי, אברהם</t>
  </si>
  <si>
    <t>עבד ה'</t>
  </si>
  <si>
    <t>מויאל, דוד</t>
  </si>
  <si>
    <t>עבד המלך &lt;מהדורה חדשה&gt;</t>
  </si>
  <si>
    <t>עבד המלך - עבדא דרבנן - ויקח עבדיהו</t>
  </si>
  <si>
    <t>עבד המלך - 9 כר'</t>
  </si>
  <si>
    <t>תש"י - תשכ"ה</t>
  </si>
  <si>
    <t>עבד לעבדי ה'</t>
  </si>
  <si>
    <t>עבד נאמן</t>
  </si>
  <si>
    <t>עבד נאמן - חייו ופועלו של הרב שלום לופס</t>
  </si>
  <si>
    <t>גפן-דרילמן, אריה</t>
  </si>
  <si>
    <t>זילברשטיין, משה מרדכי  בן צבי יצחק</t>
  </si>
  <si>
    <t>עבד פלא</t>
  </si>
  <si>
    <t>לוי</t>
  </si>
  <si>
    <t>עבדא דמלכא</t>
  </si>
  <si>
    <t>זוננא, עובדיה בן סימון</t>
  </si>
  <si>
    <t>עבדו את ה' בשמחה - תפילה</t>
  </si>
  <si>
    <t>עבדו את ה' בשמחה</t>
  </si>
  <si>
    <t>עבדו את ה' בשמחה, ולא תתרו</t>
  </si>
  <si>
    <t>עבדי המלך</t>
  </si>
  <si>
    <t>עבדי יעקב</t>
  </si>
  <si>
    <t>גפן, בנימין</t>
  </si>
  <si>
    <t>עבודה ברורה - 5 כר'</t>
  </si>
  <si>
    <t>עבודה ברורה - ראש השנה - ג</t>
  </si>
  <si>
    <t>עבודה ברורה - הוריות</t>
  </si>
  <si>
    <t>אבוטבול, יאיר</t>
  </si>
  <si>
    <t>עבודה ברורה - 2 כר'</t>
  </si>
  <si>
    <t>מכון נפש שלמה</t>
  </si>
  <si>
    <t>עבודה ברורה - 12 כר'</t>
  </si>
  <si>
    <t>מכון עבודה ברורה</t>
  </si>
  <si>
    <t>עבודה ומורה דרך</t>
  </si>
  <si>
    <t>עבודה שבלב</t>
  </si>
  <si>
    <t>סידור.</t>
  </si>
  <si>
    <t>עבודה שבלב - יד גבריאל (סדור בכתב אשורית)</t>
  </si>
  <si>
    <t>תפילות. סידור. תש"נ. ירושלים</t>
  </si>
  <si>
    <t>עבודה תמה - 2 כר'</t>
  </si>
  <si>
    <t>מעמדות. תקצ"ו. וילנה</t>
  </si>
  <si>
    <t>עבודה תמה</t>
  </si>
  <si>
    <t>תפילות. עבודה. תרס"ג</t>
  </si>
  <si>
    <t>מועדי ישראל, נושאים שונים, תפלות בקשות פיוטים ושירה, תפלות בקשות פיוטים ושירה</t>
  </si>
  <si>
    <t>תפילות. עבודה. תרע"ב</t>
  </si>
  <si>
    <t>עבודה תמימה</t>
  </si>
  <si>
    <t>עבודת אהרן השלם</t>
  </si>
  <si>
    <t>פיינזילבר, אהרן יוסף בן אריה הלוי</t>
  </si>
  <si>
    <t>עבודת אהרן</t>
  </si>
  <si>
    <t>שכטר, אהרן משה</t>
  </si>
  <si>
    <t>עבודת אמת - ב</t>
  </si>
  <si>
    <t>מילר, יעקב יצחק בן משה מאיר</t>
  </si>
  <si>
    <t>עבודת אפרים - 2 כר'</t>
  </si>
  <si>
    <t>עבודת בורא</t>
  </si>
  <si>
    <t>שמעון עקיבא בר בן יוסף</t>
  </si>
  <si>
    <t>עבודת בנימין</t>
  </si>
  <si>
    <t>גילקרוב, יעקב ישראל</t>
  </si>
  <si>
    <t>עבודת בצלאל</t>
  </si>
  <si>
    <t>עבודת דוד - 9 כר'</t>
  </si>
  <si>
    <t>גולדברג, אהרן דוד בן יצחק הלוי</t>
  </si>
  <si>
    <t>עבודת ה'</t>
  </si>
  <si>
    <t>מנדלוביץ, שניאור זלמן בן מנחם מנדל</t>
  </si>
  <si>
    <t>עבודת האדם - פירוש על יונה בדרך הרמז ע"פ הגר"א</t>
  </si>
  <si>
    <t>עבודת האדמה</t>
  </si>
  <si>
    <t>אנדרלינד, ליאו</t>
  </si>
  <si>
    <t>עבודת הבורא - 3 כר'</t>
  </si>
  <si>
    <t>עבודת הבורא</t>
  </si>
  <si>
    <t>עבודת הגרשוני &lt;מהדורה חדשה&gt; - 2 כר'</t>
  </si>
  <si>
    <t>אשכנזי, גרשון בן יהודה</t>
  </si>
  <si>
    <t>עבודת הגרשוני תנינא</t>
  </si>
  <si>
    <t>עבודת הגרשוני</t>
  </si>
  <si>
    <t>עבודת הגרשוני - 2 כר'</t>
  </si>
  <si>
    <t>עבודת הגרשוני - 4 כר'</t>
  </si>
  <si>
    <t>קרלנשטיין, גרשון בן ירוחם פישל</t>
  </si>
  <si>
    <t>עבודת הזבח - 4 כר'</t>
  </si>
  <si>
    <t>עבודת החיים</t>
  </si>
  <si>
    <t>עבודת היום - יומא פרק יום הכיפורים</t>
  </si>
  <si>
    <t>עבודת היום</t>
  </si>
  <si>
    <t>אפיסדורף, יששכר דוב בר בן יוסף</t>
  </si>
  <si>
    <t>עבודת הימים הנוראים</t>
  </si>
  <si>
    <t>עבודת הכהן - סדר עבודת יום הכיפורים</t>
  </si>
  <si>
    <t>עבודת הכהן</t>
  </si>
  <si>
    <t>וולקובסקי, מרדכי בן יוסף הכהן</t>
  </si>
  <si>
    <t>תש"ז-(תש"ח,</t>
  </si>
  <si>
    <t>עבודת הכנת הלב לימי הפסח &lt;אור השנים&gt;</t>
  </si>
  <si>
    <t>עבודת הלב - 2 כר'</t>
  </si>
  <si>
    <t>עבודת הלב</t>
  </si>
  <si>
    <t>עבודת הלוי</t>
  </si>
  <si>
    <t>אכסלרוד בנדט בן יוסף הלוי</t>
  </si>
  <si>
    <t>הלוי, אלעזר בן דוד</t>
  </si>
  <si>
    <t>הלוי, משה בן מנשה</t>
  </si>
  <si>
    <t>עבודת הלוי - 2 כר'</t>
  </si>
  <si>
    <t>עבודת הלוים</t>
  </si>
  <si>
    <t>גולדברג, אלטר שלום יחיאל בן נפתלי צבי הירש</t>
  </si>
  <si>
    <t>הורוויץ, מיכאל בן חיים אריה ליב הלוי</t>
  </si>
  <si>
    <t>עבודת הלוים, אור הגנוז</t>
  </si>
  <si>
    <t>רוזנשטיין, פנחס הלוי</t>
  </si>
  <si>
    <t>עבודת המדות</t>
  </si>
  <si>
    <t>וקסברגר, רבקה בת יהודה משה</t>
  </si>
  <si>
    <t>עבודת המלך על סידור הרש"ש</t>
  </si>
  <si>
    <t>עבודת המלך</t>
  </si>
  <si>
    <t>לקט מצדיקי סאדיגורא</t>
  </si>
  <si>
    <t>מנחם נחום בן יקותיאל זוסמאן הכהן</t>
  </si>
  <si>
    <t>עבודת הפסח</t>
  </si>
  <si>
    <t>עבודת הקדש - לדוד אמת</t>
  </si>
  <si>
    <t>עבודת הקדש - 2 כר'</t>
  </si>
  <si>
    <t>עבודת הקודש  &lt;נתיבות הבית&gt;- א</t>
  </si>
  <si>
    <t>עבודת הקודש &lt;מהדורה חדשה&gt;</t>
  </si>
  <si>
    <t>עבודת הקודש &lt;שערי הקודש&gt;</t>
  </si>
  <si>
    <t>עבודת הקודש &lt;שערי קדושה, אצבע קטנה&gt; - 2 כר'</t>
  </si>
  <si>
    <t>עבודת הקודש &lt;נתיבות הבית&gt; - ב</t>
  </si>
  <si>
    <t>עבודת הקודש &lt;פורת יוסף&gt;</t>
  </si>
  <si>
    <t>עבודת הקודש החדש - 2 כר'</t>
  </si>
  <si>
    <t>עבודת הקודש - 2 כר'</t>
  </si>
  <si>
    <t>עבודת הקודש - א</t>
  </si>
  <si>
    <t>של"ז-של"ח</t>
  </si>
  <si>
    <t>עבודת הקודש - 7 כר'</t>
  </si>
  <si>
    <t>עבודת הקודש - 4 כר'</t>
  </si>
  <si>
    <t>עבודת הקודש - ויקרא</t>
  </si>
  <si>
    <t>עבודת הקודש</t>
  </si>
  <si>
    <t>עבודת הקרבנות</t>
  </si>
  <si>
    <t>תרע"ג - תרפ"ג</t>
  </si>
  <si>
    <t>עבודת השיר הלוי</t>
  </si>
  <si>
    <t>צבי הירש בן רפאל הלוי</t>
  </si>
  <si>
    <t>תקל"ג;</t>
  </si>
  <si>
    <t>עבודת השלחן</t>
  </si>
  <si>
    <t>עבודת השם</t>
  </si>
  <si>
    <t>מאטאלון, שמואל בן מרדכי</t>
  </si>
  <si>
    <t>עבודת השמחה</t>
  </si>
  <si>
    <t>אוחיון, יוחאי בן חיים</t>
  </si>
  <si>
    <t>עבודת התמיד</t>
  </si>
  <si>
    <t>עבודת חג הסוכות ושמחת תורה</t>
  </si>
  <si>
    <t>רוזנברג, יוחנן אליהו בן יעקב יוסף</t>
  </si>
  <si>
    <t>עבודת חג הפסח - 2 כר'</t>
  </si>
  <si>
    <t>עבודת חודש אלול וימי הסליחות</t>
  </si>
  <si>
    <t>עבודת חיים</t>
  </si>
  <si>
    <t>ז"ק, חיים בן גרשון דוב</t>
  </si>
  <si>
    <t>עבודת חיים - שערי הדרכה</t>
  </si>
  <si>
    <t>עבודת יהודה</t>
  </si>
  <si>
    <t>ליכטנשטין, יהודה</t>
  </si>
  <si>
    <t>עבודת יו"ט - ביצה</t>
  </si>
  <si>
    <t>עבודת יום הכיפורים עם פירוש הדרת יוסף</t>
  </si>
  <si>
    <t>מילר, יוסף בן אברהם הלוי</t>
  </si>
  <si>
    <t>עבודת יום הכיפורים</t>
  </si>
  <si>
    <t>אופן, מנחם משה</t>
  </si>
  <si>
    <t>עבודת יום הפורים</t>
  </si>
  <si>
    <t>עבודת יום טוב - ביצה ב</t>
  </si>
  <si>
    <t>עבודת יום טוב</t>
  </si>
  <si>
    <t>עזיז, יצחק בן דניאל</t>
  </si>
  <si>
    <t>עבודת יחיאל - א</t>
  </si>
  <si>
    <t>עבודת ים</t>
  </si>
  <si>
    <t>ביברפלד, יחיאל</t>
  </si>
  <si>
    <t>עבודת ימי בין המצרים ותשעה באב</t>
  </si>
  <si>
    <t>עבודת ימי החנוכה</t>
  </si>
  <si>
    <t>עבודת ימי חנוכה</t>
  </si>
  <si>
    <t>עבודת ימים נוראים הקדושים</t>
  </si>
  <si>
    <t>עבודת יצחק - 3 כר'</t>
  </si>
  <si>
    <t>רבינוביץ, פנחס בן יצחק יואל מקאנטיקוזבה</t>
  </si>
  <si>
    <t>עבודת ישראל השלם - 2 כר'</t>
  </si>
  <si>
    <t>מוקצ'בו,</t>
  </si>
  <si>
    <t>עבודת ישראל - תולדות המגיד מקוז'ניץ</t>
  </si>
  <si>
    <t>הופשטיין, ישראל בן שבתי - הלברשטאם, חכם צבי</t>
  </si>
  <si>
    <t>דרושים, משנה, תולדות עם ישראל, תנ"ך</t>
  </si>
  <si>
    <t>עבודת ישראל - 3 כר'</t>
  </si>
  <si>
    <t>עבודת ישראל</t>
  </si>
  <si>
    <t>קמחי, רפאל ישראל בן יוסף</t>
  </si>
  <si>
    <t>שווארצשטיין, ישראל בן יוסף זאנוויל</t>
  </si>
  <si>
    <t>עבודת יששכר - 2 כר'</t>
  </si>
  <si>
    <t>עבודת כהונה</t>
  </si>
  <si>
    <t>חיים הכהן מניקלשפורג</t>
  </si>
  <si>
    <t>עבודת לבב</t>
  </si>
  <si>
    <t>עבודת לוי</t>
  </si>
  <si>
    <t>לוין, אברהם דב בן ברוך יצחק</t>
  </si>
  <si>
    <t>עבודת לוי - 2 כר'</t>
  </si>
  <si>
    <t>עבודת מלך</t>
  </si>
  <si>
    <t>שטיגל, מתתיהו זאב בן מאיר</t>
  </si>
  <si>
    <t>עבודת מנורה</t>
  </si>
  <si>
    <t>עבודת מקדש &lt;דפו"ר&gt;</t>
  </si>
  <si>
    <t>עבודת מקדש &lt;מהדורה חדשה&gt;</t>
  </si>
  <si>
    <t>עבודת מקדש</t>
  </si>
  <si>
    <t>מילול, משה חי</t>
  </si>
  <si>
    <t>עבודת מקדש - מנחות</t>
  </si>
  <si>
    <t>פליישמן, יהודה בן מרדכי נפתלי</t>
  </si>
  <si>
    <t>עבודת מקדש - 2 כר'</t>
  </si>
  <si>
    <t>פרץ, יהודה בן יוסף</t>
  </si>
  <si>
    <t>עבודת משא &lt;חלקי&gt;</t>
  </si>
  <si>
    <t>יהושע אברהם בן יהודה</t>
  </si>
  <si>
    <t>עבודת משא</t>
  </si>
  <si>
    <t>אבנד, מנחם שלמה</t>
  </si>
  <si>
    <t>הלכה ומנהג, הלכה ומנהג, הלכה ומנהג, הלכה ומנהג</t>
  </si>
  <si>
    <t>עבודת משא - 3 כר'</t>
  </si>
  <si>
    <t>עבודת מתנה - עבודה זרה</t>
  </si>
  <si>
    <t>כולל פונוביז'</t>
  </si>
  <si>
    <t>עבודת ספירת העומר וחג השבועות</t>
  </si>
  <si>
    <t>עבודת עבד</t>
  </si>
  <si>
    <t>עבודת עבודה - 2 כר'</t>
  </si>
  <si>
    <t>תרכ"ה - תרס"ז</t>
  </si>
  <si>
    <t>עבודת פנים</t>
  </si>
  <si>
    <t>לוריא, אהרן יוסף</t>
  </si>
  <si>
    <t>עבודת שלמה - 4 כר'</t>
  </si>
  <si>
    <t>עבודת שמואל - א</t>
  </si>
  <si>
    <t>לאבנשטיין, שמואל בן אלימלך דוד הלוי</t>
  </si>
  <si>
    <t>עבודת שמואל</t>
  </si>
  <si>
    <t>תולדות רבי שמואל דרזי</t>
  </si>
  <si>
    <t>עבודת שש</t>
  </si>
  <si>
    <t>שמעון, שלמה בן בנימין</t>
  </si>
  <si>
    <t>עבודת תמיד</t>
  </si>
  <si>
    <t>עברא דדשא - 2 כר'</t>
  </si>
  <si>
    <t>עברונות תנ"א</t>
  </si>
  <si>
    <t>עברונות. ת</t>
  </si>
  <si>
    <t>עברונות תפ"ב</t>
  </si>
  <si>
    <t>עברונות. תפ"ב</t>
  </si>
  <si>
    <t>עגונת ישראל &lt;בית ישראל&gt;</t>
  </si>
  <si>
    <t>ורשה?</t>
  </si>
  <si>
    <t>עד דאתו נביאים</t>
  </si>
  <si>
    <t>עד דרוש אחיך</t>
  </si>
  <si>
    <t>עד הגל הזה</t>
  </si>
  <si>
    <t>עד כאן</t>
  </si>
  <si>
    <t>פריימן, דוד</t>
  </si>
  <si>
    <t>עד שבחברון</t>
  </si>
  <si>
    <t>עד שהמלך במסיבו</t>
  </si>
  <si>
    <t>עד שתצא נפשה</t>
  </si>
  <si>
    <t>כץ,חנוך</t>
  </si>
  <si>
    <t>עדויות על ספרי דפוס בלתי ידועים</t>
  </si>
  <si>
    <t>עדון המידות</t>
  </si>
  <si>
    <t>חסידות, מחשבה ומוסר, ספריית חב"ד</t>
  </si>
  <si>
    <t>עדות בהוסף</t>
  </si>
  <si>
    <t>עדות ביהוסף  &lt;מנהגי ויזניץ&gt; - 2 כר'</t>
  </si>
  <si>
    <t>ויינברגר, יוסף יששכר דב בעריש בן אשר יונה</t>
  </si>
  <si>
    <t>עדות ביהוסף - 2 כר'</t>
  </si>
  <si>
    <t>אבן סאמון, יוסף חיים</t>
  </si>
  <si>
    <t>אלמושנינו, יוסף בן יצחק</t>
  </si>
  <si>
    <t>תע"א - תצ"ג</t>
  </si>
  <si>
    <t>עדות ביהוסף - מנהגי ויז'ניץ לירח האיתנים</t>
  </si>
  <si>
    <t>וינברגר, אלעזר</t>
  </si>
  <si>
    <t>עדות ביהוסף</t>
  </si>
  <si>
    <t>זלזניק, יוסף זאב בן יצחק</t>
  </si>
  <si>
    <t>חמודות, דוד</t>
  </si>
  <si>
    <t>עדות ביהוסף - קורות הזמן בתימן</t>
  </si>
  <si>
    <t>יצחק הלוי, יוסף בן משה</t>
  </si>
  <si>
    <t>סוקל, יוסף בן ישראל</t>
  </si>
  <si>
    <t>פודור, יונה</t>
  </si>
  <si>
    <t>קוקיס, יוסף בן אליהו חיים</t>
  </si>
  <si>
    <t>תרנ"ו - תרע"ג</t>
  </si>
  <si>
    <t>הלכה ומנהג, מחשבה ומוסר, מחשבה ומוסר, נושאים שונים, תלמוד בבלי, תלמוד בבלי</t>
  </si>
  <si>
    <t>רוזין, יוסף בן יצחק</t>
  </si>
  <si>
    <t>עדות ביוסף &lt;מהדורה חדשה&gt;</t>
  </si>
  <si>
    <t>איטינגא, יוסף בן אליעזר הלוי</t>
  </si>
  <si>
    <t>עדות ביוסף</t>
  </si>
  <si>
    <t>עדות ביעקב</t>
  </si>
  <si>
    <t>אדרעי, יעקב בן יוסף</t>
  </si>
  <si>
    <t>בירדוגו, יעקב</t>
  </si>
  <si>
    <t>די בוטון, יעקב בן אברהם</t>
  </si>
  <si>
    <t>עדות ביעקב - 2 כר'</t>
  </si>
  <si>
    <t>שילוני, יעקב בן יצחק</t>
  </si>
  <si>
    <t>עדות בישראל</t>
  </si>
  <si>
    <t>עדות חיים</t>
  </si>
  <si>
    <t>ורנר, יוסף חיים</t>
  </si>
  <si>
    <t>עדות יוסף - נדה</t>
  </si>
  <si>
    <t>עדות יעקב - 2 כר'</t>
  </si>
  <si>
    <t>יעקב בן יקותיאל קפמאן</t>
  </si>
  <si>
    <t>עדות לאסף</t>
  </si>
  <si>
    <t>נמצוב, אברהם סנדר בן יעקב</t>
  </si>
  <si>
    <t>עדות ליוסף</t>
  </si>
  <si>
    <t>ליבוביץ, ברוך דוב בן שמואל דוד - ליס, יוסף (עורך)</t>
  </si>
  <si>
    <t>עדות לישראל &lt;נגד נחמיה חיון&gt;</t>
  </si>
  <si>
    <t>עדות לישראל</t>
  </si>
  <si>
    <t>הלכה ומנהג, הלכה ומנהג, נושאים שונים, תפלות בקשות פיוטים ושירה</t>
  </si>
  <si>
    <t>טונליס האנדל, איצק בן קלונימוס יהודה</t>
  </si>
  <si>
    <t>רוזנברג, ישראל בן גרשון הלוי</t>
  </si>
  <si>
    <t>הלכה ומנהג, נושאים שונים, נושאים שונים, קבצים וכתבי עת, ספרי זכרון ויובל, תולדות עם ישראל</t>
  </si>
  <si>
    <t>עדות לשושן - 1</t>
  </si>
  <si>
    <t>בימה להלכה ולהגות יהודית</t>
  </si>
  <si>
    <t>עדות משה</t>
  </si>
  <si>
    <t>דרעי, משה</t>
  </si>
  <si>
    <t>עדות נאמנה - 2 כר'</t>
  </si>
  <si>
    <t>מונק, אליהו הכהן (עורך)</t>
  </si>
  <si>
    <t>עדות נאמנה</t>
  </si>
  <si>
    <t>עדות קובץ תורני - 17 כר'</t>
  </si>
  <si>
    <t>עדות שמואל</t>
  </si>
  <si>
    <t>הירש, שמואל זלמן</t>
  </si>
  <si>
    <t>עדותיך אתבונן</t>
  </si>
  <si>
    <t>בכור שלמה, אפרים</t>
  </si>
  <si>
    <t>עדן גנים</t>
  </si>
  <si>
    <t>עדן מקדם &lt;מהדורת ישמח לב&gt;</t>
  </si>
  <si>
    <t>עדן מקדם</t>
  </si>
  <si>
    <t>עדן ציון</t>
  </si>
  <si>
    <t>עדרי צאן</t>
  </si>
  <si>
    <t>עדת יעקב - א</t>
  </si>
  <si>
    <t>פיוטרקובסקי, יעקב בן שרגא</t>
  </si>
  <si>
    <t>עדת יעקב - 6 כר'</t>
  </si>
  <si>
    <t>פרלוב, יעקב בן נחום מרדכי</t>
  </si>
  <si>
    <t>עדת מעזו - 2 כר'</t>
  </si>
  <si>
    <t>עובדא דאהרן - 2 כר'</t>
  </si>
  <si>
    <t>שטיינברגר, אליהו בן שמעון הכהן</t>
  </si>
  <si>
    <t>עובדות דרבי לוי - 2 כר'</t>
  </si>
  <si>
    <t>רבינוביץ, יעקב דוד הכהן</t>
  </si>
  <si>
    <t>עובדות והנהגות - 4 כר'</t>
  </si>
  <si>
    <t>עובדין דחול</t>
  </si>
  <si>
    <t>אוחיון, צוריאל בן חנניה</t>
  </si>
  <si>
    <t>עובר אורח</t>
  </si>
  <si>
    <t>יעקב נפתלי בן יהודה מלובלין</t>
  </si>
  <si>
    <t>עובר אורח - מתוך ארחות חיים</t>
  </si>
  <si>
    <t>שמעון בן מאיר מקארלסווה</t>
  </si>
  <si>
    <t>קארלסרוא</t>
  </si>
  <si>
    <t>עובר לסופר</t>
  </si>
  <si>
    <t>עוברי דרכים</t>
  </si>
  <si>
    <t>עוגת אליהו</t>
  </si>
  <si>
    <t>עוד חזון למועד - 3 כר'</t>
  </si>
  <si>
    <t>וגנר, יצחק אייזיק בן רפאל מנחם נחום</t>
  </si>
  <si>
    <t>עוד יהללוך סלה - עניני הלל</t>
  </si>
  <si>
    <t>פרישוואסר, בן ציון שלום אליעזר - רוזנגרטן, דוד יהושע</t>
  </si>
  <si>
    <t>עוד יוסף חי</t>
  </si>
  <si>
    <t>אלקובי, יוסף</t>
  </si>
  <si>
    <t>דושינסקי, משה מרדכי בן ישראל</t>
  </si>
  <si>
    <t>עוד יוסף חי - 3 כר'</t>
  </si>
  <si>
    <t>לזכר רבי יוסף חטאב</t>
  </si>
  <si>
    <t>מוצרי, יוסף (אודותיו)</t>
  </si>
  <si>
    <t>עוד יוסף חי - 8 כר'</t>
  </si>
  <si>
    <t>תפילות. ירושלים. תשס"ה.</t>
  </si>
  <si>
    <t>עוד יוסף חי - מחזור לתשעה באב</t>
  </si>
  <si>
    <t>תפילות. ירושלים. תשס"ז.</t>
  </si>
  <si>
    <t>עוד יצחק חי</t>
  </si>
  <si>
    <t>ישראלי, יצחק חי יוסף חיים</t>
  </si>
  <si>
    <t>עוד ישראל יוסף בני חי</t>
  </si>
  <si>
    <t>סולובייציק, אהרן בן משה</t>
  </si>
  <si>
    <t>עודני זוכר</t>
  </si>
  <si>
    <t>עוז בהדר</t>
  </si>
  <si>
    <t>עוז ואורה</t>
  </si>
  <si>
    <t>פילץ, חיים יעקב בן עוזיאל יהודה</t>
  </si>
  <si>
    <t>עוז ואורה - א</t>
  </si>
  <si>
    <t>עוז והדר לבושה &lt;באנגלית&gt;</t>
  </si>
  <si>
    <t>עוז והדר לבושה</t>
  </si>
  <si>
    <t>עוז והדר - 2 כר'</t>
  </si>
  <si>
    <t>עוז והדר - א - שבועות ע"ז הוריות</t>
  </si>
  <si>
    <t>די אבילה, שמואל בן שלמה</t>
  </si>
  <si>
    <t>עוז יהודה</t>
  </si>
  <si>
    <t>עוז יעקב - א</t>
  </si>
  <si>
    <t>עוז ישועות</t>
  </si>
  <si>
    <t>פראוי סעדיה בן יוסף</t>
  </si>
  <si>
    <t>עוז לו בך - 3 כר'</t>
  </si>
  <si>
    <t>עוז מבטחה</t>
  </si>
  <si>
    <t>שלמה זלמן בן יהודה ליב סג"ל מדסוי</t>
  </si>
  <si>
    <t>עוז מלך</t>
  </si>
  <si>
    <t>עוז - אין עוז אלא תורה</t>
  </si>
  <si>
    <t>עוזר ומושיע ומגן</t>
  </si>
  <si>
    <t>עוזר ישראל - 4 כר'</t>
  </si>
  <si>
    <t>זילביגר, אברהם אוריאל הכהן</t>
  </si>
  <si>
    <t>עוזר ישראל</t>
  </si>
  <si>
    <t>לבל, ישראל בן יהודה ליב</t>
  </si>
  <si>
    <t>עוטה אור</t>
  </si>
  <si>
    <t>עוטר ישראל בתפארה</t>
  </si>
  <si>
    <t>עוטר ישראל</t>
  </si>
  <si>
    <t>בן אבו, דניאל</t>
  </si>
  <si>
    <t>עול תורה ומצוות</t>
  </si>
  <si>
    <t>נחמני, יגאל - מן, הלל (עורכים)</t>
  </si>
  <si>
    <t>עולה חדשה</t>
  </si>
  <si>
    <t>סאנגוויניטי, עזריה חיים בן יום טוב</t>
  </si>
  <si>
    <t>עולה לה'</t>
  </si>
  <si>
    <t>עולה ליפה</t>
  </si>
  <si>
    <t>עולה מן המדבר</t>
  </si>
  <si>
    <t>עולה תמימה</t>
  </si>
  <si>
    <t>פישל, יצחק ברוך בן אברהם הכהן</t>
  </si>
  <si>
    <t>עוללות אפרים</t>
  </si>
  <si>
    <t>אייזנברג, אפרים זלמן הלוי</t>
  </si>
  <si>
    <t>מועדי ישראל, מחשבה ומוסר, תלמוד בבלי, תנ"ך</t>
  </si>
  <si>
    <t>עוללות אפרים - עביד אינש דינא לנפשיה</t>
  </si>
  <si>
    <t>עוללות אפרים - 3 כר'</t>
  </si>
  <si>
    <t>רייניטץ, שמואל בן מאיר</t>
  </si>
  <si>
    <t>עוללות ישראל</t>
  </si>
  <si>
    <t>קושלבסקי ישראל אריה בן עזריאל זעליג נח</t>
  </si>
  <si>
    <t>עוללות שמואל</t>
  </si>
  <si>
    <t>עוללות</t>
  </si>
  <si>
    <t>עולם אחד</t>
  </si>
  <si>
    <t>תקס"</t>
  </si>
  <si>
    <t>עולם ברור</t>
  </si>
  <si>
    <t>עולם הגדול</t>
  </si>
  <si>
    <t>עולם הזה עולם הבא</t>
  </si>
  <si>
    <t>עולם הישיבה</t>
  </si>
  <si>
    <t>חורש, ברוך בן משה</t>
  </si>
  <si>
    <t>עולם המחשבה - 2 כר'</t>
  </si>
  <si>
    <t>עולם הנצח</t>
  </si>
  <si>
    <t>עולם הפוך</t>
  </si>
  <si>
    <t>קאטאלאנו, אברהם</t>
  </si>
  <si>
    <t>עולם הקטן</t>
  </si>
  <si>
    <t>עולם התורה - א א</t>
  </si>
  <si>
    <t>עולם התורה</t>
  </si>
  <si>
    <t>עולם התורה - 2 כר'</t>
  </si>
  <si>
    <t>פעילים דארה"ב בירושלים</t>
  </si>
  <si>
    <t>תשל"ג - תשל"ו</t>
  </si>
  <si>
    <t>ת"ת מעוז התורה</t>
  </si>
  <si>
    <t>עולם התפילות - 3 כר'</t>
  </si>
  <si>
    <t>מונק, אליהו</t>
  </si>
  <si>
    <t>עולם חדש עולם הפוך</t>
  </si>
  <si>
    <t>האמבורג, אברהם בן שלמה</t>
  </si>
  <si>
    <t>עולם חסד יבנה</t>
  </si>
  <si>
    <t>טובולסקי, אברהם בן שמואל משה</t>
  </si>
  <si>
    <t>עולם חסד יבנה - 8 כר'</t>
  </si>
  <si>
    <t>רוזנברג, ישכר דב בן חנוך</t>
  </si>
  <si>
    <t>שטיין, שמחה בונם בן משה דב</t>
  </si>
  <si>
    <t>עולם יפה יותר</t>
  </si>
  <si>
    <t>עולם עשייה - 2 כר'</t>
  </si>
  <si>
    <t>זילברגלייט, יעקב יהודה ליב בן שבתי</t>
  </si>
  <si>
    <t>עולם קטן</t>
  </si>
  <si>
    <t>עולמו של אבא</t>
  </si>
  <si>
    <t>עולמו של חסיד - 2 כר'</t>
  </si>
  <si>
    <t>גפנר, ברוך בן ישראל בנימין</t>
  </si>
  <si>
    <t>עולמו של צדיק</t>
  </si>
  <si>
    <t>עולמות טמירים</t>
  </si>
  <si>
    <t>מארכוס, פסח</t>
  </si>
  <si>
    <t>עולמות של טוהר</t>
  </si>
  <si>
    <t>סופר, מיכאל אורי</t>
  </si>
  <si>
    <t>עולמם של גדולים - ואלה תולדות יצחק</t>
  </si>
  <si>
    <t>סג"ל, י.</t>
  </si>
  <si>
    <t>עולת אהרן</t>
  </si>
  <si>
    <t>עולת אי"ש</t>
  </si>
  <si>
    <t>עולת איש - 3 כר'</t>
  </si>
  <si>
    <t>פרידמן, אריה בן ישראל יוסף</t>
  </si>
  <si>
    <t>עולת איש - 4 כר'</t>
  </si>
  <si>
    <t>שרבאני, אריה יהודה בן משה</t>
  </si>
  <si>
    <t>עולת הבקר - 3 כר'</t>
  </si>
  <si>
    <t>קרבץ, פסח בן מרדכי יהודה</t>
  </si>
  <si>
    <t>עולת החדש</t>
  </si>
  <si>
    <t>תפילות. סידור. תש"ח. ג'רבה</t>
  </si>
  <si>
    <t>תפילות. ערב ראש חודש. תרי"ט. וילנה</t>
  </si>
  <si>
    <t>עולת החודש - יום כיפור קטן</t>
  </si>
  <si>
    <t>עולת החודש</t>
  </si>
  <si>
    <t>עולת החודש - 7 כר'</t>
  </si>
  <si>
    <t>עולת הרגל</t>
  </si>
  <si>
    <t>עולת חדש בחדשו</t>
  </si>
  <si>
    <t>עולת חודש שני - אהבת דוד- מבשר טוב &lt;מהדורה חדשה&gt;</t>
  </si>
  <si>
    <t>עולת חודש - 3 כר'</t>
  </si>
  <si>
    <t>תר"ז - תרכ"א</t>
  </si>
  <si>
    <t>עולת חודש - 6 כר'</t>
  </si>
  <si>
    <t>עולת חודש</t>
  </si>
  <si>
    <t>תש"ט - תשי"א</t>
  </si>
  <si>
    <t>עולת יוסף</t>
  </si>
  <si>
    <t>ויטמן, יצחק - ויטמן, חיים הלוי</t>
  </si>
  <si>
    <t>עולת יצחק - 2 כר'</t>
  </si>
  <si>
    <t>אלסטר, יצחק בן צבי</t>
  </si>
  <si>
    <t>עולת יצחק</t>
  </si>
  <si>
    <t>יצחק אייזיק בן יקותיאל זלמן מפולוצק</t>
  </si>
  <si>
    <t>עולת יצחק - 3 כר'</t>
  </si>
  <si>
    <t>יצחק בן יהושע</t>
  </si>
  <si>
    <t>עולת יצחק - מהדורה תנינא</t>
  </si>
  <si>
    <t>יצחק בן ישעיה מטארנוגרוד</t>
  </si>
  <si>
    <t>עולת יצחק - מראי מקומות נשים נזיקין</t>
  </si>
  <si>
    <t>עולת יצחק - 12 כר'</t>
  </si>
  <si>
    <t>לנדא, יצחק בן קלמן הלוי</t>
  </si>
  <si>
    <t>ציוני, יצחק בן נפתלי</t>
  </si>
  <si>
    <t>שנפ, צבי יצחק</t>
  </si>
  <si>
    <t>עולת ירוחם</t>
  </si>
  <si>
    <t>עולת כהן - 2 כר'</t>
  </si>
  <si>
    <t>עולת כהנים - 3 כר'</t>
  </si>
  <si>
    <t>עולת מועד</t>
  </si>
  <si>
    <t>דומיניץ, שלמה בן יהודה ליבוש</t>
  </si>
  <si>
    <t>עולת משה</t>
  </si>
  <si>
    <t>ויינר, משה בן אליעזר מאיר</t>
  </si>
  <si>
    <t>עולת נח</t>
  </si>
  <si>
    <t>עולת שבת בשבתו ומועד במועדו - 5 כר'</t>
  </si>
  <si>
    <t>עולת שבת</t>
  </si>
  <si>
    <t>עולת שבת - בראשית, שמות</t>
  </si>
  <si>
    <t>עולת שבת - א</t>
  </si>
  <si>
    <t>פלאנצגרבען, יעקב</t>
  </si>
  <si>
    <t>חסידות, מועדי ישראל, נושאים שונים, שונות, תנ"ך</t>
  </si>
  <si>
    <t>עולת שבת - 2 כר'</t>
  </si>
  <si>
    <t>רבינוביץ', משה יהודה ליב בן ברוך</t>
  </si>
  <si>
    <t>תפילות. סידור. תש"ו. ג'רבה</t>
  </si>
  <si>
    <t>עולת שיחי - 3 כר'</t>
  </si>
  <si>
    <t>עולת שלמה</t>
  </si>
  <si>
    <t>בדיחי, שלמה בן יחיא</t>
  </si>
  <si>
    <t>עולת שלמה - 3 כר'</t>
  </si>
  <si>
    <t>הלכה ומנהג, קבצים וכתבי עת, ספרי זכרון ויובל, שלחן ערוך ומפרשיו, תלמוד בבלי</t>
  </si>
  <si>
    <t>עולת שלמה - 4 כר'</t>
  </si>
  <si>
    <t>ליפשיץ, שלמה זלמן בן צבי הירש</t>
  </si>
  <si>
    <t>משפחת רבי שלמה מילר ז"ל</t>
  </si>
  <si>
    <t>עולת שמואל - בכורות</t>
  </si>
  <si>
    <t>עולת שמואל</t>
  </si>
  <si>
    <t>באסקין, שמואל בן בנימין</t>
  </si>
  <si>
    <t>עולת שמואל - 2 כר'</t>
  </si>
  <si>
    <t>זיברטאנסקי, שמואל בן יוסף</t>
  </si>
  <si>
    <t>טליבנסקי, שמואל</t>
  </si>
  <si>
    <t>קונפורטי, שמואל בן מרדכי</t>
  </si>
  <si>
    <t>דרושים, שאלות ותשובות, שאר ספרי חז"ל, תנ"ך</t>
  </si>
  <si>
    <t>עולת שמואל - בעניני פיגול ושלא לשמה</t>
  </si>
  <si>
    <t>רוזנר, שמואל</t>
  </si>
  <si>
    <t>עולת תמיד</t>
  </si>
  <si>
    <t>עולת תמיד - עולת שבת</t>
  </si>
  <si>
    <t>שמואל בן יוסף מקראקא</t>
  </si>
  <si>
    <t>תפילות. סידור. תרמ"ז. ליוורנו</t>
  </si>
  <si>
    <t>עומק הטהרה</t>
  </si>
  <si>
    <t>וינד, פנחס בן אליעזר</t>
  </si>
  <si>
    <t>עומק הלכה - 3 כר'</t>
  </si>
  <si>
    <t>עומק הפשט - 3 כר'</t>
  </si>
  <si>
    <t>בן נון, אורי צבי בן אלכסנדר</t>
  </si>
  <si>
    <t>עומק הפשט - 001-135</t>
  </si>
  <si>
    <t>לוי, עקיבא יוסף בן דוד</t>
  </si>
  <si>
    <t>תשע"ה-תשע"ח</t>
  </si>
  <si>
    <t>עומק הרבית - ברית פנחס</t>
  </si>
  <si>
    <t>עומקא דדינא - 3 כר'</t>
  </si>
  <si>
    <t>עומקא דהוצאה</t>
  </si>
  <si>
    <t>ליברמן, ישראל יצחק</t>
  </si>
  <si>
    <t>עומקא דפרשה &lt;רמת שלמה&gt; - תשע"ב</t>
  </si>
  <si>
    <t>גליונות עומקא דפרשה</t>
  </si>
  <si>
    <t>עומקא דפרשה - 4 כר'</t>
  </si>
  <si>
    <t>עומקא דשמעתתא - 4 כר'</t>
  </si>
  <si>
    <t>כולל רבי עקיבא איגר</t>
  </si>
  <si>
    <t>עומקא דשמעתתא - גיטין</t>
  </si>
  <si>
    <t>מנצור, אליעזר</t>
  </si>
  <si>
    <t>עומקה של הלכה</t>
  </si>
  <si>
    <t>בורשטין, דוד יהודה בן שלמה</t>
  </si>
  <si>
    <t>עומקה של הלכה - פרק ערבי פסחים</t>
  </si>
  <si>
    <t>עומר השכחה</t>
  </si>
  <si>
    <t>גבישון, אברהם בן יעקב</t>
  </si>
  <si>
    <t>עומר התנופה</t>
  </si>
  <si>
    <t>אביטבול, עמור בן שלמה</t>
  </si>
  <si>
    <t>משנה, שלחן ערוך ומפרשיו, תלמוד בבלי, תלמוד בבלי, תנ"ך, תנ"ך</t>
  </si>
  <si>
    <t>עומר התנופה - בבא מציעא</t>
  </si>
  <si>
    <t>ישיבת דרכי דוד</t>
  </si>
  <si>
    <t>שפירא, אריה ליב</t>
  </si>
  <si>
    <t>עומר מן</t>
  </si>
  <si>
    <t>נומברג, מאיר בן יוסף אפרים פישל</t>
  </si>
  <si>
    <t>עומר - 3 כר'</t>
  </si>
  <si>
    <t>מאסף מפעל התורה</t>
  </si>
  <si>
    <t>תשט"ו-תש"ך</t>
  </si>
  <si>
    <t>עונג אברהם</t>
  </si>
  <si>
    <t>עונג חיים לשבת</t>
  </si>
  <si>
    <t>עונג יום טוב &lt;דרוש&gt;</t>
  </si>
  <si>
    <t>היילפרין, רפאל יום טוב ליפמאן בן ישראל</t>
  </si>
  <si>
    <t>עונג יום טוב &lt;שו"ת&gt; - 3 כר'</t>
  </si>
  <si>
    <t>עונג לשבת ויום טוב</t>
  </si>
  <si>
    <t>עונג לשבת</t>
  </si>
  <si>
    <t>גרג'י, מתתיה בן מרדכי</t>
  </si>
  <si>
    <t>עונג שבת &lt;מהדורה חדשה&gt;</t>
  </si>
  <si>
    <t>אהרן בן צבי הירש הכהן</t>
  </si>
  <si>
    <t>עונג שבת</t>
  </si>
  <si>
    <t>עונג שבת - 3 כר'</t>
  </si>
  <si>
    <t>מאירוביץ, צבי</t>
  </si>
  <si>
    <t>פיין, שבתי בן יהודה אריה ליב</t>
  </si>
  <si>
    <t>קראקובסקי, אפרים צבי בן אלתר בן ציון</t>
  </si>
  <si>
    <t>עונה עשוקים</t>
  </si>
  <si>
    <t>עוקר הרים</t>
  </si>
  <si>
    <t>סלומון שמואל יהודה</t>
  </si>
  <si>
    <t>עורה כבודי - 2 כר'</t>
  </si>
  <si>
    <t>עורה כבודי - 3 כר'</t>
  </si>
  <si>
    <t>עורה כבודי  - ברכות</t>
  </si>
  <si>
    <t>קובץ עורה</t>
  </si>
  <si>
    <t>עורה שחר - 2 כר'</t>
  </si>
  <si>
    <t>עורון ומחלות עינים בארץ כנען וסבותיהן</t>
  </si>
  <si>
    <t>שימקין, נ.</t>
  </si>
  <si>
    <t>עורי דבורה &lt;דרש דרש  ג&gt;</t>
  </si>
  <si>
    <t>עורי עורי דברי שיר</t>
  </si>
  <si>
    <t>עורי צפון - 4</t>
  </si>
  <si>
    <t>מרכז תורני לאומי צפת</t>
  </si>
  <si>
    <t>עורי צפון</t>
  </si>
  <si>
    <t>עורף מול פנים</t>
  </si>
  <si>
    <t>טלר, רפאל בן נחום</t>
  </si>
  <si>
    <t>עושה חיל</t>
  </si>
  <si>
    <t>ויטן, ישראל</t>
  </si>
  <si>
    <t>עושה שלום</t>
  </si>
  <si>
    <t>עושין בשמחה - 3 כר'</t>
  </si>
  <si>
    <t>עז ואורה &lt;מאסף תורני&gt; - 11 כר'</t>
  </si>
  <si>
    <t>בית מדרש שערי תורה</t>
  </si>
  <si>
    <t>עז וחדוה</t>
  </si>
  <si>
    <t>עז לאלקים</t>
  </si>
  <si>
    <t>עזה ויריחו תחילה באספקלריה תורנית</t>
  </si>
  <si>
    <t>עזך ציון - מגילת אסתר, רות</t>
  </si>
  <si>
    <t>עזר אליעזר</t>
  </si>
  <si>
    <t>עזר הדת &lt;מהדורת לוינגר&gt;</t>
  </si>
  <si>
    <t>אבן-פולקאר, יצחק בן יוסף</t>
  </si>
  <si>
    <t>עזר יצחק</t>
  </si>
  <si>
    <t>עזריאל, יצחק</t>
  </si>
  <si>
    <t>עזר כנגדו - שידוכין</t>
  </si>
  <si>
    <t>עזר לחושן</t>
  </si>
  <si>
    <t>עזר ליצחק</t>
  </si>
  <si>
    <t>אלבוים, יצחק בן זאב משה</t>
  </si>
  <si>
    <t>הקדמה תש"ט</t>
  </si>
  <si>
    <t>Budapest)</t>
  </si>
  <si>
    <t>עזר לשלחן - 3 כר'</t>
  </si>
  <si>
    <t>עזר מציון</t>
  </si>
  <si>
    <t>עזר מקודש</t>
  </si>
  <si>
    <t>עזר קדשים</t>
  </si>
  <si>
    <t>עזרה בצרות</t>
  </si>
  <si>
    <t>כהן, דוד (עורך)</t>
  </si>
  <si>
    <t>עזרה כהלכה</t>
  </si>
  <si>
    <t>עזרה להבין</t>
  </si>
  <si>
    <t>מלר, יצחק בן משה יהודה</t>
  </si>
  <si>
    <t>עזרי מעם ד' - 19 כר'</t>
  </si>
  <si>
    <t>שטיינבך, עזרא</t>
  </si>
  <si>
    <t>עזרי מעם ה' - 15 כר'</t>
  </si>
  <si>
    <t>שטיינבאך, עזרא</t>
  </si>
  <si>
    <t>אנטוורפען</t>
  </si>
  <si>
    <t>עזרך מקדש</t>
  </si>
  <si>
    <t>בושארי, עזריהו בן שמעון</t>
  </si>
  <si>
    <t>עזרך מקודש - חופה וקידושין</t>
  </si>
  <si>
    <t>עזרת אבות</t>
  </si>
  <si>
    <t>עזרת הנשים</t>
  </si>
  <si>
    <t>יצחק, משורר</t>
  </si>
  <si>
    <t>עזרת הסופר - בראשית</t>
  </si>
  <si>
    <t>תנ"ך. תקכ"ט. אמשטרדם</t>
  </si>
  <si>
    <t>עזרת הסופר</t>
  </si>
  <si>
    <t>תנ"ך. תרכ"ו. אמשטרדם</t>
  </si>
  <si>
    <t>עזרת יהודה</t>
  </si>
  <si>
    <t>עזרת יהושע - פסחים</t>
  </si>
  <si>
    <t>ברונר, יהושע עוזר בן אליעזר דוד</t>
  </si>
  <si>
    <t>עזרת יעקב - 2 כר'</t>
  </si>
  <si>
    <t>פפנהים, יעקב אליעזר בן שלמה</t>
  </si>
  <si>
    <t>עזרת ישראל</t>
  </si>
  <si>
    <t>זיטמאן, ישראל בן דוד</t>
  </si>
  <si>
    <t>עזרת ישראל - 2 כר'</t>
  </si>
  <si>
    <t>מוזס, אלעזר בן ברוך</t>
  </si>
  <si>
    <t>ענגילמייר, מרדכי בן מנחם מנדל</t>
  </si>
  <si>
    <t>שפירא, רפאל ישראל איסר בן דוב בר</t>
  </si>
  <si>
    <t>עזרת כהנים - 4 כר'</t>
  </si>
  <si>
    <t>תרל"ג - תרל"ז</t>
  </si>
  <si>
    <t>עזרת נדחים</t>
  </si>
  <si>
    <t>עזרת נשים</t>
  </si>
  <si>
    <t>עזרת נשים - 3 כר'</t>
  </si>
  <si>
    <t>תש"י - תשט"ו</t>
  </si>
  <si>
    <t>עט ברזל</t>
  </si>
  <si>
    <t>אשה, טוביה בן יחזקאל</t>
  </si>
  <si>
    <t>עט הזמיר</t>
  </si>
  <si>
    <t>הלוי, אמנון (עורך)</t>
  </si>
  <si>
    <t>עט יוסף - 3 כר'</t>
  </si>
  <si>
    <t>טולידאנו, עובדיה יוסף בן מרדכי</t>
  </si>
  <si>
    <t>עט יוסף</t>
  </si>
  <si>
    <t>מימון, יוסף רפאל בן זמיר</t>
  </si>
  <si>
    <t>עט סופר</t>
  </si>
  <si>
    <t>טוויל, עזרא עילי הכהן</t>
  </si>
  <si>
    <t>עט סופר - 2 כר'</t>
  </si>
  <si>
    <t>טמיסטית, עמרם בן יעיש</t>
  </si>
  <si>
    <t>עט סופר - 4 כר'</t>
  </si>
  <si>
    <t>עט שאסף</t>
  </si>
  <si>
    <t>עטה אור &lt;דעת ואמונה&gt; - בראשית, שמות</t>
  </si>
  <si>
    <t>טולידאנו, עמנואל בן יוסף</t>
  </si>
  <si>
    <t>עטה אור - 13 כר'</t>
  </si>
  <si>
    <t>עטור סופרים</t>
  </si>
  <si>
    <t>עטורי כהנים - 71 כר'</t>
  </si>
  <si>
    <t>קובץ ישיבת עטרת כהנים</t>
  </si>
  <si>
    <t>עטיפת ציצית כהלכתה</t>
  </si>
  <si>
    <t>עטרה ליושנה</t>
  </si>
  <si>
    <t>עטרה למלך</t>
  </si>
  <si>
    <t>עטרה למרדכי - ציצית</t>
  </si>
  <si>
    <t>עטרה לראש צדיק</t>
  </si>
  <si>
    <t>רבינוביץ, יעקב צבי בן יהושע אשר</t>
  </si>
  <si>
    <t>עטרה לראש - עירובין</t>
  </si>
  <si>
    <t>כולל ישיבת עטרת תורה</t>
  </si>
  <si>
    <t>עטרה שעטרה</t>
  </si>
  <si>
    <t>עטרה שעיטרה</t>
  </si>
  <si>
    <t>עטרות חתנים</t>
  </si>
  <si>
    <t>ענייני נישואין מתורת צדיקי דזי'וקב</t>
  </si>
  <si>
    <t>עטרות יהושע</t>
  </si>
  <si>
    <t>הרשטיין, ירוחם פישל בן יהושע</t>
  </si>
  <si>
    <t>עטרות סופרים</t>
  </si>
  <si>
    <t>עטרות שמואל - ברכות, חולין</t>
  </si>
  <si>
    <t>עטרותיהם - 2 כר'</t>
  </si>
  <si>
    <t>עטרת אבות - 2 כר'</t>
  </si>
  <si>
    <t>עטרת אבות</t>
  </si>
  <si>
    <t>חידושים מגדולי הדורות</t>
  </si>
  <si>
    <t>משנה, נושאים שונים, קבצים וכתבי עת, ספרי זכרון ויובל, תלמוד בבלי, תנ"ך</t>
  </si>
  <si>
    <t>לוינסון, מנחם חיים בן צבי הירש</t>
  </si>
  <si>
    <t>עטרת אבות - 3 כר'</t>
  </si>
  <si>
    <t>סויסה, משה חיים</t>
  </si>
  <si>
    <t>רוזנברג, שמואל דב - רוזנברג, יצחק יהודה</t>
  </si>
  <si>
    <t>דרושים, מועדי ישראל, מחשבה ומוסר, תנ"ך, תנ"ך</t>
  </si>
  <si>
    <t>עטרת אבי</t>
  </si>
  <si>
    <t>עטרת אבי - 2 כר'</t>
  </si>
  <si>
    <t>קאהן, מנחם בן יוסף יצחק אייזיק</t>
  </si>
  <si>
    <t>עטרת אהרן - שבת, ב"ב</t>
  </si>
  <si>
    <t>כולל עטרת אהרן</t>
  </si>
  <si>
    <t>עטרת אלי'</t>
  </si>
  <si>
    <t>שידלוב, אליהו</t>
  </si>
  <si>
    <t>עטרת אליהו</t>
  </si>
  <si>
    <t>תולדות רבי אליהו מדר</t>
  </si>
  <si>
    <t>עטרת אלימלך</t>
  </si>
  <si>
    <t>כולל עטרת אלימלך</t>
  </si>
  <si>
    <t>עטרת אפרים</t>
  </si>
  <si>
    <t>עטרת ארי</t>
  </si>
  <si>
    <t>פיליפס, אריה לייב</t>
  </si>
  <si>
    <t>עטרת גבריאל</t>
  </si>
  <si>
    <t>עטרת גיטין</t>
  </si>
  <si>
    <t>עטרת דבורה - 2 כר'</t>
  </si>
  <si>
    <t>לביא, אוריאל בן פנחס</t>
  </si>
  <si>
    <t>קשת</t>
  </si>
  <si>
    <t>עטרת דוד - 2 כר'</t>
  </si>
  <si>
    <t>עטרת החכמה</t>
  </si>
  <si>
    <t>מכון עטרות</t>
  </si>
  <si>
    <t>עטרת הלוים</t>
  </si>
  <si>
    <t>פסיס, פינחס בן ישעיה</t>
  </si>
  <si>
    <t>עטרת המועדים - תניינא</t>
  </si>
  <si>
    <t>מדלוב, עקיבא</t>
  </si>
  <si>
    <t>עטרת הצדיקים</t>
  </si>
  <si>
    <t>עטרת הקדשים</t>
  </si>
  <si>
    <t>עטרת זהב</t>
  </si>
  <si>
    <t>אדירים, אליעזר בן ישראל</t>
  </si>
  <si>
    <t>עטרת זהב - פורים</t>
  </si>
  <si>
    <t>עטרת זקנים &lt;מנהג חבאן&gt; - מועדים</t>
  </si>
  <si>
    <t>עטרת זקנים - 3 כר'</t>
  </si>
  <si>
    <t>עטרת זקנים</t>
  </si>
  <si>
    <t>אייכנשטיין, יחיאל מיכל בן משה</t>
  </si>
  <si>
    <t>אריה ליבוש בן מאיר</t>
  </si>
  <si>
    <t>עטרת זקנים - בני בנים בהלכה</t>
  </si>
  <si>
    <t>לבוביץ, אפרים ישראל דוד בן אברהם אבא</t>
  </si>
  <si>
    <t>מעשיות</t>
  </si>
  <si>
    <t>קובץ (פוניבז')</t>
  </si>
  <si>
    <t>עטרת זקנים - 9 כר'</t>
  </si>
  <si>
    <t>רבותינו בעלי התוספות</t>
  </si>
  <si>
    <t>עטרת חזקיה</t>
  </si>
  <si>
    <t>רבין, חזקיה הכהן</t>
  </si>
  <si>
    <t>עטרת חיים - 2 כר'</t>
  </si>
  <si>
    <t>חסידות, משנה, תלמוד בבלי, תלמוד ירושלמי, תנ"ך</t>
  </si>
  <si>
    <t>עטרת חיים</t>
  </si>
  <si>
    <t>לקט מאמרים מראשונים ואחרונים</t>
  </si>
  <si>
    <t>עטרת חכמים - 5 כר'</t>
  </si>
  <si>
    <t>הררי, חיים - אביטבול, יצחק</t>
  </si>
  <si>
    <t>עטרת חכמים - 2 כר'</t>
  </si>
  <si>
    <t>עטרת חכמים - על רבי חיים בן עטר</t>
  </si>
  <si>
    <t>עטרת חכמים</t>
  </si>
  <si>
    <t>עטרת חן</t>
  </si>
  <si>
    <t>עטרת חן - 2 כר'</t>
  </si>
  <si>
    <t>עטרת חן - 5 כר'</t>
  </si>
  <si>
    <t>ישיבת יצחק ירנן</t>
  </si>
  <si>
    <t>עטרת חתנים</t>
  </si>
  <si>
    <t>רבותינו ממאקווא</t>
  </si>
  <si>
    <t>עטרת טוביה</t>
  </si>
  <si>
    <t>עטרת יהושע &lt;על התורה&gt; - 5 כר'</t>
  </si>
  <si>
    <t>עטרת יהושע - 11 כר'</t>
  </si>
  <si>
    <t>עטרת יהושע</t>
  </si>
  <si>
    <t>עטרת יוסף - 2 כר'</t>
  </si>
  <si>
    <t>יוסף בן דוב בר מליסקובה</t>
  </si>
  <si>
    <t>עטרת יוסף</t>
  </si>
  <si>
    <t>יוסף יוזל בן זאב וולף הלוי</t>
  </si>
  <si>
    <t>עטרת יעקב וישראל</t>
  </si>
  <si>
    <t>האגר, יעקב בן דוד</t>
  </si>
  <si>
    <t>עטרת יעקב - 6 כר'</t>
  </si>
  <si>
    <t>עטרת יעקב</t>
  </si>
  <si>
    <t>בראטיסלבה</t>
  </si>
  <si>
    <t>עטרת יצחק - 4 כר'</t>
  </si>
  <si>
    <t>כולל עטרת יצחק</t>
  </si>
  <si>
    <t>עטרת יצחק</t>
  </si>
  <si>
    <t>עטרת יצחק - בבא בתרא</t>
  </si>
  <si>
    <t>שבדרון, יצחק בן שלום מרדכי הכהן</t>
  </si>
  <si>
    <t>עטרת ישועה &lt;שו"ת&gt;</t>
  </si>
  <si>
    <t>הורוויץ, יהושע בן מאיר</t>
  </si>
  <si>
    <t>עטרת ישועה - 5 כר'</t>
  </si>
  <si>
    <t>עטרת ישועה</t>
  </si>
  <si>
    <t>יואל בן יהושע השל</t>
  </si>
  <si>
    <t>גבעת זאב החדשה</t>
  </si>
  <si>
    <t>עטרת ישן - 3 כר'</t>
  </si>
  <si>
    <t>נאה, יחיאל שמואל</t>
  </si>
  <si>
    <t>עטרת ישעיה</t>
  </si>
  <si>
    <t>רובין, ישעיה הכהן</t>
  </si>
  <si>
    <t>עטרת ישראל ורחמים - 2 כר'</t>
  </si>
  <si>
    <t>דחבש, חזקיה בן ישראל</t>
  </si>
  <si>
    <t>עטרת ישראל - בר מצוה</t>
  </si>
  <si>
    <t>עטרת ישראל - 3 כר'</t>
  </si>
  <si>
    <t>ישראל מבוהופול</t>
  </si>
  <si>
    <t>עטרת ישראל</t>
  </si>
  <si>
    <t>מובשוביץ, ישראל בן מרדכי שלמה</t>
  </si>
  <si>
    <t>תרס"ד הק'</t>
  </si>
  <si>
    <t>עטרת ישראל - 7 כר'</t>
  </si>
  <si>
    <t>תלמידי רבינו יוסף צבי</t>
  </si>
  <si>
    <t>עטרת כתובים - חמש מגילות, עזרא, נחמיה, דניאל, דברי הימים</t>
  </si>
  <si>
    <t>גולדשמידט, שמואל חיים</t>
  </si>
  <si>
    <t>עטרת מיכאל</t>
  </si>
  <si>
    <t>עטרת מנחם</t>
  </si>
  <si>
    <t>עטרת מרדכי - 2 כר'</t>
  </si>
  <si>
    <t>זלבוביץ, מרדכי בן אברהם אבא ליב</t>
  </si>
  <si>
    <t>תרצ"ח - הסכ'</t>
  </si>
  <si>
    <t>Riga ריגה</t>
  </si>
  <si>
    <t>עטרת מרדכי</t>
  </si>
  <si>
    <t>מילר, טודרוס יוסף</t>
  </si>
  <si>
    <t>עטרת מרדכי - 6 כר'</t>
  </si>
  <si>
    <t>עטיה, מרדכי בן אליהו</t>
  </si>
  <si>
    <t>פישר, מיכאל בן חיים מרדכי</t>
  </si>
  <si>
    <t>רוגוב, מרדכי בן בנימין</t>
  </si>
  <si>
    <t>עטרת מרים - הפטרות השנה מבוארות</t>
  </si>
  <si>
    <t>עטרת משה אהרן  - בשר בחלב ותערובת</t>
  </si>
  <si>
    <t>דיוויס, צבי - פאפיער, יחיאל יהודה</t>
  </si>
  <si>
    <t>עטרת משה - 2 כר'</t>
  </si>
  <si>
    <t>חנונו, משה חיים</t>
  </si>
  <si>
    <t>עטרת משה - 19 כר'</t>
  </si>
  <si>
    <t>עטרת משולם - 2 כר'</t>
  </si>
  <si>
    <t>עטרת משפט</t>
  </si>
  <si>
    <t>עטרת נביאים - 4 כר'</t>
  </si>
  <si>
    <t>עטרת נזיר</t>
  </si>
  <si>
    <t>סטראם, זאב ארי בן יעקב</t>
  </si>
  <si>
    <t>עטרת סנהדרין</t>
  </si>
  <si>
    <t>עטרת עקיבא</t>
  </si>
  <si>
    <t>פישר, עקיבא בן מרדכי ליב</t>
  </si>
  <si>
    <t>עטרת פ"ז על התורה ומועדים - א</t>
  </si>
  <si>
    <t>סופר-זוסמן, מרדכי אפרים פישל</t>
  </si>
  <si>
    <t>דרושים, הלכה ומנהג, תולדות עם ישראל, תנ"ך</t>
  </si>
  <si>
    <t>עטרת פז</t>
  </si>
  <si>
    <t>דוידסון, שבתי בן שמואל זאב</t>
  </si>
  <si>
    <t>ווייץ, מרדכי בן אברהם</t>
  </si>
  <si>
    <t>קליש Kalisz</t>
  </si>
  <si>
    <t>עטרת פז - 9 כר'</t>
  </si>
  <si>
    <t>עטרת פז - 2 כר'</t>
  </si>
  <si>
    <t>פינחס זליג בן משה</t>
  </si>
  <si>
    <t>עטרת צבי &lt;מהדורה חדשה&gt; - א בראשית, לך לך</t>
  </si>
  <si>
    <t>אייכנשטיין, צבי הירש בן יצחק איזיק - אייכנשטיין, פנחס</t>
  </si>
  <si>
    <t>עטרת צבי &lt;מהדורה חדשה&gt;</t>
  </si>
  <si>
    <t>עטרת צבי עם הגהות הצבי והצדק - 2 כר'</t>
  </si>
  <si>
    <t>עטרת צבי - 2 כר'</t>
  </si>
  <si>
    <t>עטרת צבי - עה"ת וסוגיות</t>
  </si>
  <si>
    <t>אלטמן, שרגא צבי</t>
  </si>
  <si>
    <t>משנה, שאלות ותשובות, שאר ספרי חז"ל, תולדות עם ישראל, תלמוד בבלי, תנ"ך</t>
  </si>
  <si>
    <t>דרושים, שאלות ותשובות, שאר ספרי חז"ל, תלמוד בבלי</t>
  </si>
  <si>
    <t>בסמן, גרשון בן נפתלי</t>
  </si>
  <si>
    <t>עטרת צבי</t>
  </si>
  <si>
    <t>עטרת צבי - 3 כר'</t>
  </si>
  <si>
    <t>עטרת צבי - עירובין</t>
  </si>
  <si>
    <t>הרץ, יחזקאל בן נפתלי מאיר הלוי</t>
  </si>
  <si>
    <t>ת"ר - תר"א</t>
  </si>
  <si>
    <t>שאלות ותשובות, שאר ספרי חז"ל, תלמוד בבלי, תנ"ך, תנ"ך</t>
  </si>
  <si>
    <t>דרושים, מחשבה ומוסר, תלמוד בבלי, תנ"ך</t>
  </si>
  <si>
    <t>יעקב בן צבי הירש, מיר</t>
  </si>
  <si>
    <t>לאס, צבי בן משה</t>
  </si>
  <si>
    <t>מורגנשטרן, צבי הירש בן חיים ישראל</t>
  </si>
  <si>
    <t>נח צבי בן יוחנן</t>
  </si>
  <si>
    <t>תקכ"ג - תקכ"ז</t>
  </si>
  <si>
    <t>סץ, אברהם צבי בן יצחק</t>
  </si>
  <si>
    <t>פריינד, צבי בן מרדכי יעקב</t>
  </si>
  <si>
    <t>צבי הירש בן עזריאל מווילנה</t>
  </si>
  <si>
    <t>עטרת צבי - 10 כר'</t>
  </si>
  <si>
    <t>עטרת קדמונים - סוכה</t>
  </si>
  <si>
    <t>ליבר, צבי מרדכי</t>
  </si>
  <si>
    <t>עטרת ראש</t>
  </si>
  <si>
    <t>תרפ"ד - תשנ"ד</t>
  </si>
  <si>
    <t>עטרת ראש, עטרת תפארת &lt;מהדורה חדשה&gt;</t>
  </si>
  <si>
    <t>לוי בן דוד</t>
  </si>
  <si>
    <t>עטרת ראש, עטרת תפארת</t>
  </si>
  <si>
    <t>תקכ"ו - תקכ"ט</t>
  </si>
  <si>
    <t>עטרת רחל</t>
  </si>
  <si>
    <t>עטרת שאול</t>
  </si>
  <si>
    <t>לוריא, שאול בן משה מישל</t>
  </si>
  <si>
    <t>עטרת שבת</t>
  </si>
  <si>
    <t>עטרת שלום - 2 כר'</t>
  </si>
  <si>
    <t>פריד, משה יהודה בן צבי</t>
  </si>
  <si>
    <t>עטרת שלום</t>
  </si>
  <si>
    <t>חסידות, חסידות, מועדי ישראל, תנ"ך, תפלות בקשות פיוטים ושירה</t>
  </si>
  <si>
    <t>עטרת שלום, שמן ששון - בראשית</t>
  </si>
  <si>
    <t>פריד, משה יהודה בן צבי - אברהם אבלי בן חיים הלוי גומבינר</t>
  </si>
  <si>
    <t>עטרת שלמה &lt;איסור והיתר למהרש"ל&gt;</t>
  </si>
  <si>
    <t>שנ"ט,</t>
  </si>
  <si>
    <t>עטרת שלמה למהרש"ל - שחיטות ובדיקות מהרי"ו עם הגהות מהרש"ל &lt;מהדורה חדשה&gt;</t>
  </si>
  <si>
    <t>עטרת שלמה</t>
  </si>
  <si>
    <t>אברמוביץ, שלמה זלמן צבי בן אברהם דוב</t>
  </si>
  <si>
    <t>דיין, שלמה בן יהודה ליאון</t>
  </si>
  <si>
    <t>עטרת שלמה - 2 כר'</t>
  </si>
  <si>
    <t>הולצברג, יעקב שלמה בן אברהם</t>
  </si>
  <si>
    <t>הלוי, נחמן שלמה בן משה</t>
  </si>
  <si>
    <t>עטרת שלמה - שכנים</t>
  </si>
  <si>
    <t>זעפרני, שלמה ידידיה</t>
  </si>
  <si>
    <t>סוכרי, שלמה</t>
  </si>
  <si>
    <t>עטרת שלמה - 10 כר'</t>
  </si>
  <si>
    <t>עטרת שמואל - כיבוד אב ואם</t>
  </si>
  <si>
    <t>עטרת שמואל - 13 כר'</t>
  </si>
  <si>
    <t>ראזענבוים, מרדכי בן שמואל</t>
  </si>
  <si>
    <t>עטרת שמעון - 3 כר'</t>
  </si>
  <si>
    <t>טרוביץ, ישראל שמעון בן יהודה ליב</t>
  </si>
  <si>
    <t>עטרת שמעון - חיי שמעון</t>
  </si>
  <si>
    <t>לזכר הרב שמעון בנישו</t>
  </si>
  <si>
    <t>עטרת תפארת ישראל</t>
  </si>
  <si>
    <t>דורף, אפרים אלימלך בן משה אשר הכהן</t>
  </si>
  <si>
    <t>עטרת תפארת</t>
  </si>
  <si>
    <t>מכון תולדות משה מאקווא ביתר</t>
  </si>
  <si>
    <t>דרושים, הלכה ומנהג, חסידות</t>
  </si>
  <si>
    <t>עטרת תפארת - 2 כר'</t>
  </si>
  <si>
    <t>קובץ ישיבת תפארת יעקב</t>
  </si>
  <si>
    <t>שור, לוי יצחק דוב בן מנחם מנדל</t>
  </si>
  <si>
    <t>עיבור שנים ותקופות &lt;תקון יששכר&gt;</t>
  </si>
  <si>
    <t>אבן סוסאן, יששכר בן מרדכי</t>
  </si>
  <si>
    <t>עידוד בתופת</t>
  </si>
  <si>
    <t>פרידמן, א - שפירא, קלונימוס קלמיש בן אלימלך</t>
  </si>
  <si>
    <t>עידן המחשב ולקחיו</t>
  </si>
  <si>
    <t>עידן הראשונים</t>
  </si>
  <si>
    <t>עידן התלמוד</t>
  </si>
  <si>
    <t>עידנא דחדוותא</t>
  </si>
  <si>
    <t>עיון במועדים - תשרי</t>
  </si>
  <si>
    <t>עיון בפרשה</t>
  </si>
  <si>
    <t>רייזמן, אלכסנדר יהושע העשל</t>
  </si>
  <si>
    <t>עיון בתורה</t>
  </si>
  <si>
    <t>הלכה ומנהג, תנ"ך, תפלות בקשות פיוטים ושירה</t>
  </si>
  <si>
    <t>עיון ההלכה - משנה ברורה ח"ב</t>
  </si>
  <si>
    <t>עיון ההלכה</t>
  </si>
  <si>
    <t>עיון הלכה</t>
  </si>
  <si>
    <t>קובץ עיונים ובירורים בהלכה</t>
  </si>
  <si>
    <t>עיון המועדים - 7 כר'</t>
  </si>
  <si>
    <t>אזולאי, מיכאל בן אליהו</t>
  </si>
  <si>
    <t>עיון המצוות - בר מצוה</t>
  </si>
  <si>
    <t>עיון הסוגיא - 11 כר'</t>
  </si>
  <si>
    <t>טחן, יצחק בן אליהו</t>
  </si>
  <si>
    <t>עיון הסוגיא - א</t>
  </si>
  <si>
    <t>ישיבת עטרת שלמה</t>
  </si>
  <si>
    <t>עיון הסוגיא - מכות</t>
  </si>
  <si>
    <t>עיון הפרשה - 7 כר'</t>
  </si>
  <si>
    <t>מפעל עיון הפרשה</t>
  </si>
  <si>
    <t>עיון השבת</t>
  </si>
  <si>
    <t>עיון יעקב</t>
  </si>
  <si>
    <t>עיון מנחם - 4 כר'</t>
  </si>
  <si>
    <t>עיון תפילה</t>
  </si>
  <si>
    <t>עיון תפלה</t>
  </si>
  <si>
    <t>בראנדריס, שמריה שמרל בן יעקב</t>
  </si>
  <si>
    <t>עיוני הגדה - 2 כר'</t>
  </si>
  <si>
    <t>ברזל, אברהם יצחק בן חיים עזרא</t>
  </si>
  <si>
    <t>עיוני הדף מעדני שי - בבא מציעא</t>
  </si>
  <si>
    <t>עיוני הוראה</t>
  </si>
  <si>
    <t>בית ההוראה שיכון ג</t>
  </si>
  <si>
    <t>עיוני הלכה והגיונות</t>
  </si>
  <si>
    <t>כהן, יוסף חיים בן אהרן</t>
  </si>
  <si>
    <t>עיוני הלכה - תכלת</t>
  </si>
  <si>
    <t>עיוני הלכה</t>
  </si>
  <si>
    <t>עיוני הלכות - 3 כר'</t>
  </si>
  <si>
    <t>רבינוביץ, דוד ירחמיאל צבי בן יעקב יצחק</t>
  </si>
  <si>
    <t>עיוני חיים - 2 כר'</t>
  </si>
  <si>
    <t>שמאהל, חיים שאול</t>
  </si>
  <si>
    <t>עיוני משה</t>
  </si>
  <si>
    <t>עיוני משפט - 2 כר'</t>
  </si>
  <si>
    <t>כולל חו"מ שער מרדכי</t>
  </si>
  <si>
    <t>עיוני רש"י - 10 כר'</t>
  </si>
  <si>
    <t>עיוני שמועה</t>
  </si>
  <si>
    <t>ווינר, מרדכי ידידיה בן אליהו יהושע</t>
  </si>
  <si>
    <t>עיוני שמעתתא - 16 כר'</t>
  </si>
  <si>
    <t>כולל פוניבז'</t>
  </si>
  <si>
    <t>עיוני תוספות - 2 כר'</t>
  </si>
  <si>
    <t>קרויס יעקב מנחם בן גבריאל</t>
  </si>
  <si>
    <t>עיוני תפילה</t>
  </si>
  <si>
    <t>עיונים בברכת הזימון</t>
  </si>
  <si>
    <t>רוזנברג, שמואל</t>
  </si>
  <si>
    <t>עיונים בהלכה - 5 כר'</t>
  </si>
  <si>
    <t>עיונים בהלכות שחיטה</t>
  </si>
  <si>
    <t>שטיינברגר, נחמיה צבי בן ישעיהו</t>
  </si>
  <si>
    <t>עיונים בהפטרה</t>
  </si>
  <si>
    <t>עיונים בחידושי הרשב"א</t>
  </si>
  <si>
    <t>עפשטיין, חיים ליב הלוי</t>
  </si>
  <si>
    <t>עיונים בחנוכה</t>
  </si>
  <si>
    <t>ווייל, חזקיהו יוסף בן צבי אברהם</t>
  </si>
  <si>
    <t>עיונים בכללי חינוך שבאיגרת הגר"א</t>
  </si>
  <si>
    <t>פרידלנדר, חיים</t>
  </si>
  <si>
    <t>עיונים בלשונות הראב"ע</t>
  </si>
  <si>
    <t>ליפשיץ, אברהם</t>
  </si>
  <si>
    <t>עיונים במועדים</t>
  </si>
  <si>
    <t>עיונים במחשבת החסידות</t>
  </si>
  <si>
    <t>עיונים במסכתות סנהדרין וברכות</t>
  </si>
  <si>
    <t>עיונים במשלי</t>
  </si>
  <si>
    <t>עיונים במשנה ברורה - 7 כר'</t>
  </si>
  <si>
    <t>עיונים במשפט - 3 כר'</t>
  </si>
  <si>
    <t>שאנן, חיים שלמה בן שמעיה</t>
  </si>
  <si>
    <t>עיונים בנושא החנוכה</t>
  </si>
  <si>
    <t>א. פ.</t>
  </si>
  <si>
    <t>עיונים בסוגיות נזקי אש</t>
  </si>
  <si>
    <t>עיונים בסוגיות נזקי בור</t>
  </si>
  <si>
    <t>עיונים בפרקי אבות</t>
  </si>
  <si>
    <t>עיונים בפרשה - 5 כר'</t>
  </si>
  <si>
    <t>רייזמן, יהושע השיל</t>
  </si>
  <si>
    <t>עיונים בפרשה</t>
  </si>
  <si>
    <t>עיונים בפרשנות המקרא</t>
  </si>
  <si>
    <t>עיונים ברש"י</t>
  </si>
  <si>
    <t>עיונים בתהלים</t>
  </si>
  <si>
    <t>עיונים בתפלה</t>
  </si>
  <si>
    <t>אייזעמאן, משה הלוי</t>
  </si>
  <si>
    <t>עיונים ובאורים - הוריות</t>
  </si>
  <si>
    <t>לוי, שמואל בן אליהו</t>
  </si>
  <si>
    <t>עיונים וביאורים בענייני ערבות במצוות</t>
  </si>
  <si>
    <t>עיונים וביאורים בפרשה ובהפטרה</t>
  </si>
  <si>
    <t>עיונים וביאורים מאמר איתא במדרש תילים</t>
  </si>
  <si>
    <t>עיונים וביאורים</t>
  </si>
  <si>
    <t>הגר, יעקב</t>
  </si>
  <si>
    <t>עיונים והערות במלאכת שביעית</t>
  </si>
  <si>
    <t>גלינסקי, אפרים זלמן</t>
  </si>
  <si>
    <t>עיונים וציונים</t>
  </si>
  <si>
    <t>שטסמן, יצחק אליהו בן משנ</t>
  </si>
  <si>
    <t>עיונים משיעורי הרב מרדכי - 4 כר'</t>
  </si>
  <si>
    <t>עיונים סביב שבעה צירופי שם יקו"ק ב"ה</t>
  </si>
  <si>
    <t>עיונים על הש"ס - א</t>
  </si>
  <si>
    <t>גרליץ, אהרן בן ירחמיאל שלמה</t>
  </si>
  <si>
    <t>עיונים קצרים בפרשה ובמועדי ישראל</t>
  </si>
  <si>
    <t>עיטור בכורי קציר</t>
  </si>
  <si>
    <t>פירארה. תלמוד תורה</t>
  </si>
  <si>
    <t>עיטור בכורים - 2 כר'</t>
  </si>
  <si>
    <t>אריאלי, גרשון בן יצחק</t>
  </si>
  <si>
    <t>עיטור ברכה</t>
  </si>
  <si>
    <t>עיטור סופרים</t>
  </si>
  <si>
    <t>גלצר, מרדכי</t>
  </si>
  <si>
    <t>עיטור סופרים - נדה</t>
  </si>
  <si>
    <t>ישיבת עטרת שלמה ירוחם</t>
  </si>
  <si>
    <t>משה בן ישראל מלאנצברג</t>
  </si>
  <si>
    <t>עיטור סופרים. תקנ"ז</t>
  </si>
  <si>
    <t>תרמ"ח - תרמ"ט</t>
  </si>
  <si>
    <t>עיטור שנה</t>
  </si>
  <si>
    <t>פשקס, אליקים געציל</t>
  </si>
  <si>
    <t>עיטורי אמונה</t>
  </si>
  <si>
    <t>עיטורי הלכה - 11 כר'</t>
  </si>
  <si>
    <t>עיטורי חיים - על אור החיים</t>
  </si>
  <si>
    <t>שוורץ, משה</t>
  </si>
  <si>
    <t>עיטורי טהרה - 2 כר'</t>
  </si>
  <si>
    <t>כולל משכן דוד - עטרת שלמה</t>
  </si>
  <si>
    <t>עיטורי ירושלים - 3 כר'</t>
  </si>
  <si>
    <t>ישיבת עטרת ירושלים</t>
  </si>
  <si>
    <t>עיטורי מגילה</t>
  </si>
  <si>
    <t>עיטורי מנורה</t>
  </si>
  <si>
    <t>עיטורי מצוות</t>
  </si>
  <si>
    <t>עיטורי מרדכי - 13 כר'</t>
  </si>
  <si>
    <t>מאיר, מרדכי יעקב בן שמואל</t>
  </si>
  <si>
    <t>עיטורי צבי</t>
  </si>
  <si>
    <t>אייכנשטיין, מנחם צבי</t>
  </si>
  <si>
    <t>עיטורי שבת - ב</t>
  </si>
  <si>
    <t>כולל משכן דוד עטרת שלמה</t>
  </si>
  <si>
    <t>עיטורי תורה - 2 כר'</t>
  </si>
  <si>
    <t>פיין, א.</t>
  </si>
  <si>
    <t>עיטורי תלמוד - 2 כר'</t>
  </si>
  <si>
    <t>עיין ר"ש - ביאור הגר"א הלכות מקוואות</t>
  </si>
  <si>
    <t>פכמן, שלמה זלמן בן יצחק</t>
  </si>
  <si>
    <t>עיין תוס' - ביאור הגר"א הלכות ברכת הפירות</t>
  </si>
  <si>
    <t>עילוי נשמות &lt;נוסח בלדי, שאמי&gt;</t>
  </si>
  <si>
    <t>עילוי נשמות</t>
  </si>
  <si>
    <t>עילוי נשמות &lt;נוסח ראדה&gt;</t>
  </si>
  <si>
    <t>עילוי נשמות &lt;נוסח ק"ק עדן&gt;</t>
  </si>
  <si>
    <t>שמואל, ישעיהו בן מנחם (עורך)</t>
  </si>
  <si>
    <t>עין אברהם - 2 כר'</t>
  </si>
  <si>
    <t>כהן, אברהם בן יוסף</t>
  </si>
  <si>
    <t>עין אליהו - 4 כר'</t>
  </si>
  <si>
    <t>עין אליעזר</t>
  </si>
  <si>
    <t>וולק, אליעזר ליפמאן בן עזריאל הכהן</t>
  </si>
  <si>
    <t>עין במשפט</t>
  </si>
  <si>
    <t>עין דמעה</t>
  </si>
  <si>
    <t>גרינוואלד, יהושע</t>
  </si>
  <si>
    <t>עין דמעה - 8 כר'</t>
  </si>
  <si>
    <t>תקצ"ד - תרצ"ב</t>
  </si>
  <si>
    <t>עין הבאר - שיח אפרים</t>
  </si>
  <si>
    <t>עין הבדולח</t>
  </si>
  <si>
    <t>עין הבדולח - שבת</t>
  </si>
  <si>
    <t>ישיבת מעלות</t>
  </si>
  <si>
    <t>עין הבדלח - 3 כר'</t>
  </si>
  <si>
    <t>מאנהיימר, חיים צבי בן דוד יהודה ליב</t>
  </si>
  <si>
    <t>עין המים - 3 כר'</t>
  </si>
  <si>
    <t>גוטפרב, ישראל מאיר בן ידידיה יחיאל מיכל</t>
  </si>
  <si>
    <t>עין המים</t>
  </si>
  <si>
    <t>וויגודזקי, אליהו בן דוד</t>
  </si>
  <si>
    <t>[תרפ"ח,</t>
  </si>
  <si>
    <t>ינקלביץ, עמוס בן מיכה</t>
  </si>
  <si>
    <t>עין המים - מקוואות</t>
  </si>
  <si>
    <t>עין המים - הספד על מוהר"ר דובערוש מייזליש זצ"ל</t>
  </si>
  <si>
    <t>עין המים - הספד על מוהר"ר עקיבא איגר זצ"ל</t>
  </si>
  <si>
    <t>פלאם, אברהם דוב בן נתן</t>
  </si>
  <si>
    <t>עין המים, פנת יקרת</t>
  </si>
  <si>
    <t>עין המשפט - 4 כר'</t>
  </si>
  <si>
    <t>עין הקורא</t>
  </si>
  <si>
    <t>עין הקורא - 2 כר'</t>
  </si>
  <si>
    <t>יהב"י הנקדן - שיסלוביץ, יהודה ליב בן מרדכי</t>
  </si>
  <si>
    <t>עין הרועים - 2 כר'</t>
  </si>
  <si>
    <t>עין התכלת - 2 כר'</t>
  </si>
  <si>
    <t>עין חיים - 2 כר'</t>
  </si>
  <si>
    <t>עין טוביה</t>
  </si>
  <si>
    <t>סגל, טוביה בן יחיאל</t>
  </si>
  <si>
    <t>תרע"ד - תרפ"ב</t>
  </si>
  <si>
    <t>עין ידיד - שבת</t>
  </si>
  <si>
    <t>עין ידיד - נדה, יחוד</t>
  </si>
  <si>
    <t>עין יהודה</t>
  </si>
  <si>
    <t>רבינוביץ, אליעזר יהודה בן מרדכי יצחק אי</t>
  </si>
  <si>
    <t>עין יהוסף - 3 כר'</t>
  </si>
  <si>
    <t>חזן, יוסף בן אליהו</t>
  </si>
  <si>
    <t>עין יוסף</t>
  </si>
  <si>
    <t>פרבר, יוסף</t>
  </si>
  <si>
    <t>עין ימין</t>
  </si>
  <si>
    <t>עין יעקב &lt;דפו"ר&gt; - 2 כר'</t>
  </si>
  <si>
    <t>רע"ו - רפ"ב</t>
  </si>
  <si>
    <t>עין יעקב &lt;מהדורה חדשה&gt; - 7 כר'</t>
  </si>
  <si>
    <t>עין יעקב &lt;עין אליהו&gt; - 5 כר'</t>
  </si>
  <si>
    <t>עין יעקב המבואר - 7 כר'</t>
  </si>
  <si>
    <t>אבן-חביב, יעקב בן שלמה - וולדמן, חיים יוסף</t>
  </si>
  <si>
    <t>עין יעקב המפואר &lt;ביאורי האגדות&gt; - 4 כר'</t>
  </si>
  <si>
    <t>עין יעקב עם ביאור עין אברהם - 4 כר'</t>
  </si>
  <si>
    <t>אבן-חביב, יעקב בן שלמה - שיק, אברהם</t>
  </si>
  <si>
    <t>עין יעקב עם עברי דייטש - 4 כר'</t>
  </si>
  <si>
    <t>יעבץ, יוסף מאיר</t>
  </si>
  <si>
    <t>עין יעקב - 9 כר'</t>
  </si>
  <si>
    <t>עין יעקב</t>
  </si>
  <si>
    <t>עין יצחק - 4 כר'</t>
  </si>
  <si>
    <t>עין יצחק - 2 כר'</t>
  </si>
  <si>
    <t>עין ישראל &lt;עין יעקב ע"פ בית יהודה&gt; - 2 כר'</t>
  </si>
  <si>
    <t>תלמוד בבלי, תלמוד ירושלמי, תלמוד ירושלמי</t>
  </si>
  <si>
    <t>עין ישראל - 2 כר'</t>
  </si>
  <si>
    <t>עין לאב</t>
  </si>
  <si>
    <t>בנר, אריה</t>
  </si>
  <si>
    <t>עין מאיר</t>
  </si>
  <si>
    <t>טויבר, מאיר בן ליפמאן</t>
  </si>
  <si>
    <t>דרושים, הלכה ומנהג, תולדות עם ישראל, תלמוד בבלי, תלמוד בבלי</t>
  </si>
  <si>
    <t>עין משפט</t>
  </si>
  <si>
    <t>אברהם בן יוסף הלוי</t>
  </si>
  <si>
    <t>עין משפט - 2 כר'</t>
  </si>
  <si>
    <t>תרע"ד - תרצ"ח</t>
  </si>
  <si>
    <t>עין פנים בתורה - 2 כר'</t>
  </si>
  <si>
    <t>עין צופים</t>
  </si>
  <si>
    <t>עין ראי</t>
  </si>
  <si>
    <t>פייאצה, דוד בן רפאל אלישע יהודה</t>
  </si>
  <si>
    <t>עין רואה</t>
  </si>
  <si>
    <t>עין שמעון</t>
  </si>
  <si>
    <t>עין תרשיש - 3 כר'</t>
  </si>
  <si>
    <t>תרשיש, יהושע זליג בן ישעיה בינוש הלוי</t>
  </si>
  <si>
    <t>עינא פקיחא - הבו גודל</t>
  </si>
  <si>
    <t>ביגון, יוסף - כי טוב, אליהו</t>
  </si>
  <si>
    <t>עינות מים</t>
  </si>
  <si>
    <t>יוסף אלחנן בן מאיר הלוי</t>
  </si>
  <si>
    <t>עינות מים - חולין, ע"ז</t>
  </si>
  <si>
    <t>קובץ כולל ברכת שלמה ריווערדייל</t>
  </si>
  <si>
    <t>עיני אברהם</t>
  </si>
  <si>
    <t>צפיג, אברהם בן יהודה</t>
  </si>
  <si>
    <t>עיני אל ה'</t>
  </si>
  <si>
    <t>עיני ארי</t>
  </si>
  <si>
    <t>שור, יהודה ליב בן יוסף עוזר</t>
  </si>
  <si>
    <t>עיני בך</t>
  </si>
  <si>
    <t>עיני בנימין</t>
  </si>
  <si>
    <t>עיני דוד</t>
  </si>
  <si>
    <t>אמאדו, דוד בן יעקב</t>
  </si>
  <si>
    <t>כטורזא, דוד בן סעדאני</t>
  </si>
  <si>
    <t>עיני הכהן</t>
  </si>
  <si>
    <t>עיני העדה - 2 כר'</t>
  </si>
  <si>
    <t>תרכ"ג - תרכ"ד</t>
  </si>
  <si>
    <t>עיני העדה</t>
  </si>
  <si>
    <t>עיני חושן - 4 כר'</t>
  </si>
  <si>
    <t>חבורת לימוד קצות החושן</t>
  </si>
  <si>
    <t>עיני יצחק</t>
  </si>
  <si>
    <t>אלבעלי, יצחק בן ניסים משה</t>
  </si>
  <si>
    <t>עיני יצחק - 6 כר'</t>
  </si>
  <si>
    <t>לוי, רפאל יצחק</t>
  </si>
  <si>
    <t>תרל"ח - תרל"ט</t>
  </si>
  <si>
    <t>עיני ישראל - 2 כר'</t>
  </si>
  <si>
    <t>אנגלמאן, גבריאל בן ראובן ישראל הכהן</t>
  </si>
  <si>
    <t>תקפ"ב - תקפ"ה</t>
  </si>
  <si>
    <t>עיני ישראל</t>
  </si>
  <si>
    <t>טברסקי, ישראל בן שלמה זאב</t>
  </si>
  <si>
    <t>עיני כל חי &lt;פעולת צדיק לחיים&gt;</t>
  </si>
  <si>
    <t>דרושים, משנה, משנה, שאר ספרי חז"ל, תלמוד בבלי</t>
  </si>
  <si>
    <t>עיני מנחם - א</t>
  </si>
  <si>
    <t>עיני נסים</t>
  </si>
  <si>
    <t>עזראן, נסים יהודה</t>
  </si>
  <si>
    <t>אטלנטא</t>
  </si>
  <si>
    <t>עיני שמואל</t>
  </si>
  <si>
    <t>עיניך ברכות בחשבון - א בראשית</t>
  </si>
  <si>
    <t>עיניך פקוחות</t>
  </si>
  <si>
    <t>ליבוביץ, אריה יעקב</t>
  </si>
  <si>
    <t>עיניך רואות</t>
  </si>
  <si>
    <t>עינים למשפט &lt;מהדורה חדשה&gt; - 2 כר'</t>
  </si>
  <si>
    <t>עינים למשפט - 12 כר'</t>
  </si>
  <si>
    <t>עינים לראות</t>
  </si>
  <si>
    <t>עינים מאירות</t>
  </si>
  <si>
    <t>עיצומו של יום</t>
  </si>
  <si>
    <t>עיקר כתובה</t>
  </si>
  <si>
    <t>ישיבת תושיה תפרח</t>
  </si>
  <si>
    <t>עיקרי דינים</t>
  </si>
  <si>
    <t>עיקרי דרך החסידות</t>
  </si>
  <si>
    <t>עיקרי האשמורות ליחיד</t>
  </si>
  <si>
    <t>לוי, מאיר ליאור</t>
  </si>
  <si>
    <t>עיקרי הד"ט - 7 כר'</t>
  </si>
  <si>
    <t>תקס"ג-תקס"ו</t>
  </si>
  <si>
    <t>עיקרי הקיטלוג</t>
  </si>
  <si>
    <t>לוי, ראובן</t>
  </si>
  <si>
    <t>עיקרי הקרבנות - 2 כר'</t>
  </si>
  <si>
    <t>יוסף בן ישראל איסר</t>
  </si>
  <si>
    <t>עיר בנימין - 2 כר'</t>
  </si>
  <si>
    <t>בנימין זאב וולף בן שמואל</t>
  </si>
  <si>
    <t>עיר גבורים - 3 כר'</t>
  </si>
  <si>
    <t>עיר גבורים</t>
  </si>
  <si>
    <t>עיר דובנא ורבניה</t>
  </si>
  <si>
    <t>עיר דוד - 2 כר'</t>
  </si>
  <si>
    <t>עיר דוד</t>
  </si>
  <si>
    <t>כהן, דוד בן אהרן מירושלים</t>
  </si>
  <si>
    <t>תר"מ - תרמ"ז</t>
  </si>
  <si>
    <t>עיר דמשק אליעזר</t>
  </si>
  <si>
    <t>אליעזר בן מנשה</t>
  </si>
  <si>
    <t>עיר הכהנים דבדו</t>
  </si>
  <si>
    <t>עיר הצבי</t>
  </si>
  <si>
    <t>עיר הצדק</t>
  </si>
  <si>
    <t>צונץ, יחיאל מתתיהו בן אלימלך</t>
  </si>
  <si>
    <t>עיר הקדש והמקדש - 5 כר'</t>
  </si>
  <si>
    <t>תשכ"ט - תש"ל</t>
  </si>
  <si>
    <t>עיר התמרים</t>
  </si>
  <si>
    <t>עיר ווילנא</t>
  </si>
  <si>
    <t>מגיד, הילל נח בן שלום ישראל</t>
  </si>
  <si>
    <t>עיר וקדיש משמיא נחית</t>
  </si>
  <si>
    <t>ליקוטים אודות האריז"ל</t>
  </si>
  <si>
    <t>עיר חנוך - 2 כר'</t>
  </si>
  <si>
    <t>טייטלבוים, חנוך העניך מסאסוב</t>
  </si>
  <si>
    <t>דרושים, חסידות, תולדות עם ישראל, תנ"ך, תנ"ך</t>
  </si>
  <si>
    <t>עיר לסק וחכמיה</t>
  </si>
  <si>
    <t>גליקסמאן, פינחס זליג בן אברהם צבי הירש</t>
  </si>
  <si>
    <t>עיר מבצר - 2 כר'</t>
  </si>
  <si>
    <t>אדלר, מרדכי צבי בן חיים דוב הלוי</t>
  </si>
  <si>
    <t>סוליבה Svalava</t>
  </si>
  <si>
    <t>שאלות ותשובות, שלחן ערוך ומפרשיו, תנ"ך</t>
  </si>
  <si>
    <t>עיר מקלט &lt;מהדורה חדשה&gt;</t>
  </si>
  <si>
    <t>עיר מקלט</t>
  </si>
  <si>
    <t>רוט, ישראל בן חיים דוב</t>
  </si>
  <si>
    <t>עיר על תילה - 2 כר'</t>
  </si>
  <si>
    <t>רבנות בני ברק</t>
  </si>
  <si>
    <t>עיר שושן</t>
  </si>
  <si>
    <t>שטיין, אליעזר ליפמאן בן לוי</t>
  </si>
  <si>
    <t>עיר של זהב &lt;ירושלמי-תוספתא&gt; - שביעית</t>
  </si>
  <si>
    <t>פנדל, זלמן הלל בן זכריה</t>
  </si>
  <si>
    <t>עיר של זהב &lt;ירושלמי&gt; - ברכות</t>
  </si>
  <si>
    <t>עיר של זהב &lt;תוספתא&gt; - מקואות, ידים</t>
  </si>
  <si>
    <t>עיר של זהב</t>
  </si>
  <si>
    <t>אלאזראקי, אברהם בן שלמה</t>
  </si>
  <si>
    <t>עיר תהלה</t>
  </si>
  <si>
    <t>עירוב והוצאה</t>
  </si>
  <si>
    <t>עירוב כהלכתו</t>
  </si>
  <si>
    <t>עירובי העיר והשכונות</t>
  </si>
  <si>
    <t>מצגר, יוחנן אליעזר בן משה יעקב</t>
  </si>
  <si>
    <t>עירובי חצירות</t>
  </si>
  <si>
    <t>עירין קדישין תליתאה</t>
  </si>
  <si>
    <t>מליץ Mielec</t>
  </si>
  <si>
    <t>עירין קדישין תניינא</t>
  </si>
  <si>
    <t>עירין קדישין</t>
  </si>
  <si>
    <t>עכו היהודית</t>
  </si>
  <si>
    <t>אהרונסון, אהרן בן אפרים פישל</t>
  </si>
  <si>
    <t>על "סדר חיבור ברכות"</t>
  </si>
  <si>
    <t>על איילת השחר</t>
  </si>
  <si>
    <t>על אילת השחר</t>
  </si>
  <si>
    <t>טויטו, דניאל</t>
  </si>
  <si>
    <t>על במתי ארץ הצבי</t>
  </si>
  <si>
    <t>על בן אמצת לך</t>
  </si>
  <si>
    <t>על ברכת החמה</t>
  </si>
  <si>
    <t>הארטום, אליהו שמואל בן מנחם</t>
  </si>
  <si>
    <t>על גדות ים התלמוד</t>
  </si>
  <si>
    <t>על דבר הוצאה חדשה של תלמוד בבלי</t>
  </si>
  <si>
    <t>על האחרונים</t>
  </si>
  <si>
    <t>על הגאולה ועל התמורה</t>
  </si>
  <si>
    <t>על הגבורות</t>
  </si>
  <si>
    <t>על ההלכה ועל הכלכלה</t>
  </si>
  <si>
    <t>אספיס, משה זאב</t>
  </si>
  <si>
    <t>על היכלי</t>
  </si>
  <si>
    <t>על הירושלמי</t>
  </si>
  <si>
    <t>ליברמאן, שאול בן משה</t>
  </si>
  <si>
    <t>על הישיבות</t>
  </si>
  <si>
    <t>על הכל</t>
  </si>
  <si>
    <t>משה בן שניאור מאיברא</t>
  </si>
  <si>
    <t>על המועדים</t>
  </si>
  <si>
    <t>על המילה</t>
  </si>
  <si>
    <t>שפר, יהודה ליב בן מנחם מנדל</t>
  </si>
  <si>
    <t>על הניסים</t>
  </si>
  <si>
    <t>על הנסים</t>
  </si>
  <si>
    <t>איש נטורי קרתא</t>
  </si>
  <si>
    <t>על העבודה</t>
  </si>
  <si>
    <t>גוטפרב, מנחם בן ציון בן יצחק דוד</t>
  </si>
  <si>
    <t>על הפורקן</t>
  </si>
  <si>
    <t>על הפרשה - 3 כר'</t>
  </si>
  <si>
    <t>על הצדיקים ועל החסידים</t>
  </si>
  <si>
    <t>בריסק, יצחק יוסף</t>
  </si>
  <si>
    <t>על הר סיני</t>
  </si>
  <si>
    <t>על הרג אחינו בעירק</t>
  </si>
  <si>
    <t>על הרג אחינו בעיראק</t>
  </si>
  <si>
    <t>על הרחמים</t>
  </si>
  <si>
    <t>על הרי בתר</t>
  </si>
  <si>
    <t>על השבת ועל גיוס בני ישיבות ועל כו'</t>
  </si>
  <si>
    <t>על התורה ועל העבודה - 2 כר'</t>
  </si>
  <si>
    <t>על התורה ועל העבודה - תשע"ט</t>
  </si>
  <si>
    <t>גנצוויג, נפתלי הירץ</t>
  </si>
  <si>
    <t>שיינפלד, משה חיים</t>
  </si>
  <si>
    <t>על התלמוד בתימן</t>
  </si>
  <si>
    <t>על התלמוד - 4 כר'</t>
  </si>
  <si>
    <t>סילברשטיין, אברהם</t>
  </si>
  <si>
    <t>על התרגום הירושלמי לתורה</t>
  </si>
  <si>
    <t>על התשועות</t>
  </si>
  <si>
    <t>על חומותיך בני ברק - 2 כר'</t>
  </si>
  <si>
    <t>מאיר, יצחק</t>
  </si>
  <si>
    <t>על חומותיך ירושלים הפקדתי שומרים</t>
  </si>
  <si>
    <t>אסופת מאמרים לזכרו של ר' שלמה זלמן דרוק</t>
  </si>
  <si>
    <t>על חומותיך ירושלים</t>
  </si>
  <si>
    <t>על חומותיך ירושלם</t>
  </si>
  <si>
    <t>על חומותיך</t>
  </si>
  <si>
    <t>על חטא ותשובה</t>
  </si>
  <si>
    <t>על ידי עבדיך הנביאים - 2 כר'</t>
  </si>
  <si>
    <t>על יובל ישלח שרשיו</t>
  </si>
  <si>
    <t>על ישראל הדרתו - תולדות רבי ישראל טויסיג</t>
  </si>
  <si>
    <t>מכון תפארת יוסף</t>
  </si>
  <si>
    <t>על ישראל עליתו</t>
  </si>
  <si>
    <t>לאו, משה חיים</t>
  </si>
  <si>
    <t>על כמה מקורות ועניינים בפירוש רש"י לירמיהו ויחזקאל - תדפיס</t>
  </si>
  <si>
    <t>על כן קרא שמו</t>
  </si>
  <si>
    <t>על כן</t>
  </si>
  <si>
    <t>פסין, יהודה</t>
  </si>
  <si>
    <t>על כנפי נשרים</t>
  </si>
  <si>
    <t>על מזוזות ביתך</t>
  </si>
  <si>
    <t>על מטרת החיים</t>
  </si>
  <si>
    <t>רונטברג, הלל</t>
  </si>
  <si>
    <t>על מיקומו ומבנהו של הקיקלר בקדושתא הקלירית (תדפיס)</t>
  </si>
  <si>
    <t>על מסכת עבודה זרה</t>
  </si>
  <si>
    <t>בני החבורה כולל נפש החיים</t>
  </si>
  <si>
    <t>על מצות ומרורים</t>
  </si>
  <si>
    <t>על משכנות הרועים - 2 כר'</t>
  </si>
  <si>
    <t>מיירנץ, מרדכי</t>
  </si>
  <si>
    <t>על משכנות הרועים</t>
  </si>
  <si>
    <t>שולזינגר, אלעזר בן יצחק</t>
  </si>
  <si>
    <t>תש"מי</t>
  </si>
  <si>
    <t>על משמר בריתו של אאע"ה כהלכתו</t>
  </si>
  <si>
    <t>הועד למשמרת מילה</t>
  </si>
  <si>
    <t>על משמר קדשי האומה</t>
  </si>
  <si>
    <t>על נהרות בבל</t>
  </si>
  <si>
    <t>רפאל בן שלמה ציון</t>
  </si>
  <si>
    <t>על נהרות ספרד</t>
  </si>
  <si>
    <t>ברנשטיין, שמעון גרשון בן רפאל</t>
  </si>
  <si>
    <t>תשט"ז,</t>
  </si>
  <si>
    <t>(ירושלים),</t>
  </si>
  <si>
    <t>על ספריות וספרנות</t>
  </si>
  <si>
    <t>שונמי, שלמה</t>
  </si>
  <si>
    <t>על עמך יערימו סוד</t>
  </si>
  <si>
    <t>מכון יערימו סוד</t>
  </si>
  <si>
    <t>על ענין עשרת מכות מצרים</t>
  </si>
  <si>
    <t>על עסק התורה</t>
  </si>
  <si>
    <t>יחיאל בן אורי</t>
  </si>
  <si>
    <t>על פי התורה - 3 כר'</t>
  </si>
  <si>
    <t>על פירוש רבינו גרשום מאור הגולה</t>
  </si>
  <si>
    <t>על פלגי מים</t>
  </si>
  <si>
    <t>על פליטת סופריהם</t>
  </si>
  <si>
    <t>על פרשת השבוע - 2 כר'</t>
  </si>
  <si>
    <t>על פשעי התנועה הרפורמית</t>
  </si>
  <si>
    <t>גלמן, אריה ליב בן יוסף</t>
  </si>
  <si>
    <t>על צדיקים ועל חסידים - 2 כר'</t>
  </si>
  <si>
    <t>על צפורני נשרים</t>
  </si>
  <si>
    <t>ארגון תורת אבות</t>
  </si>
  <si>
    <t>על קדושת החינוך</t>
  </si>
  <si>
    <t>רבני ירושלים</t>
  </si>
  <si>
    <t>על קרי וכתיב</t>
  </si>
  <si>
    <t>על רגל אחת</t>
  </si>
  <si>
    <t>על שושנים</t>
  </si>
  <si>
    <t>תרנ"-</t>
  </si>
  <si>
    <t>על שני קצות החושן - 2 כר'</t>
  </si>
  <si>
    <t>עלבונה של תורה</t>
  </si>
  <si>
    <t>מורגנשטרן, יצחק זליג בן חיים ישראל</t>
  </si>
  <si>
    <t>עלה אלי ההרה</t>
  </si>
  <si>
    <t>עלה אריה מסבכו</t>
  </si>
  <si>
    <t>שפריי, שמעון י</t>
  </si>
  <si>
    <t>עלה דזית</t>
  </si>
  <si>
    <t>עלה דיונה</t>
  </si>
  <si>
    <t>יונה בן משה בנימין זאב</t>
  </si>
  <si>
    <t>עלה יונה</t>
  </si>
  <si>
    <t>מרצבך, יונה בן משה</t>
  </si>
  <si>
    <t>ירושלים-בני ברק</t>
  </si>
  <si>
    <t>עלה לדוגמא</t>
  </si>
  <si>
    <t>אברהם אבוש מרדכי בן צבי הירש הלוי</t>
  </si>
  <si>
    <t>עלה עזרא - עטרת שלמה</t>
  </si>
  <si>
    <t>עטייה, עזרא - לאניאדו, רפאל שלמה</t>
  </si>
  <si>
    <t>עלה תרופה</t>
  </si>
  <si>
    <t>עלהו רענן</t>
  </si>
  <si>
    <t>עלוי נשמות</t>
  </si>
  <si>
    <t>עלון אספקלריה - 3 כר'</t>
  </si>
  <si>
    <t>עלון עץ חיים - תשע"ב-תשע"ג</t>
  </si>
  <si>
    <t>עלון עץ חיים</t>
  </si>
  <si>
    <t>עלון קול התורה - 7 כר'</t>
  </si>
  <si>
    <t>מערכת קול התורה</t>
  </si>
  <si>
    <t>עלון שער התפילה - 1-25</t>
  </si>
  <si>
    <t>ק"ק סטניסלוב</t>
  </si>
  <si>
    <t>ביתרעילית</t>
  </si>
  <si>
    <t>עלוני הזוהר</t>
  </si>
  <si>
    <t>עלוני ממרא - 5 כר'</t>
  </si>
  <si>
    <t>ביטאון ישיבת ניר קרית ארבע</t>
  </si>
  <si>
    <t>עלוני משנתה של תורה</t>
  </si>
  <si>
    <t>הלל, זאב</t>
  </si>
  <si>
    <t>עלוני פניני עין חמד - 10 כר'</t>
  </si>
  <si>
    <t>בית הכנסת עין חמד</t>
  </si>
  <si>
    <t>עלוני שמירת הלשון - 1-140</t>
  </si>
  <si>
    <t>עלונים לשבת - ה</t>
  </si>
  <si>
    <t>המועצה הציבורית למען השבת</t>
  </si>
  <si>
    <t>תשי"ג-תשט"ז</t>
  </si>
  <si>
    <t>עלות המנחה</t>
  </si>
  <si>
    <t>[תקנ"ג]</t>
  </si>
  <si>
    <t>עלי אור - 28 כר'</t>
  </si>
  <si>
    <t>עלי אור - 4 כר'</t>
  </si>
  <si>
    <t>עלי ארח - יבמות</t>
  </si>
  <si>
    <t>עלי באר - 4 כר'</t>
  </si>
  <si>
    <t>עלי באר - 2 כר'</t>
  </si>
  <si>
    <t>עלי באר</t>
  </si>
  <si>
    <t>עלי ברוש</t>
  </si>
  <si>
    <t>ברוק, יוסף</t>
  </si>
  <si>
    <t>עלי דרך</t>
  </si>
  <si>
    <t>ברודא, חיים צבי הירש</t>
  </si>
  <si>
    <t>עלי דרך - 2 כר'</t>
  </si>
  <si>
    <t>סיימון, אברהם דוד בן שמואל אריה ליב</t>
  </si>
  <si>
    <t>עלי דשא - 2 כר'</t>
  </si>
  <si>
    <t>אוסטרזצר, שמואל דב</t>
  </si>
  <si>
    <t>עלי דשא - 5 כר'</t>
  </si>
  <si>
    <t>עלי דשא - 11 כר'</t>
  </si>
  <si>
    <t>עלי הגיון</t>
  </si>
  <si>
    <t>קליין, יהודה בן יחיאל</t>
  </si>
  <si>
    <t>עלי הדס</t>
  </si>
  <si>
    <t>הדס, דוד בן אליעזר</t>
  </si>
  <si>
    <t>עלי הדס - 2 כר'</t>
  </si>
  <si>
    <t>סטבון, דוד בן זכריה</t>
  </si>
  <si>
    <t>עלי הקאת - קדושת שביעית</t>
  </si>
  <si>
    <t>עלי ורדים - 3 כר'</t>
  </si>
  <si>
    <t>לוונשטיין, שלמה בן שרגא - קריזר, צבי בן אברהם אהרן</t>
  </si>
  <si>
    <t>עלי זבח</t>
  </si>
  <si>
    <t>חשין, יוסף צבי</t>
  </si>
  <si>
    <t>עלי זית</t>
  </si>
  <si>
    <t>עלי זכרון - 55 כר'</t>
  </si>
  <si>
    <t>רשומות לתולדות אישים וקהלות אגרות ומסמכים</t>
  </si>
  <si>
    <t>עלי טהרה - 3 כר'</t>
  </si>
  <si>
    <t>עלי יגון אשר לשלמה</t>
  </si>
  <si>
    <t>עלי יגון בכיה ומספד</t>
  </si>
  <si>
    <t>ברזילי, שמעון ישעיהו</t>
  </si>
  <si>
    <t>עלי יוסף - 26 כר'</t>
  </si>
  <si>
    <t>עלי מים</t>
  </si>
  <si>
    <t>מונק, משה יצחק בן יעקב אהרן</t>
  </si>
  <si>
    <t>עלי מרורות</t>
  </si>
  <si>
    <t>עלי מרפא</t>
  </si>
  <si>
    <t>עלי משפט</t>
  </si>
  <si>
    <t>כהן, דניאל חיים בן אברהם</t>
  </si>
  <si>
    <t>עלי נהר - 2 כר'</t>
  </si>
  <si>
    <t>הררי-רפול, ניסים בן ישעיה</t>
  </si>
  <si>
    <t>עלי נהר</t>
  </si>
  <si>
    <t>עלי עין</t>
  </si>
  <si>
    <t>אברכי כולל זכרון שמחה</t>
  </si>
  <si>
    <t>עלי עין - 3 כר'</t>
  </si>
  <si>
    <t>משפחת רבי יוסף ריבלין</t>
  </si>
  <si>
    <t>קארטופל, יוסף בן משה דוד</t>
  </si>
  <si>
    <t>שץ, יהודה לייב בן יעקב</t>
  </si>
  <si>
    <t>עלי עשור ועלי נאבל</t>
  </si>
  <si>
    <t>קרית עקרון</t>
  </si>
  <si>
    <t>עלי עשור - כנור דוד</t>
  </si>
  <si>
    <t>עלי ציון - 3 כר'</t>
  </si>
  <si>
    <t>גרוס, יהודה בן צבי</t>
  </si>
  <si>
    <t>עלי שי"ח - שו"ת מהגרח"ק קנייבסקי שליט"א</t>
  </si>
  <si>
    <t>וינר, יעקב</t>
  </si>
  <si>
    <t>עלי שיח</t>
  </si>
  <si>
    <t>ברייש, חנה גאלדא</t>
  </si>
  <si>
    <t>עלי תמר - 7 כר'</t>
  </si>
  <si>
    <t>תמר, ישכר בן צבי</t>
  </si>
  <si>
    <t>עלי תמרים - 3 כר'</t>
  </si>
  <si>
    <t>עליהם הוא יחיה</t>
  </si>
  <si>
    <t>אולשוונג</t>
  </si>
  <si>
    <t>עליות אליהו</t>
  </si>
  <si>
    <t>עליות אליהו - 2 כר'</t>
  </si>
  <si>
    <t>עליות דרבינו יונה ב"ב - 2 כר'</t>
  </si>
  <si>
    <t>עליות התשובה</t>
  </si>
  <si>
    <t>עליות מנחם</t>
  </si>
  <si>
    <t>פריידין, מנחם מנדל בן לוי יצחק</t>
  </si>
  <si>
    <t>עליות משה - 3 כר'</t>
  </si>
  <si>
    <t>שיינברגר, משה בן יוסף</t>
  </si>
  <si>
    <t>עליות פיקודיך - 2 כר'</t>
  </si>
  <si>
    <t>עליות שמואל</t>
  </si>
  <si>
    <t>הלפרט, שמואל בן יצחק</t>
  </si>
  <si>
    <t>עליית קהילת יהודי ביצ'א מתימן</t>
  </si>
  <si>
    <t>זכריה, מנשה</t>
  </si>
  <si>
    <t>עליית קיר קטנה - 2 כר'</t>
  </si>
  <si>
    <t>קוזין, לוי</t>
  </si>
  <si>
    <t>עליית שלמה</t>
  </si>
  <si>
    <t>יונגר, שלמה נפתלי</t>
  </si>
  <si>
    <t>עלים לביבליוגרפיה וקורות ישראל - 8 כר'</t>
  </si>
  <si>
    <t>עלים לביבליוגרפיה וקורות ישראל</t>
  </si>
  <si>
    <t>תרצ"ד-תרצ"ח</t>
  </si>
  <si>
    <t>עלים למבחן</t>
  </si>
  <si>
    <t>עלים לתרופה (אגרת הרמב"ן, אגרת הגר"א) - 2 כר'</t>
  </si>
  <si>
    <t>משה בן נחמן (רמב"ן) - אליהו בן שלמה זלמן (הגר"א)</t>
  </si>
  <si>
    <t>עלים לתרופה מכתבי מוהרנ"ת - 3 כר'</t>
  </si>
  <si>
    <t>חסידות, נושאים שונים, תפלות בקשות פיוטים ושירה</t>
  </si>
  <si>
    <t>עלים לתרופה</t>
  </si>
  <si>
    <t>עלים לתרופה - דורש לציון - תועפות רא"ם</t>
  </si>
  <si>
    <t>[תקל"ח]</t>
  </si>
  <si>
    <t>עלים לתרופה - 3 כר'</t>
  </si>
  <si>
    <t>קובץ שבועי</t>
  </si>
  <si>
    <t>עלית מרבד הקסמים</t>
  </si>
  <si>
    <t>מנצורה, שלום</t>
  </si>
  <si>
    <t>עלית משה</t>
  </si>
  <si>
    <t>סלושץ, דוד שלמה בן יצחק</t>
  </si>
  <si>
    <t>אדעססא,</t>
  </si>
  <si>
    <t>עללת הבציר</t>
  </si>
  <si>
    <t>יוסף צבי הירש בן שלמה זלמן</t>
  </si>
  <si>
    <t>עלת החדש</t>
  </si>
  <si>
    <t>עלת תמיד &lt;מנוקד&gt;</t>
  </si>
  <si>
    <t>עלת תמיד</t>
  </si>
  <si>
    <t>עם השם - 2 כר'</t>
  </si>
  <si>
    <t>עם התורה המאורגן</t>
  </si>
  <si>
    <t>עם התורה מסביב לעולם - 3 כר'</t>
  </si>
  <si>
    <t>מרכז פראגר, י. נווה</t>
  </si>
  <si>
    <t>עם התורה</t>
  </si>
  <si>
    <t>הנדלס, בנימין זאב</t>
  </si>
  <si>
    <t>עם התורה - 60 כר'</t>
  </si>
  <si>
    <t>עם וארצו - ב</t>
  </si>
  <si>
    <t>עם לבבי אשיחה - 2 כר'</t>
  </si>
  <si>
    <t>עם לבדד ישכון</t>
  </si>
  <si>
    <t>מכון עם לבדד</t>
  </si>
  <si>
    <t>עם לבדד - 2 כר'</t>
  </si>
  <si>
    <t>עם מקדשי שביעי</t>
  </si>
  <si>
    <t>המערכה על קדושת השבת בפתח תקוה</t>
  </si>
  <si>
    <t>עם מרדכי</t>
  </si>
  <si>
    <t>וויליג, מרדכי יצחק בן יעקב הלוי</t>
  </si>
  <si>
    <t>עזראן, מרדכי</t>
  </si>
  <si>
    <t>עם נושע בה'</t>
  </si>
  <si>
    <t>א.י.ש.</t>
  </si>
  <si>
    <t>עם נחלת יצחק מראשיתה</t>
  </si>
  <si>
    <t>זימאן, יוסף בן זאב</t>
  </si>
  <si>
    <t>עם נקודות הכסף</t>
  </si>
  <si>
    <t>עם סגולה</t>
  </si>
  <si>
    <t>לוינברג, יהודה</t>
  </si>
  <si>
    <t>עם סגולה - 2 כר'</t>
  </si>
  <si>
    <t>עם סגולה - 6 כר'</t>
  </si>
  <si>
    <t>סילבר, עקיבא משה</t>
  </si>
  <si>
    <t>עם עני תושיע</t>
  </si>
  <si>
    <t>עם רם</t>
  </si>
  <si>
    <t>מאמאן, רפאל בן יהושע</t>
  </si>
  <si>
    <t>עמא דבר - א</t>
  </si>
  <si>
    <t>עמדו בחזקתכם</t>
  </si>
  <si>
    <t>עמוד אש - פסח</t>
  </si>
  <si>
    <t>עמוד אש - 5 כר'</t>
  </si>
  <si>
    <t>עמוד אש</t>
  </si>
  <si>
    <t>שטראשון, אלעזר בן מתתיהו</t>
  </si>
  <si>
    <t>שיינברגר, יוסף בן דוד</t>
  </si>
  <si>
    <t>עמוד האמת</t>
  </si>
  <si>
    <t>עמוד ההוראה</t>
  </si>
  <si>
    <t>עמוד החסד</t>
  </si>
  <si>
    <t>גולדברג, אברהם הילל בן יצחק</t>
  </si>
  <si>
    <t>עמוד הימיני</t>
  </si>
  <si>
    <t>אברהם בן אשר אנשל</t>
  </si>
  <si>
    <t>עמוד היראה והעבודה</t>
  </si>
  <si>
    <t>עמוד העבודה &lt;מהדורה חדשה&gt;</t>
  </si>
  <si>
    <t>עמוד העבודה</t>
  </si>
  <si>
    <t>עמוד התורה &lt;שבחי התורה&gt;</t>
  </si>
  <si>
    <t>עמוד התורה</t>
  </si>
  <si>
    <t>עמוד התפלה</t>
  </si>
  <si>
    <t>עמוד עבודה</t>
  </si>
  <si>
    <t>שצ"ו</t>
  </si>
  <si>
    <t>עמודא דנהורא &lt;מהדורה חדשה&gt;</t>
  </si>
  <si>
    <t>עמודא דנהורא - 2 כר'</t>
  </si>
  <si>
    <t>עמודו של עולם - מרן הגרי"ש אלישיב</t>
  </si>
  <si>
    <t>ישראלזון, ליפא</t>
  </si>
  <si>
    <t>עמודי אור - 2 כר'</t>
  </si>
  <si>
    <t>גרוסברד, אהרן זאב</t>
  </si>
  <si>
    <t>עמודי אור</t>
  </si>
  <si>
    <t>עמודי אורה - 2 כר'</t>
  </si>
  <si>
    <t>עמודי איגרא</t>
  </si>
  <si>
    <t>עמודי ארזים</t>
  </si>
  <si>
    <t>מחשבה ומוסר, נושאים שונים, תולדות עם ישראל, תולדות עם ישראל</t>
  </si>
  <si>
    <t>עמודי ארץ</t>
  </si>
  <si>
    <t>עמודי אש &lt;מהדורה חדשה&gt;</t>
  </si>
  <si>
    <t>אייזנשטיין, ישראל</t>
  </si>
  <si>
    <t>עמודי אש לבית יוסף &lt;מהדורה חדשה&gt;</t>
  </si>
  <si>
    <t>ווייס, מנחם בן משה</t>
  </si>
  <si>
    <t>עמודי אש לבית יוסף</t>
  </si>
  <si>
    <t>תרצ"ט - תש"א</t>
  </si>
  <si>
    <t>עמודי אש</t>
  </si>
  <si>
    <t>אזולאי, שאול</t>
  </si>
  <si>
    <t>איישישקר, אברהם שמואל בן יהודה ליב</t>
  </si>
  <si>
    <t>עמודי בית יהודה</t>
  </si>
  <si>
    <t>עמודי בית ישראל</t>
  </si>
  <si>
    <t>ישראל הלוי מפוריצק</t>
  </si>
  <si>
    <t>לווינסקי, ניסן בן ישראל הלוי</t>
  </si>
  <si>
    <t>עמודי גבר"א</t>
  </si>
  <si>
    <t>גדליה בן אליעזר סג"ל</t>
  </si>
  <si>
    <t>עמודי גולה &lt;ספר מצות קטן, אמרי יהוסף&gt;</t>
  </si>
  <si>
    <t>יצחק בן יוסף מקורביל - רלב"ג, חיים יהוסף</t>
  </si>
  <si>
    <t>עמודי גולה &lt;סמ"ק&gt; עם צביון העמודים - 8 כר'</t>
  </si>
  <si>
    <t>יצחק בן יוסף מקורביל - שפירא, צבי בן ישראל איסר</t>
  </si>
  <si>
    <t>עמודי גולה &lt;ספר מצות קטן&gt; - 4 כר'</t>
  </si>
  <si>
    <t>לדי Lyady</t>
  </si>
  <si>
    <t>עמודי גולה - 2 כר'</t>
  </si>
  <si>
    <t>רסט - רעו</t>
  </si>
  <si>
    <t>עמודי האש</t>
  </si>
  <si>
    <t>וייס, בצלאל (עורך)</t>
  </si>
  <si>
    <t>עמודי הבית - 3 כר'</t>
  </si>
  <si>
    <t>עמודי הוד - 5 כר'</t>
  </si>
  <si>
    <t>קליין, ישראל עמיהוד בן שמואל הכהן</t>
  </si>
  <si>
    <t>עמודי המחשבה הישראלית -  ג</t>
  </si>
  <si>
    <t>תשי"ד-תשכ"א</t>
  </si>
  <si>
    <t>עמודי העבודה - 2 כר'</t>
  </si>
  <si>
    <t>עמודי השולחן - 5 כר'</t>
  </si>
  <si>
    <t>עמודי השמים</t>
  </si>
  <si>
    <t>עמודי התורה - 2 כר'</t>
  </si>
  <si>
    <t>עמודי חיים</t>
  </si>
  <si>
    <t>עמודי יהונתן</t>
  </si>
  <si>
    <t>עמודי יעב"ץ</t>
  </si>
  <si>
    <t>עמודי כסף</t>
  </si>
  <si>
    <t>עמודי משפט - 2 כר'</t>
  </si>
  <si>
    <t>עמודי עבודה תמה</t>
  </si>
  <si>
    <t>קורדובירו, משה בן יעקב ועוד</t>
  </si>
  <si>
    <t>עמודי עולם</t>
  </si>
  <si>
    <t>אצבט, שלום</t>
  </si>
  <si>
    <t>פורת</t>
  </si>
  <si>
    <t>גינצבורג, יהודה ליב בן שמעון</t>
  </si>
  <si>
    <t>עמודי שי - קריאת התורה</t>
  </si>
  <si>
    <t>מנדלבאום, שמואל יונתן</t>
  </si>
  <si>
    <t>עמודי שיטים לבית הלוי</t>
  </si>
  <si>
    <t>פולאק, לוי בן דוד</t>
  </si>
  <si>
    <t>עמודי שיש - 3 כר'</t>
  </si>
  <si>
    <t>עמודי שלמה &lt;דפו"ר&gt;</t>
  </si>
  <si>
    <t>[ש"ס,</t>
  </si>
  <si>
    <t>עמודי שלמה - עירובין</t>
  </si>
  <si>
    <t>עמודי שלמה</t>
  </si>
  <si>
    <t>ברגמן, שלמה</t>
  </si>
  <si>
    <t>ויצמן, שלמה</t>
  </si>
  <si>
    <t>עמודי שלמה - 2 כר'</t>
  </si>
  <si>
    <t>עמודי שמואל</t>
  </si>
  <si>
    <t>מיודוסר, נחמן שמואל יעקב בן שלמה חיים</t>
  </si>
  <si>
    <t>עמודי שמים</t>
  </si>
  <si>
    <t>עמודי שמעתתא</t>
  </si>
  <si>
    <t>עמודי שש</t>
  </si>
  <si>
    <t>בויארסקי, שמואל שלמה בן משה מאיר</t>
  </si>
  <si>
    <t>עמודי שש - 5 כר'</t>
  </si>
  <si>
    <t>טופיק, יצחק</t>
  </si>
  <si>
    <t>עמודי שש - תולדות רבי שלמה שמשון קרליץ</t>
  </si>
  <si>
    <t>עמודי שש - 2 כר'</t>
  </si>
  <si>
    <t>עמודיה אש</t>
  </si>
  <si>
    <t>שליו, אהרן י</t>
  </si>
  <si>
    <t>עמודיה שבעה - 2 כר'</t>
  </si>
  <si>
    <t>עמודיה שבעה - 5 כר'</t>
  </si>
  <si>
    <t>עמודים בתולדות הספר העברי - 2 כר'</t>
  </si>
  <si>
    <t>עמידה בנסיון</t>
  </si>
  <si>
    <t>בן כליפה, יוסף</t>
  </si>
  <si>
    <t>עמידת יהונתן</t>
  </si>
  <si>
    <t>אייבשיץ, יהונתן בן נתן נטע - פינק, דב הכהן (עורך)</t>
  </si>
  <si>
    <t>עמך מקור חיים</t>
  </si>
  <si>
    <t>גלברד, שמואל פנחס</t>
  </si>
  <si>
    <t>עמל התורה</t>
  </si>
  <si>
    <t>עמל יהודה - פדה יהודה</t>
  </si>
  <si>
    <t>טאוב, יהודה יחיאל בן פנחס חיים</t>
  </si>
  <si>
    <t>עמל ישראל</t>
  </si>
  <si>
    <t>עמל פנחס</t>
  </si>
  <si>
    <t>סייפש, פנחס בן חיים ליב</t>
  </si>
  <si>
    <t>עמלה של תורה</t>
  </si>
  <si>
    <t>עמלה של תורה - קידושין</t>
  </si>
  <si>
    <t>עמלה של תורה - יבמות</t>
  </si>
  <si>
    <t>ישיבת נחלת הלוים</t>
  </si>
  <si>
    <t>עמלה של תורה - 2 כר'</t>
  </si>
  <si>
    <t>פלבינסקי, מרדכי בן שמואל זאב</t>
  </si>
  <si>
    <t>עמלה של תורה - 8 כר'</t>
  </si>
  <si>
    <t>עמלי תורה - שבת, יבמות</t>
  </si>
  <si>
    <t>ישיבה וכולל עמלי תורה</t>
  </si>
  <si>
    <t>עמלי תורה - כתובות</t>
  </si>
  <si>
    <t>קובץ ישיבת לומדי תורה</t>
  </si>
  <si>
    <t>עמלים בתורה - 3 כר'</t>
  </si>
  <si>
    <t>עמק אבות</t>
  </si>
  <si>
    <t>שוורץ, יצחק שמואל</t>
  </si>
  <si>
    <t>עמק אברהם</t>
  </si>
  <si>
    <t>ברומברג, אברהם ירחמיאל בן ישראל יחיאל מ</t>
  </si>
  <si>
    <t>גרונברג, אברהם</t>
  </si>
  <si>
    <t>עמק אליהו</t>
  </si>
  <si>
    <t>עמק אפרים - 2 כר'</t>
  </si>
  <si>
    <t>זורייבין, אפרים ראובן</t>
  </si>
  <si>
    <t>עמק ארזים</t>
  </si>
  <si>
    <t>רבינוביץ, מאיר</t>
  </si>
  <si>
    <t>עמק בנימין</t>
  </si>
  <si>
    <t>בורגופרונד Prundu Bi</t>
  </si>
  <si>
    <t>עמק ברכה &lt;מהדורה חדשה&gt;</t>
  </si>
  <si>
    <t>עמק ברכה - 3 כר'</t>
  </si>
  <si>
    <t>עמק ברכה - 6 כר'</t>
  </si>
  <si>
    <t>עמק ברכה</t>
  </si>
  <si>
    <t>יחיאל איכל מנחם נחום בן יעקב</t>
  </si>
  <si>
    <t>נחמני, יגאל בן גבריאל</t>
  </si>
  <si>
    <t>פרידמאן, דוד בן שמואל</t>
  </si>
  <si>
    <t>מחשבה ומוסר, נושאים שונים, שאלות ותשובות, שאלות ותשובות, תולדות עם ישראל</t>
  </si>
  <si>
    <t>עמק דב"ר</t>
  </si>
  <si>
    <t>פלדמן, דב בער בן מרדכי יוסף</t>
  </si>
  <si>
    <t>עמק האילן - 2 כר'</t>
  </si>
  <si>
    <t>עמק הבכא &lt;מהדורת סץ&gt;</t>
  </si>
  <si>
    <t>עמק הבכא - 2 כר'</t>
  </si>
  <si>
    <t>עמק הבכא</t>
  </si>
  <si>
    <t>דמאנט, יוסף בו ציון בן באלי בנימין</t>
  </si>
  <si>
    <t>עמק הבכא - 3 כר'</t>
  </si>
  <si>
    <t>ייטלש, ברוך בן יונה</t>
  </si>
  <si>
    <t>שלמה זלמן בן יהודה ליב</t>
  </si>
  <si>
    <t>עמק הגדול</t>
  </si>
  <si>
    <t>עמק הדרישה</t>
  </si>
  <si>
    <t>עמק ההלכה - 2 כר'</t>
  </si>
  <si>
    <t>זכריהו, מיכאל בן נתנאל</t>
  </si>
  <si>
    <t>עמק ההלכה</t>
  </si>
  <si>
    <t>עמק הזבח</t>
  </si>
  <si>
    <t>זנזורי, יגאל</t>
  </si>
  <si>
    <t>עמק הזהב - על עניני המועדים</t>
  </si>
  <si>
    <t>עמק החכמה</t>
  </si>
  <si>
    <t>עמק החרוץ</t>
  </si>
  <si>
    <t>שטארק, יואל</t>
  </si>
  <si>
    <t>חש"</t>
  </si>
  <si>
    <t>עמק הטבוח</t>
  </si>
  <si>
    <t>עמק היבום</t>
  </si>
  <si>
    <t>עמק הלכה</t>
  </si>
  <si>
    <t>אלופין, משה אהרן בן ישראל</t>
  </si>
  <si>
    <t>עמק הלכה - 3 כר'</t>
  </si>
  <si>
    <t>בוימל, יהושע בן נחום</t>
  </si>
  <si>
    <t>עמק הלכה - 4 כר'</t>
  </si>
  <si>
    <t>גולדשטיין, טוביה בן חיים מאיר</t>
  </si>
  <si>
    <t>זאב וולף בן יהודה הלוי</t>
  </si>
  <si>
    <t>מאסף תורני פלפולי</t>
  </si>
  <si>
    <t>עמק הלכה - א</t>
  </si>
  <si>
    <t>תרפ"א - תרפ"ד</t>
  </si>
  <si>
    <t>בטורקס Vojnice</t>
  </si>
  <si>
    <t>עמק הלכה, אסיא - א</t>
  </si>
  <si>
    <t>הלפרין, מרדכי</t>
  </si>
  <si>
    <t>עמק הלשון</t>
  </si>
  <si>
    <t>עמק המלך &lt;מהדורה חדשה&gt; - 2 כר'</t>
  </si>
  <si>
    <t>בכרך, נפתלי הירץ בן יעקב אלחנן</t>
  </si>
  <si>
    <t>עמק המלך</t>
  </si>
  <si>
    <t>יקותיאל זאב (זלמן וולף) בן יוסף יוזל</t>
  </si>
  <si>
    <t>קאסטלנובו, מנחם חיים עזריה מאיר בן אליהו</t>
  </si>
  <si>
    <t>עמק המשפט - 5 כר'</t>
  </si>
  <si>
    <t>כהן, יעקב אברהם בן מנשה צבי</t>
  </si>
  <si>
    <t>עמק הנחל</t>
  </si>
  <si>
    <t>קאללער, נחמן חיים אריה</t>
  </si>
  <si>
    <t>עמק הספק</t>
  </si>
  <si>
    <t>עמק העיון - 5 כר'</t>
  </si>
  <si>
    <t>עמק העירוב</t>
  </si>
  <si>
    <t>עמק הפרה</t>
  </si>
  <si>
    <t>עמק הפשט - 7 כר'</t>
  </si>
  <si>
    <t>חברי כולל דף היומי</t>
  </si>
  <si>
    <t>עמק הקהל</t>
  </si>
  <si>
    <t>עמק הריבית</t>
  </si>
  <si>
    <t>עמק השמירה</t>
  </si>
  <si>
    <t>עמק התבואה</t>
  </si>
  <si>
    <t>עמק התורה</t>
  </si>
  <si>
    <t>עמק התשובה - 9 כר'</t>
  </si>
  <si>
    <t>עמק חברון - בבא מציעא</t>
  </si>
  <si>
    <t>עמק חברון</t>
  </si>
  <si>
    <t>נריה, נחום בו אברהם יצחק</t>
  </si>
  <si>
    <t>עמק יהושע &lt;דפו"ר&gt;</t>
  </si>
  <si>
    <t>פאלק, יהושע בן יהודה ליב</t>
  </si>
  <si>
    <t>עמק יהושע אחרון</t>
  </si>
  <si>
    <t>דרושים, חסידות, מחשבה ומוסר, שאלות ותשובות, תלמוד בבלי</t>
  </si>
  <si>
    <t>עמק יהושע</t>
  </si>
  <si>
    <t>עמק יהושע - 7 כר'</t>
  </si>
  <si>
    <t>מאמאן, יהושע בן רפאל עמרם</t>
  </si>
  <si>
    <t>עמק יהושע - 3 כר'</t>
  </si>
  <si>
    <t>עמק יהושפט - 9 כר'</t>
  </si>
  <si>
    <t>אנטין, רפאל בן ראובן</t>
  </si>
  <si>
    <t>עמק יהושפט</t>
  </si>
  <si>
    <t>הורוויץ, אברהם יצחק</t>
  </si>
  <si>
    <t>St. Louis</t>
  </si>
  <si>
    <t>עמק יזרעאל</t>
  </si>
  <si>
    <t>ברקובסקי, עזריאל בן יחזקאל</t>
  </si>
  <si>
    <t>עמק מועד</t>
  </si>
  <si>
    <t>עמק מלאכה - בונה ואהל</t>
  </si>
  <si>
    <t>עמק מצוה</t>
  </si>
  <si>
    <t>עמק מרדכי - 5 כר'</t>
  </si>
  <si>
    <t>פינסקי, מרדכי בן קלמן עזריאל</t>
  </si>
  <si>
    <t>עמק משפט</t>
  </si>
  <si>
    <t>כולל קצות החושן</t>
  </si>
  <si>
    <t>עמק סוכות</t>
  </si>
  <si>
    <t>כולל בית המדרש אהבת תורה</t>
  </si>
  <si>
    <t>עמק פורים</t>
  </si>
  <si>
    <t>עמק פשוט</t>
  </si>
  <si>
    <t>קמינצקי, זאב מנחם מנדל הכהן</t>
  </si>
  <si>
    <t>עמק רפאים</t>
  </si>
  <si>
    <t>הולצמאן, אליהו בן משה</t>
  </si>
  <si>
    <t>עמק שאלה</t>
  </si>
  <si>
    <t>עמק שוה - 2 כר'</t>
  </si>
  <si>
    <t>זילבר, משה</t>
  </si>
  <si>
    <t>עמק שוה</t>
  </si>
  <si>
    <t>שבתי בן צבי מהורודוק</t>
  </si>
  <si>
    <t>עמק שמועות - 3 כר'</t>
  </si>
  <si>
    <t>אברכי ישיבת מיר</t>
  </si>
  <si>
    <t>עמק שמעתתא</t>
  </si>
  <si>
    <t>עמק שמעתתא - בבא מציעא</t>
  </si>
  <si>
    <t>שטרנבוך, רפאל מרדכי</t>
  </si>
  <si>
    <t>עמק תורה - 3 כר'</t>
  </si>
  <si>
    <t>עמקי המשפט</t>
  </si>
  <si>
    <t>ניישלאס, מיכל - יורמן, קלמן</t>
  </si>
  <si>
    <t>עמר טהרה  - למען אלך</t>
  </si>
  <si>
    <t>עידאן, עמרם - חדאד, אפרים</t>
  </si>
  <si>
    <t>עמר מן &lt;עט הזמיר, חידושים וביאורים&gt;</t>
  </si>
  <si>
    <t>עמר מן &lt;זית רענן, תפארת משה&gt;</t>
  </si>
  <si>
    <t>עידן, נסים</t>
  </si>
  <si>
    <t>דרושים, נושאים שונים, קבלה, שאלות ותשובות</t>
  </si>
  <si>
    <t>עמר מן</t>
  </si>
  <si>
    <t>זוהר. אידרא. תרמ"ג</t>
  </si>
  <si>
    <t>עמר נקא - 2 כר'</t>
  </si>
  <si>
    <t>עמר נקא</t>
  </si>
  <si>
    <t>ענבי ביכורים - 2 כר'</t>
  </si>
  <si>
    <t>עדס, עזרא נסים בן יעקב חי</t>
  </si>
  <si>
    <t>ענבי הגפן</t>
  </si>
  <si>
    <t>כ"ץ, אביגדור מרדכי בן אברהם עזרא</t>
  </si>
  <si>
    <t>ענבי הגפן - ב</t>
  </si>
  <si>
    <t>פקשר, מנחם מנדל בן דוד</t>
  </si>
  <si>
    <t>ענבי פתחיה</t>
  </si>
  <si>
    <t>ענבים במדבר</t>
  </si>
  <si>
    <t>ענג הטוב</t>
  </si>
  <si>
    <t>סמוס, זרח</t>
  </si>
  <si>
    <t>וילנה Vielnna</t>
  </si>
  <si>
    <t>ענג שבת</t>
  </si>
  <si>
    <t>ענה כסיל</t>
  </si>
  <si>
    <t>רוזנברג, אברהם</t>
  </si>
  <si>
    <t>ענוה ושלום - 2 כר'</t>
  </si>
  <si>
    <t>ענוותנותיה דיהושע</t>
  </si>
  <si>
    <t>א.צ.ב</t>
  </si>
  <si>
    <t>ענות חן</t>
  </si>
  <si>
    <t>עני בן פחמא &lt;מהדורה חדשה&gt;</t>
  </si>
  <si>
    <t>קופרשטוק, ישראל ניסן בן משה אריה</t>
  </si>
  <si>
    <t>עני בן פחמא</t>
  </si>
  <si>
    <t>עניין התפילה וההתבוננות</t>
  </si>
  <si>
    <t>עניינו של יום - ירח האיתנים</t>
  </si>
  <si>
    <t>ענייני גניבה וגזלה</t>
  </si>
  <si>
    <t>ירושלי</t>
  </si>
  <si>
    <t>ענייני ספירת העומר במשנת הדבר יהושע</t>
  </si>
  <si>
    <t>ענייני שבת</t>
  </si>
  <si>
    <t>עניית אמ"ן</t>
  </si>
  <si>
    <t>שכטר, נחום שמריהו בן מרדכי יהודה</t>
  </si>
  <si>
    <t>עניית אמן כהלכתה</t>
  </si>
  <si>
    <t>הכט, בנימין</t>
  </si>
  <si>
    <t>ענין הנסיעה למקומות הקדושים</t>
  </si>
  <si>
    <t>ענין רפואת הגוייה</t>
  </si>
  <si>
    <t>אלחריזי, יהודה בן שלמה</t>
  </si>
  <si>
    <t>ענינא דיומא</t>
  </si>
  <si>
    <t>מיטניק, יצחק בן יוסף ישראל</t>
  </si>
  <si>
    <t>ענינו של יום - 6 כר'</t>
  </si>
  <si>
    <t>עניני הדף - בבא בתרא</t>
  </si>
  <si>
    <t>קויפמאן, ישראל יצחק בן חיים אריה</t>
  </si>
  <si>
    <t>עניני התקופה - יום העצמאות, יום השואה, חסידי אומות העולם</t>
  </si>
  <si>
    <t>עניני חג החנוכה</t>
  </si>
  <si>
    <t>עניני חג השבועות למהרא"ל צינץ</t>
  </si>
  <si>
    <t>עניני חג - 2 כר'</t>
  </si>
  <si>
    <t>עניני חסד וצדקה</t>
  </si>
  <si>
    <t>עניני יום הולדת של האדם - והגדת לבנך על חינוך קטנים</t>
  </si>
  <si>
    <t>עניני כיבוד אב ואם</t>
  </si>
  <si>
    <t>איש לרעהו</t>
  </si>
  <si>
    <t>עניני ל"ג בעומר</t>
  </si>
  <si>
    <t>עניני לשון</t>
  </si>
  <si>
    <t>ילון, חנוך</t>
  </si>
  <si>
    <t>תש"ב-תש"ג</t>
  </si>
  <si>
    <t>עניני ערב</t>
  </si>
  <si>
    <t>עניני ר"ה ויוה"כ לרמח"ל</t>
  </si>
  <si>
    <t>עניני שבתי צבי</t>
  </si>
  <si>
    <t>פריימאן, אהרן בן ישראל מאיר</t>
  </si>
  <si>
    <t>עניני שעבוד - 2 כר'</t>
  </si>
  <si>
    <t>עניני תכלת בציצית</t>
  </si>
  <si>
    <t>ענן הכפורת</t>
  </si>
  <si>
    <t>ענן הקטרת</t>
  </si>
  <si>
    <t>ענני הכבוד</t>
  </si>
  <si>
    <t>ענף חיים</t>
  </si>
  <si>
    <t>אלנאדאף, אברהם בן חיים</t>
  </si>
  <si>
    <t>ענף יהושע</t>
  </si>
  <si>
    <t>סילברסטון, יהושע דב</t>
  </si>
  <si>
    <t>ענף ע"ץ עבת</t>
  </si>
  <si>
    <t>עשוש, צגייר בן בנימין</t>
  </si>
  <si>
    <t>הלכה ומנהג, משנה, תפלות בקשות פיוטים ושירה</t>
  </si>
  <si>
    <t>ענף עץ אבות &lt;ענף יוסף, עץ יוסף&gt;</t>
  </si>
  <si>
    <t>ענף עץ אבות</t>
  </si>
  <si>
    <t>אברהם א"ב בן חנוך</t>
  </si>
  <si>
    <t>כהנא, שמואל ז' בן משה שמחה</t>
  </si>
  <si>
    <t>ענף עץ אבות - 2 כר'</t>
  </si>
  <si>
    <t>דרושים, נושאים שונים, קבצים וכתבי עת, ספרי זכרון ויובל, תפלות בקשות פיוטים ושירה</t>
  </si>
  <si>
    <t>שכטר</t>
  </si>
  <si>
    <t>ענף עץ עבות</t>
  </si>
  <si>
    <t>בנימין ואלף בן יקותיאל</t>
  </si>
  <si>
    <t>ענף עץ</t>
  </si>
  <si>
    <t>עוזיאל, שלמה</t>
  </si>
  <si>
    <t>ענף שלמה</t>
  </si>
  <si>
    <t>פלאקס, עזריאל נחמיה בן שלמה אוריה</t>
  </si>
  <si>
    <t>תרע"ו הס'</t>
  </si>
  <si>
    <t>ענפי אר"ז - 2 כר'</t>
  </si>
  <si>
    <t>זילבר, אליעזר בן בונם צמח</t>
  </si>
  <si>
    <t>ענפי ארז - 5 כר'</t>
  </si>
  <si>
    <t>גורביץ, אברהם בן אריה זאב</t>
  </si>
  <si>
    <t>ענפי זית - בטאון יוצאי לוב</t>
  </si>
  <si>
    <t>בטאון יוצאי לוב</t>
  </si>
  <si>
    <t>ענפי זית - 3 כר'</t>
  </si>
  <si>
    <t>ענפי משה - 5 כר'</t>
  </si>
  <si>
    <t>חליוה, משה</t>
  </si>
  <si>
    <t>ענפי עץ אבות עבות - ספר יוחסין</t>
  </si>
  <si>
    <t>לורברבאום, אברהם</t>
  </si>
  <si>
    <t>ענציקלאפעדיא פון אידישע וויטצען</t>
  </si>
  <si>
    <t>עסיס רימונים - 3 כר'</t>
  </si>
  <si>
    <t>עסיס רמונים</t>
  </si>
  <si>
    <t>גאליקו, שמואל</t>
  </si>
  <si>
    <t>פשיברום, מרדכי בן יעקב</t>
  </si>
  <si>
    <t>מונקץ' Munkachevo</t>
  </si>
  <si>
    <t>עסק התורה</t>
  </si>
  <si>
    <t>קאהן, חיים אריה</t>
  </si>
  <si>
    <t>עסק יהושע</t>
  </si>
  <si>
    <t>קרלינסקי, יהושע שמחה</t>
  </si>
  <si>
    <t>עסקן למופת</t>
  </si>
  <si>
    <t>פארבשטיין, יהושע השל בן שמואל זאב</t>
  </si>
  <si>
    <t>עפעפי שחר - 2 כר'</t>
  </si>
  <si>
    <t>עפר יעקב</t>
  </si>
  <si>
    <t>אברג'ל, יעקב בן חנניה</t>
  </si>
  <si>
    <t>אייכהורן, יעקב בן יוסף</t>
  </si>
  <si>
    <t>זכות, משה</t>
  </si>
  <si>
    <t>עפרות זהב - 2 כר'</t>
  </si>
  <si>
    <t>עפרות תבל</t>
  </si>
  <si>
    <t>עץ אבות &lt;לחם שמים לחם נקודים</t>
  </si>
  <si>
    <t>עץ אבות - א</t>
  </si>
  <si>
    <t>תרמ"ה - תרמ"ז</t>
  </si>
  <si>
    <t>עץ אבות</t>
  </si>
  <si>
    <t>משפחת כהן</t>
  </si>
  <si>
    <t>תקי"א-תקי"ב</t>
  </si>
  <si>
    <t>עץ אבות - 2 כר'</t>
  </si>
  <si>
    <t>עץ אלחנן</t>
  </si>
  <si>
    <t>עץ אפרים</t>
  </si>
  <si>
    <t>עץ אפרים - 2 כר'</t>
  </si>
  <si>
    <t>רוזנפלד, אפרים בן שלמה</t>
  </si>
  <si>
    <t>תכלת, אפרים בן שמואל יהודה</t>
  </si>
  <si>
    <t>עץ ארז</t>
  </si>
  <si>
    <t>דייטש, אברהם יחיאל בן שמעון סגל</t>
  </si>
  <si>
    <t>עץ ארז - 3 כר'</t>
  </si>
  <si>
    <t>טננבוים, צבי בן אברהם יחיאל</t>
  </si>
  <si>
    <t>עץ הדעת &lt;טעלז&gt; - 5 כר'</t>
  </si>
  <si>
    <t>עץ הדעת טוב &lt;מהדורה חדשה&gt; - 2 כר'</t>
  </si>
  <si>
    <t>עץ הדעת טוב - 3 כר'</t>
  </si>
  <si>
    <t>עץ הדעת טוב - 2 כר'</t>
  </si>
  <si>
    <t>עץ הדעת</t>
  </si>
  <si>
    <t>מורפורגו, שמשון בן יהושע משה</t>
  </si>
  <si>
    <t>עץ הדר - על הלכות בורר בשבת</t>
  </si>
  <si>
    <t>עץ הדר - 2 כר'</t>
  </si>
  <si>
    <t>עץ החיים אשל אברהם</t>
  </si>
  <si>
    <t>טובייאנה, אברהם בן שלום</t>
  </si>
  <si>
    <t>עץ החיים שבגן</t>
  </si>
  <si>
    <t>עץ החיים</t>
  </si>
  <si>
    <t>אלנדאף, סעדיה בן חיים</t>
  </si>
  <si>
    <t>עץ החיים - 5 כר'</t>
  </si>
  <si>
    <t>ברדיצ'בסקי, יהושע השיל</t>
  </si>
  <si>
    <t>בני-ברק,</t>
  </si>
  <si>
    <t>ווייס, יוסף מרדכי - פרידמן, יעקב</t>
  </si>
  <si>
    <t>עץ החיים - 6 כר'</t>
  </si>
  <si>
    <t>ישיבת פרי עץ חיים</t>
  </si>
  <si>
    <t>מינץ, חיים</t>
  </si>
  <si>
    <t>עץ החיים - אבילות</t>
  </si>
  <si>
    <t>עץ השדה</t>
  </si>
  <si>
    <t>עץ השדה - הלכות בל תשחית</t>
  </si>
  <si>
    <t>תיקונים. ט"ו בשבט</t>
  </si>
  <si>
    <t>עץ התדהר &lt;סידור הרש"ש&gt; - 31 כר'</t>
  </si>
  <si>
    <t>עץ חדש - 2 כר'</t>
  </si>
  <si>
    <t>פליישמאן, יעקב חיים בן דוד</t>
  </si>
  <si>
    <t>עץ חיים &lt;באבוב הישן&gt; - 4 כר'</t>
  </si>
  <si>
    <t>עץ חיים &lt;באבוב&gt; - 29 כר'</t>
  </si>
  <si>
    <t>עץ חיים &lt;צאנז&gt; - 7 כר'</t>
  </si>
  <si>
    <t>עץ חיים למוצאיהם</t>
  </si>
  <si>
    <t>עטיה, מרדכי</t>
  </si>
  <si>
    <t>עץ חיים למחזיקים בה</t>
  </si>
  <si>
    <t>עץ חיים על פרקי אבות</t>
  </si>
  <si>
    <t>חיים דוב  בן צבי מאוסטרלנקה</t>
  </si>
  <si>
    <t>עץ חיים שער מטי ולא מטי עם ביאור יאיר חיים</t>
  </si>
  <si>
    <t>רוקח, יאיר</t>
  </si>
  <si>
    <t>עץ חיים</t>
  </si>
  <si>
    <t>אנג'יל בן חיים</t>
  </si>
  <si>
    <t>בלייאר, אברהם בן יוסף דוד</t>
  </si>
  <si>
    <t>ת"ש - תש"ב</t>
  </si>
  <si>
    <t>עץ חיים - 3 כר'</t>
  </si>
  <si>
    <t>הורוויץ, חיים בן אברהם הכהן</t>
  </si>
  <si>
    <t>עץ חיים - קיצור שני לוחות הברית</t>
  </si>
  <si>
    <t>עץ חיים - 23 כר'</t>
  </si>
  <si>
    <t>חיים בן בצלאל</t>
  </si>
  <si>
    <t>עץ חיים - 2 כר'</t>
  </si>
  <si>
    <t>סביאטיצקי, חיים בן אבא</t>
  </si>
  <si>
    <t>פלטרוביץ, חיים דב בן צבי</t>
  </si>
  <si>
    <t>קובץ מאמרים ומכתבים</t>
  </si>
  <si>
    <t>קירשנבוים, חיים זאב</t>
  </si>
  <si>
    <t>רבני משפחת אבלסון</t>
  </si>
  <si>
    <t>שור, חיים בן צבי הירש</t>
  </si>
  <si>
    <t>עץ יהודה</t>
  </si>
  <si>
    <t>בהאק, יהודה בן יחיאל</t>
  </si>
  <si>
    <t>קיסטר, יהודה בן עקיבא</t>
  </si>
  <si>
    <t>עץ יוסף</t>
  </si>
  <si>
    <t>אוברלנדר, יוסף</t>
  </si>
  <si>
    <t>דארמשטאט, יוסף בן מאיר צבי</t>
  </si>
  <si>
    <t>ונונו, תומר אברהם</t>
  </si>
  <si>
    <t>בנימינה</t>
  </si>
  <si>
    <t>עץ נחמד</t>
  </si>
  <si>
    <t>ברזסקי, יעקב</t>
  </si>
  <si>
    <t>עץ פרי קודש</t>
  </si>
  <si>
    <t>פרנקל-תאומים,יהונתן שמעון בן יעקב</t>
  </si>
  <si>
    <t>עץ פרי</t>
  </si>
  <si>
    <t>הלכה ומנהג, חסידות, ספריית חב"ד</t>
  </si>
  <si>
    <t>עץ פרי - 3 כר'</t>
  </si>
  <si>
    <t>גרינולד, חיים פרץ בן בנימין זאב הלוי</t>
  </si>
  <si>
    <t>ספקטור, יצחק אלחנן -</t>
  </si>
  <si>
    <t>עץ שתול</t>
  </si>
  <si>
    <t>עץ שתול - 3 כר'</t>
  </si>
  <si>
    <t>עצה וגבורה</t>
  </si>
  <si>
    <t>עצה ותושיה</t>
  </si>
  <si>
    <t>טירן, יוסף</t>
  </si>
  <si>
    <t>עצות בחינוך</t>
  </si>
  <si>
    <t>חדד, יורם</t>
  </si>
  <si>
    <t>עצות ישרות</t>
  </si>
  <si>
    <t>קיצקובסקי, מרדכי מנחם בן יצחק יהודה</t>
  </si>
  <si>
    <t>עצי אלמוגים &lt;מכון משנת ר"א&gt; - 2 כר'</t>
  </si>
  <si>
    <t>עצי אלמוגים</t>
  </si>
  <si>
    <t>עצי ארזים</t>
  </si>
  <si>
    <t>עצי ברושים</t>
  </si>
  <si>
    <t>עצי בשמים - עירובין</t>
  </si>
  <si>
    <t>אלתר, יצחק בצלאל בן שאול משה</t>
  </si>
  <si>
    <t>עצי בשמים</t>
  </si>
  <si>
    <t>מושקאט, ישעיה בן יעקב משה</t>
  </si>
  <si>
    <t>עצי בשמים, הארץ לעריה</t>
  </si>
  <si>
    <t>סנדרוביץ, מנחם מנדל</t>
  </si>
  <si>
    <t>עצי גפן</t>
  </si>
  <si>
    <t>עצי הגפן</t>
  </si>
  <si>
    <t>עטייה, גדעון בן ישועה</t>
  </si>
  <si>
    <t>עצי היער</t>
  </si>
  <si>
    <t>יחזקאל עזרא בן רחמים</t>
  </si>
  <si>
    <t>בגדד</t>
  </si>
  <si>
    <t>עצי הלבנון</t>
  </si>
  <si>
    <t>עצי העולה</t>
  </si>
  <si>
    <t>עצי זית - 2 כר'</t>
  </si>
  <si>
    <t>תרפ"ג - תרפ"ט</t>
  </si>
  <si>
    <t>עצי חיים - 5 כר'</t>
  </si>
  <si>
    <t>טייטלבוים, חיים צבי בן חנניה יום טוב ליפא</t>
  </si>
  <si>
    <t>עצי יער</t>
  </si>
  <si>
    <t>עצי כהנים - 2 כר'</t>
  </si>
  <si>
    <t>כהן-זדה, ראובן ובנימין</t>
  </si>
  <si>
    <t>עצי לבונה א-ב</t>
  </si>
  <si>
    <t>עצי לבונה</t>
  </si>
  <si>
    <t>עצי לבנון - 4 כר'</t>
  </si>
  <si>
    <t>רובין, יוסף דוד בן אלעזר</t>
  </si>
  <si>
    <t>תרפ"ח - תשכ"ז</t>
  </si>
  <si>
    <t>עצי סוכה</t>
  </si>
  <si>
    <t>עצי עדן</t>
  </si>
  <si>
    <t>עצי עדן - 2 כר'</t>
  </si>
  <si>
    <t>עצי עולה</t>
  </si>
  <si>
    <t>עצי קטף</t>
  </si>
  <si>
    <t>עצי שדה</t>
  </si>
  <si>
    <t>עצם היום הזה</t>
  </si>
  <si>
    <t>וינברג, יצחק בן דוד משה</t>
  </si>
  <si>
    <t>עצמות יוסף &lt;מהדורת לייטנר&gt;</t>
  </si>
  <si>
    <t>עצמות יוסף - 2 כר'</t>
  </si>
  <si>
    <t>עצמות יוסף - 7 כר'</t>
  </si>
  <si>
    <t>כץ, מאיר יוסף בן אברהם הכהן</t>
  </si>
  <si>
    <t>עצמות יוסף</t>
  </si>
  <si>
    <t>שפירא, יעקב יוסף (זיידא) בן משה</t>
  </si>
  <si>
    <t>עצרת ליחיאל</t>
  </si>
  <si>
    <t>מאסף לעניני חג השבועות</t>
  </si>
  <si>
    <t>עצת יהושע</t>
  </si>
  <si>
    <t>עצת שלום &lt;ליקוטי עצות המשולש&gt;</t>
  </si>
  <si>
    <t>עצת שמעון</t>
  </si>
  <si>
    <t>קלמן, שמעון ברוך</t>
  </si>
  <si>
    <t>עקאנאמישע שריפטן - 2</t>
  </si>
  <si>
    <t>לעשטשינסקי, יעקב</t>
  </si>
  <si>
    <t>עקב משפט - איל משפט</t>
  </si>
  <si>
    <t>כלאב, יעקב הלוי בן אריה - כלאב, אברהם יצחק בן יעקב</t>
  </si>
  <si>
    <t>עקב ענוה</t>
  </si>
  <si>
    <t>בוכוואלד, בצלאל בן שלמה</t>
  </si>
  <si>
    <t>זאטורנסקי, משה שלמה זלמן בן אליהו דוד ה</t>
  </si>
  <si>
    <t>קרחין, יעקב כלאב בן אריה הלוי</t>
  </si>
  <si>
    <t>עקב רב</t>
  </si>
  <si>
    <t>ביירוכוביץ, עקיבא בן יצחק אליהו</t>
  </si>
  <si>
    <t>דרושים, מחשבה ומוסר, נושאים שונים, שלחן ערוך ומפרשיו, תלמוד בבלי, תלמוד בבלי</t>
  </si>
  <si>
    <t>עקב רב - תולדות רבי יעקב הורביץ</t>
  </si>
  <si>
    <t>הורביץ, יעקב (עליו)</t>
  </si>
  <si>
    <t>מאמלוק, יעקב בן אברהם הלוי</t>
  </si>
  <si>
    <t>קאנטאריני, יצחק חיים בן יעקב הכהן</t>
  </si>
  <si>
    <t>עקב תשמעון</t>
  </si>
  <si>
    <t>עקבותא דמשיחא</t>
  </si>
  <si>
    <t>פרידמאן, דוד יעקב בן הילל הלוי</t>
  </si>
  <si>
    <t>עקבותיו של דף אבוד מכתב יד ליידן של הירושלמי (תדפיס)</t>
  </si>
  <si>
    <t>אליצור, בנימין</t>
  </si>
  <si>
    <t>עקבי אבירים - 3 כר'</t>
  </si>
  <si>
    <t>פרידמן, אברהם יעקב בן מרדכי שלום יוסף</t>
  </si>
  <si>
    <t>עקבי אהרן ופשר דבר - 8 כר'</t>
  </si>
  <si>
    <t>עקבי אור</t>
  </si>
  <si>
    <t>עקבי בין המיצרים - 2 כר'</t>
  </si>
  <si>
    <t>עקבי בנימין - 3 כר'</t>
  </si>
  <si>
    <t>עקבי ברוך</t>
  </si>
  <si>
    <t>רוזנברג, ברוך - וינגולד, יעקב</t>
  </si>
  <si>
    <t>עקבי ברכה</t>
  </si>
  <si>
    <t>ליפשיץ, פינחס הלוי</t>
  </si>
  <si>
    <t>עקבי דוד - 2 כר'</t>
  </si>
  <si>
    <t>עקבי דרך</t>
  </si>
  <si>
    <t>זילברליכט, יעקב יהודה</t>
  </si>
  <si>
    <t>עקבי הימים הנוראים</t>
  </si>
  <si>
    <t>עקבי הצאן</t>
  </si>
  <si>
    <t>דרושים, הלכה ומנהג, הלכה ומנהג, מועדי ישראל</t>
  </si>
  <si>
    <t>לייבוביץ, אלתר חנוך העניך הכהן</t>
  </si>
  <si>
    <t>עקבי חיים</t>
  </si>
  <si>
    <t>המניק, עקיבא חיים בן יעקב יצחק</t>
  </si>
  <si>
    <t>קלאפהאלץ, חיים יעקב בן ראובן</t>
  </si>
  <si>
    <t>שולמאן, חיים יעקב בן משה גדליהו</t>
  </si>
  <si>
    <t>עקבי חיים - זרעים</t>
  </si>
  <si>
    <t>שטיין, יעקב חיים בן אהרן</t>
  </si>
  <si>
    <t>עקבי יוסף</t>
  </si>
  <si>
    <t>לפקוביץ, יעקב יוסף</t>
  </si>
  <si>
    <t>עקבי יעקב</t>
  </si>
  <si>
    <t>טירהויז, יעקב בן נפתלי הירץ</t>
  </si>
  <si>
    <t>עקבי יצחק</t>
  </si>
  <si>
    <t>קוסובסקי-שחור, יצחק בן שאול</t>
  </si>
  <si>
    <t>עקבי ישראל</t>
  </si>
  <si>
    <t>לובצנסקי, ישראל יעקב</t>
  </si>
  <si>
    <t>עקבי מועד</t>
  </si>
  <si>
    <t>יזרעאלי, יעקב</t>
  </si>
  <si>
    <t>עקבי מצות</t>
  </si>
  <si>
    <t>עקבי פרשת השבוע - 2 כר'</t>
  </si>
  <si>
    <t>עקבי צבי</t>
  </si>
  <si>
    <t>לוי, יעקב צבי הלוי</t>
  </si>
  <si>
    <t>עקבי שלום - פרק מתוך המספיק לעובדי ה', תשו' ראב"ם, פי' משנ"ת לר' סעיד ן' דוד עדנ</t>
  </si>
  <si>
    <t>אברהם בן משה בן מימון - סעיד, בן דוד עדני</t>
  </si>
  <si>
    <t>עקבי שלום</t>
  </si>
  <si>
    <t>עוזירי, שלום בן אברהם</t>
  </si>
  <si>
    <t>דרושים, מחשבה ומוסר, נושאים שונים, שאלות ותשובות</t>
  </si>
  <si>
    <t>עקבתא דמשיחא</t>
  </si>
  <si>
    <t>עקדת יצחק</t>
  </si>
  <si>
    <t>דאנציגר, יצחק מנחם בן שמואל צבי</t>
  </si>
  <si>
    <t>עקדת יצחק - 8 כר'</t>
  </si>
  <si>
    <t>עקדת משה - 5 כר'</t>
  </si>
  <si>
    <t>פרקש, משה הלוי</t>
  </si>
  <si>
    <t>עקידות יצחק</t>
  </si>
  <si>
    <t>דייטש, יצחק בן יששכר בער</t>
  </si>
  <si>
    <t>עקידת יצחק &lt;מהדורה חדשה&gt; - 6 כר'</t>
  </si>
  <si>
    <t>עקידת יצחק</t>
  </si>
  <si>
    <t>נצר חזני</t>
  </si>
  <si>
    <t>עקידת יצחק - 6 כר'</t>
  </si>
  <si>
    <t>רפפורט, יוסף</t>
  </si>
  <si>
    <t>עקסראקט מפראטאקאל של המדינה יצ"ו</t>
  </si>
  <si>
    <t>אלזאס. ועד המדינה</t>
  </si>
  <si>
    <t>עקר העקרים</t>
  </si>
  <si>
    <t>ערב פסח שחל בשבת</t>
  </si>
  <si>
    <t>ערב פסח שחל להיות בשבת</t>
  </si>
  <si>
    <t>ערב פסח</t>
  </si>
  <si>
    <t>הגדה של פסח. תרמ"ח. ליוורנו</t>
  </si>
  <si>
    <t>ערבי נחל השלם &lt;מהדורת אייכן&gt; - 2 כר'</t>
  </si>
  <si>
    <t>ערבי נחל השלם &lt;מהדורת ס.ל.א&gt; - 2 כר'</t>
  </si>
  <si>
    <t>ערבי נחל - 2 כר'</t>
  </si>
  <si>
    <t>ערבי נחל</t>
  </si>
  <si>
    <t>טוקצינסקי, שמואל</t>
  </si>
  <si>
    <t>ערבי נחל - א</t>
  </si>
  <si>
    <t>ערבי פסחים</t>
  </si>
  <si>
    <t>ערוגה קטנה</t>
  </si>
  <si>
    <t>קליף, דניאל בן חיים</t>
  </si>
  <si>
    <t>ערוגות הבושם</t>
  </si>
  <si>
    <t>בולחובר, אריה ליבוש בן אליהו</t>
  </si>
  <si>
    <t>ערוגות הבושם - 6 כר'</t>
  </si>
  <si>
    <t>ערוגת הבושם</t>
  </si>
  <si>
    <t>אוסטרר, משה בן הילל</t>
  </si>
  <si>
    <t>ערוגת הבושם - 7 כר'</t>
  </si>
  <si>
    <t>בן יעקב, מנחם בן צבי יהודה</t>
  </si>
  <si>
    <t>ערוגת הבושם - 2 כר'</t>
  </si>
  <si>
    <t>הלוי, יחזקאל עזרא בן יהושע</t>
  </si>
  <si>
    <t>ערוגת הבשם &lt;חידושים&gt; - א</t>
  </si>
  <si>
    <t>ערוגת הבשם &lt;מהדורה חדשה&gt;</t>
  </si>
  <si>
    <t>ערוגת הבשם &lt;שו"ת&gt; - 3 כר'</t>
  </si>
  <si>
    <t>תרע"ב - תרפ"ו</t>
  </si>
  <si>
    <t>ערוגת הבשם - 4 כר'</t>
  </si>
  <si>
    <t>אברהם בן עזריאל</t>
  </si>
  <si>
    <t>תרצ"ט - תשכ"ג</t>
  </si>
  <si>
    <t>ערוגת הבשם</t>
  </si>
  <si>
    <t>שס"ב - שס"ג</t>
  </si>
  <si>
    <t>ערוגת הבשם - 2 כר'</t>
  </si>
  <si>
    <t>ערוגת הבשם - 7 כר'</t>
  </si>
  <si>
    <t>כהן שאולי, בנימין</t>
  </si>
  <si>
    <t>ערוך החדש  - ערוך הקצר - זכר רב</t>
  </si>
  <si>
    <t>פוטרניק, חיים בן ישכר דוב</t>
  </si>
  <si>
    <t>ערוך המשפט - 5 כר'</t>
  </si>
  <si>
    <t>ערוך הקצור</t>
  </si>
  <si>
    <t>ערוך השלחן - 9 כר'</t>
  </si>
  <si>
    <t>ערוך לנר &lt;עיטור בכורים&gt; - סוכה</t>
  </si>
  <si>
    <t>ערוך לנר המפואר - 4 כר'</t>
  </si>
  <si>
    <t>ערוך לנר - 4 כר'</t>
  </si>
  <si>
    <t>ערי יהודה</t>
  </si>
  <si>
    <t>קוואל, יהודה אריה ליב בן עוזר</t>
  </si>
  <si>
    <t>ערי נחלתינו</t>
  </si>
  <si>
    <t>עריבי מיא - על מסכת עירובין</t>
  </si>
  <si>
    <t>קובץ כולל מרכז התורה</t>
  </si>
  <si>
    <t>עריכת ברכות - 2 כר'</t>
  </si>
  <si>
    <t>עריכת המשנה התוספתא והתלמוד</t>
  </si>
  <si>
    <t>עריכת יום טוב - 2 כר'</t>
  </si>
  <si>
    <t>עריכת נר השלם</t>
  </si>
  <si>
    <t>פרנקל, יוסף יוזפא</t>
  </si>
  <si>
    <t>עריכת נר</t>
  </si>
  <si>
    <t>עריכת שלחן ילקוט חיים - 13 כר'</t>
  </si>
  <si>
    <t>עריכת שלחן - 2 כר'</t>
  </si>
  <si>
    <t>ערים ואמהות בישראל - 2 כר'</t>
  </si>
  <si>
    <t>ערים ואמהות בישראל</t>
  </si>
  <si>
    <t>ערך דל</t>
  </si>
  <si>
    <t>ערך החיים</t>
  </si>
  <si>
    <t>נויבירט, אהרן אלחנן בן יוסף</t>
  </si>
  <si>
    <t>ערך השבי"ט - ערכין</t>
  </si>
  <si>
    <t>ערך השלחן - 15 כר'</t>
  </si>
  <si>
    <t>תקנ"א - תרנ"א</t>
  </si>
  <si>
    <t>ערך השלחן</t>
  </si>
  <si>
    <t>ערך חיים</t>
  </si>
  <si>
    <t>ערך ים</t>
  </si>
  <si>
    <t>זילברשטיין, אריה לייב בן משה יוסף</t>
  </si>
  <si>
    <t>ליקווד, ניו ג'רסי</t>
  </si>
  <si>
    <t>ערך יעקב</t>
  </si>
  <si>
    <t>ניסנבוים, משה יעקב בן אליעזר</t>
  </si>
  <si>
    <t>ערך כסף</t>
  </si>
  <si>
    <t>גאטינייו, חיים שמואל בן אברהם</t>
  </si>
  <si>
    <t>ערך לחם</t>
  </si>
  <si>
    <t>ערך לימוד התורה</t>
  </si>
  <si>
    <t>ישראלי, יצחק אפרים</t>
  </si>
  <si>
    <t>ערך מלין</t>
  </si>
  <si>
    <t>שפטל, חיים יעקב בן צבי</t>
  </si>
  <si>
    <t>ערך ש"י - 18 כר'</t>
  </si>
  <si>
    <t>טאבאק, שלמה יהודה בן פסח צבי</t>
  </si>
  <si>
    <t>ערך שביעית</t>
  </si>
  <si>
    <t>קרן הישוב בארץ ישראל. וועד קרן השמיטה</t>
  </si>
  <si>
    <t>ערך שלם - הוריות, ערכין, שקלים, חלה</t>
  </si>
  <si>
    <t>ערכאות בהלכה</t>
  </si>
  <si>
    <t>בניש, חיים פנחס</t>
  </si>
  <si>
    <t>ערכו מגן</t>
  </si>
  <si>
    <t>ערכו של רגע</t>
  </si>
  <si>
    <t>ערכון - קובץ להווי ומסורת ישראל - ח</t>
  </si>
  <si>
    <t>גרילק, מנחם עורך</t>
  </si>
  <si>
    <t>ערכי אמונים</t>
  </si>
  <si>
    <t>ערכי החסידות</t>
  </si>
  <si>
    <t>ערכי היבום והחליצה - מתוך אנציקלופדיה תלמודית</t>
  </si>
  <si>
    <t>ערכי הכינויים &lt;מהדורה חדשה&gt;</t>
  </si>
  <si>
    <t>ערכי הכינויים</t>
  </si>
  <si>
    <t>ערכי הכנויים &lt;אות א&gt;</t>
  </si>
  <si>
    <t>ערכי הכנויים &lt;קב שלום&gt;</t>
  </si>
  <si>
    <t>ערכי הכנויים</t>
  </si>
  <si>
    <t>ערכי הלכה</t>
  </si>
  <si>
    <t>סקלאר, אברהם שמואל בן יעקב אייזק</t>
  </si>
  <si>
    <t>ערכי הספיקות</t>
  </si>
  <si>
    <t>ערכי הקדש</t>
  </si>
  <si>
    <t>ערכי הקודש - 5 כר'</t>
  </si>
  <si>
    <t>ערכי יהושע</t>
  </si>
  <si>
    <t>ערכי מסכת כתובות - מתוך אנציקלופדיה תלמודית</t>
  </si>
  <si>
    <t>ערכי מסכת מועד קטן וחגיגה - מתוך אנציקלופדיה תלמודית</t>
  </si>
  <si>
    <t>ערכי עלי</t>
  </si>
  <si>
    <t>קארפלס, אליעזר בן נפתלי</t>
  </si>
  <si>
    <t>ערכי שושנים</t>
  </si>
  <si>
    <t>ערכי שמיטה</t>
  </si>
  <si>
    <t>עמנואל, מרדכי</t>
  </si>
  <si>
    <t>ערכי תנאים ואמוראים - 2 כר'</t>
  </si>
  <si>
    <t>ערכים רפואים שבאנציקלופדיה ההלכתית פחד יצחק - תדפיס מ'קורות'</t>
  </si>
  <si>
    <t>ערמת חטים</t>
  </si>
  <si>
    <t>ערשטע אידישע קהלות אין אמעריקא</t>
  </si>
  <si>
    <t>עש וכימה</t>
  </si>
  <si>
    <t>עשה ולא תעשה</t>
  </si>
  <si>
    <t>עשה ירח למועדים</t>
  </si>
  <si>
    <t>בורנשטיין, שמואל בן אברהם</t>
  </si>
  <si>
    <t>עשה לך רב</t>
  </si>
  <si>
    <t>עשה סוכה</t>
  </si>
  <si>
    <t>יעקבוביץ, משה יהודה בן שלמה</t>
  </si>
  <si>
    <t>עשה פלא השלם</t>
  </si>
  <si>
    <t>תשט"ו - תשי"ט</t>
  </si>
  <si>
    <t>עשה פלא</t>
  </si>
  <si>
    <t>עשו צדקה ותנצלו מכל צרה וצוקה</t>
  </si>
  <si>
    <t>לובלין. קהילה</t>
  </si>
  <si>
    <t>גרמניה Germany</t>
  </si>
  <si>
    <t>עשות משפט</t>
  </si>
  <si>
    <t>ויינרוט, אברהם</t>
  </si>
  <si>
    <t>עשי מלאכה</t>
  </si>
  <si>
    <t>ולדנברג, אהרן</t>
  </si>
  <si>
    <t>עשיית פתילי תכלת</t>
  </si>
  <si>
    <t>בית דין, אליעזר צבי בן אליהו חיים</t>
  </si>
  <si>
    <t>עשיר ורש</t>
  </si>
  <si>
    <t>עשירית האיפה - 2 כר'</t>
  </si>
  <si>
    <t>דרושים, מועדי ישראל, משנה, נושאים שונים, נושאים שונים</t>
  </si>
  <si>
    <t>עשירית האיפה</t>
  </si>
  <si>
    <t>עשר אורות</t>
  </si>
  <si>
    <t>עשר דרשות לשמחת חתן וכלה</t>
  </si>
  <si>
    <t>עשר זכיות</t>
  </si>
  <si>
    <t>זאמלונג, עזריאל חיים בן אברהם נפתלי</t>
  </si>
  <si>
    <t>עשר נטיעות</t>
  </si>
  <si>
    <t>תרכ"ט כצ"ל</t>
  </si>
  <si>
    <t>עשר נפלאות - 2 כר'</t>
  </si>
  <si>
    <t>עשר עטרות</t>
  </si>
  <si>
    <t>עשר קדושות - 2 כר'</t>
  </si>
  <si>
    <t>עשר שערים נפתחים</t>
  </si>
  <si>
    <t>מוסדות שטפנשט</t>
  </si>
  <si>
    <t>עשר תעשר</t>
  </si>
  <si>
    <t>דאו, רחמים רמי</t>
  </si>
  <si>
    <t>עשרה דברים</t>
  </si>
  <si>
    <t>קרויז, יהודה בן שמעון חיים</t>
  </si>
  <si>
    <t>עשרה דורות בארץ ישראל</t>
  </si>
  <si>
    <t>מנדלבוים, שמחה</t>
  </si>
  <si>
    <t>עשרה זהב - דיני צדקה ומעשר כספים</t>
  </si>
  <si>
    <t>עשרה למאה &lt;מהדורה חדשה&gt;</t>
  </si>
  <si>
    <t>עשרה למאה - 6 כר'</t>
  </si>
  <si>
    <t>עשרה מאורות הגדולים</t>
  </si>
  <si>
    <t>עשרה מאמרות &lt;דפו"ר&gt;</t>
  </si>
  <si>
    <t>עשרה מאמרות &lt;יד יהודה&gt;</t>
  </si>
  <si>
    <t>עשרה מאמרות &lt;מגיני שלמה, יואל משה, פתח עינים, נר למאור&gt; - 2 כר'</t>
  </si>
  <si>
    <t>עשרה מאמרות</t>
  </si>
  <si>
    <t>אלטשולר, עזרא בן אשר</t>
  </si>
  <si>
    <t>לידה Lida</t>
  </si>
  <si>
    <t>עשרה מאמרות - 3 כר'</t>
  </si>
  <si>
    <t>תקנ"ד - תקנ"ט</t>
  </si>
  <si>
    <t>עשרה פרקי תשובה</t>
  </si>
  <si>
    <t>עשרה ראשונים</t>
  </si>
  <si>
    <t>עשרים שנה למועצה האיזורית נחל שורק</t>
  </si>
  <si>
    <t>עשרת הדברים</t>
  </si>
  <si>
    <t>עשרת הספירות</t>
  </si>
  <si>
    <t>עשרת מונים - 2 כר'</t>
  </si>
  <si>
    <t>כהן, שמעון בן יחיאל פישל</t>
  </si>
  <si>
    <t>עשת שן</t>
  </si>
  <si>
    <t>עת בכות</t>
  </si>
  <si>
    <t>תפילות. קינות. ת"ש. כזבלנכה</t>
  </si>
  <si>
    <t>עת ברך</t>
  </si>
  <si>
    <t>גולדשטוף, דניאל</t>
  </si>
  <si>
    <t>עת דודים</t>
  </si>
  <si>
    <t>גראס, שלמה הכהן</t>
  </si>
  <si>
    <t>ליפקוביץ, מיכל יהודה - שוב, זבולון</t>
  </si>
  <si>
    <t>עת דודים, מכתם לדוד</t>
  </si>
  <si>
    <t>הכהן, דוד - עידאן, דוד</t>
  </si>
  <si>
    <t>דרושים, שאלות ותשובות, שלחן ערוך ומפרשיו, תלמוד בבלי, תלמוד בבלי, תנ"ך</t>
  </si>
  <si>
    <t>עת האסף</t>
  </si>
  <si>
    <t>עת הזמיר</t>
  </si>
  <si>
    <t>ברקוביץ, יעקב דוב בן משה</t>
  </si>
  <si>
    <t>עת הזמיר - 3 כר'</t>
  </si>
  <si>
    <t>עת לבקש - א</t>
  </si>
  <si>
    <t>קנאפפלער, אלכסנדר אליעזר בן יצחק נפתלי</t>
  </si>
  <si>
    <t>עת לדבר</t>
  </si>
  <si>
    <t>אבוקארא, שמשון בן גבריאל</t>
  </si>
  <si>
    <t>סימונסון, נחמן בן שמחה בר"ש</t>
  </si>
  <si>
    <t>[ברסלאו?],</t>
  </si>
  <si>
    <t>עת לדבר - א</t>
  </si>
  <si>
    <t>רובינסקי, אחיעזר</t>
  </si>
  <si>
    <t>עת לדרוש - 2 כר'</t>
  </si>
  <si>
    <t>עת לחננה</t>
  </si>
  <si>
    <t>עת לחננה - 3 כר'</t>
  </si>
  <si>
    <t>עת לחננה - 2 כר'</t>
  </si>
  <si>
    <t>מיכאל בן משה הכהן (השני)</t>
  </si>
  <si>
    <t>עת ללדת</t>
  </si>
  <si>
    <t>ביגלאייזן, אליהו משה</t>
  </si>
  <si>
    <t>היילפרין, חיים אהרן צבי בן אלחנן</t>
  </si>
  <si>
    <t>עת לעשות &lt;אידיש&gt;</t>
  </si>
  <si>
    <t>ליכטנשטיין, הילל בן ברוך בנדט מקולומיה</t>
  </si>
  <si>
    <t>עת לעשות - 4 כר'</t>
  </si>
  <si>
    <t>עת לשמוח</t>
  </si>
  <si>
    <t>עת ספוד</t>
  </si>
  <si>
    <t>גוטרמאן, דוב בריש בן מנחם מנדל</t>
  </si>
  <si>
    <t>עת קץ - 2 כר'</t>
  </si>
  <si>
    <t>עת רצון (תפילה). - ב</t>
  </si>
  <si>
    <t>עת רצון</t>
  </si>
  <si>
    <t>ארצי, יהודה</t>
  </si>
  <si>
    <t>עת רצון - 2 כר'</t>
  </si>
  <si>
    <t>בנימין זאב וולף בן יעקב בן-ציון הלוי</t>
  </si>
  <si>
    <t>עת רצון - חקל תפוחין</t>
  </si>
  <si>
    <t>טויב, משה מקאלוב - טויב, מנחם שלמה</t>
  </si>
  <si>
    <t>עת רצון - בראשית</t>
  </si>
  <si>
    <t>טויב, משה מקאלוב</t>
  </si>
  <si>
    <t>עת רקוד</t>
  </si>
  <si>
    <t>עת שערי רצון</t>
  </si>
  <si>
    <t>עתה באתי</t>
  </si>
  <si>
    <t>עתידה של ירושלים</t>
  </si>
  <si>
    <t>תפארת ירושלים</t>
  </si>
  <si>
    <t>עתים לבינה</t>
  </si>
  <si>
    <t>עתים למשנה</t>
  </si>
  <si>
    <t>אונא, אביגדור</t>
  </si>
  <si>
    <t>עתיקות יהודה</t>
  </si>
  <si>
    <t>עתיר פומבי</t>
  </si>
  <si>
    <t>עתרת החיים</t>
  </si>
  <si>
    <t>עתרת רבקה</t>
  </si>
  <si>
    <t>וונדר, מאיר עורך</t>
  </si>
  <si>
    <t>עתרת רננים</t>
  </si>
  <si>
    <t>עתרת שלום</t>
  </si>
  <si>
    <t>פאות כהלכה</t>
  </si>
  <si>
    <t>שטיינברג, דניאל דוד</t>
  </si>
  <si>
    <t>פאס וחכמיה - 2 כר'</t>
  </si>
  <si>
    <t>פאפא - ספר זכרון</t>
  </si>
  <si>
    <t>פאר דוד - 2 כר'</t>
  </si>
  <si>
    <t>אביראש, דוד בן מרדכי</t>
  </si>
  <si>
    <t>פאר הבית - 10 כר'</t>
  </si>
  <si>
    <t>שימון, אלעזר בן מנחם מאיר</t>
  </si>
  <si>
    <t>פאר הדור - 5 כר'</t>
  </si>
  <si>
    <t>כהן, שלמה בן אברהם יעקב</t>
  </si>
  <si>
    <t>פאר הדור - 2 כר'</t>
  </si>
  <si>
    <t>פאר הדרים</t>
  </si>
  <si>
    <t>בוך, יצחק מאיר בן יהודה ליב</t>
  </si>
  <si>
    <t>פאר הליקוטים - א</t>
  </si>
  <si>
    <t>פאר הלכה &lt;מהדורה חדשה&gt;</t>
  </si>
  <si>
    <t>אוירבאך, פרץ בן מנחם נחום</t>
  </si>
  <si>
    <t>פאר הלכה</t>
  </si>
  <si>
    <t>פאר המלך</t>
  </si>
  <si>
    <t>פאר המסכתא - יומא</t>
  </si>
  <si>
    <t>הירש, דוד</t>
  </si>
  <si>
    <t>פאר הפור</t>
  </si>
  <si>
    <t>המכון להוצאת ספרים אלכסנדר</t>
  </si>
  <si>
    <t>פאר השביעית</t>
  </si>
  <si>
    <t>קובץ ישיבת תורה בתפארתה</t>
  </si>
  <si>
    <t>פאר התורה</t>
  </si>
  <si>
    <t>כהן, יהודה בן אברהם</t>
  </si>
  <si>
    <t>פאר והדר - תפילין</t>
  </si>
  <si>
    <t>ציטרון, משה בן אברהם אליעזר</t>
  </si>
  <si>
    <t>פאר וכבוד</t>
  </si>
  <si>
    <t>פאר יוסף - 2 כר'</t>
  </si>
  <si>
    <t>ווייס, אלכסנדר סנדר בן ישראל דוב</t>
  </si>
  <si>
    <t>שרבינטר, יוסף בן אריה ליב</t>
  </si>
  <si>
    <t>פאר יעקב</t>
  </si>
  <si>
    <t>פאר יעקב - 4 כר'</t>
  </si>
  <si>
    <t>פישר, יעקב אהרן בן שמשון</t>
  </si>
  <si>
    <t>פאר יצחק תנינא</t>
  </si>
  <si>
    <t>בראוור, מיכאל בן משה הכהן</t>
  </si>
  <si>
    <t>[תרצ"א,</t>
  </si>
  <si>
    <t>פאר יצחק - 2 כר'</t>
  </si>
  <si>
    <t>פאר ישראל &lt;מהדורה חדשה&gt;</t>
  </si>
  <si>
    <t>ישראל שלום יוסף מבהוש</t>
  </si>
  <si>
    <t>פאר ישראל</t>
  </si>
  <si>
    <t>פאר ישראל - 2 כר'</t>
  </si>
  <si>
    <t>כולל כנסת ישראל</t>
  </si>
  <si>
    <t>לוויט, יעקב בן דוד</t>
  </si>
  <si>
    <t>פאר לישרים</t>
  </si>
  <si>
    <t>פאר מלכות</t>
  </si>
  <si>
    <t>פאר מקדושים</t>
  </si>
  <si>
    <t>הרץ, נחמיה בן יהודה</t>
  </si>
  <si>
    <t>ברהילוב Brailov</t>
  </si>
  <si>
    <t>פאר מרדכי</t>
  </si>
  <si>
    <t>פאר מרדכי - 7 כר'</t>
  </si>
  <si>
    <t>ישיבת טלז אוהיו</t>
  </si>
  <si>
    <t>פרבר, ראובן בן יהושע אשר זליג</t>
  </si>
  <si>
    <t>פאר משה</t>
  </si>
  <si>
    <t>וינברגר, משה</t>
  </si>
  <si>
    <t>פאר משולם</t>
  </si>
  <si>
    <t>ווייס, ישראל אלטיר בן נתן נטע</t>
  </si>
  <si>
    <t>פאר נחום</t>
  </si>
  <si>
    <t>פרלוב, נחום מרדכי בן אלטר ישראל שמעון</t>
  </si>
  <si>
    <t>פאר עץ חיים</t>
  </si>
  <si>
    <t>קרוזר, חיים בן אברהם</t>
  </si>
  <si>
    <t>פאר תחת אפר</t>
  </si>
  <si>
    <t>פארו עלי ופארי עליו</t>
  </si>
  <si>
    <t>גוטליב, פתחיה אוריאל בן משה</t>
  </si>
  <si>
    <t>קליין, אברהם שלום</t>
  </si>
  <si>
    <t>פארו עלי - על עניני תפילין ובר מצוה</t>
  </si>
  <si>
    <t>פארו עלי</t>
  </si>
  <si>
    <t>פארות יוסף</t>
  </si>
  <si>
    <t>ווילקאוויר, יוסף נח בן אברהם</t>
  </si>
  <si>
    <t>פארות - 2 כר'</t>
  </si>
  <si>
    <t>פארטראג איבער טהרת המשפחה</t>
  </si>
  <si>
    <t>אברהם דובער כהנא שפירא</t>
  </si>
  <si>
    <t>קאוונא</t>
  </si>
  <si>
    <t>פארי הלכות</t>
  </si>
  <si>
    <t>הלכה ומנהג, נושאים שונים, שאר ספרי חז"ל, תלמוד בבלי, תלמוד בבלי, תנ"ך</t>
  </si>
  <si>
    <t>פארי חכמי מדינתינו</t>
  </si>
  <si>
    <t>פארי ירושלים - 18 כר'</t>
  </si>
  <si>
    <t>קהל פרושים ירושלים</t>
  </si>
  <si>
    <t>פאריז און וויענה</t>
  </si>
  <si>
    <t>אליהו בן אשר הלוי</t>
  </si>
  <si>
    <t>פאת הים - 2 כר'</t>
  </si>
  <si>
    <t>גרנדש, אברהם בן דוב הלוי</t>
  </si>
  <si>
    <t>פאת הים - שער הכונות א</t>
  </si>
  <si>
    <t>פאת הקדש - 16 כר'</t>
  </si>
  <si>
    <t>פאת השדה - 4 כר'</t>
  </si>
  <si>
    <t>אקפלד, ברוך בן אהרן</t>
  </si>
  <si>
    <t>תרמ"ב - תרס"ז</t>
  </si>
  <si>
    <t>פאת השדה - זרעים</t>
  </si>
  <si>
    <t>פאת השדה - פאה</t>
  </si>
  <si>
    <t>רבינוביץ, משה יהודה ליב</t>
  </si>
  <si>
    <t>פאת השלחן &lt;בית רידב"ז&gt;</t>
  </si>
  <si>
    <t>ישראל בן שמואל משקלוב</t>
  </si>
  <si>
    <t>פאת השלחן - 6 כר'</t>
  </si>
  <si>
    <t>פאת זקנך</t>
  </si>
  <si>
    <t>פאת י"ם</t>
  </si>
  <si>
    <t>פאת ים - 10 כר'</t>
  </si>
  <si>
    <t>וינשטוק, מאיר יחיאל</t>
  </si>
  <si>
    <t>פאת ים</t>
  </si>
  <si>
    <t>מאייו, רפאל יצחק בן אהרן</t>
  </si>
  <si>
    <t>פאת נגב</t>
  </si>
  <si>
    <t>פאת שדך - 4 כר'</t>
  </si>
  <si>
    <t>פגי חן</t>
  </si>
  <si>
    <t>פגישה מקרית</t>
  </si>
  <si>
    <t>פגישת החמישיה</t>
  </si>
  <si>
    <t>פוקס, ח.</t>
  </si>
  <si>
    <t>פגעי הלאום</t>
  </si>
  <si>
    <t>פדה את אברהם - 2 כר'</t>
  </si>
  <si>
    <t>מונסה, אברהם יוסף בן יעקב</t>
  </si>
  <si>
    <t>דרושים, נושאים שונים, שלחן ערוך ומפרשיו, תולדות עם ישראל, תלמוד בבלי</t>
  </si>
  <si>
    <t>פדה את אברהם - מאמר יעקב</t>
  </si>
  <si>
    <t>פאלאג'י, אברהם בן חיים - סופר, יעקב חיים בן יצחק שלום</t>
  </si>
  <si>
    <t>פדה את אברהם</t>
  </si>
  <si>
    <t>דרושים, נושאים שונים, נושאים שונים, שלחן ערוך ומפרשיו</t>
  </si>
  <si>
    <t>פדה נפשי</t>
  </si>
  <si>
    <t>עלוש, פרג'י</t>
  </si>
  <si>
    <t>פדות יעקב</t>
  </si>
  <si>
    <t>פדות ישראל</t>
  </si>
  <si>
    <t>כהן, גבריאל בן יעקב - כ"ץ, יוסף שמואל בן גבריאל</t>
  </si>
  <si>
    <t>פדיון הבן כהלכתו</t>
  </si>
  <si>
    <t>פדיון הבן</t>
  </si>
  <si>
    <t>פדיון חיים</t>
  </si>
  <si>
    <t>פה אליהו - 4 כר'</t>
  </si>
  <si>
    <t>חמווי, אליהו בן עזרא</t>
  </si>
  <si>
    <t>תרע"ד - תרע"ה</t>
  </si>
  <si>
    <t>פה סח</t>
  </si>
  <si>
    <t>פה קדוש - 3 כר'</t>
  </si>
  <si>
    <t>פולמוס המוסר</t>
  </si>
  <si>
    <t>פולמוס עופות הפטם המצויים</t>
  </si>
  <si>
    <t>פון אונזער אלטען אוצר - 6 כר'</t>
  </si>
  <si>
    <t>פון אונזער גייסטיגער חריפות</t>
  </si>
  <si>
    <t>קירשנבוים, דוד</t>
  </si>
  <si>
    <t>פון אייביגען קוואל</t>
  </si>
  <si>
    <t>הריס, זעליג ה</t>
  </si>
  <si>
    <t>פון אייביקן קוואל</t>
  </si>
  <si>
    <t>שווייצר, ישראל</t>
  </si>
  <si>
    <t>פון אייביקן קוואל - 2 כר'</t>
  </si>
  <si>
    <t>שטשעקאטש-ראזען, לייב</t>
  </si>
  <si>
    <t>פון ביטערן קוואל לידער &lt;מן המעיין המר&gt;</t>
  </si>
  <si>
    <t>בהיר, נתנאל</t>
  </si>
  <si>
    <t>פון די חסידישע אוצרות</t>
  </si>
  <si>
    <t>פון די חסידשע אוצרות</t>
  </si>
  <si>
    <t>פון דער רבנישער וועלט</t>
  </si>
  <si>
    <t>מישקין, מרדכי</t>
  </si>
  <si>
    <t>פון חסידישן קוואל</t>
  </si>
  <si>
    <t>דיין, לייב</t>
  </si>
  <si>
    <t>פון נאצישען יאמערטאל</t>
  </si>
  <si>
    <t>פון ר' אייזעלע'ס מויל</t>
  </si>
  <si>
    <t>רייצעסזאן, מ</t>
  </si>
  <si>
    <t>סלונים</t>
  </si>
  <si>
    <t>פון תורה אוצר</t>
  </si>
  <si>
    <t>גלבפרב, יהושע</t>
  </si>
  <si>
    <t>פוניבז - 1</t>
  </si>
  <si>
    <t>ישיבת פוניבז</t>
  </si>
  <si>
    <t>פועל אמת</t>
  </si>
  <si>
    <t>פועל ה' - 2 כר'</t>
  </si>
  <si>
    <t>קובץ ספרי תכונה</t>
  </si>
  <si>
    <t>פועל צדק עם ביאורי המצוה</t>
  </si>
  <si>
    <t>כ"ץ, שבתי בן מאיר הכהן - קויפמאן, אורי יהודה</t>
  </si>
  <si>
    <t>פועל צדק עם פירוש פאר המצות</t>
  </si>
  <si>
    <t>פועל צדק - 6 כר'</t>
  </si>
  <si>
    <t>פוקד עקרים &lt;מהדורת הר ברכה&gt;</t>
  </si>
  <si>
    <t>פוקד עקרים</t>
  </si>
  <si>
    <t>פוקח עורים - 3 כר'</t>
  </si>
  <si>
    <t>פור המגילה</t>
  </si>
  <si>
    <t>הרוש, מיכאל</t>
  </si>
  <si>
    <t>פורים בעיר לוד</t>
  </si>
  <si>
    <t>פורים דיליה</t>
  </si>
  <si>
    <t>פורים דמוקפין בבאר שבע</t>
  </si>
  <si>
    <t>פורים האור הגדול</t>
  </si>
  <si>
    <t>סגל, דן</t>
  </si>
  <si>
    <t>פורים המשולש וערב פסח שחל להיות בשבת - ע"פ פסקי רבי מרדכי אליהו</t>
  </si>
  <si>
    <t>פורים המשולש וערב פסח שחל להיות בשבת</t>
  </si>
  <si>
    <t>פורים המשולש</t>
  </si>
  <si>
    <t>פורים לנו</t>
  </si>
  <si>
    <t>פורים משולש - 2 כר'</t>
  </si>
  <si>
    <t>פורים סראגוסא בהלכה ובאגדה</t>
  </si>
  <si>
    <t>ניזר, יוסף</t>
  </si>
  <si>
    <t>פורס מפה</t>
  </si>
  <si>
    <t>פרידמן, מרדכי הכהן</t>
  </si>
  <si>
    <t>פורת יוסף עם ביאור באר יוסף</t>
  </si>
  <si>
    <t>תאומים, יוסף בן מאיר - אנגלדד, משה בן אריה</t>
  </si>
  <si>
    <t>פורת יוסף - על התורה</t>
  </si>
  <si>
    <t>פורת יוסף - 2 כר'</t>
  </si>
  <si>
    <t>פורת יוסף</t>
  </si>
  <si>
    <t>פורת יוסף - א-ב</t>
  </si>
  <si>
    <t>צווייג, יוסף בן משה יונה הלוי</t>
  </si>
  <si>
    <t>פותח את ידך</t>
  </si>
  <si>
    <t>פותח שער - 4 כר'</t>
  </si>
  <si>
    <t>גרוסמן, נתן זאב בן יצחק דוד</t>
  </si>
  <si>
    <t>פותח שער</t>
  </si>
  <si>
    <t>פותח שער - נדה וטבילה</t>
  </si>
  <si>
    <t>פותח שערים</t>
  </si>
  <si>
    <t>פותח שערים - זכרונות ופרקי חיים</t>
  </si>
  <si>
    <t>פריימן, שלמה אליהו</t>
  </si>
  <si>
    <t>פותח שערים - 2 כר'</t>
  </si>
  <si>
    <t>קרלבך, משה בן נפתלי</t>
  </si>
  <si>
    <t>פז השולמית</t>
  </si>
  <si>
    <t>פז רב - 4 כר'</t>
  </si>
  <si>
    <t>פזמונים &lt;מרבי ישראל נאג'ארה&gt;</t>
  </si>
  <si>
    <t>פזמונים לחגים לפי מנהג יהודי קוצ'ין</t>
  </si>
  <si>
    <t>פזמונים. קוצ'ין.</t>
  </si>
  <si>
    <t>פזמונים נאים וחדשים</t>
  </si>
  <si>
    <t>פחד דוד (באנגלית)</t>
  </si>
  <si>
    <t>פחד דוד - 6 כר'</t>
  </si>
  <si>
    <t>פחד יצחק &lt;ונציה&gt; - 5 כר'</t>
  </si>
  <si>
    <t>לאמפרונטי, יצחק רפאל חזקיה בן שמואל</t>
  </si>
  <si>
    <t>תק"י - תרמ"ח</t>
  </si>
  <si>
    <t>פחד יצחק השלם - 2 כר'</t>
  </si>
  <si>
    <t>פחד יצחק - 11 כר'</t>
  </si>
  <si>
    <t>פחד יצחק - 8 כר'</t>
  </si>
  <si>
    <t>פחד יצחק</t>
  </si>
  <si>
    <t>חיות, יצחק בן אברהם</t>
  </si>
  <si>
    <t>פחד יצחק - 7 כר'</t>
  </si>
  <si>
    <t>מרשלקוביץ, יצחק</t>
  </si>
  <si>
    <t>תמ"ה-תמ"ו</t>
  </si>
  <si>
    <t>פטירת משה רבינו ע"ה</t>
  </si>
  <si>
    <t>מדרש פטירת משה</t>
  </si>
  <si>
    <t>פטירת רבינו הקדוש מבעלז</t>
  </si>
  <si>
    <t>פטפטיא טבין</t>
  </si>
  <si>
    <t>פטר רח"ם</t>
  </si>
  <si>
    <t>פי אליהו</t>
  </si>
  <si>
    <t>פרקי שירה. תצ"ה</t>
  </si>
  <si>
    <t>פי אריה</t>
  </si>
  <si>
    <t>גלאזשטיין, מרדכי יהודה ליב בן יעקב צבי</t>
  </si>
  <si>
    <t>עזרין, יהודה ליב בן ישראל יצחק</t>
  </si>
  <si>
    <t>דרושים, שאר ספרי חז"ל, תלמוד בבלי, תלמוד בבלי</t>
  </si>
  <si>
    <t>פי הבאר</t>
  </si>
  <si>
    <t>פי המדבר</t>
  </si>
  <si>
    <t>פי חכמים</t>
  </si>
  <si>
    <t>רבני משפחת טולידאנו</t>
  </si>
  <si>
    <t>פי יספר</t>
  </si>
  <si>
    <t>פי כהן &lt;על הש"ס&gt; - 7 כר'</t>
  </si>
  <si>
    <t>אייכארן, יששכר דוב בן יעקב יצחק הכהן</t>
  </si>
  <si>
    <t>פי כהן - 14 כר'</t>
  </si>
  <si>
    <t>פי צדיק</t>
  </si>
  <si>
    <t>יאפיל, מימון</t>
  </si>
  <si>
    <t>קרוכמאל, מנחם מנדל בן אברהם. מיוחס לו</t>
  </si>
  <si>
    <t>פי צדיק - 2 כר'</t>
  </si>
  <si>
    <t>פי שניים - יש נוחלין</t>
  </si>
  <si>
    <t>פי שנים</t>
  </si>
  <si>
    <t>אשר בן יחיאל (רא"ש) - אלישע בן אברהם</t>
  </si>
  <si>
    <t>פי שנים - 2 כר'</t>
  </si>
  <si>
    <t>ווייס, קלונימוס קלמן בן יהודה ליב (יאצביץ)</t>
  </si>
  <si>
    <t>תרמ"א-תרמ"ב</t>
  </si>
  <si>
    <t>סורנאגה, רפאל חיים מרדכי</t>
  </si>
  <si>
    <t>פי' דניאל לר' לוי בן גרשום</t>
  </si>
  <si>
    <t>פיה פתחה בחכמה - ב</t>
  </si>
  <si>
    <t>פיה פתחה בחכמה</t>
  </si>
  <si>
    <t>פיוט אדון עולם</t>
  </si>
  <si>
    <t>פיוט אקדמות עם תרגום עברי</t>
  </si>
  <si>
    <t>יחיאלי, ד</t>
  </si>
  <si>
    <t>פיוטי אליה בר שמעיה</t>
  </si>
  <si>
    <t>פיוטי הלכה ומנהג לחג הפסח</t>
  </si>
  <si>
    <t>פיוטי הסליחות לר"ה ויוה"כ &lt;ע"פ ר"י ונה&gt;</t>
  </si>
  <si>
    <t>ונה, יצחק בן אברהם</t>
  </si>
  <si>
    <t>פיוטי התפילה עם פירוש נח - 2 כר'</t>
  </si>
  <si>
    <t>פיוטי יהודה</t>
  </si>
  <si>
    <t>ואוט ון בקום</t>
  </si>
  <si>
    <t>גרוניגד הולנד</t>
  </si>
  <si>
    <t>פיוטי יוסף בנסולי</t>
  </si>
  <si>
    <t>פיוטי יניי - 2 כר'</t>
  </si>
  <si>
    <t>פיוטי יניי</t>
  </si>
  <si>
    <t>תחר"ץ</t>
  </si>
  <si>
    <t>פיוטי ר' יהודה בריבי בנימין</t>
  </si>
  <si>
    <t>יהודה ביריבי בנימין</t>
  </si>
  <si>
    <t>פיוטי ר' יחיאל בר אברהם מרומא</t>
  </si>
  <si>
    <t>יחיאל בן אברהם מרומא</t>
  </si>
  <si>
    <t>פיוטי רבי אפרים בר' יעקב מבונא</t>
  </si>
  <si>
    <t>פיוטי רבי פנחס הכהן</t>
  </si>
  <si>
    <t>הכהן, פנחס</t>
  </si>
  <si>
    <t>פיוטי רבי שמעון ב"ר יצחק</t>
  </si>
  <si>
    <t>שמעון בן יצחק</t>
  </si>
  <si>
    <t>פיוטי רש"י</t>
  </si>
  <si>
    <t>פיוטי שמחת תורה כמנהג ק"ק תימן</t>
  </si>
  <si>
    <t>מכון פעולת צדיק</t>
  </si>
  <si>
    <t>פיוטים ופיטנים חדשים מהתקופה הביצנטינית</t>
  </si>
  <si>
    <t>פיוטים ושירים</t>
  </si>
  <si>
    <t>מאיר בן אליהו מנורגיץ</t>
  </si>
  <si>
    <t>פיוטים חסידיים</t>
  </si>
  <si>
    <t>ז'ורנו שלמה לוי יצחק בן מאיר</t>
  </si>
  <si>
    <t>חסידות, קבלה, תפלות בקשות פיוטים ושירה</t>
  </si>
  <si>
    <t>פיוטים לחג הפסח לרבי יואב בן נתן בן דניאל מרומא (תדפיס)</t>
  </si>
  <si>
    <t>יואב בן נתן מרומא</t>
  </si>
  <si>
    <t>פיוטים לשבת ויו"ט לחדשי אדר וניסן</t>
  </si>
  <si>
    <t>פיוטים לשבתות השנה - כמנהג אשכנז המובהק</t>
  </si>
  <si>
    <t>פיוטים לשמחת תורה</t>
  </si>
  <si>
    <t>קורח, שלום</t>
  </si>
  <si>
    <t>פיוטים מפורשים ומבוארים - ארבע פרשיות, הפסקות, שבת הגדול</t>
  </si>
  <si>
    <t>לוי, אהרן - רוזנווסר, משה יהודה בן צבי דב</t>
  </si>
  <si>
    <t>פיוטים נבחרים לחגים ולמועדים</t>
  </si>
  <si>
    <t>פיטטיא דאורייתא</t>
  </si>
  <si>
    <t>פסטג, עזריאל דוד</t>
  </si>
  <si>
    <t>תלמוד בבלי, תלמוד בבלי, תנ"ך, תפלות בקשות פיוטים ושירה</t>
  </si>
  <si>
    <t>פיטטיא דאורייתא - 2 כר'</t>
  </si>
  <si>
    <t>שלנגר, חיים קלמן</t>
  </si>
  <si>
    <t>פילולי פנחס</t>
  </si>
  <si>
    <t>שפלטר דורון, יהושע פנחס בן משה</t>
  </si>
  <si>
    <t>פילפלא חריפתא</t>
  </si>
  <si>
    <t>פינות הבית</t>
  </si>
  <si>
    <t>נושאים שונים, נושאים שונים, שאלות ותשובות, שאלות ותשובות, תולדות עם ישראל, תולדות עם ישראל</t>
  </si>
  <si>
    <t>פינסק - ספר עדות וזכרון לקהילת פינסק קארלין א</t>
  </si>
  <si>
    <t>פינת יקרת - 7 כר'</t>
  </si>
  <si>
    <t>פינת יקרת - ג</t>
  </si>
  <si>
    <t>כולל אברכים דחסידי בעלזא</t>
  </si>
  <si>
    <t>פיסוק טעמים שבמקרא</t>
  </si>
  <si>
    <t>פיסוק מקראות שבתורה</t>
  </si>
  <si>
    <t>פיקודי החיים</t>
  </si>
  <si>
    <t>פיקודי המועד</t>
  </si>
  <si>
    <t>פיקודי השבת</t>
  </si>
  <si>
    <t>פיקוח נפש ורפואה בשבת</t>
  </si>
  <si>
    <t>יעקב, אליאור</t>
  </si>
  <si>
    <t>פירא רבא</t>
  </si>
  <si>
    <t>א. בן אורי</t>
  </si>
  <si>
    <t>פירורי דאורייתא</t>
  </si>
  <si>
    <t>פירורי לחם</t>
  </si>
  <si>
    <t>פירורים משולחן גבוה - חנוכה</t>
  </si>
  <si>
    <t>פירוש אבודרהם - תפילת ראש השנה</t>
  </si>
  <si>
    <t>פירוש אברבנאל על ספר מורה נבוכים</t>
  </si>
  <si>
    <t>תקצ"א - תקצ"ב</t>
  </si>
  <si>
    <t>פירוש אל אדון על כל המעשים</t>
  </si>
  <si>
    <t>אביחצירא, דוד</t>
  </si>
  <si>
    <t>פירוש אלפביטין - פירוש על י"ג פיוטים ארמיים</t>
  </si>
  <si>
    <t>בנימין בן אברהם מן הענוים</t>
  </si>
  <si>
    <t>ירושלים-ניו יורק</t>
  </si>
  <si>
    <t>פירוש דניאל הנקרא חבצלת השרון</t>
  </si>
  <si>
    <t>[שכ"ג]</t>
  </si>
  <si>
    <t>[קושטאנטינה]</t>
  </si>
  <si>
    <t>פירוש דניאל להרלב"ג</t>
  </si>
  <si>
    <t>פירוש דרך ימין</t>
  </si>
  <si>
    <t>פירוש האגדות לרבי עזריאל</t>
  </si>
  <si>
    <t>עזריאל בן שלמה מגירונה</t>
  </si>
  <si>
    <t>קבלה, תולדות עם ישראל, תלמוד בבלי</t>
  </si>
  <si>
    <t>פירוש האגדתא דפרק מי שאחזו</t>
  </si>
  <si>
    <t>קנצנלבוגן, א. י</t>
  </si>
  <si>
    <t>פירוש הארוך על תהלים &lt;רד"ק&gt;</t>
  </si>
  <si>
    <t>פירוש הגאונים על סדר טהרות</t>
  </si>
  <si>
    <t>האיי בן שרירא גאון. מיוחס לו</t>
  </si>
  <si>
    <t>פירוש הגדה של פסח למהר"ל מפראג &lt;מתוך אוצר פרושים אייזנשטיין&gt;</t>
  </si>
  <si>
    <t>פירוש הגט</t>
  </si>
  <si>
    <t>פירוש הגר"א על כמה אגדות</t>
  </si>
  <si>
    <t>פירוש הגר"א על מסכת פרה</t>
  </si>
  <si>
    <t>פירוש הגר"א על ספר יצירה עם יוצר אור</t>
  </si>
  <si>
    <t>גולדבלט, חיים טודרוס בן יעקב</t>
  </si>
  <si>
    <t>פירוש ההגדה</t>
  </si>
  <si>
    <t>פירוש הטור הארוך על התורה &lt;שהם ויקר&gt; - 2 כר'</t>
  </si>
  <si>
    <t>פירוש הטור על התורה</t>
  </si>
  <si>
    <t>פירוש הכתובה</t>
  </si>
  <si>
    <t>דיל ויקייו, אברהם בן שבתי</t>
  </si>
  <si>
    <t>פירוש הלכות שחיטה</t>
  </si>
  <si>
    <t>פירוש המאירי על ספר משלי</t>
  </si>
  <si>
    <t>פירוש המיוחס לרש"י לשאילת מטר מר' אלעזר בירבי קליר</t>
  </si>
  <si>
    <t>שלמה בן יצחק (רש"י) - מיוחס לו</t>
  </si>
  <si>
    <t>פירוש המכילתא לרבי אליעזר נחום</t>
  </si>
  <si>
    <t>פירוש המלבי" ם הקצר עה"ת</t>
  </si>
  <si>
    <t>מלבים מאיר ליבוש בן יחיאל מיכל - קלצקין, הלל משה</t>
  </si>
  <si>
    <t>פירוש המלות</t>
  </si>
  <si>
    <t>פירוש המרכבה &lt;חדרי המרכבה&gt;</t>
  </si>
  <si>
    <t>בן ג'יקטיליה, יוסף - וויינשטוק, משה יאיר בן מרדכי דוד</t>
  </si>
  <si>
    <t>פירוש המשנה להרמב"ם - גיטין &lt;אמרי נעם&gt;</t>
  </si>
  <si>
    <t>משה בן מימון (רמב"ם) - בלזם, נעם</t>
  </si>
  <si>
    <t>פירוש המשנה להרמב"ם - סנהדרין</t>
  </si>
  <si>
    <t>פירוש המשניות להרמב"ם דפו"ר - 4 כר'</t>
  </si>
  <si>
    <t>פירוש המשניות להרמב"ם - מעות לתקון בפירוש רמב"ם ז"ל למסכת אבות</t>
  </si>
  <si>
    <t>משה בן מימון (רמב"ם) - בנט, יחזקאל</t>
  </si>
  <si>
    <t>פירוש המשניות להרמב"ם - 31 כר'</t>
  </si>
  <si>
    <t>פירוש הערוך - כלים, אהלות</t>
  </si>
  <si>
    <t>נתן בן יחיאל מרומא - גולדשטוף , יאיר (עורך)</t>
  </si>
  <si>
    <t>פירוש הר"א מגרמיזא על ספר יצירה</t>
  </si>
  <si>
    <t>פירוש הר"ש &lt;מסכת בכורים ותוספתא דאנדרוגינס&gt;</t>
  </si>
  <si>
    <t>שמשון משאנץ</t>
  </si>
  <si>
    <t>תרכ"ז הק'</t>
  </si>
  <si>
    <t>פירוש הר"ש על התוספתא מסכת פרה</t>
  </si>
  <si>
    <t>הוצאת זכרון ירוחם</t>
  </si>
  <si>
    <t>פירוש הרא"ם על התורה &lt;עם הערות ועיונים&gt; - 5 כר'</t>
  </si>
  <si>
    <t>מזרחי, אליהו בן אברהם - שטסמן, יששכר בן משה</t>
  </si>
  <si>
    <t>פירוש הרא"ש &lt;פי שנים&gt;</t>
  </si>
  <si>
    <t>מלברון</t>
  </si>
  <si>
    <t>פירוש הרא"ש השלם על מסכת כלים</t>
  </si>
  <si>
    <t>אשר בן יחיאל  (הרא"ש) - גולדשטוף, יאיר (עורך)</t>
  </si>
  <si>
    <t>פירוש הרא"ש והראב"ד ז"ל</t>
  </si>
  <si>
    <t>פירוש הרא"ש ור"ע על מסכת קינין</t>
  </si>
  <si>
    <t>לוי, דוד בן יהודא ליב</t>
  </si>
  <si>
    <t>פירוש הרא"ש על מסכת פרה</t>
  </si>
  <si>
    <t>פירוש הראב"ד על מסכת עבודה זרה</t>
  </si>
  <si>
    <t>פירוש הראב"י אב"ד - בבא בתרא</t>
  </si>
  <si>
    <t>פירוש הרוקח על ספר יחזקאל</t>
  </si>
  <si>
    <t>פירוש הריבמ"ץ למשנה זרעים</t>
  </si>
  <si>
    <t>יצחק ב"ר מלכי צדק מסימפונט (מפרש)</t>
  </si>
  <si>
    <t>פירוש הריטב"א ותוספות רי"ד - קידושין</t>
  </si>
  <si>
    <t>פירוש הריקאנאטי לתורה &lt;מהדורה חדשה&gt; - 2 כר'</t>
  </si>
  <si>
    <t>פירוש הרמ"ז לזוהר הקדוש - 6 כר'</t>
  </si>
  <si>
    <t>פירוש הרמב"ם על מסכת ר"ה, יומא, תמורה</t>
  </si>
  <si>
    <t>פירוש הרמב"ם על מסכת ראש השנה - 3 כר'</t>
  </si>
  <si>
    <t>פירוש הרמב"ן על התורה &lt;טוב ירושלים&gt; - 5 כר'</t>
  </si>
  <si>
    <t>משה בן נחמן (רמב"ן)  - ליברמן, פנחס יהודה</t>
  </si>
  <si>
    <t>פירוש הרמב"ן על התורה &lt;מנחם ציון&gt; - 2 כר'</t>
  </si>
  <si>
    <t>משה בן נחמן (רמב"ן) - גולדברג, מנחם מנדל</t>
  </si>
  <si>
    <t>פירוש הרמב"ן על התורה &lt;בית היין&gt; - 5 כר'</t>
  </si>
  <si>
    <t>משה בן נחמן (רמב"ן) - דביר, יהודה מאיר בן אליעזר</t>
  </si>
  <si>
    <t>פירוש הרמב"ן על התורה &lt;הדרי קודש&gt; - 5 כר'</t>
  </si>
  <si>
    <t>משה בן נחמן (רמב"ן) - מרגולין, הדר יהודה בן מיכאל משה</t>
  </si>
  <si>
    <t>פירוש הרמב"ן על התורה &lt;זכרון יצחק&gt; - 2 כר'</t>
  </si>
  <si>
    <t>פירוש הרמב"ן על התורה - 3 כר'</t>
  </si>
  <si>
    <t>פירוש הרמב"ן על שיר השירים</t>
  </si>
  <si>
    <t>פירוש התורה &lt;אברבנאל&gt; - 4 כר'</t>
  </si>
  <si>
    <t>פירוש התורה &lt;רשב"ם&gt;</t>
  </si>
  <si>
    <t>שמואל בן מאיר (רשב"ם)</t>
  </si>
  <si>
    <t>פירוש התורה בעל הטורים עם עיטור בכורים</t>
  </si>
  <si>
    <t>פירוש התורה לרבינו יעקב בן אשר &lt;בעל הטורים&gt; - 2 כר'</t>
  </si>
  <si>
    <t>ש"ד</t>
  </si>
  <si>
    <t>פירוש התורה לרבינו יעקב בן אשר &lt;בעל הטורים&gt;</t>
  </si>
  <si>
    <t>יעקב בן אשר (בעל טורים)</t>
  </si>
  <si>
    <t>פירוש התורה לרשב"ם - 2 כר'</t>
  </si>
  <si>
    <t>פירוש התורה של רבינו אפרים ז"ל</t>
  </si>
  <si>
    <t>אלנקאוה, אפרים בן ישראל</t>
  </si>
  <si>
    <t>פירוש התורה</t>
  </si>
  <si>
    <t>פירוש התפילה</t>
  </si>
  <si>
    <t>פירוש התפלות והברכות</t>
  </si>
  <si>
    <t>יהודה בן יקר</t>
  </si>
  <si>
    <t>פירוש חי - 4 כר'</t>
  </si>
  <si>
    <t>פרוש, חיים</t>
  </si>
  <si>
    <t>פירוש חמש מגילות - 2 כר'</t>
  </si>
  <si>
    <t>אבן-יחיא, יוסף בן דוד</t>
  </si>
  <si>
    <t>פירוש חמש מגלות</t>
  </si>
  <si>
    <t>ריווא דטרינטו,</t>
  </si>
  <si>
    <t>פירוש ימיני</t>
  </si>
  <si>
    <t>אנגלרד, בנימין בן משה</t>
  </si>
  <si>
    <t>פירוש ירמיה מר' יוסף קרא</t>
  </si>
  <si>
    <t>קרא, יוסף בן שמעון</t>
  </si>
  <si>
    <t>פירוש לחמשה חומשי תורה &lt;יוסף בכור שור&gt; - 3 כר'</t>
  </si>
  <si>
    <t>יוסף בכור שור</t>
  </si>
  <si>
    <t>פירוש לכתבי הקדש - 2 כר'</t>
  </si>
  <si>
    <t>פירוש למדרש הרבות מהתורה</t>
  </si>
  <si>
    <t>נפתלי הירץ בן מנחם</t>
  </si>
  <si>
    <t>פירוש למדרש חמש מגילות רבה</t>
  </si>
  <si>
    <t>פירוש לספר איוב (כתב יד)</t>
  </si>
  <si>
    <t>ארונדי, יצחק</t>
  </si>
  <si>
    <t>פירוש לספר איוב</t>
  </si>
  <si>
    <t>לוי בו גרשון (רלב"ג)</t>
  </si>
  <si>
    <t>פירארה</t>
  </si>
  <si>
    <t>פירוש קדום</t>
  </si>
  <si>
    <t>פירוש לספר תהלים - 2 כר'</t>
  </si>
  <si>
    <t>פירוש לפירושו - 4 כר'</t>
  </si>
  <si>
    <t>ברנשטיין, מאיר בן אברהם חיים</t>
  </si>
  <si>
    <t>פירוש מגילת אחשורוש - 2 כר'</t>
  </si>
  <si>
    <t>סרוק, זכריה בן יהושע ן'</t>
  </si>
  <si>
    <t>פירוש מגילת איכה</t>
  </si>
  <si>
    <t>רפ"א</t>
  </si>
  <si>
    <t>פירוש מגילת אסתר &lt;יוסף לקח&gt;</t>
  </si>
  <si>
    <t>פירוש מגילת אסתר &lt;ר"א גאליקו&gt; - 2 כר'</t>
  </si>
  <si>
    <t>פירוש מגילת אסתר &lt;רמב"ם&gt;</t>
  </si>
  <si>
    <t>פירוש מגילת אסתר &lt;ר' יוסף נחמיאש&gt;</t>
  </si>
  <si>
    <t>נחמיאש, יוסף בן יוסף</t>
  </si>
  <si>
    <t>פירוש מגילת אסתר המיוחס לרמב"ם</t>
  </si>
  <si>
    <t>משה בן מימון (רמב"ם). מיוחס לו</t>
  </si>
  <si>
    <t>פירוש מגילת אסתר להרלב"ג</t>
  </si>
  <si>
    <t>פירוש מגילת אסתר לרבי אברהם חדידה</t>
  </si>
  <si>
    <t>פירוש מגילת קהלת &lt;יצחק אבן לאטיף&gt;</t>
  </si>
  <si>
    <t>אבן-לאטיף, יצחק בן אברהם</t>
  </si>
  <si>
    <t>פירוש מגילת רות &lt;מהדורה חדשה&gt; - 2 כר'</t>
  </si>
  <si>
    <t>המון, עובדיה בן זכריה</t>
  </si>
  <si>
    <t>פירוש מגילת רות מגלה סוד הגאולה</t>
  </si>
  <si>
    <t>יצחק בן יוסף הכהן</t>
  </si>
  <si>
    <t>פירוש מגילת רות - 2 כר'</t>
  </si>
  <si>
    <t>פירוש מהר"ם חלאווה &lt;מהדורה מתוקנת&gt;</t>
  </si>
  <si>
    <t>פירוש מהר"ם חלאווה</t>
  </si>
  <si>
    <t>פירוש מלבי"ם &lt;הוצאת מישור&gt; - 7 כר'</t>
  </si>
  <si>
    <t>פירוש מלוקט על מסכת פרה</t>
  </si>
  <si>
    <t>פירוש מסכת אבות &lt;החסיד יעבץ&gt;</t>
  </si>
  <si>
    <t>אדריאנופולי Adriano</t>
  </si>
  <si>
    <t>פירוש מסכת אבות לרבי מתתיה היצהרי</t>
  </si>
  <si>
    <t>היצהרי, מתתיה - שפיגל יעקב שמואל (מהדיר)</t>
  </si>
  <si>
    <t>פירוש מסכת יבמות &lt;ריב"ן&gt;</t>
  </si>
  <si>
    <t>יהודה בן נתן (ריב"ן)</t>
  </si>
  <si>
    <t>פירוש מסכת כלה רבתי</t>
  </si>
  <si>
    <t>פירוש מסכת משקין</t>
  </si>
  <si>
    <t>שלמה בן-היתום</t>
  </si>
  <si>
    <t>פירוש מסכת קידושין</t>
  </si>
  <si>
    <t>מאיר בן שמואל מרמרוג</t>
  </si>
  <si>
    <t>פירוש מרי"ד על התורה</t>
  </si>
  <si>
    <t>פירוש משלי &lt;ראב"ע&gt;</t>
  </si>
  <si>
    <t>פירוש נאה ומחודש על מזמור פג - 2 כר'</t>
  </si>
  <si>
    <t>חנוך בן אברהם מגניזן</t>
  </si>
  <si>
    <t>פירוש נביאים וכתובים &lt;ר' ישעיה הראשון מטראני&gt; - 3 כר'</t>
  </si>
  <si>
    <t>פירוש נביאים ראשונים - 4 כר'</t>
  </si>
  <si>
    <t>אברהם בן שלמה</t>
  </si>
  <si>
    <t>פירוש נחמד ונעים</t>
  </si>
  <si>
    <t>אריה ליב בן משה</t>
  </si>
  <si>
    <t>פירוש נחמד על היוצר משבת וחנוכה</t>
  </si>
  <si>
    <t>פירוש נחמד</t>
  </si>
  <si>
    <t>פירוש נעשה אדם בצלמנו</t>
  </si>
  <si>
    <t>פירוש סדר עבודה</t>
  </si>
  <si>
    <t>פירוש סדר עבודת יום הכפורים</t>
  </si>
  <si>
    <t>פירוש ספר יצירה &lt;מהדורה חדשה&gt;</t>
  </si>
  <si>
    <t>פירוש ספר יצירה</t>
  </si>
  <si>
    <t>פירוש ספר קהלת ותהלים עם פירוש רבי משה ישראל דמירקאדו</t>
  </si>
  <si>
    <t>דמירקאדו, משה ישראל</t>
  </si>
  <si>
    <t>פירוש ספרי לרבינו אליעזר נחום</t>
  </si>
  <si>
    <t>פירוש על איוב</t>
  </si>
  <si>
    <t>פירוש על דברי הימים</t>
  </si>
  <si>
    <t>מיוחס לאחד מתלמידי רס"ג</t>
  </si>
  <si>
    <t>פירוש על הי"ג מידות</t>
  </si>
  <si>
    <t>פירוש על הכתובה</t>
  </si>
  <si>
    <t>פירוש על המסורה</t>
  </si>
  <si>
    <t>פירוש על הפיוטים - כ"י המבורג</t>
  </si>
  <si>
    <t>רות, אברהם נפתלי צבי</t>
  </si>
  <si>
    <t>פירוש על הרמב"ם - 2 כר'</t>
  </si>
  <si>
    <t>עראמה, דוד בן אברהם</t>
  </si>
  <si>
    <t>פירוש על התורה &lt;אברבנאל&gt; - 3 כר'</t>
  </si>
  <si>
    <t>תשי"ד - תש"כ</t>
  </si>
  <si>
    <t>פירוש על התורה &lt;רבינו נסים&gt;</t>
  </si>
  <si>
    <t>פירוש על התורה &lt;מיוחס לתלמיד הר"ן&gt;</t>
  </si>
  <si>
    <t>תלמיד הר"ן</t>
  </si>
  <si>
    <t>פירוש על התורה להגאון רבינו אפרים</t>
  </si>
  <si>
    <t>אלנקאוה, אפרים בו ישראל?</t>
  </si>
  <si>
    <t>פירוש על התורה לר"מ ריקאנאטי</t>
  </si>
  <si>
    <t>פירוש על התורה עם פירוש סיפורי חסידים - 5 כר'</t>
  </si>
  <si>
    <t>פירוש על התורה</t>
  </si>
  <si>
    <t>פירוש על חד גדיא</t>
  </si>
  <si>
    <t>פירוש על חמש מגלות &lt;רלב"ג&gt;</t>
  </si>
  <si>
    <t>פירוש על יונה &lt;הגר"א&gt;</t>
  </si>
  <si>
    <t>פירוש על יחזקאל ותרי עשר</t>
  </si>
  <si>
    <t>אליעזר מבלגנצי</t>
  </si>
  <si>
    <t>פירוש על ישעיהו</t>
  </si>
  <si>
    <t>וינהVienna</t>
  </si>
  <si>
    <t>פירוש על כמה אגדות</t>
  </si>
  <si>
    <t>פירוש על מגילת תענית - פירוש על ההושענות</t>
  </si>
  <si>
    <t>מועדי ישראל, שאר ספרי חז"ל, תפלות בקשות פיוטים ושירה</t>
  </si>
  <si>
    <t>פירוש על משלי &lt;רבינו יונה&gt; - 2 כר'</t>
  </si>
  <si>
    <t>פירוש על נביאים אחרונים &lt;אברבנאל&gt; - 2 כר'</t>
  </si>
  <si>
    <t>מחשבה ומוסר, תנ"ך, תנ"ך</t>
  </si>
  <si>
    <t>פירוש על נביאים וכתובים &lt;אברבנאל&gt;</t>
  </si>
  <si>
    <t>מחשבה ומוסר, נושאים שונים, נושאים שונים, תנ"ך</t>
  </si>
  <si>
    <t>פירוש על נביאים ראשונים &lt;אברבנאל&gt; - 3 כר'</t>
  </si>
  <si>
    <t>פזרו</t>
  </si>
  <si>
    <t>פירוש על ספר יהושע</t>
  </si>
  <si>
    <t>אבן-בלעם, יהודה בן שמואל</t>
  </si>
  <si>
    <t>פירוש על ספר ירמיה &lt;ר"י נחמיאש&gt;</t>
  </si>
  <si>
    <t>פירוש על ספר ירמיה</t>
  </si>
  <si>
    <t>קיב Kiev</t>
  </si>
  <si>
    <t>פירוש על ספר משלי &lt;בנימין ב"ר יהודה&gt;</t>
  </si>
  <si>
    <t>בוצקו, בנימין בן יהודה</t>
  </si>
  <si>
    <t>פירוש על ספר משלי &lt;ר"י נחמיאש&gt;</t>
  </si>
  <si>
    <t>נחמיאש יוסף בן יוסף</t>
  </si>
  <si>
    <t>פירוש על ספר שופטים</t>
  </si>
  <si>
    <t>פירוש על עזרא ונחמיה</t>
  </si>
  <si>
    <t>בנימין בן יהודה מרומא</t>
  </si>
  <si>
    <t>פירוש על עזרא ונחמיה - 2 כר'</t>
  </si>
  <si>
    <t>פירוש על פירוש החכם רבי אברהם אבן עזרא &lt;מגילת סתרים&gt; - 2 כר'</t>
  </si>
  <si>
    <t>אבן-מטוט, שמואל בן סעדיה</t>
  </si>
  <si>
    <t>פירוש על קהלת ושיר השירים</t>
  </si>
  <si>
    <t>פירוש על שיר השירים &lt;גאליקו&gt;</t>
  </si>
  <si>
    <t>Lodz לודז'</t>
  </si>
  <si>
    <t>פירוש על שיר השירים &lt;ר"ע מגירונה&gt; - 2 כר'</t>
  </si>
  <si>
    <t>משה בן נחמן (רמב"ן) מיוחס לו - עזרא ב"ר שלמה מגירונה</t>
  </si>
  <si>
    <t>פירוש על שיר השירים</t>
  </si>
  <si>
    <t>אבן-תיבון, משה בן שמואל</t>
  </si>
  <si>
    <t>פירוש על תהלים</t>
  </si>
  <si>
    <t>Austria אוסטריה</t>
  </si>
  <si>
    <t>פירוש על תרגום יונתן ותרגום ירושלמי</t>
  </si>
  <si>
    <t>דוד בן יעקב שברשין</t>
  </si>
  <si>
    <t>פירוש קדום למדרש רבה</t>
  </si>
  <si>
    <t>פירוש קדמון לבבא בתרא</t>
  </si>
  <si>
    <t>פירוש קדמון למסכת חולין</t>
  </si>
  <si>
    <t>פירוש קהלת לר' יוסף קרא</t>
  </si>
  <si>
    <t>פירוש ר"י אלמדארי - 2 כר'</t>
  </si>
  <si>
    <t>אלמדארי, יהודה בן אלעזר הכהן</t>
  </si>
  <si>
    <t>פירוש ר"ש משאנץ למשנה סדר זרעים &lt;כתב יד&gt; - 3 כר'</t>
  </si>
  <si>
    <t>פירוש ר' אברהם אבן עזרא על התורה &lt;כת"י וטיקן&gt;</t>
  </si>
  <si>
    <t>אברהם אבן עזרא</t>
  </si>
  <si>
    <t>פירוש ר' יוסף קרא - על נביאים ראשונים</t>
  </si>
  <si>
    <t>קרא,יוסף</t>
  </si>
  <si>
    <t>פירוש ר' משה אבן מוסא על הי"ג מדות של ר' ישמעאל</t>
  </si>
  <si>
    <t>אבן-מוסא, משה (מספרד)</t>
  </si>
  <si>
    <t>פירוש ר' עמנואל בן שלמה על שיר השירים</t>
  </si>
  <si>
    <t>פרנקפורט דמייןFrank</t>
  </si>
  <si>
    <t>פירוש רב סעדיה גאון ז"ל על מסכת ברכות</t>
  </si>
  <si>
    <t>פירוש רבי יוסף קרא על מגלת איכה</t>
  </si>
  <si>
    <t>פירוש רבי יצחק ב"ר יוסף על התורה  - בראשית</t>
  </si>
  <si>
    <t>פירוש רבי מיוחס - בראשית</t>
  </si>
  <si>
    <t>מיוחס בן אליהו</t>
  </si>
  <si>
    <t>פירוש רבי משה קמחי לספר איוב</t>
  </si>
  <si>
    <t>קמחי, משה</t>
  </si>
  <si>
    <t>פירוש רבינו אברהם בן הרמב"ם ז"ל על בראשית ושמות</t>
  </si>
  <si>
    <t>פירוש רבינו אברהם מן ההר - 9 כר'</t>
  </si>
  <si>
    <t>אברהם דמונפשלייר מן ההר</t>
  </si>
  <si>
    <t>פירוש רבינו אברהם מן ההר - יבמות</t>
  </si>
  <si>
    <t>אברהם דמונפשלייר מן ההר- אריאלי, אביגדור (מהדיר)</t>
  </si>
  <si>
    <t>פירוש רבינו אברהם מן ההר - נדרים</t>
  </si>
  <si>
    <t>אברהם דמונפשלייר מן ההר- קפלן אברהם (מהדיר)</t>
  </si>
  <si>
    <t>פירוש רבינו אליקים למסכת יומא</t>
  </si>
  <si>
    <t>אליקים בן משולם הלוי</t>
  </si>
  <si>
    <t>פירוש רבינו אלעזר מגרמייזא - תורה, מגילת אסתר</t>
  </si>
  <si>
    <t>קבלה, שונות, תנ"ך</t>
  </si>
  <si>
    <t>פירוש רבינו אשר מלוניל - ב"מ, ב"ב</t>
  </si>
  <si>
    <t>אשר בן שלמיה מלוניל</t>
  </si>
  <si>
    <t>פירוש רבינו בחיי על איוב</t>
  </si>
  <si>
    <t>פירוש רבינו בחיי על התורה - 2 כר'</t>
  </si>
  <si>
    <t>פירוש רבינו בחיי על מסכת אבות</t>
  </si>
  <si>
    <t>בחיי בן אשר אבן חלאוה - שם טוב בן שם טוב</t>
  </si>
  <si>
    <t>פירוש רבינו ברוך מארץ יון</t>
  </si>
  <si>
    <t>ברוך בן שמואל מארץ יון</t>
  </si>
  <si>
    <t>פירוש רבינו גרשום השלם - כריתות</t>
  </si>
  <si>
    <t>גרשום בן יהודה (רגמ"ה) - גולדשטוף, יאיר (עורך)</t>
  </si>
  <si>
    <t>פירוש רבינו גרשום השלם - 2 כר'</t>
  </si>
  <si>
    <t>גרשום בן יהודה (רגמ"ה)</t>
  </si>
  <si>
    <t>פירוש רבינו חננאל - מכות</t>
  </si>
  <si>
    <t>חננאל בן חושיאל - סאלאוויציק, ישראל ברוך הלוי (עורך)</t>
  </si>
  <si>
    <t>פירוש רבינו חננאל - 6 כר'</t>
  </si>
  <si>
    <t>פירוש רבינו יהודה בר נתן - יבמות</t>
  </si>
  <si>
    <t>יהודה בן נתן</t>
  </si>
  <si>
    <t>פירוש רבינו יהודה הכהן - חולין</t>
  </si>
  <si>
    <t>יהודה בן אלעזר הכהן דמצובה</t>
  </si>
  <si>
    <t>פירוש רבינו יהודה עניו &lt;ריבב"ן&gt; - 6 כר'</t>
  </si>
  <si>
    <t>יהודה בן בנימין הרופא</t>
  </si>
  <si>
    <t>פירוש רבינו יהונתן הכהן מלוניל - 6 כר'</t>
  </si>
  <si>
    <t>פירוש רבינו יונה לאבות &lt;מי דעת&gt; - 2 כר'</t>
  </si>
  <si>
    <t>גירונדי, יונה בן אברהם - ארזי כהן, ישראל מאיר</t>
  </si>
  <si>
    <t>פירוש רבינו יונה לאבות - פירוש קדמון לפרק ששי</t>
  </si>
  <si>
    <t>פירוש רבינו יונה על פרקי אבות עם הארות וביאורים</t>
  </si>
  <si>
    <t>גירונדי, יונה בן אברהם - בריסק, הלל</t>
  </si>
  <si>
    <t>פירוש רבינו יצחק קרקושא - 2 כר'</t>
  </si>
  <si>
    <t>קרקושא, יצחק</t>
  </si>
  <si>
    <t>פירוש רבינו ישמעאל בן חכמון - עירובין</t>
  </si>
  <si>
    <t>בן חכמון, ישמעאל</t>
  </si>
  <si>
    <t>פירוש רבינו מיוחס - 5 כר'</t>
  </si>
  <si>
    <t>פירוש רבינו מנחם מאירי על התורה</t>
  </si>
  <si>
    <t>פירוש רבינו משה בן מיימון למסכת ראש השנה &lt;אור לישרים&gt;</t>
  </si>
  <si>
    <t>פירוש רבינו נתן אב הישיבה</t>
  </si>
  <si>
    <t>נתן בן אברהם החסיד</t>
  </si>
  <si>
    <t>פירוש רבינו סעדיה גאון - 2 כר'</t>
  </si>
  <si>
    <t>תש"כ - תשכ"ג</t>
  </si>
  <si>
    <t>פירוש רבינו סעיד בן דוד אלעדני - 2 כר'</t>
  </si>
  <si>
    <t>אלעדני, סעיד בן דוד</t>
  </si>
  <si>
    <t>פירוש רד"ק על התורה</t>
  </si>
  <si>
    <t>פירוש רד"ק על נביאים אחרונים</t>
  </si>
  <si>
    <t>פירוש ריבב"ן - עירובין</t>
  </si>
  <si>
    <t>רבי יהודה יעלה ב"ר בנימין הרופא</t>
  </si>
  <si>
    <t>פירוש רלב"ג על התורה - 3 כר'</t>
  </si>
  <si>
    <t>פירוש רש"י למסכת מגילה</t>
  </si>
  <si>
    <t>פירוש רש"י למסכת מועד קטן - בירורים בזיהויו</t>
  </si>
  <si>
    <t>פירוש רש"י למסכת מועד קטן</t>
  </si>
  <si>
    <t>פירוש רש"י למסכת תענית</t>
  </si>
  <si>
    <t>פירוש רש"י לשבת  &lt;כת"י פריז&gt; - א</t>
  </si>
  <si>
    <t>פירוש רש"י לשבת &lt;כת"י לונדון&gt;</t>
  </si>
  <si>
    <t>פירוש רש"י לשבת &lt;כת"י פריז&gt; - ב</t>
  </si>
  <si>
    <t>פירוש רש"י לשיר השירים מפורש ומבואר</t>
  </si>
  <si>
    <t>שלמה בן יצחק (רש"י) - דיסלדורף, שמעון</t>
  </si>
  <si>
    <t>פירוש רש"י לתחילת מסכת תענית</t>
  </si>
  <si>
    <t>פירוש רש"י על התורה &lt;דפו"ר&gt;</t>
  </si>
  <si>
    <t>רג'יו די קלבריאה Reg</t>
  </si>
  <si>
    <t>פירוש רש"י על התורה &lt;ויקרא במדבר דברים&gt; - 2 כר'</t>
  </si>
  <si>
    <t>פירוש רש"י על התורה &lt;כתב יד&gt;</t>
  </si>
  <si>
    <t>פירוש רש"י על התורה מכתב יד</t>
  </si>
  <si>
    <t>פירוש רש"י על התורה - 7 כר'</t>
  </si>
  <si>
    <t>פירוש רש"י על שיר השירים</t>
  </si>
  <si>
    <t>שלמה בן יצחק (רש"י) - רוזנטל, יהודה</t>
  </si>
  <si>
    <t>פירוש שחיטת חולין רבתי</t>
  </si>
  <si>
    <t>פירוש שיר השירים לר"א גאליקו</t>
  </si>
  <si>
    <t>פירוש שיר השירים לרבינו אביגדור כהן צדק - 2 כר'</t>
  </si>
  <si>
    <t>אביגדור בן אליהו הכהן</t>
  </si>
  <si>
    <t>פירוש תלמיד הרא"ש להלכות כתובות - 2 כר'</t>
  </si>
  <si>
    <t>אברהם בן יום טוב מטודלה</t>
  </si>
  <si>
    <t>פירוש תלמיד הרמב"ן השלם - תענית</t>
  </si>
  <si>
    <t>פירוש תלמיד הרמב"ן השלם</t>
  </si>
  <si>
    <t>פירוש תלמיד הרמב"ן ז"ל - 2 כר'</t>
  </si>
  <si>
    <t>פירוש תפילת שמונה עשרה - 2 כר'</t>
  </si>
  <si>
    <t>גליק, יוסף שלמה בן ישעיה הכהן</t>
  </si>
  <si>
    <t>פירושי איברא</t>
  </si>
  <si>
    <t>פירושי הגר"א - 7 כר'</t>
  </si>
  <si>
    <t>פירושי המהר"ם והרא"ש - אהלות</t>
  </si>
  <si>
    <t>לקט ראשונים - גודלשטוף, יאיר (עורך)</t>
  </si>
  <si>
    <t>פירושי הערוך, מהר"ם, רא"ש, אגודה - 2 כר'</t>
  </si>
  <si>
    <t>לקט ראשונים - גולדשטוף, יאיר (עורך)</t>
  </si>
  <si>
    <t>פירושי הראשונים על ברייתת פיטום הקטורת</t>
  </si>
  <si>
    <t>הלוי, חגי</t>
  </si>
  <si>
    <t>פירושי הראשונים על מסכת תמיד - 2 כר'</t>
  </si>
  <si>
    <t>פירושי הראשונים - זבחים, ערכין, תמורה</t>
  </si>
  <si>
    <t>פירושי הראשונים</t>
  </si>
  <si>
    <t>פירושי הרב דוד צבי הופמן &lt;גרמנית&gt; - ז (דברים ב)</t>
  </si>
  <si>
    <t>פירושי הרב דוד צבי הופמן - 7 כר'</t>
  </si>
  <si>
    <t>פירושי התורה לר' חיים פלטיאל</t>
  </si>
  <si>
    <t>רבי חיים פלטיאל</t>
  </si>
  <si>
    <t>פירושי התורה לר' יהודה החסיד</t>
  </si>
  <si>
    <t>פירושי התורה לרמב"ן &lt;דפו"ר&gt; - 2 כר'</t>
  </si>
  <si>
    <t>פירושי ונמוקי רבנו עזריאל</t>
  </si>
  <si>
    <t>רבינו עזריאל</t>
  </si>
  <si>
    <t>פירושי ופסקי רב האי גאון למסכת שבת - ליקוטי פרושי ר"ח לפרק המוציא יין</t>
  </si>
  <si>
    <t>האי בן שרירא גאון - חננאל בן חושיאל</t>
  </si>
  <si>
    <t>פירושי לב איברא</t>
  </si>
  <si>
    <t>פירושי מהלל העדני - 3 כר'</t>
  </si>
  <si>
    <t>פירושי מהר"ל מפראג &lt;תנ"ך&gt; - 3 כר'</t>
  </si>
  <si>
    <t>פירושי מהר"ל מפראג - 4 כר'</t>
  </si>
  <si>
    <t>פירושי מסכת פסחים וסוכה &lt;מבית מדרשו של רש"י&gt;</t>
  </si>
  <si>
    <t>בן נתן, יהודה - יצחקי, שלמה</t>
  </si>
  <si>
    <t>פירושי סידור התפילה לרוקח - 2 כר'</t>
  </si>
  <si>
    <t>פירושי על נביאים אחרונים</t>
  </si>
  <si>
    <t>פירושי ראשונים לאגדות חז"ל</t>
  </si>
  <si>
    <t>ברומברג, אברהם יצחק</t>
  </si>
  <si>
    <t>תלמוד בבלי, תלמוד בבלי, תלמוד בבלי, תלמוד ירושלמי</t>
  </si>
  <si>
    <t>פירושי ראשונים למסכת אבות</t>
  </si>
  <si>
    <t>פי' רש"י, פי' ר"י הפניני, פי' ר"י חייון</t>
  </si>
  <si>
    <t>פירושי רב סעדיה גאון לבראשית</t>
  </si>
  <si>
    <t>פירושי רבי יהודה אלמדארי על הרי"ף סדר  מועד</t>
  </si>
  <si>
    <t>פירושי רבינו אברהם פריצול על מסכת אבות</t>
  </si>
  <si>
    <t>פאריצול, אברהם בן מרדכי</t>
  </si>
  <si>
    <t>פירושי רבינו חננאל ובית מדרשו - בבא בתרא</t>
  </si>
  <si>
    <t>פירושי רבינו יהודה אלמנדרי</t>
  </si>
  <si>
    <t>אלמנדרי, יהודה בן אליעזר הכהן</t>
  </si>
  <si>
    <t>פירושי רבינו יהודה בר נתן</t>
  </si>
  <si>
    <t>פירושי רבינו יהודה החסיד למסכת אבות</t>
  </si>
  <si>
    <t>לוס אנג'לסLos Ange</t>
  </si>
  <si>
    <t>פירושי רבינו יונה על מסכת אבות</t>
  </si>
  <si>
    <t>פירושי רבינו יוסף בן שושן על מסכת אבות</t>
  </si>
  <si>
    <t>בן שושן, יוסף</t>
  </si>
  <si>
    <t>פירושי רבינו יצחק ב"ר שלמה מטולידו</t>
  </si>
  <si>
    <t>יצחק בן שלמה מטולידו</t>
  </si>
  <si>
    <t>פירושי רש"י ורשב"ם - ערבי פסחים</t>
  </si>
  <si>
    <t>כנרתי, עמיחי (עורך)</t>
  </si>
  <si>
    <t>פירושים ודרשות - 3 כר'</t>
  </si>
  <si>
    <t>במברגר, שלמה בן יצחק דב הלוי</t>
  </si>
  <si>
    <t>פירושים וחידושים על מסכת תמורה</t>
  </si>
  <si>
    <t>קארגוי, מנחם מנדל בן נפתלי הירש</t>
  </si>
  <si>
    <t>פירושים ופסקים לרבינו אביגדור צרפתי</t>
  </si>
  <si>
    <t>רבינו אביגדור צרפתי</t>
  </si>
  <si>
    <t>פירושים למסכת יבמות</t>
  </si>
  <si>
    <t>שטרלינג, דוד</t>
  </si>
  <si>
    <t>פירושים לרש"י ז"ל</t>
  </si>
  <si>
    <t>פירושים לרש"י</t>
  </si>
  <si>
    <t>פירושים נחמדים</t>
  </si>
  <si>
    <t>גוטמן, נפתלי חיים בן מרדכי דוד</t>
  </si>
  <si>
    <t>פירושים על אסתר רות ואיכה</t>
  </si>
  <si>
    <t>מנחם בן חלבו</t>
  </si>
  <si>
    <t>פירושים פילוסופיים של ר' ידעיה הפניני</t>
  </si>
  <si>
    <t>פירות אילן - 5 כר'</t>
  </si>
  <si>
    <t>שנתון</t>
  </si>
  <si>
    <t>פירות ביכורים</t>
  </si>
  <si>
    <t>פירות גינוסר</t>
  </si>
  <si>
    <t>פירות גנוסר - 2 כר'</t>
  </si>
  <si>
    <t>די סילווה, חזקיה בן דוד  - אבן-עטר, חיים בן משה</t>
  </si>
  <si>
    <t>פירות האילן - 2 כר'</t>
  </si>
  <si>
    <t>מוסקוביץ, נפתלי אשר ישעיהו בן יחיאל מיכל</t>
  </si>
  <si>
    <t>פירות הבית - 3 כר'</t>
  </si>
  <si>
    <t>פרוכטר, אשר אנשיל בן יעקב צבי</t>
  </si>
  <si>
    <t>פירות הילולים</t>
  </si>
  <si>
    <t>שטיינהויז, דוד בן שרגא</t>
  </si>
  <si>
    <t>פירות השדה - 4 כר'</t>
  </si>
  <si>
    <t>גרוס, שמואל דוד הכהן</t>
  </si>
  <si>
    <t>פירות מפוזרין</t>
  </si>
  <si>
    <t>תרצ"ז-תש"ח</t>
  </si>
  <si>
    <t>פירות שביעית</t>
  </si>
  <si>
    <t>פירות שמיטה</t>
  </si>
  <si>
    <t>פירות תאנה - 17 כר'</t>
  </si>
  <si>
    <t>רוטשילד, שמואל בן בנימין</t>
  </si>
  <si>
    <t>פירותיך מתוקים - 2 כר'</t>
  </si>
  <si>
    <t>פירסומים על יהדות לוב</t>
  </si>
  <si>
    <t>פירסומים על יהדות צפון אפריקה</t>
  </si>
  <si>
    <t>פיתוחי האבן</t>
  </si>
  <si>
    <t>דומב, שמואל חיים בן נח</t>
  </si>
  <si>
    <t>פיתוחי חותם</t>
  </si>
  <si>
    <t>ווייס, פנחס</t>
  </si>
  <si>
    <t>מנטשסטר</t>
  </si>
  <si>
    <t>פיתוחי חותם - 13 כר'</t>
  </si>
  <si>
    <t>לנדא, ישראל</t>
  </si>
  <si>
    <t>פיתוחי מכתב - 4 כר'</t>
  </si>
  <si>
    <t>וייס, רפאל</t>
  </si>
  <si>
    <t>פיתחא דשמעתא - נדה</t>
  </si>
  <si>
    <t>פיתחא להאי פרשתא</t>
  </si>
  <si>
    <t>יעבץ, יהודה אריה</t>
  </si>
  <si>
    <t>פלא האור המאיר - ב</t>
  </si>
  <si>
    <t>בר אור, יוסף</t>
  </si>
  <si>
    <t>פלא יועץ &lt;דמשק אליעזר&gt; - 2 כר'</t>
  </si>
  <si>
    <t>פאפו, אליעזר בן יצחק - מועלם, יחזקאל אליעזר ישראל</t>
  </si>
  <si>
    <t>פלא יועץ &lt;מהדורה חדשה&gt; - 2 כר'</t>
  </si>
  <si>
    <t>פלא יועץ &lt;מהדורה ראשונה&gt;</t>
  </si>
  <si>
    <t>[תקפ"ד,</t>
  </si>
  <si>
    <t>קושטנדינה,</t>
  </si>
  <si>
    <t>פלא יועץ - 3 כר'</t>
  </si>
  <si>
    <t>פלא יועץ - 5 כר'</t>
  </si>
  <si>
    <t>פלא יועץ</t>
  </si>
  <si>
    <t>שמואלביץ, יצחק בן בנימין זאב</t>
  </si>
  <si>
    <t>פלאות עדותיך - 2 כר'</t>
  </si>
  <si>
    <t>פלאות עדותיך</t>
  </si>
  <si>
    <t>עטייה, גדליה בן שלמה</t>
  </si>
  <si>
    <t>פלאות עדותיך - 4 כר'</t>
  </si>
  <si>
    <t>פדווא, פינחס ליבוש בן יוסף</t>
  </si>
  <si>
    <t>פלאי הצדיקים</t>
  </si>
  <si>
    <t>כהן, שושן דוד יום-טוב בן כלפון משה</t>
  </si>
  <si>
    <t>פלאי פלאים - 5 כר'</t>
  </si>
  <si>
    <t>פלג המנחה</t>
  </si>
  <si>
    <t>שטיינפלד, שמואל יצחק בן אברהם מאיר</t>
  </si>
  <si>
    <t>פלגי מים &lt;מהדורה חדשה&gt;</t>
  </si>
  <si>
    <t>פלגי מים - 2 כר'</t>
  </si>
  <si>
    <t>פלגי מים</t>
  </si>
  <si>
    <t>פלגי מים - 6 כר'</t>
  </si>
  <si>
    <t>ליפשיץ, גימפל</t>
  </si>
  <si>
    <t>פלגי מים - 3 כר'</t>
  </si>
  <si>
    <t>פורטו, משה בן יחיאל הכהן</t>
  </si>
  <si>
    <t>פלגי שמן</t>
  </si>
  <si>
    <t>פלח הרימון - 4 כר'</t>
  </si>
  <si>
    <t>פליאות חכמה</t>
  </si>
  <si>
    <t>טפליצקי, איתמר</t>
  </si>
  <si>
    <t>פליטה הנשארת &lt;תל תלפיות&gt; - 4 כר'</t>
  </si>
  <si>
    <t>מכון מעין החכמה</t>
  </si>
  <si>
    <t>פליטי אפרים</t>
  </si>
  <si>
    <t>ברזינסקי, אפרים דובר בן שלמה זלמן</t>
  </si>
  <si>
    <t>פליטת בית יהודה</t>
  </si>
  <si>
    <t>גירשט, יהודה ליב</t>
  </si>
  <si>
    <t>פליטת סופריהם - בית האוצר</t>
  </si>
  <si>
    <t>מרקוביץ, שמואל - קופמן, מיכאל</t>
  </si>
  <si>
    <t>פליטת סופרים</t>
  </si>
  <si>
    <t>פליטת סופרים - א</t>
  </si>
  <si>
    <t>פליטת פולמוס</t>
  </si>
  <si>
    <t>פלך השתיקה ופלך ההודיה</t>
  </si>
  <si>
    <t>פלס חיים</t>
  </si>
  <si>
    <t>פלפול הלכה - 2 כר'</t>
  </si>
  <si>
    <t>גלאט, ישראל יוסף בן יהודה ליב</t>
  </si>
  <si>
    <t>פלפול התלמידים - א</t>
  </si>
  <si>
    <t>פלפול התלמידים</t>
  </si>
  <si>
    <t>פלפול חברים - 3 כר'</t>
  </si>
  <si>
    <t>ישיבת בית ישראל (גור) אשדוד</t>
  </si>
  <si>
    <t>פלפול חברים - &lt;קובץ&gt;</t>
  </si>
  <si>
    <t>ישיבת גור - טלזסטון</t>
  </si>
  <si>
    <t>פלפולא דאורייתא</t>
  </si>
  <si>
    <t>אהרוני דוד</t>
  </si>
  <si>
    <t>פלפולא דאורייתא - גיטין</t>
  </si>
  <si>
    <t>פינק, מנשה</t>
  </si>
  <si>
    <t>קובץ ישיבה דחסידי בעלזא</t>
  </si>
  <si>
    <t>פלפולא חריפתא</t>
  </si>
  <si>
    <t>יואל בן יוסף</t>
  </si>
  <si>
    <t>פלפולא חריפתא - 9 כר'</t>
  </si>
  <si>
    <t>פלפולא טבא</t>
  </si>
  <si>
    <t>פלפולה של תורה</t>
  </si>
  <si>
    <t>פלפולי אלימלך</t>
  </si>
  <si>
    <t>פן אבוא</t>
  </si>
  <si>
    <t>פן תשכח</t>
  </si>
  <si>
    <t>פנו דרך ה'</t>
  </si>
  <si>
    <t>פנוי עצמות מתים</t>
  </si>
  <si>
    <t>פנות הבית</t>
  </si>
  <si>
    <t>טיקטין, אברהם בן גדליה</t>
  </si>
  <si>
    <t>פנחס יפלל - 14 כר'</t>
  </si>
  <si>
    <t>פנחס יפלל - עילוי הנשמה המבואר</t>
  </si>
  <si>
    <t>מוסבי, פנחס</t>
  </si>
  <si>
    <t>פני אברהם</t>
  </si>
  <si>
    <t>האללאנדער, אברהם יצחק הכהן</t>
  </si>
  <si>
    <t>זלנפריינד, אברהם אבלי בן חיים מאיר זאב</t>
  </si>
  <si>
    <t>פרלמאן, אברהם יצחק בן טוביה</t>
  </si>
  <si>
    <t>שפירא, בן ציון בן אברהם אלקנה</t>
  </si>
  <si>
    <t>פני אהל מועד</t>
  </si>
  <si>
    <t>פני אהרן</t>
  </si>
  <si>
    <t>אמארילייו, אהרן בן שלמה</t>
  </si>
  <si>
    <t>פני אלוקים</t>
  </si>
  <si>
    <t>פני אליהו</t>
  </si>
  <si>
    <t>פני אפרים &lt;עם תוספות&gt; - 2 כר'</t>
  </si>
  <si>
    <t>בומבאך, יהושע אפרים בן יהודה צבי</t>
  </si>
  <si>
    <t>פני אפרים - 3 כר'</t>
  </si>
  <si>
    <t>תש"כ - תשל"ה</t>
  </si>
  <si>
    <t>פני אפרים - דרשות לימים נוראים ולמועדים</t>
  </si>
  <si>
    <t>סוקולובר, אפרים בן מרדכי חיים</t>
  </si>
  <si>
    <t>פני ארי' זוטא</t>
  </si>
  <si>
    <t>טורצ'ינר-קורדובירו, אריה ליב בן אברהם</t>
  </si>
  <si>
    <t>פני אריה - 2 כר'</t>
  </si>
  <si>
    <t>ברסלוי, אריה ליב בן חיים</t>
  </si>
  <si>
    <t>פני אריה</t>
  </si>
  <si>
    <t>גאנז, אריה ליבש</t>
  </si>
  <si>
    <t>דרושים, הלכה ומנהג, שלחן ערוך ומפרשיו, תלמוד בבלי</t>
  </si>
  <si>
    <t>הורוויץ, אריה ליבוש בן אלעזר הלוי</t>
  </si>
  <si>
    <t>הלוי, אריה מוואלקאוויסק</t>
  </si>
  <si>
    <t>יפה, אריה ליב בן מרדכי</t>
  </si>
  <si>
    <t>כ"ץ, אריה ליב בן משה</t>
  </si>
  <si>
    <t>כ"ץ, אריה ליב בן שמואל זאנוויל</t>
  </si>
  <si>
    <t>פני אריה - קנין כסף, שטר, חזקה, חליפין</t>
  </si>
  <si>
    <t>כולל לעניני ממונות ובחרת בחיים - טיקטין, אברהם</t>
  </si>
  <si>
    <t>לוו, אריה יהודה</t>
  </si>
  <si>
    <t>פני אריה - קונטרס ליל שימורים</t>
  </si>
  <si>
    <t>פני אריה - עירובין</t>
  </si>
  <si>
    <t>רלב"ג, אריה ליב בן חיים יהוסף</t>
  </si>
  <si>
    <t>פני בנימין</t>
  </si>
  <si>
    <t>פאמפ, פנחס בנימין בן אליעזר</t>
  </si>
  <si>
    <t>פני ברוך - ביקור חולים כהלכתו</t>
  </si>
  <si>
    <t>גולדברג, ברוך</t>
  </si>
  <si>
    <t>פני ברוך - אבלות בהלכה</t>
  </si>
  <si>
    <t>גולדברג, חיים בנימין</t>
  </si>
  <si>
    <t>פני דוד</t>
  </si>
  <si>
    <t>פני דוד, צוארי שלל</t>
  </si>
  <si>
    <t>פני דמשק</t>
  </si>
  <si>
    <t>גיבער, אליעזר יצחק</t>
  </si>
  <si>
    <t>פני הארי' החי &lt;מהדורה חדשה&gt;</t>
  </si>
  <si>
    <t>רוטנבורג, חיים אריה ליב בן יוסף</t>
  </si>
  <si>
    <t>פני הארי' החי</t>
  </si>
  <si>
    <t>פני הבית - סוכה פ"א פ"ב</t>
  </si>
  <si>
    <t>הירש, אברהם דניאל בן שמואל</t>
  </si>
  <si>
    <t>פני הבית - 2 כר'</t>
  </si>
  <si>
    <t>עמרם, אריה בן יהודה רפאל</t>
  </si>
  <si>
    <t>פני הבית</t>
  </si>
  <si>
    <t>פני הדור</t>
  </si>
  <si>
    <t>ליקוורמאן, משה הכהן</t>
  </si>
  <si>
    <t>פני החמה - סימני מניין הפסוקים</t>
  </si>
  <si>
    <t>פני הלוי</t>
  </si>
  <si>
    <t>קצינלנבויגן, פנחס יהושע בן זליג ראובן</t>
  </si>
  <si>
    <t>פני המזבח</t>
  </si>
  <si>
    <t>פני המים - 2 כר'</t>
  </si>
  <si>
    <t>שווארץ, שמואל בן נפתלי הכהן</t>
  </si>
  <si>
    <t>פני המים</t>
  </si>
  <si>
    <t>פני המלך</t>
  </si>
  <si>
    <t>פני המנורה - 2 כר'</t>
  </si>
  <si>
    <t>פני המנורה - חנוכה</t>
  </si>
  <si>
    <t>צדיקים לבית סטרטין</t>
  </si>
  <si>
    <t>פני הסוכה - סוכה</t>
  </si>
  <si>
    <t>פני העדה - הוריות</t>
  </si>
  <si>
    <t>פני העיר - עירובין</t>
  </si>
  <si>
    <t>פני השבת</t>
  </si>
  <si>
    <t>פני השולחן - בשר בחלב, תערובות</t>
  </si>
  <si>
    <t>סדין, רפאל סינדלר</t>
  </si>
  <si>
    <t>פני השולחן - 3 כר'</t>
  </si>
  <si>
    <t>סדין, רפאל</t>
  </si>
  <si>
    <t>פני השלחן - 4 כר'</t>
  </si>
  <si>
    <t>פני חיים</t>
  </si>
  <si>
    <t>פני חיים - 2 כר'</t>
  </si>
  <si>
    <t>פנחס בן אברהם אריה</t>
  </si>
  <si>
    <t>פני חמה</t>
  </si>
  <si>
    <t>חלואה, משה</t>
  </si>
  <si>
    <t>פני חמה - סדר קידוש החמה</t>
  </si>
  <si>
    <t>שולמאן, משה בן חיים ליב</t>
  </si>
  <si>
    <t>פני חסד &lt;מהדורה חדשה&gt;</t>
  </si>
  <si>
    <t>פני חסד</t>
  </si>
  <si>
    <t>פני טוהר - נדה</t>
  </si>
  <si>
    <t>פני יהודה - כתובות</t>
  </si>
  <si>
    <t>איצקוביץ, יהודה בן יצחק</t>
  </si>
  <si>
    <t>תר"ל - תרל"ב</t>
  </si>
  <si>
    <t>פני יהושיע</t>
  </si>
  <si>
    <t>שור, יהושע פאלק בן משולם פייבוש</t>
  </si>
  <si>
    <t>פני יהושע &lt;שו"ת&gt; - 2 כר'</t>
  </si>
  <si>
    <t>פני יהושע &lt;הוצאת אור החכמה&gt; - 5 כר'</t>
  </si>
  <si>
    <t>יעקב יהושע פאלק בן צבי הירש</t>
  </si>
  <si>
    <t>פני יהושע &lt;השלם&gt; - 2 כר'</t>
  </si>
  <si>
    <t>פני יהושע חלק רביעי &lt;כתב יד&gt;</t>
  </si>
  <si>
    <t>פני יהושע - 4 כר'</t>
  </si>
  <si>
    <t>פני יום טוב</t>
  </si>
  <si>
    <t>עמרם, אריה</t>
  </si>
  <si>
    <t>פני יוסף</t>
  </si>
  <si>
    <t>פני יוסף - 2 כר'</t>
  </si>
  <si>
    <t>מייזלש, יוסף חנניה ליפא בן נפתלי הירץ</t>
  </si>
  <si>
    <t>פונטרימולי, ישעיה יוסף בן חיים בנימין</t>
  </si>
  <si>
    <t>פיורו, יוסף בן אלטר צבי</t>
  </si>
  <si>
    <t>פני יוסף - 9 כר'</t>
  </si>
  <si>
    <t>ריין, יוסף ישי בן נתן</t>
  </si>
  <si>
    <t>פני יחזקאל</t>
  </si>
  <si>
    <t>לוינשטיין, יחזקאל (נכתב ע"י ר' נחמן גלינסקי ז"ל)</t>
  </si>
  <si>
    <t>פני יעקב</t>
  </si>
  <si>
    <t>פני יצחק &lt;מהדורה חדשה&gt; - 2 כר'</t>
  </si>
  <si>
    <t>פני יצחק אפי רברבי</t>
  </si>
  <si>
    <t>פני יצחק זוטא</t>
  </si>
  <si>
    <t>יצחק בן דוד מיאנוב</t>
  </si>
  <si>
    <t>פני יצחק - 6 כר'</t>
  </si>
  <si>
    <t>תרל"א - תרס"ג</t>
  </si>
  <si>
    <t>פני יצחק - 2 כר'</t>
  </si>
  <si>
    <t>פני יצחק</t>
  </si>
  <si>
    <t>בהר"ד, יצחק אייזיק בן ישעיה</t>
  </si>
  <si>
    <t>פני יצחק - ברכות</t>
  </si>
  <si>
    <t>הולנדר, אברהם יצחק הכהן</t>
  </si>
  <si>
    <t>יצחק בן שלמה זלמן הכהן</t>
  </si>
  <si>
    <t>פראנסיס, יצחק</t>
  </si>
  <si>
    <t>פני לוי</t>
  </si>
  <si>
    <t>פריינד, נפתלי יוסף בן אברהם מנחם הלוי</t>
  </si>
  <si>
    <t>הלכה ומנהג, שאלות ותשובות, תולדות עם ישראל, תולדות עם ישראל</t>
  </si>
  <si>
    <t>פני מאיר</t>
  </si>
  <si>
    <t>פני מבין על התורה</t>
  </si>
  <si>
    <t>פני מבין - 2 כר'</t>
  </si>
  <si>
    <t>תקע"א - תקפ"ו</t>
  </si>
  <si>
    <t>פני מבין - 3 כר'</t>
  </si>
  <si>
    <t>פני מלך - 5 כר'</t>
  </si>
  <si>
    <t>גוטליב, אלימלך פנחס</t>
  </si>
  <si>
    <t>פני מנחם - 6 כר'</t>
  </si>
  <si>
    <t>פני מרדכי - 2 כר'</t>
  </si>
  <si>
    <t>וקנין, מרדכי יהודה</t>
  </si>
  <si>
    <t>פני משה</t>
  </si>
  <si>
    <t>בלייר, משה ליב</t>
  </si>
  <si>
    <t>פני משה - 3 כר'</t>
  </si>
  <si>
    <t>בנבנישתי, משה בן נסים</t>
  </si>
  <si>
    <t>תכ"ט - תע"ט</t>
  </si>
  <si>
    <t>הכהן, משה בן שאול</t>
  </si>
  <si>
    <t>פני משה - 2 כר'</t>
  </si>
  <si>
    <t>משה בן פינחס מקלוואן</t>
  </si>
  <si>
    <t>תקע"ח - תקפ"ג</t>
  </si>
  <si>
    <t>קובץ חידושי תורה לבני ישיבות</t>
  </si>
  <si>
    <t>פני משנה</t>
  </si>
  <si>
    <t>קליין, מנשה בן אליעזר זאב - אלתר, פנחס מנחם</t>
  </si>
  <si>
    <t>פני צבי - השלמת פירוש הרא"ש על נזיר</t>
  </si>
  <si>
    <t>פני צבי - נדרים</t>
  </si>
  <si>
    <t>גוטפריד, צבי הירש בן מנחם</t>
  </si>
  <si>
    <t>פני רבה</t>
  </si>
  <si>
    <t>פני שאול</t>
  </si>
  <si>
    <t>חדאד, אבא שאול בן אבא יהודה</t>
  </si>
  <si>
    <t>פני שבת</t>
  </si>
  <si>
    <t>פני שבת - 3 כר'</t>
  </si>
  <si>
    <t>פני שבת - 2 כר'</t>
  </si>
  <si>
    <t>(הק' תשט"ו)</t>
  </si>
  <si>
    <t>תל אביב - ירושלים,</t>
  </si>
  <si>
    <t>פני שלמה</t>
  </si>
  <si>
    <t>פניאל</t>
  </si>
  <si>
    <t>פנים אל פנים - 2 כר'</t>
  </si>
  <si>
    <t>פנים במשפט</t>
  </si>
  <si>
    <t>פנים בפנים</t>
  </si>
  <si>
    <t>פנים הבית</t>
  </si>
  <si>
    <t>אורפלי, דוד בן עובדיה</t>
  </si>
  <si>
    <t>פנים חדשות</t>
  </si>
  <si>
    <t>ישורון, יצחק בן אברהם חיים</t>
  </si>
  <si>
    <t>פנים יפות &lt;הוצאת מישור&gt; - 5 כר'</t>
  </si>
  <si>
    <t>פנים יפות &lt;החדש&gt; - א (בראשית)</t>
  </si>
  <si>
    <t>פנים יפות - מוסר והדרכה</t>
  </si>
  <si>
    <t>הורוויץ, פינחס בן צבי הירש הלוי - ווייס יעקב</t>
  </si>
  <si>
    <t>פנים יפות - 12 כר'</t>
  </si>
  <si>
    <t>פנים מאירות &lt;מהדורה חדשה&gt; - 2 כר'</t>
  </si>
  <si>
    <t>קאטקין, מאיר יוסף בן אלעזר חיים</t>
  </si>
  <si>
    <t>פנים מאירות - 9 כר'</t>
  </si>
  <si>
    <t>סדילקאב,</t>
  </si>
  <si>
    <t>פנים מאירות - 2 כר'</t>
  </si>
  <si>
    <t>פנים מאירות</t>
  </si>
  <si>
    <t>קובץ ישיבת פנים מאירות</t>
  </si>
  <si>
    <t>פנים מסבירות</t>
  </si>
  <si>
    <t>גאטעסמאן, אברהם</t>
  </si>
  <si>
    <t>מיינשטרש, משה בן שמעון</t>
  </si>
  <si>
    <t>פרנקל-תאומים, יחזקיה יהושע פייבל בן יונה</t>
  </si>
  <si>
    <t>פנים מסבירות - 9 כר'</t>
  </si>
  <si>
    <t>שפירא, בן ציון</t>
  </si>
  <si>
    <t>פנים שוחקות</t>
  </si>
  <si>
    <t>פנימיות ההלכה</t>
  </si>
  <si>
    <t>רובין, שמעון</t>
  </si>
  <si>
    <t>פנינה יקרה - 2 כר'</t>
  </si>
  <si>
    <t>תם, עוזיאל</t>
  </si>
  <si>
    <t>פניני אבות לפרקי אבות</t>
  </si>
  <si>
    <t>יהלומי, שלמה בן יוסף חיים</t>
  </si>
  <si>
    <t>פניני אבות</t>
  </si>
  <si>
    <t>אמיר (פינץ), אברהם</t>
  </si>
  <si>
    <t>פניני אבי"ע - 2 כר'</t>
  </si>
  <si>
    <t>פניני אביר יעקב - 4 כר'</t>
  </si>
  <si>
    <t>פניני אברהם</t>
  </si>
  <si>
    <t>פניני אגדות חז"ל - 2 כר'</t>
  </si>
  <si>
    <t>ברודמן, נפתלי צבי בן דוד</t>
  </si>
  <si>
    <t>פניני אור החיים</t>
  </si>
  <si>
    <t>נעים, יצחק</t>
  </si>
  <si>
    <t>פניני אור - 2 כר'</t>
  </si>
  <si>
    <t>פניני אפרים - 2 כר'</t>
  </si>
  <si>
    <t>טכורש, כתריאל פישל בן אלכסנדר סנדר גדליה</t>
  </si>
  <si>
    <t>פניני אש</t>
  </si>
  <si>
    <t>פניני אשר</t>
  </si>
  <si>
    <t>פריימן, אשר</t>
  </si>
  <si>
    <t>משנה, שאלות ותשובות, תלמוד בבלי, תלמוד בבלי, תלמוד בבלי, תנ"ך</t>
  </si>
  <si>
    <t>פניני בינה לעתים</t>
  </si>
  <si>
    <t>פניני דברי יאשיהו - 3 כר'</t>
  </si>
  <si>
    <t>פניני דוד - 3 כר'</t>
  </si>
  <si>
    <t>קובץ ישיבת ראדין</t>
  </si>
  <si>
    <t>פניני דניאל</t>
  </si>
  <si>
    <t>דניאל, אהרן</t>
  </si>
  <si>
    <t>פניני דעה</t>
  </si>
  <si>
    <t>ברינגר, יחזקאל</t>
  </si>
  <si>
    <t>פניני דעת - 2 כר'</t>
  </si>
  <si>
    <t>בלאך, אליהו מאיר</t>
  </si>
  <si>
    <t>פניני הא"ש</t>
  </si>
  <si>
    <t>פניני האוצר</t>
  </si>
  <si>
    <t>פניני האור החיים - 2 כר'</t>
  </si>
  <si>
    <t>פניני הדת</t>
  </si>
  <si>
    <t>אפלבוים, יוסף בן שמריהו</t>
  </si>
  <si>
    <t>קישינוב,</t>
  </si>
  <si>
    <t>פניני הזהר</t>
  </si>
  <si>
    <t>פניני הזוהר הקדוש - על התורה</t>
  </si>
  <si>
    <t>פניני החכמה - פניני השלימות</t>
  </si>
  <si>
    <t>שולמאן, ירחמיאל בן דוד</t>
  </si>
  <si>
    <t>לפני תרצ"ח - תשכ"ד</t>
  </si>
  <si>
    <t>פינסק - ירושלים</t>
  </si>
  <si>
    <t>פניני החסידות - 4 כר'</t>
  </si>
  <si>
    <t>פניני התורה</t>
  </si>
  <si>
    <t>פניני הימים - 4 כר'</t>
  </si>
  <si>
    <t>פניני הלכה - 11 כר'</t>
  </si>
  <si>
    <t>מלמד, אליעזר בן זלמן</t>
  </si>
  <si>
    <t>פניני המדרש - 2 כר'</t>
  </si>
  <si>
    <t>פניני המסכתא - 2 כר'</t>
  </si>
  <si>
    <t>הרץ, נחמיה</t>
  </si>
  <si>
    <t>פניני הפסח</t>
  </si>
  <si>
    <t>דונט, אהרן דוד</t>
  </si>
  <si>
    <t>פניני הפרשה - 18 כר'</t>
  </si>
  <si>
    <t>פניני הקצות</t>
  </si>
  <si>
    <t>הכהן, אריה ליב בן יוסף</t>
  </si>
  <si>
    <t>פניני הריקנאטי עה"ת</t>
  </si>
  <si>
    <t>רקנטי, מנחם בן בנימין - קלצקין, משה הלל</t>
  </si>
  <si>
    <t>פניני הרמ"ע מפאנו - 2 כר'</t>
  </si>
  <si>
    <t>פניני השל"ה - 2 כר'</t>
  </si>
  <si>
    <t>פניני השלימות - ב</t>
  </si>
  <si>
    <t>[תרצ"ח</t>
  </si>
  <si>
    <t>Pinsk</t>
  </si>
  <si>
    <t>משלאי, עודד</t>
  </si>
  <si>
    <t>פניני התורה - 5 כר'</t>
  </si>
  <si>
    <t>פניני התלמוד והמדרש</t>
  </si>
  <si>
    <t>לדרמאן, דוד בן שלום שכנא הלוי</t>
  </si>
  <si>
    <t>פניני התלמוד - גיטין, קדושין</t>
  </si>
  <si>
    <t>פניני התלמוד - ר"ה, מועד קטן</t>
  </si>
  <si>
    <t>חברת קנין התלמוד דחסידי סאטמאר</t>
  </si>
  <si>
    <t>פניני זוהר</t>
  </si>
  <si>
    <t>פניני חוקי חיים - 2 כר'</t>
  </si>
  <si>
    <t>פניני חושן</t>
  </si>
  <si>
    <t>אזגורי, שמעון</t>
  </si>
  <si>
    <t>פניני חיים</t>
  </si>
  <si>
    <t>אביטל, חיים</t>
  </si>
  <si>
    <t>ליקוטים מר' יוסף חיים זוננפלד זצ"ל</t>
  </si>
  <si>
    <t>פניני חן</t>
  </si>
  <si>
    <t>ליפשיץ, פנחס בן יעקב הלוי</t>
  </si>
  <si>
    <t>פניני חנוכה</t>
  </si>
  <si>
    <t>אלישיב, יוסף שלום בן אברהם - קוק, בן ציון בן שלמה</t>
  </si>
  <si>
    <t>פניני טוהר</t>
  </si>
  <si>
    <t>פניני יחזקאל</t>
  </si>
  <si>
    <t>מנדל, יחזקאל בן ישראל משה הלוי</t>
  </si>
  <si>
    <t>פניני ים</t>
  </si>
  <si>
    <t>שלאגער, יחיאל מיכל</t>
  </si>
  <si>
    <t>מונטיראול</t>
  </si>
  <si>
    <t>תש"ח אחרי</t>
  </si>
  <si>
    <t>פניני יצחק</t>
  </si>
  <si>
    <t>כהן, יצחק בן אליהו</t>
  </si>
  <si>
    <t>פניני ירח האיתנים</t>
  </si>
  <si>
    <t>פניני ישמח משה</t>
  </si>
  <si>
    <t>טייטלבוים, משה בן צבי הירש - טייטלבוים, יואל (מלקט)</t>
  </si>
  <si>
    <t>פניני ישעיה</t>
  </si>
  <si>
    <t>קרישבסקי, ישעיהו עקיבא</t>
  </si>
  <si>
    <t>פניני ישראל</t>
  </si>
  <si>
    <t>וינברג, ישראל יעקב</t>
  </si>
  <si>
    <t>טויסיג, ישראל, בן בונם</t>
  </si>
  <si>
    <t>פניני מחשבה</t>
  </si>
  <si>
    <t>פניני מיכאל</t>
  </si>
  <si>
    <t>חזן, מיכאל בן מאיר</t>
  </si>
  <si>
    <t>פניני משה - 7 כר'</t>
  </si>
  <si>
    <t>המבורגר, משה בן פנחס נחום</t>
  </si>
  <si>
    <t>פניני משמר הלוי</t>
  </si>
  <si>
    <t>פניני נפש</t>
  </si>
  <si>
    <t>פניני סוגיות - 3 כר'</t>
  </si>
  <si>
    <t>פניני עת דודים</t>
  </si>
  <si>
    <t>בית ערלוי</t>
  </si>
  <si>
    <t>פניני פרשת השבוע - 5 כר'</t>
  </si>
  <si>
    <t>קובלסקי, אשר</t>
  </si>
  <si>
    <t>פניני קדם - 2 כר'</t>
  </si>
  <si>
    <t>פניני קודש</t>
  </si>
  <si>
    <t>פניני קול מנחם &lt;קאליב&gt; - 3 כר'</t>
  </si>
  <si>
    <t>טאוב, מנחם מנדל בן יהודה יחיאל</t>
  </si>
  <si>
    <t>פניני רבינו האבי עזרי</t>
  </si>
  <si>
    <t>פניני רבינו האור החיים - 4 כר'</t>
  </si>
  <si>
    <t>פניני רבינו הגרי"ז</t>
  </si>
  <si>
    <t>פניני רבינו הקהלות יעקב - 2 כר'</t>
  </si>
  <si>
    <t>פניני רבינו יחזקאל - 2 כר'</t>
  </si>
  <si>
    <t>פניני שבח</t>
  </si>
  <si>
    <t>ויזמן, שלמה</t>
  </si>
  <si>
    <t>פניני שבע ברכות</t>
  </si>
  <si>
    <t>אלישיב, יוסף שלום בן אברהם - קוק, בן ציון בן שלמה זלמן הכהן</t>
  </si>
  <si>
    <t>פניני שמעון - 7 כר'</t>
  </si>
  <si>
    <t>פניני שפת אמת</t>
  </si>
  <si>
    <t>פניני תודעה</t>
  </si>
  <si>
    <t>אמיר, (פינץ), אברהם שאול</t>
  </si>
  <si>
    <t>פניני תורה</t>
  </si>
  <si>
    <t>יהלומי, שלמה</t>
  </si>
  <si>
    <t>פניני תורה - 2 כר'</t>
  </si>
  <si>
    <t>סיטון, עזרא</t>
  </si>
  <si>
    <t>פניני תפילה</t>
  </si>
  <si>
    <t>פניני תפילה - 2 כר'</t>
  </si>
  <si>
    <t>פניני תשובות - 6 כר'</t>
  </si>
  <si>
    <t>פניני תשובות</t>
  </si>
  <si>
    <t>פנינים ואבני חפץ - ויקרא, במדבר, דברים</t>
  </si>
  <si>
    <t>פנינים וציונים - 2 כר'</t>
  </si>
  <si>
    <t>פנינים יקרים החדש</t>
  </si>
  <si>
    <t>פנינים יקרים עונג שבת</t>
  </si>
  <si>
    <t>פנינים יקרים - 4 כר'</t>
  </si>
  <si>
    <t>פנינים יקרים</t>
  </si>
  <si>
    <t>וישנביץ, דוד אהרן</t>
  </si>
  <si>
    <t>לקט אמרים מגאוני וגדולי ישראל</t>
  </si>
  <si>
    <t>פנינים יקרים - 2 כר'</t>
  </si>
  <si>
    <t>פנינים מבי מדרשא - 6 כר'</t>
  </si>
  <si>
    <t>אייזנשטיין, חיים ליב בן דב</t>
  </si>
  <si>
    <t>פנינים מספרות הדרוש</t>
  </si>
  <si>
    <t>פנינים פז</t>
  </si>
  <si>
    <t>בהרב, פרומא</t>
  </si>
  <si>
    <t>פנינים</t>
  </si>
  <si>
    <t>פנינים - מראה כהן</t>
  </si>
  <si>
    <t>כ"ץ, יששכר בער בן נפתלי הכהן</t>
  </si>
  <si>
    <t>פנינת ההלכה</t>
  </si>
  <si>
    <t>פנינת המקדש</t>
  </si>
  <si>
    <t>ווינקלער, יעקב יוסף בן פינחס יהודה</t>
  </si>
  <si>
    <t>פנינת השבת - 5 כר'</t>
  </si>
  <si>
    <t>פנינת התפילין</t>
  </si>
  <si>
    <t>פנינת יקרת - א</t>
  </si>
  <si>
    <t>פנינת ציון</t>
  </si>
  <si>
    <t>ורטהיימר, הלל בן אליהו</t>
  </si>
  <si>
    <t>פנס שלמה  &lt;מהדורה חדשה&gt;</t>
  </si>
  <si>
    <t>פנס שלמה - ב, ג</t>
  </si>
  <si>
    <t>תר"ע - תשי"ז</t>
  </si>
  <si>
    <t>פנקס בית הדין בקושטא</t>
  </si>
  <si>
    <t>פנקס קהילה</t>
  </si>
  <si>
    <t>פנקס הכשרים של קהלת פוזנא</t>
  </si>
  <si>
    <t>אברון, דב</t>
  </si>
  <si>
    <t>פנקס המדינה</t>
  </si>
  <si>
    <t>ליטא. ועד הקהילות הראשיות</t>
  </si>
  <si>
    <t>פנקס המילות של רבי יעקב קדוש</t>
  </si>
  <si>
    <t>אביטל, נתנאל</t>
  </si>
  <si>
    <t>פנקס כתבות של תושבי רחביה</t>
  </si>
  <si>
    <t>ירושלים. רחביה</t>
  </si>
  <si>
    <t>תרצ"ה-תרצ"ז</t>
  </si>
  <si>
    <t>פנקס מעשר כספים של מרדכי זאב עהרענפרייז</t>
  </si>
  <si>
    <t>רובנר, גיי</t>
  </si>
  <si>
    <t>פנקס נוטריקון וראשי תיבות ממוחשבים</t>
  </si>
  <si>
    <t>ללא שם</t>
  </si>
  <si>
    <t>פנקס פתוח</t>
  </si>
  <si>
    <t>האפט, פינחס בן צבי זאב הלוי</t>
  </si>
  <si>
    <t>פנקס קהילת ברלין</t>
  </si>
  <si>
    <t>מייזל, יוסף - אש, שאול</t>
  </si>
  <si>
    <t>פנקס קהילת שנייטאך</t>
  </si>
  <si>
    <t>הילדסהיימר, מאיר</t>
  </si>
  <si>
    <t>פנקס קהל וירונה - 3 כר'</t>
  </si>
  <si>
    <t>בוקסנבוים, יעקב (מהדיר)</t>
  </si>
  <si>
    <t>פנקסי הלב</t>
  </si>
  <si>
    <t>ברנשטיין, משה בנימין</t>
  </si>
  <si>
    <t>פנקסי הראי"ה - ב</t>
  </si>
  <si>
    <t>פנת יקרת - טאמאשוב לובעלסקי</t>
  </si>
  <si>
    <t>פנת יקרת - 4 כר'</t>
  </si>
  <si>
    <t>פסוק לי פסוקך - 13 כר'</t>
  </si>
  <si>
    <t>פסוקי בטחון</t>
  </si>
  <si>
    <t>פסוקי מלכיות זכרונות ושופרות</t>
  </si>
  <si>
    <t>כהן, שמעון מרדכי</t>
  </si>
  <si>
    <t>פסוקי קיווי [ייחוד] לרמח"ל</t>
  </si>
  <si>
    <t>פסח במחשבת חכמי ירושלים</t>
  </si>
  <si>
    <t>אסופה</t>
  </si>
  <si>
    <t>פסח בציון</t>
  </si>
  <si>
    <t>פסח כהלכה</t>
  </si>
  <si>
    <t>פסח כהלכה - א</t>
  </si>
  <si>
    <t>פסח כהלכתו</t>
  </si>
  <si>
    <t>הלכה ומנהג, מועדי ישראל, נושאים שונים, תולדות עם ישראל</t>
  </si>
  <si>
    <t>פסח כשר ושמח - הלכה למעשה</t>
  </si>
  <si>
    <t>ויא, משה</t>
  </si>
  <si>
    <t>פסח ליי</t>
  </si>
  <si>
    <t>אבן-גבאי, חיים בן מאיר</t>
  </si>
  <si>
    <t>פסח מהות החג וההכנה הנצרכת לו</t>
  </si>
  <si>
    <t>קלאצקי, יוסף</t>
  </si>
  <si>
    <t>פסח מעובין &lt;מהדורה חדשה&gt;</t>
  </si>
  <si>
    <t>בנבנשתי, חיים בן ישראל</t>
  </si>
  <si>
    <t>פסח מעובין &lt;עם הגהות ר"י עמדין וזכר יצחק&gt;</t>
  </si>
  <si>
    <t>פסח מעובין</t>
  </si>
  <si>
    <t>פסח שבועות</t>
  </si>
  <si>
    <t>פסח תש"ב בנובוסיבירסק</t>
  </si>
  <si>
    <t>וולגמוט, יהודה אריה</t>
  </si>
  <si>
    <t>פסח, ל"ג בעומר, שבועות</t>
  </si>
  <si>
    <t>פסח, שבועות</t>
  </si>
  <si>
    <t>פסי ביראות</t>
  </si>
  <si>
    <t>פלאטו, צבי בן משה</t>
  </si>
  <si>
    <t>פסיכולגית העין</t>
  </si>
  <si>
    <t>פסיעות בשבילי החיים</t>
  </si>
  <si>
    <t>פסיקת בתי הדין הרבניים והחוקים</t>
  </si>
  <si>
    <t>כ"ץ, דב</t>
  </si>
  <si>
    <t>פסיקתא (דרב כהנא)</t>
  </si>
  <si>
    <t>פסיקתא דרב כהנא. תרכ"ח</t>
  </si>
  <si>
    <t>פסיקתא דרב כהנא &lt;עם פירוש&gt;</t>
  </si>
  <si>
    <t>פסיקתא דרב כהנא &lt;מהדורת מנדלבוים&gt; - 2 כר'</t>
  </si>
  <si>
    <t>פסיקתא דרב כהנא</t>
  </si>
  <si>
    <t>פסיקתא זוטרתא</t>
  </si>
  <si>
    <t>פסיקתא רבתי &lt;זרע ישי&gt;</t>
  </si>
  <si>
    <t>פסיקתא רבתי</t>
  </si>
  <si>
    <t>פסיקתא רבתי. תרנ"ג</t>
  </si>
  <si>
    <t>פסק &lt;בדין הליכה אחר הנתבע&gt;</t>
  </si>
  <si>
    <t>כנגד חכמי תונס</t>
  </si>
  <si>
    <t>פסק בית דין</t>
  </si>
  <si>
    <t>אוסף תקנות</t>
  </si>
  <si>
    <t>פסק בענין הסרת רב ראשי ממשרתו - וללוי אמר</t>
  </si>
  <si>
    <t>הלוי, יוסף ידיד - הלוי אברהם בן נסים</t>
  </si>
  <si>
    <t>פסק דין של רבני ישראל בענין נתוחי מתים</t>
  </si>
  <si>
    <t>פסק דין של רבני ישראל</t>
  </si>
  <si>
    <t>פסק דין</t>
  </si>
  <si>
    <t>פסק הגאון כמוהר"ר משה פרובינצאלו &lt;תענית בכורים&gt;</t>
  </si>
  <si>
    <t>פסק החרם</t>
  </si>
  <si>
    <t>ווינר, שמואל בן ירמיהו</t>
  </si>
  <si>
    <t>פסק כמוהר"ר יעקב חזק</t>
  </si>
  <si>
    <t>חזק, יעקב רפאל חזקיה בן אברהם ישראל</t>
  </si>
  <si>
    <t>פסק נעשה מאת שלשה מגאוני ויניצאה &lt;נגד כהן שנשא גרושה&gt;</t>
  </si>
  <si>
    <t>וויניציאה. רבנים</t>
  </si>
  <si>
    <t>שם"ט</t>
  </si>
  <si>
    <t>פסק פסקו שלשת האלופים</t>
  </si>
  <si>
    <t>ארלי, שמואל רפאל בן מצליח</t>
  </si>
  <si>
    <t>[שס"ד,</t>
  </si>
  <si>
    <t>פסק</t>
  </si>
  <si>
    <t>מורפורגו, אוריה בן יעקב</t>
  </si>
  <si>
    <t>פסקי אליהו - 4 כר'</t>
  </si>
  <si>
    <t>הלכה ומנהג, מחשבה ומוסר, נושאים שונים, שאלות ותשובות, תולדות עם ישראל, תולדות עם ישראל</t>
  </si>
  <si>
    <t>פסקי דבר יהושע</t>
  </si>
  <si>
    <t>פסקי דין &lt;מבית דין ירושלים&gt; - 14 כר'</t>
  </si>
  <si>
    <t>פסקי דין</t>
  </si>
  <si>
    <t>פסקי דין של בתי הדין הרבניים בישראל - 23 כר'</t>
  </si>
  <si>
    <t>אתר דין</t>
  </si>
  <si>
    <t>פסקי הגאון מהר"ר ליווא סג"ל</t>
  </si>
  <si>
    <t>יהודה ליווא מפירארה</t>
  </si>
  <si>
    <t>פסקי הגאון מהרי"ט</t>
  </si>
  <si>
    <t>נושאים שונים, נושאים שונים, שאלות ותשובות, תולדות עם ישראל, תולדות עם ישראל</t>
  </si>
  <si>
    <t>פסקי הגאון רבינו אליהו ז"ל מווילנא</t>
  </si>
  <si>
    <t>פסקי הגמרא - ברכות</t>
  </si>
  <si>
    <t>פסקי הגר"א</t>
  </si>
  <si>
    <t>תרס"ב - תרס"ד</t>
  </si>
  <si>
    <t>פסקי ההלכות - ו</t>
  </si>
  <si>
    <t>פסקי הטהרה - 2 כר'</t>
  </si>
  <si>
    <t>קוריץ, מנחם בן יהושע</t>
  </si>
  <si>
    <t>פסקי הלכה של ר' חיים אור זרוע &lt;דרשות מהר"ח או"ז&gt;</t>
  </si>
  <si>
    <t>פסקי הלכות &lt;יד דוד&gt; - 3 כר'</t>
  </si>
  <si>
    <t>פסקי הלכות המרדכי &lt;תורת מרדכי&gt;</t>
  </si>
  <si>
    <t>מרדכי בן הלל - שאץ, מרדכי בן מאיר יונה</t>
  </si>
  <si>
    <t>פסקי הלכות שבע ברכות</t>
  </si>
  <si>
    <t>בצלאל, שמעון בן דוד</t>
  </si>
  <si>
    <t>פסקי הלכות</t>
  </si>
  <si>
    <t>וגשל, אהרן מאיר</t>
  </si>
  <si>
    <t>ליבוביץ, אשר ליאור</t>
  </si>
  <si>
    <t>פסקי הלכות - ריקנטי</t>
  </si>
  <si>
    <t>פסקי המסכימים להוציא עשיר ופרנס מעירו &lt;פסקי הגאון מהר"ר ליווא סג"ל&gt;</t>
  </si>
  <si>
    <t>[רע"ט,</t>
  </si>
  <si>
    <t>[ויניציאה],</t>
  </si>
  <si>
    <t>פסקי הראש - 2 כר'</t>
  </si>
  <si>
    <t>סעדון, פינחס בן אהרן</t>
  </si>
  <si>
    <t>פסקי הרי"ד - 20 כר'</t>
  </si>
  <si>
    <t>פסקי הריא"ז - 18 כר'</t>
  </si>
  <si>
    <t>טראני, ישעיה בן אליהו (ריא"ז)</t>
  </si>
  <si>
    <t>פסקי השלחן</t>
  </si>
  <si>
    <t>ליבס, יעקב מאיר</t>
  </si>
  <si>
    <t>פסקי ומנהגי חתם סופר - 4 כר'</t>
  </si>
  <si>
    <t>שטרן, שמואל אליעזר (עורך)</t>
  </si>
  <si>
    <t>פסקי ושו"ת מהר"ש מלובלין - שלום בית</t>
  </si>
  <si>
    <t>פסקי חזו"א</t>
  </si>
  <si>
    <t>פסקי חכמי המערב - 2 כר'</t>
  </si>
  <si>
    <t>עובדיה, יעקב בן שלמה</t>
  </si>
  <si>
    <t>פסקי חלה להרשב"א ז"ל</t>
  </si>
  <si>
    <t>פסקי חלה לרשב"א &lt;מהדורה חדשה&gt;</t>
  </si>
  <si>
    <t>פסקי חלה לרשב"א עם ביאור קדושת לחם &lt;כולל קונטרס שו"ת&gt;</t>
  </si>
  <si>
    <t>פסקי חלה - 2 כר'</t>
  </si>
  <si>
    <t>פסקי חמודי דניאל - או"ח</t>
  </si>
  <si>
    <t>פסקי חתם סופר - 2 כר'</t>
  </si>
  <si>
    <t>סופר, משה בן שמואל - אולמן צבי אלימלך בן שלמה זלמן</t>
  </si>
  <si>
    <t>פסקי מהרי"ח - 3 כר'</t>
  </si>
  <si>
    <t>יחזקיה ב"ר יעקב ממגדיבורג</t>
  </si>
  <si>
    <t>פסקי מהרי"ץ  &lt;בארות חיים&gt;</t>
  </si>
  <si>
    <t>יחיא בן יוסף בן צאלח - חובארה נריה בן חיים</t>
  </si>
  <si>
    <t>פסקי מהרי"ץ &lt;בארות יצחק&gt; - 7 כר'</t>
  </si>
  <si>
    <t>יחיא בן יוסף בן צאלח - רצאבי, יצחק בן ניסים</t>
  </si>
  <si>
    <t>פסקי מהרי"ץ &lt;בארות משה&gt; - 2 כר'</t>
  </si>
  <si>
    <t>יחיא בן יוסף בן צאלח - רצאבי, משה בן יצחק</t>
  </si>
  <si>
    <t>פסקי מהרי"ץ &lt;בארות שלמה&gt;</t>
  </si>
  <si>
    <t>יחיא בן יוסף בן צאלח - רצאבי, שלמה בן יצחק</t>
  </si>
  <si>
    <t>פסקי מסכת מגילה</t>
  </si>
  <si>
    <t>מתתיהו בן משולם דבלאניש</t>
  </si>
  <si>
    <t>פסקי מרן בעל החוט שני - חול המועד</t>
  </si>
  <si>
    <t>כהן, יעקב משה</t>
  </si>
  <si>
    <t>פסקי מרן הראשון לציון הרה"ג מרדכי אליהו - הלכות זרעים</t>
  </si>
  <si>
    <t>אחיטוב, אהוד</t>
  </si>
  <si>
    <t>פסקי משה - או"ח - (תרע - תרפג)</t>
  </si>
  <si>
    <t>פסקי משנה הלכות - הלכות טהרה</t>
  </si>
  <si>
    <t>פסקי סדרי טהרה</t>
  </si>
  <si>
    <t>דינקלס, זושא בן ציון בן משה</t>
  </si>
  <si>
    <t>פסקי ראש השנה מהרשב"ץ</t>
  </si>
  <si>
    <t>פסקי ראשון לציון - ליקוט מתוך ספריו</t>
  </si>
  <si>
    <t>פסקי רבותינו &lt;צאנז&gt; - נדה</t>
  </si>
  <si>
    <t>פסקי רבי יוסף שאול - או"ח א</t>
  </si>
  <si>
    <t>פסקי רבי שלמה קלוגר - נדה</t>
  </si>
  <si>
    <t>פסקי רבינו אשר - שבועות</t>
  </si>
  <si>
    <t>אשר בן יחיאל (רא"ש) - קלמנוביץ, חיים</t>
  </si>
  <si>
    <t>פסקי רבינו אשר - מגילה</t>
  </si>
  <si>
    <t>פסקי רבינו חיים אור זרוע - 4 כר'</t>
  </si>
  <si>
    <t>פסקי רבינו יוסף</t>
  </si>
  <si>
    <t>רבי יוסף תלמיד ר' שמואל הרואה מבאמבערג</t>
  </si>
  <si>
    <t>פסקי רבינו מנחם מנדל קלויזנר - 3 כר'</t>
  </si>
  <si>
    <t>קלוזינר, מנחם מנדל</t>
  </si>
  <si>
    <t>פסקי רבנו הכתב סופר &lt;עץ ארז&gt;</t>
  </si>
  <si>
    <t>פסקי ריא"ז - הלכות נדה</t>
  </si>
  <si>
    <t>פסקי ריקאנטי האחרונים</t>
  </si>
  <si>
    <t>ריקאנאטי, יעקב חי בן יצחק שמואל חיים</t>
  </si>
  <si>
    <t>פסקי שמועות - 5 כר'</t>
  </si>
  <si>
    <t>גולדברג, אליהו בן יוסף</t>
  </si>
  <si>
    <t>פסקי שע"ה</t>
  </si>
  <si>
    <t>רצאבי, יצחק - עומיסי, נתנאל</t>
  </si>
  <si>
    <t>פסקי תוספות על מסכת תענית</t>
  </si>
  <si>
    <t>פסקי תלמיד הרשב"א</t>
  </si>
  <si>
    <t>פסקי תשובה - 4 כר'</t>
  </si>
  <si>
    <t>פיוטרקובסקי, אברהם בן חנוך דוד</t>
  </si>
  <si>
    <t>פסקי תשובות - 7 כר'</t>
  </si>
  <si>
    <t>רבינוביץ, שמחה בן ציון אייזיק</t>
  </si>
  <si>
    <t>פסקים וכתבים</t>
  </si>
  <si>
    <t>רע"ט,</t>
  </si>
  <si>
    <t>פסקים ותקנות</t>
  </si>
  <si>
    <t>הלכה ומנהג, הלכה ומנהג, שאלות ותשובות, תולדות עם ישראל, תפלות בקשות פיוטים ושירה</t>
  </si>
  <si>
    <t>פסקים ותשובות</t>
  </si>
  <si>
    <t>כץ, אהרן אריה</t>
  </si>
  <si>
    <t>פסקים שפסקו אשלי רברבי</t>
  </si>
  <si>
    <t>פעולות התנועה</t>
  </si>
  <si>
    <t>פועלי אגודת ישראל</t>
  </si>
  <si>
    <t>פעולות צדיק</t>
  </si>
  <si>
    <t>עומיסי, יחיא בן יחיא</t>
  </si>
  <si>
    <t>פעולת אדם</t>
  </si>
  <si>
    <t>באקשט, אהרן דוד בן משה</t>
  </si>
  <si>
    <t>פעולת הצדיק - 2 כר'</t>
  </si>
  <si>
    <t>פעולת הצדיקים</t>
  </si>
  <si>
    <t>פעולת השכיר</t>
  </si>
  <si>
    <t>עמאר, יעקב בן משה</t>
  </si>
  <si>
    <t>פעולת צדיק &lt;נוה צדיק&gt; - 3 כר'</t>
  </si>
  <si>
    <t>צאלח, יחיא בן יוסף - רצאבי, משה בן יצחק</t>
  </si>
  <si>
    <t>פעולת צדיק לחיים</t>
  </si>
  <si>
    <t>טסלר, מרדכי</t>
  </si>
  <si>
    <t>פעולת צדיק לחיים - אבות &lt;מתוך עיני כל חי&gt;</t>
  </si>
  <si>
    <t>איזמיר</t>
  </si>
  <si>
    <t>פעולת צדיק</t>
  </si>
  <si>
    <t>בריש, אליעזר בן משה יעקב</t>
  </si>
  <si>
    <t>פעולת צדיק - 3 כר'</t>
  </si>
  <si>
    <t>פעולת ק"ק איטאליאני שבוויניציאה למען עניי  ארץ ישראל</t>
  </si>
  <si>
    <t>קארפי, דניאל</t>
  </si>
  <si>
    <t>פעולת שכיר</t>
  </si>
  <si>
    <t>פעלא טבא</t>
  </si>
  <si>
    <t>פעלים לתורה - 31 כר'</t>
  </si>
  <si>
    <t>פעלת הצדיק</t>
  </si>
  <si>
    <t>פעמון ורמון - 2 כר'</t>
  </si>
  <si>
    <t>פעמון זהב</t>
  </si>
  <si>
    <t>דיכטר, אליעזר</t>
  </si>
  <si>
    <t>פעמון זהב - קטעים מתוך הספר</t>
  </si>
  <si>
    <t>ונה, יצחק</t>
  </si>
  <si>
    <t>פעמוני זהב - 2 כר'</t>
  </si>
  <si>
    <t>אנקאווא, רפאל בן מרדכי</t>
  </si>
  <si>
    <t>פעמוני זהב</t>
  </si>
  <si>
    <t>כ"ץ, דוד בן יוסף</t>
  </si>
  <si>
    <t>פעמי העליה מתימן</t>
  </si>
  <si>
    <t>פעמי מועד - 2 כר'</t>
  </si>
  <si>
    <t>פעמי שולמית</t>
  </si>
  <si>
    <t>פעמיים באהבה</t>
  </si>
  <si>
    <t>פעמן זהב</t>
  </si>
  <si>
    <t>דיכטער, אליעזר</t>
  </si>
  <si>
    <t>פענוח המסורה</t>
  </si>
  <si>
    <t>אליוביץ, יוסף</t>
  </si>
  <si>
    <t>פענח רזא &lt;רזא דמאיר&gt;</t>
  </si>
  <si>
    <t>יצחק בן יהודה הלוי</t>
  </si>
  <si>
    <t>פענח רזא - 5 כר'</t>
  </si>
  <si>
    <t>טארנאפאל,</t>
  </si>
  <si>
    <t>פערל פון אונדזער תורה - כג-כג</t>
  </si>
  <si>
    <t>פקודי הלוי</t>
  </si>
  <si>
    <t>חדש, אליהו יצחק בן רפאל נפתלי מנחם הלוי</t>
  </si>
  <si>
    <t>פקודי העדה - 2 כר'</t>
  </si>
  <si>
    <t>פקודי ישר &lt;קובץ&gt; - 4 כר'</t>
  </si>
  <si>
    <t>כולל הר"ן</t>
  </si>
  <si>
    <t>פקודי משה</t>
  </si>
  <si>
    <t>ברייער, פנחס (מו"ל)</t>
  </si>
  <si>
    <t>פקודי תימן - מס החסות בתימן</t>
  </si>
  <si>
    <t>פקודיך דרשתי</t>
  </si>
  <si>
    <t>בעלז, שמואל דוד בן דוב בעריש</t>
  </si>
  <si>
    <t>טוויל, ישראל בן דוד שמעון</t>
  </si>
  <si>
    <t>פקודיך הבינני</t>
  </si>
  <si>
    <t>פקודת אלעזר</t>
  </si>
  <si>
    <t>אבוחצירא, אלעזר בן מאיר</t>
  </si>
  <si>
    <t>פקודת אלעזר - א-ג</t>
  </si>
  <si>
    <t>בן טובו, רפאל אלעזר הלוי</t>
  </si>
  <si>
    <t>תרמ"ז - תר"ע</t>
  </si>
  <si>
    <t>טברסקי, אלעזר בן שלמה</t>
  </si>
  <si>
    <t>מנדלוביץ, יעקב אלעזר</t>
  </si>
  <si>
    <t>פקודת הלוי - 2 כר'</t>
  </si>
  <si>
    <t>וויס, יואל סג"ל</t>
  </si>
  <si>
    <t>פקודת המלך</t>
  </si>
  <si>
    <t>פקוח נפש</t>
  </si>
  <si>
    <t>פר אחד</t>
  </si>
  <si>
    <t>פרד"ס להרמ"ך</t>
  </si>
  <si>
    <t>מכלוף, כלפה</t>
  </si>
  <si>
    <t>פרד"ס מנחם צדק צדקה צדיק</t>
  </si>
  <si>
    <t>פרד"ס על חג החנוכה</t>
  </si>
  <si>
    <t>פרדס אליהו</t>
  </si>
  <si>
    <t>אבוטבול, אליהו בן אורי</t>
  </si>
  <si>
    <t>פרדס אליעזר - 17 כר'</t>
  </si>
  <si>
    <t>פרדס דבש - 2 כר'</t>
  </si>
  <si>
    <t>פרדס דוד - 7 כר'</t>
  </si>
  <si>
    <t>דישבק, דוד בן יואל</t>
  </si>
  <si>
    <t>פרדס דוד</t>
  </si>
  <si>
    <t>רוימי, דוד</t>
  </si>
  <si>
    <t>פרדס הארץ</t>
  </si>
  <si>
    <t>פרדס הבינה</t>
  </si>
  <si>
    <t>פרדס הגדול</t>
  </si>
  <si>
    <t>פרדס ההגדה השלם והמפואר</t>
  </si>
  <si>
    <t>סגל, גדליה - חשין, אלימלך</t>
  </si>
  <si>
    <t>פרדס ההגדה השלם</t>
  </si>
  <si>
    <t>פרדס החכמה</t>
  </si>
  <si>
    <t>פרדס הלשון</t>
  </si>
  <si>
    <t>הרשברג, יוסף בן בנימין</t>
  </si>
  <si>
    <t>פרדס המועדים - 2 כר'</t>
  </si>
  <si>
    <t>הרשברג, יהושע העשיל</t>
  </si>
  <si>
    <t>פרדס המלך &lt;מהדורה חדשה&gt;</t>
  </si>
  <si>
    <t>פרדס המלך</t>
  </si>
  <si>
    <t>Buchach בוצ'ץ'</t>
  </si>
  <si>
    <t>מועדי ישראל, תנ"ך, תנ"ך, תנ"ך</t>
  </si>
  <si>
    <t>פרדס הספר</t>
  </si>
  <si>
    <t>פרדס הרי"ם - 2 כר'</t>
  </si>
  <si>
    <t>פרייברג, יעקב משה</t>
  </si>
  <si>
    <t>פרדס הרמנים</t>
  </si>
  <si>
    <t>פרדס התורה</t>
  </si>
  <si>
    <t>פרדס, בן ציון נסים בן אליהו</t>
  </si>
  <si>
    <t>דרושים, מועדי ישראל, משנה, שאלות ותשובות, תנ"ך</t>
  </si>
  <si>
    <t>פרדס התפלה - נר לדוד</t>
  </si>
  <si>
    <t>פרדס חמד</t>
  </si>
  <si>
    <t>וייסמנדל, חיים מיכאל דב</t>
  </si>
  <si>
    <t>פרדס יהודה - 2 כר'</t>
  </si>
  <si>
    <t>דנציגר, יהודה משה בן אליעזר יצחק</t>
  </si>
  <si>
    <t>פרדס יוסף החדש - 5 כר'</t>
  </si>
  <si>
    <t>פרדס יוסף השלם - 6 כר'</t>
  </si>
  <si>
    <t>פרדס יוסף</t>
  </si>
  <si>
    <t>בוימגארטען, יוסף</t>
  </si>
  <si>
    <t>סקוסובסקי, יוסף זאב בן משה נחמן</t>
  </si>
  <si>
    <t>פרדס יוסף - 3 כר'</t>
  </si>
  <si>
    <t>פרדס ישעיה</t>
  </si>
  <si>
    <t>פרדס ישעיהו - 3 כר'</t>
  </si>
  <si>
    <t>הרצל, ישעיהו בן מיכאל פנחס ליבוש</t>
  </si>
  <si>
    <t>נצרת עילית</t>
  </si>
  <si>
    <t>פרדס ישראל</t>
  </si>
  <si>
    <t>מוזסון, ישראל יצחק</t>
  </si>
  <si>
    <t>פרדס מנחם</t>
  </si>
  <si>
    <t>פרדס מרדכי &lt;מהדורה חדשה&gt; - בראשית</t>
  </si>
  <si>
    <t>פרדס מרדכי</t>
  </si>
  <si>
    <t>דרושים, מועדי ישראל, מועדי ישראל, משנה, תלמוד בבלי, תנ"ך</t>
  </si>
  <si>
    <t>פרדס נסים - 2 כר'</t>
  </si>
  <si>
    <t>פרץ, נסים</t>
  </si>
  <si>
    <t>פרדס פתחיה - 4 כר'</t>
  </si>
  <si>
    <t>תרצ"ו - תש"ו</t>
  </si>
  <si>
    <t>פרדס צבי</t>
  </si>
  <si>
    <t>דרושים, הלכה ומנהג, מועדי ישראל, שלחן ערוך ומפרשיו, תלמוד בבלי, תלמוד ירושלמי, תנ"ך, תפלות בקשות פיוטים ושירה</t>
  </si>
  <si>
    <t>פרדס רימונים &lt;מהדורה חדשה&gt; - ע"ז</t>
  </si>
  <si>
    <t>אבן מוחא, רפאל מסעוד</t>
  </si>
  <si>
    <t>פרדס רימונים</t>
  </si>
  <si>
    <t>בוכריץ, רחמים</t>
  </si>
  <si>
    <t>ברלין, יהודה יידיל בן אליעזר</t>
  </si>
  <si>
    <t>טנדלר, משה דוד</t>
  </si>
  <si>
    <t>פרדס רמונים (חלק דברי שלום ואמת)</t>
  </si>
  <si>
    <t>פרדס רמונים עם פרי מגדים &lt;כת"י&gt; - 5 כר'</t>
  </si>
  <si>
    <t>הלוי, אברהם בן דוד</t>
  </si>
  <si>
    <t>פרדס רמונים - 7 כר'</t>
  </si>
  <si>
    <t>פרדס רמונים - 2 כר'</t>
  </si>
  <si>
    <t>אבן-שפרוט, שם טוב בן יצחק</t>
  </si>
  <si>
    <t>פרדס רמונים</t>
  </si>
  <si>
    <t>פרדס רמונים - 5 כר'</t>
  </si>
  <si>
    <t>שנ"א - שנ"ב</t>
  </si>
  <si>
    <t>פרדס שאול - 2 כר'</t>
  </si>
  <si>
    <t>פרדס שלום</t>
  </si>
  <si>
    <t>ברגשטיין, שלום בן שמעון מרדכי</t>
  </si>
  <si>
    <t>פרדס שמאי</t>
  </si>
  <si>
    <t>פרדס שמחה</t>
  </si>
  <si>
    <t>פרוזבול ושמיטת כספים בזמן הזה</t>
  </si>
  <si>
    <t>אדרעי, יעקב</t>
  </si>
  <si>
    <t>פרוכת המסך</t>
  </si>
  <si>
    <t>פרורי אורה</t>
  </si>
  <si>
    <t>פרורים לפורים</t>
  </si>
  <si>
    <t>פרורים משלחן גבוה</t>
  </si>
  <si>
    <t>פרורים משלחן גבוה - 5 כר'</t>
  </si>
  <si>
    <t>פרושי הרשב"א והרד"ק על התורה</t>
  </si>
  <si>
    <t>גד, חיים יוסף איסר בן יצחק הלוי</t>
  </si>
  <si>
    <t>פרושים על ספר איוב</t>
  </si>
  <si>
    <t>פרזים ומוקפים, פורים שחל להיות בשבת</t>
  </si>
  <si>
    <t>כהנא-שפירא, אברהם אלקנה</t>
  </si>
  <si>
    <t>פרח הגפן</t>
  </si>
  <si>
    <t>סובל, יוסף חיים בן מנחם דוב</t>
  </si>
  <si>
    <t>פרח לבנון - 2 כר'</t>
  </si>
  <si>
    <t>פרץ, יהודה בן יוסף - קאוואליירו, יצחק</t>
  </si>
  <si>
    <t>פרח מטה אהרון</t>
  </si>
  <si>
    <t>הכהן, אדיר בן שמעון</t>
  </si>
  <si>
    <t>פרח מטה אהרן - על אדמו"ר בעל שומרי אמונים</t>
  </si>
  <si>
    <t>ווברמן, פנחס דוד</t>
  </si>
  <si>
    <t>פרח מטה אהרן - 2 כר'</t>
  </si>
  <si>
    <t>פרח מטה אהרן - בפסוקי התורה</t>
  </si>
  <si>
    <t>פרח שושן &lt;מהדורת ישמח לב&gt;</t>
  </si>
  <si>
    <t>זיין, ישועה בן אברהם שבאבו</t>
  </si>
  <si>
    <t>פרח שושן</t>
  </si>
  <si>
    <t>איפרגן, יעקב בן יצחק</t>
  </si>
  <si>
    <t>פרח שושנה</t>
  </si>
  <si>
    <t>פרחי אביב</t>
  </si>
  <si>
    <t>פרחי אהרן - 2 כר'</t>
  </si>
  <si>
    <t>בוראק, אהרן דוד בן חיים נתן</t>
  </si>
  <si>
    <t>פרחי אהרן</t>
  </si>
  <si>
    <t>בן סמחון, אהרון</t>
  </si>
  <si>
    <t>דוברזינסקי, אהרן בן אליהו</t>
  </si>
  <si>
    <t>פרחי אזב</t>
  </si>
  <si>
    <t>רייך, אליהו</t>
  </si>
  <si>
    <t>תרפ"ו צ"ל: תרפ"ז</t>
  </si>
  <si>
    <t>Galanta גלנטה</t>
  </si>
  <si>
    <t>פרחי אליהו</t>
  </si>
  <si>
    <t>לונאץ, אליהו משה בן כלב זאב</t>
  </si>
  <si>
    <t>פרחי האביב</t>
  </si>
  <si>
    <t>פרחי הכרם - 24 כר'</t>
  </si>
  <si>
    <t>בטאון צעירי חסידי אלכסנדר</t>
  </si>
  <si>
    <t>פרחי חמד</t>
  </si>
  <si>
    <t>לווין, מתתיהו בן מתתיהו הלוי</t>
  </si>
  <si>
    <t>פרחי חן</t>
  </si>
  <si>
    <t>פרחי כהונה &lt;מהדורה חדשה&gt; - 2 כר'</t>
  </si>
  <si>
    <t>פרחי כהונה</t>
  </si>
  <si>
    <t>הכהן, מסעוד בן אליהו</t>
  </si>
  <si>
    <t>פרחי כהונה - 2 כר'</t>
  </si>
  <si>
    <t>פרחי מאיר</t>
  </si>
  <si>
    <t>פרחי רש"י</t>
  </si>
  <si>
    <t>בלום, חיים יעקב</t>
  </si>
  <si>
    <t>פרחי שושנה &lt;מהדורה שניה&gt;</t>
  </si>
  <si>
    <t>נשר, אברהם בן אליהו חיים</t>
  </si>
  <si>
    <t>פרחי שושנה</t>
  </si>
  <si>
    <t>פרחי שושנים</t>
  </si>
  <si>
    <t>בומבאך, יעקב מרדכי בן נפתלי הירץ</t>
  </si>
  <si>
    <t>פרחי שמואל</t>
  </si>
  <si>
    <t>בראון, שמואל בן משה בצלאל</t>
  </si>
  <si>
    <t>פרחי תמרים</t>
  </si>
  <si>
    <t>פרחים בהלכה ואגדה</t>
  </si>
  <si>
    <t>פרט ועוללות - 2 כר'</t>
  </si>
  <si>
    <t>גולדמאן, יעקב בן אשר</t>
  </si>
  <si>
    <t>פרטי כל</t>
  </si>
  <si>
    <t>אגודת הרבנים בפולין</t>
  </si>
  <si>
    <t>פרי אברהם - 8 כר'</t>
  </si>
  <si>
    <t>מן, אברהם ישעיהו בן מרדכי ליב</t>
  </si>
  <si>
    <t>פרי אדר - פסחים</t>
  </si>
  <si>
    <t>רוזנטל, אברהם דב בן משה אהרן</t>
  </si>
  <si>
    <t>פרי אהרן</t>
  </si>
  <si>
    <t>בגון, אהרן בן משה חיים</t>
  </si>
  <si>
    <t>פרי אהרן - תורת ירוחם</t>
  </si>
  <si>
    <t>ברנשטיין, אהרן בן ירוחם פישל - ברנשטיין, ירוחם פישל</t>
  </si>
  <si>
    <t>דרושים, מחשבה ומוסר, נושאים שונים, תלמוד בבלי, תלמוד בבלי, תלמוד ירושלמי, תנ"ך</t>
  </si>
  <si>
    <t>פרי איתן</t>
  </si>
  <si>
    <t>פרי אליהו - 3 כר'</t>
  </si>
  <si>
    <t>פרי אלימלך</t>
  </si>
  <si>
    <t>לווינשטיין, אלימלך בן ברוך שלמה</t>
  </si>
  <si>
    <t>פרי אליעזר הלכות איסור הסתכלות בנשים</t>
  </si>
  <si>
    <t>פרי אליעזר - 4 כר'</t>
  </si>
  <si>
    <t>פרי אפרים - 3 כר'</t>
  </si>
  <si>
    <t>סופר, אפרים בן יוסף חיים</t>
  </si>
  <si>
    <t>פרי אשל</t>
  </si>
  <si>
    <t>יפה, שלום אלחנן בן שמעון פרץ הלוי</t>
  </si>
  <si>
    <t>פרי אשר</t>
  </si>
  <si>
    <t>גרוניס, אשר בן זאב</t>
  </si>
  <si>
    <t>פרי ביכורים</t>
  </si>
  <si>
    <t>פרי ביכורים - שבועות</t>
  </si>
  <si>
    <t>הגר, יצחק מאיר</t>
  </si>
  <si>
    <t>פינקל, יצחק אייזיק בן משה</t>
  </si>
  <si>
    <t>פרי בנים</t>
  </si>
  <si>
    <t>משפחת סבו</t>
  </si>
  <si>
    <t>פרי בנימין - ספר המצוות</t>
  </si>
  <si>
    <t>וולף, יוסף רפאל בן בנימין</t>
  </si>
  <si>
    <t>לונדון - בני ברק</t>
  </si>
  <si>
    <t>פרי ברוך</t>
  </si>
  <si>
    <t>הגר, ברוך בן נפתלי צבי</t>
  </si>
  <si>
    <t>פרי ברוך - 3 כר'</t>
  </si>
  <si>
    <t>וסינג, ברוך</t>
  </si>
  <si>
    <t>ריזל, ברוך מנחם בן יחיאל זאב</t>
  </si>
  <si>
    <t>פרי גני - 13 כר'</t>
  </si>
  <si>
    <t>הניג, אברהם בן אהרן הירש</t>
  </si>
  <si>
    <t>פרי גני - הלכות רבית</t>
  </si>
  <si>
    <t>הניג, אברהםבן אהרן הירש</t>
  </si>
  <si>
    <t>פרי דהעץ</t>
  </si>
  <si>
    <t>פרי דוד</t>
  </si>
  <si>
    <t>ווישנוויץ, דוד אהרן</t>
  </si>
  <si>
    <t>פרי דוד - קידושין</t>
  </si>
  <si>
    <t>פולק, רפאל דוד בן אברהם שמואל</t>
  </si>
  <si>
    <t>פרי דוד - 2 כר'</t>
  </si>
  <si>
    <t>רבינוביץ, יוסף אהרן בן דוד דוב</t>
  </si>
  <si>
    <t>תרמ"ד - תר"נ</t>
  </si>
  <si>
    <t>דרושים, תולדות עם ישראל, תלמוד בבלי, תנ"ך</t>
  </si>
  <si>
    <t>פרי דעה</t>
  </si>
  <si>
    <t>הלוי, עזריאל דוב בן מנחם מנדל</t>
  </si>
  <si>
    <t>פרי האדמה &lt;מהדורה חדשה&gt; - 2 כר'</t>
  </si>
  <si>
    <t>פרי האדמה - 4 כר'</t>
  </si>
  <si>
    <t>תקי"ב - תקכ"ג</t>
  </si>
  <si>
    <t>פרי הארז</t>
  </si>
  <si>
    <t>פרי הארץ &lt;מהדורה  חדשה&gt;</t>
  </si>
  <si>
    <t>פרי הארץ - 2 כר'</t>
  </si>
  <si>
    <t>פרי הארץ</t>
  </si>
  <si>
    <t>פרי הארץ - 4 כר'</t>
  </si>
  <si>
    <t>מזרחי, ישראל מאיר בן יוסף</t>
  </si>
  <si>
    <t>תפ"ז - תרס"ה</t>
  </si>
  <si>
    <t>פרי הארץ - 13 כר'</t>
  </si>
  <si>
    <t>פרי הגן על פרי מגדים הלכות שבת - 5 כר'</t>
  </si>
  <si>
    <t>גרוס, קלונימוס זאב הכהן</t>
  </si>
  <si>
    <t>פרי הגן - דיני יולדת, שו"ת בהל' נדה וטבילה</t>
  </si>
  <si>
    <t>פרי הדר</t>
  </si>
  <si>
    <t>פרי הדר - 3 כר'</t>
  </si>
  <si>
    <t>פרי החג - 2 כר'</t>
  </si>
  <si>
    <t>תרל"א - תרל"ו</t>
  </si>
  <si>
    <t>פרי החיים</t>
  </si>
  <si>
    <t>רוזנברג, חיים בן יעקב שמעון</t>
  </si>
  <si>
    <t>פרי הכרם - א - כה</t>
  </si>
  <si>
    <t>ישיבת חמדת ישראל באבוב</t>
  </si>
  <si>
    <t>פרי הלולים</t>
  </si>
  <si>
    <t>ברודא, אברהם - אייבשיץ, יהונתן -  פאללאק, יהושע</t>
  </si>
  <si>
    <t>וילשטיין, הלל בן דב</t>
  </si>
  <si>
    <t>פרי הלימוד</t>
  </si>
  <si>
    <t>עשרת הדיברות. תרצ"א. ירושלים</t>
  </si>
  <si>
    <t>פרי המגדן</t>
  </si>
  <si>
    <t>בוכריץ, כדיר</t>
  </si>
  <si>
    <t>פרי העמלים - כתובות</t>
  </si>
  <si>
    <t>פרי העץ ומנחת יחיאל - 4 כר'</t>
  </si>
  <si>
    <t>תר"ס - תרפ"ח</t>
  </si>
  <si>
    <t>פרי העץ</t>
  </si>
  <si>
    <t>פרי העץ - א, ב</t>
  </si>
  <si>
    <t>פרי הרים</t>
  </si>
  <si>
    <t>פילץ, יצחק מרדכי בן חיים יעקב</t>
  </si>
  <si>
    <t>פרי הרמז"ל, פרפראות לחכמה</t>
  </si>
  <si>
    <t>בילגורייא,</t>
  </si>
  <si>
    <t>פרי השדה - 4 כר'</t>
  </si>
  <si>
    <t>תרס"ו - תרע"ה</t>
  </si>
  <si>
    <t>פרי השדה - 10 כר'</t>
  </si>
  <si>
    <t>פרג, יצחק אייזיק בן שמעון הלוי</t>
  </si>
  <si>
    <t>פרי חביב - כיצד מברכין</t>
  </si>
  <si>
    <t>פרי חדש - 6 כר'</t>
  </si>
  <si>
    <t>פרי חדש - 2 כר'</t>
  </si>
  <si>
    <t>פרי חיים - 4 כר'</t>
  </si>
  <si>
    <t>פרי חיים - 2 כר'</t>
  </si>
  <si>
    <t>פרי חיים</t>
  </si>
  <si>
    <t>טל, שלמה בן חיים</t>
  </si>
  <si>
    <t>פרי חיים - 3 כר'</t>
  </si>
  <si>
    <t>פרי חיים - 7 כר'</t>
  </si>
  <si>
    <t>פרי חיים - 6 כר'</t>
  </si>
  <si>
    <t>שווארץ, חיים בן שרגא פייבל</t>
  </si>
  <si>
    <t>(תש"ג</t>
  </si>
  <si>
    <t>נאדיוואראד,</t>
  </si>
  <si>
    <t>פרי חמד</t>
  </si>
  <si>
    <t>פרידמאן, משה דוד בן יעקב פרץ</t>
  </si>
  <si>
    <t>פרי חנן - 2 כר'</t>
  </si>
  <si>
    <t>פרנג'י, חנן</t>
  </si>
  <si>
    <t>פרי טוב - 3 כר'</t>
  </si>
  <si>
    <t>לובצקי, יום טוב</t>
  </si>
  <si>
    <t>פרי טוב</t>
  </si>
  <si>
    <t>פרי ידידות</t>
  </si>
  <si>
    <t>ינובסקי, ידידיה בן חיים עוזר</t>
  </si>
  <si>
    <t>פרי ידידות - פסחים</t>
  </si>
  <si>
    <t>ספרא, ידידיה</t>
  </si>
  <si>
    <t>פרי יהודה &lt;יד יהודה&gt;</t>
  </si>
  <si>
    <t>פרי יהודה</t>
  </si>
  <si>
    <t>פרי יהונתן - נדרים</t>
  </si>
  <si>
    <t>פרי יהושע</t>
  </si>
  <si>
    <t>פרי יואל</t>
  </si>
  <si>
    <t>רוזן, יואל אליעזר</t>
  </si>
  <si>
    <t>פרי יוסף - 2 כר'</t>
  </si>
  <si>
    <t>הכהן, יוסף</t>
  </si>
  <si>
    <t>פרי יוסף</t>
  </si>
  <si>
    <t>פאנצר, יוסף בן יהודה יצחק</t>
  </si>
  <si>
    <t>קיקוב, יוסף</t>
  </si>
  <si>
    <t>פרי יחזקאל</t>
  </si>
  <si>
    <t>פרי יעקב</t>
  </si>
  <si>
    <t>איזבי, אברהם מרדכי הכהן - שפירא, שלום - רובינשטיין, אשר זעליג הכהן</t>
  </si>
  <si>
    <t>הרצוג, יעקב</t>
  </si>
  <si>
    <t>פרידמן, יעקב פרץ</t>
  </si>
  <si>
    <t>קופשטיין, יעקב בן מרדכי סנדר הלוי</t>
  </si>
  <si>
    <t>דרושים, הלכה ומנהג, נושאים שונים, שלחן ערוך ומפרשיו</t>
  </si>
  <si>
    <t>שיר, יעקב פנחס</t>
  </si>
  <si>
    <t>פרי יצחק - 6 כר'</t>
  </si>
  <si>
    <t>איגוד החבורות דחסידי בוהוש</t>
  </si>
  <si>
    <t>פרי יצחק - 2 כר'</t>
  </si>
  <si>
    <t>תרמ"א - תרע"ג</t>
  </si>
  <si>
    <t>פרי יצחק - 3 כר'</t>
  </si>
  <si>
    <t>ולנסי, יצחק</t>
  </si>
  <si>
    <t>פרי יצחק - על ספר יצירה</t>
  </si>
  <si>
    <t>פרי יצחק</t>
  </si>
  <si>
    <t>יצחק בן צבי הירש</t>
  </si>
  <si>
    <t>לזנובסקי, יצחק בן חיים</t>
  </si>
  <si>
    <t>רודניק, יצחק בן אריה</t>
  </si>
  <si>
    <t>פרי ירוחם</t>
  </si>
  <si>
    <t>גרוסברג, ירוחם פישל בן יחיאל חיים</t>
  </si>
  <si>
    <t>פרי ירוחם - ב</t>
  </si>
  <si>
    <t>צכנביץ, ירוחם זאב בן יעקב שרגא</t>
  </si>
  <si>
    <t>פרי ישע</t>
  </si>
  <si>
    <t>פרנקל, ישעיהו</t>
  </si>
  <si>
    <t>פרי ישראל - 3 כר'</t>
  </si>
  <si>
    <t>כולל אברכים זכרון ישראל</t>
  </si>
  <si>
    <t>פרי ישראל</t>
  </si>
  <si>
    <t>פרץ, ישראל יהודה</t>
  </si>
  <si>
    <t>פרי לבנון</t>
  </si>
  <si>
    <t>ווייס, שמואל צבי בן משה</t>
  </si>
  <si>
    <t>דרושים, דרושים, נושאים שונים, נושאים שונים, תולדות עם ישראל, תנ"ך</t>
  </si>
  <si>
    <t>פרי מגדיו - 5 כר'</t>
  </si>
  <si>
    <t>רביוב, גדעון בן משה</t>
  </si>
  <si>
    <t>פרי מגדים &lt;פרי אבי&gt; - 4 כר'</t>
  </si>
  <si>
    <t>תאומים, יוסף בן מאיר - קאהן, אברהם זאב בן ישראל</t>
  </si>
  <si>
    <t>פרי מגדים &lt;פרח שושנה&gt; - שחיטה</t>
  </si>
  <si>
    <t>תאומים, יוסף בן מאיר - קויפמאן, זכריה מנחם מנדל</t>
  </si>
  <si>
    <t>פרי מגדים &lt;המבואר&gt; - 4 כר'</t>
  </si>
  <si>
    <t>תאומים, יוסף בן מאיר - רובינפעלד, דוד</t>
  </si>
  <si>
    <t>פרי מגדים (פתיחה כוללת) - מבואר</t>
  </si>
  <si>
    <t>תאומים, יוסף בן מאיר - פרקש, יוסף יחיאל</t>
  </si>
  <si>
    <t>פרי מגדים הלכות לולב &lt;ביאור קצר- ביאור ארוך&gt;</t>
  </si>
  <si>
    <t>פרי מגדים הלכות סוכה &lt;סוכת מגדים&gt;</t>
  </si>
  <si>
    <t>תאומים, יוסף - הולס, צבי</t>
  </si>
  <si>
    <t>פרי מגדים הלכות שחיטה &lt;שערי מגדים&gt;</t>
  </si>
  <si>
    <t>תאומים, יוסף בן מאיר - קובר, אהרן שמואל</t>
  </si>
  <si>
    <t>פרי מגדים הערוך - שבת</t>
  </si>
  <si>
    <t>תאומים, יוסף בן מאיר - רובינפלד, משה בן יוסף הלוי</t>
  </si>
  <si>
    <t>פרי מגדים השלם &lt;משמרת שלום - ליקוטי מגדים&gt; - בשר בחלב</t>
  </si>
  <si>
    <t>ווינמן, יוסף - כהנא, יששכר דב</t>
  </si>
  <si>
    <t>פרי מגדים השלם &lt;משמרת שלום - 2 כר'</t>
  </si>
  <si>
    <t>ווינמן, יוסף</t>
  </si>
  <si>
    <t>פרי מגדים - 2 כר'</t>
  </si>
  <si>
    <t>שמואל בן אלכסנדר מהאלברשטאט</t>
  </si>
  <si>
    <t>פרי מגדים - 5 כר'</t>
  </si>
  <si>
    <t>פרי מוסר</t>
  </si>
  <si>
    <t>סטניצקי, יואל</t>
  </si>
  <si>
    <t>פרי מחשבה - שבת</t>
  </si>
  <si>
    <t>משה בן יהודה</t>
  </si>
  <si>
    <t>פרי מרדכי אברהם</t>
  </si>
  <si>
    <t>רוזנטאל, מרדכי אברהם אבלי בן טוביה</t>
  </si>
  <si>
    <t>פרי מרדכי</t>
  </si>
  <si>
    <t>פרי משה - 2 כר'</t>
  </si>
  <si>
    <t>ליברמן, אברהם שלמה בן משה יהודה הכהן</t>
  </si>
  <si>
    <t>פרי משה - 8 כר'</t>
  </si>
  <si>
    <t>סגל, משה מאיר בן יצחק דוד</t>
  </si>
  <si>
    <t>פרי נאה</t>
  </si>
  <si>
    <t>פרי נפש חיה - א</t>
  </si>
  <si>
    <t>טויסיג, אהרן בן יחזקאל</t>
  </si>
  <si>
    <t>פרי סופר</t>
  </si>
  <si>
    <t>קובץ בימ"ד ללימוד תורת החת"ס</t>
  </si>
  <si>
    <t>פרי עמלינו</t>
  </si>
  <si>
    <t>פרי עץ ארמוני - 2 כר'</t>
  </si>
  <si>
    <t>פרי עץ הגן</t>
  </si>
  <si>
    <t>פרי עץ הגן - 2 כר'</t>
  </si>
  <si>
    <t>ישיבת רמת גן</t>
  </si>
  <si>
    <t>נושאים שונים, נושאים שונים, קבלה, תולדות עם ישראל</t>
  </si>
  <si>
    <t>פרי עץ הדר (עם תמונות בצבעים)</t>
  </si>
  <si>
    <t>פרי עץ הדר - 7 כר'</t>
  </si>
  <si>
    <t>אתרוג, יצחק דוד בן נחום</t>
  </si>
  <si>
    <t>פרי עץ הדר</t>
  </si>
  <si>
    <t>וונדרובסקי, אריה דוב בן יעקב פרץ</t>
  </si>
  <si>
    <t>מארכוס, שלמה בן אהרן</t>
  </si>
  <si>
    <t>נחום שמעון בן נתן נטע</t>
  </si>
  <si>
    <t>קראוני, יצחק</t>
  </si>
  <si>
    <t>פרי עץ הדר - 4 כר'</t>
  </si>
  <si>
    <t>תיקונים. ט"ו בשבט. תשי"א. ג'רבה</t>
  </si>
  <si>
    <t>תיקונים. ט"ו בשבט. תשי"ז. ירושלים</t>
  </si>
  <si>
    <t>תיקונים. ט"ו בשבט. תשי"ט. ירושלים</t>
  </si>
  <si>
    <t>תיקונים. ט"ו בשבט. תשע"ב. בני ברק</t>
  </si>
  <si>
    <t>פרי עץ החיים - 5 כר'</t>
  </si>
  <si>
    <t>ישיבת עץ החיים</t>
  </si>
  <si>
    <t>פרי עץ החיים - 2 כר'</t>
  </si>
  <si>
    <t>שטיינברג, פרץ בן אלכסנדר</t>
  </si>
  <si>
    <t>פרי עץ חיים &lt;טעם הפרי&gt;</t>
  </si>
  <si>
    <t>וויטאל, חיים בן יוסף - טייך, שמואל</t>
  </si>
  <si>
    <t>פרי עץ חיים &lt;סדרה חדשה&gt; - א</t>
  </si>
  <si>
    <t>ישיבת טלז</t>
  </si>
  <si>
    <t>פרי עץ חיים &lt;קובץ לתורה ודעת&gt; - 9 כר'</t>
  </si>
  <si>
    <t>טלז</t>
  </si>
  <si>
    <t>פרי עץ חיים ועפריה דאברהם</t>
  </si>
  <si>
    <t>פרי עץ חיים</t>
  </si>
  <si>
    <t>הורביץ, שאול חיים בן אברהם</t>
  </si>
  <si>
    <t>פרי עץ חיים - 2 כר'</t>
  </si>
  <si>
    <t>וויטאל, חיים בן יוסף - אלישוב, שלמה בן חיים חייקל</t>
  </si>
  <si>
    <t>פרי עץ חיים - 7 כר'</t>
  </si>
  <si>
    <t>חיים אביגדור</t>
  </si>
  <si>
    <t>הלכה ומנהג, הלכה ומנהג, שאלות ותשובות, תנ"ך</t>
  </si>
  <si>
    <t>פרי עץ חיים - פרק כיצד מברכין</t>
  </si>
  <si>
    <t>קובץ כולל זכרון שמעון</t>
  </si>
  <si>
    <t>פרי עץ לחיים - 2 כר'</t>
  </si>
  <si>
    <t>פרי עץ</t>
  </si>
  <si>
    <t>פרי עצי חיים - א</t>
  </si>
  <si>
    <t>קובץ ישיבת עצי חיים סיגעט</t>
  </si>
  <si>
    <t>פרי ערב</t>
  </si>
  <si>
    <t>ולדנברג, שמואל</t>
  </si>
  <si>
    <t>פרי צדיק &lt;מהדורה חדשה&gt; - בראשית, שמות</t>
  </si>
  <si>
    <t>מאיר אברהם מטשאבה</t>
  </si>
  <si>
    <t>פרי צדיק &lt;מהדורת אור עציון&gt; - קדושת שבת, שביתת שבת</t>
  </si>
  <si>
    <t>פרי צדיק</t>
  </si>
  <si>
    <t>צרור, רפאל ידידיה שלמה בן ישועה</t>
  </si>
  <si>
    <t>קצין, שאול (מעתוק) בן אברהם</t>
  </si>
  <si>
    <t>הלכה ומנהג, נושאים שונים, שאלות ותשובות, תלמוד בבלי, תנ"ך</t>
  </si>
  <si>
    <t>פרי צדיק - 7 כר'</t>
  </si>
  <si>
    <t>תרס"א - תרצ"ד</t>
  </si>
  <si>
    <t>פרי צדקה - בראשית, שמות</t>
  </si>
  <si>
    <t>פריד, משה יהודה</t>
  </si>
  <si>
    <t>פרי ציון - 2 כר'</t>
  </si>
  <si>
    <t>בלומינג, ראובן יצחק בן בן ציון</t>
  </si>
  <si>
    <t>פרי קדש הלולים - 2 כר'</t>
  </si>
  <si>
    <t>פרי קודש הלולים &lt;עם הוספות מכת"י&gt;</t>
  </si>
  <si>
    <t>מועדי ישראל, משנה, קבלה</t>
  </si>
  <si>
    <t>פרי קודש הלולים</t>
  </si>
  <si>
    <t>פרי ראשית - ב"ב פרק יש נוחלין</t>
  </si>
  <si>
    <t>פרי רפאל</t>
  </si>
  <si>
    <t>כהן, שלמה בן רפאל דניאל</t>
  </si>
  <si>
    <t>פרי שבת</t>
  </si>
  <si>
    <t>פרי שלום - 3 כר'</t>
  </si>
  <si>
    <t>אייזנברג, שלום</t>
  </si>
  <si>
    <t>פרי שלמה</t>
  </si>
  <si>
    <t>פרי שמואל</t>
  </si>
  <si>
    <t>פרי שמואל - בכורות</t>
  </si>
  <si>
    <t>פרי שמואל - 3 כר'</t>
  </si>
  <si>
    <t>שטיין, זלמן שמואל בן פסח</t>
  </si>
  <si>
    <t>פרי שמחה</t>
  </si>
  <si>
    <t>סומפולינסקי, מרדכי</t>
  </si>
  <si>
    <t>פרי שמחה - 4 כר'</t>
  </si>
  <si>
    <t>קובץ - ישיבת אור אלחנן</t>
  </si>
  <si>
    <t>פרי שמעון - 4 כר'</t>
  </si>
  <si>
    <t>כץ, שמעון</t>
  </si>
  <si>
    <t>פרי תאר &lt;מהדורה חדשה&gt; - 2 כר'</t>
  </si>
  <si>
    <t>פרי תאר</t>
  </si>
  <si>
    <t>פרי תבואה - 2 כר'</t>
  </si>
  <si>
    <t>פרי תבונה - בבא בתרא</t>
  </si>
  <si>
    <t>כולל קרן אורה</t>
  </si>
  <si>
    <t>פרי תבונות - 2 כר'</t>
  </si>
  <si>
    <t>כהן, יצחק משה בן יוסף</t>
  </si>
  <si>
    <t>פרי תמרים - 44 כר'</t>
  </si>
  <si>
    <t>קובץ כולל תו"י דרבינו יואל דסאטמאר</t>
  </si>
  <si>
    <t>פריו בעתו - 4 כר'</t>
  </si>
  <si>
    <t>פריו יתן בעתו</t>
  </si>
  <si>
    <t>פריו יתן</t>
  </si>
  <si>
    <t>פרץ, יוסף בן מיכאל</t>
  </si>
  <si>
    <t>פרישת כהן</t>
  </si>
  <si>
    <t>כהן, מנחם בן משה</t>
  </si>
  <si>
    <t>פרנס לדורו</t>
  </si>
  <si>
    <t>פרינץ, אליעזר ליפמן</t>
  </si>
  <si>
    <t>פרנס לדורות</t>
  </si>
  <si>
    <t>פרנסה טובה</t>
  </si>
  <si>
    <t>פרס אבות</t>
  </si>
  <si>
    <t>פרס ורומי בתלמוד ובמדרשים</t>
  </si>
  <si>
    <t>קרויס, שמואל שמשון ליב בן מאיר</t>
  </si>
  <si>
    <t>נושאים שונים, שאר ספרי חז"ל, תולדות עם ישראל, תלמוד בבלי</t>
  </si>
  <si>
    <t>פרסום ישועות ה' ליהודים בתימן</t>
  </si>
  <si>
    <t>פרסומי ניסא</t>
  </si>
  <si>
    <t>הגדה של פסח. תר"ך. ליוורנו</t>
  </si>
  <si>
    <t>פרסומים בענייני הלכה ורפואה</t>
  </si>
  <si>
    <t>פרסי עירית תל אביב יפו</t>
  </si>
  <si>
    <t>ביוגרפיות</t>
  </si>
  <si>
    <t>פרסי פרסיץ</t>
  </si>
  <si>
    <t>פרעמד ווערטער בוך</t>
  </si>
  <si>
    <t>קנטרוביץ', פנחס</t>
  </si>
  <si>
    <t>פרפאות למשנה</t>
  </si>
  <si>
    <t>פרפראות בנחל</t>
  </si>
  <si>
    <t>יבלונסקי, יצחק</t>
  </si>
  <si>
    <t>פרפראות בשבעה שערים</t>
  </si>
  <si>
    <t>אביגל, שמעון בן חנניה</t>
  </si>
  <si>
    <t>פרפראות לחכמה וגופי הלכות - א</t>
  </si>
  <si>
    <t>סאדובסקי, שלמה בן יהודה ליב יעקב</t>
  </si>
  <si>
    <t>פרפראות לחכמה ויוסף חי</t>
  </si>
  <si>
    <t>זרקא, יוסף</t>
  </si>
  <si>
    <t>הלכה ומנהג, שאלות ותשובות, שלחן ערוך ומפרשיו, תנ"ך</t>
  </si>
  <si>
    <t>פרפראות לחכמה</t>
  </si>
  <si>
    <t>פרפראות לחכמה - 2 כר'</t>
  </si>
  <si>
    <t>פרפראות למקראות</t>
  </si>
  <si>
    <t>פרפראות לשלחן שבת</t>
  </si>
  <si>
    <t>פרפראות לתורה - 5 כר'</t>
  </si>
  <si>
    <t>בקר, מנחם</t>
  </si>
  <si>
    <t>פרפראות לתורה</t>
  </si>
  <si>
    <t>פרפראות</t>
  </si>
  <si>
    <t>פרפרת אליעזר</t>
  </si>
  <si>
    <t>רובינשטיין, משה בן אליעזר</t>
  </si>
  <si>
    <t>פרפרת התורה - א</t>
  </si>
  <si>
    <t>פרפרת משה - 3 כר'</t>
  </si>
  <si>
    <t>פרפרת רשב"ץ</t>
  </si>
  <si>
    <t>פרפרת</t>
  </si>
  <si>
    <t>פרק אבות &lt;אבות דר' אלעזר, תפארת דוד&gt;</t>
  </si>
  <si>
    <t>אלעזר בן זאב וולף הכהן</t>
  </si>
  <si>
    <t>פרק אליהו</t>
  </si>
  <si>
    <t>פרק השואל מבואר</t>
  </si>
  <si>
    <t>מאלר, משה</t>
  </si>
  <si>
    <t>פרק זכרונות</t>
  </si>
  <si>
    <t>פרק חדש בתולדות הכותל המערבי</t>
  </si>
  <si>
    <t>פרק שור שנגח את הפרה מבואר</t>
  </si>
  <si>
    <t>פרק שירה &lt;ככר לאדן - אדני הקדש&gt;</t>
  </si>
  <si>
    <t>אזולאי, חיים יוסף דוד (חיד"א) - ועקנין, שלמה מיכאל דן</t>
  </si>
  <si>
    <t>פרק שירה &lt;שירת הבריאה&gt;</t>
  </si>
  <si>
    <t>פרק שירה &lt;שירה חדשה הקצר&gt;</t>
  </si>
  <si>
    <t>פרק שירה &lt;שירה חדשה&gt;</t>
  </si>
  <si>
    <t>פרק שירה &lt;המאיר&gt;</t>
  </si>
  <si>
    <t>גולדברג</t>
  </si>
  <si>
    <t>הלכה ומנהג, מועדי ישראל, שאר ספרי חז"ל</t>
  </si>
  <si>
    <t>פרק שירה &lt;זמרת הארץ, ברכת השיר, מבי"ט&gt;</t>
  </si>
  <si>
    <t>גליקסמן, ברוך בנדיט</t>
  </si>
  <si>
    <t>פרק שירה &lt;עם ביאור המבי"ט והחיד"א&gt;</t>
  </si>
  <si>
    <t>טראני, משה בן יוסף (מבי"ט) - אזולאי, חיים יוסף דוד</t>
  </si>
  <si>
    <t>פרק שירה &lt;פרק בשיר&gt;</t>
  </si>
  <si>
    <t>יחיאל בנימן בן יצחק הכהן מפאלאצק</t>
  </si>
  <si>
    <t>פרק שירה &lt;שירת שלמה&gt;</t>
  </si>
  <si>
    <t>פרנקל, שלמה</t>
  </si>
  <si>
    <t>פרק שירה המבואר ע"פ שירת יחיאל</t>
  </si>
  <si>
    <t>פרק שירה השלם &lt;שינויי נוסחאות, לקט פירושים&gt;</t>
  </si>
  <si>
    <t>פרק שירה עם באור בתורתו יהגה</t>
  </si>
  <si>
    <t>פרק שירה עם ביאור השירה הזאת</t>
  </si>
  <si>
    <t>פרק שירה עם ביאור מבריותיו אחכם</t>
  </si>
  <si>
    <t>פרק שירה עם ביאור נשמת השיר</t>
  </si>
  <si>
    <t>הלוי, הלל יצחק בן אהרן יצחק</t>
  </si>
  <si>
    <t>פרק שירה עם פירוש אמרי חמודות</t>
  </si>
  <si>
    <t>פרק שירה עם פירוש דבר ירושלים - זמרה וניגון בראי היהדות</t>
  </si>
  <si>
    <t>פרק שירה עם פירוש יאיר הבוקר</t>
  </si>
  <si>
    <t>פרק שירה עם פירוש פה דוד</t>
  </si>
  <si>
    <t>פרק שירה עם תמונות</t>
  </si>
  <si>
    <t>פרק שירה</t>
  </si>
  <si>
    <t>עורך: לוינגר, ישראל מאיר</t>
  </si>
  <si>
    <t>פרקי אבות &lt;נחלת אבות&gt;</t>
  </si>
  <si>
    <t>אבות. שכ"ז. ונציה</t>
  </si>
  <si>
    <t>פרקי אבות &lt;דרך אבות&gt;</t>
  </si>
  <si>
    <t>אבות. תקצ"ו. וילנה</t>
  </si>
  <si>
    <t>פרקי אבות &lt;נשמת חיים ועגת אלי'&gt;</t>
  </si>
  <si>
    <t>אבות. תרי"ט. יוהנסבורג, פרוסיה</t>
  </si>
  <si>
    <t>פרקי אבות &lt;גמילת חסדי אבות&gt;</t>
  </si>
  <si>
    <t>אבות. תרמ"ח. לובלין</t>
  </si>
  <si>
    <t>פרקי אבות &lt;ר' לוי יצחק מברדיטשוב והמגיד מקאזניץ&gt;</t>
  </si>
  <si>
    <t>אבות. תרס"ה. ברדיוב</t>
  </si>
  <si>
    <t>פרקי אבות &lt;פסקי משנה, מנחת יצחק, ליקוטי יצחק&gt;</t>
  </si>
  <si>
    <t>אבות. תרפ"א. פיטרקוב</t>
  </si>
  <si>
    <t>פרקי אבות &lt;דברי בינה&gt;</t>
  </si>
  <si>
    <t>אבות. תרפ"ט. לובלין</t>
  </si>
  <si>
    <t>פרקי אבות &lt;מדרש חכמים&gt;</t>
  </si>
  <si>
    <t>אבות. תרצ"ד. לודז</t>
  </si>
  <si>
    <t>פרקי אבות &lt;בית לוי, בית ישראל&gt;</t>
  </si>
  <si>
    <t>אבות. תש"ג. קלינורדין</t>
  </si>
  <si>
    <t>אברבנאל, יצחק בן יהודה . נחלת אבות - משה בן מימון</t>
  </si>
  <si>
    <t>פרקי אבות &lt;ר"א אזולאי&gt;</t>
  </si>
  <si>
    <t>אזולאי, אברהם בן מרדכי - שיק, ישראל שמעון בן דובר</t>
  </si>
  <si>
    <t>פרקי אבות &lt;ר"י נחמיאש&gt;</t>
  </si>
  <si>
    <t>במברגר, משה אריה הלוי</t>
  </si>
  <si>
    <t>פרקי אבות &lt;דרך ישרה&gt;</t>
  </si>
  <si>
    <t>פרקי אבות &lt;זכרון סופרים&gt;</t>
  </si>
  <si>
    <t>הרבנים הסופרים</t>
  </si>
  <si>
    <t>פרקי אבות &lt;זכות אבות&gt;</t>
  </si>
  <si>
    <t>חאלימי, אברהם</t>
  </si>
  <si>
    <t>פרקי אבות &lt;מלי דאבות&gt;</t>
  </si>
  <si>
    <t>פרקי אבות &lt;משנה שכיר&gt;</t>
  </si>
  <si>
    <t>פרקי אבות &lt;פירושי ר' יוסף כנאפו&gt;</t>
  </si>
  <si>
    <t>פרקי אבות &lt;ע"פ האר"י ז"ל&gt;</t>
  </si>
  <si>
    <t>לוריא, יצחק בן שלמה (האר"י) - שעיו, רחמים משה</t>
  </si>
  <si>
    <t>פרקי אבות &lt;טוב ויפה&gt;</t>
  </si>
  <si>
    <t>מאירסון, זרח בן מאיר</t>
  </si>
  <si>
    <t>פרקי אבות &lt;מנחה חדשה&gt;</t>
  </si>
  <si>
    <t>פרקי אבות &lt;אורות פלא&gt;</t>
  </si>
  <si>
    <t>פרקי אבות &lt;פי' מהרי"ץ, פעמון זהב, מלי דאבות&gt;</t>
  </si>
  <si>
    <t>צאלח, יחיא בן יוסף - ונה, יצחק - רצאבי, יצחק</t>
  </si>
  <si>
    <t>פרקי אבות &lt;דורש לפרקים&gt;</t>
  </si>
  <si>
    <t>רובינשטין, מרדכי בן דוד צבי</t>
  </si>
  <si>
    <t>משנה, נושאים שונים, תולדות עם ישראל, תולדות עם ישראל</t>
  </si>
  <si>
    <t>פרקי אבות &lt;טוב טעם ודעת&gt;</t>
  </si>
  <si>
    <t>פרקי אבות &lt;מתנת אבות&gt; - 2 כר'</t>
  </si>
  <si>
    <t>פרקי אבות במחיצת החפץ חיים - 2 כר'</t>
  </si>
  <si>
    <t>פרקי אבות העולם הקדמונים &lt;פאה בקמה&gt;</t>
  </si>
  <si>
    <t>פרקי אבות מפורשים</t>
  </si>
  <si>
    <t>פרקי אבות מתורגם ומפורש באנגלית</t>
  </si>
  <si>
    <t>גולדין, חיים</t>
  </si>
  <si>
    <t>פרקי אבות נשמת חיים, עגת אליהו</t>
  </si>
  <si>
    <t>שרהזאהן, אליהו בן יצחק אייזיק</t>
  </si>
  <si>
    <t>פרקי אבות עם ארבעה פירושים מגאוני ארץ</t>
  </si>
  <si>
    <t>אבות. תר"ך. ורשה</t>
  </si>
  <si>
    <t>פרקי אבות עם פירוש אדני פז</t>
  </si>
  <si>
    <t>בן עמי, אלון</t>
  </si>
  <si>
    <t>פרקי אבות עם פירוש אמרי חמודות</t>
  </si>
  <si>
    <t>פרקי אבות עם פירוש בגרמנית - 2 כר'</t>
  </si>
  <si>
    <t>להמן, מ.</t>
  </si>
  <si>
    <t>פרקי אבות עם פירוש זרוע ימין</t>
  </si>
  <si>
    <t>פרקי אבות עם פירוש מדרש דוד (בעברית וערבית) &lt;מכון הכתב&gt;</t>
  </si>
  <si>
    <t>דוד הנגיד בן אברהם</t>
  </si>
  <si>
    <t>פרקי אבות עם פירוש מדרש דוד (בעברית וצרפתית)</t>
  </si>
  <si>
    <t>פרקי אבות עם פירוש</t>
  </si>
  <si>
    <t>לנדר, אריה</t>
  </si>
  <si>
    <t>פרקי אבות עם רש"י ורבינו יונה</t>
  </si>
  <si>
    <t>אבות. תר"ח. ברלין</t>
  </si>
  <si>
    <t>פרקי אבות עם שני ביאורים &lt;דברי דוד ושלמה, יד איש ימיני&gt;</t>
  </si>
  <si>
    <t>רייז, משה בנימין בן יצחק</t>
  </si>
  <si>
    <t>פרקי אבות עם שרח ערבי</t>
  </si>
  <si>
    <t>אבות. תשי"ד. ירושלים</t>
  </si>
  <si>
    <t>פרקי אבות</t>
  </si>
  <si>
    <t>פרקי אליהו</t>
  </si>
  <si>
    <t>פרקי אמונה &lt;שעורי דעת&gt; - א-ב</t>
  </si>
  <si>
    <t>פרקי אמונה בטחון</t>
  </si>
  <si>
    <t>רבי שלמה מזוועהיל</t>
  </si>
  <si>
    <t>פרקי אמונה</t>
  </si>
  <si>
    <t>פרקי ברירה</t>
  </si>
  <si>
    <t>פרקי גבורה</t>
  </si>
  <si>
    <t>ישיבת עטרת התלמוד</t>
  </si>
  <si>
    <t>פרקי גמרא - אלו מציאות</t>
  </si>
  <si>
    <t>בן מרדכי, נ.</t>
  </si>
  <si>
    <t>פרקי דינים</t>
  </si>
  <si>
    <t>פרקי דרבי אליעזר &lt;בית הגדול&gt;</t>
  </si>
  <si>
    <t>פרקי רבי אליעזר. תרכ"ז - ברודא, אברהם אהרן בן שלום</t>
  </si>
  <si>
    <t>פרקי דרבי אליעזר עם פירוש טוב עין</t>
  </si>
  <si>
    <t>פרקי הגיון</t>
  </si>
  <si>
    <t>גיפשטיין, יהושע בן בצלאל זאב</t>
  </si>
  <si>
    <t>פרקי הדרכה לבן תורה</t>
  </si>
  <si>
    <t>ארגון בני הישיבות</t>
  </si>
  <si>
    <t>פרקי הדרכה</t>
  </si>
  <si>
    <t>פרקי הלכה על הלכות כבוד חברים</t>
  </si>
  <si>
    <t>בן אריה, חיים</t>
  </si>
  <si>
    <t>פרקי הנאזר</t>
  </si>
  <si>
    <t>אליעזר שו"ב מזיטומיר</t>
  </si>
  <si>
    <t>פרקי הנהגת הבית - א</t>
  </si>
  <si>
    <t>טראוויש, צבי דב</t>
  </si>
  <si>
    <t>פרקי הסתכלות בטבע</t>
  </si>
  <si>
    <t>ישורון, אברהם</t>
  </si>
  <si>
    <t>פרקי השנה - אוסף מאמרים</t>
  </si>
  <si>
    <t>דרושים, מועדי ישראל, מחשבה ומוסר, נושאים שונים</t>
  </si>
  <si>
    <t>פרקי ולוזין - מאתיים שנה ליסוד אם הישיבות</t>
  </si>
  <si>
    <t>שמוקלר, משה שמואל - שורין, ישראל</t>
  </si>
  <si>
    <t>פרקי חזון ומעש</t>
  </si>
  <si>
    <t>קליינמן, משה בנימין (לזכרו)</t>
  </si>
  <si>
    <t>פרקי חיים &lt;רבי יחזקאל אברמסקי זצ"ל&gt;</t>
  </si>
  <si>
    <t>פרקי חיים &lt;ר' חיים נטעי&gt;</t>
  </si>
  <si>
    <t>פרקי חיים</t>
  </si>
  <si>
    <t>גמליאל, חיים</t>
  </si>
  <si>
    <t>פרקי חינוך</t>
  </si>
  <si>
    <t>פרקי מבוא לפירוש הכתב והקבלה על התורה</t>
  </si>
  <si>
    <t>פרקי מבוא לתורת הרוגאצ'ובי</t>
  </si>
  <si>
    <t>פרקי מועד - 2 כר'</t>
  </si>
  <si>
    <t>פרקי מחשבה - א</t>
  </si>
  <si>
    <t>פרקי מחשבה - 7 כר'</t>
  </si>
  <si>
    <t>פרקי מנהג והלכה</t>
  </si>
  <si>
    <t>פרקי מקרא</t>
  </si>
  <si>
    <t>פרקי משה &lt;מכון הכתב&gt;</t>
  </si>
  <si>
    <t>פרקי משה</t>
  </si>
  <si>
    <t>פרקי משניות ליארצייט בביאור ע"ט</t>
  </si>
  <si>
    <t>פרקי עיון - מכות</t>
  </si>
  <si>
    <t>פרקי רבי אליעזר &lt;עם ביאור הרד"ל&gt;</t>
  </si>
  <si>
    <t>פרקי רבי אליעזר &lt;דפו"ר&gt;</t>
  </si>
  <si>
    <t>פרקי רבי אליעזר. רע"ד</t>
  </si>
  <si>
    <t>פרקי רבי אליעזר</t>
  </si>
  <si>
    <t>פרקי רבי אליעזר. שכ"ז</t>
  </si>
  <si>
    <t>פרקי רבי אליעזר. תרי"ח</t>
  </si>
  <si>
    <t>פרקי רבי אליעזר. תרל"ד</t>
  </si>
  <si>
    <t>פרקי שואה</t>
  </si>
  <si>
    <t>פרקי שירה &lt;מספרים תהלות ה'&gt;</t>
  </si>
  <si>
    <t>מונסיליצ'י, חנניה</t>
  </si>
  <si>
    <t>פרקי שירה &lt;שיח יצחק - שער שמעון&gt;</t>
  </si>
  <si>
    <t>פרקי שירה. תכ"ד</t>
  </si>
  <si>
    <t>פרקי שירה</t>
  </si>
  <si>
    <t>פרקי שירה. תכ"א</t>
  </si>
  <si>
    <t>פרקי תורה ומוסר</t>
  </si>
  <si>
    <t>ישיבת הרי יהודה בית מאיר</t>
  </si>
  <si>
    <t>פרקי תורה</t>
  </si>
  <si>
    <t>פרקים  נוספים מספר הערבות והקבלנות</t>
  </si>
  <si>
    <t>פרקים בהוראה</t>
  </si>
  <si>
    <t>פרקים בהצלחה</t>
  </si>
  <si>
    <t>פרקים במורשת יהדות תימן</t>
  </si>
  <si>
    <t>פרקים במחשבת החסידות</t>
  </si>
  <si>
    <t>פרקים במשנת החסידות</t>
  </si>
  <si>
    <t>פרקים במשנת מרנא החתם  סופר  - תורת החינוך</t>
  </si>
  <si>
    <t>פרקים במשנתו של המהר"ל מפראג</t>
  </si>
  <si>
    <t>פרקים בפתולוגיה בתלמוד ובנושאי כליו</t>
  </si>
  <si>
    <t>שטינברג, אברהם</t>
  </si>
  <si>
    <t>פרקים בתולדות היהודים בנסיכות אנסבך</t>
  </si>
  <si>
    <t>זימר, יצחק בן חנוך</t>
  </si>
  <si>
    <t>פרקים בתולדות הישוב הישן</t>
  </si>
  <si>
    <t>פרקים בתולדות המדפיסים העברים</t>
  </si>
  <si>
    <t>פרקים בתולדות יהדות בבל - 2 כר'</t>
  </si>
  <si>
    <t>פרקים בתולדות ישראל - 2 כר'</t>
  </si>
  <si>
    <t>מאירוביץ, ישראל בן אברהם אשר זעליג</t>
  </si>
  <si>
    <t>פרקים בתורת החסידות</t>
  </si>
  <si>
    <t>פרקים מן ספר מבוא התלמוד</t>
  </si>
  <si>
    <t>פרקים מתולדות היהודים בטשורטקוב</t>
  </si>
  <si>
    <t>נוננשין, אפרים</t>
  </si>
  <si>
    <t>פרקים נבחרים מתולדות הרה"ק האוהב ישראל מאפטא</t>
  </si>
  <si>
    <t>פלינטשטיין, נפתלי הירץ</t>
  </si>
  <si>
    <t>פרשגן</t>
  </si>
  <si>
    <t>פרשגן - 3 כר'</t>
  </si>
  <si>
    <t>פרשה ולקחה - 2 כר'</t>
  </si>
  <si>
    <t>גרילק, משה</t>
  </si>
  <si>
    <t>פרשה מפורשה &lt;תאג'&gt; - 6 כר'</t>
  </si>
  <si>
    <t>צוברי, יוסף בן יעקב</t>
  </si>
  <si>
    <t>פרשה מקורות הישוב</t>
  </si>
  <si>
    <t>כהנא, אליהו אהרן בן משה אריה</t>
  </si>
  <si>
    <t>[תל-אביב],</t>
  </si>
  <si>
    <t>פרשה סדורה</t>
  </si>
  <si>
    <t>פרשיות בספרי הנביאים - 3 כר'</t>
  </si>
  <si>
    <t>פרשנדתא - 3 כר'</t>
  </si>
  <si>
    <t>פרשנים ופוסקים אחרונים בפירושו של הרב ש"ר הירש על התורה</t>
  </si>
  <si>
    <t>פרשת אלה מסעי - 2 כר'</t>
  </si>
  <si>
    <t>פרשת אשת חיל</t>
  </si>
  <si>
    <t>הלפרין, שמואל חיים דוד</t>
  </si>
  <si>
    <t>פרשת גדולת מרדכי</t>
  </si>
  <si>
    <t>ויז'ניצר, מנחם מנדל (עורך)</t>
  </si>
  <si>
    <t>פרשת דרכים &lt;קונטרס פרשת דרכים&gt;</t>
  </si>
  <si>
    <t>רוזאניס, יהודה בן שמואל - אוחנה, יצחק</t>
  </si>
  <si>
    <t>פרשת דרכים &lt;מהדורה חדשה&gt;</t>
  </si>
  <si>
    <t>פרשת דרכים זוטא</t>
  </si>
  <si>
    <t>פרשת דרכים - 4 כר'</t>
  </si>
  <si>
    <t>נושאים שונים, סוגיות, תנ"ך</t>
  </si>
  <si>
    <t>פרשת הכסף</t>
  </si>
  <si>
    <t>סורנאגה, שמואל בן מאיר</t>
  </si>
  <si>
    <t>פילאפף, מנשה</t>
  </si>
  <si>
    <t>פרשת המים</t>
  </si>
  <si>
    <t>פרשת המלך - 3 כר'</t>
  </si>
  <si>
    <t>בן מנחם, יצחק מאיר בן מנחם מנדל</t>
  </si>
  <si>
    <t>פרשת המלך</t>
  </si>
  <si>
    <t>פרשת המן עם ליקוט לחם מן השמים ונפלאותיו</t>
  </si>
  <si>
    <t>אייזנבך, י.</t>
  </si>
  <si>
    <t>פרשת העיבור</t>
  </si>
  <si>
    <t>פרשת העקדה</t>
  </si>
  <si>
    <t>מכון תורת חסד</t>
  </si>
  <si>
    <t>פרשת השבוע - 5 כר'</t>
  </si>
  <si>
    <t>פרשת מרדכי</t>
  </si>
  <si>
    <t>אלטשולר, אליעזר מרדכי בן צבי</t>
  </si>
  <si>
    <t>אסבעוני, מרדכי בן יעקב</t>
  </si>
  <si>
    <t>הורוויץ, מרדכי בן צבי הירש הלוי</t>
  </si>
  <si>
    <t>פרשת נדרים</t>
  </si>
  <si>
    <t>בריסק דליטא</t>
  </si>
  <si>
    <t>חסידות, תולדות עם ישראל, תלמוד בבלי, תלמוד בבלי</t>
  </si>
  <si>
    <t>פרשת נזיר</t>
  </si>
  <si>
    <t>עמרם, אריה - כהן, נחום</t>
  </si>
  <si>
    <t>פרשת רא"ה</t>
  </si>
  <si>
    <t>פרשת רבית</t>
  </si>
  <si>
    <t>פרשת שופטים</t>
  </si>
  <si>
    <t>פרת חטאת</t>
  </si>
  <si>
    <t>קרפ, צבי משה</t>
  </si>
  <si>
    <t>פרת יוסף</t>
  </si>
  <si>
    <t>פרת יוסף - 2 כר'</t>
  </si>
  <si>
    <t>יוסף יסל בן דוב בר</t>
  </si>
  <si>
    <t>ברדיוב</t>
  </si>
  <si>
    <t>נובל, נחמיה צבי בן יוסף</t>
  </si>
  <si>
    <t>פשוטו כמשמעו - 5 כר'</t>
  </si>
  <si>
    <t>פשוטו של מקרא - 2 כר'</t>
  </si>
  <si>
    <t>פשוטו של מקרא</t>
  </si>
  <si>
    <t>פשט במגיד</t>
  </si>
  <si>
    <t>ר"י מסורת התלמוד</t>
  </si>
  <si>
    <t>פשט בעיון - יבמות</t>
  </si>
  <si>
    <t>רוזנפלד, נתנאל אהרן</t>
  </si>
  <si>
    <t>פשט הש"ס</t>
  </si>
  <si>
    <t>פשט והגיון במקרא - 5 כר'</t>
  </si>
  <si>
    <t>מנורה, שלמה בן חיים מרדכי</t>
  </si>
  <si>
    <t>פשט והגיון במקרא - א בראשית</t>
  </si>
  <si>
    <t>מנורה, שלמה</t>
  </si>
  <si>
    <t>פשט ועיון - 5 כר'</t>
  </si>
  <si>
    <t>פשטא דקרא</t>
  </si>
  <si>
    <t>פשטה של מגילה</t>
  </si>
  <si>
    <t>שינקר, ברכיהו</t>
  </si>
  <si>
    <t>פשטים ופרושים</t>
  </si>
  <si>
    <t>יעקב מווינה</t>
  </si>
  <si>
    <t>פשיטא - 2 כר'</t>
  </si>
  <si>
    <t>פשיטי דספרא</t>
  </si>
  <si>
    <t>פשיסכע און קאצק</t>
  </si>
  <si>
    <t>פשעי הציונות בהשמדת הגולה</t>
  </si>
  <si>
    <t>שלמון, ש.</t>
  </si>
  <si>
    <t>פשר דבר שקל הקודש &lt;קרית ארבע&gt;</t>
  </si>
  <si>
    <t>פשר דבר - מצות הפשרה ודיניה</t>
  </si>
  <si>
    <t>פשר דבר</t>
  </si>
  <si>
    <t>פשר דבר - 9 כר'</t>
  </si>
  <si>
    <t>שטרנפלד, שרגא פייבל</t>
  </si>
  <si>
    <t>פשר הפשרה</t>
  </si>
  <si>
    <t>פת לחם &lt;מכון הכתב&gt;</t>
  </si>
  <si>
    <t>הלוי, יצחק בן משה</t>
  </si>
  <si>
    <t>פת לחם</t>
  </si>
  <si>
    <t>פתבג המלך</t>
  </si>
  <si>
    <t>פתגמי אורייתא - 2 כר'</t>
  </si>
  <si>
    <t>דיקמן, אורי בן שמואל</t>
  </si>
  <si>
    <t>פתגמי אורייתא - 7 כר'</t>
  </si>
  <si>
    <t>פתגמי אורייתא - 4 כר'</t>
  </si>
  <si>
    <t>פוגלבלט, שמואל יוסף בן שרגא ראובן</t>
  </si>
  <si>
    <t>פתגמי המלך שלמה ומוסרו</t>
  </si>
  <si>
    <t>יודיץ, יעקב יוסף בן חיים</t>
  </si>
  <si>
    <t>פתגמי התלמוד</t>
  </si>
  <si>
    <t>פתגמי חז"ל בחרוזים</t>
  </si>
  <si>
    <t>הורוויץ, אלכסנדר זיסקינד בן יעקב מאיר</t>
  </si>
  <si>
    <t>פתגמים נבחרים</t>
  </si>
  <si>
    <t>פתוחי ארבעת המינים</t>
  </si>
  <si>
    <t>פתוחי חותם &lt;המבואר&gt; - 3 כר'</t>
  </si>
  <si>
    <t>פתוחי חותם &lt;מהדורה חדשה&gt;</t>
  </si>
  <si>
    <t>אנג'יל, אברהם המכונה ג'ילבי אשיר</t>
  </si>
  <si>
    <t>פתוחי חותם - 3 כר'</t>
  </si>
  <si>
    <t>פתוחי חותם</t>
  </si>
  <si>
    <t>פתוחי חותם - א</t>
  </si>
  <si>
    <t>קניג, נתן צבי - טוקצינסקי, שמואל</t>
  </si>
  <si>
    <t>פתוחי משפט (שו"ת)</t>
  </si>
  <si>
    <t>בן חיים אברהם בן דוד</t>
  </si>
  <si>
    <t>פתורא דאבא</t>
  </si>
  <si>
    <t>הלכה ומנהג, קבלה, תנ"ך, תפלות בקשות פיוטים ושירה</t>
  </si>
  <si>
    <t>פתח אברהם</t>
  </si>
  <si>
    <t>שפירא, אברהם עבר בן שמואל</t>
  </si>
  <si>
    <t>פתח אליהו - 3 כר'</t>
  </si>
  <si>
    <t>אבא, אליהו</t>
  </si>
  <si>
    <t>פתח אליהו - 4 כר'</t>
  </si>
  <si>
    <t>תרנ"ו - תר"צ</t>
  </si>
  <si>
    <t>פתח דברי &lt;מתוך דקדוקים&gt;</t>
  </si>
  <si>
    <t>פתח דבריך יאיר</t>
  </si>
  <si>
    <t>פתח דבריך</t>
  </si>
  <si>
    <t>שטיינר, פנחס הכהן</t>
  </si>
  <si>
    <t>פתח האהל &lt;מהדורה חדשה&gt; - 5 כר'</t>
  </si>
  <si>
    <t>אביחצירא, דוד בן מסעוד</t>
  </si>
  <si>
    <t>פתח האהל (כתב יד)</t>
  </si>
  <si>
    <t>פתח האהל המבואר - 3 כר'</t>
  </si>
  <si>
    <t>פתח האהל - 3 כר'</t>
  </si>
  <si>
    <t>פתח האהל - 2 כר'</t>
  </si>
  <si>
    <t>אברהם בן יהודה ליב מפרמסלא</t>
  </si>
  <si>
    <t>איתן, פנחס</t>
  </si>
  <si>
    <t>פתח האהל</t>
  </si>
  <si>
    <t>מילר, יצחק בן מנשה יוסף הלוי</t>
  </si>
  <si>
    <t>עמוד, יחיא בן יוסף</t>
  </si>
  <si>
    <t>שעיו, משה רחמים</t>
  </si>
  <si>
    <t>פתח הבית &lt;פרי עץ חיים ועפריה דאברהם&gt;</t>
  </si>
  <si>
    <t>דרושים, דרושים, הלכה ומנהג, נושאים שונים, שאלות ותשובות</t>
  </si>
  <si>
    <t>פתח הבית</t>
  </si>
  <si>
    <t>ווייל, צבי אברהם בן אליעזר</t>
  </si>
  <si>
    <t>פתח הבית - 7 כר'</t>
  </si>
  <si>
    <t>פתח הדביר - יצחק ירנן</t>
  </si>
  <si>
    <t>יצחק בן ישועה הכהן</t>
  </si>
  <si>
    <t>פתח הדביר - 4 כר'</t>
  </si>
  <si>
    <t>פונטרימולי, חיים בנימין בן חייא</t>
  </si>
  <si>
    <t>תרט"ו - תרל"ג</t>
  </si>
  <si>
    <t>פתח הדעת - 2 כר'</t>
  </si>
  <si>
    <t>פתח הדעת</t>
  </si>
  <si>
    <t>פתח ההגדה במשנת השפת אמת</t>
  </si>
  <si>
    <t>מרגלית, ערן משה</t>
  </si>
  <si>
    <t>פתח החדוש</t>
  </si>
  <si>
    <t>קארליץ, פסח בן משה</t>
  </si>
  <si>
    <t>פתח הלכה - 6 כר'</t>
  </si>
  <si>
    <t>קיבוביץ, יחיאל מתתיהו בן חיים שרגא</t>
  </si>
  <si>
    <t>פתח הלכה - משפט הנער</t>
  </si>
  <si>
    <t>קיבוביץ, יחיאל מתתיהו</t>
  </si>
  <si>
    <t>פתח הסוגיא - 12 כר'</t>
  </si>
  <si>
    <t>אפשטיין, אלעזר דוד</t>
  </si>
  <si>
    <t>פתח העיר</t>
  </si>
  <si>
    <t>קובץ חידושי תורה מרבני העיר מודיעין עילית</t>
  </si>
  <si>
    <t>פתח העירוב - 3 כר'</t>
  </si>
  <si>
    <t>פתח הקרפף</t>
  </si>
  <si>
    <t>צוויג, ישראל בן יחזקאל אברהם</t>
  </si>
  <si>
    <t>פתח השלחן</t>
  </si>
  <si>
    <t>מקורות וביאורים לשלחן ערוך</t>
  </si>
  <si>
    <t>פתח השער ופתחי יה</t>
  </si>
  <si>
    <t>מרדכי בן יהודה מראדין</t>
  </si>
  <si>
    <t>פתח השער</t>
  </si>
  <si>
    <t>פתח התשובה ונחמות ישעיה</t>
  </si>
  <si>
    <t>פתח לאוצר - 2 כר'</t>
  </si>
  <si>
    <t>פתח לדופקים בתשובה</t>
  </si>
  <si>
    <t>פתח לנו שער</t>
  </si>
  <si>
    <t>פתח לסידור הרש"ש</t>
  </si>
  <si>
    <t>פתח עינים החדש - ז &lt;חלק העיונים&gt;</t>
  </si>
  <si>
    <t>ארנפלד, שמואל</t>
  </si>
  <si>
    <t>פתח עינים החדש - 7 כר'</t>
  </si>
  <si>
    <t>פתח עינים השלם</t>
  </si>
  <si>
    <t>וויינברגר, יהושע אהרן צבי בן משה</t>
  </si>
  <si>
    <t>פתח עינים</t>
  </si>
  <si>
    <t>אבות. תרל"ד. מונקץ'</t>
  </si>
  <si>
    <t>פתח עינים - 3 כר'</t>
  </si>
  <si>
    <t>פתח עינים - 2 כר'</t>
  </si>
  <si>
    <t>פריצי, בן-ציון רפאל הכהן</t>
  </si>
  <si>
    <t>תרל"ח - תרמ"א</t>
  </si>
  <si>
    <t>פתח שער השמים - בנין אריאל</t>
  </si>
  <si>
    <t>פתח שערי שמים - 3 כר'</t>
  </si>
  <si>
    <t>פתח תקוה - ב</t>
  </si>
  <si>
    <t>פוקס, ישעיהו בן אברהם</t>
  </si>
  <si>
    <t>תרמ"ה-תרמ"ט</t>
  </si>
  <si>
    <t>פתח תשובה</t>
  </si>
  <si>
    <t>שוסבורג, גבריאל בן יהושע השיל</t>
  </si>
  <si>
    <t>קבצים וכתבי עת, ספרי זכרון ויובל, תולדות עם ישראל, תפלות בקשות פיוטים ושירה</t>
  </si>
  <si>
    <t>פתחא זוטא (שרגא המאיר) - נטילת ידיים</t>
  </si>
  <si>
    <t>פתחא זוטא - 7 כר'</t>
  </si>
  <si>
    <t>פתחה בחכמה</t>
  </si>
  <si>
    <t>שוב, מרים</t>
  </si>
  <si>
    <t>פתחי אברהם - 7 כר'</t>
  </si>
  <si>
    <t>אוירבאך, אברהם דב בן שלמה זלמן</t>
  </si>
  <si>
    <t>פתחי אור - חנוכה, פורים</t>
  </si>
  <si>
    <t>גולדשטיין, אברהם בן יצחק אליעזר</t>
  </si>
  <si>
    <t>פתחי אמונה - 5 כר'</t>
  </si>
  <si>
    <t>פתחי אמונה - ביכורים</t>
  </si>
  <si>
    <t>כולל יום הששי, פ"ת</t>
  </si>
  <si>
    <t>פתחי אשרי - בבא בתרא</t>
  </si>
  <si>
    <t>אייזנבך, ישראל אריה בן שלמה</t>
  </si>
  <si>
    <t>פתחי דעה - רבית</t>
  </si>
  <si>
    <t>בוקשפן, צבי בן יואל</t>
  </si>
  <si>
    <t>פתחי דעת</t>
  </si>
  <si>
    <t>פתחי דעת - 2 כר'</t>
  </si>
  <si>
    <t>פטרובר, משה אברהם</t>
  </si>
  <si>
    <t>פתחי הלב</t>
  </si>
  <si>
    <t>פתחי הלכה - שבת</t>
  </si>
  <si>
    <t>כהן, דוד חי בן מרדכי</t>
  </si>
  <si>
    <t>פתחי הלכה</t>
  </si>
  <si>
    <t>פארסט, בנימין עובדיה</t>
  </si>
  <si>
    <t>פתחי הלכות - 5 כר'</t>
  </si>
  <si>
    <t>אסולין, תמיר ישי</t>
  </si>
  <si>
    <t>פתחי המבוי - פ"ק דעירובין</t>
  </si>
  <si>
    <t>לרנר, צבי יוסף בן דוד פישל</t>
  </si>
  <si>
    <t>פתחי זבים</t>
  </si>
  <si>
    <t>שמעון, שלום דב בן שמעון</t>
  </si>
  <si>
    <t>פתחי חושן &lt;מהדורה חדשה&gt; - 9 כר'</t>
  </si>
  <si>
    <t>פתחי חושן - 9 כר'</t>
  </si>
  <si>
    <t>פתחי חכמה ודעת</t>
  </si>
  <si>
    <t>פתחי חכמה - ענווה וגאוה</t>
  </si>
  <si>
    <t>פתחי חכמה - 2 כר'</t>
  </si>
  <si>
    <t>פתחי טהר - נדה, מקוואות</t>
  </si>
  <si>
    <t>פתחי טהרה - 4 כר'</t>
  </si>
  <si>
    <t>פתחי טהרה</t>
  </si>
  <si>
    <t>שניידר, יחזקאל בן דוד מנחם</t>
  </si>
  <si>
    <t>שנעעבאלג, אברהם זאב</t>
  </si>
  <si>
    <t>פתחי יה - 3 כר'</t>
  </si>
  <si>
    <t>פתחי יה</t>
  </si>
  <si>
    <t>מרדכי בן נפתלי הירץ</t>
  </si>
  <si>
    <t>פתחי יצחק - עירובין</t>
  </si>
  <si>
    <t>בוכהלטר, יצחק גבריאל</t>
  </si>
  <si>
    <t>פתחי כלאים</t>
  </si>
  <si>
    <t>פתחי מאיר</t>
  </si>
  <si>
    <t>שוסטר, מאיר הכהן</t>
  </si>
  <si>
    <t>פתחי מגדים</t>
  </si>
  <si>
    <t>וינגוט, שמואל יהודה</t>
  </si>
  <si>
    <t>פתחי מגדים - 2 כר'</t>
  </si>
  <si>
    <t>פתחי מהרש"ם</t>
  </si>
  <si>
    <t>פתחי מוקצה</t>
  </si>
  <si>
    <t>כץ, שאול בן צבי אלימלך הכהן</t>
  </si>
  <si>
    <t>פתחי מזוזות</t>
  </si>
  <si>
    <t>פתחי מקוואות</t>
  </si>
  <si>
    <t>פתחי משפט - 2 כר'</t>
  </si>
  <si>
    <t>הורנבלאס, פתחיה בן יצחק</t>
  </si>
  <si>
    <t>תרע"ב - תרע"ד</t>
  </si>
  <si>
    <t>פתחי משפט - הלכות הונאה</t>
  </si>
  <si>
    <t>יחזקאל, משה. גרג'י, מרדכי</t>
  </si>
  <si>
    <t>פתחי נדה</t>
  </si>
  <si>
    <t>כ"ץ, משולם בן יואל הכהן</t>
  </si>
  <si>
    <t>פוטאש, אהרן דוד בן שמעון</t>
  </si>
  <si>
    <t>פתחי נזיר</t>
  </si>
  <si>
    <t>שניידר, יצחק בן דוד מנחם</t>
  </si>
  <si>
    <t>פתחי סוגיות - פאה</t>
  </si>
  <si>
    <t>פתחי סוכה</t>
  </si>
  <si>
    <t>שניידר, יצחק - שניידר, יחזקאל</t>
  </si>
  <si>
    <t>פתחי עולם</t>
  </si>
  <si>
    <t>גולדשטיין, מרדכי זאב בן אריה דוב</t>
  </si>
  <si>
    <t>פתחי עזר - 5 כר'</t>
  </si>
  <si>
    <t>ארז, עזרא בן יעקב</t>
  </si>
  <si>
    <t>פתחי עזרה</t>
  </si>
  <si>
    <t>פתחי שבת - 2 כר'</t>
  </si>
  <si>
    <t>פתחי שערים</t>
  </si>
  <si>
    <t>גורן, עמי</t>
  </si>
  <si>
    <t>פתחי שערים - 2 כר'</t>
  </si>
  <si>
    <t>תר"ע - תש"נ</t>
  </si>
  <si>
    <t>ורשה-בני ברק</t>
  </si>
  <si>
    <t>פתחי שערים - 3 כר'</t>
  </si>
  <si>
    <t>וויינגוט, יששכר בן יהודה ליב</t>
  </si>
  <si>
    <t>פתחי שערים - א</t>
  </si>
  <si>
    <t>משיש, שלמה בן יצחק</t>
  </si>
  <si>
    <t>שכטר, אהרן ארי' בן שרגא יצחק - אוירבך, אורי בן אברהם בנימין</t>
  </si>
  <si>
    <t>פתחי שערים - עירובין</t>
  </si>
  <si>
    <t>שרמן, יצחק שלמה יואל בן שמואל</t>
  </si>
  <si>
    <t>פתחי תבונה - 2 כר'</t>
  </si>
  <si>
    <t>פוקס, ישעיה בן אברהם</t>
  </si>
  <si>
    <t>תרמ"ו - תרמ"ט</t>
  </si>
  <si>
    <t>פתחי תורה - 2 כר'</t>
  </si>
  <si>
    <t>הורנבלס, פתחיה בן יצחק</t>
  </si>
  <si>
    <t>פתחי תורה</t>
  </si>
  <si>
    <t>פתחי תשובה</t>
  </si>
  <si>
    <t>פתחי תשובה - מדריך להלכות תשובה</t>
  </si>
  <si>
    <t>פתחי תשובות - 2 כר'</t>
  </si>
  <si>
    <t>שרגא, אברהם בן אהרן</t>
  </si>
  <si>
    <t>פתחים לתולדות החכמה הפנימית וגדוליה</t>
  </si>
  <si>
    <t>ברמסון, יוסף</t>
  </si>
  <si>
    <t>פתחת שקי ותאזרני שמחה</t>
  </si>
  <si>
    <t>רינדורף, מאיר</t>
  </si>
  <si>
    <t>פתי מנחה</t>
  </si>
  <si>
    <t>פתיחה כוללת לפרי מגדים הלכות פסח ע"פ הדק היטב</t>
  </si>
  <si>
    <t>תאומים, יוסף בן מאיר - רייך, שמואל זאב</t>
  </si>
  <si>
    <t>פתיחה כוללת לפרי מגדים ופתיחות להל' שבת ויו"ט</t>
  </si>
  <si>
    <t>פתיחה כוללת לפרי מגדים</t>
  </si>
  <si>
    <t>תאומים, יוסף בן מאיר - טלסניק יצחק</t>
  </si>
  <si>
    <t>פתיחה לארבעים ושמונה קניני התורה</t>
  </si>
  <si>
    <t>פתיחה לחכמת הקבלה - 3 כר'</t>
  </si>
  <si>
    <t>פתיחות ושערים &lt;עיר גבורים&gt;</t>
  </si>
  <si>
    <t>פתיחת בקבוקים ואריזות בשבת</t>
  </si>
  <si>
    <t>פתיחת דין שהיא גמרו</t>
  </si>
  <si>
    <t>פתיחת האגרות - 2 כר'</t>
  </si>
  <si>
    <t>פתיחת הלב - 2 כר'</t>
  </si>
  <si>
    <t>פתיל וגדילים</t>
  </si>
  <si>
    <t>פתיל חיי - 2 כר'</t>
  </si>
  <si>
    <t>קיש, חנניה יום טוב ליפא</t>
  </si>
  <si>
    <t>פתיל תכלת</t>
  </si>
  <si>
    <t>מרדכי בן אליעזר יונה מלבוב</t>
  </si>
  <si>
    <t>פתיתין משולחן גבוה (גור) - חנוכה</t>
  </si>
  <si>
    <t>מכון לב אריה</t>
  </si>
  <si>
    <t>פתיתין משלחן גבוה - פרשת זכור מחיית עמלק</t>
  </si>
  <si>
    <t>פתיתין משלחן גבוה</t>
  </si>
  <si>
    <t>מוסדות נזר ישראל</t>
  </si>
  <si>
    <t>פתק הפלא</t>
  </si>
  <si>
    <t>פתרון הלכתי לבעיית השמיטה בתקופתנו</t>
  </si>
  <si>
    <t>פתרון חלומות - 2 כר'</t>
  </si>
  <si>
    <t>רבינו האי גאון (מיוחס לו)</t>
  </si>
  <si>
    <t>שמעון חכם</t>
  </si>
  <si>
    <t>פתשגן הדת - 5 כר'</t>
  </si>
  <si>
    <t>תרל"א - תרל"ה</t>
  </si>
  <si>
    <t>פתשגן הכתב &lt;פירוש על אלפא ביתא&gt; צורת האותיות</t>
  </si>
  <si>
    <t>פתשגן הכתב</t>
  </si>
  <si>
    <t>וינטורה, מרדכי</t>
  </si>
  <si>
    <t>פתשגן הכתב - דברות אברהם</t>
  </si>
  <si>
    <t>לוי, אברהם בן יצחק - לוי, נתן</t>
  </si>
  <si>
    <t>מעם לועז. תורה. תרמ"ו</t>
  </si>
  <si>
    <t>תרמ"ו-תרנ"ד</t>
  </si>
  <si>
    <t>פתשגן כתב הדת - 3 כר'</t>
  </si>
  <si>
    <t>צ'יקווער 2</t>
  </si>
  <si>
    <t>גרטנר, מנחם</t>
  </si>
  <si>
    <t>צ'יקווער</t>
  </si>
  <si>
    <t>צא מדירת קבע</t>
  </si>
  <si>
    <t>פריינד, אברהם מנחם</t>
  </si>
  <si>
    <t>צא מן התיבה</t>
  </si>
  <si>
    <t>צאינה וראינה &lt;בלשון הקודש&gt; - 4 כר'</t>
  </si>
  <si>
    <t>יאנאווא, יעקב</t>
  </si>
  <si>
    <t>צאינה וראינה - 4 כר'</t>
  </si>
  <si>
    <t>צאן יוסף, כל חדש</t>
  </si>
  <si>
    <t>צאן קדשים</t>
  </si>
  <si>
    <t>בצרי, דוד בן מנחם</t>
  </si>
  <si>
    <t>צאן קדשים - 4 כר'</t>
  </si>
  <si>
    <t>שור, אברהם חיים בן נפתלי צבי הירש</t>
  </si>
  <si>
    <t>צאנזער חסידות</t>
  </si>
  <si>
    <t>רוטשטיין, שמואל - ניסנזון, ש</t>
  </si>
  <si>
    <t>צב"א מרו"ם - מילה</t>
  </si>
  <si>
    <t>שטרית, צוריאל</t>
  </si>
  <si>
    <t>צבא אהרן - 3 כר'</t>
  </si>
  <si>
    <t>צבא הלוי - 19 כר'</t>
  </si>
  <si>
    <t>שטיינברג, צבי אליהו</t>
  </si>
  <si>
    <t>צבא המלך</t>
  </si>
  <si>
    <t>סגל, אברהם צבי בן חיים שלום הלוי</t>
  </si>
  <si>
    <t>צבא העבודה</t>
  </si>
  <si>
    <t>צבא השמים - 14 כר'</t>
  </si>
  <si>
    <t>וידאל, נסים</t>
  </si>
  <si>
    <t>צבא מרום</t>
  </si>
  <si>
    <t>קבץ, אבנר בן ציון</t>
  </si>
  <si>
    <t>צבא רב</t>
  </si>
  <si>
    <t>לווין, צבי הירש בן אריה ליב מברלין</t>
  </si>
  <si>
    <t>צבי גאון יעקב</t>
  </si>
  <si>
    <t>אופנהיים, צבי יעקב בן מיכאל יצחק</t>
  </si>
  <si>
    <t>צבי הסנהדרין - 2 כר'</t>
  </si>
  <si>
    <t>זקהיים, צבי הירש</t>
  </si>
  <si>
    <t>צבי וחמיד</t>
  </si>
  <si>
    <t>רוזאנסקי, צבי הירש בן נחמיה</t>
  </si>
  <si>
    <t>שור, צבי בן מנחם נחום</t>
  </si>
  <si>
    <t>צבי חמד - 9 כר'</t>
  </si>
  <si>
    <t>צבי ישראל</t>
  </si>
  <si>
    <t>צבי לבית</t>
  </si>
  <si>
    <t>קוגל, פנחס שלמה</t>
  </si>
  <si>
    <t>צבי לכל הארצות</t>
  </si>
  <si>
    <t>שולמאן, קלמן בן ירוחם פישל</t>
  </si>
  <si>
    <t>צבי לצדיק</t>
  </si>
  <si>
    <t>צבי לצדיק - 2 כר'</t>
  </si>
  <si>
    <t>דומב, צבי בן יהושע (עליו)</t>
  </si>
  <si>
    <t>תולדות עם ישראל, תלמוד בבלי, תנ"ך, תפלות בקשות פיוטים ושירה</t>
  </si>
  <si>
    <t>רודניצקי, דוד</t>
  </si>
  <si>
    <t>צבי לצדיק - קונטרס שריד מעיר</t>
  </si>
  <si>
    <t>שפירא, יהושע צבי מיכל בן יעקב קופל - דבליצקי, שריה</t>
  </si>
  <si>
    <t>צבי לצדיק - 6 כר'</t>
  </si>
  <si>
    <t>שפירא, צבי אלימלך בן דוד מבלוזוב</t>
  </si>
  <si>
    <t>צבי לשבת &lt;צבי לאורייתא&gt; - ד</t>
  </si>
  <si>
    <t>מייזליק, צבי ליפא בן חיים דניאל - מייזליק, יהושע בן צבי ליפא - ליבמן, בן ציון</t>
  </si>
  <si>
    <t>צבי לשבת - 3 כר'</t>
  </si>
  <si>
    <t>מייזליק, צבי ליפא בן חיים דניאל</t>
  </si>
  <si>
    <t>מועדי ישראל, שאלות ותשובות, תלמוד בבלי</t>
  </si>
  <si>
    <t>צבי עדיו לגאון</t>
  </si>
  <si>
    <t>פדר, צבי אריה בן נ</t>
  </si>
  <si>
    <t>צבי קדש</t>
  </si>
  <si>
    <t>צבי קודש</t>
  </si>
  <si>
    <t>צבי הירש בן דוד</t>
  </si>
  <si>
    <t>צבי תפארה - 2 כר'</t>
  </si>
  <si>
    <t>אוירבוך, בנימין יצחק</t>
  </si>
  <si>
    <t>חסידות, שאלות ותשובות, תפלות בקשות פיוטים ושירה</t>
  </si>
  <si>
    <t>צבי תפארה</t>
  </si>
  <si>
    <t>חשין, צבי</t>
  </si>
  <si>
    <t>צבי תפארת &lt;על שיר השירים&gt;</t>
  </si>
  <si>
    <t>צבי הירש בן מאיר מלסלא</t>
  </si>
  <si>
    <t>צבי תפארת &lt;מהדורה חדשה&gt; - 2 כר'</t>
  </si>
  <si>
    <t>צבי תפארת</t>
  </si>
  <si>
    <t>יפה, צבי דוד בן בנימין</t>
  </si>
  <si>
    <t>[תר"ע],</t>
  </si>
  <si>
    <t>צבי תפארתו</t>
  </si>
  <si>
    <t>ויינמן, אברהם ישעיהו</t>
  </si>
  <si>
    <t>צבי תפארתו - 8 כר'</t>
  </si>
  <si>
    <t>צביון חן</t>
  </si>
  <si>
    <t>צדה לדרך &lt;מהדורה חדשה&gt;</t>
  </si>
  <si>
    <t>צדה לדרך - 5 כר'</t>
  </si>
  <si>
    <t>אבן-זרח, מנחם בן אהרן</t>
  </si>
  <si>
    <t>צדה לדרך</t>
  </si>
  <si>
    <t>הלוי, צפניה בן מיכאל</t>
  </si>
  <si>
    <t>צדוק הדין - 2 כר'</t>
  </si>
  <si>
    <t>צדיק באמונתו - 2 כר'</t>
  </si>
  <si>
    <t>מקובר, יהודה משה</t>
  </si>
  <si>
    <t>צדיק האמת</t>
  </si>
  <si>
    <t>ג'קי, אברהם</t>
  </si>
  <si>
    <t>צדיק ונשגב</t>
  </si>
  <si>
    <t>צדיק יסוד עולם &lt;על ר"ש מזוועהיל&gt;</t>
  </si>
  <si>
    <t>צדיק יסוד עולם - 2 כר'</t>
  </si>
  <si>
    <t>לוריא, יצחק (האר"י)</t>
  </si>
  <si>
    <t>צדיק יסוד עולם - מסכת חייו של ר' אריה לוין</t>
  </si>
  <si>
    <t>צדיק יסור עולם &lt;הרה"ק ר"ש מזוועהיל&gt; - 2 כר'</t>
  </si>
  <si>
    <t>צדיק כתמר יפרח</t>
  </si>
  <si>
    <t>טרנסילבניה Transilva</t>
  </si>
  <si>
    <t>צדיק לברכה</t>
  </si>
  <si>
    <t>צדיק מה פעל</t>
  </si>
  <si>
    <t>שטרסר, יהודה הכהן - פרל, אהרן הכהן</t>
  </si>
  <si>
    <t>צדיק מצרה נחלץ</t>
  </si>
  <si>
    <t>לברמן, ה</t>
  </si>
  <si>
    <t>צדיקי עולם</t>
  </si>
  <si>
    <t>צדק אברהם - 19 כר'</t>
  </si>
  <si>
    <t>דיסלדורף, צדוק אברהם בן נתן</t>
  </si>
  <si>
    <t>צדק ומשפט</t>
  </si>
  <si>
    <t>צדק ושלום</t>
  </si>
  <si>
    <t>צדק עדותיך - א</t>
  </si>
  <si>
    <t>צדק צדק תרדוף - 2 כר'</t>
  </si>
  <si>
    <t>צדקה בכל עת</t>
  </si>
  <si>
    <t>אפשטיין, מרדכי בן יהושע חיים הלוי</t>
  </si>
  <si>
    <t>צדקה וחסד בהלכה ובאגדה</t>
  </si>
  <si>
    <t>צדקה וחסד - אנשי צדקה וחסד</t>
  </si>
  <si>
    <t>צדקה וכבוד</t>
  </si>
  <si>
    <t>צדקה ומרפא - 3 כר'</t>
  </si>
  <si>
    <t>אסויד, יצחק</t>
  </si>
  <si>
    <t>;</t>
  </si>
  <si>
    <t>צדקה ומשפט &lt;מהדורה חדשה&gt;</t>
  </si>
  <si>
    <t>צדקה ומשפט</t>
  </si>
  <si>
    <t>צדקה ומשפט - 3 כר'</t>
  </si>
  <si>
    <t>חוצין, צדקה בן סעדיה</t>
  </si>
  <si>
    <t>צדקה ורחמים</t>
  </si>
  <si>
    <t>צדקה חיים</t>
  </si>
  <si>
    <t>צדקה לחיים</t>
  </si>
  <si>
    <t>ג'ארמון, חיים בן נהוראי</t>
  </si>
  <si>
    <t>הלכה ומנהג, הלכה ומנהג, משנה, תלמוד בבלי</t>
  </si>
  <si>
    <t>פאלאג'י, חיים בן יעקב - סופר, יעקב חיים בן יצחק שלום</t>
  </si>
  <si>
    <t>צדקה לישראל</t>
  </si>
  <si>
    <t>רמון, ישראל</t>
  </si>
  <si>
    <t>צדקה שלימה</t>
  </si>
  <si>
    <t>צדקת אברהם</t>
  </si>
  <si>
    <t>לאנדא, אברהם בן רפאל מצ'כנוב - גרייפמאן, בצלאל יהודה</t>
  </si>
  <si>
    <t>צדקת החכם</t>
  </si>
  <si>
    <t>צדקת הצדיק &lt;מהדורת הר ברכה&gt;</t>
  </si>
  <si>
    <t>צדקת הצדיק</t>
  </si>
  <si>
    <t>צדקת הצדיק - 2 כר'</t>
  </si>
  <si>
    <t>צדקת חיים</t>
  </si>
  <si>
    <t>פאלאג'י, חיים בן יעקב -רביע, חיים שמעון בן אליהו</t>
  </si>
  <si>
    <t>צדקת יוסף - 2 כר'</t>
  </si>
  <si>
    <t>לייפער, יוסף בן ישכר בער</t>
  </si>
  <si>
    <t>צדקת ישע - 2 כר'</t>
  </si>
  <si>
    <t>עבאדי, יוסף שלמה</t>
  </si>
  <si>
    <t>צדקת משה</t>
  </si>
  <si>
    <t>צהלה ורנה</t>
  </si>
  <si>
    <t>צהלי ורני</t>
  </si>
  <si>
    <t>צהלת צבי - ב</t>
  </si>
  <si>
    <t>גרטלר, צבי הירש</t>
  </si>
  <si>
    <t>צהר הבית - קובץ</t>
  </si>
  <si>
    <t>ישיבת בית חלקיה</t>
  </si>
  <si>
    <t>צהר המשפט</t>
  </si>
  <si>
    <t>נחמנסון, יהודה ליב</t>
  </si>
  <si>
    <t>צהר לבנין</t>
  </si>
  <si>
    <t>זוננשיין, משה בן יהודה</t>
  </si>
  <si>
    <t>צהר לחשיפת גנזי תימן</t>
  </si>
  <si>
    <t>צהר לתבה</t>
  </si>
  <si>
    <t>פרידמן, פנחס שלום</t>
  </si>
  <si>
    <t>צהר לתיבה - כללים בתלמוד</t>
  </si>
  <si>
    <t>מיכאלי, זהר</t>
  </si>
  <si>
    <t>צהר תעשה לתיבה - 2 כר'</t>
  </si>
  <si>
    <t>צהר - 18 כר'</t>
  </si>
  <si>
    <t>דבורקס, אליקום בן ישעיהו אריה ליב (עורך)</t>
  </si>
  <si>
    <t>צו השעה התגוננות למען קדושת האומה</t>
  </si>
  <si>
    <t>חברת משמרת הצניעות</t>
  </si>
  <si>
    <t>צו לצו &lt;מהדורה חדשה&gt;</t>
  </si>
  <si>
    <t>חלואה, סמחון בן שלמה</t>
  </si>
  <si>
    <t>צו לצו</t>
  </si>
  <si>
    <t>צו צוה - לשון זירוז</t>
  </si>
  <si>
    <t>צואה מחיים &lt;תוספת חיים&gt; - 2 כר'</t>
  </si>
  <si>
    <t>צואות גאוני ישראל</t>
  </si>
  <si>
    <t>אברהמס, ישראל בן ברוך</t>
  </si>
  <si>
    <t>צואות ה"ר יהודה בן הרא"ש ואחיו ה"ר יעקב</t>
  </si>
  <si>
    <t>יהודה בן אשר - יעקב בן אשר</t>
  </si>
  <si>
    <t>צוארי בנימין - 2 כר'</t>
  </si>
  <si>
    <t>צרויה, בנימין בן שלמה</t>
  </si>
  <si>
    <t>צוארי שלל - 2 כר'</t>
  </si>
  <si>
    <t>צוה ישועות יעקב</t>
  </si>
  <si>
    <t>שפיץ, ישעיהו</t>
  </si>
  <si>
    <t>צוהר התיבה</t>
  </si>
  <si>
    <t>צוהר לארחות החרדי</t>
  </si>
  <si>
    <t>צוהר לתיבה - 5 כר'</t>
  </si>
  <si>
    <t>גרליץ, משולם זושא</t>
  </si>
  <si>
    <t>צוואה הקדושה &lt;צואת נפתלי בן יעקב אבינו&gt;</t>
  </si>
  <si>
    <t>צוואה הקדושה</t>
  </si>
  <si>
    <t>צוואה יקרה</t>
  </si>
  <si>
    <t>צוואה מאת אדמו"ר</t>
  </si>
  <si>
    <t>צוואה - 2 כר'</t>
  </si>
  <si>
    <t>רדזין Radzyn</t>
  </si>
  <si>
    <t>צוואה</t>
  </si>
  <si>
    <t>יוסף משה אברהם בן אריה</t>
  </si>
  <si>
    <t>רוסיה-פולין Russia-P</t>
  </si>
  <si>
    <t>פרלמן, מרדכי אריה בן משה</t>
  </si>
  <si>
    <t>תל אביב?</t>
  </si>
  <si>
    <t>צוואות וגם דברי קדושים</t>
  </si>
  <si>
    <t>צוואות ודרך טובים</t>
  </si>
  <si>
    <t>גדליה בן דוב סג"ל</t>
  </si>
  <si>
    <t>צוואות והנהגות מהבעש"ט ותלמידיו</t>
  </si>
  <si>
    <t>וינטרוב, יעקב דוד בן יחיאל</t>
  </si>
  <si>
    <t>צוואות רבינו יהודה החסיד</t>
  </si>
  <si>
    <t>שוורץ, יחזקאל אהרן</t>
  </si>
  <si>
    <t>צוואות - 2 כר'</t>
  </si>
  <si>
    <t>צוואת ... ר' יחזקאל - 2 כר'</t>
  </si>
  <si>
    <t>צוואת אבא</t>
  </si>
  <si>
    <t>צוואת הגאון ר' נפתלי הכהן זצ"ל</t>
  </si>
  <si>
    <t>צוואת הגאון רבינו נפתלי כ"ץ</t>
  </si>
  <si>
    <t>טהארן,</t>
  </si>
  <si>
    <t>צוואת הרב אברהם בן יעקב פאללאק</t>
  </si>
  <si>
    <t>פאללאק, אברהם בן יעקב</t>
  </si>
  <si>
    <t>צוואת הריב"ש - 3 כר'</t>
  </si>
  <si>
    <t>צוואת הרמב"ם</t>
  </si>
  <si>
    <t>צוואת יסוד ושורש העבודה - 2 כר'</t>
  </si>
  <si>
    <t>צוואת מהרא"ל</t>
  </si>
  <si>
    <t>רבינוביץ, אהרן לוי בן נח נפחלי</t>
  </si>
  <si>
    <t>צוואת מרדכי - 2 כר'</t>
  </si>
  <si>
    <t>צוואת מריב"ש והנהגות ישרות</t>
  </si>
  <si>
    <t>צוואת משה</t>
  </si>
  <si>
    <t>צוואת ר' אליעזר הגדול &lt;עם ביאור שירי מצוה&gt;</t>
  </si>
  <si>
    <t>צוואת ר' יהודה אבן תבון</t>
  </si>
  <si>
    <t>אבן-תיבון, יהודה בן שאול</t>
  </si>
  <si>
    <t>צוואת רבי אליעזר הגדול &lt;מאורי הצוואות&gt;</t>
  </si>
  <si>
    <t>אליעזר הגדול בן יצחק. מיוחס לו</t>
  </si>
  <si>
    <t>צוואת רבי אליעזר הגדול - 4 כר'</t>
  </si>
  <si>
    <t>צוואת רבי יהודה החסיד - השוואת מהדורות קדומות וכת"י</t>
  </si>
  <si>
    <t>שבט, ארי יצחק</t>
  </si>
  <si>
    <t>צוואת רבי יהודה זאב ליבוביץ ז"ל</t>
  </si>
  <si>
    <t>צוואת רבי נפתלי</t>
  </si>
  <si>
    <t>צוואת רבינו הגדול</t>
  </si>
  <si>
    <t>צוואת... רבינו נפתלי כ"ץ</t>
  </si>
  <si>
    <t>[תרכ"ז,</t>
  </si>
  <si>
    <t>צוואתו הרוחנית של הראשל"צ הרב"צ מאיר חי עוזיאל זצ"ל</t>
  </si>
  <si>
    <t>צוותא - 2 כר'</t>
  </si>
  <si>
    <t>כולל הוראה דחסידי צאנז ביתר עילית</t>
  </si>
  <si>
    <t>צום העשירי - עשרה בטבת</t>
  </si>
  <si>
    <t>צומת המבוכה</t>
  </si>
  <si>
    <t>צוף דבש &lt;עם פירוש רחב&gt;</t>
  </si>
  <si>
    <t>צרפתי, וידאל בן יצחק - בן אבו, דוד</t>
  </si>
  <si>
    <t>צוף דבש &lt;קרית חנה&gt;</t>
  </si>
  <si>
    <t>צרפתי, וידאל בן יצחק</t>
  </si>
  <si>
    <t>צוף דבש</t>
  </si>
  <si>
    <t>אלטרס, דוד בן שלמה</t>
  </si>
  <si>
    <t>פיסא</t>
  </si>
  <si>
    <t>צוף דבש - תערובות</t>
  </si>
  <si>
    <t>ברלב, שבתי דב</t>
  </si>
  <si>
    <t>תרל"ו לפני</t>
  </si>
  <si>
    <t>סופר, עקיבא בן שמעון</t>
  </si>
  <si>
    <t>צוף דבש - 2 כר'</t>
  </si>
  <si>
    <t>צופה פני דמשק</t>
  </si>
  <si>
    <t>דנה, יצחק</t>
  </si>
  <si>
    <t>צופיה הליכות ביתה</t>
  </si>
  <si>
    <t>צופיה הלכות</t>
  </si>
  <si>
    <t>בן פורת, יצחק</t>
  </si>
  <si>
    <t>צופן התורה במדרש רבה - 10 כר'</t>
  </si>
  <si>
    <t>פרץ, ציון</t>
  </si>
  <si>
    <t>צוציתא</t>
  </si>
  <si>
    <t>צוק העיתים</t>
  </si>
  <si>
    <t>מאיר בן שמואל משברשין</t>
  </si>
  <si>
    <t>צור יעקב - 2 כר'</t>
  </si>
  <si>
    <t>הורוויץ, אברהם יעקב בן שמואל הלוי</t>
  </si>
  <si>
    <t>צור יעקב</t>
  </si>
  <si>
    <t>יעבץ, בכור יעקב בן חיים משה</t>
  </si>
  <si>
    <t>צור לבבי וחלקי</t>
  </si>
  <si>
    <t>צור נעלה</t>
  </si>
  <si>
    <t>סלימן, אליצור</t>
  </si>
  <si>
    <t>צור תעודה</t>
  </si>
  <si>
    <t>תרל"ח!</t>
  </si>
  <si>
    <t>נוביק, טוביה בן עזרא הלוי</t>
  </si>
  <si>
    <t>צורבא מרבנן - 6 כר'</t>
  </si>
  <si>
    <t>מכון צורבא מרבנן</t>
  </si>
  <si>
    <t>צורבא - א</t>
  </si>
  <si>
    <t>מכון צורבא מרבנן שע"י ישיבת כרם ביבנה</t>
  </si>
  <si>
    <t>צורך המועד</t>
  </si>
  <si>
    <t>צורך יום טוב</t>
  </si>
  <si>
    <t>אדלשטיין, אברהם בן מרדכי שמואל</t>
  </si>
  <si>
    <t>צורת בית המקדש</t>
  </si>
  <si>
    <t>תקמ"ח - תקמ"ט</t>
  </si>
  <si>
    <t>צורת האותיות וזיונן</t>
  </si>
  <si>
    <t>צורת הארץ ותבנית השמים</t>
  </si>
  <si>
    <t>צורת הארץ לגבולותיה סביב - 2 כר'</t>
  </si>
  <si>
    <t>צורת הבית &lt;צורת בית המקדש&gt; - 2 כר'</t>
  </si>
  <si>
    <t>צורת הלבנה</t>
  </si>
  <si>
    <t>מיימון, אברהם בן חנון</t>
  </si>
  <si>
    <t>צורת העולם</t>
  </si>
  <si>
    <t>צורת מזבח העולה</t>
  </si>
  <si>
    <t>צורת מצות ההסיבה</t>
  </si>
  <si>
    <t>צורתא דשמעתא - 2 כר'</t>
  </si>
  <si>
    <t>בלומנטל, יעקב ישראל</t>
  </si>
  <si>
    <t>צורתא דשמעתא</t>
  </si>
  <si>
    <t>ברס, נתן</t>
  </si>
  <si>
    <t>צורתא דשמעתא - אות אמת</t>
  </si>
  <si>
    <t>זלמנוב, בן ציון - קראבצוב, לוי יצחק בן משה</t>
  </si>
  <si>
    <t>צח ואדום</t>
  </si>
  <si>
    <t>צח ואדום - 2 כר'</t>
  </si>
  <si>
    <t>צח שפתים</t>
  </si>
  <si>
    <t>פולמר, שמעון לוי בן אליעזר</t>
  </si>
  <si>
    <t>צחות בדקדוק</t>
  </si>
  <si>
    <t>צחקן מלומד ומתחרט</t>
  </si>
  <si>
    <t>צי אדיר</t>
  </si>
  <si>
    <t>וויינבוים, שמואל יצחק בן מאיר הלוי</t>
  </si>
  <si>
    <t>ברוקלין תש"ע</t>
  </si>
  <si>
    <t>ציד רמיה</t>
  </si>
  <si>
    <t>יאנובסקי, יעקב צבי</t>
  </si>
  <si>
    <t>צידה ברוך</t>
  </si>
  <si>
    <t>בראנדייס, בצלאל בן משה הלוי</t>
  </si>
  <si>
    <t>צידה לדרך &lt;מהדורה חדשה&gt; - 4 כר'</t>
  </si>
  <si>
    <t>צידה לדרך &lt;מהדורה חדשה&gt; - ג (ויקרא)</t>
  </si>
  <si>
    <t>איילינבורג, יששכר בר בען ישראל ליזר פרנס</t>
  </si>
  <si>
    <t>צידה לדרך</t>
  </si>
  <si>
    <t>שפ"ג - שפ"ד</t>
  </si>
  <si>
    <t>ציון אליהו - 4 כר'</t>
  </si>
  <si>
    <t>ציון בימים - 3 כר'</t>
  </si>
  <si>
    <t>ציון בית חיינו - 2 כר'</t>
  </si>
  <si>
    <t>ציון במר תבכה</t>
  </si>
  <si>
    <t>ציון במשפט תפדה - 3 כר'</t>
  </si>
  <si>
    <t>כהן-יהונתן, ציון בן שושן מג'רבה</t>
  </si>
  <si>
    <t>תרצ"ג-תש"ג</t>
  </si>
  <si>
    <t>ציון במשפט</t>
  </si>
  <si>
    <t>ציון המצוינת</t>
  </si>
  <si>
    <t>הורביץ, שמואל הלוי</t>
  </si>
  <si>
    <t>ציון לאחד מבני ציון המצוינים</t>
  </si>
  <si>
    <t>ציון לדרש - 2 כר'</t>
  </si>
  <si>
    <t>ציון ליעקב</t>
  </si>
  <si>
    <t>הופפר, שמואל בן אשר</t>
  </si>
  <si>
    <t>ציון למנחם</t>
  </si>
  <si>
    <t>הלכה ומנהג, נושאים שונים, קבצים וכתבי עת, ספרי זכרון ויובל, שאלות ותשובות, תולדות עם ישראל, תנ"ך</t>
  </si>
  <si>
    <t>ציון למר אלתר לוין</t>
  </si>
  <si>
    <t>ציון לנפש חיה</t>
  </si>
  <si>
    <t>ציון לנפש חיה - 2 כר'</t>
  </si>
  <si>
    <t>לייטר, נתן נטע</t>
  </si>
  <si>
    <t>ציון לנפש חנה חיה</t>
  </si>
  <si>
    <t>ציון לנפש כהר"ר רפאל אלשיך הלוי</t>
  </si>
  <si>
    <t>ישיבת אהל תורה</t>
  </si>
  <si>
    <t>ציון לנפש צדיק - קצור תולדות וזכרונות</t>
  </si>
  <si>
    <t>אוירבאך, מנחם נתן בן שלמה</t>
  </si>
  <si>
    <t>ציון לנפש שלמה - א -ב</t>
  </si>
  <si>
    <t>שלמה זלמן בן אפרים ממאהליב</t>
  </si>
  <si>
    <t>ציון לנפש - 2 כר'</t>
  </si>
  <si>
    <t>טעוועל, צבי הירש בן פנחס</t>
  </si>
  <si>
    <t>ציון לנפש</t>
  </si>
  <si>
    <t>פרלשטיין, חיים נח בן בנימין זאב</t>
  </si>
  <si>
    <t>רוטנברג, שמחה מנחם מנדל</t>
  </si>
  <si>
    <t>ציון לקבר רחל אמנו</t>
  </si>
  <si>
    <t>ציון רש"י</t>
  </si>
  <si>
    <t>ציון תעוררי</t>
  </si>
  <si>
    <t>ציוני &lt;מהדורה חדשה&gt; - 2 כר'</t>
  </si>
  <si>
    <t>ציוני, מנחם בן מאיר</t>
  </si>
  <si>
    <t>ציוני אהלות</t>
  </si>
  <si>
    <t>ציוני דעת - 4 כר'</t>
  </si>
  <si>
    <t>קורלנסקי, אברהם דוד בן בנימין בינוש</t>
  </si>
  <si>
    <t>ציוני דרך</t>
  </si>
  <si>
    <t>דבורץ, דב בן זלמן</t>
  </si>
  <si>
    <t>ציוני הראשונים - 2 כר'</t>
  </si>
  <si>
    <t>פלק, אברהם ישעיהו בן יעקב יהודה</t>
  </si>
  <si>
    <t>ציוני טהרה - 7 כר'</t>
  </si>
  <si>
    <t>ציוני מקומות הקדושים</t>
  </si>
  <si>
    <t>ציוני נדה</t>
  </si>
  <si>
    <t>ציוני ש"ס</t>
  </si>
  <si>
    <t>סגל, שבתי בן ליב הלוי</t>
  </si>
  <si>
    <t>ציוני שלום</t>
  </si>
  <si>
    <t>נתנזון, שלום בן יעקב</t>
  </si>
  <si>
    <t>ציוני שלמה - תופר וקורע</t>
  </si>
  <si>
    <t>ליוונדג, אריה ליב בן זאב</t>
  </si>
  <si>
    <t>ציוני שלמה - ברכות</t>
  </si>
  <si>
    <t>פדר, שלמה זלמן בן חיים</t>
  </si>
  <si>
    <t>ציוני תוספות</t>
  </si>
  <si>
    <t>פארקאש, משה בן שלום</t>
  </si>
  <si>
    <t>ציוני תורה - א</t>
  </si>
  <si>
    <t>גרוספלד, בן-ציון בן שלמה זלמן הכהן</t>
  </si>
  <si>
    <t>ציוני -  א -ב</t>
  </si>
  <si>
    <t>ציוני, אהרן זליג בן נפתלי</t>
  </si>
  <si>
    <t>ציוני - 4 כר'</t>
  </si>
  <si>
    <t>ציונים בדרך החיים - ב</t>
  </si>
  <si>
    <t>שיינפלד, שלמה יצחק בן אהרן</t>
  </si>
  <si>
    <t>תרפ"ב-תרפ"ח.</t>
  </si>
  <si>
    <t>שיקאגא-ניו-יורק,</t>
  </si>
  <si>
    <t>ציונים בתערובות</t>
  </si>
  <si>
    <t>ציונים וביאורים לפרק איזהו נשך</t>
  </si>
  <si>
    <t>ציונים והערות לשו"ע הלכות מקוואות</t>
  </si>
  <si>
    <t>לזרזון, משה</t>
  </si>
  <si>
    <t>ציונים והערות - שביעית</t>
  </si>
  <si>
    <t>ציונים והערות</t>
  </si>
  <si>
    <t>ציונים ומראי מקומות - 6 כר'</t>
  </si>
  <si>
    <t>שפיצר, יעקב מאיר</t>
  </si>
  <si>
    <t>ציונים ותמרורים</t>
  </si>
  <si>
    <t>רפאלוביץ, ישעיהו בן משה</t>
  </si>
  <si>
    <t>ציונים יקרים</t>
  </si>
  <si>
    <t>לקוטים ליומא דהילולא של הרה"ק ר' אלימלך מליזענסק</t>
  </si>
  <si>
    <t>ציונים לדברי הקבלה</t>
  </si>
  <si>
    <t>קורנפלד, אהרן בן מרדכי בר</t>
  </si>
  <si>
    <t>תרכ"ה.</t>
  </si>
  <si>
    <t>ציונים לענינים באמונה ויסודות הדת</t>
  </si>
  <si>
    <t>פריד, ירחמיאל דוד</t>
  </si>
  <si>
    <t>ציונים לש"ס - 3 כר'</t>
  </si>
  <si>
    <t>ציונים לתורה</t>
  </si>
  <si>
    <t>ראטנר, יחזקאל בן יצחק</t>
  </si>
  <si>
    <t>צילא דהימנותא</t>
  </si>
  <si>
    <t>צילותא דאברהם</t>
  </si>
  <si>
    <t>מרגליות, משה אברהם אבוש בן צבי הירש</t>
  </si>
  <si>
    <t>תקפ"א ותקע"א הוא ט"ס</t>
  </si>
  <si>
    <t>צילותא דשמעתתא - בבא מציעא</t>
  </si>
  <si>
    <t>ישיבת חסידי בעלזא - ראשון לציון</t>
  </si>
  <si>
    <t>צילותא דשמעתתא - 2 כר'</t>
  </si>
  <si>
    <t>כולל בית התלמוד</t>
  </si>
  <si>
    <t>צילותא דשמעתתא</t>
  </si>
  <si>
    <t>קנטרוביץ, יעקב בן זאב חיים</t>
  </si>
  <si>
    <t>צילותא דשמעתתא - ב"ב</t>
  </si>
  <si>
    <t>רכניצר, מאיר דוב</t>
  </si>
  <si>
    <t>צינה דוד</t>
  </si>
  <si>
    <t>ציפורי</t>
  </si>
  <si>
    <t>נאמן, יהודה</t>
  </si>
  <si>
    <t>ציפית לישועה</t>
  </si>
  <si>
    <t>ציץ אליעזר - 24 כר'</t>
  </si>
  <si>
    <t>ציץ הקדש - 4 כר'</t>
  </si>
  <si>
    <t>ציץ השדה - 6 כר'</t>
  </si>
  <si>
    <t>ציץ ופרח</t>
  </si>
  <si>
    <t>ציץ קודש לה'</t>
  </si>
  <si>
    <t>ציץ שלמה</t>
  </si>
  <si>
    <t>מונק, אליהו בן מאיר הכהן</t>
  </si>
  <si>
    <t>ציצים ופרחים &lt;מהדורה חדשה&gt; - 2 כר'</t>
  </si>
  <si>
    <t>ציצים ופרחים - 2 כר'</t>
  </si>
  <si>
    <t>גולדשטיין, בנימין</t>
  </si>
  <si>
    <t>ציצים ופרחים</t>
  </si>
  <si>
    <t>יעקב בן יוסף חיים</t>
  </si>
  <si>
    <t>ציצים ופרחים - יבמות</t>
  </si>
  <si>
    <t>שוירץ, שמואל</t>
  </si>
  <si>
    <t>שלזינגר, עקיבא יוסף</t>
  </si>
  <si>
    <t>ציצית הכנף</t>
  </si>
  <si>
    <t>ציצית הכסת - חבש פאר</t>
  </si>
  <si>
    <t>ציצית המצוה והאגדה</t>
  </si>
  <si>
    <t>ציצת נובל צבי</t>
  </si>
  <si>
    <t>ציר נאמן</t>
  </si>
  <si>
    <t>זיסנוויין, יהושע זאב בן ישראל יצחק</t>
  </si>
  <si>
    <t>צירופי האותיות</t>
  </si>
  <si>
    <t>צל ההרים - א</t>
  </si>
  <si>
    <t>יצחק, הרצל הלל</t>
  </si>
  <si>
    <t>צל החכמה</t>
  </si>
  <si>
    <t>האפטקה, אלכסנדר זוסמאן בן יונה</t>
  </si>
  <si>
    <t>צל הכסף &lt;מהדורה חדשה&gt; - 2 כר'</t>
  </si>
  <si>
    <t>צל הכסף - 2 כר'</t>
  </si>
  <si>
    <t>גאטינייו, אברהם בן בנבנישתי (השני)</t>
  </si>
  <si>
    <t>צל הכסף</t>
  </si>
  <si>
    <t>צל המעלות - 2 כר'</t>
  </si>
  <si>
    <t>צל המעלות</t>
  </si>
  <si>
    <t>וולפסון, אברהם</t>
  </si>
  <si>
    <t>צל העדה - 2 כר'</t>
  </si>
  <si>
    <t>צל העולם - 5 כר'</t>
  </si>
  <si>
    <t>דלאקרוט, מתתיהו בן שלמה</t>
  </si>
  <si>
    <t>צל"ח החדש</t>
  </si>
  <si>
    <t>שטיעגליטץ, אלטר - שטיגליץ, דוד</t>
  </si>
  <si>
    <t>צל"ח השלם החדש - 4 כר'</t>
  </si>
  <si>
    <t>צל"ח - 4 כר'</t>
  </si>
  <si>
    <t>צלא דמהימנותא &lt;משנה הלכות&gt;</t>
  </si>
  <si>
    <t>צלותא דאברהם</t>
  </si>
  <si>
    <t>צלותא דאברהם - 2 כר'</t>
  </si>
  <si>
    <t>קליינפלאץ, אברהם בן צבי הירש</t>
  </si>
  <si>
    <t>צלותא דמעלי שבתא</t>
  </si>
  <si>
    <t>אפל, שלמה הלוי</t>
  </si>
  <si>
    <t>ברומברג, ישראל משה בן יהודה</t>
  </si>
  <si>
    <t>צלח רכב</t>
  </si>
  <si>
    <t>צליל שעורים</t>
  </si>
  <si>
    <t>צלילי המקרא - ב</t>
  </si>
  <si>
    <t>תשט"ו - תשל"א</t>
  </si>
  <si>
    <t>צלעות הארון - 2 כר'</t>
  </si>
  <si>
    <t>ליבוביץ, משה</t>
  </si>
  <si>
    <t>צלצל כנפים</t>
  </si>
  <si>
    <t>הירשזון, יצחק יהודה בן משה</t>
  </si>
  <si>
    <t>צלצלי שמע</t>
  </si>
  <si>
    <t>שטרית, שמעון בן יחיאל</t>
  </si>
  <si>
    <t>צמ"ח שלמה</t>
  </si>
  <si>
    <t>צמא למים - מקואות</t>
  </si>
  <si>
    <t>וינברג, צבי אלימלך</t>
  </si>
  <si>
    <t>צמאה נפשי</t>
  </si>
  <si>
    <t>צמח אר"ז</t>
  </si>
  <si>
    <t>הלכה ומנהג, מועדי ישראל, משנה, שלחן ערוך ומפרשיו, תלמוד בבלי, תלמוד בבלי, תלמוד ירושלמי, תלמוד ירושלמי</t>
  </si>
  <si>
    <t>צמח דוד &lt;מהדורה חדשה&gt;</t>
  </si>
  <si>
    <t>האגר, דוד בן מנחם מנדל</t>
  </si>
  <si>
    <t>צמח דוד על התורה</t>
  </si>
  <si>
    <t>דוד בן צבי אלימלך מדינוב</t>
  </si>
  <si>
    <t>צמח דוד - 7 כר'</t>
  </si>
  <si>
    <t>צמח דוד</t>
  </si>
  <si>
    <t>דוד בן יצחק מן התפוחים</t>
  </si>
  <si>
    <t>צרנוביץ'</t>
  </si>
  <si>
    <t>צמח דוד - 2 כר'</t>
  </si>
  <si>
    <t>תקמ"ה - תקע"א</t>
  </si>
  <si>
    <t>נג'אר, דוד</t>
  </si>
  <si>
    <t>קאפלין, שמעון ירחמיאל בן כתריאל דוד</t>
  </si>
  <si>
    <t>צמח דוד - חמש מגילות</t>
  </si>
  <si>
    <t>שבילי, דוד</t>
  </si>
  <si>
    <t>שפירא, דוד בן צבי אלימלך</t>
  </si>
  <si>
    <t>צמח ה' לצבי - 2 כר'</t>
  </si>
  <si>
    <t>פיליב, צבי הירש בן אהרן</t>
  </si>
  <si>
    <t>צמח ה' לצבי - 4 כר'</t>
  </si>
  <si>
    <t>צמח הצבי</t>
  </si>
  <si>
    <t>סג"ל, צבי יחיאל מיכל</t>
  </si>
  <si>
    <t>צמח השדה</t>
  </si>
  <si>
    <t>פריידר, נתן בן מאיר</t>
  </si>
  <si>
    <t>צמח יהודה - 5 כר'</t>
  </si>
  <si>
    <t>צמח לאברהם - 2 כר'</t>
  </si>
  <si>
    <t>צמח מנחם</t>
  </si>
  <si>
    <t>אייזנשטאט, מנחם מנדל בן נח חיים</t>
  </si>
  <si>
    <t>צמח צדיק &lt;מהדורה חדשה&gt;</t>
  </si>
  <si>
    <t>צמח צדיק</t>
  </si>
  <si>
    <t>צמח צדיק - 3 כר'</t>
  </si>
  <si>
    <t>צמח צדיק - 2 כר'</t>
  </si>
  <si>
    <t>צמח צדק &lt;מהדורה חדשה&gt;</t>
  </si>
  <si>
    <t>צמח צדק - 5 כר'</t>
  </si>
  <si>
    <t>צמח צדקה - 2 כר'</t>
  </si>
  <si>
    <t>מנחם מענדל בן דוד איסרל מניקשלבורג</t>
  </si>
  <si>
    <t>דרושים, משנה, נושאים שונים, תלמוד בבלי, תלמוד בבלי, תנ"ך</t>
  </si>
  <si>
    <t>צמחי הגן לרפואה</t>
  </si>
  <si>
    <t>מלמד, עובדיה בן שלום</t>
  </si>
  <si>
    <t>צמחי המקרא</t>
  </si>
  <si>
    <t>צמידי הזהב - סיפורים מחיי ר' חי טייב ור' ישועה בסיס</t>
  </si>
  <si>
    <t>צמיחה בארץ הצבי</t>
  </si>
  <si>
    <t>שנוולד, חיים אליעזר</t>
  </si>
  <si>
    <t>צמיחת גאולתנו</t>
  </si>
  <si>
    <t>לויטס, חיים מנחם</t>
  </si>
  <si>
    <t>צמיחת הציונות ודעיכתה</t>
  </si>
  <si>
    <t>צנא מלא ספרא</t>
  </si>
  <si>
    <t>צנוע ומעלי - אוצר פסקי יחוד</t>
  </si>
  <si>
    <t>צניעות בת ישראל</t>
  </si>
  <si>
    <t>צניעות וגדולה</t>
  </si>
  <si>
    <t>לויטין, ד.</t>
  </si>
  <si>
    <t>צניף מלוכה</t>
  </si>
  <si>
    <t>צניף מלוכה - לא ילבש, כתובת קעקע, שריטה וקרחה</t>
  </si>
  <si>
    <t>שרעבי, צפניה בן זכריה</t>
  </si>
  <si>
    <t>צנצנת המן</t>
  </si>
  <si>
    <t>אונא, מנחם מאן בן אליעזר פייבוש</t>
  </si>
  <si>
    <t>צנצנת המן - 4 כר'</t>
  </si>
  <si>
    <t>נטף, מאיר ינון בן חיים</t>
  </si>
  <si>
    <t>נקי, מאיר בן מיכאל</t>
  </si>
  <si>
    <t>צנצנת המן - רבית, מוקצה</t>
  </si>
  <si>
    <t>רוטנברג, מאיר נחום בן משה</t>
  </si>
  <si>
    <t>צנצנת המן - ריבית</t>
  </si>
  <si>
    <t>רוטנברג, מאיר נחם בן משה</t>
  </si>
  <si>
    <t>צנצנת המן - 2 כר'</t>
  </si>
  <si>
    <t>שטיינמאן, אליעזר בן נתן</t>
  </si>
  <si>
    <t>צנצנת מנחם</t>
  </si>
  <si>
    <t>מנחם מנדל בן צבי הירש מוונגרוב</t>
  </si>
  <si>
    <t>נושאים שונים, שאלות ותשובות, שאר ספרי חז"ל, תלמוד בבלי</t>
  </si>
  <si>
    <t>צנצנת שי - א</t>
  </si>
  <si>
    <t>המר, משה יעקב בן אהרן ישעיהו</t>
  </si>
  <si>
    <t>צנתרות הזהב</t>
  </si>
  <si>
    <t>צנתרות הזהב - 3 כר'</t>
  </si>
  <si>
    <t>צנתרי דדהבא</t>
  </si>
  <si>
    <t>צעטיל קטן עם פירוש מעדני מלך</t>
  </si>
  <si>
    <t>ווייסבלום, אלימלך בן אליעזר ליפמאן - ווינגרטן, יצחק</t>
  </si>
  <si>
    <t>צעיר רדם</t>
  </si>
  <si>
    <t>מזרחי, רפאל דוד</t>
  </si>
  <si>
    <t>משתה, דוד בן יחזקאל</t>
  </si>
  <si>
    <t>צעקת בני ישראל - 2 כר'</t>
  </si>
  <si>
    <t>דרושים, קבלה, תפלות בקשות פיוטים ושירה, תפלות בקשות פיוטים ושירה</t>
  </si>
  <si>
    <t>צעקת תינוק</t>
  </si>
  <si>
    <t>צער בעלי חיים בהלכה ובאגדה</t>
  </si>
  <si>
    <t>אשכולי, יצחק נחמן בן אברהם</t>
  </si>
  <si>
    <t>צפון - לשון של זהורית</t>
  </si>
  <si>
    <t>צפונות במסורת ישראל</t>
  </si>
  <si>
    <t>וכסלר, טוביה</t>
  </si>
  <si>
    <t>צפונות בתורה - 2 כר'</t>
  </si>
  <si>
    <t>יניב, שמואל</t>
  </si>
  <si>
    <t>צפונות הרוגצ'ובי</t>
  </si>
  <si>
    <t>גרוסברג, משה</t>
  </si>
  <si>
    <t>צפונות רש"י</t>
  </si>
  <si>
    <t>ברים, ראובן</t>
  </si>
  <si>
    <t>צפונות - א</t>
  </si>
  <si>
    <t>צפונות - 19 כר'</t>
  </si>
  <si>
    <t>צפוני דודי - 2 כר'</t>
  </si>
  <si>
    <t>פכטהלט, בצלאל בן מאיר</t>
  </si>
  <si>
    <t>צפוני דעה - איזהו נשך</t>
  </si>
  <si>
    <t>כהן, צבי פסח בן דוד</t>
  </si>
  <si>
    <t>צפוני סוכה</t>
  </si>
  <si>
    <t>צפוני ציוני</t>
  </si>
  <si>
    <t>צפורי שמואל - מסכת קינים</t>
  </si>
  <si>
    <t>צפורן שמי"ר</t>
  </si>
  <si>
    <t>צפורן שמיר</t>
  </si>
  <si>
    <t>צפיה - ג</t>
  </si>
  <si>
    <t>צפיחת בדבש</t>
  </si>
  <si>
    <t>פונטרימולי, חייא בן בנימין</t>
  </si>
  <si>
    <t>צפירת חן</t>
  </si>
  <si>
    <t>צפירת צדק</t>
  </si>
  <si>
    <t>צפירת תפארה</t>
  </si>
  <si>
    <t>צפית לישועה - 2 כר'</t>
  </si>
  <si>
    <t>צפנת אליהו - ביאור הגר"א להלכות נזקי ממון</t>
  </si>
  <si>
    <t>אליהו בן  שלמה זלמן (הגר"א) - כרמל, יוסף גרשון</t>
  </si>
  <si>
    <t>צפנת פענח &lt;מהדורה חדשה&gt; - 5 כר'</t>
  </si>
  <si>
    <t>צפנת פענח &lt;דפו"ר&gt;</t>
  </si>
  <si>
    <t>צפנת פענח &lt;מהדורה חדשה&gt; - 2 כר'</t>
  </si>
  <si>
    <t>צפנת פענח &lt;העמק העיון&gt; - 2 כר'</t>
  </si>
  <si>
    <t>רוזין, יוסף בן אפרים פישל - גרוסברג, משה</t>
  </si>
  <si>
    <t>צפנת פענח &lt;כללי התורה והמצוות&gt; - 2 כר'</t>
  </si>
  <si>
    <t>צפנת פענח &lt;כללי התורה והמצוות&gt; ג</t>
  </si>
  <si>
    <t>צפנת פענח &lt;על הרמב"ם&gt; - 10 כר'</t>
  </si>
  <si>
    <t>צפנת פענח &lt;על הש"ס&gt; - 6 כר'</t>
  </si>
  <si>
    <t>צפנת פענח &lt;שו"ת החדשות&gt; - 3 כר'</t>
  </si>
  <si>
    <t>צפנת פענח &lt;שו"ת&gt; - 4 כר'</t>
  </si>
  <si>
    <t>צפנת פענח המבואר - 3 כר'</t>
  </si>
  <si>
    <t>רוזין, יוסף בן אפרים פישל - אטלס, אברהם</t>
  </si>
  <si>
    <t>צפנת פענח חדש &lt;מהדורה חדשה&gt;</t>
  </si>
  <si>
    <t>צפנת פענח חדש - 2 כר'</t>
  </si>
  <si>
    <t>צפנת פענח על התורה - 5 כר'</t>
  </si>
  <si>
    <t>תש"כ - תשכ"ה</t>
  </si>
  <si>
    <t>צפנת פענח</t>
  </si>
  <si>
    <t>אלאשקר, יוסף בן משה</t>
  </si>
  <si>
    <t>גוטמאכר, אליהו בן שלמה</t>
  </si>
  <si>
    <t>צפנת פענח - באור פניך</t>
  </si>
  <si>
    <t>צפנת פענח - 2 כר'</t>
  </si>
  <si>
    <t>טוב-עלם, יוסף בן אליעזר</t>
  </si>
  <si>
    <t>צפנת פענח - 3 כר'</t>
  </si>
  <si>
    <t>לוזיטאנו, שמואל הכהן די פיזא</t>
  </si>
  <si>
    <t>שליפירז, יוסף בן מנחם מנדל</t>
  </si>
  <si>
    <t>צרופה אמרתך</t>
  </si>
  <si>
    <t>צרופה אמרתך - 4 כר'</t>
  </si>
  <si>
    <t>רוזנברג, נחום מאיר בן שריאל</t>
  </si>
  <si>
    <t>צרור בושם</t>
  </si>
  <si>
    <t>צרור הבשם - ט</t>
  </si>
  <si>
    <t>צרור החיים המבואר</t>
  </si>
  <si>
    <t>קליין, שמואל שמלקה בן יוסף</t>
  </si>
  <si>
    <t>דרושים, חסידות, מועדי ישראל, משנה, נושאים שונים, תולדות עם ישראל, תולדות עם ישראל, תלמוד בבלי, תנ"ך, תפלות בקשות פיוטים ושירה</t>
  </si>
  <si>
    <t>צרור החיים השלם - 2 כר'</t>
  </si>
  <si>
    <t>קליין, שמואל שמעלקא</t>
  </si>
  <si>
    <t>צרור החיים</t>
  </si>
  <si>
    <t>צרור החיים - 2 כר'</t>
  </si>
  <si>
    <t>חיים בן שמואל בן דוד, מטודילה</t>
  </si>
  <si>
    <t>צרור החיים - 4 כר'</t>
  </si>
  <si>
    <t>חיים חייקא בן אהרן מזאמושץ</t>
  </si>
  <si>
    <t>לוונשטאם, אברהם בן אריה ליב</t>
  </si>
  <si>
    <t>חסידות, תלמוד בבלי, תלמוד בבלי</t>
  </si>
  <si>
    <t>קצבי, חיים בן יהודה</t>
  </si>
  <si>
    <t>צרור הכסף</t>
  </si>
  <si>
    <t>בן דוד, חיים בן שמואל</t>
  </si>
  <si>
    <t>צרור המור - 2 כר'</t>
  </si>
  <si>
    <t>צרור המור</t>
  </si>
  <si>
    <t>רוטלוי, צבי בן בנימין אלכסנדר</t>
  </si>
  <si>
    <t>צרור המר</t>
  </si>
  <si>
    <t>צרור חיבורי קדמונים על ספר איוב</t>
  </si>
  <si>
    <t>חיבורים על ספר איוב</t>
  </si>
  <si>
    <t>צרור ידיעות (בטאון הרב)</t>
  </si>
  <si>
    <t>בטאון לרבנים המשמשים בקדש</t>
  </si>
  <si>
    <t>צרור ספורים</t>
  </si>
  <si>
    <t>[קאבאלקין, ראובן חיים]</t>
  </si>
  <si>
    <t>צרור פרחים (ר' יחיאל מיכל פינס)</t>
  </si>
  <si>
    <t>צרור פרחים (ר' יחיאל צבי צימירינסקי)</t>
  </si>
  <si>
    <t>צרור פרחים (ר' יעקב גולדמן)</t>
  </si>
  <si>
    <t>צרורה לאלעזר</t>
  </si>
  <si>
    <t>צרי היגון - 2 כר'</t>
  </si>
  <si>
    <t>צרי לנפש יפה</t>
  </si>
  <si>
    <t>צרי לנפש</t>
  </si>
  <si>
    <t>וידר, אברהם</t>
  </si>
  <si>
    <t>צרכי חופה ומילה</t>
  </si>
  <si>
    <t>בגדאדBaghdad</t>
  </si>
  <si>
    <t>ק"ן טעמים - פרפראות בטעם פזר</t>
  </si>
  <si>
    <t>שטרנפלד, נחמן בן פסח אשר</t>
  </si>
  <si>
    <t>קאנון אל נסא</t>
  </si>
  <si>
    <t>קב בשמים</t>
  </si>
  <si>
    <t>קב הישר &lt;אידיש, עם הוספות&gt; - 3 כר'</t>
  </si>
  <si>
    <t>קוידאנובר, צבי הירש בן אהרן שמואל (ותוספות) - א</t>
  </si>
  <si>
    <t>קב הישר &lt;מכון הכתב&gt;</t>
  </si>
  <si>
    <t>קוידאנובר, צבי הירש בן אהרן שמואל</t>
  </si>
  <si>
    <t>קב הישר</t>
  </si>
  <si>
    <t>בוכריץ, קניאל</t>
  </si>
  <si>
    <t>קב הישר - 5 כר'</t>
  </si>
  <si>
    <t>תס"ה-תס"ו</t>
  </si>
  <si>
    <t>קב ונקי ולשד השמן - 2 כר'</t>
  </si>
  <si>
    <t>לייפניק, צבי בן יצחק</t>
  </si>
  <si>
    <t>קב ונקי</t>
  </si>
  <si>
    <t>קב ונקי - 2 כר'</t>
  </si>
  <si>
    <t>כהנא (גרושקא), צבי</t>
  </si>
  <si>
    <t>מוסקוביץ, יחיאל מיכל בן משה</t>
  </si>
  <si>
    <t>קב זהב</t>
  </si>
  <si>
    <t>קב זמירות</t>
  </si>
  <si>
    <t>קב חיים</t>
  </si>
  <si>
    <t>ארנרייך, חיים צבי בן יעקב</t>
  </si>
  <si>
    <t>קב חן</t>
  </si>
  <si>
    <t>נח בן שמואל מקורוב</t>
  </si>
  <si>
    <t>קב נקי - 2 כר'</t>
  </si>
  <si>
    <t>קב צבי - 5 כר'</t>
  </si>
  <si>
    <t>ווייס, צבי</t>
  </si>
  <si>
    <t>קב שלו</t>
  </si>
  <si>
    <t>קב תמרים</t>
  </si>
  <si>
    <t>קבא דקשייתא &lt;קבא דיישובא&gt;</t>
  </si>
  <si>
    <t>קבא דקשייתא בסוגיות בור</t>
  </si>
  <si>
    <t>קובץ - ישיבת תושיה תפרח</t>
  </si>
  <si>
    <t>קבא דקשייתא - 4 כר'</t>
  </si>
  <si>
    <t>קבא דקשיתא עם לוגא דתרוצייא</t>
  </si>
  <si>
    <t>קבא דתירוצא</t>
  </si>
  <si>
    <t>קבוץ חכמים</t>
  </si>
  <si>
    <t>קבוצי אפרים - 2 כר'</t>
  </si>
  <si>
    <t>קבוצי אפרים</t>
  </si>
  <si>
    <t>תרע"ד - תרצ"ב</t>
  </si>
  <si>
    <t>Jassy יסי</t>
  </si>
  <si>
    <t>קבוצי בחורים</t>
  </si>
  <si>
    <t>קבוצת ההשמטות</t>
  </si>
  <si>
    <t>חסרונות הש"ס. תרכ"א</t>
  </si>
  <si>
    <t>תרכ"א אחרי</t>
  </si>
  <si>
    <t>קבוצת יעקב</t>
  </si>
  <si>
    <t>קבוצת כתבי אגדה - 2 כר'</t>
  </si>
  <si>
    <t>קבוצת מכתבים בעניני המחלוקת על ספר המורה</t>
  </si>
  <si>
    <t>האלברשטאם, שלמה זלמן חיים בן יצחק</t>
  </si>
  <si>
    <t>Bamberg במברג</t>
  </si>
  <si>
    <t>קבוצת מפרשי המשנה - 6 כר'</t>
  </si>
  <si>
    <t>קבוצת קונטרסים</t>
  </si>
  <si>
    <t>הירשנסון, יצחק בן יעקב מרדכי</t>
  </si>
  <si>
    <t>[תר"ן,</t>
  </si>
  <si>
    <t>קבוצת תלתלים</t>
  </si>
  <si>
    <t>גליק, יוסף זליג בן שלמה זלמן</t>
  </si>
  <si>
    <t>פיטטסבורג,</t>
  </si>
  <si>
    <t>קבורת רחל</t>
  </si>
  <si>
    <t>שלזינגר, עקיבא</t>
  </si>
  <si>
    <t>קביעת מזוזה כהלכתה</t>
  </si>
  <si>
    <t>ליברמן, משה אפרים - ויינטרויב פנחס</t>
  </si>
  <si>
    <t>קביעת רגע המוות - 2 כר'</t>
  </si>
  <si>
    <t>קבלה למשה מסיני</t>
  </si>
  <si>
    <t>קבלו וקיימו</t>
  </si>
  <si>
    <t>קבלת הגר"א</t>
  </si>
  <si>
    <t>קבלת הגר"א - 2 כר'</t>
  </si>
  <si>
    <t>קבלת הוראות מרן</t>
  </si>
  <si>
    <t>קבלת התורה</t>
  </si>
  <si>
    <t>מרקוביץ, שמואל</t>
  </si>
  <si>
    <t>קבלת עול מלכות שמים - 2 כר'</t>
  </si>
  <si>
    <t>קבלת שבת</t>
  </si>
  <si>
    <t>חיות, מנחם מניש בן יצחק</t>
  </si>
  <si>
    <t>מזא"ה, יצחק חי</t>
  </si>
  <si>
    <t>תפילות. סידור. תרס"ז. פיטרקוב</t>
  </si>
  <si>
    <t>קבלת תורה ומתן תורה</t>
  </si>
  <si>
    <t>קבעת עתים לתורה</t>
  </si>
  <si>
    <t>קבץ זכרון &lt;לר' דוד שלמה קוסובסקי - שחור&gt;</t>
  </si>
  <si>
    <t>קבץ לזכרו של הרב גדליה אונא ז"ל</t>
  </si>
  <si>
    <t>אונא, גדליהו בן יצחק</t>
  </si>
  <si>
    <t>קבצי תדפיסים</t>
  </si>
  <si>
    <t>קבצים מכתב יד קדשו - 2 כר'</t>
  </si>
  <si>
    <t>קבצם כעמיר - תורת זאב - מעשרות</t>
  </si>
  <si>
    <t>קבר אחים</t>
  </si>
  <si>
    <t>קברות צדיקים בישראל</t>
  </si>
  <si>
    <t>קברי אבות</t>
  </si>
  <si>
    <t>קברי צדיקים באשכנז</t>
  </si>
  <si>
    <t>רסקין, שלמה</t>
  </si>
  <si>
    <t>קדוש אלול &lt;מהדורה חדשה&gt;</t>
  </si>
  <si>
    <t>קדוש בציון</t>
  </si>
  <si>
    <t>קדוש השם</t>
  </si>
  <si>
    <t>קדוש וברוך</t>
  </si>
  <si>
    <t>האגר, ברוך בן מנחם מנדל (אודותיו), רוט, נתן אליהו</t>
  </si>
  <si>
    <t>קדוש ונורא שמו</t>
  </si>
  <si>
    <t>גולדוסר, יצחק פינחס בן יהודה</t>
  </si>
  <si>
    <t>קדוש יעקב</t>
  </si>
  <si>
    <t>לונגער, יחזקאל שרגא</t>
  </si>
  <si>
    <t>קדוש ישראל &lt;להגרי"ס&gt; - 2 כר'</t>
  </si>
  <si>
    <t>קדוש ישראל</t>
  </si>
  <si>
    <t>פלדברג, יוסף בן אליעזר</t>
  </si>
  <si>
    <t>קדוש ישראל - 4 כר'</t>
  </si>
  <si>
    <t>קדוש לבנה</t>
  </si>
  <si>
    <t>קדושה און גבוה ביי יידן גזירת ת"ש - תש"ה</t>
  </si>
  <si>
    <t>אפרויקין, ישראל בן רפאל</t>
  </si>
  <si>
    <t>קדושה וברכה &lt;סמיכת חכמים&gt;</t>
  </si>
  <si>
    <t>קדושה ומלכות</t>
  </si>
  <si>
    <t>קדושה ושיר - קדושתאות לשבתות הנחמה</t>
  </si>
  <si>
    <t>קדושי מישקולץ והסביבה</t>
  </si>
  <si>
    <t>קדושים אשר בארץ</t>
  </si>
  <si>
    <t>קדושים תהיו</t>
  </si>
  <si>
    <t>דואק, אודי</t>
  </si>
  <si>
    <t>תרצ"ג לפני</t>
  </si>
  <si>
    <t>קדושים תהיו - 2 כר'</t>
  </si>
  <si>
    <t>זדה, אבנר בן אהרן</t>
  </si>
  <si>
    <t>קדושת אברהם - 2 כר'</t>
  </si>
  <si>
    <t>אורי, זלמן הלוי</t>
  </si>
  <si>
    <t>קדושת אהרן &lt;מהדורה חדשה&gt;</t>
  </si>
  <si>
    <t>פרידמאן, אהרן בן ישראל</t>
  </si>
  <si>
    <t>קדושת אהרן &lt;עם הוספות&gt;</t>
  </si>
  <si>
    <t>קדושת אהרן</t>
  </si>
  <si>
    <t>קדושת בית הכנסת ובית המדרש</t>
  </si>
  <si>
    <t>קדושת בית הכנסת</t>
  </si>
  <si>
    <t>ליטווין, ברוך</t>
  </si>
  <si>
    <t>תשי"ט-תש"ך</t>
  </si>
  <si>
    <t>קדושת בתי כנסיות ובתי מדרשות</t>
  </si>
  <si>
    <t>קדושת דוד - 2 כר'</t>
  </si>
  <si>
    <t>קדושת האדם</t>
  </si>
  <si>
    <t>קדושת הארץ והמועדים</t>
  </si>
  <si>
    <t>קדושת הארץ</t>
  </si>
  <si>
    <t>קדושת הארץ - 2 כר'</t>
  </si>
  <si>
    <t>קדושת הבכור - בכורות</t>
  </si>
  <si>
    <t>קדושת הבנים</t>
  </si>
  <si>
    <t>קדושת הגוף - עבודת הלב - דיני תפילה לנשים</t>
  </si>
  <si>
    <t>קדושת הדיבור - 2 כר'</t>
  </si>
  <si>
    <t>גרובר, יהודה יוסף הלוי</t>
  </si>
  <si>
    <t>קדושת החודש</t>
  </si>
  <si>
    <t>קדושת החיים</t>
  </si>
  <si>
    <t>נשרי, אהרן חיים</t>
  </si>
  <si>
    <t>קדושת היום</t>
  </si>
  <si>
    <t>קדושת הכהונה</t>
  </si>
  <si>
    <t>קדושת הכהנים כהלכתה</t>
  </si>
  <si>
    <t>קדושת המועד</t>
  </si>
  <si>
    <t>גרבוז, שלמה - דרבקין, דוד</t>
  </si>
  <si>
    <t>רוטשילד, יחיאל מיכל בן ישכר</t>
  </si>
  <si>
    <t>קדושת המחנה</t>
  </si>
  <si>
    <t>טורק, מרדכי יצחק בן דוב</t>
  </si>
  <si>
    <t>קדושת המלך - 2 כר'</t>
  </si>
  <si>
    <t>קדושת המקדש וקדושת הארץ</t>
  </si>
  <si>
    <t>שפירא, בן ציון בן אברהם אלקנה הכהן</t>
  </si>
  <si>
    <t>קדושת המקדש</t>
  </si>
  <si>
    <t>קדושת הנישואין - הסכמי קדם נישואין</t>
  </si>
  <si>
    <t>קדושת העינים</t>
  </si>
  <si>
    <t>קדושת הר</t>
  </si>
  <si>
    <t>קדושת השבת - 2 כר'</t>
  </si>
  <si>
    <t>קדושת השבת</t>
  </si>
  <si>
    <t>קדושת השלחן</t>
  </si>
  <si>
    <t>קדושת התורה ודקדוקה - 5 כר'</t>
  </si>
  <si>
    <t>קדושת התלמוד</t>
  </si>
  <si>
    <t>קדושת יום טוב</t>
  </si>
  <si>
    <t>אלגאזי, יום-טוב בן ישראל יעקב</t>
  </si>
  <si>
    <t>הורביץ, ישראל זאב בן שמואל אבד"ק אוהעל</t>
  </si>
  <si>
    <t>היילפרין, יום טוב ליפמאן בן אברהם שמואל</t>
  </si>
  <si>
    <t>קדושת יום טוב - 2 כר'</t>
  </si>
  <si>
    <t>טייטלבוים, חנניה יום טוב ליפא בן יקותיא</t>
  </si>
  <si>
    <t>קדושת יוסף</t>
  </si>
  <si>
    <t>גלרנטר, יוסף בן שמחה</t>
  </si>
  <si>
    <t>קדושת יעקב</t>
  </si>
  <si>
    <t>קדושת יצחק</t>
  </si>
  <si>
    <t>דנצינגר, יהודה משה בן יחיאל יוסף</t>
  </si>
  <si>
    <t>לייפער, לוי יצחק</t>
  </si>
  <si>
    <t>קדושת ירושלים</t>
  </si>
  <si>
    <t>קדושת ישראל</t>
  </si>
  <si>
    <t>טחורש, אלכסנדר סנדר גדליהו בן אברהם יצחק</t>
  </si>
  <si>
    <t>לוי, דניאל שלמה</t>
  </si>
  <si>
    <t>קדושת ישראל - 3 כר'</t>
  </si>
  <si>
    <t>ליכטנשטאט, בנימין וולף בן ישראל אריה ליב</t>
  </si>
  <si>
    <t>תקמ"ט - תקפ"ט</t>
  </si>
  <si>
    <t>קדושת לוי &lt;דפו"ר&gt;</t>
  </si>
  <si>
    <t>קדושת לוי השלם - 3 כר'</t>
  </si>
  <si>
    <t>קדושת לוי על פרקי אבות</t>
  </si>
  <si>
    <t>קדושת לוי - 5 כר'</t>
  </si>
  <si>
    <t>קדושת ליל הסדר</t>
  </si>
  <si>
    <t>טוסיג, אהרן</t>
  </si>
  <si>
    <t>קדושת מורשה</t>
  </si>
  <si>
    <t>קדושת מחנה כהלכתה</t>
  </si>
  <si>
    <t>ליברמן, משה - ויינטרוב, פנחס</t>
  </si>
  <si>
    <t>קדושת מרדכי - 2 כר'</t>
  </si>
  <si>
    <t>בידערמאן, משה מרדכי</t>
  </si>
  <si>
    <t>קדושת משה</t>
  </si>
  <si>
    <t>קדושת נפתלי</t>
  </si>
  <si>
    <t>הורוויץ, נפתלי בן יהודה</t>
  </si>
  <si>
    <t>קדושת ספר תורה</t>
  </si>
  <si>
    <t>קדושת סת"ם - א</t>
  </si>
  <si>
    <t>קובץ בעניני סת"ם</t>
  </si>
  <si>
    <t>קדושת עינים</t>
  </si>
  <si>
    <t>קדושת ציון - 2 כר'</t>
  </si>
  <si>
    <t>אפשטיין, יהודה (עורך)</t>
  </si>
  <si>
    <t>תשע"ה-תשע"ט</t>
  </si>
  <si>
    <t>קדושת שביעית</t>
  </si>
  <si>
    <t>קדושת שביעית - הגיונות ופעולות</t>
  </si>
  <si>
    <t>סמינר למורות בית יעקב</t>
  </si>
  <si>
    <t>קדושת שביעית - 5 כר'</t>
  </si>
  <si>
    <t>קדושת שבת</t>
  </si>
  <si>
    <t>קדושתאות ליום מתן תורה</t>
  </si>
  <si>
    <t>קדושתאותיו של רבי שלמה סולימן אלסנג'ארי למועדי השנה - 2 כר'</t>
  </si>
  <si>
    <t>הכהן, עדן (עורך)</t>
  </si>
  <si>
    <t>קדיש לעלם</t>
  </si>
  <si>
    <t>קדם ישועה</t>
  </si>
  <si>
    <t>ביסמוט, יהושע</t>
  </si>
  <si>
    <t>קדמוניות היהודים - 2 כר'</t>
  </si>
  <si>
    <t>ת"ש - תש"ו</t>
  </si>
  <si>
    <t>קדמוניות הערבים</t>
  </si>
  <si>
    <t>יהודה, אברהם שלום בן בנימין</t>
  </si>
  <si>
    <t>קדמוניות מפנקסאות ישנים</t>
  </si>
  <si>
    <t>קדמוניות</t>
  </si>
  <si>
    <t>קדמונינו</t>
  </si>
  <si>
    <t>קדמות היהודים נגד אפיון - 2 כר'</t>
  </si>
  <si>
    <t>קדמות ספר הזהר (תולדות הרד"ל)</t>
  </si>
  <si>
    <t>קדמות ספר הזהר</t>
  </si>
  <si>
    <t>קדמת אשור</t>
  </si>
  <si>
    <t>קדש הלולים &lt;מהדורה חדשה&gt;</t>
  </si>
  <si>
    <t>קדש הלולים</t>
  </si>
  <si>
    <t>נושאים שונים, תולדות עם ישראל, תלמוד בבלי, תנ"ך</t>
  </si>
  <si>
    <t>קדש הקדשים</t>
  </si>
  <si>
    <t>קדש ישראל</t>
  </si>
  <si>
    <t>קדש לה' - דיני שמות השי"ת</t>
  </si>
  <si>
    <t>רייך, משה אליעזר בן דוד</t>
  </si>
  <si>
    <t>קדש ליי"ו</t>
  </si>
  <si>
    <t>קדש נפתלי</t>
  </si>
  <si>
    <t>שרייבר, נפתלי שמואל בן אהרן משה</t>
  </si>
  <si>
    <t>קדשי דוד</t>
  </si>
  <si>
    <t>קדשי הגבול</t>
  </si>
  <si>
    <t>גרינשפן, נחמן שלמה בן יעקב משה</t>
  </si>
  <si>
    <t>קדשי המזבח - שערי שלמה</t>
  </si>
  <si>
    <t>קליין, מנחם זאב בן יעקב</t>
  </si>
  <si>
    <t>קדשי המקדש</t>
  </si>
  <si>
    <t>קדשי יהושע - 5 כר'</t>
  </si>
  <si>
    <t>קדשי מזבח - זבחים</t>
  </si>
  <si>
    <t>דבש, שלמה בן מיכאל</t>
  </si>
  <si>
    <t>קדשי שעה &lt;מהדו"ת&gt;</t>
  </si>
  <si>
    <t>קדשי שעה</t>
  </si>
  <si>
    <t>יעקובוביץ, משה יהודה בן שלמה</t>
  </si>
  <si>
    <t>קדשי שעה - ויאמר אליהו</t>
  </si>
  <si>
    <t>פישמאן, גרשון חנוך בן משה יהודה ליב - ולדינברג, אליהו</t>
  </si>
  <si>
    <t>קדשים תהיו</t>
  </si>
  <si>
    <t>קהילות ואישים בגליציה</t>
  </si>
  <si>
    <t>קהילות יהודי כורדיסתאן</t>
  </si>
  <si>
    <t>קהילות יעקב</t>
  </si>
  <si>
    <t>קובץ בד"צ קהילות יעקב</t>
  </si>
  <si>
    <t>קהילות ישראל &lt;משנה הלכות&gt;</t>
  </si>
  <si>
    <t>קנייבסקי, יעקב ישראל בן חיים פרץ - קליין, מנשה בן אליעזר זאב</t>
  </si>
  <si>
    <t>קהילות מרדכי</t>
  </si>
  <si>
    <t>קהילת יעקב - א</t>
  </si>
  <si>
    <t>גרינפלד, יעקב יושיע בן דוד יהודה (עורך)</t>
  </si>
  <si>
    <t>זבורוב Zborov</t>
  </si>
  <si>
    <t>קהילת סאלוניקי</t>
  </si>
  <si>
    <t>קלינוב, רינה</t>
  </si>
  <si>
    <t>קהילת צפרו - 5 כר'</t>
  </si>
  <si>
    <t>קהילת קראקוב</t>
  </si>
  <si>
    <t>באומינגר, אריה</t>
  </si>
  <si>
    <t>קהל חסידים החדש</t>
  </si>
  <si>
    <t>קהל חסידים ושבחי בעל שם טוב</t>
  </si>
  <si>
    <t>קהל חסידים</t>
  </si>
  <si>
    <t>וואלדן, אהרן בן ישעיהו נתן</t>
  </si>
  <si>
    <t>קהל יאודה</t>
  </si>
  <si>
    <t>קהל ישראל - אהע"ז</t>
  </si>
  <si>
    <t>ורטהיימר, יחיאל משה</t>
  </si>
  <si>
    <t>קהל צדיקים</t>
  </si>
  <si>
    <t>(פיעטרקוב,</t>
  </si>
  <si>
    <t>קהל קדושים</t>
  </si>
  <si>
    <t>קהלות הקודש - 2 כר'</t>
  </si>
  <si>
    <t>שטרן, דוד הלוי</t>
  </si>
  <si>
    <t>קהלות יהודי ספרד והמזרח בעולם בימינו</t>
  </si>
  <si>
    <t>סיטון, דוד</t>
  </si>
  <si>
    <t>קהלות יעקב &lt;חלקים&gt; - 2 כר'</t>
  </si>
  <si>
    <t>קהלות יעקב - 21 כר'</t>
  </si>
  <si>
    <t>קהלות ישורון &lt;מהדורה חדשה&gt;</t>
  </si>
  <si>
    <t>שוורזנץ, ישראל חרא"ש בן מרדכי</t>
  </si>
  <si>
    <t>קהלות ישורון</t>
  </si>
  <si>
    <t>קהלות ישראל שנחרבו</t>
  </si>
  <si>
    <t>קהלות ישראל</t>
  </si>
  <si>
    <t>שווארץ, אברהם</t>
  </si>
  <si>
    <t>קהלות משה - 4 כר'</t>
  </si>
  <si>
    <t>תנ"ך. תפ"ד. אמשטרדם</t>
  </si>
  <si>
    <t>תפ"ד - תפ"ח</t>
  </si>
  <si>
    <t>קהלות קדש</t>
  </si>
  <si>
    <t>קהלת &lt;עינים לראות - לב לדעת&gt;</t>
  </si>
  <si>
    <t>קהלת &lt;בקש קהלת&gt;</t>
  </si>
  <si>
    <t>קהלת &lt;שמחה שלמה&gt; - 2 כר'</t>
  </si>
  <si>
    <t>יונגרלעווע, שמחה שלמה בן ישראל חיים</t>
  </si>
  <si>
    <t>קהלת &lt;עם פירוש שמחת ישרים&gt;</t>
  </si>
  <si>
    <t>נבר, שמחה שמואל בן פ</t>
  </si>
  <si>
    <t>קהלת &lt;דבר ירושלים&gt;</t>
  </si>
  <si>
    <t>קהלת אמעריקא - ב</t>
  </si>
  <si>
    <t>קהלת אשר</t>
  </si>
  <si>
    <t>לאנדא, אשר זעליג בן יוחנן</t>
  </si>
  <si>
    <t>קהלת בן דוד</t>
  </si>
  <si>
    <t>קהלת ברוך</t>
  </si>
  <si>
    <t>רייז, ברוך</t>
  </si>
  <si>
    <t>תרצ"א - הקד'</t>
  </si>
  <si>
    <t>קהלת דוד האפרתי</t>
  </si>
  <si>
    <t>קהלת דוד</t>
  </si>
  <si>
    <t>אוצאפ, דוד בן אפרים אליעזר</t>
  </si>
  <si>
    <t>מץ, יצחק אייזיק בן אשר</t>
  </si>
  <si>
    <t>קהלת חיים</t>
  </si>
  <si>
    <t>קהלת יעקב &lt;משנת רבי אהרן&gt; - 2 כר'</t>
  </si>
  <si>
    <t>קהלת יעקב &lt;מהדורה חדשה עם ביאור שבחי יעקב&gt; - 3 כר'</t>
  </si>
  <si>
    <t>יולס, יעקב צבי בן נפתלי - הירש, שמאי</t>
  </si>
  <si>
    <t>קהלת יעקב</t>
  </si>
  <si>
    <t>קהלת יעקב - 5 כר'</t>
  </si>
  <si>
    <t>קהלת יעקב - 2 כר'</t>
  </si>
  <si>
    <t>קהלת יעקב - החטא ועונשו</t>
  </si>
  <si>
    <t>קהלת יעקב - 3 כר'</t>
  </si>
  <si>
    <t>חסידות, מועדי ישראל, נושאים שונים, נושאים שונים, קבלה, תולדות עם ישראל, תפלות בקשות פיוטים ושירה</t>
  </si>
  <si>
    <t>יעקב בן שמעון מפינסק</t>
  </si>
  <si>
    <t>שטרוזמאן, יעקב יוסף בן אברהם הלוי</t>
  </si>
  <si>
    <t>קהלת יעקב, מכלל יופי</t>
  </si>
  <si>
    <t>קהלת יעקב. קדש ישראל</t>
  </si>
  <si>
    <t>אבן-ברוך, ברוך בן משה</t>
  </si>
  <si>
    <t>שנ"ח - שנ"ט</t>
  </si>
  <si>
    <t>קהלת יצחק - 3 כר'</t>
  </si>
  <si>
    <t>מרגולין, יצחק צבי בן דוב יהודה</t>
  </si>
  <si>
    <t>פולטובהVilna</t>
  </si>
  <si>
    <t>קהלת יצחק</t>
  </si>
  <si>
    <t>קהלת מנחם</t>
  </si>
  <si>
    <t>קהלת מרדכי - א</t>
  </si>
  <si>
    <t>יולין, מרדכי בן צבי הירש</t>
  </si>
  <si>
    <t>קהלת מרדכי</t>
  </si>
  <si>
    <t>סוסובר, ברוך מרדכי בן בנימין חיים הכהן</t>
  </si>
  <si>
    <t>קהלת משה - 2 כר'</t>
  </si>
  <si>
    <t>קהלת משה - 3 כר'</t>
  </si>
  <si>
    <t>משה בן אברהם הכהן מצ'ודנוב</t>
  </si>
  <si>
    <t>קהלת משה</t>
  </si>
  <si>
    <t>קהלת עם פירוש חמדת ישראל</t>
  </si>
  <si>
    <t>קהלת עם פירוש רבינו סעדיה גאון</t>
  </si>
  <si>
    <t>קהלת עם שבט ראובן ושרח בל' ערבי</t>
  </si>
  <si>
    <t>קהלת עם שמועות וביאורים</t>
  </si>
  <si>
    <t>קהלת ציון  - קהלת</t>
  </si>
  <si>
    <t>קהלת צעהלים וחכמיה</t>
  </si>
  <si>
    <t>קינסטליכער, משה אלכסנדר זושא - שפיצר, שלמה יהודה הכהן</t>
  </si>
  <si>
    <t>קהלת שלמה &lt;מהדורה חדשה&gt;</t>
  </si>
  <si>
    <t>קהלת שלמה &lt;שו"ת&gt;</t>
  </si>
  <si>
    <t>תשובות גאונים</t>
  </si>
  <si>
    <t>קהלת שלמה</t>
  </si>
  <si>
    <t>לונדון, שלמה זלמן בן משה רפאל</t>
  </si>
  <si>
    <t>קהלת שלמה - א</t>
  </si>
  <si>
    <t>קהלת שלמה - 3 כר'</t>
  </si>
  <si>
    <t>קהלת שמואל</t>
  </si>
  <si>
    <t>ריכטר, שמואל בן משה</t>
  </si>
  <si>
    <t>קו התאריך הישראלי - 2 כר'</t>
  </si>
  <si>
    <t>קו התאריך - קו חכמת התורה</t>
  </si>
  <si>
    <t>קו לקו</t>
  </si>
  <si>
    <t>עמאר, משה</t>
  </si>
  <si>
    <t>קו"ח של מקומות</t>
  </si>
  <si>
    <t>מייער, משה פינחס</t>
  </si>
  <si>
    <t>קובל</t>
  </si>
  <si>
    <t>קובץ  בית ישראל - א</t>
  </si>
  <si>
    <t>כולל אברכים אלכסנדר</t>
  </si>
  <si>
    <t>קובץ אאלפך בינה</t>
  </si>
  <si>
    <t>קובץ אבקת רוכל - 5 כר'</t>
  </si>
  <si>
    <t>קובץ אגודים בצרה</t>
  </si>
  <si>
    <t>קובץ אגרא דבי הילולא</t>
  </si>
  <si>
    <t>מכון גנזי בית טשרנוביל</t>
  </si>
  <si>
    <t>קובץ אגרא דשמעתתא</t>
  </si>
  <si>
    <t>קובץ אגרות הגר"מ גיפטר</t>
  </si>
  <si>
    <t>קובץ אגרות קודש</t>
  </si>
  <si>
    <t>קובץ אגרות</t>
  </si>
  <si>
    <t>קובץ אגרת הפורים</t>
  </si>
  <si>
    <t>ישיבת באר התלמוד</t>
  </si>
  <si>
    <t>קובץ אהל דוד</t>
  </si>
  <si>
    <t>מכון בית דוד</t>
  </si>
  <si>
    <t>קובץ אהל חוה</t>
  </si>
  <si>
    <t>בית המדרש ערוך לנר</t>
  </si>
  <si>
    <t>קובץ אהל יוסף</t>
  </si>
  <si>
    <t>חניכי הישיבות קרית הרצוג</t>
  </si>
  <si>
    <t>קובץ אהל יוסף - 3 כר'</t>
  </si>
  <si>
    <t>קובץ כולל בית מאיר</t>
  </si>
  <si>
    <t>קובץ אהל משה - 2 כר'</t>
  </si>
  <si>
    <t>בית המדרש אהל משה</t>
  </si>
  <si>
    <t>קובץ אהל רבקה</t>
  </si>
  <si>
    <t>גרינבוים, אלקנה בן נפתלי נתנאל</t>
  </si>
  <si>
    <t>קובץ אהלה של תורה - שבת, הוצאה</t>
  </si>
  <si>
    <t>קובץ אהלי הוראה - 3 כר'</t>
  </si>
  <si>
    <t>בית הוראה אהלי שרה</t>
  </si>
  <si>
    <t>קובץ אהלי יהושע</t>
  </si>
  <si>
    <t>ישיבת אמרי נעם</t>
  </si>
  <si>
    <t>קובץ אהלי יעקב &lt;עם ילקוט יוסף הל' שבת&gt;</t>
  </si>
  <si>
    <t>קובץ - יוסף, יצחק בן עובדיה</t>
  </si>
  <si>
    <t>קובץ אהלי שם - א</t>
  </si>
  <si>
    <t>כולל חקל תפוחין</t>
  </si>
  <si>
    <t>קובץ אהלי תורה - קידושין</t>
  </si>
  <si>
    <t>ישיבת אהל שמעון</t>
  </si>
  <si>
    <t>קובץ אהלים - 2 כר'</t>
  </si>
  <si>
    <t>בית מדרש אהל יוסף משה</t>
  </si>
  <si>
    <t>קובץ אוצר חיים - מאמרי ימים הנוראים</t>
  </si>
  <si>
    <t>טסלר, חיים ישראל בן יהושע</t>
  </si>
  <si>
    <t>קובץ אוצר יעקב</t>
  </si>
  <si>
    <t>זלצר, יעקב הכהן</t>
  </si>
  <si>
    <t>קובץ אוצרות התורה</t>
  </si>
  <si>
    <t>ישיבת מאה שערים</t>
  </si>
  <si>
    <t>קובץ אור אפרים - בבא מציעא</t>
  </si>
  <si>
    <t>ישיבת תורת משה</t>
  </si>
  <si>
    <t>קובץ אור החיים</t>
  </si>
  <si>
    <t>כולל אור החיים</t>
  </si>
  <si>
    <t>קובץ אור המאיר</t>
  </si>
  <si>
    <t>רשת כוללי אור המאיר</t>
  </si>
  <si>
    <t>קובץ אור הפסגה</t>
  </si>
  <si>
    <t>כולל עטרת ברוך</t>
  </si>
  <si>
    <t>קובץ אור השחר</t>
  </si>
  <si>
    <t>כולל איילת השחר</t>
  </si>
  <si>
    <t>קובץ אור התלמוד - שבת</t>
  </si>
  <si>
    <t>גיטטסד</t>
  </si>
  <si>
    <t>קובץ אור יהודה</t>
  </si>
  <si>
    <t>ברגר, יצחק יהודה</t>
  </si>
  <si>
    <t>קובץ אור יהל - 4 כר'</t>
  </si>
  <si>
    <t>מוסדות לעלוב בני ברק</t>
  </si>
  <si>
    <t>קובץ אור ליהודא - א</t>
  </si>
  <si>
    <t>כולל מנחת יהודא סטיטשין</t>
  </si>
  <si>
    <t>קובץ אור משה - 3 כר'</t>
  </si>
  <si>
    <t>ישיבת אור ראובן</t>
  </si>
  <si>
    <t>קובץ אורה ושמחה</t>
  </si>
  <si>
    <t>קובץ אורות מרדכי</t>
  </si>
  <si>
    <t>סנדרס, יצחק מאיר (עורך)</t>
  </si>
  <si>
    <t>קובץ אורחות יום טוב -חזקת הבתים</t>
  </si>
  <si>
    <t>ישיבת שערי יום טוב</t>
  </si>
  <si>
    <t>קובץ אורי וישעי</t>
  </si>
  <si>
    <t>קובץ אחי"ם בהספידא</t>
  </si>
  <si>
    <t>קנובלוביץ, יצחק מאיר (לזכרו)</t>
  </si>
  <si>
    <t>רדעקיד</t>
  </si>
  <si>
    <t>קובץ אחים לבינה - א - ו</t>
  </si>
  <si>
    <t>קובץ משפחת פראנד</t>
  </si>
  <si>
    <t>קובץ אחרונים על מסכת ביצה מכתב יד</t>
  </si>
  <si>
    <t>קובץ אחרונים</t>
  </si>
  <si>
    <t>קובץ אחרונים על מסכת פרה</t>
  </si>
  <si>
    <t>קובץ איגרות שלמי שמעון</t>
  </si>
  <si>
    <t>קובץ איסתכל באורייתא - 7 כר'</t>
  </si>
  <si>
    <t>קובץ אלון בכות - רש"ש זאהן</t>
  </si>
  <si>
    <t>גינבורוג, בנימין</t>
  </si>
  <si>
    <t>קובץ אליהו</t>
  </si>
  <si>
    <t>שטרנברג, חיים אליהו</t>
  </si>
  <si>
    <t>קובץ אמונים נאספו - תשס"ו</t>
  </si>
  <si>
    <t>חבורת אמונת עיתך</t>
  </si>
  <si>
    <t>קובץ אמרי חן - 2 כר'</t>
  </si>
  <si>
    <t>כולל ישיבת בית התלמוד</t>
  </si>
  <si>
    <t>קובץ אמרי יצחק - 2 כר'</t>
  </si>
  <si>
    <t>גורא, יצחק מאיר</t>
  </si>
  <si>
    <t>קובץ אמרי כהן - 12 כר'</t>
  </si>
  <si>
    <t>קובץ ישיבת כנסת יחזקאל אלעד</t>
  </si>
  <si>
    <t>קובץ אמרי מנחם - ג</t>
  </si>
  <si>
    <t>ישיבה גדולה אמרי מנחם</t>
  </si>
  <si>
    <t>קובץ אמרי עירובין</t>
  </si>
  <si>
    <t>כולל אמרי ברוך</t>
  </si>
  <si>
    <t>קובץ אמרי קודש - 5 כר'</t>
  </si>
  <si>
    <t>רוט, אברהם חיים בן אהרן</t>
  </si>
  <si>
    <t>קובץ אמרי שפר</t>
  </si>
  <si>
    <t>ישיבת אמרי משה</t>
  </si>
  <si>
    <t>קובץ אמת ליעקב - 5 כר'</t>
  </si>
  <si>
    <t>מכון "אהבת שלום"</t>
  </si>
  <si>
    <t>קובץ אסוקי שמעתתא - א</t>
  </si>
  <si>
    <t>קובץ אסוקי שמעתתא - נדה</t>
  </si>
  <si>
    <t>קובץ אפריון ישראל</t>
  </si>
  <si>
    <t>שיש, צבי יהודה בן שמואל הלוי</t>
  </si>
  <si>
    <t>קובץ אש הדעת</t>
  </si>
  <si>
    <t>כולל דעת שמואל</t>
  </si>
  <si>
    <t>קובץ אשירה לה' בחיי</t>
  </si>
  <si>
    <t>מכון אוצרות הספר</t>
  </si>
  <si>
    <t>קובץ אשל אברהם - 3 כר'</t>
  </si>
  <si>
    <t>קובץ ב' שיעורים</t>
  </si>
  <si>
    <t>חייקין, מאיר חיים</t>
  </si>
  <si>
    <t>קובץ באהלי יעקב - 2 כר'</t>
  </si>
  <si>
    <t>קובץ דחסידי סקווירא</t>
  </si>
  <si>
    <t>קובץ באר הדעת</t>
  </si>
  <si>
    <t>קובץ באר יעקב - בבא מציעא</t>
  </si>
  <si>
    <t>ישיבת סקווירא</t>
  </si>
  <si>
    <t>קובץ באר יצחק - 3 כר'</t>
  </si>
  <si>
    <t>מכון באר יצחק סקאליע</t>
  </si>
  <si>
    <t>קובץ באר ישראל</t>
  </si>
  <si>
    <t>ישיבת תפארת ישראל רוזין</t>
  </si>
  <si>
    <t>קובץ באר מים חיים - 2 כר'</t>
  </si>
  <si>
    <t>קובץ בארות - 3 כר'</t>
  </si>
  <si>
    <t>קובץ בוניך</t>
  </si>
  <si>
    <t>חסידי סלאנים</t>
  </si>
  <si>
    <t>קובץ בי מדרשא - בבא בתרא</t>
  </si>
  <si>
    <t>ישיבת ברכת יצחק אור יהודה</t>
  </si>
  <si>
    <t>קובץ ביאורי סוגיות - נדרים</t>
  </si>
  <si>
    <t>ישיבת נחלת יעקב</t>
  </si>
  <si>
    <t>קובץ ביאורים בעניני שנה מעוברת</t>
  </si>
  <si>
    <t>קובץ ביאורים ובירורים במסכת בבא מציעא</t>
  </si>
  <si>
    <t>אזולאי, יעקב עמנואל בן אליהו</t>
  </si>
  <si>
    <t>קובץ ביאורים על הרמב"ם - 5 כר'</t>
  </si>
  <si>
    <t>קובץ ביאורים - 2 כר'</t>
  </si>
  <si>
    <t>אביחצירא, הלל</t>
  </si>
  <si>
    <t>קובץ ביאורים - קובץ שמועות</t>
  </si>
  <si>
    <t>קובץ ביאורים - קידושין</t>
  </si>
  <si>
    <t>סולימני, נתנאל</t>
  </si>
  <si>
    <t>קובץ ביח ישראל - ד</t>
  </si>
  <si>
    <t>ישיבת בית ישראל</t>
  </si>
  <si>
    <t>קובץ ביני עמודי - ב"מ</t>
  </si>
  <si>
    <t>ישיבת כנסת יחזקאל</t>
  </si>
  <si>
    <t>קובץ ביני עמודי - ע"ז</t>
  </si>
  <si>
    <t>כולל בית שלום</t>
  </si>
  <si>
    <t>קובץ ביני עמודי - מרובה</t>
  </si>
  <si>
    <t>שיש, יעקב יוסף דב בן ברוך</t>
  </si>
  <si>
    <t>קובץ בירור הלכה</t>
  </si>
  <si>
    <t>קובץ בירורי סוגיות - 2 כר'</t>
  </si>
  <si>
    <t>ישיבת אמרי מנחם (אלכסנדר)</t>
  </si>
  <si>
    <t>קובץ בירורים וביאורים במסכת ב"מ</t>
  </si>
  <si>
    <t>קובץ בירורים שביבי אש</t>
  </si>
  <si>
    <t>קובץ בית אבי - 2 כר'</t>
  </si>
  <si>
    <t>הברפלד, יצחק אייזיק</t>
  </si>
  <si>
    <t>לזכר רבי יצחק אייזיק הברפלד</t>
  </si>
  <si>
    <t>קובץ בית אריה לייב</t>
  </si>
  <si>
    <t>כולל בית אריה לייב</t>
  </si>
  <si>
    <t>קובץ בית דוד (ב"ב) - שביעית</t>
  </si>
  <si>
    <t>קובץ בית דוד</t>
  </si>
  <si>
    <t>כולל בית דוד</t>
  </si>
  <si>
    <t>מרשילייא</t>
  </si>
  <si>
    <t>קובץ בית ועד לחכמים</t>
  </si>
  <si>
    <t>קובץ בית ועד לחכמים - 11 כר'</t>
  </si>
  <si>
    <t>כוללי תורה ויראה דרב"י סאטמאר</t>
  </si>
  <si>
    <t>קובץ בית יוסף שאול - 4 כר'</t>
  </si>
  <si>
    <t>כולל ישיבת רבינו יצחק אלחנן</t>
  </si>
  <si>
    <t>קובץ בית יוסף - 4 כר'</t>
  </si>
  <si>
    <t>קובץ בית ישראל - א</t>
  </si>
  <si>
    <t>ועד בחורי חסידי אלכסנדר</t>
  </si>
  <si>
    <t>קובץ בית ישראל - 4 כר'</t>
  </si>
  <si>
    <t>ישיבת בית ישראל אלכסנדר</t>
  </si>
  <si>
    <t>תר"פ-</t>
  </si>
  <si>
    <t>קובץ בית ישראל - 2 כר'</t>
  </si>
  <si>
    <t>קובץ מוסדות בית ישראל</t>
  </si>
  <si>
    <t>קובץ בית משה - 4 כר'</t>
  </si>
  <si>
    <t>כולל בית משה</t>
  </si>
  <si>
    <t>קובץ בית סופרים &lt;פרעשבורג&gt; - 2 כר'</t>
  </si>
  <si>
    <t>קובץ בית צדיקים יעמוד</t>
  </si>
  <si>
    <t>בית יוסף צבי דושינסקיא</t>
  </si>
  <si>
    <t>קובץ בית ציון - 3 כר'</t>
  </si>
  <si>
    <t>קובץ משפחת מוצפי</t>
  </si>
  <si>
    <t>קובץ בית שלמה - ערכין</t>
  </si>
  <si>
    <t>כולל קדשים לב אריה - וינשטוק, מאיר יחיאל</t>
  </si>
  <si>
    <t>קובץ בית שלמה - בכורות, תמורה</t>
  </si>
  <si>
    <t>כולל קדשים לב אריה</t>
  </si>
  <si>
    <t>קובץ בית שמואל &lt;שנה ג&gt; - א-ב (ח)</t>
  </si>
  <si>
    <t>קובץ בית שמואל - 2 כר'</t>
  </si>
  <si>
    <t>קובץ בית תלמוד להוראה - 13 כר'</t>
  </si>
  <si>
    <t>כולל בית תלמוד להוראה</t>
  </si>
  <si>
    <t>קובץ בכוריהם הרגת ובכורך גאלת</t>
  </si>
  <si>
    <t>כולל ישיבת בית יצחק</t>
  </si>
  <si>
    <t>קובץ בן משה קבלת התורה</t>
  </si>
  <si>
    <t>קובץ בן עליה</t>
  </si>
  <si>
    <t>שלזינגר, אליעזר</t>
  </si>
  <si>
    <t>קובץ בני בינה - חנוכה</t>
  </si>
  <si>
    <t>קובץ בנין אב - 11 כר'</t>
  </si>
  <si>
    <t>קובץ בנתיבות המשפט - 4 כר'</t>
  </si>
  <si>
    <t>יו"ל ע"י כולל נתיבות המשפט</t>
  </si>
  <si>
    <t>קובץ בענייני בית הכנסת  ובענייני ס"ת</t>
  </si>
  <si>
    <t>בית הכנסת המרכזי רמות</t>
  </si>
  <si>
    <t>קובץ בענייני צניעות</t>
  </si>
  <si>
    <t>קובץ בענייני תפקיד היהדות במיוחד בימינו</t>
  </si>
  <si>
    <t>קובץ בענין שכר ועונש</t>
  </si>
  <si>
    <t>כהן, ישעיה בן אליעזר</t>
  </si>
  <si>
    <t>קובץ בעניני פדיון הבן</t>
  </si>
  <si>
    <t>בוקסבוים, יוסף (עורך)</t>
  </si>
  <si>
    <t>קובץ בקוראי שמו</t>
  </si>
  <si>
    <t>קובץ ברית אברהם - 7 כר'</t>
  </si>
  <si>
    <t>חניכי ישיבת בית אברהם סלונים</t>
  </si>
  <si>
    <t>קובץ ברכת אברהם</t>
  </si>
  <si>
    <t>כולל אברכים ברכת אברהם</t>
  </si>
  <si>
    <t>קובץ ברכת אליהו</t>
  </si>
  <si>
    <t>כולל ברכת רבקה</t>
  </si>
  <si>
    <t>קובץ ברכת האהל</t>
  </si>
  <si>
    <t>כולל אהל יעקב ומרים</t>
  </si>
  <si>
    <t>קובץ ברכת החמה</t>
  </si>
  <si>
    <t>קובץ ברכת השבת</t>
  </si>
  <si>
    <t>רשת הכוללים בית שמואל עוזיאל</t>
  </si>
  <si>
    <t>קובץ בשדה ובכרם</t>
  </si>
  <si>
    <t>משפחת קפלן וגדולי תורה</t>
  </si>
  <si>
    <t>קובץ בשם ה' אקרא - 3 כר'</t>
  </si>
  <si>
    <t>קובץ בתורתו - 2 כר'</t>
  </si>
  <si>
    <t>קובץ גליונות ליקוטי ופסקי הלכות חוקי חיים - 1-101</t>
  </si>
  <si>
    <t>תשע"ז-תשע"ח</t>
  </si>
  <si>
    <t>קובץ גליונות מטה אהרן - 2 כר'</t>
  </si>
  <si>
    <t>מכון משה אהרן - פינסק קארלין</t>
  </si>
  <si>
    <t>קובץ גליונות ממעינות הלוי - תשס"ו</t>
  </si>
  <si>
    <t>קובץ גליונות מרי"ח ניחוח - 7 כר'</t>
  </si>
  <si>
    <t>קובץ גליונות שיח חסידים - תשע"ד</t>
  </si>
  <si>
    <t>גליונות שיח חסידים  - אמשינאוו</t>
  </si>
  <si>
    <t>קובץ גליונות תשועה ברב יועץ</t>
  </si>
  <si>
    <t>קובץ גליונות - 56 כר'</t>
  </si>
  <si>
    <t>קובץ גליוני שערי ציון</t>
  </si>
  <si>
    <t>קובץ גנזי סופרים - א</t>
  </si>
  <si>
    <t>סופר, יוסף משה</t>
  </si>
  <si>
    <t>קובץ דבר אברהם - 4 כר'</t>
  </si>
  <si>
    <t>מכון דבר משה</t>
  </si>
  <si>
    <t>קובץ דברות קודש</t>
  </si>
  <si>
    <t>גולדמן, אברהם בן מרדכי</t>
  </si>
  <si>
    <t>הגר, פנחס דוד בן ישכר דב</t>
  </si>
  <si>
    <t>קובץ דברי הפורים</t>
  </si>
  <si>
    <t>בית מדרש דרכי התורה</t>
  </si>
  <si>
    <t>קובץ דברי השירה - אמישינאוו</t>
  </si>
  <si>
    <t>בית המדרש דחסידי אמשינאוו</t>
  </si>
  <si>
    <t>קובץ דברי חידו"ת - 2 כר'</t>
  </si>
  <si>
    <t>קובץ דברי חפץ</t>
  </si>
  <si>
    <t>בית הכנסת חפץ חיים</t>
  </si>
  <si>
    <t>קובץ דברי יחזקאל</t>
  </si>
  <si>
    <t>סלומון, אברהם יעקב</t>
  </si>
  <si>
    <t>קובץ דברי שיר - 5 כר'</t>
  </si>
  <si>
    <t>קובץ דברי שירה - 2 כר'</t>
  </si>
  <si>
    <t>קובץ דיני החיים</t>
  </si>
  <si>
    <t>זיידמן, חיים ראובן</t>
  </si>
  <si>
    <t>קובץ דינים והלכות</t>
  </si>
  <si>
    <t>מכון בית יחיאל ביאלא</t>
  </si>
  <si>
    <t>קובץ דמשק אליעזר - ב</t>
  </si>
  <si>
    <t>קובץ דקדוקי תורה - 2 כר'</t>
  </si>
  <si>
    <t>הלוי, אריאל בן אבנר</t>
  </si>
  <si>
    <t>קובץ דרושים - 10 כר'</t>
  </si>
  <si>
    <t>קובץ דרושים</t>
  </si>
  <si>
    <t>קובץ דרכי האמוראים - רב, שמואל, רבי יוחנן</t>
  </si>
  <si>
    <t>רפאלי, אורן מנשה</t>
  </si>
  <si>
    <t>קובץ דרכי מבשר - 10 כר'</t>
  </si>
  <si>
    <t>בית מדרש דרכי הוראה לרבנים</t>
  </si>
  <si>
    <t>קובץ דרכי תורה - ב</t>
  </si>
  <si>
    <t>קובץ דרשות רבני מצרים</t>
  </si>
  <si>
    <t>קובץ האילן - 3 כר'</t>
  </si>
  <si>
    <t>כולל יד סופר ערלוי</t>
  </si>
  <si>
    <t>קובץ הדור קבלוה</t>
  </si>
  <si>
    <t>דרמר, צבי פסח</t>
  </si>
  <si>
    <t>קובץ הדרת קדש - 2 כר'</t>
  </si>
  <si>
    <t>קובץ הידיעות</t>
  </si>
  <si>
    <t>קובץ היושבת בגנים - 3 כר'</t>
  </si>
  <si>
    <t>קובץ הירושלמי - 2 כר'</t>
  </si>
  <si>
    <t>קובץ הליכות הוראה - 3 כר'</t>
  </si>
  <si>
    <t>כולל גבוה להוראה הליכות משה</t>
  </si>
  <si>
    <t>קובץ הלכות בדיני העולה לתורה</t>
  </si>
  <si>
    <t>שרייבר, יצחק יהודה</t>
  </si>
  <si>
    <t>קובץ הלכות בין המצרים</t>
  </si>
  <si>
    <t>קובץ הלכות ומאמרים לחג השבועות</t>
  </si>
  <si>
    <t>זקלס, יוסי</t>
  </si>
  <si>
    <t>קובץ הלכות למעונות הקיץ</t>
  </si>
  <si>
    <t>קובץ הלכות לערב פסח שחל בשבת</t>
  </si>
  <si>
    <t>קובץ הלכות מקוואות השלם</t>
  </si>
  <si>
    <t>קובץ הלכות נר חנוכה</t>
  </si>
  <si>
    <t>אדלר, יהושע העשיל בן אהרן</t>
  </si>
  <si>
    <t>קובץ הלכות פסקי רבי שמואל קמנצקי - 8 כר'</t>
  </si>
  <si>
    <t>קמנצקי, שמואל - קליינמן, דניאל אשר בן אברהם צבי הכהן</t>
  </si>
  <si>
    <t>קובץ הלכות רבית ברכת אליהו</t>
  </si>
  <si>
    <t>אייזיק, ברוך אליהו בן שלמה אליעזר</t>
  </si>
  <si>
    <t>קובץ המועדים - 8 כר'</t>
  </si>
  <si>
    <t>קובץ הנהגות - תפילה</t>
  </si>
  <si>
    <t>קובץ הנחמדים מזהב</t>
  </si>
  <si>
    <t>קובץ הספדים ליום ח' בתמוז</t>
  </si>
  <si>
    <t>גרינוולד, נפתלי צבי בן יצחק</t>
  </si>
  <si>
    <t>קובץ הסתדרותי</t>
  </si>
  <si>
    <t>[אגודת ישראל]</t>
  </si>
  <si>
    <t>קובץ העזר - 6 כר'</t>
  </si>
  <si>
    <t>קורקוס, יוסף - סלמני, ניסן</t>
  </si>
  <si>
    <t>קובץ הענינים</t>
  </si>
  <si>
    <t>קובץ הערה יומית - 3 כר'</t>
  </si>
  <si>
    <t>קובץ ישיבת תושיה תפרח</t>
  </si>
  <si>
    <t>קובץ הערות בית הסופר</t>
  </si>
  <si>
    <t>ישיבת מעלה אדומים</t>
  </si>
  <si>
    <t>קובץ הערות וביאורים</t>
  </si>
  <si>
    <t>ישיבת נועם התלמוד</t>
  </si>
  <si>
    <t>קובץ הערות ומראה מקומות - 7 כר'</t>
  </si>
  <si>
    <t>מילצקי, ראובן - זרצקי מנחם</t>
  </si>
  <si>
    <t>קובץ הערות ומראי מקומות - 2 כר'</t>
  </si>
  <si>
    <t>פרישמן, עזריאל</t>
  </si>
  <si>
    <t>קובץ הערות ומראי מקומות - 5 כר'</t>
  </si>
  <si>
    <t>קרליץ, שאול בן שמריהו יוסף נסים</t>
  </si>
  <si>
    <t>קובץ הערות ומראי מקומות - פרק יש נוחלין</t>
  </si>
  <si>
    <t>רייכמן, אברהם</t>
  </si>
  <si>
    <t>קובץ הערות ומראי מקומות - 34 כר'</t>
  </si>
  <si>
    <t>שולמן, גדליה</t>
  </si>
  <si>
    <t>קובץ הערות ממרן הגרי"ש אלישיב על התורה</t>
  </si>
  <si>
    <t>קובץ הערות על מסכת סוכה</t>
  </si>
  <si>
    <t>משולמי, משולם</t>
  </si>
  <si>
    <t>קובץ הערות - ב"ב</t>
  </si>
  <si>
    <t>קובץ העשור</t>
  </si>
  <si>
    <t>קובץ העשרים של קרן אברהם הכהן</t>
  </si>
  <si>
    <t>קובץ העשרים</t>
  </si>
  <si>
    <t>קובץ הפוסקים - 5 כר'</t>
  </si>
  <si>
    <t>קובץ הפוסקים</t>
  </si>
  <si>
    <t>קובץ הראב"ד על ב"מ - 2 כר'</t>
  </si>
  <si>
    <t>קובץ הרימו נס - ב</t>
  </si>
  <si>
    <t>כולל אור תורת שלום</t>
  </si>
  <si>
    <t>קובץ הרמת קול דוד</t>
  </si>
  <si>
    <t>פאטאשניק, דוד - קסטל, אהרן מנחם מענדל</t>
  </si>
  <si>
    <t>קובץ השיעורים החדשים למרן הגר"ש רוזובסקי בעניני נדרים ושבועות</t>
  </si>
  <si>
    <t>קובץ השיעורים - 7 כר'</t>
  </si>
  <si>
    <t>קובץ השמיטה - שנת השבע</t>
  </si>
  <si>
    <t>קובץ השקפתנו</t>
  </si>
  <si>
    <t>השקפתנו</t>
  </si>
  <si>
    <t>קובץ התוספות - 3 כר'</t>
  </si>
  <si>
    <t>קובץ התורה</t>
  </si>
  <si>
    <t>קובץ ברית אמונים</t>
  </si>
  <si>
    <t>קובץ וגילו צדיקים</t>
  </si>
  <si>
    <t>קובץ ודברת בם - 10 כר'</t>
  </si>
  <si>
    <t>ישיבה גדולה ומתיבתא תורה ויראה</t>
  </si>
  <si>
    <t>קובץ ודברת בם</t>
  </si>
  <si>
    <t>קובץ והאר עינינו - 16 כר'</t>
  </si>
  <si>
    <t>קובץ וזרח השמש</t>
  </si>
  <si>
    <t>קובץ ויעמוד פנחס</t>
  </si>
  <si>
    <t>לזכר רבי פנחס הלל ברגמן</t>
  </si>
  <si>
    <t>קובץ ועדים</t>
  </si>
  <si>
    <t>חדש, מאיר בן בן ציון הלוי</t>
  </si>
  <si>
    <t>קובץ זבח תודה</t>
  </si>
  <si>
    <t>כולל תפארת הלויים</t>
  </si>
  <si>
    <t>קובץ זכור לאברהם - 8 כר'</t>
  </si>
  <si>
    <t>כולל זכור לאברהם</t>
  </si>
  <si>
    <t>קובץ זכר דוד</t>
  </si>
  <si>
    <t>קובץ זכר יוסף יצחק</t>
  </si>
  <si>
    <t>כולל בית יוסף יצחק</t>
  </si>
  <si>
    <t>קובץ זכרון  בהלו נרו</t>
  </si>
  <si>
    <t>קובץ זכרון ישיבת מאור התלמוד</t>
  </si>
  <si>
    <t>קובץ זכרון &lt;לר' נחמן הכהן אדלר&gt;</t>
  </si>
  <si>
    <t>קובץ זכרון &lt;לזכרה של מרת אסתר פינשטיין&gt;</t>
  </si>
  <si>
    <t>קובץ זכרון אברהם שמואל</t>
  </si>
  <si>
    <t>כולל הרבנים מגן אברהם</t>
  </si>
  <si>
    <t>קובץ זכרון אברהם</t>
  </si>
  <si>
    <t>קובץ זכרון אהל לאה</t>
  </si>
  <si>
    <t>לזכר מרת לאה וייס</t>
  </si>
  <si>
    <t>ירושלים בני ברק</t>
  </si>
  <si>
    <t>קובץ זכרון אהרן</t>
  </si>
  <si>
    <t>ישיבת מקור חיים</t>
  </si>
  <si>
    <t>קובץ זכרון אמת ליעקב</t>
  </si>
  <si>
    <t>שטראוס, יעקב הלוי (עליו)</t>
  </si>
  <si>
    <t>קובץ זכרון אש תמיד - א</t>
  </si>
  <si>
    <t>מערכת אש תמיד</t>
  </si>
  <si>
    <t>קובץ זכרון בית שטפינשט</t>
  </si>
  <si>
    <t>ועד חסידי שטפינשט</t>
  </si>
  <si>
    <t>קובץ זכרון ברכת אברהם</t>
  </si>
  <si>
    <t>לזכר רבי אברהם קורפו</t>
  </si>
  <si>
    <t>קובץ זכרון הדסה</t>
  </si>
  <si>
    <t>כולל להוראה שע"י ישיבת אור ראובן</t>
  </si>
  <si>
    <t>קובץ זכרון זכור לאברהם</t>
  </si>
  <si>
    <t>מכון כתב יד וספר</t>
  </si>
  <si>
    <t>קובץ זכרון זכר אהרן</t>
  </si>
  <si>
    <t>כהן, אהרן בן דוד יוסף</t>
  </si>
  <si>
    <t>קובץ זכרון יהודה אהרן - נדה</t>
  </si>
  <si>
    <t>כולל זכרון יהודה אהרן</t>
  </si>
  <si>
    <t>קובץ זכרון יהודה - 2 כר'</t>
  </si>
  <si>
    <t>ועד תלמידי ישיבת דבר תורה</t>
  </si>
  <si>
    <t>קובץ זכרון יהודה</t>
  </si>
  <si>
    <t>כולל זכרון יהודה דזיקוב</t>
  </si>
  <si>
    <t>קובץ זכרון יוסף - ב"מ</t>
  </si>
  <si>
    <t>ישיבת זכרון מיכאל</t>
  </si>
  <si>
    <t>קובץ זכרון יצחק</t>
  </si>
  <si>
    <t>קובץ זכרון ישעיהו</t>
  </si>
  <si>
    <t>שיינברגר, ישעיה זרב בן דוד אורי</t>
  </si>
  <si>
    <t>קובץ זכרון ישראל מאיר</t>
  </si>
  <si>
    <t>קובץ כולל זכרון ישראל מאיר</t>
  </si>
  <si>
    <t>קובץ זכרון לב אבות</t>
  </si>
  <si>
    <t>קובץ זכרון לרב י"א וולף</t>
  </si>
  <si>
    <t>קובץ זכרון לרב ראובן שנקלובסקי</t>
  </si>
  <si>
    <t>קובץ זכרון לרב שמעון כץ</t>
  </si>
  <si>
    <t>קובץ זכרון מבקש השם</t>
  </si>
  <si>
    <t>לזכרו של רבי סעדיה ברזילי</t>
  </si>
  <si>
    <t>קובץ זכרון מקור הברכה</t>
  </si>
  <si>
    <t>לזכר מרת ברכה הרשלר</t>
  </si>
  <si>
    <t>קובץ זכרון מרדכי</t>
  </si>
  <si>
    <t>קובץ זכרון נחלת יעקב</t>
  </si>
  <si>
    <t>לזכר רבי יעקב כ"ץ</t>
  </si>
  <si>
    <t>קובץ זכרון נר לדוד</t>
  </si>
  <si>
    <t>לזכר רבי דוד בייפוס</t>
  </si>
  <si>
    <t>קובץ זכרון עטרת משה</t>
  </si>
  <si>
    <t>שוייצר</t>
  </si>
  <si>
    <t>קובץ זכרון עין יפה</t>
  </si>
  <si>
    <t>קובץ זכרון על אם הדרך</t>
  </si>
  <si>
    <t>לזכרה של הרבנית רבקה גינזוברג</t>
  </si>
  <si>
    <t>קובץ זכרון צבי - ענייני שומרים</t>
  </si>
  <si>
    <t>קובץ כולל זכרון צבי</t>
  </si>
  <si>
    <t>קובץ זכרון ראש פינה</t>
  </si>
  <si>
    <t>קובץ זכרון ש"י</t>
  </si>
  <si>
    <t>בלייך, יעקב שלמה</t>
  </si>
  <si>
    <t>קובץ זכרון שיר</t>
  </si>
  <si>
    <t>ישיבת שער אליעזר</t>
  </si>
  <si>
    <t>קובץ זכרון שמואל</t>
  </si>
  <si>
    <t>קובץ זכרון שמעון - חלה</t>
  </si>
  <si>
    <t>ליבוביץ, יוסף בן חיים שלמה</t>
  </si>
  <si>
    <t>קובץ זכרון שרה באהל</t>
  </si>
  <si>
    <t>קובץ זכרון - אם בישראל</t>
  </si>
  <si>
    <t>לרב י. א. וולף</t>
  </si>
  <si>
    <t>קובץ זמרת חיים - 2 כר'</t>
  </si>
  <si>
    <t>כולל זמרת חיים</t>
  </si>
  <si>
    <t>קובץ זרע ציון - בעניני חנוכה ופורים</t>
  </si>
  <si>
    <t>קובץ זרע שמואל</t>
  </si>
  <si>
    <t>קובץ חבורות חדותא דילי - כתובות</t>
  </si>
  <si>
    <t>משפחת אדרי</t>
  </si>
  <si>
    <t>קובץ חבורות מן הבאר</t>
  </si>
  <si>
    <t>לזכר הבחור יפתח מקיס</t>
  </si>
  <si>
    <t>קובץ חבורות - שביעית</t>
  </si>
  <si>
    <t>אזולאי, אריה בן משה</t>
  </si>
  <si>
    <t>קובץ חבורות - 2 כר'</t>
  </si>
  <si>
    <t>קובץ חבורות - בבא קמא</t>
  </si>
  <si>
    <t>קובץ ישיבת רוממה</t>
  </si>
  <si>
    <t>קובץ חדו"ת ישיבת מרכז התורה</t>
  </si>
  <si>
    <t>ישיבת מרכז התורה</t>
  </si>
  <si>
    <t>קובץ חדו"ת עץ החיים - 7 כר'</t>
  </si>
  <si>
    <t>ישיבת וולוז'ין בבני ברק</t>
  </si>
  <si>
    <t>קובץ חדו"ת שנתחדשו בישיבת תורת אמת דלונדון - 3 כר'</t>
  </si>
  <si>
    <t>ישיבת תורת אמת</t>
  </si>
  <si>
    <t>קובץ חדוותא דשמעתתא - 2 כר'</t>
  </si>
  <si>
    <t>ישיבת מאור עינים</t>
  </si>
  <si>
    <t>קובץ חדושי תורה זכרון יעקב - הל' נדה</t>
  </si>
  <si>
    <t>קובץ כולל יעקב חמויי</t>
  </si>
  <si>
    <t>מתיבתא דחסידי בעלזא</t>
  </si>
  <si>
    <t>קובץ חזון אבי</t>
  </si>
  <si>
    <t>קובץ חזון יחזקאל</t>
  </si>
  <si>
    <t>לזכר ר' יחזקאל חבה</t>
  </si>
  <si>
    <t>קובץ חזון ישעיהו - 2 כר'</t>
  </si>
  <si>
    <t>קובץ חזון עובדיה - 2 כר'</t>
  </si>
  <si>
    <t>יוסף, דוד בן עובדיה (עורך)</t>
  </si>
  <si>
    <t>קובץ חזון עובדיה - כתובות</t>
  </si>
  <si>
    <t>קובץ ישיבת חזון עובדיה</t>
  </si>
  <si>
    <t>קובץ חזון שלמה</t>
  </si>
  <si>
    <t>כולל חזון שלמה</t>
  </si>
  <si>
    <t>קובץ חידו"ת אהל יצחק</t>
  </si>
  <si>
    <t>קובץ חידו"ת אור שרגא</t>
  </si>
  <si>
    <t>קובץ חידו"ת בארות יצחק - סוכה</t>
  </si>
  <si>
    <t>ישיבה גדולה תולדות אהרן</t>
  </si>
  <si>
    <t>קובץ חידו"ת במסכת עירובין</t>
  </si>
  <si>
    <t>כולל חניכי ישיבת סלבודקה</t>
  </si>
  <si>
    <t>קובץ חידו"ת בעניני מועד וקדשים</t>
  </si>
  <si>
    <t>שוורץ, נתן נטע</t>
  </si>
  <si>
    <t>קובץ חידו"ת ושמואל בקראי שמו - 3 כר'</t>
  </si>
  <si>
    <t>פרץ, דוד</t>
  </si>
  <si>
    <t>קראקאס</t>
  </si>
  <si>
    <t>קובץ חידו"ת חזון נחום - מסכת ברכות</t>
  </si>
  <si>
    <t>כולל זכרון שמואל</t>
  </si>
  <si>
    <t>קובץ חידו"ת מעיני ברוך - 4 כר'</t>
  </si>
  <si>
    <t>ישיבת יחל ישראל</t>
  </si>
  <si>
    <t>קובץ חידו"ת משכן יצחק</t>
  </si>
  <si>
    <t>קובץ חידו"ת על מסכת קידושין</t>
  </si>
  <si>
    <t>כולל לומדי מפעל הש"ס רחובות</t>
  </si>
  <si>
    <t>קובץ חידו"ת עמ"ס גיטין</t>
  </si>
  <si>
    <t>ישיבת משאת יהושע</t>
  </si>
  <si>
    <t>קובץ חידו"ת ציון לנפש - טהרות זרעים</t>
  </si>
  <si>
    <t>קובץ חידו"ת שערי ברכות אור המאיר</t>
  </si>
  <si>
    <t>כולל אור המאיר</t>
  </si>
  <si>
    <t>קובץ חידו"ת שערי תורה - ב"מ</t>
  </si>
  <si>
    <t>ישיבת שערי תורה</t>
  </si>
  <si>
    <t>קובץ חידו"ת תפארת משה</t>
  </si>
  <si>
    <t>קובץ חידו"ת - 2 כר'</t>
  </si>
  <si>
    <t>ישיבת קול יעקב לצעירים</t>
  </si>
  <si>
    <t>קובץ חידו"ת - משנת שכר שכיר</t>
  </si>
  <si>
    <t>ישיבת שכר שכיר</t>
  </si>
  <si>
    <t>כולל תפארת יעקב יוסף</t>
  </si>
  <si>
    <t>קובץ חידושי הגר"מ גיפטר - פסח, פסחים</t>
  </si>
  <si>
    <t>קובץ חידושי תורה &lt;בית התלמוד&gt; - 6 כר'</t>
  </si>
  <si>
    <t>קובץ חידושי תורה &lt;טשעבין&gt; - 7 כר'</t>
  </si>
  <si>
    <t>קובץ ישיבת כוכב מיעקב טשעבין</t>
  </si>
  <si>
    <t>קובץ חידושי תורה &lt;זכרון יעקב&gt; - 5 כר'</t>
  </si>
  <si>
    <t>קובץ חידושי תורה אמרי א"ש</t>
  </si>
  <si>
    <t>קובץ חידושי תורה אמרי אמת</t>
  </si>
  <si>
    <t>קובץ חידושי תורה בעניני ספר תורה ולימוד תורה</t>
  </si>
  <si>
    <t>קובץ חידושי תורה האור</t>
  </si>
  <si>
    <t>אריה, שלמה ח בן חיים יצחק</t>
  </si>
  <si>
    <t>קובץ חידושי תורה ופרפראות לחכמה - 2 כר'</t>
  </si>
  <si>
    <t>בית המדרש בי"ס הגבוה לטכנולוגיה</t>
  </si>
  <si>
    <t>קובץ חידושי תורה זכר שמשון</t>
  </si>
  <si>
    <t>כולל שערי לימוד</t>
  </si>
  <si>
    <t>קובץ חידושי תורה זכרון שלום</t>
  </si>
  <si>
    <t>קובץ חידושי תורה יהודה יעלה</t>
  </si>
  <si>
    <t>קובץ חידושי תורה לאברכי כוללים - 6 כר'</t>
  </si>
  <si>
    <t>קובץ חידושי תורה מפעל המסכתות - ח</t>
  </si>
  <si>
    <t>חברי מפעל המסכתות</t>
  </si>
  <si>
    <t>קובץ חידושי תורה מפעל המסכתות - 7 כר'</t>
  </si>
  <si>
    <t>ישיבת קרן אורה כרמיאל</t>
  </si>
  <si>
    <t>קובץ חידושי תורה משיבת נפש</t>
  </si>
  <si>
    <t>כולל אברכים להוראה דחסידי סאדיגורה</t>
  </si>
  <si>
    <t>קובץ חידושי תורה משכן שלמה - ו ב הלכות מצרנות</t>
  </si>
  <si>
    <t>כולל משכן שלמה</t>
  </si>
  <si>
    <t>קובץ חידושי תורה מתלמידי ישיבת תפארת ציון</t>
  </si>
  <si>
    <t>ישיבת תפארת ציון</t>
  </si>
  <si>
    <t>קובץ חידושי תורה נועם התלמוד - קידושין</t>
  </si>
  <si>
    <t>קובץ חידושי תורה נחלי דעת</t>
  </si>
  <si>
    <t>בית המדרש נחלי דעת</t>
  </si>
  <si>
    <t>קובץ חידושי תורה עטרת התורה -א</t>
  </si>
  <si>
    <t>ישיבת עטרת התורה</t>
  </si>
  <si>
    <t>קובץ חידושי תורה על שם חכמי פרובינצא - ג</t>
  </si>
  <si>
    <t>בד"צ דק"ק מרשיליא</t>
  </si>
  <si>
    <t>קובץ חידושי תורה פתח תקוה - כתובות</t>
  </si>
  <si>
    <t>כולל פתח תקוה</t>
  </si>
  <si>
    <t>קובץ חידושי תורה תורת נצח - ג</t>
  </si>
  <si>
    <t>ישיבת נצח ישראל</t>
  </si>
  <si>
    <t>קובץ חידושי תורה תלמידי הכתב סופר - כתובות</t>
  </si>
  <si>
    <t>ישיבת תלמידי הכתב סופר</t>
  </si>
  <si>
    <t>אדר"ת, מרדכי (עורך)</t>
  </si>
  <si>
    <t>איגוד תלמידי הישיבות</t>
  </si>
  <si>
    <t>ירושלים. ישיבת ר' ישראל אמריקאנר</t>
  </si>
  <si>
    <t>קובץ חידושי תורה - 2 כר'</t>
  </si>
  <si>
    <t>קובץ חידושי תורה - נדרים</t>
  </si>
  <si>
    <t>ישיבת בוהוש</t>
  </si>
  <si>
    <t>קובץ חידושי תורה - בבא מציעא</t>
  </si>
  <si>
    <t>ישיבת בית אברהם סלונים</t>
  </si>
  <si>
    <t>ישיבת בית אליהו</t>
  </si>
  <si>
    <t>אחיעזר</t>
  </si>
  <si>
    <t>ישיבת מדרש משה</t>
  </si>
  <si>
    <t>קובץ חידושי תורה - ב"ק א</t>
  </si>
  <si>
    <t>ישיבת נחלת התורה</t>
  </si>
  <si>
    <t>ישיבת קול תורה</t>
  </si>
  <si>
    <t>כולל אברכים אנטוורפן</t>
  </si>
  <si>
    <t>קובץ חידושי תורה - מוקצה</t>
  </si>
  <si>
    <t>כולל אמרי יוסף חיי משה</t>
  </si>
  <si>
    <t>קובץ חידושי תורה - 3 כר'</t>
  </si>
  <si>
    <t>כולל זכרון יעקב</t>
  </si>
  <si>
    <t>לודז'. חבורת בני ישיבת מיר</t>
  </si>
  <si>
    <t>סולובייצ'יק, משה הלוי בן חיים - סולוביצ'יק, יוסף דב בן משה הלוי</t>
  </si>
  <si>
    <t>קובץ חידושי תורה - יום טוב, חוה"מ</t>
  </si>
  <si>
    <t>קובץ ישיבה קטנה מאור עינים</t>
  </si>
  <si>
    <t>קובץ חידושי תורה - מכות</t>
  </si>
  <si>
    <t>קובץ ישיבת בית רפאל</t>
  </si>
  <si>
    <t>קובץ חידושי תורה - פ"ג דסוכה</t>
  </si>
  <si>
    <t>קונשטט, אהרן בן אלחנן משה</t>
  </si>
  <si>
    <t>שטרוך, אוריאל בן נחום צבי הכהן</t>
  </si>
  <si>
    <t>קובץ חידושים וביאורים - כלים</t>
  </si>
  <si>
    <t>הבית מדרש טהרות</t>
  </si>
  <si>
    <t>קובץ חידושים והערות בענייני ארבעת המינים</t>
  </si>
  <si>
    <t>רייכמן, רפאל יצחק בן שניאור זלמן</t>
  </si>
  <si>
    <t>קובץ חידושים והערות - זכרון שלמה</t>
  </si>
  <si>
    <t>קובץ - קרלינסקי, שלמה</t>
  </si>
  <si>
    <t>קובץ חידושים יד אלעזר - א</t>
  </si>
  <si>
    <t>ישיבת חיי עולם לונדון</t>
  </si>
  <si>
    <t>קובץ חידושים מתלמידי ישיבות קטנות - ד</t>
  </si>
  <si>
    <t>קובץ חידושים פ"ק דכתובות</t>
  </si>
  <si>
    <t>ירושליפ</t>
  </si>
  <si>
    <t>קובץ חידושים</t>
  </si>
  <si>
    <t>גרשוני, יהודה</t>
  </si>
  <si>
    <t>הורליק, ירמיה בן חנא</t>
  </si>
  <si>
    <t>קובץ חידושים - 2 כר'</t>
  </si>
  <si>
    <t>קובץ חיזוק באר יצחק</t>
  </si>
  <si>
    <t>קובץ חיי משה - נדה ב</t>
  </si>
  <si>
    <t>קובץ חכמה ודעת - 2 כר'</t>
  </si>
  <si>
    <t>קובץ חמדה גנוזה - 2 כר'</t>
  </si>
  <si>
    <t>כולל עטרת ישועה - דז'יקוב</t>
  </si>
  <si>
    <t>קובץ חמדת התפילין</t>
  </si>
  <si>
    <t>קובץ חמדת משה</t>
  </si>
  <si>
    <t>קובץ חנוכת הבית -ב</t>
  </si>
  <si>
    <t>קובץ טהרת המקוה</t>
  </si>
  <si>
    <t>קובץ י"ג אייר - 3 כר'</t>
  </si>
  <si>
    <t>קובץ יאיר נרו</t>
  </si>
  <si>
    <t>קובץ יגדיל תורה ויאדיר - 2 כר'</t>
  </si>
  <si>
    <t>אברכי כולל ורבני השכונות לוד</t>
  </si>
  <si>
    <t>קובץ יגדיל תורה - ג</t>
  </si>
  <si>
    <t>קובץ כולל תפילה למשה</t>
  </si>
  <si>
    <t>קובץ יגעת ומצאת</t>
  </si>
  <si>
    <t>מיכאל, נחמן</t>
  </si>
  <si>
    <t>קובץ יד מרדכי על התפלה</t>
  </si>
  <si>
    <t>תלמידי ישיבת מאור עינים</t>
  </si>
  <si>
    <t>קובץ יד שאול</t>
  </si>
  <si>
    <t>כולל אברכים בית המדרש רוממה</t>
  </si>
  <si>
    <t>קובץ יד שמואל ותמר - שבת</t>
  </si>
  <si>
    <t>כולל יד שמואל ותמר</t>
  </si>
  <si>
    <t>קובץ יד - 2 כר'</t>
  </si>
  <si>
    <t>פישהוף, יוסף דב בן אליעזר</t>
  </si>
  <si>
    <t>קובץ ידידות</t>
  </si>
  <si>
    <t>קובץ יהודה יעלה</t>
  </si>
  <si>
    <t>קובץ יום הביכורים</t>
  </si>
  <si>
    <t>קובץ יזל מים - ג</t>
  </si>
  <si>
    <t>כולל יטב לב סאטמאר</t>
  </si>
  <si>
    <t>קובץ יכהן פאר</t>
  </si>
  <si>
    <t>וקשטיין, נפתלי אהרן - כהנא, ישכר דב</t>
  </si>
  <si>
    <t>קובץ ימי הפורים</t>
  </si>
  <si>
    <t>קובץ ינובון בשיבה</t>
  </si>
  <si>
    <t>קובץ יסודות וחקירות - 4 כר'</t>
  </si>
  <si>
    <t>קובץ יצפנני בסכה</t>
  </si>
  <si>
    <t>ישיבת נחלת הלויים</t>
  </si>
  <si>
    <t>קובץ יקרא דאורייתא</t>
  </si>
  <si>
    <t>ישיבת יקירי ירושלים</t>
  </si>
  <si>
    <t>רשת הכוללים מבצר התורה</t>
  </si>
  <si>
    <t>קובץ ירח למועדים</t>
  </si>
  <si>
    <t>קובץ סוכטשוב</t>
  </si>
  <si>
    <t>קובץ ירחון דגל ישראל - 2 כר'</t>
  </si>
  <si>
    <t>קובץ דגל ישראל</t>
  </si>
  <si>
    <t>קובץ יריעות המשכן</t>
  </si>
  <si>
    <t>כוללי משכן יחזקאל</t>
  </si>
  <si>
    <t>קובץ ישכר באהליך</t>
  </si>
  <si>
    <t>כולל חסידי בעלז לונדון</t>
  </si>
  <si>
    <t>קובץ ישמח האב</t>
  </si>
  <si>
    <t>קובץ ישמח ישראל</t>
  </si>
  <si>
    <t>כולל נר ישראל</t>
  </si>
  <si>
    <t>חמ"ש</t>
  </si>
  <si>
    <t>קובץ כבדוהו באורים</t>
  </si>
  <si>
    <t>קובץ כבוד אם</t>
  </si>
  <si>
    <t>קובץ כבוד חכמים - 2 כר'</t>
  </si>
  <si>
    <t>כולל כבוד חכמים</t>
  </si>
  <si>
    <t>קובץ כבודה של תורה</t>
  </si>
  <si>
    <t>ישיבת אש התורה</t>
  </si>
  <si>
    <t>קובץ כולל גבוה להוראה - עירובין</t>
  </si>
  <si>
    <t>קובץ כולל גבוה להוראה</t>
  </si>
  <si>
    <t>קובץ כיבוד הורים</t>
  </si>
  <si>
    <t>יוניוב, משה חיים בן דרור</t>
  </si>
  <si>
    <t>קובץ כל ספרי ניקור המובהקים - 9 כר'</t>
  </si>
  <si>
    <t>קובץ כללי לדברי התורה - קונטרס ב</t>
  </si>
  <si>
    <t>ווייזר, משה</t>
  </si>
  <si>
    <t>קובץ כנסת בית יצחק</t>
  </si>
  <si>
    <t>ישיבת כנסת בית יצחק</t>
  </si>
  <si>
    <t>קובץ כנסת הגדולה - 3 כר'</t>
  </si>
  <si>
    <t>ישיבת כנסת הגדולה</t>
  </si>
  <si>
    <t>קובץ כנסת הגדולה - בבא קמא א</t>
  </si>
  <si>
    <t>תשס"ו - תשס"ז</t>
  </si>
  <si>
    <t>קובץ כנסת התורה - א</t>
  </si>
  <si>
    <t>קובץ מוסדות אור התורה</t>
  </si>
  <si>
    <t>קובץ כנתינתן מסיני</t>
  </si>
  <si>
    <t>ישיבת כוכב מיעקב</t>
  </si>
  <si>
    <t>קובץ כרוה נדיבים</t>
  </si>
  <si>
    <t>כולל זכרון נחמן דוד</t>
  </si>
  <si>
    <t>קובץ כשרות כהלכה - א</t>
  </si>
  <si>
    <t>רבני כושרות</t>
  </si>
  <si>
    <t>קובץ כתלי בית המדרש - ב"ק ג</t>
  </si>
  <si>
    <t>קובץ כתר תורה</t>
  </si>
  <si>
    <t>קובץ לאור הנר</t>
  </si>
  <si>
    <t>קובץ לב אליהו</t>
  </si>
  <si>
    <t>ישיבת לב אליהו</t>
  </si>
  <si>
    <t>קובץ לב אליהו - ב"מ פ"א</t>
  </si>
  <si>
    <t>קובץ ישיבת לב אליהו</t>
  </si>
  <si>
    <t>קובץ לב אריה - 2 כר'</t>
  </si>
  <si>
    <t>מוסדות אפאלע</t>
  </si>
  <si>
    <t>קובץ לב אריה</t>
  </si>
  <si>
    <t>קובץ לבקר בהיכלו</t>
  </si>
  <si>
    <t>ביהמ"ד משכן אהרן</t>
  </si>
  <si>
    <t>קובץ להבין שמועה - ב"ב א</t>
  </si>
  <si>
    <t>קובץ להודות ולהלל</t>
  </si>
  <si>
    <t>וולפסון, דניאל</t>
  </si>
  <si>
    <t>קובץ להורותם</t>
  </si>
  <si>
    <t>קובץ לוית חן - א</t>
  </si>
  <si>
    <t>כולל לוית חן</t>
  </si>
  <si>
    <t>קובץ לוית חן</t>
  </si>
  <si>
    <t>קובץ לחשוב מחשבות - א</t>
  </si>
  <si>
    <t>קובץ ליובל השבעים וחמש של ת"ת הספרדים</t>
  </si>
  <si>
    <t>ירושלים. תלמוד תורה הספרדים</t>
  </si>
  <si>
    <t>קובץ ליקוטי הערות וחידושים</t>
  </si>
  <si>
    <t>אדלר, יוסף מטורדא</t>
  </si>
  <si>
    <t>קובץ ליקוטים לשבת</t>
  </si>
  <si>
    <t>קאליש, יוסף</t>
  </si>
  <si>
    <t>קובץ ללקוט שושנים</t>
  </si>
  <si>
    <t>פאסייק</t>
  </si>
  <si>
    <t>קובץ למעשה</t>
  </si>
  <si>
    <t>קובץ לקט הלכות - 3 כר'</t>
  </si>
  <si>
    <t>עונג שבת סאדיגורה</t>
  </si>
  <si>
    <t>קובץ לקט הערות בהלכה - 2 כר'</t>
  </si>
  <si>
    <t>כולל בית אריה לייביש</t>
  </si>
  <si>
    <t>קובץ מאור השמש</t>
  </si>
  <si>
    <t>קובץ מאור התורה - 8 כר'</t>
  </si>
  <si>
    <t>כולל אברכים יוצאי סלבודקה</t>
  </si>
  <si>
    <t>קובץ מאור יעקב - שנים אוחזין</t>
  </si>
  <si>
    <t>ישיבת מאור יעקב</t>
  </si>
  <si>
    <t>קובץ מאור יצחק</t>
  </si>
  <si>
    <t>קובץ מאור מיכאל</t>
  </si>
  <si>
    <t>מוסדות מאור מיכאל ושמחה</t>
  </si>
  <si>
    <t>קובץ מאמרי אלול תש"ל ועשיה"ת תשל"א</t>
  </si>
  <si>
    <t>קובץ מאמרי הערכה &lt;לזכר רש"ז שך&gt;</t>
  </si>
  <si>
    <t>שך, שלמה זלמן בן שרגא פייבוש</t>
  </si>
  <si>
    <t>קובץ מאמרי טוביה פרשל</t>
  </si>
  <si>
    <t>פרשל, טוביה</t>
  </si>
  <si>
    <t>קובץ מאמרים באגדה - 2 כר'</t>
  </si>
  <si>
    <t>לורבר, בן ציון</t>
  </si>
  <si>
    <t>קובץ מאמרים בחכמה אמרתי</t>
  </si>
  <si>
    <t>קובץ מאמרים בעניני חשמל בשבת</t>
  </si>
  <si>
    <t>קובץ מאמרים ואגרות - 2 כר'</t>
  </si>
  <si>
    <t>קובץ מאמרים ותדפיסים</t>
  </si>
  <si>
    <t>קובץ מאמרים חזון ישעיה</t>
  </si>
  <si>
    <t>קובץ כולל חזון ישעיה</t>
  </si>
  <si>
    <t>קובץ מאמרים לזכרו של הרב סעדיא שריאן</t>
  </si>
  <si>
    <t>קובץ מאמרים לחניכות בית יעקב</t>
  </si>
  <si>
    <t>קובץ מאמרים פדגוגיים</t>
  </si>
  <si>
    <t>קובץ מאמרים - 3 כר'</t>
  </si>
  <si>
    <t>קובץ מאמרים - ליהודים היתה אורה ושמחה</t>
  </si>
  <si>
    <t>קובץ מבי מדרשא בית יוסף</t>
  </si>
  <si>
    <t>בית מדרש ישיבה לרבנים</t>
  </si>
  <si>
    <t>קובץ מבי מדרשא - 2 כר'</t>
  </si>
  <si>
    <t>קובץ מבי מדרשא</t>
  </si>
  <si>
    <t>תלמידי מתיבתא דברי יציב חיפה</t>
  </si>
  <si>
    <t>קובץ מביני עמודי</t>
  </si>
  <si>
    <t>תפארת מנחם - חסידי בויאן ביתר</t>
  </si>
  <si>
    <t>קובץ מבית חזקיהו</t>
  </si>
  <si>
    <t>קובץ מבקשי תורה - 3 כר'</t>
  </si>
  <si>
    <t>קובץ מגדול ישועות - ב</t>
  </si>
  <si>
    <t>תפארת יעקב יוסף ספינקא</t>
  </si>
  <si>
    <t>קובץ מדרכי דוד - ב</t>
  </si>
  <si>
    <t>כולל מדרכי דוד</t>
  </si>
  <si>
    <t>קובץ מדרכי החיים</t>
  </si>
  <si>
    <t>גלבשטיין, חיים מרדכי</t>
  </si>
  <si>
    <t>קובץ מדרכי המשפט</t>
  </si>
  <si>
    <t>קובץ מדרש דוד - 3 כר'</t>
  </si>
  <si>
    <t>קובץ מדרש רשב"י - 2 כר'</t>
  </si>
  <si>
    <t>משולם, מסעוד (אשר)</t>
  </si>
  <si>
    <t>קובץ מה טובו אהליך יעקב - 6 כר'</t>
  </si>
  <si>
    <t>קובץ מה שאני מבקש</t>
  </si>
  <si>
    <t>חבורת מעלין בקודש ביאלא</t>
  </si>
  <si>
    <t>קובץ מוסר אבות</t>
  </si>
  <si>
    <t>לקט מדברי גדולי תורה לעסוק בלימוד מסכת אבות</t>
  </si>
  <si>
    <t>קובץ מועדי תשרי</t>
  </si>
  <si>
    <t>זיכל, מאיר בן יהודה</t>
  </si>
  <si>
    <t>קובץ מזכרת נצח</t>
  </si>
  <si>
    <t>קובץ מחידושי מרן הרב</t>
  </si>
  <si>
    <t>קובץ מחנה אברהם</t>
  </si>
  <si>
    <t>ישיבת חוג חתם סופר</t>
  </si>
  <si>
    <t>קובץ מחנה קיץ</t>
  </si>
  <si>
    <t>בית ליובאוויטש פאריז</t>
  </si>
  <si>
    <t>קובץ מילי דשמעתתא</t>
  </si>
  <si>
    <t>קאהן, ישראל פנחס</t>
  </si>
  <si>
    <t>קובץ מילין קדישין - תשס"ז</t>
  </si>
  <si>
    <t>טברסקי, דוד מרחמיסטריווקא</t>
  </si>
  <si>
    <t>קובץ מים חיים</t>
  </si>
  <si>
    <t>קובץ מכתבי הרבנים בענין השיער הבא מהודו</t>
  </si>
  <si>
    <t>קובץ מכתבים ותעודות</t>
  </si>
  <si>
    <t>לחמי, אהרן</t>
  </si>
  <si>
    <t>תרח"ץ</t>
  </si>
  <si>
    <t>קובץ מכתבים מאת מרן בעל חזו"א</t>
  </si>
  <si>
    <t>קובץ מכתבים מאת רבותינו גדולי ישראל</t>
  </si>
  <si>
    <t>מערכת לחושבי שמו</t>
  </si>
  <si>
    <t>קובץ מכתבים מגדולי מדינת הגר</t>
  </si>
  <si>
    <t>בית המדרש תורה עץ חיים</t>
  </si>
  <si>
    <t>קובץ מכתבים מקוריים</t>
  </si>
  <si>
    <t>חסידות, חסידות, נושאים שונים, תולדות עם ישראל</t>
  </si>
  <si>
    <t>קובץ מלכות בית דוד -  ז לאורו ניסע ונלך</t>
  </si>
  <si>
    <t>מכון מלכות בית דוד לעלוב</t>
  </si>
  <si>
    <t>קובץ מן הבאר - בבא מציעא</t>
  </si>
  <si>
    <t>ישיבת באר המלך</t>
  </si>
  <si>
    <t>קובץ מנורה בדרום - 5 כר'</t>
  </si>
  <si>
    <t>בני תורה אופקים</t>
  </si>
  <si>
    <t>קובץ מנחם ציון</t>
  </si>
  <si>
    <t>כולל דברי מנחם</t>
  </si>
  <si>
    <t>קובץ מנחת דוד</t>
  </si>
  <si>
    <t>קובץ מנחת הבוקר</t>
  </si>
  <si>
    <t>כולל שומרים לבוקר</t>
  </si>
  <si>
    <t>קובץ מנחת הקיץ - 5 כר'</t>
  </si>
  <si>
    <t>קובץ - יו"ל ע"י חברי לורל לעדז</t>
  </si>
  <si>
    <t>קובץ מנחת הקיץ</t>
  </si>
  <si>
    <t>קובץ מנחת יהודה</t>
  </si>
  <si>
    <t>קובץ מסיני בא</t>
  </si>
  <si>
    <t>קובץ בית מדרש סיני</t>
  </si>
  <si>
    <t>קובץ מסע הקודש</t>
  </si>
  <si>
    <t>יסודי עולם זוועהיל</t>
  </si>
  <si>
    <t>קובץ מעיין התורה - רבית, נדה</t>
  </si>
  <si>
    <t>כולל מעיין התורה</t>
  </si>
  <si>
    <t>קובץ מעייני הישועה - בשר בחלב, תערובות</t>
  </si>
  <si>
    <t>כולל ישועות משה</t>
  </si>
  <si>
    <t>קובץ מעייני ישועה</t>
  </si>
  <si>
    <t>קובץ מעלות התורה</t>
  </si>
  <si>
    <t>קובץ מעשי ידי גאונים קדמונים</t>
  </si>
  <si>
    <t>קובץ מפרשי התורה</t>
  </si>
  <si>
    <t>מארגרעטען,</t>
  </si>
  <si>
    <t>קובץ מפרשי מהרש"א</t>
  </si>
  <si>
    <t>קובץ מפרשים גאוני בתראי - 3 כר'</t>
  </si>
  <si>
    <t>קובץ מפרשים החדש - 2 כר'</t>
  </si>
  <si>
    <t>מכון עוז ואורה</t>
  </si>
  <si>
    <t>קובץ מפרשים הערוך - 4 כר'</t>
  </si>
  <si>
    <t>מכון אור תורה</t>
  </si>
  <si>
    <t>קובץ מפרשים יומא - 3 כר'</t>
  </si>
  <si>
    <t>בן חיים, גד - מיטניק, יצחק</t>
  </si>
  <si>
    <t>קובץ מפרשים על מסכת ערכין - 3 כר'</t>
  </si>
  <si>
    <t>קובץ מפרשים על מסכת ר"ה - 2 כר'</t>
  </si>
  <si>
    <t>קובץ מפרשים על מסכת שבת - 2 כר'</t>
  </si>
  <si>
    <t>קובץ מפרשים על עבודה זרה - 3 כר'</t>
  </si>
  <si>
    <t>קובץ מקום שמגדלין בו תפילה</t>
  </si>
  <si>
    <t>ישיבה לצעירים בית מרדכי זוועהיל</t>
  </si>
  <si>
    <t>קובץ מראה כהן</t>
  </si>
  <si>
    <t>כהן, נתן (עליו)</t>
  </si>
  <si>
    <t>קובץ מראה מקומות  אהל גדליה - המוכר את הספינה</t>
  </si>
  <si>
    <t>קובץ מראי מקומות ובירורי סוגיות - 3 כר'</t>
  </si>
  <si>
    <t>קובץ מראי מקומות לסוגיות - גיטין קידושין</t>
  </si>
  <si>
    <t>קובץ מראי מקומות לפרק תמיד נשחט</t>
  </si>
  <si>
    <t>קובץ מראי מקומות רינת התורה - 2 כר'</t>
  </si>
  <si>
    <t>כולל אברכים דישיבת רינת התורה</t>
  </si>
  <si>
    <t>קובץ מראי מקומות - כיצד מברכין</t>
  </si>
  <si>
    <t>קובץ מראי מקומות</t>
  </si>
  <si>
    <t>קובץ מראי מקומות - כיצד מברכין, שלשה שאכלו</t>
  </si>
  <si>
    <t>קובץ מראש צורים - 2 כר'</t>
  </si>
  <si>
    <t>קובץ מרכזי לחינוך - א</t>
  </si>
  <si>
    <t>בתי אולפנא בית אהרן וישראל</t>
  </si>
  <si>
    <t>קובץ משיב כהלכה - ח</t>
  </si>
  <si>
    <t>מכון להוראה</t>
  </si>
  <si>
    <t>קובץ משכן דוד</t>
  </si>
  <si>
    <t>כולל משכן דוד</t>
  </si>
  <si>
    <t>קובץ משלי המגיד מדובנא</t>
  </si>
  <si>
    <t>קובץ משמרת הקודש - 2 כר'</t>
  </si>
  <si>
    <t>קובץ משנת אלעזר - 2 כר'</t>
  </si>
  <si>
    <t>זלצברג, יצחק מאיר (עורך)</t>
  </si>
  <si>
    <t>קובץ משנת התורה</t>
  </si>
  <si>
    <t>קובץ מתנת כהונה</t>
  </si>
  <si>
    <t>טהרת כהנים</t>
  </si>
  <si>
    <t>קובץ נדה - 3 כר'</t>
  </si>
  <si>
    <t>כולל גבוה להוראה</t>
  </si>
  <si>
    <t>קובץ נדחים</t>
  </si>
  <si>
    <t>קובץ נהרא ופשטא - 2 כר'</t>
  </si>
  <si>
    <t>קובץ נועם השבת</t>
  </si>
  <si>
    <t>קובץ נזר תפארה</t>
  </si>
  <si>
    <t>קובץ נחלת יוסף</t>
  </si>
  <si>
    <t>בית מדרש גבוה להוראת התלמוד</t>
  </si>
  <si>
    <t>קובץ נחלת ישורון - 2 כר'</t>
  </si>
  <si>
    <t>קובץ כולל נחלת ישורון</t>
  </si>
  <si>
    <t>קובץ נחלת ישראל</t>
  </si>
  <si>
    <t>עפשטיין, יוסף צבי</t>
  </si>
  <si>
    <t>קובץ נצח ישעיה</t>
  </si>
  <si>
    <t>שנלבג, ישעיה</t>
  </si>
  <si>
    <t>קובץ נר דוד - 14 כר'</t>
  </si>
  <si>
    <t>כולל נווה דוד</t>
  </si>
  <si>
    <t>קובץ נר ישראל - סוכה</t>
  </si>
  <si>
    <t>קובץ נר ישראל - א</t>
  </si>
  <si>
    <t>מרכז להפצת תורה</t>
  </si>
  <si>
    <t>קובץ נר למאור</t>
  </si>
  <si>
    <t>בית מדרש לרבנים מזכרת משה</t>
  </si>
  <si>
    <t>קובץ נר מצוה ותורה אור</t>
  </si>
  <si>
    <t>קובץ נר נשמה</t>
  </si>
  <si>
    <t>לזכרו של רבי מרכי בן שמעון</t>
  </si>
  <si>
    <t>קובץ נר צביה</t>
  </si>
  <si>
    <t>קובץ נשמת חיים</t>
  </si>
  <si>
    <t>כולל נשמת חיים</t>
  </si>
  <si>
    <t>קובץ נתיבות התלמוד</t>
  </si>
  <si>
    <t>כולל נתיבות התלמוד</t>
  </si>
  <si>
    <t>קובץ נתיבות - 2 כר'</t>
  </si>
  <si>
    <t>מערכת כתבו לכם</t>
  </si>
  <si>
    <t>קובץ נתיבי השמועה - המפקיד</t>
  </si>
  <si>
    <t>קובץ סוגה בשושנים - פ"ק דכתובות</t>
  </si>
  <si>
    <t>קובץ סוגיות בבא מציעא</t>
  </si>
  <si>
    <t>קובץ סוגיות נדרים</t>
  </si>
  <si>
    <t>קובץ סוגיות סנהדרין</t>
  </si>
  <si>
    <t>קובץ סוגיות - קידושין</t>
  </si>
  <si>
    <t>ישיבת תורת שלמה זוועהיל</t>
  </si>
  <si>
    <t>קובץ סופרי המלך - ב</t>
  </si>
  <si>
    <t>קובץ סיפורים ממשתתפות תוכנית נצור לשונך</t>
  </si>
  <si>
    <t>קובץ סיפורים</t>
  </si>
  <si>
    <t>קובץ ספרי ארץ ישראל - א - ד</t>
  </si>
  <si>
    <t>קובץ ספרי טעמי המקרא</t>
  </si>
  <si>
    <t>גוטמן, יהודה אריה (עורך)</t>
  </si>
  <si>
    <t>קובץ ספרי סת"ם - א</t>
  </si>
  <si>
    <t>קובץ ספרים בעניני כשרות - 6 כר'</t>
  </si>
  <si>
    <t>קובץ ספרים על ל"ט מלאכות</t>
  </si>
  <si>
    <t>קובץ עדי עד</t>
  </si>
  <si>
    <t>ישיבת אלעד</t>
  </si>
  <si>
    <t>קובץ עוז התורה - סוכה פ"ג</t>
  </si>
  <si>
    <t>קובץ עזרת אליהו - נדרים</t>
  </si>
  <si>
    <t>בן שמעון, עזרא אליהו בן מסעוד</t>
  </si>
  <si>
    <t>קובץ עטרה שעיטרה - שבועות</t>
  </si>
  <si>
    <t>קובץ עטרת זהב</t>
  </si>
  <si>
    <t>קובץ עטרת שלמה</t>
  </si>
  <si>
    <t>קובץ עיון המגילה</t>
  </si>
  <si>
    <t>קובץ עיון הפרשה - 188 כר'</t>
  </si>
  <si>
    <t>קובץ עיון הפרשה</t>
  </si>
  <si>
    <t>קובץ עיונים במלאכת הוצאה</t>
  </si>
  <si>
    <t>ישראל בן אליעזר</t>
  </si>
  <si>
    <t>קובץ עיונים והערות (תל אביב) - א</t>
  </si>
  <si>
    <t>קובץ עיונים - פרק נערה המאורסה</t>
  </si>
  <si>
    <t>קובץ על יד - 8 כר'</t>
  </si>
  <si>
    <t>קובץ על יד - 2 כר'</t>
  </si>
  <si>
    <t>בוגרי ישיבת יד אהרן</t>
  </si>
  <si>
    <t>קובץ על יד - 3 כר'</t>
  </si>
  <si>
    <t>קובץ על יד - 4 כר'</t>
  </si>
  <si>
    <t>ישיבת כנסת יצחק חדרה</t>
  </si>
  <si>
    <t>קובץ על יד - 13 כר'</t>
  </si>
  <si>
    <t>קובץ על יד</t>
  </si>
  <si>
    <t>קובץ עלוני אור הגאולה - 2 כר'</t>
  </si>
  <si>
    <t>ביק, נחמן (עורך)</t>
  </si>
  <si>
    <t>קובץ עלי באר</t>
  </si>
  <si>
    <t>קובץ עלי הגיון - 2 כר'</t>
  </si>
  <si>
    <t>קובץ עלי עשו"ר</t>
  </si>
  <si>
    <t>ישיבת מנחת יצחק</t>
  </si>
  <si>
    <t>קובץ עמודי דשמואל</t>
  </si>
  <si>
    <t>קובץ עמק יהושע</t>
  </si>
  <si>
    <t>מכון קול ישועה</t>
  </si>
  <si>
    <t>קובץ עניינים</t>
  </si>
  <si>
    <t>לוונשטיין, יחזקאל הלוי</t>
  </si>
  <si>
    <t>קובץ עניני אמונה</t>
  </si>
  <si>
    <t>קובץ עניניים במסכת פסחים</t>
  </si>
  <si>
    <t>אונא, שלמה בן שמעון משה</t>
  </si>
  <si>
    <t>קובץ ענינים במסכת קידושין</t>
  </si>
  <si>
    <t>מינצר, יוסף</t>
  </si>
  <si>
    <t>קובץ ענינים בתורה ובמוסר</t>
  </si>
  <si>
    <t>קובץ ענינים - 6 כר'</t>
  </si>
  <si>
    <t>קובץ ענינים - 2 כר'</t>
  </si>
  <si>
    <t>וסרמן, אלחנן - רפאפורט, דוד הכהן - קרליץ, אברהם ישעיהו</t>
  </si>
  <si>
    <t>קובץ ענינים - תשכ"ח</t>
  </si>
  <si>
    <t>קובץ ענינים - 3 כר'</t>
  </si>
  <si>
    <t>רווח, אבנר</t>
  </si>
  <si>
    <t>קובץ ענף יוסף - 3 כר'</t>
  </si>
  <si>
    <t>קובץ הלכתי</t>
  </si>
  <si>
    <t>קובץ עץ חיים - מוקצה, בורר, מלאכת מחשבת</t>
  </si>
  <si>
    <t>כולל עץ חיים</t>
  </si>
  <si>
    <t>קובץ עצות בעניין ערכו של הזמן</t>
  </si>
  <si>
    <t>קובץ עת האסף</t>
  </si>
  <si>
    <t>קובץ פיוטים ודרשה לרמב"ן &lt;ע"פ יקב אפרים&gt;</t>
  </si>
  <si>
    <t>משה בן נחמן (רמב"ן) - שווארץ, יעקב קאפיל</t>
  </si>
  <si>
    <t>קובץ פירות גינוסר</t>
  </si>
  <si>
    <t>אברכי מבצר התורה כולל צאנז</t>
  </si>
  <si>
    <t>קובץ פלפול התלמידים</t>
  </si>
  <si>
    <t>קובץ פלפול חברים</t>
  </si>
  <si>
    <t>ישיבת גור טלז סטון</t>
  </si>
  <si>
    <t>קובץ פלפולי אורייתא</t>
  </si>
  <si>
    <t>בני החבורות דחסידי ספינקא</t>
  </si>
  <si>
    <t>קובץ פלפולים וביאורים בנגלה ובחסידות - 9 כר'</t>
  </si>
  <si>
    <t>קובץ (ניו יורק)</t>
  </si>
  <si>
    <t>קובץ פלפולים וחידושי תורה ברמב"ם</t>
  </si>
  <si>
    <t>קובץ פנים מאירות - 24 כר'</t>
  </si>
  <si>
    <t>קובץ פניני הילולא - 2 כר'</t>
  </si>
  <si>
    <t>קובץ פניני השער - 5 כר'</t>
  </si>
  <si>
    <t>ישיבה ומתיבתא שער התלמוד</t>
  </si>
  <si>
    <t>קובץ פסקי הלכות מאת מרן הגרי"ש אלישיב שליט"א</t>
  </si>
  <si>
    <t>קרול, אהרן</t>
  </si>
  <si>
    <t>קובץ פסקי הלכות צבא</t>
  </si>
  <si>
    <t>רבנות צבאית</t>
  </si>
  <si>
    <t>קובץ פסקי התשובות בעניני בית הכנסת וספר תורה</t>
  </si>
  <si>
    <t>קובץ פסקים ותשובות - 2 כר'</t>
  </si>
  <si>
    <t>קובץ פרדס הברכה</t>
  </si>
  <si>
    <t>קובץ פרושים לספר ישעיה (גאונים וראשונים) - 2 כר'</t>
  </si>
  <si>
    <t>קובץ פרי ביכורים - 2 כר'</t>
  </si>
  <si>
    <t>קובץ פרי עץ חיים סא-ק</t>
  </si>
  <si>
    <t>קובץ פרי עץ חיים</t>
  </si>
  <si>
    <t>בית המדרש דברי חיים לונדון</t>
  </si>
  <si>
    <t>קובץ פרי עץ חיים - 2 כר'</t>
  </si>
  <si>
    <t>קובץ פרי צדיק</t>
  </si>
  <si>
    <t>לזכרם של ר' מנשה ויוכבד יונה</t>
  </si>
  <si>
    <t>קובץ פתגמי אורייתא</t>
  </si>
  <si>
    <t>קובץ צדקת אפרים - 10 כר'</t>
  </si>
  <si>
    <t>כולל הוראה צדקת אפרים</t>
  </si>
  <si>
    <t>קובץ צוהר לתיבה</t>
  </si>
  <si>
    <t>צדיקי רחמיסטריווקא טשערנוביל</t>
  </si>
  <si>
    <t>קובץ ציונים והערות - 19 כר'</t>
  </si>
  <si>
    <t>פלברבאום, אבינעם</t>
  </si>
  <si>
    <t>קובץ ציצים ופרחים - ב"ק</t>
  </si>
  <si>
    <t>בית תלמוד להוראה חסידי גור</t>
  </si>
  <si>
    <t>קובץ ק"ב מהישמח</t>
  </si>
  <si>
    <t>ישיבת ישמח בו</t>
  </si>
  <si>
    <t>קובץ קהילות יעקב</t>
  </si>
  <si>
    <t>קובץ קהלות ישורון - ג</t>
  </si>
  <si>
    <t>כולל זרעים קהלות ישורון</t>
  </si>
  <si>
    <t>קובץ קו ההלכה עיון ההלכה</t>
  </si>
  <si>
    <t>קובץ קו ההלכה - 3 כר'</t>
  </si>
  <si>
    <t>קובץ קובעי עתים</t>
  </si>
  <si>
    <t>קובץ קול יהודא</t>
  </si>
  <si>
    <t>בית המדרש אהל ישרים</t>
  </si>
  <si>
    <t>קובץ קול מהיכל - שבת</t>
  </si>
  <si>
    <t>כולל קול מהיכל</t>
  </si>
  <si>
    <t>קובץ קול סיני &lt;בני ברק&gt; - 5 כר'</t>
  </si>
  <si>
    <t>קובץ קומץ המנחה</t>
  </si>
  <si>
    <t>בית המדרש דקהל שמן למנחה</t>
  </si>
  <si>
    <t>קובץ קונטרסים - 2 כר'</t>
  </si>
  <si>
    <t>קובץ קן צפור</t>
  </si>
  <si>
    <t>קובץ קנין תורה</t>
  </si>
  <si>
    <t>רבותינו מסוכטשוב</t>
  </si>
  <si>
    <t>קובץ קרני רא"ם</t>
  </si>
  <si>
    <t>קובץ ראש שמחתי</t>
  </si>
  <si>
    <t>רייכמן, רפאל יצחק</t>
  </si>
  <si>
    <t>קובץ ראשונים &lt;עיוני שמועה&gt; - 2 כר'</t>
  </si>
  <si>
    <t>פרץ בן אליהו, מקורביל</t>
  </si>
  <si>
    <t>קובץ ראשונים &lt;רוח ברור&gt; על פרק איזהו נשך</t>
  </si>
  <si>
    <t>רוח, משה בן שלום</t>
  </si>
  <si>
    <t>קובץ ראשונים בהלכות שבת</t>
  </si>
  <si>
    <t>שלמון, דוד (עורך)</t>
  </si>
  <si>
    <t>קובץ ראשונים להלכות נדה ומסכת מקוואות</t>
  </si>
  <si>
    <t>קובץ ראשונים - ויינר, מרדכי ידידיה (עורך)</t>
  </si>
  <si>
    <t>קובץ ראשונים על ל"ט מלאכות</t>
  </si>
  <si>
    <t>קובץ ראשונים על צורת האותיות</t>
  </si>
  <si>
    <t>קובץ ראשונים - תערובות</t>
  </si>
  <si>
    <t>מש, יהודה ליב (עורך)</t>
  </si>
  <si>
    <t>קובץ ראשונים - 3 כר'</t>
  </si>
  <si>
    <t>קובץ ראשונים - 2 כר'</t>
  </si>
  <si>
    <t>קובץ רב ברכות - 6 כר'</t>
  </si>
  <si>
    <t>בית הכנסת המרכזי "טוויג" - ישיבת מדרש יהודה</t>
  </si>
  <si>
    <t>קובץ רבד הזהב - שמיטה ויובל, ת"ת</t>
  </si>
  <si>
    <t>דיסקין, ברוך דב</t>
  </si>
  <si>
    <t>קובץ רבני תורני אחיעזר - 3 כר'</t>
  </si>
  <si>
    <t>קובץ רווחא שמעתא - נזיר</t>
  </si>
  <si>
    <t>קובץ כולל נחלת משה</t>
  </si>
  <si>
    <t>קובץ רינת התורה</t>
  </si>
  <si>
    <t>כולל רינת התורה</t>
  </si>
  <si>
    <t>קובץ רפואה קרובה</t>
  </si>
  <si>
    <t>כולל ברסלב</t>
  </si>
  <si>
    <t>קובץ רשימות שיעורים - 13 כר'</t>
  </si>
  <si>
    <t>קלמנסון, יוסף יצחק בן יקותיאל דובער</t>
  </si>
  <si>
    <t>קובץ רשימות שיעורים - יבמות</t>
  </si>
  <si>
    <t>קובץ רשימות - מועד קטן</t>
  </si>
  <si>
    <t>אפשטיין, יעקב בן יוסף שמעון</t>
  </si>
  <si>
    <t>קובץ שאלות בהלכות מליחה</t>
  </si>
  <si>
    <t>שטיין, משה בן ברוך בענדיט</t>
  </si>
  <si>
    <t>קובץ שאלות ותשובות - 2 כר'</t>
  </si>
  <si>
    <t>קובץ שבט מנשה - ב</t>
  </si>
  <si>
    <t>קליין, מנשה בן אליעזר זאב  - קליין, משה בן מנשה</t>
  </si>
  <si>
    <t>קובץ שבט מנשה - א</t>
  </si>
  <si>
    <t>קובץ שבילי דאורייתא - מלאכת קושר</t>
  </si>
  <si>
    <t>קובץ שבת א</t>
  </si>
  <si>
    <t>קובץ שבת ב</t>
  </si>
  <si>
    <t>קובץ שבת באהבה</t>
  </si>
  <si>
    <t>קובץ שו"ת מהגר"ח קנייבסקי בעניני תפילין ובר מצוה</t>
  </si>
  <si>
    <t>נאטאן, אברהם</t>
  </si>
  <si>
    <t>קובץ שו"תים בעניני סוכה</t>
  </si>
  <si>
    <t>קובץ שומרי משפט</t>
  </si>
  <si>
    <t>כולל אמשינוב (ביתר)</t>
  </si>
  <si>
    <t>קובץ שונה הלכות</t>
  </si>
  <si>
    <t>כולל מצוינים דחסידי בעלזא</t>
  </si>
  <si>
    <t>קובץ שופר הזוהר - יז</t>
  </si>
  <si>
    <t>קובץ שופריה דיעקב - 2 כר'</t>
  </si>
  <si>
    <t>מכון שופריה דיעקב</t>
  </si>
  <si>
    <t>קובץ שושנת העמקים</t>
  </si>
  <si>
    <t>רובינפלד, קדש יעקב (עורך</t>
  </si>
  <si>
    <t>קובץ שיחות בעניני בין המצרים</t>
  </si>
  <si>
    <t>כהן, נתן</t>
  </si>
  <si>
    <t>קובץ שיחות וועדים</t>
  </si>
  <si>
    <t>קובץ שיחות ומאמרים - 5 כר'</t>
  </si>
  <si>
    <t>קובץ שיחות ומאמרים - אלול וימים נוראים</t>
  </si>
  <si>
    <t>מכון המאורות</t>
  </si>
  <si>
    <t>קובץ שיחות חיזוק</t>
  </si>
  <si>
    <t>אויערבאך, עזריאל בן שלמה זלמן</t>
  </si>
  <si>
    <t>קובץ שיחות מוסר</t>
  </si>
  <si>
    <t>קובץ שיחות מוסר - 4 כר'</t>
  </si>
  <si>
    <t>רימר, בנימין</t>
  </si>
  <si>
    <t>קובץ שיחות על התורה</t>
  </si>
  <si>
    <t>קובץ שיחות על תפילה</t>
  </si>
  <si>
    <t>קובץ שיחות קודש &lt;ספינקא&gt; - 2 כר'</t>
  </si>
  <si>
    <t>וויס, ישראל חיים</t>
  </si>
  <si>
    <t>קובץ שיחות קודש</t>
  </si>
  <si>
    <t>קובץ שיחות שנאמרו בישיבת באר יעקב ע"י מרן המשגיח שליט"א - ב</t>
  </si>
  <si>
    <t>תשככ"ט</t>
  </si>
  <si>
    <t>קובץ שיחות - 6 כר'</t>
  </si>
  <si>
    <t>קובץ שיחות - מועדים</t>
  </si>
  <si>
    <t>קובץ שיחות - א</t>
  </si>
  <si>
    <t>ווכטפויגעל, נתן מאיר</t>
  </si>
  <si>
    <t>קובץ שיחות</t>
  </si>
  <si>
    <t>פראנק, ברוך</t>
  </si>
  <si>
    <t>קובץ שיחות - 2 כר'</t>
  </si>
  <si>
    <t>קובץ שיטות קדמוניות למסכת תענית</t>
  </si>
  <si>
    <t>קובץ חיבורי אחרונים</t>
  </si>
  <si>
    <t>קובץ שיטות קו התאריך בכדור הארץ - 2 כר'</t>
  </si>
  <si>
    <t>בלום, יהודה אריה ליב בן שלמה יחיאל יהושע</t>
  </si>
  <si>
    <t>קובץ שיטות קמאי - 67 כר'</t>
  </si>
  <si>
    <t>קובץ שיטות קמאי</t>
  </si>
  <si>
    <t>קובץ שיעורי ומראי מקומות - קדושין</t>
  </si>
  <si>
    <t>דזימטרובסקי, יחיאל מיכל בן יצחק</t>
  </si>
  <si>
    <t>קובץ שיעורי יבמות</t>
  </si>
  <si>
    <t>קלרמן, יחיאל הלוי</t>
  </si>
  <si>
    <t>קובץ שיעורי כתובות</t>
  </si>
  <si>
    <t>הראל, משה</t>
  </si>
  <si>
    <t>קובץ שיעורי מורנו - 2 כר'</t>
  </si>
  <si>
    <t>קובץ שיעורי מרן רה"י - נדרים</t>
  </si>
  <si>
    <t>טולדיאנו, נסים</t>
  </si>
  <si>
    <t>קובץ שיעורי קידושין</t>
  </si>
  <si>
    <t>קובץ שיעורי ר' משה - גיטין</t>
  </si>
  <si>
    <t>מן, משה</t>
  </si>
  <si>
    <t>קובץ שיעורי תורה - פסחים</t>
  </si>
  <si>
    <t>קובץ שיעורים במסכת יבמות - 2 כר'</t>
  </si>
  <si>
    <t>ליברמן, משה</t>
  </si>
  <si>
    <t>קובץ שיעורים בעניני נישואין</t>
  </si>
  <si>
    <t>קובץ שיעורים השלם - בבא בתרא</t>
  </si>
  <si>
    <t>קובץ שיעורים כלליים - 2 כר'</t>
  </si>
  <si>
    <t>ברים, יהושע העשיל</t>
  </si>
  <si>
    <t>קובץ שיעורים כללים - פסחים</t>
  </si>
  <si>
    <t>ישיבת רינת התורה</t>
  </si>
  <si>
    <t>קובץ שיעורים כללים - כתובות, נדרים א</t>
  </si>
  <si>
    <t>פיינשטיין, חיים</t>
  </si>
  <si>
    <t>קובץ שיעורים ממורנו הגרד"א זלזניק שליט"א</t>
  </si>
  <si>
    <t>קובץ שיעורים מר דרור - 15 כר'</t>
  </si>
  <si>
    <t>רבינוביץ, מרדכי</t>
  </si>
  <si>
    <t>קובץ שיעורים עטרת חכמים - ה</t>
  </si>
  <si>
    <t>כולל עטרת משה</t>
  </si>
  <si>
    <t>קובץ שיעורים - 2 כר'</t>
  </si>
  <si>
    <t>תשכ"ד - תשכ"ז</t>
  </si>
  <si>
    <t>קובץ שירי המהר"ם מרוטנבורג שנדפסו ושבכתבי יד</t>
  </si>
  <si>
    <t>קובץ שירים פיוטים ותחנות</t>
  </si>
  <si>
    <t>חמדי, לוי</t>
  </si>
  <si>
    <t>קובץ שירת התורה</t>
  </si>
  <si>
    <t>קובץ של אגרות ר' שמואל בן עלי ובני דורו</t>
  </si>
  <si>
    <t>קובץ של הערות</t>
  </si>
  <si>
    <t>תלמידי ישיבת מאור חיים</t>
  </si>
  <si>
    <t>קובץ של כתבי קבלה מגנזי רמח"ל</t>
  </si>
  <si>
    <t>לוצאטו, משה חיים בן יעקב חי (רמח"ל) - תשבי ישעיה</t>
  </si>
  <si>
    <t>קובץ שלמי ציבור - 2 כר'</t>
  </si>
  <si>
    <t>כולל עושה פרי</t>
  </si>
  <si>
    <t>קובץ שלמי שמחה</t>
  </si>
  <si>
    <t>כולל רובין</t>
  </si>
  <si>
    <t>שולביץ,  יחזקאל</t>
  </si>
  <si>
    <t>קובץ שם בישראל</t>
  </si>
  <si>
    <t>כולל זכרון יצחק</t>
  </si>
  <si>
    <t>קובץ שם משמעון</t>
  </si>
  <si>
    <t>בית מדרש שם משמעון</t>
  </si>
  <si>
    <t>ישיבת תורת חיים</t>
  </si>
  <si>
    <t>מוסקבה Moscow</t>
  </si>
  <si>
    <t>קובץ שמוש חכמים - 9 כר'</t>
  </si>
  <si>
    <t>קובץ שמוש חכמים</t>
  </si>
  <si>
    <t>קובץ שמחת בחורים</t>
  </si>
  <si>
    <t>קובץ שמחת האברכים</t>
  </si>
  <si>
    <t>כולל שער שמעון</t>
  </si>
  <si>
    <t>קובץ שמחת התורה שמחה ושלום</t>
  </si>
  <si>
    <t>קובץ שמחת התורה - 6 כר'</t>
  </si>
  <si>
    <t>ישיבת אברכים שמחת התורה</t>
  </si>
  <si>
    <t>קובץ שמחת התורה</t>
  </si>
  <si>
    <t>ראם, אלעזר</t>
  </si>
  <si>
    <t>קובץ שמחת יונה</t>
  </si>
  <si>
    <t>פורמן, אברהם בן מנחם מנדל הלוי</t>
  </si>
  <si>
    <t>קובץ שמעתתא דתקפו כהן</t>
  </si>
  <si>
    <t>קובץ שנת השבע</t>
  </si>
  <si>
    <t>כולל תפארת אברהם שמואל</t>
  </si>
  <si>
    <t>קובץ שעורי תורה</t>
  </si>
  <si>
    <t>קובץ שעורי תורה - 5 כר'</t>
  </si>
  <si>
    <t>קובץ שער יום טוב</t>
  </si>
  <si>
    <t>כולל תפארת יום טוב</t>
  </si>
  <si>
    <t>קובץ שערי הלכה - נדה</t>
  </si>
  <si>
    <t>בית מדרש שערי הלכה</t>
  </si>
  <si>
    <t>קובץ שערי זבול</t>
  </si>
  <si>
    <t>ישיבת בית מרדכי זוועהיל</t>
  </si>
  <si>
    <t>קובץ שערי חיים</t>
  </si>
  <si>
    <t>כולל שערי חיים</t>
  </si>
  <si>
    <t>קובץ שערי חכמה - 2 כר'</t>
  </si>
  <si>
    <t>כולל בין המשפתים</t>
  </si>
  <si>
    <t>קובץ שערי לימוד</t>
  </si>
  <si>
    <t>ישיבת שערי לימוד</t>
  </si>
  <si>
    <t>קובץ שערי ציון - 3 כר'</t>
  </si>
  <si>
    <t>כולל אמרי יושר - תורת כהנים</t>
  </si>
  <si>
    <t>קובץ שערי ציון - 2 כר'</t>
  </si>
  <si>
    <t>קובץ שערי שמחה</t>
  </si>
  <si>
    <t>התאחדות האברכים דחסידי ויזניץ באירופה</t>
  </si>
  <si>
    <t>קובץ שערי שמחה - 2 כר'</t>
  </si>
  <si>
    <t>כולל אהבת שלום לונדון</t>
  </si>
  <si>
    <t>קובץ שערי שמעון - בבא קמא</t>
  </si>
  <si>
    <t>כולל שערי שמעון</t>
  </si>
  <si>
    <t>קובץ שערי תורה - 5 כר'</t>
  </si>
  <si>
    <t>ישיבה לצעירים בית שמש</t>
  </si>
  <si>
    <t>קובץ שערי תורה - סוכה</t>
  </si>
  <si>
    <t>כולל שערי תורה</t>
  </si>
  <si>
    <t>ירוושלים</t>
  </si>
  <si>
    <t>קובץ שערים המצויינים</t>
  </si>
  <si>
    <t>קובץ שפתי כהן - 3 כר'</t>
  </si>
  <si>
    <t>כולל שפתי כהן</t>
  </si>
  <si>
    <t>קובץ שפתי כהן</t>
  </si>
  <si>
    <t>רפפורט, שבתי אברהם הכהן</t>
  </si>
  <si>
    <t>קובץ שפתי מהרש"ג</t>
  </si>
  <si>
    <t>מכון ויגד מרדכי</t>
  </si>
  <si>
    <t>קובץ שפתי צדיקים - 14 כר'</t>
  </si>
  <si>
    <t>קובץ שתילים</t>
  </si>
  <si>
    <t>משפחת מענדלאוויטש</t>
  </si>
  <si>
    <t>קובץ תודת הנישואין</t>
  </si>
  <si>
    <t>קובץ תומיך ואוריך - 2 כר'</t>
  </si>
  <si>
    <t>כולל מנשסטר</t>
  </si>
  <si>
    <t>קובץ תומר דבורה</t>
  </si>
  <si>
    <t>קובץ אברכי היכל עזרא</t>
  </si>
  <si>
    <t>קובץ תוספת חיים</t>
  </si>
  <si>
    <t>ענגיל, חיים</t>
  </si>
  <si>
    <t>קובץ תורה ברמה - שיעורים בהלכות יחוד</t>
  </si>
  <si>
    <t>קובץ תורה ודעת - 3 כר'</t>
  </si>
  <si>
    <t>ישיבת תורה ודעת</t>
  </si>
  <si>
    <t>קובץ תורה מצילה ומגינה</t>
  </si>
  <si>
    <t>קובץ תורני &lt;ישיבת קול תורה&gt; - א-ח</t>
  </si>
  <si>
    <t>קובץ, ישיבת קול תורה</t>
  </si>
  <si>
    <t>תש"ס - תשס"ה</t>
  </si>
  <si>
    <t>קובץ תורני &lt;ישיבת שפתי צדיק&gt;</t>
  </si>
  <si>
    <t>קובץ, ישיבת שפתי צדיק</t>
  </si>
  <si>
    <t>חצור</t>
  </si>
  <si>
    <t>קובץ תורני &lt;כולל זכרון שניאור&gt;</t>
  </si>
  <si>
    <t>קובץ, כולל זכרון שניאור</t>
  </si>
  <si>
    <t>קובץ תורני אהבת ציון</t>
  </si>
  <si>
    <t>מפעל אור שמחה</t>
  </si>
  <si>
    <t>קובץ תורני אהלה של תורה</t>
  </si>
  <si>
    <t>התאחדות האברכים</t>
  </si>
  <si>
    <t>קובץ תורני אהלי תורה - שבועות</t>
  </si>
  <si>
    <t>קובץ תורני אור החמה</t>
  </si>
  <si>
    <t>קובץ תורני אור התורה</t>
  </si>
  <si>
    <t>כולל צמח צדיק וויזניץ</t>
  </si>
  <si>
    <t>קובץ תורני אור התורה - גיטין ב</t>
  </si>
  <si>
    <t>קובץ תורני אור עזרא - ב</t>
  </si>
  <si>
    <t>כולל אברכים אור עזרא</t>
  </si>
  <si>
    <t>קובץ תורני אורייתא</t>
  </si>
  <si>
    <t>ישיבה דרכי תורה</t>
  </si>
  <si>
    <t>קובץ תורני ארזי הלבנון</t>
  </si>
  <si>
    <t>גוטמן, צבי (עורך)</t>
  </si>
  <si>
    <t>קובץ תורני בהלכות שבת</t>
  </si>
  <si>
    <t>גמ"ח בחי"י</t>
  </si>
  <si>
    <t>קובץ תורני בית הלל</t>
  </si>
  <si>
    <t>וינד, ישראל בן הלל</t>
  </si>
  <si>
    <t>קובץ תורני בית ישראל - 3 כר'</t>
  </si>
  <si>
    <t>ישיבת בית ישראל ודמשק אליעזר</t>
  </si>
  <si>
    <t>בנ י ברק</t>
  </si>
  <si>
    <t>קובץ תורני בית ישראל - ו</t>
  </si>
  <si>
    <t>ישיבת בית ישראל ויז'ניץ</t>
  </si>
  <si>
    <t>קובץ תורני בענין רבית - ב</t>
  </si>
  <si>
    <t>כולל אברכים דקרית טלז-סטון</t>
  </si>
  <si>
    <t>קובץ תורני דברי ראובן וספר הזכרון</t>
  </si>
  <si>
    <t>קובץ תורני דגל התורה וישווא - א</t>
  </si>
  <si>
    <t>כולל וישווא</t>
  </si>
  <si>
    <t>קובץ תורני דמשק אליעזר - 2 כר'</t>
  </si>
  <si>
    <t>מערכת דמשק אליעזר</t>
  </si>
  <si>
    <t>קובץ תורני המישור - 2 כר'</t>
  </si>
  <si>
    <t>כולל בית הוראה לייקווד</t>
  </si>
  <si>
    <t>קובץ תורני ובהם נהגה - 5 כר'</t>
  </si>
  <si>
    <t>ועד אהבת תורה סאדיגורא</t>
  </si>
  <si>
    <t>קובץ תורני ובהם נהגה - ג (שונה)</t>
  </si>
  <si>
    <t>קובץ תורני ועתה כתבו לכם</t>
  </si>
  <si>
    <t>האגף לחינוך ותרבות תורניים פ"ת</t>
  </si>
  <si>
    <t>קובץ תורני זכור לאברהם - א</t>
  </si>
  <si>
    <t>קובץ תורני זכרו תורת משה עבדי - א</t>
  </si>
  <si>
    <t>i665kcg"מ</t>
  </si>
  <si>
    <t>קובץ תורני זכרון אליהו</t>
  </si>
  <si>
    <t>קובץ תורני זכרון ישראל</t>
  </si>
  <si>
    <t>קובץ תורני זכרון מאיר</t>
  </si>
  <si>
    <t>בית מדרש ערוך לנר ירושלים</t>
  </si>
  <si>
    <t>קובץ תורני זכרון נחום</t>
  </si>
  <si>
    <t>כולל זכרון נחום</t>
  </si>
  <si>
    <t>קובץ תורני זכרון קלם</t>
  </si>
  <si>
    <t>כולל זכרון קלם</t>
  </si>
  <si>
    <t>קובץ תורני חסדי דוד</t>
  </si>
  <si>
    <t>קובץ כולל חסדי דוד</t>
  </si>
  <si>
    <t>קובץ תורני יקרא דאורייתא - גיטין</t>
  </si>
  <si>
    <t>קובץ תורני ישמח ישראל - 19 כר'</t>
  </si>
  <si>
    <t>קובץ תורני כבודה של תורה</t>
  </si>
  <si>
    <t>חניכי ישיבת קול תורה</t>
  </si>
  <si>
    <t>קובץ תורני כנסת ישראל - 9 כר'</t>
  </si>
  <si>
    <t>כולל אברכים שע"י ישיבת סלבודקא</t>
  </si>
  <si>
    <t>קובץ תורני להנחלת מורשת אבות</t>
  </si>
  <si>
    <t>ארגון אחי בני תימן</t>
  </si>
  <si>
    <t>קובץ תורני לתפארת</t>
  </si>
  <si>
    <t>ישיבת קמניץ</t>
  </si>
  <si>
    <t>קובץ תורני מאור התורה</t>
  </si>
  <si>
    <t>קובץ תורני מבקשי תורה - סוכה</t>
  </si>
  <si>
    <t>קובץ תורני מים חיים &lt;תשמ"ז&gt;</t>
  </si>
  <si>
    <t>קובץ ישיבת מאמר מרדכי נדבורנה</t>
  </si>
  <si>
    <t>קובץ תורני מים חיים &lt;תשמ"ח&gt;</t>
  </si>
  <si>
    <t>קובץ תורני מרכז התורה</t>
  </si>
  <si>
    <t>רשת הכוללים מרכז התורה</t>
  </si>
  <si>
    <t>קובץ תורני מרכזי &lt;גור&gt; - 9 כר'</t>
  </si>
  <si>
    <t>קובץ תורני משה ואלעזר - 23 כר'</t>
  </si>
  <si>
    <t>קובץ תורני משנת אהרן - 2 כר'</t>
  </si>
  <si>
    <t>קובץ תורני מתושבי ביתר - 3 כר'</t>
  </si>
  <si>
    <t>קובץ תורני מתושבי ביתר</t>
  </si>
  <si>
    <t>קובץ תורני עטרת אברהם - א</t>
  </si>
  <si>
    <t>קהל מאקאווא בני ברק</t>
  </si>
  <si>
    <t>קובץ תורני עטרת זהב</t>
  </si>
  <si>
    <t>קובץ תורני עטרת יוסף</t>
  </si>
  <si>
    <t>בית מדרש גבוה לתורה</t>
  </si>
  <si>
    <t>קובץ תורני עטרת ישראל - 2 כר'</t>
  </si>
  <si>
    <t>קובץ תורני עטרת שלמה</t>
  </si>
  <si>
    <t>ישיבות עטרת שלמה</t>
  </si>
  <si>
    <t>קובץ תורני על מסכת שבת</t>
  </si>
  <si>
    <t>כולל דעת משה</t>
  </si>
  <si>
    <t>קובץ תורני עץ חיים</t>
  </si>
  <si>
    <t>ישיבת ויז'ניץ</t>
  </si>
  <si>
    <t>קובץ תורני צמח צדיק - א</t>
  </si>
  <si>
    <t>כולל צמח צדיק</t>
  </si>
  <si>
    <t>קובץ תורני צעירי ויז'ניץ - שואל ומשיב</t>
  </si>
  <si>
    <t>ארגון צעירי ויז'ניץ</t>
  </si>
  <si>
    <t>קובץ תורני שבילי הדעת - א</t>
  </si>
  <si>
    <t>קהילת חניכי הישיבות צא"י קרית הרצוג</t>
  </si>
  <si>
    <t>קובץ תורני שמחת ירושלים</t>
  </si>
  <si>
    <t>מפעל הירושלמי החדשי</t>
  </si>
  <si>
    <t>קובץ תורני שערי אברהם</t>
  </si>
  <si>
    <t>ישיבה קטנה חוג חתם סופר מחנה אברהם</t>
  </si>
  <si>
    <t>קובץ תורני שערי ציון - תשס"ה</t>
  </si>
  <si>
    <t>כוללי טשכנוב</t>
  </si>
  <si>
    <t>קובץ תורני תורה אור - א</t>
  </si>
  <si>
    <t>ישיבת תורת אליהו</t>
  </si>
  <si>
    <t>קובץ תורני תורת חיים</t>
  </si>
  <si>
    <t>כולל ראשית דרכו - ויז'ניץ מונסי</t>
  </si>
  <si>
    <t>קובץ תורני תפארת התורה - 4 כר'</t>
  </si>
  <si>
    <t>קובץ תורני תפארתך - 3 כר'</t>
  </si>
  <si>
    <t>קובץ תורני - פסחים</t>
  </si>
  <si>
    <t>קובץ תורת אברהם - 3 כר'</t>
  </si>
  <si>
    <t>כולל יששכר באוהליך</t>
  </si>
  <si>
    <t>קובץ תורת אברהם</t>
  </si>
  <si>
    <t>כולל תורת אברהם</t>
  </si>
  <si>
    <t>קובץ תורת אחים</t>
  </si>
  <si>
    <t>קובץ תורת אמך</t>
  </si>
  <si>
    <t>קובץ תורת האהל - 2 כר'</t>
  </si>
  <si>
    <t>כולל להוראה אהל משה</t>
  </si>
  <si>
    <t>קובץ תורת הבאר</t>
  </si>
  <si>
    <t>ישיבת באר חיים</t>
  </si>
  <si>
    <t>קובץ תורת הבית</t>
  </si>
  <si>
    <t>בית המדרש לתורה ותפילה</t>
  </si>
  <si>
    <t>ישיבה לצעירים בית וגן</t>
  </si>
  <si>
    <t>קובץ תורת ההזכרות - ב</t>
  </si>
  <si>
    <t>קובץ תורת החיים</t>
  </si>
  <si>
    <t>ישיבת תורת החיים</t>
  </si>
  <si>
    <t>קובץ תורת הכרם</t>
  </si>
  <si>
    <t>קובץ ת"ת הכרם</t>
  </si>
  <si>
    <t>קובץ תורת הספיקות</t>
  </si>
  <si>
    <t>כולל פרי הארץ</t>
  </si>
  <si>
    <t>קובץ תורת הקורבנות - מסכת מנחות</t>
  </si>
  <si>
    <t>קובץ תורת הקרבנות - 6 כר'</t>
  </si>
  <si>
    <t>קובץ תורת חיים</t>
  </si>
  <si>
    <t>קובץ תורת חיים - עירובין</t>
  </si>
  <si>
    <t>כולל אור שמואל</t>
  </si>
  <si>
    <t>קובץ תורת משה</t>
  </si>
  <si>
    <t>קובץ תורת משה - א</t>
  </si>
  <si>
    <t>כולל תורת משה</t>
  </si>
  <si>
    <t>קובץ תורת נתנאל - ב</t>
  </si>
  <si>
    <t>כולל תורת נתנאל</t>
  </si>
  <si>
    <t>קובץ תורת ציון - א</t>
  </si>
  <si>
    <t>אליהו, ישראל (עורך)</t>
  </si>
  <si>
    <t>קובץ תורת רפאל</t>
  </si>
  <si>
    <t>קובץ תלמודו בידו - כתובות</t>
  </si>
  <si>
    <t>קובץ תמצית הדף - עירובין</t>
  </si>
  <si>
    <t>אהבת תורה - בעלזא</t>
  </si>
  <si>
    <t>קובץ תני דבי אליהו</t>
  </si>
  <si>
    <t>זלמנוביץ, אליהו - הלברשטאם, יקותיאל יהודה בן צבי הירש</t>
  </si>
  <si>
    <t>קובץ תעלץ קריה - חנוכה</t>
  </si>
  <si>
    <t>רבני העיר מודיעין עילית</t>
  </si>
  <si>
    <t>קובץ תפארת בחורים - ברכות</t>
  </si>
  <si>
    <t>בית המדרש תפארת בחורים</t>
  </si>
  <si>
    <t>קובץ תפארת בחורים - 2 כר'</t>
  </si>
  <si>
    <t>הילדסהיימר, משה</t>
  </si>
  <si>
    <t>קובץ תפארת בחורים</t>
  </si>
  <si>
    <t>קובץ תפארת השבת - 3 כר'</t>
  </si>
  <si>
    <t>חסידי ראדזין</t>
  </si>
  <si>
    <t>קובץ תפארת השמחה - 2 כר'</t>
  </si>
  <si>
    <t>קובץ תפארת התלמוד</t>
  </si>
  <si>
    <t>ישיבת תפארת התלמוד</t>
  </si>
  <si>
    <t>קובץ תפארת למשה - 2 כר'</t>
  </si>
  <si>
    <t>מכון תפארת משה</t>
  </si>
  <si>
    <t>קובץ תפארת מרדכי</t>
  </si>
  <si>
    <t>קובץ תפארת צבי - 5 כר'</t>
  </si>
  <si>
    <t>קובץ תפארת שבתפארת - 2 כר'</t>
  </si>
  <si>
    <t>ישיבת אמרי יוסף ספינקא</t>
  </si>
  <si>
    <t>קובץ תפארת שלמה - א</t>
  </si>
  <si>
    <t>קובץ תפארת שמואל - 2 כר'</t>
  </si>
  <si>
    <t>מכון שם משמואל</t>
  </si>
  <si>
    <t>קובץ תפלות לגחש"א</t>
  </si>
  <si>
    <t>חברא קדישא חיפה</t>
  </si>
  <si>
    <t>קובץ תשובות בענייני שיעורים</t>
  </si>
  <si>
    <t>קובץ תשובות הרמב"ם ואגרותיו</t>
  </si>
  <si>
    <t>קובץ תשובות תורה יבקשו מפיהו - תשובות הגר"ח קנייבסקי</t>
  </si>
  <si>
    <t>קובץ תשובות - 5 כר'</t>
  </si>
  <si>
    <t>קובץ - 4 כר'</t>
  </si>
  <si>
    <t>קודש הילולים לה'</t>
  </si>
  <si>
    <t>לוינזון, אברהם חיים</t>
  </si>
  <si>
    <t>קודש הילולים - ערלה ונטע רבעי</t>
  </si>
  <si>
    <t>כולל תורת אריה רפאל</t>
  </si>
  <si>
    <t>קודש הילולים - תהילים</t>
  </si>
  <si>
    <t>שושנה, זבולון בן אברהם</t>
  </si>
  <si>
    <t>קודש הלולים</t>
  </si>
  <si>
    <t>קודש הלולים - 2 כר'</t>
  </si>
  <si>
    <t>פרלמוטר, יפרח בן משה הלוי</t>
  </si>
  <si>
    <t>צנעני, אברהם בן צדוק הלוי</t>
  </si>
  <si>
    <t>הלכה ומנהג, משנה, קבלה, שאלות ותשובות, תפלות בקשות פיוטים ושירה</t>
  </si>
  <si>
    <t>קודש ישראל - 2 כר'</t>
  </si>
  <si>
    <t>קודש ישראל</t>
  </si>
  <si>
    <t>פניאל, ישראל מאיר</t>
  </si>
  <si>
    <t>קוה אל ה' - מצוות אמונה ובטחון</t>
  </si>
  <si>
    <t>קוה אל ה'</t>
  </si>
  <si>
    <t>שטיינברג, יהודה יצחק</t>
  </si>
  <si>
    <t>קוטנרס שביבי אור - שבועות</t>
  </si>
  <si>
    <t>כ"ץ, יעקב</t>
  </si>
  <si>
    <t>קוי אור</t>
  </si>
  <si>
    <t>קול אבות</t>
  </si>
  <si>
    <t>ליטוין, ישראל בן משה</t>
  </si>
  <si>
    <t>קול אברהם - 3 כר'</t>
  </si>
  <si>
    <t>וקסברגר, אברהם בן זאב</t>
  </si>
  <si>
    <t>קול אברך - א</t>
  </si>
  <si>
    <t>קול אומר קרא</t>
  </si>
  <si>
    <t>ראגענדארף</t>
  </si>
  <si>
    <t>קול אומר קרא - 6 כר'</t>
  </si>
  <si>
    <t>קול אלול יום הדין</t>
  </si>
  <si>
    <t>קול אליהו</t>
  </si>
  <si>
    <t>קול אליהו-תפילות והלכות בית העלמין תיקון נפטרים</t>
  </si>
  <si>
    <t>ישיבת דרכי הוראה לרבנים</t>
  </si>
  <si>
    <t>קול אליהו - 4 כר'</t>
  </si>
  <si>
    <t>תקנ"ב - תקס"ז</t>
  </si>
  <si>
    <t>סובל, שלמה בן שמואל</t>
  </si>
  <si>
    <t>קול אמונים - 14 כר'</t>
  </si>
  <si>
    <t>ישיבת שומרי אמונים</t>
  </si>
  <si>
    <t>קול אריה</t>
  </si>
  <si>
    <t>אריה ליב בן יחיאל מיכל המוכיח מפולנאה</t>
  </si>
  <si>
    <t>דרושים, מחשבה ומוסר, שאלות ותשובות, תלמוד בבלי, תפלות בקשות פיוטים ושירה</t>
  </si>
  <si>
    <t>קול אריה - 3 כר'</t>
  </si>
  <si>
    <t>קול בוכים &lt;מהדורה חדשה&gt;</t>
  </si>
  <si>
    <t>גאלאנטי, אברהם בן מרדכי</t>
  </si>
  <si>
    <t>קול בוכים - 2 כר'</t>
  </si>
  <si>
    <t>גאלאנטי, אברהם בן מרדכי - אבן-שועיב, יואל</t>
  </si>
  <si>
    <t>קול בוכים</t>
  </si>
  <si>
    <t>גלאנטי, אברהם בן משה</t>
  </si>
  <si>
    <t>[שפ"א]</t>
  </si>
  <si>
    <t>(פראג)</t>
  </si>
  <si>
    <t>יפית, ברוך בן רפאל זלמן הלוי</t>
  </si>
  <si>
    <t>קלרמן, משה מרדכי</t>
  </si>
  <si>
    <t>דעעש</t>
  </si>
  <si>
    <t>קול בכיי</t>
  </si>
  <si>
    <t>בוכ'ריץ, רחמים בן משה</t>
  </si>
  <si>
    <t>קול בן לוי - 2 כר'</t>
  </si>
  <si>
    <t>הלוי, רפאל בן אליהו</t>
  </si>
  <si>
    <t>קול בניך - 21 כר'</t>
  </si>
  <si>
    <t>קהילת חניכי ישיבת כנסת יצחק חדרה</t>
  </si>
  <si>
    <t>קול בריסק</t>
  </si>
  <si>
    <t>סולובייציק, יוסף דב בן יצחק זאב הלוי - סולוביציק, אהרן בן משה הלוי - סולוביציק י</t>
  </si>
  <si>
    <t>קול ברמ"א נשמע - 5 כר'</t>
  </si>
  <si>
    <t>קול ברמה נשמע</t>
  </si>
  <si>
    <t>קול ברמה</t>
  </si>
  <si>
    <t>הופנברג, אברהם בן חיים</t>
  </si>
  <si>
    <t>יחיאל מיכל בן אברהם מדרויא</t>
  </si>
  <si>
    <t>קוריץ</t>
  </si>
  <si>
    <t>קול גדול &lt;מהדורה חדשה&gt;</t>
  </si>
  <si>
    <t>קול גדול</t>
  </si>
  <si>
    <t>קול דברים</t>
  </si>
  <si>
    <t>אונגער, ישראל</t>
  </si>
  <si>
    <t>קול דוד</t>
  </si>
  <si>
    <t>וויינשטוק, דוד פתחיה בן גרשון</t>
  </si>
  <si>
    <t>דרושים, תולדות עם ישראל, תולדות עם ישראל, תנ"ך, תפלות בקשות פיוטים ושירה</t>
  </si>
  <si>
    <t>קול דודי דופק</t>
  </si>
  <si>
    <t>ברנשטיין, משה</t>
  </si>
  <si>
    <t>קול דודי פתחי לי</t>
  </si>
  <si>
    <t>קול דודי</t>
  </si>
  <si>
    <t>ביינושביץ, יהושע בן מנחם מנדל הלוי</t>
  </si>
  <si>
    <t>ליפשיץ, חיים בן דוד אריה</t>
  </si>
  <si>
    <t>קול דודי - הלכות ליל הסדר</t>
  </si>
  <si>
    <t>פיינשטיין, דוד בן משה</t>
  </si>
  <si>
    <t>קול דודי - 10 כר'</t>
  </si>
  <si>
    <t>פראנד, דוד בן יהודה לייביש הלוי</t>
  </si>
  <si>
    <t>קול דודי, ענה דודי, שירת דודי</t>
  </si>
  <si>
    <t>תשי"ח-תשנ"ד</t>
  </si>
  <si>
    <t>קול דממה דקה</t>
  </si>
  <si>
    <t>קול דממה -  ראש השנה ושופר</t>
  </si>
  <si>
    <t>קול ה' בכח</t>
  </si>
  <si>
    <t>קול החצר - 3 כר'</t>
  </si>
  <si>
    <t>קול היהדות החרדית - ג</t>
  </si>
  <si>
    <t>קול היהדות החרדית</t>
  </si>
  <si>
    <t>קול הישיבה - 2 כר'</t>
  </si>
  <si>
    <t>בטאון בני ישיבות</t>
  </si>
  <si>
    <t>תלמידי ישיבת טעלז</t>
  </si>
  <si>
    <t>קול הקולמוס</t>
  </si>
  <si>
    <t>קול הקורא</t>
  </si>
  <si>
    <t>קול הקורא - 2 כר'</t>
  </si>
  <si>
    <t>רובינפיין, דוד מרדכי בן חיים</t>
  </si>
  <si>
    <t>קול הרמ"ז &lt;מהדורה חדשה&gt;</t>
  </si>
  <si>
    <t>קול הרמ"ז &lt;וקובץ מפרשים על נדרים&gt;</t>
  </si>
  <si>
    <t>מרדכי זאב בן יששכר בר</t>
  </si>
  <si>
    <t>קול הרמ"ז - 5 כר'</t>
  </si>
  <si>
    <t>קול הרמ"ז</t>
  </si>
  <si>
    <t>רוזנטאל, מרדכי זאב בן שלמה גבריאל</t>
  </si>
  <si>
    <t>קול הרמה והפרשה</t>
  </si>
  <si>
    <t>פולאק, שמעון בן משה יהודה</t>
  </si>
  <si>
    <t>קול השבת - 53 כר'</t>
  </si>
  <si>
    <t>בטאון על מפלגתי</t>
  </si>
  <si>
    <t>קול התור נשמע בארצינו</t>
  </si>
  <si>
    <t>אשכנזי, מזל בת אברהם</t>
  </si>
  <si>
    <t>קול התור נשמע בארצנו</t>
  </si>
  <si>
    <t>מרגליות, יהושע השיל בן אליהו</t>
  </si>
  <si>
    <t>קול התור נשמע</t>
  </si>
  <si>
    <t>קול התור</t>
  </si>
  <si>
    <t>אליהו יונה בן יהושע</t>
  </si>
  <si>
    <t>קול התור - 2 כר'</t>
  </si>
  <si>
    <t>ריבלין, הלל בן בנימין משקלוב</t>
  </si>
  <si>
    <t>קול התורה - 2 כר'</t>
  </si>
  <si>
    <t>קול התורה</t>
  </si>
  <si>
    <t>קובץ ישיבת קול תורה</t>
  </si>
  <si>
    <t>קול התורה - 88 כר'</t>
  </si>
  <si>
    <t>קול התחנה</t>
  </si>
  <si>
    <t>תפילות. סליחות. תעניות. תרל"ה. ליוורנו</t>
  </si>
  <si>
    <t>קול התפילה</t>
  </si>
  <si>
    <t>קול זמרה - 2 כר'</t>
  </si>
  <si>
    <t>קול זמרת הארץ</t>
  </si>
  <si>
    <t>קול חדוותא</t>
  </si>
  <si>
    <t>קול חוצב &lt;ר' שלום שבדרון&gt;</t>
  </si>
  <si>
    <t>קול חוצב</t>
  </si>
  <si>
    <t>קול חיל</t>
  </si>
  <si>
    <t>כצנשטיין, יוסף לוי הכהן</t>
  </si>
  <si>
    <t>קול חיפה - א</t>
  </si>
  <si>
    <t>ביהמ"ד להוראה ע"ש ר' אבדימי דמן חיפה</t>
  </si>
  <si>
    <t>קול חתן וקול כלה</t>
  </si>
  <si>
    <t>קול חתן וקול כלה - נישואין בהלכה ובאגדה</t>
  </si>
  <si>
    <t>קול יבשר</t>
  </si>
  <si>
    <t>קול יהודא</t>
  </si>
  <si>
    <t>גרינפלד, יהודה</t>
  </si>
  <si>
    <t>תשמ''ד</t>
  </si>
  <si>
    <t>יהודה ליב בן אליעזר מזלאבין</t>
  </si>
  <si>
    <t>קול יהודה (מתוך מנחת יהודה)</t>
  </si>
  <si>
    <t>קול יהודה בעל הכתבים - 3 כר'</t>
  </si>
  <si>
    <t>קול יהודה ואשת חיל</t>
  </si>
  <si>
    <t>מניני, יהודה הכהן</t>
  </si>
  <si>
    <t>קול יהודה</t>
  </si>
  <si>
    <t>הרוש, יהודה</t>
  </si>
  <si>
    <t>וויס, יקותיאל יהודה</t>
  </si>
  <si>
    <t>קול יהודה - 5 כר'</t>
  </si>
  <si>
    <t>יהודה בן חנינא זליג איש לונטשיץ</t>
  </si>
  <si>
    <t>יהודה ליב בן יוסף רופא</t>
  </si>
  <si>
    <t>יהודה ליב בן ש מיאנוב</t>
  </si>
  <si>
    <t>קול יהודה - 2 כר'</t>
  </si>
  <si>
    <t>כ"ץ, יהודה בן יעקב מאיר</t>
  </si>
  <si>
    <t>תרס"ז - תרס"ח</t>
  </si>
  <si>
    <t>כארי, יהודה דוב בן ישראל</t>
  </si>
  <si>
    <t>קול יהודה - 3 כר'</t>
  </si>
  <si>
    <t>לאבין, יהודה בן צבי הירש</t>
  </si>
  <si>
    <t>סגל, יהודה ליב בן משה</t>
  </si>
  <si>
    <t>ברדיצ'וב</t>
  </si>
  <si>
    <t>משנה, שלחן ערוך ומפרשיו, תלמוד בבלי, תנ"ך, תנ"ך</t>
  </si>
  <si>
    <t>צדקה, יהודה בן שאול</t>
  </si>
  <si>
    <t>קאלישר, יהודה ליב בן צבי הירש</t>
  </si>
  <si>
    <t>קליין, יהודה אריה בן פנחס</t>
  </si>
  <si>
    <t>רובינשטיין, יהודה ליב בן יחיאל</t>
  </si>
  <si>
    <t>רייך, חיים יהודה בן אברהם יחזקאל</t>
  </si>
  <si>
    <t>קול יהודה - א</t>
  </si>
  <si>
    <t>קול יהושע</t>
  </si>
  <si>
    <t>יהושע בן ראובן</t>
  </si>
  <si>
    <t>קול יללת תרועה ושברים</t>
  </si>
  <si>
    <t>ליסה. קהילה</t>
  </si>
  <si>
    <t>קול יעקב &lt;פאפא&gt; - 3 כר'</t>
  </si>
  <si>
    <t>קול יעקב &lt;מהדורה חדשה&gt; - חמש מגילות</t>
  </si>
  <si>
    <t>קול יעקב &lt;סידור&gt;</t>
  </si>
  <si>
    <t>תנ"ך. תרנ"ט. פיטרקוב</t>
  </si>
  <si>
    <t>קול יעקב - 2 כר'</t>
  </si>
  <si>
    <t>קול יעקב</t>
  </si>
  <si>
    <t>גוטקובסקי, יעקב בן אליהו</t>
  </si>
  <si>
    <t>גינצבורג, יעקב משולם בן ישראל</t>
  </si>
  <si>
    <t>קול יעקב - תורה ומועדים</t>
  </si>
  <si>
    <t>זרוק, יעקב בן אברהם</t>
  </si>
  <si>
    <t>קול יעקב - 7 כר'</t>
  </si>
  <si>
    <t>מוסדות נאות יעקב</t>
  </si>
  <si>
    <t>קול יעקב - סוכה א</t>
  </si>
  <si>
    <t>פישר, יעקב יחיאל בן שלמה זלמן</t>
  </si>
  <si>
    <t>צרור, יצחק - חורי, יעקב - מאזוז, מאיר</t>
  </si>
  <si>
    <t>קובץ חידושי תורה חוסט</t>
  </si>
  <si>
    <t>חסידות, מועדי ישראל, קבצים וכתבי עת, ספרי זכרון ויובל, תולדות עם ישראל</t>
  </si>
  <si>
    <t>קול יעקב - 3 כר'</t>
  </si>
  <si>
    <t>[תרכ"ה],</t>
  </si>
  <si>
    <t>קול יעקב - 5 כר'</t>
  </si>
  <si>
    <t>רוזיניטץ, אליעזר יעקב</t>
  </si>
  <si>
    <t>רויזניטץ, יעקב אליעזר</t>
  </si>
  <si>
    <t>שאול, יעקב מאיזמיר</t>
  </si>
  <si>
    <t>שיפרין, יעקב בן יהודה ליב</t>
  </si>
  <si>
    <t>תלמידי ישיבת רבינו יעקב יוסף</t>
  </si>
  <si>
    <t>תפילות. סידור. תקס"ד. סלויטה</t>
  </si>
  <si>
    <t>תפילות. סידור. תרי"ט. למברג</t>
  </si>
  <si>
    <t>קול יצחק</t>
  </si>
  <si>
    <t>אביגדור, יצחק חיים בן יעקב</t>
  </si>
  <si>
    <t>קול ירושלים - 4 כר'</t>
  </si>
  <si>
    <t>בית מדרש קול ירושלים</t>
  </si>
  <si>
    <t>קול ירושלים - 10 כר'</t>
  </si>
  <si>
    <t>קול ישועה</t>
  </si>
  <si>
    <t>תאומים, יונה</t>
  </si>
  <si>
    <t>קול ישראל אנתלוגיה לחזנות  - א</t>
  </si>
  <si>
    <t>גשורי, מאיר שמעון בן אלעזר</t>
  </si>
  <si>
    <t>קול ישראל - 4 כר'</t>
  </si>
  <si>
    <t>הסתדרות צעירי אגודת ישראל בירושלים</t>
  </si>
  <si>
    <t>קול מביאים תודה</t>
  </si>
  <si>
    <t>בית המדרש הגבוה להלכה בהתישבות</t>
  </si>
  <si>
    <t>קול מבש"ר</t>
  </si>
  <si>
    <t>קול מבשר &lt;מהדורה חדשה&gt; - 2 כר'</t>
  </si>
  <si>
    <t>קול מבשר</t>
  </si>
  <si>
    <t>בריסק, שלמה</t>
  </si>
  <si>
    <t>נתנאל בן נחמיה מווארשא</t>
  </si>
  <si>
    <t>קול מבשר - 2 כר'</t>
  </si>
  <si>
    <t>תשט"ו - תשכ"ב</t>
  </si>
  <si>
    <t>רוזיליו, משה בן שלמה</t>
  </si>
  <si>
    <t>תרס"ח - תשנ"ח</t>
  </si>
  <si>
    <t>רופא, יעקב יוסף</t>
  </si>
  <si>
    <t>שטיין, משה אהרן</t>
  </si>
  <si>
    <t>קול מהיכל &lt;ואלקין&gt; - 9 כר'</t>
  </si>
  <si>
    <t>ישיבת פרעשבורג</t>
  </si>
  <si>
    <t>קול מהיכל - 2 כר'</t>
  </si>
  <si>
    <t>קול מוסר</t>
  </si>
  <si>
    <t>מודון, שמשון בן יעקב שמשון הכהן</t>
  </si>
  <si>
    <t>קול מחזיקי הדת - 3 כר'</t>
  </si>
  <si>
    <t>חברת מחזיקי הדת</t>
  </si>
  <si>
    <t>קול מחזיקי הדת - 5 כר'</t>
  </si>
  <si>
    <t>ירחון חינוכי ברוח התורה והחסידות</t>
  </si>
  <si>
    <t>קול מחזיקי הדת - א-ב</t>
  </si>
  <si>
    <t>קלוזש</t>
  </si>
  <si>
    <t>קול מנחם &lt;קאליב&gt; - 12 כר'</t>
  </si>
  <si>
    <t>קול מנחם</t>
  </si>
  <si>
    <t>אדלר, קלמן</t>
  </si>
  <si>
    <t>קול מצהלות חתנים</t>
  </si>
  <si>
    <t>קול מצהלות</t>
  </si>
  <si>
    <t>אורצל, אליהו יהושע</t>
  </si>
  <si>
    <t>קול מציון - אמרי ציון</t>
  </si>
  <si>
    <t>הספדים על רבי בן ציון פריימן - שילדקרויט, בן-ציון חיים בן אהרן משה</t>
  </si>
  <si>
    <t>קול מציון</t>
  </si>
  <si>
    <t>הספדים על רבי בן ציון פריימן זצ"ל</t>
  </si>
  <si>
    <t>קול מרדכי</t>
  </si>
  <si>
    <t>פינטר, יואל משה בן מרדכי</t>
  </si>
  <si>
    <t>קול משה</t>
  </si>
  <si>
    <t>קול נהי ארימה - הספדים על ר' דוד פוברסקי זצ"ל</t>
  </si>
  <si>
    <t>קול נהי בכי תמרורים</t>
  </si>
  <si>
    <t>בירברויר, חיים אלטר בן ישעיה</t>
  </si>
  <si>
    <t>קול נהי ומספד מר</t>
  </si>
  <si>
    <t>דוקטורוביץ, נפתלי בן שאול שלום הלוי</t>
  </si>
  <si>
    <t>קול נהי</t>
  </si>
  <si>
    <t>גורדון, יהודה ליב בן מאיר?</t>
  </si>
  <si>
    <t>קול נהי - הספדים על מו"ר רפאל יונה טיקוצ'ינסקי</t>
  </si>
  <si>
    <t>ווינר, יצחק בן שמעון</t>
  </si>
  <si>
    <t>חאמיידס, זוסיה</t>
  </si>
  <si>
    <t>סג"ל, שלמה יחזקאל בן שמואל</t>
  </si>
  <si>
    <t>פראג. חברה קדישא גומלי חסדים</t>
  </si>
  <si>
    <t>צרנדורף, אברהם בן ליפמאן הלוי</t>
  </si>
  <si>
    <t>קול נפתלי</t>
  </si>
  <si>
    <t>גולדברג, נפתלי</t>
  </si>
  <si>
    <t>דרושים, משנה, משנה, תנ"ך</t>
  </si>
  <si>
    <t>קול סופר &lt;מהדורה חדשה&gt; - 3 כר'</t>
  </si>
  <si>
    <t>קול סופר ונבכי נהרות - מקואות</t>
  </si>
  <si>
    <t>סופר, חיים בן מרדכי אפרים פישל - אלטמן, אליעזר זוסמאן בן שמשון</t>
  </si>
  <si>
    <t>קול סופר</t>
  </si>
  <si>
    <t>קול סופרים</t>
  </si>
  <si>
    <t>קול סיני - 43 כר'</t>
  </si>
  <si>
    <t>אברג'ל, יעקב ישראל</t>
  </si>
  <si>
    <t>קול צבי - 9 כר'</t>
  </si>
  <si>
    <t>קול צהלה</t>
  </si>
  <si>
    <t>הורוויץ, צדוק בן שמואל הלוי</t>
  </si>
  <si>
    <t>דרושים, הלכה ומנהג, שאלות ותשובות, תנ"ך</t>
  </si>
  <si>
    <t>קול צופיך</t>
  </si>
  <si>
    <t>קול צופיך - 3 כר'</t>
  </si>
  <si>
    <t>קול צופיך - 2 כר'</t>
  </si>
  <si>
    <t>קול צעקת הרועים</t>
  </si>
  <si>
    <t>בן גיגי, אליהו</t>
  </si>
  <si>
    <t>קול קהל ישראל</t>
  </si>
  <si>
    <t>קול קול יעקב</t>
  </si>
  <si>
    <t>המבורגר, יעקב בן מרדכי</t>
  </si>
  <si>
    <t>קול קורא</t>
  </si>
  <si>
    <t>קול רחל - עטרת שלמה</t>
  </si>
  <si>
    <t>קול רינה וישועה באהלי צדיקים</t>
  </si>
  <si>
    <t>קול רינה - 2 כר'</t>
  </si>
  <si>
    <t>קול רנה וישועה</t>
  </si>
  <si>
    <t>עבאדי, ישועה</t>
  </si>
  <si>
    <t>קול רנה - 2 כר'</t>
  </si>
  <si>
    <t>הירשבערג, נתן בן משה</t>
  </si>
  <si>
    <t>קול רנה</t>
  </si>
  <si>
    <t>כהן-ביסטריץ, מאיר בן ישעיהו</t>
  </si>
  <si>
    <t>וויען,</t>
  </si>
  <si>
    <t>קול רעש גדול</t>
  </si>
  <si>
    <t>קול רפאל</t>
  </si>
  <si>
    <t>קול שופר חזק מאד</t>
  </si>
  <si>
    <t>קול שופר</t>
  </si>
  <si>
    <t>קול שמואל</t>
  </si>
  <si>
    <t>קול שמחה &lt;מהדורה המסורה&gt;</t>
  </si>
  <si>
    <t>חסידות, שלחן ערוך ומפרשיו, תלמוד בבלי, תנ"ך</t>
  </si>
  <si>
    <t>קול שמחה &lt;מהדורה חדשה&gt;</t>
  </si>
  <si>
    <t>קול שמחה לחתן ולכלה</t>
  </si>
  <si>
    <t>קול שמחה</t>
  </si>
  <si>
    <t>ברויאר, שמחה בונם בן בנימין זאב</t>
  </si>
  <si>
    <t>קול שמחה - 6 כר'</t>
  </si>
  <si>
    <t>הולין, שמחה יונה בן חיים אריה</t>
  </si>
  <si>
    <t>[תרע"ג,</t>
  </si>
  <si>
    <t>רפאפורט, שמחה בן גרשון</t>
  </si>
  <si>
    <t>קול שמחה - 3 כר'</t>
  </si>
  <si>
    <t>קול שמעון - סוטה</t>
  </si>
  <si>
    <t>מימון, אברהם</t>
  </si>
  <si>
    <t>קול ששון &lt;מכון הכתב&gt;</t>
  </si>
  <si>
    <t>ששון מרדכי משה</t>
  </si>
  <si>
    <t>קול ששון וקול שמחה</t>
  </si>
  <si>
    <t>קול ששון - &lt;מגילת אסתר עם פירוש הראב"ע ופירוש פתוחי חותם&gt;</t>
  </si>
  <si>
    <t>פירשטנטאל,רפאל בן יעקב</t>
  </si>
  <si>
    <t>קראטאשין,</t>
  </si>
  <si>
    <t>קול ששון - מועדים</t>
  </si>
  <si>
    <t>פנירי, ששון בן יעקב</t>
  </si>
  <si>
    <t>קול ששון</t>
  </si>
  <si>
    <t>[תשט"ו,</t>
  </si>
  <si>
    <t>קול תודה - 5 כר'</t>
  </si>
  <si>
    <t>ארגון לעולם אודך</t>
  </si>
  <si>
    <t>קול תודה</t>
  </si>
  <si>
    <t>כהן, ברוך בן יצחק</t>
  </si>
  <si>
    <t>קול תורה &lt;סדרה ישנה&gt; - 13 כר'</t>
  </si>
  <si>
    <t>קול תורה</t>
  </si>
  <si>
    <t>כולל הרבנים בבריטניא</t>
  </si>
  <si>
    <t>גייטסהעד,</t>
  </si>
  <si>
    <t>קול תורה - 10 כר'</t>
  </si>
  <si>
    <t>פאביאנץ</t>
  </si>
  <si>
    <t>קול תורה - 31 כר'</t>
  </si>
  <si>
    <t>קול תורה - (ש"ס)</t>
  </si>
  <si>
    <t>קול תורה - א</t>
  </si>
  <si>
    <t>ווארשה</t>
  </si>
  <si>
    <t>קול תורה - 2 כר'</t>
  </si>
  <si>
    <t>תלמידי בית מדרש עליון</t>
  </si>
  <si>
    <t>קול תחנה קול טחנה</t>
  </si>
  <si>
    <t>קול תרועה</t>
  </si>
  <si>
    <t>אש, נחום בן דוד צבי</t>
  </si>
  <si>
    <t>קולה של ירושלים</t>
  </si>
  <si>
    <t>קרן בנין ירושלים</t>
  </si>
  <si>
    <t>קולו של יעקב</t>
  </si>
  <si>
    <t>תרנ"ג - תרנ"ד</t>
  </si>
  <si>
    <t>קולי יעקב - 2 כר'</t>
  </si>
  <si>
    <t>מאיר בן יצחק איזיק</t>
  </si>
  <si>
    <t>בילגוריBilgoraj</t>
  </si>
  <si>
    <t>קולמוס הלב</t>
  </si>
  <si>
    <t>קולמוס יוסף</t>
  </si>
  <si>
    <t>קולמוס - 123 כר'</t>
  </si>
  <si>
    <t>מוסף תורני</t>
  </si>
  <si>
    <t>קולמוס</t>
  </si>
  <si>
    <t>קול משמרת סת"ם</t>
  </si>
  <si>
    <t>קולן של סופרים</t>
  </si>
  <si>
    <t>קולן של סופרים - נזיקין א</t>
  </si>
  <si>
    <t>קום התהלך בארץ</t>
  </si>
  <si>
    <t>קומי אורי</t>
  </si>
  <si>
    <t>קומי רוני בלילה</t>
  </si>
  <si>
    <t>בדרה, יוסף</t>
  </si>
  <si>
    <t>קומי רני</t>
  </si>
  <si>
    <t>קומץ הארי - 2 כר'</t>
  </si>
  <si>
    <t>פשקס, יעקב אריה</t>
  </si>
  <si>
    <t>קומץ החלה</t>
  </si>
  <si>
    <t>קומץ המנחה &lt;מהדורת הר ברכה&gt;</t>
  </si>
  <si>
    <t>קומץ המנחה - מנחות</t>
  </si>
  <si>
    <t>פוריס, אברהם אליעזר בן לוי צבי</t>
  </si>
  <si>
    <t>קומץ המנחה - 2 כר'</t>
  </si>
  <si>
    <t>קומץ המנחה</t>
  </si>
  <si>
    <t>קונדריס - 10 כר'</t>
  </si>
  <si>
    <t>קונוטרס אוספי שביעית</t>
  </si>
  <si>
    <t>קונטרוס ברכות והודאות - 2 כר'</t>
  </si>
  <si>
    <t>קונטריס השמות &lt;רוח נאמן&gt;</t>
  </si>
  <si>
    <t>קונטריס השמיטה</t>
  </si>
  <si>
    <t>קונטרס  מאמרי ימי הרצון</t>
  </si>
  <si>
    <t>קונטרס "ליל הבדולח"</t>
  </si>
  <si>
    <t>מכון היהדות החרדית</t>
  </si>
  <si>
    <t>קונטרס אאביך ביום מבך</t>
  </si>
  <si>
    <t>בן אשר, משה</t>
  </si>
  <si>
    <t>קונטרס אאדה עד חוג שמים</t>
  </si>
  <si>
    <t>לינצ'נר, ח. שלמה</t>
  </si>
  <si>
    <t>קונטרס אאזרך</t>
  </si>
  <si>
    <t>קונטרס אארוג לשבת</t>
  </si>
  <si>
    <t>קובץ כולל ספרא</t>
  </si>
  <si>
    <t>קונטרס אב באריאל</t>
  </si>
  <si>
    <t>סתיו, אברהם</t>
  </si>
  <si>
    <t>קונטרס אב ישראל - 3 כר'</t>
  </si>
  <si>
    <t>קונטרס אב לאחים</t>
  </si>
  <si>
    <t>קונטרס אבא באהל - נדה</t>
  </si>
  <si>
    <t>קונטרס אבא זכרונו לברכה</t>
  </si>
  <si>
    <t>הלפרן, נחום יואל בן חיים יעקב</t>
  </si>
  <si>
    <t>קונטרס אבא חלקיה</t>
  </si>
  <si>
    <t>קונטרס אבא שבת</t>
  </si>
  <si>
    <t>כהן, ישראל בן משה</t>
  </si>
  <si>
    <t>קונטרס אבדת הפר"ח</t>
  </si>
  <si>
    <t>טויב, שלום בן יהודה יחיאל</t>
  </si>
  <si>
    <t>קונטרס אבוא ביתך</t>
  </si>
  <si>
    <t>ישיבת מאור התלמוד רחובות</t>
  </si>
  <si>
    <t>שפירא, ירמיהו</t>
  </si>
  <si>
    <t>קונטרס אבות עטרה לבנים</t>
  </si>
  <si>
    <t>אבות עטרה לבנים</t>
  </si>
  <si>
    <t>מועדי ישראל, נושאים שונים, קבצים וכתבי עת, ספרי זכרון ויובל</t>
  </si>
  <si>
    <t>קונטרס אבי הבן והסנדק</t>
  </si>
  <si>
    <t>קונטרס אבי רבי - מרן הגרע"י יוסף</t>
  </si>
  <si>
    <t>קונטרס אבידה מדעת</t>
  </si>
  <si>
    <t>אברהם, שלום אהרן</t>
  </si>
  <si>
    <t>קונטרס אביר יעקב</t>
  </si>
  <si>
    <t>הורוויץ, יעקב שרגא פייוויש</t>
  </si>
  <si>
    <t>קונטרס אבן אליעזר</t>
  </si>
  <si>
    <t>קונטרס אבן הבנים</t>
  </si>
  <si>
    <t>קונטרס אבן הראשה</t>
  </si>
  <si>
    <t>מכון נחלי אמונה סלאנים באר אברהם</t>
  </si>
  <si>
    <t>קונטרס אבן שהם</t>
  </si>
  <si>
    <t>טובול, משה</t>
  </si>
  <si>
    <t>סולובייצ'יק, משה בן חיים הלוי</t>
  </si>
  <si>
    <t>קונטרס אבן שלמה - 3 כר'</t>
  </si>
  <si>
    <t>מוריאל, אברהם בן שלמה הלוי</t>
  </si>
  <si>
    <t>קונטרס אבן שמואל</t>
  </si>
  <si>
    <t>בכור שלמה, אפרים בן שמואל</t>
  </si>
  <si>
    <t>קונטרס אבני כירה</t>
  </si>
  <si>
    <t>בראך, בנימין</t>
  </si>
  <si>
    <t>קונטרס אבני שהם</t>
  </si>
  <si>
    <t>קונטרס אבנים שלמות</t>
  </si>
  <si>
    <t>קונטרס אברהם יגל</t>
  </si>
  <si>
    <t>קונטרס אגרא דבי הילולא</t>
  </si>
  <si>
    <t>קונטרס אגרא דשמעתא</t>
  </si>
  <si>
    <t>וינטרוב, נפתלי בן שמואל</t>
  </si>
  <si>
    <t>קונטרס אגרות מאמר מרדכי</t>
  </si>
  <si>
    <t>קונטרס אגרת החיים</t>
  </si>
  <si>
    <t>קונטרס אדמורי בית בעלזא</t>
  </si>
  <si>
    <t>קונטרס אדמת קודש</t>
  </si>
  <si>
    <t>הוועד להצלת בית העלמין מקום קבורת מרן רבי ישראל סלנטר</t>
  </si>
  <si>
    <t>קונטרס אדני פז</t>
  </si>
  <si>
    <t>פלדשטיין, שלמה זלמן</t>
  </si>
  <si>
    <t>קונטרס אדרת של אליהו</t>
  </si>
  <si>
    <t>קונטרס אדרת שנער</t>
  </si>
  <si>
    <t>יצחק בן משה</t>
  </si>
  <si>
    <t>קונטרס אהבה רבה</t>
  </si>
  <si>
    <t>קונטרס אהבת איתן</t>
  </si>
  <si>
    <t>ויינבערג, נתן דוד בן מרדכי</t>
  </si>
  <si>
    <t>קונטרס אהבת כלולותיך</t>
  </si>
  <si>
    <t>קונטרס אהבת שמואל</t>
  </si>
  <si>
    <t>קסלר, שמואל בן מנחם</t>
  </si>
  <si>
    <t>קונטרס אהוביו של מקום - 2 כר'</t>
  </si>
  <si>
    <t>קקון, יוסף</t>
  </si>
  <si>
    <t>קונטרס אהל מרים</t>
  </si>
  <si>
    <t>קונטרס אהל רבקה</t>
  </si>
  <si>
    <t>בלכמן, צבי אריה בן מנחם מנדל</t>
  </si>
  <si>
    <t>קונטרס אהל שרה</t>
  </si>
  <si>
    <t>קונטרס אהל תורה - מכות</t>
  </si>
  <si>
    <t>קונטרס אהלי דעת - 7 כר'</t>
  </si>
  <si>
    <t>קונטרס אהלי צדיקים</t>
  </si>
  <si>
    <t>קונטרס אובנתא דליבא - מזוזה</t>
  </si>
  <si>
    <t>חבורת אליבא דהלכתא</t>
  </si>
  <si>
    <t>קונטרס אודה את השם</t>
  </si>
  <si>
    <t>ביהמ"ד אלכסנדר קליוולנד</t>
  </si>
  <si>
    <t>קונטרס אוהב משפט</t>
  </si>
  <si>
    <t>קונטרס אויבינו פלילים</t>
  </si>
  <si>
    <t>אשכול, אסף</t>
  </si>
  <si>
    <t>קונטרס אונאת דברים וגניבת דעת</t>
  </si>
  <si>
    <t>קונטרס אונאת דברים</t>
  </si>
  <si>
    <t>קונטרס אוסף ידיעות מעניינות</t>
  </si>
  <si>
    <t>קונטרס אופן הדלקת המנורה בעת הנס חנוכה</t>
  </si>
  <si>
    <t>קונטרס אופני ריבית מצויים</t>
  </si>
  <si>
    <t>קונטרס אוצר הפתגמים ודבר ענין בעניינו</t>
  </si>
  <si>
    <t>קונטרס אוצר ציונים - 13 כר'</t>
  </si>
  <si>
    <t>פרבשטיין, שמחה בונם</t>
  </si>
  <si>
    <t>קונטרס אוצרות אור</t>
  </si>
  <si>
    <t>גולדמן, אברהם בן מרדכי מזוועיל</t>
  </si>
  <si>
    <t>קונטרס אור אליהו - אליבא דהלכתא</t>
  </si>
  <si>
    <t>כולל משכן שלום וציון - משכן משה</t>
  </si>
  <si>
    <t>קונטרס אור האמונה</t>
  </si>
  <si>
    <t>רבינוביץ, גדליה אהרן</t>
  </si>
  <si>
    <t>קונטרס אור הגנוז - חנוכה</t>
  </si>
  <si>
    <t>קונטרס אור החנוכה</t>
  </si>
  <si>
    <t>גינזבערג, מרדכי</t>
  </si>
  <si>
    <t>קונטרס אור הכולל - ב</t>
  </si>
  <si>
    <t>כולל עבודת לוי</t>
  </si>
  <si>
    <t>קונטרס אור המאיר - על עניני חנוכה</t>
  </si>
  <si>
    <t>חברת מחזיקי תורה דחסידי בעלזא</t>
  </si>
  <si>
    <t>קונטרס אור הפורים</t>
  </si>
  <si>
    <t>צלר, יונה</t>
  </si>
  <si>
    <t>קונטרס אור השבת</t>
  </si>
  <si>
    <t>אסלן, אליהו</t>
  </si>
  <si>
    <t>טאו, משה פייוול</t>
  </si>
  <si>
    <t>קונטרס אור השמחה</t>
  </si>
  <si>
    <t>קונטרס אור השמיטה</t>
  </si>
  <si>
    <t>קונטרס אור ועבודת שמירת העיניים</t>
  </si>
  <si>
    <t>קונטרס אור יוחנן</t>
  </si>
  <si>
    <t>אדמו"ר מטאלנא</t>
  </si>
  <si>
    <t>קונטרס אור יקרות</t>
  </si>
  <si>
    <t>ירושלמי, עידן בן דניאל</t>
  </si>
  <si>
    <t>קונטרס אור ליהודים</t>
  </si>
  <si>
    <t>שורץ, מיכאל בן יחיאל שרגא</t>
  </si>
  <si>
    <t>קונטרס אור מנחם</t>
  </si>
  <si>
    <t>הוכברגר, מנחם בן יעקב</t>
  </si>
  <si>
    <t>קונטרס אור עולם</t>
  </si>
  <si>
    <t>קונטרס אור ראש השנה</t>
  </si>
  <si>
    <t>קונטרס אור שבעת הימים</t>
  </si>
  <si>
    <t>קונטרס אורות החיים</t>
  </si>
  <si>
    <t>קונטרס אורות המועדים - 3 כר'</t>
  </si>
  <si>
    <t>קונטרס אורות חיים - 2 כר'</t>
  </si>
  <si>
    <t>מייזליש, חיים צבי</t>
  </si>
  <si>
    <t>קונטרס אורח אהרן</t>
  </si>
  <si>
    <t>קונטרס אורח חיים - אדר</t>
  </si>
  <si>
    <t>מעיין החיים - צאנז</t>
  </si>
  <si>
    <t>קונטרס אורח חכמים</t>
  </si>
  <si>
    <t>קונטרס אורח ישר - וסתות</t>
  </si>
  <si>
    <t>קונטרס אורח לצדיק</t>
  </si>
  <si>
    <t>קונטרס אורחות לשון</t>
  </si>
  <si>
    <t>קונטרס אורי וישעי - חנוכה</t>
  </si>
  <si>
    <t>דבדה, אברהם</t>
  </si>
  <si>
    <t>קונטרס אורך האמה</t>
  </si>
  <si>
    <t>נאה, אברהם חיים - נאה מנחם</t>
  </si>
  <si>
    <t>קונטרס אורך ימים - כיבוד אב ואם</t>
  </si>
  <si>
    <t>קונטרס אות ברית</t>
  </si>
  <si>
    <t>קונטרס אות עולם - שבת</t>
  </si>
  <si>
    <t>שטראוס, שלמה יהודה</t>
  </si>
  <si>
    <t>קונטרס אותה אבקש</t>
  </si>
  <si>
    <t>קונטרס אז אמר שלמה</t>
  </si>
  <si>
    <t>וולבה, שלמה - שקאלר, חיים אהרן</t>
  </si>
  <si>
    <t>קונטרס אז ישיר - מאזני צדק</t>
  </si>
  <si>
    <t>זהורי, אבירן בן אבנר</t>
  </si>
  <si>
    <t>קונטרס אז ישיר</t>
  </si>
  <si>
    <t>רובינשטיין, אשר זעליג הכהן</t>
  </si>
  <si>
    <t>קונטרס אז נדברו - 4 כר'</t>
  </si>
  <si>
    <t>קונטרס אז רב ניסים</t>
  </si>
  <si>
    <t>קונטרס אחר כותלנו</t>
  </si>
  <si>
    <t>קונטרס אחר כתלנו - 2 כר'</t>
  </si>
  <si>
    <t>קונטרס אחרית האדם בעולם הזה</t>
  </si>
  <si>
    <t>קונטרס איי הים</t>
  </si>
  <si>
    <t>פוגל, אהרן יחיאל יעקב</t>
  </si>
  <si>
    <t>קונטרס איך נשיר</t>
  </si>
  <si>
    <t>קונטרס אילו של אברהם</t>
  </si>
  <si>
    <t>פינקלשטיין, אברהם</t>
  </si>
  <si>
    <t>קונטרס אילת אהבים</t>
  </si>
  <si>
    <t>קונטרס אילת אהבים - פנינים מבעל אילת השחר</t>
  </si>
  <si>
    <t>קונטרס אין אבדה כאבדת הזמן</t>
  </si>
  <si>
    <t>קונטרס אין בין</t>
  </si>
  <si>
    <t>כהן, יהודה בן אהרן</t>
  </si>
  <si>
    <t>קונטרס אין למו מכשול</t>
  </si>
  <si>
    <t>קונטרס איסור והיתר</t>
  </si>
  <si>
    <t>איפרגן,  עמנואל אבינועם</t>
  </si>
  <si>
    <t>קונטרס איסור פריעת ראש של נשים</t>
  </si>
  <si>
    <t>משמרת הצניעות, ניו יורק</t>
  </si>
  <si>
    <t>קונטרס איסור פתיחת כלים</t>
  </si>
  <si>
    <t>קונטרס איש איטר</t>
  </si>
  <si>
    <t>גריינמן, אברהם ישעיה</t>
  </si>
  <si>
    <t>קנייבסקי, שמריהו יוסף חיים בן יעקב ישראל - גריססגאטט, יהושע חיים</t>
  </si>
  <si>
    <t>קונטרס איש ימיני</t>
  </si>
  <si>
    <t>קונטרס אך בצלם</t>
  </si>
  <si>
    <t>קונטרס אכסניא של תורה</t>
  </si>
  <si>
    <t>מתיבתא תורה ויראה דרב"י מסאטמר</t>
  </si>
  <si>
    <t>נ"י</t>
  </si>
  <si>
    <t>קונטרס אל גנת אגוז ירדתי</t>
  </si>
  <si>
    <t>קונטרס אל חנן</t>
  </si>
  <si>
    <t>כהן, אלחנן בן אברהם</t>
  </si>
  <si>
    <t>קונטרס אל מול פני המנורה - 2 כר'</t>
  </si>
  <si>
    <t>קונטרס אל תגעו במשיחי</t>
  </si>
  <si>
    <t>ועד מחזיקי החינוך הישן</t>
  </si>
  <si>
    <t>קונטרס אל תפנו</t>
  </si>
  <si>
    <t>שטיין, יצחק</t>
  </si>
  <si>
    <t>קונטרס אלו לעומת אלו</t>
  </si>
  <si>
    <t>קונטרס אלול אני לדודי ודודי לי</t>
  </si>
  <si>
    <t>קונטרס אלון בכות</t>
  </si>
  <si>
    <t>הספדים על הרב חיים שלום פרוש זצ"ל</t>
  </si>
  <si>
    <t>קונטרס אלמוגי הים</t>
  </si>
  <si>
    <t>טולידנו, יעקב ישראל</t>
  </si>
  <si>
    <t>קונטרס אלפים באמה</t>
  </si>
  <si>
    <t>קונטרס אלקי אבי בעזרי</t>
  </si>
  <si>
    <t>קונטרס אם אמרתי</t>
  </si>
  <si>
    <t>ארנטרוי, אליהו משה הכהן</t>
  </si>
  <si>
    <t>קונטרס אם אשכחך ירושלים</t>
  </si>
  <si>
    <t>קונטרס אם בחקתי</t>
  </si>
  <si>
    <t>מושקט, איתמר</t>
  </si>
  <si>
    <t>קונטרס אם הבנים שמחה</t>
  </si>
  <si>
    <t>משפחת מונסונייגו</t>
  </si>
  <si>
    <t>קונטרס אם כסף תלוה</t>
  </si>
  <si>
    <t>אומן, יחיאל</t>
  </si>
  <si>
    <t>קונטרס אמונת אהרן</t>
  </si>
  <si>
    <t>היילפרין, אהרן</t>
  </si>
  <si>
    <t>קונטרס אמונת חיים - 2 כר'</t>
  </si>
  <si>
    <t>אמונת חיים</t>
  </si>
  <si>
    <t>קונטרס אמונת חכמים</t>
  </si>
  <si>
    <t>קונטרס אמונת עתיך - תשנ"ט</t>
  </si>
  <si>
    <t>ברוקלין ניו יורק</t>
  </si>
  <si>
    <t>קונטרס אמירה בחצות</t>
  </si>
  <si>
    <t>כהן, בן ציון בן יוסף</t>
  </si>
  <si>
    <t>קונטרס אמירה נעימה</t>
  </si>
  <si>
    <t>ילקוט תארי כבוד ומליצות</t>
  </si>
  <si>
    <t>קונטרס אמר רבי עקיבא</t>
  </si>
  <si>
    <t>ברנדסדורפר, משה יעקב בן ידידיה</t>
  </si>
  <si>
    <t>קונטרס אמרות דעת</t>
  </si>
  <si>
    <t>מנדה, רפאל</t>
  </si>
  <si>
    <t>קונטרס אמרי אברהם</t>
  </si>
  <si>
    <t>שרון, אביחי אברהם בן יהונתן</t>
  </si>
  <si>
    <t>קונטרס אמרי דבש - 2 כר'</t>
  </si>
  <si>
    <t>שטרנבוך, אלכסנדר זיסקינד בן דב</t>
  </si>
  <si>
    <t>קונטרס אמרי דוד</t>
  </si>
  <si>
    <t>קונטרס אמרי חן - 2 כר'</t>
  </si>
  <si>
    <t>לוונברג, יהודה העשיל</t>
  </si>
  <si>
    <t>קונטרס אמרי יבמין</t>
  </si>
  <si>
    <t>קונטרס אמרי יהושע</t>
  </si>
  <si>
    <t>דומב, יהושע</t>
  </si>
  <si>
    <t>קונטרס אמרי יוסף - 3 כר'</t>
  </si>
  <si>
    <t>בר ששת, יוסף אליהו בן דוד שלמה</t>
  </si>
  <si>
    <t>קונטרס אמרי ישראל</t>
  </si>
  <si>
    <t>ישראל נתן בן מאיר דן</t>
  </si>
  <si>
    <t>בילוגריי</t>
  </si>
  <si>
    <t>קונטרס אמרי ישראל - תחומין בכלים</t>
  </si>
  <si>
    <t>שפיגל, ישראל מאיר בן טוביה</t>
  </si>
  <si>
    <t>קונטרס אמרי מרדכי - 5 כר'</t>
  </si>
  <si>
    <t>פיש, מרדכי</t>
  </si>
  <si>
    <t>קונטרס אמרי מרדכי</t>
  </si>
  <si>
    <t>קוקיס, מרדכי</t>
  </si>
  <si>
    <t>קונטרס אמרי סוכה</t>
  </si>
  <si>
    <t>בני ברק;</t>
  </si>
  <si>
    <t>קונטרס אמרי פי</t>
  </si>
  <si>
    <t>פרידמן, יחיאל מיכל בן יעקב צבי הלוי</t>
  </si>
  <si>
    <t>מנסשתר</t>
  </si>
  <si>
    <t>קונטרס אמרי פי - מלבן</t>
  </si>
  <si>
    <t>פרקש, ישראל בן משה אהרן</t>
  </si>
  <si>
    <t>קונטרס אמרי פנחס</t>
  </si>
  <si>
    <t>בלאס, פנחס בן מנחם יוסף</t>
  </si>
  <si>
    <t>קונטרס אמרי צבי - פורים</t>
  </si>
  <si>
    <t>פרידמן, צבי אריה</t>
  </si>
  <si>
    <t>קונטרס אמרי שפר</t>
  </si>
  <si>
    <t>לוי, נפתלי יעקב צבי</t>
  </si>
  <si>
    <t>משנה, שלחן ערוך ומפרשיו, תלמוד בבלי, תלמוד בבלי, תלמוד בבלי</t>
  </si>
  <si>
    <t>קונטרס אמרת צדקך</t>
  </si>
  <si>
    <t>הראל, שלום בן אריה יהודה</t>
  </si>
  <si>
    <t>קונטרס אמת ואמונה</t>
  </si>
  <si>
    <t>חבורת ויואל משה</t>
  </si>
  <si>
    <t>קונטרס אמת ליעקב</t>
  </si>
  <si>
    <t>וייסברגר, משה טוביה בן יעקב</t>
  </si>
  <si>
    <t>נסיר, יעקב בן משה חיים</t>
  </si>
  <si>
    <t>קונטרס אמת מארץ תצמח</t>
  </si>
  <si>
    <t>נאמן, שלמה</t>
  </si>
  <si>
    <t>קונטרס אמת מארץ</t>
  </si>
  <si>
    <t>קונטרס אני לדודי</t>
  </si>
  <si>
    <t>קונטרס אניות סוחר</t>
  </si>
  <si>
    <t>קונטרס אנשי חיל</t>
  </si>
  <si>
    <t>קונטרס אסוקי הלכתא - 5 כר'</t>
  </si>
  <si>
    <t>קונטרס אספקלריא המאירה</t>
  </si>
  <si>
    <t>הייזלר, יעקב - דבדה, אברהם</t>
  </si>
  <si>
    <t>קונטרס אעופה כיונה</t>
  </si>
  <si>
    <t>דימטמן, יונה יוסף</t>
  </si>
  <si>
    <t>קונטרס אפיקומן</t>
  </si>
  <si>
    <t>אייכנטל, בנימין</t>
  </si>
  <si>
    <t>קונטרס אפיקי מים</t>
  </si>
  <si>
    <t>לזכר הרב יצחק מאיר האיתן</t>
  </si>
  <si>
    <t>קונטרס אפסי ארץ</t>
  </si>
  <si>
    <t>קונטרס אראנו בישע</t>
  </si>
  <si>
    <t>קונטרס ארבע כוסות</t>
  </si>
  <si>
    <t>קונטרס ארבעה שומרים</t>
  </si>
  <si>
    <t>הלברשטט, דב בן יוסף</t>
  </si>
  <si>
    <t>קונטרס ארבעים לבינה</t>
  </si>
  <si>
    <t>קונטרס ארבעת המינים &lt;הלכות ומנהגי תימן&gt;</t>
  </si>
  <si>
    <t>קונטרס ארבעת המינים כהלכתן</t>
  </si>
  <si>
    <t>קונטרס ארח סלולה</t>
  </si>
  <si>
    <t>קונטרס ארח קריה - ב</t>
  </si>
  <si>
    <t>חניכי ארחות התורה</t>
  </si>
  <si>
    <t>קונטרס ארחות יעקב - עלי אורח</t>
  </si>
  <si>
    <t>מנהגי הרבי מנדבורנה בעל דבר חיים ולמעלה בקודש</t>
  </si>
  <si>
    <t>קונטרס אריה ישאג - 7 כר'</t>
  </si>
  <si>
    <t>קונטרס ארץ הקודש</t>
  </si>
  <si>
    <t>כהן, יוסף נסים</t>
  </si>
  <si>
    <t>קונטרס ארץ חיים</t>
  </si>
  <si>
    <t>קונטרס ארץ חמדה</t>
  </si>
  <si>
    <t>קונטרס ארצות הברית של אמריקה</t>
  </si>
  <si>
    <t>קונטרס ארשת שפתים</t>
  </si>
  <si>
    <t>קובץ כולל דרכי דוד</t>
  </si>
  <si>
    <t>קונטרס אש דת</t>
  </si>
  <si>
    <t>קונטרס אש טהורה - י"ח דבר</t>
  </si>
  <si>
    <t>קונטרס אשאל אבי</t>
  </si>
  <si>
    <t>קונטרס אשה ריח</t>
  </si>
  <si>
    <t>מועלם, יחזקאל אליעזר</t>
  </si>
  <si>
    <t>קונטרס אשי אהרן - חנוכה</t>
  </si>
  <si>
    <t>קונטרס אשי כהן - 14 כר'</t>
  </si>
  <si>
    <t>אדלר, אברהם ישעיה בן אהרן</t>
  </si>
  <si>
    <t>קונטרס אשיב ממצולות ים</t>
  </si>
  <si>
    <t>מגילניק, יהושע משה</t>
  </si>
  <si>
    <t>קונטרס אשירה לה'</t>
  </si>
  <si>
    <t>טולידנו, יצחק</t>
  </si>
  <si>
    <t>קונטרס אשכול יוסף - 2 כר'</t>
  </si>
  <si>
    <t>קונטרס אשר יעשון</t>
  </si>
  <si>
    <t>קונטרס אשרי המלך</t>
  </si>
  <si>
    <t>קונטרס אשרי עם סודך</t>
  </si>
  <si>
    <t>קונטרס אשריך - יבמות, כתובות</t>
  </si>
  <si>
    <t>קונטרס אשת חיל ע"פ ר"י די שיגוביה ורבני משפחת אלגאזי</t>
  </si>
  <si>
    <t>בנבנישתי, משה די שיגוביא  ועוד.</t>
  </si>
  <si>
    <t>קונטרס אשת חיל</t>
  </si>
  <si>
    <t>קונטרס את בריתי</t>
  </si>
  <si>
    <t>קונטרס באהלי רבותינו</t>
  </si>
  <si>
    <t>קונטרס באורך נראה אור</t>
  </si>
  <si>
    <t>קונטרס באחריות יד שומרין</t>
  </si>
  <si>
    <t>קונטרס באיסור יציאה מא"י</t>
  </si>
  <si>
    <t>קונטרס באר אברהם</t>
  </si>
  <si>
    <t>קונטרס באר אליהו - ארימת ידאי</t>
  </si>
  <si>
    <t>קונטרס באר המגילה</t>
  </si>
  <si>
    <t>קונטרס באר חיים</t>
  </si>
  <si>
    <t>קונטרס באר יצחק</t>
  </si>
  <si>
    <t>בן ססי, יצחק בן אביחי (מלקט)</t>
  </si>
  <si>
    <t>קונטרס באר יצחק - תפילה</t>
  </si>
  <si>
    <t>קונטרס באר מים חיים</t>
  </si>
  <si>
    <t>אונגר, חיים</t>
  </si>
  <si>
    <t>קונטרס באר מרדכי</t>
  </si>
  <si>
    <t>קונטרס באר צדק</t>
  </si>
  <si>
    <t>קונטרס באר שבע</t>
  </si>
  <si>
    <t>קונטרס באר שלמה - גיטין</t>
  </si>
  <si>
    <t>כולל אלישטבע</t>
  </si>
  <si>
    <t>קונטרס בארות המים</t>
  </si>
  <si>
    <t>פלח, משה חיים</t>
  </si>
  <si>
    <t>קונטרס בבאור גדר ענין קדוה"ג וקדו"ד</t>
  </si>
  <si>
    <t>ריבקין, דובער</t>
  </si>
  <si>
    <t>קונטרס בביאור מהותם הרוחנית של מועדי ה'</t>
  </si>
  <si>
    <t>טאוב, צבי יחזקאל</t>
  </si>
  <si>
    <t>קונטרס בגד ארגמן</t>
  </si>
  <si>
    <t>קונטרס בגדי לבן</t>
  </si>
  <si>
    <t>קונטרס בגדי שבת</t>
  </si>
  <si>
    <t>אפשטיין, אברהם בן ישעיהו</t>
  </si>
  <si>
    <t>קונטרס בגדר ברכת התורה</t>
  </si>
  <si>
    <t>שיבר, שלמה יצחק</t>
  </si>
  <si>
    <t>קונטרס בגדרי איסור שכר מצוה ושכר שבת</t>
  </si>
  <si>
    <t>כהן, אליעזר בן מרדכי יאיר</t>
  </si>
  <si>
    <t>קונטרס בגדרי חובת קריאת שנים מקרא ואחד תרגום</t>
  </si>
  <si>
    <t>רפפורט, נחום בן יוסף הכהן</t>
  </si>
  <si>
    <t>קונטרס בגדרי לבוד</t>
  </si>
  <si>
    <t>קונטרס בגדרי רה"ר</t>
  </si>
  <si>
    <t>קונטרס בגדרי שהייה וחזרה</t>
  </si>
  <si>
    <t>צפרי יעקב</t>
  </si>
  <si>
    <t>קונטרס בגיא צלמות</t>
  </si>
  <si>
    <t>הועד למען אסירי ציון</t>
  </si>
  <si>
    <t>קונטרס בדבר הנדון של רבית בבנקים</t>
  </si>
  <si>
    <t>רייכמן, אליהו דוד</t>
  </si>
  <si>
    <t>קונטרס בדידי הוי עובדא</t>
  </si>
  <si>
    <t>קונטרס בדין אכילת עוגות וכו' בטעם יין בתשעת הימים</t>
  </si>
  <si>
    <t>קונטרס בדין אננס לברכה וערלה</t>
  </si>
  <si>
    <t>הלברג, מאיר שלום</t>
  </si>
  <si>
    <t>קונטרס בדין ברכת הנהנין</t>
  </si>
  <si>
    <t>קונטרס בדין השמיטה</t>
  </si>
  <si>
    <t>ראשקס, אריה ליב בן שמואל מרדכי</t>
  </si>
  <si>
    <t>קונטרס בדין זמן הדלקת נר חנוכה</t>
  </si>
  <si>
    <t>בקר, אברהם י.</t>
  </si>
  <si>
    <t>קונטרס בדין מוכר גוף החפץ של משכונו ביד אחר</t>
  </si>
  <si>
    <t>העליר, חיים בן ישראל</t>
  </si>
  <si>
    <t>קונטרס בדין מכירת חמץ כללית לגוי</t>
  </si>
  <si>
    <t>קונטרס בדין נטיעת עץ במקדש</t>
  </si>
  <si>
    <t>קונטרס בדין סוף טומאה לצאת</t>
  </si>
  <si>
    <t>אבוטבול, ציון בן יהודה</t>
  </si>
  <si>
    <t>קונטרס בדין עציץ נקוב בשביעית</t>
  </si>
  <si>
    <t>קונטרס בדין עציץ שאינו נקוב</t>
  </si>
  <si>
    <t>קונטרס בדין קריאת הלל בקירוי</t>
  </si>
  <si>
    <t>זכרון יעק</t>
  </si>
  <si>
    <t>קונטרס בדין שיעבודא דרבי נתן</t>
  </si>
  <si>
    <t>כרמל, אברהם מרדכי בן ישראל פנחס</t>
  </si>
  <si>
    <t>קונטרס בדין תוספת שביעית - 2 כר'</t>
  </si>
  <si>
    <t>קונטרס בדיני אמירה לנכרי</t>
  </si>
  <si>
    <t>קונטרס בדיני בסיס ואין אדם אוסר דבר שאינו שלו</t>
  </si>
  <si>
    <t>פרסר, יוסף שמעון בן משה חיים</t>
  </si>
  <si>
    <t>תשנו</t>
  </si>
  <si>
    <t>קונטרס בדיני מורדת</t>
  </si>
  <si>
    <t>קונטרס בדיני מקום הנחת עירוב תחומין</t>
  </si>
  <si>
    <t>וייס, יהודה</t>
  </si>
  <si>
    <t>קונטרס בדיני שביעית</t>
  </si>
  <si>
    <t>קונטרס בדמייך חיי</t>
  </si>
  <si>
    <t>קונטרס בדמיך חיי</t>
  </si>
  <si>
    <t>קונטרס בדרך המלך</t>
  </si>
  <si>
    <t>קונטרס בהלכות נדה</t>
  </si>
  <si>
    <t>וייס, דב</t>
  </si>
  <si>
    <t>קונטרס בהעלותך את הנרות</t>
  </si>
  <si>
    <t>קונטרס בהרי יהודה</t>
  </si>
  <si>
    <t>יברוב, צבי בן משה אהרן</t>
  </si>
  <si>
    <t>קונטרס בואו חשבון</t>
  </si>
  <si>
    <t>קונטרס בואו חשבון - ב</t>
  </si>
  <si>
    <t>קונטרס בוני בית שני עזרא ונחמיה</t>
  </si>
  <si>
    <t>קונטרס בוצינא קדישא</t>
  </si>
  <si>
    <t>הראל, מאיר שלום</t>
  </si>
  <si>
    <t>קונטרס בזקנינו נלך</t>
  </si>
  <si>
    <t>קונטרס בטחון</t>
  </si>
  <si>
    <t>טשערסקי, אברהם</t>
  </si>
  <si>
    <t>קונטרס בי מדרשא - 2 כר'</t>
  </si>
  <si>
    <t>קונטרס ביאור שטרות ההרשאה למכירת חמץ</t>
  </si>
  <si>
    <t>קונטרס ביאורי דעת</t>
  </si>
  <si>
    <t>ורנר, חנוך בן מאיר שמעון</t>
  </si>
  <si>
    <t>מנדלוביץ, חיים בן צבי דב</t>
  </si>
  <si>
    <t>קונטרס ביאורי החסידות על התורה - ואתחנן</t>
  </si>
  <si>
    <t>מכון אור הגנוז</t>
  </si>
  <si>
    <t>קונטרס ביאורי סוגיות בפרק הדר</t>
  </si>
  <si>
    <t>קונטרס ביאורי עניינים - עירובין פ"א</t>
  </si>
  <si>
    <t>קונטרס ביאורי ענינים - 3 כר'</t>
  </si>
  <si>
    <t>בן שלמה, שלמה מאיר בן אליהו</t>
  </si>
  <si>
    <t>קונטרס ביאורי שמועות - 2 כר'</t>
  </si>
  <si>
    <t>קונטרס ביאורים בכמה מן הסוגיות במסכת כתובת</t>
  </si>
  <si>
    <t>כולל אהבת שלום</t>
  </si>
  <si>
    <t>קונטרס ביאורים במלאכת סחיטה</t>
  </si>
  <si>
    <t>קונטרס ביאורים ברע"א</t>
  </si>
  <si>
    <t>קונטרס ביאורים ובירורים בהלכות שביעית</t>
  </si>
  <si>
    <t>קונטרס ביאורים והארות - 3 כר'</t>
  </si>
  <si>
    <t>עובדיה, יעקב בן אבנר</t>
  </si>
  <si>
    <t>קונטרס ביאורים - קובץ מר"מ - סנהדרין</t>
  </si>
  <si>
    <t>בן שלמה, מאיר</t>
  </si>
  <si>
    <t>קונטרס ביאורים - 3 כר'</t>
  </si>
  <si>
    <t>קונטרס ביאורים - דרכי מכירת חמץ לגוי בע"פ שחל להיות בשבת</t>
  </si>
  <si>
    <t>קונטרס ביאורים</t>
  </si>
  <si>
    <t>יאסילווסקי, אליהו</t>
  </si>
  <si>
    <t>קונטרס ביאורים - קידושין</t>
  </si>
  <si>
    <t>נתנאל</t>
  </si>
  <si>
    <t>קונטרס ביד רמ"א - 2 כר'</t>
  </si>
  <si>
    <t>קונטרס ביום השמיני</t>
  </si>
  <si>
    <t>גנזלר, יעקב אריה</t>
  </si>
  <si>
    <t>קונטרס ביכורי אביב</t>
  </si>
  <si>
    <t>קונטרס ביכורי אברהם</t>
  </si>
  <si>
    <t>דשייקאבס, אברהם צבי</t>
  </si>
  <si>
    <t>הופמן, אברהם בן שלמה צדוק</t>
  </si>
  <si>
    <t>קונטרס ביכורי יאה - ספיה לקטן</t>
  </si>
  <si>
    <t>הייזר, יהושע אשר בן יוסף</t>
  </si>
  <si>
    <t>קונטרס ביכורי יהודה</t>
  </si>
  <si>
    <t>כאסכי, יהודה בן יצחק</t>
  </si>
  <si>
    <t>קונטרס ביכורי יוסף חיים</t>
  </si>
  <si>
    <t>בן דוד, יוסף חיים</t>
  </si>
  <si>
    <t>קונטרס ביכורי מעשיך</t>
  </si>
  <si>
    <t>שרים, משה בן עזרא</t>
  </si>
  <si>
    <t>קונטרס בימי מתתיהו</t>
  </si>
  <si>
    <t>בראנדוויין, מתתיהו</t>
  </si>
  <si>
    <t>אייאווה</t>
  </si>
  <si>
    <t>קונטרס בימים ההם בזמן הזה</t>
  </si>
  <si>
    <t>קונטרס בין המצרים</t>
  </si>
  <si>
    <t>קונטרס בין השמשות</t>
  </si>
  <si>
    <t>לייזער, יעקב</t>
  </si>
  <si>
    <t>קונטרס בין ישראל לעמים - סתם ינם, יין נסך</t>
  </si>
  <si>
    <t>קונטרס בין פסח לשבועות</t>
  </si>
  <si>
    <t>קונטרס בין תכלת לארגמן &lt;מהדו"ק&gt;</t>
  </si>
  <si>
    <t>קונטרס בין תכלת ללבן</t>
  </si>
  <si>
    <t>קונטרס בינת החושן</t>
  </si>
  <si>
    <t>קונטרס ביסוד החיוב דברכות התורה</t>
  </si>
  <si>
    <t>שנקלובסקי, יוסף שלמה</t>
  </si>
  <si>
    <t>קונטרס ביעור מעשרות</t>
  </si>
  <si>
    <t>דינקל, משה טוביה בן אלכסנדר</t>
  </si>
  <si>
    <t>קונטרס ביצחק יקרא</t>
  </si>
  <si>
    <t>קונטרס בירא עמיקתא - הרחקת נזיקין</t>
  </si>
  <si>
    <t>קונטרס בירור בענין דין קיפול שערות הזקן בשבת קודש</t>
  </si>
  <si>
    <t>ווינער, משה ניסן</t>
  </si>
  <si>
    <t>קונטרס בירור הלכה - 2 כר'</t>
  </si>
  <si>
    <t>סודרי, אברהם ישראל בן יעקב</t>
  </si>
  <si>
    <t>קונטרס בירורי דברים - בורר</t>
  </si>
  <si>
    <t>קונטרס בירורי הלכה - הלכות שבת</t>
  </si>
  <si>
    <t>קונטרס בירורי הלכה</t>
  </si>
  <si>
    <t>קונטרס בירורי עניינים - ראש השנה</t>
  </si>
  <si>
    <t>סנדרוסי, אבידן אליהו בן פנחס</t>
  </si>
  <si>
    <t>קונטרס בירורי ענינים</t>
  </si>
  <si>
    <t>קונטרס בירורי ענינים - 2 כר'</t>
  </si>
  <si>
    <t>סנדרוסי, אבידן אליהו</t>
  </si>
  <si>
    <t>קונטרס בירורים - 12 כר'</t>
  </si>
  <si>
    <t>הלפרין, חגי</t>
  </si>
  <si>
    <t>קונטרס בירורים</t>
  </si>
  <si>
    <t>קונטרס בית אבותינו</t>
  </si>
  <si>
    <t>לייפר, יעקב ישראל</t>
  </si>
  <si>
    <t>קונטרס בית אליעזר - 2 כר'</t>
  </si>
  <si>
    <t>קרביץ, אליעזר בן נחום זאב</t>
  </si>
  <si>
    <t>קונטרס בית דוד</t>
  </si>
  <si>
    <t>אולמן, דוד</t>
  </si>
  <si>
    <t>קונטרס בית האר"י</t>
  </si>
  <si>
    <t>קונטרס בית היין</t>
  </si>
  <si>
    <t>הלכות פורים</t>
  </si>
  <si>
    <t>קונטרס בית הלחמי - לחמניות מזונות</t>
  </si>
  <si>
    <t>קונטרס בית חיים</t>
  </si>
  <si>
    <t>קונטרס בית יהושע - 2 כר'</t>
  </si>
  <si>
    <t>בית מדרש בית יהושע</t>
  </si>
  <si>
    <t>קונטרס בית יוסף להבה</t>
  </si>
  <si>
    <t>מכון נחלת צבי</t>
  </si>
  <si>
    <t>קונטרס בית יצחק - עניני ראש השנה</t>
  </si>
  <si>
    <t>קונטרס בית ישראל אהרן</t>
  </si>
  <si>
    <t>קונטרס בית מצודות</t>
  </si>
  <si>
    <t>קונטרס בית נאמן - גיטין</t>
  </si>
  <si>
    <t>קובץ ישיבת קמניץ</t>
  </si>
  <si>
    <t>קונטרס בית עובד - הלכות תפילין</t>
  </si>
  <si>
    <t>עסיס, אברהם מנשה בן דוד</t>
  </si>
  <si>
    <t>קונטרס בית צדיקים יעמוד - 10 כר'</t>
  </si>
  <si>
    <t>אוצרות חיים - שובה ישראל</t>
  </si>
  <si>
    <t>קונטרס בית קטן</t>
  </si>
  <si>
    <t>קטן, גבריאל</t>
  </si>
  <si>
    <t>קונטרס בית רינה</t>
  </si>
  <si>
    <t>קונטרס בית שרה</t>
  </si>
  <si>
    <t>קונטרס בך אתפאר</t>
  </si>
  <si>
    <t>איחוד בני תורה - מגדל העמק</t>
  </si>
  <si>
    <t>קונטרס בך יברך ישראל</t>
  </si>
  <si>
    <t>גרוס, מ"י</t>
  </si>
  <si>
    <t>קונטרס בכורי צבי - בכורות</t>
  </si>
  <si>
    <t>גולדברג, צבי בן ניסן</t>
  </si>
  <si>
    <t>קונטרס בכל דרכיך דעהו</t>
  </si>
  <si>
    <t>אנגלרד, אברהם</t>
  </si>
  <si>
    <t>קונטרס בכל נפשך</t>
  </si>
  <si>
    <t>קונטרס בכל עת יהיו בגדיך לבנים</t>
  </si>
  <si>
    <t>קונטרס בכתם פז</t>
  </si>
  <si>
    <t>קונטרס בל תוסיף</t>
  </si>
  <si>
    <t>קונטרס במוצאי שביעית</t>
  </si>
  <si>
    <t>הלברשטט, יצחק</t>
  </si>
  <si>
    <t>קונטרס במילי דנזיקין לרבינו עקיבא איגר</t>
  </si>
  <si>
    <t>קונטרס במילי דנזיקין</t>
  </si>
  <si>
    <t>קונטרס במילי דעירובין</t>
  </si>
  <si>
    <t>קונטרס במילי דשבת ושביעית</t>
  </si>
  <si>
    <t>קונטרס במילי חולין</t>
  </si>
  <si>
    <t>קונטרס במסכת יבמות</t>
  </si>
  <si>
    <t>גרליץ, שמואל</t>
  </si>
  <si>
    <t>קונטרס במצותיך האמנתי</t>
  </si>
  <si>
    <t>קונטרס במשך היבל - נחלי מים</t>
  </si>
  <si>
    <t>קונטרס בן אמתיך</t>
  </si>
  <si>
    <t>קונטרס בן י"ג למצוות</t>
  </si>
  <si>
    <t>בן אבו,</t>
  </si>
  <si>
    <t>קונטרס בן יכבד אב</t>
  </si>
  <si>
    <t>קונטרס בן נח</t>
  </si>
  <si>
    <t>קוק, יהודה</t>
  </si>
  <si>
    <t>קונטרס בנאות דשא</t>
  </si>
  <si>
    <t>בוק, דוד שמואל אליהו</t>
  </si>
  <si>
    <t>קונטרס בנות ירושלים</t>
  </si>
  <si>
    <t>בן שטרית, פ.י</t>
  </si>
  <si>
    <t>קונטרס בני אלים</t>
  </si>
  <si>
    <t>קונטרס בני בינה - בענייני ימי החנוכה</t>
  </si>
  <si>
    <t>פרבשטיין, יוסף</t>
  </si>
  <si>
    <t>קונטרס בני בכורי ישראל</t>
  </si>
  <si>
    <t>קונטרס בני חביבי</t>
  </si>
  <si>
    <t>קונטרס בני לוי</t>
  </si>
  <si>
    <t>הלוי, אליעזר צבי</t>
  </si>
  <si>
    <t>קונטרס בני עליה - התמדה בתורה וחשיבותה</t>
  </si>
  <si>
    <t>גרודזנסקי, אליהו</t>
  </si>
  <si>
    <t>קונטרס בני עליה - הוספת קרואים לס"ת</t>
  </si>
  <si>
    <t>קונטרס בני ראובן</t>
  </si>
  <si>
    <t>לע"נ ראובן דויג ז"ל</t>
  </si>
  <si>
    <t>קונטרס בנין אב</t>
  </si>
  <si>
    <t>גריינימן, אברהם ישעיהו</t>
  </si>
  <si>
    <t>קונטרס בנין חיים - 2 כר'</t>
  </si>
  <si>
    <t>קונטרס בסוגיא דחביצא</t>
  </si>
  <si>
    <t>קונטרס בסוגיא דמיטב</t>
  </si>
  <si>
    <t>קונטרס בסוכות תשבו</t>
  </si>
  <si>
    <t>זילברברג, יעקב ישראל</t>
  </si>
  <si>
    <t>קונטרס בספר חיי"ם</t>
  </si>
  <si>
    <t>מילר, יעקב יוסף</t>
  </si>
  <si>
    <t>קונטרס בעי למהוי חסידא</t>
  </si>
  <si>
    <t>מכון נהורא מעליא</t>
  </si>
  <si>
    <t>קונטרס בעיות זמנינו - 2 כר'</t>
  </si>
  <si>
    <t>קונטרס בעלות וזכיה באיסורי הנאה</t>
  </si>
  <si>
    <t>תשסח</t>
  </si>
  <si>
    <t>קונטרס בעמדם יעמודו</t>
  </si>
  <si>
    <t>קונטרס בעניין  קדימת תדיר ומקודש</t>
  </si>
  <si>
    <t>כהן, שמואל בן כתריאל</t>
  </si>
  <si>
    <t>קונטרס בעניין מקדש וכליו</t>
  </si>
  <si>
    <t>קונטרס בעניין פאה נוכרית</t>
  </si>
  <si>
    <t>קונטרס בענייני אכילת מצה ולחם משנה</t>
  </si>
  <si>
    <t>קונטרס בענייני בורר ולש</t>
  </si>
  <si>
    <t>קונטרס בענייני זיקה</t>
  </si>
  <si>
    <t>קונטרס בענייני חג הסוכות</t>
  </si>
  <si>
    <t>קונטרס בענייני יחוד</t>
  </si>
  <si>
    <t>זלזניק</t>
  </si>
  <si>
    <t>קונטרס בענייני נטילת ידים במסכת ידים</t>
  </si>
  <si>
    <t>קופשיץ, נפתלי בן משה - כולל אור יצחק יהודה</t>
  </si>
  <si>
    <t>קונטרס בענייני עירוי והכשרת משטחי שיש &lt;לפסח ולכל ימות השנה&gt;</t>
  </si>
  <si>
    <t>קונטרס בענייני פורים</t>
  </si>
  <si>
    <t>ישיבת הדר התורה</t>
  </si>
  <si>
    <t>קונטרס בענייני קדימה במצוות</t>
  </si>
  <si>
    <t>קונטרס בענייני שביעית</t>
  </si>
  <si>
    <t>קונטרס בענין אדני השדה</t>
  </si>
  <si>
    <t>קונטרס בענין אהל</t>
  </si>
  <si>
    <t>קונטרס בענין אחד מל והשני פורע</t>
  </si>
  <si>
    <t>שעיו, דניאל סואד</t>
  </si>
  <si>
    <t>קונטרס בענין אכילת מצה</t>
  </si>
  <si>
    <t>קונטרס בענין אמירה לעכו"ם בשביעית</t>
  </si>
  <si>
    <t>קונטרס בענין גידולי נכרי בשביעית</t>
  </si>
  <si>
    <t>קונטרס בענין גלות וערי מקלט</t>
  </si>
  <si>
    <t>חזן, אהרון בן ויקטור</t>
  </si>
  <si>
    <t>קונטרס בענין גר שנתגייר כקטן שנולד דמי</t>
  </si>
  <si>
    <t>קונטרס בענין גרמא וכח כוחו</t>
  </si>
  <si>
    <t>קונטרס בענין הנחת תפילין דר"ת</t>
  </si>
  <si>
    <t>ווינר, משה ניסן</t>
  </si>
  <si>
    <t>קונטרס בענין הפרשת תרו"מ</t>
  </si>
  <si>
    <t>קונטרס בענין השגחה פרטית ובטחון</t>
  </si>
  <si>
    <t>קונטרס בענין השנות הבימה</t>
  </si>
  <si>
    <t>קונטרס בענין זיקה</t>
  </si>
  <si>
    <t>קונטרס בענין זמן ר"ת</t>
  </si>
  <si>
    <t>לייזר, יעקב מפשעווארסק</t>
  </si>
  <si>
    <t>קונטרס בענין חנ"נ</t>
  </si>
  <si>
    <t>קונטרס בענין ישמע אל נאקת העם ויענם</t>
  </si>
  <si>
    <t>ויסבקר, ברוך בן משה</t>
  </si>
  <si>
    <t>קונטרס בענין לא יחל דברו</t>
  </si>
  <si>
    <t>קונטרס בענין מוחזק ותפיסה</t>
  </si>
  <si>
    <t>צפרי, יעקב</t>
  </si>
  <si>
    <t>קונטרס בענין מלאכת צידה וחבלה בשבת</t>
  </si>
  <si>
    <t>קונטרס בענין מלאת השנה</t>
  </si>
  <si>
    <t>וויסבקר, ברוך</t>
  </si>
  <si>
    <t>קונטרס בענין מצה ומרור</t>
  </si>
  <si>
    <t>קונטרס בענין מצות זכירת עמלק</t>
  </si>
  <si>
    <t>המבורגר, יוסף לייב</t>
  </si>
  <si>
    <t>קונטרס בענין מצות לא תחמוד</t>
  </si>
  <si>
    <t>עוזרי, יצחק</t>
  </si>
  <si>
    <t>קונטרס בענין מקום קו התאריך</t>
  </si>
  <si>
    <t>הול, אליעזר</t>
  </si>
  <si>
    <t>קונטרס בענין סידור קידושין על ידי רב מורה הוראה</t>
  </si>
  <si>
    <t>גוראריה, אליהו יוחנן בן נתן</t>
  </si>
  <si>
    <t>קונטרס בענין ע"א נאמן באיסורים</t>
  </si>
  <si>
    <t>קונטרס בענין עבודת ישראל בקרקע של גוי בשביעית</t>
  </si>
  <si>
    <t>קונטרס בענין עובר ירך אמו</t>
  </si>
  <si>
    <t>קונטרס בענין עיון וכבודה של תורה</t>
  </si>
  <si>
    <t>קונטרס בענין עישון ביו"ט</t>
  </si>
  <si>
    <t>פוקס, מנחם מנדל</t>
  </si>
  <si>
    <t>קונטרס בענין עישון סיגריות ביו"ט</t>
  </si>
  <si>
    <t>פעלדמאן, ישעיהו אשר זעליג</t>
  </si>
  <si>
    <t>קונטרס בענין עצירת גשמים</t>
  </si>
  <si>
    <t>קונטרס בענין קידוש מבעוד יום</t>
  </si>
  <si>
    <t>נקש, חיים בן יחזקאל</t>
  </si>
  <si>
    <t>קונטרס בענין קריאת שם לועזי</t>
  </si>
  <si>
    <t>קונטרס בענין שביתת בנו</t>
  </si>
  <si>
    <t>קונטרס בענין שואל ומוכר כסותו לנר חנוכה ושאר מצוות</t>
  </si>
  <si>
    <t>קונטרס בענין שומע כעונה</t>
  </si>
  <si>
    <t>שפר, ישראל אברהם</t>
  </si>
  <si>
    <t>קונטרס בענין שינוי וקניני גזילה</t>
  </si>
  <si>
    <t>אייכנשטיין, דוב בר</t>
  </si>
  <si>
    <t>קונטרס בענין שיעורי אוכלין למשקין</t>
  </si>
  <si>
    <t>קונטרס בענין שמחת בית השואבה</t>
  </si>
  <si>
    <t>פייזי, דניאל</t>
  </si>
  <si>
    <t>קונטרס בענין שני כלים שנגעו זב"ז</t>
  </si>
  <si>
    <t>קונטרס בעניני ארבעת המינים</t>
  </si>
  <si>
    <t>קונטרס בעניני בורר</t>
  </si>
  <si>
    <t>קונטרס בעניני ברכת הזימון</t>
  </si>
  <si>
    <t>מנדלוביץ, ישראל אפרים פישל בן צבי דב</t>
  </si>
  <si>
    <t>קונטרס בעניני ברכת הנהנין</t>
  </si>
  <si>
    <t>ישיבת הר"ן</t>
  </si>
  <si>
    <t>קונטרס בעניני דיני ציבור ודבר שבקדושה</t>
  </si>
  <si>
    <t>שטרלינג, יצחק מאיר הכהן</t>
  </si>
  <si>
    <t>קונטרס בעניני המועדים</t>
  </si>
  <si>
    <t>קונטרס בעניני הרחקת נזיקין</t>
  </si>
  <si>
    <t>גרינימן, אברהם ישעיהו</t>
  </si>
  <si>
    <t>קונטרס בעניני זיקה</t>
  </si>
  <si>
    <t>קונטרס בעניני ח"י דבר</t>
  </si>
  <si>
    <t>קונטרס בעניני חג הסוכות ושמחת תורה</t>
  </si>
  <si>
    <t>קונטרס בעניני חג הפסח ספירת העומר וחג השבועות</t>
  </si>
  <si>
    <t>קונטרס בעניני יור"ד סי' קצ"ה</t>
  </si>
  <si>
    <t>קונטרס בעניני ימי בין המצרים</t>
  </si>
  <si>
    <t>קונטרס בעניני ימי החנוכה וימי הפורים</t>
  </si>
  <si>
    <t>קונטרס בעניני מכירת שטרות</t>
  </si>
  <si>
    <t>קונטרס בעניני מלאכת בורר</t>
  </si>
  <si>
    <t>הירשביין, בנימין</t>
  </si>
  <si>
    <t>קונטרס בעניני מלאכת מחשבת - 2 כר'</t>
  </si>
  <si>
    <t>קונטרס בעניני מקואות</t>
  </si>
  <si>
    <t>גריינימן, יהושע</t>
  </si>
  <si>
    <t>קונטרס בעניני נטילת ידים במס' ידים ובהל' נט"י</t>
  </si>
  <si>
    <t>אברכי כולל אור יצחק יהוד</t>
  </si>
  <si>
    <t>קונטרס בעניני סוכות</t>
  </si>
  <si>
    <t>פישהוף, דוד בן תנחום</t>
  </si>
  <si>
    <t>קונטרס בעניני קטן ועוסק במצוה</t>
  </si>
  <si>
    <t>קונטרס בעניני ריבית</t>
  </si>
  <si>
    <t>קונטרס בעניני שביעית</t>
  </si>
  <si>
    <t>קונטרס בעניני שכירות פועלים</t>
  </si>
  <si>
    <t>קונטרס בעניני שליחות</t>
  </si>
  <si>
    <t>קונטרס בעניני תוספת שבת קידוש והבדלה</t>
  </si>
  <si>
    <t>קונטרס בעניני תערובות</t>
  </si>
  <si>
    <t>קונטרס בעניני תפילין</t>
  </si>
  <si>
    <t>כהנים, אליהו</t>
  </si>
  <si>
    <t>קונטרס בעניני תפילין, אבני שי</t>
  </si>
  <si>
    <t>שלזינגר, חיים אליעזר - אלבוים, יצחק שלמה בן אריה</t>
  </si>
  <si>
    <t>קונטרס בענינים שונים</t>
  </si>
  <si>
    <t>קונטרס בעקבי הצאן</t>
  </si>
  <si>
    <t>קונטרס בפי רבים אהללה</t>
  </si>
  <si>
    <t>שישא, יוסף הלוי</t>
  </si>
  <si>
    <t>קונטרס בצדק תשפוט עמיתך</t>
  </si>
  <si>
    <t>קונטרס בצדק תשפוט</t>
  </si>
  <si>
    <t>קצנלבוגן, הלל</t>
  </si>
  <si>
    <t>קונטרס בציר יצחק</t>
  </si>
  <si>
    <t>רוזנטל, יצחק בן ציון</t>
  </si>
  <si>
    <t>קונטרס בצל הברכה - 3 כר'</t>
  </si>
  <si>
    <t>בלוי, בצלאל ברוך בן יצחק שלמה</t>
  </si>
  <si>
    <t>קונטרס בצלו חמדתי</t>
  </si>
  <si>
    <t>וויס, בצלאל בן יצחק ישעיה</t>
  </si>
  <si>
    <t>קונטרס בקש שלום - בגנות המחלוקת</t>
  </si>
  <si>
    <t>קונטרס בר מצוה</t>
  </si>
  <si>
    <t>קונטרס בר מצרא</t>
  </si>
  <si>
    <t>קונטרס ברוב עם הדרת מלך</t>
  </si>
  <si>
    <t>קונטרס ברוך אתה</t>
  </si>
  <si>
    <t>קונטרס ברוך צורי</t>
  </si>
  <si>
    <t>קונטרס ברוך שכוונתי</t>
  </si>
  <si>
    <t>יענקבסקי, שמואל בנימין</t>
  </si>
  <si>
    <t>קונטרס ברור בדין קריאת הפטורה</t>
  </si>
  <si>
    <t>קונטרס בריך רחמנא -  תא שמע - ו</t>
  </si>
  <si>
    <t>גרליץ, ברוך דב בן משה שמעון -  גרליץ, משה שמעון בן מנחם מנדל</t>
  </si>
  <si>
    <t>קונטרס ברית אדם</t>
  </si>
  <si>
    <t>קונטרס ברית איתנים</t>
  </si>
  <si>
    <t>קונטרס ברית אש - 3 כר'</t>
  </si>
  <si>
    <t>שמש, איתמר</t>
  </si>
  <si>
    <t>קונטרס ברית דוד</t>
  </si>
  <si>
    <t>קונטרס ברית יעקב</t>
  </si>
  <si>
    <t>פרלמוטר, יעקב ישראל</t>
  </si>
  <si>
    <t>קונטרס ברית יצחק</t>
  </si>
  <si>
    <t>קונטרס ברית כרתי לעיני</t>
  </si>
  <si>
    <t>קונטרס ברית מלח</t>
  </si>
  <si>
    <t>בויאר, שמואל בן אורי</t>
  </si>
  <si>
    <t>קונטרס ברית משה</t>
  </si>
  <si>
    <t>קונטרס ברית עולם - מוקצה ומלאכות</t>
  </si>
  <si>
    <t>נוסבוים, גדליהו</t>
  </si>
  <si>
    <t>קונטרס ברית שבת</t>
  </si>
  <si>
    <t>חשע"ד</t>
  </si>
  <si>
    <t>קונטרס ברית שלום</t>
  </si>
  <si>
    <t>קונטרס בריתי יומם ולילה</t>
  </si>
  <si>
    <t>קונטרס בריתך ינצורו</t>
  </si>
  <si>
    <t>קונטרס ברך דודי</t>
  </si>
  <si>
    <t>גדליה, יצחק דוד</t>
  </si>
  <si>
    <t>קונטרס ברך חילו</t>
  </si>
  <si>
    <t>קונטרס ברכה אחרונה</t>
  </si>
  <si>
    <t>קונטרס ברכה והצלחה</t>
  </si>
  <si>
    <t>שוורצברט, אברהם</t>
  </si>
  <si>
    <t>קונטרס ברכה לישראל - פרק לא יחפור</t>
  </si>
  <si>
    <t>קונטרס ברכי נפשי</t>
  </si>
  <si>
    <t>הלוי, יעקב משה</t>
  </si>
  <si>
    <t>קונטרס ברכת אברהם</t>
  </si>
  <si>
    <t>קונטרס ברכת גאולה</t>
  </si>
  <si>
    <t>קונטרס ברכת דוד - קידושין, סנהדרין</t>
  </si>
  <si>
    <t>קונטרס ברכת הזימון</t>
  </si>
  <si>
    <t>ראנד, ישראל</t>
  </si>
  <si>
    <t>קונטרס ברכת הזמן - 3 כר'</t>
  </si>
  <si>
    <t>קונטרס ברכת המצוות</t>
  </si>
  <si>
    <t>קונטרס ברכת הנהנין עם כוונות הרש"ש</t>
  </si>
  <si>
    <t>קונטרס ברכת הנהנין</t>
  </si>
  <si>
    <t>קונטרס ברכת הפת</t>
  </si>
  <si>
    <t>קונטרס ברכת חתנים</t>
  </si>
  <si>
    <t>לקט פירושים</t>
  </si>
  <si>
    <t>קונטרס ברכת ט"ק שלא נפשט בלילה לדעת האר"י ז"ל</t>
  </si>
  <si>
    <t>קונטרס ברכת יהודה - שבת</t>
  </si>
  <si>
    <t>קונטרס ברכת יעקב - 2 כר'</t>
  </si>
  <si>
    <t>קונטרס ברכת ישע</t>
  </si>
  <si>
    <t>קונטרס ברכת ישראל</t>
  </si>
  <si>
    <t>מוסקוביץ, ישראל שלמה</t>
  </si>
  <si>
    <t>קונטרס ברכת מעין שבע</t>
  </si>
  <si>
    <t>קונטרס ברכת משה</t>
  </si>
  <si>
    <t>רביץ, משה בן שמואל</t>
  </si>
  <si>
    <t>קונטרס ברכת נחמן - 3 כר'</t>
  </si>
  <si>
    <t>הלכה ומנהג, משנה, שלחן ערוך ומפרשיו, תלמוד בבלי</t>
  </si>
  <si>
    <t>קונטרס ברכת נחמן - מחיצות, תחומין בב"ח, תערובת</t>
  </si>
  <si>
    <t>רון, נחמן יהודה בן יהושע</t>
  </si>
  <si>
    <t>קונטרס ברכת נתן - ברכות</t>
  </si>
  <si>
    <t>מרקוס, נתן בן אברהם</t>
  </si>
  <si>
    <t>קונטרס ברכת שלמה</t>
  </si>
  <si>
    <t>פרידלנדר, דוד ליב בן שלמה</t>
  </si>
  <si>
    <t>קונטרס ברכת שמואל</t>
  </si>
  <si>
    <t>פרץ, שמואל</t>
  </si>
  <si>
    <t>קונטרס ברכת שרגא</t>
  </si>
  <si>
    <t>היימן, שרגא</t>
  </si>
  <si>
    <t>קונטרס בשבילי נברא העולם</t>
  </si>
  <si>
    <t>קונטרס בשולי השולחן</t>
  </si>
  <si>
    <t>פליסקין, יוסף בן יחיאל מיכל</t>
  </si>
  <si>
    <t>קונטרס בשיטת אדמו"ר הזקן בגדול הגריס</t>
  </si>
  <si>
    <t>נאה, מנחם מנדל - נאה, אברהם חיים בני משה צבי</t>
  </si>
  <si>
    <t>קונטרס בשיעור אורך רגל הכ"ף פשוטה</t>
  </si>
  <si>
    <t>דוידוביץ, מנחם הכהן</t>
  </si>
  <si>
    <t>קונטרס בת מלך</t>
  </si>
  <si>
    <t>קונטרס בתוך ביתה</t>
  </si>
  <si>
    <t>ארגון כתר - נפשנו</t>
  </si>
  <si>
    <t>קונטרס ג' שערים נפתחים</t>
  </si>
  <si>
    <t>וייס, דוד בן משה יעקב</t>
  </si>
  <si>
    <t>קונטרס גבול המזרח</t>
  </si>
  <si>
    <t>קונטרס גבול פאת נגב</t>
  </si>
  <si>
    <t>הלוי, אברהם</t>
  </si>
  <si>
    <t>קונטרס גבורות גשמים</t>
  </si>
  <si>
    <t>קונטרס גבורות שמונים</t>
  </si>
  <si>
    <t>קונטרס גבורת מרדכי</t>
  </si>
  <si>
    <t>קונטרס גבעת פנחס</t>
  </si>
  <si>
    <t>קונטרס גדול המצווה ועושה</t>
  </si>
  <si>
    <t>ורשנר, צבי</t>
  </si>
  <si>
    <t>קונטרס גדולי יצחק</t>
  </si>
  <si>
    <t>גראס, שלום יודא ?</t>
  </si>
  <si>
    <t>קונטרס גדרי קדושה</t>
  </si>
  <si>
    <t>קונטרס גולה עמוקות</t>
  </si>
  <si>
    <t>קובץ מוסדות אהבת ישראל</t>
  </si>
  <si>
    <t>קונטרס גולות מים</t>
  </si>
  <si>
    <t>קונטרס גומל חיים</t>
  </si>
  <si>
    <t>קונטרס גור אריה - 4 כר'</t>
  </si>
  <si>
    <t>קונטרס גזרות תתנ"ו - 2 כר'</t>
  </si>
  <si>
    <t>לפסיא</t>
  </si>
  <si>
    <t>קונטרס גחלי אש</t>
  </si>
  <si>
    <t>קונטרס גחלים על ראשו</t>
  </si>
  <si>
    <t>קונטרס גט מעושה</t>
  </si>
  <si>
    <t>גוטנטג, נחום</t>
  </si>
  <si>
    <t>קונטרס גידול הזקן - 2 כר'</t>
  </si>
  <si>
    <t>קונטרס גידולי שדה</t>
  </si>
  <si>
    <t>תשס""ד</t>
  </si>
  <si>
    <t>קונטרס גילגול נשמות</t>
  </si>
  <si>
    <t>קונטרס גילו ברעדה</t>
  </si>
  <si>
    <t>קונטרס גלות אליהו</t>
  </si>
  <si>
    <t>פרידמן, אליהו דב</t>
  </si>
  <si>
    <t>קונטרס גלילי כסף</t>
  </si>
  <si>
    <t>קונטרס גמולו בראשו</t>
  </si>
  <si>
    <t>קונטרס גמרא ברורה - ארבעה אבות</t>
  </si>
  <si>
    <t>רבינבויץ, אריה מרדכי לייביש</t>
  </si>
  <si>
    <t>קונטרס גמרה של תורה</t>
  </si>
  <si>
    <t>קונטרס גן העיר</t>
  </si>
  <si>
    <t>קונטרס גנזי יוסף</t>
  </si>
  <si>
    <t>דיין, יוסף</t>
  </si>
  <si>
    <t>קונטרס גניבה וגזילה</t>
  </si>
  <si>
    <t>קונטרס גער חית קנה</t>
  </si>
  <si>
    <t>קונטרס גר שנתגייר כקטן שנולד דמי</t>
  </si>
  <si>
    <t>קונטרס גשמי ברכה</t>
  </si>
  <si>
    <t>קונטרס ד' מינים בשביעית</t>
  </si>
  <si>
    <t>קונטרס ד' מינים</t>
  </si>
  <si>
    <t>נוסבאום, משה</t>
  </si>
  <si>
    <t>קונטרס דא"ח - 2 כר'</t>
  </si>
  <si>
    <t>קונטרס דבי הילולא</t>
  </si>
  <si>
    <t>קובץ ישיבת קול יעקב</t>
  </si>
  <si>
    <t>קונטרס דבי עילאי</t>
  </si>
  <si>
    <t>קונטרס דבר אליעזר</t>
  </si>
  <si>
    <t>ברקוביץ', אליעזר יעקב הכהן</t>
  </si>
  <si>
    <t>קונטרס דבר אמר - 2 כר'</t>
  </si>
  <si>
    <t>רום, אפרים מרדכי</t>
  </si>
  <si>
    <t>קונטרס דבר בעתו</t>
  </si>
  <si>
    <t>רויטמן, קים חיים מנחם מנדל</t>
  </si>
  <si>
    <t>קונטרס דבר הגורם לממון</t>
  </si>
  <si>
    <t>קונטרס דבר השמיטה - 2 כר'</t>
  </si>
  <si>
    <t>קונטרס דבר יהודה</t>
  </si>
  <si>
    <t>בן אסולי יהודה</t>
  </si>
  <si>
    <t>קונטרס דבר משה</t>
  </si>
  <si>
    <t>קונטרס דברות מנחם - קוביה הונגרית</t>
  </si>
  <si>
    <t>קונטרס דברות מרדכי</t>
  </si>
  <si>
    <t>שפירא, מרדכי דב</t>
  </si>
  <si>
    <t>מודעין עילית</t>
  </si>
  <si>
    <t>קונטרס דברי אותותיו - א</t>
  </si>
  <si>
    <t>עסיס, יעקב בן יוסף</t>
  </si>
  <si>
    <t>קונטרס דברי אמת  - א</t>
  </si>
  <si>
    <t>לייפער, ישכר דב</t>
  </si>
  <si>
    <t>קונטרס דברי דוד</t>
  </si>
  <si>
    <t>גליק, דוד בן יוסף הכהן</t>
  </si>
  <si>
    <t>קונטרס דברי הודיה</t>
  </si>
  <si>
    <t>ציטרון, דב יהודה</t>
  </si>
  <si>
    <t>קונטרס דברי הצומות - תענית אסתר</t>
  </si>
  <si>
    <t>קונטרס דברי הרב ודברי התלמיד</t>
  </si>
  <si>
    <t>קונטרס דברי חיזוק בהלכה ובאגדה</t>
  </si>
  <si>
    <t>קונטרס דברי חיזוק</t>
  </si>
  <si>
    <t>קונטרס דברי יונתן - קהלת</t>
  </si>
  <si>
    <t>גוונט, אשר בן אורי הלוי</t>
  </si>
  <si>
    <t>קונטרס דברי יחזקאל</t>
  </si>
  <si>
    <t>קונטרס דברי יעקב</t>
  </si>
  <si>
    <t>קונטרס דברי ישעי' - 2 כר'</t>
  </si>
  <si>
    <t>קונטרס דברי מוסר - תשמ"א -תשמ"ה</t>
  </si>
  <si>
    <t>קונטרס דברי סופרים &lt;מהדורה חדשה&gt;</t>
  </si>
  <si>
    <t>קונטרס דברי סופרים</t>
  </si>
  <si>
    <t>שיעורים מגדולי רבותינו ראשי הישיבות</t>
  </si>
  <si>
    <t>קונטרס דברי קדושה</t>
  </si>
  <si>
    <t>קאהן, אברהם יצחק</t>
  </si>
  <si>
    <t>קונטרס דברי שיר - 2 כר'</t>
  </si>
  <si>
    <t>קונטרס דברי שלמה</t>
  </si>
  <si>
    <t>אסרף, שלמה יצחק</t>
  </si>
  <si>
    <t>קונטרס דברי שמואל - דיני ברכת התורה</t>
  </si>
  <si>
    <t>פרימן, שמואל מלאכי בן מאיר</t>
  </si>
  <si>
    <t>קונטרס דברי שרגא - 2 כר'</t>
  </si>
  <si>
    <t>שטינברג, שרגא</t>
  </si>
  <si>
    <t>קונטרס דברי תורה</t>
  </si>
  <si>
    <t>קונטרס דברי תורה - 10 כר'</t>
  </si>
  <si>
    <t>קונטרס דברי תורה - 3 כר'</t>
  </si>
  <si>
    <t>קונטרס דגי הים</t>
  </si>
  <si>
    <t>קונטרס דגל מחנה ראובן</t>
  </si>
  <si>
    <t>קונטרס דובר שלום (צוואה)</t>
  </si>
  <si>
    <t>קונטרס דורש חמורות</t>
  </si>
  <si>
    <t>הבנשטרייט, יצחק</t>
  </si>
  <si>
    <t>קונטרס דורש לציון</t>
  </si>
  <si>
    <t>רוטנר, יעקב בן ציון</t>
  </si>
  <si>
    <t>קונטרס די שמיא</t>
  </si>
  <si>
    <t>שוץ, אלכסנדר בן ראובן זונדל</t>
  </si>
  <si>
    <t>קונטרס דין אמת</t>
  </si>
  <si>
    <t>קונטרס דין קנס בבתולה מן הנישואין</t>
  </si>
  <si>
    <t>סטפנסקי, קולנימוס קלמן</t>
  </si>
  <si>
    <t>קונטרס דיני אש</t>
  </si>
  <si>
    <t>קונטרס דיני בן עיר ובן כרך</t>
  </si>
  <si>
    <t>קונטרס דיני גלות לעיר מקלט</t>
  </si>
  <si>
    <t>קונטרס דיני הדלקת נרות חנוכה</t>
  </si>
  <si>
    <t>קונטרס דיני יוצא</t>
  </si>
  <si>
    <t>קונטרס דיני קדושת הסוכה ונויה</t>
  </si>
  <si>
    <t>קונטרס דיני קדימה במצוות</t>
  </si>
  <si>
    <t>קונטרס דיני קרבן העוף</t>
  </si>
  <si>
    <t>קונטרס דיני שביעית</t>
  </si>
  <si>
    <t>הורביץ, משה</t>
  </si>
  <si>
    <t>קונטרס דינים דקדוקים וחומרות בתפילין</t>
  </si>
  <si>
    <t>קונטרס דיצה וחדוה</t>
  </si>
  <si>
    <t>ברנטשיין, יצחק דוד</t>
  </si>
  <si>
    <t>קונטרס דירת עראי</t>
  </si>
  <si>
    <t>פרייל, יעקב צבי</t>
  </si>
  <si>
    <t>קונטרס דמעת ישראל השלם</t>
  </si>
  <si>
    <t>מכון אור עציון</t>
  </si>
  <si>
    <t>קונטרס דניאל איש חמודות</t>
  </si>
  <si>
    <t>קונטרס דעה ברורה - סימן רעג</t>
  </si>
  <si>
    <t>הורביץ, אשר הלוי</t>
  </si>
  <si>
    <t>קונטרס דער קאצקער קוויטעל - מאמר פדיון הבן באלכסנדר</t>
  </si>
  <si>
    <t>קונטרס דעת חדרים - יבמות</t>
  </si>
  <si>
    <t>ברלין, אהרן שמואל</t>
  </si>
  <si>
    <t>קונטרס דעת חכמה</t>
  </si>
  <si>
    <t>קונטרס דעת מבינים</t>
  </si>
  <si>
    <t>אדלשטיין, גרשון בן צבי יהודה</t>
  </si>
  <si>
    <t>קונטרס דעת תבונות</t>
  </si>
  <si>
    <t>ישיבת שערי תבונה</t>
  </si>
  <si>
    <t>קונטרס דעת תורה</t>
  </si>
  <si>
    <t>לקט מדברי רבותינו</t>
  </si>
  <si>
    <t>קונטרס דצך עדש באחב</t>
  </si>
  <si>
    <t>קונטרס דרושי הפורים - 2 כר'</t>
  </si>
  <si>
    <t>בצרי, משה בן דוד</t>
  </si>
  <si>
    <t>קונטרס דרך הלימוד במשנתו של מרן הגרא"מ שך</t>
  </si>
  <si>
    <t>קונטרס דרך הלימוד</t>
  </si>
  <si>
    <t>אבראהם, נחום</t>
  </si>
  <si>
    <t>קונטרס דרך הקודש</t>
  </si>
  <si>
    <t>קונטרס דרך התפלה</t>
  </si>
  <si>
    <t>קונטרס דרך חיים תוכחות מוסר</t>
  </si>
  <si>
    <t>ישיבת ויואל משה דסאטמר</t>
  </si>
  <si>
    <t>קונטרס דרך ים - ביצה</t>
  </si>
  <si>
    <t>מטות, יצחק</t>
  </si>
  <si>
    <t>קונטרס דרך ישועות</t>
  </si>
  <si>
    <t>גינויער, צבי שלום הלוי - מלין, חיים</t>
  </si>
  <si>
    <t>קונטרס דרך ישרים</t>
  </si>
  <si>
    <t>קונטרס דרך כוכב מיעקב</t>
  </si>
  <si>
    <t>חבורת סטאר קי, בית המדרש בית אהרן</t>
  </si>
  <si>
    <t>קונטרס דרך תורה</t>
  </si>
  <si>
    <t>קנייבסקי, שמריהו יוסף חיים בן יעקב ישראל - לרלפלד, חיים צבי</t>
  </si>
  <si>
    <t>קונטרס דרכה של תורה</t>
  </si>
  <si>
    <t>קונטרס דרכו של בן תורה</t>
  </si>
  <si>
    <t>קונטרס דרכי העבודה - א</t>
  </si>
  <si>
    <t>קונטרס דרכי הפסח - דרכי חינוך</t>
  </si>
  <si>
    <t>קונטרס דרכי חיים - הערות על ספר חפץ חיים</t>
  </si>
  <si>
    <t>וויזנפלד, גרשון אברהם</t>
  </si>
  <si>
    <t>קונטרס דרכי חיים - 2 כר'</t>
  </si>
  <si>
    <t>קונטרס דרכי משה</t>
  </si>
  <si>
    <t>מונק, משה יצחק</t>
  </si>
  <si>
    <t>קונטרס דרכי נועם</t>
  </si>
  <si>
    <t>קונטרס דרכי נועם - מים חיים</t>
  </si>
  <si>
    <t>הגר, חיים מאיר בן ישראל - צדיקי ויז'ניץ</t>
  </si>
  <si>
    <t>קונטרס דרכי נועם - הרחקת נזיקין</t>
  </si>
  <si>
    <t>קונטרס דרש באוכלוסא</t>
  </si>
  <si>
    <t>קונטרס דרש דר"ש מש"ה</t>
  </si>
  <si>
    <t>קונטרס דרשה ותוכחת מוסר</t>
  </si>
  <si>
    <t>יעקב, חיים</t>
  </si>
  <si>
    <t>קונטרס דרשות</t>
  </si>
  <si>
    <t>ברסלויער, מנחם מנדל בן יצחק</t>
  </si>
  <si>
    <t>קונטרס דת משה ויהודית</t>
  </si>
  <si>
    <t>קונטרס ה' אורי</t>
  </si>
  <si>
    <t>קונטרס האדרת והאמונה</t>
  </si>
  <si>
    <t>קונטרס האור החיים הקדוש</t>
  </si>
  <si>
    <t>קונטרס האורה</t>
  </si>
  <si>
    <t>סופרפין, אורי</t>
  </si>
  <si>
    <t>קונטרס האזינו רוזנים</t>
  </si>
  <si>
    <t>קונטרס האילן הקדוש</t>
  </si>
  <si>
    <t>קדוש, אליהו</t>
  </si>
  <si>
    <t>קונטרס האם ערבה זו כשרה</t>
  </si>
  <si>
    <t>תאומים, דוד</t>
  </si>
  <si>
    <t>קונטרס האמת תורה דרכה</t>
  </si>
  <si>
    <t>קונטרס הארות והערות על פרשיות התורה</t>
  </si>
  <si>
    <t>נריה, אברהם יצחק בן משה צבי</t>
  </si>
  <si>
    <t>קונטרס הבגדים כהלכה</t>
  </si>
  <si>
    <t>בית הדין לענייני שעטנז</t>
  </si>
  <si>
    <t>קונטרס הבו לה' כבוד</t>
  </si>
  <si>
    <t>קונטרס הבוחר בשירי זמרה</t>
  </si>
  <si>
    <t>קונטרס הבורגנין של רמות</t>
  </si>
  <si>
    <t>אסתרזון, ח.</t>
  </si>
  <si>
    <t>קונטרס הבורגנין</t>
  </si>
  <si>
    <t>קונטרס הביאורים - 2 כר'</t>
  </si>
  <si>
    <t>יפת, משה בן יורם</t>
  </si>
  <si>
    <t>קונטרס הביאורים, שערי שמועות - 10 כר'</t>
  </si>
  <si>
    <t>קונטרס הבינני - 11 כר'</t>
  </si>
  <si>
    <t>שפיצר,שמעון</t>
  </si>
  <si>
    <t>קונטרס הבירורים</t>
  </si>
  <si>
    <t>הורביץ, אברהם בן ישראל מנחם הלוי</t>
  </si>
  <si>
    <t>קונטרס הבכורים</t>
  </si>
  <si>
    <t>נוסבוים, ברוך</t>
  </si>
  <si>
    <t>קונטרס הבלעת הדם</t>
  </si>
  <si>
    <t>קונטרס הבעש"ט הקדוש</t>
  </si>
  <si>
    <t>קונטרס הברכה על המרור</t>
  </si>
  <si>
    <t>קונטרס הבת והלכותיה - סעודת בת מצוה</t>
  </si>
  <si>
    <t>קונטרס הגאון ר' צבי חריף זצ"ל - 2 כר'</t>
  </si>
  <si>
    <t>קונטרס הגדול - א</t>
  </si>
  <si>
    <t>פרידמן, מרדכי בן נחום יואל</t>
  </si>
  <si>
    <t>קונטרס הגדת משה</t>
  </si>
  <si>
    <t>קונטרס הגהות</t>
  </si>
  <si>
    <t>קונטרס הגיע זמן</t>
  </si>
  <si>
    <t>קונטרס הגירות</t>
  </si>
  <si>
    <t>קונטרס הדיבוק</t>
  </si>
  <si>
    <t>ישיבת המקובלים שער השמים</t>
  </si>
  <si>
    <t>קונטרס הדלקת הנר</t>
  </si>
  <si>
    <t>גולדשטיין, אליהו בן צבי</t>
  </si>
  <si>
    <t>קונטרס הדרכה לכלות</t>
  </si>
  <si>
    <t>וולבה, שלמה</t>
  </si>
  <si>
    <t>קונטרס הדרן עלך - הלכות ארבעת המינים</t>
  </si>
  <si>
    <t>קונטרס הדרת דוד - לולב הגזול</t>
  </si>
  <si>
    <t>קונטרס הדרת יוסף</t>
  </si>
  <si>
    <t>קונטרס הדרת מלך</t>
  </si>
  <si>
    <t>דרייזן, אהרן</t>
  </si>
  <si>
    <t>קונטרס הדרת מלך - ראש השנה</t>
  </si>
  <si>
    <t>קונטרס ההנהגה באכילת קרבן פסח</t>
  </si>
  <si>
    <t>קונטרס ההקדמות והמבוא</t>
  </si>
  <si>
    <t>קונטרס ההשכמה - התעוררות לתפלה</t>
  </si>
  <si>
    <t>לופס, שלום בן יעקב</t>
  </si>
  <si>
    <t>קונטרס ההתפעלות</t>
  </si>
  <si>
    <t>קונטרס הואיל משה</t>
  </si>
  <si>
    <t>דנחי, משה בן יוסף</t>
  </si>
  <si>
    <t>קונטרס הוד יוסף</t>
  </si>
  <si>
    <t>עדס, יוסף</t>
  </si>
  <si>
    <t>קונטרס הוד שבהוד</t>
  </si>
  <si>
    <t>בלושטיין, יהושע מנחם</t>
  </si>
  <si>
    <t>קונטרס הודך והדרך - ב"מ</t>
  </si>
  <si>
    <t>ישיבת הדרת מלך</t>
  </si>
  <si>
    <t>קונטרס הודך והדרך</t>
  </si>
  <si>
    <t>קונטרס הוויתור</t>
  </si>
  <si>
    <t>קונטרס הויות דאביי</t>
  </si>
  <si>
    <t>קונטרס הויכוח</t>
  </si>
  <si>
    <t>קונטרס הולך את חכמים יחכם</t>
  </si>
  <si>
    <t>קונטרס הוצאה</t>
  </si>
  <si>
    <t>קונטרס הזדמנות אחרונה</t>
  </si>
  <si>
    <t>קונטרס הזהרו בגחלתן יתד היהדות</t>
  </si>
  <si>
    <t>קונטרס הזורעים בדמעה</t>
  </si>
  <si>
    <t>קונטרס הזכרון - 9 כר'</t>
  </si>
  <si>
    <t>ארגון תורת חיים</t>
  </si>
  <si>
    <t>קונטרס החבורות מילי דנזיקין</t>
  </si>
  <si>
    <t>קונטרס החדש הזה לכם</t>
  </si>
  <si>
    <t>קובץ ליקוטים</t>
  </si>
  <si>
    <t>קונטרס החודש הזה</t>
  </si>
  <si>
    <t>קונטרס החורים והסולם</t>
  </si>
  <si>
    <t>קונטרס החזקות</t>
  </si>
  <si>
    <t>קונטרס החיים שערי אהרן</t>
  </si>
  <si>
    <t>בצלאל, אהרן בן יעקב</t>
  </si>
  <si>
    <t>קונטרס החליבה</t>
  </si>
  <si>
    <t>קונטרס החסד</t>
  </si>
  <si>
    <t>קונטרס הטהרה</t>
  </si>
  <si>
    <t>קונטרס הטהרות - כללי קרבנות</t>
  </si>
  <si>
    <t>קונטרס היא אוצרו</t>
  </si>
  <si>
    <t>קונטרס היא שיחתי - 4 כר'</t>
  </si>
  <si>
    <t>קונטרס היוצא לדרך</t>
  </si>
  <si>
    <t>קונטרס הילולא דצדיקיא</t>
  </si>
  <si>
    <t>קונטרס הירקות שנזרעו בשביעית</t>
  </si>
  <si>
    <t>קונטרס היתר עיסקא כהלכתו</t>
  </si>
  <si>
    <t>קונטרס הכנה לגאולה</t>
  </si>
  <si>
    <t>קונטרס הכנה למצוה</t>
  </si>
  <si>
    <t>שיש, שמואל בן ישראל יצחק הלוי</t>
  </si>
  <si>
    <t>קונטרס הכנה על פרק הכונס</t>
  </si>
  <si>
    <t>ירט, יחיאל בן חיים</t>
  </si>
  <si>
    <t>קונטרס הכנה</t>
  </si>
  <si>
    <t>רבינוביץ תאומים, בנימין צבי יהודה</t>
  </si>
  <si>
    <t>קונטרס הכנת שבת - מוקצה</t>
  </si>
  <si>
    <t>קובץ יששכר באוהלך</t>
  </si>
  <si>
    <t>קונטרס הכרעתה של חזקה</t>
  </si>
  <si>
    <t>קונטרס הכשרת הכלים והמטבח לפסח</t>
  </si>
  <si>
    <t>קונטרס הכתל המערבי</t>
  </si>
  <si>
    <t>לקט דברי רבותינו</t>
  </si>
  <si>
    <t>קונטרס הליכות והלכות לבין הזמנים</t>
  </si>
  <si>
    <t>קונטרס הליכות זמן הביניים</t>
  </si>
  <si>
    <t>קונטרס הליכות חיים - סדר היום</t>
  </si>
  <si>
    <t>קונטרס הליכות יעקב - חנוכה</t>
  </si>
  <si>
    <t>הס, יעקב בן משה</t>
  </si>
  <si>
    <t>קונטרס הליכות שבא - ויכר יוסף</t>
  </si>
  <si>
    <t>אוחיון, שמעון ברוך בן אברהם - דאבדא, יוסף חיים</t>
  </si>
  <si>
    <t>קונטרס הליקוטים של אגודת תקנת נר"ן</t>
  </si>
  <si>
    <t>קונטרס הלכה ברורה</t>
  </si>
  <si>
    <t>קונטרס הלכה ברורה - חנוכה ופורים</t>
  </si>
  <si>
    <t>רבינוביץ, אריה מרדכי לייביש</t>
  </si>
  <si>
    <t>קונטרס הלכה למעשה בקנית ד' מינים</t>
  </si>
  <si>
    <t>קונטרס הלכה למעשה</t>
  </si>
  <si>
    <t>קונטרס הלכה למשה - הלכות מקוואות</t>
  </si>
  <si>
    <t>בלוי, ישראל משה בן גדליה זאב</t>
  </si>
  <si>
    <t>קונטרס הלכה למשה</t>
  </si>
  <si>
    <t>קונטרס הלכות אפיית מצות</t>
  </si>
  <si>
    <t>קונטרס הלכות גזל</t>
  </si>
  <si>
    <t>קונטרס הלכות הארץ - 2 כר'</t>
  </si>
  <si>
    <t>פרידמן, יואל</t>
  </si>
  <si>
    <t>קונטרס הלכות השכיחות</t>
  </si>
  <si>
    <t>קונטרס הלכות והנהגות</t>
  </si>
  <si>
    <t>קונטרס הלכות חו"מ ורבית</t>
  </si>
  <si>
    <t>כולל חושן משפט שיקגו</t>
  </si>
  <si>
    <t>קונטרס הלכות חול המועד</t>
  </si>
  <si>
    <t>קונטרס הלכות חנוכה</t>
  </si>
  <si>
    <t>קונטרס הלכות טריפות הריאה</t>
  </si>
  <si>
    <t>קונטרס הלכות מצויות - 2 כר'</t>
  </si>
  <si>
    <t>משה שניר, דוד</t>
  </si>
  <si>
    <t>קונטרס הלכות נזקי שכנים</t>
  </si>
  <si>
    <t>קונטרס הלכות עירוב תבשילין עם ילקוט נחום</t>
  </si>
  <si>
    <t>בודנר, נחום בן ישראל פנחס</t>
  </si>
  <si>
    <t>קונטרס הלכות ערב פסח שחל להיות בשבת</t>
  </si>
  <si>
    <t>קונטרס הלכות פועלים בשבת</t>
  </si>
  <si>
    <t>קונטרס הלכות פורים</t>
  </si>
  <si>
    <t>קונטרס הלכות פסח שחל בשבת</t>
  </si>
  <si>
    <t>לאווי, אברהם אליהו</t>
  </si>
  <si>
    <t>קונטרס הלכות פסח</t>
  </si>
  <si>
    <t>קונטרס הלכות רבית - 2 כר'</t>
  </si>
  <si>
    <t>קונטרס הלכות רבית</t>
  </si>
  <si>
    <t>קונטרס הלכות שבע ברכות</t>
  </si>
  <si>
    <t>קונטרס הלכות שמיטה</t>
  </si>
  <si>
    <t>קונטרס הלכות שתי הלחם</t>
  </si>
  <si>
    <t>קונטרס הלכות תולעים</t>
  </si>
  <si>
    <t>קונטרס הלכות תלמוד תורה</t>
  </si>
  <si>
    <t>קונטרס הלכות תפילה</t>
  </si>
  <si>
    <t>קונטרס הלכות תקיעת שופר - 2 כר'</t>
  </si>
  <si>
    <t>קונטרס הלכות תקיעת שופר</t>
  </si>
  <si>
    <t>קונטרס המאיר לארץ</t>
  </si>
  <si>
    <t>אביטל, משה</t>
  </si>
  <si>
    <t>קונטרס המברר שאין שום ספק בשנת השמיטה</t>
  </si>
  <si>
    <t>קונטרס המועדים</t>
  </si>
  <si>
    <t>קונטרס המזכיר</t>
  </si>
  <si>
    <t>ילינק, אהרן בן יצחק יהודה</t>
  </si>
  <si>
    <t>קונטרס המחשבה</t>
  </si>
  <si>
    <t>קונטרס המינים המהודרים</t>
  </si>
  <si>
    <t>מרמורשטיין, אלטר אליהו</t>
  </si>
  <si>
    <t>קונטרס המלך - שיחות לר"ה</t>
  </si>
  <si>
    <t>קונטרס המספיד</t>
  </si>
  <si>
    <t>קונטרס המערכה על היהדות</t>
  </si>
  <si>
    <t>מכון כתבי בן מלך</t>
  </si>
  <si>
    <t>קונטרס המפרש</t>
  </si>
  <si>
    <t>קונטרס המפתח</t>
  </si>
  <si>
    <t>קונטרס המצוה המיוחדת לדור</t>
  </si>
  <si>
    <t>קונטרס המצוות</t>
  </si>
  <si>
    <t>קונטרס המקוה</t>
  </si>
  <si>
    <t>וואזנר, מרדכי</t>
  </si>
  <si>
    <t>קונטרס המקונן</t>
  </si>
  <si>
    <t>קונטרס הנהגות הספירה</t>
  </si>
  <si>
    <t>פלברבוים, נחמן אפרים מנשה</t>
  </si>
  <si>
    <t>קונטרס הנהגות והכרעות</t>
  </si>
  <si>
    <t>קונטרס הנהגת התורה בספיקות</t>
  </si>
  <si>
    <t>רוט, אברהם ישעיהו</t>
  </si>
  <si>
    <t>קונטרס הנודע ביהודה</t>
  </si>
  <si>
    <t>קונטרס הנותן בים דרך</t>
  </si>
  <si>
    <t>קונטרס הנסים הגלויים והנסתרים במשנת הרמב"ן ז"ל</t>
  </si>
  <si>
    <t>שטינברג, דוב זאב</t>
  </si>
  <si>
    <t>קונטרס הנשך</t>
  </si>
  <si>
    <t>עקשטיין, רפאל יונה בן יעקב שמעון</t>
  </si>
  <si>
    <t>קונטרס הנשף</t>
  </si>
  <si>
    <t>קונטרס הסברה</t>
  </si>
  <si>
    <t>בק, משה דב</t>
  </si>
  <si>
    <t>קונטרס הספיקות השלם &lt;פיתוחי חותם ושורשי הכללים&gt;</t>
  </si>
  <si>
    <t>הלר, יהודה בן יוסף הכהן</t>
  </si>
  <si>
    <t>קונטרס הספיקות עם ביאור בחזק יד</t>
  </si>
  <si>
    <t>הלר, יהודה בן יוסף הכהן - פריינד, אברהם מנחם הלוי</t>
  </si>
  <si>
    <t>קונטרס הספיקות עם קונטרס בית הספק</t>
  </si>
  <si>
    <t>קונטרס הספיקות - עם ביאור ערוגת הבשם</t>
  </si>
  <si>
    <t>הלר, יהודה בן יוסף הכהן - ברזל, יוסף צבי</t>
  </si>
  <si>
    <t>קונטרס הספיקות - עם ביאור זר זהב</t>
  </si>
  <si>
    <t>הלר, יהודה בן יוסף הכהן - דגני, ירוחם</t>
  </si>
  <si>
    <t>קונטרס הספיקות</t>
  </si>
  <si>
    <t>קונטרס העברונות &lt;עולם ועד&gt;</t>
  </si>
  <si>
    <t>קונטרס העיונים - 6 כר'</t>
  </si>
  <si>
    <t>רוטשטיין, יחזקאל בן יוסף ליב</t>
  </si>
  <si>
    <t>קונטרס העמדת סוטה</t>
  </si>
  <si>
    <t>גארדין, צבי דוד</t>
  </si>
  <si>
    <t>קונטרס העמל והיגיעה בתורה</t>
  </si>
  <si>
    <t>קונטרס הענינים - 2 כר'</t>
  </si>
  <si>
    <t>קונטרס העצות לתפילה בכוונה</t>
  </si>
  <si>
    <t>א.ב.נ</t>
  </si>
  <si>
    <t>קונטרס הערות בדיני תפילה</t>
  </si>
  <si>
    <t>קונטרס הערות בספר המדע</t>
  </si>
  <si>
    <t>גרינברג, ישראל העשיל</t>
  </si>
  <si>
    <t>קונטרס הערות בענין פאה נכרית</t>
  </si>
  <si>
    <t>קונטרס הערות</t>
  </si>
  <si>
    <t>קונטרס הערות בענינים שונים</t>
  </si>
  <si>
    <t>קונטרס הערות וביאורים - 3 כר'</t>
  </si>
  <si>
    <t>קונטרס הערות וביאורים - בסוגיא דשטרות</t>
  </si>
  <si>
    <t>קונטרס הערות ועיונים</t>
  </si>
  <si>
    <t>קונטרס הערות וציונים - סוטה</t>
  </si>
  <si>
    <t>סטוצקי, אריה בן צבי דב</t>
  </si>
  <si>
    <t>קונטרס הערות לדרושי רבינו אברהם חריף</t>
  </si>
  <si>
    <t>קונטרס הערות על מנ"ח הל' מילה</t>
  </si>
  <si>
    <t>קונטרס הערות על ספר פסח כהלכתו</t>
  </si>
  <si>
    <t>פרצוביץ, ישראל מאיר</t>
  </si>
  <si>
    <t>קונטרס הפיטם</t>
  </si>
  <si>
    <t>קונטרס הפעלים &lt;שפה לנאמנים&gt;</t>
  </si>
  <si>
    <t>קונטרס הפקדתי שומרים</t>
  </si>
  <si>
    <t>קונטרס הצוואה והתפילה</t>
  </si>
  <si>
    <t>קונטרס הצוואה</t>
  </si>
  <si>
    <t>גרוסמן, ישראל</t>
  </si>
  <si>
    <t>קונטרס הצוואה - 2 כר'</t>
  </si>
  <si>
    <t>תפילינסקי, שמואל בן נתנאל</t>
  </si>
  <si>
    <t>קונטרס הציץ ונפגע</t>
  </si>
  <si>
    <t>קונטרס הציצית</t>
  </si>
  <si>
    <t>לייבוביץ, חיים שלום בן ישראל</t>
  </si>
  <si>
    <t>קונטרס הקב"ה אנחנו אוהבים אותך</t>
  </si>
  <si>
    <t>קונטרס הקבצו ושמעו</t>
  </si>
  <si>
    <t>קונטרס הקדמות לנשמת</t>
  </si>
  <si>
    <t>קונטרס הקדמת מלאכה קודם שעת הפיקוח נפש</t>
  </si>
  <si>
    <t>קונטרס הראיות</t>
  </si>
  <si>
    <t>עפשטיין, אריה ליב</t>
  </si>
  <si>
    <t>קונטרס הראת לדעת</t>
  </si>
  <si>
    <t>קונטרס הרגשת נדה</t>
  </si>
  <si>
    <t>קונטרס הרועה בשושנים</t>
  </si>
  <si>
    <t>קונטרס הררים התלויים בשערה</t>
  </si>
  <si>
    <t>מחפוד, איתמר בן אהרן הלוי</t>
  </si>
  <si>
    <t>קונטרס השבועות</t>
  </si>
  <si>
    <t>סיטרוק, מאיר</t>
  </si>
  <si>
    <t>קונטרס השביעית</t>
  </si>
  <si>
    <t>עוקשי, ברוך - פלמן, ישראל מאיר (עורכים)</t>
  </si>
  <si>
    <t>קונטרס השבת נועם הנשמות</t>
  </si>
  <si>
    <t>קונטרס השבת נועם נהשמות</t>
  </si>
  <si>
    <t>קונטרס השבת</t>
  </si>
  <si>
    <t>לוריא, יצחק מתתיהו</t>
  </si>
  <si>
    <t>קונטרס השיבני שבת</t>
  </si>
  <si>
    <t>קונטרס השיעורים - נדה</t>
  </si>
  <si>
    <t>הלפרין, מ</t>
  </si>
  <si>
    <t>קונטרס השיעורים - סוכה</t>
  </si>
  <si>
    <t>קונטרס השיעורים - 4 כר'</t>
  </si>
  <si>
    <t>מונסוניגו, אריאל</t>
  </si>
  <si>
    <t>קונטרס השיעורים</t>
  </si>
  <si>
    <t>קונטרס השיעורים - 11 כר'</t>
  </si>
  <si>
    <t>סוקל, ישראל בן יוסף</t>
  </si>
  <si>
    <t>קונטרס השיעורים - אהל בנימין</t>
  </si>
  <si>
    <t>קונטרס השירה הזאת</t>
  </si>
  <si>
    <t>אלישיב, יוסף שלום - זכריש, אלעזר</t>
  </si>
  <si>
    <t>קונטרס השכל וידוע אותי</t>
  </si>
  <si>
    <t>קונטרס השלחן</t>
  </si>
  <si>
    <t>קונטרס השלמת הברכות</t>
  </si>
  <si>
    <t>הכהן, מיכאל אהרן</t>
  </si>
  <si>
    <t>קונטרס השמות החדש - 6 כר'</t>
  </si>
  <si>
    <t>טקאץ', דוב בר בן ירוחם פישל</t>
  </si>
  <si>
    <t>תשט"ו - תש"כ</t>
  </si>
  <si>
    <t>קונטרס השמות</t>
  </si>
  <si>
    <t>א.א.צ.</t>
  </si>
  <si>
    <t>קונטרס השמחה במועד</t>
  </si>
  <si>
    <t>פרץ, מאיר</t>
  </si>
  <si>
    <t>קונטרס התאומים</t>
  </si>
  <si>
    <t>קונטרס התבוננות בברכת אשר יצר</t>
  </si>
  <si>
    <t>קונטרס התורה והמצוה</t>
  </si>
  <si>
    <t>חלופסקי, אברהם בן יצחק נתן</t>
  </si>
  <si>
    <t>קונטרס התערובות</t>
  </si>
  <si>
    <t>קונטרס התקשרות בתפילין</t>
  </si>
  <si>
    <t>ישיבת צדקת יוסף - פיטסבורג</t>
  </si>
  <si>
    <t>קונטרס התשובות (מתוך טהרת ישראל)</t>
  </si>
  <si>
    <t>קונטרס התשובות</t>
  </si>
  <si>
    <t>כהן, בועז בן יעקב</t>
  </si>
  <si>
    <t>קונטרס ואהבת לרעך כמוך</t>
  </si>
  <si>
    <t>פרידמן, אליהו אריה</t>
  </si>
  <si>
    <t>קובלסקי, חיים נחמן</t>
  </si>
  <si>
    <t>קונטרס ואהבת לרעך</t>
  </si>
  <si>
    <t>קונטרס ואורח צדיקים כאור נוגה</t>
  </si>
  <si>
    <t>קונטרס ואם בגבורות</t>
  </si>
  <si>
    <t>קונטרס ואני תפילה</t>
  </si>
  <si>
    <t>קונטרס ואשיחה בחוקיך</t>
  </si>
  <si>
    <t>טישלר, צבי</t>
  </si>
  <si>
    <t>קונטרס ובהם נהגה</t>
  </si>
  <si>
    <t>קונטרס ובו קצת הערות בריש סנהדרין</t>
  </si>
  <si>
    <t>קונטרס ובחרת בחיים - 2 כר'</t>
  </si>
  <si>
    <t>קונטרס ובחרת בחיים</t>
  </si>
  <si>
    <t>רובינשטיין, מרדכי אריה</t>
  </si>
  <si>
    <t>קונטרס וביום שמחתכם</t>
  </si>
  <si>
    <t>קונטרס ובלכתך בדרך</t>
  </si>
  <si>
    <t>קונטרס וברכת - א</t>
  </si>
  <si>
    <t>קונטרס וגם לשמונה</t>
  </si>
  <si>
    <t>קונטרס ודבר דבר</t>
  </si>
  <si>
    <t>קונטרס ודברת בם</t>
  </si>
  <si>
    <t>קונטרס ודרשת וחקרת - 2 כר'</t>
  </si>
  <si>
    <t>קצנלבוגן, מ.א.</t>
  </si>
  <si>
    <t>קונטרס והאיש משה</t>
  </si>
  <si>
    <t>קונטרס והאר עינינו</t>
  </si>
  <si>
    <t>קונטרס והבית בהבנותו</t>
  </si>
  <si>
    <t>מרגליות, אליעזר</t>
  </si>
  <si>
    <t>קונטרס והגדת לבנך</t>
  </si>
  <si>
    <t>כהן, ששון</t>
  </si>
  <si>
    <t>קונטרס והדליקו נרות בחצרות קדשך</t>
  </si>
  <si>
    <t>הכהן, רפאל</t>
  </si>
  <si>
    <t>קונטרס והיה ברכה</t>
  </si>
  <si>
    <t>שישא, אברהם הלוי</t>
  </si>
  <si>
    <t>קונטרס והיה לאות על ידך - איטר יד בתפילין</t>
  </si>
  <si>
    <t>קונטרס והיה לשון שמחה</t>
  </si>
  <si>
    <t>קונטרס והיה מחניך קדוש</t>
  </si>
  <si>
    <t>כהן, יוסף שלמה</t>
  </si>
  <si>
    <t>קונטרס והיו עיניך רואות</t>
  </si>
  <si>
    <t>קונטרס והיית אך שמח</t>
  </si>
  <si>
    <t>קונטרס והייתם קדושים</t>
  </si>
  <si>
    <t>קונטרס והייתם קדושים - מים אחרונים</t>
  </si>
  <si>
    <t>גלעדי, ששון</t>
  </si>
  <si>
    <t>קונטרס והכינו את אשר יבואו</t>
  </si>
  <si>
    <t>שוורץ, שמואל בן דב חיים</t>
  </si>
  <si>
    <t>קונטרס והערב נא</t>
  </si>
  <si>
    <t>קונטרס ווארטים יחודיים על הפרשה</t>
  </si>
  <si>
    <t>קונטרס ווירמייזא וקהל ווינא</t>
  </si>
  <si>
    <t>קונטרס וותיקין</t>
  </si>
  <si>
    <t>בית המדרש וותיקין</t>
  </si>
  <si>
    <t>קונטרס וזאת התורה אשר שם משה</t>
  </si>
  <si>
    <t>לב, ישראל בן יצחק גרשון</t>
  </si>
  <si>
    <t>קונטרס וזה הדבר אשר מל יהושע</t>
  </si>
  <si>
    <t>קונטרס וחי אחיך עמך</t>
  </si>
  <si>
    <t>קונטרס וחיי עולם נטע</t>
  </si>
  <si>
    <t>קונטרס וטמאו כל השמנים</t>
  </si>
  <si>
    <t>קונטרס ויבא יעקב שלם</t>
  </si>
  <si>
    <t>גילקרוב, יעקב ישראל בן גדעון</t>
  </si>
  <si>
    <t>קונטרס ויברך כל בשר</t>
  </si>
  <si>
    <t>קונטרס וידעת היום</t>
  </si>
  <si>
    <t>קונטרס ויואל משה אמת ותורתו אמת</t>
  </si>
  <si>
    <t>קונטרס וילן בעמק</t>
  </si>
  <si>
    <t>קונטרס וילן יהושע</t>
  </si>
  <si>
    <t>קרלינסקי, יהושע</t>
  </si>
  <si>
    <t>קונטרס וימצא יוסף חן</t>
  </si>
  <si>
    <t>קונטרס ויסב שמואל</t>
  </si>
  <si>
    <t>קונטרס ויעל משה</t>
  </si>
  <si>
    <t>קונטרס ויצבור יוסף</t>
  </si>
  <si>
    <t>קונטרס ויצו יוסף</t>
  </si>
  <si>
    <t>סופר, יוסף צבי בן חיים</t>
  </si>
  <si>
    <t>קונטרס ויצץ ציץ</t>
  </si>
  <si>
    <t>קונטרס ויש לומר</t>
  </si>
  <si>
    <t>קונטרס וישמח יונה</t>
  </si>
  <si>
    <t>כולל מצמיח ישועה</t>
  </si>
  <si>
    <t>קונטרס ויתהלך חנוך</t>
  </si>
  <si>
    <t>מכון לחקר אבותם</t>
  </si>
  <si>
    <t>קונטרס וכל החיי"ם</t>
  </si>
  <si>
    <t>פנחסי, שמואל</t>
  </si>
  <si>
    <t>קונטרס וכתבתם - א</t>
  </si>
  <si>
    <t>קונטרס וכתורה יעשה - 2 כר'</t>
  </si>
  <si>
    <t>קונטרס ולדבקה בו</t>
  </si>
  <si>
    <t>קונטרס ולקח אזוב</t>
  </si>
  <si>
    <t>קונטרס ולקח אלעזר - א</t>
  </si>
  <si>
    <t>קונטרס ולקחתם לכם כפות תמרים</t>
  </si>
  <si>
    <t>קונטרס ולקחתם לכם - ארבעת המינים</t>
  </si>
  <si>
    <t>מרמרוש, אברהם בן ישראל</t>
  </si>
  <si>
    <t>קונטרס ולרפואה שלימה</t>
  </si>
  <si>
    <t>קונטרס ומעשה ידינו כוננהו</t>
  </si>
  <si>
    <t>קצבורג, שמשון</t>
  </si>
  <si>
    <t>קונטרס ומפליא לעשות</t>
  </si>
  <si>
    <t>קונטרס ומצדיקי הרבים ככוכבים</t>
  </si>
  <si>
    <t>קונטרס ומקדשי תיראו</t>
  </si>
  <si>
    <t>קונטרס ומשלוח מנות</t>
  </si>
  <si>
    <t>קונטרס ומשפע מצות תפילין</t>
  </si>
  <si>
    <t>קונטרס ומתוק האור</t>
  </si>
  <si>
    <t>קונטרס ומתורתך תלמדני - 2 כר'</t>
  </si>
  <si>
    <t>קונטרס ונסב הגבול - 3 כר'</t>
  </si>
  <si>
    <t>קונטרס ונרי שמה</t>
  </si>
  <si>
    <t>וינר, משה בן יהונתן שמואל</t>
  </si>
  <si>
    <t>קונטרס ונשמח במצותיך</t>
  </si>
  <si>
    <t>קונטרס ונשמחה בו</t>
  </si>
  <si>
    <t>קונטרס ונשמרת מכל דבר רע</t>
  </si>
  <si>
    <t>קונטרס ונשמרתם מאד לנפשכם</t>
  </si>
  <si>
    <t>אבידן, שמעון</t>
  </si>
  <si>
    <t>קונטרס ונתן בידה</t>
  </si>
  <si>
    <t>תשסז</t>
  </si>
  <si>
    <t>קונטרס ועד דור ודור אמונתו</t>
  </si>
  <si>
    <t>ועד להנצחת קדושי פוליסה וואהלין</t>
  </si>
  <si>
    <t>קונטרס ועינינו מאירות - א</t>
  </si>
  <si>
    <t>קונטרס ועשו להם ציצית</t>
  </si>
  <si>
    <t>שטרן, ברוך בן אורי</t>
  </si>
  <si>
    <t>קונטרס ופרשו השמלה</t>
  </si>
  <si>
    <t>תשסה</t>
  </si>
  <si>
    <t>קונטרס וצדיקים ישמחו</t>
  </si>
  <si>
    <t>בעלזא מכנובקא</t>
  </si>
  <si>
    <t>קונטרס וקולי בא בדממה</t>
  </si>
  <si>
    <t>לוגאסי, אברהם</t>
  </si>
  <si>
    <t>קונטרס וקראת לשבת עונג</t>
  </si>
  <si>
    <t>ישיבת שער אליעזר קרעטשניף</t>
  </si>
  <si>
    <t>קונטרס ורפא ירפא</t>
  </si>
  <si>
    <t>קונטרס ושבתי בבית ה'</t>
  </si>
  <si>
    <t>קונטרס ושמחתם לפני ה'</t>
  </si>
  <si>
    <t>קונטרס ושמרת את המצות</t>
  </si>
  <si>
    <t>אבראהאם, יואל</t>
  </si>
  <si>
    <t>קונטרס ושמרתם</t>
  </si>
  <si>
    <t>קונטרס ושפני טמוני חול</t>
  </si>
  <si>
    <t>קונטרס ותשר דבורה - 2 כר'</t>
  </si>
  <si>
    <t>קונטרס ותתפלל חנה</t>
  </si>
  <si>
    <t>ישיבת חברת אהבת שלום</t>
  </si>
  <si>
    <t>קונטרס זאת החיה</t>
  </si>
  <si>
    <t>כהן עראקי, אלעד</t>
  </si>
  <si>
    <t>קונטרס זאת התורה לא תהיה מוחלפת</t>
  </si>
  <si>
    <t>יונה, ינון</t>
  </si>
  <si>
    <t>קונטרס זבד טוב</t>
  </si>
  <si>
    <t>הכהן, יחזקאל ברוך בן יוסף יוחנן</t>
  </si>
  <si>
    <t>קונטרס זבח הפסח</t>
  </si>
  <si>
    <t>קונטרס זבח פסח</t>
  </si>
  <si>
    <t>אייכנשטיין, צבי הירש</t>
  </si>
  <si>
    <t>קונטרס זבחי ההוד</t>
  </si>
  <si>
    <t>חיימזון, יואל</t>
  </si>
  <si>
    <t>קונטרס זבחי תודה</t>
  </si>
  <si>
    <t>קונטרס זה ספר תולדות אדם</t>
  </si>
  <si>
    <t>מוסדות פולנאה</t>
  </si>
  <si>
    <t>קונטרס זהב המלאכה</t>
  </si>
  <si>
    <t>קונטרס זהב ולבונה</t>
  </si>
  <si>
    <t>קונטרס זהב טהור</t>
  </si>
  <si>
    <t>כהן, נחום</t>
  </si>
  <si>
    <t>קונטרס זיו שושנים</t>
  </si>
  <si>
    <t>קונטרס זיכוי הרבים</t>
  </si>
  <si>
    <t>קונטרס זיקת יבמין</t>
  </si>
  <si>
    <t>קונטרס זכור ברית אברהם ועקידת יצחק</t>
  </si>
  <si>
    <t>קונטרס זכור זאת ליעקב</t>
  </si>
  <si>
    <t>הררי-רפול, יוסף בן שלמה</t>
  </si>
  <si>
    <t>קונטרס זכור ימות עולם</t>
  </si>
  <si>
    <t>ליקוט גדרי וסייגי החינוך הטהור</t>
  </si>
  <si>
    <t>קונטרס זכור לאברהם</t>
  </si>
  <si>
    <t>השל, אברהם יהושע</t>
  </si>
  <si>
    <t>לזכרו של רבי אברהם ברוך דייטש</t>
  </si>
  <si>
    <t>רביבו, אברהם</t>
  </si>
  <si>
    <t>קונטרס זכור לדוד - כתיבת חידו"ת</t>
  </si>
  <si>
    <t>ולס, זכריה דוד</t>
  </si>
  <si>
    <t>קונטרס זכור</t>
  </si>
  <si>
    <t>קונטרס זכות אבות</t>
  </si>
  <si>
    <t>קצין, יעקב ש.</t>
  </si>
  <si>
    <t>קונטרס זכות הרבים</t>
  </si>
  <si>
    <t>קונטרס זכר אהרן</t>
  </si>
  <si>
    <t>קונטרס זכר דבר</t>
  </si>
  <si>
    <t>טולנפלד, דוד בן שמואל</t>
  </si>
  <si>
    <t>קונטרס זכר זאת ליעקב</t>
  </si>
  <si>
    <t>ארנפלד, יעקב שלום</t>
  </si>
  <si>
    <t>קונטרס זכר לאברהם</t>
  </si>
  <si>
    <t>קונטרס זכר ליעקב</t>
  </si>
  <si>
    <t>שטרן, יעקב</t>
  </si>
  <si>
    <t>קונטרס זכר ליציאת מצרים</t>
  </si>
  <si>
    <t>קונטרס זכר משה</t>
  </si>
  <si>
    <t>לזכר רבי משה טשינגל</t>
  </si>
  <si>
    <t>קונטרס זכר נפלאותיו</t>
  </si>
  <si>
    <t>קונטרס זכר שלום - כתובות</t>
  </si>
  <si>
    <t>קונטרס זכר שמעון</t>
  </si>
  <si>
    <t>דרשן, אריאל בן אליהו</t>
  </si>
  <si>
    <t>קונטרס זכרו יעקב</t>
  </si>
  <si>
    <t>לזכר רבי יעקב הרטמן</t>
  </si>
  <si>
    <t>קונטרס זכרון אבות</t>
  </si>
  <si>
    <t>קונטרס זכרון אהל משה</t>
  </si>
  <si>
    <t>קונטרס זכרון אליהו</t>
  </si>
  <si>
    <t>ישיבת בית מאיר ניו יורק</t>
  </si>
  <si>
    <t>קונטרס זכרון אלימלך</t>
  </si>
  <si>
    <t>מכון זכרון אלימלך שע"י ישיבת בית מאיר</t>
  </si>
  <si>
    <t>קונטרס זכרון אסתר - בבא קמא</t>
  </si>
  <si>
    <t>אשקר, יוסף חי הכהן</t>
  </si>
  <si>
    <t>קונטרס זכרון הלווים</t>
  </si>
  <si>
    <t>קונטרס זכרון הלל</t>
  </si>
  <si>
    <t>קונטרס זכרון חנה - פורים</t>
  </si>
  <si>
    <t>רוטשילד, מאיר</t>
  </si>
  <si>
    <t>קונטרס זכרון יוסף - 4 כר'</t>
  </si>
  <si>
    <t>חרך, יצחק זאב בן מאיר שמחה הכהן</t>
  </si>
  <si>
    <t>קונטרס זכרון יוסף - חג השבועות</t>
  </si>
  <si>
    <t>חרך, יצחק זאב</t>
  </si>
  <si>
    <t>קונטרס זכרון יעב"ץ</t>
  </si>
  <si>
    <t>לזכר רבי יעקב בן ציון רוטנר</t>
  </si>
  <si>
    <t>קונטרס זכרון יעקב</t>
  </si>
  <si>
    <t>ישיבת אור המאיר</t>
  </si>
  <si>
    <t>קונטרס זכרון יצחק ירנן</t>
  </si>
  <si>
    <t>לזכר רבי יצחק צבי פריי</t>
  </si>
  <si>
    <t>קונטרס זכרון להרבנית הצדקנית מרת שינא חיה אלישיב</t>
  </si>
  <si>
    <t>קונטרס זכרון ליום השנה העשרים לפטירת הרב מאיר שצרנסקי ז"ל</t>
  </si>
  <si>
    <t>קונטרס זכרון למורנו ורבנו הגה"צ רבי יחזקאל פרצוביץ</t>
  </si>
  <si>
    <t>תלמידי ישיבת תפארת צבי</t>
  </si>
  <si>
    <t>קונטרס זכרון מאיר</t>
  </si>
  <si>
    <t>מגיד, מאיר</t>
  </si>
  <si>
    <t>קונטרס זכרון מנחם</t>
  </si>
  <si>
    <t>הישיבה הגדולה אור שמחה דחסידי גור</t>
  </si>
  <si>
    <t>קויפמאן, יעקב צבי</t>
  </si>
  <si>
    <t>קונטרס זכרון מרדכי</t>
  </si>
  <si>
    <t>מזרחי, נסים נתנאל בן אליהו יוסף</t>
  </si>
  <si>
    <t>קונטרס זכרון רפאל</t>
  </si>
  <si>
    <t>ברגר, יהושע דוד</t>
  </si>
  <si>
    <t>קונטרס זכרון שאול</t>
  </si>
  <si>
    <t>קונטרס זכרון של הרב שמואל גרינפלד זצ"ל</t>
  </si>
  <si>
    <t>קונטרס זכרון שלמה</t>
  </si>
  <si>
    <t>מוסדות אשלג</t>
  </si>
  <si>
    <t>קונטרס זכרון - עטרת צבי</t>
  </si>
  <si>
    <t>משפחת היילפרין</t>
  </si>
  <si>
    <t>קונטרס זמירות חוקיך - האשל ברמה</t>
  </si>
  <si>
    <t>שטרן, דוד לייב</t>
  </si>
  <si>
    <t>קונטרס זמן גאולתנו</t>
  </si>
  <si>
    <t>קונטרס זמן הדלקת נר חנוכה</t>
  </si>
  <si>
    <t>בר חיים, דוד חנוך יצחק  בן חיים רפאל</t>
  </si>
  <si>
    <t>קונטרס זמן הראוי למילה</t>
  </si>
  <si>
    <t>י.ד. נ.כ</t>
  </si>
  <si>
    <t>קונטרס זמן שמחתנו</t>
  </si>
  <si>
    <t>קונטרס זריקת יד</t>
  </si>
  <si>
    <t>ברקוביץ, חיים</t>
  </si>
  <si>
    <t>קונטרס זרע ברך ה'</t>
  </si>
  <si>
    <t>קונטרס זרע ברך</t>
  </si>
  <si>
    <t>בוסל, רפאל ברוך</t>
  </si>
  <si>
    <t>קונטרס זרע יהודה</t>
  </si>
  <si>
    <t>קונטרס זרע יעקב</t>
  </si>
  <si>
    <t>קונטרס זרע מרדכי</t>
  </si>
  <si>
    <t>קובץ, כולל זרע מרדכי</t>
  </si>
  <si>
    <t>קונטרס ח"י יודוך</t>
  </si>
  <si>
    <t>רוזנברג, יהושע בן משה</t>
  </si>
  <si>
    <t>קונטרס חבורות והערות - זבחים</t>
  </si>
  <si>
    <t>קונטרס חבורת קדשים</t>
  </si>
  <si>
    <t>קונטרס חג המצות - 2 כר'</t>
  </si>
  <si>
    <t>קונטרס חג הסוכות בסוכות תשבו שבעת ימים</t>
  </si>
  <si>
    <t>קונטרס חג הסוכות</t>
  </si>
  <si>
    <t>קונטרס חג השבועות</t>
  </si>
  <si>
    <t>קונטרס חדות יו"ט - ביצה</t>
  </si>
  <si>
    <t>קונטרס חדש בקרבי - תפילה</t>
  </si>
  <si>
    <t>ארגון יוצאי תימן</t>
  </si>
  <si>
    <t>קונטרס חדשים גם ישנים</t>
  </si>
  <si>
    <t>קונטרס חובת המקרא</t>
  </si>
  <si>
    <t>קונטרס חודש ושבת</t>
  </si>
  <si>
    <t>קונטרס חודש שלם - ר"ח וברכת הלבנה</t>
  </si>
  <si>
    <t>קונטרס חוות צבי</t>
  </si>
  <si>
    <t>קונטרס חוט המשולש</t>
  </si>
  <si>
    <t>קונטרס חוט השני</t>
  </si>
  <si>
    <t>זכותא, חיים בן אברהם</t>
  </si>
  <si>
    <t>קונטרס חולה בשבת</t>
  </si>
  <si>
    <t>קונטרס חולין</t>
  </si>
  <si>
    <t>קונטרס חומת יהודה על חומת אנך</t>
  </si>
  <si>
    <t>הורביץ, יהודה</t>
  </si>
  <si>
    <t>קונטרס חופת בנימין</t>
  </si>
  <si>
    <t>קונטרס חוקים להורותם</t>
  </si>
  <si>
    <t>פריעדמאן, יחיאל מיכל אברהם</t>
  </si>
  <si>
    <t>קונטרס חוקת הפסח</t>
  </si>
  <si>
    <t>אשכנזי, חיים</t>
  </si>
  <si>
    <t>קונטרס חוקת ישראל</t>
  </si>
  <si>
    <t>קונטרס חושן אהרן - 2 כר'</t>
  </si>
  <si>
    <t>קונטרס חותמו של כהן גדול- חנוכה</t>
  </si>
  <si>
    <t>קונטרס חזון ברוך</t>
  </si>
  <si>
    <t>טולידאנו, יעקב בן ברוך</t>
  </si>
  <si>
    <t>קונטרס חזון ישעיהו</t>
  </si>
  <si>
    <t>גולדשמיט, ישעיהו</t>
  </si>
  <si>
    <t>קונטרס חזור ושושן - 3 כר'</t>
  </si>
  <si>
    <t>קונטרס חזקת הבית - ע"פ חזקת הבתים</t>
  </si>
  <si>
    <t>קונטרס חזקת נזיקין ותשמישים</t>
  </si>
  <si>
    <t>קונטרס חזרת רבית</t>
  </si>
  <si>
    <t>עמרם, אריה - קלויזנר, משה מאיר</t>
  </si>
  <si>
    <t>קונטרס חיבה יתירה</t>
  </si>
  <si>
    <t>הנקין, יהודה הרצל בן אברהם הלל</t>
  </si>
  <si>
    <t>קונטרס חיבור בגדר קנין הקידושין</t>
  </si>
  <si>
    <t>גליק, יצחק</t>
  </si>
  <si>
    <t>קונטרס חיבור בענין קניני היבום</t>
  </si>
  <si>
    <t>קונטרס חיבת הקודש</t>
  </si>
  <si>
    <t>קונטרס חיבת הקודש - שליח ציבור</t>
  </si>
  <si>
    <t>קונטרס חידו"ת בית שלום אהרן</t>
  </si>
  <si>
    <t>קונטרס חידו"ת - 3 כר'</t>
  </si>
  <si>
    <t>אייזנברג, דוד</t>
  </si>
  <si>
    <t>קונטרס חידו"ת</t>
  </si>
  <si>
    <t>גליק, אליהו בן ישראל מנחם מנדל</t>
  </si>
  <si>
    <t>קונטרס חידו"ת - 2 כר'</t>
  </si>
  <si>
    <t>וולפסון, ישראל איסר</t>
  </si>
  <si>
    <t>קונטרס חידו"ת - פרק איזהו נשך</t>
  </si>
  <si>
    <t>קונטרס חידודא דמציעתא</t>
  </si>
  <si>
    <t>קונטרס חידודי התורה - 5 כר'</t>
  </si>
  <si>
    <t>פרץ, דוד בן מימון</t>
  </si>
  <si>
    <t>קונטרס חידושי מרן הגר"ח קנייבסקי - פורים</t>
  </si>
  <si>
    <t>קונטרס חידושי תורה ודרשות</t>
  </si>
  <si>
    <t>קונטרס חידושי תורה - 3 כר'</t>
  </si>
  <si>
    <t>קונטרס חידושי תורה - 5 כר'</t>
  </si>
  <si>
    <t>קונטרס חידושים וביאורים בכמה ענינים</t>
  </si>
  <si>
    <t>פישר, שמואל חיים בן יעקב שלום</t>
  </si>
  <si>
    <t>קונטרס חידושים וביאורים על רמב"ם חמץ ומצה</t>
  </si>
  <si>
    <t>וואלקין, משה יואל בן שמואל דוד</t>
  </si>
  <si>
    <t>קונטרס חידושים ופלפולים בסוגיא ירך</t>
  </si>
  <si>
    <t>קונטרס חידושים על מסכת שבת</t>
  </si>
  <si>
    <t>דומברובסקי, דוד</t>
  </si>
  <si>
    <t>גייטסד</t>
  </si>
  <si>
    <t>קונטרס חיוב מצוות הזמניות קודם זמן המצוה</t>
  </si>
  <si>
    <t>קונטרס חיוב נשים בברכת הגומל</t>
  </si>
  <si>
    <t>קונטרס חיובי גניבה וגזילה</t>
  </si>
  <si>
    <t>קונטרס חיזוק בתפילה</t>
  </si>
  <si>
    <t>קונטרס חיזוק למלמד</t>
  </si>
  <si>
    <t>לאווען, מנחם מענדל</t>
  </si>
  <si>
    <t>קונטרס חיי יוסף</t>
  </si>
  <si>
    <t>תשובות וחידושים ממאורי הדורות</t>
  </si>
  <si>
    <t>קונטרס חיי יעקב</t>
  </si>
  <si>
    <t>צוקר, יעקב ישראל בן יחיאל מאיר</t>
  </si>
  <si>
    <t>קונטרס חיי שמעון - אבילות החורבן</t>
  </si>
  <si>
    <t>גליק, יוסף</t>
  </si>
  <si>
    <t>קונטרס חיים וחסד</t>
  </si>
  <si>
    <t>קולדצקי, דוד אליהו בן אברהם</t>
  </si>
  <si>
    <t>קונטרס חיים ועוז</t>
  </si>
  <si>
    <t>קונטרס חיים כהלכה - 2 כר'</t>
  </si>
  <si>
    <t>קונטרס חילים לתורה</t>
  </si>
  <si>
    <t>בהר"י, גדעון</t>
  </si>
  <si>
    <t>קונטרס חינוך הבנים &lt;מאמר לגדל הבנים לתוה"ק&gt;</t>
  </si>
  <si>
    <t>קונטרס חינוך הבנים - נר מצוה ותורה אור</t>
  </si>
  <si>
    <t>קונטרס חירות עולם</t>
  </si>
  <si>
    <t>קונטרס חכם בחכמתו</t>
  </si>
  <si>
    <t>כהן, בנימין זאב בן שמואל</t>
  </si>
  <si>
    <t>קונטרס חכמה נפלאה</t>
  </si>
  <si>
    <t>אייזנבאך, אברהם</t>
  </si>
  <si>
    <t>קונטרס חלוץ הנעל - סדר החליצה</t>
  </si>
  <si>
    <t>קונטרס חלזון הפורפרא</t>
  </si>
  <si>
    <t>לבנון, ישראל אריה בן אליהו אליעזר</t>
  </si>
  <si>
    <t>קונטרס חלקת חיים - 2 כר'</t>
  </si>
  <si>
    <t>ברייש, חיים</t>
  </si>
  <si>
    <t>קונטרס חלקת יעקב</t>
  </si>
  <si>
    <t>אסרף, יעקב</t>
  </si>
  <si>
    <t>קונטרס חלת תרומה</t>
  </si>
  <si>
    <t>לוי, יחזקאל</t>
  </si>
  <si>
    <t>קונטרס חמדה טובה</t>
  </si>
  <si>
    <t>שפיגל, טוביה</t>
  </si>
  <si>
    <t>קונטרס חמדה לשלמה</t>
  </si>
  <si>
    <t>גריידינגר, אפרים בן שמחה בונים</t>
  </si>
  <si>
    <t>קונטרס חמדת אברהם - 2 כר'</t>
  </si>
  <si>
    <t>דולני, חיים מרדכי הכהן</t>
  </si>
  <si>
    <t>קונטרס חמדת דניאל - 3 כר'</t>
  </si>
  <si>
    <t>סטולבך, דניאל אהרן</t>
  </si>
  <si>
    <t>קונטרס חמדת ימים</t>
  </si>
  <si>
    <t>קונטרס חמדת לבבי</t>
  </si>
  <si>
    <t>שאדי, בני</t>
  </si>
  <si>
    <t>קונטרס חמה בברכתה ובדיניה</t>
  </si>
  <si>
    <t>קונטרס חמישה עשר בשבט</t>
  </si>
  <si>
    <t>קונטרס חמץ משהו</t>
  </si>
  <si>
    <t>קונטרס חן מרים</t>
  </si>
  <si>
    <t>קונטרס חנוך ילדים</t>
  </si>
  <si>
    <t>קונטרס חנוך לנער</t>
  </si>
  <si>
    <t>קונטרס חנוכה בישיבה</t>
  </si>
  <si>
    <t>קונטרס חנוכה ומגילה</t>
  </si>
  <si>
    <t>קונטרס חנוכה</t>
  </si>
  <si>
    <t>קונטרס חנוכת הבית</t>
  </si>
  <si>
    <t>קונטרס חנוכת התורה</t>
  </si>
  <si>
    <t>קונטרס חנוניך חלץ ממסגרים</t>
  </si>
  <si>
    <t>קונטרס חננו ועננו - י"ג מידות</t>
  </si>
  <si>
    <t>קונטרס חסד לאברהם - 6 כר'</t>
  </si>
  <si>
    <t>קונטרס חסד לאברהם</t>
  </si>
  <si>
    <t>קונטרס חצוצרות מלחמה</t>
  </si>
  <si>
    <t>קונטרס חצר אברהם</t>
  </si>
  <si>
    <t>קונטרס חקת הפסח - 3 כר'</t>
  </si>
  <si>
    <t>קונטרס חרב פיפיות</t>
  </si>
  <si>
    <t>מקסימוב, אוריאל</t>
  </si>
  <si>
    <t>קונטרס חרושת אבן</t>
  </si>
  <si>
    <t>קפלן, אברהם בן נפתלי הכהן</t>
  </si>
  <si>
    <t>קונטרס חשבון הנפש - בכתיבה</t>
  </si>
  <si>
    <t>קונטרס חשבתי דרכי</t>
  </si>
  <si>
    <t>קערן, אברהם ישראל טוביה</t>
  </si>
  <si>
    <t>קונטרס חשמל בשבת ולחולה</t>
  </si>
  <si>
    <t>קונטרס טבילה בשבת</t>
  </si>
  <si>
    <t>שאהן, יוסף אלימלך משה בן שלמה זלמן</t>
  </si>
  <si>
    <t>קונטרס טהר גברא</t>
  </si>
  <si>
    <t>ברייש, אהרן בן שאול</t>
  </si>
  <si>
    <t>קונטרס טהר יומא</t>
  </si>
  <si>
    <t>קונטרס טהרת הלב</t>
  </si>
  <si>
    <t>קונטרס טהרת המקוה</t>
  </si>
  <si>
    <t>קונטרס טהרת יוחסין</t>
  </si>
  <si>
    <t>קונטרס טוב הארץ</t>
  </si>
  <si>
    <t>שולזינגר, טוביה הלוי</t>
  </si>
  <si>
    <t>קונטרס טוב וחסד</t>
  </si>
  <si>
    <t>קונטרס טוב וסלח</t>
  </si>
  <si>
    <t>קונטרס טוב להודות לה'</t>
  </si>
  <si>
    <t>קונטרס טובים מאורות</t>
  </si>
  <si>
    <t>קלרברג, עזרא יוסף הלוי</t>
  </si>
  <si>
    <t>קונטרס טיול בפרד"ס</t>
  </si>
  <si>
    <t>מלוביצקי, חיים</t>
  </si>
  <si>
    <t>קונטרס טיפה מים</t>
  </si>
  <si>
    <t>קונטרס טירת כסף</t>
  </si>
  <si>
    <t>כהן, יאיר בן שמעון</t>
  </si>
  <si>
    <t>קונטרס טל ומטר לברכה</t>
  </si>
  <si>
    <t>כהן, יאיר - הלר, אברהם</t>
  </si>
  <si>
    <t>קונטרס טנא בכורים</t>
  </si>
  <si>
    <t>קונטרס טעם החלב</t>
  </si>
  <si>
    <t>קונטרס טעם הצבי</t>
  </si>
  <si>
    <t>קונטרס טעם עולם</t>
  </si>
  <si>
    <t>קונטרס טעמי משה - 5 כר'</t>
  </si>
  <si>
    <t>בלוי, ישראל משה</t>
  </si>
  <si>
    <t>קונטרס י"ג המערכות</t>
  </si>
  <si>
    <t>פחימא, מרדכי דניאל</t>
  </si>
  <si>
    <t>קונטרס י"ג למצוות</t>
  </si>
  <si>
    <t>טננבאום, רפאל אהרן</t>
  </si>
  <si>
    <t>קונטרס י"ח שעות</t>
  </si>
  <si>
    <t>קונטרס יאיר להב</t>
  </si>
  <si>
    <t>רודנסקי, אריה ליב בן יוחנן</t>
  </si>
  <si>
    <t>קונטרס יאיר נרו</t>
  </si>
  <si>
    <t>חוברת זכרון על הרה"צ ר' יאיר דוידסון זצ"ל</t>
  </si>
  <si>
    <t>קונטרס יבמות</t>
  </si>
  <si>
    <t>קונטרס יברך הזבח</t>
  </si>
  <si>
    <t>קונטרס יגיעת בוקר</t>
  </si>
  <si>
    <t>קפלינסקי, ישראל אליהו בן מרדכי</t>
  </si>
  <si>
    <t>קונטרס יגל לבי בישועתך</t>
  </si>
  <si>
    <t>קונטרס יד אהרן</t>
  </si>
  <si>
    <t>שכטר, אהרן בן שלום הלוי</t>
  </si>
  <si>
    <t>הלכה ומנהג, נושאים שונים, תלמוד בבלי, תלמוד בבלי, תפלות בקשות פיוטים ושירה</t>
  </si>
  <si>
    <t>קונטרס יד אליעזר</t>
  </si>
  <si>
    <t>בנזימן, אליעזר ליפא בן דב מאיר</t>
  </si>
  <si>
    <t>קונטרס יד בריבית</t>
  </si>
  <si>
    <t>שמעוני, יואב דן</t>
  </si>
  <si>
    <t>קונטרס יד גד - בכורות</t>
  </si>
  <si>
    <t>רייס, גדליה</t>
  </si>
  <si>
    <t>קונטרס יד דוד</t>
  </si>
  <si>
    <t>קונטרס יד הלוי - שביעית</t>
  </si>
  <si>
    <t>קונטרס יד יוסף - בראשית</t>
  </si>
  <si>
    <t>דע יונג, יוסף בן צבי</t>
  </si>
  <si>
    <t>קונטרס יד ישראל - 2 כר'</t>
  </si>
  <si>
    <t>טנצמן, ישראל</t>
  </si>
  <si>
    <t>קונטרס יד למתעסק</t>
  </si>
  <si>
    <t>קונטרס יד לשבים</t>
  </si>
  <si>
    <t>קונטרס יד שלום</t>
  </si>
  <si>
    <t>קונטרס יד שלמה - 2 כר'</t>
  </si>
  <si>
    <t>קונטרס ידא דמלאכות</t>
  </si>
  <si>
    <t>קונטרס ידי אליהו</t>
  </si>
  <si>
    <t>קונטרס ידי יוסף</t>
  </si>
  <si>
    <t>קונטרס ידי משה</t>
  </si>
  <si>
    <t>טוויל, משה בן יצחק חיים הכהן</t>
  </si>
  <si>
    <t>קונטרס ידיעות חשובות בעניין הזמן הראוי להתחיל ללמוד חלק הסוד</t>
  </si>
  <si>
    <t>בית מדרש מהרח"ו</t>
  </si>
  <si>
    <t>קונטרס ידיעת בית רבו</t>
  </si>
  <si>
    <t>שולזינגר, שמואל בן יצחק</t>
  </si>
  <si>
    <t>קונטרס ידיעת האמונה</t>
  </si>
  <si>
    <t>קונטרס ידיעת ישראל</t>
  </si>
  <si>
    <t>אומן, יעקב ישראל</t>
  </si>
  <si>
    <t>קונטרס יהי אור</t>
  </si>
  <si>
    <t>קונטרס יובל לנישואין</t>
  </si>
  <si>
    <t>קונטרס יודו לה' חסדו - זמירות לל"ג בעומר</t>
  </si>
  <si>
    <t>חסידי אלכסנדר</t>
  </si>
  <si>
    <t>קונטרס יודעי תרועה</t>
  </si>
  <si>
    <t>שולזינגר, משה בן אלעזר הלוי</t>
  </si>
  <si>
    <t>קונטרס יום חתונתו</t>
  </si>
  <si>
    <t>משפחת סקול</t>
  </si>
  <si>
    <t>קונטרס יום טוב שני - 2 כר'</t>
  </si>
  <si>
    <t>קונטרס יום שכולו שבת</t>
  </si>
  <si>
    <t>קונטרס יומא טבא לרבנן</t>
  </si>
  <si>
    <t>דורלכר, אברהם חיים</t>
  </si>
  <si>
    <t>קונטרס יוסיף חיים</t>
  </si>
  <si>
    <t>קונטרס יוסיף לקח - 2 כר'</t>
  </si>
  <si>
    <t>קונטרס יוסף אהבה</t>
  </si>
  <si>
    <t>כהן, אורי</t>
  </si>
  <si>
    <t>קונטרס יוסף חן</t>
  </si>
  <si>
    <t>קונטרס יוסף לקח</t>
  </si>
  <si>
    <t>קונטרס יוסף לקח - 2 כר'</t>
  </si>
  <si>
    <t>קונטרס יוסף שיח</t>
  </si>
  <si>
    <t>ערערא, יוסף יצחק בן שמואל</t>
  </si>
  <si>
    <t>קונטרס יורנו בדרך</t>
  </si>
  <si>
    <t>קונטרס יושב תהלות ישראל</t>
  </si>
  <si>
    <t>סאסנע, מרדכי צבי בן יונה?</t>
  </si>
  <si>
    <t>קונטרס יחוה דעת</t>
  </si>
  <si>
    <t>קונטרס יחוס אבות</t>
  </si>
  <si>
    <t>חסידי קרעטשניף</t>
  </si>
  <si>
    <t>קונטרס יחיד בהלכות אמירת תחנון ביחידות</t>
  </si>
  <si>
    <t>קונטרס יחיד היה</t>
  </si>
  <si>
    <t>קונטרס יחידה ליחדך</t>
  </si>
  <si>
    <t>קונטרס יחלק שלל</t>
  </si>
  <si>
    <t>גבאי, בנימין</t>
  </si>
  <si>
    <t>קונטרס יין הטוב</t>
  </si>
  <si>
    <t>קונטרס יין הרקח - ב"ק</t>
  </si>
  <si>
    <t>נוביק, יוסף חיים</t>
  </si>
  <si>
    <t>קונטרס יין מלכות (מכות, נדרים, שבועות-שתיים בתרא, גיטין)</t>
  </si>
  <si>
    <t>קונטרס יין מלכות (פסחים ,ב"מ, שבועות-שבועת הדיינים)</t>
  </si>
  <si>
    <t>קונטרס יכירנו לאחרים</t>
  </si>
  <si>
    <t>ברטמן, משה בן שמעון מנחם מנדל</t>
  </si>
  <si>
    <t>קונטרס ילוה אישי</t>
  </si>
  <si>
    <t>רודרמן, יעקב יצחק הלוי</t>
  </si>
  <si>
    <t>קונטרס ילקוט ענף עץ אבות</t>
  </si>
  <si>
    <t>קונטרס ים החכמה</t>
  </si>
  <si>
    <t>קונטרס ים שמחה - עניני נישואין</t>
  </si>
  <si>
    <t>פריד, ישראל משה</t>
  </si>
  <si>
    <t>קונטרס ימי הפורים בזמנם</t>
  </si>
  <si>
    <t>קונטרס ימי הרחמים והסליחות</t>
  </si>
  <si>
    <t>קונטרס ימי הרצון</t>
  </si>
  <si>
    <t>קונטרס ימי רצון - אלול</t>
  </si>
  <si>
    <t>קונטרס ימין ישראל</t>
  </si>
  <si>
    <t>קונטרס יסוד החיים</t>
  </si>
  <si>
    <t>עפ"י אגרות הקה"י</t>
  </si>
  <si>
    <t>קונטרס יסוד מאיר</t>
  </si>
  <si>
    <t>מ.מ</t>
  </si>
  <si>
    <t>קונטרס יסודות הלכות יום טוב</t>
  </si>
  <si>
    <t>ביליצר, מרדכי</t>
  </si>
  <si>
    <t>קונטרס יעמוד</t>
  </si>
  <si>
    <t>קונטרס יעקב שיחי</t>
  </si>
  <si>
    <t>לאנג, יעקב</t>
  </si>
  <si>
    <t>קונטרס יערב עליו שיחי</t>
  </si>
  <si>
    <t>קונטרס יפה נדרשת</t>
  </si>
  <si>
    <t>פריעדמאן, יונה</t>
  </si>
  <si>
    <t>קונטרס יצא אדם לפעלו</t>
  </si>
  <si>
    <t>קונטרס יקרא דאורייתא</t>
  </si>
  <si>
    <t>וינברג, מנחם (עורך)</t>
  </si>
  <si>
    <t>קונטרס יקרא דשבתא - 2 כר'</t>
  </si>
  <si>
    <t>גולדשטיין, רפאל</t>
  </si>
  <si>
    <t>קונטרס ירח איתנים - בענייני ראש השנה, יום הכיפורים ושמחת יום טוב</t>
  </si>
  <si>
    <t>קונטרס ירח איתנים</t>
  </si>
  <si>
    <t>קונטרס ירח האיתנים - 2 כר'</t>
  </si>
  <si>
    <t>קונטרס ירח האיתנים</t>
  </si>
  <si>
    <t>קונטרס ירח טוב</t>
  </si>
  <si>
    <t>קונטרס יריעות שלמה</t>
  </si>
  <si>
    <t>קונטרס יש לעיין</t>
  </si>
  <si>
    <t>יונגרמן, יעקב ישראל בן דוד ידידיה</t>
  </si>
  <si>
    <t>קונטרס ישב ממלי - גיטין</t>
  </si>
  <si>
    <t>לרפליד, יהושע שמחה</t>
  </si>
  <si>
    <t>קונטרס ישולם נדר</t>
  </si>
  <si>
    <t>קונטרס ישועות ונחמות</t>
  </si>
  <si>
    <t>קונטרס ישועת יחזקאל המלא</t>
  </si>
  <si>
    <t>זוגא דבי רבנן</t>
  </si>
  <si>
    <t>מועדי ישראל, משנה, תנ"ך, תפלות בקשות פיוטים ושירה</t>
  </si>
  <si>
    <t>קונטרס ישועת יחזקאל</t>
  </si>
  <si>
    <t>ישיבת בית הזמנים ישועת יחזקאל</t>
  </si>
  <si>
    <t>קונטרס ישיבה על קברו - הערות בדברי התשב"ץ</t>
  </si>
  <si>
    <t>קונטרס ישיר ישראל</t>
  </si>
  <si>
    <t>סתהון דבאח, ישראל אליהו בנימין</t>
  </si>
  <si>
    <t>קונטרס ישמח ישראל</t>
  </si>
  <si>
    <t>קונטרס ישמח משה במתנת חלקו</t>
  </si>
  <si>
    <t>רוזנטל, אברהם דב</t>
  </si>
  <si>
    <t>קונטרס ישמח שמה</t>
  </si>
  <si>
    <t>קונטרס ישמחו במלכותך</t>
  </si>
  <si>
    <t>קונטרס ישראל ועמלק</t>
  </si>
  <si>
    <t>קונטרס ישראל לסגולתו</t>
  </si>
  <si>
    <t>יהודי, יגאל</t>
  </si>
  <si>
    <t>קונטרס כ"א אב ליומא דהילולא של מהר"א מבעלז</t>
  </si>
  <si>
    <t>קונטרס כ"ב מר-חשון</t>
  </si>
  <si>
    <t>מכון להוצאת ספרי חינוך</t>
  </si>
  <si>
    <t>קונטרס כאיל תערוג - 5 כר'</t>
  </si>
  <si>
    <t>קונטרס כבוד אב ואם</t>
  </si>
  <si>
    <t>קונטרס כבוד בית הכנסת ובית המדרש</t>
  </si>
  <si>
    <t>קונטרס כבוד התורה</t>
  </si>
  <si>
    <t>הלכה ומנהג, הלכה ומנהג, מחשבה ומוסר, נושאים שונים, נושאים שונים</t>
  </si>
  <si>
    <t>קונטרס כבוש כמבושל</t>
  </si>
  <si>
    <t>אמויאל, אהרן בן יוסף</t>
  </si>
  <si>
    <t>קונטרס כגמול עלי אמו</t>
  </si>
  <si>
    <t>קונטרס כה תאמר לבית יעקב</t>
  </si>
  <si>
    <t>ועד הרבנים משמרת החיים</t>
  </si>
  <si>
    <t>קונטרס כוונת התפילה</t>
  </si>
  <si>
    <t>קונטרס כונת הצום ביום הכיפורים</t>
  </si>
  <si>
    <t>קונטרס כוס ראשון</t>
  </si>
  <si>
    <t>קונטרס כוס של ברכה</t>
  </si>
  <si>
    <t>אלבק, חנוך</t>
  </si>
  <si>
    <t>שפירא, שלמה</t>
  </si>
  <si>
    <t>קונטרס כופין על מידת סדום</t>
  </si>
  <si>
    <t>קונטרס כי אני הכבדתי את לבו</t>
  </si>
  <si>
    <t>לב, אהרן בן אליהו</t>
  </si>
  <si>
    <t>קונטרס כי אתה עמדי</t>
  </si>
  <si>
    <t>קונטרס כי בא השמש</t>
  </si>
  <si>
    <t>קונטרס כי באו בנים עד משבר</t>
  </si>
  <si>
    <t>קונטרס כי דבר ה' בזה</t>
  </si>
  <si>
    <t>קונטרס כי היא חכמתכם ובינתכם</t>
  </si>
  <si>
    <t>רויד, שלמה אפרים</t>
  </si>
  <si>
    <t>קונטרס כי הם חיינו</t>
  </si>
  <si>
    <t>קונטרס כי שם ה' אקרא הבו גודל לאלוקינו</t>
  </si>
  <si>
    <t>פלמן, אהרן נפתלי</t>
  </si>
  <si>
    <t>קונטרס כיבוד אב ואם</t>
  </si>
  <si>
    <t>קונטרס כיבוד הורים</t>
  </si>
  <si>
    <t>קונטרס כיד המלך</t>
  </si>
  <si>
    <t>לייטר, משה חיים</t>
  </si>
  <si>
    <t>קונטרס כיכר לאדן - אדני השדה</t>
  </si>
  <si>
    <t>קונטרס כיסוי הדם</t>
  </si>
  <si>
    <t>ביטון, שמעון בן חיים - ביטון, חיים בן שמעון</t>
  </si>
  <si>
    <t>קונטרס כיצד בודקין</t>
  </si>
  <si>
    <t>קונטרס כיצד זוכים לעולם הבא</t>
  </si>
  <si>
    <t>בן דיין, אלון מרדכי</t>
  </si>
  <si>
    <t>קונטרס כיצד מברכין</t>
  </si>
  <si>
    <t>קונטרס כך דרכה של תורה</t>
  </si>
  <si>
    <t>מפעל המסכתות</t>
  </si>
  <si>
    <t>קונטרס כל באיה לא ישובון - הנה באהל</t>
  </si>
  <si>
    <t>קונטרס כל מדרשי נס החנוכה</t>
  </si>
  <si>
    <t>הירשמן, יוסף צבי</t>
  </si>
  <si>
    <t>קונטרס כל עמל האדם לפיהו</t>
  </si>
  <si>
    <t>קונטרס כל קבוצי קהל בודאי מודים</t>
  </si>
  <si>
    <t>קונטרס כלולות חתנים</t>
  </si>
  <si>
    <t>קונטרס כלי גולה</t>
  </si>
  <si>
    <t>קונטרס כלי מלכות</t>
  </si>
  <si>
    <t>קונטרס כללא בתרא</t>
  </si>
  <si>
    <t>קונטרס כללי אסמכתא</t>
  </si>
  <si>
    <t>יזדי, אברהם בן יוסף</t>
  </si>
  <si>
    <t>קונטרס כללי דפנות</t>
  </si>
  <si>
    <t>קונטרס כללי הקריאה</t>
  </si>
  <si>
    <t>זליכה,יוסף - ידידיה, ישראל</t>
  </si>
  <si>
    <t>קונטרס כללי ספק טומאה ברה"י וברה"ר</t>
  </si>
  <si>
    <t>קונטרס כמה קשה מחלוקת</t>
  </si>
  <si>
    <t>דרשה בביהמ"ד דחסידי וויזניץ</t>
  </si>
  <si>
    <t>קונטרס כנסת בית יצחק</t>
  </si>
  <si>
    <t>קונטרס כנפי יונה</t>
  </si>
  <si>
    <t>קונטרס כסף טהור</t>
  </si>
  <si>
    <t>קונטרס כסף צרוף - 2 כר'</t>
  </si>
  <si>
    <t>ברים, יהודה אריה</t>
  </si>
  <si>
    <t>קונטרס כסף צרוף - 5 כר'</t>
  </si>
  <si>
    <t>לוינגר, שמעון הלוי</t>
  </si>
  <si>
    <t>קונטרס כף הדן</t>
  </si>
  <si>
    <t>לובצקי, יחיאל מיכל</t>
  </si>
  <si>
    <t>קונטרס כפתור ופרח - ב</t>
  </si>
  <si>
    <t>הלוי, יעקב בן אברהם יצחק</t>
  </si>
  <si>
    <t>קונטרס כצבי וכאיל</t>
  </si>
  <si>
    <t>קונטרס כשבת המלך</t>
  </si>
  <si>
    <t>קונטרס כשושנים סגה</t>
  </si>
  <si>
    <t>מרקוביץ, חיים בן אהרן</t>
  </si>
  <si>
    <t>קונטרס כתבו לכם</t>
  </si>
  <si>
    <t>קונטרס כתבי קודש</t>
  </si>
  <si>
    <t>ויינברג, אברהם (הראשון) מסלונים</t>
  </si>
  <si>
    <t>וינדסהים Windsheim</t>
  </si>
  <si>
    <t>קונטרס כתבי רשומות</t>
  </si>
  <si>
    <t>צוקרמן, מרדכי לייב - ברוקס, עזריאל זאב</t>
  </si>
  <si>
    <t>קונטרס כתובות</t>
  </si>
  <si>
    <t>קונטרס כתיבה יאה</t>
  </si>
  <si>
    <t>פלונצ'ק, יצחק אייזיק בן נחמן הכהן</t>
  </si>
  <si>
    <t>קונטרס כתיבת עשרת בני המן</t>
  </si>
  <si>
    <t>קונטרס כתימרות אש</t>
  </si>
  <si>
    <t>קונטרס כתם פז</t>
  </si>
  <si>
    <t>לביא, שמעון (אודותיו)</t>
  </si>
  <si>
    <t>קונטרס כתר מלכות</t>
  </si>
  <si>
    <t>קונטרס לאברהם בן</t>
  </si>
  <si>
    <t>קונטרס לאוהבי יש</t>
  </si>
  <si>
    <t>שטיינהוז, יעקב ישראל בן יוסף חיים</t>
  </si>
  <si>
    <t>קונטרס לאורם - 4 כר'</t>
  </si>
  <si>
    <t>לקט דברי חיזוק</t>
  </si>
  <si>
    <t>קונטרס לב האריה</t>
  </si>
  <si>
    <t>קונטרס לב זהב</t>
  </si>
  <si>
    <t>מועלם, רפאל</t>
  </si>
  <si>
    <t>קונטרס לב ים - מלאכת מלבן</t>
  </si>
  <si>
    <t>קונטרס לב ים - עירובין</t>
  </si>
  <si>
    <t>קונטרס לב מלכים</t>
  </si>
  <si>
    <t>קובץ מאמרים מגדולי ישראל</t>
  </si>
  <si>
    <t>קונטרס לב מרדכי</t>
  </si>
  <si>
    <t>מן, הלל בן רפאל משה</t>
  </si>
  <si>
    <t>קונטרס לב צדיק יהגה</t>
  </si>
  <si>
    <t>קונטרס לב שמחה - כתיבת ס"ת</t>
  </si>
  <si>
    <t>מערכת מנחת אפרים</t>
  </si>
  <si>
    <t>קונטרס לבוש וכסות מחלפת בשבת - א</t>
  </si>
  <si>
    <t>קונטרס לבוש מלכות</t>
  </si>
  <si>
    <t>קרליבך, יצחק שלמה בן שמואל</t>
  </si>
  <si>
    <t>קונטרס לבי במזרח</t>
  </si>
  <si>
    <t>עליאש, יחזקאל שניאור הלוי</t>
  </si>
  <si>
    <t>קונטרס לבי בתורתך - ב"ק</t>
  </si>
  <si>
    <t>קונטרס לבית אבותם</t>
  </si>
  <si>
    <t>קונטרס לברך באהבה</t>
  </si>
  <si>
    <t>אנגל, יצחק שבתי הכהן</t>
  </si>
  <si>
    <t>קונטרס לדוגמא</t>
  </si>
  <si>
    <t>קונטרס לדופקי בתשובה</t>
  </si>
  <si>
    <t>קונטרס לדעת ולהבין</t>
  </si>
  <si>
    <t>קונטרס לה' הארץ ומלואה</t>
  </si>
  <si>
    <t>קונטרס להאיר באור החיים</t>
  </si>
  <si>
    <t>חבורת אור החיים בישיבת טשעבין</t>
  </si>
  <si>
    <t>קונטרס להאיר על הארץ</t>
  </si>
  <si>
    <t>יורוביץ, אברהם</t>
  </si>
  <si>
    <t>קונטרס להבחין בין יום ובין לילה</t>
  </si>
  <si>
    <t>קליין, נפתלי</t>
  </si>
  <si>
    <t>קונטרס להבין ולהשכיל - 6 כר'</t>
  </si>
  <si>
    <t>יונגרמן, דב יצחק</t>
  </si>
  <si>
    <t>קונטרס להגות באמרי שפר</t>
  </si>
  <si>
    <t>ישיבת אמרי שפר</t>
  </si>
  <si>
    <t>קונטרס להגיד בבוקר</t>
  </si>
  <si>
    <t>קונטרס להודות ולהלל</t>
  </si>
  <si>
    <t>קונטרס לוית חן</t>
  </si>
  <si>
    <t>קונטרס לוקה בפרגול - 2 כר'</t>
  </si>
  <si>
    <t>קונטרס לחזות בנועם</t>
  </si>
  <si>
    <t>קונטרס לחם הארץ</t>
  </si>
  <si>
    <t>קונטרס לחם ויין - 5 כר'</t>
  </si>
  <si>
    <t>קונטרס לחם מאיש - 8 כר'</t>
  </si>
  <si>
    <t>שטאהל, יהודה בן אוריאל שלמה</t>
  </si>
  <si>
    <t>קונטרס לחם ממרחק</t>
  </si>
  <si>
    <t>קליין, חיים ראובן</t>
  </si>
  <si>
    <t>קליפורניה</t>
  </si>
  <si>
    <t>קונטרס לחם מן השמים - 2 כר'</t>
  </si>
  <si>
    <t>טרביס, דניאל יעקב</t>
  </si>
  <si>
    <t>קונטרס לחם מן השמים - פרשת המן</t>
  </si>
  <si>
    <t>קליין, ישראל צבי</t>
  </si>
  <si>
    <t>קונטרס לחם פנים</t>
  </si>
  <si>
    <t>קונטרס ליהודים היתה אורה ושמחה</t>
  </si>
  <si>
    <t>קונטרס ליל הסדר</t>
  </si>
  <si>
    <t>קונטרס ליל התקדש החג</t>
  </si>
  <si>
    <t>סדר ליל הסדר (ערלוי)</t>
  </si>
  <si>
    <t>קונטרס ליל שימורים הוא</t>
  </si>
  <si>
    <t>קונטרס ליל שימורים</t>
  </si>
  <si>
    <t>קונטרס לילה כיום יאיר</t>
  </si>
  <si>
    <t>קונטרס לימוד התורה</t>
  </si>
  <si>
    <t>קובץ תשורה</t>
  </si>
  <si>
    <t>קונטרס לימי הרחמים והסליחות</t>
  </si>
  <si>
    <t>קונטרס ליקוט זקנים</t>
  </si>
  <si>
    <t>לקט חדו"ת</t>
  </si>
  <si>
    <t>קונטרס ליקוט עניני שבת קודש</t>
  </si>
  <si>
    <t>פאנו, מנחם עזריה בן יצחק ברכיה (ליקוט ממנו)</t>
  </si>
  <si>
    <t>קונטרס ליקוטי אור - סוכה</t>
  </si>
  <si>
    <t>שרון, נתן בן משה יוסף</t>
  </si>
  <si>
    <t>קונטרס ליקוטי הערות וביאורים - 6 כר'</t>
  </si>
  <si>
    <t>הופטמן, עזריאל</t>
  </si>
  <si>
    <t>קונטרס ליקוטי תורה בעניני נישואין</t>
  </si>
  <si>
    <t>קונטרס לכו ונלכה באור ה'</t>
  </si>
  <si>
    <t>קונטרס לכו ונשובה אל ה'</t>
  </si>
  <si>
    <t>קונטרס למדני חוקיך</t>
  </si>
  <si>
    <t>קונטרס למיגדר מילתא</t>
  </si>
  <si>
    <t>קונטרס למלאות חסרונות הש"ס</t>
  </si>
  <si>
    <t>קונטרס למנצח בנגינות &lt;מנורת זהב טהור&gt;</t>
  </si>
  <si>
    <t>לוריא, שלמה</t>
  </si>
  <si>
    <t>קונטרס למנקיות ולקשות הנסך</t>
  </si>
  <si>
    <t>פלאהר, נפתלי בן אלימלך</t>
  </si>
  <si>
    <t>קונטרס למעלה למשכיל &lt;ביאור תפילת שחרית - עדות מזרח&gt;</t>
  </si>
  <si>
    <t>קונטרס למעלה למשכיל &lt;ביאור תפילת שמו"ע - 2 כר'</t>
  </si>
  <si>
    <t>קונטרס למעלה למשכיל &lt;על התורה&gt;</t>
  </si>
  <si>
    <t>קונטרס למעלה למשכיל &lt;שיר השירים&gt;</t>
  </si>
  <si>
    <t>קונטרס למעלת הזכרת התשובה</t>
  </si>
  <si>
    <t>קונטרס למען ידעו דורותיכם</t>
  </si>
  <si>
    <t>קליין, יוסף</t>
  </si>
  <si>
    <t>קונטרס למרבה המשרה</t>
  </si>
  <si>
    <t>שניידמאן, נתן</t>
  </si>
  <si>
    <t>קונטרס לעולם לא אשכח פקודיך</t>
  </si>
  <si>
    <t>קונטרס לעטר פתורא</t>
  </si>
  <si>
    <t>קונטרס לעשות את השבת</t>
  </si>
  <si>
    <t>קונטרס לפני ה' תטהרו</t>
  </si>
  <si>
    <t>קונטרס לפני המלך</t>
  </si>
  <si>
    <t>שטיינמץ, מרדכי שלמה</t>
  </si>
  <si>
    <t>קונטרס לקח טוב - ב</t>
  </si>
  <si>
    <t>ישיבת סטולין קרלין ניו יורק</t>
  </si>
  <si>
    <t>קונטרס לקיחה תמה</t>
  </si>
  <si>
    <t>קונטרס לקראת כלה</t>
  </si>
  <si>
    <t>קונטרס לרעך כמוך -א</t>
  </si>
  <si>
    <t>קונטרס לשון של זהירות</t>
  </si>
  <si>
    <t>בורוכוב, יוסף חי בן גבריאל</t>
  </si>
  <si>
    <t>קונטרס לשונות רש"י</t>
  </si>
  <si>
    <t>שעוועל, חיים דב</t>
  </si>
  <si>
    <t>קונטרס לתולדות רבינו שלמה ב"ר יצחק</t>
  </si>
  <si>
    <t>קונטרס מאה ברכות</t>
  </si>
  <si>
    <t>קונטרס מאה שערים, מנשיקות פיהו</t>
  </si>
  <si>
    <t>קונטרס מאור הברכה</t>
  </si>
  <si>
    <t>קונטרס מאור התורה</t>
  </si>
  <si>
    <t>אייזנשטיין, משה אורי</t>
  </si>
  <si>
    <t>קונטרס מאור התרגום</t>
  </si>
  <si>
    <t>דינר, מאיר</t>
  </si>
  <si>
    <t>קונטרס מאור יחזקאל - יצב אברהם</t>
  </si>
  <si>
    <t>הורוויץ, אלתר יחזקאל - גינצלר, אברהם צבי</t>
  </si>
  <si>
    <t>קונטרס מאור יעקב - 5 כר'</t>
  </si>
  <si>
    <t>קונטרס מאורות החג</t>
  </si>
  <si>
    <t>קונטרס מאורות קדומים</t>
  </si>
  <si>
    <t>קרמר, משה יושע הכהן</t>
  </si>
  <si>
    <t>קונטרס מאורי אור</t>
  </si>
  <si>
    <t>קונטרס מאזני צדק א - ב</t>
  </si>
  <si>
    <t>קונטרס מאי חנוכה</t>
  </si>
  <si>
    <t>קונטרס מאיר מקומות - ב"ק פ"א</t>
  </si>
  <si>
    <t>וילמן, דוד הכהן - נויבירט, דוד</t>
  </si>
  <si>
    <t>קונטרס מאמר היראה</t>
  </si>
  <si>
    <t>קונטרס מאמר כל דאי</t>
  </si>
  <si>
    <t>קונטרס מאמר כתם פז</t>
  </si>
  <si>
    <t>אלטרמן, אלישע</t>
  </si>
  <si>
    <t>קונטרס מאמר מספר מפקד</t>
  </si>
  <si>
    <t>קונטרס מאמר קדישין המבואר</t>
  </si>
  <si>
    <t>קונטרס מאמרי הימים הנוראים</t>
  </si>
  <si>
    <t>קונטרס מאמרי יו"ט וחג המצות</t>
  </si>
  <si>
    <t>פולמן, אהרן נפתלי</t>
  </si>
  <si>
    <t>קונטרס מאמרי מוסר</t>
  </si>
  <si>
    <t>קונטרס מאמרי עולם ברור</t>
  </si>
  <si>
    <t>קונטרס מאמרי עולם הזה</t>
  </si>
  <si>
    <t>קונטרס מאמרי ר"ה</t>
  </si>
  <si>
    <t>קונטרס מאמרי שבת וחנוכה</t>
  </si>
  <si>
    <t>קונטרס מאמרים פון... אדמו"ר שליט"א ממאדזיץ - ב</t>
  </si>
  <si>
    <t>תש"א - תש"ז</t>
  </si>
  <si>
    <t>קונטרס מאני דשיראי</t>
  </si>
  <si>
    <t>שיינברגר, מנחם מאניש בן יוסף שרגא</t>
  </si>
  <si>
    <t>קונטרס מאתיים לנוטרים</t>
  </si>
  <si>
    <t>גולינסקי, מנחם מנדל (עורך)</t>
  </si>
  <si>
    <t>קונטרס מבוא לדיני ההנהגות</t>
  </si>
  <si>
    <t>קונטרס מבוא ללשון התרגום</t>
  </si>
  <si>
    <t>קונטרס מבי מדרשא</t>
  </si>
  <si>
    <t>קונטרס מבעד לצמתך</t>
  </si>
  <si>
    <t>קונטרס מבעוד יום מוכנים</t>
  </si>
  <si>
    <t>קובץ דברי חיזוק בענין תוספת שבת</t>
  </si>
  <si>
    <t>קונטרס מגדל דוד - חנוכה</t>
  </si>
  <si>
    <t>קונטרס מגדל דוד</t>
  </si>
  <si>
    <t>הוכמן, דוד הלוי</t>
  </si>
  <si>
    <t>קונטרס מגילת אסתר</t>
  </si>
  <si>
    <t>קונטרס מגילת ניטל</t>
  </si>
  <si>
    <t>קונטרס מגילת רות עם ביאור כעץ שתול</t>
  </si>
  <si>
    <t>קונטרס מגן ומושיע</t>
  </si>
  <si>
    <t>לייפר, אברהם אבא בן יוסף (אדמו"ר מפיטסבורג)</t>
  </si>
  <si>
    <t>קונטרס מדי דברי - 2 כר'</t>
  </si>
  <si>
    <t>קונטרס מדי חודש בחדשו</t>
  </si>
  <si>
    <t>קונטרס מדרכי לימוד התורה כראוי</t>
  </si>
  <si>
    <t>פוטולסקי, יעקב בן אפרים</t>
  </si>
  <si>
    <t>קונטרס מה אהבתי תורתך</t>
  </si>
  <si>
    <t>קונטרס מה בין פסח מצרים לפסח דורות</t>
  </si>
  <si>
    <t>קונטרס מה לי לשקר</t>
  </si>
  <si>
    <t>קונטרס מה לך נרדם</t>
  </si>
  <si>
    <t>איחוד הקהילות לטוהר המחנה</t>
  </si>
  <si>
    <t>קונטרס מה נשתנה שן</t>
  </si>
  <si>
    <t>קונטרס מהגאון הגדול מוהר"י ולק כ"ץ זצ"ל בעל הסמ"ע - 3 כר'</t>
  </si>
  <si>
    <t>קונטרס מהר"י ט"ב לימי השובבים וארבע פרשיות</t>
  </si>
  <si>
    <t>קונטרס מודה כהלכה</t>
  </si>
  <si>
    <t>בן אר"י, אלמונ"י</t>
  </si>
  <si>
    <t>קונטרס מוחזקות ותפיסה - 2 כר'</t>
  </si>
  <si>
    <t>קונטרס מועדי ישראל - טבלאות עמ"ס סוכה</t>
  </si>
  <si>
    <t>קנר, מרדכי יהודה בן ישראל הלוי</t>
  </si>
  <si>
    <t>קונטרס מועדים וזמנים - 5 כר'</t>
  </si>
  <si>
    <t>ועד שיעורי תורה ברבים</t>
  </si>
  <si>
    <t>קונטרס מוקצה</t>
  </si>
  <si>
    <t>קונטרס מור והדס</t>
  </si>
  <si>
    <t>קונטרס מורא מקדש</t>
  </si>
  <si>
    <t>קונטרס מורא שבת</t>
  </si>
  <si>
    <t>קונטרס מורה המורה</t>
  </si>
  <si>
    <t>קונטרס מורה לצדקה</t>
  </si>
  <si>
    <t>קונטרס מזו"ר לנפש</t>
  </si>
  <si>
    <t>בית הכנסת משכן ישראל</t>
  </si>
  <si>
    <t>קונטרס מזוזת ישע</t>
  </si>
  <si>
    <t>קונטרס מזמור שיר - פורים ומגילת אסתר</t>
  </si>
  <si>
    <t>קונטרס מזקנים אתבונן</t>
  </si>
  <si>
    <t>קונטרס מזרח ומערב</t>
  </si>
  <si>
    <t>קונטרס מזרח שמש</t>
  </si>
  <si>
    <t>דנציגר, מנחם - דנציגר, ישראל צבי יאיר</t>
  </si>
  <si>
    <t>קונטרס מח הקנינים</t>
  </si>
  <si>
    <t>קונטרס מחזיק ברכה - 2 כר'</t>
  </si>
  <si>
    <t>מיכלוביץ, ישראל שמואל</t>
  </si>
  <si>
    <t>קונטרס מחי ומסי</t>
  </si>
  <si>
    <t>קונטרס מחידושי רבי שמואל רוזובסקי</t>
  </si>
  <si>
    <t>קונטרס מחנה ישראל</t>
  </si>
  <si>
    <t>קונטרס מחשבת מיכאל</t>
  </si>
  <si>
    <t>קונטרס מחשבת מרדכי</t>
  </si>
  <si>
    <t>הערץ, מרדכי בן יוסף</t>
  </si>
  <si>
    <t>קונטרס מטה יחיאל - הערות בספר חפץ חיים</t>
  </si>
  <si>
    <t>קונטרס מטל השמים - 4 כר'</t>
  </si>
  <si>
    <t>קונטרס מי בן שיח</t>
  </si>
  <si>
    <t>קונטרס מי דעת - ב</t>
  </si>
  <si>
    <t>פישר, אברהם בן ציון</t>
  </si>
  <si>
    <t>קונטרס מי הדעת</t>
  </si>
  <si>
    <t>גורליק, חיים צבי בן ברוך שמואל</t>
  </si>
  <si>
    <t>קונטרס מי הטהרה</t>
  </si>
  <si>
    <t>קונטרס מי מקטרג בראש כולם - גזל</t>
  </si>
  <si>
    <t>קונטרס מיגו והפה שאסר</t>
  </si>
  <si>
    <t>קונטרס מידת אהרן</t>
  </si>
  <si>
    <t>ליבמן, אהרן יעקב</t>
  </si>
  <si>
    <t>קונטרס מיוחד</t>
  </si>
  <si>
    <t>המזרחי. ארצות הברית</t>
  </si>
  <si>
    <t>חרל"פ, יחיאל מיכל</t>
  </si>
  <si>
    <t>קונטרס מיטב הגיון - 2 כר'</t>
  </si>
  <si>
    <t>קונטרס מיין הרקח - הגדה של פסח</t>
  </si>
  <si>
    <t>קונטרס מילה בסלע - מעילה</t>
  </si>
  <si>
    <t>יעקבזון, אברהם יעקב בן אהרן</t>
  </si>
  <si>
    <t>קונטרס מילואים &lt;לספר פרחי אהרן&gt;</t>
  </si>
  <si>
    <t>קונטרס מילואים לאפוד</t>
  </si>
  <si>
    <t>קונטרס מילוגא דשטרא</t>
  </si>
  <si>
    <t>קרלנשטיין, אהרן</t>
  </si>
  <si>
    <t>קונטרס מילי דאברהם</t>
  </si>
  <si>
    <t>קופשיץ, אברהם הכהן</t>
  </si>
  <si>
    <t>קונטרס מילי דבי הילולא - 2 כר'</t>
  </si>
  <si>
    <t>קונטרס מילי דבי מדרשא</t>
  </si>
  <si>
    <t>כולל זכרון מיכאל</t>
  </si>
  <si>
    <t>קונטרס מילי דברכות</t>
  </si>
  <si>
    <t>עמר, חננאל</t>
  </si>
  <si>
    <t>קונטרס מילי דהספידא</t>
  </si>
  <si>
    <t>קונטרס מילי דחנוכה</t>
  </si>
  <si>
    <t>קונטרס מילי דנהנה</t>
  </si>
  <si>
    <t>קונטרס מילי דנר</t>
  </si>
  <si>
    <t>לברון, אליהו</t>
  </si>
  <si>
    <t>קונטרס מילי דפיסחא</t>
  </si>
  <si>
    <t>קונטרס מילי דפרק</t>
  </si>
  <si>
    <t>קונטרס מילי דשופר, מילי דתפילה</t>
  </si>
  <si>
    <t>קונטרס מים אדירים - 5 כר'</t>
  </si>
  <si>
    <t>קונטרס מים חיים</t>
  </si>
  <si>
    <t>קונטרס מימים ימימה</t>
  </si>
  <si>
    <t>קונטרס מימר אלהא</t>
  </si>
  <si>
    <t>קונטרס מימרא דרחמנא</t>
  </si>
  <si>
    <t>קונטרס מישור החיל</t>
  </si>
  <si>
    <t>אינדיג, מרדכי דב</t>
  </si>
  <si>
    <t>קונטרס מכבדו במותו</t>
  </si>
  <si>
    <t>קונטרס מכירת עולם הבא</t>
  </si>
  <si>
    <t>טברסקי, יוחנן</t>
  </si>
  <si>
    <t>קונטרס מכתבי קודש</t>
  </si>
  <si>
    <t>קונטרס מכתבים בכמה ענינים במסכת נזיר</t>
  </si>
  <si>
    <t>סטפנסקי, יעקב - סלע, ארז</t>
  </si>
  <si>
    <t>קונטרס מכתם לדוד</t>
  </si>
  <si>
    <t>קונטרס מלאכות אריגה</t>
  </si>
  <si>
    <t>בודנר, ישראל פנסח בן מנחם מנדל</t>
  </si>
  <si>
    <t>קונטרס מלאכת מחשבת</t>
  </si>
  <si>
    <t>קונטרס מלאכת עבודה</t>
  </si>
  <si>
    <t>דונט, מיכאל</t>
  </si>
  <si>
    <t>קונטרס מלחמתה של תורה</t>
  </si>
  <si>
    <t>מרנן החזו"א והגרי"ז זצ"ל</t>
  </si>
  <si>
    <t>קונטרס מלכות דוד</t>
  </si>
  <si>
    <t>הולס, דוד</t>
  </si>
  <si>
    <t>קונטרס מלכי ארץ</t>
  </si>
  <si>
    <t>בוימל צבי אריה</t>
  </si>
  <si>
    <t>קונטרס ממשתה היין</t>
  </si>
  <si>
    <t>קונטרס מן הבאר - ד</t>
  </si>
  <si>
    <t>ישיבת באר ישראל</t>
  </si>
  <si>
    <t>קונטרס מן היכלי שן</t>
  </si>
  <si>
    <t>קונטרס מן המים - 2 כר'</t>
  </si>
  <si>
    <t>קונטרס מנהגי ישיבת טלז</t>
  </si>
  <si>
    <t>שפירא, שלום</t>
  </si>
  <si>
    <t>קונטרס מנהיגי הכולל</t>
  </si>
  <si>
    <t>חילקו, א.</t>
  </si>
  <si>
    <t>קונטרס מנוחה וקדושה</t>
  </si>
  <si>
    <t>מכון ישורון</t>
  </si>
  <si>
    <t>קונטרס מנוחה לא נכונה</t>
  </si>
  <si>
    <t>מכון מנוחה נכונה</t>
  </si>
  <si>
    <t>קונטרס מנוחה שלימה</t>
  </si>
  <si>
    <t>קונטרס מנוחה שלמה</t>
  </si>
  <si>
    <t>קונטרס מנוחות ינהלני</t>
  </si>
  <si>
    <t>קונטרס מנוחת אהבה - 2 כר'</t>
  </si>
  <si>
    <t>קונטרס מנוחת אמת - 2 כר'</t>
  </si>
  <si>
    <t>פישהוף, תנחום בן שמואל</t>
  </si>
  <si>
    <t>קונטרס מנוחת הנפש - ב</t>
  </si>
  <si>
    <t>חברת אמת ואמונה</t>
  </si>
  <si>
    <t>קונטרס מנוחת השכינה</t>
  </si>
  <si>
    <t>כ"ץ, עזריאל</t>
  </si>
  <si>
    <t>קונטרס מנוחת יוסף</t>
  </si>
  <si>
    <t>רבינוביץ, אלטר יהודה אריה</t>
  </si>
  <si>
    <t>קונטרס מנוחת שלום</t>
  </si>
  <si>
    <t>קונטרס מנורת המאור - 2 כר'</t>
  </si>
  <si>
    <t>קונטרס מנחה בלולה</t>
  </si>
  <si>
    <t>מושקוביץ, יהושע נחום</t>
  </si>
  <si>
    <t>קונטרס מנחה חדשה</t>
  </si>
  <si>
    <t>רבינוביץ, ברוך פנחס בן אליעזר חיים</t>
  </si>
  <si>
    <t>קונטרס מנחם משיב - ע"ז</t>
  </si>
  <si>
    <t>ארליכסטר, משה מנחם</t>
  </si>
  <si>
    <t>קונטרס מנחם נפשי</t>
  </si>
  <si>
    <t>קונטרס מנחם ציון - טבילת כלים</t>
  </si>
  <si>
    <t>הורוויץ, אברהם מנחם - לייפער, בן ציון</t>
  </si>
  <si>
    <t>קונטרס מנחת אב</t>
  </si>
  <si>
    <t>קונטרס מנחת אלחנן</t>
  </si>
  <si>
    <t>גרינבלט, אלחנן שמואל</t>
  </si>
  <si>
    <t>קונטרס מנחת אליהו</t>
  </si>
  <si>
    <t>אלדד, אליהו בן שמואל הלוי</t>
  </si>
  <si>
    <t>קונטרס מנחת אשר - 2 כר'</t>
  </si>
  <si>
    <t>קונטרס מנחת ביכורים - מנחות</t>
  </si>
  <si>
    <t>קונטרס מנחת האביון</t>
  </si>
  <si>
    <t>ואסבוטסקי, אליעזר בן יאיר</t>
  </si>
  <si>
    <t>קונטרס מנחת השבת</t>
  </si>
  <si>
    <t>קונטרס מנחת יאה - בשר בחלב</t>
  </si>
  <si>
    <t>קונטרס מנחת יהודה</t>
  </si>
  <si>
    <t>קונטרס מנחת יוסף</t>
  </si>
  <si>
    <t>אסולין, יוסף חיים</t>
  </si>
  <si>
    <t>קונטרס מנחת יוסף - חגיגה</t>
  </si>
  <si>
    <t>קונטרס מנחת יחזקאל</t>
  </si>
  <si>
    <t>קונטרס מנחת יעקב</t>
  </si>
  <si>
    <t>אפלבוים, יעקב בן עופר</t>
  </si>
  <si>
    <t>קונטרס מנחת ישורון</t>
  </si>
  <si>
    <t>קונטרס מנחת כהן - 2 כר'</t>
  </si>
  <si>
    <t>סיטון, דניאל</t>
  </si>
  <si>
    <t>קונטרס מנחת מועד</t>
  </si>
  <si>
    <t>צדקה, משה בן אליהו</t>
  </si>
  <si>
    <t>קונטרס מנחת סוכה</t>
  </si>
  <si>
    <t>אלטמן, אליהו בן אברהם</t>
  </si>
  <si>
    <t>קונטרס מנחת עזרא - גיטין ב</t>
  </si>
  <si>
    <t>שאול, עזרא נחמיה בן יהושע שמעון</t>
  </si>
  <si>
    <t>קונטרס מנחת עזרא - 13 כר'</t>
  </si>
  <si>
    <t>שאול, עזרא נחמיה</t>
  </si>
  <si>
    <t>קונטרס מנחת פנחס - 3 כר'</t>
  </si>
  <si>
    <t>קונטרס מנחת רחל</t>
  </si>
  <si>
    <t>קונטרס מנחת רפאל</t>
  </si>
  <si>
    <t>אטלן, רפאל יצחק</t>
  </si>
  <si>
    <t>קונטרס מנחת ש"י</t>
  </si>
  <si>
    <t>לוויטאן, יצחק בן דוד בן-ציון</t>
  </si>
  <si>
    <t>קונטרס מנחת שמעון - בעניין הואיל דאישתרי אישתרי</t>
  </si>
  <si>
    <t>פלשניצקי, שמעון</t>
  </si>
  <si>
    <t>קונטרס מנחת תודה</t>
  </si>
  <si>
    <t>גבאי, חנניה</t>
  </si>
  <si>
    <t>קונטרס מנחת תודה - 2 כר'</t>
  </si>
  <si>
    <t>קונטרס מסורת משקל הדרהם</t>
  </si>
  <si>
    <t>קונטרס מסילות</t>
  </si>
  <si>
    <t>קונטרס מסילת הברזל</t>
  </si>
  <si>
    <t>טוקר, אליהו ברוך</t>
  </si>
  <si>
    <t>קונטרס מסכת שביעית</t>
  </si>
  <si>
    <t>כולל דרך אמונה ובטחון</t>
  </si>
  <si>
    <t>קונטרס מספד גדול</t>
  </si>
  <si>
    <t>לזכר הרבנית בת שבע קנייבסקי</t>
  </si>
  <si>
    <t>קונטרס מספד חדש</t>
  </si>
  <si>
    <t>קונטרס מספר ארץ החדשה - שו"ת מהרא"ל - לקוטי שו"ת מהרא"ל - תפארת אריה</t>
  </si>
  <si>
    <t>שפירא, רפאל צבי - צינץ, אריה ליב בן משה</t>
  </si>
  <si>
    <t>קונטרס מעדני הבן</t>
  </si>
  <si>
    <t>טשינגל, משה</t>
  </si>
  <si>
    <t>קונטרס מעיין הבן - ג</t>
  </si>
  <si>
    <t>קונטרס מעיין הברית</t>
  </si>
  <si>
    <t>קונטרס מעיין הבת</t>
  </si>
  <si>
    <t>קונטרס מעיין היוחסין</t>
  </si>
  <si>
    <t>קונטרס מעיין הפדיון</t>
  </si>
  <si>
    <t>קונטרס מעיין השמחה</t>
  </si>
  <si>
    <t>קונטרס מעיין חיים</t>
  </si>
  <si>
    <t>ברינער, צבי</t>
  </si>
  <si>
    <t>קונטרס מעין גנים - 17 כר'</t>
  </si>
  <si>
    <t>קונטרס מעין הברכות - ברכה מעין שלוש</t>
  </si>
  <si>
    <t>קונטרס מעלות השמחה</t>
  </si>
  <si>
    <t>קונטרס מעלין בקודש</t>
  </si>
  <si>
    <t>ד.א.ק</t>
  </si>
  <si>
    <t>קונטרס מעלת בר מצוה - קונטרס מעלה עשן</t>
  </si>
  <si>
    <t>חכם אחד</t>
  </si>
  <si>
    <t>קונטרס מעמד קבלת פנים</t>
  </si>
  <si>
    <t>קונטרס מענה יוסף</t>
  </si>
  <si>
    <t>סאסי, יוסף רפאל</t>
  </si>
  <si>
    <t>קונטרס מעניינא דמועדא - 2 כר'</t>
  </si>
  <si>
    <t>קונטרס מערכות העמק שאלה</t>
  </si>
  <si>
    <t>דמן, צבי ישי</t>
  </si>
  <si>
    <t>קונטרס מערכי ל"ב</t>
  </si>
  <si>
    <t>קונטרס מערכי לב</t>
  </si>
  <si>
    <t>יונגרמן, דוד ידידיה</t>
  </si>
  <si>
    <t>קונטרס מעשה אופה</t>
  </si>
  <si>
    <t>קונטרס מעשה בראשית</t>
  </si>
  <si>
    <t>קונטרס מעשה המצוה</t>
  </si>
  <si>
    <t>קונטרס מעשה חושב</t>
  </si>
  <si>
    <t>קונטרס מעשה נסים</t>
  </si>
  <si>
    <t>תולדות הגאון רבי שלום אמזאלאג</t>
  </si>
  <si>
    <t>קונטרס מפורש בקרא</t>
  </si>
  <si>
    <t>קונטרס מפניני מרן המשגיח</t>
  </si>
  <si>
    <t>יפה, דב בן צבי יחזקאל</t>
  </si>
  <si>
    <t>קונטרס מפסק לא כשר</t>
  </si>
  <si>
    <t>מכון אור ה'</t>
  </si>
  <si>
    <t>קונטרס מפרק הרים</t>
  </si>
  <si>
    <t>קונטרס מפתחות הפרנסה</t>
  </si>
  <si>
    <t>קונטרס מצא טוב</t>
  </si>
  <si>
    <t>רייך, אליהו מאיר בן ארון</t>
  </si>
  <si>
    <t>קונטרס מצבת אבן</t>
  </si>
  <si>
    <t>קונטרס מצבת משה</t>
  </si>
  <si>
    <t>קופשיץ, משה פנחס הכהן</t>
  </si>
  <si>
    <t>קונטרס מצדיקי הרבים</t>
  </si>
  <si>
    <t>מערכת צאצינו</t>
  </si>
  <si>
    <t>קונטרס מצה זו שאנו אוכלים</t>
  </si>
  <si>
    <t>קונטרס מצהלות חתנים</t>
  </si>
  <si>
    <t>קונטרס מצוה חביבה</t>
  </si>
  <si>
    <t>רוטנמר</t>
  </si>
  <si>
    <t>קונטרס מצוה להקדיש בכור</t>
  </si>
  <si>
    <t>קונטרס מצוות הסופרים</t>
  </si>
  <si>
    <t>עניני בר מצוה ממשפחת הסופרים</t>
  </si>
  <si>
    <t>קונטרס מצות הדירה והישיבה באר"י בזה"ז</t>
  </si>
  <si>
    <t>מרי"ד</t>
  </si>
  <si>
    <t>קונטרס מצות המלך - חנוכה</t>
  </si>
  <si>
    <t>קונטרס מצות המלך</t>
  </si>
  <si>
    <t>ליזמי, דניאל בן משה</t>
  </si>
  <si>
    <t>קונטרס מצות התלויות בארץ</t>
  </si>
  <si>
    <t>קונטרס מצות זכור</t>
  </si>
  <si>
    <t>קונטרס מצות יעקב</t>
  </si>
  <si>
    <t>קונטרס מציאת חן בעיני אלוקים ואדם</t>
  </si>
  <si>
    <t>קונטרס מציון תצא תורה</t>
  </si>
  <si>
    <t>קונטרס מציץ מן החרכים</t>
  </si>
  <si>
    <t>ראטה, משה בן שמואל הכהן</t>
  </si>
  <si>
    <t>קונטרס מצרף לכסף - שבועות</t>
  </si>
  <si>
    <t>קונטרס מצרף לכסף - 4 כר'</t>
  </si>
  <si>
    <t>כהנר, אלחנן</t>
  </si>
  <si>
    <t>קונטרס מקדש עמו ישראל</t>
  </si>
  <si>
    <t>קונטרס מקדשי השם</t>
  </si>
  <si>
    <t>קונטרס מקום הדלקה - סוגיא דאכסנאי</t>
  </si>
  <si>
    <t>דומב, דוד</t>
  </si>
  <si>
    <t>קונטרס מקור הברכה</t>
  </si>
  <si>
    <t>בעניין תוספת שבת</t>
  </si>
  <si>
    <t>כולל מנוחת אשר</t>
  </si>
  <si>
    <t>קונטרס מקור הזהר</t>
  </si>
  <si>
    <t>קונטרס מקור טהרה</t>
  </si>
  <si>
    <t>שטרנבוך, אשר חיים</t>
  </si>
  <si>
    <t>קונטרס מקורות והערות לעניני כפית גט</t>
  </si>
  <si>
    <t>טנדלר, עקיבא בן יוסף</t>
  </si>
  <si>
    <t>קונטרס מקפחת ספרים</t>
  </si>
  <si>
    <t>קונטרס מראה אור - 6 כר'</t>
  </si>
  <si>
    <t>קונטרס מראה כהן - 2 כר'</t>
  </si>
  <si>
    <t>קונטרס מראה מקומות - שבועות, מכות</t>
  </si>
  <si>
    <t>קונטרס מראות צובאות</t>
  </si>
  <si>
    <t>קונטרס מראי מקומות בדין אמירה לגוי</t>
  </si>
  <si>
    <t>קונטרס מראי מקומות וציונים</t>
  </si>
  <si>
    <t>קונטרס מראי מקומות ציונים והערות עמ"ס שבת</t>
  </si>
  <si>
    <t>קונטרס מראי מקומות - כיצד מברכין, שלשה שאכלו</t>
  </si>
  <si>
    <t>קונטרס מראש צורים - 2 כר'</t>
  </si>
  <si>
    <t>פדהאל, ששון בן מאיר הלוי</t>
  </si>
  <si>
    <t>קונטרס מראש צורים</t>
  </si>
  <si>
    <t>קונטרס זכרון לר' אליהו שריקי ז"ל</t>
  </si>
  <si>
    <t>קונטרס מרבה חיים</t>
  </si>
  <si>
    <t>קונטרס מרבה שלום</t>
  </si>
  <si>
    <t>דהאן, אור שלום</t>
  </si>
  <si>
    <t>קונטרס מרגניתא מעלייתא</t>
  </si>
  <si>
    <t>קונטרס מרדכי היהודי</t>
  </si>
  <si>
    <t>קונטרס משאת אחי</t>
  </si>
  <si>
    <t>קוסובסקי, אחיה בן עמנואל</t>
  </si>
  <si>
    <t>קונטרס משאת בנימין - לט"ו בשבט</t>
  </si>
  <si>
    <t>רבני יד בנימין</t>
  </si>
  <si>
    <t>קונטרס משאת יום טוב</t>
  </si>
  <si>
    <t>יונגר, מרדכי זאב</t>
  </si>
  <si>
    <t>קונטרס משאת כפי - ב</t>
  </si>
  <si>
    <t>מרק, יוסף יצחק בן עידו</t>
  </si>
  <si>
    <t>קונטרס משאת שבת</t>
  </si>
  <si>
    <t>ווגל, כתריאל</t>
  </si>
  <si>
    <t>קונטרס משביר ברכה</t>
  </si>
  <si>
    <t>קונטרס משביר זרע - פאה פרקים ה, ט</t>
  </si>
  <si>
    <t>קונטרס משביר ליוסף - 10 כר'</t>
  </si>
  <si>
    <t>קונטרס משה אמת</t>
  </si>
  <si>
    <t>קונטרס משה עבד נאמן</t>
  </si>
  <si>
    <t>שנדורף, יחיאל צבי</t>
  </si>
  <si>
    <t>קונטרס משולחן גבוה</t>
  </si>
  <si>
    <t>כהנא, יוסף י.</t>
  </si>
  <si>
    <t>קונטרס משולש</t>
  </si>
  <si>
    <t>קונטרס משוש דודים</t>
  </si>
  <si>
    <t>ליכטנשטיין, שמואל אהרן בן יוסף יעקב - אלתר, אברהם בן נפתלי</t>
  </si>
  <si>
    <t>קונטרס משוש חתן</t>
  </si>
  <si>
    <t>קונטרס משכיל לדוד</t>
  </si>
  <si>
    <t>מרק, דוד קלונימוס בן צבי יהודה</t>
  </si>
  <si>
    <t>קונטרס משכן גבריאל - 3 כר'</t>
  </si>
  <si>
    <t>כולל משכן גבריאל</t>
  </si>
  <si>
    <t>קונטרס משכנותיך ישראל - 5 כר'</t>
  </si>
  <si>
    <t>קונטרס משל ונמשל</t>
  </si>
  <si>
    <t>קונטרס משלוח מנות</t>
  </si>
  <si>
    <t>קונטרס משמח ציון בבניה - 2 כר'</t>
  </si>
  <si>
    <t>קונטרס משמחי לב</t>
  </si>
  <si>
    <t>תשס</t>
  </si>
  <si>
    <t>קונטרס משנה אחת</t>
  </si>
  <si>
    <t>קונטרס משנה ברכה</t>
  </si>
  <si>
    <t>קונטרס משנה תורה</t>
  </si>
  <si>
    <t>קונטרס משנכנס אדר מרבין בשמחה</t>
  </si>
  <si>
    <t>קונטרס משנכנס אדר</t>
  </si>
  <si>
    <t>קונטרס משנת אהרן - מוקצה</t>
  </si>
  <si>
    <t>ליברמן, אהרן</t>
  </si>
  <si>
    <t>קונטרס משנת הגט</t>
  </si>
  <si>
    <t>קונטרס משנת הדיינים</t>
  </si>
  <si>
    <t>קונטרס משנת הטהרה</t>
  </si>
  <si>
    <t>קלאזאן, יחיאל</t>
  </si>
  <si>
    <t>קונטרס משנת היבום</t>
  </si>
  <si>
    <t>קונטרס משנת היחוד</t>
  </si>
  <si>
    <t>קונטרס משנת חיים  - יציאת מצרים</t>
  </si>
  <si>
    <t>קונטרס משנת יואל - עירובין</t>
  </si>
  <si>
    <t>קונטרס משנת מיטב</t>
  </si>
  <si>
    <t>קונטרס משנת מרדכי</t>
  </si>
  <si>
    <t>קונטרס משנת מרובה</t>
  </si>
  <si>
    <t>קונטרס משנת סופרים חסדי דוד</t>
  </si>
  <si>
    <t>קונטרס משנת שמעון - גיטין פרק האומר</t>
  </si>
  <si>
    <t>קונטרס משפחה ומשפחה</t>
  </si>
  <si>
    <t>קונטרס משפחת רם</t>
  </si>
  <si>
    <t>חכמי משפחת הרב דקוסבה</t>
  </si>
  <si>
    <t>קונטרס משפט האונאה</t>
  </si>
  <si>
    <t>חדד, יעקב בן אשר</t>
  </si>
  <si>
    <t>קונטרס משפט העירוב</t>
  </si>
  <si>
    <t>קונטרס משפטי ה' אמת צדקו יחדיו - חנוכה</t>
  </si>
  <si>
    <t>קונטרס משפטי הבית - בבא קמא</t>
  </si>
  <si>
    <t>קונטרס משפטי הגזילה</t>
  </si>
  <si>
    <t>קונטרס משפטי יעקב</t>
  </si>
  <si>
    <t>קונטרס משרשי החינוך</t>
  </si>
  <si>
    <t>עמר, אריה אליהו</t>
  </si>
  <si>
    <t>קונטרס משתה ושמחה תמיד</t>
  </si>
  <si>
    <t>קונטרס משתה ושמחה</t>
  </si>
  <si>
    <t>שוורץ, מיכאל הכהן</t>
  </si>
  <si>
    <t>קונטרס מתורת הארץ - 2 כר'</t>
  </si>
  <si>
    <t>בית מדרש מתורת א"י</t>
  </si>
  <si>
    <t>קונטרס מתורת חורב</t>
  </si>
  <si>
    <t>שטרנפלד, בן ציון בן גבריאל</t>
  </si>
  <si>
    <t>קונטרס מתורתן של רבותינו</t>
  </si>
  <si>
    <t>קונטרס מתי מלחמה</t>
  </si>
  <si>
    <t>קונטרס מתיקות ימי הפסח</t>
  </si>
  <si>
    <t>יאווע, מנחם ברוך</t>
  </si>
  <si>
    <t>קונטרס מתנה טובה</t>
  </si>
  <si>
    <t>ליקוט מאמרים</t>
  </si>
  <si>
    <t>קונטרס מתנות כהונה &lt;בעניני נתינת מתנה בשבת ויו"ט&gt;</t>
  </si>
  <si>
    <t>רובין, אהרן הכהן</t>
  </si>
  <si>
    <t>קונטרס מתנות כהונה מהבהמה</t>
  </si>
  <si>
    <t>קונטרס מתנת חלקו</t>
  </si>
  <si>
    <t>שלאס, משה</t>
  </si>
  <si>
    <t>קונטרס מתנת יהודה - שביעית</t>
  </si>
  <si>
    <t>מאיר, יוסף מ. ד.</t>
  </si>
  <si>
    <t>קונטרס מתנת יהודה - ב"ק</t>
  </si>
  <si>
    <t>רחמים, יהודה נתנאל בן יצחק</t>
  </si>
  <si>
    <t>קונטרס מתנת נתנאל</t>
  </si>
  <si>
    <t>טרבלסי, נתנאל בן משה</t>
  </si>
  <si>
    <t>קונטרס מתנת שמים</t>
  </si>
  <si>
    <t>קונטרס נאר אמונה</t>
  </si>
  <si>
    <t>תשע"ג?</t>
  </si>
  <si>
    <t>קונטרס נבוני לחש</t>
  </si>
  <si>
    <t>בני ברק?</t>
  </si>
  <si>
    <t>קונטרס נבטי מנחם</t>
  </si>
  <si>
    <t>מושקוביץ, מנחם מנדל</t>
  </si>
  <si>
    <t>קונטרס נגד הציונות</t>
  </si>
  <si>
    <t>קונטרס נגילה ונשמחה בך</t>
  </si>
  <si>
    <t>קונטרס נדונים ומראה מקומות</t>
  </si>
  <si>
    <t>קונטרס נדרים ובבא מציעא</t>
  </si>
  <si>
    <t>קונטרס נדרשת יפה</t>
  </si>
  <si>
    <t>גולדנברג, אברהם ישראל בן יוסף</t>
  </si>
  <si>
    <t>קונטרס נהרות איתן</t>
  </si>
  <si>
    <t>קונטרס נוהג כצאן יוסף</t>
  </si>
  <si>
    <t>יאקאב, יצחק אליעזר</t>
  </si>
  <si>
    <t>ליינר, מרדכי יוסף אלעזר בן גרשון חנוך</t>
  </si>
  <si>
    <t>קונטרס נוי סוכה</t>
  </si>
  <si>
    <t>קונטרס נועם הנשמות</t>
  </si>
  <si>
    <t>קונטרס נועם השבת</t>
  </si>
  <si>
    <t>קונטרס נועם התורה - א</t>
  </si>
  <si>
    <t>שמש, נועם בן יוסף</t>
  </si>
  <si>
    <t>קונטרס נועם מאור השבת</t>
  </si>
  <si>
    <t>קונטרס נועם שבת</t>
  </si>
  <si>
    <t>קונטרס נופת לימודים</t>
  </si>
  <si>
    <t>ברודי,  נפתלי צבי</t>
  </si>
  <si>
    <t>קונטרס נזירת שמשון</t>
  </si>
  <si>
    <t>שמשון בן משולם פייבוש</t>
  </si>
  <si>
    <t>קונטרס נזר אברהם - נדה</t>
  </si>
  <si>
    <t>קונטרס נזר הצבי</t>
  </si>
  <si>
    <t>גולדברג, צבי בן ניסן (עורך)</t>
  </si>
  <si>
    <t>קונטרס נזר משה</t>
  </si>
  <si>
    <t>בניזרי, משה בן דוד</t>
  </si>
  <si>
    <t>קונטרס נחלת אשר</t>
  </si>
  <si>
    <t>קונטרס נחלת ה'</t>
  </si>
  <si>
    <t>כהן, יעקב משה בן יצחק</t>
  </si>
  <si>
    <t>קונטרס נחלת יעקב</t>
  </si>
  <si>
    <t>ג'נח, יעקב בן יהודה</t>
  </si>
  <si>
    <t>קונטרס נחלת שי - ב"ק</t>
  </si>
  <si>
    <t>שוץ, יוסף בן גדליה נפתלי</t>
  </si>
  <si>
    <t>קונטרס נחמת ציון</t>
  </si>
  <si>
    <t>קונטרס נחפשה דרכינו</t>
  </si>
  <si>
    <t>קונטרס נטה קו</t>
  </si>
  <si>
    <t>קונטרס נטילת לולב בסוכה קודם התפילה</t>
  </si>
  <si>
    <t>קונטרס נטפי דמעה - הגוזל ומאכיל</t>
  </si>
  <si>
    <t>ישיבת בין הזמנים נר מרדכי</t>
  </si>
  <si>
    <t>קונטרס נס לשושנים</t>
  </si>
  <si>
    <t>קונטרס נספר תהלתך</t>
  </si>
  <si>
    <t>גילרנטנר, יעקב ירוחם בן אלעזר מנחם</t>
  </si>
  <si>
    <t>קונטרס נעימות התורה</t>
  </si>
  <si>
    <t>קונטרס נעם שבת</t>
  </si>
  <si>
    <t>קונטרס נפלאות יצחק</t>
  </si>
  <si>
    <t>גברא, ישראל</t>
  </si>
  <si>
    <t>קונטרס נפש אברהם</t>
  </si>
  <si>
    <t>שרייבר, אליעזר דוד</t>
  </si>
  <si>
    <t>קונטרס נפש מלכה</t>
  </si>
  <si>
    <t>קונטרס נפש עמל</t>
  </si>
  <si>
    <t>קונטרס נפתלי שבע רצון</t>
  </si>
  <si>
    <t>קונטרס נצוצות מאש התורה</t>
  </si>
  <si>
    <t>צוקר, אהרן יהושע - שטיבל, מנחם</t>
  </si>
  <si>
    <t>קונטרס נצח ישראל</t>
  </si>
  <si>
    <t>מכתבים מגדולי ישראל</t>
  </si>
  <si>
    <t>קונטרס נקודות מבט</t>
  </si>
  <si>
    <t>חבושה, משה בן דוד</t>
  </si>
  <si>
    <t>קונטרס נקודות סיכום למפרשים - 2 כר'</t>
  </si>
  <si>
    <t>קונטרס נר אליעזר</t>
  </si>
  <si>
    <t>גרינפלד, אליעזר בן יצחק</t>
  </si>
  <si>
    <t>קונטרס נר ישראל</t>
  </si>
  <si>
    <t>קונטרס נר לשרה</t>
  </si>
  <si>
    <t>קונטרס נר מצוה</t>
  </si>
  <si>
    <t>קונטרס נר מרדכי</t>
  </si>
  <si>
    <t>צוקרמן, מרדכי (אודותיו)</t>
  </si>
  <si>
    <t>קונטרס נר שבת</t>
  </si>
  <si>
    <t>קרואני, נריה</t>
  </si>
  <si>
    <t>קונטרס נר שלום</t>
  </si>
  <si>
    <t>קונטרס נרות חיים</t>
  </si>
  <si>
    <t>קונטרס נשמע קולם - 2 כר'</t>
  </si>
  <si>
    <t>קונטרס נשמת היהדות ועצת בלעם</t>
  </si>
  <si>
    <t>קונטרס נשמת חיים</t>
  </si>
  <si>
    <t>לסקר, שמעון</t>
  </si>
  <si>
    <t>קונטרס נשמת שרה</t>
  </si>
  <si>
    <t>קונטרס נתיב ים - 3 כר'</t>
  </si>
  <si>
    <t>מקלב, יואל</t>
  </si>
  <si>
    <t>קונטרס נתיבות דעת - קידושין</t>
  </si>
  <si>
    <t>ישיבת נתיבות התורה</t>
  </si>
  <si>
    <t>קונטרס נתיבי דעת - נדה</t>
  </si>
  <si>
    <t>קונטרס נתיבי הלכה</t>
  </si>
  <si>
    <t>קונטרס נתיבי הקטן</t>
  </si>
  <si>
    <t>קונטרס נתיבי השמועה - שנים אוחזין</t>
  </si>
  <si>
    <t>קונטרס נתיבי מועד</t>
  </si>
  <si>
    <t>קונטרס נתיבי מועד, שיעורי שבט הלוי - ביצה</t>
  </si>
  <si>
    <t>קונטרס נתינה ברורה</t>
  </si>
  <si>
    <t>מוצרי, נתנאל</t>
  </si>
  <si>
    <t>קונטרס נתן דוד</t>
  </si>
  <si>
    <t>קונטרס נתן תורה</t>
  </si>
  <si>
    <t>קונטרס סגולות אמרתך</t>
  </si>
  <si>
    <t>קונטרס סדר דרך הלימוד</t>
  </si>
  <si>
    <t>קונטרס סדר הגט</t>
  </si>
  <si>
    <t>אלבאז, יהודה - אלבאז, אבא</t>
  </si>
  <si>
    <t>קונטרס סדר הגר"א</t>
  </si>
  <si>
    <t>קונטרס סדר היום</t>
  </si>
  <si>
    <t>קונטרס סדר הפרשת תרו"מ - סדר השביעית - תשכ"ב</t>
  </si>
  <si>
    <t>קונטרס סדר התקיעות - 3 כר'</t>
  </si>
  <si>
    <t>קונטרס סדר תקיעתינו</t>
  </si>
  <si>
    <t>קונטרס סדרי עזרא</t>
  </si>
  <si>
    <t>חילו, עזרא בן יוסף</t>
  </si>
  <si>
    <t>קונטרס סובלנות וויתור</t>
  </si>
  <si>
    <t>קונטרס סוגיא דשתי הלחם</t>
  </si>
  <si>
    <t>קונטרס סוגית יחוד כלים</t>
  </si>
  <si>
    <t>קצב</t>
  </si>
  <si>
    <t>קונטרס סוד החיים המאושרים</t>
  </si>
  <si>
    <t>קונטרס סוד הנסירה עם פירוש ביאורי אור</t>
  </si>
  <si>
    <t>בריזל, חיים אורי</t>
  </si>
  <si>
    <t>קונטרס סוכת אליהו</t>
  </si>
  <si>
    <t>קונטרס סוכת דוד</t>
  </si>
  <si>
    <t>מרגליות, דוד מרדכי בן יצחק</t>
  </si>
  <si>
    <t>קונטרס סוכת חיים</t>
  </si>
  <si>
    <t>קונטרס סוכת רחמים</t>
  </si>
  <si>
    <t>נאעם, מרדכי</t>
  </si>
  <si>
    <t>קונטרס סוכת שלום</t>
  </si>
  <si>
    <t>קונטרס סוכת שלומך</t>
  </si>
  <si>
    <t>רוזנר, יחיאל פישל</t>
  </si>
  <si>
    <t>קונטרס סופר וספר</t>
  </si>
  <si>
    <t>איחוד התלמידים דסאטמער</t>
  </si>
  <si>
    <t>קונטרס סחורה בשביעית</t>
  </si>
  <si>
    <t>קונטרס סיבת הנישואין</t>
  </si>
  <si>
    <t>קונטרס סיג לתורה</t>
  </si>
  <si>
    <t>קונטרס סידור זבח כהלכתו</t>
  </si>
  <si>
    <t>קונטרס סיכום הדף - 2 כר'</t>
  </si>
  <si>
    <t>קובץ ישיבת רינת התורה</t>
  </si>
  <si>
    <t>קונטרס סיכומי משה</t>
  </si>
  <si>
    <t>בנזימן, משה בן אליעזר</t>
  </si>
  <si>
    <t>קונטרס סימן מאליהו - דגי הים - כנפי חגבים</t>
  </si>
  <si>
    <t>תמיר, רועי צבי</t>
  </si>
  <si>
    <t>קונטרס סימנא מילתא</t>
  </si>
  <si>
    <t>מלצר, ישעי' נתן</t>
  </si>
  <si>
    <t>קונטרס סימני טהרה</t>
  </si>
  <si>
    <t>קונטרס סימנים</t>
  </si>
  <si>
    <t>גרנדש, אהרן הלוי</t>
  </si>
  <si>
    <t>קונטרס סם תם ארץ צבי</t>
  </si>
  <si>
    <t>קונטרס סנפיר וקשקשת</t>
  </si>
  <si>
    <t>קונטרס ספק השקול</t>
  </si>
  <si>
    <t>קונטרס ספק ספיקא בממון</t>
  </si>
  <si>
    <t>קונטרס ספק של סופרים</t>
  </si>
  <si>
    <t>ברוידא, אוריה</t>
  </si>
  <si>
    <t>קונטרס ספר איוב בעיית צדיק ורע לו</t>
  </si>
  <si>
    <t>תפארת, מאור בן בצלאל</t>
  </si>
  <si>
    <t>קונטרס ספרים וסופרים</t>
  </si>
  <si>
    <t>לרר, צבי יעקב</t>
  </si>
  <si>
    <t>קונטרס ע"ד הכשר השמן הנעשה משומשמין</t>
  </si>
  <si>
    <t>יפו. בית-הבד של האחים ברסלב</t>
  </si>
  <si>
    <t>קונטרס עבדך משיחך</t>
  </si>
  <si>
    <t>קונטרס עבודה שבלב</t>
  </si>
  <si>
    <t>קונטרס עבודה שלימה</t>
  </si>
  <si>
    <t>קונטרס עבודת בן המצרים</t>
  </si>
  <si>
    <t>רוזנברג, יוחנן</t>
  </si>
  <si>
    <t>קונטרס עבודת ה' בימי השובבי"ם</t>
  </si>
  <si>
    <t>קונטרס עבודת הלב</t>
  </si>
  <si>
    <t>קונטרס עבודת הלוי</t>
  </si>
  <si>
    <t>לוי, משה בן מנשה</t>
  </si>
  <si>
    <t>קונטרס עבודת ימי האלול</t>
  </si>
  <si>
    <t>קונטרס עבודת ימי חנוכה</t>
  </si>
  <si>
    <t>קונטרס עגונות למוהר"ל</t>
  </si>
  <si>
    <t>קונטרס עגונות</t>
  </si>
  <si>
    <t>קונטרס עד שיאמר רוצה אני</t>
  </si>
  <si>
    <t>קונטרס עדות נאמנה</t>
  </si>
  <si>
    <t>גולדשמידט, שמחה</t>
  </si>
  <si>
    <t>קונטרס עדותו של הפסול לעדות</t>
  </si>
  <si>
    <t>קונטרס עדי זהב</t>
  </si>
  <si>
    <t>קורץ, עדו</t>
  </si>
  <si>
    <t>קונטרס עובדות והנהגות מרבינו בעל הדרכי שמואל</t>
  </si>
  <si>
    <t>סגרה, אביעד יהושע</t>
  </si>
  <si>
    <t>קונטרס עוג מלך הבשן</t>
  </si>
  <si>
    <t>קונטרס עוד יוסף חי</t>
  </si>
  <si>
    <t>ויזניצר, גבריאל יוסף (אודותיו)</t>
  </si>
  <si>
    <t>קונטרס עוד ינובון</t>
  </si>
  <si>
    <t>משפחת הלפרין</t>
  </si>
  <si>
    <t>קונטרס עוטה אור כשלמה</t>
  </si>
  <si>
    <t>קונטרס עול תורה</t>
  </si>
  <si>
    <t>ליפקוביץ, מיכל יהודה - יפה, דב</t>
  </si>
  <si>
    <t>קונטרס עולת יצחק - 9 כר'</t>
  </si>
  <si>
    <t>קונטרס עונג יום טוב - 2 כר'</t>
  </si>
  <si>
    <t>כולל עטרת זעלדא</t>
  </si>
  <si>
    <t>קונטרס עוף טהור</t>
  </si>
  <si>
    <t>ועד חיי עולם</t>
  </si>
  <si>
    <t>קונטרס עורו ישנים</t>
  </si>
  <si>
    <t>קונטרס עושה שלום</t>
  </si>
  <si>
    <t>קונטרס עזר כנגדו</t>
  </si>
  <si>
    <t>גבאיף משה</t>
  </si>
  <si>
    <t>קונטרס עזרת אליעזר - 19 כר'</t>
  </si>
  <si>
    <t>קונטרס עטרה ליושנה</t>
  </si>
  <si>
    <t>תלמידי הישיבות יוצאי רוסיה</t>
  </si>
  <si>
    <t>קונטרס עטרת זקנים בני בנים</t>
  </si>
  <si>
    <t>קונטרס עטרת חכמים - בבא בתרא</t>
  </si>
  <si>
    <t>ישיבת עטרת ישראל לצעירים</t>
  </si>
  <si>
    <t>קונטרס עטרת יצחק</t>
  </si>
  <si>
    <t>קונטרס עטרת מלוכה</t>
  </si>
  <si>
    <t>לייטער, משה</t>
  </si>
  <si>
    <t>קונטרס עידנא דחדוותא</t>
  </si>
  <si>
    <t>ישיבת חדות התלמוד</t>
  </si>
  <si>
    <t>קונטרס עיון תפילה &lt;מתוך סידור דעת קדושים&gt;</t>
  </si>
  <si>
    <t>קונטרס עיוני דעת</t>
  </si>
  <si>
    <t>קונטרס עיונים בברכת אשר יצר</t>
  </si>
  <si>
    <t>קונטרס עיונים בהגדה של פסח</t>
  </si>
  <si>
    <t>קונטרס עיונים והערות - על סדר טהרות</t>
  </si>
  <si>
    <t>קונטרס עין הסוגיא - השותפין</t>
  </si>
  <si>
    <t>זילברברג, מרדכי בונים</t>
  </si>
  <si>
    <t>קונטרס עין טובה</t>
  </si>
  <si>
    <t>קונטרס עין יעקב</t>
  </si>
  <si>
    <t>קונטרס עינים לחושן - הל' נחלות</t>
  </si>
  <si>
    <t>קונטרס עיקרי הסוגיות על פרק נערה המאורסה</t>
  </si>
  <si>
    <t>קונטרס עיר מקלט</t>
  </si>
  <si>
    <t>דוד, שלמה בן יצחק</t>
  </si>
  <si>
    <t>קונטרס עיתונאי</t>
  </si>
  <si>
    <t>אגודת הרבנים פולין</t>
  </si>
  <si>
    <t>קונטרס על איסור המכירה בשביעית</t>
  </si>
  <si>
    <t>סופר, ראובן</t>
  </si>
  <si>
    <t>קונטרס על דבר אמת</t>
  </si>
  <si>
    <t>קוקיס, שלמה בן ציון  בן יעקב</t>
  </si>
  <si>
    <t>קונטרס על המלך טוב</t>
  </si>
  <si>
    <t>קונטרס על הניסים - חנוכה, פורים</t>
  </si>
  <si>
    <t>לנדמן, משה</t>
  </si>
  <si>
    <t>קונטרס על חובת הכרת הטוב</t>
  </si>
  <si>
    <t>קונטרס על חומותיך ירושלים</t>
  </si>
  <si>
    <t>קונטרס על ימין שהוא שמאל</t>
  </si>
  <si>
    <t>קונטרס על כנפי נשרים</t>
  </si>
  <si>
    <t>קונטרס על מה אבדה הארץ</t>
  </si>
  <si>
    <t>קונטרס על מסכת ערכין</t>
  </si>
  <si>
    <t>קונטרס על משמר השבת</t>
  </si>
  <si>
    <t>מכון מדעי לטכנולוגיה והלכה</t>
  </si>
  <si>
    <t>קונטרס על נס וחי - סוכה</t>
  </si>
  <si>
    <t>ליווקד</t>
  </si>
  <si>
    <t>קונטרס על ענייני ספירת העומר</t>
  </si>
  <si>
    <t>קונטרס על עניני חג השבועות</t>
  </si>
  <si>
    <t>גרינוואלד, יצחק</t>
  </si>
  <si>
    <t>קונטרס על קצת מעניני פרק חזקת הבתים</t>
  </si>
  <si>
    <t>זוסמן, שלום משה</t>
  </si>
  <si>
    <t>קונטרס על שלשה דברים האדם עומד</t>
  </si>
  <si>
    <t>מזרחי, אליהו</t>
  </si>
  <si>
    <t>קונטרס על - מסכת נגעים</t>
  </si>
  <si>
    <t>קונטרס עלי דמע [ויזמן]</t>
  </si>
  <si>
    <t>קונטרס עלי ציון ופדיוני בכוריה</t>
  </si>
  <si>
    <t>קונטרס עלי שיח</t>
  </si>
  <si>
    <t>גרליץ, משה שמעון בן מנחם מנדל</t>
  </si>
  <si>
    <t>קונטרס עליות ברוך - 3 כר'</t>
  </si>
  <si>
    <t>קונטרס עלינו לשבח</t>
  </si>
  <si>
    <t>רייכער, אהרון חיים</t>
  </si>
  <si>
    <t>קונטרס עלתה נצה</t>
  </si>
  <si>
    <t>הורוויץ, נפתלי צ.</t>
  </si>
  <si>
    <t>קונטרס עמודי החצר</t>
  </si>
  <si>
    <t>סגל וואזנער, יעקב יוסף</t>
  </si>
  <si>
    <t>קונטרס עמודי משה</t>
  </si>
  <si>
    <t>ארזי, משה בן אליהו הכהן</t>
  </si>
  <si>
    <t>קונטרס עמודי שש - מלאכות שבת</t>
  </si>
  <si>
    <t>מונק, שלום שאול</t>
  </si>
  <si>
    <t>קונטרס עמודי שש</t>
  </si>
  <si>
    <t>קונטרס עמוקה מני ים</t>
  </si>
  <si>
    <t>זילביגער, י.מ. הכהן</t>
  </si>
  <si>
    <t>קונטרס עמל ועיון בתורה</t>
  </si>
  <si>
    <t>קונטרס עמק הלב</t>
  </si>
  <si>
    <t>גרוסנס, עקיבא משה</t>
  </si>
  <si>
    <t>קונטרס ענבי הגפן</t>
  </si>
  <si>
    <t>דביר (סלוטין), יצחק</t>
  </si>
  <si>
    <t>קונטרס עניית אמן כהלכתה</t>
  </si>
  <si>
    <t>הכט בנימין</t>
  </si>
  <si>
    <t>קונטרס ענינו של יום</t>
  </si>
  <si>
    <t>קונטרס עניני אבלות החורבן</t>
  </si>
  <si>
    <t>קונטרס עניני בגדי כהונה</t>
  </si>
  <si>
    <t>קונטרס עניני בל תאחר</t>
  </si>
  <si>
    <t>קונטרס עניני בר מצוה</t>
  </si>
  <si>
    <t>קונטרס עניני מלאכת מחשבת</t>
  </si>
  <si>
    <t>קונטרס עניני עבד עברי</t>
  </si>
  <si>
    <t>קונטרס ענינים במוקצה</t>
  </si>
  <si>
    <t>קרלנשטיין, אפרים בן חנוך העניך</t>
  </si>
  <si>
    <t>קונטרס ענינים בספיקות</t>
  </si>
  <si>
    <t>קרלנשטיין, אפרים בן חנוך</t>
  </si>
  <si>
    <t>קונטרס ענינים בפרק הדר</t>
  </si>
  <si>
    <t>קונטרס ענני הכבוד</t>
  </si>
  <si>
    <t>שפר, מרדכי אליהו</t>
  </si>
  <si>
    <t>קונטרס ענני כבוד - סוכות</t>
  </si>
  <si>
    <t>קונטרס ענני כבוד</t>
  </si>
  <si>
    <t>ישיבת תורה והוראה</t>
  </si>
  <si>
    <t>קונטרס עסק עמהן</t>
  </si>
  <si>
    <t>כהן</t>
  </si>
  <si>
    <t>קונטרס עץ הגן</t>
  </si>
  <si>
    <t>ילוז, אליהו</t>
  </si>
  <si>
    <t>קונטרס עץ השדה</t>
  </si>
  <si>
    <t>קונטרס עץ חיים - 9 כר'</t>
  </si>
  <si>
    <t>קונטרס עצה הוגנת</t>
  </si>
  <si>
    <t>דונט, אליעזר</t>
  </si>
  <si>
    <t>קונטרס עצה ותבונה</t>
  </si>
  <si>
    <t>קונטרס עצת מלאכיו ישלים</t>
  </si>
  <si>
    <t>גרשי, אבשלום בן יצחק</t>
  </si>
  <si>
    <t>קונטרס עקבי אבירים - פסח</t>
  </si>
  <si>
    <t>קונטרס עקבי אברהם</t>
  </si>
  <si>
    <t>גרליץ, אברהם יעקב בן משה שמעון</t>
  </si>
  <si>
    <t>קונטרס ערבות</t>
  </si>
  <si>
    <t>נושאים שונים, שונות, תולדות עם ישראל, תלמוד בבלי</t>
  </si>
  <si>
    <t>קונטרס ערבי פסחים</t>
  </si>
  <si>
    <t>קונטרס עריכת השולחן - ליל הסדר</t>
  </si>
  <si>
    <t>קונטרס ערכו מגן עם זר השלחן</t>
  </si>
  <si>
    <t>וייס, יצחק ישעיה</t>
  </si>
  <si>
    <t>קונטרס עשבי בשמים</t>
  </si>
  <si>
    <t>כהן, יהודה</t>
  </si>
  <si>
    <t>קונטרס עשו חיל - דיני ומנהגי פסח לנשים ונערות</t>
  </si>
  <si>
    <t>ועקנין, שמואל אליהו בן יוסף</t>
  </si>
  <si>
    <t>קונטרס עשירית</t>
  </si>
  <si>
    <t>קונטרס עשרת ימי תשובה</t>
  </si>
  <si>
    <t>קונטרס עת הזמיר הגיע</t>
  </si>
  <si>
    <t>קונטרס עת ללדת</t>
  </si>
  <si>
    <t>קונטרס עת רקוד</t>
  </si>
  <si>
    <t>הופמן, חיים</t>
  </si>
  <si>
    <t>קונטרס פאר מזוזה</t>
  </si>
  <si>
    <t>קונטרס פארו עלי</t>
  </si>
  <si>
    <t>מערכת מעינות הרים</t>
  </si>
  <si>
    <t>קונטרס פאת ים</t>
  </si>
  <si>
    <t>פיין, יעקב משה בן מאיר</t>
  </si>
  <si>
    <t>קונטרס פאת קדמה - 2 כר'</t>
  </si>
  <si>
    <t>אינדיק, משה אפרים</t>
  </si>
  <si>
    <t>קונטרס פאת שדך</t>
  </si>
  <si>
    <t>פליסקין, שמואל בן יהושע זליג</t>
  </si>
  <si>
    <t>קונטרס פה קדוש</t>
  </si>
  <si>
    <t>קונטרס פולמוס התרנגולים הכשרים</t>
  </si>
  <si>
    <t>סליפקין, נתן</t>
  </si>
  <si>
    <t>קונטרס פוקח עורים</t>
  </si>
  <si>
    <t>קונטרס פורים</t>
  </si>
  <si>
    <t>רבני ישיבת פורת יוסף</t>
  </si>
  <si>
    <t>קונטרס פותח דברים &lt;מהדורה מלאה&gt;</t>
  </si>
  <si>
    <t>קונטרס פותח שער</t>
  </si>
  <si>
    <t>קונטרס פי הבאר - 3 כר'</t>
  </si>
  <si>
    <t>אדלר, נחום בן אהרן</t>
  </si>
  <si>
    <t>קונטרס פי הבאר - איזהו נשך</t>
  </si>
  <si>
    <t>קונטרס פי כהן - 2 כר'</t>
  </si>
  <si>
    <t>קונטרס פי מלכים - 8 כר'</t>
  </si>
  <si>
    <t>אייכנשטיין, יהושע בן מנחם צבי</t>
  </si>
  <si>
    <t>קונטרס פי מלכים - 2 כר'</t>
  </si>
  <si>
    <t>קונטרס פי מלכים - 19 כר'</t>
  </si>
  <si>
    <t>מטלין, ירמיהו פנחס ובני החבורה</t>
  </si>
  <si>
    <t>קונטרס פירות האשל - 2 כר'</t>
  </si>
  <si>
    <t>משפחת שטרנבוך</t>
  </si>
  <si>
    <t>קונטרס פירות השביעית</t>
  </si>
  <si>
    <t>בירנבאום, יהודה זאב</t>
  </si>
  <si>
    <t>קונטרס פירותיך מתוקים</t>
  </si>
  <si>
    <t>קונטרס פלאות עדותיך</t>
  </si>
  <si>
    <t>קונטרס פלפול התלמידים - מכות</t>
  </si>
  <si>
    <t>קונטרס פנחס הוא אליהו</t>
  </si>
  <si>
    <t>קונטרס פני הבית</t>
  </si>
  <si>
    <t>קונטרס פני יהושע</t>
  </si>
  <si>
    <t>צוקרמן, יהושע העשיל</t>
  </si>
  <si>
    <t>קונטרס פני ליש</t>
  </si>
  <si>
    <t>שולזינגר, יהודה ליב בן שמואל</t>
  </si>
  <si>
    <t>קונטרס פני משה - בבא קמא</t>
  </si>
  <si>
    <t>ברנד, משה</t>
  </si>
  <si>
    <t>קונטרס פני משה - בשר בחלב תערובות ועניני פסח</t>
  </si>
  <si>
    <t>מלכה, משה</t>
  </si>
  <si>
    <t>קונטרס פני שלמה</t>
  </si>
  <si>
    <t>קונטרס פניני אבותינו - פקודת משה</t>
  </si>
  <si>
    <t>משפחת הרבנים וויס</t>
  </si>
  <si>
    <t>קונטרס פניני אבי"ע - 2 כר'</t>
  </si>
  <si>
    <t>הראל, מאיר שלום בן אריה יהודה</t>
  </si>
  <si>
    <t>קונטרס פניני בנימין</t>
  </si>
  <si>
    <t>קרלינסקי, בנימין ישראל</t>
  </si>
  <si>
    <t>קונטרס פניני הלל</t>
  </si>
  <si>
    <t>קונטרס פניני המגילה</t>
  </si>
  <si>
    <t>שמלצר, פנחס אלימלך בן משולם זושא</t>
  </si>
  <si>
    <t>קונטרס פניני יוסף</t>
  </si>
  <si>
    <t>שוירץ, יוסף</t>
  </si>
  <si>
    <t>קונטרס פניני יעקב</t>
  </si>
  <si>
    <t>קונטרס פניני לב מנחם</t>
  </si>
  <si>
    <t>הורוויץ, אברהם מנחם</t>
  </si>
  <si>
    <t>קונטרס פניני משה</t>
  </si>
  <si>
    <t>חיות, אברהם צבי</t>
  </si>
  <si>
    <t>קונטרס פסח תשי"א - 3 כר'</t>
  </si>
  <si>
    <t>קונטרס פסח</t>
  </si>
  <si>
    <t>קונטרס פסקי הלכות - 6 כר'</t>
  </si>
  <si>
    <t>קונטרס פסקי הלכות - נדה</t>
  </si>
  <si>
    <t>היינעמאן, משה</t>
  </si>
  <si>
    <t>קונטרס פסקי הלכות</t>
  </si>
  <si>
    <t>קונטרס פסקים וביאורים בהלכות טהרה</t>
  </si>
  <si>
    <t>מרמורשטיין, אלטר אליהו (עורך וכותב)</t>
  </si>
  <si>
    <t>קונטרס פעמיך בנעלים - נקיון כפי</t>
  </si>
  <si>
    <t>קונטרס פקודת משה - שמות</t>
  </si>
  <si>
    <t>וויס, משה יעקב</t>
  </si>
  <si>
    <t>קונטרס פרדס התורה</t>
  </si>
  <si>
    <t>קונטרס פרזות מרדכי</t>
  </si>
  <si>
    <t>אורדנטליך, מרדכי שלמה</t>
  </si>
  <si>
    <t>קונטרס פרח מטה אהרן - ב</t>
  </si>
  <si>
    <t>קונטרס פרי אברהם</t>
  </si>
  <si>
    <t>קונטרס פרי דוד</t>
  </si>
  <si>
    <t>קונטרס פרי הדר</t>
  </si>
  <si>
    <t>דינין, רפאל ראובן בן אברהם</t>
  </si>
  <si>
    <t>קונטרס פרי טוב - 12 כר'</t>
  </si>
  <si>
    <t>קונטרס פרי לאברהם - נדרים</t>
  </si>
  <si>
    <t>יברוב, אברהם בן שלמה ברוך</t>
  </si>
  <si>
    <t>קונטרס פרי משפט</t>
  </si>
  <si>
    <t>ברנדווין, דב בער</t>
  </si>
  <si>
    <t>קונטרס פרי עוז</t>
  </si>
  <si>
    <t>קונטרס פרי עץ הגן</t>
  </si>
  <si>
    <t>קונטרס פרי עץ הדעת טוב</t>
  </si>
  <si>
    <t>הכהן, נתנאל</t>
  </si>
  <si>
    <t>קונטרס פרי עץ הדר</t>
  </si>
  <si>
    <t>טוקצינסקי, יחיאל מיכל</t>
  </si>
  <si>
    <t>קונטרס פרי שרגא</t>
  </si>
  <si>
    <t>גיברלטר, שרגא פייבל בן יצחק אלחנו</t>
  </si>
  <si>
    <t>קונטרס פריסת שלומים</t>
  </si>
  <si>
    <t>לאבל, שלמה</t>
  </si>
  <si>
    <t>קונטרס פרסומי ניסא</t>
  </si>
  <si>
    <t>כהן, חיים עוזר</t>
  </si>
  <si>
    <t>קונטרס פרקי תשובה</t>
  </si>
  <si>
    <t>רוט, רפאל שלמה בן אשר</t>
  </si>
  <si>
    <t>קונטרס פשט ודרש</t>
  </si>
  <si>
    <t>בראפמאן, שלמה זלמן בן דוד אברהם</t>
  </si>
  <si>
    <t>קונטרס פתגם המלך</t>
  </si>
  <si>
    <t>קונטרס פתגמי אורייתא - 7 כר'</t>
  </si>
  <si>
    <t>קונטרס פתגמי דאורייתא</t>
  </si>
  <si>
    <t>קונטרס פתוחי חותם</t>
  </si>
  <si>
    <t>ברסלויער, אשר בן משה</t>
  </si>
  <si>
    <t>קונטרס פתורא חדתא</t>
  </si>
  <si>
    <t>קונטרס פתח דבריך יאיר</t>
  </si>
  <si>
    <t>קובלסקי, יצחק יאיר</t>
  </si>
  <si>
    <t>קונטרס פתח הבית - 7 כר'</t>
  </si>
  <si>
    <t>טיקטין, אברהם בן גדליה - רייכמן, רפאל בן שניאור זלמן</t>
  </si>
  <si>
    <t>קונטרס פתח הבית - 13 כר'</t>
  </si>
  <si>
    <t>קונטרס פתח הזיקה</t>
  </si>
  <si>
    <t>חורוזינסקי,</t>
  </si>
  <si>
    <t>קונטרס פתח היחוד</t>
  </si>
  <si>
    <t>רוזנבלט, שבח צבי</t>
  </si>
  <si>
    <t>קונטרס פתחי אמונה</t>
  </si>
  <si>
    <t>קונטרס פתחי הרמב"ן</t>
  </si>
  <si>
    <t>קונטרס פתחי מזוזה - 2 כר'</t>
  </si>
  <si>
    <t>גולדשטיין, עקיבא בן אליעזר</t>
  </si>
  <si>
    <t>קונטרס פתחי מזוזות</t>
  </si>
  <si>
    <t>ברלינגר, ישראל</t>
  </si>
  <si>
    <t>קונטרס פתחי סוגיות</t>
  </si>
  <si>
    <t>קונטרס פתחי שמחה</t>
  </si>
  <si>
    <t>קונטרס פתחי שמחת יום טוב</t>
  </si>
  <si>
    <t>קונטרס פתחי שערים</t>
  </si>
  <si>
    <t>קונטרס פתחי תורה</t>
  </si>
  <si>
    <t>קהילת מנין אברכים פ"ת</t>
  </si>
  <si>
    <t>קונטרס צדיק כתמר יפרח</t>
  </si>
  <si>
    <t>קונטרס צדקת משה</t>
  </si>
  <si>
    <t>לב, אהוד</t>
  </si>
  <si>
    <t>קונטרס צדקת ראובן</t>
  </si>
  <si>
    <t>קונטרס צורת כתיבת השמות בגיטין</t>
  </si>
  <si>
    <t>קונטרס צורת קשר של תפילין</t>
  </si>
  <si>
    <t>כהן, אמוץ</t>
  </si>
  <si>
    <t>קונטרס ציון לנפש חיה</t>
  </si>
  <si>
    <t>קונטרס ציון לנפש</t>
  </si>
  <si>
    <t>קונטרס ציוני שלמה - 2 כר'</t>
  </si>
  <si>
    <t>פדר, שלמה זלמן</t>
  </si>
  <si>
    <t>קונטרס ציונים - 5 כר'</t>
  </si>
  <si>
    <t>קונטרס צילתה דסוכה</t>
  </si>
  <si>
    <t>דסקל, ישראל אליהו</t>
  </si>
  <si>
    <t>קונטרס ציץ שלמה</t>
  </si>
  <si>
    <t>קונטרס צלותא דאברהם</t>
  </si>
  <si>
    <t>וסרמן, ישראל</t>
  </si>
  <si>
    <t>קונטרס צלותהון בכן מקבל</t>
  </si>
  <si>
    <t>שווארץ, משה פרץ</t>
  </si>
  <si>
    <t>קונטרס צלי אש</t>
  </si>
  <si>
    <t>רווח, ישראל יעקב</t>
  </si>
  <si>
    <t>קונטרס צמח ישראל</t>
  </si>
  <si>
    <t>קונטרס צעקת ישראל - 2 כר'</t>
  </si>
  <si>
    <t>קונטרס צפור טהורה</t>
  </si>
  <si>
    <t>לויפער, יואל בן אברהם</t>
  </si>
  <si>
    <t>קונטרס צפירת תפארה</t>
  </si>
  <si>
    <t>קונטרס צפנת פענח מבואר - בחומה היא יושבת</t>
  </si>
  <si>
    <t>רוזין, יוסף בן אפרים פישל - העכט, יוסף יצחק יהושע בן פרץ</t>
  </si>
  <si>
    <t>קונטרס צפנת פענח עם ביאור חדש</t>
  </si>
  <si>
    <t>עזריאל, יצחק בן מרדכי</t>
  </si>
  <si>
    <t>קונטרס קב תמרים</t>
  </si>
  <si>
    <t>קונטרס קביעות בקידוש</t>
  </si>
  <si>
    <t>כהן, חיים עוזר, בן אהרן</t>
  </si>
  <si>
    <t>קונטרס קביעת קו התאריך</t>
  </si>
  <si>
    <t>קונטרס קבלות ומאמרים</t>
  </si>
  <si>
    <t>בדוש, אברהם בן מימון</t>
  </si>
  <si>
    <t>קונטרס קבלת עול תורה בפרשיות ק"ש</t>
  </si>
  <si>
    <t>וייסבקר, ברוך</t>
  </si>
  <si>
    <t>קונטרס קדוש יעקב</t>
  </si>
  <si>
    <t>ליכטנשטיין, שמואל אהרן - וילנר, נתן נטע</t>
  </si>
  <si>
    <t>קונטרס קדוש ישראל</t>
  </si>
  <si>
    <t>קונטרס קדושה וטהרה</t>
  </si>
  <si>
    <t>קונטרס קדושת הלשון</t>
  </si>
  <si>
    <t>קונטרס קדושת הנישואין</t>
  </si>
  <si>
    <t>קונטרס קדושת העינים</t>
  </si>
  <si>
    <t>קונטרס קדושת ימי הפורים</t>
  </si>
  <si>
    <t>קונטרס קדושת ירושלים</t>
  </si>
  <si>
    <t>גבאי, נחמיה</t>
  </si>
  <si>
    <t>קונטרס קדושת ישראל</t>
  </si>
  <si>
    <t>חטאב, יהודה</t>
  </si>
  <si>
    <t>קונטרס קהילות דשלמה</t>
  </si>
  <si>
    <t>קונטרס קהל עמים</t>
  </si>
  <si>
    <t>קונטרס קובץ אליהו</t>
  </si>
  <si>
    <t>קונטרס קובץ השיעורים - גיטין</t>
  </si>
  <si>
    <t>קונטרס קובץ ענינים - ב"מ</t>
  </si>
  <si>
    <t>טרבלסי, עמוס</t>
  </si>
  <si>
    <t>קונטרס קול אליהו</t>
  </si>
  <si>
    <t>קונטרס קול דודי דופק</t>
  </si>
  <si>
    <t>משמרת איתמר דחסידי נדבורנה</t>
  </si>
  <si>
    <t>קונטרס קול ה' בכח</t>
  </si>
  <si>
    <t>קונטרס קול חתן</t>
  </si>
  <si>
    <t>קונטרס קול יעקב</t>
  </si>
  <si>
    <t>ברנס, עמוס</t>
  </si>
  <si>
    <t>קונטרס קול יעקב - 5 כר'</t>
  </si>
  <si>
    <t>קונטרס קול כלה</t>
  </si>
  <si>
    <t>קונטרס קול מחצצים</t>
  </si>
  <si>
    <t>קונטרס קול מצהלות</t>
  </si>
  <si>
    <t>קונטרס קול קורא</t>
  </si>
  <si>
    <t>קונטרס חיזוק</t>
  </si>
  <si>
    <t>קונטרס קול רינה</t>
  </si>
  <si>
    <t>פינקל,</t>
  </si>
  <si>
    <t>קונטרס קול רנה וישועה</t>
  </si>
  <si>
    <t>קונטרס קול רנה</t>
  </si>
  <si>
    <t>קונטרס קול שמחה</t>
  </si>
  <si>
    <t>קונטרס קול ששון וקול שמחה</t>
  </si>
  <si>
    <t>קונטרס קולך ערב</t>
  </si>
  <si>
    <t>קונטרס קומי אורי</t>
  </si>
  <si>
    <t>קונטרס קונדיסין וצורת הפתח</t>
  </si>
  <si>
    <t>קונטרס קטן מעניני בחירה - 2 כר'</t>
  </si>
  <si>
    <t>קונטרס קטן שהגדיל</t>
  </si>
  <si>
    <t>קונטרס קטן שהקדיש</t>
  </si>
  <si>
    <t>קונטרס קטן שטיהר</t>
  </si>
  <si>
    <t>קונטרס קיבלו וקיימו - 4 כר'</t>
  </si>
  <si>
    <t>קונטרס קידושא רבא</t>
  </si>
  <si>
    <t>קונטרס קידושי אשה</t>
  </si>
  <si>
    <t>קופלמן, יצחק דב</t>
  </si>
  <si>
    <t>קונטרס קיום ועדות שטרות</t>
  </si>
  <si>
    <t>קונטרס קיים מרדכי</t>
  </si>
  <si>
    <t>קונטרס קיימו וקבלו</t>
  </si>
  <si>
    <t>קונטרס קיימיה דדוד משיחא</t>
  </si>
  <si>
    <t>קונטרס קיצור הלכות בין אדם לחבירו</t>
  </si>
  <si>
    <t>כולל אברכים רחובות &lt;ישראלזון, יוסף&gt;</t>
  </si>
  <si>
    <t>קונטרס קיצור הלכות רבית והיתר עסקא</t>
  </si>
  <si>
    <t>קונטרס קל וחומר דמשה</t>
  </si>
  <si>
    <t>קונטרס קלעי החצר - 4 כר'</t>
  </si>
  <si>
    <t>זופניק, מנחם שלמה הכהן</t>
  </si>
  <si>
    <t>פאסיק</t>
  </si>
  <si>
    <t>קונטרס קם תחתיו</t>
  </si>
  <si>
    <t>אדלר, רפאל מרדכי בן נתן</t>
  </si>
  <si>
    <t>קונטרס קן צפור</t>
  </si>
  <si>
    <t>שוורץ, דן</t>
  </si>
  <si>
    <t>קונטרס קנה לך חבר - 2 כר'</t>
  </si>
  <si>
    <t>קונטרס קנייני תורה</t>
  </si>
  <si>
    <t>קונטרס קנין דעת</t>
  </si>
  <si>
    <t>קונטרס קנין כספו</t>
  </si>
  <si>
    <t>תשסו</t>
  </si>
  <si>
    <t>קונטרס קנין סודר</t>
  </si>
  <si>
    <t>קונטרס קנין שמחה - קידושין וגיטין</t>
  </si>
  <si>
    <t>גולדשמידט שמחה בן דניאל יהושע</t>
  </si>
  <si>
    <t>קונטרס קנין תורה</t>
  </si>
  <si>
    <t>אלישיב, יוסף שלום</t>
  </si>
  <si>
    <t>בני החבורה דישיבת יד אהרן</t>
  </si>
  <si>
    <t>קונטרס קניני הדעת - א</t>
  </si>
  <si>
    <t>קונטרס קניני התורה</t>
  </si>
  <si>
    <t>קונטרס קניני תורה - 2 כר'</t>
  </si>
  <si>
    <t>קונטרס קרבן שמואל</t>
  </si>
  <si>
    <t>פילץ, חיים יעקב</t>
  </si>
  <si>
    <t>קונטרס קריאה ברורה</t>
  </si>
  <si>
    <t>קונטרס קרן עור פניו - 2 כר'</t>
  </si>
  <si>
    <t>ויטמן, בערל אברהם הלוי</t>
  </si>
  <si>
    <t>קונטרס קשר של קיימא</t>
  </si>
  <si>
    <t>?</t>
  </si>
  <si>
    <t>קונטרס קשר תפלין</t>
  </si>
  <si>
    <t>קונטרס ר' חיים יונה &lt;דפו"ר&gt;</t>
  </si>
  <si>
    <t>פרנקל-תאומים, חיים יונה בן יחזקיה יהושע פייבל</t>
  </si>
  <si>
    <t>[תפ"ג,</t>
  </si>
  <si>
    <t>יעסניץ,</t>
  </si>
  <si>
    <t>קונטרס ר' חיים יונה &lt;מהדו"ח&gt;</t>
  </si>
  <si>
    <t>קונטרס ר' חיים יונה</t>
  </si>
  <si>
    <t>קונטרס ראיתי בני עליה</t>
  </si>
  <si>
    <t>ועדים מכולל הר"ן</t>
  </si>
  <si>
    <t>קונטרס ראש השנה</t>
  </si>
  <si>
    <t>קונטרס ראש פנה</t>
  </si>
  <si>
    <t>קובץ דחסידי סלאנים "באר אברהם"</t>
  </si>
  <si>
    <t>קונטרס ראשונים כמלאכים</t>
  </si>
  <si>
    <t>קונטרס ראשי בשמים - 6 כר'</t>
  </si>
  <si>
    <t>מאיר, אשר בן מיכאל יצחק</t>
  </si>
  <si>
    <t>קונטרס ראשית בכורי</t>
  </si>
  <si>
    <t>הלכה ומנהג, מועדי ישראל, משנה</t>
  </si>
  <si>
    <t>קונטרס ראשית דגנך</t>
  </si>
  <si>
    <t>קונטרס רבי זעקל בשם החתם סופר</t>
  </si>
  <si>
    <t>סופר, משה בן שמואל - פולק, זעקל סג"ל</t>
  </si>
  <si>
    <t>קונטרס רבית דברים</t>
  </si>
  <si>
    <t>קונטרס רוב דגן</t>
  </si>
  <si>
    <t>דגן, ישי בן אשר</t>
  </si>
  <si>
    <t>קונטרס רוני בלילה - 5 כר'</t>
  </si>
  <si>
    <t>קונטרס רופא ורפואה במקורות חז"ל</t>
  </si>
  <si>
    <t>קונטרס רחל באה עם הצאן</t>
  </si>
  <si>
    <t>קונטרס רחמנא אמר תקעו</t>
  </si>
  <si>
    <t>קונטרס רחמנא ליבא בעי</t>
  </si>
  <si>
    <t>קונטרס רחשי לב</t>
  </si>
  <si>
    <t>קונטרס רי"ח טוב</t>
  </si>
  <si>
    <t>קונטרס ריבוע העיר</t>
  </si>
  <si>
    <t>פרקש, מנחם בן יוסף יחיאל</t>
  </si>
  <si>
    <t>קונטרס רינת יצחק</t>
  </si>
  <si>
    <t>אספני, יצחק</t>
  </si>
  <si>
    <t>קונטרס רינת שמואל</t>
  </si>
  <si>
    <t>קונטרס רכב אש</t>
  </si>
  <si>
    <t>קונטרס רמוני זהב</t>
  </si>
  <si>
    <t>קונטרס רמוני תכלת</t>
  </si>
  <si>
    <t>קונטרס רנה וישועה</t>
  </si>
  <si>
    <t>קונטרס רני ושמחי</t>
  </si>
  <si>
    <t>קונטרס רסיסי טל</t>
  </si>
  <si>
    <t>גליק, שמואל</t>
  </si>
  <si>
    <t>קונטרס רפואת המחשבה כיצד</t>
  </si>
  <si>
    <t>קונטרס רצוף אהבה</t>
  </si>
  <si>
    <t>קונטרס רקמת שש - 2 כר'</t>
  </si>
  <si>
    <t>קונטרס רשב"י לשיטתו</t>
  </si>
  <si>
    <t>אקער,מרדכי שלמה</t>
  </si>
  <si>
    <t>קונטרס רשויות השבת</t>
  </si>
  <si>
    <t>לינזר, מרדכי שמואל זנוועל</t>
  </si>
  <si>
    <t>קונטרס רשימות במסילת ישרים</t>
  </si>
  <si>
    <t>קונטרס רשמי קודש</t>
  </si>
  <si>
    <t>המחנה החרדי</t>
  </si>
  <si>
    <t>קונטרס ש"ם תפארת</t>
  </si>
  <si>
    <t>בית מדרש בעל שם טוב (ערלוי)</t>
  </si>
  <si>
    <t>קונטרס שאו מנחה</t>
  </si>
  <si>
    <t>קונטרס שאלות בהלכות סת"ם</t>
  </si>
  <si>
    <t>מכון משמרת סת"ם</t>
  </si>
  <si>
    <t>קונטרס שאלות ותשובות על הספר מקדש מעט</t>
  </si>
  <si>
    <t>קונטרס שאלות מצויות ליולדת בשבת וביו"ט</t>
  </si>
  <si>
    <t>קונטרס שאלת חיים - מצוות השבת</t>
  </si>
  <si>
    <t>שטרנבוך, אליהו חיים בן אברהם</t>
  </si>
  <si>
    <t>קונטרס שארית חיים</t>
  </si>
  <si>
    <t>קונטרס שבועות תשי"ב</t>
  </si>
  <si>
    <t>קונטרס שבועות</t>
  </si>
  <si>
    <t>קונטרס שבות יעקב</t>
  </si>
  <si>
    <t>קונטרס שבות יעקב - א</t>
  </si>
  <si>
    <t>קונטרס שבח והודאה</t>
  </si>
  <si>
    <t>קונטרס שבט אשר</t>
  </si>
  <si>
    <t>שולמן, אשר מאיר</t>
  </si>
  <si>
    <t>קונטרס שבט מיהודה - 16 כר'</t>
  </si>
  <si>
    <t>קונטרס שביבי המועדים</t>
  </si>
  <si>
    <t>כ"ץ חיים משה</t>
  </si>
  <si>
    <t>קונטרס שבילי הקבוע</t>
  </si>
  <si>
    <t>קונטרס שבילי הרקיע</t>
  </si>
  <si>
    <t>בן אברהם, דוד</t>
  </si>
  <si>
    <t>קונטרס שבע ביום הללתיך</t>
  </si>
  <si>
    <t>קונטרס שבע ברכות</t>
  </si>
  <si>
    <t>קפלן, ניסן שלמה הכהן</t>
  </si>
  <si>
    <t>קונטרס שבע הקפות</t>
  </si>
  <si>
    <t>ישיבת השלום ירושלים</t>
  </si>
  <si>
    <t>קונטרס שבע מצוות בני נח</t>
  </si>
  <si>
    <t>קונטרס שבע ספיקות בענייני ברכות - 2 כר'</t>
  </si>
  <si>
    <t>קונטרס שבעים פנים לתורה</t>
  </si>
  <si>
    <t>דושינסקי, יוסף צבי</t>
  </si>
  <si>
    <t>קונטרס שבת אחים</t>
  </si>
  <si>
    <t>ליקוט מדברי רבותינו</t>
  </si>
  <si>
    <t>קונטרס שבת לה'</t>
  </si>
  <si>
    <t>קונטרס שבת לפני החתונה ועליה לתורה</t>
  </si>
  <si>
    <t>קונטרס שבת מלכתא</t>
  </si>
  <si>
    <t>קונטרס שבת של מי</t>
  </si>
  <si>
    <t>יהודי, יגאל - בר שלום, אסף</t>
  </si>
  <si>
    <t>קונטרס שבתי בבית ה'</t>
  </si>
  <si>
    <t>קונטרס שגיאות מי יבין - 2 כר'</t>
  </si>
  <si>
    <t>קונטרס שדה כובס - כיבוס מי חטאת</t>
  </si>
  <si>
    <t>קונטרס שהשמחה במעונו</t>
  </si>
  <si>
    <t>ויסבורד, מנחם מנדל בן שמואל</t>
  </si>
  <si>
    <t>חברת יגדיל תורה - בעלזא</t>
  </si>
  <si>
    <t>קונטרס שו"ע עם מקורות הדינים וקיצור משנ"ב - הלכות פורים</t>
  </si>
  <si>
    <t>קונטרס שו"ת ישרים</t>
  </si>
  <si>
    <t>טבקה, חיים</t>
  </si>
  <si>
    <t>קונטרס שו"ת עזרת אליעזר - 7 כר'</t>
  </si>
  <si>
    <t>קונטרס שואל כענין - גיטין פ"א</t>
  </si>
  <si>
    <t>שהרוז, דוד</t>
  </si>
  <si>
    <t>קונטרס שוב אשוב</t>
  </si>
  <si>
    <t>קונטרס שובה ישראל - 2 כר'</t>
  </si>
  <si>
    <t>קונטרס שובה ישראל</t>
  </si>
  <si>
    <t>קונטרס שובו בנים שובבים</t>
  </si>
  <si>
    <t>קונטרס שובו בנים</t>
  </si>
  <si>
    <t>קונטרס שובו והשיבו</t>
  </si>
  <si>
    <t>גרינברג, ?</t>
  </si>
  <si>
    <t>קונטרס שובע שמחות - כי תשא, ויקהל, פקודי</t>
  </si>
  <si>
    <t>קונטרס שוכר ונשכר</t>
  </si>
  <si>
    <t>קונטרס שולחן ערוך כהלכה - בשר בחלב</t>
  </si>
  <si>
    <t>קונטרס שום בצל וביצה</t>
  </si>
  <si>
    <t>זיידמן, נתן שלום</t>
  </si>
  <si>
    <t>קונטרס שומע כעונה</t>
  </si>
  <si>
    <t>קונטרס שומר טהרה</t>
  </si>
  <si>
    <t>קונטרס שומרי משפט</t>
  </si>
  <si>
    <t>קונטרס שונה הלכות</t>
  </si>
  <si>
    <t>קונטרס שופר של משיח</t>
  </si>
  <si>
    <t>יסודות מתורתו של בעל הסולם זי"ע</t>
  </si>
  <si>
    <t>קונטרס שופרא דשטרא</t>
  </si>
  <si>
    <t>וינברג, דוד אליהו</t>
  </si>
  <si>
    <t>קונטרס שופריה דיוסף</t>
  </si>
  <si>
    <t>רווח, יוסף חיים (עליו)</t>
  </si>
  <si>
    <t>קונטרס שושן פורים</t>
  </si>
  <si>
    <t>נייהויז, דוד</t>
  </si>
  <si>
    <t>קונטרס שושנת העמקים</t>
  </si>
  <si>
    <t>לזכר הרבנית שושנה זילברשטיין</t>
  </si>
  <si>
    <t>קונטרס שושנת יעקב - 2 כר'</t>
  </si>
  <si>
    <t>רפפורט, יעקב מרדכי בן אברהם</t>
  </si>
  <si>
    <t>קונטרס שטר התנאים</t>
  </si>
  <si>
    <t>הכהן, איתן בן אליהו</t>
  </si>
  <si>
    <t>קונטרס שי למועדים - פסח</t>
  </si>
  <si>
    <t>קונטרס שי למורא - קידושין</t>
  </si>
  <si>
    <t>קונטרס שי"ח הפסח</t>
  </si>
  <si>
    <t>שוירץ, חיים יצחק</t>
  </si>
  <si>
    <t>קונטרס שיגרא דלישנא &lt;ביטוי השגור&gt;</t>
  </si>
  <si>
    <t>קונטרס שיח אפריון</t>
  </si>
  <si>
    <t>קונטרס שיח הפרשה - במדבר א</t>
  </si>
  <si>
    <t>קונטרס שיח יעקב</t>
  </si>
  <si>
    <t>בקר, יעקב אליעזר</t>
  </si>
  <si>
    <t>קונטרס שיח שבת</t>
  </si>
  <si>
    <t>קונטרס שיח שפתים</t>
  </si>
  <si>
    <t>טורק, אליעזר בן משה הלוי</t>
  </si>
  <si>
    <t>קונטרס שיח שרפי קודש</t>
  </si>
  <si>
    <t>ווינטרוב, ישראל אליהו</t>
  </si>
  <si>
    <t>קונטרס שיחות קודש</t>
  </si>
  <si>
    <t>קונטרס שיחות</t>
  </si>
  <si>
    <t>קונטרס שיחת הילדים</t>
  </si>
  <si>
    <t>קונטרס שיחת עבדי אבות</t>
  </si>
  <si>
    <t>אקער, מרדכי שלמה</t>
  </si>
  <si>
    <t>קונטרס שיחת תלמידים</t>
  </si>
  <si>
    <t>לזכרו של רבי יחזקאל לוונשטיין</t>
  </si>
  <si>
    <t>קונטרס שיטות הראשונים בענין שמיטה בזה"ז</t>
  </si>
  <si>
    <t>קונטרס שיירי מצוה</t>
  </si>
  <si>
    <t>אפלבוים, משה בן שמואל</t>
  </si>
  <si>
    <t>קונטרס שימוש חכמים</t>
  </si>
  <si>
    <t>קונטרס שינון הוראה</t>
  </si>
  <si>
    <t>קונטרס שיעור השיעורים</t>
  </si>
  <si>
    <t>קונטרס שיעורי איזהו נשך</t>
  </si>
  <si>
    <t>דזימיטרובסקי, יחיאל מיכל</t>
  </si>
  <si>
    <t>קונטרס שיעורי בבא מציעא</t>
  </si>
  <si>
    <t>קונטרס שיעורי הגרב"ד - שטרות</t>
  </si>
  <si>
    <t>קונטרס שיעורי טלית קטן</t>
  </si>
  <si>
    <t>גולדשטיין, יעקב צבי</t>
  </si>
  <si>
    <t>קונטרס שיעורי מכות</t>
  </si>
  <si>
    <t>קונטרס שיעורי סנהדרין</t>
  </si>
  <si>
    <t>קונטרס שיעורי ר' שמעון - ב"מ פ"א</t>
  </si>
  <si>
    <t>זיאת, שמעון</t>
  </si>
  <si>
    <t>קונטרס שיעורי רבי משה זאב איתן שליט"א</t>
  </si>
  <si>
    <t>קונטרס שיעורי רבנו ראש הישיבה - קידושין פ"ק</t>
  </si>
  <si>
    <t>קונטרס שיעורים בבבא קמא - (ארבעה אבות, כיצד הרגל, מרובה)</t>
  </si>
  <si>
    <t>קונטרס שיעורים בגיטין (המביא גט קמא)</t>
  </si>
  <si>
    <t>קונטרס שיעורים בגיטין (כל הגט, השולח)</t>
  </si>
  <si>
    <t>קונטרס שיעורים בהלכות טהרה</t>
  </si>
  <si>
    <t>קונטרס שיעורים בית אהרן</t>
  </si>
  <si>
    <t>קונטרס שיעורים במסכת קידושין</t>
  </si>
  <si>
    <t>קונטרס שיעורים בסנהדרין (בן סורר, הנשרפין)</t>
  </si>
  <si>
    <t>קונטרס שיעורים בפרק בן סורר ומורה</t>
  </si>
  <si>
    <t>קונטרס שיעורים - 6 כר'</t>
  </si>
  <si>
    <t>קונטרס שיעורים - 4 כר'</t>
  </si>
  <si>
    <t>הישיבה הגדולה דחסידי גור חיפה</t>
  </si>
  <si>
    <t>קונטרס שיעורים - בבא קמא, גיטין</t>
  </si>
  <si>
    <t>ישיבת באר יצחק</t>
  </si>
  <si>
    <t>קונטרס שיעורים - ב"ב</t>
  </si>
  <si>
    <t>קונטרס שיעורים - בבא קמא</t>
  </si>
  <si>
    <t>קונטרס שיר ותודה</t>
  </si>
  <si>
    <t>הומינר, ישראל מאיר</t>
  </si>
  <si>
    <t>קונטרס שירה חדשה - 2 כר'</t>
  </si>
  <si>
    <t>קונטרס שירו למלך</t>
  </si>
  <si>
    <t>קונטרס שירת דבורה  על שמונה פרקים לרמב"ם</t>
  </si>
  <si>
    <t>קאהן, אברהם יצחק בן שמעון אשר</t>
  </si>
  <si>
    <t>קונטרס שירת דוד בענייני ספר תורה</t>
  </si>
  <si>
    <t>קונטרס שירת דוד</t>
  </si>
  <si>
    <t>קונטרס שירת דודי</t>
  </si>
  <si>
    <t>קונטרס שירת האזינו עם ביאור שירת הגפן</t>
  </si>
  <si>
    <t>קאליש, מנחם</t>
  </si>
  <si>
    <t>קונטרס שירת הים - 7 כר'</t>
  </si>
  <si>
    <t>מרצבך, הלל יעקב</t>
  </si>
  <si>
    <t>קונטרס שירת הלוי</t>
  </si>
  <si>
    <t>שולזינגר, משה מרדכי בן יצחק הלוי - שטיבל, מנחם</t>
  </si>
  <si>
    <t>קונטרס שירת המועדים - חנוכה</t>
  </si>
  <si>
    <t>קונטרס שירת יהודה - 2 כר'</t>
  </si>
  <si>
    <t>קונטרס שירת ינון</t>
  </si>
  <si>
    <t>קונטרס שירת מרים</t>
  </si>
  <si>
    <t>קונטרס שכן טוב</t>
  </si>
  <si>
    <t>קונטרס שכר לפעולתך - סוכות</t>
  </si>
  <si>
    <t>קונטרס של ברכה</t>
  </si>
  <si>
    <t>משפחות שטיינברגר יוסף</t>
  </si>
  <si>
    <t>קונטרס של עדת ישראל החרדית בא"י</t>
  </si>
  <si>
    <t>עדת ישראל החרדית בארץ ישראל</t>
  </si>
  <si>
    <t>קונטרס שלהבת התורה - 3 כר'</t>
  </si>
  <si>
    <t>לוין, שלמה זלמן בן חנניה</t>
  </si>
  <si>
    <t>קונטרס שלום אהלך</t>
  </si>
  <si>
    <t>קונטרס שלום ישראל</t>
  </si>
  <si>
    <t>קונטרס שלום על ישראל</t>
  </si>
  <si>
    <t>קונטרס שלחן עורך - כתובות, גיטין</t>
  </si>
  <si>
    <t>קמחי, אברהם בן משה</t>
  </si>
  <si>
    <t>קונטרס שלמי הזמן</t>
  </si>
  <si>
    <t>קונטרס שלמי חיים</t>
  </si>
  <si>
    <t>מלין, חיים</t>
  </si>
  <si>
    <t>קונטרס שלמי יוסף - 2 כר'</t>
  </si>
  <si>
    <t>גליק, יוסף בן אברהם</t>
  </si>
  <si>
    <t>קונטרס שלמי יוסף</t>
  </si>
  <si>
    <t>קונטרס שלמי משה - 7 כר'</t>
  </si>
  <si>
    <t>שבות, משה</t>
  </si>
  <si>
    <t>מקסיכו</t>
  </si>
  <si>
    <t>קונטרס שלמי ציבור</t>
  </si>
  <si>
    <t>קונטרס שלמי שמחה</t>
  </si>
  <si>
    <t>אולמן, שלמה זלמן - אולמן שמחה</t>
  </si>
  <si>
    <t>קונטרס שלמי תודה - ירידת המן, לחם משנה, זורע בשבת</t>
  </si>
  <si>
    <t>קונטרס שלמים מציון</t>
  </si>
  <si>
    <t>קונטרס שם כתוב - 3 כר'</t>
  </si>
  <si>
    <t>לקט תשובות ראשונים ואחרונים</t>
  </si>
  <si>
    <t>קונטרס שם שאול</t>
  </si>
  <si>
    <t>קונטרס שמונה תשובות</t>
  </si>
  <si>
    <t>קונטרס שמות בארץ</t>
  </si>
  <si>
    <t>קונטרס שמח תשמח</t>
  </si>
  <si>
    <t>קונטרס שמחה לאיש</t>
  </si>
  <si>
    <t>הדאיה, רפאל</t>
  </si>
  <si>
    <t>קונטרס שמחת אליהו בעניני שלום בית</t>
  </si>
  <si>
    <t>דויטש, שמחה הכהן בן אליהו</t>
  </si>
  <si>
    <t>קונטרס שמחת דוד</t>
  </si>
  <si>
    <t>בן גרשון, מיכאל יעקב הלוי</t>
  </si>
  <si>
    <t>קונטרס שמחת הבר מצוה של אי"ש ויספיש</t>
  </si>
  <si>
    <t>וויספיש, אברהם ישעיהו</t>
  </si>
  <si>
    <t>קונטרס שמחת הלב - 2 כר'</t>
  </si>
  <si>
    <t>זכאי, דוד יצחק</t>
  </si>
  <si>
    <t>קונטרס שמחת יונתן</t>
  </si>
  <si>
    <t>כהן, יונתן יעקב</t>
  </si>
  <si>
    <t>קונטרס שמחת לב</t>
  </si>
  <si>
    <t>קונטרס שמחת מנחם</t>
  </si>
  <si>
    <t>קמפה, יעקב ישראל בן אורי דוד</t>
  </si>
  <si>
    <t>קונטרס שמחת מרדכי</t>
  </si>
  <si>
    <t>קונטרס שמחת משה וסדר זמירות לשבת קודש</t>
  </si>
  <si>
    <t>קונטרס שמחת שלום</t>
  </si>
  <si>
    <t>קונטרס שמחת שלום - א</t>
  </si>
  <si>
    <t>וקס, שלום בן רפאל יוסף</t>
  </si>
  <si>
    <t>קונטרס שמיטה כמצוותה - 3 כר'</t>
  </si>
  <si>
    <t>קונטרס שמיטת כספים ופרוזבול</t>
  </si>
  <si>
    <t>איגוד בני תורה אשקלון</t>
  </si>
  <si>
    <t>קונטרס שמירת דבורים</t>
  </si>
  <si>
    <t>הוניגסברג, ישראל יצחק</t>
  </si>
  <si>
    <t>קונטרס שמירת הלשון - 3 כר'</t>
  </si>
  <si>
    <t>קובץ - כולל שמירת הלשון</t>
  </si>
  <si>
    <t>קונטרס שמירת הלשון</t>
  </si>
  <si>
    <t>קובץ - לייקווד</t>
  </si>
  <si>
    <t>קונטרס שמירת השבת - בסיס לדבר האסור</t>
  </si>
  <si>
    <t>גורגוב, מרדכי</t>
  </si>
  <si>
    <t>קונטרס שמירת שביעית כהלכתה</t>
  </si>
  <si>
    <t>קונטרס שמירת שבת - הלכה סדורה</t>
  </si>
  <si>
    <t>קונטרס שמן המור</t>
  </si>
  <si>
    <t>קונטרס שמן למאור</t>
  </si>
  <si>
    <t>קונטרס שמע אפרים</t>
  </si>
  <si>
    <t>הרשקוביץ, אפרים פישל</t>
  </si>
  <si>
    <t>קונטרס שמע ישראל - ט</t>
  </si>
  <si>
    <t>גרליץ, ישראל בן משה שמעון</t>
  </si>
  <si>
    <t>קונטרס שמע שלמה</t>
  </si>
  <si>
    <t>רוהלד, שלמה בן שמואל הלוי</t>
  </si>
  <si>
    <t>קונטרס שמעתא דמציעתא</t>
  </si>
  <si>
    <t>קונטרס שמעתא דספק ספיקא</t>
  </si>
  <si>
    <t>פרוסקין, נחום שלמה</t>
  </si>
  <si>
    <t>קונטרס שמעתתא דגזילה</t>
  </si>
  <si>
    <t>קונטרס שמעתתא דכתובות ומכות</t>
  </si>
  <si>
    <t>קונטרס שמעתתא דמגילה</t>
  </si>
  <si>
    <t>קונטרס שמעתתא דמזוזה</t>
  </si>
  <si>
    <t>קונטרס שמש ינון - 2 כר'</t>
  </si>
  <si>
    <t>ניסן, ינון יוסף אליה</t>
  </si>
  <si>
    <t>קונטרס שמש צדקה</t>
  </si>
  <si>
    <t>קונטרס שנות חיים</t>
  </si>
  <si>
    <t>קונטרס שני שבילין</t>
  </si>
  <si>
    <t>קונטרס שני שרי קדש</t>
  </si>
  <si>
    <t>הלברשטט, יצחק בן מיכאל זאב הכהן</t>
  </si>
  <si>
    <t>קונטרס שנת העיבור</t>
  </si>
  <si>
    <t>עקשטי, אליעזר שמעון</t>
  </si>
  <si>
    <t>קונטרס שנת השבע</t>
  </si>
  <si>
    <t>מזרחי, אורן</t>
  </si>
  <si>
    <t>קונטרס שנת השמיטה</t>
  </si>
  <si>
    <t>קונטרס שעוני מים בשבת</t>
  </si>
  <si>
    <t>קונטרס שעיר המשתלח</t>
  </si>
  <si>
    <t>סופר שרייבר, יוסף יצחק בן יהושע דוד</t>
  </si>
  <si>
    <t>קונטרס שער בת רבים</t>
  </si>
  <si>
    <t>קונטרס שער הבחינה</t>
  </si>
  <si>
    <t>קונטרס שער המים</t>
  </si>
  <si>
    <t>זכותא, חיים</t>
  </si>
  <si>
    <t>קונטרס שער הנו"ן</t>
  </si>
  <si>
    <t>קונטרס שער התפלות</t>
  </si>
  <si>
    <t>קונטרס שער יוסף</t>
  </si>
  <si>
    <t>אביטבול, יוסף</t>
  </si>
  <si>
    <t>קונטרס שערי אונאה</t>
  </si>
  <si>
    <t>קונטרס שערי החן</t>
  </si>
  <si>
    <t>כהן, טל נתנאל</t>
  </si>
  <si>
    <t>קונטרס שערי החצר</t>
  </si>
  <si>
    <t>יעקבזון, יוסף שלמה בן שמואל מנחם</t>
  </si>
  <si>
    <t>קונטרס שערי הילולים</t>
  </si>
  <si>
    <t>קונטרס שערי הישיבה</t>
  </si>
  <si>
    <t>קונטרס שערי חזקה</t>
  </si>
  <si>
    <t>אמרגי, אליהו בן יעקב</t>
  </si>
  <si>
    <t>קונטרס שערי טהרה</t>
  </si>
  <si>
    <t>מרילס, אברהם מאיר</t>
  </si>
  <si>
    <t>קונטרס שערי לימוד</t>
  </si>
  <si>
    <t>קונטרס שערי נחמה אהל שרה</t>
  </si>
  <si>
    <t>קונטרס שערי סוגיות - 6 כר'</t>
  </si>
  <si>
    <t>אפנג'ר, מיכאל בן יצחק</t>
  </si>
  <si>
    <t>קונטרס שערי עזרא</t>
  </si>
  <si>
    <t>עטייה, עזרא</t>
  </si>
  <si>
    <t>קונטרס שערי עיון - 2 כר'</t>
  </si>
  <si>
    <t>שולביץ, מאיר</t>
  </si>
  <si>
    <t>קונטרס שערי צבי - סוטה</t>
  </si>
  <si>
    <t>קונטרס שערי צדק - 2 כר'</t>
  </si>
  <si>
    <t>ערלאנגער, יהודה יחיאל ליוא</t>
  </si>
  <si>
    <t>קונטרס שערי צדק</t>
  </si>
  <si>
    <t>קונטרס שערי ציון</t>
  </si>
  <si>
    <t>אוהב ציון, עזרי בן דוד</t>
  </si>
  <si>
    <t>ישיבת ראשון לציון</t>
  </si>
  <si>
    <t>קונטרס שערי שבועות</t>
  </si>
  <si>
    <t>ישיבה גדולה דחסידי טשערנאביל</t>
  </si>
  <si>
    <t>קונטרס שערי שיח</t>
  </si>
  <si>
    <t>קנייבסקי, שמריהו יוסף חיים בן יעקב ישראל - שמש, עוזיאל</t>
  </si>
  <si>
    <t>שלחן ערוך ומפרשיו, תלמוד בבלי, תלמוד בבלי, תנ"ך, תנ"ך</t>
  </si>
  <si>
    <t>קונטרס שערי שמחה</t>
  </si>
  <si>
    <t>קונטרס שערים המצוינים בהלכה - 4 כר'</t>
  </si>
  <si>
    <t>קונטרס שעשועי אפרים - 4 כר'</t>
  </si>
  <si>
    <t>מעטה, אפרים</t>
  </si>
  <si>
    <t>קונטרס שעשועי שמואל</t>
  </si>
  <si>
    <t>צוקר, שמואל יצחק</t>
  </si>
  <si>
    <t>קונטרס שפה ברורה</t>
  </si>
  <si>
    <t>מוצרי, יוסף</t>
  </si>
  <si>
    <t>קונטרס שפתי חיים</t>
  </si>
  <si>
    <t>קונטרס שפתי רננות</t>
  </si>
  <si>
    <t>קונטרס שפתיים ישק - א</t>
  </si>
  <si>
    <t>קובץ ישיבת מערבא</t>
  </si>
  <si>
    <t>קונטרס שקל הקודש</t>
  </si>
  <si>
    <t>חדד, חזקיה</t>
  </si>
  <si>
    <t>קונטרס שקלי הקודש</t>
  </si>
  <si>
    <t>קונטרס שרשי הנהגת הספיקות</t>
  </si>
  <si>
    <t>קונטרס שרשים בהכשר כלים</t>
  </si>
  <si>
    <t>קונטרס שרשים בהלכות הוצאה</t>
  </si>
  <si>
    <t>קונטרס שרתי במדינות - פירוש ר"י אלמדרי לפרק אין מעמידין</t>
  </si>
  <si>
    <t>אלמדארי, יהודה</t>
  </si>
  <si>
    <t>קונטרס שש מצוות תמידיות</t>
  </si>
  <si>
    <t>קונטרס שש משזר</t>
  </si>
  <si>
    <t>הלכה ומנהג, מועדי ישראל, קבצים וכתבי עת, ספרי זכרון ויובל, שאלות ותשובות, שאלות ותשובות</t>
  </si>
  <si>
    <t>קונטרס ששון המועד - ר"ה ויוה"כ</t>
  </si>
  <si>
    <t>קונטרס ששון ויקר - בענייני מחיית עמלק ופורים</t>
  </si>
  <si>
    <t>קונטרס ששים ריבוא</t>
  </si>
  <si>
    <t>קונטרס שתי אותיות בשבת והמסתעף</t>
  </si>
  <si>
    <t>קונטרס שתיה והנאה ממי הכנרת בפסח</t>
  </si>
  <si>
    <t>קונטרס תא שמע - 9 כר'</t>
  </si>
  <si>
    <t>קונטרס תא שמע</t>
  </si>
  <si>
    <t>חזן, דוד</t>
  </si>
  <si>
    <t>קונטרס תגא דאורייתא &lt;בעניני ספר תורה&gt;</t>
  </si>
  <si>
    <t>קונטרס תגלחת מצוה</t>
  </si>
  <si>
    <t>קונטרס תדיר בתפילה</t>
  </si>
  <si>
    <t>גרוס, משה יהודה</t>
  </si>
  <si>
    <t>קונטרס תהילת שמואל</t>
  </si>
  <si>
    <t>קונטרס תהלה לדוד</t>
  </si>
  <si>
    <t>סבג, יגאל</t>
  </si>
  <si>
    <t>קונטרס תודה</t>
  </si>
  <si>
    <t>קונטרס תוכחות מוסר</t>
  </si>
  <si>
    <t>הייזלר, יעקב יצחק</t>
  </si>
  <si>
    <t>קונטרס תולדות אדם</t>
  </si>
  <si>
    <t>אצראף, אליהו - אצראף, שלמה</t>
  </si>
  <si>
    <t>קונטרס תולדות האור</t>
  </si>
  <si>
    <t>קונטרס תולדות חמדת שלמה</t>
  </si>
  <si>
    <t>קונטרס תולדות יעקב</t>
  </si>
  <si>
    <t>ישיבת תולדות יעקב פאפא</t>
  </si>
  <si>
    <t>קונטרס תולדות יצחק</t>
  </si>
  <si>
    <t>שולזינגר, בצלאל בן משה מרדכי</t>
  </si>
  <si>
    <t>קונטרס תולדות צבי - עבודה זרה</t>
  </si>
  <si>
    <t>ישיבת נר יעקב</t>
  </si>
  <si>
    <t>קונטרס תולדות שמש</t>
  </si>
  <si>
    <t>ורשנר, שמואל בן משה</t>
  </si>
  <si>
    <t>קונטרס תומת ישרים</t>
  </si>
  <si>
    <t>שולביץ, ישראל</t>
  </si>
  <si>
    <t>קונטרס תוספת קדושה</t>
  </si>
  <si>
    <t>קונטרס תוספת ריבית</t>
  </si>
  <si>
    <t>דרמר, חיים מרדכי</t>
  </si>
  <si>
    <t>קונטרס תוספת שביעית</t>
  </si>
  <si>
    <t>קונטרס תופסי משוטיך</t>
  </si>
  <si>
    <t>קונטרס תורה אור</t>
  </si>
  <si>
    <t>בית המוסר קרית ספר</t>
  </si>
  <si>
    <t>קונטרס תורה אור - חנוכה</t>
  </si>
  <si>
    <t>קונטרס תורה בטהרה</t>
  </si>
  <si>
    <t>קרהאן, ישראל קלמן</t>
  </si>
  <si>
    <t>קונטרס תורני</t>
  </si>
  <si>
    <t>קונטרס תורת אברהם</t>
  </si>
  <si>
    <t>קונטרס תורת אמך - 6 כר'</t>
  </si>
  <si>
    <t>קונטרס תורת הברכה</t>
  </si>
  <si>
    <t>קונטרס תורת הגלות</t>
  </si>
  <si>
    <t>קונטרס תורת הגליונות</t>
  </si>
  <si>
    <t>מנדלוביץ, ראובן בן מנחם מנדל</t>
  </si>
  <si>
    <t>קונטרס תורת הלשון - ג</t>
  </si>
  <si>
    <t>קובץ מבני הישיבות</t>
  </si>
  <si>
    <t>קונטרס תורת המגילה</t>
  </si>
  <si>
    <t>קונטרס תורת המועדים</t>
  </si>
  <si>
    <t>קונטרס תורת המנחה</t>
  </si>
  <si>
    <t>קונטרס תורת המציאה</t>
  </si>
  <si>
    <t>קונטרס תורת הנהנה</t>
  </si>
  <si>
    <t>קונטרס תורת הנקוד</t>
  </si>
  <si>
    <t>ילון, חנוך בן אברהם צבי</t>
  </si>
  <si>
    <t>קונטרס תורת הסוכה</t>
  </si>
  <si>
    <t>קונטרס תורת הפסח</t>
  </si>
  <si>
    <t>קונטרס תורת הקבלה</t>
  </si>
  <si>
    <t>קונטרס תורת הקדשים</t>
  </si>
  <si>
    <t>קונטרס תורת הרבית</t>
  </si>
  <si>
    <t>קונטרס תורת השלחן</t>
  </si>
  <si>
    <t>מלכיאלי, מיכאל בן שמואל</t>
  </si>
  <si>
    <t>קונטרס תורת חיים</t>
  </si>
  <si>
    <t>גולשטיין, חיים</t>
  </si>
  <si>
    <t>קונטרס תורת ישראל - מיגו</t>
  </si>
  <si>
    <t>וולפין, ישראל</t>
  </si>
  <si>
    <t>קונטרס תורת פיך</t>
  </si>
  <si>
    <t>בלומנטל, אברהם יוסף הלוי</t>
  </si>
  <si>
    <t>קונטרס תורת רפאל - 2 כר'</t>
  </si>
  <si>
    <t>קונטרס תורתו מגן לנו</t>
  </si>
  <si>
    <t>קונטרס תורתך שעשועי</t>
  </si>
  <si>
    <t>קונטרס תושיע בנים</t>
  </si>
  <si>
    <t>קונטרס תחבולות מלחמה</t>
  </si>
  <si>
    <t>קונטרס תיבת נח</t>
  </si>
  <si>
    <t>קונטרס תיקון גדול מאד</t>
  </si>
  <si>
    <t>קונטרס תיקון המבוי</t>
  </si>
  <si>
    <t>קונטרס תיקון העיר</t>
  </si>
  <si>
    <t>קונטרס תיקון מבואות</t>
  </si>
  <si>
    <t>חבר אברכים</t>
  </si>
  <si>
    <t>קונטרס תיקוני שבת כהלכתו</t>
  </si>
  <si>
    <t>ברנד, יצחק</t>
  </si>
  <si>
    <t>קונטרס תכלת מרדכי</t>
  </si>
  <si>
    <t>קונטרס תכלתא דחלזון</t>
  </si>
  <si>
    <t>קונטרס תכנית הבית</t>
  </si>
  <si>
    <t>דנציגר, יהודה משה</t>
  </si>
  <si>
    <t>קונטרס תל ירמות</t>
  </si>
  <si>
    <t>קונטרס תל עולם</t>
  </si>
  <si>
    <t>קעניג, גדליהו אהרן בן נתן אפרים</t>
  </si>
  <si>
    <t>קונטרס תליה במכה</t>
  </si>
  <si>
    <t>כולל חסידי רחמיסטריווקה</t>
  </si>
  <si>
    <t>קונטרס תלמוד תורה</t>
  </si>
  <si>
    <t>קונטרס תלמודו בידו</t>
  </si>
  <si>
    <t>שחר, חיים אמציה</t>
  </si>
  <si>
    <t>קונטרס תמידים כסדרם - תמיד</t>
  </si>
  <si>
    <t>אלקיים, יעקב</t>
  </si>
  <si>
    <t>קונטרס תמנת חרס</t>
  </si>
  <si>
    <t>קונטרס תנאי בדבר שבממון</t>
  </si>
  <si>
    <t>קונטרס תנה הודך על השמים</t>
  </si>
  <si>
    <t>לבקוביץ, אברהם ישראל בן דוד דב</t>
  </si>
  <si>
    <t>קונטרס תנובות שחר</t>
  </si>
  <si>
    <t>ברים, משה בן יחיאל אריה ליב</t>
  </si>
  <si>
    <t>קונטרס תפארת אברהם - כיבוד הורים</t>
  </si>
  <si>
    <t>טיזאבי, אברהם</t>
  </si>
  <si>
    <t>קונטרס תפארת בית ישראל</t>
  </si>
  <si>
    <t>כ"ץ, ברוך</t>
  </si>
  <si>
    <t>קונטרס תפארת בנים אבותם</t>
  </si>
  <si>
    <t>וואזנר, יהודה הלוי</t>
  </si>
  <si>
    <t>סקווירא</t>
  </si>
  <si>
    <t>קונטרס תפארת השבת</t>
  </si>
  <si>
    <t>קונטרס תפארת חתנים</t>
  </si>
  <si>
    <t>קונטרס תפארת יעקב</t>
  </si>
  <si>
    <t>כהן, יעקב אלירן בן דוד יששכר</t>
  </si>
  <si>
    <t>תשע"ב;</t>
  </si>
  <si>
    <t>קונטרס תפארת יצחק</t>
  </si>
  <si>
    <t>ליקוט מרבי יצחק מקאליש</t>
  </si>
  <si>
    <t>קונטרס תפארת ישראל - 2 כר'</t>
  </si>
  <si>
    <t>קובץ מכינת בית ישראל</t>
  </si>
  <si>
    <t>קונטרס תפארת ערמונים</t>
  </si>
  <si>
    <t>קונטרס תפארת צבי - 2 כר'</t>
  </si>
  <si>
    <t>קונטרס תפארת שמואל</t>
  </si>
  <si>
    <t>טוסיג, שמואל</t>
  </si>
  <si>
    <t>קונטרס תפארת ששון</t>
  </si>
  <si>
    <t>סבגי, ששון</t>
  </si>
  <si>
    <t>קונטרס תפילה בלחש</t>
  </si>
  <si>
    <t>קונטרס תפילה ורפואה</t>
  </si>
  <si>
    <t>קונטרס תפילה לדוד</t>
  </si>
  <si>
    <t>קונטרס תפילות ממוהר"ר אליעזר פאפו</t>
  </si>
  <si>
    <t>קונטרס תפילת הדרך</t>
  </si>
  <si>
    <t>שטויבר, אהרון בן ברוך</t>
  </si>
  <si>
    <t>קונטרס תפיסה ובעלות</t>
  </si>
  <si>
    <t>קונטרס תפלה בצבור</t>
  </si>
  <si>
    <t>קונטרס תפלה לדוד</t>
  </si>
  <si>
    <t>דיין, דוד חיים</t>
  </si>
  <si>
    <t>קונטרס תקון חצות</t>
  </si>
  <si>
    <t>קונטרס תקנת הרבית - 3 כר'</t>
  </si>
  <si>
    <t>לנדו, יעקב בן שריה</t>
  </si>
  <si>
    <t>קונטרס תקנת עגונות</t>
  </si>
  <si>
    <t>ברגן בלזן Bergen-Be</t>
  </si>
  <si>
    <t>קונטרס תקפו כהן</t>
  </si>
  <si>
    <t>ישיבת נתיבות חכמה</t>
  </si>
  <si>
    <t>קונטרס תר"ל</t>
  </si>
  <si>
    <t>קונטרס תרי"ג</t>
  </si>
  <si>
    <t>קונטרס תרנגולתא דאגמא</t>
  </si>
  <si>
    <t>קונטרס תרתי לריעותא</t>
  </si>
  <si>
    <t>וסטקליף און סי West</t>
  </si>
  <si>
    <t>קונטרס תשובה ותפלה בימים נוראים הקדושים</t>
  </si>
  <si>
    <t>קונטרס תשובת המשקל למשקל הדרהם</t>
  </si>
  <si>
    <t>נאה, מנחם מנדל - נאה אברהם חיים</t>
  </si>
  <si>
    <t>קונטרס תשובת השנה</t>
  </si>
  <si>
    <t>תש"י?</t>
  </si>
  <si>
    <t>קונטרס תשובת שאלה</t>
  </si>
  <si>
    <t>קונטרס תשועתם היית לנצח</t>
  </si>
  <si>
    <t>וילנסקי, אריאל מאיר</t>
  </si>
  <si>
    <t>קונטרס - המקדש וכליו</t>
  </si>
  <si>
    <t>ברגר, ח.י</t>
  </si>
  <si>
    <t>קונטרס - 4 כר'</t>
  </si>
  <si>
    <t>קונטרס - לא תהא כהנת כפונדקית</t>
  </si>
  <si>
    <t>קונטרס - כבוד בית ה'</t>
  </si>
  <si>
    <t>גרינוולד, מאיר מיכאל</t>
  </si>
  <si>
    <t>קונטרס - 2 כר'</t>
  </si>
  <si>
    <t>קונטרס - משמני אשר - אלו מציעות</t>
  </si>
  <si>
    <t>קונטרס - לישרי לב שמחה</t>
  </si>
  <si>
    <t>כהן, שמחה</t>
  </si>
  <si>
    <t>כתב עת אלקטרוני לתולדות הספר העברי</t>
  </si>
  <si>
    <t>קונטרס - 46 כר'</t>
  </si>
  <si>
    <t>קונטרס - 87 כר'</t>
  </si>
  <si>
    <t>קונטרס - 3 כר'</t>
  </si>
  <si>
    <t>שטרנגר, יוסף אלטר</t>
  </si>
  <si>
    <t>קונטרס - זהירות מלשון הרע בשידוכים</t>
  </si>
  <si>
    <t>שמש, משה בן צבי</t>
  </si>
  <si>
    <t>קונטרס - 5 כר'</t>
  </si>
  <si>
    <t>קונטרסי חסידות - 5 כר'</t>
  </si>
  <si>
    <t>המכון לעיון בחסידות</t>
  </si>
  <si>
    <t>קונטרסי עיון בסוגיות הש"ס</t>
  </si>
  <si>
    <t>שניאור, משה יעקב</t>
  </si>
  <si>
    <t>ארמונטייר</t>
  </si>
  <si>
    <t>קונטרסי שיעורים - 2 כר'</t>
  </si>
  <si>
    <t>קונטרסי שיעורים - 6 כר'</t>
  </si>
  <si>
    <t>קונטרסים אושפיזין - ישראל בראשית</t>
  </si>
  <si>
    <t>קונטרסים יד אליעזר</t>
  </si>
  <si>
    <t>רויטבלט, אליעזר פלטיאל בן יהושע אשר</t>
  </si>
  <si>
    <t>קונטרסים לבעיות הפועל המזרחי - ג</t>
  </si>
  <si>
    <t>הפועל המזרחי. הרשימה המאוחדת</t>
  </si>
  <si>
    <t>קונטרסים מתלמוד בבלי כריתות ותלמוד ירושלמי ברכות</t>
  </si>
  <si>
    <t>תלמוד בבלי. תרנ"ה. קימבריג'</t>
  </si>
  <si>
    <t>קימבריג' Cambridge</t>
  </si>
  <si>
    <t>קונקורדאנציה עניינית - 4 כר'</t>
  </si>
  <si>
    <t>כץ, אליעזר</t>
  </si>
  <si>
    <t>ניו יורק-ירושלים</t>
  </si>
  <si>
    <t>קונקורדנציה תלמודית - רב</t>
  </si>
  <si>
    <t>ייטלס, יששכר בער בן יצחק דוד</t>
  </si>
  <si>
    <t>קופת הרוכלים</t>
  </si>
  <si>
    <t>קוצותיו תלתלים</t>
  </si>
  <si>
    <t>פלאם, ישראל מאיר בן חיים משה</t>
  </si>
  <si>
    <t>קורא באמת - 2 כר'</t>
  </si>
  <si>
    <t>קורא הדורות - 4 כר'</t>
  </si>
  <si>
    <t>תש"ו - תש"ח</t>
  </si>
  <si>
    <t>קונפורטי, דוד בן גבריאל</t>
  </si>
  <si>
    <t>קורא מראש</t>
  </si>
  <si>
    <t>קוראי עונג - 3 כר'</t>
  </si>
  <si>
    <t>קורות ארזים &lt;בית היין&gt;</t>
  </si>
  <si>
    <t>בנימין בן מרדכי מבוברויסק</t>
  </si>
  <si>
    <t>קורות בתינו ארזים</t>
  </si>
  <si>
    <t>קורות הדורות - 2 כר'</t>
  </si>
  <si>
    <t>זילבר, צבי אריה בן אליהו הכהן</t>
  </si>
  <si>
    <t>קורות היהודים בתורקיה וארצות הקדם - 6 כר'</t>
  </si>
  <si>
    <t>רוזאניס, שלמה בן אברהם</t>
  </si>
  <si>
    <t>סופיה</t>
  </si>
  <si>
    <t>קורות העתים - 3 כר'</t>
  </si>
  <si>
    <t>בוים, מנחם מנדל בן אהרן</t>
  </si>
  <si>
    <t>קורות העתים</t>
  </si>
  <si>
    <t>טריבטש, אברהם</t>
  </si>
  <si>
    <t>קורות התורה והאמונה בהונגריה</t>
  </si>
  <si>
    <t>קורות ומעשים - תשל"ג - תשל"ה</t>
  </si>
  <si>
    <t>ועד הכללי לקהילת התימנים בירושלים</t>
  </si>
  <si>
    <t>קורות ותלאות יתומי ציון</t>
  </si>
  <si>
    <t>בית היתומים ציון</t>
  </si>
  <si>
    <t>קורות חיי המגן שאול</t>
  </si>
  <si>
    <t>גרינפלד, שאול יחזקאל בן אברהם שלמה (עליו)</t>
  </si>
  <si>
    <t>קורות חייו של הרב זכריה אביגד</t>
  </si>
  <si>
    <t>אביגד, זכריה</t>
  </si>
  <si>
    <t>קורות חשבון העבור</t>
  </si>
  <si>
    <t>יפה, צבי הירש</t>
  </si>
  <si>
    <t>קורות ישראל</t>
  </si>
  <si>
    <t>קורות משפחה</t>
  </si>
  <si>
    <t>מאג'אר, דוד חי בן בכור שמואל</t>
  </si>
  <si>
    <t>קורות עם עולם - ב</t>
  </si>
  <si>
    <t>קורות ר' אליהו וינשטין ובני משפחתו</t>
  </si>
  <si>
    <t>רסקין, פנחס</t>
  </si>
  <si>
    <t>קורי עכביש</t>
  </si>
  <si>
    <t>קוריב - יזכור בוך קאריוו</t>
  </si>
  <si>
    <t>קורנין דנהור</t>
  </si>
  <si>
    <t>קורקוס עבודה כתב יד</t>
  </si>
  <si>
    <t>קושיות עצומות</t>
  </si>
  <si>
    <t>קח טוב</t>
  </si>
  <si>
    <t>קחו מזמרת הארץ</t>
  </si>
  <si>
    <t>קטורת דוד</t>
  </si>
  <si>
    <t>קטורת עם הכוונות</t>
  </si>
  <si>
    <t>תקונים. תקונים שונים.</t>
  </si>
  <si>
    <t>קטיף שביעית</t>
  </si>
  <si>
    <t>קטלוג ברומר &lt;כת"י שבספרית ביהמ"ד לרבנים&gt; - 10 כר'</t>
  </si>
  <si>
    <t>ברומר, יהודה</t>
  </si>
  <si>
    <t>קטלוג האינקונאבולות היהודיות של הספריה הממלכתית לרוסיה</t>
  </si>
  <si>
    <t>הספריה הממלכתית לרוסיה</t>
  </si>
  <si>
    <t>קטלוג כתבי היד העבריים ומקומם</t>
  </si>
  <si>
    <t>קטלוג לספרי רבני ארם צובא וכתבי ידם</t>
  </si>
  <si>
    <t>קטלוג מורשת - 16 כר'</t>
  </si>
  <si>
    <t>מכירות פומביות</t>
  </si>
  <si>
    <t>קטלוג צפונות - 2 כר'</t>
  </si>
  <si>
    <t>קטלוג קדם - 66</t>
  </si>
  <si>
    <t>קדם בית מכירות פומביות</t>
  </si>
  <si>
    <t>קטלוג של שרידי הלכה ומדרש מגניזת קהיר שבאוסף א"נ אדלר</t>
  </si>
  <si>
    <t>ירושלים  וניו יורק</t>
  </si>
  <si>
    <t>קטלוג תשל"ג</t>
  </si>
  <si>
    <t>הוצאת קדם</t>
  </si>
  <si>
    <t>קטן וגדול - אוצר פירושים על אותיות גדולות וקטנות שבתורה</t>
  </si>
  <si>
    <t>נוה דניאל</t>
  </si>
  <si>
    <t>קטעי גניזה של משנה תלמוד ומדרש</t>
  </si>
  <si>
    <t>טעי גניזה</t>
  </si>
  <si>
    <t>קטעי הגניזה של פיוטי יניי</t>
  </si>
  <si>
    <t>קטעי מדרשים מכתבי יד הגניזה - בראשית, שמות</t>
  </si>
  <si>
    <t>קטעי מדרשים</t>
  </si>
  <si>
    <t>נושאים שונים, קבצים וכתבי עת, ספרי זכרון ויובל, שאר ספרי חז"ל</t>
  </si>
  <si>
    <t>קטעי תקיעתות בנוסח יוסי בן יוסי (תדפיס)</t>
  </si>
  <si>
    <t>קטעים מן הלכות ברכות</t>
  </si>
  <si>
    <t>משה בן מימון (רמב"ם) -זלוטניק, יהודה ליב</t>
  </si>
  <si>
    <t>(תש"ב</t>
  </si>
  <si>
    <t>(יוהניסבורג),</t>
  </si>
  <si>
    <t>קטעים מספר יד החזקה</t>
  </si>
  <si>
    <t>משה בן מימון (רמב"ם) - אטלס, שמואל</t>
  </si>
  <si>
    <t>קטרת המזבח</t>
  </si>
  <si>
    <t>מרדכי בן נפתלי הירש מקרמזיר</t>
  </si>
  <si>
    <t>קטרת הסמים</t>
  </si>
  <si>
    <t>תל"א - תל"ז</t>
  </si>
  <si>
    <t>קטרת ונסכים</t>
  </si>
  <si>
    <t>קטרת סמים</t>
  </si>
  <si>
    <t>סאגאלוביץ, יחיאל משה בן חיים</t>
  </si>
  <si>
    <t>קיבוץ יהודה - 4 כר'</t>
  </si>
  <si>
    <t>מארוקו, יהודה בן יעקב</t>
  </si>
  <si>
    <t>תרפ"ה - תרפ"ט</t>
  </si>
  <si>
    <t>קיבוץ מזרה ישראל - בראשית, שמות</t>
  </si>
  <si>
    <t>קורנט, בנימין דוד בן ישראל יצחק</t>
  </si>
  <si>
    <t>קידוש השם המיוחד של ר' מתית ור' פנחם ור' אברם זי"ע</t>
  </si>
  <si>
    <t>קידוש השם המיוחד</t>
  </si>
  <si>
    <t>רוסיה-פולין</t>
  </si>
  <si>
    <t>קידוש השם</t>
  </si>
  <si>
    <t>הוברבאנד, שמעון</t>
  </si>
  <si>
    <t>קידוש ירחים דרבי פנחס</t>
  </si>
  <si>
    <t>מרמרשטיין, אברהם - הברמן, מאיר אברהם</t>
  </si>
  <si>
    <t>קידוש כהלכתו</t>
  </si>
  <si>
    <t>הלוי, הלל</t>
  </si>
  <si>
    <t>קידושא רבא</t>
  </si>
  <si>
    <t>יגר, שאול יחזקאל בן צבי</t>
  </si>
  <si>
    <t>קידש ידיד</t>
  </si>
  <si>
    <t>קיום העולם</t>
  </si>
  <si>
    <t>קיום העירוב</t>
  </si>
  <si>
    <t>המניק, דוד אריה</t>
  </si>
  <si>
    <t>קיום התורה - 2 כר'</t>
  </si>
  <si>
    <t>קיום ויעוד</t>
  </si>
  <si>
    <t>ליפשיץ, זאב חיים בן אליעזר זיידל</t>
  </si>
  <si>
    <t>קיום שטרות</t>
  </si>
  <si>
    <t>קיימיה דדוד משיחא</t>
  </si>
  <si>
    <t>קיימיה דמשה נביאה</t>
  </si>
  <si>
    <t>קילורית לעין</t>
  </si>
  <si>
    <t>קימה והידור</t>
  </si>
  <si>
    <t>קימו וקבלו</t>
  </si>
  <si>
    <t>קימו וקיבלו - פורים</t>
  </si>
  <si>
    <t>קימחא דפסחא</t>
  </si>
  <si>
    <t>קינה היא וקוננוה</t>
  </si>
  <si>
    <t>קינה על הדליקה אשר נפלה פה מנטובה</t>
  </si>
  <si>
    <t>סולם, משולם בן יצחק</t>
  </si>
  <si>
    <t>קינה על פטירת הגאון כמוהר"ר יודא מפדוה</t>
  </si>
  <si>
    <t>סראוול, יהודה</t>
  </si>
  <si>
    <t>קינות המבוארות</t>
  </si>
  <si>
    <t>קינות לתשעה באב עם פירוש מספיק</t>
  </si>
  <si>
    <t>תפילות. קינות. תקמ"ב. זולצבך</t>
  </si>
  <si>
    <t>קינות לתשעה באב עם תרגום לגרמנית</t>
  </si>
  <si>
    <t>לוינגר, ישראל מאיר - ביטרלי, שולה</t>
  </si>
  <si>
    <t>קינות לתשעה באב - כמנהג אשכנז המובהק</t>
  </si>
  <si>
    <t>קינות לתשעה באב - 2 כר'</t>
  </si>
  <si>
    <t>קינות לתשעה באב</t>
  </si>
  <si>
    <t>תפילות. קינות. תשכ"ז. ירושלים</t>
  </si>
  <si>
    <t>קינות מאת זקני חכמי תימן על הריסות הדת ע"י השלטון בארץ הקדש</t>
  </si>
  <si>
    <t>קינות</t>
  </si>
  <si>
    <t>קינות על חורבן ירושלים</t>
  </si>
  <si>
    <t>קינות עם פירוש</t>
  </si>
  <si>
    <t>קינת יהודה וישראל</t>
  </si>
  <si>
    <t>קינת מן המיצר עם ביאור ופירוש נר לאברהם</t>
  </si>
  <si>
    <t>וייסמאנדל, חיים מיכאל דוב בן יוסף - פוקס,יעקב בן אברהם</t>
  </si>
  <si>
    <t>קיץ המזבח</t>
  </si>
  <si>
    <t>קיצור אוצר החיים (קומרנא)</t>
  </si>
  <si>
    <t>קיצור אלשיך על התורה - 2 כר'</t>
  </si>
  <si>
    <t>קיצור דיני אמירה לנכרי בשבת</t>
  </si>
  <si>
    <t>קיצור דיני בית הכנסת ובית המדרש</t>
  </si>
  <si>
    <t>קיצור דיני ברית מילה ופדיון הבן</t>
  </si>
  <si>
    <t>קיצור דיני ומנהגי הושענה רבה ושמחת תורה</t>
  </si>
  <si>
    <t>קיצור דיני ומנהגי ליל הסדר</t>
  </si>
  <si>
    <t>קיצור דיני חלה</t>
  </si>
  <si>
    <t>קיצור דיני טהרה</t>
  </si>
  <si>
    <t>קיצור דיני כיבוד אב ואם</t>
  </si>
  <si>
    <t>קיצור דיני לא תלין פעולת שכיר וביומו תתן שכרו</t>
  </si>
  <si>
    <t>קיצור דיני סדר תקיעת שופר</t>
  </si>
  <si>
    <t>קיצור דיני ספק טומאה</t>
  </si>
  <si>
    <t>קיצור דיני פורים המשולש</t>
  </si>
  <si>
    <t>קיצור דיני ריבית המצויים</t>
  </si>
  <si>
    <t>שטרנבוך, משה</t>
  </si>
  <si>
    <t>קיצור דיני שביעית &lt;מהדורה שניה&gt;</t>
  </si>
  <si>
    <t>קיצור דיני שביעית</t>
  </si>
  <si>
    <t>קיצור דיני שהיה חזרה והטמנה</t>
  </si>
  <si>
    <t>קיצור דיני שמיטת כספים</t>
  </si>
  <si>
    <t>נויבירט, ברוך יחיאל בן יהושע ישעיה</t>
  </si>
  <si>
    <t>קיצור דיני שמיטת קרקעות - 2 כר'</t>
  </si>
  <si>
    <t>קיצור דינים והדרכה מעשית לשנת השמיטה</t>
  </si>
  <si>
    <t>הלשכה הדתית שע"י אגודת ישראל תל אביב</t>
  </si>
  <si>
    <t>קיצור דרכי תשובה &lt;שיח יצחק&gt; - טריפות</t>
  </si>
  <si>
    <t>אמסל, יצחק</t>
  </si>
  <si>
    <t>קיצור דרש מטי ולא מטי של הרב דוד פארדו</t>
  </si>
  <si>
    <t>קיצור ההלכות הנוגעות לבין הזמנים</t>
  </si>
  <si>
    <t>קיצור ההלכות וההנהגות המעשיות</t>
  </si>
  <si>
    <t>קיצור הכוונות - 3 כר'</t>
  </si>
  <si>
    <t>קיצור הלכות אבלות מספר נשמת ישראל</t>
  </si>
  <si>
    <t>קיצור הלכות אפית מצות</t>
  </si>
  <si>
    <t>קיצור הלכות הפרדה בין בשר לחלב</t>
  </si>
  <si>
    <t>דבליצקי, חיים מרדכי בן דוד</t>
  </si>
  <si>
    <t>קיצור הלכות ומנהגי אבלות</t>
  </si>
  <si>
    <t>קיצור הלכות וסתות</t>
  </si>
  <si>
    <t>קיצור הלכות זימון</t>
  </si>
  <si>
    <t>וועסט, גרשון יצחק בן חיים צבי</t>
  </si>
  <si>
    <t>קיצור הלכות חובל מזיק ושמירת הגוף</t>
  </si>
  <si>
    <t>קיצור הלכות טהרה</t>
  </si>
  <si>
    <t>קיצור הלכות יום טוב וספירת העומר</t>
  </si>
  <si>
    <t>קיצור הלכות יום טוב</t>
  </si>
  <si>
    <t>קיצור הלכות יחוד וצניעות - דיני שביעית בשמינית</t>
  </si>
  <si>
    <t>קיצור הלכות יחוד</t>
  </si>
  <si>
    <t>קיצור הלכות למי שנשברה ידו</t>
  </si>
  <si>
    <t>קיצור הלכות לשון הרע</t>
  </si>
  <si>
    <t>תשמ"גנגלו</t>
  </si>
  <si>
    <t>קיצור הלכות מועדים - 3 כר'</t>
  </si>
  <si>
    <t>קיצור הלכות מוקצה</t>
  </si>
  <si>
    <t>קיצור הלכות מזוזה</t>
  </si>
  <si>
    <t>קיצור הלכות מצות כתיבת ספר תורה</t>
  </si>
  <si>
    <t>קיצור הלכות משו"ע אדמו"ר הזקן - 2 כר'</t>
  </si>
  <si>
    <t>הורביץ, יעקב הלוי - אלאשווילי, אברהם</t>
  </si>
  <si>
    <t>קיצור הלכות נדה מנוקד</t>
  </si>
  <si>
    <t>קיצור הלכות נדה</t>
  </si>
  <si>
    <t>מועלם, חיים</t>
  </si>
  <si>
    <t>שתע"ה</t>
  </si>
  <si>
    <t>קיצור הלכות סת"ם</t>
  </si>
  <si>
    <t>בוחניק, יצחק בן שאול</t>
  </si>
  <si>
    <t>קיצור הלכות פורים המצויות</t>
  </si>
  <si>
    <t>שפירא, אברהם ישעיהו בן חיים ישראל</t>
  </si>
  <si>
    <t>קיצור הלכות פסח</t>
  </si>
  <si>
    <t>קיצור הלכות קריאת התורה, קדושת בית הכנסת, תשמישי קדושה</t>
  </si>
  <si>
    <t>קיצור הלכות רבית - א</t>
  </si>
  <si>
    <t>קיצור הלכות שבת</t>
  </si>
  <si>
    <t>אנגל, שאול</t>
  </si>
  <si>
    <t>קיצור הלכות שופר</t>
  </si>
  <si>
    <t>שרייבר, שמעון</t>
  </si>
  <si>
    <t>קיצור הלכות שמיטה</t>
  </si>
  <si>
    <t>קיצור הלכות - 5 כר'</t>
  </si>
  <si>
    <t>ליקבורניק, חיים בן יהושע זאב</t>
  </si>
  <si>
    <t>קיצור המדריך התורני לא"י - בדיקת מזון מתולעים</t>
  </si>
  <si>
    <t>לוונטל, חיים - ויא, משה</t>
  </si>
  <si>
    <t>קיצור השלחן הערוך</t>
  </si>
  <si>
    <t>קיצור התלמוד - ב</t>
  </si>
  <si>
    <t>תלמוד בבלי. תר"ף. ברלין</t>
  </si>
  <si>
    <t>קיצור חובת הלבבות - 2 כר'</t>
  </si>
  <si>
    <t>קיצור חוסן יהושע - 2 כר'</t>
  </si>
  <si>
    <t>קיצור חשבון הנפש</t>
  </si>
  <si>
    <t>לפין, מנחם מנדל בן יהודה ליב - מנדל, מאיר</t>
  </si>
  <si>
    <t>קיצור כללי הוראה</t>
  </si>
  <si>
    <t>קיצור ליקוטי הלכות</t>
  </si>
  <si>
    <t>קיצור ליקוטי מוהר"ן &lt;דפו"ר&gt;</t>
  </si>
  <si>
    <t>קיצור ליקוטי מוהר"ן &lt;טקסט&gt;</t>
  </si>
  <si>
    <t>קיצור ליקוטי מוהר"ן השלם</t>
  </si>
  <si>
    <t>קיצור ליקוטי מוהר"ן - 2 כר'</t>
  </si>
  <si>
    <t>קיצור מדריך לחתן - תפארת חתנים</t>
  </si>
  <si>
    <t>קיצור מורה נבוכים &lt;אידיש&gt;</t>
  </si>
  <si>
    <t>אגוז, א.ד.</t>
  </si>
  <si>
    <t>קיצור מזרחי</t>
  </si>
  <si>
    <t>יצחק בן נפתלי הירץ הכהן</t>
  </si>
  <si>
    <t>שס"ד - שס"ח</t>
  </si>
  <si>
    <t>קיצור מחברת הקדש</t>
  </si>
  <si>
    <t>קיצור מטה אפרים</t>
  </si>
  <si>
    <t>קיצור מלאכת המספר</t>
  </si>
  <si>
    <t>מזרחי, אליה</t>
  </si>
  <si>
    <t>שו</t>
  </si>
  <si>
    <t>קיצור מנורת המאור החדש</t>
  </si>
  <si>
    <t>אבוהב, יצחק בן אברהם (הראשון) - ליכט, אברהם יהודה</t>
  </si>
  <si>
    <t>קיצור מעבר יב"ק</t>
  </si>
  <si>
    <t>[תקכ"ו]</t>
  </si>
  <si>
    <t>קיצור מעבר יבק</t>
  </si>
  <si>
    <t>קיצור מרדכי וסימניו</t>
  </si>
  <si>
    <t>ברוך, יהושע בועז בן שמעון</t>
  </si>
  <si>
    <t>קיצור משפטי השלום</t>
  </si>
  <si>
    <t>קיצור נחלת יעקב</t>
  </si>
  <si>
    <t>אשכנזי, יקותיאל לאזי בן נחום</t>
  </si>
  <si>
    <t>קיצור נחלת שבעה &lt;החדש&gt;</t>
  </si>
  <si>
    <t>קיצור נחלת שבעה &lt;השלם&gt; - 2 כר'</t>
  </si>
  <si>
    <t>קיצור נחלת שבעה</t>
  </si>
  <si>
    <t>קיצור סמ"ג</t>
  </si>
  <si>
    <t>קיצור ספר הנחמדים מפז</t>
  </si>
  <si>
    <t>קיצור ספר חסידים</t>
  </si>
  <si>
    <t>ווילדמאן, יהושע אלטר</t>
  </si>
  <si>
    <t>קיצור ספר חרדים</t>
  </si>
  <si>
    <t>קיצור ספר יריעות שלמה</t>
  </si>
  <si>
    <t>מועלם, שלמה</t>
  </si>
  <si>
    <t>קיצור ספר מצות גדול</t>
  </si>
  <si>
    <t>אברהם בן אפרים</t>
  </si>
  <si>
    <t>קיצור ספרי בדיקת המזון כהלכה</t>
  </si>
  <si>
    <t>קיצור עברונות</t>
  </si>
  <si>
    <t>ברוך בנדט בן ישראל מקאמניץ</t>
  </si>
  <si>
    <t>קיצור פסקי הראש</t>
  </si>
  <si>
    <t>קושטאIstanbul</t>
  </si>
  <si>
    <t>קיצור פתחי מגדים - 2 כר'</t>
  </si>
  <si>
    <t>מייזלס, מנחם דן</t>
  </si>
  <si>
    <t>קיצור ציצת נובל צבי - 2 כר'</t>
  </si>
  <si>
    <t>קיצור קל"ח פתחי חכמה</t>
  </si>
  <si>
    <t>קיצור ראשית חכמה - 2 כר'</t>
  </si>
  <si>
    <t>די ווידאש, אליהו בן משה - פייטו, יעקב</t>
  </si>
  <si>
    <t>קיצור שיחת חולין</t>
  </si>
  <si>
    <t>קיצור שלחן ערוך  הלכונת נדה &lt;חיי טהרה&gt;</t>
  </si>
  <si>
    <t>גאנצפריד, שלמה בן יוסף - קלופט, שאול בן חיים</t>
  </si>
  <si>
    <t>קיצור שלחן ערוך &lt;דרכי הלכה&gt;</t>
  </si>
  <si>
    <t>קיצור שלחן ערוך &lt;מנחת יום טוב&gt;</t>
  </si>
  <si>
    <t>בורשטין, שמואל בן שמחה</t>
  </si>
  <si>
    <t>קיצור שלחן ערוך &lt;מנחת שבת&gt;</t>
  </si>
  <si>
    <t>קיצור שלחן ערוך &lt;מנחת שבת&gt; &lt;מהדורה חדשה&gt;</t>
  </si>
  <si>
    <t>קיצור שלחן ערוך &lt;מעדני שמואל&gt;</t>
  </si>
  <si>
    <t>קיצור שלחן ערוך &lt;שערי עדן&gt;</t>
  </si>
  <si>
    <t>קיצור שלחן ערוך &lt;עם פירוש&gt; - 4 כר'</t>
  </si>
  <si>
    <t>גאנצפריד, שלמה בן יוסף - אבינר, שלמה חיים הכהן</t>
  </si>
  <si>
    <t>קיצור שלחן ערוך &lt;עמודי השלחן - 2 כר'</t>
  </si>
  <si>
    <t>גאנצפריד, שלמה בן יוסף - אדלשטיין, יעקב אליעזר</t>
  </si>
  <si>
    <t>ביאלסטוק</t>
  </si>
  <si>
    <t>קיצור שלחן ערוך &lt;שער המזרח&gt; - 2 כר'</t>
  </si>
  <si>
    <t>גאנצפריד, שלמה בן יוסף - בר דע יצחק</t>
  </si>
  <si>
    <t>קיצור שלחן ערוך &lt;שערי שלום - 3 כר'</t>
  </si>
  <si>
    <t>גאנצפריד, שלמה בן יוסף - שניטצלר, שלום בן שרגא שמואל</t>
  </si>
  <si>
    <t>קיצור שלחן ערוך &lt;אורות חיים&gt;</t>
  </si>
  <si>
    <t>קיצור שלחן ערוך &lt;מסגרת השלחן - לחם הפנים&gt;</t>
  </si>
  <si>
    <t>קיצור שלחן ערוך &lt;מסגרת השלחן&gt; - 2 כר'</t>
  </si>
  <si>
    <t>גרוסוורדין</t>
  </si>
  <si>
    <t>קיצור שלחן ערוך &lt;מראה מקום - ביאור המילים הקשות&gt;</t>
  </si>
  <si>
    <t>קיצור שלחן ערוך &lt;עברי טייטש&gt;</t>
  </si>
  <si>
    <t>קיצור שלחן ערוך &lt;עיר דוד&gt; - 2 כר'</t>
  </si>
  <si>
    <t>תרפ"ד - תרפ"ו</t>
  </si>
  <si>
    <t>קיצור שלחן ערוך &lt;מסגרת השלחן, לבושי טהרה&gt; - הלכות נדה</t>
  </si>
  <si>
    <t>הלברסברג, חיים ישעיה, הכהן</t>
  </si>
  <si>
    <t>קיצור שלחן ערוך השלם &lt;מסגרת השלחן, לחם הפנים&gt;</t>
  </si>
  <si>
    <t>קיצור שלחן ערוך השלם &lt;ערוך השלחן, אבני נזר&gt;</t>
  </si>
  <si>
    <t>קיצור שלחן ערוך השלם עם פאת השלחן</t>
  </si>
  <si>
    <t>קיצור שלחן ערוך השלם - 2 כר'</t>
  </si>
  <si>
    <t>קיצור שלחן ערוך השלם - א</t>
  </si>
  <si>
    <t>טולידאנו, רפאל ברוך</t>
  </si>
  <si>
    <t>קיצור שלחן ערוך לבנות עדות המזרח - 2 כר'</t>
  </si>
  <si>
    <t>קיצור שלחן ערוך מקור חיים</t>
  </si>
  <si>
    <t>קיצור שלחן ערוך ספרדי</t>
  </si>
  <si>
    <t>קיצור שלחן ערוך עם סיפורים חסידיים - 6 כר'</t>
  </si>
  <si>
    <t>קיצור שלחן ערוך - 2 כר'</t>
  </si>
  <si>
    <t>תרל"ט,</t>
  </si>
  <si>
    <t>קיצור שני לוחות הברית - 5 כר'</t>
  </si>
  <si>
    <t>הורוויץ, ישעיה בן אברהם הלוי - אפשטיין, יחיאל מיכל בן אברהם הלוי</t>
  </si>
  <si>
    <t>קיצור שני לוחות הברית</t>
  </si>
  <si>
    <t>קיצור שני לחות הברית</t>
  </si>
  <si>
    <t>עפשטיין, יחיאל מיכל בן אברהם</t>
  </si>
  <si>
    <t>קיצור שערי תשובה</t>
  </si>
  <si>
    <t>קיצור תניא</t>
  </si>
  <si>
    <t>קיצור תניא - 2 כר'</t>
  </si>
  <si>
    <t>שניאורסון, מנחם מנדל בן שלום שכנא</t>
  </si>
  <si>
    <t>קיצור תרי"ג מצות - מצוה בזמנה</t>
  </si>
  <si>
    <t>כוחי, יעקב</t>
  </si>
  <si>
    <t>קיקיון דיונה &lt;דפו"ר&gt;</t>
  </si>
  <si>
    <t>תאומים, יונה בן ישעיהו</t>
  </si>
  <si>
    <t>תכ"ט - ת"ל</t>
  </si>
  <si>
    <t>קיקיון דיונה - 3 כר'</t>
  </si>
  <si>
    <t>קירוב רחוקים וקרובים</t>
  </si>
  <si>
    <t>קישוטי כלה - 3 כר'</t>
  </si>
  <si>
    <t>גרינפלד, ברוך חנא</t>
  </si>
  <si>
    <t>קישוטי כלה</t>
  </si>
  <si>
    <t>נתן נטע בן מנחם מנדל משינובה</t>
  </si>
  <si>
    <t>מועדי ישראל, משנה, קבלה, תלמוד בבלי, תנ"ך</t>
  </si>
  <si>
    <t>קישוטי תורה</t>
  </si>
  <si>
    <t>קל כנשר &lt;שו"ת&gt; א</t>
  </si>
  <si>
    <t>קל"ח פתחי חכמה &lt;דפו"ר&gt; - 2 כר'</t>
  </si>
  <si>
    <t>קל"ח פתחי חכמה &lt;מבואר&gt;</t>
  </si>
  <si>
    <t>קל"ח פתחי חכמה - 3 כר'</t>
  </si>
  <si>
    <t>קלא אילן</t>
  </si>
  <si>
    <t>קמה אלומתי</t>
  </si>
  <si>
    <t>קמו בניה</t>
  </si>
  <si>
    <t>קמח התורה</t>
  </si>
  <si>
    <t>יוסף חיים צבי בן אלחנן</t>
  </si>
  <si>
    <t>קמח סלת</t>
  </si>
  <si>
    <t>עלי, יהודה בן משה</t>
  </si>
  <si>
    <t>קמח פסח</t>
  </si>
  <si>
    <t>אשכנזי, פסח בן שמואל</t>
  </si>
  <si>
    <t>קמחא דפסחא</t>
  </si>
  <si>
    <t>קמנו ונתעודד</t>
  </si>
  <si>
    <t>עמנואל, שמואל</t>
  </si>
  <si>
    <t>קמץ המנחה - 2 כר'</t>
  </si>
  <si>
    <t>קן משולח - שילוח הקן</t>
  </si>
  <si>
    <t>קן צפור - תהלים</t>
  </si>
  <si>
    <t>קןבץ תורני עולה בגורל - ב</t>
  </si>
  <si>
    <t>קנאת איש מרעהו</t>
  </si>
  <si>
    <t>קנאת ה' צבאות - 2 כר'</t>
  </si>
  <si>
    <t>תרכ"ב הסכ'</t>
  </si>
  <si>
    <t>קנאת סופרים &lt;אודות תיקון סופרים&gt;</t>
  </si>
  <si>
    <t>קנאת סופרים</t>
  </si>
  <si>
    <t>קנאת פינחס - 2 כר'</t>
  </si>
  <si>
    <t>שטיין, פינחס בן ישעיה יעקב</t>
  </si>
  <si>
    <t>קנאת ציון</t>
  </si>
  <si>
    <t>קנה אברהם - 2 כר'</t>
  </si>
  <si>
    <t>קנה אברהם</t>
  </si>
  <si>
    <t>טירני, אברהם בן דניאל</t>
  </si>
  <si>
    <t>קנה אברהם - 3 כר'</t>
  </si>
  <si>
    <t>כהן, אברהם בן סעיד</t>
  </si>
  <si>
    <t>קנה בינה</t>
  </si>
  <si>
    <t>קנה בשם &lt;הלכות נדה&gt; - 4 כר'</t>
  </si>
  <si>
    <t>קנה בשם</t>
  </si>
  <si>
    <t>קנה בשם - 4 כר'</t>
  </si>
  <si>
    <t>קנה המדה</t>
  </si>
  <si>
    <t>קנה וקנמון</t>
  </si>
  <si>
    <t>קנה חכמה קנה בינה - 2 כר'</t>
  </si>
  <si>
    <t>קנה חכמה</t>
  </si>
  <si>
    <t>קנה חכמה - 2 כר'</t>
  </si>
  <si>
    <t>תמ"א - תמ"ג</t>
  </si>
  <si>
    <t>קנה לך חבר - ד</t>
  </si>
  <si>
    <t>קנה</t>
  </si>
  <si>
    <t>קנות דעה - 2 כר'</t>
  </si>
  <si>
    <t>קני המנורה</t>
  </si>
  <si>
    <t>הלכה ומנהג, מועדי ישראל, משנה, שאלות ותשובות, תנ"ך</t>
  </si>
  <si>
    <t>קנין אב  - תפילין ובר מצוה</t>
  </si>
  <si>
    <t>ברים, מנחם מנדל</t>
  </si>
  <si>
    <t>קנין אברהם</t>
  </si>
  <si>
    <t>די לונזאנו, אברהם בן רפאל</t>
  </si>
  <si>
    <t>קנין אמנה</t>
  </si>
  <si>
    <t>יודאקין, גדעון לוי הכהן - הלמן, רפאל הכהן</t>
  </si>
  <si>
    <t>קנין גוף וקנין פירות - 2 כר'</t>
  </si>
  <si>
    <t>קנין דעה - 2 כר'</t>
  </si>
  <si>
    <t>שרייבר, יששכר דוב</t>
  </si>
  <si>
    <t>קנין הגוף - 2 כר'</t>
  </si>
  <si>
    <t>הלכה ומנהג, הלכה ומנהג, הלכה ומנהג, נושאים שונים, שונות</t>
  </si>
  <si>
    <t>קנין התורה</t>
  </si>
  <si>
    <t>שוואב, אברהם יעקב בן משה</t>
  </si>
  <si>
    <t>מועדי ישראל, מחשבה ומוסר, שונות</t>
  </si>
  <si>
    <t>קנין חדש</t>
  </si>
  <si>
    <t>פורהאנד, מרדכי בן משה</t>
  </si>
  <si>
    <t>בודאפעשט,</t>
  </si>
  <si>
    <t>קנין טוב</t>
  </si>
  <si>
    <t>קנין יורה דעה - 2 כר'</t>
  </si>
  <si>
    <t>קנין כתר תורה</t>
  </si>
  <si>
    <t>קנין פירות</t>
  </si>
  <si>
    <t>קנין שלמה</t>
  </si>
  <si>
    <t>קנין שלמה - יבמות</t>
  </si>
  <si>
    <t>קנין תורה בהלכה - 7 כר'</t>
  </si>
  <si>
    <t>הורוויץ, אברהם דוד</t>
  </si>
  <si>
    <t>קנין תורה בשמעתתא &lt;מהדורה חדשה&gt; - 5 כר'</t>
  </si>
  <si>
    <t>קנין תורה בשמעתתא - 5 כר'</t>
  </si>
  <si>
    <t>קנין תורה כיצד</t>
  </si>
  <si>
    <t>לרנר, זלמן ליב בן אלימלך</t>
  </si>
  <si>
    <t>קנין תורה</t>
  </si>
  <si>
    <t>קנין תורה - 2 כר'</t>
  </si>
  <si>
    <t>טולידנו, עובדיה יוסף</t>
  </si>
  <si>
    <t>קניני קדם - ב</t>
  </si>
  <si>
    <t>קנמן בשם  &lt;מתוך עין יעקב&gt;</t>
  </si>
  <si>
    <t>קניגבסרג?</t>
  </si>
  <si>
    <t>קנת סופרים</t>
  </si>
  <si>
    <t>שכטר, אלעזר בן יעקב יוסף הכהן</t>
  </si>
  <si>
    <t>קסת הסופר &lt;לשכת הסופר&gt; - א ב (מהדו"ב)</t>
  </si>
  <si>
    <t>קסת הסופר - 4 כר'</t>
  </si>
  <si>
    <t>קסת הסופר - א</t>
  </si>
  <si>
    <t>קסת יהונתן</t>
  </si>
  <si>
    <t>יהונתן בן יעקב מאובן</t>
  </si>
  <si>
    <t>אחר תנ"ז</t>
  </si>
  <si>
    <t>קסת - א</t>
  </si>
  <si>
    <t>גליון תורני</t>
  </si>
  <si>
    <t>קץ הימין</t>
  </si>
  <si>
    <t>קץ המערכה</t>
  </si>
  <si>
    <t>לשכת ההסברה של העדה החרדית</t>
  </si>
  <si>
    <t>קץ הפלאות</t>
  </si>
  <si>
    <t>קץ שם לחשך</t>
  </si>
  <si>
    <t>קצה היריעה - מוקצה</t>
  </si>
  <si>
    <t>לנדא, שלמה יוסף בן ישראל סגל</t>
  </si>
  <si>
    <t>קצה המטה</t>
  </si>
  <si>
    <t>קצה המטה - ב</t>
  </si>
  <si>
    <t>גולדברג, יצחק</t>
  </si>
  <si>
    <t>קצוי ארץ</t>
  </si>
  <si>
    <t>יהושע פייבל בן ישראל</t>
  </si>
  <si>
    <t>קצוצי פאה</t>
  </si>
  <si>
    <t>קצור אבן העזר</t>
  </si>
  <si>
    <t>שרעבי, זכריה אביגד</t>
  </si>
  <si>
    <t>קצור הלכות נדה</t>
  </si>
  <si>
    <t>קצור ספר חרדים</t>
  </si>
  <si>
    <t>אזכרי, אליעזר -דאנציג, אברהם</t>
  </si>
  <si>
    <t>קצור שולחן ערוך - 6 כר'</t>
  </si>
  <si>
    <t>קצות דרכיו</t>
  </si>
  <si>
    <t>בורשטין, דוד מרדכי בן שלמה</t>
  </si>
  <si>
    <t>קצות החושן השלם &lt;עין לנתיבות, פיתוחי חותם&gt; - 4 כר'</t>
  </si>
  <si>
    <t>קצות החושן - 3 כר'</t>
  </si>
  <si>
    <t>הלר, אריה ליב בן יוסף הכהן - לורברבוים, יעקב בן יעקב משה</t>
  </si>
  <si>
    <t>קצות החשן &lt;תקע"ו&gt; - 2 כר'</t>
  </si>
  <si>
    <t>קצות החשן &lt;תק"ץ&gt; - 2 כר'</t>
  </si>
  <si>
    <t>קצות החשן</t>
  </si>
  <si>
    <t>קצות החשן - מפתחות</t>
  </si>
  <si>
    <t>קצות השבת - הלכות מוקצה בקצרה</t>
  </si>
  <si>
    <t>חזקיה, מיכאל</t>
  </si>
  <si>
    <t>קצות השלחן - 9 כר'</t>
  </si>
  <si>
    <t>תרפ"ו - תשי"ד</t>
  </si>
  <si>
    <t>קציר החטים</t>
  </si>
  <si>
    <t>סיד, אברהם בן משה</t>
  </si>
  <si>
    <t>קציר חטים</t>
  </si>
  <si>
    <t>קצירת האומר - 4 כר'</t>
  </si>
  <si>
    <t>קצירת האומר - 2 כר'</t>
  </si>
  <si>
    <t>קצירת השדה</t>
  </si>
  <si>
    <t>קצת העתק מספרי שירה חדשה</t>
  </si>
  <si>
    <t>רפאפורט, אליעזר בן אברהם</t>
  </si>
  <si>
    <t>קצת יוסף הצדיק וקצת חנה</t>
  </si>
  <si>
    <t>קצת יוסף הצדיק. תשט"ז. ירושלים</t>
  </si>
  <si>
    <t>קצת מכתבי מוהר"ר דוד אברהם חי, יד דוד, ויען יצחק</t>
  </si>
  <si>
    <t>וויוואנטי, דוד אברהם</t>
  </si>
  <si>
    <t>קרא מקר"ה</t>
  </si>
  <si>
    <t>קרא עלי מועד</t>
  </si>
  <si>
    <t>קראתי ואין עונה</t>
  </si>
  <si>
    <t>קרבן אהרן - 3 כר'</t>
  </si>
  <si>
    <t>קרבן אהרן</t>
  </si>
  <si>
    <t>אהרן בן אלעזר ליפמאן מצמפלבורג</t>
  </si>
  <si>
    <t>מועטי, אהרן בן אברהם</t>
  </si>
  <si>
    <t>תרנ"ט,</t>
  </si>
  <si>
    <t>קרבן אליצור</t>
  </si>
  <si>
    <t>קרבן אריאל</t>
  </si>
  <si>
    <t>יוחנן, אריאל</t>
  </si>
  <si>
    <t>קרבן אש"ה</t>
  </si>
  <si>
    <t>שמאע, אליהו בן יוסף הלוי</t>
  </si>
  <si>
    <t>קרבן אשם</t>
  </si>
  <si>
    <t>שאכרליס, יצחק איצק בן שמשון</t>
  </si>
  <si>
    <t>Sulzbach זולצבך</t>
  </si>
  <si>
    <t>קרבן אשר</t>
  </si>
  <si>
    <t>לאנדא, אשר זליג בן יוחנן</t>
  </si>
  <si>
    <t>מילר, אשר אנשיל יהודא</t>
  </si>
  <si>
    <t>קרבן העני - 2 כר'</t>
  </si>
  <si>
    <t>קטינא, יעקב בן יצחק מרדכי</t>
  </si>
  <si>
    <t>קרבן חגיגה</t>
  </si>
  <si>
    <t>קרבן מלכים</t>
  </si>
  <si>
    <t>קרבן מנחה</t>
  </si>
  <si>
    <t>קזבלנכה Casablanca</t>
  </si>
  <si>
    <t>בעלסי, אברהם מרדכי</t>
  </si>
  <si>
    <t>תפילות. סידור. תרס"א. פיטרקוב</t>
  </si>
  <si>
    <t>קרבן משה - 2 כר'</t>
  </si>
  <si>
    <t>פרידמן, משה זאב</t>
  </si>
  <si>
    <t>קרבן נתנאל על מסכתות הש"ס</t>
  </si>
  <si>
    <t>קרבן נתנאל</t>
  </si>
  <si>
    <t>חבובא, נתנאל בן משה</t>
  </si>
  <si>
    <t>קרבן עני</t>
  </si>
  <si>
    <t>אוירבאך, יעקב בן אהרן יהודה ליב</t>
  </si>
  <si>
    <t>קרבן פסח כהלכתו</t>
  </si>
  <si>
    <t>קרבן פסח</t>
  </si>
  <si>
    <t>ליפשיץ, צבי פנחס בן אלעזר בר</t>
  </si>
  <si>
    <t>קרבן ציון</t>
  </si>
  <si>
    <t>קרבן ראשית</t>
  </si>
  <si>
    <t>הלר, אלתר אברהם שמואל בן יעקב</t>
  </si>
  <si>
    <t>קרבן ראשית - 3 כר'</t>
  </si>
  <si>
    <t>[תקל"ח,</t>
  </si>
  <si>
    <t>פרנקפורט דאדר,</t>
  </si>
  <si>
    <t>קרבן שבת - 3 כר'</t>
  </si>
  <si>
    <t>בילזורקע,</t>
  </si>
  <si>
    <t>קרבן שמואל</t>
  </si>
  <si>
    <t>קרבן תודה</t>
  </si>
  <si>
    <t>עטייה, ישועה בן אברהם</t>
  </si>
  <si>
    <t>מקסיכו סיטי</t>
  </si>
  <si>
    <t>קרבנות היום - יומא</t>
  </si>
  <si>
    <t>שרבאני, יעקב</t>
  </si>
  <si>
    <t>קרבני לחמי &lt;ייני עם חלבי&gt; - א</t>
  </si>
  <si>
    <t>קרבת ה'</t>
  </si>
  <si>
    <t>קרה מקרה</t>
  </si>
  <si>
    <t>ביקיאם, מאיר בן חליפה</t>
  </si>
  <si>
    <t>קרואי מועד - 6 כר'</t>
  </si>
  <si>
    <t>קרואי מועד</t>
  </si>
  <si>
    <t>קונטרס שיעורים</t>
  </si>
  <si>
    <t>קרוב אליך ה'</t>
  </si>
  <si>
    <t>הרבט, חנן</t>
  </si>
  <si>
    <t>קרוב"ץ</t>
  </si>
  <si>
    <t>קרובות &lt;לשבועות&gt; עם ביאור ותרגום אשכנזי</t>
  </si>
  <si>
    <t>קרות היהודים ברומא</t>
  </si>
  <si>
    <t>כהנא, אברהם בן מרדכי</t>
  </si>
  <si>
    <t>קרי וכתיב</t>
  </si>
  <si>
    <t>קריאה בקריה - 3 כר'</t>
  </si>
  <si>
    <t>סמסונוביץ, משה</t>
  </si>
  <si>
    <t>קריאה הקדושה &lt;מהדורה חדשה&gt;</t>
  </si>
  <si>
    <t>קריאה הקדושה</t>
  </si>
  <si>
    <t>קריאה נאמנה</t>
  </si>
  <si>
    <t>קריאה של חיבה</t>
  </si>
  <si>
    <t>קריאי מועד</t>
  </si>
  <si>
    <t>תיקונים. ליל שביעי של פסח. תר"ל. וינה</t>
  </si>
  <si>
    <t>תיקונים. ליל שביעי של פסח. תרכ"ב. וינה</t>
  </si>
  <si>
    <t>תיקונים. ליל שביעי של פסח. תרנ"ד. ליוורנו</t>
  </si>
  <si>
    <t>תיקונים. ליל שביעי של פסח. תרצ"ז. ליוורנו</t>
  </si>
  <si>
    <t>תיקונים. ליל שביעי של פסח. תשע"ב. בני ברק</t>
  </si>
  <si>
    <t>תיקונים. תשי"ח. ירושלים</t>
  </si>
  <si>
    <t>קריאת התורה כהלכתה</t>
  </si>
  <si>
    <t>כ"ץ, יהושע זאב בן יהודה ליב הכהן</t>
  </si>
  <si>
    <t>קריאת התורה</t>
  </si>
  <si>
    <t>קריאת ספר &lt;מהדורה חדשה&gt; - 3 כר'</t>
  </si>
  <si>
    <t>קריאת ספר - 2 כר'</t>
  </si>
  <si>
    <t>קריאת עונג - 2 כר'</t>
  </si>
  <si>
    <t>בורשטין, פלטיאל איזיק בן אבא שלום</t>
  </si>
  <si>
    <t>קריאת עתונים בשבת ויו"ט</t>
  </si>
  <si>
    <t>קריאת שמו"ת והלכותיה</t>
  </si>
  <si>
    <t>קריאת שמע</t>
  </si>
  <si>
    <t>אלקיים, תומר</t>
  </si>
  <si>
    <t>קריה הנאמנה - 2 כר'</t>
  </si>
  <si>
    <t>לאנגסאם, שמעון בן פסח</t>
  </si>
  <si>
    <t>תרפ"ה - תרצ"א</t>
  </si>
  <si>
    <t>קריה נאמנה &lt;מהדורה חדשה&gt;</t>
  </si>
  <si>
    <t>קריה נאמנה</t>
  </si>
  <si>
    <t>קריה נאמנה - 2 כר'</t>
  </si>
  <si>
    <t>פין, שמואל יוסף בן יצחק איזיק</t>
  </si>
  <si>
    <t>קריה נאמנה - י</t>
  </si>
  <si>
    <t>קובץ חניכי ישיבת פוניבז'</t>
  </si>
  <si>
    <t>קריה נשגבה</t>
  </si>
  <si>
    <t>קריינא דאגרתא &lt;מהדורה חדשה&gt; - 3 כר'</t>
  </si>
  <si>
    <t>קריינא דאגרתא - 2 כר'</t>
  </si>
  <si>
    <t>קרית ארבע &lt;מהדורה חדשה&gt;</t>
  </si>
  <si>
    <t>קליין, אלעזר בן שלמה זלמן</t>
  </si>
  <si>
    <t>אקריש, יצחק בן אברהם</t>
  </si>
  <si>
    <t>חורי, רחמים</t>
  </si>
  <si>
    <t>קרית ארבע - 2 כר'</t>
  </si>
  <si>
    <t>רבני משפחת אונגאר</t>
  </si>
  <si>
    <t>קרית ארבע - אבן שלמה- אלפי מנשה - פשר דבר ושקל הקודש - מנחם ציון</t>
  </si>
  <si>
    <t>שלמה מטולוטשין - מנשה בן יוסף מאילייה - סלומון, אברהם שלמה זלמן צורף -</t>
  </si>
  <si>
    <t>קרית אריאל</t>
  </si>
  <si>
    <t>קרית חנ"א</t>
  </si>
  <si>
    <t>קרית חנה דוד</t>
  </si>
  <si>
    <t>קרית חנה דוד - 2 כר'</t>
  </si>
  <si>
    <t>רקמן, דוד</t>
  </si>
  <si>
    <t>קרית חנה - 2 כר'</t>
  </si>
  <si>
    <t>חפץ, אלחנן בן בצלאל אורי ליפמאן</t>
  </si>
  <si>
    <t>קרית חנה</t>
  </si>
  <si>
    <t>קובלנץ-מזיא, גרשון בן יצחק זליגמאן משה</t>
  </si>
  <si>
    <t>קרית מלך רב &lt;מכון משנת רבי אהרן&gt; - 2 כר'</t>
  </si>
  <si>
    <t>נבון, יהודה בן אפרים</t>
  </si>
  <si>
    <t>קרית מלך רב - 2 כר'</t>
  </si>
  <si>
    <t>תקי"א - תקכ"ה</t>
  </si>
  <si>
    <t>קרית מלך - 14 כר'</t>
  </si>
  <si>
    <t>בטאון צעירי סאדיגורא</t>
  </si>
  <si>
    <t>קרית מלך - 2 כר'</t>
  </si>
  <si>
    <t>בטאון צעירי סאדיגורה</t>
  </si>
  <si>
    <t>קרית מלך</t>
  </si>
  <si>
    <t>קרית ספר &lt;דפו"ר&gt;</t>
  </si>
  <si>
    <t>קרית ספר &lt;מהדורה חדשה&gt;</t>
  </si>
  <si>
    <t>גינצבורג, מרדכי אהרן בן יהודה אשר</t>
  </si>
  <si>
    <t>ווזל, כלב פייבל בן יוסף</t>
  </si>
  <si>
    <t>קרית ספר - 2 כר'</t>
  </si>
  <si>
    <t>קרית ספר - 4 כר'</t>
  </si>
  <si>
    <t>קרית ספר - 24 כר'</t>
  </si>
  <si>
    <t>קובץ מכון נחלת ישראל</t>
  </si>
  <si>
    <t>קרית עוז - 2 כר'</t>
  </si>
  <si>
    <t>קרית שמע</t>
  </si>
  <si>
    <t>גאטינייו, בנבנישתי מירקאדו בן חיים אברהם</t>
  </si>
  <si>
    <t>קרן אור פני משה</t>
  </si>
  <si>
    <t>קרן אור - משה ידבר</t>
  </si>
  <si>
    <t>קרן אור</t>
  </si>
  <si>
    <t>משה בן יהודה ליב מדרוהוביץ'</t>
  </si>
  <si>
    <t>קרן אורה המפואר - 4 כר'</t>
  </si>
  <si>
    <t>מינקובסקי, יצחק בן אהרן</t>
  </si>
  <si>
    <t>קרן אורה - 9 כר'</t>
  </si>
  <si>
    <t>קרן אורה - 2 כר'</t>
  </si>
  <si>
    <t>מרגליות, אברהם צבי</t>
  </si>
  <si>
    <t>קרן בן שמן</t>
  </si>
  <si>
    <t>שירות מליצות ודרושים מאת חכמי מרוקו</t>
  </si>
  <si>
    <t>קרן דוד - 2 כר'</t>
  </si>
  <si>
    <t>קרן דוד</t>
  </si>
  <si>
    <t>מחברים שונים</t>
  </si>
  <si>
    <t>קרן דוד - א</t>
  </si>
  <si>
    <t>קובץ ג'רבאי</t>
  </si>
  <si>
    <t>קרן היובל</t>
  </si>
  <si>
    <t>קרן הצבי</t>
  </si>
  <si>
    <t>קרן הצבי - א &lt;מצוות א-כג&gt;</t>
  </si>
  <si>
    <t>קרן, ירדן צבי</t>
  </si>
  <si>
    <t>קרן התורה - ריבית</t>
  </si>
  <si>
    <t>קרן יהושע - 2 כר'</t>
  </si>
  <si>
    <t>אפשטיין, יהושע בן נחמן</t>
  </si>
  <si>
    <t>תרנ"ז - תרס"ו</t>
  </si>
  <si>
    <t>קרן ישועה</t>
  </si>
  <si>
    <t>צבי הירש בן דוב מדוברי</t>
  </si>
  <si>
    <t>קרן ישועה - 3 כר'</t>
  </si>
  <si>
    <t>שפירא, יהושע בן צבי אלימלך</t>
  </si>
  <si>
    <t>קרן ישי</t>
  </si>
  <si>
    <t>זילברמן, ישראל יצחק</t>
  </si>
  <si>
    <t>הלכה ומנהג, תולדות עם ישראל, תלמוד בבלי, תנ"ך</t>
  </si>
  <si>
    <t>קרן ישי - 3 כר'</t>
  </si>
  <si>
    <t>קרן ישעי</t>
  </si>
  <si>
    <t>קרן ישראל</t>
  </si>
  <si>
    <t>קרן לדוד &lt;מהדורה חדשה&gt; - 6 כר'</t>
  </si>
  <si>
    <t>קרן לדוד ולזרעו</t>
  </si>
  <si>
    <t>חדד, דוד בן מעתוק</t>
  </si>
  <si>
    <t>משנה, משנה, משנה, תלמוד בבלי, תלמוד בבלי, תלמוד בבלי, תנ"ך, תנ"ך, תנ"ך</t>
  </si>
  <si>
    <t>קרן לדוד - 3 כר'</t>
  </si>
  <si>
    <t>דרושים, נושאים שונים, שאלות ותשובות, תולדות עם ישראל, תלמוד בבלי</t>
  </si>
  <si>
    <t>קרן לדוד</t>
  </si>
  <si>
    <t>חדאד, דוד בן מעתוק</t>
  </si>
  <si>
    <t>קרן ליצהר - צהר ליוסף</t>
  </si>
  <si>
    <t>קרן עור</t>
  </si>
  <si>
    <t>קרן פני משה - 2 כר'</t>
  </si>
  <si>
    <t>גרינעס, משה בן אברהם איסר</t>
  </si>
  <si>
    <t>קרן צבי</t>
  </si>
  <si>
    <t>כהן, מאיר צבי בן דוד</t>
  </si>
  <si>
    <t>קרן שחר</t>
  </si>
  <si>
    <t>אלטשולר, אהרן מאיר בן א ל</t>
  </si>
  <si>
    <t>קרן שמואל</t>
  </si>
  <si>
    <t>אשכנזי, שלמה זלמן בן יחזקיה הסל</t>
  </si>
  <si>
    <t>תפ"ז הס'</t>
  </si>
  <si>
    <t>קרנות המזבח &lt;מהדורה חדשה&gt;</t>
  </si>
  <si>
    <t>סובה, יוקיל</t>
  </si>
  <si>
    <t>קרנות המזבח</t>
  </si>
  <si>
    <t>זילברשטיין, אברהם שמואל צבי הירש בן אביגדור עזרא</t>
  </si>
  <si>
    <t>קרנות צדיק - 3 כר'</t>
  </si>
  <si>
    <t>קרני אור &lt;על הגה"צ ר' זונדל קרויזר&gt;</t>
  </si>
  <si>
    <t>פליסקין, משה מרדכי</t>
  </si>
  <si>
    <t>קרני אור</t>
  </si>
  <si>
    <t>גאבל, יחזקאל</t>
  </si>
  <si>
    <t>קרני אור - גיטין</t>
  </si>
  <si>
    <t>קרני אור - 2 כר'</t>
  </si>
  <si>
    <t>קומין, ירחמיאל בן ישראל</t>
  </si>
  <si>
    <t>קרני ההוד</t>
  </si>
  <si>
    <t>קרני צבי</t>
  </si>
  <si>
    <t>ווירניק, צבי זאב בן שלמה זלמן</t>
  </si>
  <si>
    <t>תרמ"ג-תרמ"ה</t>
  </si>
  <si>
    <t>קרני רא"ם</t>
  </si>
  <si>
    <t>קרני ראם</t>
  </si>
  <si>
    <t>חדאד, יצחק</t>
  </si>
  <si>
    <t>קרני ראם - 3 כר'</t>
  </si>
  <si>
    <t>קרני ראם - 2 כר'</t>
  </si>
  <si>
    <t>קובנר, מרדכי אליעזר בן שלמה זלמן</t>
  </si>
  <si>
    <t>קרני ראם, זרע יצחק</t>
  </si>
  <si>
    <t>קרני ראמים - חורש</t>
  </si>
  <si>
    <t>סלומון, אברהם מרדכי</t>
  </si>
  <si>
    <t>קרני ראמים</t>
  </si>
  <si>
    <t>קרני רמים - 2 כר'</t>
  </si>
  <si>
    <t>קשוט - א-ט</t>
  </si>
  <si>
    <t>בטאון לענייני רבנות ויהדות</t>
  </si>
  <si>
    <t>תשנ"ד - תשנ"ז</t>
  </si>
  <si>
    <t>קשוטי חן</t>
  </si>
  <si>
    <t>קשוטי כלה</t>
  </si>
  <si>
    <t>יעקב ליב בן שמואל זאנוויל מזיטומיר</t>
  </si>
  <si>
    <t>קשוטין דאורייתא</t>
  </si>
  <si>
    <t>קשוטין לאורייתא</t>
  </si>
  <si>
    <t>קשורי חן</t>
  </si>
  <si>
    <t>קשורים ליעקב, אורח מישור, דרך ישר</t>
  </si>
  <si>
    <t>קשות הנסך - 2 כר'</t>
  </si>
  <si>
    <t>קשות מיושב</t>
  </si>
  <si>
    <t>יעקובוביץ, שלמה ליב בן ישראל יצחק</t>
  </si>
  <si>
    <t>קשייתא - 2 כר'</t>
  </si>
  <si>
    <t>וויינגארטן, יואב יהושע בן נתן נטע (מלוקט מספריו)</t>
  </si>
  <si>
    <t>קשר אומן</t>
  </si>
  <si>
    <t>צוקר, משה</t>
  </si>
  <si>
    <t>קשר גודל</t>
  </si>
  <si>
    <t>קשר הדל"ת של תפילין</t>
  </si>
  <si>
    <t>קשר של קיימא</t>
  </si>
  <si>
    <t>מייזלס, אברהם</t>
  </si>
  <si>
    <t>קשר תורה &lt;מהדורה חדשה&gt;</t>
  </si>
  <si>
    <t>ארנוביץ, יצחק בן מנחם נחום</t>
  </si>
  <si>
    <t>קשר תורה</t>
  </si>
  <si>
    <t>קשת ומגן</t>
  </si>
  <si>
    <t>תקנ"</t>
  </si>
  <si>
    <t>קשת יהונתן</t>
  </si>
  <si>
    <t>יפרח, שמעון יוחאי בן אשר</t>
  </si>
  <si>
    <t>קשת נחושה</t>
  </si>
  <si>
    <t>ר' אלה - תולדות רבי אליהו לופיאן</t>
  </si>
  <si>
    <t>שלוסברג, דוד יוסף</t>
  </si>
  <si>
    <t>ר' אליהו גודאל ז"ל</t>
  </si>
  <si>
    <t>ר' אליעזר ליפמן קמיניץ</t>
  </si>
  <si>
    <t>וינברג, גרשון מרדכי</t>
  </si>
  <si>
    <t>ר' אשר (פריינד) - מפי תלמידיו</t>
  </si>
  <si>
    <t>ר' בנימין הירש ז"ל</t>
  </si>
  <si>
    <t>הירש, יוסף בן בנימין</t>
  </si>
  <si>
    <t>ר' בצלאל לפין</t>
  </si>
  <si>
    <t>ר' הירש</t>
  </si>
  <si>
    <t>פאליי, צבי זאב (אודותיו)</t>
  </si>
  <si>
    <t>ר' יאיר חיים בכרך (גרמנית)</t>
  </si>
  <si>
    <t>קאופמן, ד</t>
  </si>
  <si>
    <t>טרייר</t>
  </si>
  <si>
    <t>ר' יואל משה סלומון פועלו ותולדותיו</t>
  </si>
  <si>
    <t>מנדלבוים, שמחה - וולנסקי, עודד</t>
  </si>
  <si>
    <t>ר' יום טוב ליפמן מיהלהויזן</t>
  </si>
  <si>
    <t>אבן-שמואל, יהודה בן שמואל</t>
  </si>
  <si>
    <t>הלכה ומנהג, מחשבה ומוסר, תולדות עם ישראל, תפלות בקשות פיוטים ושירה</t>
  </si>
  <si>
    <t>ר' יוסל  איש ירושלים</t>
  </si>
  <si>
    <t>אייכלר, שלמה זלמן</t>
  </si>
  <si>
    <t>ר' יוסף ששפורטש וספר תשובותיו</t>
  </si>
  <si>
    <t>ששפורטש, יוסף - עמינח, נח</t>
  </si>
  <si>
    <t>ר' יעקב סלאמה - הצדיק המופלא מתונסיה</t>
  </si>
  <si>
    <t>ר' מרדכי'לי מסלונים זצ"ל</t>
  </si>
  <si>
    <t>בן עזרא, עקיבא בן עזרא</t>
  </si>
  <si>
    <t>ר' משה הדרשן מנרבונה</t>
  </si>
  <si>
    <t>שאר ספרי חז"ל, תלמוד בבלי, תנ"ך, תפלות בקשות פיוטים ושירה</t>
  </si>
  <si>
    <t>ר' משה שמואל ודורו</t>
  </si>
  <si>
    <t>ר' נחמן מבראסלב</t>
  </si>
  <si>
    <t>ר' פינחס מיכאל זצ"ל</t>
  </si>
  <si>
    <t>ר' שלוימלה</t>
  </si>
  <si>
    <t>ברנד, מ, ח,</t>
  </si>
  <si>
    <t>ר' שלמה דאפיאירה</t>
  </si>
  <si>
    <t>ר' שלמה - תולדות חייו ומשנתו של רבי שלמה פרייפלד</t>
  </si>
  <si>
    <t>בסר, ישראל</t>
  </si>
  <si>
    <t>ר' שמואל אליהו</t>
  </si>
  <si>
    <t>ראב"ן &lt;אבן שלמה&gt;</t>
  </si>
  <si>
    <t>שאלות ותשובות, שאלות ותשובות, תולדות עם ישראל, תלמוד בבלי, תלמוד בבלי, תלמוד בבלי, תלמוד בבלי</t>
  </si>
  <si>
    <t>ראב"ן &lt;אבני שהם&gt;</t>
  </si>
  <si>
    <t>הלכה ומנהג, שאלות ותשובות, תולדות עם ישראל, תלמוד בבלי</t>
  </si>
  <si>
    <t>ראב"ן &lt;דפו"ר&gt;</t>
  </si>
  <si>
    <t>ראב"ן - 3 כר'</t>
  </si>
  <si>
    <t>אליעזר בן נתן (ראב"ן) - דבליצקי, דוד בן שריה (עורך)</t>
  </si>
  <si>
    <t>ראב"ן - 2 כר'</t>
  </si>
  <si>
    <t>ראבי"ה השלם &lt;מהדורת דבליצקי&gt; - 4 כר'</t>
  </si>
  <si>
    <t>אליעזר בן יואל הלוי (ראבי"ה) - דבליצקי, דוד בן שריה (מהדיר)</t>
  </si>
  <si>
    <t>ראבי"ה - 6 כר'</t>
  </si>
  <si>
    <t>ראדיא רעדעס</t>
  </si>
  <si>
    <t>ליבוביץ, יעקב</t>
  </si>
  <si>
    <t>ראה חיים &lt;תכונת הארץ&gt;</t>
  </si>
  <si>
    <t>ראה חיים</t>
  </si>
  <si>
    <t>בכר, מיכאל</t>
  </si>
  <si>
    <t>ואזנר, חיים מאיר בן שמואל הלוי</t>
  </si>
  <si>
    <t>ראה חיים - 4 כר'</t>
  </si>
  <si>
    <t>טרבלסי, חיים</t>
  </si>
  <si>
    <t>ראה חיים - 2 כר'</t>
  </si>
  <si>
    <t>ראוי לבילה</t>
  </si>
  <si>
    <t>ראומה</t>
  </si>
  <si>
    <t>נחשון מארץ שנער</t>
  </si>
  <si>
    <t>ראי הדעת - טהרות</t>
  </si>
  <si>
    <t>קצנלבוגן, רפאל אליהו יצחק הלוי</t>
  </si>
  <si>
    <t>ראיה מהימנא</t>
  </si>
  <si>
    <t>ראיית העיבור</t>
  </si>
  <si>
    <t>קוק, אברהם אליעזר בן יצחק משה</t>
  </si>
  <si>
    <t>ראיתי צדיק - אלבום מראות מצדיקי הוסיאטין</t>
  </si>
  <si>
    <t>ראקישוק - יזכור בוך ראקישוק וסביבותיה</t>
  </si>
  <si>
    <t>ראש אליהו - 10 כר'</t>
  </si>
  <si>
    <t>כ"ץ, אליהו בן אברהם שלמה</t>
  </si>
  <si>
    <t>ראש אמיר - 2 כר'</t>
  </si>
  <si>
    <t>ראש אמיר</t>
  </si>
  <si>
    <t>ראש אמנה - 4 כר'</t>
  </si>
  <si>
    <t>ראש אמנה - 2 כר'</t>
  </si>
  <si>
    <t>ראש אמנה - זרעים א</t>
  </si>
  <si>
    <t>שפירא, אברהם</t>
  </si>
  <si>
    <t>ראש אפרים - 4 כר'</t>
  </si>
  <si>
    <t>ראש אריה</t>
  </si>
  <si>
    <t>ביאליבלוצקי, אריה ליב בן שמואל שרגא</t>
  </si>
  <si>
    <t>קאמלאהר, יקותיאל אריה</t>
  </si>
  <si>
    <t>ראש אשמורות &lt;מכון משנת רבי אהרן&gt;</t>
  </si>
  <si>
    <t>ראש אשמורות</t>
  </si>
  <si>
    <t>שכ"ח - תשנ"ז</t>
  </si>
  <si>
    <t>שלוניקי  - טורנטו</t>
  </si>
  <si>
    <t>ראש דוד - 3 כר'</t>
  </si>
  <si>
    <t>ראש דעה - 3 כר'</t>
  </si>
  <si>
    <t>שמואלביץ, רפאל</t>
  </si>
  <si>
    <t>ראש הגבעה - 2 כר'</t>
  </si>
  <si>
    <t>ראש הילולי - ב"ב</t>
  </si>
  <si>
    <t>ראש הכרמל</t>
  </si>
  <si>
    <t>ראש המזבח - 2 כר'</t>
  </si>
  <si>
    <t>היילפרין, אלכסנדר שמואל בן פינחס דוד</t>
  </si>
  <si>
    <t>ראש השנה לאילנות</t>
  </si>
  <si>
    <t>בני-עקיבא</t>
  </si>
  <si>
    <t>ראש השנה של הצדיק האמת</t>
  </si>
  <si>
    <t>ראש השנה, עשרת ימי תשובה, יום כיפור, חנוכה</t>
  </si>
  <si>
    <t>ראש השרביט</t>
  </si>
  <si>
    <t>שמרלר, מנחם מנדל ראובן</t>
  </si>
  <si>
    <t>ראש חודש בהלכה ובאגדה</t>
  </si>
  <si>
    <t>ראש חודש טבת "ראש חודש אלבנאת"</t>
  </si>
  <si>
    <t>ראש יהושע - 2 כר'</t>
  </si>
  <si>
    <t>ראש יוסף &lt;מהדורה חדשה&gt; - 4 כר'</t>
  </si>
  <si>
    <t>ראש יוסף - 3 כר'</t>
  </si>
  <si>
    <t>אישקאפה, יוסף בן שאול</t>
  </si>
  <si>
    <t>ראש יוסף</t>
  </si>
  <si>
    <t>הכהן, אברהם דוד בן אשר יוסף</t>
  </si>
  <si>
    <t>ראש יוסף - 2 כר'</t>
  </si>
  <si>
    <t>יוסף בן יעקב</t>
  </si>
  <si>
    <t>קיטן Koethen</t>
  </si>
  <si>
    <t>יוסף בן ירחמיאל</t>
  </si>
  <si>
    <t>יוסף, משה</t>
  </si>
  <si>
    <t>כולל אברכים ראש  יוסף</t>
  </si>
  <si>
    <t>תאומים, יוסף בן מאיר - נתנזן, מאיר משה בן יהודה</t>
  </si>
  <si>
    <t>ראש יוסף - 4 כר'</t>
  </si>
  <si>
    <t>ראש לראובני</t>
  </si>
  <si>
    <t>לווין, ראובן בן אברהם הלוי</t>
  </si>
  <si>
    <t>ראש מלכים</t>
  </si>
  <si>
    <t>ראש מנשה</t>
  </si>
  <si>
    <t>ראש מר דרור</t>
  </si>
  <si>
    <t>מרדכי בן יצחק הכהן אשכנזי</t>
  </si>
  <si>
    <t>ראש משביר &lt;הוצאה חדשה&gt;</t>
  </si>
  <si>
    <t>ראש משביר - 2 כר'</t>
  </si>
  <si>
    <t>תקפ"א - ת"ר</t>
  </si>
  <si>
    <t>ראש פינה</t>
  </si>
  <si>
    <t>ראש פינה - הל' יבום וחליצה</t>
  </si>
  <si>
    <t>פפנהיים, אברהם שמואל בן יעקב</t>
  </si>
  <si>
    <t>ראש פנה, פנת יקרת</t>
  </si>
  <si>
    <t>ראש שמחתי</t>
  </si>
  <si>
    <t>ביטון, אשר בן דוד</t>
  </si>
  <si>
    <t>ראש שמחתי - א</t>
  </si>
  <si>
    <t>ראשון לציון &lt;מהדורה חדשה&gt; - 5 כר'</t>
  </si>
  <si>
    <t>ראשון לציון - 2 כר'</t>
  </si>
  <si>
    <t>ראשונים ואחרונים</t>
  </si>
  <si>
    <t>ראשונים כמלאכים - 2 כר'</t>
  </si>
  <si>
    <t>עבוד, יצחק רחמים בן אליהו</t>
  </si>
  <si>
    <t>ראשי אבות - תשרי, מרחשון</t>
  </si>
  <si>
    <t>ראשי אבות</t>
  </si>
  <si>
    <t>ראשי בשמים &lt;מהדורה חדשה&gt;</t>
  </si>
  <si>
    <t>פולאק, יוסף שמעון בן אברהם</t>
  </si>
  <si>
    <t>ראשי בשמים א -ב</t>
  </si>
  <si>
    <t>גוריון, משה יואל בן מאיר שלום הכהן</t>
  </si>
  <si>
    <t>ראשי בשמים</t>
  </si>
  <si>
    <t>חסידות, משנה, תולדות עם ישראל, תלמוד בבלי, תנ"ך</t>
  </si>
  <si>
    <t>ראשי בשמים - שושנת המלך</t>
  </si>
  <si>
    <t>משרקי, דוד בן שלמה</t>
  </si>
  <si>
    <t>ראשי בשמים - 2 כר'</t>
  </si>
  <si>
    <t>רוזנמן, רפאל יוסף בן מרדכי</t>
  </si>
  <si>
    <t>ראשי הרים  - אדמו"ר ר' יצחק מאיר מקאפיטשניץ</t>
  </si>
  <si>
    <t>ראשי חדשים כהלכתם</t>
  </si>
  <si>
    <t>ראשי פרקים</t>
  </si>
  <si>
    <t>ראשי פרקים - כתובות</t>
  </si>
  <si>
    <t>פריינד, צבי</t>
  </si>
  <si>
    <t>ראשי שערים - 4 כר'</t>
  </si>
  <si>
    <t>ראשי תיבות</t>
  </si>
  <si>
    <t>שטרן, אברהם יצחק בן יונה</t>
  </si>
  <si>
    <t>ראשית אוני - ביכורים</t>
  </si>
  <si>
    <t>ראשית ביכורי אדמתך</t>
  </si>
  <si>
    <t>ראשית ביכורים</t>
  </si>
  <si>
    <t>לסרי, יהודה בן חיים</t>
  </si>
  <si>
    <t>ראשית בכורי הביבליוגרפיה בספרות העברית</t>
  </si>
  <si>
    <t>זלאטקין, מנחם מנדל</t>
  </si>
  <si>
    <t>ראשית בכורי משה חיים א-ב</t>
  </si>
  <si>
    <t>תרמ"ח - תרנ"ד</t>
  </si>
  <si>
    <t>ראשית בכורי קציר</t>
  </si>
  <si>
    <t>ראשית בכורי</t>
  </si>
  <si>
    <t>ראשית בכורים - 2 כר'</t>
  </si>
  <si>
    <t>וויינברג, אברהם בן י. נ.</t>
  </si>
  <si>
    <t>ראשית בכורים</t>
  </si>
  <si>
    <t>ראשית דבר</t>
  </si>
  <si>
    <t>לקט נפלא מתוך הקדמות</t>
  </si>
  <si>
    <t>ראשית דגנך</t>
  </si>
  <si>
    <t>ראשית דוד</t>
  </si>
  <si>
    <t>ראשית דעת</t>
  </si>
  <si>
    <t>אטון, שבתי</t>
  </si>
  <si>
    <t>ראשית דעת - 3 כר'</t>
  </si>
  <si>
    <t>ראשית דעת - 2 כר'</t>
  </si>
  <si>
    <t>אסקולי, יצחק אליהו מנחם</t>
  </si>
  <si>
    <t>ראשית דעת - 5 כר'</t>
  </si>
  <si>
    <t>ראשית הישוב מחוץ לחומת ירושלם</t>
  </si>
  <si>
    <t>ראשית העבודה</t>
  </si>
  <si>
    <t>ראשית העומר</t>
  </si>
  <si>
    <t>בוהוסובסקי, שמואל בן פינחס אליהו</t>
  </si>
  <si>
    <t>ראשית הפייטנות בבלקנים</t>
  </si>
  <si>
    <t>ראשית השנה</t>
  </si>
  <si>
    <t>צ'צ'יק, שמואל בן אברהם חיים (עורך)</t>
  </si>
  <si>
    <t>ראשית חכמה &lt;דפו"ר&gt; - 2 כר'</t>
  </si>
  <si>
    <t>די ווידאש, אליהו בן משה</t>
  </si>
  <si>
    <t>ראשית חכמה הקצר - 3 כר'</t>
  </si>
  <si>
    <t>ראשית חכמה הקצר</t>
  </si>
  <si>
    <t>[תפ"ה,</t>
  </si>
  <si>
    <t>ראשית חכמה</t>
  </si>
  <si>
    <t>ראשית חכמה - ברכות</t>
  </si>
  <si>
    <t>ח"ד</t>
  </si>
  <si>
    <t>ראשית חכמה - 9 כר'</t>
  </si>
  <si>
    <t>ראשית חכמה, ספר הטעמים</t>
  </si>
  <si>
    <t>ראשית ישראל - מקוואות</t>
  </si>
  <si>
    <t>הלכה ומנהג, משנה, שאר ספרי חז"ל</t>
  </si>
  <si>
    <t>ראשית למודים</t>
  </si>
  <si>
    <t>מנץ, אברהם יוסף בן שמעון וולף</t>
  </si>
  <si>
    <t>ראשית למחשבה ישראלית</t>
  </si>
  <si>
    <t>ראשית למלאת שבעים שנה לפתח תקוה</t>
  </si>
  <si>
    <t>טרופה, אלעזר בן אביגדור</t>
  </si>
  <si>
    <t>ראשית מגדים</t>
  </si>
  <si>
    <t>הולנדר, אברהם יצחק בן יוסף פינחס הכהן</t>
  </si>
  <si>
    <t>הלכה ומנהג, נושאים שונים, שאלות ותשובות, שלחן ערוך ומפרשיו, שלחן ערוך ומפרשיו</t>
  </si>
  <si>
    <t>ראשית עריסותיכם - טהרת ידים</t>
  </si>
  <si>
    <t>אטיק, דוד בן מנדל</t>
  </si>
  <si>
    <t>ראשית עריסותכם - חלה</t>
  </si>
  <si>
    <t>ראשית - 2 כר'</t>
  </si>
  <si>
    <t>רב אלפס - א</t>
  </si>
  <si>
    <t>רב אלפס - מלחמות השם - ספר הזכות - מאה שערים - חידושי הרשב"א ליקוטים והשלמות - כ</t>
  </si>
  <si>
    <t>מצגר, דוד בן יהושע מנחם  (עורך)</t>
  </si>
  <si>
    <t>רב אשי</t>
  </si>
  <si>
    <t>צורי, יעקב שמואל</t>
  </si>
  <si>
    <t>רב ברכות השלם</t>
  </si>
  <si>
    <t>רב ברכות</t>
  </si>
  <si>
    <t>רב ברכות - 3 כר'</t>
  </si>
  <si>
    <t>רב דגן - 2 כר'</t>
  </si>
  <si>
    <t>תרכ"ב - תרמ"ז</t>
  </si>
  <si>
    <t>רב האי גאון (מתוך ספר השנה)</t>
  </si>
  <si>
    <t>רב האי גאון</t>
  </si>
  <si>
    <t>רב החובל</t>
  </si>
  <si>
    <t>דודזאן, יעקב ליב בן יחיאל</t>
  </si>
  <si>
    <t>רב חסד - 2 כר'</t>
  </si>
  <si>
    <t>רב חסד</t>
  </si>
  <si>
    <t>שטרן, מרדכי בן אברהם</t>
  </si>
  <si>
    <t>רב טבחיא</t>
  </si>
  <si>
    <t>וואינר, מאיר אליהו בן יהודה יעקב</t>
  </si>
  <si>
    <t>רב טוב</t>
  </si>
  <si>
    <t>רב טובך - 2 כר'</t>
  </si>
  <si>
    <t>מנטשל, ברוך מאיר בן דניאל בן ציון</t>
  </si>
  <si>
    <t>רב יוסף</t>
  </si>
  <si>
    <t>קצבי, יוסף</t>
  </si>
  <si>
    <t>רב ייבי &lt;מהדורה חדשה&gt; - 2 כר'</t>
  </si>
  <si>
    <t>רב ייבי &lt;מהדורת המסורה&gt; - 2 כר'</t>
  </si>
  <si>
    <t>רב ייבי - 2 כר'</t>
  </si>
  <si>
    <t>רב יעקב מזא"ה</t>
  </si>
  <si>
    <t>רב כמלאך</t>
  </si>
  <si>
    <t>גוטמן , יוסף</t>
  </si>
  <si>
    <t>רב מלכי"א</t>
  </si>
  <si>
    <t>רב מרדכי</t>
  </si>
  <si>
    <t>ריווא דטרינט,</t>
  </si>
  <si>
    <t>רב נסים גאון &lt;חמשה ספרים&gt;</t>
  </si>
  <si>
    <t>הלכה ומנהג, מחשבה ומוסר, נושאים שונים, תולדות עם ישראל, תלמוד בבלי</t>
  </si>
  <si>
    <t>רב סעדיה גאון</t>
  </si>
  <si>
    <t>אונא, יוסף בן משה</t>
  </si>
  <si>
    <t>ספיבאק, יצחק בן אשר</t>
  </si>
  <si>
    <t>קובץ תורני מדעי</t>
  </si>
  <si>
    <t>רב פנינים - 2 כר'</t>
  </si>
  <si>
    <t>רב פנינים</t>
  </si>
  <si>
    <t>רב פעלים</t>
  </si>
  <si>
    <t>ברמאן, יצחק בן פינחס</t>
  </si>
  <si>
    <t>רב פעלים - 4 כר'</t>
  </si>
  <si>
    <t>תרס"א - תרע"ב</t>
  </si>
  <si>
    <t>קבלה, קבלה, שאלות ותשובות, תולדות עם ישראל</t>
  </si>
  <si>
    <t>רב רבנן</t>
  </si>
  <si>
    <t>אסבאג, יצחק</t>
  </si>
  <si>
    <t>רב רבנן - על מרן בעל שבט הלוי</t>
  </si>
  <si>
    <t>רב שיח</t>
  </si>
  <si>
    <t>אורבך, שמואל</t>
  </si>
  <si>
    <t>רב שלום - 2 כר'</t>
  </si>
  <si>
    <t>אדלר, שלום בן מנחם</t>
  </si>
  <si>
    <t>רב שרירא גאון</t>
  </si>
  <si>
    <t>רבבות אפרים &lt;מחשבה והגות&gt; - 3 כר'</t>
  </si>
  <si>
    <t>רבבות אפרים &lt;על התורה&gt; - ב</t>
  </si>
  <si>
    <t>גרינבלט, אפרים בן אברהם ברוך</t>
  </si>
  <si>
    <t>ממפיס</t>
  </si>
  <si>
    <t>רבבות אפרים (שמעתתא דרבית) - א</t>
  </si>
  <si>
    <t>רבבות אפרים (שמעתתא דריבית) - ב</t>
  </si>
  <si>
    <t>רבבות אפרים - 3 כר'</t>
  </si>
  <si>
    <t>רבבות אפרים - 10 כר'</t>
  </si>
  <si>
    <t>רבבות אפרים</t>
  </si>
  <si>
    <t>מורגנשטרן, אברהם בן אפרים פישל מאיר</t>
  </si>
  <si>
    <t>רבבות ויובלות - 2 כר'</t>
  </si>
  <si>
    <t>נוף, יובל</t>
  </si>
  <si>
    <t>רבבות קודש</t>
  </si>
  <si>
    <t>רבה אמנותך - שיר השירים רבה א</t>
  </si>
  <si>
    <t>רבות בנות עשו חיל</t>
  </si>
  <si>
    <t>רבות בנות - 2 כר'</t>
  </si>
  <si>
    <t>רבותינו רועי ישראל - תולדות אדמור"י סטריקוב</t>
  </si>
  <si>
    <t>שיינבאך, חיים צבי</t>
  </si>
  <si>
    <t>רבותינו שבגולה - 2 כר'</t>
  </si>
  <si>
    <t>זעירא, משה בן נחמיה</t>
  </si>
  <si>
    <t>רבותינו שבגולה</t>
  </si>
  <si>
    <t>לייטר, נתן נטע בן יחיאל מיכל</t>
  </si>
  <si>
    <t>רבותינו</t>
  </si>
  <si>
    <t>רבי אברהם אבן עזרא - ב</t>
  </si>
  <si>
    <t>רבי אברהם אליעזר מינצברג - ראש משפחת מינצברג</t>
  </si>
  <si>
    <t>רבי אברהם בן עזרא</t>
  </si>
  <si>
    <t>רבי אברהם הלוי בעל גינת ורדים ובני דורו</t>
  </si>
  <si>
    <t>רבי אברהם סבע</t>
  </si>
  <si>
    <t>רבי אהרן ליב</t>
  </si>
  <si>
    <t>רבי אורי מ'סטרעליסק</t>
  </si>
  <si>
    <t>פריינד, שמחה</t>
  </si>
  <si>
    <t>חסידות, נושאים שונים, קבלה, תולדות עם ישראל</t>
  </si>
  <si>
    <t>רבי אייזל חריף</t>
  </si>
  <si>
    <t>רבי איצלה - תולדות רבי איצלה בלזר</t>
  </si>
  <si>
    <t>בלזר, מרדכי</t>
  </si>
  <si>
    <t>רבי אלחנן הקדוש</t>
  </si>
  <si>
    <t>רבי אליהו חיים מייזל ז"ל הרב בלודז'</t>
  </si>
  <si>
    <t>ברז'ז'ינסקי, אברהם יהודה בן יצחק אריה</t>
  </si>
  <si>
    <t>רבי אליהו מני</t>
  </si>
  <si>
    <t>מאני, מנשה בן יעקב</t>
  </si>
  <si>
    <t>רבי אליהו פרדס זצ"ל</t>
  </si>
  <si>
    <t>רבי אליהו קפשאלי איש קנדיאה</t>
  </si>
  <si>
    <t>רבי אלימלך מליזענסק</t>
  </si>
  <si>
    <t>איידלבום, מאיר בן יחיאל</t>
  </si>
  <si>
    <t>רבי אליעזר דון יחייא</t>
  </si>
  <si>
    <t>רבי אליעזר הגדול וחבריו</t>
  </si>
  <si>
    <t>רבי אריה ליב יעלין וחיבורו יפה עינים</t>
  </si>
  <si>
    <t>זיסקינד, רבקה</t>
  </si>
  <si>
    <t>רבי ברוך דוב לייבוביץ</t>
  </si>
  <si>
    <t>אדלשטיין, יצחק אלחנן בן שמואל משה</t>
  </si>
  <si>
    <t>(תל-אביב-יפו),</t>
  </si>
  <si>
    <t>רבי גבריאל קונפורטי וחיבורו יסוד עולם - תדפיס</t>
  </si>
  <si>
    <t>רבי דוב מליאובה</t>
  </si>
  <si>
    <t>רבי דונש בן לברט</t>
  </si>
  <si>
    <t>דונש בן לבראט הלוי</t>
  </si>
  <si>
    <t>רבי ועלוול - דער איידלמאן</t>
  </si>
  <si>
    <t>איידלמן,זאב (עליו)</t>
  </si>
  <si>
    <t>רבי זאב ליפשיץ</t>
  </si>
  <si>
    <t>רבי זלמן ינקלביץ</t>
  </si>
  <si>
    <t>ינקלביץ, זלמן</t>
  </si>
  <si>
    <t>רבי זלמן סורוצקין ז"ל</t>
  </si>
  <si>
    <t>רבי חייא רבא</t>
  </si>
  <si>
    <t>רבי חיים בן עטר ופירושו אור החיים על התורה</t>
  </si>
  <si>
    <t>טויטו, אלעזר</t>
  </si>
  <si>
    <t>רבי חיים בן עטר חייו ופעלו</t>
  </si>
  <si>
    <t>רבי חיים יעקב הלפרן</t>
  </si>
  <si>
    <t>הלפרן, נחום יואל</t>
  </si>
  <si>
    <t>רבי חיים פאלאג'י וספריו</t>
  </si>
  <si>
    <t>רבי חיים פישל עפשטיין</t>
  </si>
  <si>
    <t>רבי יהודה אלחריזי - תחכמוני</t>
  </si>
  <si>
    <t>רבי יהודה בר אילעאי</t>
  </si>
  <si>
    <t>רבי יהודה הלוי</t>
  </si>
  <si>
    <t>רבי יהודה הנשיא - חותם המשנה</t>
  </si>
  <si>
    <t>רבי יהונתן איבשיץ</t>
  </si>
  <si>
    <t>לווין, יוסף</t>
  </si>
  <si>
    <t>רבי יהושע מהוראדנא זצ"ל</t>
  </si>
  <si>
    <t>צימבליסט, יהושע בן משה אהרן</t>
  </si>
  <si>
    <t>רבי יוסלמן - 2 כר'</t>
  </si>
  <si>
    <t>רבי יוסף איש רוסהיים</t>
  </si>
  <si>
    <t>רבינוביץ, שאול פינחס בן שמואל מרדכי</t>
  </si>
  <si>
    <t>רבי יוסף זונדל מסלאנט</t>
  </si>
  <si>
    <t>ריבלין, אליעזר</t>
  </si>
  <si>
    <t>הלכה ומנהג, מחשבה ומוסר, נושאים שונים, שלחן ערוך ומפרשיו, תלמוד בבלי</t>
  </si>
  <si>
    <t>רבי יוסף חיים זוננפלד זצ"ל</t>
  </si>
  <si>
    <t>רבי יוסף ראש הסדר</t>
  </si>
  <si>
    <t>גינת, ליפא</t>
  </si>
  <si>
    <t>רבי יוסף ריבלין</t>
  </si>
  <si>
    <t>רבי יחזקאל לנדוי</t>
  </si>
  <si>
    <t>וינד, שלמה</t>
  </si>
  <si>
    <t>רבי יעקב (קמנצקי)</t>
  </si>
  <si>
    <t>קמנצקי, נתן בן יעקב</t>
  </si>
  <si>
    <t>רבי יעקב אליישר</t>
  </si>
  <si>
    <t>רבי יעקב יצחק מפשיסחה - 2 כר'</t>
  </si>
  <si>
    <t>רבינוביץ, צבי מאיר בן יצחק מרדכי הכהן</t>
  </si>
  <si>
    <t>רבי יצחק אלחנן זצ"ל</t>
  </si>
  <si>
    <t>ליפשיץ, נטע בן יעקב הלוי</t>
  </si>
  <si>
    <t>רבי יצחק אלחנן ספקטור תולדות חייו ואגרותיו</t>
  </si>
  <si>
    <t>רבי יצחק בר ששת</t>
  </si>
  <si>
    <t>בר ששת, דוד</t>
  </si>
  <si>
    <t>רבי יצחק ממגנצא</t>
  </si>
  <si>
    <t>רבי ישראל בעל שם טוב</t>
  </si>
  <si>
    <t>רבי ישראל בעל שם טוב - 2 כר'</t>
  </si>
  <si>
    <t>רבי ישראל זאב גוסטמן זצ"ל</t>
  </si>
  <si>
    <t>לקט עיתונות</t>
  </si>
  <si>
    <t>רבי ישראל מאיר הכהן בעל חפץ חיים</t>
  </si>
  <si>
    <t>כ"ץ, דוב בן יעקב</t>
  </si>
  <si>
    <t>רבי ישראל מסלנט</t>
  </si>
  <si>
    <t>רבי ישראל משקלוב</t>
  </si>
  <si>
    <t>רבי לוי יצחק מברדיצ'ב</t>
  </si>
  <si>
    <t>רבי מאיר  מלובלין</t>
  </si>
  <si>
    <t>רבי מאיר יחיאל מאוסטרובצה</t>
  </si>
  <si>
    <t>רבי מאיר מארים מקוברין - ספר ניר - נדרים</t>
  </si>
  <si>
    <t>רוטנברג, הלל - שאפיט, מאיר מארים בן משה</t>
  </si>
  <si>
    <t>רבי מאיר מרוטנבורג</t>
  </si>
  <si>
    <t>פאדגורזע,</t>
  </si>
  <si>
    <t>רבי מאיר שפירא זצ"ל</t>
  </si>
  <si>
    <t>תלמידי הישיבה דלובלין</t>
  </si>
  <si>
    <t>רבי מאיר שפירא - 2 כר'</t>
  </si>
  <si>
    <t>רבי מנדלי מקוצק</t>
  </si>
  <si>
    <t>רבי מנחם זמבה</t>
  </si>
  <si>
    <t>רבי מנחם מנדל מרומנוב</t>
  </si>
  <si>
    <t>רבי מרדכי דוד לודמיר</t>
  </si>
  <si>
    <t>פוגל, ישראל</t>
  </si>
  <si>
    <t>רבי משה אבן עזרא - 2 כר'</t>
  </si>
  <si>
    <t>רבי משה איסרלש &lt;הרמ"א&gt;</t>
  </si>
  <si>
    <t>הורוביץ, יהושע הלוי</t>
  </si>
  <si>
    <t>רבי משה בן נחמן - הרמב"ן</t>
  </si>
  <si>
    <t>אונא, יצחק</t>
  </si>
  <si>
    <t>רבי משה מונטיפיורי</t>
  </si>
  <si>
    <t>רבינוביץ, אלכסנדר זיסקינד בן צבי הירש</t>
  </si>
  <si>
    <t>רבי משה מרדכי - 2 כר'</t>
  </si>
  <si>
    <t>שולזינגר, אברהם חיים בן משה מרדכי הלוי</t>
  </si>
  <si>
    <t>רבי משולם מבדריש וחכמי פרובאנס הראשונים</t>
  </si>
  <si>
    <t>רבי נחום הצדיק</t>
  </si>
  <si>
    <t>ירושלמי, שמואל בן חיים יוסף</t>
  </si>
  <si>
    <t>רבי נחום יואל הלפרן ז"ל</t>
  </si>
  <si>
    <t>קליין, יעקב חיים</t>
  </si>
  <si>
    <t>רבי נחום - תולדות רבי נחום ברגמן זצ"ל</t>
  </si>
  <si>
    <t>רבי נחמן מברסלב עיונים בסיפוריו</t>
  </si>
  <si>
    <t>קוק, יהודית בת דב</t>
  </si>
  <si>
    <t>רבי נחמן מברסלב</t>
  </si>
  <si>
    <t>רבי נחמן מברסלב - חייו ותורתו</t>
  </si>
  <si>
    <t>רבי נתנאל ווייל &lt;גרמנית&gt;</t>
  </si>
  <si>
    <t>לוונשטיין, ליאופלד</t>
  </si>
  <si>
    <t>רבי סעדיה אריבי - ספר הזכרון</t>
  </si>
  <si>
    <t>אריבי, אליהו בן סעדיה</t>
  </si>
  <si>
    <t>רבי עזריה פיגו</t>
  </si>
  <si>
    <t>אפפלבוים, אבא בן פתחיה חיים יעקב</t>
  </si>
  <si>
    <t>רבי עקיבא &lt;מעובד לבני הנעורים&gt;</t>
  </si>
  <si>
    <t>[תרפ"-,</t>
  </si>
  <si>
    <t>רבי עקיבא איגר על התורה - נחלת יעקב עה"ת</t>
  </si>
  <si>
    <t>איגר, עקיבא בן משה - יעקב בן מרדכי משעפס</t>
  </si>
  <si>
    <t>רבי עקיבא איגר על התורה - אהלי שם</t>
  </si>
  <si>
    <t>איגר, עקיבא בן משה - פרץ, מיכאל</t>
  </si>
  <si>
    <t>רבי עקיבא איגר - חייו ופעולתו</t>
  </si>
  <si>
    <t>וורעשנער, יעקב יהודה</t>
  </si>
  <si>
    <t>רבי עקיבא ודורו של שמד</t>
  </si>
  <si>
    <t>אינפלד, צבי</t>
  </si>
  <si>
    <t>רבי עקיבא ודורו</t>
  </si>
  <si>
    <t>רבי עקיבא ותורתו</t>
  </si>
  <si>
    <t>ליברמאן, יוסף בן טוביה</t>
  </si>
  <si>
    <t>רבי עקיבא ותלמידיו</t>
  </si>
  <si>
    <t>גרינברג, בנימין בן יצחק</t>
  </si>
  <si>
    <t>רבי עקיבא</t>
  </si>
  <si>
    <t>רבי עקיבה</t>
  </si>
  <si>
    <t>רבי פנחס מקוריץ</t>
  </si>
  <si>
    <t>רבי צבי הירש חיות ז"ל</t>
  </si>
  <si>
    <t>בית-הלוי, ישראל דוד בן יצחק מאיר</t>
  </si>
  <si>
    <t>רבי צבי הירש מרימנוב</t>
  </si>
  <si>
    <t>עובדיה, א.</t>
  </si>
  <si>
    <t>רבי צבי יהודה מלצר זצ"ל</t>
  </si>
  <si>
    <t>רבי שבתי דונולו</t>
  </si>
  <si>
    <t>רבי שלום מעטוף ותכלאל עטרת זקנים</t>
  </si>
  <si>
    <t>רבי שלמה חעלמא</t>
  </si>
  <si>
    <t>בריק, אברהם</t>
  </si>
  <si>
    <t>רבי שלמה שרביט הזהב</t>
  </si>
  <si>
    <t>שרביט הזהב, שלמה בן אליהו</t>
  </si>
  <si>
    <t>רבי שמואל הנגיד</t>
  </si>
  <si>
    <t>רבי שמואל מאהיליווער</t>
  </si>
  <si>
    <t>רבי שמחה בונם מפשיסחה</t>
  </si>
  <si>
    <t>רבי שמעון הפייטן</t>
  </si>
  <si>
    <t>רבי שמעון ותורתו</t>
  </si>
  <si>
    <t>רבי שמעון חסידא</t>
  </si>
  <si>
    <t>תולדות רבי שמעון סופר מערלוי</t>
  </si>
  <si>
    <t>רבי שמשון רפאל הירש</t>
  </si>
  <si>
    <t>רבי שניאור זלמן הירשוביץ</t>
  </si>
  <si>
    <t>גנחובסקי, חיים דוב</t>
  </si>
  <si>
    <t>רביד הזהב &lt;עם ביאור&gt;</t>
  </si>
  <si>
    <t>רביד הזהב גרגירי כסף</t>
  </si>
  <si>
    <t>דב בר בן יהודה ליב - בר צבי מאיר בן יוסף</t>
  </si>
  <si>
    <t>רביד הזהב</t>
  </si>
  <si>
    <t>אברך, זאב וולף בן יצחק אייזיק</t>
  </si>
  <si>
    <t>רביד הזהב - 2 כר'</t>
  </si>
  <si>
    <t>גלרנטר, ישראל דוב בר בן אברהם יוסף</t>
  </si>
  <si>
    <t>רביד הזהב - 5 כר'</t>
  </si>
  <si>
    <t>טירנויער, יצחק אייזיק בן יהודה הלוי</t>
  </si>
  <si>
    <t>רביד הזהב - 6 כר'</t>
  </si>
  <si>
    <t>טריוויש, דוב בר בן יהודה ליב</t>
  </si>
  <si>
    <t>יהודה זעלקי בן יחיאל מיכל</t>
  </si>
  <si>
    <t>רביד הזהב - קידוש השם, ענינים</t>
  </si>
  <si>
    <t>רייכמאן, יוסף בן דוד</t>
  </si>
  <si>
    <t>רביד השולחן - שו"ע הלכות שבת</t>
  </si>
  <si>
    <t>איינהורן, יששכר דב</t>
  </si>
  <si>
    <t>ניו סקוור</t>
  </si>
  <si>
    <t>רביד יוסף</t>
  </si>
  <si>
    <t>טמפלר, אהרן יוסף בן ברוך</t>
  </si>
  <si>
    <t>מועדי ישראל, משנה, שאלות ותשובות, שאר ספרי חז"ל, תלמוד בבלי, תנ"ך</t>
  </si>
  <si>
    <t>רבינו אברהם ב"ר דוד (דרשה לר"ה)</t>
  </si>
  <si>
    <t>אברהם בן דוד מפושקיירש</t>
  </si>
  <si>
    <t>רבינו אור החיים הקדוש</t>
  </si>
  <si>
    <t>רבינו אליקים געץ</t>
  </si>
  <si>
    <t>רבינו אלעזר מגרמיזא</t>
  </si>
  <si>
    <t>קאמלהאר, ישראל בן יקותיאל אריה</t>
  </si>
  <si>
    <t>רבינו אלעזר מטרשקון</t>
  </si>
  <si>
    <t>רבינו אשר ז"ל עם מעדני יו"ט ולחם חמודות - 4 כר'</t>
  </si>
  <si>
    <t>אשר בן יחיאל (רא"ש) - הלר, גרשון שאול יום-טוב ליפמאן בן נתן הלוי</t>
  </si>
  <si>
    <t>רבינו בחיי &lt;עם כמה הוספות&gt; - 2 כר'</t>
  </si>
  <si>
    <t>רבינו בחיי בר אשר</t>
  </si>
  <si>
    <t>רבינו בחיי עה"ת - 2 כר'</t>
  </si>
  <si>
    <t>שנ"ב - שנ"ג</t>
  </si>
  <si>
    <t>רבינו בחיי על התורה עם ספר טוב טעם - 4 כר'</t>
  </si>
  <si>
    <t>רבינו בחיי - 3 כר'</t>
  </si>
  <si>
    <t>רבינו גרשום מאור הגולה</t>
  </si>
  <si>
    <t>רבינו גרשום, רש"י, ר' יהודה החסיד</t>
  </si>
  <si>
    <t>מארק, יודל</t>
  </si>
  <si>
    <t>רבינו הגדול מהר"י אבוהב</t>
  </si>
  <si>
    <t>רבינוביץ, הושע בן יוסף</t>
  </si>
  <si>
    <t>רבינו החזון איש זצ"ל</t>
  </si>
  <si>
    <t>סמינר בית יעקב</t>
  </si>
  <si>
    <t>רבינו החתם סופר מפי כתבו - משה עלה למרום</t>
  </si>
  <si>
    <t>רבינו הקדוש מדאראג</t>
  </si>
  <si>
    <t>פרנקל, שמואל בן שרגא פייבוש (עליו)</t>
  </si>
  <si>
    <t>רבינו הקדוש מהארנסטייפל</t>
  </si>
  <si>
    <t>רבינו הקדוש מטשחויב</t>
  </si>
  <si>
    <t>רבינו הקדוש מראצפערט</t>
  </si>
  <si>
    <t>רבינו הקדוש משינאווא - 2 כר'</t>
  </si>
  <si>
    <t>פרנקל, יחזקאל שרגא בן יוסף שמואל</t>
  </si>
  <si>
    <t>רבינו הקדוש</t>
  </si>
  <si>
    <t>רבינו השאגת אריה</t>
  </si>
  <si>
    <t>רבינו זצ"ל מגור</t>
  </si>
  <si>
    <t>רבינו יונה על מסכת אבות ע"פ יוסף לקח</t>
  </si>
  <si>
    <t>רבינו יוסף קארו</t>
  </si>
  <si>
    <t>רבינו משה איסרליש</t>
  </si>
  <si>
    <t>זיו, אשר</t>
  </si>
  <si>
    <t>רבינו שמעון סופר - 2 כר'</t>
  </si>
  <si>
    <t>רבינו תם ובני דורו</t>
  </si>
  <si>
    <t>רבינו תם רבותיו ותלמידיו</t>
  </si>
  <si>
    <t>רביעי בקודש שקט בנימין</t>
  </si>
  <si>
    <t>רבית בתכנית 'חיסכון לכל ילד'</t>
  </si>
  <si>
    <t>קולר, פנחס</t>
  </si>
  <si>
    <t>רבית דרך קנס</t>
  </si>
  <si>
    <t>רבית הלכה למעשה - ברית פנחס</t>
  </si>
  <si>
    <t>רבית לאור ההלכה - 2 כר'</t>
  </si>
  <si>
    <t>רבן ומושיען של ישראל &lt;קונטרס&gt;</t>
  </si>
  <si>
    <t>רייניץ, חיים אריה</t>
  </si>
  <si>
    <t>רבן ומושיען של ישראל</t>
  </si>
  <si>
    <t>רבן יוחנן בן זכאי ותלמידיו</t>
  </si>
  <si>
    <t>רבן של ישראל</t>
  </si>
  <si>
    <t>רבן של כל בני הגולה</t>
  </si>
  <si>
    <t>רבנו אליהו מוילנא</t>
  </si>
  <si>
    <t>יאצקאן, שמואל יעקב בן משולם משה</t>
  </si>
  <si>
    <t>רבנו הגדול</t>
  </si>
  <si>
    <t>רבנו החזון איש, רבנו חיים עוזר זצ"ל</t>
  </si>
  <si>
    <t>רבנו הקדוש מצאנז - 3 כר'</t>
  </si>
  <si>
    <t>תשל"ו - תש"מ</t>
  </si>
  <si>
    <t>רבנו יוסף בכור שור - 3 כר'</t>
  </si>
  <si>
    <t>רבנו יוסף הלוי אבן מיגאש</t>
  </si>
  <si>
    <t>גרייבסקי, אברהם אריה ליב בן שמשון חיים</t>
  </si>
  <si>
    <t>רבנו מאיר מרוטנבורג</t>
  </si>
  <si>
    <t>רבנו משה בן מימון</t>
  </si>
  <si>
    <t>משה בן מימון (רמב"ם) - לובניק, מ. ב.</t>
  </si>
  <si>
    <t>רבנו משה בן מימון - א-ב</t>
  </si>
  <si>
    <t>נושאים שונים, נושאים שונים, קבצים וכתבי עת, ספרי זכרון ויובל, תולדות עם ישראל</t>
  </si>
  <si>
    <t>רבנו משה סופר</t>
  </si>
  <si>
    <t>נחשוני, יהודה</t>
  </si>
  <si>
    <t>רבנו שמואל מוהליבר ז"ל</t>
  </si>
  <si>
    <t>רבנות וקהילה במשנת מרן החתם סופר זצ"ל</t>
  </si>
  <si>
    <t>וייס, יעקב</t>
  </si>
  <si>
    <t>רבני מינסק וחכמיה</t>
  </si>
  <si>
    <t>רבני קלאוזנבורג</t>
  </si>
  <si>
    <t>זמרוני, שלמה</t>
  </si>
  <si>
    <t>רבנן דאגדתא</t>
  </si>
  <si>
    <t>רבנן סבוראי ותלמודם</t>
  </si>
  <si>
    <t>רבנן קדישי</t>
  </si>
  <si>
    <t>רבע שקל כסף</t>
  </si>
  <si>
    <t>שניצר, ישראל</t>
  </si>
  <si>
    <t>רבץ כאריה</t>
  </si>
  <si>
    <t>רגל ישרה</t>
  </si>
  <si>
    <t>משנה, משנה, נושאים שונים, שאר ספרי חז"ל, תלמוד בבלי</t>
  </si>
  <si>
    <t>קרויס, משה אליעזר בן שמעון</t>
  </si>
  <si>
    <t>רגל ישרה - 2 כר'</t>
  </si>
  <si>
    <t>רגלי כאילות - הורני ה' דרכך</t>
  </si>
  <si>
    <t>רגלי מבשר</t>
  </si>
  <si>
    <t>רגלי מבשר - תולדות רבי עקיבא יוסף שלזינגר</t>
  </si>
  <si>
    <t>מרגלית, ברכה</t>
  </si>
  <si>
    <t>רגעי מוהרא"ש</t>
  </si>
  <si>
    <t>רגש אמרינו</t>
  </si>
  <si>
    <t>בויארסקי, גרשון מאיר בן אברהם</t>
  </si>
  <si>
    <t>רגש לב</t>
  </si>
  <si>
    <t>רגשי הדת - 2 כר'</t>
  </si>
  <si>
    <t>רגשי יהודה</t>
  </si>
  <si>
    <t>קובלנץ, יהודה זונדיל בן משולם פייביש</t>
  </si>
  <si>
    <t>מחשבה ומוסר, מחשבה ומוסר, תולדות עם ישראל, תולדות עם ישראל</t>
  </si>
  <si>
    <t>רגשת חצריה - 4 כר'</t>
  </si>
  <si>
    <t>יום בחצריך</t>
  </si>
  <si>
    <t>רד"ק</t>
  </si>
  <si>
    <t>רדאוץ</t>
  </si>
  <si>
    <t>רדושקוביץ</t>
  </si>
  <si>
    <t>רדזין</t>
  </si>
  <si>
    <t>רדיפי מיא</t>
  </si>
  <si>
    <t>רהיטי ברותים</t>
  </si>
  <si>
    <t>פראנקפורטר, יוסף בן נתן</t>
  </si>
  <si>
    <t>רואים בעיניים עצומות</t>
  </si>
  <si>
    <t>רוב דגן</t>
  </si>
  <si>
    <t>רוב מנין או רוב חכמה</t>
  </si>
  <si>
    <t>רווחא מילתא</t>
  </si>
  <si>
    <t>רווחא שמעתא - 18 כר'</t>
  </si>
  <si>
    <t>סולובייצ'יק, יצחק בן יוסף דובער הלוי</t>
  </si>
  <si>
    <t>רווחא שמעתתא - 2 כר'</t>
  </si>
  <si>
    <t>רוח אבות - בראשית</t>
  </si>
  <si>
    <t>וחניש, רתם בן משה</t>
  </si>
  <si>
    <t>רוח אליהו</t>
  </si>
  <si>
    <t>ולדמן, אליהו הכהן</t>
  </si>
  <si>
    <t>חאקו, אליהו בן יהודה הראשון</t>
  </si>
  <si>
    <t>רוח אלקים</t>
  </si>
  <si>
    <t>רוח דוד ונשמת דוד</t>
  </si>
  <si>
    <t>רוח הגן</t>
  </si>
  <si>
    <t>רוח הי"ם - 2 כר'</t>
  </si>
  <si>
    <t>רוח העת</t>
  </si>
  <si>
    <t>קאפלאן, מרדכי אהרן בן דוב הכהן</t>
  </si>
  <si>
    <t>רוח והצלה</t>
  </si>
  <si>
    <t>רוח חיים &lt;ובחרת בחיים&gt;</t>
  </si>
  <si>
    <t>חיים בן יצחק מוולוז'ין - גולדברג, אהרן דוד בן יצחק הלוי</t>
  </si>
  <si>
    <t>רוח חיים</t>
  </si>
  <si>
    <t>רוח חיים - 2 כר'</t>
  </si>
  <si>
    <t>הרצמן, חיים הלוי</t>
  </si>
  <si>
    <t>חייט, משה אברהם בן ראובן</t>
  </si>
  <si>
    <t>רוח חיים - עם ציונים ומילואים</t>
  </si>
  <si>
    <t>חיים בן יצחק מוולוז'ין - אפשטיין, בן ציון</t>
  </si>
  <si>
    <t>חיים בן יצחק מוולוז'ין - יצחק בן חיים מוולוז'ין</t>
  </si>
  <si>
    <t>רוח חיים - 3 כר'</t>
  </si>
  <si>
    <t>רוח חכמה</t>
  </si>
  <si>
    <t>דרושים, משנה, תלמוד בבלי, תלמוד בבלי, תלמוד ירושלמי, תנ"ך, תנ"ך, תפלות בקשות פיוטים ושירה</t>
  </si>
  <si>
    <t>רוח חכמים</t>
  </si>
  <si>
    <t>רוח חכמים - 2 כר'</t>
  </si>
  <si>
    <t>רוח חן - 5 כר'</t>
  </si>
  <si>
    <t>אבן-תיבון, יהודה בן שאול. מיוחס לו</t>
  </si>
  <si>
    <t>[תרט"ו],</t>
  </si>
  <si>
    <t>רוח חן</t>
  </si>
  <si>
    <t>אחר תש"ז</t>
  </si>
  <si>
    <t>רוח טהרה</t>
  </si>
  <si>
    <t>רוח יעקב - 2 כר'</t>
  </si>
  <si>
    <t>בן שבת, יעקב בן יחיא הלוי</t>
  </si>
  <si>
    <t>רוח יעקב - 3 כר'</t>
  </si>
  <si>
    <t>רוח ממללא</t>
  </si>
  <si>
    <t>דברים שנאמרו בכינוסי שמירת הלשון</t>
  </si>
  <si>
    <t>רוח ממללא - המלך במסיבו</t>
  </si>
  <si>
    <t>רוח ממרום</t>
  </si>
  <si>
    <t>סטפנסקי, יעקב דוד בן רפאל</t>
  </si>
  <si>
    <t>רוח נכון - מידת הכעס</t>
  </si>
  <si>
    <t>רוח נמוכה</t>
  </si>
  <si>
    <t>רוח רפאל</t>
  </si>
  <si>
    <t>בן שמחון, רפאל בן חיים</t>
  </si>
  <si>
    <t>רוחו של משיח</t>
  </si>
  <si>
    <t>רוחצות בחלב</t>
  </si>
  <si>
    <t>רוכב הדורות</t>
  </si>
  <si>
    <t>רומא וירושלים</t>
  </si>
  <si>
    <t>רוממות אל &lt;דפו"ר&gt;</t>
  </si>
  <si>
    <t>[שס"ה,</t>
  </si>
  <si>
    <t>רוממות אל</t>
  </si>
  <si>
    <t>לאלוש, אברהם בן אליהו</t>
  </si>
  <si>
    <t>רוממות נשמת ישראל</t>
  </si>
  <si>
    <t>רוממת נשמת ישראל</t>
  </si>
  <si>
    <t>רון שיר ושבח</t>
  </si>
  <si>
    <t>טננהויז, פנחס</t>
  </si>
  <si>
    <t>רון שיר ושבח - יוצרות לארבע פרשיות, קרובץ, פורים, שבת הגדול</t>
  </si>
  <si>
    <t>רועה אבן ישראל</t>
  </si>
  <si>
    <t>שנבלג, אברהם זאב</t>
  </si>
  <si>
    <t>רועה בשושנים - 14 כר'</t>
  </si>
  <si>
    <t>רועה ישראל</t>
  </si>
  <si>
    <t>טווערסקי, ישראל מרדכי בן יוחנן (מראחמסטריווקע)</t>
  </si>
  <si>
    <t>רועה נאמן &lt;מהדורה מורחבת&gt;</t>
  </si>
  <si>
    <t>מקובר יהודה בן ישראל</t>
  </si>
  <si>
    <t>רועה נאמן</t>
  </si>
  <si>
    <t>רועה שבעה</t>
  </si>
  <si>
    <t>קובץ חידושי תורה כולל מטרסדורף</t>
  </si>
  <si>
    <t>רועי ישראל</t>
  </si>
  <si>
    <t>רועי ישרון</t>
  </si>
  <si>
    <t>רופא ישראל</t>
  </si>
  <si>
    <t>רוץ למשפט</t>
  </si>
  <si>
    <t>רוץ לעזרה</t>
  </si>
  <si>
    <t>רוצה ה' ביראיו</t>
  </si>
  <si>
    <t>ת"ת תורת אמת</t>
  </si>
  <si>
    <t>רוצים לחיות</t>
  </si>
  <si>
    <t>רז הדק</t>
  </si>
  <si>
    <t>קצבורג, דוד צבי כ"ץ</t>
  </si>
  <si>
    <t>רז חיים</t>
  </si>
  <si>
    <t>מזרחי, יוסף חיים בן עובדיה</t>
  </si>
  <si>
    <t>רזא דאורייתא</t>
  </si>
  <si>
    <t>רזא דאחד - 4 כר'</t>
  </si>
  <si>
    <t>רזא דחיי</t>
  </si>
  <si>
    <t>רזא דחיים</t>
  </si>
  <si>
    <t>הגר, ישכר דב בן מיכאל יעקב ישראל</t>
  </si>
  <si>
    <t>רזא דחכמתא</t>
  </si>
  <si>
    <t>גוטליב, צבי אריה בן יוסף</t>
  </si>
  <si>
    <t>רזא דמעין שבע</t>
  </si>
  <si>
    <t>רזא דמשה</t>
  </si>
  <si>
    <t>רזיאל, משה</t>
  </si>
  <si>
    <t>רזא דעובדא</t>
  </si>
  <si>
    <t>רוזנבוים, אליעזר זאב מקרעטשניף</t>
  </si>
  <si>
    <t>רזא דצדקה וחסד</t>
  </si>
  <si>
    <t>רזא דשבת</t>
  </si>
  <si>
    <t>רזא דשבת - 3 כר'</t>
  </si>
  <si>
    <t>רזא דשבת - נשים</t>
  </si>
  <si>
    <t>ישיבת דעת חיים</t>
  </si>
  <si>
    <t>ליפשיץ, יוסף יצחק בן זאב</t>
  </si>
  <si>
    <t>רזא דשבתא</t>
  </si>
  <si>
    <t>ברדה, רז</t>
  </si>
  <si>
    <t>שטיינברג, משה חיים הלוי - זילבר אריה בן משה</t>
  </si>
  <si>
    <t>רזא דשמע ישראל</t>
  </si>
  <si>
    <t>רזא יקירא</t>
  </si>
  <si>
    <t>רזא מהימנא &lt;מהדורה חדשה&gt;</t>
  </si>
  <si>
    <t>רזא מהמנא</t>
  </si>
  <si>
    <t>רזוהי גליין - 2 כר'</t>
  </si>
  <si>
    <t>דוד בן יצחק מיאנובה</t>
  </si>
  <si>
    <t>רזי אור החיים &lt;הצבי והצדק&gt;</t>
  </si>
  <si>
    <t>אבן-עטר, חיים בן משה - פאנט, צבי אלימלך</t>
  </si>
  <si>
    <t>רזי ברכה</t>
  </si>
  <si>
    <t>רזי לי</t>
  </si>
  <si>
    <t>רזי מבאר משה - 4 כר'</t>
  </si>
  <si>
    <t>רוזנבוים, משה זכריה יואל</t>
  </si>
  <si>
    <t>רזי שבת ומועד</t>
  </si>
  <si>
    <t>רזיאל המלאך עם פי' סוד קדושים</t>
  </si>
  <si>
    <t>רזיאל המלאך</t>
  </si>
  <si>
    <t>רזיאל המלאך - 3 כר'</t>
  </si>
  <si>
    <t>רזיאל המלאך. תס"א</t>
  </si>
  <si>
    <t>רזיאל המלאך. תקע"ב</t>
  </si>
  <si>
    <t>רזיאל המלאך. תרכ"ה</t>
  </si>
  <si>
    <t>רזיאל המלאך. תרל"ב</t>
  </si>
  <si>
    <t>רזיאל המלאך. תש"א</t>
  </si>
  <si>
    <t>רזין דאורייתא</t>
  </si>
  <si>
    <t>בנימין זאב צבי בן יחיאל מיכל</t>
  </si>
  <si>
    <t>הלכה ומנהג, חסידות, תנ"ך</t>
  </si>
  <si>
    <t>רזין טמירין לקוטי מנחם</t>
  </si>
  <si>
    <t>רזין קדישין</t>
  </si>
  <si>
    <t>רחב ידים</t>
  </si>
  <si>
    <t>רחב פי</t>
  </si>
  <si>
    <t>רחוב מאה שערים</t>
  </si>
  <si>
    <t>רחובות הנהר</t>
  </si>
  <si>
    <t>רחובות הנהר - 2 כר'</t>
  </si>
  <si>
    <t>רחובות העיר</t>
  </si>
  <si>
    <t>קורנפלד, פנחס אליקים בן ישראל ברוך</t>
  </si>
  <si>
    <t>רחובות יצחק</t>
  </si>
  <si>
    <t>גולדברג, יצחק בן ישראל יהודה</t>
  </si>
  <si>
    <t>רחובות עיר</t>
  </si>
  <si>
    <t>הורוויץ, שלמה זלמן בן דוד</t>
  </si>
  <si>
    <t>רחובות עיר - 2 כר'</t>
  </si>
  <si>
    <t>רחל אמנו</t>
  </si>
  <si>
    <t>רחל ברקמן</t>
  </si>
  <si>
    <t>ברקמאן, רחל בת חיים שלום</t>
  </si>
  <si>
    <t>רחמי האב &lt;תרגום ערבי&gt;</t>
  </si>
  <si>
    <t>רחמי האב - 2 כר'</t>
  </si>
  <si>
    <t>קטינא, יעקב בן יצחק מרדכי - ארנרייך, שלמה זלמן בן יעקב</t>
  </si>
  <si>
    <t>רחמי האב - 3 כר'</t>
  </si>
  <si>
    <t>רחמי הלוי</t>
  </si>
  <si>
    <t>לוונטאל, חיים משה יהודה בן אפרים שרגא ה</t>
  </si>
  <si>
    <t>רחמי הרב - שבט הלוי</t>
  </si>
  <si>
    <t>לוי, יעקב פרץ בן אברהם</t>
  </si>
  <si>
    <t>רחמיך ואחיה - 2 כר'</t>
  </si>
  <si>
    <t>רחמיך רבים</t>
  </si>
  <si>
    <t>נאהורי, רחמים בן אליהו</t>
  </si>
  <si>
    <t>רחמנא ליבא בעי</t>
  </si>
  <si>
    <t>רחש הלב - 2 כר'</t>
  </si>
  <si>
    <t>שפירא, חזקיהו רפאל בן צבי הירש</t>
  </si>
  <si>
    <t>רחש לבב</t>
  </si>
  <si>
    <t>בירנבוים, חיים שמואל בן דוד הלוי</t>
  </si>
  <si>
    <t>רחש לבי</t>
  </si>
  <si>
    <t>דרושים, מועדי ישראל, נושאים שונים, קבלה, תנ"ך</t>
  </si>
  <si>
    <t>רחשי האילן</t>
  </si>
  <si>
    <t>ננדיק, יוסף ליב</t>
  </si>
  <si>
    <t>רחשי יוסף - אם לבינה</t>
  </si>
  <si>
    <t>דייטש, יוסף ישעיהו הלוי</t>
  </si>
  <si>
    <t>רחשי לב - בראשית</t>
  </si>
  <si>
    <t>גלוסקין, חיים שמחה בן יהודה אריה ליב</t>
  </si>
  <si>
    <t>רחשי לב</t>
  </si>
  <si>
    <t>וואלאך, יוסף דניאל בן שבתי</t>
  </si>
  <si>
    <t>ישראל, חיים שלום</t>
  </si>
  <si>
    <t>רי"ף מבואר - 2 כר'</t>
  </si>
  <si>
    <t>ריב"ם שנייטוך</t>
  </si>
  <si>
    <t>ריב"ן - 2 כר'</t>
  </si>
  <si>
    <t>ריבון עלם ועלמיא</t>
  </si>
  <si>
    <t>ריוח והצלה</t>
  </si>
  <si>
    <t>שאלתיאל בן אברהם</t>
  </si>
  <si>
    <t>ריח בשמים</t>
  </si>
  <si>
    <t>עמאר, ראובן בן משה</t>
  </si>
  <si>
    <t>ריח גפנים</t>
  </si>
  <si>
    <t>ריח דודאים - 2 כר'</t>
  </si>
  <si>
    <t>מייזלש, דוד דב</t>
  </si>
  <si>
    <t>ריח דודאים</t>
  </si>
  <si>
    <t>מתיבתא בית ישראל חסידי גור</t>
  </si>
  <si>
    <t>ריח הגט - חכמת יצחק</t>
  </si>
  <si>
    <t>ריח השדה</t>
  </si>
  <si>
    <t>אליעזר בן מאיר הלוי</t>
  </si>
  <si>
    <t>חביב, יעקב</t>
  </si>
  <si>
    <t>חפוטא, יונתן ישראל בן דוד</t>
  </si>
  <si>
    <t>ריח טוב בפירות - סדר ט"ו בשבט</t>
  </si>
  <si>
    <t>ריח טוב</t>
  </si>
  <si>
    <t>ריח ליצחק</t>
  </si>
  <si>
    <t>אלפייה, יעקב חיים ישראל רפאל בן יצחק</t>
  </si>
  <si>
    <t>ריח מים</t>
  </si>
  <si>
    <t>ריח ניחוח</t>
  </si>
  <si>
    <t>סירקיש, יואל בן אליעזר</t>
  </si>
  <si>
    <t>ריח ניחח</t>
  </si>
  <si>
    <t>חרוש, יוסף בן אברהם</t>
  </si>
  <si>
    <t>ריח נרדי</t>
  </si>
  <si>
    <t>גדליהו, נדיר</t>
  </si>
  <si>
    <t>ריח שדה &lt;מכון הכתב&gt;</t>
  </si>
  <si>
    <t>דוויך, שמעון בן שמואל הכהן</t>
  </si>
  <si>
    <t>ריח שדה</t>
  </si>
  <si>
    <t>ריח שדה - אחרי הקצרים</t>
  </si>
  <si>
    <t>ריח תפוחים</t>
  </si>
  <si>
    <t>ריטב"א על מסכת ראש השנה</t>
  </si>
  <si>
    <t>רינה וישועה, באהלי צדיקים</t>
  </si>
  <si>
    <t>אברכי חסידי סלאנים</t>
  </si>
  <si>
    <t>רינה ותפלה</t>
  </si>
  <si>
    <t>רינון יצחק</t>
  </si>
  <si>
    <t>רינונה של תורה</t>
  </si>
  <si>
    <t>גולן, רונן בן דניאל</t>
  </si>
  <si>
    <t>רינת אהרן - 2 כר'</t>
  </si>
  <si>
    <t>גבאי, אהרן מנשה</t>
  </si>
  <si>
    <t>רינת השבת</t>
  </si>
  <si>
    <t>רינת התורה  (שעורי הישיבה) - יבמות</t>
  </si>
  <si>
    <t>רינת ציון - 2 כר'</t>
  </si>
  <si>
    <t>רינת שמואל - בראשית ב</t>
  </si>
  <si>
    <t>ריצבש"י - א-ב</t>
  </si>
  <si>
    <t>ריקודין קדישין</t>
  </si>
  <si>
    <t>ריש"א דגלותא - 5 כר'</t>
  </si>
  <si>
    <t>קובץ דברי מספד על מרן הגרי"ש אלישיב</t>
  </si>
  <si>
    <t>רישא וסיפא &lt;המבואר&gt;</t>
  </si>
  <si>
    <t>רישא וסיפא</t>
  </si>
  <si>
    <t>רישי מתיבתא</t>
  </si>
  <si>
    <t>רכב אלהים &lt;אופן המרכבה&gt;</t>
  </si>
  <si>
    <t>ונה, יצחק בן אברהם - רצאבי, יצחק</t>
  </si>
  <si>
    <t>רכב אליהו</t>
  </si>
  <si>
    <t>רכב ישראל</t>
  </si>
  <si>
    <t>רכב ישראל - קבלת רמח"ל</t>
  </si>
  <si>
    <t>רכב על דבר אמת</t>
  </si>
  <si>
    <t>ווינקלר, יצחק דוד בן שלמה</t>
  </si>
  <si>
    <t>רכוש הים</t>
  </si>
  <si>
    <t>רכושנו הרוחני בירושלם</t>
  </si>
  <si>
    <t>תרצ"ב-תרצ"ג</t>
  </si>
  <si>
    <t>רמ"ז הרומ"ז - אם לבינה</t>
  </si>
  <si>
    <t>רמב"ם ע"פ מעיל אליהו</t>
  </si>
  <si>
    <t>רמב"ם על התורה - 2 כר'</t>
  </si>
  <si>
    <t>רמה קרני</t>
  </si>
  <si>
    <t>רמון גדיש</t>
  </si>
  <si>
    <t>אלכסנדר בן אברהם הלוי</t>
  </si>
  <si>
    <t>רמון פרץ &lt;מהדורה חדשה&gt;</t>
  </si>
  <si>
    <t>שטיין, פרץ טוביה בן משה דוב</t>
  </si>
  <si>
    <t>רמון פרץ</t>
  </si>
  <si>
    <t>רמון פרץ - בסוגיות הש"ס</t>
  </si>
  <si>
    <t>רמוני זהב</t>
  </si>
  <si>
    <t>רמות גלעד - 2 כר'</t>
  </si>
  <si>
    <t>ויספיש, אליעזר בן אברהם דוב</t>
  </si>
  <si>
    <t>רמזי אלול</t>
  </si>
  <si>
    <t>חסידות, מועדי ישראל, משנה, נושאים שונים</t>
  </si>
  <si>
    <t>רמזי דחכמתא &lt;מהדורה חדשה&gt;</t>
  </si>
  <si>
    <t>ז"ק, שמואל אריה ליב בן חיים ישראל</t>
  </si>
  <si>
    <t>רמזי דחכמתא</t>
  </si>
  <si>
    <t>רמזי הגדות</t>
  </si>
  <si>
    <t>גרשטיין, דוד שבתי משה בן אברהם דוב</t>
  </si>
  <si>
    <t>רמזי חודש אלול</t>
  </si>
  <si>
    <t>קניג, חיים</t>
  </si>
  <si>
    <t>רמזי ישראל</t>
  </si>
  <si>
    <t>חסידות, קבלה, שאר ספרי חז"ל</t>
  </si>
  <si>
    <t>רמזי מחשבה - 3 כר'</t>
  </si>
  <si>
    <t>זילברשטיין, יצחק מרדכי בן מנחם שלמה</t>
  </si>
  <si>
    <t>רמזי שבת</t>
  </si>
  <si>
    <t>בורנשטיין, צבי בן דוד</t>
  </si>
  <si>
    <t>הארטמאן, יוסף בן יחיאל משה</t>
  </si>
  <si>
    <t>רמזי תורה</t>
  </si>
  <si>
    <t>כהנא, יעקב גדליהו בן יחיאל צבי</t>
  </si>
  <si>
    <t>מ.-סיגעט,</t>
  </si>
  <si>
    <t>רמזים בתורה</t>
  </si>
  <si>
    <t>גולדפארב, שמואל דוד</t>
  </si>
  <si>
    <t>רמזים וגימטריאות</t>
  </si>
  <si>
    <t>כהן, מתתיה מנחם</t>
  </si>
  <si>
    <t>רמזים לשלחן</t>
  </si>
  <si>
    <t>אליהו, אהרן</t>
  </si>
  <si>
    <t>רמזין קדישין על פסוק שה"ש הנצנים נראו בארץ</t>
  </si>
  <si>
    <t>רמח"ל</t>
  </si>
  <si>
    <t>רמיזות ישראל</t>
  </si>
  <si>
    <t>רמיזי תורה ותלמודת זאב</t>
  </si>
  <si>
    <t>שרליף, זאב וולף בן שלמה</t>
  </si>
  <si>
    <t>רמת הגולן ועבר הירדן - שכם ואלון מורה</t>
  </si>
  <si>
    <t>רמת משפט</t>
  </si>
  <si>
    <t>רמת רחל</t>
  </si>
  <si>
    <t>רמת שמואל &lt;מהדורה חדשה&gt;</t>
  </si>
  <si>
    <t>אג'ייני, שמואל</t>
  </si>
  <si>
    <t>דרושים, הלכה ומנהג, קבלה, שלחן ערוך ומפרשיו, תלמוד בבלי, תנ"ך</t>
  </si>
  <si>
    <t>רמת שמואל</t>
  </si>
  <si>
    <t>נושאים שונים, שאר ספרי חז"ל, תלמוד בבלי, תלמוד בבלי, תנ"ך</t>
  </si>
  <si>
    <t>רמת שמואל - בראשית</t>
  </si>
  <si>
    <t>הלכה ומנהג, הלכה ומנהג, משנה, שאלות ותשובות, שלחן ערוך ומפרשיו, תלמוד בבלי, תלמוד בבלי, תלמוד בבלי, תלמוד ירושלמי, תלמוד ירושלמי</t>
  </si>
  <si>
    <t>שמואל בן בועז הלוי מליסה</t>
  </si>
  <si>
    <t>רמתים צופים &lt;מהדו"ח&gt;</t>
  </si>
  <si>
    <t>שמואל משינאוי</t>
  </si>
  <si>
    <t>רמתים צופים</t>
  </si>
  <si>
    <t>תנא דבי אליהו עם פירוש מלוקט</t>
  </si>
  <si>
    <t>תנא דבי אליהו. תרמ"א</t>
  </si>
  <si>
    <t>רנה וישועה - 2 כר'</t>
  </si>
  <si>
    <t>רנה של תורה - קידושין</t>
  </si>
  <si>
    <t>כולל נחלת הלוים</t>
  </si>
  <si>
    <t>רנו ליעקב שמחה - פורים</t>
  </si>
  <si>
    <t>רנו ליעקב שמחה</t>
  </si>
  <si>
    <t>רנו ליעקב - 2 כר'</t>
  </si>
  <si>
    <t>רני ושמחי</t>
  </si>
  <si>
    <t>צוריאנו, נסים רפאל יצחק</t>
  </si>
  <si>
    <t>רני ושמחי - 4 כר'</t>
  </si>
  <si>
    <t>רני עקרה</t>
  </si>
  <si>
    <t>רני עקרה - כונת הלב</t>
  </si>
  <si>
    <t>ליכטנשטיין, הלל בן ברוך בענדיט מברוקלין</t>
  </si>
  <si>
    <t>רנן לבקר</t>
  </si>
  <si>
    <t>רננו צדיקים - לזכרו של אלירן עמר</t>
  </si>
  <si>
    <t>רננו צדיקים</t>
  </si>
  <si>
    <t>רנת דודים &lt;דפו"ר&gt;</t>
  </si>
  <si>
    <t>רנת דודים &lt;מהדורה חדשה&gt;</t>
  </si>
  <si>
    <t>רנת דודים</t>
  </si>
  <si>
    <t>רנת חיל</t>
  </si>
  <si>
    <t>כהן, יוסף שמואל בן ראובן יהושע</t>
  </si>
  <si>
    <t>רנת יין</t>
  </si>
  <si>
    <t>רנת יצחק &lt;נ"ך&gt; - 10 כר'</t>
  </si>
  <si>
    <t>רנת יצחק &lt;על התורה&gt; - 6 כר'</t>
  </si>
  <si>
    <t>רנת יצחק - 4 כר'</t>
  </si>
  <si>
    <t>רנת ציון</t>
  </si>
  <si>
    <t>שטרנהורץ (כוכב לב) , אברהם</t>
  </si>
  <si>
    <t>רסאלה</t>
  </si>
  <si>
    <t>רסיסי טל - 3 כר'</t>
  </si>
  <si>
    <t>בורנשטיין, אברהם בנציון בן שבתי</t>
  </si>
  <si>
    <t>רסיסי טל - מלאכות שבת</t>
  </si>
  <si>
    <t>ינקלביץ, יצחק יעקב בן יוסף הכהן</t>
  </si>
  <si>
    <t>רסיסי טל - 2 כר'</t>
  </si>
  <si>
    <t>עמיטל, יהודה</t>
  </si>
  <si>
    <t>רסיסי לילה &lt;מהדורת הר ברכה&gt;</t>
  </si>
  <si>
    <t>רסיסי לילה</t>
  </si>
  <si>
    <t>דאנינו, דוד בן מסעוד</t>
  </si>
  <si>
    <t>[תש"ז,</t>
  </si>
  <si>
    <t>כאזאבלאנכא,</t>
  </si>
  <si>
    <t>רסיסי תורה</t>
  </si>
  <si>
    <t>רעדה יאחזון</t>
  </si>
  <si>
    <t>רעדנער און דענקער - ב</t>
  </si>
  <si>
    <t>שוחט, דוד מנחם</t>
  </si>
  <si>
    <t>רעוא דרעוין</t>
  </si>
  <si>
    <t>רעוא דרעין</t>
  </si>
  <si>
    <t>קנאפפלער, אלכסנדר אליעזר</t>
  </si>
  <si>
    <t>רעיא מהימנא &lt;נתיבות יאיר&gt; - 2 כר'</t>
  </si>
  <si>
    <t>רעיא מהימנא - 5 כר'</t>
  </si>
  <si>
    <t>רעיונות במוסר והשקפה</t>
  </si>
  <si>
    <t>רעיונות במקרא - ב</t>
  </si>
  <si>
    <t>רעיונות בראשית</t>
  </si>
  <si>
    <t>רעיונות וחמר לדרוש</t>
  </si>
  <si>
    <t>רעיונות ומחשבות מאוצר הקבלה והחסידות - ב</t>
  </si>
  <si>
    <t>רעיונות ומסרים לפרשת השבוע - 8 כר'</t>
  </si>
  <si>
    <t>רעיונות חיים - 2 כר'</t>
  </si>
  <si>
    <t>קרמר, חיים מנחם בן משה אליעזר</t>
  </si>
  <si>
    <t>רעיונות לדרוש</t>
  </si>
  <si>
    <t>רעיונות נתן</t>
  </si>
  <si>
    <t>מאנדעל, נתן מנחם</t>
  </si>
  <si>
    <t>רעיונות על אבות</t>
  </si>
  <si>
    <t>רעיוני תורה - בראשית</t>
  </si>
  <si>
    <t>טננבוים, חיים בן יעקב יהודה</t>
  </si>
  <si>
    <t>רעים אהובים</t>
  </si>
  <si>
    <t>רעשים ורעמים</t>
  </si>
  <si>
    <t>רעמים ורעשים. תרנ"א</t>
  </si>
  <si>
    <t>אלגיר,</t>
  </si>
  <si>
    <t>רפאה נפשי</t>
  </si>
  <si>
    <t>שולזינגר, משה מרדכי הלוי</t>
  </si>
  <si>
    <t>רפאות התוגה וצרי הדאגה</t>
  </si>
  <si>
    <t>רפאל המלאך</t>
  </si>
  <si>
    <t>רפאל - א</t>
  </si>
  <si>
    <t>קובץ תורני לרפואה ע"פ ההלכה</t>
  </si>
  <si>
    <t>רפדוני בתפוחים - 3 כר'</t>
  </si>
  <si>
    <t>רפדוני בתפוחים - 5 כר'</t>
  </si>
  <si>
    <t>רפואה אתיקה והלכה - 4 כר'</t>
  </si>
  <si>
    <t>רפואה בהלכה</t>
  </si>
  <si>
    <t>רפואה והלכה הלכה למעשה</t>
  </si>
  <si>
    <t>רפואה והלכה וכוונות התורה</t>
  </si>
  <si>
    <t>רפואה וחיים מירושלם</t>
  </si>
  <si>
    <t>רפואה וחיים - 2 כר'</t>
  </si>
  <si>
    <t>רפואה למכה</t>
  </si>
  <si>
    <t>באקי, שמשון</t>
  </si>
  <si>
    <t>רפואה מציאות והלכה</t>
  </si>
  <si>
    <t>רפואה משפט והלכה - ב</t>
  </si>
  <si>
    <t>רפואות העם - 2 כר'</t>
  </si>
  <si>
    <t>רפואות וסגולות</t>
  </si>
  <si>
    <t>רפואות תימן - 3 כר'</t>
  </si>
  <si>
    <t>צפר, שלמה</t>
  </si>
  <si>
    <t>רפואת הנפש א-ב</t>
  </si>
  <si>
    <t>רפואת הנפש הגוף והבית</t>
  </si>
  <si>
    <t>רפואת הנפש</t>
  </si>
  <si>
    <t>רפידתו זהב - ריבית</t>
  </si>
  <si>
    <t>ורצברגר, אריה מרדכי בן יהושע</t>
  </si>
  <si>
    <t>רפתא דחיא</t>
  </si>
  <si>
    <t>טוויל, רפאל אליהו</t>
  </si>
  <si>
    <t>רץ כצבי</t>
  </si>
  <si>
    <t>רץ כצבי - 16 כר'</t>
  </si>
  <si>
    <t>רייזמן, צבי</t>
  </si>
  <si>
    <t>דרושים, מועדי ישראל, מחשבה ומוסר, שלחן ערוך ומפרשיו</t>
  </si>
  <si>
    <t>רץ למשנה</t>
  </si>
  <si>
    <t>קלויזנר, צבי הירש בן זאב וולף</t>
  </si>
  <si>
    <t>רצון אליהו - הלכות חלה</t>
  </si>
  <si>
    <t>גרינשפן, צבי אלימלך בן יצחק אייזיק</t>
  </si>
  <si>
    <t>רצון יראיו</t>
  </si>
  <si>
    <t>רצון יראים</t>
  </si>
  <si>
    <t>חיים בן שמחה</t>
  </si>
  <si>
    <t>רצון ישראל - תהלים</t>
  </si>
  <si>
    <t>רצונך חפצתי</t>
  </si>
  <si>
    <t>גולדיש, יצחק זאב</t>
  </si>
  <si>
    <t>רצועת עזה - ארץ פלשתים</t>
  </si>
  <si>
    <t>רצוף אהבה</t>
  </si>
  <si>
    <t>רצוף אהבה - ב</t>
  </si>
  <si>
    <t>שוורצבורד, ברוך מרדכי</t>
  </si>
  <si>
    <t>רקועי פחים</t>
  </si>
  <si>
    <t>הולנדר, יצחק משולם בן חיים יהושע</t>
  </si>
  <si>
    <t>רקיק אחד עם ענף שושן &lt;מהדורה חדשה&gt;</t>
  </si>
  <si>
    <t>רקיק אחד עם ענף שושן</t>
  </si>
  <si>
    <t>רש"י השלם &lt;אריאל&gt; - 8 כר'</t>
  </si>
  <si>
    <t>מכון אריאל</t>
  </si>
  <si>
    <t>רש"י וירושלמי</t>
  </si>
  <si>
    <t>רש"י חייו ופירושיו - 4 כר'</t>
  </si>
  <si>
    <t>רש"י על התורה עם פירוש זכור לאברהם - 3 כר'</t>
  </si>
  <si>
    <t>שלמה בן יצחק (רש"י) - ברלינר, אברהם בן צבי הירש</t>
  </si>
  <si>
    <t>רש"י על חמשה חומשי תורה</t>
  </si>
  <si>
    <t>שצ"ח-שצ"ט</t>
  </si>
  <si>
    <t>רש"י</t>
  </si>
  <si>
    <t>אפרתי, משה צבי בן אברהם מאיר</t>
  </si>
  <si>
    <t>חזן, ל</t>
  </si>
  <si>
    <t>רשב"י</t>
  </si>
  <si>
    <t>רשויות ועירובין</t>
  </si>
  <si>
    <t>רשויות לפרשיות התורה</t>
  </si>
  <si>
    <t>רשויות שבת</t>
  </si>
  <si>
    <t>רשומות וזכרונות</t>
  </si>
  <si>
    <t>יופט, משה יהודה</t>
  </si>
  <si>
    <t>רשומי חן</t>
  </si>
  <si>
    <t>רשימא דהגדתא</t>
  </si>
  <si>
    <t>רשימא דמגילתא</t>
  </si>
  <si>
    <t>רשימה ליקוטי דיבורים של סעודת פורים תשי"א</t>
  </si>
  <si>
    <t>רשימות בגיטין</t>
  </si>
  <si>
    <t>רשימות ביסודי הדת והדעת</t>
  </si>
  <si>
    <t>שרון, נתנאל</t>
  </si>
  <si>
    <t>רשימות במסכת ראש השנה</t>
  </si>
  <si>
    <t>רשימות במסכת - 6 כר'</t>
  </si>
  <si>
    <t>רשימות בסוגיות דחזקות</t>
  </si>
  <si>
    <t>שרון, נתנאל בן דוד</t>
  </si>
  <si>
    <t>רשימות בסוגיות דמיטב</t>
  </si>
  <si>
    <t>רשימות בפרשת השבוע</t>
  </si>
  <si>
    <t>הופנר, הלל יחיאל בן נפתלי</t>
  </si>
  <si>
    <t>רשימות זכרונות &lt;מהאמונת משה והאמרי מנחם&gt;</t>
  </si>
  <si>
    <t>דנציגר, יחיאל יהודה משה</t>
  </si>
  <si>
    <t>רשימות לב - 7 כר'</t>
  </si>
  <si>
    <t>רשימות מהועד (כולל מכתב מאליהו) - 16 כר'</t>
  </si>
  <si>
    <t>רשימות משיעורי הרה"צ חיים הכהן שליט"א</t>
  </si>
  <si>
    <t>רשימות קה"י</t>
  </si>
  <si>
    <t>רשימות שיעורים</t>
  </si>
  <si>
    <t>רשימות שיעורים - 6 כר'</t>
  </si>
  <si>
    <t>רשימות שיעורים - 7 כר'</t>
  </si>
  <si>
    <t>רשימות שנות דור</t>
  </si>
  <si>
    <t>שטרסבורגר, ברוך</t>
  </si>
  <si>
    <t>רשימות - 8 כר'</t>
  </si>
  <si>
    <t>איזק, תומר</t>
  </si>
  <si>
    <t>רשימת אנשי מופת</t>
  </si>
  <si>
    <t>פלש, יוסף בן אברהם</t>
  </si>
  <si>
    <t>רשימת בית אוצר הספרים</t>
  </si>
  <si>
    <t>בלוי, יהודה אריה בן משה</t>
  </si>
  <si>
    <t>רשימת בתי הכנסת בירושלים</t>
  </si>
  <si>
    <t>רשימת הגדות פסח</t>
  </si>
  <si>
    <t>האקדמיה למדעים של ברית המועצות. המוזיאו</t>
  </si>
  <si>
    <t>רשימת ההפטרות - מתוך האנצקלופדיה התלמודית</t>
  </si>
  <si>
    <t>רשימת הנדבות - 5 כר'</t>
  </si>
  <si>
    <t>רשימת הספרים על שביעית</t>
  </si>
  <si>
    <t>רשימת הספרים שנדפסו אצל "קופי-קורנר"</t>
  </si>
  <si>
    <t>קטלוג "קופי קורנר"</t>
  </si>
  <si>
    <t>רשימת כתבי היד העבריים</t>
  </si>
  <si>
    <t>יואל, יששכר בן יואל</t>
  </si>
  <si>
    <t>רשימת מאמרים ופתגמים</t>
  </si>
  <si>
    <t>רשימת סטפנסקי לספרי חסידות</t>
  </si>
  <si>
    <t>סטפנסקי, חיים - סטפנסקי, בצלאל</t>
  </si>
  <si>
    <t>רשימת תצלומי כתבי - 3 כר'</t>
  </si>
  <si>
    <t>מכון לתצלומי כתבי-היד העבריים</t>
  </si>
  <si>
    <t>תשי"ז-תשכ"ח</t>
  </si>
  <si>
    <t>רשמי דעת</t>
  </si>
  <si>
    <t>ריבנר, שלמה בן יחיאל מיכל</t>
  </si>
  <si>
    <t>רשמי מחשבה ביציאת מצרים</t>
  </si>
  <si>
    <t>רשמי שאלה</t>
  </si>
  <si>
    <t>ישראל משה בן אריה ליב</t>
  </si>
  <si>
    <t>רשפי אש דת</t>
  </si>
  <si>
    <t>רשפי אש החדש</t>
  </si>
  <si>
    <t>מרדכי בן דב בער מנעשכיז</t>
  </si>
  <si>
    <t>חסידות, מועדי ישראל, מחשבה ומוסר, תנ"ך</t>
  </si>
  <si>
    <t>רשפי אש השלם</t>
  </si>
  <si>
    <t>שפירא, מרדכי בן דוב בר מנסכיז</t>
  </si>
  <si>
    <t>רשפי אש - שלהבתיה</t>
  </si>
  <si>
    <t>אסולין, מרדכי בן חנניה</t>
  </si>
  <si>
    <t>רשפי אש</t>
  </si>
  <si>
    <t>רשפי אש - עבודה זרה</t>
  </si>
  <si>
    <t>פיונטק, אפרים - דים, שלמה</t>
  </si>
  <si>
    <t>שילה, אביגדור</t>
  </si>
  <si>
    <t>רשפי קודש</t>
  </si>
  <si>
    <t>מנדלוביץ, שרגא פייבל</t>
  </si>
  <si>
    <t>רשפי קשת</t>
  </si>
  <si>
    <t>אברהם בן דוד מסטאוויסק</t>
  </si>
  <si>
    <t>רשפי תורה</t>
  </si>
  <si>
    <t>רשפיה רשפי אש</t>
  </si>
  <si>
    <t>שרגא פייבל מגריצא</t>
  </si>
  <si>
    <t>ש"ס הגדול שבגדולים &lt;ברכות&gt;</t>
  </si>
  <si>
    <t>תלמוד בבלי. תרע"ט. לונדון</t>
  </si>
  <si>
    <t>ש"ס המסביר</t>
  </si>
  <si>
    <t>שאפוצ'ניק, יוסף בן יהודה ליב</t>
  </si>
  <si>
    <t>שאג ישאג, בנאות דשא, דבש וחלב</t>
  </si>
  <si>
    <t>שאגלחך לשמים</t>
  </si>
  <si>
    <t>שאגת אריה &lt;קול שחל&gt;</t>
  </si>
  <si>
    <t>אריה יהודה ליב בן שמואל צבי הירץ</t>
  </si>
  <si>
    <t>שאגת אריה &lt;מהדורה חדשה&gt; - 3 כר'</t>
  </si>
  <si>
    <t>גינצבורג, אריה ליב בן אשר - איכארן, גרשון חנוך העניך הכהן</t>
  </si>
  <si>
    <t>שאגת אריה &lt;מהדורת אור החיים&gt; - 2 כר'</t>
  </si>
  <si>
    <t>שאגת אריה &lt;מהדורה חדשה&gt;</t>
  </si>
  <si>
    <t>שאגת אריה החדשות - 2 כר'</t>
  </si>
  <si>
    <t>שאגת אריה וקול שחל &lt;מהדורה חדשה&gt;</t>
  </si>
  <si>
    <t>אריה יהודה ליב בן שמואל צבי הירץ - מייזלש, אברהם נתן נטע בן משה</t>
  </si>
  <si>
    <t>שאגת אריה</t>
  </si>
  <si>
    <t>שאגת אריה - 2 כר'</t>
  </si>
  <si>
    <t>אריה ליב בן ברוך בנדיט</t>
  </si>
  <si>
    <t>שאגת אריה - (החדש והמלא)</t>
  </si>
  <si>
    <t>גינצבורג, אריה ליב בן אשר - מצגר, דוד</t>
  </si>
  <si>
    <t>שאגת אריה - 5 כר'</t>
  </si>
  <si>
    <t>וידוב, אריה</t>
  </si>
  <si>
    <t>שאגת הארי</t>
  </si>
  <si>
    <t>ר. אסף</t>
  </si>
  <si>
    <t>שאגת זאב</t>
  </si>
  <si>
    <t>מוזס, זאב דוב בן יהודה הכהן</t>
  </si>
  <si>
    <t>תרס"ט - הסכ'</t>
  </si>
  <si>
    <t>שאגת ירושלים</t>
  </si>
  <si>
    <t>שטרנשוס, יעקב שמעון</t>
  </si>
  <si>
    <t>שאגת מעונה</t>
  </si>
  <si>
    <t>מארוקו, יעקב</t>
  </si>
  <si>
    <t>שאהין תורה - 4 כר'</t>
  </si>
  <si>
    <t>שאהין, מולאנא - חכם, שמעון</t>
  </si>
  <si>
    <t>שאו זמרה (החדש)</t>
  </si>
  <si>
    <t>שירים. פיוטים</t>
  </si>
  <si>
    <t>שאו ידיכם קודש - נטילת ידים</t>
  </si>
  <si>
    <t>שאו מנחה - 2 כר'</t>
  </si>
  <si>
    <t>גינז, יהודה ליב</t>
  </si>
  <si>
    <t>שאו מרום עיניכם</t>
  </si>
  <si>
    <t>טלגם, עובדיה יעקב הכהן</t>
  </si>
  <si>
    <t>שאול בחיר ה'</t>
  </si>
  <si>
    <t>ארליך, ישראל בן שמעון הלוי</t>
  </si>
  <si>
    <t>שאול בחיר השם</t>
  </si>
  <si>
    <t>שאול שאל</t>
  </si>
  <si>
    <t>שהרבני, שאול</t>
  </si>
  <si>
    <t>שאון מעיר</t>
  </si>
  <si>
    <t>שאילות משה</t>
  </si>
  <si>
    <t>שאילות שמואל</t>
  </si>
  <si>
    <t>שאילת דוד - 2 כר'</t>
  </si>
  <si>
    <t>הלכה ומנהג, נושאים שונים, שאלות ותשובות, תלמוד בבלי, תלמוד בבלי, תלמוד בבלי</t>
  </si>
  <si>
    <t>שאילת החיים</t>
  </si>
  <si>
    <t>שאילת חיים - 2 כר'</t>
  </si>
  <si>
    <t>אבערלאנדער, חיים</t>
  </si>
  <si>
    <t>שאילת חמדת צבי - 5 כר'</t>
  </si>
  <si>
    <t>שאילת יעבץ - 4 כר'</t>
  </si>
  <si>
    <t>תצ"ט - תק"ל לערך</t>
  </si>
  <si>
    <t>שאילת יעקב - 2 כר'</t>
  </si>
  <si>
    <t>פראגר, יעקב בן מרדכי סג"ל</t>
  </si>
  <si>
    <t>שאילת יצחק מהדו"ת</t>
  </si>
  <si>
    <t>שאילת יצחק</t>
  </si>
  <si>
    <t>שאילת ישרון</t>
  </si>
  <si>
    <t>פלדר, גדליה</t>
  </si>
  <si>
    <t>שאילת משה</t>
  </si>
  <si>
    <t>ווסרמן, משה שמשון בן יהושע השל</t>
  </si>
  <si>
    <t>שאילת משה - 5 כר'</t>
  </si>
  <si>
    <t>שאילת שאול - 2 כר'</t>
  </si>
  <si>
    <t>ברייש, שאול בן מרדכי יעקב</t>
  </si>
  <si>
    <t>שאילת שלום - 2 כר'</t>
  </si>
  <si>
    <t>טויבש, שלום בן שמואל</t>
  </si>
  <si>
    <t>רבינוביץ, שלום דוד בן אריה ליב</t>
  </si>
  <si>
    <t>שאילת שלמה</t>
  </si>
  <si>
    <t>אליעזרוב, שלמה יהודה ליב בן אברהם</t>
  </si>
  <si>
    <t>שאילת שמואל</t>
  </si>
  <si>
    <t>שאילתות &lt;מירסקי&gt; - 5 כר'</t>
  </si>
  <si>
    <t>תש"כ - תשל"ז</t>
  </si>
  <si>
    <t>שאילתות אביה</t>
  </si>
  <si>
    <t>קארפונקל, אהרן בן יהודה ליב הכהן</t>
  </si>
  <si>
    <t>שאילתות דרב אחאי גאון משבחא</t>
  </si>
  <si>
    <t>אחאי משבחא גאון</t>
  </si>
  <si>
    <t>שאילתות דרב אחאי גאון</t>
  </si>
  <si>
    <t>שאילתות</t>
  </si>
  <si>
    <t>שאיפות לשלימות</t>
  </si>
  <si>
    <t>שאירות משה</t>
  </si>
  <si>
    <t>שאל בני</t>
  </si>
  <si>
    <t>שאל בנך ויגדך - בראשית (התורה הכתובה והמסורה, לשון לימודים, לחשוב מחשבות)</t>
  </si>
  <si>
    <t>פלהיימר, אריה</t>
  </si>
  <si>
    <t>שאל האי"ש ופני חמ"א</t>
  </si>
  <si>
    <t>שאל יעקב</t>
  </si>
  <si>
    <t>שאל לך אות</t>
  </si>
  <si>
    <t>שלזינגר, מרדכי בן ישראל דוד</t>
  </si>
  <si>
    <t>שאל נא</t>
  </si>
  <si>
    <t>שאל שלמה</t>
  </si>
  <si>
    <t>וייסברג, שלמה זלמן</t>
  </si>
  <si>
    <t>בערגסאס</t>
  </si>
  <si>
    <t>שאלה ותשובה להלכה למעשה - 2 כר'</t>
  </si>
  <si>
    <t>שאלה ותשובה</t>
  </si>
  <si>
    <t>אזולאי, רפאל ישעיה בן חיים יוסף דוד</t>
  </si>
  <si>
    <t>שאלה של סמכות</t>
  </si>
  <si>
    <t>שפרן, יגאל</t>
  </si>
  <si>
    <t>שאלה תשובה</t>
  </si>
  <si>
    <t>קמחי, יעקב בן שמואל</t>
  </si>
  <si>
    <t>שאלו שלום ירושלים</t>
  </si>
  <si>
    <t>גדליה מסימיאטיץ</t>
  </si>
  <si>
    <t>שאלו שלום ירושלים - 8 כר'</t>
  </si>
  <si>
    <t>שאלו שלום</t>
  </si>
  <si>
    <t>עטיא ,ישועה בן אברהם</t>
  </si>
  <si>
    <t>שאלות בית אבל ובית משתה</t>
  </si>
  <si>
    <t>פאלאג'י, שמואל</t>
  </si>
  <si>
    <t>שאלות ותשובות &lt;בית יוסף&gt;</t>
  </si>
  <si>
    <t>[שנ"ח,</t>
  </si>
  <si>
    <t>שאלות ותשובות בהלכות פסח ויו"ט</t>
  </si>
  <si>
    <t>רוזנברג, אברהם יהודה</t>
  </si>
  <si>
    <t>שאלות ותשובות במסכת נדרים</t>
  </si>
  <si>
    <t>ברנשטיין</t>
  </si>
  <si>
    <t>שאלות ותשובות הר"י לבית הלוי &lt;מהדורה ראשונה&gt;</t>
  </si>
  <si>
    <t>יעקב בן ישראל הלוי</t>
  </si>
  <si>
    <t>שע"ד-שע"ה</t>
  </si>
  <si>
    <t>שאלות ותשובות הר"י לבית הלוי &lt;מהדורה שניה&gt; - 2 כר'</t>
  </si>
  <si>
    <t>שצ"ב - שצ"ד</t>
  </si>
  <si>
    <t>שאלות ותשובות הרב אברהם משה פינגרהוט ז"ל</t>
  </si>
  <si>
    <t>פינגרהוט, אברהם משה</t>
  </si>
  <si>
    <t>שאלות ותשובות הרשב"א המיוחסות להרמב"ן</t>
  </si>
  <si>
    <t>שאלות ותשובות זרח השלום</t>
  </si>
  <si>
    <t>גוטה, זרחיה</t>
  </si>
  <si>
    <t>שאלות ותשובות על הלכות שבת</t>
  </si>
  <si>
    <t>כולל רמ"א</t>
  </si>
  <si>
    <t>שאלות ותשובות עשה משה</t>
  </si>
  <si>
    <t>שוורץ, משה עזריאל הכהן</t>
  </si>
  <si>
    <t>שאלות ותשובות של הגאונים</t>
  </si>
  <si>
    <t>תשובות הגאונים (של"ה)</t>
  </si>
  <si>
    <t>שאלות ותשובות - בבא קמא</t>
  </si>
  <si>
    <t>שאלות חיים</t>
  </si>
  <si>
    <t>שאלות ר' חטר בן שלמה</t>
  </si>
  <si>
    <t>חטר בן שלמה</t>
  </si>
  <si>
    <t>שאלות שינון ועיון בהלכות נדה</t>
  </si>
  <si>
    <t>שאלות תלמודיות</t>
  </si>
  <si>
    <t>Vac</t>
  </si>
  <si>
    <t>שאלות - 2 כר'</t>
  </si>
  <si>
    <t>שאול הכהן</t>
  </si>
  <si>
    <t>שאלי ציון - 3 כר'</t>
  </si>
  <si>
    <t>שאלת אשר</t>
  </si>
  <si>
    <t>ויספיש, אשר בן יוסף זאב</t>
  </si>
  <si>
    <t>שאלת הכהנים תורה &lt;מהדורה חדשה&gt;</t>
  </si>
  <si>
    <t>שאלת הכהנים תורה</t>
  </si>
  <si>
    <t>שאלת המטוטלת</t>
  </si>
  <si>
    <t>גרין, אלחנן</t>
  </si>
  <si>
    <t>שאלת חכם - 2 כר'</t>
  </si>
  <si>
    <t>חכם, נתנאל</t>
  </si>
  <si>
    <t>שאלת יצחק</t>
  </si>
  <si>
    <t>יצחקי, שאול בן יצחק</t>
  </si>
  <si>
    <t>שאלת ענין הנשמה</t>
  </si>
  <si>
    <t>שאלת רב - 2 כר'</t>
  </si>
  <si>
    <t>רוטשילד, יחיאל מיכל</t>
  </si>
  <si>
    <t>שאלת שלום &lt;אנגלית&gt;</t>
  </si>
  <si>
    <t>משמרת השלום</t>
  </si>
  <si>
    <t>שאלת שלום - 2 כר'</t>
  </si>
  <si>
    <t>מנחם, שלום</t>
  </si>
  <si>
    <t>שאלת שלום</t>
  </si>
  <si>
    <t>שאלת שלמה - 2 כר'</t>
  </si>
  <si>
    <t>שאלת תשובה &lt;תשובת ראש יוסף&gt;</t>
  </si>
  <si>
    <t>שאר יוסף - 9 כר'</t>
  </si>
  <si>
    <t>תש"ג - תשכ"ג</t>
  </si>
  <si>
    <t>שאר ירקות</t>
  </si>
  <si>
    <t>שאר ישוב - 2 כר'</t>
  </si>
  <si>
    <t>שפירא, אלעזר בן מרדכי</t>
  </si>
  <si>
    <t>שאר מרדכי</t>
  </si>
  <si>
    <t>שאר ציון</t>
  </si>
  <si>
    <t>אלתר, מנחם מענדיל בן יהודה אריה ליב</t>
  </si>
  <si>
    <t>שארית אברהם - ב</t>
  </si>
  <si>
    <t>גראס, נפתלי ישראל</t>
  </si>
  <si>
    <t>שארית אברהם</t>
  </si>
  <si>
    <t>גרוס, נפתלי ישראל</t>
  </si>
  <si>
    <t>שענפלד, אברהם</t>
  </si>
  <si>
    <t>שארית אהרן</t>
  </si>
  <si>
    <t>פלברמן, אהרן</t>
  </si>
  <si>
    <t>שארית אפרים דב</t>
  </si>
  <si>
    <t>איינהורן, אפרים צבי - איינהורן, דב בעריש</t>
  </si>
  <si>
    <t>שארית אפרים</t>
  </si>
  <si>
    <t>אפשטיין, אהרן בן אפרים פישל הלוי</t>
  </si>
  <si>
    <t>שארית בנימין - 2 כר'</t>
  </si>
  <si>
    <t>בנימין בן שמואל</t>
  </si>
  <si>
    <t>תרכ"ג-תרל"ה</t>
  </si>
  <si>
    <t>שארית בנימין</t>
  </si>
  <si>
    <t>שנפלד, בנימין בן משה יוחנן</t>
  </si>
  <si>
    <t>שארית ברוך - ב</t>
  </si>
  <si>
    <t>רובין ברוך</t>
  </si>
  <si>
    <t>שארית ברוך - א</t>
  </si>
  <si>
    <t>רובין, ברוך</t>
  </si>
  <si>
    <t>שארית ברכה - א</t>
  </si>
  <si>
    <t>אפשטין, אברהם שלמה</t>
  </si>
  <si>
    <t>שארית הברכה</t>
  </si>
  <si>
    <t>דרושים, דרושים, תלמוד בבלי, תלמוד בבלי</t>
  </si>
  <si>
    <t>שארית החיים</t>
  </si>
  <si>
    <t>שארית הפליטה</t>
  </si>
  <si>
    <t>שארית הצאן - 4 כר'</t>
  </si>
  <si>
    <t>שארית זאב</t>
  </si>
  <si>
    <t>ווילנער, זאב וואלף</t>
  </si>
  <si>
    <t>שארית חיים</t>
  </si>
  <si>
    <t>דרושים, דרושים, הלכה ומנהג, מחשבה ומוסר, שאלות ותשובות, שלחן ערוך ומפרשיו</t>
  </si>
  <si>
    <t>שארית חיים. אוצר חיים. הדרת צבי.</t>
  </si>
  <si>
    <t>שארית יהודה</t>
  </si>
  <si>
    <t>בלום, יהודה צבי</t>
  </si>
  <si>
    <t>גרינפלד, יהודה דב</t>
  </si>
  <si>
    <t>שארית יהודה - 2 כר'</t>
  </si>
  <si>
    <t>טאיטאצאק, שמואל בן שלמה</t>
  </si>
  <si>
    <t>שארית יוסף אשר</t>
  </si>
  <si>
    <t>פולק, יוסף אשר הלוי</t>
  </si>
  <si>
    <t>דרושים, נושאים שונים, סוגיות, שאלות ותשובות, תולדות עם ישראל, תולדות עם ישראל</t>
  </si>
  <si>
    <t>שארית יוסף - 2 כר'</t>
  </si>
  <si>
    <t>אבן-ווירגא, יוסף בן שלמה</t>
  </si>
  <si>
    <t>שארית יוסף</t>
  </si>
  <si>
    <t>שארית יוסף - 5 כר'</t>
  </si>
  <si>
    <t>וואהרמאן, שלמה הלוי</t>
  </si>
  <si>
    <t>זינגער, יוסף הלוי</t>
  </si>
  <si>
    <t>שארית יוסף - 3 כר'</t>
  </si>
  <si>
    <t>שארית יוסף - 4 כר'</t>
  </si>
  <si>
    <t>יוסף בן מרדכי גרשון כ"ץ</t>
  </si>
  <si>
    <t>יוסף בן שם טוב בן ישועה חי</t>
  </si>
  <si>
    <t>קאליש, יוסף צבי מסקרנביץ</t>
  </si>
  <si>
    <t>רייזין, יוסף בן יצחק</t>
  </si>
  <si>
    <t>שארית יעקב &lt;מהדורה חדשה&gt;</t>
  </si>
  <si>
    <t>שארית יעקב &lt;לעלוב-בראנוביץ'&gt; - תשס"ז</t>
  </si>
  <si>
    <t>קאפף, יעקב אשר</t>
  </si>
  <si>
    <t>שארית יעקב ים החכמה - מגילה ופורים</t>
  </si>
  <si>
    <t>שארית יעקב</t>
  </si>
  <si>
    <t>ביבאס, יעקב</t>
  </si>
  <si>
    <t>תר"ם צ"ל: תרמ"ו</t>
  </si>
  <si>
    <t>הלכה ומנהג, שאלות ותשובות, שלחן ערוך ומפרשיו, תלמוד בבלי, תנ"ך</t>
  </si>
  <si>
    <t>שארית יעקב - 2 כר'</t>
  </si>
  <si>
    <t>דניזון, יעקב בן מרדכי</t>
  </si>
  <si>
    <t>תרנ"ו - תרע"א</t>
  </si>
  <si>
    <t>הברמן, משולם זלמן יעקב בן מאיר</t>
  </si>
  <si>
    <t>שארית יעקב - 3 כר'</t>
  </si>
  <si>
    <t>וויינר, אברהם יעקב בן אליהו</t>
  </si>
  <si>
    <t>תשי"ג - תשט"ז</t>
  </si>
  <si>
    <t>שארית יעקב - 6 כר'</t>
  </si>
  <si>
    <t>חסידי נדבורנה ביתר עילית</t>
  </si>
  <si>
    <t>יעקב בן יואל</t>
  </si>
  <si>
    <t>כהנא, יעקב זאב בן אברהם</t>
  </si>
  <si>
    <t>דרושים, מחשבה ומוסר, נושאים שונים, שאלות ותשובות, תלמוד בבלי</t>
  </si>
  <si>
    <t>מאטאלון, יעקב בן שלמה</t>
  </si>
  <si>
    <t>מוסקוביץ, ישראל יעקב בן שלום</t>
  </si>
  <si>
    <t>סאלאנט, יעקב אריה בן חיים מרדכי</t>
  </si>
  <si>
    <t>פאנעט, יעקב בן יצחק משה</t>
  </si>
  <si>
    <t>פאריינטי, יעקב</t>
  </si>
  <si>
    <t>רבינוביץ, יעקב ישראל בן פינחס</t>
  </si>
  <si>
    <t>רוזנבוים, אשר ישעיה בן יעקב ישכר</t>
  </si>
  <si>
    <t>רוטבלום, יעקב קופל בן פינחס זליג</t>
  </si>
  <si>
    <t>תרס"ה - תרע"א</t>
  </si>
  <si>
    <t>שארית יצחק - מדרכי הצדיק</t>
  </si>
  <si>
    <t>ברייטער, יצחק - יגלניק, מרדכי</t>
  </si>
  <si>
    <t>שארית יצחק</t>
  </si>
  <si>
    <t>זאמברג, ישראל יצחק</t>
  </si>
  <si>
    <t>חסידות, מועדי ישראל, מחשבה ומוסר, נושאים שונים, תנ"ך</t>
  </si>
  <si>
    <t>מרקוביץ, יצחק</t>
  </si>
  <si>
    <t>שארית ישראל &lt;מהדורה חדשה&gt;</t>
  </si>
  <si>
    <t>שארית ישראל - 3 כר'</t>
  </si>
  <si>
    <t>אמלאנדר, מנחם מאן בן שלמה הלוי</t>
  </si>
  <si>
    <t>גורזיצ'אנסקי, ישראל בן צבי הכהן</t>
  </si>
  <si>
    <t>תרנ"ה - תרנ"ו</t>
  </si>
  <si>
    <t>שארית ישראל - נדה</t>
  </si>
  <si>
    <t>הרוש, ישראל</t>
  </si>
  <si>
    <t>מורגנשטרן, חיים ישראל בן דוד</t>
  </si>
  <si>
    <t>קולמישקי, ישראל בן צבי</t>
  </si>
  <si>
    <t>ריז, ישראל בן יצחק איצק הלוי</t>
  </si>
  <si>
    <t>שארית ישראל, יקרא דחיי</t>
  </si>
  <si>
    <t>שארית כלב</t>
  </si>
  <si>
    <t>הקר, כלב בן יצחק</t>
  </si>
  <si>
    <t>שארית מהרש"ז</t>
  </si>
  <si>
    <t>וויינברגר, שמואל זלמן בן יהושע אהרן צבי</t>
  </si>
  <si>
    <t>שארית מנחם</t>
  </si>
  <si>
    <t>דאנאטה, מנחם בן שמואל</t>
  </si>
  <si>
    <t>שארית מנחם - 7 כר'</t>
  </si>
  <si>
    <t>הגר, מנחם מנדל מויזניצא</t>
  </si>
  <si>
    <t>שארית מנחם - גנזי מאיר - אלה תולדותיהם</t>
  </si>
  <si>
    <t>טננבוים, מנחם מנדל - טננבוים, מאיר - טננבוים, שמואל אהרן חנניה</t>
  </si>
  <si>
    <t>משנה, נושאים שונים, שלחן ערוך ומפרשיו, תלמוד בבלי, תלמוד בבלי, תלמוד ירושלמי, תנ"ך</t>
  </si>
  <si>
    <t>שארית מנחם - 3 כר'</t>
  </si>
  <si>
    <t>שארית משה</t>
  </si>
  <si>
    <t>רובין, משה אליקים בריעה בן יצחק טוביה</t>
  </si>
  <si>
    <t>שארית נחמיה</t>
  </si>
  <si>
    <t>גינזבורג, נחמיה בן ישראל</t>
  </si>
  <si>
    <t>שארית נתן בנימין</t>
  </si>
  <si>
    <t>ליבר, נתן בנימין וולף בן אברהם שמואל זאנוויל הלוי</t>
  </si>
  <si>
    <t>שארית נתן - 3 כר'</t>
  </si>
  <si>
    <t>לוברט, נתן בן יצחק מאיר</t>
  </si>
  <si>
    <t>שארית נתן</t>
  </si>
  <si>
    <t>נתן בן יעקב יהושע פאלק</t>
  </si>
  <si>
    <t>דרושים, משנה, נושאים שונים, שאלות ותשובות, תולדות עם ישראל, תלמוד בבלי, תנ"ך</t>
  </si>
  <si>
    <t>שארית עזריאל</t>
  </si>
  <si>
    <t>קרלינשטיין, עזריאל זליג בן יששכר דוב בר</t>
  </si>
  <si>
    <t>שארית צבי</t>
  </si>
  <si>
    <t>שארית ציון</t>
  </si>
  <si>
    <t>שלז, בן-ציון בן שלמה</t>
  </si>
  <si>
    <t>שארית שמחה</t>
  </si>
  <si>
    <t>אונגר, שמחה בונם בן דוד שאול</t>
  </si>
  <si>
    <t>במברגר, שמחה הלוי</t>
  </si>
  <si>
    <t>שאת המעשר</t>
  </si>
  <si>
    <t>אייזנשטיין, שמעון בן אהרן זאב</t>
  </si>
  <si>
    <t>שב יעקב - 2 כר'</t>
  </si>
  <si>
    <t>כץ, יעקב בן בנימין הכהן</t>
  </si>
  <si>
    <t>שב מערכות</t>
  </si>
  <si>
    <t>שב שמעתתא &lt;קול דודי&gt; - 3 כר'</t>
  </si>
  <si>
    <t>הלר, אריה ליב בן יוסף הכהן - וולף, יאיר משה בן דוד זאב</t>
  </si>
  <si>
    <t>שב שמעתתא &lt;שמעתא המבוארת&gt; - 2 כר'</t>
  </si>
  <si>
    <t>הלר, אריה ליב בן יוסף הכהן - לוק, משה לייב</t>
  </si>
  <si>
    <t>שב שמעתתא &lt;זיהרא דשמעתתא&gt;</t>
  </si>
  <si>
    <t>הלר, אריה ליב בן יוסף הכהן - פלדשטיין, יהושע דוב בן פסח</t>
  </si>
  <si>
    <t>שב שמעתתא &lt;שמועות רבותינו&gt;</t>
  </si>
  <si>
    <t>הלר, אריה ליב בן יוסף הכהן - רבותינו ישיבת פונוביז'</t>
  </si>
  <si>
    <t>שב שמעתתא &lt;פירושא דשמעתתא&gt;</t>
  </si>
  <si>
    <t>הלר, אריה ליב בן יוסף הכהן - רבינוביץ תאומים, יעקב בן בנימין</t>
  </si>
  <si>
    <t>שב שמעתתא &lt;הגהות השו"מ והברוך טעם&gt;</t>
  </si>
  <si>
    <t>שב שמעתתא &lt;המוגה&gt;</t>
  </si>
  <si>
    <t>שב שמעתתא &lt;הערות וביאורים&gt;</t>
  </si>
  <si>
    <t>שב שמעתתא &lt;מהדורת ספרי אוה"ח&gt;</t>
  </si>
  <si>
    <t>שב שמעתתא &lt;רווחא דשמעתתא&gt;</t>
  </si>
  <si>
    <t>שב שמעתתא המוגה והמפואר עם קונטרס המקורות</t>
  </si>
  <si>
    <t>שב שמעתתא עם אוצר שמועות</t>
  </si>
  <si>
    <t>קראם, יעקב ליבר בן ירחמיאל הלוי</t>
  </si>
  <si>
    <t>שב שמעתתא עם ביאור דבר המלך - ש"א פ"א-ב</t>
  </si>
  <si>
    <t>הלר, אריה ליב בן יוסף הכהן - קרוזר, דב מאיר</t>
  </si>
  <si>
    <t>שב שמעתתא עם ביאורים והערות הגרש"ז</t>
  </si>
  <si>
    <t>שב שמעתתא עם הערות קהלות יעקב</t>
  </si>
  <si>
    <t>שב שמעתתא עם צילותא דשמעתתא</t>
  </si>
  <si>
    <t>קנטורוביץ, יעקב בן זאב חיים</t>
  </si>
  <si>
    <t>שב שמעתתא עם רשימות בשמעתתא</t>
  </si>
  <si>
    <t>הלר, אריה ליב בן יוסף הכהן - שטרנבוך, משה</t>
  </si>
  <si>
    <t>שב שמעתתא</t>
  </si>
  <si>
    <t>שבו ואחלמה - 4 כר'</t>
  </si>
  <si>
    <t>מאמו, רפאל</t>
  </si>
  <si>
    <t>שבולת הנהר - נבכי נהרות</t>
  </si>
  <si>
    <t>אלטמן, שמשון - אלטמן, אליעזר זוסמאן</t>
  </si>
  <si>
    <t>שבולת הנהר - 3 כר'</t>
  </si>
  <si>
    <t>שבוע וישוע הבן</t>
  </si>
  <si>
    <t>שבוע טוב. תרס"ד</t>
  </si>
  <si>
    <t>שבוע טוב. תש"ח</t>
  </si>
  <si>
    <t>שבועות אלמאנאך</t>
  </si>
  <si>
    <t>פרידענזאן, יוסף (עורך)</t>
  </si>
  <si>
    <t>שבועות למעשה</t>
  </si>
  <si>
    <t>שבועת המשנה</t>
  </si>
  <si>
    <t>שבועת העדות</t>
  </si>
  <si>
    <t>שבות יהודה - 2 כר'</t>
  </si>
  <si>
    <t>אלבאז, יהודה</t>
  </si>
  <si>
    <t>הלכה ומנהג, משנה, שאלות ותשובות, שלחן ערוך ומפרשיו, תלמוד בבלי, תלמוד בבלי</t>
  </si>
  <si>
    <t>שבות יהודה</t>
  </si>
  <si>
    <t>וקנין, יהודה יוסף</t>
  </si>
  <si>
    <t>שבות יהודה, בנין נערים, מילי דאבא</t>
  </si>
  <si>
    <t>אלבאז, יהודה - אלבאז, עמרם - אלבאז, אבא</t>
  </si>
  <si>
    <t>דרושים, הלכה ומנהג, מועדי ישראל, משנה, נושאים שונים, שלחן ערוך ומפרשיו, תלמוד בבלי, תלמוד בבלי, תנ"ך, תנ"ך, תפלות בקשות פיוטים ושירה</t>
  </si>
  <si>
    <t>שבות יעקב</t>
  </si>
  <si>
    <t>שבות יעקב - 5 כר'</t>
  </si>
  <si>
    <t>תס"ט - תקמ"ט</t>
  </si>
  <si>
    <t>שבות יצחק - 18 כר'</t>
  </si>
  <si>
    <t>דרזי, יצחק בן שמואל</t>
  </si>
  <si>
    <t>שבות עמי - א</t>
  </si>
  <si>
    <t>שבח ואמת</t>
  </si>
  <si>
    <t>שבח חיים &lt;חיים וחסד&gt;</t>
  </si>
  <si>
    <t>מזל תרים, מכלוף בן יעיש</t>
  </si>
  <si>
    <t>שבח לבני אהרן  - בסוגיות הש"ס</t>
  </si>
  <si>
    <t>שלחן ערוך ומפרשיו, תלמוד בבלי, תלמוד ירושלמי</t>
  </si>
  <si>
    <t>שבח נעורים</t>
  </si>
  <si>
    <t>ביטון, אליהו חיים</t>
  </si>
  <si>
    <t>שבח פסח - 3 כר'</t>
  </si>
  <si>
    <t>שבח פסח - חודש ניסן, הגדה של פסח</t>
  </si>
  <si>
    <t>פולגר, חיים בן ציון</t>
  </si>
  <si>
    <t>שבח שבת</t>
  </si>
  <si>
    <t>מילר, שלמה בן נתן</t>
  </si>
  <si>
    <t>Budapest בודפסט</t>
  </si>
  <si>
    <t>שבחה של תורה</t>
  </si>
  <si>
    <t>שקלים, יגאל</t>
  </si>
  <si>
    <t>שבחו אהובים - 3 כר'</t>
  </si>
  <si>
    <t>הרשקוביץ, חיים יעקב</t>
  </si>
  <si>
    <t>שבחו אהובים</t>
  </si>
  <si>
    <t>קוקה, שאול</t>
  </si>
  <si>
    <t>שבחו גאולים - 2 כר'</t>
  </si>
  <si>
    <t>שבחו גאולים - חג הפסח וספירת העומר</t>
  </si>
  <si>
    <t>שבחו של אהרן</t>
  </si>
  <si>
    <t>אהרן אריה הכהן כ"ץ</t>
  </si>
  <si>
    <t>שבחו של צדיק</t>
  </si>
  <si>
    <t>שבחות לא-ל</t>
  </si>
  <si>
    <t>תפילות. פיוטים. תרנ"ז. ירושלים</t>
  </si>
  <si>
    <t>שבחי אומר</t>
  </si>
  <si>
    <t>זכאי, שמואל בן יצחק</t>
  </si>
  <si>
    <t>שבחי אלהים &lt;דפו"ר&gt;</t>
  </si>
  <si>
    <t>קארסינטי, ניסים בן אליהו</t>
  </si>
  <si>
    <t>אורן Oran</t>
  </si>
  <si>
    <t>שבחי אלהים</t>
  </si>
  <si>
    <t>שבחי ארץ החיים</t>
  </si>
  <si>
    <t>שבחי בעל שם טוב</t>
  </si>
  <si>
    <t>שבחי הבעש"ט. תרפ"ז</t>
  </si>
  <si>
    <t>אחר תרפ"ז</t>
  </si>
  <si>
    <t>שבחי האר"י &lt;דפו"ר&gt; - 2 כר'</t>
  </si>
  <si>
    <t>שבחי האר"י. תקנ"ה</t>
  </si>
  <si>
    <t>שבחי האר"י - 2 כר'</t>
  </si>
  <si>
    <t>שבחי האר"י. תר"י</t>
  </si>
  <si>
    <t>שבחי האר"י</t>
  </si>
  <si>
    <t>שבחי האר"י. תרל"ב</t>
  </si>
  <si>
    <t>שבחי הבעש"ט &lt;מהדורת רובינשטיין&gt;</t>
  </si>
  <si>
    <t>רובינשטיין, אברהם</t>
  </si>
  <si>
    <t>שבחי הבעש"ט - 2 כר'</t>
  </si>
  <si>
    <t>שבחי הבעש"ט. תקע"ה</t>
  </si>
  <si>
    <t>[תקע"ה,</t>
  </si>
  <si>
    <t>שבחי הבעש"ט</t>
  </si>
  <si>
    <t>שבחי הבעש"ט. תרפ"ב</t>
  </si>
  <si>
    <t>שבחי הלולים</t>
  </si>
  <si>
    <t>שבחי הר"ן &lt;המנוקד&gt;</t>
  </si>
  <si>
    <t>שבחי הר"ן - 2 כר'</t>
  </si>
  <si>
    <t>שבחי הר"נ</t>
  </si>
  <si>
    <t>שבחי הרב - 4 כר'</t>
  </si>
  <si>
    <t>רודקינזון, מיכאל לוי בן אלכסנדר</t>
  </si>
  <si>
    <t>שבחי הרמ"ק</t>
  </si>
  <si>
    <t>שבחי ירושלים</t>
  </si>
  <si>
    <t>ברוך, יעקב בן משה חיים</t>
  </si>
  <si>
    <t>שבחי כהן כתר תורה</t>
  </si>
  <si>
    <t>שבחי כנסת ישראל</t>
  </si>
  <si>
    <t>שבחי מארי שלום טביב</t>
  </si>
  <si>
    <t>בית המדרש אור חי</t>
  </si>
  <si>
    <t>שבחי מועדים</t>
  </si>
  <si>
    <t>בן חמו, שלמה בן יעקב</t>
  </si>
  <si>
    <t>שבחי פסח</t>
  </si>
  <si>
    <t>פס. קהילה</t>
  </si>
  <si>
    <t>שבחי צדיקים - 2 כר'</t>
  </si>
  <si>
    <t>ציטרין, מנחם מנדל</t>
  </si>
  <si>
    <t>שבחי הצדיקים</t>
  </si>
  <si>
    <t>[תשי"ח-תשי"ט],</t>
  </si>
  <si>
    <t>שבחי קדושת לוי</t>
  </si>
  <si>
    <t>אוביץ, חיים מאיר</t>
  </si>
  <si>
    <t>שבחי ר' חיים וויטאל - 4 כר'</t>
  </si>
  <si>
    <t>שבחי ר' מאיר</t>
  </si>
  <si>
    <t>שבחי רב ייב"י</t>
  </si>
  <si>
    <t>רבינוביץ, אליקים געציל</t>
  </si>
  <si>
    <t>שבחי רבינו השומר אמונים - ב</t>
  </si>
  <si>
    <t>שבחי רמ"ל</t>
  </si>
  <si>
    <t>שבחי רשב"י &lt;בכתבי הרמ"ק&gt;</t>
  </si>
  <si>
    <t>שבחי שלמה - 2 כר'</t>
  </si>
  <si>
    <t>ברנשטיין, שלמה חיים</t>
  </si>
  <si>
    <t>שבחי תודה</t>
  </si>
  <si>
    <t>כהן, מלאכי בן יעקב</t>
  </si>
  <si>
    <t>שבחין אסדר</t>
  </si>
  <si>
    <t>שבחין דרשב"י</t>
  </si>
  <si>
    <t>שבט אפרים - 2 כר'</t>
  </si>
  <si>
    <t>וואלד, אפרים בן אליהו</t>
  </si>
  <si>
    <t>תרפ"ז - תרצ"ה</t>
  </si>
  <si>
    <t>שבט אפרים - א</t>
  </si>
  <si>
    <t>לנדאו, אפרים</t>
  </si>
  <si>
    <t>שבט אשר</t>
  </si>
  <si>
    <t>קיציס, אהרן</t>
  </si>
  <si>
    <t>שבט בנימין</t>
  </si>
  <si>
    <t>מישיווקי Mishawaka,</t>
  </si>
  <si>
    <t>פונטרימולי, בנימין</t>
  </si>
  <si>
    <t>תקפ"ח הק'</t>
  </si>
  <si>
    <t>שבט הכהונה - 7 כר'</t>
  </si>
  <si>
    <t>שבט הלוי  על התורה  - בראשית</t>
  </si>
  <si>
    <t>שבט הלוי על מועדים - חנוכה</t>
  </si>
  <si>
    <t>שבט הלוי</t>
  </si>
  <si>
    <t>שבט הלוי - 13 כר'</t>
  </si>
  <si>
    <t>שבט הקהתי - 6 כר'</t>
  </si>
  <si>
    <t>שבט יהודא</t>
  </si>
  <si>
    <t>אבן-ווירגא, שלמה</t>
  </si>
  <si>
    <t>שבט יהודה &lt;מהדורה חדשה&gt;</t>
  </si>
  <si>
    <t>שבט יהודה - 5 כר'</t>
  </si>
  <si>
    <t>שבט יהודה</t>
  </si>
  <si>
    <t>בן מוייאל, יהודה בן מכלוף</t>
  </si>
  <si>
    <t>בראנדסדארפער, שלמה</t>
  </si>
  <si>
    <t>ועקנין, חיים</t>
  </si>
  <si>
    <t>מועלם, יהודה</t>
  </si>
  <si>
    <t>שבט ישראל</t>
  </si>
  <si>
    <t>לאנדא, ישראל בן יהודה ליבוש</t>
  </si>
  <si>
    <t>שבט יששכר</t>
  </si>
  <si>
    <t>פופוביץ, יששכר דוב</t>
  </si>
  <si>
    <t>שבט כהונה, שר השלום</t>
  </si>
  <si>
    <t>שבט מוסר עם עברי דייטש</t>
  </si>
  <si>
    <t>שבט מוסר</t>
  </si>
  <si>
    <t>[תרכ"ג,</t>
  </si>
  <si>
    <t>שבט מוסר - 6 כר'</t>
  </si>
  <si>
    <t>שבט מיהודא - מקוואות</t>
  </si>
  <si>
    <t>שבט מיהודה החדש</t>
  </si>
  <si>
    <t>דרושים, דרושים, מועדי ישראל, משנה, תנ"ך</t>
  </si>
  <si>
    <t>שבט מיהודה - 4 כר'</t>
  </si>
  <si>
    <t>שבט מיהודה - 2 כר'</t>
  </si>
  <si>
    <t>איגר, אברהם בן יהודה ליב</t>
  </si>
  <si>
    <t>שבט מיהודה</t>
  </si>
  <si>
    <t>גולדנצייל, יהודה ליב בן משה</t>
  </si>
  <si>
    <t>שבט מיהודה - ירושת הבכור</t>
  </si>
  <si>
    <t>שבט מישור</t>
  </si>
  <si>
    <t>שבט מישור - 2 כר'</t>
  </si>
  <si>
    <t>פריי, מאיר יהודה ליב בן יצחק צבי</t>
  </si>
  <si>
    <t>שווראץ, בנימין זאב</t>
  </si>
  <si>
    <t>שבט מישראל - 3 כר'</t>
  </si>
  <si>
    <t>פרידמן, ישראל</t>
  </si>
  <si>
    <t>שבט מנשה</t>
  </si>
  <si>
    <t>שבט סופר (חולין)</t>
  </si>
  <si>
    <t>שבט סופר (כתובות, גיטין)</t>
  </si>
  <si>
    <t>שבט סופר (שו"ת)</t>
  </si>
  <si>
    <t>שבט סופר השלם</t>
  </si>
  <si>
    <t>פיורקא, אברהם מרדכי בן יצחק</t>
  </si>
  <si>
    <t>שבט סופר על התורה ומועדים - 2 כר'</t>
  </si>
  <si>
    <t>שבט סופר על חמשה חומשי תורה</t>
  </si>
  <si>
    <t>ארנפלד, ישעיה בן דוד צבי</t>
  </si>
  <si>
    <t>שבט סופר</t>
  </si>
  <si>
    <t>שבט שמעון - 5 כר'</t>
  </si>
  <si>
    <t>תרמ"ד - תרמ"ח</t>
  </si>
  <si>
    <t>שבטי יה</t>
  </si>
  <si>
    <t>שבטי ישראל האובדים והנדחים</t>
  </si>
  <si>
    <t>אביחיל, אליהו</t>
  </si>
  <si>
    <t>שבטי נחלתך</t>
  </si>
  <si>
    <t>שבטך ומשענתך - הרהורים ומחשבות אחרי השואה</t>
  </si>
  <si>
    <t>שבי בנימין</t>
  </si>
  <si>
    <t>שבי ציון</t>
  </si>
  <si>
    <t>שבי תאר</t>
  </si>
  <si>
    <t>שטרית שמעון בן יצחק</t>
  </si>
  <si>
    <t>שבי"ל הפרד"ס - 1</t>
  </si>
  <si>
    <t>קובץ לתורה וחסידות אשלג</t>
  </si>
  <si>
    <t>שביב אור - 4 כר'</t>
  </si>
  <si>
    <t>קסלר, שמחה בן יוסף</t>
  </si>
  <si>
    <t>שביבי אגדה</t>
  </si>
  <si>
    <t>ירושלמי, שמחה ישכר בער בן דוד</t>
  </si>
  <si>
    <t>שביבי אור - ליקוטים</t>
  </si>
  <si>
    <t>וואלקין, שמואל דוד</t>
  </si>
  <si>
    <t>שביבי אור</t>
  </si>
  <si>
    <t>טפלי, מרים</t>
  </si>
  <si>
    <t>שביבי אור - ר"ה, סליחות</t>
  </si>
  <si>
    <t>שביבי אש &lt;על התורה&gt; - 2 כר'</t>
  </si>
  <si>
    <t>שביבי אש &lt;שו"ת&gt; - 4 כר'</t>
  </si>
  <si>
    <t>שביבי אש (אה"ע)</t>
  </si>
  <si>
    <t>שור, אברהם צבי בן שמואל יצחק</t>
  </si>
  <si>
    <t>תרצ"ה - תש"ד</t>
  </si>
  <si>
    <t>שביבי אש</t>
  </si>
  <si>
    <t>בביוף, שמעון</t>
  </si>
  <si>
    <t>הייבלום, חיים אייזיק</t>
  </si>
  <si>
    <t>שביבי אש - חולין</t>
  </si>
  <si>
    <t>שביבי אש - או"ח, חו"מ</t>
  </si>
  <si>
    <t>דרושים, נושאים שונים, שלחן ערוך ומפרשיו</t>
  </si>
  <si>
    <t>שביבי אש - 5 כר'</t>
  </si>
  <si>
    <t>שביבי הוד - 2 כר'</t>
  </si>
  <si>
    <t>כולל שירת אהרון</t>
  </si>
  <si>
    <t>שביבי הלוי</t>
  </si>
  <si>
    <t>שטרן, שמואל אליעזר - ואזנר, שמואל בן יוסף צבי הלוי</t>
  </si>
  <si>
    <t>שביבי המועדים</t>
  </si>
  <si>
    <t>כץ, חיים משה</t>
  </si>
  <si>
    <t>שביבי חוקי חיים</t>
  </si>
  <si>
    <t>שביבי טהרה - קיצור הלכות נדה</t>
  </si>
  <si>
    <t>שביבי טוהר</t>
  </si>
  <si>
    <t>אוחנונא, מכלוף מסעוד (עליו)</t>
  </si>
  <si>
    <t>שביבי - 7 כר'</t>
  </si>
  <si>
    <t>גרבוז, שלמה בן בנימין</t>
  </si>
  <si>
    <t>שביבים מבית אבא</t>
  </si>
  <si>
    <t>ארלנגר, עקיבא בן שמשון רפאל (עליו)</t>
  </si>
  <si>
    <t>שביל הזהב (או"ח, חו"מ)</t>
  </si>
  <si>
    <t>כהן, ברוך בן מאיר שלום</t>
  </si>
  <si>
    <t>שביל הזהב</t>
  </si>
  <si>
    <t>אליאשברג, מרדכי בן יוסף</t>
  </si>
  <si>
    <t>שביל הישר</t>
  </si>
  <si>
    <t>שביל המדרש רבה</t>
  </si>
  <si>
    <t>אייזנשמיד, ישעיה מנחם מנדל בן אברהם אליהו</t>
  </si>
  <si>
    <t>שביל הצבי - 2 כר'</t>
  </si>
  <si>
    <t>שביל טוב - 2 כר'</t>
  </si>
  <si>
    <t>וויטקין, שמעון בן יהודה ליב</t>
  </si>
  <si>
    <t>שבילי איסור והיתר - 2 כר'</t>
  </si>
  <si>
    <t>ויכלדר, חיים מאיר</t>
  </si>
  <si>
    <t>שבילי אמונה - 2 כר'</t>
  </si>
  <si>
    <t>אלדבי, מאיר בן יצחק</t>
  </si>
  <si>
    <t>שבילי אשר</t>
  </si>
  <si>
    <t>הלכה ומנהג, משנה, תלמוד בבלי, תלמוד בבלי, תלמוד בבלי</t>
  </si>
  <si>
    <t>שבילי דאורייתא - 3 כר'</t>
  </si>
  <si>
    <t>כולל עיון חסידי בעלזא</t>
  </si>
  <si>
    <t>שבילי דוד - 9 כר'</t>
  </si>
  <si>
    <t>זילברשטיין, דוד יהודה ליב בן אהרן</t>
  </si>
  <si>
    <t>שבילי דירחא</t>
  </si>
  <si>
    <t>שבילי דרקיע</t>
  </si>
  <si>
    <t>הכים, אליהו בן חיים הכהן</t>
  </si>
  <si>
    <t>שבילי האמונה</t>
  </si>
  <si>
    <t>שבילי הבית</t>
  </si>
  <si>
    <t>שבילי הזבח</t>
  </si>
  <si>
    <t>שבילי החודשים - 4 כר'</t>
  </si>
  <si>
    <t>שבילי החיים</t>
  </si>
  <si>
    <t>שבילי החיים - 2 כר'</t>
  </si>
  <si>
    <t>שבילי החינוך - 4 כר'</t>
  </si>
  <si>
    <t>שבילי הטהרה</t>
  </si>
  <si>
    <t>שבילי היהדות באנגליה</t>
  </si>
  <si>
    <t>שווארצברג, ישראל יצחק בן אליעזר</t>
  </si>
  <si>
    <t>שבילי המדות והערכים - 8 כר'</t>
  </si>
  <si>
    <t>שבילי המועדים - 2 כר'</t>
  </si>
  <si>
    <t>שבילי הספיקות</t>
  </si>
  <si>
    <t>בר כוכבא, ינון</t>
  </si>
  <si>
    <t>שבילי העזר</t>
  </si>
  <si>
    <t>שבילי השבת</t>
  </si>
  <si>
    <t>שבילי התורה - 5 כר'</t>
  </si>
  <si>
    <t>שבילי התלמוד</t>
  </si>
  <si>
    <t>גינתי, עובדיה בן רחמים</t>
  </si>
  <si>
    <t>שבילי זרעים - 3 כר'</t>
  </si>
  <si>
    <t>שבילי חיים</t>
  </si>
  <si>
    <t>דרושים, מחשבה ומוסר, נושאים שונים, תנ"ך, תנ"ך</t>
  </si>
  <si>
    <t>שבילי טהרה</t>
  </si>
  <si>
    <t>טולידאנו, שמואל</t>
  </si>
  <si>
    <t>שבילי יו"ט</t>
  </si>
  <si>
    <t>רוזנפלד, אריה יוסף</t>
  </si>
  <si>
    <t>שבילי ים</t>
  </si>
  <si>
    <t>שבילי ישראל</t>
  </si>
  <si>
    <t>שבילי משפט</t>
  </si>
  <si>
    <t>שבילי נהורא</t>
  </si>
  <si>
    <t>אהרן בן קלונימוס קלמן</t>
  </si>
  <si>
    <t>שבילי עולם - 2 כר'</t>
  </si>
  <si>
    <t>בלוך, שמשון בן יצחק הלוי</t>
  </si>
  <si>
    <t>שבילי ציון - 2 כר'</t>
  </si>
  <si>
    <t>שבילי שביעית</t>
  </si>
  <si>
    <t>שבילי שדה - נדה</t>
  </si>
  <si>
    <t>וקסמן, נפתלי צבי בן יצחק</t>
  </si>
  <si>
    <t>שבילי תורה - 2 כר'</t>
  </si>
  <si>
    <t>שלמה בן יהודה ליב מאפטא</t>
  </si>
  <si>
    <t>שבילים במחשבת החסידות</t>
  </si>
  <si>
    <t>שבילין - 11 כר'</t>
  </si>
  <si>
    <t>בטאון חבר הרבנים</t>
  </si>
  <si>
    <t>שביעי קדש</t>
  </si>
  <si>
    <t>שביעין חביבין - קושר תופר</t>
  </si>
  <si>
    <t>הלכה ומנהג, מועדי ישראל, קבצים וכתבי עת, ספרי זכרון ויובל, תלמוד בבלי</t>
  </si>
  <si>
    <t>שביעית אברך</t>
  </si>
  <si>
    <t>שביעית בהלכה</t>
  </si>
  <si>
    <t>שביעית ושמינית למעשה - 2 כר'</t>
  </si>
  <si>
    <t>לבקוביץ, אריה</t>
  </si>
  <si>
    <t>שביעית כהלכתה</t>
  </si>
  <si>
    <t>שביעית להלכה ולמעשה</t>
  </si>
  <si>
    <t>שביעית למצוותיה</t>
  </si>
  <si>
    <t>שבית שבי</t>
  </si>
  <si>
    <t>וולף, שמואל בן יהודה</t>
  </si>
  <si>
    <t>שביתה הניכרת</t>
  </si>
  <si>
    <t>שביתת אהבה - שבת</t>
  </si>
  <si>
    <t>שביתת הארץ</t>
  </si>
  <si>
    <t>אדרי, יהודה - אביטן, דוד</t>
  </si>
  <si>
    <t>דיסקין, משה יהושע יהודה ליב בן בנימין - זילבר, בנימין יהושע בן ברוך</t>
  </si>
  <si>
    <t>שביתת הים</t>
  </si>
  <si>
    <t>שביתת השביעי</t>
  </si>
  <si>
    <t>שביתת השבת &lt;מהדורה חדשה&gt;</t>
  </si>
  <si>
    <t>שביתת השבת - 2 כר'</t>
  </si>
  <si>
    <t>שביתת השדה &lt;מהדורה חדשה&gt;</t>
  </si>
  <si>
    <t>שביתת השדה</t>
  </si>
  <si>
    <t>שביתת יום טוב</t>
  </si>
  <si>
    <t>אלנקאוה, יום טוב</t>
  </si>
  <si>
    <t>רבי, משה בן יגאל</t>
  </si>
  <si>
    <t>שביתת יום טוב - משכן אליהו</t>
  </si>
  <si>
    <t>שביתת קדש</t>
  </si>
  <si>
    <t>שבלי הלקט &lt;דפו"ר&gt; - 2 כר'</t>
  </si>
  <si>
    <t>שבלי הלקט &lt;מהדורת מירסקי&gt;</t>
  </si>
  <si>
    <t>שבלי הלקט השלם</t>
  </si>
  <si>
    <t>שבלי הלקט - 2 כר'</t>
  </si>
  <si>
    <t>שבלים בודדות</t>
  </si>
  <si>
    <t>שבע ביום הללתיך</t>
  </si>
  <si>
    <t>ורטהיימר, יחיאל משה בן צבי</t>
  </si>
  <si>
    <t>שבע ברכות בהלכה ובאגדה</t>
  </si>
  <si>
    <t>שבע ברכות</t>
  </si>
  <si>
    <t>שבע ברכות - ב (נדה ומקואות)</t>
  </si>
  <si>
    <t>כהן, שלום בן עזרא</t>
  </si>
  <si>
    <t>שבע חופות</t>
  </si>
  <si>
    <t>כהן, רחמים</t>
  </si>
  <si>
    <t>שבע ימי פסח</t>
  </si>
  <si>
    <t>שבע יפול צדיק</t>
  </si>
  <si>
    <t>שבע מסכתות קטנות ירושלמיות</t>
  </si>
  <si>
    <t>קירכהיים, רפאל בן שמעון</t>
  </si>
  <si>
    <t>שבע מסכתות קטנות</t>
  </si>
  <si>
    <t>מסכתות קטנות. תר"ץ</t>
  </si>
  <si>
    <t>שבע מצות בני נח - עיר הנדחת</t>
  </si>
  <si>
    <t>שטיבל, מנחם פנחס - זכריש אליעזר</t>
  </si>
  <si>
    <t>שבע רצון</t>
  </si>
  <si>
    <t>ליברמאן, נפתלי</t>
  </si>
  <si>
    <t>מיכאלאווצע,</t>
  </si>
  <si>
    <t>Podgorze פודגורזה</t>
  </si>
  <si>
    <t>שבע שמחות &lt;ע"פ מנהג יהודי חבאן&gt;</t>
  </si>
  <si>
    <t>מעטוף, אבישי</t>
  </si>
  <si>
    <t>שבע שמחות - סוכות</t>
  </si>
  <si>
    <t>שבעה כוכבי לכת</t>
  </si>
  <si>
    <t>שבעה משיבי טעם</t>
  </si>
  <si>
    <t>שבעה משקין</t>
  </si>
  <si>
    <t>נויגאס, שמואל חיים בן אברהם</t>
  </si>
  <si>
    <t>דרושים, משנה, קבלה, תנ"ך</t>
  </si>
  <si>
    <t>שבעה נרות</t>
  </si>
  <si>
    <t>שבעה עינים</t>
  </si>
  <si>
    <t>אבן יחיא, גדליה בן דוד</t>
  </si>
  <si>
    <t>שבעה עינים - 4 כר'</t>
  </si>
  <si>
    <t>שבעה פתילות &lt;קיצור ספר מנורת המאור&gt;</t>
  </si>
  <si>
    <t>פרנקפורט, משה בן שמעון</t>
  </si>
  <si>
    <t>שבעה קני מנורה</t>
  </si>
  <si>
    <t>שבעה שבועות - א</t>
  </si>
  <si>
    <t>שבעה שיטות להרשב"א - 2 כר'</t>
  </si>
  <si>
    <t>שבעה שערים</t>
  </si>
  <si>
    <t>פופרט, שמואל זנוויל בן מרדכי</t>
  </si>
  <si>
    <t>שבעים ושתים ידיעות</t>
  </si>
  <si>
    <t>שבעים פנים לתורה &lt;מהדורה חדשה&gt;</t>
  </si>
  <si>
    <t>שבעים פנים לתורה</t>
  </si>
  <si>
    <t>שבעים פנים</t>
  </si>
  <si>
    <t>שבעים שנה בירושלים</t>
  </si>
  <si>
    <t>שבעים שנות תורה ומוסר</t>
  </si>
  <si>
    <t>על ישיבת חברון</t>
  </si>
  <si>
    <t>שבעים תמרים</t>
  </si>
  <si>
    <t>טרופא, ראובן דוד טבל בן יחזקאל</t>
  </si>
  <si>
    <t>הלכה ומנהג, הלכה ומנהג, הלכה ומנהג, נושאים שונים, שאלות ותשובות, תולדות עם ישראל, תולדות עם ישראל</t>
  </si>
  <si>
    <t>שבעים תקוני הזהר &lt;חמדת צבי&gt;</t>
  </si>
  <si>
    <t>שבעים תקונים על פתק הגאולה</t>
  </si>
  <si>
    <t>נס, חי</t>
  </si>
  <si>
    <t>שבעת האושפיזין</t>
  </si>
  <si>
    <t>אמרוסי, ינון</t>
  </si>
  <si>
    <t>שבעת המאורות</t>
  </si>
  <si>
    <t>שבעת הרועים</t>
  </si>
  <si>
    <t>דברי ימי סענדרא ותולדות שבעת רועיה</t>
  </si>
  <si>
    <t>תשנ"א - תשנ"ב</t>
  </si>
  <si>
    <t>שבר במצרים</t>
  </si>
  <si>
    <t>שבר פושעים - 3 כר'</t>
  </si>
  <si>
    <t>שברי לוחות - 2 כר'</t>
  </si>
  <si>
    <t>יחיאל מיכל בן אליעזר מנמירוב</t>
  </si>
  <si>
    <t>שבת אחים</t>
  </si>
  <si>
    <t>האחים שמעון ואברהם לבית פלדמן</t>
  </si>
  <si>
    <t>שאלות ותשובות, שלחן ערוך ומפרשיו, תלמוד בבלי, תלמוד ירושלמי, תנ"ך</t>
  </si>
  <si>
    <t>שבת אחים - 9 כר'</t>
  </si>
  <si>
    <t>שבת בהלכה</t>
  </si>
  <si>
    <t>שבת בראשית ושבת סיני</t>
  </si>
  <si>
    <t>שבת בראשית</t>
  </si>
  <si>
    <t>שבת בריילפט</t>
  </si>
  <si>
    <t>שבת בשבתו</t>
  </si>
  <si>
    <t>טורק, אליעזר בן משה</t>
  </si>
  <si>
    <t>שבת בשבתו - 6 כר'</t>
  </si>
  <si>
    <t>רחמנוב, אברהם</t>
  </si>
  <si>
    <t>שבת בשבתו - ב</t>
  </si>
  <si>
    <t>שטאל, אברהם</t>
  </si>
  <si>
    <t>שבת הארץ &lt;מכון התורה והארץ&gt; - 2 כר'</t>
  </si>
  <si>
    <t>שבת הארץ</t>
  </si>
  <si>
    <t>שבת היום - 4 כר'</t>
  </si>
  <si>
    <t>רוטנברג, נחמיה בן ישעיה פנחס</t>
  </si>
  <si>
    <t>שבת המלכה - א</t>
  </si>
  <si>
    <t>אברג'ל, חיים יוסף דוד בן יורם מיכאל</t>
  </si>
  <si>
    <t>שבת המלכה</t>
  </si>
  <si>
    <t>תפילות. סידור. תרנ"ד. בודפשט</t>
  </si>
  <si>
    <t>[תרנ"ד].</t>
  </si>
  <si>
    <t>שבת וחודש</t>
  </si>
  <si>
    <t>שבת וינפש</t>
  </si>
  <si>
    <t>בוטרשוילי, פינחס</t>
  </si>
  <si>
    <t>שבת ומועד בחצרות צדיקים - א</t>
  </si>
  <si>
    <t>שבת ומועד בצה"ל</t>
  </si>
  <si>
    <t>שבת ומועד בשביעית - ב</t>
  </si>
  <si>
    <t>שבת ומועד - 2 כר'</t>
  </si>
  <si>
    <t>שבת ומועד - 3 כר'</t>
  </si>
  <si>
    <t>שבת ומועדי קדשך - 2 כר'</t>
  </si>
  <si>
    <t>גרוסמן, בנימין יחיאל מיכל בן משה</t>
  </si>
  <si>
    <t>ליקווד Lakewood</t>
  </si>
  <si>
    <t>שבת ומועדים - 5 כר'</t>
  </si>
  <si>
    <t>שבת כדת - 2 כר'</t>
  </si>
  <si>
    <t>שבת כהלכה - 2 כר'</t>
  </si>
  <si>
    <t>שבת כהלכה</t>
  </si>
  <si>
    <t>שבת כלה מלכתא</t>
  </si>
  <si>
    <t>שבת לה'</t>
  </si>
  <si>
    <t>שבת לה' - הלכות שביעית</t>
  </si>
  <si>
    <t>שבת לישראל</t>
  </si>
  <si>
    <t>ספר זכרון לבחור ישראל אמסלם</t>
  </si>
  <si>
    <t>שבת למטרה</t>
  </si>
  <si>
    <t>שבת מלכתא</t>
  </si>
  <si>
    <t>מזא"ה, יצחק חי הכהן</t>
  </si>
  <si>
    <t>שבת מנוחה</t>
  </si>
  <si>
    <t>פרזון, שלמה חי בן מרדכי</t>
  </si>
  <si>
    <t>שבת ערוכה</t>
  </si>
  <si>
    <t>לגטיבי, איתן</t>
  </si>
  <si>
    <t>שבת קדש קדשים</t>
  </si>
  <si>
    <t>שבת קדש - יקר מפז</t>
  </si>
  <si>
    <t>מנדלבסק'י, זאב פינחס בן יעקב צבי</t>
  </si>
  <si>
    <t>שבת קדש</t>
  </si>
  <si>
    <t>שבת קודש</t>
  </si>
  <si>
    <t>שבת שבנסתר</t>
  </si>
  <si>
    <t>בן-ישראל, אשר בן ישראל</t>
  </si>
  <si>
    <t>שבת שבתון</t>
  </si>
  <si>
    <t>מילר, שמעון</t>
  </si>
  <si>
    <t>שבת שכולה שבת</t>
  </si>
  <si>
    <t>שבת של ישראל</t>
  </si>
  <si>
    <t>שבת של מ"י</t>
  </si>
  <si>
    <t>שבת של מי - 3 כר'</t>
  </si>
  <si>
    <t>שבת שלום ומבורך</t>
  </si>
  <si>
    <t>שבת שלום ציון - קבלת שבת</t>
  </si>
  <si>
    <t>שבת שלום</t>
  </si>
  <si>
    <t>שבת שלמה</t>
  </si>
  <si>
    <t>מילר, שלמה אליהו</t>
  </si>
  <si>
    <t>שבתא דינוקא</t>
  </si>
  <si>
    <t>שבתא דריגלא</t>
  </si>
  <si>
    <t>שבתא טבא - מוקצה</t>
  </si>
  <si>
    <t>שבתו יתן ורפא ירפא</t>
  </si>
  <si>
    <t>מרק, ישעיהו שי</t>
  </si>
  <si>
    <t>שבתות חן</t>
  </si>
  <si>
    <t>שבתות שנים</t>
  </si>
  <si>
    <t>שבתותי תשמורו - 2 כר'</t>
  </si>
  <si>
    <t>שבתי יצחק - 5 כר'</t>
  </si>
  <si>
    <t>לרנר, יצחק שבתי בן אריה לייב</t>
  </si>
  <si>
    <t>שגבנו נורא - תולדות הגה"צ המקובל רבי נסים פרץ</t>
  </si>
  <si>
    <t>פרידמן, יעקב ב</t>
  </si>
  <si>
    <t>שגורה תפלתי</t>
  </si>
  <si>
    <t>מכון שפה ברורה קאסוב</t>
  </si>
  <si>
    <t>שדה אברהם - 3 כר'</t>
  </si>
  <si>
    <t>שדה אחוזה</t>
  </si>
  <si>
    <t>שדה אלחנן - 2 כר'</t>
  </si>
  <si>
    <t>שדה אליהו - 19 כר'</t>
  </si>
  <si>
    <t>מובשוביץ, שמואל דוד בן יוסף אליהו הלוי</t>
  </si>
  <si>
    <t>שדה אלימלך</t>
  </si>
  <si>
    <t>הימלפרב, אלימלך בן שמואל מרדכי</t>
  </si>
  <si>
    <t>שדה בוכים</t>
  </si>
  <si>
    <t>וויינצימר, מרדכי יצחק בן חיים יהודה</t>
  </si>
  <si>
    <t>תל"ט</t>
  </si>
  <si>
    <t>שדה ברכה</t>
  </si>
  <si>
    <t>שדה הארץ - 3 כר'</t>
  </si>
  <si>
    <t>מיוחס, אברהם בן שמואל</t>
  </si>
  <si>
    <t>תקמ"ד - תקנ"ח</t>
  </si>
  <si>
    <t>שדה העיר</t>
  </si>
  <si>
    <t>שדה חיים</t>
  </si>
  <si>
    <t>פרוינד, חיים</t>
  </si>
  <si>
    <t>שדה יהושע</t>
  </si>
  <si>
    <t>מאמאן,יהושע</t>
  </si>
  <si>
    <t>שדה יחזקאל - 2 כר'</t>
  </si>
  <si>
    <t>שדה יעקב</t>
  </si>
  <si>
    <t>דייטש, יעקב שמריה בן חיים יהודה הלוי</t>
  </si>
  <si>
    <t>שדה יער</t>
  </si>
  <si>
    <t>שדה יצחק</t>
  </si>
  <si>
    <t>בגון, יצחק בן א ז</t>
  </si>
  <si>
    <t>שדה יצחק - 3 כר'</t>
  </si>
  <si>
    <t>תש"ג - תשי"א</t>
  </si>
  <si>
    <t>שדה יצחק - א</t>
  </si>
  <si>
    <t>חיות, יצחק בן צבי הירש</t>
  </si>
  <si>
    <t>שדה יצחק - 2 כר'</t>
  </si>
  <si>
    <t>שטרן, יצחק יהודה בן משה שמואל</t>
  </si>
  <si>
    <t>שדה לבן - 3 כר'</t>
  </si>
  <si>
    <t>שדה מרגליות</t>
  </si>
  <si>
    <t>מרגליות, שואל דוד הכהן</t>
  </si>
  <si>
    <t>שדה נפתלי בהלכה</t>
  </si>
  <si>
    <t>היילפרין, נפתלי הרץ מאיר בן יעקב ישראל</t>
  </si>
  <si>
    <t>שדה צופים &lt;ירושלמי&gt; - 6 כר'</t>
  </si>
  <si>
    <t>שדה צופים - 43 כר'</t>
  </si>
  <si>
    <t>שדה צופים - 3 כר'</t>
  </si>
  <si>
    <t>שדה שמואל - 2 כר'</t>
  </si>
  <si>
    <t>שדי חמד &lt;מהדורה מקורית&gt; - 16 כר'</t>
  </si>
  <si>
    <t>שדים סופדים</t>
  </si>
  <si>
    <t>דייטש, שמעון בן אברהם אהרן</t>
  </si>
  <si>
    <t>שה לבית אבות</t>
  </si>
  <si>
    <t>שה לבית</t>
  </si>
  <si>
    <t>שפירא, ? בן שלמה יצחק</t>
  </si>
  <si>
    <t>שה לבית, גשמי ברכה</t>
  </si>
  <si>
    <t>חסידות, מועדי ישראל, מועדי ישראל</t>
  </si>
  <si>
    <t>שהחיינו</t>
  </si>
  <si>
    <t>הכהן, משה בן מרדכי חיים</t>
  </si>
  <si>
    <t>שהכל ברא לכבודו</t>
  </si>
  <si>
    <t>שהם מנחם</t>
  </si>
  <si>
    <t>שהם קברניט</t>
  </si>
  <si>
    <t>שהשמחה במעונו - 2 כר'</t>
  </si>
  <si>
    <t>שהשמחה במעונו - ב</t>
  </si>
  <si>
    <t>צעירי ויז'ניץ</t>
  </si>
  <si>
    <t>שהשמחה במעונו</t>
  </si>
  <si>
    <t>קליינר, דניאל בן יעקב אליעזר</t>
  </si>
  <si>
    <t>שו"ת אבא ב"ם - 6 כר'</t>
  </si>
  <si>
    <t>שו"ת אבני חן</t>
  </si>
  <si>
    <t>מרבני משפחת חן לדורותיהם</t>
  </si>
  <si>
    <t>שו"ת אגרות מלכים</t>
  </si>
  <si>
    <t>שו"ת אור השנים</t>
  </si>
  <si>
    <t>שו"ת אור מציון</t>
  </si>
  <si>
    <t>שו"ת אילן אביגדור</t>
  </si>
  <si>
    <t>נבנצל, אביגדר יחזקאל הלוי - גרינוולד, אילן בן משה</t>
  </si>
  <si>
    <t>שו"ת אך טוב לישראל - ב</t>
  </si>
  <si>
    <t>שו"ת אלשיך - 3 כר'</t>
  </si>
  <si>
    <t>שו"ת ארחות יושר - 3 כר'</t>
  </si>
  <si>
    <t>שו"ת אריאל - 2 כר'</t>
  </si>
  <si>
    <t>שו"ת ארץ ישראל</t>
  </si>
  <si>
    <t>שו"ת בדי הארון - 3 כר'</t>
  </si>
  <si>
    <t>שו"ת בהלכות איסור והיתר</t>
  </si>
  <si>
    <t>מיוחס לקדמון מאיטליה</t>
  </si>
  <si>
    <t>שו"ת בהלכות נדה</t>
  </si>
  <si>
    <t>שו"ת בית דינו של שמואל - 2 כר'</t>
  </si>
  <si>
    <t>לאנייאדו, שמואל בן שלמה</t>
  </si>
  <si>
    <t>שו"ת בית חדש החדשות</t>
  </si>
  <si>
    <t>שו"ת בית חדש הישנות</t>
  </si>
  <si>
    <t>שו"ת בית יוסף - 3 כר'</t>
  </si>
  <si>
    <t>שו"ת בן ימין</t>
  </si>
  <si>
    <t>שו"ת בענין דו"ד שבין מי שנדב מקום בחצירות</t>
  </si>
  <si>
    <t>רפאפורט, אברהם - ווינברג, יחיאל יעקב</t>
  </si>
  <si>
    <t>שו"ת דבר יוסף</t>
  </si>
  <si>
    <t>פישר, יוסף דוב</t>
  </si>
  <si>
    <t>שו"ת דברי סופר</t>
  </si>
  <si>
    <t>שו"ת דור רביעי &lt;רסיסי טל&gt; - א</t>
  </si>
  <si>
    <t>גלאזנר, משה שמואל בן אברהם - קליין, שמואל מנחם</t>
  </si>
  <si>
    <t>שו"ת דור רביעי - ב</t>
  </si>
  <si>
    <t>שו"ת הב"ח הישנות</t>
  </si>
  <si>
    <t>שו"ת הגאונים (הקצרות) - 2 כר'</t>
  </si>
  <si>
    <t>שו"ת הגאונים (הקצרות) - &lt;הערות ר"י אפשטיין&gt;</t>
  </si>
  <si>
    <t>תשובות הגאונים (תש"ך)</t>
  </si>
  <si>
    <t>שו"ת הגאונים בתראי - 4 כר'</t>
  </si>
  <si>
    <t>שאלות ותשובות גאוני בתראי</t>
  </si>
  <si>
    <t>שו"ת הגאונים</t>
  </si>
  <si>
    <t>אליקים, יחיאל יעקב</t>
  </si>
  <si>
    <t>שו"ת הגראד"א</t>
  </si>
  <si>
    <t>אויערבך, אברהם דב בן שלמה זלמן - אבינר, שלמה חיים הכהן</t>
  </si>
  <si>
    <t>שו"ת הגרח"ק - א</t>
  </si>
  <si>
    <t>מחמלי, ינון בן אהרן</t>
  </si>
  <si>
    <t>שו"ת הד"ר - 2 כר'</t>
  </si>
  <si>
    <t>שו"ת החיד"א</t>
  </si>
  <si>
    <t>שו"ת המאור - 2 כר'</t>
  </si>
  <si>
    <t>אמסעל, מאיר</t>
  </si>
  <si>
    <t>שו"ת המבי"ט - 2 כר'</t>
  </si>
  <si>
    <t>שו"ת הסבא קדישא - 3 כר'</t>
  </si>
  <si>
    <t>שו"ת הפרי מגדים</t>
  </si>
  <si>
    <t>שו"ת הר"י מיגאש &lt;מהדורת שמוש חכמים&gt;</t>
  </si>
  <si>
    <t>שו"ת הר"י מיגאש - 2 כר'</t>
  </si>
  <si>
    <t>שו"ת הר"ן &lt;דפו"ר&gt; - 2 כר'</t>
  </si>
  <si>
    <t>ש"ה-ש"ו</t>
  </si>
  <si>
    <t>שו"ת הר"ן - 4 כר'</t>
  </si>
  <si>
    <t>שו"ת הרא"ש &lt;דפו"ר&gt;</t>
  </si>
  <si>
    <t>שו"ת הרא"ש &lt;מתוך קרני ראם&gt;</t>
  </si>
  <si>
    <t>שור, יצחק אייזק</t>
  </si>
  <si>
    <t>שו"ת הרא"ש - 3 כר'</t>
  </si>
  <si>
    <t>שו"ת הראנ"ח - 6 כר'</t>
  </si>
  <si>
    <t>שו"ת הרב הראשי - 2 כר'</t>
  </si>
  <si>
    <t>שו"ת הרב"ז - 3 כר'</t>
  </si>
  <si>
    <t>שאפראן, בצלאל זאב בן חנוך הניך</t>
  </si>
  <si>
    <t>תר"צ - תשכ"ב</t>
  </si>
  <si>
    <t>שו"ת הרב"ך</t>
  </si>
  <si>
    <t>שאלות ותשובות, תולדות עם ישראל, תפלות בקשות פיוטים ושירה</t>
  </si>
  <si>
    <t>שו"ת הרד"ד - 3 כר'</t>
  </si>
  <si>
    <t>שו"ת הרד"ם</t>
  </si>
  <si>
    <t>תרל"ג - תרמ"ו</t>
  </si>
  <si>
    <t>שו"ת הרדב"ז - 12 כר'</t>
  </si>
  <si>
    <t>תק"ט - תקע"ח</t>
  </si>
  <si>
    <t>שו"ת הרי"ח הטוב</t>
  </si>
  <si>
    <t>רבין, יצחק חיים הכהן</t>
  </si>
  <si>
    <t>שו"ת הרי"מ</t>
  </si>
  <si>
    <t>שו"ת הרי"ף - 8 כר'</t>
  </si>
  <si>
    <t>שו"ת הריב"ד</t>
  </si>
  <si>
    <t>פרידמאן, יהודה ליב בן דוד</t>
  </si>
  <si>
    <t>שו"ת הריב"ם</t>
  </si>
  <si>
    <t>שו"ת הריב"ש החדשות - 2 כר'</t>
  </si>
  <si>
    <t>יצחק בן ששת ברפת (ריב"ש)</t>
  </si>
  <si>
    <t>שו"ת הריב"ש - 3 כר'</t>
  </si>
  <si>
    <t>שו"ת הרמ"א - 2 כר'</t>
  </si>
  <si>
    <t>שו"ת הרמ"ז - 2 כר'</t>
  </si>
  <si>
    <t>שו"ת הרמ"ע מפאנו השלם &lt;מהדורת ישמח לב&gt;</t>
  </si>
  <si>
    <t>שו"ת הרמ"ע מפאנו - 4 כר'</t>
  </si>
  <si>
    <t>שאלות ותשובות, תולדות עם ישראל, תולדות עם ישראל, תלמוד בבלי</t>
  </si>
  <si>
    <t>שו"ת הרמב"ם ובנו רבנו אברהם</t>
  </si>
  <si>
    <t>משה בן מימון (הרמב"ם) - אברהם בן משה</t>
  </si>
  <si>
    <t>שו"ת הרש"ז</t>
  </si>
  <si>
    <t>שלום בן יחיא זכריה</t>
  </si>
  <si>
    <t>שו"ת הרשב"א - 13 כר'</t>
  </si>
  <si>
    <t>בולוניה</t>
  </si>
  <si>
    <t>שו"ת הרשב"א, קובץ הערות - 2 כר'</t>
  </si>
  <si>
    <t>בן אדרת, שלמה בן אברהם (רשב"א) - וסרמן, אלחנן בונם בן נפתלי בינוש</t>
  </si>
  <si>
    <t>שו"ת הרשב"ש</t>
  </si>
  <si>
    <t>שו"ת הרשבי"ד</t>
  </si>
  <si>
    <t>סג"ל, שבתי בן יצחק דוד</t>
  </si>
  <si>
    <t>שו"ת השבי"ט - 8 כר'</t>
  </si>
  <si>
    <t>שו"ת השואל - 3 כר'</t>
  </si>
  <si>
    <t>ישוב נריה</t>
  </si>
  <si>
    <t>שו"ת התניא - 3 כר'</t>
  </si>
  <si>
    <t>שו"ת וחידושי מהר"י שטייף</t>
  </si>
  <si>
    <t>שטייף, יונתן</t>
  </si>
  <si>
    <t>שו"ת וחידושי מוהרא"ל</t>
  </si>
  <si>
    <t>קנביל, אליעזר ליפמאן בן יהודה ליבוש</t>
  </si>
  <si>
    <t>שו"ת וחידושי רבי דוד צבאח ובית דינו</t>
  </si>
  <si>
    <t>צבאח, דוד</t>
  </si>
  <si>
    <t>שו"ת וחידושי רבי עקיבא איגר</t>
  </si>
  <si>
    <t>שו"ת וחידושי רבינו שלמה קלוגר</t>
  </si>
  <si>
    <t>שו"ת וחידושי רבנו יוסף נחמיה</t>
  </si>
  <si>
    <t>שו"ת וילן בעמק - חו"מ א</t>
  </si>
  <si>
    <t>שו"ת ויען אברהם - יו"ד א</t>
  </si>
  <si>
    <t>מייזעלס, אברהם עמרם</t>
  </si>
  <si>
    <t>שו"ת ופסקי מהרי"ק החדשים - 2 כר'</t>
  </si>
  <si>
    <t>שו"ת ושננתם - 3 כר'</t>
  </si>
  <si>
    <t>שו"ת זכרון בספר</t>
  </si>
  <si>
    <t>גולדשמיט, פנחס</t>
  </si>
  <si>
    <t>שו"ת זרע יעקב - 2 כר'</t>
  </si>
  <si>
    <t>מרכז הכוללים דשיכון סקווער</t>
  </si>
  <si>
    <t>שו"ת חדשות &lt;רעק"א&gt;</t>
  </si>
  <si>
    <t>שו"ת חיי אברהם - 2 כר'</t>
  </si>
  <si>
    <t>שפיצר, אברהם חיים</t>
  </si>
  <si>
    <t>שו"ת חלקי י"מ - 2 כר'</t>
  </si>
  <si>
    <t>יאנובר, יוסף מאיר בן חנינא</t>
  </si>
  <si>
    <t>שו"ת חקל יצחק</t>
  </si>
  <si>
    <t>שו"ת יוסף דעת - א</t>
  </si>
  <si>
    <t>שו"ת יפתח ה' - 12 כר'</t>
  </si>
  <si>
    <t>יפתח, שי</t>
  </si>
  <si>
    <t>שו"ת כנסת הגדולה</t>
  </si>
  <si>
    <t>שו"ת כנסת יהושע</t>
  </si>
  <si>
    <t>שו"ת להרשב"א - 3 כר'</t>
  </si>
  <si>
    <t>שו"ת לחם מצה</t>
  </si>
  <si>
    <t>הורוויץ, מרדכי צבי בן יצחק הלוי</t>
  </si>
  <si>
    <t>שו"ת לחפץ בחיים</t>
  </si>
  <si>
    <t>שו"ת מבי"ט</t>
  </si>
  <si>
    <t>שו"ת מבית ישראל</t>
  </si>
  <si>
    <t>ישראל, חיים יאודה</t>
  </si>
  <si>
    <t>שו"ת מגידות &lt;מגד יהודה&gt; - 2 כר'</t>
  </si>
  <si>
    <t>תאומים, יוסף בן מאיר - פאלאטשעק, יהודה משולם דב</t>
  </si>
  <si>
    <t>שו"ת מה שתשיב</t>
  </si>
  <si>
    <t>שו"ת מהר"ח אור זרוע</t>
  </si>
  <si>
    <t>שו"ת מהר"י אלגאזי</t>
  </si>
  <si>
    <t>שו"ת מהר"י אשכנזי</t>
  </si>
  <si>
    <t>אשכנזי, יואל בן משה דוד</t>
  </si>
  <si>
    <t>שו"ת מהר"י באסן &lt;מכון הכתב&gt;</t>
  </si>
  <si>
    <t>באסן, יחיאל בן חיים</t>
  </si>
  <si>
    <t>שו"ת מהר"י באסן</t>
  </si>
  <si>
    <t>באסאן, יחיאל בן חיים</t>
  </si>
  <si>
    <t>שו"ת מהר"י בירב - 2 כר'</t>
  </si>
  <si>
    <t>שו"ת מהר"י בן לב &lt;דפו"ר&gt; - 4 כר'</t>
  </si>
  <si>
    <t>שו"ת מהר"י בן לב &lt;מהד"ח&gt; - 4 כר'</t>
  </si>
  <si>
    <t>שו"ת מהר"י בן לב - 9 כר'</t>
  </si>
  <si>
    <t>שו"ת מהר"י הכהן - 2 כר'</t>
  </si>
  <si>
    <t>תרכ"ט - תרל"ה</t>
  </si>
  <si>
    <t>שו"ת מהר"י הלוי - 2 כר'</t>
  </si>
  <si>
    <t>שו"ת מהר"י ווייל - 4 כר'</t>
  </si>
  <si>
    <t>שו"ת מהר"י מברונא - 2 כר'</t>
  </si>
  <si>
    <t>שו"ת מהר"י מינץ &lt;ביאור מהרי"פ&gt;</t>
  </si>
  <si>
    <t>מינץ, יהודה בן אליעזר הלוי</t>
  </si>
  <si>
    <t>שו"ת מהר"י מינץ ומהר"ם פדוואה &lt;כולל סדר הגט&gt;</t>
  </si>
  <si>
    <t>שו"ת מהר"י מינץ</t>
  </si>
  <si>
    <t>[תקכ"ו,</t>
  </si>
  <si>
    <t>שו"ת מהר"י קצבי</t>
  </si>
  <si>
    <t>שו"ת מהר"ם אל אשקר</t>
  </si>
  <si>
    <t>שו"ת מהר"ם אלשיך &lt;מהדורה חדשה&gt;</t>
  </si>
  <si>
    <t>אלשיך, משה</t>
  </si>
  <si>
    <t>שו"ת מהר"ם אלשיך &lt;מהדורת מכון הכתב&gt;</t>
  </si>
  <si>
    <t>שו"ת מהר"ם אלשיך</t>
  </si>
  <si>
    <t>שו"ת מהר"ם בן חביב</t>
  </si>
  <si>
    <t>שו"ת מהר"ם בריסק - 4 כר'</t>
  </si>
  <si>
    <t>תרצ"ט - תש"ד</t>
  </si>
  <si>
    <t>טשנד Tasnad</t>
  </si>
  <si>
    <t>שו"ת מהר"ם גאלאנטי - 2 כר'</t>
  </si>
  <si>
    <t>שו"ת מהר"ם גלאנטי</t>
  </si>
  <si>
    <t>גלאנטי, משה</t>
  </si>
  <si>
    <t>שו"ת מהר"ם די בוטון</t>
  </si>
  <si>
    <t>די בוטון, מאיר בן אברהם</t>
  </si>
  <si>
    <t>שו"ת מהר"ם זיסקינד</t>
  </si>
  <si>
    <t>רוטנבורג, מרדכי זיסקינד בן משה</t>
  </si>
  <si>
    <t>שו"ת מהר"ם חלאווה</t>
  </si>
  <si>
    <t>שו"ת מהר"ם לובלין - 2 כר'</t>
  </si>
  <si>
    <t>שו"ת מהר"ם מינץ - 4 כר'</t>
  </si>
  <si>
    <t>מינץ, משה בן יצחק הלוי</t>
  </si>
  <si>
    <t>שו"ת מהר"ם מרוטנבורג האחרונים</t>
  </si>
  <si>
    <t>רוטנבורק, משה</t>
  </si>
  <si>
    <t>שו"ת מהר"ם מרוטנבורג - 5 כר'</t>
  </si>
  <si>
    <t>שו"ת מהר"מ אלשיך</t>
  </si>
  <si>
    <t>שו"ת מהר"מ אלשקר</t>
  </si>
  <si>
    <t>שו"ת מהר"ף שוסבורג</t>
  </si>
  <si>
    <t>וויינברגר, פינחס בן משה</t>
  </si>
  <si>
    <t>שו"ת מהר"ש הלוי - 2 כר'</t>
  </si>
  <si>
    <t>הלוי, שלמה בן יצחק</t>
  </si>
  <si>
    <t>שו"ת מהר"ש לאנייאדו החדשות</t>
  </si>
  <si>
    <t>שו"ת מהר"ש - 9 כר'</t>
  </si>
  <si>
    <t>תרס"ה - תשי"ח</t>
  </si>
  <si>
    <t>דרושים, שאלות ותשובות, תולדות עם ישראל, תלמוד בבלי</t>
  </si>
  <si>
    <t>שו"ת מהרא"ב - 2 כר'</t>
  </si>
  <si>
    <t>תרצ"ג - תש"א</t>
  </si>
  <si>
    <t>שו"ת מהרא"י מזינקוויץ</t>
  </si>
  <si>
    <t>סויבלמאן, אברהם יצחק בן אשר ענזיל</t>
  </si>
  <si>
    <t>שו"ת מהרא"ל צינץ השלם</t>
  </si>
  <si>
    <t>שו"ת מהרא"ל צינץ - קונטרס מספר ארץ החדשה</t>
  </si>
  <si>
    <t>שו"ת מהרא"ל</t>
  </si>
  <si>
    <t>שו"ת מהרא"פ וחלת אהרן</t>
  </si>
  <si>
    <t>שו"ת מהרא"ש &lt;מהדורה חדשה&gt;</t>
  </si>
  <si>
    <t>שו"ת מהרא"ש</t>
  </si>
  <si>
    <t>שו"ת מהרז"ך &lt;בגדי כהונה&gt;</t>
  </si>
  <si>
    <t>תקס"ז - תש"נ</t>
  </si>
  <si>
    <t>פירט Fuerth - ניו יו</t>
  </si>
  <si>
    <t>שו"ת מהרז"ך</t>
  </si>
  <si>
    <t>שו"ת מהרח"ש</t>
  </si>
  <si>
    <t>שו"ת מהרי"א ענזיל</t>
  </si>
  <si>
    <t>צוזמיר, יקותיאל אשר זלמן ענזיל בן מנחם</t>
  </si>
  <si>
    <t>שו"ת מהרי"ט - 4 כר'</t>
  </si>
  <si>
    <t>שו"ת מהרי"ל דיסקין &lt;מהדורת קרן רא"ם&gt;</t>
  </si>
  <si>
    <t>שו"ת מהרי"ל דיסקין</t>
  </si>
  <si>
    <t>סוגיות, שאלות ותשובות</t>
  </si>
  <si>
    <t>שו"ת מהרי"ף &lt;מהדורת טוב מצרים&gt; - 2 כר'</t>
  </si>
  <si>
    <t>פראג'י, יעקב</t>
  </si>
  <si>
    <t>שו"ת מהרי"ף</t>
  </si>
  <si>
    <t>שו"ת מהרי"ץ - 2 כר'</t>
  </si>
  <si>
    <t>שו"ת מהרי"ק - 4 כר'</t>
  </si>
  <si>
    <t>שו"ת מהריא"ץ  &lt;מהדורה חדשה&gt; - 3 כר'</t>
  </si>
  <si>
    <t>שו"ת מהריא"ץ - א</t>
  </si>
  <si>
    <t>שו"ת מהריט"ץ</t>
  </si>
  <si>
    <t>שו"ת מהריל</t>
  </si>
  <si>
    <t>אורנשטיין, יהודה ליביש</t>
  </si>
  <si>
    <t>שו"ת מהרלב"ח &lt;דפו"ר&gt; - 2 כר'</t>
  </si>
  <si>
    <t>אבן-חביב, לוי בן יעקב</t>
  </si>
  <si>
    <t>שו"ת מהרלב"ח &lt;מהדורה חדשה&gt;</t>
  </si>
  <si>
    <t>שו"ת מהרלב"ח</t>
  </si>
  <si>
    <t>שו"ת מהרנ"ש</t>
  </si>
  <si>
    <t>שידלוב, ניסן בן בעניש</t>
  </si>
  <si>
    <t>שו"ת מהרש"א - א</t>
  </si>
  <si>
    <t>שו"ת מהרש"ג - 3 כר'</t>
  </si>
  <si>
    <t>שו"ת מהרש"ך (דפו"ר) - 3 כר'</t>
  </si>
  <si>
    <t>שמו-שמז</t>
  </si>
  <si>
    <t>שו"ת מהרש"ך - 4 כר'</t>
  </si>
  <si>
    <t>שו"ת מהרש"ל &lt;דפו"ר&gt;</t>
  </si>
  <si>
    <t>של"ד - של"ה</t>
  </si>
  <si>
    <t>שו"ת מהרש"ל</t>
  </si>
  <si>
    <t>שו"ת מהרש"ל - 3 כר'</t>
  </si>
  <si>
    <t>שו"ת מהרש"ם - 10 כר'</t>
  </si>
  <si>
    <t>שו"ת מהרשד"ה - א (או"ח, יו"ד)</t>
  </si>
  <si>
    <t>יונגרייז, שמואל דוד בן שרגא פייש הלוי</t>
  </si>
  <si>
    <t>שו"ת מהרשד"ם - 5 כר'</t>
  </si>
  <si>
    <t>שנ"ד - שנ"ח</t>
  </si>
  <si>
    <t>שו"ת מוהר"ד עראמה &lt;מהדורה חדשה&gt;</t>
  </si>
  <si>
    <t>שו"ת מוהר"ד עראמה</t>
  </si>
  <si>
    <t>שו"ת מוהר"ץ</t>
  </si>
  <si>
    <t>תר"ט - תר"י</t>
  </si>
  <si>
    <t>מחשבה ומוסר, שאלות ותשובות, שאלות ותשובות</t>
  </si>
  <si>
    <t>שו"ת מלחמות אלהים</t>
  </si>
  <si>
    <t>אילאווייה, יששכר בער</t>
  </si>
  <si>
    <t>שו"ת מן השמים &lt;אור לשמים&gt;</t>
  </si>
  <si>
    <t>יעקב הלוי ממארוויש</t>
  </si>
  <si>
    <t>שו"ת מן השמים &lt;מהדורה חדשה ע"פ כת"י&gt;</t>
  </si>
  <si>
    <t>שו"ת מן השמים &lt;קסת הסופר&gt;</t>
  </si>
  <si>
    <t>שו"ת מן השמים - 4 כר'</t>
  </si>
  <si>
    <t>שו"ת מעין אומר - 20 כר'</t>
  </si>
  <si>
    <t>נקי, יהודה</t>
  </si>
  <si>
    <t>שו"ת מעשה חושב - 9 כר'</t>
  </si>
  <si>
    <t>שו"ת מתנות באדם</t>
  </si>
  <si>
    <t>חכמי איטליה</t>
  </si>
  <si>
    <t>שו"ת נחל אשכול</t>
  </si>
  <si>
    <t>אויערבך, צבי בנימין</t>
  </si>
  <si>
    <t>שו"ת עומק הלכה - 2 כר'</t>
  </si>
  <si>
    <t>וויינשטאק, נחמן נתן</t>
  </si>
  <si>
    <t>שו"ת על הפרשה - 3 כר'</t>
  </si>
  <si>
    <t>אליהו, שלום בן הלל</t>
  </si>
  <si>
    <t>שו"ת עשה משה</t>
  </si>
  <si>
    <t>שו"ת פלא יועץ</t>
  </si>
  <si>
    <t>סטולמן, אביעד אברהם בן שפר בנימין</t>
  </si>
  <si>
    <t>שו"ת פרי עץ הדר</t>
  </si>
  <si>
    <t>שו"ת פרי עץ חיים - 14 כר'</t>
  </si>
  <si>
    <t>בית מדרש עץ חיים</t>
  </si>
  <si>
    <t>תנ"א - תקס"ז</t>
  </si>
  <si>
    <t>שו"ת צבי לצדיק  עם שופרא דישראל</t>
  </si>
  <si>
    <t>שפירא, צבי אלימלך בן דוד מבלוזוב - שפירא, ישראל</t>
  </si>
  <si>
    <t>שו"ת קאצינעללין בוגין</t>
  </si>
  <si>
    <t>שו"ת קול אליהו - 2 כר'</t>
  </si>
  <si>
    <t>שו"ת קול מנחם &lt;קאליב&gt; - 14 כר'</t>
  </si>
  <si>
    <t>שו"ת ר"ש אביגדור</t>
  </si>
  <si>
    <t>שו"ת ר' בצלאל</t>
  </si>
  <si>
    <t>בצלאל בן יוסף יוזל</t>
  </si>
  <si>
    <t>שו"ת ר' ברוך אנג'יל</t>
  </si>
  <si>
    <t>שו"ת ר' ידידיה טיאה ווייל</t>
  </si>
  <si>
    <t>שו"ת ר' יוסף בן עזרא</t>
  </si>
  <si>
    <t>יוסף בן עזרא</t>
  </si>
  <si>
    <t>שו"ת ר' יצחק בן עמנואל מלאטיש</t>
  </si>
  <si>
    <t>די לאטיס, יצחק בן עמנואל</t>
  </si>
  <si>
    <t>שו"ת ר' משולם איגרא</t>
  </si>
  <si>
    <t>שו"ת ר' עזריאל ב"ר שלמה דאיינה - 2 כר'</t>
  </si>
  <si>
    <t>דאיינה, עזריאל בן שלמה</t>
  </si>
  <si>
    <t>תשל"ז - תשל"ט</t>
  </si>
  <si>
    <t>שו"ת ר' צבי הלר</t>
  </si>
  <si>
    <t>שו"ת ר' שמואל עזריה רודלסהיים</t>
  </si>
  <si>
    <t>רודלסהיים, שמואל עזריה בן מיכאל אריה</t>
  </si>
  <si>
    <t>שו"ת ראב"י אב"ד</t>
  </si>
  <si>
    <t>שו"ת רבי בצלאל אשכנזי &lt;מהדורה מוערת&gt;- סימן כה</t>
  </si>
  <si>
    <t>אשכנזי, בצלאל בן אברהם - גבאי, אהרן</t>
  </si>
  <si>
    <t>שו"ת רבי גבריאל אשכנזי - 2 כר'</t>
  </si>
  <si>
    <t>אשכנזי, גבריאל בן רחמים</t>
  </si>
  <si>
    <t>תשמ''ה</t>
  </si>
  <si>
    <t>שו"ת רבי חיים דוד סירירו</t>
  </si>
  <si>
    <t>סירירו, חיים דוד</t>
  </si>
  <si>
    <t>שו"ת רבי יהודה מילר - א</t>
  </si>
  <si>
    <t>מילר, יהודה</t>
  </si>
  <si>
    <t>שו"ת רבי יהושע אשכנזי</t>
  </si>
  <si>
    <t>אשכנזי, יהושע העשיל בן משולם זלמן</t>
  </si>
  <si>
    <t>שו"ת רבי יוסף ן' עזרא</t>
  </si>
  <si>
    <t>שו"ת רבי יעקב בטאן - חו"מ, יו"ד</t>
  </si>
  <si>
    <t>פרץ, יוסף בן מיכאל (עורך)</t>
  </si>
  <si>
    <t>שו"ת רבי יצחק הלוי מקושטא</t>
  </si>
  <si>
    <t>שו"ת רבי עזריאל - 2 כר'</t>
  </si>
  <si>
    <t>דרושים, משנה, שאלות ותשובות, תלמוד בבלי, תנ"ך</t>
  </si>
  <si>
    <t>שו"ת רבי עקיבא איגר &lt;ספרי אור החיים&gt; - 2 כר'</t>
  </si>
  <si>
    <t>שו"ת רבי עקיבא יוסף - 4 כר'</t>
  </si>
  <si>
    <t>שו"ת רבי שאול משה</t>
  </si>
  <si>
    <t>שו"ת רבינו אליהו מזרחי (הרא"ם) - 2 כר'</t>
  </si>
  <si>
    <t>שו"ת רבינו בצלאל אשכנזי - 3 כר'</t>
  </si>
  <si>
    <t>שו"ת רבינו חיים כהן - 2 כר'</t>
  </si>
  <si>
    <t>שו"ת רבינו יעקב מליסא</t>
  </si>
  <si>
    <t>שו"ת רבינו יעקב מסמילא</t>
  </si>
  <si>
    <t>אריה יעקב בן משה מסמילא</t>
  </si>
  <si>
    <t>שו"ת רבינו משולם איגרא</t>
  </si>
  <si>
    <t>שו"ת רבני אירופה</t>
  </si>
  <si>
    <t>מרכז רבני אירופה</t>
  </si>
  <si>
    <t>שו"ת רד"ל</t>
  </si>
  <si>
    <t>שו"ת רדב"ז</t>
  </si>
  <si>
    <t>שו"ת רחמים פשוטים</t>
  </si>
  <si>
    <t>שו"ת ריב"ן</t>
  </si>
  <si>
    <t>שו"ת רידב"ז</t>
  </si>
  <si>
    <t>שו"ת רמ"ץ - 2 כר'</t>
  </si>
  <si>
    <t>תרל"ב - תרמ"ה</t>
  </si>
  <si>
    <t>שו"ת רש"ל</t>
  </si>
  <si>
    <t>שו"ת רשב"ן - 2 כר'</t>
  </si>
  <si>
    <t>שו"ת שבע ברכות</t>
  </si>
  <si>
    <t>שו"ת שיח יצחק</t>
  </si>
  <si>
    <t>ולנסקי, יצחק - קנייבסקי, שמריהו יוסף חיים בן יעקב ישראל</t>
  </si>
  <si>
    <t>שו"ת שער שלמה</t>
  </si>
  <si>
    <t>זוראפה, חיים דוד שלמה בן שמואל</t>
  </si>
  <si>
    <t>שו"ת שרגא המאיר - 6 כר'</t>
  </si>
  <si>
    <t>שנעעבאלג, שרגא פיוויש</t>
  </si>
  <si>
    <t>שו"ת שרידי אש &lt;מהדורה חדשה&gt; - 2 כר'</t>
  </si>
  <si>
    <t>שו"ת תודיעני אורח חיים</t>
  </si>
  <si>
    <t>שולזינגר, משה בן אלעזר</t>
  </si>
  <si>
    <t>שו"ת תורת חיים - שבת</t>
  </si>
  <si>
    <t>שואה ומשואה &lt;קינה על מות רבי שמואל אבוהב&gt;</t>
  </si>
  <si>
    <t>מאג'ורו, אברהם פלטיאל חיים</t>
  </si>
  <si>
    <t>שואל אמת</t>
  </si>
  <si>
    <t>שילל, אברהם צבי בן יעקב</t>
  </si>
  <si>
    <t>שואל ומשיב &lt;'ילקוט מדרשים'&gt;</t>
  </si>
  <si>
    <t>חבצלת מאיר, טובי יוסף  (מהדירים)</t>
  </si>
  <si>
    <t>שואל ומשיב</t>
  </si>
  <si>
    <t>שואל ומשיב - 26 כר'</t>
  </si>
  <si>
    <t>תרכ"ה - תר"נ</t>
  </si>
  <si>
    <t>שואל ומשיב - 9 כר'</t>
  </si>
  <si>
    <t>שואל ונשאל - 7 כר'</t>
  </si>
  <si>
    <t>שואל כענין</t>
  </si>
  <si>
    <t>שואלים בתשובה</t>
  </si>
  <si>
    <t>שואלים ודורשים בהלכות יום טוב</t>
  </si>
  <si>
    <t>שואלין ודורשין בהלכות פסח</t>
  </si>
  <si>
    <t>שואלין ודורשין</t>
  </si>
  <si>
    <t>שואלין ודורשין - פסח תשע"ח</t>
  </si>
  <si>
    <t>קויפמאן, צבי בן נתן נטע</t>
  </si>
  <si>
    <t>שואלין ודורשין - 9 כר'</t>
  </si>
  <si>
    <t>שואת יהודי אירפה ופורענויות ישראל בזמננו</t>
  </si>
  <si>
    <t>שובה ישראל - 2 כר'</t>
  </si>
  <si>
    <t>גרינברגר, ישראל</t>
  </si>
  <si>
    <t>שובה ישראל - ב</t>
  </si>
  <si>
    <t>תשי"ב - תשי"ח</t>
  </si>
  <si>
    <t>שובה ישראל</t>
  </si>
  <si>
    <t>מלמד, זלמן ברוך</t>
  </si>
  <si>
    <t>שובו אל הבורא, דברי מנחם</t>
  </si>
  <si>
    <t>שובו אלי</t>
  </si>
  <si>
    <t>שובו לכם לאהליכם</t>
  </si>
  <si>
    <t>שובו</t>
  </si>
  <si>
    <t>שובי השולמית - 10 כר'</t>
  </si>
  <si>
    <t>שובי נפשי</t>
  </si>
  <si>
    <t>שובי שובי השולמית</t>
  </si>
  <si>
    <t>פרויליך, אברהם ישראל בן מאיר</t>
  </si>
  <si>
    <t>שובע שמחות &lt;מהדורה חדשה&gt;</t>
  </si>
  <si>
    <t>לזר, מנחם מנדל בן משה אברהם דוד</t>
  </si>
  <si>
    <t>שובע שמחות</t>
  </si>
  <si>
    <t>שובע שמחות - 5 כר'</t>
  </si>
  <si>
    <t>דרושים, קבלה, שאלות ותשובות, תנ"ך</t>
  </si>
  <si>
    <t>שובע שמחות - ירח האיתנים</t>
  </si>
  <si>
    <t>שודא דדייני</t>
  </si>
  <si>
    <t>דיין, חיים בן אברהם</t>
  </si>
  <si>
    <t>שווי המלים בתנ"ך</t>
  </si>
  <si>
    <t>שויון הנשים</t>
  </si>
  <si>
    <t>שויתי עזר</t>
  </si>
  <si>
    <t>שוכן לשבטיו</t>
  </si>
  <si>
    <t>מכון כתם אופיר</t>
  </si>
  <si>
    <t>שולחן הקצר</t>
  </si>
  <si>
    <t>לונשטיין, אליעזר בן אלימלך דוד הלוי</t>
  </si>
  <si>
    <t>שולחן השבת יחד עם הילדים</t>
  </si>
  <si>
    <t>שולחן יוסף</t>
  </si>
  <si>
    <t>מצרפי, שלום</t>
  </si>
  <si>
    <t>שולחן מלכים - 4 כר'</t>
  </si>
  <si>
    <t>שולחן מסודר - מועדים</t>
  </si>
  <si>
    <t>שוורץ, יעקב ישראל בן צבי הכהן</t>
  </si>
  <si>
    <t>שולחן ערוך  &lt;קניגסברג - 2 כר'</t>
  </si>
  <si>
    <t>שולחן ערוך או"ח &lt;הלכה ומנהג&gt;</t>
  </si>
  <si>
    <t>שולחן ערוך הרב &lt;רשימת י"ד&gt; - קנח-רטו</t>
  </si>
  <si>
    <t>שולחן של תורה - 2 כר'</t>
  </si>
  <si>
    <t>שולחן שלמה - 8 כר'</t>
  </si>
  <si>
    <t>אוירבאך, שלמה זלמן בן חיים יהודה ליב - לייזרזון, שמחה בונם</t>
  </si>
  <si>
    <t>שולחן שלמה - 2 כר'</t>
  </si>
  <si>
    <t>צדוק, שלמה בן שלום יעקב</t>
  </si>
  <si>
    <t>שולחן שמואל - 4 כר'</t>
  </si>
  <si>
    <t>ירושלמי, שמואל בן שלום אהרן חיים</t>
  </si>
  <si>
    <t>שולחנו של אדם</t>
  </si>
  <si>
    <t>הכהן, ברוך בן ראובן</t>
  </si>
  <si>
    <t>שולחנו של מקום</t>
  </si>
  <si>
    <t>הראל, אהרן</t>
  </si>
  <si>
    <t>שילה</t>
  </si>
  <si>
    <t>שולחנך גדול משולחנם</t>
  </si>
  <si>
    <t>שולי האדרת - 2 כר'</t>
  </si>
  <si>
    <t>שולי הגליון - 5 כר'</t>
  </si>
  <si>
    <t>שולי המעיל - נדרים</t>
  </si>
  <si>
    <t>שולי המעיל - 2 כר'</t>
  </si>
  <si>
    <t>שולן אין פוילן</t>
  </si>
  <si>
    <t>שומע ומשמיע</t>
  </si>
  <si>
    <t>שומע כעונה - א</t>
  </si>
  <si>
    <t>שומר אמונים המנוקד</t>
  </si>
  <si>
    <t>שומר אמונים - 4 כר'</t>
  </si>
  <si>
    <t>שומר אמונים</t>
  </si>
  <si>
    <t>רוזנפלד, אלישע בן חיים מאיר אהרן הלוי</t>
  </si>
  <si>
    <t>שומר אמונים - 3 כר'</t>
  </si>
  <si>
    <t>שומר אמנים</t>
  </si>
  <si>
    <t>היילפרין, אפרים זלמן בן אלחנן דוב</t>
  </si>
  <si>
    <t>שומר אמת - 8 כר'</t>
  </si>
  <si>
    <t>שומר דלתות ישראל - מזוזה</t>
  </si>
  <si>
    <t>שומר דרך</t>
  </si>
  <si>
    <t>אברהם, יהונתן</t>
  </si>
  <si>
    <t>שומר החומות</t>
  </si>
  <si>
    <t>בלוי, עמרם בן משה</t>
  </si>
  <si>
    <t>שומר הפרדס - 3 כר'</t>
  </si>
  <si>
    <t>יודייקין, שמואל יצחק גד הכהן (עורך)</t>
  </si>
  <si>
    <t>שומר הפתח</t>
  </si>
  <si>
    <t>שומר ישראל אחרון - 2 כר'</t>
  </si>
  <si>
    <t>כהן, יחזקאל מירושלים</t>
  </si>
  <si>
    <t>שומר ישראל</t>
  </si>
  <si>
    <t>שומר ישראל - 2 כר'</t>
  </si>
  <si>
    <t>שומר מוסר</t>
  </si>
  <si>
    <t>ישראל, רפאל יהודה</t>
  </si>
  <si>
    <t>שומר מצוה</t>
  </si>
  <si>
    <t>איזאקסון, ישראל בן חיים יצחק</t>
  </si>
  <si>
    <t>שומר מצוה - מריש בבירה ב</t>
  </si>
  <si>
    <t>דרושים, הלכה ומנהג, מועדי ישראל, משנה, שאלות ותשובות, שלחן ערוך ומפרשיו, תלמוד בבלי, תנ"ך</t>
  </si>
  <si>
    <t>שומר ציון הנאמן - 2 כר'</t>
  </si>
  <si>
    <t>שומר ציון הנאמן</t>
  </si>
  <si>
    <t>תר"ו - תרט"ז</t>
  </si>
  <si>
    <t>שומר שבת כדת</t>
  </si>
  <si>
    <t>שומר שבת - 2 כר'</t>
  </si>
  <si>
    <t>שומר שבת</t>
  </si>
  <si>
    <t>[תרנ"ב]</t>
  </si>
  <si>
    <t>שומר תורה אשרהו</t>
  </si>
  <si>
    <t>וייס, א. ש.</t>
  </si>
  <si>
    <t>שומרי הגחלת</t>
  </si>
  <si>
    <t>שומרי החומות</t>
  </si>
  <si>
    <t>חבורות הבחורים שומרי החומות</t>
  </si>
  <si>
    <t>שומרי מצוה</t>
  </si>
  <si>
    <t>שומרי משמרת הקודש - 2 כר'</t>
  </si>
  <si>
    <t>אויערבך, רפאל נתן</t>
  </si>
  <si>
    <t>שומרי משפט</t>
  </si>
  <si>
    <t>שומרי משפט - 2 כר'</t>
  </si>
  <si>
    <t>כולל מכון להוראה שע"י מוסדות טשכנוב</t>
  </si>
  <si>
    <t>שומרי פקודיך - על ערוה"ש הל' פקדון</t>
  </si>
  <si>
    <t>שומרי שבת - א</t>
  </si>
  <si>
    <t>שומרים הפקד לעירך</t>
  </si>
  <si>
    <t>שומת נזיקין</t>
  </si>
  <si>
    <t>שונה הלכה - מצוות התלויות בארץ</t>
  </si>
  <si>
    <t>פרקוביץ, משה</t>
  </si>
  <si>
    <t>שונה הלכות &lt;תורת המועדים&gt; - 3 כר'</t>
  </si>
  <si>
    <t>קנייבסקי, שמריהו יוסף חיים בן יעקב ישראל - קולדצקי, דוד בן יצחק</t>
  </si>
  <si>
    <t>שונה הלכות המבואר - 3 כר'</t>
  </si>
  <si>
    <t>קנייבסקי, שמריהו יוסף חיים בן יעקב ישראל - טורצין, אלעזר צדוק - בן ישי, ישראל בן</t>
  </si>
  <si>
    <t>שונה הלכות</t>
  </si>
  <si>
    <t>הלכות גדולות. תקכ"ח</t>
  </si>
  <si>
    <t>שונה הלכות - 3 כר'</t>
  </si>
  <si>
    <t>שונה המשפט</t>
  </si>
  <si>
    <t>שוורץ, יוסף בן מתתיהו</t>
  </si>
  <si>
    <t>שועת הארי</t>
  </si>
  <si>
    <t>ליפשיץ, אריה ליבוש</t>
  </si>
  <si>
    <t>שועת צדיקים - 2 כר'</t>
  </si>
  <si>
    <t>שועתי אליך</t>
  </si>
  <si>
    <t>גולדברג, שמואל בן אברהם יוחנן</t>
  </si>
  <si>
    <t>שועתנו קבל</t>
  </si>
  <si>
    <t>שופר בציון</t>
  </si>
  <si>
    <t>שופר ישראל</t>
  </si>
  <si>
    <t>שופר של אותיות לשון הקודש</t>
  </si>
  <si>
    <t>שופר תרועה</t>
  </si>
  <si>
    <t>שופרא דחנוכה</t>
  </si>
  <si>
    <t>אדמור"י בית באלז'וב</t>
  </si>
  <si>
    <t>שופרא דישראל - 2 כר'</t>
  </si>
  <si>
    <t>שפירא, ישראל בן יהושע</t>
  </si>
  <si>
    <t>דרושים, חסידות, מועדי ישראל, מועדי ישראל, נושאים שונים, שלחן ערוך ומפרשיו</t>
  </si>
  <si>
    <t>שופרא דמשה</t>
  </si>
  <si>
    <t>ליבוביץ, ברוך דוב בן שמואל דוד - שפירא, משה</t>
  </si>
  <si>
    <t>שופרא דפרשה - 2 כר'</t>
  </si>
  <si>
    <t>פרנקל, אברהם יצחק</t>
  </si>
  <si>
    <t>שופרא דשטרא</t>
  </si>
  <si>
    <t>שופריה דאברהם</t>
  </si>
  <si>
    <t>שופריה דיוסף - 2 כר'</t>
  </si>
  <si>
    <t>אבן-אדהאן, יוסף נסים בן אברהם</t>
  </si>
  <si>
    <t>שופריה דיוסף</t>
  </si>
  <si>
    <t>בירדוגו, יוסף בן דוד</t>
  </si>
  <si>
    <t>Casablanca</t>
  </si>
  <si>
    <t>שופריה דיעקב &lt;מהדורה חדשה&gt;</t>
  </si>
  <si>
    <t>שופריה דיעקב</t>
  </si>
  <si>
    <t>מעארך, יעקב</t>
  </si>
  <si>
    <t>שופריה דמיכאל</t>
  </si>
  <si>
    <t>אזולאי, חיים יוסף דוד בן מיכאל</t>
  </si>
  <si>
    <t>נשר</t>
  </si>
  <si>
    <t>שופריה דרבי אליעזר</t>
  </si>
  <si>
    <t>שוק ההון הלכה ומעשה</t>
  </si>
  <si>
    <t>שורש וענף</t>
  </si>
  <si>
    <t>גרנק, משה זאב</t>
  </si>
  <si>
    <t>שורש יהודה</t>
  </si>
  <si>
    <t>ניימארק, יהודה ליב בן דוד</t>
  </si>
  <si>
    <t>שורש יעקב</t>
  </si>
  <si>
    <t>רבינו, יעקב בן יצחק</t>
  </si>
  <si>
    <t>שורש ישי</t>
  </si>
  <si>
    <t>שמאמה, שלמה בן יהודה</t>
  </si>
  <si>
    <t>שורש מיעקב - 3 כר'</t>
  </si>
  <si>
    <t>הורוויץ, טודרוס יהודה זונדל בן יעקב הלוי</t>
  </si>
  <si>
    <t>תרי"ח - תרכ"ה</t>
  </si>
  <si>
    <t>שורשי ישראל</t>
  </si>
  <si>
    <t>שפירא, יצחק אלעזר בן ישראל</t>
  </si>
  <si>
    <t>שורשים ביהדות תוניסיה</t>
  </si>
  <si>
    <t>חדאד, אפרים - ינאי, משה</t>
  </si>
  <si>
    <t>שורת הדין - 17 כר'</t>
  </si>
  <si>
    <t>מאמרים ופסקים</t>
  </si>
  <si>
    <t>שוש אשיש</t>
  </si>
  <si>
    <t>שמחת בית סטרופקוב</t>
  </si>
  <si>
    <t>שושילתא דדהבא</t>
  </si>
  <si>
    <t>שושילתא - 3 כר'</t>
  </si>
  <si>
    <t>מכון ספרי בית זוועהיל</t>
  </si>
  <si>
    <t>שושלת בוסטון</t>
  </si>
  <si>
    <t>ולך, שלום מאיר</t>
  </si>
  <si>
    <t>שושלת הקודש</t>
  </si>
  <si>
    <t>שושלת חכמי משפחת דוראן</t>
  </si>
  <si>
    <t>מכון תפארת ישראל</t>
  </si>
  <si>
    <t>שושלת ספינקא</t>
  </si>
  <si>
    <t>שושן בצלאל</t>
  </si>
  <si>
    <t>רוזנברג, בצלאל בן יהושע השיל</t>
  </si>
  <si>
    <t>שושן חוחים</t>
  </si>
  <si>
    <t>שושן סודות - 2 כר'</t>
  </si>
  <si>
    <t>משה בן יעקב (הגולה מקיוב)</t>
  </si>
  <si>
    <t>שושן עדות</t>
  </si>
  <si>
    <t>דרושים, משנה, שאר ספרי חז"ל</t>
  </si>
  <si>
    <t>שושן עדות, מכתם לדוד</t>
  </si>
  <si>
    <t>באסאן, אברהם יחזקיה בן יעקב</t>
  </si>
  <si>
    <t>שושן עמק</t>
  </si>
  <si>
    <t>סאטו-מארע,</t>
  </si>
  <si>
    <t>שושני יעקב</t>
  </si>
  <si>
    <t>אסט, יעקב בן ברוך צבי הלוי</t>
  </si>
  <si>
    <t>שושני לקט</t>
  </si>
  <si>
    <t>שושנים לדוד</t>
  </si>
  <si>
    <t>אמשיוויץ, אשר</t>
  </si>
  <si>
    <t>שושנים לדוד - 2 כר'</t>
  </si>
  <si>
    <t>צבאח, דוד בן מסעוד</t>
  </si>
  <si>
    <t>שושנים לדוד - 3 כר'</t>
  </si>
  <si>
    <t>רייז, דוד בן יהושע</t>
  </si>
  <si>
    <t>שושנים לשר בן חיל העדלמי</t>
  </si>
  <si>
    <t>שושנים שושן יהדא</t>
  </si>
  <si>
    <t>אריה יהודה ליב בן מנחם מקארסטשוב</t>
  </si>
  <si>
    <t>שושנים</t>
  </si>
  <si>
    <t>שושנת אברהם</t>
  </si>
  <si>
    <t>שושנת המלך (צילום כת"י) - 2 כר'</t>
  </si>
  <si>
    <t>חבשוש, שלום בן יחיא</t>
  </si>
  <si>
    <t>שושנת העמקים &lt;מהדורה חדשה&gt;</t>
  </si>
  <si>
    <t>שושנת העמקים - 2 כר'</t>
  </si>
  <si>
    <t>שושנת העמקים - 4 כר'</t>
  </si>
  <si>
    <t>שושנת העמקים</t>
  </si>
  <si>
    <t>הורוויץ, משה בן אריה יהודה ליבוש הלוי</t>
  </si>
  <si>
    <t>שושנת העמקים - 5 כר'</t>
  </si>
  <si>
    <t>טברסקי, יעקב ישראל בן מרדכי</t>
  </si>
  <si>
    <t>טברסקי, מרדכי דב בן משולם זושא יצחק</t>
  </si>
  <si>
    <t>שושנת העמקים - 3 כר'</t>
  </si>
  <si>
    <t>כולל "הלכה ורפואה"</t>
  </si>
  <si>
    <t>שושנת העמקים - על מגילת אסתר</t>
  </si>
  <si>
    <t>פישל, אלימלך בן ישכר דב הלוי</t>
  </si>
  <si>
    <t>צישינסקי, רבקה רחל</t>
  </si>
  <si>
    <t>שושנת העמקים - 6 כר'</t>
  </si>
  <si>
    <t>רותם, נתנאל יחזקאל</t>
  </si>
  <si>
    <t>שושנת יעקב על דינא דגרמי להרמב"ן</t>
  </si>
  <si>
    <t>שטיינר, יעקב יששכר בן סיני</t>
  </si>
  <si>
    <t>שושנת יעקב - 5 כר'</t>
  </si>
  <si>
    <t>גרנדש, יעקב בן דוב הלוי</t>
  </si>
  <si>
    <t>שושנת יעקב - 3 כר'</t>
  </si>
  <si>
    <t>הורוויץ, מנחם מנדל בן ישראל יעקב יוקל</t>
  </si>
  <si>
    <t>תקצ"ט - תרכ"ג</t>
  </si>
  <si>
    <t>שושנת יעקב - 2 כר'</t>
  </si>
  <si>
    <t>יעקב בן מרדכי מפולדה</t>
  </si>
  <si>
    <t>שושנת יעקב</t>
  </si>
  <si>
    <t>לשינסקי, חיים דב בן יעקב יוסף</t>
  </si>
  <si>
    <t>עהרענפעלד, יעקב בן יצחק</t>
  </si>
  <si>
    <t>שושנת ישראל - 4 כר'</t>
  </si>
  <si>
    <t>שושנת ציון</t>
  </si>
  <si>
    <t>כהן, ציון</t>
  </si>
  <si>
    <t>שותא דינוקא</t>
  </si>
  <si>
    <t>טאריקה, חזקיה שמואל בכור</t>
  </si>
  <si>
    <t>שותא דשמעתתא</t>
  </si>
  <si>
    <t>ארלנגר, נפתלי בן אברהם חיים</t>
  </si>
  <si>
    <t>שותפות בשכר לימוד התורה</t>
  </si>
  <si>
    <t>יעקובוביץ, שמואל</t>
  </si>
  <si>
    <t>שותפות עם הנכרי</t>
  </si>
  <si>
    <t>שותפים ושכנים</t>
  </si>
  <si>
    <t>שחורות כעורב - זבים</t>
  </si>
  <si>
    <t>שחיטה ברורה - שחיטה וטריפות</t>
  </si>
  <si>
    <t>ש בן בצלאל</t>
  </si>
  <si>
    <t>שחיטה כהלכתה</t>
  </si>
  <si>
    <t>עזר, יאיר בן בנימין</t>
  </si>
  <si>
    <t>שחיטות ובדיקות ותמונת ריאה</t>
  </si>
  <si>
    <t>קליין, נתן נטע</t>
  </si>
  <si>
    <t>שחיטות ובדיקות עם הגהות אמרי טוב</t>
  </si>
  <si>
    <t>נתן בן יום טוב ליפמאן מזולקווא</t>
  </si>
  <si>
    <t>שחיטות ובדיקות עם הגהות גבול בנימין</t>
  </si>
  <si>
    <t>ווינטרניץ' בנימין וואלף בן מאיר</t>
  </si>
  <si>
    <t>שחיטות ובדיקות עם הגהות גבול ישראל</t>
  </si>
  <si>
    <t>איילנבורג, יעקב</t>
  </si>
  <si>
    <t>שחיטות ובדיקות עם הגהות מהרר"ץ ומאכלת אברהם</t>
  </si>
  <si>
    <t>שחיטות ובדיקות עם הגהות מהרש"ל</t>
  </si>
  <si>
    <t>שחיטות ובדיקות עם הגהות מכתב מאליהו</t>
  </si>
  <si>
    <t>שחיטות ובדיקות עם פירוש אהל ישראל</t>
  </si>
  <si>
    <t>שחיטות ובדיקות עם פירוש באר אברהם</t>
  </si>
  <si>
    <t>לאווסיץ, אברהם בן פנחס</t>
  </si>
  <si>
    <t>שחיטות ובדיקות - 3 כר'</t>
  </si>
  <si>
    <t>שחיטות ובדיקות</t>
  </si>
  <si>
    <t>טיוולי, מרדכי בן אברהם</t>
  </si>
  <si>
    <t>שחיטות - 2 כר'</t>
  </si>
  <si>
    <t>שחיטת חולין - 2 כר'</t>
  </si>
  <si>
    <t>שחיטת קדשים - זבחים</t>
  </si>
  <si>
    <t>שחר אורך - א</t>
  </si>
  <si>
    <t>שחר אורך</t>
  </si>
  <si>
    <t>ספר זכרון לבחור שחר ארנן</t>
  </si>
  <si>
    <t>שטר הכתובה</t>
  </si>
  <si>
    <t>שטר פרוזבול</t>
  </si>
  <si>
    <t>אברכי כולל אור לציון רכסים</t>
  </si>
  <si>
    <t>שטר קים ליה</t>
  </si>
  <si>
    <t>כולל אור לציון</t>
  </si>
  <si>
    <t>שטר תפיסה - בבא מציעא פ"א</t>
  </si>
  <si>
    <t>אברכי כולל אור לציון</t>
  </si>
  <si>
    <t>שטרי בירורין</t>
  </si>
  <si>
    <t>שטרי הדיוטות בשבת</t>
  </si>
  <si>
    <t>שטרי קהילת אליסאנה</t>
  </si>
  <si>
    <t>שטת החנוך</t>
  </si>
  <si>
    <t>שי לבר-מצוה</t>
  </si>
  <si>
    <t>שי ליהושע</t>
  </si>
  <si>
    <t>ערנפלד, יחזקאל שרגא</t>
  </si>
  <si>
    <t>שי לימי הפורים</t>
  </si>
  <si>
    <t>התלמי, יהושע בן ישראל</t>
  </si>
  <si>
    <t>שי למורא - ביאורי תפילות הימים הנוראים</t>
  </si>
  <si>
    <t>שי למורא</t>
  </si>
  <si>
    <t>גרוסברג, יצחק ליב בן אלכסנדר סנדר</t>
  </si>
  <si>
    <t>שי למורא - שבת, עירובין</t>
  </si>
  <si>
    <t>גריינימן, ישראל בן יצחק דוד</t>
  </si>
  <si>
    <t>האגרמאן, משה יואל בן יעקב שלמה</t>
  </si>
  <si>
    <t>שי למורא - תיקון הכללי</t>
  </si>
  <si>
    <t>שבתאי, יוסף בן מאיר יצחק</t>
  </si>
  <si>
    <t>שבתי בן יונה</t>
  </si>
  <si>
    <t>שעשוע, חיים</t>
  </si>
  <si>
    <t>שי למורה - ביאור כלומר של רש"י</t>
  </si>
  <si>
    <t>שרביט, שמעון יעקב</t>
  </si>
  <si>
    <t>שי למזכרת</t>
  </si>
  <si>
    <t>שי למלך - 3 כר'</t>
  </si>
  <si>
    <t>מלר, אלימלך בן שמעון יוסף</t>
  </si>
  <si>
    <t>שי לתורה - 4 כר'</t>
  </si>
  <si>
    <t>שי עולמות</t>
  </si>
  <si>
    <t>שיבולים - 12 כר'</t>
  </si>
  <si>
    <t>חשין, אליעזר בן יוסף צבי</t>
  </si>
  <si>
    <t>שיבת ישורון</t>
  </si>
  <si>
    <t>בורנשטיין, שבתי בן מנחם מענדל</t>
  </si>
  <si>
    <t>שיבת ציון - איכה</t>
  </si>
  <si>
    <t>שיבת ציון - 2 כר'</t>
  </si>
  <si>
    <t>שיבת ציון</t>
  </si>
  <si>
    <t>שיבת ציון - 7 כר'</t>
  </si>
  <si>
    <t>פאלאנסקי, יעקב שמואל</t>
  </si>
  <si>
    <t>שיבת ציון - 3 כר'</t>
  </si>
  <si>
    <t>שיג ושיח בנביאים - 4 כר'</t>
  </si>
  <si>
    <t>גולובנציץ, שלמה בן יצחק</t>
  </si>
  <si>
    <t>שיג ושיח בנישואין</t>
  </si>
  <si>
    <t>שיגרא דלישנא</t>
  </si>
  <si>
    <t>שיורי ברכה</t>
  </si>
  <si>
    <t>שיורי לקט</t>
  </si>
  <si>
    <t>שיורי מצוה - 4 כר'</t>
  </si>
  <si>
    <t>שיורי עירוב</t>
  </si>
  <si>
    <t>שיורי קומץ המנחה - 3 כר'</t>
  </si>
  <si>
    <t>שיח אבות</t>
  </si>
  <si>
    <t>ארליך, מיכאל</t>
  </si>
  <si>
    <t>שיח אברהם - 12 כר'</t>
  </si>
  <si>
    <t>בהרי"ר, אברהם בן טוביה</t>
  </si>
  <si>
    <t>שיח אברהם - 2 כר'</t>
  </si>
  <si>
    <t>שמש, אברהם בן עזיז</t>
  </si>
  <si>
    <t>שיח אהרן</t>
  </si>
  <si>
    <t>שיח אליהו - 2 כר'</t>
  </si>
  <si>
    <t>גולדשטין, אליהו בן מרדכי</t>
  </si>
  <si>
    <t>שיח אליהו - 8 כר'</t>
  </si>
  <si>
    <t>שיח אליהו</t>
  </si>
  <si>
    <t>זיכרמן, אליהו</t>
  </si>
  <si>
    <t>שיח אליעזר החדש &lt;מהדורה חדשה&gt;</t>
  </si>
  <si>
    <t>רבינוביץ, אליעז חיים מיאמפאלי</t>
  </si>
  <si>
    <t>שיח אליעזר החדש</t>
  </si>
  <si>
    <t>רבינוביץ, אליעזר חיים מיאמפאלי</t>
  </si>
  <si>
    <t>שיח אליעזר</t>
  </si>
  <si>
    <t>ברויער, אליעזר בן אברהם</t>
  </si>
  <si>
    <t>שיח אליעזר - 2 כר'</t>
  </si>
  <si>
    <t>שיח אמונה</t>
  </si>
  <si>
    <t>לאבא, אלעזר צבי בן בנימין מאיר</t>
  </si>
  <si>
    <t>שיח אפרים</t>
  </si>
  <si>
    <t>שיח אש</t>
  </si>
  <si>
    <t>שיח בחוקיך - 3 כר'</t>
  </si>
  <si>
    <t>סנדומירסקי, שמעון</t>
  </si>
  <si>
    <t>שיח בני חיל</t>
  </si>
  <si>
    <t>שיח בשדה - 2 כר'</t>
  </si>
  <si>
    <t>שיח בשמים - פורים</t>
  </si>
  <si>
    <t>שיח דוד - 2 כר'</t>
  </si>
  <si>
    <t>גבאי, דוד בן יוסף</t>
  </si>
  <si>
    <t>שיח דוד</t>
  </si>
  <si>
    <t>שטרן, אלעזר אלימלך בן חיים דוד יששכר</t>
  </si>
  <si>
    <t>שפירא, דוד דב בן שלמה חיים</t>
  </si>
  <si>
    <t>שיח האורים</t>
  </si>
  <si>
    <t>שיח ההלכה</t>
  </si>
  <si>
    <t>שיח החיים</t>
  </si>
  <si>
    <t>אקדע, חיים בן ישראל</t>
  </si>
  <si>
    <t>שיח הכהן, ויעל יוסף</t>
  </si>
  <si>
    <t>חירארי, שמעון בן אברהם (עורך)</t>
  </si>
  <si>
    <t>שיח הלוי - 2 כר'</t>
  </si>
  <si>
    <t>שיח הלכה - 3 כר'</t>
  </si>
  <si>
    <t>שטרנפלד, אליעזר בן גבריאל</t>
  </si>
  <si>
    <t>שיח המנחה - מנחת חינוך</t>
  </si>
  <si>
    <t>שיח הפסח</t>
  </si>
  <si>
    <t>שיח השדה &lt;מהדורה מחודשת&gt; - ב</t>
  </si>
  <si>
    <t>שיח השדה</t>
  </si>
  <si>
    <t>אליעזר בן שמואל צבי</t>
  </si>
  <si>
    <t>יהודה ליב בן יצחק מפיורדא</t>
  </si>
  <si>
    <t>שיח השדה - 5 כר'</t>
  </si>
  <si>
    <t>שיח השדה - 2 כר'</t>
  </si>
  <si>
    <t>שיח השירה על שיר השירים - 3 כר'</t>
  </si>
  <si>
    <t>שיח השמיטה</t>
  </si>
  <si>
    <t>קנייבסקי, שמריהו יוסף חיים בן יעקב ישראל - שטינמן, אברהם ישעיהו</t>
  </si>
  <si>
    <t>שיח התורה</t>
  </si>
  <si>
    <t>שיח התורה - 3 כר'</t>
  </si>
  <si>
    <t>תשובות הגר"ח קנייבסקי</t>
  </si>
  <si>
    <t>הלכה ומנהג, משנה, שאלות ותשובות, שלחן ערוך ומפרשיו, תלמוד בבלי, תלמוד בבלי, תלמוד בבלי, תנ"ך</t>
  </si>
  <si>
    <t>שיח התלמוד - 5 כר'</t>
  </si>
  <si>
    <t>שיח זקנים</t>
  </si>
  <si>
    <t>אוסף חידושי תורה ממשפחת שווארץ</t>
  </si>
  <si>
    <t>שיח חיים</t>
  </si>
  <si>
    <t>פראגר, ישראל חיים</t>
  </si>
  <si>
    <t>שיח חיים - 3 כר'</t>
  </si>
  <si>
    <t>שניידר, אליעזר חיים בן אורי</t>
  </si>
  <si>
    <t>שיח חיל</t>
  </si>
  <si>
    <t>שיח חכמה - 9 כר'</t>
  </si>
  <si>
    <t>שיח חן</t>
  </si>
  <si>
    <t>לעוויטאן, שלמה יהודה ליב בן בן ציון יעקב הלוי</t>
  </si>
  <si>
    <t>שיח חסידים - אמשינוב - וורקי</t>
  </si>
  <si>
    <t>איגוד זרע יצחק אמשינוב</t>
  </si>
  <si>
    <t>שיח יהודה - 40 כר'</t>
  </si>
  <si>
    <t>רפפורט, יהודה אריה בן יצחק הכהן</t>
  </si>
  <si>
    <t>שיח יהושע</t>
  </si>
  <si>
    <t>גינסברגר, יהושע בן חזקיהו שרגא</t>
  </si>
  <si>
    <t>שיח יום טוב - 2 כר'</t>
  </si>
  <si>
    <t>שלזינגר, אליעזר יום טוב ליפא</t>
  </si>
  <si>
    <t>שיח יום</t>
  </si>
  <si>
    <t>רוט, יוסף הכהן - שטיין, מנחם</t>
  </si>
  <si>
    <t>שיח יוסף - 2 כר'</t>
  </si>
  <si>
    <t>פוגל, יוסף זונדל בן שמשון</t>
  </si>
  <si>
    <t>שיח יוסף - 8 כר'</t>
  </si>
  <si>
    <t>רוט, יוסף בן יצחק אייזיק הכהן</t>
  </si>
  <si>
    <t>שיח יחוננו</t>
  </si>
  <si>
    <t>טברסקי, יוחנן בן דוד מרדכי</t>
  </si>
  <si>
    <t>שיח יעקב יוסף</t>
  </si>
  <si>
    <t>וויס, יעקב יוסף בן ישראל חיים</t>
  </si>
  <si>
    <t>שיח יעקב - 2 כר'</t>
  </si>
  <si>
    <t>בלוי, יעקב דוב בן יוסף חיים</t>
  </si>
  <si>
    <t>שיח יעקב</t>
  </si>
  <si>
    <t>גאגולאשווילי, יעקב בן אברהם</t>
  </si>
  <si>
    <t>מרקביץ, יעקב בן שבתי</t>
  </si>
  <si>
    <t>שיח יעקב - 6 כר'</t>
  </si>
  <si>
    <t>קצין, יעקב שאול</t>
  </si>
  <si>
    <t>שיח יצחק &lt;מהדורה חדשה&gt;</t>
  </si>
  <si>
    <t>יצחק בן שמואל הלוי מפוזנא</t>
  </si>
  <si>
    <t>שיח יצחק באוש"ר</t>
  </si>
  <si>
    <t>שיח יצחק וילקוט אליעזר - 4 כר'</t>
  </si>
  <si>
    <t>שיח יצחק פלא יועץ</t>
  </si>
  <si>
    <t>שיח יצחק</t>
  </si>
  <si>
    <t>דרושים, הלכה ומנהג, הלכה ומנהג, נושאים שונים, תפלות בקשות פיוטים ושירה</t>
  </si>
  <si>
    <t>שיח יצחק - 3 כר'</t>
  </si>
  <si>
    <t>בוכריס, יצחק בן שאול</t>
  </si>
  <si>
    <t>שיח יצחק - 6 כר'</t>
  </si>
  <si>
    <t>שיח יצחק - א (בראשית)</t>
  </si>
  <si>
    <t>בורודיאנסקי, יצחק ירוחם</t>
  </si>
  <si>
    <t>גאנדמאן, חיים יצחק בן יעקב אליעזר</t>
  </si>
  <si>
    <t>גרינברג, יצחק דוב בן דוד יהונתן</t>
  </si>
  <si>
    <t>האלברשטאם, יצחק בן חיים</t>
  </si>
  <si>
    <t>וואלטמאן, יצחק בן אהרן</t>
  </si>
  <si>
    <t>שיח יצחק - 2 כר'</t>
  </si>
  <si>
    <t>וורנה, יצחק בן אברהם מרדכי</t>
  </si>
  <si>
    <t>[תר"ץ,</t>
  </si>
  <si>
    <t>יצחק בן יוסף</t>
  </si>
  <si>
    <t>[שפ"ח,</t>
  </si>
  <si>
    <t>שיח יצחק - יבמות</t>
  </si>
  <si>
    <t>כולל שיח יצחק</t>
  </si>
  <si>
    <t>נוניס-ואיס, יצחק יוסף בן יעקב</t>
  </si>
  <si>
    <t>תקכ"ו - תקמ"ט</t>
  </si>
  <si>
    <t>הלכה ומנהג, תלמוד בבלי, תלמוד בבלי, תפלות בקשות פיוטים ושירה</t>
  </si>
  <si>
    <t>פרידמן, יצחק בן יעקב מהוסיאטין</t>
  </si>
  <si>
    <t>שיח יצחק - כליל תפארת</t>
  </si>
  <si>
    <t>שביב, יהודה  (עורך)</t>
  </si>
  <si>
    <t>שכטר, יצחק בן שמואל אליהו</t>
  </si>
  <si>
    <t>תרכ"ט הק'</t>
  </si>
  <si>
    <t>שיח ישראל</t>
  </si>
  <si>
    <t>נחמני, נסים ישראל בן אלישע מכלוף</t>
  </si>
  <si>
    <t>שיח ישראל - 2 כר'</t>
  </si>
  <si>
    <t>שיח כהן - 3 כר'</t>
  </si>
  <si>
    <t>שיח מנחם - 4 כר'</t>
  </si>
  <si>
    <t>עוזיאל, יעקב בן מנחם</t>
  </si>
  <si>
    <t>שיח מנחמים</t>
  </si>
  <si>
    <t>שיח מרדכי - קול יעקב</t>
  </si>
  <si>
    <t>הוכרמן - מוריה, פנחס  בן יהודה זאב - מרגלית, יעקב קופל בן צבי</t>
  </si>
  <si>
    <t>שיח מרדכי</t>
  </si>
  <si>
    <t>ווייסמאן, מרדכי אליעזר בן שמואל</t>
  </si>
  <si>
    <t>שיח מרדכי - 3 כר'</t>
  </si>
  <si>
    <t>קוקיס, מרדכי בן פסח</t>
  </si>
  <si>
    <t>שיח משה</t>
  </si>
  <si>
    <t>קראוס, משה אליעזר</t>
  </si>
  <si>
    <t>דרושים, דרושים, מחשבה ומוסר, שאלות ותשובות, תנ"ך, תנ"ך</t>
  </si>
  <si>
    <t>שיח משפט</t>
  </si>
  <si>
    <t>שורצברט, יעקב בן שמחה יוסף הכהן</t>
  </si>
  <si>
    <t>שיח נחלים</t>
  </si>
  <si>
    <t>שיח סופר</t>
  </si>
  <si>
    <t>שיח ספונים - 5 כר'</t>
  </si>
  <si>
    <t>שיח ערב &lt;חידושי רבי שניאור&gt; - 7 כר'</t>
  </si>
  <si>
    <t>קוטלר, יוסף חיים שניאור</t>
  </si>
  <si>
    <t>שיח פינו - 3 כר'</t>
  </si>
  <si>
    <t>שרעבי, יהודה בן חיים</t>
  </si>
  <si>
    <t>שיח פקדיך - בראשית</t>
  </si>
  <si>
    <t>חאסקלברג, ישעיהו בן שאול יעקב</t>
  </si>
  <si>
    <t>תר"ץ-תרצ"ז</t>
  </si>
  <si>
    <t>בילגוריי,</t>
  </si>
  <si>
    <t>שיח פקודיך</t>
  </si>
  <si>
    <t>שיח צבי - 2 כר'</t>
  </si>
  <si>
    <t>שיח צדיקים</t>
  </si>
  <si>
    <t>שיח צדיקים - יומא דהלולא</t>
  </si>
  <si>
    <t>מכון בחיי משה</t>
  </si>
  <si>
    <t>שיח צדיקים - 11 כר'</t>
  </si>
  <si>
    <t>שיח ציון</t>
  </si>
  <si>
    <t>שיח שבים</t>
  </si>
  <si>
    <t>שיח שדך</t>
  </si>
  <si>
    <t>שיח שולחן</t>
  </si>
  <si>
    <t>ברויאר, זאב זכריה</t>
  </si>
  <si>
    <t>שיח שושנים - 4 כר'</t>
  </si>
  <si>
    <t>ישיבת כתר שושנים</t>
  </si>
  <si>
    <t>שיח שישים - 2 כר'</t>
  </si>
  <si>
    <t>שיח שלום - פורים</t>
  </si>
  <si>
    <t>ברוינר, שלום אליעזר</t>
  </si>
  <si>
    <t>שיח שלום</t>
  </si>
  <si>
    <t>שיח שלמה</t>
  </si>
  <si>
    <t>קלוגר, שלמה בן אברהם בנימין</t>
  </si>
  <si>
    <t>שיח שלמה - על הש"ס</t>
  </si>
  <si>
    <t>שיח שמואל - דיני שליח ציבור</t>
  </si>
  <si>
    <t>שיח שמואל - 2 כר'</t>
  </si>
  <si>
    <t>שיח שמועות</t>
  </si>
  <si>
    <t>שיח שפתותינו</t>
  </si>
  <si>
    <t>וכטפוגל, משה אליעזר בן יהושע בצלאל</t>
  </si>
  <si>
    <t>שיח שרפי קודש &lt;ברסלב&gt; - 5 כר'</t>
  </si>
  <si>
    <t>שיח שרפי קודש - 8 כר'</t>
  </si>
  <si>
    <t>ראקוץ, יועץ קים קדיש בן יהושע השיל</t>
  </si>
  <si>
    <t>שיח תורה - 2 כר'</t>
  </si>
  <si>
    <t>כולל קרלין סטולין</t>
  </si>
  <si>
    <t>שיח תפילה</t>
  </si>
  <si>
    <t>שיח תפלה</t>
  </si>
  <si>
    <t>כהן, אברהם ישראל</t>
  </si>
  <si>
    <t>שיח - ב</t>
  </si>
  <si>
    <t>שיחה בין שנת תק"ס ובין שנת תקס"א</t>
  </si>
  <si>
    <t>שיחה נאה</t>
  </si>
  <si>
    <t>שטרנפלד, דוד יעקב</t>
  </si>
  <si>
    <t>שיחה תמימה</t>
  </si>
  <si>
    <t>זאקהיים, שמעון</t>
  </si>
  <si>
    <t>שיחו לאמי - ר"ה והפיוטים</t>
  </si>
  <si>
    <t>בקשי, מאיר - בקשי דורון, אליהו</t>
  </si>
  <si>
    <t>שיחות בנושא שלום בית וחינוך - 2 כר'</t>
  </si>
  <si>
    <t>שיחות בנושאי חינוך - 2 כר'</t>
  </si>
  <si>
    <t>שיחות הגר"ח קלופט - 6 כר'</t>
  </si>
  <si>
    <t>שיחות הגר"ש ברעוודה - 11 כר'</t>
  </si>
  <si>
    <t>ברעוודה, שלמה - איזק, תומר (עורך)</t>
  </si>
  <si>
    <t>שיחות הגרא"א דסלר - ב</t>
  </si>
  <si>
    <t>שיחות הכנה לר"ה ויוה"כ</t>
  </si>
  <si>
    <t>שיחות המשגיח</t>
  </si>
  <si>
    <t>לנג, מנחם</t>
  </si>
  <si>
    <t>שיחות הסבא מסלבודקה &lt;מהדורת הרב יקותיאל כהן&gt; - 2 כר'</t>
  </si>
  <si>
    <t>שיחות הסבא מסלבודקה</t>
  </si>
  <si>
    <t>שיחות הר"ן &lt;המנוקד&gt;</t>
  </si>
  <si>
    <t>שיחות הר"ן</t>
  </si>
  <si>
    <t>שיחות הרב דב קוק</t>
  </si>
  <si>
    <t>שיחות הרב זמיר כהן - האדם ועולמו</t>
  </si>
  <si>
    <t>שיחות התחזקות  - דיון לכף זכות</t>
  </si>
  <si>
    <t>זילברברג צבי מאיר</t>
  </si>
  <si>
    <t>שיחות התעוררות - ימים נוראים</t>
  </si>
  <si>
    <t>שיחות והתעוררות</t>
  </si>
  <si>
    <t>שיחות ומאמרי קודש - 2 כר'</t>
  </si>
  <si>
    <t>שיחות ומאמרים</t>
  </si>
  <si>
    <t>שיחות ומאמרים - 2 כר'</t>
  </si>
  <si>
    <t>שיחות ושיעורי המשגיח - 6 כר'</t>
  </si>
  <si>
    <t>שיחות חביבין</t>
  </si>
  <si>
    <t>ליבר, יוסף אליעזר בן ארון אריה קטן</t>
  </si>
  <si>
    <t>שיחות חולין של ת"ח החדש</t>
  </si>
  <si>
    <t>שיחות חיזוק - 5 כר'</t>
  </si>
  <si>
    <t>שיחות חיזוק - אלול -תשרי</t>
  </si>
  <si>
    <t>צדקה, משה בן יהודה</t>
  </si>
  <si>
    <t>שיחות חיים</t>
  </si>
  <si>
    <t>ברייטשטיין, שלמה זלמן בן יוסף עזרא</t>
  </si>
  <si>
    <t>שיחות חכמה ומוסר - 4 כר'</t>
  </si>
  <si>
    <t>קראנגלאס, דוד</t>
  </si>
  <si>
    <t>שיחות חכמים - 2 כר'</t>
  </si>
  <si>
    <t>שיחות חכמים</t>
  </si>
  <si>
    <t>שיחות יקרים</t>
  </si>
  <si>
    <t>שטרן, אלימלך זאב בן טוביה ליב</t>
  </si>
  <si>
    <t>שיחות לוי</t>
  </si>
  <si>
    <t>רודרמן, יעקב יצחק הלוי - אסקוויץ, אברהם ראובן בן שמעון יצחק</t>
  </si>
  <si>
    <t>שיחות לספר - 5 כר'</t>
  </si>
  <si>
    <t>שיחות מהרלוי"צ</t>
  </si>
  <si>
    <t>בנדר, לוי יצחק</t>
  </si>
  <si>
    <t>שיחות מוהרא"ש - 15 כר'</t>
  </si>
  <si>
    <t>שיחות מוסר דעת ותבונה</t>
  </si>
  <si>
    <t>שיחות מוסר ומאמרים על הסה"ק לקו"מ מיוסדים - ב</t>
  </si>
  <si>
    <t>שיחות מוסר על לקו"מ</t>
  </si>
  <si>
    <t>שיחות מוסר - 2 כר'</t>
  </si>
  <si>
    <t>בירנבוים, מיכל</t>
  </si>
  <si>
    <t>שיחות מוסר</t>
  </si>
  <si>
    <t>זליבנסקי, חיים נפתלי הירץ</t>
  </si>
  <si>
    <t>שיחות מלוה מלכה - 4 כר'</t>
  </si>
  <si>
    <t>שיחות מרדכי</t>
  </si>
  <si>
    <t>וינברג, מרדכי</t>
  </si>
  <si>
    <t>שיחות עבודת לוי</t>
  </si>
  <si>
    <t>שיחות על אחדות ישראל</t>
  </si>
  <si>
    <t>שיחות על פסח ויציאת מצרים</t>
  </si>
  <si>
    <t>שיחות קודש ופרקי זכרון - ויזניץ</t>
  </si>
  <si>
    <t>דברי ימי הישיבה הק' ויזניץ</t>
  </si>
  <si>
    <t>שיחות קודש</t>
  </si>
  <si>
    <t>שיחות רא"ם</t>
  </si>
  <si>
    <t>מאיר, זאב דוב אלטר בן ישראל הלוי</t>
  </si>
  <si>
    <t>שיחות רבי נתן צבי - 2 כר'</t>
  </si>
  <si>
    <t>פינקל, נתן צבי בן אליהו מאיר</t>
  </si>
  <si>
    <t>שיחות רבי ראובן</t>
  </si>
  <si>
    <t>שיחות רבי שמשון דוד פינקוס זצ"ל - 8 כר'</t>
  </si>
  <si>
    <t>שיחות שובבי"ם</t>
  </si>
  <si>
    <t>זילבר, מיכל</t>
  </si>
  <si>
    <t>שיחות תלמידי חכמים - 4 כר'</t>
  </si>
  <si>
    <t>שיחות</t>
  </si>
  <si>
    <t>אלינר, אליעזר</t>
  </si>
  <si>
    <t>שיחות - שבועות</t>
  </si>
  <si>
    <t>שיחת אבות</t>
  </si>
  <si>
    <t>שיחת בין השמשות</t>
  </si>
  <si>
    <t>שיחת דקלים</t>
  </si>
  <si>
    <t>שיחת הנפש</t>
  </si>
  <si>
    <t>שיחת הסופר</t>
  </si>
  <si>
    <t>שיחת חולין של ת"ח החדש</t>
  </si>
  <si>
    <t>שיחת חולין של ת"ח</t>
  </si>
  <si>
    <t>שיחת חולין</t>
  </si>
  <si>
    <t>מנחם מנדל בן צבי הירש מראווא רוסקה</t>
  </si>
  <si>
    <t>שיחת יצחק</t>
  </si>
  <si>
    <t>דונסקי, יצחק הכהן</t>
  </si>
  <si>
    <t>שיחת מלאכי השרת &lt;מהדורת הר ברכה&gt;</t>
  </si>
  <si>
    <t>שיחת מלאכי השרת</t>
  </si>
  <si>
    <t>שיחת פה - פסח</t>
  </si>
  <si>
    <t>שיחת צבי - שביעית</t>
  </si>
  <si>
    <t>כהנא, צבי בן יצחק הכהן</t>
  </si>
  <si>
    <t>שיחת קודש לכותבי הדא"ח</t>
  </si>
  <si>
    <t>שיחתן של עבדי אבות - 2 כר'</t>
  </si>
  <si>
    <t>שיטה לא נודע למי - קידושין</t>
  </si>
  <si>
    <t>הפטקה, דב בעריש (מהדיר)</t>
  </si>
  <si>
    <t>ציננער, גבריאל (מהדיר)</t>
  </si>
  <si>
    <t>שיטה לא נודע למי - קידושין &lt;מהדורת הרב זק"ש&gt;</t>
  </si>
  <si>
    <t>שיטה לא נודע למי עם הערות: זק"ש, ניסן מאיר פייביל בן מרדכי יהודה ליב</t>
  </si>
  <si>
    <t>שיטה לבעל הצרורות - תענית - תוספות רבינו פרץ ברכות</t>
  </si>
  <si>
    <t>חיים בן שמואל בן דוד, מטודילה - פרץ בן אליהו מקורביל</t>
  </si>
  <si>
    <t>שיטה לחכמי איוורא - נזיר</t>
  </si>
  <si>
    <t>שיטה לר"ן</t>
  </si>
  <si>
    <t>שיטה מקובצת &lt;החדש&gt; - 6 כר'</t>
  </si>
  <si>
    <t>שיטה מקובצת &lt;מכון מירב&gt; - 12 כר'</t>
  </si>
  <si>
    <t>שיטה מקובצת &lt;עם הערות&gt; - כריתות</t>
  </si>
  <si>
    <t>שיטה מקובצת החדש - 2 כר'</t>
  </si>
  <si>
    <t>גוטה, בנימין ברוך בן אברהם יהושע השל</t>
  </si>
  <si>
    <t>שיטה מקובצת החדש - ברכות</t>
  </si>
  <si>
    <t>שיטה מקובצת הנר - בבא בתרא</t>
  </si>
  <si>
    <t>שיטה מקובצת לפסחים - 3 כר'</t>
  </si>
  <si>
    <t>שיטה מקובצת על כל תלמוד ירושלמי - 3 כר'</t>
  </si>
  <si>
    <t>שיינין, שמעון בן נחום - שיינין, אברהם בן נחום</t>
  </si>
  <si>
    <t>שיטה מקובצת קדמון - ספר הנר</t>
  </si>
  <si>
    <t>שיטה מקובצת קדשים &lt;מהדורת הרב אילן&gt; - 9 כר'</t>
  </si>
  <si>
    <t>אשכנזי, בצלאל</t>
  </si>
  <si>
    <t>שיטה מקובצת - כריתות</t>
  </si>
  <si>
    <t>אשכנזי, בצלאל בן אברהם - גולדשטוף, יאיר (עורך)</t>
  </si>
  <si>
    <t>שיטה מקובצת - 14 כר'</t>
  </si>
  <si>
    <t>שיטה מקובצת - ביצה &lt;ציונים וביאורים&gt;</t>
  </si>
  <si>
    <t>אשכנזי, בצלאל בן אברהם. מיוחס לו - שטרן, משה</t>
  </si>
  <si>
    <t>שיטה מקובצת - ביצה</t>
  </si>
  <si>
    <t>שיטה מקובצת - שבת (במה מדליקין)</t>
  </si>
  <si>
    <t>קאהן, חנניה דב</t>
  </si>
  <si>
    <t>שיטה מקובצת - מנחת חינוך</t>
  </si>
  <si>
    <t>שיטה על מו"ק לתלמידו של ר"י מפריש</t>
  </si>
  <si>
    <t>תלמיד רבי יחיאל מפריש - מכון הרי פישל</t>
  </si>
  <si>
    <t>שיטה קדמונית על מסכת קידושין</t>
  </si>
  <si>
    <t>שיטות בהלכה - 3 כר'</t>
  </si>
  <si>
    <t>שיטות הגידול החדשות המסייעות לשמירת השמיטה בימינו</t>
  </si>
  <si>
    <t>שיטות חדישות כן או לא</t>
  </si>
  <si>
    <t>שיטות מיון לספריות תורניות</t>
  </si>
  <si>
    <t>שיטין</t>
  </si>
  <si>
    <t>שיטת החינוך</t>
  </si>
  <si>
    <t>יעקבזון, חיים יהודה</t>
  </si>
  <si>
    <t>שיטת הקדמונים - ביצה, חידושי הרא"ה, ספר הישר, תוס' ר' ישעיה, ר"י אבוהב</t>
  </si>
  <si>
    <t>הכהן, מרדכי משה</t>
  </si>
  <si>
    <t>שיטת רש"י</t>
  </si>
  <si>
    <t>מרקוביץ, דוד בן מרדכי יהודה</t>
  </si>
  <si>
    <t>שיירי כהונה החדש</t>
  </si>
  <si>
    <t>שיירי מנחה החדש</t>
  </si>
  <si>
    <t>שיירי מנחה</t>
  </si>
  <si>
    <t>שיירי מנחה - על מנחת חינוך</t>
  </si>
  <si>
    <t>שילה [מדליה]</t>
  </si>
  <si>
    <t>שילוח הקן כהלכה</t>
  </si>
  <si>
    <t>שילוח הקן</t>
  </si>
  <si>
    <t>טובול, ד.ש.</t>
  </si>
  <si>
    <t>שילוש לשונות</t>
  </si>
  <si>
    <t>מינסטר, סבאסטיאן</t>
  </si>
  <si>
    <t>שים שלום</t>
  </si>
  <si>
    <t>גולד, שמואל משה בן יעקב</t>
  </si>
  <si>
    <t>שים שלום - 3 כר'</t>
  </si>
  <si>
    <t>הרבנד, יואל בן שלום</t>
  </si>
  <si>
    <t>שים שלום - 2 כר'</t>
  </si>
  <si>
    <t>שימה בפיהם</t>
  </si>
  <si>
    <t>רוטבוים, אהרן</t>
  </si>
  <si>
    <t>שימוש בבוילר בשבת</t>
  </si>
  <si>
    <t>שימוש במקררים ומזגנים בשבת</t>
  </si>
  <si>
    <t>שימוש חכמים</t>
  </si>
  <si>
    <t>שימחת אברהם</t>
  </si>
  <si>
    <t>נחשון, אברהם (קופרמן)</t>
  </si>
  <si>
    <t>שימני כחותם</t>
  </si>
  <si>
    <t>שינויי נוסחאות וגרסאות</t>
  </si>
  <si>
    <t>שינון הלכה - 5 כר'</t>
  </si>
  <si>
    <t>שינון הלכות - יו"ד</t>
  </si>
  <si>
    <t>שינון המדרש</t>
  </si>
  <si>
    <t>שינון המנחה &lt;על מנחת חינוך&gt; - 2 כר'</t>
  </si>
  <si>
    <t>כהן, יעקב צבי בן משה אברהם</t>
  </si>
  <si>
    <t>שינון המשנה</t>
  </si>
  <si>
    <t>שינון הפרשה (תשע"ג)</t>
  </si>
  <si>
    <t>שינון הפרשה</t>
  </si>
  <si>
    <t>שינון הש"ס - 11 כר'</t>
  </si>
  <si>
    <t>שינון התוספות - 4 כר'</t>
  </si>
  <si>
    <t>קורח, עמרם</t>
  </si>
  <si>
    <t>שינון יוסף</t>
  </si>
  <si>
    <t>אסולין, א. עלוש, ר.</t>
  </si>
  <si>
    <t>שינון עירובין</t>
  </si>
  <si>
    <t>שינוני חול המועד</t>
  </si>
  <si>
    <t>גוטפרב, נחום</t>
  </si>
  <si>
    <t>שיעור בהיסטוריה מלחמת ששת הימים</t>
  </si>
  <si>
    <t>שיעור בענין סימן טהרת הדגים</t>
  </si>
  <si>
    <t>שיעור בענין סימני טהרת הדגים</t>
  </si>
  <si>
    <t>שיעור הגר"י קנייבסקי בעניני חציצה</t>
  </si>
  <si>
    <t>שיעור כזית</t>
  </si>
  <si>
    <t>שיעור ליום השבת - 4 כר'</t>
  </si>
  <si>
    <t>עמנואל, שמעון</t>
  </si>
  <si>
    <t>שיעור מקוה</t>
  </si>
  <si>
    <t>שיעור מרן בעל החזון איש וג' שיעורי מרן בעל הקהילות יעקב עמ"ס קידושין</t>
  </si>
  <si>
    <t>שיעור קומה</t>
  </si>
  <si>
    <t>שיעורי אורח חיים בית אהרן</t>
  </si>
  <si>
    <t>שיעורי אמת ליעקב - 10 כר'</t>
  </si>
  <si>
    <t>כהן, אמיתי</t>
  </si>
  <si>
    <t>שיעורי בבא בתרא</t>
  </si>
  <si>
    <t>כהן, שמואל מנחם</t>
  </si>
  <si>
    <t>שיעורי בבא קמא</t>
  </si>
  <si>
    <t>שיעורי בבא קמא - 2 כר'</t>
  </si>
  <si>
    <t>שיעורי בבא קמא, סנהדרין</t>
  </si>
  <si>
    <t>שיעורי בד קודש - פסחים</t>
  </si>
  <si>
    <t>אירופה</t>
  </si>
  <si>
    <t>שיעורי בקיאות - 9 כר'</t>
  </si>
  <si>
    <t>רבינוביץ-תאומים, יעקב בן בנימין צבי יהודה</t>
  </si>
  <si>
    <t>שיעורי ברכת כהן - 2 כר'</t>
  </si>
  <si>
    <t>שיעורי בשר בחלב</t>
  </si>
  <si>
    <t>שיעורי גיטין</t>
  </si>
  <si>
    <t>שיעורי דביר הקודש - בבא בתרא</t>
  </si>
  <si>
    <t>שיעורי דעת</t>
  </si>
  <si>
    <t>בלוך, אברהם יצחק</t>
  </si>
  <si>
    <t>שיעורי דרך חיים - 6 כר'</t>
  </si>
  <si>
    <t>ברקוביץ, מאיר</t>
  </si>
  <si>
    <t>שיעורי האדר - 3 כר'</t>
  </si>
  <si>
    <t>שיעורי הגאון רבי דב שוורצמן - 8 כר'</t>
  </si>
  <si>
    <t>שיעורי הגאון רבי חיים מן - גיטין</t>
  </si>
  <si>
    <t>מן, חיים</t>
  </si>
  <si>
    <t>שיעורי הגאון רבי יהודה צבי דייטש</t>
  </si>
  <si>
    <t>דייטש, יהודה צבי</t>
  </si>
  <si>
    <t>שיעורי הגדה בית אהרן על הגדה של פסח</t>
  </si>
  <si>
    <t>שיעורי הגדה של פסח</t>
  </si>
  <si>
    <t>שיעורי הגר"א וסרמן - חולין</t>
  </si>
  <si>
    <t>שיעורי הגר"א קפלן - קידושין</t>
  </si>
  <si>
    <t>קפלן, אברהם</t>
  </si>
  <si>
    <t>שיעורי הגר"ז - מכות</t>
  </si>
  <si>
    <t>שיעורי הגר"מ שפירא - תשנ"ט</t>
  </si>
  <si>
    <t>שיעורי הגר"ץ - חולין, פסחים</t>
  </si>
  <si>
    <t>פרידמן, צבי</t>
  </si>
  <si>
    <t>שיעורי הגר"צ דרבקין - 21 כר'</t>
  </si>
  <si>
    <t>שיעורי הגר"ש נויפלד - ב"מ</t>
  </si>
  <si>
    <t>עג'מי, עקיבא בן מרדכי דניאל</t>
  </si>
  <si>
    <t>שיעורי הגרא"ח - חזקת הבתים</t>
  </si>
  <si>
    <t>שיעורי הגרב"ד פוברסקי - 11 כר'</t>
  </si>
  <si>
    <t>שיעורי הגרד"א - גיטין, מכות -שיחות מוסר</t>
  </si>
  <si>
    <t>איזיבי, דוד - וקסמן, אפרים</t>
  </si>
  <si>
    <t>שיעורי הגרח"ד - מכות</t>
  </si>
  <si>
    <t>שיעורי הגרי"ג - יבמות</t>
  </si>
  <si>
    <t>שיעורי הגרי"ד סאלאווייציק - סת"ם וציצית</t>
  </si>
  <si>
    <t>סולובייצ'יק, יוסף דוב הלוי בן יצחק זאב</t>
  </si>
  <si>
    <t>שיעורי הגרי"ח קופשיץ</t>
  </si>
  <si>
    <t>צדוק, חיים בן יוסף (עורך)</t>
  </si>
  <si>
    <t>שיעורי הגרי"מ דרוק - 4 כר'</t>
  </si>
  <si>
    <t>דרוק, ישראל מאיר</t>
  </si>
  <si>
    <t>שיעורי הגרמ"מ - גיטין</t>
  </si>
  <si>
    <t>וולפא, מנחם מנדל</t>
  </si>
  <si>
    <t>שיעורי הגרנ"ט - נשים נזיקין</t>
  </si>
  <si>
    <t>שיעורי הגרש"ז כהנוביץ - נדה</t>
  </si>
  <si>
    <t>שיעורי היום - 21 כר'</t>
  </si>
  <si>
    <t>שיעורי הישיבה - פסחים</t>
  </si>
  <si>
    <t>ראשי ישיבת דרכי דוד בית שמש</t>
  </si>
  <si>
    <t>שיעורי הלכה - 2 כר'</t>
  </si>
  <si>
    <t>שיעורי הלכה - טבילת כלים</t>
  </si>
  <si>
    <t>ויג, אברהם נפתלי</t>
  </si>
  <si>
    <t>שיעורי הלכה - תורה ומועדים</t>
  </si>
  <si>
    <t>שיעורי הלכות חנוכה</t>
  </si>
  <si>
    <t>שיעורי המלאכות - 5 כר'</t>
  </si>
  <si>
    <t>שילוני, מיכאל בן יצחק</t>
  </si>
  <si>
    <t>שיעורי המצוות לליל הסדר</t>
  </si>
  <si>
    <t>שיעורי הפרשה לקראת שבת</t>
  </si>
  <si>
    <t>שיעורי הרב הגאון רבי יוסף דב הלוי סולוביצ'יק - 5 כר'</t>
  </si>
  <si>
    <t>שיעורי הרב יעקב אפרים הכהן</t>
  </si>
  <si>
    <t>פרכהיימר, יעקב אפרים הכהן</t>
  </si>
  <si>
    <t>שיעורי הרב רוזנבלום - פסח</t>
  </si>
  <si>
    <t>רוזנבלום, ברוך</t>
  </si>
  <si>
    <t>שיעורי הרב - 7 כר'</t>
  </si>
  <si>
    <t>שיעורי הרה"ג ר' יוסף דב הלוי</t>
  </si>
  <si>
    <t>שיעורי ופניני דעת</t>
  </si>
  <si>
    <t>שיעורי חומש רש"י</t>
  </si>
  <si>
    <t>שיעורי חומש - 2 כר'</t>
  </si>
  <si>
    <t>מיימון, שמחה</t>
  </si>
  <si>
    <t>שיעורי חרושת אבן - גיטין</t>
  </si>
  <si>
    <t>שיעורי טהרה</t>
  </si>
  <si>
    <t>שיעורי יבמות</t>
  </si>
  <si>
    <t>שיעורי יד הלוי - 2 כר'</t>
  </si>
  <si>
    <t>שיעורי יומא</t>
  </si>
  <si>
    <t>שיעורי יורה דעה בית אהרן</t>
  </si>
  <si>
    <t>שיעורי ישיבה קטנה - מכות</t>
  </si>
  <si>
    <t>גולדשמידט, שלמה יהודה - הלוי, מאיר (עורך)</t>
  </si>
  <si>
    <t>שיעורי כתובות</t>
  </si>
  <si>
    <t>שמואלביץ, חיים ליב הלוי</t>
  </si>
  <si>
    <t>תשל"ד?</t>
  </si>
  <si>
    <t>שיעורי ליל שבת</t>
  </si>
  <si>
    <t>שיעורי ליל שבת - 2 כר'</t>
  </si>
  <si>
    <t>רוזין, דב</t>
  </si>
  <si>
    <t>שיעורי ליל שישי - 2 כר'</t>
  </si>
  <si>
    <t>שיעורי מבשר טוב - 22 כר'</t>
  </si>
  <si>
    <t>שיעורי מגילה בית אהרן</t>
  </si>
  <si>
    <t>שיעורי מו"ר ראש הישיבה - בבא מציעא</t>
  </si>
  <si>
    <t>שיעורי מו"ר ראש הישיבה</t>
  </si>
  <si>
    <t>שיעורי מורינו הגר"ש נוביק - יש נוחלין</t>
  </si>
  <si>
    <t>שיעורי מורינו הגרמ"מ - 3 כר'</t>
  </si>
  <si>
    <t>שיעורי מורנו הגאון רבי אבא ברמן - גיטין</t>
  </si>
  <si>
    <t>ברמן, אבא</t>
  </si>
  <si>
    <t>שיעורי מורנו הגר"פ ברונפמן - 3 כר'</t>
  </si>
  <si>
    <t>שיעורי מורנו הגר"ש רוזובסקי - 2 כר'</t>
  </si>
  <si>
    <t>רוזובסקי, שמואל</t>
  </si>
  <si>
    <t>שיעורי מורנו ראש הישיבה שליט"א</t>
  </si>
  <si>
    <t>שיעורי מורנו ראש הישיבה - 2 כר'</t>
  </si>
  <si>
    <t>שיעורי מורנו רבי דוד - 3 כר'</t>
  </si>
  <si>
    <t>פיינשטיין, דוד בן יחיאל מיכל</t>
  </si>
  <si>
    <t>שיעורי מחצית השקל &lt;תקמ"ו - תקנ"א&gt; - חידושי מחצית השקל - פסחים, כתובות</t>
  </si>
  <si>
    <t>שיעורי מחצית השקל - תקנ"א תקנ"ה</t>
  </si>
  <si>
    <t>סוגיות, תולדות עם ישראל, תלמוד בבלי</t>
  </si>
  <si>
    <t>שיעורי מכות</t>
  </si>
  <si>
    <t>שיעורי מנוחת אמת - קידושין</t>
  </si>
  <si>
    <t>שיעורי מנחת שאול - בבא מציעא</t>
  </si>
  <si>
    <t>שיעורי מצבת רחל - אהלות</t>
  </si>
  <si>
    <t>שיעורי מצות</t>
  </si>
  <si>
    <t>שיעורי מקדש דוד</t>
  </si>
  <si>
    <t>שיעורי מרן הג"ר בנימין ביינוש פינקל - ב"מ</t>
  </si>
  <si>
    <t>פינקל, בנימין ביינוש בן אליעזר יהודה</t>
  </si>
  <si>
    <t>שיעורי מרן הגאון ר' נחום פרצוביץ - 2 כר'</t>
  </si>
  <si>
    <t>שיעורי מרן הגר"א שפירא - 6 כר'</t>
  </si>
  <si>
    <t>שיעורי מרן הגרי"ש אלישיב - ברכות</t>
  </si>
  <si>
    <t>שיעורי מרן ר' פסח מקוברין &lt;מהדורה חדשה&gt;</t>
  </si>
  <si>
    <t>פרוסקין, פסח</t>
  </si>
  <si>
    <t>שיעורי מרן ראש הישיבה - קידושין</t>
  </si>
  <si>
    <t>אטיק, אברהם</t>
  </si>
  <si>
    <t>שיעורי מרן רה"י הגראי"ל שטינמן - יבמות</t>
  </si>
  <si>
    <t>שיעורי מרנן ראשי הישיבה</t>
  </si>
  <si>
    <t>פוברסקי, דוד - רוזובסקי, שמואל</t>
  </si>
  <si>
    <t>שיעורי משא יד - 15 כר'</t>
  </si>
  <si>
    <t>שיעורי משמר הלוי - 5 כר'</t>
  </si>
  <si>
    <t>שיעורי משמר הלוי - זבחים</t>
  </si>
  <si>
    <t>שולזינגר, משה מרדכי הלוי - שבקס, שמואל בן מנחם</t>
  </si>
  <si>
    <t>שיעורי משנת אב - זבחים</t>
  </si>
  <si>
    <t>ברוורמן, אליעזר</t>
  </si>
  <si>
    <t>שיעורי נדה</t>
  </si>
  <si>
    <t>ראשיד, אליהו בן סעדיה</t>
  </si>
  <si>
    <t>שיעורי נדרים</t>
  </si>
  <si>
    <t>שיעורי נזיר</t>
  </si>
  <si>
    <t>סולובייציק, יצחק הלוי</t>
  </si>
  <si>
    <t>שיעורי נתיב בינה - 8 כר'</t>
  </si>
  <si>
    <t>שיעורי נתיבות אדם - בשר בחלב</t>
  </si>
  <si>
    <t>שיעורי נתיבות אשר - 7 כר'</t>
  </si>
  <si>
    <t>שיעורי נתיבות שלום - 3 כר'</t>
  </si>
  <si>
    <t>שיעורי סבי דבי אתונא</t>
  </si>
  <si>
    <t>שיעורי סוגיות אבן גבורים - 10 כר'</t>
  </si>
  <si>
    <t>שיעורי סוכה - ד' המינים</t>
  </si>
  <si>
    <t>שיעורי סנהדרין</t>
  </si>
  <si>
    <t>שיעורי עבודת לוי - 4 כר'</t>
  </si>
  <si>
    <t>שיעורי עטרת צבי - 2 כר'</t>
  </si>
  <si>
    <t>דרבקין, צבי</t>
  </si>
  <si>
    <t>שיעורי עיון התלמוד - 6 כר'</t>
  </si>
  <si>
    <t>שיעורי עיון - 4 כר'</t>
  </si>
  <si>
    <t>גייגר, אביגדור שלמה</t>
  </si>
  <si>
    <t>שיעורי עמק התורה -א</t>
  </si>
  <si>
    <t>שיעורי עץ ארז - 3 כר'</t>
  </si>
  <si>
    <t>שיעורי פסחים</t>
  </si>
  <si>
    <t>שיעורי צבא הלוי - כתובות</t>
  </si>
  <si>
    <t>שיעורי ציון</t>
  </si>
  <si>
    <t>שיעורי ציון - 6 כר'</t>
  </si>
  <si>
    <t>שיעורי קדשים</t>
  </si>
  <si>
    <t>אייזנשטיין, אהרן זאב</t>
  </si>
  <si>
    <t>שיעורי קידושין</t>
  </si>
  <si>
    <t>שיעורי ראש הישיבה רבי דוד פוברסקי - 31 כר'</t>
  </si>
  <si>
    <t>שיעורי ראש הישיבה רבי ישעיה קלאר - 3 כר'</t>
  </si>
  <si>
    <t>קלאר, ישעיה הכהן</t>
  </si>
  <si>
    <t>שיעורי ראש הישיבה - 3 כר'</t>
  </si>
  <si>
    <t>שיעורי ראש הישיבה - בבא בתרא (השותפין)</t>
  </si>
  <si>
    <t>שיעורי ראש הישיבה - ב"ק, ב"מ</t>
  </si>
  <si>
    <t>שיעורי רבי אברהם יצחק - 12 כר'</t>
  </si>
  <si>
    <t>שיעורי רבי אהרן - יבמות</t>
  </si>
  <si>
    <t>יפה'ן, רפאל אהרן - כתב: בריסקמן, ישראל מאיר</t>
  </si>
  <si>
    <t>שיעורי רבי אליהו ברוך - 7 כר'</t>
  </si>
  <si>
    <t>שיעורי רבי אליהו מאיר</t>
  </si>
  <si>
    <t>שיעורי רבי אריה לייב מאלין</t>
  </si>
  <si>
    <t>שיעורי רבי בנימין ביינוש</t>
  </si>
  <si>
    <t>שיעורי רבי בנימין - ב"ק</t>
  </si>
  <si>
    <t>אייזמן, בנימין הלוי</t>
  </si>
  <si>
    <t>שיעורי רבי גרשון &lt;מהדו"ק&gt; - 4 כר'</t>
  </si>
  <si>
    <t>שיעורי רבי גרשון - כתובות</t>
  </si>
  <si>
    <t>שיעורי רבי גרשון - 16 כר'</t>
  </si>
  <si>
    <t>שיעורי רבי דוד אוסטרן - 7 כר'</t>
  </si>
  <si>
    <t>אוסטרן, דוד</t>
  </si>
  <si>
    <t>שיעורי רבי דוד ליפשיץ - 2 כר'</t>
  </si>
  <si>
    <t>ליפשיץ, דוד</t>
  </si>
  <si>
    <t>שיעורי רבי יוסף - 5 כר'</t>
  </si>
  <si>
    <t>רוזובסקי, יוסף בן מיכל דוד</t>
  </si>
  <si>
    <t>שיעורי רבי יעקב יצחק רבינוביץ</t>
  </si>
  <si>
    <t>שיעורי רבי יעקב משה שורקין - 3 כר'</t>
  </si>
  <si>
    <t>שיעורי רבי ישראל - 3 כר'</t>
  </si>
  <si>
    <t>שיעורי רבי לוי - 3 כר'</t>
  </si>
  <si>
    <t>שיעורי רבי מרדכי גולדשטיין - ברכות, קידוש</t>
  </si>
  <si>
    <t>גולדשטין, מרדכי בן טוביה</t>
  </si>
  <si>
    <t>שיעורי רבי נחום - קידושין</t>
  </si>
  <si>
    <t>שיעורי רבי נחום - 3 כר'</t>
  </si>
  <si>
    <t>שיעורי רבי נתן</t>
  </si>
  <si>
    <t>שיעורי רבי עקיבא קיסטר - 3 כר'</t>
  </si>
  <si>
    <t>שיעורי רבי צבי יהודה</t>
  </si>
  <si>
    <t>גרשנוביץ, צבי יהודה</t>
  </si>
  <si>
    <t>שיעורי רבי צבי קצנלבוגן - יבמות</t>
  </si>
  <si>
    <t>שיעורי רבי ראובן יוסף - 5 כר'</t>
  </si>
  <si>
    <t>גרשנוביץ, ראובן יוסף בן אברהם יצחק</t>
  </si>
  <si>
    <t>שיעורי רבי רפאל - כתובות, בבא בתרא</t>
  </si>
  <si>
    <t>אביטן, רפאל</t>
  </si>
  <si>
    <t>שיעורי רבי רפאל - 3 כר'</t>
  </si>
  <si>
    <t>שמואלביץ, רפאל בן חיים הלוי</t>
  </si>
  <si>
    <t>שיעורי רבי שלמה</t>
  </si>
  <si>
    <t>שיעורי רבי שמואל &lt;כת"י תלמיד&gt; - כתובות</t>
  </si>
  <si>
    <t>שיעורי רבי שמואל - 11 כר'</t>
  </si>
  <si>
    <t>שיעורי רבי שמעון יהודה הכהן שקאפ על מסכת בבא מציעא &lt;עם ציוני חיים&gt;</t>
  </si>
  <si>
    <t>שקופ, שמעון יהודה בן יצחק שמואל הכהן - אידלס, חיים יצחק</t>
  </si>
  <si>
    <t>שיעורי רבינו הגאון הרב פסח שטיין שליט"א</t>
  </si>
  <si>
    <t>שיעורי רבינו הגרא"י מטעלז - 2 כר'</t>
  </si>
  <si>
    <t>שיעורי רבינו יהושע העשיל - כתובות</t>
  </si>
  <si>
    <t>אייכנשטיין, יהושע העשיל</t>
  </si>
  <si>
    <t>שיעורי רבית</t>
  </si>
  <si>
    <t>דירנפלד, אברהם</t>
  </si>
  <si>
    <t>לוצקי, מיכאל</t>
  </si>
  <si>
    <t>שיעורי רבנו חיים הלוי - ב"ק, ב"מ, ב"ב - תרמ"א</t>
  </si>
  <si>
    <t>שיעורי רבנו יחיאל מיכל - 27 כר'</t>
  </si>
  <si>
    <t>שיעורי ריבית</t>
  </si>
  <si>
    <t>שיעורי שבט הלוי - 2 כר'</t>
  </si>
  <si>
    <t>שיעורי שביעית</t>
  </si>
  <si>
    <t>שיעורי שביעית - א</t>
  </si>
  <si>
    <t>שיעורי שבת</t>
  </si>
  <si>
    <t>אלטמן, יוסף מאיר בן שרגא צבי</t>
  </si>
  <si>
    <t>שיעורי שובבים</t>
  </si>
  <si>
    <t>גולן, אברהם</t>
  </si>
  <si>
    <t>שיעורי שולחן ערוך - בית אליעזר</t>
  </si>
  <si>
    <t>שיעורי שלמי תודה - 3 כר'</t>
  </si>
  <si>
    <t>שיעורי שלמי תודה - 2 כר'</t>
  </si>
  <si>
    <t>פלמן, שלום בן-ציון</t>
  </si>
  <si>
    <t>שיעורי שם אבותי - 2 כר'</t>
  </si>
  <si>
    <t>כהן, מנחם שמואל בן שלמה</t>
  </si>
  <si>
    <t>שיעורי שערי זבולון - 4 כר'</t>
  </si>
  <si>
    <t>שיעורי תורה לרופאים - 5 כר'</t>
  </si>
  <si>
    <t>שיעורי תורה</t>
  </si>
  <si>
    <t>שקופ, שמעון יהודה בן יצחק שמואל הכהן - ליבוביץ, ברוך דוב בן שמואל דוד</t>
  </si>
  <si>
    <t>שיעורי - 12 כר'</t>
  </si>
  <si>
    <t>שיעורים באורייתא - 2 כר'</t>
  </si>
  <si>
    <t>מלריך, אריה יהודה</t>
  </si>
  <si>
    <t>שיעורים בהגדה של פסח</t>
  </si>
  <si>
    <t>פייבלזון, דוד</t>
  </si>
  <si>
    <t>שיעורים בהיסטוריה - 2 כר'</t>
  </si>
  <si>
    <t>שיעורים בהלכה</t>
  </si>
  <si>
    <t>שיעורים בהלכה - 2 כר'</t>
  </si>
  <si>
    <t>שיעורים בהלכה - הלכות חנוכה</t>
  </si>
  <si>
    <t>שיעורים בהלכות בשר וחלב</t>
  </si>
  <si>
    <t>שרייבר, דוד</t>
  </si>
  <si>
    <t>שיעורים בהלכות חול המועד</t>
  </si>
  <si>
    <t>שיעורים בהלכות טהרה</t>
  </si>
  <si>
    <t>רוקח,</t>
  </si>
  <si>
    <t>שיעורים בהלכות כיבוד אב ואם</t>
  </si>
  <si>
    <t>קופמן, מאיר אשר</t>
  </si>
  <si>
    <t>שיעורים בהלכות נדה</t>
  </si>
  <si>
    <t>שיעורים בהלכות רבית</t>
  </si>
  <si>
    <t>שיעורים ביסודי הלכות שבת</t>
  </si>
  <si>
    <t>שיעורים במלאכות שבת</t>
  </si>
  <si>
    <t>גורביץ, קלמן</t>
  </si>
  <si>
    <t>שיעורים במסילת ישרים</t>
  </si>
  <si>
    <t>שיעורים במסכת ב"ק פרק מרובה</t>
  </si>
  <si>
    <t>שיעורים במסכת ב"ק</t>
  </si>
  <si>
    <t>ישיבת רוממה</t>
  </si>
  <si>
    <t>שיעורים במסכת בבא בתרא ב</t>
  </si>
  <si>
    <t>שיעורים במסכת בבא בתרא - 2 כר'</t>
  </si>
  <si>
    <t>שיעורים במסכת בבא קמא - 2 כר'</t>
  </si>
  <si>
    <t>שיעורים במסכת גיטין</t>
  </si>
  <si>
    <t>שיעורים במסכת הוריות</t>
  </si>
  <si>
    <t>שיעורים במסכת יבמות</t>
  </si>
  <si>
    <t>שיעורים במסכת מכות</t>
  </si>
  <si>
    <t>שיעורים במסכת סוכה וביצה</t>
  </si>
  <si>
    <t>שיעורים במסכת סוכה</t>
  </si>
  <si>
    <t>שיעורים במסכת עירובין</t>
  </si>
  <si>
    <t>שיעורים במסכת עירובין - 2 כר'</t>
  </si>
  <si>
    <t>כהן, גרשון</t>
  </si>
  <si>
    <t>שיעורים במסכת פאה</t>
  </si>
  <si>
    <t>היינמאן, יוסף בן יעקב</t>
  </si>
  <si>
    <t>שיעורים במסכת פסחים</t>
  </si>
  <si>
    <t>ברקוביץ, מאיר הכהן</t>
  </si>
  <si>
    <t>שיעורים במסכת - 5 כר'</t>
  </si>
  <si>
    <t>שיעורים במסכתות ראש השנה ותענית</t>
  </si>
  <si>
    <t>רוזנברג, יהודה</t>
  </si>
  <si>
    <t>שיעורים במשניות - 6 כר'</t>
  </si>
  <si>
    <t>שחור, אפרים זלמן בן דב</t>
  </si>
  <si>
    <t>שיעורים בסוגיא דמכירת שטרות</t>
  </si>
  <si>
    <t>שיעורים בסוגיות עגונות</t>
  </si>
  <si>
    <t>שיעורים בסוגיות עשה דוחה לא תעשה</t>
  </si>
  <si>
    <t>צשס"א</t>
  </si>
  <si>
    <t>שיעורים בסנהדרין</t>
  </si>
  <si>
    <t>שיעורים בספר סוד ה' ליראיו - 4 כר'</t>
  </si>
  <si>
    <t>תשע"א - תשע"ז</t>
  </si>
  <si>
    <t>שיעורים בעניני תערובות ובב"ח</t>
  </si>
  <si>
    <t>שרייבר, יצחק</t>
  </si>
  <si>
    <t>שיעורים בפרק איזהו נשך</t>
  </si>
  <si>
    <t>איתן, מ.ז</t>
  </si>
  <si>
    <t>שיעורים בפרק המפקיד</t>
  </si>
  <si>
    <t>שיעורים בשבת</t>
  </si>
  <si>
    <t>שיעורים בתורה - 2 כר'</t>
  </si>
  <si>
    <t>תש"י - תשי"ב הק'</t>
  </si>
  <si>
    <t>שיעורים דאורייתא - 3 כר'</t>
  </si>
  <si>
    <t>שיעורים והתוועדויות - 14 כר'</t>
  </si>
  <si>
    <t>תשע"ב - תשע"ה</t>
  </si>
  <si>
    <t>שיעורים וחידו"ת בפרק נערה המאורסה</t>
  </si>
  <si>
    <t>כץ, בנימין בן צבי הכהן</t>
  </si>
  <si>
    <t>שיעורים וכתבים, זרעים - 13 כר'</t>
  </si>
  <si>
    <t>גריינימן, הראי"ש בן הגרח"ש</t>
  </si>
  <si>
    <t>שיעורים וכתבים, טהרות - 9 כר'</t>
  </si>
  <si>
    <t>שיעורים וכתבים, ליקוטים - 2 כר'</t>
  </si>
  <si>
    <t>שיעורים וכתבים, מוסר ואגדה - 25 כר'</t>
  </si>
  <si>
    <t>שיעורים וכתבים, מועד - 16 כר'</t>
  </si>
  <si>
    <t>שיעורים וכתבים, נזיקין - 12 כר'</t>
  </si>
  <si>
    <t>שיעורים וכתבים, נשים - 6 כר'</t>
  </si>
  <si>
    <t>שיעורים וכתבים, קדשים - 13 כר'</t>
  </si>
  <si>
    <t>שיעורים ומראה מקומות</t>
  </si>
  <si>
    <t>שיעורים ומראי מקומות - 8 כר'</t>
  </si>
  <si>
    <t>שיעורים ושיחות - 3 כר'</t>
  </si>
  <si>
    <t>שיעורים כלליים</t>
  </si>
  <si>
    <t>שיעורים כלליים - ב"ב, מכות</t>
  </si>
  <si>
    <t>עהרנפלד, יצחק</t>
  </si>
  <si>
    <t>שיעורים כללים - שניים אוחזין</t>
  </si>
  <si>
    <t>מן, חיים - שראבני יעקב</t>
  </si>
  <si>
    <t>שיעורים כללים - יבמות</t>
  </si>
  <si>
    <t>שיעורים כסדרן</t>
  </si>
  <si>
    <t>שיעורים מן הבאר</t>
  </si>
  <si>
    <t>שיעורים על מסכת בבא מציעא</t>
  </si>
  <si>
    <t>שיעורים על מסכת יבמות</t>
  </si>
  <si>
    <t>שיעורים על מסכתות מכות וקדושין</t>
  </si>
  <si>
    <t>שיעורים על סדר מסכת ביצה</t>
  </si>
  <si>
    <t>שיעורים - 5 כר'</t>
  </si>
  <si>
    <t>אדלשטיין, צבי יהודה</t>
  </si>
  <si>
    <t>שיעורים - 11 כר'</t>
  </si>
  <si>
    <t>שיעורים - 15 כר'</t>
  </si>
  <si>
    <t>פרידמן, צבי אשר</t>
  </si>
  <si>
    <t>רוזן, יגאל</t>
  </si>
  <si>
    <t>שיעורין דאורייתא</t>
  </si>
  <si>
    <t>שיעורין של תורה - 2 כר'</t>
  </si>
  <si>
    <t>שיקדש עצמו</t>
  </si>
  <si>
    <t>שיר אמונים</t>
  </si>
  <si>
    <t>שיר בינה</t>
  </si>
  <si>
    <t>שיר בן דוד &lt;מהדורה חדשה&gt;</t>
  </si>
  <si>
    <t>גנאסיה, יוסף בן דוד</t>
  </si>
  <si>
    <t>שיר החיים - 2 כר'</t>
  </si>
  <si>
    <t>שיר היחוד</t>
  </si>
  <si>
    <t>מילהויזן, יום טוב ליפמאן בן שלמה (מפרש)</t>
  </si>
  <si>
    <t>שיר הילולים</t>
  </si>
  <si>
    <t>שיר המעלות לדוד</t>
  </si>
  <si>
    <t>שיר העשירים</t>
  </si>
  <si>
    <t>שיר השירים &lt;ועלי תשוקתו&gt;</t>
  </si>
  <si>
    <t>שיר השירים &lt;ר"א מגרמיזא הרוקח&gt;</t>
  </si>
  <si>
    <t>שיר השירים &lt;רנה של תורה&gt; - 2 כר'</t>
  </si>
  <si>
    <t>שיר השירים &lt;אמרי נועם&gt;</t>
  </si>
  <si>
    <t>דוידוביץ, שבתי בן משה זלמן</t>
  </si>
  <si>
    <t>שיר השירים &lt;עוטה אור&gt;</t>
  </si>
  <si>
    <t>קליפדה Klaipeda</t>
  </si>
  <si>
    <t>שיר השירים &lt;שירי זמרה&gt;</t>
  </si>
  <si>
    <t>לונטשיץ, אליהו בן משה שמואל</t>
  </si>
  <si>
    <t>שיר השירים &lt;פירוש האר"י ז"ל&gt;</t>
  </si>
  <si>
    <t>לוריא, יצחק בן שלמה (האר"י) - אלישיב, שלמה</t>
  </si>
  <si>
    <t>שיר השירים &lt;מנחת יהודה&gt;</t>
  </si>
  <si>
    <t>שיר השירים &lt;דברי ידידיה&gt;</t>
  </si>
  <si>
    <t>ליפקין, אריה ליב בן ידידיה לפימאן</t>
  </si>
  <si>
    <t>שיר השירים &lt;רמב"ן, רוקח&gt;</t>
  </si>
  <si>
    <t>משה בן נחמן (רמב"ן). מיוחס לו - עזרא בן שלמה מגירונה - אלעזר בן יהודה מגרמיזא</t>
  </si>
  <si>
    <t>רדום Radom</t>
  </si>
  <si>
    <t>שיר השירים &lt;מגדל דוד&gt;</t>
  </si>
  <si>
    <t>סובל, שמואל דוד בן דוב בר</t>
  </si>
  <si>
    <t>שיר השירים &lt;חבצלת השרון&gt;</t>
  </si>
  <si>
    <t>סמואלזון, זאב וולף בן יעקב</t>
  </si>
  <si>
    <t>שיר השירים &lt;מילתא בטעמא&gt;</t>
  </si>
  <si>
    <t>פיינשטיין, משה יהודה ליב בן אליעזר</t>
  </si>
  <si>
    <t>שיר השירים &lt;מרכבות עמי&gt;</t>
  </si>
  <si>
    <t>שיר השירים &lt;עבודת הגרשוני&gt;</t>
  </si>
  <si>
    <t>קרמר, גרשון בן אברהם</t>
  </si>
  <si>
    <t>שיר השירים &lt;עבודת הגרשוני&gt; &lt;מהדורה חדשה&gt;</t>
  </si>
  <si>
    <t>שיר השירים אין קורצע מאמרים</t>
  </si>
  <si>
    <t>פינקלשטיין, נחום בן אברהם</t>
  </si>
  <si>
    <t>שיר השירים המבואר &lt;שירת שלמה&gt;</t>
  </si>
  <si>
    <t>שיר השירים וקהלת המבוארים &lt;ביכורי יצחק - תרגום דרב יוסף&gt;</t>
  </si>
  <si>
    <t>צפרי, יצחק בן אברהם</t>
  </si>
  <si>
    <t>שיר השירים ותרגומו</t>
  </si>
  <si>
    <t>תנ"ך. תר"ך. ליוורנו</t>
  </si>
  <si>
    <t>שיר השירים מבואר</t>
  </si>
  <si>
    <t>שיר השירים מגילת קהלת &lt;קדושת התורה ודקדוקה&gt;</t>
  </si>
  <si>
    <t>שיר השירים מיט א פירוש</t>
  </si>
  <si>
    <t>רוטבנד,שמואל בן זאב</t>
  </si>
  <si>
    <t>שיר השירים ע"פ משיבת נפ"ש</t>
  </si>
  <si>
    <t>פינקלשטיין, נחום</t>
  </si>
  <si>
    <t>שיר השירים עם ביאור הבן יקיר</t>
  </si>
  <si>
    <t>אלקאן, יעקב חיים בן פינחס ליב מקאברין</t>
  </si>
  <si>
    <t>שיר השירים עם פירוש אשירה לה'</t>
  </si>
  <si>
    <t>שיר השירים עם פירוש דבר ירושלים</t>
  </si>
  <si>
    <t>שיר השירים עם פירוש הגר"א</t>
  </si>
  <si>
    <t>שיר השירים עם פירוש נר שבת</t>
  </si>
  <si>
    <t>שיר השירים עם פירוש עטרת שלמה</t>
  </si>
  <si>
    <t>שיר השירים עם שמועות וביאורים</t>
  </si>
  <si>
    <t>שיר השירים עם תרגום המיוחס ליונתן בן עוזיאל</t>
  </si>
  <si>
    <t>שיר השירים</t>
  </si>
  <si>
    <t>פינקלשטין, נחום</t>
  </si>
  <si>
    <t>שלמה זלמן בן יעקב מפוזנא</t>
  </si>
  <si>
    <t>תנ"ך. תרנ"ב. ליוורנו</t>
  </si>
  <si>
    <t>שיר השירים, רות &lt;ספורנו&gt;</t>
  </si>
  <si>
    <t>ספורנו, עובדיה בן יעקב - קרביץ, משה בן יעקב מאיר</t>
  </si>
  <si>
    <t>שיר וזמר נאה על אורך הגלות</t>
  </si>
  <si>
    <t>שיר ופולמוס</t>
  </si>
  <si>
    <t>שיר ורננים</t>
  </si>
  <si>
    <t>שיר ושבחה</t>
  </si>
  <si>
    <t>בורנשטיין, שמואל יעקב (לזכרו)</t>
  </si>
  <si>
    <t>הכהן, רפאל חיים בן אהרן</t>
  </si>
  <si>
    <t>שיר חדש  &lt;קובץ&gt; - גיטין</t>
  </si>
  <si>
    <t>שיר חדש וקול בוכים</t>
  </si>
  <si>
    <t>שיר חדש - 3 כר'</t>
  </si>
  <si>
    <t>שיר חדש</t>
  </si>
  <si>
    <t>איינשטיין, שמואל בן אברהם יהודה הלוי</t>
  </si>
  <si>
    <t>שיר חדש - סוכה</t>
  </si>
  <si>
    <t>חידושי תורה ושיעורים</t>
  </si>
  <si>
    <t>טריביש, דוב בר בן יהודה ליב</t>
  </si>
  <si>
    <t>יעקב בן יוסף הרופא</t>
  </si>
  <si>
    <t>תר"ג- תר"ד</t>
  </si>
  <si>
    <t>שיר חדש - 2 כר'</t>
  </si>
  <si>
    <t>פלטרוביץ, חיים דוב בן צבי</t>
  </si>
  <si>
    <t>שיר חדש - עירובין</t>
  </si>
  <si>
    <t>רוזן, שמואל יצחק בן יוסף חיים</t>
  </si>
  <si>
    <t>רכניץ, שלמה יהודה</t>
  </si>
  <si>
    <t>שוראקי, סעדיה</t>
  </si>
  <si>
    <t>שיר חנוכה</t>
  </si>
  <si>
    <t>שיר חנוכת - בית האוצר</t>
  </si>
  <si>
    <t>שיר חנוכת</t>
  </si>
  <si>
    <t>שיר ידידות - תחומין</t>
  </si>
  <si>
    <t>דייטש, ידידיה בן יצחק</t>
  </si>
  <si>
    <t>שיר ידידות</t>
  </si>
  <si>
    <t>יחיאל מנחם מנדל בן ישעיהו שלום</t>
  </si>
  <si>
    <t>שיר ידידות - 2 כר'</t>
  </si>
  <si>
    <t>שיר לדוד</t>
  </si>
  <si>
    <t>שיר לחסידים</t>
  </si>
  <si>
    <t>שמואל בן אברהם ישעיהו מקורוב</t>
  </si>
  <si>
    <t>שיר לשלמה - בראשית</t>
  </si>
  <si>
    <t>שיר לשלמה</t>
  </si>
  <si>
    <t>עלבויגען, שלמה זלמן בן אהרן צבי</t>
  </si>
  <si>
    <t>שיר השירים תרגום</t>
  </si>
  <si>
    <t>שיר מוסר השכל</t>
  </si>
  <si>
    <t>שיר מכתם</t>
  </si>
  <si>
    <t>אבן-עטר, יהודה בן יעקב</t>
  </si>
  <si>
    <t>שיר פשוט</t>
  </si>
  <si>
    <t>שיר ציון</t>
  </si>
  <si>
    <t>סאלומון, יואל משה בן מרדכי</t>
  </si>
  <si>
    <t>[ירושלים,</t>
  </si>
  <si>
    <t>שיר של יום בעבודת התמיד</t>
  </si>
  <si>
    <t>מאיר הלל בן שמאי</t>
  </si>
  <si>
    <t>שיר של יום</t>
  </si>
  <si>
    <t>רביץ, שמשון יחיאל</t>
  </si>
  <si>
    <t>שיר תהלה לרבי שמואל הנגיד</t>
  </si>
  <si>
    <t>שירה ופיוט של יהודי בבל בדורות האחרונים</t>
  </si>
  <si>
    <t>בן יעקב, אברהם - צמח, דוד - טובי, יוסף - בניהו, מאיר</t>
  </si>
  <si>
    <t>שירה ורנה</t>
  </si>
  <si>
    <t>יחזקאל, יוסף</t>
  </si>
  <si>
    <t>שירה חדשה הללויה - 2 כר'</t>
  </si>
  <si>
    <t>פרוביין, יעקב צבי</t>
  </si>
  <si>
    <t>שירה חדשה</t>
  </si>
  <si>
    <t>שירה חדשה - 2 כר'</t>
  </si>
  <si>
    <t>שירה כשרה</t>
  </si>
  <si>
    <t>שירה לדוד</t>
  </si>
  <si>
    <t>דוד בן חיים מבירז</t>
  </si>
  <si>
    <t>שירה להשם - 5 כר'</t>
  </si>
  <si>
    <t>שירה לחיים</t>
  </si>
  <si>
    <t>שירה ליצחק</t>
  </si>
  <si>
    <t>קובץ קהילת שירה חדשה</t>
  </si>
  <si>
    <t>שירו לו זמרו לו</t>
  </si>
  <si>
    <t>שירו למלך - שיר השירים</t>
  </si>
  <si>
    <t>שירות דודים</t>
  </si>
  <si>
    <t>טרנוב (גליציה) Tarn</t>
  </si>
  <si>
    <t>שירי אברהם הברדשי ויצחק הגרני וחוגם</t>
  </si>
  <si>
    <t>שירי אמיתי</t>
  </si>
  <si>
    <t>שירי בר יוחאי</t>
  </si>
  <si>
    <t>תיקונים. ל"ג בעומר. תרצ"ג. ירושלים</t>
  </si>
  <si>
    <t>שירי דוד</t>
  </si>
  <si>
    <t>אמסלם, יוסף - אמסלם, דוד</t>
  </si>
  <si>
    <t>שירי דוד - 4 כר'</t>
  </si>
  <si>
    <t>שירי הבקשות לשבת קודש &lt;עם ביאורים&gt;</t>
  </si>
  <si>
    <t>שירי הלוי - מועדים</t>
  </si>
  <si>
    <t>קלאגסברוין, יואל הלוי</t>
  </si>
  <si>
    <t>מאנסי ניו יורק</t>
  </si>
  <si>
    <t>שירי המנגינה הזאת</t>
  </si>
  <si>
    <t>שירי המנחה - 2 כר'</t>
  </si>
  <si>
    <t>ארנטרוי, חנוך הכהן</t>
  </si>
  <si>
    <t>הלכה ומנהג, משנה, משנה, שלחן ערוך ומפרשיו, תלמוד בבלי, תלמוד בבלי, תלמוד בבלי, תנ"ך</t>
  </si>
  <si>
    <t>שירי הנפש</t>
  </si>
  <si>
    <t>שירי הקודש ליהודי קשטוריה</t>
  </si>
  <si>
    <t>שירי זמרה השלם</t>
  </si>
  <si>
    <t>עבוד, חיים שאול בן אברהם</t>
  </si>
  <si>
    <t>שירי זמרה</t>
  </si>
  <si>
    <t>סלאמא, יוסף</t>
  </si>
  <si>
    <t>שירי חופה חדשים לרמח"ל</t>
  </si>
  <si>
    <t>שירי חיים וצדק</t>
  </si>
  <si>
    <t>קרוננבלאט, חיים צבי דוב (הירש בר) בן בנימין אריה</t>
  </si>
  <si>
    <t>שירי טהרה - חידושי הרמ"ל</t>
  </si>
  <si>
    <t>אריק, מאיר בן אהרן יהודה - שטיין מנחם מענדל ליפא</t>
  </si>
  <si>
    <t>שירי יצחק בן שלמה אלחדאב</t>
  </si>
  <si>
    <t>רענן, אורה</t>
  </si>
  <si>
    <t>שירי מוסר השכל - 2 כר'</t>
  </si>
  <si>
    <t>שירי מלחמה</t>
  </si>
  <si>
    <t>שירי מנחה</t>
  </si>
  <si>
    <t>פעלזבורג, בנימין בן אברהם</t>
  </si>
  <si>
    <t>שירי מצות - 2 כר'</t>
  </si>
  <si>
    <t>שירי משה בן יעקב אבן עזרא - שירי חול</t>
  </si>
  <si>
    <t>אבן עזרא, משה בן יעקב</t>
  </si>
  <si>
    <t>שירי ציון</t>
  </si>
  <si>
    <t>כהן, בן ציון</t>
  </si>
  <si>
    <t>תרצ"ג-ת"ש בערך</t>
  </si>
  <si>
    <t>שירי קודש</t>
  </si>
  <si>
    <t>סעדון, דוד בן מרדכי</t>
  </si>
  <si>
    <t>שירי ר' אהרן אלעמאני</t>
  </si>
  <si>
    <t>אלעמאני, אהרן</t>
  </si>
  <si>
    <t>שירי ר' שלם שבזי &lt;ביבליוגרפיה&gt;</t>
  </si>
  <si>
    <t>שירי רבי יואל משה סלומון ז"ל</t>
  </si>
  <si>
    <t>שירי רבי יחיאל בן הרא"ש</t>
  </si>
  <si>
    <t>שירי רבי יצחק אבן גיאת</t>
  </si>
  <si>
    <t>שירי שירים</t>
  </si>
  <si>
    <t>נושאים שונים, נושאים שונים, שאלות ותשובות, תולדות עם ישראל</t>
  </si>
  <si>
    <t>שירי שלמה בן יהודה אבן גבירול - 5 כר'</t>
  </si>
  <si>
    <t>שירי שלמה</t>
  </si>
  <si>
    <t>שירי שמחות</t>
  </si>
  <si>
    <t>שירי תהילה - ליל שבת</t>
  </si>
  <si>
    <t>רביץ, שלמה</t>
  </si>
  <si>
    <t>שירי תהלה</t>
  </si>
  <si>
    <t>בוכנר, זאב וולף בן דוד הכהן</t>
  </si>
  <si>
    <t>שירי תימן</t>
  </si>
  <si>
    <t>סינסינטי Cincinnati</t>
  </si>
  <si>
    <t>שירים גנוזים - שירים חדשים מגניזת קהיר</t>
  </si>
  <si>
    <t>טובי, יוסף - אלוני נחמיה</t>
  </si>
  <si>
    <t>שירים וחיזוקים &lt;מהדורה חדשה&gt;</t>
  </si>
  <si>
    <t>שירים וחיזוקים</t>
  </si>
  <si>
    <t>שירים חדשים לרבי שלום שבזי</t>
  </si>
  <si>
    <t>שירים ליום חתונתו של רמח"ל</t>
  </si>
  <si>
    <t>שירים של שבת</t>
  </si>
  <si>
    <t>קנאפפלער, יצחק נפתלי (מו"ל)</t>
  </si>
  <si>
    <t>שירים - אבן-עזרא, יצחק בן אברהם</t>
  </si>
  <si>
    <t>אבן-עזרא, יצחק בן אברהם</t>
  </si>
  <si>
    <t>שירים - שבחות בקשות ופזמונים</t>
  </si>
  <si>
    <t>שירים</t>
  </si>
  <si>
    <t>שירת אומה לארצה</t>
  </si>
  <si>
    <t>שירת אריאל</t>
  </si>
  <si>
    <t>שירת בן הלוי - 2 כר'</t>
  </si>
  <si>
    <t>שירת דבורה</t>
  </si>
  <si>
    <t>ספר זכרון לרבנית דבורה שטרנבוך</t>
  </si>
  <si>
    <t>שירת דוד</t>
  </si>
  <si>
    <t>גוזלן, שי בן דוד</t>
  </si>
  <si>
    <t>שירת דוד - 7 כר'</t>
  </si>
  <si>
    <t>רוטנברג -מזובצקי, דוד</t>
  </si>
  <si>
    <t>שיינין, דוד</t>
  </si>
  <si>
    <t>שירת האזינו</t>
  </si>
  <si>
    <t>שמואל, ר</t>
  </si>
  <si>
    <t>שירת האמונה במשעולי גאולה</t>
  </si>
  <si>
    <t>שירת האש - 3 כר'</t>
  </si>
  <si>
    <t>שירת הידידות</t>
  </si>
  <si>
    <t>חדד, רחמים בן שלמה</t>
  </si>
  <si>
    <t>שירת הים</t>
  </si>
  <si>
    <t>הורביץ, ישעיהו משה הלוי</t>
  </si>
  <si>
    <t>שירת הים - קריעת ים סוף ופרשת השירה</t>
  </si>
  <si>
    <t>שירת הים - 7 כר'</t>
  </si>
  <si>
    <t>שירת הכרם</t>
  </si>
  <si>
    <t>שירת הכרם - בבא קמא</t>
  </si>
  <si>
    <t>רבני ישיבת כרם ביבנה</t>
  </si>
  <si>
    <t>שירת הלב</t>
  </si>
  <si>
    <t>שירת הלווים - פסחים</t>
  </si>
  <si>
    <t>וולפסון, ידידיה בן אביעזר שמעון יוסף הלוי</t>
  </si>
  <si>
    <t>שירת הלוי - 3 כר'</t>
  </si>
  <si>
    <t>במברגר, משה בן צבי הלוי</t>
  </si>
  <si>
    <t>שירת המאור - פיוטי רבי זרחיה הלוי</t>
  </si>
  <si>
    <t>זרחיה בן יצחק הלוי גירונדי (רז"ה) - מייזליש יצחק (מהדיר)</t>
  </si>
  <si>
    <t>שירת המועדות</t>
  </si>
  <si>
    <t>שירת המצוות - אזהרות רבינו אליהו הזקן</t>
  </si>
  <si>
    <t>רבינו אליהו הזקן - מייזליש, יצחק</t>
  </si>
  <si>
    <t>שירת העומר</t>
  </si>
  <si>
    <t>שירת הקודש של נשים מהאי ג'רבא שבתוניסיה</t>
  </si>
  <si>
    <t>גז-אביגיל, מרים</t>
  </si>
  <si>
    <t>שירת הרוקח</t>
  </si>
  <si>
    <t>אלעזר בן יהודה מגרמיזא - מייזליש, יצחק</t>
  </si>
  <si>
    <t>שירת התורה - א</t>
  </si>
  <si>
    <t>שירת חיי</t>
  </si>
  <si>
    <t>פינק, הרשל</t>
  </si>
  <si>
    <t>שירת יהודה</t>
  </si>
  <si>
    <t>שירת יהודה - שירת הבאר</t>
  </si>
  <si>
    <t>פרדסון, יהודה אריה יצחק</t>
  </si>
  <si>
    <t>שירת יונה</t>
  </si>
  <si>
    <t>שירת יעקב - פיוטים וסליחות נוסח אשכנז ואלזס</t>
  </si>
  <si>
    <t>שירת יצחק</t>
  </si>
  <si>
    <t>שירת ישראל באי כרתים</t>
  </si>
  <si>
    <t>שירת ישראל בתימן - 2 כר'</t>
  </si>
  <si>
    <t>הלוי, רצון</t>
  </si>
  <si>
    <t>שירת ישראל - 2 כר'</t>
  </si>
  <si>
    <t>שירת ישראל</t>
  </si>
  <si>
    <t>קופילוביץ, יששכר יהודה הכהן</t>
  </si>
  <si>
    <t>שירת מרים</t>
  </si>
  <si>
    <t>שירת משה השלם</t>
  </si>
  <si>
    <t>שירת משה - 2 כר'</t>
  </si>
  <si>
    <t>שירת משה</t>
  </si>
  <si>
    <t>מייזלש, משה בן מרדכי</t>
  </si>
  <si>
    <t>[תקמ"ח,</t>
  </si>
  <si>
    <t>שירת משולם</t>
  </si>
  <si>
    <t>שירת נתן - 2 כר'</t>
  </si>
  <si>
    <t>מאי, אשר דוד בן נתן</t>
  </si>
  <si>
    <t>שירת עדרי רחלים</t>
  </si>
  <si>
    <t>שירת ציון - שירת הלוים</t>
  </si>
  <si>
    <t>שירת רבינו תם</t>
  </si>
  <si>
    <t>יעקב בן מאיר (רבינו תם) - מייזליש, יצחק</t>
  </si>
  <si>
    <t>שירת שלום</t>
  </si>
  <si>
    <t>ווייס, יצחק שלום בן פנחס זעליג</t>
  </si>
  <si>
    <t>שירת שלמה</t>
  </si>
  <si>
    <t>אפל, שלמה בן יחזקאל בן-ציון הלוי</t>
  </si>
  <si>
    <t>יצחקי, שלמה בן גרשון</t>
  </si>
  <si>
    <t>שירת שמואל</t>
  </si>
  <si>
    <t>מאנטל, פרץ שמואל בן ישראל הלוי</t>
  </si>
  <si>
    <t>קרישר, שמואל יעקב</t>
  </si>
  <si>
    <t>שירתא דפסחא</t>
  </si>
  <si>
    <t>שישו ושמחו - שמחת חתן</t>
  </si>
  <si>
    <t>בלוי, נתן בנימין - פרידמן שלמה זלמן</t>
  </si>
  <si>
    <t>שכ"ם אחד - תולדות רבי משה סופר</t>
  </si>
  <si>
    <t>דייטש, שמעון</t>
  </si>
  <si>
    <t>שכב כארי</t>
  </si>
  <si>
    <t>שכונות בירושלים - 2 כר'</t>
  </si>
  <si>
    <t>שכונת הר חומה בירושלים</t>
  </si>
  <si>
    <t>שכונת רמות ותחומה</t>
  </si>
  <si>
    <t>שכחת לקט - 3 כר'</t>
  </si>
  <si>
    <t>בון, נתן בן יצחק יעקב</t>
  </si>
  <si>
    <t>שכיות החמדה</t>
  </si>
  <si>
    <t>תיקונים. ימי ניסן. תקל"ב</t>
  </si>
  <si>
    <t>תיקונים. ימי ניסן. תקע"א</t>
  </si>
  <si>
    <t>תיקונים. ימי ניסן. תרט"ו</t>
  </si>
  <si>
    <t>שכינה בינהם</t>
  </si>
  <si>
    <t>שכינה ביניהם</t>
  </si>
  <si>
    <t>שכינה ביניהם - 2 כר'</t>
  </si>
  <si>
    <t>חדד, ניסים</t>
  </si>
  <si>
    <t>שכל טוב &lt;המבואר&gt; - 2 כר'</t>
  </si>
  <si>
    <t>שכל טוב &lt;מהדורה חדשה&gt;</t>
  </si>
  <si>
    <t>שכל טוב &lt;הלכה&gt;</t>
  </si>
  <si>
    <t>מנחם בן שלמה</t>
  </si>
  <si>
    <t>שכל טוב</t>
  </si>
  <si>
    <t>שכל טוב - 2 כר'</t>
  </si>
  <si>
    <t>רפאפורט, שמחה בן נחמן הכהן</t>
  </si>
  <si>
    <t>שכר ועונש - 6 כר'</t>
  </si>
  <si>
    <t>שכר ועונש</t>
  </si>
  <si>
    <t>הכהן, ישעיהו בן אליעזר</t>
  </si>
  <si>
    <t>שכר מצוה</t>
  </si>
  <si>
    <t>שכר מצווה מצווה - טעמי המצוות</t>
  </si>
  <si>
    <t>שכר שכיר - 6 כר'</t>
  </si>
  <si>
    <t>מאיר, יששכר</t>
  </si>
  <si>
    <t>שכרו אתו</t>
  </si>
  <si>
    <t>שלבים בהקניית הקריאה</t>
  </si>
  <si>
    <t>שלהבת אש</t>
  </si>
  <si>
    <t>בידרמן, אלתר אלעזר מנחם בן משה מרדכי</t>
  </si>
  <si>
    <t>שלהבת יוסף חי</t>
  </si>
  <si>
    <t>שלהבת קודש - 2 כר'</t>
  </si>
  <si>
    <t>רבינוביץ, ירחמיאל - רבינוביץ, נתן דוד</t>
  </si>
  <si>
    <t>שלהבת קודש</t>
  </si>
  <si>
    <t>שטלצברג, משה יצחק</t>
  </si>
  <si>
    <t>שלהבת שמואל - 4 כר'</t>
  </si>
  <si>
    <t>טוביאס, שמואל</t>
  </si>
  <si>
    <t>שלהבת - 4 כר'</t>
  </si>
  <si>
    <t>ירחון לנוער ע"י מפעל תורה ודעת</t>
  </si>
  <si>
    <t>שלהי דקייטא</t>
  </si>
  <si>
    <t>שלווה בארמנותינו</t>
  </si>
  <si>
    <t>שלוחא דרחמנא</t>
  </si>
  <si>
    <t>שלוחי ארץ ישראל בתירייא</t>
  </si>
  <si>
    <t>שלוחי ארץ ישראל</t>
  </si>
  <si>
    <t>שלוים מן הים</t>
  </si>
  <si>
    <t>נטר, יעקב מרדכי בן שלמה</t>
  </si>
  <si>
    <t>שלום אהלך</t>
  </si>
  <si>
    <t>שלום אסתר - 2 כר'</t>
  </si>
  <si>
    <t>גרשון, יצחק בן מרדכי</t>
  </si>
  <si>
    <t>שמ"-</t>
  </si>
  <si>
    <t>שלום באהליך</t>
  </si>
  <si>
    <t>קונסטנטין, אמיר</t>
  </si>
  <si>
    <t>שלום באהלך</t>
  </si>
  <si>
    <t>סגל, דן זאב</t>
  </si>
  <si>
    <t>שלום באהלך, בני יוסף</t>
  </si>
  <si>
    <t>שלום בארץ</t>
  </si>
  <si>
    <t>שלום בוניך</t>
  </si>
  <si>
    <t>חשס"א</t>
  </si>
  <si>
    <t>שלום בית ה'</t>
  </si>
  <si>
    <t>בית המדרש המרכזי דרכי איש</t>
  </si>
  <si>
    <t>שלום בית</t>
  </si>
  <si>
    <t>שלום במרומיו</t>
  </si>
  <si>
    <t>קוסציץ, שלום בן ברוך מרדכי</t>
  </si>
  <si>
    <t>שלום בן יוסף שבזי</t>
  </si>
  <si>
    <t>שלום בנייך</t>
  </si>
  <si>
    <t>שלום בניך</t>
  </si>
  <si>
    <t>משפחת קליין</t>
  </si>
  <si>
    <t>שלום בניך - 5 כר'</t>
  </si>
  <si>
    <t>שלום דוד - 2 כר'</t>
  </si>
  <si>
    <t>תרס"ט - תרע"ו</t>
  </si>
  <si>
    <t>שלום וצדק</t>
  </si>
  <si>
    <t>שלום ורעות</t>
  </si>
  <si>
    <t>מלכה, יפה</t>
  </si>
  <si>
    <t>שלום ושלוה - 5 כר'</t>
  </si>
  <si>
    <t>שלום יהודה - 3 כר'</t>
  </si>
  <si>
    <t>פלצינסקי, אליעזר מנוח</t>
  </si>
  <si>
    <t>שלום יוסף - בפסוקי התורה</t>
  </si>
  <si>
    <t>שלום יעקב</t>
  </si>
  <si>
    <t>שלום יצחק</t>
  </si>
  <si>
    <t>כולל שלום יצחק</t>
  </si>
  <si>
    <t>שלום ירושלים &lt;מהדורה חדשה&gt;</t>
  </si>
  <si>
    <t>שלום ירושלים - 2 כר'</t>
  </si>
  <si>
    <t>בית המדרש שלום ירושלים</t>
  </si>
  <si>
    <t>שלום ירושלים</t>
  </si>
  <si>
    <t>שלום ירושלים - יומא ה</t>
  </si>
  <si>
    <t>רבני בית המדרש הגבוה שלום ירושלים</t>
  </si>
  <si>
    <t>שלום ירושלם</t>
  </si>
  <si>
    <t>שלום לעם - 2 כר'</t>
  </si>
  <si>
    <t>שלום לעם</t>
  </si>
  <si>
    <t>כאסכי, שלום בן חלפון</t>
  </si>
  <si>
    <t>שלום עבדו - תולדות רבי שלמה דרמר</t>
  </si>
  <si>
    <t>בלוי, שלמה ברוך</t>
  </si>
  <si>
    <t>שלום רב</t>
  </si>
  <si>
    <t>אלבז, שלום בן חיים</t>
  </si>
  <si>
    <t>שלום רב - 3 כר'</t>
  </si>
  <si>
    <t>ווייצמאן, בצלאל בן שלום סופר</t>
  </si>
  <si>
    <t>תרפ"ט - תרצ"ז</t>
  </si>
  <si>
    <t>שלום שלום ואין שלום</t>
  </si>
  <si>
    <t>שלוניקי - 2 כר'</t>
  </si>
  <si>
    <t>שלוש הבטחות של הרמ"ע מפאנו</t>
  </si>
  <si>
    <t>שלוש מגילות ותהלים &lt;ע"פ רש"ג ותפסיר רס"ג, כת"י&gt;</t>
  </si>
  <si>
    <t>סעדיה בן יוסף גאון - גמליאל, סעדיה בן שלום</t>
  </si>
  <si>
    <t>שלוש קדושות</t>
  </si>
  <si>
    <t>קלוש, צבי אלימלך</t>
  </si>
  <si>
    <t>שלוש שעות הושענא</t>
  </si>
  <si>
    <t>שלושה כרוזים</t>
  </si>
  <si>
    <t>כהנא, יצחק זאב</t>
  </si>
  <si>
    <t>שלושים יום קודם החג - 2 כר'</t>
  </si>
  <si>
    <t>שלח תשלח - 2 כר'</t>
  </si>
  <si>
    <t>וינברגר, נפתלי יחיאל בן שלמה אברהם</t>
  </si>
  <si>
    <t>שלחן א"ש</t>
  </si>
  <si>
    <t>נובה זמקי Nove Zamk</t>
  </si>
  <si>
    <t>שלחן אליהו</t>
  </si>
  <si>
    <t>שלחן ארבע - 3 כר'</t>
  </si>
  <si>
    <t>שלחן ארזים</t>
  </si>
  <si>
    <t>בן שלמה, א.</t>
  </si>
  <si>
    <t>שלחן גבוה &lt;מהדורת אור ודרך&gt; - 7 כר'</t>
  </si>
  <si>
    <t>שלחן גבוה - 5 כר'</t>
  </si>
  <si>
    <t>שלחן הזהב</t>
  </si>
  <si>
    <t>חזן, שלמה בן אלעזר</t>
  </si>
  <si>
    <t>שלחן הטהור המזוקק</t>
  </si>
  <si>
    <t>פארדו, יוסף בן דוד</t>
  </si>
  <si>
    <t>שלחן הטהור - 3 כר'</t>
  </si>
  <si>
    <t>אזולאי, ניסים זרחיה בן אברהם</t>
  </si>
  <si>
    <t>שלחן הטהור</t>
  </si>
  <si>
    <t>הולנדר, בנימין אליהו בן ישעיהו</t>
  </si>
  <si>
    <t>ניקלשפורג, צבי הירש</t>
  </si>
  <si>
    <t>שלחן הטהור - 2 כר'</t>
  </si>
  <si>
    <t>שלחן הלבבות</t>
  </si>
  <si>
    <t>שלחן הלוי - א</t>
  </si>
  <si>
    <t>בעלסקי, ישראל הלוי</t>
  </si>
  <si>
    <t>שלחן המבואר - 3 כר'</t>
  </si>
  <si>
    <t>פיעטרקובסקי, אברהם חנוך העניך בן עקיבא הלוי</t>
  </si>
  <si>
    <t>שלחן המגדים</t>
  </si>
  <si>
    <t>שלחן המלך</t>
  </si>
  <si>
    <t>בן עזרא, יוסף בן חיים משה</t>
  </si>
  <si>
    <t>שלחן המלך - 2 כר'</t>
  </si>
  <si>
    <t>לאניאדו, שמואל בן שלמה</t>
  </si>
  <si>
    <t>שלחן המערכה - 2 כר'</t>
  </si>
  <si>
    <t>שלחן המערכות בסתרי החכמה - 3 כר'</t>
  </si>
  <si>
    <t>שלחן המערכת - 2 כר'</t>
  </si>
  <si>
    <t>שלחן המערכת</t>
  </si>
  <si>
    <t>נוטוביץ, יצחק בן ראובן</t>
  </si>
  <si>
    <t>שלחן המפורש</t>
  </si>
  <si>
    <t>שלחן הסדר</t>
  </si>
  <si>
    <t>שלחן העזר - 2 כר'</t>
  </si>
  <si>
    <t>שלחן הקצר - חול המועד</t>
  </si>
  <si>
    <t>שלחן הקריאה - 2 כר'</t>
  </si>
  <si>
    <t>שלחן השלם - 3 כר'</t>
  </si>
  <si>
    <t>שלחן זהב - פסח</t>
  </si>
  <si>
    <t>שלחן חי - 2 כר'</t>
  </si>
  <si>
    <t>אידלסברג, חיים יעקב בן ירמיהו</t>
  </si>
  <si>
    <t>שלחן חיים - שבת קודש</t>
  </si>
  <si>
    <t>שלחן טהור</t>
  </si>
  <si>
    <t>פארדו, דוד בן יוסף</t>
  </si>
  <si>
    <t>שלחן טהרה - זהב טהור</t>
  </si>
  <si>
    <t>ספרין, יצחק אייזיק יהודה יחיאל בן אלכסנדר סנדר מקומרנא - קרויס ,ישעיהו מאיר</t>
  </si>
  <si>
    <t>שלחן יוסף - 2 כר'</t>
  </si>
  <si>
    <t>שלחן ישראל</t>
  </si>
  <si>
    <t>שלחן לחם הפנים - 2 כר'</t>
  </si>
  <si>
    <t>שלחן מלכים - 2 כר'</t>
  </si>
  <si>
    <t>בר שלום, בנימין משה בן יוסף</t>
  </si>
  <si>
    <t>שלחן מלכים</t>
  </si>
  <si>
    <t>שלחן מלכים - 3 כר'</t>
  </si>
  <si>
    <t>ליקוטים מספרי רבוה"ק לבית ויזניץ קאסוב</t>
  </si>
  <si>
    <t>שלחן מלכים - 5 כר'</t>
  </si>
  <si>
    <t>שלחן מנחם</t>
  </si>
  <si>
    <t>מונדרר, מנחם מענדיל</t>
  </si>
  <si>
    <t>שלחן מרדכי</t>
  </si>
  <si>
    <t>בלינוב, מרדכי</t>
  </si>
  <si>
    <t>שלחן משה</t>
  </si>
  <si>
    <t>ושדי, משה</t>
  </si>
  <si>
    <t>שלחן משה - 2 כר'</t>
  </si>
  <si>
    <t>שלחן נגד צוררי</t>
  </si>
  <si>
    <t>שלחן עורך - פריה ורביה</t>
  </si>
  <si>
    <t>שלחן עורך - 3 כר'</t>
  </si>
  <si>
    <t>עיון הלכה ולמעשה מתוך האנציקלופדיה התלמודית</t>
  </si>
  <si>
    <t>שלחן עצי שטים &lt;מהדורה חדשה&gt; - אמרי חיים</t>
  </si>
  <si>
    <t>שלמה בן משה מחלמא - קראוס, צבי מאיר בן חיים</t>
  </si>
  <si>
    <t>שלחן עצי שטים</t>
  </si>
  <si>
    <t>שלחן ערוך &lt;פתחי תשובה, נחלת צבי&gt; - 2 כר'</t>
  </si>
  <si>
    <t>אייזנשטאט, אברהם צבי הירש בן יעקב</t>
  </si>
  <si>
    <t>שלחן ערוך &lt;נותן טעם&gt; - בשר בחלב, תערובות</t>
  </si>
  <si>
    <t>שלחן ערוך &lt;תרגומא דקרא&gt; - חלה ומעשרות</t>
  </si>
  <si>
    <t>שלחן ערוך &lt;פרי עץ חיים&gt; - שחיטה וטריפות</t>
  </si>
  <si>
    <t>טנזי, שלמה חיים</t>
  </si>
  <si>
    <t>שלחן ערוך &lt;דרך השולחן&gt; - הלכות הרחקות</t>
  </si>
  <si>
    <t>יענקלביץ, אשר חנוך בן אהרן</t>
  </si>
  <si>
    <t>שלחן ערוך &lt;מקוצר ונערך ומבואר&gt;</t>
  </si>
  <si>
    <t>לבנר, ישראל בנימין בן משה</t>
  </si>
  <si>
    <t>שלחן ערוך &lt;האר"י&gt;</t>
  </si>
  <si>
    <t>שלחן ערוך &lt;באר רחובות&gt; - 3 כר'</t>
  </si>
  <si>
    <t>פיינברג, גבריאל בן אריה</t>
  </si>
  <si>
    <t>שלחן ערוך &lt;ליקוטים טובים&gt; - או"ח</t>
  </si>
  <si>
    <t>שלחן ערוך &lt;הרגיל&gt; - 10 כר'</t>
  </si>
  <si>
    <t>תרמ"ב - תרנ"ג</t>
  </si>
  <si>
    <t>שלחן ערוך &lt;וורשא&gt; - 3 כר'</t>
  </si>
  <si>
    <t>שלחן ערוך &lt;ונציה&gt; - 4 כר'</t>
  </si>
  <si>
    <t>שכ"ה - שכ"ו</t>
  </si>
  <si>
    <t>שלחן ערוך &lt;טקסט&gt;</t>
  </si>
  <si>
    <t>שלחן ערוך &lt;מנטובה&gt; - 4 כר'</t>
  </si>
  <si>
    <t>תפ"ב - תפ"ג</t>
  </si>
  <si>
    <t>שלחן ערוך &lt;קראקא&gt; - 3 כר'</t>
  </si>
  <si>
    <t>של"ח - שמ</t>
  </si>
  <si>
    <t>שלחן ערוך (קרקוב שע"ו) - או"ח</t>
  </si>
  <si>
    <t>שע"ו-ש"ף</t>
  </si>
  <si>
    <t>שלחן ערוך אבן העזר &lt;זאלקווה ת"ר&gt;</t>
  </si>
  <si>
    <t>שלחן ערוך אבן העזר עם מטעמים ומעדנים - 2 כר'</t>
  </si>
  <si>
    <t>שלחן ערוך או"ח &lt;פתחי עולם, מטעמי השלחן&gt; - 2 כר'</t>
  </si>
  <si>
    <t>שלחן ערוך אורח חיים &lt;מאסף לכל המחנות&gt; - 2 כר'</t>
  </si>
  <si>
    <t>שלחן ערוך אורח חיים &lt;מלבושי שבת&gt;</t>
  </si>
  <si>
    <t>שלחן ערוך אורח חיים &lt;טעם מגדים, ליקוטי מגדים, בדי השלחן&gt; - א</t>
  </si>
  <si>
    <t>תרצ"ד - תרצ"ט</t>
  </si>
  <si>
    <t>שלחן ערוך אורח חיים &lt;באר יעקב&gt; - 5 כר'</t>
  </si>
  <si>
    <t>קרויזר, חיים יעקב - קארו, יוסף בן אפרים</t>
  </si>
  <si>
    <t>שלחן ערוך האר"י ז"ל &lt;דפו"ר&gt;</t>
  </si>
  <si>
    <t>שלחן ערוך האר"י ז"ל</t>
  </si>
  <si>
    <t>שלחן ערוך האר"י</t>
  </si>
  <si>
    <t>שלחן ערוך האריז"ל המדויק &lt;שלחן אריאל&gt;</t>
  </si>
  <si>
    <t>לוריא, יצחק בן שלמה - מלאכי, ינון בן יצחק</t>
  </si>
  <si>
    <t>הלכה ומנהג, קבלה, שלחן ערוך ומפרשיו</t>
  </si>
  <si>
    <t>שלחן ערוך הזהר - 28 כר'</t>
  </si>
  <si>
    <t>צינוירט, אברהם אביש</t>
  </si>
  <si>
    <t>תשנ"ג - תשס"ג</t>
  </si>
  <si>
    <t>שלחן ערוך המדות - 3 כר'</t>
  </si>
  <si>
    <t>שלחן ערוך המקוצר - 8 כר'</t>
  </si>
  <si>
    <t>שלחן ערוך הרב &lt;מעשה חושב&gt;, מסילות שבת</t>
  </si>
  <si>
    <t>שנבלג, יצחק בן אברהם זאב</t>
  </si>
  <si>
    <t>שלחן ערוך הרב הל' שבת עם ביאור נימוקי שבת</t>
  </si>
  <si>
    <t>שלחן ערוך הרב עם עיונים וביאורים</t>
  </si>
  <si>
    <t>שניאור זלמן מלאדי - דאווידוביטש, אברהם מרדכי</t>
  </si>
  <si>
    <t>שלחן ערוך הרב עם ציונים והערות - הלכות רבית</t>
  </si>
  <si>
    <t>שניאור זלמן בן ברוך מלאדי - שולם, עמוס</t>
  </si>
  <si>
    <t>שלחן ערוך הרב - הלכות ריבית &lt;במשנת הרב&gt;</t>
  </si>
  <si>
    <t>שלחן ערוך הרב - 14 כר'</t>
  </si>
  <si>
    <t>שלחן ערוך חושן משפט &lt;הגהות רעק"א בסופו&gt; - 2 כר'</t>
  </si>
  <si>
    <t>שלחן ערוך חקי חיים</t>
  </si>
  <si>
    <t>שלחן ערוך יורה דעה &lt;לעמברג&gt; - קובץ מפרשים</t>
  </si>
  <si>
    <t>שלחן ערוך כפשוטו - 5 כר'</t>
  </si>
  <si>
    <t>שלחן ערוך לבני הנעורים</t>
  </si>
  <si>
    <t>תרע"ב אחרי</t>
  </si>
  <si>
    <t>שלחן ערוך מחולק ומסודר ללימוד יום יום כדי לסיימו בשנה אחת - 2 כר'</t>
  </si>
  <si>
    <t>מנדלוביץ, נפתלי הירץ (עורך)</t>
  </si>
  <si>
    <t>שלחן ערוך מטור אבן העזר &lt;פתחי תשובה&gt;</t>
  </si>
  <si>
    <t>תרי"ז-תרכ"א</t>
  </si>
  <si>
    <t>שלחן ערוך מטור אבן העזר - 3 כר'</t>
  </si>
  <si>
    <t>שלחן ערוך מטור אורח חיים &lt;שתילי זיתים&gt; - 2 כר'</t>
  </si>
  <si>
    <t>תרמ"ו - תרנ"א</t>
  </si>
  <si>
    <t>שלחן ערוך ומפרשיו, תפלות בקשות פיוטים ושירה</t>
  </si>
  <si>
    <t>שלחן ערוך מטור יורה דעה &lt;לקט הקמח, פנים חדשות&gt;</t>
  </si>
  <si>
    <t>זכריה מנדל בן אריה ליב מבלז - ישורון, יצחק בן אברהם חיים</t>
  </si>
  <si>
    <t>שלחן ערוך עם ביאור מנחת אליהו - 3 כר'</t>
  </si>
  <si>
    <t>צדוק, אליהו</t>
  </si>
  <si>
    <t>שלחן ערוך קטן</t>
  </si>
  <si>
    <t>שלחן ערוך של מהור"ר אליעזר הקטן - 2 כר'</t>
  </si>
  <si>
    <t>רוויץ, אליעזר ליזר בן יהודה ליב</t>
  </si>
  <si>
    <t>שלחן ערוך של רבינו יצחק לוריא זלל"ה</t>
  </si>
  <si>
    <t>שלחן ערוך - הלכות מלאכות שבת</t>
  </si>
  <si>
    <t>שלחן ערוך - עטרת צבי - נחלת צבי</t>
  </si>
  <si>
    <t>ת"ו - ת"י</t>
  </si>
  <si>
    <t>שלחן ערוך - הלכות תפילה</t>
  </si>
  <si>
    <t>שלחן ערוך - 3 כר'</t>
  </si>
  <si>
    <t>שלחן רבותינו - או"ח</t>
  </si>
  <si>
    <t>צדיקי בית בעלזא</t>
  </si>
  <si>
    <t>שלחן רמ"א - שכירות וקבלנות</t>
  </si>
  <si>
    <t>שלחן שבת &lt;מהדורה חדשה&gt;</t>
  </si>
  <si>
    <t>הכהן, שלמה יהודה בן שבתי</t>
  </si>
  <si>
    <t>שלחן שבת</t>
  </si>
  <si>
    <t>הלכה ומנהג, הלכה ומנהג, מועדי ישראל, תפלות בקשות פיוטים ושירה</t>
  </si>
  <si>
    <t>שמאי, משה יהודה בן יוסף</t>
  </si>
  <si>
    <t>שלחן של ארבע &lt;שתי ידות&gt;</t>
  </si>
  <si>
    <t>בחיי בן אשר אבן חלאוה - עסנער, יצחק</t>
  </si>
  <si>
    <t>שלחן של ארבע - 4 כר'</t>
  </si>
  <si>
    <t>שלחן שלמה &lt;מהדורה חדשה&gt;</t>
  </si>
  <si>
    <t>שלחן שלמה (קצש"ע בתרגום יידיש)</t>
  </si>
  <si>
    <t>שלחן שלמה</t>
  </si>
  <si>
    <t>די מיזה, שלמה בן יצחק</t>
  </si>
  <si>
    <t>שלחן שמואל - 13 כר'</t>
  </si>
  <si>
    <t>שלחנו של אברהם</t>
  </si>
  <si>
    <t>שלטי הגבורים</t>
  </si>
  <si>
    <t>שער-אריה, אברהם בן דוד</t>
  </si>
  <si>
    <t>שלטי הזהב</t>
  </si>
  <si>
    <t>שליח ציבור - 2 כר'</t>
  </si>
  <si>
    <t>אירנשטיין, משה בן חנוך הענך</t>
  </si>
  <si>
    <t>שליחות אליהו</t>
  </si>
  <si>
    <t>אליהו בן בנימין מנוישטאט</t>
  </si>
  <si>
    <t>שלילת גידול בלורית</t>
  </si>
  <si>
    <t>שלימות והשתלמות</t>
  </si>
  <si>
    <t>שלל שמים</t>
  </si>
  <si>
    <t>שלמא בעלמא</t>
  </si>
  <si>
    <t>פרץ, משה בן מיכאל</t>
  </si>
  <si>
    <t>שלמא דרבי מאיר</t>
  </si>
  <si>
    <t>אלמאש, מאיר</t>
  </si>
  <si>
    <t>שלמה בן יוסף הי"ד</t>
  </si>
  <si>
    <t>כ"ה שנה לעלייתו לגרדום</t>
  </si>
  <si>
    <t>שלמה חדשה - 3 כר'</t>
  </si>
  <si>
    <t>שלמה לאברהם</t>
  </si>
  <si>
    <t>בינג, אברהם הלוי</t>
  </si>
  <si>
    <t>שלמה מול אדר</t>
  </si>
  <si>
    <t>צאהלין, שמואל אריה (זאנוויל ליב) בן אלי</t>
  </si>
  <si>
    <t>שלמה משנתו</t>
  </si>
  <si>
    <t>הופמן, שלמה</t>
  </si>
  <si>
    <t>ראקובסקי, עזריאל אריה ליב בן אברהם אבלי</t>
  </si>
  <si>
    <t>שלמות הבית</t>
  </si>
  <si>
    <t>כהן, יוסף בן שמעון</t>
  </si>
  <si>
    <t>קושלבסקי, חנינא</t>
  </si>
  <si>
    <t>שלמי אברהם - 2 כר'</t>
  </si>
  <si>
    <t>שלמי אהבה</t>
  </si>
  <si>
    <t>בסקין, אבשלום בן דוד צבי</t>
  </si>
  <si>
    <t>פלורידא</t>
  </si>
  <si>
    <t>שלמי בכורים - ב</t>
  </si>
  <si>
    <t>ישיבת הליכות שלמה</t>
  </si>
  <si>
    <t>שלמי בנימין - 3 כר'</t>
  </si>
  <si>
    <t>מישאלי, בנימין</t>
  </si>
  <si>
    <t>שלמי ברוך - 2 כר'</t>
  </si>
  <si>
    <t>הופנר, ברוך שלום בן דניאל אליעזר</t>
  </si>
  <si>
    <t>שלמי דבורה - 3 כר'</t>
  </si>
  <si>
    <t>שלמי דוד</t>
  </si>
  <si>
    <t>לוין, דוד מאיר בן שלום</t>
  </si>
  <si>
    <t>שלמי דעה - טהרות</t>
  </si>
  <si>
    <t>בנימיני, שלמה בן יוסף</t>
  </si>
  <si>
    <t>שלמי דעה - 2 כר'</t>
  </si>
  <si>
    <t>פרידמן, יוסף שלמה הכהן</t>
  </si>
  <si>
    <t>שלמי הלוי</t>
  </si>
  <si>
    <t>שלמי המועדים</t>
  </si>
  <si>
    <t>מורגנשטרן, שלמה יצחק</t>
  </si>
  <si>
    <t>שלמי זאב</t>
  </si>
  <si>
    <t>גלוסקינוס, זאב</t>
  </si>
  <si>
    <t>שלמי חגיגה</t>
  </si>
  <si>
    <t>שלמי חגיגה - 2 כר'</t>
  </si>
  <si>
    <t>בריזמן, דוב אהרן בן שמעון</t>
  </si>
  <si>
    <t>שלמי חובה - יורה דעה</t>
  </si>
  <si>
    <t>שלמי חיים &lt;מעדני הפרשה&gt;</t>
  </si>
  <si>
    <t>קלצקין, ישראל אהרן</t>
  </si>
  <si>
    <t>שלמי חיים - 10 כר'</t>
  </si>
  <si>
    <t>ביטון, חיים בן שמעון</t>
  </si>
  <si>
    <t>שלמי חיים</t>
  </si>
  <si>
    <t>שלמי חנוך - 2 כר'</t>
  </si>
  <si>
    <t>רוזנברג, חנוך חיים</t>
  </si>
  <si>
    <t>שלמי טוהר</t>
  </si>
  <si>
    <t>שלמי יהודה - מוקצה</t>
  </si>
  <si>
    <t>הלשטוק, יהודה ליב בן שלמה הלוי</t>
  </si>
  <si>
    <t>שלמי יהונתן - 14 כר'</t>
  </si>
  <si>
    <t>שלמי יום טוב - א</t>
  </si>
  <si>
    <t>פולק, שלמה יום טוב ליפא</t>
  </si>
  <si>
    <t>שלמי יוסף - 25 כר'</t>
  </si>
  <si>
    <t>שלמי יוסף</t>
  </si>
  <si>
    <t>שלמי יוסף - 2 כר'</t>
  </si>
  <si>
    <t>וויסמן, אהרן שלמה</t>
  </si>
  <si>
    <t>שלמי יחזקאל</t>
  </si>
  <si>
    <t>לוינשטיין, יחזקאל - בורשטין, שלמה</t>
  </si>
  <si>
    <t>שלמי יחזקאל - 2 כר'</t>
  </si>
  <si>
    <t>סטפנסקי, יחזקאל בן אליעזר שלמה</t>
  </si>
  <si>
    <t>שלמי יחזקאל - מועדים</t>
  </si>
  <si>
    <t>שלומוביץ, משה יחזקאל בן דוד</t>
  </si>
  <si>
    <t>שלמי יעקב</t>
  </si>
  <si>
    <t>בייטלר, יעקב בן חיים הלוי</t>
  </si>
  <si>
    <t>גולדברג, יעקב שלמה</t>
  </si>
  <si>
    <t>שלמי ירוחם</t>
  </si>
  <si>
    <t>שלמי כהן - 11 כר'</t>
  </si>
  <si>
    <t>כהנוב, שלמה</t>
  </si>
  <si>
    <t>שלמי לוי</t>
  </si>
  <si>
    <t>אושינסקי, יהושע ירוחם בן מרדכי זלמן הלוי</t>
  </si>
  <si>
    <t>שלמי מאיר - 2 כר'</t>
  </si>
  <si>
    <t>יונגרמן, שלום מאיר בן יחיאל מיכאל</t>
  </si>
  <si>
    <t>שלמי מלך - היזק ראיה, הרחקת נזיקין</t>
  </si>
  <si>
    <t>פריבס, שלמה אלימלך</t>
  </si>
  <si>
    <t>שלמי מנחם - 7 כר'</t>
  </si>
  <si>
    <t>שלמי מרדכי - 4 כר'</t>
  </si>
  <si>
    <t>יהב, שלום מרדכי</t>
  </si>
  <si>
    <t>שלמי מרדכי - 2 כר'</t>
  </si>
  <si>
    <t>מובשוביץ, מרדכי שלמה בן דניאל הלוי</t>
  </si>
  <si>
    <t>שלמי משה</t>
  </si>
  <si>
    <t>קובץ ישיבת נעם התורה</t>
  </si>
  <si>
    <t>שלמי משה - 3 כר'</t>
  </si>
  <si>
    <t>קלירס, משה שלמה בן יהודה ליב</t>
  </si>
  <si>
    <t>שלמי משה - 2 כר'</t>
  </si>
  <si>
    <t>שבות, משה בן אברהם</t>
  </si>
  <si>
    <t>שלמי נדבה - 2 כר'</t>
  </si>
  <si>
    <t>אזולאי, חיים יוסף דוד בן רפאל יצחק זרחיה (ליקוט מספריו)</t>
  </si>
  <si>
    <t>קיצה, יחיאל מיכל בן שמואל</t>
  </si>
  <si>
    <t>תקצ"ח-תר"ג</t>
  </si>
  <si>
    <t>שלמי נדרים &lt;מהדורה חדשה&gt;</t>
  </si>
  <si>
    <t>קאפלאן, אלכסנדר סנדר בן זרח הכהן</t>
  </si>
  <si>
    <t>שלמי נדרים</t>
  </si>
  <si>
    <t>שלמי נזיר</t>
  </si>
  <si>
    <t>רוזנפלד, שלמה הכהן בן שמואל שמעלקא</t>
  </si>
  <si>
    <t>שלום שכנא בן חיים הכהן</t>
  </si>
  <si>
    <t>שלמי נחום</t>
  </si>
  <si>
    <t>בורובסקי, נחום שלמה בן יצחק מנדל</t>
  </si>
  <si>
    <t>שלמי ניסן - 4 כר'</t>
  </si>
  <si>
    <t>שלמי נתנאל</t>
  </si>
  <si>
    <t>סלמה, נתנאל בן רפאל</t>
  </si>
  <si>
    <t>שלמי פינחס - 2 כר'</t>
  </si>
  <si>
    <t>וקנין, פינחס</t>
  </si>
  <si>
    <t>שלמי צבור</t>
  </si>
  <si>
    <t>שלמי צדק</t>
  </si>
  <si>
    <t>שלמי קרבן תודה - 2 כר'</t>
  </si>
  <si>
    <t>לוי, דוד משה בן מרדכי משולם</t>
  </si>
  <si>
    <t>שלמי רגלים</t>
  </si>
  <si>
    <t>שלמי רעק"א - מעילה</t>
  </si>
  <si>
    <t>שלמי רש"י - 3 כר'</t>
  </si>
  <si>
    <t>סוקל, שלמה בן ישראל</t>
  </si>
  <si>
    <t>שלמי שלמה - נדרים</t>
  </si>
  <si>
    <t>רקובסקי, שלמה זלמן בן ברוך</t>
  </si>
  <si>
    <t>שלמי שמואל</t>
  </si>
  <si>
    <t>דרושים, שאלות ותשובות, תולדות עם ישראל, תלמוד בבלי, תלמוד בבלי</t>
  </si>
  <si>
    <t>שלמי שמואל - 2 כר'</t>
  </si>
  <si>
    <t>רוט (ארגמן), שמואל</t>
  </si>
  <si>
    <t>שלמי שמחה [גרוס]</t>
  </si>
  <si>
    <t>שלמי שמחה ותודה</t>
  </si>
  <si>
    <t>תר"ץ - הסכ'</t>
  </si>
  <si>
    <t>שלמי שמחה</t>
  </si>
  <si>
    <t>אטלס, זאב בן יהודה יעקב</t>
  </si>
  <si>
    <t>איגוד החבורות פיטסבורג</t>
  </si>
  <si>
    <t>שלמי שמחה - 2 כר'</t>
  </si>
  <si>
    <t>יהודה ליב בן שמחה מזאגר</t>
  </si>
  <si>
    <t>סובל, שלמה</t>
  </si>
  <si>
    <t>שלמי שמחה - 4 כר'</t>
  </si>
  <si>
    <t>פולק, שמחה מנחם הכהן</t>
  </si>
  <si>
    <t>שציגל, צבי אשר בן מאיר</t>
  </si>
  <si>
    <t>שלמי שמחה, שמח לבי</t>
  </si>
  <si>
    <t>שלמי שמעון - 6 כר'</t>
  </si>
  <si>
    <t>שלמי שרה</t>
  </si>
  <si>
    <t>שלמי תבונה</t>
  </si>
  <si>
    <t>קובץ ישיבת גרודנא</t>
  </si>
  <si>
    <t>שלמי תודה - 2 כר'</t>
  </si>
  <si>
    <t>אדרי, משה</t>
  </si>
  <si>
    <t>ביטאן, שלום בן אליהו</t>
  </si>
  <si>
    <t>שלמי תודה</t>
  </si>
  <si>
    <t>דאנה, שלמה בן דוד</t>
  </si>
  <si>
    <t>דרושים, הלכה ומנהג, מועדי ישראל, שלחן ערוך ומפרשיו, תלמוד בבלי, תנ"ך</t>
  </si>
  <si>
    <t>שלמי תודה - על התורה</t>
  </si>
  <si>
    <t>שלמי תודה - 5 כר'</t>
  </si>
  <si>
    <t>שלמת אליהו - 6 כר'</t>
  </si>
  <si>
    <t>אליהו בן שלמה זלמן (הגר"א) - לוונטהל, שלמה מתתיהו בן אברהם</t>
  </si>
  <si>
    <t>שלמת בנימין - 2 כר'</t>
  </si>
  <si>
    <t>שיפמן, בנימין</t>
  </si>
  <si>
    <t>שלמת חיים &lt;מהדורה חדשה&gt;</t>
  </si>
  <si>
    <t>זוננפלד, יוסף חיים בן אברהם שלמה</t>
  </si>
  <si>
    <t>שלמת חיים - 4 כר'</t>
  </si>
  <si>
    <t>שלמת יוסף</t>
  </si>
  <si>
    <t>קראוס, יוסף שלמה בן משה בונם</t>
  </si>
  <si>
    <t>שלמת יוסף - 2 כר'</t>
  </si>
  <si>
    <t>שלש הקדמות להרמב"ם</t>
  </si>
  <si>
    <t>שלש יבבות</t>
  </si>
  <si>
    <t>שלש מאות כסף</t>
  </si>
  <si>
    <t>שלש מגילות &lt;עם תפסיר הרס"ג וביאור המלות הקשות שבתרגום&gt;</t>
  </si>
  <si>
    <t>תנ"ך. תשי"ג. ירושלים</t>
  </si>
  <si>
    <t>שלש מגלות &lt;כת"י&gt;  ע"פ רש"י, רס"ג, ר"י דון יחיא</t>
  </si>
  <si>
    <t>שלש מגילות</t>
  </si>
  <si>
    <t>שלש מצות הרגל</t>
  </si>
  <si>
    <t>שלש עשרה מידות</t>
  </si>
  <si>
    <t>שלש תשובות</t>
  </si>
  <si>
    <t>כפוסי, חיים</t>
  </si>
  <si>
    <t>שלשה גביעים</t>
  </si>
  <si>
    <t>שלשה דורות בירושלים</t>
  </si>
  <si>
    <t>דרוק, משה עקיבה</t>
  </si>
  <si>
    <t>נושאים שונים, נושאים שונים, תולדות עם ישראל, תנ"ך, תפלות בקשות פיוטים ושירה</t>
  </si>
  <si>
    <t>שלשה דורות בישוב</t>
  </si>
  <si>
    <t>סאלומון, מרדכי בן יואל משה</t>
  </si>
  <si>
    <t>שלשה דורות</t>
  </si>
  <si>
    <t>שלשה טורי כסף</t>
  </si>
  <si>
    <t>תר"ס-תרס"ח</t>
  </si>
  <si>
    <t>שלשה כתרים</t>
  </si>
  <si>
    <t>שלשה מאורות הגדולים</t>
  </si>
  <si>
    <t>שלשה ממשפחה אחת</t>
  </si>
  <si>
    <t>קנטרוביץ, אברהם בן משה</t>
  </si>
  <si>
    <t>שלשה ספרי דקדוק</t>
  </si>
  <si>
    <t>שלשה ספרים נפתחים &lt;לתוספתא שביעית&gt;</t>
  </si>
  <si>
    <t>שלשה ספרים נפתחים &lt;על זמירות שבת&gt; - 2 כר'</t>
  </si>
  <si>
    <t>שלשה ספרים נפתחים</t>
  </si>
  <si>
    <t>שלשה ספרים - ספר היראה, אגרת המוסר, דת הנשים &lt;עם הגהות הר"מ ניגרין&gt;</t>
  </si>
  <si>
    <t>שלשה עדרי צאן</t>
  </si>
  <si>
    <t>מנחם מנלי בן יהודה</t>
  </si>
  <si>
    <t>שלשה עולמות - 3 כר'</t>
  </si>
  <si>
    <t>האמבורגר, חיים בן נטע הירש</t>
  </si>
  <si>
    <t>תרצ"ט - תש"ח</t>
  </si>
  <si>
    <t>שלשה פירושים על שיר השירים</t>
  </si>
  <si>
    <t>שלשה פרקים מתוך ספר דרך אמונה</t>
  </si>
  <si>
    <t>שלשה קונטרסים נפתחים</t>
  </si>
  <si>
    <t>שלשה שיטות - סנהדרין פסחים ב"ב</t>
  </si>
  <si>
    <t>אברהם בן יצחק הלוי מלוקאץ'</t>
  </si>
  <si>
    <t>שלשה שירים בלתי-ידועים של ר' יהודה הלוי</t>
  </si>
  <si>
    <t>ת"ש,</t>
  </si>
  <si>
    <t>שלשה שריגים</t>
  </si>
  <si>
    <t>ברים, ישראל</t>
  </si>
  <si>
    <t>יואלסון, אברהם בן אליהו</t>
  </si>
  <si>
    <t>שלשה שריגים - 2 כר'</t>
  </si>
  <si>
    <t>שלשים הספדים</t>
  </si>
  <si>
    <t>שלשלת הזהב - משפחת בריזל ליפשיץ</t>
  </si>
  <si>
    <t>וינשטוק, יאיר -וטליב, נפתלי</t>
  </si>
  <si>
    <t>שלשלת הזהב</t>
  </si>
  <si>
    <t>רוזין סאדיגורה</t>
  </si>
  <si>
    <t>שלשלת היוחסין - 2 כר'</t>
  </si>
  <si>
    <t>טייטלבוים, ישראל מרדכי בן חיים יהודה</t>
  </si>
  <si>
    <t>שלשלת היוחסין</t>
  </si>
  <si>
    <t>שלשלת היחס של משפחת אורנשטיין - ברודא</t>
  </si>
  <si>
    <t>בלבן, מאיר</t>
  </si>
  <si>
    <t>שלשלת הקבלה - 5 כר'</t>
  </si>
  <si>
    <t>אבן-יחיא, גדליה בן יוסף</t>
  </si>
  <si>
    <t>שלשלת זהב</t>
  </si>
  <si>
    <t>רפאפורט-הארטשטיין, מאיר אליעזר בן אברהם</t>
  </si>
  <si>
    <t>שלשלת קאמארנא - אוצר סיפורים ומכתבים</t>
  </si>
  <si>
    <t>שם אבותי - בבא קמא</t>
  </si>
  <si>
    <t>אנגלדר, יעקב בן שלמה הכהו</t>
  </si>
  <si>
    <t>שם אבותי - 6 כר'</t>
  </si>
  <si>
    <t>שם אהרן</t>
  </si>
  <si>
    <t>שם אליהו</t>
  </si>
  <si>
    <t>דוידוביץ, אליהו בן דוד</t>
  </si>
  <si>
    <t>שם אליעזר - 2 כר'</t>
  </si>
  <si>
    <t>פיש, אליעזר בן משה</t>
  </si>
  <si>
    <t>דרושים, משנה, תולדות עם ישראל, תולדות עם ישראל, תלמוד בבלי, תנ"ך, תנ"ך</t>
  </si>
  <si>
    <t>שם אנוש - 2 כר'</t>
  </si>
  <si>
    <t>שם אפרים &lt;עם הגהות יד ושם&gt;</t>
  </si>
  <si>
    <t>מרגליות, אפרים זלמן - שפירא, אפרים בנימין</t>
  </si>
  <si>
    <t>שם אפרים - 3 כר'</t>
  </si>
  <si>
    <t>שם אריה - 4 כר'</t>
  </si>
  <si>
    <t>שם בישראל</t>
  </si>
  <si>
    <t>שם בן ארבע ב"ה וב"ש</t>
  </si>
  <si>
    <t>שם בצלאל</t>
  </si>
  <si>
    <t>שם בשלשה</t>
  </si>
  <si>
    <t>שם גדולי ישראל - א</t>
  </si>
  <si>
    <t>אייזנשטאט, חיים יצחק גדליה בן אהרן יוסף</t>
  </si>
  <si>
    <t>שם דוד - על התורה</t>
  </si>
  <si>
    <t>שם הגדולים &lt;דפו"ר&gt; - ב</t>
  </si>
  <si>
    <t>שם הגדולים &lt;מהדורה שניה&gt; - א</t>
  </si>
  <si>
    <t>שם הגדולים &lt;אקדמות מילין&gt;</t>
  </si>
  <si>
    <t>קליין, יחיאל צבי בן שלום הלוי</t>
  </si>
  <si>
    <t>שם הגדולים החדש - 3 כר'</t>
  </si>
  <si>
    <t>[תר"ם],</t>
  </si>
  <si>
    <t>שם הגדולים הירושלמי הכללי</t>
  </si>
  <si>
    <t>שם הגדולים השלישי - א-ב</t>
  </si>
  <si>
    <t>שם הגדולים השלם - 3 כר'</t>
  </si>
  <si>
    <t>שם הגדולים מארץ הגר - 2 כר'</t>
  </si>
  <si>
    <t>תרע"ד - תש"א</t>
  </si>
  <si>
    <t>שם הגדולים - 5 כר'</t>
  </si>
  <si>
    <t>שם הכהן</t>
  </si>
  <si>
    <t>שם ונשמה</t>
  </si>
  <si>
    <t>בצרי, משה בן עזרא</t>
  </si>
  <si>
    <t>שם ושארית ישראל</t>
  </si>
  <si>
    <t>פרטיגול, ישראל אברהם</t>
  </si>
  <si>
    <t>שם ושארית לנפש חיה</t>
  </si>
  <si>
    <t>וואקס, חיים אלעזר</t>
  </si>
  <si>
    <t>שם ושארית</t>
  </si>
  <si>
    <t>אלטר, משה בצלאל בן יהודה אריה ליב - ראנד, מיכאל אריה</t>
  </si>
  <si>
    <t>בידרמן, יעקב מאיר בן נתן שלמה בצלאל - ראנד, מיכאל אריה</t>
  </si>
  <si>
    <t>גרוסמן, לוי הלוי</t>
  </si>
  <si>
    <t>שם חדש &lt;על ספר יראים&gt; - 2 כר'</t>
  </si>
  <si>
    <t>פינסו, חיים דניאל שלמה בן אברהם</t>
  </si>
  <si>
    <t>שם חדש</t>
  </si>
  <si>
    <t>מצרים</t>
  </si>
  <si>
    <t>שם טוב קטן - 4 כר'</t>
  </si>
  <si>
    <t>שם טוב</t>
  </si>
  <si>
    <t>ריטשוול, מנחם שכנא בן שמחה דן</t>
  </si>
  <si>
    <t>שם יוסף &lt;מהדורה חדשה&gt;</t>
  </si>
  <si>
    <t>מועטי, יוסף</t>
  </si>
  <si>
    <t>שם יוסף &lt;ש"ס, רמב"ם&gt;</t>
  </si>
  <si>
    <t>שם יוסף &lt;שו"ע&gt;</t>
  </si>
  <si>
    <t>שם יוסף</t>
  </si>
  <si>
    <t>אליקים, ישראל חיים יוסף</t>
  </si>
  <si>
    <t>מילר, שרגא בן יוסף</t>
  </si>
  <si>
    <t>שם יעקב</t>
  </si>
  <si>
    <t>יעקב בן יחזקאל סג"ל</t>
  </si>
  <si>
    <t>שם ישראל</t>
  </si>
  <si>
    <t>שם ישראל - 2 כר'</t>
  </si>
  <si>
    <t>משנה, נושאים שונים, שאלות ותשובות, תלמוד בבלי</t>
  </si>
  <si>
    <t>שם ליוסף - 4 כר'</t>
  </si>
  <si>
    <t>שם לשמואל - 2 כר'</t>
  </si>
  <si>
    <t>ורנר, מאיר שמעון בן שמואל ברוך</t>
  </si>
  <si>
    <t>שם מרדכי</t>
  </si>
  <si>
    <t>הוכמן, מרדכי</t>
  </si>
  <si>
    <t>שם משה - א ב</t>
  </si>
  <si>
    <t>שם משה</t>
  </si>
  <si>
    <t>שם משמואל &lt;שו"ת&gt;, דברי אברהם</t>
  </si>
  <si>
    <t>הלר, שמואל בן ישראל - הלר, אברהם זיידא</t>
  </si>
  <si>
    <t>שם משמואל &lt;מהדורה חדשה&gt;</t>
  </si>
  <si>
    <t>שם משמואל ושמות חיים</t>
  </si>
  <si>
    <t>ראו, דוד</t>
  </si>
  <si>
    <t>שם משמואל</t>
  </si>
  <si>
    <t>ארנפלד, שמואל בן שמחה בונים</t>
  </si>
  <si>
    <t>שם משמואל - 7 כר'</t>
  </si>
  <si>
    <t>שם משמואל - 4 כר'</t>
  </si>
  <si>
    <t>שיינדלינגר, שמואל בן אברהם</t>
  </si>
  <si>
    <t>שם משמעון</t>
  </si>
  <si>
    <t>אברשטק, שמעון יחיאל בן מאיר</t>
  </si>
  <si>
    <t>אופנהיים, שמעון בן אליעזר (לאזיל)</t>
  </si>
  <si>
    <t>לייטער, דוד (עורך)</t>
  </si>
  <si>
    <t>שם משמעון - גיטין</t>
  </si>
  <si>
    <t>שם משמעון - ב</t>
  </si>
  <si>
    <t>מנשה, שמעון בן אברהם</t>
  </si>
  <si>
    <t>שם משמעון - 3 כר'</t>
  </si>
  <si>
    <t>פירסט, שמעון</t>
  </si>
  <si>
    <t>שטרן, שמעון בן יצחק הלוי</t>
  </si>
  <si>
    <t>שם משמעון - 5 כר'</t>
  </si>
  <si>
    <t>דרושים, חסידות, מועדי ישראל, מועדי ישראל, משנה, תלמוד בבלי, תלמוד בבלי, תנ"ך</t>
  </si>
  <si>
    <t>שם משמריה</t>
  </si>
  <si>
    <t>שטיקלר, שמריה</t>
  </si>
  <si>
    <t>שם עולם &lt;מקור עולם&gt;</t>
  </si>
  <si>
    <t>שם עולם &lt;זכרון לרבי מנחם מנדל אלבוים זצ"ל&gt;</t>
  </si>
  <si>
    <t>שם עולם &lt;זכרון לתלמידי ישיבת קרית ארבע&gt;</t>
  </si>
  <si>
    <t>שם עולם [שניידר]</t>
  </si>
  <si>
    <t>שם עולם</t>
  </si>
  <si>
    <t>וורוניק, מיכאל</t>
  </si>
  <si>
    <t>שם עולם - טיב גיטין חדש</t>
  </si>
  <si>
    <t>טויבש, יחיאל איכל בן שמואל שמעלקא</t>
  </si>
  <si>
    <t>שם עולם - 3 כר'</t>
  </si>
  <si>
    <t>תרנ"ג - תרנ"ח</t>
  </si>
  <si>
    <t>שם עולם - ויקרא</t>
  </si>
  <si>
    <t>ליכטנשטיין, אליעזר ליפמאן בן שלמה</t>
  </si>
  <si>
    <t>שם עולם - באגדות הש"ס</t>
  </si>
  <si>
    <t>שם עולם - 2 כר'</t>
  </si>
  <si>
    <t>שם שלמה</t>
  </si>
  <si>
    <t>שם שמואל - 2 כר'</t>
  </si>
  <si>
    <t>שמואל בן משה מסוויסלאוויץ'</t>
  </si>
  <si>
    <t>שמ"ש ומגן - 4 כר'</t>
  </si>
  <si>
    <t>שמא גרים</t>
  </si>
  <si>
    <t>שמו אברהם - 2 כר'</t>
  </si>
  <si>
    <t>ביתאן, אברהם בן רחמים</t>
  </si>
  <si>
    <t>תרכ"ז - תרנ"ו</t>
  </si>
  <si>
    <t>שמו יוסף - 2 כר'</t>
  </si>
  <si>
    <t>בן וואליד, יוסף בן יצחק</t>
  </si>
  <si>
    <t>דרושים, הלכה ומנהג, מועדי ישראל, שאלות ותשובות, תלמוד בבלי, תלמוד בבלי, תנ"ך</t>
  </si>
  <si>
    <t>שמו משה</t>
  </si>
  <si>
    <t>שמואל בדורו</t>
  </si>
  <si>
    <t>רמון, יעקב - וסרמן, יוסף זונדל</t>
  </si>
  <si>
    <t>שמואל בקוראי שמו</t>
  </si>
  <si>
    <t>בני משפחת טרוביץ</t>
  </si>
  <si>
    <t>רוזנברג, שמואל דב</t>
  </si>
  <si>
    <t>תולדות רבי שמואל יהודה הירש</t>
  </si>
  <si>
    <t>שמואל בקראי שמו</t>
  </si>
  <si>
    <t>שמואל ברמה</t>
  </si>
  <si>
    <t>גוטליב, שמואל</t>
  </si>
  <si>
    <t>שמונה ספרים מגדולי תלמידי הבעש"ט</t>
  </si>
  <si>
    <t>שמונה ספרים מתלמידי הבעש"ט</t>
  </si>
  <si>
    <t>שמונה עשר דבר</t>
  </si>
  <si>
    <t>שמונה עשרה המבואר</t>
  </si>
  <si>
    <t>שמונה פרקים להרמב"ם עם ביאור ועיונים</t>
  </si>
  <si>
    <t>שמונה פרקים</t>
  </si>
  <si>
    <t>שמונה שערים - ז</t>
  </si>
  <si>
    <t>שמונה שרצים האמורים בתורה</t>
  </si>
  <si>
    <t>אלטשולר, ישראל</t>
  </si>
  <si>
    <t>שמונת השרצים</t>
  </si>
  <si>
    <t>שמועה ברורה - פסחים, קידושין, יבמות</t>
  </si>
  <si>
    <t>פוברסקי, שלום - בנון, חיים</t>
  </si>
  <si>
    <t>שמועה טובה תדשן עצם</t>
  </si>
  <si>
    <t>שמועה טובה</t>
  </si>
  <si>
    <t>שמועה טובה - על התורה</t>
  </si>
  <si>
    <t>גפן, שמואל</t>
  </si>
  <si>
    <t>שמועה טובה - 4 כר'</t>
  </si>
  <si>
    <t>יעבץ, עובדיה שמחה בן יהודה אריה</t>
  </si>
  <si>
    <t>לוריא, שמואל שמעיה</t>
  </si>
  <si>
    <t>רוטנברג, חיים שלמה בן יוסף הלוי</t>
  </si>
  <si>
    <t>חסידות, תולדות עם ישראל, תלמוד בבלי, תנ"ך</t>
  </si>
  <si>
    <t>שמועה טובה - ב</t>
  </si>
  <si>
    <t>שוירמן, שמעון צבי</t>
  </si>
  <si>
    <t>שמועה יפה - בראשית, שמות, ויקרא, במדבר, דברים</t>
  </si>
  <si>
    <t>שיין, שמעון בן אברהם יצחק</t>
  </si>
  <si>
    <t>שמועות בבא בתרא</t>
  </si>
  <si>
    <t>בירנצויג, ישראל</t>
  </si>
  <si>
    <t>שמועות גיטין - 2 כר'</t>
  </si>
  <si>
    <t>שמועות דוד</t>
  </si>
  <si>
    <t>ויין, דוד שמעיה</t>
  </si>
  <si>
    <t>הלכה ומנהג, משנה, תלמוד בבלי, תלמוד בבלי, תלמוד בבלי, תנ"ך</t>
  </si>
  <si>
    <t>שמועות חן</t>
  </si>
  <si>
    <t>שמועות טובות רזין דאורייתא</t>
  </si>
  <si>
    <t>שמועות טובות</t>
  </si>
  <si>
    <t>שמועות יעקב - 4 כר'</t>
  </si>
  <si>
    <t>שמועות משה - 3 כר'</t>
  </si>
  <si>
    <t>מירניק, משה שמעון</t>
  </si>
  <si>
    <t>שמועות קידושין - 2 כר'</t>
  </si>
  <si>
    <t>שמועת חיים - 5 כר'</t>
  </si>
  <si>
    <t>שמועת יעקב - 3 כר'</t>
  </si>
  <si>
    <t>שמועת יצחק</t>
  </si>
  <si>
    <t>קאליש, ישראל יצחק  - זלמנוב, שרגא פייביש</t>
  </si>
  <si>
    <t>שמועת מאיר</t>
  </si>
  <si>
    <t>חפוטא, מאיר שמעון</t>
  </si>
  <si>
    <t>שמועת ערכין</t>
  </si>
  <si>
    <t>אריאלי, יצחק</t>
  </si>
  <si>
    <t>שמועת שמואל - חזקות</t>
  </si>
  <si>
    <t>קארפ, שמעון שמואל ברוך בן צבי משה</t>
  </si>
  <si>
    <t>שמור וזכור</t>
  </si>
  <si>
    <t>זנדר, משה פנחס בן מאיר נחום - המאירי, שלום</t>
  </si>
  <si>
    <t>שמור וזכור - 2 כר'</t>
  </si>
  <si>
    <t>חסין, מיכאל בן יצחק יעקב</t>
  </si>
  <si>
    <t>שמוש תהלים</t>
  </si>
  <si>
    <t>שימוש תהלים. שי"ב</t>
  </si>
  <si>
    <t>שימוש תהלים. ת"ה</t>
  </si>
  <si>
    <t>שימוש תהלים. תי"ח</t>
  </si>
  <si>
    <t>שמושה של דרשה</t>
  </si>
  <si>
    <t>קורנפיין, אברהם אלימלך בן שמואל</t>
  </si>
  <si>
    <t>שמושה של הוראה</t>
  </si>
  <si>
    <t>שמושה של תורה</t>
  </si>
  <si>
    <t>פלדמאן, דוד בן שמאי</t>
  </si>
  <si>
    <t>שמות בארץ &lt;מהדורה חדשה&gt;</t>
  </si>
  <si>
    <t>חשנ"ו</t>
  </si>
  <si>
    <t>שמות בארץ</t>
  </si>
  <si>
    <t>שמות בארץ, כפות תמרים - 3 כר'</t>
  </si>
  <si>
    <t>חסידות, נושאים שונים, תולדות עם ישראל, תלמוד בבלי</t>
  </si>
  <si>
    <t>שמות דברים</t>
  </si>
  <si>
    <t>ש"ב</t>
  </si>
  <si>
    <t>שמות המשפחה בישראל</t>
  </si>
  <si>
    <t>אשל, משה חנינא</t>
  </si>
  <si>
    <t>שמות המשפחה של היהודים בתימן</t>
  </si>
  <si>
    <t>שמות הספרים העברים</t>
  </si>
  <si>
    <t>תש"י - תשי"ד</t>
  </si>
  <si>
    <t>נוישטל Neuchatel</t>
  </si>
  <si>
    <t>שמות הצדיקים</t>
  </si>
  <si>
    <t>שמות הצדיקים - 2 כר'</t>
  </si>
  <si>
    <t>שמות חכמים</t>
  </si>
  <si>
    <t>וויס, אברהם מאיר</t>
  </si>
  <si>
    <t>שמות שבמשניות</t>
  </si>
  <si>
    <t>ליינר, ירוחם מאיר בן יעקב</t>
  </si>
  <si>
    <t>שמח בחור</t>
  </si>
  <si>
    <t>שמח זבולון בצאתך</t>
  </si>
  <si>
    <t>שמח זבולון - 2 כר'</t>
  </si>
  <si>
    <t>שמח זבולון</t>
  </si>
  <si>
    <t>פכטר, ברוך בן צבי</t>
  </si>
  <si>
    <t>שמח לבי</t>
  </si>
  <si>
    <t>שמח לבנו</t>
  </si>
  <si>
    <t>שמח נפש - 2 כר'</t>
  </si>
  <si>
    <t>שמח שמחה - מגילת רות</t>
  </si>
  <si>
    <t>שמח תשמח - פסחים</t>
  </si>
  <si>
    <t>שמח תשמח</t>
  </si>
  <si>
    <t>קובץ, משפחת קופרמן</t>
  </si>
  <si>
    <t>שמחה בלבי - תהלים</t>
  </si>
  <si>
    <t>שמחה במעונו</t>
  </si>
  <si>
    <t>סופר, איתיאל</t>
  </si>
  <si>
    <t>שמחה והודאה</t>
  </si>
  <si>
    <t>שמחה ויום טוב</t>
  </si>
  <si>
    <t>שמחה וששון</t>
  </si>
  <si>
    <t>הכהן, כליפה בן יהודה</t>
  </si>
  <si>
    <t>שמחה לאי"ש</t>
  </si>
  <si>
    <t>שמחה לאיש</t>
  </si>
  <si>
    <t>אבא שאול, יצחק אפרים בן אליהו</t>
  </si>
  <si>
    <t>שמחה לאיש - 2 כר'</t>
  </si>
  <si>
    <t>פאנו, שמחה</t>
  </si>
  <si>
    <t>[תרי"ב],</t>
  </si>
  <si>
    <t>טריאסטי,</t>
  </si>
  <si>
    <t>שונשול, חיים בן שבתי</t>
  </si>
  <si>
    <t>ה'תר"ך</t>
  </si>
  <si>
    <t>שמחה לארצך</t>
  </si>
  <si>
    <t>סולובייצ'יק, שמחה בן יוסף דב הלוי</t>
  </si>
  <si>
    <t>שמחה על פי דרך החסידות</t>
  </si>
  <si>
    <t>שמחה של מעלה</t>
  </si>
  <si>
    <t>שמחו בה'</t>
  </si>
  <si>
    <t>שמחו בה' - 3 כר'</t>
  </si>
  <si>
    <t>שמחו צדיקים</t>
  </si>
  <si>
    <t>שמחו צדיקים - טלית וציצית במשנת צאנז</t>
  </si>
  <si>
    <t>שמחים בצאתם - הגדה של פסח</t>
  </si>
  <si>
    <t>שמחים לשמרו - 4 כר'</t>
  </si>
  <si>
    <t>מאנדל, משה</t>
  </si>
  <si>
    <t>שמחם בבנין שלם</t>
  </si>
  <si>
    <t>אור שלם, דניאל</t>
  </si>
  <si>
    <t>מוסדות צאנז ביתר עילית</t>
  </si>
  <si>
    <t>שמחת אבא - שמות</t>
  </si>
  <si>
    <t>שמחת אבות</t>
  </si>
  <si>
    <t>שמחת אבי - 3 כר'</t>
  </si>
  <si>
    <t>שמחת אבי</t>
  </si>
  <si>
    <t>קולנגי, יונתן בן אליעזר</t>
  </si>
  <si>
    <t>שמחת אברהם</t>
  </si>
  <si>
    <t>שמחת אדם</t>
  </si>
  <si>
    <t>שמחת אליהו - 2 כר'</t>
  </si>
  <si>
    <t>שמחת אליהו - א</t>
  </si>
  <si>
    <t>שמחת אליהו - ביאור לביאור הגר"א אהע"ז סימן סב</t>
  </si>
  <si>
    <t>שמחת אלעזר</t>
  </si>
  <si>
    <t>וסרמן, אלעזר שמחה בן אלחנן בונם</t>
  </si>
  <si>
    <t>שמחת אמונים</t>
  </si>
  <si>
    <t>שמחת אמרי נועם - נישואין</t>
  </si>
  <si>
    <t>מאקווא</t>
  </si>
  <si>
    <t>שמחת אפרים - א</t>
  </si>
  <si>
    <t>שמחת בנים</t>
  </si>
  <si>
    <t>נושאים שונים, שאלות ותשובות, תפלות בקשות פיוטים ושירה</t>
  </si>
  <si>
    <t>שמחת בנימין - כתובות</t>
  </si>
  <si>
    <t>שמחת גד - פורים</t>
  </si>
  <si>
    <t>ישיבת כתר ארם צובא</t>
  </si>
  <si>
    <t>שמחת דן - 2 כר'</t>
  </si>
  <si>
    <t>נחום, דוד בן יחזקאל</t>
  </si>
  <si>
    <t>שמחת האמא</t>
  </si>
  <si>
    <t>שמחת הגיון - 3 כר'</t>
  </si>
  <si>
    <t>שמחת הח"ג - &lt;לשון למודים - סמיכה לחיים&gt;</t>
  </si>
  <si>
    <t>סופר, משה בן שמואל - גלרנטר, חיים</t>
  </si>
  <si>
    <t>שמחת החג</t>
  </si>
  <si>
    <t>שמחת החתן</t>
  </si>
  <si>
    <t>שמחת הלבבות - פסחים</t>
  </si>
  <si>
    <t>שמחת הלוי</t>
  </si>
  <si>
    <t>הלוי, שמחה בן גרשון יצחק</t>
  </si>
  <si>
    <t>שמחת הלוי - 4 כר'</t>
  </si>
  <si>
    <t>שמחת הלויים</t>
  </si>
  <si>
    <t>שמחת המועדים</t>
  </si>
  <si>
    <t>הולנדר, שמחה בן בן ציון הלוי</t>
  </si>
  <si>
    <t>שמחת המלכות</t>
  </si>
  <si>
    <t>סערט ויז'ניץ</t>
  </si>
  <si>
    <t>שמחת המשנה</t>
  </si>
  <si>
    <t>שמחת הנישואין</t>
  </si>
  <si>
    <t>שמחת הנפש</t>
  </si>
  <si>
    <t>אהרמן, אלחנן</t>
  </si>
  <si>
    <t>שמחת הנפש - 2 כר'</t>
  </si>
  <si>
    <t>קירכהן, אלחנן הנלי</t>
  </si>
  <si>
    <t>שמחת הנפש - ב</t>
  </si>
  <si>
    <t>שמחת הנשמה - במדבר</t>
  </si>
  <si>
    <t>שמחת הרגל - 3 כר'</t>
  </si>
  <si>
    <t>מועדי ישראל, מועדי ישראל, תלמוד בבלי, תנ"ך</t>
  </si>
  <si>
    <t>שמחת הרגל</t>
  </si>
  <si>
    <t>שמחת השבת - מלבן</t>
  </si>
  <si>
    <t>רוטנברג, שמחה בונים בן דוד אברהם</t>
  </si>
  <si>
    <t>שמחת התורה</t>
  </si>
  <si>
    <t>שמחת התורה - בראשית</t>
  </si>
  <si>
    <t>שצ'יגל, אברהם חיים</t>
  </si>
  <si>
    <t>שמחת חיים וקונטריס שערי תפילות</t>
  </si>
  <si>
    <t>שמחת חיים - 3 כר'</t>
  </si>
  <si>
    <t>שמחת חיים</t>
  </si>
  <si>
    <t>שמחת חיים - ר"ה</t>
  </si>
  <si>
    <t>תר"ץ-תרצ"ט</t>
  </si>
  <si>
    <t>לקט תפילות נוסח תימן</t>
  </si>
  <si>
    <t>שמחת חיים - נישואין</t>
  </si>
  <si>
    <t>שמחת חכמים - קהלת</t>
  </si>
  <si>
    <t>שמחת יאודה - 2 כר'</t>
  </si>
  <si>
    <t>חיים יהודה אליעזר</t>
  </si>
  <si>
    <t>שמחת יהודה - 2 כר'</t>
  </si>
  <si>
    <t>שמחת יהודה</t>
  </si>
  <si>
    <t>שולץ, הלל</t>
  </si>
  <si>
    <t>שמחת יהודה, חגי יהודה &lt;מהדורה חדשה&gt;</t>
  </si>
  <si>
    <t>שמחת יהושע</t>
  </si>
  <si>
    <t>שמחת יום טוב  &lt;מכון משנת ר"א&gt;</t>
  </si>
  <si>
    <t>שמחת יום טוב - 2 כר'</t>
  </si>
  <si>
    <t>'תקנ"ד</t>
  </si>
  <si>
    <t>ידיד, יום טוב הלוי</t>
  </si>
  <si>
    <t>שמחת יום טוב - 3 כר'</t>
  </si>
  <si>
    <t>תרפ"ג,</t>
  </si>
  <si>
    <t>שמחת יוסף - איזהו נשך</t>
  </si>
  <si>
    <t>אייזיקס, יוסף בן זכריה</t>
  </si>
  <si>
    <t>שמחת יוסף - 4 כר'</t>
  </si>
  <si>
    <t>שמחת יחיאל - קידושין</t>
  </si>
  <si>
    <t>שמחת יעבץ - הגדה של פסח</t>
  </si>
  <si>
    <t>שמחת יעקב</t>
  </si>
  <si>
    <t>ברקוביץ, יעקב יו"ט ליטמן</t>
  </si>
  <si>
    <t>מחשבה ומוסר, מחשבה ומוסר, משנה</t>
  </si>
  <si>
    <t>שמחת יצחק</t>
  </si>
  <si>
    <t>ברגר, יצחק שמחה בן יחיאל מיכל</t>
  </si>
  <si>
    <t>שמחת יצחק - 2 כר'</t>
  </si>
  <si>
    <t>שמחת ישראל</t>
  </si>
  <si>
    <t>שמחת ישראל - 2 כר'</t>
  </si>
  <si>
    <t>דרדק, תנחום ישראל בן יעקב לוי שמואל</t>
  </si>
  <si>
    <t>שמחת כהן - 2 כר'</t>
  </si>
  <si>
    <t>שמחת כהן</t>
  </si>
  <si>
    <t>הכהן, יוסף שמחה בן אהרון</t>
  </si>
  <si>
    <t>רפאפורט, יצחק בן יהודה הכהן</t>
  </si>
  <si>
    <t>שמחת לב - 3 כר'</t>
  </si>
  <si>
    <t>מערכת שמחת לב (מו"ל)</t>
  </si>
  <si>
    <t>שמחת לבב</t>
  </si>
  <si>
    <t>אבן-פקודה, בחיי בן יוסף - כץ, חיים אברהם בן אריה ליב</t>
  </si>
  <si>
    <t>שמחת לבב - 2 כר'</t>
  </si>
  <si>
    <t>לינדנר, שלמה</t>
  </si>
  <si>
    <t>שמחת מועדיך</t>
  </si>
  <si>
    <t>קובץ תורני משפחת מרק</t>
  </si>
  <si>
    <t>שמחת מיכאל - 4 כר'</t>
  </si>
  <si>
    <t>דרעי, דוד אלעזר בן מיכאל</t>
  </si>
  <si>
    <t>שמחת משה</t>
  </si>
  <si>
    <t>שמחת משה - 6 כר'</t>
  </si>
  <si>
    <t>שמחת עולם</t>
  </si>
  <si>
    <t>שמחת עולם - 3 כר'</t>
  </si>
  <si>
    <t>הרבסט, שמחה מאיר בן מנחם אריה</t>
  </si>
  <si>
    <t>שמחת עולם - עניני נישואין בהלכה ובאגדה</t>
  </si>
  <si>
    <t>לאגו, חיים שבתי</t>
  </si>
  <si>
    <t>הלכה ומנהג, הלכה ומנהג, תלמוד בבלי, תנ"ך</t>
  </si>
  <si>
    <t>שמחת פורים</t>
  </si>
  <si>
    <t>שמחת פינחס</t>
  </si>
  <si>
    <t>שמחת צבי</t>
  </si>
  <si>
    <t>שמחת שמואל - ביצה</t>
  </si>
  <si>
    <t>שמחת שמואל</t>
  </si>
  <si>
    <t>אונסדארפער, שמואל אלכסנדר</t>
  </si>
  <si>
    <t>שמחת תורה ליד</t>
  </si>
  <si>
    <t>שמחת תורה</t>
  </si>
  <si>
    <t>ורשנר, צבי בן מאיר ישעיהו</t>
  </si>
  <si>
    <t>שמחת תורה - 7 כר'</t>
  </si>
  <si>
    <t>שטטנר, שמחה</t>
  </si>
  <si>
    <t>תפילות. הושענות והקפות. תר"ץ. תונס</t>
  </si>
  <si>
    <t>תונס</t>
  </si>
  <si>
    <t>שמחתי באומרים לי</t>
  </si>
  <si>
    <t>שמטת משה</t>
  </si>
  <si>
    <t>שמיטה ברורה</t>
  </si>
  <si>
    <t>בית המדרש להלכה בהתישבות</t>
  </si>
  <si>
    <t>שמיטה יום יום</t>
  </si>
  <si>
    <t>אייגנר, דוד - אחיטוב, אהוד</t>
  </si>
  <si>
    <t>שמיטה כהלכתה לבני חו"ל</t>
  </si>
  <si>
    <t>גמסון, ש"י</t>
  </si>
  <si>
    <t>שמיטה כהלכתה</t>
  </si>
  <si>
    <t>שמיטה כמצותה - 2 כר'</t>
  </si>
  <si>
    <t>שמיטה להשם</t>
  </si>
  <si>
    <t>שמיטה תדריך למודי</t>
  </si>
  <si>
    <t>בורשטין, מנחם בן שלמה</t>
  </si>
  <si>
    <t>שמיטה</t>
  </si>
  <si>
    <t>שמיטת כספים כהלכתה</t>
  </si>
  <si>
    <t>שמים וארץ קנין אחד</t>
  </si>
  <si>
    <t>שמים חדשים</t>
  </si>
  <si>
    <t>שמירה טובה</t>
  </si>
  <si>
    <t>בול, חיים מאיר בן מרדכי</t>
  </si>
  <si>
    <t>שמירה לחייל</t>
  </si>
  <si>
    <t>שמירה לחיים</t>
  </si>
  <si>
    <t>שמירות המצות</t>
  </si>
  <si>
    <t>גרשון בן בנימין</t>
  </si>
  <si>
    <t>שמירות וסגולות נפלאות</t>
  </si>
  <si>
    <t>שמירת דעת</t>
  </si>
  <si>
    <t>שוקרון, משה בן יצחק</t>
  </si>
  <si>
    <t>שמירת הבריאות לרמב"ם - פירוש רבי יעקב צהלון הרופא</t>
  </si>
  <si>
    <t>משה בן מימון - צהלון, יעקב בן יצחק- עמר, זהר</t>
  </si>
  <si>
    <t>שמירת הברית - 2 כר'</t>
  </si>
  <si>
    <t>שמירת הזמן</t>
  </si>
  <si>
    <t>שמירת החיים</t>
  </si>
  <si>
    <t>אורצעל, חיים משה יהודה בן עזרא</t>
  </si>
  <si>
    <t>שמירת הלשון</t>
  </si>
  <si>
    <t>שמירת המועד כהלכתו</t>
  </si>
  <si>
    <t>ליברמן, משה אפרים</t>
  </si>
  <si>
    <t>שמירת המועדים</t>
  </si>
  <si>
    <t>גדסי, שמעון</t>
  </si>
  <si>
    <t>הלכה ומנהג, מועדי ישראל, ספריית חב"ד</t>
  </si>
  <si>
    <t>שמירת המקדש</t>
  </si>
  <si>
    <t>שמירת הנפש כהלכתה</t>
  </si>
  <si>
    <t>אבידן, אברהם משה בן מרדכי אריה</t>
  </si>
  <si>
    <t>שמירת הנפש עם הגהות שמירה מעליא</t>
  </si>
  <si>
    <t>שמירת הנפש - 2 כר'</t>
  </si>
  <si>
    <t>שמירת הנפשות</t>
  </si>
  <si>
    <t>שמירת השבת</t>
  </si>
  <si>
    <t>שמירת יו"ט כהלכתו</t>
  </si>
  <si>
    <t>שמירת נזיקין</t>
  </si>
  <si>
    <t>שמירת נפש</t>
  </si>
  <si>
    <t>שמירת עינים כהלכה</t>
  </si>
  <si>
    <t>שמירת שבת כהלכתה - 3 כר'</t>
  </si>
  <si>
    <t>שמירת שבת - הלכה סדורה</t>
  </si>
  <si>
    <t>שמירת שבת</t>
  </si>
  <si>
    <t>שמך אברהם</t>
  </si>
  <si>
    <t>רומנקביץ', אברהם</t>
  </si>
  <si>
    <t>שמך לא שכחנו - 2 כר'</t>
  </si>
  <si>
    <t>שמלה חדשה ותבואות שור &lt;המבואר&gt; - 2 כר'</t>
  </si>
  <si>
    <t>שמלה חדשה עם לוטה בשמלה</t>
  </si>
  <si>
    <t>שוורץ, מרדכי</t>
  </si>
  <si>
    <t>שמלה חדשה עם מטה אשר &lt;מהדורה חדשה&gt;</t>
  </si>
  <si>
    <t>שור, אלכסנדר סנדר בן אפרים זלמן - גרינוואלד אשר אנשיל בן מאיר</t>
  </si>
  <si>
    <t>שמלה חדשה עם מטה אשר</t>
  </si>
  <si>
    <t>שמלה חדשה - 3 כר'</t>
  </si>
  <si>
    <t>ת"ר-תר"א</t>
  </si>
  <si>
    <t>שמלה למשה</t>
  </si>
  <si>
    <t>סבג, שלמה</t>
  </si>
  <si>
    <t>שמלת אליעזר - 2 כר'</t>
  </si>
  <si>
    <t>שמלת בנימין &lt;נחלת בנימין&gt;</t>
  </si>
  <si>
    <t>שמלת בנימין - 2 כר'</t>
  </si>
  <si>
    <t>שמם אדם</t>
  </si>
  <si>
    <t>חביב, אלירן</t>
  </si>
  <si>
    <t>שמן אהרן - א</t>
  </si>
  <si>
    <t>שמן אפרסמון &lt;מהדורה חדשה&gt; - 2 כר'</t>
  </si>
  <si>
    <t>שמן אפרסמון - 2 כר'</t>
  </si>
  <si>
    <t>שמן אפרסמון</t>
  </si>
  <si>
    <t>שמן ברכה</t>
  </si>
  <si>
    <t>מימון, מנשה</t>
  </si>
  <si>
    <t>שמן הטוב - 5 כר'</t>
  </si>
  <si>
    <t>שמן הטוב - 2 כר'</t>
  </si>
  <si>
    <t>טולידאנו, חביב מרדכי בן אהרון</t>
  </si>
  <si>
    <t>שמן הטוב</t>
  </si>
  <si>
    <t>משנה, קבצים וכתבי עת, ספרי זכרון ויובל, תלמוד בבלי</t>
  </si>
  <si>
    <t>שמן הטוב, זקן אהרן</t>
  </si>
  <si>
    <t>אוהב, שלמה</t>
  </si>
  <si>
    <t>מועדי ישראל, משנה, קבלה, תלמוד בבלי, תנ"ך, תפלות בקשות פיוטים ושירה</t>
  </si>
  <si>
    <t>שמן המאור &lt;מהדו"ח&gt; - 7 כר'</t>
  </si>
  <si>
    <t>בן שמעון, מנצור</t>
  </si>
  <si>
    <t>שמן המאור - סוגיות</t>
  </si>
  <si>
    <t>איינשטיין, שמעון</t>
  </si>
  <si>
    <t>שמן המאור - 2 כר'</t>
  </si>
  <si>
    <t>שמן המאור</t>
  </si>
  <si>
    <t>ליכטנשטיין, שמעון בן ברוך בנדט</t>
  </si>
  <si>
    <t>שמן המאור - 5 כר'</t>
  </si>
  <si>
    <t>סופר, משה בן אליעזר מרדכי אפרים</t>
  </si>
  <si>
    <t>שמן המור - 2 כר'</t>
  </si>
  <si>
    <t>שמן המנחה - 5 כר'</t>
  </si>
  <si>
    <t>שמן המר</t>
  </si>
  <si>
    <t>רובייו, מרדכי</t>
  </si>
  <si>
    <t>שמן המשחה - 4 כר'</t>
  </si>
  <si>
    <t>בן שמעון, מרדכי חזקיה</t>
  </si>
  <si>
    <t>שמן המשחה</t>
  </si>
  <si>
    <t>חיים, שמואל בן משה</t>
  </si>
  <si>
    <t>שמן הקודש</t>
  </si>
  <si>
    <t>מורדוכוביץ, שמעון בן אברהם</t>
  </si>
  <si>
    <t>שמן הקיק</t>
  </si>
  <si>
    <t>שמן הראש</t>
  </si>
  <si>
    <t>יולס, ישעיה אשר בן שלום הכהן</t>
  </si>
  <si>
    <t>שמן ורד</t>
  </si>
  <si>
    <t>וועסעלי, דוד</t>
  </si>
  <si>
    <t>שמן ורד - קובץ הוספות</t>
  </si>
  <si>
    <t>שמן זית זך</t>
  </si>
  <si>
    <t>מולכו, שלמה בן דוד</t>
  </si>
  <si>
    <t>שמן טוב</t>
  </si>
  <si>
    <t>שמן לאשר - 2 כר'</t>
  </si>
  <si>
    <t>ניימאן, אשר אנשיל</t>
  </si>
  <si>
    <t>שמן למאור סופרי המלך - 6 כר'</t>
  </si>
  <si>
    <t>שמן למאור</t>
  </si>
  <si>
    <t>אנגלרד, שלמה מיכאל בן מאיר</t>
  </si>
  <si>
    <t>שמן למאור - 2 כר'</t>
  </si>
  <si>
    <t>ביימאייל, שמעון מאיר בן אברהם דוד</t>
  </si>
  <si>
    <t>מויאל, נסים</t>
  </si>
  <si>
    <t>סלומון, שמעון בן משה אהרון</t>
  </si>
  <si>
    <t>שניאורסון, שמריהו נח</t>
  </si>
  <si>
    <t>שמן למאר</t>
  </si>
  <si>
    <t>לידר, אברהם בן אליעזר מרדכי</t>
  </si>
  <si>
    <t>שמן למנחה - 3 כר'</t>
  </si>
  <si>
    <t>ווייס, אשר אנשיל</t>
  </si>
  <si>
    <t>שמן לנר</t>
  </si>
  <si>
    <t>ויטקין, נתן נטע אריה</t>
  </si>
  <si>
    <t>שמן משחת קדש</t>
  </si>
  <si>
    <t>שמן ראש</t>
  </si>
  <si>
    <t>אשכנזי, אשר אנשיל בן מרדכי</t>
  </si>
  <si>
    <t>שמן ראש - 29 כר'</t>
  </si>
  <si>
    <t>נכס, שלמה מיכאל</t>
  </si>
  <si>
    <t>לאס אנדזשעלעס,</t>
  </si>
  <si>
    <t>שאקי, רפאל אברהם</t>
  </si>
  <si>
    <t>שמן רוקח</t>
  </si>
  <si>
    <t>אשפיצין, קלונימוס קלמן</t>
  </si>
  <si>
    <t>שמן רוקח - 2 כר'</t>
  </si>
  <si>
    <t>רוקח, משה בן שלמה</t>
  </si>
  <si>
    <t>שמן רק לא למאור</t>
  </si>
  <si>
    <t>שמן רקח החדשות - תליתאי</t>
  </si>
  <si>
    <t>שמן רקח - 4 כר'</t>
  </si>
  <si>
    <t>שמן ששון &lt;מהדורת מדרש ששון&gt; - 3 כר'</t>
  </si>
  <si>
    <t>ששון פרסייאדו בן משה</t>
  </si>
  <si>
    <t>שמן ששון &lt;מכת"י&gt;- חלק השו"ת</t>
  </si>
  <si>
    <t>שמן ששון - 2 כר'</t>
  </si>
  <si>
    <t>שמן ששון</t>
  </si>
  <si>
    <t>שמן ששון - 6 כר'</t>
  </si>
  <si>
    <t>תרכ"ט - תרנ"ו</t>
  </si>
  <si>
    <t>שמן תורק</t>
  </si>
  <si>
    <t>שמן תורק - 4 כר'</t>
  </si>
  <si>
    <t>קריספין, פנחס בן מרדכי</t>
  </si>
  <si>
    <t>שמנה לחמו - 2 כר'</t>
  </si>
  <si>
    <t>אשר אנשיל בן יצחק</t>
  </si>
  <si>
    <t>פאדגורזע אצל קראקא,</t>
  </si>
  <si>
    <t>שמנה לחמו</t>
  </si>
  <si>
    <t>אשר בן יעקב</t>
  </si>
  <si>
    <t>שמנה פרקים להרמב"ם</t>
  </si>
  <si>
    <t>משה בן מימון (רמב"ם) - סלוצקי, דוד בן לוי</t>
  </si>
  <si>
    <t>שמע אברהם</t>
  </si>
  <si>
    <t>שמע אברהם - 2 כר'</t>
  </si>
  <si>
    <t>שמע אליהו &lt;עובר אורח&gt;</t>
  </si>
  <si>
    <t>שמע בני מוסר אביך</t>
  </si>
  <si>
    <t>כ"ץ, יהושע בן דב</t>
  </si>
  <si>
    <t>שמע בני</t>
  </si>
  <si>
    <t>שמע בני - 2 כר'</t>
  </si>
  <si>
    <t>שטרנברג, עמיאל</t>
  </si>
  <si>
    <t>שמע יהודה</t>
  </si>
  <si>
    <t>נעגער, שמעון יהודה</t>
  </si>
  <si>
    <t>שמע יוסף</t>
  </si>
  <si>
    <t>אלנקאוה, יוסף בן דוד</t>
  </si>
  <si>
    <t>שמע יעקב</t>
  </si>
  <si>
    <t>יעקב בן צבי הירש, נאווארדוק</t>
  </si>
  <si>
    <t>הלכה ומנהג, מועדי ישראל, משנה, שלחן ערוך ומפרשיו, תלמוד בבלי, תנ"ך</t>
  </si>
  <si>
    <t>שמע ישראל</t>
  </si>
  <si>
    <t>אודסר, ישראל</t>
  </si>
  <si>
    <t>שמע ישראל - 2 כר'</t>
  </si>
  <si>
    <t>סאמט, ישראל חיים בן שמעון</t>
  </si>
  <si>
    <t>שמע מרדכי</t>
  </si>
  <si>
    <t>רובין, אברהם מיכל</t>
  </si>
  <si>
    <t>שמע שלמה השלם</t>
  </si>
  <si>
    <t>שמע שלמה - 3 כר'</t>
  </si>
  <si>
    <t>שמע שלמה - 8 כר'</t>
  </si>
  <si>
    <t>שמע שלמה - 2 כר'</t>
  </si>
  <si>
    <t>שמעה תפילתי</t>
  </si>
  <si>
    <t>שמעו אמירה</t>
  </si>
  <si>
    <t>ליטש-רוזנבוים, שמעיה בן משה</t>
  </si>
  <si>
    <t>משנה, שאר ספרי חז"ל, תלמוד בבלי, תלמוד בבלי, תלמוד בבלי, תלמוד ירושלמי, תנ"ך</t>
  </si>
  <si>
    <t>שמעו דבר ד'</t>
  </si>
  <si>
    <t>שמעון ולוי</t>
  </si>
  <si>
    <t>שמעון בן קיים קדיש הלוי</t>
  </si>
  <si>
    <t>שמעוני באר יעקב - בראשית</t>
  </si>
  <si>
    <t>שמעון הדרשן מפראנקפורט - רענן, יעקב דב בן ברוך</t>
  </si>
  <si>
    <t>שמעי בת וראי</t>
  </si>
  <si>
    <t>תקנון מכון בית יעקב למורות ירושלים</t>
  </si>
  <si>
    <t>שמענו אבותינו - א</t>
  </si>
  <si>
    <t>אבו, שמעון בן יוסף</t>
  </si>
  <si>
    <t>שמעתא דחיי עד</t>
  </si>
  <si>
    <t>מקייטן, יחיעד בן יעקב</t>
  </si>
  <si>
    <t>שמעתא דישראל</t>
  </si>
  <si>
    <t>הלוי, נחשון ישראל בן נתנאל</t>
  </si>
  <si>
    <t>שמעתא דשטרות</t>
  </si>
  <si>
    <t>שמעתא חדתא - א</t>
  </si>
  <si>
    <t>אלבום, שמואל שמעלקא</t>
  </si>
  <si>
    <t>שמעתא חדתא - 2 כר'</t>
  </si>
  <si>
    <t>שמעתא עמיקתא - 2 כר'</t>
  </si>
  <si>
    <t>בורגר, יוחנן דניאל</t>
  </si>
  <si>
    <t>שמעתין - 105 כר'</t>
  </si>
  <si>
    <t>בטאון איגוד מורים למקצועות הקודש</t>
  </si>
  <si>
    <t>שמעתתא אליבא דהילכתא - פרק כיצד מברכין</t>
  </si>
  <si>
    <t>כהן, דוד בן ברט</t>
  </si>
  <si>
    <t>שמעתתא אליבא - 2 כר'</t>
  </si>
  <si>
    <t>שמעתתא דבי מדרשא - 3 כר'</t>
  </si>
  <si>
    <t>קובץ, ישיבת עטרת שלמה</t>
  </si>
  <si>
    <t>שמעתתא דבן פקועה</t>
  </si>
  <si>
    <t>זק"ש, מרדכי יהודה לייב בן יהושע</t>
  </si>
  <si>
    <t>שמעתתא דברירה</t>
  </si>
  <si>
    <t>פולישוק, יוסף יו"ט בן יעקב דוד</t>
  </si>
  <si>
    <t>שמעתתא דברכות - כיצד מברכין</t>
  </si>
  <si>
    <t>שמעתתא דברכת הנהנין</t>
  </si>
  <si>
    <t>שמעתתא דהלכתא - נדה</t>
  </si>
  <si>
    <t>שמעתתא דהלכתא - בשר בחלב</t>
  </si>
  <si>
    <t>עהרנרייך, יואל בן שלמה זלמן</t>
  </si>
  <si>
    <t>שמעתתא דחזקתא</t>
  </si>
  <si>
    <t>רובינפלד, חיים הלוי</t>
  </si>
  <si>
    <t>שמעתתא דחרדל</t>
  </si>
  <si>
    <t>שמעתתא דיבמות</t>
  </si>
  <si>
    <t>וילנברג, בצלאל שרגא בן יוסף</t>
  </si>
  <si>
    <t>שמעתתא דיוחסין</t>
  </si>
  <si>
    <t>שמעתתא דמוקצה</t>
  </si>
  <si>
    <t>אלטוסקי, נחום בן מרדכי</t>
  </si>
  <si>
    <t>הלוי, מיכאל בן יצחק אייזיק</t>
  </si>
  <si>
    <t>שמעתתא דמיגו - חזקת הבתים</t>
  </si>
  <si>
    <t>שמעתתא דמשכנתא</t>
  </si>
  <si>
    <t>שמעתתא דמתיבתא - שבת</t>
  </si>
  <si>
    <t>כולל הוראה למצוינים</t>
  </si>
  <si>
    <t>שמעתתא דקבוע</t>
  </si>
  <si>
    <t>גלב, ירחמיאל ישראל בן רפאל זאב</t>
  </si>
  <si>
    <t>שמעתתא דקבלת התורה</t>
  </si>
  <si>
    <t>שמעתתא דקידושין - א</t>
  </si>
  <si>
    <t>דינין, חנוך בן אברהם</t>
  </si>
  <si>
    <t>שמעתתא דקידושין</t>
  </si>
  <si>
    <t>שמעתתא דראוי ומוחזק</t>
  </si>
  <si>
    <t>שמעתתא דרב"א - 2 כר'</t>
  </si>
  <si>
    <t>מירסקי, ברוך אברהם בן משה</t>
  </si>
  <si>
    <t>שמעתתא דרב</t>
  </si>
  <si>
    <t>ברוך בן צבי הירש</t>
  </si>
  <si>
    <t>שמעתתא דרבית</t>
  </si>
  <si>
    <t>שמעתתא דרבנן - 3 כר'</t>
  </si>
  <si>
    <t>שמעתתא דריבית</t>
  </si>
  <si>
    <t>שמעתתא דשבת - 2 כר'</t>
  </si>
  <si>
    <t>שמעתתא דשגגות</t>
  </si>
  <si>
    <t>שמעתתא דשומרים</t>
  </si>
  <si>
    <t>שמעתתא דתערובות</t>
  </si>
  <si>
    <t>שמעתתא דתפילין</t>
  </si>
  <si>
    <t>שמעתתא מפומייהו דרבנן - 3 כר'</t>
  </si>
  <si>
    <t>אוסף מערכות</t>
  </si>
  <si>
    <t>שמעתתא - 3 כר'</t>
  </si>
  <si>
    <t>וילנברג, בצלאל בן יוסף</t>
  </si>
  <si>
    <t>שמעתתא - 7 כר'</t>
  </si>
  <si>
    <t>שמעתתא - א</t>
  </si>
  <si>
    <t>קובץ ישיבת בית רבי שמעיהו</t>
  </si>
  <si>
    <t>שמעתתי דרבנן - 2 כר'</t>
  </si>
  <si>
    <t>תרמ"ז-תרמ"ט</t>
  </si>
  <si>
    <t>שמר הסף</t>
  </si>
  <si>
    <t>סאלם, דוד</t>
  </si>
  <si>
    <t>שמרה זאת לעולם - בפסוקי התורה</t>
  </si>
  <si>
    <t>שמרו משפט ועשו צדקה</t>
  </si>
  <si>
    <t>שמרו משפט - 4 כר'</t>
  </si>
  <si>
    <t>שמרו משפט - 2 כר'</t>
  </si>
  <si>
    <t>שמש ומגן זכרון מנחם</t>
  </si>
  <si>
    <t>לנדו, מנחם מענדל בן אהרן צבי</t>
  </si>
  <si>
    <t>שמש ומגן ירושלמי</t>
  </si>
  <si>
    <t>שמש ומגן</t>
  </si>
  <si>
    <t>שמש ומגן - פסחים</t>
  </si>
  <si>
    <t>שמש ינון</t>
  </si>
  <si>
    <t>רביב, ינון חיים</t>
  </si>
  <si>
    <t>שמש מרפא</t>
  </si>
  <si>
    <t>שמש צדקה &lt;מהדורה חדשה&gt;</t>
  </si>
  <si>
    <t>שמש צדקה - 2 כר'</t>
  </si>
  <si>
    <t>שמש צדקה</t>
  </si>
  <si>
    <t>שמשא דשמואל</t>
  </si>
  <si>
    <t>בראמסון, שמואל יעקב בן צבי הירש</t>
  </si>
  <si>
    <t>שנאת חינם</t>
  </si>
  <si>
    <t>דורמן, יהושע זעליג -  קריווינסקי, מרדכי אביגדור מחבר שותף?</t>
  </si>
  <si>
    <t>שנאת עולם לעם עולם</t>
  </si>
  <si>
    <t>שנה בשנה - 3 כר'</t>
  </si>
  <si>
    <t>היכל שלמה</t>
  </si>
  <si>
    <t>שנו חכמים בלשון המשנה</t>
  </si>
  <si>
    <t>שנוי הלוח</t>
  </si>
  <si>
    <t>שנות אליהו - 3 כר'</t>
  </si>
  <si>
    <t>שנות ביכורים - 4 כר'</t>
  </si>
  <si>
    <t>שנות דור ודור - 5 כר'</t>
  </si>
  <si>
    <t>דסלר, ראובן דוב בן נחום זאב</t>
  </si>
  <si>
    <t>שנות דור ודור</t>
  </si>
  <si>
    <t>שנות החיים</t>
  </si>
  <si>
    <t>מאנושביץ, חיים דובר</t>
  </si>
  <si>
    <t>שנות חיים - 4 כר'</t>
  </si>
  <si>
    <t>אויסאיבל, חיים בן אברהם יעקב</t>
  </si>
  <si>
    <t>שנות חיים - 3 כר'</t>
  </si>
  <si>
    <t>שנות חיים</t>
  </si>
  <si>
    <t>שנות חיים - 2 כר'</t>
  </si>
  <si>
    <t>ברודא, חיים בן אברהם יוסף</t>
  </si>
  <si>
    <t>גרינפלד, חיים בן צבי הירש</t>
  </si>
  <si>
    <t>ולצר, חיים בן אברהם דוד</t>
  </si>
  <si>
    <t>חזן, חיים בן יוסף</t>
  </si>
  <si>
    <t>תנ"ג - תנ"ד</t>
  </si>
  <si>
    <t>מזיא, חיים בן אליעזר</t>
  </si>
  <si>
    <t>שנות חיים - א</t>
  </si>
  <si>
    <t>מיליקובסקי, חיים בן משה</t>
  </si>
  <si>
    <t>קליקשטיין, חיים</t>
  </si>
  <si>
    <t>שנתון קהילת מקור חיים</t>
  </si>
  <si>
    <t>שנות ימין - 2 כר'</t>
  </si>
  <si>
    <t>תרי"ז - תרכ"ו</t>
  </si>
  <si>
    <t>שנות משה</t>
  </si>
  <si>
    <t>תולדות רבי משה אהרן פינטו</t>
  </si>
  <si>
    <t>שני אדנים</t>
  </si>
  <si>
    <t>שני אליהו</t>
  </si>
  <si>
    <t>שני בתי אבות בישראל</t>
  </si>
  <si>
    <t>שני המאורות &lt;מהדורה חדשה&gt;</t>
  </si>
  <si>
    <t>צבי הירש בן דוד - שמואל מקאמינקא</t>
  </si>
  <si>
    <t>שני המאורות הגדולים &lt;אדרת אליהו, פני יהושע&gt;</t>
  </si>
  <si>
    <t>קובו, אליהו בן יהודה</t>
  </si>
  <si>
    <t>שני המאורות הגדולים</t>
  </si>
  <si>
    <t>וואלקובסקי, אליהו מרדכי בן צבי יחיאל הלוי</t>
  </si>
  <si>
    <t>שני המאורות - 2 כר'</t>
  </si>
  <si>
    <t>שני המאורות</t>
  </si>
  <si>
    <t>שני המטות - הלכות כיבוד אב ואם</t>
  </si>
  <si>
    <t>הלוי, נפתלי בן פנחס זאב</t>
  </si>
  <si>
    <t>שני חיי - 3 כר'</t>
  </si>
  <si>
    <t>שני כרובים - תולדות התוספות יום טוב וקצות החושן</t>
  </si>
  <si>
    <t>הרשקוביץ, מאיר</t>
  </si>
  <si>
    <t>שני כתרים</t>
  </si>
  <si>
    <t>שני לוחות הברית &lt;דפו"ר&gt; - 3 כר'</t>
  </si>
  <si>
    <t>ת"ח - ת"ט</t>
  </si>
  <si>
    <t>שני לוחות הברית &lt;המנוקד והמפואר&gt; - 4 כר'</t>
  </si>
  <si>
    <t>שני לוחות הברית השלם - 4 כר'</t>
  </si>
  <si>
    <t>דרושים, הלכה ומנהג, קבלה</t>
  </si>
  <si>
    <t>שני לוחות הברית - 7 כר'</t>
  </si>
  <si>
    <t>הלכה ומנהג, מועדי ישראל, מחשבה ומוסר, קבלה, תנ"ך</t>
  </si>
  <si>
    <t>שני מאמרים</t>
  </si>
  <si>
    <t>הורוויץ, ישראל זאב וולף בן פינחס הלוי</t>
  </si>
  <si>
    <t>שני עפרים</t>
  </si>
  <si>
    <t>ברודא, צבי הירש בן דוד</t>
  </si>
  <si>
    <t>שני פירושים קדמונים - מעילה</t>
  </si>
  <si>
    <t>שני פירושים קדמונים</t>
  </si>
  <si>
    <t>שני צמידים</t>
  </si>
  <si>
    <t>פרנקל, יהודה ליבוש</t>
  </si>
  <si>
    <t>שני קונטרסים</t>
  </si>
  <si>
    <t>שני קטעים להשלמת ספר העתים</t>
  </si>
  <si>
    <t>שני קטעים נגד קראים</t>
  </si>
  <si>
    <t>שני שבילין</t>
  </si>
  <si>
    <t>רייבין, דניאל בן מרדכי הלוי</t>
  </si>
  <si>
    <t>שני שירי תהילה חדשים לרבי משה בן עזרא</t>
  </si>
  <si>
    <t>שנים אוחזין בטלית</t>
  </si>
  <si>
    <t>שנים יחדיו</t>
  </si>
  <si>
    <t>שנים מקר"א</t>
  </si>
  <si>
    <t>שנים עשר דרושים &lt;דרשות מהר"י מינץ&gt; - 2 כר'</t>
  </si>
  <si>
    <t>שנים עשר שבטי ישראל</t>
  </si>
  <si>
    <t>שנת הגאולה</t>
  </si>
  <si>
    <t>חוסט</t>
  </si>
  <si>
    <t>שנת המבול אלף תרנ"ח לבריאת העולם</t>
  </si>
  <si>
    <t>שנת העיבור והלכותיה</t>
  </si>
  <si>
    <t>טויב, יוסף</t>
  </si>
  <si>
    <t>שנת העיבור</t>
  </si>
  <si>
    <t>שנת השבע</t>
  </si>
  <si>
    <t>שנת תש"ס רמזי הזמן והתקופה</t>
  </si>
  <si>
    <t>שנת תשמ"א למנהגיה</t>
  </si>
  <si>
    <t>שנת תשס"א</t>
  </si>
  <si>
    <t>שנתים למורשת אבות</t>
  </si>
  <si>
    <t>שעה ניבי</t>
  </si>
  <si>
    <t>שעורי בבא בתרא</t>
  </si>
  <si>
    <t>שעורי בבא מציעא</t>
  </si>
  <si>
    <t>שעורי גיטין</t>
  </si>
  <si>
    <t>שעורי דעת &lt;מהדורה חדשה&gt;</t>
  </si>
  <si>
    <t>בלוך, אברהם יצחק בן יוסף יהודה ליב</t>
  </si>
  <si>
    <t>שעורי דעת &lt;מהדורה חדשה&gt; - 2 כר'</t>
  </si>
  <si>
    <t>שעורי דעת - 3 כר'</t>
  </si>
  <si>
    <t>תש"ט - תשט"ז</t>
  </si>
  <si>
    <t>שעורי הגר"ח שמואלביץ (סטנסיל) - פסחים</t>
  </si>
  <si>
    <t>שעורי הגר"ח</t>
  </si>
  <si>
    <t>שעורי הגר"נ קרליץ שליט"א</t>
  </si>
  <si>
    <t>שעורי הגרא"ז - 3 כר'</t>
  </si>
  <si>
    <t>שעורי הגרז"ר זלזניק שליט"א</t>
  </si>
  <si>
    <t>זלזניק, זליג ראובן</t>
  </si>
  <si>
    <t>שעורי הדף - 6 כר'</t>
  </si>
  <si>
    <t>שעורי הדף</t>
  </si>
  <si>
    <t>שעורי הרה"ג ר' ברוך בער לייבאוויץ - 2 כר'</t>
  </si>
  <si>
    <t>ליבוביץ, ברוך דוב בן שמואל דוד</t>
  </si>
  <si>
    <t>שעורי הרמי"ם - יש נוחלין</t>
  </si>
  <si>
    <t>שעורי הרמי"ם - 10 כר'</t>
  </si>
  <si>
    <t>תשל"ב?</t>
  </si>
  <si>
    <t>שעורי חן - 3 כר'</t>
  </si>
  <si>
    <t>שטאקמאן, נח בן יחיאל צבי</t>
  </si>
  <si>
    <t>שעורי מורנו הגר"ש רוזובסקי - 7 כר'</t>
  </si>
  <si>
    <t>שעורי מורנו ראש הישיבה שליט"א - ב"ב, חזקת הבתים, יש נוחלין</t>
  </si>
  <si>
    <t>קארפ, יעקב הכהן</t>
  </si>
  <si>
    <t>שעורי מורנו ראש הישיבה - 5 כר'</t>
  </si>
  <si>
    <t>ישיבת משנה תורה</t>
  </si>
  <si>
    <t>שעורי מקדש דוד - פסחים, חולין</t>
  </si>
  <si>
    <t>רפפורט, דוד בן עקיבא הכהן</t>
  </si>
  <si>
    <t>שעורי מרן ר' פסח מקוברין - 2 כר'</t>
  </si>
  <si>
    <t>תולדות עם ישראל, תולדות עם ישראל, תלמוד בבלי, תלמוד בבלי</t>
  </si>
  <si>
    <t>שעורי נדרים</t>
  </si>
  <si>
    <t>שעורי סנהדרין</t>
  </si>
  <si>
    <t>שעורי פסחים</t>
  </si>
  <si>
    <t>שעורי קדושין</t>
  </si>
  <si>
    <t>שעורי רבותינו - 6 כר'</t>
  </si>
  <si>
    <t>ראשי ישיבת טלז</t>
  </si>
  <si>
    <t>שעורי רבותינו - גיטין, ב"ק</t>
  </si>
  <si>
    <t>שיעורים שנאמרו בישיבת אמרי צבי</t>
  </si>
  <si>
    <t>שעורי רבי צבי יהודה - כתובת</t>
  </si>
  <si>
    <t>גרשונוביץ, צבי יהודה</t>
  </si>
  <si>
    <t>שעורי רבינו הגרא"י מטלז</t>
  </si>
  <si>
    <t>שעורי רבנו משולם דוד הלוי - 19 כר'</t>
  </si>
  <si>
    <t>סולובייצ'יק, משולם דוד הלוי</t>
  </si>
  <si>
    <t>שעורי תורה [לנגבורט]</t>
  </si>
  <si>
    <t>שעורי תורה - שביעית</t>
  </si>
  <si>
    <t>שעורי תורה - נדרים</t>
  </si>
  <si>
    <t>שעורי - 27 כר'</t>
  </si>
  <si>
    <t>שעורים בגיטין</t>
  </si>
  <si>
    <t>שעורים בהלכות שבת</t>
  </si>
  <si>
    <t>שעורים וחדושי תורה</t>
  </si>
  <si>
    <t>שעורים על הרמב"ם עם פירוש תורת אביגדור - הלכות דעות</t>
  </si>
  <si>
    <t>שעושועי נפשי</t>
  </si>
  <si>
    <t>שעות דרבנן</t>
  </si>
  <si>
    <t>שעטנז</t>
  </si>
  <si>
    <t>שעלי דעת - 8 כר'</t>
  </si>
  <si>
    <t>שער אברהם</t>
  </si>
  <si>
    <t>הכהן, שלמה עזרא בן אברהם</t>
  </si>
  <si>
    <t>שער אברהם - 3 כר'</t>
  </si>
  <si>
    <t>שער אורה</t>
  </si>
  <si>
    <t>שער אלחנן קובץ מאמרים &lt;עסק השער&gt; - 2 כר'</t>
  </si>
  <si>
    <t>וסרמן, אלחנן בונם בן נפתלי בינוש -זלנגוט, נפתלי בן יצחק בן ציון</t>
  </si>
  <si>
    <t>שער אפרים &lt;מהדורה חדשה&gt;</t>
  </si>
  <si>
    <t>אפרים בן יעקב הכהן</t>
  </si>
  <si>
    <t>שער אפרים - 2 כר'</t>
  </si>
  <si>
    <t>שער אפרים</t>
  </si>
  <si>
    <t>ריישר, אפרים בן נפתלי צבי</t>
  </si>
  <si>
    <t>שער אשר - 3 כר'</t>
  </si>
  <si>
    <t>קובו, רפאל אשר בן יעקב</t>
  </si>
  <si>
    <t>שער בנימין</t>
  </si>
  <si>
    <t>בוכנר, בנימין וולף בן שלמה</t>
  </si>
  <si>
    <t>בצרי, בנימין</t>
  </si>
  <si>
    <t>שער בעז</t>
  </si>
  <si>
    <t>שער בת רבים</t>
  </si>
  <si>
    <t>שער בת רבים - א</t>
  </si>
  <si>
    <t>שער בת רבים - 7 כר'</t>
  </si>
  <si>
    <t>פנסטר, חיים אריה ליב בן יוסף</t>
  </si>
  <si>
    <t>תר"נ - תרס"ב</t>
  </si>
  <si>
    <t>שער בת רבים - ז (הפטרות)</t>
  </si>
  <si>
    <t>שער גמילות חסדים עם רביד הזהב</t>
  </si>
  <si>
    <t>ליכטנשטט, יוסף זאב</t>
  </si>
  <si>
    <t>שער גן עדן - 2 כר'</t>
  </si>
  <si>
    <t>שער דלתי הלבנון</t>
  </si>
  <si>
    <t>שער ה' החדש</t>
  </si>
  <si>
    <t>רצ"ג</t>
  </si>
  <si>
    <t>שער האורה</t>
  </si>
  <si>
    <t>הרמן, יקותיאל בן יוסף</t>
  </si>
  <si>
    <t>שער האיתן - ר"ה בהלכה ובאגדה</t>
  </si>
  <si>
    <t>שער הבטחון - עם ביאור בתורתו יהגה</t>
  </si>
  <si>
    <t>שער הבטחון</t>
  </si>
  <si>
    <t>קאהן, משה הכהן</t>
  </si>
  <si>
    <t>שער הבכורות</t>
  </si>
  <si>
    <t>שער הגלגולים &lt;ספר הגלגולים מעורב עם שאר ספרים&gt;</t>
  </si>
  <si>
    <t>שער הגלגולים עם הגהות הרב יהודה פתייא</t>
  </si>
  <si>
    <t>שער הגלגולים עם הגהות הרב שמן ששון</t>
  </si>
  <si>
    <t>שער הגלגולים - 3 כר'</t>
  </si>
  <si>
    <t>שער הגמול &lt;ויש תקוה&gt;</t>
  </si>
  <si>
    <t>משה בן נחמן (רמב"ן) - זילבר, בנימין</t>
  </si>
  <si>
    <t>שער הגמול &lt;דפו"ר&gt;</t>
  </si>
  <si>
    <t>שער הגמול &lt;כתב יד&gt;</t>
  </si>
  <si>
    <t>שער הגמול &lt;מהדורת סופר&gt; - 2 כר'</t>
  </si>
  <si>
    <t>משה בן נחמן (רמב"ן), סופר דוד אהרן בן יעקב חיים</t>
  </si>
  <si>
    <t>שער הגמול עם פירוש חזון יואל</t>
  </si>
  <si>
    <t>שער הגמול - שערי העבודה</t>
  </si>
  <si>
    <t>משה בן נחמן (רמב"ן) - רבינו יונה מגירונדי (מיוחס לו)</t>
  </si>
  <si>
    <t>שער הגמול - 3 כר'</t>
  </si>
  <si>
    <t>שער הדרושים</t>
  </si>
  <si>
    <t>אליעזר בן יעקב מאמסטיבובה</t>
  </si>
  <si>
    <t>שער ההכנה וצוואות נפלאות</t>
  </si>
  <si>
    <t>תר"ח.</t>
  </si>
  <si>
    <t>Zolkiew</t>
  </si>
  <si>
    <t>שער ההכנה</t>
  </si>
  <si>
    <t>שער ההקדמות עם הגהות הרב יהודה פתייא ז"ל</t>
  </si>
  <si>
    <t>תרכ"ה -תשנ"ח</t>
  </si>
  <si>
    <t>שער ההקדמות - 3 כר'</t>
  </si>
  <si>
    <t>שער הזקנים - 2 כר'</t>
  </si>
  <si>
    <t>שער החיים - 3 כר'</t>
  </si>
  <si>
    <t>בשארי, זכריה</t>
  </si>
  <si>
    <t>שער החסידות</t>
  </si>
  <si>
    <t>שטיינמן, אליעזר</t>
  </si>
  <si>
    <t>שער החצר &lt;מהדורה חדשה&gt; - 2 כר'</t>
  </si>
  <si>
    <t>בן שמעון, דוד</t>
  </si>
  <si>
    <t>שער החשק - 2 כר'</t>
  </si>
  <si>
    <t>אלימאן, יוחנן בן יצחק</t>
  </si>
  <si>
    <t>שער היחוד</t>
  </si>
  <si>
    <t>שער היחודים &lt;הטוב והישר&gt;</t>
  </si>
  <si>
    <t>וויטאל, חיים בן יוסף - הורביץ,  צבי הירש</t>
  </si>
  <si>
    <t>שער היחודים ותיקון עונות</t>
  </si>
  <si>
    <t>שער היחודים עם הגהות הרב יהודה פתייא ז"ל</t>
  </si>
  <si>
    <t>שער היחודים</t>
  </si>
  <si>
    <t>שער הכונות &lt;ע"פ דברי חיים דב&gt; - 2 כר'</t>
  </si>
  <si>
    <t>וויטאל, חיים בן יוסף - וויסברג, חיים דב</t>
  </si>
  <si>
    <t>שער הכונות &lt;הגהות השד"ה - הלשם, צדק ושלום, יפה שעה&gt;</t>
  </si>
  <si>
    <t>שער הכונות &lt;יפה שעה&gt; - 2 כר'</t>
  </si>
  <si>
    <t>שער הכונות &lt;מהדורה חדשה&gt; - ג</t>
  </si>
  <si>
    <t>שער הכונות &lt;מכון דעה להשכיל&gt; - 2 כר'</t>
  </si>
  <si>
    <t>שער הכונות &lt;עימוד חדש בתבנית ישנה&gt;</t>
  </si>
  <si>
    <t>שער הכונות &lt;עם ספר טיב הכונות&gt;</t>
  </si>
  <si>
    <t>שער הכונות עם הגהות הרב יהודה פתייא</t>
  </si>
  <si>
    <t>שער הכונות</t>
  </si>
  <si>
    <t>שער הלקוטות &lt;פתחי שערים&gt; - א ב</t>
  </si>
  <si>
    <t>תקע"ט - תרי"א</t>
  </si>
  <si>
    <t>שער המזרח</t>
  </si>
  <si>
    <t>שער המים - 2 כר'</t>
  </si>
  <si>
    <t>שער המים</t>
  </si>
  <si>
    <t>קאצנלנבוגן, יוסף צמח בן אברהם</t>
  </si>
  <si>
    <t>שער המכתבים</t>
  </si>
  <si>
    <t>שער המלך על תהלים - 3 כר'</t>
  </si>
  <si>
    <t>שער המלך</t>
  </si>
  <si>
    <t>שער המלך - א ב</t>
  </si>
  <si>
    <t>מרדכי בן שמואל</t>
  </si>
  <si>
    <t>שער המלך - 3 כר'</t>
  </si>
  <si>
    <t>נוניס-בילמונטי, יצחק בן משה</t>
  </si>
  <si>
    <t>שער המסרה</t>
  </si>
  <si>
    <t>שער המעלות</t>
  </si>
  <si>
    <t>שעיו, רחמים משה</t>
  </si>
  <si>
    <t>שער המפקד - 3 כר'</t>
  </si>
  <si>
    <t>שער המצות &lt;שמן ששון, דברי שלום, מעיל אליהו - כת"י מהרח"ו&gt;</t>
  </si>
  <si>
    <t>שער המצות עם הגהות רבי יהודה פתייא ז"ל</t>
  </si>
  <si>
    <t>תרל"ב-תרל"ג</t>
  </si>
  <si>
    <t>שער המצות - 2 כר'</t>
  </si>
  <si>
    <t>שער המשולש - 3 כר'</t>
  </si>
  <si>
    <t>הלכה ומנהג, שאלות ותשובות, תפלות בקשות פיוטים ושירה</t>
  </si>
  <si>
    <t>שער העין</t>
  </si>
  <si>
    <t>אריאל, אליהו בן משה</t>
  </si>
  <si>
    <t>שער הפנימי</t>
  </si>
  <si>
    <t>אהרמן, אברהם בן משה חיים</t>
  </si>
  <si>
    <t>שער הפסוקים עם הגהות הרב יהודה פתייא ז"ל</t>
  </si>
  <si>
    <t>שער הפסוקים - 3 כר'</t>
  </si>
  <si>
    <t>שער הציון</t>
  </si>
  <si>
    <t>קרמר, חיים יעקב בן צבי</t>
  </si>
  <si>
    <t>שער הצלחה &lt;מהדורה חדשה&gt;</t>
  </si>
  <si>
    <t>שער הצלחה</t>
  </si>
  <si>
    <t>שער הקדושה - ליקוט מדברי הרמב"ם - אגרת הקודש</t>
  </si>
  <si>
    <t>לקט בעניני קדושה</t>
  </si>
  <si>
    <t>הלכה ומנהג, מחשבה ומוסר, שלחן ערוך ומפרשיו</t>
  </si>
  <si>
    <t>שער הקדים</t>
  </si>
  <si>
    <t>שאקי, אברהם חי</t>
  </si>
  <si>
    <t>שער הקרבן - 2 כר'</t>
  </si>
  <si>
    <t>שער הרזים &lt;חיים למוצאיהם&gt;</t>
  </si>
  <si>
    <t>שער הרחמים</t>
  </si>
  <si>
    <t>תיקונים. חצות. תרצ"ה</t>
  </si>
  <si>
    <t>שער השירים</t>
  </si>
  <si>
    <t>משה שלמה בן יצחק מטולוטשין</t>
  </si>
  <si>
    <t>שער השמים</t>
  </si>
  <si>
    <t>שער השמים - 3 כר'</t>
  </si>
  <si>
    <t>שער התורה - ב"ק, ב"מ</t>
  </si>
  <si>
    <t>ישיבת גרודנא</t>
  </si>
  <si>
    <t>שער התורה - מדרש תנחומא פרשת נח - יקר מפז</t>
  </si>
  <si>
    <t>שער התפלה &lt;מהדורה חדשה&gt;</t>
  </si>
  <si>
    <t>שער התפלה - 4 כר'</t>
  </si>
  <si>
    <t>שער התשובה מספר ארחות צדיקים ע"פ תשובת דוד</t>
  </si>
  <si>
    <t>שער טהרה</t>
  </si>
  <si>
    <t>שער יאודה</t>
  </si>
  <si>
    <t>אלגאזי, יהודה</t>
  </si>
  <si>
    <t>שער יהודה</t>
  </si>
  <si>
    <t>ספיר, יהודה ליבש בן ישראל אליעזר</t>
  </si>
  <si>
    <t>שער יהונתן - 2 כר'</t>
  </si>
  <si>
    <t>שער יהושע - 3 כר'</t>
  </si>
  <si>
    <t>שער יהושע</t>
  </si>
  <si>
    <t>תק"ץ בערך</t>
  </si>
  <si>
    <t>שער יוסף - 4 כר'</t>
  </si>
  <si>
    <t>שער יכניה</t>
  </si>
  <si>
    <t>שער יעקב</t>
  </si>
  <si>
    <t>שער יקרא דחיים</t>
  </si>
  <si>
    <t>שער יששכר - 3 כר'</t>
  </si>
  <si>
    <t>תרצ"ח-ת"ש</t>
  </si>
  <si>
    <t>שער כבוד ה' - 2 כר'</t>
  </si>
  <si>
    <t>אלנקאוה, אפרים בן ישראל - בלייח, חיים</t>
  </si>
  <si>
    <t>שער כבוד ה'</t>
  </si>
  <si>
    <t>שער לה'</t>
  </si>
  <si>
    <t>כהן, דניאל</t>
  </si>
  <si>
    <t>שער לוי</t>
  </si>
  <si>
    <t>שער לחסידות</t>
  </si>
  <si>
    <t>שער מאמרי רשב"י ומאמרי רז"ל &lt;עימוד חדש בתבנית ישנה&gt;</t>
  </si>
  <si>
    <t>שער מאמרי רשב"י ומאמרי רז"ל עם הגהות הרב יהודה פתייא ז"ל</t>
  </si>
  <si>
    <t>שער מאמרי רשב"י ומאמרי רז"ל</t>
  </si>
  <si>
    <t>שער מאמרי רשב"י - 3 כר'</t>
  </si>
  <si>
    <t>שער מזרח אחד</t>
  </si>
  <si>
    <t>שער מרדכי</t>
  </si>
  <si>
    <t>אדלר, מרדכי בן נפתלי חיים</t>
  </si>
  <si>
    <t>שער משפט &lt;מהדורה חדשה&gt; - 2 כר'</t>
  </si>
  <si>
    <t>שער משפט</t>
  </si>
  <si>
    <t>שער נפתלי ורפואת הנפש</t>
  </si>
  <si>
    <t>שער נפתלי - 2 כר'</t>
  </si>
  <si>
    <t>שער נפתלי</t>
  </si>
  <si>
    <t>קאצנלנבוגן, נפתלי הירש בן אליעזר</t>
  </si>
  <si>
    <t>שער פתח הגן</t>
  </si>
  <si>
    <t>שער פתחי לבנון</t>
  </si>
  <si>
    <t>שניאור פיבוש בן מנחם מניש</t>
  </si>
  <si>
    <t>שער צדקה והכנסת אורחים</t>
  </si>
  <si>
    <t>שער קריאת התורה</t>
  </si>
  <si>
    <t>שער ראובן</t>
  </si>
  <si>
    <t>שער ראובן - 2 כר'</t>
  </si>
  <si>
    <t>כמיל, ראובן בן דוד</t>
  </si>
  <si>
    <t>שער רוח הקודש &lt;שערי חיים&gt; - 3 כר'</t>
  </si>
  <si>
    <t>וויטאל, חיים בן יוסף - עשוש, חיים</t>
  </si>
  <si>
    <t>שער רוח הקודש &lt;ע"פ יראת ה' - מלחמת ה'&gt;</t>
  </si>
  <si>
    <t>שער רוח הקודש עם הגהות הרב יהודה פתייא ז"ל</t>
  </si>
  <si>
    <t>שער רוח הקודש שער הגלגולים</t>
  </si>
  <si>
    <t>שער רוח הקודש</t>
  </si>
  <si>
    <t>שער שושן - שפתי שושן</t>
  </si>
  <si>
    <t>שער שלום ירושלים</t>
  </si>
  <si>
    <t>שער שמעון אחד - 5 כר'</t>
  </si>
  <si>
    <t>שער שמעון</t>
  </si>
  <si>
    <t>הלוי, שמעון בן יהושע פייבלמאן</t>
  </si>
  <si>
    <t>שערוריית הקלף</t>
  </si>
  <si>
    <t>שערורית הגיורים המזויפים</t>
  </si>
  <si>
    <t>ועד הרבנים העולמי לענייני גיור</t>
  </si>
  <si>
    <t>שערורית סת"ם בהדפסת משי</t>
  </si>
  <si>
    <t>שערי אבי - 2 כר'</t>
  </si>
  <si>
    <t>דרורי, יקותיאל בן שלמה זלמן</t>
  </si>
  <si>
    <t>שערי אברהם</t>
  </si>
  <si>
    <t>ברונפמן, יעקב בן פנחס</t>
  </si>
  <si>
    <t>ליפשיץ, משה נחמיה בן אברהם</t>
  </si>
  <si>
    <t>שערי אברהם - בבא בתרא</t>
  </si>
  <si>
    <t>שערי אהבה ורצון</t>
  </si>
  <si>
    <t>שערי אהבה - א</t>
  </si>
  <si>
    <t>שערי אונאה - משפט צדק - ישראל הקדושים</t>
  </si>
  <si>
    <t>שערי אונאה</t>
  </si>
  <si>
    <t>שערי אור - 2 כר'</t>
  </si>
  <si>
    <t>אביטן, רפאל בן נסים</t>
  </si>
  <si>
    <t>שערי אור</t>
  </si>
  <si>
    <t>קובץ הערות</t>
  </si>
  <si>
    <t>שערי אורה &lt;עם ביאור ידית השער&gt;</t>
  </si>
  <si>
    <t>שערי אורה - 2 כר'</t>
  </si>
  <si>
    <t>אלפא, אורי</t>
  </si>
  <si>
    <t>שערי אורה - 3 כר'</t>
  </si>
  <si>
    <t>שערי אורה - 4 כר'</t>
  </si>
  <si>
    <t>אוביבך</t>
  </si>
  <si>
    <t>שערי אורה - כתובות</t>
  </si>
  <si>
    <t>וולף, יאיר יונתן בן משה בנימין</t>
  </si>
  <si>
    <t>שערי אורה - הלכות נדה</t>
  </si>
  <si>
    <t>קובץ תלמודי</t>
  </si>
  <si>
    <t>מיכאלעוויץ</t>
  </si>
  <si>
    <t>שטרנבוך, ישראל מאיר</t>
  </si>
  <si>
    <t>שערי אושר - 7 כר'</t>
  </si>
  <si>
    <t>שערי איסור והיתר</t>
  </si>
  <si>
    <t>לאבנשטיין, אלימלך דוד בן אליעזר הלוי</t>
  </si>
  <si>
    <t>שערי איש</t>
  </si>
  <si>
    <t>שטראהלי, שמחה אהרן</t>
  </si>
  <si>
    <t>שערי אליהו</t>
  </si>
  <si>
    <t>שערי אליהו - שבת</t>
  </si>
  <si>
    <t>שערי אלימלך</t>
  </si>
  <si>
    <t>שערי אמונה ובטחון - 4 כר'</t>
  </si>
  <si>
    <t>שערי אמונה - 3 כר'</t>
  </si>
  <si>
    <t>שערי אמונה - א</t>
  </si>
  <si>
    <t>שערי אמונה</t>
  </si>
  <si>
    <t>שערי אמת - 3 כר'</t>
  </si>
  <si>
    <t>שערי אפרים - 3 כר'</t>
  </si>
  <si>
    <t>שערי ארוכה &lt;המבואר&gt;</t>
  </si>
  <si>
    <t>שערי ארוכה - 4 כר'</t>
  </si>
  <si>
    <t>שערי אריה</t>
  </si>
  <si>
    <t>חסידות, מועדי ישראל, נושאים שונים, שאלות ותשובות</t>
  </si>
  <si>
    <t>שערי בבא קמא</t>
  </si>
  <si>
    <t>שערי בינה</t>
  </si>
  <si>
    <t>גולדנטל, יששכר ברוך בן יוסף</t>
  </si>
  <si>
    <t>טמקין, יהודה בן שמואל רפאל הכהן</t>
  </si>
  <si>
    <t>תרס"א - תרס"ג</t>
  </si>
  <si>
    <t>שערי בינה - 2 כר'</t>
  </si>
  <si>
    <t>שערי בינה -שגגות, כריתות</t>
  </si>
  <si>
    <t>רפאפורט, ישראל צבי בן יצחק</t>
  </si>
  <si>
    <t>שווב, בצלאל יעקב בן יהודה</t>
  </si>
  <si>
    <t>שילוני, מיכאל - שילוני, יעקב</t>
  </si>
  <si>
    <t>שערי בירור</t>
  </si>
  <si>
    <t>לווין, חיים שרגא בן שמעון זאב הלוי</t>
  </si>
  <si>
    <t>שערי בית ה'</t>
  </si>
  <si>
    <t>סטפנסקי, יוסף בן שלום</t>
  </si>
  <si>
    <t>שערי בית המדרש</t>
  </si>
  <si>
    <t>שערי בית המדרש - ה</t>
  </si>
  <si>
    <t>שערי בנימין</t>
  </si>
  <si>
    <t>שערי בנימין - 26 כר'</t>
  </si>
  <si>
    <t>שרעבי, בנימין בן ישעיהו</t>
  </si>
  <si>
    <t>שערי בנימן</t>
  </si>
  <si>
    <t>שערי ברירה</t>
  </si>
  <si>
    <t>שערי ברכה &lt;על ספר בן איש חי&gt;</t>
  </si>
  <si>
    <t>שערי ברכה - כיצד מברכין</t>
  </si>
  <si>
    <t>אויערבאך, חיים זאב בן אברהם דוב</t>
  </si>
  <si>
    <t>שערי ברכה - שבת</t>
  </si>
  <si>
    <t>שערי ברכה</t>
  </si>
  <si>
    <t>שערי ברכות</t>
  </si>
  <si>
    <t>היימן, עופר שמאי בן מנחם</t>
  </si>
  <si>
    <t>שערי גאולה - הגדה של פסח ע"פ תוס' רי"ד</t>
  </si>
  <si>
    <t>שערי גדולה (קיצור)</t>
  </si>
  <si>
    <t>שערי גדולה</t>
  </si>
  <si>
    <t>שערי גן עדן - 4 כר'</t>
  </si>
  <si>
    <t>רומי, משה</t>
  </si>
  <si>
    <t>שערי דבר</t>
  </si>
  <si>
    <t>שיעורים</t>
  </si>
  <si>
    <t>שערי דוד - בשר וחלב, ותערובות</t>
  </si>
  <si>
    <t>אולעך, יעקב דוד</t>
  </si>
  <si>
    <t>שערי דוד - נדה</t>
  </si>
  <si>
    <t>שערי דוד - 8 כר'</t>
  </si>
  <si>
    <t>שערי דורא &lt;מהדורת דבליצקי&gt; - 2 כר'</t>
  </si>
  <si>
    <t>יצחק בן מאיר הלוי מדורא - דבליצקי, דוד בן שריה</t>
  </si>
  <si>
    <t>שערי דורא השלם &lt;מהדורת הרב פרייליך&gt; - א-ב</t>
  </si>
  <si>
    <t>שערי דורא השלם</t>
  </si>
  <si>
    <t>שערי דורא - 9 כר'</t>
  </si>
  <si>
    <t>שערי דיצה</t>
  </si>
  <si>
    <t>התאחדות תלמידי ישיבת בית יוסף צבי</t>
  </si>
  <si>
    <t>שערי דיצה - 2 כר'</t>
  </si>
  <si>
    <t>כץ, צבי יששכר דוב הכהן</t>
  </si>
  <si>
    <t>שערי דמעה השלם - 2 כר'</t>
  </si>
  <si>
    <t>שערי דמעה</t>
  </si>
  <si>
    <t>שערי דמעה - א</t>
  </si>
  <si>
    <t>שערי דמעות</t>
  </si>
  <si>
    <t>פרידמן, חיה</t>
  </si>
  <si>
    <t>שערי דעה &lt;מהדורה חדשה&gt;</t>
  </si>
  <si>
    <t>ליטווין, חיים יהודה ליב בן ישראל</t>
  </si>
  <si>
    <t>שערי דעה - א</t>
  </si>
  <si>
    <t>שערי דעה - 2 כר'</t>
  </si>
  <si>
    <t>תקפ"א - תקפ"ח</t>
  </si>
  <si>
    <t>שערי דעה - טבלאות בענייני יורה דעה</t>
  </si>
  <si>
    <t>שערי דעה</t>
  </si>
  <si>
    <t>לוריא, מאיר בן מרדכי יחיאל</t>
  </si>
  <si>
    <t>שטיינהוז, נפתלי צבי בן אהרן</t>
  </si>
  <si>
    <t>שערי דעת - 2 כר'</t>
  </si>
  <si>
    <t>שערי דעת - 12 כר'</t>
  </si>
  <si>
    <t>גבאי, שאול בן מרדכי</t>
  </si>
  <si>
    <t>שערי דעת</t>
  </si>
  <si>
    <t>כולל "שערי דעת" טבריה</t>
  </si>
  <si>
    <t>שערי דרך החיים</t>
  </si>
  <si>
    <t>שרים, רחמים בן דוד</t>
  </si>
  <si>
    <t>שערי דרך - 2 כר'</t>
  </si>
  <si>
    <t>פריימן, מנחם</t>
  </si>
  <si>
    <t>שערי דרכים - 2 כר'</t>
  </si>
  <si>
    <t>גולדשטיין, מרדכי בן טוביה</t>
  </si>
  <si>
    <t>שערי האמונה</t>
  </si>
  <si>
    <t>שערי האמונה - אבלות</t>
  </si>
  <si>
    <t>שערי הברכה &lt;מהדורה חדשה&gt;</t>
  </si>
  <si>
    <t>שערי הברכה</t>
  </si>
  <si>
    <t>שערי הגן - שבת, פסחים, מגילה, מו"ק</t>
  </si>
  <si>
    <t>שערי ההגדה</t>
  </si>
  <si>
    <t>שערי ההלכה - 6 כר'</t>
  </si>
  <si>
    <t>שערי הודיה</t>
  </si>
  <si>
    <t>שערי הוראה</t>
  </si>
  <si>
    <t>דרושקוביץ, אברהם בן שרגא</t>
  </si>
  <si>
    <t>שערי הוראה - 22 כר'</t>
  </si>
  <si>
    <t>קובץ בית הוראה מערב בני ברק</t>
  </si>
  <si>
    <t>קלופט, אריה</t>
  </si>
  <si>
    <t>שערי הזבח</t>
  </si>
  <si>
    <t>שפרונג, יצחק חיים בן זכריה</t>
  </si>
  <si>
    <t>שערי הזכירות</t>
  </si>
  <si>
    <t>היימן, אברהם שלמה בן משה</t>
  </si>
  <si>
    <t>שערי הזמנים - 2 כר'</t>
  </si>
  <si>
    <t>שערי החסידות</t>
  </si>
  <si>
    <t>שערי היכל - 3 כר'</t>
  </si>
  <si>
    <t>אריאל, עזריה בן ישראל (עורך ראשי) - לנדאו, בנימין (עורך תוספתא מבוארת)</t>
  </si>
  <si>
    <t>שערי היכל - 2 כר'</t>
  </si>
  <si>
    <t>אריאל, עזריה בן ישראל - לנדאו, בנימין (עורך תוספתא מבוארת)</t>
  </si>
  <si>
    <t>שערי הימים הנוראים</t>
  </si>
  <si>
    <t>שערי הלכה</t>
  </si>
  <si>
    <t>שערי הלכה - 2 כר'</t>
  </si>
  <si>
    <t>שערי הלכה - 4 כר'</t>
  </si>
  <si>
    <t>ווליקובסקי, זאב וולף בן יצחק אייזיק</t>
  </si>
  <si>
    <t>סלונים, זאב דוב</t>
  </si>
  <si>
    <t>שערי הלכה - רבית</t>
  </si>
  <si>
    <t>שינלזון, יעקב שמואל בן יצחק אייזיק</t>
  </si>
  <si>
    <t>שערי הלכות &lt;טקסט&gt;</t>
  </si>
  <si>
    <t>קובץ - ישיבת בית שערים</t>
  </si>
  <si>
    <t>שערי הלכות - 29 כר'</t>
  </si>
  <si>
    <t>תשכ"ח - תשס"ב</t>
  </si>
  <si>
    <t>שערי הלכות - א</t>
  </si>
  <si>
    <t>קובץ ישיבת בית שערים ירושלים</t>
  </si>
  <si>
    <t>שערי המדות</t>
  </si>
  <si>
    <t>ראטה, יואל צבי</t>
  </si>
  <si>
    <t>שערי המועדים - 2 כר'</t>
  </si>
  <si>
    <t>שערי המוריה - 2 כר'</t>
  </si>
  <si>
    <t>שערי המזוזה</t>
  </si>
  <si>
    <t>שערי המעלות</t>
  </si>
  <si>
    <t>בלוך, משה אריה בן אליהו</t>
  </si>
  <si>
    <t>שערי המצוות התמידיות</t>
  </si>
  <si>
    <t>שערי המצות</t>
  </si>
  <si>
    <t>וויינשטיין, אברהם צבי בן מרדכי שרגא</t>
  </si>
  <si>
    <t>שערי המשנה</t>
  </si>
  <si>
    <t>שערי המשפט</t>
  </si>
  <si>
    <t>יגר, שמואל</t>
  </si>
  <si>
    <t>שערי הנישואין</t>
  </si>
  <si>
    <t>שערי הספיקות</t>
  </si>
  <si>
    <t>שערי העבודה &lt;שערי חיים&gt; - אורחות חיים &lt;דרכי חיים&gt;</t>
  </si>
  <si>
    <t>גירונדי, יונה בן אברהם (מיוחס לו) - בן שושן, יצחק</t>
  </si>
  <si>
    <t>שערי העבודה &lt;אותו תעבוד&gt;</t>
  </si>
  <si>
    <t>שערי העבודה</t>
  </si>
  <si>
    <t>שערי הקדושה</t>
  </si>
  <si>
    <t>תרל"א,</t>
  </si>
  <si>
    <t>שערי הר הבית</t>
  </si>
  <si>
    <t>סאלומון, טוביה בן יואל משה</t>
  </si>
  <si>
    <t>שערי השגה</t>
  </si>
  <si>
    <t>שערי התלמוד</t>
  </si>
  <si>
    <t>אמינוב, יפים</t>
  </si>
  <si>
    <t>פרקוביץ, אברהם ישעיהו</t>
  </si>
  <si>
    <t>שערי ועד טוב - 8 כר'</t>
  </si>
  <si>
    <t>חבורות אברכים  ישיבת בית יוסף צבי</t>
  </si>
  <si>
    <t>שערי זבול - 16 כר'</t>
  </si>
  <si>
    <t>המבורגר, זבולון בן אברהם משה</t>
  </si>
  <si>
    <t>שערי זבול - 4 כר'</t>
  </si>
  <si>
    <t>שערי זבולון - 21 כר'</t>
  </si>
  <si>
    <t>שערי זבח</t>
  </si>
  <si>
    <t>שערי זהר תורה</t>
  </si>
  <si>
    <t>שערי זיו - 6 כר'</t>
  </si>
  <si>
    <t>שערי זמנים</t>
  </si>
  <si>
    <t>העבער, דוד בן שמואל פנחס הלוי</t>
  </si>
  <si>
    <t>שערי זמרה הארוך</t>
  </si>
  <si>
    <t>שערי זרעים - חלה</t>
  </si>
  <si>
    <t>שערי זרעים - שביעית</t>
  </si>
  <si>
    <t>שערי חג הסוכות</t>
  </si>
  <si>
    <t>שערי חגיגה - 2 כר'</t>
  </si>
  <si>
    <t>שערי חדוה - 2 כר'</t>
  </si>
  <si>
    <t>שערי חולין</t>
  </si>
  <si>
    <t>שערי חזקה</t>
  </si>
  <si>
    <t>האוט, אליעזר רפאל בן נפתלי הכהן</t>
  </si>
  <si>
    <t>שערי חיים</t>
  </si>
  <si>
    <t>בעקער, חיים</t>
  </si>
  <si>
    <t>די שיגורה, ניסים חיים רפאל אהרן בן מאיר</t>
  </si>
  <si>
    <t>האיי בן שרירא גאון - אריה, חנניה יצחק מיכאל בן רפאל אברהם</t>
  </si>
  <si>
    <t>שערי חיים - א</t>
  </si>
  <si>
    <t>הורוויץ, אשר למיל בן טוביה</t>
  </si>
  <si>
    <t>שערי חיים - 4 כר'</t>
  </si>
  <si>
    <t>זלנפריינד, חיים מאיר זאב בן יצחק אברהם</t>
  </si>
  <si>
    <t>שערי חיים - 3 כר'</t>
  </si>
  <si>
    <t>כהן, חיים בן מרדכי</t>
  </si>
  <si>
    <t>שערי חיים - 2 כר'</t>
  </si>
  <si>
    <t>שערי חיים - 5 כר'</t>
  </si>
  <si>
    <t>שערי חכמה (שב שמעתתא)</t>
  </si>
  <si>
    <t>שערי חפץ</t>
  </si>
  <si>
    <t>חפץ, דוד בן יחיאל</t>
  </si>
  <si>
    <t>שערי טבילה</t>
  </si>
  <si>
    <t>שערי טהר</t>
  </si>
  <si>
    <t>שערי טהר - 8 כר'</t>
  </si>
  <si>
    <t>וולק, שמואל אלעזר בן משה אברהם שלום</t>
  </si>
  <si>
    <t>שערי טהרה</t>
  </si>
  <si>
    <t>שערי טהרה - נדה, מקואות</t>
  </si>
  <si>
    <t>שערי טהרה - 2 כר'</t>
  </si>
  <si>
    <t>שערי טוהר &lt;שערי דעת&gt;</t>
  </si>
  <si>
    <t>שערי טוהר - מקואות</t>
  </si>
  <si>
    <t>שערי טעמי המצות</t>
  </si>
  <si>
    <t>שערי יבמות - א</t>
  </si>
  <si>
    <t>שערי יהודה - 6 כר'</t>
  </si>
  <si>
    <t>כץ, יהודה אריה בן יהושע</t>
  </si>
  <si>
    <t>שערי יהודה - 12 כר'</t>
  </si>
  <si>
    <t>שערי יום טוב - יסודות הלכות יו"ט</t>
  </si>
  <si>
    <t>שערי יום טוב</t>
  </si>
  <si>
    <t>וויינברגר, חנניה יום טוב ליפא</t>
  </si>
  <si>
    <t>שערי יומא - 2 כר'</t>
  </si>
  <si>
    <t>מכון להורות נתן</t>
  </si>
  <si>
    <t>שערי יוסף על ספר בן איש חי - 2 כר'</t>
  </si>
  <si>
    <t>שערי יוסף - איזהו נשך</t>
  </si>
  <si>
    <t>שערי יורה דעה - 2 כר'</t>
  </si>
  <si>
    <t>ברוד, אליעזר יעקב הלוי</t>
  </si>
  <si>
    <t>שערי יושר &lt;שו"ת&gt; - 5 כר'</t>
  </si>
  <si>
    <t>חנניה, אשר בן יעקב</t>
  </si>
  <si>
    <t>שערי יושר - 2 כר'</t>
  </si>
  <si>
    <t>שערי ימי החנוכה</t>
  </si>
  <si>
    <t>שערי ימי הפורים</t>
  </si>
  <si>
    <t>שערי ימי הפסח</t>
  </si>
  <si>
    <t>שערי יעקב - 4 כר'</t>
  </si>
  <si>
    <t>בירנצויג, יעקב חנוך יוסף בן פנחס צבי</t>
  </si>
  <si>
    <t>שערי יעקב</t>
  </si>
  <si>
    <t>שכנזי, יעקב</t>
  </si>
  <si>
    <t>שערי יעקב - 2 כר'</t>
  </si>
  <si>
    <t>שראבני, יעקב ראם בן ראובן</t>
  </si>
  <si>
    <t>שערי יצחק</t>
  </si>
  <si>
    <t>אלכסנדרובסקי, יצחק אייזיק הכהן</t>
  </si>
  <si>
    <t>זאלער, יצחק בן משה מנחם</t>
  </si>
  <si>
    <t>שערי יצחק - 14 כר'</t>
  </si>
  <si>
    <t>פלאקסר, יצחק בן ישראל</t>
  </si>
  <si>
    <t>שערי יצחק - 181 כר'</t>
  </si>
  <si>
    <t>שערי ירושלים - 2 כר'</t>
  </si>
  <si>
    <t>נוסבוים, משה בן מנחם מנדל</t>
  </si>
  <si>
    <t>שערי ירושלם</t>
  </si>
  <si>
    <t>טויב, ישראל דוד בן יהושע יחזקאל</t>
  </si>
  <si>
    <t>שערי ירושלמי</t>
  </si>
  <si>
    <t>שערי ישועה כתבי סגולה מהבעש"ט</t>
  </si>
  <si>
    <t>שערי ישועה</t>
  </si>
  <si>
    <t>כ"ץ, אהרן זאב בן אברהם הכהן</t>
  </si>
  <si>
    <t>עטיה, ישועה בן יצחק</t>
  </si>
  <si>
    <t>דרושים, מחשבה ומוסר, משנה, נושאים שונים, קבלה, שלחן ערוך ומפרשיו, תלמוד בבלי, תנ"ך</t>
  </si>
  <si>
    <t>פיטוסי, ישועה פרג'י</t>
  </si>
  <si>
    <t>שערי ישר &lt;עם ליקוט קובץ מילואים&gt; - שער הקבוע</t>
  </si>
  <si>
    <t>שקופ, שמעון יהודה בן יצחק שמואל הכהן - מיזל, עמנואל בן סער</t>
  </si>
  <si>
    <t>שערי ישר &lt;מהדורה חדשה&gt; - 4 כר'</t>
  </si>
  <si>
    <t>שערי ישר מבואר - 3 כר'</t>
  </si>
  <si>
    <t>שקופ, שמעון יהודה בן יצחק שמואל הכהן - כהן, אהרן</t>
  </si>
  <si>
    <t>שערי ישר - 2 כר'</t>
  </si>
  <si>
    <t>שערי כנסת הגדולה</t>
  </si>
  <si>
    <t>שערי כתובות</t>
  </si>
  <si>
    <t>שערי ליל הסדר</t>
  </si>
  <si>
    <t>שערי לימוד</t>
  </si>
  <si>
    <t>בירנבוים, שמואל</t>
  </si>
  <si>
    <t>מארגיטטא,</t>
  </si>
  <si>
    <t>שערי לימוד - 3 כר'</t>
  </si>
  <si>
    <t>קרמר, זאב וולף בן משה אליעזר</t>
  </si>
  <si>
    <t>שערי למוד</t>
  </si>
  <si>
    <t>קרופניק, אליהו</t>
  </si>
  <si>
    <t>שערי מאיר - 3 כר'</t>
  </si>
  <si>
    <t>שערי מוסר השכל</t>
  </si>
  <si>
    <t>שערי מוסר - 2 כר'</t>
  </si>
  <si>
    <t>אביגדור בן מנחם כהן צדק</t>
  </si>
  <si>
    <t>שערי מועד - 2 כר'</t>
  </si>
  <si>
    <t>שערי מועד</t>
  </si>
  <si>
    <t>שערי מוקצה</t>
  </si>
  <si>
    <t>שערי מחילה - 3 כר'</t>
  </si>
  <si>
    <t>צבי, אבינועם בן עובדיה</t>
  </si>
  <si>
    <t>שערי מישור - 3 כר'</t>
  </si>
  <si>
    <t>בלינוב, יוסף יצחק בן מרדכי</t>
  </si>
  <si>
    <t>שערי מישור</t>
  </si>
  <si>
    <t>כולל שערי מישור</t>
  </si>
  <si>
    <t>שערי מעשר שני</t>
  </si>
  <si>
    <t>גליק, יואל צבי בן דוד אריה</t>
  </si>
  <si>
    <t>שערי מקואות</t>
  </si>
  <si>
    <t>שערי משה - 2 כר'</t>
  </si>
  <si>
    <t>שערי משה</t>
  </si>
  <si>
    <t>רוזנברג, משה אריה</t>
  </si>
  <si>
    <t>שערי משה - הלכות בית הכנסת</t>
  </si>
  <si>
    <t>שערי משפט</t>
  </si>
  <si>
    <t>שערי נדה</t>
  </si>
  <si>
    <t>שערי נחמה</t>
  </si>
  <si>
    <t>שערי ניסים - 5 כר'</t>
  </si>
  <si>
    <t>פנירי, ניסים</t>
  </si>
  <si>
    <t>שערי נישואין</t>
  </si>
  <si>
    <t>שערי נסים - 4 כר'</t>
  </si>
  <si>
    <t>פנירי, נסים</t>
  </si>
  <si>
    <t>שערי נסים</t>
  </si>
  <si>
    <t>שערי נעימה</t>
  </si>
  <si>
    <t>שערי סוטה - 2 כר'</t>
  </si>
  <si>
    <t>שערי סוטה</t>
  </si>
  <si>
    <t>שערי סופר</t>
  </si>
  <si>
    <t>שערי סופרים</t>
  </si>
  <si>
    <t>לינדר, אהרן</t>
  </si>
  <si>
    <t>שערי סיעתא דשמיא</t>
  </si>
  <si>
    <t>כהנא, מנחם מנדל</t>
  </si>
  <si>
    <t>שערי עבודה</t>
  </si>
  <si>
    <t>שערי עגונות</t>
  </si>
  <si>
    <t>מילר, אלחנן א. בן שלמה הלוי</t>
  </si>
  <si>
    <t>שערי עולם</t>
  </si>
  <si>
    <t>אלפרט, שבתי בן עוזר</t>
  </si>
  <si>
    <t>שערי עזיאל - 4 כר'</t>
  </si>
  <si>
    <t>שערי עזרא &lt;מהדורה חדשה&gt;</t>
  </si>
  <si>
    <t>עבאדי (שעיו), יוסף בן עזרא</t>
  </si>
  <si>
    <t>דרושים, הלכה ומנהג, שאלות ותשובות, שלחן ערוך ומפרשיו, תלמוד בבלי</t>
  </si>
  <si>
    <t>שערי עזרא - 2 כר'</t>
  </si>
  <si>
    <t>שערי עזרא</t>
  </si>
  <si>
    <t>דרושים, הלכה ומנהג, קבלה, שאלות ותשובות, תלמוד בבלי, תלמוד בבלי</t>
  </si>
  <si>
    <t>שערי עזרה &lt;מהדורה חדשה&gt; - 2 כר'</t>
  </si>
  <si>
    <t>שערי עזרה</t>
  </si>
  <si>
    <t>טייכר, צבי אלימלך בן יוסף משה - טייכר, יוסף משה בן גרשון</t>
  </si>
  <si>
    <t>שערי עיון - 7 כר'</t>
  </si>
  <si>
    <t>מונדשיין, פנחס בן אהרן</t>
  </si>
  <si>
    <t>שערי עירובין</t>
  </si>
  <si>
    <t>שערי עץ חיים</t>
  </si>
  <si>
    <t>שערי ערכין &lt;מהד"א&gt;</t>
  </si>
  <si>
    <t>גינצבורג, צבי</t>
  </si>
  <si>
    <t>שערי ערכין &lt;מהד"ב&gt;</t>
  </si>
  <si>
    <t>שערי פדות</t>
  </si>
  <si>
    <t>שערי פרנסה</t>
  </si>
  <si>
    <t>שערי פשט - 4 כר'</t>
  </si>
  <si>
    <t>שערי צבי - 4 כר'</t>
  </si>
  <si>
    <t>רוטר, מנחם צבי בן אהרן ישעי'</t>
  </si>
  <si>
    <t>שערי צדיק - 10 כר'</t>
  </si>
  <si>
    <t>שערי צדק &lt;שער החצר&gt;</t>
  </si>
  <si>
    <t>שערי צדק &lt;תשובות הגאונים&gt;</t>
  </si>
  <si>
    <t>תשובות הגאונים (תקנ"ב)</t>
  </si>
  <si>
    <t>תשובות הגאונים (תשכ"ו)</t>
  </si>
  <si>
    <t>שערי צדק</t>
  </si>
  <si>
    <t>ארלנגר, יחיאל ליוא בן אברהם יהושע</t>
  </si>
  <si>
    <t>שערי צדק - 5 כר'</t>
  </si>
  <si>
    <t>שערי צדק - 4 כר'</t>
  </si>
  <si>
    <t>שערי צדק - קצה הארץ</t>
  </si>
  <si>
    <t>לוי בן גרשון (רלב"ג). מיוחס לו</t>
  </si>
  <si>
    <t>שערי צדק - חצר, דעת בקניינים</t>
  </si>
  <si>
    <t>שערי צדק - סולם העליה</t>
  </si>
  <si>
    <t>מחבר אנונימי - אלבוטיני, יהודה בן משה</t>
  </si>
  <si>
    <t>שערי צדק - 18 כר'</t>
  </si>
  <si>
    <t>קובץ מאמרים בדיני ממונות הלכה למעשה</t>
  </si>
  <si>
    <t>שערי ציון &lt;ליקוטים&gt;</t>
  </si>
  <si>
    <t>שערי ציון &lt;מהדורת מכון פירות גינוסר&gt;</t>
  </si>
  <si>
    <t>שערי ציון למשה</t>
  </si>
  <si>
    <t>שערי ציון - 2 כר'</t>
  </si>
  <si>
    <t>שערי ציון</t>
  </si>
  <si>
    <t>דרושים, דרושים, הלכה ומנהג</t>
  </si>
  <si>
    <t>שערי ציון - 3 כר'</t>
  </si>
  <si>
    <t>שערי ציון - 4 כר'</t>
  </si>
  <si>
    <t>די לאטיש, יצחק בן יעקב</t>
  </si>
  <si>
    <t>תל"א - תל"ב</t>
  </si>
  <si>
    <t>שערי ציון - ברכות</t>
  </si>
  <si>
    <t>כהן, בן-ציון בן אליהו</t>
  </si>
  <si>
    <t>כולל אברכים כתר תורה</t>
  </si>
  <si>
    <t>כולל אמרי יושר תורת כהנים</t>
  </si>
  <si>
    <t>שערי ציון - שבת</t>
  </si>
  <si>
    <t>שערי ציון - א</t>
  </si>
  <si>
    <t>מאסף תורני מכון אור לציון</t>
  </si>
  <si>
    <t>[תרס"ד]</t>
  </si>
  <si>
    <t>ליעדז</t>
  </si>
  <si>
    <t>שערי ציון - 24 כר'</t>
  </si>
  <si>
    <t>רבינוביץ, שמואל בן ציון בן חיים יהודה</t>
  </si>
  <si>
    <t>שערי ציון - אדר תשל"ט</t>
  </si>
  <si>
    <t>רבעון לחקר ההלכה</t>
  </si>
  <si>
    <t>רבעון לתורה ולציון</t>
  </si>
  <si>
    <t>שטרנפלד, בן-ציון בן אריה ליב</t>
  </si>
  <si>
    <t>שערי קדושה &lt;יבי"ע אומר&gt;</t>
  </si>
  <si>
    <t>וויטאל, חיים בן יוסף - עוזרי, יחיאל בן יוסף</t>
  </si>
  <si>
    <t>שערי קדושה &lt;הוצאת מישור&gt;</t>
  </si>
  <si>
    <t>שערי קדושה &lt;עם הוספות&gt;</t>
  </si>
  <si>
    <t>שערי קדושה (כת"י) - לחם תודה</t>
  </si>
  <si>
    <t>צאלח, יחיא בן יוסף - אלבדיחי, יחיא בן יהודה</t>
  </si>
  <si>
    <t>שערי קדושה (כת"י) - לקח טוב</t>
  </si>
  <si>
    <t>צאלח, יחיא בן יוסף -</t>
  </si>
  <si>
    <t>שערי קדושה (כת"י) - 2 כר'</t>
  </si>
  <si>
    <t>שערי קדושה - 11 כר'</t>
  </si>
  <si>
    <t>שערי קדושה</t>
  </si>
  <si>
    <t>שערי קדשים</t>
  </si>
  <si>
    <t>לאבנשטיין, אלימלך דוד</t>
  </si>
  <si>
    <t>שערי קודש וספר תואר משה</t>
  </si>
  <si>
    <t>שערי קודש - 6 כר'</t>
  </si>
  <si>
    <t>הכט, יצחק בן חיים מאיר</t>
  </si>
  <si>
    <t>שערי קידוש השם</t>
  </si>
  <si>
    <t>שעיו, רחמים משה בן אדמון</t>
  </si>
  <si>
    <t>שערי ראש השנה</t>
  </si>
  <si>
    <t>שערי רב שמואל בן חפני</t>
  </si>
  <si>
    <t>שערי רבית</t>
  </si>
  <si>
    <t>שערי רחמים &lt;מכון הכתב&gt; - 2 כר'</t>
  </si>
  <si>
    <t>פראנקו, רחמים יוסף בן רפאל ניסים</t>
  </si>
  <si>
    <t>שערי רחמים</t>
  </si>
  <si>
    <t>המבורגר, יעקב יהושע בן אליעזר</t>
  </si>
  <si>
    <t>שערי רחמים - 2 כר'</t>
  </si>
  <si>
    <t>כהן צדק, רחמים</t>
  </si>
  <si>
    <t>מאזוז, מנחם</t>
  </si>
  <si>
    <t>תרמ"א - תרס"ב</t>
  </si>
  <si>
    <t>קאצנלנבוגן, אברהם צבי הירש בן נחום אליה</t>
  </si>
  <si>
    <t>שערי רחמים - שערי רצון</t>
  </si>
  <si>
    <t>תפילות. סידור. תק"א. שלוניקי</t>
  </si>
  <si>
    <t>שערי ריבית</t>
  </si>
  <si>
    <t>שערי רמח"ל</t>
  </si>
  <si>
    <t>שערי רצון - 2 כר'</t>
  </si>
  <si>
    <t>שערי רצון</t>
  </si>
  <si>
    <t>שערי שבועות &lt;פתח השער&gt;</t>
  </si>
  <si>
    <t>יצחק בן ראובן - פלינק דוד</t>
  </si>
  <si>
    <t>שערי שבועות &lt;פתחי שערים&gt;</t>
  </si>
  <si>
    <t>יצחק בן ראובן - שטיבל, מנחם פנחס</t>
  </si>
  <si>
    <t>שערי שבת</t>
  </si>
  <si>
    <t>שערי שיש - יהושע</t>
  </si>
  <si>
    <t>שערי שלום וברכה</t>
  </si>
  <si>
    <t>מיהלוביץ</t>
  </si>
  <si>
    <t>שערי שלום</t>
  </si>
  <si>
    <t>טוויל, שלום יצחק בן מיכאל</t>
  </si>
  <si>
    <t>שערי שלום - 3 כר'</t>
  </si>
  <si>
    <t>רבינוביץ, שלום דוב בן חיים מאיר דוד</t>
  </si>
  <si>
    <t>שיין, שלום בן אליהו הכהן</t>
  </si>
  <si>
    <t>תפילות. סידור. תרצ"ד. סוסה</t>
  </si>
  <si>
    <t>סוסה</t>
  </si>
  <si>
    <t>שערי שלמה - 3 כר'</t>
  </si>
  <si>
    <t>שערי שלמה</t>
  </si>
  <si>
    <t>ספר זכרון &lt;ר' שלמה אכלופי&gt;</t>
  </si>
  <si>
    <t>שערי שמואל</t>
  </si>
  <si>
    <t>שערי שמות גיטין</t>
  </si>
  <si>
    <t>לוין, גדעון ליב</t>
  </si>
  <si>
    <t>שערי שמחה מהדורא תנינא</t>
  </si>
  <si>
    <t>שערי שמחה - 4 כר'</t>
  </si>
  <si>
    <t>שערי שמחה - מאמרים ומחקרים תורניים וספרותיים</t>
  </si>
  <si>
    <t>בלומנטאל, אהרן שמחה</t>
  </si>
  <si>
    <t>שערי שמחה</t>
  </si>
  <si>
    <t>מוסדות צאנז</t>
  </si>
  <si>
    <t>שערי שמחה - 3 כר'</t>
  </si>
  <si>
    <t>שערי שמחה - בבא בתרא</t>
  </si>
  <si>
    <t>שיף, שמחה בן חיים שאול הלוי</t>
  </si>
  <si>
    <t>שערי שמיטה</t>
  </si>
  <si>
    <t>שערי שמים</t>
  </si>
  <si>
    <t>יחיאל מיכל בן אריה ליב הלוי</t>
  </si>
  <si>
    <t>שערי שמים - 5 כר'</t>
  </si>
  <si>
    <t>שערי שמיעה</t>
  </si>
  <si>
    <t>שוחטוביץ, מרדכי</t>
  </si>
  <si>
    <t>שערי שמעון - 4 כר'</t>
  </si>
  <si>
    <t>שערי שמעתתא - 2 כר'</t>
  </si>
  <si>
    <t>זק"ש, מרדכי יהודה ליב בן יהושע</t>
  </si>
  <si>
    <t>שערי תבונה</t>
  </si>
  <si>
    <t>שערי תודה - 2 כר'</t>
  </si>
  <si>
    <t>תר"ע - תרע"ה</t>
  </si>
  <si>
    <t>שערי תורה &lt;בני ברק&gt; - 6 כר'</t>
  </si>
  <si>
    <t>שערי תורה &lt;ורשא&gt; - 9 כר'</t>
  </si>
  <si>
    <t>שערי תורה &lt;קראקא&gt;</t>
  </si>
  <si>
    <t>שערי תורה</t>
  </si>
  <si>
    <t>שערי תורה החדשות</t>
  </si>
  <si>
    <t>לוו, בנימין וולף בן אלעזר בן אריה ליב</t>
  </si>
  <si>
    <t>ביבאס, רפאל</t>
  </si>
  <si>
    <t>[תע"ח,</t>
  </si>
  <si>
    <t>המבורג,</t>
  </si>
  <si>
    <t>שערי תורה - 3 כר'</t>
  </si>
  <si>
    <t>ירושלים. ישיבת "אנשי מעמד"</t>
  </si>
  <si>
    <t>שערי תורה - 6 כר'</t>
  </si>
  <si>
    <t>תקפ"א - תרל"ב</t>
  </si>
  <si>
    <t>דרושים, שלחן ערוך ומפרשיו, תלמוד בבלי, תלמוד בבלי, תלמוד בבלי</t>
  </si>
  <si>
    <t>שערי תורה - ב"מ, שבועות, מכות</t>
  </si>
  <si>
    <t>קובץ ישיבת שערי תורה</t>
  </si>
  <si>
    <t>תשנ"ט - תש"ס</t>
  </si>
  <si>
    <t>שערי תורה - תרפ"ה - תרפ"ט</t>
  </si>
  <si>
    <t>שערי תורת ארץ ישראל</t>
  </si>
  <si>
    <t>רבינוביץ, זאב וולף בן חיים שלמה</t>
  </si>
  <si>
    <t>שערי תורת בבל</t>
  </si>
  <si>
    <t>שערי תורת הבית - 2 כר'</t>
  </si>
  <si>
    <t>שערי תורת התקנות - 6 כר'</t>
  </si>
  <si>
    <t>תרל"ט - תרס"ו</t>
  </si>
  <si>
    <t>שערי תירוצין</t>
  </si>
  <si>
    <t>שערי תערובת</t>
  </si>
  <si>
    <t>שערי תפילה</t>
  </si>
  <si>
    <t>סאסי, כהן</t>
  </si>
  <si>
    <t>שערי תפילה, חובת התפילה</t>
  </si>
  <si>
    <t>שערי תפלה &lt;פרוכת המסך&gt;</t>
  </si>
  <si>
    <t>שערי תפלה</t>
  </si>
  <si>
    <t>שערי תפלה - 2 כר'</t>
  </si>
  <si>
    <t>שערי תרומות ומעשרות</t>
  </si>
  <si>
    <t>כולל תפארת רחמים</t>
  </si>
  <si>
    <t>שערי תשובה &lt;המבואר&gt;</t>
  </si>
  <si>
    <t>שערי תשובה &lt;בינת השער&gt; - 2 כר'</t>
  </si>
  <si>
    <t>גירונדי, יונה בן אברהם  וגשל, יהודה אריה בן יששכר צבי</t>
  </si>
  <si>
    <t>שערי תשובה &lt;פי כהן&gt;</t>
  </si>
  <si>
    <t>גירונדי, יונה בן אברהם - אייכארן, יששכר דוב בן יעקב יצחק הכהן</t>
  </si>
  <si>
    <t>שערי תשובה &lt;פירוש וביאור מרי"ד&gt;</t>
  </si>
  <si>
    <t>גירונדי, יונה בן אברהם - אקרמן מרדכי דוד</t>
  </si>
  <si>
    <t>שערי תשובה &lt;דלתי תשובה&gt;</t>
  </si>
  <si>
    <t>גירונדי, יונה בן אברהם - בן שושן יצחק</t>
  </si>
  <si>
    <t>שערי תשובה &lt;עם ביאור דלתי תשובה&gt;</t>
  </si>
  <si>
    <t>גירונדי, יונה בן אברהם - בן שושן, יצחק בן יוסף</t>
  </si>
  <si>
    <t>שערי תשובה &lt;משיבת נפש&gt;</t>
  </si>
  <si>
    <t>שערי תשובה &lt;פתחי תשובה&gt;</t>
  </si>
  <si>
    <t>גירונדי, יונה בן אברהם - ורנר, מאיר שמעון בן שמואל ברוך</t>
  </si>
  <si>
    <t>שערי תשובה &lt;שערי מאור&gt;</t>
  </si>
  <si>
    <t>גירונדי, יונה בן אברהם - טובולסקי, מאיר בן מנחם אריה</t>
  </si>
  <si>
    <t>שערי תשובה &lt;דרך תשובה&gt;</t>
  </si>
  <si>
    <t>גירונדי, יונה בן אברהם - ליפקין, חיים יצחק</t>
  </si>
  <si>
    <t>שערי תשובה &lt;ביאורים והערות&gt;</t>
  </si>
  <si>
    <t>גירונדי, יונה בן אברהם - קימל, פנחס מרדכי הכהן</t>
  </si>
  <si>
    <t>שערי תשובה &lt;הרוצה בתשובה&gt;</t>
  </si>
  <si>
    <t>גירונדי, יונה בן אברהם - רוט, אליהו</t>
  </si>
  <si>
    <t>שערי תשובה &lt;אור חדש&gt;</t>
  </si>
  <si>
    <t>שערי תשובה &lt;ביאורים ועיונים&gt;</t>
  </si>
  <si>
    <t>שערי תשובה &lt;דפו"ר&gt; - 2 כר'</t>
  </si>
  <si>
    <t>שערי תשובה &lt;זה השער&gt;</t>
  </si>
  <si>
    <t>שערי תשובה &lt;כנפי יונה&gt;</t>
  </si>
  <si>
    <t>שערי תשובה &lt;ליקוטי שערי תשובה&gt;</t>
  </si>
  <si>
    <t>שערי תשובה &lt;ע"פ כת"י ודפו"ר עם מ"מ ציונים והשלמות&gt;</t>
  </si>
  <si>
    <t>שערי תשובה &lt;עם הערות טובות ומועילות&gt;</t>
  </si>
  <si>
    <t>שערי תשובה &lt;ביקור חולים&gt; - א</t>
  </si>
  <si>
    <t>סייפרט, יצחק - גירונדי, יונה בן אברהם</t>
  </si>
  <si>
    <t>שערי תשובה המפורש והמבואר - 2 כר'</t>
  </si>
  <si>
    <t>גירונדי, יונה בן אברהם - שלזינגר, ישראל דוד</t>
  </si>
  <si>
    <t>שערי תשובה ע"פ שערי חיים</t>
  </si>
  <si>
    <t>גירונדי, יונה בן אברהם - מרקוס, יעקב אברהם בן בן ציון</t>
  </si>
  <si>
    <t>שערי תשובה עם פירוש בקור חולים</t>
  </si>
  <si>
    <t>סייפערט, יצחק</t>
  </si>
  <si>
    <t>שערי תשובה</t>
  </si>
  <si>
    <t>שערי תשובה - 6 כר'</t>
  </si>
  <si>
    <t>שעריו בתודה</t>
  </si>
  <si>
    <t>קובץ - ישיבת מיר מודיעין עלית</t>
  </si>
  <si>
    <t>שערים אל הפנימיות</t>
  </si>
  <si>
    <t>בניש, חיים פ.</t>
  </si>
  <si>
    <t>שערים בהלכה</t>
  </si>
  <si>
    <t>שערים במשפט - 2 כר'</t>
  </si>
  <si>
    <t>הכסטר, יעקב</t>
  </si>
  <si>
    <t>שערים בעבודה</t>
  </si>
  <si>
    <t>אפללו, מרדכי משה בן שלמה</t>
  </si>
  <si>
    <t>שערים בעירובין</t>
  </si>
  <si>
    <t>שערים בצניעות</t>
  </si>
  <si>
    <t>שערים בקבוע</t>
  </si>
  <si>
    <t>עטייה, בניהו בן מרדכי</t>
  </si>
  <si>
    <t>שערים ברבית</t>
  </si>
  <si>
    <t>שערים בתפלה</t>
  </si>
  <si>
    <t>שערים המצויינים</t>
  </si>
  <si>
    <t>ישיבת אבני נזר</t>
  </si>
  <si>
    <t>שערים המצויינים - 2 כר'</t>
  </si>
  <si>
    <t>כולל שערי ציון</t>
  </si>
  <si>
    <t>שערים מצויינים בהלכה (על הקצש"ע) - 4 כר'</t>
  </si>
  <si>
    <t>ברוין, שלמה זלמן</t>
  </si>
  <si>
    <t>שערים מצויינים - 2 כר'</t>
  </si>
  <si>
    <t>בנדיקט, מרדכי בן חיים</t>
  </si>
  <si>
    <t>שערים</t>
  </si>
  <si>
    <t>בטאון פועלי אגודת ישראל</t>
  </si>
  <si>
    <t>וולפסברג, ישעיהו בן דוד</t>
  </si>
  <si>
    <t>ורנר, שלמה</t>
  </si>
  <si>
    <t>שעשה ניסים</t>
  </si>
  <si>
    <t>שעשוע אפרים - 7 כר'</t>
  </si>
  <si>
    <t>רוטשילד, אפרים נתן בן בנימין</t>
  </si>
  <si>
    <t>שעשוע התלמידים</t>
  </si>
  <si>
    <t>שעשוע מצוה - 2 כר'</t>
  </si>
  <si>
    <t>עידאן, משה בן כליפה</t>
  </si>
  <si>
    <t>שעשועי אהרן</t>
  </si>
  <si>
    <t>קאהן, אהרן</t>
  </si>
  <si>
    <t>שעשועי אמונה - 2 כר'</t>
  </si>
  <si>
    <t>שעשועי אפרים</t>
  </si>
  <si>
    <t>כהן, אפרים בן שלום</t>
  </si>
  <si>
    <t>שעשועי אפרים - 3 כר'</t>
  </si>
  <si>
    <t>קונטרמאן, חיים אפרים פישל בן יצחק אייזיק</t>
  </si>
  <si>
    <t>שעשועי בני אדם</t>
  </si>
  <si>
    <t>שעשועי דאורייתא - א</t>
  </si>
  <si>
    <t>פיינגולד, מאיר</t>
  </si>
  <si>
    <t>שעשועי היהדות</t>
  </si>
  <si>
    <t>שעשועי חנוכה</t>
  </si>
  <si>
    <t>פייבלוביץ, שרגא פייביל</t>
  </si>
  <si>
    <t>שעשועי יעקב - 2 כר'</t>
  </si>
  <si>
    <t>סטפנסקי, יעקב</t>
  </si>
  <si>
    <t>שעשועי לוי</t>
  </si>
  <si>
    <t>קרופני, לוי</t>
  </si>
  <si>
    <t>שעשועי לשון ירושלים</t>
  </si>
  <si>
    <t>טוהר, מרדכי</t>
  </si>
  <si>
    <t>שעשועי לשון מסכת אבות</t>
  </si>
  <si>
    <t>שעשועי לשון - בראשית</t>
  </si>
  <si>
    <t>שעשועי מועד</t>
  </si>
  <si>
    <t>רעננערט, חיים בן מרדכי</t>
  </si>
  <si>
    <t>שעשועי מרדכי - ברכות א</t>
  </si>
  <si>
    <t>שעשועי צבי - א</t>
  </si>
  <si>
    <t>שעשועי תורה</t>
  </si>
  <si>
    <t>שעשועי תורה - גיטין</t>
  </si>
  <si>
    <t>קובץ ישיבת תורת משה</t>
  </si>
  <si>
    <t>שעשועי תורה - 9 כר'</t>
  </si>
  <si>
    <t>שורצמן, יוסף מרדכי בן שמואל עוזיאל</t>
  </si>
  <si>
    <t>שעשועים יום יום - 3 כר'</t>
  </si>
  <si>
    <t>שעת הכושר</t>
  </si>
  <si>
    <t>שעת הרחמים</t>
  </si>
  <si>
    <t>דמרי, רחמים מעתוק</t>
  </si>
  <si>
    <t>שעת רצון &lt;מהדורת עלי עין&gt;</t>
  </si>
  <si>
    <t>שעת רצון</t>
  </si>
  <si>
    <t>שפ"ר התיקונים</t>
  </si>
  <si>
    <t>תיקונים. ליל שבועות. תי"ט. ונציה</t>
  </si>
  <si>
    <t>שפה אחת ודברים אחדים &lt;קינה על מות רבי שמואל אבוהב&gt;</t>
  </si>
  <si>
    <t>יהושע יוסף בן דוד הלוי</t>
  </si>
  <si>
    <t>שפה ברורה &lt;הלכה ברורה&gt;</t>
  </si>
  <si>
    <t>קוסובסקי, שמחה</t>
  </si>
  <si>
    <t>שפה ברורה - 3 כר'</t>
  </si>
  <si>
    <t>ר"צ - תש"ל</t>
  </si>
  <si>
    <t>קושטא - ירושלים</t>
  </si>
  <si>
    <t>שפה ברורה</t>
  </si>
  <si>
    <t>ברסלר, יהושע עבדיה</t>
  </si>
  <si>
    <t>סגל, שרגא פייבל בן משה</t>
  </si>
  <si>
    <t>זולקוהZholkva</t>
  </si>
  <si>
    <t>פולק, שרגא בן בן ציון אריה (מלקט)</t>
  </si>
  <si>
    <t>שפה לנאמנים</t>
  </si>
  <si>
    <t>שפה לנאמנים - 2 כר'</t>
  </si>
  <si>
    <t>שפוך חמתך</t>
  </si>
  <si>
    <t>קורניק, חיים צבי</t>
  </si>
  <si>
    <t>שפוני טמוני חול &lt;מפי השמועה&gt;</t>
  </si>
  <si>
    <t>שפוני טמוני חול - 3 כר'</t>
  </si>
  <si>
    <t>שפירי ירושלים</t>
  </si>
  <si>
    <t>שפך שיח</t>
  </si>
  <si>
    <t>סטוליר, איזיק ליב בן שרגא עזריה</t>
  </si>
  <si>
    <t>שפכי כמים - תפילות תחינות ובקשות</t>
  </si>
  <si>
    <t>שפע חיים &lt;מכתבי תורה&gt; - 6 כר'</t>
  </si>
  <si>
    <t>שפע חיים &lt;תורה ומועדים&gt; - 23 כר'</t>
  </si>
  <si>
    <t>שפע חיים (רעוא דרעוין) - בראשית-תולדות</t>
  </si>
  <si>
    <t>שפע חיים - 21 כר'</t>
  </si>
  <si>
    <t>שפע טהרה</t>
  </si>
  <si>
    <t>שפע טל &lt;דפו"ר&gt;</t>
  </si>
  <si>
    <t>שפע טל - 3 כר'</t>
  </si>
  <si>
    <t>שפע ימים</t>
  </si>
  <si>
    <t>אביקסיס, יוחאי בן משה</t>
  </si>
  <si>
    <t>שפע ימים - 2 כר'</t>
  </si>
  <si>
    <t>שפע מצות תפילין</t>
  </si>
  <si>
    <t>שפע מצות - 2 כר'</t>
  </si>
  <si>
    <t>קרויז, יהודה בן שמעון חיים סג"ל</t>
  </si>
  <si>
    <t>שפע רב</t>
  </si>
  <si>
    <t>שפעת רביבים</t>
  </si>
  <si>
    <t>שפר התיקונים</t>
  </si>
  <si>
    <t>שלזינגר, יוסף</t>
  </si>
  <si>
    <t>שפריר צדק</t>
  </si>
  <si>
    <t>שפת אמת &lt;בני בינה&gt; - 14 כר'</t>
  </si>
  <si>
    <t>שפת אמת &lt;מהדורת אור עציון&gt; - 12 כר'</t>
  </si>
  <si>
    <t>שפת אמת &lt;ש"ס&gt; - 4 כר'</t>
  </si>
  <si>
    <t>שפת אמת &lt;מהדורה חדשה&gt; - 3 כר'</t>
  </si>
  <si>
    <t>שפת אמת &lt;פרשת אלה מסעי&gt;</t>
  </si>
  <si>
    <t>שפת אמת ולשון זהורית - 2 כר'</t>
  </si>
  <si>
    <t>שפת אמת ליקוטים - 2 כר'</t>
  </si>
  <si>
    <t>שפת אמת על סדר התפילה - 2 כר'</t>
  </si>
  <si>
    <t>שפת אמת על תיקוני הזהר</t>
  </si>
  <si>
    <t>שפת אמת תיכון לעד - יומא &lt;מכת"י&gt;</t>
  </si>
  <si>
    <t>שפת אמת תיכון לעד - 2 כר'</t>
  </si>
  <si>
    <t>מכון ארזי הלבנון</t>
  </si>
  <si>
    <t>שפת אמת תכון לעד</t>
  </si>
  <si>
    <t>שפת אמת - ליקוטי יהודה - סידור תפילה</t>
  </si>
  <si>
    <t>שפת אמת - 15 כר'</t>
  </si>
  <si>
    <t>תרס"ה - תרס"ח</t>
  </si>
  <si>
    <t>שפת אמת - ספר רות, שבועות</t>
  </si>
  <si>
    <t>אלטר, יהודה אריה לייב בן אברהם מרדכי</t>
  </si>
  <si>
    <t>שפת אמת - 5 כר'</t>
  </si>
  <si>
    <t>שפת אמת - ירח האיתנים</t>
  </si>
  <si>
    <t>שפת אמת</t>
  </si>
  <si>
    <t>הלר, משולם פייבוש בן ברוך יצחק הלוי</t>
  </si>
  <si>
    <t>שפת אמת - 2 כר'</t>
  </si>
  <si>
    <t>תקנ"ז - תקנ"ט</t>
  </si>
  <si>
    <t>כהן, בנציון</t>
  </si>
  <si>
    <t>סאטמאר. קהל עדת ישורון</t>
  </si>
  <si>
    <t>פאלק, אלכסנדר בן משה זלמן</t>
  </si>
  <si>
    <t>לובצ'וב Lubaczow</t>
  </si>
  <si>
    <t>תפילות. סידור. תקצ"ב. צפת</t>
  </si>
  <si>
    <t>שפת הג"ן</t>
  </si>
  <si>
    <t>אלטר, יהודה אריה ליב בן אברהם מרדכי - הנדלר, אריה</t>
  </si>
  <si>
    <t>שפת החושן - 3 כר'</t>
  </si>
  <si>
    <t>שפת הים &lt;על הגדה של פסח&gt;</t>
  </si>
  <si>
    <t>שפת הים &lt;מהדורה חדשה&gt;</t>
  </si>
  <si>
    <t>גלבארט, ישראל בן מרדכי</t>
  </si>
  <si>
    <t>שפת הים - 3 כר'</t>
  </si>
  <si>
    <t>שפת הים - 5 כר'</t>
  </si>
  <si>
    <t>וולפסון, יחיאל מיכל בן נתנאל</t>
  </si>
  <si>
    <t>תרל"ה - תרמ"ט</t>
  </si>
  <si>
    <t>שפת הים</t>
  </si>
  <si>
    <t>שפת הים - 2 כר'</t>
  </si>
  <si>
    <t>סג"ל, יחזקאל מנחם זיסקינד בן אריה הלל הלוי</t>
  </si>
  <si>
    <t>שפת המעיל - 2 כר'</t>
  </si>
  <si>
    <t>שפת הנחל</t>
  </si>
  <si>
    <t>וויזענפעלד, שמעון יוסף בן מאיר פישל הכהן</t>
  </si>
  <si>
    <t>שפת השולחן - 2 כר'</t>
  </si>
  <si>
    <t>קלזאן, משה בן שמעון</t>
  </si>
  <si>
    <t>שפת השלחן - 2 כר'</t>
  </si>
  <si>
    <t>שפת חיים - 13 כר'</t>
  </si>
  <si>
    <t>שפת יתר</t>
  </si>
  <si>
    <t>שפת שלום - 4 כר'</t>
  </si>
  <si>
    <t>גינסברגר, שלום בן שרגא</t>
  </si>
  <si>
    <t>שפת שלמה - 2 כר'</t>
  </si>
  <si>
    <t>אונסדארפער, שלמה זלמן</t>
  </si>
  <si>
    <t>שפת שלמה - טהרות</t>
  </si>
  <si>
    <t>גרדנר, שלמה</t>
  </si>
  <si>
    <t>שפת תמים - 2 כר'</t>
  </si>
  <si>
    <t>שפתותיהם דובבות - בראשית</t>
  </si>
  <si>
    <t>גנוזות ומרגליות נדירות מרבותינו האחרונים</t>
  </si>
  <si>
    <t>שפתי אברהם</t>
  </si>
  <si>
    <t>רוטנברג, אברהם חיים ראובן יחזקיה בן יעק</t>
  </si>
  <si>
    <t>שפתי אהרן - 5 כר'</t>
  </si>
  <si>
    <t>בערגסאז</t>
  </si>
  <si>
    <t>שפתי אהרן</t>
  </si>
  <si>
    <t>כץ, אהרן זאב</t>
  </si>
  <si>
    <t>שפתי איל</t>
  </si>
  <si>
    <t>שפתי אליעזר</t>
  </si>
  <si>
    <t>שפתי אשר</t>
  </si>
  <si>
    <t>יונגרייז, אשר אנשל הלוי</t>
  </si>
  <si>
    <t>שפתי בינה</t>
  </si>
  <si>
    <t>דייטש, שמחה בונם בן רפאל הלוי</t>
  </si>
  <si>
    <t>שפתי בנימין</t>
  </si>
  <si>
    <t>פרץ, בנימין ישראל</t>
  </si>
  <si>
    <t>שפתי גבריאל</t>
  </si>
  <si>
    <t>געשטטנר, גבריאל</t>
  </si>
  <si>
    <t>שפתי דעת &lt;שו"ת&gt; - 2 כר'</t>
  </si>
  <si>
    <t>חפוטא, משה יעקב בן אברהם</t>
  </si>
  <si>
    <t>שפתי דעת &lt;מהדורה חדשה&gt; - 2 כר'</t>
  </si>
  <si>
    <t>שפתי דעת - מועדים</t>
  </si>
  <si>
    <t>ארנברג, יהושע</t>
  </si>
  <si>
    <t>שפתי דעת - על שיר השירים</t>
  </si>
  <si>
    <t>שפתי דעת - 2 כר'</t>
  </si>
  <si>
    <t>שפתי דעת</t>
  </si>
  <si>
    <t>שפתי חיים &lt;על התורה&gt; - 3 כר'</t>
  </si>
  <si>
    <t>שפתי חיים</t>
  </si>
  <si>
    <t>פינטו, חיים - יאשיהו יוסף בן חיים</t>
  </si>
  <si>
    <t>שפתי חיים - 10 כר'</t>
  </si>
  <si>
    <t>שפתי חכמה - יבמות</t>
  </si>
  <si>
    <t>קובץ אור אלחנן</t>
  </si>
  <si>
    <t>שפתי חכמים</t>
  </si>
  <si>
    <t>שפתי חכמים - 6 כר'</t>
  </si>
  <si>
    <t>לוונזון, יהושע</t>
  </si>
  <si>
    <t>שפתי חכמים - 3 כר'</t>
  </si>
  <si>
    <t>מאסף וקובץ הלכתי</t>
  </si>
  <si>
    <t>שפתי חן</t>
  </si>
  <si>
    <t>זאמקוב, חיים יחיאל בן מרדכי הכהן</t>
  </si>
  <si>
    <t>קרויס, שמואל</t>
  </si>
  <si>
    <t>שפתי יעקב</t>
  </si>
  <si>
    <t>קולודני, אלכסנדר זיסקינד יעקב בן אפרים גרשון כ"ץ</t>
  </si>
  <si>
    <t>שפתי יצחק - 6 כר'</t>
  </si>
  <si>
    <t>שפתי יצחק - רות, תורה</t>
  </si>
  <si>
    <t>פרידמן, יצחק</t>
  </si>
  <si>
    <t>שפתי ישינים - 4 כר'</t>
  </si>
  <si>
    <t>שפתי ישנים - ב</t>
  </si>
  <si>
    <t>חברת תפארת בחורים</t>
  </si>
  <si>
    <t>שפתי ישנים</t>
  </si>
  <si>
    <t>כהניו, משה נחמיה</t>
  </si>
  <si>
    <t>שפתי ישנים - 2 כר'</t>
  </si>
  <si>
    <t>ראווידוביץ, שבתי בן משה זלמן</t>
  </si>
  <si>
    <t>שפתי ישרים</t>
  </si>
  <si>
    <t>הרבנים לבית יונגרייז, שיק, רייניץ</t>
  </si>
  <si>
    <t>שפתי כהן &lt;מהדורה חדשה&gt; - 2 כר'</t>
  </si>
  <si>
    <t>מרדכי הכהן מצפת</t>
  </si>
  <si>
    <t>שפתי כהן - א</t>
  </si>
  <si>
    <t>שפתי כהן - 3 כר'</t>
  </si>
  <si>
    <t>תכ"ג</t>
  </si>
  <si>
    <t>שפתי כהן</t>
  </si>
  <si>
    <t>שפתי כהן - 8 כר'</t>
  </si>
  <si>
    <t>שפתי כהן - שבועות</t>
  </si>
  <si>
    <t>שפתי כהנים</t>
  </si>
  <si>
    <t>רפאפורט, שבתי בן אברהם אבלי הכהן</t>
  </si>
  <si>
    <t>שפתי מהר"ש &lt;מהדורה חדשה&gt; - 2 כר'</t>
  </si>
  <si>
    <t>שפתי מהר"ש השלם</t>
  </si>
  <si>
    <t>שפתי מהר"ש</t>
  </si>
  <si>
    <t>שפתי מלך - 4 כר'</t>
  </si>
  <si>
    <t>שפתי מלך</t>
  </si>
  <si>
    <t>שפתי מנחם - 3 כר'</t>
  </si>
  <si>
    <t>שפתי מרדכי</t>
  </si>
  <si>
    <t>רוזנבוים, מרדכי</t>
  </si>
  <si>
    <t>שפתי משה</t>
  </si>
  <si>
    <t>וייס, משה</t>
  </si>
  <si>
    <t>לשינסקי, משה</t>
  </si>
  <si>
    <t>שפתי נבונים - אורח חיים</t>
  </si>
  <si>
    <t>שפתי עני - 8 כר'</t>
  </si>
  <si>
    <t>שפתי צדיק</t>
  </si>
  <si>
    <t>האגר, שמואל אברהם אבא בן ברוך</t>
  </si>
  <si>
    <t>חמו, אברהם</t>
  </si>
  <si>
    <t>שפתי צדיק - 6 כר'</t>
  </si>
  <si>
    <t>שפתי צדיקים &lt;מישור&gt;</t>
  </si>
  <si>
    <t>יהושע השל בן יוסף ישראל</t>
  </si>
  <si>
    <t>שפתי צדיקים &lt;מהדורה חדשה&gt;</t>
  </si>
  <si>
    <t>לרנר, פינחס מדינוביץ</t>
  </si>
  <si>
    <t>שפתי צדיקים</t>
  </si>
  <si>
    <t>ליינר, יעקב בן חיים אשר</t>
  </si>
  <si>
    <t>שפתי צדיקים - 2 כר'</t>
  </si>
  <si>
    <t>מוצפי, סלמן</t>
  </si>
  <si>
    <t>שפתי צדק</t>
  </si>
  <si>
    <t>צדוק בן יהושע מגירטגולה</t>
  </si>
  <si>
    <t>שפתי צדק - 2 כר'</t>
  </si>
  <si>
    <t>קובץ תורני ישיבת שפתי צדק</t>
  </si>
  <si>
    <t>שפתי קדושים - 3 כר'</t>
  </si>
  <si>
    <t>שפתי קודש</t>
  </si>
  <si>
    <t>שפתי רא"ם</t>
  </si>
  <si>
    <t>שפתי ראם - 2 כר'</t>
  </si>
  <si>
    <t>רוזנבוים, אשר מרדכי בן ישכר בער</t>
  </si>
  <si>
    <t>שפתי רננה</t>
  </si>
  <si>
    <t>שפתי רננות</t>
  </si>
  <si>
    <t>ארייאש, רחמים אריה אברהם בן עמנואל הכהן</t>
  </si>
  <si>
    <t>שפתי רננות - 2 כר'</t>
  </si>
  <si>
    <t>סליחות כמנהג ג'רבא ולוב</t>
  </si>
  <si>
    <t>שפתי רננות - 4 כר'</t>
  </si>
  <si>
    <t>תפילות. סידור. תרי"ג. פרנקפורט דמין</t>
  </si>
  <si>
    <t>תפילות. סליחות. ת"ח. ונציה</t>
  </si>
  <si>
    <t>תפילות. סליחות. תקצ"ז. ליוורנו</t>
  </si>
  <si>
    <t>שפתי שושנים</t>
  </si>
  <si>
    <t>יאבלונקה, יעקב מאיר בן שלום נטע שלמה</t>
  </si>
  <si>
    <t>שפתי שלמה</t>
  </si>
  <si>
    <t>אונסדורפר, שלמה זלמן</t>
  </si>
  <si>
    <t>גרביצקי, שלמה דוד</t>
  </si>
  <si>
    <t>שפתי שלמה - 2 כר'</t>
  </si>
  <si>
    <t>פרישוואסר, שלמה ישראל</t>
  </si>
  <si>
    <t>שפתי שמואל</t>
  </si>
  <si>
    <t>אונסדורפר, שמואל אלכסנדר בן שלמה זלמן</t>
  </si>
  <si>
    <t>שפתי שמעון</t>
  </si>
  <si>
    <t>מילר, שמעון זאב</t>
  </si>
  <si>
    <t>שפתי תפתח</t>
  </si>
  <si>
    <t>כורדי, גבריאל</t>
  </si>
  <si>
    <t>שפתיו דובבות</t>
  </si>
  <si>
    <t>צדיקי אלכסנדר</t>
  </si>
  <si>
    <t>שפתים ישק</t>
  </si>
  <si>
    <t>שקוד - קהילת שקוד</t>
  </si>
  <si>
    <t>שקיעין - מדרשי תימן</t>
  </si>
  <si>
    <t>שקל הקדש</t>
  </si>
  <si>
    <t>וולק, מנחם יוסף בן עזריאל הכהן</t>
  </si>
  <si>
    <t>שקל הקדש - יסוד היראה</t>
  </si>
  <si>
    <t>שמעון שלמה מאליק</t>
  </si>
  <si>
    <t>שקל הקודש</t>
  </si>
  <si>
    <t>שקלא וטריא - חלה</t>
  </si>
  <si>
    <t>גריינמן, ישראל בן יצחק דוד</t>
  </si>
  <si>
    <t>שקלא וטריא - 6 כר'</t>
  </si>
  <si>
    <t>פיבלזון, דוד</t>
  </si>
  <si>
    <t>שקלי גולה</t>
  </si>
  <si>
    <t>שקתות המים</t>
  </si>
  <si>
    <t>שר היהודים בוינה</t>
  </si>
  <si>
    <t>שר הלשון</t>
  </si>
  <si>
    <t>פרנקנהויז, אברהם שמואל בנימין</t>
  </si>
  <si>
    <t>שר המאיר</t>
  </si>
  <si>
    <t>סגל לנדא, מאיר בן מרדכי זיסקינד</t>
  </si>
  <si>
    <t>שר התורה מסוכצ'וב</t>
  </si>
  <si>
    <t>היחיאלי, דוד</t>
  </si>
  <si>
    <t>שר התפארת שלמה מרדומסק</t>
  </si>
  <si>
    <t>צבי, משה</t>
  </si>
  <si>
    <t>שר וגדול</t>
  </si>
  <si>
    <t>שר שלום</t>
  </si>
  <si>
    <t>אריפול, שמואל בן יצחק - גאליקו, אלישע בן גבריאל</t>
  </si>
  <si>
    <t>שלום בן שמריה ספרדי</t>
  </si>
  <si>
    <t>קונסקה וולה Konskow</t>
  </si>
  <si>
    <t>שרביט הזהב &lt;מהדורה חדשה&gt; - 2 כר'</t>
  </si>
  <si>
    <t>שרביט הזהב החדש &lt;ברית אבות&gt;</t>
  </si>
  <si>
    <t>שרביט הזהב</t>
  </si>
  <si>
    <t>שרביט הזהב - 2 כר'</t>
  </si>
  <si>
    <t>שרביט הזהב - 3 כר'</t>
  </si>
  <si>
    <t>תרמ"ט - תרנ"ג</t>
  </si>
  <si>
    <t>שרביט הזהב  - פורים</t>
  </si>
  <si>
    <t>שרביט השולחן - שבת א</t>
  </si>
  <si>
    <t>שרגא בטהרה</t>
  </si>
  <si>
    <t>פרידמן, שמואל דוד בן צבי הכהן</t>
  </si>
  <si>
    <t>שרגא המאיר &lt;על התורה&gt;</t>
  </si>
  <si>
    <t>שנבלג, שרגא פיביש בן דוד</t>
  </si>
  <si>
    <t>שרגא ליחזקאל</t>
  </si>
  <si>
    <t>בראך, אברהם - בראך, שמעון יואל</t>
  </si>
  <si>
    <t>שרגי טובא</t>
  </si>
  <si>
    <t>שרגי נהורא</t>
  </si>
  <si>
    <t>שרגי נפישי</t>
  </si>
  <si>
    <t>שרה שנירר &lt;עצרת זכרון במלאת ארבעים לפטירתה&gt;</t>
  </si>
  <si>
    <t>מרכז בית יעקב</t>
  </si>
  <si>
    <t>שרה שנירר אם בישראל</t>
  </si>
  <si>
    <t>שרה שנירר</t>
  </si>
  <si>
    <t>שרופי הכבשן מאשימים &lt;מהדורה מורחבת&gt;</t>
  </si>
  <si>
    <t>שנפלד, משה (עם תוספות מכותב אחר)</t>
  </si>
  <si>
    <t>שרופי הכבשן מאשימים</t>
  </si>
  <si>
    <t>שרח שאהין - פורים נאמה</t>
  </si>
  <si>
    <t>שרי האלף - 2 כר'</t>
  </si>
  <si>
    <t>שרי האלף - הוספות</t>
  </si>
  <si>
    <t>עמנואל, שמחה בן יונה</t>
  </si>
  <si>
    <t>שרי מאות</t>
  </si>
  <si>
    <t>סעדון, פנחס בן אהרן</t>
  </si>
  <si>
    <t>שרי נפתלי - וסתות</t>
  </si>
  <si>
    <t>שרי צבאות ישראל</t>
  </si>
  <si>
    <t>מצרים. רבנים</t>
  </si>
  <si>
    <t>שרי צבי</t>
  </si>
  <si>
    <t>צבי הירש מבולחוב</t>
  </si>
  <si>
    <t>שריגי הגפן - גיטין פרק השולח</t>
  </si>
  <si>
    <t>שטרן, ישראל יוסף בן גבריאל שמואל</t>
  </si>
  <si>
    <t>שריד בערכין</t>
  </si>
  <si>
    <t>לינדרמאן, שמחה אברהם</t>
  </si>
  <si>
    <t>שריד ופליט</t>
  </si>
  <si>
    <t>שריד לדור דעה</t>
  </si>
  <si>
    <t>שריד מקדשנו</t>
  </si>
  <si>
    <t>שרידי אש &lt;גחלי אש&gt; - 3 כר'</t>
  </si>
  <si>
    <t>שרידי אש &lt;שו"ת&gt; - 2 כר'</t>
  </si>
  <si>
    <t>שרידי אש - 4 כר'</t>
  </si>
  <si>
    <t>שרידי בבלי - 2 כר'</t>
  </si>
  <si>
    <t>דימיטרובסקי, חיים זלמן בן יעקב יוסף הלוי (עורך)</t>
  </si>
  <si>
    <t>שרידי הירושלמי</t>
  </si>
  <si>
    <t>תלמוד ירושלמי. תרס"ט. ניו יורק</t>
  </si>
  <si>
    <t>שרידי ויקרא רבה מגניזת מצרים</t>
  </si>
  <si>
    <t>שרידי יאודה</t>
  </si>
  <si>
    <t>שרידים בכתבי יד מפירושו של ר' שמואל בן חפני על התורה</t>
  </si>
  <si>
    <t>גרינבוים, אהרן</t>
  </si>
  <si>
    <t>שרידים מפירוש הראב"ד למסכת בבא בתרא</t>
  </si>
  <si>
    <t>שרידים מפרושי הראשונים - שבת</t>
  </si>
  <si>
    <t>ליברמן,  אברהם בן ישראל יוסף כהנא</t>
  </si>
  <si>
    <t>נושאים שונים, קבצים וכתבי עת, ספרי זכרון ויובל, תלמוד בבלי, תלמוד בבלי</t>
  </si>
  <si>
    <t>שרידים נוספים של תקיעתות בנוסח יוסי בן יוסי (תדפיס)</t>
  </si>
  <si>
    <t>שרידים - 26 כר'</t>
  </si>
  <si>
    <t>בטאון רבני אירופה</t>
  </si>
  <si>
    <t>שרידים</t>
  </si>
  <si>
    <t>מחשבה ומוסר, נושאים שונים, תולדות עם ישראל, תפלות בקשות פיוטים ושירה</t>
  </si>
  <si>
    <t>שרים ושופטי אר"ץ</t>
  </si>
  <si>
    <t>שרים, מתתיהו</t>
  </si>
  <si>
    <t>שריפת התלמוד באיטליה</t>
  </si>
  <si>
    <t>שרף פרי עץ חיים</t>
  </si>
  <si>
    <t>שרפי קודש - 2 כר'</t>
  </si>
  <si>
    <t>ווינר, יעקב יוסף</t>
  </si>
  <si>
    <t>שרש יוסף</t>
  </si>
  <si>
    <t>שרש ישי &lt;מהדורה חדשה&gt;</t>
  </si>
  <si>
    <t>שרש ישי</t>
  </si>
  <si>
    <t>בלאך, שמואל זוסיא</t>
  </si>
  <si>
    <t>לווין, ישראל יצחק בן יוסף שמעון הלוי</t>
  </si>
  <si>
    <t>תנ"ך. שכ"א. קושטא</t>
  </si>
  <si>
    <t>שרש ישע - 2 כר'</t>
  </si>
  <si>
    <t>יצחק איצק בן צבי הירש</t>
  </si>
  <si>
    <t>שרשי האילן</t>
  </si>
  <si>
    <t>לכבוד הרב אהרן גרז</t>
  </si>
  <si>
    <t>שרשי הי"ם &lt;מהדורה חדשה&gt; - 3 כר'</t>
  </si>
  <si>
    <t>שרשי הי"ם - 4 כר'</t>
  </si>
  <si>
    <t>שרשי הים - 6 כר'</t>
  </si>
  <si>
    <t>שרשי המצות</t>
  </si>
  <si>
    <t>אלמושנינו, יוסף בן אברהם</t>
  </si>
  <si>
    <t>שרשי ים</t>
  </si>
  <si>
    <t>קניג, ירחמיאל משה בן אלעזר מרדכי</t>
  </si>
  <si>
    <t>שרשי לשון הקדש</t>
  </si>
  <si>
    <t>שטיינברג (עורך: ריינס אלעזר בן ישראל)</t>
  </si>
  <si>
    <t>שרשי מיגו והפה שאסר</t>
  </si>
  <si>
    <t>שרשי משפחת פיקהולץ</t>
  </si>
  <si>
    <t>גלינסקי, שמואל נחמיה בן ישעיהו</t>
  </si>
  <si>
    <t>שרשי משפחת שניידר</t>
  </si>
  <si>
    <t>שרשים בהלכה</t>
  </si>
  <si>
    <t>שרשים במולדת</t>
  </si>
  <si>
    <t>אורי, יעקב בן יהודה</t>
  </si>
  <si>
    <t>שרשים במועדות</t>
  </si>
  <si>
    <t>שרשים במסכת ברכות</t>
  </si>
  <si>
    <t>שרשים בשמחות</t>
  </si>
  <si>
    <t>שרשים ומסורת ביהדות תונסיה</t>
  </si>
  <si>
    <t>שרשים - להכרת היהדות</t>
  </si>
  <si>
    <t>שרשים</t>
  </si>
  <si>
    <t>שרשרת הדורות בתקופות הסוערות - 6 כר'</t>
  </si>
  <si>
    <t>שרשרת זהב</t>
  </si>
  <si>
    <t>שרשת גבלת</t>
  </si>
  <si>
    <t>די אוליווירה, שלמה בן דוד</t>
  </si>
  <si>
    <t>שרתי</t>
  </si>
  <si>
    <t>שש אנוכי</t>
  </si>
  <si>
    <t>שרייבר, שמעון בן פנחס</t>
  </si>
  <si>
    <t>שש אנכי - רך וטוב</t>
  </si>
  <si>
    <t>אביקציץ, שמעון בן שלמה</t>
  </si>
  <si>
    <t>דרושים, משנה, שלחן ערוך ומפרשיו, תלמוד בבלי, תנ"ך</t>
  </si>
  <si>
    <t>שש אנכי - 2 כר'</t>
  </si>
  <si>
    <t>שש אנכי</t>
  </si>
  <si>
    <t>שש אנכי - שבת, עירובין</t>
  </si>
  <si>
    <t>שש המערכת - 4 כר'</t>
  </si>
  <si>
    <t>ליכטנשטאט, שמעון בן יהודה</t>
  </si>
  <si>
    <t>ת"ר - תרי"ד</t>
  </si>
  <si>
    <t>שש זכירות</t>
  </si>
  <si>
    <t>שש מצות תמידיות</t>
  </si>
  <si>
    <t>שש משזר</t>
  </si>
  <si>
    <t>שש משזר - 2 כר'</t>
  </si>
  <si>
    <t>שש על אמרתך - 5 כר'</t>
  </si>
  <si>
    <t>שש שיחות על הספירות</t>
  </si>
  <si>
    <t>ששה זרעוני ערוגה</t>
  </si>
  <si>
    <t>אמריך, שלמה זלמן בן יוסף גד מרדכי גומפל</t>
  </si>
  <si>
    <t>ששה מאמרים</t>
  </si>
  <si>
    <t>ששה סדרי משנה &lt;כת"י פארמה  דה רוססי 138&gt;</t>
  </si>
  <si>
    <t>ששה סדרי משנה &lt;עטרת שלמה&gt; - 16 כר'</t>
  </si>
  <si>
    <t>משניות עטרת שלמה</t>
  </si>
  <si>
    <t>ששה סדרי משנה &lt;טקסט&gt;</t>
  </si>
  <si>
    <t>ששה סדרי משנה מנוקדים ע"פ מסורת תימן - 6 כר'</t>
  </si>
  <si>
    <t>משנה מנוקדת ע"פ מסורת תימן</t>
  </si>
  <si>
    <t>ששה ספרים נפתחים</t>
  </si>
  <si>
    <t>ששה ספרי קבלה</t>
  </si>
  <si>
    <t>ששה פרקים לבן דורנו</t>
  </si>
  <si>
    <t>כי טוב, אליהו</t>
  </si>
  <si>
    <t>ששון ושמחה - דברי חיים דב - ג</t>
  </si>
  <si>
    <t>וויסברג, חיים דב בן נפתלי צבי</t>
  </si>
  <si>
    <t>ששים אלף</t>
  </si>
  <si>
    <t>שיל, משה שמואל</t>
  </si>
  <si>
    <t>ששים המה מלכות</t>
  </si>
  <si>
    <t>ששים ושלש שנה בירושלים</t>
  </si>
  <si>
    <t>חיות, אהרן בן אליהו מתתיהו</t>
  </si>
  <si>
    <t>ששים שנה לאגודת ישראל</t>
  </si>
  <si>
    <t>אגודת ישראל העולמית</t>
  </si>
  <si>
    <t>שתהיו עמלים בתורה</t>
  </si>
  <si>
    <t>שתולים בבית השם</t>
  </si>
  <si>
    <t>פליסקין, יחיאל מיכל בן יהושע זליג</t>
  </si>
  <si>
    <t>שתי גלת הכתרת</t>
  </si>
  <si>
    <t>פרלס, אהרן יששכר בר בן אהרן</t>
  </si>
  <si>
    <t>שתי הלחם &lt;מהדורה חדשה&gt;</t>
  </si>
  <si>
    <t>שתי הלחם - 2 כר'</t>
  </si>
  <si>
    <t>שתי המערכות - 2 כר'</t>
  </si>
  <si>
    <t>שתי ידות - 2 כר'</t>
  </si>
  <si>
    <t>שתי ידות</t>
  </si>
  <si>
    <t>מאמאן, רפאל</t>
  </si>
  <si>
    <t>תש"ח-תש"ט</t>
  </si>
  <si>
    <t>שאלות ותשובות, תלמוד בבלי, תלמוד בבלי, תנ"ך</t>
  </si>
  <si>
    <t>שתי מורות משוחחות</t>
  </si>
  <si>
    <t>ארגון כתר מלכות</t>
  </si>
  <si>
    <t>שתי מרגליות</t>
  </si>
  <si>
    <t>שתי צפרים בכריכה אחת</t>
  </si>
  <si>
    <t>שתי תעודות לתולדות הישוב בחברון</t>
  </si>
  <si>
    <t>שתיה ושכרות בהלכה - 2 כר'</t>
  </si>
  <si>
    <t>איצקוביץ, אברהם זאב</t>
  </si>
  <si>
    <t>שתילי זיתים</t>
  </si>
  <si>
    <t>שתילי זתים השלם &lt;זית רענן - 10 כר'</t>
  </si>
  <si>
    <t>משרקי, דוד בן שלמה - בן משה, אברהם</t>
  </si>
  <si>
    <t>שתלי זיתים</t>
  </si>
  <si>
    <t>קרויס, שמעון בן יעקב קופל</t>
  </si>
  <si>
    <t>שתרגילנו בתורתך</t>
  </si>
  <si>
    <t>תא הרצים</t>
  </si>
  <si>
    <t>תא שמע</t>
  </si>
  <si>
    <t>תאג' &lt;וזאת התורה&gt; - 2 כר'</t>
  </si>
  <si>
    <t>עמרם, אהרן (עורך)</t>
  </si>
  <si>
    <t>תאג' &lt;אבקת רוכל&gt; - 2 כר'</t>
  </si>
  <si>
    <t>תורה. ירושלים. תשנ"א</t>
  </si>
  <si>
    <t>תאג' &lt;תורת אבות&gt; - 2 כר'</t>
  </si>
  <si>
    <t>תורה. תשנ"ח. בני ברק</t>
  </si>
  <si>
    <t>תאג' &lt;כתר תימן&gt; - 2 כר'</t>
  </si>
  <si>
    <t>תורה. תשע"ג. ישראל</t>
  </si>
  <si>
    <t>תאג' כתר ישראל - 2 כר'</t>
  </si>
  <si>
    <t>צדוק, עזריאל</t>
  </si>
  <si>
    <t>תאג' כתר שלום - 2 כר'</t>
  </si>
  <si>
    <t>תאוה לעינים - 2 כר'</t>
  </si>
  <si>
    <t>תאומי צביה</t>
  </si>
  <si>
    <t>תאומים הלכה ומנהג לבר מצוה</t>
  </si>
  <si>
    <t>חסידה, שמחה</t>
  </si>
  <si>
    <t>תאות דוד</t>
  </si>
  <si>
    <t>אבוהב, שמואל בן אברהם (ליקוט מספרו)</t>
  </si>
  <si>
    <t>תאות צדיקים - מדות חסידות</t>
  </si>
  <si>
    <t>תאיר נרי</t>
  </si>
  <si>
    <t>סובול, משה שמעון בן אהרן</t>
  </si>
  <si>
    <t>תאמי צביה</t>
  </si>
  <si>
    <t>שיקאגא,</t>
  </si>
  <si>
    <t>בלוך, צבי הירש בן שמעון הכהן</t>
  </si>
  <si>
    <t>קליינברג, אברהם יצחק בן דוב הלוי</t>
  </si>
  <si>
    <t>תאמרו ליוסף</t>
  </si>
  <si>
    <t>תאניה ואניה</t>
  </si>
  <si>
    <t>מן, דוד יצחק בן מרדכי ליב (עליו)</t>
  </si>
  <si>
    <t>תאריך ישראל</t>
  </si>
  <si>
    <t>תבאמו ותטעמו</t>
  </si>
  <si>
    <t>שילוני, יאיר צבי</t>
  </si>
  <si>
    <t>תבואות אדמה - 5 כר'</t>
  </si>
  <si>
    <t>תבואות הארץ</t>
  </si>
  <si>
    <t>תבואות השדה - 7 כר'</t>
  </si>
  <si>
    <t>תרנ"ב - תרס"ד</t>
  </si>
  <si>
    <t>תבואות שור, שמלה חדשה, בכור שור &lt;אוריין תליתאי&gt;</t>
  </si>
  <si>
    <t>שור, אלכסנדר סנדר בן אפרים זלמן - אייבשיץ, דוד שלמה</t>
  </si>
  <si>
    <t>תבואות שמ"ש - א</t>
  </si>
  <si>
    <t>תבואות שמ"ש - 4 כר'</t>
  </si>
  <si>
    <t>תבואות שמש</t>
  </si>
  <si>
    <t>כולל אברכים תולדות יעקב יוסף</t>
  </si>
  <si>
    <t>תבואת השדה &lt;מהדורה חדשה&gt;</t>
  </si>
  <si>
    <t>תבואת השדה</t>
  </si>
  <si>
    <t>תבואת יוסף</t>
  </si>
  <si>
    <t>סטפנסקי,יוסף שלמה</t>
  </si>
  <si>
    <t>תבואת יקב</t>
  </si>
  <si>
    <t>הלכה ומנהג, מועדי ישראל, משנה, תלמוד בבלי, תנ"ך, תנ"ך</t>
  </si>
  <si>
    <t>גרוס, יעקב יוסף בן ישראל דוד</t>
  </si>
  <si>
    <t>תבואת שור - 4 כר'</t>
  </si>
  <si>
    <t>שור, אפרים זלמן בן נפתלי הירש</t>
  </si>
  <si>
    <t>תבואת שלמה</t>
  </si>
  <si>
    <t>וייצהנדלר, שלמה יהודה בן שמאי שמואל</t>
  </si>
  <si>
    <t>תבואת שמש</t>
  </si>
  <si>
    <t>מאיר בן אהרן מגזע צבי</t>
  </si>
  <si>
    <t>תבונה - 19 כר'</t>
  </si>
  <si>
    <t>דבורץ, ישראל זיסל עורך</t>
  </si>
  <si>
    <t>תבונה - 2 כר'</t>
  </si>
  <si>
    <t>קראסילשצ'יקוב, יצחק אייזיק בן דוב בר</t>
  </si>
  <si>
    <t>תבונה</t>
  </si>
  <si>
    <t>תבונות ארי - 2 כר'</t>
  </si>
  <si>
    <t>תבונות חיים - 2 כר'</t>
  </si>
  <si>
    <t>תבונות כפיו - 3 כר'</t>
  </si>
  <si>
    <t>תבונות מועד - 3 כר'</t>
  </si>
  <si>
    <t>תבונות שבת בשבתו ב</t>
  </si>
  <si>
    <t>תבונות שבת בשבתו</t>
  </si>
  <si>
    <t>תבונות - 2 כר'</t>
  </si>
  <si>
    <t>תבונות - 3 כר'</t>
  </si>
  <si>
    <t>תבורך מנשים</t>
  </si>
  <si>
    <t>זיידנר, י.</t>
  </si>
  <si>
    <t>תבל בצדק</t>
  </si>
  <si>
    <t>בן ארזה, חנוך</t>
  </si>
  <si>
    <t>תבנית אהלות</t>
  </si>
  <si>
    <t>תבנית אות יוסף</t>
  </si>
  <si>
    <t>יוסף בן אביגדור</t>
  </si>
  <si>
    <t>תבנית בנין בית המקדש</t>
  </si>
  <si>
    <t>תבנית הבית - 2 כר'</t>
  </si>
  <si>
    <t>מרדכי בן מאיר מזאמושץ'</t>
  </si>
  <si>
    <t>תק"ז - תק"ח</t>
  </si>
  <si>
    <t>תבנית היכל - 3 כר'</t>
  </si>
  <si>
    <t>ליאון-טימפלו, יעקב יהודה אריה בן אברהם</t>
  </si>
  <si>
    <t>תבנית המשכן</t>
  </si>
  <si>
    <t>תבנית השלחן - מבשל</t>
  </si>
  <si>
    <t>קרית ישמח משה</t>
  </si>
  <si>
    <t>תבנית חלה עמ"ס חלה - תודה ותהילה עמ"ס ביכורים</t>
  </si>
  <si>
    <t>סטאר, מתתיהו בן משה דווד</t>
  </si>
  <si>
    <t>תבנית כלים</t>
  </si>
  <si>
    <t>תבת נח</t>
  </si>
  <si>
    <t>תבת נח - 4 כר'</t>
  </si>
  <si>
    <t>קאפלין, נח בן שלמה צבי</t>
  </si>
  <si>
    <t>תגיד לי למה</t>
  </si>
  <si>
    <t>תגים - 4 כר'</t>
  </si>
  <si>
    <t>תגל ערבה</t>
  </si>
  <si>
    <t>תגמולי הנפש</t>
  </si>
  <si>
    <t>הילל בן שמואל מווירונה</t>
  </si>
  <si>
    <t>תדיר קודם</t>
  </si>
  <si>
    <t>תדפיס אאדרה ארוממה - קדושתת חידה ספק קלירית</t>
  </si>
  <si>
    <t>תדפיס מתוך ספר האטר בהלכה</t>
  </si>
  <si>
    <t>חבצלת, אברהם</t>
  </si>
  <si>
    <t>תדריך להוראת פרשת השבוע</t>
  </si>
  <si>
    <t>תדריך לכשרות השלם - תשנ"א</t>
  </si>
  <si>
    <t>בד"צ אגודת ישראל</t>
  </si>
  <si>
    <t>תדשן אדמה</t>
  </si>
  <si>
    <t>אבן-דנאן, יצחק בן שמואל (פרץ, אליהו - מו"ל)</t>
  </si>
  <si>
    <t>תהיה רצויה מעשי - 62 כר'</t>
  </si>
  <si>
    <t>תהיין לראש יוסף</t>
  </si>
  <si>
    <t>תהילה לאברהם</t>
  </si>
  <si>
    <t>צדקה, דוד בן אברהם</t>
  </si>
  <si>
    <t>תהילות יוסף יצחק</t>
  </si>
  <si>
    <t>ריטרמן, זאב (עורך)</t>
  </si>
  <si>
    <t>תהילות יוסף</t>
  </si>
  <si>
    <t>מור יוסף, יוסף</t>
  </si>
  <si>
    <t>תהילות ישראל</t>
  </si>
  <si>
    <t>תהילים &lt;ותשר דבורה&gt;</t>
  </si>
  <si>
    <t>גרינברג,</t>
  </si>
  <si>
    <t>תהילים &lt;חמדת הלבבות&gt;</t>
  </si>
  <si>
    <t>תהילים &lt;תהלות אהרן&gt;</t>
  </si>
  <si>
    <t>צדיקי קרלין - רוזנפלד, אהרן בן יצחק מנשה הכהן (מפינסק קרלין)</t>
  </si>
  <si>
    <t>תהילים שדה יעקב - רחשי יוסף</t>
  </si>
  <si>
    <t>דייטש, יעקב שמריה הלוי - דייטש, יוסף ישעיה בן חיים יהודה הלוי</t>
  </si>
  <si>
    <t>תהילת אהרן</t>
  </si>
  <si>
    <t>דניאל, אהרן בן אברהם</t>
  </si>
  <si>
    <t>כהן, אהרן יהושע בן אופיר</t>
  </si>
  <si>
    <t>תהילת יצחק על הש"ס</t>
  </si>
  <si>
    <t>אדלר, יהודה יצחק</t>
  </si>
  <si>
    <t>תהילת יצחק על התורה - 2 כר'</t>
  </si>
  <si>
    <t>תהילת יצחק</t>
  </si>
  <si>
    <t>תהילת פנחס</t>
  </si>
  <si>
    <t>הלכה ומנהג, שאר ספרי חז"ל, תפלות בקשות פיוטים ושירה</t>
  </si>
  <si>
    <t>תהילת שלמה</t>
  </si>
  <si>
    <t>אבורמאד, שלמה</t>
  </si>
  <si>
    <t>תהלה ותפארת</t>
  </si>
  <si>
    <t>תהלה ותפילה</t>
  </si>
  <si>
    <t>תהלה לדוד &lt;שהם וישפה&gt;</t>
  </si>
  <si>
    <t>אורטנברג, דוד בן ישראל צבי</t>
  </si>
  <si>
    <t>תהלה לדוד &lt;מהדורה חדשה&gt;</t>
  </si>
  <si>
    <t>בן חסין, דוד בן אהרן</t>
  </si>
  <si>
    <t>תהלה לדוד [סויסה]</t>
  </si>
  <si>
    <t>תהלה לדוד ושדה לבן</t>
  </si>
  <si>
    <t>תהלה לדוד - 3 כר'</t>
  </si>
  <si>
    <t>תהלה לדוד - 2 כר'</t>
  </si>
  <si>
    <t>תקצ"ה - תר"ד</t>
  </si>
  <si>
    <t>תהלה לדוד</t>
  </si>
  <si>
    <t>דוד בן יהודה מסיר ליאון</t>
  </si>
  <si>
    <t>חכם מחכמי בבל</t>
  </si>
  <si>
    <t>רוטנברג, יהודה דוד בן יחיאל</t>
  </si>
  <si>
    <t>תהלה לדויד</t>
  </si>
  <si>
    <t>ליוורנוLivorno</t>
  </si>
  <si>
    <t>תהלה ליונה - 3 כר'</t>
  </si>
  <si>
    <t>תהלה ליראיך - עובדות והנהגות קודש - אלול תשרי</t>
  </si>
  <si>
    <t>תהלה למשה &lt;ספר היובל לשטיינשניידר&gt; - חלק הלועזי</t>
  </si>
  <si>
    <t>תהלה למשה &lt;ספר היובל לשטיינשניידר&gt; - חלק העברי</t>
  </si>
  <si>
    <t>תהלה למשה</t>
  </si>
  <si>
    <t>טייטלבוים, ישראל יעקב יוקל</t>
  </si>
  <si>
    <t>תהלוכות האגדות</t>
  </si>
  <si>
    <t>תהלוכות היבשה</t>
  </si>
  <si>
    <t>אלכסנדרובסקי, צבי אריה בן יצחק איזיק הכהן</t>
  </si>
  <si>
    <t>תהלוכות המים</t>
  </si>
  <si>
    <t>תהלות אברהם</t>
  </si>
  <si>
    <t>תרצ""ד</t>
  </si>
  <si>
    <t>תהלות ה'</t>
  </si>
  <si>
    <t>תהלות חיים על תהלים</t>
  </si>
  <si>
    <t>חיים דב  בן צבי מאוסטרלנקה</t>
  </si>
  <si>
    <t>תהלות יעקב &lt;ביאור תהלים&gt;</t>
  </si>
  <si>
    <t>תהלות ישראל</t>
  </si>
  <si>
    <t>תהלות ישראל - שבת</t>
  </si>
  <si>
    <t>זאגורי, ישראל</t>
  </si>
  <si>
    <t>תהלות ישראל - פרקי תהלים לפי עניינים</t>
  </si>
  <si>
    <t>חסידה, ישראל יצחק</t>
  </si>
  <si>
    <t>סיסו, משה</t>
  </si>
  <si>
    <t>תהלות ישראל - א</t>
  </si>
  <si>
    <t>תהלות ליוסף</t>
  </si>
  <si>
    <t>תהלות למשה</t>
  </si>
  <si>
    <t>תהלות שמואל</t>
  </si>
  <si>
    <t>תהלים &lt;אביר יעקב&gt;</t>
  </si>
  <si>
    <t>תהלים &lt;אור החיים&gt;</t>
  </si>
  <si>
    <t>תהלים &lt;באר אברהם&gt; - 2 כר'</t>
  </si>
  <si>
    <t>תהלים &lt;בני שלשים&gt;</t>
  </si>
  <si>
    <t>אדמורי קאסאני</t>
  </si>
  <si>
    <t>תהלים &lt;יוסף תהלות&gt;</t>
  </si>
  <si>
    <t>תהלים &lt;מנחת עני&gt;</t>
  </si>
  <si>
    <t>תהלים &lt;עץ הדעת טוב, שפת אמת&gt;</t>
  </si>
  <si>
    <t>אלטר, יהודה אריה ליב - וויטאל, חיים</t>
  </si>
  <si>
    <t>תהלים &lt;מצודת דוד, מצודת ציון&gt;</t>
  </si>
  <si>
    <t>אלטשולר, יחיאל בן דוד</t>
  </si>
  <si>
    <t>תהלים &lt;עיקר אלשיך&gt;</t>
  </si>
  <si>
    <t>תהלים &lt;תהלות דוד&gt;</t>
  </si>
  <si>
    <t>אפל, דוד בן מתתיהו</t>
  </si>
  <si>
    <t>תהלים &lt;אסיפת אמרים&gt;</t>
  </si>
  <si>
    <t>בורוכוביץ, ישעיה</t>
  </si>
  <si>
    <t>תהלים &lt;ציון, ירושלים&gt;</t>
  </si>
  <si>
    <t>תהלים &lt;תהלות ישראל&gt;</t>
  </si>
  <si>
    <t>גלרנטר, משה בן ישראל מנחם מנדל</t>
  </si>
  <si>
    <t>תהלים &lt;עדות ביהוסף&gt;</t>
  </si>
  <si>
    <t>גרג'י, יוסף בן מתתיה</t>
  </si>
  <si>
    <t>תהלים &lt;תהלות מהרי"ץ&gt;</t>
  </si>
  <si>
    <t>תהלים &lt;ע"פ אז ידבר יהושע&gt;</t>
  </si>
  <si>
    <t>דייטש, יהושע סג"ל</t>
  </si>
  <si>
    <t>תהלים &lt;שדה יעקב - רחשי יוסף&gt;</t>
  </si>
  <si>
    <t>תהלים &lt;דמשק אליעזר&gt; - 2 כר'</t>
  </si>
  <si>
    <t>דרושים, תולדות עם ישראל, תנ"ך, תנ"ך</t>
  </si>
  <si>
    <t>תהלים &lt;תוספת חיים&gt;</t>
  </si>
  <si>
    <t>תהלים &lt;תהלת חיים&gt;</t>
  </si>
  <si>
    <t>תהלים &lt;עם שני פירושים&gt;</t>
  </si>
  <si>
    <t>הורוויץ, אברהם בן ישעיה הלוי - די מירקאדו, משה בן ישראל</t>
  </si>
  <si>
    <t>תהלים &lt;אמרות טהורות&gt;</t>
  </si>
  <si>
    <t>תהלים &lt;רש"ר הירש&gt; - 3 כר'</t>
  </si>
  <si>
    <t>תהלים &lt;תהלים בחרוזים&gt;</t>
  </si>
  <si>
    <t>הלר, נחמן בן ישראל</t>
  </si>
  <si>
    <t>תהלים &lt;מקדש מעט&gt; - 5 כר'</t>
  </si>
  <si>
    <t>תהלים &lt;תהלה לדוד&gt;</t>
  </si>
  <si>
    <t>תהלים &lt;לב אברהם&gt;</t>
  </si>
  <si>
    <t>תהלים &lt;עטרת יהושע&gt;</t>
  </si>
  <si>
    <t>תהלים &lt;עטרת פז&gt;</t>
  </si>
  <si>
    <t>תהלים &lt;ע"פ רבי יצחק חיות&gt;</t>
  </si>
  <si>
    <t>תהלים &lt;תהלת ה'&gt;</t>
  </si>
  <si>
    <t>תהלים &lt;דברי העם&gt;</t>
  </si>
  <si>
    <t>טורנהיים, עקיבא מאיר בן יששכר דוב הכהן</t>
  </si>
  <si>
    <t>תהלים &lt;תהלות יואל&gt;</t>
  </si>
  <si>
    <t>תהלים &lt;תפלה למשה&gt; - 2 כר'</t>
  </si>
  <si>
    <t>תהלים &lt;נאוה תהלה&gt;</t>
  </si>
  <si>
    <t>תהלים &lt;באורי זהר ,מצודת ציון&gt;</t>
  </si>
  <si>
    <t>תנ"ך, תנ"ך, תפלות בקשות פיוטים ושירה</t>
  </si>
  <si>
    <t>תהלים &lt;שמן למאור&gt; - 3 כר'</t>
  </si>
  <si>
    <t>כהנא-שפירא, משה נתן</t>
  </si>
  <si>
    <t>תרע"א - תרפ"ח</t>
  </si>
  <si>
    <t>תהלים &lt;דגלי הודיה והמצוה, ממתקי יהודה&gt;</t>
  </si>
  <si>
    <t>תהלים &lt;מטע לשם&gt;</t>
  </si>
  <si>
    <t>תהלים &lt;מנחת יהודה&gt;</t>
  </si>
  <si>
    <t>תהלים &lt;דברי משה&gt;</t>
  </si>
  <si>
    <t>לנדסברג, משה</t>
  </si>
  <si>
    <t>תהלים &lt;נחלת בנימין&gt;</t>
  </si>
  <si>
    <t>תהלים &lt;לדוד ברוך&gt; - 7 כר'</t>
  </si>
  <si>
    <t>תהלים &lt;משפט צדק&gt;</t>
  </si>
  <si>
    <t>תהלים &lt;של"ה, משפט צדק&gt;</t>
  </si>
  <si>
    <t>תהלים &lt;ילקוט אליעזר&gt;</t>
  </si>
  <si>
    <t>תהלים &lt;שערי חיים&gt; - 2 כר'</t>
  </si>
  <si>
    <t>ברטיסלבהBratislava</t>
  </si>
  <si>
    <t>תהלים &lt;קרבן תודה&gt;</t>
  </si>
  <si>
    <t>תהלים &lt;רס"ג&gt;</t>
  </si>
  <si>
    <t>תהלים &lt;ספורנו&gt;</t>
  </si>
  <si>
    <t>תהלים &lt;בן ביתי&gt;</t>
  </si>
  <si>
    <t>תהלים &lt;נעים זמירות&gt;</t>
  </si>
  <si>
    <t>תהלים &lt;שלמה עטיה&gt;</t>
  </si>
  <si>
    <t>תהלים &lt;ליקוטי אורות, פנים יפות&gt;</t>
  </si>
  <si>
    <t>פינקלשטיין, פינחס בן אברהם - הורוויץ, שמואל שמלקה בן צבי הירש הלוי</t>
  </si>
  <si>
    <t>תהלים &lt;מדרש חכמים&gt;</t>
  </si>
  <si>
    <t>פנחס בן יהודה מפלוצק</t>
  </si>
  <si>
    <t>מינסק</t>
  </si>
  <si>
    <t>תהלים &lt;מקדש שלמה&gt; - 2 כר'</t>
  </si>
  <si>
    <t>פרלוב, שלמה חיים בן יעקב</t>
  </si>
  <si>
    <t>תרצ"ז - תשל"ו</t>
  </si>
  <si>
    <t>בילוגריי - ישראל</t>
  </si>
  <si>
    <t>תהלים &lt;מבחר מדרשי חז"ל&gt;</t>
  </si>
  <si>
    <t>צדוק, דניאל בן שלום</t>
  </si>
  <si>
    <t>תהלים &lt;מסורת מדוייקת - אוצרות מלכים&gt;</t>
  </si>
  <si>
    <t>צובירי, יוסף בן יעקב - עמיאל, משה בן יחיא</t>
  </si>
  <si>
    <t>תהלים &lt;פניני מהרא"ל&gt;</t>
  </si>
  <si>
    <t>תהלים &lt;תרועת מלך, חבל נעים, פי' מהרש"א&gt;</t>
  </si>
  <si>
    <t>קוטיינר חיים בן דוד</t>
  </si>
  <si>
    <t>תהלים &lt;עם ביאור לתלמידים&gt; - 2 כר'</t>
  </si>
  <si>
    <t>קושטא, ישראל</t>
  </si>
  <si>
    <t>תהלים &lt;רד"ק&gt; - 2 כר'</t>
  </si>
  <si>
    <t>נפולי</t>
  </si>
  <si>
    <t>תהלים &lt;נועם ורצון&gt;</t>
  </si>
  <si>
    <t>תהלים &lt;תהלה למלך&gt;</t>
  </si>
  <si>
    <t>תהלים &lt;ערוגות הבשם ובאר מים&gt;</t>
  </si>
  <si>
    <t>רוזנטאל, שמעיה בן מאיר</t>
  </si>
  <si>
    <t>תהלים &lt;נדבות פי&gt;</t>
  </si>
  <si>
    <t>תהלים &lt;שערי פרנסה טובה&gt;</t>
  </si>
  <si>
    <t>תהלים &lt;קול אריה&gt;</t>
  </si>
  <si>
    <t>תהלים &lt;מאשר שמנה&gt;</t>
  </si>
  <si>
    <t>תהלים &lt;זמרת יה&gt;</t>
  </si>
  <si>
    <t>שטרנברג, שמואל זנוויל בן יוסף</t>
  </si>
  <si>
    <t>תהלים &lt;מכתם לדוד&gt;</t>
  </si>
  <si>
    <t>תהלים &lt;רשב"ם&gt; - מזויף</t>
  </si>
  <si>
    <t>שמואל בן מאיר (רשב"ם). מיוחס לו</t>
  </si>
  <si>
    <t>תהלים &lt;תפלות חיים ושלום&gt;</t>
  </si>
  <si>
    <t>תהלים &lt;אגרא דהלולי&gt;</t>
  </si>
  <si>
    <t>תהלים &lt;עם אותיות הכינויים חלולות&gt;</t>
  </si>
  <si>
    <t>תנ"ך. שמ"ו. המבורג</t>
  </si>
  <si>
    <t>תהלים איוב משלי</t>
  </si>
  <si>
    <t>תהלים איוב</t>
  </si>
  <si>
    <t>תהלים באתי לגני,  עם צירופי ע"ב שמות</t>
  </si>
  <si>
    <t>גולן, ניר</t>
  </si>
  <si>
    <t>תהלים המבואר אברכך בחיי, פירוש החרדים</t>
  </si>
  <si>
    <t>אהרונוב, חיים בן אברהם הכהן - אזכרי, אלעזר</t>
  </si>
  <si>
    <t>תהלים המבואר עם פירוש תהלות שלום</t>
  </si>
  <si>
    <t>תהלים המפואר &lt;עטרת תהלים&gt;</t>
  </si>
  <si>
    <t>תהלים המפורש</t>
  </si>
  <si>
    <t>דיסקין, אברהם</t>
  </si>
  <si>
    <t>תהלים המפורש - נפש חיה</t>
  </si>
  <si>
    <t>תהלים הערוך</t>
  </si>
  <si>
    <t>תהלים לשון אי לאדינו</t>
  </si>
  <si>
    <t>תנ"ך. תרנ"ח. שלוניקי</t>
  </si>
  <si>
    <t>תהלים מפורש</t>
  </si>
  <si>
    <t>תהלים מתוק מדבש</t>
  </si>
  <si>
    <t>שורץ, מאיר בן אהרן</t>
  </si>
  <si>
    <t>תהלים מתורגם ומבואר (רש"ר הירש) - בגרמנית</t>
  </si>
  <si>
    <t>תהלים נאוה תהלה - 2 כר'</t>
  </si>
  <si>
    <t>תהלים נכח פני ה'</t>
  </si>
  <si>
    <t>ליקוט פסוקים מספר תהלים</t>
  </si>
  <si>
    <t>תהלים נפש זכריה &lt;שימוש תהלים הקדמון&gt;</t>
  </si>
  <si>
    <t>אלמגור, ישראל</t>
  </si>
  <si>
    <t>תהלים ע"פ אדמור"י רדומסק</t>
  </si>
  <si>
    <t>לאנגר, יעקב מנחם</t>
  </si>
  <si>
    <t>תהלים ע"פ מדרש חכמים</t>
  </si>
  <si>
    <t>תהלים ע"פ נאה להודות</t>
  </si>
  <si>
    <t>תהלים עטרת פז לרבינו החיד"א &lt;ליקוטי תהלים&gt;</t>
  </si>
  <si>
    <t>זביחי, פנחס בן רפאל (עורך)</t>
  </si>
  <si>
    <t>תהלים עם באור יהושע</t>
  </si>
  <si>
    <t>סיימונס, יהושע בן אריה הכהן</t>
  </si>
  <si>
    <t>תהלים עם ביאור שי מלכים</t>
  </si>
  <si>
    <t>תהלים עם הספר קנה המדה &lt;מכון הכתב&gt;</t>
  </si>
  <si>
    <t>דוויק, משה בן דוד הכהן</t>
  </si>
  <si>
    <t>תהלים עם ילקוט לענקים</t>
  </si>
  <si>
    <t>לבנון, אליהו יהושע</t>
  </si>
  <si>
    <t>תהלים עם ליקוטי קודש</t>
  </si>
  <si>
    <t>ברסלבר, יעקב בן אברהם יצחק הלוי</t>
  </si>
  <si>
    <t>תהלים עם ע"ב שמות הקודש &lt;מטע לשם - לקט דוד- שימוש תהלים&gt;</t>
  </si>
  <si>
    <t>תהלים עם פירוש אמת קנה</t>
  </si>
  <si>
    <t>תהלים עם פירוש ברכה ותהלה</t>
  </si>
  <si>
    <t>תהלים עם פירוש זמירות ישראל</t>
  </si>
  <si>
    <t>תהלים עם פירוש חיי ברכה</t>
  </si>
  <si>
    <t>תהלים עם פירוש מקור חיים</t>
  </si>
  <si>
    <t>תנ"ך. ירושלים</t>
  </si>
  <si>
    <t>תהלים עם פירוש עוללות יהודה</t>
  </si>
  <si>
    <t>גרינוואלד, יהודה בן יהושע</t>
  </si>
  <si>
    <t>תהלים עם פירוש רבינו יונה החסיד מגירונדי זצ"ל</t>
  </si>
  <si>
    <t>בן שושן, יצחק בן יוסף (עורך ומפרש)</t>
  </si>
  <si>
    <t>תהלים עם פירוש רד"ק</t>
  </si>
  <si>
    <t>תהלים עם פירוש שמן ששון</t>
  </si>
  <si>
    <t>תהלים עם פירוש שערי הישר</t>
  </si>
  <si>
    <t>תנ"ך. תרצ"ד. בודפס</t>
  </si>
  <si>
    <t>תהלים עם פירוש תהלות אהרן</t>
  </si>
  <si>
    <t>תהלים עם פירושים מרבה"ק מאלכסנדר</t>
  </si>
  <si>
    <t>תנ"ך. תשי"ט. בני ברק</t>
  </si>
  <si>
    <t>תהלים עם תרגום פרסי</t>
  </si>
  <si>
    <t>בוכארי, בנימין כהן</t>
  </si>
  <si>
    <t>תהלים רצון מלכים - אוצרות חכמי תימן</t>
  </si>
  <si>
    <t>תהלים - תפארת יעקב</t>
  </si>
  <si>
    <t>תהלים - דרש משה</t>
  </si>
  <si>
    <t>אוסטרר, משה</t>
  </si>
  <si>
    <t>תהלים - חתם סופר</t>
  </si>
  <si>
    <t>בערנפלד, יצחק צבי (מלקט)</t>
  </si>
  <si>
    <t>תהלים  - ליקוטי דוד, תפלות דוד</t>
  </si>
  <si>
    <t>פיעטרקוב - וארשא</t>
  </si>
  <si>
    <t>תהלים - תפילת השבים</t>
  </si>
  <si>
    <t>תהלת חיים - 2 כר'</t>
  </si>
  <si>
    <t>תהלת ציון - תהלים</t>
  </si>
  <si>
    <t>תהלתו בפי</t>
  </si>
  <si>
    <t>פרץ, יוסף בן יעקב</t>
  </si>
  <si>
    <t>דרושים, מועדי ישראל, נושאים שונים, שאלות ותשובות, תלמוד בבלי, תנ"ך</t>
  </si>
  <si>
    <t>תו חיים</t>
  </si>
  <si>
    <t>קורן, חיים בן יעקב</t>
  </si>
  <si>
    <t>תו יהושע - 2 כר'</t>
  </si>
  <si>
    <t>תואר פני שלמה</t>
  </si>
  <si>
    <t>לאנדסברג, שלמה זלמן בן יוסף</t>
  </si>
  <si>
    <t>תודיעיני אורח חיים - 2 כר'</t>
  </si>
  <si>
    <t>תודיעני ארח חיים - 2 כר'</t>
  </si>
  <si>
    <t>תודיעני ארח חיים - 6 כר'</t>
  </si>
  <si>
    <t>מכון אור שרה</t>
  </si>
  <si>
    <t>תודיעני חיים - 2 כר'</t>
  </si>
  <si>
    <t>ממו, חיים יוסף</t>
  </si>
  <si>
    <t>תודעה - 6 כר'</t>
  </si>
  <si>
    <t>עלון לשבת קודש</t>
  </si>
  <si>
    <t>תודעת השמיטה</t>
  </si>
  <si>
    <t>קיצור הלכות בעניני שביעית</t>
  </si>
  <si>
    <t>תודת חגיגה</t>
  </si>
  <si>
    <t>תודת חיים</t>
  </si>
  <si>
    <t>תודת משה</t>
  </si>
  <si>
    <t>תודת שלמה - 6 כר'</t>
  </si>
  <si>
    <t>תודת שלמים</t>
  </si>
  <si>
    <t>תוי חן</t>
  </si>
  <si>
    <t>תוך הנחל - 8 כר'</t>
  </si>
  <si>
    <t>תוכחה לה"ר משה ן' עזרא</t>
  </si>
  <si>
    <t>משה בן עזרא</t>
  </si>
  <si>
    <t>שנ"ג - תשנ"ח</t>
  </si>
  <si>
    <t>ונציה - ניו יורק</t>
  </si>
  <si>
    <t>תוכחות מוסר</t>
  </si>
  <si>
    <t>אזוביב, סעדיה בן נהוראי</t>
  </si>
  <si>
    <t>ליקווד - ירושלים</t>
  </si>
  <si>
    <t>תוכחת חיים &lt;מהדורה חדשה&gt; - 3 כר'</t>
  </si>
  <si>
    <t>תוכחת חיים</t>
  </si>
  <si>
    <t>דרשן, משה יצחק בן נוח</t>
  </si>
  <si>
    <t>דרשן, משה יצחק</t>
  </si>
  <si>
    <t>תוכחת חיים - 3 כר'</t>
  </si>
  <si>
    <t>ת"ר - תרל"ד</t>
  </si>
  <si>
    <t>תוכחת מגולה</t>
  </si>
  <si>
    <t>רבינוביץ, צבי הירש בן יצחק אלחנן</t>
  </si>
  <si>
    <t>תוכחת מגולה, הצד נחש &lt;מהדורה חדשה&gt;</t>
  </si>
  <si>
    <t>תוכחת מגולה, הצד נחש</t>
  </si>
  <si>
    <t>תוכחת מגילה</t>
  </si>
  <si>
    <t>תוכחת מוסר למהרש"א</t>
  </si>
  <si>
    <t>תוכחת מוסר ע"פ יד אליעזר</t>
  </si>
  <si>
    <t>תוכחת מוסר עם פירוש יד אליעזר</t>
  </si>
  <si>
    <t>רויטבלאט, אליעזר פלטיאל</t>
  </si>
  <si>
    <t>תוכחת מוסר</t>
  </si>
  <si>
    <t>ספר מוסר. תר"י</t>
  </si>
  <si>
    <t>תולדות אבי משפחת רפאפורט</t>
  </si>
  <si>
    <t>תולדות אברהם יצחק</t>
  </si>
  <si>
    <t>רוזנפלד, אברהם יצחק בן עזריאל</t>
  </si>
  <si>
    <t>תולדות אברהם</t>
  </si>
  <si>
    <t>אבוחצירא, אברהם בן יצחק</t>
  </si>
  <si>
    <t>תולדות אברהם - 2 כר'</t>
  </si>
  <si>
    <t>בורוכוב, אורן</t>
  </si>
  <si>
    <t>תולדות אדם וחוה &lt;שנות חיים&gt;</t>
  </si>
  <si>
    <t>ירוחם בן משולם - קליין, ראובן חיים</t>
  </si>
  <si>
    <t>תולדות אדם וחוה &lt;דפו"ר&gt;</t>
  </si>
  <si>
    <t>ירוחם בן משולם</t>
  </si>
  <si>
    <t>תולדות אדם וחוה - 4 כר'</t>
  </si>
  <si>
    <t>תולדות אדם</t>
  </si>
  <si>
    <t>אלגאזי, שמואל בן יצחק</t>
  </si>
  <si>
    <t>תולדות אדם - 2 כר'</t>
  </si>
  <si>
    <t>תולדות אדם. ת"ף</t>
  </si>
  <si>
    <t>תולדות אדם. תצ"ו</t>
  </si>
  <si>
    <t>תולדות אדם. תרל"ב</t>
  </si>
  <si>
    <t>תולדות אהרן ומשה &lt;מהדורת עלי עין&gt;</t>
  </si>
  <si>
    <t>תולדות אהרן ומשה</t>
  </si>
  <si>
    <t>תולדות אהרן משה</t>
  </si>
  <si>
    <t>לייפער, אהרן משה מחוסט</t>
  </si>
  <si>
    <t>תולדות אהרן - 2 כר'</t>
  </si>
  <si>
    <t>אהרן מזיטומיר</t>
  </si>
  <si>
    <t>תולדות אהרן</t>
  </si>
  <si>
    <t>וינוגרד, פנחס מרדכי בן אהרן</t>
  </si>
  <si>
    <t>תולדות אהרן - מועדים וזמנים</t>
  </si>
  <si>
    <t>פרידמן, אהרן בן מנחם נחום</t>
  </si>
  <si>
    <t>תולדות אהרן - תולדות אדמו"ר מבויאן טשערנוביץ</t>
  </si>
  <si>
    <t>תולדות אור החיים</t>
  </si>
  <si>
    <t>תולדות אליהו &lt;מהדורה חדשה&gt;</t>
  </si>
  <si>
    <t>תולדות אליהו התשבי</t>
  </si>
  <si>
    <t>תולדות אליהו</t>
  </si>
  <si>
    <t>תולדות אליהו - 2 כר'</t>
  </si>
  <si>
    <t>תולדות אלעזר - א</t>
  </si>
  <si>
    <t>כוללים תולדות אלעזר</t>
  </si>
  <si>
    <t>תולדות אנשי מופת</t>
  </si>
  <si>
    <t>הלכה ומנהג, חסידות, נושאים שונים, תולדות עם ישראל</t>
  </si>
  <si>
    <t>תולדות אנשי שם</t>
  </si>
  <si>
    <t>ראנד, אשר זלקא בן שמואל צבי הכהן</t>
  </si>
  <si>
    <t>תולדות אש</t>
  </si>
  <si>
    <t>תולדות בית ה' בוואלאז'ין - א-ב</t>
  </si>
  <si>
    <t>פראנק, תנחום</t>
  </si>
  <si>
    <t>תולדות בית יוסף - 2 כר'</t>
  </si>
  <si>
    <t>תולדות בית נפתלי</t>
  </si>
  <si>
    <t>ארנרייך, יואל זיסמן - ארנרייך, נפתלי</t>
  </si>
  <si>
    <t>תולדות בני יהונתן</t>
  </si>
  <si>
    <t>תולדות בני ישראל (באיטליה)</t>
  </si>
  <si>
    <t>אשכנזי, יצחק רפאל</t>
  </si>
  <si>
    <t>תולדות בנימין</t>
  </si>
  <si>
    <t>גרוס, חיים יששכר דוב בן בנימין צבי</t>
  </si>
  <si>
    <t>תולדות בעל ויחי יוסף מפאפא - 2 כר'</t>
  </si>
  <si>
    <t>תולדות בצלאל</t>
  </si>
  <si>
    <t>ליבקובסקי, שמחה בן בצלאל</t>
  </si>
  <si>
    <t>תולדות גאוני הגר</t>
  </si>
  <si>
    <t>תולדות גדולי הדור &lt;בית יהונתן&gt;</t>
  </si>
  <si>
    <t>תולדות גדולי הוראה - 2 כר'</t>
  </si>
  <si>
    <t>תולדות גדולי ירושלים - 2 כר'</t>
  </si>
  <si>
    <t>סנדר, יצחק אייזיק בן משה אהרן</t>
  </si>
  <si>
    <t>שיקאגו Chicago</t>
  </si>
  <si>
    <t>תולדות גדולי ישראל אנשי ש"ם</t>
  </si>
  <si>
    <t>תולדות גדולי ישראל באיטליה - מפתח וקטלוג</t>
  </si>
  <si>
    <t>לוינשטיין, לאופולד יהודה ליב</t>
  </si>
  <si>
    <t>תולדות גדולי ישראל וגאוני איטליאה</t>
  </si>
  <si>
    <t>גירונדי, מרדכי שמואל בן בן-ציון אריה</t>
  </si>
  <si>
    <t>Trieste טריסטה</t>
  </si>
  <si>
    <t>תולדות גדולי ישראל</t>
  </si>
  <si>
    <t>האלפרט, ישראל יעקב</t>
  </si>
  <si>
    <t>תולדות גדולי ישראל - 2 כר'</t>
  </si>
  <si>
    <t>רוזנבלאט, משולם זישא בן שמואל נח</t>
  </si>
  <si>
    <t>תולדות האדם</t>
  </si>
  <si>
    <t>תולדות האנוסים</t>
  </si>
  <si>
    <t>רות, ססיל</t>
  </si>
  <si>
    <t>תולדות האר"י הקדוש</t>
  </si>
  <si>
    <t>וינשטוק, יצחק שמואל בן משה יאיר</t>
  </si>
  <si>
    <t>תולדות הארץ - 3 כר'</t>
  </si>
  <si>
    <t>תר"א-תרי"ט</t>
  </si>
  <si>
    <t>תולדות האש</t>
  </si>
  <si>
    <t>תולדות הג' ר' יהודה מוסקאטו</t>
  </si>
  <si>
    <t>תולדות הגאון הצדיק מרן ר' מרדכי וויצעל</t>
  </si>
  <si>
    <t>לונסקי, חיים חייקל</t>
  </si>
  <si>
    <t>תולדות הגאון ר' דוד אופנהיימער זצ"ל</t>
  </si>
  <si>
    <t>דושינסקי, יעקב קופל בן דוב בר</t>
  </si>
  <si>
    <t>תולדות הגאון ר' דוד לידא זללה"ה</t>
  </si>
  <si>
    <t>אייזנר, אברהם אבא בן דוב בריש</t>
  </si>
  <si>
    <t>תולדות הגאון ר' חיים יהודה ליב</t>
  </si>
  <si>
    <t>תולדות הגדול בדורו</t>
  </si>
  <si>
    <t>תולדות הגה"צ ר' שמשון רפאל הירש זצ"ל</t>
  </si>
  <si>
    <t>תולדות הדפוס בצפת</t>
  </si>
  <si>
    <t>תולדות הדפוס העברי באירופה א</t>
  </si>
  <si>
    <t>Antwerp אנטורפן</t>
  </si>
  <si>
    <t>תולדות הדפוס העברי באירופה ב</t>
  </si>
  <si>
    <t>תולדות הדפוס העברי במדינות איטליה</t>
  </si>
  <si>
    <t>תולדות הדפוס העברי בפולניה</t>
  </si>
  <si>
    <t>תולדות החבי"ף &lt;רבי חיים פאלאג'י&gt;</t>
  </si>
  <si>
    <t>עקשטיין, שמעון אריה ליב בן יחזקאל חיים</t>
  </si>
  <si>
    <t>תולדות החינוך התורתי</t>
  </si>
  <si>
    <t>תולדות החכם השלם ר' שאול הלוי מורטירא</t>
  </si>
  <si>
    <t>פלוט, אליעזר בן יעקב</t>
  </si>
  <si>
    <t>תולדות החסידות ותורתה - א</t>
  </si>
  <si>
    <t>תולדות החסידות</t>
  </si>
  <si>
    <t>תשי"ט,</t>
  </si>
  <si>
    <t>תולדות החסידים &lt;צוואת רבי יהודה החסיד עם פירוש דמשק אליעזר&gt;</t>
  </si>
  <si>
    <t>מאלר, מנחם אליעזר בן יצחק אשר</t>
  </si>
  <si>
    <t>תולדות החתם סופר ותקופתו</t>
  </si>
  <si>
    <t>תולדות היהודים באמיריקה</t>
  </si>
  <si>
    <t>רייזין, מרדכי זאב בן אהרן שלמה</t>
  </si>
  <si>
    <t>תולדות היהודים בארץ ישראל</t>
  </si>
  <si>
    <t>תולדות היהודים במצרים וסוריה - 2 כר'</t>
  </si>
  <si>
    <t>שטראוס-אשתור, אליהו בן אברהם ליב</t>
  </si>
  <si>
    <t>תש"ד - תשי"א</t>
  </si>
  <si>
    <t>תולדות הימים</t>
  </si>
  <si>
    <t>שאבאד, אברהם חיים בן שמואל צבי</t>
  </si>
  <si>
    <t>תולדות הישוב היהודי בארץ-ישראל</t>
  </si>
  <si>
    <t>קליין, שמואל בן אברהם צבי</t>
  </si>
  <si>
    <t>תולדות הישמח ישראל - 2 כר'</t>
  </si>
  <si>
    <t>מקובר, מנחם אבינועם</t>
  </si>
  <si>
    <t>תולדות הכהן</t>
  </si>
  <si>
    <t>אונגר, שמואל</t>
  </si>
  <si>
    <t>תולדות הכהנים הגדולים</t>
  </si>
  <si>
    <t>תולדות הכתובה בישראל</t>
  </si>
  <si>
    <t>אפשטיין, אריה ליב בן עזריאל</t>
  </si>
  <si>
    <t>תולדות הלל</t>
  </si>
  <si>
    <t>ליכטנשטיין, יעקב הלל בן יקותיאל</t>
  </si>
  <si>
    <t>תולדות המבי"ט וספריו</t>
  </si>
  <si>
    <t>זינגר,יצחק פסח</t>
  </si>
  <si>
    <t>תולדות המגיד מקאזניץ</t>
  </si>
  <si>
    <t>הלברשטאם, חכם צבי</t>
  </si>
  <si>
    <t>תולדות המהרש"א</t>
  </si>
  <si>
    <t>תולדות המשכן ובתי המקדש בירושלים</t>
  </si>
  <si>
    <t>מאירס, אליהו</t>
  </si>
  <si>
    <t>תולדות הנפלאות</t>
  </si>
  <si>
    <t>תולדות הפוסקים</t>
  </si>
  <si>
    <t>חונס, שמעון משה בן גדליהו</t>
  </si>
  <si>
    <t>תולדות הפיוט והשירה</t>
  </si>
  <si>
    <t>תולדות הקהלה העברית בוילנה</t>
  </si>
  <si>
    <t>קלויזנר, ישראל בן חיים שבתי</t>
  </si>
  <si>
    <t>תולדות הקהלות בטרנסילבניה</t>
  </si>
  <si>
    <t>תולדות הראב"ד</t>
  </si>
  <si>
    <t>שמרלר, אליהו צבי בן ישראל</t>
  </si>
  <si>
    <t>תולדות הרב הגדול יצחק לאמפרונטי</t>
  </si>
  <si>
    <t>לוי, יצחק ברוך בן שלמה משה</t>
  </si>
  <si>
    <t>תולדות הרב עבדאללה סומך</t>
  </si>
  <si>
    <t>בן יעקב, אברהם יהודה בן יעקב אהרן</t>
  </si>
  <si>
    <t>תולדות הרב שלום שבזי - 2 כר'</t>
  </si>
  <si>
    <t>חוזה, סעדיה בן יפת</t>
  </si>
  <si>
    <t>תולדות הרבנים דברשווילי</t>
  </si>
  <si>
    <t>מכון מורשת רבני גרוזיה</t>
  </si>
  <si>
    <t>תולדות הרבנים למשפחת ישראל מרודוס</t>
  </si>
  <si>
    <t>מרכוס, סימון</t>
  </si>
  <si>
    <t>תולדות הרה"ק בעל פרי הארץ וממשיכי דרכו</t>
  </si>
  <si>
    <t>מכון פרי הארץ</t>
  </si>
  <si>
    <t>תולדות התניא</t>
  </si>
  <si>
    <t>תולדות ודרכים</t>
  </si>
  <si>
    <t>תולדות וזכרונות</t>
  </si>
  <si>
    <t>ליכטנשטיין, חיים יעקב בן ברוך בנדיט</t>
  </si>
  <si>
    <t>תולדות וחידושי רבי מנחם כץ פרוסטיץ - 3 כר'</t>
  </si>
  <si>
    <t>שטיינר, טוביה יואל</t>
  </si>
  <si>
    <t>תולדות ומדות</t>
  </si>
  <si>
    <t>תולדות זאב</t>
  </si>
  <si>
    <t>פראנק, זאב בן יהודה ליב</t>
  </si>
  <si>
    <t>תרפ"ט - תרצ"ה</t>
  </si>
  <si>
    <t>דרושים, שלחן ערוך ומפרשיו, תלמוד בבלי, תנ"ך</t>
  </si>
  <si>
    <t>תולדות זאב - 3 כר'</t>
  </si>
  <si>
    <t>פראנק, חיים שרגא פייביל</t>
  </si>
  <si>
    <t>תולדות חייו וקורותיו של מהרי"ץ</t>
  </si>
  <si>
    <t>מחפוד, שגיב</t>
  </si>
  <si>
    <t>תולדות חייו של הצדיק הרב משה אזגורי</t>
  </si>
  <si>
    <t>אזגורי, משה (עליו)</t>
  </si>
  <si>
    <t>תולדות חיים</t>
  </si>
  <si>
    <t>ברוין, חיים מאיר</t>
  </si>
  <si>
    <t>דרושים, דרושים, מועדי ישראל, שאלות ותשובות, תולדות עם ישראל, תלמוד בבלי, תנ"ך</t>
  </si>
  <si>
    <t>תולדות חכמי הדורות</t>
  </si>
  <si>
    <t>תולדות חכמי ירושלם - 3 כר'</t>
  </si>
  <si>
    <t>תולדות חכמי ישראל</t>
  </si>
  <si>
    <t>תולדות חכמי תונס - אנשי שש, תרשיש ואיים</t>
  </si>
  <si>
    <t>טנג'י, יוסף הכהן</t>
  </si>
  <si>
    <t>תולדות חנוך - 3 כר'</t>
  </si>
  <si>
    <t>תולדות חת"ם סופר</t>
  </si>
  <si>
    <t>פייגלשטוק, אברהם בן שלום</t>
  </si>
  <si>
    <t>תולדות טהרת יום טוב</t>
  </si>
  <si>
    <t>דייטש, חנניה יו"ט ליפא</t>
  </si>
  <si>
    <t>תולדות יהודא</t>
  </si>
  <si>
    <t>תולדות יהודי אל מגרב</t>
  </si>
  <si>
    <t>הררי, יוסף</t>
  </si>
  <si>
    <t>תולדות יהודי טרנסילבניה</t>
  </si>
  <si>
    <t>וינברגר -כרמלי, משה</t>
  </si>
  <si>
    <t>תולדות יהודי מרוקו</t>
  </si>
  <si>
    <t>תולדות יהודי פרס ומשורריהם</t>
  </si>
  <si>
    <t>מזרחי, חנינא</t>
  </si>
  <si>
    <t>תולדות יהודי קאליש</t>
  </si>
  <si>
    <t>תולדות יהודי תימן - מכתביהם</t>
  </si>
  <si>
    <t>לקט סופרים וחכמים</t>
  </si>
  <si>
    <t>תולדות יהושע - 4 כר'</t>
  </si>
  <si>
    <t>תולדות יוסף צבי</t>
  </si>
  <si>
    <t>ליהמן, יוסף צבי בן משה בנימין</t>
  </si>
  <si>
    <t>תולדות יוסף - 2 כר'</t>
  </si>
  <si>
    <t>לאנדא, מתתיהו בן יוסף</t>
  </si>
  <si>
    <t>תולדות יוסף</t>
  </si>
  <si>
    <t>מנטליק, יוסף יששכר דוב בן ישראל משה הכהן</t>
  </si>
  <si>
    <t>פלדמן, אהרון בן יוסף</t>
  </si>
  <si>
    <t>תולדות יעב"ץ - 2 כר'</t>
  </si>
  <si>
    <t>וואגנה, אברהם חיים בן אברהם</t>
  </si>
  <si>
    <t>תולדות יעקב &lt;עם רשימות בעקב&gt; - 2 כר'</t>
  </si>
  <si>
    <t>קאסטרו, יעקב בן אברהם - יאקאבאוויטש, יצחק יהודה</t>
  </si>
  <si>
    <t>תולדות יעקב יוסף &lt;דפו"ר&gt;</t>
  </si>
  <si>
    <t>תולדות יעקב יוסף &lt;מהדורה חדשה&gt; - 2 כר'</t>
  </si>
  <si>
    <t>תולדות יעקב יוסף &lt;מהדורת אייכן&gt; - 3 כר'</t>
  </si>
  <si>
    <t>תולדות יעקב יוסף &lt;מהדורת נחלת צבי&gt; - 2 כר'</t>
  </si>
  <si>
    <t>תולדות יעקב יוסף - 2 כר'</t>
  </si>
  <si>
    <t>בכרך, יוסף בן יעקב</t>
  </si>
  <si>
    <t>תולדות יעקב</t>
  </si>
  <si>
    <t>תולדות יעקב - אדמור"י הוסיאטין</t>
  </si>
  <si>
    <t>דושינסקי, יעקב קאפל</t>
  </si>
  <si>
    <t>תולדות יעקב - 2 כר'</t>
  </si>
  <si>
    <t>די אלבה, יעקב</t>
  </si>
  <si>
    <t>יעקב אריה בן מרדכי</t>
  </si>
  <si>
    <t>קנייבסקי, אברהם ישעיהו בהגרשי"ח</t>
  </si>
  <si>
    <t>ראבין, יעקב בן אהרן</t>
  </si>
  <si>
    <t>תולדות יצחק &lt;מהדורה חדשה&gt;</t>
  </si>
  <si>
    <t>יצחק בן מרדכי דב מנעשכיז</t>
  </si>
  <si>
    <t>תולדות יצחק א -ב</t>
  </si>
  <si>
    <t>תולדות יצחק אחרון</t>
  </si>
  <si>
    <t>מורגנשטרן, יצחק איזיק בן יהונתן</t>
  </si>
  <si>
    <t>תולדות יצחק בן אברהם &lt;מהדורה חדשה&gt;</t>
  </si>
  <si>
    <t>כ"ץ, יצחק בן אברהם</t>
  </si>
  <si>
    <t>תולדות יצחק בן אברהם</t>
  </si>
  <si>
    <t>תולדות יצחק</t>
  </si>
  <si>
    <t>אביחצירא, יצחק</t>
  </si>
  <si>
    <t>אמסיל, יצחק</t>
  </si>
  <si>
    <t>תולדות יצחק - 2 כר'</t>
  </si>
  <si>
    <t>תולדות יצחק  - דברי יצחק</t>
  </si>
  <si>
    <t>תולדות יצחק - 4 כר'</t>
  </si>
  <si>
    <t>ויספיש, מרדכי יצחק</t>
  </si>
  <si>
    <t>תולדות יצחק - 3 כר'</t>
  </si>
  <si>
    <t>תולדות יצחק - א</t>
  </si>
  <si>
    <t>חן, יצחק בן עובדיה</t>
  </si>
  <si>
    <t>תולדות יצחק - תהלים</t>
  </si>
  <si>
    <t>יצחק בן מרדכי מנעשכיז</t>
  </si>
  <si>
    <t>כולל תולדות יצחק</t>
  </si>
  <si>
    <t>סאדין, יצחק בן קלונימוס קלמן</t>
  </si>
  <si>
    <t>פחימא, ישראל אריה בן יצחק</t>
  </si>
  <si>
    <t>קאדישוויץ, קלמן יצחק בן פסח מרדכי</t>
  </si>
  <si>
    <t>קארו, יצחק בן יוסף</t>
  </si>
  <si>
    <t>שי"ח - שי"ט</t>
  </si>
  <si>
    <t>שטיינר, יצחק</t>
  </si>
  <si>
    <t>שפירא, יצחק בן מרדכי</t>
  </si>
  <si>
    <t>תולדות ישורון</t>
  </si>
  <si>
    <t>קובץ כולל תולדות ישורון</t>
  </si>
  <si>
    <t>תולדות ישחק</t>
  </si>
  <si>
    <t>קארפי, יששכר חיים</t>
  </si>
  <si>
    <t>תולדות ישיבת היהודים בקורלאנד</t>
  </si>
  <si>
    <t>תולדות ישראל &lt;מהדרוה חדשה&gt;</t>
  </si>
  <si>
    <t>גינצלר, זאב וולף בן ישראל</t>
  </si>
  <si>
    <t>תולדות ישראל ימות עולם</t>
  </si>
  <si>
    <t>תולדות ישראל רוקח</t>
  </si>
  <si>
    <t>תולדות ישראל</t>
  </si>
  <si>
    <t>תולדות ישראל - 2 כר'</t>
  </si>
  <si>
    <t>תולדות ישראל - ח</t>
  </si>
  <si>
    <t>תרצ"ב - תרצ"ו</t>
  </si>
  <si>
    <t>תולדות ישרון</t>
  </si>
  <si>
    <t>תולדות לבושי מרדכי</t>
  </si>
  <si>
    <t>ווינקלער, מרדכי ליב (אודותיו)</t>
  </si>
  <si>
    <t>תולדות מאנטעפיורי</t>
  </si>
  <si>
    <t>תולדות מהרא"ל צינץ</t>
  </si>
  <si>
    <t>תולדות מהרח"ן</t>
  </si>
  <si>
    <t>תולדות מחבר ספרי לשם שבו ואחלמה ר' שלמה אליאשאוו זצוק"ל</t>
  </si>
  <si>
    <t>לוין, אריה בן בנימין בינוש</t>
  </si>
  <si>
    <t>תולדות מלחמת היהודים עם הרומאים &lt;כתבי יוסף בן מתתיהו&gt; - 2 כר'</t>
  </si>
  <si>
    <t>תולדות מנחם - 2 כר'</t>
  </si>
  <si>
    <t>תולדות מסעי הצלב</t>
  </si>
  <si>
    <t>ברנפלד, שמעון בן משה</t>
  </si>
  <si>
    <t>תולדות מרן רבינו גאב"ד נוה אחיעזר</t>
  </si>
  <si>
    <t>וייס, אברהם צבי (אודותיו)</t>
  </si>
  <si>
    <t>תולדות משה חיים לוצאטו</t>
  </si>
  <si>
    <t>תולדות משה</t>
  </si>
  <si>
    <t>תולדות משפחת הורוויץ</t>
  </si>
  <si>
    <t>תולדות משפחת מונק</t>
  </si>
  <si>
    <t>מונק, ברוך פליקס</t>
  </si>
  <si>
    <t>תולדות משפחת קרלינסקי לדורותיה</t>
  </si>
  <si>
    <t>קרלינסקי, בצלאל</t>
  </si>
  <si>
    <t>תולדות משפחת ראזענטהאל</t>
  </si>
  <si>
    <t>תולדות משפחת שור</t>
  </si>
  <si>
    <t>תרס"א - תשנ"ח</t>
  </si>
  <si>
    <t>פרנקפורט - בני ברק</t>
  </si>
  <si>
    <t>תולדות נ"ח - 2 כר'</t>
  </si>
  <si>
    <t>נוטמאן, נפתלי חיים בן יצחק</t>
  </si>
  <si>
    <t>תולדות נודע ביהודה</t>
  </si>
  <si>
    <t>תולדות נח - מצוות ודיני בן נח</t>
  </si>
  <si>
    <t>תולדות נח - 4 כר'</t>
  </si>
  <si>
    <t>וינברג, אלחנן בן שמואל</t>
  </si>
  <si>
    <t>תולדות נח</t>
  </si>
  <si>
    <t>נח בן פסח מקראקא</t>
  </si>
  <si>
    <t>נח בן שמעון מליסא</t>
  </si>
  <si>
    <t>תרמ"ב - תרס"ב</t>
  </si>
  <si>
    <t>תולדות סופרים</t>
  </si>
  <si>
    <t>סופר, חיים</t>
  </si>
  <si>
    <t>תולדות עם ישראל - 4 כר'</t>
  </si>
  <si>
    <t>תולדות עם עולם - 8 כר'</t>
  </si>
  <si>
    <t>תולדות עמודי החב"ד</t>
  </si>
  <si>
    <t>תולדות ערוגת הבשם - 2 כר'</t>
  </si>
  <si>
    <t>תולדות פרץ - 4 כר'</t>
  </si>
  <si>
    <t>מימון, פרץ בן רפאל</t>
  </si>
  <si>
    <t>מושב גילת</t>
  </si>
  <si>
    <t>תולדות צבי - א</t>
  </si>
  <si>
    <t>הורביץ, שמואל צבי מספינקא</t>
  </si>
  <si>
    <t>תולדות קדושת לוי</t>
  </si>
  <si>
    <t>תולדות ר' מרדכי בנעט זצללה"ה - 2 כר'</t>
  </si>
  <si>
    <t>בנט, יעקב אברהם אבריל בן מרדכי</t>
  </si>
  <si>
    <t>אופןOfen</t>
  </si>
  <si>
    <t>תולדות ר' משה חיים לוצאטו</t>
  </si>
  <si>
    <t>תולדות רבי אברהם גרינבורג מקז'מארוק זצ"ל</t>
  </si>
  <si>
    <t>לנדאו, בנימין</t>
  </si>
  <si>
    <t>תולדות רבי זוסמן סופר</t>
  </si>
  <si>
    <t>תולדות רבי חייא ובניו</t>
  </si>
  <si>
    <t>תולדות רבי חיים אלעזר וואקס</t>
  </si>
  <si>
    <t>תולדות רבי יהודה החסיד</t>
  </si>
  <si>
    <t>תולדות רבי עקיבא</t>
  </si>
  <si>
    <t>גאסטפריינד, יצחק בן חיים אברהם הלוי</t>
  </si>
  <si>
    <t>תולדות רבינו &lt;רח"א שפירא ממונקאטש&gt;</t>
  </si>
  <si>
    <t>תולדות רבינו חזקיה די סילוה זצ"ל</t>
  </si>
  <si>
    <t>מורגנשטרן, יחיאל מאיר בן צבי הירש</t>
  </si>
  <si>
    <t>תולדות רבינו חיים ן' עטר</t>
  </si>
  <si>
    <t>תולדות רבינו יום-טוב ליפמן העלר</t>
  </si>
  <si>
    <t>תולדות רבינו יחזקאל הלוי לנדא</t>
  </si>
  <si>
    <t>תולדות רבינו מנחם עזריה מפאנו</t>
  </si>
  <si>
    <t>תולדות רבינו עקיבא איגר</t>
  </si>
  <si>
    <t>בלייכרודה, אברהם משה בן נפתלי הירש</t>
  </si>
  <si>
    <t>תולדות רבינו עקיבא יוסף שלזינגר</t>
  </si>
  <si>
    <t>תולדות רבנו אברהם מיימוני</t>
  </si>
  <si>
    <t>מחשבה ומוסר, נושאים שונים, שאלות ותשובות, שונות, תולדות עם ישראל</t>
  </si>
  <si>
    <t>תולדות רבנו האי גאון</t>
  </si>
  <si>
    <t>תולדות רבנו זרחיה הלוי</t>
  </si>
  <si>
    <t>תולדות רבנו חיים בן עטר</t>
  </si>
  <si>
    <t>הדר, ישעיה</t>
  </si>
  <si>
    <t>תולדות רבנו חיים מוואלוז'ין - 2 כר'</t>
  </si>
  <si>
    <t>שמוקלר (שפירא), משה שמואל</t>
  </si>
  <si>
    <t>תולדות רבנו חיים מוואלוזין</t>
  </si>
  <si>
    <t>שפירא, משה שמואל בן ישעיהו</t>
  </si>
  <si>
    <t>תולדות רבנו משה בן מימון</t>
  </si>
  <si>
    <t>תולדות רבנו צבי הירש אשכנזי</t>
  </si>
  <si>
    <t>תולדות רמב"ה ורשב"י</t>
  </si>
  <si>
    <t>בושכילה, יחיאל בן משה</t>
  </si>
  <si>
    <t>קזבלנקה,</t>
  </si>
  <si>
    <t>תולדות ש"ם</t>
  </si>
  <si>
    <t>רבינוביץ, שמואל מיכל בן יהודה</t>
  </si>
  <si>
    <t>תולדות שולשלת רבינו יעקב אביחצירא</t>
  </si>
  <si>
    <t>תולדות שלמה - 2 כר'</t>
  </si>
  <si>
    <t>קלוגר, יהודה אהרן בן אברהם בנימין</t>
  </si>
  <si>
    <t>תולדות שלמה</t>
  </si>
  <si>
    <t>תולדות שמואל</t>
  </si>
  <si>
    <t>דייטש, שמואל חיים בן ישראל</t>
  </si>
  <si>
    <t>פרידמן, שמואל העשיל</t>
  </si>
  <si>
    <t>תולדות שמואל - 3 כר'</t>
  </si>
  <si>
    <t>תולדות שמים וארץ</t>
  </si>
  <si>
    <t>תולדות שמשון</t>
  </si>
  <si>
    <t>תולדות תלמידי רבי עקיבא רבי מאיר ורבי שמעון בן יוחאי</t>
  </si>
  <si>
    <t>תולדות תנאים ואמוראים - 3 כר'</t>
  </si>
  <si>
    <t>תולדותיהם של צדיקים</t>
  </si>
  <si>
    <t>מאיער, יוסף</t>
  </si>
  <si>
    <t>תולדותיו ומפעלו הספרותי של הרב עזיאל</t>
  </si>
  <si>
    <t>תולדותן של אבות - מסכת אבות</t>
  </si>
  <si>
    <t>תולדת אדם - 2 כר'</t>
  </si>
  <si>
    <t>תולדת אדם</t>
  </si>
  <si>
    <t>יהושע בן שלמה יהודה ליב מאוסטרובה</t>
  </si>
  <si>
    <t>תולדת אדם - 5 כר'</t>
  </si>
  <si>
    <t>יחזקאל פייבל בן זאב וולף</t>
  </si>
  <si>
    <t>תולדת אהרן - 2 כר'</t>
  </si>
  <si>
    <t>אהרן מפיסארו</t>
  </si>
  <si>
    <t>[שנ"א]</t>
  </si>
  <si>
    <t>תולדת יעקב</t>
  </si>
  <si>
    <t>אייזנשטאט, יעקב בן אליעזר</t>
  </si>
  <si>
    <t>יעקב בן אברהם הלוי</t>
  </si>
  <si>
    <t>תולדת יצחק</t>
  </si>
  <si>
    <t>תולדת יצחק - 2 כר'</t>
  </si>
  <si>
    <t>יצחק בן מרדכי מנסכיז</t>
  </si>
  <si>
    <t>תולדת עוזר</t>
  </si>
  <si>
    <t>הניגשטיין, עוזר בן הניך</t>
  </si>
  <si>
    <t>תולדת רבינו עקיבא איגר</t>
  </si>
  <si>
    <t>תולעת השני - כרמיז וכרמיל</t>
  </si>
  <si>
    <t>דורי, זכריה</t>
  </si>
  <si>
    <t>קרית נטפים</t>
  </si>
  <si>
    <t>תולעת יעקב - 3 כר'</t>
  </si>
  <si>
    <t>קבלה, קבלה, תפלות בקשות פיוטים ושירה</t>
  </si>
  <si>
    <t>תולעת יעקב - א'</t>
  </si>
  <si>
    <t>תולעת שני</t>
  </si>
  <si>
    <t>תולעת שני - 4 כר'</t>
  </si>
  <si>
    <t>תום ודעת</t>
  </si>
  <si>
    <t>תום לבבי</t>
  </si>
  <si>
    <t>טייב, תום בן יורם</t>
  </si>
  <si>
    <t>תומר דבורה &lt;דפוס ראשון&gt;</t>
  </si>
  <si>
    <t>תומר דבורה &lt;עם הוספות&gt;</t>
  </si>
  <si>
    <t>תומר דבורה &lt;והלכת בדרכיו&gt;</t>
  </si>
  <si>
    <t>קורדובירו, משה בן יעקב, גולדברג, אהרן דוד בן יצחק הלוי (מפרש)</t>
  </si>
  <si>
    <t>תומר דבורה עם ביאור הקדמות ושערים</t>
  </si>
  <si>
    <t>תומר דבורה עם ביאור שומר הפרדס</t>
  </si>
  <si>
    <t>תומר דבורה</t>
  </si>
  <si>
    <t>תומר דבורה - ארחות חיים - אור ישראל</t>
  </si>
  <si>
    <t>קורדובירו, משה בן יעקב - אשר בן יחיאל (הרא"ש) - ליפקין, ישראל</t>
  </si>
  <si>
    <t>תומר דבורה - קנאת האמת</t>
  </si>
  <si>
    <t>קורדובירו, משה בן יעקב - רפאפורט, חיים יצחק אהרן בן יהודה ליב</t>
  </si>
  <si>
    <t>תומר דבורה - 11 כר'</t>
  </si>
  <si>
    <t>תומת ישרים</t>
  </si>
  <si>
    <t>אלי-קרבלי, גבריאל בן מיכאל</t>
  </si>
  <si>
    <t>כולל חב"ד</t>
  </si>
  <si>
    <t>פיסקין, יעקב דוד בן מנחם</t>
  </si>
  <si>
    <t>תוספות אהרן</t>
  </si>
  <si>
    <t>אהרן בן זאב מפינסק</t>
  </si>
  <si>
    <t>לוי, אריה ליב</t>
  </si>
  <si>
    <t>תוספות איוורא - 2 כר'</t>
  </si>
  <si>
    <t>יצחק בן שניאור מאיוורא</t>
  </si>
  <si>
    <t>תוספות בכורים</t>
  </si>
  <si>
    <t>תוספתא. תקס"ט</t>
  </si>
  <si>
    <t>תוספות גורניש  - יבמות</t>
  </si>
  <si>
    <t>תוספות הרא"ש &lt;עוז והדר&gt; - 20 כר'</t>
  </si>
  <si>
    <t>תוספות הרא"ש &lt;שם עולם&gt; - מגילה, שבועות</t>
  </si>
  <si>
    <t>תוספות הרא"ש - מגילה</t>
  </si>
  <si>
    <t>אשר בן יחיאל (רא"ש) - גרשי, אבשלום</t>
  </si>
  <si>
    <t>תוספות הרא"ש - 17 כר'</t>
  </si>
  <si>
    <t>תוספות הרשב"א משאנץ - פסחים</t>
  </si>
  <si>
    <t>תוספות הרשב"א משנץ - כתובות</t>
  </si>
  <si>
    <t>תוספות השלם - 19 כר'</t>
  </si>
  <si>
    <t>תוספות וחילופין תרגום ירושלמי לתורה</t>
  </si>
  <si>
    <t>גינזבורגר, משה</t>
  </si>
  <si>
    <t>תוספות חיים</t>
  </si>
  <si>
    <t>תוספות חיים - 4 כר'</t>
  </si>
  <si>
    <t>ברוקשטיין, חיים יוסף בן יהושע יצחק</t>
  </si>
  <si>
    <t>תוספות חיים - 2 כר'</t>
  </si>
  <si>
    <t>לובוצקי, חיים בן ברוך</t>
  </si>
  <si>
    <t>תרע"ב - תרפ"ט</t>
  </si>
  <si>
    <t>תוספות חיים - 6 כר'</t>
  </si>
  <si>
    <t>שאכנוביץ, חיים בן יוסף</t>
  </si>
  <si>
    <t>תוספות חכמי אנגליה - 8 כר'</t>
  </si>
  <si>
    <t>תוספות חכמי אנגליה</t>
  </si>
  <si>
    <t>תוספות ישנים - 2 כר'</t>
  </si>
  <si>
    <t>האלפערן, אלטר שלמה יצחק בן זאב</t>
  </si>
  <si>
    <t>תוספות ישנים - בבא בתרא</t>
  </si>
  <si>
    <t>תוספות מהר"ם מרוטנבורג - יבמות</t>
  </si>
  <si>
    <t>תוספות נזיר עם פירוש ארזי הלבנון</t>
  </si>
  <si>
    <t>סלע, ארז בן צבי יהודה</t>
  </si>
  <si>
    <t>תוספות עזרא &lt;כלל גדול&gt;</t>
  </si>
  <si>
    <t>תוספות על הש"ס &lt;טקסט&gt;</t>
  </si>
  <si>
    <t>תוספות על הש"ס</t>
  </si>
  <si>
    <t>תוספות ר"י הלבן - יומא</t>
  </si>
  <si>
    <t>יצחק בן יעקב הלבן - גנחובסקי, דב (מו"ל)</t>
  </si>
  <si>
    <t>יצחק בן יעקב הלבן - הכהן, פנחס יעקב (מו"ל)</t>
  </si>
  <si>
    <t>תוספות ר"י הלבן - כתובות</t>
  </si>
  <si>
    <t>יצחק בן יעקב הלבן</t>
  </si>
  <si>
    <t>תוספות רא"ם - מוסיף דבר</t>
  </si>
  <si>
    <t>מזא"ה, אליהו מרדכי כח - מזאה, דב הכהן</t>
  </si>
  <si>
    <t>תוספות רבינו אלחנן &lt;מהדורה חדשה&gt; - ע"ז</t>
  </si>
  <si>
    <t>אלחנן בן יצחק מדאמפייר</t>
  </si>
  <si>
    <t>תוספות רבינו אלחנן - ע"ז</t>
  </si>
  <si>
    <t>תוספות רבינו טודרוס - נזיר</t>
  </si>
  <si>
    <t>טודרוס בן יצחק מגירונה</t>
  </si>
  <si>
    <t>תוספות רבינו יהודה ב"ר יצחק מבירינא - ע"ז</t>
  </si>
  <si>
    <t>יהודה בן יצחק מברונא</t>
  </si>
  <si>
    <t>תוספות רבינו יהודה מבירניא - תוספות ר"י הזקן - ע"ז</t>
  </si>
  <si>
    <t>יהודה מבירניא- יצחק מדאמפייר</t>
  </si>
  <si>
    <t>תוספות רבינו יהודה משירלאון - ע"ז</t>
  </si>
  <si>
    <t>יהודה בן יצחק שירלאון</t>
  </si>
  <si>
    <t>תוספות רבינו יהודה שירלאון - 2 כר'</t>
  </si>
  <si>
    <t>תוספות רבינו יהודה שירלאון - פסחים</t>
  </si>
  <si>
    <t>יהודה בן יצחק שירליאון</t>
  </si>
  <si>
    <t>תוספות רבינו ישעיה - בבא קמא</t>
  </si>
  <si>
    <t>ליקוטים משיטמ"ק</t>
  </si>
  <si>
    <t>תוספות רבינו פרץ &lt;עוז והדר&gt; - 8 כר'</t>
  </si>
  <si>
    <t>פרץ בן אליהו מקורביל</t>
  </si>
  <si>
    <t>תוספות רבינו פרץ - סוכה</t>
  </si>
  <si>
    <t>פרץ בן אליהו מקורביל - גרינבום, שמעיה</t>
  </si>
  <si>
    <t>תוספות רבינו פרץ - 9 כר'</t>
  </si>
  <si>
    <t>תוספות רבינו פרץ - &lt;תוספות ישנים ושאנץ&gt; - מכות</t>
  </si>
  <si>
    <t>תוספות רבינו פרץ - &lt;תוספות מהר"ם ורבינו פרץ&gt; - יבמות</t>
  </si>
  <si>
    <t>תוספות מהר"ם ורבינו פרץ</t>
  </si>
  <si>
    <t>תוספות רבינו שמואל ב"ר יצחק - קדושין</t>
  </si>
  <si>
    <t>שמואל בן יצחק</t>
  </si>
  <si>
    <t>תוספות רי"ד &lt;מהדורת הר"נ זק"ש&gt; - 7 כר'</t>
  </si>
  <si>
    <t>תוספות רי"ד &lt;עוז והדר&gt; - 5 כר'</t>
  </si>
  <si>
    <t>תוספות רי"ד - 7 כר'</t>
  </si>
  <si>
    <t>תוספות שאנץ - 2 כר'</t>
  </si>
  <si>
    <t>שמשון בן אברהם (הר"ש משאנץ)</t>
  </si>
  <si>
    <t>תוספות תלמיד ר"י הזקן ותשובות רבי משה חלאוה - ב"ק</t>
  </si>
  <si>
    <t>תלמיד ר"י הזקן, ר"מ חלאוה</t>
  </si>
  <si>
    <t>תוספות תלמיד רבינו תם ורבינו אליעזר</t>
  </si>
  <si>
    <t>תלמיד ר"ת ור"א</t>
  </si>
  <si>
    <t>תוספי הרא"ש - כתובות, גיטין, קידושין &lt;הערות וביאורים הגרמ"ש שפירא&gt;</t>
  </si>
  <si>
    <t>אשר בן יחיאל (הרא"ש) - שפירא, משה שמואל בן אריה</t>
  </si>
  <si>
    <t>תוספי הרא"ש - מגילה</t>
  </si>
  <si>
    <t>אשר בן יחיאל (הרא"ש)</t>
  </si>
  <si>
    <t>תוספי יריעות הסופר</t>
  </si>
  <si>
    <t>שפירא, בנימין זאב</t>
  </si>
  <si>
    <t>תוספי רבינו אשר וחי' רבינו טודרוס על מס' מגילה</t>
  </si>
  <si>
    <t>תוספת אהל - 3 כר'</t>
  </si>
  <si>
    <t>עפרה</t>
  </si>
  <si>
    <t>תוספת אורה - 2 כר'</t>
  </si>
  <si>
    <t>מילר, יוסף בן שרגא</t>
  </si>
  <si>
    <t>תוספת אורה</t>
  </si>
  <si>
    <t>מצרי, יעקב מאיר בן יצחק</t>
  </si>
  <si>
    <t>תוספת אורה - בבא מציעא</t>
  </si>
  <si>
    <t>תוספת בכורי קציר</t>
  </si>
  <si>
    <t>תוספת ברכה - 5 כר'</t>
  </si>
  <si>
    <t>תוספת דברים - עירובין</t>
  </si>
  <si>
    <t>רצקר, אליהו בן יעקב</t>
  </si>
  <si>
    <t>תוספת חיים בדרך האבות</t>
  </si>
  <si>
    <t>קרויס, חיים  בן ישעיה</t>
  </si>
  <si>
    <t>תוספת חיים</t>
  </si>
  <si>
    <t>אנגל, חיים בן שלום</t>
  </si>
  <si>
    <t>תוספת יום טוב - ביצה</t>
  </si>
  <si>
    <t>תוספת ירושלים</t>
  </si>
  <si>
    <t>שאלות ותשובות, שאר ספרי חז"ל, שלחן ערוך ומפרשיו, תלמוד ירושלמי</t>
  </si>
  <si>
    <t>תוספת כתובה</t>
  </si>
  <si>
    <t>קלמר, יהודה בן דוב</t>
  </si>
  <si>
    <t>תוספת מלואים</t>
  </si>
  <si>
    <t>תוספת מעשה רב - 2 כר'</t>
  </si>
  <si>
    <t>יששכר דוב בר בן תנחום</t>
  </si>
  <si>
    <t>תוספת עיני שמואל</t>
  </si>
  <si>
    <t>תוספת קדושה</t>
  </si>
  <si>
    <t>הלפרין, יום טוב ליפמן בן אברהם</t>
  </si>
  <si>
    <t>תוספת רש"י - בראשית</t>
  </si>
  <si>
    <t>תוספת שביעית</t>
  </si>
  <si>
    <t>תוספת שבת &lt;עם ביאורים וציונים&gt; - 2 כר'</t>
  </si>
  <si>
    <t>תוספת שבת</t>
  </si>
  <si>
    <t>בויארסקי, צבי הירש בן מאיר יצחק אייזיק</t>
  </si>
  <si>
    <t>תוספת שבת - 2 כר'</t>
  </si>
  <si>
    <t>תוספת שנת השבע</t>
  </si>
  <si>
    <t>תוספת תיקון, משנת סופרים, אוסף תמונות תפילין ואם למקרא</t>
  </si>
  <si>
    <t>דוידוביץ, מנחם</t>
  </si>
  <si>
    <t>הלכה ומנהג, הלכה ומנהג, קבצים וכתבי עת, ספרי זכרון ויובל, תנ"ך, תנ"ך</t>
  </si>
  <si>
    <t>תוספתא &lt;החילוקים שבין אר"י ובבל - עם עזרת יהודה&gt;</t>
  </si>
  <si>
    <t>תוספתא &lt;כת"י ווינה&gt; - 4 כר'</t>
  </si>
  <si>
    <t>פריימן, חיים בן ישראל (עורך)</t>
  </si>
  <si>
    <t>תוספתא &lt;צוקרמנדל&gt;</t>
  </si>
  <si>
    <t>צוקרמאנדל, משה שמואל</t>
  </si>
  <si>
    <t>תוספתא &lt;מנחת יצחק&gt; - 4 כר'</t>
  </si>
  <si>
    <t>שוואדרון, יצחק בן שלום מרדכי הכהן</t>
  </si>
  <si>
    <t>תוספתא &lt;תנא תוספאה&gt; - 2 כר'</t>
  </si>
  <si>
    <t>תקצ"ז - תר"ט</t>
  </si>
  <si>
    <t>תוספתא &lt;ליברמן&gt; - 5 כר'</t>
  </si>
  <si>
    <t>תוספתא.</t>
  </si>
  <si>
    <t>תוספתא זרעים עם עינים למשפט</t>
  </si>
  <si>
    <t>תוספתא כפשוטה - 7 כר'</t>
  </si>
  <si>
    <t>ליברמן, שאול בן משה</t>
  </si>
  <si>
    <t>תוספתא למדרש פנחס</t>
  </si>
  <si>
    <t>תוספתא מסכת שביעית &lt;משנת יוסף&gt;</t>
  </si>
  <si>
    <t>תוספתא עתיקתא</t>
  </si>
  <si>
    <t>משנה, שאלות ותשובות, שאר ספרי חז"ל, שאר ספרי חז"ל</t>
  </si>
  <si>
    <t>תוספתא שלימה</t>
  </si>
  <si>
    <t>תוספתות סדר מועד ע"פ תכלת מרדכי - 3 כר'</t>
  </si>
  <si>
    <t>איש-שלום, מרדכי בן יעקב</t>
  </si>
  <si>
    <t>תועליות הרלב"ג &lt;מהדורה חדשה&gt;</t>
  </si>
  <si>
    <t>תועליות הרלב"ג - 3 כר'</t>
  </si>
  <si>
    <t>תועפות הרי"ם</t>
  </si>
  <si>
    <t>קוסובסקי, יחיאל מיכל בן יצחק</t>
  </si>
  <si>
    <t>תועפות ראם &lt;ספר הזכרונות וחיי יצחק&gt;</t>
  </si>
  <si>
    <t>תקכ"א - תקכ"ב</t>
  </si>
  <si>
    <t>תועפות ראם</t>
  </si>
  <si>
    <t>אלקאים, משה בן שמעיה</t>
  </si>
  <si>
    <t>תועפות ראם - 3 כר'</t>
  </si>
  <si>
    <t>באר, אליעזר משה בן בן ציון</t>
  </si>
  <si>
    <t>תועפות ראם - 2 כר'</t>
  </si>
  <si>
    <t>תועפות ראם - תולדות רבי אליהו ראם</t>
  </si>
  <si>
    <t>מכון הרב פראנק</t>
  </si>
  <si>
    <t>פארדו, יצחק בן דוד</t>
  </si>
  <si>
    <t>תועפת ראם</t>
  </si>
  <si>
    <t>תועפת ראם - 4 כר'</t>
  </si>
  <si>
    <t>וויטקינד, אברהם משה בן חיים אהרן</t>
  </si>
  <si>
    <t>תרע"ג - תרצ"ג</t>
  </si>
  <si>
    <t>תוצאות ודוגמאות מספר שרשות כסף</t>
  </si>
  <si>
    <t>אבן-כספי, יוסף בן אבא מארי</t>
  </si>
  <si>
    <t>תוצאות חיים &lt;עם הוספות&gt;</t>
  </si>
  <si>
    <t>תוצאות חיים</t>
  </si>
  <si>
    <t>אווירבאך, חיים</t>
  </si>
  <si>
    <t>בוסקוביץ, חיים</t>
  </si>
  <si>
    <t>תוצאות חיים - 5 כר'</t>
  </si>
  <si>
    <t>תוצאות חיים - חיים שנים ישלם</t>
  </si>
  <si>
    <t>טויבר, חיים בן אהרן</t>
  </si>
  <si>
    <t>נתן, משה בן נתנאל</t>
  </si>
  <si>
    <t>תוצאות ים</t>
  </si>
  <si>
    <t>רישי, יהושע משה</t>
  </si>
  <si>
    <t>תוקף הנס</t>
  </si>
  <si>
    <t>פינחס בן מרדכי מברוד</t>
  </si>
  <si>
    <t>תוקף השטר</t>
  </si>
  <si>
    <t>תוקף התלמוד</t>
  </si>
  <si>
    <t>דרושים, מועדי ישראל, מחשבה ומוסר, תלמוד בבלי</t>
  </si>
  <si>
    <t>תור הזהב בספרד</t>
  </si>
  <si>
    <t>תור הזהב והשמד</t>
  </si>
  <si>
    <t>תורה און לעבען - 2 כר'</t>
  </si>
  <si>
    <t>מרגליות, יוסף מאיר</t>
  </si>
  <si>
    <t>תורה און רעליגיאן</t>
  </si>
  <si>
    <t>ב.צ</t>
  </si>
  <si>
    <t>תורה אור &lt;מנחת כהן ב&gt;</t>
  </si>
  <si>
    <t>הכהן, שמואל בן יוסף</t>
  </si>
  <si>
    <t>תורה אור &lt;עיר מקלט, נחל קדומים&gt;</t>
  </si>
  <si>
    <t>לידא, דוד - אזולאי, חיים יוסף דוד בן רפאל יצחק זרחיה</t>
  </si>
  <si>
    <t>תורה אור &lt;על התורה&gt;</t>
  </si>
  <si>
    <t>תורה אור</t>
  </si>
  <si>
    <t>תורה אור ודרך חיים</t>
  </si>
  <si>
    <t>תורה אור ומזור</t>
  </si>
  <si>
    <t>תורה אור - 3 כר'</t>
  </si>
  <si>
    <t>אריה ליב בן יהושע השיל</t>
  </si>
  <si>
    <t>תורה אור - קונטרס נס פך השמן</t>
  </si>
  <si>
    <t>בלוי, יהושע יעקב</t>
  </si>
  <si>
    <t>תורה אור - א-ב</t>
  </si>
  <si>
    <t>ירושלים. בית מדרש תורה אור</t>
  </si>
  <si>
    <t>תש"ה - תש"ו</t>
  </si>
  <si>
    <t>תורה אור - 2 כר'</t>
  </si>
  <si>
    <t>תורה אור - 32 כר'</t>
  </si>
  <si>
    <t>מוסדות סערט ויזניץ</t>
  </si>
  <si>
    <t>ניו יורק. חברת מרביצי תורה וישיבת אור החיים</t>
  </si>
  <si>
    <t>הלכה ומנהג, קבצים וכתבי עת, ספרי זכרון ויובל, תולדות עם ישראל</t>
  </si>
  <si>
    <t>תורה אור - אור ציון</t>
  </si>
  <si>
    <t>פופרש, מאיר בן יהודה ליב הכהן - סופר, אליהו ציון בן יצחק שלום</t>
  </si>
  <si>
    <t>תורה אור - (על חידושי מרן רי"ז הלוי עה"ת)</t>
  </si>
  <si>
    <t>פינקלשטיין, ישראל משה בן אהרן דוד</t>
  </si>
  <si>
    <t>תורה אור - 4 כר'</t>
  </si>
  <si>
    <t>תורה אחת</t>
  </si>
  <si>
    <t>בארון, יואל צבי</t>
  </si>
  <si>
    <t>תורה בציון</t>
  </si>
  <si>
    <t>תורה דיליה - כתובות</t>
  </si>
  <si>
    <t>ביגל, שלמה</t>
  </si>
  <si>
    <t>תורה דיליה - 2 כר'</t>
  </si>
  <si>
    <t>תורה דיליה - יבמות</t>
  </si>
  <si>
    <t>כהן, אברהם ישעיהו</t>
  </si>
  <si>
    <t>תורה הכתובה והמסורה - 7 כר'</t>
  </si>
  <si>
    <t>תרצ"ז - ת"ש</t>
  </si>
  <si>
    <t>תורה ואמונה - אדמו"ר בעל תולדות אהרן</t>
  </si>
  <si>
    <t>מכון דברי אמונה</t>
  </si>
  <si>
    <t>תורה ודעת</t>
  </si>
  <si>
    <t>גרודסקי, אליעזר יעקב בן משה דוד הכהן</t>
  </si>
  <si>
    <t>תורה ודעת - 6 כר'</t>
  </si>
  <si>
    <t>מתורתו של רבי לייב מינצברג</t>
  </si>
  <si>
    <t>תורה והלכה</t>
  </si>
  <si>
    <t>תורה והמצוה והחינוך - 3 כר'</t>
  </si>
  <si>
    <t>תורה וחיים &lt;מהדורה חדשה&gt; - 3 כר'</t>
  </si>
  <si>
    <t>עובדיה, ישועה שמעון חיים</t>
  </si>
  <si>
    <t>דרושים, הלכה ומנהג, מועדי ישראל, משנה, נושאים שונים, שאלות ותשובות, תלמוד בבלי, תנ"ך</t>
  </si>
  <si>
    <t>תורה וחיים</t>
  </si>
  <si>
    <t>הכהן, כלפון משה - הכהן, אברהם מגוץ בן כלפון משה</t>
  </si>
  <si>
    <t>דרושים, מועדי ישראל, משנה, נושאים שונים, שאלות ותשובות, תלמוד בבלי, תנ"ך</t>
  </si>
  <si>
    <t>תורה ומדע</t>
  </si>
  <si>
    <t>תורה ומדע - 13 כר'</t>
  </si>
  <si>
    <t>תורה ומלוכה</t>
  </si>
  <si>
    <t>יורשלים</t>
  </si>
  <si>
    <t>תורה ומעשים טובים</t>
  </si>
  <si>
    <t>תורה ומצוה</t>
  </si>
  <si>
    <t>תורה ועבודה &lt;חסידים מספרים&gt;</t>
  </si>
  <si>
    <t>תורה ושבת</t>
  </si>
  <si>
    <t>גייגר, מנחם מנדל בן אביגדור שלמה</t>
  </si>
  <si>
    <t>תורה לדעת - ה</t>
  </si>
  <si>
    <t>בלום, מתתיהו</t>
  </si>
  <si>
    <t>תורה לשמה - 4 כר'</t>
  </si>
  <si>
    <t>תורה לשמה</t>
  </si>
  <si>
    <t>קבלה, שאלות ותשובות, תולדות עם ישראל</t>
  </si>
  <si>
    <t>תורה לשמה - ב</t>
  </si>
  <si>
    <t>שלזינגר, מנחם</t>
  </si>
  <si>
    <t>תורה מהיכל - 2 כר'</t>
  </si>
  <si>
    <t>תורה מן השמים - 4 כר'</t>
  </si>
  <si>
    <t>תורה מסיני - מאמרי חז"ל על סדר הש"ס בעניני התורה</t>
  </si>
  <si>
    <t>תורה מסיני - 5 כר'</t>
  </si>
  <si>
    <t>תורה מציון - 2 כר'</t>
  </si>
  <si>
    <t>הלפרין, שמעון (עורך)</t>
  </si>
  <si>
    <t>תרצו</t>
  </si>
  <si>
    <t>תורה מציון</t>
  </si>
  <si>
    <t>ירחון תורני ישיבת שפת אמת</t>
  </si>
  <si>
    <t>כ"ץ, יצחק בן מאיר הכהן</t>
  </si>
  <si>
    <t>תורה מציון - 3 כר'</t>
  </si>
  <si>
    <t>קובץ מרבני תל ציון</t>
  </si>
  <si>
    <t>תורה מציון - א</t>
  </si>
  <si>
    <t>תורה מציון - 5 כר'</t>
  </si>
  <si>
    <t>תרמ"ז - תרס"ו</t>
  </si>
  <si>
    <t>תורה נביאים וכתובים &lt;גינצבורג&gt; - 5 כר'</t>
  </si>
  <si>
    <t>תנ"ך. (תרפ"ו,)</t>
  </si>
  <si>
    <t>תורה נביאים וכתובים &lt;ארבעה ועשרים&gt; - 3 כר'</t>
  </si>
  <si>
    <t>תנ"ך. רע"ח. ונציה</t>
  </si>
  <si>
    <t>תורה נביאים וכתובים &lt;ונציה רפ"ה&gt; - 4 כר'</t>
  </si>
  <si>
    <t>תנ"ך. רפ"ה. ונציה</t>
  </si>
  <si>
    <t>רפ"ה - רפ"ו</t>
  </si>
  <si>
    <t>תורה נביאים וכתובים &lt;ספר ישעיה&gt;</t>
  </si>
  <si>
    <t>תנ"ך. תרכ"ט. לייפציג.</t>
  </si>
  <si>
    <t>ליפציג</t>
  </si>
  <si>
    <t>תורה נביאים וכתובים - 3 כר'</t>
  </si>
  <si>
    <t>תנ"ך לניגרד</t>
  </si>
  <si>
    <t>תורה נביאים וכתובים - תהלים משלי איוב</t>
  </si>
  <si>
    <t>תנ"ך. רנ"א. נפולי</t>
  </si>
  <si>
    <t>תורה נביאים וכתובים - 4 כר'</t>
  </si>
  <si>
    <t>תורה ע"פ מלבי"ם &lt;הוצאה חדשה&gt; - 6 כר'</t>
  </si>
  <si>
    <t>תורה עם דרך ארץ</t>
  </si>
  <si>
    <t>סדרת הרצאות</t>
  </si>
  <si>
    <t>תורה עם מגילות והפטרות</t>
  </si>
  <si>
    <t>תנ"ך. רנ"ד. ברשה</t>
  </si>
  <si>
    <t>ברשה Brescia</t>
  </si>
  <si>
    <t>תורה צוה</t>
  </si>
  <si>
    <t>צדוק, שלמה</t>
  </si>
  <si>
    <t>תורה שבכתב</t>
  </si>
  <si>
    <t>תורה שלמה - 46 כר'</t>
  </si>
  <si>
    <t>תרפ"ז-תשנ"ב</t>
  </si>
  <si>
    <t>תורה שלמה</t>
  </si>
  <si>
    <t>תורה תמימה &lt;מהדורה חדשה&gt; - 5 כר'</t>
  </si>
  <si>
    <t>תורה תמימה - 5 כר'</t>
  </si>
  <si>
    <t>תורות אמת</t>
  </si>
  <si>
    <t>תורות הנפש</t>
  </si>
  <si>
    <t>אבן-פקודה, בחיי בן יוסף. מיוחס לו</t>
  </si>
  <si>
    <t>תורות ועובדות מבית רבותינו</t>
  </si>
  <si>
    <t>תורות ושיחות מבית רבותינו</t>
  </si>
  <si>
    <t>תורות ותפלות</t>
  </si>
  <si>
    <t>תורי זהב &lt;מהדורה חדשה&gt;</t>
  </si>
  <si>
    <t>תורי זהב</t>
  </si>
  <si>
    <t>תורי זהב - 2 כר'</t>
  </si>
  <si>
    <t>תורי זהב - מגילת רות</t>
  </si>
  <si>
    <t>תורי זהב - ביאור הכתובה ומקורותיה</t>
  </si>
  <si>
    <t>פרץ, דוד בן מיכאל</t>
  </si>
  <si>
    <t>שייאר, הירץ אברהם נפתלי</t>
  </si>
  <si>
    <t>דרושים, נושאים שונים, שאלות ותשובות, תולדות עם ישראל, תלמוד בבלי, תנ"ך, תנ"ך</t>
  </si>
  <si>
    <t>תורת א' (אלף) - 4 כר'</t>
  </si>
  <si>
    <t>פאזען, שמעון ישראל בן גרשון</t>
  </si>
  <si>
    <t>תורת אב - נדה מקוואות</t>
  </si>
  <si>
    <t>בנון, אורי בן פנחס אליהו</t>
  </si>
  <si>
    <t>תורת אבות</t>
  </si>
  <si>
    <t>תורת אבות - 3 כר'</t>
  </si>
  <si>
    <t>לווין, אברהם ישכר דב (מלקט)</t>
  </si>
  <si>
    <t>קובץ גאונים</t>
  </si>
  <si>
    <t>תורת אבי</t>
  </si>
  <si>
    <t>בן יוסף, איתי</t>
  </si>
  <si>
    <t>תורת אביגדור</t>
  </si>
  <si>
    <t>תורת אביגדור - 3 כר'</t>
  </si>
  <si>
    <t>תורת אבירים - 6 כר'</t>
  </si>
  <si>
    <t>טיקוצינסקי, אברהם בן רפאל יונה</t>
  </si>
  <si>
    <t>תורת אברהם</t>
  </si>
  <si>
    <t>זלמנס, אברהם</t>
  </si>
  <si>
    <t>תורת אברהם - 3 כר'</t>
  </si>
  <si>
    <t>קוך, אברהם עמרם</t>
  </si>
  <si>
    <t>תורת אדם</t>
  </si>
  <si>
    <t>אורליק, משה דוד</t>
  </si>
  <si>
    <t>תורת אהל משה</t>
  </si>
  <si>
    <t>תורת אהל - 3 כר'</t>
  </si>
  <si>
    <t>תורת אהרן - א</t>
  </si>
  <si>
    <t>באקשט, אהרון יוסף</t>
  </si>
  <si>
    <t>תורת אהרן</t>
  </si>
  <si>
    <t>בן שמעון, אהרן בן שלמה</t>
  </si>
  <si>
    <t>קרול, אהרן בן אריה יהודה</t>
  </si>
  <si>
    <t>נושאים שונים, נושאים שונים, שאלות ותשובות, תולדות עם ישראל, תלמוד בבלי, תנ"ך</t>
  </si>
  <si>
    <t>תורת איש לוי - 2 כר'</t>
  </si>
  <si>
    <t>תורת איש - 3 כר'</t>
  </si>
  <si>
    <t>אונגר, יצחק שלמה בן אברהם צבי</t>
  </si>
  <si>
    <t>תורת איש - מועד קטן</t>
  </si>
  <si>
    <t>גליק, אברהם ישעיהו בן צבי</t>
  </si>
  <si>
    <t>תורת איש - הספדים על ר' שמעון אבני זצ"ל</t>
  </si>
  <si>
    <t>תורת אלהים &lt;נתינה לגר&gt; - 5 כר'</t>
  </si>
  <si>
    <t>אדלר, נתן בן מרדכי הכהן</t>
  </si>
  <si>
    <t>תורת אלהים &lt;הולנדית&gt; - סדר התפילות עם הפיוטים והקרובות - ויקרא</t>
  </si>
  <si>
    <t>תנ"ך. תרל"ט. אמשטרדם</t>
  </si>
  <si>
    <t>תרל"ט-תר"ם</t>
  </si>
  <si>
    <t>תורת אלחנן</t>
  </si>
  <si>
    <t>שאלין, אלחנן בן יעקב</t>
  </si>
  <si>
    <t>תורת אלי'</t>
  </si>
  <si>
    <t>אדלר, אליהו אריה בן אברהם איסר</t>
  </si>
  <si>
    <t>תורת אליהו - על התורה ומועדים</t>
  </si>
  <si>
    <t>אדלר, אליהו אריה ליב</t>
  </si>
  <si>
    <t>תורת אליהו</t>
  </si>
  <si>
    <t>לייכטאג, אליהו בן שלמה</t>
  </si>
  <si>
    <t>תורת אליעזר</t>
  </si>
  <si>
    <t>תורת אלישע - א</t>
  </si>
  <si>
    <t>תורת אם</t>
  </si>
  <si>
    <t>בר, אלחנן משה בן צבי יצחק</t>
  </si>
  <si>
    <t>תורת אמי</t>
  </si>
  <si>
    <t>תורת אמך - 2 כר'</t>
  </si>
  <si>
    <t>תורת אמך - ב</t>
  </si>
  <si>
    <t>תורת אמך</t>
  </si>
  <si>
    <t>ליפשיץ, אליהו מאיר בן חיים שמאי</t>
  </si>
  <si>
    <t>תורת אמך - חולין</t>
  </si>
  <si>
    <t>קפלן, אברהם מאיר בן שלמה הכהן</t>
  </si>
  <si>
    <t>תורת אמת &lt;מישור&gt;</t>
  </si>
  <si>
    <t>תורת אמת &lt;תאג'&gt; - 5 כר'</t>
  </si>
  <si>
    <t>תורה.  תשס"ח.</t>
  </si>
  <si>
    <t>תורת אמת ליקוטי מהרי"ל &lt;מהדורה חדשה&gt;</t>
  </si>
  <si>
    <t>תורת אמת - 2 כר'</t>
  </si>
  <si>
    <t>תורת אמת - 3 כר'</t>
  </si>
  <si>
    <t>חסידות, תלמוד בבלי, תנ"ך, תפלות בקשות פיוטים ושירה</t>
  </si>
  <si>
    <t>תורת אמת</t>
  </si>
  <si>
    <t>קובץ מוסדות שטפנשט</t>
  </si>
  <si>
    <t>שמריה, דוד בן אברהם</t>
  </si>
  <si>
    <t>שס"ד - שס"ה</t>
  </si>
  <si>
    <t>ששון, אהרן בן יוסף</t>
  </si>
  <si>
    <t>תורת אריה</t>
  </si>
  <si>
    <t>גליקמן, אריה בן יעקב</t>
  </si>
  <si>
    <t>תורת ארץ ישראל &lt;כלכלת שביעית&gt;</t>
  </si>
  <si>
    <t>חאסקין, משה בן אפרים</t>
  </si>
  <si>
    <t>תורת ארץ ישראל - 43 כר'</t>
  </si>
  <si>
    <t>תורת ארץ צבי</t>
  </si>
  <si>
    <t>תורת אש - 8 כר'</t>
  </si>
  <si>
    <t>אבוקרט, שמעיה</t>
  </si>
  <si>
    <t>תורת אש - נדה</t>
  </si>
  <si>
    <t>שרים, אלפונסו בן יעקב</t>
  </si>
  <si>
    <t>תורת בית המדרש - 2 כר'</t>
  </si>
  <si>
    <t>תורת בל תאחר</t>
  </si>
  <si>
    <t>תורת בן נח</t>
  </si>
  <si>
    <t>תורת בנימין</t>
  </si>
  <si>
    <t>בן דוד, בנימין בן משה</t>
  </si>
  <si>
    <t>חסיד, בנימין</t>
  </si>
  <si>
    <t>תורת בצלאל &lt;מנורת בצלאל&gt;</t>
  </si>
  <si>
    <t>פאדגורזע</t>
  </si>
  <si>
    <t>תורת בצלאל</t>
  </si>
  <si>
    <t>תורת בר נש &lt;מהדורת לייכטר&gt; - 2 כר'</t>
  </si>
  <si>
    <t>שלזינגר, כלב פייבל בן נחום</t>
  </si>
  <si>
    <t>תורת בר נש</t>
  </si>
  <si>
    <t>שאר ספרי חז"ל, תולדות עם ישראל, תלמוד בבלי, תנ"ך, תנ"ך</t>
  </si>
  <si>
    <t>תורת גדליהו</t>
  </si>
  <si>
    <t>תורת גיטין - 4 כר'</t>
  </si>
  <si>
    <t>תורת דברי חיים - פורים</t>
  </si>
  <si>
    <t>תורת דוד - 4 כר'</t>
  </si>
  <si>
    <t>תורת דניאל</t>
  </si>
  <si>
    <t>מלניצקי, דניאל בן שמעיהו</t>
  </si>
  <si>
    <t>תורת ה' תמימה &lt;בית היין&gt;</t>
  </si>
  <si>
    <t>תורת ה' תמימה &lt;חזון יואל&gt;</t>
  </si>
  <si>
    <t>תורת ה' תמימה</t>
  </si>
  <si>
    <t>תשנ"ד?</t>
  </si>
  <si>
    <t>תורת ה'</t>
  </si>
  <si>
    <t>הכהן, פינחס בן כמימס</t>
  </si>
  <si>
    <t>תורת האבות</t>
  </si>
  <si>
    <t>תורת האבידה</t>
  </si>
  <si>
    <t>תורת האגדה</t>
  </si>
  <si>
    <t>תורת האגדה - 6 כר'</t>
  </si>
  <si>
    <t>תורת האדם &lt;דפו"ר&gt;</t>
  </si>
  <si>
    <t>תורת האדם (ורשא תרל"ו) - 2 כר'</t>
  </si>
  <si>
    <t>תורת האדם לאדם - 6 כר'</t>
  </si>
  <si>
    <t>קובץ תורני במצות שבין אדם לחבירו</t>
  </si>
  <si>
    <t>תורת האדם</t>
  </si>
  <si>
    <t>תק"ע בערך</t>
  </si>
  <si>
    <t>רוסיה - פולין</t>
  </si>
  <si>
    <t>תורת האדם - 2 כר'</t>
  </si>
  <si>
    <t>תורת האדם - 4 כר'</t>
  </si>
  <si>
    <t>תורת האדם - 3 כר'</t>
  </si>
  <si>
    <t>תורת האדם - שער המיחוש</t>
  </si>
  <si>
    <t>משה בן נחמן (רמב"ן), (דרברמדיקר, אברהם יהושע העשיל)</t>
  </si>
  <si>
    <t>תורת האהל</t>
  </si>
  <si>
    <t>תורת האומנין</t>
  </si>
  <si>
    <t>כולל ישיבת מיר</t>
  </si>
  <si>
    <t>תורת האורח</t>
  </si>
  <si>
    <t>תורת האלהים - 2 כר'</t>
  </si>
  <si>
    <t>תורת האנושות</t>
  </si>
  <si>
    <t>תורת הארץ והסביבה</t>
  </si>
  <si>
    <t>קדוש, גבריאל</t>
  </si>
  <si>
    <t>תורת הארץ - 5 כר'</t>
  </si>
  <si>
    <t>תרפ"ה - תרצ"ד</t>
  </si>
  <si>
    <t>תורת הארץ - 6 כר'</t>
  </si>
  <si>
    <t>תורת הארץ</t>
  </si>
  <si>
    <t>תרצ"ה - תשכ"א</t>
  </si>
  <si>
    <t>תורת האשם &lt;מהדורה חדשה&gt; - שבט מנשה</t>
  </si>
  <si>
    <t>תורת האשם - 2 כר'</t>
  </si>
  <si>
    <t>תורת הבגד</t>
  </si>
  <si>
    <t>תורת הבורר</t>
  </si>
  <si>
    <t>תורת הבירור</t>
  </si>
  <si>
    <t>תורת הבית &lt;מראה הבית - 5 כר'</t>
  </si>
  <si>
    <t>בן אדרת, שלמה בן אברהם (רשב"א) - בראון, יהושע אליעזר בן יהודה ליב</t>
  </si>
  <si>
    <t>תורת הבית &lt;חלוני הבית&gt; - שחיטה</t>
  </si>
  <si>
    <t>תורת הבית הארוך והקצר וספר איסור משהו &lt;שולי האדרת&gt;</t>
  </si>
  <si>
    <t>תורת הבית הארוך - 3 כר'</t>
  </si>
  <si>
    <t>תורת הבית - 3 כר'</t>
  </si>
  <si>
    <t>תורת הבית</t>
  </si>
  <si>
    <t>רויטנברג, שמחה בונים (עורך)</t>
  </si>
  <si>
    <t>תורת הבמה</t>
  </si>
  <si>
    <t>פוס, בנימין יאיר בן אברהם מתתיהו</t>
  </si>
  <si>
    <t>תורת הבסיס</t>
  </si>
  <si>
    <t>תורת הברית</t>
  </si>
  <si>
    <t>ששון, מרדכי בן יעקב</t>
  </si>
  <si>
    <t>תורת הברכות - 2 כר'</t>
  </si>
  <si>
    <t>תורת הברכות</t>
  </si>
  <si>
    <t>תורת הבשר - הלכות דם מליחה וצליה</t>
  </si>
  <si>
    <t>טופורוביץ ישראל בן יחזקאל משה הלוי</t>
  </si>
  <si>
    <t>תורת הגאולה</t>
  </si>
  <si>
    <t>שלזינגר, מנחם בן יהודה אריה</t>
  </si>
  <si>
    <t>תורת הגאון רבי אלכסנדר משה - 2 כר'</t>
  </si>
  <si>
    <t>לפידות, אלכנסדר משה</t>
  </si>
  <si>
    <t>תורת הגט</t>
  </si>
  <si>
    <t>תורת הגלות</t>
  </si>
  <si>
    <t>תורת הגר</t>
  </si>
  <si>
    <t>מסכתות קטנות. גרים. תשי"ד</t>
  </si>
  <si>
    <t>תורת הדרך</t>
  </si>
  <si>
    <t>תורת הדרשה</t>
  </si>
  <si>
    <t>תורת ההלכה - פסחים, סוכה</t>
  </si>
  <si>
    <t>תורת ההרהור</t>
  </si>
  <si>
    <t>נתנאל חיים בן משה</t>
  </si>
  <si>
    <t>תורת ההשגחה והבטחון</t>
  </si>
  <si>
    <t>ימיני, משה</t>
  </si>
  <si>
    <t>תורת הוסתות</t>
  </si>
  <si>
    <t>תורת הזבח</t>
  </si>
  <si>
    <t>תורת הזבחים - 2 כר'</t>
  </si>
  <si>
    <t>תורת הזבחים</t>
  </si>
  <si>
    <t>תורת הזביחה</t>
  </si>
  <si>
    <t>תורת הזימון</t>
  </si>
  <si>
    <t>ורשנר, צבי בן מאיר ישעיה</t>
  </si>
  <si>
    <t>תורת הח"ג - אגדה</t>
  </si>
  <si>
    <t>תורת החוב</t>
  </si>
  <si>
    <t>כהן, משה אריאל</t>
  </si>
  <si>
    <t>תורת החזקה</t>
  </si>
  <si>
    <t>טפירו, משה</t>
  </si>
  <si>
    <t>תורת החזקות - נדה</t>
  </si>
  <si>
    <t>תורת החטאת</t>
  </si>
  <si>
    <t>תורת החיים - חול המועד</t>
  </si>
  <si>
    <t>תורת החיים - א</t>
  </si>
  <si>
    <t>פורייס, אהרן בן מאיר אשר זליג הכהן</t>
  </si>
  <si>
    <t>נושאים שונים, נושאים שונים, שונות</t>
  </si>
  <si>
    <t>תורת החיים</t>
  </si>
  <si>
    <t>תורת החינוך</t>
  </si>
  <si>
    <t>שלומוביץ, אברהם</t>
  </si>
  <si>
    <t>תורת החנוך</t>
  </si>
  <si>
    <t>אוירבאך, משה בן אביעזרי זליג</t>
  </si>
  <si>
    <t>תורת החסידים הראשונים</t>
  </si>
  <si>
    <t>תורת החסידים הראשונים  - לקוטי מהר"ם השלם, תפארת בנים אבותם</t>
  </si>
  <si>
    <t>חסידות, משנה, תולדות עם ישראל, תנ"ך</t>
  </si>
  <si>
    <t>תורת הטהרה &lt;מכון הכתב&gt;</t>
  </si>
  <si>
    <t>תורת הטהרה</t>
  </si>
  <si>
    <t>תורת הטהרה - הרחקות</t>
  </si>
  <si>
    <t>עובד, אפרים - לוי, אברהם</t>
  </si>
  <si>
    <t>תורת הטור</t>
  </si>
  <si>
    <t>תורת היהודי הקדוש - ב</t>
  </si>
  <si>
    <t>תורת היהודי</t>
  </si>
  <si>
    <t>תורת היובל</t>
  </si>
  <si>
    <t>תורת היולדת</t>
  </si>
  <si>
    <t>זילברשטיין, יצחק בן דוד יוסף - רוטשילד, משה בן יוסף</t>
  </si>
  <si>
    <t>תורת היראה</t>
  </si>
  <si>
    <t>תורת הישיבה</t>
  </si>
  <si>
    <t>תורת הכהן והלוי בימינו</t>
  </si>
  <si>
    <t>תורת הכהנים</t>
  </si>
  <si>
    <t>תורת הכיבוד</t>
  </si>
  <si>
    <t>חורש, ברוך</t>
  </si>
  <si>
    <t>תורת הכיסוי</t>
  </si>
  <si>
    <t>תורת הכלי</t>
  </si>
  <si>
    <t>גוטפרב, פינחס בן ברוך יצחק</t>
  </si>
  <si>
    <t>תורת הכתב והקבלה - 6 כר'</t>
  </si>
  <si>
    <t>תורת הכתמים</t>
  </si>
  <si>
    <t>תורת הלוי - 2 כר'</t>
  </si>
  <si>
    <t>תורת הלוי</t>
  </si>
  <si>
    <t>פרום, מרדכי יהודה הלוי</t>
  </si>
  <si>
    <t>תורת הלוים א-ב &lt;מהדורה חדשה&gt;</t>
  </si>
  <si>
    <t>קופשטיין, יעקב בן מרדכי סנדר הלוי - גרינגרס, בנימין אברהם בן שמואל שמחה לוי</t>
  </si>
  <si>
    <t>תורת הלוים - 2 כר'</t>
  </si>
  <si>
    <t>תורת הלחם</t>
  </si>
  <si>
    <t>הרשקוביץ, יהושע בן יוסף משה הלוי</t>
  </si>
  <si>
    <t>תורת הלשון - ג</t>
  </si>
  <si>
    <t>תורת הלשון</t>
  </si>
  <si>
    <t>תורת המאור - 3 כר'</t>
  </si>
  <si>
    <t>כולל מאור התורה</t>
  </si>
  <si>
    <t>תורת המגיד מזלאטשוב</t>
  </si>
  <si>
    <t>חסידות, מועדי ישראל, מועדי ישראל, תנ"ך</t>
  </si>
  <si>
    <t>תורת המגיד ממזריטש ושיחותיו</t>
  </si>
  <si>
    <t>תורת המגיד - 2 כר'</t>
  </si>
  <si>
    <t>קלפהולץ, ישראל יעקב (עורך)</t>
  </si>
  <si>
    <t>תורת המדות - 5 כר'</t>
  </si>
  <si>
    <t>אראטן, ישראל יעקב בן מרדכי</t>
  </si>
  <si>
    <t>תש"ג - תש"י</t>
  </si>
  <si>
    <t>תורת המוסר</t>
  </si>
  <si>
    <t>תורת המועד - 3 כר'</t>
  </si>
  <si>
    <t>תורת המועדים - 5 כר'</t>
  </si>
  <si>
    <t>תורת המועדים - 2 כר'</t>
  </si>
  <si>
    <t>תורת המועדים - הלכות בין המצרים</t>
  </si>
  <si>
    <t>קולודצקי, דוד</t>
  </si>
  <si>
    <t>תורת המוקצה</t>
  </si>
  <si>
    <t>וויס, יחזקאל שרגא</t>
  </si>
  <si>
    <t>תורת המיגו</t>
  </si>
  <si>
    <t>תורת המידות בפירוש המשך חכמה</t>
  </si>
  <si>
    <t>הכהן, מאיר שמחה - קופרמן יהודה</t>
  </si>
  <si>
    <t>תורת המילואים</t>
  </si>
  <si>
    <t>האגר, צבי בן גרשון</t>
  </si>
  <si>
    <t>תורת המים &lt;תניינא&gt; - מקוואות</t>
  </si>
  <si>
    <t>תורת המים - מקוואות</t>
  </si>
  <si>
    <t>תורת המלאכות - 6 כר'</t>
  </si>
  <si>
    <t>לייטנר, משה שמואל בן דוד</t>
  </si>
  <si>
    <t>תורת המלך</t>
  </si>
  <si>
    <t>צדוק, נתנאל</t>
  </si>
  <si>
    <t>תורת המנחה - על מנחת חינוך</t>
  </si>
  <si>
    <t>כולל אמרי חיים</t>
  </si>
  <si>
    <t>תורת המנחה</t>
  </si>
  <si>
    <t>כולל להוראה מנחת יצחק</t>
  </si>
  <si>
    <t>תורת המנחה - 2 כר'</t>
  </si>
  <si>
    <t>סקלי, יעקב בן חננאל</t>
  </si>
  <si>
    <t>רוקח, משה בן אלעזר</t>
  </si>
  <si>
    <t>תורת המעילה</t>
  </si>
  <si>
    <t>תורת המצוה</t>
  </si>
  <si>
    <t>תורת המצוות באמונת ישראל</t>
  </si>
  <si>
    <t>אפפעל, גרשון</t>
  </si>
  <si>
    <t>תורת המציאה, תורת ההונאה, תורת הפועלים</t>
  </si>
  <si>
    <t>תורת המצרף</t>
  </si>
  <si>
    <t>ראטה, משה צבי הלוי</t>
  </si>
  <si>
    <t>דרושים, מועדי ישראל, משנה, תלמוד בבלי, תלמוד בבלי, תנ"ך</t>
  </si>
  <si>
    <t>תורת המשך חכמה</t>
  </si>
  <si>
    <t>תורת המשפחה</t>
  </si>
  <si>
    <t>תורת המשפט</t>
  </si>
  <si>
    <t>פלדמן, משה בן ישעיהו</t>
  </si>
  <si>
    <t>תורת הנבואה הטהורה</t>
  </si>
  <si>
    <t>גפן, (קלמן) שם טוב בן מרדכי</t>
  </si>
  <si>
    <t>תורת הנזיר</t>
  </si>
  <si>
    <t>תורת הנחלות</t>
  </si>
  <si>
    <t>גברא, אריה בן מאיר</t>
  </si>
  <si>
    <t>תורת הניקור הירושלמי</t>
  </si>
  <si>
    <t>תורת הנסתר</t>
  </si>
  <si>
    <t>תורת הנפש</t>
  </si>
  <si>
    <t>תורת הנצי"ב</t>
  </si>
  <si>
    <t>תורת הנקור השלם &lt;עם אור שמחה&gt;</t>
  </si>
  <si>
    <t>תורת הסוטה</t>
  </si>
  <si>
    <t>תורת הסוכה</t>
  </si>
  <si>
    <t>תורת הסופר</t>
  </si>
  <si>
    <t>תורת הספקות - א</t>
  </si>
  <si>
    <t>תורת העבודה והתשובה - 6 כר'</t>
  </si>
  <si>
    <t>תורת העובר</t>
  </si>
  <si>
    <t>שרגא, ישי יצחק בן ברוך</t>
  </si>
  <si>
    <t>תורת העולה - 8 כר'</t>
  </si>
  <si>
    <t>ש"ל</t>
  </si>
  <si>
    <t>תורת העולות</t>
  </si>
  <si>
    <t>רבינוביץ, דוד משה הכהן</t>
  </si>
  <si>
    <t>תורת העוף</t>
  </si>
  <si>
    <t>תורת העיון</t>
  </si>
  <si>
    <t>תורת העמק - 7 כר'</t>
  </si>
  <si>
    <t>תורת הפרשה - 6 כר'</t>
  </si>
  <si>
    <t>תורת הקדשים</t>
  </si>
  <si>
    <t>תורת הקודש &lt;מהדו' תניינא&gt; - א</t>
  </si>
  <si>
    <t>תורת הקודש &lt;מהדורה חדשה&gt; - 3 כר'</t>
  </si>
  <si>
    <t>תורת הקטן א-ב</t>
  </si>
  <si>
    <t>תורת הקנאות &lt;מהדורת הרב בומבך&gt;</t>
  </si>
  <si>
    <t>תורת הקנאות</t>
  </si>
  <si>
    <t>תורת הקנאות - 2 כר'</t>
  </si>
  <si>
    <t>תורת הקנאות. תר"ה</t>
  </si>
  <si>
    <t>תורת הקנינים - 3 כר'</t>
  </si>
  <si>
    <t>רובינפעלד, אהרן בן דוד</t>
  </si>
  <si>
    <t>תורת הקרבנות</t>
  </si>
  <si>
    <t>תורת הרא"ם - 2 כר'</t>
  </si>
  <si>
    <t>תורת הרא"ם</t>
  </si>
  <si>
    <t>מרגליות, אלכסנדר סנדר בן צבי הירש</t>
  </si>
  <si>
    <t>הלכה ומנהג, שאלות ותשובות, תלמוד בבלי, תנ"ך, תנ"ך</t>
  </si>
  <si>
    <t>תורת הראשונים - 2 כר'</t>
  </si>
  <si>
    <t>תורת הראשונים - א</t>
  </si>
  <si>
    <t>תרפ"ו - תרצ"ט</t>
  </si>
  <si>
    <t>תורת הרב</t>
  </si>
  <si>
    <t>תורת הרה"ק מלענטשנא</t>
  </si>
  <si>
    <t>שלמה יהודה ליב מלענטשנא</t>
  </si>
  <si>
    <t>תורת הריבית - 3 כר'</t>
  </si>
  <si>
    <t>תורת הרמ"ז</t>
  </si>
  <si>
    <t>הבנשטרייט, משולם זושא בן יוסף שאול</t>
  </si>
  <si>
    <t>תר"נ הס'</t>
  </si>
  <si>
    <t>משולם זיסל בן אליעזר ליפמן מהניפולי</t>
  </si>
  <si>
    <t>תורת הרמ"ל השלם</t>
  </si>
  <si>
    <t>תורת הרמב"ם - 5 כר'</t>
  </si>
  <si>
    <t>משה בן מימון (רמב"ם) - בן שם, מאיר דוד</t>
  </si>
  <si>
    <t>תורת הרמה</t>
  </si>
  <si>
    <t>תורת השביעית</t>
  </si>
  <si>
    <t>תורת השבת</t>
  </si>
  <si>
    <t>כהן, יוסף בן נסים</t>
  </si>
  <si>
    <t>תורת השבת - 2 כר'</t>
  </si>
  <si>
    <t>תורת השומרים</t>
  </si>
  <si>
    <t>בני החבורה כולל ישיבת מיר</t>
  </si>
  <si>
    <t>תורת השחיטה והבדיקה</t>
  </si>
  <si>
    <t>תורת השחיטה</t>
  </si>
  <si>
    <t>וולדמן, חיים יוסף בן ישכר דוב</t>
  </si>
  <si>
    <t>תורת השטר</t>
  </si>
  <si>
    <t>תורת השידוך</t>
  </si>
  <si>
    <t>תורת השלמים</t>
  </si>
  <si>
    <t>פרץ, אברהם אלעזר בן שלום</t>
  </si>
  <si>
    <t>תורת השם</t>
  </si>
  <si>
    <t>אוחיון, פנחס</t>
  </si>
  <si>
    <t>תורת השמחה</t>
  </si>
  <si>
    <t>תורת השמיטה &lt;מהדורה שניה&gt;</t>
  </si>
  <si>
    <t>אייזנטל, פינחס אליהו</t>
  </si>
  <si>
    <t>תורת השמיטה</t>
  </si>
  <si>
    <t>תורת השמיטה - 3 כר'</t>
  </si>
  <si>
    <t>תורת השרף ממאגלניצא</t>
  </si>
  <si>
    <t>חיים מאיר יחיאל ממאגלניצא</t>
  </si>
  <si>
    <t>דרושים, חסידות, מועדי ישראל, מחשבה ומוסר, נושאים שונים</t>
  </si>
  <si>
    <t>תורת התור</t>
  </si>
  <si>
    <t>תורת התלמוד עם מצא חן - א</t>
  </si>
  <si>
    <t>בוטה, יוגב בן שמואל</t>
  </si>
  <si>
    <t>תורת התמורה - תמורה</t>
  </si>
  <si>
    <t>תורת התמרים</t>
  </si>
  <si>
    <t>וייס, יואל סג"ל</t>
  </si>
  <si>
    <t>תורת התערובות</t>
  </si>
  <si>
    <t>קארניאל, יהודה אריה בן יצחק</t>
  </si>
  <si>
    <t>תורת התפלה</t>
  </si>
  <si>
    <t>תורת התרומה</t>
  </si>
  <si>
    <t>תורת זאב - 3 כר'</t>
  </si>
  <si>
    <t>צ'צ'יק, זאב דוב בן אברהם חיים</t>
  </si>
  <si>
    <t>תורת זאב - 5 כר'</t>
  </si>
  <si>
    <t>קובץ כולל תורת זאב</t>
  </si>
  <si>
    <t>תורת זאב - המורה לצדקה</t>
  </si>
  <si>
    <t>תורת זבח - 4 כר'</t>
  </si>
  <si>
    <t>תורת זבח</t>
  </si>
  <si>
    <t>תורת זרעים</t>
  </si>
  <si>
    <t>תורת חובות הלבבות &lt;אוצר דברי המפרשים -רחש לבי-דבר טוב&gt; -שער חשבון הנפש</t>
  </si>
  <si>
    <t>אבן-פקודה, בחיי בן יוסף - ווייס, שאול יחזקאל</t>
  </si>
  <si>
    <t>תורת חובות הלבבות &lt;עם ביאור עומק הלב&gt; - שער עבודת האלקים</t>
  </si>
  <si>
    <t>אבן-פקודה, בחיי בן יוסף - זלמנוביץ, יהונתן</t>
  </si>
  <si>
    <t>תורת חובות הלבבות &lt;עם תרגום אנגלית&gt; - ב</t>
  </si>
  <si>
    <t>תרפ"ה - תש"ז</t>
  </si>
  <si>
    <t>תורת חובות הלבבות &lt;קאפח&gt;</t>
  </si>
  <si>
    <t>תורת חובות הלבבות - עם עברי דייטש  (ליקוטים)</t>
  </si>
  <si>
    <t>אבן-פקודה, בחיי בן יוסף - אגוזי אהרן דוד (מתרגם)</t>
  </si>
  <si>
    <t>תורת חובות הלבבות</t>
  </si>
  <si>
    <t>תורת חובת הלבבות &lt;נאדר בקודש&gt;</t>
  </si>
  <si>
    <t>תורת חובת הלבבות - &lt;שער חשבון הנפש עם ליקוט אראנו בישע&gt;</t>
  </si>
  <si>
    <t>אבן-פקודה, בחיי בן יוסף - אדמו"ר מויזניץ זצ"ל</t>
  </si>
  <si>
    <t>תורת חובת הלבבות - 2 כר'</t>
  </si>
  <si>
    <t>תורת חוף הימים</t>
  </si>
  <si>
    <t>תורת חטאת &lt;מנחת יעקב&gt; - 2 כר'</t>
  </si>
  <si>
    <t>תורת חטאת &lt;תורת השלמים&gt;</t>
  </si>
  <si>
    <t>תורת חידושי הרי"ם</t>
  </si>
  <si>
    <t>תורת חיים &lt;מהדורת מרמורשטיין&gt;</t>
  </si>
  <si>
    <t>חיים בן מנחם מנדל מקוסוב</t>
  </si>
  <si>
    <t>תורת חיים &lt;מהדורה חדשה&gt;</t>
  </si>
  <si>
    <t>ליבוביץ, חיים בן יעקב</t>
  </si>
  <si>
    <t>תורת חיים &lt;דפו"ר&gt;</t>
  </si>
  <si>
    <t>תורת חיים ואהבת חסד</t>
  </si>
  <si>
    <t>טוקלס, מרדכי בן אברהם</t>
  </si>
  <si>
    <t>תק"י-תקי"א</t>
  </si>
  <si>
    <t>תורת חיים וחסד - 4 כר'</t>
  </si>
  <si>
    <t>תורת חיים</t>
  </si>
  <si>
    <t>אסופת מאמרים ומידע</t>
  </si>
  <si>
    <t>תורת חיים - 2 כר'</t>
  </si>
  <si>
    <t>תורת חיים - 4 כר'</t>
  </si>
  <si>
    <t>חיים בן אפרים מאפטא</t>
  </si>
  <si>
    <t>חיים בן יוסף</t>
  </si>
  <si>
    <t>תורת חיים - 5 כר'</t>
  </si>
  <si>
    <t>טאוב, נתנאל חיים</t>
  </si>
  <si>
    <t>תורת חיים - 3 כר'</t>
  </si>
  <si>
    <t>מולוד, חיים בן שמעון זלמן</t>
  </si>
  <si>
    <t>תורת חיים - 7 כר'</t>
  </si>
  <si>
    <t>סינואני, חיים</t>
  </si>
  <si>
    <t>פארטמאן, נחמיה בן יקותיאל חיים הכהן</t>
  </si>
  <si>
    <t>תרע"ב - תשע"א</t>
  </si>
  <si>
    <t>וילנה Vilna - ניו יו</t>
  </si>
  <si>
    <t>קובץ מכון עץ הדעת</t>
  </si>
  <si>
    <t>רבינוביץ, חיים בן אברהם</t>
  </si>
  <si>
    <t>תע"ג - תפ"ב</t>
  </si>
  <si>
    <t>תורת חיים - על התורה ונ"ך</t>
  </si>
  <si>
    <t>שור, אברהם חיים בן נפתלי צבי הירש - שפיגל, בנימין</t>
  </si>
  <si>
    <t>תרשיש, חיים צבי סגל</t>
  </si>
  <si>
    <t>תורת חיים, זכרון יהודא</t>
  </si>
  <si>
    <t>קובץ תורני ויז'ניץ-מאנסי</t>
  </si>
  <si>
    <t>תורת חיל - חושן משפט</t>
  </si>
  <si>
    <t>תורת חכם &lt;מהדורה חדשה&gt;</t>
  </si>
  <si>
    <t>דילה רוזה, חיים</t>
  </si>
  <si>
    <t>תורת חכם ברוך - 2 כר'</t>
  </si>
  <si>
    <t>בן חיים, ברוך</t>
  </si>
  <si>
    <t>תורת חכם מקור חיים</t>
  </si>
  <si>
    <t>תורת חכם - 2 כר'</t>
  </si>
  <si>
    <t>תורת חכם</t>
  </si>
  <si>
    <t>תי"ד</t>
  </si>
  <si>
    <t>תורת חכם - 8 כר'</t>
  </si>
  <si>
    <t>תורת חכם - נביאים וכתובים</t>
  </si>
  <si>
    <t>תורת חכמי מיץ</t>
  </si>
  <si>
    <t>חכמי מיץ</t>
  </si>
  <si>
    <t>דרושים, מועדי ישראל, שלחן ערוך ומפרשיו, תלמוד בבלי, תלמוד בבלי, תנ"ך</t>
  </si>
  <si>
    <t>תורת חמד</t>
  </si>
  <si>
    <t>בוגרי ישיבת חמד</t>
  </si>
  <si>
    <t>תורת חן &lt;דברי חן&gt;</t>
  </si>
  <si>
    <t>תורת חנוך - דברי חכם</t>
  </si>
  <si>
    <t>חסידות, משנה, תלמוד בבלי, תנ"ך</t>
  </si>
  <si>
    <t>תורת חסד &lt;מהדורה חדשה&gt;</t>
  </si>
  <si>
    <t>אברהם מרדכי מלוצקא</t>
  </si>
  <si>
    <t>תורת חסד לאברהם</t>
  </si>
  <si>
    <t>כהן, אברהם עזרה בן חיים</t>
  </si>
  <si>
    <t>תורת חסד עם קונטרס דברי שלמה וספר אמרי צבי</t>
  </si>
  <si>
    <t>תורת חסד</t>
  </si>
  <si>
    <t>בן-יהודה, יעקב בן יהודה</t>
  </si>
  <si>
    <t>תורת חסד - 2 כר'</t>
  </si>
  <si>
    <t>חנן, אילן בן שלום</t>
  </si>
  <si>
    <t>בילוידיר</t>
  </si>
  <si>
    <t>כולל אברכים נר אסתר</t>
  </si>
  <si>
    <t>כולל אברכים תורת חסד</t>
  </si>
  <si>
    <t>כנרתי, יוסף מרדכי</t>
  </si>
  <si>
    <t>פראדקין, שניאור זלמן בן שלמה</t>
  </si>
  <si>
    <t>פרחיה, חסדאי בן שמואל הכהן</t>
  </si>
  <si>
    <t>תורת חשן המשפט - 3 כר'</t>
  </si>
  <si>
    <t>תורת חתם סופר - 2 כר'</t>
  </si>
  <si>
    <t>תורת טבלין</t>
  </si>
  <si>
    <t>רייטשיק, אלעזר הלוי</t>
  </si>
  <si>
    <t>תורת טהרה - 2 כר'</t>
  </si>
  <si>
    <t>תורת יאשיהו - 2 כר'</t>
  </si>
  <si>
    <t>תורת יהודה - 2 כר'</t>
  </si>
  <si>
    <t>תורת יהונתן - 2 כר'</t>
  </si>
  <si>
    <t>תורת יודא צבי - 10 כר'</t>
  </si>
  <si>
    <t>קובץ כולל תורת יודא צבי</t>
  </si>
  <si>
    <t>תורת יום ולילה</t>
  </si>
  <si>
    <t>תורת יומא - א</t>
  </si>
  <si>
    <t>וויסמן, חיים ישראל בן משה יצחק</t>
  </si>
  <si>
    <t>תורת יוסף</t>
  </si>
  <si>
    <t>יוסף בן משה מפירדא</t>
  </si>
  <si>
    <t>פלשינצקי, יוסף</t>
  </si>
  <si>
    <t>תורת יוסף - ז</t>
  </si>
  <si>
    <t>קובץ תורני במשנת הגרע"י</t>
  </si>
  <si>
    <t>תורת יחזקאל &lt;מהדורה חדשה&gt; - 2 כר'</t>
  </si>
  <si>
    <t>סג"ל, יחזקאל בן יוסף הלוי</t>
  </si>
  <si>
    <t>תורת יחזקאל</t>
  </si>
  <si>
    <t>מועדי ישראל, משנה, תלמוד בבלי, תלמוד בבלי, תנ"ך, תפלות בקשות פיוטים ושירה</t>
  </si>
  <si>
    <t>קובץ כולל משכן יחזקאל</t>
  </si>
  <si>
    <t>תורת יחזקאל - 2 כר'</t>
  </si>
  <si>
    <t>רייך, אברהם יחזקאל בן יעקב קופל</t>
  </si>
  <si>
    <t>תרפ"ט-תרצ"ו</t>
  </si>
  <si>
    <t>תורת יחיאל (ישן) - בראשית</t>
  </si>
  <si>
    <t>תורת יחיאל</t>
  </si>
  <si>
    <t>וילנסקי, יחיאל</t>
  </si>
  <si>
    <t>תורת יחיאל - 5 כר'</t>
  </si>
  <si>
    <t>תורת יי' תמימה</t>
  </si>
  <si>
    <t>תנ"ך. ש"ו. קושטא</t>
  </si>
  <si>
    <t>תורת יעב"ץ - בשלח</t>
  </si>
  <si>
    <t>תורת יעקב</t>
  </si>
  <si>
    <t>תורת יעקב - 2 כר'</t>
  </si>
  <si>
    <t>תורת יעקב - 3 כר'</t>
  </si>
  <si>
    <t>תורת יעקב - ב</t>
  </si>
  <si>
    <t>קובץ תורני ישיבת תורת יעקב</t>
  </si>
  <si>
    <t>תורת יערים - 2 כר'</t>
  </si>
  <si>
    <t>חידו"ת של בני טלזסטון</t>
  </si>
  <si>
    <t>תורת יפה</t>
  </si>
  <si>
    <t>פריד, יחיאל בן נתנאל הכהן</t>
  </si>
  <si>
    <t>ת"ש-תש"ב</t>
  </si>
  <si>
    <t>תורת יצחק</t>
  </si>
  <si>
    <t>דייטש, יעקב בן יואל</t>
  </si>
  <si>
    <t>ולדשין, יצחק אלחנן</t>
  </si>
  <si>
    <t>מרינהולץ, יצחק בן משה</t>
  </si>
  <si>
    <t>תורת יצחק, באר יצחק, לבוש יצחק</t>
  </si>
  <si>
    <t>אויש, יצחק</t>
  </si>
  <si>
    <t>הלכה ומנהג, משנה, שלחן ערוך ומפרשיו, תנ"ך</t>
  </si>
  <si>
    <t>תורת יקותיאל &lt;מהדורה חדשה&gt; - 2 כר'</t>
  </si>
  <si>
    <t>תורת יקותיאל &lt;מהדו"ת&gt;</t>
  </si>
  <si>
    <t>רוזנברגר, יקותיאל יהודה בן פרץ</t>
  </si>
  <si>
    <t>תורת יקותיאל</t>
  </si>
  <si>
    <t>תורת יקותיאל - 2 כר'</t>
  </si>
  <si>
    <t>תורת ירוחם - 3 כר'</t>
  </si>
  <si>
    <t>תש"ח - תשט"ז</t>
  </si>
  <si>
    <t>תורת ישי</t>
  </si>
  <si>
    <t>גליגמן, ישראל שלום יוסף</t>
  </si>
  <si>
    <t>תורת ישר - 2 כר'</t>
  </si>
  <si>
    <t>תורת ישראל א</t>
  </si>
  <si>
    <t>וואלפין, ישראל</t>
  </si>
  <si>
    <t>תורת ישראל וארצו</t>
  </si>
  <si>
    <t>תורת ישראל תנינא</t>
  </si>
  <si>
    <t>קראסוצקי, ישראל זאב בן נחמיה גרשון</t>
  </si>
  <si>
    <t>תורת ישראל</t>
  </si>
  <si>
    <t>ברדא, ישראל</t>
  </si>
  <si>
    <t>תורת ישראל - ב</t>
  </si>
  <si>
    <t>ווידצקי, ישראל ירמיהו בן חיים</t>
  </si>
  <si>
    <t>עמר, רון ישראל בן שלמה מאיר</t>
  </si>
  <si>
    <t>פרוכטהנדלר, ישראל איסר</t>
  </si>
  <si>
    <t>תורת כהן &lt;מהדו"ח&gt; - 2 כר'</t>
  </si>
  <si>
    <t>תורת כהן</t>
  </si>
  <si>
    <t>דרושים, מועדי ישראל, משנה, שאלות ותשובות, שלחן ערוך ומפרשיו, תלמוד בבלי, תנ"ך</t>
  </si>
  <si>
    <t>תורת כהנים &lt;ראב"ד&gt;</t>
  </si>
  <si>
    <t>תורת כהנים &lt;חפץ חיים&gt;</t>
  </si>
  <si>
    <t>תורת כהנים &lt;כתב יד רומי&gt;</t>
  </si>
  <si>
    <t>ספרא. תשי"ז</t>
  </si>
  <si>
    <t>תורת כהנים &lt;עשירית האיפה&gt;</t>
  </si>
  <si>
    <t>שאר ספרי חז"ל, תלמוד ירושלמי</t>
  </si>
  <si>
    <t>תורת כהנים &lt;דרך הקודש&gt; - 2 כר'</t>
  </si>
  <si>
    <t>צרפתי, וידאל בן יצחק - מרגליות, נחום</t>
  </si>
  <si>
    <t>תורת כהנים &lt;עזרת כהנים&gt; - 3 כר'</t>
  </si>
  <si>
    <t>רפאפורט, צבי הירש בן נפתלי הירץ הכהן</t>
  </si>
  <si>
    <t>תר"ה - תרס"ז</t>
  </si>
  <si>
    <t>תורת כהנים - 2 כר'</t>
  </si>
  <si>
    <t>תורת כהנים - עשירת האיפה &lt;מהדורה חדשה&gt;</t>
  </si>
  <si>
    <t>תורת כוחות הנפש</t>
  </si>
  <si>
    <t>פרוביין, שלמה</t>
  </si>
  <si>
    <t>תורת כנסת ישראל</t>
  </si>
  <si>
    <t>תרמ"ה - תרמ"ט</t>
  </si>
  <si>
    <t>חסידות, מחשבה ומוסר, תולדות עם ישראל, תנ"ך, תפלות בקשות פיוטים ושירה</t>
  </si>
  <si>
    <t>תורת לוים - 4 כר'</t>
  </si>
  <si>
    <t>תש"ח - תשכ"ד</t>
  </si>
  <si>
    <t>תורת ליל החג</t>
  </si>
  <si>
    <t>תורת לקח טוב</t>
  </si>
  <si>
    <t>תורת מאיר - ב</t>
  </si>
  <si>
    <t>תורת מאיר</t>
  </si>
  <si>
    <t>תורת מאיר - 2 כר'</t>
  </si>
  <si>
    <t>תורת מהרא"ל ופניני מהרא"ל (על מסכת אבות)</t>
  </si>
  <si>
    <t>תורת מהרי"ם - 4 כר'</t>
  </si>
  <si>
    <t>דושינסקי, ישראל משה בן יוסף צבי</t>
  </si>
  <si>
    <t>תורת מהרי"ץ - 5 כר'</t>
  </si>
  <si>
    <t>תורת מהרש"ל</t>
  </si>
  <si>
    <t>תורת מונח</t>
  </si>
  <si>
    <t>תורת מועד - ביצה</t>
  </si>
  <si>
    <t>בן עזרי, יואל צבי</t>
  </si>
  <si>
    <t>תורת מיכאל</t>
  </si>
  <si>
    <t>פארשלגר, מיכאל אליעזר הכהן</t>
  </si>
  <si>
    <t>תורת מלאכת המבשל</t>
  </si>
  <si>
    <t>רייזמן, יעקב פרץ - פויגל, יונתן בנימין</t>
  </si>
  <si>
    <t>תורת מנחם</t>
  </si>
  <si>
    <t>בראמסון, מנחם מנדל בן אריה ליב</t>
  </si>
  <si>
    <t>שור, מנחם מנדל בן לוי יצחק דוב</t>
  </si>
  <si>
    <t>תורת מרדכי - 2 כר'</t>
  </si>
  <si>
    <t>ואעקנין, יעקב יוסף בן מרדכי</t>
  </si>
  <si>
    <t>תורת מרדכי</t>
  </si>
  <si>
    <t>שאלות ותשובות, שאלות ותשובות, תולדות עם ישראל, תלמוד בבלי</t>
  </si>
  <si>
    <t>תורת משה &lt;דפו"ר&gt; - בראשית</t>
  </si>
  <si>
    <t>שנד לערך</t>
  </si>
  <si>
    <t>ביל וידיר</t>
  </si>
  <si>
    <t>תורת משה (אלשיך) &lt;מהד' וגשל&gt; - 5 כר'</t>
  </si>
  <si>
    <t>תורת משה (אלשיך) - 3 כר'</t>
  </si>
  <si>
    <t>תורת משה אהרן</t>
  </si>
  <si>
    <t>סוקמנסקי, משה אהרן בן אברהם</t>
  </si>
  <si>
    <t>תורת משה אמת</t>
  </si>
  <si>
    <t>תורת משה הקצר</t>
  </si>
  <si>
    <t>תורת משה השלם - 5 כר'</t>
  </si>
  <si>
    <t>תורת משה נתן - 2 כר'</t>
  </si>
  <si>
    <t>תורת משה</t>
  </si>
  <si>
    <t>תורת משה - 6 כר'</t>
  </si>
  <si>
    <t>תורת משה - 2 כר'</t>
  </si>
  <si>
    <t>הלכה ומנהג, תפלות בקשות פיוטים ושירה, תפלות בקשות פיוטים ושירה</t>
  </si>
  <si>
    <t>תורת משה - מאכלי עכו"ם</t>
  </si>
  <si>
    <t>קובץ כולל תורת משה</t>
  </si>
  <si>
    <t>שבתי, משה בן חיים</t>
  </si>
  <si>
    <t>תורת נביאים</t>
  </si>
  <si>
    <t>תורת נגעים</t>
  </si>
  <si>
    <t>תורת נזיקין</t>
  </si>
  <si>
    <t>צדקה, יהודה</t>
  </si>
  <si>
    <t>תורת נזיר - 3 כר'</t>
  </si>
  <si>
    <t>תורת נזיר</t>
  </si>
  <si>
    <t>מוטאל, אברהם בן יעקב</t>
  </si>
  <si>
    <t>תורת נחום - 2 כר'</t>
  </si>
  <si>
    <t>לסמן, נחום - בני המשפחה</t>
  </si>
  <si>
    <t>תורת נתן - 31 כר'</t>
  </si>
  <si>
    <t>תורת נתן - 2 כר'</t>
  </si>
  <si>
    <t>תורת נתנאל - 4 כר'</t>
  </si>
  <si>
    <t>תורת סוכה</t>
  </si>
  <si>
    <t>ביה"מ לתורת א"י פ"ת</t>
  </si>
  <si>
    <t>תורת עזרא - תולדות עזרא</t>
  </si>
  <si>
    <t>תורת עירובין</t>
  </si>
  <si>
    <t>תורת ערלה</t>
  </si>
  <si>
    <t>תורת פדיון שבויים</t>
  </si>
  <si>
    <t>תורת צבי</t>
  </si>
  <si>
    <t>לינק, צבי</t>
  </si>
  <si>
    <t>פרנקל, צבי נחום בן מרדכי שרגא</t>
  </si>
  <si>
    <t>תורת צבי - 8 כר'</t>
  </si>
  <si>
    <t>תורת צדיקים</t>
  </si>
  <si>
    <t>תורת ציון - אבן שלמה - מנחם ציון</t>
  </si>
  <si>
    <t>שלמה מטולטשין- צורף, אברהם שלמה זלמן - מנדלבוים, שמחה</t>
  </si>
  <si>
    <t>תורת קדשים</t>
  </si>
  <si>
    <t>תורת קטן</t>
  </si>
  <si>
    <t>תורת ראובן - 2 כר'</t>
  </si>
  <si>
    <t>פופקו, ראובן בן אליעזר</t>
  </si>
  <si>
    <t>תורת ראשי הישיבות - 14 כר'</t>
  </si>
  <si>
    <t>מפעל תורת ראשי הישיבות</t>
  </si>
  <si>
    <t>תורת רבי ישראל מסלנט - ב</t>
  </si>
  <si>
    <t>תורת רבי נחמן מברצלב ושיחותיו</t>
  </si>
  <si>
    <t>תורת רבי עמרם - א</t>
  </si>
  <si>
    <t>תורת רבינו שמואל סלאנט זצ"ל - 3 כר'</t>
  </si>
  <si>
    <t>סלאנט, שמואל בן צבי הירש</t>
  </si>
  <si>
    <t>תורת רבית</t>
  </si>
  <si>
    <t>הרשלר, משה - היישריק, אליהו רפאל</t>
  </si>
  <si>
    <t>תורת רבית, תורת הקנינים</t>
  </si>
  <si>
    <t>תורת רחובות - 4 כר'</t>
  </si>
  <si>
    <t>כולל אברכים רחובות</t>
  </si>
  <si>
    <t>תורת רפאל - 2 כר'</t>
  </si>
  <si>
    <t>תורת רפאל</t>
  </si>
  <si>
    <t>הופמן, רפאל</t>
  </si>
  <si>
    <t>דרושים, הלכה ומנהג, מועדי ישראל, שאלות ותשובות, שלחן ערוך ומפרשיו, תלמוד בבלי, תלמוד בבלי, תנ"ך</t>
  </si>
  <si>
    <t>כהן, שמעון בן רפאל</t>
  </si>
  <si>
    <t>שפירא, רפאל בן אריה ליב</t>
  </si>
  <si>
    <t>תורת שבת - 2 כר'</t>
  </si>
  <si>
    <t>ווייל, יעקב בן אברהם</t>
  </si>
  <si>
    <t>תורת שומרי אמונים - א</t>
  </si>
  <si>
    <t>תורת שלום החדש &lt;מהדו"ת&gt; - בראשית</t>
  </si>
  <si>
    <t>תורת שלום - 6 כר'</t>
  </si>
  <si>
    <t>תורת שמואל - 2 כר'</t>
  </si>
  <si>
    <t>תורת שמואל</t>
  </si>
  <si>
    <t>שמואל בן נפתלי הירץ מאפטא</t>
  </si>
  <si>
    <t>תורת שמחה - ב</t>
  </si>
  <si>
    <t>תורת שמעון השלם</t>
  </si>
  <si>
    <t>מארילוס, שמעון בן ישראל - וונדר, מאיר</t>
  </si>
  <si>
    <t>תורת שמעון השלם - 2 כר'</t>
  </si>
  <si>
    <t>מארילוס, שמעון בן ישראל</t>
  </si>
  <si>
    <t>תורת שמעון - ריבית</t>
  </si>
  <si>
    <t>כולל תורת שמעון</t>
  </si>
  <si>
    <t>תורת שמעון - אהל שמעון &lt;מהדורה חדשה&gt;</t>
  </si>
  <si>
    <t>תורת שמעון</t>
  </si>
  <si>
    <t>תורת תמורה</t>
  </si>
  <si>
    <t>תורתו אומנותו</t>
  </si>
  <si>
    <t>תורתו של שם - 5 כר'</t>
  </si>
  <si>
    <t>תורתי בקרבם - 5 כר'</t>
  </si>
  <si>
    <t>תורתך באהבה</t>
  </si>
  <si>
    <t>תורתך חנני - חג השבועות ומתן תורה</t>
  </si>
  <si>
    <t>תורתך לישראל - 2 כר'</t>
  </si>
  <si>
    <t>תורתך שעשועי</t>
  </si>
  <si>
    <t>בית מדרש דרכי תורה</t>
  </si>
  <si>
    <t>גליק, אליהו הלוי</t>
  </si>
  <si>
    <t>דז'יקוב, יהושע א.</t>
  </si>
  <si>
    <t>חזני, ארז - זילברשטין, יצחק</t>
  </si>
  <si>
    <t>נוף איילון</t>
  </si>
  <si>
    <t>תורתך שעשועי - 11 כר'</t>
  </si>
  <si>
    <t>טולידאנו, יוסף ב"ר עמנואל</t>
  </si>
  <si>
    <t>כץ, עקיבא</t>
  </si>
  <si>
    <t>מלוקט מכתבי מוהר"ן מברסלב</t>
  </si>
  <si>
    <t>קובץ ישיבת טשעכנוב</t>
  </si>
  <si>
    <t>תורתך שעשועי - גיטין</t>
  </si>
  <si>
    <t>תורתך שעשועי - תורה ומועדים</t>
  </si>
  <si>
    <t>קרנברג, יהושע</t>
  </si>
  <si>
    <t>תורתך שעשעי</t>
  </si>
  <si>
    <t>תורתם משתמרת</t>
  </si>
  <si>
    <t>האס, יוסף מאיר</t>
  </si>
  <si>
    <t>תורתן של אבות</t>
  </si>
  <si>
    <t>לוי, יהונתן</t>
  </si>
  <si>
    <t>תורתן של בנים</t>
  </si>
  <si>
    <t>תורתן של גאונים - 7 כר'</t>
  </si>
  <si>
    <t>יודלוב, יצחק - הבלין שלמה זלמן (עורכים)</t>
  </si>
  <si>
    <t>תורתן של ראשונים - 2 כר'</t>
  </si>
  <si>
    <t>אינהורן, אהרן</t>
  </si>
  <si>
    <t>סקווער</t>
  </si>
  <si>
    <t>תורתן שלבני תימן</t>
  </si>
  <si>
    <t>תושיע בנים &lt;מסכת אבות&gt; - 3 כר'</t>
  </si>
  <si>
    <t>תושיע בנים</t>
  </si>
  <si>
    <t>תושע יאודה</t>
  </si>
  <si>
    <t>תזכיר על הכתל המערבי</t>
  </si>
  <si>
    <t>אדלר, פינחס (כורש) בן שמואל</t>
  </si>
  <si>
    <t>תזל כטל אמרתי</t>
  </si>
  <si>
    <t>תזרח השמש</t>
  </si>
  <si>
    <t>תחום שבת</t>
  </si>
  <si>
    <t>ועד לתחום שבת</t>
  </si>
  <si>
    <t>תחום שבת - עירובין</t>
  </si>
  <si>
    <t>רוזנר, יהודה</t>
  </si>
  <si>
    <t>תחומי ארץ ישראל</t>
  </si>
  <si>
    <t>תחומי שבת</t>
  </si>
  <si>
    <t>גריינימן, אברהם ישעיהו - מנדלסון, חיים לייב</t>
  </si>
  <si>
    <t>תחזו בשולמית</t>
  </si>
  <si>
    <t>תחיית המתים - 2 כר'</t>
  </si>
  <si>
    <t>תחיית יעקב</t>
  </si>
  <si>
    <t>תחינת בנות ירושלים</t>
  </si>
  <si>
    <t>תחכמוני - 5 כר'</t>
  </si>
  <si>
    <t>תחכמני - ב</t>
  </si>
  <si>
    <t>תחכמוני</t>
  </si>
  <si>
    <t>תר"ע-תרע"א</t>
  </si>
  <si>
    <t>ברן Berne</t>
  </si>
  <si>
    <t>תחל שנה מאמרי מוסר ודעת - 2 כר'</t>
  </si>
  <si>
    <t>תחל שנה - 8 כר'</t>
  </si>
  <si>
    <t>תחלת דבר</t>
  </si>
  <si>
    <t>מזאה, דוב בן אליהו מרדכי הכהן</t>
  </si>
  <si>
    <t>תשי"א הס'</t>
  </si>
  <si>
    <t>תחלת דברי שמואל</t>
  </si>
  <si>
    <t>תחלת הקדש - תמורה</t>
  </si>
  <si>
    <t>תחלת חכמה - 2 כר'</t>
  </si>
  <si>
    <t>שמשון בן יצחק מקינון - חאגיז, יעקב</t>
  </si>
  <si>
    <t>תחנות בספרות ישראל - 2 כר'</t>
  </si>
  <si>
    <t>תשי"ד - תשי"ט</t>
  </si>
  <si>
    <t>תחת הסוכה</t>
  </si>
  <si>
    <t>זרביב, ישראל שם טוב בן שמואל דוד</t>
  </si>
  <si>
    <t>תחת השבט</t>
  </si>
  <si>
    <t>תטהרו</t>
  </si>
  <si>
    <t>תיבת גמא &lt;מהדורה חדשה&gt;</t>
  </si>
  <si>
    <t>תיבת גמא</t>
  </si>
  <si>
    <t>תיבת גמא - 2 כר'</t>
  </si>
  <si>
    <t>תיבת משה</t>
  </si>
  <si>
    <t>משה ברוך בן נתנאל</t>
  </si>
  <si>
    <t>תיבת נח</t>
  </si>
  <si>
    <t>תיו יהושע - 4 כר'</t>
  </si>
  <si>
    <t>תימן בתעודות - ב</t>
  </si>
  <si>
    <t>גמליאלי, נסים בנימין</t>
  </si>
  <si>
    <t>תיק"ו</t>
  </si>
  <si>
    <t>תיקון גדול לגאולה</t>
  </si>
  <si>
    <t>תיקון גיטין</t>
  </si>
  <si>
    <t>תיקון הברית</t>
  </si>
  <si>
    <t>תיקון היסוד</t>
  </si>
  <si>
    <t>תיקון הכללי &lt;עם ביאור&gt;</t>
  </si>
  <si>
    <t>גרינבאום, אברהם</t>
  </si>
  <si>
    <t>תיקון הכללי ע"פ מנחת יהודה</t>
  </si>
  <si>
    <t>תיקון הכללי</t>
  </si>
  <si>
    <t>חזן, בן-ציון בן מרדכי</t>
  </si>
  <si>
    <t>תיקון המדות רפואת וחשבון הנפש</t>
  </si>
  <si>
    <t>תיקון המדינה</t>
  </si>
  <si>
    <t>תיקון העולם - תיקון נפטרים</t>
  </si>
  <si>
    <t>תיקון השבת</t>
  </si>
  <si>
    <t>קרלבך, יצחק שלמה בן שמואל</t>
  </si>
  <si>
    <t>תיקון השובבים ע"פ ברית שלום</t>
  </si>
  <si>
    <t>תיקון השל"ה ועוד</t>
  </si>
  <si>
    <t>עמיאל, משה (מלקט)</t>
  </si>
  <si>
    <t>תיקון חצות &lt;מרגליות&gt;</t>
  </si>
  <si>
    <t>תיקון חצות המבואר</t>
  </si>
  <si>
    <t>תיקונים. חצות. תל"ט. פרנקפורט דאודר</t>
  </si>
  <si>
    <t>תיקון לוח דנברשת</t>
  </si>
  <si>
    <t>תיקון ליל שבועות &lt;עטרת תפארת&gt;</t>
  </si>
  <si>
    <t>תיקון ליל שבועות - כמנהג אשכנז</t>
  </si>
  <si>
    <t>תיקון ליל שבועות - 2 כר'</t>
  </si>
  <si>
    <t>תיקון ליל שבועות</t>
  </si>
  <si>
    <t>ווילאמסבורג</t>
  </si>
  <si>
    <t>תיקונים. ליל שבועות. תקע"ח. סלויטה</t>
  </si>
  <si>
    <t>תיקון משה - 2 כר'</t>
  </si>
  <si>
    <t>דרושים, מועדי ישראל, תלמוד בבלי, תלמוד בבלי, תלמוד בבלי, תנ"ך</t>
  </si>
  <si>
    <t>תיקון משנה - עבודה זרה הוריות</t>
  </si>
  <si>
    <t>משה בן מיימון (רמב"ם) - שילת, יצחק</t>
  </si>
  <si>
    <t>תיקון נפטרים הקצר</t>
  </si>
  <si>
    <t>תיקון סדר הטבילה</t>
  </si>
  <si>
    <t>תיקון סופרים ומקרא סופרים</t>
  </si>
  <si>
    <t>תיקון סופרים לר' יצחק צבאח</t>
  </si>
  <si>
    <t>למדן, רות (מהדירה)</t>
  </si>
  <si>
    <t>תיקון סופרים</t>
  </si>
  <si>
    <t>אלמושנינו, משה בן ברוך - יפה, שמואל בן יצחק</t>
  </si>
  <si>
    <t>אלעזר בן עבדאל יצחק</t>
  </si>
  <si>
    <t>תיקון עולם &lt;מהדורה חדשה&gt;</t>
  </si>
  <si>
    <t>תיקון עולם</t>
  </si>
  <si>
    <t>לווינזון, אלטר חיים בן נפתלי מנחם הלוי</t>
  </si>
  <si>
    <t>מחשבה ומוסר, תולדות עם ישראל, תפלות בקשות פיוטים ושירה</t>
  </si>
  <si>
    <t>שלמה בן יצחק ממריני</t>
  </si>
  <si>
    <t>תיקון עירובין - 3 כר'</t>
  </si>
  <si>
    <t>תיקון עירובין</t>
  </si>
  <si>
    <t>קופנהגן,</t>
  </si>
  <si>
    <t>מושקוביץ, יוסף דוד בן יצחק</t>
  </si>
  <si>
    <t>תיקון פ"ד תעניות &lt;עננו להרש"ש עם טיב התשובה&gt;</t>
  </si>
  <si>
    <t>תיקון קוראים המדוייק - איש מצליח</t>
  </si>
  <si>
    <t>תיקון קוראים</t>
  </si>
  <si>
    <t>תיקון שבת</t>
  </si>
  <si>
    <t>שיינברגר, מנחם מאניש</t>
  </si>
  <si>
    <t>תיקון שובבי"ם - כסף הכפורים</t>
  </si>
  <si>
    <t>בוארון, ציון  - עזריאל אביגדור</t>
  </si>
  <si>
    <t>תיקון שובבים</t>
  </si>
  <si>
    <t>תיקונים. שובבי"ם ת"ת. תס"ח. ונציה</t>
  </si>
  <si>
    <t>תיקון שלמה</t>
  </si>
  <si>
    <t>פריידנרייך, שלמה בן יצחק הכהן</t>
  </si>
  <si>
    <t>הלכה ומנהג, מועדי ישראל, מחשבה ומוסר, נושאים שונים, תלמוד בבלי, תנ"ך</t>
  </si>
  <si>
    <t>תיקון שמירות שבת - פרי שבת</t>
  </si>
  <si>
    <t>תיקון שמירת שבת - 2 כר'</t>
  </si>
  <si>
    <t>תיקוני הזהר &lt;ע"פ מעלות הסולם&gt; - 4 כר'</t>
  </si>
  <si>
    <t>ברנדווין, יהודה צבי</t>
  </si>
  <si>
    <t>תיקוני הזהר &lt;הגר"א&gt;</t>
  </si>
  <si>
    <t>זהר. תיקוני זהר. תרכ"ז. וילנה</t>
  </si>
  <si>
    <t>תיקוני הזהר &lt;כסא מלך&gt;</t>
  </si>
  <si>
    <t>זהר. תיקוני זהר. תרמ"ג. ירושלים</t>
  </si>
  <si>
    <t>תיקוני הזהר &lt;מעלות הסולם&gt;</t>
  </si>
  <si>
    <t>זהר. תיקוני זהר. תש"ך. ירושלים</t>
  </si>
  <si>
    <t>תש"כ - תש"ל</t>
  </si>
  <si>
    <t>תיקוני הזהר &lt;עם פירוש בניהו&gt;</t>
  </si>
  <si>
    <t>זהר. תיקוני זהר. תשי"ד. ירושלים</t>
  </si>
  <si>
    <t>תיקוני הזהר &lt;עם פירוש שעת רצון&gt;</t>
  </si>
  <si>
    <t>תיקוני הזהר &lt;ברית יעקב&gt;</t>
  </si>
  <si>
    <t>תיקוני הזהר &lt;מלאכת הסולם&gt;</t>
  </si>
  <si>
    <t>שיינברגר, מרדכי</t>
  </si>
  <si>
    <t>תיקוני הזהר &lt;ע"פ מלאכת הסולם&gt; - 4 כר'</t>
  </si>
  <si>
    <t>שינברגר, מרדכי</t>
  </si>
  <si>
    <t>תיקוני הזהר &lt;באר לחי ראי&gt; - 3 כר'</t>
  </si>
  <si>
    <t>תיקוני הזהר א  &lt;עם פירוש בניהו&gt;</t>
  </si>
  <si>
    <t>תיקוני זהר</t>
  </si>
  <si>
    <t>תיקוני הזהר ב  &lt;עם פירוש בניהו&gt;</t>
  </si>
  <si>
    <t>תיקוני הזהר עם פירוש אור יקר - 6 כר'</t>
  </si>
  <si>
    <t>תיקוני הזהר</t>
  </si>
  <si>
    <t>זוהר. ירושלים. תשמ"ח</t>
  </si>
  <si>
    <t>תיקוני הזהר - 2 כר'</t>
  </si>
  <si>
    <t>זוהר. תיקוני זוהר. שי"ח. מנטובה</t>
  </si>
  <si>
    <t>זוהר. תיקוני זוהר. ת"ק. קושטא</t>
  </si>
  <si>
    <t>זוהר. תיקוני זוהר. תקס"ח. קושטא</t>
  </si>
  <si>
    <t>זוהר. תיקוני זוהר. תר"ד. ירושלים</t>
  </si>
  <si>
    <t>זוהר. תיקוני זוהר. תרכ"ג. זיטומיר</t>
  </si>
  <si>
    <t>תיקוני זהר &lt;עם פירוש באר יצחק&gt;</t>
  </si>
  <si>
    <t>תיקוני זהר &lt;כסא מלך - 3 כר'</t>
  </si>
  <si>
    <t>תיקוני זוהר עם כל המפרשים</t>
  </si>
  <si>
    <t>תיקוני זהר לפי נוסח קדמון עם ביאור הגר"א</t>
  </si>
  <si>
    <t>עורך: צוריאל, משה</t>
  </si>
  <si>
    <t>תיקוני זהר עם ביאור הגר"א</t>
  </si>
  <si>
    <t>תיקוני יעקב</t>
  </si>
  <si>
    <t>תיקוני נוסחאות בירושלמי</t>
  </si>
  <si>
    <t>תיקוני עירובין</t>
  </si>
  <si>
    <t>תיקוני שבת &lt;מתוך סידור תפילת נהורא&gt;</t>
  </si>
  <si>
    <t>תיקוני שבת</t>
  </si>
  <si>
    <t>תיקונים. שבת. שע"ג. קרקוב</t>
  </si>
  <si>
    <t>תיקונים. שבת. שפ"ב. לובלין</t>
  </si>
  <si>
    <t>תיקונים. שבת. ת'. קרקוב</t>
  </si>
  <si>
    <t>תיקוני שלמה</t>
  </si>
  <si>
    <t>תיקוני תשובה ארץ צבי</t>
  </si>
  <si>
    <t>תיקונים בספרי הטור</t>
  </si>
  <si>
    <t>תיקונים חדשים &lt;עם ביאור&gt;</t>
  </si>
  <si>
    <t>לוצאטו, משה חיים בן יעקב חי (רמח"ל) - חלפון, אליהו בן חיים</t>
  </si>
  <si>
    <t>תיקונים חדשים - 2 כר'</t>
  </si>
  <si>
    <t>תיקונים מזהר חדש</t>
  </si>
  <si>
    <t>תיקונים - 6 כר'</t>
  </si>
  <si>
    <t>כולל רבינו האר"י</t>
  </si>
  <si>
    <t>תירוש ויצהר</t>
  </si>
  <si>
    <t>תכונת השמים</t>
  </si>
  <si>
    <t>תכלאל &lt;עץ חיים&gt; - 3 כר'</t>
  </si>
  <si>
    <t>תפילות. מחזור. תרנ"ד. ירושלים</t>
  </si>
  <si>
    <t>תכלאל (שאמי) עם שתילי זתים - פסח</t>
  </si>
  <si>
    <t>תכלאל אבות ראשונים</t>
  </si>
  <si>
    <t>תכלאל בלדי עם כוונות (המהרי"ץ והרמ"ק)</t>
  </si>
  <si>
    <t>תכלאל בלדי עם כוונות</t>
  </si>
  <si>
    <t>תכלאל המבואר (בלדי) - לימות השנה</t>
  </si>
  <si>
    <t>נחום, חיים בן שלום</t>
  </si>
  <si>
    <t>תכלאל המפואר אור מהרי"ץ - 6 כר'</t>
  </si>
  <si>
    <t>עוזרי, אור נריה בן משה (עורך)</t>
  </si>
  <si>
    <t>תכלאל לחג הסוכות</t>
  </si>
  <si>
    <t>תכלאל מסורת אבות בלדי</t>
  </si>
  <si>
    <t>בן נון, אדם - נחום, חיים בן שלום</t>
  </si>
  <si>
    <t>תכלאל משתא - 2 כר'</t>
  </si>
  <si>
    <t>שבזי, שלם בן יוסף (כתב ידו)</t>
  </si>
  <si>
    <t>תכלאל עטרת אבות &lt;בלדי&gt; - 7 כר'</t>
  </si>
  <si>
    <t>תכלאל עטרת זקנים &lt;מנהג חבאן&gt; - 6 כר'</t>
  </si>
  <si>
    <t>מעטוף, שלום יצחק</t>
  </si>
  <si>
    <t>תכלאל עץ חיים &lt;מהדורה חדשה&gt; - 5 כר'</t>
  </si>
  <si>
    <t>תפילות. מחזור. תשע"ד. ישראל</t>
  </si>
  <si>
    <t>תכלאל שאמי עם שתילי זתים &lt;באר מרים&gt;</t>
  </si>
  <si>
    <t>תכלאל שיבת ציון &lt;בלדי&gt; - 3 כר'</t>
  </si>
  <si>
    <t>קאפח, יוסף בן דוד (מגיה)</t>
  </si>
  <si>
    <t>תכלאל שיח שפתותינו &lt;נוסח רדאע&gt;</t>
  </si>
  <si>
    <t>עומסי, יחיא בן יחיא</t>
  </si>
  <si>
    <t>תכלאל תורת אבות - 7 כר'</t>
  </si>
  <si>
    <t>אלשיך, נתנאל בן יחיא (עורך)</t>
  </si>
  <si>
    <t>תכלאל תפילת קדמונים המבואר</t>
  </si>
  <si>
    <t>תכלאל</t>
  </si>
  <si>
    <t>צנעא</t>
  </si>
  <si>
    <t>מועדי ישראל, נושאים שונים, קבצים וכתבי עת, ספרי זכרון ויובל, תפלות בקשות פיוטים ושירה</t>
  </si>
  <si>
    <t>תכלה רגל מן השוק בזמננו</t>
  </si>
  <si>
    <t>תכלית אור</t>
  </si>
  <si>
    <t>ברנשטין, משה מאיר</t>
  </si>
  <si>
    <t>תכלית האדם</t>
  </si>
  <si>
    <t>תכלית החיים</t>
  </si>
  <si>
    <t>תכלית ועיקר</t>
  </si>
  <si>
    <t>תכלית חכמה - 3 כר'</t>
  </si>
  <si>
    <t>גוטסמן, אהרן זאב</t>
  </si>
  <si>
    <t>תכלית חכמה</t>
  </si>
  <si>
    <t>תכלית יסורין</t>
  </si>
  <si>
    <t>תכלת בציצית בימינו</t>
  </si>
  <si>
    <t>ליינר, יעקב בן חנינא דוד</t>
  </si>
  <si>
    <t>תכלת וארגמן</t>
  </si>
  <si>
    <t>תכלת מרדכי</t>
  </si>
  <si>
    <t>אייזנבאך, שלום ליב בן אברהם - קרויז מרדכי</t>
  </si>
  <si>
    <t>בן חיים, אברהם</t>
  </si>
  <si>
    <t>דרוקר, מרדכי בן יהודה ליבוש</t>
  </si>
  <si>
    <t>עייש, מרדכי בן נסים</t>
  </si>
  <si>
    <t>תכלת מרדכי - 10 כר'</t>
  </si>
  <si>
    <t>קלאצקי, מרדכי בן אשר</t>
  </si>
  <si>
    <t>תכלת מרדכי - 2 כר'</t>
  </si>
  <si>
    <t>קלאצקי, מרדכי</t>
  </si>
  <si>
    <t>תכלת מרדכי - 4 כר'</t>
  </si>
  <si>
    <t>תכנית הוצאת כתבי רבינו מרן יעקב משה חרל"פ זצ"ל</t>
  </si>
  <si>
    <t>ועד להוצאת כתבי הרב יעקב משה חרל"פ</t>
  </si>
  <si>
    <t>(ירושלים)</t>
  </si>
  <si>
    <t>תכנית הנפש</t>
  </si>
  <si>
    <t>ריבקינד, יהושע נחום בן צ</t>
  </si>
  <si>
    <t>תכנת שבת</t>
  </si>
  <si>
    <t>תכריך מרדכי</t>
  </si>
  <si>
    <t>שלפוברסקי, מרדכי</t>
  </si>
  <si>
    <t>דרושים, מחשבה ומוסר, נושאים שונים, תולדות עם ישראל, תולדות עם ישראל, תלמוד בבלי</t>
  </si>
  <si>
    <t>תכתב לדור</t>
  </si>
  <si>
    <t>ליברמן, יצחק מאיר בן שמחה בונים</t>
  </si>
  <si>
    <t>תל תלפיות &lt;תולדות מרן המנחת יצחק&gt; - א</t>
  </si>
  <si>
    <t>דוידוביץ, ישראל חיים</t>
  </si>
  <si>
    <t>תל תלפיות &lt;ירושלים&gt; - 11 כר'</t>
  </si>
  <si>
    <t>תל תלפיות</t>
  </si>
  <si>
    <t>בלוי, יחזקאל</t>
  </si>
  <si>
    <t>תל תלפיות - העיר בעלזא ותפארתה</t>
  </si>
  <si>
    <t>תל תלפיות - 17 כר'</t>
  </si>
  <si>
    <t>קובץ מכון הוראה ומשפט</t>
  </si>
  <si>
    <t>תל תלפיות - 39 כר'</t>
  </si>
  <si>
    <t>תרנ"ב - תרצ"ח</t>
  </si>
  <si>
    <t>תלם אחד מספר שדה ירושלים</t>
  </si>
  <si>
    <t>זילבר, אפרים בן פינחס</t>
  </si>
  <si>
    <t>תלמוד אין יידיש - 2 כר'</t>
  </si>
  <si>
    <t>זאלקינד, יעקב מאיר</t>
  </si>
  <si>
    <t>תלמוד בבלי  &lt;עוז והדר&gt; - 41 כר'</t>
  </si>
  <si>
    <t>תלמוד בבלי &lt;מהדורת מכון תורני ברקאי&gt; - 7 כר'</t>
  </si>
  <si>
    <t>טולדנו, שלמה בן חביב (עורך)</t>
  </si>
  <si>
    <t>תלמוד בבלי &lt;מרפא לשון, שדה צופים&gt; - 2 כר'</t>
  </si>
  <si>
    <t>לנדא, משה בן ישראל- רנשבורג, בצלאל בן יואל</t>
  </si>
  <si>
    <t>תלמוד בבלי &lt;בזל&gt; - 34 כר'</t>
  </si>
  <si>
    <t>של"ח - שמ"א</t>
  </si>
  <si>
    <t>בזל (בסיליאה)</t>
  </si>
  <si>
    <t>תלמוד בבלי &lt;וגשל. מהדורת נהרדעא&gt; - 20 כר'</t>
  </si>
  <si>
    <t>תלמוד בבלי &lt;ווין&gt; - עבודה זרה</t>
  </si>
  <si>
    <t>תרכ"ח - תרל"ג</t>
  </si>
  <si>
    <t>תלמוד בבלי &lt;ונציה ש"ח&gt; - זבחים</t>
  </si>
  <si>
    <t>תלמוד בבלי &lt;טקסט&gt;</t>
  </si>
  <si>
    <t>תלמוד בבלי &lt;פפד"א&gt; - 2 כר'</t>
  </si>
  <si>
    <t>תנ"ז - תנ"ט</t>
  </si>
  <si>
    <t>תלמוד בבלי &lt;קראקא&gt; - מועד קטן</t>
  </si>
  <si>
    <t>תלמוד בבלי &lt;שרידים מדפוסי ספרד&gt; - 5 כר'</t>
  </si>
  <si>
    <t>פרו</t>
  </si>
  <si>
    <t>תלמוד בבלי &lt;תרגום עברי ופרוש חדש&gt; - 3 כר'</t>
  </si>
  <si>
    <t>תלמוד בבלי &lt;אמשטרדם&gt; - הוריות</t>
  </si>
  <si>
    <t>תלמוד בבלי. אמשטרדם. תפ"ז.</t>
  </si>
  <si>
    <t>תלמוד בבלי &lt;ונציה&gt; - 39 כר'</t>
  </si>
  <si>
    <t>תלמוד בבלי. ונציה רפ"א-רפ"ג</t>
  </si>
  <si>
    <t>רפ"א - רפ"ג</t>
  </si>
  <si>
    <t>תלמוד בבלי &lt;כתב יד מינכן&gt; - 4 כר'</t>
  </si>
  <si>
    <t>תלמוד בבלי. מינכען. ק"ג.</t>
  </si>
  <si>
    <t>תלמוד בבלי &lt;פפד"מ&gt; - 27 כר'</t>
  </si>
  <si>
    <t>תלמוד בבלי. פפד"מ. ת"פ.</t>
  </si>
  <si>
    <t>תלמוד בבלי &lt;פרג&gt; - ברכות</t>
  </si>
  <si>
    <t>תלמוד בבלי. פרג. תפ"ח</t>
  </si>
  <si>
    <t>תלמוד בבלי &lt;וילנא החדש&gt; - 41 כר'</t>
  </si>
  <si>
    <t>תלמוד בבלי. ש"ס ווילנא החדש.</t>
  </si>
  <si>
    <t>תלמוד בבלי &lt;שונצינו - 17 כר'</t>
  </si>
  <si>
    <t>תלמוד בבלי. שונצינו-פיזארו.</t>
  </si>
  <si>
    <t>רמ"ד - רע"ט</t>
  </si>
  <si>
    <t>שונצינו - פיזארו</t>
  </si>
  <si>
    <t>תלמוד בבלי אין אידיש - ביצה</t>
  </si>
  <si>
    <t>תלמוד בבלי. אידיש</t>
  </si>
  <si>
    <t>תלמוד בבלי בעברית - 3 כר'</t>
  </si>
  <si>
    <t>תלמוד בבלי וירושלמי - א ב</t>
  </si>
  <si>
    <t>תלמוד בבלי כתב יד המבורג</t>
  </si>
  <si>
    <t>תלמוד בבלי. המבורג.תקמ"ד</t>
  </si>
  <si>
    <t>תלמוד בבלי מסכת קידושין דף ב &lt;עם הוספות שונות&gt;</t>
  </si>
  <si>
    <t>תלמוד בבלי עם תרגום עברי מפורש - 6 כר'</t>
  </si>
  <si>
    <t>בן שמן, שמעון</t>
  </si>
  <si>
    <t>תלמוד בית אבא - מדות</t>
  </si>
  <si>
    <t>תלמוד דוד - בבא מציעא</t>
  </si>
  <si>
    <t>בר שלום, דוד בן משה</t>
  </si>
  <si>
    <t>תלמוד והוראה</t>
  </si>
  <si>
    <t>גרינבוים, חיים מאיר בן נפתלי</t>
  </si>
  <si>
    <t>תלמוד ירושלמי &lt;ר"א פולדא - פני אריה&gt; - זרעים</t>
  </si>
  <si>
    <t>אליהו בן יהודה ליב מפולדה</t>
  </si>
  <si>
    <t>תלמוד ירושלמי &lt;ר"א פולדא&gt; - 2 כר'</t>
  </si>
  <si>
    <t>תלמוד ירושלמי &lt;ירושלים הצרופה&gt; - בבא  קמא</t>
  </si>
  <si>
    <t>תלמוד ירושלמי &lt;שדה יהושע&gt; - 5 כר'</t>
  </si>
  <si>
    <t>תלמוד ירושלמי &lt;ביאור ירושלמי, הרחב דבר&gt; - ב"ק</t>
  </si>
  <si>
    <t>תלמוד ירושלמי &lt;בנין ירושלים&gt; - 2 כר'</t>
  </si>
  <si>
    <t>גליק, בן ציון שכנא - מלצר, ישעיהו נתן</t>
  </si>
  <si>
    <t>תלמוד ירושלמי &lt;קראקא - קראטשין עם פירוש הקצר&gt;</t>
  </si>
  <si>
    <t>תלמוד ירושלמי &lt;נתיבות ירושלים&gt; - 3 כר'</t>
  </si>
  <si>
    <t>דרושים, תלמוד ירושלמי</t>
  </si>
  <si>
    <t>תלמוד ירושלמי &lt;ביהמ"ד להלכה בהתיישבות&gt; - 11 כר'</t>
  </si>
  <si>
    <t>הוצאת בית המדרש הגבוה להלכה בהתישבות</t>
  </si>
  <si>
    <t>תלמוד ירושלמי &lt;שושן בצלאל&gt; - 4 כר'</t>
  </si>
  <si>
    <t>תלמוד ירושלמי &lt;לונץ&gt; - 4 כר'</t>
  </si>
  <si>
    <t>תרס"ח - תרע"ו</t>
  </si>
  <si>
    <t>תלמוד ירושלמי &lt;פני מערב&gt; - בבא מציעא</t>
  </si>
  <si>
    <t>נייהוז, בונים בן אשר דב</t>
  </si>
  <si>
    <t>תלמוד ירושלמי &lt;אהבת ציון&gt; - 2 כר'</t>
  </si>
  <si>
    <t>פראנקל, זכריה בן יעקב קופל</t>
  </si>
  <si>
    <t>תלמוד ירושלמי &lt;המזויף&gt; - 2 כר'</t>
  </si>
  <si>
    <t>תרס"ו - תרס"ט</t>
  </si>
  <si>
    <t>תלמוד ירושלמי &lt;עם ביאור הגר"ח קנייבסקי&gt; - 24 כר'</t>
  </si>
  <si>
    <t>תלמוד ירושלמי &lt;כנפי יונה&gt; - תרומות</t>
  </si>
  <si>
    <t>רוזנבוים, דוד יונה</t>
  </si>
  <si>
    <t>תלמוד ירושלמי &lt;כת"י וטיקן&gt;</t>
  </si>
  <si>
    <t>תלמוד ירושלמי כתב יד</t>
  </si>
  <si>
    <t>תלמוד ירושלמי &lt;מוצל מאש&gt; - 16 כר'</t>
  </si>
  <si>
    <t>תלמוד ירושלמי עם הרבה מפרשים</t>
  </si>
  <si>
    <t>תלמוד ירושלמי &lt;טקסט&gt;</t>
  </si>
  <si>
    <t>תלמוד ירושלמי &lt;ירושלים הבנויה&gt; - נדרים</t>
  </si>
  <si>
    <t>תלמוד ירושלמי &lt;השלם&gt; שביעית - א</t>
  </si>
  <si>
    <t>תלמוד ירושלמי. אשדוד. תש"ס</t>
  </si>
  <si>
    <t>תלמוד ירושלמי &lt;ברלין&gt; - 4 כר'</t>
  </si>
  <si>
    <t>תלמוד ירושלמי. ברלין. תרכ"ב</t>
  </si>
  <si>
    <t>תלמוד ירושלמי &lt;שקלוב&gt; - זרעים</t>
  </si>
  <si>
    <t>תלמוד ירושלמי. תקע"ב. שקלוב</t>
  </si>
  <si>
    <t>תלמוד ירושלמי המבואר - פאה</t>
  </si>
  <si>
    <t>יחזקאל, משה - גרג'י, מרדכי</t>
  </si>
  <si>
    <t>תלמוד ירושלמי כת"י ליידן - 4 כר'</t>
  </si>
  <si>
    <t>תלמוד ירושלמי. ליידן.</t>
  </si>
  <si>
    <t>תלמוד ירושלמי מבואר עפ"י גי' הגר"א ושאר מפרשים - 9 כר'</t>
  </si>
  <si>
    <t>תלמוד ירושלמי מסכת ביצה &lt;עם פירוש בעל החרדים&gt;</t>
  </si>
  <si>
    <t>תלמוד ירושלמי מסכת ברכות ע"פ מתא דירושלים והגר"ח קנייבסקי</t>
  </si>
  <si>
    <t>ליטש-רוזנבוים, משה אריה ליב - קנייבסקי, שמריהו יוסף חיים</t>
  </si>
  <si>
    <t>תלמוד ירושלמי מסכת פאה ע"פ הגר"מ פיינשטיין</t>
  </si>
  <si>
    <t>תלמוד ירושלמי מסכת שביעית עם ביאור הגר"ח קנייבסקי</t>
  </si>
  <si>
    <t>תלמוד ירושלמי מסכת שביעית עם הגהות וביאורי הגר"א</t>
  </si>
  <si>
    <t>תלמוד ירושלמי מתורגם לצרפתית - 6 כר'</t>
  </si>
  <si>
    <t>שוואב, משה (מתרגם)</t>
  </si>
  <si>
    <t>תלמוד ירושלמי סדר זרעים &lt;גירסת הגר"א&gt;</t>
  </si>
  <si>
    <t>תלמוד ירושלמי ע"פ ארץ הצבי - 15 כר'</t>
  </si>
  <si>
    <t>תלמוד ירושלמי ע"פ לישנא קלילא</t>
  </si>
  <si>
    <t>אקוקה, שמעון</t>
  </si>
  <si>
    <t>תלמוד ירושלמי ע"פ ר"ש  סיריליאו &lt;הר אפרים&gt; - שקלים</t>
  </si>
  <si>
    <t>סיריליו, שלמה בן יוסף - גארבוז, אפרים בן צבי אריה</t>
  </si>
  <si>
    <t>תלמוד ירושלמי ע"פ ר"ש סיריליאו - 12 כר'</t>
  </si>
  <si>
    <t>סיריליו, שלמה בן יוסף</t>
  </si>
  <si>
    <t>תלמוד ירושלמי ע"פ רינת שושנים - פסחים</t>
  </si>
  <si>
    <t>רוזנברג, חגי בן שמואל</t>
  </si>
  <si>
    <t>תלמוד ירושלמי עם פירוש אור יעקב - 16 כר'</t>
  </si>
  <si>
    <t>הוצאת פרי מגדים</t>
  </si>
  <si>
    <t>תלמוד ירושלמי עם פירוש אור לישרים - 8 כר'</t>
  </si>
  <si>
    <t>מכון הירושלמי</t>
  </si>
  <si>
    <t>תלמוד ירושלמי עם פירוש קב ונקי - 6 כר'</t>
  </si>
  <si>
    <t>לוי, יהודה - מצגר, גרשון</t>
  </si>
  <si>
    <t>תלמוד ירושלמי שביעית &lt;מי זיו - 2 כר'</t>
  </si>
  <si>
    <t>תלמוד ירושלמי - 29 כר'</t>
  </si>
  <si>
    <t>גרין, חיים מרדכי - פרידמן, יהודה אריה</t>
  </si>
  <si>
    <t>תלמוד ירושלמי - 2 כר'</t>
  </si>
  <si>
    <t>סלמון, אברהם ישראל משה (מו"ל)</t>
  </si>
  <si>
    <t>תלמוד ירושלמי. רפ"ג. ונציה</t>
  </si>
  <si>
    <t>רפ"ג - רפ"ד</t>
  </si>
  <si>
    <t>תלמוד ירושלמי - זרעים</t>
  </si>
  <si>
    <t>קאפוסט - שקלוב</t>
  </si>
  <si>
    <t>תלמוד ירושלמי - 5 כר'</t>
  </si>
  <si>
    <t>תלמוד ירושלמי. תר"ך. זיטומיר</t>
  </si>
  <si>
    <t>תר"כ - תרכ"ז</t>
  </si>
  <si>
    <t>תלמוד ירושלמי - 7 כר'</t>
  </si>
  <si>
    <t>תלמוד ירושלמי. תרפ"ו. וילנה</t>
  </si>
  <si>
    <t>תלמוד לעם - תענית</t>
  </si>
  <si>
    <t>תלמוד בבלי. תש"ח. תל אביב</t>
  </si>
  <si>
    <t>תלמוד לשון ערבי</t>
  </si>
  <si>
    <t>ליאון, יוסף אריה בן בן-ציון</t>
  </si>
  <si>
    <t>תלמוד לתלמיד - 3 כר'</t>
  </si>
  <si>
    <t>תלמוד מפורש - 3 כר'</t>
  </si>
  <si>
    <t>בספרוינד, צבי בן יעקב</t>
  </si>
  <si>
    <t>תלמוד מפורש - 7 כר'</t>
  </si>
  <si>
    <t>ליפשיץ, בנימין בן אברהם</t>
  </si>
  <si>
    <t>תש"ה - תש"ט</t>
  </si>
  <si>
    <t>תלמוד עשר הספירות - 14 כר'</t>
  </si>
  <si>
    <t>תלמוד עשר הספירות - 2 כר'</t>
  </si>
  <si>
    <t>תלמוד קטן</t>
  </si>
  <si>
    <t>חוצין, שלמה בכור בן יהושע</t>
  </si>
  <si>
    <t>תלמוד רש"י</t>
  </si>
  <si>
    <t>תנ"ך, תנ"ך, תנ"ך, תנ"ך, תנ"ך</t>
  </si>
  <si>
    <t>תלמוד שפת עבר</t>
  </si>
  <si>
    <t>הורוויץ, מאיר זלמן בן מרדכי בנימין הלוי</t>
  </si>
  <si>
    <t>תלמודא דאורייתא</t>
  </si>
  <si>
    <t>תלמודו בידו</t>
  </si>
  <si>
    <t>גלעד, יצחק בן שמואל צבי דוב הלוי</t>
  </si>
  <si>
    <t>תלמודו בידו - 31 כר'</t>
  </si>
  <si>
    <t>מכון תלמודו בידו</t>
  </si>
  <si>
    <t>תלמודו בידו - 3 כר'</t>
  </si>
  <si>
    <t>קובץ תורני ישיבתי</t>
  </si>
  <si>
    <t>תלמודו מתקיים בידו - 4 כר'</t>
  </si>
  <si>
    <t>טוקצינסקי, משה - בצרי, משה</t>
  </si>
  <si>
    <t>תלמי השדה</t>
  </si>
  <si>
    <t>תלמידי הבעש"ט בארץ ישראל</t>
  </si>
  <si>
    <t>תלמידי כבני - 2 כר'</t>
  </si>
  <si>
    <t>תלמידיהון ותלמידי תלמידיהון</t>
  </si>
  <si>
    <t>תלפיות - א ב</t>
  </si>
  <si>
    <t>תלפיות</t>
  </si>
  <si>
    <t>מוקדש לתורה וחסידות</t>
  </si>
  <si>
    <t>תמונות מן העבר</t>
  </si>
  <si>
    <t>תמונות תחנות תפלות ספרד &lt;סידור ספרדים ונציה רפ"ד עם השפעות צנזורה&gt; - 2 כר'</t>
  </si>
  <si>
    <t>תפילות. מחזור. רפ"ד. ונציה</t>
  </si>
  <si>
    <t>רפ"ד - ש"ד?</t>
  </si>
  <si>
    <t>תמונות תחנות תפלות ספרד &lt;סידור ספרדים ונציה רפ"ד&gt; - 2 כר'</t>
  </si>
  <si>
    <t>תמונת האותיות</t>
  </si>
  <si>
    <t>תמונת הבית העתיד להבנות במ"ב</t>
  </si>
  <si>
    <t>אליהו בן שלמה זלמן (הגר"א)  - מיוחס לו</t>
  </si>
  <si>
    <t>תמונת הגדולים</t>
  </si>
  <si>
    <t>קאצבורג, אביגדור בן דוד צבי הכהן</t>
  </si>
  <si>
    <t>תמורה - 109 כר'</t>
  </si>
  <si>
    <t>קארפ, משה (עורך)</t>
  </si>
  <si>
    <t>תש"מ - תשמ"ו</t>
  </si>
  <si>
    <t>תמורת איל - 3 כר'</t>
  </si>
  <si>
    <t>פעסין, אברהם יהודה ליב</t>
  </si>
  <si>
    <t>תמורת תודה</t>
  </si>
  <si>
    <t>תמיד ישתעשעון</t>
  </si>
  <si>
    <t>דזיאלובסקי, אברהם מרדכי</t>
  </si>
  <si>
    <t>תמיד תהלתו בפי</t>
  </si>
  <si>
    <t>תמידים כסדרם - 5 כר'</t>
  </si>
  <si>
    <t>תמידים כסדרם</t>
  </si>
  <si>
    <t>תמים דעות</t>
  </si>
  <si>
    <t>אליאשברג, יהודה בצלאל בן זאב וולף</t>
  </si>
  <si>
    <t>תמים דעים</t>
  </si>
  <si>
    <t>תמים יחדיו - 2 כר'</t>
  </si>
  <si>
    <t>תמים פעלו</t>
  </si>
  <si>
    <t>תמים תהיה השלם - 2 כר'</t>
  </si>
  <si>
    <t>תמימות תהיינה</t>
  </si>
  <si>
    <t>תמימי דרך</t>
  </si>
  <si>
    <t>דרוקרמאן, יעקב בן שמואל</t>
  </si>
  <si>
    <t>הניס, אורי בן אברהם חיים</t>
  </si>
  <si>
    <t>שוורץ, פנחס זליג הכהן</t>
  </si>
  <si>
    <t>סטו מרהSatu Mare</t>
  </si>
  <si>
    <t>תמכין דאורייתא</t>
  </si>
  <si>
    <t>וויזניטץ,</t>
  </si>
  <si>
    <t>תמכין דאורייתא - תולדות מהרצ"א</t>
  </si>
  <si>
    <t>תמצית דברי ימי ישראל</t>
  </si>
  <si>
    <t>תמצית ההלכות - 5 כר'</t>
  </si>
  <si>
    <t>תמצית הטור ובית יוסף - 3 כר'</t>
  </si>
  <si>
    <t>תמצית הלכות בין המצרים</t>
  </si>
  <si>
    <t>שוורץ, אליהו</t>
  </si>
  <si>
    <t>תמצית הלכות ריבית</t>
  </si>
  <si>
    <t>סלומון, שמעון יואל</t>
  </si>
  <si>
    <t>תמצית הסוגיות - בבא בתרא</t>
  </si>
  <si>
    <t>כולל בית תלמוד הוראה חסידי גור</t>
  </si>
  <si>
    <t>תמצית השמועה</t>
  </si>
  <si>
    <t>תמצית חולין</t>
  </si>
  <si>
    <t>תמצית מגילת יוחסין למשפחת גרליץ</t>
  </si>
  <si>
    <t>גרליץ, ירחמיאל שלמה</t>
  </si>
  <si>
    <t>תמצית מסקנות הדף - קידושין</t>
  </si>
  <si>
    <t>מתלון, יעקב מאיר בן כדורי</t>
  </si>
  <si>
    <t>תמצית סוגיות הירושלמי</t>
  </si>
  <si>
    <t>תמצית סוגיות - 19 כר'</t>
  </si>
  <si>
    <t>קרלנשטיין, חיים זאב</t>
  </si>
  <si>
    <t>תמצית עניני חשן משפט - 2 כר'</t>
  </si>
  <si>
    <t>תמצית - 6 כר'</t>
  </si>
  <si>
    <t>תמר דבורה</t>
  </si>
  <si>
    <t>דרושים, דרושים, דרושים, הלכה ומנהג</t>
  </si>
  <si>
    <t>תמר יהושע</t>
  </si>
  <si>
    <t>בוריסובסקי, משה אהרן בן יהושע חיים</t>
  </si>
  <si>
    <t>תמר שלמה</t>
  </si>
  <si>
    <t>תמרים הניעו ראש</t>
  </si>
  <si>
    <t>פינצי, דוד בן עזריאל</t>
  </si>
  <si>
    <t>תמת ישרים - 2 כר'</t>
  </si>
  <si>
    <t>מוטאל, בנימין בן אברהם</t>
  </si>
  <si>
    <t>תמת מנחם [שיינין]</t>
  </si>
  <si>
    <t>תן חלק לשבעה וגם לשמונה</t>
  </si>
  <si>
    <t>תן תודה</t>
  </si>
  <si>
    <t>תנ"ך &lt;טקסט&gt;</t>
  </si>
  <si>
    <t>תורה. נביאים. כתובים.</t>
  </si>
  <si>
    <t>תנ"ך &lt;עם אותיות הכינויים חלולות&gt;</t>
  </si>
  <si>
    <t>תנ"ך ישראל</t>
  </si>
  <si>
    <t>ברויאר, מרדכי (מגיה)</t>
  </si>
  <si>
    <t>תנ"ך ליסבון רמ"ג</t>
  </si>
  <si>
    <t>תנ"ך ע"פ דעת סופרים &lt;מהדורה ישנה&gt; - 23 כר'</t>
  </si>
  <si>
    <t>תנ"ך עם המסורה - פרשת בראשית</t>
  </si>
  <si>
    <t>סיימן, צבי</t>
  </si>
  <si>
    <t>תנ"ך עם תרגום יהואש - 2 כר'</t>
  </si>
  <si>
    <t>בלומגארטן, שלמה - ברכר, חיים מרדכי הכהן</t>
  </si>
  <si>
    <t>תנ"ך קורן</t>
  </si>
  <si>
    <t>תורה נביאים וכתובים מהדורת קורן</t>
  </si>
  <si>
    <t>תנא דבי אליהו &lt;ישועות יעקב, בן יחיאל&gt; - 2 כר'</t>
  </si>
  <si>
    <t>יעקב בן נפתלי הירץ מברודי</t>
  </si>
  <si>
    <t>תנא דבי אליהו &lt;ישועות יעקב, טובי חיים&gt;</t>
  </si>
  <si>
    <t>תנא דבי אליהו &lt;ישועות יעקב, רמזי אש&gt;</t>
  </si>
  <si>
    <t>תנא דבי אליהו &lt;ישועות יעקב&gt;</t>
  </si>
  <si>
    <t>תנא דבי אליהו &lt;רמתים צופים&gt;</t>
  </si>
  <si>
    <t>תנא דבי אליהו &lt;מענה אליהו&gt;</t>
  </si>
  <si>
    <t>תנא דבי אליהו &lt;מאורי אש, ישועות יעקב&gt;</t>
  </si>
  <si>
    <t>שיק, אברהם בן אריה יהודה ליב</t>
  </si>
  <si>
    <t>תנא דבי אליהו &lt;משנת אליהו&gt;</t>
  </si>
  <si>
    <t>תנא דבי אליהו - כהן, ישעיה</t>
  </si>
  <si>
    <t>תנא דבי אליהו &lt;דפו"ר&gt;</t>
  </si>
  <si>
    <t>תנא דבי אליהו. שנ"ח</t>
  </si>
  <si>
    <t>תנא דבי אליהו זוטא בנוסחא וסדר אחר</t>
  </si>
  <si>
    <t>תנא דבי אליהו</t>
  </si>
  <si>
    <t>תנא דבי אליהו - משלי ע"פ הגר"א</t>
  </si>
  <si>
    <t>תנא דבי אליהו - תשע"ז</t>
  </si>
  <si>
    <t>תנא דבי אליהו - 3 כר'</t>
  </si>
  <si>
    <t>יעקב בן נפתלי הירץ מברודי - שכטר, יעקב מאיר בן ישראל</t>
  </si>
  <si>
    <t>פינס, אליהו בן אהרן</t>
  </si>
  <si>
    <t>תנא דבי אליהו. תר"ם</t>
  </si>
  <si>
    <t>תנא דבי רבי ישמעאל</t>
  </si>
  <si>
    <t>תנא ושייר</t>
  </si>
  <si>
    <t>תנאי הנפש להשגת החסידות</t>
  </si>
  <si>
    <t>תנאים טובים</t>
  </si>
  <si>
    <t>תנה בני לבך לי - 2 כר'</t>
  </si>
  <si>
    <t>תנה הודך</t>
  </si>
  <si>
    <t>תנו כבוד לתורה</t>
  </si>
  <si>
    <t>תנו מבי מדרשא - ז</t>
  </si>
  <si>
    <t>תנו רבנן - 3 כר'</t>
  </si>
  <si>
    <t>ועד רבני בתי כנסיות של אגודת ישראל</t>
  </si>
  <si>
    <t>תנו רבנן - חנוכה</t>
  </si>
  <si>
    <t>תנו רבנן - מסכת כלים א</t>
  </si>
  <si>
    <t>תנובות ברוך &lt;שו"ת&gt;</t>
  </si>
  <si>
    <t>תנובות ברוך - 9 כר'</t>
  </si>
  <si>
    <t>תנובות ברוך - נר ברוך, זכרון ברוך</t>
  </si>
  <si>
    <t>רבינוביץ, ברוך יהושע ירחמיאל בן נתן דוד - נוסבוים, ברוך</t>
  </si>
  <si>
    <t>תנובות השדה - 2 כר'</t>
  </si>
  <si>
    <t>תנובות שדה - 108 כר'</t>
  </si>
  <si>
    <t>המכון למצוות התלויות בארץ</t>
  </si>
  <si>
    <t>תנובות שדי - 2 כר'</t>
  </si>
  <si>
    <t>תנובת יהודה</t>
  </si>
  <si>
    <t>פינק, ראובן בן יצחק</t>
  </si>
  <si>
    <t>מונקץ'  - קראקא</t>
  </si>
  <si>
    <t>תנובת ציון</t>
  </si>
  <si>
    <t>רוזנטל, בן ציון בן קלונימוס קלמן</t>
  </si>
  <si>
    <t>תנובת קציר</t>
  </si>
  <si>
    <t>שפיגל, יונה בן בצלאל קלמן</t>
  </si>
  <si>
    <t>תנובת שדה</t>
  </si>
  <si>
    <t>תנובת שדי - 2 כר'</t>
  </si>
  <si>
    <t>תנועה בחרבות</t>
  </si>
  <si>
    <t>פונד, יוסף</t>
  </si>
  <si>
    <t>תנועת המוסר &lt;מהדורה חדשה&gt; - 5 כר'</t>
  </si>
  <si>
    <t>תנועת המוסר - 5 כר'</t>
  </si>
  <si>
    <t>תש"ו-תשכ"ג</t>
  </si>
  <si>
    <t>תנופה חיים</t>
  </si>
  <si>
    <t>תנופת אהרן</t>
  </si>
  <si>
    <t>תנופת העומר</t>
  </si>
  <si>
    <t>תנופת זהב</t>
  </si>
  <si>
    <t>תנחומא בר יצחק</t>
  </si>
  <si>
    <t>אוסטרוב, תנחום ליב בן יצחק</t>
  </si>
  <si>
    <t>תנחומא הנקרא ילמדנו</t>
  </si>
  <si>
    <t>מדרש תנחומא. ש"ה</t>
  </si>
  <si>
    <t>תנחומות אל</t>
  </si>
  <si>
    <t>של"ח - של"ט</t>
  </si>
  <si>
    <t>תנחומיך ישעשעו נפשי - טאלנא</t>
  </si>
  <si>
    <t>תנחומיך ישעשעו נפשי</t>
  </si>
  <si>
    <t>קוק, אברהם יצחק בן שלמה זלמן - נוימן, זאב</t>
  </si>
  <si>
    <t>תניא רבתי &lt;פרי ישורון&gt; - 2 כר'</t>
  </si>
  <si>
    <t>עניו, יחיאל בן יקותיאל - פלדר, גדליהו</t>
  </si>
  <si>
    <t>תניא רבתי</t>
  </si>
  <si>
    <t>תספורת הזקן במספרים וסם</t>
  </si>
  <si>
    <t>תספורת הזקן</t>
  </si>
  <si>
    <t>תעודה על עלילת דם בירושלים ב-1870</t>
  </si>
  <si>
    <t>שטרנברג, אליעזר</t>
  </si>
  <si>
    <t>תעודות לתולדות הקהלות היהודיות בפולין</t>
  </si>
  <si>
    <t>וויינריב, דוב בן אלעזר</t>
  </si>
  <si>
    <t>נוירק,</t>
  </si>
  <si>
    <t>תעודת שלמה</t>
  </si>
  <si>
    <t>ליפשיץ, שלמה בן משה</t>
  </si>
  <si>
    <t>תעיתי כשה אובד</t>
  </si>
  <si>
    <t>אבוטבול, מאיר חיים</t>
  </si>
  <si>
    <t>תעלומות ומקורות החכמה - 2 כר'</t>
  </si>
  <si>
    <t>רפאל, שבתי בן דניאל</t>
  </si>
  <si>
    <t>תכ"ז</t>
  </si>
  <si>
    <t>תעלומות חכמה</t>
  </si>
  <si>
    <t>תעלומות חכמה - סוכה</t>
  </si>
  <si>
    <t>תעלומות חכמה - א ב</t>
  </si>
  <si>
    <t>רוזנבוים, מנחם בן יונה</t>
  </si>
  <si>
    <t>תרמ"ב - תרמ"ד</t>
  </si>
  <si>
    <t>תעלומות לב - 4 כר'</t>
  </si>
  <si>
    <t>תרל"ט - תרס"ז</t>
  </si>
  <si>
    <t>תעלומות מהחי</t>
  </si>
  <si>
    <t>תעלומות סופרים</t>
  </si>
  <si>
    <t>תעלומת ספר</t>
  </si>
  <si>
    <t>תעלוץ קריה - פסח</t>
  </si>
  <si>
    <t>רבני מודיעין עילית</t>
  </si>
  <si>
    <t>תעלמות חכמה - 3 כר'</t>
  </si>
  <si>
    <t>שפ"ט-[שצ"א],</t>
  </si>
  <si>
    <t>[האנויאה],</t>
  </si>
  <si>
    <t>תענה אמונים - 2 כר'</t>
  </si>
  <si>
    <t>תענוג שבת - 2 כר'</t>
  </si>
  <si>
    <t>ליפשיץ, אריה יהודה ליב בן אברהם אבא</t>
  </si>
  <si>
    <t>מועדי ישראל, שאר ספרי חז"ל</t>
  </si>
  <si>
    <t>תענוגי תורה</t>
  </si>
  <si>
    <t>תענית בכורים וסעודת מצוה בערב פסח</t>
  </si>
  <si>
    <t>קינסטליכר, משה אלכסנדר זושא</t>
  </si>
  <si>
    <t>תערוך לפני שלחן</t>
  </si>
  <si>
    <t>רודיך, יעקב בן אבינעם</t>
  </si>
  <si>
    <t>תערוכת הגדות פסח</t>
  </si>
  <si>
    <t>מאוספו של נתן שטיינר</t>
  </si>
  <si>
    <t>תערוכת ספרים ביבליופליים עבריים</t>
  </si>
  <si>
    <t>יודלוב, יצחק</t>
  </si>
  <si>
    <t>תפארת אבות &lt;כרם ישראל - ספר היחס מטשרנוביל ורוזין&gt;</t>
  </si>
  <si>
    <t>לקט ספרי יחס</t>
  </si>
  <si>
    <t>תפארת אבות &lt;באבוב&gt; - ג</t>
  </si>
  <si>
    <t>תפארת אבות - 2 כר'</t>
  </si>
  <si>
    <t>ויזניץ</t>
  </si>
  <si>
    <t>תפארת אבות</t>
  </si>
  <si>
    <t>וייספיש, מרדכי יצחק</t>
  </si>
  <si>
    <t>וינגוט, ראובן</t>
  </si>
  <si>
    <t>תפארת אבות - 4 כר'</t>
  </si>
  <si>
    <t>רבינוביץ, דוד מתתיהו בן  יחיאל יהושע</t>
  </si>
  <si>
    <t>תפארת אברהם</t>
  </si>
  <si>
    <t>גורדון, פינחס משה בן אברהם אליהו הלוי</t>
  </si>
  <si>
    <t>תפארת אברהם - 3 כר'</t>
  </si>
  <si>
    <t>האגער, חיים יחזקאל</t>
  </si>
  <si>
    <t>הולנדר, אברהם בן שמחה הכהן</t>
  </si>
  <si>
    <t>סלים, אברהם דוד בן נתן</t>
  </si>
  <si>
    <t>רובין, אברהם בן משה</t>
  </si>
  <si>
    <t>תפארת אדם - 3 כר'</t>
  </si>
  <si>
    <t>אסטרייכר, משה דוד בן יוסף שלמה זלמן</t>
  </si>
  <si>
    <t>תפארת אדם</t>
  </si>
  <si>
    <t>ועד תפארת אדם</t>
  </si>
  <si>
    <t>חיים אברהם בן דוד</t>
  </si>
  <si>
    <t>מחשבה ומוסר, קבלה, קבלה, תולדות עם ישראל</t>
  </si>
  <si>
    <t>שלפוברסקי, מיכל דוד</t>
  </si>
  <si>
    <t>תפארת אהרן</t>
  </si>
  <si>
    <t>זינגר, אהרן בן יצחק</t>
  </si>
  <si>
    <t>לנדא, יעקב אהרן בן בצלאל</t>
  </si>
  <si>
    <t>תפארת אירופה - 3 כר'</t>
  </si>
  <si>
    <t>מאסף תורני לסוגיות הלכתיות</t>
  </si>
  <si>
    <t>תפארת איש</t>
  </si>
  <si>
    <t>פרלוב, אלתר ישראל שמעון בן יעקב</t>
  </si>
  <si>
    <t>תפארת אלימלך - 2 כר'</t>
  </si>
  <si>
    <t>וקסמן, צבי אלימלך בן שמואל הלוי</t>
  </si>
  <si>
    <t>תפארת אלעזר - מועדים</t>
  </si>
  <si>
    <t>מנדלביץ, יעקב אלעזר</t>
  </si>
  <si>
    <t>תפארת אריה - 2 כר'</t>
  </si>
  <si>
    <t>סטראטש, משה אריה בן זיסל נחמיה הלוי</t>
  </si>
  <si>
    <t>תפארת אריה</t>
  </si>
  <si>
    <t>פרנקל, יהודה אריה לייב</t>
  </si>
  <si>
    <t>תפארת אריה - הספדא</t>
  </si>
  <si>
    <t>תקנ"ג - תשל"ט</t>
  </si>
  <si>
    <t>ווין - ברוקלין</t>
  </si>
  <si>
    <t>קסטנברג, אברהם יהודה אריה</t>
  </si>
  <si>
    <t>תפארת אשר</t>
  </si>
  <si>
    <t>תפארת בחורים &lt;מהדורה חדשה&gt;</t>
  </si>
  <si>
    <t>רפאל שלום חי בן יוסף הכהן</t>
  </si>
  <si>
    <t>תפארת בחורים</t>
  </si>
  <si>
    <t>תפארת בחורים - גיטין</t>
  </si>
  <si>
    <t>תפארת בית דוד</t>
  </si>
  <si>
    <t>תפארת בית לוי</t>
  </si>
  <si>
    <t>תפארת במקדשו</t>
  </si>
  <si>
    <t>תפארת בנים אבותם - משפחות מזרחי שעיו</t>
  </si>
  <si>
    <t>בר אור מזרחי, גלית אור</t>
  </si>
  <si>
    <t>תפארת בנים אבותם</t>
  </si>
  <si>
    <t>משפחת אונדוייזר</t>
  </si>
  <si>
    <t>תפארת בנים</t>
  </si>
  <si>
    <t>וואזנר, מאיר יהודה הלוי</t>
  </si>
  <si>
    <t>ולך, ישראל</t>
  </si>
  <si>
    <t>טוביאס, משה מרדכי</t>
  </si>
  <si>
    <t>תפארת בנים - 3 כר'</t>
  </si>
  <si>
    <t>טויסיג, בונם יואל</t>
  </si>
  <si>
    <t>תפארת בנים - 5 כר'</t>
  </si>
  <si>
    <t>תפארת בנים - 2 כר'</t>
  </si>
  <si>
    <t>תפארת גדולה</t>
  </si>
  <si>
    <t>תפארת דוד</t>
  </si>
  <si>
    <t>זיבלד, מרדכי דוד</t>
  </si>
  <si>
    <t>לייבאוויטש, חיים דוד הכהן</t>
  </si>
  <si>
    <t>שמידמאן, יהודה אריה ליב בן משה אהרן (עורך)</t>
  </si>
  <si>
    <t>תפארת האדם</t>
  </si>
  <si>
    <t>תפארת הברית</t>
  </si>
  <si>
    <t>רז, משה יוחאי בן אלעזר</t>
  </si>
  <si>
    <t>תפארת הגרי"ז</t>
  </si>
  <si>
    <t>יאדלר, יצחק זאב בן יהודה דוד</t>
  </si>
  <si>
    <t>הלכה ומנהג, שלחן ערוך ומפרשיו, תולדות עם ישראל, תולדות עם ישראל, תלמוד בבלי, תלמוד בבלי</t>
  </si>
  <si>
    <t>תפארת הגרשוני &lt;מהדורה חדשה&gt; - 2 כר'</t>
  </si>
  <si>
    <t>תפארת הגרשוני - 2 כר'</t>
  </si>
  <si>
    <t>תפארת הדורות - 2 כר'</t>
  </si>
  <si>
    <t>סחייק, דוד - כובני, רותם</t>
  </si>
  <si>
    <t>תפארת הזקן</t>
  </si>
  <si>
    <t>תפארת החג - 4 כר'</t>
  </si>
  <si>
    <t>תפארת החנוכי</t>
  </si>
  <si>
    <t>תפארת הטהרה</t>
  </si>
  <si>
    <t>תפארת היהודי</t>
  </si>
  <si>
    <t>תפארת המועדים</t>
  </si>
  <si>
    <t>תפארת המשנה</t>
  </si>
  <si>
    <t>רובינשטיין, משה נתן הלוי</t>
  </si>
  <si>
    <t>תפארת הצבי</t>
  </si>
  <si>
    <t>תפארת הצדיקים</t>
  </si>
  <si>
    <t>תפארת הקודש - 2 כר'</t>
  </si>
  <si>
    <t>שלמה בן ישראל</t>
  </si>
  <si>
    <t>תפארת השבת - 5 כר'</t>
  </si>
  <si>
    <t>התאחדות אברכי תפארת ירושלים</t>
  </si>
  <si>
    <t>תפארת השבת</t>
  </si>
  <si>
    <t>תפארת השבת - 2 כר'</t>
  </si>
  <si>
    <t>שמעיה, שלמה זלמן בן יוסף צבי</t>
  </si>
  <si>
    <t>תפארת השבת - 7 כר'</t>
  </si>
  <si>
    <t>תפארת השולחן</t>
  </si>
  <si>
    <t>תפארת השמחה</t>
  </si>
  <si>
    <t>תפארת התורה</t>
  </si>
  <si>
    <t>גולדברג, יחיאל יהושע בן מיכאל</t>
  </si>
  <si>
    <t>תפארת זבולן</t>
  </si>
  <si>
    <t>גרז, זבולן</t>
  </si>
  <si>
    <t>תפארת זיו - 2 כר'</t>
  </si>
  <si>
    <t>תרנ"ו - תרצ"ט</t>
  </si>
  <si>
    <t>תפארת חיים - 2 כר'</t>
  </si>
  <si>
    <t>תפארת חיים</t>
  </si>
  <si>
    <t>משה, גלעד</t>
  </si>
  <si>
    <t>שוחט, אברהם חיים</t>
  </si>
  <si>
    <t>תפארת חן</t>
  </si>
  <si>
    <t>תפארת חתנים</t>
  </si>
  <si>
    <t>גרוסמן, שמשון אייזיק בן ישראל</t>
  </si>
  <si>
    <t>תפארת ידידיה</t>
  </si>
  <si>
    <t>תר"פ - תרפ"א</t>
  </si>
  <si>
    <t>תפארת יהונתן</t>
  </si>
  <si>
    <t>אייבשיץ, יהונתן בן מרדכי בונם</t>
  </si>
  <si>
    <t>תפארת יהושע</t>
  </si>
  <si>
    <t>בלכרוביץ, יעקב יהושע בן יצחק</t>
  </si>
  <si>
    <t>פריעד, יהושע העשיל</t>
  </si>
  <si>
    <t>תפארת יונה - 7 כר'</t>
  </si>
  <si>
    <t>קובץ מתיבתא תפארת יונה</t>
  </si>
  <si>
    <t>תפארת יוסף</t>
  </si>
  <si>
    <t>בישיץ, משה צבי בן יוסף</t>
  </si>
  <si>
    <t>תפארת יוסף - 2 כר'</t>
  </si>
  <si>
    <t>תפארת יוסף - 3 כר'</t>
  </si>
  <si>
    <t>פרסבורגר, יוסף בן בצלאל</t>
  </si>
  <si>
    <t>תש"ג - תש"ד</t>
  </si>
  <si>
    <t>תפארת יחזקאל - 2 כר'</t>
  </si>
  <si>
    <t>טויסיג, יחזקאל</t>
  </si>
  <si>
    <t>תפארת יעקב  יוסף</t>
  </si>
  <si>
    <t>יעקב יוסף בן פנחס מאוסטרהא</t>
  </si>
  <si>
    <t>מועדי ישראל, משנה, נושאים שונים, תלמוד בבלי, תלמוד ירושלמי, תנ"ך</t>
  </si>
  <si>
    <t>תפארת יעקב מנחת אליהו</t>
  </si>
  <si>
    <t>לוי, יעקב אליהו</t>
  </si>
  <si>
    <t>תפארת יעקב - 10 כר'</t>
  </si>
  <si>
    <t>גזונדהייט, יעקב בן יצחק</t>
  </si>
  <si>
    <t>תפארת יעקב</t>
  </si>
  <si>
    <t>דיין, יעקב</t>
  </si>
  <si>
    <t>זיסילמאן, יעקב צבי בן משה אליעזר</t>
  </si>
  <si>
    <t>פינק, יעקב</t>
  </si>
  <si>
    <t>הלכה ומנהג, מחשבה ומוסר, משנה, שאלות ותשובות, תנ"ך</t>
  </si>
  <si>
    <t>תפארת יעקב - 2 כר'</t>
  </si>
  <si>
    <t>קרויזר, יעקב זונדל בן מרדכי יהושע</t>
  </si>
  <si>
    <t>שפירא, יעקב צבי בן יששכר</t>
  </si>
  <si>
    <t>תפארת יצחק</t>
  </si>
  <si>
    <t>תפארת יצחק - על ספר הזכרון</t>
  </si>
  <si>
    <t>פרידמן, יצחק אייזיק</t>
  </si>
  <si>
    <t>תפארת יצחק - 2 כר'</t>
  </si>
  <si>
    <t>תפארת ירושלים &lt;מהדורה חדשה&gt; - 2 כר'</t>
  </si>
  <si>
    <t>תפארת ירושלים ואמרי שפ"ר</t>
  </si>
  <si>
    <t>תפארת ירושלם - א</t>
  </si>
  <si>
    <t>תפארת יריחו</t>
  </si>
  <si>
    <t>תפארת ירשלים - ב</t>
  </si>
  <si>
    <t>תפארת ישראל &lt;מהדורת פרדס&gt;</t>
  </si>
  <si>
    <t>תפארת ישראל &lt;מכון ירושלים&gt; - 3 כר'</t>
  </si>
  <si>
    <t>תפארת ישראל &lt;זרע ישראל&gt;</t>
  </si>
  <si>
    <t>תפארת ישראל &lt;מהדורה חדשה&gt;</t>
  </si>
  <si>
    <t>תפארת ישראל &lt;מהדורה חדשה&gt; - א</t>
  </si>
  <si>
    <t>פריימאן, מנשה בן ישראל יהודה</t>
  </si>
  <si>
    <t>תפארת ישראל בארץ ישראל</t>
  </si>
  <si>
    <t>תפארת ישראל</t>
  </si>
  <si>
    <t>פשעמישל</t>
  </si>
  <si>
    <t>תפארת ישראל - א</t>
  </si>
  <si>
    <t>ארגון תפארת בית ישראל</t>
  </si>
  <si>
    <t>דרושים, מחשבה ומוסר, מחשבה ומוסר, נושאים שונים, תנ"ך</t>
  </si>
  <si>
    <t>תפארת ישראל - בבא בתרא</t>
  </si>
  <si>
    <t>תפארת ישראל - 3 כר'</t>
  </si>
  <si>
    <t>תפארת ישראל - 4 כר'</t>
  </si>
  <si>
    <t>תפארת ישראל - 2 כר'</t>
  </si>
  <si>
    <t>ישראל בן שלמה חריף</t>
  </si>
  <si>
    <t>לוי, ישראל בן נחום</t>
  </si>
  <si>
    <t>פישמן, ישראל</t>
  </si>
  <si>
    <t>תפארת ישראל - 60 כר'</t>
  </si>
  <si>
    <t>קובץ לתורה וחסידות לחסידי בית ריז'ין</t>
  </si>
  <si>
    <t>קפלן, יוסף בן ישראל חיים</t>
  </si>
  <si>
    <t>שיינקמאן, ישראל בן יעקב</t>
  </si>
  <si>
    <t>שונות, תלמוד בבלי, תנ"ך</t>
  </si>
  <si>
    <t>תפארת למשה</t>
  </si>
  <si>
    <t>הורוויץ, משה משולם בן פינחס הלוי</t>
  </si>
  <si>
    <t>תפארת למשה - 4 כר'</t>
  </si>
  <si>
    <t>תפארת למשה - ספר זכרון</t>
  </si>
  <si>
    <t>לזכרון רבי משה שמעון מירניק</t>
  </si>
  <si>
    <t>תפארת למשה - 2 כר'</t>
  </si>
  <si>
    <t>משה בן אברהם מגזע צבי</t>
  </si>
  <si>
    <t>קובץ מכון תפארת למשה</t>
  </si>
  <si>
    <t>תפארת למשה, זכרון משה, אבל רב</t>
  </si>
  <si>
    <t>תפארת מהר"ם</t>
  </si>
  <si>
    <t>לייפר, יצחק בן יעקב</t>
  </si>
  <si>
    <t>תפארת מהרא"ל משפאלי</t>
  </si>
  <si>
    <t>תפארת מהרשי"ם</t>
  </si>
  <si>
    <t>תפארת מנחם</t>
  </si>
  <si>
    <t>תפארת מנחם - ב</t>
  </si>
  <si>
    <t>מנחם נחום מטשנוביץ - הורנשטין, יוסף יצחק בן יואל הכהן</t>
  </si>
  <si>
    <t>פרידמאן, מנחם נחום בן יצחק</t>
  </si>
  <si>
    <t>תפארת מנחם - 4 כר'</t>
  </si>
  <si>
    <t>פרייס, מנחם מנדל בן יצחק ליפמאן הלוי</t>
  </si>
  <si>
    <t>תפארת מנחם - א</t>
  </si>
  <si>
    <t>קטשוילי, מנחם מענדל בן יוסף</t>
  </si>
  <si>
    <t>שאפראניק, מנחם מנדל בן גבריאל</t>
  </si>
  <si>
    <t>תפארת מנחם - ברית אברהם</t>
  </si>
  <si>
    <t>שבתאי שני, יוסף</t>
  </si>
  <si>
    <t>תשל"ט - תשס"ה</t>
  </si>
  <si>
    <t>תפארת מרדכי</t>
  </si>
  <si>
    <t>גינצבורג, מרדכי בן שלום גרשון</t>
  </si>
  <si>
    <t>תפארת מרדכי - 4 כר'</t>
  </si>
  <si>
    <t>תפארת מרדכי - עירובין</t>
  </si>
  <si>
    <t>קובץ לזכרו של רבי מרדכי שמחה</t>
  </si>
  <si>
    <t>תפארת משה</t>
  </si>
  <si>
    <t>בלוי, משה מדוקלא</t>
  </si>
  <si>
    <t>הופמאן, משה שמעון בן אברהם דוד סג"ל</t>
  </si>
  <si>
    <t>הכהן, משה זאב בן שאול</t>
  </si>
  <si>
    <t>שלמה זלמן זאב וולף בן יחזקאל פייבל</t>
  </si>
  <si>
    <t>תפארת משולם</t>
  </si>
  <si>
    <t>באב"ד, אברהם קלונימוס קלמן יהושע העשיל</t>
  </si>
  <si>
    <t>תפארת מתתיהו</t>
  </si>
  <si>
    <t>דושינסקי, מתתיהו בן ישראל</t>
  </si>
  <si>
    <t>תפארת נפתלי - 4 כר'</t>
  </si>
  <si>
    <t>הניג, נפתלי הירצקא</t>
  </si>
  <si>
    <t>תפארת סעודה</t>
  </si>
  <si>
    <t>פיניא, דוד</t>
  </si>
  <si>
    <t>תפארת עוזיאל - 4 כר'</t>
  </si>
  <si>
    <t>תפארת עזך</t>
  </si>
  <si>
    <t>תפארת עמיחי</t>
  </si>
  <si>
    <t>תפארת צב"י - 2 כר'</t>
  </si>
  <si>
    <t>תפארת צבי זאב</t>
  </si>
  <si>
    <t>צבי זאב בן יחיאל מיכל מזלוטשוב</t>
  </si>
  <si>
    <t>תפארת צבי יעקב</t>
  </si>
  <si>
    <t>ווידאווסקי, צבי יעקב</t>
  </si>
  <si>
    <t>תפארת צבי</t>
  </si>
  <si>
    <t>אוביס, צבי אביגדור</t>
  </si>
  <si>
    <t>אלבינגר, צבי הירש בן אברהם יהודה</t>
  </si>
  <si>
    <t>האס, צבי שמעון בן בנימין</t>
  </si>
  <si>
    <t>תפארת צבי - 4 כר'</t>
  </si>
  <si>
    <t>משה אהרן מזלוטשוב</t>
  </si>
  <si>
    <t>פלדמן, צבי בן אברהם שמואל</t>
  </si>
  <si>
    <t>תפארת צבי - 2 כר'</t>
  </si>
  <si>
    <t>צבי הירש בן ישראל בנימין בישקו</t>
  </si>
  <si>
    <t>צבי הירש בן ניסן</t>
  </si>
  <si>
    <t>תפארת צבי - 10 כר'</t>
  </si>
  <si>
    <t>תפארת צבי - 3 כר'</t>
  </si>
  <si>
    <t>תרס"ט - תרע"ד</t>
  </si>
  <si>
    <t>רוזנטל, צבי בן יעקב שלמה</t>
  </si>
  <si>
    <t>תפארת ציון &lt;מדרש רבה&gt; - 16 כר'</t>
  </si>
  <si>
    <t>תפארת ציון &lt;משניות &gt; - 6 כר'</t>
  </si>
  <si>
    <t>תפארת ציון &lt;על הש"ס&gt; - 3 כר'</t>
  </si>
  <si>
    <t>תפארת ציון &lt;על התורה&gt; - 4 כר'</t>
  </si>
  <si>
    <t>תפארת ציון &lt;על מגילות&gt; - קהלת</t>
  </si>
  <si>
    <t>תפארת ציון</t>
  </si>
  <si>
    <t>מכון אור לציון</t>
  </si>
  <si>
    <t>קואינקה, בן ציון אברהם</t>
  </si>
  <si>
    <t>קובץ ישיבת תפארת ציון</t>
  </si>
  <si>
    <t>ריבקין, משה דובער בן בן ציון</t>
  </si>
  <si>
    <t>תפארת קוזמי (ענייני בר מצוה)</t>
  </si>
  <si>
    <t>תפארת ראדזין - 3 כר'</t>
  </si>
  <si>
    <t>תפארת ראובן</t>
  </si>
  <si>
    <t>כץ, ראובן הכהן</t>
  </si>
  <si>
    <t>תפארת רבותינו מאלכסנדר</t>
  </si>
  <si>
    <t>מקובר, יהודה לייביש בן זאב וואלף</t>
  </si>
  <si>
    <t>תפארת רדומסק - 2 כר'</t>
  </si>
  <si>
    <t>מוסדות רדומסק</t>
  </si>
  <si>
    <t>תפארת רפאל - נשים-נזיקין</t>
  </si>
  <si>
    <t>תפארת רפאל</t>
  </si>
  <si>
    <t>סוויד, רפאל בן יוסף</t>
  </si>
  <si>
    <t>תפארת שאול</t>
  </si>
  <si>
    <t>מור יוסף, אליהו</t>
  </si>
  <si>
    <t>תפארת שאול - 4 כר'</t>
  </si>
  <si>
    <t>תרנ"ט-תר"ס,</t>
  </si>
  <si>
    <t>תולדות הרה"ג ר' שאול קוסובסקי-שחור זללה"ה</t>
  </si>
  <si>
    <t>תפארת שב"ת</t>
  </si>
  <si>
    <t>כולל תפארת שלום ושמש</t>
  </si>
  <si>
    <t>תפארת שבמלכות</t>
  </si>
  <si>
    <t>תפארת שבת</t>
  </si>
  <si>
    <t>הירשלר, בנימין זאב בן צבי</t>
  </si>
  <si>
    <t>Satoraljaujhely אוי</t>
  </si>
  <si>
    <t>תפארת שיבה</t>
  </si>
  <si>
    <t>צונץ, יום טוב ליפמאן בן מנחם</t>
  </si>
  <si>
    <t>מחשבה ומוסר, נושאים שונים, נושאים שונים, קבצים וכתבי עת, ספרי זכרון ויובל, תפלות בקשות פיוטים ושירה</t>
  </si>
  <si>
    <t>תפארת שלום</t>
  </si>
  <si>
    <t>לנדמן, שלום</t>
  </si>
  <si>
    <t>תפארת שלמה  &lt;מהדורה חדשה&gt; - 2 כר'</t>
  </si>
  <si>
    <t>תפארת שלמה  &lt;מהדורת ספרי אוה"ח&gt; - 2 כר'</t>
  </si>
  <si>
    <t>תפארת שלמה</t>
  </si>
  <si>
    <t>פרידלנדר, שלמה טוביה בן שלמה טוביה הלוי</t>
  </si>
  <si>
    <t>תפארת שלמה - א ב"ק כיצד הרגל</t>
  </si>
  <si>
    <t>קובץ ישיבת עטרת שלמה</t>
  </si>
  <si>
    <t>תפארת שלמה - 2 כר'</t>
  </si>
  <si>
    <t>דרושים, חסידות, תפלות בקשות פיוטים ושירה</t>
  </si>
  <si>
    <t>תפארת שלמה - דרוש סוד הגילגל</t>
  </si>
  <si>
    <t>שטרן, שלמה זלמן</t>
  </si>
  <si>
    <t>אראדעא</t>
  </si>
  <si>
    <t>תפארת שמואל &lt;מהדורה חדשה&gt; - 2 כר'</t>
  </si>
  <si>
    <t>תפארת שמואל</t>
  </si>
  <si>
    <t>ברודסקי, יעקב שמואל בן אברהם ישעיה</t>
  </si>
  <si>
    <t>תפארת שמואל - 3 כר'</t>
  </si>
  <si>
    <t>תפארת שמואל - 2 כר'</t>
  </si>
  <si>
    <t>תרפ"ה - תר"צ</t>
  </si>
  <si>
    <t>חסידות, מועדי ישראל, נושאים שונים, תולדות עם ישראל, תנ"ך</t>
  </si>
  <si>
    <t>תפארת שמואל - ארחותיו ומשנתו של רבי שמואל אויערבך</t>
  </si>
  <si>
    <t>וינר, ישראל יהודה</t>
  </si>
  <si>
    <t>תפארת שמואל - התכונה והעיבור</t>
  </si>
  <si>
    <t>קופמאן, שמואל בן אברהם דוד</t>
  </si>
  <si>
    <t>מועדי ישראל, מחשבה ומוסר, משנה, נושאים שונים, שאר ספרי חז"ל, תולדות עם ישראל, תלמוד בבלי, תנ"ך</t>
  </si>
  <si>
    <t>תפארת שמשון - 6 כר'</t>
  </si>
  <si>
    <t>תפארת שמשון</t>
  </si>
  <si>
    <t>קובץ דברי תורה בהלכה ובחסידות</t>
  </si>
  <si>
    <t>תפארת שרגא - 3 כר'</t>
  </si>
  <si>
    <t>קובץ ישיבת תפארת שרגא</t>
  </si>
  <si>
    <t>תפארת תורה - 3 כר'</t>
  </si>
  <si>
    <t>תפארת תימן - הרב יחזקאל שרעבי</t>
  </si>
  <si>
    <t>עוברני, ישראל</t>
  </si>
  <si>
    <t>תפארת - 12 כר'</t>
  </si>
  <si>
    <t>תפארתה של תורה</t>
  </si>
  <si>
    <t>תפארתך ירושלים - 3 כר'</t>
  </si>
  <si>
    <t>תפוח בעצי היער</t>
  </si>
  <si>
    <t>תפוחי זהב במשכיות כסף - 2 כר'</t>
  </si>
  <si>
    <t>אמסלם, מכלוף בן יצחק</t>
  </si>
  <si>
    <t>תפוחי זהב</t>
  </si>
  <si>
    <t>תפוחי זהב - 5 כר'</t>
  </si>
  <si>
    <t>תפוחי זהב - 3 כר'</t>
  </si>
  <si>
    <t>טריוויש, אליעזר בן נפתלי הירץ</t>
  </si>
  <si>
    <t>תפוחי חיים - על מסכתות הש"ס</t>
  </si>
  <si>
    <t>דרושים, חסידות, מועדי ישראל, תלמוד בבלי</t>
  </si>
  <si>
    <t>תפוחי חיים - 8 כר'</t>
  </si>
  <si>
    <t>תפילה בכוונה &lt;נוסח בלאדי&gt;</t>
  </si>
  <si>
    <t>תפילה דיליה</t>
  </si>
  <si>
    <t>תפילה ותחינה</t>
  </si>
  <si>
    <t>תפילה כהלכתה</t>
  </si>
  <si>
    <t>תפילה כמנהג ק"ק אשכנזים - שבת</t>
  </si>
  <si>
    <t>תפילה לאיש - עלינו לשבח</t>
  </si>
  <si>
    <t>תפילה לאל חיי</t>
  </si>
  <si>
    <t>וועד להוצאת כתבי הרב עזיאל</t>
  </si>
  <si>
    <t>תפילה לדוד</t>
  </si>
  <si>
    <t>תפילה לדוד - 3 כר'</t>
  </si>
  <si>
    <t>הכהן, דוד</t>
  </si>
  <si>
    <t>תפילה למשה - 2 כר'</t>
  </si>
  <si>
    <t>תפילה למשה</t>
  </si>
  <si>
    <t>סופר, משה בן שמואל - ווייס יעקב</t>
  </si>
  <si>
    <t>תפילה לשלמה</t>
  </si>
  <si>
    <t>יוניוב, דרור</t>
  </si>
  <si>
    <t>תפילה מרבי ישמעאל כהן גדול</t>
  </si>
  <si>
    <t>תפילה תשובה תורה</t>
  </si>
  <si>
    <t>חסידות בפשיטות</t>
  </si>
  <si>
    <t>תפילות וחיזוקים &lt;מהדורה חדשה&gt;</t>
  </si>
  <si>
    <t>תפילות וחיזוקים</t>
  </si>
  <si>
    <t>תפילות ומאמרים לכלה</t>
  </si>
  <si>
    <t>תפילות כהלכה</t>
  </si>
  <si>
    <t>תפילות לחתן ולכלה ביום החופה</t>
  </si>
  <si>
    <t>תפילות לציון דוד המלך ומלכי בית דוד</t>
  </si>
  <si>
    <t>תפילות נוראות ושבחות והודאות וזמירות ישראל</t>
  </si>
  <si>
    <t>נאג'ארה, ישראל בן משה - אוירבאך, משולם זלמן בן יעקב אלעזר</t>
  </si>
  <si>
    <t>תפילין אות וטוטפת</t>
  </si>
  <si>
    <t>תפילין דמרי עלמא - 2 כר'</t>
  </si>
  <si>
    <t>תפילין ומזוזות כהלכתן</t>
  </si>
  <si>
    <t>תפילין של רא"ש</t>
  </si>
  <si>
    <t>תפילת אמת</t>
  </si>
  <si>
    <t>תפילת דוד - נפש דוד</t>
  </si>
  <si>
    <t>תפילת הדרך והלכותיה, תיקון חצות, קריעה על המקדש</t>
  </si>
  <si>
    <t>תפילת העמידה לחול ע"פ הגניזה הקהירית</t>
  </si>
  <si>
    <t>לוגר, יחזקאל</t>
  </si>
  <si>
    <t>תפילת הצדיקים</t>
  </si>
  <si>
    <t>רבינוביץ, מתתיהו</t>
  </si>
  <si>
    <t>חסידות, תולדות עם ישראל, תפלות בקשות פיוטים ושירה, תפלות בקשות פיוטים ושירה</t>
  </si>
  <si>
    <t>תפילת זאב</t>
  </si>
  <si>
    <t>תפילת חנה</t>
  </si>
  <si>
    <t>תפילת יעקב - 2 כר'</t>
  </si>
  <si>
    <t>תפילת ישרים</t>
  </si>
  <si>
    <t>תפילת מנחה וערבית עמידת יהונתן</t>
  </si>
  <si>
    <t>תפילת מרדכי</t>
  </si>
  <si>
    <t>תפילת משה - קידוש ומזמורים</t>
  </si>
  <si>
    <t>קידוש ומזמורים</t>
  </si>
  <si>
    <t>תפילת נשמת כל חי המבוארת</t>
  </si>
  <si>
    <t>דלויה, יוסף חיים</t>
  </si>
  <si>
    <t>תפילת נשמת - מפורש ומבואר</t>
  </si>
  <si>
    <t>ליקוט מפרשים</t>
  </si>
  <si>
    <t>תפילת שמו"ע לפי נוסח פרס ובוכרה</t>
  </si>
  <si>
    <t>תפילת שמונה עשרה ויסודות האמונה</t>
  </si>
  <si>
    <t>ביק, עזרא בן ישעיהו</t>
  </si>
  <si>
    <t>תפילת שמונה עשרה וקרבן התמיד</t>
  </si>
  <si>
    <t>הירש, שמשון רפאל</t>
  </si>
  <si>
    <t>תפיסה בקנס</t>
  </si>
  <si>
    <t>אידלשטיין ,יהושע</t>
  </si>
  <si>
    <t>תפירה תמה</t>
  </si>
  <si>
    <t>אקער, יעקב בן צבי</t>
  </si>
  <si>
    <t>תפלה אשר יסדו הרבנים</t>
  </si>
  <si>
    <t>פראג. הקהילה היהודית</t>
  </si>
  <si>
    <t>תפלה זו קבלה מר"ת (תפילת הדרך)</t>
  </si>
  <si>
    <t>יעקב בן מאיר (רבינו תם). מיוחס לו</t>
  </si>
  <si>
    <t>תפלה זכה - 2 כר'</t>
  </si>
  <si>
    <t>תפלה ישרה וכתר נהורא השלם</t>
  </si>
  <si>
    <t>תפילות. פרמישלה. תרפ"ט</t>
  </si>
  <si>
    <t>תפלה ישרה - ראדוויל נוסח ספרד</t>
  </si>
  <si>
    <t>ראדוויל</t>
  </si>
  <si>
    <t>תפלה לדוד</t>
  </si>
  <si>
    <t>[תרמ"ז],</t>
  </si>
  <si>
    <t>קאלאמעא,</t>
  </si>
  <si>
    <t>ישיבת השלום</t>
  </si>
  <si>
    <t>עמאר, דוד בן שמואל</t>
  </si>
  <si>
    <t>קארקו, דוד בן יוסף</t>
  </si>
  <si>
    <t>תפלה לומר על קברי הצדיקים</t>
  </si>
  <si>
    <t>תפלה למשה &lt;מהדורה ראשונה&gt;</t>
  </si>
  <si>
    <t>אייכנשטיין, משה בן יצחק איזיק</t>
  </si>
  <si>
    <t>[תרט"ז].</t>
  </si>
  <si>
    <t>תפלה למשה &lt;דפו"ר&gt;</t>
  </si>
  <si>
    <t>תפלה למשה (קורדובירו) - 2 כר'</t>
  </si>
  <si>
    <t>תפלה למשה - 2 כר'</t>
  </si>
  <si>
    <t>תפלה למשה - 3 כר'</t>
  </si>
  <si>
    <t>תפלה למשה - אורות יהושע - אלול, תשרי</t>
  </si>
  <si>
    <t>תפלה למשה</t>
  </si>
  <si>
    <t>כהן, משה בן שאול - כהן, שאול בן משה</t>
  </si>
  <si>
    <t>תפלה למשה - 7 כר'</t>
  </si>
  <si>
    <t>תפלה מכל השנה</t>
  </si>
  <si>
    <t>תפילות. סידור. שנ"ז. קרקוב</t>
  </si>
  <si>
    <t>תפלה מכל השנה - 2 כר'</t>
  </si>
  <si>
    <t>תפילות. סידור. תנ"ט. ברלין</t>
  </si>
  <si>
    <t>תפלה נכונה לשאלת רחמים</t>
  </si>
  <si>
    <t>אמשטרדאם. קהילת הספרדים</t>
  </si>
  <si>
    <t>תפלה שלימה</t>
  </si>
  <si>
    <t>תפלה</t>
  </si>
  <si>
    <t>ראווינה, יוסף בן מיכאל</t>
  </si>
  <si>
    <t>תפלות יום כפור קטון</t>
  </si>
  <si>
    <t>ווירמש, הירש</t>
  </si>
  <si>
    <t>תפלות ישראל</t>
  </si>
  <si>
    <t>תפלות כל השנה - 2 כר'</t>
  </si>
  <si>
    <t>תפלות. סדור. ר"ן. ליסבון</t>
  </si>
  <si>
    <t>ליסבון</t>
  </si>
  <si>
    <t>תפלות לזמני השנה</t>
  </si>
  <si>
    <t>קובץ תפלות</t>
  </si>
  <si>
    <t>תפלות לכל השנה מנהג אשכנז</t>
  </si>
  <si>
    <t>תפילות. סידור. ר"נ לערך. איטליה</t>
  </si>
  <si>
    <t>ר"נ לערך</t>
  </si>
  <si>
    <t>תפלות לכל השנה</t>
  </si>
  <si>
    <t>תפילות. סידור. רע"ט. פרג</t>
  </si>
  <si>
    <t>תפילות. סידור. רפ"ז. פרג</t>
  </si>
  <si>
    <t>תפלות ללימוד התורה - שמות הצדיקים - עין זוכר</t>
  </si>
  <si>
    <t>ספרי ברסלב</t>
  </si>
  <si>
    <t>תפלות לרמח"ל &lt;תקט"ו תפלות, טו"ב התפלות&gt;</t>
  </si>
  <si>
    <t>תפלות מכל השנה כמנהג פולן</t>
  </si>
  <si>
    <t>תפילות. סידור. ת"ח. לובלין</t>
  </si>
  <si>
    <t>תפלות מכל השנה עם כמה פרושים</t>
  </si>
  <si>
    <t>תפילות. סידור. רפ"ה. טרינו</t>
  </si>
  <si>
    <t>טרינו Trino</t>
  </si>
  <si>
    <t>תפלות מכל השנה</t>
  </si>
  <si>
    <t>סידור כמנהג פולין. של"ח</t>
  </si>
  <si>
    <t>תפילות. סידור. שמ"ב. לובלין</t>
  </si>
  <si>
    <t>תפלת בית עלמין</t>
  </si>
  <si>
    <t>תפלת הדרך - 2 כר'</t>
  </si>
  <si>
    <t>תפלת החדש (עם תרגום הודי)</t>
  </si>
  <si>
    <t>תפילות. סידור. תרפ"ה. בומבי</t>
  </si>
  <si>
    <t>תפלת החדש</t>
  </si>
  <si>
    <t>תפילות. סידור. תרנ"ג. ליוורנו</t>
  </si>
  <si>
    <t>תפלת הקדיש - 2 כר'</t>
  </si>
  <si>
    <t>הלכה ומנהג, הלכה ומנהג, תולדות עם ישראל, תפלות בקשות פיוטים ושירה</t>
  </si>
  <si>
    <t>תפלת השל"ה הקדוש</t>
  </si>
  <si>
    <t>תפלת חיים - 2 כר'</t>
  </si>
  <si>
    <t>רובינשטיין, חיים ראובן בן יוסף</t>
  </si>
  <si>
    <t>תרע"ג - תרצ"ה</t>
  </si>
  <si>
    <t>מחשבה ומוסר, שאלות ותשובות, תפלות בקשות פיוטים ושירה</t>
  </si>
  <si>
    <t>תפלת ישראל עם דרך החיים</t>
  </si>
  <si>
    <t>תפילות. סידור. תקצ"ג. אוסטרה</t>
  </si>
  <si>
    <t>(אוסטרא),</t>
  </si>
  <si>
    <t>תפילות. סידור. תרנ"ה. ורשה</t>
  </si>
  <si>
    <t>תפלת ישרים עם שרח פי אל ערבי</t>
  </si>
  <si>
    <t>תפילות. סידור. תרצ"ח. ירושלים</t>
  </si>
  <si>
    <t>תפלת ישרים</t>
  </si>
  <si>
    <t>סדר תפילות כמנהג ספרדים</t>
  </si>
  <si>
    <t>תפילות. סידור. תרנ"ח. ורשה</t>
  </si>
  <si>
    <t>תפלת כל לב</t>
  </si>
  <si>
    <t>תפלת כל פה &lt;למודי ה'&gt; - ב</t>
  </si>
  <si>
    <t>תפילות. סידור. תר"ח. ליוורנו</t>
  </si>
  <si>
    <t>תפלת מרדכי - 2 כר'</t>
  </si>
  <si>
    <t>תפלת שער השמים</t>
  </si>
  <si>
    <t>[תרע"ה</t>
  </si>
  <si>
    <t>תפלת ששון ושמחה</t>
  </si>
  <si>
    <t>תפסיר זוהר שבת ומשנה שבת</t>
  </si>
  <si>
    <t>יצחק בן ארבאב הכהן סמרקנדי</t>
  </si>
  <si>
    <t>תפסיר רס"ג לספר דניאל</t>
  </si>
  <si>
    <t>תפקיד הבריאה והאנושות</t>
  </si>
  <si>
    <t>תפקיד היהדות התורנית בשעה זו</t>
  </si>
  <si>
    <t>תפקידה ההיסטורי של עירק (אשור ובבל)</t>
  </si>
  <si>
    <t>תפתה ערוך &lt;מהדורה חדשה&gt;</t>
  </si>
  <si>
    <t>תפתה ערוך - 3 כר'</t>
  </si>
  <si>
    <t>תצא תורה</t>
  </si>
  <si>
    <t>תקומת החיים היהודיים באירופה</t>
  </si>
  <si>
    <t>ועידת רבני אירופה</t>
  </si>
  <si>
    <t>תקון אליעזר</t>
  </si>
  <si>
    <t>תקון דרך החיים</t>
  </si>
  <si>
    <t>תקון האדם</t>
  </si>
  <si>
    <t>תקון הברית (ועוד מאמרים)</t>
  </si>
  <si>
    <t>תקון הכללי עם כוונות וביאורים</t>
  </si>
  <si>
    <t>תקון המדות</t>
  </si>
  <si>
    <t>תקון הסופר והקורא</t>
  </si>
  <si>
    <t>תנ"ך. תר"ס. רדלהים</t>
  </si>
  <si>
    <t>תנ"ך. תר"ף</t>
  </si>
  <si>
    <t>תקון השולחן</t>
  </si>
  <si>
    <t>די ליאון, יעקב</t>
  </si>
  <si>
    <t>תקון השלחן</t>
  </si>
  <si>
    <t>תקון חצות וסליחות</t>
  </si>
  <si>
    <t>תיקונים. חצות. תרע"ג</t>
  </si>
  <si>
    <t>תיקונים. חצות. תרפ"ג</t>
  </si>
  <si>
    <t>תקון חצות לומר בין המצרים אחר חצות היום</t>
  </si>
  <si>
    <t>תיקונים. חצות. תקפ"ב</t>
  </si>
  <si>
    <t>תקון חצות מתוק מדבש</t>
  </si>
  <si>
    <t>תקון חצות</t>
  </si>
  <si>
    <t>תקון חצות - 2 כר'</t>
  </si>
  <si>
    <t>תיקונים. חצות. תר"ץ</t>
  </si>
  <si>
    <t>תיקונים. חצות. תרנ"ז. ירושלים</t>
  </si>
  <si>
    <t>תיקונים. חצות. תרע"ד</t>
  </si>
  <si>
    <t>תקון יום העצמאות</t>
  </si>
  <si>
    <t>תפילות. יום העצמאות. תשט"ו. ירושלים</t>
  </si>
  <si>
    <t>תקון ימי פסח</t>
  </si>
  <si>
    <t>תקון כרת - 2 כר'</t>
  </si>
  <si>
    <t>תקון לדוד</t>
  </si>
  <si>
    <t>גלברט, צבי פנחס בן אליעזר</t>
  </si>
  <si>
    <t>תקון לחולה</t>
  </si>
  <si>
    <t>נושאים שונים, תפלות בקשות פיוטים ושירה, תפלות בקשות פיוטים ושירה</t>
  </si>
  <si>
    <t>תקון ליל שבועות ותקון ליל הושענא רבה</t>
  </si>
  <si>
    <t>תיקונים. ליל שבועות. ת"ר. למברג</t>
  </si>
  <si>
    <t>תקון ליל שבועות</t>
  </si>
  <si>
    <t>תיקונים. ליל שבועות. תר"ל. וילנה</t>
  </si>
  <si>
    <t>תקון לנפש</t>
  </si>
  <si>
    <t>תקון מדות הנפש - 5 כר'</t>
  </si>
  <si>
    <t>תקון מוצאי שבת</t>
  </si>
  <si>
    <t>תקון משה - 5 כר'</t>
  </si>
  <si>
    <t>פרעשבורג</t>
  </si>
  <si>
    <t>תקון סופרים ותקון קוראים</t>
  </si>
  <si>
    <t>תנ"ך. תרס"ב. ורשה</t>
  </si>
  <si>
    <t>תקון סופרים למגילת אסתר עם הלכות כתיבת המגילה</t>
  </si>
  <si>
    <t>צדוק, דוד</t>
  </si>
  <si>
    <t>תקון סופרים - 5 כר'</t>
  </si>
  <si>
    <t>צדוק, עוזיאל בן סעדיא</t>
  </si>
  <si>
    <t>תקון סופרים</t>
  </si>
  <si>
    <t>תקון ספר תורה &lt;עטיאש&gt;</t>
  </si>
  <si>
    <t>תנ"ך. תי"ט. אמשטרדם</t>
  </si>
  <si>
    <t>תקון עירובין</t>
  </si>
  <si>
    <t>תקון קוראים</t>
  </si>
  <si>
    <t>הוצאת מישור</t>
  </si>
  <si>
    <t>תקון קריאת שמע שעל המטה</t>
  </si>
  <si>
    <t>תקון שבעה באדר</t>
  </si>
  <si>
    <t>תקון שבת</t>
  </si>
  <si>
    <t>צ'רנוביץ, חיים בן אלכסנדר זיסקינד</t>
  </si>
  <si>
    <t>תר"ס-תרס"א</t>
  </si>
  <si>
    <t>תקון שובבים</t>
  </si>
  <si>
    <t>תיקונים. שובבי"ם ת"ת. תצ"ב. מנטובה</t>
  </si>
  <si>
    <t>תקון שטרות</t>
  </si>
  <si>
    <t>תיקוני שטרות. תפ"א</t>
  </si>
  <si>
    <t>תקון שלמה - תקוני שבת</t>
  </si>
  <si>
    <t>לונדון, שלמה זלמן</t>
  </si>
  <si>
    <t>תקון שלמה</t>
  </si>
  <si>
    <t>שפיצר, בנימין שלמה זלמן בן יעקב דוד הלוי</t>
  </si>
  <si>
    <t>תקון תפלה - 3 כר'</t>
  </si>
  <si>
    <t>תקון תפלה - סדר היום</t>
  </si>
  <si>
    <t>קבלה, תולדות עם ישראל, תפלות בקשות פיוטים ושירה</t>
  </si>
  <si>
    <t>תקוני הזבח - 2 כר'</t>
  </si>
  <si>
    <t>תקוני הזבח</t>
  </si>
  <si>
    <t>תקוני הזהר ע"פ כבוד מלך</t>
  </si>
  <si>
    <t>זוהר. תיקוני זוהר. תרמ"ו. ליוורנו</t>
  </si>
  <si>
    <t>תקוני הזהר עם פירוש קצר</t>
  </si>
  <si>
    <t>רוח, עמרם</t>
  </si>
  <si>
    <t>תקוני זבח (דעת חכמים - דעת הזבח)</t>
  </si>
  <si>
    <t>תקוני זבח</t>
  </si>
  <si>
    <t>תקוני שבת - זמירות בית יעקב</t>
  </si>
  <si>
    <t>תקוני שבת</t>
  </si>
  <si>
    <t>תיקונים. שבת. תנ"ח. ונציה</t>
  </si>
  <si>
    <t>תיקונים. שבת. תס"ה. ונציה</t>
  </si>
  <si>
    <t>תיקונים. שבת. תקפ"ד. רג'יו</t>
  </si>
  <si>
    <t>תקוני תפלה</t>
  </si>
  <si>
    <t>בית ספר מעלות</t>
  </si>
  <si>
    <t>תקוני תשובה</t>
  </si>
  <si>
    <t>תקונים והערות לספר כפתור ופרח</t>
  </si>
  <si>
    <t>הלוי, יוסף בן נפתלי הירץ</t>
  </si>
  <si>
    <t>תקונים חדשים לרמח"ל</t>
  </si>
  <si>
    <t>תקופות ואישים</t>
  </si>
  <si>
    <t>שיינפלד, שבתי הלוי</t>
  </si>
  <si>
    <t>תקופת החגים</t>
  </si>
  <si>
    <t>גלברג, צבי הירש בן יצחק אריה ליב</t>
  </si>
  <si>
    <t>תקופת החמה וברכתה</t>
  </si>
  <si>
    <t>תקופת החמה וברכתה - 2 כר'</t>
  </si>
  <si>
    <t>תקופת הסבוראים וספרותה</t>
  </si>
  <si>
    <t>תקופת השנה</t>
  </si>
  <si>
    <t>תקופת השנה - אלול, ר"ה יוה"כ</t>
  </si>
  <si>
    <t>תקופת השנה - תקופת החדשים</t>
  </si>
  <si>
    <t>מועדי ישראל, מועדי ישראל</t>
  </si>
  <si>
    <t>תקופת עקבתא דמשיחא ע"פ הגר"א</t>
  </si>
  <si>
    <t>ווינטרוב, ישראל אליהו (מכתביו)</t>
  </si>
  <si>
    <t>תקות אהרן</t>
  </si>
  <si>
    <t>אורלאנסקי, אהרן בן שבתי הכהן</t>
  </si>
  <si>
    <t>תקות הגאולה</t>
  </si>
  <si>
    <t>תקות זכריה - 2 כר'</t>
  </si>
  <si>
    <t>Chicago שיקגו</t>
  </si>
  <si>
    <t>תקות יצחק</t>
  </si>
  <si>
    <t>פחימא, יואל בן יצחק</t>
  </si>
  <si>
    <t>תקיעת שופר</t>
  </si>
  <si>
    <t>תקנות דח"ק גמילות חסדים</t>
  </si>
  <si>
    <t>אמשטרדאם. קהילת האשכנזים. חברה קדישא</t>
  </si>
  <si>
    <t>תקנות דחברה תלמידי וחסידי דעעש יצ"ו ותעודתה</t>
  </si>
  <si>
    <t>תקנות דחברה תלמידי וחסידי דעעש</t>
  </si>
  <si>
    <t>תקנות הגאונים</t>
  </si>
  <si>
    <t>טיקוצינסקי, חיים</t>
  </si>
  <si>
    <t>תקנות הדיון בבתי הדין הרבניים בישראל</t>
  </si>
  <si>
    <t>תקנות הח"ק תלמוד תורה דק"ק קראקא</t>
  </si>
  <si>
    <t>תדפיס מתוך כ"ע הבונה</t>
  </si>
  <si>
    <t>תקנות החברה ימין משה</t>
  </si>
  <si>
    <t>ירושלים. ימין משה</t>
  </si>
  <si>
    <t>תקנות החברה שערי חסד</t>
  </si>
  <si>
    <t>ירושלים. חברת שערי חסד</t>
  </si>
  <si>
    <t>תקנות הישיבה</t>
  </si>
  <si>
    <t>תקנות הקהלות</t>
  </si>
  <si>
    <t>תקנות הרבנות במשנתו של הגרע"י</t>
  </si>
  <si>
    <t>תקנות ותפלות</t>
  </si>
  <si>
    <t>תקנות חברה קדישא (כנסת ישראל)</t>
  </si>
  <si>
    <t>חברה קדישא (כנסת ישראל)</t>
  </si>
  <si>
    <t>תקנות חז"ל ביחוסי ממון בין בני זוג - 2 כר'</t>
  </si>
  <si>
    <t>כהן, ידידיה בן אלכסנדר</t>
  </si>
  <si>
    <t>תקנות חכמי פאס</t>
  </si>
  <si>
    <t>עמאר, מורי בן מאיר</t>
  </si>
  <si>
    <t>תקנות להשומרים אצל הגבינות</t>
  </si>
  <si>
    <t>תקנות לחברה עין יעקב וש"ס</t>
  </si>
  <si>
    <t>חברת עין יעקב וש"ס ת"א</t>
  </si>
  <si>
    <t>תקנות מדינת מעהרין</t>
  </si>
  <si>
    <t>תקנות מהחבורה קדושה אנשי מעמד</t>
  </si>
  <si>
    <t>לבוב. אנשי מעמד</t>
  </si>
  <si>
    <t>תקנות ניקולשבורג</t>
  </si>
  <si>
    <t>תקנות עגונות - 2 כר'</t>
  </si>
  <si>
    <t>תקנות ק"ק פראג</t>
  </si>
  <si>
    <t>קהילת פראג</t>
  </si>
  <si>
    <t>תקנות קנדיאה וזכרונותיה - א</t>
  </si>
  <si>
    <t>קאנדיה. קהילה</t>
  </si>
  <si>
    <t>תקנות קראקא שנ"ה</t>
  </si>
  <si>
    <t>תקנות קראקא</t>
  </si>
  <si>
    <t>תקנות קרן קיימת &lt;שומרי החומות&gt;</t>
  </si>
  <si>
    <t>תקנות תמכין דאורייתא</t>
  </si>
  <si>
    <t>תקנת הרבית - קיצור הלכות - ב</t>
  </si>
  <si>
    <t>לנדו, יעקב - שולם, עמוס</t>
  </si>
  <si>
    <t>תקנת הרבית - קיצור הלכות - א</t>
  </si>
  <si>
    <t>לנדו, יעקב</t>
  </si>
  <si>
    <t>תקנת השב</t>
  </si>
  <si>
    <t>תקנת השבים</t>
  </si>
  <si>
    <t>הלכה ומנהג, משנה, שאלות ותשובות</t>
  </si>
  <si>
    <t>מחשבה ומוסר, מחשבה ומוסר, תפלות בקשות פיוטים ושירה</t>
  </si>
  <si>
    <t>תקנת השבין &lt;מהדורה חדשה&gt;</t>
  </si>
  <si>
    <t>תקנת השבין - 2 כר'</t>
  </si>
  <si>
    <t>תקנת עגונות</t>
  </si>
  <si>
    <t>תקנת עזרא &lt;מהדורה חדשה&gt;</t>
  </si>
  <si>
    <t>תקנת עזרא &lt;על הרמב"ם&gt;</t>
  </si>
  <si>
    <t>תקנת עזרא</t>
  </si>
  <si>
    <t>תקנת רבים</t>
  </si>
  <si>
    <t>תקנת שלמה - 2 כר'</t>
  </si>
  <si>
    <t>גנס,שלמה אהרן בן ישראל</t>
  </si>
  <si>
    <t>תקנתא דמשה</t>
  </si>
  <si>
    <t>ברלינר, שמריה בן משה</t>
  </si>
  <si>
    <t>תקע שופר</t>
  </si>
  <si>
    <t>תקפו כהן &lt;כח תפיסה&gt;</t>
  </si>
  <si>
    <t>כ"ץ, שבתי בן מאיר הכהן - איגבר, יוסף</t>
  </si>
  <si>
    <t>תקפו כהן &lt;מעשה תקפו&gt;</t>
  </si>
  <si>
    <t>כ"ץ, שבתי בן מאיר הכהן - כהן, צבי</t>
  </si>
  <si>
    <t>תקפו כהן &lt;דפו"ר&gt;</t>
  </si>
  <si>
    <t>תקפו כהן &lt;עם אורים ותומים&gt;</t>
  </si>
  <si>
    <t>תקפו כהן - 2 כר'</t>
  </si>
  <si>
    <t>תקפו של אוריאל</t>
  </si>
  <si>
    <t>תקפו של יוסף &lt;מהדורה חדשה&gt;</t>
  </si>
  <si>
    <t>תקפו של יוסף - 2 כר'</t>
  </si>
  <si>
    <t>תקפ"ג - תרט"ו</t>
  </si>
  <si>
    <t>תקפו של נס - 2 כר'</t>
  </si>
  <si>
    <t>תרנ"ד - תרנ"ט</t>
  </si>
  <si>
    <t>תקציב מדינת ישראל - עובדות או הסתה</t>
  </si>
  <si>
    <t>תקרב רנתי</t>
  </si>
  <si>
    <t>תר"ך עמודי אור - 4 כר'</t>
  </si>
  <si>
    <t>תרביצא</t>
  </si>
  <si>
    <t>תרגום אונקלוס המוגה והמדויק - ילקוט ראשונים</t>
  </si>
  <si>
    <t>וייזר, שמעון</t>
  </si>
  <si>
    <t>תרגום אונקלוס - קטעים מדפוס ספרד</t>
  </si>
  <si>
    <t>תרגום אונקלוס</t>
  </si>
  <si>
    <t>תרגום אנקלוס</t>
  </si>
  <si>
    <t>תרגום ארץ ישראל לתורה ניאופיטי - 2 כר'</t>
  </si>
  <si>
    <t>תרגום ארץ ישראל</t>
  </si>
  <si>
    <t>תרגום הלע"ז</t>
  </si>
  <si>
    <t>תרגום המלים המובאות במשנה ברורה</t>
  </si>
  <si>
    <t>תרגום הקדוש יונתן בן אוזיאל</t>
  </si>
  <si>
    <t>תנ"ך. ארמית. שס"ז. בזל</t>
  </si>
  <si>
    <t>תרגום יונתן בן עוזיאל</t>
  </si>
  <si>
    <t>תרגום ירושלמי השלם &lt;עפ"י כ"י רומי&gt; - ויקרא</t>
  </si>
  <si>
    <t>תרגום ירושלמי השלם</t>
  </si>
  <si>
    <t>תרגום ירושלמי - שמות &lt; Neophyti&gt;</t>
  </si>
  <si>
    <t>תנ"ך. רב לשוני</t>
  </si>
  <si>
    <t>תשכ"ח - תשל"ט</t>
  </si>
  <si>
    <t>מדריד</t>
  </si>
  <si>
    <t>תרגום לחמש מגילות &lt;כת"י וטיקן&gt;</t>
  </si>
  <si>
    <t>תרגום לחמש מגילות</t>
  </si>
  <si>
    <t>תרגום מגילת אסתר &lt;יונה דדהבא&gt;</t>
  </si>
  <si>
    <t>ג'יבלי, אלחנן</t>
  </si>
  <si>
    <t>תרגום מגילת קהלת &lt;יונה דדהבא&gt;</t>
  </si>
  <si>
    <t>תרגום מגילת רות &lt;יונה דדהבא&gt;</t>
  </si>
  <si>
    <t>תרגום מגילת שיר השירים &lt;יונה דדהבא&gt;</t>
  </si>
  <si>
    <t>תרגום ספר איוב וביאורו</t>
  </si>
  <si>
    <t>תרגום של דברי הימים</t>
  </si>
  <si>
    <t>דברי הימים. תרגום</t>
  </si>
  <si>
    <t>תרגום שני &lt;יונה דדהבא&gt;</t>
  </si>
  <si>
    <t>תרגום שני</t>
  </si>
  <si>
    <t>תרגום שני. תרנ"ח. ברלין.</t>
  </si>
  <si>
    <t>תרגום שני. תרצ"ח</t>
  </si>
  <si>
    <t>תרגומא דהתרגום</t>
  </si>
  <si>
    <t>תרגומנא - 5 כר'</t>
  </si>
  <si>
    <t>גולומב, דוד בן יהודה ליב</t>
  </si>
  <si>
    <t>תרגם אברהם</t>
  </si>
  <si>
    <t>תרומת הדשן &lt;מהדורה חדשה&gt; הלכות חנוכה ופורים</t>
  </si>
  <si>
    <t>איסרלין, ישראל בן פתחיה - אמויאל, אהרן בן יוסף</t>
  </si>
  <si>
    <t>תרומת הדשן &lt;מהדורת אביטן&gt; - 2 כר'</t>
  </si>
  <si>
    <t>תרומת הדשן &lt;מהדורת אור החיים&gt;</t>
  </si>
  <si>
    <t>תרומת הדשן - 4 כר'</t>
  </si>
  <si>
    <t>תרומת הקדש</t>
  </si>
  <si>
    <t>טולידאנו, חביב בן אליעזר</t>
  </si>
  <si>
    <t>תרומת הקודש &lt;מהדורה חדשה&gt;</t>
  </si>
  <si>
    <t>תרומת השקל</t>
  </si>
  <si>
    <t>תרומת זהב</t>
  </si>
  <si>
    <t>מנדלזון, בונם זאב בן צבי הירש</t>
  </si>
  <si>
    <t>תרומת חלה</t>
  </si>
  <si>
    <t>אליעזרי, שמואל בן אליעזר</t>
  </si>
  <si>
    <t>כולל טשערנוביל</t>
  </si>
  <si>
    <t>תרומת יד</t>
  </si>
  <si>
    <t>תרומת ידך</t>
  </si>
  <si>
    <t>כהן, יוסף דוד בן אורי</t>
  </si>
  <si>
    <t>תרומת יעקב</t>
  </si>
  <si>
    <t>יאקו, יעקב מאיר בן אברהם הכהן</t>
  </si>
  <si>
    <t>דרושים, שאלות ותשובות, שאלות ותשובות</t>
  </si>
  <si>
    <t>תרומת יצחק</t>
  </si>
  <si>
    <t>תרומת כהן</t>
  </si>
  <si>
    <t>תרומת משה - 2 כר'</t>
  </si>
  <si>
    <t>סנדר, יצחק איזיק בן משה אהרן</t>
  </si>
  <si>
    <t>תרומת ציון</t>
  </si>
  <si>
    <t>פרלמאן, בן-ציון בן אהרן</t>
  </si>
  <si>
    <t>תרומת שמעון</t>
  </si>
  <si>
    <t>תרון נפשי - 2 כר'</t>
  </si>
  <si>
    <t>תרועת מלך</t>
  </si>
  <si>
    <t>תרחם ציון</t>
  </si>
  <si>
    <t>רפאל בנציון בן שלום הכהן</t>
  </si>
  <si>
    <t>תרי חד בדרא</t>
  </si>
  <si>
    <t>קום, אליהו</t>
  </si>
  <si>
    <t>תרי עשר &lt;כפלים לתושיה, משל ומליצה, מפורש, דברי חכמים&gt;</t>
  </si>
  <si>
    <t>תרי"ג המצות מבוארות ומוסברות</t>
  </si>
  <si>
    <t>תרי"ג מצוות בהלכה ובאגדה - 8 כר'</t>
  </si>
  <si>
    <t>תרי"ג מצוות השלם - 5 כר'</t>
  </si>
  <si>
    <t>מפעל תרי"ג מצוות</t>
  </si>
  <si>
    <t>תרי"ג מצות (מחולק לימי השבוע)</t>
  </si>
  <si>
    <t>תרי"ג מצות</t>
  </si>
  <si>
    <t>תרי"ג מצות בעשרת הדברות</t>
  </si>
  <si>
    <t>תרי"ג מצות ודקדוקיהן</t>
  </si>
  <si>
    <t>טאבאק, אביגדור</t>
  </si>
  <si>
    <t>תרי"ג מצות - 2 כר'</t>
  </si>
  <si>
    <t>איסקולסקי, יעקב בן דוב בר</t>
  </si>
  <si>
    <t>תרנן לשוני</t>
  </si>
  <si>
    <t>תרעא זעירא לנחמתא</t>
  </si>
  <si>
    <t>תרשיש שהם</t>
  </si>
  <si>
    <t>תרתי לריעותא - ב</t>
  </si>
  <si>
    <t>תשב אנוש</t>
  </si>
  <si>
    <t>תשב"י על פרשיות התורה</t>
  </si>
  <si>
    <t>פולאק, שרגא פייש בן יהושע</t>
  </si>
  <si>
    <t>תשואות חן</t>
  </si>
  <si>
    <t>גרנג'ווד, אליהו דב בן קלמן וולף</t>
  </si>
  <si>
    <t>תשואות חן - 2 כר'</t>
  </si>
  <si>
    <t>צ'רווינסקי, יהושע בן יוסף</t>
  </si>
  <si>
    <t>תשואות חן - 3 כר'</t>
  </si>
  <si>
    <t>רבינוביץ, גדליהו בן יצחק</t>
  </si>
  <si>
    <t>תשואת חן</t>
  </si>
  <si>
    <t>תשוב תחיני</t>
  </si>
  <si>
    <t>שפירא, יהושע נריה בן משה - שפירא, נעמי</t>
  </si>
  <si>
    <t>תשובה בענין הטלת מס על רב</t>
  </si>
  <si>
    <t>בנדיקט, בנימין זאב</t>
  </si>
  <si>
    <t>תשובה בענין קבורת אינו ישראל בקבר ישראל</t>
  </si>
  <si>
    <t>הויזדורף, אלעזר בן מרדכי</t>
  </si>
  <si>
    <t>תשובה בענין קריאת הכתובה</t>
  </si>
  <si>
    <t>נחמיה מביאליסטוק</t>
  </si>
  <si>
    <t>תשובה בענין רחיים של יד (כתב יד)</t>
  </si>
  <si>
    <t>ב"ד ארג'יל</t>
  </si>
  <si>
    <t>ארג'יל</t>
  </si>
  <si>
    <t>תשובה ברורה</t>
  </si>
  <si>
    <t>פרידמן, שלום בן יוסף</t>
  </si>
  <si>
    <t>תשובה גליון מס' 2 שבט</t>
  </si>
  <si>
    <t>תשובה</t>
  </si>
  <si>
    <t>תשובה כהלכה</t>
  </si>
  <si>
    <t>תשובה לאגרות בספר ים החכמה</t>
  </si>
  <si>
    <t>תשובה להלכה בענין ברכת החמה</t>
  </si>
  <si>
    <t>תשובה למרי דכיא</t>
  </si>
  <si>
    <t>תשובה מאדמו"ר הגאון רא"י בלוך בענין למודי חול</t>
  </si>
  <si>
    <t>ווקייליף</t>
  </si>
  <si>
    <t>תשובה מאהבה - הלכות תשובה</t>
  </si>
  <si>
    <t>תשובה מאהבה</t>
  </si>
  <si>
    <t>נבנצל, אביגדר יחזקאל - קנייבסקי, שמריהו יוסף חיים</t>
  </si>
  <si>
    <t>תשובה מאהבה - 4 כר'</t>
  </si>
  <si>
    <t>תקס"ט-תקפ"א,</t>
  </si>
  <si>
    <t>רייניץ, יהושע ברוך בן נתן פייטל</t>
  </si>
  <si>
    <t>תשובה מיראה</t>
  </si>
  <si>
    <t>תשובה שלמה - 2 כר'</t>
  </si>
  <si>
    <t>תשובה שלמה</t>
  </si>
  <si>
    <t>תשובה תפילה וצדקה מעבירין את רוע הגזרה</t>
  </si>
  <si>
    <t>תשובות אביגדר הלוי - אורח חיים</t>
  </si>
  <si>
    <t>נבנצל, אביגדר בן יחזקאל הלוי - בראונר, ניצן</t>
  </si>
  <si>
    <t>תשובות בדיני פועלים</t>
  </si>
  <si>
    <t>תשובות בית הילל החדש</t>
  </si>
  <si>
    <t>תשובות בית הילל</t>
  </si>
  <si>
    <t>תשובות בעלי התוספות</t>
  </si>
  <si>
    <t>אייגוס, אברהם יצחק בן יהודה ליב</t>
  </si>
  <si>
    <t>תשובות גאוני מזרח ומערב</t>
  </si>
  <si>
    <t>תשובות גאונים קדמונים</t>
  </si>
  <si>
    <t>תשובות הגאונים (תר"ח)</t>
  </si>
  <si>
    <t>תשובות דונש בן לברט</t>
  </si>
  <si>
    <t>תשובות דונש הלוי בן לברט על רס"ג</t>
  </si>
  <si>
    <t>תשובות הגאון מרוגוטשוב &lt;העמק תשובה&gt;</t>
  </si>
  <si>
    <t>תשובות הגאונים &lt;מכת"י שבגנזי קמברידג'&gt;</t>
  </si>
  <si>
    <t>תשובות הגאונים &lt;איי הים&gt;</t>
  </si>
  <si>
    <t>תשובות הגאונים (תקס"ב)</t>
  </si>
  <si>
    <t>תשובות הגאונים &lt;ליק - מוסאפיה&gt;</t>
  </si>
  <si>
    <t>תשובות הגאונים (תרכ"ד)</t>
  </si>
  <si>
    <t>תשובות הגאונים &lt;מרמרשטיין&gt;</t>
  </si>
  <si>
    <t>תשובות הגאונים (תרפ"ז)</t>
  </si>
  <si>
    <t>תשובות הגאונים גרש ירחים - 3 כר'</t>
  </si>
  <si>
    <t>תשובות הגאונים</t>
  </si>
  <si>
    <t>תשובות הגאונים מתוך הגניזה</t>
  </si>
  <si>
    <t>תשובות הגאונים עם תשובות ופסקים מחכמי פרובינצא</t>
  </si>
  <si>
    <t>הורביץ, אלעזר (עורך)</t>
  </si>
  <si>
    <t>תשובות הגאונים שערי תשובה - 2 כר'</t>
  </si>
  <si>
    <t>תשובות הגאונים (תרל"א)</t>
  </si>
  <si>
    <t>תשובות הגר"ח - 3 כר'</t>
  </si>
  <si>
    <t>תשובות הפוסקים</t>
  </si>
  <si>
    <t>כ"ץ, מאיר בן אהרן אריה</t>
  </si>
  <si>
    <t>תשובות הר' יהושע הנגיד</t>
  </si>
  <si>
    <t>יהושע בן אברהם הנגיד</t>
  </si>
  <si>
    <t>תשובות הרא"ם - אה"ע</t>
  </si>
  <si>
    <t>תשובות הראשונים</t>
  </si>
  <si>
    <t>רבינו  אפרים מרגנשבורג  - רבינו יואל הלוי</t>
  </si>
  <si>
    <t>תשובות הרב נגר - א</t>
  </si>
  <si>
    <t>נגר, שלום בן עובדיה</t>
  </si>
  <si>
    <t>תשובות הרב קאפח - 2 כר'</t>
  </si>
  <si>
    <t>קאפח, יוסף - נגר, שלום בן עובדיה</t>
  </si>
  <si>
    <t>תשובות הרי"ד</t>
  </si>
  <si>
    <t>תשובות הריטב"א</t>
  </si>
  <si>
    <t>תשובות הרמ"ע מפאנו - 2 כר'</t>
  </si>
  <si>
    <t>תשובות הרמב"ם &lt;בלאו&gt; מהדורה חדשה - 4 כר'</t>
  </si>
  <si>
    <t>תשי"ח - תשע"ד</t>
  </si>
  <si>
    <t>תשובות הרמב"ם - 5 כר'</t>
  </si>
  <si>
    <t>תשובות הרשב"א המיוחסות להרמב"ן</t>
  </si>
  <si>
    <t>תשובות וביאורים</t>
  </si>
  <si>
    <t>טולידאנו, אהרן</t>
  </si>
  <si>
    <t>תשובות והנהגות &lt;מועדים&gt; - 7 כר'</t>
  </si>
  <si>
    <t>תשובות והנהגות - 6 כר'</t>
  </si>
  <si>
    <t>תשובות וחידושי הרשב"א על מסכת פסחים</t>
  </si>
  <si>
    <t>תשובות וחידושי ראש הברזל</t>
  </si>
  <si>
    <t>הרוויץ, עזריאל הלוי</t>
  </si>
  <si>
    <t>תשובות וכתבים ממרן החזון איש</t>
  </si>
  <si>
    <t>תשובות ומענות בקשר ללימוד בכולל</t>
  </si>
  <si>
    <t>תשובות ופסקים לר"י הזקן</t>
  </si>
  <si>
    <t>יצחק בן שמואל הזקן</t>
  </si>
  <si>
    <t>תשובות ופסקים מאת חכמי אשכנז וצרפת</t>
  </si>
  <si>
    <t>חכמי אשכנז וצרפת</t>
  </si>
  <si>
    <t>תשובות חדשות לרבנו עקיבא איגר</t>
  </si>
  <si>
    <t>תשובות חכמי פרובינציה</t>
  </si>
  <si>
    <t>תשובות חכמי צרפת ולותיר</t>
  </si>
  <si>
    <t>תשובות יהודה</t>
  </si>
  <si>
    <t>תשובות ישראל - 4 כר'</t>
  </si>
  <si>
    <t>תשובות למבחני הרה"ר - 5 כר'</t>
  </si>
  <si>
    <t>תשובות לקהלת עאנה</t>
  </si>
  <si>
    <t>תשובות לשואל</t>
  </si>
  <si>
    <t>מאירוב, אהרן שאול זליג בן מאיר שלום הכה</t>
  </si>
  <si>
    <t>תשובות מאת ועד השחיטה האשכנזית</t>
  </si>
  <si>
    <t>תשובות מבי מדרשא - 2 כר'</t>
  </si>
  <si>
    <t>תשובות מהר"ם מינץ</t>
  </si>
  <si>
    <t>תשובות מהר"ם מרוטנבורג וחבריו - 2 כר'</t>
  </si>
  <si>
    <t>מאיר בן ברוך מרוטנבורג - עמנואל, שמחה (עורך)</t>
  </si>
  <si>
    <t>תשובות מהרד"ך</t>
  </si>
  <si>
    <t>דוד בן חיים הכהן מקורפו</t>
  </si>
  <si>
    <t>תשובות מהרי"א &lt;יהודה יעלה&gt;</t>
  </si>
  <si>
    <t>תשובות מהרי"א יהודה יעלה &lt;מהדורת מכון שלמה אומן&gt;</t>
  </si>
  <si>
    <t>תשובות מהרי"ם</t>
  </si>
  <si>
    <t>תשובות מהרי"ש</t>
  </si>
  <si>
    <t>יעב"ץ, ישראל יעקב בן משולם אהרן</t>
  </si>
  <si>
    <t>תשובות מנחם</t>
  </si>
  <si>
    <t>פרווזניק, מנחם מנדל פינחס בן נחמיה</t>
  </si>
  <si>
    <t>תשובות מר"ם יפה - 2 כר'</t>
  </si>
  <si>
    <t>תשובות על קונטרס השאלות בהלכות סת"ם</t>
  </si>
  <si>
    <t>תשובות ר' יהושע הנגיד (אלמסאיל)</t>
  </si>
  <si>
    <t>תשובות ראש יוסף</t>
  </si>
  <si>
    <t>תשובות רב סעדיה גאון</t>
  </si>
  <si>
    <t>תשובות רבי איסר יהודה</t>
  </si>
  <si>
    <t>תשובות רבי אליעזר &lt;מהדורה חדשה&gt; - 2 כר'</t>
  </si>
  <si>
    <t>גורדון, אליעזר בן אברהם שמואל</t>
  </si>
  <si>
    <t>תשובות רבי אליעזר - 2 כר'</t>
  </si>
  <si>
    <t>תשובות רבי יהוסף מליריאה וחכמי הדור בצפת</t>
  </si>
  <si>
    <t>יהוסף מליריאה</t>
  </si>
  <si>
    <t>תשובות רבי עקיבא איגר &lt;אחיזה בעקב&gt; א - מהדו"ק, או"ח, יו"ד</t>
  </si>
  <si>
    <t>איגר, עקיבא - שורקין יעקב משה</t>
  </si>
  <si>
    <t>תשובות רבי עקיבא איגר &lt;אחיזה בעקב&gt; ב - מהדו"ק, אבהע"ז א</t>
  </si>
  <si>
    <t>תשובות רבי עקיבא איגר &lt;דפו"ר&gt;</t>
  </si>
  <si>
    <t>תקצ"ה - תקצ"ט</t>
  </si>
  <si>
    <t>תשובות רבי עקיבא איגר מכתב יד</t>
  </si>
  <si>
    <t>תשובות רבי עקיבא איגר עם אור ליהודה - א</t>
  </si>
  <si>
    <t>תשובות רבי עקיבא איגר - 3 כר'</t>
  </si>
  <si>
    <t>תשובות רבינו יוסף הלוי אב"ן מיגאש</t>
  </si>
  <si>
    <t>תשובות רבינו יעקב מרומרוג</t>
  </si>
  <si>
    <t>יעקב בן מאיר רבנו תם</t>
  </si>
  <si>
    <t>תשובות רבינו סעדיה גאון לחוי הבלכי</t>
  </si>
  <si>
    <t>תשובות רבינו קלונימוס מלוקא</t>
  </si>
  <si>
    <t>תשובות רבנו אברהם בן הרמב"ם</t>
  </si>
  <si>
    <t>תשובות רבנו גרשם מאור הגולה</t>
  </si>
  <si>
    <t>תשובות רבנו יוסף קורקוס</t>
  </si>
  <si>
    <t>תשובות רד"ך - 2 כר'</t>
  </si>
  <si>
    <t>תשובות ריב"א הקטן</t>
  </si>
  <si>
    <t>תשובות רס"ג על שאלות חיוי הבלכי &lt;מהדורת דוידזון&gt;</t>
  </si>
  <si>
    <t>ניו יורק - ישראל</t>
  </si>
  <si>
    <t>תשובות רש"י - 3 כר'</t>
  </si>
  <si>
    <t>תשובות שאילות &lt;המיוחסות לרמב"ן&gt; - 3 כר'</t>
  </si>
  <si>
    <t>תשובות שאלות &lt;שו"ת ר' אליהו מזרחי&gt; - 2 כר'</t>
  </si>
  <si>
    <t>תשובות שאלות ואגרות הרמב"ם</t>
  </si>
  <si>
    <t>תשובות שאלות</t>
  </si>
  <si>
    <t>(רצ"ט)</t>
  </si>
  <si>
    <t>בולונייא,</t>
  </si>
  <si>
    <t>תשובות תרומת הדשן - נדה</t>
  </si>
  <si>
    <t>תשובת אד"כ</t>
  </si>
  <si>
    <t>כהן, אברהם דוב בן ישראל מרדכי</t>
  </si>
  <si>
    <t>תשובת אריה</t>
  </si>
  <si>
    <t>ליפשיץ, אברהם אריה ליב בן מנחם מנכן</t>
  </si>
  <si>
    <t>תשובת בנימין</t>
  </si>
  <si>
    <t>תשובת גבר"י</t>
  </si>
  <si>
    <t>תשובת הגאונים &lt;ויקם עדות ביעקב&gt;</t>
  </si>
  <si>
    <t>תשובת הגאונים</t>
  </si>
  <si>
    <t>תשובת השנה &lt;ליקוטי עצות המשולש&gt;</t>
  </si>
  <si>
    <t>תשובת השנה</t>
  </si>
  <si>
    <t>תשובת חן - א</t>
  </si>
  <si>
    <t>אוסטרוב מזוביצק Ost</t>
  </si>
  <si>
    <t>תשובת ישראל</t>
  </si>
  <si>
    <t>תשובת מהרי"ד</t>
  </si>
  <si>
    <t>תשובת נפש תקון אמן</t>
  </si>
  <si>
    <t>תשובת נפש</t>
  </si>
  <si>
    <t>תשובת ציון</t>
  </si>
  <si>
    <t>תשובת קרן שמואל</t>
  </si>
  <si>
    <t>תשובת ר"ש חקאן מכת"י בענין מקום הכהנים בנ"כ - תדפיס</t>
  </si>
  <si>
    <t>תשובת רבנו יצחק אלחנן ספקטור זצ"ל</t>
  </si>
  <si>
    <t>תשובת ריב"א &lt;מהדורה חדשה&gt; - 2 כר'</t>
  </si>
  <si>
    <t>אונגאר, יואל בן אליעזר</t>
  </si>
  <si>
    <t>תשובת ריב"א - 2 כר'</t>
  </si>
  <si>
    <t>תשובת שאלה</t>
  </si>
  <si>
    <t>תשובת שמואל</t>
  </si>
  <si>
    <t>תשובתו הרמה</t>
  </si>
  <si>
    <t>בלום, דוד</t>
  </si>
  <si>
    <t>תשובתם הרמה</t>
  </si>
  <si>
    <t>תשועה ברב יועץ - שבת</t>
  </si>
  <si>
    <t>גפן, יצחק</t>
  </si>
  <si>
    <t>תשועה גדולה</t>
  </si>
  <si>
    <t>טייטלבוים, משה בן חיים צבי - טייטלבוים, אהרן בן משה</t>
  </si>
  <si>
    <t>תשועות חיים</t>
  </si>
  <si>
    <t>תשועת חן</t>
  </si>
  <si>
    <t>מייזל, משה בן אברהם</t>
  </si>
  <si>
    <t>תשועת ישראל</t>
  </si>
  <si>
    <t>תשועת מרדכי</t>
  </si>
  <si>
    <t>תשועת עולמים</t>
  </si>
  <si>
    <t>תשועתם היית לנצח - פורים</t>
  </si>
  <si>
    <t>תשורי מראש אמנה</t>
  </si>
  <si>
    <t>תשורת חן</t>
  </si>
  <si>
    <t>תשורת יצחק</t>
  </si>
  <si>
    <t>שפירא, יצחק בן ירוחם פישל</t>
  </si>
  <si>
    <t>תשורת שי &lt;מהדורא תניינא&gt;</t>
  </si>
  <si>
    <t>תשורת שי - 2 כר'</t>
  </si>
  <si>
    <t>תרס"ה - תר"ע</t>
  </si>
  <si>
    <t>תשית לראשו</t>
  </si>
  <si>
    <t>תשכ"ג ניבים</t>
  </si>
  <si>
    <t>תשלום אבודרהם</t>
  </si>
  <si>
    <t>תשלום פירוש רש"י על מסכת ברכות</t>
  </si>
  <si>
    <t>תשלום</t>
  </si>
  <si>
    <t>[מארקוביץ, שלמה בן ראובן]</t>
  </si>
  <si>
    <t>(הקד' תרצ"ב</t>
  </si>
  <si>
    <t>פיאטרא-נ.,</t>
  </si>
  <si>
    <t>תשלומי תרומה</t>
  </si>
  <si>
    <t>תשע שיטות - 2 כר'</t>
  </si>
  <si>
    <t>רוזאניס, צבי הירש בן יששכר דוב בר</t>
  </si>
  <si>
    <t>תשעים שרים - 2 כר'</t>
  </si>
  <si>
    <t>תתן אמת ליעקב (כולל אוסף ספרים)</t>
  </si>
  <si>
    <t>תתן אמת ליעקב</t>
  </si>
  <si>
    <t>בנעט, יעקב בן מאיר</t>
  </si>
  <si>
    <t>מחשבה ומוסר, משנה, תולדות עם ישראל, תלמוד בבלי, תנ"ך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</si>
</sst>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8"/>
      <color theme="3"/>
      <name val="Times New Roman"/>
      <family val="2"/>
      <charset val="177"/>
      <scheme val="major"/>
    </font>
    <font>
      <b/>
      <sz val="15"/>
      <color theme="3"/>
      <name val="Arial"/>
      <family val="2"/>
      <charset val="177"/>
      <scheme val="minor"/>
    </font>
    <font>
      <b/>
      <sz val="13"/>
      <color theme="3"/>
      <name val="Arial"/>
      <family val="2"/>
      <charset val="177"/>
      <scheme val="minor"/>
    </font>
    <font>
      <b/>
      <sz val="11"/>
      <color theme="3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1"/>
      <color rgb="FF9C0006"/>
      <name val="Arial"/>
      <family val="2"/>
      <charset val="177"/>
      <scheme val="minor"/>
    </font>
    <font>
      <sz val="11"/>
      <color rgb="FF9C5700"/>
      <name val="Arial"/>
      <family val="2"/>
      <charset val="177"/>
      <scheme val="minor"/>
    </font>
    <font>
      <sz val="11"/>
      <color rgb="FF3F3F76"/>
      <name val="Arial"/>
      <family val="2"/>
      <charset val="177"/>
      <scheme val="minor"/>
    </font>
    <font>
      <b/>
      <sz val="11"/>
      <color rgb="FF3F3F3F"/>
      <name val="Arial"/>
      <family val="2"/>
      <charset val="177"/>
      <scheme val="minor"/>
    </font>
    <font>
      <b/>
      <sz val="11"/>
      <color rgb="FFFA7D00"/>
      <name val="Arial"/>
      <family val="2"/>
      <charset val="177"/>
      <scheme val="minor"/>
    </font>
    <font>
      <sz val="11"/>
      <color rgb="FFFA7D00"/>
      <name val="Arial"/>
      <family val="2"/>
      <charset val="177"/>
      <scheme val="minor"/>
    </font>
    <font>
      <b/>
      <sz val="11"/>
      <color theme="0"/>
      <name val="Arial"/>
      <family val="2"/>
      <charset val="177"/>
      <scheme val="minor"/>
    </font>
    <font>
      <sz val="11"/>
      <color rgb="FFFF0000"/>
      <name val="Arial"/>
      <family val="2"/>
      <charset val="177"/>
      <scheme val="minor"/>
    </font>
    <font>
      <i/>
      <sz val="11"/>
      <color rgb="FF7F7F7F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sz val="11"/>
      <color theme="0"/>
      <name val="Arial"/>
      <family val="2"/>
      <charset val="177"/>
      <scheme val="minor"/>
    </font>
    <font>
      <b/>
      <sz val="11"/>
      <color rgb="FFFF0000"/>
      <name val="Arial"/>
      <family val="2"/>
      <scheme val="minor"/>
    </font>
    <font>
      <sz val="11"/>
      <color rgb="FF0070C0"/>
      <name val="Arial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0" fontId="18" fillId="0" borderId="0" xfId="0" applyFont="1"/>
    <xf numFmtId="0" fontId="19" fillId="0" borderId="0" xfId="0" applyFont="1"/>
  </cellXfs>
  <cellStyles count="42">
    <cellStyle name="20% - הדגשה1" xfId="19" builtinId="30" customBuiltin="1"/>
    <cellStyle name="20% - הדגשה2" xfId="23" builtinId="34" customBuiltin="1"/>
    <cellStyle name="20% - הדגשה3" xfId="27" builtinId="38" customBuiltin="1"/>
    <cellStyle name="20% - הדגשה4" xfId="31" builtinId="42" customBuiltin="1"/>
    <cellStyle name="20% - הדגשה5" xfId="35" builtinId="46" customBuiltin="1"/>
    <cellStyle name="20% - הדגשה6" xfId="39" builtinId="50" customBuiltin="1"/>
    <cellStyle name="40% - הדגשה1" xfId="20" builtinId="31" customBuiltin="1"/>
    <cellStyle name="40% - הדגשה2" xfId="24" builtinId="35" customBuiltin="1"/>
    <cellStyle name="40% - הדגשה3" xfId="28" builtinId="39" customBuiltin="1"/>
    <cellStyle name="40% - הדגשה4" xfId="32" builtinId="43" customBuiltin="1"/>
    <cellStyle name="40% - הדגשה5" xfId="36" builtinId="47" customBuiltin="1"/>
    <cellStyle name="40% - הדגשה6" xfId="40" builtinId="51" customBuiltin="1"/>
    <cellStyle name="60% - הדגשה1" xfId="21" builtinId="32" customBuiltin="1"/>
    <cellStyle name="60% - הדגשה2" xfId="25" builtinId="36" customBuiltin="1"/>
    <cellStyle name="60% - הדגשה3" xfId="29" builtinId="40" customBuiltin="1"/>
    <cellStyle name="60% - הדגשה4" xfId="33" builtinId="44" customBuiltin="1"/>
    <cellStyle name="60% - הדגשה5" xfId="37" builtinId="48" customBuiltin="1"/>
    <cellStyle name="60% - הדגשה6" xfId="41" builtinId="52" customBuiltin="1"/>
    <cellStyle name="Normal" xfId="0" builtinId="0"/>
    <cellStyle name="הדגשה1" xfId="18" builtinId="29" customBuiltin="1"/>
    <cellStyle name="הדגשה2" xfId="22" builtinId="33" customBuiltin="1"/>
    <cellStyle name="הדגשה3" xfId="26" builtinId="37" customBuiltin="1"/>
    <cellStyle name="הדגשה4" xfId="30" builtinId="41" customBuiltin="1"/>
    <cellStyle name="הדגשה5" xfId="34" builtinId="45" customBuiltin="1"/>
    <cellStyle name="הדגשה6" xfId="38" builtinId="49" customBuiltin="1"/>
    <cellStyle name="הערה" xfId="15" builtinId="10" customBuiltin="1"/>
    <cellStyle name="חישוב" xfId="11" builtinId="22" customBuiltin="1"/>
    <cellStyle name="טוב" xfId="6" builtinId="26" customBuiltin="1"/>
    <cellStyle name="טקסט אזהרה" xfId="14" builtinId="11" customBuiltin="1"/>
    <cellStyle name="טקסט הסברי" xfId="16" builtinId="53" customBuiltin="1"/>
    <cellStyle name="כותרת" xfId="1" builtinId="15" customBuiltin="1"/>
    <cellStyle name="כותרת 1" xfId="2" builtinId="16" customBuiltin="1"/>
    <cellStyle name="כותרת 2" xfId="3" builtinId="17" customBuiltin="1"/>
    <cellStyle name="כותרת 3" xfId="4" builtinId="18" customBuiltin="1"/>
    <cellStyle name="כותרת 4" xfId="5" builtinId="19" customBuiltin="1"/>
    <cellStyle name="ניטראלי" xfId="8" builtinId="28" customBuiltin="1"/>
    <cellStyle name="סה&quot;כ" xfId="17" builtinId="25" customBuiltin="1"/>
    <cellStyle name="פלט" xfId="10" builtinId="21" customBuiltin="1"/>
    <cellStyle name="קלט" xfId="9" builtinId="20" customBuiltin="1"/>
    <cellStyle name="רע" xfId="7" builtinId="27" customBuiltin="1"/>
    <cellStyle name="תא מסומן" xfId="13" builtinId="23" customBuiltin="1"/>
    <cellStyle name="תא מקושר" xfId="12" builtinId="24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163"/>
  <sheetViews>
    <sheetView rightToLeft="1" tabSelected="1" workbookViewId="0">
      <selection activeCell="H5" sqref="H5"/>
    </sheetView>
  </sheetViews>
  <sheetFormatPr defaultRowHeight="14.25" x14ac:dyDescent="0.2"/>
  <cols>
    <col min="1" max="1" width="37.875" customWidth="1"/>
    <col min="2" max="2" width="37.25" customWidth="1"/>
    <col min="3" max="3" width="19.375" customWidth="1"/>
    <col min="4" max="4" width="17.75" customWidth="1"/>
    <col min="5" max="5" width="44.625" customWidth="1"/>
    <col min="6" max="6" width="9" style="2"/>
  </cols>
  <sheetData>
    <row r="1" spans="1:6" s="1" customFormat="1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2">
      <c r="A2" t="s">
        <v>6</v>
      </c>
      <c r="B2" t="s">
        <v>7</v>
      </c>
      <c r="C2" t="s">
        <v>8</v>
      </c>
      <c r="D2" t="s">
        <v>9</v>
      </c>
      <c r="E2" t="s">
        <v>10</v>
      </c>
      <c r="F2" s="2" t="str">
        <f>HYPERLINK("http://www.otzar.org/book.asp?103967","אב בחכמה")</f>
        <v>אב בחכמה</v>
      </c>
    </row>
    <row r="3" spans="1:6" x14ac:dyDescent="0.2">
      <c r="A3" t="s">
        <v>11</v>
      </c>
      <c r="B3" t="s">
        <v>12</v>
      </c>
      <c r="C3" t="s">
        <v>13</v>
      </c>
      <c r="D3" t="s">
        <v>14</v>
      </c>
      <c r="E3" t="s">
        <v>15</v>
      </c>
      <c r="F3" s="2" t="str">
        <f>HYPERLINK("http://www.otzar.org/book.asp?147356","אבודרהם  &lt;הלכות מילה וברכותיה ופדיון הבן&gt;")</f>
        <v>אבודרהם  &lt;הלכות מילה וברכותיה ופדיון הבן&gt;</v>
      </c>
    </row>
    <row r="4" spans="1:6" x14ac:dyDescent="0.2">
      <c r="A4" t="s">
        <v>16</v>
      </c>
      <c r="B4" t="s">
        <v>12</v>
      </c>
      <c r="C4" t="s">
        <v>17</v>
      </c>
      <c r="D4" t="s">
        <v>14</v>
      </c>
      <c r="E4" t="s">
        <v>15</v>
      </c>
      <c r="F4" s="2" t="str">
        <f>HYPERLINK("http://www.otzar.org/book.asp?62045","אבודרהם  &lt;תהלה לדוד&gt;")</f>
        <v>אבודרהם  &lt;תהלה לדוד&gt;</v>
      </c>
    </row>
    <row r="5" spans="1:6" x14ac:dyDescent="0.2">
      <c r="A5" t="s">
        <v>18</v>
      </c>
      <c r="B5" t="s">
        <v>19</v>
      </c>
      <c r="C5" t="s">
        <v>20</v>
      </c>
      <c r="D5" t="s">
        <v>21</v>
      </c>
      <c r="E5" t="s">
        <v>15</v>
      </c>
      <c r="F5" s="2" t="str">
        <f>HYPERLINK("http://www.otzar.org/book.asp?198818","אבודרהם &lt;שפתי דעת&gt;")</f>
        <v>אבודרהם &lt;שפתי דעת&gt;</v>
      </c>
    </row>
    <row r="6" spans="1:6" x14ac:dyDescent="0.2">
      <c r="A6" t="s">
        <v>22</v>
      </c>
      <c r="B6" t="s">
        <v>12</v>
      </c>
      <c r="C6" t="s">
        <v>23</v>
      </c>
      <c r="D6" t="s">
        <v>21</v>
      </c>
      <c r="E6" t="s">
        <v>24</v>
      </c>
      <c r="F6" s="2" t="str">
        <f>HYPERLINK("http://www.otzar.org/book.asp?199819","אבודרהם &lt;מהדורת קרן רא""ם&gt; - 3 כר'")</f>
        <v>אבודרהם &lt;מהדורת קרן רא"ם&gt; - 3 כר'</v>
      </c>
    </row>
    <row r="7" spans="1:6" x14ac:dyDescent="0.2">
      <c r="A7" t="s">
        <v>25</v>
      </c>
      <c r="B7" t="s">
        <v>12</v>
      </c>
      <c r="C7" t="s">
        <v>26</v>
      </c>
      <c r="D7" t="s">
        <v>27</v>
      </c>
      <c r="E7" t="s">
        <v>28</v>
      </c>
      <c r="F7" s="2" t="str">
        <f>HYPERLINK("http://www.otzar.org/book.asp?106035","אבודרהם השלם")</f>
        <v>אבודרהם השלם</v>
      </c>
    </row>
    <row r="8" spans="1:6" x14ac:dyDescent="0.2">
      <c r="A8" t="s">
        <v>29</v>
      </c>
      <c r="B8" t="s">
        <v>12</v>
      </c>
      <c r="C8" t="s">
        <v>8</v>
      </c>
      <c r="D8" t="s">
        <v>30</v>
      </c>
      <c r="E8" t="s">
        <v>31</v>
      </c>
      <c r="F8" s="2" t="str">
        <f>HYPERLINK("http://www.otzar.org/book.asp?12998","אבודרהם עם באור")</f>
        <v>אבודרהם עם באור</v>
      </c>
    </row>
    <row r="9" spans="1:6" x14ac:dyDescent="0.2">
      <c r="A9" t="s">
        <v>32</v>
      </c>
      <c r="B9" t="s">
        <v>12</v>
      </c>
      <c r="C9" t="s">
        <v>33</v>
      </c>
      <c r="D9" t="s">
        <v>34</v>
      </c>
      <c r="E9" t="s">
        <v>15</v>
      </c>
      <c r="F9" s="2" t="str">
        <f>HYPERLINK("http://www.otzar.org/book.asp?164947","אבודרהם - 4 כר'")</f>
        <v>אבודרהם - 4 כר'</v>
      </c>
    </row>
    <row r="10" spans="1:6" x14ac:dyDescent="0.2">
      <c r="A10" t="s">
        <v>35</v>
      </c>
      <c r="B10" t="s">
        <v>36</v>
      </c>
      <c r="C10" t="s">
        <v>37</v>
      </c>
      <c r="D10" t="s">
        <v>21</v>
      </c>
      <c r="E10" t="s">
        <v>38</v>
      </c>
      <c r="F10" s="2" t="str">
        <f>HYPERLINK("http://www.otzar.org/book.asp?603960","אבות אל בנים")</f>
        <v>אבות אל בנים</v>
      </c>
    </row>
    <row r="11" spans="1:6" x14ac:dyDescent="0.2">
      <c r="A11" t="s">
        <v>39</v>
      </c>
      <c r="B11" t="s">
        <v>40</v>
      </c>
      <c r="C11" t="s">
        <v>41</v>
      </c>
      <c r="D11" t="s">
        <v>42</v>
      </c>
      <c r="E11" t="s">
        <v>43</v>
      </c>
      <c r="F11" s="2" t="str">
        <f>HYPERLINK("http://www.otzar.org/book.asp?22346","אבות דר""ן")</f>
        <v>אבות דר"ן</v>
      </c>
    </row>
    <row r="12" spans="1:6" x14ac:dyDescent="0.2">
      <c r="A12" t="s">
        <v>44</v>
      </c>
      <c r="B12" t="s">
        <v>45</v>
      </c>
      <c r="C12" t="s">
        <v>46</v>
      </c>
      <c r="D12" t="s">
        <v>9</v>
      </c>
      <c r="E12" t="s">
        <v>43</v>
      </c>
      <c r="F12" s="2" t="str">
        <f>HYPERLINK("http://www.otzar.org/book.asp?738","אבות דרבי נתן &lt;ב' נוסחאות, עם הערות&gt;")</f>
        <v>אבות דרבי נתן &lt;ב' נוסחאות, עם הערות&gt;</v>
      </c>
    </row>
    <row r="13" spans="1:6" x14ac:dyDescent="0.2">
      <c r="A13" t="s">
        <v>47</v>
      </c>
      <c r="B13" t="s">
        <v>45</v>
      </c>
      <c r="C13" t="s">
        <v>48</v>
      </c>
      <c r="D13" t="s">
        <v>49</v>
      </c>
      <c r="E13" t="s">
        <v>43</v>
      </c>
      <c r="F13" s="2" t="str">
        <f>HYPERLINK("http://www.otzar.org/book.asp?101983","אבות דרבי נתן &lt;דפו""ר&gt;")</f>
        <v>אבות דרבי נתן &lt;דפו"ר&gt;</v>
      </c>
    </row>
    <row r="14" spans="1:6" x14ac:dyDescent="0.2">
      <c r="A14" t="s">
        <v>50</v>
      </c>
      <c r="B14" t="s">
        <v>45</v>
      </c>
      <c r="C14" t="s">
        <v>51</v>
      </c>
      <c r="D14" t="s">
        <v>52</v>
      </c>
      <c r="E14" t="s">
        <v>43</v>
      </c>
      <c r="F14" s="2" t="str">
        <f>HYPERLINK("http://www.otzar.org/book.asp?50739","אבות דרבי נתן &lt;נוסח אחר&gt;")</f>
        <v>אבות דרבי נתן &lt;נוסח אחר&gt;</v>
      </c>
    </row>
    <row r="15" spans="1:6" x14ac:dyDescent="0.2">
      <c r="A15" t="s">
        <v>53</v>
      </c>
      <c r="B15" t="s">
        <v>54</v>
      </c>
      <c r="C15" t="s">
        <v>55</v>
      </c>
      <c r="D15" t="s">
        <v>56</v>
      </c>
      <c r="E15" t="s">
        <v>43</v>
      </c>
      <c r="F15" s="2" t="str">
        <f>HYPERLINK("http://www.otzar.org/book.asp?103326","אבות דרבי נתן &lt;שני אליהו, בן אברהם&gt;")</f>
        <v>אבות דרבי נתן &lt;שני אליהו, בן אברהם&gt;</v>
      </c>
    </row>
    <row r="16" spans="1:6" x14ac:dyDescent="0.2">
      <c r="A16" t="s">
        <v>57</v>
      </c>
      <c r="B16" t="s">
        <v>58</v>
      </c>
      <c r="C16" t="s">
        <v>59</v>
      </c>
      <c r="D16" t="s">
        <v>60</v>
      </c>
      <c r="F16" s="2" t="str">
        <f>HYPERLINK("http://www.otzar.org/book.asp?164739","אבות דרבי נתן &lt;עם פירוש בעל לקח טוב&gt; - 2 כר'")</f>
        <v>אבות דרבי נתן &lt;עם פירוש בעל לקח טוב&gt; - 2 כר'</v>
      </c>
    </row>
    <row r="17" spans="1:6" x14ac:dyDescent="0.2">
      <c r="A17" t="s">
        <v>61</v>
      </c>
      <c r="B17" t="s">
        <v>62</v>
      </c>
      <c r="C17" t="s">
        <v>63</v>
      </c>
      <c r="D17" t="s">
        <v>14</v>
      </c>
      <c r="E17" t="s">
        <v>64</v>
      </c>
      <c r="F17" s="2" t="str">
        <f>HYPERLINK("http://www.otzar.org/book.asp?103349","אבות דרבי נתן &lt;בפיסוק ובביאור קצר&gt;")</f>
        <v>אבות דרבי נתן &lt;בפיסוק ובביאור קצר&gt;</v>
      </c>
    </row>
    <row r="18" spans="1:6" x14ac:dyDescent="0.2">
      <c r="A18" t="s">
        <v>65</v>
      </c>
      <c r="B18" t="s">
        <v>45</v>
      </c>
      <c r="C18" t="s">
        <v>51</v>
      </c>
      <c r="D18" t="s">
        <v>52</v>
      </c>
      <c r="E18" t="s">
        <v>43</v>
      </c>
      <c r="F18" s="2" t="str">
        <f>HYPERLINK("http://www.otzar.org/book.asp?142955","אבות דרבי נתן מנוסח צרפת")</f>
        <v>אבות דרבי נתן מנוסח צרפת</v>
      </c>
    </row>
    <row r="19" spans="1:6" x14ac:dyDescent="0.2">
      <c r="A19" t="s">
        <v>66</v>
      </c>
      <c r="B19" t="s">
        <v>67</v>
      </c>
      <c r="C19" t="s">
        <v>68</v>
      </c>
      <c r="D19" t="s">
        <v>52</v>
      </c>
      <c r="E19" t="s">
        <v>43</v>
      </c>
      <c r="F19" s="2" t="str">
        <f>HYPERLINK("http://www.otzar.org/book.asp?179728","אבות דרבי נתן עם ביאור מגן אבות - 2 כר'")</f>
        <v>אבות דרבי נתן עם ביאור מגן אבות - 2 כר'</v>
      </c>
    </row>
    <row r="20" spans="1:6" x14ac:dyDescent="0.2">
      <c r="A20" t="s">
        <v>69</v>
      </c>
      <c r="B20" t="s">
        <v>70</v>
      </c>
      <c r="C20" t="s">
        <v>71</v>
      </c>
      <c r="D20" t="s">
        <v>72</v>
      </c>
      <c r="F20" s="2" t="str">
        <f>HYPERLINK("http://www.otzar.org/book.asp?183661","אבות הפיוט")</f>
        <v>אבות הפיוט</v>
      </c>
    </row>
    <row r="21" spans="1:6" x14ac:dyDescent="0.2">
      <c r="A21" t="s">
        <v>73</v>
      </c>
      <c r="B21" t="s">
        <v>74</v>
      </c>
      <c r="C21" t="s">
        <v>75</v>
      </c>
      <c r="D21" t="s">
        <v>76</v>
      </c>
      <c r="E21" t="s">
        <v>43</v>
      </c>
      <c r="F21" s="2" t="str">
        <f>HYPERLINK("http://www.otzar.org/book.asp?100208","אבות הראש - 3 כר'")</f>
        <v>אבות הראש - 3 כר'</v>
      </c>
    </row>
    <row r="22" spans="1:6" x14ac:dyDescent="0.2">
      <c r="A22" t="s">
        <v>77</v>
      </c>
      <c r="B22" t="s">
        <v>78</v>
      </c>
      <c r="C22" t="s">
        <v>79</v>
      </c>
      <c r="D22" t="s">
        <v>80</v>
      </c>
      <c r="E22" t="s">
        <v>81</v>
      </c>
      <c r="F22" s="2" t="str">
        <f>HYPERLINK("http://www.otzar.org/book.asp?11482","אבות ובנים בכתבי הקודש")</f>
        <v>אבות ובנים בכתבי הקודש</v>
      </c>
    </row>
    <row r="23" spans="1:6" x14ac:dyDescent="0.2">
      <c r="A23" t="s">
        <v>82</v>
      </c>
      <c r="B23" t="s">
        <v>83</v>
      </c>
      <c r="C23" t="s">
        <v>20</v>
      </c>
      <c r="D23" t="s">
        <v>14</v>
      </c>
      <c r="E23" t="s">
        <v>84</v>
      </c>
      <c r="F23" s="2" t="str">
        <f>HYPERLINK("http://www.otzar.org/book.asp?629878","אבות ובנים על פרקי אבות")</f>
        <v>אבות ובנים על פרקי אבות</v>
      </c>
    </row>
    <row r="24" spans="1:6" x14ac:dyDescent="0.2">
      <c r="A24" t="s">
        <v>85</v>
      </c>
      <c r="B24" t="s">
        <v>86</v>
      </c>
      <c r="C24" t="s">
        <v>87</v>
      </c>
      <c r="D24" t="s">
        <v>52</v>
      </c>
      <c r="F24" s="2" t="str">
        <f>HYPERLINK("http://www.otzar.org/book.asp?619324","אבות ובנים עץ היוחסין למשפחת הינמן")</f>
        <v>אבות ובנים עץ היוחסין למשפחת הינמן</v>
      </c>
    </row>
    <row r="25" spans="1:6" x14ac:dyDescent="0.2">
      <c r="A25" t="s">
        <v>88</v>
      </c>
      <c r="B25" t="s">
        <v>89</v>
      </c>
      <c r="C25" t="s">
        <v>68</v>
      </c>
      <c r="D25" t="s">
        <v>90</v>
      </c>
      <c r="E25" t="s">
        <v>91</v>
      </c>
      <c r="F25" s="2" t="str">
        <f>HYPERLINK("http://www.otzar.org/book.asp?621465","אבות ישראל - 2 כר'")</f>
        <v>אבות ישראל - 2 כר'</v>
      </c>
    </row>
    <row r="26" spans="1:6" x14ac:dyDescent="0.2">
      <c r="A26" t="s">
        <v>92</v>
      </c>
      <c r="B26" t="s">
        <v>93</v>
      </c>
      <c r="C26" t="s">
        <v>20</v>
      </c>
      <c r="D26" t="s">
        <v>90</v>
      </c>
      <c r="F26" s="2" t="str">
        <f>HYPERLINK("http://www.otzar.org/book.asp?606499","אבות עולם &lt;מהדורה חדשה&gt;")</f>
        <v>אבות עולם &lt;מהדורה חדשה&gt;</v>
      </c>
    </row>
    <row r="27" spans="1:6" x14ac:dyDescent="0.2">
      <c r="A27" t="s">
        <v>94</v>
      </c>
      <c r="B27" t="s">
        <v>93</v>
      </c>
      <c r="C27" t="s">
        <v>95</v>
      </c>
      <c r="D27" t="s">
        <v>96</v>
      </c>
      <c r="E27" t="s">
        <v>38</v>
      </c>
      <c r="F27" s="2" t="str">
        <f>HYPERLINK("http://www.otzar.org/book.asp?101943","אבות עולם")</f>
        <v>אבות עולם</v>
      </c>
    </row>
    <row r="28" spans="1:6" x14ac:dyDescent="0.2">
      <c r="A28" t="s">
        <v>97</v>
      </c>
      <c r="B28" t="s">
        <v>98</v>
      </c>
      <c r="C28" t="s">
        <v>99</v>
      </c>
      <c r="D28" t="s">
        <v>100</v>
      </c>
      <c r="E28" t="s">
        <v>84</v>
      </c>
      <c r="F28" s="2" t="str">
        <f>HYPERLINK("http://www.otzar.org/book.asp?300113","אבות על בנים")</f>
        <v>אבות על בנים</v>
      </c>
    </row>
    <row r="29" spans="1:6" x14ac:dyDescent="0.2">
      <c r="A29" t="s">
        <v>101</v>
      </c>
      <c r="B29" t="s">
        <v>102</v>
      </c>
      <c r="C29" t="s">
        <v>103</v>
      </c>
      <c r="D29" t="s">
        <v>14</v>
      </c>
      <c r="E29" t="s">
        <v>104</v>
      </c>
      <c r="F29" s="2" t="str">
        <f>HYPERLINK("http://www.otzar.org/book.asp?603698","אבות על בנים - 2 כר'")</f>
        <v>אבות על בנים - 2 כר'</v>
      </c>
    </row>
    <row r="30" spans="1:6" x14ac:dyDescent="0.2">
      <c r="A30" t="s">
        <v>97</v>
      </c>
      <c r="B30" t="s">
        <v>105</v>
      </c>
      <c r="C30" t="s">
        <v>106</v>
      </c>
      <c r="D30" t="s">
        <v>14</v>
      </c>
      <c r="E30" t="s">
        <v>84</v>
      </c>
      <c r="F30" s="2" t="str">
        <f>HYPERLINK("http://www.otzar.org/book.asp?25851","אבות על בנים")</f>
        <v>אבות על בנים</v>
      </c>
    </row>
    <row r="31" spans="1:6" x14ac:dyDescent="0.2">
      <c r="A31" t="s">
        <v>97</v>
      </c>
      <c r="B31" t="s">
        <v>107</v>
      </c>
      <c r="C31" t="s">
        <v>87</v>
      </c>
      <c r="D31" t="s">
        <v>108</v>
      </c>
      <c r="E31" t="s">
        <v>104</v>
      </c>
      <c r="F31" s="2" t="str">
        <f>HYPERLINK("http://www.otzar.org/book.asp?26115","אבות על בנים")</f>
        <v>אבות על בנים</v>
      </c>
    </row>
    <row r="32" spans="1:6" x14ac:dyDescent="0.2">
      <c r="A32" t="s">
        <v>109</v>
      </c>
      <c r="B32" t="s">
        <v>110</v>
      </c>
      <c r="C32" t="s">
        <v>111</v>
      </c>
      <c r="D32" t="s">
        <v>52</v>
      </c>
      <c r="E32" t="s">
        <v>84</v>
      </c>
      <c r="F32" s="2" t="str">
        <f>HYPERLINK("http://www.otzar.org/book.asp?630335","אבות של זמננו - 4 כר'")</f>
        <v>אבות של זמננו - 4 כר'</v>
      </c>
    </row>
    <row r="33" spans="1:6" x14ac:dyDescent="0.2">
      <c r="A33" t="s">
        <v>112</v>
      </c>
      <c r="B33" t="s">
        <v>113</v>
      </c>
      <c r="C33" t="s">
        <v>114</v>
      </c>
      <c r="D33" t="s">
        <v>115</v>
      </c>
      <c r="E33" t="s">
        <v>84</v>
      </c>
      <c r="F33" s="2" t="str">
        <f>HYPERLINK("http://www.otzar.org/book.asp?629096","אבות שלושה - מסכת אבות")</f>
        <v>אבות שלושה - מסכת אבות</v>
      </c>
    </row>
    <row r="34" spans="1:6" x14ac:dyDescent="0.2">
      <c r="A34" t="s">
        <v>116</v>
      </c>
      <c r="B34" t="s">
        <v>117</v>
      </c>
      <c r="C34" t="s">
        <v>37</v>
      </c>
      <c r="D34" t="s">
        <v>118</v>
      </c>
      <c r="E34" t="s">
        <v>119</v>
      </c>
      <c r="F34" s="2" t="str">
        <f>HYPERLINK("http://www.otzar.org/book.asp?179799","אבותינו בשערי ירושלים")</f>
        <v>אבותינו בשערי ירושלים</v>
      </c>
    </row>
    <row r="35" spans="1:6" x14ac:dyDescent="0.2">
      <c r="A35" t="s">
        <v>120</v>
      </c>
      <c r="B35" t="s">
        <v>121</v>
      </c>
      <c r="C35" t="s">
        <v>23</v>
      </c>
      <c r="D35" t="s">
        <v>90</v>
      </c>
      <c r="E35" t="s">
        <v>84</v>
      </c>
      <c r="F35" s="2" t="str">
        <f>HYPERLINK("http://www.otzar.org/book.asp?194185","אבותינו ולנו - 2 כר'")</f>
        <v>אבותינו ולנו - 2 כר'</v>
      </c>
    </row>
    <row r="36" spans="1:6" x14ac:dyDescent="0.2">
      <c r="A36" t="s">
        <v>122</v>
      </c>
      <c r="B36" t="s">
        <v>123</v>
      </c>
      <c r="C36" t="s">
        <v>124</v>
      </c>
      <c r="D36" t="s">
        <v>14</v>
      </c>
      <c r="E36" t="s">
        <v>104</v>
      </c>
      <c r="F36" s="2" t="str">
        <f>HYPERLINK("http://www.otzar.org/book.asp?618674","אבותינו ספרו - ב")</f>
        <v>אבותינו ספרו - ב</v>
      </c>
    </row>
    <row r="37" spans="1:6" x14ac:dyDescent="0.2">
      <c r="A37" t="s">
        <v>125</v>
      </c>
      <c r="B37" t="s">
        <v>126</v>
      </c>
      <c r="C37" t="s">
        <v>20</v>
      </c>
      <c r="D37" t="s">
        <v>90</v>
      </c>
      <c r="F37" s="2" t="str">
        <f>HYPERLINK("http://www.otzar.org/book.asp?194077","אבי בעזרי - 2 כר'")</f>
        <v>אבי בעזרי - 2 כר'</v>
      </c>
    </row>
    <row r="38" spans="1:6" x14ac:dyDescent="0.2">
      <c r="A38" t="s">
        <v>127</v>
      </c>
      <c r="B38" t="s">
        <v>128</v>
      </c>
      <c r="C38" t="s">
        <v>129</v>
      </c>
      <c r="D38" t="s">
        <v>52</v>
      </c>
      <c r="E38" t="s">
        <v>130</v>
      </c>
      <c r="F38" s="2" t="str">
        <f>HYPERLINK("http://www.otzar.org/book.asp?52629","אבי בעזרי")</f>
        <v>אבי בעזרי</v>
      </c>
    </row>
    <row r="39" spans="1:6" x14ac:dyDescent="0.2">
      <c r="A39" t="s">
        <v>131</v>
      </c>
      <c r="B39" t="s">
        <v>132</v>
      </c>
      <c r="C39" t="s">
        <v>133</v>
      </c>
      <c r="D39" t="s">
        <v>134</v>
      </c>
      <c r="E39" t="s">
        <v>15</v>
      </c>
      <c r="F39" s="2" t="str">
        <f>HYPERLINK("http://www.otzar.org/book.asp?175491","אבי הבן והסנדק")</f>
        <v>אבי הבן והסנדק</v>
      </c>
    </row>
    <row r="40" spans="1:6" x14ac:dyDescent="0.2">
      <c r="A40" t="s">
        <v>135</v>
      </c>
      <c r="B40" t="s">
        <v>136</v>
      </c>
      <c r="C40" t="s">
        <v>37</v>
      </c>
      <c r="D40" t="s">
        <v>14</v>
      </c>
      <c r="E40" t="s">
        <v>119</v>
      </c>
      <c r="F40" s="2" t="str">
        <f>HYPERLINK("http://www.otzar.org/book.asp?627055","אבי הישיבות")</f>
        <v>אבי הישיבות</v>
      </c>
    </row>
    <row r="41" spans="1:6" x14ac:dyDescent="0.2">
      <c r="A41" t="s">
        <v>137</v>
      </c>
      <c r="B41" t="s">
        <v>138</v>
      </c>
      <c r="C41" t="s">
        <v>37</v>
      </c>
      <c r="D41" t="s">
        <v>139</v>
      </c>
      <c r="E41" t="s">
        <v>140</v>
      </c>
      <c r="F41" s="2" t="str">
        <f>HYPERLINK("http://www.otzar.org/book.asp?190754","אבי הנחל - 3 כר'")</f>
        <v>אבי הנחל - 3 כר'</v>
      </c>
    </row>
    <row r="42" spans="1:6" x14ac:dyDescent="0.2">
      <c r="A42" t="s">
        <v>141</v>
      </c>
      <c r="B42" t="s">
        <v>142</v>
      </c>
      <c r="C42" t="s">
        <v>143</v>
      </c>
      <c r="D42" t="s">
        <v>21</v>
      </c>
      <c r="E42" t="s">
        <v>144</v>
      </c>
      <c r="F42" s="2" t="str">
        <f>HYPERLINK("http://www.otzar.org/book.asp?194914","אבי הנחל")</f>
        <v>אבי הנחל</v>
      </c>
    </row>
    <row r="43" spans="1:6" x14ac:dyDescent="0.2">
      <c r="A43" t="s">
        <v>141</v>
      </c>
      <c r="B43" t="s">
        <v>145</v>
      </c>
      <c r="C43" t="s">
        <v>146</v>
      </c>
      <c r="D43" t="s">
        <v>147</v>
      </c>
      <c r="E43" t="s">
        <v>148</v>
      </c>
      <c r="F43" s="2" t="str">
        <f>HYPERLINK("http://www.otzar.org/book.asp?156089","אבי הנחל")</f>
        <v>אבי הנחל</v>
      </c>
    </row>
    <row r="44" spans="1:6" x14ac:dyDescent="0.2">
      <c r="A44" t="s">
        <v>149</v>
      </c>
      <c r="B44" t="s">
        <v>150</v>
      </c>
      <c r="C44" t="s">
        <v>151</v>
      </c>
      <c r="D44" t="s">
        <v>152</v>
      </c>
      <c r="E44" t="s">
        <v>144</v>
      </c>
      <c r="F44" s="2" t="str">
        <f>HYPERLINK("http://www.otzar.org/book.asp?630628","אבי הנחל - זבחים")</f>
        <v>אבי הנחל - זבחים</v>
      </c>
    </row>
    <row r="45" spans="1:6" x14ac:dyDescent="0.2">
      <c r="A45" t="s">
        <v>141</v>
      </c>
      <c r="B45" t="s">
        <v>153</v>
      </c>
      <c r="C45" t="s">
        <v>114</v>
      </c>
      <c r="D45" t="s">
        <v>52</v>
      </c>
      <c r="E45" t="s">
        <v>154</v>
      </c>
      <c r="F45" s="2" t="str">
        <f>HYPERLINK("http://www.otzar.org/book.asp?168206","אבי הנחל")</f>
        <v>אבי הנחל</v>
      </c>
    </row>
    <row r="46" spans="1:6" x14ac:dyDescent="0.2">
      <c r="A46" t="s">
        <v>141</v>
      </c>
      <c r="B46" t="s">
        <v>155</v>
      </c>
      <c r="C46" t="s">
        <v>156</v>
      </c>
      <c r="D46" t="s">
        <v>157</v>
      </c>
      <c r="E46" t="s">
        <v>158</v>
      </c>
      <c r="F46" s="2" t="str">
        <f>HYPERLINK("http://www.otzar.org/book.asp?22444","אבי הנחל")</f>
        <v>אבי הנחל</v>
      </c>
    </row>
    <row r="47" spans="1:6" x14ac:dyDescent="0.2">
      <c r="A47" t="s">
        <v>141</v>
      </c>
      <c r="B47" t="s">
        <v>159</v>
      </c>
      <c r="C47" t="s">
        <v>160</v>
      </c>
      <c r="D47" t="s">
        <v>27</v>
      </c>
      <c r="E47" t="s">
        <v>161</v>
      </c>
      <c r="F47" s="2" t="str">
        <f>HYPERLINK("http://www.otzar.org/book.asp?17072","אבי הנחל")</f>
        <v>אבי הנחל</v>
      </c>
    </row>
    <row r="48" spans="1:6" x14ac:dyDescent="0.2">
      <c r="A48" t="s">
        <v>141</v>
      </c>
      <c r="B48" t="s">
        <v>162</v>
      </c>
      <c r="C48" t="s">
        <v>163</v>
      </c>
      <c r="D48" t="s">
        <v>164</v>
      </c>
      <c r="E48" t="s">
        <v>165</v>
      </c>
      <c r="F48" s="2" t="str">
        <f>HYPERLINK("http://www.otzar.org/book.asp?7424","אבי הנחל")</f>
        <v>אבי הנחל</v>
      </c>
    </row>
    <row r="49" spans="1:6" x14ac:dyDescent="0.2">
      <c r="A49" t="s">
        <v>166</v>
      </c>
      <c r="B49" t="s">
        <v>167</v>
      </c>
      <c r="C49" t="s">
        <v>168</v>
      </c>
      <c r="D49" t="s">
        <v>21</v>
      </c>
      <c r="E49" t="s">
        <v>158</v>
      </c>
      <c r="F49" s="2" t="str">
        <f>HYPERLINK("http://www.otzar.org/book.asp?603953","אבי ידע")</f>
        <v>אבי ידע</v>
      </c>
    </row>
    <row r="50" spans="1:6" x14ac:dyDescent="0.2">
      <c r="A50" t="s">
        <v>169</v>
      </c>
      <c r="B50" t="s">
        <v>170</v>
      </c>
      <c r="C50" t="s">
        <v>171</v>
      </c>
      <c r="D50" t="s">
        <v>14</v>
      </c>
      <c r="E50" t="s">
        <v>172</v>
      </c>
      <c r="F50" s="2" t="str">
        <f>HYPERLINK("http://www.otzar.org/book.asp?156372","אבי עזר - 2 כר'")</f>
        <v>אבי עזר - 2 כר'</v>
      </c>
    </row>
    <row r="51" spans="1:6" x14ac:dyDescent="0.2">
      <c r="A51" t="s">
        <v>173</v>
      </c>
      <c r="B51" t="s">
        <v>174</v>
      </c>
      <c r="C51" t="s">
        <v>103</v>
      </c>
      <c r="D51" t="s">
        <v>52</v>
      </c>
      <c r="E51" t="s">
        <v>144</v>
      </c>
      <c r="F51" s="2" t="str">
        <f>HYPERLINK("http://www.otzar.org/book.asp?26301","אבי עזרי &lt;על הש""ס&gt; - 5 כר'")</f>
        <v>אבי עזרי &lt;על הש"ס&gt; - 5 כר'</v>
      </c>
    </row>
    <row r="52" spans="1:6" x14ac:dyDescent="0.2">
      <c r="A52" t="s">
        <v>175</v>
      </c>
      <c r="B52" t="s">
        <v>174</v>
      </c>
      <c r="C52" t="s">
        <v>176</v>
      </c>
      <c r="D52" t="s">
        <v>52</v>
      </c>
      <c r="E52" t="s">
        <v>15</v>
      </c>
      <c r="F52" s="2" t="str">
        <f>HYPERLINK("http://www.otzar.org/book.asp?26296","אבי עזרי (חיפוש בלבד) - 4 כר'")</f>
        <v>אבי עזרי (חיפוש בלבד) - 4 כר'</v>
      </c>
    </row>
    <row r="53" spans="1:6" x14ac:dyDescent="0.2">
      <c r="A53" t="s">
        <v>177</v>
      </c>
      <c r="B53" t="s">
        <v>174</v>
      </c>
      <c r="C53" t="s">
        <v>103</v>
      </c>
      <c r="D53" t="s">
        <v>14</v>
      </c>
      <c r="E53" t="s">
        <v>144</v>
      </c>
      <c r="F53" s="2" t="str">
        <f>HYPERLINK("http://www.otzar.org/book.asp?26362","אבי עזרי - ספר הגליונות &lt;חיפוש בלבד&gt;")</f>
        <v>אבי עזרי - ספר הגליונות &lt;חיפוש בלבד&gt;</v>
      </c>
    </row>
    <row r="54" spans="1:6" x14ac:dyDescent="0.2">
      <c r="A54" t="s">
        <v>178</v>
      </c>
      <c r="B54" t="s">
        <v>179</v>
      </c>
      <c r="C54" t="s">
        <v>180</v>
      </c>
      <c r="D54" t="s">
        <v>181</v>
      </c>
      <c r="E54" t="s">
        <v>182</v>
      </c>
      <c r="F54" s="2" t="str">
        <f>HYPERLINK("http://www.otzar.org/book.asp?8504","אביאסף - 2 כר'")</f>
        <v>אביאסף - 2 כר'</v>
      </c>
    </row>
    <row r="55" spans="1:6" x14ac:dyDescent="0.2">
      <c r="A55" t="s">
        <v>183</v>
      </c>
      <c r="B55" t="s">
        <v>184</v>
      </c>
      <c r="C55" t="s">
        <v>185</v>
      </c>
      <c r="D55" t="s">
        <v>14</v>
      </c>
      <c r="E55" t="s">
        <v>186</v>
      </c>
      <c r="F55" s="2" t="str">
        <f>HYPERLINK("http://www.otzar.org/book.asp?630465","אביב לה'")</f>
        <v>אביב לה'</v>
      </c>
    </row>
    <row r="56" spans="1:6" x14ac:dyDescent="0.2">
      <c r="A56" t="s">
        <v>187</v>
      </c>
      <c r="B56" t="s">
        <v>188</v>
      </c>
      <c r="C56" t="s">
        <v>189</v>
      </c>
      <c r="D56" t="s">
        <v>14</v>
      </c>
      <c r="E56" t="s">
        <v>15</v>
      </c>
      <c r="F56" s="2" t="str">
        <f>HYPERLINK("http://www.otzar.org/book.asp?60229","אבידה ומציאה")</f>
        <v>אבידה ומציאה</v>
      </c>
    </row>
    <row r="57" spans="1:6" x14ac:dyDescent="0.2">
      <c r="A57" t="s">
        <v>190</v>
      </c>
      <c r="B57" t="s">
        <v>191</v>
      </c>
      <c r="C57" t="s">
        <v>133</v>
      </c>
      <c r="D57" t="s">
        <v>52</v>
      </c>
      <c r="E57" t="s">
        <v>15</v>
      </c>
      <c r="F57" s="2" t="str">
        <f>HYPERLINK("http://www.otzar.org/book.asp?602802","אבידת אחיך")</f>
        <v>אבידת אחיך</v>
      </c>
    </row>
    <row r="58" spans="1:6" x14ac:dyDescent="0.2">
      <c r="A58" t="s">
        <v>192</v>
      </c>
      <c r="B58" t="s">
        <v>193</v>
      </c>
      <c r="C58" t="s">
        <v>114</v>
      </c>
      <c r="D58" t="s">
        <v>21</v>
      </c>
      <c r="E58" t="s">
        <v>119</v>
      </c>
      <c r="F58" s="2" t="str">
        <f>HYPERLINK("http://www.otzar.org/book.asp?603234","אביהם של ישראל (לילדים)")</f>
        <v>אביהם של ישראל (לילדים)</v>
      </c>
    </row>
    <row r="59" spans="1:6" x14ac:dyDescent="0.2">
      <c r="A59" t="s">
        <v>194</v>
      </c>
      <c r="B59" t="s">
        <v>195</v>
      </c>
      <c r="C59" t="s">
        <v>68</v>
      </c>
      <c r="D59" t="s">
        <v>21</v>
      </c>
      <c r="E59" t="s">
        <v>119</v>
      </c>
      <c r="F59" s="2" t="str">
        <f>HYPERLINK("http://www.otzar.org/book.asp?606640","אביהם של ישראל - 5 כר'")</f>
        <v>אביהם של ישראל - 5 כר'</v>
      </c>
    </row>
    <row r="60" spans="1:6" x14ac:dyDescent="0.2">
      <c r="A60" t="s">
        <v>196</v>
      </c>
      <c r="B60" t="s">
        <v>197</v>
      </c>
      <c r="C60" t="s">
        <v>87</v>
      </c>
      <c r="D60" t="s">
        <v>198</v>
      </c>
      <c r="E60" t="s">
        <v>199</v>
      </c>
      <c r="F60" s="2" t="str">
        <f>HYPERLINK("http://www.otzar.org/book.asp?52734","אביהם של ישראל")</f>
        <v>אביהם של ישראל</v>
      </c>
    </row>
    <row r="61" spans="1:6" x14ac:dyDescent="0.2">
      <c r="A61" t="s">
        <v>200</v>
      </c>
      <c r="B61" t="s">
        <v>201</v>
      </c>
      <c r="C61" t="s">
        <v>20</v>
      </c>
      <c r="D61" t="s">
        <v>14</v>
      </c>
      <c r="E61" t="s">
        <v>202</v>
      </c>
      <c r="F61" s="2" t="str">
        <f>HYPERLINK("http://www.otzar.org/book.asp?611100","אביהן - תולדות רבי יחיאל פישל וינגרטן")</f>
        <v>אביהן - תולדות רבי יחיאל פישל וינגרטן</v>
      </c>
    </row>
    <row r="62" spans="1:6" x14ac:dyDescent="0.2">
      <c r="A62" t="s">
        <v>203</v>
      </c>
      <c r="B62" t="s">
        <v>204</v>
      </c>
      <c r="C62" t="s">
        <v>151</v>
      </c>
      <c r="D62" t="s">
        <v>14</v>
      </c>
      <c r="E62" t="s">
        <v>15</v>
      </c>
      <c r="F62" s="2" t="str">
        <f>HYPERLINK("http://www.otzar.org/book.asp?619371","אביו של אדם כמלכו")</f>
        <v>אביו של אדם כמלכו</v>
      </c>
    </row>
    <row r="63" spans="1:6" x14ac:dyDescent="0.2">
      <c r="A63" t="s">
        <v>205</v>
      </c>
      <c r="B63" t="s">
        <v>206</v>
      </c>
      <c r="C63" t="s">
        <v>13</v>
      </c>
      <c r="D63" t="s">
        <v>14</v>
      </c>
      <c r="E63" t="s">
        <v>158</v>
      </c>
      <c r="F63" s="2" t="str">
        <f>HYPERLINK("http://www.otzar.org/book.asp?163128","אביטה נפלאות - מגילת אסתר")</f>
        <v>אביטה נפלאות - מגילת אסתר</v>
      </c>
    </row>
    <row r="64" spans="1:6" x14ac:dyDescent="0.2">
      <c r="A64" t="s">
        <v>207</v>
      </c>
      <c r="B64" t="s">
        <v>208</v>
      </c>
      <c r="C64" t="s">
        <v>133</v>
      </c>
      <c r="D64" t="s">
        <v>14</v>
      </c>
      <c r="E64" t="s">
        <v>144</v>
      </c>
      <c r="F64" s="2" t="str">
        <f>HYPERLINK("http://www.otzar.org/book.asp?189752","אבינתן - בבא מציעא")</f>
        <v>אבינתן - בבא מציעא</v>
      </c>
    </row>
    <row r="65" spans="1:6" x14ac:dyDescent="0.2">
      <c r="A65" t="s">
        <v>209</v>
      </c>
      <c r="B65" t="s">
        <v>210</v>
      </c>
      <c r="C65" t="s">
        <v>211</v>
      </c>
      <c r="D65" t="s">
        <v>212</v>
      </c>
      <c r="E65" t="s">
        <v>213</v>
      </c>
      <c r="F65" s="2" t="str">
        <f>HYPERLINK("http://www.otzar.org/book.asp?84541","אביעה חידות")</f>
        <v>אביעה חידות</v>
      </c>
    </row>
    <row r="66" spans="1:6" x14ac:dyDescent="0.2">
      <c r="A66" t="s">
        <v>214</v>
      </c>
      <c r="B66" t="s">
        <v>215</v>
      </c>
      <c r="C66" t="s">
        <v>17</v>
      </c>
      <c r="D66" t="s">
        <v>216</v>
      </c>
      <c r="E66" t="s">
        <v>104</v>
      </c>
      <c r="F66" s="2" t="str">
        <f>HYPERLINK("http://www.otzar.org/book.asp?153654","אביעה סגולות")</f>
        <v>אביעה סגולות</v>
      </c>
    </row>
    <row r="67" spans="1:6" x14ac:dyDescent="0.2">
      <c r="A67" t="s">
        <v>217</v>
      </c>
      <c r="B67" t="s">
        <v>215</v>
      </c>
      <c r="C67" t="s">
        <v>17</v>
      </c>
      <c r="D67" t="s">
        <v>216</v>
      </c>
      <c r="E67" t="s">
        <v>104</v>
      </c>
      <c r="F67" s="2" t="str">
        <f>HYPERLINK("http://www.otzar.org/book.asp?153653","אביעה רפואות")</f>
        <v>אביעה רפואות</v>
      </c>
    </row>
    <row r="68" spans="1:6" x14ac:dyDescent="0.2">
      <c r="A68" t="s">
        <v>218</v>
      </c>
      <c r="B68" t="s">
        <v>215</v>
      </c>
      <c r="C68" t="s">
        <v>17</v>
      </c>
      <c r="D68" t="s">
        <v>216</v>
      </c>
      <c r="E68" t="s">
        <v>219</v>
      </c>
      <c r="F68" s="2" t="str">
        <f>HYPERLINK("http://www.otzar.org/book.asp?153652","אביעה תפלות")</f>
        <v>אביעה תפלות</v>
      </c>
    </row>
    <row r="69" spans="1:6" x14ac:dyDescent="0.2">
      <c r="A69" t="s">
        <v>220</v>
      </c>
      <c r="B69" t="s">
        <v>221</v>
      </c>
      <c r="C69" t="s">
        <v>103</v>
      </c>
      <c r="D69" t="s">
        <v>14</v>
      </c>
      <c r="E69" t="s">
        <v>119</v>
      </c>
      <c r="F69" s="2" t="str">
        <f>HYPERLINK("http://www.otzar.org/book.asp?171410","אביר המלכות - 2 כר'")</f>
        <v>אביר המלכות - 2 כר'</v>
      </c>
    </row>
    <row r="70" spans="1:6" x14ac:dyDescent="0.2">
      <c r="A70" t="s">
        <v>222</v>
      </c>
      <c r="B70" t="s">
        <v>223</v>
      </c>
      <c r="C70" t="s">
        <v>224</v>
      </c>
      <c r="D70" t="s">
        <v>225</v>
      </c>
      <c r="E70" t="s">
        <v>226</v>
      </c>
      <c r="F70" s="2" t="str">
        <f>HYPERLINK("http://www.otzar.org/book.asp?6040","אביר הרועים")</f>
        <v>אביר הרועים</v>
      </c>
    </row>
    <row r="71" spans="1:6" x14ac:dyDescent="0.2">
      <c r="A71" t="s">
        <v>227</v>
      </c>
      <c r="B71" t="s">
        <v>228</v>
      </c>
      <c r="C71" t="s">
        <v>13</v>
      </c>
      <c r="D71" t="s">
        <v>229</v>
      </c>
      <c r="E71" t="s">
        <v>230</v>
      </c>
      <c r="F71" s="2" t="str">
        <f>HYPERLINK("http://www.otzar.org/book.asp?603817","אביר יוסף")</f>
        <v>אביר יוסף</v>
      </c>
    </row>
    <row r="72" spans="1:6" x14ac:dyDescent="0.2">
      <c r="A72" t="s">
        <v>231</v>
      </c>
      <c r="B72" t="s">
        <v>232</v>
      </c>
      <c r="C72" t="s">
        <v>103</v>
      </c>
      <c r="D72" t="s">
        <v>14</v>
      </c>
      <c r="E72" t="s">
        <v>230</v>
      </c>
      <c r="F72" s="2" t="str">
        <f>HYPERLINK("http://www.otzar.org/book.asp?147007","אביר יעקב &lt;סדיגורה - מהדורה חדשה&gt;")</f>
        <v>אביר יעקב &lt;סדיגורה - מהדורה חדשה&gt;</v>
      </c>
    </row>
    <row r="73" spans="1:6" x14ac:dyDescent="0.2">
      <c r="A73" t="s">
        <v>233</v>
      </c>
      <c r="B73" t="s">
        <v>232</v>
      </c>
      <c r="C73" t="s">
        <v>180</v>
      </c>
      <c r="D73" t="s">
        <v>14</v>
      </c>
      <c r="E73" t="s">
        <v>234</v>
      </c>
      <c r="F73" s="2" t="str">
        <f>HYPERLINK("http://www.otzar.org/book.asp?5420","אביר יעקב &lt;סדיגורה&gt;")</f>
        <v>אביר יעקב &lt;סדיגורה&gt;</v>
      </c>
    </row>
    <row r="74" spans="1:6" x14ac:dyDescent="0.2">
      <c r="A74" t="s">
        <v>235</v>
      </c>
      <c r="B74" t="s">
        <v>236</v>
      </c>
      <c r="C74" t="s">
        <v>237</v>
      </c>
      <c r="D74" t="s">
        <v>9</v>
      </c>
      <c r="E74" t="s">
        <v>154</v>
      </c>
      <c r="F74" s="2" t="str">
        <f>HYPERLINK("http://www.otzar.org/book.asp?102834","אביר יעקב")</f>
        <v>אביר יעקב</v>
      </c>
    </row>
    <row r="75" spans="1:6" x14ac:dyDescent="0.2">
      <c r="A75" t="s">
        <v>238</v>
      </c>
      <c r="B75" t="s">
        <v>239</v>
      </c>
      <c r="C75" t="s">
        <v>151</v>
      </c>
      <c r="D75" t="s">
        <v>240</v>
      </c>
      <c r="E75" t="s">
        <v>241</v>
      </c>
      <c r="F75" s="2" t="str">
        <f>HYPERLINK("http://www.otzar.org/book.asp?625809","אביר יעקב - 8 כר'")</f>
        <v>אביר יעקב - 8 כר'</v>
      </c>
    </row>
    <row r="76" spans="1:6" x14ac:dyDescent="0.2">
      <c r="A76" t="s">
        <v>242</v>
      </c>
      <c r="B76" t="s">
        <v>243</v>
      </c>
      <c r="C76" t="s">
        <v>244</v>
      </c>
      <c r="D76" t="s">
        <v>245</v>
      </c>
      <c r="E76" t="s">
        <v>246</v>
      </c>
      <c r="F76" s="2" t="str">
        <f>HYPERLINK("http://www.otzar.org/book.asp?600238","אביר יעקב - 2 כר'")</f>
        <v>אביר יעקב - 2 כר'</v>
      </c>
    </row>
    <row r="77" spans="1:6" x14ac:dyDescent="0.2">
      <c r="A77" t="s">
        <v>235</v>
      </c>
      <c r="B77" t="s">
        <v>247</v>
      </c>
      <c r="C77" t="s">
        <v>248</v>
      </c>
      <c r="D77" t="s">
        <v>76</v>
      </c>
      <c r="E77" t="s">
        <v>10</v>
      </c>
      <c r="F77" s="2" t="str">
        <f>HYPERLINK("http://www.otzar.org/book.asp?107401","אביר יעקב")</f>
        <v>אביר יעקב</v>
      </c>
    </row>
    <row r="78" spans="1:6" x14ac:dyDescent="0.2">
      <c r="A78" t="s">
        <v>235</v>
      </c>
      <c r="B78" t="s">
        <v>249</v>
      </c>
      <c r="C78" t="s">
        <v>250</v>
      </c>
      <c r="D78" t="s">
        <v>251</v>
      </c>
      <c r="E78" t="s">
        <v>144</v>
      </c>
      <c r="F78" s="2" t="str">
        <f>HYPERLINK("http://www.otzar.org/book.asp?12898","אביר יעקב")</f>
        <v>אביר יעקב</v>
      </c>
    </row>
    <row r="79" spans="1:6" x14ac:dyDescent="0.2">
      <c r="A79" t="s">
        <v>235</v>
      </c>
      <c r="B79" t="s">
        <v>252</v>
      </c>
      <c r="C79" t="s">
        <v>151</v>
      </c>
      <c r="D79" t="s">
        <v>14</v>
      </c>
      <c r="F79" s="2" t="str">
        <f>HYPERLINK("http://www.otzar.org/book.asp?615206","אביר יעקב")</f>
        <v>אביר יעקב</v>
      </c>
    </row>
    <row r="80" spans="1:6" x14ac:dyDescent="0.2">
      <c r="A80" t="s">
        <v>235</v>
      </c>
      <c r="B80" t="s">
        <v>253</v>
      </c>
      <c r="C80" t="s">
        <v>20</v>
      </c>
      <c r="E80" t="s">
        <v>241</v>
      </c>
      <c r="F80" s="2" t="str">
        <f>HYPERLINK("http://www.otzar.org/book.asp?198403","אביר יעקב")</f>
        <v>אביר יעקב</v>
      </c>
    </row>
    <row r="81" spans="1:6" x14ac:dyDescent="0.2">
      <c r="A81" t="s">
        <v>254</v>
      </c>
      <c r="B81" t="s">
        <v>255</v>
      </c>
      <c r="C81" t="s">
        <v>189</v>
      </c>
      <c r="D81" t="s">
        <v>14</v>
      </c>
      <c r="E81" t="s">
        <v>144</v>
      </c>
      <c r="F81" s="2" t="str">
        <f>HYPERLINK("http://www.otzar.org/book.asp?152689","אביר יעקב - שבועות")</f>
        <v>אביר יעקב - שבועות</v>
      </c>
    </row>
    <row r="82" spans="1:6" x14ac:dyDescent="0.2">
      <c r="A82" t="s">
        <v>256</v>
      </c>
      <c r="B82" t="s">
        <v>257</v>
      </c>
      <c r="C82" t="s">
        <v>37</v>
      </c>
      <c r="D82" t="s">
        <v>14</v>
      </c>
      <c r="E82" t="s">
        <v>119</v>
      </c>
      <c r="F82" s="2" t="str">
        <f>HYPERLINK("http://www.otzar.org/book.asp?190108","אבירי בבל")</f>
        <v>אבירי בבל</v>
      </c>
    </row>
    <row r="83" spans="1:6" x14ac:dyDescent="0.2">
      <c r="A83" t="s">
        <v>258</v>
      </c>
      <c r="B83" t="s">
        <v>259</v>
      </c>
      <c r="C83" t="s">
        <v>168</v>
      </c>
      <c r="D83" t="s">
        <v>260</v>
      </c>
      <c r="E83" t="s">
        <v>226</v>
      </c>
      <c r="F83" s="2" t="str">
        <f>HYPERLINK("http://www.otzar.org/book.asp?604049","אבירי הרועים")</f>
        <v>אבירי הרועים</v>
      </c>
    </row>
    <row r="84" spans="1:6" x14ac:dyDescent="0.2">
      <c r="A84" t="s">
        <v>261</v>
      </c>
      <c r="B84" t="s">
        <v>262</v>
      </c>
      <c r="C84" t="s">
        <v>129</v>
      </c>
      <c r="D84" t="s">
        <v>52</v>
      </c>
      <c r="E84" t="s">
        <v>263</v>
      </c>
      <c r="F84" s="2" t="str">
        <f>HYPERLINK("http://www.otzar.org/book.asp?161884","אבישוע")</f>
        <v>אבישוע</v>
      </c>
    </row>
    <row r="85" spans="1:6" x14ac:dyDescent="0.2">
      <c r="A85" t="s">
        <v>264</v>
      </c>
      <c r="B85" t="s">
        <v>265</v>
      </c>
      <c r="C85" t="s">
        <v>266</v>
      </c>
      <c r="D85" t="s">
        <v>267</v>
      </c>
      <c r="E85" t="s">
        <v>104</v>
      </c>
      <c r="F85" s="2" t="str">
        <f>HYPERLINK("http://www.otzar.org/book.asp?167601","אבל אם")</f>
        <v>אבל אם</v>
      </c>
    </row>
    <row r="86" spans="1:6" x14ac:dyDescent="0.2">
      <c r="A86" t="s">
        <v>268</v>
      </c>
      <c r="B86" t="s">
        <v>269</v>
      </c>
      <c r="C86" t="s">
        <v>270</v>
      </c>
      <c r="D86" t="s">
        <v>267</v>
      </c>
      <c r="E86" t="s">
        <v>234</v>
      </c>
      <c r="F86" s="2" t="str">
        <f>HYPERLINK("http://www.otzar.org/book.asp?104374","אבל גדול")</f>
        <v>אבל גדול</v>
      </c>
    </row>
    <row r="87" spans="1:6" x14ac:dyDescent="0.2">
      <c r="A87" t="s">
        <v>271</v>
      </c>
      <c r="B87" t="s">
        <v>272</v>
      </c>
      <c r="C87" t="s">
        <v>37</v>
      </c>
      <c r="D87" t="s">
        <v>273</v>
      </c>
      <c r="F87" s="2" t="str">
        <f>HYPERLINK("http://www.otzar.org/book.asp?607931","אבל ונחמה - מדריך הלכתי")</f>
        <v>אבל ונחמה - מדריך הלכתי</v>
      </c>
    </row>
    <row r="88" spans="1:6" x14ac:dyDescent="0.2">
      <c r="A88" t="s">
        <v>274</v>
      </c>
      <c r="B88" t="s">
        <v>275</v>
      </c>
      <c r="D88" t="s">
        <v>276</v>
      </c>
      <c r="E88" t="s">
        <v>234</v>
      </c>
      <c r="F88" s="2" t="str">
        <f>HYPERLINK("http://www.otzar.org/book.asp?197419","אבל יחיד עשי לך")</f>
        <v>אבל יחיד עשי לך</v>
      </c>
    </row>
    <row r="89" spans="1:6" x14ac:dyDescent="0.2">
      <c r="A89" t="s">
        <v>277</v>
      </c>
      <c r="B89" t="s">
        <v>278</v>
      </c>
      <c r="C89" t="s">
        <v>279</v>
      </c>
      <c r="D89" t="s">
        <v>280</v>
      </c>
      <c r="E89" t="s">
        <v>219</v>
      </c>
      <c r="F89" s="2" t="str">
        <f>HYPERLINK("http://www.otzar.org/book.asp?146836","אבל יחיד")</f>
        <v>אבל יחיד</v>
      </c>
    </row>
    <row r="90" spans="1:6" x14ac:dyDescent="0.2">
      <c r="A90" t="s">
        <v>277</v>
      </c>
      <c r="B90" t="s">
        <v>281</v>
      </c>
      <c r="C90" t="s">
        <v>282</v>
      </c>
      <c r="D90" t="s">
        <v>283</v>
      </c>
      <c r="E90" t="s">
        <v>234</v>
      </c>
      <c r="F90" s="2" t="str">
        <f>HYPERLINK("http://www.otzar.org/book.asp?149975","אבל יחיד")</f>
        <v>אבל יחיד</v>
      </c>
    </row>
    <row r="91" spans="1:6" x14ac:dyDescent="0.2">
      <c r="A91" t="s">
        <v>284</v>
      </c>
      <c r="B91" t="s">
        <v>285</v>
      </c>
      <c r="C91" t="s">
        <v>286</v>
      </c>
      <c r="D91" t="s">
        <v>287</v>
      </c>
      <c r="E91" t="s">
        <v>288</v>
      </c>
      <c r="F91" s="2" t="str">
        <f>HYPERLINK("http://www.otzar.org/book.asp?149393","אבל ישראל")</f>
        <v>אבל ישראל</v>
      </c>
    </row>
    <row r="92" spans="1:6" x14ac:dyDescent="0.2">
      <c r="A92" t="s">
        <v>289</v>
      </c>
      <c r="B92" t="s">
        <v>290</v>
      </c>
      <c r="C92" t="s">
        <v>291</v>
      </c>
      <c r="D92" t="s">
        <v>292</v>
      </c>
      <c r="E92" t="s">
        <v>293</v>
      </c>
      <c r="F92" s="2" t="str">
        <f>HYPERLINK("http://www.otzar.org/book.asp?146695","אבל כבד")</f>
        <v>אבל כבד</v>
      </c>
    </row>
    <row r="93" spans="1:6" x14ac:dyDescent="0.2">
      <c r="A93" t="s">
        <v>289</v>
      </c>
      <c r="B93" t="s">
        <v>294</v>
      </c>
      <c r="C93" t="s">
        <v>237</v>
      </c>
      <c r="D93" t="s">
        <v>27</v>
      </c>
      <c r="E93" t="s">
        <v>295</v>
      </c>
      <c r="F93" s="2" t="str">
        <f>HYPERLINK("http://www.otzar.org/book.asp?103045","אבל כבד")</f>
        <v>אבל כבד</v>
      </c>
    </row>
    <row r="94" spans="1:6" x14ac:dyDescent="0.2">
      <c r="A94" t="s">
        <v>289</v>
      </c>
      <c r="B94" t="s">
        <v>269</v>
      </c>
      <c r="C94" t="s">
        <v>270</v>
      </c>
      <c r="D94" t="s">
        <v>267</v>
      </c>
      <c r="E94" t="s">
        <v>234</v>
      </c>
      <c r="F94" s="2" t="str">
        <f>HYPERLINK("http://www.otzar.org/book.asp?151480","אבל כבד")</f>
        <v>אבל כבד</v>
      </c>
    </row>
    <row r="95" spans="1:6" x14ac:dyDescent="0.2">
      <c r="A95" t="s">
        <v>296</v>
      </c>
      <c r="B95" t="s">
        <v>297</v>
      </c>
      <c r="C95" t="s">
        <v>298</v>
      </c>
      <c r="D95" t="s">
        <v>299</v>
      </c>
      <c r="E95" t="s">
        <v>219</v>
      </c>
      <c r="F95" s="2" t="str">
        <f>HYPERLINK("http://www.otzar.org/book.asp?602580","אבל כרמים")</f>
        <v>אבל כרמים</v>
      </c>
    </row>
    <row r="96" spans="1:6" x14ac:dyDescent="0.2">
      <c r="A96" t="s">
        <v>300</v>
      </c>
      <c r="B96" t="s">
        <v>301</v>
      </c>
      <c r="C96" t="s">
        <v>302</v>
      </c>
      <c r="D96" t="s">
        <v>303</v>
      </c>
      <c r="E96" t="s">
        <v>234</v>
      </c>
      <c r="F96" s="2" t="str">
        <f>HYPERLINK("http://www.otzar.org/book.asp?153060","אבל מצרים - 2 כר'")</f>
        <v>אבל מצרים - 2 כר'</v>
      </c>
    </row>
    <row r="97" spans="1:6" x14ac:dyDescent="0.2">
      <c r="A97" t="s">
        <v>304</v>
      </c>
      <c r="B97" t="s">
        <v>305</v>
      </c>
      <c r="C97" t="s">
        <v>306</v>
      </c>
      <c r="D97" t="s">
        <v>307</v>
      </c>
      <c r="E97" t="s">
        <v>234</v>
      </c>
      <c r="F97" s="2" t="str">
        <f>HYPERLINK("http://www.otzar.org/book.asp?28305","אבל משה")</f>
        <v>אבל משה</v>
      </c>
    </row>
    <row r="98" spans="1:6" x14ac:dyDescent="0.2">
      <c r="A98" t="s">
        <v>304</v>
      </c>
      <c r="B98" t="s">
        <v>308</v>
      </c>
      <c r="C98" t="s">
        <v>156</v>
      </c>
      <c r="D98" t="s">
        <v>309</v>
      </c>
      <c r="E98" t="s">
        <v>158</v>
      </c>
      <c r="F98" s="2" t="str">
        <f>HYPERLINK("http://www.otzar.org/book.asp?166831","אבל משה")</f>
        <v>אבל משה</v>
      </c>
    </row>
    <row r="99" spans="1:6" x14ac:dyDescent="0.2">
      <c r="A99" t="s">
        <v>310</v>
      </c>
      <c r="B99" t="s">
        <v>311</v>
      </c>
      <c r="C99" t="s">
        <v>237</v>
      </c>
      <c r="D99" t="s">
        <v>260</v>
      </c>
      <c r="E99" t="s">
        <v>43</v>
      </c>
      <c r="F99" s="2" t="str">
        <f>HYPERLINK("http://www.otzar.org/book.asp?8752","אבל רבתי")</f>
        <v>אבל רבתי</v>
      </c>
    </row>
    <row r="100" spans="1:6" x14ac:dyDescent="0.2">
      <c r="A100" t="s">
        <v>312</v>
      </c>
      <c r="B100" t="s">
        <v>107</v>
      </c>
      <c r="C100" t="s">
        <v>313</v>
      </c>
      <c r="D100" t="s">
        <v>14</v>
      </c>
      <c r="E100" t="s">
        <v>314</v>
      </c>
      <c r="F100" s="2" t="str">
        <f>HYPERLINK("http://www.otzar.org/book.asp?6113","אבלות החורבן")</f>
        <v>אבלות החורבן</v>
      </c>
    </row>
    <row r="101" spans="1:6" x14ac:dyDescent="0.2">
      <c r="A101" t="s">
        <v>315</v>
      </c>
      <c r="B101" t="s">
        <v>316</v>
      </c>
      <c r="C101" t="s">
        <v>185</v>
      </c>
      <c r="D101" t="s">
        <v>14</v>
      </c>
      <c r="E101" t="s">
        <v>15</v>
      </c>
      <c r="F101" s="2" t="str">
        <f>HYPERLINK("http://www.otzar.org/book.asp?630339","אבלות וטעמיה")</f>
        <v>אבלות וטעמיה</v>
      </c>
    </row>
    <row r="102" spans="1:6" x14ac:dyDescent="0.2">
      <c r="A102" t="s">
        <v>317</v>
      </c>
      <c r="B102" t="s">
        <v>318</v>
      </c>
      <c r="C102" t="s">
        <v>244</v>
      </c>
      <c r="D102" t="s">
        <v>14</v>
      </c>
      <c r="F102" s="2" t="str">
        <f>HYPERLINK("http://www.otzar.org/book.asp?199437","אבן אחת")</f>
        <v>אבן אחת</v>
      </c>
    </row>
    <row r="103" spans="1:6" x14ac:dyDescent="0.2">
      <c r="A103" t="s">
        <v>319</v>
      </c>
      <c r="B103" t="s">
        <v>320</v>
      </c>
      <c r="C103" t="s">
        <v>321</v>
      </c>
      <c r="D103" t="s">
        <v>322</v>
      </c>
      <c r="E103" t="s">
        <v>241</v>
      </c>
      <c r="F103" s="2" t="str">
        <f>HYPERLINK("http://www.otzar.org/book.asp?390","אבן בוחן - א ב")</f>
        <v>אבן בוחן - א ב</v>
      </c>
    </row>
    <row r="104" spans="1:6" x14ac:dyDescent="0.2">
      <c r="A104" t="s">
        <v>323</v>
      </c>
      <c r="B104" t="s">
        <v>324</v>
      </c>
      <c r="C104" t="s">
        <v>189</v>
      </c>
      <c r="D104" t="s">
        <v>14</v>
      </c>
      <c r="E104" t="s">
        <v>325</v>
      </c>
      <c r="F104" s="2" t="str">
        <f>HYPERLINK("http://www.otzar.org/book.asp?160910","אבן בוחן")</f>
        <v>אבן בוחן</v>
      </c>
    </row>
    <row r="105" spans="1:6" x14ac:dyDescent="0.2">
      <c r="A105" t="s">
        <v>323</v>
      </c>
      <c r="B105" t="s">
        <v>326</v>
      </c>
      <c r="C105" t="s">
        <v>306</v>
      </c>
      <c r="D105" t="s">
        <v>327</v>
      </c>
      <c r="E105" t="s">
        <v>172</v>
      </c>
      <c r="F105" s="2" t="str">
        <f>HYPERLINK("http://www.otzar.org/book.asp?300114","אבן בוחן")</f>
        <v>אבן בוחן</v>
      </c>
    </row>
    <row r="106" spans="1:6" x14ac:dyDescent="0.2">
      <c r="A106" t="s">
        <v>328</v>
      </c>
      <c r="B106" t="s">
        <v>329</v>
      </c>
      <c r="C106" t="s">
        <v>330</v>
      </c>
      <c r="D106" t="s">
        <v>95</v>
      </c>
      <c r="E106" t="s">
        <v>241</v>
      </c>
      <c r="F106" s="2" t="str">
        <f>HYPERLINK("http://www.otzar.org/book.asp?145451","אבן בוחן - 2 כר'")</f>
        <v>אבן בוחן - 2 כר'</v>
      </c>
    </row>
    <row r="107" spans="1:6" x14ac:dyDescent="0.2">
      <c r="A107" t="s">
        <v>328</v>
      </c>
      <c r="B107" t="s">
        <v>331</v>
      </c>
      <c r="C107" t="s">
        <v>332</v>
      </c>
      <c r="D107" t="s">
        <v>14</v>
      </c>
      <c r="E107" t="s">
        <v>158</v>
      </c>
      <c r="F107" s="2" t="str">
        <f>HYPERLINK("http://www.otzar.org/book.asp?615829","אבן בוחן - 2 כר'")</f>
        <v>אבן בוחן - 2 כר'</v>
      </c>
    </row>
    <row r="108" spans="1:6" x14ac:dyDescent="0.2">
      <c r="A108" t="s">
        <v>333</v>
      </c>
      <c r="B108" t="s">
        <v>331</v>
      </c>
      <c r="C108" t="s">
        <v>334</v>
      </c>
      <c r="D108" t="s">
        <v>14</v>
      </c>
      <c r="E108" t="s">
        <v>158</v>
      </c>
      <c r="F108" s="2" t="str">
        <f>HYPERLINK("http://www.otzar.org/book.asp?619747","אבן בוחן, מרגליות טובה")</f>
        <v>אבן בוחן, מרגליות טובה</v>
      </c>
    </row>
    <row r="109" spans="1:6" x14ac:dyDescent="0.2">
      <c r="A109" t="s">
        <v>335</v>
      </c>
      <c r="B109" t="s">
        <v>336</v>
      </c>
      <c r="C109" t="s">
        <v>306</v>
      </c>
      <c r="D109" t="s">
        <v>327</v>
      </c>
      <c r="E109" t="s">
        <v>234</v>
      </c>
      <c r="F109" s="2" t="str">
        <f>HYPERLINK("http://www.otzar.org/book.asp?300115","אבן בחן")</f>
        <v>אבן בחן</v>
      </c>
    </row>
    <row r="110" spans="1:6" x14ac:dyDescent="0.2">
      <c r="A110" t="s">
        <v>337</v>
      </c>
      <c r="B110" t="s">
        <v>338</v>
      </c>
      <c r="C110" t="s">
        <v>23</v>
      </c>
      <c r="D110" t="s">
        <v>14</v>
      </c>
      <c r="E110" t="s">
        <v>154</v>
      </c>
      <c r="F110" s="2" t="str">
        <f>HYPERLINK("http://www.otzar.org/book.asp?608672","אבן בחן - שו""ת")</f>
        <v>אבן בחן - שו"ת</v>
      </c>
    </row>
    <row r="111" spans="1:6" x14ac:dyDescent="0.2">
      <c r="A111" t="s">
        <v>335</v>
      </c>
      <c r="B111" t="s">
        <v>329</v>
      </c>
      <c r="C111" t="s">
        <v>339</v>
      </c>
      <c r="D111" t="s">
        <v>340</v>
      </c>
      <c r="F111" s="2" t="str">
        <f>HYPERLINK("http://www.otzar.org/book.asp?170200","אבן בחן")</f>
        <v>אבן בחן</v>
      </c>
    </row>
    <row r="112" spans="1:6" x14ac:dyDescent="0.2">
      <c r="A112" t="s">
        <v>341</v>
      </c>
      <c r="B112" t="s">
        <v>342</v>
      </c>
      <c r="C112" t="s">
        <v>343</v>
      </c>
      <c r="D112" t="s">
        <v>344</v>
      </c>
      <c r="E112" t="s">
        <v>345</v>
      </c>
      <c r="F112" s="2" t="str">
        <f>HYPERLINK("http://www.otzar.org/book.asp?51304","אבן גדולה")</f>
        <v>אבן גדולה</v>
      </c>
    </row>
    <row r="113" spans="1:6" x14ac:dyDescent="0.2">
      <c r="A113" t="s">
        <v>346</v>
      </c>
      <c r="B113" t="s">
        <v>347</v>
      </c>
      <c r="C113" t="s">
        <v>348</v>
      </c>
      <c r="D113" t="s">
        <v>27</v>
      </c>
      <c r="E113" t="s">
        <v>15</v>
      </c>
      <c r="F113" s="2" t="str">
        <f>HYPERLINK("http://www.otzar.org/book.asp?17550","אבן האזל - 8 כר'")</f>
        <v>אבן האזל - 8 כר'</v>
      </c>
    </row>
    <row r="114" spans="1:6" x14ac:dyDescent="0.2">
      <c r="A114" t="s">
        <v>349</v>
      </c>
      <c r="B114" t="s">
        <v>350</v>
      </c>
      <c r="C114" t="s">
        <v>351</v>
      </c>
      <c r="D114" t="s">
        <v>352</v>
      </c>
      <c r="E114" t="s">
        <v>353</v>
      </c>
      <c r="F114" s="2" t="str">
        <f>HYPERLINK("http://www.otzar.org/book.asp?9651","אבן הבוחן &lt;המזוייף&gt;")</f>
        <v>אבן הבוחן &lt;המזוייף&gt;</v>
      </c>
    </row>
    <row r="115" spans="1:6" x14ac:dyDescent="0.2">
      <c r="A115" t="s">
        <v>354</v>
      </c>
      <c r="B115" t="s">
        <v>355</v>
      </c>
      <c r="C115" t="s">
        <v>356</v>
      </c>
      <c r="D115" t="s">
        <v>14</v>
      </c>
      <c r="E115" t="s">
        <v>357</v>
      </c>
      <c r="F115" s="2" t="str">
        <f>HYPERLINK("http://www.otzar.org/book.asp?106496","אבן הבוחן &lt;פנינים יקרים&gt;")</f>
        <v>אבן הבוחן &lt;פנינים יקרים&gt;</v>
      </c>
    </row>
    <row r="116" spans="1:6" x14ac:dyDescent="0.2">
      <c r="A116" t="s">
        <v>358</v>
      </c>
      <c r="B116" t="s">
        <v>359</v>
      </c>
      <c r="C116" t="s">
        <v>360</v>
      </c>
      <c r="D116" t="s">
        <v>283</v>
      </c>
      <c r="E116" t="s">
        <v>144</v>
      </c>
      <c r="F116" s="2" t="str">
        <f>HYPERLINK("http://www.otzar.org/book.asp?25577","אבן הבוחן בחינת התלמידים")</f>
        <v>אבן הבוחן בחינת התלמידים</v>
      </c>
    </row>
    <row r="117" spans="1:6" x14ac:dyDescent="0.2">
      <c r="A117" t="s">
        <v>361</v>
      </c>
      <c r="B117" t="s">
        <v>359</v>
      </c>
      <c r="C117" t="s">
        <v>362</v>
      </c>
      <c r="D117" t="s">
        <v>283</v>
      </c>
      <c r="E117" t="s">
        <v>144</v>
      </c>
      <c r="F117" s="2" t="str">
        <f>HYPERLINK("http://www.otzar.org/book.asp?6612","אבן הבוחן")</f>
        <v>אבן הבוחן</v>
      </c>
    </row>
    <row r="118" spans="1:6" x14ac:dyDescent="0.2">
      <c r="A118" t="s">
        <v>361</v>
      </c>
      <c r="B118" t="s">
        <v>363</v>
      </c>
      <c r="C118" t="s">
        <v>23</v>
      </c>
      <c r="D118" t="s">
        <v>52</v>
      </c>
      <c r="E118" t="s">
        <v>172</v>
      </c>
      <c r="F118" s="2" t="str">
        <f>HYPERLINK("http://www.otzar.org/book.asp?194125","אבן הבוחן")</f>
        <v>אבן הבוחן</v>
      </c>
    </row>
    <row r="119" spans="1:6" x14ac:dyDescent="0.2">
      <c r="A119" t="s">
        <v>364</v>
      </c>
      <c r="B119" t="s">
        <v>365</v>
      </c>
      <c r="C119" t="s">
        <v>366</v>
      </c>
      <c r="D119" t="s">
        <v>367</v>
      </c>
      <c r="E119" t="s">
        <v>144</v>
      </c>
      <c r="F119" s="2" t="str">
        <f>HYPERLINK("http://www.otzar.org/book.asp?601316","אבן הבוחן - 7 כר'")</f>
        <v>אבן הבוחן - 7 כר'</v>
      </c>
    </row>
    <row r="120" spans="1:6" x14ac:dyDescent="0.2">
      <c r="A120" t="s">
        <v>368</v>
      </c>
      <c r="B120" t="s">
        <v>369</v>
      </c>
      <c r="C120" t="s">
        <v>151</v>
      </c>
      <c r="E120" t="s">
        <v>234</v>
      </c>
      <c r="F120" s="2" t="str">
        <f>HYPERLINK("http://www.otzar.org/book.asp?619005","אבן הבונים - עשרה פתיתים")</f>
        <v>אבן הבונים - עשרה פתיתים</v>
      </c>
    </row>
    <row r="121" spans="1:6" x14ac:dyDescent="0.2">
      <c r="A121" t="s">
        <v>370</v>
      </c>
      <c r="B121" t="s">
        <v>371</v>
      </c>
      <c r="C121" t="s">
        <v>244</v>
      </c>
      <c r="D121" t="s">
        <v>21</v>
      </c>
      <c r="E121" t="s">
        <v>144</v>
      </c>
      <c r="F121" s="2" t="str">
        <f>HYPERLINK("http://www.otzar.org/book.asp?601319","אבן הבנין")</f>
        <v>אבן הבנין</v>
      </c>
    </row>
    <row r="122" spans="1:6" x14ac:dyDescent="0.2">
      <c r="A122" t="s">
        <v>372</v>
      </c>
      <c r="B122" t="s">
        <v>373</v>
      </c>
      <c r="C122" t="s">
        <v>351</v>
      </c>
      <c r="D122" t="s">
        <v>42</v>
      </c>
      <c r="E122" t="s">
        <v>15</v>
      </c>
      <c r="F122" s="2" t="str">
        <f>HYPERLINK("http://www.otzar.org/book.asp?28509","אבן הטועים")</f>
        <v>אבן הטועים</v>
      </c>
    </row>
    <row r="123" spans="1:6" x14ac:dyDescent="0.2">
      <c r="A123" t="s">
        <v>374</v>
      </c>
      <c r="B123" t="s">
        <v>375</v>
      </c>
      <c r="C123" t="s">
        <v>87</v>
      </c>
      <c r="D123" t="s">
        <v>52</v>
      </c>
      <c r="E123" t="s">
        <v>144</v>
      </c>
      <c r="F123" s="2" t="str">
        <f>HYPERLINK("http://www.otzar.org/book.asp?149550","אבן הטוען - 2 כר'")</f>
        <v>אבן הטוען - 2 כר'</v>
      </c>
    </row>
    <row r="124" spans="1:6" x14ac:dyDescent="0.2">
      <c r="A124" t="s">
        <v>376</v>
      </c>
      <c r="B124" t="s">
        <v>377</v>
      </c>
      <c r="C124" t="s">
        <v>378</v>
      </c>
      <c r="D124" t="s">
        <v>379</v>
      </c>
      <c r="E124" t="s">
        <v>380</v>
      </c>
      <c r="F124" s="2" t="str">
        <f>HYPERLINK("http://www.otzar.org/book.asp?300116","אבן המאיר א-ג")</f>
        <v>אבן המאיר א-ג</v>
      </c>
    </row>
    <row r="125" spans="1:6" x14ac:dyDescent="0.2">
      <c r="A125" t="s">
        <v>381</v>
      </c>
      <c r="B125" t="s">
        <v>382</v>
      </c>
      <c r="C125" t="s">
        <v>383</v>
      </c>
      <c r="D125" t="s">
        <v>14</v>
      </c>
      <c r="E125" t="s">
        <v>384</v>
      </c>
      <c r="F125" s="2" t="str">
        <f>HYPERLINK("http://www.otzar.org/book.asp?144083","אבן המשפט")</f>
        <v>אבן המשפט</v>
      </c>
    </row>
    <row r="126" spans="1:6" x14ac:dyDescent="0.2">
      <c r="A126" t="s">
        <v>385</v>
      </c>
      <c r="B126" t="s">
        <v>386</v>
      </c>
      <c r="C126" t="s">
        <v>17</v>
      </c>
      <c r="D126" t="s">
        <v>14</v>
      </c>
      <c r="E126" t="s">
        <v>144</v>
      </c>
      <c r="F126" s="2" t="str">
        <f>HYPERLINK("http://www.otzar.org/book.asp?161768","אבן הספיר - 2 כר'")</f>
        <v>אבן הספיר - 2 כר'</v>
      </c>
    </row>
    <row r="127" spans="1:6" x14ac:dyDescent="0.2">
      <c r="A127" t="s">
        <v>387</v>
      </c>
      <c r="B127" t="s">
        <v>342</v>
      </c>
      <c r="C127" t="s">
        <v>343</v>
      </c>
      <c r="D127" t="s">
        <v>56</v>
      </c>
      <c r="E127" t="s">
        <v>148</v>
      </c>
      <c r="F127" s="2" t="str">
        <f>HYPERLINK("http://www.otzar.org/book.asp?51720","אבן העזר")</f>
        <v>אבן העזר</v>
      </c>
    </row>
    <row r="128" spans="1:6" x14ac:dyDescent="0.2">
      <c r="A128" t="s">
        <v>388</v>
      </c>
      <c r="B128" t="s">
        <v>389</v>
      </c>
      <c r="C128" t="s">
        <v>390</v>
      </c>
      <c r="D128" t="s">
        <v>14</v>
      </c>
      <c r="E128" t="s">
        <v>140</v>
      </c>
      <c r="F128" s="2" t="str">
        <f>HYPERLINK("http://www.otzar.org/book.asp?10546","אבן הרא""ש")</f>
        <v>אבן הרא"ש</v>
      </c>
    </row>
    <row r="129" spans="1:6" x14ac:dyDescent="0.2">
      <c r="A129" t="s">
        <v>391</v>
      </c>
      <c r="B129" t="s">
        <v>392</v>
      </c>
      <c r="C129" t="s">
        <v>20</v>
      </c>
      <c r="D129" t="s">
        <v>90</v>
      </c>
      <c r="E129" t="s">
        <v>393</v>
      </c>
      <c r="F129" s="2" t="str">
        <f>HYPERLINK("http://www.otzar.org/book.asp?616926","אבן הראשה")</f>
        <v>אבן הראשה</v>
      </c>
    </row>
    <row r="130" spans="1:6" x14ac:dyDescent="0.2">
      <c r="A130" t="s">
        <v>391</v>
      </c>
      <c r="B130" t="s">
        <v>394</v>
      </c>
      <c r="C130" t="s">
        <v>395</v>
      </c>
      <c r="D130" t="s">
        <v>283</v>
      </c>
      <c r="E130" t="s">
        <v>396</v>
      </c>
      <c r="F130" s="2" t="str">
        <f>HYPERLINK("http://www.otzar.org/book.asp?100222","אבן הראשה")</f>
        <v>אבן הראשה</v>
      </c>
    </row>
    <row r="131" spans="1:6" x14ac:dyDescent="0.2">
      <c r="A131" t="s">
        <v>397</v>
      </c>
      <c r="B131" t="s">
        <v>398</v>
      </c>
      <c r="C131" t="s">
        <v>111</v>
      </c>
      <c r="D131" t="s">
        <v>14</v>
      </c>
      <c r="E131" t="s">
        <v>399</v>
      </c>
      <c r="F131" s="2" t="str">
        <f>HYPERLINK("http://www.otzar.org/book.asp?626710","אבן השהם &lt;אבן למלאת&gt;")</f>
        <v>אבן השהם &lt;אבן למלאת&gt;</v>
      </c>
    </row>
    <row r="132" spans="1:6" x14ac:dyDescent="0.2">
      <c r="A132" t="s">
        <v>400</v>
      </c>
      <c r="B132" t="s">
        <v>401</v>
      </c>
      <c r="C132" t="s">
        <v>402</v>
      </c>
      <c r="D132" t="s">
        <v>403</v>
      </c>
      <c r="E132" t="s">
        <v>154</v>
      </c>
      <c r="F132" s="2" t="str">
        <f>HYPERLINK("http://www.otzar.org/book.asp?10665","אבן השהם ומאירת עינים - א")</f>
        <v>אבן השהם ומאירת עינים - א</v>
      </c>
    </row>
    <row r="133" spans="1:6" x14ac:dyDescent="0.2">
      <c r="A133" t="s">
        <v>404</v>
      </c>
      <c r="B133" t="s">
        <v>405</v>
      </c>
      <c r="C133" t="s">
        <v>406</v>
      </c>
      <c r="D133" t="s">
        <v>14</v>
      </c>
      <c r="E133" t="s">
        <v>399</v>
      </c>
      <c r="F133" s="2" t="str">
        <f>HYPERLINK("http://www.otzar.org/book.asp?107180","אבן השהם - 8 כר'")</f>
        <v>אבן השהם - 8 כר'</v>
      </c>
    </row>
    <row r="134" spans="1:6" x14ac:dyDescent="0.2">
      <c r="A134" t="s">
        <v>407</v>
      </c>
      <c r="B134" t="s">
        <v>408</v>
      </c>
      <c r="C134" t="s">
        <v>143</v>
      </c>
      <c r="D134" t="s">
        <v>90</v>
      </c>
      <c r="E134" t="s">
        <v>154</v>
      </c>
      <c r="F134" s="2" t="str">
        <f>HYPERLINK("http://www.otzar.org/book.asp?617851","אבן חן - א")</f>
        <v>אבן חן - א</v>
      </c>
    </row>
    <row r="135" spans="1:6" x14ac:dyDescent="0.2">
      <c r="A135" t="s">
        <v>409</v>
      </c>
      <c r="B135" t="s">
        <v>410</v>
      </c>
      <c r="C135" t="s">
        <v>411</v>
      </c>
      <c r="D135" t="s">
        <v>412</v>
      </c>
      <c r="E135" t="s">
        <v>158</v>
      </c>
      <c r="F135" s="2" t="str">
        <f>HYPERLINK("http://www.otzar.org/book.asp?602731","אבן טובה - בראשית")</f>
        <v>אבן טובה - בראשית</v>
      </c>
    </row>
    <row r="136" spans="1:6" x14ac:dyDescent="0.2">
      <c r="A136" t="s">
        <v>413</v>
      </c>
      <c r="B136" t="s">
        <v>414</v>
      </c>
      <c r="C136" t="s">
        <v>133</v>
      </c>
      <c r="D136" t="s">
        <v>245</v>
      </c>
      <c r="E136" t="s">
        <v>144</v>
      </c>
      <c r="F136" s="2" t="str">
        <f>HYPERLINK("http://www.otzar.org/book.asp?172922","אבן טובה - יבמות")</f>
        <v>אבן טובה - יבמות</v>
      </c>
    </row>
    <row r="137" spans="1:6" x14ac:dyDescent="0.2">
      <c r="A137" t="s">
        <v>415</v>
      </c>
      <c r="B137" t="s">
        <v>416</v>
      </c>
      <c r="C137" t="s">
        <v>366</v>
      </c>
      <c r="D137" t="s">
        <v>14</v>
      </c>
      <c r="F137" s="2" t="str">
        <f>HYPERLINK("http://www.otzar.org/book.asp?610322","אבן טובה - 9 כר'")</f>
        <v>אבן טובה - 9 כר'</v>
      </c>
    </row>
    <row r="138" spans="1:6" x14ac:dyDescent="0.2">
      <c r="A138" t="s">
        <v>417</v>
      </c>
      <c r="B138" t="s">
        <v>418</v>
      </c>
      <c r="C138" t="s">
        <v>419</v>
      </c>
      <c r="D138" t="s">
        <v>14</v>
      </c>
      <c r="E138" t="s">
        <v>172</v>
      </c>
      <c r="F138" s="2" t="str">
        <f>HYPERLINK("http://www.otzar.org/book.asp?173140","אבן יהודה - אבני חושן")</f>
        <v>אבן יהודה - אבני חושן</v>
      </c>
    </row>
    <row r="139" spans="1:6" x14ac:dyDescent="0.2">
      <c r="A139" t="s">
        <v>420</v>
      </c>
      <c r="B139" t="s">
        <v>421</v>
      </c>
      <c r="C139" t="s">
        <v>422</v>
      </c>
      <c r="D139" t="s">
        <v>423</v>
      </c>
      <c r="E139" t="s">
        <v>424</v>
      </c>
      <c r="F139" s="2" t="str">
        <f>HYPERLINK("http://www.otzar.org/book.asp?154254","אבן יהודה")</f>
        <v>אבן יהודה</v>
      </c>
    </row>
    <row r="140" spans="1:6" x14ac:dyDescent="0.2">
      <c r="A140" t="s">
        <v>425</v>
      </c>
      <c r="B140" t="s">
        <v>426</v>
      </c>
      <c r="C140" t="s">
        <v>427</v>
      </c>
      <c r="D140" t="s">
        <v>14</v>
      </c>
      <c r="E140" t="s">
        <v>158</v>
      </c>
      <c r="F140" s="2" t="str">
        <f>HYPERLINK("http://www.otzar.org/book.asp?7171","אבן יהושע")</f>
        <v>אבן יהושע</v>
      </c>
    </row>
    <row r="141" spans="1:6" x14ac:dyDescent="0.2">
      <c r="A141" t="s">
        <v>425</v>
      </c>
      <c r="B141" t="s">
        <v>428</v>
      </c>
      <c r="C141" t="s">
        <v>429</v>
      </c>
      <c r="D141" t="s">
        <v>283</v>
      </c>
      <c r="E141" t="s">
        <v>430</v>
      </c>
      <c r="F141" s="2" t="str">
        <f>HYPERLINK("http://www.otzar.org/book.asp?14258","אבן יהושע")</f>
        <v>אבן יהושע</v>
      </c>
    </row>
    <row r="142" spans="1:6" x14ac:dyDescent="0.2">
      <c r="A142" t="s">
        <v>431</v>
      </c>
      <c r="B142" t="s">
        <v>432</v>
      </c>
      <c r="C142" t="s">
        <v>433</v>
      </c>
      <c r="D142" t="s">
        <v>9</v>
      </c>
      <c r="E142" t="s">
        <v>246</v>
      </c>
      <c r="F142" s="2" t="str">
        <f>HYPERLINK("http://www.otzar.org/book.asp?15856","אבן יחזקאל")</f>
        <v>אבן יחזקאל</v>
      </c>
    </row>
    <row r="143" spans="1:6" x14ac:dyDescent="0.2">
      <c r="A143" t="s">
        <v>431</v>
      </c>
      <c r="B143" t="s">
        <v>434</v>
      </c>
      <c r="C143" t="s">
        <v>20</v>
      </c>
      <c r="D143" t="s">
        <v>90</v>
      </c>
      <c r="E143" t="s">
        <v>435</v>
      </c>
      <c r="F143" s="2" t="str">
        <f>HYPERLINK("http://www.otzar.org/book.asp?626421","אבן יחזקאל")</f>
        <v>אבן יחזקאל</v>
      </c>
    </row>
    <row r="144" spans="1:6" x14ac:dyDescent="0.2">
      <c r="A144" t="s">
        <v>436</v>
      </c>
      <c r="B144" t="s">
        <v>437</v>
      </c>
      <c r="C144" t="s">
        <v>438</v>
      </c>
      <c r="D144" t="s">
        <v>14</v>
      </c>
      <c r="E144" t="s">
        <v>439</v>
      </c>
      <c r="F144" s="2" t="str">
        <f>HYPERLINK("http://www.otzar.org/book.asp?11564","אבן יעקב")</f>
        <v>אבן יעקב</v>
      </c>
    </row>
    <row r="145" spans="1:6" x14ac:dyDescent="0.2">
      <c r="A145" t="s">
        <v>440</v>
      </c>
      <c r="B145" t="s">
        <v>441</v>
      </c>
      <c r="C145" t="s">
        <v>442</v>
      </c>
      <c r="D145" t="s">
        <v>9</v>
      </c>
      <c r="E145" t="s">
        <v>443</v>
      </c>
      <c r="F145" s="2" t="str">
        <f>HYPERLINK("http://www.otzar.org/book.asp?17084","אבן יעקב - 4 כר'")</f>
        <v>אבן יעקב - 4 כר'</v>
      </c>
    </row>
    <row r="146" spans="1:6" x14ac:dyDescent="0.2">
      <c r="A146" t="s">
        <v>436</v>
      </c>
      <c r="B146" t="s">
        <v>444</v>
      </c>
      <c r="C146" t="s">
        <v>445</v>
      </c>
      <c r="D146" t="s">
        <v>446</v>
      </c>
      <c r="E146" t="s">
        <v>84</v>
      </c>
      <c r="F146" s="2" t="str">
        <f>HYPERLINK("http://www.otzar.org/book.asp?23952","אבן יעקב")</f>
        <v>אבן יעקב</v>
      </c>
    </row>
    <row r="147" spans="1:6" x14ac:dyDescent="0.2">
      <c r="A147" t="s">
        <v>447</v>
      </c>
      <c r="B147" t="s">
        <v>448</v>
      </c>
      <c r="C147" t="s">
        <v>411</v>
      </c>
      <c r="D147" t="s">
        <v>21</v>
      </c>
      <c r="F147" s="2" t="str">
        <f>HYPERLINK("http://www.otzar.org/book.asp?198327","אבן יעקב - א (שכירות פועלים)")</f>
        <v>אבן יעקב - א (שכירות פועלים)</v>
      </c>
    </row>
    <row r="148" spans="1:6" x14ac:dyDescent="0.2">
      <c r="A148" t="s">
        <v>449</v>
      </c>
      <c r="B148" t="s">
        <v>450</v>
      </c>
      <c r="C148" t="s">
        <v>451</v>
      </c>
      <c r="D148" t="s">
        <v>267</v>
      </c>
      <c r="E148" t="s">
        <v>154</v>
      </c>
      <c r="F148" s="2" t="str">
        <f>HYPERLINK("http://www.otzar.org/book.asp?10709","אבן יקרה - 3 כר'")</f>
        <v>אבן יקרה - 3 כר'</v>
      </c>
    </row>
    <row r="149" spans="1:6" x14ac:dyDescent="0.2">
      <c r="A149" t="s">
        <v>452</v>
      </c>
      <c r="B149" t="s">
        <v>453</v>
      </c>
      <c r="C149" t="s">
        <v>454</v>
      </c>
      <c r="D149" t="s">
        <v>52</v>
      </c>
      <c r="E149" t="s">
        <v>158</v>
      </c>
      <c r="F149" s="2" t="str">
        <f>HYPERLINK("http://www.otzar.org/book.asp?61025","אבן יקרה - 2 כר'")</f>
        <v>אבן יקרה - 2 כר'</v>
      </c>
    </row>
    <row r="150" spans="1:6" x14ac:dyDescent="0.2">
      <c r="A150" t="s">
        <v>455</v>
      </c>
      <c r="B150" t="s">
        <v>456</v>
      </c>
      <c r="C150" t="s">
        <v>411</v>
      </c>
      <c r="D150" t="s">
        <v>412</v>
      </c>
      <c r="E150" t="s">
        <v>457</v>
      </c>
      <c r="F150" s="2" t="str">
        <f>HYPERLINK("http://www.otzar.org/book.asp?171824","אבן ישפ""ה")</f>
        <v>אבן ישפ"ה</v>
      </c>
    </row>
    <row r="151" spans="1:6" x14ac:dyDescent="0.2">
      <c r="A151" t="s">
        <v>458</v>
      </c>
      <c r="B151" t="s">
        <v>418</v>
      </c>
      <c r="C151" t="s">
        <v>133</v>
      </c>
      <c r="D151" t="s">
        <v>14</v>
      </c>
      <c r="E151" t="s">
        <v>172</v>
      </c>
      <c r="F151" s="2" t="str">
        <f>HYPERLINK("http://www.otzar.org/book.asp?173137","אבן ישפה")</f>
        <v>אבן ישפה</v>
      </c>
    </row>
    <row r="152" spans="1:6" x14ac:dyDescent="0.2">
      <c r="A152" t="s">
        <v>459</v>
      </c>
      <c r="B152" t="s">
        <v>460</v>
      </c>
      <c r="C152" t="s">
        <v>411</v>
      </c>
      <c r="D152" t="s">
        <v>52</v>
      </c>
      <c r="E152" t="s">
        <v>144</v>
      </c>
      <c r="F152" s="2" t="str">
        <f>HYPERLINK("http://www.otzar.org/book.asp?165459","אבן ישפה - שכירות פועלים")</f>
        <v>אבן ישפה - שכירות פועלים</v>
      </c>
    </row>
    <row r="153" spans="1:6" x14ac:dyDescent="0.2">
      <c r="A153" t="s">
        <v>458</v>
      </c>
      <c r="B153" t="s">
        <v>461</v>
      </c>
      <c r="C153" t="s">
        <v>462</v>
      </c>
      <c r="D153" t="s">
        <v>56</v>
      </c>
      <c r="E153" t="s">
        <v>463</v>
      </c>
      <c r="F153" s="2" t="str">
        <f>HYPERLINK("http://www.otzar.org/book.asp?300117","אבן ישפה")</f>
        <v>אבן ישפה</v>
      </c>
    </row>
    <row r="154" spans="1:6" x14ac:dyDescent="0.2">
      <c r="A154" t="s">
        <v>464</v>
      </c>
      <c r="B154" t="s">
        <v>465</v>
      </c>
      <c r="C154" t="s">
        <v>466</v>
      </c>
      <c r="D154" t="s">
        <v>14</v>
      </c>
      <c r="E154" t="s">
        <v>467</v>
      </c>
      <c r="F154" s="2" t="str">
        <f>HYPERLINK("http://www.otzar.org/book.asp?103049","אבן ישראל &lt;חידושי אגדה&gt; - 2 כר'")</f>
        <v>אבן ישראל &lt;חידושי אגדה&gt; - 2 כר'</v>
      </c>
    </row>
    <row r="155" spans="1:6" x14ac:dyDescent="0.2">
      <c r="A155" t="s">
        <v>468</v>
      </c>
      <c r="B155" t="s">
        <v>469</v>
      </c>
      <c r="C155" t="s">
        <v>470</v>
      </c>
      <c r="D155" t="s">
        <v>287</v>
      </c>
      <c r="E155" t="s">
        <v>130</v>
      </c>
      <c r="F155" s="2" t="str">
        <f>HYPERLINK("http://www.otzar.org/book.asp?51307","אבן ישראל - 2 כר'")</f>
        <v>אבן ישראל - 2 כר'</v>
      </c>
    </row>
    <row r="156" spans="1:6" x14ac:dyDescent="0.2">
      <c r="A156" t="s">
        <v>471</v>
      </c>
      <c r="B156" t="s">
        <v>472</v>
      </c>
      <c r="C156" t="s">
        <v>473</v>
      </c>
      <c r="D156" t="s">
        <v>9</v>
      </c>
      <c r="E156" t="s">
        <v>474</v>
      </c>
      <c r="F156" s="2" t="str">
        <f>HYPERLINK("http://www.otzar.org/book.asp?51306","אבן ישראל")</f>
        <v>אבן ישראל</v>
      </c>
    </row>
    <row r="157" spans="1:6" x14ac:dyDescent="0.2">
      <c r="A157" t="s">
        <v>471</v>
      </c>
      <c r="B157" t="s">
        <v>475</v>
      </c>
      <c r="C157" t="s">
        <v>313</v>
      </c>
      <c r="D157" t="s">
        <v>14</v>
      </c>
      <c r="E157" t="s">
        <v>119</v>
      </c>
      <c r="F157" s="2" t="str">
        <f>HYPERLINK("http://www.otzar.org/book.asp?165123","אבן ישראל")</f>
        <v>אבן ישראל</v>
      </c>
    </row>
    <row r="158" spans="1:6" x14ac:dyDescent="0.2">
      <c r="A158" t="s">
        <v>476</v>
      </c>
      <c r="B158" t="s">
        <v>477</v>
      </c>
      <c r="C158" t="s">
        <v>411</v>
      </c>
      <c r="D158" t="s">
        <v>14</v>
      </c>
      <c r="E158" t="s">
        <v>144</v>
      </c>
      <c r="F158" s="2" t="str">
        <f>HYPERLINK("http://www.otzar.org/book.asp?173995","אבן ישראל - 4 כר'")</f>
        <v>אבן ישראל - 4 כר'</v>
      </c>
    </row>
    <row r="159" spans="1:6" x14ac:dyDescent="0.2">
      <c r="A159" t="s">
        <v>478</v>
      </c>
      <c r="B159" t="s">
        <v>479</v>
      </c>
      <c r="C159" t="s">
        <v>68</v>
      </c>
      <c r="D159" t="s">
        <v>14</v>
      </c>
      <c r="E159" t="s">
        <v>241</v>
      </c>
      <c r="F159" s="2" t="str">
        <f>HYPERLINK("http://www.otzar.org/book.asp?166144","אבן ישראל - 3 כר'")</f>
        <v>אבן ישראל - 3 כר'</v>
      </c>
    </row>
    <row r="160" spans="1:6" x14ac:dyDescent="0.2">
      <c r="A160" t="s">
        <v>471</v>
      </c>
      <c r="B160" t="s">
        <v>480</v>
      </c>
      <c r="C160" t="s">
        <v>46</v>
      </c>
      <c r="D160" t="s">
        <v>27</v>
      </c>
      <c r="E160" t="s">
        <v>140</v>
      </c>
      <c r="F160" s="2" t="str">
        <f>HYPERLINK("http://www.otzar.org/book.asp?10535","אבן ישראל")</f>
        <v>אבן ישראל</v>
      </c>
    </row>
    <row r="161" spans="1:6" x14ac:dyDescent="0.2">
      <c r="A161" t="s">
        <v>468</v>
      </c>
      <c r="B161" t="s">
        <v>481</v>
      </c>
      <c r="C161" t="s">
        <v>482</v>
      </c>
      <c r="D161" t="s">
        <v>27</v>
      </c>
      <c r="E161" t="s">
        <v>483</v>
      </c>
      <c r="F161" s="2" t="str">
        <f>HYPERLINK("http://www.otzar.org/book.asp?103048","אבן ישראל - 2 כר'")</f>
        <v>אבן ישראל - 2 כר'</v>
      </c>
    </row>
    <row r="162" spans="1:6" x14ac:dyDescent="0.2">
      <c r="A162" t="s">
        <v>471</v>
      </c>
      <c r="B162" t="s">
        <v>484</v>
      </c>
      <c r="C162" t="s">
        <v>13</v>
      </c>
      <c r="D162" t="s">
        <v>118</v>
      </c>
      <c r="E162" t="s">
        <v>144</v>
      </c>
      <c r="F162" s="2" t="str">
        <f>HYPERLINK("http://www.otzar.org/book.asp?162107","אבן ישראל")</f>
        <v>אבן ישראל</v>
      </c>
    </row>
    <row r="163" spans="1:6" x14ac:dyDescent="0.2">
      <c r="A163" t="s">
        <v>471</v>
      </c>
      <c r="B163" t="s">
        <v>485</v>
      </c>
      <c r="C163" t="s">
        <v>103</v>
      </c>
      <c r="D163" t="s">
        <v>486</v>
      </c>
      <c r="E163" t="s">
        <v>144</v>
      </c>
      <c r="F163" s="2" t="str">
        <f>HYPERLINK("http://www.otzar.org/book.asp?151171","אבן ישראל")</f>
        <v>אבן ישראל</v>
      </c>
    </row>
    <row r="164" spans="1:6" x14ac:dyDescent="0.2">
      <c r="A164" t="s">
        <v>471</v>
      </c>
      <c r="B164" t="s">
        <v>487</v>
      </c>
      <c r="C164" t="s">
        <v>79</v>
      </c>
      <c r="D164" t="s">
        <v>412</v>
      </c>
      <c r="E164" t="s">
        <v>435</v>
      </c>
      <c r="F164" s="2" t="str">
        <f>HYPERLINK("http://www.otzar.org/book.asp?294","אבן ישראל")</f>
        <v>אבן ישראל</v>
      </c>
    </row>
    <row r="165" spans="1:6" x14ac:dyDescent="0.2">
      <c r="A165" t="s">
        <v>488</v>
      </c>
      <c r="B165" t="s">
        <v>465</v>
      </c>
      <c r="C165" t="s">
        <v>313</v>
      </c>
      <c r="D165" t="s">
        <v>14</v>
      </c>
      <c r="E165" t="s">
        <v>15</v>
      </c>
      <c r="F165" s="2" t="str">
        <f>HYPERLINK("http://www.otzar.org/book.asp?8949","אבן ישראל - 12 כר'")</f>
        <v>אבן ישראל - 12 כר'</v>
      </c>
    </row>
    <row r="166" spans="1:6" x14ac:dyDescent="0.2">
      <c r="A166" t="s">
        <v>468</v>
      </c>
      <c r="B166" t="s">
        <v>453</v>
      </c>
      <c r="C166" t="s">
        <v>411</v>
      </c>
      <c r="D166" t="s">
        <v>52</v>
      </c>
      <c r="E166" t="s">
        <v>158</v>
      </c>
      <c r="F166" s="2" t="str">
        <f>HYPERLINK("http://www.otzar.org/book.asp?617825","אבן ישראל - 2 כר'")</f>
        <v>אבן ישראל - 2 כר'</v>
      </c>
    </row>
    <row r="167" spans="1:6" x14ac:dyDescent="0.2">
      <c r="A167" t="s">
        <v>471</v>
      </c>
      <c r="B167" t="s">
        <v>489</v>
      </c>
      <c r="C167" t="s">
        <v>143</v>
      </c>
      <c r="D167" t="s">
        <v>52</v>
      </c>
      <c r="E167" t="s">
        <v>202</v>
      </c>
      <c r="F167" s="2" t="str">
        <f>HYPERLINK("http://www.otzar.org/book.asp?84813","אבן ישראל")</f>
        <v>אבן ישראל</v>
      </c>
    </row>
    <row r="168" spans="1:6" x14ac:dyDescent="0.2">
      <c r="A168" t="s">
        <v>490</v>
      </c>
      <c r="B168" t="s">
        <v>491</v>
      </c>
      <c r="C168" t="s">
        <v>492</v>
      </c>
      <c r="D168" t="s">
        <v>56</v>
      </c>
      <c r="E168" t="s">
        <v>493</v>
      </c>
      <c r="F168" s="2" t="str">
        <f>HYPERLINK("http://www.otzar.org/book.asp?9244","אבן לב")</f>
        <v>אבן לב</v>
      </c>
    </row>
    <row r="169" spans="1:6" x14ac:dyDescent="0.2">
      <c r="A169" t="s">
        <v>494</v>
      </c>
      <c r="B169" t="s">
        <v>495</v>
      </c>
      <c r="C169" t="s">
        <v>496</v>
      </c>
      <c r="D169" t="s">
        <v>225</v>
      </c>
      <c r="E169" t="s">
        <v>15</v>
      </c>
      <c r="F169" s="2" t="str">
        <f>HYPERLINK("http://www.otzar.org/book.asp?100343","אבן מאיר")</f>
        <v>אבן מאיר</v>
      </c>
    </row>
    <row r="170" spans="1:6" x14ac:dyDescent="0.2">
      <c r="A170" t="s">
        <v>497</v>
      </c>
      <c r="B170" t="s">
        <v>498</v>
      </c>
      <c r="C170" t="s">
        <v>244</v>
      </c>
      <c r="D170" t="s">
        <v>152</v>
      </c>
      <c r="E170" t="s">
        <v>15</v>
      </c>
      <c r="F170" s="2" t="str">
        <f>HYPERLINK("http://www.otzar.org/book.asp?622281","אבן מלוכה")</f>
        <v>אבן מלוכה</v>
      </c>
    </row>
    <row r="171" spans="1:6" x14ac:dyDescent="0.2">
      <c r="A171" t="s">
        <v>499</v>
      </c>
      <c r="B171" t="s">
        <v>500</v>
      </c>
      <c r="C171" t="s">
        <v>473</v>
      </c>
      <c r="D171" t="s">
        <v>27</v>
      </c>
      <c r="E171" t="s">
        <v>234</v>
      </c>
      <c r="F171" s="2" t="str">
        <f>HYPERLINK("http://www.otzar.org/book.asp?104910","אבן משה")</f>
        <v>אבן משה</v>
      </c>
    </row>
    <row r="172" spans="1:6" x14ac:dyDescent="0.2">
      <c r="A172" t="s">
        <v>501</v>
      </c>
      <c r="B172" t="s">
        <v>502</v>
      </c>
      <c r="C172" t="s">
        <v>503</v>
      </c>
      <c r="D172" t="s">
        <v>283</v>
      </c>
      <c r="E172" t="s">
        <v>158</v>
      </c>
      <c r="F172" s="2" t="str">
        <f>HYPERLINK("http://www.otzar.org/book.asp?15814","אבן משה - 2 כר'")</f>
        <v>אבן משה - 2 כר'</v>
      </c>
    </row>
    <row r="173" spans="1:6" x14ac:dyDescent="0.2">
      <c r="A173" t="s">
        <v>504</v>
      </c>
      <c r="B173" t="s">
        <v>505</v>
      </c>
      <c r="C173" t="s">
        <v>506</v>
      </c>
      <c r="D173" t="s">
        <v>507</v>
      </c>
      <c r="E173" t="s">
        <v>508</v>
      </c>
      <c r="F173" s="2" t="str">
        <f>HYPERLINK("http://www.otzar.org/book.asp?189488","אבן נזר")</f>
        <v>אבן נזר</v>
      </c>
    </row>
    <row r="174" spans="1:6" x14ac:dyDescent="0.2">
      <c r="A174" t="s">
        <v>509</v>
      </c>
      <c r="B174" t="s">
        <v>510</v>
      </c>
      <c r="C174" t="s">
        <v>511</v>
      </c>
      <c r="D174" t="s">
        <v>512</v>
      </c>
      <c r="E174" t="s">
        <v>213</v>
      </c>
      <c r="F174" s="2" t="str">
        <f>HYPERLINK("http://www.otzar.org/book.asp?53249","אבן ספיר")</f>
        <v>אבן ספיר</v>
      </c>
    </row>
    <row r="175" spans="1:6" x14ac:dyDescent="0.2">
      <c r="A175" t="s">
        <v>509</v>
      </c>
      <c r="B175" t="s">
        <v>418</v>
      </c>
      <c r="C175" t="s">
        <v>133</v>
      </c>
      <c r="D175" t="s">
        <v>14</v>
      </c>
      <c r="E175" t="s">
        <v>172</v>
      </c>
      <c r="F175" s="2" t="str">
        <f>HYPERLINK("http://www.otzar.org/book.asp?173138","אבן ספיר")</f>
        <v>אבן ספיר</v>
      </c>
    </row>
    <row r="176" spans="1:6" x14ac:dyDescent="0.2">
      <c r="A176" t="s">
        <v>509</v>
      </c>
      <c r="B176" t="s">
        <v>513</v>
      </c>
      <c r="C176" t="s">
        <v>143</v>
      </c>
      <c r="D176" t="s">
        <v>52</v>
      </c>
      <c r="E176" t="s">
        <v>399</v>
      </c>
      <c r="F176" s="2" t="str">
        <f>HYPERLINK("http://www.otzar.org/book.asp?170432","אבן ספיר")</f>
        <v>אבן ספיר</v>
      </c>
    </row>
    <row r="177" spans="1:6" x14ac:dyDescent="0.2">
      <c r="A177" t="s">
        <v>509</v>
      </c>
      <c r="B177" t="s">
        <v>342</v>
      </c>
      <c r="C177" t="s">
        <v>343</v>
      </c>
      <c r="D177" t="s">
        <v>56</v>
      </c>
      <c r="E177" t="s">
        <v>148</v>
      </c>
      <c r="F177" s="2" t="str">
        <f>HYPERLINK("http://www.otzar.org/book.asp?51305","אבן ספיר")</f>
        <v>אבן ספיר</v>
      </c>
    </row>
    <row r="178" spans="1:6" x14ac:dyDescent="0.2">
      <c r="A178" t="s">
        <v>509</v>
      </c>
      <c r="B178" t="s">
        <v>514</v>
      </c>
      <c r="C178" t="s">
        <v>515</v>
      </c>
      <c r="D178" t="s">
        <v>516</v>
      </c>
      <c r="E178" t="s">
        <v>517</v>
      </c>
      <c r="F178" s="2" t="str">
        <f>HYPERLINK("http://www.otzar.org/book.asp?564","אבן ספיר")</f>
        <v>אבן ספיר</v>
      </c>
    </row>
    <row r="179" spans="1:6" x14ac:dyDescent="0.2">
      <c r="A179" t="s">
        <v>518</v>
      </c>
      <c r="B179" t="s">
        <v>519</v>
      </c>
      <c r="C179" t="s">
        <v>454</v>
      </c>
      <c r="D179" t="s">
        <v>520</v>
      </c>
      <c r="E179" t="s">
        <v>154</v>
      </c>
      <c r="F179" s="2" t="str">
        <f>HYPERLINK("http://www.otzar.org/book.asp?193041","אבן ספיר - 4 כר'")</f>
        <v>אבן ספיר - 4 כר'</v>
      </c>
    </row>
    <row r="180" spans="1:6" x14ac:dyDescent="0.2">
      <c r="A180" t="s">
        <v>521</v>
      </c>
      <c r="B180" t="s">
        <v>522</v>
      </c>
      <c r="C180" t="s">
        <v>523</v>
      </c>
      <c r="D180" t="s">
        <v>52</v>
      </c>
      <c r="E180" t="s">
        <v>158</v>
      </c>
      <c r="F180" s="2" t="str">
        <f>HYPERLINK("http://www.otzar.org/book.asp?61100","אבן ספיר - 5 כר'")</f>
        <v>אבן ספיר - 5 כר'</v>
      </c>
    </row>
    <row r="181" spans="1:6" x14ac:dyDescent="0.2">
      <c r="A181" t="s">
        <v>524</v>
      </c>
      <c r="B181" t="s">
        <v>525</v>
      </c>
      <c r="C181" t="s">
        <v>111</v>
      </c>
      <c r="D181" t="s">
        <v>14</v>
      </c>
      <c r="E181" t="s">
        <v>325</v>
      </c>
      <c r="F181" s="2" t="str">
        <f>HYPERLINK("http://www.otzar.org/book.asp?627814","אבן עוזר - עירובין &lt;מהדורה חדשה&gt;")</f>
        <v>אבן עוזר - עירובין &lt;מהדורה חדשה&gt;</v>
      </c>
    </row>
    <row r="182" spans="1:6" x14ac:dyDescent="0.2">
      <c r="A182" t="s">
        <v>526</v>
      </c>
      <c r="B182" t="s">
        <v>527</v>
      </c>
      <c r="C182" t="s">
        <v>528</v>
      </c>
      <c r="D182" t="s">
        <v>403</v>
      </c>
      <c r="E182" t="s">
        <v>529</v>
      </c>
      <c r="F182" s="2" t="str">
        <f>HYPERLINK("http://www.otzar.org/book.asp?19161","אבן עוזר - 3 כר'")</f>
        <v>אבן עוזר - 3 כר'</v>
      </c>
    </row>
    <row r="183" spans="1:6" x14ac:dyDescent="0.2">
      <c r="A183" t="s">
        <v>530</v>
      </c>
      <c r="B183" t="s">
        <v>531</v>
      </c>
      <c r="C183" t="s">
        <v>156</v>
      </c>
      <c r="D183" t="s">
        <v>283</v>
      </c>
      <c r="E183" t="s">
        <v>158</v>
      </c>
      <c r="F183" s="2" t="str">
        <f>HYPERLINK("http://www.otzar.org/book.asp?103051","אבן עזרא &lt;אבי עזר&gt; - תורה, מגלות")</f>
        <v>אבן עזרא &lt;אבי עזר&gt; - תורה, מגלות</v>
      </c>
    </row>
    <row r="184" spans="1:6" x14ac:dyDescent="0.2">
      <c r="A184" t="s">
        <v>532</v>
      </c>
      <c r="B184" t="s">
        <v>531</v>
      </c>
      <c r="C184" t="s">
        <v>533</v>
      </c>
      <c r="D184" t="s">
        <v>14</v>
      </c>
      <c r="E184" t="s">
        <v>158</v>
      </c>
      <c r="F184" s="2" t="str">
        <f>HYPERLINK("http://www.otzar.org/book.asp?14045","אבן עזרא &lt;אוצר חיים&gt; - בראשית")</f>
        <v>אבן עזרא &lt;אוצר חיים&gt; - בראשית</v>
      </c>
    </row>
    <row r="185" spans="1:6" x14ac:dyDescent="0.2">
      <c r="A185" t="s">
        <v>534</v>
      </c>
      <c r="B185" t="s">
        <v>531</v>
      </c>
      <c r="C185" t="s">
        <v>99</v>
      </c>
      <c r="D185" t="s">
        <v>535</v>
      </c>
      <c r="E185" t="s">
        <v>158</v>
      </c>
      <c r="F185" s="2" t="str">
        <f>HYPERLINK("http://www.otzar.org/book.asp?103052","אבן עזרא &lt;משנה לעזרא&gt; - שמות")</f>
        <v>אבן עזרא &lt;משנה לעזרא&gt; - שמות</v>
      </c>
    </row>
    <row r="186" spans="1:6" x14ac:dyDescent="0.2">
      <c r="A186" t="s">
        <v>536</v>
      </c>
      <c r="B186" t="s">
        <v>537</v>
      </c>
      <c r="C186" t="s">
        <v>538</v>
      </c>
      <c r="D186" t="s">
        <v>267</v>
      </c>
      <c r="E186" t="s">
        <v>172</v>
      </c>
      <c r="F186" s="2" t="str">
        <f>HYPERLINK("http://www.otzar.org/book.asp?100210","אבן פינה - 2 כר'")</f>
        <v>אבן פינה - 2 כר'</v>
      </c>
    </row>
    <row r="187" spans="1:6" x14ac:dyDescent="0.2">
      <c r="A187" t="s">
        <v>539</v>
      </c>
      <c r="B187" t="s">
        <v>540</v>
      </c>
      <c r="C187" t="s">
        <v>68</v>
      </c>
      <c r="D187" t="s">
        <v>52</v>
      </c>
      <c r="E187" t="s">
        <v>144</v>
      </c>
      <c r="F187" s="2" t="str">
        <f>HYPERLINK("http://www.otzar.org/book.asp?157915","אבן פינה")</f>
        <v>אבן פינה</v>
      </c>
    </row>
    <row r="188" spans="1:6" x14ac:dyDescent="0.2">
      <c r="A188" t="s">
        <v>541</v>
      </c>
      <c r="B188" t="s">
        <v>542</v>
      </c>
      <c r="C188" t="s">
        <v>543</v>
      </c>
      <c r="D188" t="s">
        <v>544</v>
      </c>
      <c r="E188" t="s">
        <v>158</v>
      </c>
      <c r="F188" s="2" t="str">
        <f>HYPERLINK("http://www.otzar.org/book.asp?189533","אבן פנה")</f>
        <v>אבן פנה</v>
      </c>
    </row>
    <row r="189" spans="1:6" x14ac:dyDescent="0.2">
      <c r="A189" t="s">
        <v>545</v>
      </c>
      <c r="B189" t="s">
        <v>546</v>
      </c>
      <c r="C189" t="s">
        <v>87</v>
      </c>
      <c r="D189" t="s">
        <v>216</v>
      </c>
      <c r="E189" t="s">
        <v>154</v>
      </c>
      <c r="F189" s="2" t="str">
        <f>HYPERLINK("http://www.otzar.org/book.asp?103114","אבן פנה - 2 כר'")</f>
        <v>אבן פנה - 2 כר'</v>
      </c>
    </row>
    <row r="190" spans="1:6" x14ac:dyDescent="0.2">
      <c r="A190" t="s">
        <v>545</v>
      </c>
      <c r="B190" t="s">
        <v>394</v>
      </c>
      <c r="C190" t="s">
        <v>547</v>
      </c>
      <c r="D190" t="s">
        <v>27</v>
      </c>
      <c r="E190" t="s">
        <v>234</v>
      </c>
      <c r="F190" s="2" t="str">
        <f>HYPERLINK("http://www.otzar.org/book.asp?5951","אבן פנה - 2 כר'")</f>
        <v>אבן פנה - 2 כר'</v>
      </c>
    </row>
    <row r="191" spans="1:6" x14ac:dyDescent="0.2">
      <c r="A191" t="s">
        <v>548</v>
      </c>
      <c r="B191" t="s">
        <v>549</v>
      </c>
      <c r="C191" t="s">
        <v>550</v>
      </c>
      <c r="D191" t="s">
        <v>283</v>
      </c>
      <c r="E191" t="s">
        <v>551</v>
      </c>
      <c r="F191" s="2" t="str">
        <f>HYPERLINK("http://www.otzar.org/book.asp?103944","אבן ציון")</f>
        <v>אבן ציון</v>
      </c>
    </row>
    <row r="192" spans="1:6" x14ac:dyDescent="0.2">
      <c r="A192" t="s">
        <v>548</v>
      </c>
      <c r="B192" t="s">
        <v>552</v>
      </c>
      <c r="C192" t="s">
        <v>553</v>
      </c>
      <c r="D192" t="s">
        <v>14</v>
      </c>
      <c r="E192" t="s">
        <v>202</v>
      </c>
      <c r="F192" s="2" t="str">
        <f>HYPERLINK("http://www.otzar.org/book.asp?26538","אבן ציון")</f>
        <v>אבן ציון</v>
      </c>
    </row>
    <row r="193" spans="1:6" x14ac:dyDescent="0.2">
      <c r="A193" t="s">
        <v>554</v>
      </c>
      <c r="B193" t="s">
        <v>555</v>
      </c>
      <c r="C193" t="s">
        <v>114</v>
      </c>
      <c r="D193" t="s">
        <v>14</v>
      </c>
      <c r="E193" t="s">
        <v>10</v>
      </c>
      <c r="F193" s="2" t="str">
        <f>HYPERLINK("http://www.otzar.org/book.asp?600206","אבן שהם - 3 כר'")</f>
        <v>אבן שהם - 3 כר'</v>
      </c>
    </row>
    <row r="194" spans="1:6" x14ac:dyDescent="0.2">
      <c r="A194" t="s">
        <v>556</v>
      </c>
      <c r="B194" t="s">
        <v>557</v>
      </c>
      <c r="C194" t="s">
        <v>558</v>
      </c>
      <c r="D194" t="s">
        <v>283</v>
      </c>
      <c r="E194" t="s">
        <v>559</v>
      </c>
      <c r="F194" s="2" t="str">
        <f>HYPERLINK("http://www.otzar.org/book.asp?300111","אבן שהם")</f>
        <v>אבן שהם</v>
      </c>
    </row>
    <row r="195" spans="1:6" x14ac:dyDescent="0.2">
      <c r="A195" t="s">
        <v>560</v>
      </c>
      <c r="B195" t="s">
        <v>561</v>
      </c>
      <c r="C195" t="s">
        <v>562</v>
      </c>
      <c r="D195" t="s">
        <v>563</v>
      </c>
      <c r="E195" t="s">
        <v>564</v>
      </c>
      <c r="F195" s="2" t="str">
        <f>HYPERLINK("http://www.otzar.org/book.asp?150001","אבן שהם - 2 כר'")</f>
        <v>אבן שהם - 2 כר'</v>
      </c>
    </row>
    <row r="196" spans="1:6" x14ac:dyDescent="0.2">
      <c r="A196" t="s">
        <v>556</v>
      </c>
      <c r="B196" t="s">
        <v>565</v>
      </c>
      <c r="C196" t="s">
        <v>445</v>
      </c>
      <c r="D196" t="s">
        <v>225</v>
      </c>
      <c r="E196" t="s">
        <v>10</v>
      </c>
      <c r="F196" s="2" t="str">
        <f>HYPERLINK("http://www.otzar.org/book.asp?102840","אבן שהם")</f>
        <v>אבן שהם</v>
      </c>
    </row>
    <row r="197" spans="1:6" x14ac:dyDescent="0.2">
      <c r="A197" t="s">
        <v>566</v>
      </c>
      <c r="B197" t="s">
        <v>567</v>
      </c>
      <c r="C197" t="s">
        <v>568</v>
      </c>
      <c r="D197" t="s">
        <v>344</v>
      </c>
      <c r="E197" t="s">
        <v>234</v>
      </c>
      <c r="F197" s="2" t="str">
        <f>HYPERLINK("http://www.otzar.org/book.asp?300112","אבן שוהם")</f>
        <v>אבן שוהם</v>
      </c>
    </row>
    <row r="198" spans="1:6" x14ac:dyDescent="0.2">
      <c r="A198" t="s">
        <v>569</v>
      </c>
      <c r="B198" t="s">
        <v>570</v>
      </c>
      <c r="C198" t="s">
        <v>133</v>
      </c>
      <c r="D198" t="s">
        <v>14</v>
      </c>
      <c r="E198" t="s">
        <v>241</v>
      </c>
      <c r="F198" s="2" t="str">
        <f>HYPERLINK("http://www.otzar.org/book.asp?174616","אבן שלמה &lt;מהדורה חדשה&gt;")</f>
        <v>אבן שלמה &lt;מהדורה חדשה&gt;</v>
      </c>
    </row>
    <row r="199" spans="1:6" x14ac:dyDescent="0.2">
      <c r="A199" t="s">
        <v>571</v>
      </c>
      <c r="B199" t="s">
        <v>570</v>
      </c>
      <c r="C199" t="s">
        <v>553</v>
      </c>
      <c r="D199" t="s">
        <v>14</v>
      </c>
      <c r="E199" t="s">
        <v>213</v>
      </c>
      <c r="F199" s="2" t="str">
        <f>HYPERLINK("http://www.otzar.org/book.asp?105649","אבן שלמה &lt;מנוקד&gt;")</f>
        <v>אבן שלמה &lt;מנוקד&gt;</v>
      </c>
    </row>
    <row r="200" spans="1:6" x14ac:dyDescent="0.2">
      <c r="A200" t="s">
        <v>572</v>
      </c>
      <c r="B200" t="s">
        <v>570</v>
      </c>
      <c r="C200" t="s">
        <v>351</v>
      </c>
      <c r="D200" t="s">
        <v>56</v>
      </c>
      <c r="E200" t="s">
        <v>573</v>
      </c>
      <c r="F200" s="2" t="str">
        <f>HYPERLINK("http://www.otzar.org/book.asp?15795","אבן שלמה &lt;תוספאה&gt;")</f>
        <v>אבן שלמה &lt;תוספאה&gt;</v>
      </c>
    </row>
    <row r="201" spans="1:6" x14ac:dyDescent="0.2">
      <c r="A201" t="s">
        <v>574</v>
      </c>
      <c r="B201" t="s">
        <v>575</v>
      </c>
      <c r="C201" t="s">
        <v>576</v>
      </c>
      <c r="D201" t="s">
        <v>225</v>
      </c>
      <c r="E201" t="s">
        <v>144</v>
      </c>
      <c r="F201" s="2" t="str">
        <f>HYPERLINK("http://www.otzar.org/book.asp?23955","אבן שלמה")</f>
        <v>אבן שלמה</v>
      </c>
    </row>
    <row r="202" spans="1:6" x14ac:dyDescent="0.2">
      <c r="A202" t="s">
        <v>577</v>
      </c>
      <c r="B202" t="s">
        <v>578</v>
      </c>
      <c r="C202" t="s">
        <v>26</v>
      </c>
      <c r="D202" t="s">
        <v>14</v>
      </c>
      <c r="E202" t="s">
        <v>579</v>
      </c>
      <c r="F202" s="2" t="str">
        <f>HYPERLINK("http://www.otzar.org/book.asp?14270","אבן שלמה - 4 כר'")</f>
        <v>אבן שלמה - 4 כר'</v>
      </c>
    </row>
    <row r="203" spans="1:6" x14ac:dyDescent="0.2">
      <c r="A203" t="s">
        <v>574</v>
      </c>
      <c r="B203" t="s">
        <v>580</v>
      </c>
      <c r="C203" t="s">
        <v>581</v>
      </c>
      <c r="D203" t="s">
        <v>582</v>
      </c>
      <c r="E203" t="s">
        <v>583</v>
      </c>
      <c r="F203" s="2" t="str">
        <f>HYPERLINK("http://www.otzar.org/book.asp?13070","אבן שלמה")</f>
        <v>אבן שלמה</v>
      </c>
    </row>
    <row r="204" spans="1:6" x14ac:dyDescent="0.2">
      <c r="A204" t="s">
        <v>574</v>
      </c>
      <c r="B204" t="s">
        <v>570</v>
      </c>
      <c r="C204" t="s">
        <v>266</v>
      </c>
      <c r="D204" t="s">
        <v>56</v>
      </c>
      <c r="E204" t="s">
        <v>241</v>
      </c>
      <c r="F204" s="2" t="str">
        <f>HYPERLINK("http://www.otzar.org/book.asp?27994","אבן שלמה")</f>
        <v>אבן שלמה</v>
      </c>
    </row>
    <row r="205" spans="1:6" x14ac:dyDescent="0.2">
      <c r="A205" t="s">
        <v>574</v>
      </c>
      <c r="B205" t="s">
        <v>584</v>
      </c>
      <c r="C205" t="s">
        <v>585</v>
      </c>
      <c r="D205" t="s">
        <v>14</v>
      </c>
      <c r="E205" t="s">
        <v>586</v>
      </c>
      <c r="F205" s="2" t="str">
        <f>HYPERLINK("http://www.otzar.org/book.asp?179063","אבן שלמה")</f>
        <v>אבן שלמה</v>
      </c>
    </row>
    <row r="206" spans="1:6" x14ac:dyDescent="0.2">
      <c r="A206" t="s">
        <v>574</v>
      </c>
      <c r="B206" t="s">
        <v>587</v>
      </c>
      <c r="C206" t="s">
        <v>244</v>
      </c>
      <c r="D206" t="s">
        <v>245</v>
      </c>
      <c r="E206" t="s">
        <v>588</v>
      </c>
      <c r="F206" s="2" t="str">
        <f>HYPERLINK("http://www.otzar.org/book.asp?607211","אבן שלמה")</f>
        <v>אבן שלמה</v>
      </c>
    </row>
    <row r="207" spans="1:6" x14ac:dyDescent="0.2">
      <c r="A207" t="s">
        <v>589</v>
      </c>
      <c r="B207" t="s">
        <v>590</v>
      </c>
      <c r="C207" t="s">
        <v>23</v>
      </c>
      <c r="D207" t="s">
        <v>367</v>
      </c>
      <c r="E207" t="s">
        <v>158</v>
      </c>
      <c r="F207" s="2" t="str">
        <f>HYPERLINK("http://www.otzar.org/book.asp?193431","אבן שלמה - 3 כר'")</f>
        <v>אבן שלמה - 3 כר'</v>
      </c>
    </row>
    <row r="208" spans="1:6" x14ac:dyDescent="0.2">
      <c r="A208" t="s">
        <v>574</v>
      </c>
      <c r="B208" t="s">
        <v>591</v>
      </c>
      <c r="C208" t="s">
        <v>395</v>
      </c>
      <c r="D208" t="s">
        <v>592</v>
      </c>
      <c r="E208" t="s">
        <v>144</v>
      </c>
      <c r="F208" s="2" t="str">
        <f>HYPERLINK("http://www.otzar.org/book.asp?196856","אבן שלמה")</f>
        <v>אבן שלמה</v>
      </c>
    </row>
    <row r="209" spans="1:6" x14ac:dyDescent="0.2">
      <c r="A209" t="s">
        <v>574</v>
      </c>
      <c r="B209" t="s">
        <v>593</v>
      </c>
      <c r="C209" t="s">
        <v>594</v>
      </c>
      <c r="D209" t="s">
        <v>27</v>
      </c>
      <c r="E209" t="s">
        <v>595</v>
      </c>
      <c r="F209" s="2" t="str">
        <f>HYPERLINK("http://www.otzar.org/book.asp?84330","אבן שלמה")</f>
        <v>אבן שלמה</v>
      </c>
    </row>
    <row r="210" spans="1:6" x14ac:dyDescent="0.2">
      <c r="A210" t="s">
        <v>596</v>
      </c>
      <c r="B210" t="s">
        <v>597</v>
      </c>
      <c r="C210" t="s">
        <v>366</v>
      </c>
      <c r="D210" t="s">
        <v>90</v>
      </c>
      <c r="F210" s="2" t="str">
        <f>HYPERLINK("http://www.otzar.org/book.asp?603610","אבן שלמה - רבית, איזהו נשך")</f>
        <v>אבן שלמה - רבית, איזהו נשך</v>
      </c>
    </row>
    <row r="211" spans="1:6" x14ac:dyDescent="0.2">
      <c r="A211" t="s">
        <v>598</v>
      </c>
      <c r="B211" t="s">
        <v>599</v>
      </c>
      <c r="C211" t="s">
        <v>600</v>
      </c>
      <c r="D211" t="s">
        <v>212</v>
      </c>
      <c r="E211" t="s">
        <v>158</v>
      </c>
      <c r="F211" s="2" t="str">
        <f>HYPERLINK("http://www.otzar.org/book.asp?300121","אבן שלמה, אם המלך, קרן ישועה")</f>
        <v>אבן שלמה, אם המלך, קרן ישועה</v>
      </c>
    </row>
    <row r="212" spans="1:6" x14ac:dyDescent="0.2">
      <c r="A212" t="s">
        <v>601</v>
      </c>
      <c r="B212" t="s">
        <v>602</v>
      </c>
      <c r="C212" t="s">
        <v>603</v>
      </c>
      <c r="D212" t="s">
        <v>56</v>
      </c>
      <c r="E212" t="s">
        <v>604</v>
      </c>
      <c r="F212" s="2" t="str">
        <f>HYPERLINK("http://www.otzar.org/book.asp?587","אבן שמואל")</f>
        <v>אבן שמואל</v>
      </c>
    </row>
    <row r="213" spans="1:6" x14ac:dyDescent="0.2">
      <c r="A213" t="s">
        <v>601</v>
      </c>
      <c r="B213" t="s">
        <v>605</v>
      </c>
      <c r="C213" t="s">
        <v>503</v>
      </c>
      <c r="D213" t="s">
        <v>283</v>
      </c>
      <c r="E213" t="s">
        <v>606</v>
      </c>
      <c r="F213" s="2" t="str">
        <f>HYPERLINK("http://www.otzar.org/book.asp?22348","אבן שמואל")</f>
        <v>אבן שמואל</v>
      </c>
    </row>
    <row r="214" spans="1:6" x14ac:dyDescent="0.2">
      <c r="A214" t="s">
        <v>607</v>
      </c>
      <c r="B214" t="s">
        <v>608</v>
      </c>
      <c r="C214" t="s">
        <v>609</v>
      </c>
      <c r="D214" t="s">
        <v>610</v>
      </c>
      <c r="E214" t="s">
        <v>154</v>
      </c>
      <c r="F214" s="2" t="str">
        <f>HYPERLINK("http://www.otzar.org/book.asp?105613","אבן שמעון - 2 כר'")</f>
        <v>אבן שמעון - 2 כר'</v>
      </c>
    </row>
    <row r="215" spans="1:6" x14ac:dyDescent="0.2">
      <c r="A215" t="s">
        <v>611</v>
      </c>
      <c r="B215" t="s">
        <v>612</v>
      </c>
      <c r="C215" t="s">
        <v>87</v>
      </c>
      <c r="D215" t="s">
        <v>14</v>
      </c>
      <c r="E215" t="s">
        <v>119</v>
      </c>
      <c r="F215" s="2" t="str">
        <f>HYPERLINK("http://www.otzar.org/book.asp?165128","אבן שתיה החדש - 2 כר'")</f>
        <v>אבן שתיה החדש - 2 כר'</v>
      </c>
    </row>
    <row r="216" spans="1:6" x14ac:dyDescent="0.2">
      <c r="A216" t="s">
        <v>613</v>
      </c>
      <c r="B216" t="s">
        <v>614</v>
      </c>
      <c r="C216" t="s">
        <v>51</v>
      </c>
      <c r="D216" t="s">
        <v>52</v>
      </c>
      <c r="E216" t="s">
        <v>144</v>
      </c>
      <c r="F216" s="2" t="str">
        <f>HYPERLINK("http://www.otzar.org/book.asp?83709","אבן שתיה - 4 כר'")</f>
        <v>אבן שתיה - 4 כר'</v>
      </c>
    </row>
    <row r="217" spans="1:6" x14ac:dyDescent="0.2">
      <c r="A217" t="s">
        <v>615</v>
      </c>
      <c r="B217" t="s">
        <v>616</v>
      </c>
      <c r="C217" t="s">
        <v>617</v>
      </c>
      <c r="D217" t="s">
        <v>56</v>
      </c>
      <c r="E217" t="s">
        <v>154</v>
      </c>
      <c r="F217" s="2" t="str">
        <f>HYPERLINK("http://www.otzar.org/book.asp?21751","אבן שתיה")</f>
        <v>אבן שתיה</v>
      </c>
    </row>
    <row r="218" spans="1:6" x14ac:dyDescent="0.2">
      <c r="A218" t="s">
        <v>615</v>
      </c>
      <c r="B218" t="s">
        <v>618</v>
      </c>
      <c r="C218" t="s">
        <v>619</v>
      </c>
      <c r="D218" t="s">
        <v>27</v>
      </c>
      <c r="E218" t="s">
        <v>399</v>
      </c>
      <c r="F218" s="2" t="str">
        <f>HYPERLINK("http://www.otzar.org/book.asp?300122","אבן שתיה")</f>
        <v>אבן שתיה</v>
      </c>
    </row>
    <row r="219" spans="1:6" x14ac:dyDescent="0.2">
      <c r="A219" t="s">
        <v>615</v>
      </c>
      <c r="B219" t="s">
        <v>620</v>
      </c>
      <c r="C219" t="s">
        <v>547</v>
      </c>
      <c r="D219" t="s">
        <v>379</v>
      </c>
      <c r="E219" t="s">
        <v>621</v>
      </c>
      <c r="F219" s="2" t="str">
        <f>HYPERLINK("http://www.otzar.org/book.asp?300123","אבן שתיה")</f>
        <v>אבן שתיה</v>
      </c>
    </row>
    <row r="220" spans="1:6" x14ac:dyDescent="0.2">
      <c r="A220" t="s">
        <v>622</v>
      </c>
      <c r="B220" t="s">
        <v>623</v>
      </c>
      <c r="C220" t="s">
        <v>624</v>
      </c>
      <c r="D220" t="s">
        <v>412</v>
      </c>
      <c r="E220" t="s">
        <v>158</v>
      </c>
      <c r="F220" s="2" t="str">
        <f>HYPERLINK("http://www.otzar.org/book.asp?197358","אבן שתיה - 3 כר'")</f>
        <v>אבן שתיה - 3 כר'</v>
      </c>
    </row>
    <row r="221" spans="1:6" x14ac:dyDescent="0.2">
      <c r="A221" t="s">
        <v>615</v>
      </c>
      <c r="B221" t="s">
        <v>625</v>
      </c>
      <c r="C221" t="s">
        <v>20</v>
      </c>
      <c r="D221" t="s">
        <v>245</v>
      </c>
      <c r="E221" t="s">
        <v>158</v>
      </c>
      <c r="F221" s="2" t="str">
        <f>HYPERLINK("http://www.otzar.org/book.asp?175817","אבן שתיה")</f>
        <v>אבן שתיה</v>
      </c>
    </row>
    <row r="222" spans="1:6" x14ac:dyDescent="0.2">
      <c r="A222" t="s">
        <v>626</v>
      </c>
      <c r="B222" t="s">
        <v>627</v>
      </c>
      <c r="C222" t="s">
        <v>176</v>
      </c>
      <c r="D222" t="s">
        <v>14</v>
      </c>
      <c r="E222" t="s">
        <v>144</v>
      </c>
      <c r="F222" s="2" t="str">
        <f>HYPERLINK("http://www.otzar.org/book.asp?25777","אבן שתיה - 7 כר'")</f>
        <v>אבן שתיה - 7 כר'</v>
      </c>
    </row>
    <row r="223" spans="1:6" x14ac:dyDescent="0.2">
      <c r="A223" t="s">
        <v>628</v>
      </c>
      <c r="B223" t="s">
        <v>342</v>
      </c>
      <c r="C223" t="s">
        <v>343</v>
      </c>
      <c r="D223" t="s">
        <v>56</v>
      </c>
      <c r="E223" t="s">
        <v>15</v>
      </c>
      <c r="F223" s="2" t="str">
        <f>HYPERLINK("http://www.otzar.org/book.asp?104589","אבן תקומה")</f>
        <v>אבן תקומה</v>
      </c>
    </row>
    <row r="224" spans="1:6" x14ac:dyDescent="0.2">
      <c r="A224" t="s">
        <v>628</v>
      </c>
      <c r="B224" t="s">
        <v>629</v>
      </c>
      <c r="C224" t="s">
        <v>630</v>
      </c>
      <c r="D224" t="s">
        <v>544</v>
      </c>
      <c r="E224" t="s">
        <v>104</v>
      </c>
      <c r="F224" s="2" t="str">
        <f>HYPERLINK("http://www.otzar.org/book.asp?83774","אבן תקומה")</f>
        <v>אבן תקומה</v>
      </c>
    </row>
    <row r="225" spans="1:6" x14ac:dyDescent="0.2">
      <c r="A225" t="s">
        <v>631</v>
      </c>
      <c r="B225" t="s">
        <v>632</v>
      </c>
      <c r="C225" t="s">
        <v>503</v>
      </c>
      <c r="D225" t="s">
        <v>307</v>
      </c>
      <c r="E225" t="s">
        <v>104</v>
      </c>
      <c r="F225" s="2" t="str">
        <f>HYPERLINK("http://www.otzar.org/book.asp?163268","אבנט בד &lt;הקדמה לספר אמונת חכמים&gt;")</f>
        <v>אבנט בד &lt;הקדמה לספר אמונת חכמים&gt;</v>
      </c>
    </row>
    <row r="226" spans="1:6" x14ac:dyDescent="0.2">
      <c r="A226" t="s">
        <v>633</v>
      </c>
      <c r="B226" t="s">
        <v>634</v>
      </c>
      <c r="C226" t="s">
        <v>635</v>
      </c>
      <c r="D226" t="s">
        <v>283</v>
      </c>
      <c r="E226" t="s">
        <v>636</v>
      </c>
      <c r="F226" s="2" t="str">
        <f>HYPERLINK("http://www.otzar.org/book.asp?103055","אבנט בד")</f>
        <v>אבנט בד</v>
      </c>
    </row>
    <row r="227" spans="1:6" x14ac:dyDescent="0.2">
      <c r="A227" t="s">
        <v>637</v>
      </c>
      <c r="B227" t="s">
        <v>638</v>
      </c>
      <c r="C227" t="s">
        <v>313</v>
      </c>
      <c r="D227" t="s">
        <v>52</v>
      </c>
      <c r="E227" t="s">
        <v>84</v>
      </c>
      <c r="F227" s="2" t="str">
        <f>HYPERLINK("http://www.otzar.org/book.asp?157912","אבני אהרן")</f>
        <v>אבני אהרן</v>
      </c>
    </row>
    <row r="228" spans="1:6" x14ac:dyDescent="0.2">
      <c r="A228" t="s">
        <v>639</v>
      </c>
      <c r="B228" t="s">
        <v>640</v>
      </c>
      <c r="C228" t="s">
        <v>151</v>
      </c>
      <c r="D228" t="s">
        <v>21</v>
      </c>
      <c r="E228" t="s">
        <v>172</v>
      </c>
      <c r="F228" s="2" t="str">
        <f>HYPERLINK("http://www.otzar.org/book.asp?625487","אבני אליהו")</f>
        <v>אבני אליהו</v>
      </c>
    </row>
    <row r="229" spans="1:6" x14ac:dyDescent="0.2">
      <c r="A229" t="s">
        <v>641</v>
      </c>
      <c r="B229" t="s">
        <v>642</v>
      </c>
      <c r="C229" t="s">
        <v>643</v>
      </c>
      <c r="D229" t="s">
        <v>379</v>
      </c>
      <c r="E229" t="s">
        <v>230</v>
      </c>
      <c r="F229" s="2" t="str">
        <f>HYPERLINK("http://www.otzar.org/book.asp?22349","אבני אליהו - 2 כר'")</f>
        <v>אבני אליהו - 2 כר'</v>
      </c>
    </row>
    <row r="230" spans="1:6" x14ac:dyDescent="0.2">
      <c r="A230" t="s">
        <v>644</v>
      </c>
      <c r="B230" t="s">
        <v>645</v>
      </c>
      <c r="C230" t="s">
        <v>244</v>
      </c>
      <c r="D230" t="s">
        <v>646</v>
      </c>
      <c r="E230" t="s">
        <v>158</v>
      </c>
      <c r="F230" s="2" t="str">
        <f>HYPERLINK("http://www.otzar.org/book.asp?613867","אבני אפד - 2 כר'")</f>
        <v>אבני אפד - 2 כר'</v>
      </c>
    </row>
    <row r="231" spans="1:6" x14ac:dyDescent="0.2">
      <c r="A231" t="s">
        <v>647</v>
      </c>
      <c r="B231" t="s">
        <v>648</v>
      </c>
      <c r="C231" t="s">
        <v>649</v>
      </c>
      <c r="D231" t="s">
        <v>535</v>
      </c>
      <c r="E231" t="s">
        <v>119</v>
      </c>
      <c r="F231" s="2" t="str">
        <f>HYPERLINK("http://www.otzar.org/book.asp?17087","אבני אש")</f>
        <v>אבני אש</v>
      </c>
    </row>
    <row r="232" spans="1:6" x14ac:dyDescent="0.2">
      <c r="A232" t="s">
        <v>650</v>
      </c>
      <c r="B232" t="s">
        <v>651</v>
      </c>
      <c r="C232" t="s">
        <v>114</v>
      </c>
      <c r="D232" t="s">
        <v>52</v>
      </c>
      <c r="E232" t="s">
        <v>144</v>
      </c>
      <c r="F232" s="2" t="str">
        <f>HYPERLINK("http://www.otzar.org/book.asp?85827","אבני אש - 2 כר'")</f>
        <v>אבני אש - 2 כר'</v>
      </c>
    </row>
    <row r="233" spans="1:6" x14ac:dyDescent="0.2">
      <c r="A233" t="s">
        <v>647</v>
      </c>
      <c r="B233" t="s">
        <v>652</v>
      </c>
      <c r="C233" t="s">
        <v>146</v>
      </c>
      <c r="D233" t="s">
        <v>52</v>
      </c>
      <c r="E233" t="s">
        <v>653</v>
      </c>
      <c r="F233" s="2" t="str">
        <f>HYPERLINK("http://www.otzar.org/book.asp?165922","אבני אש")</f>
        <v>אבני אש</v>
      </c>
    </row>
    <row r="234" spans="1:6" x14ac:dyDescent="0.2">
      <c r="A234" t="s">
        <v>647</v>
      </c>
      <c r="B234" t="s">
        <v>654</v>
      </c>
      <c r="C234" t="s">
        <v>454</v>
      </c>
      <c r="D234" t="s">
        <v>52</v>
      </c>
      <c r="E234" t="s">
        <v>474</v>
      </c>
      <c r="F234" s="2" t="str">
        <f>HYPERLINK("http://www.otzar.org/book.asp?84688","אבני אש")</f>
        <v>אבני אש</v>
      </c>
    </row>
    <row r="235" spans="1:6" x14ac:dyDescent="0.2">
      <c r="A235" t="s">
        <v>655</v>
      </c>
      <c r="B235" t="s">
        <v>656</v>
      </c>
      <c r="C235" t="s">
        <v>422</v>
      </c>
      <c r="D235" t="s">
        <v>657</v>
      </c>
      <c r="E235" t="s">
        <v>658</v>
      </c>
      <c r="F235" s="2" t="str">
        <f>HYPERLINK("http://www.otzar.org/book.asp?163138","אבני אש - 6 כר'")</f>
        <v>אבני אש - 6 כר'</v>
      </c>
    </row>
    <row r="236" spans="1:6" x14ac:dyDescent="0.2">
      <c r="A236" t="s">
        <v>659</v>
      </c>
      <c r="B236" t="s">
        <v>660</v>
      </c>
      <c r="C236" t="s">
        <v>492</v>
      </c>
      <c r="D236" t="s">
        <v>661</v>
      </c>
      <c r="E236" t="s">
        <v>119</v>
      </c>
      <c r="F236" s="2" t="str">
        <f>HYPERLINK("http://www.otzar.org/book.asp?63553","אבני בית היוצר")</f>
        <v>אבני בית היוצר</v>
      </c>
    </row>
    <row r="237" spans="1:6" x14ac:dyDescent="0.2">
      <c r="A237" t="s">
        <v>662</v>
      </c>
      <c r="B237" t="s">
        <v>663</v>
      </c>
      <c r="C237" t="s">
        <v>13</v>
      </c>
      <c r="E237" t="s">
        <v>154</v>
      </c>
      <c r="F237" s="2" t="str">
        <f>HYPERLINK("http://www.otzar.org/book.asp?602803","אבני ברזל - 2 כר'")</f>
        <v>אבני ברזל - 2 כר'</v>
      </c>
    </row>
    <row r="238" spans="1:6" x14ac:dyDescent="0.2">
      <c r="A238" t="s">
        <v>664</v>
      </c>
      <c r="B238" t="s">
        <v>665</v>
      </c>
      <c r="C238" t="s">
        <v>454</v>
      </c>
      <c r="D238" t="s">
        <v>14</v>
      </c>
      <c r="E238" t="s">
        <v>158</v>
      </c>
      <c r="F238" s="2" t="str">
        <f>HYPERLINK("http://www.otzar.org/book.asp?602790","אבני ברקת - 4 כר'")</f>
        <v>אבני ברקת - 4 כר'</v>
      </c>
    </row>
    <row r="239" spans="1:6" x14ac:dyDescent="0.2">
      <c r="A239" t="s">
        <v>666</v>
      </c>
      <c r="B239" t="s">
        <v>667</v>
      </c>
      <c r="C239" t="s">
        <v>668</v>
      </c>
      <c r="D239" t="s">
        <v>669</v>
      </c>
      <c r="F239" s="2" t="str">
        <f>HYPERLINK("http://www.otzar.org/book.asp?624809","אבני גזית - 2 כר'")</f>
        <v>אבני גזית - 2 כר'</v>
      </c>
    </row>
    <row r="240" spans="1:6" x14ac:dyDescent="0.2">
      <c r="A240" t="s">
        <v>670</v>
      </c>
      <c r="B240" t="s">
        <v>671</v>
      </c>
      <c r="C240" t="s">
        <v>151</v>
      </c>
      <c r="D240" t="s">
        <v>21</v>
      </c>
      <c r="E240" t="s">
        <v>172</v>
      </c>
      <c r="F240" s="2" t="str">
        <f>HYPERLINK("http://www.otzar.org/book.asp?609531","אבני דוד")</f>
        <v>אבני דוד</v>
      </c>
    </row>
    <row r="241" spans="1:6" x14ac:dyDescent="0.2">
      <c r="A241" t="s">
        <v>672</v>
      </c>
      <c r="B241" t="s">
        <v>673</v>
      </c>
      <c r="C241" t="s">
        <v>133</v>
      </c>
      <c r="D241" t="s">
        <v>14</v>
      </c>
      <c r="E241" t="s">
        <v>674</v>
      </c>
      <c r="F241" s="2" t="str">
        <f>HYPERLINK("http://www.otzar.org/book.asp?176183","אבני דרך")</f>
        <v>אבני דרך</v>
      </c>
    </row>
    <row r="242" spans="1:6" x14ac:dyDescent="0.2">
      <c r="A242" t="s">
        <v>672</v>
      </c>
      <c r="B242" t="s">
        <v>675</v>
      </c>
      <c r="C242" t="s">
        <v>151</v>
      </c>
      <c r="D242" t="s">
        <v>412</v>
      </c>
      <c r="E242" t="s">
        <v>586</v>
      </c>
      <c r="F242" s="2" t="str">
        <f>HYPERLINK("http://www.otzar.org/book.asp?621455","אבני דרך")</f>
        <v>אבני דרך</v>
      </c>
    </row>
    <row r="243" spans="1:6" x14ac:dyDescent="0.2">
      <c r="A243" t="s">
        <v>676</v>
      </c>
      <c r="B243" t="s">
        <v>677</v>
      </c>
      <c r="C243" t="s">
        <v>189</v>
      </c>
      <c r="D243" t="s">
        <v>52</v>
      </c>
      <c r="E243" t="s">
        <v>144</v>
      </c>
      <c r="F243" s="2" t="str">
        <f>HYPERLINK("http://www.otzar.org/book.asp?25721","אבני דרך - 11 כר'")</f>
        <v>אבני דרך - 11 כר'</v>
      </c>
    </row>
    <row r="244" spans="1:6" x14ac:dyDescent="0.2">
      <c r="A244" t="s">
        <v>678</v>
      </c>
      <c r="B244" t="s">
        <v>679</v>
      </c>
      <c r="C244" t="s">
        <v>68</v>
      </c>
      <c r="D244" t="s">
        <v>14</v>
      </c>
      <c r="E244" t="s">
        <v>154</v>
      </c>
      <c r="F244" s="2" t="str">
        <f>HYPERLINK("http://www.otzar.org/book.asp?168250","אבני דרך - 14 כר'")</f>
        <v>אבני דרך - 14 כר'</v>
      </c>
    </row>
    <row r="245" spans="1:6" x14ac:dyDescent="0.2">
      <c r="A245" t="s">
        <v>680</v>
      </c>
      <c r="B245" t="s">
        <v>681</v>
      </c>
      <c r="C245" t="s">
        <v>682</v>
      </c>
      <c r="D245" t="s">
        <v>683</v>
      </c>
      <c r="E245" t="s">
        <v>684</v>
      </c>
      <c r="F245" s="2" t="str">
        <f>HYPERLINK("http://www.otzar.org/book.asp?103968","אבני האפד - 2 כר'")</f>
        <v>אבני האפד - 2 כר'</v>
      </c>
    </row>
    <row r="246" spans="1:6" x14ac:dyDescent="0.2">
      <c r="A246" t="s">
        <v>685</v>
      </c>
      <c r="B246" t="s">
        <v>686</v>
      </c>
      <c r="C246" t="s">
        <v>114</v>
      </c>
      <c r="D246" t="s">
        <v>52</v>
      </c>
      <c r="E246" t="s">
        <v>104</v>
      </c>
      <c r="F246" s="2" t="str">
        <f>HYPERLINK("http://www.otzar.org/book.asp?163682","אבני האפוד - השמחה במעונו")</f>
        <v>אבני האפוד - השמחה במעונו</v>
      </c>
    </row>
    <row r="247" spans="1:6" x14ac:dyDescent="0.2">
      <c r="A247" t="s">
        <v>687</v>
      </c>
      <c r="B247" t="s">
        <v>688</v>
      </c>
      <c r="C247" t="s">
        <v>23</v>
      </c>
      <c r="D247" t="s">
        <v>52</v>
      </c>
      <c r="E247" t="s">
        <v>658</v>
      </c>
      <c r="F247" s="2" t="str">
        <f>HYPERLINK("http://www.otzar.org/book.asp?603893","אבני הדר")</f>
        <v>אבני הדר</v>
      </c>
    </row>
    <row r="248" spans="1:6" x14ac:dyDescent="0.2">
      <c r="A248" t="s">
        <v>689</v>
      </c>
      <c r="B248" t="s">
        <v>690</v>
      </c>
      <c r="C248" t="s">
        <v>619</v>
      </c>
      <c r="D248" t="s">
        <v>691</v>
      </c>
      <c r="E248" t="s">
        <v>172</v>
      </c>
      <c r="F248" s="2" t="str">
        <f>HYPERLINK("http://www.otzar.org/book.asp?21355","אבני החושן")</f>
        <v>אבני החושן</v>
      </c>
    </row>
    <row r="249" spans="1:6" x14ac:dyDescent="0.2">
      <c r="A249" t="s">
        <v>692</v>
      </c>
      <c r="B249" t="s">
        <v>693</v>
      </c>
      <c r="C249" t="s">
        <v>99</v>
      </c>
      <c r="D249" t="s">
        <v>27</v>
      </c>
      <c r="E249" t="s">
        <v>104</v>
      </c>
      <c r="F249" s="2" t="str">
        <f>HYPERLINK("http://www.otzar.org/book.asp?13319","אבני הלבנון")</f>
        <v>אבני הלבנון</v>
      </c>
    </row>
    <row r="250" spans="1:6" x14ac:dyDescent="0.2">
      <c r="A250" t="s">
        <v>694</v>
      </c>
      <c r="B250" t="s">
        <v>695</v>
      </c>
      <c r="C250" t="s">
        <v>422</v>
      </c>
      <c r="D250" t="s">
        <v>14</v>
      </c>
      <c r="E250" t="s">
        <v>674</v>
      </c>
      <c r="F250" s="2" t="str">
        <f>HYPERLINK("http://www.otzar.org/book.asp?152259","אבני הלכה")</f>
        <v>אבני הלכה</v>
      </c>
    </row>
    <row r="251" spans="1:6" x14ac:dyDescent="0.2">
      <c r="A251" t="s">
        <v>696</v>
      </c>
      <c r="B251" t="s">
        <v>697</v>
      </c>
      <c r="C251" t="s">
        <v>698</v>
      </c>
      <c r="D251" t="s">
        <v>699</v>
      </c>
      <c r="E251" t="s">
        <v>463</v>
      </c>
      <c r="F251" s="2" t="str">
        <f>HYPERLINK("http://www.otzar.org/book.asp?141205","אבני המחצב")</f>
        <v>אבני המחצב</v>
      </c>
    </row>
    <row r="252" spans="1:6" x14ac:dyDescent="0.2">
      <c r="A252" t="s">
        <v>700</v>
      </c>
      <c r="B252" t="s">
        <v>578</v>
      </c>
      <c r="C252" t="s">
        <v>334</v>
      </c>
      <c r="D252" t="s">
        <v>14</v>
      </c>
      <c r="E252" t="s">
        <v>701</v>
      </c>
      <c r="F252" s="2" t="str">
        <f>HYPERLINK("http://www.otzar.org/book.asp?153973","אבני המקום")</f>
        <v>אבני המקום</v>
      </c>
    </row>
    <row r="253" spans="1:6" x14ac:dyDescent="0.2">
      <c r="A253" t="s">
        <v>700</v>
      </c>
      <c r="B253" t="s">
        <v>702</v>
      </c>
      <c r="C253" t="s">
        <v>99</v>
      </c>
      <c r="D253" t="s">
        <v>27</v>
      </c>
      <c r="E253" t="s">
        <v>703</v>
      </c>
      <c r="F253" s="2" t="str">
        <f>HYPERLINK("http://www.otzar.org/book.asp?17090","אבני המקום")</f>
        <v>אבני המקום</v>
      </c>
    </row>
    <row r="254" spans="1:6" x14ac:dyDescent="0.2">
      <c r="A254" t="s">
        <v>704</v>
      </c>
      <c r="B254" t="s">
        <v>705</v>
      </c>
      <c r="C254" t="s">
        <v>37</v>
      </c>
      <c r="D254" t="s">
        <v>52</v>
      </c>
      <c r="E254" t="s">
        <v>144</v>
      </c>
      <c r="F254" s="2" t="str">
        <f>HYPERLINK("http://www.otzar.org/book.asp?181597","אבני המקום - 3 כר'")</f>
        <v>אבני המקום - 3 כר'</v>
      </c>
    </row>
    <row r="255" spans="1:6" x14ac:dyDescent="0.2">
      <c r="A255" t="s">
        <v>706</v>
      </c>
      <c r="B255" t="s">
        <v>707</v>
      </c>
      <c r="C255" t="s">
        <v>422</v>
      </c>
      <c r="D255" t="s">
        <v>52</v>
      </c>
      <c r="E255" t="s">
        <v>148</v>
      </c>
      <c r="F255" s="2" t="str">
        <f>HYPERLINK("http://www.otzar.org/book.asp?163209","אבני המשפט - 2 כר'")</f>
        <v>אבני המשפט - 2 כר'</v>
      </c>
    </row>
    <row r="256" spans="1:6" x14ac:dyDescent="0.2">
      <c r="A256" t="s">
        <v>708</v>
      </c>
      <c r="B256" t="s">
        <v>709</v>
      </c>
      <c r="C256" t="s">
        <v>366</v>
      </c>
      <c r="D256" t="s">
        <v>52</v>
      </c>
      <c r="E256" t="s">
        <v>144</v>
      </c>
      <c r="F256" s="2" t="str">
        <f>HYPERLINK("http://www.otzar.org/book.asp?622878","אבני הסוגיות - 14 כר'")</f>
        <v>אבני הסוגיות - 14 כר'</v>
      </c>
    </row>
    <row r="257" spans="1:6" x14ac:dyDescent="0.2">
      <c r="A257" t="s">
        <v>710</v>
      </c>
      <c r="B257" t="s">
        <v>711</v>
      </c>
      <c r="C257" t="s">
        <v>23</v>
      </c>
      <c r="D257" t="s">
        <v>52</v>
      </c>
      <c r="E257" t="s">
        <v>84</v>
      </c>
      <c r="F257" s="2" t="str">
        <f>HYPERLINK("http://www.otzar.org/book.asp?194068","אבני השדה - 5 כר'")</f>
        <v>אבני השדה - 5 כר'</v>
      </c>
    </row>
    <row r="258" spans="1:6" x14ac:dyDescent="0.2">
      <c r="A258" t="s">
        <v>712</v>
      </c>
      <c r="B258" t="s">
        <v>713</v>
      </c>
      <c r="C258" t="s">
        <v>156</v>
      </c>
      <c r="D258" t="s">
        <v>267</v>
      </c>
      <c r="E258" t="s">
        <v>714</v>
      </c>
      <c r="F258" s="2" t="str">
        <f>HYPERLINK("http://www.otzar.org/book.asp?23956","אבני השוהם")</f>
        <v>אבני השוהם</v>
      </c>
    </row>
    <row r="259" spans="1:6" x14ac:dyDescent="0.2">
      <c r="A259" t="s">
        <v>715</v>
      </c>
      <c r="B259" t="s">
        <v>716</v>
      </c>
      <c r="C259" t="s">
        <v>581</v>
      </c>
      <c r="D259" t="s">
        <v>225</v>
      </c>
      <c r="E259" t="s">
        <v>158</v>
      </c>
      <c r="F259" s="2" t="str">
        <f>HYPERLINK("http://www.otzar.org/book.asp?21356","אבני זהב")</f>
        <v>אבני זהב</v>
      </c>
    </row>
    <row r="260" spans="1:6" x14ac:dyDescent="0.2">
      <c r="A260" t="s">
        <v>717</v>
      </c>
      <c r="B260" t="s">
        <v>718</v>
      </c>
      <c r="C260" t="s">
        <v>383</v>
      </c>
      <c r="D260" t="s">
        <v>14</v>
      </c>
      <c r="E260" t="s">
        <v>213</v>
      </c>
      <c r="F260" s="2" t="str">
        <f>HYPERLINK("http://www.otzar.org/book.asp?155019","אבני זכרון (ליקוט)")</f>
        <v>אבני זכרון (ליקוט)</v>
      </c>
    </row>
    <row r="261" spans="1:6" x14ac:dyDescent="0.2">
      <c r="A261" t="s">
        <v>719</v>
      </c>
      <c r="B261" t="s">
        <v>720</v>
      </c>
      <c r="C261" t="s">
        <v>103</v>
      </c>
      <c r="D261" t="s">
        <v>721</v>
      </c>
      <c r="E261" t="s">
        <v>119</v>
      </c>
      <c r="F261" s="2" t="str">
        <f>HYPERLINK("http://www.otzar.org/book.asp?174463","אבני זכרון לקהילת מראקש")</f>
        <v>אבני זכרון לקהילת מראקש</v>
      </c>
    </row>
    <row r="262" spans="1:6" x14ac:dyDescent="0.2">
      <c r="A262" t="s">
        <v>722</v>
      </c>
      <c r="B262" t="s">
        <v>722</v>
      </c>
      <c r="C262" t="s">
        <v>466</v>
      </c>
      <c r="D262" t="s">
        <v>14</v>
      </c>
      <c r="E262" t="s">
        <v>723</v>
      </c>
      <c r="F262" s="2" t="str">
        <f>HYPERLINK("http://www.otzar.org/book.asp?15763","אבני זכרון")</f>
        <v>אבני זכרון</v>
      </c>
    </row>
    <row r="263" spans="1:6" x14ac:dyDescent="0.2">
      <c r="A263" t="s">
        <v>722</v>
      </c>
      <c r="B263" t="s">
        <v>724</v>
      </c>
      <c r="C263" t="s">
        <v>725</v>
      </c>
      <c r="D263" t="s">
        <v>726</v>
      </c>
      <c r="E263" t="s">
        <v>144</v>
      </c>
      <c r="F263" s="2" t="str">
        <f>HYPERLINK("http://www.otzar.org/book.asp?141080","אבני זכרון")</f>
        <v>אבני זכרון</v>
      </c>
    </row>
    <row r="264" spans="1:6" x14ac:dyDescent="0.2">
      <c r="A264" t="s">
        <v>722</v>
      </c>
      <c r="B264" t="s">
        <v>727</v>
      </c>
      <c r="C264" t="s">
        <v>728</v>
      </c>
      <c r="D264" t="s">
        <v>729</v>
      </c>
      <c r="E264" t="s">
        <v>730</v>
      </c>
      <c r="F264" s="2" t="str">
        <f>HYPERLINK("http://www.otzar.org/book.asp?300125","אבני זכרון")</f>
        <v>אבני זכרון</v>
      </c>
    </row>
    <row r="265" spans="1:6" x14ac:dyDescent="0.2">
      <c r="A265" t="s">
        <v>731</v>
      </c>
      <c r="B265" t="s">
        <v>732</v>
      </c>
      <c r="C265" t="s">
        <v>506</v>
      </c>
      <c r="D265" t="s">
        <v>27</v>
      </c>
      <c r="E265" t="s">
        <v>733</v>
      </c>
      <c r="F265" s="2" t="str">
        <f>HYPERLINK("http://www.otzar.org/book.asp?300132","אבני זכרון - 5 כר'")</f>
        <v>אבני זכרון - 5 כר'</v>
      </c>
    </row>
    <row r="266" spans="1:6" x14ac:dyDescent="0.2">
      <c r="A266" t="s">
        <v>734</v>
      </c>
      <c r="B266" t="s">
        <v>735</v>
      </c>
      <c r="C266" t="s">
        <v>111</v>
      </c>
      <c r="D266" t="s">
        <v>736</v>
      </c>
      <c r="E266" t="s">
        <v>144</v>
      </c>
      <c r="F266" s="2" t="str">
        <f>HYPERLINK("http://www.otzar.org/book.asp?621793","אבני זכרון - מסכת שבת")</f>
        <v>אבני זכרון - מסכת שבת</v>
      </c>
    </row>
    <row r="267" spans="1:6" x14ac:dyDescent="0.2">
      <c r="A267" t="s">
        <v>737</v>
      </c>
      <c r="B267" t="s">
        <v>738</v>
      </c>
      <c r="C267" t="s">
        <v>362</v>
      </c>
      <c r="D267" t="s">
        <v>739</v>
      </c>
      <c r="E267" t="s">
        <v>104</v>
      </c>
      <c r="F267" s="2" t="str">
        <f>HYPERLINK("http://www.otzar.org/book.asp?182233","אבני זכרון - הכתב והמכתב")</f>
        <v>אבני זכרון - הכתב והמכתב</v>
      </c>
    </row>
    <row r="268" spans="1:6" x14ac:dyDescent="0.2">
      <c r="A268" t="s">
        <v>722</v>
      </c>
      <c r="B268" t="s">
        <v>740</v>
      </c>
      <c r="C268" t="s">
        <v>422</v>
      </c>
      <c r="D268" t="s">
        <v>14</v>
      </c>
      <c r="E268" t="s">
        <v>741</v>
      </c>
      <c r="F268" s="2" t="str">
        <f>HYPERLINK("http://www.otzar.org/book.asp?171098","אבני זכרון")</f>
        <v>אבני זכרון</v>
      </c>
    </row>
    <row r="269" spans="1:6" x14ac:dyDescent="0.2">
      <c r="A269" t="s">
        <v>722</v>
      </c>
      <c r="B269" t="s">
        <v>742</v>
      </c>
      <c r="C269" t="s">
        <v>743</v>
      </c>
      <c r="D269" t="s">
        <v>744</v>
      </c>
      <c r="E269" t="s">
        <v>745</v>
      </c>
      <c r="F269" s="2" t="str">
        <f>HYPERLINK("http://www.otzar.org/book.asp?100443","אבני זכרון")</f>
        <v>אבני זכרון</v>
      </c>
    </row>
    <row r="270" spans="1:6" x14ac:dyDescent="0.2">
      <c r="A270" t="s">
        <v>722</v>
      </c>
      <c r="B270" t="s">
        <v>651</v>
      </c>
      <c r="C270" t="s">
        <v>313</v>
      </c>
      <c r="D270" t="s">
        <v>52</v>
      </c>
      <c r="E270" t="s">
        <v>148</v>
      </c>
      <c r="F270" s="2" t="str">
        <f>HYPERLINK("http://www.otzar.org/book.asp?51902","אבני זכרון")</f>
        <v>אבני זכרון</v>
      </c>
    </row>
    <row r="271" spans="1:6" x14ac:dyDescent="0.2">
      <c r="A271" t="s">
        <v>722</v>
      </c>
      <c r="B271" t="s">
        <v>746</v>
      </c>
      <c r="C271" t="s">
        <v>143</v>
      </c>
      <c r="D271" t="s">
        <v>52</v>
      </c>
      <c r="F271" s="2" t="str">
        <f>HYPERLINK("http://www.otzar.org/book.asp?608967","אבני זכרון")</f>
        <v>אבני זכרון</v>
      </c>
    </row>
    <row r="272" spans="1:6" x14ac:dyDescent="0.2">
      <c r="A272" t="s">
        <v>722</v>
      </c>
      <c r="B272" t="s">
        <v>747</v>
      </c>
      <c r="C272" t="s">
        <v>748</v>
      </c>
      <c r="D272" t="s">
        <v>283</v>
      </c>
      <c r="E272" t="s">
        <v>241</v>
      </c>
      <c r="F272" s="2" t="str">
        <f>HYPERLINK("http://www.otzar.org/book.asp?300128","אבני זכרון")</f>
        <v>אבני זכרון</v>
      </c>
    </row>
    <row r="273" spans="1:6" x14ac:dyDescent="0.2">
      <c r="A273" t="s">
        <v>722</v>
      </c>
      <c r="B273" t="s">
        <v>749</v>
      </c>
      <c r="C273" t="s">
        <v>168</v>
      </c>
      <c r="D273" t="s">
        <v>14</v>
      </c>
      <c r="E273" t="s">
        <v>750</v>
      </c>
      <c r="F273" s="2" t="str">
        <f>HYPERLINK("http://www.otzar.org/book.asp?85101","אבני זכרון")</f>
        <v>אבני זכרון</v>
      </c>
    </row>
    <row r="274" spans="1:6" x14ac:dyDescent="0.2">
      <c r="A274" t="s">
        <v>722</v>
      </c>
      <c r="B274" t="s">
        <v>751</v>
      </c>
      <c r="C274" t="s">
        <v>752</v>
      </c>
      <c r="D274" t="s">
        <v>56</v>
      </c>
      <c r="E274" t="s">
        <v>733</v>
      </c>
      <c r="F274" s="2" t="str">
        <f>HYPERLINK("http://www.otzar.org/book.asp?17091","אבני זכרון")</f>
        <v>אבני זכרון</v>
      </c>
    </row>
    <row r="275" spans="1:6" x14ac:dyDescent="0.2">
      <c r="A275" t="s">
        <v>753</v>
      </c>
      <c r="B275" t="s">
        <v>754</v>
      </c>
      <c r="C275" t="s">
        <v>755</v>
      </c>
      <c r="D275" t="s">
        <v>756</v>
      </c>
      <c r="E275" t="s">
        <v>154</v>
      </c>
      <c r="F275" s="2" t="str">
        <f>HYPERLINK("http://www.otzar.org/book.asp?23957","אבני זכרון - 3 כר'")</f>
        <v>אבני זכרון - 3 כר'</v>
      </c>
    </row>
    <row r="276" spans="1:6" x14ac:dyDescent="0.2">
      <c r="A276" t="s">
        <v>722</v>
      </c>
      <c r="B276" t="s">
        <v>757</v>
      </c>
      <c r="C276" t="s">
        <v>492</v>
      </c>
      <c r="D276" t="s">
        <v>267</v>
      </c>
      <c r="E276" t="s">
        <v>15</v>
      </c>
      <c r="F276" s="2" t="str">
        <f>HYPERLINK("http://www.otzar.org/book.asp?104590","אבני זכרון")</f>
        <v>אבני זכרון</v>
      </c>
    </row>
    <row r="277" spans="1:6" x14ac:dyDescent="0.2">
      <c r="A277" t="s">
        <v>753</v>
      </c>
      <c r="B277" t="s">
        <v>627</v>
      </c>
      <c r="C277" t="s">
        <v>383</v>
      </c>
      <c r="D277" t="s">
        <v>14</v>
      </c>
      <c r="E277" t="s">
        <v>104</v>
      </c>
      <c r="F277" s="2" t="str">
        <f>HYPERLINK("http://www.otzar.org/book.asp?85102","אבני זכרון - 3 כר'")</f>
        <v>אבני זכרון - 3 כר'</v>
      </c>
    </row>
    <row r="278" spans="1:6" x14ac:dyDescent="0.2">
      <c r="A278" t="s">
        <v>722</v>
      </c>
      <c r="B278" t="s">
        <v>758</v>
      </c>
      <c r="C278" t="s">
        <v>79</v>
      </c>
      <c r="D278" t="s">
        <v>260</v>
      </c>
      <c r="E278" t="s">
        <v>579</v>
      </c>
      <c r="F278" s="2" t="str">
        <f>HYPERLINK("http://www.otzar.org/book.asp?17018","אבני זכרון")</f>
        <v>אבני זכרון</v>
      </c>
    </row>
    <row r="279" spans="1:6" x14ac:dyDescent="0.2">
      <c r="A279" t="s">
        <v>759</v>
      </c>
      <c r="B279" t="s">
        <v>760</v>
      </c>
      <c r="C279" t="s">
        <v>20</v>
      </c>
      <c r="D279" t="s">
        <v>52</v>
      </c>
      <c r="E279" t="s">
        <v>761</v>
      </c>
      <c r="F279" s="2" t="str">
        <f>HYPERLINK("http://www.otzar.org/book.asp?161215","אבני זכרן")</f>
        <v>אבני זכרן</v>
      </c>
    </row>
    <row r="280" spans="1:6" x14ac:dyDescent="0.2">
      <c r="A280" t="s">
        <v>762</v>
      </c>
      <c r="B280" t="s">
        <v>763</v>
      </c>
      <c r="C280" t="s">
        <v>87</v>
      </c>
      <c r="D280" t="s">
        <v>764</v>
      </c>
      <c r="E280" t="s">
        <v>15</v>
      </c>
      <c r="F280" s="2" t="str">
        <f>HYPERLINK("http://www.otzar.org/book.asp?149734","אבני חושן (כוס של ברכה)")</f>
        <v>אבני חושן (כוס של ברכה)</v>
      </c>
    </row>
    <row r="281" spans="1:6" x14ac:dyDescent="0.2">
      <c r="A281" t="s">
        <v>765</v>
      </c>
      <c r="B281" t="s">
        <v>766</v>
      </c>
      <c r="C281" t="s">
        <v>767</v>
      </c>
      <c r="D281" t="s">
        <v>14</v>
      </c>
      <c r="E281" t="s">
        <v>768</v>
      </c>
      <c r="F281" s="2" t="str">
        <f>HYPERLINK("http://www.otzar.org/book.asp?628031","אבני חושן - א")</f>
        <v>אבני חושן - א</v>
      </c>
    </row>
    <row r="282" spans="1:6" x14ac:dyDescent="0.2">
      <c r="A282" t="s">
        <v>769</v>
      </c>
      <c r="B282" t="s">
        <v>763</v>
      </c>
      <c r="C282" t="s">
        <v>767</v>
      </c>
      <c r="D282" t="s">
        <v>764</v>
      </c>
      <c r="E282" t="s">
        <v>15</v>
      </c>
      <c r="F282" s="2" t="str">
        <f>HYPERLINK("http://www.otzar.org/book.asp?149744","אבני חושן - 3 כר'")</f>
        <v>אבני חושן - 3 כר'</v>
      </c>
    </row>
    <row r="283" spans="1:6" x14ac:dyDescent="0.2">
      <c r="A283" t="s">
        <v>770</v>
      </c>
      <c r="B283" t="s">
        <v>771</v>
      </c>
      <c r="C283" t="s">
        <v>114</v>
      </c>
      <c r="D283" t="s">
        <v>657</v>
      </c>
      <c r="E283" t="s">
        <v>144</v>
      </c>
      <c r="F283" s="2" t="str">
        <f>HYPERLINK("http://www.otzar.org/book.asp?157092","אבני חיים")</f>
        <v>אבני חיים</v>
      </c>
    </row>
    <row r="284" spans="1:6" x14ac:dyDescent="0.2">
      <c r="A284" t="s">
        <v>772</v>
      </c>
      <c r="B284" t="s">
        <v>418</v>
      </c>
      <c r="C284" t="s">
        <v>37</v>
      </c>
      <c r="D284" t="s">
        <v>14</v>
      </c>
      <c r="E284" t="s">
        <v>246</v>
      </c>
      <c r="F284" s="2" t="str">
        <f>HYPERLINK("http://www.otzar.org/book.asp?604496","אבני חן - 3 כר'")</f>
        <v>אבני חן - 3 כר'</v>
      </c>
    </row>
    <row r="285" spans="1:6" x14ac:dyDescent="0.2">
      <c r="A285" t="s">
        <v>773</v>
      </c>
      <c r="B285" t="s">
        <v>774</v>
      </c>
      <c r="C285" t="s">
        <v>775</v>
      </c>
      <c r="D285" t="s">
        <v>216</v>
      </c>
      <c r="E285" t="s">
        <v>15</v>
      </c>
      <c r="F285" s="2" t="str">
        <f>HYPERLINK("http://www.otzar.org/book.asp?158085","אבני חן")</f>
        <v>אבני חן</v>
      </c>
    </row>
    <row r="286" spans="1:6" x14ac:dyDescent="0.2">
      <c r="A286" t="s">
        <v>773</v>
      </c>
      <c r="B286" t="s">
        <v>686</v>
      </c>
      <c r="C286" t="s">
        <v>13</v>
      </c>
      <c r="D286" t="s">
        <v>52</v>
      </c>
      <c r="E286" t="s">
        <v>104</v>
      </c>
      <c r="F286" s="2" t="str">
        <f>HYPERLINK("http://www.otzar.org/book.asp?172431","אבני חן")</f>
        <v>אבני חן</v>
      </c>
    </row>
    <row r="287" spans="1:6" x14ac:dyDescent="0.2">
      <c r="A287" t="s">
        <v>773</v>
      </c>
      <c r="B287" t="s">
        <v>776</v>
      </c>
      <c r="C287" t="s">
        <v>777</v>
      </c>
      <c r="D287" t="s">
        <v>27</v>
      </c>
      <c r="E287" t="s">
        <v>213</v>
      </c>
      <c r="F287" s="2" t="str">
        <f>HYPERLINK("http://www.otzar.org/book.asp?179209","אבני חן")</f>
        <v>אבני חן</v>
      </c>
    </row>
    <row r="288" spans="1:6" x14ac:dyDescent="0.2">
      <c r="A288" t="s">
        <v>778</v>
      </c>
      <c r="B288" t="s">
        <v>651</v>
      </c>
      <c r="C288" t="s">
        <v>189</v>
      </c>
      <c r="D288" t="s">
        <v>52</v>
      </c>
      <c r="E288" t="s">
        <v>674</v>
      </c>
      <c r="F288" s="2" t="str">
        <f>HYPERLINK("http://www.otzar.org/book.asp?26829","אבני חן - 2 כר'")</f>
        <v>אבני חן - 2 כר'</v>
      </c>
    </row>
    <row r="289" spans="1:6" x14ac:dyDescent="0.2">
      <c r="A289" t="s">
        <v>773</v>
      </c>
      <c r="B289" t="s">
        <v>779</v>
      </c>
      <c r="C289" t="s">
        <v>111</v>
      </c>
      <c r="D289" t="s">
        <v>14</v>
      </c>
      <c r="E289" t="s">
        <v>104</v>
      </c>
      <c r="F289" s="2" t="str">
        <f>HYPERLINK("http://www.otzar.org/book.asp?621757","אבני חן")</f>
        <v>אבני חן</v>
      </c>
    </row>
    <row r="290" spans="1:6" x14ac:dyDescent="0.2">
      <c r="A290" t="s">
        <v>780</v>
      </c>
      <c r="B290" t="s">
        <v>781</v>
      </c>
      <c r="C290" t="s">
        <v>37</v>
      </c>
      <c r="D290" t="s">
        <v>52</v>
      </c>
      <c r="E290" t="s">
        <v>782</v>
      </c>
      <c r="F290" s="2" t="str">
        <f>HYPERLINK("http://www.otzar.org/book.asp?180595","אבני חפץ")</f>
        <v>אבני חפץ</v>
      </c>
    </row>
    <row r="291" spans="1:6" x14ac:dyDescent="0.2">
      <c r="A291" t="s">
        <v>783</v>
      </c>
      <c r="B291" t="s">
        <v>784</v>
      </c>
      <c r="C291" t="s">
        <v>785</v>
      </c>
      <c r="D291" t="s">
        <v>412</v>
      </c>
      <c r="E291" t="s">
        <v>786</v>
      </c>
      <c r="F291" s="2" t="str">
        <f>HYPERLINK("http://www.otzar.org/book.asp?26111","אבני חפץ - 4 כר'")</f>
        <v>אבני חפץ - 4 כר'</v>
      </c>
    </row>
    <row r="292" spans="1:6" x14ac:dyDescent="0.2">
      <c r="A292" t="s">
        <v>780</v>
      </c>
      <c r="B292" t="s">
        <v>686</v>
      </c>
      <c r="C292" t="s">
        <v>37</v>
      </c>
      <c r="D292" t="s">
        <v>52</v>
      </c>
      <c r="E292" t="s">
        <v>104</v>
      </c>
      <c r="F292" s="2" t="str">
        <f>HYPERLINK("http://www.otzar.org/book.asp?182737","אבני חפץ")</f>
        <v>אבני חפץ</v>
      </c>
    </row>
    <row r="293" spans="1:6" x14ac:dyDescent="0.2">
      <c r="A293" t="s">
        <v>787</v>
      </c>
      <c r="B293" t="s">
        <v>788</v>
      </c>
      <c r="C293" t="s">
        <v>103</v>
      </c>
      <c r="D293" t="s">
        <v>14</v>
      </c>
      <c r="E293" t="s">
        <v>144</v>
      </c>
      <c r="F293" s="2" t="str">
        <f>HYPERLINK("http://www.otzar.org/book.asp?22670","אבני חפץ - שבת")</f>
        <v>אבני חפץ - שבת</v>
      </c>
    </row>
    <row r="294" spans="1:6" x14ac:dyDescent="0.2">
      <c r="A294" t="s">
        <v>780</v>
      </c>
      <c r="B294" t="s">
        <v>651</v>
      </c>
      <c r="C294" t="s">
        <v>151</v>
      </c>
      <c r="D294" t="s">
        <v>52</v>
      </c>
      <c r="E294" t="s">
        <v>158</v>
      </c>
      <c r="F294" s="2" t="str">
        <f>HYPERLINK("http://www.otzar.org/book.asp?620306","אבני חפץ")</f>
        <v>אבני חפץ</v>
      </c>
    </row>
    <row r="295" spans="1:6" x14ac:dyDescent="0.2">
      <c r="A295" t="s">
        <v>780</v>
      </c>
      <c r="B295" t="s">
        <v>789</v>
      </c>
      <c r="C295" t="s">
        <v>160</v>
      </c>
      <c r="D295" t="s">
        <v>790</v>
      </c>
      <c r="E295" t="s">
        <v>791</v>
      </c>
      <c r="F295" s="2" t="str">
        <f>HYPERLINK("http://www.otzar.org/book.asp?1022","אבני חפץ")</f>
        <v>אבני חפץ</v>
      </c>
    </row>
    <row r="296" spans="1:6" x14ac:dyDescent="0.2">
      <c r="A296" t="s">
        <v>792</v>
      </c>
      <c r="B296" t="s">
        <v>651</v>
      </c>
      <c r="C296" t="s">
        <v>767</v>
      </c>
      <c r="D296" t="s">
        <v>52</v>
      </c>
      <c r="E296" t="s">
        <v>730</v>
      </c>
      <c r="F296" s="2" t="str">
        <f>HYPERLINK("http://www.otzar.org/book.asp?26833","אבני חשן - 3 כר'")</f>
        <v>אבני חשן - 3 כר'</v>
      </c>
    </row>
    <row r="297" spans="1:6" x14ac:dyDescent="0.2">
      <c r="A297" t="s">
        <v>793</v>
      </c>
      <c r="B297" t="s">
        <v>794</v>
      </c>
      <c r="C297" t="s">
        <v>360</v>
      </c>
      <c r="D297" t="s">
        <v>661</v>
      </c>
      <c r="E297" t="s">
        <v>396</v>
      </c>
      <c r="F297" s="2" t="str">
        <f>HYPERLINK("http://www.otzar.org/book.asp?102842","אבני חשן")</f>
        <v>אבני חשן</v>
      </c>
    </row>
    <row r="298" spans="1:6" x14ac:dyDescent="0.2">
      <c r="A298" t="s">
        <v>795</v>
      </c>
      <c r="B298" t="s">
        <v>796</v>
      </c>
      <c r="C298" t="s">
        <v>133</v>
      </c>
      <c r="D298" t="s">
        <v>245</v>
      </c>
      <c r="E298" t="s">
        <v>84</v>
      </c>
      <c r="F298" s="2" t="str">
        <f>HYPERLINK("http://www.otzar.org/book.asp?179536","אבני טוהר - נגעים")</f>
        <v>אבני טוהר - נגעים</v>
      </c>
    </row>
    <row r="299" spans="1:6" x14ac:dyDescent="0.2">
      <c r="A299" t="s">
        <v>797</v>
      </c>
      <c r="B299" t="s">
        <v>798</v>
      </c>
      <c r="C299" t="s">
        <v>244</v>
      </c>
      <c r="D299" t="s">
        <v>80</v>
      </c>
      <c r="E299" t="s">
        <v>158</v>
      </c>
      <c r="F299" s="2" t="str">
        <f>HYPERLINK("http://www.otzar.org/book.asp?601166","אבני יהושע")</f>
        <v>אבני יהושע</v>
      </c>
    </row>
    <row r="300" spans="1:6" x14ac:dyDescent="0.2">
      <c r="A300" t="s">
        <v>797</v>
      </c>
      <c r="B300" t="s">
        <v>799</v>
      </c>
      <c r="C300" t="s">
        <v>800</v>
      </c>
      <c r="D300" t="s">
        <v>9</v>
      </c>
      <c r="E300" t="s">
        <v>154</v>
      </c>
      <c r="F300" s="2" t="str">
        <f>HYPERLINK("http://www.otzar.org/book.asp?17098","אבני יהושע")</f>
        <v>אבני יהושע</v>
      </c>
    </row>
    <row r="301" spans="1:6" x14ac:dyDescent="0.2">
      <c r="A301" t="s">
        <v>797</v>
      </c>
      <c r="B301" t="s">
        <v>801</v>
      </c>
      <c r="C301" t="s">
        <v>802</v>
      </c>
      <c r="D301" t="s">
        <v>283</v>
      </c>
      <c r="E301" t="s">
        <v>803</v>
      </c>
      <c r="F301" s="2" t="str">
        <f>HYPERLINK("http://www.otzar.org/book.asp?100344","אבני יהושע")</f>
        <v>אבני יהושע</v>
      </c>
    </row>
    <row r="302" spans="1:6" x14ac:dyDescent="0.2">
      <c r="A302" t="s">
        <v>804</v>
      </c>
      <c r="B302" t="s">
        <v>805</v>
      </c>
      <c r="C302" t="s">
        <v>133</v>
      </c>
      <c r="D302" t="s">
        <v>806</v>
      </c>
      <c r="E302" t="s">
        <v>15</v>
      </c>
      <c r="F302" s="2" t="str">
        <f>HYPERLINK("http://www.otzar.org/book.asp?183031","אבני יוחנן")</f>
        <v>אבני יוחנן</v>
      </c>
    </row>
    <row r="303" spans="1:6" x14ac:dyDescent="0.2">
      <c r="A303" t="s">
        <v>807</v>
      </c>
      <c r="B303" t="s">
        <v>552</v>
      </c>
      <c r="C303" t="s">
        <v>17</v>
      </c>
      <c r="D303" t="s">
        <v>52</v>
      </c>
      <c r="E303" t="s">
        <v>186</v>
      </c>
      <c r="F303" s="2" t="str">
        <f>HYPERLINK("http://www.otzar.org/book.asp?61164","אבני יחיאל")</f>
        <v>אבני יחיאל</v>
      </c>
    </row>
    <row r="304" spans="1:6" x14ac:dyDescent="0.2">
      <c r="A304" t="s">
        <v>808</v>
      </c>
      <c r="B304" t="s">
        <v>809</v>
      </c>
      <c r="C304" t="s">
        <v>13</v>
      </c>
      <c r="D304" t="s">
        <v>14</v>
      </c>
      <c r="E304" t="s">
        <v>144</v>
      </c>
      <c r="F304" s="2" t="str">
        <f>HYPERLINK("http://www.otzar.org/book.asp?162687","אבני יסוד")</f>
        <v>אבני יסוד</v>
      </c>
    </row>
    <row r="305" spans="1:6" x14ac:dyDescent="0.2">
      <c r="A305" t="s">
        <v>810</v>
      </c>
      <c r="B305" t="s">
        <v>811</v>
      </c>
      <c r="C305" t="s">
        <v>812</v>
      </c>
      <c r="D305" t="s">
        <v>27</v>
      </c>
      <c r="E305" t="s">
        <v>234</v>
      </c>
      <c r="F305" s="2" t="str">
        <f>HYPERLINK("http://www.otzar.org/book.asp?7126","אבני יעקב")</f>
        <v>אבני יעקב</v>
      </c>
    </row>
    <row r="306" spans="1:6" x14ac:dyDescent="0.2">
      <c r="A306" t="s">
        <v>813</v>
      </c>
      <c r="B306" t="s">
        <v>814</v>
      </c>
      <c r="C306" t="s">
        <v>533</v>
      </c>
      <c r="D306" t="s">
        <v>412</v>
      </c>
      <c r="E306" t="s">
        <v>10</v>
      </c>
      <c r="F306" s="2" t="str">
        <f>HYPERLINK("http://www.otzar.org/book.asp?102844","אבני יעקב - 2 כר'")</f>
        <v>אבני יעקב - 2 כר'</v>
      </c>
    </row>
    <row r="307" spans="1:6" x14ac:dyDescent="0.2">
      <c r="A307" t="s">
        <v>815</v>
      </c>
      <c r="B307" t="s">
        <v>816</v>
      </c>
      <c r="C307" t="s">
        <v>23</v>
      </c>
      <c r="D307" t="s">
        <v>817</v>
      </c>
      <c r="E307" t="s">
        <v>148</v>
      </c>
      <c r="F307" s="2" t="str">
        <f>HYPERLINK("http://www.otzar.org/book.asp?191891","אבני יקר - 2 כר'")</f>
        <v>אבני יקר - 2 כר'</v>
      </c>
    </row>
    <row r="308" spans="1:6" x14ac:dyDescent="0.2">
      <c r="A308" t="s">
        <v>818</v>
      </c>
      <c r="B308" t="s">
        <v>707</v>
      </c>
      <c r="C308" t="s">
        <v>151</v>
      </c>
      <c r="D308" t="s">
        <v>21</v>
      </c>
      <c r="E308" t="s">
        <v>144</v>
      </c>
      <c r="F308" s="2" t="str">
        <f>HYPERLINK("http://www.otzar.org/book.asp?622048","אבני ישפה - בבא קמא")</f>
        <v>אבני ישפה - בבא קמא</v>
      </c>
    </row>
    <row r="309" spans="1:6" x14ac:dyDescent="0.2">
      <c r="A309" t="s">
        <v>819</v>
      </c>
      <c r="B309" t="s">
        <v>820</v>
      </c>
      <c r="C309" t="s">
        <v>17</v>
      </c>
      <c r="D309" t="s">
        <v>14</v>
      </c>
      <c r="E309" t="s">
        <v>154</v>
      </c>
      <c r="F309" s="2" t="str">
        <f>HYPERLINK("http://www.otzar.org/book.asp?23200","אבני ישפה - 9 כר'")</f>
        <v>אבני ישפה - 9 כר'</v>
      </c>
    </row>
    <row r="310" spans="1:6" x14ac:dyDescent="0.2">
      <c r="A310" t="s">
        <v>821</v>
      </c>
      <c r="B310" t="s">
        <v>822</v>
      </c>
      <c r="C310" t="s">
        <v>244</v>
      </c>
      <c r="D310" t="s">
        <v>21</v>
      </c>
      <c r="E310" t="s">
        <v>144</v>
      </c>
      <c r="F310" s="2" t="str">
        <f>HYPERLINK("http://www.otzar.org/book.asp?193462","אבני ישראל - סנהדרין")</f>
        <v>אבני ישראל - סנהדרין</v>
      </c>
    </row>
    <row r="311" spans="1:6" x14ac:dyDescent="0.2">
      <c r="A311" t="s">
        <v>823</v>
      </c>
      <c r="B311" t="s">
        <v>824</v>
      </c>
      <c r="C311" t="s">
        <v>133</v>
      </c>
      <c r="D311" t="s">
        <v>14</v>
      </c>
      <c r="E311" t="s">
        <v>825</v>
      </c>
      <c r="F311" s="2" t="str">
        <f>HYPERLINK("http://www.otzar.org/book.asp?188476","אבני כיס")</f>
        <v>אבני כיס</v>
      </c>
    </row>
    <row r="312" spans="1:6" x14ac:dyDescent="0.2">
      <c r="A312" t="s">
        <v>826</v>
      </c>
      <c r="B312" t="s">
        <v>827</v>
      </c>
      <c r="C312" t="s">
        <v>13</v>
      </c>
      <c r="D312" t="s">
        <v>152</v>
      </c>
      <c r="E312" t="s">
        <v>154</v>
      </c>
      <c r="F312" s="2" t="str">
        <f>HYPERLINK("http://www.otzar.org/book.asp?61802","אבני לוי - 2 כר'")</f>
        <v>אבני לוי - 2 כר'</v>
      </c>
    </row>
    <row r="313" spans="1:6" x14ac:dyDescent="0.2">
      <c r="A313" t="s">
        <v>828</v>
      </c>
      <c r="B313" t="s">
        <v>829</v>
      </c>
      <c r="C313" t="s">
        <v>830</v>
      </c>
      <c r="D313" t="s">
        <v>225</v>
      </c>
      <c r="E313" t="s">
        <v>831</v>
      </c>
      <c r="F313" s="2" t="str">
        <f>HYPERLINK("http://www.otzar.org/book.asp?168048","אבני מהורמ""מ הלוי - ג")</f>
        <v>אבני מהורמ"מ הלוי - ג</v>
      </c>
    </row>
    <row r="314" spans="1:6" x14ac:dyDescent="0.2">
      <c r="A314" t="s">
        <v>832</v>
      </c>
      <c r="B314" t="s">
        <v>833</v>
      </c>
      <c r="C314" t="s">
        <v>151</v>
      </c>
      <c r="D314" t="s">
        <v>14</v>
      </c>
      <c r="E314" t="s">
        <v>834</v>
      </c>
      <c r="F314" s="2" t="str">
        <f>HYPERLINK("http://www.otzar.org/book.asp?626022","אבני מחצב")</f>
        <v>אבני מחצב</v>
      </c>
    </row>
    <row r="315" spans="1:6" x14ac:dyDescent="0.2">
      <c r="A315" t="s">
        <v>835</v>
      </c>
      <c r="B315" t="s">
        <v>836</v>
      </c>
      <c r="C315" t="s">
        <v>313</v>
      </c>
      <c r="D315" t="s">
        <v>52</v>
      </c>
      <c r="E315" t="s">
        <v>837</v>
      </c>
      <c r="F315" s="2" t="str">
        <f>HYPERLINK("http://www.otzar.org/book.asp?51993","אבני מילואים &lt;עם הערות קה""י והגרי""פ&gt; - 2 כר'")</f>
        <v>אבני מילואים &lt;עם הערות קה"י והגרי"פ&gt; - 2 כר'</v>
      </c>
    </row>
    <row r="316" spans="1:6" x14ac:dyDescent="0.2">
      <c r="A316" t="s">
        <v>838</v>
      </c>
      <c r="B316" t="s">
        <v>836</v>
      </c>
      <c r="C316" t="s">
        <v>533</v>
      </c>
      <c r="D316" t="s">
        <v>52</v>
      </c>
      <c r="F316" s="2" t="str">
        <f>HYPERLINK("http://www.otzar.org/book.asp?622650","אבני מלואים &lt;חוסן יוסף, ברוך טעם, ברכת שמעון&gt;")</f>
        <v>אבני מלואים &lt;חוסן יוסף, ברוך טעם, ברכת שמעון&gt;</v>
      </c>
    </row>
    <row r="317" spans="1:6" x14ac:dyDescent="0.2">
      <c r="A317" t="s">
        <v>839</v>
      </c>
      <c r="B317" t="s">
        <v>836</v>
      </c>
      <c r="C317" t="s">
        <v>840</v>
      </c>
      <c r="D317" t="s">
        <v>841</v>
      </c>
      <c r="E317" t="s">
        <v>172</v>
      </c>
      <c r="F317" s="2" t="str">
        <f>HYPERLINK("http://www.otzar.org/book.asp?173035","אבני מלואים &lt;מהדורה ראשונה&gt; - 2 כר'")</f>
        <v>אבני מלואים &lt;מהדורה ראשונה&gt; - 2 כר'</v>
      </c>
    </row>
    <row r="318" spans="1:6" x14ac:dyDescent="0.2">
      <c r="A318" t="s">
        <v>842</v>
      </c>
      <c r="B318" t="s">
        <v>836</v>
      </c>
      <c r="C318" t="s">
        <v>843</v>
      </c>
      <c r="D318" t="s">
        <v>260</v>
      </c>
      <c r="E318" t="s">
        <v>172</v>
      </c>
      <c r="F318" s="2" t="str">
        <f>HYPERLINK("http://www.otzar.org/book.asp?11544","אבני מלואים (תשי""ז) - 2 כר'")</f>
        <v>אבני מלואים (תשי"ז) - 2 כר'</v>
      </c>
    </row>
    <row r="319" spans="1:6" x14ac:dyDescent="0.2">
      <c r="A319" t="s">
        <v>844</v>
      </c>
      <c r="B319" t="s">
        <v>836</v>
      </c>
      <c r="C319" t="s">
        <v>800</v>
      </c>
      <c r="D319" t="s">
        <v>845</v>
      </c>
      <c r="E319" t="s">
        <v>172</v>
      </c>
      <c r="F319" s="2" t="str">
        <f>HYPERLINK("http://www.otzar.org/book.asp?5709","אבני מלואים - 3 כר'")</f>
        <v>אבני מלואים - 3 כר'</v>
      </c>
    </row>
    <row r="320" spans="1:6" x14ac:dyDescent="0.2">
      <c r="A320" t="s">
        <v>846</v>
      </c>
      <c r="B320" t="s">
        <v>847</v>
      </c>
      <c r="C320" t="s">
        <v>37</v>
      </c>
      <c r="D320" t="s">
        <v>52</v>
      </c>
      <c r="E320" t="s">
        <v>144</v>
      </c>
      <c r="F320" s="2" t="str">
        <f>HYPERLINK("http://www.otzar.org/book.asp?626179","אבני מסילה - סוטה")</f>
        <v>אבני מסילה - סוטה</v>
      </c>
    </row>
    <row r="321" spans="1:6" x14ac:dyDescent="0.2">
      <c r="A321" t="s">
        <v>848</v>
      </c>
      <c r="B321" t="s">
        <v>849</v>
      </c>
      <c r="C321" t="s">
        <v>37</v>
      </c>
      <c r="D321" t="s">
        <v>21</v>
      </c>
      <c r="E321" t="s">
        <v>144</v>
      </c>
      <c r="F321" s="2" t="str">
        <f>HYPERLINK("http://www.otzar.org/book.asp?194570","אבני מקום - 3 כר'")</f>
        <v>אבני מקום - 3 כר'</v>
      </c>
    </row>
    <row r="322" spans="1:6" x14ac:dyDescent="0.2">
      <c r="A322" t="s">
        <v>850</v>
      </c>
      <c r="B322" t="s">
        <v>851</v>
      </c>
      <c r="C322" t="s">
        <v>51</v>
      </c>
      <c r="D322" t="s">
        <v>852</v>
      </c>
      <c r="E322" t="s">
        <v>202</v>
      </c>
      <c r="F322" s="2" t="str">
        <f>HYPERLINK("http://www.otzar.org/book.asp?161997","אבני משפט - 21 כר'")</f>
        <v>אבני משפט - 21 כר'</v>
      </c>
    </row>
    <row r="323" spans="1:6" x14ac:dyDescent="0.2">
      <c r="A323" t="s">
        <v>853</v>
      </c>
      <c r="B323" t="s">
        <v>690</v>
      </c>
      <c r="C323" t="s">
        <v>854</v>
      </c>
      <c r="D323" t="s">
        <v>855</v>
      </c>
      <c r="E323" t="s">
        <v>148</v>
      </c>
      <c r="F323" s="2" t="str">
        <f>HYPERLINK("http://www.otzar.org/book.asp?103943","אבני משפט - א (אה""ע)")</f>
        <v>אבני משפט - א (אה"ע)</v>
      </c>
    </row>
    <row r="324" spans="1:6" x14ac:dyDescent="0.2">
      <c r="A324" t="s">
        <v>856</v>
      </c>
      <c r="B324" t="s">
        <v>857</v>
      </c>
      <c r="C324" t="s">
        <v>103</v>
      </c>
      <c r="D324" t="s">
        <v>14</v>
      </c>
      <c r="E324" t="s">
        <v>684</v>
      </c>
      <c r="F324" s="2" t="str">
        <f>HYPERLINK("http://www.otzar.org/book.asp?50906","אבני משפט - אה""ע, חו""מ")</f>
        <v>אבני משפט - אה"ע, חו"מ</v>
      </c>
    </row>
    <row r="325" spans="1:6" x14ac:dyDescent="0.2">
      <c r="A325" t="s">
        <v>858</v>
      </c>
      <c r="B325" t="s">
        <v>859</v>
      </c>
      <c r="C325" t="s">
        <v>51</v>
      </c>
      <c r="D325" t="s">
        <v>486</v>
      </c>
      <c r="E325" t="s">
        <v>144</v>
      </c>
      <c r="F325" s="2" t="str">
        <f>HYPERLINK("http://www.otzar.org/book.asp?146973","אבני נועם - 2 כר'")</f>
        <v>אבני נועם - 2 כר'</v>
      </c>
    </row>
    <row r="326" spans="1:6" x14ac:dyDescent="0.2">
      <c r="A326" t="s">
        <v>860</v>
      </c>
      <c r="B326" t="s">
        <v>861</v>
      </c>
      <c r="C326" t="s">
        <v>146</v>
      </c>
      <c r="D326" t="s">
        <v>14</v>
      </c>
      <c r="E326" t="s">
        <v>154</v>
      </c>
      <c r="F326" s="2" t="str">
        <f>HYPERLINK("http://www.otzar.org/book.asp?25752","אבני נזר המפואר - 4 כר'")</f>
        <v>אבני נזר המפואר - 4 כר'</v>
      </c>
    </row>
    <row r="327" spans="1:6" x14ac:dyDescent="0.2">
      <c r="A327" t="s">
        <v>862</v>
      </c>
      <c r="B327" t="s">
        <v>861</v>
      </c>
      <c r="C327" t="s">
        <v>863</v>
      </c>
      <c r="D327" t="s">
        <v>225</v>
      </c>
      <c r="E327" t="s">
        <v>684</v>
      </c>
      <c r="F327" s="2" t="str">
        <f>HYPERLINK("http://www.otzar.org/book.asp?8586","אבני נזר - 8 כר'")</f>
        <v>אבני נזר - 8 כר'</v>
      </c>
    </row>
    <row r="328" spans="1:6" x14ac:dyDescent="0.2">
      <c r="A328" t="s">
        <v>864</v>
      </c>
      <c r="B328" t="s">
        <v>865</v>
      </c>
      <c r="C328" t="s">
        <v>445</v>
      </c>
      <c r="D328" t="s">
        <v>283</v>
      </c>
      <c r="E328" t="s">
        <v>241</v>
      </c>
      <c r="F328" s="2" t="str">
        <f>HYPERLINK("http://www.otzar.org/book.asp?300127","אבני נזר")</f>
        <v>אבני נזר</v>
      </c>
    </row>
    <row r="329" spans="1:6" x14ac:dyDescent="0.2">
      <c r="A329" t="s">
        <v>866</v>
      </c>
      <c r="B329" t="s">
        <v>867</v>
      </c>
      <c r="C329" t="s">
        <v>366</v>
      </c>
      <c r="D329" t="s">
        <v>21</v>
      </c>
      <c r="E329" t="s">
        <v>144</v>
      </c>
      <c r="F329" s="2" t="str">
        <f>HYPERLINK("http://www.otzar.org/book.asp?604610","אבני נחום - מיאון")</f>
        <v>אבני נחום - מיאון</v>
      </c>
    </row>
    <row r="330" spans="1:6" x14ac:dyDescent="0.2">
      <c r="A330" t="s">
        <v>868</v>
      </c>
      <c r="B330" t="s">
        <v>869</v>
      </c>
      <c r="C330" t="s">
        <v>23</v>
      </c>
      <c r="D330" t="s">
        <v>870</v>
      </c>
      <c r="E330" t="s">
        <v>246</v>
      </c>
      <c r="F330" s="2" t="str">
        <f>HYPERLINK("http://www.otzar.org/book.asp?194049","אבני נחל - מועדים")</f>
        <v>אבני נחל - מועדים</v>
      </c>
    </row>
    <row r="331" spans="1:6" x14ac:dyDescent="0.2">
      <c r="A331" t="s">
        <v>871</v>
      </c>
      <c r="B331" t="s">
        <v>688</v>
      </c>
      <c r="C331" t="s">
        <v>23</v>
      </c>
      <c r="D331" t="s">
        <v>52</v>
      </c>
      <c r="E331" t="s">
        <v>872</v>
      </c>
      <c r="F331" s="2" t="str">
        <f>HYPERLINK("http://www.otzar.org/book.asp?603894","אבני סוכות")</f>
        <v>אבני סוכות</v>
      </c>
    </row>
    <row r="332" spans="1:6" x14ac:dyDescent="0.2">
      <c r="A332" t="s">
        <v>873</v>
      </c>
      <c r="B332" t="s">
        <v>874</v>
      </c>
      <c r="C332" t="s">
        <v>68</v>
      </c>
      <c r="D332" t="s">
        <v>52</v>
      </c>
      <c r="E332" t="s">
        <v>172</v>
      </c>
      <c r="F332" s="2" t="str">
        <f>HYPERLINK("http://www.otzar.org/book.asp?172514","אבני סופר")</f>
        <v>אבני סופר</v>
      </c>
    </row>
    <row r="333" spans="1:6" x14ac:dyDescent="0.2">
      <c r="A333" t="s">
        <v>875</v>
      </c>
      <c r="B333" t="s">
        <v>876</v>
      </c>
      <c r="C333" t="s">
        <v>767</v>
      </c>
      <c r="D333" t="s">
        <v>14</v>
      </c>
      <c r="E333" t="s">
        <v>877</v>
      </c>
      <c r="F333" s="2" t="str">
        <f>HYPERLINK("http://www.otzar.org/book.asp?51613","אבני עזר - 2 כר'")</f>
        <v>אבני עזר - 2 כר'</v>
      </c>
    </row>
    <row r="334" spans="1:6" x14ac:dyDescent="0.2">
      <c r="A334" t="s">
        <v>878</v>
      </c>
      <c r="B334" t="s">
        <v>879</v>
      </c>
      <c r="C334" t="s">
        <v>111</v>
      </c>
      <c r="D334" t="s">
        <v>52</v>
      </c>
      <c r="E334" t="s">
        <v>144</v>
      </c>
      <c r="F334" s="2" t="str">
        <f>HYPERLINK("http://www.otzar.org/book.asp?622231","אבני פז")</f>
        <v>אבני פז</v>
      </c>
    </row>
    <row r="335" spans="1:6" x14ac:dyDescent="0.2">
      <c r="A335" t="s">
        <v>880</v>
      </c>
      <c r="B335" t="s">
        <v>881</v>
      </c>
      <c r="C335" t="s">
        <v>13</v>
      </c>
      <c r="D335" t="s">
        <v>14</v>
      </c>
      <c r="E335" t="s">
        <v>144</v>
      </c>
      <c r="F335" s="2" t="str">
        <f>HYPERLINK("http://www.otzar.org/book.asp?197156","אבני פנה - 2 כר'")</f>
        <v>אבני פנה - 2 כר'</v>
      </c>
    </row>
    <row r="336" spans="1:6" x14ac:dyDescent="0.2">
      <c r="A336" t="s">
        <v>882</v>
      </c>
      <c r="B336" t="s">
        <v>883</v>
      </c>
      <c r="C336" t="s">
        <v>884</v>
      </c>
      <c r="D336" t="s">
        <v>885</v>
      </c>
      <c r="E336" t="s">
        <v>158</v>
      </c>
      <c r="F336" s="2" t="str">
        <f>HYPERLINK("http://www.otzar.org/book.asp?84338","אבני צדק &lt;משלי&gt;")</f>
        <v>אבני צדק &lt;משלי&gt;</v>
      </c>
    </row>
    <row r="337" spans="1:6" x14ac:dyDescent="0.2">
      <c r="A337" t="s">
        <v>886</v>
      </c>
      <c r="B337" t="s">
        <v>887</v>
      </c>
      <c r="C337" t="s">
        <v>888</v>
      </c>
      <c r="D337" t="s">
        <v>889</v>
      </c>
      <c r="E337" t="s">
        <v>172</v>
      </c>
      <c r="F337" s="2" t="str">
        <f>HYPERLINK("http://www.otzar.org/book.asp?83632","אבני צדק - 2 כר'")</f>
        <v>אבני צדק - 2 כר'</v>
      </c>
    </row>
    <row r="338" spans="1:6" x14ac:dyDescent="0.2">
      <c r="A338" t="s">
        <v>890</v>
      </c>
      <c r="B338" t="s">
        <v>798</v>
      </c>
      <c r="C338" t="s">
        <v>13</v>
      </c>
      <c r="D338" t="s">
        <v>52</v>
      </c>
      <c r="F338" s="2" t="str">
        <f>HYPERLINK("http://www.otzar.org/book.asp?610593","אבני צדק - 3 כר'")</f>
        <v>אבני צדק - 3 כר'</v>
      </c>
    </row>
    <row r="339" spans="1:6" x14ac:dyDescent="0.2">
      <c r="A339" t="s">
        <v>891</v>
      </c>
      <c r="B339" t="s">
        <v>892</v>
      </c>
      <c r="C339" t="s">
        <v>893</v>
      </c>
      <c r="D339" t="s">
        <v>267</v>
      </c>
      <c r="E339" t="s">
        <v>154</v>
      </c>
      <c r="F339" s="2" t="str">
        <f>HYPERLINK("http://www.otzar.org/book.asp?882","אבני צדק - או""ח, יו""ד, אה""ע")</f>
        <v>אבני צדק - או"ח, יו"ד, אה"ע</v>
      </c>
    </row>
    <row r="340" spans="1:6" x14ac:dyDescent="0.2">
      <c r="A340" t="s">
        <v>894</v>
      </c>
      <c r="B340" t="s">
        <v>895</v>
      </c>
      <c r="C340" t="s">
        <v>896</v>
      </c>
      <c r="D340" t="s">
        <v>379</v>
      </c>
      <c r="E340" t="s">
        <v>154</v>
      </c>
      <c r="F340" s="2" t="str">
        <f>HYPERLINK("http://www.otzar.org/book.asp?100211","אבני צדק - אה""ע")</f>
        <v>אבני צדק - אה"ע</v>
      </c>
    </row>
    <row r="341" spans="1:6" x14ac:dyDescent="0.2">
      <c r="A341" t="s">
        <v>897</v>
      </c>
      <c r="B341" t="s">
        <v>898</v>
      </c>
      <c r="C341" t="s">
        <v>635</v>
      </c>
      <c r="D341" t="s">
        <v>56</v>
      </c>
      <c r="E341" t="s">
        <v>158</v>
      </c>
      <c r="F341" s="2" t="str">
        <f>HYPERLINK("http://www.otzar.org/book.asp?14139","אבני ציון")</f>
        <v>אבני ציון</v>
      </c>
    </row>
    <row r="342" spans="1:6" x14ac:dyDescent="0.2">
      <c r="A342" t="s">
        <v>899</v>
      </c>
      <c r="B342" t="s">
        <v>900</v>
      </c>
      <c r="C342" t="s">
        <v>585</v>
      </c>
      <c r="D342" t="s">
        <v>412</v>
      </c>
      <c r="E342" t="s">
        <v>901</v>
      </c>
      <c r="F342" s="2" t="str">
        <f>HYPERLINK("http://www.otzar.org/book.asp?84911","אבני ציון - 4 כר'")</f>
        <v>אבני ציון - 4 כר'</v>
      </c>
    </row>
    <row r="343" spans="1:6" x14ac:dyDescent="0.2">
      <c r="A343" t="s">
        <v>902</v>
      </c>
      <c r="B343" t="s">
        <v>903</v>
      </c>
      <c r="C343" t="s">
        <v>23</v>
      </c>
      <c r="D343" t="s">
        <v>367</v>
      </c>
      <c r="E343" t="s">
        <v>172</v>
      </c>
      <c r="F343" s="2" t="str">
        <f>HYPERLINK("http://www.otzar.org/book.asp?190255","אבני ציון - בשר בחלב")</f>
        <v>אבני ציון - בשר בחלב</v>
      </c>
    </row>
    <row r="344" spans="1:6" x14ac:dyDescent="0.2">
      <c r="A344" t="s">
        <v>897</v>
      </c>
      <c r="B344" t="s">
        <v>552</v>
      </c>
      <c r="C344" t="s">
        <v>189</v>
      </c>
      <c r="D344" t="s">
        <v>14</v>
      </c>
      <c r="E344" t="s">
        <v>202</v>
      </c>
      <c r="F344" s="2" t="str">
        <f>HYPERLINK("http://www.otzar.org/book.asp?143684","אבני ציון")</f>
        <v>אבני ציון</v>
      </c>
    </row>
    <row r="345" spans="1:6" x14ac:dyDescent="0.2">
      <c r="A345" t="s">
        <v>904</v>
      </c>
      <c r="B345" t="s">
        <v>905</v>
      </c>
      <c r="C345" t="s">
        <v>71</v>
      </c>
      <c r="D345" t="s">
        <v>14</v>
      </c>
      <c r="E345" t="s">
        <v>119</v>
      </c>
      <c r="F345" s="2" t="str">
        <f>HYPERLINK("http://www.otzar.org/book.asp?63179","אבני קדש &lt;בית העלמין של ק""ק דבדו&gt;")</f>
        <v>אבני קדש &lt;בית העלמין של ק"ק דבדו&gt;</v>
      </c>
    </row>
    <row r="346" spans="1:6" x14ac:dyDescent="0.2">
      <c r="A346" t="s">
        <v>906</v>
      </c>
      <c r="B346" t="s">
        <v>907</v>
      </c>
      <c r="C346" t="s">
        <v>908</v>
      </c>
      <c r="D346" t="s">
        <v>14</v>
      </c>
      <c r="E346" t="s">
        <v>909</v>
      </c>
      <c r="F346" s="2" t="str">
        <f>HYPERLINK("http://www.otzar.org/book.asp?300133","אבני קדש")</f>
        <v>אבני קדש</v>
      </c>
    </row>
    <row r="347" spans="1:6" x14ac:dyDescent="0.2">
      <c r="A347" t="s">
        <v>910</v>
      </c>
      <c r="B347" t="s">
        <v>911</v>
      </c>
      <c r="C347" t="s">
        <v>411</v>
      </c>
      <c r="D347" t="s">
        <v>27</v>
      </c>
      <c r="E347" t="s">
        <v>144</v>
      </c>
      <c r="F347" s="2" t="str">
        <f>HYPERLINK("http://www.otzar.org/book.asp?173761","אבני קודש &lt;בית אבות&gt; - 2 כר'")</f>
        <v>אבני קודש &lt;בית אבות&gt; - 2 כר'</v>
      </c>
    </row>
    <row r="348" spans="1:6" x14ac:dyDescent="0.2">
      <c r="A348" t="s">
        <v>912</v>
      </c>
      <c r="B348" t="s">
        <v>688</v>
      </c>
      <c r="C348" t="s">
        <v>13</v>
      </c>
      <c r="D348" t="s">
        <v>52</v>
      </c>
      <c r="E348" t="s">
        <v>144</v>
      </c>
      <c r="F348" s="2" t="str">
        <f>HYPERLINK("http://www.otzar.org/book.asp?61308","אבני קודש")</f>
        <v>אבני קודש</v>
      </c>
    </row>
    <row r="349" spans="1:6" x14ac:dyDescent="0.2">
      <c r="A349" t="s">
        <v>913</v>
      </c>
      <c r="B349" t="s">
        <v>914</v>
      </c>
      <c r="C349" t="s">
        <v>915</v>
      </c>
      <c r="D349" t="s">
        <v>283</v>
      </c>
      <c r="E349" t="s">
        <v>172</v>
      </c>
      <c r="F349" s="2" t="str">
        <f>HYPERLINK("http://www.otzar.org/book.asp?100213","אבני קודש - 2 כר'")</f>
        <v>אבני קודש - 2 כר'</v>
      </c>
    </row>
    <row r="350" spans="1:6" x14ac:dyDescent="0.2">
      <c r="A350" t="s">
        <v>916</v>
      </c>
      <c r="B350" t="s">
        <v>917</v>
      </c>
      <c r="C350" t="s">
        <v>189</v>
      </c>
      <c r="D350" t="s">
        <v>14</v>
      </c>
      <c r="E350" t="s">
        <v>144</v>
      </c>
      <c r="F350" s="2" t="str">
        <f>HYPERLINK("http://www.otzar.org/book.asp?156655","אבני קודש - מעילה")</f>
        <v>אבני קודש - מעילה</v>
      </c>
    </row>
    <row r="351" spans="1:6" x14ac:dyDescent="0.2">
      <c r="A351" t="s">
        <v>913</v>
      </c>
      <c r="B351" t="s">
        <v>918</v>
      </c>
      <c r="C351" t="s">
        <v>189</v>
      </c>
      <c r="D351" t="s">
        <v>14</v>
      </c>
      <c r="E351" t="s">
        <v>144</v>
      </c>
      <c r="F351" s="2" t="str">
        <f>HYPERLINK("http://www.otzar.org/book.asp?161201","אבני קודש - 2 כר'")</f>
        <v>אבני קודש - 2 כר'</v>
      </c>
    </row>
    <row r="352" spans="1:6" x14ac:dyDescent="0.2">
      <c r="A352" t="s">
        <v>912</v>
      </c>
      <c r="B352" t="s">
        <v>827</v>
      </c>
      <c r="C352" t="s">
        <v>68</v>
      </c>
      <c r="D352" t="s">
        <v>152</v>
      </c>
      <c r="E352" t="s">
        <v>246</v>
      </c>
      <c r="F352" s="2" t="str">
        <f>HYPERLINK("http://www.otzar.org/book.asp?625843","אבני קודש")</f>
        <v>אבני קודש</v>
      </c>
    </row>
    <row r="353" spans="1:6" x14ac:dyDescent="0.2">
      <c r="A353" t="s">
        <v>913</v>
      </c>
      <c r="B353" t="s">
        <v>911</v>
      </c>
      <c r="C353" t="s">
        <v>919</v>
      </c>
      <c r="D353" t="s">
        <v>27</v>
      </c>
      <c r="E353" t="s">
        <v>920</v>
      </c>
      <c r="F353" s="2" t="str">
        <f>HYPERLINK("http://www.otzar.org/book.asp?5063","אבני קודש - 2 כר'")</f>
        <v>אבני קודש - 2 כר'</v>
      </c>
    </row>
    <row r="354" spans="1:6" x14ac:dyDescent="0.2">
      <c r="A354" t="s">
        <v>921</v>
      </c>
      <c r="B354" t="s">
        <v>922</v>
      </c>
      <c r="C354" t="s">
        <v>767</v>
      </c>
      <c r="D354" t="s">
        <v>14</v>
      </c>
      <c r="E354" t="s">
        <v>158</v>
      </c>
      <c r="F354" s="2" t="str">
        <f>HYPERLINK("http://www.otzar.org/book.asp?602638","אבני שהם &lt;מהדו""ח&gt; - 2 כר'")</f>
        <v>אבני שהם &lt;מהדו"ח&gt; - 2 כר'</v>
      </c>
    </row>
    <row r="355" spans="1:6" x14ac:dyDescent="0.2">
      <c r="A355" t="s">
        <v>923</v>
      </c>
      <c r="B355" t="s">
        <v>924</v>
      </c>
      <c r="C355" t="s">
        <v>20</v>
      </c>
      <c r="D355" t="s">
        <v>9</v>
      </c>
      <c r="E355" t="s">
        <v>158</v>
      </c>
      <c r="F355" s="2" t="str">
        <f>HYPERLINK("http://www.otzar.org/book.asp?190004","אבני שהם ומשבצות זהב")</f>
        <v>אבני שהם ומשבצות זהב</v>
      </c>
    </row>
    <row r="356" spans="1:6" x14ac:dyDescent="0.2">
      <c r="A356" t="s">
        <v>925</v>
      </c>
      <c r="B356" t="s">
        <v>926</v>
      </c>
      <c r="C356" t="s">
        <v>68</v>
      </c>
      <c r="D356" t="s">
        <v>52</v>
      </c>
      <c r="E356" t="s">
        <v>246</v>
      </c>
      <c r="F356" s="2" t="str">
        <f>HYPERLINK("http://www.otzar.org/book.asp?158383","אבני שהם - 2 כר'")</f>
        <v>אבני שהם - 2 כר'</v>
      </c>
    </row>
    <row r="357" spans="1:6" x14ac:dyDescent="0.2">
      <c r="A357" t="s">
        <v>927</v>
      </c>
      <c r="B357" t="s">
        <v>928</v>
      </c>
      <c r="C357" t="s">
        <v>725</v>
      </c>
      <c r="D357" t="s">
        <v>929</v>
      </c>
      <c r="E357" t="s">
        <v>930</v>
      </c>
      <c r="F357" s="2" t="str">
        <f>HYPERLINK("http://www.otzar.org/book.asp?28510","אבני שהם")</f>
        <v>אבני שהם</v>
      </c>
    </row>
    <row r="358" spans="1:6" x14ac:dyDescent="0.2">
      <c r="A358" t="s">
        <v>925</v>
      </c>
      <c r="B358" t="s">
        <v>931</v>
      </c>
      <c r="C358" t="s">
        <v>313</v>
      </c>
      <c r="D358" t="s">
        <v>14</v>
      </c>
      <c r="E358" t="s">
        <v>158</v>
      </c>
      <c r="F358" s="2" t="str">
        <f>HYPERLINK("http://www.otzar.org/book.asp?61578","אבני שהם - 2 כר'")</f>
        <v>אבני שהם - 2 כר'</v>
      </c>
    </row>
    <row r="359" spans="1:6" x14ac:dyDescent="0.2">
      <c r="A359" t="s">
        <v>925</v>
      </c>
      <c r="B359" t="s">
        <v>932</v>
      </c>
      <c r="C359" t="s">
        <v>143</v>
      </c>
      <c r="D359" t="s">
        <v>118</v>
      </c>
      <c r="E359" t="s">
        <v>933</v>
      </c>
      <c r="F359" s="2" t="str">
        <f>HYPERLINK("http://www.otzar.org/book.asp?161477","אבני שהם - 2 כר'")</f>
        <v>אבני שהם - 2 כר'</v>
      </c>
    </row>
    <row r="360" spans="1:6" x14ac:dyDescent="0.2">
      <c r="A360" t="s">
        <v>934</v>
      </c>
      <c r="B360" t="s">
        <v>935</v>
      </c>
      <c r="C360" t="s">
        <v>936</v>
      </c>
      <c r="D360" t="s">
        <v>9</v>
      </c>
      <c r="E360" t="s">
        <v>937</v>
      </c>
      <c r="F360" s="2" t="str">
        <f>HYPERLINK("http://www.otzar.org/book.asp?100215","אבני שהם - 4 כר'")</f>
        <v>אבני שהם - 4 כר'</v>
      </c>
    </row>
    <row r="361" spans="1:6" x14ac:dyDescent="0.2">
      <c r="A361" t="s">
        <v>938</v>
      </c>
      <c r="B361" t="s">
        <v>939</v>
      </c>
      <c r="C361" t="s">
        <v>940</v>
      </c>
      <c r="D361" t="s">
        <v>14</v>
      </c>
      <c r="E361" t="s">
        <v>786</v>
      </c>
      <c r="F361" s="2" t="str">
        <f>HYPERLINK("http://www.otzar.org/book.asp?157578","אבני שהם - 6 כר'")</f>
        <v>אבני שהם - 6 כר'</v>
      </c>
    </row>
    <row r="362" spans="1:6" x14ac:dyDescent="0.2">
      <c r="A362" t="s">
        <v>925</v>
      </c>
      <c r="B362" t="s">
        <v>941</v>
      </c>
      <c r="C362" t="s">
        <v>37</v>
      </c>
      <c r="D362" t="s">
        <v>14</v>
      </c>
      <c r="E362" t="s">
        <v>172</v>
      </c>
      <c r="F362" s="2" t="str">
        <f>HYPERLINK("http://www.otzar.org/book.asp?608248","אבני שהם - 2 כר'")</f>
        <v>אבני שהם - 2 כר'</v>
      </c>
    </row>
    <row r="363" spans="1:6" x14ac:dyDescent="0.2">
      <c r="A363" t="s">
        <v>927</v>
      </c>
      <c r="B363" t="s">
        <v>942</v>
      </c>
      <c r="C363" t="s">
        <v>943</v>
      </c>
      <c r="D363" t="s">
        <v>76</v>
      </c>
      <c r="E363" t="s">
        <v>944</v>
      </c>
      <c r="F363" s="2" t="str">
        <f>HYPERLINK("http://www.otzar.org/book.asp?100223","אבני שהם")</f>
        <v>אבני שהם</v>
      </c>
    </row>
    <row r="364" spans="1:6" x14ac:dyDescent="0.2">
      <c r="A364" t="s">
        <v>927</v>
      </c>
      <c r="B364" t="s">
        <v>945</v>
      </c>
      <c r="C364" t="s">
        <v>946</v>
      </c>
      <c r="D364" t="s">
        <v>947</v>
      </c>
      <c r="E364" t="s">
        <v>948</v>
      </c>
      <c r="F364" s="2" t="str">
        <f>HYPERLINK("http://www.otzar.org/book.asp?6731","אבני שהם")</f>
        <v>אבני שהם</v>
      </c>
    </row>
    <row r="365" spans="1:6" x14ac:dyDescent="0.2">
      <c r="A365" t="s">
        <v>927</v>
      </c>
      <c r="B365" t="s">
        <v>949</v>
      </c>
      <c r="C365" t="s">
        <v>950</v>
      </c>
      <c r="D365" t="s">
        <v>929</v>
      </c>
      <c r="E365" t="s">
        <v>144</v>
      </c>
      <c r="F365" s="2" t="str">
        <f>HYPERLINK("http://www.otzar.org/book.asp?100212","אבני שהם")</f>
        <v>אבני שהם</v>
      </c>
    </row>
    <row r="366" spans="1:6" x14ac:dyDescent="0.2">
      <c r="A366" t="s">
        <v>927</v>
      </c>
      <c r="B366" t="s">
        <v>951</v>
      </c>
      <c r="C366" t="s">
        <v>854</v>
      </c>
      <c r="D366" t="s">
        <v>283</v>
      </c>
      <c r="E366" t="s">
        <v>952</v>
      </c>
      <c r="F366" s="2" t="str">
        <f>HYPERLINK("http://www.otzar.org/book.asp?300129","אבני שהם")</f>
        <v>אבני שהם</v>
      </c>
    </row>
    <row r="367" spans="1:6" x14ac:dyDescent="0.2">
      <c r="A367" t="s">
        <v>927</v>
      </c>
      <c r="B367" t="s">
        <v>953</v>
      </c>
      <c r="C367" t="s">
        <v>725</v>
      </c>
      <c r="D367" t="s">
        <v>954</v>
      </c>
      <c r="E367" t="s">
        <v>508</v>
      </c>
      <c r="F367" s="2" t="str">
        <f>HYPERLINK("http://www.otzar.org/book.asp?162683","אבני שהם")</f>
        <v>אבני שהם</v>
      </c>
    </row>
    <row r="368" spans="1:6" x14ac:dyDescent="0.2">
      <c r="A368" t="s">
        <v>955</v>
      </c>
      <c r="B368" t="s">
        <v>922</v>
      </c>
      <c r="C368" t="s">
        <v>956</v>
      </c>
      <c r="D368" t="s">
        <v>14</v>
      </c>
      <c r="E368" t="s">
        <v>957</v>
      </c>
      <c r="F368" s="2" t="str">
        <f>HYPERLINK("http://www.otzar.org/book.asp?14517","אבני שהם - לתורה")</f>
        <v>אבני שהם - לתורה</v>
      </c>
    </row>
    <row r="369" spans="1:6" x14ac:dyDescent="0.2">
      <c r="A369" t="s">
        <v>958</v>
      </c>
      <c r="B369" t="s">
        <v>959</v>
      </c>
      <c r="C369" t="s">
        <v>366</v>
      </c>
      <c r="D369" t="s">
        <v>21</v>
      </c>
      <c r="E369" t="s">
        <v>960</v>
      </c>
      <c r="F369" s="2" t="str">
        <f>HYPERLINK("http://www.otzar.org/book.asp?606764","אבני שהם - תפילה")</f>
        <v>אבני שהם - תפילה</v>
      </c>
    </row>
    <row r="370" spans="1:6" x14ac:dyDescent="0.2">
      <c r="A370" t="s">
        <v>961</v>
      </c>
      <c r="B370" t="s">
        <v>962</v>
      </c>
      <c r="C370" t="s">
        <v>129</v>
      </c>
      <c r="D370" t="s">
        <v>52</v>
      </c>
      <c r="E370" t="s">
        <v>144</v>
      </c>
      <c r="F370" s="2" t="str">
        <f>HYPERLINK("http://www.otzar.org/book.asp?61509","אבני שהם - בבא קמא")</f>
        <v>אבני שהם - בבא קמא</v>
      </c>
    </row>
    <row r="371" spans="1:6" x14ac:dyDescent="0.2">
      <c r="A371" t="s">
        <v>963</v>
      </c>
      <c r="B371" t="s">
        <v>964</v>
      </c>
      <c r="C371" t="s">
        <v>156</v>
      </c>
      <c r="D371" t="s">
        <v>56</v>
      </c>
      <c r="E371" t="s">
        <v>241</v>
      </c>
      <c r="F371" s="2" t="str">
        <f>HYPERLINK("http://www.otzar.org/book.asp?15778","אבני שוהם")</f>
        <v>אבני שוהם</v>
      </c>
    </row>
    <row r="372" spans="1:6" x14ac:dyDescent="0.2">
      <c r="A372" t="s">
        <v>963</v>
      </c>
      <c r="B372" t="s">
        <v>965</v>
      </c>
      <c r="C372" t="s">
        <v>313</v>
      </c>
      <c r="D372" t="s">
        <v>486</v>
      </c>
      <c r="E372" t="s">
        <v>241</v>
      </c>
      <c r="F372" s="2" t="str">
        <f>HYPERLINK("http://www.otzar.org/book.asp?189724","אבני שוהם")</f>
        <v>אבני שוהם</v>
      </c>
    </row>
    <row r="373" spans="1:6" x14ac:dyDescent="0.2">
      <c r="A373" t="s">
        <v>966</v>
      </c>
      <c r="B373" t="s">
        <v>967</v>
      </c>
      <c r="C373" t="s">
        <v>114</v>
      </c>
      <c r="D373" t="s">
        <v>968</v>
      </c>
      <c r="E373" t="s">
        <v>246</v>
      </c>
      <c r="F373" s="2" t="str">
        <f>HYPERLINK("http://www.otzar.org/book.asp?166244","אבני שוהם - 5 כר'")</f>
        <v>אבני שוהם - 5 כר'</v>
      </c>
    </row>
    <row r="374" spans="1:6" x14ac:dyDescent="0.2">
      <c r="A374" t="s">
        <v>969</v>
      </c>
      <c r="B374" t="s">
        <v>798</v>
      </c>
      <c r="C374" t="s">
        <v>244</v>
      </c>
      <c r="D374" t="s">
        <v>80</v>
      </c>
      <c r="E374" t="s">
        <v>158</v>
      </c>
      <c r="F374" s="2" t="str">
        <f>HYPERLINK("http://www.otzar.org/book.asp?603490","אבני שופטים")</f>
        <v>אבני שופטים</v>
      </c>
    </row>
    <row r="375" spans="1:6" x14ac:dyDescent="0.2">
      <c r="A375" t="s">
        <v>970</v>
      </c>
      <c r="B375" t="s">
        <v>971</v>
      </c>
      <c r="C375" t="s">
        <v>68</v>
      </c>
      <c r="D375" t="s">
        <v>646</v>
      </c>
      <c r="E375" t="s">
        <v>15</v>
      </c>
      <c r="F375" s="2" t="str">
        <f>HYPERLINK("http://www.otzar.org/book.asp?165950","אבני שי - 3 כר'")</f>
        <v>אבני שי - 3 כר'</v>
      </c>
    </row>
    <row r="376" spans="1:6" x14ac:dyDescent="0.2">
      <c r="A376" t="s">
        <v>972</v>
      </c>
      <c r="B376" t="s">
        <v>973</v>
      </c>
      <c r="C376" t="s">
        <v>576</v>
      </c>
      <c r="D376" t="s">
        <v>974</v>
      </c>
      <c r="E376" t="s">
        <v>975</v>
      </c>
      <c r="F376" s="2" t="str">
        <f>HYPERLINK("http://www.otzar.org/book.asp?300126","אבני שי""ש")</f>
        <v>אבני שי"ש</v>
      </c>
    </row>
    <row r="377" spans="1:6" x14ac:dyDescent="0.2">
      <c r="A377" t="s">
        <v>976</v>
      </c>
      <c r="B377" t="s">
        <v>977</v>
      </c>
      <c r="C377" t="s">
        <v>17</v>
      </c>
      <c r="D377" t="s">
        <v>14</v>
      </c>
      <c r="E377" t="s">
        <v>508</v>
      </c>
      <c r="F377" s="2" t="str">
        <f>HYPERLINK("http://www.otzar.org/book.asp?173291","אבני שיש &lt;מהדורה חדשה&gt;")</f>
        <v>אבני שיש &lt;מהדורה חדשה&gt;</v>
      </c>
    </row>
    <row r="378" spans="1:6" x14ac:dyDescent="0.2">
      <c r="A378" t="s">
        <v>978</v>
      </c>
      <c r="B378" t="s">
        <v>979</v>
      </c>
      <c r="C378" t="s">
        <v>980</v>
      </c>
      <c r="D378" t="s">
        <v>27</v>
      </c>
      <c r="E378" t="s">
        <v>154</v>
      </c>
      <c r="F378" s="2" t="str">
        <f>HYPERLINK("http://www.otzar.org/book.asp?102846","אבני שיש - 4 כר'")</f>
        <v>אבני שיש - 4 כר'</v>
      </c>
    </row>
    <row r="379" spans="1:6" x14ac:dyDescent="0.2">
      <c r="A379" t="s">
        <v>981</v>
      </c>
      <c r="B379" t="s">
        <v>982</v>
      </c>
      <c r="C379" t="s">
        <v>411</v>
      </c>
      <c r="D379" t="s">
        <v>14</v>
      </c>
      <c r="E379" t="s">
        <v>15</v>
      </c>
      <c r="F379" s="2" t="str">
        <f>HYPERLINK("http://www.otzar.org/book.asp?170030","אבני שיש - חקת המועדים")</f>
        <v>אבני שיש - חקת המועדים</v>
      </c>
    </row>
    <row r="380" spans="1:6" x14ac:dyDescent="0.2">
      <c r="A380" t="s">
        <v>983</v>
      </c>
      <c r="B380" t="s">
        <v>984</v>
      </c>
      <c r="C380" t="s">
        <v>985</v>
      </c>
      <c r="D380" t="s">
        <v>986</v>
      </c>
      <c r="E380" t="s">
        <v>158</v>
      </c>
      <c r="F380" s="2" t="str">
        <f>HYPERLINK("http://www.otzar.org/book.asp?141207","אבני שיש")</f>
        <v>אבני שיש</v>
      </c>
    </row>
    <row r="381" spans="1:6" x14ac:dyDescent="0.2">
      <c r="A381" t="s">
        <v>987</v>
      </c>
      <c r="B381" t="s">
        <v>988</v>
      </c>
      <c r="C381" t="s">
        <v>989</v>
      </c>
      <c r="D381" t="s">
        <v>14</v>
      </c>
      <c r="E381" t="s">
        <v>990</v>
      </c>
      <c r="F381" s="2" t="str">
        <f>HYPERLINK("http://www.otzar.org/book.asp?6678","אבני שיש - 2 כר'")</f>
        <v>אבני שיש - 2 כר'</v>
      </c>
    </row>
    <row r="382" spans="1:6" x14ac:dyDescent="0.2">
      <c r="A382" t="s">
        <v>983</v>
      </c>
      <c r="B382" t="s">
        <v>977</v>
      </c>
      <c r="C382" t="s">
        <v>462</v>
      </c>
      <c r="D382" t="s">
        <v>991</v>
      </c>
      <c r="E382" t="s">
        <v>508</v>
      </c>
      <c r="F382" s="2" t="str">
        <f>HYPERLINK("http://www.otzar.org/book.asp?300130","אבני שיש")</f>
        <v>אבני שיש</v>
      </c>
    </row>
    <row r="383" spans="1:6" x14ac:dyDescent="0.2">
      <c r="A383" t="s">
        <v>983</v>
      </c>
      <c r="B383" t="s">
        <v>992</v>
      </c>
      <c r="C383" t="s">
        <v>506</v>
      </c>
      <c r="D383" t="s">
        <v>379</v>
      </c>
      <c r="E383" t="s">
        <v>993</v>
      </c>
      <c r="F383" s="2" t="str">
        <f>HYPERLINK("http://www.otzar.org/book.asp?103054","אבני שיש")</f>
        <v>אבני שיש</v>
      </c>
    </row>
    <row r="384" spans="1:6" x14ac:dyDescent="0.2">
      <c r="A384" t="s">
        <v>987</v>
      </c>
      <c r="B384" t="s">
        <v>994</v>
      </c>
      <c r="C384" t="s">
        <v>99</v>
      </c>
      <c r="D384" t="s">
        <v>995</v>
      </c>
      <c r="E384" t="s">
        <v>930</v>
      </c>
      <c r="F384" s="2" t="str">
        <f>HYPERLINK("http://www.otzar.org/book.asp?23963","אבני שיש - 2 כר'")</f>
        <v>אבני שיש - 2 כר'</v>
      </c>
    </row>
    <row r="385" spans="1:6" x14ac:dyDescent="0.2">
      <c r="A385" t="s">
        <v>996</v>
      </c>
      <c r="B385" t="s">
        <v>552</v>
      </c>
      <c r="C385" t="s">
        <v>523</v>
      </c>
      <c r="D385" t="s">
        <v>14</v>
      </c>
      <c r="E385" t="s">
        <v>202</v>
      </c>
      <c r="F385" s="2" t="str">
        <f>HYPERLINK("http://www.otzar.org/book.asp?19398","אבני שלמה [לוי]")</f>
        <v>אבני שלמה [לוי]</v>
      </c>
    </row>
    <row r="386" spans="1:6" x14ac:dyDescent="0.2">
      <c r="A386" t="s">
        <v>997</v>
      </c>
      <c r="B386" t="s">
        <v>998</v>
      </c>
      <c r="C386" t="s">
        <v>454</v>
      </c>
      <c r="D386" t="s">
        <v>14</v>
      </c>
      <c r="E386" t="s">
        <v>15</v>
      </c>
      <c r="F386" s="2" t="str">
        <f>HYPERLINK("http://www.otzar.org/book.asp?60063","אבני שלמה")</f>
        <v>אבני שלמה</v>
      </c>
    </row>
    <row r="387" spans="1:6" x14ac:dyDescent="0.2">
      <c r="A387" t="s">
        <v>999</v>
      </c>
      <c r="B387" t="s">
        <v>206</v>
      </c>
      <c r="C387" t="s">
        <v>111</v>
      </c>
      <c r="D387" t="s">
        <v>14</v>
      </c>
      <c r="E387" t="s">
        <v>104</v>
      </c>
      <c r="F387" s="2" t="str">
        <f>HYPERLINK("http://www.otzar.org/book.asp?628715","אבני שלמה - 2 כר'")</f>
        <v>אבני שלמה - 2 כר'</v>
      </c>
    </row>
    <row r="388" spans="1:6" x14ac:dyDescent="0.2">
      <c r="A388" t="s">
        <v>999</v>
      </c>
      <c r="B388" t="s">
        <v>1000</v>
      </c>
      <c r="C388" t="s">
        <v>146</v>
      </c>
      <c r="D388" t="s">
        <v>14</v>
      </c>
      <c r="E388" t="s">
        <v>241</v>
      </c>
      <c r="F388" s="2" t="str">
        <f>HYPERLINK("http://www.otzar.org/book.asp?50332","אבני שלמה - 2 כר'")</f>
        <v>אבני שלמה - 2 כר'</v>
      </c>
    </row>
    <row r="389" spans="1:6" x14ac:dyDescent="0.2">
      <c r="A389" t="s">
        <v>997</v>
      </c>
      <c r="B389" t="s">
        <v>779</v>
      </c>
      <c r="C389" t="s">
        <v>151</v>
      </c>
      <c r="D389" t="s">
        <v>14</v>
      </c>
      <c r="E389" t="s">
        <v>158</v>
      </c>
      <c r="F389" s="2" t="str">
        <f>HYPERLINK("http://www.otzar.org/book.asp?621755","אבני שלמה")</f>
        <v>אבני שלמה</v>
      </c>
    </row>
    <row r="390" spans="1:6" x14ac:dyDescent="0.2">
      <c r="A390" t="s">
        <v>1001</v>
      </c>
      <c r="B390" t="s">
        <v>1002</v>
      </c>
      <c r="C390" t="s">
        <v>523</v>
      </c>
      <c r="D390" t="s">
        <v>14</v>
      </c>
      <c r="E390" t="s">
        <v>1003</v>
      </c>
      <c r="F390" s="2" t="str">
        <f>HYPERLINK("http://www.otzar.org/book.asp?107224","אבני שמואל - 2 כר'")</f>
        <v>אבני שמואל - 2 כר'</v>
      </c>
    </row>
    <row r="391" spans="1:6" x14ac:dyDescent="0.2">
      <c r="A391" t="s">
        <v>1004</v>
      </c>
      <c r="B391" t="s">
        <v>1005</v>
      </c>
      <c r="C391" t="s">
        <v>176</v>
      </c>
      <c r="D391" t="s">
        <v>52</v>
      </c>
      <c r="E391" t="s">
        <v>202</v>
      </c>
      <c r="F391" s="2" t="str">
        <f>HYPERLINK("http://www.otzar.org/book.asp?146781","אבני שמואל")</f>
        <v>אבני שמואל</v>
      </c>
    </row>
    <row r="392" spans="1:6" x14ac:dyDescent="0.2">
      <c r="A392" t="s">
        <v>1006</v>
      </c>
      <c r="B392" t="s">
        <v>1007</v>
      </c>
      <c r="C392" t="s">
        <v>550</v>
      </c>
      <c r="D392" t="s">
        <v>1008</v>
      </c>
      <c r="E392" t="s">
        <v>84</v>
      </c>
      <c r="F392" s="2" t="str">
        <f>HYPERLINK("http://www.otzar.org/book.asp?101944","אבני שש")</f>
        <v>אבני שש</v>
      </c>
    </row>
    <row r="393" spans="1:6" x14ac:dyDescent="0.2">
      <c r="A393" t="s">
        <v>1009</v>
      </c>
      <c r="B393" t="s">
        <v>1010</v>
      </c>
      <c r="C393" t="s">
        <v>20</v>
      </c>
      <c r="D393" t="s">
        <v>90</v>
      </c>
      <c r="E393" t="s">
        <v>130</v>
      </c>
      <c r="F393" s="2" t="str">
        <f>HYPERLINK("http://www.otzar.org/book.asp?607097","אבני שש - 2 כר'")</f>
        <v>אבני שש - 2 כר'</v>
      </c>
    </row>
    <row r="394" spans="1:6" x14ac:dyDescent="0.2">
      <c r="A394" t="s">
        <v>1011</v>
      </c>
      <c r="B394" t="s">
        <v>1012</v>
      </c>
      <c r="C394" t="s">
        <v>411</v>
      </c>
      <c r="D394" t="s">
        <v>152</v>
      </c>
      <c r="E394" t="s">
        <v>144</v>
      </c>
      <c r="F394" s="2" t="str">
        <f>HYPERLINK("http://www.otzar.org/book.asp?175529","אבני תורה - א")</f>
        <v>אבני תורה - א</v>
      </c>
    </row>
    <row r="395" spans="1:6" x14ac:dyDescent="0.2">
      <c r="A395" t="s">
        <v>1013</v>
      </c>
      <c r="B395" t="s">
        <v>1014</v>
      </c>
      <c r="C395" t="s">
        <v>224</v>
      </c>
      <c r="D395" t="s">
        <v>27</v>
      </c>
      <c r="E395" t="s">
        <v>140</v>
      </c>
      <c r="F395" s="2" t="str">
        <f>HYPERLINK("http://www.otzar.org/book.asp?106480","אבניה ברזל")</f>
        <v>אבניה ברזל</v>
      </c>
    </row>
    <row r="396" spans="1:6" x14ac:dyDescent="0.2">
      <c r="A396" t="s">
        <v>1015</v>
      </c>
      <c r="B396" t="s">
        <v>1016</v>
      </c>
      <c r="C396" t="s">
        <v>37</v>
      </c>
      <c r="D396" t="s">
        <v>14</v>
      </c>
      <c r="E396" t="s">
        <v>144</v>
      </c>
      <c r="F396" s="2" t="str">
        <f>HYPERLINK("http://www.otzar.org/book.asp?602804","אבנים יקרות")</f>
        <v>אבנים יקרות</v>
      </c>
    </row>
    <row r="397" spans="1:6" x14ac:dyDescent="0.2">
      <c r="A397" t="s">
        <v>1017</v>
      </c>
      <c r="B397" t="s">
        <v>1018</v>
      </c>
      <c r="C397" t="s">
        <v>1019</v>
      </c>
      <c r="D397" t="s">
        <v>76</v>
      </c>
      <c r="E397" t="s">
        <v>930</v>
      </c>
      <c r="F397" s="2" t="str">
        <f>HYPERLINK("http://www.otzar.org/book.asp?100221","אבק דרכים - א")</f>
        <v>אבק דרכים - א</v>
      </c>
    </row>
    <row r="398" spans="1:6" x14ac:dyDescent="0.2">
      <c r="A398" t="s">
        <v>1020</v>
      </c>
      <c r="B398" t="s">
        <v>1021</v>
      </c>
      <c r="C398" t="s">
        <v>1022</v>
      </c>
      <c r="D398" t="s">
        <v>1023</v>
      </c>
      <c r="E398" t="s">
        <v>234</v>
      </c>
      <c r="F398" s="2" t="str">
        <f>HYPERLINK("http://www.otzar.org/book.asp?15673","אבק סופרים")</f>
        <v>אבק סופרים</v>
      </c>
    </row>
    <row r="399" spans="1:6" x14ac:dyDescent="0.2">
      <c r="A399" t="s">
        <v>1024</v>
      </c>
      <c r="B399" t="s">
        <v>1025</v>
      </c>
      <c r="C399" t="s">
        <v>334</v>
      </c>
      <c r="D399" t="s">
        <v>14</v>
      </c>
      <c r="E399" t="s">
        <v>213</v>
      </c>
      <c r="F399" s="2" t="str">
        <f>HYPERLINK("http://www.otzar.org/book.asp?153800","אבקות רוכלים")</f>
        <v>אבקות רוכלים</v>
      </c>
    </row>
    <row r="400" spans="1:6" x14ac:dyDescent="0.2">
      <c r="A400" t="s">
        <v>1026</v>
      </c>
      <c r="B400" t="s">
        <v>1027</v>
      </c>
      <c r="C400" t="s">
        <v>411</v>
      </c>
      <c r="D400" t="s">
        <v>52</v>
      </c>
      <c r="E400" t="s">
        <v>1028</v>
      </c>
      <c r="F400" s="2" t="str">
        <f>HYPERLINK("http://www.otzar.org/book.asp?170796","אבקת רוכל")</f>
        <v>אבקת רוכל</v>
      </c>
    </row>
    <row r="401" spans="1:6" x14ac:dyDescent="0.2">
      <c r="A401" t="s">
        <v>1026</v>
      </c>
      <c r="B401" t="s">
        <v>1029</v>
      </c>
      <c r="C401" t="s">
        <v>1030</v>
      </c>
      <c r="D401" t="s">
        <v>267</v>
      </c>
      <c r="E401" t="s">
        <v>241</v>
      </c>
      <c r="F401" s="2" t="str">
        <f>HYPERLINK("http://www.otzar.org/book.asp?6392","אבקת רוכל")</f>
        <v>אבקת רוכל</v>
      </c>
    </row>
    <row r="402" spans="1:6" x14ac:dyDescent="0.2">
      <c r="A402" t="s">
        <v>1031</v>
      </c>
      <c r="B402" t="s">
        <v>1032</v>
      </c>
      <c r="C402" t="s">
        <v>1033</v>
      </c>
      <c r="D402" t="s">
        <v>49</v>
      </c>
      <c r="F402" s="2" t="str">
        <f>HYPERLINK("http://www.otzar.org/book.asp?153075","אבקת רוכל - 5 כר'")</f>
        <v>אבקת רוכל - 5 כר'</v>
      </c>
    </row>
    <row r="403" spans="1:6" x14ac:dyDescent="0.2">
      <c r="A403" t="s">
        <v>1034</v>
      </c>
      <c r="B403" t="s">
        <v>1035</v>
      </c>
      <c r="C403" t="s">
        <v>1036</v>
      </c>
      <c r="D403" t="s">
        <v>1037</v>
      </c>
      <c r="E403" t="s">
        <v>154</v>
      </c>
      <c r="F403" s="2" t="str">
        <f>HYPERLINK("http://www.otzar.org/book.asp?141204","אבקת רוכל - 4 כר'")</f>
        <v>אבקת רוכל - 4 כר'</v>
      </c>
    </row>
    <row r="404" spans="1:6" x14ac:dyDescent="0.2">
      <c r="A404" t="s">
        <v>1038</v>
      </c>
      <c r="B404" t="s">
        <v>1039</v>
      </c>
      <c r="C404" t="s">
        <v>985</v>
      </c>
      <c r="D404" t="s">
        <v>27</v>
      </c>
      <c r="E404" t="s">
        <v>573</v>
      </c>
      <c r="F404" s="2" t="str">
        <f>HYPERLINK("http://www.otzar.org/book.asp?169721","אברהם אבינו")</f>
        <v>אברהם אבינו</v>
      </c>
    </row>
    <row r="405" spans="1:6" x14ac:dyDescent="0.2">
      <c r="A405" t="s">
        <v>1040</v>
      </c>
      <c r="B405" t="s">
        <v>1041</v>
      </c>
      <c r="C405" t="s">
        <v>8</v>
      </c>
      <c r="D405" t="s">
        <v>14</v>
      </c>
      <c r="E405" t="s">
        <v>474</v>
      </c>
      <c r="F405" s="2" t="str">
        <f>HYPERLINK("http://www.otzar.org/book.asp?300141","אברהם אברהם - 2 כר'")</f>
        <v>אברהם אברהם - 2 כר'</v>
      </c>
    </row>
    <row r="406" spans="1:6" x14ac:dyDescent="0.2">
      <c r="A406" t="s">
        <v>1042</v>
      </c>
      <c r="B406" t="s">
        <v>1043</v>
      </c>
      <c r="C406" t="s">
        <v>63</v>
      </c>
      <c r="D406" t="s">
        <v>21</v>
      </c>
      <c r="E406" t="s">
        <v>1044</v>
      </c>
      <c r="F406" s="2" t="str">
        <f>HYPERLINK("http://www.otzar.org/book.asp?198419","אברהם אהבי - כי ישאלך בנך")</f>
        <v>אברהם אהבי - כי ישאלך בנך</v>
      </c>
    </row>
    <row r="407" spans="1:6" x14ac:dyDescent="0.2">
      <c r="A407" t="s">
        <v>1045</v>
      </c>
      <c r="B407" t="s">
        <v>1046</v>
      </c>
      <c r="C407" t="s">
        <v>1047</v>
      </c>
      <c r="D407" t="s">
        <v>157</v>
      </c>
      <c r="E407" t="s">
        <v>64</v>
      </c>
      <c r="F407" s="2" t="str">
        <f>HYPERLINK("http://www.otzar.org/book.asp?100214","אברהם אזכור")</f>
        <v>אברהם אזכור</v>
      </c>
    </row>
    <row r="408" spans="1:6" x14ac:dyDescent="0.2">
      <c r="A408" t="s">
        <v>1048</v>
      </c>
      <c r="B408" t="s">
        <v>1046</v>
      </c>
      <c r="C408" t="s">
        <v>1047</v>
      </c>
      <c r="D408" t="s">
        <v>157</v>
      </c>
      <c r="E408" t="s">
        <v>158</v>
      </c>
      <c r="F408" s="2" t="str">
        <f>HYPERLINK("http://www.otzar.org/book.asp?21358","אברהם אנכי - 2 כר'")</f>
        <v>אברהם אנכי - 2 כר'</v>
      </c>
    </row>
    <row r="409" spans="1:6" x14ac:dyDescent="0.2">
      <c r="A409" t="s">
        <v>1049</v>
      </c>
      <c r="B409" t="s">
        <v>1046</v>
      </c>
      <c r="C409" t="s">
        <v>896</v>
      </c>
      <c r="D409" t="s">
        <v>157</v>
      </c>
      <c r="E409" t="s">
        <v>234</v>
      </c>
      <c r="F409" s="2" t="str">
        <f>HYPERLINK("http://www.otzar.org/book.asp?21357","אברהם את ידו - 2 כר'")</f>
        <v>אברהם את ידו - 2 כר'</v>
      </c>
    </row>
    <row r="410" spans="1:6" x14ac:dyDescent="0.2">
      <c r="A410" t="s">
        <v>1050</v>
      </c>
      <c r="B410" t="s">
        <v>1046</v>
      </c>
      <c r="C410" t="s">
        <v>896</v>
      </c>
      <c r="D410" t="s">
        <v>157</v>
      </c>
      <c r="E410" t="s">
        <v>1051</v>
      </c>
      <c r="F410" s="2" t="str">
        <f>HYPERLINK("http://www.otzar.org/book.asp?17095","אברהם את עיניו")</f>
        <v>אברהם את עיניו</v>
      </c>
    </row>
    <row r="411" spans="1:6" x14ac:dyDescent="0.2">
      <c r="A411" t="s">
        <v>1052</v>
      </c>
      <c r="B411" t="s">
        <v>1053</v>
      </c>
      <c r="C411" t="s">
        <v>143</v>
      </c>
      <c r="D411" t="s">
        <v>486</v>
      </c>
      <c r="E411" t="s">
        <v>202</v>
      </c>
      <c r="F411" s="2" t="str">
        <f>HYPERLINK("http://www.otzar.org/book.asp?53239","אברהם בחירו")</f>
        <v>אברהם בחירו</v>
      </c>
    </row>
    <row r="412" spans="1:6" x14ac:dyDescent="0.2">
      <c r="A412" t="s">
        <v>1054</v>
      </c>
      <c r="B412" t="s">
        <v>1055</v>
      </c>
      <c r="C412" t="s">
        <v>224</v>
      </c>
      <c r="D412" t="s">
        <v>27</v>
      </c>
      <c r="E412" t="s">
        <v>154</v>
      </c>
      <c r="F412" s="2" t="str">
        <f>HYPERLINK("http://www.otzar.org/book.asp?149414","אברהם בכל")</f>
        <v>אברהם בכל</v>
      </c>
    </row>
    <row r="413" spans="1:6" x14ac:dyDescent="0.2">
      <c r="A413" t="s">
        <v>1056</v>
      </c>
      <c r="B413" t="s">
        <v>1057</v>
      </c>
      <c r="C413" t="s">
        <v>1058</v>
      </c>
      <c r="D413" t="s">
        <v>157</v>
      </c>
      <c r="E413" t="s">
        <v>234</v>
      </c>
      <c r="F413" s="2" t="str">
        <f>HYPERLINK("http://www.otzar.org/book.asp?21359","אברהם במחזה")</f>
        <v>אברהם במחזה</v>
      </c>
    </row>
    <row r="414" spans="1:6" x14ac:dyDescent="0.2">
      <c r="A414" t="s">
        <v>1056</v>
      </c>
      <c r="B414" t="s">
        <v>1059</v>
      </c>
      <c r="C414" t="s">
        <v>332</v>
      </c>
      <c r="D414" t="s">
        <v>14</v>
      </c>
      <c r="E414" t="s">
        <v>154</v>
      </c>
      <c r="F414" s="2" t="str">
        <f>HYPERLINK("http://www.otzar.org/book.asp?188527","אברהם במחזה")</f>
        <v>אברהם במחזה</v>
      </c>
    </row>
    <row r="415" spans="1:6" x14ac:dyDescent="0.2">
      <c r="A415" t="s">
        <v>1060</v>
      </c>
      <c r="B415" t="s">
        <v>1061</v>
      </c>
      <c r="C415" t="s">
        <v>1062</v>
      </c>
      <c r="D415" t="s">
        <v>260</v>
      </c>
      <c r="E415" t="s">
        <v>104</v>
      </c>
      <c r="F415" s="2" t="str">
        <f>HYPERLINK("http://www.otzar.org/book.asp?156149","אברהם בן אברהם")</f>
        <v>אברהם בן אברהם</v>
      </c>
    </row>
    <row r="416" spans="1:6" x14ac:dyDescent="0.2">
      <c r="A416" t="s">
        <v>1063</v>
      </c>
      <c r="B416" t="s">
        <v>1064</v>
      </c>
      <c r="C416" t="s">
        <v>151</v>
      </c>
      <c r="D416" t="s">
        <v>52</v>
      </c>
      <c r="E416" t="s">
        <v>158</v>
      </c>
      <c r="F416" s="2" t="str">
        <f>HYPERLINK("http://www.otzar.org/book.asp?618085","אברהם בעודנו חי")</f>
        <v>אברהם בעודנו חי</v>
      </c>
    </row>
    <row r="417" spans="1:6" x14ac:dyDescent="0.2">
      <c r="A417" t="s">
        <v>1065</v>
      </c>
      <c r="B417" t="s">
        <v>1066</v>
      </c>
      <c r="C417" t="s">
        <v>313</v>
      </c>
      <c r="D417" t="s">
        <v>412</v>
      </c>
      <c r="E417" t="s">
        <v>234</v>
      </c>
      <c r="F417" s="2" t="str">
        <f>HYPERLINK("http://www.otzar.org/book.asp?85584","אברהם יגל יצחק ירנן")</f>
        <v>אברהם יגל יצחק ירנן</v>
      </c>
    </row>
    <row r="418" spans="1:6" x14ac:dyDescent="0.2">
      <c r="A418" t="s">
        <v>1067</v>
      </c>
      <c r="B418" t="s">
        <v>1068</v>
      </c>
      <c r="C418" t="s">
        <v>306</v>
      </c>
      <c r="D418" t="s">
        <v>212</v>
      </c>
      <c r="E418" t="s">
        <v>1069</v>
      </c>
      <c r="F418" s="2" t="str">
        <f>HYPERLINK("http://www.otzar.org/book.asp?17100","אברהם יגל")</f>
        <v>אברהם יגל</v>
      </c>
    </row>
    <row r="419" spans="1:6" x14ac:dyDescent="0.2">
      <c r="A419" t="s">
        <v>1067</v>
      </c>
      <c r="B419" t="s">
        <v>1070</v>
      </c>
      <c r="C419" t="s">
        <v>71</v>
      </c>
      <c r="D419" t="s">
        <v>21</v>
      </c>
      <c r="E419" t="s">
        <v>158</v>
      </c>
      <c r="F419" s="2" t="str">
        <f>HYPERLINK("http://www.otzar.org/book.asp?199581","אברהם יגל")</f>
        <v>אברהם יגל</v>
      </c>
    </row>
    <row r="420" spans="1:6" x14ac:dyDescent="0.2">
      <c r="A420" t="s">
        <v>1067</v>
      </c>
      <c r="B420" t="s">
        <v>1071</v>
      </c>
      <c r="C420" t="s">
        <v>422</v>
      </c>
      <c r="D420" t="s">
        <v>90</v>
      </c>
      <c r="E420" t="s">
        <v>1072</v>
      </c>
      <c r="F420" s="2" t="str">
        <f>HYPERLINK("http://www.otzar.org/book.asp?621996","אברהם יגל")</f>
        <v>אברהם יגל</v>
      </c>
    </row>
    <row r="421" spans="1:6" x14ac:dyDescent="0.2">
      <c r="A421" t="s">
        <v>1067</v>
      </c>
      <c r="B421" t="s">
        <v>1073</v>
      </c>
      <c r="C421" t="s">
        <v>466</v>
      </c>
      <c r="D421" t="s">
        <v>52</v>
      </c>
      <c r="E421" t="s">
        <v>144</v>
      </c>
      <c r="F421" s="2" t="str">
        <f>HYPERLINK("http://www.otzar.org/book.asp?64019","אברהם יגל")</f>
        <v>אברהם יגל</v>
      </c>
    </row>
    <row r="422" spans="1:6" x14ac:dyDescent="0.2">
      <c r="A422" t="s">
        <v>1074</v>
      </c>
      <c r="B422" t="s">
        <v>1075</v>
      </c>
      <c r="C422" t="s">
        <v>244</v>
      </c>
      <c r="D422" t="s">
        <v>1076</v>
      </c>
      <c r="E422" t="s">
        <v>674</v>
      </c>
      <c r="F422" s="2" t="str">
        <f>HYPERLINK("http://www.otzar.org/book.asp?602732","אברהם יגל - 2 כר'")</f>
        <v>אברהם יגל - 2 כר'</v>
      </c>
    </row>
    <row r="423" spans="1:6" x14ac:dyDescent="0.2">
      <c r="A423" t="s">
        <v>1077</v>
      </c>
      <c r="B423" t="s">
        <v>552</v>
      </c>
      <c r="C423" t="s">
        <v>68</v>
      </c>
      <c r="D423" t="s">
        <v>52</v>
      </c>
      <c r="E423" t="s">
        <v>202</v>
      </c>
      <c r="F423" s="2" t="str">
        <f>HYPERLINK("http://www.otzar.org/book.asp?170086","אברהם עבד ה'")</f>
        <v>אברהם עבד ה'</v>
      </c>
    </row>
    <row r="424" spans="1:6" x14ac:dyDescent="0.2">
      <c r="A424" t="s">
        <v>1078</v>
      </c>
      <c r="B424" t="s">
        <v>686</v>
      </c>
      <c r="C424" t="s">
        <v>133</v>
      </c>
      <c r="D424" t="s">
        <v>52</v>
      </c>
      <c r="E424" t="s">
        <v>104</v>
      </c>
      <c r="F424" s="2" t="str">
        <f>HYPERLINK("http://www.otzar.org/book.asp?175971","אברך את ה'")</f>
        <v>אברך את ה'</v>
      </c>
    </row>
    <row r="425" spans="1:6" x14ac:dyDescent="0.2">
      <c r="A425" t="s">
        <v>1079</v>
      </c>
      <c r="B425" t="s">
        <v>1080</v>
      </c>
      <c r="C425" t="s">
        <v>617</v>
      </c>
      <c r="D425" t="s">
        <v>1081</v>
      </c>
      <c r="E425" t="s">
        <v>158</v>
      </c>
      <c r="F425" s="2" t="str">
        <f>HYPERLINK("http://www.otzar.org/book.asp?300140","אברך")</f>
        <v>אברך</v>
      </c>
    </row>
    <row r="426" spans="1:6" x14ac:dyDescent="0.2">
      <c r="A426" t="s">
        <v>1082</v>
      </c>
      <c r="B426" t="s">
        <v>1083</v>
      </c>
      <c r="C426" t="s">
        <v>20</v>
      </c>
      <c r="D426" t="s">
        <v>152</v>
      </c>
      <c r="E426" t="s">
        <v>803</v>
      </c>
      <c r="F426" s="2" t="str">
        <f>HYPERLINK("http://www.otzar.org/book.asp?50605","אברכך בחיי")</f>
        <v>אברכך בחיי</v>
      </c>
    </row>
    <row r="427" spans="1:6" x14ac:dyDescent="0.2">
      <c r="A427" t="s">
        <v>1084</v>
      </c>
      <c r="B427" t="s">
        <v>1085</v>
      </c>
      <c r="C427" t="s">
        <v>1086</v>
      </c>
      <c r="D427" t="s">
        <v>1087</v>
      </c>
      <c r="E427" t="s">
        <v>399</v>
      </c>
      <c r="F427" s="2" t="str">
        <f>HYPERLINK("http://www.otzar.org/book.asp?174296","אגדות הזהר")</f>
        <v>אגדות הזהר</v>
      </c>
    </row>
    <row r="428" spans="1:6" x14ac:dyDescent="0.2">
      <c r="A428" t="s">
        <v>1088</v>
      </c>
      <c r="B428" t="s">
        <v>1089</v>
      </c>
      <c r="C428" t="s">
        <v>20</v>
      </c>
      <c r="D428" t="s">
        <v>260</v>
      </c>
      <c r="E428" t="s">
        <v>399</v>
      </c>
      <c r="F428" s="2" t="str">
        <f>HYPERLINK("http://www.otzar.org/book.asp?193061","אגדות הזוהר")</f>
        <v>אגדות הזוהר</v>
      </c>
    </row>
    <row r="429" spans="1:6" x14ac:dyDescent="0.2">
      <c r="A429" t="s">
        <v>1090</v>
      </c>
      <c r="B429" t="s">
        <v>1091</v>
      </c>
      <c r="C429" t="s">
        <v>133</v>
      </c>
      <c r="D429" t="s">
        <v>21</v>
      </c>
      <c r="E429" t="s">
        <v>144</v>
      </c>
      <c r="F429" s="2" t="str">
        <f>HYPERLINK("http://www.otzar.org/book.asp?605645","אגדות הש""ס עם פירוש הביאור הדרש והעיון - נזיקין ב")</f>
        <v>אגדות הש"ס עם פירוש הביאור הדרש והעיון - נזיקין ב</v>
      </c>
    </row>
    <row r="430" spans="1:6" x14ac:dyDescent="0.2">
      <c r="A430" t="s">
        <v>1092</v>
      </c>
      <c r="B430" t="s">
        <v>1093</v>
      </c>
      <c r="C430" t="s">
        <v>940</v>
      </c>
      <c r="D430" t="s">
        <v>14</v>
      </c>
      <c r="E430" t="s">
        <v>144</v>
      </c>
      <c r="F430" s="2" t="str">
        <f>HYPERLINK("http://www.otzar.org/book.asp?612684","אגדות חז""ל מעובדות לנוער - 2 כר'")</f>
        <v>אגדות חז"ל מעובדות לנוער - 2 כר'</v>
      </c>
    </row>
    <row r="431" spans="1:6" x14ac:dyDescent="0.2">
      <c r="A431" t="s">
        <v>1094</v>
      </c>
      <c r="B431" t="s">
        <v>1095</v>
      </c>
      <c r="C431" t="s">
        <v>1096</v>
      </c>
      <c r="D431" t="s">
        <v>283</v>
      </c>
      <c r="E431" t="s">
        <v>1097</v>
      </c>
      <c r="F431" s="2" t="str">
        <f>HYPERLINK("http://www.otzar.org/book.asp?9466","אגדות ירושלמי")</f>
        <v>אגדות ירושלמי</v>
      </c>
    </row>
    <row r="432" spans="1:6" x14ac:dyDescent="0.2">
      <c r="A432" t="s">
        <v>1098</v>
      </c>
      <c r="B432" t="s">
        <v>1099</v>
      </c>
      <c r="C432" t="s">
        <v>812</v>
      </c>
      <c r="D432" t="s">
        <v>1100</v>
      </c>
      <c r="E432" t="s">
        <v>158</v>
      </c>
      <c r="F432" s="2" t="str">
        <f>HYPERLINK("http://www.otzar.org/book.asp?300139","אגדות מהרז""צ")</f>
        <v>אגדות מהרז"צ</v>
      </c>
    </row>
    <row r="433" spans="1:6" x14ac:dyDescent="0.2">
      <c r="A433" t="s">
        <v>1101</v>
      </c>
      <c r="B433" t="s">
        <v>1102</v>
      </c>
      <c r="C433" t="s">
        <v>160</v>
      </c>
      <c r="D433" t="s">
        <v>27</v>
      </c>
      <c r="E433" t="s">
        <v>1103</v>
      </c>
      <c r="F433" s="2" t="str">
        <f>HYPERLINK("http://www.otzar.org/book.asp?14749","אגדות רות")</f>
        <v>אגדות רות</v>
      </c>
    </row>
    <row r="434" spans="1:6" x14ac:dyDescent="0.2">
      <c r="A434" t="s">
        <v>1104</v>
      </c>
      <c r="B434" t="s">
        <v>1105</v>
      </c>
      <c r="C434" t="s">
        <v>151</v>
      </c>
      <c r="D434" t="s">
        <v>14</v>
      </c>
      <c r="F434" s="2" t="str">
        <f>HYPERLINK("http://www.otzar.org/book.asp?623124","אגדות שמואל")</f>
        <v>אגדות שמואל</v>
      </c>
    </row>
    <row r="435" spans="1:6" x14ac:dyDescent="0.2">
      <c r="A435" t="s">
        <v>1106</v>
      </c>
      <c r="B435" t="s">
        <v>1107</v>
      </c>
      <c r="C435" t="s">
        <v>68</v>
      </c>
      <c r="D435" t="s">
        <v>486</v>
      </c>
      <c r="E435" t="s">
        <v>1108</v>
      </c>
      <c r="F435" s="2" t="str">
        <f>HYPERLINK("http://www.otzar.org/book.asp?179495","אגדות תלמוד ירושלמי  ע""פ יפה מראה ועין יעקב - 2 כר'")</f>
        <v>אגדות תלמוד ירושלמי  ע"פ יפה מראה ועין יעקב - 2 כר'</v>
      </c>
    </row>
    <row r="436" spans="1:6" x14ac:dyDescent="0.2">
      <c r="A436" t="s">
        <v>1109</v>
      </c>
      <c r="B436" t="s">
        <v>1110</v>
      </c>
      <c r="C436" t="s">
        <v>1096</v>
      </c>
      <c r="D436" t="s">
        <v>27</v>
      </c>
      <c r="E436" t="s">
        <v>1097</v>
      </c>
      <c r="F436" s="2" t="str">
        <f>HYPERLINK("http://www.otzar.org/book.asp?426","אגדות תלמוד ירושלמי")</f>
        <v>אגדות תלמוד ירושלמי</v>
      </c>
    </row>
    <row r="437" spans="1:6" x14ac:dyDescent="0.2">
      <c r="A437" t="s">
        <v>1111</v>
      </c>
      <c r="B437" t="s">
        <v>1112</v>
      </c>
      <c r="C437" t="s">
        <v>176</v>
      </c>
      <c r="D437" t="s">
        <v>486</v>
      </c>
      <c r="E437" t="s">
        <v>1097</v>
      </c>
      <c r="F437" s="2" t="str">
        <f>HYPERLINK("http://www.otzar.org/book.asp?165275","אגדת אליהו &lt;מהדורה חדשה&gt; - 3 כר'")</f>
        <v>אגדת אליהו &lt;מהדורה חדשה&gt; - 3 כר'</v>
      </c>
    </row>
    <row r="438" spans="1:6" x14ac:dyDescent="0.2">
      <c r="A438" t="s">
        <v>1113</v>
      </c>
      <c r="B438" t="s">
        <v>1112</v>
      </c>
      <c r="C438" t="s">
        <v>1114</v>
      </c>
      <c r="D438" t="s">
        <v>157</v>
      </c>
      <c r="E438" t="s">
        <v>1097</v>
      </c>
      <c r="F438" s="2" t="str">
        <f>HYPERLINK("http://www.otzar.org/book.asp?9597","אגדת אליהו - 2 כר'")</f>
        <v>אגדת אליהו - 2 כר'</v>
      </c>
    </row>
    <row r="439" spans="1:6" x14ac:dyDescent="0.2">
      <c r="A439" t="s">
        <v>1115</v>
      </c>
      <c r="B439" t="s">
        <v>1116</v>
      </c>
      <c r="C439" t="s">
        <v>748</v>
      </c>
      <c r="D439" t="s">
        <v>1117</v>
      </c>
      <c r="E439" t="s">
        <v>1118</v>
      </c>
      <c r="F439" s="2" t="str">
        <f>HYPERLINK("http://www.otzar.org/book.asp?200053","אגדת אסתר")</f>
        <v>אגדת אסתר</v>
      </c>
    </row>
    <row r="440" spans="1:6" x14ac:dyDescent="0.2">
      <c r="A440" t="s">
        <v>1119</v>
      </c>
      <c r="B440" t="s">
        <v>1120</v>
      </c>
      <c r="C440" t="s">
        <v>1121</v>
      </c>
      <c r="D440" t="s">
        <v>280</v>
      </c>
      <c r="F440" s="2" t="str">
        <f>HYPERLINK("http://www.otzar.org/book.asp?151820","אגדת ארבע כוסות")</f>
        <v>אגדת ארבע כוסות</v>
      </c>
    </row>
    <row r="441" spans="1:6" x14ac:dyDescent="0.2">
      <c r="A441" t="s">
        <v>1122</v>
      </c>
      <c r="B441" t="s">
        <v>1123</v>
      </c>
      <c r="C441" t="s">
        <v>1124</v>
      </c>
      <c r="D441" t="s">
        <v>283</v>
      </c>
      <c r="E441" t="s">
        <v>1125</v>
      </c>
      <c r="F441" s="2" t="str">
        <f>HYPERLINK("http://www.otzar.org/book.asp?15833","אגדת בראשית &lt;עץ יוסף, ענף יוסף, יד יוסף&gt;")</f>
        <v>אגדת בראשית &lt;עץ יוסף, ענף יוסף, יד יוסף&gt;</v>
      </c>
    </row>
    <row r="442" spans="1:6" x14ac:dyDescent="0.2">
      <c r="A442" t="s">
        <v>1126</v>
      </c>
      <c r="B442" t="s">
        <v>1116</v>
      </c>
      <c r="C442" t="s">
        <v>888</v>
      </c>
      <c r="D442" t="s">
        <v>1117</v>
      </c>
      <c r="E442" t="s">
        <v>43</v>
      </c>
      <c r="F442" s="2" t="str">
        <f>HYPERLINK("http://www.otzar.org/book.asp?14729","אגדת בראשית")</f>
        <v>אגדת בראשית</v>
      </c>
    </row>
    <row r="443" spans="1:6" x14ac:dyDescent="0.2">
      <c r="A443" t="s">
        <v>1127</v>
      </c>
      <c r="B443" t="s">
        <v>1128</v>
      </c>
      <c r="C443" t="s">
        <v>114</v>
      </c>
      <c r="D443" t="s">
        <v>90</v>
      </c>
      <c r="E443" t="s">
        <v>144</v>
      </c>
      <c r="F443" s="2" t="str">
        <f>HYPERLINK("http://www.otzar.org/book.asp?160090","אגדת דוד")</f>
        <v>אגדת דוד</v>
      </c>
    </row>
    <row r="444" spans="1:6" x14ac:dyDescent="0.2">
      <c r="A444" t="s">
        <v>1129</v>
      </c>
      <c r="B444" t="s">
        <v>1130</v>
      </c>
      <c r="C444" t="s">
        <v>649</v>
      </c>
      <c r="D444" t="s">
        <v>535</v>
      </c>
      <c r="E444" t="s">
        <v>733</v>
      </c>
      <c r="F444" s="2" t="str">
        <f>HYPERLINK("http://www.otzar.org/book.asp?173106","אגדת ישראל וארץ ישראל")</f>
        <v>אגדת ישראל וארץ ישראל</v>
      </c>
    </row>
    <row r="445" spans="1:6" x14ac:dyDescent="0.2">
      <c r="A445" t="s">
        <v>1131</v>
      </c>
      <c r="B445" t="s">
        <v>1132</v>
      </c>
      <c r="C445" t="s">
        <v>99</v>
      </c>
      <c r="D445" t="s">
        <v>27</v>
      </c>
      <c r="E445" t="s">
        <v>957</v>
      </c>
      <c r="F445" s="2" t="str">
        <f>HYPERLINK("http://www.otzar.org/book.asp?469","אגדת מהרש""כ")</f>
        <v>אגדת מהרש"כ</v>
      </c>
    </row>
    <row r="446" spans="1:6" x14ac:dyDescent="0.2">
      <c r="A446" t="s">
        <v>1133</v>
      </c>
      <c r="B446" t="s">
        <v>1134</v>
      </c>
      <c r="C446" t="s">
        <v>1135</v>
      </c>
      <c r="D446" t="s">
        <v>1023</v>
      </c>
      <c r="E446" t="s">
        <v>246</v>
      </c>
      <c r="F446" s="2" t="str">
        <f>HYPERLINK("http://www.otzar.org/book.asp?141178","אגדת מרדכי")</f>
        <v>אגדת מרדכי</v>
      </c>
    </row>
    <row r="447" spans="1:6" x14ac:dyDescent="0.2">
      <c r="A447" t="s">
        <v>1136</v>
      </c>
      <c r="B447" t="s">
        <v>1137</v>
      </c>
      <c r="C447" t="s">
        <v>1138</v>
      </c>
      <c r="D447" t="s">
        <v>9</v>
      </c>
      <c r="E447" t="s">
        <v>144</v>
      </c>
      <c r="F447" s="2" t="str">
        <f>HYPERLINK("http://www.otzar.org/book.asp?51308","אגדת עין יעקב &lt;עם תרגום באנגלית&gt; - 5 כר'")</f>
        <v>אגדת עין יעקב &lt;עם תרגום באנגלית&gt; - 5 כר'</v>
      </c>
    </row>
    <row r="448" spans="1:6" x14ac:dyDescent="0.2">
      <c r="A448" t="s">
        <v>1139</v>
      </c>
      <c r="B448" t="s">
        <v>1140</v>
      </c>
      <c r="C448" t="s">
        <v>919</v>
      </c>
      <c r="D448" t="s">
        <v>14</v>
      </c>
      <c r="E448" t="s">
        <v>1103</v>
      </c>
      <c r="F448" s="2" t="str">
        <f>HYPERLINK("http://www.otzar.org/book.asp?146084","אגדת רות ומדרש רות רבה - ג")</f>
        <v>אגדת רות ומדרש רות רבה - ג</v>
      </c>
    </row>
    <row r="449" spans="1:6" x14ac:dyDescent="0.2">
      <c r="A449" t="s">
        <v>1141</v>
      </c>
      <c r="B449" t="s">
        <v>1142</v>
      </c>
      <c r="C449" t="s">
        <v>1143</v>
      </c>
      <c r="D449" t="s">
        <v>1144</v>
      </c>
      <c r="E449" t="s">
        <v>158</v>
      </c>
      <c r="F449" s="2" t="str">
        <f>HYPERLINK("http://www.otzar.org/book.asp?612902","אגדת שיר השירים &lt;שכטר&gt;")</f>
        <v>אגדת שיר השירים &lt;שכטר&gt;</v>
      </c>
    </row>
    <row r="450" spans="1:6" x14ac:dyDescent="0.2">
      <c r="A450" t="s">
        <v>1145</v>
      </c>
      <c r="B450" t="s">
        <v>1146</v>
      </c>
      <c r="C450" t="s">
        <v>1147</v>
      </c>
      <c r="D450" t="s">
        <v>49</v>
      </c>
      <c r="E450" t="s">
        <v>1148</v>
      </c>
      <c r="F450" s="2" t="str">
        <f>HYPERLINK("http://www.otzar.org/book.asp?16615","אגדת שמואל")</f>
        <v>אגדת שמואל</v>
      </c>
    </row>
    <row r="451" spans="1:6" x14ac:dyDescent="0.2">
      <c r="A451" t="s">
        <v>1145</v>
      </c>
      <c r="B451" t="s">
        <v>1149</v>
      </c>
      <c r="C451" t="s">
        <v>1150</v>
      </c>
      <c r="D451" t="s">
        <v>283</v>
      </c>
      <c r="E451" t="s">
        <v>43</v>
      </c>
      <c r="F451" s="2" t="str">
        <f>HYPERLINK("http://www.otzar.org/book.asp?108296","אגדת שמואל")</f>
        <v>אגדת שמואל</v>
      </c>
    </row>
    <row r="452" spans="1:6" x14ac:dyDescent="0.2">
      <c r="A452" t="s">
        <v>1151</v>
      </c>
      <c r="B452" t="s">
        <v>1152</v>
      </c>
      <c r="C452" t="s">
        <v>313</v>
      </c>
      <c r="D452" t="s">
        <v>1153</v>
      </c>
      <c r="F452" s="2" t="str">
        <f>HYPERLINK("http://www.otzar.org/book.asp?617533","אגדתא דפסח עם שתילי זתים &lt;באר מרים&gt;")</f>
        <v>אגדתא דפסח עם שתילי זתים &lt;באר מרים&gt;</v>
      </c>
    </row>
    <row r="453" spans="1:6" x14ac:dyDescent="0.2">
      <c r="A453" t="s">
        <v>1154</v>
      </c>
      <c r="B453" t="s">
        <v>1155</v>
      </c>
      <c r="C453" t="s">
        <v>454</v>
      </c>
      <c r="D453" t="s">
        <v>1156</v>
      </c>
      <c r="E453" t="s">
        <v>1157</v>
      </c>
      <c r="F453" s="2" t="str">
        <f>HYPERLINK("http://www.otzar.org/book.asp?165436","אגדתא דפסחא &lt;פרי הילולים&gt;")</f>
        <v>אגדתא דפסחא &lt;פרי הילולים&gt;</v>
      </c>
    </row>
    <row r="454" spans="1:6" x14ac:dyDescent="0.2">
      <c r="A454" t="s">
        <v>1158</v>
      </c>
      <c r="B454" t="s">
        <v>1159</v>
      </c>
      <c r="C454" t="s">
        <v>1160</v>
      </c>
      <c r="D454" t="s">
        <v>27</v>
      </c>
      <c r="E454" t="s">
        <v>130</v>
      </c>
      <c r="F454" s="2" t="str">
        <f>HYPERLINK("http://www.otzar.org/book.asp?157504","אגדתא דפסחא &lt;כתב יד&gt; - קונטריס הערות")</f>
        <v>אגדתא דפסחא &lt;כתב יד&gt; - קונטריס הערות</v>
      </c>
    </row>
    <row r="455" spans="1:6" x14ac:dyDescent="0.2">
      <c r="A455" t="s">
        <v>1161</v>
      </c>
      <c r="B455" t="s">
        <v>1162</v>
      </c>
      <c r="C455" t="s">
        <v>1163</v>
      </c>
      <c r="D455" t="s">
        <v>1163</v>
      </c>
      <c r="E455" t="s">
        <v>1164</v>
      </c>
      <c r="F455" s="2" t="str">
        <f>HYPERLINK("http://www.otzar.org/book.asp?165841","אגדתא דפסחא (כתב יד)")</f>
        <v>אגדתא דפסחא (כתב יד)</v>
      </c>
    </row>
    <row r="456" spans="1:6" x14ac:dyDescent="0.2">
      <c r="A456" t="s">
        <v>1165</v>
      </c>
      <c r="B456" t="s">
        <v>1163</v>
      </c>
      <c r="C456" t="s">
        <v>1166</v>
      </c>
      <c r="D456" t="s">
        <v>1167</v>
      </c>
      <c r="E456" t="s">
        <v>246</v>
      </c>
      <c r="F456" s="2" t="str">
        <f>HYPERLINK("http://www.otzar.org/book.asp?154037","אגדתא דפסחא ע""פ נוסח עתיק")</f>
        <v>אגדתא דפסחא ע"פ נוסח עתיק</v>
      </c>
    </row>
    <row r="457" spans="1:6" x14ac:dyDescent="0.2">
      <c r="A457" t="s">
        <v>1168</v>
      </c>
      <c r="B457" t="s">
        <v>1162</v>
      </c>
      <c r="C457" t="s">
        <v>1169</v>
      </c>
      <c r="D457" t="s">
        <v>27</v>
      </c>
      <c r="E457" t="s">
        <v>1164</v>
      </c>
      <c r="F457" s="2" t="str">
        <f>HYPERLINK("http://www.otzar.org/book.asp?104765","אגדתא דפסחא")</f>
        <v>אגדתא דפסחא</v>
      </c>
    </row>
    <row r="458" spans="1:6" x14ac:dyDescent="0.2">
      <c r="A458" t="s">
        <v>1170</v>
      </c>
      <c r="B458" t="s">
        <v>1171</v>
      </c>
      <c r="C458" t="s">
        <v>37</v>
      </c>
      <c r="D458" t="s">
        <v>118</v>
      </c>
      <c r="E458" t="s">
        <v>1164</v>
      </c>
      <c r="F458" s="2" t="str">
        <f>HYPERLINK("http://www.otzar.org/book.asp?180047","אגדתא דפסחא - אוצרות תימן")</f>
        <v>אגדתא דפסחא - אוצרות תימן</v>
      </c>
    </row>
    <row r="459" spans="1:6" x14ac:dyDescent="0.2">
      <c r="A459" t="s">
        <v>1172</v>
      </c>
      <c r="B459" t="s">
        <v>1173</v>
      </c>
      <c r="C459" t="s">
        <v>20</v>
      </c>
      <c r="D459" t="s">
        <v>52</v>
      </c>
      <c r="E459" t="s">
        <v>1174</v>
      </c>
      <c r="F459" s="2" t="str">
        <f>HYPERLINK("http://www.otzar.org/book.asp?600542","אגודה אחת - 11 כר'")</f>
        <v>אגודה אחת - 11 כר'</v>
      </c>
    </row>
    <row r="460" spans="1:6" x14ac:dyDescent="0.2">
      <c r="A460" t="s">
        <v>1175</v>
      </c>
      <c r="B460" t="s">
        <v>1176</v>
      </c>
      <c r="C460" t="s">
        <v>1177</v>
      </c>
      <c r="D460" t="s">
        <v>225</v>
      </c>
      <c r="E460" t="s">
        <v>508</v>
      </c>
      <c r="F460" s="2" t="str">
        <f>HYPERLINK("http://www.otzar.org/book.asp?100217","אגודות אזוב מדברי")</f>
        <v>אגודות אזוב מדברי</v>
      </c>
    </row>
    <row r="461" spans="1:6" x14ac:dyDescent="0.2">
      <c r="A461" t="s">
        <v>1178</v>
      </c>
      <c r="B461" t="s">
        <v>1179</v>
      </c>
      <c r="C461" t="s">
        <v>51</v>
      </c>
      <c r="D461" t="s">
        <v>1180</v>
      </c>
      <c r="E461" t="s">
        <v>104</v>
      </c>
      <c r="F461" s="2" t="str">
        <f>HYPERLINK("http://www.otzar.org/book.asp?199139","אגודת אז""ב")</f>
        <v>אגודת אז"ב</v>
      </c>
    </row>
    <row r="462" spans="1:6" x14ac:dyDescent="0.2">
      <c r="A462" t="s">
        <v>1181</v>
      </c>
      <c r="B462" t="s">
        <v>1182</v>
      </c>
      <c r="C462" t="s">
        <v>422</v>
      </c>
      <c r="D462" t="s">
        <v>52</v>
      </c>
      <c r="E462" t="s">
        <v>154</v>
      </c>
      <c r="F462" s="2" t="str">
        <f>HYPERLINK("http://www.otzar.org/book.asp?154474","אגודת אזוב &lt;מהדורה חדשה&gt;")</f>
        <v>אגודת אזוב &lt;מהדורה חדשה&gt;</v>
      </c>
    </row>
    <row r="463" spans="1:6" x14ac:dyDescent="0.2">
      <c r="A463" t="s">
        <v>1183</v>
      </c>
      <c r="B463" t="s">
        <v>1184</v>
      </c>
      <c r="C463" t="s">
        <v>1169</v>
      </c>
      <c r="D463" t="s">
        <v>260</v>
      </c>
      <c r="E463" t="s">
        <v>1185</v>
      </c>
      <c r="F463" s="2" t="str">
        <f>HYPERLINK("http://www.otzar.org/book.asp?23968","אגודת אזוב")</f>
        <v>אגודת אזוב</v>
      </c>
    </row>
    <row r="464" spans="1:6" x14ac:dyDescent="0.2">
      <c r="A464" t="s">
        <v>1186</v>
      </c>
      <c r="B464" t="s">
        <v>1187</v>
      </c>
      <c r="C464" t="s">
        <v>87</v>
      </c>
      <c r="D464" t="s">
        <v>1188</v>
      </c>
      <c r="E464" t="s">
        <v>104</v>
      </c>
      <c r="F464" s="2" t="str">
        <f>HYPERLINK("http://www.otzar.org/book.asp?21209","אגודת אזוב - 3 כר'")</f>
        <v>אגודת אזוב - 3 כר'</v>
      </c>
    </row>
    <row r="465" spans="1:6" x14ac:dyDescent="0.2">
      <c r="A465" t="s">
        <v>1189</v>
      </c>
      <c r="B465" t="s">
        <v>1190</v>
      </c>
      <c r="C465" t="s">
        <v>1191</v>
      </c>
      <c r="D465" t="s">
        <v>60</v>
      </c>
      <c r="E465" t="s">
        <v>158</v>
      </c>
      <c r="F465" s="2" t="str">
        <f>HYPERLINK("http://www.otzar.org/book.asp?104432","אגודת אזוב - 2 כר'")</f>
        <v>אגודת אזוב - 2 כר'</v>
      </c>
    </row>
    <row r="466" spans="1:6" x14ac:dyDescent="0.2">
      <c r="A466" t="s">
        <v>1192</v>
      </c>
      <c r="B466" t="s">
        <v>1182</v>
      </c>
      <c r="C466" t="s">
        <v>1193</v>
      </c>
      <c r="D466" t="s">
        <v>610</v>
      </c>
      <c r="E466" t="s">
        <v>234</v>
      </c>
      <c r="F466" s="2" t="str">
        <f>HYPERLINK("http://www.otzar.org/book.asp?15684","אגודת אזוב - 4 כר'")</f>
        <v>אגודת אזוב - 4 כר'</v>
      </c>
    </row>
    <row r="467" spans="1:6" x14ac:dyDescent="0.2">
      <c r="A467" t="s">
        <v>1194</v>
      </c>
      <c r="B467" t="s">
        <v>1195</v>
      </c>
      <c r="C467" t="s">
        <v>13</v>
      </c>
      <c r="D467" t="s">
        <v>52</v>
      </c>
      <c r="E467" t="s">
        <v>325</v>
      </c>
      <c r="F467" s="2" t="str">
        <f>HYPERLINK("http://www.otzar.org/book.asp?194085","אגודת אליהו - 2 כר'")</f>
        <v>אגודת אליהו - 2 כר'</v>
      </c>
    </row>
    <row r="468" spans="1:6" x14ac:dyDescent="0.2">
      <c r="A468" t="s">
        <v>1196</v>
      </c>
      <c r="B468" t="s">
        <v>1197</v>
      </c>
      <c r="C468" t="s">
        <v>482</v>
      </c>
      <c r="D468" t="s">
        <v>412</v>
      </c>
      <c r="F468" s="2" t="str">
        <f>HYPERLINK("http://www.otzar.org/book.asp?628742","אגודת ישראל קאנווענשאן בוך (31)")</f>
        <v>אגודת ישראל קאנווענשאן בוך (31)</v>
      </c>
    </row>
    <row r="469" spans="1:6" x14ac:dyDescent="0.2">
      <c r="A469" t="s">
        <v>1198</v>
      </c>
      <c r="B469" t="s">
        <v>1199</v>
      </c>
      <c r="C469" t="s">
        <v>23</v>
      </c>
      <c r="D469" t="s">
        <v>1156</v>
      </c>
      <c r="E469" t="s">
        <v>130</v>
      </c>
      <c r="F469" s="2" t="str">
        <f>HYPERLINK("http://www.otzar.org/book.asp?600155","אגודת ישראל - 2 כר'")</f>
        <v>אגודת ישראל - 2 כר'</v>
      </c>
    </row>
    <row r="470" spans="1:6" x14ac:dyDescent="0.2">
      <c r="A470" t="s">
        <v>1200</v>
      </c>
      <c r="B470" t="s">
        <v>1201</v>
      </c>
      <c r="C470" t="s">
        <v>1202</v>
      </c>
      <c r="D470" t="s">
        <v>225</v>
      </c>
      <c r="E470" t="s">
        <v>786</v>
      </c>
      <c r="F470" s="2" t="str">
        <f>HYPERLINK("http://www.otzar.org/book.asp?300143","אגודת ישראל - א (מטעמי ברוך)")</f>
        <v>אגודת ישראל - א (מטעמי ברוך)</v>
      </c>
    </row>
    <row r="471" spans="1:6" x14ac:dyDescent="0.2">
      <c r="A471" t="s">
        <v>1203</v>
      </c>
      <c r="B471" t="s">
        <v>1204</v>
      </c>
      <c r="C471" t="s">
        <v>585</v>
      </c>
      <c r="D471" t="s">
        <v>1205</v>
      </c>
      <c r="E471" t="s">
        <v>241</v>
      </c>
      <c r="F471" s="2" t="str">
        <f>HYPERLINK("http://www.otzar.org/book.asp?180553","אגודת מאמרים - 2 כר'")</f>
        <v>אגודת מאמרים - 2 כר'</v>
      </c>
    </row>
    <row r="472" spans="1:6" x14ac:dyDescent="0.2">
      <c r="A472" t="s">
        <v>1206</v>
      </c>
      <c r="B472" t="s">
        <v>1207</v>
      </c>
      <c r="C472" t="s">
        <v>1208</v>
      </c>
      <c r="D472" t="s">
        <v>14</v>
      </c>
      <c r="E472" t="s">
        <v>144</v>
      </c>
      <c r="F472" s="2" t="str">
        <f>HYPERLINK("http://www.otzar.org/book.asp?189425","אגודת מפרשים - יבמות")</f>
        <v>אגודת מפרשים - יבמות</v>
      </c>
    </row>
    <row r="473" spans="1:6" x14ac:dyDescent="0.2">
      <c r="A473" t="s">
        <v>1209</v>
      </c>
      <c r="B473" t="s">
        <v>1210</v>
      </c>
      <c r="C473" t="s">
        <v>429</v>
      </c>
      <c r="D473" t="s">
        <v>1008</v>
      </c>
      <c r="E473" t="s">
        <v>1211</v>
      </c>
      <c r="F473" s="2" t="str">
        <f>HYPERLINK("http://www.otzar.org/book.asp?104547","אגור")</f>
        <v>אגור</v>
      </c>
    </row>
    <row r="474" spans="1:6" x14ac:dyDescent="0.2">
      <c r="A474" t="s">
        <v>1212</v>
      </c>
      <c r="B474" t="s">
        <v>1213</v>
      </c>
      <c r="C474" t="s">
        <v>13</v>
      </c>
      <c r="D474" t="s">
        <v>1214</v>
      </c>
      <c r="E474" t="s">
        <v>1215</v>
      </c>
      <c r="F474" s="2" t="str">
        <f>HYPERLINK("http://www.otzar.org/book.asp?160282","אגורה באהלך עולמים - 4 כר'")</f>
        <v>אגורה באהלך עולמים - 4 כר'</v>
      </c>
    </row>
    <row r="475" spans="1:6" x14ac:dyDescent="0.2">
      <c r="A475" t="s">
        <v>1216</v>
      </c>
      <c r="B475" t="s">
        <v>1217</v>
      </c>
      <c r="C475" t="s">
        <v>151</v>
      </c>
      <c r="D475" t="s">
        <v>52</v>
      </c>
      <c r="E475" t="s">
        <v>15</v>
      </c>
      <c r="F475" s="2" t="str">
        <f>HYPERLINK("http://www.otzar.org/book.asp?613932","אגורה באהלך")</f>
        <v>אגורה באהלך</v>
      </c>
    </row>
    <row r="476" spans="1:6" x14ac:dyDescent="0.2">
      <c r="A476" t="s">
        <v>1216</v>
      </c>
      <c r="B476" t="s">
        <v>1218</v>
      </c>
      <c r="C476" t="s">
        <v>1219</v>
      </c>
      <c r="D476" t="s">
        <v>76</v>
      </c>
      <c r="E476" t="s">
        <v>154</v>
      </c>
      <c r="F476" s="2" t="str">
        <f>HYPERLINK("http://www.otzar.org/book.asp?17103","אגורה באהלך")</f>
        <v>אגורה באהלך</v>
      </c>
    </row>
    <row r="477" spans="1:6" x14ac:dyDescent="0.2">
      <c r="A477" t="s">
        <v>1220</v>
      </c>
      <c r="B477" t="s">
        <v>365</v>
      </c>
      <c r="C477" t="s">
        <v>244</v>
      </c>
      <c r="D477" t="s">
        <v>367</v>
      </c>
      <c r="E477" t="s">
        <v>144</v>
      </c>
      <c r="F477" s="2" t="str">
        <f>HYPERLINK("http://www.otzar.org/book.asp?601320","אגלאי מילתא - 6 כר'")</f>
        <v>אגלאי מילתא - 6 כר'</v>
      </c>
    </row>
    <row r="478" spans="1:6" x14ac:dyDescent="0.2">
      <c r="A478" t="s">
        <v>1221</v>
      </c>
      <c r="B478" t="s">
        <v>1222</v>
      </c>
      <c r="C478" t="s">
        <v>111</v>
      </c>
      <c r="D478" t="s">
        <v>90</v>
      </c>
      <c r="E478" t="s">
        <v>144</v>
      </c>
      <c r="F478" s="2" t="str">
        <f>HYPERLINK("http://www.otzar.org/book.asp?631569","אגלי בכרה")</f>
        <v>אגלי בכרה</v>
      </c>
    </row>
    <row r="479" spans="1:6" x14ac:dyDescent="0.2">
      <c r="A479" t="s">
        <v>1223</v>
      </c>
      <c r="B479" t="s">
        <v>1224</v>
      </c>
      <c r="C479" t="s">
        <v>422</v>
      </c>
      <c r="D479" t="s">
        <v>412</v>
      </c>
      <c r="E479" t="s">
        <v>154</v>
      </c>
      <c r="F479" s="2" t="str">
        <f>HYPERLINK("http://www.otzar.org/book.asp?179248","אגלי דבש - א")</f>
        <v>אגלי דבש - א</v>
      </c>
    </row>
    <row r="480" spans="1:6" x14ac:dyDescent="0.2">
      <c r="A480" t="s">
        <v>1225</v>
      </c>
      <c r="B480" t="s">
        <v>776</v>
      </c>
      <c r="C480" t="s">
        <v>433</v>
      </c>
      <c r="D480" t="s">
        <v>14</v>
      </c>
      <c r="E480" t="s">
        <v>104</v>
      </c>
      <c r="F480" s="2" t="str">
        <f>HYPERLINK("http://www.otzar.org/book.asp?146787","אגלי חן")</f>
        <v>אגלי חן</v>
      </c>
    </row>
    <row r="481" spans="1:6" x14ac:dyDescent="0.2">
      <c r="A481" t="s">
        <v>1226</v>
      </c>
      <c r="B481" t="s">
        <v>861</v>
      </c>
      <c r="C481" t="s">
        <v>176</v>
      </c>
      <c r="D481" t="s">
        <v>52</v>
      </c>
      <c r="F481" s="2" t="str">
        <f>HYPERLINK("http://www.otzar.org/book.asp?194778","אגלי טל &lt;מהדורה חדשה&gt;")</f>
        <v>אגלי טל &lt;מהדורה חדשה&gt;</v>
      </c>
    </row>
    <row r="482" spans="1:6" x14ac:dyDescent="0.2">
      <c r="A482" t="s">
        <v>1227</v>
      </c>
      <c r="B482" t="s">
        <v>861</v>
      </c>
      <c r="C482" t="s">
        <v>1228</v>
      </c>
      <c r="D482" t="s">
        <v>225</v>
      </c>
      <c r="E482" t="s">
        <v>803</v>
      </c>
      <c r="F482" s="2" t="str">
        <f>HYPERLINK("http://www.otzar.org/book.asp?157965","אגלי טל")</f>
        <v>אגלי טל</v>
      </c>
    </row>
    <row r="483" spans="1:6" x14ac:dyDescent="0.2">
      <c r="A483" t="s">
        <v>1229</v>
      </c>
      <c r="B483" t="s">
        <v>1230</v>
      </c>
      <c r="C483" t="s">
        <v>1231</v>
      </c>
      <c r="D483" t="s">
        <v>283</v>
      </c>
      <c r="E483" t="s">
        <v>241</v>
      </c>
      <c r="F483" s="2" t="str">
        <f>HYPERLINK("http://www.otzar.org/book.asp?5723","אגלי טל - 2 כר'")</f>
        <v>אגלי טל - 2 כר'</v>
      </c>
    </row>
    <row r="484" spans="1:6" x14ac:dyDescent="0.2">
      <c r="A484" t="s">
        <v>1232</v>
      </c>
      <c r="B484" t="s">
        <v>552</v>
      </c>
      <c r="C484" t="s">
        <v>523</v>
      </c>
      <c r="D484" t="s">
        <v>14</v>
      </c>
      <c r="E484" t="s">
        <v>202</v>
      </c>
      <c r="F484" s="2" t="str">
        <f>HYPERLINK("http://www.otzar.org/book.asp?85658","אגלי נוחם")</f>
        <v>אגלי נוחם</v>
      </c>
    </row>
    <row r="485" spans="1:6" x14ac:dyDescent="0.2">
      <c r="A485" t="s">
        <v>1233</v>
      </c>
      <c r="B485" t="s">
        <v>1234</v>
      </c>
      <c r="C485" t="s">
        <v>176</v>
      </c>
      <c r="D485" t="s">
        <v>412</v>
      </c>
      <c r="E485" t="s">
        <v>1235</v>
      </c>
      <c r="F485" s="2" t="str">
        <f>HYPERLINK("http://www.otzar.org/book.asp?174388","אגם מים &lt;מהדורה שניה&gt;")</f>
        <v>אגם מים &lt;מהדורה שניה&gt;</v>
      </c>
    </row>
    <row r="486" spans="1:6" x14ac:dyDescent="0.2">
      <c r="A486" t="s">
        <v>1236</v>
      </c>
      <c r="B486" t="s">
        <v>1234</v>
      </c>
      <c r="C486" t="s">
        <v>106</v>
      </c>
      <c r="D486" t="s">
        <v>412</v>
      </c>
      <c r="E486" t="s">
        <v>1237</v>
      </c>
      <c r="F486" s="2" t="str">
        <f>HYPERLINK("http://www.otzar.org/book.asp?10679","אגם מים")</f>
        <v>אגם מים</v>
      </c>
    </row>
    <row r="487" spans="1:6" x14ac:dyDescent="0.2">
      <c r="A487" t="s">
        <v>1236</v>
      </c>
      <c r="B487" t="s">
        <v>1238</v>
      </c>
      <c r="C487" t="s">
        <v>492</v>
      </c>
      <c r="D487" t="s">
        <v>1239</v>
      </c>
      <c r="E487" t="s">
        <v>202</v>
      </c>
      <c r="F487" s="2" t="str">
        <f>HYPERLINK("http://www.otzar.org/book.asp?141176","אגם מים")</f>
        <v>אגם מים</v>
      </c>
    </row>
    <row r="488" spans="1:6" x14ac:dyDescent="0.2">
      <c r="A488" t="s">
        <v>1240</v>
      </c>
      <c r="B488" t="s">
        <v>1241</v>
      </c>
      <c r="C488" t="s">
        <v>133</v>
      </c>
      <c r="D488" t="s">
        <v>52</v>
      </c>
      <c r="E488" t="s">
        <v>714</v>
      </c>
      <c r="F488" s="2" t="str">
        <f>HYPERLINK("http://www.otzar.org/book.asp?171161","אגן הסהר &lt;אודות הגר""א גנחובסקי&gt; - 2 כר'")</f>
        <v>אגן הסהר &lt;אודות הגר"א גנחובסקי&gt; - 2 כר'</v>
      </c>
    </row>
    <row r="489" spans="1:6" x14ac:dyDescent="0.2">
      <c r="A489" t="s">
        <v>1242</v>
      </c>
      <c r="B489" t="s">
        <v>1243</v>
      </c>
      <c r="C489" t="s">
        <v>1244</v>
      </c>
      <c r="D489" t="s">
        <v>76</v>
      </c>
      <c r="E489" t="s">
        <v>158</v>
      </c>
      <c r="F489" s="2" t="str">
        <f>HYPERLINK("http://www.otzar.org/book.asp?102550","אגן הסהר")</f>
        <v>אגן הסהר</v>
      </c>
    </row>
    <row r="490" spans="1:6" x14ac:dyDescent="0.2">
      <c r="A490" t="s">
        <v>1242</v>
      </c>
      <c r="B490" t="s">
        <v>1245</v>
      </c>
      <c r="C490" t="s">
        <v>1246</v>
      </c>
      <c r="D490" t="s">
        <v>986</v>
      </c>
      <c r="E490" t="s">
        <v>104</v>
      </c>
      <c r="F490" s="2" t="str">
        <f>HYPERLINK("http://www.otzar.org/book.asp?159248","אגן הסהר")</f>
        <v>אגן הסהר</v>
      </c>
    </row>
    <row r="491" spans="1:6" x14ac:dyDescent="0.2">
      <c r="A491" t="s">
        <v>1247</v>
      </c>
      <c r="B491" t="s">
        <v>1248</v>
      </c>
      <c r="C491" t="s">
        <v>454</v>
      </c>
      <c r="D491" t="s">
        <v>52</v>
      </c>
      <c r="E491" t="s">
        <v>15</v>
      </c>
      <c r="F491" s="2" t="str">
        <f>HYPERLINK("http://www.otzar.org/book.asp?142142","אגר נטר")</f>
        <v>אגר נטר</v>
      </c>
    </row>
    <row r="492" spans="1:6" x14ac:dyDescent="0.2">
      <c r="A492" t="s">
        <v>1249</v>
      </c>
      <c r="B492" t="s">
        <v>1250</v>
      </c>
      <c r="C492" t="s">
        <v>129</v>
      </c>
      <c r="D492" t="s">
        <v>90</v>
      </c>
      <c r="E492" t="s">
        <v>741</v>
      </c>
      <c r="F492" s="2" t="str">
        <f>HYPERLINK("http://www.otzar.org/book.asp?183032","אגרא דב""י הילולי")</f>
        <v>אגרא דב"י הילולי</v>
      </c>
    </row>
    <row r="493" spans="1:6" x14ac:dyDescent="0.2">
      <c r="A493" t="s">
        <v>1251</v>
      </c>
      <c r="B493" t="s">
        <v>1252</v>
      </c>
      <c r="C493" t="s">
        <v>244</v>
      </c>
      <c r="D493" t="s">
        <v>52</v>
      </c>
      <c r="E493" t="s">
        <v>234</v>
      </c>
      <c r="F493" s="2" t="str">
        <f>HYPERLINK("http://www.otzar.org/book.asp?613959","אגרא דבי הילולי")</f>
        <v>אגרא דבי הילולי</v>
      </c>
    </row>
    <row r="494" spans="1:6" x14ac:dyDescent="0.2">
      <c r="A494" t="s">
        <v>1251</v>
      </c>
      <c r="B494" t="s">
        <v>1253</v>
      </c>
      <c r="C494" t="s">
        <v>466</v>
      </c>
      <c r="D494" t="s">
        <v>486</v>
      </c>
      <c r="E494" t="s">
        <v>234</v>
      </c>
      <c r="F494" s="2" t="str">
        <f>HYPERLINK("http://www.otzar.org/book.asp?53243","אגרא דבי הילולי")</f>
        <v>אגרא דבי הילולי</v>
      </c>
    </row>
    <row r="495" spans="1:6" x14ac:dyDescent="0.2">
      <c r="A495" t="s">
        <v>1254</v>
      </c>
      <c r="B495" t="s">
        <v>1255</v>
      </c>
      <c r="C495" t="s">
        <v>360</v>
      </c>
      <c r="D495" t="s">
        <v>225</v>
      </c>
      <c r="E495" t="s">
        <v>1256</v>
      </c>
      <c r="F495" s="2" t="str">
        <f>HYPERLINK("http://www.otzar.org/book.asp?103058","אגרא דבי הלולי")</f>
        <v>אגרא דבי הלולי</v>
      </c>
    </row>
    <row r="496" spans="1:6" x14ac:dyDescent="0.2">
      <c r="A496" t="s">
        <v>1254</v>
      </c>
      <c r="B496" t="s">
        <v>1257</v>
      </c>
      <c r="C496" t="s">
        <v>20</v>
      </c>
      <c r="D496" t="s">
        <v>90</v>
      </c>
      <c r="F496" s="2" t="str">
        <f>HYPERLINK("http://www.otzar.org/book.asp?609620","אגרא דבי הלולי")</f>
        <v>אגרא דבי הלולי</v>
      </c>
    </row>
    <row r="497" spans="1:6" x14ac:dyDescent="0.2">
      <c r="A497" t="s">
        <v>1258</v>
      </c>
      <c r="B497" t="s">
        <v>1259</v>
      </c>
      <c r="C497" t="s">
        <v>411</v>
      </c>
      <c r="D497" t="s">
        <v>52</v>
      </c>
      <c r="E497" t="s">
        <v>234</v>
      </c>
      <c r="F497" s="2" t="str">
        <f>HYPERLINK("http://www.otzar.org/book.asp?165565","אגרא דהספדא")</f>
        <v>אגרא דהספדא</v>
      </c>
    </row>
    <row r="498" spans="1:6" x14ac:dyDescent="0.2">
      <c r="A498" t="s">
        <v>1260</v>
      </c>
      <c r="B498" t="s">
        <v>1261</v>
      </c>
      <c r="C498" t="s">
        <v>896</v>
      </c>
      <c r="D498" t="s">
        <v>379</v>
      </c>
      <c r="E498" t="s">
        <v>1262</v>
      </c>
      <c r="F498" s="2" t="str">
        <f>HYPERLINK("http://www.otzar.org/book.asp?300135","אגרא דהספידא")</f>
        <v>אגרא דהספידא</v>
      </c>
    </row>
    <row r="499" spans="1:6" x14ac:dyDescent="0.2">
      <c r="A499" t="s">
        <v>1263</v>
      </c>
      <c r="B499" t="s">
        <v>1264</v>
      </c>
      <c r="C499" t="s">
        <v>146</v>
      </c>
      <c r="D499" t="s">
        <v>52</v>
      </c>
      <c r="E499" t="s">
        <v>1185</v>
      </c>
      <c r="F499" s="2" t="str">
        <f>HYPERLINK("http://www.otzar.org/book.asp?50538","אגרא דכלה על התורה &lt;הצבי והצדק&gt; - 3 כר'")</f>
        <v>אגרא דכלה על התורה &lt;הצבי והצדק&gt; - 3 כר'</v>
      </c>
    </row>
    <row r="500" spans="1:6" x14ac:dyDescent="0.2">
      <c r="A500" t="s">
        <v>1265</v>
      </c>
      <c r="B500" t="s">
        <v>1264</v>
      </c>
      <c r="C500" t="s">
        <v>422</v>
      </c>
      <c r="D500" t="s">
        <v>52</v>
      </c>
      <c r="E500" t="s">
        <v>158</v>
      </c>
      <c r="F500" s="2" t="str">
        <f>HYPERLINK("http://www.otzar.org/book.asp?188972","אגרא דכלה על התורה &lt;ערוך מחדש ע""פ כת""י&gt; - 2 כר'")</f>
        <v>אגרא דכלה על התורה &lt;ערוך מחדש ע"פ כת"י&gt; - 2 כר'</v>
      </c>
    </row>
    <row r="501" spans="1:6" x14ac:dyDescent="0.2">
      <c r="A501" t="s">
        <v>1266</v>
      </c>
      <c r="B501" t="s">
        <v>1267</v>
      </c>
      <c r="C501" t="s">
        <v>1268</v>
      </c>
      <c r="D501" t="s">
        <v>646</v>
      </c>
      <c r="E501" t="s">
        <v>104</v>
      </c>
      <c r="F501" s="2" t="str">
        <f>HYPERLINK("http://www.otzar.org/book.asp?158205","אגרא דכלה")</f>
        <v>אגרא דכלה</v>
      </c>
    </row>
    <row r="502" spans="1:6" x14ac:dyDescent="0.2">
      <c r="A502" t="s">
        <v>1266</v>
      </c>
      <c r="B502" t="s">
        <v>1264</v>
      </c>
      <c r="C502" t="s">
        <v>1269</v>
      </c>
      <c r="D502" t="s">
        <v>855</v>
      </c>
      <c r="E502" t="s">
        <v>1270</v>
      </c>
      <c r="F502" s="2" t="str">
        <f>HYPERLINK("http://www.otzar.org/book.asp?15797","אגרא דכלה")</f>
        <v>אגרא דכלה</v>
      </c>
    </row>
    <row r="503" spans="1:6" x14ac:dyDescent="0.2">
      <c r="A503" t="s">
        <v>1271</v>
      </c>
      <c r="B503" t="s">
        <v>1272</v>
      </c>
      <c r="C503" t="s">
        <v>366</v>
      </c>
      <c r="D503" t="s">
        <v>1273</v>
      </c>
      <c r="E503" t="s">
        <v>144</v>
      </c>
      <c r="F503" s="2" t="str">
        <f>HYPERLINK("http://www.otzar.org/book.asp?605284","אגרא דנטירותא - רבית איזהו נשך")</f>
        <v>אגרא דנטירותא - רבית איזהו נשך</v>
      </c>
    </row>
    <row r="504" spans="1:6" x14ac:dyDescent="0.2">
      <c r="A504" t="s">
        <v>1274</v>
      </c>
      <c r="B504" t="s">
        <v>1275</v>
      </c>
      <c r="C504" t="s">
        <v>366</v>
      </c>
      <c r="D504" t="s">
        <v>90</v>
      </c>
      <c r="E504" t="s">
        <v>104</v>
      </c>
      <c r="F504" s="2" t="str">
        <f>HYPERLINK("http://www.otzar.org/book.asp?608908","אגרא דפירקא - סוכות")</f>
        <v>אגרא דפירקא - סוכות</v>
      </c>
    </row>
    <row r="505" spans="1:6" x14ac:dyDescent="0.2">
      <c r="A505" t="s">
        <v>1276</v>
      </c>
      <c r="B505" t="s">
        <v>1264</v>
      </c>
      <c r="C505" t="s">
        <v>419</v>
      </c>
      <c r="D505" t="s">
        <v>412</v>
      </c>
      <c r="E505" t="s">
        <v>1185</v>
      </c>
      <c r="F505" s="2" t="str">
        <f>HYPERLINK("http://www.otzar.org/book.asp?172667","אגרא דפרקא &lt;אגרא דצבי&gt; - 2 כר'")</f>
        <v>אגרא דפרקא &lt;אגרא דצבי&gt; - 2 כר'</v>
      </c>
    </row>
    <row r="506" spans="1:6" x14ac:dyDescent="0.2">
      <c r="A506" t="s">
        <v>1277</v>
      </c>
      <c r="B506" t="s">
        <v>1264</v>
      </c>
      <c r="C506" t="s">
        <v>1278</v>
      </c>
      <c r="D506" t="s">
        <v>1279</v>
      </c>
      <c r="F506" s="2" t="str">
        <f>HYPERLINK("http://www.otzar.org/book.asp?170181","אגרא דפרקא - 3 כר'")</f>
        <v>אגרא דפרקא - 3 כר'</v>
      </c>
    </row>
    <row r="507" spans="1:6" x14ac:dyDescent="0.2">
      <c r="A507" t="s">
        <v>1280</v>
      </c>
      <c r="B507" t="s">
        <v>1281</v>
      </c>
      <c r="C507" t="s">
        <v>13</v>
      </c>
      <c r="D507" t="s">
        <v>14</v>
      </c>
      <c r="E507" t="s">
        <v>144</v>
      </c>
      <c r="F507" s="2" t="str">
        <f>HYPERLINK("http://www.otzar.org/book.asp?180191","אגרא דשמעתא - 4 כר'")</f>
        <v>אגרא דשמעתא - 4 כר'</v>
      </c>
    </row>
    <row r="508" spans="1:6" x14ac:dyDescent="0.2">
      <c r="A508" t="s">
        <v>1282</v>
      </c>
      <c r="B508" t="s">
        <v>1283</v>
      </c>
      <c r="C508" t="s">
        <v>1284</v>
      </c>
      <c r="D508" t="s">
        <v>379</v>
      </c>
      <c r="E508" t="s">
        <v>172</v>
      </c>
      <c r="F508" s="2" t="str">
        <f>HYPERLINK("http://www.otzar.org/book.asp?103975","אגרא דשמעתתא")</f>
        <v>אגרא דשמעתתא</v>
      </c>
    </row>
    <row r="509" spans="1:6" x14ac:dyDescent="0.2">
      <c r="A509" t="s">
        <v>1285</v>
      </c>
      <c r="B509" t="s">
        <v>1286</v>
      </c>
      <c r="C509" t="s">
        <v>114</v>
      </c>
      <c r="D509" t="s">
        <v>412</v>
      </c>
      <c r="E509" t="s">
        <v>144</v>
      </c>
      <c r="F509" s="2" t="str">
        <f>HYPERLINK("http://www.otzar.org/book.asp?159937","אגרא דתעניתא")</f>
        <v>אגרא דתעניתא</v>
      </c>
    </row>
    <row r="510" spans="1:6" x14ac:dyDescent="0.2">
      <c r="A510" t="s">
        <v>1287</v>
      </c>
      <c r="B510" t="s">
        <v>1245</v>
      </c>
      <c r="C510" t="s">
        <v>20</v>
      </c>
      <c r="D510" t="s">
        <v>14</v>
      </c>
      <c r="E510" t="s">
        <v>803</v>
      </c>
      <c r="F510" s="2" t="str">
        <f>HYPERLINK("http://www.otzar.org/book.asp?160472","אגרא לישרים")</f>
        <v>אגרא לישרים</v>
      </c>
    </row>
    <row r="511" spans="1:6" x14ac:dyDescent="0.2">
      <c r="A511" t="s">
        <v>1288</v>
      </c>
      <c r="B511" t="s">
        <v>1289</v>
      </c>
      <c r="C511" t="s">
        <v>940</v>
      </c>
      <c r="D511" t="s">
        <v>14</v>
      </c>
      <c r="E511" t="s">
        <v>104</v>
      </c>
      <c r="F511" s="2" t="str">
        <f>HYPERLINK("http://www.otzar.org/book.asp?614701","אגרונו של יוסף הכהן בעל עמק הבכא")</f>
        <v>אגרונו של יוסף הכהן בעל עמק הבכא</v>
      </c>
    </row>
    <row r="512" spans="1:6" x14ac:dyDescent="0.2">
      <c r="A512" t="s">
        <v>1290</v>
      </c>
      <c r="B512" t="s">
        <v>1291</v>
      </c>
      <c r="C512" t="s">
        <v>466</v>
      </c>
      <c r="D512" t="s">
        <v>14</v>
      </c>
      <c r="E512" t="s">
        <v>104</v>
      </c>
      <c r="F512" s="2" t="str">
        <f>HYPERLINK("http://www.otzar.org/book.asp?177197","אגרות בית אפרים")</f>
        <v>אגרות בית אפרים</v>
      </c>
    </row>
    <row r="513" spans="1:6" x14ac:dyDescent="0.2">
      <c r="A513" t="s">
        <v>1292</v>
      </c>
      <c r="B513" t="s">
        <v>1293</v>
      </c>
      <c r="C513" t="s">
        <v>23</v>
      </c>
      <c r="D513" t="s">
        <v>52</v>
      </c>
      <c r="E513" t="s">
        <v>588</v>
      </c>
      <c r="F513" s="2" t="str">
        <f>HYPERLINK("http://www.otzar.org/book.asp?182418","אגרות בנין של שמחה")</f>
        <v>אגרות בנין של שמחה</v>
      </c>
    </row>
    <row r="514" spans="1:6" x14ac:dyDescent="0.2">
      <c r="A514" t="s">
        <v>1294</v>
      </c>
      <c r="B514" t="s">
        <v>1295</v>
      </c>
      <c r="C514" t="s">
        <v>624</v>
      </c>
      <c r="D514" t="s">
        <v>14</v>
      </c>
      <c r="E514" t="s">
        <v>1296</v>
      </c>
      <c r="F514" s="2" t="str">
        <f>HYPERLINK("http://www.otzar.org/book.asp?148916","אגרות דברי אמונה")</f>
        <v>אגרות דברי אמונה</v>
      </c>
    </row>
    <row r="515" spans="1:6" x14ac:dyDescent="0.2">
      <c r="A515" t="s">
        <v>1297</v>
      </c>
      <c r="B515" t="s">
        <v>1298</v>
      </c>
      <c r="C515" t="s">
        <v>313</v>
      </c>
      <c r="D515" t="s">
        <v>21</v>
      </c>
      <c r="E515" t="s">
        <v>104</v>
      </c>
      <c r="F515" s="2" t="str">
        <f>HYPERLINK("http://www.otzar.org/book.asp?605853","אגרות האוהב ישראל")</f>
        <v>אגרות האוהב ישראל</v>
      </c>
    </row>
    <row r="516" spans="1:6" x14ac:dyDescent="0.2">
      <c r="A516" t="s">
        <v>1299</v>
      </c>
      <c r="B516" t="s">
        <v>1300</v>
      </c>
      <c r="C516" t="s">
        <v>189</v>
      </c>
      <c r="D516" t="s">
        <v>1301</v>
      </c>
      <c r="E516" t="s">
        <v>213</v>
      </c>
      <c r="F516" s="2" t="str">
        <f>HYPERLINK("http://www.otzar.org/book.asp?148177","אגרות המוסר &lt;בואו חשבון&gt;")</f>
        <v>אגרות המוסר &lt;בואו חשבון&gt;</v>
      </c>
    </row>
    <row r="517" spans="1:6" x14ac:dyDescent="0.2">
      <c r="A517" t="s">
        <v>1302</v>
      </c>
      <c r="B517" t="s">
        <v>1303</v>
      </c>
      <c r="C517" t="s">
        <v>454</v>
      </c>
      <c r="D517" t="s">
        <v>52</v>
      </c>
      <c r="E517" t="s">
        <v>104</v>
      </c>
      <c r="F517" s="2" t="str">
        <f>HYPERLINK("http://www.otzar.org/book.asp?198605","אגרות הנצי""ב מוולאזין - א")</f>
        <v>אגרות הנצי"ב מוולאזין - א</v>
      </c>
    </row>
    <row r="518" spans="1:6" x14ac:dyDescent="0.2">
      <c r="A518" t="s">
        <v>1304</v>
      </c>
      <c r="B518" t="s">
        <v>513</v>
      </c>
      <c r="C518" t="s">
        <v>37</v>
      </c>
      <c r="D518" t="s">
        <v>52</v>
      </c>
      <c r="E518" t="s">
        <v>104</v>
      </c>
      <c r="F518" s="2" t="str">
        <f>HYPERLINK("http://www.otzar.org/book.asp?190695","אגרות הסולם")</f>
        <v>אגרות הסולם</v>
      </c>
    </row>
    <row r="519" spans="1:6" x14ac:dyDescent="0.2">
      <c r="A519" t="s">
        <v>1305</v>
      </c>
      <c r="B519" t="s">
        <v>1306</v>
      </c>
      <c r="C519" t="s">
        <v>1169</v>
      </c>
      <c r="D519" t="s">
        <v>27</v>
      </c>
      <c r="E519" t="s">
        <v>674</v>
      </c>
      <c r="F519" s="2" t="str">
        <f>HYPERLINK("http://www.otzar.org/book.asp?25863","אגרות הראי""ז")</f>
        <v>אגרות הראי"ז</v>
      </c>
    </row>
    <row r="520" spans="1:6" x14ac:dyDescent="0.2">
      <c r="A520" t="s">
        <v>1307</v>
      </c>
      <c r="B520" t="s">
        <v>1308</v>
      </c>
      <c r="C520" t="s">
        <v>133</v>
      </c>
      <c r="D520" t="s">
        <v>52</v>
      </c>
      <c r="E520" t="s">
        <v>104</v>
      </c>
      <c r="F520" s="2" t="str">
        <f>HYPERLINK("http://www.otzar.org/book.asp?176570","אגרות הרב חיד""א &lt;מהדורת ועקנין&gt;")</f>
        <v>אגרות הרב חיד"א &lt;מהדורת ועקנין&gt;</v>
      </c>
    </row>
    <row r="521" spans="1:6" x14ac:dyDescent="0.2">
      <c r="A521" t="s">
        <v>1309</v>
      </c>
      <c r="B521" t="s">
        <v>1308</v>
      </c>
      <c r="C521" t="s">
        <v>1310</v>
      </c>
      <c r="D521" t="s">
        <v>212</v>
      </c>
      <c r="E521" t="s">
        <v>104</v>
      </c>
      <c r="F521" s="2" t="str">
        <f>HYPERLINK("http://www.otzar.org/book.asp?23308","אגרות הרב חיד""א")</f>
        <v>אגרות הרב חיד"א</v>
      </c>
    </row>
    <row r="522" spans="1:6" x14ac:dyDescent="0.2">
      <c r="A522" t="s">
        <v>1311</v>
      </c>
      <c r="B522" t="s">
        <v>1312</v>
      </c>
      <c r="C522" t="s">
        <v>454</v>
      </c>
      <c r="D522" t="s">
        <v>14</v>
      </c>
      <c r="F522" s="2" t="str">
        <f>HYPERLINK("http://www.otzar.org/book.asp?163713","אגרות הרה""ק מרוזין ובניו - 3 כר'")</f>
        <v>אגרות הרה"ק מרוזין ובניו - 3 כר'</v>
      </c>
    </row>
    <row r="523" spans="1:6" x14ac:dyDescent="0.2">
      <c r="A523" t="s">
        <v>1313</v>
      </c>
      <c r="B523" t="s">
        <v>1314</v>
      </c>
      <c r="C523" t="s">
        <v>466</v>
      </c>
      <c r="D523" t="s">
        <v>14</v>
      </c>
      <c r="E523" t="s">
        <v>733</v>
      </c>
      <c r="F523" s="2" t="str">
        <f>HYPERLINK("http://www.otzar.org/book.asp?63412","אגרות הרמ""ז &lt;אלף אלפין - מהדורת החיים והשלום&gt;")</f>
        <v>אגרות הרמ"ז &lt;אלף אלפין - מהדורת החיים והשלום&gt;</v>
      </c>
    </row>
    <row r="524" spans="1:6" x14ac:dyDescent="0.2">
      <c r="A524" t="s">
        <v>1315</v>
      </c>
      <c r="B524" t="s">
        <v>1314</v>
      </c>
      <c r="C524" t="s">
        <v>427</v>
      </c>
      <c r="D524" t="s">
        <v>14</v>
      </c>
      <c r="E524" t="s">
        <v>104</v>
      </c>
      <c r="F524" s="2" t="str">
        <f>HYPERLINK("http://www.otzar.org/book.asp?613765","אגרות הרמ""ז &lt;עם קובץ מכתבים מצדיקי מונקאטש&gt;")</f>
        <v>אגרות הרמ"ז &lt;עם קובץ מכתבים מצדיקי מונקאטש&gt;</v>
      </c>
    </row>
    <row r="525" spans="1:6" x14ac:dyDescent="0.2">
      <c r="A525" t="s">
        <v>1316</v>
      </c>
      <c r="B525" t="s">
        <v>1314</v>
      </c>
      <c r="C525" t="s">
        <v>1317</v>
      </c>
      <c r="D525" t="s">
        <v>212</v>
      </c>
      <c r="E525" t="s">
        <v>1318</v>
      </c>
      <c r="F525" s="2" t="str">
        <f>HYPERLINK("http://www.otzar.org/book.asp?15872","אגרות הרמ""ז")</f>
        <v>אגרות הרמ"ז</v>
      </c>
    </row>
    <row r="526" spans="1:6" x14ac:dyDescent="0.2">
      <c r="A526" t="s">
        <v>1319</v>
      </c>
      <c r="B526" t="s">
        <v>1320</v>
      </c>
      <c r="C526" t="s">
        <v>176</v>
      </c>
      <c r="D526" t="s">
        <v>21</v>
      </c>
      <c r="E526" t="s">
        <v>15</v>
      </c>
      <c r="F526" s="2" t="str">
        <f>HYPERLINK("http://www.otzar.org/book.asp?186105","אגרות הרמב""ם &lt;מהדורת שילת&gt;")</f>
        <v>אגרות הרמב"ם &lt;מהדורת שילת&gt;</v>
      </c>
    </row>
    <row r="527" spans="1:6" x14ac:dyDescent="0.2">
      <c r="A527" t="s">
        <v>1321</v>
      </c>
      <c r="B527" t="s">
        <v>1320</v>
      </c>
      <c r="C527" t="s">
        <v>985</v>
      </c>
      <c r="D527" t="s">
        <v>21</v>
      </c>
      <c r="E527" t="s">
        <v>15</v>
      </c>
      <c r="F527" s="2" t="str">
        <f>HYPERLINK("http://www.otzar.org/book.asp?199505","אגרות הרמב""ם &lt;מקיצי נרדמים&gt;")</f>
        <v>אגרות הרמב"ם &lt;מקיצי נרדמים&gt;</v>
      </c>
    </row>
    <row r="528" spans="1:6" x14ac:dyDescent="0.2">
      <c r="A528" t="s">
        <v>1322</v>
      </c>
      <c r="B528" t="s">
        <v>1320</v>
      </c>
      <c r="C528" t="s">
        <v>1323</v>
      </c>
      <c r="D528" t="s">
        <v>1324</v>
      </c>
      <c r="E528" t="s">
        <v>15</v>
      </c>
      <c r="F528" s="2" t="str">
        <f>HYPERLINK("http://www.otzar.org/book.asp?199495","אגרות הרמב""ם")</f>
        <v>אגרות הרמב"ם</v>
      </c>
    </row>
    <row r="529" spans="1:6" x14ac:dyDescent="0.2">
      <c r="A529" t="s">
        <v>1325</v>
      </c>
      <c r="B529" t="s">
        <v>1326</v>
      </c>
      <c r="C529" t="s">
        <v>146</v>
      </c>
      <c r="D529" t="s">
        <v>52</v>
      </c>
      <c r="E529" t="s">
        <v>733</v>
      </c>
      <c r="F529" s="2" t="str">
        <f>HYPERLINK("http://www.otzar.org/book.asp?151240","אגרות והסכמות רבינו חיד""א &lt;העלם דבר&gt;")</f>
        <v>אגרות והסכמות רבינו חיד"א &lt;העלם דבר&gt;</v>
      </c>
    </row>
    <row r="530" spans="1:6" x14ac:dyDescent="0.2">
      <c r="A530" t="s">
        <v>1327</v>
      </c>
      <c r="B530" t="s">
        <v>1328</v>
      </c>
      <c r="C530" t="s">
        <v>133</v>
      </c>
      <c r="D530" t="s">
        <v>52</v>
      </c>
      <c r="E530" t="s">
        <v>674</v>
      </c>
      <c r="F530" s="2" t="str">
        <f>HYPERLINK("http://www.otzar.org/book.asp?172815","אגרות וכתבים")</f>
        <v>אגרות וכתבים</v>
      </c>
    </row>
    <row r="531" spans="1:6" x14ac:dyDescent="0.2">
      <c r="A531" t="s">
        <v>1329</v>
      </c>
      <c r="B531" t="s">
        <v>481</v>
      </c>
      <c r="C531" t="s">
        <v>989</v>
      </c>
      <c r="D531" t="s">
        <v>14</v>
      </c>
      <c r="E531" t="s">
        <v>213</v>
      </c>
      <c r="F531" s="2" t="str">
        <f>HYPERLINK("http://www.otzar.org/book.asp?103059","אגרות ומכתבים &lt;ר' ישראל סלנטר&gt; - א")</f>
        <v>אגרות ומכתבים &lt;ר' ישראל סלנטר&gt; - א</v>
      </c>
    </row>
    <row r="532" spans="1:6" x14ac:dyDescent="0.2">
      <c r="A532" t="s">
        <v>1330</v>
      </c>
      <c r="B532" t="s">
        <v>1331</v>
      </c>
      <c r="C532" t="s">
        <v>411</v>
      </c>
      <c r="D532" t="s">
        <v>52</v>
      </c>
      <c r="E532" t="s">
        <v>213</v>
      </c>
      <c r="F532" s="2" t="str">
        <f>HYPERLINK("http://www.otzar.org/book.asp?166784","אגרות ומכתבים אמרי סופר")</f>
        <v>אגרות ומכתבים אמרי סופר</v>
      </c>
    </row>
    <row r="533" spans="1:6" x14ac:dyDescent="0.2">
      <c r="A533" t="s">
        <v>1332</v>
      </c>
      <c r="B533" t="s">
        <v>1333</v>
      </c>
      <c r="C533" t="s">
        <v>51</v>
      </c>
      <c r="D533" t="s">
        <v>52</v>
      </c>
      <c r="E533" t="s">
        <v>1211</v>
      </c>
      <c r="F533" s="2" t="str">
        <f>HYPERLINK("http://www.otzar.org/book.asp?28015","אגרות ורשימות קה""י - 6 כר'")</f>
        <v>אגרות ורשימות קה"י - 6 כר'</v>
      </c>
    </row>
    <row r="534" spans="1:6" x14ac:dyDescent="0.2">
      <c r="A534" t="s">
        <v>1334</v>
      </c>
      <c r="B534" t="s">
        <v>1320</v>
      </c>
      <c r="C534" t="s">
        <v>1335</v>
      </c>
      <c r="D534" t="s">
        <v>283</v>
      </c>
      <c r="E534" t="s">
        <v>1336</v>
      </c>
      <c r="F534" s="2" t="str">
        <f>HYPERLINK("http://www.otzar.org/book.asp?11510","אגרות ושו""ת")</f>
        <v>אגרות ושו"ת</v>
      </c>
    </row>
    <row r="535" spans="1:6" x14ac:dyDescent="0.2">
      <c r="A535" t="s">
        <v>1337</v>
      </c>
      <c r="B535" t="s">
        <v>1338</v>
      </c>
      <c r="C535" t="s">
        <v>114</v>
      </c>
      <c r="D535" t="s">
        <v>52</v>
      </c>
      <c r="E535" t="s">
        <v>733</v>
      </c>
      <c r="F535" s="2" t="str">
        <f>HYPERLINK("http://www.otzar.org/book.asp?615378","אגרות ותולדות רבינו מהר""ם שפירא מלובלין")</f>
        <v>אגרות ותולדות רבינו מהר"ם שפירא מלובלין</v>
      </c>
    </row>
    <row r="536" spans="1:6" x14ac:dyDescent="0.2">
      <c r="A536" t="s">
        <v>1339</v>
      </c>
      <c r="B536" t="s">
        <v>1340</v>
      </c>
      <c r="C536" t="s">
        <v>411</v>
      </c>
      <c r="D536" t="s">
        <v>52</v>
      </c>
      <c r="E536" t="s">
        <v>104</v>
      </c>
      <c r="F536" s="2" t="str">
        <f>HYPERLINK("http://www.otzar.org/book.asp?168640","אגרות ותשובות רבינו חיים בן עטר")</f>
        <v>אגרות ותשובות רבינו חיים בן עטר</v>
      </c>
    </row>
    <row r="537" spans="1:6" x14ac:dyDescent="0.2">
      <c r="A537" t="s">
        <v>1341</v>
      </c>
      <c r="B537" t="s">
        <v>1320</v>
      </c>
      <c r="C537" t="s">
        <v>482</v>
      </c>
      <c r="D537" t="s">
        <v>27</v>
      </c>
      <c r="E537" t="s">
        <v>674</v>
      </c>
      <c r="F537" s="2" t="str">
        <f>HYPERLINK("http://www.otzar.org/book.asp?374","אגרות ותשובות")</f>
        <v>אגרות ותשובות</v>
      </c>
    </row>
    <row r="538" spans="1:6" x14ac:dyDescent="0.2">
      <c r="A538" t="s">
        <v>1342</v>
      </c>
      <c r="B538" t="s">
        <v>1343</v>
      </c>
      <c r="C538" t="s">
        <v>454</v>
      </c>
      <c r="D538" t="s">
        <v>52</v>
      </c>
      <c r="E538" t="s">
        <v>803</v>
      </c>
      <c r="F538" s="2" t="str">
        <f>HYPERLINK("http://www.otzar.org/book.asp?143060","אגרות חנוך")</f>
        <v>אגרות חנוך</v>
      </c>
    </row>
    <row r="539" spans="1:6" x14ac:dyDescent="0.2">
      <c r="A539" t="s">
        <v>1344</v>
      </c>
      <c r="B539" t="s">
        <v>578</v>
      </c>
      <c r="C539" t="s">
        <v>87</v>
      </c>
      <c r="D539" t="s">
        <v>412</v>
      </c>
      <c r="E539" t="s">
        <v>104</v>
      </c>
      <c r="F539" s="2" t="str">
        <f>HYPERLINK("http://www.otzar.org/book.asp?161616","אגרות לחם שלמה")</f>
        <v>אגרות לחם שלמה</v>
      </c>
    </row>
    <row r="540" spans="1:6" x14ac:dyDescent="0.2">
      <c r="A540" t="s">
        <v>1345</v>
      </c>
      <c r="B540" t="s">
        <v>1346</v>
      </c>
      <c r="C540" t="s">
        <v>419</v>
      </c>
      <c r="D540" t="s">
        <v>14</v>
      </c>
      <c r="E540" t="s">
        <v>104</v>
      </c>
      <c r="F540" s="2" t="str">
        <f>HYPERLINK("http://www.otzar.org/book.asp?150710","אגרות לראי""ה")</f>
        <v>אגרות לראי"ה</v>
      </c>
    </row>
    <row r="541" spans="1:6" x14ac:dyDescent="0.2">
      <c r="A541" t="s">
        <v>1347</v>
      </c>
      <c r="B541" t="s">
        <v>939</v>
      </c>
      <c r="C541" t="s">
        <v>133</v>
      </c>
      <c r="D541" t="s">
        <v>14</v>
      </c>
      <c r="E541" t="s">
        <v>104</v>
      </c>
      <c r="F541" s="2" t="str">
        <f>HYPERLINK("http://www.otzar.org/book.asp?179907","אגרות מבית גנזי")</f>
        <v>אגרות מבית גנזי</v>
      </c>
    </row>
    <row r="542" spans="1:6" x14ac:dyDescent="0.2">
      <c r="A542" t="s">
        <v>1348</v>
      </c>
      <c r="B542" t="s">
        <v>1349</v>
      </c>
      <c r="C542" t="s">
        <v>68</v>
      </c>
      <c r="D542" t="s">
        <v>14</v>
      </c>
      <c r="E542" t="s">
        <v>104</v>
      </c>
      <c r="F542" s="2" t="str">
        <f>HYPERLINK("http://www.otzar.org/book.asp?183330","אגרות מהר""ם שיק - א")</f>
        <v>אגרות מהר"ם שיק - א</v>
      </c>
    </row>
    <row r="543" spans="1:6" x14ac:dyDescent="0.2">
      <c r="A543" t="s">
        <v>1350</v>
      </c>
      <c r="B543" t="s">
        <v>1351</v>
      </c>
      <c r="C543" t="s">
        <v>146</v>
      </c>
      <c r="D543" t="s">
        <v>412</v>
      </c>
      <c r="E543" t="s">
        <v>104</v>
      </c>
      <c r="F543" s="2" t="str">
        <f>HYPERLINK("http://www.otzar.org/book.asp?173245","אגרות מכתב סופר")</f>
        <v>אגרות מכתב סופר</v>
      </c>
    </row>
    <row r="544" spans="1:6" x14ac:dyDescent="0.2">
      <c r="A544" t="s">
        <v>1352</v>
      </c>
      <c r="B544" t="s">
        <v>1353</v>
      </c>
      <c r="C544" t="s">
        <v>23</v>
      </c>
      <c r="D544" t="s">
        <v>52</v>
      </c>
      <c r="E544" t="s">
        <v>104</v>
      </c>
      <c r="F544" s="2" t="str">
        <f>HYPERLINK("http://www.otzar.org/book.asp?614405","אגרות ממרן בעל אילת השחר")</f>
        <v>אגרות ממרן בעל אילת השחר</v>
      </c>
    </row>
    <row r="545" spans="1:6" x14ac:dyDescent="0.2">
      <c r="A545" t="s">
        <v>1354</v>
      </c>
      <c r="B545" t="s">
        <v>1355</v>
      </c>
      <c r="C545" t="s">
        <v>71</v>
      </c>
      <c r="D545" t="s">
        <v>1356</v>
      </c>
      <c r="E545" t="s">
        <v>104</v>
      </c>
      <c r="F545" s="2" t="str">
        <f>HYPERLINK("http://www.otzar.org/book.asp?170553","אגרות מקור ברוך")</f>
        <v>אגרות מקור ברוך</v>
      </c>
    </row>
    <row r="546" spans="1:6" x14ac:dyDescent="0.2">
      <c r="A546" t="s">
        <v>1357</v>
      </c>
      <c r="B546" t="s">
        <v>1358</v>
      </c>
      <c r="C546" t="s">
        <v>1359</v>
      </c>
      <c r="D546" t="s">
        <v>9</v>
      </c>
      <c r="E546" t="s">
        <v>154</v>
      </c>
      <c r="F546" s="2" t="str">
        <f>HYPERLINK("http://www.otzar.org/book.asp?107416","אגרות משה - 9 כר'")</f>
        <v>אגרות משה - 9 כר'</v>
      </c>
    </row>
    <row r="547" spans="1:6" x14ac:dyDescent="0.2">
      <c r="A547" t="s">
        <v>1360</v>
      </c>
      <c r="B547" t="s">
        <v>1361</v>
      </c>
      <c r="C547" t="s">
        <v>129</v>
      </c>
      <c r="D547" t="s">
        <v>412</v>
      </c>
      <c r="E547" t="s">
        <v>104</v>
      </c>
      <c r="F547" s="2" t="str">
        <f>HYPERLINK("http://www.otzar.org/book.asp?142608","אגרות פרי מגדים - א")</f>
        <v>אגרות פרי מגדים - א</v>
      </c>
    </row>
    <row r="548" spans="1:6" x14ac:dyDescent="0.2">
      <c r="A548" t="s">
        <v>1362</v>
      </c>
      <c r="B548" t="s">
        <v>1363</v>
      </c>
      <c r="C548" t="s">
        <v>1364</v>
      </c>
      <c r="D548" t="s">
        <v>1365</v>
      </c>
      <c r="E548" t="s">
        <v>213</v>
      </c>
      <c r="F548" s="2" t="str">
        <f>HYPERLINK("http://www.otzar.org/book.asp?613269","אגרות צפון - 3 כר'")</f>
        <v>אגרות צפון - 3 כר'</v>
      </c>
    </row>
    <row r="549" spans="1:6" x14ac:dyDescent="0.2">
      <c r="A549" t="s">
        <v>1366</v>
      </c>
      <c r="B549" t="s">
        <v>1367</v>
      </c>
      <c r="C549" t="s">
        <v>133</v>
      </c>
      <c r="D549" t="s">
        <v>412</v>
      </c>
      <c r="F549" s="2" t="str">
        <f>HYPERLINK("http://www.otzar.org/book.asp?196136","אגרות קודש (אדמו""ר האמצעי) - 2 כר'")</f>
        <v>אגרות קודש (אדמו"ר האמצעי) - 2 כר'</v>
      </c>
    </row>
    <row r="550" spans="1:6" x14ac:dyDescent="0.2">
      <c r="A550" t="s">
        <v>1368</v>
      </c>
      <c r="B550" t="s">
        <v>1369</v>
      </c>
      <c r="C550" t="s">
        <v>146</v>
      </c>
      <c r="D550" t="s">
        <v>14</v>
      </c>
      <c r="E550" t="s">
        <v>741</v>
      </c>
      <c r="F550" s="2" t="str">
        <f>HYPERLINK("http://www.otzar.org/book.asp?161788","אגרות קודש באהוש")</f>
        <v>אגרות קודש באהוש</v>
      </c>
    </row>
    <row r="551" spans="1:6" x14ac:dyDescent="0.2">
      <c r="A551" t="s">
        <v>1370</v>
      </c>
      <c r="B551" t="s">
        <v>1371</v>
      </c>
      <c r="C551" t="s">
        <v>37</v>
      </c>
      <c r="D551" t="s">
        <v>52</v>
      </c>
      <c r="E551" t="s">
        <v>741</v>
      </c>
      <c r="F551" s="2" t="str">
        <f>HYPERLINK("http://www.otzar.org/book.asp?188983","אגרות קודש מהרצ""ה מזידיטשוב")</f>
        <v>אגרות קודש מהרצ"ה מזידיטשוב</v>
      </c>
    </row>
    <row r="552" spans="1:6" x14ac:dyDescent="0.2">
      <c r="A552" t="s">
        <v>1372</v>
      </c>
      <c r="B552" t="s">
        <v>1373</v>
      </c>
      <c r="C552" t="s">
        <v>1374</v>
      </c>
      <c r="D552" t="s">
        <v>27</v>
      </c>
      <c r="E552" t="s">
        <v>741</v>
      </c>
      <c r="F552" s="2" t="str">
        <f>HYPERLINK("http://www.otzar.org/book.asp?103065","אגרות קודש")</f>
        <v>אגרות קודש</v>
      </c>
    </row>
    <row r="553" spans="1:6" x14ac:dyDescent="0.2">
      <c r="A553" t="s">
        <v>1375</v>
      </c>
      <c r="B553" t="s">
        <v>1320</v>
      </c>
      <c r="C553" t="s">
        <v>1036</v>
      </c>
      <c r="D553" t="s">
        <v>1376</v>
      </c>
      <c r="E553" t="s">
        <v>1377</v>
      </c>
      <c r="F553" s="2" t="str">
        <f>HYPERLINK("http://www.otzar.org/book.asp?380","אגרות קנאות &lt;אגרות הרמב""ם&gt;")</f>
        <v>אגרות קנאות &lt;אגרות הרמב"ם&gt;</v>
      </c>
    </row>
    <row r="554" spans="1:6" x14ac:dyDescent="0.2">
      <c r="A554" t="s">
        <v>1378</v>
      </c>
      <c r="B554" t="s">
        <v>1379</v>
      </c>
      <c r="C554" t="s">
        <v>17</v>
      </c>
      <c r="D554" t="s">
        <v>412</v>
      </c>
      <c r="E554" t="s">
        <v>104</v>
      </c>
      <c r="F554" s="2" t="str">
        <f>HYPERLINK("http://www.otzar.org/book.asp?198608","אגרות ר' חיים עוזר - 3 כר'")</f>
        <v>אגרות ר' חיים עוזר - 3 כר'</v>
      </c>
    </row>
    <row r="555" spans="1:6" x14ac:dyDescent="0.2">
      <c r="A555" t="s">
        <v>1380</v>
      </c>
      <c r="B555" t="s">
        <v>1381</v>
      </c>
      <c r="C555" t="s">
        <v>103</v>
      </c>
      <c r="D555" t="s">
        <v>56</v>
      </c>
      <c r="E555" t="s">
        <v>104</v>
      </c>
      <c r="F555" s="2" t="str">
        <f>HYPERLINK("http://www.otzar.org/book.asp?198607","אגרות ר' יצחק אלחנן - 2 כר'")</f>
        <v>אגרות ר' יצחק אלחנן - 2 כר'</v>
      </c>
    </row>
    <row r="556" spans="1:6" x14ac:dyDescent="0.2">
      <c r="A556" t="s">
        <v>1382</v>
      </c>
      <c r="B556" t="s">
        <v>1383</v>
      </c>
      <c r="C556" t="s">
        <v>63</v>
      </c>
      <c r="D556" t="s">
        <v>14</v>
      </c>
      <c r="E556" t="s">
        <v>104</v>
      </c>
      <c r="F556" s="2" t="str">
        <f>HYPERLINK("http://www.otzar.org/book.asp?612149","אגרות רבי עזריאל הילדסהיימר")</f>
        <v>אגרות רבי עזריאל הילדסהיימר</v>
      </c>
    </row>
    <row r="557" spans="1:6" x14ac:dyDescent="0.2">
      <c r="A557" t="s">
        <v>1384</v>
      </c>
      <c r="B557" t="s">
        <v>1385</v>
      </c>
      <c r="C557" t="s">
        <v>87</v>
      </c>
      <c r="D557" t="s">
        <v>14</v>
      </c>
      <c r="E557" t="s">
        <v>733</v>
      </c>
      <c r="F557" s="2" t="str">
        <f>HYPERLINK("http://www.otzar.org/book.asp?11272","אגרות רבי עקיבא איגר")</f>
        <v>אגרות רבי עקיבא איגר</v>
      </c>
    </row>
    <row r="558" spans="1:6" x14ac:dyDescent="0.2">
      <c r="A558" t="s">
        <v>1386</v>
      </c>
      <c r="B558" t="s">
        <v>1387</v>
      </c>
      <c r="C558" t="s">
        <v>1388</v>
      </c>
      <c r="D558" t="s">
        <v>216</v>
      </c>
      <c r="E558" t="s">
        <v>104</v>
      </c>
      <c r="F558" s="2" t="str">
        <f>HYPERLINK("http://www.otzar.org/book.asp?173643","אגרות ריא""ם")</f>
        <v>אגרות ריא"ם</v>
      </c>
    </row>
    <row r="559" spans="1:6" x14ac:dyDescent="0.2">
      <c r="A559" t="s">
        <v>1389</v>
      </c>
      <c r="B559" t="s">
        <v>1390</v>
      </c>
      <c r="C559" t="s">
        <v>422</v>
      </c>
      <c r="D559" t="s">
        <v>14</v>
      </c>
      <c r="E559" t="s">
        <v>1391</v>
      </c>
      <c r="F559" s="2" t="str">
        <f>HYPERLINK("http://www.otzar.org/book.asp?83670","אגרות רמח""ל ובני דורו")</f>
        <v>אגרות רמח"ל ובני דורו</v>
      </c>
    </row>
    <row r="560" spans="1:6" x14ac:dyDescent="0.2">
      <c r="A560" t="s">
        <v>1392</v>
      </c>
      <c r="B560" t="s">
        <v>1393</v>
      </c>
      <c r="C560" t="s">
        <v>313</v>
      </c>
      <c r="D560" t="s">
        <v>14</v>
      </c>
      <c r="E560" t="s">
        <v>213</v>
      </c>
      <c r="F560" s="2" t="str">
        <f>HYPERLINK("http://www.otzar.org/book.asp?159635","אגרות שומרי אמונים")</f>
        <v>אגרות שומרי אמונים</v>
      </c>
    </row>
    <row r="561" spans="1:6" x14ac:dyDescent="0.2">
      <c r="A561" t="s">
        <v>1394</v>
      </c>
      <c r="B561" t="s">
        <v>1394</v>
      </c>
      <c r="C561" t="s">
        <v>1395</v>
      </c>
      <c r="D561" t="s">
        <v>1396</v>
      </c>
      <c r="E561" t="s">
        <v>241</v>
      </c>
      <c r="F561" s="2" t="str">
        <f>HYPERLINK("http://www.otzar.org/book.asp?84542","אגרות שלומים")</f>
        <v>אגרות שלומים</v>
      </c>
    </row>
    <row r="562" spans="1:6" x14ac:dyDescent="0.2">
      <c r="A562" t="s">
        <v>1397</v>
      </c>
      <c r="B562" t="s">
        <v>1398</v>
      </c>
      <c r="C562" t="s">
        <v>624</v>
      </c>
      <c r="D562" t="s">
        <v>14</v>
      </c>
      <c r="E562" t="s">
        <v>741</v>
      </c>
      <c r="F562" s="2" t="str">
        <f>HYPERLINK("http://www.otzar.org/book.asp?171528","אגרות שפירין")</f>
        <v>אגרות שפירין</v>
      </c>
    </row>
    <row r="563" spans="1:6" x14ac:dyDescent="0.2">
      <c r="A563" t="s">
        <v>1399</v>
      </c>
      <c r="B563" t="s">
        <v>1400</v>
      </c>
      <c r="C563" t="s">
        <v>151</v>
      </c>
      <c r="D563" t="s">
        <v>245</v>
      </c>
      <c r="E563" t="s">
        <v>154</v>
      </c>
      <c r="F563" s="2" t="str">
        <f>HYPERLINK("http://www.otzar.org/book.asp?616913","אגרות תורה")</f>
        <v>אגרות תורה</v>
      </c>
    </row>
    <row r="564" spans="1:6" x14ac:dyDescent="0.2">
      <c r="A564" t="s">
        <v>1401</v>
      </c>
      <c r="B564" t="s">
        <v>1402</v>
      </c>
      <c r="C564" t="s">
        <v>454</v>
      </c>
      <c r="D564" t="s">
        <v>52</v>
      </c>
      <c r="E564" t="s">
        <v>241</v>
      </c>
      <c r="F564" s="2" t="str">
        <f>HYPERLINK("http://www.otzar.org/book.asp?157880","אגרות - 5 כר'")</f>
        <v>אגרות - 5 כר'</v>
      </c>
    </row>
    <row r="565" spans="1:6" x14ac:dyDescent="0.2">
      <c r="A565" t="s">
        <v>1403</v>
      </c>
      <c r="B565" t="s">
        <v>1404</v>
      </c>
      <c r="C565" t="s">
        <v>244</v>
      </c>
      <c r="D565" t="s">
        <v>14</v>
      </c>
      <c r="E565" t="s">
        <v>104</v>
      </c>
      <c r="F565" s="2" t="str">
        <f>HYPERLINK("http://www.otzar.org/book.asp?606189","אגרי דבי הילולא תנינא")</f>
        <v>אגרי דבי הילולא תנינא</v>
      </c>
    </row>
    <row r="566" spans="1:6" x14ac:dyDescent="0.2">
      <c r="A566" t="s">
        <v>1405</v>
      </c>
      <c r="B566" t="s">
        <v>1406</v>
      </c>
      <c r="C566" t="s">
        <v>1407</v>
      </c>
      <c r="D566" t="s">
        <v>1408</v>
      </c>
      <c r="F566" s="2" t="str">
        <f>HYPERLINK("http://www.otzar.org/book.asp?151822","אגרת בחינת העולם")</f>
        <v>אגרת בחינת העולם</v>
      </c>
    </row>
    <row r="567" spans="1:6" x14ac:dyDescent="0.2">
      <c r="A567" t="s">
        <v>1409</v>
      </c>
      <c r="B567" t="s">
        <v>329</v>
      </c>
      <c r="C567" t="s">
        <v>1410</v>
      </c>
      <c r="D567" t="s">
        <v>1411</v>
      </c>
      <c r="E567" t="s">
        <v>213</v>
      </c>
      <c r="F567" s="2" t="str">
        <f>HYPERLINK("http://www.otzar.org/book.asp?145433","אגרת בעלי חיים &lt;דפו""ר&gt;")</f>
        <v>אגרת בעלי חיים &lt;דפו"ר&gt;</v>
      </c>
    </row>
    <row r="568" spans="1:6" x14ac:dyDescent="0.2">
      <c r="A568" t="s">
        <v>1412</v>
      </c>
      <c r="B568" t="s">
        <v>1413</v>
      </c>
      <c r="C568" t="s">
        <v>1414</v>
      </c>
      <c r="D568" t="s">
        <v>1415</v>
      </c>
      <c r="E568" t="s">
        <v>1164</v>
      </c>
      <c r="F568" s="2" t="str">
        <f>HYPERLINK("http://www.otzar.org/book.asp?84550","אגרת בענין אתרוגים")</f>
        <v>אגרת בענין אתרוגים</v>
      </c>
    </row>
    <row r="569" spans="1:6" x14ac:dyDescent="0.2">
      <c r="A569" t="s">
        <v>1416</v>
      </c>
      <c r="B569" t="s">
        <v>1417</v>
      </c>
      <c r="C569" t="s">
        <v>1418</v>
      </c>
      <c r="D569" t="s">
        <v>1419</v>
      </c>
      <c r="E569" t="s">
        <v>15</v>
      </c>
      <c r="F569" s="2" t="str">
        <f>HYPERLINK("http://www.otzar.org/book.asp?13132","אגרת בקורת")</f>
        <v>אגרת בקורת</v>
      </c>
    </row>
    <row r="570" spans="1:6" x14ac:dyDescent="0.2">
      <c r="A570" t="s">
        <v>1420</v>
      </c>
      <c r="B570" t="s">
        <v>1421</v>
      </c>
      <c r="C570" t="s">
        <v>291</v>
      </c>
      <c r="D570" t="s">
        <v>1422</v>
      </c>
      <c r="E570" t="s">
        <v>579</v>
      </c>
      <c r="F570" s="2" t="str">
        <f>HYPERLINK("http://www.otzar.org/book.asp?19346","אגרת בקרת")</f>
        <v>אגרת בקרת</v>
      </c>
    </row>
    <row r="571" spans="1:6" x14ac:dyDescent="0.2">
      <c r="A571" t="s">
        <v>1423</v>
      </c>
      <c r="B571" t="s">
        <v>1424</v>
      </c>
      <c r="C571" t="s">
        <v>1425</v>
      </c>
      <c r="D571" t="s">
        <v>49</v>
      </c>
      <c r="E571" t="s">
        <v>213</v>
      </c>
      <c r="F571" s="2" t="str">
        <f>HYPERLINK("http://www.otzar.org/book.asp?84124","אגרת דופי הזמן")</f>
        <v>אגרת דופי הזמן</v>
      </c>
    </row>
    <row r="572" spans="1:6" x14ac:dyDescent="0.2">
      <c r="A572" t="s">
        <v>1426</v>
      </c>
      <c r="B572" t="s">
        <v>1427</v>
      </c>
      <c r="C572" t="s">
        <v>533</v>
      </c>
      <c r="D572" t="s">
        <v>14</v>
      </c>
      <c r="E572" t="s">
        <v>733</v>
      </c>
      <c r="F572" s="2" t="str">
        <f>HYPERLINK("http://www.otzar.org/book.asp?106023","אגרת דרבי שרירא גאון &lt;ימות עולם&gt;")</f>
        <v>אגרת דרבי שרירא גאון &lt;ימות עולם&gt;</v>
      </c>
    </row>
    <row r="573" spans="1:6" x14ac:dyDescent="0.2">
      <c r="A573" t="s">
        <v>1428</v>
      </c>
      <c r="B573" t="s">
        <v>1429</v>
      </c>
      <c r="C573" t="s">
        <v>360</v>
      </c>
      <c r="D573" t="s">
        <v>563</v>
      </c>
      <c r="E573" t="s">
        <v>733</v>
      </c>
      <c r="F573" s="2" t="str">
        <f>HYPERLINK("http://www.otzar.org/book.asp?14715","אגרת דרבינו שרירא גאון")</f>
        <v>אגרת דרבינו שרירא גאון</v>
      </c>
    </row>
    <row r="574" spans="1:6" x14ac:dyDescent="0.2">
      <c r="A574" t="s">
        <v>1430</v>
      </c>
      <c r="B574" t="s">
        <v>1431</v>
      </c>
      <c r="C574" t="s">
        <v>609</v>
      </c>
      <c r="D574" t="s">
        <v>1432</v>
      </c>
      <c r="E574" t="s">
        <v>1433</v>
      </c>
      <c r="F574" s="2" t="str">
        <f>HYPERLINK("http://www.otzar.org/book.asp?15810","אגרת דרבן יוחנן בן זכאי &lt;באר יצחק&gt;")</f>
        <v>אגרת דרבן יוחנן בן זכאי &lt;באר יצחק&gt;</v>
      </c>
    </row>
    <row r="575" spans="1:6" x14ac:dyDescent="0.2">
      <c r="A575" t="s">
        <v>1434</v>
      </c>
      <c r="B575" t="s">
        <v>1435</v>
      </c>
      <c r="C575" t="s">
        <v>619</v>
      </c>
      <c r="D575" t="s">
        <v>283</v>
      </c>
      <c r="E575" t="s">
        <v>43</v>
      </c>
      <c r="F575" s="2" t="str">
        <f>HYPERLINK("http://www.otzar.org/book.asp?103066","אגרת דרבן יוחנן בן זכאי &lt;ר""א אשכנזי - 2 כר'")</f>
        <v>אגרת דרבן יוחנן בן זכאי &lt;ר"א אשכנזי - 2 כר'</v>
      </c>
    </row>
    <row r="576" spans="1:6" x14ac:dyDescent="0.2">
      <c r="A576" t="s">
        <v>1436</v>
      </c>
      <c r="B576" t="s">
        <v>1431</v>
      </c>
      <c r="C576" t="s">
        <v>1437</v>
      </c>
      <c r="D576" t="s">
        <v>379</v>
      </c>
      <c r="E576" t="s">
        <v>1438</v>
      </c>
      <c r="F576" s="2" t="str">
        <f>HYPERLINK("http://www.otzar.org/book.asp?14741","אגרת דרבן יוחנן בן זכאי")</f>
        <v>אגרת דרבן יוחנן בן זכאי</v>
      </c>
    </row>
    <row r="577" spans="1:6" x14ac:dyDescent="0.2">
      <c r="A577" t="s">
        <v>1439</v>
      </c>
      <c r="B577" t="s">
        <v>1440</v>
      </c>
      <c r="C577" t="s">
        <v>1441</v>
      </c>
      <c r="D577" t="s">
        <v>49</v>
      </c>
      <c r="E577" t="s">
        <v>241</v>
      </c>
      <c r="F577" s="2" t="str">
        <f>HYPERLINK("http://www.otzar.org/book.asp?13564","אגרת דרך ה'")</f>
        <v>אגרת דרך ה'</v>
      </c>
    </row>
    <row r="578" spans="1:6" x14ac:dyDescent="0.2">
      <c r="A578" t="s">
        <v>1442</v>
      </c>
      <c r="B578" t="s">
        <v>1443</v>
      </c>
      <c r="C578" t="s">
        <v>23</v>
      </c>
      <c r="D578" t="s">
        <v>52</v>
      </c>
      <c r="E578" t="s">
        <v>241</v>
      </c>
      <c r="F578" s="2" t="str">
        <f>HYPERLINK("http://www.otzar.org/book.asp?194261","אגרת האדם")</f>
        <v>אגרת האדם</v>
      </c>
    </row>
    <row r="579" spans="1:6" x14ac:dyDescent="0.2">
      <c r="A579" t="s">
        <v>1444</v>
      </c>
      <c r="B579" t="s">
        <v>1445</v>
      </c>
      <c r="C579" t="s">
        <v>129</v>
      </c>
      <c r="D579" t="s">
        <v>52</v>
      </c>
      <c r="E579" t="s">
        <v>508</v>
      </c>
      <c r="F579" s="2" t="str">
        <f>HYPERLINK("http://www.otzar.org/book.asp?157720","אגרת הברכה")</f>
        <v>אגרת הברכה</v>
      </c>
    </row>
    <row r="580" spans="1:6" x14ac:dyDescent="0.2">
      <c r="A580" t="s">
        <v>1446</v>
      </c>
      <c r="B580" t="s">
        <v>1447</v>
      </c>
      <c r="C580" t="s">
        <v>1448</v>
      </c>
      <c r="D580" t="s">
        <v>1356</v>
      </c>
      <c r="E580" t="s">
        <v>15</v>
      </c>
      <c r="F580" s="2" t="str">
        <f>HYPERLINK("http://www.otzar.org/book.asp?149136","אגרת הברכות (ברכת אליהו)")</f>
        <v>אגרת הברכות (ברכת אליהו)</v>
      </c>
    </row>
    <row r="581" spans="1:6" x14ac:dyDescent="0.2">
      <c r="A581" t="s">
        <v>1449</v>
      </c>
      <c r="B581" t="s">
        <v>1402</v>
      </c>
      <c r="C581" t="s">
        <v>51</v>
      </c>
      <c r="D581" t="s">
        <v>52</v>
      </c>
      <c r="E581" t="s">
        <v>213</v>
      </c>
      <c r="F581" s="2" t="str">
        <f>HYPERLINK("http://www.otzar.org/book.asp?60147","אגרת הגר""א ע""פ פתיחת האגרת")</f>
        <v>אגרת הגר"א ע"פ פתיחת האגרת</v>
      </c>
    </row>
    <row r="582" spans="1:6" x14ac:dyDescent="0.2">
      <c r="A582" t="s">
        <v>1450</v>
      </c>
      <c r="B582" t="s">
        <v>1451</v>
      </c>
      <c r="C582" t="s">
        <v>151</v>
      </c>
      <c r="D582" t="s">
        <v>21</v>
      </c>
      <c r="F582" s="2" t="str">
        <f>HYPERLINK("http://www.otzar.org/book.asp?610142","אגרת הגר""א עם ביאור דרך ישרים")</f>
        <v>אגרת הגר"א עם ביאור דרך ישרים</v>
      </c>
    </row>
    <row r="583" spans="1:6" x14ac:dyDescent="0.2">
      <c r="A583" t="s">
        <v>1452</v>
      </c>
      <c r="B583" t="s">
        <v>1453</v>
      </c>
      <c r="C583" t="s">
        <v>313</v>
      </c>
      <c r="D583" t="s">
        <v>21</v>
      </c>
      <c r="F583" s="2" t="str">
        <f>HYPERLINK("http://www.otzar.org/book.asp?622648","אגרת הגר""א עם פירוש - 2 כר'")</f>
        <v>אגרת הגר"א עם פירוש - 2 כר'</v>
      </c>
    </row>
    <row r="584" spans="1:6" x14ac:dyDescent="0.2">
      <c r="A584" t="s">
        <v>1454</v>
      </c>
      <c r="B584" t="s">
        <v>1455</v>
      </c>
      <c r="C584" t="s">
        <v>547</v>
      </c>
      <c r="D584" t="s">
        <v>27</v>
      </c>
      <c r="E584" t="s">
        <v>15</v>
      </c>
      <c r="F584" s="2" t="str">
        <f>HYPERLINK("http://www.otzar.org/book.asp?300134","אגרת ההלכות לשלשת ימי הפורים וטעמיהם")</f>
        <v>אגרת ההלכות לשלשת ימי הפורים וטעמיהם</v>
      </c>
    </row>
    <row r="585" spans="1:6" x14ac:dyDescent="0.2">
      <c r="A585" t="s">
        <v>1456</v>
      </c>
      <c r="B585" t="s">
        <v>1457</v>
      </c>
      <c r="C585" t="s">
        <v>1458</v>
      </c>
      <c r="D585" t="s">
        <v>1459</v>
      </c>
      <c r="E585" t="s">
        <v>1460</v>
      </c>
      <c r="F585" s="2" t="str">
        <f>HYPERLINK("http://www.otzar.org/book.asp?12196","אגרת הויכוח")</f>
        <v>אגרת הויכוח</v>
      </c>
    </row>
    <row r="586" spans="1:6" x14ac:dyDescent="0.2">
      <c r="A586" t="s">
        <v>1461</v>
      </c>
      <c r="B586" t="s">
        <v>1462</v>
      </c>
      <c r="C586" t="s">
        <v>360</v>
      </c>
      <c r="D586" t="s">
        <v>283</v>
      </c>
      <c r="E586" t="s">
        <v>1463</v>
      </c>
      <c r="F586" s="2" t="str">
        <f>HYPERLINK("http://www.otzar.org/book.asp?102085","אגרת החיים - 2 כר'")</f>
        <v>אגרת החיים - 2 כר'</v>
      </c>
    </row>
    <row r="587" spans="1:6" x14ac:dyDescent="0.2">
      <c r="A587" t="s">
        <v>1464</v>
      </c>
      <c r="B587" t="s">
        <v>1465</v>
      </c>
      <c r="C587" t="s">
        <v>133</v>
      </c>
      <c r="D587" t="s">
        <v>52</v>
      </c>
      <c r="E587" t="s">
        <v>104</v>
      </c>
      <c r="F587" s="2" t="str">
        <f>HYPERLINK("http://www.otzar.org/book.asp?176492","אגרת החיים")</f>
        <v>אגרת החיים</v>
      </c>
    </row>
    <row r="588" spans="1:6" x14ac:dyDescent="0.2">
      <c r="A588" t="s">
        <v>1466</v>
      </c>
      <c r="B588" t="s">
        <v>1457</v>
      </c>
      <c r="C588" t="s">
        <v>445</v>
      </c>
      <c r="D588" t="s">
        <v>1467</v>
      </c>
      <c r="E588" t="s">
        <v>213</v>
      </c>
      <c r="F588" s="2" t="str">
        <f>HYPERLINK("http://www.otzar.org/book.asp?12194","אגרת החלום")</f>
        <v>אגרת החלום</v>
      </c>
    </row>
    <row r="589" spans="1:6" x14ac:dyDescent="0.2">
      <c r="A589" t="s">
        <v>1468</v>
      </c>
      <c r="B589" t="s">
        <v>1469</v>
      </c>
      <c r="C589" t="s">
        <v>1470</v>
      </c>
      <c r="D589" t="s">
        <v>27</v>
      </c>
      <c r="E589" t="s">
        <v>714</v>
      </c>
      <c r="F589" s="2" t="str">
        <f>HYPERLINK("http://www.otzar.org/book.asp?179000","אגרת הטהרה")</f>
        <v>אגרת הטהרה</v>
      </c>
    </row>
    <row r="590" spans="1:6" x14ac:dyDescent="0.2">
      <c r="A590" t="s">
        <v>1471</v>
      </c>
      <c r="B590" t="s">
        <v>1472</v>
      </c>
      <c r="C590" t="s">
        <v>843</v>
      </c>
      <c r="D590" t="s">
        <v>27</v>
      </c>
      <c r="E590" t="s">
        <v>213</v>
      </c>
      <c r="F590" s="2" t="str">
        <f>HYPERLINK("http://www.otzar.org/book.asp?84139","אגרת הטיול &lt;טיול בפרדס&gt;")</f>
        <v>אגרת הטיול &lt;טיול בפרדס&gt;</v>
      </c>
    </row>
    <row r="591" spans="1:6" x14ac:dyDescent="0.2">
      <c r="A591" t="s">
        <v>1473</v>
      </c>
      <c r="B591" t="s">
        <v>1472</v>
      </c>
      <c r="C591" t="s">
        <v>1166</v>
      </c>
      <c r="D591" t="s">
        <v>283</v>
      </c>
      <c r="E591" t="s">
        <v>1474</v>
      </c>
      <c r="F591" s="2" t="str">
        <f>HYPERLINK("http://www.otzar.org/book.asp?11880","אגרת הטיול - 4 כר'")</f>
        <v>אגרת הטיול - 4 כר'</v>
      </c>
    </row>
    <row r="592" spans="1:6" x14ac:dyDescent="0.2">
      <c r="A592" t="s">
        <v>1475</v>
      </c>
      <c r="B592" t="s">
        <v>1476</v>
      </c>
      <c r="C592" t="s">
        <v>1477</v>
      </c>
      <c r="D592" t="s">
        <v>1411</v>
      </c>
      <c r="F592" s="2" t="str">
        <f>HYPERLINK("http://www.otzar.org/book.asp?170074","אגרת הטעמים")</f>
        <v>אגרת הטעמים</v>
      </c>
    </row>
    <row r="593" spans="1:6" x14ac:dyDescent="0.2">
      <c r="A593" t="s">
        <v>1478</v>
      </c>
      <c r="B593" t="s">
        <v>1443</v>
      </c>
      <c r="C593" t="s">
        <v>23</v>
      </c>
      <c r="D593" t="s">
        <v>1205</v>
      </c>
      <c r="E593" t="s">
        <v>241</v>
      </c>
      <c r="F593" s="2" t="str">
        <f>HYPERLINK("http://www.otzar.org/book.asp?194260","אגרת הידיעה")</f>
        <v>אגרת הידיעה</v>
      </c>
    </row>
    <row r="594" spans="1:6" x14ac:dyDescent="0.2">
      <c r="A594" t="s">
        <v>1479</v>
      </c>
      <c r="B594" t="s">
        <v>1480</v>
      </c>
      <c r="C594" t="s">
        <v>1481</v>
      </c>
      <c r="D594" t="s">
        <v>1482</v>
      </c>
      <c r="E594" t="s">
        <v>733</v>
      </c>
      <c r="F594" s="2" t="str">
        <f>HYPERLINK("http://www.otzar.org/book.asp?147343","אגרת הכולל")</f>
        <v>אגרת הכולל</v>
      </c>
    </row>
    <row r="595" spans="1:6" x14ac:dyDescent="0.2">
      <c r="A595" t="s">
        <v>1483</v>
      </c>
      <c r="B595" t="s">
        <v>1484</v>
      </c>
      <c r="C595" t="s">
        <v>244</v>
      </c>
      <c r="D595" t="s">
        <v>367</v>
      </c>
      <c r="E595" t="s">
        <v>213</v>
      </c>
      <c r="F595" s="2" t="str">
        <f>HYPERLINK("http://www.otzar.org/book.asp?601321","אגרת המוסר &lt;מהדורה חדשה&gt;")</f>
        <v>אגרת המוסר &lt;מהדורה חדשה&gt;</v>
      </c>
    </row>
    <row r="596" spans="1:6" x14ac:dyDescent="0.2">
      <c r="A596" t="s">
        <v>1485</v>
      </c>
      <c r="B596" t="s">
        <v>1457</v>
      </c>
      <c r="C596" t="s">
        <v>286</v>
      </c>
      <c r="D596" t="s">
        <v>14</v>
      </c>
      <c r="E596" t="s">
        <v>241</v>
      </c>
      <c r="F596" s="2" t="str">
        <f>HYPERLINK("http://www.otzar.org/book.asp?64050","אגרת המוסר לרבי שם טוב פלקירה")</f>
        <v>אגרת המוסר לרבי שם טוב פלקירה</v>
      </c>
    </row>
    <row r="597" spans="1:6" x14ac:dyDescent="0.2">
      <c r="A597" t="s">
        <v>1486</v>
      </c>
      <c r="B597" t="s">
        <v>1487</v>
      </c>
      <c r="C597" t="s">
        <v>129</v>
      </c>
      <c r="D597" t="s">
        <v>657</v>
      </c>
      <c r="E597" t="s">
        <v>213</v>
      </c>
      <c r="F597" s="2" t="str">
        <f>HYPERLINK("http://www.otzar.org/book.asp?144531","אגרת המוסר")</f>
        <v>אגרת המוסר</v>
      </c>
    </row>
    <row r="598" spans="1:6" x14ac:dyDescent="0.2">
      <c r="A598" t="s">
        <v>1488</v>
      </c>
      <c r="B598" t="s">
        <v>1484</v>
      </c>
      <c r="C598" t="s">
        <v>1489</v>
      </c>
      <c r="D598" t="s">
        <v>1490</v>
      </c>
      <c r="E598" t="s">
        <v>213</v>
      </c>
      <c r="F598" s="2" t="str">
        <f>HYPERLINK("http://www.otzar.org/book.asp?147330","אגרת המוסר - 2 כר'")</f>
        <v>אגרת המוסר - 2 כר'</v>
      </c>
    </row>
    <row r="599" spans="1:6" x14ac:dyDescent="0.2">
      <c r="A599" t="s">
        <v>1486</v>
      </c>
      <c r="B599" t="s">
        <v>1491</v>
      </c>
      <c r="E599" t="s">
        <v>241</v>
      </c>
      <c r="F599" s="2" t="str">
        <f>HYPERLINK("http://www.otzar.org/book.asp?624591","אגרת המוסר")</f>
        <v>אגרת המוסר</v>
      </c>
    </row>
    <row r="600" spans="1:6" x14ac:dyDescent="0.2">
      <c r="A600" t="s">
        <v>1486</v>
      </c>
      <c r="B600" t="s">
        <v>481</v>
      </c>
      <c r="C600" t="s">
        <v>1278</v>
      </c>
      <c r="D600" t="s">
        <v>164</v>
      </c>
      <c r="E600" t="s">
        <v>241</v>
      </c>
      <c r="F600" s="2" t="str">
        <f>HYPERLINK("http://www.otzar.org/book.asp?103067","אגרת המוסר")</f>
        <v>אגרת המוסר</v>
      </c>
    </row>
    <row r="601" spans="1:6" x14ac:dyDescent="0.2">
      <c r="A601" t="s">
        <v>1492</v>
      </c>
      <c r="B601" t="s">
        <v>1493</v>
      </c>
      <c r="C601" t="s">
        <v>1494</v>
      </c>
      <c r="D601" t="s">
        <v>1495</v>
      </c>
      <c r="E601" t="s">
        <v>1433</v>
      </c>
      <c r="F601" s="2" t="str">
        <f>HYPERLINK("http://www.otzar.org/book.asp?22354","אגרת המליצה ומשפט לשה""ק")</f>
        <v>אגרת המליצה ומשפט לשה"ק</v>
      </c>
    </row>
    <row r="602" spans="1:6" x14ac:dyDescent="0.2">
      <c r="A602" t="s">
        <v>1496</v>
      </c>
      <c r="B602" t="s">
        <v>1497</v>
      </c>
      <c r="C602" t="s">
        <v>23</v>
      </c>
      <c r="D602" t="s">
        <v>14</v>
      </c>
      <c r="E602" t="s">
        <v>104</v>
      </c>
      <c r="F602" s="2" t="str">
        <f>HYPERLINK("http://www.otzar.org/book.asp?197517","אגרת המסע")</f>
        <v>אגרת המסע</v>
      </c>
    </row>
    <row r="603" spans="1:6" x14ac:dyDescent="0.2">
      <c r="A603" t="s">
        <v>1498</v>
      </c>
      <c r="B603" t="s">
        <v>1499</v>
      </c>
      <c r="C603" t="s">
        <v>46</v>
      </c>
      <c r="D603" t="s">
        <v>27</v>
      </c>
      <c r="E603" t="s">
        <v>213</v>
      </c>
      <c r="F603" s="2" t="str">
        <f>HYPERLINK("http://www.otzar.org/book.asp?12208","אגרת הנחמה - 2 כר'")</f>
        <v>אגרת הנחמה - 2 כר'</v>
      </c>
    </row>
    <row r="604" spans="1:6" x14ac:dyDescent="0.2">
      <c r="A604" t="s">
        <v>1500</v>
      </c>
      <c r="B604" t="s">
        <v>1501</v>
      </c>
      <c r="C604" t="s">
        <v>103</v>
      </c>
      <c r="D604" t="s">
        <v>52</v>
      </c>
      <c r="E604" t="s">
        <v>213</v>
      </c>
      <c r="F604" s="2" t="str">
        <f>HYPERLINK("http://www.otzar.org/book.asp?24958","אגרת הנחמה, אגרת תימן, אגרת השמד - תרגום חדש")</f>
        <v>אגרת הנחמה, אגרת תימן, אגרת השמד - תרגום חדש</v>
      </c>
    </row>
    <row r="605" spans="1:6" x14ac:dyDescent="0.2">
      <c r="A605" t="s">
        <v>1502</v>
      </c>
      <c r="B605" t="s">
        <v>1443</v>
      </c>
      <c r="C605" t="s">
        <v>366</v>
      </c>
      <c r="D605" t="s">
        <v>52</v>
      </c>
      <c r="F605" s="2" t="str">
        <f>HYPERLINK("http://www.otzar.org/book.asp?610471","אגרת הערות")</f>
        <v>אגרת הערות</v>
      </c>
    </row>
    <row r="606" spans="1:6" x14ac:dyDescent="0.2">
      <c r="A606" t="s">
        <v>1503</v>
      </c>
      <c r="B606" t="s">
        <v>1504</v>
      </c>
      <c r="C606" t="s">
        <v>124</v>
      </c>
      <c r="D606" t="s">
        <v>14</v>
      </c>
      <c r="E606" t="s">
        <v>130</v>
      </c>
      <c r="F606" s="2" t="str">
        <f>HYPERLINK("http://www.otzar.org/book.asp?84815","אגרת הפורים (השנית)")</f>
        <v>אגרת הפורים (השנית)</v>
      </c>
    </row>
    <row r="607" spans="1:6" x14ac:dyDescent="0.2">
      <c r="A607" t="s">
        <v>1505</v>
      </c>
      <c r="B607" t="s">
        <v>1506</v>
      </c>
      <c r="C607" t="s">
        <v>71</v>
      </c>
      <c r="D607" t="s">
        <v>412</v>
      </c>
      <c r="E607" t="s">
        <v>1507</v>
      </c>
      <c r="F607" s="2" t="str">
        <f>HYPERLINK("http://www.otzar.org/book.asp?159565","אגרת הפורים")</f>
        <v>אגרת הפורים</v>
      </c>
    </row>
    <row r="608" spans="1:6" x14ac:dyDescent="0.2">
      <c r="A608" t="s">
        <v>1505</v>
      </c>
      <c r="B608" t="s">
        <v>1508</v>
      </c>
      <c r="C608" t="s">
        <v>13</v>
      </c>
      <c r="D608" t="s">
        <v>1509</v>
      </c>
      <c r="E608" t="s">
        <v>246</v>
      </c>
      <c r="F608" s="2" t="str">
        <f>HYPERLINK("http://www.otzar.org/book.asp?603818","אגרת הפורים")</f>
        <v>אגרת הפורים</v>
      </c>
    </row>
    <row r="609" spans="1:6" x14ac:dyDescent="0.2">
      <c r="A609" t="s">
        <v>1505</v>
      </c>
      <c r="B609" t="s">
        <v>1510</v>
      </c>
      <c r="C609" t="s">
        <v>244</v>
      </c>
      <c r="D609" t="s">
        <v>1511</v>
      </c>
      <c r="E609" t="s">
        <v>246</v>
      </c>
      <c r="F609" s="2" t="str">
        <f>HYPERLINK("http://www.otzar.org/book.asp?198051","אגרת הפורים")</f>
        <v>אגרת הפורים</v>
      </c>
    </row>
    <row r="610" spans="1:6" x14ac:dyDescent="0.2">
      <c r="A610" t="s">
        <v>1505</v>
      </c>
      <c r="B610" t="s">
        <v>1512</v>
      </c>
      <c r="C610" t="s">
        <v>133</v>
      </c>
      <c r="D610" t="s">
        <v>52</v>
      </c>
      <c r="E610" t="s">
        <v>1157</v>
      </c>
      <c r="F610" s="2" t="str">
        <f>HYPERLINK("http://www.otzar.org/book.asp?175442","אגרת הפורים")</f>
        <v>אגרת הפורים</v>
      </c>
    </row>
    <row r="611" spans="1:6" x14ac:dyDescent="0.2">
      <c r="A611" t="s">
        <v>1505</v>
      </c>
      <c r="B611" t="s">
        <v>1513</v>
      </c>
      <c r="C611" t="s">
        <v>291</v>
      </c>
      <c r="D611" t="s">
        <v>76</v>
      </c>
      <c r="F611" s="2" t="str">
        <f>HYPERLINK("http://www.otzar.org/book.asp?164927","אגרת הפורים")</f>
        <v>אגרת הפורים</v>
      </c>
    </row>
    <row r="612" spans="1:6" x14ac:dyDescent="0.2">
      <c r="A612" t="s">
        <v>1505</v>
      </c>
      <c r="B612" t="s">
        <v>1514</v>
      </c>
      <c r="C612" t="s">
        <v>1515</v>
      </c>
      <c r="D612" t="s">
        <v>1516</v>
      </c>
      <c r="E612" t="s">
        <v>1517</v>
      </c>
      <c r="F612" s="2" t="str">
        <f>HYPERLINK("http://www.otzar.org/book.asp?21690","אגרת הפורים")</f>
        <v>אגרת הפורים</v>
      </c>
    </row>
    <row r="613" spans="1:6" x14ac:dyDescent="0.2">
      <c r="A613" t="s">
        <v>1518</v>
      </c>
      <c r="B613" t="s">
        <v>629</v>
      </c>
      <c r="C613" t="s">
        <v>1519</v>
      </c>
      <c r="D613" t="s">
        <v>610</v>
      </c>
      <c r="E613" t="s">
        <v>1520</v>
      </c>
      <c r="F613" s="2" t="str">
        <f>HYPERLINK("http://www.otzar.org/book.asp?100346","אגרת הצופה")</f>
        <v>אגרת הצופה</v>
      </c>
    </row>
    <row r="614" spans="1:6" x14ac:dyDescent="0.2">
      <c r="A614" t="s">
        <v>1521</v>
      </c>
      <c r="B614" t="s">
        <v>1522</v>
      </c>
      <c r="C614" t="s">
        <v>20</v>
      </c>
      <c r="D614" t="s">
        <v>14</v>
      </c>
      <c r="E614" t="s">
        <v>241</v>
      </c>
      <c r="F614" s="2" t="str">
        <f>HYPERLINK("http://www.otzar.org/book.asp?626133","אגרת הקדש &lt;מהדורה חדשה&gt;")</f>
        <v>אגרת הקדש &lt;מהדורה חדשה&gt;</v>
      </c>
    </row>
    <row r="615" spans="1:6" x14ac:dyDescent="0.2">
      <c r="A615" t="s">
        <v>1523</v>
      </c>
      <c r="B615" t="s">
        <v>1522</v>
      </c>
      <c r="C615" t="s">
        <v>1524</v>
      </c>
      <c r="D615" t="s">
        <v>267</v>
      </c>
      <c r="F615" s="2" t="str">
        <f>HYPERLINK("http://www.otzar.org/book.asp?164725","אגרת הקדש")</f>
        <v>אגרת הקדש</v>
      </c>
    </row>
    <row r="616" spans="1:6" x14ac:dyDescent="0.2">
      <c r="A616" t="s">
        <v>1525</v>
      </c>
      <c r="B616" t="s">
        <v>1526</v>
      </c>
      <c r="C616" t="s">
        <v>1527</v>
      </c>
      <c r="D616" t="s">
        <v>1396</v>
      </c>
      <c r="F616" s="2" t="str">
        <f>HYPERLINK("http://www.otzar.org/book.asp?170250","אגרת הקדש - 2 כר'")</f>
        <v>אגרת הקדש - 2 כר'</v>
      </c>
    </row>
    <row r="617" spans="1:6" x14ac:dyDescent="0.2">
      <c r="A617" t="s">
        <v>1528</v>
      </c>
      <c r="B617" t="s">
        <v>1529</v>
      </c>
      <c r="C617" t="s">
        <v>543</v>
      </c>
      <c r="D617" t="s">
        <v>1530</v>
      </c>
      <c r="F617" s="2" t="str">
        <f>HYPERLINK("http://www.otzar.org/book.asp?164928","אגרת הקודש &lt;דפו""ר&gt;")</f>
        <v>אגרת הקודש &lt;דפו"ר&gt;</v>
      </c>
    </row>
    <row r="618" spans="1:6" x14ac:dyDescent="0.2">
      <c r="A618" t="s">
        <v>1531</v>
      </c>
      <c r="B618" t="s">
        <v>1532</v>
      </c>
      <c r="C618" t="s">
        <v>189</v>
      </c>
      <c r="D618" t="s">
        <v>14</v>
      </c>
      <c r="E618" t="s">
        <v>140</v>
      </c>
      <c r="F618" s="2" t="str">
        <f>HYPERLINK("http://www.otzar.org/book.asp?62794","אגרת הקודש לבעש""ט הקדוש &lt;עם ביאור&gt; - א")</f>
        <v>אגרת הקודש לבעש"ט הקדוש &lt;עם ביאור&gt; - א</v>
      </c>
    </row>
    <row r="619" spans="1:6" x14ac:dyDescent="0.2">
      <c r="A619" t="s">
        <v>1533</v>
      </c>
      <c r="B619" t="s">
        <v>1534</v>
      </c>
      <c r="C619" t="s">
        <v>1535</v>
      </c>
      <c r="D619" t="s">
        <v>27</v>
      </c>
      <c r="E619" t="s">
        <v>104</v>
      </c>
      <c r="F619" s="2" t="str">
        <f>HYPERLINK("http://www.otzar.org/book.asp?300137","אגרת הקודש")</f>
        <v>אגרת הקודש</v>
      </c>
    </row>
    <row r="620" spans="1:6" x14ac:dyDescent="0.2">
      <c r="A620" t="s">
        <v>1533</v>
      </c>
      <c r="B620" t="s">
        <v>1536</v>
      </c>
      <c r="C620" t="s">
        <v>1537</v>
      </c>
      <c r="D620" t="s">
        <v>1538</v>
      </c>
      <c r="F620" s="2" t="str">
        <f>HYPERLINK("http://www.otzar.org/book.asp?164724","אגרת הקודש")</f>
        <v>אגרת הקודש</v>
      </c>
    </row>
    <row r="621" spans="1:6" x14ac:dyDescent="0.2">
      <c r="A621" t="s">
        <v>1539</v>
      </c>
      <c r="B621" t="s">
        <v>1540</v>
      </c>
      <c r="C621" t="s">
        <v>884</v>
      </c>
      <c r="D621" t="s">
        <v>1541</v>
      </c>
      <c r="E621" t="s">
        <v>733</v>
      </c>
      <c r="F621" s="2" t="str">
        <f>HYPERLINK("http://www.otzar.org/book.asp?146859","אגרת הקנאות")</f>
        <v>אגרת הקנאות</v>
      </c>
    </row>
    <row r="622" spans="1:6" x14ac:dyDescent="0.2">
      <c r="A622" t="s">
        <v>1542</v>
      </c>
      <c r="B622" t="s">
        <v>1443</v>
      </c>
      <c r="C622" t="s">
        <v>23</v>
      </c>
      <c r="D622" t="s">
        <v>1205</v>
      </c>
      <c r="E622" t="s">
        <v>213</v>
      </c>
      <c r="F622" s="2" t="str">
        <f>HYPERLINK("http://www.otzar.org/book.asp?194259","אגרת הרב")</f>
        <v>אגרת הרב</v>
      </c>
    </row>
    <row r="623" spans="1:6" x14ac:dyDescent="0.2">
      <c r="A623" t="s">
        <v>1543</v>
      </c>
      <c r="B623" t="s">
        <v>1320</v>
      </c>
      <c r="C623" t="s">
        <v>1544</v>
      </c>
      <c r="D623" t="s">
        <v>1545</v>
      </c>
      <c r="E623" t="s">
        <v>104</v>
      </c>
      <c r="F623" s="2" t="str">
        <f>HYPERLINK("http://www.otzar.org/book.asp?53269","אגרת הרמב""ם על תכונה Astrologia Rabbi Mosis")</f>
        <v>אגרת הרמב"ם על תכונה Astrologia Rabbi Mosis</v>
      </c>
    </row>
    <row r="624" spans="1:6" x14ac:dyDescent="0.2">
      <c r="A624" t="s">
        <v>1546</v>
      </c>
      <c r="B624" t="s">
        <v>1547</v>
      </c>
      <c r="C624" t="s">
        <v>114</v>
      </c>
      <c r="D624" t="s">
        <v>52</v>
      </c>
      <c r="E624" t="s">
        <v>241</v>
      </c>
      <c r="F624" s="2" t="str">
        <f>HYPERLINK("http://www.otzar.org/book.asp?625838","אגרת הרמב""ן &lt;פתח אליהו&gt;")</f>
        <v>אגרת הרמב"ן &lt;פתח אליהו&gt;</v>
      </c>
    </row>
    <row r="625" spans="1:6" x14ac:dyDescent="0.2">
      <c r="A625" t="s">
        <v>1548</v>
      </c>
      <c r="B625" t="s">
        <v>1549</v>
      </c>
      <c r="C625" t="s">
        <v>37</v>
      </c>
      <c r="D625" t="s">
        <v>1550</v>
      </c>
      <c r="E625" t="s">
        <v>241</v>
      </c>
      <c r="F625" s="2" t="str">
        <f>HYPERLINK("http://www.otzar.org/book.asp?189218","אגרת הרמב""ן &lt;עם ביאורים הערות ומילואים&gt;")</f>
        <v>אגרת הרמב"ן &lt;עם ביאורים הערות ומילואים&gt;</v>
      </c>
    </row>
    <row r="626" spans="1:6" x14ac:dyDescent="0.2">
      <c r="A626" t="s">
        <v>1551</v>
      </c>
      <c r="B626" t="s">
        <v>1552</v>
      </c>
      <c r="C626" t="s">
        <v>366</v>
      </c>
      <c r="D626" t="s">
        <v>90</v>
      </c>
      <c r="E626" t="s">
        <v>104</v>
      </c>
      <c r="F626" s="2" t="str">
        <f>HYPERLINK("http://www.otzar.org/book.asp?606004","אגרת הרמב""ן עם באור נחם משה")</f>
        <v>אגרת הרמב"ן עם באור נחם משה</v>
      </c>
    </row>
    <row r="627" spans="1:6" x14ac:dyDescent="0.2">
      <c r="A627" t="s">
        <v>1553</v>
      </c>
      <c r="B627" t="s">
        <v>1554</v>
      </c>
      <c r="C627" t="s">
        <v>244</v>
      </c>
      <c r="D627" t="s">
        <v>52</v>
      </c>
      <c r="F627" s="2" t="str">
        <f>HYPERLINK("http://www.otzar.org/book.asp?630754","אגרת הרמב""ן עם ביאור חמדת יחזקאל")</f>
        <v>אגרת הרמב"ן עם ביאור חמדת יחזקאל</v>
      </c>
    </row>
    <row r="628" spans="1:6" x14ac:dyDescent="0.2">
      <c r="A628" t="s">
        <v>1555</v>
      </c>
      <c r="B628" t="s">
        <v>1552</v>
      </c>
      <c r="C628" t="s">
        <v>422</v>
      </c>
      <c r="D628" t="s">
        <v>14</v>
      </c>
      <c r="E628" t="s">
        <v>213</v>
      </c>
      <c r="F628" s="2" t="str">
        <f>HYPERLINK("http://www.otzar.org/book.asp?148663","אגרת הרמב""ן עם פירוש אגרת פתוחה")</f>
        <v>אגרת הרמב"ן עם פירוש אגרת פתוחה</v>
      </c>
    </row>
    <row r="629" spans="1:6" x14ac:dyDescent="0.2">
      <c r="A629" t="s">
        <v>1556</v>
      </c>
      <c r="B629" t="s">
        <v>1557</v>
      </c>
      <c r="C629" t="s">
        <v>37</v>
      </c>
      <c r="D629" t="s">
        <v>152</v>
      </c>
      <c r="E629" t="s">
        <v>241</v>
      </c>
      <c r="F629" s="2" t="str">
        <f>HYPERLINK("http://www.otzar.org/book.asp?610306","אגרת הרמב""ן עם פירוש פרשגן אגרתא")</f>
        <v>אגרת הרמב"ן עם פירוש פרשגן אגרתא</v>
      </c>
    </row>
    <row r="630" spans="1:6" x14ac:dyDescent="0.2">
      <c r="A630" t="s">
        <v>1558</v>
      </c>
      <c r="B630" t="s">
        <v>1402</v>
      </c>
      <c r="C630" t="s">
        <v>51</v>
      </c>
      <c r="D630" t="s">
        <v>52</v>
      </c>
      <c r="E630" t="s">
        <v>213</v>
      </c>
      <c r="F630" s="2" t="str">
        <f>HYPERLINK("http://www.otzar.org/book.asp?60146","אגרת הרמב""ן עם פירוש פתיחת האגרת")</f>
        <v>אגרת הרמב"ן עם פירוש פתיחת האגרת</v>
      </c>
    </row>
    <row r="631" spans="1:6" x14ac:dyDescent="0.2">
      <c r="A631" t="s">
        <v>1559</v>
      </c>
      <c r="B631" t="s">
        <v>1402</v>
      </c>
      <c r="C631" t="s">
        <v>189</v>
      </c>
      <c r="D631" t="s">
        <v>52</v>
      </c>
      <c r="E631" t="s">
        <v>241</v>
      </c>
      <c r="F631" s="2" t="str">
        <f>HYPERLINK("http://www.otzar.org/book.asp?157881","אגרת הרמב""ן עם פירוש")</f>
        <v>אגרת הרמב"ן עם פירוש</v>
      </c>
    </row>
    <row r="632" spans="1:6" x14ac:dyDescent="0.2">
      <c r="A632" t="s">
        <v>1560</v>
      </c>
      <c r="B632" t="s">
        <v>1561</v>
      </c>
      <c r="C632" t="s">
        <v>1562</v>
      </c>
      <c r="D632" t="s">
        <v>1563</v>
      </c>
      <c r="E632" t="s">
        <v>104</v>
      </c>
      <c r="F632" s="2" t="str">
        <f>HYPERLINK("http://www.otzar.org/book.asp?605090","אגרת הרמב""ן עם פתשגן הכתב")</f>
        <v>אגרת הרמב"ן עם פתשגן הכתב</v>
      </c>
    </row>
    <row r="633" spans="1:6" x14ac:dyDescent="0.2">
      <c r="A633" t="s">
        <v>1564</v>
      </c>
      <c r="B633" t="s">
        <v>1565</v>
      </c>
      <c r="C633" t="s">
        <v>492</v>
      </c>
      <c r="D633" t="s">
        <v>1566</v>
      </c>
      <c r="E633" t="s">
        <v>234</v>
      </c>
      <c r="F633" s="2" t="str">
        <f>HYPERLINK("http://www.otzar.org/book.asp?300136","אגרת השבת השניה")</f>
        <v>אגרת השבת השניה</v>
      </c>
    </row>
    <row r="634" spans="1:6" x14ac:dyDescent="0.2">
      <c r="A634" t="s">
        <v>1567</v>
      </c>
      <c r="B634" t="s">
        <v>1484</v>
      </c>
      <c r="C634" t="s">
        <v>1568</v>
      </c>
      <c r="D634" t="s">
        <v>1490</v>
      </c>
      <c r="E634" t="s">
        <v>213</v>
      </c>
      <c r="F634" s="2" t="str">
        <f>HYPERLINK("http://www.otzar.org/book.asp?62231","אגרת התוכחה והאמונה")</f>
        <v>אגרת התוכחה והאמונה</v>
      </c>
    </row>
    <row r="635" spans="1:6" x14ac:dyDescent="0.2">
      <c r="A635" t="s">
        <v>1569</v>
      </c>
      <c r="B635" t="s">
        <v>206</v>
      </c>
      <c r="C635" t="s">
        <v>1570</v>
      </c>
      <c r="D635" t="s">
        <v>52</v>
      </c>
      <c r="E635" t="s">
        <v>241</v>
      </c>
      <c r="F635" s="2" t="str">
        <f>HYPERLINK("http://www.otzar.org/book.asp?194975","אגרת התעוררות לזכר מרן המשגיח")</f>
        <v>אגרת התעוררות לזכר מרן המשגיח</v>
      </c>
    </row>
    <row r="636" spans="1:6" x14ac:dyDescent="0.2">
      <c r="A636" t="s">
        <v>1571</v>
      </c>
      <c r="B636" t="s">
        <v>1572</v>
      </c>
      <c r="C636" t="s">
        <v>558</v>
      </c>
      <c r="D636" t="s">
        <v>661</v>
      </c>
      <c r="E636" t="s">
        <v>241</v>
      </c>
      <c r="F636" s="2" t="str">
        <f>HYPERLINK("http://www.otzar.org/book.asp?141028","אגרת התשובה &lt;ראשון לציון&gt;")</f>
        <v>אגרת התשובה &lt;ראשון לציון&gt;</v>
      </c>
    </row>
    <row r="637" spans="1:6" x14ac:dyDescent="0.2">
      <c r="A637" t="s">
        <v>1573</v>
      </c>
      <c r="B637" t="s">
        <v>1574</v>
      </c>
      <c r="C637" t="s">
        <v>1575</v>
      </c>
      <c r="D637" t="s">
        <v>1576</v>
      </c>
      <c r="E637" t="s">
        <v>241</v>
      </c>
      <c r="F637" s="2" t="str">
        <f>HYPERLINK("http://www.otzar.org/book.asp?611734","אגרת התשובה &lt;דפו""ר&gt;")</f>
        <v>אגרת התשובה &lt;דפו"ר&gt;</v>
      </c>
    </row>
    <row r="638" spans="1:6" x14ac:dyDescent="0.2">
      <c r="A638" t="s">
        <v>1577</v>
      </c>
      <c r="B638" t="s">
        <v>1574</v>
      </c>
      <c r="C638" t="s">
        <v>438</v>
      </c>
      <c r="D638" t="s">
        <v>14</v>
      </c>
      <c r="E638" t="s">
        <v>1578</v>
      </c>
      <c r="F638" s="2" t="str">
        <f>HYPERLINK("http://www.otzar.org/book.asp?14277","אגרת התשובה השלם &lt;דברי האגרת&gt;")</f>
        <v>אגרת התשובה השלם &lt;דברי האגרת&gt;</v>
      </c>
    </row>
    <row r="639" spans="1:6" x14ac:dyDescent="0.2">
      <c r="A639" t="s">
        <v>1579</v>
      </c>
      <c r="B639" t="s">
        <v>1574</v>
      </c>
      <c r="C639" t="s">
        <v>1036</v>
      </c>
      <c r="D639" t="s">
        <v>1538</v>
      </c>
      <c r="E639" t="s">
        <v>241</v>
      </c>
      <c r="F639" s="2" t="str">
        <f>HYPERLINK("http://www.otzar.org/book.asp?102265","אגרת התשובה ויסוד התשובה")</f>
        <v>אגרת התשובה ויסוד התשובה</v>
      </c>
    </row>
    <row r="640" spans="1:6" x14ac:dyDescent="0.2">
      <c r="A640" t="s">
        <v>1580</v>
      </c>
      <c r="B640" t="s">
        <v>1581</v>
      </c>
      <c r="C640" t="s">
        <v>103</v>
      </c>
      <c r="D640" t="s">
        <v>412</v>
      </c>
      <c r="E640" t="s">
        <v>241</v>
      </c>
      <c r="F640" s="2" t="str">
        <f>HYPERLINK("http://www.otzar.org/book.asp?142509","אגרת התשובה עם פתשגן הכתב &lt;טקסט&gt;")</f>
        <v>אגרת התשובה עם פתשגן הכתב &lt;טקסט&gt;</v>
      </c>
    </row>
    <row r="641" spans="1:6" x14ac:dyDescent="0.2">
      <c r="A641" t="s">
        <v>1582</v>
      </c>
      <c r="B641" t="s">
        <v>1581</v>
      </c>
      <c r="C641" t="s">
        <v>103</v>
      </c>
      <c r="D641" t="s">
        <v>412</v>
      </c>
      <c r="E641" t="s">
        <v>241</v>
      </c>
      <c r="F641" s="2" t="str">
        <f>HYPERLINK("http://www.otzar.org/book.asp?21628","אגרת התשובה עם פתשגן הכתב &lt;משנה הלכות&gt;")</f>
        <v>אגרת התשובה עם פתשגן הכתב &lt;משנה הלכות&gt;</v>
      </c>
    </row>
    <row r="642" spans="1:6" x14ac:dyDescent="0.2">
      <c r="A642" t="s">
        <v>1583</v>
      </c>
      <c r="B642" t="s">
        <v>1584</v>
      </c>
      <c r="C642" t="s">
        <v>454</v>
      </c>
      <c r="E642" t="s">
        <v>241</v>
      </c>
      <c r="F642" s="2" t="str">
        <f>HYPERLINK("http://www.otzar.org/book.asp?174089","אגרת חיזוק")</f>
        <v>אגרת חיזוק</v>
      </c>
    </row>
    <row r="643" spans="1:6" x14ac:dyDescent="0.2">
      <c r="A643" t="s">
        <v>1585</v>
      </c>
      <c r="B643" t="s">
        <v>1586</v>
      </c>
      <c r="C643" t="s">
        <v>103</v>
      </c>
      <c r="D643" t="s">
        <v>152</v>
      </c>
      <c r="E643" t="s">
        <v>15</v>
      </c>
      <c r="F643" s="2" t="str">
        <f>HYPERLINK("http://www.otzar.org/book.asp?156180","אגרת חמד - ליקוטי דינים והנהגות לחתן")</f>
        <v>אגרת חמד - ליקוטי דינים והנהגות לחתן</v>
      </c>
    </row>
    <row r="644" spans="1:6" x14ac:dyDescent="0.2">
      <c r="A644" t="s">
        <v>1587</v>
      </c>
      <c r="B644" t="s">
        <v>1588</v>
      </c>
      <c r="C644" t="s">
        <v>558</v>
      </c>
      <c r="D644" t="s">
        <v>1589</v>
      </c>
      <c r="E644" t="s">
        <v>399</v>
      </c>
      <c r="F644" s="2" t="str">
        <f>HYPERLINK("http://www.otzar.org/book.asp?107362","אגרת חמודות")</f>
        <v>אגרת חמודות</v>
      </c>
    </row>
    <row r="645" spans="1:6" x14ac:dyDescent="0.2">
      <c r="A645" t="s">
        <v>1590</v>
      </c>
      <c r="B645" t="s">
        <v>1591</v>
      </c>
      <c r="C645" t="s">
        <v>1592</v>
      </c>
      <c r="D645" t="s">
        <v>1593</v>
      </c>
      <c r="E645" t="s">
        <v>104</v>
      </c>
      <c r="F645" s="2" t="str">
        <f>HYPERLINK("http://www.otzar.org/book.asp?146853","אגרת יוסף")</f>
        <v>אגרת יוסף</v>
      </c>
    </row>
    <row r="646" spans="1:6" x14ac:dyDescent="0.2">
      <c r="A646" t="s">
        <v>1594</v>
      </c>
      <c r="B646" t="s">
        <v>1595</v>
      </c>
      <c r="C646" t="s">
        <v>1596</v>
      </c>
      <c r="D646" t="s">
        <v>744</v>
      </c>
      <c r="E646" t="s">
        <v>219</v>
      </c>
      <c r="F646" s="2" t="str">
        <f>HYPERLINK("http://www.otzar.org/book.asp?147193","אגרת יצחק")</f>
        <v>אגרת יצחק</v>
      </c>
    </row>
    <row r="647" spans="1:6" x14ac:dyDescent="0.2">
      <c r="A647" t="s">
        <v>1597</v>
      </c>
      <c r="B647" t="s">
        <v>1443</v>
      </c>
      <c r="C647" t="s">
        <v>23</v>
      </c>
      <c r="D647" t="s">
        <v>1205</v>
      </c>
      <c r="E647" t="s">
        <v>241</v>
      </c>
      <c r="F647" s="2" t="str">
        <f>HYPERLINK("http://www.otzar.org/book.asp?194258","אגרת ישרים")</f>
        <v>אגרת ישרים</v>
      </c>
    </row>
    <row r="648" spans="1:6" x14ac:dyDescent="0.2">
      <c r="A648" t="s">
        <v>1598</v>
      </c>
      <c r="E648" t="s">
        <v>241</v>
      </c>
      <c r="F648" s="2" t="str">
        <f>HYPERLINK("http://www.otzar.org/book.asp?623949","אגרת לבן דורנו")</f>
        <v>אגרת לבן דורנו</v>
      </c>
    </row>
    <row r="649" spans="1:6" x14ac:dyDescent="0.2">
      <c r="A649" t="s">
        <v>1599</v>
      </c>
      <c r="B649" t="s">
        <v>1600</v>
      </c>
      <c r="C649" t="s">
        <v>466</v>
      </c>
      <c r="D649" t="s">
        <v>14</v>
      </c>
      <c r="E649" t="s">
        <v>241</v>
      </c>
      <c r="F649" s="2" t="str">
        <f>HYPERLINK("http://www.otzar.org/book.asp?60626","אגרת לבן תורה - 2 כר'")</f>
        <v>אגרת לבן תורה - 2 כר'</v>
      </c>
    </row>
    <row r="650" spans="1:6" x14ac:dyDescent="0.2">
      <c r="A650" t="s">
        <v>1601</v>
      </c>
      <c r="B650" t="s">
        <v>1602</v>
      </c>
      <c r="C650" t="s">
        <v>313</v>
      </c>
      <c r="D650" t="s">
        <v>14</v>
      </c>
      <c r="E650" t="s">
        <v>241</v>
      </c>
      <c r="F650" s="2" t="str">
        <f>HYPERLINK("http://www.otzar.org/book.asp?105248","אגרת לבת ישראל")</f>
        <v>אגרת לבת ישראל</v>
      </c>
    </row>
    <row r="651" spans="1:6" x14ac:dyDescent="0.2">
      <c r="A651" t="s">
        <v>1603</v>
      </c>
      <c r="B651" t="s">
        <v>1604</v>
      </c>
      <c r="C651" t="s">
        <v>20</v>
      </c>
      <c r="D651" t="s">
        <v>14</v>
      </c>
      <c r="E651" t="s">
        <v>674</v>
      </c>
      <c r="F651" s="2" t="str">
        <f>HYPERLINK("http://www.otzar.org/book.asp?52648","אגרת לחתן")</f>
        <v>אגרת לחתן</v>
      </c>
    </row>
    <row r="652" spans="1:6" x14ac:dyDescent="0.2">
      <c r="A652" t="s">
        <v>1605</v>
      </c>
      <c r="B652" t="s">
        <v>1604</v>
      </c>
      <c r="C652" t="s">
        <v>20</v>
      </c>
      <c r="D652" t="s">
        <v>14</v>
      </c>
      <c r="E652" t="s">
        <v>674</v>
      </c>
      <c r="F652" s="2" t="str">
        <f>HYPERLINK("http://www.otzar.org/book.asp?52647","אגרת לכלה")</f>
        <v>אגרת לכלה</v>
      </c>
    </row>
    <row r="653" spans="1:6" x14ac:dyDescent="0.2">
      <c r="A653" t="s">
        <v>1606</v>
      </c>
      <c r="B653" t="s">
        <v>107</v>
      </c>
      <c r="C653" t="s">
        <v>20</v>
      </c>
      <c r="D653" t="s">
        <v>14</v>
      </c>
      <c r="E653" t="s">
        <v>104</v>
      </c>
      <c r="F653" s="2" t="str">
        <f>HYPERLINK("http://www.otzar.org/book.asp?164073","אגרת למבקרים בארץ הקודש")</f>
        <v>אגרת למבקרים בארץ הקודש</v>
      </c>
    </row>
    <row r="654" spans="1:6" x14ac:dyDescent="0.2">
      <c r="A654" t="s">
        <v>1607</v>
      </c>
      <c r="B654" t="s">
        <v>1608</v>
      </c>
      <c r="C654" t="s">
        <v>1609</v>
      </c>
      <c r="D654" t="s">
        <v>27</v>
      </c>
      <c r="E654" t="s">
        <v>1610</v>
      </c>
      <c r="F654" s="2" t="str">
        <f>HYPERLINK("http://www.otzar.org/book.asp?8624","אגרת לנבוכים")</f>
        <v>אגרת לנבוכים</v>
      </c>
    </row>
    <row r="655" spans="1:6" x14ac:dyDescent="0.2">
      <c r="A655" t="s">
        <v>1611</v>
      </c>
      <c r="B655" t="s">
        <v>1612</v>
      </c>
      <c r="C655" t="s">
        <v>1228</v>
      </c>
      <c r="D655" t="s">
        <v>225</v>
      </c>
      <c r="E655" t="s">
        <v>104</v>
      </c>
      <c r="F655" s="2" t="str">
        <f>HYPERLINK("http://www.otzar.org/book.asp?189383","אגרת לקץ הימין - 2 כר'")</f>
        <v>אגרת לקץ הימין - 2 כר'</v>
      </c>
    </row>
    <row r="656" spans="1:6" x14ac:dyDescent="0.2">
      <c r="A656" t="s">
        <v>1613</v>
      </c>
      <c r="B656" t="s">
        <v>1614</v>
      </c>
      <c r="C656" t="s">
        <v>1208</v>
      </c>
      <c r="D656" t="s">
        <v>260</v>
      </c>
      <c r="E656" t="s">
        <v>104</v>
      </c>
      <c r="F656" s="2" t="str">
        <f>HYPERLINK("http://www.otzar.org/book.asp?197414","אגרת לתלמידים")</f>
        <v>אגרת לתלמידים</v>
      </c>
    </row>
    <row r="657" spans="1:6" x14ac:dyDescent="0.2">
      <c r="A657" t="s">
        <v>1615</v>
      </c>
      <c r="B657" t="s">
        <v>1443</v>
      </c>
      <c r="C657" t="s">
        <v>23</v>
      </c>
      <c r="D657" t="s">
        <v>1205</v>
      </c>
      <c r="E657" t="s">
        <v>241</v>
      </c>
      <c r="F657" s="2" t="str">
        <f>HYPERLINK("http://www.otzar.org/book.asp?194257","אגרת מאמרים")</f>
        <v>אגרת מאמרים</v>
      </c>
    </row>
    <row r="658" spans="1:6" x14ac:dyDescent="0.2">
      <c r="A658" t="s">
        <v>1616</v>
      </c>
      <c r="B658" t="s">
        <v>1617</v>
      </c>
      <c r="C658" t="s">
        <v>1470</v>
      </c>
      <c r="D658" t="s">
        <v>563</v>
      </c>
      <c r="E658" t="s">
        <v>674</v>
      </c>
      <c r="F658" s="2" t="str">
        <f>HYPERLINK("http://www.otzar.org/book.asp?23577","אגרת מבית דין צדק לונדון והמדינה")</f>
        <v>אגרת מבית דין צדק לונדון והמדינה</v>
      </c>
    </row>
    <row r="659" spans="1:6" x14ac:dyDescent="0.2">
      <c r="A659" t="s">
        <v>1618</v>
      </c>
      <c r="B659" t="s">
        <v>1618</v>
      </c>
      <c r="C659" t="s">
        <v>1619</v>
      </c>
      <c r="D659" t="s">
        <v>14</v>
      </c>
      <c r="F659" s="2" t="str">
        <f>HYPERLINK("http://www.otzar.org/book.asp?618432","אגרת מבני משה")</f>
        <v>אגרת מבני משה</v>
      </c>
    </row>
    <row r="660" spans="1:6" x14ac:dyDescent="0.2">
      <c r="A660" t="s">
        <v>1620</v>
      </c>
      <c r="B660" t="s">
        <v>1621</v>
      </c>
      <c r="C660" t="s">
        <v>454</v>
      </c>
      <c r="E660" t="s">
        <v>241</v>
      </c>
      <c r="F660" s="2" t="str">
        <f>HYPERLINK("http://www.otzar.org/book.asp?174088","אגרת מהישיבה - א")</f>
        <v>אגרת מהישיבה - א</v>
      </c>
    </row>
    <row r="661" spans="1:6" x14ac:dyDescent="0.2">
      <c r="A661" t="s">
        <v>1622</v>
      </c>
      <c r="B661" t="s">
        <v>1484</v>
      </c>
      <c r="C661" t="s">
        <v>558</v>
      </c>
      <c r="D661" t="s">
        <v>225</v>
      </c>
      <c r="E661" t="s">
        <v>241</v>
      </c>
      <c r="F661" s="2" t="str">
        <f>HYPERLINK("http://www.otzar.org/book.asp?15888","אגרת מוסר - 3 כר'")</f>
        <v>אגרת מוסר - 3 כר'</v>
      </c>
    </row>
    <row r="662" spans="1:6" x14ac:dyDescent="0.2">
      <c r="A662" t="s">
        <v>1623</v>
      </c>
      <c r="B662" t="s">
        <v>1624</v>
      </c>
      <c r="C662" t="s">
        <v>1625</v>
      </c>
      <c r="D662" t="s">
        <v>1490</v>
      </c>
      <c r="E662" t="s">
        <v>1626</v>
      </c>
      <c r="F662" s="2" t="str">
        <f>HYPERLINK("http://www.otzar.org/book.asp?146931","אגרת מנשי ירושלים באשכנזי-יהודית")</f>
        <v>אגרת מנשי ירושלים באשכנזי-יהודית</v>
      </c>
    </row>
    <row r="663" spans="1:6" x14ac:dyDescent="0.2">
      <c r="A663" t="s">
        <v>1627</v>
      </c>
      <c r="B663" t="s">
        <v>1628</v>
      </c>
      <c r="C663" t="s">
        <v>1629</v>
      </c>
      <c r="D663" t="s">
        <v>1411</v>
      </c>
      <c r="E663" t="s">
        <v>104</v>
      </c>
      <c r="F663" s="2" t="str">
        <f>HYPERLINK("http://www.otzar.org/book.asp?614531","אגרת מספרת יחסותא דצדיקי דארעא דישראל - 2 כר'")</f>
        <v>אגרת מספרת יחסותא דצדיקי דארעא דישראל - 2 כר'</v>
      </c>
    </row>
    <row r="664" spans="1:6" x14ac:dyDescent="0.2">
      <c r="A664" t="s">
        <v>1630</v>
      </c>
      <c r="B664" t="s">
        <v>1631</v>
      </c>
      <c r="C664" t="s">
        <v>68</v>
      </c>
      <c r="D664" t="s">
        <v>1632</v>
      </c>
      <c r="E664" t="s">
        <v>241</v>
      </c>
      <c r="F664" s="2" t="str">
        <f>HYPERLINK("http://www.otzar.org/book.asp?169893","אגרת על הבטחון")</f>
        <v>אגרת על הבטחון</v>
      </c>
    </row>
    <row r="665" spans="1:6" x14ac:dyDescent="0.2">
      <c r="A665" t="s">
        <v>1633</v>
      </c>
      <c r="B665" t="s">
        <v>1634</v>
      </c>
      <c r="C665" t="s">
        <v>1418</v>
      </c>
      <c r="D665" t="s">
        <v>1635</v>
      </c>
      <c r="E665" t="s">
        <v>241</v>
      </c>
      <c r="F665" s="2" t="str">
        <f>HYPERLINK("http://www.otzar.org/book.asp?26088","אגרת פתוחה")</f>
        <v>אגרת פתוחה</v>
      </c>
    </row>
    <row r="666" spans="1:6" x14ac:dyDescent="0.2">
      <c r="A666" t="s">
        <v>1636</v>
      </c>
      <c r="B666" t="s">
        <v>285</v>
      </c>
      <c r="C666" t="s">
        <v>8</v>
      </c>
      <c r="D666" t="s">
        <v>1637</v>
      </c>
      <c r="E666" t="s">
        <v>241</v>
      </c>
      <c r="F666" s="2" t="str">
        <f>HYPERLINK("http://www.otzar.org/book.asp?300144","אגרת צפון")</f>
        <v>אגרת צפון</v>
      </c>
    </row>
    <row r="667" spans="1:6" x14ac:dyDescent="0.2">
      <c r="A667" t="s">
        <v>1638</v>
      </c>
      <c r="B667" t="s">
        <v>1639</v>
      </c>
      <c r="C667" t="s">
        <v>1640</v>
      </c>
      <c r="D667" t="s">
        <v>27</v>
      </c>
      <c r="E667" t="s">
        <v>104</v>
      </c>
      <c r="F667" s="2" t="str">
        <f>HYPERLINK("http://www.otzar.org/book.asp?189880","אגרת קודש")</f>
        <v>אגרת קודש</v>
      </c>
    </row>
    <row r="668" spans="1:6" x14ac:dyDescent="0.2">
      <c r="A668" t="s">
        <v>1641</v>
      </c>
      <c r="B668" t="s">
        <v>1642</v>
      </c>
      <c r="C668" t="s">
        <v>20</v>
      </c>
      <c r="D668" t="s">
        <v>1643</v>
      </c>
      <c r="F668" s="2" t="str">
        <f>HYPERLINK("http://www.otzar.org/book.asp?620591","אגרת קץ חי")</f>
        <v>אגרת קץ חי</v>
      </c>
    </row>
    <row r="669" spans="1:6" x14ac:dyDescent="0.2">
      <c r="A669" t="s">
        <v>1644</v>
      </c>
      <c r="B669" t="s">
        <v>1645</v>
      </c>
      <c r="C669" t="s">
        <v>422</v>
      </c>
      <c r="D669" t="s">
        <v>1646</v>
      </c>
      <c r="E669" t="s">
        <v>119</v>
      </c>
      <c r="F669" s="2" t="str">
        <f>HYPERLINK("http://www.otzar.org/book.asp?164011","אגרת רב שרירא גאון &lt;עם פירוש יושב אהלים&gt;")</f>
        <v>אגרת רב שרירא גאון &lt;עם פירוש יושב אהלים&gt;</v>
      </c>
    </row>
    <row r="670" spans="1:6" x14ac:dyDescent="0.2">
      <c r="A670" t="s">
        <v>1647</v>
      </c>
      <c r="B670" t="s">
        <v>1648</v>
      </c>
      <c r="C670" t="s">
        <v>775</v>
      </c>
      <c r="D670" t="s">
        <v>14</v>
      </c>
      <c r="E670" t="s">
        <v>733</v>
      </c>
      <c r="F670" s="2" t="str">
        <f>HYPERLINK("http://www.otzar.org/book.asp?6634","אגרת רב שרירא גאון &lt;עם תרגום עברי&gt;")</f>
        <v>אגרת רב שרירא גאון &lt;עם תרגום עברי&gt;</v>
      </c>
    </row>
    <row r="671" spans="1:6" x14ac:dyDescent="0.2">
      <c r="A671" t="s">
        <v>1649</v>
      </c>
      <c r="B671" t="s">
        <v>1429</v>
      </c>
      <c r="C671" t="s">
        <v>1650</v>
      </c>
      <c r="D671" t="s">
        <v>1651</v>
      </c>
      <c r="E671" t="s">
        <v>733</v>
      </c>
      <c r="F671" s="2" t="str">
        <f>HYPERLINK("http://www.otzar.org/book.asp?14716","אגרת רב שרירא גאון")</f>
        <v>אגרת רב שרירא גאון</v>
      </c>
    </row>
    <row r="672" spans="1:6" x14ac:dyDescent="0.2">
      <c r="A672" t="s">
        <v>1652</v>
      </c>
      <c r="B672" t="s">
        <v>1653</v>
      </c>
      <c r="C672" t="s">
        <v>433</v>
      </c>
      <c r="D672" t="s">
        <v>1654</v>
      </c>
      <c r="E672" t="s">
        <v>104</v>
      </c>
      <c r="F672" s="2" t="str">
        <f>HYPERLINK("http://www.otzar.org/book.asp?627373","אגרת רבי יהודה בן קוריש")</f>
        <v>אגרת רבי יהודה בן קוריש</v>
      </c>
    </row>
    <row r="673" spans="1:6" x14ac:dyDescent="0.2">
      <c r="A673" t="s">
        <v>1655</v>
      </c>
      <c r="B673" t="s">
        <v>1656</v>
      </c>
      <c r="C673" t="s">
        <v>581</v>
      </c>
      <c r="D673" t="s">
        <v>303</v>
      </c>
      <c r="E673" t="s">
        <v>15</v>
      </c>
      <c r="F673" s="2" t="str">
        <f>HYPERLINK("http://www.otzar.org/book.asp?200111","אגרת שבוקין")</f>
        <v>אגרת שבוקין</v>
      </c>
    </row>
    <row r="674" spans="1:6" x14ac:dyDescent="0.2">
      <c r="A674" t="s">
        <v>1657</v>
      </c>
      <c r="B674" t="s">
        <v>1658</v>
      </c>
      <c r="C674" t="s">
        <v>1659</v>
      </c>
      <c r="D674" t="s">
        <v>1660</v>
      </c>
      <c r="E674" t="s">
        <v>733</v>
      </c>
      <c r="F674" s="2" t="str">
        <f>HYPERLINK("http://www.otzar.org/book.asp?84543","אגרת שליחות - 10 כר'")</f>
        <v>אגרת שליחות - 10 כר'</v>
      </c>
    </row>
    <row r="675" spans="1:6" x14ac:dyDescent="0.2">
      <c r="A675" t="s">
        <v>1661</v>
      </c>
      <c r="B675" t="s">
        <v>1662</v>
      </c>
      <c r="C675" t="s">
        <v>1663</v>
      </c>
      <c r="D675" t="s">
        <v>27</v>
      </c>
      <c r="E675" t="s">
        <v>104</v>
      </c>
      <c r="F675" s="2" t="str">
        <f>HYPERLINK("http://www.otzar.org/book.asp?149146","אגרת שלמה")</f>
        <v>אגרת שלמה</v>
      </c>
    </row>
    <row r="676" spans="1:6" x14ac:dyDescent="0.2">
      <c r="A676" t="s">
        <v>1664</v>
      </c>
      <c r="B676" t="s">
        <v>1665</v>
      </c>
      <c r="C676" t="s">
        <v>1666</v>
      </c>
      <c r="D676" t="s">
        <v>1667</v>
      </c>
      <c r="F676" s="2" t="str">
        <f>HYPERLINK("http://www.otzar.org/book.asp?611747","אגרת שמואל &lt;דפו""ר&gt;")</f>
        <v>אגרת שמואל &lt;דפו"ר&gt;</v>
      </c>
    </row>
    <row r="677" spans="1:6" x14ac:dyDescent="0.2">
      <c r="A677" t="s">
        <v>1668</v>
      </c>
      <c r="B677" t="s">
        <v>1665</v>
      </c>
      <c r="C677" t="s">
        <v>1437</v>
      </c>
      <c r="D677" t="s">
        <v>379</v>
      </c>
      <c r="E677" t="s">
        <v>158</v>
      </c>
      <c r="F677" s="2" t="str">
        <f>HYPERLINK("http://www.otzar.org/book.asp?10149","אגרת שמואל")</f>
        <v>אגרת שמואל</v>
      </c>
    </row>
    <row r="678" spans="1:6" x14ac:dyDescent="0.2">
      <c r="A678" t="s">
        <v>1669</v>
      </c>
      <c r="B678" t="s">
        <v>1406</v>
      </c>
      <c r="C678" t="s">
        <v>1670</v>
      </c>
      <c r="D678" t="s">
        <v>1411</v>
      </c>
      <c r="F678" s="2" t="str">
        <f>HYPERLINK("http://www.otzar.org/book.asp?170157","אגרת שמים לרום")</f>
        <v>אגרת שמים לרום</v>
      </c>
    </row>
    <row r="679" spans="1:6" x14ac:dyDescent="0.2">
      <c r="A679" t="s">
        <v>1671</v>
      </c>
      <c r="B679" t="s">
        <v>1672</v>
      </c>
      <c r="C679" t="s">
        <v>411</v>
      </c>
      <c r="D679" t="s">
        <v>412</v>
      </c>
      <c r="E679" t="s">
        <v>15</v>
      </c>
      <c r="F679" s="2" t="str">
        <f>HYPERLINK("http://www.otzar.org/book.asp?172214","אגרת תימן &lt;אמונת אומן&gt;")</f>
        <v>אגרת תימן &lt;אמונת אומן&gt;</v>
      </c>
    </row>
    <row r="680" spans="1:6" x14ac:dyDescent="0.2">
      <c r="A680" t="s">
        <v>1673</v>
      </c>
      <c r="B680" t="s">
        <v>514</v>
      </c>
      <c r="C680" t="s">
        <v>266</v>
      </c>
      <c r="D680" t="s">
        <v>1674</v>
      </c>
      <c r="E680" t="s">
        <v>213</v>
      </c>
      <c r="F680" s="2" t="str">
        <f>HYPERLINK("http://www.otzar.org/book.asp?15811","אגרת תימן השנית")</f>
        <v>אגרת תימן השנית</v>
      </c>
    </row>
    <row r="681" spans="1:6" x14ac:dyDescent="0.2">
      <c r="A681" t="s">
        <v>1675</v>
      </c>
      <c r="B681" t="s">
        <v>1320</v>
      </c>
      <c r="C681" t="s">
        <v>523</v>
      </c>
      <c r="D681" t="s">
        <v>52</v>
      </c>
      <c r="E681" t="s">
        <v>104</v>
      </c>
      <c r="F681" s="2" t="str">
        <f>HYPERLINK("http://www.otzar.org/book.asp?626315","אגרת תימן - 5 כר'")</f>
        <v>אגרת תימן - 5 כר'</v>
      </c>
    </row>
    <row r="682" spans="1:6" x14ac:dyDescent="0.2">
      <c r="A682" t="s">
        <v>1676</v>
      </c>
      <c r="B682" t="s">
        <v>1677</v>
      </c>
      <c r="C682" t="s">
        <v>332</v>
      </c>
      <c r="D682" t="s">
        <v>14</v>
      </c>
      <c r="F682" s="2" t="str">
        <f>HYPERLINK("http://www.otzar.org/book.asp?613382","אגרת תק""ח")</f>
        <v>אגרת תק"ח</v>
      </c>
    </row>
    <row r="683" spans="1:6" x14ac:dyDescent="0.2">
      <c r="A683" t="s">
        <v>1678</v>
      </c>
      <c r="B683" t="s">
        <v>1320</v>
      </c>
      <c r="C683" t="s">
        <v>1679</v>
      </c>
      <c r="D683" t="s">
        <v>744</v>
      </c>
      <c r="E683" t="s">
        <v>606</v>
      </c>
      <c r="F683" s="2" t="str">
        <f>HYPERLINK("http://www.otzar.org/book.asp?189170","אגרת תשובת רמב""ם")</f>
        <v>אגרת תשובת רמב"ם</v>
      </c>
    </row>
    <row r="684" spans="1:6" x14ac:dyDescent="0.2">
      <c r="A684" t="s">
        <v>1680</v>
      </c>
      <c r="B684" t="s">
        <v>1681</v>
      </c>
      <c r="C684" t="s">
        <v>13</v>
      </c>
      <c r="D684" t="s">
        <v>80</v>
      </c>
      <c r="F684" s="2" t="str">
        <f>HYPERLINK("http://www.otzar.org/book.asp?606795","אגרתא דחדוותא - 20 כר'")</f>
        <v>אגרתא דחדוותא - 20 כר'</v>
      </c>
    </row>
    <row r="685" spans="1:6" x14ac:dyDescent="0.2">
      <c r="A685" t="s">
        <v>1682</v>
      </c>
      <c r="B685" t="s">
        <v>1683</v>
      </c>
      <c r="C685" t="s">
        <v>1208</v>
      </c>
      <c r="D685" t="s">
        <v>52</v>
      </c>
      <c r="E685" t="s">
        <v>1684</v>
      </c>
      <c r="F685" s="2" t="str">
        <f>HYPERLINK("http://www.otzar.org/book.asp?144685","אד יעלה")</f>
        <v>אד יעלה</v>
      </c>
    </row>
    <row r="686" spans="1:6" x14ac:dyDescent="0.2">
      <c r="A686" t="s">
        <v>1682</v>
      </c>
      <c r="B686" t="s">
        <v>552</v>
      </c>
      <c r="C686" t="s">
        <v>313</v>
      </c>
      <c r="D686" t="s">
        <v>14</v>
      </c>
      <c r="E686" t="s">
        <v>202</v>
      </c>
      <c r="F686" s="2" t="str">
        <f>HYPERLINK("http://www.otzar.org/book.asp?53664","אד יעלה")</f>
        <v>אד יעלה</v>
      </c>
    </row>
    <row r="687" spans="1:6" x14ac:dyDescent="0.2">
      <c r="A687" t="s">
        <v>1685</v>
      </c>
      <c r="B687" t="s">
        <v>1686</v>
      </c>
      <c r="C687" t="s">
        <v>151</v>
      </c>
      <c r="D687" t="s">
        <v>412</v>
      </c>
      <c r="E687" t="s">
        <v>230</v>
      </c>
      <c r="F687" s="2" t="str">
        <f>HYPERLINK("http://www.otzar.org/book.asp?617737","אדבר בם")</f>
        <v>אדבר בם</v>
      </c>
    </row>
    <row r="688" spans="1:6" x14ac:dyDescent="0.2">
      <c r="A688" t="s">
        <v>1687</v>
      </c>
      <c r="B688" t="s">
        <v>1688</v>
      </c>
      <c r="C688" t="s">
        <v>111</v>
      </c>
      <c r="D688" t="s">
        <v>14</v>
      </c>
      <c r="E688" t="s">
        <v>130</v>
      </c>
      <c r="F688" s="2" t="str">
        <f>HYPERLINK("http://www.otzar.org/book.asp?623539","אדברה בעדותיך")</f>
        <v>אדברה בעדותיך</v>
      </c>
    </row>
    <row r="689" spans="1:6" x14ac:dyDescent="0.2">
      <c r="A689" t="s">
        <v>1689</v>
      </c>
      <c r="B689" t="s">
        <v>489</v>
      </c>
      <c r="C689" t="s">
        <v>20</v>
      </c>
      <c r="D689" t="s">
        <v>152</v>
      </c>
      <c r="F689" s="2" t="str">
        <f>HYPERLINK("http://www.otzar.org/book.asp?613779","אדברה נא")</f>
        <v>אדברה נא</v>
      </c>
    </row>
    <row r="690" spans="1:6" x14ac:dyDescent="0.2">
      <c r="A690" t="s">
        <v>1690</v>
      </c>
      <c r="B690" t="s">
        <v>1691</v>
      </c>
      <c r="C690" t="s">
        <v>422</v>
      </c>
      <c r="D690" t="s">
        <v>14</v>
      </c>
      <c r="E690" t="s">
        <v>246</v>
      </c>
      <c r="F690" s="2" t="str">
        <f>HYPERLINK("http://www.otzar.org/book.asp?619226","אדון הסליחות")</f>
        <v>אדון הסליחות</v>
      </c>
    </row>
    <row r="691" spans="1:6" x14ac:dyDescent="0.2">
      <c r="A691" t="s">
        <v>1692</v>
      </c>
      <c r="B691" t="s">
        <v>1693</v>
      </c>
      <c r="C691" t="s">
        <v>114</v>
      </c>
      <c r="D691" t="s">
        <v>14</v>
      </c>
      <c r="F691" s="2" t="str">
        <f>HYPERLINK("http://www.otzar.org/book.asp?169665","אדיר במלוכה - 2 כר'")</f>
        <v>אדיר במלוכה - 2 כר'</v>
      </c>
    </row>
    <row r="692" spans="1:6" x14ac:dyDescent="0.2">
      <c r="A692" t="s">
        <v>1694</v>
      </c>
      <c r="B692" t="s">
        <v>686</v>
      </c>
      <c r="C692" t="s">
        <v>775</v>
      </c>
      <c r="D692" t="s">
        <v>52</v>
      </c>
      <c r="E692" t="s">
        <v>564</v>
      </c>
      <c r="F692" s="2" t="str">
        <f>HYPERLINK("http://www.otzar.org/book.asp?189251","אדיר במרום")</f>
        <v>אדיר במרום</v>
      </c>
    </row>
    <row r="693" spans="1:6" x14ac:dyDescent="0.2">
      <c r="A693" t="s">
        <v>1695</v>
      </c>
      <c r="B693" t="s">
        <v>1390</v>
      </c>
      <c r="C693" t="s">
        <v>896</v>
      </c>
      <c r="D693" t="s">
        <v>283</v>
      </c>
      <c r="E693" t="s">
        <v>399</v>
      </c>
      <c r="F693" s="2" t="str">
        <f>HYPERLINK("http://www.otzar.org/book.asp?12753","אדיר במרום - 2 כר'")</f>
        <v>אדיר במרום - 2 כר'</v>
      </c>
    </row>
    <row r="694" spans="1:6" x14ac:dyDescent="0.2">
      <c r="A694" t="s">
        <v>1694</v>
      </c>
      <c r="B694" t="s">
        <v>1696</v>
      </c>
      <c r="C694" t="s">
        <v>103</v>
      </c>
      <c r="D694" t="s">
        <v>52</v>
      </c>
      <c r="E694" t="s">
        <v>1697</v>
      </c>
      <c r="F694" s="2" t="str">
        <f>HYPERLINK("http://www.otzar.org/book.asp?50406","אדיר במרום")</f>
        <v>אדיר במרום</v>
      </c>
    </row>
    <row r="695" spans="1:6" x14ac:dyDescent="0.2">
      <c r="A695" t="s">
        <v>1694</v>
      </c>
      <c r="B695" t="s">
        <v>1698</v>
      </c>
      <c r="C695" t="s">
        <v>103</v>
      </c>
      <c r="D695" t="s">
        <v>1180</v>
      </c>
      <c r="E695" t="s">
        <v>15</v>
      </c>
      <c r="F695" s="2" t="str">
        <f>HYPERLINK("http://www.otzar.org/book.asp?50315","אדיר במרום")</f>
        <v>אדיר במרום</v>
      </c>
    </row>
    <row r="696" spans="1:6" x14ac:dyDescent="0.2">
      <c r="A696" t="s">
        <v>1699</v>
      </c>
      <c r="B696" t="s">
        <v>1700</v>
      </c>
      <c r="C696" t="s">
        <v>244</v>
      </c>
      <c r="D696" t="s">
        <v>367</v>
      </c>
      <c r="F696" s="2" t="str">
        <f>HYPERLINK("http://www.otzar.org/book.asp?600329","אדיר ישעך")</f>
        <v>אדיר ישעך</v>
      </c>
    </row>
    <row r="697" spans="1:6" x14ac:dyDescent="0.2">
      <c r="A697" t="s">
        <v>1701</v>
      </c>
      <c r="B697" t="s">
        <v>1702</v>
      </c>
      <c r="C697" t="s">
        <v>111</v>
      </c>
      <c r="D697" t="s">
        <v>52</v>
      </c>
      <c r="F697" s="2" t="str">
        <f>HYPERLINK("http://www.otzar.org/book.asp?623007","אדם גדול הוא ושמח במצות")</f>
        <v>אדם גדול הוא ושמח במצות</v>
      </c>
    </row>
    <row r="698" spans="1:6" x14ac:dyDescent="0.2">
      <c r="A698" t="s">
        <v>1703</v>
      </c>
      <c r="B698" t="s">
        <v>1704</v>
      </c>
      <c r="C698" t="s">
        <v>843</v>
      </c>
      <c r="D698" t="s">
        <v>27</v>
      </c>
      <c r="E698" t="s">
        <v>241</v>
      </c>
      <c r="F698" s="2" t="str">
        <f>HYPERLINK("http://www.otzar.org/book.asp?300145","אדם דמות נפשו ומדותיו - א - ב")</f>
        <v>אדם דמות נפשו ומדותיו - א - ב</v>
      </c>
    </row>
    <row r="699" spans="1:6" x14ac:dyDescent="0.2">
      <c r="A699" t="s">
        <v>1705</v>
      </c>
      <c r="B699" t="s">
        <v>865</v>
      </c>
      <c r="C699" t="s">
        <v>1706</v>
      </c>
      <c r="D699" t="s">
        <v>283</v>
      </c>
      <c r="E699" t="s">
        <v>241</v>
      </c>
      <c r="F699" s="2" t="str">
        <f>HYPERLINK("http://www.otzar.org/book.asp?169716","אדם המעלה")</f>
        <v>אדם המעלה</v>
      </c>
    </row>
    <row r="700" spans="1:6" x14ac:dyDescent="0.2">
      <c r="A700" t="s">
        <v>1707</v>
      </c>
      <c r="B700" t="s">
        <v>1708</v>
      </c>
      <c r="C700" t="s">
        <v>581</v>
      </c>
      <c r="D700" t="s">
        <v>412</v>
      </c>
      <c r="F700" s="2" t="str">
        <f>HYPERLINK("http://www.otzar.org/book.asp?620631","אדם העליון")</f>
        <v>אדם העליון</v>
      </c>
    </row>
    <row r="701" spans="1:6" x14ac:dyDescent="0.2">
      <c r="A701" t="s">
        <v>1709</v>
      </c>
      <c r="B701" t="s">
        <v>1710</v>
      </c>
      <c r="C701" t="s">
        <v>143</v>
      </c>
      <c r="D701" t="s">
        <v>118</v>
      </c>
      <c r="E701" t="s">
        <v>104</v>
      </c>
      <c r="F701" s="2" t="str">
        <f>HYPERLINK("http://www.otzar.org/book.asp?108418","אדם הראשון - 2 כר'")</f>
        <v>אדם הראשון - 2 כר'</v>
      </c>
    </row>
    <row r="702" spans="1:6" x14ac:dyDescent="0.2">
      <c r="A702" t="s">
        <v>1711</v>
      </c>
      <c r="B702" t="s">
        <v>1712</v>
      </c>
      <c r="C702" t="s">
        <v>728</v>
      </c>
      <c r="D702" t="s">
        <v>267</v>
      </c>
      <c r="E702" t="s">
        <v>399</v>
      </c>
      <c r="F702" s="2" t="str">
        <f>HYPERLINK("http://www.otzar.org/book.asp?105949","אדם וחוה ותולדותיהם ומנחם צדק")</f>
        <v>אדם וחוה ותולדותיהם ומנחם צדק</v>
      </c>
    </row>
    <row r="703" spans="1:6" x14ac:dyDescent="0.2">
      <c r="A703" t="s">
        <v>1713</v>
      </c>
      <c r="B703" t="s">
        <v>1714</v>
      </c>
      <c r="C703" t="s">
        <v>422</v>
      </c>
      <c r="D703" t="s">
        <v>486</v>
      </c>
      <c r="E703" t="s">
        <v>993</v>
      </c>
      <c r="F703" s="2" t="str">
        <f>HYPERLINK("http://www.otzar.org/book.asp?165150","אדם וחוה")</f>
        <v>אדם וחוה</v>
      </c>
    </row>
    <row r="704" spans="1:6" x14ac:dyDescent="0.2">
      <c r="A704" t="s">
        <v>1715</v>
      </c>
      <c r="B704" t="s">
        <v>1716</v>
      </c>
      <c r="C704" t="s">
        <v>103</v>
      </c>
      <c r="D704" t="s">
        <v>14</v>
      </c>
      <c r="E704" t="s">
        <v>15</v>
      </c>
      <c r="F704" s="2" t="str">
        <f>HYPERLINK("http://www.otzar.org/book.asp?159439","אדם ומלואו")</f>
        <v>אדם ומלואו</v>
      </c>
    </row>
    <row r="705" spans="1:6" x14ac:dyDescent="0.2">
      <c r="A705" t="s">
        <v>1717</v>
      </c>
      <c r="B705" t="s">
        <v>405</v>
      </c>
      <c r="C705" t="s">
        <v>1718</v>
      </c>
      <c r="D705" t="s">
        <v>1719</v>
      </c>
      <c r="E705" t="s">
        <v>399</v>
      </c>
      <c r="F705" s="2" t="str">
        <f>HYPERLINK("http://www.otzar.org/book.asp?199500","אדם ישר")</f>
        <v>אדם ישר</v>
      </c>
    </row>
    <row r="706" spans="1:6" x14ac:dyDescent="0.2">
      <c r="A706" t="s">
        <v>1717</v>
      </c>
      <c r="B706" t="s">
        <v>1720</v>
      </c>
      <c r="C706" t="s">
        <v>1721</v>
      </c>
      <c r="D706" t="s">
        <v>1722</v>
      </c>
      <c r="E706" t="s">
        <v>104</v>
      </c>
      <c r="F706" s="2" t="str">
        <f>HYPERLINK("http://www.otzar.org/book.asp?62065","אדם ישר")</f>
        <v>אדם ישר</v>
      </c>
    </row>
    <row r="707" spans="1:6" x14ac:dyDescent="0.2">
      <c r="A707" t="s">
        <v>1723</v>
      </c>
      <c r="B707" t="s">
        <v>1724</v>
      </c>
      <c r="C707" t="s">
        <v>1725</v>
      </c>
      <c r="D707" t="s">
        <v>1726</v>
      </c>
      <c r="E707" t="s">
        <v>241</v>
      </c>
      <c r="F707" s="2" t="str">
        <f>HYPERLINK("http://www.otzar.org/book.asp?147279","אדם שכלי")</f>
        <v>אדם שכלי</v>
      </c>
    </row>
    <row r="708" spans="1:6" x14ac:dyDescent="0.2">
      <c r="A708" t="s">
        <v>1727</v>
      </c>
      <c r="B708" t="s">
        <v>1728</v>
      </c>
      <c r="C708" t="s">
        <v>466</v>
      </c>
      <c r="D708" t="s">
        <v>273</v>
      </c>
      <c r="E708" t="s">
        <v>104</v>
      </c>
      <c r="F708" s="2" t="str">
        <f>HYPERLINK("http://www.otzar.org/book.asp?626819","אדמה שמים ותהום")</f>
        <v>אדמה שמים ותהום</v>
      </c>
    </row>
    <row r="709" spans="1:6" x14ac:dyDescent="0.2">
      <c r="A709" t="s">
        <v>1729</v>
      </c>
      <c r="B709" t="s">
        <v>1730</v>
      </c>
      <c r="C709" t="s">
        <v>23</v>
      </c>
      <c r="D709" t="s">
        <v>1731</v>
      </c>
      <c r="E709" t="s">
        <v>393</v>
      </c>
      <c r="F709" s="2" t="str">
        <f>HYPERLINK("http://www.otzar.org/book.asp?195738","אדמו""רי חב""ד ויהדות צרפת")</f>
        <v>אדמו"רי חב"ד ויהדות צרפת</v>
      </c>
    </row>
    <row r="710" spans="1:6" x14ac:dyDescent="0.2">
      <c r="A710" t="s">
        <v>1732</v>
      </c>
      <c r="B710" t="s">
        <v>1733</v>
      </c>
      <c r="C710" t="s">
        <v>1619</v>
      </c>
      <c r="D710" t="s">
        <v>216</v>
      </c>
      <c r="E710" t="s">
        <v>226</v>
      </c>
      <c r="F710" s="2" t="str">
        <f>HYPERLINK("http://www.otzar.org/book.asp?21298","אדמור""י בעלז - 4 כר'")</f>
        <v>אדמור"י בעלז - 4 כר'</v>
      </c>
    </row>
    <row r="711" spans="1:6" x14ac:dyDescent="0.2">
      <c r="A711" t="s">
        <v>1734</v>
      </c>
      <c r="B711" t="s">
        <v>1733</v>
      </c>
      <c r="C711" t="s">
        <v>919</v>
      </c>
      <c r="D711" t="s">
        <v>216</v>
      </c>
      <c r="E711" t="s">
        <v>226</v>
      </c>
      <c r="F711" s="2" t="str">
        <f>HYPERLINK("http://www.otzar.org/book.asp?10246","אדמורי טשרנוביל")</f>
        <v>אדמורי טשרנוביל</v>
      </c>
    </row>
    <row r="712" spans="1:6" x14ac:dyDescent="0.2">
      <c r="A712" t="s">
        <v>1735</v>
      </c>
      <c r="B712" t="s">
        <v>1736</v>
      </c>
      <c r="C712" t="s">
        <v>1737</v>
      </c>
      <c r="D712" t="s">
        <v>1660</v>
      </c>
      <c r="E712" t="s">
        <v>144</v>
      </c>
      <c r="F712" s="2" t="str">
        <f>HYPERLINK("http://www.otzar.org/book.asp?5665","אדמת יהודה")</f>
        <v>אדמת יהודה</v>
      </c>
    </row>
    <row r="713" spans="1:6" x14ac:dyDescent="0.2">
      <c r="A713" t="s">
        <v>1738</v>
      </c>
      <c r="B713" t="s">
        <v>1739</v>
      </c>
      <c r="C713" t="s">
        <v>1166</v>
      </c>
      <c r="D713" t="s">
        <v>27</v>
      </c>
      <c r="E713" t="s">
        <v>104</v>
      </c>
      <c r="F713" s="2" t="str">
        <f>HYPERLINK("http://www.otzar.org/book.asp?6621","אדמת קדש")</f>
        <v>אדמת קדש</v>
      </c>
    </row>
    <row r="714" spans="1:6" x14ac:dyDescent="0.2">
      <c r="A714" t="s">
        <v>1740</v>
      </c>
      <c r="B714" t="s">
        <v>1741</v>
      </c>
      <c r="C714" t="s">
        <v>1742</v>
      </c>
      <c r="D714" t="s">
        <v>1490</v>
      </c>
      <c r="E714" t="s">
        <v>154</v>
      </c>
      <c r="F714" s="2" t="str">
        <f>HYPERLINK("http://www.otzar.org/book.asp?100227","אדמת קדש - 2 כר'")</f>
        <v>אדמת קדש - 2 כר'</v>
      </c>
    </row>
    <row r="715" spans="1:6" x14ac:dyDescent="0.2">
      <c r="A715" t="s">
        <v>1743</v>
      </c>
      <c r="B715" t="s">
        <v>1681</v>
      </c>
      <c r="C715" t="s">
        <v>37</v>
      </c>
      <c r="D715" t="s">
        <v>80</v>
      </c>
      <c r="E715" t="s">
        <v>24</v>
      </c>
      <c r="F715" s="2" t="str">
        <f>HYPERLINK("http://www.otzar.org/book.asp?191696","אדמת קודש")</f>
        <v>אדמת קודש</v>
      </c>
    </row>
    <row r="716" spans="1:6" x14ac:dyDescent="0.2">
      <c r="A716" t="s">
        <v>1743</v>
      </c>
      <c r="B716" t="s">
        <v>1744</v>
      </c>
      <c r="C716" t="s">
        <v>17</v>
      </c>
      <c r="D716" t="s">
        <v>90</v>
      </c>
      <c r="E716" t="s">
        <v>733</v>
      </c>
      <c r="F716" s="2" t="str">
        <f>HYPERLINK("http://www.otzar.org/book.asp?142944","אדמת קודש")</f>
        <v>אדמת קודש</v>
      </c>
    </row>
    <row r="717" spans="1:6" x14ac:dyDescent="0.2">
      <c r="A717" t="s">
        <v>1745</v>
      </c>
      <c r="B717" t="s">
        <v>1746</v>
      </c>
      <c r="C717" t="s">
        <v>624</v>
      </c>
      <c r="D717" t="s">
        <v>657</v>
      </c>
      <c r="E717" t="s">
        <v>144</v>
      </c>
      <c r="F717" s="2" t="str">
        <f>HYPERLINK("http://www.otzar.org/book.asp?63617","אדני ארץ")</f>
        <v>אדני ארץ</v>
      </c>
    </row>
    <row r="718" spans="1:6" x14ac:dyDescent="0.2">
      <c r="A718" t="s">
        <v>1747</v>
      </c>
      <c r="B718" t="s">
        <v>1748</v>
      </c>
      <c r="C718" t="s">
        <v>23</v>
      </c>
      <c r="D718" t="s">
        <v>52</v>
      </c>
      <c r="E718" t="s">
        <v>15</v>
      </c>
      <c r="F718" s="2" t="str">
        <f>HYPERLINK("http://www.otzar.org/book.asp?607590","אדני הבית - הלכות נדה לחתנים")</f>
        <v>אדני הבית - הלכות נדה לחתנים</v>
      </c>
    </row>
    <row r="719" spans="1:6" x14ac:dyDescent="0.2">
      <c r="A719" t="s">
        <v>1749</v>
      </c>
      <c r="B719" t="s">
        <v>941</v>
      </c>
      <c r="C719" t="s">
        <v>244</v>
      </c>
      <c r="D719" t="s">
        <v>14</v>
      </c>
      <c r="E719" t="s">
        <v>104</v>
      </c>
      <c r="F719" s="2" t="str">
        <f>HYPERLINK("http://www.otzar.org/book.asp?630187","אדני הבית")</f>
        <v>אדני הבית</v>
      </c>
    </row>
    <row r="720" spans="1:6" x14ac:dyDescent="0.2">
      <c r="A720" t="s">
        <v>1749</v>
      </c>
      <c r="B720" t="s">
        <v>1750</v>
      </c>
      <c r="C720" t="s">
        <v>13</v>
      </c>
      <c r="D720" t="s">
        <v>14</v>
      </c>
      <c r="E720" t="s">
        <v>384</v>
      </c>
      <c r="F720" s="2" t="str">
        <f>HYPERLINK("http://www.otzar.org/book.asp?144499","אדני הבית")</f>
        <v>אדני הבית</v>
      </c>
    </row>
    <row r="721" spans="1:6" x14ac:dyDescent="0.2">
      <c r="A721" t="s">
        <v>1751</v>
      </c>
      <c r="B721" t="s">
        <v>1752</v>
      </c>
      <c r="C721" t="s">
        <v>989</v>
      </c>
      <c r="D721" t="s">
        <v>14</v>
      </c>
      <c r="E721" t="s">
        <v>15</v>
      </c>
      <c r="F721" s="2" t="str">
        <f>HYPERLINK("http://www.otzar.org/book.asp?165476","אדני היד החזקה - 3 כר'")</f>
        <v>אדני היד החזקה - 3 כר'</v>
      </c>
    </row>
    <row r="722" spans="1:6" x14ac:dyDescent="0.2">
      <c r="A722" t="s">
        <v>1753</v>
      </c>
      <c r="B722" t="s">
        <v>1688</v>
      </c>
      <c r="C722" t="s">
        <v>114</v>
      </c>
      <c r="D722" t="s">
        <v>14</v>
      </c>
      <c r="E722" t="s">
        <v>172</v>
      </c>
      <c r="F722" s="2" t="str">
        <f>HYPERLINK("http://www.otzar.org/book.asp?623540","אדני המשפט - 2 כר'")</f>
        <v>אדני המשפט - 2 כר'</v>
      </c>
    </row>
    <row r="723" spans="1:6" x14ac:dyDescent="0.2">
      <c r="A723" t="s">
        <v>1754</v>
      </c>
      <c r="B723" t="s">
        <v>1755</v>
      </c>
      <c r="C723" t="s">
        <v>366</v>
      </c>
      <c r="D723" t="s">
        <v>14</v>
      </c>
      <c r="E723" t="s">
        <v>172</v>
      </c>
      <c r="F723" s="2" t="str">
        <f>HYPERLINK("http://www.otzar.org/book.asp?627138","אדני זהב - 7 כר'")</f>
        <v>אדני זהב - 7 כר'</v>
      </c>
    </row>
    <row r="724" spans="1:6" x14ac:dyDescent="0.2">
      <c r="A724" t="s">
        <v>1756</v>
      </c>
      <c r="B724" t="s">
        <v>1757</v>
      </c>
      <c r="C724" t="s">
        <v>244</v>
      </c>
      <c r="D724" t="s">
        <v>52</v>
      </c>
      <c r="F724" s="2" t="str">
        <f>HYPERLINK("http://www.otzar.org/book.asp?609689","אדני זהב - 9 כר'")</f>
        <v>אדני זהב - 9 כר'</v>
      </c>
    </row>
    <row r="725" spans="1:6" x14ac:dyDescent="0.2">
      <c r="A725" t="s">
        <v>1758</v>
      </c>
      <c r="B725" t="s">
        <v>1759</v>
      </c>
      <c r="C725" t="s">
        <v>13</v>
      </c>
      <c r="D725" t="s">
        <v>52</v>
      </c>
      <c r="E725" t="s">
        <v>144</v>
      </c>
      <c r="F725" s="2" t="str">
        <f>HYPERLINK("http://www.otzar.org/book.asp?157816","אדני כסף")</f>
        <v>אדני כסף</v>
      </c>
    </row>
    <row r="726" spans="1:6" x14ac:dyDescent="0.2">
      <c r="A726" t="s">
        <v>1760</v>
      </c>
      <c r="B726" t="s">
        <v>1761</v>
      </c>
      <c r="C726" t="s">
        <v>103</v>
      </c>
      <c r="D726" t="s">
        <v>14</v>
      </c>
      <c r="E726" t="s">
        <v>144</v>
      </c>
      <c r="F726" s="2" t="str">
        <f>HYPERLINK("http://www.otzar.org/book.asp?163325","אדני כסף - איזהו נשך")</f>
        <v>אדני כסף - איזהו נשך</v>
      </c>
    </row>
    <row r="727" spans="1:6" x14ac:dyDescent="0.2">
      <c r="A727" t="s">
        <v>1762</v>
      </c>
      <c r="B727" t="s">
        <v>1763</v>
      </c>
      <c r="C727" t="s">
        <v>334</v>
      </c>
      <c r="D727" t="s">
        <v>14</v>
      </c>
      <c r="E727" t="s">
        <v>144</v>
      </c>
      <c r="F727" s="2" t="str">
        <f>HYPERLINK("http://www.otzar.org/book.asp?9385","אדני כסף - קידושין")</f>
        <v>אדני כסף - קידושין</v>
      </c>
    </row>
    <row r="728" spans="1:6" x14ac:dyDescent="0.2">
      <c r="A728" t="s">
        <v>1764</v>
      </c>
      <c r="B728" t="s">
        <v>1765</v>
      </c>
      <c r="C728" t="s">
        <v>775</v>
      </c>
      <c r="D728" t="s">
        <v>412</v>
      </c>
      <c r="E728" t="s">
        <v>154</v>
      </c>
      <c r="F728" s="2" t="str">
        <f>HYPERLINK("http://www.otzar.org/book.asp?156081","אדני נחשת")</f>
        <v>אדני נחשת</v>
      </c>
    </row>
    <row r="729" spans="1:6" x14ac:dyDescent="0.2">
      <c r="A729" t="s">
        <v>1766</v>
      </c>
      <c r="B729" t="s">
        <v>1767</v>
      </c>
      <c r="C729" t="s">
        <v>1768</v>
      </c>
      <c r="D729" t="s">
        <v>1769</v>
      </c>
      <c r="E729" t="s">
        <v>234</v>
      </c>
      <c r="F729" s="2" t="str">
        <f>HYPERLINK("http://www.otzar.org/book.asp?149995","אדני נסי")</f>
        <v>אדני נסי</v>
      </c>
    </row>
    <row r="730" spans="1:6" x14ac:dyDescent="0.2">
      <c r="A730" t="s">
        <v>1770</v>
      </c>
      <c r="B730" t="s">
        <v>1771</v>
      </c>
      <c r="C730" t="s">
        <v>103</v>
      </c>
      <c r="D730" t="s">
        <v>115</v>
      </c>
      <c r="E730" t="s">
        <v>154</v>
      </c>
      <c r="F730" s="2" t="str">
        <f>HYPERLINK("http://www.otzar.org/book.asp?142094","אדני פז - 4 כר'")</f>
        <v>אדני פז - 4 כר'</v>
      </c>
    </row>
    <row r="731" spans="1:6" x14ac:dyDescent="0.2">
      <c r="A731" t="s">
        <v>1772</v>
      </c>
      <c r="B731" t="s">
        <v>1773</v>
      </c>
      <c r="C731" t="s">
        <v>13</v>
      </c>
      <c r="D731" t="s">
        <v>367</v>
      </c>
      <c r="F731" s="2" t="str">
        <f>HYPERLINK("http://www.otzar.org/book.asp?142526","אדני פז - 2 כר'")</f>
        <v>אדני פז - 2 כר'</v>
      </c>
    </row>
    <row r="732" spans="1:6" x14ac:dyDescent="0.2">
      <c r="A732" t="s">
        <v>1774</v>
      </c>
      <c r="B732" t="s">
        <v>1775</v>
      </c>
      <c r="C732" t="s">
        <v>111</v>
      </c>
      <c r="D732" t="s">
        <v>52</v>
      </c>
      <c r="E732" t="s">
        <v>144</v>
      </c>
      <c r="F732" s="2" t="str">
        <f>HYPERLINK("http://www.otzar.org/book.asp?620472","אדני פז")</f>
        <v>אדני פז</v>
      </c>
    </row>
    <row r="733" spans="1:6" x14ac:dyDescent="0.2">
      <c r="A733" t="s">
        <v>1774</v>
      </c>
      <c r="B733" t="s">
        <v>686</v>
      </c>
      <c r="C733" t="s">
        <v>129</v>
      </c>
      <c r="D733" t="s">
        <v>52</v>
      </c>
      <c r="E733" t="s">
        <v>1776</v>
      </c>
      <c r="F733" s="2" t="str">
        <f>HYPERLINK("http://www.otzar.org/book.asp?60732","אדני פז")</f>
        <v>אדני פז</v>
      </c>
    </row>
    <row r="734" spans="1:6" x14ac:dyDescent="0.2">
      <c r="A734" t="s">
        <v>1774</v>
      </c>
      <c r="B734" t="s">
        <v>1777</v>
      </c>
      <c r="C734" t="s">
        <v>1778</v>
      </c>
      <c r="D734" t="s">
        <v>42</v>
      </c>
      <c r="E734" t="s">
        <v>684</v>
      </c>
      <c r="F734" s="2" t="str">
        <f>HYPERLINK("http://www.otzar.org/book.asp?8466","אדני פז")</f>
        <v>אדני פז</v>
      </c>
    </row>
    <row r="735" spans="1:6" x14ac:dyDescent="0.2">
      <c r="A735" t="s">
        <v>1774</v>
      </c>
      <c r="B735" t="s">
        <v>1779</v>
      </c>
      <c r="C735" t="s">
        <v>1177</v>
      </c>
      <c r="D735" t="s">
        <v>283</v>
      </c>
      <c r="E735" t="s">
        <v>158</v>
      </c>
      <c r="F735" s="2" t="str">
        <f>HYPERLINK("http://www.otzar.org/book.asp?103068","אדני פז")</f>
        <v>אדני פז</v>
      </c>
    </row>
    <row r="736" spans="1:6" x14ac:dyDescent="0.2">
      <c r="A736" t="s">
        <v>1774</v>
      </c>
      <c r="B736" t="s">
        <v>1780</v>
      </c>
      <c r="C736" t="s">
        <v>111</v>
      </c>
      <c r="D736" t="s">
        <v>52</v>
      </c>
      <c r="E736" t="s">
        <v>144</v>
      </c>
      <c r="F736" s="2" t="str">
        <f>HYPERLINK("http://www.otzar.org/book.asp?624881","אדני פז")</f>
        <v>אדני פז</v>
      </c>
    </row>
    <row r="737" spans="1:6" x14ac:dyDescent="0.2">
      <c r="A737" t="s">
        <v>1781</v>
      </c>
      <c r="B737" t="s">
        <v>1782</v>
      </c>
      <c r="C737" t="s">
        <v>366</v>
      </c>
      <c r="D737" t="s">
        <v>14</v>
      </c>
      <c r="E737" t="s">
        <v>172</v>
      </c>
      <c r="F737" s="2" t="str">
        <f>HYPERLINK("http://www.otzar.org/book.asp?613962","אדני שלמה - 7 כר'")</f>
        <v>אדני שלמה - 7 כר'</v>
      </c>
    </row>
    <row r="738" spans="1:6" x14ac:dyDescent="0.2">
      <c r="A738" t="s">
        <v>1783</v>
      </c>
      <c r="B738" t="s">
        <v>369</v>
      </c>
      <c r="C738" t="s">
        <v>111</v>
      </c>
      <c r="D738" t="s">
        <v>90</v>
      </c>
      <c r="E738" t="s">
        <v>158</v>
      </c>
      <c r="F738" s="2" t="str">
        <f>HYPERLINK("http://www.otzar.org/book.asp?628602","אדנים וקרסים")</f>
        <v>אדנים וקרסים</v>
      </c>
    </row>
    <row r="739" spans="1:6" x14ac:dyDescent="0.2">
      <c r="A739" t="s">
        <v>1784</v>
      </c>
      <c r="B739" t="s">
        <v>1785</v>
      </c>
      <c r="C739" t="s">
        <v>111</v>
      </c>
      <c r="D739" t="s">
        <v>14</v>
      </c>
      <c r="E739" t="s">
        <v>1517</v>
      </c>
      <c r="F739" s="2" t="str">
        <f>HYPERLINK("http://www.otzar.org/book.asp?630341","אדר והוד")</f>
        <v>אדר והוד</v>
      </c>
    </row>
    <row r="740" spans="1:6" x14ac:dyDescent="0.2">
      <c r="A740" t="s">
        <v>1786</v>
      </c>
      <c r="B740" t="s">
        <v>107</v>
      </c>
      <c r="C740" t="s">
        <v>533</v>
      </c>
      <c r="D740" t="s">
        <v>14</v>
      </c>
      <c r="E740" t="s">
        <v>130</v>
      </c>
      <c r="F740" s="2" t="str">
        <f>HYPERLINK("http://www.otzar.org/book.asp?84007","אדר ופורים")</f>
        <v>אדר ופורים</v>
      </c>
    </row>
    <row r="741" spans="1:6" x14ac:dyDescent="0.2">
      <c r="A741" t="s">
        <v>1787</v>
      </c>
      <c r="B741" t="s">
        <v>1788</v>
      </c>
      <c r="C741" t="s">
        <v>496</v>
      </c>
      <c r="D741" t="s">
        <v>1789</v>
      </c>
      <c r="E741" t="s">
        <v>234</v>
      </c>
      <c r="F741" s="2" t="str">
        <f>HYPERLINK("http://www.otzar.org/book.asp?612805","אדר")</f>
        <v>אדר</v>
      </c>
    </row>
    <row r="742" spans="1:6" x14ac:dyDescent="0.2">
      <c r="A742" t="s">
        <v>1790</v>
      </c>
      <c r="B742" t="s">
        <v>1791</v>
      </c>
      <c r="C742" t="s">
        <v>106</v>
      </c>
      <c r="D742" t="s">
        <v>14</v>
      </c>
      <c r="E742" t="s">
        <v>399</v>
      </c>
      <c r="F742" s="2" t="str">
        <f>HYPERLINK("http://www.otzar.org/book.asp?103070","אדרא דמשכנא &lt;נתיבות יאיר&gt;")</f>
        <v>אדרא דמשכנא &lt;נתיבות יאיר&gt;</v>
      </c>
    </row>
    <row r="743" spans="1:6" x14ac:dyDescent="0.2">
      <c r="A743" t="s">
        <v>1792</v>
      </c>
      <c r="B743" t="s">
        <v>1793</v>
      </c>
      <c r="C743" t="s">
        <v>71</v>
      </c>
      <c r="D743" t="s">
        <v>115</v>
      </c>
      <c r="E743" t="s">
        <v>399</v>
      </c>
      <c r="F743" s="2" t="str">
        <f>HYPERLINK("http://www.otzar.org/book.asp?28145","אדרא זוטא &lt;ידיד נפש&gt; - ב")</f>
        <v>אדרא זוטא &lt;ידיד נפש&gt; - ב</v>
      </c>
    </row>
    <row r="744" spans="1:6" x14ac:dyDescent="0.2">
      <c r="A744" t="s">
        <v>1794</v>
      </c>
      <c r="B744" t="s">
        <v>1791</v>
      </c>
      <c r="C744" t="s">
        <v>1570</v>
      </c>
      <c r="D744" t="s">
        <v>14</v>
      </c>
      <c r="E744" t="s">
        <v>399</v>
      </c>
      <c r="F744" s="2" t="str">
        <f>HYPERLINK("http://www.otzar.org/book.asp?103069","אדרא זוטא &lt;נתיבות יאיר&gt;")</f>
        <v>אדרא זוטא &lt;נתיבות יאיר&gt;</v>
      </c>
    </row>
    <row r="745" spans="1:6" x14ac:dyDescent="0.2">
      <c r="A745" t="s">
        <v>1795</v>
      </c>
      <c r="B745" t="s">
        <v>1796</v>
      </c>
      <c r="C745" t="s">
        <v>411</v>
      </c>
      <c r="D745" t="s">
        <v>14</v>
      </c>
      <c r="E745" t="s">
        <v>399</v>
      </c>
      <c r="F745" s="2" t="str">
        <f>HYPERLINK("http://www.otzar.org/book.asp?173484","אדרא זוטא &lt;מנוקד&gt;")</f>
        <v>אדרא זוטא &lt;מנוקד&gt;</v>
      </c>
    </row>
    <row r="746" spans="1:6" x14ac:dyDescent="0.2">
      <c r="A746" t="s">
        <v>1797</v>
      </c>
      <c r="B746" t="s">
        <v>1798</v>
      </c>
      <c r="C746" t="s">
        <v>454</v>
      </c>
      <c r="D746" t="s">
        <v>14</v>
      </c>
      <c r="E746" t="s">
        <v>399</v>
      </c>
      <c r="F746" s="2" t="str">
        <f>HYPERLINK("http://www.otzar.org/book.asp?62063","אדרא זוטא &lt;עם פירוש דמשק אליעזר&gt;")</f>
        <v>אדרא זוטא &lt;עם פירוש דמשק אליעזר&gt;</v>
      </c>
    </row>
    <row r="747" spans="1:6" x14ac:dyDescent="0.2">
      <c r="A747" t="s">
        <v>1799</v>
      </c>
      <c r="B747" t="s">
        <v>1800</v>
      </c>
      <c r="C747" t="s">
        <v>496</v>
      </c>
      <c r="D747" t="s">
        <v>1801</v>
      </c>
      <c r="E747" t="s">
        <v>399</v>
      </c>
      <c r="F747" s="2" t="str">
        <f>HYPERLINK("http://www.otzar.org/book.asp?25837","אדרא זוטא &lt;יין הרקח&gt;")</f>
        <v>אדרא זוטא &lt;יין הרקח&gt;</v>
      </c>
    </row>
    <row r="748" spans="1:6" x14ac:dyDescent="0.2">
      <c r="A748" t="s">
        <v>1802</v>
      </c>
      <c r="B748" t="s">
        <v>1803</v>
      </c>
      <c r="C748" t="s">
        <v>896</v>
      </c>
      <c r="D748" t="s">
        <v>283</v>
      </c>
      <c r="E748" t="s">
        <v>399</v>
      </c>
      <c r="F748" s="2" t="str">
        <f>HYPERLINK("http://www.otzar.org/book.asp?102418","אדרא זוטא עם פירוש מים אדירים")</f>
        <v>אדרא זוטא עם פירוש מים אדירים</v>
      </c>
    </row>
    <row r="749" spans="1:6" x14ac:dyDescent="0.2">
      <c r="A749" t="s">
        <v>1804</v>
      </c>
      <c r="B749" t="s">
        <v>1805</v>
      </c>
      <c r="C749" t="s">
        <v>356</v>
      </c>
      <c r="D749" t="s">
        <v>14</v>
      </c>
      <c r="E749" t="s">
        <v>399</v>
      </c>
      <c r="F749" s="2" t="str">
        <f>HYPERLINK("http://www.otzar.org/book.asp?51262","אדרא זוטא קדישא &lt;יפה שעה - שערי האידרא&gt;")</f>
        <v>אדרא זוטא קדישא &lt;יפה שעה - שערי האידרא&gt;</v>
      </c>
    </row>
    <row r="750" spans="1:6" x14ac:dyDescent="0.2">
      <c r="A750" t="s">
        <v>1806</v>
      </c>
      <c r="B750" t="s">
        <v>1807</v>
      </c>
      <c r="C750" t="s">
        <v>411</v>
      </c>
      <c r="D750" t="s">
        <v>90</v>
      </c>
      <c r="E750" t="s">
        <v>399</v>
      </c>
      <c r="F750" s="2" t="str">
        <f>HYPERLINK("http://www.otzar.org/book.asp?195147","אדרא זוטא קדישא &lt;עם תרגום המילים וביאור קל&gt;")</f>
        <v>אדרא זוטא קדישא &lt;עם תרגום המילים וביאור קל&gt;</v>
      </c>
    </row>
    <row r="751" spans="1:6" x14ac:dyDescent="0.2">
      <c r="A751" t="s">
        <v>1808</v>
      </c>
      <c r="B751" t="s">
        <v>1809</v>
      </c>
      <c r="C751" t="s">
        <v>1619</v>
      </c>
      <c r="D751" t="s">
        <v>14</v>
      </c>
      <c r="E751" t="s">
        <v>399</v>
      </c>
      <c r="F751" s="2" t="str">
        <f>HYPERLINK("http://www.otzar.org/book.asp?611082","אדרא קדישא &lt;אדר הזוהר - אדר הבעש""ט ותלמידיו&gt;")</f>
        <v>אדרא קדישא &lt;אדר הזוהר - אדר הבעש"ט ותלמידיו&gt;</v>
      </c>
    </row>
    <row r="752" spans="1:6" x14ac:dyDescent="0.2">
      <c r="A752" t="s">
        <v>1810</v>
      </c>
      <c r="B752" t="s">
        <v>1809</v>
      </c>
      <c r="C752" t="s">
        <v>1811</v>
      </c>
      <c r="D752" t="s">
        <v>1812</v>
      </c>
      <c r="E752" t="s">
        <v>399</v>
      </c>
      <c r="F752" s="2" t="str">
        <f>HYPERLINK("http://www.otzar.org/book.asp?10778","אדרא קדישא &lt;אדר הזוהר&gt;")</f>
        <v>אדרא קדישא &lt;אדר הזוהר&gt;</v>
      </c>
    </row>
    <row r="753" spans="1:6" x14ac:dyDescent="0.2">
      <c r="A753" t="s">
        <v>1813</v>
      </c>
      <c r="B753" t="s">
        <v>1793</v>
      </c>
      <c r="C753" t="s">
        <v>767</v>
      </c>
      <c r="D753" t="s">
        <v>115</v>
      </c>
      <c r="E753" t="s">
        <v>399</v>
      </c>
      <c r="F753" s="2" t="str">
        <f>HYPERLINK("http://www.otzar.org/book.asp?28146","אדרא רבא &lt;ידיד נפש&gt; - א")</f>
        <v>אדרא רבא &lt;ידיד נפש&gt; - א</v>
      </c>
    </row>
    <row r="754" spans="1:6" x14ac:dyDescent="0.2">
      <c r="A754" t="s">
        <v>1814</v>
      </c>
      <c r="B754" t="s">
        <v>1791</v>
      </c>
      <c r="C754" t="s">
        <v>1570</v>
      </c>
      <c r="D754" t="s">
        <v>14</v>
      </c>
      <c r="E754" t="s">
        <v>399</v>
      </c>
      <c r="F754" s="2" t="str">
        <f>HYPERLINK("http://www.otzar.org/book.asp?103072","אדרא רבא &lt;נתיבות יאיר&gt;")</f>
        <v>אדרא רבא &lt;נתיבות יאיר&gt;</v>
      </c>
    </row>
    <row r="755" spans="1:6" x14ac:dyDescent="0.2">
      <c r="A755" t="s">
        <v>1815</v>
      </c>
      <c r="B755" t="s">
        <v>1796</v>
      </c>
      <c r="C755" t="s">
        <v>411</v>
      </c>
      <c r="D755" t="s">
        <v>1188</v>
      </c>
      <c r="E755" t="s">
        <v>399</v>
      </c>
      <c r="F755" s="2" t="str">
        <f>HYPERLINK("http://www.otzar.org/book.asp?173485","אדרא רבא &lt;מנוקד&gt;")</f>
        <v>אדרא רבא &lt;מנוקד&gt;</v>
      </c>
    </row>
    <row r="756" spans="1:6" x14ac:dyDescent="0.2">
      <c r="A756" t="s">
        <v>1816</v>
      </c>
      <c r="B756" t="s">
        <v>1800</v>
      </c>
      <c r="C756" t="s">
        <v>496</v>
      </c>
      <c r="D756" t="s">
        <v>1801</v>
      </c>
      <c r="E756" t="s">
        <v>399</v>
      </c>
      <c r="F756" s="2" t="str">
        <f>HYPERLINK("http://www.otzar.org/book.asp?300532","אדרא רבא &lt;יין הרקח&gt;")</f>
        <v>אדרא רבא &lt;יין הרקח&gt;</v>
      </c>
    </row>
    <row r="757" spans="1:6" x14ac:dyDescent="0.2">
      <c r="A757" t="s">
        <v>1817</v>
      </c>
      <c r="B757" t="s">
        <v>1818</v>
      </c>
      <c r="C757" t="s">
        <v>133</v>
      </c>
      <c r="D757" t="s">
        <v>52</v>
      </c>
      <c r="E757" t="s">
        <v>399</v>
      </c>
      <c r="F757" s="2" t="str">
        <f>HYPERLINK("http://www.otzar.org/book.asp?194202","אדרא רבא וזוטא עם פירוש בינת האידרא")</f>
        <v>אדרא רבא וזוטא עם פירוש בינת האידרא</v>
      </c>
    </row>
    <row r="758" spans="1:6" x14ac:dyDescent="0.2">
      <c r="A758" t="s">
        <v>1819</v>
      </c>
      <c r="B758" t="s">
        <v>1805</v>
      </c>
      <c r="C758" t="s">
        <v>124</v>
      </c>
      <c r="D758" t="s">
        <v>14</v>
      </c>
      <c r="E758" t="s">
        <v>399</v>
      </c>
      <c r="F758" s="2" t="str">
        <f>HYPERLINK("http://www.otzar.org/book.asp?51263","אדרא רבא קדישא &lt;יפה שעה - שערי האידרא&gt;")</f>
        <v>אדרא רבא קדישא &lt;יפה שעה - שערי האידרא&gt;</v>
      </c>
    </row>
    <row r="759" spans="1:6" x14ac:dyDescent="0.2">
      <c r="A759" t="s">
        <v>1820</v>
      </c>
      <c r="B759" t="s">
        <v>1821</v>
      </c>
      <c r="C759" t="s">
        <v>1822</v>
      </c>
      <c r="D759" t="s">
        <v>1823</v>
      </c>
      <c r="E759" t="s">
        <v>158</v>
      </c>
      <c r="F759" s="2" t="str">
        <f>HYPERLINK("http://www.otzar.org/book.asp?611599","אדרת אליהו &lt;באר אברהם, באר יצחק&gt;")</f>
        <v>אדרת אליהו &lt;באר אברהם, באר יצחק&gt;</v>
      </c>
    </row>
    <row r="760" spans="1:6" x14ac:dyDescent="0.2">
      <c r="A760" t="s">
        <v>1824</v>
      </c>
      <c r="B760" t="s">
        <v>1825</v>
      </c>
      <c r="C760" t="s">
        <v>143</v>
      </c>
      <c r="D760" t="s">
        <v>14</v>
      </c>
      <c r="E760" t="s">
        <v>202</v>
      </c>
      <c r="F760" s="2" t="str">
        <f>HYPERLINK("http://www.otzar.org/book.asp?149526","אדרת אליהו &lt;ספר זכרון&gt;")</f>
        <v>אדרת אליהו &lt;ספר זכרון&gt;</v>
      </c>
    </row>
    <row r="761" spans="1:6" x14ac:dyDescent="0.2">
      <c r="A761" t="s">
        <v>1826</v>
      </c>
      <c r="B761" t="s">
        <v>1827</v>
      </c>
      <c r="C761" t="s">
        <v>68</v>
      </c>
      <c r="D761" t="s">
        <v>14</v>
      </c>
      <c r="E761" t="s">
        <v>144</v>
      </c>
      <c r="F761" s="2" t="str">
        <f>HYPERLINK("http://www.otzar.org/book.asp?172739","אדרת אליהו &lt;מהדורה חדשה&gt; - 2 כר'")</f>
        <v>אדרת אליהו &lt;מהדורה חדשה&gt; - 2 כר'</v>
      </c>
    </row>
    <row r="762" spans="1:6" x14ac:dyDescent="0.2">
      <c r="A762" t="s">
        <v>1828</v>
      </c>
      <c r="B762" t="s">
        <v>1829</v>
      </c>
      <c r="C762" t="s">
        <v>454</v>
      </c>
      <c r="D762" t="s">
        <v>14</v>
      </c>
      <c r="F762" s="2" t="str">
        <f>HYPERLINK("http://www.otzar.org/book.asp?183148","אדרת אליהו - תולדות האדר""ת")</f>
        <v>אדרת אליהו - תולדות האדר"ת</v>
      </c>
    </row>
    <row r="763" spans="1:6" x14ac:dyDescent="0.2">
      <c r="A763" t="s">
        <v>1830</v>
      </c>
      <c r="B763" t="s">
        <v>1831</v>
      </c>
      <c r="C763" t="s">
        <v>1832</v>
      </c>
      <c r="D763" t="s">
        <v>1833</v>
      </c>
      <c r="E763" t="s">
        <v>158</v>
      </c>
      <c r="F763" s="2" t="str">
        <f>HYPERLINK("http://www.otzar.org/book.asp?23973","אדרת אליהו - 2 כר'")</f>
        <v>אדרת אליהו - 2 כר'</v>
      </c>
    </row>
    <row r="764" spans="1:6" x14ac:dyDescent="0.2">
      <c r="A764" t="s">
        <v>1834</v>
      </c>
      <c r="B764" t="s">
        <v>1821</v>
      </c>
      <c r="C764" t="s">
        <v>1246</v>
      </c>
      <c r="D764" t="s">
        <v>260</v>
      </c>
      <c r="E764" t="s">
        <v>158</v>
      </c>
      <c r="F764" s="2" t="str">
        <f>HYPERLINK("http://www.otzar.org/book.asp?14544","אדרת אליהו - 4 כר'")</f>
        <v>אדרת אליהו - 4 כר'</v>
      </c>
    </row>
    <row r="765" spans="1:6" x14ac:dyDescent="0.2">
      <c r="A765" t="s">
        <v>1835</v>
      </c>
      <c r="B765" t="s">
        <v>1836</v>
      </c>
      <c r="C765" t="s">
        <v>114</v>
      </c>
      <c r="D765" t="s">
        <v>721</v>
      </c>
      <c r="E765" t="s">
        <v>975</v>
      </c>
      <c r="F765" s="2" t="str">
        <f>HYPERLINK("http://www.otzar.org/book.asp?174457","אדרת אליהו")</f>
        <v>אדרת אליהו</v>
      </c>
    </row>
    <row r="766" spans="1:6" x14ac:dyDescent="0.2">
      <c r="A766" t="s">
        <v>1837</v>
      </c>
      <c r="B766" t="s">
        <v>1838</v>
      </c>
      <c r="C766" t="s">
        <v>20</v>
      </c>
      <c r="D766" t="s">
        <v>14</v>
      </c>
      <c r="F766" s="2" t="str">
        <f>HYPERLINK("http://www.otzar.org/book.asp?194383","אדרת אליהו - 7 כר'")</f>
        <v>אדרת אליהו - 7 כר'</v>
      </c>
    </row>
    <row r="767" spans="1:6" x14ac:dyDescent="0.2">
      <c r="A767" t="s">
        <v>1835</v>
      </c>
      <c r="B767" t="s">
        <v>1839</v>
      </c>
      <c r="C767" t="s">
        <v>37</v>
      </c>
      <c r="D767" t="s">
        <v>1840</v>
      </c>
      <c r="E767" t="s">
        <v>15</v>
      </c>
      <c r="F767" s="2" t="str">
        <f>HYPERLINK("http://www.otzar.org/book.asp?606720","אדרת אליהו")</f>
        <v>אדרת אליהו</v>
      </c>
    </row>
    <row r="768" spans="1:6" x14ac:dyDescent="0.2">
      <c r="A768" t="s">
        <v>1841</v>
      </c>
      <c r="B768" t="s">
        <v>1842</v>
      </c>
      <c r="C768" t="s">
        <v>23</v>
      </c>
      <c r="D768" t="s">
        <v>1840</v>
      </c>
      <c r="E768" t="s">
        <v>15</v>
      </c>
      <c r="F768" s="2" t="str">
        <f>HYPERLINK("http://www.otzar.org/book.asp?194154","אדרת אליהו - שביעית")</f>
        <v>אדרת אליהו - שביעית</v>
      </c>
    </row>
    <row r="769" spans="1:6" x14ac:dyDescent="0.2">
      <c r="A769" t="s">
        <v>1834</v>
      </c>
      <c r="B769" t="s">
        <v>1843</v>
      </c>
      <c r="C769" t="s">
        <v>146</v>
      </c>
      <c r="D769" t="s">
        <v>14</v>
      </c>
      <c r="E769" t="s">
        <v>144</v>
      </c>
      <c r="F769" s="2" t="str">
        <f>HYPERLINK("http://www.otzar.org/book.asp?60214","אדרת אליהו - 4 כר'")</f>
        <v>אדרת אליהו - 4 כר'</v>
      </c>
    </row>
    <row r="770" spans="1:6" x14ac:dyDescent="0.2">
      <c r="A770" t="s">
        <v>1835</v>
      </c>
      <c r="B770" t="s">
        <v>599</v>
      </c>
      <c r="C770" t="s">
        <v>1844</v>
      </c>
      <c r="D770" t="s">
        <v>212</v>
      </c>
      <c r="E770" t="s">
        <v>158</v>
      </c>
      <c r="F770" s="2" t="str">
        <f>HYPERLINK("http://www.otzar.org/book.asp?14451","אדרת אליהו")</f>
        <v>אדרת אליהו</v>
      </c>
    </row>
    <row r="771" spans="1:6" x14ac:dyDescent="0.2">
      <c r="A771" t="s">
        <v>1835</v>
      </c>
      <c r="B771" t="s">
        <v>1845</v>
      </c>
      <c r="C771" t="s">
        <v>1737</v>
      </c>
      <c r="D771" t="s">
        <v>212</v>
      </c>
      <c r="E771" t="s">
        <v>1433</v>
      </c>
      <c r="F771" s="2" t="str">
        <f>HYPERLINK("http://www.otzar.org/book.asp?100348","אדרת אליהו")</f>
        <v>אדרת אליהו</v>
      </c>
    </row>
    <row r="772" spans="1:6" x14ac:dyDescent="0.2">
      <c r="A772" t="s">
        <v>1830</v>
      </c>
      <c r="B772" t="s">
        <v>1846</v>
      </c>
      <c r="C772" t="s">
        <v>624</v>
      </c>
      <c r="D772" t="s">
        <v>14</v>
      </c>
      <c r="E772" t="s">
        <v>1847</v>
      </c>
      <c r="F772" s="2" t="str">
        <f>HYPERLINK("http://www.otzar.org/book.asp?9974","אדרת אליהו - 2 כר'")</f>
        <v>אדרת אליהו - 2 כר'</v>
      </c>
    </row>
    <row r="773" spans="1:6" x14ac:dyDescent="0.2">
      <c r="A773" t="s">
        <v>1835</v>
      </c>
      <c r="B773" t="s">
        <v>1848</v>
      </c>
      <c r="C773" t="s">
        <v>466</v>
      </c>
      <c r="D773" t="s">
        <v>14</v>
      </c>
      <c r="E773" t="s">
        <v>202</v>
      </c>
      <c r="F773" s="2" t="str">
        <f>HYPERLINK("http://www.otzar.org/book.asp?176699","אדרת אליהו")</f>
        <v>אדרת אליהו</v>
      </c>
    </row>
    <row r="774" spans="1:6" x14ac:dyDescent="0.2">
      <c r="A774" t="s">
        <v>1835</v>
      </c>
      <c r="B774" t="s">
        <v>1849</v>
      </c>
      <c r="C774" t="s">
        <v>1718</v>
      </c>
      <c r="D774" t="s">
        <v>56</v>
      </c>
      <c r="E774" t="s">
        <v>241</v>
      </c>
      <c r="F774" s="2" t="str">
        <f>HYPERLINK("http://www.otzar.org/book.asp?107359","אדרת אליהו")</f>
        <v>אדרת אליהו</v>
      </c>
    </row>
    <row r="775" spans="1:6" x14ac:dyDescent="0.2">
      <c r="A775" t="s">
        <v>1850</v>
      </c>
      <c r="B775" t="s">
        <v>1851</v>
      </c>
      <c r="C775" t="s">
        <v>1570</v>
      </c>
      <c r="D775" t="s">
        <v>14</v>
      </c>
      <c r="E775" t="s">
        <v>384</v>
      </c>
      <c r="F775" s="2" t="str">
        <f>HYPERLINK("http://www.otzar.org/book.asp?104559","אדרת אליהו - אנציקלופדיה")</f>
        <v>אדרת אליהו - אנציקלופדיה</v>
      </c>
    </row>
    <row r="776" spans="1:6" x14ac:dyDescent="0.2">
      <c r="A776" t="s">
        <v>1852</v>
      </c>
      <c r="B776" t="s">
        <v>1853</v>
      </c>
      <c r="C776" t="s">
        <v>1854</v>
      </c>
      <c r="D776" t="s">
        <v>1855</v>
      </c>
      <c r="E776" t="s">
        <v>1262</v>
      </c>
      <c r="F776" s="2" t="str">
        <f>HYPERLINK("http://www.otzar.org/book.asp?141174","אדרת אליהו - 3 כר'")</f>
        <v>אדרת אליהו - 3 כר'</v>
      </c>
    </row>
    <row r="777" spans="1:6" x14ac:dyDescent="0.2">
      <c r="A777" t="s">
        <v>1856</v>
      </c>
      <c r="B777" t="s">
        <v>1857</v>
      </c>
      <c r="C777" t="s">
        <v>244</v>
      </c>
      <c r="D777" t="s">
        <v>147</v>
      </c>
      <c r="E777" t="s">
        <v>144</v>
      </c>
      <c r="F777" s="2" t="str">
        <f>HYPERLINK("http://www.otzar.org/book.asp?609903","אדרת אליהו - 6 כר'")</f>
        <v>אדרת אליהו - 6 כר'</v>
      </c>
    </row>
    <row r="778" spans="1:6" x14ac:dyDescent="0.2">
      <c r="A778" t="s">
        <v>1835</v>
      </c>
      <c r="B778" t="s">
        <v>1858</v>
      </c>
      <c r="C778" t="s">
        <v>1859</v>
      </c>
      <c r="D778" t="s">
        <v>49</v>
      </c>
      <c r="E778" t="s">
        <v>234</v>
      </c>
      <c r="F778" s="2" t="str">
        <f>HYPERLINK("http://www.otzar.org/book.asp?147261","אדרת אליהו")</f>
        <v>אדרת אליהו</v>
      </c>
    </row>
    <row r="779" spans="1:6" x14ac:dyDescent="0.2">
      <c r="A779" t="s">
        <v>1835</v>
      </c>
      <c r="B779" t="s">
        <v>1860</v>
      </c>
      <c r="C779" t="s">
        <v>950</v>
      </c>
      <c r="D779" t="s">
        <v>56</v>
      </c>
      <c r="E779" t="s">
        <v>148</v>
      </c>
      <c r="F779" s="2" t="str">
        <f>HYPERLINK("http://www.otzar.org/book.asp?149","אדרת אליהו")</f>
        <v>אדרת אליהו</v>
      </c>
    </row>
    <row r="780" spans="1:6" x14ac:dyDescent="0.2">
      <c r="A780" t="s">
        <v>1835</v>
      </c>
      <c r="B780" t="s">
        <v>1861</v>
      </c>
      <c r="C780" t="s">
        <v>1706</v>
      </c>
      <c r="D780" t="s">
        <v>1862</v>
      </c>
      <c r="E780" t="s">
        <v>148</v>
      </c>
      <c r="F780" s="2" t="str">
        <f>HYPERLINK("http://www.otzar.org/book.asp?28368","אדרת אליהו")</f>
        <v>אדרת אליהו</v>
      </c>
    </row>
    <row r="781" spans="1:6" x14ac:dyDescent="0.2">
      <c r="A781" t="s">
        <v>1830</v>
      </c>
      <c r="B781" t="s">
        <v>1827</v>
      </c>
      <c r="C781" t="s">
        <v>1863</v>
      </c>
      <c r="D781" t="s">
        <v>212</v>
      </c>
      <c r="E781" t="s">
        <v>1864</v>
      </c>
      <c r="F781" s="2" t="str">
        <f>HYPERLINK("http://www.otzar.org/book.asp?23974","אדרת אליהו - 2 כר'")</f>
        <v>אדרת אליהו - 2 כר'</v>
      </c>
    </row>
    <row r="782" spans="1:6" x14ac:dyDescent="0.2">
      <c r="A782" t="s">
        <v>1865</v>
      </c>
      <c r="B782" t="s">
        <v>1866</v>
      </c>
      <c r="C782" t="s">
        <v>68</v>
      </c>
      <c r="D782" t="s">
        <v>14</v>
      </c>
      <c r="E782" t="s">
        <v>144</v>
      </c>
      <c r="F782" s="2" t="str">
        <f>HYPERLINK("http://www.otzar.org/book.asp?163981","אדרת המלך - שיעורים א")</f>
        <v>אדרת המלך - שיעורים א</v>
      </c>
    </row>
    <row r="783" spans="1:6" x14ac:dyDescent="0.2">
      <c r="A783" t="s">
        <v>1867</v>
      </c>
      <c r="B783" t="s">
        <v>1868</v>
      </c>
      <c r="C783" t="s">
        <v>189</v>
      </c>
      <c r="D783" t="s">
        <v>14</v>
      </c>
      <c r="E783" t="s">
        <v>15</v>
      </c>
      <c r="F783" s="2" t="str">
        <f>HYPERLINK("http://www.otzar.org/book.asp?50490","אדרת המלך")</f>
        <v>אדרת המלך</v>
      </c>
    </row>
    <row r="784" spans="1:6" x14ac:dyDescent="0.2">
      <c r="A784" t="s">
        <v>1869</v>
      </c>
      <c r="B784" t="s">
        <v>1870</v>
      </c>
      <c r="C784" t="s">
        <v>189</v>
      </c>
      <c r="D784" t="s">
        <v>52</v>
      </c>
      <c r="E784" t="s">
        <v>219</v>
      </c>
      <c r="F784" s="2" t="str">
        <f>HYPERLINK("http://www.otzar.org/book.asp?61422","אדרת התפילה")</f>
        <v>אדרת התפילה</v>
      </c>
    </row>
    <row r="785" spans="1:6" x14ac:dyDescent="0.2">
      <c r="A785" t="s">
        <v>1871</v>
      </c>
      <c r="B785" t="s">
        <v>1872</v>
      </c>
      <c r="C785" t="s">
        <v>617</v>
      </c>
      <c r="D785" t="s">
        <v>283</v>
      </c>
      <c r="E785" t="s">
        <v>15</v>
      </c>
      <c r="F785" s="2" t="str">
        <f>HYPERLINK("http://www.otzar.org/book.asp?149685","אדרת יהודה - 2 כר'")</f>
        <v>אדרת יהודה - 2 כר'</v>
      </c>
    </row>
    <row r="786" spans="1:6" x14ac:dyDescent="0.2">
      <c r="A786" t="s">
        <v>1873</v>
      </c>
      <c r="B786" t="s">
        <v>206</v>
      </c>
      <c r="C786" t="s">
        <v>422</v>
      </c>
      <c r="D786" t="s">
        <v>52</v>
      </c>
      <c r="E786" t="s">
        <v>172</v>
      </c>
      <c r="F786" s="2" t="str">
        <f>HYPERLINK("http://www.otzar.org/book.asp?157995","אדרת יעקב - 4 כר'")</f>
        <v>אדרת יעקב - 4 כר'</v>
      </c>
    </row>
    <row r="787" spans="1:6" x14ac:dyDescent="0.2">
      <c r="A787" t="s">
        <v>1874</v>
      </c>
      <c r="B787" t="s">
        <v>1875</v>
      </c>
      <c r="C787" t="s">
        <v>37</v>
      </c>
      <c r="D787" t="s">
        <v>14</v>
      </c>
      <c r="E787" t="s">
        <v>15</v>
      </c>
      <c r="F787" s="2" t="str">
        <f>HYPERLINK("http://www.otzar.org/book.asp?197111","אדרת שמואל")</f>
        <v>אדרת שמואל</v>
      </c>
    </row>
    <row r="788" spans="1:6" x14ac:dyDescent="0.2">
      <c r="A788" t="s">
        <v>1876</v>
      </c>
      <c r="B788" t="s">
        <v>1877</v>
      </c>
      <c r="C788" t="s">
        <v>23</v>
      </c>
      <c r="D788" t="s">
        <v>52</v>
      </c>
      <c r="E788" t="s">
        <v>84</v>
      </c>
      <c r="F788" s="2" t="str">
        <f>HYPERLINK("http://www.otzar.org/book.asp?603080","אדרת שנער - 2 כר'")</f>
        <v>אדרת שנער - 2 כר'</v>
      </c>
    </row>
    <row r="789" spans="1:6" x14ac:dyDescent="0.2">
      <c r="A789" t="s">
        <v>1878</v>
      </c>
      <c r="B789" t="s">
        <v>1879</v>
      </c>
      <c r="C789" t="s">
        <v>523</v>
      </c>
      <c r="D789" t="s">
        <v>14</v>
      </c>
      <c r="E789" t="s">
        <v>1880</v>
      </c>
      <c r="F789" s="2" t="str">
        <f>HYPERLINK("http://www.otzar.org/book.asp?52244","אדרת תפארת - 7 כר'")</f>
        <v>אדרת תפארת - 7 כר'</v>
      </c>
    </row>
    <row r="790" spans="1:6" x14ac:dyDescent="0.2">
      <c r="A790" t="s">
        <v>1881</v>
      </c>
      <c r="B790" t="s">
        <v>1882</v>
      </c>
      <c r="C790" t="s">
        <v>129</v>
      </c>
      <c r="D790" t="s">
        <v>14</v>
      </c>
      <c r="E790" t="s">
        <v>104</v>
      </c>
      <c r="F790" s="2" t="str">
        <f>HYPERLINK("http://www.otzar.org/book.asp?53745","אהב ימים - א")</f>
        <v>אהב ימים - א</v>
      </c>
    </row>
    <row r="791" spans="1:6" x14ac:dyDescent="0.2">
      <c r="A791" t="s">
        <v>1883</v>
      </c>
      <c r="B791" t="s">
        <v>1884</v>
      </c>
      <c r="C791" t="s">
        <v>1885</v>
      </c>
      <c r="D791" t="s">
        <v>283</v>
      </c>
      <c r="E791" t="s">
        <v>213</v>
      </c>
      <c r="F791" s="2" t="str">
        <f>HYPERLINK("http://www.otzar.org/book.asp?300164","אהב מוסר")</f>
        <v>אהב מוסר</v>
      </c>
    </row>
    <row r="792" spans="1:6" x14ac:dyDescent="0.2">
      <c r="A792" t="s">
        <v>1886</v>
      </c>
      <c r="B792" t="s">
        <v>1887</v>
      </c>
      <c r="C792" t="s">
        <v>1888</v>
      </c>
      <c r="D792" t="s">
        <v>1889</v>
      </c>
      <c r="F792" s="2" t="str">
        <f>HYPERLINK("http://www.otzar.org/book.asp?28512","אהב משפט - 4 כר'")</f>
        <v>אהב משפט - 4 כר'</v>
      </c>
    </row>
    <row r="793" spans="1:6" x14ac:dyDescent="0.2">
      <c r="A793" t="s">
        <v>1890</v>
      </c>
      <c r="B793" t="s">
        <v>1891</v>
      </c>
      <c r="C793" t="s">
        <v>725</v>
      </c>
      <c r="D793" t="s">
        <v>947</v>
      </c>
      <c r="E793" t="s">
        <v>1880</v>
      </c>
      <c r="F793" s="2" t="str">
        <f>HYPERLINK("http://www.otzar.org/book.asp?10093","אהב שלום")</f>
        <v>אהב שלום</v>
      </c>
    </row>
    <row r="794" spans="1:6" x14ac:dyDescent="0.2">
      <c r="A794" t="s">
        <v>1892</v>
      </c>
      <c r="B794" t="s">
        <v>1893</v>
      </c>
      <c r="C794" t="s">
        <v>37</v>
      </c>
      <c r="D794" t="s">
        <v>21</v>
      </c>
      <c r="E794" t="s">
        <v>172</v>
      </c>
      <c r="F794" s="2" t="str">
        <f>HYPERLINK("http://www.otzar.org/book.asp?197847","אהבה אחוה ושלום &lt;פסקי הגרי""ש אלישיב&gt;")</f>
        <v>אהבה אחוה ושלום &lt;פסקי הגרי"ש אלישיב&gt;</v>
      </c>
    </row>
    <row r="795" spans="1:6" x14ac:dyDescent="0.2">
      <c r="A795" t="s">
        <v>1894</v>
      </c>
      <c r="B795" t="s">
        <v>1895</v>
      </c>
      <c r="C795" t="s">
        <v>366</v>
      </c>
      <c r="D795" t="s">
        <v>14</v>
      </c>
      <c r="E795" t="s">
        <v>84</v>
      </c>
      <c r="F795" s="2" t="str">
        <f>HYPERLINK("http://www.otzar.org/book.asp?619907","אהבה בתענוגים &lt;מהדורת מכון ירושלים&gt;")</f>
        <v>אהבה בתענוגים &lt;מהדורת מכון ירושלים&gt;</v>
      </c>
    </row>
    <row r="796" spans="1:6" x14ac:dyDescent="0.2">
      <c r="A796" t="s">
        <v>1896</v>
      </c>
      <c r="B796" t="s">
        <v>78</v>
      </c>
      <c r="C796" t="s">
        <v>1897</v>
      </c>
      <c r="D796" t="s">
        <v>80</v>
      </c>
      <c r="E796" t="s">
        <v>158</v>
      </c>
      <c r="F796" s="2" t="str">
        <f>HYPERLINK("http://www.otzar.org/book.asp?7362","אהבה בתענוגים - 4 כר'")</f>
        <v>אהבה בתענוגים - 4 כר'</v>
      </c>
    </row>
    <row r="797" spans="1:6" x14ac:dyDescent="0.2">
      <c r="A797" t="s">
        <v>1898</v>
      </c>
      <c r="B797" t="s">
        <v>1899</v>
      </c>
      <c r="C797" t="s">
        <v>51</v>
      </c>
      <c r="D797" t="s">
        <v>14</v>
      </c>
      <c r="E797" t="s">
        <v>241</v>
      </c>
      <c r="F797" s="2" t="str">
        <f>HYPERLINK("http://www.otzar.org/book.asp?200282","אהבה ואחוה בישראל")</f>
        <v>אהבה ואחוה בישראל</v>
      </c>
    </row>
    <row r="798" spans="1:6" x14ac:dyDescent="0.2">
      <c r="A798" t="s">
        <v>1900</v>
      </c>
      <c r="B798" t="s">
        <v>206</v>
      </c>
      <c r="C798" t="s">
        <v>244</v>
      </c>
      <c r="D798" t="s">
        <v>486</v>
      </c>
      <c r="F798" s="2" t="str">
        <f>HYPERLINK("http://www.otzar.org/book.asp?609967","אהבה ודבקות למעשה")</f>
        <v>אהבה ודבקות למעשה</v>
      </c>
    </row>
    <row r="799" spans="1:6" x14ac:dyDescent="0.2">
      <c r="A799" t="s">
        <v>1901</v>
      </c>
      <c r="B799" t="s">
        <v>1902</v>
      </c>
      <c r="C799" t="s">
        <v>146</v>
      </c>
      <c r="D799" t="s">
        <v>14</v>
      </c>
      <c r="E799" t="s">
        <v>230</v>
      </c>
      <c r="F799" s="2" t="str">
        <f>HYPERLINK("http://www.otzar.org/book.asp?50796","אהבה ורעות - 2 כר'")</f>
        <v>אהבה ורעות - 2 כר'</v>
      </c>
    </row>
    <row r="800" spans="1:6" x14ac:dyDescent="0.2">
      <c r="A800" t="s">
        <v>1903</v>
      </c>
      <c r="B800" t="s">
        <v>1903</v>
      </c>
      <c r="C800" t="s">
        <v>1904</v>
      </c>
      <c r="D800" t="s">
        <v>27</v>
      </c>
      <c r="E800" t="s">
        <v>564</v>
      </c>
      <c r="F800" s="2" t="str">
        <f>HYPERLINK("http://www.otzar.org/book.asp?300146","אהבה ושלום")</f>
        <v>אהבה ושלום</v>
      </c>
    </row>
    <row r="801" spans="1:6" x14ac:dyDescent="0.2">
      <c r="A801" t="s">
        <v>1905</v>
      </c>
      <c r="B801" t="s">
        <v>1906</v>
      </c>
      <c r="C801" t="s">
        <v>103</v>
      </c>
      <c r="D801" t="s">
        <v>1907</v>
      </c>
      <c r="E801" t="s">
        <v>213</v>
      </c>
      <c r="F801" s="2" t="str">
        <f>HYPERLINK("http://www.otzar.org/book.asp?603428","אהבוך עד מוות")</f>
        <v>אהבוך עד מוות</v>
      </c>
    </row>
    <row r="802" spans="1:6" x14ac:dyDescent="0.2">
      <c r="A802" t="s">
        <v>1908</v>
      </c>
      <c r="B802" t="s">
        <v>1909</v>
      </c>
      <c r="C802" t="s">
        <v>454</v>
      </c>
      <c r="D802" t="s">
        <v>486</v>
      </c>
      <c r="E802" t="s">
        <v>144</v>
      </c>
      <c r="F802" s="2" t="str">
        <f>HYPERLINK("http://www.otzar.org/book.asp?157509","אהבת אברהם")</f>
        <v>אהבת אברהם</v>
      </c>
    </row>
    <row r="803" spans="1:6" x14ac:dyDescent="0.2">
      <c r="A803" t="s">
        <v>1908</v>
      </c>
      <c r="B803" t="s">
        <v>1910</v>
      </c>
      <c r="C803" t="s">
        <v>445</v>
      </c>
      <c r="D803" t="s">
        <v>225</v>
      </c>
      <c r="E803" t="s">
        <v>144</v>
      </c>
      <c r="F803" s="2" t="str">
        <f>HYPERLINK("http://www.otzar.org/book.asp?145090","אהבת אברהם")</f>
        <v>אהבת אברהם</v>
      </c>
    </row>
    <row r="804" spans="1:6" x14ac:dyDescent="0.2">
      <c r="A804" t="s">
        <v>1911</v>
      </c>
      <c r="B804" t="s">
        <v>1912</v>
      </c>
      <c r="C804" t="s">
        <v>1166</v>
      </c>
      <c r="D804" t="s">
        <v>1913</v>
      </c>
      <c r="E804" t="s">
        <v>1914</v>
      </c>
      <c r="F804" s="2" t="str">
        <f>HYPERLINK("http://www.otzar.org/book.asp?189365","אהבת איתן")</f>
        <v>אהבת איתן</v>
      </c>
    </row>
    <row r="805" spans="1:6" x14ac:dyDescent="0.2">
      <c r="A805" t="s">
        <v>1915</v>
      </c>
      <c r="B805" t="s">
        <v>1916</v>
      </c>
      <c r="C805" t="s">
        <v>68</v>
      </c>
      <c r="D805" t="s">
        <v>14</v>
      </c>
      <c r="E805" t="s">
        <v>144</v>
      </c>
      <c r="F805" s="2" t="str">
        <f>HYPERLINK("http://www.otzar.org/book.asp?157428","אהבת איתן - 3 כר'")</f>
        <v>אהבת איתן - 3 כר'</v>
      </c>
    </row>
    <row r="806" spans="1:6" x14ac:dyDescent="0.2">
      <c r="A806" t="s">
        <v>1917</v>
      </c>
      <c r="B806" t="s">
        <v>1918</v>
      </c>
      <c r="C806" t="s">
        <v>133</v>
      </c>
      <c r="D806" t="s">
        <v>14</v>
      </c>
      <c r="E806" t="s">
        <v>241</v>
      </c>
      <c r="F806" s="2" t="str">
        <f>HYPERLINK("http://www.otzar.org/book.asp?198070","אהבת איתן - 2 כר'")</f>
        <v>אהבת איתן - 2 כר'</v>
      </c>
    </row>
    <row r="807" spans="1:6" x14ac:dyDescent="0.2">
      <c r="A807" t="s">
        <v>1919</v>
      </c>
      <c r="B807" t="s">
        <v>1920</v>
      </c>
      <c r="C807" t="s">
        <v>1921</v>
      </c>
      <c r="D807" t="s">
        <v>744</v>
      </c>
      <c r="E807" t="s">
        <v>241</v>
      </c>
      <c r="F807" s="2" t="str">
        <f>HYPERLINK("http://www.otzar.org/book.asp?15796","אהבת אמת")</f>
        <v>אהבת אמת</v>
      </c>
    </row>
    <row r="808" spans="1:6" x14ac:dyDescent="0.2">
      <c r="A808" t="s">
        <v>1922</v>
      </c>
      <c r="B808" t="s">
        <v>1923</v>
      </c>
      <c r="C808" t="s">
        <v>1924</v>
      </c>
      <c r="D808" t="s">
        <v>744</v>
      </c>
      <c r="E808" t="s">
        <v>234</v>
      </c>
      <c r="F808" s="2" t="str">
        <f>HYPERLINK("http://www.otzar.org/book.asp?23976","אהבת דוד (מתוך עולת חודש)")</f>
        <v>אהבת דוד (מתוך עולת חודש)</v>
      </c>
    </row>
    <row r="809" spans="1:6" x14ac:dyDescent="0.2">
      <c r="A809" t="s">
        <v>1925</v>
      </c>
      <c r="B809" t="s">
        <v>1926</v>
      </c>
      <c r="C809" t="s">
        <v>1718</v>
      </c>
      <c r="D809" t="s">
        <v>283</v>
      </c>
      <c r="E809" t="s">
        <v>144</v>
      </c>
      <c r="F809" s="2" t="str">
        <f>HYPERLINK("http://www.otzar.org/book.asp?28362","אהבת דוד (קונטרס ראשון)")</f>
        <v>אהבת דוד (קונטרס ראשון)</v>
      </c>
    </row>
    <row r="810" spans="1:6" x14ac:dyDescent="0.2">
      <c r="A810" t="s">
        <v>1927</v>
      </c>
      <c r="B810" t="s">
        <v>1928</v>
      </c>
      <c r="C810" t="s">
        <v>1929</v>
      </c>
      <c r="D810" t="s">
        <v>267</v>
      </c>
      <c r="E810" t="s">
        <v>1433</v>
      </c>
      <c r="F810" s="2" t="str">
        <f>HYPERLINK("http://www.otzar.org/book.asp?100259","אהבת דוד ויהונתן - א")</f>
        <v>אהבת דוד ויהונתן - א</v>
      </c>
    </row>
    <row r="811" spans="1:6" x14ac:dyDescent="0.2">
      <c r="A811" t="s">
        <v>1930</v>
      </c>
      <c r="B811" t="s">
        <v>1308</v>
      </c>
      <c r="C811" t="s">
        <v>1160</v>
      </c>
      <c r="D811" t="s">
        <v>14</v>
      </c>
      <c r="E811" t="s">
        <v>234</v>
      </c>
      <c r="F811" s="2" t="str">
        <f>HYPERLINK("http://www.otzar.org/book.asp?11566","אהבת דוד")</f>
        <v>אהבת דוד</v>
      </c>
    </row>
    <row r="812" spans="1:6" x14ac:dyDescent="0.2">
      <c r="A812" t="s">
        <v>1931</v>
      </c>
      <c r="B812" t="s">
        <v>1932</v>
      </c>
      <c r="C812" t="s">
        <v>114</v>
      </c>
      <c r="D812" t="s">
        <v>134</v>
      </c>
      <c r="E812" t="s">
        <v>144</v>
      </c>
      <c r="F812" s="2" t="str">
        <f>HYPERLINK("http://www.otzar.org/book.asp?173401","אהבת דוד - יבמות פ""א")</f>
        <v>אהבת דוד - יבמות פ"א</v>
      </c>
    </row>
    <row r="813" spans="1:6" x14ac:dyDescent="0.2">
      <c r="A813" t="s">
        <v>1933</v>
      </c>
      <c r="B813" t="s">
        <v>1926</v>
      </c>
      <c r="C813" t="s">
        <v>1934</v>
      </c>
      <c r="D813" t="s">
        <v>855</v>
      </c>
      <c r="E813" t="s">
        <v>1935</v>
      </c>
      <c r="F813" s="2" t="str">
        <f>HYPERLINK("http://www.otzar.org/book.asp?100352","אהבת דוד - 2 כר'")</f>
        <v>אהבת דוד - 2 כר'</v>
      </c>
    </row>
    <row r="814" spans="1:6" x14ac:dyDescent="0.2">
      <c r="A814" t="s">
        <v>1936</v>
      </c>
      <c r="B814" t="s">
        <v>1308</v>
      </c>
      <c r="C814" t="s">
        <v>1937</v>
      </c>
      <c r="D814" t="s">
        <v>212</v>
      </c>
      <c r="E814" t="s">
        <v>467</v>
      </c>
      <c r="F814" s="2" t="str">
        <f>HYPERLINK("http://www.otzar.org/book.asp?104479","אהבת דוד, שפה אחת")</f>
        <v>אהבת דוד, שפה אחת</v>
      </c>
    </row>
    <row r="815" spans="1:6" x14ac:dyDescent="0.2">
      <c r="A815" t="s">
        <v>1938</v>
      </c>
      <c r="B815" t="s">
        <v>1939</v>
      </c>
      <c r="C815" t="s">
        <v>1940</v>
      </c>
      <c r="D815" t="s">
        <v>267</v>
      </c>
      <c r="E815" t="s">
        <v>158</v>
      </c>
      <c r="F815" s="2" t="str">
        <f>HYPERLINK("http://www.otzar.org/book.asp?104253","אהבת דודים - 2 כר'")</f>
        <v>אהבת דודים - 2 כר'</v>
      </c>
    </row>
    <row r="816" spans="1:6" x14ac:dyDescent="0.2">
      <c r="A816" t="s">
        <v>1941</v>
      </c>
      <c r="B816" t="s">
        <v>206</v>
      </c>
      <c r="C816" t="s">
        <v>466</v>
      </c>
      <c r="D816" t="s">
        <v>52</v>
      </c>
      <c r="E816" t="s">
        <v>241</v>
      </c>
      <c r="F816" s="2" t="str">
        <f>HYPERLINK("http://www.otzar.org/book.asp?156531","אהבת ה' - 2 כר'")</f>
        <v>אהבת ה' - 2 כר'</v>
      </c>
    </row>
    <row r="817" spans="1:6" x14ac:dyDescent="0.2">
      <c r="A817" t="s">
        <v>1941</v>
      </c>
      <c r="B817" t="s">
        <v>1942</v>
      </c>
      <c r="C817" t="s">
        <v>594</v>
      </c>
      <c r="D817" t="s">
        <v>212</v>
      </c>
      <c r="E817" t="s">
        <v>399</v>
      </c>
      <c r="F817" s="2" t="str">
        <f>HYPERLINK("http://www.otzar.org/book.asp?5949","אהבת ה' - 2 כר'")</f>
        <v>אהבת ה' - 2 כר'</v>
      </c>
    </row>
    <row r="818" spans="1:6" x14ac:dyDescent="0.2">
      <c r="A818" t="s">
        <v>1943</v>
      </c>
      <c r="B818" t="s">
        <v>1944</v>
      </c>
      <c r="C818" t="s">
        <v>366</v>
      </c>
      <c r="D818" t="s">
        <v>21</v>
      </c>
      <c r="E818" t="s">
        <v>241</v>
      </c>
      <c r="F818" s="2" t="str">
        <f>HYPERLINK("http://www.otzar.org/book.asp?605400","אהבת ה'")</f>
        <v>אהבת ה'</v>
      </c>
    </row>
    <row r="819" spans="1:6" x14ac:dyDescent="0.2">
      <c r="A819" t="s">
        <v>1945</v>
      </c>
      <c r="B819" t="s">
        <v>1393</v>
      </c>
      <c r="C819" t="s">
        <v>17</v>
      </c>
      <c r="D819" t="s">
        <v>367</v>
      </c>
      <c r="E819" t="s">
        <v>219</v>
      </c>
      <c r="F819" s="2" t="str">
        <f>HYPERLINK("http://www.otzar.org/book.asp?159709","אהבת הבורא")</f>
        <v>אהבת הבורא</v>
      </c>
    </row>
    <row r="820" spans="1:6" x14ac:dyDescent="0.2">
      <c r="A820" t="s">
        <v>1946</v>
      </c>
      <c r="B820" t="s">
        <v>1947</v>
      </c>
      <c r="C820" t="s">
        <v>1047</v>
      </c>
      <c r="D820" t="s">
        <v>27</v>
      </c>
      <c r="E820" t="s">
        <v>219</v>
      </c>
      <c r="F820" s="2" t="str">
        <f>HYPERLINK("http://www.otzar.org/book.asp?615640","אהבת הקדמונים - 2 כר'")</f>
        <v>אהבת הקדמונים - 2 כר'</v>
      </c>
    </row>
    <row r="821" spans="1:6" x14ac:dyDescent="0.2">
      <c r="A821" t="s">
        <v>1948</v>
      </c>
      <c r="B821" t="s">
        <v>1949</v>
      </c>
      <c r="C821" t="s">
        <v>1619</v>
      </c>
      <c r="D821" t="s">
        <v>27</v>
      </c>
      <c r="E821" t="s">
        <v>399</v>
      </c>
      <c r="F821" s="2" t="str">
        <f>HYPERLINK("http://www.otzar.org/book.asp?159245","אהבת השם - 2 כר'")</f>
        <v>אהבת השם - 2 כר'</v>
      </c>
    </row>
    <row r="822" spans="1:6" x14ac:dyDescent="0.2">
      <c r="A822" t="s">
        <v>1950</v>
      </c>
      <c r="B822" t="s">
        <v>1951</v>
      </c>
      <c r="C822" t="s">
        <v>1952</v>
      </c>
      <c r="D822" t="s">
        <v>1117</v>
      </c>
      <c r="E822" t="s">
        <v>241</v>
      </c>
      <c r="F822" s="2" t="str">
        <f>HYPERLINK("http://www.otzar.org/book.asp?141136","אהבת השם")</f>
        <v>אהבת השם</v>
      </c>
    </row>
    <row r="823" spans="1:6" x14ac:dyDescent="0.2">
      <c r="A823" t="s">
        <v>1950</v>
      </c>
      <c r="B823" t="s">
        <v>1953</v>
      </c>
      <c r="C823" t="s">
        <v>1954</v>
      </c>
      <c r="D823" t="s">
        <v>27</v>
      </c>
      <c r="E823" t="s">
        <v>241</v>
      </c>
      <c r="F823" s="2" t="str">
        <f>HYPERLINK("http://www.otzar.org/book.asp?28490","אהבת השם")</f>
        <v>אהבת השם</v>
      </c>
    </row>
    <row r="824" spans="1:6" x14ac:dyDescent="0.2">
      <c r="A824" t="s">
        <v>1955</v>
      </c>
      <c r="B824" t="s">
        <v>1956</v>
      </c>
      <c r="C824" t="s">
        <v>698</v>
      </c>
      <c r="D824" t="s">
        <v>412</v>
      </c>
      <c r="E824" t="s">
        <v>241</v>
      </c>
      <c r="F824" s="2" t="str">
        <f>HYPERLINK("http://www.otzar.org/book.asp?15825","אהבת התורה")</f>
        <v>אהבת התורה</v>
      </c>
    </row>
    <row r="825" spans="1:6" x14ac:dyDescent="0.2">
      <c r="A825" t="s">
        <v>1957</v>
      </c>
      <c r="B825" t="s">
        <v>1958</v>
      </c>
      <c r="C825" t="s">
        <v>619</v>
      </c>
      <c r="D825" t="s">
        <v>267</v>
      </c>
      <c r="E825" t="s">
        <v>241</v>
      </c>
      <c r="F825" s="2" t="str">
        <f>HYPERLINK("http://www.otzar.org/book.asp?10409","אהבת וסגולת ישראל")</f>
        <v>אהבת וסגולת ישראל</v>
      </c>
    </row>
    <row r="826" spans="1:6" x14ac:dyDescent="0.2">
      <c r="A826" t="s">
        <v>1959</v>
      </c>
      <c r="B826" t="s">
        <v>1960</v>
      </c>
      <c r="C826" t="s">
        <v>422</v>
      </c>
      <c r="D826" t="s">
        <v>412</v>
      </c>
      <c r="E826" t="s">
        <v>241</v>
      </c>
      <c r="F826" s="2" t="str">
        <f>HYPERLINK("http://www.otzar.org/book.asp?172802","אהבת חברים")</f>
        <v>אהבת חברים</v>
      </c>
    </row>
    <row r="827" spans="1:6" x14ac:dyDescent="0.2">
      <c r="A827" t="s">
        <v>1961</v>
      </c>
      <c r="B827" t="s">
        <v>1962</v>
      </c>
      <c r="C827" t="s">
        <v>390</v>
      </c>
      <c r="D827" t="s">
        <v>14</v>
      </c>
      <c r="E827" t="s">
        <v>158</v>
      </c>
      <c r="F827" s="2" t="str">
        <f>HYPERLINK("http://www.otzar.org/book.asp?5172","אהבת חיים השלם - 2 כר'")</f>
        <v>אהבת חיים השלם - 2 כר'</v>
      </c>
    </row>
    <row r="828" spans="1:6" x14ac:dyDescent="0.2">
      <c r="A828" t="s">
        <v>1963</v>
      </c>
      <c r="B828" t="s">
        <v>1964</v>
      </c>
      <c r="C828" t="s">
        <v>1965</v>
      </c>
      <c r="D828" t="s">
        <v>1966</v>
      </c>
      <c r="E828" t="s">
        <v>158</v>
      </c>
      <c r="F828" s="2" t="str">
        <f>HYPERLINK("http://www.otzar.org/book.asp?144703","אהבת חיים - א (על התורה)")</f>
        <v>אהבת חיים - א (על התורה)</v>
      </c>
    </row>
    <row r="829" spans="1:6" x14ac:dyDescent="0.2">
      <c r="A829" t="s">
        <v>1967</v>
      </c>
      <c r="B829" t="s">
        <v>1968</v>
      </c>
      <c r="C829" t="s">
        <v>1169</v>
      </c>
      <c r="D829" t="s">
        <v>27</v>
      </c>
      <c r="E829" t="s">
        <v>213</v>
      </c>
      <c r="F829" s="2" t="str">
        <f>HYPERLINK("http://www.otzar.org/book.asp?144860","אהבת חיים")</f>
        <v>אהבת חיים</v>
      </c>
    </row>
    <row r="830" spans="1:6" x14ac:dyDescent="0.2">
      <c r="A830" t="s">
        <v>1969</v>
      </c>
      <c r="B830" t="s">
        <v>1964</v>
      </c>
      <c r="C830" t="s">
        <v>1965</v>
      </c>
      <c r="D830" t="s">
        <v>1966</v>
      </c>
      <c r="E830" t="s">
        <v>1970</v>
      </c>
      <c r="F830" s="2" t="str">
        <f>HYPERLINK("http://www.otzar.org/book.asp?144704","אהבת חיים, רוח חיים - ב (על המועדים)")</f>
        <v>אהבת חיים, רוח חיים - ב (על המועדים)</v>
      </c>
    </row>
    <row r="831" spans="1:6" x14ac:dyDescent="0.2">
      <c r="A831" t="s">
        <v>1971</v>
      </c>
      <c r="B831" t="s">
        <v>1972</v>
      </c>
      <c r="C831" t="s">
        <v>313</v>
      </c>
      <c r="D831" t="s">
        <v>486</v>
      </c>
      <c r="E831" t="s">
        <v>213</v>
      </c>
      <c r="F831" s="2" t="str">
        <f>HYPERLINK("http://www.otzar.org/book.asp?189719","אהבת חינם")</f>
        <v>אהבת חינם</v>
      </c>
    </row>
    <row r="832" spans="1:6" x14ac:dyDescent="0.2">
      <c r="A832" t="s">
        <v>1971</v>
      </c>
      <c r="B832" t="s">
        <v>1973</v>
      </c>
      <c r="C832" t="s">
        <v>313</v>
      </c>
      <c r="D832" t="s">
        <v>1974</v>
      </c>
      <c r="E832" t="s">
        <v>213</v>
      </c>
      <c r="F832" s="2" t="str">
        <f>HYPERLINK("http://www.otzar.org/book.asp?23640","אהבת חינם")</f>
        <v>אהבת חינם</v>
      </c>
    </row>
    <row r="833" spans="1:6" x14ac:dyDescent="0.2">
      <c r="A833" t="s">
        <v>1975</v>
      </c>
      <c r="B833" t="s">
        <v>1976</v>
      </c>
      <c r="C833" t="s">
        <v>37</v>
      </c>
      <c r="D833" t="s">
        <v>14</v>
      </c>
      <c r="E833" t="s">
        <v>241</v>
      </c>
      <c r="F833" s="2" t="str">
        <f>HYPERLINK("http://www.otzar.org/book.asp?182949","אהבת חסד &lt;תורת חסד&gt; - 2 כר'")</f>
        <v>אהבת חסד &lt;תורת חסד&gt; - 2 כר'</v>
      </c>
    </row>
    <row r="834" spans="1:6" x14ac:dyDescent="0.2">
      <c r="A834" t="s">
        <v>1977</v>
      </c>
      <c r="B834" t="s">
        <v>1978</v>
      </c>
      <c r="C834" t="s">
        <v>103</v>
      </c>
      <c r="D834" t="s">
        <v>14</v>
      </c>
      <c r="E834" t="s">
        <v>714</v>
      </c>
      <c r="F834" s="2" t="str">
        <f>HYPERLINK("http://www.otzar.org/book.asp?619682","אהבת חסד &lt;מקור החסד&gt;")</f>
        <v>אהבת חסד &lt;מקור החסד&gt;</v>
      </c>
    </row>
    <row r="835" spans="1:6" x14ac:dyDescent="0.2">
      <c r="A835" t="s">
        <v>1979</v>
      </c>
      <c r="B835" t="s">
        <v>1980</v>
      </c>
      <c r="C835" t="s">
        <v>1981</v>
      </c>
      <c r="D835" t="s">
        <v>1023</v>
      </c>
      <c r="E835" t="s">
        <v>43</v>
      </c>
      <c r="F835" s="2" t="str">
        <f>HYPERLINK("http://www.otzar.org/book.asp?100260","אהבת חסד - אבות דר' נתן")</f>
        <v>אהבת חסד - אבות דר' נתן</v>
      </c>
    </row>
    <row r="836" spans="1:6" x14ac:dyDescent="0.2">
      <c r="A836" t="s">
        <v>1982</v>
      </c>
      <c r="B836" t="s">
        <v>1978</v>
      </c>
      <c r="C836" t="s">
        <v>649</v>
      </c>
      <c r="D836" t="s">
        <v>225</v>
      </c>
      <c r="E836" t="s">
        <v>241</v>
      </c>
      <c r="F836" s="2" t="str">
        <f>HYPERLINK("http://www.otzar.org/book.asp?5903","אהבת חסד - 2 כר'")</f>
        <v>אהבת חסד - 2 כר'</v>
      </c>
    </row>
    <row r="837" spans="1:6" x14ac:dyDescent="0.2">
      <c r="A837" t="s">
        <v>1983</v>
      </c>
      <c r="B837" t="s">
        <v>1984</v>
      </c>
      <c r="C837" t="s">
        <v>748</v>
      </c>
      <c r="D837" t="s">
        <v>225</v>
      </c>
      <c r="E837" t="s">
        <v>786</v>
      </c>
      <c r="F837" s="2" t="str">
        <f>HYPERLINK("http://www.otzar.org/book.asp?6887","אהבת חסד")</f>
        <v>אהבת חסד</v>
      </c>
    </row>
    <row r="838" spans="1:6" x14ac:dyDescent="0.2">
      <c r="A838" t="s">
        <v>1983</v>
      </c>
      <c r="B838" t="s">
        <v>1985</v>
      </c>
      <c r="C838" t="s">
        <v>1986</v>
      </c>
      <c r="D838" t="s">
        <v>1987</v>
      </c>
      <c r="E838" t="s">
        <v>158</v>
      </c>
      <c r="F838" s="2" t="str">
        <f>HYPERLINK("http://www.otzar.org/book.asp?612606","אהבת חסד")</f>
        <v>אהבת חסד</v>
      </c>
    </row>
    <row r="839" spans="1:6" x14ac:dyDescent="0.2">
      <c r="A839" t="s">
        <v>1983</v>
      </c>
      <c r="B839" t="s">
        <v>1988</v>
      </c>
      <c r="C839" t="s">
        <v>1169</v>
      </c>
      <c r="D839" t="s">
        <v>1889</v>
      </c>
      <c r="E839" t="s">
        <v>219</v>
      </c>
      <c r="F839" s="2" t="str">
        <f>HYPERLINK("http://www.otzar.org/book.asp?182119","אהבת חסד")</f>
        <v>אהבת חסד</v>
      </c>
    </row>
    <row r="840" spans="1:6" x14ac:dyDescent="0.2">
      <c r="A840" t="s">
        <v>1989</v>
      </c>
      <c r="B840" t="s">
        <v>1990</v>
      </c>
      <c r="C840" t="s">
        <v>1991</v>
      </c>
      <c r="D840" t="s">
        <v>1992</v>
      </c>
      <c r="E840" t="s">
        <v>957</v>
      </c>
      <c r="F840" s="2" t="str">
        <f>HYPERLINK("http://www.otzar.org/book.asp?15815","אהבת יהונתן - 2 כר'")</f>
        <v>אהבת יהונתן - 2 כר'</v>
      </c>
    </row>
    <row r="841" spans="1:6" x14ac:dyDescent="0.2">
      <c r="A841" t="s">
        <v>1993</v>
      </c>
      <c r="B841" t="s">
        <v>1994</v>
      </c>
      <c r="C841" t="s">
        <v>1995</v>
      </c>
      <c r="D841" t="s">
        <v>1996</v>
      </c>
      <c r="E841" t="s">
        <v>158</v>
      </c>
      <c r="F841" s="2" t="str">
        <f>HYPERLINK("http://www.otzar.org/book.asp?145284","אהבת יהונתן - 3 כר'")</f>
        <v>אהבת יהונתן - 3 כר'</v>
      </c>
    </row>
    <row r="842" spans="1:6" x14ac:dyDescent="0.2">
      <c r="A842" t="s">
        <v>1997</v>
      </c>
      <c r="B842" t="s">
        <v>1998</v>
      </c>
      <c r="C842" t="s">
        <v>37</v>
      </c>
      <c r="E842" t="s">
        <v>140</v>
      </c>
      <c r="F842" s="2" t="str">
        <f>HYPERLINK("http://www.otzar.org/book.asp?603420","אהבת יעקב - 3 כר'")</f>
        <v>אהבת יעקב - 3 כר'</v>
      </c>
    </row>
    <row r="843" spans="1:6" x14ac:dyDescent="0.2">
      <c r="A843" t="s">
        <v>1999</v>
      </c>
      <c r="B843" t="s">
        <v>2000</v>
      </c>
      <c r="C843" t="s">
        <v>1718</v>
      </c>
      <c r="D843" t="s">
        <v>283</v>
      </c>
      <c r="E843" t="s">
        <v>158</v>
      </c>
      <c r="F843" s="2" t="str">
        <f>HYPERLINK("http://www.otzar.org/book.asp?101384","אהבת ירושלים")</f>
        <v>אהבת ירושלים</v>
      </c>
    </row>
    <row r="844" spans="1:6" x14ac:dyDescent="0.2">
      <c r="A844" t="s">
        <v>2001</v>
      </c>
      <c r="B844" t="s">
        <v>2002</v>
      </c>
      <c r="D844" t="s">
        <v>27</v>
      </c>
      <c r="E844" t="s">
        <v>241</v>
      </c>
      <c r="F844" s="2" t="str">
        <f>HYPERLINK("http://www.otzar.org/book.asp?626053","אהבת ישראל &lt;מהדורה חדשה&gt;")</f>
        <v>אהבת ישראל &lt;מהדורה חדשה&gt;</v>
      </c>
    </row>
    <row r="845" spans="1:6" x14ac:dyDescent="0.2">
      <c r="A845" t="s">
        <v>2003</v>
      </c>
      <c r="B845" t="s">
        <v>2004</v>
      </c>
      <c r="C845" t="s">
        <v>124</v>
      </c>
      <c r="D845" t="s">
        <v>216</v>
      </c>
      <c r="E845" t="s">
        <v>158</v>
      </c>
      <c r="F845" s="2" t="str">
        <f>HYPERLINK("http://www.otzar.org/book.asp?153944","אהבת ישראל")</f>
        <v>אהבת ישראל</v>
      </c>
    </row>
    <row r="846" spans="1:6" x14ac:dyDescent="0.2">
      <c r="A846" t="s">
        <v>2003</v>
      </c>
      <c r="B846" t="s">
        <v>2005</v>
      </c>
      <c r="C846" t="s">
        <v>777</v>
      </c>
      <c r="D846" t="s">
        <v>699</v>
      </c>
      <c r="E846" t="s">
        <v>573</v>
      </c>
      <c r="F846" s="2" t="str">
        <f>HYPERLINK("http://www.otzar.org/book.asp?7227","אהבת ישראל")</f>
        <v>אהבת ישראל</v>
      </c>
    </row>
    <row r="847" spans="1:6" x14ac:dyDescent="0.2">
      <c r="A847" t="s">
        <v>2006</v>
      </c>
      <c r="B847" t="s">
        <v>2007</v>
      </c>
      <c r="C847" t="s">
        <v>2008</v>
      </c>
      <c r="D847" t="s">
        <v>2009</v>
      </c>
      <c r="E847" t="s">
        <v>158</v>
      </c>
      <c r="F847" s="2" t="str">
        <f>HYPERLINK("http://www.otzar.org/book.asp?81","אהבת ישראל - 2 כר'")</f>
        <v>אהבת ישראל - 2 כר'</v>
      </c>
    </row>
    <row r="848" spans="1:6" x14ac:dyDescent="0.2">
      <c r="A848" t="s">
        <v>2003</v>
      </c>
      <c r="B848" t="s">
        <v>2002</v>
      </c>
      <c r="C848" t="s">
        <v>266</v>
      </c>
      <c r="D848" t="s">
        <v>27</v>
      </c>
      <c r="E848" t="s">
        <v>2010</v>
      </c>
      <c r="F848" s="2" t="str">
        <f>HYPERLINK("http://www.otzar.org/book.asp?103076","אהבת ישראל")</f>
        <v>אהבת ישראל</v>
      </c>
    </row>
    <row r="849" spans="1:6" x14ac:dyDescent="0.2">
      <c r="A849" t="s">
        <v>2003</v>
      </c>
      <c r="B849" t="s">
        <v>1978</v>
      </c>
      <c r="C849" t="s">
        <v>1640</v>
      </c>
      <c r="D849" t="s">
        <v>14</v>
      </c>
      <c r="E849" t="s">
        <v>241</v>
      </c>
      <c r="F849" s="2" t="str">
        <f>HYPERLINK("http://www.otzar.org/book.asp?103754","אהבת ישראל")</f>
        <v>אהבת ישראל</v>
      </c>
    </row>
    <row r="850" spans="1:6" x14ac:dyDescent="0.2">
      <c r="A850" t="s">
        <v>2003</v>
      </c>
      <c r="B850" t="s">
        <v>107</v>
      </c>
      <c r="C850" t="s">
        <v>585</v>
      </c>
      <c r="D850" t="s">
        <v>14</v>
      </c>
      <c r="E850" t="s">
        <v>213</v>
      </c>
      <c r="F850" s="2" t="str">
        <f>HYPERLINK("http://www.otzar.org/book.asp?84431","אהבת ישראל")</f>
        <v>אהבת ישראל</v>
      </c>
    </row>
    <row r="851" spans="1:6" x14ac:dyDescent="0.2">
      <c r="A851" t="s">
        <v>2011</v>
      </c>
      <c r="B851" t="s">
        <v>2012</v>
      </c>
      <c r="C851" t="s">
        <v>151</v>
      </c>
      <c r="D851" t="s">
        <v>90</v>
      </c>
      <c r="E851" t="s">
        <v>246</v>
      </c>
      <c r="F851" s="2" t="str">
        <f>HYPERLINK("http://www.otzar.org/book.asp?616254","אהבת כלולתיך")</f>
        <v>אהבת כלולתיך</v>
      </c>
    </row>
    <row r="852" spans="1:6" x14ac:dyDescent="0.2">
      <c r="A852" t="s">
        <v>2013</v>
      </c>
      <c r="B852" t="s">
        <v>2014</v>
      </c>
      <c r="C852" t="s">
        <v>176</v>
      </c>
      <c r="D852" t="s">
        <v>9</v>
      </c>
      <c r="E852" t="s">
        <v>241</v>
      </c>
      <c r="F852" s="2" t="str">
        <f>HYPERLINK("http://www.otzar.org/book.asp?618040","אהבת מישרים - 2 כר'")</f>
        <v>אהבת מישרים - 2 כר'</v>
      </c>
    </row>
    <row r="853" spans="1:6" x14ac:dyDescent="0.2">
      <c r="A853" t="s">
        <v>2015</v>
      </c>
      <c r="B853" t="s">
        <v>2016</v>
      </c>
      <c r="C853" t="s">
        <v>2017</v>
      </c>
      <c r="D853" t="s">
        <v>260</v>
      </c>
      <c r="E853" t="s">
        <v>2018</v>
      </c>
      <c r="F853" s="2" t="str">
        <f>HYPERLINK("http://www.otzar.org/book.asp?300151","אהבת נח - א")</f>
        <v>אהבת נח - א</v>
      </c>
    </row>
    <row r="854" spans="1:6" x14ac:dyDescent="0.2">
      <c r="A854" t="s">
        <v>2019</v>
      </c>
      <c r="B854" t="s">
        <v>2020</v>
      </c>
      <c r="C854" t="s">
        <v>176</v>
      </c>
      <c r="D854" t="s">
        <v>14</v>
      </c>
      <c r="E854" t="s">
        <v>241</v>
      </c>
      <c r="F854" s="2" t="str">
        <f>HYPERLINK("http://www.otzar.org/book.asp?176377","אהבת עולם אהבתיך &lt;מהדורה חדשה&gt;")</f>
        <v>אהבת עולם אהבתיך &lt;מהדורה חדשה&gt;</v>
      </c>
    </row>
    <row r="855" spans="1:6" x14ac:dyDescent="0.2">
      <c r="A855" t="s">
        <v>2021</v>
      </c>
      <c r="B855" t="s">
        <v>2020</v>
      </c>
      <c r="C855" t="s">
        <v>812</v>
      </c>
      <c r="D855" t="s">
        <v>1100</v>
      </c>
      <c r="E855" t="s">
        <v>241</v>
      </c>
      <c r="F855" s="2" t="str">
        <f>HYPERLINK("http://www.otzar.org/book.asp?989","אהבת עולם אהבתיך")</f>
        <v>אהבת עולם אהבתיך</v>
      </c>
    </row>
    <row r="856" spans="1:6" x14ac:dyDescent="0.2">
      <c r="A856" t="s">
        <v>2022</v>
      </c>
      <c r="B856" t="s">
        <v>2023</v>
      </c>
      <c r="C856" t="s">
        <v>2024</v>
      </c>
      <c r="D856" t="s">
        <v>403</v>
      </c>
      <c r="E856" t="s">
        <v>234</v>
      </c>
      <c r="F856" s="2" t="str">
        <f>HYPERLINK("http://www.otzar.org/book.asp?15683","אהבת עולם")</f>
        <v>אהבת עולם</v>
      </c>
    </row>
    <row r="857" spans="1:6" x14ac:dyDescent="0.2">
      <c r="A857" t="s">
        <v>2025</v>
      </c>
      <c r="B857" t="s">
        <v>2026</v>
      </c>
      <c r="C857" t="s">
        <v>151</v>
      </c>
      <c r="D857" t="s">
        <v>52</v>
      </c>
      <c r="E857" t="s">
        <v>15</v>
      </c>
      <c r="F857" s="2" t="str">
        <f>HYPERLINK("http://www.otzar.org/book.asp?612003","אהבת עולם - 6 כר'")</f>
        <v>אהבת עולם - 6 כר'</v>
      </c>
    </row>
    <row r="858" spans="1:6" x14ac:dyDescent="0.2">
      <c r="A858" t="s">
        <v>2022</v>
      </c>
      <c r="B858" t="s">
        <v>2027</v>
      </c>
      <c r="C858" t="s">
        <v>189</v>
      </c>
      <c r="D858" t="s">
        <v>412</v>
      </c>
      <c r="E858" t="s">
        <v>241</v>
      </c>
      <c r="F858" s="2" t="str">
        <f>HYPERLINK("http://www.otzar.org/book.asp?161365","אהבת עולם")</f>
        <v>אהבת עולם</v>
      </c>
    </row>
    <row r="859" spans="1:6" x14ac:dyDescent="0.2">
      <c r="A859" t="s">
        <v>2022</v>
      </c>
      <c r="B859" t="s">
        <v>2028</v>
      </c>
      <c r="C859" t="s">
        <v>888</v>
      </c>
      <c r="D859" t="s">
        <v>27</v>
      </c>
      <c r="E859" t="s">
        <v>158</v>
      </c>
      <c r="F859" s="2" t="str">
        <f>HYPERLINK("http://www.otzar.org/book.asp?15804","אהבת עולם")</f>
        <v>אהבת עולם</v>
      </c>
    </row>
    <row r="860" spans="1:6" x14ac:dyDescent="0.2">
      <c r="A860" t="s">
        <v>2022</v>
      </c>
      <c r="B860" t="s">
        <v>2029</v>
      </c>
      <c r="C860" t="s">
        <v>71</v>
      </c>
      <c r="D860" t="s">
        <v>14</v>
      </c>
      <c r="E860" t="s">
        <v>172</v>
      </c>
      <c r="F860" s="2" t="str">
        <f>HYPERLINK("http://www.otzar.org/book.asp?175974","אהבת עולם")</f>
        <v>אהבת עולם</v>
      </c>
    </row>
    <row r="861" spans="1:6" x14ac:dyDescent="0.2">
      <c r="A861" t="s">
        <v>2030</v>
      </c>
      <c r="B861" t="s">
        <v>2031</v>
      </c>
      <c r="C861" t="s">
        <v>13</v>
      </c>
      <c r="D861" t="s">
        <v>14</v>
      </c>
      <c r="E861" t="s">
        <v>15</v>
      </c>
      <c r="F861" s="2" t="str">
        <f>HYPERLINK("http://www.otzar.org/book.asp?159349","אהבת צדקה")</f>
        <v>אהבת צדקה</v>
      </c>
    </row>
    <row r="862" spans="1:6" x14ac:dyDescent="0.2">
      <c r="A862" t="s">
        <v>2032</v>
      </c>
      <c r="B862" t="s">
        <v>2033</v>
      </c>
      <c r="C862" t="s">
        <v>160</v>
      </c>
      <c r="D862" t="s">
        <v>1654</v>
      </c>
      <c r="E862" t="s">
        <v>104</v>
      </c>
      <c r="F862" s="2" t="str">
        <f>HYPERLINK("http://www.otzar.org/book.asp?625654","אהבת ציון וירושלים")</f>
        <v>אהבת ציון וירושלים</v>
      </c>
    </row>
    <row r="863" spans="1:6" x14ac:dyDescent="0.2">
      <c r="A863" t="s">
        <v>2034</v>
      </c>
      <c r="B863" t="s">
        <v>2035</v>
      </c>
      <c r="C863" t="s">
        <v>2036</v>
      </c>
      <c r="D863" t="s">
        <v>56</v>
      </c>
      <c r="E863" t="s">
        <v>1097</v>
      </c>
      <c r="F863" s="2" t="str">
        <f>HYPERLINK("http://www.otzar.org/book.asp?10519","אהבת ציון וירושלים - 12 כר'")</f>
        <v>אהבת ציון וירושלים - 12 כר'</v>
      </c>
    </row>
    <row r="864" spans="1:6" x14ac:dyDescent="0.2">
      <c r="A864" t="s">
        <v>2037</v>
      </c>
      <c r="B864" t="s">
        <v>2037</v>
      </c>
      <c r="C864" t="s">
        <v>1437</v>
      </c>
      <c r="D864" t="s">
        <v>2038</v>
      </c>
      <c r="F864" s="2" t="str">
        <f>HYPERLINK("http://www.otzar.org/book.asp?197546","אהבת ציון")</f>
        <v>אהבת ציון</v>
      </c>
    </row>
    <row r="865" spans="1:6" x14ac:dyDescent="0.2">
      <c r="A865" t="s">
        <v>2037</v>
      </c>
      <c r="B865" t="s">
        <v>2039</v>
      </c>
      <c r="C865" t="s">
        <v>2040</v>
      </c>
      <c r="D865" t="s">
        <v>2041</v>
      </c>
      <c r="E865" t="s">
        <v>104</v>
      </c>
      <c r="F865" s="2" t="str">
        <f>HYPERLINK("http://www.otzar.org/book.asp?147296","אהבת ציון")</f>
        <v>אהבת ציון</v>
      </c>
    </row>
    <row r="866" spans="1:6" x14ac:dyDescent="0.2">
      <c r="A866" t="s">
        <v>2042</v>
      </c>
      <c r="B866" t="s">
        <v>2043</v>
      </c>
      <c r="C866" t="s">
        <v>2044</v>
      </c>
      <c r="D866" t="s">
        <v>726</v>
      </c>
      <c r="E866" t="s">
        <v>158</v>
      </c>
      <c r="F866" s="2" t="str">
        <f>HYPERLINK("http://www.otzar.org/book.asp?9382","אהבת ציון - 2 כר'")</f>
        <v>אהבת ציון - 2 כר'</v>
      </c>
    </row>
    <row r="867" spans="1:6" x14ac:dyDescent="0.2">
      <c r="A867" t="s">
        <v>2042</v>
      </c>
      <c r="B867" t="s">
        <v>2045</v>
      </c>
      <c r="C867" t="s">
        <v>581</v>
      </c>
      <c r="D867" t="s">
        <v>283</v>
      </c>
      <c r="E867" t="s">
        <v>234</v>
      </c>
      <c r="F867" s="2" t="str">
        <f>HYPERLINK("http://www.otzar.org/book.asp?8818","אהבת ציון - 2 כר'")</f>
        <v>אהבת ציון - 2 כר'</v>
      </c>
    </row>
    <row r="868" spans="1:6" x14ac:dyDescent="0.2">
      <c r="A868" t="s">
        <v>2037</v>
      </c>
      <c r="B868" t="s">
        <v>2046</v>
      </c>
      <c r="C868" t="s">
        <v>362</v>
      </c>
      <c r="D868" t="s">
        <v>267</v>
      </c>
      <c r="E868" t="s">
        <v>474</v>
      </c>
      <c r="F868" s="2" t="str">
        <f>HYPERLINK("http://www.otzar.org/book.asp?108694","אהבת ציון")</f>
        <v>אהבת ציון</v>
      </c>
    </row>
    <row r="869" spans="1:6" x14ac:dyDescent="0.2">
      <c r="A869" t="s">
        <v>2047</v>
      </c>
      <c r="B869" t="s">
        <v>2048</v>
      </c>
      <c r="C869" t="s">
        <v>362</v>
      </c>
      <c r="D869" t="s">
        <v>267</v>
      </c>
      <c r="E869" t="s">
        <v>158</v>
      </c>
      <c r="F869" s="2" t="str">
        <f>HYPERLINK("http://www.otzar.org/book.asp?5718","אהבת ציון - איכה")</f>
        <v>אהבת ציון - איכה</v>
      </c>
    </row>
    <row r="870" spans="1:6" x14ac:dyDescent="0.2">
      <c r="A870" t="s">
        <v>2037</v>
      </c>
      <c r="B870" t="s">
        <v>489</v>
      </c>
      <c r="C870" t="s">
        <v>767</v>
      </c>
      <c r="D870" t="s">
        <v>216</v>
      </c>
      <c r="E870" t="s">
        <v>202</v>
      </c>
      <c r="F870" s="2" t="str">
        <f>HYPERLINK("http://www.otzar.org/book.asp?172215","אהבת ציון")</f>
        <v>אהבת ציון</v>
      </c>
    </row>
    <row r="871" spans="1:6" x14ac:dyDescent="0.2">
      <c r="A871" t="s">
        <v>2049</v>
      </c>
      <c r="B871" t="s">
        <v>2050</v>
      </c>
      <c r="C871" t="s">
        <v>2051</v>
      </c>
      <c r="D871" t="s">
        <v>1117</v>
      </c>
      <c r="E871" t="s">
        <v>144</v>
      </c>
      <c r="F871" s="2" t="str">
        <f>HYPERLINK("http://www.otzar.org/book.asp?174336","אהבת ציון - 4 כר'")</f>
        <v>אהבת ציון - 4 כר'</v>
      </c>
    </row>
    <row r="872" spans="1:6" x14ac:dyDescent="0.2">
      <c r="A872" t="s">
        <v>2052</v>
      </c>
      <c r="B872" t="s">
        <v>2053</v>
      </c>
      <c r="C872" t="s">
        <v>244</v>
      </c>
      <c r="D872" t="s">
        <v>367</v>
      </c>
      <c r="E872" t="s">
        <v>2054</v>
      </c>
      <c r="F872" s="2" t="str">
        <f>HYPERLINK("http://www.otzar.org/book.asp?198442","אהבת קדומים - 3 כר'")</f>
        <v>אהבת קדומים - 3 כר'</v>
      </c>
    </row>
    <row r="873" spans="1:6" x14ac:dyDescent="0.2">
      <c r="A873" t="s">
        <v>2055</v>
      </c>
      <c r="B873" t="s">
        <v>2056</v>
      </c>
      <c r="C873" t="s">
        <v>133</v>
      </c>
      <c r="D873" t="s">
        <v>14</v>
      </c>
      <c r="E873" t="s">
        <v>158</v>
      </c>
      <c r="F873" s="2" t="str">
        <f>HYPERLINK("http://www.otzar.org/book.asp?602805","אהבת קדומים - קהלת")</f>
        <v>אהבת קדומים - קהלת</v>
      </c>
    </row>
    <row r="874" spans="1:6" x14ac:dyDescent="0.2">
      <c r="A874" t="s">
        <v>2057</v>
      </c>
      <c r="B874" t="s">
        <v>2058</v>
      </c>
      <c r="C874" t="s">
        <v>20</v>
      </c>
      <c r="D874" t="s">
        <v>90</v>
      </c>
      <c r="E874" t="s">
        <v>202</v>
      </c>
      <c r="F874" s="2" t="str">
        <f>HYPERLINK("http://www.otzar.org/book.asp?163074","אהבת רחמים")</f>
        <v>אהבת רחמים</v>
      </c>
    </row>
    <row r="875" spans="1:6" x14ac:dyDescent="0.2">
      <c r="A875" t="s">
        <v>2059</v>
      </c>
      <c r="B875" t="s">
        <v>2060</v>
      </c>
      <c r="C875" t="s">
        <v>334</v>
      </c>
      <c r="D875" t="s">
        <v>2061</v>
      </c>
      <c r="E875" t="s">
        <v>241</v>
      </c>
      <c r="F875" s="2" t="str">
        <f>HYPERLINK("http://www.otzar.org/book.asp?300149","אהבת רעים")</f>
        <v>אהבת רעים</v>
      </c>
    </row>
    <row r="876" spans="1:6" x14ac:dyDescent="0.2">
      <c r="A876" t="s">
        <v>2062</v>
      </c>
      <c r="B876" t="s">
        <v>2063</v>
      </c>
      <c r="C876" t="s">
        <v>2064</v>
      </c>
      <c r="D876" t="s">
        <v>9</v>
      </c>
      <c r="E876" t="s">
        <v>474</v>
      </c>
      <c r="F876" s="2" t="str">
        <f>HYPERLINK("http://www.otzar.org/book.asp?103074","אהבת שאול - 3 כר'")</f>
        <v>אהבת שאול - 3 כר'</v>
      </c>
    </row>
    <row r="877" spans="1:6" x14ac:dyDescent="0.2">
      <c r="A877" t="s">
        <v>2065</v>
      </c>
      <c r="B877" t="s">
        <v>2066</v>
      </c>
      <c r="C877" t="s">
        <v>624</v>
      </c>
      <c r="D877" t="s">
        <v>14</v>
      </c>
      <c r="E877" t="s">
        <v>230</v>
      </c>
      <c r="F877" s="2" t="str">
        <f>HYPERLINK("http://www.otzar.org/book.asp?165127","אהבת שלום &lt;מהדורה חדשה&gt;")</f>
        <v>אהבת שלום &lt;מהדורה חדשה&gt;</v>
      </c>
    </row>
    <row r="878" spans="1:6" x14ac:dyDescent="0.2">
      <c r="A878" t="s">
        <v>2067</v>
      </c>
      <c r="B878" t="s">
        <v>2066</v>
      </c>
      <c r="C878" t="s">
        <v>2068</v>
      </c>
      <c r="D878" t="s">
        <v>2069</v>
      </c>
      <c r="E878" t="s">
        <v>234</v>
      </c>
      <c r="F878" s="2" t="str">
        <f>HYPERLINK("http://www.otzar.org/book.asp?625624","אהבת שלום &lt;מהדורה ראשונה&gt;")</f>
        <v>אהבת שלום &lt;מהדורה ראשונה&gt;</v>
      </c>
    </row>
    <row r="879" spans="1:6" x14ac:dyDescent="0.2">
      <c r="A879" t="s">
        <v>2070</v>
      </c>
      <c r="B879" t="s">
        <v>2066</v>
      </c>
      <c r="C879" t="s">
        <v>503</v>
      </c>
      <c r="D879" t="s">
        <v>1538</v>
      </c>
      <c r="E879" t="s">
        <v>2071</v>
      </c>
      <c r="F879" s="2" t="str">
        <f>HYPERLINK("http://www.otzar.org/book.asp?144626","אהבת שלום תנינא - 2 כר'")</f>
        <v>אהבת שלום תנינא - 2 כר'</v>
      </c>
    </row>
    <row r="880" spans="1:6" x14ac:dyDescent="0.2">
      <c r="A880" t="s">
        <v>2072</v>
      </c>
      <c r="B880" t="s">
        <v>2073</v>
      </c>
      <c r="C880" t="s">
        <v>87</v>
      </c>
      <c r="D880" t="s">
        <v>90</v>
      </c>
      <c r="E880" t="s">
        <v>219</v>
      </c>
      <c r="F880" s="2" t="str">
        <f>HYPERLINK("http://www.otzar.org/book.asp?603753","אהבת שלום")</f>
        <v>אהבת שלום</v>
      </c>
    </row>
    <row r="881" spans="1:6" x14ac:dyDescent="0.2">
      <c r="A881" t="s">
        <v>2072</v>
      </c>
      <c r="B881" t="s">
        <v>2074</v>
      </c>
      <c r="C881" t="s">
        <v>51</v>
      </c>
      <c r="D881" t="s">
        <v>14</v>
      </c>
      <c r="E881" t="s">
        <v>2075</v>
      </c>
      <c r="F881" s="2" t="str">
        <f>HYPERLINK("http://www.otzar.org/book.asp?61466","אהבת שלום")</f>
        <v>אהבת שלום</v>
      </c>
    </row>
    <row r="882" spans="1:6" x14ac:dyDescent="0.2">
      <c r="A882" t="s">
        <v>2072</v>
      </c>
      <c r="B882" t="s">
        <v>2066</v>
      </c>
      <c r="C882" t="s">
        <v>2076</v>
      </c>
      <c r="D882" t="s">
        <v>1538</v>
      </c>
      <c r="E882" t="s">
        <v>158</v>
      </c>
      <c r="F882" s="2" t="str">
        <f>HYPERLINK("http://www.otzar.org/book.asp?14228","אהבת שלום")</f>
        <v>אהבת שלום</v>
      </c>
    </row>
    <row r="883" spans="1:6" x14ac:dyDescent="0.2">
      <c r="A883" t="s">
        <v>2077</v>
      </c>
      <c r="B883" t="s">
        <v>2078</v>
      </c>
      <c r="C883" t="s">
        <v>68</v>
      </c>
      <c r="D883" t="s">
        <v>52</v>
      </c>
      <c r="E883" t="s">
        <v>658</v>
      </c>
      <c r="F883" s="2" t="str">
        <f>HYPERLINK("http://www.otzar.org/book.asp?154536","אהבת שלמה")</f>
        <v>אהבת שלמה</v>
      </c>
    </row>
    <row r="884" spans="1:6" x14ac:dyDescent="0.2">
      <c r="A884" t="s">
        <v>2079</v>
      </c>
      <c r="B884" t="s">
        <v>2080</v>
      </c>
      <c r="C884" t="s">
        <v>1228</v>
      </c>
      <c r="D884" t="s">
        <v>352</v>
      </c>
      <c r="E884" t="s">
        <v>158</v>
      </c>
      <c r="F884" s="2" t="str">
        <f>HYPERLINK("http://www.otzar.org/book.asp?23982","אהבת תורה")</f>
        <v>אהבת תורה</v>
      </c>
    </row>
    <row r="885" spans="1:6" x14ac:dyDescent="0.2">
      <c r="A885" t="s">
        <v>2081</v>
      </c>
      <c r="B885" t="s">
        <v>2082</v>
      </c>
      <c r="C885" t="s">
        <v>20</v>
      </c>
      <c r="D885" t="s">
        <v>21</v>
      </c>
      <c r="E885" t="s">
        <v>241</v>
      </c>
      <c r="F885" s="2" t="str">
        <f>HYPERLINK("http://www.otzar.org/book.asp?618957","אהבת תורה - 2 כר'")</f>
        <v>אהבת תורה - 2 כר'</v>
      </c>
    </row>
    <row r="886" spans="1:6" x14ac:dyDescent="0.2">
      <c r="A886" t="s">
        <v>2079</v>
      </c>
      <c r="B886" t="s">
        <v>2083</v>
      </c>
      <c r="C886" t="s">
        <v>13</v>
      </c>
      <c r="D886" t="s">
        <v>52</v>
      </c>
      <c r="E886" t="s">
        <v>213</v>
      </c>
      <c r="F886" s="2" t="str">
        <f>HYPERLINK("http://www.otzar.org/book.asp?152432","אהבת תורה")</f>
        <v>אהבת תורה</v>
      </c>
    </row>
    <row r="887" spans="1:6" x14ac:dyDescent="0.2">
      <c r="A887" t="s">
        <v>2079</v>
      </c>
      <c r="B887" t="s">
        <v>2084</v>
      </c>
      <c r="C887" t="s">
        <v>1388</v>
      </c>
      <c r="D887" t="s">
        <v>14</v>
      </c>
      <c r="E887" t="s">
        <v>202</v>
      </c>
      <c r="F887" s="2" t="str">
        <f>HYPERLINK("http://www.otzar.org/book.asp?160987","אהבת תורה")</f>
        <v>אהבת תורה</v>
      </c>
    </row>
    <row r="888" spans="1:6" x14ac:dyDescent="0.2">
      <c r="A888" t="s">
        <v>2079</v>
      </c>
      <c r="B888" t="s">
        <v>2085</v>
      </c>
      <c r="C888" t="s">
        <v>2008</v>
      </c>
      <c r="D888" t="s">
        <v>412</v>
      </c>
      <c r="E888" t="s">
        <v>246</v>
      </c>
      <c r="F888" s="2" t="str">
        <f>HYPERLINK("http://www.otzar.org/book.asp?179068","אהבת תורה")</f>
        <v>אהבת תורה</v>
      </c>
    </row>
    <row r="889" spans="1:6" x14ac:dyDescent="0.2">
      <c r="A889" t="s">
        <v>2086</v>
      </c>
      <c r="B889" t="s">
        <v>2087</v>
      </c>
      <c r="C889" t="s">
        <v>313</v>
      </c>
      <c r="D889" t="s">
        <v>52</v>
      </c>
      <c r="E889" t="s">
        <v>2088</v>
      </c>
      <c r="F889" s="2" t="str">
        <f>HYPERLINK("http://www.otzar.org/book.asp?85733","אהבתי תורתך")</f>
        <v>אהבתי תורתך</v>
      </c>
    </row>
    <row r="890" spans="1:6" x14ac:dyDescent="0.2">
      <c r="A890" t="s">
        <v>2086</v>
      </c>
      <c r="B890" t="s">
        <v>2089</v>
      </c>
      <c r="C890" t="s">
        <v>244</v>
      </c>
      <c r="D890" t="s">
        <v>90</v>
      </c>
      <c r="E890" t="s">
        <v>130</v>
      </c>
      <c r="F890" s="2" t="str">
        <f>HYPERLINK("http://www.otzar.org/book.asp?611240","אהבתי תורתך")</f>
        <v>אהבתי תורתך</v>
      </c>
    </row>
    <row r="891" spans="1:6" x14ac:dyDescent="0.2">
      <c r="A891" t="s">
        <v>2086</v>
      </c>
      <c r="B891" t="s">
        <v>2090</v>
      </c>
      <c r="C891" t="s">
        <v>366</v>
      </c>
      <c r="D891" t="s">
        <v>14</v>
      </c>
      <c r="E891" t="s">
        <v>2091</v>
      </c>
      <c r="F891" s="2" t="str">
        <f>HYPERLINK("http://www.otzar.org/book.asp?620719","אהבתי תורתך")</f>
        <v>אהבתי תורתך</v>
      </c>
    </row>
    <row r="892" spans="1:6" x14ac:dyDescent="0.2">
      <c r="A892" t="s">
        <v>2092</v>
      </c>
      <c r="B892" t="s">
        <v>2093</v>
      </c>
      <c r="C892" t="s">
        <v>366</v>
      </c>
      <c r="D892" t="s">
        <v>14</v>
      </c>
      <c r="F892" s="2" t="str">
        <f>HYPERLINK("http://www.otzar.org/book.asp?609532","אהל אבות")</f>
        <v>אהל אבות</v>
      </c>
    </row>
    <row r="893" spans="1:6" x14ac:dyDescent="0.2">
      <c r="A893" t="s">
        <v>2094</v>
      </c>
      <c r="B893" t="s">
        <v>2095</v>
      </c>
      <c r="C893" t="s">
        <v>103</v>
      </c>
      <c r="D893" t="s">
        <v>14</v>
      </c>
      <c r="E893" t="s">
        <v>144</v>
      </c>
      <c r="F893" s="2" t="str">
        <f>HYPERLINK("http://www.otzar.org/book.asp?60204","אהל אבות - בבא קמא")</f>
        <v>אהל אבות - בבא קמא</v>
      </c>
    </row>
    <row r="894" spans="1:6" x14ac:dyDescent="0.2">
      <c r="A894" t="s">
        <v>2096</v>
      </c>
      <c r="B894" t="s">
        <v>2097</v>
      </c>
      <c r="C894" t="s">
        <v>609</v>
      </c>
      <c r="D894" t="s">
        <v>283</v>
      </c>
      <c r="E894" t="s">
        <v>2098</v>
      </c>
      <c r="F894" s="2" t="str">
        <f>HYPERLINK("http://www.otzar.org/book.asp?84994","אהל אבות - חצר יהודא")</f>
        <v>אהל אבות - חצר יהודא</v>
      </c>
    </row>
    <row r="895" spans="1:6" x14ac:dyDescent="0.2">
      <c r="A895" t="s">
        <v>2099</v>
      </c>
      <c r="B895" t="s">
        <v>1868</v>
      </c>
      <c r="C895" t="s">
        <v>37</v>
      </c>
      <c r="D895" t="s">
        <v>14</v>
      </c>
      <c r="E895" t="s">
        <v>84</v>
      </c>
      <c r="F895" s="2" t="str">
        <f>HYPERLINK("http://www.otzar.org/book.asp?180463","אהל אברהם - אהלות, זבים")</f>
        <v>אהל אברהם - אהלות, זבים</v>
      </c>
    </row>
    <row r="896" spans="1:6" x14ac:dyDescent="0.2">
      <c r="A896" t="s">
        <v>2100</v>
      </c>
      <c r="B896" t="s">
        <v>2101</v>
      </c>
      <c r="C896" t="s">
        <v>23</v>
      </c>
      <c r="D896" t="s">
        <v>2102</v>
      </c>
      <c r="E896" t="s">
        <v>933</v>
      </c>
      <c r="F896" s="2" t="str">
        <f>HYPERLINK("http://www.otzar.org/book.asp?625772","אהל אברהם - 2 כר'")</f>
        <v>אהל אברהם - 2 כר'</v>
      </c>
    </row>
    <row r="897" spans="1:6" x14ac:dyDescent="0.2">
      <c r="A897" t="s">
        <v>2103</v>
      </c>
      <c r="B897" t="s">
        <v>2104</v>
      </c>
      <c r="C897" t="s">
        <v>2105</v>
      </c>
      <c r="D897" t="s">
        <v>9</v>
      </c>
      <c r="E897" t="s">
        <v>782</v>
      </c>
      <c r="F897" s="2" t="str">
        <f>HYPERLINK("http://www.otzar.org/book.asp?300148","אהל אברהם")</f>
        <v>אהל אברהם</v>
      </c>
    </row>
    <row r="898" spans="1:6" x14ac:dyDescent="0.2">
      <c r="A898" t="s">
        <v>2106</v>
      </c>
      <c r="B898" t="s">
        <v>2107</v>
      </c>
      <c r="C898" t="s">
        <v>23</v>
      </c>
      <c r="D898" t="s">
        <v>80</v>
      </c>
      <c r="E898" t="s">
        <v>15</v>
      </c>
      <c r="F898" s="2" t="str">
        <f>HYPERLINK("http://www.otzar.org/book.asp?195755","אהל אברהם - שמיטת כספים")</f>
        <v>אהל אברהם - שמיטת כספים</v>
      </c>
    </row>
    <row r="899" spans="1:6" x14ac:dyDescent="0.2">
      <c r="A899" t="s">
        <v>2103</v>
      </c>
      <c r="B899" t="s">
        <v>2108</v>
      </c>
      <c r="C899" t="s">
        <v>360</v>
      </c>
      <c r="D899" t="s">
        <v>225</v>
      </c>
      <c r="E899" t="s">
        <v>583</v>
      </c>
      <c r="F899" s="2" t="str">
        <f>HYPERLINK("http://www.otzar.org/book.asp?5173","אהל אברהם")</f>
        <v>אהל אברהם</v>
      </c>
    </row>
    <row r="900" spans="1:6" x14ac:dyDescent="0.2">
      <c r="A900" t="s">
        <v>2103</v>
      </c>
      <c r="B900" t="s">
        <v>2109</v>
      </c>
      <c r="C900" t="s">
        <v>17</v>
      </c>
      <c r="D900" t="s">
        <v>14</v>
      </c>
      <c r="E900" t="s">
        <v>186</v>
      </c>
      <c r="F900" s="2" t="str">
        <f>HYPERLINK("http://www.otzar.org/book.asp?26764","אהל אברהם")</f>
        <v>אהל אברהם</v>
      </c>
    </row>
    <row r="901" spans="1:6" x14ac:dyDescent="0.2">
      <c r="A901" t="s">
        <v>2103</v>
      </c>
      <c r="B901" t="s">
        <v>552</v>
      </c>
      <c r="C901" t="s">
        <v>313</v>
      </c>
      <c r="D901" t="s">
        <v>14</v>
      </c>
      <c r="E901" t="s">
        <v>186</v>
      </c>
      <c r="F901" s="2" t="str">
        <f>HYPERLINK("http://www.otzar.org/book.asp?146500","אהל אברהם")</f>
        <v>אהל אברהם</v>
      </c>
    </row>
    <row r="902" spans="1:6" x14ac:dyDescent="0.2">
      <c r="A902" t="s">
        <v>2110</v>
      </c>
      <c r="B902" t="s">
        <v>2111</v>
      </c>
      <c r="C902" t="s">
        <v>896</v>
      </c>
      <c r="D902" t="s">
        <v>27</v>
      </c>
      <c r="E902" t="s">
        <v>508</v>
      </c>
      <c r="F902" s="2" t="str">
        <f>HYPERLINK("http://www.otzar.org/book.asp?10977","אהל אברהם - א")</f>
        <v>אהל אברהם - א</v>
      </c>
    </row>
    <row r="903" spans="1:6" x14ac:dyDescent="0.2">
      <c r="A903" t="s">
        <v>2103</v>
      </c>
      <c r="B903" t="s">
        <v>2112</v>
      </c>
      <c r="C903" t="s">
        <v>1096</v>
      </c>
      <c r="D903" t="s">
        <v>379</v>
      </c>
      <c r="E903" t="s">
        <v>508</v>
      </c>
      <c r="F903" s="2" t="str">
        <f>HYPERLINK("http://www.otzar.org/book.asp?103942","אהל אברהם")</f>
        <v>אהל אברהם</v>
      </c>
    </row>
    <row r="904" spans="1:6" x14ac:dyDescent="0.2">
      <c r="A904" t="s">
        <v>2103</v>
      </c>
      <c r="B904" t="s">
        <v>489</v>
      </c>
      <c r="C904" t="s">
        <v>1160</v>
      </c>
      <c r="D904" t="s">
        <v>52</v>
      </c>
      <c r="E904" t="s">
        <v>202</v>
      </c>
      <c r="F904" s="2" t="str">
        <f>HYPERLINK("http://www.otzar.org/book.asp?142211","אהל אברהם")</f>
        <v>אהל אברהם</v>
      </c>
    </row>
    <row r="905" spans="1:6" x14ac:dyDescent="0.2">
      <c r="A905" t="s">
        <v>2103</v>
      </c>
      <c r="B905" t="s">
        <v>2113</v>
      </c>
      <c r="C905" t="s">
        <v>454</v>
      </c>
      <c r="D905" t="s">
        <v>423</v>
      </c>
      <c r="E905" t="s">
        <v>474</v>
      </c>
      <c r="F905" s="2" t="str">
        <f>HYPERLINK("http://www.otzar.org/book.asp?162385","אהל אברהם")</f>
        <v>אהל אברהם</v>
      </c>
    </row>
    <row r="906" spans="1:6" x14ac:dyDescent="0.2">
      <c r="A906" t="s">
        <v>2103</v>
      </c>
      <c r="B906" t="s">
        <v>2114</v>
      </c>
      <c r="C906" t="s">
        <v>411</v>
      </c>
      <c r="D906" t="s">
        <v>52</v>
      </c>
      <c r="E906" t="s">
        <v>15</v>
      </c>
      <c r="F906" s="2" t="str">
        <f>HYPERLINK("http://www.otzar.org/book.asp?166998","אהל אברהם")</f>
        <v>אהל אברהם</v>
      </c>
    </row>
    <row r="907" spans="1:6" x14ac:dyDescent="0.2">
      <c r="A907" t="s">
        <v>2115</v>
      </c>
      <c r="B907" t="s">
        <v>2116</v>
      </c>
      <c r="C907" t="s">
        <v>454</v>
      </c>
      <c r="D907" t="s">
        <v>14</v>
      </c>
      <c r="E907" t="s">
        <v>241</v>
      </c>
      <c r="F907" s="2" t="str">
        <f>HYPERLINK("http://www.otzar.org/book.asp?83716","אהל אליהו - דרכה של תורה")</f>
        <v>אהל אליהו - דרכה של תורה</v>
      </c>
    </row>
    <row r="908" spans="1:6" x14ac:dyDescent="0.2">
      <c r="A908" t="s">
        <v>2117</v>
      </c>
      <c r="B908" t="s">
        <v>2108</v>
      </c>
      <c r="C908" t="s">
        <v>445</v>
      </c>
      <c r="D908" t="s">
        <v>855</v>
      </c>
      <c r="E908" t="s">
        <v>140</v>
      </c>
      <c r="F908" s="2" t="str">
        <f>HYPERLINK("http://www.otzar.org/book.asp?6749","אהל אלימלך")</f>
        <v>אהל אלימלך</v>
      </c>
    </row>
    <row r="909" spans="1:6" x14ac:dyDescent="0.2">
      <c r="A909" t="s">
        <v>2118</v>
      </c>
      <c r="B909" t="s">
        <v>2119</v>
      </c>
      <c r="C909" t="s">
        <v>124</v>
      </c>
      <c r="D909" t="s">
        <v>14</v>
      </c>
      <c r="E909" t="s">
        <v>186</v>
      </c>
      <c r="F909" s="2" t="str">
        <f>HYPERLINK("http://www.otzar.org/book.asp?149842","אהל אלימלך - כתובות, נדה")</f>
        <v>אהל אלימלך - כתובות, נדה</v>
      </c>
    </row>
    <row r="910" spans="1:6" x14ac:dyDescent="0.2">
      <c r="A910" t="s">
        <v>2120</v>
      </c>
      <c r="B910" t="s">
        <v>552</v>
      </c>
      <c r="C910" t="s">
        <v>189</v>
      </c>
      <c r="D910" t="s">
        <v>52</v>
      </c>
      <c r="E910" t="s">
        <v>186</v>
      </c>
      <c r="F910" s="2" t="str">
        <f>HYPERLINK("http://www.otzar.org/book.asp?161736","אהל אריה ליב - קדושין")</f>
        <v>אהל אריה ליב - קדושין</v>
      </c>
    </row>
    <row r="911" spans="1:6" x14ac:dyDescent="0.2">
      <c r="A911" t="s">
        <v>2121</v>
      </c>
      <c r="B911" t="s">
        <v>2122</v>
      </c>
      <c r="C911" t="s">
        <v>1954</v>
      </c>
      <c r="D911" t="s">
        <v>216</v>
      </c>
      <c r="E911" t="s">
        <v>84</v>
      </c>
      <c r="F911" s="2" t="str">
        <f>HYPERLINK("http://www.otzar.org/book.asp?156783","אהל בנימין")</f>
        <v>אהל בנימין</v>
      </c>
    </row>
    <row r="912" spans="1:6" x14ac:dyDescent="0.2">
      <c r="A912" t="s">
        <v>2123</v>
      </c>
      <c r="B912" t="s">
        <v>2124</v>
      </c>
      <c r="C912" t="s">
        <v>129</v>
      </c>
      <c r="D912" t="s">
        <v>2125</v>
      </c>
      <c r="E912" t="s">
        <v>186</v>
      </c>
      <c r="F912" s="2" t="str">
        <f>HYPERLINK("http://www.otzar.org/book.asp?53727","אהל בר""א - כתובות")</f>
        <v>אהל בר"א - כתובות</v>
      </c>
    </row>
    <row r="913" spans="1:6" x14ac:dyDescent="0.2">
      <c r="A913" t="s">
        <v>2126</v>
      </c>
      <c r="B913" t="s">
        <v>2127</v>
      </c>
      <c r="C913" t="s">
        <v>103</v>
      </c>
      <c r="D913" t="s">
        <v>412</v>
      </c>
      <c r="E913" t="s">
        <v>119</v>
      </c>
      <c r="F913" s="2" t="str">
        <f>HYPERLINK("http://www.otzar.org/book.asp?199295","אהל ברוך &lt;מהדורה חדשה&gt;")</f>
        <v>אהל ברוך &lt;מהדורה חדשה&gt;</v>
      </c>
    </row>
    <row r="914" spans="1:6" x14ac:dyDescent="0.2">
      <c r="A914" t="s">
        <v>2128</v>
      </c>
      <c r="B914" t="s">
        <v>2127</v>
      </c>
      <c r="C914" t="s">
        <v>1374</v>
      </c>
      <c r="D914" t="s">
        <v>947</v>
      </c>
      <c r="E914" t="s">
        <v>119</v>
      </c>
      <c r="F914" s="2" t="str">
        <f>HYPERLINK("http://www.otzar.org/book.asp?108331","אהל ברוך")</f>
        <v>אהל ברוך</v>
      </c>
    </row>
    <row r="915" spans="1:6" x14ac:dyDescent="0.2">
      <c r="A915" t="s">
        <v>2128</v>
      </c>
      <c r="B915" t="s">
        <v>2129</v>
      </c>
      <c r="C915" t="s">
        <v>124</v>
      </c>
      <c r="D915" t="s">
        <v>14</v>
      </c>
      <c r="E915" t="s">
        <v>2130</v>
      </c>
      <c r="F915" s="2" t="str">
        <f>HYPERLINK("http://www.otzar.org/book.asp?167971","אהל ברוך")</f>
        <v>אהל ברוך</v>
      </c>
    </row>
    <row r="916" spans="1:6" x14ac:dyDescent="0.2">
      <c r="A916" t="s">
        <v>2128</v>
      </c>
      <c r="B916" t="s">
        <v>2131</v>
      </c>
      <c r="C916" t="s">
        <v>2132</v>
      </c>
      <c r="D916" t="s">
        <v>14</v>
      </c>
      <c r="E916" t="s">
        <v>172</v>
      </c>
      <c r="F916" s="2" t="str">
        <f>HYPERLINK("http://www.otzar.org/book.asp?158356","אהל ברוך")</f>
        <v>אהל ברוך</v>
      </c>
    </row>
    <row r="917" spans="1:6" x14ac:dyDescent="0.2">
      <c r="A917" t="s">
        <v>2133</v>
      </c>
      <c r="B917" t="s">
        <v>2134</v>
      </c>
      <c r="C917" t="s">
        <v>176</v>
      </c>
      <c r="D917" t="s">
        <v>14</v>
      </c>
      <c r="E917" t="s">
        <v>2135</v>
      </c>
      <c r="F917" s="2" t="str">
        <f>HYPERLINK("http://www.otzar.org/book.asp?162808","אהל גרשון")</f>
        <v>אהל גרשון</v>
      </c>
    </row>
    <row r="918" spans="1:6" x14ac:dyDescent="0.2">
      <c r="A918" t="s">
        <v>2136</v>
      </c>
      <c r="B918" t="s">
        <v>2137</v>
      </c>
      <c r="C918" t="s">
        <v>362</v>
      </c>
      <c r="D918" t="s">
        <v>991</v>
      </c>
      <c r="E918" t="s">
        <v>957</v>
      </c>
      <c r="F918" s="2" t="str">
        <f>HYPERLINK("http://www.otzar.org/book.asp?7262","אהל דוד - תהלים")</f>
        <v>אהל דוד - תהלים</v>
      </c>
    </row>
    <row r="919" spans="1:6" x14ac:dyDescent="0.2">
      <c r="A919" t="s">
        <v>2138</v>
      </c>
      <c r="B919" t="s">
        <v>2139</v>
      </c>
      <c r="C919" t="s">
        <v>2140</v>
      </c>
      <c r="D919" t="s">
        <v>535</v>
      </c>
      <c r="E919" t="s">
        <v>144</v>
      </c>
      <c r="F919" s="2" t="str">
        <f>HYPERLINK("http://www.otzar.org/book.asp?172692","אהל דוד - 6 כר'")</f>
        <v>אהל דוד - 6 כר'</v>
      </c>
    </row>
    <row r="920" spans="1:6" x14ac:dyDescent="0.2">
      <c r="A920" t="s">
        <v>2141</v>
      </c>
      <c r="B920" t="s">
        <v>2124</v>
      </c>
      <c r="C920" t="s">
        <v>68</v>
      </c>
      <c r="D920" t="s">
        <v>2125</v>
      </c>
      <c r="E920" t="s">
        <v>144</v>
      </c>
      <c r="F920" s="2" t="str">
        <f>HYPERLINK("http://www.otzar.org/book.asp?156715","אהל דוד - עבודה זרה")</f>
        <v>אהל דוד - עבודה זרה</v>
      </c>
    </row>
    <row r="921" spans="1:6" x14ac:dyDescent="0.2">
      <c r="A921" t="s">
        <v>2142</v>
      </c>
      <c r="B921" t="s">
        <v>1066</v>
      </c>
      <c r="C921" t="s">
        <v>585</v>
      </c>
      <c r="D921" t="s">
        <v>412</v>
      </c>
      <c r="E921" t="s">
        <v>2143</v>
      </c>
      <c r="F921" s="2" t="str">
        <f>HYPERLINK("http://www.otzar.org/book.asp?12971","אהל דוד - 10 כר'")</f>
        <v>אהל דוד - 10 כר'</v>
      </c>
    </row>
    <row r="922" spans="1:6" x14ac:dyDescent="0.2">
      <c r="A922" t="s">
        <v>2144</v>
      </c>
      <c r="B922" t="s">
        <v>2145</v>
      </c>
      <c r="C922" t="s">
        <v>619</v>
      </c>
      <c r="D922" t="s">
        <v>1589</v>
      </c>
      <c r="E922" t="s">
        <v>104</v>
      </c>
      <c r="F922" s="2" t="str">
        <f>HYPERLINK("http://www.otzar.org/book.asp?103949","אהל דוד - 2 כר'")</f>
        <v>אהל דוד - 2 כר'</v>
      </c>
    </row>
    <row r="923" spans="1:6" x14ac:dyDescent="0.2">
      <c r="A923" t="s">
        <v>2146</v>
      </c>
      <c r="B923" t="s">
        <v>2124</v>
      </c>
      <c r="C923" t="s">
        <v>13</v>
      </c>
      <c r="D923" t="s">
        <v>2125</v>
      </c>
      <c r="E923" t="s">
        <v>144</v>
      </c>
      <c r="F923" s="2" t="str">
        <f>HYPERLINK("http://www.otzar.org/book.asp?156575","אהל דניאל -  סנהדרין")</f>
        <v>אהל דניאל -  סנהדרין</v>
      </c>
    </row>
    <row r="924" spans="1:6" x14ac:dyDescent="0.2">
      <c r="A924" t="s">
        <v>2147</v>
      </c>
      <c r="B924" t="s">
        <v>2148</v>
      </c>
      <c r="C924" t="s">
        <v>114</v>
      </c>
      <c r="D924" t="s">
        <v>14</v>
      </c>
      <c r="E924" t="s">
        <v>130</v>
      </c>
      <c r="F924" s="2" t="str">
        <f>HYPERLINK("http://www.otzar.org/book.asp?162043","אהל המועד - 2 כר'")</f>
        <v>אהל המועד - 2 כר'</v>
      </c>
    </row>
    <row r="925" spans="1:6" x14ac:dyDescent="0.2">
      <c r="A925" t="s">
        <v>2149</v>
      </c>
      <c r="B925" t="s">
        <v>2150</v>
      </c>
      <c r="C925" t="s">
        <v>114</v>
      </c>
      <c r="D925" t="s">
        <v>14</v>
      </c>
      <c r="E925" t="s">
        <v>84</v>
      </c>
      <c r="F925" s="2" t="str">
        <f>HYPERLINK("http://www.otzar.org/book.asp?165894","אהל המלך - אהלות")</f>
        <v>אהל המלך - אהלות</v>
      </c>
    </row>
    <row r="926" spans="1:6" x14ac:dyDescent="0.2">
      <c r="A926" t="s">
        <v>2151</v>
      </c>
      <c r="B926" t="s">
        <v>2152</v>
      </c>
      <c r="C926" t="s">
        <v>68</v>
      </c>
      <c r="D926" t="s">
        <v>52</v>
      </c>
      <c r="E926" t="s">
        <v>2153</v>
      </c>
      <c r="F926" s="2" t="str">
        <f>HYPERLINK("http://www.otzar.org/book.asp?166056","אהל המשפט - 2 כר'")</f>
        <v>אהל המשפט - 2 כר'</v>
      </c>
    </row>
    <row r="927" spans="1:6" x14ac:dyDescent="0.2">
      <c r="A927" t="s">
        <v>2154</v>
      </c>
      <c r="B927" t="s">
        <v>2155</v>
      </c>
      <c r="C927" t="s">
        <v>366</v>
      </c>
      <c r="D927" t="s">
        <v>52</v>
      </c>
      <c r="E927" t="s">
        <v>15</v>
      </c>
      <c r="F927" s="2" t="str">
        <f>HYPERLINK("http://www.otzar.org/book.asp?602753","אהל העדות")</f>
        <v>אהל העדות</v>
      </c>
    </row>
    <row r="928" spans="1:6" x14ac:dyDescent="0.2">
      <c r="A928" t="s">
        <v>2156</v>
      </c>
      <c r="B928" t="s">
        <v>2157</v>
      </c>
      <c r="C928" t="s">
        <v>411</v>
      </c>
      <c r="D928" t="s">
        <v>52</v>
      </c>
      <c r="E928" t="s">
        <v>148</v>
      </c>
      <c r="F928" s="2" t="str">
        <f>HYPERLINK("http://www.otzar.org/book.asp?198016","אהל העדות - 2 כר'")</f>
        <v>אהל העדות - 2 כר'</v>
      </c>
    </row>
    <row r="929" spans="1:6" x14ac:dyDescent="0.2">
      <c r="A929" t="s">
        <v>2158</v>
      </c>
      <c r="B929" t="s">
        <v>2159</v>
      </c>
      <c r="C929" t="s">
        <v>20</v>
      </c>
      <c r="D929" t="s">
        <v>14</v>
      </c>
      <c r="E929" t="s">
        <v>144</v>
      </c>
      <c r="F929" s="2" t="str">
        <f>HYPERLINK("http://www.otzar.org/book.asp?628603","אהל הראשונים - ערכין")</f>
        <v>אהל הראשונים - ערכין</v>
      </c>
    </row>
    <row r="930" spans="1:6" x14ac:dyDescent="0.2">
      <c r="A930" t="s">
        <v>2160</v>
      </c>
      <c r="B930" t="s">
        <v>2161</v>
      </c>
      <c r="C930" t="s">
        <v>1166</v>
      </c>
      <c r="D930" t="s">
        <v>225</v>
      </c>
      <c r="E930" t="s">
        <v>2162</v>
      </c>
      <c r="F930" s="2" t="str">
        <f>HYPERLINK("http://www.otzar.org/book.asp?19216","אהל הרבי - 2 כר'")</f>
        <v>אהל הרבי - 2 כר'</v>
      </c>
    </row>
    <row r="931" spans="1:6" x14ac:dyDescent="0.2">
      <c r="A931" t="s">
        <v>2163</v>
      </c>
      <c r="B931" t="s">
        <v>1750</v>
      </c>
      <c r="C931" t="s">
        <v>68</v>
      </c>
      <c r="D931" t="s">
        <v>14</v>
      </c>
      <c r="E931" t="s">
        <v>202</v>
      </c>
      <c r="F931" s="2" t="str">
        <f>HYPERLINK("http://www.otzar.org/book.asp?166938","אהל זיכרון בית יוסף")</f>
        <v>אהל זיכרון בית יוסף</v>
      </c>
    </row>
    <row r="932" spans="1:6" x14ac:dyDescent="0.2">
      <c r="A932" t="s">
        <v>2164</v>
      </c>
      <c r="B932" t="s">
        <v>2165</v>
      </c>
      <c r="C932" t="s">
        <v>20</v>
      </c>
      <c r="D932" t="s">
        <v>14</v>
      </c>
      <c r="E932" t="s">
        <v>202</v>
      </c>
      <c r="F932" s="2" t="str">
        <f>HYPERLINK("http://www.otzar.org/book.asp?611254","אהל זכרון פני חיים")</f>
        <v>אהל זכרון פני חיים</v>
      </c>
    </row>
    <row r="933" spans="1:6" x14ac:dyDescent="0.2">
      <c r="A933" t="s">
        <v>2166</v>
      </c>
      <c r="B933" t="s">
        <v>2167</v>
      </c>
      <c r="C933" t="s">
        <v>20</v>
      </c>
      <c r="D933" t="s">
        <v>90</v>
      </c>
      <c r="E933" t="s">
        <v>202</v>
      </c>
      <c r="F933" s="2" t="str">
        <f>HYPERLINK("http://www.otzar.org/book.asp?602682","אהל חוה - 5 כר'")</f>
        <v>אהל חוה - 5 כר'</v>
      </c>
    </row>
    <row r="934" spans="1:6" x14ac:dyDescent="0.2">
      <c r="A934" t="s">
        <v>2168</v>
      </c>
      <c r="B934" t="s">
        <v>2169</v>
      </c>
      <c r="C934" t="s">
        <v>366</v>
      </c>
      <c r="D934" t="s">
        <v>245</v>
      </c>
      <c r="E934" t="s">
        <v>202</v>
      </c>
      <c r="F934" s="2" t="str">
        <f>HYPERLINK("http://www.otzar.org/book.asp?607214","אהל חיה שרה - מגילה, חגיגה, עירובין")</f>
        <v>אהל חיה שרה - מגילה, חגיגה, עירובין</v>
      </c>
    </row>
    <row r="935" spans="1:6" x14ac:dyDescent="0.2">
      <c r="A935" t="s">
        <v>2170</v>
      </c>
      <c r="B935" t="s">
        <v>552</v>
      </c>
      <c r="C935" t="s">
        <v>146</v>
      </c>
      <c r="D935" t="s">
        <v>52</v>
      </c>
      <c r="E935" t="s">
        <v>202</v>
      </c>
      <c r="F935" s="2" t="str">
        <f>HYPERLINK("http://www.otzar.org/book.asp?142441","אהל חייא &lt;לזכר הגרח""א צוובנר זצ""ל&gt;")</f>
        <v>אהל חייא &lt;לזכר הגרח"א צוובנר זצ"ל&gt;</v>
      </c>
    </row>
    <row r="936" spans="1:6" x14ac:dyDescent="0.2">
      <c r="A936" t="s">
        <v>2171</v>
      </c>
      <c r="B936" t="s">
        <v>2172</v>
      </c>
      <c r="C936" t="s">
        <v>1208</v>
      </c>
      <c r="D936" t="s">
        <v>412</v>
      </c>
      <c r="F936" s="2" t="str">
        <f>HYPERLINK("http://www.otzar.org/book.asp?625998","אהל חיים - 4 כר'")</f>
        <v>אהל חיים - 4 כר'</v>
      </c>
    </row>
    <row r="937" spans="1:6" x14ac:dyDescent="0.2">
      <c r="A937" t="s">
        <v>2173</v>
      </c>
      <c r="B937" t="s">
        <v>2124</v>
      </c>
      <c r="C937" t="s">
        <v>189</v>
      </c>
      <c r="D937" t="s">
        <v>2125</v>
      </c>
      <c r="E937" t="s">
        <v>144</v>
      </c>
      <c r="F937" s="2" t="str">
        <f>HYPERLINK("http://www.otzar.org/book.asp?53736","אהל חן - שבת")</f>
        <v>אהל חן - שבת</v>
      </c>
    </row>
    <row r="938" spans="1:6" x14ac:dyDescent="0.2">
      <c r="A938" t="s">
        <v>2174</v>
      </c>
      <c r="B938" t="s">
        <v>552</v>
      </c>
      <c r="C938" t="s">
        <v>244</v>
      </c>
      <c r="D938" t="s">
        <v>52</v>
      </c>
      <c r="F938" s="2" t="str">
        <f>HYPERLINK("http://www.otzar.org/book.asp?603493","אהל יהונתן")</f>
        <v>אהל יהונתן</v>
      </c>
    </row>
    <row r="939" spans="1:6" x14ac:dyDescent="0.2">
      <c r="A939" t="s">
        <v>2175</v>
      </c>
      <c r="B939" t="s">
        <v>2176</v>
      </c>
      <c r="C939" t="s">
        <v>332</v>
      </c>
      <c r="D939" t="s">
        <v>14</v>
      </c>
      <c r="E939" t="s">
        <v>2177</v>
      </c>
      <c r="F939" s="2" t="str">
        <f>HYPERLINK("http://www.otzar.org/book.asp?615832","אהל יהושע &lt;משאת המלך&gt; - תורה, עניני חנוכה ופורים")</f>
        <v>אהל יהושע &lt;משאת המלך&gt; - תורה, עניני חנוכה ופורים</v>
      </c>
    </row>
    <row r="940" spans="1:6" x14ac:dyDescent="0.2">
      <c r="A940" t="s">
        <v>2178</v>
      </c>
      <c r="B940" t="s">
        <v>2179</v>
      </c>
      <c r="C940" t="s">
        <v>2180</v>
      </c>
      <c r="D940" t="s">
        <v>2181</v>
      </c>
      <c r="E940" t="s">
        <v>154</v>
      </c>
      <c r="F940" s="2" t="str">
        <f>HYPERLINK("http://www.otzar.org/book.asp?891","אהל יהושע - 2 כר'")</f>
        <v>אהל יהושע - 2 כר'</v>
      </c>
    </row>
    <row r="941" spans="1:6" x14ac:dyDescent="0.2">
      <c r="A941" t="s">
        <v>2182</v>
      </c>
      <c r="B941" t="s">
        <v>2183</v>
      </c>
      <c r="C941" t="s">
        <v>151</v>
      </c>
      <c r="D941" t="s">
        <v>52</v>
      </c>
      <c r="E941" t="s">
        <v>158</v>
      </c>
      <c r="F941" s="2" t="str">
        <f>HYPERLINK("http://www.otzar.org/book.asp?612334","אהל יהושע - שמות")</f>
        <v>אהל יהושע - שמות</v>
      </c>
    </row>
    <row r="942" spans="1:6" x14ac:dyDescent="0.2">
      <c r="A942" t="s">
        <v>2178</v>
      </c>
      <c r="B942" t="s">
        <v>2184</v>
      </c>
      <c r="C942" t="s">
        <v>87</v>
      </c>
      <c r="D942" t="s">
        <v>14</v>
      </c>
      <c r="E942" t="s">
        <v>564</v>
      </c>
      <c r="F942" s="2" t="str">
        <f>HYPERLINK("http://www.otzar.org/book.asp?62018","אהל יהושע - 2 כר'")</f>
        <v>אהל יהושע - 2 כר'</v>
      </c>
    </row>
    <row r="943" spans="1:6" x14ac:dyDescent="0.2">
      <c r="A943" t="s">
        <v>2185</v>
      </c>
      <c r="B943" t="s">
        <v>2186</v>
      </c>
      <c r="C943" t="s">
        <v>313</v>
      </c>
      <c r="D943" t="s">
        <v>21</v>
      </c>
      <c r="E943" t="s">
        <v>573</v>
      </c>
      <c r="F943" s="2" t="str">
        <f>HYPERLINK("http://www.otzar.org/book.asp?193073","אהל יהושע")</f>
        <v>אהל יהושע</v>
      </c>
    </row>
    <row r="944" spans="1:6" x14ac:dyDescent="0.2">
      <c r="A944" t="s">
        <v>2187</v>
      </c>
      <c r="B944" t="s">
        <v>2188</v>
      </c>
      <c r="C944" t="s">
        <v>23</v>
      </c>
      <c r="D944" t="s">
        <v>2189</v>
      </c>
      <c r="E944" t="s">
        <v>2135</v>
      </c>
      <c r="F944" s="2" t="str">
        <f>HYPERLINK("http://www.otzar.org/book.asp?619926","אהל יוסף &lt;מהדורה חדשה&gt;")</f>
        <v>אהל יוסף &lt;מהדורה חדשה&gt;</v>
      </c>
    </row>
    <row r="945" spans="1:6" x14ac:dyDescent="0.2">
      <c r="A945" t="s">
        <v>2190</v>
      </c>
      <c r="B945" t="s">
        <v>2191</v>
      </c>
      <c r="C945" t="s">
        <v>51</v>
      </c>
      <c r="D945" t="s">
        <v>52</v>
      </c>
      <c r="E945" t="s">
        <v>202</v>
      </c>
      <c r="F945" s="2" t="str">
        <f>HYPERLINK("http://www.otzar.org/book.asp?157590","אהל יוסף &lt;מעשים שבכל יום&gt; - ב")</f>
        <v>אהל יוסף &lt;מעשים שבכל יום&gt; - ב</v>
      </c>
    </row>
    <row r="946" spans="1:6" x14ac:dyDescent="0.2">
      <c r="A946" t="s">
        <v>2192</v>
      </c>
      <c r="B946" t="s">
        <v>2193</v>
      </c>
      <c r="C946" t="s">
        <v>20</v>
      </c>
      <c r="D946" t="s">
        <v>52</v>
      </c>
      <c r="E946" t="s">
        <v>226</v>
      </c>
      <c r="F946" s="2" t="str">
        <f>HYPERLINK("http://www.otzar.org/book.asp?605318","אהל יוסף בית אמישינוב &lt;מהדורה חדשה&gt;")</f>
        <v>אהל יוסף בית אמישינוב &lt;מהדורה חדשה&gt;</v>
      </c>
    </row>
    <row r="947" spans="1:6" x14ac:dyDescent="0.2">
      <c r="A947" t="s">
        <v>2194</v>
      </c>
      <c r="B947" t="s">
        <v>2195</v>
      </c>
      <c r="C947" t="s">
        <v>411</v>
      </c>
      <c r="D947" t="s">
        <v>2196</v>
      </c>
      <c r="E947" t="s">
        <v>144</v>
      </c>
      <c r="F947" s="2" t="str">
        <f>HYPERLINK("http://www.otzar.org/book.asp?167099","אהל יוסף מאיר - מנחות")</f>
        <v>אהל יוסף מאיר - מנחות</v>
      </c>
    </row>
    <row r="948" spans="1:6" x14ac:dyDescent="0.2">
      <c r="A948" t="s">
        <v>2197</v>
      </c>
      <c r="B948" t="s">
        <v>2198</v>
      </c>
      <c r="C948" t="s">
        <v>985</v>
      </c>
      <c r="D948" t="s">
        <v>9</v>
      </c>
      <c r="E948" t="s">
        <v>2199</v>
      </c>
      <c r="F948" s="2" t="str">
        <f>HYPERLINK("http://www.otzar.org/book.asp?52518","אהל יוסף - 2 כר'")</f>
        <v>אהל יוסף - 2 כר'</v>
      </c>
    </row>
    <row r="949" spans="1:6" x14ac:dyDescent="0.2">
      <c r="A949" t="s">
        <v>2198</v>
      </c>
      <c r="B949" t="s">
        <v>2200</v>
      </c>
      <c r="C949" t="s">
        <v>1811</v>
      </c>
      <c r="D949" t="s">
        <v>2201</v>
      </c>
      <c r="E949" t="s">
        <v>119</v>
      </c>
      <c r="F949" s="2" t="str">
        <f>HYPERLINK("http://www.otzar.org/book.asp?188488","אהל יוסף")</f>
        <v>אהל יוסף</v>
      </c>
    </row>
    <row r="950" spans="1:6" x14ac:dyDescent="0.2">
      <c r="A950" t="s">
        <v>2198</v>
      </c>
      <c r="B950" t="s">
        <v>2202</v>
      </c>
      <c r="C950" t="s">
        <v>950</v>
      </c>
      <c r="D950" t="s">
        <v>56</v>
      </c>
      <c r="E950" t="s">
        <v>241</v>
      </c>
      <c r="F950" s="2" t="str">
        <f>HYPERLINK("http://www.otzar.org/book.asp?15818","אהל יוסף")</f>
        <v>אהל יוסף</v>
      </c>
    </row>
    <row r="951" spans="1:6" x14ac:dyDescent="0.2">
      <c r="A951" t="s">
        <v>2203</v>
      </c>
      <c r="B951" t="s">
        <v>2204</v>
      </c>
      <c r="C951" t="s">
        <v>8</v>
      </c>
      <c r="D951" t="s">
        <v>889</v>
      </c>
      <c r="E951" t="s">
        <v>158</v>
      </c>
      <c r="F951" s="2" t="str">
        <f>HYPERLINK("http://www.otzar.org/book.asp?188704","אהל יוסף - א")</f>
        <v>אהל יוסף - א</v>
      </c>
    </row>
    <row r="952" spans="1:6" x14ac:dyDescent="0.2">
      <c r="A952" t="s">
        <v>2198</v>
      </c>
      <c r="B952" t="s">
        <v>2205</v>
      </c>
      <c r="C952" t="s">
        <v>533</v>
      </c>
      <c r="D952" t="s">
        <v>14</v>
      </c>
      <c r="E952" t="s">
        <v>213</v>
      </c>
      <c r="F952" s="2" t="str">
        <f>HYPERLINK("http://www.otzar.org/book.asp?107032","אהל יוסף")</f>
        <v>אהל יוסף</v>
      </c>
    </row>
    <row r="953" spans="1:6" x14ac:dyDescent="0.2">
      <c r="A953" t="s">
        <v>2206</v>
      </c>
      <c r="B953" t="s">
        <v>2193</v>
      </c>
      <c r="C953" t="s">
        <v>20</v>
      </c>
      <c r="D953" t="s">
        <v>52</v>
      </c>
      <c r="E953" t="s">
        <v>199</v>
      </c>
      <c r="F953" s="2" t="str">
        <f>HYPERLINK("http://www.otzar.org/book.asp?154206","אהל יוסף - גלעד")</f>
        <v>אהל יוסף - גלעד</v>
      </c>
    </row>
    <row r="954" spans="1:6" x14ac:dyDescent="0.2">
      <c r="A954" t="s">
        <v>2198</v>
      </c>
      <c r="B954" t="s">
        <v>2207</v>
      </c>
      <c r="C954" t="s">
        <v>2208</v>
      </c>
      <c r="D954" t="s">
        <v>2209</v>
      </c>
      <c r="E954" t="s">
        <v>144</v>
      </c>
      <c r="F954" s="2" t="str">
        <f>HYPERLINK("http://www.otzar.org/book.asp?22356","אהל יוסף")</f>
        <v>אהל יוסף</v>
      </c>
    </row>
    <row r="955" spans="1:6" x14ac:dyDescent="0.2">
      <c r="A955" t="s">
        <v>2198</v>
      </c>
      <c r="B955" t="s">
        <v>2210</v>
      </c>
      <c r="C955" t="s">
        <v>422</v>
      </c>
      <c r="D955" t="s">
        <v>52</v>
      </c>
      <c r="E955" t="s">
        <v>2211</v>
      </c>
      <c r="F955" s="2" t="str">
        <f>HYPERLINK("http://www.otzar.org/book.asp?157441","אהל יוסף")</f>
        <v>אהל יוסף</v>
      </c>
    </row>
    <row r="956" spans="1:6" x14ac:dyDescent="0.2">
      <c r="A956" t="s">
        <v>2198</v>
      </c>
      <c r="B956" t="s">
        <v>2212</v>
      </c>
      <c r="C956" t="s">
        <v>37</v>
      </c>
      <c r="D956" t="s">
        <v>14</v>
      </c>
      <c r="E956" t="s">
        <v>230</v>
      </c>
      <c r="F956" s="2" t="str">
        <f>HYPERLINK("http://www.otzar.org/book.asp?619004","אהל יוסף")</f>
        <v>אהל יוסף</v>
      </c>
    </row>
    <row r="957" spans="1:6" x14ac:dyDescent="0.2">
      <c r="A957" t="s">
        <v>2198</v>
      </c>
      <c r="B957" t="s">
        <v>2188</v>
      </c>
      <c r="C957" t="s">
        <v>2213</v>
      </c>
      <c r="D957" t="s">
        <v>76</v>
      </c>
      <c r="E957" t="s">
        <v>154</v>
      </c>
      <c r="F957" s="2" t="str">
        <f>HYPERLINK("http://www.otzar.org/book.asp?780","אהל יוסף")</f>
        <v>אהל יוסף</v>
      </c>
    </row>
    <row r="958" spans="1:6" x14ac:dyDescent="0.2">
      <c r="A958" t="s">
        <v>2198</v>
      </c>
      <c r="B958" t="s">
        <v>2214</v>
      </c>
      <c r="C958" t="s">
        <v>888</v>
      </c>
      <c r="D958" t="s">
        <v>9</v>
      </c>
      <c r="E958" t="s">
        <v>154</v>
      </c>
      <c r="F958" s="2" t="str">
        <f>HYPERLINK("http://www.otzar.org/book.asp?13759","אהל יוסף")</f>
        <v>אהל יוסף</v>
      </c>
    </row>
    <row r="959" spans="1:6" x14ac:dyDescent="0.2">
      <c r="A959" t="s">
        <v>2215</v>
      </c>
      <c r="B959" t="s">
        <v>2216</v>
      </c>
      <c r="C959" t="s">
        <v>23</v>
      </c>
      <c r="D959" t="s">
        <v>147</v>
      </c>
      <c r="E959" t="s">
        <v>158</v>
      </c>
      <c r="F959" s="2" t="str">
        <f>HYPERLINK("http://www.otzar.org/book.asp?615108","אהל יעקב &lt;מהדורה חדשה&gt;")</f>
        <v>אהל יעקב &lt;מהדורה חדשה&gt;</v>
      </c>
    </row>
    <row r="960" spans="1:6" x14ac:dyDescent="0.2">
      <c r="A960" t="s">
        <v>2217</v>
      </c>
      <c r="B960" t="s">
        <v>2218</v>
      </c>
      <c r="C960" t="s">
        <v>1268</v>
      </c>
      <c r="D960" t="s">
        <v>14</v>
      </c>
      <c r="E960" t="s">
        <v>684</v>
      </c>
      <c r="F960" s="2" t="str">
        <f>HYPERLINK("http://www.otzar.org/book.asp?152385","אהל יעקב &lt;מכון הכתב&gt;")</f>
        <v>אהל יעקב &lt;מכון הכתב&gt;</v>
      </c>
    </row>
    <row r="961" spans="1:6" x14ac:dyDescent="0.2">
      <c r="A961" t="s">
        <v>2219</v>
      </c>
      <c r="B961" t="s">
        <v>2220</v>
      </c>
      <c r="C961" t="s">
        <v>114</v>
      </c>
      <c r="D961" t="s">
        <v>14</v>
      </c>
      <c r="E961" t="s">
        <v>579</v>
      </c>
      <c r="F961" s="2" t="str">
        <f>HYPERLINK("http://www.otzar.org/book.asp?165060","אהל יעקב &lt;מהדורה חדשה&gt; - 5 כר'")</f>
        <v>אהל יעקב &lt;מהדורה חדשה&gt; - 5 כר'</v>
      </c>
    </row>
    <row r="962" spans="1:6" x14ac:dyDescent="0.2">
      <c r="A962" t="s">
        <v>2221</v>
      </c>
      <c r="B962" t="s">
        <v>2222</v>
      </c>
      <c r="C962" t="s">
        <v>523</v>
      </c>
      <c r="D962" t="s">
        <v>14</v>
      </c>
      <c r="E962" t="s">
        <v>158</v>
      </c>
      <c r="F962" s="2" t="str">
        <f>HYPERLINK("http://www.otzar.org/book.asp?50491","אהל יעקב - 6 כר'")</f>
        <v>אהל יעקב - 6 כר'</v>
      </c>
    </row>
    <row r="963" spans="1:6" x14ac:dyDescent="0.2">
      <c r="A963" t="s">
        <v>2223</v>
      </c>
      <c r="B963" t="s">
        <v>2216</v>
      </c>
      <c r="C963" t="s">
        <v>1535</v>
      </c>
      <c r="D963" t="s">
        <v>27</v>
      </c>
      <c r="E963" t="s">
        <v>158</v>
      </c>
      <c r="F963" s="2" t="str">
        <f>HYPERLINK("http://www.otzar.org/book.asp?152269","אהל יעקב")</f>
        <v>אהל יעקב</v>
      </c>
    </row>
    <row r="964" spans="1:6" x14ac:dyDescent="0.2">
      <c r="A964" t="s">
        <v>2223</v>
      </c>
      <c r="B964" t="s">
        <v>2224</v>
      </c>
      <c r="C964" t="s">
        <v>2225</v>
      </c>
      <c r="D964" t="s">
        <v>1117</v>
      </c>
      <c r="E964" t="s">
        <v>213</v>
      </c>
      <c r="F964" s="2" t="str">
        <f>HYPERLINK("http://www.otzar.org/book.asp?146613","אהל יעקב")</f>
        <v>אהל יעקב</v>
      </c>
    </row>
    <row r="965" spans="1:6" x14ac:dyDescent="0.2">
      <c r="A965" t="s">
        <v>2223</v>
      </c>
      <c r="B965" t="s">
        <v>2226</v>
      </c>
      <c r="C965" t="s">
        <v>2227</v>
      </c>
      <c r="D965" t="s">
        <v>76</v>
      </c>
      <c r="E965" t="s">
        <v>104</v>
      </c>
      <c r="F965" s="2" t="str">
        <f>HYPERLINK("http://www.otzar.org/book.asp?103946","אהל יעקב")</f>
        <v>אהל יעקב</v>
      </c>
    </row>
    <row r="966" spans="1:6" x14ac:dyDescent="0.2">
      <c r="A966" t="s">
        <v>2228</v>
      </c>
      <c r="B966" t="s">
        <v>2229</v>
      </c>
      <c r="C966" t="s">
        <v>23</v>
      </c>
      <c r="D966" t="s">
        <v>14</v>
      </c>
      <c r="E966" t="s">
        <v>15</v>
      </c>
      <c r="F966" s="2" t="str">
        <f>HYPERLINK("http://www.otzar.org/book.asp?192894","אהל יעקב - 14 כר'")</f>
        <v>אהל יעקב - 14 כר'</v>
      </c>
    </row>
    <row r="967" spans="1:6" x14ac:dyDescent="0.2">
      <c r="A967" t="s">
        <v>2230</v>
      </c>
      <c r="B967" t="s">
        <v>2220</v>
      </c>
      <c r="C967" t="s">
        <v>888</v>
      </c>
      <c r="D967" t="s">
        <v>283</v>
      </c>
      <c r="E967" t="s">
        <v>579</v>
      </c>
      <c r="F967" s="2" t="str">
        <f>HYPERLINK("http://www.otzar.org/book.asp?7220","אהל יעקב - 3 כר'")</f>
        <v>אהל יעקב - 3 כר'</v>
      </c>
    </row>
    <row r="968" spans="1:6" x14ac:dyDescent="0.2">
      <c r="A968" t="s">
        <v>2231</v>
      </c>
      <c r="B968" t="s">
        <v>2232</v>
      </c>
      <c r="C968" t="s">
        <v>2233</v>
      </c>
      <c r="D968" t="s">
        <v>2234</v>
      </c>
      <c r="E968" t="s">
        <v>158</v>
      </c>
      <c r="F968" s="2" t="str">
        <f>HYPERLINK("http://www.otzar.org/book.asp?623522","אהל יעקב - בראשית")</f>
        <v>אהל יעקב - בראשית</v>
      </c>
    </row>
    <row r="969" spans="1:6" x14ac:dyDescent="0.2">
      <c r="A969" t="s">
        <v>2223</v>
      </c>
      <c r="B969" t="s">
        <v>2235</v>
      </c>
      <c r="C969" t="s">
        <v>2236</v>
      </c>
      <c r="D969" t="s">
        <v>1023</v>
      </c>
      <c r="E969" t="s">
        <v>791</v>
      </c>
      <c r="F969" s="2" t="str">
        <f>HYPERLINK("http://www.otzar.org/book.asp?10971","אהל יעקב")</f>
        <v>אהל יעקב</v>
      </c>
    </row>
    <row r="970" spans="1:6" x14ac:dyDescent="0.2">
      <c r="A970" t="s">
        <v>2237</v>
      </c>
      <c r="B970" t="s">
        <v>2238</v>
      </c>
      <c r="C970" t="s">
        <v>888</v>
      </c>
      <c r="D970" t="s">
        <v>1966</v>
      </c>
      <c r="E970" t="s">
        <v>202</v>
      </c>
      <c r="F970" s="2" t="str">
        <f>HYPERLINK("http://www.otzar.org/book.asp?103971","אהל יצחק - 8 כר'")</f>
        <v>אהל יצחק - 8 כר'</v>
      </c>
    </row>
    <row r="971" spans="1:6" x14ac:dyDescent="0.2">
      <c r="A971" t="s">
        <v>2239</v>
      </c>
      <c r="B971" t="s">
        <v>2240</v>
      </c>
      <c r="C971" t="s">
        <v>725</v>
      </c>
      <c r="D971" t="s">
        <v>27</v>
      </c>
      <c r="E971" t="s">
        <v>2241</v>
      </c>
      <c r="F971" s="2" t="str">
        <f>HYPERLINK("http://www.otzar.org/book.asp?300159","אהל יצחק")</f>
        <v>אהל יצחק</v>
      </c>
    </row>
    <row r="972" spans="1:6" x14ac:dyDescent="0.2">
      <c r="A972" t="s">
        <v>2239</v>
      </c>
      <c r="B972" t="s">
        <v>2161</v>
      </c>
      <c r="C972" t="s">
        <v>473</v>
      </c>
      <c r="D972" t="s">
        <v>225</v>
      </c>
      <c r="E972" t="s">
        <v>140</v>
      </c>
      <c r="F972" s="2" t="str">
        <f>HYPERLINK("http://www.otzar.org/book.asp?10568","אהל יצחק")</f>
        <v>אהל יצחק</v>
      </c>
    </row>
    <row r="973" spans="1:6" x14ac:dyDescent="0.2">
      <c r="A973" t="s">
        <v>2239</v>
      </c>
      <c r="B973" t="s">
        <v>2242</v>
      </c>
      <c r="C973" t="s">
        <v>2243</v>
      </c>
      <c r="D973" t="s">
        <v>76</v>
      </c>
      <c r="E973" t="s">
        <v>154</v>
      </c>
      <c r="F973" s="2" t="str">
        <f>HYPERLINK("http://www.otzar.org/book.asp?100231","אהל יצחק")</f>
        <v>אהל יצחק</v>
      </c>
    </row>
    <row r="974" spans="1:6" x14ac:dyDescent="0.2">
      <c r="A974" t="s">
        <v>2244</v>
      </c>
      <c r="B974" t="s">
        <v>2245</v>
      </c>
      <c r="C974" t="s">
        <v>1228</v>
      </c>
      <c r="D974" t="s">
        <v>535</v>
      </c>
      <c r="E974" t="s">
        <v>15</v>
      </c>
      <c r="F974" s="2" t="str">
        <f>HYPERLINK("http://www.otzar.org/book.asp?51749","אהל יצחק - 3 כר'")</f>
        <v>אהל יצחק - 3 כר'</v>
      </c>
    </row>
    <row r="975" spans="1:6" x14ac:dyDescent="0.2">
      <c r="A975" t="s">
        <v>2246</v>
      </c>
      <c r="B975" t="s">
        <v>2247</v>
      </c>
      <c r="C975" t="s">
        <v>189</v>
      </c>
      <c r="D975" t="s">
        <v>14</v>
      </c>
      <c r="E975" t="s">
        <v>2248</v>
      </c>
      <c r="F975" s="2" t="str">
        <f>HYPERLINK("http://www.otzar.org/book.asp?23555","אהל יצחק - גיטין")</f>
        <v>אהל יצחק - גיטין</v>
      </c>
    </row>
    <row r="976" spans="1:6" x14ac:dyDescent="0.2">
      <c r="A976" t="s">
        <v>2249</v>
      </c>
      <c r="B976" t="s">
        <v>2250</v>
      </c>
      <c r="C976" t="s">
        <v>244</v>
      </c>
      <c r="D976" t="s">
        <v>80</v>
      </c>
      <c r="F976" s="2" t="str">
        <f>HYPERLINK("http://www.otzar.org/book.asp?601051","אהל יצחק - יד")</f>
        <v>אהל יצחק - יד</v>
      </c>
    </row>
    <row r="977" spans="1:6" x14ac:dyDescent="0.2">
      <c r="A977" t="s">
        <v>2251</v>
      </c>
      <c r="B977" t="s">
        <v>2252</v>
      </c>
      <c r="C977" t="s">
        <v>237</v>
      </c>
      <c r="D977" t="s">
        <v>260</v>
      </c>
      <c r="E977" t="s">
        <v>474</v>
      </c>
      <c r="F977" s="2" t="str">
        <f>HYPERLINK("http://www.otzar.org/book.asp?300156","אהל ישכר")</f>
        <v>אהל ישכר</v>
      </c>
    </row>
    <row r="978" spans="1:6" x14ac:dyDescent="0.2">
      <c r="A978" t="s">
        <v>2253</v>
      </c>
      <c r="B978" t="s">
        <v>2254</v>
      </c>
      <c r="C978" t="s">
        <v>438</v>
      </c>
      <c r="D978" t="s">
        <v>14</v>
      </c>
      <c r="E978" t="s">
        <v>2255</v>
      </c>
      <c r="F978" s="2" t="str">
        <f>HYPERLINK("http://www.otzar.org/book.asp?144200","אהל ישכר, סדר הזמנים, אמרי נעם")</f>
        <v>אהל ישכר, סדר הזמנים, אמרי נעם</v>
      </c>
    </row>
    <row r="979" spans="1:6" x14ac:dyDescent="0.2">
      <c r="A979" t="s">
        <v>2256</v>
      </c>
      <c r="B979" t="s">
        <v>2247</v>
      </c>
      <c r="C979" t="s">
        <v>13</v>
      </c>
      <c r="D979" t="s">
        <v>14</v>
      </c>
      <c r="E979" t="s">
        <v>144</v>
      </c>
      <c r="F979" s="2" t="str">
        <f>HYPERLINK("http://www.otzar.org/book.asp?628721","אהל ישעיהו - ב""ק")</f>
        <v>אהל ישעיהו - ב"ק</v>
      </c>
    </row>
    <row r="980" spans="1:6" x14ac:dyDescent="0.2">
      <c r="A980" t="s">
        <v>2257</v>
      </c>
      <c r="B980" t="s">
        <v>1750</v>
      </c>
      <c r="C980" t="s">
        <v>244</v>
      </c>
      <c r="D980" t="s">
        <v>134</v>
      </c>
      <c r="E980" t="s">
        <v>202</v>
      </c>
      <c r="F980" s="2" t="str">
        <f>HYPERLINK("http://www.otzar.org/book.asp?198098","אהל ישראל אלחנן")</f>
        <v>אהל ישראל אלחנן</v>
      </c>
    </row>
    <row r="981" spans="1:6" x14ac:dyDescent="0.2">
      <c r="A981" t="s">
        <v>2258</v>
      </c>
      <c r="B981" t="s">
        <v>1893</v>
      </c>
      <c r="C981" t="s">
        <v>114</v>
      </c>
      <c r="D981" t="s">
        <v>14</v>
      </c>
      <c r="E981" t="s">
        <v>15</v>
      </c>
      <c r="F981" s="2" t="str">
        <f>HYPERLINK("http://www.otzar.org/book.asp?173349","אהל ישרים &lt;חופה וז' ברכות&gt;")</f>
        <v>אהל ישרים &lt;חופה וז' ברכות&gt;</v>
      </c>
    </row>
    <row r="982" spans="1:6" x14ac:dyDescent="0.2">
      <c r="A982" t="s">
        <v>2259</v>
      </c>
      <c r="B982" t="s">
        <v>2260</v>
      </c>
      <c r="C982" t="s">
        <v>1268</v>
      </c>
      <c r="D982" t="s">
        <v>14</v>
      </c>
      <c r="E982" t="s">
        <v>2261</v>
      </c>
      <c r="F982" s="2" t="str">
        <f>HYPERLINK("http://www.otzar.org/book.asp?152334","אהל ישרים &lt;מכון הכתב&gt;")</f>
        <v>אהל ישרים &lt;מכון הכתב&gt;</v>
      </c>
    </row>
    <row r="983" spans="1:6" x14ac:dyDescent="0.2">
      <c r="A983" t="s">
        <v>2262</v>
      </c>
      <c r="B983" t="s">
        <v>2263</v>
      </c>
      <c r="C983" t="s">
        <v>321</v>
      </c>
      <c r="D983" t="s">
        <v>212</v>
      </c>
      <c r="E983" t="s">
        <v>2264</v>
      </c>
      <c r="F983" s="2" t="str">
        <f>HYPERLINK("http://www.otzar.org/book.asp?100232","אהל ישרים")</f>
        <v>אהל ישרים</v>
      </c>
    </row>
    <row r="984" spans="1:6" x14ac:dyDescent="0.2">
      <c r="A984" t="s">
        <v>2265</v>
      </c>
      <c r="B984" t="s">
        <v>2260</v>
      </c>
      <c r="C984" t="s">
        <v>306</v>
      </c>
      <c r="D984" t="s">
        <v>212</v>
      </c>
      <c r="E984" t="s">
        <v>960</v>
      </c>
      <c r="F984" s="2" t="str">
        <f>HYPERLINK("http://www.otzar.org/book.asp?153053","אהל ישרים - 2 כר'")</f>
        <v>אהל ישרים - 2 כר'</v>
      </c>
    </row>
    <row r="985" spans="1:6" x14ac:dyDescent="0.2">
      <c r="A985" t="s">
        <v>2266</v>
      </c>
      <c r="B985" t="s">
        <v>2267</v>
      </c>
      <c r="C985" t="s">
        <v>775</v>
      </c>
      <c r="D985" t="s">
        <v>14</v>
      </c>
      <c r="E985" t="s">
        <v>154</v>
      </c>
      <c r="F985" s="2" t="str">
        <f>HYPERLINK("http://www.otzar.org/book.asp?102835","אהל יששכר")</f>
        <v>אהל יששכר</v>
      </c>
    </row>
    <row r="986" spans="1:6" x14ac:dyDescent="0.2">
      <c r="A986" t="s">
        <v>2266</v>
      </c>
      <c r="B986" t="s">
        <v>2268</v>
      </c>
      <c r="C986" t="s">
        <v>2269</v>
      </c>
      <c r="D986" t="s">
        <v>744</v>
      </c>
      <c r="E986" t="s">
        <v>158</v>
      </c>
      <c r="F986" s="2" t="str">
        <f>HYPERLINK("http://www.otzar.org/book.asp?300154","אהל יששכר")</f>
        <v>אהל יששכר</v>
      </c>
    </row>
    <row r="987" spans="1:6" x14ac:dyDescent="0.2">
      <c r="A987" t="s">
        <v>2266</v>
      </c>
      <c r="B987" t="s">
        <v>2270</v>
      </c>
      <c r="C987" t="s">
        <v>2271</v>
      </c>
      <c r="D987" t="s">
        <v>42</v>
      </c>
      <c r="E987" t="s">
        <v>2272</v>
      </c>
      <c r="F987" s="2" t="str">
        <f>HYPERLINK("http://www.otzar.org/book.asp?15836","אהל יששכר")</f>
        <v>אהל יששכר</v>
      </c>
    </row>
    <row r="988" spans="1:6" x14ac:dyDescent="0.2">
      <c r="A988" t="s">
        <v>2266</v>
      </c>
      <c r="B988" t="s">
        <v>2273</v>
      </c>
      <c r="C988" t="s">
        <v>2274</v>
      </c>
      <c r="D988" t="s">
        <v>885</v>
      </c>
      <c r="E988" t="s">
        <v>15</v>
      </c>
      <c r="F988" s="2" t="str">
        <f>HYPERLINK("http://www.otzar.org/book.asp?146876","אהל יששכר")</f>
        <v>אהל יששכר</v>
      </c>
    </row>
    <row r="989" spans="1:6" x14ac:dyDescent="0.2">
      <c r="A989" t="s">
        <v>2266</v>
      </c>
      <c r="B989" t="s">
        <v>2275</v>
      </c>
      <c r="C989" t="s">
        <v>395</v>
      </c>
      <c r="D989" t="s">
        <v>2276</v>
      </c>
      <c r="E989" t="s">
        <v>119</v>
      </c>
      <c r="F989" s="2" t="str">
        <f>HYPERLINK("http://www.otzar.org/book.asp?146692","אהל יששכר")</f>
        <v>אהל יששכר</v>
      </c>
    </row>
    <row r="990" spans="1:6" x14ac:dyDescent="0.2">
      <c r="A990" t="s">
        <v>2277</v>
      </c>
      <c r="B990" t="s">
        <v>1005</v>
      </c>
      <c r="C990" t="s">
        <v>20</v>
      </c>
      <c r="D990" t="s">
        <v>90</v>
      </c>
      <c r="E990" t="s">
        <v>202</v>
      </c>
      <c r="F990" s="2" t="str">
        <f>HYPERLINK("http://www.otzar.org/book.asp?167829","אהל לאה")</f>
        <v>אהל לאה</v>
      </c>
    </row>
    <row r="991" spans="1:6" x14ac:dyDescent="0.2">
      <c r="A991" t="s">
        <v>2278</v>
      </c>
      <c r="B991" t="s">
        <v>2279</v>
      </c>
      <c r="C991" t="s">
        <v>2280</v>
      </c>
      <c r="D991" t="s">
        <v>1117</v>
      </c>
      <c r="E991" t="s">
        <v>202</v>
      </c>
      <c r="F991" s="2" t="str">
        <f>HYPERLINK("http://www.otzar.org/book.asp?107360","אהל מועד")</f>
        <v>אהל מועד</v>
      </c>
    </row>
    <row r="992" spans="1:6" x14ac:dyDescent="0.2">
      <c r="A992" t="s">
        <v>2281</v>
      </c>
      <c r="B992" t="s">
        <v>2137</v>
      </c>
      <c r="C992" t="s">
        <v>2282</v>
      </c>
      <c r="D992" t="s">
        <v>27</v>
      </c>
      <c r="E992" t="s">
        <v>158</v>
      </c>
      <c r="F992" s="2" t="str">
        <f>HYPERLINK("http://www.otzar.org/book.asp?100359","אהל מועד - 9 כר'")</f>
        <v>אהל מועד - 9 כר'</v>
      </c>
    </row>
    <row r="993" spans="1:6" x14ac:dyDescent="0.2">
      <c r="A993" t="s">
        <v>2278</v>
      </c>
      <c r="B993" t="s">
        <v>206</v>
      </c>
      <c r="C993" t="s">
        <v>146</v>
      </c>
      <c r="D993" t="s">
        <v>90</v>
      </c>
      <c r="E993" t="s">
        <v>15</v>
      </c>
      <c r="F993" s="2" t="str">
        <f>HYPERLINK("http://www.otzar.org/book.asp?168350","אהל מועד")</f>
        <v>אהל מועד</v>
      </c>
    </row>
    <row r="994" spans="1:6" x14ac:dyDescent="0.2">
      <c r="A994" t="s">
        <v>2278</v>
      </c>
      <c r="B994" t="s">
        <v>2283</v>
      </c>
      <c r="C994" t="s">
        <v>2284</v>
      </c>
      <c r="D994" t="s">
        <v>2285</v>
      </c>
      <c r="E994" t="s">
        <v>144</v>
      </c>
      <c r="F994" s="2" t="str">
        <f>HYPERLINK("http://www.otzar.org/book.asp?172746","אהל מועד")</f>
        <v>אהל מועד</v>
      </c>
    </row>
    <row r="995" spans="1:6" x14ac:dyDescent="0.2">
      <c r="A995" t="s">
        <v>2286</v>
      </c>
      <c r="B995" t="s">
        <v>2287</v>
      </c>
      <c r="C995" t="s">
        <v>356</v>
      </c>
      <c r="D995" t="s">
        <v>52</v>
      </c>
      <c r="E995" t="s">
        <v>140</v>
      </c>
      <c r="F995" s="2" t="str">
        <f>HYPERLINK("http://www.otzar.org/book.asp?23807","אהל מועד - 2 כר'")</f>
        <v>אהל מועד - 2 כר'</v>
      </c>
    </row>
    <row r="996" spans="1:6" x14ac:dyDescent="0.2">
      <c r="A996" t="s">
        <v>2286</v>
      </c>
      <c r="B996" t="s">
        <v>2288</v>
      </c>
      <c r="C996" t="s">
        <v>2289</v>
      </c>
      <c r="D996" t="s">
        <v>2290</v>
      </c>
      <c r="E996" t="s">
        <v>2088</v>
      </c>
      <c r="F996" s="2" t="str">
        <f>HYPERLINK("http://www.otzar.org/book.asp?100239","אהל מועד - 2 כר'")</f>
        <v>אהל מועד - 2 כר'</v>
      </c>
    </row>
    <row r="997" spans="1:6" x14ac:dyDescent="0.2">
      <c r="A997" t="s">
        <v>2286</v>
      </c>
      <c r="B997" t="s">
        <v>2291</v>
      </c>
      <c r="C997" t="s">
        <v>896</v>
      </c>
      <c r="D997" t="s">
        <v>27</v>
      </c>
      <c r="E997" t="s">
        <v>15</v>
      </c>
      <c r="F997" s="2" t="str">
        <f>HYPERLINK("http://www.otzar.org/book.asp?104","אהל מועד - 2 כר'")</f>
        <v>אהל מועד - 2 כר'</v>
      </c>
    </row>
    <row r="998" spans="1:6" x14ac:dyDescent="0.2">
      <c r="A998" t="s">
        <v>2286</v>
      </c>
      <c r="B998" t="s">
        <v>2292</v>
      </c>
      <c r="C998" t="s">
        <v>748</v>
      </c>
      <c r="D998" t="s">
        <v>2293</v>
      </c>
      <c r="E998" t="s">
        <v>234</v>
      </c>
      <c r="F998" s="2" t="str">
        <f>HYPERLINK("http://www.otzar.org/book.asp?300437","אהל מועד - 2 כר'")</f>
        <v>אהל מועד - 2 כר'</v>
      </c>
    </row>
    <row r="999" spans="1:6" x14ac:dyDescent="0.2">
      <c r="A999" t="s">
        <v>2278</v>
      </c>
      <c r="B999" t="s">
        <v>1750</v>
      </c>
      <c r="C999" t="s">
        <v>2294</v>
      </c>
      <c r="D999" t="s">
        <v>2295</v>
      </c>
      <c r="E999" t="s">
        <v>202</v>
      </c>
      <c r="F999" s="2" t="str">
        <f>HYPERLINK("http://www.otzar.org/book.asp?300153","אהל מועד")</f>
        <v>אהל מועד</v>
      </c>
    </row>
    <row r="1000" spans="1:6" x14ac:dyDescent="0.2">
      <c r="A1000" t="s">
        <v>2286</v>
      </c>
      <c r="B1000" t="s">
        <v>2296</v>
      </c>
      <c r="C1000" t="s">
        <v>728</v>
      </c>
      <c r="D1000" t="s">
        <v>535</v>
      </c>
      <c r="E1000" t="s">
        <v>104</v>
      </c>
      <c r="F1000" s="2" t="str">
        <f>HYPERLINK("http://www.otzar.org/book.asp?15829","אהל מועד - 2 כר'")</f>
        <v>אהל מועד - 2 כר'</v>
      </c>
    </row>
    <row r="1001" spans="1:6" x14ac:dyDescent="0.2">
      <c r="A1001" t="s">
        <v>2297</v>
      </c>
      <c r="B1001" t="s">
        <v>2298</v>
      </c>
      <c r="C1001" t="s">
        <v>334</v>
      </c>
      <c r="D1001" t="s">
        <v>486</v>
      </c>
      <c r="E1001" t="s">
        <v>803</v>
      </c>
      <c r="F1001" s="2" t="str">
        <f>HYPERLINK("http://www.otzar.org/book.asp?151189","אהל מרדכי")</f>
        <v>אהל מרדכי</v>
      </c>
    </row>
    <row r="1002" spans="1:6" x14ac:dyDescent="0.2">
      <c r="A1002" t="s">
        <v>2299</v>
      </c>
      <c r="B1002" t="s">
        <v>489</v>
      </c>
      <c r="C1002" t="s">
        <v>313</v>
      </c>
      <c r="D1002" t="s">
        <v>1356</v>
      </c>
      <c r="E1002" t="s">
        <v>202</v>
      </c>
      <c r="F1002" s="2" t="str">
        <f>HYPERLINK("http://www.otzar.org/book.asp?148284","אהל משה &lt;שאץ - 3 כר'")</f>
        <v>אהל משה &lt;שאץ - 3 כר'</v>
      </c>
    </row>
    <row r="1003" spans="1:6" x14ac:dyDescent="0.2">
      <c r="A1003" t="s">
        <v>2300</v>
      </c>
      <c r="B1003" t="s">
        <v>2301</v>
      </c>
      <c r="C1003" t="s">
        <v>2302</v>
      </c>
      <c r="D1003" t="s">
        <v>2303</v>
      </c>
      <c r="E1003" t="s">
        <v>104</v>
      </c>
      <c r="F1003" s="2" t="str">
        <f>HYPERLINK("http://www.otzar.org/book.asp?173171","אהל משה - 3 כר'")</f>
        <v>אהל משה - 3 כר'</v>
      </c>
    </row>
    <row r="1004" spans="1:6" x14ac:dyDescent="0.2">
      <c r="A1004" t="s">
        <v>2304</v>
      </c>
      <c r="B1004" t="s">
        <v>2305</v>
      </c>
      <c r="C1004" t="s">
        <v>2306</v>
      </c>
      <c r="D1004" t="s">
        <v>1023</v>
      </c>
      <c r="E1004" t="s">
        <v>158</v>
      </c>
      <c r="F1004" s="2" t="str">
        <f>HYPERLINK("http://www.otzar.org/book.asp?12882","אהל משה")</f>
        <v>אהל משה</v>
      </c>
    </row>
    <row r="1005" spans="1:6" x14ac:dyDescent="0.2">
      <c r="A1005" t="s">
        <v>2307</v>
      </c>
      <c r="B1005" t="s">
        <v>2308</v>
      </c>
      <c r="C1005" t="s">
        <v>313</v>
      </c>
      <c r="D1005" t="s">
        <v>14</v>
      </c>
      <c r="E1005" t="s">
        <v>15</v>
      </c>
      <c r="F1005" s="2" t="str">
        <f>HYPERLINK("http://www.otzar.org/book.asp?51260","אהל משה - 2 כר'")</f>
        <v>אהל משה - 2 כר'</v>
      </c>
    </row>
    <row r="1006" spans="1:6" x14ac:dyDescent="0.2">
      <c r="A1006" t="s">
        <v>2304</v>
      </c>
      <c r="B1006" t="s">
        <v>2309</v>
      </c>
      <c r="C1006" t="s">
        <v>1124</v>
      </c>
      <c r="D1006" t="s">
        <v>56</v>
      </c>
      <c r="E1006" t="s">
        <v>786</v>
      </c>
      <c r="F1006" s="2" t="str">
        <f>HYPERLINK("http://www.otzar.org/book.asp?300158","אהל משה")</f>
        <v>אהל משה</v>
      </c>
    </row>
    <row r="1007" spans="1:6" x14ac:dyDescent="0.2">
      <c r="A1007" t="s">
        <v>2310</v>
      </c>
      <c r="B1007" t="s">
        <v>2311</v>
      </c>
      <c r="C1007" t="s">
        <v>2312</v>
      </c>
      <c r="D1007" t="s">
        <v>2313</v>
      </c>
      <c r="E1007" t="s">
        <v>104</v>
      </c>
      <c r="F1007" s="2" t="str">
        <f>HYPERLINK("http://www.otzar.org/book.asp?7215","אהל משה - א")</f>
        <v>אהל משה - א</v>
      </c>
    </row>
    <row r="1008" spans="1:6" x14ac:dyDescent="0.2">
      <c r="A1008" t="s">
        <v>2304</v>
      </c>
      <c r="B1008" t="s">
        <v>2314</v>
      </c>
      <c r="C1008" t="s">
        <v>725</v>
      </c>
      <c r="D1008" t="s">
        <v>27</v>
      </c>
      <c r="E1008" t="s">
        <v>104</v>
      </c>
      <c r="F1008" s="2" t="str">
        <f>HYPERLINK("http://www.otzar.org/book.asp?11985","אהל משה")</f>
        <v>אהל משה</v>
      </c>
    </row>
    <row r="1009" spans="1:6" x14ac:dyDescent="0.2">
      <c r="A1009" t="s">
        <v>2307</v>
      </c>
      <c r="B1009" t="s">
        <v>2315</v>
      </c>
      <c r="C1009" t="s">
        <v>1047</v>
      </c>
      <c r="D1009" t="s">
        <v>283</v>
      </c>
      <c r="E1009" t="s">
        <v>2088</v>
      </c>
      <c r="F1009" s="2" t="str">
        <f>HYPERLINK("http://www.otzar.org/book.asp?6669","אהל משה - 2 כר'")</f>
        <v>אהל משה - 2 כר'</v>
      </c>
    </row>
    <row r="1010" spans="1:6" x14ac:dyDescent="0.2">
      <c r="A1010" t="s">
        <v>2304</v>
      </c>
      <c r="B1010" t="s">
        <v>2316</v>
      </c>
      <c r="C1010" t="s">
        <v>462</v>
      </c>
      <c r="D1010" t="s">
        <v>225</v>
      </c>
      <c r="E1010" t="s">
        <v>2317</v>
      </c>
      <c r="F1010" s="2" t="str">
        <f>HYPERLINK("http://www.otzar.org/book.asp?6682","אהל משה")</f>
        <v>אהל משה</v>
      </c>
    </row>
    <row r="1011" spans="1:6" x14ac:dyDescent="0.2">
      <c r="A1011" t="s">
        <v>2307</v>
      </c>
      <c r="B1011" t="s">
        <v>2318</v>
      </c>
      <c r="C1011" t="s">
        <v>1208</v>
      </c>
      <c r="D1011" t="s">
        <v>2319</v>
      </c>
      <c r="E1011" t="s">
        <v>144</v>
      </c>
      <c r="F1011" s="2" t="str">
        <f>HYPERLINK("http://www.otzar.org/book.asp?144144","אהל משה - 2 כר'")</f>
        <v>אהל משה - 2 כר'</v>
      </c>
    </row>
    <row r="1012" spans="1:6" x14ac:dyDescent="0.2">
      <c r="A1012" t="s">
        <v>2300</v>
      </c>
      <c r="B1012" t="s">
        <v>2320</v>
      </c>
      <c r="C1012" t="s">
        <v>609</v>
      </c>
      <c r="D1012" t="s">
        <v>2321</v>
      </c>
      <c r="E1012" t="s">
        <v>104</v>
      </c>
      <c r="F1012" s="2" t="str">
        <f>HYPERLINK("http://www.otzar.org/book.asp?197038","אהל משה - 3 כר'")</f>
        <v>אהל משה - 3 כר'</v>
      </c>
    </row>
    <row r="1013" spans="1:6" x14ac:dyDescent="0.2">
      <c r="A1013" t="s">
        <v>2304</v>
      </c>
      <c r="B1013" t="s">
        <v>2322</v>
      </c>
      <c r="C1013" t="s">
        <v>2323</v>
      </c>
      <c r="D1013" t="s">
        <v>2324</v>
      </c>
      <c r="E1013" t="s">
        <v>158</v>
      </c>
      <c r="F1013" s="2" t="str">
        <f>HYPERLINK("http://www.otzar.org/book.asp?146924","אהל משה")</f>
        <v>אהל משה</v>
      </c>
    </row>
    <row r="1014" spans="1:6" x14ac:dyDescent="0.2">
      <c r="A1014" t="s">
        <v>2304</v>
      </c>
      <c r="B1014" t="s">
        <v>2325</v>
      </c>
      <c r="C1014" t="s">
        <v>334</v>
      </c>
      <c r="D1014" t="s">
        <v>90</v>
      </c>
      <c r="E1014" t="s">
        <v>837</v>
      </c>
      <c r="F1014" s="2" t="str">
        <f>HYPERLINK("http://www.otzar.org/book.asp?159157","אהל משה")</f>
        <v>אהל משה</v>
      </c>
    </row>
    <row r="1015" spans="1:6" x14ac:dyDescent="0.2">
      <c r="A1015" t="s">
        <v>2304</v>
      </c>
      <c r="B1015" t="s">
        <v>2326</v>
      </c>
      <c r="C1015" t="s">
        <v>558</v>
      </c>
      <c r="D1015" t="s">
        <v>27</v>
      </c>
      <c r="E1015" t="s">
        <v>154</v>
      </c>
      <c r="F1015" s="2" t="str">
        <f>HYPERLINK("http://www.otzar.org/book.asp?17118","אהל משה")</f>
        <v>אהל משה</v>
      </c>
    </row>
    <row r="1016" spans="1:6" x14ac:dyDescent="0.2">
      <c r="A1016" t="s">
        <v>2300</v>
      </c>
      <c r="B1016" t="s">
        <v>2327</v>
      </c>
      <c r="C1016" t="s">
        <v>2328</v>
      </c>
      <c r="D1016" t="s">
        <v>56</v>
      </c>
      <c r="E1016" t="s">
        <v>144</v>
      </c>
      <c r="F1016" s="2" t="str">
        <f>HYPERLINK("http://www.otzar.org/book.asp?17119","אהל משה - 3 כר'")</f>
        <v>אהל משה - 3 כר'</v>
      </c>
    </row>
    <row r="1017" spans="1:6" x14ac:dyDescent="0.2">
      <c r="A1017" t="s">
        <v>2307</v>
      </c>
      <c r="B1017" t="s">
        <v>2329</v>
      </c>
      <c r="C1017" t="s">
        <v>767</v>
      </c>
      <c r="D1017" t="s">
        <v>52</v>
      </c>
      <c r="E1017" t="s">
        <v>144</v>
      </c>
      <c r="F1017" s="2" t="str">
        <f>HYPERLINK("http://www.otzar.org/book.asp?147911","אהל משה - 2 כר'")</f>
        <v>אהל משה - 2 כר'</v>
      </c>
    </row>
    <row r="1018" spans="1:6" x14ac:dyDescent="0.2">
      <c r="A1018" t="s">
        <v>2330</v>
      </c>
      <c r="B1018" t="s">
        <v>2331</v>
      </c>
      <c r="C1018" t="s">
        <v>356</v>
      </c>
      <c r="D1018" t="s">
        <v>412</v>
      </c>
      <c r="E1018" t="s">
        <v>2332</v>
      </c>
      <c r="F1018" s="2" t="str">
        <f>HYPERLINK("http://www.otzar.org/book.asp?11022","אהל משה - 10 כר'")</f>
        <v>אהל משה - 10 כר'</v>
      </c>
    </row>
    <row r="1019" spans="1:6" x14ac:dyDescent="0.2">
      <c r="A1019" t="s">
        <v>2300</v>
      </c>
      <c r="B1019" t="s">
        <v>2333</v>
      </c>
      <c r="C1019" t="s">
        <v>2334</v>
      </c>
      <c r="D1019" t="s">
        <v>27</v>
      </c>
      <c r="E1019" t="s">
        <v>684</v>
      </c>
      <c r="F1019" s="2" t="str">
        <f>HYPERLINK("http://www.otzar.org/book.asp?10955","אהל משה - 3 כר'")</f>
        <v>אהל משה - 3 כר'</v>
      </c>
    </row>
    <row r="1020" spans="1:6" x14ac:dyDescent="0.2">
      <c r="A1020" t="s">
        <v>2307</v>
      </c>
      <c r="B1020" t="s">
        <v>2335</v>
      </c>
      <c r="C1020" t="s">
        <v>1335</v>
      </c>
      <c r="D1020" t="s">
        <v>283</v>
      </c>
      <c r="E1020" t="s">
        <v>2336</v>
      </c>
      <c r="F1020" s="2" t="str">
        <f>HYPERLINK("http://www.otzar.org/book.asp?84132","אהל משה - 2 כר'")</f>
        <v>אהל משה - 2 כר'</v>
      </c>
    </row>
    <row r="1021" spans="1:6" x14ac:dyDescent="0.2">
      <c r="A1021" t="s">
        <v>2337</v>
      </c>
      <c r="B1021" t="s">
        <v>1750</v>
      </c>
      <c r="C1021" t="s">
        <v>68</v>
      </c>
      <c r="D1021" t="s">
        <v>14</v>
      </c>
      <c r="E1021" t="s">
        <v>2338</v>
      </c>
      <c r="F1021" s="2" t="str">
        <f>HYPERLINK("http://www.otzar.org/book.asp?156419","אהל משה - מעשרות")</f>
        <v>אהל משה - מעשרות</v>
      </c>
    </row>
    <row r="1022" spans="1:6" x14ac:dyDescent="0.2">
      <c r="A1022" t="s">
        <v>2304</v>
      </c>
      <c r="B1022" t="s">
        <v>2339</v>
      </c>
      <c r="C1022" t="s">
        <v>156</v>
      </c>
      <c r="D1022" t="s">
        <v>56</v>
      </c>
      <c r="E1022" t="s">
        <v>508</v>
      </c>
      <c r="F1022" s="2" t="str">
        <f>HYPERLINK("http://www.otzar.org/book.asp?102833","אהל משה")</f>
        <v>אהל משה</v>
      </c>
    </row>
    <row r="1023" spans="1:6" x14ac:dyDescent="0.2">
      <c r="A1023" t="s">
        <v>2304</v>
      </c>
      <c r="B1023" t="s">
        <v>2340</v>
      </c>
      <c r="C1023" t="s">
        <v>462</v>
      </c>
      <c r="D1023" t="s">
        <v>225</v>
      </c>
      <c r="E1023" t="s">
        <v>154</v>
      </c>
      <c r="F1023" s="2" t="str">
        <f>HYPERLINK("http://www.otzar.org/book.asp?108701","אהל משה")</f>
        <v>אהל משה</v>
      </c>
    </row>
    <row r="1024" spans="1:6" x14ac:dyDescent="0.2">
      <c r="A1024" t="s">
        <v>2304</v>
      </c>
      <c r="B1024" t="s">
        <v>2341</v>
      </c>
      <c r="C1024" t="s">
        <v>1374</v>
      </c>
      <c r="D1024" t="s">
        <v>27</v>
      </c>
      <c r="E1024" t="s">
        <v>325</v>
      </c>
      <c r="F1024" s="2" t="str">
        <f>HYPERLINK("http://www.otzar.org/book.asp?19152","אהל משה")</f>
        <v>אהל משה</v>
      </c>
    </row>
    <row r="1025" spans="1:6" x14ac:dyDescent="0.2">
      <c r="A1025" t="s">
        <v>2304</v>
      </c>
      <c r="B1025" t="s">
        <v>2342</v>
      </c>
      <c r="C1025" t="s">
        <v>454</v>
      </c>
      <c r="D1025" t="s">
        <v>52</v>
      </c>
      <c r="E1025" t="s">
        <v>144</v>
      </c>
      <c r="F1025" s="2" t="str">
        <f>HYPERLINK("http://www.otzar.org/book.asp?108144","אהל משה")</f>
        <v>אהל משה</v>
      </c>
    </row>
    <row r="1026" spans="1:6" x14ac:dyDescent="0.2">
      <c r="A1026" t="s">
        <v>2343</v>
      </c>
      <c r="B1026" t="s">
        <v>2344</v>
      </c>
      <c r="C1026" t="s">
        <v>37</v>
      </c>
      <c r="D1026" t="s">
        <v>412</v>
      </c>
      <c r="E1026" t="s">
        <v>158</v>
      </c>
      <c r="F1026" s="2" t="str">
        <f>HYPERLINK("http://www.otzar.org/book.asp?193164","אהל משה - 11 כר'")</f>
        <v>אהל משה - 11 כר'</v>
      </c>
    </row>
    <row r="1027" spans="1:6" x14ac:dyDescent="0.2">
      <c r="A1027" t="s">
        <v>2345</v>
      </c>
      <c r="B1027" t="s">
        <v>2346</v>
      </c>
      <c r="C1027" t="s">
        <v>20</v>
      </c>
      <c r="D1027" t="s">
        <v>2347</v>
      </c>
      <c r="E1027" t="s">
        <v>741</v>
      </c>
      <c r="F1027" s="2" t="str">
        <f>HYPERLINK("http://www.otzar.org/book.asp?6437","אהל נפתלי")</f>
        <v>אהל נפתלי</v>
      </c>
    </row>
    <row r="1028" spans="1:6" x14ac:dyDescent="0.2">
      <c r="A1028" t="s">
        <v>2345</v>
      </c>
      <c r="B1028" t="s">
        <v>2348</v>
      </c>
      <c r="C1028" t="s">
        <v>767</v>
      </c>
      <c r="D1028" t="s">
        <v>14</v>
      </c>
      <c r="E1028" t="s">
        <v>202</v>
      </c>
      <c r="F1028" s="2" t="str">
        <f>HYPERLINK("http://www.otzar.org/book.asp?161214","אהל נפתלי")</f>
        <v>אהל נפתלי</v>
      </c>
    </row>
    <row r="1029" spans="1:6" x14ac:dyDescent="0.2">
      <c r="A1029" t="s">
        <v>2345</v>
      </c>
      <c r="B1029" t="s">
        <v>2108</v>
      </c>
      <c r="C1029" t="s">
        <v>360</v>
      </c>
      <c r="D1029" t="s">
        <v>267</v>
      </c>
      <c r="F1029" s="2" t="str">
        <f>HYPERLINK("http://www.otzar.org/book.asp?63535","אהל נפתלי")</f>
        <v>אהל נפתלי</v>
      </c>
    </row>
    <row r="1030" spans="1:6" x14ac:dyDescent="0.2">
      <c r="A1030" t="s">
        <v>2345</v>
      </c>
      <c r="B1030" t="s">
        <v>2349</v>
      </c>
      <c r="C1030" t="s">
        <v>244</v>
      </c>
      <c r="D1030" t="s">
        <v>21</v>
      </c>
      <c r="E1030" t="s">
        <v>144</v>
      </c>
      <c r="F1030" s="2" t="str">
        <f>HYPERLINK("http://www.otzar.org/book.asp?197844","אהל נפתלי")</f>
        <v>אהל נפתלי</v>
      </c>
    </row>
    <row r="1031" spans="1:6" x14ac:dyDescent="0.2">
      <c r="A1031" t="s">
        <v>2350</v>
      </c>
      <c r="B1031" t="s">
        <v>2351</v>
      </c>
      <c r="C1031" t="s">
        <v>1160</v>
      </c>
      <c r="D1031" t="s">
        <v>14</v>
      </c>
      <c r="E1031" t="s">
        <v>604</v>
      </c>
      <c r="F1031" s="2" t="str">
        <f>HYPERLINK("http://www.otzar.org/book.asp?144713","אהל עולמים")</f>
        <v>אהל עולמים</v>
      </c>
    </row>
    <row r="1032" spans="1:6" x14ac:dyDescent="0.2">
      <c r="A1032" t="s">
        <v>2352</v>
      </c>
      <c r="B1032" t="s">
        <v>2353</v>
      </c>
      <c r="C1032" t="s">
        <v>422</v>
      </c>
      <c r="D1032" t="s">
        <v>52</v>
      </c>
      <c r="E1032" t="s">
        <v>803</v>
      </c>
      <c r="F1032" s="2" t="str">
        <f>HYPERLINK("http://www.otzar.org/book.asp?158763","אהל עראי")</f>
        <v>אהל עראי</v>
      </c>
    </row>
    <row r="1033" spans="1:6" x14ac:dyDescent="0.2">
      <c r="A1033" t="s">
        <v>2354</v>
      </c>
      <c r="B1033" t="s">
        <v>2124</v>
      </c>
      <c r="C1033" t="s">
        <v>133</v>
      </c>
      <c r="D1033" t="s">
        <v>2125</v>
      </c>
      <c r="E1033" t="s">
        <v>186</v>
      </c>
      <c r="F1033" s="2" t="str">
        <f>HYPERLINK("http://www.otzar.org/book.asp?172625","אהל פנחס - יומא, בכורות, ערכין, תמורה, כריתות")</f>
        <v>אהל פנחס - יומא, בכורות, ערכין, תמורה, כריתות</v>
      </c>
    </row>
    <row r="1034" spans="1:6" x14ac:dyDescent="0.2">
      <c r="A1034" t="s">
        <v>2355</v>
      </c>
      <c r="B1034" t="s">
        <v>2124</v>
      </c>
      <c r="C1034" t="s">
        <v>454</v>
      </c>
      <c r="D1034" t="s">
        <v>2125</v>
      </c>
      <c r="E1034" t="s">
        <v>186</v>
      </c>
      <c r="F1034" s="2" t="str">
        <f>HYPERLINK("http://www.otzar.org/book.asp?53730","אהל צבי - שבת")</f>
        <v>אהל צבי - שבת</v>
      </c>
    </row>
    <row r="1035" spans="1:6" x14ac:dyDescent="0.2">
      <c r="A1035" t="s">
        <v>2356</v>
      </c>
      <c r="B1035" t="s">
        <v>2357</v>
      </c>
      <c r="C1035" t="s">
        <v>585</v>
      </c>
      <c r="D1035" t="s">
        <v>27</v>
      </c>
      <c r="E1035" t="s">
        <v>474</v>
      </c>
      <c r="F1035" s="2" t="str">
        <f>HYPERLINK("http://www.otzar.org/book.asp?146813","אהל קדושים")</f>
        <v>אהל קדושים</v>
      </c>
    </row>
    <row r="1036" spans="1:6" x14ac:dyDescent="0.2">
      <c r="A1036" t="s">
        <v>2358</v>
      </c>
      <c r="B1036" t="s">
        <v>1105</v>
      </c>
      <c r="C1036" t="s">
        <v>151</v>
      </c>
      <c r="D1036" t="s">
        <v>14</v>
      </c>
      <c r="F1036" s="2" t="str">
        <f>HYPERLINK("http://www.otzar.org/book.asp?620311","אהל רא""ם")</f>
        <v>אהל רא"ם</v>
      </c>
    </row>
    <row r="1037" spans="1:6" x14ac:dyDescent="0.2">
      <c r="A1037" t="s">
        <v>2359</v>
      </c>
      <c r="B1037" t="s">
        <v>2360</v>
      </c>
      <c r="C1037" t="s">
        <v>71</v>
      </c>
      <c r="D1037" t="s">
        <v>90</v>
      </c>
      <c r="E1037" t="s">
        <v>202</v>
      </c>
      <c r="F1037" s="2" t="str">
        <f>HYPERLINK("http://www.otzar.org/book.asp?158870","אהל רבקה")</f>
        <v>אהל רבקה</v>
      </c>
    </row>
    <row r="1038" spans="1:6" x14ac:dyDescent="0.2">
      <c r="A1038" t="s">
        <v>2359</v>
      </c>
      <c r="B1038" t="s">
        <v>2361</v>
      </c>
      <c r="C1038" t="s">
        <v>334</v>
      </c>
      <c r="D1038" t="s">
        <v>2362</v>
      </c>
      <c r="E1038" t="s">
        <v>2363</v>
      </c>
      <c r="F1038" s="2" t="str">
        <f>HYPERLINK("http://www.otzar.org/book.asp?15618","אהל רבקה")</f>
        <v>אהל רבקה</v>
      </c>
    </row>
    <row r="1039" spans="1:6" x14ac:dyDescent="0.2">
      <c r="A1039" t="s">
        <v>2364</v>
      </c>
      <c r="B1039" t="s">
        <v>2365</v>
      </c>
      <c r="C1039" t="s">
        <v>1448</v>
      </c>
      <c r="D1039" t="s">
        <v>412</v>
      </c>
      <c r="E1039" t="s">
        <v>104</v>
      </c>
      <c r="F1039" s="2" t="str">
        <f>HYPERLINK("http://www.otzar.org/book.asp?84197","אהל רח""ל - 3 כר'")</f>
        <v>אהל רח"ל - 3 כר'</v>
      </c>
    </row>
    <row r="1040" spans="1:6" x14ac:dyDescent="0.2">
      <c r="A1040" t="s">
        <v>2366</v>
      </c>
      <c r="B1040" t="s">
        <v>1275</v>
      </c>
      <c r="C1040" t="s">
        <v>133</v>
      </c>
      <c r="D1040" t="s">
        <v>14</v>
      </c>
      <c r="E1040" t="s">
        <v>246</v>
      </c>
      <c r="F1040" s="2" t="str">
        <f>HYPERLINK("http://www.otzar.org/book.asp?174683","אהל רחל - 4 כר'")</f>
        <v>אהל רחל - 4 כר'</v>
      </c>
    </row>
    <row r="1041" spans="1:6" x14ac:dyDescent="0.2">
      <c r="A1041" t="s">
        <v>2367</v>
      </c>
      <c r="B1041" t="s">
        <v>2368</v>
      </c>
      <c r="C1041" t="s">
        <v>168</v>
      </c>
      <c r="D1041" t="s">
        <v>52</v>
      </c>
      <c r="E1041" t="s">
        <v>144</v>
      </c>
      <c r="F1041" s="2" t="str">
        <f>HYPERLINK("http://www.otzar.org/book.asp?61495","אהל רחל - פסחים, מכות, יומא")</f>
        <v>אהל רחל - פסחים, מכות, יומא</v>
      </c>
    </row>
    <row r="1042" spans="1:6" x14ac:dyDescent="0.2">
      <c r="A1042" t="s">
        <v>2369</v>
      </c>
      <c r="B1042" t="s">
        <v>2370</v>
      </c>
      <c r="C1042" t="s">
        <v>777</v>
      </c>
      <c r="D1042" t="s">
        <v>986</v>
      </c>
      <c r="E1042" t="s">
        <v>920</v>
      </c>
      <c r="F1042" s="2" t="str">
        <f>HYPERLINK("http://www.otzar.org/book.asp?300157","אהל רחל")</f>
        <v>אהל רחל</v>
      </c>
    </row>
    <row r="1043" spans="1:6" x14ac:dyDescent="0.2">
      <c r="A1043" t="s">
        <v>2369</v>
      </c>
      <c r="B1043" t="s">
        <v>2371</v>
      </c>
      <c r="C1043" t="s">
        <v>482</v>
      </c>
      <c r="D1043" t="s">
        <v>27</v>
      </c>
      <c r="E1043" t="s">
        <v>202</v>
      </c>
      <c r="F1043" s="2" t="str">
        <f>HYPERLINK("http://www.otzar.org/book.asp?15009","אהל רחל")</f>
        <v>אהל רחל</v>
      </c>
    </row>
    <row r="1044" spans="1:6" x14ac:dyDescent="0.2">
      <c r="A1044" t="s">
        <v>2369</v>
      </c>
      <c r="B1044" t="s">
        <v>2372</v>
      </c>
      <c r="C1044" t="s">
        <v>1202</v>
      </c>
      <c r="D1044" t="s">
        <v>2373</v>
      </c>
      <c r="E1044" t="s">
        <v>234</v>
      </c>
      <c r="F1044" s="2" t="str">
        <f>HYPERLINK("http://www.otzar.org/book.asp?474","אהל רחל")</f>
        <v>אהל רחל</v>
      </c>
    </row>
    <row r="1045" spans="1:6" x14ac:dyDescent="0.2">
      <c r="A1045" t="s">
        <v>2369</v>
      </c>
      <c r="B1045" t="s">
        <v>2374</v>
      </c>
      <c r="C1045" t="s">
        <v>146</v>
      </c>
      <c r="D1045" t="s">
        <v>2375</v>
      </c>
      <c r="E1045" t="s">
        <v>15</v>
      </c>
      <c r="F1045" s="2" t="str">
        <f>HYPERLINK("http://www.otzar.org/book.asp?153289","אהל רחל")</f>
        <v>אהל רחל</v>
      </c>
    </row>
    <row r="1046" spans="1:6" x14ac:dyDescent="0.2">
      <c r="A1046" t="s">
        <v>2369</v>
      </c>
      <c r="B1046" t="s">
        <v>2376</v>
      </c>
      <c r="C1046" t="s">
        <v>2040</v>
      </c>
      <c r="D1046" t="s">
        <v>544</v>
      </c>
      <c r="E1046" t="s">
        <v>579</v>
      </c>
      <c r="F1046" s="2" t="str">
        <f>HYPERLINK("http://www.otzar.org/book.asp?146709","אהל רחל")</f>
        <v>אהל רחל</v>
      </c>
    </row>
    <row r="1047" spans="1:6" x14ac:dyDescent="0.2">
      <c r="A1047" t="s">
        <v>2377</v>
      </c>
      <c r="B1047" t="s">
        <v>2124</v>
      </c>
      <c r="C1047" t="s">
        <v>189</v>
      </c>
      <c r="D1047" t="s">
        <v>2125</v>
      </c>
      <c r="E1047" t="s">
        <v>186</v>
      </c>
      <c r="F1047" s="2" t="str">
        <f>HYPERLINK("http://www.otzar.org/book.asp?53728","אהל רמ""א - 3 כר'")</f>
        <v>אהל רמ"א - 3 כר'</v>
      </c>
    </row>
    <row r="1048" spans="1:6" x14ac:dyDescent="0.2">
      <c r="A1048" t="s">
        <v>2378</v>
      </c>
      <c r="B1048" t="s">
        <v>2124</v>
      </c>
      <c r="C1048" t="s">
        <v>454</v>
      </c>
      <c r="D1048" t="s">
        <v>2125</v>
      </c>
      <c r="E1048" t="s">
        <v>186</v>
      </c>
      <c r="F1048" s="2" t="str">
        <f>HYPERLINK("http://www.otzar.org/book.asp?53729","אהל רמ""ח - בבא מציעא")</f>
        <v>אהל רמ"ח - בבא מציעא</v>
      </c>
    </row>
    <row r="1049" spans="1:6" x14ac:dyDescent="0.2">
      <c r="A1049" t="s">
        <v>2379</v>
      </c>
      <c r="B1049" t="s">
        <v>206</v>
      </c>
      <c r="C1049" t="s">
        <v>411</v>
      </c>
      <c r="D1049" t="s">
        <v>52</v>
      </c>
      <c r="E1049" t="s">
        <v>104</v>
      </c>
      <c r="F1049" s="2" t="str">
        <f>HYPERLINK("http://www.otzar.org/book.asp?175600","אהל שולמית")</f>
        <v>אהל שולמית</v>
      </c>
    </row>
    <row r="1050" spans="1:6" x14ac:dyDescent="0.2">
      <c r="A1050" t="s">
        <v>2380</v>
      </c>
      <c r="B1050" t="s">
        <v>206</v>
      </c>
      <c r="C1050" t="s">
        <v>422</v>
      </c>
      <c r="D1050" t="s">
        <v>14</v>
      </c>
      <c r="E1050" t="s">
        <v>241</v>
      </c>
      <c r="F1050" s="2" t="str">
        <f>HYPERLINK("http://www.otzar.org/book.asp?62684","אהל שיכן באדם")</f>
        <v>אהל שיכן באדם</v>
      </c>
    </row>
    <row r="1051" spans="1:6" x14ac:dyDescent="0.2">
      <c r="A1051" t="s">
        <v>2381</v>
      </c>
      <c r="B1051" t="s">
        <v>2382</v>
      </c>
      <c r="C1051" t="s">
        <v>151</v>
      </c>
      <c r="D1051" t="s">
        <v>2383</v>
      </c>
      <c r="E1051" t="s">
        <v>246</v>
      </c>
      <c r="F1051" s="2" t="str">
        <f>HYPERLINK("http://www.otzar.org/book.asp?611504","אהל שלמה - חנוכה")</f>
        <v>אהל שלמה - חנוכה</v>
      </c>
    </row>
    <row r="1052" spans="1:6" x14ac:dyDescent="0.2">
      <c r="A1052" t="s">
        <v>2384</v>
      </c>
      <c r="B1052" t="s">
        <v>2385</v>
      </c>
      <c r="C1052" t="s">
        <v>506</v>
      </c>
      <c r="D1052" t="s">
        <v>1637</v>
      </c>
      <c r="E1052" t="s">
        <v>474</v>
      </c>
      <c r="F1052" s="2" t="str">
        <f>HYPERLINK("http://www.otzar.org/book.asp?300155","אהל שלמה - 2 כר'")</f>
        <v>אהל שלמה - 2 כר'</v>
      </c>
    </row>
    <row r="1053" spans="1:6" x14ac:dyDescent="0.2">
      <c r="A1053" t="s">
        <v>2384</v>
      </c>
      <c r="B1053" t="s">
        <v>2386</v>
      </c>
      <c r="C1053" t="s">
        <v>2387</v>
      </c>
      <c r="D1053" t="s">
        <v>225</v>
      </c>
      <c r="E1053" t="s">
        <v>2388</v>
      </c>
      <c r="F1053" s="2" t="str">
        <f>HYPERLINK("http://www.otzar.org/book.asp?25092","אהל שלמה - 2 כר'")</f>
        <v>אהל שלמה - 2 כר'</v>
      </c>
    </row>
    <row r="1054" spans="1:6" x14ac:dyDescent="0.2">
      <c r="A1054" t="s">
        <v>2389</v>
      </c>
      <c r="B1054" t="s">
        <v>2390</v>
      </c>
      <c r="C1054" t="s">
        <v>445</v>
      </c>
      <c r="D1054" t="s">
        <v>56</v>
      </c>
      <c r="E1054" t="s">
        <v>2391</v>
      </c>
      <c r="F1054" s="2" t="str">
        <f>HYPERLINK("http://www.otzar.org/book.asp?104653","אהל שם")</f>
        <v>אהל שם</v>
      </c>
    </row>
    <row r="1055" spans="1:6" x14ac:dyDescent="0.2">
      <c r="A1055" t="s">
        <v>2392</v>
      </c>
      <c r="B1055" t="s">
        <v>2124</v>
      </c>
      <c r="C1055" t="s">
        <v>146</v>
      </c>
      <c r="D1055" t="s">
        <v>2125</v>
      </c>
      <c r="E1055" t="s">
        <v>144</v>
      </c>
      <c r="F1055" s="2" t="str">
        <f>HYPERLINK("http://www.otzar.org/book.asp?53725","אהל שמואל - עירובין")</f>
        <v>אהל שמואל - עירובין</v>
      </c>
    </row>
    <row r="1056" spans="1:6" x14ac:dyDescent="0.2">
      <c r="A1056" t="s">
        <v>2393</v>
      </c>
      <c r="B1056" t="s">
        <v>2394</v>
      </c>
      <c r="C1056" t="s">
        <v>20</v>
      </c>
      <c r="D1056" t="s">
        <v>90</v>
      </c>
      <c r="E1056" t="s">
        <v>144</v>
      </c>
      <c r="F1056" s="2" t="str">
        <f>HYPERLINK("http://www.otzar.org/book.asp?193403","אהל שמואל")</f>
        <v>אהל שמואל</v>
      </c>
    </row>
    <row r="1057" spans="1:6" x14ac:dyDescent="0.2">
      <c r="A1057" t="s">
        <v>2395</v>
      </c>
      <c r="B1057" t="s">
        <v>2396</v>
      </c>
      <c r="C1057" t="s">
        <v>20</v>
      </c>
      <c r="D1057" t="s">
        <v>1076</v>
      </c>
      <c r="E1057" t="s">
        <v>158</v>
      </c>
      <c r="F1057" s="2" t="str">
        <f>HYPERLINK("http://www.otzar.org/book.asp?22914","אהל שמחה")</f>
        <v>אהל שמחה</v>
      </c>
    </row>
    <row r="1058" spans="1:6" x14ac:dyDescent="0.2">
      <c r="A1058" t="s">
        <v>2397</v>
      </c>
      <c r="B1058" t="s">
        <v>2398</v>
      </c>
      <c r="C1058" t="s">
        <v>1570</v>
      </c>
      <c r="D1058" t="s">
        <v>14</v>
      </c>
      <c r="E1058" t="s">
        <v>226</v>
      </c>
      <c r="F1058" s="2" t="str">
        <f>HYPERLINK("http://www.otzar.org/book.asp?8042","אהל שמעון - 2 כר'")</f>
        <v>אהל שמעון - 2 כר'</v>
      </c>
    </row>
    <row r="1059" spans="1:6" x14ac:dyDescent="0.2">
      <c r="A1059" t="s">
        <v>2399</v>
      </c>
      <c r="B1059" t="s">
        <v>1750</v>
      </c>
      <c r="C1059" t="s">
        <v>466</v>
      </c>
      <c r="D1059" t="s">
        <v>14</v>
      </c>
      <c r="E1059" t="s">
        <v>202</v>
      </c>
      <c r="F1059" s="2" t="str">
        <f>HYPERLINK("http://www.otzar.org/book.asp?61474","אהל שרה לאה")</f>
        <v>אהל שרה לאה</v>
      </c>
    </row>
    <row r="1060" spans="1:6" x14ac:dyDescent="0.2">
      <c r="A1060" t="s">
        <v>2400</v>
      </c>
      <c r="B1060" t="s">
        <v>2401</v>
      </c>
      <c r="C1060" t="s">
        <v>649</v>
      </c>
      <c r="D1060" t="s">
        <v>9</v>
      </c>
      <c r="E1060" t="s">
        <v>15</v>
      </c>
      <c r="F1060" s="2" t="str">
        <f>HYPERLINK("http://www.otzar.org/book.asp?17120","אהל שרה")</f>
        <v>אהל שרה</v>
      </c>
    </row>
    <row r="1061" spans="1:6" x14ac:dyDescent="0.2">
      <c r="A1061" t="s">
        <v>2402</v>
      </c>
      <c r="B1061" t="s">
        <v>2403</v>
      </c>
      <c r="C1061" t="s">
        <v>20</v>
      </c>
      <c r="D1061" t="s">
        <v>90</v>
      </c>
      <c r="E1061" t="s">
        <v>2091</v>
      </c>
      <c r="F1061" s="2" t="str">
        <f>HYPERLINK("http://www.otzar.org/book.asp?160904","אהל שרה - הלכות ערובי תבשילין")</f>
        <v>אהל שרה - הלכות ערובי תבשילין</v>
      </c>
    </row>
    <row r="1062" spans="1:6" x14ac:dyDescent="0.2">
      <c r="A1062" t="s">
        <v>2400</v>
      </c>
      <c r="B1062" t="s">
        <v>1005</v>
      </c>
      <c r="C1062" t="s">
        <v>411</v>
      </c>
      <c r="D1062" t="s">
        <v>90</v>
      </c>
      <c r="E1062" t="s">
        <v>202</v>
      </c>
      <c r="F1062" s="2" t="str">
        <f>HYPERLINK("http://www.otzar.org/book.asp?195747","אהל שרה")</f>
        <v>אהל שרה</v>
      </c>
    </row>
    <row r="1063" spans="1:6" x14ac:dyDescent="0.2">
      <c r="A1063" t="s">
        <v>2404</v>
      </c>
      <c r="B1063" t="s">
        <v>1750</v>
      </c>
      <c r="C1063" t="s">
        <v>2405</v>
      </c>
      <c r="D1063" t="s">
        <v>2406</v>
      </c>
      <c r="E1063" t="s">
        <v>202</v>
      </c>
      <c r="F1063" s="2" t="str">
        <f>HYPERLINK("http://www.otzar.org/book.asp?105941","אהל תורה &lt;ברנוביץ&gt; - 4 כר'")</f>
        <v>אהל תורה &lt;ברנוביץ&gt; - 4 כר'</v>
      </c>
    </row>
    <row r="1064" spans="1:6" x14ac:dyDescent="0.2">
      <c r="A1064" t="s">
        <v>2407</v>
      </c>
      <c r="B1064" t="s">
        <v>1750</v>
      </c>
      <c r="C1064" t="s">
        <v>2408</v>
      </c>
      <c r="D1064" t="s">
        <v>27</v>
      </c>
      <c r="E1064" t="s">
        <v>202</v>
      </c>
      <c r="F1064" s="2" t="str">
        <f>HYPERLINK("http://www.otzar.org/book.asp?17121","אהל תורה &lt;ירושלים&gt;")</f>
        <v>אהל תורה &lt;ירושלים&gt;</v>
      </c>
    </row>
    <row r="1065" spans="1:6" x14ac:dyDescent="0.2">
      <c r="A1065" t="s">
        <v>2409</v>
      </c>
      <c r="B1065" t="s">
        <v>1750</v>
      </c>
      <c r="C1065" t="s">
        <v>2410</v>
      </c>
      <c r="D1065" t="s">
        <v>1117</v>
      </c>
      <c r="E1065" t="s">
        <v>202</v>
      </c>
      <c r="F1065" s="2" t="str">
        <f>HYPERLINK("http://www.otzar.org/book.asp?17123","אהל תורה &lt;קראקא&gt;")</f>
        <v>אהל תורה &lt;קראקא&gt;</v>
      </c>
    </row>
    <row r="1066" spans="1:6" x14ac:dyDescent="0.2">
      <c r="A1066" t="s">
        <v>2411</v>
      </c>
      <c r="B1066" t="s">
        <v>2396</v>
      </c>
      <c r="C1066" t="s">
        <v>68</v>
      </c>
      <c r="D1066" t="s">
        <v>1076</v>
      </c>
      <c r="E1066" t="s">
        <v>786</v>
      </c>
      <c r="F1066" s="2" t="str">
        <f>HYPERLINK("http://www.otzar.org/book.asp?617288","אהל תורה בסוגיות הש""ס - 2 כר'")</f>
        <v>אהל תורה בסוגיות הש"ס - 2 כר'</v>
      </c>
    </row>
    <row r="1067" spans="1:6" x14ac:dyDescent="0.2">
      <c r="A1067" t="s">
        <v>2412</v>
      </c>
      <c r="B1067" t="s">
        <v>2413</v>
      </c>
      <c r="C1067" t="s">
        <v>17</v>
      </c>
      <c r="D1067" t="s">
        <v>14</v>
      </c>
      <c r="E1067" t="s">
        <v>384</v>
      </c>
      <c r="F1067" s="2" t="str">
        <f>HYPERLINK("http://www.otzar.org/book.asp?60102","אהל תורה - 4 כר'")</f>
        <v>אהל תורה - 4 כר'</v>
      </c>
    </row>
    <row r="1068" spans="1:6" x14ac:dyDescent="0.2">
      <c r="A1068" t="s">
        <v>2414</v>
      </c>
      <c r="B1068" t="s">
        <v>2415</v>
      </c>
      <c r="C1068" t="s">
        <v>533</v>
      </c>
      <c r="D1068" t="s">
        <v>1180</v>
      </c>
      <c r="E1068" t="s">
        <v>158</v>
      </c>
      <c r="F1068" s="2" t="str">
        <f>HYPERLINK("http://www.otzar.org/book.asp?172361","אהל תורה - בראשית, שמות")</f>
        <v>אהל תורה - בראשית, שמות</v>
      </c>
    </row>
    <row r="1069" spans="1:6" x14ac:dyDescent="0.2">
      <c r="A1069" t="s">
        <v>2416</v>
      </c>
      <c r="B1069" t="s">
        <v>2417</v>
      </c>
      <c r="C1069" t="s">
        <v>496</v>
      </c>
      <c r="D1069" t="s">
        <v>726</v>
      </c>
      <c r="E1069" t="s">
        <v>2418</v>
      </c>
      <c r="F1069" s="2" t="str">
        <f>HYPERLINK("http://www.otzar.org/book.asp?10286","אהל תורה - 2 כר'")</f>
        <v>אהל תורה - 2 כר'</v>
      </c>
    </row>
    <row r="1070" spans="1:6" x14ac:dyDescent="0.2">
      <c r="A1070" t="s">
        <v>2419</v>
      </c>
      <c r="B1070" t="s">
        <v>2420</v>
      </c>
      <c r="C1070" t="s">
        <v>767</v>
      </c>
      <c r="D1070" t="s">
        <v>14</v>
      </c>
      <c r="E1070" t="s">
        <v>158</v>
      </c>
      <c r="F1070" s="2" t="str">
        <f>HYPERLINK("http://www.otzar.org/book.asp?195183","אהל תורה")</f>
        <v>אהל תורה</v>
      </c>
    </row>
    <row r="1071" spans="1:6" x14ac:dyDescent="0.2">
      <c r="A1071" t="s">
        <v>2419</v>
      </c>
      <c r="B1071" t="s">
        <v>1750</v>
      </c>
      <c r="C1071" t="s">
        <v>725</v>
      </c>
      <c r="D1071" t="s">
        <v>27</v>
      </c>
      <c r="E1071" t="s">
        <v>202</v>
      </c>
      <c r="F1071" s="2" t="str">
        <f>HYPERLINK("http://www.otzar.org/book.asp?103966","אהל תורה")</f>
        <v>אהל תורה</v>
      </c>
    </row>
    <row r="1072" spans="1:6" x14ac:dyDescent="0.2">
      <c r="A1072" t="s">
        <v>2416</v>
      </c>
      <c r="B1072" t="s">
        <v>2396</v>
      </c>
      <c r="C1072" t="s">
        <v>68</v>
      </c>
      <c r="D1072" t="s">
        <v>1076</v>
      </c>
      <c r="E1072" t="s">
        <v>144</v>
      </c>
      <c r="F1072" s="2" t="str">
        <f>HYPERLINK("http://www.otzar.org/book.asp?165281","אהל תורה - 2 כר'")</f>
        <v>אהל תורה - 2 כר'</v>
      </c>
    </row>
    <row r="1073" spans="1:6" x14ac:dyDescent="0.2">
      <c r="A1073" t="s">
        <v>2421</v>
      </c>
      <c r="B1073" t="s">
        <v>2422</v>
      </c>
      <c r="C1073" t="s">
        <v>919</v>
      </c>
      <c r="D1073" t="s">
        <v>118</v>
      </c>
      <c r="F1073" s="2" t="str">
        <f>HYPERLINK("http://www.otzar.org/book.asp?156793","אהלה של תורה - 3 כר'")</f>
        <v>אהלה של תורה - 3 כר'</v>
      </c>
    </row>
    <row r="1074" spans="1:6" x14ac:dyDescent="0.2">
      <c r="A1074" t="s">
        <v>2423</v>
      </c>
      <c r="B1074" t="s">
        <v>2424</v>
      </c>
      <c r="C1074" t="s">
        <v>366</v>
      </c>
      <c r="D1074" t="s">
        <v>52</v>
      </c>
      <c r="E1074" t="s">
        <v>202</v>
      </c>
      <c r="F1074" s="2" t="str">
        <f>HYPERLINK("http://www.otzar.org/book.asp?629704","אהלה של תורה - 8 כר'")</f>
        <v>אהלה של תורה - 8 כר'</v>
      </c>
    </row>
    <row r="1075" spans="1:6" x14ac:dyDescent="0.2">
      <c r="A1075" t="s">
        <v>2425</v>
      </c>
      <c r="B1075" t="s">
        <v>2426</v>
      </c>
      <c r="C1075" t="s">
        <v>20</v>
      </c>
      <c r="D1075" t="s">
        <v>2285</v>
      </c>
      <c r="E1075" t="s">
        <v>186</v>
      </c>
      <c r="F1075" s="2" t="str">
        <f>HYPERLINK("http://www.otzar.org/book.asp?197161","אהלה של תורה - 4 כר'")</f>
        <v>אהלה של תורה - 4 כר'</v>
      </c>
    </row>
    <row r="1076" spans="1:6" x14ac:dyDescent="0.2">
      <c r="A1076" t="s">
        <v>2427</v>
      </c>
      <c r="B1076" t="s">
        <v>2428</v>
      </c>
      <c r="C1076" t="s">
        <v>366</v>
      </c>
      <c r="D1076" t="s">
        <v>2285</v>
      </c>
      <c r="F1076" s="2" t="str">
        <f>HYPERLINK("http://www.otzar.org/book.asp?613954","אהלה של תורה - שבת")</f>
        <v>אהלה של תורה - שבת</v>
      </c>
    </row>
    <row r="1077" spans="1:6" x14ac:dyDescent="0.2">
      <c r="A1077" t="s">
        <v>2429</v>
      </c>
      <c r="B1077" t="s">
        <v>2430</v>
      </c>
      <c r="C1077" t="s">
        <v>1570</v>
      </c>
      <c r="D1077" t="s">
        <v>52</v>
      </c>
      <c r="E1077" t="s">
        <v>202</v>
      </c>
      <c r="F1077" s="2" t="str">
        <f>HYPERLINK("http://www.otzar.org/book.asp?614552","אהלה של תורה - טז")</f>
        <v>אהלה של תורה - טז</v>
      </c>
    </row>
    <row r="1078" spans="1:6" x14ac:dyDescent="0.2">
      <c r="A1078" t="s">
        <v>2431</v>
      </c>
      <c r="B1078" t="s">
        <v>2432</v>
      </c>
      <c r="C1078" t="s">
        <v>51</v>
      </c>
      <c r="D1078" t="s">
        <v>367</v>
      </c>
      <c r="E1078" t="s">
        <v>202</v>
      </c>
      <c r="F1078" s="2" t="str">
        <f>HYPERLINK("http://www.otzar.org/book.asp?189801","אהלה של תורה - 2 כר'")</f>
        <v>אהלה של תורה - 2 כר'</v>
      </c>
    </row>
    <row r="1079" spans="1:6" x14ac:dyDescent="0.2">
      <c r="A1079" t="s">
        <v>2433</v>
      </c>
      <c r="B1079" t="s">
        <v>2434</v>
      </c>
      <c r="C1079" t="s">
        <v>189</v>
      </c>
      <c r="D1079" t="s">
        <v>14</v>
      </c>
      <c r="E1079" t="s">
        <v>202</v>
      </c>
      <c r="F1079" s="2" t="str">
        <f>HYPERLINK("http://www.otzar.org/book.asp?189795","אהלה של תורה - 19 כר'")</f>
        <v>אהלה של תורה - 19 כר'</v>
      </c>
    </row>
    <row r="1080" spans="1:6" x14ac:dyDescent="0.2">
      <c r="A1080" t="s">
        <v>2435</v>
      </c>
      <c r="B1080" t="s">
        <v>2436</v>
      </c>
      <c r="C1080" t="s">
        <v>454</v>
      </c>
      <c r="D1080" t="s">
        <v>52</v>
      </c>
      <c r="E1080" t="s">
        <v>241</v>
      </c>
      <c r="F1080" s="2" t="str">
        <f>HYPERLINK("http://www.otzar.org/book.asp?174232","אהלי אברהם")</f>
        <v>אהלי אברהם</v>
      </c>
    </row>
    <row r="1081" spans="1:6" x14ac:dyDescent="0.2">
      <c r="A1081" t="s">
        <v>2437</v>
      </c>
      <c r="B1081" t="s">
        <v>2438</v>
      </c>
      <c r="C1081" t="s">
        <v>2439</v>
      </c>
      <c r="D1081" t="s">
        <v>2440</v>
      </c>
      <c r="E1081" t="s">
        <v>2441</v>
      </c>
      <c r="F1081" s="2" t="str">
        <f>HYPERLINK("http://www.otzar.org/book.asp?19159","אהלי אהרן - 2 כר'")</f>
        <v>אהלי אהרן - 2 כר'</v>
      </c>
    </row>
    <row r="1082" spans="1:6" x14ac:dyDescent="0.2">
      <c r="A1082" t="s">
        <v>2442</v>
      </c>
      <c r="B1082" t="s">
        <v>2443</v>
      </c>
      <c r="C1082" t="s">
        <v>133</v>
      </c>
      <c r="D1082" t="s">
        <v>52</v>
      </c>
      <c r="E1082" t="s">
        <v>15</v>
      </c>
      <c r="F1082" s="2" t="str">
        <f>HYPERLINK("http://www.otzar.org/book.asp?173475","אהלי איש")</f>
        <v>אהלי איש</v>
      </c>
    </row>
    <row r="1083" spans="1:6" x14ac:dyDescent="0.2">
      <c r="A1083" t="s">
        <v>2444</v>
      </c>
      <c r="B1083" t="s">
        <v>2445</v>
      </c>
      <c r="C1083" t="s">
        <v>2446</v>
      </c>
      <c r="D1083" t="s">
        <v>52</v>
      </c>
      <c r="E1083" t="s">
        <v>803</v>
      </c>
      <c r="F1083" s="2" t="str">
        <f>HYPERLINK("http://www.otzar.org/book.asp?61789","אהלי בנימין &lt;איזהו נשך והלכות ריבית&gt;")</f>
        <v>אהלי בנימין &lt;איזהו נשך והלכות ריבית&gt;</v>
      </c>
    </row>
    <row r="1084" spans="1:6" x14ac:dyDescent="0.2">
      <c r="A1084" t="s">
        <v>2447</v>
      </c>
      <c r="B1084" t="s">
        <v>2448</v>
      </c>
      <c r="C1084" t="s">
        <v>13</v>
      </c>
      <c r="D1084" t="s">
        <v>52</v>
      </c>
      <c r="F1084" s="2" t="str">
        <f>HYPERLINK("http://www.otzar.org/book.asp?150958","אהלי חיים")</f>
        <v>אהלי חיים</v>
      </c>
    </row>
    <row r="1085" spans="1:6" x14ac:dyDescent="0.2">
      <c r="A1085" t="s">
        <v>2449</v>
      </c>
      <c r="B1085" t="s">
        <v>2450</v>
      </c>
      <c r="C1085" t="s">
        <v>775</v>
      </c>
      <c r="D1085" t="s">
        <v>14</v>
      </c>
      <c r="E1085" t="s">
        <v>148</v>
      </c>
      <c r="F1085" s="2" t="str">
        <f>HYPERLINK("http://www.otzar.org/book.asp?172745","אהלי טהר - 2 כר'")</f>
        <v>אהלי טהר - 2 כר'</v>
      </c>
    </row>
    <row r="1086" spans="1:6" x14ac:dyDescent="0.2">
      <c r="A1086" t="s">
        <v>2451</v>
      </c>
      <c r="B1086" t="s">
        <v>2452</v>
      </c>
      <c r="C1086" t="s">
        <v>17</v>
      </c>
      <c r="D1086" t="s">
        <v>657</v>
      </c>
      <c r="E1086" t="s">
        <v>148</v>
      </c>
      <c r="F1086" s="2" t="str">
        <f>HYPERLINK("http://www.otzar.org/book.asp?63616","אהלי טהרה")</f>
        <v>אהלי טהרה</v>
      </c>
    </row>
    <row r="1087" spans="1:6" x14ac:dyDescent="0.2">
      <c r="A1087" t="s">
        <v>2453</v>
      </c>
      <c r="B1087" t="s">
        <v>2454</v>
      </c>
      <c r="C1087" t="s">
        <v>2455</v>
      </c>
      <c r="D1087" t="s">
        <v>76</v>
      </c>
      <c r="E1087" t="s">
        <v>2135</v>
      </c>
      <c r="F1087" s="2" t="str">
        <f>HYPERLINK("http://www.otzar.org/book.asp?17124","אהלי יאודה")</f>
        <v>אהלי יאודה</v>
      </c>
    </row>
    <row r="1088" spans="1:6" x14ac:dyDescent="0.2">
      <c r="A1088" t="s">
        <v>2456</v>
      </c>
      <c r="B1088" t="s">
        <v>2457</v>
      </c>
      <c r="C1088" t="s">
        <v>168</v>
      </c>
      <c r="D1088" t="s">
        <v>2458</v>
      </c>
      <c r="E1088" t="s">
        <v>508</v>
      </c>
      <c r="F1088" s="2" t="str">
        <f>HYPERLINK("http://www.otzar.org/book.asp?25457","אהלי יהודה - 2 כר'")</f>
        <v>אהלי יהודה - 2 כר'</v>
      </c>
    </row>
    <row r="1089" spans="1:6" x14ac:dyDescent="0.2">
      <c r="A1089" t="s">
        <v>2459</v>
      </c>
      <c r="B1089" t="s">
        <v>2460</v>
      </c>
      <c r="C1089" t="s">
        <v>96</v>
      </c>
      <c r="D1089" t="s">
        <v>2461</v>
      </c>
      <c r="E1089" t="s">
        <v>104</v>
      </c>
      <c r="F1089" s="2" t="str">
        <f>HYPERLINK("http://www.otzar.org/book.asp?15819","אהלי יהודה")</f>
        <v>אהלי יהודה</v>
      </c>
    </row>
    <row r="1090" spans="1:6" x14ac:dyDescent="0.2">
      <c r="A1090" t="s">
        <v>2459</v>
      </c>
      <c r="B1090" t="s">
        <v>2462</v>
      </c>
      <c r="C1090" t="s">
        <v>306</v>
      </c>
      <c r="D1090" t="s">
        <v>27</v>
      </c>
      <c r="E1090" t="s">
        <v>2463</v>
      </c>
      <c r="F1090" s="2" t="str">
        <f>HYPERLINK("http://www.otzar.org/book.asp?100234","אהלי יהודה")</f>
        <v>אהלי יהודה</v>
      </c>
    </row>
    <row r="1091" spans="1:6" x14ac:dyDescent="0.2">
      <c r="A1091" t="s">
        <v>2459</v>
      </c>
      <c r="B1091" t="s">
        <v>2464</v>
      </c>
      <c r="C1091" t="s">
        <v>2465</v>
      </c>
      <c r="D1091" t="s">
        <v>212</v>
      </c>
      <c r="E1091" t="s">
        <v>43</v>
      </c>
      <c r="F1091" s="2" t="str">
        <f>HYPERLINK("http://www.otzar.org/book.asp?53272","אהלי יהודה")</f>
        <v>אהלי יהודה</v>
      </c>
    </row>
    <row r="1092" spans="1:6" x14ac:dyDescent="0.2">
      <c r="A1092" t="s">
        <v>2466</v>
      </c>
      <c r="B1092" t="s">
        <v>2467</v>
      </c>
      <c r="C1092" t="s">
        <v>411</v>
      </c>
      <c r="D1092" t="s">
        <v>2468</v>
      </c>
      <c r="E1092" t="s">
        <v>15</v>
      </c>
      <c r="F1092" s="2" t="str">
        <f>HYPERLINK("http://www.otzar.org/book.asp?606301","אהלי יעקב - 3 כר'")</f>
        <v>אהלי יעקב - 3 כר'</v>
      </c>
    </row>
    <row r="1093" spans="1:6" x14ac:dyDescent="0.2">
      <c r="A1093" t="s">
        <v>2466</v>
      </c>
      <c r="B1093" t="s">
        <v>2469</v>
      </c>
      <c r="C1093" t="s">
        <v>20</v>
      </c>
      <c r="D1093" t="s">
        <v>147</v>
      </c>
      <c r="E1093" t="s">
        <v>872</v>
      </c>
      <c r="F1093" s="2" t="str">
        <f>HYPERLINK("http://www.otzar.org/book.asp?172552","אהלי יעקב - 3 כר'")</f>
        <v>אהלי יעקב - 3 כר'</v>
      </c>
    </row>
    <row r="1094" spans="1:6" x14ac:dyDescent="0.2">
      <c r="A1094" t="s">
        <v>2470</v>
      </c>
      <c r="B1094" t="s">
        <v>206</v>
      </c>
      <c r="C1094" t="s">
        <v>146</v>
      </c>
      <c r="D1094" t="s">
        <v>14</v>
      </c>
      <c r="E1094" t="s">
        <v>144</v>
      </c>
      <c r="F1094" s="2" t="str">
        <f>HYPERLINK("http://www.otzar.org/book.asp?615586","אהלי יעקב - 5 כר'")</f>
        <v>אהלי יעקב - 5 כר'</v>
      </c>
    </row>
    <row r="1095" spans="1:6" x14ac:dyDescent="0.2">
      <c r="A1095" t="s">
        <v>2471</v>
      </c>
      <c r="B1095" t="s">
        <v>2472</v>
      </c>
      <c r="C1095" t="s">
        <v>13</v>
      </c>
      <c r="D1095" t="s">
        <v>14</v>
      </c>
      <c r="E1095" t="s">
        <v>144</v>
      </c>
      <c r="F1095" s="2" t="str">
        <f>HYPERLINK("http://www.otzar.org/book.asp?182807","אהלי יעקב - 2 כר'")</f>
        <v>אהלי יעקב - 2 כר'</v>
      </c>
    </row>
    <row r="1096" spans="1:6" x14ac:dyDescent="0.2">
      <c r="A1096" t="s">
        <v>2473</v>
      </c>
      <c r="B1096" t="s">
        <v>2474</v>
      </c>
      <c r="C1096" t="s">
        <v>943</v>
      </c>
      <c r="D1096" t="s">
        <v>1279</v>
      </c>
      <c r="E1096" t="s">
        <v>10</v>
      </c>
      <c r="F1096" s="2" t="str">
        <f>HYPERLINK("http://www.otzar.org/book.asp?103948","אהלי יעקב")</f>
        <v>אהלי יעקב</v>
      </c>
    </row>
    <row r="1097" spans="1:6" x14ac:dyDescent="0.2">
      <c r="A1097" t="s">
        <v>2475</v>
      </c>
      <c r="B1097" t="s">
        <v>2476</v>
      </c>
      <c r="C1097" t="s">
        <v>133</v>
      </c>
      <c r="D1097" t="s">
        <v>14</v>
      </c>
      <c r="E1097" t="s">
        <v>130</v>
      </c>
      <c r="F1097" s="2" t="str">
        <f>HYPERLINK("http://www.otzar.org/book.asp?175950","אהלי יעקב - 4 כר'")</f>
        <v>אהלי יעקב - 4 כר'</v>
      </c>
    </row>
    <row r="1098" spans="1:6" x14ac:dyDescent="0.2">
      <c r="A1098" t="s">
        <v>2477</v>
      </c>
      <c r="B1098" t="s">
        <v>2478</v>
      </c>
      <c r="C1098" t="s">
        <v>37</v>
      </c>
      <c r="D1098" t="s">
        <v>14</v>
      </c>
      <c r="E1098" t="s">
        <v>144</v>
      </c>
      <c r="F1098" s="2" t="str">
        <f>HYPERLINK("http://www.otzar.org/book.asp?192867","אהלי יעקב - שבת")</f>
        <v>אהלי יעקב - שבת</v>
      </c>
    </row>
    <row r="1099" spans="1:6" x14ac:dyDescent="0.2">
      <c r="A1099" t="s">
        <v>2473</v>
      </c>
      <c r="B1099" t="s">
        <v>2479</v>
      </c>
      <c r="C1099" t="s">
        <v>2480</v>
      </c>
      <c r="D1099" t="s">
        <v>2481</v>
      </c>
      <c r="E1099" t="s">
        <v>1211</v>
      </c>
      <c r="F1099" s="2" t="str">
        <f>HYPERLINK("http://www.otzar.org/book.asp?189379","אהלי יעקב")</f>
        <v>אהלי יעקב</v>
      </c>
    </row>
    <row r="1100" spans="1:6" x14ac:dyDescent="0.2">
      <c r="A1100" t="s">
        <v>2482</v>
      </c>
      <c r="B1100" t="s">
        <v>2483</v>
      </c>
      <c r="C1100" t="s">
        <v>133</v>
      </c>
      <c r="D1100" t="s">
        <v>52</v>
      </c>
      <c r="E1100" t="s">
        <v>84</v>
      </c>
      <c r="F1100" s="2" t="str">
        <f>HYPERLINK("http://www.otzar.org/book.asp?179537","אהלי יעקב - אהלות.  עין המים - מקוואות")</f>
        <v>אהלי יעקב - אהלות.  עין המים - מקוואות</v>
      </c>
    </row>
    <row r="1101" spans="1:6" x14ac:dyDescent="0.2">
      <c r="A1101" t="s">
        <v>2484</v>
      </c>
      <c r="B1101" t="s">
        <v>2485</v>
      </c>
      <c r="C1101" t="s">
        <v>422</v>
      </c>
      <c r="D1101" t="s">
        <v>14</v>
      </c>
      <c r="E1101" t="s">
        <v>803</v>
      </c>
      <c r="F1101" s="2" t="str">
        <f>HYPERLINK("http://www.otzar.org/book.asp?84257","אהלי יעקב - 8 כר'")</f>
        <v>אהלי יעקב - 8 כר'</v>
      </c>
    </row>
    <row r="1102" spans="1:6" x14ac:dyDescent="0.2">
      <c r="A1102" t="s">
        <v>2466</v>
      </c>
      <c r="B1102" t="s">
        <v>2486</v>
      </c>
      <c r="C1102" t="s">
        <v>146</v>
      </c>
      <c r="D1102" t="s">
        <v>14</v>
      </c>
      <c r="E1102" t="s">
        <v>230</v>
      </c>
      <c r="F1102" s="2" t="str">
        <f>HYPERLINK("http://www.otzar.org/book.asp?619612","אהלי יעקב - 3 כר'")</f>
        <v>אהלי יעקב - 3 כר'</v>
      </c>
    </row>
    <row r="1103" spans="1:6" x14ac:dyDescent="0.2">
      <c r="A1103" t="s">
        <v>2473</v>
      </c>
      <c r="B1103" t="s">
        <v>2487</v>
      </c>
      <c r="C1103" t="s">
        <v>2488</v>
      </c>
      <c r="D1103" t="s">
        <v>212</v>
      </c>
      <c r="E1103" t="s">
        <v>154</v>
      </c>
      <c r="F1103" s="2" t="str">
        <f>HYPERLINK("http://www.otzar.org/book.asp?100366","אהלי יעקב")</f>
        <v>אהלי יעקב</v>
      </c>
    </row>
    <row r="1104" spans="1:6" x14ac:dyDescent="0.2">
      <c r="A1104" t="s">
        <v>2489</v>
      </c>
      <c r="B1104" t="s">
        <v>2490</v>
      </c>
      <c r="C1104" t="s">
        <v>1811</v>
      </c>
      <c r="D1104" t="s">
        <v>52</v>
      </c>
      <c r="E1104" t="s">
        <v>186</v>
      </c>
      <c r="F1104" s="2" t="str">
        <f>HYPERLINK("http://www.otzar.org/book.asp?142945","אהלי יעקב - 7 כר'")</f>
        <v>אהלי יעקב - 7 כר'</v>
      </c>
    </row>
    <row r="1105" spans="1:6" x14ac:dyDescent="0.2">
      <c r="A1105" t="s">
        <v>2491</v>
      </c>
      <c r="B1105" t="s">
        <v>2492</v>
      </c>
      <c r="C1105" t="s">
        <v>114</v>
      </c>
      <c r="D1105" t="s">
        <v>14</v>
      </c>
      <c r="E1105" t="s">
        <v>172</v>
      </c>
      <c r="F1105" s="2" t="str">
        <f>HYPERLINK("http://www.otzar.org/book.asp?192866","אהלי יעקב - כתובות")</f>
        <v>אהלי יעקב - כתובות</v>
      </c>
    </row>
    <row r="1106" spans="1:6" x14ac:dyDescent="0.2">
      <c r="A1106" t="s">
        <v>2471</v>
      </c>
      <c r="B1106" t="s">
        <v>2493</v>
      </c>
      <c r="C1106" t="s">
        <v>37</v>
      </c>
      <c r="D1106" t="s">
        <v>14</v>
      </c>
      <c r="E1106" t="s">
        <v>144</v>
      </c>
      <c r="F1106" s="2" t="str">
        <f>HYPERLINK("http://www.otzar.org/book.asp?605245","אהלי יעקב - 2 כר'")</f>
        <v>אהלי יעקב - 2 כר'</v>
      </c>
    </row>
    <row r="1107" spans="1:6" x14ac:dyDescent="0.2">
      <c r="A1107" t="s">
        <v>2494</v>
      </c>
      <c r="B1107" t="s">
        <v>2263</v>
      </c>
      <c r="C1107" t="s">
        <v>2455</v>
      </c>
      <c r="D1107" t="s">
        <v>212</v>
      </c>
      <c r="E1107" t="s">
        <v>2495</v>
      </c>
      <c r="F1107" s="2" t="str">
        <f>HYPERLINK("http://www.otzar.org/book.asp?100235","אהלי יצחק")</f>
        <v>אהלי יצחק</v>
      </c>
    </row>
    <row r="1108" spans="1:6" x14ac:dyDescent="0.2">
      <c r="A1108" t="s">
        <v>2494</v>
      </c>
      <c r="B1108" t="s">
        <v>2496</v>
      </c>
      <c r="C1108" t="s">
        <v>940</v>
      </c>
      <c r="D1108" t="s">
        <v>115</v>
      </c>
      <c r="F1108" s="2" t="str">
        <f>HYPERLINK("http://www.otzar.org/book.asp?183012","אהלי יצחק")</f>
        <v>אהלי יצחק</v>
      </c>
    </row>
    <row r="1109" spans="1:6" x14ac:dyDescent="0.2">
      <c r="A1109" t="s">
        <v>2497</v>
      </c>
      <c r="B1109" t="s">
        <v>2498</v>
      </c>
      <c r="C1109" t="s">
        <v>553</v>
      </c>
      <c r="D1109" t="s">
        <v>52</v>
      </c>
      <c r="F1109" s="2" t="str">
        <f>HYPERLINK("http://www.otzar.org/book.asp?85669","אהלי ישע")</f>
        <v>אהלי ישע</v>
      </c>
    </row>
    <row r="1110" spans="1:6" x14ac:dyDescent="0.2">
      <c r="A1110" t="s">
        <v>2499</v>
      </c>
      <c r="B1110" t="s">
        <v>2500</v>
      </c>
      <c r="C1110" t="s">
        <v>332</v>
      </c>
      <c r="D1110" t="s">
        <v>412</v>
      </c>
      <c r="E1110" t="s">
        <v>15</v>
      </c>
      <c r="F1110" s="2" t="str">
        <f>HYPERLINK("http://www.otzar.org/book.asp?63241","אהלי ישראל - דבר משה")</f>
        <v>אהלי ישראל - דבר משה</v>
      </c>
    </row>
    <row r="1111" spans="1:6" x14ac:dyDescent="0.2">
      <c r="A1111" t="s">
        <v>2501</v>
      </c>
      <c r="B1111" t="s">
        <v>2502</v>
      </c>
      <c r="C1111" t="s">
        <v>20</v>
      </c>
      <c r="D1111" t="s">
        <v>115</v>
      </c>
      <c r="E1111" t="s">
        <v>202</v>
      </c>
      <c r="F1111" s="2" t="str">
        <f>HYPERLINK("http://www.otzar.org/book.asp?165090","אהלי יששכר")</f>
        <v>אהלי יששכר</v>
      </c>
    </row>
    <row r="1112" spans="1:6" x14ac:dyDescent="0.2">
      <c r="A1112" t="s">
        <v>2501</v>
      </c>
      <c r="B1112" t="s">
        <v>2503</v>
      </c>
      <c r="C1112" t="s">
        <v>940</v>
      </c>
      <c r="D1112" t="s">
        <v>2504</v>
      </c>
      <c r="E1112" t="s">
        <v>144</v>
      </c>
      <c r="F1112" s="2" t="str">
        <f>HYPERLINK("http://www.otzar.org/book.asp?149702","אהלי יששכר")</f>
        <v>אהלי יששכר</v>
      </c>
    </row>
    <row r="1113" spans="1:6" x14ac:dyDescent="0.2">
      <c r="A1113" t="s">
        <v>2505</v>
      </c>
      <c r="B1113" t="s">
        <v>2506</v>
      </c>
      <c r="C1113" t="s">
        <v>23</v>
      </c>
      <c r="D1113" t="s">
        <v>657</v>
      </c>
      <c r="E1113" t="s">
        <v>158</v>
      </c>
      <c r="F1113" s="2" t="str">
        <f>HYPERLINK("http://www.otzar.org/book.asp?197266","אהלי מועד - בראשית")</f>
        <v>אהלי מועד - בראשית</v>
      </c>
    </row>
    <row r="1114" spans="1:6" x14ac:dyDescent="0.2">
      <c r="A1114" t="s">
        <v>2507</v>
      </c>
      <c r="B1114" t="s">
        <v>2508</v>
      </c>
      <c r="C1114" t="s">
        <v>454</v>
      </c>
      <c r="D1114" t="s">
        <v>52</v>
      </c>
      <c r="E1114" t="s">
        <v>2509</v>
      </c>
      <c r="F1114" s="2" t="str">
        <f>HYPERLINK("http://www.otzar.org/book.asp?143544","אהלי מנחם")</f>
        <v>אהלי מנחם</v>
      </c>
    </row>
    <row r="1115" spans="1:6" x14ac:dyDescent="0.2">
      <c r="A1115" t="s">
        <v>2510</v>
      </c>
      <c r="B1115" t="s">
        <v>2511</v>
      </c>
      <c r="C1115" t="s">
        <v>23</v>
      </c>
      <c r="D1115" t="s">
        <v>2201</v>
      </c>
      <c r="E1115" t="s">
        <v>144</v>
      </c>
      <c r="F1115" s="2" t="str">
        <f>HYPERLINK("http://www.otzar.org/book.asp?198304","אהלי משה &lt;מהדו""ב&gt;")</f>
        <v>אהלי משה &lt;מהדו"ב&gt;</v>
      </c>
    </row>
    <row r="1116" spans="1:6" x14ac:dyDescent="0.2">
      <c r="A1116" t="s">
        <v>2512</v>
      </c>
      <c r="B1116" t="s">
        <v>2511</v>
      </c>
      <c r="C1116" t="s">
        <v>23</v>
      </c>
      <c r="D1116" t="s">
        <v>2201</v>
      </c>
      <c r="E1116" t="s">
        <v>144</v>
      </c>
      <c r="F1116" s="2" t="str">
        <f>HYPERLINK("http://www.otzar.org/book.asp?186738","אהלי משה")</f>
        <v>אהלי משה</v>
      </c>
    </row>
    <row r="1117" spans="1:6" x14ac:dyDescent="0.2">
      <c r="A1117" t="s">
        <v>2513</v>
      </c>
      <c r="B1117" t="s">
        <v>2514</v>
      </c>
      <c r="C1117" t="s">
        <v>366</v>
      </c>
      <c r="D1117" t="s">
        <v>90</v>
      </c>
      <c r="E1117" t="s">
        <v>144</v>
      </c>
      <c r="F1117" s="2" t="str">
        <f>HYPERLINK("http://www.otzar.org/book.asp?631076","אהלי צבי - 8 כר'")</f>
        <v>אהלי צבי - 8 כר'</v>
      </c>
    </row>
    <row r="1118" spans="1:6" x14ac:dyDescent="0.2">
      <c r="A1118" t="s">
        <v>2515</v>
      </c>
      <c r="B1118" t="s">
        <v>2516</v>
      </c>
      <c r="C1118" t="s">
        <v>2517</v>
      </c>
      <c r="D1118" t="s">
        <v>2518</v>
      </c>
      <c r="E1118" t="s">
        <v>733</v>
      </c>
      <c r="F1118" s="2" t="str">
        <f>HYPERLINK("http://www.otzar.org/book.asp?191705","אהלי צדיק")</f>
        <v>אהלי צדיק</v>
      </c>
    </row>
    <row r="1119" spans="1:6" x14ac:dyDescent="0.2">
      <c r="A1119" t="s">
        <v>2519</v>
      </c>
      <c r="B1119" t="s">
        <v>2520</v>
      </c>
      <c r="C1119" t="s">
        <v>286</v>
      </c>
      <c r="D1119" t="s">
        <v>1538</v>
      </c>
      <c r="E1119" t="s">
        <v>140</v>
      </c>
      <c r="F1119" s="2" t="str">
        <f>HYPERLINK("http://www.otzar.org/book.asp?108707","אהלי צדיקים")</f>
        <v>אהלי צדיקים</v>
      </c>
    </row>
    <row r="1120" spans="1:6" x14ac:dyDescent="0.2">
      <c r="A1120" t="s">
        <v>2521</v>
      </c>
      <c r="B1120" t="s">
        <v>552</v>
      </c>
      <c r="C1120" t="s">
        <v>366</v>
      </c>
      <c r="D1120" t="s">
        <v>486</v>
      </c>
      <c r="E1120" t="s">
        <v>202</v>
      </c>
      <c r="F1120" s="2" t="str">
        <f>HYPERLINK("http://www.otzar.org/book.asp?608465","אהלי צדק")</f>
        <v>אהלי צדק</v>
      </c>
    </row>
    <row r="1121" spans="1:6" x14ac:dyDescent="0.2">
      <c r="A1121" t="s">
        <v>2522</v>
      </c>
      <c r="B1121" t="s">
        <v>2523</v>
      </c>
      <c r="C1121" t="s">
        <v>433</v>
      </c>
      <c r="D1121" t="s">
        <v>1889</v>
      </c>
      <c r="E1121" t="s">
        <v>2391</v>
      </c>
      <c r="F1121" s="2" t="str">
        <f>HYPERLINK("http://www.otzar.org/book.asp?300539","אהלי ש""ם")</f>
        <v>אהלי ש"ם</v>
      </c>
    </row>
    <row r="1122" spans="1:6" x14ac:dyDescent="0.2">
      <c r="A1122" t="s">
        <v>2524</v>
      </c>
      <c r="B1122" t="s">
        <v>2452</v>
      </c>
      <c r="C1122" t="s">
        <v>146</v>
      </c>
      <c r="D1122" t="s">
        <v>657</v>
      </c>
      <c r="E1122" t="s">
        <v>872</v>
      </c>
      <c r="F1122" s="2" t="str">
        <f>HYPERLINK("http://www.otzar.org/book.asp?157923","אהלי שבת")</f>
        <v>אהלי שבת</v>
      </c>
    </row>
    <row r="1123" spans="1:6" x14ac:dyDescent="0.2">
      <c r="A1123" t="s">
        <v>2525</v>
      </c>
      <c r="B1123" t="s">
        <v>2526</v>
      </c>
      <c r="C1123" t="s">
        <v>1208</v>
      </c>
      <c r="D1123" t="s">
        <v>14</v>
      </c>
      <c r="E1123" t="s">
        <v>144</v>
      </c>
      <c r="F1123" s="2" t="str">
        <f>HYPERLINK("http://www.otzar.org/book.asp?169301","אהלי שלמה - א")</f>
        <v>אהלי שלמה - א</v>
      </c>
    </row>
    <row r="1124" spans="1:6" x14ac:dyDescent="0.2">
      <c r="A1124" t="s">
        <v>2527</v>
      </c>
      <c r="B1124" t="s">
        <v>2528</v>
      </c>
      <c r="C1124" t="s">
        <v>366</v>
      </c>
      <c r="D1124" t="s">
        <v>412</v>
      </c>
      <c r="E1124" t="s">
        <v>15</v>
      </c>
      <c r="F1124" s="2" t="str">
        <f>HYPERLINK("http://www.otzar.org/book.asp?625331","אהלי שם &lt;מהדורה חדשה עם מסגרת השם&gt;")</f>
        <v>אהלי שם &lt;מהדורה חדשה עם מסגרת השם&gt;</v>
      </c>
    </row>
    <row r="1125" spans="1:6" x14ac:dyDescent="0.2">
      <c r="A1125" t="s">
        <v>2529</v>
      </c>
      <c r="B1125" t="s">
        <v>2530</v>
      </c>
      <c r="C1125" t="s">
        <v>244</v>
      </c>
      <c r="D1125" t="s">
        <v>2531</v>
      </c>
      <c r="E1125" t="s">
        <v>246</v>
      </c>
      <c r="F1125" s="2" t="str">
        <f>HYPERLINK("http://www.otzar.org/book.asp?197148","אהלי שם &lt;סליחות&gt;")</f>
        <v>אהלי שם &lt;סליחות&gt;</v>
      </c>
    </row>
    <row r="1126" spans="1:6" x14ac:dyDescent="0.2">
      <c r="A1126" t="s">
        <v>2532</v>
      </c>
      <c r="B1126" t="s">
        <v>2530</v>
      </c>
      <c r="C1126" t="s">
        <v>366</v>
      </c>
      <c r="D1126" t="s">
        <v>2531</v>
      </c>
      <c r="E1126" t="s">
        <v>2533</v>
      </c>
      <c r="F1126" s="2" t="str">
        <f>HYPERLINK("http://www.otzar.org/book.asp?610214","אהלי שם &lt;עין יעקב&gt; - 4 כר'")</f>
        <v>אהלי שם &lt;עין יעקב&gt; - 4 כר'</v>
      </c>
    </row>
    <row r="1127" spans="1:6" x14ac:dyDescent="0.2">
      <c r="A1127" t="s">
        <v>2534</v>
      </c>
      <c r="B1127" t="s">
        <v>2530</v>
      </c>
      <c r="C1127" t="s">
        <v>244</v>
      </c>
      <c r="D1127" t="s">
        <v>2531</v>
      </c>
      <c r="E1127" t="s">
        <v>2535</v>
      </c>
      <c r="F1127" s="2" t="str">
        <f>HYPERLINK("http://www.otzar.org/book.asp?197144","אהלי שם &lt;פרק שירה&gt;")</f>
        <v>אהלי שם &lt;פרק שירה&gt;</v>
      </c>
    </row>
    <row r="1128" spans="1:6" x14ac:dyDescent="0.2">
      <c r="A1128" t="s">
        <v>2536</v>
      </c>
      <c r="B1128" t="s">
        <v>2530</v>
      </c>
      <c r="C1128" t="s">
        <v>23</v>
      </c>
      <c r="D1128" t="s">
        <v>2531</v>
      </c>
      <c r="E1128" t="s">
        <v>172</v>
      </c>
      <c r="F1128" s="2" t="str">
        <f>HYPERLINK("http://www.otzar.org/book.asp?630117","אהלי שם &lt;שו""ע&gt; - 20 כר'")</f>
        <v>אהלי שם &lt;שו"ע&gt; - 20 כר'</v>
      </c>
    </row>
    <row r="1129" spans="1:6" x14ac:dyDescent="0.2">
      <c r="A1129" t="s">
        <v>2537</v>
      </c>
      <c r="B1129" t="s">
        <v>2530</v>
      </c>
      <c r="C1129" t="s">
        <v>244</v>
      </c>
      <c r="D1129" t="s">
        <v>2531</v>
      </c>
      <c r="E1129" t="s">
        <v>158</v>
      </c>
      <c r="F1129" s="2" t="str">
        <f>HYPERLINK("http://www.otzar.org/book.asp?197149","אהלי שם &lt;שיר השירים&gt;")</f>
        <v>אהלי שם &lt;שיר השירים&gt;</v>
      </c>
    </row>
    <row r="1130" spans="1:6" x14ac:dyDescent="0.2">
      <c r="A1130" t="s">
        <v>2538</v>
      </c>
      <c r="B1130" t="s">
        <v>2530</v>
      </c>
      <c r="C1130" t="s">
        <v>20</v>
      </c>
      <c r="D1130" t="s">
        <v>2531</v>
      </c>
      <c r="E1130" t="s">
        <v>158</v>
      </c>
      <c r="F1130" s="2" t="str">
        <f>HYPERLINK("http://www.otzar.org/book.asp?193290","אהלי שם אוצר הנביאים - 11 כר'")</f>
        <v>אהלי שם אוצר הנביאים - 11 כר'</v>
      </c>
    </row>
    <row r="1131" spans="1:6" x14ac:dyDescent="0.2">
      <c r="A1131" t="s">
        <v>2539</v>
      </c>
      <c r="B1131" t="s">
        <v>2530</v>
      </c>
      <c r="C1131" t="s">
        <v>411</v>
      </c>
      <c r="D1131" t="s">
        <v>2531</v>
      </c>
      <c r="E1131" t="s">
        <v>158</v>
      </c>
      <c r="F1131" s="2" t="str">
        <f>HYPERLINK("http://www.otzar.org/book.asp?171630","אהלי שם אוצר הפרשה - 5 כר'")</f>
        <v>אהלי שם אוצר הפרשה - 5 כר'</v>
      </c>
    </row>
    <row r="1132" spans="1:6" x14ac:dyDescent="0.2">
      <c r="A1132" t="s">
        <v>2540</v>
      </c>
      <c r="B1132" t="s">
        <v>2541</v>
      </c>
      <c r="C1132" t="s">
        <v>143</v>
      </c>
      <c r="D1132" t="s">
        <v>14</v>
      </c>
      <c r="E1132" t="s">
        <v>144</v>
      </c>
      <c r="F1132" s="2" t="str">
        <f>HYPERLINK("http://www.otzar.org/book.asp?159401","אהלי שם - בבא מציעא א")</f>
        <v>אהלי שם - בבא מציעא א</v>
      </c>
    </row>
    <row r="1133" spans="1:6" x14ac:dyDescent="0.2">
      <c r="A1133" t="s">
        <v>2542</v>
      </c>
      <c r="B1133" t="s">
        <v>2528</v>
      </c>
      <c r="C1133" t="s">
        <v>2543</v>
      </c>
      <c r="D1133" t="s">
        <v>267</v>
      </c>
      <c r="E1133" t="s">
        <v>606</v>
      </c>
      <c r="F1133" s="2" t="str">
        <f>HYPERLINK("http://www.otzar.org/book.asp?100236","אהלי שם")</f>
        <v>אהלי שם</v>
      </c>
    </row>
    <row r="1134" spans="1:6" x14ac:dyDescent="0.2">
      <c r="A1134" t="s">
        <v>2542</v>
      </c>
      <c r="B1134" t="s">
        <v>2544</v>
      </c>
      <c r="C1134" t="s">
        <v>558</v>
      </c>
      <c r="D1134" t="s">
        <v>2545</v>
      </c>
      <c r="E1134" t="s">
        <v>733</v>
      </c>
      <c r="F1134" s="2" t="str">
        <f>HYPERLINK("http://www.otzar.org/book.asp?62102","אהלי שם")</f>
        <v>אהלי שם</v>
      </c>
    </row>
    <row r="1135" spans="1:6" x14ac:dyDescent="0.2">
      <c r="A1135" t="s">
        <v>2546</v>
      </c>
      <c r="B1135" t="s">
        <v>2547</v>
      </c>
      <c r="C1135" t="s">
        <v>1619</v>
      </c>
      <c r="D1135" t="s">
        <v>14</v>
      </c>
      <c r="E1135" t="s">
        <v>463</v>
      </c>
      <c r="F1135" s="2" t="str">
        <f>HYPERLINK("http://www.otzar.org/book.asp?627015","אהלי שם - נטעי אשל")</f>
        <v>אהלי שם - נטעי אשל</v>
      </c>
    </row>
    <row r="1136" spans="1:6" x14ac:dyDescent="0.2">
      <c r="A1136" t="s">
        <v>2548</v>
      </c>
      <c r="B1136" t="s">
        <v>2549</v>
      </c>
      <c r="C1136" t="s">
        <v>422</v>
      </c>
      <c r="D1136" t="s">
        <v>52</v>
      </c>
      <c r="E1136" t="s">
        <v>144</v>
      </c>
      <c r="F1136" s="2" t="str">
        <f>HYPERLINK("http://www.otzar.org/book.asp?157910","אהלי שם - 5 כר'")</f>
        <v>אהלי שם - 5 כר'</v>
      </c>
    </row>
    <row r="1137" spans="1:6" x14ac:dyDescent="0.2">
      <c r="A1137" t="s">
        <v>2542</v>
      </c>
      <c r="B1137" t="s">
        <v>2516</v>
      </c>
      <c r="C1137" t="s">
        <v>2550</v>
      </c>
      <c r="D1137" t="s">
        <v>2551</v>
      </c>
      <c r="F1137" s="2" t="str">
        <f>HYPERLINK("http://www.otzar.org/book.asp?608912","אהלי שם")</f>
        <v>אהלי שם</v>
      </c>
    </row>
    <row r="1138" spans="1:6" x14ac:dyDescent="0.2">
      <c r="A1138" t="s">
        <v>2542</v>
      </c>
      <c r="B1138" t="s">
        <v>2552</v>
      </c>
      <c r="C1138" t="s">
        <v>422</v>
      </c>
      <c r="D1138" t="s">
        <v>2285</v>
      </c>
      <c r="E1138" t="s">
        <v>202</v>
      </c>
      <c r="F1138" s="2" t="str">
        <f>HYPERLINK("http://www.otzar.org/book.asp?165024","אהלי שם")</f>
        <v>אהלי שם</v>
      </c>
    </row>
    <row r="1139" spans="1:6" x14ac:dyDescent="0.2">
      <c r="A1139" t="s">
        <v>2542</v>
      </c>
      <c r="B1139" t="s">
        <v>2553</v>
      </c>
      <c r="C1139" t="s">
        <v>360</v>
      </c>
      <c r="D1139" t="s">
        <v>283</v>
      </c>
      <c r="E1139" t="s">
        <v>140</v>
      </c>
      <c r="F1139" s="2" t="str">
        <f>HYPERLINK("http://www.otzar.org/book.asp?149590","אהלי שם")</f>
        <v>אהלי שם</v>
      </c>
    </row>
    <row r="1140" spans="1:6" x14ac:dyDescent="0.2">
      <c r="A1140" t="s">
        <v>2554</v>
      </c>
      <c r="B1140" t="s">
        <v>2530</v>
      </c>
      <c r="C1140" t="s">
        <v>553</v>
      </c>
      <c r="D1140" t="s">
        <v>412</v>
      </c>
      <c r="E1140" t="s">
        <v>144</v>
      </c>
      <c r="F1140" s="2" t="str">
        <f>HYPERLINK("http://www.otzar.org/book.asp?166919","אהלי שם - 19 כר'")</f>
        <v>אהלי שם - 19 כר'</v>
      </c>
    </row>
    <row r="1141" spans="1:6" x14ac:dyDescent="0.2">
      <c r="A1141" t="s">
        <v>2542</v>
      </c>
      <c r="B1141" t="s">
        <v>2555</v>
      </c>
      <c r="C1141" t="s">
        <v>390</v>
      </c>
      <c r="D1141" t="s">
        <v>14</v>
      </c>
      <c r="E1141" t="s">
        <v>2418</v>
      </c>
      <c r="F1141" s="2" t="str">
        <f>HYPERLINK("http://www.otzar.org/book.asp?10088","אהלי שם")</f>
        <v>אהלי שם</v>
      </c>
    </row>
    <row r="1142" spans="1:6" x14ac:dyDescent="0.2">
      <c r="A1142" t="s">
        <v>2542</v>
      </c>
      <c r="B1142" t="s">
        <v>2556</v>
      </c>
      <c r="C1142" t="s">
        <v>111</v>
      </c>
      <c r="D1142" t="s">
        <v>52</v>
      </c>
      <c r="E1142" t="s">
        <v>15</v>
      </c>
      <c r="F1142" s="2" t="str">
        <f>HYPERLINK("http://www.otzar.org/book.asp?623127","אהלי שם")</f>
        <v>אהלי שם</v>
      </c>
    </row>
    <row r="1143" spans="1:6" x14ac:dyDescent="0.2">
      <c r="A1143" t="s">
        <v>2557</v>
      </c>
      <c r="B1143" t="s">
        <v>2558</v>
      </c>
      <c r="C1143" t="s">
        <v>422</v>
      </c>
      <c r="D1143" t="s">
        <v>14</v>
      </c>
      <c r="E1143" t="s">
        <v>172</v>
      </c>
      <c r="F1143" s="2" t="str">
        <f>HYPERLINK("http://www.otzar.org/book.asp?151148","אהלי שמעון - 6 כר'")</f>
        <v>אהלי שמעון - 6 כר'</v>
      </c>
    </row>
    <row r="1144" spans="1:6" x14ac:dyDescent="0.2">
      <c r="A1144" t="s">
        <v>2559</v>
      </c>
      <c r="B1144" t="s">
        <v>2560</v>
      </c>
      <c r="C1144" t="s">
        <v>180</v>
      </c>
      <c r="D1144" t="s">
        <v>52</v>
      </c>
      <c r="E1144" t="s">
        <v>202</v>
      </c>
      <c r="F1144" s="2" t="str">
        <f>HYPERLINK("http://www.otzar.org/book.asp?171483","אהלי תורה")</f>
        <v>אהלי תורה</v>
      </c>
    </row>
    <row r="1145" spans="1:6" x14ac:dyDescent="0.2">
      <c r="A1145" t="s">
        <v>2561</v>
      </c>
      <c r="B1145" t="s">
        <v>2562</v>
      </c>
      <c r="C1145" t="s">
        <v>466</v>
      </c>
      <c r="D1145" t="s">
        <v>14</v>
      </c>
      <c r="E1145" t="s">
        <v>154</v>
      </c>
      <c r="F1145" s="2" t="str">
        <f>HYPERLINK("http://www.otzar.org/book.asp?152297","אהלי תם (תמת ישרים) &lt;מכון הכתב&gt;")</f>
        <v>אהלי תם (תמת ישרים) &lt;מכון הכתב&gt;</v>
      </c>
    </row>
    <row r="1146" spans="1:6" x14ac:dyDescent="0.2">
      <c r="A1146" t="s">
        <v>2563</v>
      </c>
      <c r="B1146" t="s">
        <v>2564</v>
      </c>
      <c r="C1146" t="s">
        <v>785</v>
      </c>
      <c r="D1146" t="s">
        <v>52</v>
      </c>
      <c r="E1146" t="s">
        <v>144</v>
      </c>
      <c r="F1146" s="2" t="str">
        <f>HYPERLINK("http://www.otzar.org/book.asp?84568","אהליך יעקב - 2 כר'")</f>
        <v>אהליך יעקב - 2 כר'</v>
      </c>
    </row>
    <row r="1147" spans="1:6" x14ac:dyDescent="0.2">
      <c r="A1147" t="s">
        <v>2565</v>
      </c>
      <c r="B1147" t="s">
        <v>2566</v>
      </c>
      <c r="C1147" t="s">
        <v>1268</v>
      </c>
      <c r="D1147" t="s">
        <v>14</v>
      </c>
      <c r="E1147" t="s">
        <v>202</v>
      </c>
      <c r="F1147" s="2" t="str">
        <f>HYPERLINK("http://www.otzar.org/book.asp?624560","אהליך יעקב  - ה")</f>
        <v>אהליך יעקב  - ה</v>
      </c>
    </row>
    <row r="1148" spans="1:6" x14ac:dyDescent="0.2">
      <c r="A1148" t="s">
        <v>2567</v>
      </c>
      <c r="B1148" t="s">
        <v>2568</v>
      </c>
      <c r="C1148" t="s">
        <v>68</v>
      </c>
      <c r="D1148" t="s">
        <v>14</v>
      </c>
      <c r="E1148" t="s">
        <v>2569</v>
      </c>
      <c r="F1148" s="2" t="str">
        <f>HYPERLINK("http://www.otzar.org/book.asp?168796","אהלים ליעקב")</f>
        <v>אהלים ליעקב</v>
      </c>
    </row>
    <row r="1149" spans="1:6" x14ac:dyDescent="0.2">
      <c r="A1149" t="s">
        <v>2570</v>
      </c>
      <c r="B1149" t="s">
        <v>2571</v>
      </c>
      <c r="C1149" t="s">
        <v>17</v>
      </c>
      <c r="D1149" t="s">
        <v>14</v>
      </c>
      <c r="E1149" t="s">
        <v>2572</v>
      </c>
      <c r="F1149" s="2" t="str">
        <f>HYPERLINK("http://www.otzar.org/book.asp?144985","אהלים - 2 כר'")</f>
        <v>אהלים - 2 כר'</v>
      </c>
    </row>
    <row r="1150" spans="1:6" x14ac:dyDescent="0.2">
      <c r="A1150" t="s">
        <v>2570</v>
      </c>
      <c r="B1150" t="s">
        <v>2573</v>
      </c>
      <c r="C1150" t="s">
        <v>151</v>
      </c>
      <c r="D1150" t="s">
        <v>2574</v>
      </c>
      <c r="F1150" s="2" t="str">
        <f>HYPERLINK("http://www.otzar.org/book.asp?632036","אהלים - 2 כר'")</f>
        <v>אהלים - 2 כר'</v>
      </c>
    </row>
    <row r="1151" spans="1:6" x14ac:dyDescent="0.2">
      <c r="A1151" t="s">
        <v>2575</v>
      </c>
      <c r="B1151" t="s">
        <v>2576</v>
      </c>
      <c r="C1151" t="s">
        <v>189</v>
      </c>
      <c r="D1151" t="s">
        <v>14</v>
      </c>
      <c r="E1151" t="s">
        <v>15</v>
      </c>
      <c r="F1151" s="2" t="str">
        <f>HYPERLINK("http://www.otzar.org/book.asp?60124","אהלך באמיתך")</f>
        <v>אהלך באמיתך</v>
      </c>
    </row>
    <row r="1152" spans="1:6" x14ac:dyDescent="0.2">
      <c r="A1152" t="s">
        <v>2577</v>
      </c>
      <c r="B1152" t="s">
        <v>1602</v>
      </c>
      <c r="C1152" t="s">
        <v>37</v>
      </c>
      <c r="D1152" t="s">
        <v>14</v>
      </c>
      <c r="E1152" t="s">
        <v>104</v>
      </c>
      <c r="F1152" s="2" t="str">
        <f>HYPERLINK("http://www.otzar.org/book.asp?618694","אהלך יעקב")</f>
        <v>אהלך יעקב</v>
      </c>
    </row>
    <row r="1153" spans="1:6" x14ac:dyDescent="0.2">
      <c r="A1153" t="s">
        <v>2578</v>
      </c>
      <c r="B1153" t="s">
        <v>2579</v>
      </c>
      <c r="C1153" t="s">
        <v>411</v>
      </c>
      <c r="D1153" t="s">
        <v>152</v>
      </c>
      <c r="E1153" t="s">
        <v>230</v>
      </c>
      <c r="F1153" s="2" t="str">
        <f>HYPERLINK("http://www.otzar.org/book.asp?167142","אהללה")</f>
        <v>אהללה</v>
      </c>
    </row>
    <row r="1154" spans="1:6" x14ac:dyDescent="0.2">
      <c r="A1154" t="s">
        <v>2580</v>
      </c>
      <c r="B1154" t="s">
        <v>1005</v>
      </c>
      <c r="F1154" s="2" t="str">
        <f>HYPERLINK("http://www.otzar.org/book.asp?622593","אהרן בכהניו ושמואל בקראי שמו")</f>
        <v>אהרן בכהניו ושמואל בקראי שמו</v>
      </c>
    </row>
    <row r="1155" spans="1:6" x14ac:dyDescent="0.2">
      <c r="A1155" t="s">
        <v>2581</v>
      </c>
      <c r="B1155" t="s">
        <v>2582</v>
      </c>
      <c r="C1155" t="s">
        <v>523</v>
      </c>
      <c r="D1155" t="s">
        <v>14</v>
      </c>
      <c r="E1155" t="s">
        <v>144</v>
      </c>
      <c r="F1155" s="2" t="str">
        <f>HYPERLINK("http://www.otzar.org/book.asp?52738","אוד המאיר - 2 כר'")</f>
        <v>אוד המאיר - 2 כר'</v>
      </c>
    </row>
    <row r="1156" spans="1:6" x14ac:dyDescent="0.2">
      <c r="A1156" t="s">
        <v>2583</v>
      </c>
      <c r="B1156" t="s">
        <v>2584</v>
      </c>
      <c r="C1156" t="s">
        <v>124</v>
      </c>
      <c r="D1156" t="s">
        <v>118</v>
      </c>
      <c r="E1156" t="s">
        <v>325</v>
      </c>
      <c r="F1156" s="2" t="str">
        <f>HYPERLINK("http://www.otzar.org/book.asp?155768","אוד מוצל")</f>
        <v>אוד מוצל</v>
      </c>
    </row>
    <row r="1157" spans="1:6" x14ac:dyDescent="0.2">
      <c r="A1157" t="s">
        <v>2585</v>
      </c>
      <c r="B1157" t="s">
        <v>2586</v>
      </c>
      <c r="C1157" t="s">
        <v>422</v>
      </c>
      <c r="D1157" t="s">
        <v>14</v>
      </c>
      <c r="E1157" t="s">
        <v>219</v>
      </c>
      <c r="F1157" s="2" t="str">
        <f>HYPERLINK("http://www.otzar.org/book.asp?150961","אודה את השם - ברכת המזון המבואר")</f>
        <v>אודה את השם - ברכת המזון המבואר</v>
      </c>
    </row>
    <row r="1158" spans="1:6" x14ac:dyDescent="0.2">
      <c r="A1158" t="s">
        <v>2587</v>
      </c>
      <c r="B1158" t="s">
        <v>2588</v>
      </c>
      <c r="C1158" t="s">
        <v>2589</v>
      </c>
      <c r="D1158" t="s">
        <v>49</v>
      </c>
      <c r="E1158" t="s">
        <v>234</v>
      </c>
      <c r="F1158" s="2" t="str">
        <f>HYPERLINK("http://www.otzar.org/book.asp?22357","אודה ה'")</f>
        <v>אודה ה'</v>
      </c>
    </row>
    <row r="1159" spans="1:6" x14ac:dyDescent="0.2">
      <c r="A1159" t="s">
        <v>2590</v>
      </c>
      <c r="B1159" t="s">
        <v>2591</v>
      </c>
      <c r="C1159" t="s">
        <v>111</v>
      </c>
      <c r="D1159" t="s">
        <v>21</v>
      </c>
      <c r="E1159" t="s">
        <v>154</v>
      </c>
      <c r="F1159" s="2" t="str">
        <f>HYPERLINK("http://www.otzar.org/book.asp?621390","אודה לשמו - ד")</f>
        <v>אודה לשמו - ד</v>
      </c>
    </row>
    <row r="1160" spans="1:6" x14ac:dyDescent="0.2">
      <c r="A1160" t="s">
        <v>2592</v>
      </c>
      <c r="B1160" t="s">
        <v>2593</v>
      </c>
      <c r="E1160" t="s">
        <v>674</v>
      </c>
      <c r="F1160" s="2" t="str">
        <f>HYPERLINK("http://www.otzar.org/book.asp?624590","אודות קבורה במשטחים בקומות")</f>
        <v>אודות קבורה במשטחים בקומות</v>
      </c>
    </row>
    <row r="1161" spans="1:6" x14ac:dyDescent="0.2">
      <c r="A1161" t="s">
        <v>2594</v>
      </c>
      <c r="B1161" t="s">
        <v>2595</v>
      </c>
      <c r="C1161" t="s">
        <v>366</v>
      </c>
      <c r="D1161" t="s">
        <v>245</v>
      </c>
      <c r="E1161" t="s">
        <v>2596</v>
      </c>
      <c r="F1161" s="2" t="str">
        <f>HYPERLINK("http://www.otzar.org/book.asp?612342","אודים מאש - 3 כר'")</f>
        <v>אודים מאש - 3 כר'</v>
      </c>
    </row>
    <row r="1162" spans="1:6" x14ac:dyDescent="0.2">
      <c r="A1162" t="s">
        <v>2597</v>
      </c>
      <c r="B1162" t="s">
        <v>2598</v>
      </c>
      <c r="C1162" t="s">
        <v>919</v>
      </c>
      <c r="D1162" t="s">
        <v>2599</v>
      </c>
      <c r="F1162" s="2" t="str">
        <f>HYPERLINK("http://www.otzar.org/book.asp?194690","אודים - 11 כר'")</f>
        <v>אודים - 11 כר'</v>
      </c>
    </row>
    <row r="1163" spans="1:6" x14ac:dyDescent="0.2">
      <c r="A1163" t="s">
        <v>2600</v>
      </c>
      <c r="B1163" t="s">
        <v>2601</v>
      </c>
      <c r="C1163" t="s">
        <v>888</v>
      </c>
      <c r="D1163" t="s">
        <v>1117</v>
      </c>
      <c r="E1163" t="s">
        <v>119</v>
      </c>
      <c r="F1163" s="2" t="str">
        <f>HYPERLINK("http://www.otzar.org/book.asp?602","אוה למושב")</f>
        <v>אוה למושב</v>
      </c>
    </row>
    <row r="1164" spans="1:6" x14ac:dyDescent="0.2">
      <c r="A1164" t="s">
        <v>2602</v>
      </c>
      <c r="B1164" t="s">
        <v>2603</v>
      </c>
      <c r="C1164" t="s">
        <v>13</v>
      </c>
      <c r="D1164" t="s">
        <v>52</v>
      </c>
      <c r="F1164" s="2" t="str">
        <f>HYPERLINK("http://www.otzar.org/book.asp?64380","אוהב בהמון - 2 כר'")</f>
        <v>אוהב בהמון - 2 כר'</v>
      </c>
    </row>
    <row r="1165" spans="1:6" x14ac:dyDescent="0.2">
      <c r="A1165" t="s">
        <v>2604</v>
      </c>
      <c r="B1165" t="s">
        <v>2604</v>
      </c>
      <c r="C1165" t="s">
        <v>2605</v>
      </c>
      <c r="D1165" t="s">
        <v>535</v>
      </c>
      <c r="E1165" t="s">
        <v>158</v>
      </c>
      <c r="F1165" s="2" t="str">
        <f>HYPERLINK("http://www.otzar.org/book.asp?7222","אוהב גר")</f>
        <v>אוהב גר</v>
      </c>
    </row>
    <row r="1166" spans="1:6" x14ac:dyDescent="0.2">
      <c r="A1166" t="s">
        <v>2606</v>
      </c>
      <c r="B1166" t="s">
        <v>2607</v>
      </c>
      <c r="C1166" t="s">
        <v>189</v>
      </c>
      <c r="D1166" t="s">
        <v>14</v>
      </c>
      <c r="E1166" t="s">
        <v>119</v>
      </c>
      <c r="F1166" s="2" t="str">
        <f>HYPERLINK("http://www.otzar.org/book.asp?174308","אוהב התורה")</f>
        <v>אוהב התורה</v>
      </c>
    </row>
    <row r="1167" spans="1:6" x14ac:dyDescent="0.2">
      <c r="A1167" t="s">
        <v>2608</v>
      </c>
      <c r="B1167" t="s">
        <v>2609</v>
      </c>
      <c r="C1167" t="s">
        <v>17</v>
      </c>
      <c r="D1167" t="s">
        <v>423</v>
      </c>
      <c r="E1167" t="s">
        <v>2610</v>
      </c>
      <c r="F1167" s="2" t="str">
        <f>HYPERLINK("http://www.otzar.org/book.asp?172329","אוהב חסד")</f>
        <v>אוהב חסד</v>
      </c>
    </row>
    <row r="1168" spans="1:6" x14ac:dyDescent="0.2">
      <c r="A1168" t="s">
        <v>2611</v>
      </c>
      <c r="B1168" t="s">
        <v>2612</v>
      </c>
      <c r="C1168" t="s">
        <v>143</v>
      </c>
      <c r="D1168" t="s">
        <v>14</v>
      </c>
      <c r="E1168" t="s">
        <v>15</v>
      </c>
      <c r="F1168" s="2" t="str">
        <f>HYPERLINK("http://www.otzar.org/book.asp?161763","אוהב ימים")</f>
        <v>אוהב ימים</v>
      </c>
    </row>
    <row r="1169" spans="1:6" x14ac:dyDescent="0.2">
      <c r="A1169" t="s">
        <v>2613</v>
      </c>
      <c r="B1169" t="s">
        <v>1298</v>
      </c>
      <c r="C1169" t="s">
        <v>114</v>
      </c>
      <c r="D1169" t="s">
        <v>14</v>
      </c>
      <c r="E1169" t="s">
        <v>2614</v>
      </c>
      <c r="F1169" s="2" t="str">
        <f>HYPERLINK("http://www.otzar.org/book.asp?175362","אוהב ישראל &lt;מהדורת ספרי אוה""ח&gt;")</f>
        <v>אוהב ישראל &lt;מהדורת ספרי אוה"ח&gt;</v>
      </c>
    </row>
    <row r="1170" spans="1:6" x14ac:dyDescent="0.2">
      <c r="A1170" t="s">
        <v>2615</v>
      </c>
      <c r="B1170" t="s">
        <v>1298</v>
      </c>
      <c r="C1170" t="s">
        <v>466</v>
      </c>
      <c r="D1170" t="s">
        <v>14</v>
      </c>
      <c r="E1170" t="s">
        <v>158</v>
      </c>
      <c r="F1170" s="2" t="str">
        <f>HYPERLINK("http://www.otzar.org/book.asp?173628","אוהב ישראל &lt;מהדורת שפתי צדיקים&gt;")</f>
        <v>אוהב ישראל &lt;מהדורת שפתי צדיקים&gt;</v>
      </c>
    </row>
    <row r="1171" spans="1:6" x14ac:dyDescent="0.2">
      <c r="A1171" t="s">
        <v>2616</v>
      </c>
      <c r="B1171" t="s">
        <v>1298</v>
      </c>
      <c r="C1171" t="s">
        <v>2617</v>
      </c>
      <c r="D1171" t="s">
        <v>1419</v>
      </c>
      <c r="F1171" s="2" t="str">
        <f>HYPERLINK("http://www.otzar.org/book.asp?164825","אוהב ישראל - 2 כר'")</f>
        <v>אוהב ישראל - 2 כר'</v>
      </c>
    </row>
    <row r="1172" spans="1:6" x14ac:dyDescent="0.2">
      <c r="A1172" t="s">
        <v>2618</v>
      </c>
      <c r="B1172" t="s">
        <v>1884</v>
      </c>
      <c r="C1172" t="s">
        <v>313</v>
      </c>
      <c r="D1172" t="s">
        <v>52</v>
      </c>
      <c r="E1172" t="s">
        <v>241</v>
      </c>
      <c r="F1172" s="2" t="str">
        <f>HYPERLINK("http://www.otzar.org/book.asp?623326","אוהב מוסר &lt;מהדורה חדשה&gt;")</f>
        <v>אוהב מוסר &lt;מהדורה חדשה&gt;</v>
      </c>
    </row>
    <row r="1173" spans="1:6" x14ac:dyDescent="0.2">
      <c r="A1173" t="s">
        <v>2619</v>
      </c>
      <c r="B1173" t="s">
        <v>2620</v>
      </c>
      <c r="C1173" t="s">
        <v>2621</v>
      </c>
      <c r="D1173" t="s">
        <v>49</v>
      </c>
      <c r="E1173" t="s">
        <v>573</v>
      </c>
      <c r="F1173" s="2" t="str">
        <f>HYPERLINK("http://www.otzar.org/book.asp?102567","אוהב משפט")</f>
        <v>אוהב משפט</v>
      </c>
    </row>
    <row r="1174" spans="1:6" x14ac:dyDescent="0.2">
      <c r="A1174" t="s">
        <v>2622</v>
      </c>
      <c r="B1174" t="s">
        <v>2623</v>
      </c>
      <c r="C1174" t="s">
        <v>111</v>
      </c>
      <c r="D1174" t="s">
        <v>412</v>
      </c>
      <c r="E1174" t="s">
        <v>104</v>
      </c>
      <c r="F1174" s="2" t="str">
        <f>HYPERLINK("http://www.otzar.org/book.asp?621381","אוהב משפט - מצוה הבאה בעבירה")</f>
        <v>אוהב משפט - מצוה הבאה בעבירה</v>
      </c>
    </row>
    <row r="1175" spans="1:6" x14ac:dyDescent="0.2">
      <c r="A1175" t="s">
        <v>2619</v>
      </c>
      <c r="B1175" t="s">
        <v>2624</v>
      </c>
      <c r="C1175" t="s">
        <v>429</v>
      </c>
      <c r="D1175" t="s">
        <v>267</v>
      </c>
      <c r="E1175" t="s">
        <v>241</v>
      </c>
      <c r="F1175" s="2" t="str">
        <f>HYPERLINK("http://www.otzar.org/book.asp?17128","אוהב משפט")</f>
        <v>אוהב משפט</v>
      </c>
    </row>
    <row r="1176" spans="1:6" x14ac:dyDescent="0.2">
      <c r="A1176" t="s">
        <v>2625</v>
      </c>
      <c r="B1176" t="s">
        <v>2626</v>
      </c>
      <c r="C1176" t="s">
        <v>989</v>
      </c>
      <c r="D1176" t="s">
        <v>14</v>
      </c>
      <c r="E1176" t="s">
        <v>154</v>
      </c>
      <c r="F1176" s="2" t="str">
        <f>HYPERLINK("http://www.otzar.org/book.asp?85277","אוהב משפט - 4 כר'")</f>
        <v>אוהב משפט - 4 כר'</v>
      </c>
    </row>
    <row r="1177" spans="1:6" x14ac:dyDescent="0.2">
      <c r="A1177" t="s">
        <v>2627</v>
      </c>
      <c r="B1177" t="s">
        <v>2628</v>
      </c>
      <c r="C1177" t="s">
        <v>553</v>
      </c>
      <c r="D1177" t="s">
        <v>14</v>
      </c>
      <c r="E1177" t="s">
        <v>104</v>
      </c>
      <c r="F1177" s="2" t="str">
        <f>HYPERLINK("http://www.otzar.org/book.asp?143029","אוהב ספר")</f>
        <v>אוהב ספר</v>
      </c>
    </row>
    <row r="1178" spans="1:6" x14ac:dyDescent="0.2">
      <c r="A1178" t="s">
        <v>2629</v>
      </c>
      <c r="B1178" t="s">
        <v>206</v>
      </c>
      <c r="C1178" t="s">
        <v>244</v>
      </c>
      <c r="D1178" t="s">
        <v>14</v>
      </c>
      <c r="E1178" t="s">
        <v>15</v>
      </c>
      <c r="F1178" s="2" t="str">
        <f>HYPERLINK("http://www.otzar.org/book.asp?199656","אוהב שלום ורודף שלום")</f>
        <v>אוהב שלום ורודף שלום</v>
      </c>
    </row>
    <row r="1179" spans="1:6" x14ac:dyDescent="0.2">
      <c r="A1179" t="s">
        <v>2629</v>
      </c>
      <c r="B1179" t="s">
        <v>2630</v>
      </c>
      <c r="C1179" t="s">
        <v>244</v>
      </c>
      <c r="D1179" t="s">
        <v>21</v>
      </c>
      <c r="E1179" t="s">
        <v>15</v>
      </c>
      <c r="F1179" s="2" t="str">
        <f>HYPERLINK("http://www.otzar.org/book.asp?605268","אוהב שלום ורודף שלום")</f>
        <v>אוהב שלום ורודף שלום</v>
      </c>
    </row>
    <row r="1180" spans="1:6" x14ac:dyDescent="0.2">
      <c r="A1180" t="s">
        <v>2631</v>
      </c>
      <c r="B1180" t="s">
        <v>2632</v>
      </c>
      <c r="C1180" t="s">
        <v>1570</v>
      </c>
      <c r="D1180" t="s">
        <v>14</v>
      </c>
      <c r="E1180" t="s">
        <v>2633</v>
      </c>
      <c r="F1180" s="2" t="str">
        <f>HYPERLINK("http://www.otzar.org/book.asp?15059","אוהב שלום")</f>
        <v>אוהב שלום</v>
      </c>
    </row>
    <row r="1181" spans="1:6" x14ac:dyDescent="0.2">
      <c r="A1181" t="s">
        <v>2631</v>
      </c>
      <c r="B1181" t="s">
        <v>2634</v>
      </c>
      <c r="C1181" t="s">
        <v>146</v>
      </c>
      <c r="D1181" t="s">
        <v>412</v>
      </c>
      <c r="E1181" t="s">
        <v>2635</v>
      </c>
      <c r="F1181" s="2" t="str">
        <f>HYPERLINK("http://www.otzar.org/book.asp?160858","אוהב שלום")</f>
        <v>אוהב שלום</v>
      </c>
    </row>
    <row r="1182" spans="1:6" x14ac:dyDescent="0.2">
      <c r="A1182" t="s">
        <v>2636</v>
      </c>
      <c r="B1182" t="s">
        <v>2637</v>
      </c>
      <c r="C1182" t="s">
        <v>383</v>
      </c>
      <c r="D1182" t="s">
        <v>412</v>
      </c>
      <c r="E1182" t="s">
        <v>213</v>
      </c>
      <c r="F1182" s="2" t="str">
        <f>HYPERLINK("http://www.otzar.org/book.asp?148678","אוהבי יש")</f>
        <v>אוהבי יש</v>
      </c>
    </row>
    <row r="1183" spans="1:6" x14ac:dyDescent="0.2">
      <c r="A1183" t="s">
        <v>2638</v>
      </c>
      <c r="B1183" t="s">
        <v>2639</v>
      </c>
      <c r="C1183" t="s">
        <v>20</v>
      </c>
      <c r="E1183" t="s">
        <v>230</v>
      </c>
      <c r="F1183" s="2" t="str">
        <f>HYPERLINK("http://www.otzar.org/book.asp?603743","אוהבי תורתך")</f>
        <v>אוהבי תורתך</v>
      </c>
    </row>
    <row r="1184" spans="1:6" x14ac:dyDescent="0.2">
      <c r="A1184" t="s">
        <v>2640</v>
      </c>
      <c r="B1184" t="s">
        <v>2641</v>
      </c>
      <c r="C1184" t="s">
        <v>454</v>
      </c>
      <c r="D1184" t="s">
        <v>52</v>
      </c>
      <c r="E1184" t="s">
        <v>119</v>
      </c>
      <c r="F1184" s="2" t="str">
        <f>HYPERLINK("http://www.otzar.org/book.asp?603971","אוהבן של ישראל")</f>
        <v>אוהבן של ישראל</v>
      </c>
    </row>
    <row r="1185" spans="1:6" x14ac:dyDescent="0.2">
      <c r="A1185" t="s">
        <v>2642</v>
      </c>
      <c r="B1185" t="s">
        <v>2643</v>
      </c>
      <c r="C1185" t="s">
        <v>2644</v>
      </c>
      <c r="D1185" t="s">
        <v>1117</v>
      </c>
      <c r="E1185" t="s">
        <v>158</v>
      </c>
      <c r="F1185" s="2" t="str">
        <f>HYPERLINK("http://www.otzar.org/book.asp?102603","אוהל יוסף שנאטיך")</f>
        <v>אוהל יוסף שנאטיך</v>
      </c>
    </row>
    <row r="1186" spans="1:6" x14ac:dyDescent="0.2">
      <c r="A1186" t="s">
        <v>2645</v>
      </c>
      <c r="B1186" t="s">
        <v>2646</v>
      </c>
      <c r="C1186" t="s">
        <v>543</v>
      </c>
      <c r="D1186" t="s">
        <v>267</v>
      </c>
      <c r="E1186" t="s">
        <v>2647</v>
      </c>
      <c r="F1186" s="2" t="str">
        <f>HYPERLINK("http://www.otzar.org/book.asp?17129","אוהל יעקב")</f>
        <v>אוהל יעקב</v>
      </c>
    </row>
    <row r="1187" spans="1:6" x14ac:dyDescent="0.2">
      <c r="A1187" t="s">
        <v>2645</v>
      </c>
      <c r="B1187" t="s">
        <v>2648</v>
      </c>
      <c r="C1187" t="s">
        <v>96</v>
      </c>
      <c r="D1187" t="s">
        <v>2290</v>
      </c>
      <c r="E1187" t="s">
        <v>325</v>
      </c>
      <c r="F1187" s="2" t="str">
        <f>HYPERLINK("http://www.otzar.org/book.asp?103973","אוהל יעקב")</f>
        <v>אוהל יעקב</v>
      </c>
    </row>
    <row r="1188" spans="1:6" x14ac:dyDescent="0.2">
      <c r="A1188" t="s">
        <v>2649</v>
      </c>
      <c r="B1188" t="s">
        <v>2245</v>
      </c>
      <c r="C1188" t="s">
        <v>558</v>
      </c>
      <c r="D1188" t="s">
        <v>283</v>
      </c>
      <c r="E1188" t="s">
        <v>182</v>
      </c>
      <c r="F1188" s="2" t="str">
        <f>HYPERLINK("http://www.otzar.org/book.asp?104593","אוהל יצחק השלם")</f>
        <v>אוהל יצחק השלם</v>
      </c>
    </row>
    <row r="1189" spans="1:6" x14ac:dyDescent="0.2">
      <c r="A1189" t="s">
        <v>2650</v>
      </c>
      <c r="B1189" t="s">
        <v>2651</v>
      </c>
      <c r="C1189" t="s">
        <v>23</v>
      </c>
      <c r="D1189" t="s">
        <v>2652</v>
      </c>
      <c r="E1189" t="s">
        <v>15</v>
      </c>
      <c r="F1189" s="2" t="str">
        <f>HYPERLINK("http://www.otzar.org/book.asp?192897","אוהל ישרים - יחוד")</f>
        <v>אוהל ישרים - יחוד</v>
      </c>
    </row>
    <row r="1190" spans="1:6" x14ac:dyDescent="0.2">
      <c r="A1190" t="s">
        <v>2653</v>
      </c>
      <c r="B1190" t="s">
        <v>2654</v>
      </c>
      <c r="C1190" t="s">
        <v>1096</v>
      </c>
      <c r="D1190" t="s">
        <v>267</v>
      </c>
      <c r="E1190" t="s">
        <v>559</v>
      </c>
      <c r="F1190" s="2" t="str">
        <f>HYPERLINK("http://www.otzar.org/book.asp?22334","אוהל משה")</f>
        <v>אוהל משה</v>
      </c>
    </row>
    <row r="1191" spans="1:6" x14ac:dyDescent="0.2">
      <c r="A1191" t="s">
        <v>2655</v>
      </c>
      <c r="B1191" t="s">
        <v>2656</v>
      </c>
      <c r="C1191" t="s">
        <v>68</v>
      </c>
      <c r="D1191" t="s">
        <v>14</v>
      </c>
      <c r="E1191" t="s">
        <v>104</v>
      </c>
      <c r="F1191" s="2" t="str">
        <f>HYPERLINK("http://www.otzar.org/book.asp?166423","אוהל ש""ם")</f>
        <v>אוהל ש"ם</v>
      </c>
    </row>
    <row r="1192" spans="1:6" x14ac:dyDescent="0.2">
      <c r="A1192" t="s">
        <v>2657</v>
      </c>
      <c r="B1192" t="s">
        <v>2658</v>
      </c>
      <c r="C1192" t="s">
        <v>985</v>
      </c>
      <c r="D1192" t="s">
        <v>27</v>
      </c>
      <c r="E1192" t="s">
        <v>957</v>
      </c>
      <c r="F1192" s="2" t="str">
        <f>HYPERLINK("http://www.otzar.org/book.asp?488","אוהל שם")</f>
        <v>אוהל שם</v>
      </c>
    </row>
    <row r="1193" spans="1:6" x14ac:dyDescent="0.2">
      <c r="A1193" t="s">
        <v>2659</v>
      </c>
      <c r="B1193" t="s">
        <v>2660</v>
      </c>
      <c r="C1193" t="s">
        <v>785</v>
      </c>
      <c r="D1193" t="s">
        <v>14</v>
      </c>
      <c r="E1193" t="s">
        <v>15</v>
      </c>
      <c r="F1193" s="2" t="str">
        <f>HYPERLINK("http://www.otzar.org/book.asp?104595","אוהל שרה - 2 כר'")</f>
        <v>אוהל שרה - 2 כר'</v>
      </c>
    </row>
    <row r="1194" spans="1:6" x14ac:dyDescent="0.2">
      <c r="A1194" t="s">
        <v>2661</v>
      </c>
      <c r="B1194" t="s">
        <v>2396</v>
      </c>
      <c r="C1194" t="s">
        <v>20</v>
      </c>
      <c r="D1194" t="s">
        <v>1076</v>
      </c>
      <c r="E1194" t="s">
        <v>158</v>
      </c>
      <c r="F1194" s="2" t="str">
        <f>HYPERLINK("http://www.otzar.org/book.asp?22898","אוהל תורה - 2 כר'")</f>
        <v>אוהל תורה - 2 כר'</v>
      </c>
    </row>
    <row r="1195" spans="1:6" x14ac:dyDescent="0.2">
      <c r="A1195" t="s">
        <v>2662</v>
      </c>
      <c r="B1195" t="s">
        <v>2663</v>
      </c>
      <c r="C1195" t="s">
        <v>13</v>
      </c>
      <c r="D1195" t="s">
        <v>52</v>
      </c>
      <c r="E1195" t="s">
        <v>2091</v>
      </c>
      <c r="F1195" s="2" t="str">
        <f>HYPERLINK("http://www.otzar.org/book.asp?60600","אוהלי יוסף")</f>
        <v>אוהלי יוסף</v>
      </c>
    </row>
    <row r="1196" spans="1:6" x14ac:dyDescent="0.2">
      <c r="A1196" t="s">
        <v>2664</v>
      </c>
      <c r="B1196" t="s">
        <v>2665</v>
      </c>
      <c r="C1196" t="s">
        <v>1954</v>
      </c>
      <c r="D1196" t="s">
        <v>27</v>
      </c>
      <c r="E1196" t="s">
        <v>2088</v>
      </c>
      <c r="F1196" s="2" t="str">
        <f>HYPERLINK("http://www.otzar.org/book.asp?164291","אוהלי יוסף - 2 כר'")</f>
        <v>אוהלי יוסף - 2 כר'</v>
      </c>
    </row>
    <row r="1197" spans="1:6" x14ac:dyDescent="0.2">
      <c r="A1197" t="s">
        <v>2666</v>
      </c>
      <c r="B1197" t="s">
        <v>2667</v>
      </c>
      <c r="C1197" t="s">
        <v>146</v>
      </c>
      <c r="D1197" t="s">
        <v>245</v>
      </c>
      <c r="E1197" t="s">
        <v>144</v>
      </c>
      <c r="F1197" s="2" t="str">
        <f>HYPERLINK("http://www.otzar.org/book.asp?198685","אוהלי משה - 3 כר'")</f>
        <v>אוהלי משה - 3 כר'</v>
      </c>
    </row>
    <row r="1198" spans="1:6" x14ac:dyDescent="0.2">
      <c r="A1198" t="s">
        <v>2668</v>
      </c>
      <c r="B1198" t="s">
        <v>2669</v>
      </c>
      <c r="C1198" t="s">
        <v>111</v>
      </c>
      <c r="D1198" t="s">
        <v>20</v>
      </c>
      <c r="E1198" t="s">
        <v>15</v>
      </c>
      <c r="F1198" s="2" t="str">
        <f>HYPERLINK("http://www.otzar.org/book.asp?627196","אוזן עבדך")</f>
        <v>אוזן עבדך</v>
      </c>
    </row>
    <row r="1199" spans="1:6" x14ac:dyDescent="0.2">
      <c r="A1199" t="s">
        <v>2670</v>
      </c>
      <c r="B1199" t="s">
        <v>2671</v>
      </c>
      <c r="C1199" t="s">
        <v>2672</v>
      </c>
      <c r="D1199" t="s">
        <v>1023</v>
      </c>
      <c r="E1199" t="s">
        <v>234</v>
      </c>
      <c r="F1199" s="2" t="str">
        <f>HYPERLINK("http://www.otzar.org/book.asp?149987","אוזן שמואל")</f>
        <v>אוזן שמואל</v>
      </c>
    </row>
    <row r="1200" spans="1:6" x14ac:dyDescent="0.2">
      <c r="A1200" t="s">
        <v>2673</v>
      </c>
      <c r="B1200" t="s">
        <v>2674</v>
      </c>
      <c r="C1200" t="s">
        <v>68</v>
      </c>
      <c r="E1200" t="s">
        <v>104</v>
      </c>
      <c r="F1200" s="2" t="str">
        <f>HYPERLINK("http://www.otzar.org/book.asp?603689","אוחילה לא-ל")</f>
        <v>אוחילה לא-ל</v>
      </c>
    </row>
    <row r="1201" spans="1:6" x14ac:dyDescent="0.2">
      <c r="A1201" t="s">
        <v>2675</v>
      </c>
      <c r="B1201" t="s">
        <v>2676</v>
      </c>
      <c r="C1201" t="s">
        <v>8</v>
      </c>
      <c r="D1201" t="s">
        <v>2373</v>
      </c>
      <c r="F1201" s="2" t="str">
        <f>HYPERLINK("http://www.otzar.org/book.asp?170191","אוטוגרפים עבריים &lt;גרמנית&gt;")</f>
        <v>אוטוגרפים עבריים &lt;גרמנית&gt;</v>
      </c>
    </row>
    <row r="1202" spans="1:6" x14ac:dyDescent="0.2">
      <c r="A1202" t="s">
        <v>2677</v>
      </c>
      <c r="B1202" t="s">
        <v>2678</v>
      </c>
      <c r="C1202" t="s">
        <v>1062</v>
      </c>
      <c r="D1202" t="s">
        <v>412</v>
      </c>
      <c r="E1202" t="s">
        <v>733</v>
      </c>
      <c r="F1202" s="2" t="str">
        <f>HYPERLINK("http://www.otzar.org/book.asp?176882","אויף קידוש השם")</f>
        <v>אויף קידוש השם</v>
      </c>
    </row>
    <row r="1203" spans="1:6" x14ac:dyDescent="0.2">
      <c r="A1203" t="s">
        <v>2679</v>
      </c>
      <c r="B1203" t="s">
        <v>236</v>
      </c>
      <c r="C1203" t="s">
        <v>26</v>
      </c>
      <c r="D1203" t="s">
        <v>2531</v>
      </c>
      <c r="F1203" s="2" t="str">
        <f>HYPERLINK("http://www.otzar.org/book.asp?165155","אויפזאצן און עסייען")</f>
        <v>אויפזאצן און עסייען</v>
      </c>
    </row>
    <row r="1204" spans="1:6" x14ac:dyDescent="0.2">
      <c r="A1204" t="s">
        <v>2680</v>
      </c>
      <c r="B1204" t="s">
        <v>2681</v>
      </c>
      <c r="C1204" t="s">
        <v>366</v>
      </c>
      <c r="D1204" t="s">
        <v>14</v>
      </c>
      <c r="E1204" t="s">
        <v>674</v>
      </c>
      <c r="F1204" s="2" t="str">
        <f>HYPERLINK("http://www.otzar.org/book.asp?630319","אולטראסאונד לאור ההלכה")</f>
        <v>אולטראסאונד לאור ההלכה</v>
      </c>
    </row>
    <row r="1205" spans="1:6" x14ac:dyDescent="0.2">
      <c r="A1205" t="s">
        <v>2682</v>
      </c>
      <c r="B1205" t="s">
        <v>2683</v>
      </c>
      <c r="C1205" t="s">
        <v>63</v>
      </c>
      <c r="D1205" t="s">
        <v>14</v>
      </c>
      <c r="E1205" t="s">
        <v>202</v>
      </c>
      <c r="F1205" s="2" t="str">
        <f>HYPERLINK("http://www.otzar.org/book.asp?170472","אולפן חד""ת - 3 כר'")</f>
        <v>אולפן חד"ת - 3 כר'</v>
      </c>
    </row>
    <row r="1206" spans="1:6" x14ac:dyDescent="0.2">
      <c r="A1206" t="s">
        <v>2684</v>
      </c>
      <c r="B1206" t="s">
        <v>2685</v>
      </c>
      <c r="C1206" t="s">
        <v>129</v>
      </c>
      <c r="D1206" t="s">
        <v>21</v>
      </c>
      <c r="E1206" t="s">
        <v>119</v>
      </c>
      <c r="F1206" s="2" t="str">
        <f>HYPERLINK("http://www.otzar.org/book.asp?162080","אולקניקי ראדין וילנא")</f>
        <v>אולקניקי ראדין וילנא</v>
      </c>
    </row>
    <row r="1207" spans="1:6" x14ac:dyDescent="0.2">
      <c r="A1207" t="s">
        <v>2686</v>
      </c>
      <c r="B1207" t="s">
        <v>2687</v>
      </c>
      <c r="C1207" t="s">
        <v>433</v>
      </c>
      <c r="D1207" t="s">
        <v>27</v>
      </c>
      <c r="E1207" t="s">
        <v>104</v>
      </c>
      <c r="F1207" s="2" t="str">
        <f>HYPERLINK("http://www.otzar.org/book.asp?146810","אום אני חומה - 2 כר'")</f>
        <v>אום אני חומה - 2 כר'</v>
      </c>
    </row>
    <row r="1208" spans="1:6" x14ac:dyDescent="0.2">
      <c r="A1208" t="s">
        <v>2686</v>
      </c>
      <c r="B1208" t="s">
        <v>1681</v>
      </c>
      <c r="C1208" t="s">
        <v>313</v>
      </c>
      <c r="D1208" t="s">
        <v>52</v>
      </c>
      <c r="E1208" t="s">
        <v>148</v>
      </c>
      <c r="F1208" s="2" t="str">
        <f>HYPERLINK("http://www.otzar.org/book.asp?53149","אום אני חומה - 2 כר'")</f>
        <v>אום אני חומה - 2 כר'</v>
      </c>
    </row>
    <row r="1209" spans="1:6" x14ac:dyDescent="0.2">
      <c r="A1209" t="s">
        <v>2687</v>
      </c>
      <c r="B1209" t="s">
        <v>2688</v>
      </c>
      <c r="C1209" t="s">
        <v>313</v>
      </c>
      <c r="D1209" t="s">
        <v>412</v>
      </c>
      <c r="E1209" t="s">
        <v>15</v>
      </c>
      <c r="F1209" s="2" t="str">
        <f>HYPERLINK("http://www.otzar.org/book.asp?22091","אום אני חומה")</f>
        <v>אום אני חומה</v>
      </c>
    </row>
    <row r="1210" spans="1:6" x14ac:dyDescent="0.2">
      <c r="A1210" t="s">
        <v>2689</v>
      </c>
      <c r="B1210" t="s">
        <v>2690</v>
      </c>
      <c r="C1210" t="s">
        <v>23</v>
      </c>
      <c r="D1210" t="s">
        <v>1855</v>
      </c>
      <c r="E1210" t="s">
        <v>84</v>
      </c>
      <c r="F1210" s="2" t="str">
        <f>HYPERLINK("http://www.otzar.org/book.asp?193877","אומנות אברהם - מקואות")</f>
        <v>אומנות אברהם - מקואות</v>
      </c>
    </row>
    <row r="1211" spans="1:6" x14ac:dyDescent="0.2">
      <c r="A1211" t="s">
        <v>2691</v>
      </c>
      <c r="B1211" t="s">
        <v>2692</v>
      </c>
      <c r="C1211" t="s">
        <v>129</v>
      </c>
      <c r="D1211" t="s">
        <v>216</v>
      </c>
      <c r="E1211" t="s">
        <v>10</v>
      </c>
      <c r="F1211" s="2" t="str">
        <f>HYPERLINK("http://www.otzar.org/book.asp?142620","אומנות נהוראי")</f>
        <v>אומנות נהוראי</v>
      </c>
    </row>
    <row r="1212" spans="1:6" x14ac:dyDescent="0.2">
      <c r="A1212" t="s">
        <v>2693</v>
      </c>
      <c r="B1212" t="s">
        <v>2694</v>
      </c>
      <c r="C1212" t="s">
        <v>1310</v>
      </c>
      <c r="D1212" t="s">
        <v>1008</v>
      </c>
      <c r="E1212" t="s">
        <v>2695</v>
      </c>
      <c r="F1212" s="2" t="str">
        <f>HYPERLINK("http://www.otzar.org/book.asp?100367","אומץ יוסף")</f>
        <v>אומץ יוסף</v>
      </c>
    </row>
    <row r="1213" spans="1:6" x14ac:dyDescent="0.2">
      <c r="A1213" t="s">
        <v>2696</v>
      </c>
      <c r="B1213" t="s">
        <v>2697</v>
      </c>
      <c r="C1213" t="s">
        <v>286</v>
      </c>
      <c r="D1213" t="s">
        <v>582</v>
      </c>
      <c r="E1213" t="s">
        <v>583</v>
      </c>
      <c r="F1213" s="2" t="str">
        <f>HYPERLINK("http://www.otzar.org/book.asp?14911","אומר אני מעשי למלך")</f>
        <v>אומר אני מעשי למלך</v>
      </c>
    </row>
    <row r="1214" spans="1:6" x14ac:dyDescent="0.2">
      <c r="A1214" t="s">
        <v>2698</v>
      </c>
      <c r="B1214" t="s">
        <v>686</v>
      </c>
      <c r="C1214" t="s">
        <v>244</v>
      </c>
      <c r="D1214" t="s">
        <v>80</v>
      </c>
      <c r="E1214" t="s">
        <v>246</v>
      </c>
      <c r="F1214" s="2" t="str">
        <f>HYPERLINK("http://www.otzar.org/book.asp?197872","אומר ברקאי")</f>
        <v>אומר ברקאי</v>
      </c>
    </row>
    <row r="1215" spans="1:6" x14ac:dyDescent="0.2">
      <c r="A1215" t="s">
        <v>2699</v>
      </c>
      <c r="B1215" t="s">
        <v>2700</v>
      </c>
      <c r="C1215" t="s">
        <v>800</v>
      </c>
      <c r="D1215" t="s">
        <v>164</v>
      </c>
      <c r="E1215" t="s">
        <v>144</v>
      </c>
      <c r="F1215" s="2" t="str">
        <f>HYPERLINK("http://www.otzar.org/book.asp?6146","אומר השכחה")</f>
        <v>אומר השכחה</v>
      </c>
    </row>
    <row r="1216" spans="1:6" x14ac:dyDescent="0.2">
      <c r="A1216" t="s">
        <v>2701</v>
      </c>
      <c r="B1216" t="s">
        <v>2702</v>
      </c>
      <c r="C1216" t="s">
        <v>286</v>
      </c>
      <c r="D1216" t="s">
        <v>283</v>
      </c>
      <c r="E1216" t="s">
        <v>1507</v>
      </c>
      <c r="F1216" s="2" t="str">
        <f>HYPERLINK("http://www.otzar.org/book.asp?19178","אומר ודברים")</f>
        <v>אומר ודברים</v>
      </c>
    </row>
    <row r="1217" spans="1:6" x14ac:dyDescent="0.2">
      <c r="A1217" t="s">
        <v>2703</v>
      </c>
      <c r="B1217" t="s">
        <v>2704</v>
      </c>
      <c r="C1217" t="s">
        <v>1470</v>
      </c>
      <c r="D1217" t="s">
        <v>2705</v>
      </c>
      <c r="F1217" s="2" t="str">
        <f>HYPERLINK("http://www.otzar.org/book.asp?198661","אומר לציון - 2 כר'")</f>
        <v>אומר לציון - 2 כר'</v>
      </c>
    </row>
    <row r="1218" spans="1:6" x14ac:dyDescent="0.2">
      <c r="A1218" t="s">
        <v>2706</v>
      </c>
      <c r="B1218" t="s">
        <v>2707</v>
      </c>
      <c r="C1218" t="s">
        <v>23</v>
      </c>
      <c r="D1218" t="s">
        <v>14</v>
      </c>
      <c r="E1218" t="s">
        <v>172</v>
      </c>
      <c r="F1218" s="2" t="str">
        <f>HYPERLINK("http://www.otzar.org/book.asp?198157","אומר לציון - דיני קריעה")</f>
        <v>אומר לציון - דיני קריעה</v>
      </c>
    </row>
    <row r="1219" spans="1:6" x14ac:dyDescent="0.2">
      <c r="A1219" t="s">
        <v>2708</v>
      </c>
      <c r="B1219" t="s">
        <v>2709</v>
      </c>
      <c r="C1219" t="s">
        <v>752</v>
      </c>
      <c r="D1219" t="s">
        <v>2710</v>
      </c>
      <c r="E1219" t="s">
        <v>508</v>
      </c>
      <c r="F1219" s="2" t="str">
        <f>HYPERLINK("http://www.otzar.org/book.asp?100368","אומר לציון")</f>
        <v>אומר לציון</v>
      </c>
    </row>
    <row r="1220" spans="1:6" x14ac:dyDescent="0.2">
      <c r="A1220" t="s">
        <v>2708</v>
      </c>
      <c r="B1220" t="s">
        <v>2711</v>
      </c>
      <c r="C1220" t="s">
        <v>454</v>
      </c>
      <c r="D1220" t="s">
        <v>14</v>
      </c>
      <c r="E1220" t="s">
        <v>172</v>
      </c>
      <c r="F1220" s="2" t="str">
        <f>HYPERLINK("http://www.otzar.org/book.asp?148782","אומר לציון")</f>
        <v>אומר לציון</v>
      </c>
    </row>
    <row r="1221" spans="1:6" x14ac:dyDescent="0.2">
      <c r="A1221" t="s">
        <v>2712</v>
      </c>
      <c r="B1221" t="s">
        <v>2713</v>
      </c>
      <c r="C1221" t="s">
        <v>1991</v>
      </c>
      <c r="D1221" t="s">
        <v>2714</v>
      </c>
      <c r="E1221" t="s">
        <v>2635</v>
      </c>
      <c r="F1221" s="2" t="str">
        <f>HYPERLINK("http://www.otzar.org/book.asp?300161","אומר מיהודא")</f>
        <v>אומר מיהודא</v>
      </c>
    </row>
    <row r="1222" spans="1:6" x14ac:dyDescent="0.2">
      <c r="A1222" t="s">
        <v>2715</v>
      </c>
      <c r="B1222" t="s">
        <v>206</v>
      </c>
      <c r="C1222" t="s">
        <v>20</v>
      </c>
      <c r="D1222" t="s">
        <v>21</v>
      </c>
      <c r="E1222" t="s">
        <v>241</v>
      </c>
      <c r="F1222" s="2" t="str">
        <f>HYPERLINK("http://www.otzar.org/book.asp?196448","אומרים שאתה מבקש")</f>
        <v>אומרים שאתה מבקש</v>
      </c>
    </row>
    <row r="1223" spans="1:6" x14ac:dyDescent="0.2">
      <c r="A1223" t="s">
        <v>2716</v>
      </c>
      <c r="B1223" t="s">
        <v>2717</v>
      </c>
      <c r="C1223" t="s">
        <v>1310</v>
      </c>
      <c r="D1223" t="s">
        <v>2718</v>
      </c>
      <c r="E1223" t="s">
        <v>144</v>
      </c>
      <c r="F1223" s="2" t="str">
        <f>HYPERLINK("http://www.otzar.org/book.asp?190352","אונס בגיטין")</f>
        <v>אונס בגיטין</v>
      </c>
    </row>
    <row r="1224" spans="1:6" x14ac:dyDescent="0.2">
      <c r="A1224" t="s">
        <v>2719</v>
      </c>
      <c r="B1224" t="s">
        <v>2720</v>
      </c>
      <c r="C1224" t="s">
        <v>151</v>
      </c>
      <c r="D1224" t="s">
        <v>21</v>
      </c>
      <c r="E1224" t="s">
        <v>158</v>
      </c>
      <c r="F1224" s="2" t="str">
        <f>HYPERLINK("http://www.otzar.org/book.asp?621162","אונקלוס המבואר - א (בראשית)")</f>
        <v>אונקלוס המבואר - א (בראשית)</v>
      </c>
    </row>
    <row r="1225" spans="1:6" x14ac:dyDescent="0.2">
      <c r="A1225" t="s">
        <v>2721</v>
      </c>
      <c r="B1225" t="s">
        <v>2722</v>
      </c>
      <c r="C1225" t="s">
        <v>422</v>
      </c>
      <c r="D1225" t="s">
        <v>90</v>
      </c>
      <c r="E1225" t="s">
        <v>246</v>
      </c>
      <c r="F1225" s="2" t="str">
        <f>HYPERLINK("http://www.otzar.org/book.asp?166246","אוסף אמרים - 2 כר'")</f>
        <v>אוסף אמרים - 2 כר'</v>
      </c>
    </row>
    <row r="1226" spans="1:6" x14ac:dyDescent="0.2">
      <c r="A1226" t="s">
        <v>2723</v>
      </c>
      <c r="B1226" t="s">
        <v>1385</v>
      </c>
      <c r="C1226" t="s">
        <v>332</v>
      </c>
      <c r="D1226" t="s">
        <v>216</v>
      </c>
      <c r="E1226" t="s">
        <v>2724</v>
      </c>
      <c r="F1226" s="2" t="str">
        <f>HYPERLINK("http://www.otzar.org/book.asp?10876","אוסף גנזים &lt;רעק""א&gt;")</f>
        <v>אוסף גנזים &lt;רעק"א&gt;</v>
      </c>
    </row>
    <row r="1227" spans="1:6" x14ac:dyDescent="0.2">
      <c r="A1227" t="s">
        <v>2725</v>
      </c>
      <c r="B1227" t="s">
        <v>2726</v>
      </c>
      <c r="C1227" t="s">
        <v>176</v>
      </c>
      <c r="D1227" t="s">
        <v>14</v>
      </c>
      <c r="E1227" t="s">
        <v>15</v>
      </c>
      <c r="F1227" s="2" t="str">
        <f>HYPERLINK("http://www.otzar.org/book.asp?6586","אוסף הפוסקים - 2 כר'")</f>
        <v>אוסף הפוסקים - 2 כר'</v>
      </c>
    </row>
    <row r="1228" spans="1:6" x14ac:dyDescent="0.2">
      <c r="A1228" t="s">
        <v>2727</v>
      </c>
      <c r="B1228" t="s">
        <v>2728</v>
      </c>
      <c r="C1228" t="s">
        <v>129</v>
      </c>
      <c r="D1228" t="s">
        <v>14</v>
      </c>
      <c r="E1228" t="s">
        <v>84</v>
      </c>
      <c r="F1228" s="2" t="str">
        <f>HYPERLINK("http://www.otzar.org/book.asp?51967","אוסף חיבורים וכתבי יד על מסכת שביעית")</f>
        <v>אוסף חיבורים וכתבי יד על מסכת שביעית</v>
      </c>
    </row>
    <row r="1229" spans="1:6" x14ac:dyDescent="0.2">
      <c r="A1229" t="s">
        <v>2729</v>
      </c>
      <c r="B1229" t="s">
        <v>2730</v>
      </c>
      <c r="C1229" t="s">
        <v>129</v>
      </c>
      <c r="D1229" t="s">
        <v>14</v>
      </c>
      <c r="E1229" t="s">
        <v>1097</v>
      </c>
      <c r="F1229" s="2" t="str">
        <f>HYPERLINK("http://www.otzar.org/book.asp?141905","אוסף חיבורים על אגדות הירושלמי שביעית")</f>
        <v>אוסף חיבורים על אגדות הירושלמי שביעית</v>
      </c>
    </row>
    <row r="1230" spans="1:6" x14ac:dyDescent="0.2">
      <c r="A1230" t="s">
        <v>2731</v>
      </c>
      <c r="B1230" t="s">
        <v>2730</v>
      </c>
      <c r="C1230" t="s">
        <v>129</v>
      </c>
      <c r="D1230" t="s">
        <v>14</v>
      </c>
      <c r="E1230" t="s">
        <v>15</v>
      </c>
      <c r="F1230" s="2" t="str">
        <f>HYPERLINK("http://www.otzar.org/book.asp?141904","אוסף חיבורים על הרמב""ם הלכות שמיטה ויובל")</f>
        <v>אוסף חיבורים על הרמב"ם הלכות שמיטה ויובל</v>
      </c>
    </row>
    <row r="1231" spans="1:6" x14ac:dyDescent="0.2">
      <c r="A1231" t="s">
        <v>2732</v>
      </c>
      <c r="B1231" t="s">
        <v>2730</v>
      </c>
      <c r="C1231" t="s">
        <v>129</v>
      </c>
      <c r="D1231" t="s">
        <v>14</v>
      </c>
      <c r="E1231" t="s">
        <v>148</v>
      </c>
      <c r="F1231" s="2" t="str">
        <f>HYPERLINK("http://www.otzar.org/book.asp?141903","אוסף חיבורים על טוש""ע הלכות פרוזבול")</f>
        <v>אוסף חיבורים על טוש"ע הלכות פרוזבול</v>
      </c>
    </row>
    <row r="1232" spans="1:6" x14ac:dyDescent="0.2">
      <c r="A1232" t="s">
        <v>2733</v>
      </c>
      <c r="B1232" t="s">
        <v>2730</v>
      </c>
      <c r="C1232" t="s">
        <v>129</v>
      </c>
      <c r="D1232" t="s">
        <v>14</v>
      </c>
      <c r="E1232" t="s">
        <v>1097</v>
      </c>
      <c r="F1232" s="2" t="str">
        <f>HYPERLINK("http://www.otzar.org/book.asp?141902","אוסף חיבורים על ירושלמי שביעית")</f>
        <v>אוסף חיבורים על ירושלמי שביעית</v>
      </c>
    </row>
    <row r="1233" spans="1:6" x14ac:dyDescent="0.2">
      <c r="A1233" t="s">
        <v>2734</v>
      </c>
      <c r="B1233" t="s">
        <v>2735</v>
      </c>
      <c r="C1233" t="s">
        <v>129</v>
      </c>
      <c r="D1233" t="s">
        <v>14</v>
      </c>
      <c r="E1233" t="s">
        <v>43</v>
      </c>
      <c r="F1233" s="2" t="str">
        <f>HYPERLINK("http://www.otzar.org/book.asp?141899","אוסף חיבורים על תוספתא שביעית")</f>
        <v>אוסף חיבורים על תוספתא שביעית</v>
      </c>
    </row>
    <row r="1234" spans="1:6" x14ac:dyDescent="0.2">
      <c r="A1234" t="s">
        <v>2736</v>
      </c>
      <c r="B1234" t="s">
        <v>2737</v>
      </c>
      <c r="C1234" t="s">
        <v>533</v>
      </c>
      <c r="D1234" t="s">
        <v>14</v>
      </c>
      <c r="E1234" t="s">
        <v>384</v>
      </c>
      <c r="F1234" s="2" t="str">
        <f>HYPERLINK("http://www.otzar.org/book.asp?11014","אוסף חידושי תורה")</f>
        <v>אוסף חידושי תורה</v>
      </c>
    </row>
    <row r="1235" spans="1:6" x14ac:dyDescent="0.2">
      <c r="A1235" t="s">
        <v>2738</v>
      </c>
      <c r="B1235" t="s">
        <v>2730</v>
      </c>
      <c r="C1235" t="s">
        <v>129</v>
      </c>
      <c r="D1235" t="s">
        <v>14</v>
      </c>
      <c r="E1235" t="s">
        <v>1097</v>
      </c>
      <c r="F1235" s="2" t="str">
        <f>HYPERLINK("http://www.otzar.org/book.asp?141906","אוסף חידושים וביאורים למסכת שביעית")</f>
        <v>אוסף חידושים וביאורים למסכת שביעית</v>
      </c>
    </row>
    <row r="1236" spans="1:6" x14ac:dyDescent="0.2">
      <c r="A1236" t="s">
        <v>2739</v>
      </c>
      <c r="B1236" t="e">
        <f>- אבואלעפיא, אברהם</f>
        <v>#NAME?</v>
      </c>
      <c r="C1236" t="s">
        <v>2740</v>
      </c>
      <c r="D1236" t="s">
        <v>2740</v>
      </c>
      <c r="E1236" t="s">
        <v>399</v>
      </c>
      <c r="F1236" s="2" t="str">
        <f>HYPERLINK("http://www.otzar.org/book.asp?62810","אוסף כת""י בקבלה - נר אלהים")</f>
        <v>אוסף כת"י בקבלה - נר אלהים</v>
      </c>
    </row>
    <row r="1237" spans="1:6" x14ac:dyDescent="0.2">
      <c r="A1237" t="s">
        <v>2741</v>
      </c>
      <c r="B1237" t="e">
        <f>- אהרן בן אברהם מקרדינא</f>
        <v>#NAME?</v>
      </c>
      <c r="C1237" t="s">
        <v>2740</v>
      </c>
      <c r="D1237" t="s">
        <v>2740</v>
      </c>
      <c r="E1237" t="s">
        <v>399</v>
      </c>
      <c r="F1237" s="2" t="str">
        <f>HYPERLINK("http://www.otzar.org/book.asp?62813","אוסף כת""י בקבלה - ספר קרניים")</f>
        <v>אוסף כת"י בקבלה - ספר קרניים</v>
      </c>
    </row>
    <row r="1238" spans="1:6" x14ac:dyDescent="0.2">
      <c r="A1238" t="s">
        <v>2742</v>
      </c>
      <c r="B1238" t="e">
        <f>- אהרן פיררא</f>
        <v>#NAME?</v>
      </c>
      <c r="C1238" t="s">
        <v>1163</v>
      </c>
      <c r="D1238" t="s">
        <v>1163</v>
      </c>
      <c r="E1238" t="s">
        <v>399</v>
      </c>
      <c r="F1238" s="2" t="str">
        <f>HYPERLINK("http://www.otzar.org/book.asp?62461","אוסף כת""י בקבלה - בגדי הקודש")</f>
        <v>אוסף כת"י בקבלה - בגדי הקודש</v>
      </c>
    </row>
    <row r="1239" spans="1:6" x14ac:dyDescent="0.2">
      <c r="A1239" t="s">
        <v>2743</v>
      </c>
      <c r="B1239" t="e">
        <f>- אזולאי אברהם</f>
        <v>#NAME?</v>
      </c>
      <c r="C1239" t="s">
        <v>1163</v>
      </c>
      <c r="D1239" t="s">
        <v>1163</v>
      </c>
      <c r="E1239" t="s">
        <v>399</v>
      </c>
      <c r="F1239" s="2" t="str">
        <f>HYPERLINK("http://www.otzar.org/book.asp?62444","אוסף כת""י בקבלה - חסד לאברהם")</f>
        <v>אוסף כת"י בקבלה - חסד לאברהם</v>
      </c>
    </row>
    <row r="1240" spans="1:6" x14ac:dyDescent="0.2">
      <c r="A1240" t="s">
        <v>2744</v>
      </c>
      <c r="B1240" t="e">
        <f>- אלחסין בן עבדאללה אבן סינא</f>
        <v>#NAME?</v>
      </c>
      <c r="C1240" t="s">
        <v>1163</v>
      </c>
      <c r="D1240" t="s">
        <v>1163</v>
      </c>
      <c r="E1240" t="s">
        <v>399</v>
      </c>
      <c r="F1240" s="2" t="str">
        <f>HYPERLINK("http://www.otzar.org/book.asp?62451","אוסף כת""י בקבלה - הקאנון")</f>
        <v>אוסף כת"י בקבלה - הקאנון</v>
      </c>
    </row>
    <row r="1241" spans="1:6" x14ac:dyDescent="0.2">
      <c r="A1241" t="s">
        <v>2745</v>
      </c>
      <c r="B1241" t="e">
        <f>- וויטאל, חיים בן יוסף</f>
        <v>#NAME?</v>
      </c>
      <c r="C1241" t="s">
        <v>1163</v>
      </c>
      <c r="D1241" t="s">
        <v>1163</v>
      </c>
      <c r="E1241" t="s">
        <v>399</v>
      </c>
      <c r="F1241" s="2" t="str">
        <f>HYPERLINK("http://www.otzar.org/book.asp?62457","אוסף כת""י בקבלה - 17 כר'")</f>
        <v>אוסף כת"י בקבלה - 17 כר'</v>
      </c>
    </row>
    <row r="1242" spans="1:6" x14ac:dyDescent="0.2">
      <c r="A1242" t="s">
        <v>2746</v>
      </c>
      <c r="B1242" t="e">
        <f>- זכות, משה בן מרדכי</f>
        <v>#NAME?</v>
      </c>
      <c r="C1242" t="s">
        <v>2740</v>
      </c>
      <c r="D1242" t="s">
        <v>2740</v>
      </c>
      <c r="E1242" t="s">
        <v>399</v>
      </c>
      <c r="F1242" s="2" t="str">
        <f>HYPERLINK("http://www.otzar.org/book.asp?62808","אוסף כת""י בקבלה - שרשי השמות")</f>
        <v>אוסף כת"י בקבלה - שרשי השמות</v>
      </c>
    </row>
    <row r="1243" spans="1:6" x14ac:dyDescent="0.2">
      <c r="A1243" t="s">
        <v>2747</v>
      </c>
      <c r="B1243" t="e">
        <f>- יעקב צמח</f>
        <v>#NAME?</v>
      </c>
      <c r="C1243" t="s">
        <v>1163</v>
      </c>
      <c r="D1243" t="s">
        <v>1163</v>
      </c>
      <c r="E1243" t="s">
        <v>399</v>
      </c>
      <c r="F1243" s="2" t="str">
        <f>HYPERLINK("http://www.otzar.org/book.asp?62445","אוסף כת""י בקבלה - נגיד ומצוה")</f>
        <v>אוסף כת"י בקבלה - נגיד ומצוה</v>
      </c>
    </row>
    <row r="1244" spans="1:6" x14ac:dyDescent="0.2">
      <c r="A1244" t="s">
        <v>2748</v>
      </c>
      <c r="B1244" t="s">
        <v>2749</v>
      </c>
      <c r="C1244" t="s">
        <v>1163</v>
      </c>
      <c r="D1244" t="s">
        <v>1163</v>
      </c>
      <c r="E1244" t="s">
        <v>399</v>
      </c>
      <c r="F1244" s="2" t="str">
        <f>HYPERLINK("http://www.otzar.org/book.asp?62398","אוסף כת""י בקבלה - 4 כר'")</f>
        <v>אוסף כת"י בקבלה - 4 כר'</v>
      </c>
    </row>
    <row r="1245" spans="1:6" x14ac:dyDescent="0.2">
      <c r="A1245" t="s">
        <v>2750</v>
      </c>
      <c r="B1245" t="e">
        <f>- ליקוטים בקבלה</f>
        <v>#NAME?</v>
      </c>
      <c r="C1245" t="s">
        <v>1163</v>
      </c>
      <c r="D1245" t="s">
        <v>1163</v>
      </c>
      <c r="E1245" t="s">
        <v>399</v>
      </c>
      <c r="F1245" s="2" t="str">
        <f>HYPERLINK("http://www.otzar.org/book.asp?62442","אוסף כת""י בקבלה - 10 כר'")</f>
        <v>אוסף כת"י בקבלה - 10 כר'</v>
      </c>
    </row>
    <row r="1246" spans="1:6" x14ac:dyDescent="0.2">
      <c r="A1246" t="s">
        <v>2751</v>
      </c>
      <c r="B1246" t="s">
        <v>2752</v>
      </c>
      <c r="C1246" t="s">
        <v>2740</v>
      </c>
      <c r="D1246" t="s">
        <v>2740</v>
      </c>
      <c r="E1246" t="s">
        <v>399</v>
      </c>
      <c r="F1246" s="2" t="str">
        <f>HYPERLINK("http://www.otzar.org/book.asp?62816","אוסף כת""י בקבלה - 2 כר'")</f>
        <v>אוסף כת"י בקבלה - 2 כר'</v>
      </c>
    </row>
    <row r="1247" spans="1:6" x14ac:dyDescent="0.2">
      <c r="A1247" t="s">
        <v>2753</v>
      </c>
      <c r="B1247" t="s">
        <v>2754</v>
      </c>
      <c r="C1247" t="s">
        <v>2740</v>
      </c>
      <c r="D1247" t="s">
        <v>2740</v>
      </c>
      <c r="E1247" t="s">
        <v>399</v>
      </c>
      <c r="F1247" s="2" t="str">
        <f>HYPERLINK("http://www.otzar.org/book.asp?62820","אוסף כת""י בקבלה - חסדי דוד")</f>
        <v>אוסף כת"י בקבלה - חסדי דוד</v>
      </c>
    </row>
    <row r="1248" spans="1:6" x14ac:dyDescent="0.2">
      <c r="A1248" t="s">
        <v>2755</v>
      </c>
      <c r="B1248" t="s">
        <v>2756</v>
      </c>
      <c r="C1248" t="s">
        <v>2740</v>
      </c>
      <c r="D1248" t="s">
        <v>2740</v>
      </c>
      <c r="E1248" t="s">
        <v>399</v>
      </c>
      <c r="F1248" s="2" t="str">
        <f>HYPERLINK("http://www.otzar.org/book.asp?62825","אוסף כת""י בקבלה - אמת ליעקב, פירוש האדרות")</f>
        <v>אוסף כת"י בקבלה - אמת ליעקב, פירוש האדרות</v>
      </c>
    </row>
    <row r="1249" spans="1:6" x14ac:dyDescent="0.2">
      <c r="A1249" t="s">
        <v>2757</v>
      </c>
      <c r="B1249" t="e">
        <f>- סופר, יעקב חיים בן יצחק ברוך אליהו</f>
        <v>#NAME?</v>
      </c>
      <c r="C1249" t="s">
        <v>1163</v>
      </c>
      <c r="D1249" t="s">
        <v>1163</v>
      </c>
      <c r="E1249" t="s">
        <v>2758</v>
      </c>
      <c r="F1249" s="2" t="str">
        <f>HYPERLINK("http://www.otzar.org/book.asp?156678","אוסף כת""י בקבלה - סידור הגדה ש""פ לבעל כף החיים")</f>
        <v>אוסף כת"י בקבלה - סידור הגדה ש"פ לבעל כף החיים</v>
      </c>
    </row>
    <row r="1250" spans="1:6" x14ac:dyDescent="0.2">
      <c r="A1250" t="s">
        <v>2759</v>
      </c>
      <c r="B1250" t="s">
        <v>2760</v>
      </c>
      <c r="C1250" t="s">
        <v>1163</v>
      </c>
      <c r="D1250" t="s">
        <v>1163</v>
      </c>
      <c r="E1250" t="s">
        <v>399</v>
      </c>
      <c r="F1250" s="2" t="str">
        <f>HYPERLINK("http://www.otzar.org/book.asp?62829","אוסף כת""י בקבלה - ספר כוונות בעריכת רמ""ע מפאנו")</f>
        <v>אוסף כת"י בקבלה - ספר כוונות בעריכת רמ"ע מפאנו</v>
      </c>
    </row>
    <row r="1251" spans="1:6" x14ac:dyDescent="0.2">
      <c r="A1251" t="s">
        <v>2761</v>
      </c>
      <c r="B1251" t="e">
        <f>- ציוני, מנחם בן מאיר</f>
        <v>#NAME?</v>
      </c>
      <c r="C1251" t="s">
        <v>2740</v>
      </c>
      <c r="D1251" t="s">
        <v>2740</v>
      </c>
      <c r="E1251" t="s">
        <v>399</v>
      </c>
      <c r="F1251" s="2" t="str">
        <f>HYPERLINK("http://www.otzar.org/book.asp?62818","אוסף כת""י בקבלה - צפוני ציוני")</f>
        <v>אוסף כת"י בקבלה - צפוני ציוני</v>
      </c>
    </row>
    <row r="1252" spans="1:6" x14ac:dyDescent="0.2">
      <c r="A1252" t="s">
        <v>2762</v>
      </c>
      <c r="B1252" t="e">
        <f>- שרעבי, שלום בן יצחק מזרחי</f>
        <v>#NAME?</v>
      </c>
      <c r="C1252" t="s">
        <v>1163</v>
      </c>
      <c r="D1252" t="s">
        <v>1163</v>
      </c>
      <c r="E1252" t="s">
        <v>399</v>
      </c>
      <c r="F1252" s="2" t="str">
        <f>HYPERLINK("http://www.otzar.org/book.asp?62828","אוסף כת""י בקבלה - 56 כר'")</f>
        <v>אוסף כת"י בקבלה - 56 כר'</v>
      </c>
    </row>
    <row r="1253" spans="1:6" x14ac:dyDescent="0.2">
      <c r="A1253" t="s">
        <v>2763</v>
      </c>
      <c r="B1253" t="s">
        <v>2764</v>
      </c>
      <c r="C1253" t="s">
        <v>1163</v>
      </c>
      <c r="D1253" t="s">
        <v>1163</v>
      </c>
      <c r="E1253" t="s">
        <v>399</v>
      </c>
      <c r="F1253" s="2" t="str">
        <f>HYPERLINK("http://www.otzar.org/book.asp?62464","אוסף כת""י בקבלה - אוצר החיים")</f>
        <v>אוסף כת"י בקבלה - אוצר החיים</v>
      </c>
    </row>
    <row r="1254" spans="1:6" x14ac:dyDescent="0.2">
      <c r="A1254" t="s">
        <v>2765</v>
      </c>
      <c r="B1254" t="s">
        <v>2766</v>
      </c>
      <c r="C1254" t="s">
        <v>624</v>
      </c>
      <c r="D1254" t="s">
        <v>412</v>
      </c>
      <c r="E1254" t="s">
        <v>104</v>
      </c>
      <c r="F1254" s="2" t="str">
        <f>HYPERLINK("http://www.otzar.org/book.asp?171016","אוסף כתבי היד הרבניים")</f>
        <v>אוסף כתבי היד הרבניים</v>
      </c>
    </row>
    <row r="1255" spans="1:6" x14ac:dyDescent="0.2">
      <c r="A1255" t="s">
        <v>2767</v>
      </c>
      <c r="B1255" t="s">
        <v>144</v>
      </c>
      <c r="C1255" t="s">
        <v>20</v>
      </c>
      <c r="D1255" t="s">
        <v>27</v>
      </c>
      <c r="E1255" t="s">
        <v>144</v>
      </c>
      <c r="F1255" s="2" t="str">
        <f>HYPERLINK("http://www.otzar.org/book.asp?169220","אוסף כתבי היד של התלמוד הבבלי בספרית הוטיקן ברומא - 6 כר'")</f>
        <v>אוסף כתבי היד של התלמוד הבבלי בספרית הוטיקן ברומא - 6 כר'</v>
      </c>
    </row>
    <row r="1256" spans="1:6" x14ac:dyDescent="0.2">
      <c r="A1256" t="s">
        <v>2768</v>
      </c>
      <c r="B1256" t="s">
        <v>2769</v>
      </c>
      <c r="C1256" t="s">
        <v>1619</v>
      </c>
      <c r="D1256" t="s">
        <v>14</v>
      </c>
      <c r="E1256" t="s">
        <v>104</v>
      </c>
      <c r="F1256" s="2" t="str">
        <f>HYPERLINK("http://www.otzar.org/book.asp?176023","אוסף מהלמן")</f>
        <v>אוסף מהלמן</v>
      </c>
    </row>
    <row r="1257" spans="1:6" x14ac:dyDescent="0.2">
      <c r="A1257" t="s">
        <v>2770</v>
      </c>
      <c r="B1257" t="s">
        <v>2771</v>
      </c>
      <c r="C1257" t="s">
        <v>160</v>
      </c>
      <c r="D1257" t="s">
        <v>2772</v>
      </c>
      <c r="E1257" t="s">
        <v>104</v>
      </c>
      <c r="F1257" s="2" t="str">
        <f>HYPERLINK("http://www.otzar.org/book.asp?181180","אוסף מכתבים ודברים")</f>
        <v>אוסף מכתבים ודברים</v>
      </c>
    </row>
    <row r="1258" spans="1:6" x14ac:dyDescent="0.2">
      <c r="A1258" t="s">
        <v>2773</v>
      </c>
      <c r="B1258" t="s">
        <v>2774</v>
      </c>
      <c r="C1258" t="s">
        <v>1062</v>
      </c>
      <c r="D1258" t="s">
        <v>986</v>
      </c>
      <c r="E1258" t="s">
        <v>2775</v>
      </c>
      <c r="F1258" s="2" t="str">
        <f>HYPERLINK("http://www.otzar.org/book.asp?168181","אוסף מכתבים מחוטבים")</f>
        <v>אוסף מכתבים מחוטבים</v>
      </c>
    </row>
    <row r="1259" spans="1:6" x14ac:dyDescent="0.2">
      <c r="A1259" t="s">
        <v>2776</v>
      </c>
      <c r="B1259" t="s">
        <v>2777</v>
      </c>
      <c r="C1259" t="s">
        <v>13</v>
      </c>
      <c r="D1259" t="s">
        <v>14</v>
      </c>
      <c r="E1259" t="s">
        <v>104</v>
      </c>
      <c r="F1259" s="2" t="str">
        <f>HYPERLINK("http://www.otzar.org/book.asp?158014","אוסף מכתבים")</f>
        <v>אוסף מכתבים</v>
      </c>
    </row>
    <row r="1260" spans="1:6" x14ac:dyDescent="0.2">
      <c r="A1260" t="s">
        <v>2778</v>
      </c>
      <c r="B1260" t="s">
        <v>2779</v>
      </c>
      <c r="C1260" t="s">
        <v>176</v>
      </c>
      <c r="D1260" t="s">
        <v>14</v>
      </c>
      <c r="E1260" t="s">
        <v>2780</v>
      </c>
      <c r="F1260" s="2" t="str">
        <f>HYPERLINK("http://www.otzar.org/book.asp?6720","אוסף מפרשי מגילת רות &lt;תפארת ישראל על מתן תורה&gt;")</f>
        <v>אוסף מפרשי מגילת רות &lt;תפארת ישראל על מתן תורה&gt;</v>
      </c>
    </row>
    <row r="1261" spans="1:6" x14ac:dyDescent="0.2">
      <c r="A1261" t="s">
        <v>2781</v>
      </c>
      <c r="B1261" t="s">
        <v>2500</v>
      </c>
      <c r="C1261" t="s">
        <v>785</v>
      </c>
      <c r="D1261" t="s">
        <v>412</v>
      </c>
      <c r="E1261" t="s">
        <v>15</v>
      </c>
      <c r="F1261" s="2" t="str">
        <f>HYPERLINK("http://www.otzar.org/book.asp?63254","אוסף ספרים בעניני כשרות וחיזוק הדת")</f>
        <v>אוסף ספרים בעניני כשרות וחיזוק הדת</v>
      </c>
    </row>
    <row r="1262" spans="1:6" x14ac:dyDescent="0.2">
      <c r="A1262" t="s">
        <v>2782</v>
      </c>
      <c r="B1262" t="s">
        <v>2730</v>
      </c>
      <c r="C1262" t="s">
        <v>129</v>
      </c>
      <c r="D1262" t="s">
        <v>14</v>
      </c>
      <c r="E1262" t="s">
        <v>154</v>
      </c>
      <c r="F1262" s="2" t="str">
        <f>HYPERLINK("http://www.otzar.org/book.asp?141901","אוסף על עניני שביעית ותשובות האחרונים")</f>
        <v>אוסף על עניני שביעית ותשובות האחרונים</v>
      </c>
    </row>
    <row r="1263" spans="1:6" x14ac:dyDescent="0.2">
      <c r="A1263" t="s">
        <v>2783</v>
      </c>
      <c r="B1263" t="s">
        <v>2784</v>
      </c>
      <c r="C1263" t="s">
        <v>129</v>
      </c>
      <c r="D1263" t="s">
        <v>14</v>
      </c>
      <c r="E1263" t="s">
        <v>10</v>
      </c>
      <c r="F1263" s="2" t="str">
        <f>HYPERLINK("http://www.otzar.org/book.asp?141900","אוסף על עניני שביעית ותשובות הראשונים")</f>
        <v>אוסף על עניני שביעית ותשובות הראשונים</v>
      </c>
    </row>
    <row r="1264" spans="1:6" x14ac:dyDescent="0.2">
      <c r="A1264" t="s">
        <v>2785</v>
      </c>
      <c r="B1264" t="s">
        <v>2786</v>
      </c>
      <c r="C1264" t="s">
        <v>356</v>
      </c>
      <c r="D1264" t="s">
        <v>14</v>
      </c>
      <c r="F1264" s="2" t="str">
        <f>HYPERLINK("http://www.otzar.org/book.asp?613679","אוסף פיוטי ספרד")</f>
        <v>אוסף פיוטי ספרד</v>
      </c>
    </row>
    <row r="1265" spans="1:6" x14ac:dyDescent="0.2">
      <c r="A1265" t="s">
        <v>2787</v>
      </c>
      <c r="B1265" t="s">
        <v>2788</v>
      </c>
      <c r="C1265" t="s">
        <v>1811</v>
      </c>
      <c r="D1265" t="s">
        <v>14</v>
      </c>
      <c r="E1265" t="s">
        <v>219</v>
      </c>
      <c r="F1265" s="2" t="str">
        <f>HYPERLINK("http://www.otzar.org/book.asp?169212","אוסף פיוטים ספרדי לתעניות ושבתות מיוחדות")</f>
        <v>אוסף פיוטים ספרדי לתעניות ושבתות מיוחדות</v>
      </c>
    </row>
    <row r="1266" spans="1:6" x14ac:dyDescent="0.2">
      <c r="A1266" t="s">
        <v>2789</v>
      </c>
      <c r="B1266" t="s">
        <v>2790</v>
      </c>
      <c r="C1266" t="s">
        <v>313</v>
      </c>
      <c r="D1266" t="s">
        <v>14</v>
      </c>
      <c r="E1266" t="s">
        <v>230</v>
      </c>
      <c r="F1266" s="2" t="str">
        <f>HYPERLINK("http://www.otzar.org/book.asp?106926","אוסף פירושים על מגילת אסתר")</f>
        <v>אוסף פירושים על מגילת אסתר</v>
      </c>
    </row>
    <row r="1267" spans="1:6" x14ac:dyDescent="0.2">
      <c r="A1267" t="s">
        <v>2791</v>
      </c>
      <c r="B1267" t="s">
        <v>2792</v>
      </c>
      <c r="C1267" t="s">
        <v>433</v>
      </c>
      <c r="D1267" t="s">
        <v>27</v>
      </c>
      <c r="E1267" t="s">
        <v>15</v>
      </c>
      <c r="F1267" s="2" t="str">
        <f>HYPERLINK("http://www.otzar.org/book.asp?169710","אוסף פסקי דין - 3 כר'")</f>
        <v>אוסף פסקי דין - 3 כר'</v>
      </c>
    </row>
    <row r="1268" spans="1:6" x14ac:dyDescent="0.2">
      <c r="A1268" t="s">
        <v>2793</v>
      </c>
      <c r="B1268" t="s">
        <v>2500</v>
      </c>
      <c r="D1268" t="s">
        <v>2794</v>
      </c>
      <c r="E1268" t="s">
        <v>15</v>
      </c>
      <c r="F1268" s="2" t="str">
        <f>HYPERLINK("http://www.otzar.org/book.asp?63250","אוסף קונטרסים בעניני כשרות וחיזוק הדת")</f>
        <v>אוסף קונטרסים בעניני כשרות וחיזוק הדת</v>
      </c>
    </row>
    <row r="1269" spans="1:6" x14ac:dyDescent="0.2">
      <c r="A1269" t="s">
        <v>2795</v>
      </c>
      <c r="B1269" t="s">
        <v>2796</v>
      </c>
      <c r="C1269" t="s">
        <v>2797</v>
      </c>
      <c r="D1269" t="s">
        <v>2798</v>
      </c>
      <c r="E1269" t="s">
        <v>786</v>
      </c>
      <c r="F1269" s="2" t="str">
        <f>HYPERLINK("http://www.otzar.org/book.asp?63316","אוסף קונטרסים בענינים שונים")</f>
        <v>אוסף קונטרסים בענינים שונים</v>
      </c>
    </row>
    <row r="1270" spans="1:6" x14ac:dyDescent="0.2">
      <c r="A1270" t="s">
        <v>2799</v>
      </c>
      <c r="B1270" t="s">
        <v>2800</v>
      </c>
      <c r="C1270" t="s">
        <v>168</v>
      </c>
      <c r="D1270" t="s">
        <v>216</v>
      </c>
      <c r="E1270" t="s">
        <v>219</v>
      </c>
      <c r="F1270" s="2" t="str">
        <f>HYPERLINK("http://www.otzar.org/book.asp?179528","אוסף שירי קודש")</f>
        <v>אוסף שירי קודש</v>
      </c>
    </row>
    <row r="1271" spans="1:6" x14ac:dyDescent="0.2">
      <c r="A1271" t="s">
        <v>2801</v>
      </c>
      <c r="B1271" t="s">
        <v>2802</v>
      </c>
      <c r="C1271" t="s">
        <v>20</v>
      </c>
      <c r="D1271" t="s">
        <v>14</v>
      </c>
      <c r="E1271" t="s">
        <v>674</v>
      </c>
      <c r="F1271" s="2" t="str">
        <f>HYPERLINK("http://www.otzar.org/book.asp?161550","אוסרי לגפן - 26 כר'")</f>
        <v>אוסרי לגפן - 26 כר'</v>
      </c>
    </row>
    <row r="1272" spans="1:6" x14ac:dyDescent="0.2">
      <c r="A1272" t="s">
        <v>2803</v>
      </c>
      <c r="B1272" t="s">
        <v>2804</v>
      </c>
      <c r="C1272" t="s">
        <v>351</v>
      </c>
      <c r="D1272" t="s">
        <v>27</v>
      </c>
      <c r="E1272" t="s">
        <v>241</v>
      </c>
      <c r="F1272" s="2" t="str">
        <f>HYPERLINK("http://www.otzar.org/book.asp?17132","אופל ובחן")</f>
        <v>אופל ובחן</v>
      </c>
    </row>
    <row r="1273" spans="1:6" x14ac:dyDescent="0.2">
      <c r="A1273" t="s">
        <v>2805</v>
      </c>
      <c r="B1273" t="s">
        <v>2806</v>
      </c>
      <c r="C1273" t="s">
        <v>1268</v>
      </c>
      <c r="D1273" t="s">
        <v>21</v>
      </c>
      <c r="E1273" t="s">
        <v>84</v>
      </c>
      <c r="F1273" s="2" t="str">
        <f>HYPERLINK("http://www.otzar.org/book.asp?603048","אוצר אבות")</f>
        <v>אוצר אבות</v>
      </c>
    </row>
    <row r="1274" spans="1:6" x14ac:dyDescent="0.2">
      <c r="A1274" t="s">
        <v>2807</v>
      </c>
      <c r="B1274" t="s">
        <v>2808</v>
      </c>
      <c r="C1274" t="s">
        <v>956</v>
      </c>
      <c r="D1274" t="s">
        <v>14</v>
      </c>
      <c r="E1274" t="s">
        <v>140</v>
      </c>
      <c r="F1274" s="2" t="str">
        <f>HYPERLINK("http://www.otzar.org/book.asp?611079","אוצר אגדות החסידים - 13 כר'")</f>
        <v>אוצר אגדות החסידים - 13 כר'</v>
      </c>
    </row>
    <row r="1275" spans="1:6" x14ac:dyDescent="0.2">
      <c r="A1275" t="s">
        <v>2809</v>
      </c>
      <c r="B1275" t="s">
        <v>1733</v>
      </c>
      <c r="C1275" t="s">
        <v>20</v>
      </c>
      <c r="D1275" t="s">
        <v>52</v>
      </c>
      <c r="E1275" t="s">
        <v>104</v>
      </c>
      <c r="F1275" s="2" t="str">
        <f>HYPERLINK("http://www.otzar.org/book.asp?161570","אוצר אגדות התורה - 7 כר'")</f>
        <v>אוצר אגדות התורה - 7 כר'</v>
      </c>
    </row>
    <row r="1276" spans="1:6" x14ac:dyDescent="0.2">
      <c r="A1276" t="s">
        <v>2810</v>
      </c>
      <c r="B1276" t="s">
        <v>1733</v>
      </c>
      <c r="C1276" t="s">
        <v>20</v>
      </c>
      <c r="D1276" t="s">
        <v>52</v>
      </c>
      <c r="E1276" t="s">
        <v>1103</v>
      </c>
      <c r="F1276" s="2" t="str">
        <f>HYPERLINK("http://www.otzar.org/book.asp?60715","אוצר אגדות נ""ך - 3 כר'")</f>
        <v>אוצר אגדות נ"ך - 3 כר'</v>
      </c>
    </row>
    <row r="1277" spans="1:6" x14ac:dyDescent="0.2">
      <c r="A1277" t="s">
        <v>2811</v>
      </c>
      <c r="B1277" t="s">
        <v>2812</v>
      </c>
      <c r="C1277" t="s">
        <v>2813</v>
      </c>
      <c r="D1277" t="s">
        <v>1422</v>
      </c>
      <c r="E1277" t="s">
        <v>104</v>
      </c>
      <c r="F1277" s="2" t="str">
        <f>HYPERLINK("http://www.otzar.org/book.asp?200055","אוצר אגדות")</f>
        <v>אוצר אגדות</v>
      </c>
    </row>
    <row r="1278" spans="1:6" x14ac:dyDescent="0.2">
      <c r="A1278" t="s">
        <v>2814</v>
      </c>
      <c r="B1278" t="s">
        <v>2815</v>
      </c>
      <c r="C1278" t="s">
        <v>1062</v>
      </c>
      <c r="D1278" t="s">
        <v>27</v>
      </c>
      <c r="E1278" t="s">
        <v>104</v>
      </c>
      <c r="F1278" s="2" t="str">
        <f>HYPERLINK("http://www.otzar.org/book.asp?169753","אוצר אגרות קודש")</f>
        <v>אוצר אגרות קודש</v>
      </c>
    </row>
    <row r="1279" spans="1:6" x14ac:dyDescent="0.2">
      <c r="A1279" t="s">
        <v>2814</v>
      </c>
      <c r="B1279" t="s">
        <v>2816</v>
      </c>
      <c r="C1279" t="s">
        <v>37</v>
      </c>
      <c r="D1279" t="s">
        <v>486</v>
      </c>
      <c r="E1279" t="s">
        <v>104</v>
      </c>
      <c r="F1279" s="2" t="str">
        <f>HYPERLINK("http://www.otzar.org/book.asp?629516","אוצר אגרות קודש")</f>
        <v>אוצר אגרות קודש</v>
      </c>
    </row>
    <row r="1280" spans="1:6" x14ac:dyDescent="0.2">
      <c r="A1280" t="s">
        <v>2817</v>
      </c>
      <c r="B1280" t="s">
        <v>2818</v>
      </c>
      <c r="C1280" t="s">
        <v>1169</v>
      </c>
      <c r="D1280" t="s">
        <v>27</v>
      </c>
      <c r="E1280" t="s">
        <v>104</v>
      </c>
      <c r="F1280" s="2" t="str">
        <f>HYPERLINK("http://www.otzar.org/book.asp?8441","אוצר אמרי אבות - 5 כר'")</f>
        <v>אוצר אמרי אבות - 5 כר'</v>
      </c>
    </row>
    <row r="1281" spans="1:6" x14ac:dyDescent="0.2">
      <c r="A1281" t="s">
        <v>2819</v>
      </c>
      <c r="B1281" t="s">
        <v>2820</v>
      </c>
      <c r="C1281" t="s">
        <v>422</v>
      </c>
      <c r="D1281" t="s">
        <v>52</v>
      </c>
      <c r="E1281" t="s">
        <v>158</v>
      </c>
      <c r="F1281" s="2" t="str">
        <f>HYPERLINK("http://www.otzar.org/book.asp?148262","אוצר אפרים - 21 כר'")</f>
        <v>אוצר אפרים - 21 כר'</v>
      </c>
    </row>
    <row r="1282" spans="1:6" x14ac:dyDescent="0.2">
      <c r="A1282" t="s">
        <v>2821</v>
      </c>
      <c r="B1282" t="s">
        <v>2822</v>
      </c>
      <c r="C1282" t="s">
        <v>68</v>
      </c>
      <c r="D1282" t="s">
        <v>21</v>
      </c>
      <c r="F1282" s="2" t="str">
        <f>HYPERLINK("http://www.otzar.org/book.asp?199826","אוצר ארץ ישראל - 6 כר'")</f>
        <v>אוצר ארץ ישראל - 6 כר'</v>
      </c>
    </row>
    <row r="1283" spans="1:6" x14ac:dyDescent="0.2">
      <c r="A1283" t="s">
        <v>2823</v>
      </c>
      <c r="B1283" t="s">
        <v>2824</v>
      </c>
      <c r="C1283" t="s">
        <v>422</v>
      </c>
      <c r="E1283" t="s">
        <v>144</v>
      </c>
      <c r="F1283" s="2" t="str">
        <f>HYPERLINK("http://www.otzar.org/book.asp?176954","אוצר ביאורים  - יבמות")</f>
        <v>אוצר ביאורים  - יבמות</v>
      </c>
    </row>
    <row r="1284" spans="1:6" x14ac:dyDescent="0.2">
      <c r="A1284" t="s">
        <v>2825</v>
      </c>
      <c r="B1284" t="s">
        <v>2826</v>
      </c>
      <c r="C1284" t="s">
        <v>13</v>
      </c>
      <c r="D1284" t="s">
        <v>21</v>
      </c>
      <c r="E1284" t="s">
        <v>15</v>
      </c>
      <c r="F1284" s="2" t="str">
        <f>HYPERLINK("http://www.otzar.org/book.asp?196777","אוצר בית דין הנהוג כיום")</f>
        <v>אוצר בית דין הנהוג כיום</v>
      </c>
    </row>
    <row r="1285" spans="1:6" x14ac:dyDescent="0.2">
      <c r="A1285" t="s">
        <v>2827</v>
      </c>
      <c r="B1285" t="s">
        <v>2828</v>
      </c>
      <c r="C1285" t="s">
        <v>366</v>
      </c>
      <c r="D1285" t="s">
        <v>14</v>
      </c>
      <c r="E1285" t="s">
        <v>104</v>
      </c>
      <c r="F1285" s="2" t="str">
        <f>HYPERLINK("http://www.otzar.org/book.asp?606582","אוצר בית ה'")</f>
        <v>אוצר בית ה'</v>
      </c>
    </row>
    <row r="1286" spans="1:6" x14ac:dyDescent="0.2">
      <c r="A1286" t="s">
        <v>2829</v>
      </c>
      <c r="B1286" t="s">
        <v>2830</v>
      </c>
      <c r="C1286" t="s">
        <v>1166</v>
      </c>
      <c r="D1286" t="s">
        <v>267</v>
      </c>
      <c r="E1286" t="s">
        <v>144</v>
      </c>
      <c r="F1286" s="2" t="str">
        <f>HYPERLINK("http://www.otzar.org/book.asp?189596","אוצר בלום")</f>
        <v>אוצר בלום</v>
      </c>
    </row>
    <row r="1287" spans="1:6" x14ac:dyDescent="0.2">
      <c r="A1287" t="s">
        <v>2829</v>
      </c>
      <c r="B1287" t="s">
        <v>2831</v>
      </c>
      <c r="C1287" t="s">
        <v>2832</v>
      </c>
      <c r="D1287" t="s">
        <v>2833</v>
      </c>
      <c r="E1287" t="s">
        <v>104</v>
      </c>
      <c r="F1287" s="2" t="str">
        <f>HYPERLINK("http://www.otzar.org/book.asp?196030","אוצר בלום")</f>
        <v>אוצר בלום</v>
      </c>
    </row>
    <row r="1288" spans="1:6" x14ac:dyDescent="0.2">
      <c r="A1288" t="s">
        <v>2829</v>
      </c>
      <c r="B1288" t="s">
        <v>2834</v>
      </c>
      <c r="C1288" t="s">
        <v>2835</v>
      </c>
      <c r="D1288" t="s">
        <v>27</v>
      </c>
      <c r="E1288" t="s">
        <v>119</v>
      </c>
      <c r="F1288" s="2" t="str">
        <f>HYPERLINK("http://www.otzar.org/book.asp?153983","אוצר בלום")</f>
        <v>אוצר בלום</v>
      </c>
    </row>
    <row r="1289" spans="1:6" x14ac:dyDescent="0.2">
      <c r="A1289" t="s">
        <v>2836</v>
      </c>
      <c r="B1289" t="s">
        <v>2837</v>
      </c>
      <c r="C1289" t="s">
        <v>492</v>
      </c>
      <c r="D1289" t="s">
        <v>855</v>
      </c>
      <c r="E1289" t="s">
        <v>993</v>
      </c>
      <c r="F1289" s="2" t="str">
        <f>HYPERLINK("http://www.otzar.org/book.asp?300162","אוצר בלום - א - ב")</f>
        <v>אוצר בלום - א - ב</v>
      </c>
    </row>
    <row r="1290" spans="1:6" x14ac:dyDescent="0.2">
      <c r="A1290" t="s">
        <v>2838</v>
      </c>
      <c r="B1290" t="s">
        <v>2839</v>
      </c>
      <c r="C1290" t="s">
        <v>244</v>
      </c>
      <c r="D1290" t="s">
        <v>52</v>
      </c>
      <c r="E1290" t="s">
        <v>2840</v>
      </c>
      <c r="F1290" s="2" t="str">
        <f>HYPERLINK("http://www.otzar.org/book.asp?604549","אוצר בר מצוה")</f>
        <v>אוצר בר מצוה</v>
      </c>
    </row>
    <row r="1291" spans="1:6" x14ac:dyDescent="0.2">
      <c r="A1291" t="s">
        <v>2841</v>
      </c>
      <c r="B1291" t="s">
        <v>2842</v>
      </c>
      <c r="C1291" t="s">
        <v>37</v>
      </c>
      <c r="D1291" t="s">
        <v>486</v>
      </c>
      <c r="E1291" t="s">
        <v>172</v>
      </c>
      <c r="F1291" s="2" t="str">
        <f>HYPERLINK("http://www.otzar.org/book.asp?603096","אוצר ברית אברהם - 2 כר'")</f>
        <v>אוצר ברית אברהם - 2 כר'</v>
      </c>
    </row>
    <row r="1292" spans="1:6" x14ac:dyDescent="0.2">
      <c r="A1292" t="s">
        <v>2843</v>
      </c>
      <c r="B1292" t="s">
        <v>2844</v>
      </c>
      <c r="C1292" t="s">
        <v>940</v>
      </c>
      <c r="D1292" t="s">
        <v>14</v>
      </c>
      <c r="E1292" t="s">
        <v>172</v>
      </c>
      <c r="F1292" s="2" t="str">
        <f>HYPERLINK("http://www.otzar.org/book.asp?156840","אוצר ברכות המצוות")</f>
        <v>אוצר ברכות המצוות</v>
      </c>
    </row>
    <row r="1293" spans="1:6" x14ac:dyDescent="0.2">
      <c r="A1293" t="s">
        <v>2845</v>
      </c>
      <c r="B1293" t="s">
        <v>2530</v>
      </c>
      <c r="C1293" t="s">
        <v>17</v>
      </c>
      <c r="D1293" t="s">
        <v>14</v>
      </c>
      <c r="E1293" t="s">
        <v>15</v>
      </c>
      <c r="F1293" s="2" t="str">
        <f>HYPERLINK("http://www.otzar.org/book.asp?85553","אוצר ברכת חתנים")</f>
        <v>אוצר ברכת חתנים</v>
      </c>
    </row>
    <row r="1294" spans="1:6" x14ac:dyDescent="0.2">
      <c r="A1294" t="s">
        <v>2846</v>
      </c>
      <c r="B1294" t="s">
        <v>2847</v>
      </c>
      <c r="C1294" t="s">
        <v>20</v>
      </c>
      <c r="D1294" t="s">
        <v>14</v>
      </c>
      <c r="E1294" t="s">
        <v>172</v>
      </c>
      <c r="F1294" s="2" t="str">
        <f>HYPERLINK("http://www.otzar.org/book.asp?604624","אוצר גט מעושה")</f>
        <v>אוצר גט מעושה</v>
      </c>
    </row>
    <row r="1295" spans="1:6" x14ac:dyDescent="0.2">
      <c r="A1295" t="s">
        <v>2848</v>
      </c>
      <c r="B1295" t="s">
        <v>2849</v>
      </c>
      <c r="C1295" t="s">
        <v>422</v>
      </c>
      <c r="D1295" t="s">
        <v>412</v>
      </c>
      <c r="E1295" t="s">
        <v>230</v>
      </c>
      <c r="F1295" s="2" t="str">
        <f>HYPERLINK("http://www.otzar.org/book.asp?164107","אוצר גליוני דברי תורה &lt;סטוטשין&gt;")</f>
        <v>אוצר גליוני דברי תורה &lt;סטוטשין&gt;</v>
      </c>
    </row>
    <row r="1296" spans="1:6" x14ac:dyDescent="0.2">
      <c r="A1296" t="s">
        <v>2850</v>
      </c>
      <c r="B1296" t="s">
        <v>2851</v>
      </c>
      <c r="C1296" t="s">
        <v>1663</v>
      </c>
      <c r="D1296" t="s">
        <v>27</v>
      </c>
      <c r="E1296" t="s">
        <v>2633</v>
      </c>
      <c r="F1296" s="2" t="str">
        <f>HYPERLINK("http://www.otzar.org/book.asp?103964","אוצר גנזים")</f>
        <v>אוצר גנזים</v>
      </c>
    </row>
    <row r="1297" spans="1:6" x14ac:dyDescent="0.2">
      <c r="A1297" t="s">
        <v>2852</v>
      </c>
      <c r="B1297" t="s">
        <v>2853</v>
      </c>
      <c r="C1297" t="s">
        <v>1268</v>
      </c>
      <c r="D1297" t="s">
        <v>412</v>
      </c>
      <c r="E1297" t="s">
        <v>64</v>
      </c>
      <c r="F1297" s="2" t="str">
        <f>HYPERLINK("http://www.otzar.org/book.asp?155977","אוצר דבי אליהו")</f>
        <v>אוצר דבי אליהו</v>
      </c>
    </row>
    <row r="1298" spans="1:6" x14ac:dyDescent="0.2">
      <c r="A1298" t="s">
        <v>2854</v>
      </c>
      <c r="B1298" t="s">
        <v>2855</v>
      </c>
      <c r="C1298" t="s">
        <v>129</v>
      </c>
      <c r="D1298" t="s">
        <v>646</v>
      </c>
      <c r="E1298" t="s">
        <v>148</v>
      </c>
      <c r="F1298" s="2" t="str">
        <f>HYPERLINK("http://www.otzar.org/book.asp?171191","אוצר דברי הפוסקים - 2 כר'")</f>
        <v>אוצר דברי הפוסקים - 2 כר'</v>
      </c>
    </row>
    <row r="1299" spans="1:6" x14ac:dyDescent="0.2">
      <c r="A1299" t="s">
        <v>2856</v>
      </c>
      <c r="B1299" t="s">
        <v>2857</v>
      </c>
      <c r="C1299" t="s">
        <v>160</v>
      </c>
      <c r="D1299" t="s">
        <v>260</v>
      </c>
      <c r="E1299" t="s">
        <v>104</v>
      </c>
      <c r="F1299" s="2" t="str">
        <f>HYPERLINK("http://www.otzar.org/book.asp?8449","אוצר דברי חכמים ופתגמיהם - 2 כר'")</f>
        <v>אוצר דברי חכמים ופתגמיהם - 2 כר'</v>
      </c>
    </row>
    <row r="1300" spans="1:6" x14ac:dyDescent="0.2">
      <c r="A1300" t="s">
        <v>2858</v>
      </c>
      <c r="B1300" t="s">
        <v>2859</v>
      </c>
      <c r="C1300" t="s">
        <v>1721</v>
      </c>
      <c r="D1300" t="s">
        <v>1490</v>
      </c>
      <c r="E1300" t="s">
        <v>104</v>
      </c>
      <c r="F1300" s="2" t="str">
        <f>HYPERLINK("http://www.otzar.org/book.asp?147896","אוצר דברי לשון הקדש &lt;מילון לאדינו&gt;")</f>
        <v>אוצר דברי לשון הקדש &lt;מילון לאדינו&gt;</v>
      </c>
    </row>
    <row r="1301" spans="1:6" x14ac:dyDescent="0.2">
      <c r="A1301" t="s">
        <v>2860</v>
      </c>
      <c r="B1301" t="s">
        <v>2861</v>
      </c>
      <c r="C1301" t="s">
        <v>133</v>
      </c>
      <c r="D1301" t="s">
        <v>646</v>
      </c>
      <c r="E1301" t="s">
        <v>2862</v>
      </c>
      <c r="F1301" s="2" t="str">
        <f>HYPERLINK("http://www.otzar.org/book.asp?189455","אוצר דברי רבינו")</f>
        <v>אוצר דברי רבינו</v>
      </c>
    </row>
    <row r="1302" spans="1:6" x14ac:dyDescent="0.2">
      <c r="A1302" t="s">
        <v>2863</v>
      </c>
      <c r="B1302" t="s">
        <v>2864</v>
      </c>
      <c r="C1302" t="s">
        <v>17</v>
      </c>
      <c r="D1302" t="s">
        <v>14</v>
      </c>
      <c r="E1302" t="s">
        <v>15</v>
      </c>
      <c r="F1302" s="2" t="str">
        <f>HYPERLINK("http://www.otzar.org/book.asp?108210","אוצר דוד")</f>
        <v>אוצר דוד</v>
      </c>
    </row>
    <row r="1303" spans="1:6" x14ac:dyDescent="0.2">
      <c r="A1303" t="s">
        <v>2865</v>
      </c>
      <c r="B1303" t="s">
        <v>2866</v>
      </c>
      <c r="C1303" t="s">
        <v>411</v>
      </c>
      <c r="D1303" t="s">
        <v>2867</v>
      </c>
      <c r="E1303" t="s">
        <v>803</v>
      </c>
      <c r="F1303" s="2" t="str">
        <f>HYPERLINK("http://www.otzar.org/book.asp?166281","אוצר דין רובו ככולו")</f>
        <v>אוצר דין רובו ככולו</v>
      </c>
    </row>
    <row r="1304" spans="1:6" x14ac:dyDescent="0.2">
      <c r="A1304" t="s">
        <v>2868</v>
      </c>
      <c r="B1304" t="s">
        <v>2869</v>
      </c>
      <c r="C1304" t="s">
        <v>2870</v>
      </c>
      <c r="D1304" t="s">
        <v>9</v>
      </c>
      <c r="E1304" t="s">
        <v>674</v>
      </c>
      <c r="F1304" s="2" t="str">
        <f>HYPERLINK("http://www.otzar.org/book.asp?259","אוצר דינים ומנהגים")</f>
        <v>אוצר דינים ומנהגים</v>
      </c>
    </row>
    <row r="1305" spans="1:6" x14ac:dyDescent="0.2">
      <c r="A1305" t="s">
        <v>2871</v>
      </c>
      <c r="B1305" t="s">
        <v>2872</v>
      </c>
      <c r="C1305" t="s">
        <v>111</v>
      </c>
      <c r="D1305" t="s">
        <v>52</v>
      </c>
      <c r="E1305" t="s">
        <v>674</v>
      </c>
      <c r="F1305" s="2" t="str">
        <f>HYPERLINK("http://www.otzar.org/book.asp?628514","אוצר דינים תורת הקרבנות - 19 כר'")</f>
        <v>אוצר דינים תורת הקרבנות - 19 כר'</v>
      </c>
    </row>
    <row r="1306" spans="1:6" x14ac:dyDescent="0.2">
      <c r="A1306" t="s">
        <v>2873</v>
      </c>
      <c r="B1306" t="s">
        <v>2869</v>
      </c>
      <c r="C1306" t="s">
        <v>2874</v>
      </c>
      <c r="D1306" t="s">
        <v>9</v>
      </c>
      <c r="E1306" t="s">
        <v>2875</v>
      </c>
      <c r="F1306" s="2" t="str">
        <f>HYPERLINK("http://www.otzar.org/book.asp?15686","אוצר דרושים נבחרים")</f>
        <v>אוצר דרושים נבחרים</v>
      </c>
    </row>
    <row r="1307" spans="1:6" x14ac:dyDescent="0.2">
      <c r="A1307" t="s">
        <v>2876</v>
      </c>
      <c r="B1307" t="s">
        <v>2877</v>
      </c>
      <c r="C1307" t="s">
        <v>68</v>
      </c>
      <c r="D1307" t="s">
        <v>14</v>
      </c>
      <c r="F1307" s="2" t="str">
        <f>HYPERLINK("http://www.otzar.org/book.asp?156820","אוצר דרשות ומאמרים - 3 כר'")</f>
        <v>אוצר דרשות ומאמרים - 3 כר'</v>
      </c>
    </row>
    <row r="1308" spans="1:6" x14ac:dyDescent="0.2">
      <c r="A1308" t="s">
        <v>2878</v>
      </c>
      <c r="B1308" t="s">
        <v>2869</v>
      </c>
      <c r="C1308" t="s">
        <v>2105</v>
      </c>
      <c r="D1308" t="s">
        <v>9</v>
      </c>
      <c r="E1308" t="s">
        <v>2879</v>
      </c>
      <c r="F1308" s="2" t="str">
        <f>HYPERLINK("http://www.otzar.org/book.asp?15695","אוצר דרשות")</f>
        <v>אוצר דרשות</v>
      </c>
    </row>
    <row r="1309" spans="1:6" x14ac:dyDescent="0.2">
      <c r="A1309" t="s">
        <v>2880</v>
      </c>
      <c r="B1309" t="s">
        <v>2881</v>
      </c>
      <c r="C1309" t="s">
        <v>576</v>
      </c>
      <c r="D1309" t="s">
        <v>322</v>
      </c>
      <c r="E1309" t="s">
        <v>38</v>
      </c>
      <c r="F1309" s="2" t="str">
        <f>HYPERLINK("http://www.otzar.org/book.asp?197474","אוצר האגדה")</f>
        <v>אוצר האגדה</v>
      </c>
    </row>
    <row r="1310" spans="1:6" x14ac:dyDescent="0.2">
      <c r="A1310" t="s">
        <v>2882</v>
      </c>
      <c r="B1310" t="s">
        <v>2883</v>
      </c>
      <c r="C1310" t="s">
        <v>553</v>
      </c>
      <c r="D1310" t="s">
        <v>412</v>
      </c>
      <c r="E1310" t="s">
        <v>2780</v>
      </c>
      <c r="F1310" s="2" t="str">
        <f>HYPERLINK("http://www.otzar.org/book.asp?157628","אוצר האגרת")</f>
        <v>אוצר האגרת</v>
      </c>
    </row>
    <row r="1311" spans="1:6" x14ac:dyDescent="0.2">
      <c r="A1311" t="s">
        <v>2884</v>
      </c>
      <c r="B1311" t="s">
        <v>2885</v>
      </c>
      <c r="C1311" t="s">
        <v>20</v>
      </c>
      <c r="D1311" t="s">
        <v>14</v>
      </c>
      <c r="E1311" t="s">
        <v>703</v>
      </c>
      <c r="F1311" s="2" t="str">
        <f>HYPERLINK("http://www.otzar.org/book.asp?60917","אוצר האמונה")</f>
        <v>אוצר האמונה</v>
      </c>
    </row>
    <row r="1312" spans="1:6" x14ac:dyDescent="0.2">
      <c r="A1312" t="s">
        <v>2886</v>
      </c>
      <c r="B1312" t="s">
        <v>2887</v>
      </c>
      <c r="C1312" t="s">
        <v>1062</v>
      </c>
      <c r="D1312" t="s">
        <v>563</v>
      </c>
      <c r="E1312" t="s">
        <v>1211</v>
      </c>
      <c r="F1312" s="2" t="str">
        <f>HYPERLINK("http://www.otzar.org/book.asp?250","אוצר הבאורים והפירושים")</f>
        <v>אוצר הבאורים והפירושים</v>
      </c>
    </row>
    <row r="1313" spans="1:6" x14ac:dyDescent="0.2">
      <c r="A1313" t="s">
        <v>2888</v>
      </c>
      <c r="B1313" t="s">
        <v>2889</v>
      </c>
      <c r="C1313" t="s">
        <v>523</v>
      </c>
      <c r="D1313" t="s">
        <v>14</v>
      </c>
      <c r="E1313" t="s">
        <v>15</v>
      </c>
      <c r="F1313" s="2" t="str">
        <f>HYPERLINK("http://www.otzar.org/book.asp?85446","אוצר הברית - 4 כר'")</f>
        <v>אוצר הברית - 4 כר'</v>
      </c>
    </row>
    <row r="1314" spans="1:6" x14ac:dyDescent="0.2">
      <c r="A1314" t="s">
        <v>2890</v>
      </c>
      <c r="B1314" t="s">
        <v>2891</v>
      </c>
      <c r="C1314" t="s">
        <v>17</v>
      </c>
      <c r="D1314" t="s">
        <v>14</v>
      </c>
      <c r="E1314" t="s">
        <v>140</v>
      </c>
      <c r="F1314" s="2" t="str">
        <f>HYPERLINK("http://www.otzar.org/book.asp?618959","אוצר הברכה - א")</f>
        <v>אוצר הברכה - א</v>
      </c>
    </row>
    <row r="1315" spans="1:6" x14ac:dyDescent="0.2">
      <c r="A1315" t="s">
        <v>2892</v>
      </c>
      <c r="B1315" t="s">
        <v>2893</v>
      </c>
      <c r="C1315" t="s">
        <v>151</v>
      </c>
      <c r="D1315" t="s">
        <v>14</v>
      </c>
      <c r="E1315" t="s">
        <v>144</v>
      </c>
      <c r="F1315" s="2" t="str">
        <f>HYPERLINK("http://www.otzar.org/book.asp?610628","אוצר הגאונים החדש - 2 כר'")</f>
        <v>אוצר הגאונים החדש - 2 כר'</v>
      </c>
    </row>
    <row r="1316" spans="1:6" x14ac:dyDescent="0.2">
      <c r="A1316" t="s">
        <v>2894</v>
      </c>
      <c r="B1316" t="s">
        <v>2895</v>
      </c>
      <c r="C1316" t="s">
        <v>244</v>
      </c>
      <c r="D1316" t="s">
        <v>1356</v>
      </c>
      <c r="E1316" t="s">
        <v>144</v>
      </c>
      <c r="F1316" s="2" t="str">
        <f>HYPERLINK("http://www.otzar.org/book.asp?625878","אוצר הגאונים - מסכת עבודה זרה")</f>
        <v>אוצר הגאונים - מסכת עבודה זרה</v>
      </c>
    </row>
    <row r="1317" spans="1:6" x14ac:dyDescent="0.2">
      <c r="A1317" t="s">
        <v>2896</v>
      </c>
      <c r="B1317" t="s">
        <v>2897</v>
      </c>
      <c r="C1317" t="s">
        <v>1160</v>
      </c>
      <c r="D1317" t="s">
        <v>14</v>
      </c>
      <c r="E1317" t="s">
        <v>2898</v>
      </c>
      <c r="F1317" s="2" t="str">
        <f>HYPERLINK("http://www.otzar.org/book.asp?7503","אוצר הגאונים - יד (סנהדרין)")</f>
        <v>אוצר הגאונים - יד (סנהדרין)</v>
      </c>
    </row>
    <row r="1318" spans="1:6" x14ac:dyDescent="0.2">
      <c r="A1318" t="s">
        <v>2899</v>
      </c>
      <c r="B1318" t="s">
        <v>2900</v>
      </c>
      <c r="C1318" t="s">
        <v>2901</v>
      </c>
      <c r="D1318" t="s">
        <v>1651</v>
      </c>
      <c r="E1318" t="s">
        <v>2898</v>
      </c>
      <c r="F1318" s="2" t="str">
        <f>HYPERLINK("http://www.otzar.org/book.asp?7493","אוצר הגאונים - 13 כר'")</f>
        <v>אוצר הגאונים - 13 כר'</v>
      </c>
    </row>
    <row r="1319" spans="1:6" x14ac:dyDescent="0.2">
      <c r="A1319" t="s">
        <v>2902</v>
      </c>
      <c r="B1319" t="s">
        <v>2903</v>
      </c>
      <c r="C1319" t="s">
        <v>2904</v>
      </c>
      <c r="D1319" t="s">
        <v>1356</v>
      </c>
      <c r="E1319" t="s">
        <v>119</v>
      </c>
      <c r="F1319" s="2" t="str">
        <f>HYPERLINK("http://www.otzar.org/book.asp?104933","אוצר הגדולים - 9 כר'")</f>
        <v>אוצר הגדולים - 9 כר'</v>
      </c>
    </row>
    <row r="1320" spans="1:6" x14ac:dyDescent="0.2">
      <c r="A1320" t="s">
        <v>2905</v>
      </c>
      <c r="B1320" t="s">
        <v>2906</v>
      </c>
      <c r="C1320" t="s">
        <v>1160</v>
      </c>
      <c r="D1320" t="s">
        <v>412</v>
      </c>
      <c r="F1320" s="2" t="str">
        <f>HYPERLINK("http://www.otzar.org/book.asp?615279","אוצר הגיוני יצחק")</f>
        <v>אוצר הגיוני יצחק</v>
      </c>
    </row>
    <row r="1321" spans="1:6" x14ac:dyDescent="0.2">
      <c r="A1321" t="s">
        <v>2907</v>
      </c>
      <c r="B1321" t="s">
        <v>2908</v>
      </c>
      <c r="C1321" t="s">
        <v>37</v>
      </c>
      <c r="D1321" t="s">
        <v>2909</v>
      </c>
      <c r="F1321" s="2" t="str">
        <f>HYPERLINK("http://www.otzar.org/book.asp?194847","אוצר הגנוז - א")</f>
        <v>אוצר הגנוז - א</v>
      </c>
    </row>
    <row r="1322" spans="1:6" x14ac:dyDescent="0.2">
      <c r="A1322" t="s">
        <v>2910</v>
      </c>
      <c r="B1322" t="s">
        <v>2911</v>
      </c>
      <c r="C1322" t="s">
        <v>2912</v>
      </c>
      <c r="D1322" t="s">
        <v>9</v>
      </c>
      <c r="E1322" t="s">
        <v>1262</v>
      </c>
      <c r="F1322" s="2" t="str">
        <f>HYPERLINK("http://www.otzar.org/book.asp?196062","אוצר הדרנים הדרת דוד - 2 כר'")</f>
        <v>אוצר הדרנים הדרת דוד - 2 כר'</v>
      </c>
    </row>
    <row r="1323" spans="1:6" x14ac:dyDescent="0.2">
      <c r="A1323" t="s">
        <v>2913</v>
      </c>
      <c r="B1323" t="s">
        <v>2914</v>
      </c>
      <c r="C1323" t="s">
        <v>313</v>
      </c>
      <c r="D1323" t="s">
        <v>1153</v>
      </c>
      <c r="E1323" t="s">
        <v>2915</v>
      </c>
      <c r="F1323" s="2" t="str">
        <f>HYPERLINK("http://www.otzar.org/book.asp?64198","אוצר הדרשות - 2 כר'")</f>
        <v>אוצר הדרשות - 2 כר'</v>
      </c>
    </row>
    <row r="1324" spans="1:6" x14ac:dyDescent="0.2">
      <c r="A1324" t="s">
        <v>2916</v>
      </c>
      <c r="B1324" t="s">
        <v>2917</v>
      </c>
      <c r="C1324" t="s">
        <v>244</v>
      </c>
      <c r="D1324" t="s">
        <v>14</v>
      </c>
      <c r="E1324" t="s">
        <v>130</v>
      </c>
      <c r="F1324" s="2" t="str">
        <f>HYPERLINK("http://www.otzar.org/book.asp?607098","אוצר ההדר - ארבעת המינים")</f>
        <v>אוצר ההדר - ארבעת המינים</v>
      </c>
    </row>
    <row r="1325" spans="1:6" x14ac:dyDescent="0.2">
      <c r="A1325" t="s">
        <v>2918</v>
      </c>
      <c r="B1325" t="s">
        <v>2919</v>
      </c>
      <c r="C1325" t="s">
        <v>151</v>
      </c>
      <c r="D1325" t="s">
        <v>1646</v>
      </c>
      <c r="E1325" t="s">
        <v>104</v>
      </c>
      <c r="F1325" s="2" t="str">
        <f>HYPERLINK("http://www.otzar.org/book.asp?627749","אוצר ההודיה לבת המצוה")</f>
        <v>אוצר ההודיה לבת המצוה</v>
      </c>
    </row>
    <row r="1326" spans="1:6" x14ac:dyDescent="0.2">
      <c r="A1326" t="s">
        <v>2920</v>
      </c>
      <c r="B1326" t="s">
        <v>2921</v>
      </c>
      <c r="C1326" t="s">
        <v>129</v>
      </c>
      <c r="D1326" t="s">
        <v>52</v>
      </c>
      <c r="E1326" t="s">
        <v>148</v>
      </c>
      <c r="F1326" s="2" t="str">
        <f>HYPERLINK("http://www.otzar.org/book.asp?85235","אוצר ההלכה - 6 כר'")</f>
        <v>אוצר ההלכה - 6 כר'</v>
      </c>
    </row>
    <row r="1327" spans="1:6" x14ac:dyDescent="0.2">
      <c r="A1327" t="s">
        <v>2922</v>
      </c>
      <c r="B1327" t="s">
        <v>62</v>
      </c>
      <c r="C1327" t="s">
        <v>334</v>
      </c>
      <c r="D1327" t="s">
        <v>14</v>
      </c>
      <c r="E1327" t="s">
        <v>148</v>
      </c>
      <c r="F1327" s="2" t="str">
        <f>HYPERLINK("http://www.otzar.org/book.asp?8593","אוצר ההלכות והמנהגים")</f>
        <v>אוצר ההלכות והמנהגים</v>
      </c>
    </row>
    <row r="1328" spans="1:6" x14ac:dyDescent="0.2">
      <c r="A1328" t="s">
        <v>2923</v>
      </c>
      <c r="B1328" t="s">
        <v>2924</v>
      </c>
      <c r="C1328" t="s">
        <v>1388</v>
      </c>
      <c r="D1328" t="s">
        <v>14</v>
      </c>
      <c r="E1328" t="s">
        <v>172</v>
      </c>
      <c r="F1328" s="2" t="str">
        <f>HYPERLINK("http://www.otzar.org/book.asp?165826","אוצר ההלכות - 13 כר'")</f>
        <v>אוצר ההלכות - 13 כר'</v>
      </c>
    </row>
    <row r="1329" spans="1:6" x14ac:dyDescent="0.2">
      <c r="A1329" t="s">
        <v>2925</v>
      </c>
      <c r="B1329" t="s">
        <v>2530</v>
      </c>
      <c r="C1329" t="s">
        <v>133</v>
      </c>
      <c r="D1329" t="s">
        <v>2531</v>
      </c>
      <c r="E1329" t="s">
        <v>2135</v>
      </c>
      <c r="F1329" s="2" t="str">
        <f>HYPERLINK("http://www.otzar.org/book.asp?175551","אוצר ההפטרה")</f>
        <v>אוצר ההפטרה</v>
      </c>
    </row>
    <row r="1330" spans="1:6" x14ac:dyDescent="0.2">
      <c r="A1330" t="s">
        <v>2926</v>
      </c>
      <c r="B1330" t="s">
        <v>2927</v>
      </c>
      <c r="C1330" t="s">
        <v>133</v>
      </c>
      <c r="D1330" t="s">
        <v>152</v>
      </c>
      <c r="E1330" t="s">
        <v>15</v>
      </c>
      <c r="F1330" s="2" t="str">
        <f>HYPERLINK("http://www.otzar.org/book.asp?181869","אוצר ההרחקות")</f>
        <v>אוצר ההרחקות</v>
      </c>
    </row>
    <row r="1331" spans="1:6" x14ac:dyDescent="0.2">
      <c r="A1331" t="s">
        <v>2928</v>
      </c>
      <c r="B1331" t="s">
        <v>2929</v>
      </c>
      <c r="C1331" t="s">
        <v>244</v>
      </c>
      <c r="D1331" t="s">
        <v>412</v>
      </c>
      <c r="F1331" s="2" t="str">
        <f>HYPERLINK("http://www.otzar.org/book.asp?606140","אוצר הזהב - פרקי אבות א")</f>
        <v>אוצר הזהב - פרקי אבות א</v>
      </c>
    </row>
    <row r="1332" spans="1:6" x14ac:dyDescent="0.2">
      <c r="A1332" t="s">
        <v>2930</v>
      </c>
      <c r="B1332" t="s">
        <v>2931</v>
      </c>
      <c r="C1332" t="s">
        <v>2932</v>
      </c>
      <c r="D1332" t="s">
        <v>14</v>
      </c>
      <c r="E1332" t="s">
        <v>399</v>
      </c>
      <c r="F1332" s="2" t="str">
        <f>HYPERLINK("http://www.otzar.org/book.asp?173051","אוצר הזהר - 4 כר'")</f>
        <v>אוצר הזהר - 4 כר'</v>
      </c>
    </row>
    <row r="1333" spans="1:6" x14ac:dyDescent="0.2">
      <c r="A1333" t="s">
        <v>2933</v>
      </c>
      <c r="B1333" t="s">
        <v>2934</v>
      </c>
      <c r="C1333" t="s">
        <v>411</v>
      </c>
      <c r="D1333" t="s">
        <v>412</v>
      </c>
      <c r="E1333" t="s">
        <v>104</v>
      </c>
      <c r="F1333" s="2" t="str">
        <f>HYPERLINK("http://www.otzar.org/book.asp?176772","אוצר הזמנים - 5 כר'")</f>
        <v>אוצר הזמנים - 5 כר'</v>
      </c>
    </row>
    <row r="1334" spans="1:6" x14ac:dyDescent="0.2">
      <c r="A1334" t="s">
        <v>2935</v>
      </c>
      <c r="B1334" t="s">
        <v>2702</v>
      </c>
      <c r="C1334" t="s">
        <v>547</v>
      </c>
      <c r="D1334" t="s">
        <v>225</v>
      </c>
      <c r="E1334" t="s">
        <v>234</v>
      </c>
      <c r="F1334" s="2" t="str">
        <f>HYPERLINK("http://www.otzar.org/book.asp?300166","אוצר החיי""ם - 2 כר'")</f>
        <v>אוצר החיי"ם - 2 כר'</v>
      </c>
    </row>
    <row r="1335" spans="1:6" x14ac:dyDescent="0.2">
      <c r="A1335" t="s">
        <v>2936</v>
      </c>
      <c r="B1335" t="s">
        <v>1720</v>
      </c>
      <c r="C1335" t="s">
        <v>114</v>
      </c>
      <c r="D1335" t="s">
        <v>852</v>
      </c>
      <c r="E1335" t="s">
        <v>15</v>
      </c>
      <c r="F1335" s="2" t="str">
        <f>HYPERLINK("http://www.otzar.org/book.asp?181610","אוצר החיים &lt;עם באר אליהו&gt; - 4 כר'")</f>
        <v>אוצר החיים &lt;עם באר אליהו&gt; - 4 כר'</v>
      </c>
    </row>
    <row r="1336" spans="1:6" x14ac:dyDescent="0.2">
      <c r="A1336" t="s">
        <v>2937</v>
      </c>
      <c r="B1336" t="s">
        <v>2938</v>
      </c>
      <c r="C1336" t="s">
        <v>2939</v>
      </c>
      <c r="D1336" t="s">
        <v>2940</v>
      </c>
      <c r="E1336" t="s">
        <v>202</v>
      </c>
      <c r="F1336" s="2" t="str">
        <f>HYPERLINK("http://www.otzar.org/book.asp?16605","אוצר החיים - 12 כר'")</f>
        <v>אוצר החיים - 12 כר'</v>
      </c>
    </row>
    <row r="1337" spans="1:6" x14ac:dyDescent="0.2">
      <c r="A1337" t="s">
        <v>2938</v>
      </c>
      <c r="B1337" t="s">
        <v>2941</v>
      </c>
      <c r="C1337" t="s">
        <v>332</v>
      </c>
      <c r="D1337" t="s">
        <v>14</v>
      </c>
      <c r="F1337" s="2" t="str">
        <f>HYPERLINK("http://www.otzar.org/book.asp?610509","אוצר החיים")</f>
        <v>אוצר החיים</v>
      </c>
    </row>
    <row r="1338" spans="1:6" x14ac:dyDescent="0.2">
      <c r="A1338" t="s">
        <v>2938</v>
      </c>
      <c r="B1338" t="s">
        <v>2942</v>
      </c>
      <c r="C1338" t="s">
        <v>224</v>
      </c>
      <c r="E1338" t="s">
        <v>202</v>
      </c>
      <c r="F1338" s="2" t="str">
        <f>HYPERLINK("http://www.otzar.org/book.asp?192298","אוצר החיים")</f>
        <v>אוצר החיים</v>
      </c>
    </row>
    <row r="1339" spans="1:6" x14ac:dyDescent="0.2">
      <c r="A1339" t="s">
        <v>2943</v>
      </c>
      <c r="B1339" t="s">
        <v>1720</v>
      </c>
      <c r="C1339" t="s">
        <v>1278</v>
      </c>
      <c r="D1339" t="s">
        <v>14</v>
      </c>
      <c r="E1339" t="s">
        <v>579</v>
      </c>
      <c r="F1339" s="2" t="str">
        <f>HYPERLINK("http://www.otzar.org/book.asp?103596","אוצר החיים - א")</f>
        <v>אוצר החיים - א</v>
      </c>
    </row>
    <row r="1340" spans="1:6" x14ac:dyDescent="0.2">
      <c r="A1340" t="s">
        <v>2938</v>
      </c>
      <c r="B1340" t="s">
        <v>2944</v>
      </c>
      <c r="C1340" t="s">
        <v>2945</v>
      </c>
      <c r="D1340" t="s">
        <v>49</v>
      </c>
      <c r="E1340" t="s">
        <v>104</v>
      </c>
      <c r="F1340" s="2" t="str">
        <f>HYPERLINK("http://www.otzar.org/book.asp?149938","אוצר החיים")</f>
        <v>אוצר החיים</v>
      </c>
    </row>
    <row r="1341" spans="1:6" x14ac:dyDescent="0.2">
      <c r="A1341" t="s">
        <v>2938</v>
      </c>
      <c r="B1341" t="s">
        <v>2885</v>
      </c>
      <c r="C1341" t="s">
        <v>87</v>
      </c>
      <c r="D1341" t="s">
        <v>14</v>
      </c>
      <c r="E1341" t="s">
        <v>703</v>
      </c>
      <c r="F1341" s="2" t="str">
        <f>HYPERLINK("http://www.otzar.org/book.asp?60796","אוצר החיים")</f>
        <v>אוצר החיים</v>
      </c>
    </row>
    <row r="1342" spans="1:6" x14ac:dyDescent="0.2">
      <c r="A1342" t="s">
        <v>2946</v>
      </c>
      <c r="C1342" t="s">
        <v>37</v>
      </c>
      <c r="E1342" t="s">
        <v>104</v>
      </c>
      <c r="F1342" s="2" t="str">
        <f>HYPERLINK("http://www.otzar.org/book.asp?602807","אוצר החינוך - 2 כר'")</f>
        <v>אוצר החינוך - 2 כר'</v>
      </c>
    </row>
    <row r="1343" spans="1:6" x14ac:dyDescent="0.2">
      <c r="A1343" t="s">
        <v>2947</v>
      </c>
      <c r="B1343" t="s">
        <v>2948</v>
      </c>
      <c r="C1343" t="s">
        <v>146</v>
      </c>
      <c r="D1343" t="s">
        <v>14</v>
      </c>
      <c r="E1343" t="s">
        <v>119</v>
      </c>
      <c r="F1343" s="2" t="str">
        <f>HYPERLINK("http://www.otzar.org/book.asp?63819","אוצר החכמה")</f>
        <v>אוצר החכמה</v>
      </c>
    </row>
    <row r="1344" spans="1:6" x14ac:dyDescent="0.2">
      <c r="A1344" t="s">
        <v>2949</v>
      </c>
      <c r="B1344" t="s">
        <v>2950</v>
      </c>
      <c r="C1344" t="s">
        <v>20</v>
      </c>
      <c r="D1344" t="s">
        <v>14</v>
      </c>
      <c r="E1344" t="s">
        <v>246</v>
      </c>
      <c r="F1344" s="2" t="str">
        <f>HYPERLINK("http://www.otzar.org/book.asp?62587","אוצר החנוכה - מתוך אנציקלופדיה תלמודית")</f>
        <v>אוצר החנוכה - מתוך אנציקלופדיה תלמודית</v>
      </c>
    </row>
    <row r="1345" spans="1:6" x14ac:dyDescent="0.2">
      <c r="A1345" t="s">
        <v>2951</v>
      </c>
      <c r="B1345" t="s">
        <v>2952</v>
      </c>
      <c r="C1345" t="s">
        <v>1470</v>
      </c>
      <c r="D1345" t="s">
        <v>27</v>
      </c>
      <c r="E1345" t="s">
        <v>2633</v>
      </c>
      <c r="F1345" s="2" t="str">
        <f>HYPERLINK("http://www.otzar.org/book.asp?106827","אוצר החסד קרן שמואל")</f>
        <v>אוצר החסד קרן שמואל</v>
      </c>
    </row>
    <row r="1346" spans="1:6" x14ac:dyDescent="0.2">
      <c r="A1346" t="s">
        <v>2953</v>
      </c>
      <c r="B1346" t="s">
        <v>2950</v>
      </c>
      <c r="C1346" t="s">
        <v>553</v>
      </c>
      <c r="D1346" t="s">
        <v>14</v>
      </c>
      <c r="E1346" t="s">
        <v>15</v>
      </c>
      <c r="F1346" s="2" t="str">
        <f>HYPERLINK("http://www.otzar.org/book.asp?62590","אוצר החשמל - מתוך אנציקלופדיה תלמודית")</f>
        <v>אוצר החשמל - מתוך אנציקלופדיה תלמודית</v>
      </c>
    </row>
    <row r="1347" spans="1:6" x14ac:dyDescent="0.2">
      <c r="A1347" t="s">
        <v>2954</v>
      </c>
      <c r="B1347" t="s">
        <v>2955</v>
      </c>
      <c r="C1347" t="s">
        <v>767</v>
      </c>
      <c r="D1347" t="s">
        <v>412</v>
      </c>
      <c r="E1347" t="s">
        <v>424</v>
      </c>
      <c r="F1347" s="2" t="str">
        <f>HYPERLINK("http://www.otzar.org/book.asp?149710","אוצר הידיעות אסיפת גרשון - 3 כר'")</f>
        <v>אוצר הידיעות אסיפת גרשון - 3 כר'</v>
      </c>
    </row>
    <row r="1348" spans="1:6" x14ac:dyDescent="0.2">
      <c r="A1348" t="s">
        <v>2956</v>
      </c>
      <c r="B1348" t="s">
        <v>1091</v>
      </c>
      <c r="C1348" t="s">
        <v>114</v>
      </c>
      <c r="D1348" t="s">
        <v>14</v>
      </c>
      <c r="E1348" t="s">
        <v>104</v>
      </c>
      <c r="F1348" s="2" t="str">
        <f>HYPERLINK("http://www.otzar.org/book.asp?162816","אוצר הידיעות השלם - 2 כר'")</f>
        <v>אוצר הידיעות השלם - 2 כר'</v>
      </c>
    </row>
    <row r="1349" spans="1:6" x14ac:dyDescent="0.2">
      <c r="A1349" t="s">
        <v>2957</v>
      </c>
      <c r="B1349" t="s">
        <v>1091</v>
      </c>
      <c r="C1349" t="s">
        <v>20</v>
      </c>
      <c r="D1349" t="s">
        <v>90</v>
      </c>
      <c r="F1349" s="2" t="str">
        <f>HYPERLINK("http://www.otzar.org/book.asp?605639","אוצר הידיעות - 7 כר'")</f>
        <v>אוצר הידיעות - 7 כר'</v>
      </c>
    </row>
    <row r="1350" spans="1:6" x14ac:dyDescent="0.2">
      <c r="A1350" t="s">
        <v>2958</v>
      </c>
      <c r="B1350" t="s">
        <v>2959</v>
      </c>
      <c r="C1350" t="s">
        <v>37</v>
      </c>
      <c r="D1350" t="s">
        <v>14</v>
      </c>
      <c r="E1350" t="s">
        <v>104</v>
      </c>
      <c r="F1350" s="2" t="str">
        <f>HYPERLINK("http://www.otzar.org/book.asp?182971","אוצר היהדות - 2 כר'")</f>
        <v>אוצר היהדות - 2 כר'</v>
      </c>
    </row>
    <row r="1351" spans="1:6" x14ac:dyDescent="0.2">
      <c r="A1351" t="s">
        <v>2960</v>
      </c>
      <c r="B1351" t="s">
        <v>2961</v>
      </c>
      <c r="C1351" t="s">
        <v>956</v>
      </c>
      <c r="D1351" t="s">
        <v>52</v>
      </c>
      <c r="F1351" s="2" t="str">
        <f>HYPERLINK("http://www.otzar.org/book.asp?182996","אוצר היהודי - 3 כר'")</f>
        <v>אוצר היהודי - 3 כר'</v>
      </c>
    </row>
    <row r="1352" spans="1:6" x14ac:dyDescent="0.2">
      <c r="A1352" t="s">
        <v>2962</v>
      </c>
      <c r="B1352" t="s">
        <v>2963</v>
      </c>
      <c r="C1352" t="s">
        <v>133</v>
      </c>
      <c r="D1352" t="s">
        <v>115</v>
      </c>
      <c r="E1352" t="s">
        <v>15</v>
      </c>
      <c r="F1352" s="2" t="str">
        <f>HYPERLINK("http://www.otzar.org/book.asp?181750","אוצר היחוד")</f>
        <v>אוצר היחוד</v>
      </c>
    </row>
    <row r="1353" spans="1:6" x14ac:dyDescent="0.2">
      <c r="A1353" t="s">
        <v>2964</v>
      </c>
      <c r="B1353" t="s">
        <v>2965</v>
      </c>
      <c r="C1353" t="s">
        <v>332</v>
      </c>
      <c r="D1353" t="s">
        <v>14</v>
      </c>
      <c r="E1353" t="s">
        <v>1097</v>
      </c>
      <c r="F1353" s="2" t="str">
        <f>HYPERLINK("http://www.otzar.org/book.asp?21966","אוצר הירושלמי - 2 כר'")</f>
        <v>אוצר הירושלמי - 2 כר'</v>
      </c>
    </row>
    <row r="1354" spans="1:6" x14ac:dyDescent="0.2">
      <c r="A1354" t="s">
        <v>2966</v>
      </c>
      <c r="B1354" t="s">
        <v>2967</v>
      </c>
      <c r="C1354" t="s">
        <v>1177</v>
      </c>
      <c r="D1354" t="s">
        <v>2968</v>
      </c>
      <c r="E1354" t="s">
        <v>144</v>
      </c>
      <c r="F1354" s="2" t="str">
        <f>HYPERLINK("http://www.otzar.org/book.asp?617811","אוצר הכבוד")</f>
        <v>אוצר הכבוד</v>
      </c>
    </row>
    <row r="1355" spans="1:6" x14ac:dyDescent="0.2">
      <c r="A1355" t="s">
        <v>2966</v>
      </c>
      <c r="B1355" t="s">
        <v>2969</v>
      </c>
      <c r="C1355" t="s">
        <v>2970</v>
      </c>
      <c r="D1355" t="s">
        <v>1495</v>
      </c>
      <c r="E1355" t="s">
        <v>144</v>
      </c>
      <c r="F1355" s="2" t="str">
        <f>HYPERLINK("http://www.otzar.org/book.asp?104469","אוצר הכבוד")</f>
        <v>אוצר הכבוד</v>
      </c>
    </row>
    <row r="1356" spans="1:6" x14ac:dyDescent="0.2">
      <c r="A1356" t="s">
        <v>2966</v>
      </c>
      <c r="B1356" t="s">
        <v>2971</v>
      </c>
      <c r="C1356" t="s">
        <v>2970</v>
      </c>
      <c r="D1356" t="s">
        <v>1495</v>
      </c>
      <c r="E1356" t="s">
        <v>144</v>
      </c>
      <c r="F1356" s="2" t="str">
        <f>HYPERLINK("http://www.otzar.org/book.asp?164812","אוצר הכבוד")</f>
        <v>אוצר הכבוד</v>
      </c>
    </row>
    <row r="1357" spans="1:6" x14ac:dyDescent="0.2">
      <c r="A1357" t="s">
        <v>2972</v>
      </c>
      <c r="B1357" t="s">
        <v>2973</v>
      </c>
      <c r="C1357" t="s">
        <v>23</v>
      </c>
      <c r="D1357" t="s">
        <v>14</v>
      </c>
      <c r="E1357" t="s">
        <v>15</v>
      </c>
      <c r="F1357" s="2" t="str">
        <f>HYPERLINK("http://www.otzar.org/book.asp?612128","אוצר הכיפה - 2 כר'")</f>
        <v>אוצר הכיפה - 2 כר'</v>
      </c>
    </row>
    <row r="1358" spans="1:6" x14ac:dyDescent="0.2">
      <c r="A1358" t="s">
        <v>2974</v>
      </c>
      <c r="B1358" t="s">
        <v>2975</v>
      </c>
      <c r="C1358" t="s">
        <v>940</v>
      </c>
      <c r="D1358" t="s">
        <v>1356</v>
      </c>
      <c r="E1358" t="s">
        <v>15</v>
      </c>
      <c r="F1358" s="2" t="str">
        <f>HYPERLINK("http://www.otzar.org/book.asp?161725","אוצר הכסף - שמיטת כספים ופרוזבול")</f>
        <v>אוצר הכסף - שמיטת כספים ופרוזבול</v>
      </c>
    </row>
    <row r="1359" spans="1:6" x14ac:dyDescent="0.2">
      <c r="A1359" t="s">
        <v>2976</v>
      </c>
      <c r="B1359" t="s">
        <v>2977</v>
      </c>
      <c r="C1359" t="s">
        <v>985</v>
      </c>
      <c r="D1359" t="s">
        <v>27</v>
      </c>
      <c r="E1359" t="s">
        <v>144</v>
      </c>
      <c r="F1359" s="2" t="str">
        <f>HYPERLINK("http://www.otzar.org/book.asp?100369","אוצר הלכה")</f>
        <v>אוצר הלכה</v>
      </c>
    </row>
    <row r="1360" spans="1:6" x14ac:dyDescent="0.2">
      <c r="A1360" t="s">
        <v>2978</v>
      </c>
      <c r="B1360" t="s">
        <v>2979</v>
      </c>
      <c r="C1360" t="s">
        <v>189</v>
      </c>
      <c r="D1360" t="s">
        <v>486</v>
      </c>
      <c r="E1360" t="s">
        <v>15</v>
      </c>
      <c r="F1360" s="2" t="str">
        <f>HYPERLINK("http://www.otzar.org/book.asp?172401","אוצר הלכות המועדים")</f>
        <v>אוצר הלכות המועדים</v>
      </c>
    </row>
    <row r="1361" spans="1:6" x14ac:dyDescent="0.2">
      <c r="A1361" t="s">
        <v>2980</v>
      </c>
      <c r="B1361" t="s">
        <v>2979</v>
      </c>
      <c r="C1361" t="s">
        <v>20</v>
      </c>
      <c r="D1361" t="s">
        <v>486</v>
      </c>
      <c r="E1361" t="s">
        <v>15</v>
      </c>
      <c r="F1361" s="2" t="str">
        <f>HYPERLINK("http://www.otzar.org/book.asp?188803","אוצר הלכות התלויות בממון")</f>
        <v>אוצר הלכות התלויות בממון</v>
      </c>
    </row>
    <row r="1362" spans="1:6" x14ac:dyDescent="0.2">
      <c r="A1362" t="s">
        <v>2981</v>
      </c>
      <c r="B1362" t="s">
        <v>2979</v>
      </c>
      <c r="C1362" t="s">
        <v>146</v>
      </c>
      <c r="D1362" t="s">
        <v>486</v>
      </c>
      <c r="E1362" t="s">
        <v>15</v>
      </c>
      <c r="F1362" s="2" t="str">
        <f>HYPERLINK("http://www.otzar.org/book.asp?172400","אוצר הלכות נדרים")</f>
        <v>אוצר הלכות נדרים</v>
      </c>
    </row>
    <row r="1363" spans="1:6" x14ac:dyDescent="0.2">
      <c r="A1363" t="s">
        <v>2982</v>
      </c>
      <c r="B1363" t="s">
        <v>2979</v>
      </c>
      <c r="C1363" t="s">
        <v>20</v>
      </c>
      <c r="D1363" t="s">
        <v>486</v>
      </c>
      <c r="E1363" t="s">
        <v>15</v>
      </c>
      <c r="F1363" s="2" t="str">
        <f>HYPERLINK("http://www.otzar.org/book.asp?188804","אוצר הלכות ששכרן אריכות ימים")</f>
        <v>אוצר הלכות ששכרן אריכות ימים</v>
      </c>
    </row>
    <row r="1364" spans="1:6" x14ac:dyDescent="0.2">
      <c r="A1364" t="s">
        <v>2983</v>
      </c>
      <c r="B1364" t="s">
        <v>2984</v>
      </c>
      <c r="C1364" t="s">
        <v>146</v>
      </c>
      <c r="D1364" t="s">
        <v>412</v>
      </c>
      <c r="E1364" t="s">
        <v>148</v>
      </c>
      <c r="F1364" s="2" t="str">
        <f>HYPERLINK("http://www.otzar.org/book.asp?144743","אוצר הלכות - 10 כר'")</f>
        <v>אוצר הלכות - 10 כר'</v>
      </c>
    </row>
    <row r="1365" spans="1:6" x14ac:dyDescent="0.2">
      <c r="A1365" t="s">
        <v>2985</v>
      </c>
      <c r="B1365" t="s">
        <v>2986</v>
      </c>
      <c r="C1365" t="s">
        <v>313</v>
      </c>
      <c r="D1365" t="s">
        <v>486</v>
      </c>
      <c r="E1365" t="s">
        <v>357</v>
      </c>
      <c r="F1365" s="2" t="str">
        <f>HYPERLINK("http://www.otzar.org/book.asp?148504","אוצר המאמרים - 3 כר'")</f>
        <v>אוצר המאמרים - 3 כר'</v>
      </c>
    </row>
    <row r="1366" spans="1:6" x14ac:dyDescent="0.2">
      <c r="A1366" t="s">
        <v>2987</v>
      </c>
      <c r="B1366" t="s">
        <v>1604</v>
      </c>
      <c r="C1366" t="s">
        <v>2988</v>
      </c>
      <c r="D1366" t="s">
        <v>14</v>
      </c>
      <c r="E1366" t="s">
        <v>1103</v>
      </c>
      <c r="F1366" s="2" t="str">
        <f>HYPERLINK("http://www.otzar.org/book.asp?52650","אוצר המדרשים - 15 כר'")</f>
        <v>אוצר המדרשים - 15 כר'</v>
      </c>
    </row>
    <row r="1367" spans="1:6" x14ac:dyDescent="0.2">
      <c r="A1367" t="s">
        <v>2989</v>
      </c>
      <c r="B1367" t="s">
        <v>2530</v>
      </c>
      <c r="C1367" t="s">
        <v>68</v>
      </c>
      <c r="D1367" t="s">
        <v>2531</v>
      </c>
      <c r="E1367" t="s">
        <v>213</v>
      </c>
      <c r="F1367" s="2" t="str">
        <f>HYPERLINK("http://www.otzar.org/book.asp?167879","אוצר המוסר")</f>
        <v>אוצר המוסר</v>
      </c>
    </row>
    <row r="1368" spans="1:6" x14ac:dyDescent="0.2">
      <c r="A1368" t="s">
        <v>2990</v>
      </c>
      <c r="B1368" t="s">
        <v>2991</v>
      </c>
      <c r="C1368" t="s">
        <v>356</v>
      </c>
      <c r="D1368" t="s">
        <v>139</v>
      </c>
      <c r="E1368" t="s">
        <v>104</v>
      </c>
      <c r="F1368" s="2" t="str">
        <f>HYPERLINK("http://www.otzar.org/book.asp?584","אוצר המחברים - 2 כר'")</f>
        <v>אוצר המחברים - 2 כר'</v>
      </c>
    </row>
    <row r="1369" spans="1:6" x14ac:dyDescent="0.2">
      <c r="A1369" t="s">
        <v>2992</v>
      </c>
      <c r="B1369" t="s">
        <v>2993</v>
      </c>
      <c r="C1369" t="s">
        <v>1268</v>
      </c>
      <c r="D1369" t="s">
        <v>14</v>
      </c>
      <c r="E1369" t="s">
        <v>583</v>
      </c>
      <c r="F1369" s="2" t="str">
        <f>HYPERLINK("http://www.otzar.org/book.asp?84936","אוצר המחשבה של ר' צדוק הכהן מלובלין")</f>
        <v>אוצר המחשבה של ר' צדוק הכהן מלובלין</v>
      </c>
    </row>
    <row r="1370" spans="1:6" x14ac:dyDescent="0.2">
      <c r="A1370" t="s">
        <v>2994</v>
      </c>
      <c r="B1370" t="s">
        <v>2995</v>
      </c>
      <c r="C1370" t="s">
        <v>87</v>
      </c>
      <c r="D1370" t="s">
        <v>14</v>
      </c>
      <c r="E1370" t="s">
        <v>15</v>
      </c>
      <c r="F1370" s="2" t="str">
        <f>HYPERLINK("http://www.otzar.org/book.asp?62911","אוצר המים")</f>
        <v>אוצר המים</v>
      </c>
    </row>
    <row r="1371" spans="1:6" x14ac:dyDescent="0.2">
      <c r="A1371" t="s">
        <v>2996</v>
      </c>
      <c r="B1371" t="s">
        <v>2997</v>
      </c>
      <c r="C1371" t="s">
        <v>1096</v>
      </c>
      <c r="D1371" t="s">
        <v>379</v>
      </c>
      <c r="E1371" t="s">
        <v>104</v>
      </c>
      <c r="F1371" s="2" t="str">
        <f>HYPERLINK("http://www.otzar.org/book.asp?108483","אוצר המכתבים")</f>
        <v>אוצר המכתבים</v>
      </c>
    </row>
    <row r="1372" spans="1:6" x14ac:dyDescent="0.2">
      <c r="A1372" t="s">
        <v>2998</v>
      </c>
      <c r="B1372" t="s">
        <v>2999</v>
      </c>
      <c r="C1372" t="s">
        <v>143</v>
      </c>
      <c r="D1372" t="s">
        <v>14</v>
      </c>
      <c r="E1372" t="s">
        <v>588</v>
      </c>
      <c r="F1372" s="2" t="str">
        <f>HYPERLINK("http://www.otzar.org/book.asp?153718","אוצר המכתבים - 3 כר'")</f>
        <v>אוצר המכתבים - 3 כר'</v>
      </c>
    </row>
    <row r="1373" spans="1:6" x14ac:dyDescent="0.2">
      <c r="A1373" t="s">
        <v>3000</v>
      </c>
      <c r="B1373" t="s">
        <v>2993</v>
      </c>
      <c r="C1373" t="s">
        <v>725</v>
      </c>
      <c r="D1373" t="s">
        <v>947</v>
      </c>
      <c r="E1373" t="s">
        <v>15</v>
      </c>
      <c r="F1373" s="2" t="str">
        <f>HYPERLINK("http://www.otzar.org/book.asp?8963","אוצר המלך")</f>
        <v>אוצר המלך</v>
      </c>
    </row>
    <row r="1374" spans="1:6" x14ac:dyDescent="0.2">
      <c r="A1374" t="s">
        <v>3001</v>
      </c>
      <c r="B1374" t="s">
        <v>3002</v>
      </c>
      <c r="C1374" t="s">
        <v>114</v>
      </c>
      <c r="D1374" t="s">
        <v>1180</v>
      </c>
      <c r="E1374" t="s">
        <v>158</v>
      </c>
      <c r="F1374" s="2" t="str">
        <f>HYPERLINK("http://www.otzar.org/book.asp?199363","אוצר המלכות")</f>
        <v>אוצר המלכות</v>
      </c>
    </row>
    <row r="1375" spans="1:6" x14ac:dyDescent="0.2">
      <c r="A1375" t="s">
        <v>3003</v>
      </c>
      <c r="B1375" t="s">
        <v>3004</v>
      </c>
      <c r="C1375" t="s">
        <v>411</v>
      </c>
      <c r="D1375" t="s">
        <v>14</v>
      </c>
      <c r="E1375" t="s">
        <v>140</v>
      </c>
      <c r="F1375" s="2" t="str">
        <f>HYPERLINK("http://www.otzar.org/book.asp?171825","אוצר המנהגים - ביאלא")</f>
        <v>אוצר המנהגים - ביאלא</v>
      </c>
    </row>
    <row r="1376" spans="1:6" x14ac:dyDescent="0.2">
      <c r="A1376" t="s">
        <v>3005</v>
      </c>
      <c r="B1376" t="s">
        <v>3006</v>
      </c>
      <c r="C1376" t="s">
        <v>777</v>
      </c>
      <c r="D1376" t="s">
        <v>3007</v>
      </c>
      <c r="E1376" t="s">
        <v>104</v>
      </c>
      <c r="F1376" s="2" t="str">
        <f>HYPERLINK("http://www.otzar.org/book.asp?15799","אוצר המספרים")</f>
        <v>אוצר המספרים</v>
      </c>
    </row>
    <row r="1377" spans="1:6" x14ac:dyDescent="0.2">
      <c r="A1377" t="s">
        <v>3008</v>
      </c>
      <c r="B1377" t="s">
        <v>1604</v>
      </c>
      <c r="C1377" t="s">
        <v>1208</v>
      </c>
      <c r="D1377" t="s">
        <v>14</v>
      </c>
      <c r="E1377" t="s">
        <v>104</v>
      </c>
      <c r="F1377" s="2" t="str">
        <f>HYPERLINK("http://www.otzar.org/book.asp?144926","אוצר המעשיות - 2 כר'")</f>
        <v>אוצר המעשיות - 2 כר'</v>
      </c>
    </row>
    <row r="1378" spans="1:6" x14ac:dyDescent="0.2">
      <c r="A1378" t="s">
        <v>3009</v>
      </c>
      <c r="B1378" t="s">
        <v>3010</v>
      </c>
      <c r="C1378" t="s">
        <v>427</v>
      </c>
      <c r="D1378" t="s">
        <v>14</v>
      </c>
      <c r="E1378" t="s">
        <v>104</v>
      </c>
      <c r="F1378" s="2" t="str">
        <f>HYPERLINK("http://www.otzar.org/book.asp?153764","אוצר המעשיות - 3 כר'")</f>
        <v>אוצר המעשיות - 3 כר'</v>
      </c>
    </row>
    <row r="1379" spans="1:6" x14ac:dyDescent="0.2">
      <c r="A1379" t="s">
        <v>3011</v>
      </c>
      <c r="B1379" t="s">
        <v>2914</v>
      </c>
      <c r="C1379" t="s">
        <v>13</v>
      </c>
      <c r="D1379" t="s">
        <v>1153</v>
      </c>
      <c r="E1379" t="s">
        <v>104</v>
      </c>
      <c r="F1379" s="2" t="str">
        <f>HYPERLINK("http://www.otzar.org/book.asp?64211","אוצר המשלים והפתגמים התימנים - א-ב")</f>
        <v>אוצר המשלים והפתגמים התימנים - א-ב</v>
      </c>
    </row>
    <row r="1380" spans="1:6" x14ac:dyDescent="0.2">
      <c r="A1380" t="s">
        <v>3012</v>
      </c>
      <c r="B1380" t="s">
        <v>3013</v>
      </c>
      <c r="C1380" t="s">
        <v>427</v>
      </c>
      <c r="D1380" t="s">
        <v>14</v>
      </c>
      <c r="E1380" t="s">
        <v>104</v>
      </c>
      <c r="F1380" s="2" t="str">
        <f>HYPERLINK("http://www.otzar.org/book.asp?83920","אוצר המשלים והפתגמים")</f>
        <v>אוצר המשלים והפתגמים</v>
      </c>
    </row>
    <row r="1381" spans="1:6" x14ac:dyDescent="0.2">
      <c r="A1381" t="s">
        <v>3012</v>
      </c>
      <c r="B1381" t="s">
        <v>3014</v>
      </c>
      <c r="C1381" t="s">
        <v>649</v>
      </c>
      <c r="D1381" t="s">
        <v>280</v>
      </c>
      <c r="E1381" t="s">
        <v>104</v>
      </c>
      <c r="F1381" s="2" t="str">
        <f>HYPERLINK("http://www.otzar.org/book.asp?181572","אוצר המשלים והפתגמים")</f>
        <v>אוצר המשלים והפתגמים</v>
      </c>
    </row>
    <row r="1382" spans="1:6" x14ac:dyDescent="0.2">
      <c r="A1382" t="s">
        <v>3015</v>
      </c>
      <c r="B1382" t="s">
        <v>3016</v>
      </c>
      <c r="C1382" t="s">
        <v>3017</v>
      </c>
      <c r="D1382" t="s">
        <v>9</v>
      </c>
      <c r="E1382" t="s">
        <v>3018</v>
      </c>
      <c r="F1382" s="2" t="str">
        <f>HYPERLINK("http://www.otzar.org/book.asp?21039","אוצר המשנה - סדר ראשון פ""ב")</f>
        <v>אוצר המשנה - סדר ראשון פ"ב</v>
      </c>
    </row>
    <row r="1383" spans="1:6" x14ac:dyDescent="0.2">
      <c r="A1383" t="s">
        <v>3019</v>
      </c>
      <c r="B1383" t="s">
        <v>1838</v>
      </c>
      <c r="C1383" t="s">
        <v>114</v>
      </c>
      <c r="D1383" t="s">
        <v>14</v>
      </c>
      <c r="F1383" s="2" t="str">
        <f>HYPERLINK("http://www.otzar.org/book.asp?194248","אוצר המשפט - 23 כר'")</f>
        <v>אוצר המשפט - 23 כר'</v>
      </c>
    </row>
    <row r="1384" spans="1:6" x14ac:dyDescent="0.2">
      <c r="A1384" t="s">
        <v>3020</v>
      </c>
      <c r="B1384" t="s">
        <v>640</v>
      </c>
      <c r="C1384" t="s">
        <v>114</v>
      </c>
      <c r="D1384" t="s">
        <v>14</v>
      </c>
      <c r="E1384" t="s">
        <v>172</v>
      </c>
      <c r="F1384" s="2" t="str">
        <f>HYPERLINK("http://www.otzar.org/book.asp?159640","אוצר המשפט - 2 כר'")</f>
        <v>אוצר המשפט - 2 כר'</v>
      </c>
    </row>
    <row r="1385" spans="1:6" x14ac:dyDescent="0.2">
      <c r="A1385" t="s">
        <v>3020</v>
      </c>
      <c r="B1385" t="s">
        <v>3021</v>
      </c>
      <c r="C1385" t="s">
        <v>3022</v>
      </c>
      <c r="D1385" t="s">
        <v>14</v>
      </c>
      <c r="E1385" t="s">
        <v>104</v>
      </c>
      <c r="F1385" s="2" t="str">
        <f>HYPERLINK("http://www.otzar.org/book.asp?104552","אוצר המשפט - 2 כר'")</f>
        <v>אוצר המשפט - 2 כר'</v>
      </c>
    </row>
    <row r="1386" spans="1:6" x14ac:dyDescent="0.2">
      <c r="A1386" t="s">
        <v>3023</v>
      </c>
      <c r="B1386" t="s">
        <v>1728</v>
      </c>
      <c r="C1386" t="s">
        <v>68</v>
      </c>
      <c r="D1386" t="s">
        <v>273</v>
      </c>
      <c r="E1386" t="s">
        <v>140</v>
      </c>
      <c r="F1386" s="2" t="str">
        <f>HYPERLINK("http://www.otzar.org/book.asp?626820","אוצר הנפש - 3 כר'")</f>
        <v>אוצר הנפש - 3 כר'</v>
      </c>
    </row>
    <row r="1387" spans="1:6" x14ac:dyDescent="0.2">
      <c r="A1387" t="s">
        <v>3024</v>
      </c>
      <c r="B1387" t="s">
        <v>3025</v>
      </c>
      <c r="C1387" t="s">
        <v>114</v>
      </c>
      <c r="D1387" t="s">
        <v>14</v>
      </c>
      <c r="E1387" t="s">
        <v>104</v>
      </c>
      <c r="F1387" s="2" t="str">
        <f>HYPERLINK("http://www.otzar.org/book.asp?616337","אוצר הסגולות והכוונות")</f>
        <v>אוצר הסגולות והכוונות</v>
      </c>
    </row>
    <row r="1388" spans="1:6" x14ac:dyDescent="0.2">
      <c r="A1388" t="s">
        <v>3026</v>
      </c>
      <c r="B1388" t="s">
        <v>3027</v>
      </c>
      <c r="C1388" t="s">
        <v>143</v>
      </c>
      <c r="D1388" t="s">
        <v>14</v>
      </c>
      <c r="F1388" s="2" t="str">
        <f>HYPERLINK("http://www.otzar.org/book.asp?615233","אוצר הסגולות")</f>
        <v>אוצר הסגולות</v>
      </c>
    </row>
    <row r="1389" spans="1:6" x14ac:dyDescent="0.2">
      <c r="A1389" t="s">
        <v>3028</v>
      </c>
      <c r="B1389" t="s">
        <v>3029</v>
      </c>
      <c r="C1389" t="s">
        <v>37</v>
      </c>
      <c r="D1389" t="s">
        <v>245</v>
      </c>
      <c r="E1389" t="s">
        <v>1626</v>
      </c>
      <c r="F1389" s="2" t="str">
        <f>HYPERLINK("http://www.otzar.org/book.asp?177152","אוצר הסגולות - 3 כר'")</f>
        <v>אוצר הסגולות - 3 כר'</v>
      </c>
    </row>
    <row r="1390" spans="1:6" x14ac:dyDescent="0.2">
      <c r="A1390" t="s">
        <v>3030</v>
      </c>
      <c r="B1390" t="s">
        <v>3031</v>
      </c>
      <c r="C1390" t="s">
        <v>13</v>
      </c>
      <c r="D1390" t="s">
        <v>852</v>
      </c>
      <c r="E1390" t="s">
        <v>579</v>
      </c>
      <c r="F1390" s="2" t="str">
        <f>HYPERLINK("http://www.otzar.org/book.asp?64252","אוצר הסימנים לקורא בתורה - 2 כר'")</f>
        <v>אוצר הסימנים לקורא בתורה - 2 כר'</v>
      </c>
    </row>
    <row r="1391" spans="1:6" x14ac:dyDescent="0.2">
      <c r="A1391" t="s">
        <v>3032</v>
      </c>
      <c r="B1391" t="s">
        <v>3033</v>
      </c>
      <c r="C1391" t="s">
        <v>23</v>
      </c>
      <c r="D1391" t="s">
        <v>14</v>
      </c>
      <c r="E1391" t="s">
        <v>104</v>
      </c>
      <c r="F1391" s="2" t="str">
        <f>HYPERLINK("http://www.otzar.org/book.asp?605604","אוצר הסימנים")</f>
        <v>אוצר הסימנים</v>
      </c>
    </row>
    <row r="1392" spans="1:6" x14ac:dyDescent="0.2">
      <c r="A1392" t="s">
        <v>3034</v>
      </c>
      <c r="B1392" t="s">
        <v>3035</v>
      </c>
      <c r="C1392" t="s">
        <v>3036</v>
      </c>
      <c r="D1392" t="s">
        <v>27</v>
      </c>
      <c r="E1392" t="s">
        <v>741</v>
      </c>
      <c r="F1392" s="2" t="str">
        <f>HYPERLINK("http://www.otzar.org/book.asp?7020","אוצר הסיפורים - 20 כר'")</f>
        <v>אוצר הסיפורים - 20 כר'</v>
      </c>
    </row>
    <row r="1393" spans="1:6" x14ac:dyDescent="0.2">
      <c r="A1393" t="s">
        <v>3037</v>
      </c>
      <c r="B1393" t="s">
        <v>3038</v>
      </c>
      <c r="C1393" t="s">
        <v>1663</v>
      </c>
      <c r="D1393" t="s">
        <v>3039</v>
      </c>
      <c r="E1393" t="s">
        <v>43</v>
      </c>
      <c r="F1393" s="2" t="str">
        <f>HYPERLINK("http://www.otzar.org/book.asp?16570","אוצר הספרא")</f>
        <v>אוצר הספרא</v>
      </c>
    </row>
    <row r="1394" spans="1:6" x14ac:dyDescent="0.2">
      <c r="A1394" t="s">
        <v>3040</v>
      </c>
      <c r="B1394" t="s">
        <v>3041</v>
      </c>
      <c r="C1394" t="s">
        <v>3042</v>
      </c>
      <c r="D1394" t="s">
        <v>56</v>
      </c>
      <c r="F1394" s="2" t="str">
        <f>HYPERLINK("http://www.otzar.org/book.asp?155411","אוצר הספרים")</f>
        <v>אוצר הספרים</v>
      </c>
    </row>
    <row r="1395" spans="1:6" x14ac:dyDescent="0.2">
      <c r="A1395" t="s">
        <v>3043</v>
      </c>
      <c r="B1395" t="s">
        <v>3044</v>
      </c>
      <c r="C1395" t="s">
        <v>1640</v>
      </c>
      <c r="D1395" t="s">
        <v>14</v>
      </c>
      <c r="E1395" t="s">
        <v>104</v>
      </c>
      <c r="F1395" s="2" t="str">
        <f>HYPERLINK("http://www.otzar.org/book.asp?603","אוצר הספרים - ב")</f>
        <v>אוצר הספרים - ב</v>
      </c>
    </row>
    <row r="1396" spans="1:6" x14ac:dyDescent="0.2">
      <c r="A1396" t="s">
        <v>3045</v>
      </c>
      <c r="B1396" t="s">
        <v>2963</v>
      </c>
      <c r="C1396" t="s">
        <v>366</v>
      </c>
      <c r="D1396" t="s">
        <v>115</v>
      </c>
      <c r="E1396" t="s">
        <v>172</v>
      </c>
      <c r="F1396" s="2" t="str">
        <f>HYPERLINK("http://www.otzar.org/book.asp?616809","אוצר העזר")</f>
        <v>אוצר העזר</v>
      </c>
    </row>
    <row r="1397" spans="1:6" x14ac:dyDescent="0.2">
      <c r="A1397" t="s">
        <v>3046</v>
      </c>
      <c r="B1397" t="s">
        <v>3047</v>
      </c>
      <c r="C1397" t="s">
        <v>151</v>
      </c>
      <c r="D1397" t="s">
        <v>52</v>
      </c>
      <c r="E1397" t="s">
        <v>325</v>
      </c>
      <c r="F1397" s="2" t="str">
        <f>HYPERLINK("http://www.otzar.org/book.asp?629850","אוצר העיון - 5 כר'")</f>
        <v>אוצר העיון - 5 כר'</v>
      </c>
    </row>
    <row r="1398" spans="1:6" x14ac:dyDescent="0.2">
      <c r="A1398" t="s">
        <v>3048</v>
      </c>
      <c r="B1398" t="s">
        <v>3049</v>
      </c>
      <c r="C1398" t="s">
        <v>87</v>
      </c>
      <c r="D1398" t="s">
        <v>21</v>
      </c>
      <c r="E1398" t="s">
        <v>15</v>
      </c>
      <c r="F1398" s="2" t="str">
        <f>HYPERLINK("http://www.otzar.org/book.asp?195704","אוצר העיר - אוצר ב""ד")</f>
        <v>אוצר העיר - אוצר ב"ד</v>
      </c>
    </row>
    <row r="1399" spans="1:6" x14ac:dyDescent="0.2">
      <c r="A1399" t="s">
        <v>3050</v>
      </c>
      <c r="B1399" t="s">
        <v>3051</v>
      </c>
      <c r="C1399" t="s">
        <v>189</v>
      </c>
      <c r="D1399" t="s">
        <v>14</v>
      </c>
      <c r="E1399" t="s">
        <v>144</v>
      </c>
      <c r="F1399" s="2" t="str">
        <f>HYPERLINK("http://www.otzar.org/book.asp?26752","אוצר העירוב")</f>
        <v>אוצר העירוב</v>
      </c>
    </row>
    <row r="1400" spans="1:6" x14ac:dyDescent="0.2">
      <c r="A1400" t="s">
        <v>3052</v>
      </c>
      <c r="B1400" t="s">
        <v>3053</v>
      </c>
      <c r="C1400" t="s">
        <v>482</v>
      </c>
      <c r="D1400" t="s">
        <v>14</v>
      </c>
      <c r="E1400" t="s">
        <v>104</v>
      </c>
      <c r="F1400" s="2" t="str">
        <f>HYPERLINK("http://www.otzar.org/book.asp?180422","אוצר הפוסקים פרוספקט ב")</f>
        <v>אוצר הפוסקים פרוספקט ב</v>
      </c>
    </row>
    <row r="1401" spans="1:6" x14ac:dyDescent="0.2">
      <c r="A1401" t="s">
        <v>3054</v>
      </c>
      <c r="B1401" t="s">
        <v>2885</v>
      </c>
      <c r="C1401" t="s">
        <v>20</v>
      </c>
      <c r="D1401" t="s">
        <v>14</v>
      </c>
      <c r="E1401" t="s">
        <v>3055</v>
      </c>
      <c r="F1401" s="2" t="str">
        <f>HYPERLINK("http://www.otzar.org/book.asp?60858","אוצר הפורים")</f>
        <v>אוצר הפורים</v>
      </c>
    </row>
    <row r="1402" spans="1:6" x14ac:dyDescent="0.2">
      <c r="A1402" t="s">
        <v>3056</v>
      </c>
      <c r="B1402" t="s">
        <v>3057</v>
      </c>
      <c r="C1402" t="s">
        <v>180</v>
      </c>
      <c r="D1402" t="s">
        <v>14</v>
      </c>
      <c r="E1402" t="s">
        <v>158</v>
      </c>
      <c r="F1402" s="2" t="str">
        <f>HYPERLINK("http://www.otzar.org/book.asp?7261","אוצר הפירושים - ב")</f>
        <v>אוצר הפירושים - ב</v>
      </c>
    </row>
    <row r="1403" spans="1:6" x14ac:dyDescent="0.2">
      <c r="A1403" t="s">
        <v>3058</v>
      </c>
      <c r="B1403" t="s">
        <v>3059</v>
      </c>
      <c r="C1403" t="s">
        <v>20</v>
      </c>
      <c r="D1403" t="s">
        <v>14</v>
      </c>
      <c r="E1403" t="s">
        <v>158</v>
      </c>
      <c r="F1403" s="2" t="str">
        <f>HYPERLINK("http://www.otzar.org/book.asp?159558","אוצר הפלאות - 4 כר'")</f>
        <v>אוצר הפלאות - 4 כר'</v>
      </c>
    </row>
    <row r="1404" spans="1:6" x14ac:dyDescent="0.2">
      <c r="A1404" t="s">
        <v>3060</v>
      </c>
      <c r="B1404" t="s">
        <v>3061</v>
      </c>
      <c r="C1404" t="s">
        <v>63</v>
      </c>
      <c r="D1404" t="s">
        <v>9</v>
      </c>
      <c r="E1404" t="s">
        <v>172</v>
      </c>
      <c r="F1404" s="2" t="str">
        <f>HYPERLINK("http://www.otzar.org/book.asp?172342","אוצר הפסח")</f>
        <v>אוצר הפסח</v>
      </c>
    </row>
    <row r="1405" spans="1:6" x14ac:dyDescent="0.2">
      <c r="A1405" t="s">
        <v>3062</v>
      </c>
      <c r="B1405" t="s">
        <v>1604</v>
      </c>
      <c r="C1405" t="s">
        <v>146</v>
      </c>
      <c r="D1405" t="s">
        <v>14</v>
      </c>
      <c r="E1405" t="s">
        <v>1626</v>
      </c>
      <c r="F1405" s="2" t="str">
        <f>HYPERLINK("http://www.otzar.org/book.asp?52636","אוצר הפרנסה")</f>
        <v>אוצר הפרנסה</v>
      </c>
    </row>
    <row r="1406" spans="1:6" x14ac:dyDescent="0.2">
      <c r="A1406" t="s">
        <v>3063</v>
      </c>
      <c r="B1406" t="s">
        <v>3064</v>
      </c>
      <c r="C1406" t="s">
        <v>411</v>
      </c>
      <c r="D1406" t="s">
        <v>14</v>
      </c>
      <c r="E1406" t="s">
        <v>246</v>
      </c>
      <c r="F1406" s="2" t="str">
        <f>HYPERLINK("http://www.otzar.org/book.asp?166959","אוצר הפרפראות - פורים")</f>
        <v>אוצר הפרפראות - פורים</v>
      </c>
    </row>
    <row r="1407" spans="1:6" x14ac:dyDescent="0.2">
      <c r="A1407" t="s">
        <v>3065</v>
      </c>
      <c r="B1407" t="s">
        <v>2530</v>
      </c>
      <c r="C1407" t="s">
        <v>411</v>
      </c>
      <c r="D1407" t="s">
        <v>2531</v>
      </c>
      <c r="E1407" t="s">
        <v>158</v>
      </c>
      <c r="F1407" s="2" t="str">
        <f>HYPERLINK("http://www.otzar.org/book.asp?167861","אוצר הפרשה - 6 כר'")</f>
        <v>אוצר הפרשה - 6 כר'</v>
      </c>
    </row>
    <row r="1408" spans="1:6" x14ac:dyDescent="0.2">
      <c r="A1408" t="s">
        <v>3066</v>
      </c>
      <c r="B1408" t="s">
        <v>2885</v>
      </c>
      <c r="C1408" t="s">
        <v>20</v>
      </c>
      <c r="D1408" t="s">
        <v>14</v>
      </c>
      <c r="E1408" t="s">
        <v>703</v>
      </c>
      <c r="F1408" s="2" t="str">
        <f>HYPERLINK("http://www.otzar.org/book.asp?60852","אוצר הקדושה")</f>
        <v>אוצר הקדושה</v>
      </c>
    </row>
    <row r="1409" spans="1:6" x14ac:dyDescent="0.2">
      <c r="A1409" t="s">
        <v>3067</v>
      </c>
      <c r="B1409" t="s">
        <v>3068</v>
      </c>
      <c r="C1409" t="s">
        <v>23</v>
      </c>
      <c r="D1409" t="s">
        <v>3069</v>
      </c>
      <c r="E1409" t="s">
        <v>104</v>
      </c>
      <c r="F1409" s="2" t="str">
        <f>HYPERLINK("http://www.otzar.org/book.asp?612704","אוצר הקונטרסים מרי""ח ניחוח - 2 כר'")</f>
        <v>אוצר הקונטרסים מרי"ח ניחוח - 2 כר'</v>
      </c>
    </row>
    <row r="1410" spans="1:6" x14ac:dyDescent="0.2">
      <c r="A1410" t="s">
        <v>3070</v>
      </c>
      <c r="B1410" t="s">
        <v>2885</v>
      </c>
      <c r="C1410" t="s">
        <v>523</v>
      </c>
      <c r="D1410" t="s">
        <v>14</v>
      </c>
      <c r="E1410" t="s">
        <v>703</v>
      </c>
      <c r="F1410" s="2" t="str">
        <f>HYPERLINK("http://www.otzar.org/book.asp?60894","אוצר הקונטרסים - 29 כר'")</f>
        <v>אוצר הקונטרסים - 29 כר'</v>
      </c>
    </row>
    <row r="1411" spans="1:6" x14ac:dyDescent="0.2">
      <c r="A1411" t="s">
        <v>3071</v>
      </c>
      <c r="B1411" t="s">
        <v>3072</v>
      </c>
      <c r="C1411" t="s">
        <v>106</v>
      </c>
      <c r="D1411" t="s">
        <v>52</v>
      </c>
      <c r="E1411" t="s">
        <v>119</v>
      </c>
      <c r="F1411" s="2" t="str">
        <f>HYPERLINK("http://www.otzar.org/book.asp?183417","אוצר הרבנים")</f>
        <v>אוצר הרבנים</v>
      </c>
    </row>
    <row r="1412" spans="1:6" x14ac:dyDescent="0.2">
      <c r="A1412" t="s">
        <v>3073</v>
      </c>
      <c r="B1412" t="s">
        <v>3074</v>
      </c>
      <c r="C1412" t="s">
        <v>438</v>
      </c>
      <c r="D1412" t="s">
        <v>412</v>
      </c>
      <c r="E1412" t="s">
        <v>1211</v>
      </c>
      <c r="F1412" s="2" t="str">
        <f>HYPERLINK("http://www.otzar.org/book.asp?103987","אוצר הש""ס - 5 כר'")</f>
        <v>אוצר הש"ס - 5 כר'</v>
      </c>
    </row>
    <row r="1413" spans="1:6" x14ac:dyDescent="0.2">
      <c r="A1413" t="s">
        <v>3075</v>
      </c>
      <c r="B1413" t="s">
        <v>3076</v>
      </c>
      <c r="C1413" t="s">
        <v>332</v>
      </c>
      <c r="D1413" t="s">
        <v>14</v>
      </c>
      <c r="E1413" t="s">
        <v>872</v>
      </c>
      <c r="F1413" s="2" t="str">
        <f>HYPERLINK("http://www.otzar.org/book.asp?153860","אוצר השבת - 2 כר'")</f>
        <v>אוצר השבת - 2 כר'</v>
      </c>
    </row>
    <row r="1414" spans="1:6" x14ac:dyDescent="0.2">
      <c r="A1414" t="s">
        <v>3077</v>
      </c>
      <c r="B1414" t="s">
        <v>3051</v>
      </c>
      <c r="C1414" t="s">
        <v>51</v>
      </c>
      <c r="D1414" t="s">
        <v>52</v>
      </c>
      <c r="E1414" t="s">
        <v>144</v>
      </c>
      <c r="F1414" s="2" t="str">
        <f>HYPERLINK("http://www.otzar.org/book.asp?166963","אוצר השבת")</f>
        <v>אוצר השבת</v>
      </c>
    </row>
    <row r="1415" spans="1:6" x14ac:dyDescent="0.2">
      <c r="A1415" t="s">
        <v>3078</v>
      </c>
      <c r="B1415" t="s">
        <v>3079</v>
      </c>
      <c r="C1415" t="s">
        <v>767</v>
      </c>
      <c r="D1415" t="s">
        <v>14</v>
      </c>
      <c r="E1415" t="s">
        <v>588</v>
      </c>
      <c r="F1415" s="2" t="str">
        <f>HYPERLINK("http://www.otzar.org/book.asp?179481","אוצר השו""ת - 10 כר'")</f>
        <v>אוצר השו"ת - 10 כר'</v>
      </c>
    </row>
    <row r="1416" spans="1:6" x14ac:dyDescent="0.2">
      <c r="A1416" t="s">
        <v>3080</v>
      </c>
      <c r="B1416" t="s">
        <v>3013</v>
      </c>
      <c r="C1416" t="s">
        <v>3081</v>
      </c>
      <c r="D1416" t="s">
        <v>9</v>
      </c>
      <c r="F1416" s="2" t="str">
        <f>HYPERLINK("http://www.otzar.org/book.asp?601359","אוצר השירה והפיוט - 5 כר'")</f>
        <v>אוצר השירה והפיוט - 5 כר'</v>
      </c>
    </row>
    <row r="1417" spans="1:6" x14ac:dyDescent="0.2">
      <c r="A1417" t="s">
        <v>3082</v>
      </c>
      <c r="B1417" t="s">
        <v>3027</v>
      </c>
      <c r="C1417" t="s">
        <v>87</v>
      </c>
      <c r="D1417" t="s">
        <v>14</v>
      </c>
      <c r="E1417" t="s">
        <v>3083</v>
      </c>
      <c r="F1417" s="2" t="str">
        <f>HYPERLINK("http://www.otzar.org/book.asp?152360","אוצר השירים, החיבורים והדרשות של הרב יוסף חיים")</f>
        <v>אוצר השירים, החיבורים והדרשות של הרב יוסף חיים</v>
      </c>
    </row>
    <row r="1418" spans="1:6" x14ac:dyDescent="0.2">
      <c r="A1418" t="s">
        <v>3084</v>
      </c>
      <c r="B1418" t="s">
        <v>3085</v>
      </c>
      <c r="C1418" t="s">
        <v>37</v>
      </c>
      <c r="D1418" t="s">
        <v>147</v>
      </c>
      <c r="E1418" t="s">
        <v>213</v>
      </c>
      <c r="F1418" s="2" t="str">
        <f>HYPERLINK("http://www.otzar.org/book.asp?188810","אוצר השלחן &lt;שלחן של ארבע - שלחן מלכים&gt;")</f>
        <v>אוצר השלחן &lt;שלחן של ארבע - שלחן מלכים&gt;</v>
      </c>
    </row>
    <row r="1419" spans="1:6" x14ac:dyDescent="0.2">
      <c r="A1419" t="s">
        <v>3086</v>
      </c>
      <c r="B1419" t="s">
        <v>3087</v>
      </c>
      <c r="C1419" t="s">
        <v>189</v>
      </c>
      <c r="D1419" t="s">
        <v>412</v>
      </c>
      <c r="E1419" t="s">
        <v>148</v>
      </c>
      <c r="F1419" s="2" t="str">
        <f>HYPERLINK("http://www.otzar.org/book.asp?85589","אוצר השלחן")</f>
        <v>אוצר השלחן</v>
      </c>
    </row>
    <row r="1420" spans="1:6" x14ac:dyDescent="0.2">
      <c r="A1420" t="s">
        <v>3088</v>
      </c>
      <c r="B1420" t="s">
        <v>3089</v>
      </c>
      <c r="C1420" t="s">
        <v>427</v>
      </c>
      <c r="D1420" t="s">
        <v>14</v>
      </c>
      <c r="F1420" s="2" t="str">
        <f>HYPERLINK("http://www.otzar.org/book.asp?600488","אוצר השמות לתלמוד בבלי - 5 כר'")</f>
        <v>אוצר השמות לתלמוד בבלי - 5 כר'</v>
      </c>
    </row>
    <row r="1421" spans="1:6" x14ac:dyDescent="0.2">
      <c r="A1421" t="s">
        <v>3090</v>
      </c>
      <c r="B1421" t="s">
        <v>3089</v>
      </c>
      <c r="C1421" t="s">
        <v>1640</v>
      </c>
      <c r="D1421" t="s">
        <v>14</v>
      </c>
      <c r="E1421" t="s">
        <v>64</v>
      </c>
      <c r="F1421" s="2" t="str">
        <f>HYPERLINK("http://www.otzar.org/book.asp?16939","אוצר השמות של מכילתא דרבי ישמעאל")</f>
        <v>אוצר השמות של מכילתא דרבי ישמעאל</v>
      </c>
    </row>
    <row r="1422" spans="1:6" x14ac:dyDescent="0.2">
      <c r="A1422" t="s">
        <v>3091</v>
      </c>
      <c r="B1422" t="s">
        <v>3092</v>
      </c>
      <c r="C1422" t="s">
        <v>1335</v>
      </c>
      <c r="D1422" t="s">
        <v>56</v>
      </c>
      <c r="E1422" t="s">
        <v>579</v>
      </c>
      <c r="F1422" s="2" t="str">
        <f>HYPERLINK("http://www.otzar.org/book.asp?188451","אוצר השמות")</f>
        <v>אוצר השמות</v>
      </c>
    </row>
    <row r="1423" spans="1:6" x14ac:dyDescent="0.2">
      <c r="A1423" t="s">
        <v>3093</v>
      </c>
      <c r="B1423" t="s">
        <v>3094</v>
      </c>
      <c r="C1423" t="s">
        <v>103</v>
      </c>
      <c r="D1423" t="s">
        <v>14</v>
      </c>
      <c r="E1423" t="s">
        <v>144</v>
      </c>
      <c r="F1423" s="2" t="str">
        <f>HYPERLINK("http://www.otzar.org/book.asp?172621","אוצר השמעתתא - בבא קמא")</f>
        <v>אוצר השמעתתא - בבא קמא</v>
      </c>
    </row>
    <row r="1424" spans="1:6" x14ac:dyDescent="0.2">
      <c r="A1424" t="s">
        <v>3095</v>
      </c>
      <c r="B1424" t="s">
        <v>3096</v>
      </c>
      <c r="C1424" t="s">
        <v>3097</v>
      </c>
      <c r="D1424" t="s">
        <v>2293</v>
      </c>
      <c r="E1424" t="s">
        <v>158</v>
      </c>
      <c r="F1424" s="2" t="str">
        <f>HYPERLINK("http://www.otzar.org/book.asp?51764","אוצר התהלים")</f>
        <v>אוצר התהלים</v>
      </c>
    </row>
    <row r="1425" spans="1:6" x14ac:dyDescent="0.2">
      <c r="A1425" t="s">
        <v>3098</v>
      </c>
      <c r="B1425" t="s">
        <v>3099</v>
      </c>
      <c r="C1425" t="s">
        <v>13</v>
      </c>
      <c r="D1425" t="s">
        <v>14</v>
      </c>
      <c r="E1425" t="s">
        <v>144</v>
      </c>
      <c r="F1425" s="2" t="str">
        <f>HYPERLINK("http://www.otzar.org/book.asp?62493","אוצר התוספות ומובאות התוספות - מכות")</f>
        <v>אוצר התוספות ומובאות התוספות - מכות</v>
      </c>
    </row>
    <row r="1426" spans="1:6" x14ac:dyDescent="0.2">
      <c r="A1426" t="s">
        <v>3100</v>
      </c>
      <c r="B1426" t="s">
        <v>3101</v>
      </c>
      <c r="C1426" t="s">
        <v>17</v>
      </c>
      <c r="D1426" t="s">
        <v>14</v>
      </c>
      <c r="E1426" t="s">
        <v>144</v>
      </c>
      <c r="F1426" s="2" t="str">
        <f>HYPERLINK("http://www.otzar.org/book.asp?605858","אוצר התוספות - 2 כר'")</f>
        <v>אוצר התוספות - 2 כר'</v>
      </c>
    </row>
    <row r="1427" spans="1:6" x14ac:dyDescent="0.2">
      <c r="A1427" t="s">
        <v>3102</v>
      </c>
      <c r="B1427" t="s">
        <v>3102</v>
      </c>
      <c r="C1427" t="s">
        <v>3103</v>
      </c>
      <c r="D1427" t="s">
        <v>1889</v>
      </c>
      <c r="E1427" t="s">
        <v>202</v>
      </c>
      <c r="F1427" s="2" t="str">
        <f>HYPERLINK("http://www.otzar.org/book.asp?108364","אוצר התורה")</f>
        <v>אוצר התורה</v>
      </c>
    </row>
    <row r="1428" spans="1:6" x14ac:dyDescent="0.2">
      <c r="A1428" t="s">
        <v>3104</v>
      </c>
      <c r="B1428" t="s">
        <v>3105</v>
      </c>
      <c r="C1428" t="s">
        <v>3106</v>
      </c>
      <c r="D1428" t="s">
        <v>412</v>
      </c>
      <c r="E1428" t="s">
        <v>3107</v>
      </c>
      <c r="F1428" s="2" t="str">
        <f>HYPERLINK("http://www.otzar.org/book.asp?6934","אוצר התורה - בראשית")</f>
        <v>אוצר התורה - בראשית</v>
      </c>
    </row>
    <row r="1429" spans="1:6" x14ac:dyDescent="0.2">
      <c r="A1429" t="s">
        <v>3102</v>
      </c>
      <c r="B1429" t="s">
        <v>3108</v>
      </c>
      <c r="C1429" t="s">
        <v>99</v>
      </c>
      <c r="D1429" t="s">
        <v>9</v>
      </c>
      <c r="E1429" t="s">
        <v>474</v>
      </c>
      <c r="F1429" s="2" t="str">
        <f>HYPERLINK("http://www.otzar.org/book.asp?107091","אוצר התורה")</f>
        <v>אוצר התורה</v>
      </c>
    </row>
    <row r="1430" spans="1:6" x14ac:dyDescent="0.2">
      <c r="A1430" t="s">
        <v>3102</v>
      </c>
      <c r="B1430" t="s">
        <v>3109</v>
      </c>
      <c r="C1430" t="s">
        <v>2543</v>
      </c>
      <c r="D1430" t="s">
        <v>756</v>
      </c>
      <c r="E1430" t="s">
        <v>1211</v>
      </c>
      <c r="F1430" s="2" t="str">
        <f>HYPERLINK("http://www.otzar.org/book.asp?158316","אוצר התורה")</f>
        <v>אוצר התורה</v>
      </c>
    </row>
    <row r="1431" spans="1:6" x14ac:dyDescent="0.2">
      <c r="A1431" t="s">
        <v>3110</v>
      </c>
      <c r="B1431" t="s">
        <v>3111</v>
      </c>
      <c r="C1431" t="s">
        <v>133</v>
      </c>
      <c r="D1431" t="s">
        <v>14</v>
      </c>
      <c r="F1431" s="2" t="str">
        <f>HYPERLINK("http://www.otzar.org/book.asp?181035","אוצר התורה - 5 כר'")</f>
        <v>אוצר התורה - 5 כר'</v>
      </c>
    </row>
    <row r="1432" spans="1:6" x14ac:dyDescent="0.2">
      <c r="A1432" t="s">
        <v>3112</v>
      </c>
      <c r="B1432" t="s">
        <v>3113</v>
      </c>
      <c r="C1432" t="s">
        <v>496</v>
      </c>
      <c r="D1432" t="s">
        <v>9</v>
      </c>
      <c r="E1432" t="s">
        <v>104</v>
      </c>
      <c r="F1432" s="2" t="str">
        <f>HYPERLINK("http://www.otzar.org/book.asp?188752","אוצר התמונות")</f>
        <v>אוצר התמונות</v>
      </c>
    </row>
    <row r="1433" spans="1:6" x14ac:dyDescent="0.2">
      <c r="A1433" t="s">
        <v>3114</v>
      </c>
      <c r="B1433" t="s">
        <v>3115</v>
      </c>
      <c r="C1433" t="s">
        <v>411</v>
      </c>
      <c r="D1433" t="s">
        <v>21</v>
      </c>
      <c r="E1433" t="s">
        <v>213</v>
      </c>
      <c r="F1433" s="2" t="str">
        <f>HYPERLINK("http://www.otzar.org/book.asp?191565","אוצר התפילה &lt;אנציקלופדיה תלמודית&gt;")</f>
        <v>אוצר התפילה &lt;אנציקלופדיה תלמודית&gt;</v>
      </c>
    </row>
    <row r="1434" spans="1:6" x14ac:dyDescent="0.2">
      <c r="A1434" t="s">
        <v>3116</v>
      </c>
      <c r="B1434" t="s">
        <v>3117</v>
      </c>
      <c r="C1434" t="s">
        <v>244</v>
      </c>
      <c r="D1434" t="s">
        <v>14</v>
      </c>
      <c r="E1434" t="s">
        <v>84</v>
      </c>
      <c r="F1434" s="2" t="str">
        <f>HYPERLINK("http://www.otzar.org/book.asp?199657","אוצר התרומה - 2 כר'")</f>
        <v>אוצר התרומה - 2 כר'</v>
      </c>
    </row>
    <row r="1435" spans="1:6" x14ac:dyDescent="0.2">
      <c r="A1435" t="s">
        <v>3118</v>
      </c>
      <c r="B1435" t="s">
        <v>3119</v>
      </c>
      <c r="C1435" t="s">
        <v>313</v>
      </c>
      <c r="D1435" t="s">
        <v>118</v>
      </c>
      <c r="E1435" t="s">
        <v>345</v>
      </c>
      <c r="F1435" s="2" t="str">
        <f>HYPERLINK("http://www.otzar.org/book.asp?22578","אוצר התשובות - 3 כר'")</f>
        <v>אוצר התשובות - 3 כר'</v>
      </c>
    </row>
    <row r="1436" spans="1:6" x14ac:dyDescent="0.2">
      <c r="A1436" t="s">
        <v>3120</v>
      </c>
      <c r="B1436" t="s">
        <v>3121</v>
      </c>
      <c r="C1436" t="s">
        <v>23</v>
      </c>
      <c r="D1436" t="s">
        <v>486</v>
      </c>
      <c r="E1436" t="s">
        <v>172</v>
      </c>
      <c r="F1436" s="2" t="str">
        <f>HYPERLINK("http://www.otzar.org/book.asp?198575","אוצר התשובות - חו""מ שו-של")</f>
        <v>אוצר התשובות - חו"מ שו-של</v>
      </c>
    </row>
    <row r="1437" spans="1:6" x14ac:dyDescent="0.2">
      <c r="A1437" t="s">
        <v>3122</v>
      </c>
      <c r="B1437" t="s">
        <v>3123</v>
      </c>
      <c r="C1437" t="s">
        <v>1640</v>
      </c>
      <c r="D1437" t="s">
        <v>216</v>
      </c>
      <c r="E1437" t="s">
        <v>104</v>
      </c>
      <c r="F1437" s="2" t="str">
        <f>HYPERLINK("http://www.otzar.org/book.asp?13292","אוצר זוטא")</f>
        <v>אוצר זוטא</v>
      </c>
    </row>
    <row r="1438" spans="1:6" x14ac:dyDescent="0.2">
      <c r="A1438" t="s">
        <v>3124</v>
      </c>
      <c r="B1438" t="s">
        <v>3125</v>
      </c>
      <c r="C1438" t="s">
        <v>20</v>
      </c>
      <c r="D1438" t="s">
        <v>2285</v>
      </c>
      <c r="E1438" t="s">
        <v>246</v>
      </c>
      <c r="F1438" s="2" t="str">
        <f>HYPERLINK("http://www.otzar.org/book.asp?605605","אוצר חביב - 2 כר'")</f>
        <v>אוצר חביב - 2 כר'</v>
      </c>
    </row>
    <row r="1439" spans="1:6" x14ac:dyDescent="0.2">
      <c r="A1439" t="s">
        <v>3126</v>
      </c>
      <c r="B1439" t="s">
        <v>3127</v>
      </c>
      <c r="C1439" t="s">
        <v>146</v>
      </c>
      <c r="D1439" t="s">
        <v>14</v>
      </c>
      <c r="E1439" t="s">
        <v>144</v>
      </c>
      <c r="F1439" s="2" t="str">
        <f>HYPERLINK("http://www.otzar.org/book.asp?168782","אוצר חידושים - 4 כר'")</f>
        <v>אוצר חידושים - 4 כר'</v>
      </c>
    </row>
    <row r="1440" spans="1:6" x14ac:dyDescent="0.2">
      <c r="A1440" t="s">
        <v>3128</v>
      </c>
      <c r="B1440" t="s">
        <v>3129</v>
      </c>
      <c r="C1440" t="s">
        <v>1096</v>
      </c>
      <c r="D1440" t="s">
        <v>56</v>
      </c>
      <c r="E1440" t="s">
        <v>144</v>
      </c>
      <c r="F1440" s="2" t="str">
        <f>HYPERLINK("http://www.otzar.org/book.asp?104658","אוצר חיים")</f>
        <v>אוצר חיים</v>
      </c>
    </row>
    <row r="1441" spans="1:6" x14ac:dyDescent="0.2">
      <c r="A1441" t="s">
        <v>3128</v>
      </c>
      <c r="B1441" t="s">
        <v>3130</v>
      </c>
      <c r="C1441" t="s">
        <v>103</v>
      </c>
      <c r="D1441" t="s">
        <v>412</v>
      </c>
      <c r="E1441" t="s">
        <v>144</v>
      </c>
      <c r="F1441" s="2" t="str">
        <f>HYPERLINK("http://www.otzar.org/book.asp?155915","אוצר חיים")</f>
        <v>אוצר חיים</v>
      </c>
    </row>
    <row r="1442" spans="1:6" x14ac:dyDescent="0.2">
      <c r="A1442" t="s">
        <v>3128</v>
      </c>
      <c r="B1442" t="s">
        <v>3131</v>
      </c>
      <c r="C1442" t="s">
        <v>462</v>
      </c>
      <c r="D1442" t="s">
        <v>27</v>
      </c>
      <c r="E1442" t="s">
        <v>579</v>
      </c>
      <c r="F1442" s="2" t="str">
        <f>HYPERLINK("http://www.otzar.org/book.asp?14388","אוצר חיים")</f>
        <v>אוצר חיים</v>
      </c>
    </row>
    <row r="1443" spans="1:6" x14ac:dyDescent="0.2">
      <c r="A1443" t="s">
        <v>3132</v>
      </c>
      <c r="B1443" t="s">
        <v>3133</v>
      </c>
      <c r="C1443" t="s">
        <v>63</v>
      </c>
      <c r="D1443" t="s">
        <v>216</v>
      </c>
      <c r="E1443" t="s">
        <v>158</v>
      </c>
      <c r="F1443" s="2" t="str">
        <f>HYPERLINK("http://www.otzar.org/book.asp?61191","אוצר חיים - 5 כר'")</f>
        <v>אוצר חיים - 5 כר'</v>
      </c>
    </row>
    <row r="1444" spans="1:6" x14ac:dyDescent="0.2">
      <c r="A1444" t="s">
        <v>3134</v>
      </c>
      <c r="B1444" t="s">
        <v>3135</v>
      </c>
      <c r="C1444" t="s">
        <v>1166</v>
      </c>
      <c r="D1444" t="s">
        <v>756</v>
      </c>
      <c r="E1444" t="s">
        <v>154</v>
      </c>
      <c r="F1444" s="2" t="str">
        <f>HYPERLINK("http://www.otzar.org/book.asp?100261","אוצר חיים - 2 כר'")</f>
        <v>אוצר חיים - 2 כר'</v>
      </c>
    </row>
    <row r="1445" spans="1:6" x14ac:dyDescent="0.2">
      <c r="A1445" t="s">
        <v>3136</v>
      </c>
      <c r="B1445" t="s">
        <v>3137</v>
      </c>
      <c r="C1445" t="s">
        <v>3138</v>
      </c>
      <c r="D1445" t="s">
        <v>3139</v>
      </c>
      <c r="F1445" s="2" t="str">
        <f>HYPERLINK("http://www.otzar.org/book.asp?620678","אוצר חיים - 3 כר'")</f>
        <v>אוצר חיים - 3 כר'</v>
      </c>
    </row>
    <row r="1446" spans="1:6" x14ac:dyDescent="0.2">
      <c r="A1446" t="s">
        <v>3140</v>
      </c>
      <c r="B1446" t="s">
        <v>3141</v>
      </c>
      <c r="C1446" t="s">
        <v>63</v>
      </c>
      <c r="D1446" t="s">
        <v>52</v>
      </c>
      <c r="E1446" t="s">
        <v>733</v>
      </c>
      <c r="F1446" s="2" t="str">
        <f>HYPERLINK("http://www.otzar.org/book.asp?144591","אוצר חכמי התלמוד")</f>
        <v>אוצר חכמי התלמוד</v>
      </c>
    </row>
    <row r="1447" spans="1:6" x14ac:dyDescent="0.2">
      <c r="A1447" t="s">
        <v>3142</v>
      </c>
      <c r="B1447" t="s">
        <v>3143</v>
      </c>
      <c r="C1447" t="s">
        <v>777</v>
      </c>
      <c r="D1447" t="s">
        <v>27</v>
      </c>
      <c r="E1447" t="s">
        <v>15</v>
      </c>
      <c r="F1447" s="2" t="str">
        <f>HYPERLINK("http://www.otzar.org/book.asp?8613","אוצר חלוף מנהגים")</f>
        <v>אוצר חלוף מנהגים</v>
      </c>
    </row>
    <row r="1448" spans="1:6" x14ac:dyDescent="0.2">
      <c r="A1448" t="s">
        <v>3144</v>
      </c>
      <c r="B1448" t="s">
        <v>3145</v>
      </c>
      <c r="C1448" t="s">
        <v>422</v>
      </c>
      <c r="D1448" t="s">
        <v>52</v>
      </c>
      <c r="E1448" t="s">
        <v>119</v>
      </c>
      <c r="F1448" s="2" t="str">
        <f>HYPERLINK("http://www.otzar.org/book.asp?147285","אוצר חמדת ימים")</f>
        <v>אוצר חמדת ימים</v>
      </c>
    </row>
    <row r="1449" spans="1:6" x14ac:dyDescent="0.2">
      <c r="A1449" t="s">
        <v>3146</v>
      </c>
      <c r="B1449" t="s">
        <v>2885</v>
      </c>
      <c r="C1449" t="s">
        <v>20</v>
      </c>
      <c r="D1449" t="s">
        <v>14</v>
      </c>
      <c r="E1449" t="s">
        <v>741</v>
      </c>
      <c r="F1449" s="2" t="str">
        <f>HYPERLINK("http://www.otzar.org/book.asp?60855","אוצר חנוך הילדים")</f>
        <v>אוצר חנוך הילדים</v>
      </c>
    </row>
    <row r="1450" spans="1:6" x14ac:dyDescent="0.2">
      <c r="A1450" t="s">
        <v>3147</v>
      </c>
      <c r="B1450" t="s">
        <v>3148</v>
      </c>
      <c r="C1450" t="s">
        <v>151</v>
      </c>
      <c r="D1450" t="s">
        <v>646</v>
      </c>
      <c r="F1450" s="2" t="str">
        <f>HYPERLINK("http://www.otzar.org/book.asp?616484","אוצר טהרה")</f>
        <v>אוצר טהרה</v>
      </c>
    </row>
    <row r="1451" spans="1:6" x14ac:dyDescent="0.2">
      <c r="A1451" t="s">
        <v>3149</v>
      </c>
      <c r="B1451" t="s">
        <v>3150</v>
      </c>
      <c r="C1451" t="s">
        <v>156</v>
      </c>
      <c r="D1451" t="s">
        <v>1541</v>
      </c>
      <c r="E1451" t="s">
        <v>119</v>
      </c>
      <c r="F1451" s="2" t="str">
        <f>HYPERLINK("http://www.otzar.org/book.asp?83906","אוצר טוב - 8 כר'")</f>
        <v>אוצר טוב - 8 כר'</v>
      </c>
    </row>
    <row r="1452" spans="1:6" x14ac:dyDescent="0.2">
      <c r="A1452" t="s">
        <v>3151</v>
      </c>
      <c r="B1452" t="s">
        <v>3152</v>
      </c>
      <c r="C1452" t="s">
        <v>725</v>
      </c>
      <c r="D1452" t="s">
        <v>412</v>
      </c>
      <c r="E1452" t="s">
        <v>158</v>
      </c>
      <c r="F1452" s="2" t="str">
        <f>HYPERLINK("http://www.otzar.org/book.asp?630811","אוצר טעמי המלך")</f>
        <v>אוצר טעמי המלך</v>
      </c>
    </row>
    <row r="1453" spans="1:6" x14ac:dyDescent="0.2">
      <c r="A1453" t="s">
        <v>3153</v>
      </c>
      <c r="B1453" t="s">
        <v>3154</v>
      </c>
      <c r="C1453" t="s">
        <v>176</v>
      </c>
      <c r="D1453" t="s">
        <v>412</v>
      </c>
      <c r="E1453" t="s">
        <v>3155</v>
      </c>
      <c r="F1453" s="2" t="str">
        <f>HYPERLINK("http://www.otzar.org/book.asp?170768","אוצר י""ד החיים &lt;מהדורה חדשה&gt;")</f>
        <v>אוצר י"ד החיים &lt;מהדורה חדשה&gt;</v>
      </c>
    </row>
    <row r="1454" spans="1:6" x14ac:dyDescent="0.2">
      <c r="A1454" t="s">
        <v>3156</v>
      </c>
      <c r="B1454" t="s">
        <v>3154</v>
      </c>
      <c r="C1454" t="s">
        <v>908</v>
      </c>
      <c r="D1454" t="s">
        <v>267</v>
      </c>
      <c r="E1454" t="s">
        <v>104</v>
      </c>
      <c r="F1454" s="2" t="str">
        <f>HYPERLINK("http://www.otzar.org/book.asp?105826","אוצר י""ד החיים")</f>
        <v>אוצר י"ד החיים</v>
      </c>
    </row>
    <row r="1455" spans="1:6" x14ac:dyDescent="0.2">
      <c r="A1455" t="s">
        <v>3157</v>
      </c>
      <c r="B1455" t="s">
        <v>3158</v>
      </c>
      <c r="C1455" t="s">
        <v>313</v>
      </c>
      <c r="D1455" t="s">
        <v>14</v>
      </c>
      <c r="E1455" t="s">
        <v>144</v>
      </c>
      <c r="F1455" s="2" t="str">
        <f>HYPERLINK("http://www.otzar.org/book.asp?62109","אוצר יחיאל")</f>
        <v>אוצר יחיאל</v>
      </c>
    </row>
    <row r="1456" spans="1:6" x14ac:dyDescent="0.2">
      <c r="A1456" t="s">
        <v>3159</v>
      </c>
      <c r="B1456" t="s">
        <v>3160</v>
      </c>
      <c r="C1456" t="s">
        <v>1169</v>
      </c>
      <c r="D1456" t="s">
        <v>3161</v>
      </c>
      <c r="E1456" t="s">
        <v>241</v>
      </c>
      <c r="F1456" s="2" t="str">
        <f>HYPERLINK("http://www.otzar.org/book.asp?163987","אוצר יראת ה'")</f>
        <v>אוצר יראת ה'</v>
      </c>
    </row>
    <row r="1457" spans="1:6" x14ac:dyDescent="0.2">
      <c r="A1457" t="s">
        <v>3162</v>
      </c>
      <c r="B1457" t="s">
        <v>3163</v>
      </c>
      <c r="C1457" t="s">
        <v>366</v>
      </c>
      <c r="D1457" t="s">
        <v>27</v>
      </c>
      <c r="F1457" s="2" t="str">
        <f>HYPERLINK("http://www.otzar.org/book.asp?632617","אוצר יראת שמים")</f>
        <v>אוצר יראת שמים</v>
      </c>
    </row>
    <row r="1458" spans="1:6" x14ac:dyDescent="0.2">
      <c r="A1458" t="s">
        <v>3164</v>
      </c>
      <c r="B1458" t="s">
        <v>2950</v>
      </c>
      <c r="C1458" t="s">
        <v>133</v>
      </c>
      <c r="D1458" t="s">
        <v>14</v>
      </c>
      <c r="E1458" t="s">
        <v>104</v>
      </c>
      <c r="F1458" s="2" t="str">
        <f>HYPERLINK("http://www.otzar.org/book.asp?176886","אוצר ירושלים והמקדש")</f>
        <v>אוצר ירושלים והמקדש</v>
      </c>
    </row>
    <row r="1459" spans="1:6" x14ac:dyDescent="0.2">
      <c r="A1459" t="s">
        <v>3165</v>
      </c>
      <c r="B1459" t="s">
        <v>3166</v>
      </c>
      <c r="C1459" t="s">
        <v>454</v>
      </c>
      <c r="D1459" t="s">
        <v>14</v>
      </c>
      <c r="E1459" t="s">
        <v>144</v>
      </c>
      <c r="F1459" s="2" t="str">
        <f>HYPERLINK("http://www.otzar.org/book.asp?106456","אוצר ישעך")</f>
        <v>אוצר ישעך</v>
      </c>
    </row>
    <row r="1460" spans="1:6" x14ac:dyDescent="0.2">
      <c r="A1460" t="s">
        <v>3167</v>
      </c>
      <c r="B1460" t="s">
        <v>3168</v>
      </c>
      <c r="C1460" t="s">
        <v>146</v>
      </c>
      <c r="D1460" t="s">
        <v>367</v>
      </c>
      <c r="E1460" t="s">
        <v>741</v>
      </c>
      <c r="F1460" s="2" t="str">
        <f>HYPERLINK("http://www.otzar.org/book.asp?161291","אוצר ישראל השלם")</f>
        <v>אוצר ישראל השלם</v>
      </c>
    </row>
    <row r="1461" spans="1:6" x14ac:dyDescent="0.2">
      <c r="A1461" t="s">
        <v>3169</v>
      </c>
      <c r="B1461" t="s">
        <v>3170</v>
      </c>
      <c r="C1461" t="s">
        <v>785</v>
      </c>
      <c r="D1461" t="s">
        <v>14</v>
      </c>
      <c r="F1461" s="2" t="str">
        <f>HYPERLINK("http://www.otzar.org/book.asp?158313","אוצר ישראל")</f>
        <v>אוצר ישראל</v>
      </c>
    </row>
    <row r="1462" spans="1:6" x14ac:dyDescent="0.2">
      <c r="A1462" t="s">
        <v>3171</v>
      </c>
      <c r="B1462" t="s">
        <v>3172</v>
      </c>
      <c r="C1462" t="s">
        <v>466</v>
      </c>
      <c r="D1462" t="s">
        <v>52</v>
      </c>
      <c r="F1462" s="2" t="str">
        <f>HYPERLINK("http://www.otzar.org/book.asp?617434","אוצר כבוד אב ואם")</f>
        <v>אוצר כבוד אב ואם</v>
      </c>
    </row>
    <row r="1463" spans="1:6" x14ac:dyDescent="0.2">
      <c r="A1463" t="s">
        <v>3173</v>
      </c>
      <c r="B1463" t="s">
        <v>2530</v>
      </c>
      <c r="C1463" t="s">
        <v>189</v>
      </c>
      <c r="D1463" t="s">
        <v>2531</v>
      </c>
      <c r="E1463" t="s">
        <v>15</v>
      </c>
      <c r="F1463" s="2" t="str">
        <f>HYPERLINK("http://www.otzar.org/book.asp?85557","אוצר כוונת המצוות")</f>
        <v>אוצר כוונת המצוות</v>
      </c>
    </row>
    <row r="1464" spans="1:6" x14ac:dyDescent="0.2">
      <c r="A1464" t="s">
        <v>3174</v>
      </c>
      <c r="B1464" t="s">
        <v>3175</v>
      </c>
      <c r="C1464" t="s">
        <v>752</v>
      </c>
      <c r="D1464" t="s">
        <v>56</v>
      </c>
      <c r="F1464" s="2" t="str">
        <f>HYPERLINK("http://www.otzar.org/book.asp?85004","אוצר כל כלי חמדה")</f>
        <v>אוצר כל כלי חמדה</v>
      </c>
    </row>
    <row r="1465" spans="1:6" x14ac:dyDescent="0.2">
      <c r="A1465" t="s">
        <v>3176</v>
      </c>
      <c r="B1465" t="s">
        <v>3177</v>
      </c>
      <c r="C1465" t="s">
        <v>2870</v>
      </c>
      <c r="D1465" t="s">
        <v>699</v>
      </c>
      <c r="E1465" t="s">
        <v>674</v>
      </c>
      <c r="F1465" s="2" t="str">
        <f>HYPERLINK("http://www.otzar.org/book.asp?101092","אוצר כל מנהגי ישרון - 2 כר'")</f>
        <v>אוצר כל מנהגי ישרון - 2 כר'</v>
      </c>
    </row>
    <row r="1466" spans="1:6" x14ac:dyDescent="0.2">
      <c r="A1466" t="s">
        <v>3178</v>
      </c>
      <c r="B1466" t="s">
        <v>3179</v>
      </c>
      <c r="C1466" t="s">
        <v>445</v>
      </c>
      <c r="D1466" t="s">
        <v>726</v>
      </c>
      <c r="E1466" t="s">
        <v>104</v>
      </c>
      <c r="F1466" s="2" t="str">
        <f>HYPERLINK("http://www.otzar.org/book.asp?15803","אוצר כל")</f>
        <v>אוצר כל</v>
      </c>
    </row>
    <row r="1467" spans="1:6" x14ac:dyDescent="0.2">
      <c r="A1467" t="s">
        <v>3180</v>
      </c>
      <c r="B1467" t="s">
        <v>3181</v>
      </c>
      <c r="C1467" t="s">
        <v>1448</v>
      </c>
      <c r="D1467" t="s">
        <v>412</v>
      </c>
      <c r="E1467" t="s">
        <v>104</v>
      </c>
      <c r="F1467" s="2" t="str">
        <f>HYPERLINK("http://www.otzar.org/book.asp?171574","אוצר כתבי עת תורניים")</f>
        <v>אוצר כתבי עת תורניים</v>
      </c>
    </row>
    <row r="1468" spans="1:6" x14ac:dyDescent="0.2">
      <c r="A1468" t="s">
        <v>3182</v>
      </c>
      <c r="B1468" t="s">
        <v>2885</v>
      </c>
      <c r="C1468" t="s">
        <v>20</v>
      </c>
      <c r="D1468" t="s">
        <v>14</v>
      </c>
      <c r="E1468" t="s">
        <v>3055</v>
      </c>
      <c r="F1468" s="2" t="str">
        <f>HYPERLINK("http://www.otzar.org/book.asp?60915","אוצר ל""ג בעומר וימי הספירה")</f>
        <v>אוצר ל"ג בעומר וימי הספירה</v>
      </c>
    </row>
    <row r="1469" spans="1:6" x14ac:dyDescent="0.2">
      <c r="A1469" t="s">
        <v>3183</v>
      </c>
      <c r="B1469" t="s">
        <v>3184</v>
      </c>
      <c r="C1469" t="s">
        <v>71</v>
      </c>
      <c r="D1469" t="s">
        <v>52</v>
      </c>
      <c r="E1469" t="s">
        <v>104</v>
      </c>
      <c r="F1469" s="2" t="str">
        <f>HYPERLINK("http://www.otzar.org/book.asp?155252","אוצר לב")</f>
        <v>אוצר לב</v>
      </c>
    </row>
    <row r="1470" spans="1:6" x14ac:dyDescent="0.2">
      <c r="A1470" t="s">
        <v>3185</v>
      </c>
      <c r="B1470" t="s">
        <v>3186</v>
      </c>
      <c r="C1470" t="s">
        <v>168</v>
      </c>
      <c r="D1470" t="s">
        <v>14</v>
      </c>
      <c r="E1470" t="s">
        <v>579</v>
      </c>
      <c r="F1470" s="2" t="str">
        <f>HYPERLINK("http://www.otzar.org/book.asp?104967","אוצר ליקוטים - ספר יונה")</f>
        <v>אוצר ליקוטים - ספר יונה</v>
      </c>
    </row>
    <row r="1471" spans="1:6" x14ac:dyDescent="0.2">
      <c r="A1471" t="s">
        <v>3187</v>
      </c>
      <c r="B1471" t="s">
        <v>3188</v>
      </c>
      <c r="C1471" t="s">
        <v>1640</v>
      </c>
      <c r="D1471" t="s">
        <v>14</v>
      </c>
      <c r="E1471" t="s">
        <v>241</v>
      </c>
      <c r="F1471" s="2" t="str">
        <f>HYPERLINK("http://www.otzar.org/book.asp?602652","אוצר ליקוטים - 2 כר'")</f>
        <v>אוצר ליקוטים - 2 כר'</v>
      </c>
    </row>
    <row r="1472" spans="1:6" x14ac:dyDescent="0.2">
      <c r="A1472" t="s">
        <v>3189</v>
      </c>
      <c r="B1472" t="s">
        <v>2885</v>
      </c>
      <c r="C1472" t="s">
        <v>20</v>
      </c>
      <c r="D1472" t="s">
        <v>14</v>
      </c>
      <c r="E1472" t="s">
        <v>741</v>
      </c>
      <c r="F1472" s="2" t="str">
        <f>HYPERLINK("http://www.otzar.org/book.asp?60916","אוצר לנשים")</f>
        <v>אוצר לנשים</v>
      </c>
    </row>
    <row r="1473" spans="1:6" x14ac:dyDescent="0.2">
      <c r="A1473" t="s">
        <v>3190</v>
      </c>
      <c r="B1473" t="s">
        <v>3191</v>
      </c>
      <c r="C1473" t="s">
        <v>313</v>
      </c>
      <c r="D1473" t="s">
        <v>14</v>
      </c>
      <c r="E1473" t="s">
        <v>104</v>
      </c>
      <c r="F1473" s="2" t="str">
        <f>HYPERLINK("http://www.otzar.org/book.asp?612579","אוצר לעזי רש""י")</f>
        <v>אוצר לעזי רש"י</v>
      </c>
    </row>
    <row r="1474" spans="1:6" x14ac:dyDescent="0.2">
      <c r="A1474" t="s">
        <v>3192</v>
      </c>
      <c r="B1474" t="s">
        <v>3193</v>
      </c>
      <c r="C1474" t="s">
        <v>1470</v>
      </c>
      <c r="D1474" t="s">
        <v>27</v>
      </c>
      <c r="E1474" t="s">
        <v>579</v>
      </c>
      <c r="F1474" s="2" t="str">
        <f>HYPERLINK("http://www.otzar.org/book.asp?144850","אוצר לשון המדרש")</f>
        <v>אוצר לשון המדרש</v>
      </c>
    </row>
    <row r="1475" spans="1:6" x14ac:dyDescent="0.2">
      <c r="A1475" t="s">
        <v>3194</v>
      </c>
      <c r="B1475" t="s">
        <v>3195</v>
      </c>
      <c r="C1475" t="s">
        <v>956</v>
      </c>
      <c r="D1475" t="s">
        <v>27</v>
      </c>
      <c r="F1475" s="2" t="str">
        <f>HYPERLINK("http://www.otzar.org/book.asp?611670","אוצר לשון המקרא - ג")</f>
        <v>אוצר לשון המקרא - ג</v>
      </c>
    </row>
    <row r="1476" spans="1:6" x14ac:dyDescent="0.2">
      <c r="A1476" t="s">
        <v>3196</v>
      </c>
      <c r="B1476" t="s">
        <v>3197</v>
      </c>
      <c r="C1476" t="s">
        <v>1954</v>
      </c>
      <c r="D1476" t="s">
        <v>27</v>
      </c>
      <c r="E1476" t="s">
        <v>158</v>
      </c>
      <c r="F1476" s="2" t="str">
        <f>HYPERLINK("http://www.otzar.org/book.asp?611668","אוצר לשון המקרא - 2 כר'")</f>
        <v>אוצר לשון המקרא - 2 כר'</v>
      </c>
    </row>
    <row r="1477" spans="1:6" x14ac:dyDescent="0.2">
      <c r="A1477" t="s">
        <v>3198</v>
      </c>
      <c r="B1477" t="s">
        <v>3199</v>
      </c>
      <c r="C1477" t="s">
        <v>3200</v>
      </c>
      <c r="D1477" t="s">
        <v>27</v>
      </c>
      <c r="E1477" t="s">
        <v>38</v>
      </c>
      <c r="F1477" s="2" t="str">
        <f>HYPERLINK("http://www.otzar.org/book.asp?157615","אוצר לשון המשנה - 2 כר'")</f>
        <v>אוצר לשון המשנה - 2 כר'</v>
      </c>
    </row>
    <row r="1478" spans="1:6" x14ac:dyDescent="0.2">
      <c r="A1478" t="s">
        <v>3201</v>
      </c>
      <c r="B1478" t="s">
        <v>3202</v>
      </c>
      <c r="C1478" t="s">
        <v>332</v>
      </c>
      <c r="D1478" t="s">
        <v>118</v>
      </c>
      <c r="E1478" t="s">
        <v>104</v>
      </c>
      <c r="F1478" s="2" t="str">
        <f>HYPERLINK("http://www.otzar.org/book.asp?153559","אוצר לשון הקודש שלבני תימן")</f>
        <v>אוצר לשון הקודש שלבני תימן</v>
      </c>
    </row>
    <row r="1479" spans="1:6" x14ac:dyDescent="0.2">
      <c r="A1479" t="s">
        <v>3203</v>
      </c>
      <c r="B1479" t="s">
        <v>3204</v>
      </c>
      <c r="C1479" t="s">
        <v>3205</v>
      </c>
      <c r="D1479" t="s">
        <v>1356</v>
      </c>
      <c r="E1479" t="s">
        <v>674</v>
      </c>
      <c r="F1479" s="2" t="str">
        <f>HYPERLINK("http://www.otzar.org/book.asp?627387","אוצר לשון הרמב""ם - 4 כר'")</f>
        <v>אוצר לשון הרמב"ם - 4 כר'</v>
      </c>
    </row>
    <row r="1480" spans="1:6" x14ac:dyDescent="0.2">
      <c r="A1480" t="s">
        <v>3206</v>
      </c>
      <c r="B1480" t="s">
        <v>3199</v>
      </c>
      <c r="C1480" t="s">
        <v>3207</v>
      </c>
      <c r="D1480" t="s">
        <v>3208</v>
      </c>
      <c r="F1480" s="2" t="str">
        <f>HYPERLINK("http://www.otzar.org/book.asp?615872","אוצר לשון התוספתא - 6 כר'")</f>
        <v>אוצר לשון התוספתא - 6 כר'</v>
      </c>
    </row>
    <row r="1481" spans="1:6" x14ac:dyDescent="0.2">
      <c r="A1481" t="s">
        <v>3209</v>
      </c>
      <c r="B1481" t="s">
        <v>3199</v>
      </c>
      <c r="C1481" t="s">
        <v>3210</v>
      </c>
      <c r="D1481" t="s">
        <v>27</v>
      </c>
      <c r="F1481" s="2" t="str">
        <f>HYPERLINK("http://www.otzar.org/book.asp?600458","אוצר לשון התלמוד - 42 כר'")</f>
        <v>אוצר לשון התלמוד - 42 כר'</v>
      </c>
    </row>
    <row r="1482" spans="1:6" x14ac:dyDescent="0.2">
      <c r="A1482" t="s">
        <v>3211</v>
      </c>
      <c r="B1482" t="s">
        <v>3212</v>
      </c>
      <c r="C1482" t="s">
        <v>3213</v>
      </c>
      <c r="D1482" t="s">
        <v>3214</v>
      </c>
      <c r="F1482" s="2" t="str">
        <f>HYPERLINK("http://www.otzar.org/book.asp?620091","אוצר לשון התלמודים והמדרשים &lt;מהדורה ראשונה&gt; - 4 כר'")</f>
        <v>אוצר לשון התלמודים והמדרשים &lt;מהדורה ראשונה&gt; - 4 כר'</v>
      </c>
    </row>
    <row r="1483" spans="1:6" x14ac:dyDescent="0.2">
      <c r="A1483" t="s">
        <v>3215</v>
      </c>
      <c r="B1483" t="s">
        <v>3212</v>
      </c>
      <c r="C1483" t="s">
        <v>581</v>
      </c>
      <c r="D1483" t="s">
        <v>3216</v>
      </c>
      <c r="F1483" s="2" t="str">
        <f>HYPERLINK("http://www.otzar.org/book.asp?617438","אוצר לשון התלמודים והמדרשים - 5 כר'")</f>
        <v>אוצר לשון התלמודים והמדרשים - 5 כר'</v>
      </c>
    </row>
    <row r="1484" spans="1:6" x14ac:dyDescent="0.2">
      <c r="A1484" t="s">
        <v>3217</v>
      </c>
      <c r="B1484" t="s">
        <v>3218</v>
      </c>
      <c r="C1484" t="s">
        <v>1640</v>
      </c>
      <c r="D1484" t="s">
        <v>21</v>
      </c>
      <c r="E1484" t="s">
        <v>43</v>
      </c>
      <c r="F1484" s="2" t="str">
        <f>HYPERLINK("http://www.otzar.org/book.asp?602364","אוצר לשון התנאים - 14 כר'")</f>
        <v>אוצר לשון התנאים - 14 כר'</v>
      </c>
    </row>
    <row r="1485" spans="1:6" x14ac:dyDescent="0.2">
      <c r="A1485" t="s">
        <v>3219</v>
      </c>
      <c r="B1485" t="s">
        <v>3179</v>
      </c>
      <c r="C1485" t="s">
        <v>1246</v>
      </c>
      <c r="D1485" t="s">
        <v>27</v>
      </c>
      <c r="F1485" s="2" t="str">
        <f>HYPERLINK("http://www.otzar.org/book.asp?612571","אוצר לשון חכמים - 2 כר'")</f>
        <v>אוצר לשון חכמים - 2 כר'</v>
      </c>
    </row>
    <row r="1486" spans="1:6" x14ac:dyDescent="0.2">
      <c r="A1486" t="s">
        <v>3220</v>
      </c>
      <c r="B1486" t="s">
        <v>3221</v>
      </c>
      <c r="C1486" t="s">
        <v>168</v>
      </c>
      <c r="D1486" t="s">
        <v>14</v>
      </c>
      <c r="F1486" s="2" t="str">
        <f>HYPERLINK("http://www.otzar.org/book.asp?615859","אוצר לשון תלמוד ירושלמי - אוצר השמות")</f>
        <v>אוצר לשון תלמוד ירושלמי - אוצר השמות</v>
      </c>
    </row>
    <row r="1487" spans="1:6" x14ac:dyDescent="0.2">
      <c r="A1487" t="s">
        <v>3222</v>
      </c>
      <c r="B1487" t="s">
        <v>3199</v>
      </c>
      <c r="C1487" t="s">
        <v>1448</v>
      </c>
      <c r="D1487" t="s">
        <v>27</v>
      </c>
      <c r="E1487" t="s">
        <v>3223</v>
      </c>
      <c r="F1487" s="2" t="str">
        <f>HYPERLINK("http://www.otzar.org/book.asp?200150","אוצר לשון תלמוד ירושלמי - 7 כר'")</f>
        <v>אוצר לשון תלמוד ירושלמי - 7 כר'</v>
      </c>
    </row>
    <row r="1488" spans="1:6" x14ac:dyDescent="0.2">
      <c r="A1488" t="s">
        <v>3224</v>
      </c>
      <c r="B1488" t="s">
        <v>3225</v>
      </c>
      <c r="C1488" t="s">
        <v>68</v>
      </c>
      <c r="D1488" t="s">
        <v>72</v>
      </c>
      <c r="F1488" s="2" t="str">
        <f>HYPERLINK("http://www.otzar.org/book.asp?183717","אוצר לשונות ירושלמיים - 2 כר'")</f>
        <v>אוצר לשונות ירושלמיים - 2 כר'</v>
      </c>
    </row>
    <row r="1489" spans="1:6" x14ac:dyDescent="0.2">
      <c r="A1489" t="s">
        <v>3226</v>
      </c>
      <c r="B1489" t="s">
        <v>3227</v>
      </c>
      <c r="C1489" t="s">
        <v>3228</v>
      </c>
      <c r="D1489" t="s">
        <v>27</v>
      </c>
      <c r="E1489" t="s">
        <v>1433</v>
      </c>
      <c r="F1489" s="2" t="str">
        <f>HYPERLINK("http://www.otzar.org/book.asp?8459","אוצר מאמרי הלכה - 3 כר'")</f>
        <v>אוצר מאמרי הלכה - 3 כר'</v>
      </c>
    </row>
    <row r="1490" spans="1:6" x14ac:dyDescent="0.2">
      <c r="A1490" t="s">
        <v>3229</v>
      </c>
      <c r="B1490" t="s">
        <v>2869</v>
      </c>
      <c r="C1490" t="s">
        <v>160</v>
      </c>
      <c r="D1490" t="s">
        <v>9</v>
      </c>
      <c r="E1490" t="s">
        <v>104</v>
      </c>
      <c r="F1490" s="2" t="str">
        <f>HYPERLINK("http://www.otzar.org/book.asp?51768","אוצר מאמרי חז""ל")</f>
        <v>אוצר מאמרי חז"ל</v>
      </c>
    </row>
    <row r="1491" spans="1:6" x14ac:dyDescent="0.2">
      <c r="A1491" t="s">
        <v>3230</v>
      </c>
      <c r="B1491" t="s">
        <v>2869</v>
      </c>
      <c r="C1491" t="s">
        <v>946</v>
      </c>
      <c r="D1491" t="s">
        <v>9</v>
      </c>
      <c r="E1491" t="s">
        <v>3231</v>
      </c>
      <c r="F1491" s="2" t="str">
        <f>HYPERLINK("http://www.otzar.org/book.asp?8479","אוצר מאמרי תנ""ך")</f>
        <v>אוצר מאמרי תנ"ך</v>
      </c>
    </row>
    <row r="1492" spans="1:6" x14ac:dyDescent="0.2">
      <c r="A1492" t="s">
        <v>3232</v>
      </c>
      <c r="B1492" t="s">
        <v>3233</v>
      </c>
      <c r="C1492" t="s">
        <v>23</v>
      </c>
      <c r="D1492" t="s">
        <v>367</v>
      </c>
      <c r="E1492" t="s">
        <v>104</v>
      </c>
      <c r="F1492" s="2" t="str">
        <f>HYPERLINK("http://www.otzar.org/book.asp?191082","אוצר מאמרים בין השמשות")</f>
        <v>אוצר מאמרים בין השמשות</v>
      </c>
    </row>
    <row r="1493" spans="1:6" x14ac:dyDescent="0.2">
      <c r="A1493" t="s">
        <v>3234</v>
      </c>
      <c r="B1493" t="s">
        <v>3235</v>
      </c>
      <c r="C1493" t="s">
        <v>68</v>
      </c>
      <c r="D1493" t="s">
        <v>21</v>
      </c>
      <c r="F1493" s="2" t="str">
        <f>HYPERLINK("http://www.otzar.org/book.asp?617070","אוצר מאמרים לב ישראל")</f>
        <v>אוצר מאמרים לב ישראל</v>
      </c>
    </row>
    <row r="1494" spans="1:6" x14ac:dyDescent="0.2">
      <c r="A1494" t="s">
        <v>3236</v>
      </c>
      <c r="B1494" t="s">
        <v>3237</v>
      </c>
      <c r="C1494" t="s">
        <v>438</v>
      </c>
      <c r="D1494" t="s">
        <v>260</v>
      </c>
      <c r="E1494" t="s">
        <v>3238</v>
      </c>
      <c r="F1494" s="2" t="str">
        <f>HYPERLINK("http://www.otzar.org/book.asp?14390","אוצר מאמרים - 2 כר'")</f>
        <v>אוצר מאמרים - 2 כר'</v>
      </c>
    </row>
    <row r="1495" spans="1:6" x14ac:dyDescent="0.2">
      <c r="A1495" t="s">
        <v>3239</v>
      </c>
      <c r="B1495" t="s">
        <v>3240</v>
      </c>
      <c r="C1495" t="s">
        <v>422</v>
      </c>
      <c r="D1495" t="s">
        <v>367</v>
      </c>
      <c r="E1495" t="s">
        <v>246</v>
      </c>
      <c r="F1495" s="2" t="str">
        <f>HYPERLINK("http://www.otzar.org/book.asp?608259","אוצר מאמרים - 5 כר'")</f>
        <v>אוצר מאמרים - 5 כר'</v>
      </c>
    </row>
    <row r="1496" spans="1:6" x14ac:dyDescent="0.2">
      <c r="A1496" t="s">
        <v>3241</v>
      </c>
      <c r="B1496" t="s">
        <v>1604</v>
      </c>
      <c r="C1496" t="s">
        <v>20</v>
      </c>
      <c r="D1496" t="s">
        <v>14</v>
      </c>
      <c r="E1496" t="s">
        <v>1847</v>
      </c>
      <c r="F1496" s="2" t="str">
        <f>HYPERLINK("http://www.otzar.org/book.asp?62722","אוצר מדרשי הזהר (המבואר) - בראשית")</f>
        <v>אוצר מדרשי הזהר (המבואר) - בראשית</v>
      </c>
    </row>
    <row r="1497" spans="1:6" x14ac:dyDescent="0.2">
      <c r="A1497" t="s">
        <v>3242</v>
      </c>
      <c r="B1497" t="s">
        <v>3243</v>
      </c>
      <c r="C1497" t="s">
        <v>3244</v>
      </c>
      <c r="D1497" t="s">
        <v>27</v>
      </c>
      <c r="E1497" t="s">
        <v>43</v>
      </c>
      <c r="F1497" s="2" t="str">
        <f>HYPERLINK("http://www.otzar.org/book.asp?200054","אוצר מדרשים כתבי יד - ב")</f>
        <v>אוצר מדרשים כתבי יד - ב</v>
      </c>
    </row>
    <row r="1498" spans="1:6" x14ac:dyDescent="0.2">
      <c r="A1498" t="s">
        <v>3245</v>
      </c>
      <c r="B1498" t="s">
        <v>2869</v>
      </c>
      <c r="C1498" t="s">
        <v>3246</v>
      </c>
      <c r="D1498" t="s">
        <v>9</v>
      </c>
      <c r="E1498" t="s">
        <v>64</v>
      </c>
      <c r="F1498" s="2" t="str">
        <f>HYPERLINK("http://www.otzar.org/book.asp?15692","אוצר מדרשים - 2 כר'")</f>
        <v>אוצר מדרשים - 2 כר'</v>
      </c>
    </row>
    <row r="1499" spans="1:6" x14ac:dyDescent="0.2">
      <c r="A1499" t="s">
        <v>3247</v>
      </c>
      <c r="B1499" t="s">
        <v>2869</v>
      </c>
      <c r="C1499" t="s">
        <v>698</v>
      </c>
      <c r="D1499" t="s">
        <v>9</v>
      </c>
      <c r="E1499" t="s">
        <v>241</v>
      </c>
      <c r="F1499" s="2" t="str">
        <f>HYPERLINK("http://www.otzar.org/book.asp?23739","אוצר מוסר ומדות")</f>
        <v>אוצר מוסר ומדות</v>
      </c>
    </row>
    <row r="1500" spans="1:6" x14ac:dyDescent="0.2">
      <c r="A1500" t="s">
        <v>3248</v>
      </c>
      <c r="B1500" t="s">
        <v>3249</v>
      </c>
      <c r="C1500" t="s">
        <v>419</v>
      </c>
      <c r="D1500" t="s">
        <v>14</v>
      </c>
      <c r="E1500" t="s">
        <v>104</v>
      </c>
      <c r="F1500" s="2" t="str">
        <f>HYPERLINK("http://www.otzar.org/book.asp?63611","אוצר מוסרי חז""ל")</f>
        <v>אוצר מוסרי חז"ל</v>
      </c>
    </row>
    <row r="1501" spans="1:6" x14ac:dyDescent="0.2">
      <c r="A1501" t="s">
        <v>3250</v>
      </c>
      <c r="B1501" t="s">
        <v>3251</v>
      </c>
      <c r="C1501" t="s">
        <v>411</v>
      </c>
      <c r="D1501" t="s">
        <v>14</v>
      </c>
      <c r="E1501" t="s">
        <v>15</v>
      </c>
      <c r="F1501" s="2" t="str">
        <f>HYPERLINK("http://www.otzar.org/book.asp?198338","אוצר מחמדים")</f>
        <v>אוצר מחמדים</v>
      </c>
    </row>
    <row r="1502" spans="1:6" x14ac:dyDescent="0.2">
      <c r="A1502" t="s">
        <v>3252</v>
      </c>
      <c r="B1502" t="s">
        <v>3253</v>
      </c>
      <c r="C1502" t="s">
        <v>129</v>
      </c>
      <c r="D1502" t="s">
        <v>14</v>
      </c>
      <c r="E1502" t="s">
        <v>741</v>
      </c>
      <c r="F1502" s="2" t="str">
        <f>HYPERLINK("http://www.otzar.org/book.asp?148781","אוצר מכתבי קודש חלקת יהושע")</f>
        <v>אוצר מכתבי קודש חלקת יהושע</v>
      </c>
    </row>
    <row r="1503" spans="1:6" x14ac:dyDescent="0.2">
      <c r="A1503" t="s">
        <v>3254</v>
      </c>
      <c r="B1503" t="s">
        <v>2885</v>
      </c>
      <c r="C1503" t="s">
        <v>71</v>
      </c>
      <c r="D1503" t="s">
        <v>14</v>
      </c>
      <c r="E1503" t="s">
        <v>741</v>
      </c>
      <c r="F1503" s="2" t="str">
        <f>HYPERLINK("http://www.otzar.org/book.asp?60826","אוצר מכתבים לאשה ולבת - 2 כר'")</f>
        <v>אוצר מכתבים לאשה ולבת - 2 כר'</v>
      </c>
    </row>
    <row r="1504" spans="1:6" x14ac:dyDescent="0.2">
      <c r="A1504" t="s">
        <v>3255</v>
      </c>
      <c r="B1504" t="s">
        <v>2877</v>
      </c>
      <c r="C1504" t="s">
        <v>68</v>
      </c>
      <c r="D1504" t="s">
        <v>14</v>
      </c>
      <c r="E1504" t="s">
        <v>741</v>
      </c>
      <c r="F1504" s="2" t="str">
        <f>HYPERLINK("http://www.otzar.org/book.asp?155981","אוצר מכתבים - 2 כר'")</f>
        <v>אוצר מכתבים - 2 כר'</v>
      </c>
    </row>
    <row r="1505" spans="1:6" x14ac:dyDescent="0.2">
      <c r="A1505" t="s">
        <v>3256</v>
      </c>
      <c r="B1505" t="s">
        <v>3257</v>
      </c>
      <c r="C1505" t="s">
        <v>775</v>
      </c>
      <c r="D1505" t="s">
        <v>14</v>
      </c>
      <c r="E1505" t="s">
        <v>15</v>
      </c>
      <c r="F1505" s="2" t="str">
        <f>HYPERLINK("http://www.otzar.org/book.asp?145271","אוצר מנהגי חסידים - דרכי יואל")</f>
        <v>אוצר מנהגי חסידים - דרכי יואל</v>
      </c>
    </row>
    <row r="1506" spans="1:6" x14ac:dyDescent="0.2">
      <c r="A1506" t="s">
        <v>3258</v>
      </c>
      <c r="B1506" t="s">
        <v>3259</v>
      </c>
      <c r="C1506" t="s">
        <v>146</v>
      </c>
      <c r="D1506" t="s">
        <v>14</v>
      </c>
      <c r="E1506" t="s">
        <v>15</v>
      </c>
      <c r="F1506" s="2" t="str">
        <f>HYPERLINK("http://www.otzar.org/book.asp?149501","אוצר מנהגי נישואין")</f>
        <v>אוצר מנהגי נישואין</v>
      </c>
    </row>
    <row r="1507" spans="1:6" x14ac:dyDescent="0.2">
      <c r="A1507" t="s">
        <v>3260</v>
      </c>
      <c r="B1507" t="s">
        <v>2869</v>
      </c>
      <c r="C1507" t="s">
        <v>8</v>
      </c>
      <c r="D1507" t="s">
        <v>9</v>
      </c>
      <c r="E1507" t="s">
        <v>3261</v>
      </c>
      <c r="F1507" s="2" t="str">
        <f>HYPERLINK("http://www.otzar.org/book.asp?567","אוצר מסעות")</f>
        <v>אוצר מסעות</v>
      </c>
    </row>
    <row r="1508" spans="1:6" x14ac:dyDescent="0.2">
      <c r="A1508" t="s">
        <v>3262</v>
      </c>
      <c r="B1508" t="s">
        <v>3263</v>
      </c>
      <c r="C1508" t="s">
        <v>20</v>
      </c>
      <c r="D1508" t="s">
        <v>14</v>
      </c>
      <c r="E1508" t="s">
        <v>15</v>
      </c>
      <c r="F1508" s="2" t="str">
        <f>HYPERLINK("http://www.otzar.org/book.asp?179485","אוצר מפרשי הרמב""ם - 5 כר'")</f>
        <v>אוצר מפרשי הרמב"ם - 5 כר'</v>
      </c>
    </row>
    <row r="1509" spans="1:6" x14ac:dyDescent="0.2">
      <c r="A1509" t="s">
        <v>3264</v>
      </c>
      <c r="B1509" t="s">
        <v>206</v>
      </c>
      <c r="C1509" t="s">
        <v>422</v>
      </c>
      <c r="D1509" t="s">
        <v>14</v>
      </c>
      <c r="E1509" t="s">
        <v>158</v>
      </c>
      <c r="F1509" s="2" t="str">
        <f>HYPERLINK("http://www.otzar.org/book.asp?154245","אוצר מפרשי התורה - במדבר א")</f>
        <v>אוצר מפרשי התורה - במדבר א</v>
      </c>
    </row>
    <row r="1510" spans="1:6" x14ac:dyDescent="0.2">
      <c r="A1510" t="s">
        <v>3265</v>
      </c>
      <c r="B1510" t="s">
        <v>2917</v>
      </c>
      <c r="C1510" t="s">
        <v>23</v>
      </c>
      <c r="D1510" t="s">
        <v>14</v>
      </c>
      <c r="E1510" t="s">
        <v>158</v>
      </c>
      <c r="F1510" s="2" t="str">
        <f>HYPERLINK("http://www.otzar.org/book.asp?607136","אוצר מפרשי התנ""ך- עזרא")</f>
        <v>אוצר מפרשי התנ"ך- עזרא</v>
      </c>
    </row>
    <row r="1511" spans="1:6" x14ac:dyDescent="0.2">
      <c r="A1511" t="s">
        <v>3266</v>
      </c>
      <c r="B1511" t="s">
        <v>2844</v>
      </c>
      <c r="C1511" t="s">
        <v>17</v>
      </c>
      <c r="D1511" t="s">
        <v>14</v>
      </c>
      <c r="E1511" t="s">
        <v>2840</v>
      </c>
      <c r="F1511" s="2" t="str">
        <f>HYPERLINK("http://www.otzar.org/book.asp?156836","אוצר מצוות תפילין")</f>
        <v>אוצר מצוות תפילין</v>
      </c>
    </row>
    <row r="1512" spans="1:6" x14ac:dyDescent="0.2">
      <c r="A1512" t="s">
        <v>3267</v>
      </c>
      <c r="B1512" t="s">
        <v>3268</v>
      </c>
      <c r="C1512" t="s">
        <v>13</v>
      </c>
      <c r="D1512" t="s">
        <v>52</v>
      </c>
      <c r="E1512" t="s">
        <v>104</v>
      </c>
      <c r="F1512" s="2" t="str">
        <f>HYPERLINK("http://www.otzar.org/book.asp?145301","אוצר מקור ישראל - 3 כר'")</f>
        <v>אוצר מקור ישראל - 3 כר'</v>
      </c>
    </row>
    <row r="1513" spans="1:6" x14ac:dyDescent="0.2">
      <c r="A1513" t="s">
        <v>3269</v>
      </c>
      <c r="B1513" t="s">
        <v>3270</v>
      </c>
      <c r="C1513" t="s">
        <v>383</v>
      </c>
      <c r="D1513" t="s">
        <v>14</v>
      </c>
      <c r="E1513" t="s">
        <v>3271</v>
      </c>
      <c r="F1513" s="2" t="str">
        <f>HYPERLINK("http://www.otzar.org/book.asp?62129","אוצר מרגליות - 2 כר'")</f>
        <v>אוצר מרגליות - 2 כר'</v>
      </c>
    </row>
    <row r="1514" spans="1:6" x14ac:dyDescent="0.2">
      <c r="A1514" t="s">
        <v>3272</v>
      </c>
      <c r="B1514" t="s">
        <v>3273</v>
      </c>
      <c r="C1514" t="s">
        <v>3274</v>
      </c>
      <c r="D1514" t="s">
        <v>260</v>
      </c>
      <c r="E1514" t="s">
        <v>140</v>
      </c>
      <c r="F1514" s="2" t="str">
        <f>HYPERLINK("http://www.otzar.org/book.asp?23804","אוצר משלי חסידים - 4 כר'")</f>
        <v>אוצר משלי חסידים - 4 כר'</v>
      </c>
    </row>
    <row r="1515" spans="1:6" x14ac:dyDescent="0.2">
      <c r="A1515" t="s">
        <v>3275</v>
      </c>
      <c r="B1515" t="s">
        <v>3276</v>
      </c>
      <c r="C1515" t="s">
        <v>1169</v>
      </c>
      <c r="D1515" t="s">
        <v>52</v>
      </c>
      <c r="E1515" t="s">
        <v>104</v>
      </c>
      <c r="F1515" s="2" t="str">
        <f>HYPERLINK("http://www.otzar.org/book.asp?174262","אוצר משלי חסידים - חב""ד")</f>
        <v>אוצר משלי חסידים - חב"ד</v>
      </c>
    </row>
    <row r="1516" spans="1:6" x14ac:dyDescent="0.2">
      <c r="A1516" t="s">
        <v>3277</v>
      </c>
      <c r="B1516" t="s">
        <v>2530</v>
      </c>
      <c r="C1516" t="s">
        <v>68</v>
      </c>
      <c r="D1516" t="s">
        <v>2531</v>
      </c>
      <c r="E1516" t="s">
        <v>84</v>
      </c>
      <c r="F1516" s="2" t="str">
        <f>HYPERLINK("http://www.otzar.org/book.asp?167913","אוצר משניות - 10 כר'")</f>
        <v>אוצר משניות - 10 כר'</v>
      </c>
    </row>
    <row r="1517" spans="1:6" x14ac:dyDescent="0.2">
      <c r="A1517" t="s">
        <v>3278</v>
      </c>
      <c r="B1517" t="s">
        <v>3279</v>
      </c>
      <c r="C1517" t="s">
        <v>3280</v>
      </c>
      <c r="D1517" t="s">
        <v>27</v>
      </c>
      <c r="E1517" t="s">
        <v>104</v>
      </c>
      <c r="F1517" s="2" t="str">
        <f>HYPERLINK("http://www.otzar.org/book.asp?53273","אוצר נגינות ישראל - 4 כר'")</f>
        <v>אוצר נגינות ישראל - 4 כר'</v>
      </c>
    </row>
    <row r="1518" spans="1:6" x14ac:dyDescent="0.2">
      <c r="A1518" t="s">
        <v>3281</v>
      </c>
      <c r="B1518" t="s">
        <v>3282</v>
      </c>
      <c r="C1518" t="s">
        <v>146</v>
      </c>
      <c r="D1518" t="s">
        <v>3283</v>
      </c>
      <c r="E1518" t="s">
        <v>104</v>
      </c>
      <c r="F1518" s="2" t="str">
        <f>HYPERLINK("http://www.otzar.org/book.asp?28637","אוצר נחמד על שיר הכבוד")</f>
        <v>אוצר נחמד על שיר הכבוד</v>
      </c>
    </row>
    <row r="1519" spans="1:6" x14ac:dyDescent="0.2">
      <c r="A1519" t="s">
        <v>3284</v>
      </c>
      <c r="B1519" t="s">
        <v>3285</v>
      </c>
      <c r="C1519" t="s">
        <v>1124</v>
      </c>
      <c r="D1519" t="s">
        <v>855</v>
      </c>
      <c r="E1519" t="s">
        <v>104</v>
      </c>
      <c r="F1519" s="2" t="str">
        <f>HYPERLINK("http://www.otzar.org/book.asp?104554","אוצר נחמד")</f>
        <v>אוצר נחמד</v>
      </c>
    </row>
    <row r="1520" spans="1:6" x14ac:dyDescent="0.2">
      <c r="A1520" t="s">
        <v>3284</v>
      </c>
      <c r="B1520" t="s">
        <v>3286</v>
      </c>
      <c r="C1520" t="s">
        <v>1448</v>
      </c>
      <c r="D1520" t="s">
        <v>52</v>
      </c>
      <c r="E1520" t="s">
        <v>3287</v>
      </c>
      <c r="F1520" s="2" t="str">
        <f>HYPERLINK("http://www.otzar.org/book.asp?62803","אוצר נחמד")</f>
        <v>אוצר נחמד</v>
      </c>
    </row>
    <row r="1521" spans="1:6" x14ac:dyDescent="0.2">
      <c r="A1521" t="s">
        <v>3284</v>
      </c>
      <c r="B1521" t="s">
        <v>3288</v>
      </c>
      <c r="C1521" t="s">
        <v>619</v>
      </c>
      <c r="D1521" t="s">
        <v>379</v>
      </c>
      <c r="E1521" t="s">
        <v>104</v>
      </c>
      <c r="F1521" s="2" t="str">
        <f>HYPERLINK("http://www.otzar.org/book.asp?104555","אוצר נחמד")</f>
        <v>אוצר נחמד</v>
      </c>
    </row>
    <row r="1522" spans="1:6" x14ac:dyDescent="0.2">
      <c r="A1522" t="s">
        <v>3284</v>
      </c>
      <c r="B1522" t="s">
        <v>3289</v>
      </c>
      <c r="C1522" t="s">
        <v>3290</v>
      </c>
      <c r="D1522" t="s">
        <v>412</v>
      </c>
      <c r="E1522" t="s">
        <v>3291</v>
      </c>
      <c r="F1522" s="2" t="str">
        <f>HYPERLINK("http://www.otzar.org/book.asp?191189","אוצר נחמד")</f>
        <v>אוצר נחמד</v>
      </c>
    </row>
    <row r="1523" spans="1:6" x14ac:dyDescent="0.2">
      <c r="A1523" t="s">
        <v>3284</v>
      </c>
      <c r="B1523" t="s">
        <v>3292</v>
      </c>
      <c r="C1523" t="s">
        <v>99</v>
      </c>
      <c r="D1523" t="s">
        <v>3293</v>
      </c>
      <c r="E1523" t="s">
        <v>234</v>
      </c>
      <c r="F1523" s="2" t="str">
        <f>HYPERLINK("http://www.otzar.org/book.asp?51765","אוצר נחמד")</f>
        <v>אוצר נחמד</v>
      </c>
    </row>
    <row r="1524" spans="1:6" x14ac:dyDescent="0.2">
      <c r="A1524" t="s">
        <v>3284</v>
      </c>
      <c r="B1524" t="s">
        <v>3294</v>
      </c>
      <c r="C1524" t="s">
        <v>3295</v>
      </c>
      <c r="D1524" t="s">
        <v>49</v>
      </c>
      <c r="E1524" t="s">
        <v>219</v>
      </c>
      <c r="F1524" s="2" t="str">
        <f>HYPERLINK("http://www.otzar.org/book.asp?181183","אוצר נחמד")</f>
        <v>אוצר נחמד</v>
      </c>
    </row>
    <row r="1525" spans="1:6" x14ac:dyDescent="0.2">
      <c r="A1525" t="s">
        <v>3296</v>
      </c>
      <c r="B1525" t="s">
        <v>3297</v>
      </c>
      <c r="D1525" t="s">
        <v>412</v>
      </c>
      <c r="E1525" t="s">
        <v>674</v>
      </c>
      <c r="F1525" s="2" t="str">
        <f>HYPERLINK("http://www.otzar.org/book.asp?611368","אוצר נישואין")</f>
        <v>אוצר נישואין</v>
      </c>
    </row>
    <row r="1526" spans="1:6" x14ac:dyDescent="0.2">
      <c r="A1526" t="s">
        <v>3298</v>
      </c>
      <c r="B1526" t="s">
        <v>3299</v>
      </c>
      <c r="C1526" t="s">
        <v>20</v>
      </c>
      <c r="D1526" t="s">
        <v>90</v>
      </c>
      <c r="E1526" t="s">
        <v>104</v>
      </c>
      <c r="F1526" s="2" t="str">
        <f>HYPERLINK("http://www.otzar.org/book.asp?610986","אוצר סגולות החתם סופר")</f>
        <v>אוצר סגולות החתם סופר</v>
      </c>
    </row>
    <row r="1527" spans="1:6" x14ac:dyDescent="0.2">
      <c r="A1527" t="s">
        <v>3300</v>
      </c>
      <c r="B1527" t="s">
        <v>3301</v>
      </c>
      <c r="C1527" t="s">
        <v>454</v>
      </c>
      <c r="D1527" t="s">
        <v>14</v>
      </c>
      <c r="F1527" s="2" t="str">
        <f>HYPERLINK("http://www.otzar.org/book.asp?180024","אוצר ספרי הגר""א")</f>
        <v>אוצר ספרי הגר"א</v>
      </c>
    </row>
    <row r="1528" spans="1:6" x14ac:dyDescent="0.2">
      <c r="A1528" t="s">
        <v>3302</v>
      </c>
      <c r="B1528" t="s">
        <v>3302</v>
      </c>
      <c r="C1528" t="s">
        <v>20</v>
      </c>
      <c r="D1528" t="s">
        <v>14</v>
      </c>
      <c r="E1528" t="s">
        <v>148</v>
      </c>
      <c r="F1528" s="2" t="str">
        <f>HYPERLINK("http://www.otzar.org/book.asp?179809","אוצר ספרי מזוזה")</f>
        <v>אוצר ספרי מזוזה</v>
      </c>
    </row>
    <row r="1529" spans="1:6" x14ac:dyDescent="0.2">
      <c r="A1529" t="s">
        <v>3303</v>
      </c>
      <c r="B1529" t="s">
        <v>3304</v>
      </c>
      <c r="C1529" t="s">
        <v>51</v>
      </c>
      <c r="D1529" t="s">
        <v>52</v>
      </c>
      <c r="E1529" t="s">
        <v>15</v>
      </c>
      <c r="F1529" s="2" t="str">
        <f>HYPERLINK("http://www.otzar.org/book.asp?145113","אוצר עדות באיסורין")</f>
        <v>אוצר עדות באיסורין</v>
      </c>
    </row>
    <row r="1530" spans="1:6" x14ac:dyDescent="0.2">
      <c r="A1530" t="s">
        <v>3305</v>
      </c>
      <c r="B1530" t="s">
        <v>3306</v>
      </c>
      <c r="C1530" t="s">
        <v>313</v>
      </c>
      <c r="D1530" t="s">
        <v>14</v>
      </c>
      <c r="E1530" t="s">
        <v>399</v>
      </c>
      <c r="F1530" s="2" t="str">
        <f>HYPERLINK("http://www.otzar.org/book.asp?149004","אוצר עדן גנוז")</f>
        <v>אוצר עדן גנוז</v>
      </c>
    </row>
    <row r="1531" spans="1:6" x14ac:dyDescent="0.2">
      <c r="A1531" t="s">
        <v>3307</v>
      </c>
      <c r="B1531" t="s">
        <v>3308</v>
      </c>
      <c r="C1531" t="s">
        <v>1811</v>
      </c>
      <c r="D1531" t="s">
        <v>118</v>
      </c>
      <c r="E1531" t="s">
        <v>604</v>
      </c>
      <c r="F1531" s="2" t="str">
        <f>HYPERLINK("http://www.otzar.org/book.asp?105565","אוצר ערכי התורה באהלי יששכר - 7 כר'")</f>
        <v>אוצר ערכי התורה באהלי יששכר - 7 כר'</v>
      </c>
    </row>
    <row r="1532" spans="1:6" x14ac:dyDescent="0.2">
      <c r="A1532" t="s">
        <v>3309</v>
      </c>
      <c r="B1532" t="s">
        <v>2889</v>
      </c>
      <c r="C1532" t="s">
        <v>87</v>
      </c>
      <c r="D1532" t="s">
        <v>14</v>
      </c>
      <c r="E1532" t="s">
        <v>15</v>
      </c>
      <c r="F1532" s="2" t="str">
        <f>HYPERLINK("http://www.otzar.org/book.asp?85450","אוצר פדיון הבן - 2 כר'")</f>
        <v>אוצר פדיון הבן - 2 כר'</v>
      </c>
    </row>
    <row r="1533" spans="1:6" x14ac:dyDescent="0.2">
      <c r="A1533" t="s">
        <v>3310</v>
      </c>
      <c r="B1533" t="s">
        <v>1308</v>
      </c>
      <c r="C1533" t="s">
        <v>1169</v>
      </c>
      <c r="D1533" t="s">
        <v>27</v>
      </c>
      <c r="E1533" t="s">
        <v>130</v>
      </c>
      <c r="F1533" s="2" t="str">
        <f>HYPERLINK("http://www.otzar.org/book.asp?83868","אוצר פירושי הגדה של פסח")</f>
        <v>אוצר פירושי הגדה של פסח</v>
      </c>
    </row>
    <row r="1534" spans="1:6" x14ac:dyDescent="0.2">
      <c r="A1534" t="s">
        <v>3311</v>
      </c>
      <c r="B1534" t="s">
        <v>3312</v>
      </c>
      <c r="C1534" t="s">
        <v>433</v>
      </c>
      <c r="D1534" t="s">
        <v>412</v>
      </c>
      <c r="E1534" t="s">
        <v>158</v>
      </c>
      <c r="F1534" s="2" t="str">
        <f>HYPERLINK("http://www.otzar.org/book.asp?602143","אוצר פירושים על התורה")</f>
        <v>אוצר פירושים על התורה</v>
      </c>
    </row>
    <row r="1535" spans="1:6" x14ac:dyDescent="0.2">
      <c r="A1535" t="s">
        <v>3313</v>
      </c>
      <c r="B1535" t="s">
        <v>3314</v>
      </c>
      <c r="C1535" t="s">
        <v>1570</v>
      </c>
      <c r="D1535" t="s">
        <v>90</v>
      </c>
      <c r="E1535" t="s">
        <v>246</v>
      </c>
      <c r="F1535" s="2" t="str">
        <f>HYPERLINK("http://www.otzar.org/book.asp?151684","אוצר פירושים - הגדה של פסח")</f>
        <v>אוצר פירושים - הגדה של פסח</v>
      </c>
    </row>
    <row r="1536" spans="1:6" x14ac:dyDescent="0.2">
      <c r="A1536" t="s">
        <v>3315</v>
      </c>
      <c r="B1536" t="s">
        <v>645</v>
      </c>
      <c r="C1536" t="s">
        <v>133</v>
      </c>
      <c r="D1536" t="s">
        <v>646</v>
      </c>
      <c r="E1536" t="s">
        <v>140</v>
      </c>
      <c r="F1536" s="2" t="str">
        <f>HYPERLINK("http://www.otzar.org/book.asp?613863","אוצר פניני תורה וחסידות - 2 כר'")</f>
        <v>אוצר פניני תורה וחסידות - 2 כר'</v>
      </c>
    </row>
    <row r="1537" spans="1:6" x14ac:dyDescent="0.2">
      <c r="A1537" t="s">
        <v>3316</v>
      </c>
      <c r="B1537" t="s">
        <v>2530</v>
      </c>
      <c r="C1537" t="s">
        <v>129</v>
      </c>
      <c r="D1537" t="s">
        <v>2531</v>
      </c>
      <c r="E1537" t="s">
        <v>148</v>
      </c>
      <c r="F1537" s="2" t="str">
        <f>HYPERLINK("http://www.otzar.org/book.asp?85563","אוצר פסקי אבידה")</f>
        <v>אוצר פסקי אבידה</v>
      </c>
    </row>
    <row r="1538" spans="1:6" x14ac:dyDescent="0.2">
      <c r="A1538" t="s">
        <v>3317</v>
      </c>
      <c r="B1538" t="s">
        <v>2530</v>
      </c>
      <c r="C1538" t="s">
        <v>13</v>
      </c>
      <c r="D1538" t="s">
        <v>2531</v>
      </c>
      <c r="E1538" t="s">
        <v>148</v>
      </c>
      <c r="F1538" s="2" t="str">
        <f>HYPERLINK("http://www.otzar.org/book.asp?85559","אוצר פסקי גרים")</f>
        <v>אוצר פסקי גרים</v>
      </c>
    </row>
    <row r="1539" spans="1:6" x14ac:dyDescent="0.2">
      <c r="A1539" t="s">
        <v>3318</v>
      </c>
      <c r="B1539" t="s">
        <v>2530</v>
      </c>
      <c r="C1539" t="s">
        <v>624</v>
      </c>
      <c r="D1539" t="s">
        <v>2531</v>
      </c>
      <c r="E1539" t="s">
        <v>872</v>
      </c>
      <c r="F1539" s="2" t="str">
        <f>HYPERLINK("http://www.otzar.org/book.asp?85554","אוצר פסקי המועדים - 2 כר'")</f>
        <v>אוצר פסקי המועדים - 2 כר'</v>
      </c>
    </row>
    <row r="1540" spans="1:6" x14ac:dyDescent="0.2">
      <c r="A1540" t="s">
        <v>3319</v>
      </c>
      <c r="B1540" t="s">
        <v>3320</v>
      </c>
      <c r="C1540" t="s">
        <v>168</v>
      </c>
      <c r="D1540" t="s">
        <v>1180</v>
      </c>
      <c r="E1540" t="s">
        <v>15</v>
      </c>
      <c r="F1540" s="2" t="str">
        <f>HYPERLINK("http://www.otzar.org/book.asp?8633","אוצר פסקי הראשונים על הלכות פסח")</f>
        <v>אוצר פסקי הראשונים על הלכות פסח</v>
      </c>
    </row>
    <row r="1541" spans="1:6" x14ac:dyDescent="0.2">
      <c r="A1541" t="s">
        <v>3321</v>
      </c>
      <c r="B1541" t="s">
        <v>2530</v>
      </c>
      <c r="C1541" t="s">
        <v>103</v>
      </c>
      <c r="D1541" t="s">
        <v>2531</v>
      </c>
      <c r="E1541" t="s">
        <v>15</v>
      </c>
      <c r="F1541" s="2" t="str">
        <f>HYPERLINK("http://www.otzar.org/book.asp?85558","אוצר פסקי חלה")</f>
        <v>אוצר פסקי חלה</v>
      </c>
    </row>
    <row r="1542" spans="1:6" x14ac:dyDescent="0.2">
      <c r="A1542" t="s">
        <v>3322</v>
      </c>
      <c r="B1542" t="s">
        <v>2530</v>
      </c>
      <c r="C1542" t="s">
        <v>422</v>
      </c>
      <c r="D1542" t="s">
        <v>2531</v>
      </c>
      <c r="E1542" t="s">
        <v>172</v>
      </c>
      <c r="F1542" s="2" t="str">
        <f>HYPERLINK("http://www.otzar.org/book.asp?167855","אוצר פסקי מקואות")</f>
        <v>אוצר פסקי מקואות</v>
      </c>
    </row>
    <row r="1543" spans="1:6" x14ac:dyDescent="0.2">
      <c r="A1543" t="s">
        <v>3323</v>
      </c>
      <c r="B1543" t="s">
        <v>2530</v>
      </c>
      <c r="C1543" t="s">
        <v>775</v>
      </c>
      <c r="D1543" t="s">
        <v>2531</v>
      </c>
      <c r="E1543" t="s">
        <v>148</v>
      </c>
      <c r="F1543" s="2" t="str">
        <f>HYPERLINK("http://www.otzar.org/book.asp?85562","אוצר פסקי נדרים")</f>
        <v>אוצר פסקי נדרים</v>
      </c>
    </row>
    <row r="1544" spans="1:6" x14ac:dyDescent="0.2">
      <c r="A1544" t="s">
        <v>3324</v>
      </c>
      <c r="B1544" t="s">
        <v>2530</v>
      </c>
      <c r="C1544" t="s">
        <v>146</v>
      </c>
      <c r="D1544" t="s">
        <v>2531</v>
      </c>
      <c r="E1544" t="s">
        <v>148</v>
      </c>
      <c r="F1544" s="2" t="str">
        <f>HYPERLINK("http://www.otzar.org/book.asp?85555","אוצר פסקי נטילת ידים")</f>
        <v>אוצר פסקי נטילת ידים</v>
      </c>
    </row>
    <row r="1545" spans="1:6" x14ac:dyDescent="0.2">
      <c r="A1545" t="s">
        <v>3325</v>
      </c>
      <c r="B1545" t="s">
        <v>2530</v>
      </c>
      <c r="C1545" t="s">
        <v>454</v>
      </c>
      <c r="D1545" t="s">
        <v>2531</v>
      </c>
      <c r="E1545" t="s">
        <v>872</v>
      </c>
      <c r="F1545" s="2" t="str">
        <f>HYPERLINK("http://www.otzar.org/book.asp?85560","אוצר פסקי פורים")</f>
        <v>אוצר פסקי פורים</v>
      </c>
    </row>
    <row r="1546" spans="1:6" x14ac:dyDescent="0.2">
      <c r="A1546" t="s">
        <v>3326</v>
      </c>
      <c r="B1546" t="s">
        <v>2530</v>
      </c>
      <c r="C1546" t="s">
        <v>17</v>
      </c>
      <c r="D1546" t="s">
        <v>2531</v>
      </c>
      <c r="E1546" t="s">
        <v>148</v>
      </c>
      <c r="F1546" s="2" t="str">
        <f>HYPERLINK("http://www.otzar.org/book.asp?85568","אוצר פסקי שביעית")</f>
        <v>אוצר פסקי שביעית</v>
      </c>
    </row>
    <row r="1547" spans="1:6" x14ac:dyDescent="0.2">
      <c r="A1547" t="s">
        <v>3327</v>
      </c>
      <c r="B1547" t="s">
        <v>2530</v>
      </c>
      <c r="C1547" t="s">
        <v>103</v>
      </c>
      <c r="D1547" t="s">
        <v>2531</v>
      </c>
      <c r="E1547" t="s">
        <v>15</v>
      </c>
      <c r="F1547" s="2" t="str">
        <f>HYPERLINK("http://www.otzar.org/book.asp?85561","אוצר פסקים- חול המועד ויו""ט")</f>
        <v>אוצר פסקים- חול המועד ויו"ט</v>
      </c>
    </row>
    <row r="1548" spans="1:6" x14ac:dyDescent="0.2">
      <c r="A1548" t="s">
        <v>3328</v>
      </c>
      <c r="B1548" t="s">
        <v>2869</v>
      </c>
      <c r="C1548" t="s">
        <v>2550</v>
      </c>
      <c r="D1548" t="s">
        <v>9</v>
      </c>
      <c r="E1548" t="s">
        <v>246</v>
      </c>
      <c r="F1548" s="2" t="str">
        <f>HYPERLINK("http://www.otzar.org/book.asp?51767","אוצר פרושים וציורים - הגדה של פסח")</f>
        <v>אוצר פרושים וציורים - הגדה של פסח</v>
      </c>
    </row>
    <row r="1549" spans="1:6" x14ac:dyDescent="0.2">
      <c r="A1549" t="s">
        <v>3329</v>
      </c>
      <c r="B1549" t="s">
        <v>3330</v>
      </c>
      <c r="C1549" t="s">
        <v>244</v>
      </c>
      <c r="D1549" t="s">
        <v>3331</v>
      </c>
      <c r="E1549" t="s">
        <v>104</v>
      </c>
      <c r="F1549" s="2" t="str">
        <f>HYPERLINK("http://www.otzar.org/book.asp?629574","אוצר פרקי אבות")</f>
        <v>אוצר פרקי אבות</v>
      </c>
    </row>
    <row r="1550" spans="1:6" x14ac:dyDescent="0.2">
      <c r="A1550" t="s">
        <v>3332</v>
      </c>
      <c r="B1550" t="s">
        <v>3333</v>
      </c>
      <c r="C1550" t="s">
        <v>1811</v>
      </c>
      <c r="D1550" t="s">
        <v>14</v>
      </c>
      <c r="E1550" t="s">
        <v>140</v>
      </c>
      <c r="F1550" s="2" t="str">
        <f>HYPERLINK("http://www.otzar.org/book.asp?8209","אוצר פתגמים ושיחות - 2 כר'")</f>
        <v>אוצר פתגמים ושיחות - 2 כר'</v>
      </c>
    </row>
    <row r="1551" spans="1:6" x14ac:dyDescent="0.2">
      <c r="A1551" t="s">
        <v>3334</v>
      </c>
      <c r="B1551" t="s">
        <v>3335</v>
      </c>
      <c r="C1551" t="s">
        <v>146</v>
      </c>
      <c r="D1551" t="s">
        <v>118</v>
      </c>
      <c r="E1551" t="s">
        <v>144</v>
      </c>
      <c r="F1551" s="2" t="str">
        <f>HYPERLINK("http://www.otzar.org/book.asp?603248","אוצר קובץ מפרשים על סדר הדף - 10 כר'")</f>
        <v>אוצר קובץ מפרשים על סדר הדף - 10 כר'</v>
      </c>
    </row>
    <row r="1552" spans="1:6" x14ac:dyDescent="0.2">
      <c r="A1552" t="s">
        <v>3336</v>
      </c>
      <c r="B1552" t="s">
        <v>3337</v>
      </c>
      <c r="C1552" t="s">
        <v>20</v>
      </c>
      <c r="D1552" t="s">
        <v>90</v>
      </c>
      <c r="E1552" t="s">
        <v>144</v>
      </c>
      <c r="F1552" s="2" t="str">
        <f>HYPERLINK("http://www.otzar.org/book.asp?607413","אוצר קובץ מפרשים עם תוספת מר""מ - קידושין פרק האומר")</f>
        <v>אוצר קובץ מפרשים עם תוספת מר"מ - קידושין פרק האומר</v>
      </c>
    </row>
    <row r="1553" spans="1:6" x14ac:dyDescent="0.2">
      <c r="A1553" t="s">
        <v>3338</v>
      </c>
      <c r="B1553" t="s">
        <v>3339</v>
      </c>
      <c r="C1553" t="s">
        <v>20</v>
      </c>
      <c r="D1553" t="s">
        <v>52</v>
      </c>
      <c r="E1553" t="s">
        <v>144</v>
      </c>
      <c r="F1553" s="2" t="str">
        <f>HYPERLINK("http://www.otzar.org/book.asp?627020","אוצר קובץ מפרשים - 6 כר'")</f>
        <v>אוצר קובץ מפרשים - 6 כר'</v>
      </c>
    </row>
    <row r="1554" spans="1:6" x14ac:dyDescent="0.2">
      <c r="A1554" t="s">
        <v>3340</v>
      </c>
      <c r="B1554" t="s">
        <v>3341</v>
      </c>
      <c r="C1554" t="s">
        <v>313</v>
      </c>
      <c r="D1554" t="s">
        <v>52</v>
      </c>
      <c r="E1554" t="s">
        <v>144</v>
      </c>
      <c r="F1554" s="2" t="str">
        <f>HYPERLINK("http://www.otzar.org/book.asp?162321","אוצר קידושין באגדה")</f>
        <v>אוצר קידושין באגדה</v>
      </c>
    </row>
    <row r="1555" spans="1:6" x14ac:dyDescent="0.2">
      <c r="A1555" t="s">
        <v>3342</v>
      </c>
      <c r="B1555" t="s">
        <v>3343</v>
      </c>
      <c r="C1555" t="s">
        <v>332</v>
      </c>
      <c r="D1555" t="s">
        <v>14</v>
      </c>
      <c r="E1555" t="s">
        <v>144</v>
      </c>
      <c r="F1555" s="2" t="str">
        <f>HYPERLINK("http://www.otzar.org/book.asp?11650","אוצר ראשונים - מו""ק")</f>
        <v>אוצר ראשונים - מו"ק</v>
      </c>
    </row>
    <row r="1556" spans="1:6" x14ac:dyDescent="0.2">
      <c r="A1556" t="s">
        <v>3344</v>
      </c>
      <c r="B1556" t="s">
        <v>3345</v>
      </c>
      <c r="C1556" t="s">
        <v>146</v>
      </c>
      <c r="D1556" t="s">
        <v>412</v>
      </c>
      <c r="E1556" t="s">
        <v>144</v>
      </c>
      <c r="F1556" s="2" t="str">
        <f>HYPERLINK("http://www.otzar.org/book.asp?150846","אוצר שדי חמד - שבת")</f>
        <v>אוצר שדי חמד - שבת</v>
      </c>
    </row>
    <row r="1557" spans="1:6" x14ac:dyDescent="0.2">
      <c r="A1557" t="s">
        <v>3346</v>
      </c>
      <c r="B1557" t="s">
        <v>2885</v>
      </c>
      <c r="C1557" t="s">
        <v>20</v>
      </c>
      <c r="D1557" t="s">
        <v>14</v>
      </c>
      <c r="E1557" t="s">
        <v>703</v>
      </c>
      <c r="F1557" s="2" t="str">
        <f>HYPERLINK("http://www.otzar.org/book.asp?60913","אוצר שובבים")</f>
        <v>אוצר שובבים</v>
      </c>
    </row>
    <row r="1558" spans="1:6" x14ac:dyDescent="0.2">
      <c r="A1558" t="s">
        <v>3347</v>
      </c>
      <c r="B1558" t="s">
        <v>2885</v>
      </c>
      <c r="C1558" t="s">
        <v>624</v>
      </c>
      <c r="D1558" t="s">
        <v>14</v>
      </c>
      <c r="E1558" t="s">
        <v>741</v>
      </c>
      <c r="F1558" s="2" t="str">
        <f>HYPERLINK("http://www.otzar.org/book.asp?60857","אוצר שלום בית")</f>
        <v>אוצר שלום בית</v>
      </c>
    </row>
    <row r="1559" spans="1:6" x14ac:dyDescent="0.2">
      <c r="A1559" t="s">
        <v>3348</v>
      </c>
      <c r="B1559" t="s">
        <v>3349</v>
      </c>
      <c r="C1559" t="s">
        <v>1811</v>
      </c>
      <c r="D1559" t="s">
        <v>412</v>
      </c>
      <c r="E1559" t="s">
        <v>3350</v>
      </c>
      <c r="F1559" s="2" t="str">
        <f>HYPERLINK("http://www.otzar.org/book.asp?19337","אוצר שלום")</f>
        <v>אוצר שלום</v>
      </c>
    </row>
    <row r="1560" spans="1:6" x14ac:dyDescent="0.2">
      <c r="A1560" t="s">
        <v>3351</v>
      </c>
      <c r="B1560" t="s">
        <v>3352</v>
      </c>
      <c r="C1560" t="s">
        <v>51</v>
      </c>
      <c r="D1560" t="s">
        <v>52</v>
      </c>
      <c r="E1560" t="s">
        <v>172</v>
      </c>
      <c r="F1560" s="2" t="str">
        <f>HYPERLINK("http://www.otzar.org/book.asp?161934","אוצר שלום - ב")</f>
        <v>אוצר שלום - ב</v>
      </c>
    </row>
    <row r="1561" spans="1:6" x14ac:dyDescent="0.2">
      <c r="A1561" t="s">
        <v>3353</v>
      </c>
      <c r="B1561" t="s">
        <v>3354</v>
      </c>
      <c r="C1561" t="s">
        <v>133</v>
      </c>
      <c r="D1561" t="s">
        <v>1550</v>
      </c>
      <c r="E1561" t="s">
        <v>15</v>
      </c>
      <c r="F1561" s="2" t="str">
        <f>HYPERLINK("http://www.otzar.org/book.asp?173322","אוצר שמעון")</f>
        <v>אוצר שמעון</v>
      </c>
    </row>
    <row r="1562" spans="1:6" x14ac:dyDescent="0.2">
      <c r="A1562" t="s">
        <v>3355</v>
      </c>
      <c r="B1562" t="s">
        <v>3356</v>
      </c>
      <c r="C1562" t="s">
        <v>568</v>
      </c>
      <c r="D1562" t="s">
        <v>845</v>
      </c>
      <c r="E1562" t="s">
        <v>104</v>
      </c>
      <c r="F1562" s="2" t="str">
        <f>HYPERLINK("http://www.otzar.org/book.asp?8634","אוצר שרשי לשון הקדש - 2 כר'")</f>
        <v>אוצר שרשי לשון הקדש - 2 כר'</v>
      </c>
    </row>
    <row r="1563" spans="1:6" x14ac:dyDescent="0.2">
      <c r="A1563" t="s">
        <v>3357</v>
      </c>
      <c r="B1563" t="s">
        <v>3358</v>
      </c>
      <c r="C1563" t="s">
        <v>3359</v>
      </c>
      <c r="D1563" t="s">
        <v>260</v>
      </c>
      <c r="E1563" t="s">
        <v>158</v>
      </c>
      <c r="F1563" s="2" t="str">
        <f>HYPERLINK("http://www.otzar.org/book.asp?103976","אוצר תהלות ישראל - 14 כר'")</f>
        <v>אוצר תהלות ישראל - 14 כר'</v>
      </c>
    </row>
    <row r="1564" spans="1:6" x14ac:dyDescent="0.2">
      <c r="A1564" t="s">
        <v>3360</v>
      </c>
      <c r="B1564" t="s">
        <v>62</v>
      </c>
      <c r="C1564" t="s">
        <v>63</v>
      </c>
      <c r="D1564" t="s">
        <v>14</v>
      </c>
      <c r="E1564" t="s">
        <v>674</v>
      </c>
      <c r="F1564" s="2" t="str">
        <f>HYPERLINK("http://www.otzar.org/book.asp?104557","אוצר תורה שבעל פה")</f>
        <v>אוצר תורה שבעל פה</v>
      </c>
    </row>
    <row r="1565" spans="1:6" x14ac:dyDescent="0.2">
      <c r="A1565" t="s">
        <v>3361</v>
      </c>
      <c r="B1565" t="s">
        <v>3362</v>
      </c>
      <c r="C1565" t="s">
        <v>523</v>
      </c>
      <c r="D1565" t="s">
        <v>14</v>
      </c>
      <c r="E1565" t="s">
        <v>3363</v>
      </c>
      <c r="F1565" s="2" t="str">
        <f>HYPERLINK("http://www.otzar.org/book.asp?179320","אוצר תורה")</f>
        <v>אוצר תורה</v>
      </c>
    </row>
    <row r="1566" spans="1:6" x14ac:dyDescent="0.2">
      <c r="A1566" t="s">
        <v>3364</v>
      </c>
      <c r="B1566" t="s">
        <v>732</v>
      </c>
      <c r="C1566" t="s">
        <v>20</v>
      </c>
      <c r="D1566" t="s">
        <v>14</v>
      </c>
      <c r="E1566" t="s">
        <v>119</v>
      </c>
      <c r="F1566" s="2" t="str">
        <f>HYPERLINK("http://www.otzar.org/book.asp?167925","אוצר תמונות מילידי הארץ")</f>
        <v>אוצר תמונות מילידי הארץ</v>
      </c>
    </row>
    <row r="1567" spans="1:6" x14ac:dyDescent="0.2">
      <c r="A1567" t="s">
        <v>3365</v>
      </c>
      <c r="B1567" t="s">
        <v>3148</v>
      </c>
      <c r="C1567" t="s">
        <v>114</v>
      </c>
      <c r="D1567" t="s">
        <v>646</v>
      </c>
      <c r="E1567" t="s">
        <v>10</v>
      </c>
      <c r="F1567" s="2" t="str">
        <f>HYPERLINK("http://www.otzar.org/book.asp?169821","אוצר תשובות לשאלות המצויות - א")</f>
        <v>אוצר תשובות לשאלות המצויות - א</v>
      </c>
    </row>
    <row r="1568" spans="1:6" x14ac:dyDescent="0.2">
      <c r="A1568" t="s">
        <v>3366</v>
      </c>
      <c r="B1568" t="s">
        <v>3367</v>
      </c>
      <c r="C1568" t="s">
        <v>313</v>
      </c>
      <c r="D1568" t="s">
        <v>52</v>
      </c>
      <c r="E1568" t="s">
        <v>993</v>
      </c>
      <c r="F1568" s="2" t="str">
        <f>HYPERLINK("http://www.otzar.org/book.asp?142816","אוצרות אדמו""ר ר' צדוק הכהן מלובלין")</f>
        <v>אוצרות אדמו"ר ר' צדוק הכהן מלובלין</v>
      </c>
    </row>
    <row r="1569" spans="1:6" x14ac:dyDescent="0.2">
      <c r="A1569" t="s">
        <v>3368</v>
      </c>
      <c r="B1569" t="s">
        <v>3367</v>
      </c>
      <c r="C1569" t="s">
        <v>313</v>
      </c>
      <c r="D1569" t="s">
        <v>52</v>
      </c>
      <c r="E1569" t="s">
        <v>213</v>
      </c>
      <c r="F1569" s="2" t="str">
        <f>HYPERLINK("http://www.otzar.org/book.asp?142820","אוצרות אמונה")</f>
        <v>אוצרות אמונה</v>
      </c>
    </row>
    <row r="1570" spans="1:6" x14ac:dyDescent="0.2">
      <c r="A1570" t="s">
        <v>3369</v>
      </c>
      <c r="B1570" t="s">
        <v>3367</v>
      </c>
      <c r="C1570" t="s">
        <v>366</v>
      </c>
      <c r="D1570" t="s">
        <v>52</v>
      </c>
      <c r="E1570" t="s">
        <v>104</v>
      </c>
      <c r="F1570" s="2" t="str">
        <f>HYPERLINK("http://www.otzar.org/book.asp?605213","אוצרות ארץ חמדה")</f>
        <v>אוצרות ארץ חמדה</v>
      </c>
    </row>
    <row r="1571" spans="1:6" x14ac:dyDescent="0.2">
      <c r="A1571" t="s">
        <v>3370</v>
      </c>
      <c r="B1571" t="s">
        <v>3371</v>
      </c>
      <c r="C1571" t="s">
        <v>151</v>
      </c>
      <c r="D1571" t="s">
        <v>14</v>
      </c>
      <c r="F1571" s="2" t="str">
        <f>HYPERLINK("http://www.otzar.org/book.asp?622758","אוצרות בן מלך - 3 כר'")</f>
        <v>אוצרות בן מלך - 3 כר'</v>
      </c>
    </row>
    <row r="1572" spans="1:6" x14ac:dyDescent="0.2">
      <c r="A1572" t="s">
        <v>3372</v>
      </c>
      <c r="B1572" t="s">
        <v>3367</v>
      </c>
      <c r="C1572" t="s">
        <v>146</v>
      </c>
      <c r="D1572" t="s">
        <v>14</v>
      </c>
      <c r="E1572" t="s">
        <v>104</v>
      </c>
      <c r="F1572" s="2" t="str">
        <f>HYPERLINK("http://www.otzar.org/book.asp?162705","אוצרות גדולי ישראל - 4 כר'")</f>
        <v>אוצרות גדולי ישראל - 4 כר'</v>
      </c>
    </row>
    <row r="1573" spans="1:6" x14ac:dyDescent="0.2">
      <c r="A1573" t="s">
        <v>3373</v>
      </c>
      <c r="B1573" t="s">
        <v>3374</v>
      </c>
      <c r="C1573" t="s">
        <v>411</v>
      </c>
      <c r="D1573" t="s">
        <v>412</v>
      </c>
      <c r="E1573" t="s">
        <v>144</v>
      </c>
      <c r="F1573" s="2" t="str">
        <f>HYPERLINK("http://www.otzar.org/book.asp?198464","אוצרות דברי יציב - 2 כר'")</f>
        <v>אוצרות דברי יציב - 2 כר'</v>
      </c>
    </row>
    <row r="1574" spans="1:6" x14ac:dyDescent="0.2">
      <c r="A1574" t="s">
        <v>3375</v>
      </c>
      <c r="B1574" t="s">
        <v>3376</v>
      </c>
      <c r="C1574" t="s">
        <v>68</v>
      </c>
      <c r="D1574" t="s">
        <v>486</v>
      </c>
      <c r="E1574" t="s">
        <v>474</v>
      </c>
      <c r="F1574" s="2" t="str">
        <f>HYPERLINK("http://www.otzar.org/book.asp?160289","אוצרות דוד - 2 כר'")</f>
        <v>אוצרות דוד - 2 כר'</v>
      </c>
    </row>
    <row r="1575" spans="1:6" x14ac:dyDescent="0.2">
      <c r="A1575" t="s">
        <v>3377</v>
      </c>
      <c r="B1575" t="s">
        <v>3378</v>
      </c>
      <c r="C1575" t="s">
        <v>51</v>
      </c>
      <c r="D1575" t="s">
        <v>646</v>
      </c>
      <c r="E1575" t="s">
        <v>148</v>
      </c>
      <c r="F1575" s="2" t="str">
        <f>HYPERLINK("http://www.otzar.org/book.asp?610766","אוצרות דעה רבית - 3 כר'")</f>
        <v>אוצרות דעה רבית - 3 כר'</v>
      </c>
    </row>
    <row r="1576" spans="1:6" x14ac:dyDescent="0.2">
      <c r="A1576" t="s">
        <v>3379</v>
      </c>
      <c r="B1576" t="s">
        <v>3380</v>
      </c>
      <c r="C1576" t="s">
        <v>133</v>
      </c>
      <c r="D1576" t="s">
        <v>52</v>
      </c>
      <c r="E1576" t="s">
        <v>84</v>
      </c>
      <c r="F1576" s="2" t="str">
        <f>HYPERLINK("http://www.otzar.org/book.asp?199405","אוצרות דעת - אהלות א - ג")</f>
        <v>אוצרות דעת - אהלות א - ג</v>
      </c>
    </row>
    <row r="1577" spans="1:6" x14ac:dyDescent="0.2">
      <c r="A1577" t="s">
        <v>3381</v>
      </c>
      <c r="B1577" t="s">
        <v>3382</v>
      </c>
      <c r="C1577" t="s">
        <v>185</v>
      </c>
      <c r="D1577" t="s">
        <v>52</v>
      </c>
      <c r="E1577" t="s">
        <v>158</v>
      </c>
      <c r="F1577" s="2" t="str">
        <f>HYPERLINK("http://www.otzar.org/book.asp?630098","אוצרות דרך ישרה - 13 כר'")</f>
        <v>אוצרות דרך ישרה - 13 כר'</v>
      </c>
    </row>
    <row r="1578" spans="1:6" x14ac:dyDescent="0.2">
      <c r="A1578" t="s">
        <v>3383</v>
      </c>
      <c r="B1578" t="s">
        <v>3384</v>
      </c>
      <c r="C1578" t="s">
        <v>189</v>
      </c>
      <c r="D1578" t="s">
        <v>14</v>
      </c>
      <c r="E1578" t="s">
        <v>241</v>
      </c>
      <c r="F1578" s="2" t="str">
        <f>HYPERLINK("http://www.otzar.org/book.asp?60537","אוצרות האגדה - 20 כר'")</f>
        <v>אוצרות האגדה - 20 כר'</v>
      </c>
    </row>
    <row r="1579" spans="1:6" x14ac:dyDescent="0.2">
      <c r="A1579" t="s">
        <v>3385</v>
      </c>
      <c r="B1579" t="s">
        <v>3386</v>
      </c>
      <c r="C1579" t="s">
        <v>17</v>
      </c>
      <c r="D1579" t="s">
        <v>14</v>
      </c>
      <c r="E1579" t="s">
        <v>3387</v>
      </c>
      <c r="F1579" s="2" t="str">
        <f>HYPERLINK("http://www.otzar.org/book.asp?17024","אוצרות הב""ח")</f>
        <v>אוצרות הב"ח</v>
      </c>
    </row>
    <row r="1580" spans="1:6" x14ac:dyDescent="0.2">
      <c r="A1580" t="s">
        <v>3388</v>
      </c>
      <c r="B1580" t="s">
        <v>3389</v>
      </c>
      <c r="C1580" t="s">
        <v>13</v>
      </c>
      <c r="D1580" t="s">
        <v>14</v>
      </c>
      <c r="E1580" t="s">
        <v>213</v>
      </c>
      <c r="F1580" s="2" t="str">
        <f>HYPERLINK("http://www.otzar.org/book.asp?61723","אוצרות הבית היהודי")</f>
        <v>אוצרות הבית היהודי</v>
      </c>
    </row>
    <row r="1581" spans="1:6" x14ac:dyDescent="0.2">
      <c r="A1581" t="s">
        <v>3390</v>
      </c>
      <c r="B1581" t="s">
        <v>3391</v>
      </c>
      <c r="C1581" t="s">
        <v>20</v>
      </c>
      <c r="D1581" t="s">
        <v>52</v>
      </c>
      <c r="E1581" t="s">
        <v>15</v>
      </c>
      <c r="F1581" s="2" t="str">
        <f>HYPERLINK("http://www.otzar.org/book.asp?186724","אוצרות הברכה - 2 כר'")</f>
        <v>אוצרות הברכה - 2 כר'</v>
      </c>
    </row>
    <row r="1582" spans="1:6" x14ac:dyDescent="0.2">
      <c r="A1582" t="s">
        <v>3392</v>
      </c>
      <c r="B1582" t="s">
        <v>3367</v>
      </c>
      <c r="C1582" t="s">
        <v>313</v>
      </c>
      <c r="D1582" t="s">
        <v>52</v>
      </c>
      <c r="E1582" t="s">
        <v>104</v>
      </c>
      <c r="F1582" s="2" t="str">
        <f>HYPERLINK("http://www.otzar.org/book.asp?142818","אוצרות הגר""א")</f>
        <v>אוצרות הגר"א</v>
      </c>
    </row>
    <row r="1583" spans="1:6" x14ac:dyDescent="0.2">
      <c r="A1583" t="s">
        <v>3393</v>
      </c>
      <c r="B1583" t="s">
        <v>3384</v>
      </c>
      <c r="C1583" t="s">
        <v>17</v>
      </c>
      <c r="D1583" t="s">
        <v>14</v>
      </c>
      <c r="E1583" t="s">
        <v>15</v>
      </c>
      <c r="F1583" s="2" t="str">
        <f>HYPERLINK("http://www.otzar.org/book.asp?60447","אוצרות ההלכה - 9 כר'")</f>
        <v>אוצרות ההלכה - 9 כר'</v>
      </c>
    </row>
    <row r="1584" spans="1:6" x14ac:dyDescent="0.2">
      <c r="A1584" t="s">
        <v>3394</v>
      </c>
      <c r="B1584" t="s">
        <v>3395</v>
      </c>
      <c r="C1584" t="s">
        <v>146</v>
      </c>
      <c r="D1584" t="s">
        <v>52</v>
      </c>
      <c r="E1584" t="s">
        <v>172</v>
      </c>
      <c r="F1584" s="2" t="str">
        <f>HYPERLINK("http://www.otzar.org/book.asp?159406","אוצרות ההלכה - 3 כר'")</f>
        <v>אוצרות ההלכה - 3 כר'</v>
      </c>
    </row>
    <row r="1585" spans="1:6" x14ac:dyDescent="0.2">
      <c r="A1585" t="s">
        <v>3396</v>
      </c>
      <c r="B1585" t="s">
        <v>3397</v>
      </c>
      <c r="C1585" t="s">
        <v>20</v>
      </c>
      <c r="D1585" t="s">
        <v>134</v>
      </c>
      <c r="E1585" t="s">
        <v>241</v>
      </c>
      <c r="F1585" s="2" t="str">
        <f>HYPERLINK("http://www.otzar.org/book.asp?619401","אוצרות הזמן - 3 כר'")</f>
        <v>אוצרות הזמן - 3 כר'</v>
      </c>
    </row>
    <row r="1586" spans="1:6" x14ac:dyDescent="0.2">
      <c r="A1586" t="s">
        <v>3398</v>
      </c>
      <c r="B1586" t="s">
        <v>776</v>
      </c>
      <c r="C1586" t="s">
        <v>23</v>
      </c>
      <c r="D1586" t="s">
        <v>14</v>
      </c>
      <c r="E1586" t="s">
        <v>1185</v>
      </c>
      <c r="F1586" s="2" t="str">
        <f>HYPERLINK("http://www.otzar.org/book.asp?603540","אוצרות החן")</f>
        <v>אוצרות החן</v>
      </c>
    </row>
    <row r="1587" spans="1:6" x14ac:dyDescent="0.2">
      <c r="A1587" t="s">
        <v>3399</v>
      </c>
      <c r="B1587" t="s">
        <v>3400</v>
      </c>
      <c r="C1587" t="s">
        <v>129</v>
      </c>
      <c r="D1587" t="s">
        <v>52</v>
      </c>
      <c r="E1587" t="s">
        <v>15</v>
      </c>
      <c r="F1587" s="2" t="str">
        <f>HYPERLINK("http://www.otzar.org/book.asp?60494","אוצרות הטהרה")</f>
        <v>אוצרות הטהרה</v>
      </c>
    </row>
    <row r="1588" spans="1:6" x14ac:dyDescent="0.2">
      <c r="A1588" t="s">
        <v>3401</v>
      </c>
      <c r="B1588" t="s">
        <v>3402</v>
      </c>
      <c r="C1588" t="s">
        <v>151</v>
      </c>
      <c r="E1588" t="s">
        <v>15</v>
      </c>
      <c r="F1588" s="2" t="str">
        <f>HYPERLINK("http://www.otzar.org/book.asp?625030","אוצרות היחוד")</f>
        <v>אוצרות היחוד</v>
      </c>
    </row>
    <row r="1589" spans="1:6" x14ac:dyDescent="0.2">
      <c r="A1589" t="s">
        <v>3403</v>
      </c>
      <c r="B1589" t="s">
        <v>3404</v>
      </c>
      <c r="C1589" t="s">
        <v>3405</v>
      </c>
      <c r="D1589" t="s">
        <v>3406</v>
      </c>
      <c r="E1589" t="s">
        <v>158</v>
      </c>
      <c r="F1589" s="2" t="str">
        <f>HYPERLINK("http://www.otzar.org/book.asp?197740","אוצרות היכל יוסף")</f>
        <v>אוצרות היכל יוסף</v>
      </c>
    </row>
    <row r="1590" spans="1:6" x14ac:dyDescent="0.2">
      <c r="A1590" t="s">
        <v>3407</v>
      </c>
      <c r="B1590" t="s">
        <v>3408</v>
      </c>
      <c r="C1590" t="s">
        <v>244</v>
      </c>
      <c r="D1590" t="s">
        <v>852</v>
      </c>
      <c r="E1590" t="s">
        <v>158</v>
      </c>
      <c r="F1590" s="2" t="str">
        <f>HYPERLINK("http://www.otzar.org/book.asp?608872","אוצרות הים")</f>
        <v>אוצרות הים</v>
      </c>
    </row>
    <row r="1591" spans="1:6" x14ac:dyDescent="0.2">
      <c r="A1591" t="s">
        <v>3409</v>
      </c>
      <c r="B1591" t="s">
        <v>3410</v>
      </c>
      <c r="C1591" t="s">
        <v>411</v>
      </c>
      <c r="D1591" t="s">
        <v>245</v>
      </c>
      <c r="E1591" t="s">
        <v>144</v>
      </c>
      <c r="F1591" s="2" t="str">
        <f>HYPERLINK("http://www.otzar.org/book.asp?171408","אוצרות הים - ברכות")</f>
        <v>אוצרות הים - ברכות</v>
      </c>
    </row>
    <row r="1592" spans="1:6" x14ac:dyDescent="0.2">
      <c r="A1592" t="s">
        <v>3411</v>
      </c>
      <c r="B1592" t="s">
        <v>3412</v>
      </c>
      <c r="C1592" t="s">
        <v>13</v>
      </c>
      <c r="D1592" t="s">
        <v>14</v>
      </c>
      <c r="E1592" t="s">
        <v>3413</v>
      </c>
      <c r="F1592" s="2" t="str">
        <f>HYPERLINK("http://www.otzar.org/book.asp?144015","אוצרות הירושלמי")</f>
        <v>אוצרות הירושלמי</v>
      </c>
    </row>
    <row r="1593" spans="1:6" x14ac:dyDescent="0.2">
      <c r="A1593" t="s">
        <v>3414</v>
      </c>
      <c r="B1593" t="s">
        <v>3367</v>
      </c>
      <c r="C1593" t="s">
        <v>189</v>
      </c>
      <c r="D1593" t="s">
        <v>52</v>
      </c>
      <c r="E1593" t="s">
        <v>1438</v>
      </c>
      <c r="F1593" s="2" t="str">
        <f>HYPERLINK("http://www.otzar.org/book.asp?152479","אוצרות הכתב והקבלה")</f>
        <v>אוצרות הכתב והקבלה</v>
      </c>
    </row>
    <row r="1594" spans="1:6" x14ac:dyDescent="0.2">
      <c r="A1594" t="s">
        <v>3415</v>
      </c>
      <c r="B1594" t="s">
        <v>3416</v>
      </c>
      <c r="C1594" t="s">
        <v>624</v>
      </c>
      <c r="D1594" t="s">
        <v>14</v>
      </c>
      <c r="E1594" t="s">
        <v>43</v>
      </c>
      <c r="F1594" s="2" t="str">
        <f>HYPERLINK("http://www.otzar.org/book.asp?62025","אוצרות המדרש - 3 כר'")</f>
        <v>אוצרות המדרש - 3 כר'</v>
      </c>
    </row>
    <row r="1595" spans="1:6" x14ac:dyDescent="0.2">
      <c r="A1595" t="s">
        <v>3417</v>
      </c>
      <c r="B1595" t="s">
        <v>3367</v>
      </c>
      <c r="C1595" t="s">
        <v>454</v>
      </c>
      <c r="D1595" t="s">
        <v>14</v>
      </c>
      <c r="E1595" t="s">
        <v>241</v>
      </c>
      <c r="F1595" s="2" t="str">
        <f>HYPERLINK("http://www.otzar.org/book.asp?142804","אוצרות המוסר - 2 כר'")</f>
        <v>אוצרות המוסר - 2 כר'</v>
      </c>
    </row>
    <row r="1596" spans="1:6" x14ac:dyDescent="0.2">
      <c r="A1596" t="s">
        <v>3418</v>
      </c>
      <c r="B1596" t="s">
        <v>3367</v>
      </c>
      <c r="C1596" t="s">
        <v>313</v>
      </c>
      <c r="D1596" t="s">
        <v>52</v>
      </c>
      <c r="E1596" t="s">
        <v>104</v>
      </c>
      <c r="F1596" s="2" t="str">
        <f>HYPERLINK("http://www.otzar.org/book.asp?152478","אוצרות המלבי""ם")</f>
        <v>אוצרות המלבי"ם</v>
      </c>
    </row>
    <row r="1597" spans="1:6" x14ac:dyDescent="0.2">
      <c r="A1597" t="s">
        <v>3419</v>
      </c>
      <c r="B1597" t="s">
        <v>3420</v>
      </c>
      <c r="C1597" t="s">
        <v>1619</v>
      </c>
      <c r="D1597" t="s">
        <v>52</v>
      </c>
      <c r="E1597" t="s">
        <v>15</v>
      </c>
      <c r="F1597" s="2" t="str">
        <f>HYPERLINK("http://www.otzar.org/book.asp?604069","אוצרות המלך")</f>
        <v>אוצרות המלך</v>
      </c>
    </row>
    <row r="1598" spans="1:6" x14ac:dyDescent="0.2">
      <c r="A1598" t="s">
        <v>3419</v>
      </c>
      <c r="B1598" t="s">
        <v>3421</v>
      </c>
      <c r="C1598" t="s">
        <v>151</v>
      </c>
      <c r="D1598" t="s">
        <v>2909</v>
      </c>
      <c r="E1598" t="s">
        <v>144</v>
      </c>
      <c r="F1598" s="2" t="str">
        <f>HYPERLINK("http://www.otzar.org/book.asp?619085","אוצרות המלך")</f>
        <v>אוצרות המלך</v>
      </c>
    </row>
    <row r="1599" spans="1:6" x14ac:dyDescent="0.2">
      <c r="A1599" t="s">
        <v>3422</v>
      </c>
      <c r="B1599" t="s">
        <v>3423</v>
      </c>
      <c r="C1599" t="s">
        <v>37</v>
      </c>
      <c r="D1599" t="s">
        <v>367</v>
      </c>
      <c r="F1599" s="2" t="str">
        <f>HYPERLINK("http://www.otzar.org/book.asp?619386","אוצרות המפרשים &lt;יונה&gt;")</f>
        <v>אוצרות המפרשים &lt;יונה&gt;</v>
      </c>
    </row>
    <row r="1600" spans="1:6" x14ac:dyDescent="0.2">
      <c r="A1600" t="s">
        <v>3424</v>
      </c>
      <c r="B1600" t="s">
        <v>3423</v>
      </c>
      <c r="C1600" t="s">
        <v>37</v>
      </c>
      <c r="D1600" t="s">
        <v>367</v>
      </c>
      <c r="F1600" s="2" t="str">
        <f>HYPERLINK("http://www.otzar.org/book.asp?605208","אוצרות המפרשים &lt;מגילת רות&gt; - בית הממלכה")</f>
        <v>אוצרות המפרשים &lt;מגילת רות&gt; - בית הממלכה</v>
      </c>
    </row>
    <row r="1601" spans="1:6" x14ac:dyDescent="0.2">
      <c r="A1601" t="s">
        <v>3425</v>
      </c>
      <c r="B1601" t="s">
        <v>3426</v>
      </c>
      <c r="C1601" t="s">
        <v>13</v>
      </c>
      <c r="D1601" t="s">
        <v>646</v>
      </c>
      <c r="E1601" t="s">
        <v>172</v>
      </c>
      <c r="F1601" s="2" t="str">
        <f>HYPERLINK("http://www.otzar.org/book.asp?165033","אוצרות המשפט - 6 כר'")</f>
        <v>אוצרות המשפט - 6 כר'</v>
      </c>
    </row>
    <row r="1602" spans="1:6" x14ac:dyDescent="0.2">
      <c r="A1602" t="s">
        <v>3427</v>
      </c>
      <c r="B1602" t="s">
        <v>1750</v>
      </c>
      <c r="C1602" t="s">
        <v>1208</v>
      </c>
      <c r="D1602" t="s">
        <v>646</v>
      </c>
      <c r="E1602" t="s">
        <v>202</v>
      </c>
      <c r="F1602" s="2" t="str">
        <f>HYPERLINK("http://www.otzar.org/book.asp?25651","אוצרות הסופר - 19 כר'")</f>
        <v>אוצרות הסופר - 19 כר'</v>
      </c>
    </row>
    <row r="1603" spans="1:6" x14ac:dyDescent="0.2">
      <c r="A1603" t="s">
        <v>3428</v>
      </c>
      <c r="B1603" t="s">
        <v>3429</v>
      </c>
      <c r="C1603" t="s">
        <v>20</v>
      </c>
      <c r="D1603" t="s">
        <v>1356</v>
      </c>
      <c r="E1603" t="s">
        <v>148</v>
      </c>
      <c r="F1603" s="2" t="str">
        <f>HYPERLINK("http://www.otzar.org/book.asp?624685","אוצרות הפוסקים - שחיטה")</f>
        <v>אוצרות הפוסקים - שחיטה</v>
      </c>
    </row>
    <row r="1604" spans="1:6" x14ac:dyDescent="0.2">
      <c r="A1604" t="s">
        <v>3430</v>
      </c>
      <c r="B1604" t="s">
        <v>3431</v>
      </c>
      <c r="C1604" t="s">
        <v>624</v>
      </c>
      <c r="D1604" t="s">
        <v>1356</v>
      </c>
      <c r="E1604" t="s">
        <v>15</v>
      </c>
      <c r="F1604" s="2" t="str">
        <f>HYPERLINK("http://www.otzar.org/book.asp?619811","אוצרות הפוסקים - אורח חיים")</f>
        <v>אוצרות הפוסקים - אורח חיים</v>
      </c>
    </row>
    <row r="1605" spans="1:6" x14ac:dyDescent="0.2">
      <c r="A1605" t="s">
        <v>3432</v>
      </c>
      <c r="B1605" t="s">
        <v>3367</v>
      </c>
      <c r="C1605" t="s">
        <v>411</v>
      </c>
      <c r="D1605" t="s">
        <v>52</v>
      </c>
      <c r="E1605" t="s">
        <v>104</v>
      </c>
      <c r="F1605" s="2" t="str">
        <f>HYPERLINK("http://www.otzar.org/book.asp?166493","אוצרות הרב יצחק אברבנאל")</f>
        <v>אוצרות הרב יצחק אברבנאל</v>
      </c>
    </row>
    <row r="1606" spans="1:6" x14ac:dyDescent="0.2">
      <c r="A1606" t="s">
        <v>3433</v>
      </c>
      <c r="B1606" t="s">
        <v>3367</v>
      </c>
      <c r="C1606" t="s">
        <v>767</v>
      </c>
      <c r="D1606" t="s">
        <v>52</v>
      </c>
      <c r="E1606" t="s">
        <v>213</v>
      </c>
      <c r="F1606" s="2" t="str">
        <f>HYPERLINK("http://www.otzar.org/book.asp?22035","אוצרות הרב נצי""ב (אוצרות רש""ר הירש)")</f>
        <v>אוצרות הרב נצי"ב (אוצרות רש"ר הירש)</v>
      </c>
    </row>
    <row r="1607" spans="1:6" x14ac:dyDescent="0.2">
      <c r="A1607" t="s">
        <v>3434</v>
      </c>
      <c r="B1607" t="s">
        <v>3435</v>
      </c>
      <c r="C1607" t="s">
        <v>129</v>
      </c>
      <c r="D1607" t="s">
        <v>3436</v>
      </c>
      <c r="E1607" t="s">
        <v>1262</v>
      </c>
      <c r="F1607" s="2" t="str">
        <f>HYPERLINK("http://www.otzar.org/book.asp?604330","אוצרות הרי""ף - 2 כר'")</f>
        <v>אוצרות הרי"ף - 2 כר'</v>
      </c>
    </row>
    <row r="1608" spans="1:6" x14ac:dyDescent="0.2">
      <c r="A1608" t="s">
        <v>3437</v>
      </c>
      <c r="B1608" t="s">
        <v>3367</v>
      </c>
      <c r="C1608" t="s">
        <v>143</v>
      </c>
      <c r="D1608" t="s">
        <v>52</v>
      </c>
      <c r="E1608" t="s">
        <v>213</v>
      </c>
      <c r="F1608" s="2" t="str">
        <f>HYPERLINK("http://www.otzar.org/book.asp?22039","אוצרות הרמב""ם (אוצרות מהר""ל)")</f>
        <v>אוצרות הרמב"ם (אוצרות מהר"ל)</v>
      </c>
    </row>
    <row r="1609" spans="1:6" x14ac:dyDescent="0.2">
      <c r="A1609" t="s">
        <v>3438</v>
      </c>
      <c r="B1609" t="s">
        <v>3035</v>
      </c>
      <c r="C1609" t="s">
        <v>3106</v>
      </c>
      <c r="D1609" t="s">
        <v>27</v>
      </c>
      <c r="E1609" t="s">
        <v>144</v>
      </c>
      <c r="F1609" s="2" t="str">
        <f>HYPERLINK("http://www.otzar.org/book.asp?173153","אוצרות הש""ס - 3 כר'")</f>
        <v>אוצרות הש"ס - 3 כר'</v>
      </c>
    </row>
    <row r="1610" spans="1:6" x14ac:dyDescent="0.2">
      <c r="A1610" t="s">
        <v>3438</v>
      </c>
      <c r="B1610" t="s">
        <v>3416</v>
      </c>
      <c r="C1610" t="s">
        <v>146</v>
      </c>
      <c r="D1610" t="s">
        <v>14</v>
      </c>
      <c r="E1610" t="s">
        <v>2533</v>
      </c>
      <c r="F1610" s="2" t="str">
        <f>HYPERLINK("http://www.otzar.org/book.asp?62033","אוצרות הש""ס - 3 כר'")</f>
        <v>אוצרות הש"ס - 3 כר'</v>
      </c>
    </row>
    <row r="1611" spans="1:6" x14ac:dyDescent="0.2">
      <c r="A1611" t="s">
        <v>3439</v>
      </c>
      <c r="B1611" t="s">
        <v>3440</v>
      </c>
      <c r="C1611" t="s">
        <v>313</v>
      </c>
      <c r="D1611" t="s">
        <v>14</v>
      </c>
      <c r="E1611" t="s">
        <v>674</v>
      </c>
      <c r="F1611" s="2" t="str">
        <f>HYPERLINK("http://www.otzar.org/book.asp?22018","אוצרות השביעית")</f>
        <v>אוצרות השביעית</v>
      </c>
    </row>
    <row r="1612" spans="1:6" x14ac:dyDescent="0.2">
      <c r="A1612" t="s">
        <v>3441</v>
      </c>
      <c r="B1612" t="s">
        <v>3400</v>
      </c>
      <c r="C1612" t="s">
        <v>767</v>
      </c>
      <c r="D1612" t="s">
        <v>52</v>
      </c>
      <c r="E1612" t="s">
        <v>15</v>
      </c>
      <c r="F1612" s="2" t="str">
        <f>HYPERLINK("http://www.otzar.org/book.asp?60493","אוצרות השבת")</f>
        <v>אוצרות השבת</v>
      </c>
    </row>
    <row r="1613" spans="1:6" x14ac:dyDescent="0.2">
      <c r="A1613" t="s">
        <v>3442</v>
      </c>
      <c r="B1613" t="s">
        <v>3443</v>
      </c>
      <c r="C1613" t="s">
        <v>151</v>
      </c>
      <c r="D1613" t="s">
        <v>1356</v>
      </c>
      <c r="F1613" s="2" t="str">
        <f>HYPERLINK("http://www.otzar.org/book.asp?616339","אוצרות השל""ה - 2 כר'")</f>
        <v>אוצרות השל"ה - 2 כר'</v>
      </c>
    </row>
    <row r="1614" spans="1:6" x14ac:dyDescent="0.2">
      <c r="A1614" t="s">
        <v>3444</v>
      </c>
      <c r="B1614" t="s">
        <v>3445</v>
      </c>
      <c r="C1614" t="s">
        <v>17</v>
      </c>
      <c r="D1614" t="s">
        <v>52</v>
      </c>
      <c r="E1614" t="s">
        <v>674</v>
      </c>
      <c r="F1614" s="2" t="str">
        <f>HYPERLINK("http://www.otzar.org/book.asp?107432","אוצרות השמיטה לחכמי תימן")</f>
        <v>אוצרות השמיטה לחכמי תימן</v>
      </c>
    </row>
    <row r="1615" spans="1:6" x14ac:dyDescent="0.2">
      <c r="A1615" t="s">
        <v>3446</v>
      </c>
      <c r="B1615" t="s">
        <v>3447</v>
      </c>
      <c r="C1615" t="s">
        <v>146</v>
      </c>
      <c r="D1615" t="s">
        <v>52</v>
      </c>
      <c r="E1615" t="s">
        <v>158</v>
      </c>
      <c r="F1615" s="2" t="str">
        <f>HYPERLINK("http://www.otzar.org/book.asp?51253","אוצרות התורה &lt;תורה&gt; - 5 כר'")</f>
        <v>אוצרות התורה &lt;תורה&gt; - 5 כר'</v>
      </c>
    </row>
    <row r="1616" spans="1:6" x14ac:dyDescent="0.2">
      <c r="A1616" t="s">
        <v>3448</v>
      </c>
      <c r="B1616" t="s">
        <v>3367</v>
      </c>
      <c r="C1616" t="s">
        <v>189</v>
      </c>
      <c r="D1616" t="s">
        <v>52</v>
      </c>
      <c r="E1616" t="s">
        <v>158</v>
      </c>
      <c r="F1616" s="2" t="str">
        <f>HYPERLINK("http://www.otzar.org/book.asp?22037","אוצרות התורה - 2 כר'")</f>
        <v>אוצרות התורה - 2 כר'</v>
      </c>
    </row>
    <row r="1617" spans="1:6" x14ac:dyDescent="0.2">
      <c r="A1617" t="s">
        <v>3448</v>
      </c>
      <c r="B1617" t="s">
        <v>1750</v>
      </c>
      <c r="C1617" t="s">
        <v>103</v>
      </c>
      <c r="D1617" t="s">
        <v>14</v>
      </c>
      <c r="E1617" t="s">
        <v>202</v>
      </c>
      <c r="F1617" s="2" t="str">
        <f>HYPERLINK("http://www.otzar.org/book.asp?26532","אוצרות התורה - 2 כר'")</f>
        <v>אוצרות התורה - 2 כר'</v>
      </c>
    </row>
    <row r="1618" spans="1:6" x14ac:dyDescent="0.2">
      <c r="A1618" t="s">
        <v>3449</v>
      </c>
      <c r="B1618" t="s">
        <v>3367</v>
      </c>
      <c r="C1618" t="s">
        <v>366</v>
      </c>
      <c r="D1618" t="s">
        <v>52</v>
      </c>
      <c r="E1618" t="s">
        <v>241</v>
      </c>
      <c r="F1618" s="2" t="str">
        <f>HYPERLINK("http://www.otzar.org/book.asp?606067","אוצרות התפילה")</f>
        <v>אוצרות התפילה</v>
      </c>
    </row>
    <row r="1619" spans="1:6" x14ac:dyDescent="0.2">
      <c r="A1619" t="s">
        <v>3450</v>
      </c>
      <c r="B1619" t="s">
        <v>3451</v>
      </c>
      <c r="C1619" t="s">
        <v>146</v>
      </c>
      <c r="D1619" t="s">
        <v>412</v>
      </c>
      <c r="E1619" t="s">
        <v>3452</v>
      </c>
      <c r="F1619" s="2" t="str">
        <f>HYPERLINK("http://www.otzar.org/book.asp?141987","אוצרות זרע קודש")</f>
        <v>אוצרות זרע קודש</v>
      </c>
    </row>
    <row r="1620" spans="1:6" x14ac:dyDescent="0.2">
      <c r="A1620" t="s">
        <v>3453</v>
      </c>
      <c r="B1620" t="s">
        <v>3454</v>
      </c>
      <c r="C1620" t="s">
        <v>111</v>
      </c>
      <c r="D1620" t="s">
        <v>21</v>
      </c>
      <c r="E1620" t="s">
        <v>158</v>
      </c>
      <c r="F1620" s="2" t="str">
        <f>HYPERLINK("http://www.otzar.org/book.asp?620853","אוצרות חז""ל")</f>
        <v>אוצרות חז"ל</v>
      </c>
    </row>
    <row r="1621" spans="1:6" x14ac:dyDescent="0.2">
      <c r="A1621" t="s">
        <v>3455</v>
      </c>
      <c r="B1621" t="s">
        <v>3456</v>
      </c>
      <c r="C1621" t="s">
        <v>366</v>
      </c>
      <c r="D1621" t="s">
        <v>412</v>
      </c>
      <c r="E1621" t="s">
        <v>399</v>
      </c>
      <c r="F1621" s="2" t="str">
        <f>HYPERLINK("http://www.otzar.org/book.asp?627276","אוצרות חיים &lt;בריש גלי&gt;")</f>
        <v>אוצרות חיים &lt;בריש גלי&gt;</v>
      </c>
    </row>
    <row r="1622" spans="1:6" x14ac:dyDescent="0.2">
      <c r="A1622" t="s">
        <v>3457</v>
      </c>
      <c r="B1622" t="s">
        <v>3458</v>
      </c>
      <c r="C1622" t="s">
        <v>103</v>
      </c>
      <c r="D1622" t="s">
        <v>412</v>
      </c>
      <c r="E1622" t="s">
        <v>399</v>
      </c>
      <c r="F1622" s="2" t="str">
        <f>HYPERLINK("http://www.otzar.org/book.asp?154649","אוצרות חיים &lt;ע""פ דברי חיים דב&gt; - 2 כר'")</f>
        <v>אוצרות חיים &lt;ע"פ דברי חיים דב&gt; - 2 כר'</v>
      </c>
    </row>
    <row r="1623" spans="1:6" x14ac:dyDescent="0.2">
      <c r="A1623" t="s">
        <v>3459</v>
      </c>
      <c r="B1623" t="s">
        <v>3460</v>
      </c>
      <c r="C1623" t="s">
        <v>411</v>
      </c>
      <c r="D1623" t="s">
        <v>52</v>
      </c>
      <c r="E1623" t="s">
        <v>399</v>
      </c>
      <c r="F1623" s="2" t="str">
        <f>HYPERLINK("http://www.otzar.org/book.asp?627023","אוצרות חיים &lt;פתח לאוצר&gt;")</f>
        <v>אוצרות חיים &lt;פתח לאוצר&gt;</v>
      </c>
    </row>
    <row r="1624" spans="1:6" x14ac:dyDescent="0.2">
      <c r="A1624" t="s">
        <v>3461</v>
      </c>
      <c r="B1624" t="s">
        <v>3462</v>
      </c>
      <c r="C1624" t="s">
        <v>767</v>
      </c>
      <c r="D1624" t="s">
        <v>52</v>
      </c>
      <c r="E1624" t="s">
        <v>399</v>
      </c>
      <c r="F1624" s="2" t="str">
        <f>HYPERLINK("http://www.otzar.org/book.asp?61492","אוצרות חיים &lt;עם פירוש דעת קדושים&gt;")</f>
        <v>אוצרות חיים &lt;עם פירוש דעת קדושים&gt;</v>
      </c>
    </row>
    <row r="1625" spans="1:6" x14ac:dyDescent="0.2">
      <c r="A1625" t="s">
        <v>3463</v>
      </c>
      <c r="B1625" t="s">
        <v>3464</v>
      </c>
      <c r="C1625" t="s">
        <v>20</v>
      </c>
      <c r="D1625" t="s">
        <v>90</v>
      </c>
      <c r="E1625" t="s">
        <v>399</v>
      </c>
      <c r="F1625" s="2" t="str">
        <f>HYPERLINK("http://www.otzar.org/book.asp?619918","אוצרות חיים עם ביאור אור החסידות")</f>
        <v>אוצרות חיים עם ביאור אור החסידות</v>
      </c>
    </row>
    <row r="1626" spans="1:6" x14ac:dyDescent="0.2">
      <c r="A1626" t="s">
        <v>3465</v>
      </c>
      <c r="B1626" t="s">
        <v>3466</v>
      </c>
      <c r="C1626" t="s">
        <v>366</v>
      </c>
      <c r="D1626" t="s">
        <v>3467</v>
      </c>
      <c r="F1626" s="2" t="str">
        <f>HYPERLINK("http://www.otzar.org/book.asp?609770","אוצרות חיים עם ביאור אור עולם - 2 כר'")</f>
        <v>אוצרות חיים עם ביאור אור עולם - 2 כר'</v>
      </c>
    </row>
    <row r="1627" spans="1:6" x14ac:dyDescent="0.2">
      <c r="A1627" t="s">
        <v>3468</v>
      </c>
      <c r="B1627" t="s">
        <v>405</v>
      </c>
      <c r="C1627" t="s">
        <v>2543</v>
      </c>
      <c r="D1627" t="s">
        <v>27</v>
      </c>
      <c r="E1627" t="s">
        <v>399</v>
      </c>
      <c r="F1627" s="2" t="str">
        <f>HYPERLINK("http://www.otzar.org/book.asp?163187","אוצרות חיים עם הגהות איפה שלמה, והגהות הרב יהודה פתייא ז""ל")</f>
        <v>אוצרות חיים עם הגהות איפה שלמה, והגהות הרב יהודה פתייא ז"ל</v>
      </c>
    </row>
    <row r="1628" spans="1:6" x14ac:dyDescent="0.2">
      <c r="A1628" t="s">
        <v>3469</v>
      </c>
      <c r="B1628" t="s">
        <v>2074</v>
      </c>
      <c r="C1628" t="s">
        <v>785</v>
      </c>
      <c r="D1628" t="s">
        <v>14</v>
      </c>
      <c r="E1628" t="s">
        <v>119</v>
      </c>
      <c r="F1628" s="2" t="str">
        <f>HYPERLINK("http://www.otzar.org/book.asp?150462","אוצרות חיים - תהלות יוסף")</f>
        <v>אוצרות חיים - תהלות יוסף</v>
      </c>
    </row>
    <row r="1629" spans="1:6" x14ac:dyDescent="0.2">
      <c r="A1629" t="s">
        <v>3470</v>
      </c>
      <c r="B1629" t="s">
        <v>3471</v>
      </c>
      <c r="C1629" t="s">
        <v>68</v>
      </c>
      <c r="D1629" t="s">
        <v>14</v>
      </c>
      <c r="E1629" t="s">
        <v>399</v>
      </c>
      <c r="F1629" s="2" t="str">
        <f>HYPERLINK("http://www.otzar.org/book.asp?195460","אוצרות חיים - 2 כר'")</f>
        <v>אוצרות חיים - 2 כר'</v>
      </c>
    </row>
    <row r="1630" spans="1:6" x14ac:dyDescent="0.2">
      <c r="A1630" t="s">
        <v>3472</v>
      </c>
      <c r="B1630" t="s">
        <v>3473</v>
      </c>
      <c r="C1630" t="s">
        <v>422</v>
      </c>
      <c r="D1630" t="s">
        <v>14</v>
      </c>
      <c r="E1630" t="s">
        <v>399</v>
      </c>
      <c r="F1630" s="2" t="str">
        <f>HYPERLINK("http://www.otzar.org/book.asp?85460","אוצרות חיים -  עם פירוש טיב החיים")</f>
        <v>אוצרות חיים -  עם פירוש טיב החיים</v>
      </c>
    </row>
    <row r="1631" spans="1:6" x14ac:dyDescent="0.2">
      <c r="A1631" t="s">
        <v>3474</v>
      </c>
      <c r="B1631" t="s">
        <v>405</v>
      </c>
      <c r="C1631" t="s">
        <v>3475</v>
      </c>
      <c r="D1631" t="s">
        <v>212</v>
      </c>
      <c r="F1631" s="2" t="str">
        <f>HYPERLINK("http://www.otzar.org/book.asp?164861","אוצרות חיים - 9 כר'")</f>
        <v>אוצרות חיים - 9 כר'</v>
      </c>
    </row>
    <row r="1632" spans="1:6" x14ac:dyDescent="0.2">
      <c r="A1632" t="s">
        <v>3476</v>
      </c>
      <c r="B1632" t="s">
        <v>3477</v>
      </c>
      <c r="C1632" t="s">
        <v>103</v>
      </c>
      <c r="D1632" t="s">
        <v>412</v>
      </c>
      <c r="E1632" t="s">
        <v>158</v>
      </c>
      <c r="F1632" s="2" t="str">
        <f>HYPERLINK("http://www.otzar.org/book.asp?171504","אוצרות חתם סופר - בראשית ב")</f>
        <v>אוצרות חתם סופר - בראשית ב</v>
      </c>
    </row>
    <row r="1633" spans="1:6" x14ac:dyDescent="0.2">
      <c r="A1633" t="s">
        <v>3478</v>
      </c>
      <c r="B1633" t="s">
        <v>3479</v>
      </c>
      <c r="C1633" t="s">
        <v>103</v>
      </c>
      <c r="D1633" t="s">
        <v>412</v>
      </c>
      <c r="E1633" t="s">
        <v>158</v>
      </c>
      <c r="F1633" s="2" t="str">
        <f>HYPERLINK("http://www.otzar.org/book.asp?171503","אוצרות חתם סופר - בראשית א")</f>
        <v>אוצרות חתם סופר - בראשית א</v>
      </c>
    </row>
    <row r="1634" spans="1:6" x14ac:dyDescent="0.2">
      <c r="A1634" t="s">
        <v>3480</v>
      </c>
      <c r="B1634" t="s">
        <v>3481</v>
      </c>
      <c r="C1634" t="s">
        <v>103</v>
      </c>
      <c r="D1634" t="s">
        <v>52</v>
      </c>
      <c r="E1634" t="s">
        <v>3482</v>
      </c>
      <c r="F1634" s="2" t="str">
        <f>HYPERLINK("http://www.otzar.org/book.asp?142105","אוצרות יהושע")</f>
        <v>אוצרות יהושע</v>
      </c>
    </row>
    <row r="1635" spans="1:6" x14ac:dyDescent="0.2">
      <c r="A1635" t="s">
        <v>3483</v>
      </c>
      <c r="B1635" t="s">
        <v>3484</v>
      </c>
      <c r="C1635" t="s">
        <v>454</v>
      </c>
      <c r="D1635" t="s">
        <v>486</v>
      </c>
      <c r="E1635" t="s">
        <v>1880</v>
      </c>
      <c r="F1635" s="2" t="str">
        <f>HYPERLINK("http://www.otzar.org/book.asp?64368","אוצרות יום טוב")</f>
        <v>אוצרות יום טוב</v>
      </c>
    </row>
    <row r="1636" spans="1:6" x14ac:dyDescent="0.2">
      <c r="A1636" t="s">
        <v>3485</v>
      </c>
      <c r="B1636" t="s">
        <v>3486</v>
      </c>
      <c r="C1636" t="s">
        <v>17</v>
      </c>
      <c r="D1636" t="s">
        <v>1840</v>
      </c>
      <c r="E1636" t="s">
        <v>733</v>
      </c>
      <c r="F1636" s="2" t="str">
        <f>HYPERLINK("http://www.otzar.org/book.asp?63411","אוצרות יוסף &lt;טוב רא""י - חכמי טבריה&gt;")</f>
        <v>אוצרות יוסף &lt;טוב רא"י - חכמי טבריה&gt;</v>
      </c>
    </row>
    <row r="1637" spans="1:6" x14ac:dyDescent="0.2">
      <c r="A1637" t="s">
        <v>3487</v>
      </c>
      <c r="B1637" t="s">
        <v>3488</v>
      </c>
      <c r="C1637" t="s">
        <v>466</v>
      </c>
      <c r="D1637" t="s">
        <v>14</v>
      </c>
      <c r="E1637" t="s">
        <v>3489</v>
      </c>
      <c r="F1637" s="2" t="str">
        <f>HYPERLINK("http://www.otzar.org/book.asp?19411","אוצרות יוסף")</f>
        <v>אוצרות יוסף</v>
      </c>
    </row>
    <row r="1638" spans="1:6" x14ac:dyDescent="0.2">
      <c r="A1638" t="s">
        <v>3487</v>
      </c>
      <c r="B1638" t="s">
        <v>3490</v>
      </c>
      <c r="C1638" t="s">
        <v>2488</v>
      </c>
      <c r="D1638" t="s">
        <v>212</v>
      </c>
      <c r="E1638" t="s">
        <v>3491</v>
      </c>
      <c r="F1638" s="2" t="str">
        <f>HYPERLINK("http://www.otzar.org/book.asp?16956","אוצרות יוסף")</f>
        <v>אוצרות יוסף</v>
      </c>
    </row>
    <row r="1639" spans="1:6" x14ac:dyDescent="0.2">
      <c r="A1639" t="s">
        <v>3492</v>
      </c>
      <c r="B1639" t="s">
        <v>3493</v>
      </c>
      <c r="C1639" t="s">
        <v>506</v>
      </c>
      <c r="D1639" t="s">
        <v>535</v>
      </c>
      <c r="E1639" t="s">
        <v>15</v>
      </c>
      <c r="F1639" s="2" t="str">
        <f>HYPERLINK("http://www.otzar.org/book.asp?52366","אוצרות יוסף - 6 כר'")</f>
        <v>אוצרות יוסף - 6 כר'</v>
      </c>
    </row>
    <row r="1640" spans="1:6" x14ac:dyDescent="0.2">
      <c r="A1640" t="s">
        <v>3494</v>
      </c>
      <c r="B1640" t="s">
        <v>239</v>
      </c>
      <c r="C1640" t="s">
        <v>189</v>
      </c>
      <c r="D1640" t="s">
        <v>486</v>
      </c>
      <c r="E1640" t="s">
        <v>246</v>
      </c>
      <c r="F1640" s="2" t="str">
        <f>HYPERLINK("http://www.otzar.org/book.asp?169280","אוצרות יעקב - 2 כר'")</f>
        <v>אוצרות יעקב - 2 כר'</v>
      </c>
    </row>
    <row r="1641" spans="1:6" x14ac:dyDescent="0.2">
      <c r="A1641" t="s">
        <v>3495</v>
      </c>
      <c r="B1641" t="s">
        <v>3496</v>
      </c>
      <c r="C1641" t="s">
        <v>454</v>
      </c>
      <c r="D1641" t="s">
        <v>52</v>
      </c>
      <c r="E1641" t="s">
        <v>148</v>
      </c>
      <c r="F1641" s="2" t="str">
        <f>HYPERLINK("http://www.otzar.org/book.asp?63264","אוצרות יעקב - מנחת יעקב")</f>
        <v>אוצרות יעקב - מנחת יעקב</v>
      </c>
    </row>
    <row r="1642" spans="1:6" x14ac:dyDescent="0.2">
      <c r="A1642" t="s">
        <v>3497</v>
      </c>
      <c r="B1642" t="s">
        <v>1750</v>
      </c>
      <c r="C1642" t="s">
        <v>466</v>
      </c>
      <c r="D1642" t="s">
        <v>14</v>
      </c>
      <c r="E1642" t="s">
        <v>202</v>
      </c>
      <c r="F1642" s="2" t="str">
        <f>HYPERLINK("http://www.otzar.org/book.asp?23934","אוצרות ירושלים (פרושים) - 18 כר'")</f>
        <v>אוצרות ירושלים (פרושים) - 18 כר'</v>
      </c>
    </row>
    <row r="1643" spans="1:6" x14ac:dyDescent="0.2">
      <c r="A1643" t="s">
        <v>3498</v>
      </c>
      <c r="B1643" t="s">
        <v>3499</v>
      </c>
      <c r="C1643" t="s">
        <v>1208</v>
      </c>
      <c r="D1643" t="s">
        <v>27</v>
      </c>
      <c r="E1643" t="s">
        <v>202</v>
      </c>
      <c r="F1643" s="2" t="str">
        <f>HYPERLINK("http://www.otzar.org/book.asp?153953","אוצרות ירושלים - 25 כר'")</f>
        <v>אוצרות ירושלים - 25 כר'</v>
      </c>
    </row>
    <row r="1644" spans="1:6" x14ac:dyDescent="0.2">
      <c r="A1644" t="s">
        <v>3500</v>
      </c>
      <c r="B1644" t="s">
        <v>3501</v>
      </c>
      <c r="C1644" t="s">
        <v>129</v>
      </c>
      <c r="D1644" t="s">
        <v>14</v>
      </c>
      <c r="E1644" t="s">
        <v>158</v>
      </c>
      <c r="F1644" s="2" t="str">
        <f>HYPERLINK("http://www.otzar.org/book.asp?159325","אוצרות מגדים - שמות")</f>
        <v>אוצרות מגדים - שמות</v>
      </c>
    </row>
    <row r="1645" spans="1:6" x14ac:dyDescent="0.2">
      <c r="A1645" t="s">
        <v>3502</v>
      </c>
      <c r="B1645" t="s">
        <v>3367</v>
      </c>
      <c r="C1645" t="s">
        <v>366</v>
      </c>
      <c r="D1645" t="s">
        <v>52</v>
      </c>
      <c r="F1645" s="2" t="str">
        <f>HYPERLINK("http://www.otzar.org/book.asp?610340","אוצרות מהר""ל וסודותיו")</f>
        <v>אוצרות מהר"ל וסודותיו</v>
      </c>
    </row>
    <row r="1646" spans="1:6" x14ac:dyDescent="0.2">
      <c r="A1646" t="s">
        <v>3503</v>
      </c>
      <c r="B1646" t="s">
        <v>3367</v>
      </c>
      <c r="C1646" t="s">
        <v>313</v>
      </c>
      <c r="D1646" t="s">
        <v>52</v>
      </c>
      <c r="E1646" t="s">
        <v>213</v>
      </c>
      <c r="F1646" s="2" t="str">
        <f>HYPERLINK("http://www.otzar.org/book.asp?142819","אוצרות מהר""ל")</f>
        <v>אוצרות מהר"ל</v>
      </c>
    </row>
    <row r="1647" spans="1:6" x14ac:dyDescent="0.2">
      <c r="A1647" t="s">
        <v>3504</v>
      </c>
      <c r="B1647" t="s">
        <v>3505</v>
      </c>
      <c r="C1647" t="s">
        <v>146</v>
      </c>
      <c r="D1647" t="s">
        <v>14</v>
      </c>
      <c r="E1647" t="s">
        <v>1211</v>
      </c>
      <c r="F1647" s="2" t="str">
        <f>HYPERLINK("http://www.otzar.org/book.asp?62023","אוצרות מהרש""א - 3 כר'")</f>
        <v>אוצרות מהרש"א - 3 כר'</v>
      </c>
    </row>
    <row r="1648" spans="1:6" x14ac:dyDescent="0.2">
      <c r="A1648" t="s">
        <v>3506</v>
      </c>
      <c r="B1648" t="s">
        <v>3507</v>
      </c>
      <c r="C1648" t="s">
        <v>146</v>
      </c>
      <c r="D1648" t="s">
        <v>3508</v>
      </c>
      <c r="E1648" t="s">
        <v>104</v>
      </c>
      <c r="F1648" s="2" t="str">
        <f>HYPERLINK("http://www.otzar.org/book.asp?64139","אוצרות מלאכים - שימושי שרים")</f>
        <v>אוצרות מלאכים - שימושי שרים</v>
      </c>
    </row>
    <row r="1649" spans="1:6" x14ac:dyDescent="0.2">
      <c r="A1649" t="s">
        <v>3509</v>
      </c>
      <c r="B1649" t="s">
        <v>3510</v>
      </c>
      <c r="C1649" t="s">
        <v>366</v>
      </c>
      <c r="D1649" t="s">
        <v>14</v>
      </c>
      <c r="E1649" t="s">
        <v>104</v>
      </c>
      <c r="F1649" s="2" t="str">
        <f>HYPERLINK("http://www.otzar.org/book.asp?611114","אוצרות מנחם")</f>
        <v>אוצרות מנחם</v>
      </c>
    </row>
    <row r="1650" spans="1:6" x14ac:dyDescent="0.2">
      <c r="A1650" t="s">
        <v>3511</v>
      </c>
      <c r="B1650" t="s">
        <v>3512</v>
      </c>
      <c r="C1650" t="s">
        <v>454</v>
      </c>
      <c r="D1650" t="s">
        <v>52</v>
      </c>
      <c r="E1650" t="s">
        <v>803</v>
      </c>
      <c r="F1650" s="2" t="str">
        <f>HYPERLINK("http://www.otzar.org/book.asp?52806","אוצרות משה - 21 כר'")</f>
        <v>אוצרות משה - 21 כר'</v>
      </c>
    </row>
    <row r="1651" spans="1:6" x14ac:dyDescent="0.2">
      <c r="A1651" t="s">
        <v>3513</v>
      </c>
      <c r="B1651" t="s">
        <v>3514</v>
      </c>
      <c r="C1651" t="s">
        <v>103</v>
      </c>
      <c r="D1651" t="s">
        <v>14</v>
      </c>
      <c r="E1651" t="s">
        <v>186</v>
      </c>
      <c r="F1651" s="2" t="str">
        <f>HYPERLINK("http://www.otzar.org/book.asp?84707","אוצרות עטרת יצחק - 2 כר'")</f>
        <v>אוצרות עטרת יצחק - 2 כר'</v>
      </c>
    </row>
    <row r="1652" spans="1:6" x14ac:dyDescent="0.2">
      <c r="A1652" t="s">
        <v>3515</v>
      </c>
      <c r="B1652" t="s">
        <v>3367</v>
      </c>
      <c r="C1652" t="s">
        <v>411</v>
      </c>
      <c r="D1652" t="s">
        <v>52</v>
      </c>
      <c r="E1652" t="s">
        <v>3516</v>
      </c>
      <c r="F1652" s="2" t="str">
        <f>HYPERLINK("http://www.otzar.org/book.asp?171229","אוצרות עניני פורים")</f>
        <v>אוצרות עניני פורים</v>
      </c>
    </row>
    <row r="1653" spans="1:6" x14ac:dyDescent="0.2">
      <c r="A1653" t="s">
        <v>3517</v>
      </c>
      <c r="B1653" t="s">
        <v>3367</v>
      </c>
      <c r="C1653" t="s">
        <v>411</v>
      </c>
      <c r="D1653" t="s">
        <v>52</v>
      </c>
      <c r="E1653" t="s">
        <v>3518</v>
      </c>
      <c r="F1653" s="2" t="str">
        <f>HYPERLINK("http://www.otzar.org/book.asp?171230","אוצרות פסחים")</f>
        <v>אוצרות פסחים</v>
      </c>
    </row>
    <row r="1654" spans="1:6" x14ac:dyDescent="0.2">
      <c r="A1654" t="s">
        <v>3519</v>
      </c>
      <c r="B1654" t="s">
        <v>3520</v>
      </c>
      <c r="C1654" t="s">
        <v>37</v>
      </c>
      <c r="D1654" t="s">
        <v>14</v>
      </c>
      <c r="E1654" t="s">
        <v>219</v>
      </c>
      <c r="F1654" s="2" t="str">
        <f>HYPERLINK("http://www.otzar.org/book.asp?199874","אוצרות צדיקי וגאוני הדורות - 2 כר'")</f>
        <v>אוצרות צדיקי וגאוני הדורות - 2 כר'</v>
      </c>
    </row>
    <row r="1655" spans="1:6" x14ac:dyDescent="0.2">
      <c r="A1655" t="s">
        <v>3521</v>
      </c>
      <c r="B1655" t="s">
        <v>3522</v>
      </c>
      <c r="C1655" t="s">
        <v>775</v>
      </c>
      <c r="D1655" t="s">
        <v>14</v>
      </c>
      <c r="E1655" t="s">
        <v>3523</v>
      </c>
      <c r="F1655" s="2" t="str">
        <f>HYPERLINK("http://www.otzar.org/book.asp?105651","אוצרות רבי אייזיק חבר")</f>
        <v>אוצרות רבי אייזיק חבר</v>
      </c>
    </row>
    <row r="1656" spans="1:6" x14ac:dyDescent="0.2">
      <c r="A1656" t="s">
        <v>3524</v>
      </c>
      <c r="B1656" t="s">
        <v>3367</v>
      </c>
      <c r="C1656" t="s">
        <v>313</v>
      </c>
      <c r="D1656" t="s">
        <v>52</v>
      </c>
      <c r="E1656" t="s">
        <v>104</v>
      </c>
      <c r="F1656" s="2" t="str">
        <f>HYPERLINK("http://www.otzar.org/book.asp?142817","אוצרות רבי שמשון רפאל הירש")</f>
        <v>אוצרות רבי שמשון רפאל הירש</v>
      </c>
    </row>
    <row r="1657" spans="1:6" x14ac:dyDescent="0.2">
      <c r="A1657" t="s">
        <v>3525</v>
      </c>
      <c r="B1657" t="s">
        <v>1393</v>
      </c>
      <c r="C1657" t="s">
        <v>20</v>
      </c>
      <c r="D1657" t="s">
        <v>14</v>
      </c>
      <c r="E1657" t="s">
        <v>104</v>
      </c>
      <c r="F1657" s="2" t="str">
        <f>HYPERLINK("http://www.otzar.org/book.asp?621192","אוצרות רבינו השומר אמונים - 2 כר'")</f>
        <v>אוצרות רבינו השומר אמונים - 2 כר'</v>
      </c>
    </row>
    <row r="1658" spans="1:6" x14ac:dyDescent="0.2">
      <c r="A1658" t="s">
        <v>3526</v>
      </c>
      <c r="B1658" t="s">
        <v>3367</v>
      </c>
      <c r="C1658" t="s">
        <v>244</v>
      </c>
      <c r="D1658" t="s">
        <v>52</v>
      </c>
      <c r="E1658" t="s">
        <v>104</v>
      </c>
      <c r="F1658" s="2" t="str">
        <f>HYPERLINK("http://www.otzar.org/book.asp?600628","אוצרות רד""ק")</f>
        <v>אוצרות רד"ק</v>
      </c>
    </row>
    <row r="1659" spans="1:6" x14ac:dyDescent="0.2">
      <c r="A1659" t="s">
        <v>3527</v>
      </c>
      <c r="B1659" t="s">
        <v>3367</v>
      </c>
      <c r="C1659" t="s">
        <v>146</v>
      </c>
      <c r="D1659" t="s">
        <v>14</v>
      </c>
      <c r="E1659" t="s">
        <v>104</v>
      </c>
      <c r="F1659" s="2" t="str">
        <f>HYPERLINK("http://www.otzar.org/book.asp?174401","אוצרות רמ""ק")</f>
        <v>אוצרות רמ"ק</v>
      </c>
    </row>
    <row r="1660" spans="1:6" x14ac:dyDescent="0.2">
      <c r="A1660" t="s">
        <v>3528</v>
      </c>
      <c r="B1660" t="s">
        <v>3367</v>
      </c>
      <c r="C1660" t="s">
        <v>244</v>
      </c>
      <c r="D1660" t="s">
        <v>52</v>
      </c>
      <c r="E1660" t="s">
        <v>104</v>
      </c>
      <c r="F1660" s="2" t="str">
        <f>HYPERLINK("http://www.otzar.org/book.asp?600629","אוצרות רמב""ן")</f>
        <v>אוצרות רמב"ן</v>
      </c>
    </row>
    <row r="1661" spans="1:6" x14ac:dyDescent="0.2">
      <c r="A1661" t="s">
        <v>3529</v>
      </c>
      <c r="B1661" t="s">
        <v>1390</v>
      </c>
      <c r="C1661" t="s">
        <v>940</v>
      </c>
      <c r="D1661" t="s">
        <v>52</v>
      </c>
      <c r="E1661" t="s">
        <v>1847</v>
      </c>
      <c r="F1661" s="2" t="str">
        <f>HYPERLINK("http://www.otzar.org/book.asp?22939","אוצרות רמח""ל")</f>
        <v>אוצרות רמח"ל</v>
      </c>
    </row>
    <row r="1662" spans="1:6" x14ac:dyDescent="0.2">
      <c r="A1662" t="s">
        <v>3529</v>
      </c>
      <c r="B1662" t="s">
        <v>3367</v>
      </c>
      <c r="C1662" t="s">
        <v>523</v>
      </c>
      <c r="D1662" t="s">
        <v>118</v>
      </c>
      <c r="E1662" t="s">
        <v>1438</v>
      </c>
      <c r="F1662" s="2" t="str">
        <f>HYPERLINK("http://www.otzar.org/book.asp?12773","אוצרות רמח""ל")</f>
        <v>אוצרות רמח"ל</v>
      </c>
    </row>
    <row r="1663" spans="1:6" x14ac:dyDescent="0.2">
      <c r="A1663" t="s">
        <v>3530</v>
      </c>
      <c r="B1663" t="s">
        <v>3367</v>
      </c>
      <c r="C1663" t="s">
        <v>244</v>
      </c>
      <c r="D1663" t="s">
        <v>52</v>
      </c>
      <c r="E1663" t="s">
        <v>104</v>
      </c>
      <c r="F1663" s="2" t="str">
        <f>HYPERLINK("http://www.otzar.org/book.asp?600630","אוצרות רשב""ם")</f>
        <v>אוצרות רשב"ם</v>
      </c>
    </row>
    <row r="1664" spans="1:6" x14ac:dyDescent="0.2">
      <c r="A1664" t="s">
        <v>3531</v>
      </c>
      <c r="B1664" t="s">
        <v>3532</v>
      </c>
      <c r="C1664" t="s">
        <v>68</v>
      </c>
      <c r="D1664" t="s">
        <v>52</v>
      </c>
      <c r="E1664" t="s">
        <v>148</v>
      </c>
      <c r="F1664" s="2" t="str">
        <f>HYPERLINK("http://www.otzar.org/book.asp?183242","אוצרות שבת")</f>
        <v>אוצרות שבת</v>
      </c>
    </row>
    <row r="1665" spans="1:6" x14ac:dyDescent="0.2">
      <c r="A1665" t="s">
        <v>3533</v>
      </c>
      <c r="B1665" t="s">
        <v>3534</v>
      </c>
      <c r="C1665" t="s">
        <v>411</v>
      </c>
      <c r="D1665" t="s">
        <v>52</v>
      </c>
      <c r="E1665" t="s">
        <v>104</v>
      </c>
      <c r="F1665" s="2" t="str">
        <f>HYPERLINK("http://www.otzar.org/book.asp?180011","אוצרות של חינוך - 2 כר'")</f>
        <v>אוצרות של חינוך - 2 כר'</v>
      </c>
    </row>
    <row r="1666" spans="1:6" x14ac:dyDescent="0.2">
      <c r="A1666" t="s">
        <v>3535</v>
      </c>
      <c r="B1666" t="s">
        <v>3536</v>
      </c>
      <c r="C1666" t="s">
        <v>411</v>
      </c>
      <c r="D1666" t="s">
        <v>486</v>
      </c>
      <c r="E1666" t="s">
        <v>158</v>
      </c>
      <c r="F1666" s="2" t="str">
        <f>HYPERLINK("http://www.otzar.org/book.asp?183294","אוצרות שלמה")</f>
        <v>אוצרות שלמה</v>
      </c>
    </row>
    <row r="1667" spans="1:6" x14ac:dyDescent="0.2">
      <c r="A1667" t="s">
        <v>3535</v>
      </c>
      <c r="B1667" t="s">
        <v>3537</v>
      </c>
      <c r="C1667" t="s">
        <v>270</v>
      </c>
      <c r="D1667" t="s">
        <v>267</v>
      </c>
      <c r="E1667" t="s">
        <v>148</v>
      </c>
      <c r="F1667" s="2" t="str">
        <f>HYPERLINK("http://www.otzar.org/book.asp?300172","אוצרות שלמה")</f>
        <v>אוצרות שלמה</v>
      </c>
    </row>
    <row r="1668" spans="1:6" x14ac:dyDescent="0.2">
      <c r="A1668" t="s">
        <v>3538</v>
      </c>
      <c r="B1668" t="s">
        <v>3539</v>
      </c>
      <c r="C1668" t="s">
        <v>168</v>
      </c>
      <c r="D1668" t="s">
        <v>52</v>
      </c>
      <c r="E1668" t="s">
        <v>10</v>
      </c>
      <c r="F1668" s="2" t="str">
        <f>HYPERLINK("http://www.otzar.org/book.asp?104600","אוצרות תימן")</f>
        <v>אוצרות תימן</v>
      </c>
    </row>
    <row r="1669" spans="1:6" x14ac:dyDescent="0.2">
      <c r="A1669" t="s">
        <v>3540</v>
      </c>
      <c r="B1669" t="s">
        <v>3541</v>
      </c>
      <c r="C1669" t="s">
        <v>185</v>
      </c>
      <c r="D1669" t="s">
        <v>14</v>
      </c>
      <c r="E1669" t="s">
        <v>384</v>
      </c>
      <c r="F1669" s="2" t="str">
        <f>HYPERLINK("http://www.otzar.org/book.asp?629764","אוצרות - 1")</f>
        <v>אוצרות - 1</v>
      </c>
    </row>
    <row r="1670" spans="1:6" x14ac:dyDescent="0.2">
      <c r="A1670" t="s">
        <v>3542</v>
      </c>
      <c r="B1670" t="s">
        <v>3520</v>
      </c>
      <c r="C1670" t="s">
        <v>114</v>
      </c>
      <c r="D1670" t="s">
        <v>14</v>
      </c>
      <c r="E1670" t="s">
        <v>158</v>
      </c>
      <c r="F1670" s="2" t="str">
        <f>HYPERLINK("http://www.otzar.org/book.asp?603416","אוצרותיהם של צדיקים - 6 כר'")</f>
        <v>אוצרותיהם של צדיקים - 6 כר'</v>
      </c>
    </row>
    <row r="1671" spans="1:6" x14ac:dyDescent="0.2">
      <c r="A1671" t="s">
        <v>3543</v>
      </c>
      <c r="B1671" t="s">
        <v>3544</v>
      </c>
      <c r="C1671" t="s">
        <v>189</v>
      </c>
      <c r="D1671" t="s">
        <v>14</v>
      </c>
      <c r="E1671" t="s">
        <v>158</v>
      </c>
      <c r="F1671" s="2" t="str">
        <f>HYPERLINK("http://www.otzar.org/book.asp?61343","אור אברהם &lt;על התורה&gt; - 5 כר'")</f>
        <v>אור אברהם &lt;על התורה&gt; - 5 כר'</v>
      </c>
    </row>
    <row r="1672" spans="1:6" x14ac:dyDescent="0.2">
      <c r="A1672" t="s">
        <v>3545</v>
      </c>
      <c r="B1672" t="s">
        <v>3546</v>
      </c>
      <c r="C1672" t="s">
        <v>133</v>
      </c>
      <c r="D1672" t="s">
        <v>14</v>
      </c>
      <c r="E1672" t="s">
        <v>158</v>
      </c>
      <c r="F1672" s="2" t="str">
        <f>HYPERLINK("http://www.otzar.org/book.asp?198740","אור אברהם - 3 כר'")</f>
        <v>אור אברהם - 3 כר'</v>
      </c>
    </row>
    <row r="1673" spans="1:6" x14ac:dyDescent="0.2">
      <c r="A1673" t="s">
        <v>3547</v>
      </c>
      <c r="B1673" t="s">
        <v>3544</v>
      </c>
      <c r="C1673" t="s">
        <v>454</v>
      </c>
      <c r="D1673" t="s">
        <v>14</v>
      </c>
      <c r="E1673" t="s">
        <v>144</v>
      </c>
      <c r="F1673" s="2" t="str">
        <f>HYPERLINK("http://www.otzar.org/book.asp?145105","אור אברהם - 14 כר'")</f>
        <v>אור אברהם - 14 כר'</v>
      </c>
    </row>
    <row r="1674" spans="1:6" x14ac:dyDescent="0.2">
      <c r="A1674" t="s">
        <v>3548</v>
      </c>
      <c r="B1674" t="s">
        <v>3549</v>
      </c>
      <c r="C1674" t="s">
        <v>785</v>
      </c>
      <c r="D1674" t="s">
        <v>52</v>
      </c>
      <c r="E1674" t="s">
        <v>508</v>
      </c>
      <c r="F1674" s="2" t="str">
        <f>HYPERLINK("http://www.otzar.org/book.asp?617338","אור אברהם - ב")</f>
        <v>אור אברהם - ב</v>
      </c>
    </row>
    <row r="1675" spans="1:6" x14ac:dyDescent="0.2">
      <c r="A1675" t="s">
        <v>3550</v>
      </c>
      <c r="B1675" t="s">
        <v>3551</v>
      </c>
      <c r="C1675" t="s">
        <v>189</v>
      </c>
      <c r="D1675" t="s">
        <v>52</v>
      </c>
      <c r="E1675" t="s">
        <v>144</v>
      </c>
      <c r="F1675" s="2" t="str">
        <f>HYPERLINK("http://www.otzar.org/book.asp?161800","אור אהרן - 4 כר'")</f>
        <v>אור אהרן - 4 כר'</v>
      </c>
    </row>
    <row r="1676" spans="1:6" x14ac:dyDescent="0.2">
      <c r="A1676" t="s">
        <v>3552</v>
      </c>
      <c r="B1676" t="s">
        <v>2697</v>
      </c>
      <c r="C1676" t="s">
        <v>143</v>
      </c>
      <c r="D1676" t="s">
        <v>14</v>
      </c>
      <c r="E1676" t="s">
        <v>104</v>
      </c>
      <c r="F1676" s="2" t="str">
        <f>HYPERLINK("http://www.otzar.org/book.asp?618410","אור אלחנן &lt;גנזים - בהקבץ&gt;")</f>
        <v>אור אלחנן &lt;גנזים - בהקבץ&gt;</v>
      </c>
    </row>
    <row r="1677" spans="1:6" x14ac:dyDescent="0.2">
      <c r="A1677" t="s">
        <v>3553</v>
      </c>
      <c r="B1677" t="s">
        <v>3554</v>
      </c>
      <c r="C1677" t="s">
        <v>332</v>
      </c>
      <c r="D1677" t="s">
        <v>118</v>
      </c>
      <c r="E1677" t="s">
        <v>119</v>
      </c>
      <c r="F1677" s="2" t="str">
        <f>HYPERLINK("http://www.otzar.org/book.asp?158171","אור אלחנן - 2 כר'")</f>
        <v>אור אלחנן - 2 כר'</v>
      </c>
    </row>
    <row r="1678" spans="1:6" x14ac:dyDescent="0.2">
      <c r="A1678" t="s">
        <v>3555</v>
      </c>
      <c r="B1678" t="s">
        <v>191</v>
      </c>
      <c r="C1678" t="s">
        <v>366</v>
      </c>
      <c r="D1678" t="s">
        <v>52</v>
      </c>
      <c r="E1678" t="s">
        <v>246</v>
      </c>
      <c r="F1678" s="2" t="str">
        <f>HYPERLINK("http://www.otzar.org/book.asp?602811","אור אליהו")</f>
        <v>אור אליהו</v>
      </c>
    </row>
    <row r="1679" spans="1:6" x14ac:dyDescent="0.2">
      <c r="A1679" t="s">
        <v>3555</v>
      </c>
      <c r="B1679" t="s">
        <v>3556</v>
      </c>
      <c r="C1679" t="s">
        <v>189</v>
      </c>
      <c r="D1679" t="s">
        <v>14</v>
      </c>
      <c r="E1679" t="s">
        <v>579</v>
      </c>
      <c r="F1679" s="2" t="str">
        <f>HYPERLINK("http://www.otzar.org/book.asp?159101","אור אליהו")</f>
        <v>אור אליהו</v>
      </c>
    </row>
    <row r="1680" spans="1:6" x14ac:dyDescent="0.2">
      <c r="A1680" t="s">
        <v>3557</v>
      </c>
      <c r="B1680" t="s">
        <v>3558</v>
      </c>
      <c r="C1680" t="s">
        <v>23</v>
      </c>
      <c r="D1680" t="s">
        <v>90</v>
      </c>
      <c r="E1680" t="s">
        <v>202</v>
      </c>
      <c r="F1680" s="2" t="str">
        <f>HYPERLINK("http://www.otzar.org/book.asp?198095","אור אלימלך")</f>
        <v>אור אלימלך</v>
      </c>
    </row>
    <row r="1681" spans="1:6" x14ac:dyDescent="0.2">
      <c r="A1681" t="s">
        <v>3557</v>
      </c>
      <c r="B1681" t="s">
        <v>3559</v>
      </c>
      <c r="C1681" t="s">
        <v>454</v>
      </c>
      <c r="D1681" t="s">
        <v>3560</v>
      </c>
      <c r="E1681" t="s">
        <v>140</v>
      </c>
      <c r="F1681" s="2" t="str">
        <f>HYPERLINK("http://www.otzar.org/book.asp?63021","אור אלימלך")</f>
        <v>אור אלימלך</v>
      </c>
    </row>
    <row r="1682" spans="1:6" x14ac:dyDescent="0.2">
      <c r="A1682" t="s">
        <v>3561</v>
      </c>
      <c r="B1682" t="s">
        <v>3562</v>
      </c>
      <c r="C1682" t="s">
        <v>383</v>
      </c>
      <c r="D1682" t="s">
        <v>14</v>
      </c>
      <c r="E1682" t="s">
        <v>104</v>
      </c>
      <c r="F1682" s="2" t="str">
        <f>HYPERLINK("http://www.otzar.org/book.asp?625447","אור אליעזר")</f>
        <v>אור אליעזר</v>
      </c>
    </row>
    <row r="1683" spans="1:6" x14ac:dyDescent="0.2">
      <c r="A1683" t="s">
        <v>3563</v>
      </c>
      <c r="B1683" t="s">
        <v>3564</v>
      </c>
      <c r="C1683" t="s">
        <v>411</v>
      </c>
      <c r="D1683" t="s">
        <v>115</v>
      </c>
      <c r="E1683" t="s">
        <v>158</v>
      </c>
      <c r="F1683" s="2" t="str">
        <f>HYPERLINK("http://www.otzar.org/book.asp?167109","אור אליעזר - 3 כר'")</f>
        <v>אור אליעזר - 3 כר'</v>
      </c>
    </row>
    <row r="1684" spans="1:6" x14ac:dyDescent="0.2">
      <c r="A1684" t="s">
        <v>3565</v>
      </c>
      <c r="B1684" t="s">
        <v>3566</v>
      </c>
      <c r="C1684" t="s">
        <v>462</v>
      </c>
      <c r="D1684" t="s">
        <v>756</v>
      </c>
      <c r="E1684" t="s">
        <v>3567</v>
      </c>
      <c r="F1684" s="2" t="str">
        <f>HYPERLINK("http://www.otzar.org/book.asp?17141","אור בהיר")</f>
        <v>אור בהיר</v>
      </c>
    </row>
    <row r="1685" spans="1:6" x14ac:dyDescent="0.2">
      <c r="A1685" t="s">
        <v>3565</v>
      </c>
      <c r="B1685" t="s">
        <v>3568</v>
      </c>
      <c r="C1685" t="s">
        <v>13</v>
      </c>
      <c r="D1685" t="s">
        <v>90</v>
      </c>
      <c r="E1685" t="s">
        <v>15</v>
      </c>
      <c r="F1685" s="2" t="str">
        <f>HYPERLINK("http://www.otzar.org/book.asp?168718","אור בהיר")</f>
        <v>אור בהיר</v>
      </c>
    </row>
    <row r="1686" spans="1:6" x14ac:dyDescent="0.2">
      <c r="A1686" t="s">
        <v>3569</v>
      </c>
      <c r="B1686" t="s">
        <v>3570</v>
      </c>
      <c r="C1686" t="s">
        <v>785</v>
      </c>
      <c r="D1686" t="s">
        <v>14</v>
      </c>
      <c r="E1686" t="s">
        <v>144</v>
      </c>
      <c r="F1686" s="2" t="str">
        <f>HYPERLINK("http://www.otzar.org/book.asp?149783","אור בהיר - 2 כר'")</f>
        <v>אור בהיר - 2 כר'</v>
      </c>
    </row>
    <row r="1687" spans="1:6" x14ac:dyDescent="0.2">
      <c r="A1687" t="s">
        <v>3571</v>
      </c>
      <c r="B1687" t="s">
        <v>3572</v>
      </c>
      <c r="C1687" t="s">
        <v>3573</v>
      </c>
      <c r="D1687" t="s">
        <v>49</v>
      </c>
      <c r="E1687" t="s">
        <v>219</v>
      </c>
      <c r="F1687" s="2" t="str">
        <f>HYPERLINK("http://www.otzar.org/book.asp?300169","אור בקר")</f>
        <v>אור בקר</v>
      </c>
    </row>
    <row r="1688" spans="1:6" x14ac:dyDescent="0.2">
      <c r="A1688" t="s">
        <v>3574</v>
      </c>
      <c r="B1688" t="s">
        <v>3575</v>
      </c>
      <c r="C1688" t="s">
        <v>581</v>
      </c>
      <c r="D1688" t="s">
        <v>56</v>
      </c>
      <c r="E1688" t="s">
        <v>154</v>
      </c>
      <c r="F1688" s="2" t="str">
        <f>HYPERLINK("http://www.otzar.org/book.asp?6623","אור גדול")</f>
        <v>אור גדול</v>
      </c>
    </row>
    <row r="1689" spans="1:6" x14ac:dyDescent="0.2">
      <c r="A1689" t="s">
        <v>3576</v>
      </c>
      <c r="B1689" t="s">
        <v>3577</v>
      </c>
      <c r="C1689" t="s">
        <v>17</v>
      </c>
      <c r="D1689" t="s">
        <v>14</v>
      </c>
      <c r="E1689" t="s">
        <v>234</v>
      </c>
      <c r="F1689" s="2" t="str">
        <f>HYPERLINK("http://www.otzar.org/book.asp?173264","אור גדליהו - 4 כר'")</f>
        <v>אור גדליהו - 4 כר'</v>
      </c>
    </row>
    <row r="1690" spans="1:6" x14ac:dyDescent="0.2">
      <c r="A1690" t="s">
        <v>3578</v>
      </c>
      <c r="B1690" t="s">
        <v>3579</v>
      </c>
      <c r="C1690" t="s">
        <v>129</v>
      </c>
      <c r="D1690" t="s">
        <v>646</v>
      </c>
      <c r="E1690" t="s">
        <v>2418</v>
      </c>
      <c r="F1690" s="2" t="str">
        <f>HYPERLINK("http://www.otzar.org/book.asp?155350","אור גנוז - 4 כר'")</f>
        <v>אור גנוז - 4 כר'</v>
      </c>
    </row>
    <row r="1691" spans="1:6" x14ac:dyDescent="0.2">
      <c r="A1691" t="s">
        <v>3580</v>
      </c>
      <c r="B1691" t="s">
        <v>1926</v>
      </c>
      <c r="C1691" t="s">
        <v>360</v>
      </c>
      <c r="D1691" t="s">
        <v>691</v>
      </c>
      <c r="E1691" t="s">
        <v>158</v>
      </c>
      <c r="F1691" s="2" t="str">
        <f>HYPERLINK("http://www.otzar.org/book.asp?601250","אור דוד עם קונטרס זר לזהב")</f>
        <v>אור דוד עם קונטרס זר לזהב</v>
      </c>
    </row>
    <row r="1692" spans="1:6" x14ac:dyDescent="0.2">
      <c r="A1692" t="s">
        <v>3581</v>
      </c>
      <c r="B1692" t="s">
        <v>3582</v>
      </c>
      <c r="C1692" t="s">
        <v>103</v>
      </c>
      <c r="D1692" t="s">
        <v>486</v>
      </c>
      <c r="E1692" t="s">
        <v>154</v>
      </c>
      <c r="F1692" s="2" t="str">
        <f>HYPERLINK("http://www.otzar.org/book.asp?53245","אור דוד - 2 כר'")</f>
        <v>אור דוד - 2 כר'</v>
      </c>
    </row>
    <row r="1693" spans="1:6" x14ac:dyDescent="0.2">
      <c r="A1693" t="s">
        <v>3583</v>
      </c>
      <c r="B1693" t="s">
        <v>3584</v>
      </c>
      <c r="C1693" t="s">
        <v>366</v>
      </c>
      <c r="D1693" t="s">
        <v>14</v>
      </c>
      <c r="E1693" t="s">
        <v>144</v>
      </c>
      <c r="F1693" s="2" t="str">
        <f>HYPERLINK("http://www.otzar.org/book.asp?622603","אור דוד - 4 כר'")</f>
        <v>אור דוד - 4 כר'</v>
      </c>
    </row>
    <row r="1694" spans="1:6" x14ac:dyDescent="0.2">
      <c r="A1694" t="s">
        <v>3585</v>
      </c>
      <c r="B1694" t="s">
        <v>3586</v>
      </c>
      <c r="C1694" t="s">
        <v>133</v>
      </c>
      <c r="D1694" t="s">
        <v>3587</v>
      </c>
      <c r="E1694" t="s">
        <v>158</v>
      </c>
      <c r="F1694" s="2" t="str">
        <f>HYPERLINK("http://www.otzar.org/book.asp?189419","אור דוד - 5 כר'")</f>
        <v>אור דוד - 5 כר'</v>
      </c>
    </row>
    <row r="1695" spans="1:6" x14ac:dyDescent="0.2">
      <c r="A1695" t="s">
        <v>3588</v>
      </c>
      <c r="B1695" t="s">
        <v>3589</v>
      </c>
      <c r="C1695" t="s">
        <v>1811</v>
      </c>
      <c r="D1695" t="s">
        <v>14</v>
      </c>
      <c r="E1695" t="s">
        <v>158</v>
      </c>
      <c r="F1695" s="2" t="str">
        <f>HYPERLINK("http://www.otzar.org/book.asp?176370","אור דוד - 3 כר'")</f>
        <v>אור דוד - 3 כר'</v>
      </c>
    </row>
    <row r="1696" spans="1:6" x14ac:dyDescent="0.2">
      <c r="A1696" t="s">
        <v>3590</v>
      </c>
      <c r="B1696" t="s">
        <v>3591</v>
      </c>
      <c r="C1696" t="s">
        <v>2832</v>
      </c>
      <c r="D1696" t="s">
        <v>3592</v>
      </c>
      <c r="E1696" t="s">
        <v>3593</v>
      </c>
      <c r="F1696" s="2" t="str">
        <f>HYPERLINK("http://www.otzar.org/book.asp?162387","אור דוד")</f>
        <v>אור דוד</v>
      </c>
    </row>
    <row r="1697" spans="1:6" x14ac:dyDescent="0.2">
      <c r="A1697" t="s">
        <v>3590</v>
      </c>
      <c r="B1697" t="s">
        <v>1926</v>
      </c>
      <c r="C1697" t="s">
        <v>360</v>
      </c>
      <c r="D1697" t="s">
        <v>691</v>
      </c>
      <c r="E1697" t="s">
        <v>158</v>
      </c>
      <c r="F1697" s="2" t="str">
        <f>HYPERLINK("http://www.otzar.org/book.asp?15824","אור דוד")</f>
        <v>אור דוד</v>
      </c>
    </row>
    <row r="1698" spans="1:6" x14ac:dyDescent="0.2">
      <c r="A1698" t="s">
        <v>3594</v>
      </c>
      <c r="B1698" t="s">
        <v>3595</v>
      </c>
      <c r="C1698" t="s">
        <v>129</v>
      </c>
      <c r="D1698" t="s">
        <v>1974</v>
      </c>
      <c r="E1698" t="s">
        <v>144</v>
      </c>
      <c r="F1698" s="2" t="str">
        <f>HYPERLINK("http://www.otzar.org/book.asp?53678","אור דויד - 2 כר'")</f>
        <v>אור דויד - 2 כר'</v>
      </c>
    </row>
    <row r="1699" spans="1:6" x14ac:dyDescent="0.2">
      <c r="A1699" t="s">
        <v>3596</v>
      </c>
      <c r="B1699" t="s">
        <v>3597</v>
      </c>
      <c r="C1699" t="s">
        <v>313</v>
      </c>
      <c r="D1699" t="s">
        <v>3406</v>
      </c>
      <c r="E1699" t="s">
        <v>579</v>
      </c>
      <c r="F1699" s="2" t="str">
        <f>HYPERLINK("http://www.otzar.org/book.asp?28113","אור דניאל - 7 כר'")</f>
        <v>אור דניאל - 7 כר'</v>
      </c>
    </row>
    <row r="1700" spans="1:6" x14ac:dyDescent="0.2">
      <c r="A1700" t="s">
        <v>3598</v>
      </c>
      <c r="B1700" t="s">
        <v>3599</v>
      </c>
      <c r="C1700" t="s">
        <v>23</v>
      </c>
      <c r="D1700" t="s">
        <v>14</v>
      </c>
      <c r="E1700" t="s">
        <v>172</v>
      </c>
      <c r="F1700" s="2" t="str">
        <f>HYPERLINK("http://www.otzar.org/book.asp?198355","אור דעה")</f>
        <v>אור דעה</v>
      </c>
    </row>
    <row r="1701" spans="1:6" x14ac:dyDescent="0.2">
      <c r="A1701" t="s">
        <v>3600</v>
      </c>
      <c r="B1701" t="s">
        <v>3601</v>
      </c>
      <c r="C1701" t="s">
        <v>1268</v>
      </c>
      <c r="D1701" t="s">
        <v>412</v>
      </c>
      <c r="E1701" t="s">
        <v>104</v>
      </c>
      <c r="F1701" s="2" t="str">
        <f>HYPERLINK("http://www.otzar.org/book.asp?620592","אור דרכים - 2 כר'")</f>
        <v>אור דרכים - 2 כר'</v>
      </c>
    </row>
    <row r="1702" spans="1:6" x14ac:dyDescent="0.2">
      <c r="A1702" t="s">
        <v>3602</v>
      </c>
      <c r="B1702" t="s">
        <v>3603</v>
      </c>
      <c r="C1702" t="s">
        <v>800</v>
      </c>
      <c r="D1702" t="s">
        <v>3604</v>
      </c>
      <c r="E1702" t="s">
        <v>241</v>
      </c>
      <c r="F1702" s="2" t="str">
        <f>HYPERLINK("http://www.otzar.org/book.asp?23678","אור ה' - 2 כר'")</f>
        <v>אור ה' - 2 כר'</v>
      </c>
    </row>
    <row r="1703" spans="1:6" x14ac:dyDescent="0.2">
      <c r="A1703" t="s">
        <v>3605</v>
      </c>
      <c r="B1703" t="s">
        <v>3606</v>
      </c>
      <c r="C1703" t="s">
        <v>3607</v>
      </c>
      <c r="D1703" t="s">
        <v>9</v>
      </c>
      <c r="E1703" t="s">
        <v>144</v>
      </c>
      <c r="F1703" s="2" t="str">
        <f>HYPERLINK("http://www.otzar.org/book.asp?10616","אור האגדה - 3 כר'")</f>
        <v>אור האגדה - 3 כר'</v>
      </c>
    </row>
    <row r="1704" spans="1:6" x14ac:dyDescent="0.2">
      <c r="A1704" t="s">
        <v>3608</v>
      </c>
      <c r="B1704" t="s">
        <v>3609</v>
      </c>
      <c r="C1704" t="s">
        <v>313</v>
      </c>
      <c r="D1704" t="s">
        <v>1632</v>
      </c>
      <c r="E1704" t="s">
        <v>3610</v>
      </c>
      <c r="F1704" s="2" t="str">
        <f>HYPERLINK("http://www.otzar.org/book.asp?602809","אור האורות")</f>
        <v>אור האורות</v>
      </c>
    </row>
    <row r="1705" spans="1:6" x14ac:dyDescent="0.2">
      <c r="A1705" t="s">
        <v>3611</v>
      </c>
      <c r="B1705" t="s">
        <v>3612</v>
      </c>
      <c r="C1705" t="s">
        <v>506</v>
      </c>
      <c r="D1705" t="s">
        <v>947</v>
      </c>
      <c r="E1705" t="s">
        <v>508</v>
      </c>
      <c r="F1705" s="2" t="str">
        <f>HYPERLINK("http://www.otzar.org/book.asp?17699","אור האורים")</f>
        <v>אור האורים</v>
      </c>
    </row>
    <row r="1706" spans="1:6" x14ac:dyDescent="0.2">
      <c r="A1706" t="s">
        <v>3613</v>
      </c>
      <c r="B1706" t="s">
        <v>3614</v>
      </c>
      <c r="C1706" t="s">
        <v>3106</v>
      </c>
      <c r="D1706" t="s">
        <v>14</v>
      </c>
      <c r="E1706" t="s">
        <v>140</v>
      </c>
      <c r="F1706" s="2" t="str">
        <f>HYPERLINK("http://www.otzar.org/book.asp?171865","אור האמונה")</f>
        <v>אור האמונה</v>
      </c>
    </row>
    <row r="1707" spans="1:6" x14ac:dyDescent="0.2">
      <c r="A1707" t="s">
        <v>3615</v>
      </c>
      <c r="B1707" t="s">
        <v>3614</v>
      </c>
      <c r="C1707" t="s">
        <v>1268</v>
      </c>
      <c r="D1707" t="s">
        <v>14</v>
      </c>
      <c r="E1707" t="s">
        <v>3616</v>
      </c>
      <c r="F1707" s="2" t="str">
        <f>HYPERLINK("http://www.otzar.org/book.asp?16494","אור האמת והאמונה")</f>
        <v>אור האמת והאמונה</v>
      </c>
    </row>
    <row r="1708" spans="1:6" x14ac:dyDescent="0.2">
      <c r="A1708" t="s">
        <v>3617</v>
      </c>
      <c r="B1708" t="s">
        <v>3618</v>
      </c>
      <c r="C1708" t="s">
        <v>362</v>
      </c>
      <c r="D1708" t="s">
        <v>1419</v>
      </c>
      <c r="E1708" t="s">
        <v>140</v>
      </c>
      <c r="F1708" s="2" t="str">
        <f>HYPERLINK("http://www.otzar.org/book.asp?15832","אור האמת")</f>
        <v>אור האמת</v>
      </c>
    </row>
    <row r="1709" spans="1:6" x14ac:dyDescent="0.2">
      <c r="A1709" t="s">
        <v>3619</v>
      </c>
      <c r="B1709" t="s">
        <v>513</v>
      </c>
      <c r="C1709" t="s">
        <v>143</v>
      </c>
      <c r="D1709" t="s">
        <v>52</v>
      </c>
      <c r="E1709" t="s">
        <v>314</v>
      </c>
      <c r="F1709" s="2" t="str">
        <f>HYPERLINK("http://www.otzar.org/book.asp?170431","אור הבהיר")</f>
        <v>אור הבהיר</v>
      </c>
    </row>
    <row r="1710" spans="1:6" x14ac:dyDescent="0.2">
      <c r="A1710" t="s">
        <v>3620</v>
      </c>
      <c r="B1710" t="s">
        <v>3621</v>
      </c>
      <c r="C1710" t="s">
        <v>20</v>
      </c>
      <c r="D1710" t="s">
        <v>14</v>
      </c>
      <c r="E1710" t="s">
        <v>241</v>
      </c>
      <c r="F1710" s="2" t="str">
        <f>HYPERLINK("http://www.otzar.org/book.asp?160543","אור הבטחון")</f>
        <v>אור הבטחון</v>
      </c>
    </row>
    <row r="1711" spans="1:6" x14ac:dyDescent="0.2">
      <c r="A1711" t="s">
        <v>3622</v>
      </c>
      <c r="B1711" t="s">
        <v>3623</v>
      </c>
      <c r="C1711" t="s">
        <v>454</v>
      </c>
      <c r="D1711" t="s">
        <v>3560</v>
      </c>
      <c r="E1711" t="s">
        <v>15</v>
      </c>
      <c r="F1711" s="2" t="str">
        <f>HYPERLINK("http://www.otzar.org/book.asp?50542","אור הבית")</f>
        <v>אור הבית</v>
      </c>
    </row>
    <row r="1712" spans="1:6" x14ac:dyDescent="0.2">
      <c r="A1712" t="s">
        <v>3624</v>
      </c>
      <c r="B1712" t="s">
        <v>3625</v>
      </c>
      <c r="C1712" t="s">
        <v>3626</v>
      </c>
      <c r="D1712" t="s">
        <v>3627</v>
      </c>
      <c r="E1712" t="s">
        <v>573</v>
      </c>
      <c r="F1712" s="2" t="str">
        <f>HYPERLINK("http://www.otzar.org/book.asp?300171","אור הבקר - 2 כר'")</f>
        <v>אור הבקר - 2 כר'</v>
      </c>
    </row>
    <row r="1713" spans="1:6" x14ac:dyDescent="0.2">
      <c r="A1713" t="s">
        <v>3628</v>
      </c>
      <c r="B1713" t="s">
        <v>3629</v>
      </c>
      <c r="C1713" t="s">
        <v>383</v>
      </c>
      <c r="D1713" t="s">
        <v>14</v>
      </c>
      <c r="E1713" t="s">
        <v>15</v>
      </c>
      <c r="F1713" s="2" t="str">
        <f>HYPERLINK("http://www.otzar.org/book.asp?143713","אור הברכה")</f>
        <v>אור הברכה</v>
      </c>
    </row>
    <row r="1714" spans="1:6" x14ac:dyDescent="0.2">
      <c r="A1714" t="s">
        <v>3630</v>
      </c>
      <c r="B1714" t="s">
        <v>1340</v>
      </c>
      <c r="C1714" t="s">
        <v>68</v>
      </c>
      <c r="D1714" t="s">
        <v>1156</v>
      </c>
      <c r="E1714" t="s">
        <v>579</v>
      </c>
      <c r="F1714" s="2" t="str">
        <f>HYPERLINK("http://www.otzar.org/book.asp?612413","אור הגאולה")</f>
        <v>אור הגאולה</v>
      </c>
    </row>
    <row r="1715" spans="1:6" x14ac:dyDescent="0.2">
      <c r="A1715" t="s">
        <v>3631</v>
      </c>
      <c r="B1715" t="s">
        <v>3632</v>
      </c>
      <c r="C1715" t="s">
        <v>124</v>
      </c>
      <c r="D1715" t="s">
        <v>14</v>
      </c>
      <c r="E1715" t="s">
        <v>140</v>
      </c>
      <c r="F1715" s="2" t="str">
        <f>HYPERLINK("http://www.otzar.org/book.asp?619114","אור הגליל - ג (לא הופיעו חלקים נוספים)")</f>
        <v>אור הגליל - ג (לא הופיעו חלקים נוספים)</v>
      </c>
    </row>
    <row r="1716" spans="1:6" x14ac:dyDescent="0.2">
      <c r="A1716" t="s">
        <v>3633</v>
      </c>
      <c r="B1716" t="s">
        <v>3634</v>
      </c>
      <c r="C1716" t="s">
        <v>3635</v>
      </c>
      <c r="D1716" t="s">
        <v>3636</v>
      </c>
      <c r="F1716" s="2" t="str">
        <f>HYPERLINK("http://www.otzar.org/book.asp?625629","אור הגנוז לצדיקים &lt;מהדורה ראשונה&gt;")</f>
        <v>אור הגנוז לצדיקים &lt;מהדורה ראשונה&gt;</v>
      </c>
    </row>
    <row r="1717" spans="1:6" x14ac:dyDescent="0.2">
      <c r="A1717" t="s">
        <v>3637</v>
      </c>
      <c r="B1717" t="s">
        <v>3634</v>
      </c>
      <c r="C1717" t="s">
        <v>395</v>
      </c>
      <c r="D1717" t="s">
        <v>283</v>
      </c>
      <c r="E1717" t="s">
        <v>3638</v>
      </c>
      <c r="F1717" s="2" t="str">
        <f>HYPERLINK("http://www.otzar.org/book.asp?15821","אור הגנוז לצדיקים - 3 כר'")</f>
        <v>אור הגנוז לצדיקים - 3 כר'</v>
      </c>
    </row>
    <row r="1718" spans="1:6" x14ac:dyDescent="0.2">
      <c r="A1718" t="s">
        <v>3639</v>
      </c>
      <c r="B1718" t="s">
        <v>3640</v>
      </c>
      <c r="C1718" t="s">
        <v>3641</v>
      </c>
      <c r="D1718" t="s">
        <v>3642</v>
      </c>
      <c r="E1718" t="s">
        <v>933</v>
      </c>
      <c r="F1718" s="2" t="str">
        <f>HYPERLINK("http://www.otzar.org/book.asp?100373","אור הגנוז - 2 כר'")</f>
        <v>אור הגנוז - 2 כר'</v>
      </c>
    </row>
    <row r="1719" spans="1:6" x14ac:dyDescent="0.2">
      <c r="A1719" t="s">
        <v>3643</v>
      </c>
      <c r="B1719" t="s">
        <v>3644</v>
      </c>
      <c r="C1719" t="s">
        <v>114</v>
      </c>
      <c r="D1719" t="s">
        <v>14</v>
      </c>
      <c r="E1719" t="s">
        <v>3055</v>
      </c>
      <c r="F1719" s="2" t="str">
        <f>HYPERLINK("http://www.otzar.org/book.asp?159362","אור הגנוז - חנוכה")</f>
        <v>אור הגנוז - חנוכה</v>
      </c>
    </row>
    <row r="1720" spans="1:6" x14ac:dyDescent="0.2">
      <c r="A1720" t="s">
        <v>3645</v>
      </c>
      <c r="B1720" t="s">
        <v>3646</v>
      </c>
      <c r="C1720" t="s">
        <v>553</v>
      </c>
      <c r="D1720" t="s">
        <v>21</v>
      </c>
      <c r="E1720" t="s">
        <v>1174</v>
      </c>
      <c r="F1720" s="2" t="str">
        <f>HYPERLINK("http://www.otzar.org/book.asp?191041","אור הגנוז - 8 כר'")</f>
        <v>אור הגנוז - 8 כר'</v>
      </c>
    </row>
    <row r="1721" spans="1:6" x14ac:dyDescent="0.2">
      <c r="A1721" t="s">
        <v>3639</v>
      </c>
      <c r="B1721" t="s">
        <v>3647</v>
      </c>
      <c r="C1721" t="s">
        <v>550</v>
      </c>
      <c r="D1721" t="s">
        <v>267</v>
      </c>
      <c r="E1721" t="s">
        <v>158</v>
      </c>
      <c r="F1721" s="2" t="str">
        <f>HYPERLINK("http://www.otzar.org/book.asp?7177","אור הגנוז - 2 כר'")</f>
        <v>אור הגנוז - 2 כר'</v>
      </c>
    </row>
    <row r="1722" spans="1:6" x14ac:dyDescent="0.2">
      <c r="A1722" t="s">
        <v>3467</v>
      </c>
      <c r="B1722" t="s">
        <v>3648</v>
      </c>
      <c r="C1722" t="s">
        <v>422</v>
      </c>
      <c r="D1722" t="s">
        <v>52</v>
      </c>
      <c r="E1722" t="s">
        <v>104</v>
      </c>
      <c r="F1722" s="2" t="str">
        <f>HYPERLINK("http://www.otzar.org/book.asp?148881","אור הגנוז")</f>
        <v>אור הגנוז</v>
      </c>
    </row>
    <row r="1723" spans="1:6" x14ac:dyDescent="0.2">
      <c r="A1723" t="s">
        <v>3649</v>
      </c>
      <c r="B1723" t="s">
        <v>489</v>
      </c>
      <c r="C1723" t="s">
        <v>553</v>
      </c>
      <c r="D1723" t="s">
        <v>1076</v>
      </c>
      <c r="F1723" s="2" t="str">
        <f>HYPERLINK("http://www.otzar.org/book.asp?159994","אור הגנוז - 9 כר'")</f>
        <v>אור הגנוז - 9 כר'</v>
      </c>
    </row>
    <row r="1724" spans="1:6" x14ac:dyDescent="0.2">
      <c r="A1724" t="s">
        <v>3467</v>
      </c>
      <c r="B1724" t="s">
        <v>2396</v>
      </c>
      <c r="C1724" t="s">
        <v>20</v>
      </c>
      <c r="D1724" t="s">
        <v>1076</v>
      </c>
      <c r="E1724" t="s">
        <v>246</v>
      </c>
      <c r="F1724" s="2" t="str">
        <f>HYPERLINK("http://www.otzar.org/book.asp?169003","אור הגנוז")</f>
        <v>אור הגנוז</v>
      </c>
    </row>
    <row r="1725" spans="1:6" x14ac:dyDescent="0.2">
      <c r="A1725" t="s">
        <v>3650</v>
      </c>
      <c r="B1725" t="s">
        <v>3651</v>
      </c>
      <c r="C1725" t="s">
        <v>20</v>
      </c>
      <c r="D1725" t="s">
        <v>14</v>
      </c>
      <c r="E1725" t="s">
        <v>144</v>
      </c>
      <c r="F1725" s="2" t="str">
        <f>HYPERLINK("http://www.otzar.org/book.asp?180465","אור הגנוז - יבמות, עסקי משפחות, דברי אברהם")</f>
        <v>אור הגנוז - יבמות, עסקי משפחות, דברי אברהם</v>
      </c>
    </row>
    <row r="1726" spans="1:6" x14ac:dyDescent="0.2">
      <c r="A1726" t="s">
        <v>3467</v>
      </c>
      <c r="B1726" t="s">
        <v>3652</v>
      </c>
      <c r="C1726" t="s">
        <v>624</v>
      </c>
      <c r="D1726" t="s">
        <v>14</v>
      </c>
      <c r="E1726" t="s">
        <v>2075</v>
      </c>
      <c r="F1726" s="2" t="str">
        <f>HYPERLINK("http://www.otzar.org/book.asp?50157","אור הגנוז")</f>
        <v>אור הגנוז</v>
      </c>
    </row>
    <row r="1727" spans="1:6" x14ac:dyDescent="0.2">
      <c r="A1727" t="s">
        <v>3653</v>
      </c>
      <c r="B1727" t="s">
        <v>3606</v>
      </c>
      <c r="C1727" t="s">
        <v>1169</v>
      </c>
      <c r="D1727" t="s">
        <v>9</v>
      </c>
      <c r="E1727" t="s">
        <v>3654</v>
      </c>
      <c r="F1727" s="2" t="str">
        <f>HYPERLINK("http://www.otzar.org/book.asp?51758","אור הדעה")</f>
        <v>אור הדעה</v>
      </c>
    </row>
    <row r="1728" spans="1:6" x14ac:dyDescent="0.2">
      <c r="A1728" t="s">
        <v>3655</v>
      </c>
      <c r="B1728" t="s">
        <v>1681</v>
      </c>
      <c r="C1728" t="s">
        <v>13</v>
      </c>
      <c r="D1728" t="s">
        <v>52</v>
      </c>
      <c r="E1728" t="s">
        <v>230</v>
      </c>
      <c r="F1728" s="2" t="str">
        <f>HYPERLINK("http://www.otzar.org/book.asp?610694","אור הדעת - 2 כר'")</f>
        <v>אור הדעת - 2 כר'</v>
      </c>
    </row>
    <row r="1729" spans="1:6" x14ac:dyDescent="0.2">
      <c r="A1729" t="s">
        <v>3656</v>
      </c>
      <c r="B1729" t="s">
        <v>1791</v>
      </c>
      <c r="C1729" t="s">
        <v>51</v>
      </c>
      <c r="D1729" t="s">
        <v>14</v>
      </c>
      <c r="E1729" t="s">
        <v>1391</v>
      </c>
      <c r="F1729" s="2" t="str">
        <f>HYPERLINK("http://www.otzar.org/book.asp?106019","אור הדעת")</f>
        <v>אור הדעת</v>
      </c>
    </row>
    <row r="1730" spans="1:6" x14ac:dyDescent="0.2">
      <c r="A1730" t="s">
        <v>3657</v>
      </c>
      <c r="B1730" t="s">
        <v>3658</v>
      </c>
      <c r="C1730" t="s">
        <v>366</v>
      </c>
      <c r="D1730" t="s">
        <v>14</v>
      </c>
      <c r="F1730" s="2" t="str">
        <f>HYPERLINK("http://www.otzar.org/book.asp?611098","אור ההלכה - 5 כר'")</f>
        <v>אור ההלכה - 5 כר'</v>
      </c>
    </row>
    <row r="1731" spans="1:6" x14ac:dyDescent="0.2">
      <c r="A1731" t="s">
        <v>3659</v>
      </c>
      <c r="B1731" t="s">
        <v>3660</v>
      </c>
      <c r="C1731" t="s">
        <v>103</v>
      </c>
      <c r="D1731" t="s">
        <v>367</v>
      </c>
      <c r="E1731" t="s">
        <v>15</v>
      </c>
      <c r="F1731" s="2" t="str">
        <f>HYPERLINK("http://www.otzar.org/book.asp?143105","אור ההלכה - 2 כר'")</f>
        <v>אור ההלכה - 2 כר'</v>
      </c>
    </row>
    <row r="1732" spans="1:6" x14ac:dyDescent="0.2">
      <c r="A1732" t="s">
        <v>3659</v>
      </c>
      <c r="B1732" t="s">
        <v>3445</v>
      </c>
      <c r="C1732" t="s">
        <v>17</v>
      </c>
      <c r="D1732" t="s">
        <v>52</v>
      </c>
      <c r="E1732" t="s">
        <v>837</v>
      </c>
      <c r="F1732" s="2" t="str">
        <f>HYPERLINK("http://www.otzar.org/book.asp?107434","אור ההלכה - 2 כר'")</f>
        <v>אור ההלכה - 2 כר'</v>
      </c>
    </row>
    <row r="1733" spans="1:6" x14ac:dyDescent="0.2">
      <c r="A1733" t="s">
        <v>3661</v>
      </c>
      <c r="B1733" t="s">
        <v>3662</v>
      </c>
      <c r="C1733" t="s">
        <v>411</v>
      </c>
      <c r="D1733" t="s">
        <v>14</v>
      </c>
      <c r="E1733" t="s">
        <v>172</v>
      </c>
      <c r="F1733" s="2" t="str">
        <f>HYPERLINK("http://www.otzar.org/book.asp?169493","אור ההלכה")</f>
        <v>אור ההלכה</v>
      </c>
    </row>
    <row r="1734" spans="1:6" x14ac:dyDescent="0.2">
      <c r="A1734" t="s">
        <v>3661</v>
      </c>
      <c r="B1734" t="s">
        <v>3663</v>
      </c>
      <c r="C1734" t="s">
        <v>13</v>
      </c>
      <c r="D1734" t="s">
        <v>2285</v>
      </c>
      <c r="E1734" t="s">
        <v>15</v>
      </c>
      <c r="F1734" s="2" t="str">
        <f>HYPERLINK("http://www.otzar.org/book.asp?156717","אור ההלכה")</f>
        <v>אור ההלכה</v>
      </c>
    </row>
    <row r="1735" spans="1:6" x14ac:dyDescent="0.2">
      <c r="A1735" t="s">
        <v>3664</v>
      </c>
      <c r="B1735" t="s">
        <v>1750</v>
      </c>
      <c r="C1735" t="s">
        <v>767</v>
      </c>
      <c r="D1735" t="s">
        <v>14</v>
      </c>
      <c r="E1735" t="s">
        <v>3665</v>
      </c>
      <c r="F1735" s="2" t="str">
        <f>HYPERLINK("http://www.otzar.org/book.asp?22954","אור ההר - 2 כר'")</f>
        <v>אור ההר - 2 כר'</v>
      </c>
    </row>
    <row r="1736" spans="1:6" x14ac:dyDescent="0.2">
      <c r="A1736" t="s">
        <v>3666</v>
      </c>
      <c r="B1736" t="s">
        <v>3666</v>
      </c>
      <c r="C1736" t="s">
        <v>68</v>
      </c>
      <c r="D1736" t="s">
        <v>367</v>
      </c>
      <c r="E1736" t="s">
        <v>399</v>
      </c>
      <c r="F1736" s="2" t="str">
        <f>HYPERLINK("http://www.otzar.org/book.asp?161127","אור הזוהר")</f>
        <v>אור הזוהר</v>
      </c>
    </row>
    <row r="1737" spans="1:6" x14ac:dyDescent="0.2">
      <c r="A1737" t="s">
        <v>3667</v>
      </c>
      <c r="B1737" t="s">
        <v>3606</v>
      </c>
      <c r="C1737" t="s">
        <v>1246</v>
      </c>
      <c r="D1737" t="s">
        <v>9</v>
      </c>
      <c r="E1737" t="s">
        <v>467</v>
      </c>
      <c r="F1737" s="2" t="str">
        <f>HYPERLINK("http://www.otzar.org/book.asp?51757","אור החגים")</f>
        <v>אור החגים</v>
      </c>
    </row>
    <row r="1738" spans="1:6" x14ac:dyDescent="0.2">
      <c r="A1738" t="s">
        <v>3668</v>
      </c>
      <c r="B1738" t="s">
        <v>3669</v>
      </c>
      <c r="C1738" t="s">
        <v>20</v>
      </c>
      <c r="D1738" t="s">
        <v>90</v>
      </c>
      <c r="E1738" t="s">
        <v>172</v>
      </c>
      <c r="F1738" s="2" t="str">
        <f>HYPERLINK("http://www.otzar.org/book.asp?628086","אור החושן - 3 כר'")</f>
        <v>אור החושן - 3 כר'</v>
      </c>
    </row>
    <row r="1739" spans="1:6" x14ac:dyDescent="0.2">
      <c r="A1739" t="s">
        <v>3670</v>
      </c>
      <c r="B1739" t="s">
        <v>3671</v>
      </c>
      <c r="C1739" t="s">
        <v>585</v>
      </c>
      <c r="D1739" t="s">
        <v>14</v>
      </c>
      <c r="E1739" t="s">
        <v>158</v>
      </c>
      <c r="F1739" s="2" t="str">
        <f>HYPERLINK("http://www.otzar.org/book.asp?154191","אור החיים &lt;לקט בהיר, אור בהיר&gt; - 5 כר'")</f>
        <v>אור החיים &lt;לקט בהיר, אור בהיר&gt; - 5 כר'</v>
      </c>
    </row>
    <row r="1740" spans="1:6" x14ac:dyDescent="0.2">
      <c r="A1740" t="s">
        <v>3672</v>
      </c>
      <c r="B1740" t="s">
        <v>3673</v>
      </c>
      <c r="C1740" t="s">
        <v>244</v>
      </c>
      <c r="D1740" t="s">
        <v>14</v>
      </c>
      <c r="E1740" t="s">
        <v>213</v>
      </c>
      <c r="F1740" s="2" t="str">
        <f>HYPERLINK("http://www.otzar.org/book.asp?197504","אור החיים &lt;מהדורה חדשה&gt;")</f>
        <v>אור החיים &lt;מהדורה חדשה&gt;</v>
      </c>
    </row>
    <row r="1741" spans="1:6" x14ac:dyDescent="0.2">
      <c r="A1741" t="s">
        <v>3674</v>
      </c>
      <c r="B1741" t="s">
        <v>3675</v>
      </c>
      <c r="C1741" t="s">
        <v>411</v>
      </c>
      <c r="D1741" t="s">
        <v>14</v>
      </c>
      <c r="E1741" t="s">
        <v>104</v>
      </c>
      <c r="F1741" s="2" t="str">
        <f>HYPERLINK("http://www.otzar.org/book.asp?172762","אור החיים (ע""פ אלפא ביתא)")</f>
        <v>אור החיים (ע"פ אלפא ביתא)</v>
      </c>
    </row>
    <row r="1742" spans="1:6" x14ac:dyDescent="0.2">
      <c r="A1742" t="s">
        <v>3676</v>
      </c>
      <c r="B1742" t="s">
        <v>206</v>
      </c>
      <c r="C1742" t="s">
        <v>411</v>
      </c>
      <c r="D1742" t="s">
        <v>2531</v>
      </c>
      <c r="E1742" t="s">
        <v>158</v>
      </c>
      <c r="F1742" s="2" t="str">
        <f>HYPERLINK("http://www.otzar.org/book.asp?168598","אור החיים הקדוש")</f>
        <v>אור החיים הקדוש</v>
      </c>
    </row>
    <row r="1743" spans="1:6" x14ac:dyDescent="0.2">
      <c r="A1743" t="s">
        <v>3677</v>
      </c>
      <c r="B1743" t="s">
        <v>3678</v>
      </c>
      <c r="C1743" t="s">
        <v>51</v>
      </c>
      <c r="D1743" t="s">
        <v>14</v>
      </c>
      <c r="E1743" t="s">
        <v>3679</v>
      </c>
      <c r="F1743" s="2" t="str">
        <f>HYPERLINK("http://www.otzar.org/book.asp?180220","אור החיים ונצח ישראל")</f>
        <v>אור החיים ונצח ישראל</v>
      </c>
    </row>
    <row r="1744" spans="1:6" x14ac:dyDescent="0.2">
      <c r="A1744" t="s">
        <v>3680</v>
      </c>
      <c r="B1744" t="s">
        <v>3681</v>
      </c>
      <c r="C1744" t="s">
        <v>411</v>
      </c>
      <c r="D1744" t="s">
        <v>367</v>
      </c>
      <c r="E1744" t="s">
        <v>213</v>
      </c>
      <c r="F1744" s="2" t="str">
        <f>HYPERLINK("http://www.otzar.org/book.asp?192899","אור החיים ע""ס אלפא ביתא &lt;אורחות חיים&gt;")</f>
        <v>אור החיים ע"ס אלפא ביתא &lt;אורחות חיים&gt;</v>
      </c>
    </row>
    <row r="1745" spans="1:6" x14ac:dyDescent="0.2">
      <c r="A1745" t="s">
        <v>3682</v>
      </c>
      <c r="B1745" t="s">
        <v>1340</v>
      </c>
      <c r="C1745" t="s">
        <v>129</v>
      </c>
      <c r="D1745" t="s">
        <v>14</v>
      </c>
      <c r="E1745" t="s">
        <v>246</v>
      </c>
      <c r="F1745" s="2" t="str">
        <f>HYPERLINK("http://www.otzar.org/book.asp?159684","אור החיים על שבת קודש")</f>
        <v>אור החיים על שבת קודש</v>
      </c>
    </row>
    <row r="1746" spans="1:6" x14ac:dyDescent="0.2">
      <c r="A1746" t="s">
        <v>3683</v>
      </c>
      <c r="B1746" t="s">
        <v>3684</v>
      </c>
      <c r="C1746" t="s">
        <v>422</v>
      </c>
      <c r="D1746" t="s">
        <v>52</v>
      </c>
      <c r="E1746" t="s">
        <v>158</v>
      </c>
      <c r="F1746" s="2" t="str">
        <f>HYPERLINK("http://www.otzar.org/book.asp?155849","אור החיים עם ביאור אור יקר - 5 כר'")</f>
        <v>אור החיים עם ביאור אור יקר - 5 כר'</v>
      </c>
    </row>
    <row r="1747" spans="1:6" x14ac:dyDescent="0.2">
      <c r="A1747" t="s">
        <v>3685</v>
      </c>
      <c r="B1747" t="s">
        <v>1340</v>
      </c>
      <c r="C1747" t="s">
        <v>1937</v>
      </c>
      <c r="D1747" t="s">
        <v>60</v>
      </c>
      <c r="E1747" t="s">
        <v>158</v>
      </c>
      <c r="F1747" s="2" t="str">
        <f>HYPERLINK("http://www.otzar.org/book.asp?103110","אור החיים - 8 כר'")</f>
        <v>אור החיים - 8 כר'</v>
      </c>
    </row>
    <row r="1748" spans="1:6" x14ac:dyDescent="0.2">
      <c r="A1748" t="s">
        <v>3686</v>
      </c>
      <c r="B1748" t="s">
        <v>3687</v>
      </c>
      <c r="C1748" t="s">
        <v>1418</v>
      </c>
      <c r="D1748" t="s">
        <v>56</v>
      </c>
      <c r="E1748" t="s">
        <v>579</v>
      </c>
      <c r="F1748" s="2" t="str">
        <f>HYPERLINK("http://www.otzar.org/book.asp?16899","אור החיים")</f>
        <v>אור החיים</v>
      </c>
    </row>
    <row r="1749" spans="1:6" x14ac:dyDescent="0.2">
      <c r="A1749" t="s">
        <v>3688</v>
      </c>
      <c r="B1749" t="s">
        <v>3673</v>
      </c>
      <c r="C1749" t="s">
        <v>2076</v>
      </c>
      <c r="D1749" t="s">
        <v>855</v>
      </c>
      <c r="E1749" t="s">
        <v>213</v>
      </c>
      <c r="F1749" s="2" t="str">
        <f>HYPERLINK("http://www.otzar.org/book.asp?15703","אור החיים - 3 כר'")</f>
        <v>אור החיים - 3 כר'</v>
      </c>
    </row>
    <row r="1750" spans="1:6" x14ac:dyDescent="0.2">
      <c r="A1750" t="s">
        <v>3686</v>
      </c>
      <c r="B1750" t="s">
        <v>3689</v>
      </c>
      <c r="C1750" t="s">
        <v>3690</v>
      </c>
      <c r="D1750" t="s">
        <v>322</v>
      </c>
      <c r="E1750" t="s">
        <v>733</v>
      </c>
      <c r="F1750" s="2" t="str">
        <f>HYPERLINK("http://www.otzar.org/book.asp?531","אור החיים")</f>
        <v>אור החיים</v>
      </c>
    </row>
    <row r="1751" spans="1:6" x14ac:dyDescent="0.2">
      <c r="A1751" t="s">
        <v>3686</v>
      </c>
      <c r="B1751" t="s">
        <v>3691</v>
      </c>
      <c r="C1751" t="s">
        <v>2617</v>
      </c>
      <c r="D1751" t="s">
        <v>3692</v>
      </c>
      <c r="E1751" t="s">
        <v>1262</v>
      </c>
      <c r="F1751" s="2" t="str">
        <f>HYPERLINK("http://www.otzar.org/book.asp?197614","אור החיים")</f>
        <v>אור החיים</v>
      </c>
    </row>
    <row r="1752" spans="1:6" x14ac:dyDescent="0.2">
      <c r="A1752" t="s">
        <v>3693</v>
      </c>
      <c r="B1752" t="s">
        <v>3694</v>
      </c>
      <c r="C1752" t="s">
        <v>3695</v>
      </c>
      <c r="D1752" t="s">
        <v>3696</v>
      </c>
      <c r="E1752" t="s">
        <v>1847</v>
      </c>
      <c r="F1752" s="2" t="str">
        <f>HYPERLINK("http://www.otzar.org/book.asp?104424","אור החכמה &lt;דפו""ר&gt; - 2 כר'")</f>
        <v>אור החכמה &lt;דפו"ר&gt; - 2 כר'</v>
      </c>
    </row>
    <row r="1753" spans="1:6" x14ac:dyDescent="0.2">
      <c r="A1753" t="s">
        <v>3697</v>
      </c>
      <c r="B1753" t="s">
        <v>3694</v>
      </c>
      <c r="C1753" t="s">
        <v>244</v>
      </c>
      <c r="D1753" t="s">
        <v>14</v>
      </c>
      <c r="E1753" t="s">
        <v>158</v>
      </c>
      <c r="F1753" s="2" t="str">
        <f>HYPERLINK("http://www.otzar.org/book.asp?603896","אור החכמה &lt;מהדורה חדשה&gt; - 2 כר'")</f>
        <v>אור החכמה &lt;מהדורה חדשה&gt; - 2 כר'</v>
      </c>
    </row>
    <row r="1754" spans="1:6" x14ac:dyDescent="0.2">
      <c r="A1754" t="s">
        <v>3698</v>
      </c>
      <c r="B1754" t="s">
        <v>3694</v>
      </c>
      <c r="C1754" t="s">
        <v>989</v>
      </c>
      <c r="D1754" t="s">
        <v>14</v>
      </c>
      <c r="E1754" t="s">
        <v>474</v>
      </c>
      <c r="F1754" s="2" t="str">
        <f>HYPERLINK("http://www.otzar.org/book.asp?300642","אור החכמה - 2 כר'")</f>
        <v>אור החכמה - 2 כר'</v>
      </c>
    </row>
    <row r="1755" spans="1:6" x14ac:dyDescent="0.2">
      <c r="A1755" t="s">
        <v>3699</v>
      </c>
      <c r="B1755" t="s">
        <v>3700</v>
      </c>
      <c r="C1755" t="s">
        <v>23</v>
      </c>
      <c r="D1755" t="s">
        <v>14</v>
      </c>
      <c r="E1755" t="s">
        <v>84</v>
      </c>
      <c r="F1755" s="2" t="str">
        <f>HYPERLINK("http://www.otzar.org/book.asp?198100","אור החלה")</f>
        <v>אור החלה</v>
      </c>
    </row>
    <row r="1756" spans="1:6" x14ac:dyDescent="0.2">
      <c r="A1756" t="s">
        <v>3701</v>
      </c>
      <c r="B1756" t="s">
        <v>3702</v>
      </c>
      <c r="C1756" t="s">
        <v>68</v>
      </c>
      <c r="D1756" t="s">
        <v>14</v>
      </c>
      <c r="E1756" t="s">
        <v>674</v>
      </c>
      <c r="F1756" s="2" t="str">
        <f>HYPERLINK("http://www.otzar.org/book.asp?162945","אור החמה  על משנה ברורה - 2 כר'")</f>
        <v>אור החמה  על משנה ברורה - 2 כר'</v>
      </c>
    </row>
    <row r="1757" spans="1:6" x14ac:dyDescent="0.2">
      <c r="A1757" t="s">
        <v>3703</v>
      </c>
      <c r="B1757" t="s">
        <v>3704</v>
      </c>
      <c r="C1757" t="s">
        <v>1570</v>
      </c>
      <c r="D1757" t="s">
        <v>14</v>
      </c>
      <c r="E1757" t="s">
        <v>158</v>
      </c>
      <c r="F1757" s="2" t="str">
        <f>HYPERLINK("http://www.otzar.org/book.asp?107315","אור החמה &lt;ספר תהלים&gt;")</f>
        <v>אור החמה &lt;ספר תהלים&gt;</v>
      </c>
    </row>
    <row r="1758" spans="1:6" x14ac:dyDescent="0.2">
      <c r="A1758" t="s">
        <v>3705</v>
      </c>
      <c r="B1758" t="s">
        <v>3704</v>
      </c>
      <c r="C1758" t="s">
        <v>454</v>
      </c>
      <c r="D1758" t="s">
        <v>14</v>
      </c>
      <c r="E1758" t="s">
        <v>144</v>
      </c>
      <c r="F1758" s="2" t="str">
        <f>HYPERLINK("http://www.otzar.org/book.asp?107065","אור החמה &lt;על הש""ס&gt; - 10 כר'")</f>
        <v>אור החמה &lt;על הש"ס&gt; - 10 כר'</v>
      </c>
    </row>
    <row r="1759" spans="1:6" x14ac:dyDescent="0.2">
      <c r="A1759" t="s">
        <v>3706</v>
      </c>
      <c r="B1759" t="s">
        <v>3704</v>
      </c>
      <c r="C1759" t="s">
        <v>454</v>
      </c>
      <c r="D1759" t="s">
        <v>14</v>
      </c>
      <c r="E1759" t="s">
        <v>158</v>
      </c>
      <c r="F1759" s="2" t="str">
        <f>HYPERLINK("http://www.otzar.org/book.asp?107071","אור החמה &lt;על התורה&gt; - 5 כר'")</f>
        <v>אור החמה &lt;על התורה&gt; - 5 כר'</v>
      </c>
    </row>
    <row r="1760" spans="1:6" x14ac:dyDescent="0.2">
      <c r="A1760" t="s">
        <v>3707</v>
      </c>
      <c r="B1760" t="s">
        <v>3704</v>
      </c>
      <c r="C1760" t="s">
        <v>454</v>
      </c>
      <c r="D1760" t="s">
        <v>14</v>
      </c>
      <c r="E1760" t="s">
        <v>172</v>
      </c>
      <c r="F1760" s="2" t="str">
        <f>HYPERLINK("http://www.otzar.org/book.asp?107062","אור החמה &lt;על שלחן ערוך&gt; - או""ח, ליקוטים מיו""ד")</f>
        <v>אור החמה &lt;על שלחן ערוך&gt; - או"ח, ליקוטים מיו"ד</v>
      </c>
    </row>
    <row r="1761" spans="1:6" x14ac:dyDescent="0.2">
      <c r="A1761" t="s">
        <v>3708</v>
      </c>
      <c r="B1761" t="s">
        <v>1895</v>
      </c>
      <c r="C1761" t="s">
        <v>3709</v>
      </c>
      <c r="D1761" t="s">
        <v>76</v>
      </c>
      <c r="E1761" t="s">
        <v>399</v>
      </c>
      <c r="F1761" s="2" t="str">
        <f>HYPERLINK("http://www.otzar.org/book.asp?53278","אור החמה - 7 כר'")</f>
        <v>אור החמה - 7 כר'</v>
      </c>
    </row>
    <row r="1762" spans="1:6" x14ac:dyDescent="0.2">
      <c r="A1762" t="s">
        <v>3710</v>
      </c>
      <c r="B1762" t="s">
        <v>3711</v>
      </c>
      <c r="C1762" t="s">
        <v>581</v>
      </c>
      <c r="D1762" t="s">
        <v>855</v>
      </c>
      <c r="E1762" t="s">
        <v>219</v>
      </c>
      <c r="F1762" s="2" t="str">
        <f>HYPERLINK("http://www.otzar.org/book.asp?300168","אור החמה")</f>
        <v>אור החמה</v>
      </c>
    </row>
    <row r="1763" spans="1:6" x14ac:dyDescent="0.2">
      <c r="A1763" t="s">
        <v>3712</v>
      </c>
      <c r="B1763" t="s">
        <v>3713</v>
      </c>
      <c r="C1763" t="s">
        <v>176</v>
      </c>
      <c r="D1763" t="s">
        <v>52</v>
      </c>
      <c r="E1763" t="s">
        <v>158</v>
      </c>
      <c r="F1763" s="2" t="str">
        <f>HYPERLINK("http://www.otzar.org/book.asp?85241","אור החמה - 6 כר'")</f>
        <v>אור החמה - 6 כר'</v>
      </c>
    </row>
    <row r="1764" spans="1:6" x14ac:dyDescent="0.2">
      <c r="A1764" t="s">
        <v>3714</v>
      </c>
      <c r="B1764" t="s">
        <v>3704</v>
      </c>
      <c r="C1764" t="s">
        <v>1268</v>
      </c>
      <c r="D1764" t="s">
        <v>14</v>
      </c>
      <c r="E1764" t="s">
        <v>158</v>
      </c>
      <c r="F1764" s="2" t="str">
        <f>HYPERLINK("http://www.otzar.org/book.asp?7188","אור החמה - רש""י על התורה")</f>
        <v>אור החמה - רש"י על התורה</v>
      </c>
    </row>
    <row r="1765" spans="1:6" x14ac:dyDescent="0.2">
      <c r="A1765" t="s">
        <v>3715</v>
      </c>
      <c r="B1765" t="s">
        <v>3716</v>
      </c>
      <c r="C1765" t="s">
        <v>168</v>
      </c>
      <c r="D1765" t="s">
        <v>14</v>
      </c>
      <c r="E1765" t="s">
        <v>140</v>
      </c>
      <c r="F1765" s="2" t="str">
        <f>HYPERLINK("http://www.otzar.org/book.asp?150190","אור החסידות")</f>
        <v>אור החסידות</v>
      </c>
    </row>
    <row r="1766" spans="1:6" x14ac:dyDescent="0.2">
      <c r="A1766" t="s">
        <v>3717</v>
      </c>
      <c r="B1766" t="s">
        <v>3718</v>
      </c>
      <c r="C1766" t="s">
        <v>129</v>
      </c>
      <c r="D1766" t="s">
        <v>52</v>
      </c>
      <c r="E1766" t="s">
        <v>2091</v>
      </c>
      <c r="F1766" s="2" t="str">
        <f>HYPERLINK("http://www.otzar.org/book.asp?156937","אור הטהרה")</f>
        <v>אור הטהרה</v>
      </c>
    </row>
    <row r="1767" spans="1:6" x14ac:dyDescent="0.2">
      <c r="A1767" t="s">
        <v>3719</v>
      </c>
      <c r="B1767" t="s">
        <v>3720</v>
      </c>
      <c r="C1767" t="s">
        <v>14</v>
      </c>
      <c r="D1767" t="s">
        <v>313</v>
      </c>
      <c r="E1767" t="s">
        <v>230</v>
      </c>
      <c r="F1767" s="2" t="str">
        <f>HYPERLINK("http://www.otzar.org/book.asp?612042","אור היהדות")</f>
        <v>אור היהדות</v>
      </c>
    </row>
    <row r="1768" spans="1:6" x14ac:dyDescent="0.2">
      <c r="A1768" t="s">
        <v>3721</v>
      </c>
      <c r="B1768" t="s">
        <v>3722</v>
      </c>
      <c r="C1768" t="s">
        <v>547</v>
      </c>
      <c r="D1768" t="s">
        <v>610</v>
      </c>
      <c r="E1768" t="s">
        <v>158</v>
      </c>
      <c r="F1768" s="2" t="str">
        <f>HYPERLINK("http://www.otzar.org/book.asp?300173","אור היהדות - 2 כר'")</f>
        <v>אור היהדות - 2 כר'</v>
      </c>
    </row>
    <row r="1769" spans="1:6" x14ac:dyDescent="0.2">
      <c r="A1769" t="s">
        <v>3723</v>
      </c>
      <c r="B1769" t="s">
        <v>3724</v>
      </c>
      <c r="C1769" t="s">
        <v>362</v>
      </c>
      <c r="D1769" t="s">
        <v>56</v>
      </c>
      <c r="E1769" t="s">
        <v>104</v>
      </c>
      <c r="F1769" s="2" t="str">
        <f>HYPERLINK("http://www.otzar.org/book.asp?12770","אור היום")</f>
        <v>אור היום</v>
      </c>
    </row>
    <row r="1770" spans="1:6" x14ac:dyDescent="0.2">
      <c r="A1770" t="s">
        <v>3723</v>
      </c>
      <c r="B1770" t="s">
        <v>3725</v>
      </c>
      <c r="C1770" t="s">
        <v>1202</v>
      </c>
      <c r="D1770" t="s">
        <v>27</v>
      </c>
      <c r="E1770" t="s">
        <v>104</v>
      </c>
      <c r="F1770" s="2" t="str">
        <f>HYPERLINK("http://www.otzar.org/book.asp?300174","אור היום")</f>
        <v>אור היום</v>
      </c>
    </row>
    <row r="1771" spans="1:6" x14ac:dyDescent="0.2">
      <c r="A1771" t="s">
        <v>3726</v>
      </c>
      <c r="B1771" t="s">
        <v>3727</v>
      </c>
      <c r="C1771" t="s">
        <v>68</v>
      </c>
      <c r="D1771" t="s">
        <v>52</v>
      </c>
      <c r="E1771" t="s">
        <v>246</v>
      </c>
      <c r="F1771" s="2" t="str">
        <f>HYPERLINK("http://www.otzar.org/book.asp?155922","אור היקוד הם יוקדים")</f>
        <v>אור היקוד הם יוקדים</v>
      </c>
    </row>
    <row r="1772" spans="1:6" x14ac:dyDescent="0.2">
      <c r="A1772" t="s">
        <v>3728</v>
      </c>
      <c r="B1772" t="s">
        <v>3729</v>
      </c>
      <c r="C1772" t="s">
        <v>366</v>
      </c>
      <c r="D1772" t="s">
        <v>52</v>
      </c>
      <c r="F1772" s="2" t="str">
        <f>HYPERLINK("http://www.otzar.org/book.asp?611037","אור היקוד")</f>
        <v>אור היקוד</v>
      </c>
    </row>
    <row r="1773" spans="1:6" x14ac:dyDescent="0.2">
      <c r="A1773" t="s">
        <v>3730</v>
      </c>
      <c r="B1773" t="s">
        <v>3731</v>
      </c>
      <c r="C1773" t="s">
        <v>13</v>
      </c>
      <c r="D1773" t="s">
        <v>486</v>
      </c>
      <c r="E1773" t="s">
        <v>241</v>
      </c>
      <c r="F1773" s="2" t="str">
        <f>HYPERLINK("http://www.otzar.org/book.asp?168069","אור הישר ודרך סעודה &lt;מהדורה חדשה&gt;")</f>
        <v>אור הישר ודרך סעודה &lt;מהדורה חדשה&gt;</v>
      </c>
    </row>
    <row r="1774" spans="1:6" x14ac:dyDescent="0.2">
      <c r="A1774" t="s">
        <v>3732</v>
      </c>
      <c r="B1774" t="s">
        <v>3733</v>
      </c>
      <c r="C1774" t="s">
        <v>854</v>
      </c>
      <c r="D1774" t="s">
        <v>267</v>
      </c>
      <c r="E1774" t="s">
        <v>15</v>
      </c>
      <c r="F1774" s="2" t="str">
        <f>HYPERLINK("http://www.otzar.org/book.asp?200657","אור הישר - 2 כר'")</f>
        <v>אור הישר - 2 כר'</v>
      </c>
    </row>
    <row r="1775" spans="1:6" x14ac:dyDescent="0.2">
      <c r="A1775" t="s">
        <v>3734</v>
      </c>
      <c r="B1775" t="s">
        <v>3735</v>
      </c>
      <c r="C1775" t="s">
        <v>2008</v>
      </c>
      <c r="D1775" t="s">
        <v>27</v>
      </c>
      <c r="E1775" t="s">
        <v>3736</v>
      </c>
      <c r="F1775" s="2" t="str">
        <f>HYPERLINK("http://www.otzar.org/book.asp?167013","אור הישר - 20 כר'")</f>
        <v>אור הישר - 20 כר'</v>
      </c>
    </row>
    <row r="1776" spans="1:6" x14ac:dyDescent="0.2">
      <c r="A1776" t="s">
        <v>3737</v>
      </c>
      <c r="B1776" t="s">
        <v>3738</v>
      </c>
      <c r="C1776" t="s">
        <v>2076</v>
      </c>
      <c r="D1776" t="s">
        <v>535</v>
      </c>
      <c r="E1776" t="s">
        <v>463</v>
      </c>
      <c r="F1776" s="2" t="str">
        <f>HYPERLINK("http://www.otzar.org/book.asp?155745","אור הישר")</f>
        <v>אור הישר</v>
      </c>
    </row>
    <row r="1777" spans="1:6" x14ac:dyDescent="0.2">
      <c r="A1777" t="s">
        <v>3737</v>
      </c>
      <c r="B1777" t="s">
        <v>3731</v>
      </c>
      <c r="C1777" t="s">
        <v>3739</v>
      </c>
      <c r="D1777" t="s">
        <v>1023</v>
      </c>
      <c r="E1777" t="s">
        <v>241</v>
      </c>
      <c r="F1777" s="2" t="str">
        <f>HYPERLINK("http://www.otzar.org/book.asp?53279","אור הישר")</f>
        <v>אור הישר</v>
      </c>
    </row>
    <row r="1778" spans="1:6" x14ac:dyDescent="0.2">
      <c r="A1778" t="s">
        <v>3740</v>
      </c>
      <c r="B1778" t="s">
        <v>3741</v>
      </c>
      <c r="C1778" t="s">
        <v>360</v>
      </c>
      <c r="D1778" t="s">
        <v>225</v>
      </c>
      <c r="E1778" t="s">
        <v>154</v>
      </c>
      <c r="F1778" s="2" t="str">
        <f>HYPERLINK("http://www.otzar.org/book.asp?17143","אור הישרים")</f>
        <v>אור הישרים</v>
      </c>
    </row>
    <row r="1779" spans="1:6" x14ac:dyDescent="0.2">
      <c r="A1779" t="s">
        <v>3742</v>
      </c>
      <c r="B1779" t="s">
        <v>3743</v>
      </c>
      <c r="C1779" t="s">
        <v>133</v>
      </c>
      <c r="D1779" t="s">
        <v>3744</v>
      </c>
      <c r="E1779" t="s">
        <v>3745</v>
      </c>
      <c r="F1779" s="2" t="str">
        <f>HYPERLINK("http://www.otzar.org/book.asp?612391","אור הכולל - 3 כר'")</f>
        <v>אור הכולל - 3 כר'</v>
      </c>
    </row>
    <row r="1780" spans="1:6" x14ac:dyDescent="0.2">
      <c r="A1780" t="s">
        <v>3746</v>
      </c>
      <c r="B1780" t="s">
        <v>3747</v>
      </c>
      <c r="C1780" t="s">
        <v>106</v>
      </c>
      <c r="D1780" t="s">
        <v>216</v>
      </c>
      <c r="E1780" t="s">
        <v>957</v>
      </c>
      <c r="F1780" s="2" t="str">
        <f>HYPERLINK("http://www.otzar.org/book.asp?10091","אור הכתוב")</f>
        <v>אור הכתוב</v>
      </c>
    </row>
    <row r="1781" spans="1:6" x14ac:dyDescent="0.2">
      <c r="A1781" t="s">
        <v>3748</v>
      </c>
      <c r="B1781" t="s">
        <v>3749</v>
      </c>
      <c r="C1781" t="s">
        <v>422</v>
      </c>
      <c r="D1781" t="s">
        <v>3750</v>
      </c>
      <c r="E1781" t="s">
        <v>15</v>
      </c>
      <c r="F1781" s="2" t="str">
        <f>HYPERLINK("http://www.otzar.org/book.asp?601202","אור הלבנה - 2 כר'")</f>
        <v>אור הלבנה - 2 כר'</v>
      </c>
    </row>
    <row r="1782" spans="1:6" x14ac:dyDescent="0.2">
      <c r="A1782" t="s">
        <v>3751</v>
      </c>
      <c r="B1782" t="s">
        <v>3752</v>
      </c>
      <c r="C1782" t="s">
        <v>3753</v>
      </c>
      <c r="D1782" t="s">
        <v>52</v>
      </c>
      <c r="E1782" t="s">
        <v>104</v>
      </c>
      <c r="F1782" s="2" t="str">
        <f>HYPERLINK("http://www.otzar.org/book.asp?196336","אור הלבנה")</f>
        <v>אור הלבנה</v>
      </c>
    </row>
    <row r="1783" spans="1:6" x14ac:dyDescent="0.2">
      <c r="A1783" t="s">
        <v>3751</v>
      </c>
      <c r="B1783" t="s">
        <v>3754</v>
      </c>
      <c r="C1783" t="s">
        <v>946</v>
      </c>
      <c r="D1783" t="s">
        <v>27</v>
      </c>
      <c r="E1783" t="s">
        <v>3755</v>
      </c>
      <c r="F1783" s="2" t="str">
        <f>HYPERLINK("http://www.otzar.org/book.asp?6024","אור הלבנה")</f>
        <v>אור הלבנה</v>
      </c>
    </row>
    <row r="1784" spans="1:6" x14ac:dyDescent="0.2">
      <c r="A1784" t="s">
        <v>3756</v>
      </c>
      <c r="B1784" t="s">
        <v>3757</v>
      </c>
      <c r="C1784" t="s">
        <v>176</v>
      </c>
      <c r="D1784" t="s">
        <v>2798</v>
      </c>
      <c r="E1784" t="s">
        <v>202</v>
      </c>
      <c r="F1784" s="2" t="str">
        <f>HYPERLINK("http://www.otzar.org/book.asp?174112","אור המאיר &lt;מוסף אור תורה&gt;")</f>
        <v>אור המאיר &lt;מוסף אור תורה&gt;</v>
      </c>
    </row>
    <row r="1785" spans="1:6" x14ac:dyDescent="0.2">
      <c r="A1785" t="s">
        <v>3758</v>
      </c>
      <c r="B1785" t="s">
        <v>3759</v>
      </c>
      <c r="C1785" t="s">
        <v>129</v>
      </c>
      <c r="D1785" t="s">
        <v>2798</v>
      </c>
      <c r="E1785" t="s">
        <v>119</v>
      </c>
      <c r="F1785" s="2" t="str">
        <f>HYPERLINK("http://www.otzar.org/book.asp?171093","אור המאיר &lt;מהדורה חדשה&gt;")</f>
        <v>אור המאיר &lt;מהדורה חדשה&gt;</v>
      </c>
    </row>
    <row r="1786" spans="1:6" x14ac:dyDescent="0.2">
      <c r="A1786" t="s">
        <v>3758</v>
      </c>
      <c r="B1786" t="s">
        <v>3760</v>
      </c>
      <c r="C1786" t="s">
        <v>366</v>
      </c>
      <c r="D1786" t="s">
        <v>52</v>
      </c>
      <c r="E1786" t="s">
        <v>154</v>
      </c>
      <c r="F1786" s="2" t="str">
        <f>HYPERLINK("http://www.otzar.org/book.asp?610607","אור המאיר &lt;מהדורה חדשה&gt;")</f>
        <v>אור המאיר &lt;מהדורה חדשה&gt;</v>
      </c>
    </row>
    <row r="1787" spans="1:6" x14ac:dyDescent="0.2">
      <c r="A1787" t="s">
        <v>3761</v>
      </c>
      <c r="B1787" t="s">
        <v>3760</v>
      </c>
      <c r="C1787" t="s">
        <v>422</v>
      </c>
      <c r="D1787" t="s">
        <v>52</v>
      </c>
      <c r="E1787" t="s">
        <v>246</v>
      </c>
      <c r="F1787" s="2" t="str">
        <f>HYPERLINK("http://www.otzar.org/book.asp?84284","אור המאיר על הגדה של פסח")</f>
        <v>אור המאיר על הגדה של פסח</v>
      </c>
    </row>
    <row r="1788" spans="1:6" x14ac:dyDescent="0.2">
      <c r="A1788" t="s">
        <v>3762</v>
      </c>
      <c r="B1788" t="s">
        <v>3763</v>
      </c>
      <c r="C1788" t="s">
        <v>1388</v>
      </c>
      <c r="D1788" t="s">
        <v>2458</v>
      </c>
      <c r="E1788" t="s">
        <v>202</v>
      </c>
      <c r="F1788" s="2" t="str">
        <f>HYPERLINK("http://www.otzar.org/book.asp?61042","אור המאיר - שנה א")</f>
        <v>אור המאיר - שנה א</v>
      </c>
    </row>
    <row r="1789" spans="1:6" x14ac:dyDescent="0.2">
      <c r="A1789" t="s">
        <v>3764</v>
      </c>
      <c r="B1789" t="s">
        <v>3765</v>
      </c>
      <c r="C1789" t="s">
        <v>553</v>
      </c>
      <c r="D1789" t="s">
        <v>3766</v>
      </c>
      <c r="E1789" t="s">
        <v>104</v>
      </c>
      <c r="F1789" s="2" t="str">
        <f>HYPERLINK("http://www.otzar.org/book.asp?602648","אור המאיר")</f>
        <v>אור המאיר</v>
      </c>
    </row>
    <row r="1790" spans="1:6" x14ac:dyDescent="0.2">
      <c r="A1790" t="s">
        <v>3767</v>
      </c>
      <c r="B1790" t="s">
        <v>3764</v>
      </c>
      <c r="C1790" t="s">
        <v>79</v>
      </c>
      <c r="D1790" t="s">
        <v>986</v>
      </c>
      <c r="E1790" t="s">
        <v>202</v>
      </c>
      <c r="F1790" s="2" t="str">
        <f>HYPERLINK("http://www.otzar.org/book.asp?51759","אור המאיר - א ג")</f>
        <v>אור המאיר - א ג</v>
      </c>
    </row>
    <row r="1791" spans="1:6" x14ac:dyDescent="0.2">
      <c r="A1791" t="s">
        <v>3764</v>
      </c>
      <c r="B1791" t="s">
        <v>3768</v>
      </c>
      <c r="C1791" t="s">
        <v>454</v>
      </c>
      <c r="D1791" t="s">
        <v>14</v>
      </c>
      <c r="E1791" t="s">
        <v>144</v>
      </c>
      <c r="F1791" s="2" t="str">
        <f>HYPERLINK("http://www.otzar.org/book.asp?142066","אור המאיר")</f>
        <v>אור המאיר</v>
      </c>
    </row>
    <row r="1792" spans="1:6" x14ac:dyDescent="0.2">
      <c r="A1792" t="s">
        <v>3769</v>
      </c>
      <c r="B1792" t="s">
        <v>3770</v>
      </c>
      <c r="C1792" t="s">
        <v>189</v>
      </c>
      <c r="D1792" t="s">
        <v>52</v>
      </c>
      <c r="E1792" t="s">
        <v>144</v>
      </c>
      <c r="F1792" s="2" t="str">
        <f>HYPERLINK("http://www.otzar.org/book.asp?145577","אור המאיר - 8 כר'")</f>
        <v>אור המאיר - 8 כר'</v>
      </c>
    </row>
    <row r="1793" spans="1:6" x14ac:dyDescent="0.2">
      <c r="A1793" t="s">
        <v>3764</v>
      </c>
      <c r="B1793" t="s">
        <v>3771</v>
      </c>
      <c r="C1793" t="s">
        <v>454</v>
      </c>
      <c r="D1793" t="s">
        <v>14</v>
      </c>
      <c r="E1793" t="s">
        <v>957</v>
      </c>
      <c r="F1793" s="2" t="str">
        <f>HYPERLINK("http://www.otzar.org/book.asp?167631","אור המאיר")</f>
        <v>אור המאיר</v>
      </c>
    </row>
    <row r="1794" spans="1:6" x14ac:dyDescent="0.2">
      <c r="A1794" t="s">
        <v>3764</v>
      </c>
      <c r="B1794" t="s">
        <v>3772</v>
      </c>
      <c r="C1794" t="s">
        <v>20</v>
      </c>
      <c r="D1794" t="s">
        <v>52</v>
      </c>
      <c r="E1794" t="s">
        <v>3773</v>
      </c>
      <c r="F1794" s="2" t="str">
        <f>HYPERLINK("http://www.otzar.org/book.asp?8695","אור המאיר")</f>
        <v>אור המאיר</v>
      </c>
    </row>
    <row r="1795" spans="1:6" x14ac:dyDescent="0.2">
      <c r="A1795" t="s">
        <v>3764</v>
      </c>
      <c r="B1795" t="s">
        <v>3774</v>
      </c>
      <c r="C1795" t="s">
        <v>68</v>
      </c>
      <c r="D1795" t="s">
        <v>21</v>
      </c>
      <c r="E1795" t="s">
        <v>230</v>
      </c>
      <c r="F1795" s="2" t="str">
        <f>HYPERLINK("http://www.otzar.org/book.asp?196673","אור המאיר")</f>
        <v>אור המאיר</v>
      </c>
    </row>
    <row r="1796" spans="1:6" x14ac:dyDescent="0.2">
      <c r="A1796" t="s">
        <v>3775</v>
      </c>
      <c r="B1796" t="s">
        <v>3776</v>
      </c>
      <c r="C1796" t="s">
        <v>2076</v>
      </c>
      <c r="D1796" t="s">
        <v>283</v>
      </c>
      <c r="E1796" t="s">
        <v>474</v>
      </c>
      <c r="F1796" s="2" t="str">
        <f>HYPERLINK("http://www.otzar.org/book.asp?7271","אור המאיר - 2 כר'")</f>
        <v>אור המאיר - 2 כר'</v>
      </c>
    </row>
    <row r="1797" spans="1:6" x14ac:dyDescent="0.2">
      <c r="A1797" t="s">
        <v>3764</v>
      </c>
      <c r="B1797" t="s">
        <v>3777</v>
      </c>
      <c r="C1797" t="s">
        <v>777</v>
      </c>
      <c r="D1797" t="s">
        <v>27</v>
      </c>
      <c r="E1797" t="s">
        <v>733</v>
      </c>
      <c r="F1797" s="2" t="str">
        <f>HYPERLINK("http://www.otzar.org/book.asp?554","אור המאיר")</f>
        <v>אור המאיר</v>
      </c>
    </row>
    <row r="1798" spans="1:6" x14ac:dyDescent="0.2">
      <c r="A1798" t="s">
        <v>3764</v>
      </c>
      <c r="B1798" t="s">
        <v>3778</v>
      </c>
      <c r="C1798" t="s">
        <v>1388</v>
      </c>
      <c r="D1798" t="s">
        <v>2468</v>
      </c>
      <c r="E1798" t="s">
        <v>1174</v>
      </c>
      <c r="F1798" s="2" t="str">
        <f>HYPERLINK("http://www.otzar.org/book.asp?620634","אור המאיר")</f>
        <v>אור המאיר</v>
      </c>
    </row>
    <row r="1799" spans="1:6" x14ac:dyDescent="0.2">
      <c r="A1799" t="s">
        <v>3779</v>
      </c>
      <c r="B1799" t="s">
        <v>3780</v>
      </c>
      <c r="C1799" t="s">
        <v>366</v>
      </c>
      <c r="D1799" t="s">
        <v>152</v>
      </c>
      <c r="F1799" s="2" t="str">
        <f>HYPERLINK("http://www.otzar.org/book.asp?609951","אור המאיר - 3 כר'")</f>
        <v>אור המאיר - 3 כר'</v>
      </c>
    </row>
    <row r="1800" spans="1:6" x14ac:dyDescent="0.2">
      <c r="A1800" t="s">
        <v>3775</v>
      </c>
      <c r="B1800" t="s">
        <v>3781</v>
      </c>
      <c r="C1800" t="s">
        <v>20</v>
      </c>
      <c r="D1800" t="s">
        <v>14</v>
      </c>
      <c r="E1800" t="s">
        <v>202</v>
      </c>
      <c r="F1800" s="2" t="str">
        <f>HYPERLINK("http://www.otzar.org/book.asp?85343","אור המאיר - 2 כר'")</f>
        <v>אור המאיר - 2 כר'</v>
      </c>
    </row>
    <row r="1801" spans="1:6" x14ac:dyDescent="0.2">
      <c r="A1801" t="s">
        <v>3782</v>
      </c>
      <c r="B1801" t="s">
        <v>489</v>
      </c>
      <c r="C1801" t="s">
        <v>180</v>
      </c>
      <c r="D1801" t="s">
        <v>646</v>
      </c>
      <c r="E1801" t="s">
        <v>202</v>
      </c>
      <c r="F1801" s="2" t="str">
        <f>HYPERLINK("http://www.otzar.org/book.asp?181276","אור המאיר - א")</f>
        <v>אור המאיר - א</v>
      </c>
    </row>
    <row r="1802" spans="1:6" x14ac:dyDescent="0.2">
      <c r="A1802" t="s">
        <v>3783</v>
      </c>
      <c r="B1802" t="s">
        <v>1750</v>
      </c>
      <c r="C1802" t="s">
        <v>168</v>
      </c>
      <c r="D1802" t="s">
        <v>118</v>
      </c>
      <c r="E1802" t="s">
        <v>202</v>
      </c>
      <c r="F1802" s="2" t="str">
        <f>HYPERLINK("http://www.otzar.org/book.asp?6835","אור המאיר - ב")</f>
        <v>אור המאיר - ב</v>
      </c>
    </row>
    <row r="1803" spans="1:6" x14ac:dyDescent="0.2">
      <c r="A1803" t="s">
        <v>3775</v>
      </c>
      <c r="B1803" t="s">
        <v>3760</v>
      </c>
      <c r="C1803" t="s">
        <v>433</v>
      </c>
      <c r="D1803" t="s">
        <v>9</v>
      </c>
      <c r="E1803" t="s">
        <v>154</v>
      </c>
      <c r="F1803" s="2" t="str">
        <f>HYPERLINK("http://www.otzar.org/book.asp?156074","אור המאיר - 2 כר'")</f>
        <v>אור המאיר - 2 כר'</v>
      </c>
    </row>
    <row r="1804" spans="1:6" x14ac:dyDescent="0.2">
      <c r="A1804" t="s">
        <v>3784</v>
      </c>
      <c r="B1804" t="s">
        <v>3606</v>
      </c>
      <c r="C1804" t="s">
        <v>79</v>
      </c>
      <c r="D1804" t="s">
        <v>9</v>
      </c>
      <c r="E1804" t="s">
        <v>3785</v>
      </c>
      <c r="F1804" s="2" t="str">
        <f>HYPERLINK("http://www.otzar.org/book.asp?10610","אור המדות")</f>
        <v>אור המדות</v>
      </c>
    </row>
    <row r="1805" spans="1:6" x14ac:dyDescent="0.2">
      <c r="A1805" t="s">
        <v>3786</v>
      </c>
      <c r="B1805" t="s">
        <v>3599</v>
      </c>
      <c r="C1805" t="s">
        <v>23</v>
      </c>
      <c r="D1805" t="s">
        <v>14</v>
      </c>
      <c r="E1805" t="s">
        <v>43</v>
      </c>
      <c r="F1805" s="2" t="str">
        <f>HYPERLINK("http://www.otzar.org/book.asp?198342","אור המדרש")</f>
        <v>אור המדרש</v>
      </c>
    </row>
    <row r="1806" spans="1:6" x14ac:dyDescent="0.2">
      <c r="A1806" t="s">
        <v>3787</v>
      </c>
      <c r="B1806" t="s">
        <v>3788</v>
      </c>
      <c r="C1806" t="s">
        <v>3789</v>
      </c>
      <c r="D1806" t="s">
        <v>283</v>
      </c>
      <c r="E1806" t="s">
        <v>3790</v>
      </c>
      <c r="F1806" s="2" t="str">
        <f>HYPERLINK("http://www.otzar.org/book.asp?21934","אור המוסר - 9 כר'")</f>
        <v>אור המוסר - 9 כר'</v>
      </c>
    </row>
    <row r="1807" spans="1:6" x14ac:dyDescent="0.2">
      <c r="A1807" t="s">
        <v>3791</v>
      </c>
      <c r="B1807" t="s">
        <v>3792</v>
      </c>
      <c r="C1807" t="s">
        <v>1640</v>
      </c>
      <c r="D1807" t="s">
        <v>52</v>
      </c>
      <c r="F1807" s="2" t="str">
        <f>HYPERLINK("http://www.otzar.org/book.asp?612435","אור המוסר - 2 כר'")</f>
        <v>אור המוסר - 2 כר'</v>
      </c>
    </row>
    <row r="1808" spans="1:6" x14ac:dyDescent="0.2">
      <c r="A1808" t="s">
        <v>3793</v>
      </c>
      <c r="B1808" t="s">
        <v>3794</v>
      </c>
      <c r="C1808" t="s">
        <v>111</v>
      </c>
      <c r="D1808" t="s">
        <v>3750</v>
      </c>
      <c r="E1808" t="s">
        <v>246</v>
      </c>
      <c r="F1808" s="2" t="str">
        <f>HYPERLINK("http://www.otzar.org/book.asp?620108","אור המועד")</f>
        <v>אור המועד</v>
      </c>
    </row>
    <row r="1809" spans="1:6" x14ac:dyDescent="0.2">
      <c r="A1809" t="s">
        <v>3795</v>
      </c>
      <c r="B1809" t="s">
        <v>3796</v>
      </c>
      <c r="C1809" t="s">
        <v>129</v>
      </c>
      <c r="D1809" t="s">
        <v>14</v>
      </c>
      <c r="E1809" t="s">
        <v>130</v>
      </c>
      <c r="F1809" s="2" t="str">
        <f>HYPERLINK("http://www.otzar.org/book.asp?161379","אור המועדים")</f>
        <v>אור המועדים</v>
      </c>
    </row>
    <row r="1810" spans="1:6" x14ac:dyDescent="0.2">
      <c r="A1810" t="s">
        <v>3795</v>
      </c>
      <c r="B1810" t="s">
        <v>3797</v>
      </c>
      <c r="C1810" t="s">
        <v>189</v>
      </c>
      <c r="D1810" t="s">
        <v>14</v>
      </c>
      <c r="E1810" t="s">
        <v>3798</v>
      </c>
      <c r="F1810" s="2" t="str">
        <f>HYPERLINK("http://www.otzar.org/book.asp?25828","אור המועדים")</f>
        <v>אור המועדים</v>
      </c>
    </row>
    <row r="1811" spans="1:6" x14ac:dyDescent="0.2">
      <c r="A1811" t="s">
        <v>3799</v>
      </c>
      <c r="B1811" t="s">
        <v>3800</v>
      </c>
      <c r="C1811" t="s">
        <v>146</v>
      </c>
      <c r="D1811" t="s">
        <v>14</v>
      </c>
      <c r="F1811" s="2" t="str">
        <f>HYPERLINK("http://www.otzar.org/book.asp?611264","אור המועדים - פסח")</f>
        <v>אור המועדים - פסח</v>
      </c>
    </row>
    <row r="1812" spans="1:6" x14ac:dyDescent="0.2">
      <c r="A1812" t="s">
        <v>3801</v>
      </c>
      <c r="B1812" t="s">
        <v>3802</v>
      </c>
      <c r="C1812" t="s">
        <v>482</v>
      </c>
      <c r="D1812" t="s">
        <v>9</v>
      </c>
      <c r="E1812" t="s">
        <v>202</v>
      </c>
      <c r="F1812" s="2" t="str">
        <f>HYPERLINK("http://www.otzar.org/book.asp?167503","אור המזרח - 2 כר'")</f>
        <v>אור המזרח - 2 כר'</v>
      </c>
    </row>
    <row r="1813" spans="1:6" x14ac:dyDescent="0.2">
      <c r="A1813" t="s">
        <v>3803</v>
      </c>
      <c r="C1813" t="s">
        <v>366</v>
      </c>
      <c r="D1813" t="s">
        <v>367</v>
      </c>
      <c r="E1813" t="s">
        <v>399</v>
      </c>
      <c r="F1813" s="2" t="str">
        <f>HYPERLINK("http://www.otzar.org/book.asp?621293","אור המנורה")</f>
        <v>אור המנורה</v>
      </c>
    </row>
    <row r="1814" spans="1:6" x14ac:dyDescent="0.2">
      <c r="A1814" t="s">
        <v>3804</v>
      </c>
      <c r="B1814" t="s">
        <v>3805</v>
      </c>
      <c r="C1814" t="s">
        <v>1208</v>
      </c>
      <c r="D1814" t="s">
        <v>14</v>
      </c>
      <c r="E1814" t="s">
        <v>202</v>
      </c>
      <c r="F1814" s="2" t="str">
        <f>HYPERLINK("http://www.otzar.org/book.asp?148523","אור המערב - 20 כר'")</f>
        <v>אור המערב - 20 כר'</v>
      </c>
    </row>
    <row r="1815" spans="1:6" x14ac:dyDescent="0.2">
      <c r="A1815" t="s">
        <v>3806</v>
      </c>
      <c r="B1815" t="s">
        <v>3606</v>
      </c>
      <c r="C1815" t="s">
        <v>63</v>
      </c>
      <c r="D1815" t="s">
        <v>1180</v>
      </c>
      <c r="E1815" t="s">
        <v>15</v>
      </c>
      <c r="F1815" s="2" t="str">
        <f>HYPERLINK("http://www.otzar.org/book.asp?60621","אור המצות - 2 כר'")</f>
        <v>אור המצות - 2 כר'</v>
      </c>
    </row>
    <row r="1816" spans="1:6" x14ac:dyDescent="0.2">
      <c r="A1816" t="s">
        <v>3807</v>
      </c>
      <c r="B1816" t="s">
        <v>3606</v>
      </c>
      <c r="C1816" t="s">
        <v>1062</v>
      </c>
      <c r="D1816" t="s">
        <v>9</v>
      </c>
      <c r="E1816" t="s">
        <v>158</v>
      </c>
      <c r="F1816" s="2" t="str">
        <f>HYPERLINK("http://www.otzar.org/book.asp?7169","אור המקרא")</f>
        <v>אור המקרא</v>
      </c>
    </row>
    <row r="1817" spans="1:6" x14ac:dyDescent="0.2">
      <c r="A1817" t="s">
        <v>3808</v>
      </c>
      <c r="B1817" t="s">
        <v>3809</v>
      </c>
      <c r="C1817" t="s">
        <v>151</v>
      </c>
      <c r="D1817" t="s">
        <v>21</v>
      </c>
      <c r="E1817" t="s">
        <v>15</v>
      </c>
      <c r="F1817" s="2" t="str">
        <f>HYPERLINK("http://www.otzar.org/book.asp?620695","אור המשפט - 2 כר'")</f>
        <v>אור המשפט - 2 כר'</v>
      </c>
    </row>
    <row r="1818" spans="1:6" x14ac:dyDescent="0.2">
      <c r="A1818" t="s">
        <v>3810</v>
      </c>
      <c r="B1818" t="s">
        <v>3811</v>
      </c>
      <c r="C1818" t="s">
        <v>3812</v>
      </c>
      <c r="D1818" t="s">
        <v>14</v>
      </c>
      <c r="E1818" t="s">
        <v>144</v>
      </c>
      <c r="F1818" s="2" t="str">
        <f>HYPERLINK("http://www.otzar.org/book.asp?200027","אור הנעלם")</f>
        <v>אור הנעלם</v>
      </c>
    </row>
    <row r="1819" spans="1:6" x14ac:dyDescent="0.2">
      <c r="A1819" t="s">
        <v>3813</v>
      </c>
      <c r="B1819" t="s">
        <v>3814</v>
      </c>
      <c r="C1819" t="s">
        <v>23</v>
      </c>
      <c r="D1819" t="s">
        <v>412</v>
      </c>
      <c r="E1819" t="s">
        <v>803</v>
      </c>
      <c r="F1819" s="2" t="str">
        <f>HYPERLINK("http://www.otzar.org/book.asp?196151","אור הנערב &lt;מהדורה חדשה&gt; - 2 כר'")</f>
        <v>אור הנערב &lt;מהדורה חדשה&gt; - 2 כר'</v>
      </c>
    </row>
    <row r="1820" spans="1:6" x14ac:dyDescent="0.2">
      <c r="A1820" t="s">
        <v>3815</v>
      </c>
      <c r="B1820" t="s">
        <v>3814</v>
      </c>
      <c r="C1820" t="s">
        <v>3816</v>
      </c>
      <c r="D1820" t="s">
        <v>3817</v>
      </c>
      <c r="E1820" t="s">
        <v>3818</v>
      </c>
      <c r="F1820" s="2" t="str">
        <f>HYPERLINK("http://www.otzar.org/book.asp?181764","אור הנערב")</f>
        <v>אור הנערב</v>
      </c>
    </row>
    <row r="1821" spans="1:6" x14ac:dyDescent="0.2">
      <c r="A1821" t="s">
        <v>3819</v>
      </c>
      <c r="B1821" t="s">
        <v>3820</v>
      </c>
      <c r="C1821" t="s">
        <v>3821</v>
      </c>
      <c r="D1821" t="s">
        <v>9</v>
      </c>
      <c r="E1821" t="s">
        <v>158</v>
      </c>
      <c r="F1821" s="2" t="str">
        <f>HYPERLINK("http://www.otzar.org/book.asp?105859","אור הנפש - 2 כר'")</f>
        <v>אור הנפש - 2 כר'</v>
      </c>
    </row>
    <row r="1822" spans="1:6" x14ac:dyDescent="0.2">
      <c r="A1822" t="s">
        <v>3822</v>
      </c>
      <c r="B1822" t="s">
        <v>3718</v>
      </c>
      <c r="C1822" t="s">
        <v>146</v>
      </c>
      <c r="D1822" t="s">
        <v>52</v>
      </c>
      <c r="E1822" t="s">
        <v>186</v>
      </c>
      <c r="F1822" s="2" t="str">
        <f>HYPERLINK("http://www.otzar.org/book.asp?84709","אור הנר - פסחים")</f>
        <v>אור הנר - פסחים</v>
      </c>
    </row>
    <row r="1823" spans="1:6" x14ac:dyDescent="0.2">
      <c r="A1823" t="s">
        <v>3823</v>
      </c>
      <c r="B1823" t="s">
        <v>3824</v>
      </c>
      <c r="C1823" t="s">
        <v>1811</v>
      </c>
      <c r="D1823" t="s">
        <v>3825</v>
      </c>
      <c r="E1823" t="s">
        <v>144</v>
      </c>
      <c r="F1823" s="2" t="str">
        <f>HYPERLINK("http://www.otzar.org/book.asp?169227","אור הנר - 10 כר'")</f>
        <v>אור הנר - 10 כר'</v>
      </c>
    </row>
    <row r="1824" spans="1:6" x14ac:dyDescent="0.2">
      <c r="A1824" t="s">
        <v>3826</v>
      </c>
      <c r="B1824" t="s">
        <v>3827</v>
      </c>
      <c r="C1824" t="s">
        <v>17</v>
      </c>
      <c r="D1824" t="s">
        <v>657</v>
      </c>
      <c r="E1824" t="s">
        <v>803</v>
      </c>
      <c r="F1824" s="2" t="str">
        <f>HYPERLINK("http://www.otzar.org/book.asp?50282","אור הנר")</f>
        <v>אור הנר</v>
      </c>
    </row>
    <row r="1825" spans="1:6" x14ac:dyDescent="0.2">
      <c r="A1825" t="s">
        <v>3826</v>
      </c>
      <c r="B1825" t="s">
        <v>3828</v>
      </c>
      <c r="C1825" t="s">
        <v>20</v>
      </c>
      <c r="D1825" t="s">
        <v>52</v>
      </c>
      <c r="E1825" t="s">
        <v>246</v>
      </c>
      <c r="F1825" s="2" t="str">
        <f>HYPERLINK("http://www.otzar.org/book.asp?179585","אור הנר")</f>
        <v>אור הנר</v>
      </c>
    </row>
    <row r="1826" spans="1:6" x14ac:dyDescent="0.2">
      <c r="A1826" t="s">
        <v>3826</v>
      </c>
      <c r="B1826" t="s">
        <v>3829</v>
      </c>
      <c r="C1826" t="s">
        <v>71</v>
      </c>
      <c r="D1826" t="s">
        <v>14</v>
      </c>
      <c r="E1826" t="s">
        <v>674</v>
      </c>
      <c r="F1826" s="2" t="str">
        <f>HYPERLINK("http://www.otzar.org/book.asp?144029","אור הנר")</f>
        <v>אור הנר</v>
      </c>
    </row>
    <row r="1827" spans="1:6" x14ac:dyDescent="0.2">
      <c r="A1827" t="s">
        <v>3826</v>
      </c>
      <c r="B1827" t="s">
        <v>3830</v>
      </c>
      <c r="C1827" t="s">
        <v>51</v>
      </c>
      <c r="D1827" t="s">
        <v>14</v>
      </c>
      <c r="E1827" t="s">
        <v>144</v>
      </c>
      <c r="F1827" s="2" t="str">
        <f>HYPERLINK("http://www.otzar.org/book.asp?161760","אור הנר")</f>
        <v>אור הנר</v>
      </c>
    </row>
    <row r="1828" spans="1:6" x14ac:dyDescent="0.2">
      <c r="A1828" t="s">
        <v>3826</v>
      </c>
      <c r="B1828" t="s">
        <v>3831</v>
      </c>
      <c r="C1828" t="s">
        <v>189</v>
      </c>
      <c r="D1828" t="s">
        <v>90</v>
      </c>
      <c r="E1828" t="s">
        <v>144</v>
      </c>
      <c r="F1828" s="2" t="str">
        <f>HYPERLINK("http://www.otzar.org/book.asp?193116","אור הנר")</f>
        <v>אור הנר</v>
      </c>
    </row>
    <row r="1829" spans="1:6" x14ac:dyDescent="0.2">
      <c r="A1829" t="s">
        <v>3826</v>
      </c>
      <c r="B1829" t="s">
        <v>3832</v>
      </c>
      <c r="C1829" t="s">
        <v>334</v>
      </c>
      <c r="D1829" t="s">
        <v>52</v>
      </c>
      <c r="E1829" t="s">
        <v>144</v>
      </c>
      <c r="F1829" s="2" t="str">
        <f>HYPERLINK("http://www.otzar.org/book.asp?6684","אור הנר")</f>
        <v>אור הנר</v>
      </c>
    </row>
    <row r="1830" spans="1:6" x14ac:dyDescent="0.2">
      <c r="A1830" t="s">
        <v>3833</v>
      </c>
      <c r="B1830" t="s">
        <v>3834</v>
      </c>
      <c r="C1830" t="s">
        <v>20</v>
      </c>
      <c r="D1830" t="s">
        <v>14</v>
      </c>
      <c r="E1830" t="s">
        <v>246</v>
      </c>
      <c r="F1830" s="2" t="str">
        <f>HYPERLINK("http://www.otzar.org/book.asp?163405","אור הנשמה סוד השבת")</f>
        <v>אור הנשמה סוד השבת</v>
      </c>
    </row>
    <row r="1831" spans="1:6" x14ac:dyDescent="0.2">
      <c r="A1831" t="s">
        <v>3835</v>
      </c>
      <c r="B1831" t="s">
        <v>3835</v>
      </c>
      <c r="C1831" t="s">
        <v>20</v>
      </c>
      <c r="D1831" t="s">
        <v>90</v>
      </c>
      <c r="F1831" s="2" t="str">
        <f>HYPERLINK("http://www.otzar.org/book.asp?614824","אור העין")</f>
        <v>אור העין</v>
      </c>
    </row>
    <row r="1832" spans="1:6" x14ac:dyDescent="0.2">
      <c r="A1832" t="s">
        <v>3836</v>
      </c>
      <c r="B1832" t="s">
        <v>3837</v>
      </c>
      <c r="C1832" t="s">
        <v>168</v>
      </c>
      <c r="D1832" t="s">
        <v>21</v>
      </c>
      <c r="E1832" t="s">
        <v>246</v>
      </c>
      <c r="F1832" s="2" t="str">
        <f>HYPERLINK("http://www.otzar.org/book.asp?196744","אור הפורים")</f>
        <v>אור הפורים</v>
      </c>
    </row>
    <row r="1833" spans="1:6" x14ac:dyDescent="0.2">
      <c r="A1833" t="s">
        <v>3838</v>
      </c>
      <c r="B1833" t="s">
        <v>3839</v>
      </c>
      <c r="C1833" t="s">
        <v>3840</v>
      </c>
      <c r="D1833" t="s">
        <v>9</v>
      </c>
      <c r="E1833" t="s">
        <v>104</v>
      </c>
      <c r="F1833" s="2" t="str">
        <f>HYPERLINK("http://www.otzar.org/book.asp?106355","אור הפלאות")</f>
        <v>אור הפלאות</v>
      </c>
    </row>
    <row r="1834" spans="1:6" x14ac:dyDescent="0.2">
      <c r="A1834" t="s">
        <v>3841</v>
      </c>
      <c r="B1834" t="s">
        <v>3842</v>
      </c>
      <c r="C1834" t="s">
        <v>124</v>
      </c>
      <c r="D1834" t="s">
        <v>14</v>
      </c>
      <c r="E1834" t="s">
        <v>246</v>
      </c>
      <c r="F1834" s="2" t="str">
        <f>HYPERLINK("http://www.otzar.org/book.asp?171841","אור הפסח")</f>
        <v>אור הפסח</v>
      </c>
    </row>
    <row r="1835" spans="1:6" x14ac:dyDescent="0.2">
      <c r="A1835" t="s">
        <v>3843</v>
      </c>
      <c r="B1835" t="s">
        <v>3844</v>
      </c>
      <c r="C1835" t="s">
        <v>111</v>
      </c>
      <c r="D1835" t="s">
        <v>14</v>
      </c>
      <c r="E1835" t="s">
        <v>158</v>
      </c>
      <c r="F1835" s="2" t="str">
        <f>HYPERLINK("http://www.otzar.org/book.asp?626178","אור הפרשה")</f>
        <v>אור הפרשה</v>
      </c>
    </row>
    <row r="1836" spans="1:6" x14ac:dyDescent="0.2">
      <c r="A1836" t="s">
        <v>3845</v>
      </c>
      <c r="B1836" t="s">
        <v>3846</v>
      </c>
      <c r="C1836" t="s">
        <v>1458</v>
      </c>
      <c r="D1836" t="s">
        <v>726</v>
      </c>
      <c r="E1836" t="s">
        <v>435</v>
      </c>
      <c r="F1836" s="2" t="str">
        <f>HYPERLINK("http://www.otzar.org/book.asp?300181","אור הצבי")</f>
        <v>אור הצבי</v>
      </c>
    </row>
    <row r="1837" spans="1:6" x14ac:dyDescent="0.2">
      <c r="A1837" t="s">
        <v>3847</v>
      </c>
      <c r="B1837" t="s">
        <v>3599</v>
      </c>
      <c r="C1837" t="s">
        <v>767</v>
      </c>
      <c r="D1837" t="s">
        <v>14</v>
      </c>
      <c r="E1837" t="s">
        <v>148</v>
      </c>
      <c r="F1837" s="2" t="str">
        <f>HYPERLINK("http://www.otzar.org/book.asp?84907","אור הציצית")</f>
        <v>אור הציצית</v>
      </c>
    </row>
    <row r="1838" spans="1:6" x14ac:dyDescent="0.2">
      <c r="A1838" t="s">
        <v>3848</v>
      </c>
      <c r="B1838" t="s">
        <v>3849</v>
      </c>
      <c r="C1838" t="s">
        <v>1169</v>
      </c>
      <c r="D1838" t="s">
        <v>27</v>
      </c>
      <c r="F1838" s="2" t="str">
        <f>HYPERLINK("http://www.otzar.org/book.asp?612442","אור הצפון - 3 כר'")</f>
        <v>אור הצפון - 3 כר'</v>
      </c>
    </row>
    <row r="1839" spans="1:6" x14ac:dyDescent="0.2">
      <c r="A1839" t="s">
        <v>3850</v>
      </c>
      <c r="B1839" t="s">
        <v>3849</v>
      </c>
      <c r="C1839" t="s">
        <v>3851</v>
      </c>
      <c r="D1839" t="s">
        <v>52</v>
      </c>
      <c r="E1839" t="s">
        <v>241</v>
      </c>
      <c r="F1839" s="2" t="str">
        <f>HYPERLINK("http://www.otzar.org/book.asp?619962","אור הצפן - 5 כר'")</f>
        <v>אור הצפן - 5 כר'</v>
      </c>
    </row>
    <row r="1840" spans="1:6" x14ac:dyDescent="0.2">
      <c r="A1840" t="s">
        <v>3852</v>
      </c>
      <c r="B1840" t="s">
        <v>1681</v>
      </c>
      <c r="C1840" t="s">
        <v>37</v>
      </c>
      <c r="D1840" t="s">
        <v>80</v>
      </c>
      <c r="E1840" t="s">
        <v>213</v>
      </c>
      <c r="F1840" s="2" t="str">
        <f>HYPERLINK("http://www.otzar.org/book.asp?606824","אור הקדושה - 2 כר'")</f>
        <v>אור הקדושה - 2 כר'</v>
      </c>
    </row>
    <row r="1841" spans="1:6" x14ac:dyDescent="0.2">
      <c r="A1841" t="s">
        <v>3853</v>
      </c>
      <c r="B1841" t="s">
        <v>3854</v>
      </c>
      <c r="C1841" t="s">
        <v>466</v>
      </c>
      <c r="D1841" t="s">
        <v>14</v>
      </c>
      <c r="E1841" t="s">
        <v>399</v>
      </c>
      <c r="F1841" s="2" t="str">
        <f>HYPERLINK("http://www.otzar.org/book.asp?145128","אור הרזים")</f>
        <v>אור הרזים</v>
      </c>
    </row>
    <row r="1842" spans="1:6" x14ac:dyDescent="0.2">
      <c r="A1842" t="s">
        <v>3855</v>
      </c>
      <c r="B1842" t="s">
        <v>3856</v>
      </c>
      <c r="C1842" t="s">
        <v>624</v>
      </c>
      <c r="D1842" t="s">
        <v>14</v>
      </c>
      <c r="E1842" t="s">
        <v>2075</v>
      </c>
      <c r="F1842" s="2" t="str">
        <f>HYPERLINK("http://www.otzar.org/book.asp?143709","אור הרש""ש")</f>
        <v>אור הרש"ש</v>
      </c>
    </row>
    <row r="1843" spans="1:6" x14ac:dyDescent="0.2">
      <c r="A1843" t="s">
        <v>3857</v>
      </c>
      <c r="B1843" t="s">
        <v>3858</v>
      </c>
      <c r="C1843" t="s">
        <v>111</v>
      </c>
      <c r="D1843" t="s">
        <v>3859</v>
      </c>
      <c r="E1843" t="s">
        <v>246</v>
      </c>
      <c r="F1843" s="2" t="str">
        <f>HYPERLINK("http://www.otzar.org/book.asp?626687","אור הרשב""י")</f>
        <v>אור הרשב"י</v>
      </c>
    </row>
    <row r="1844" spans="1:6" x14ac:dyDescent="0.2">
      <c r="A1844" t="s">
        <v>3860</v>
      </c>
      <c r="B1844" t="s">
        <v>3837</v>
      </c>
      <c r="C1844" t="s">
        <v>1570</v>
      </c>
      <c r="D1844" t="s">
        <v>14</v>
      </c>
      <c r="E1844" t="s">
        <v>1517</v>
      </c>
      <c r="F1844" s="2" t="str">
        <f>HYPERLINK("http://www.otzar.org/book.asp?191240","אור השבת - 2 כר'")</f>
        <v>אור השבת - 2 כר'</v>
      </c>
    </row>
    <row r="1845" spans="1:6" x14ac:dyDescent="0.2">
      <c r="A1845" t="s">
        <v>3861</v>
      </c>
      <c r="B1845" t="s">
        <v>3827</v>
      </c>
      <c r="C1845" t="s">
        <v>189</v>
      </c>
      <c r="D1845" t="s">
        <v>152</v>
      </c>
      <c r="E1845" t="s">
        <v>144</v>
      </c>
      <c r="F1845" s="2" t="str">
        <f>HYPERLINK("http://www.otzar.org/book.asp?50330","אור השבת - 4 כר'")</f>
        <v>אור השבת - 4 כר'</v>
      </c>
    </row>
    <row r="1846" spans="1:6" x14ac:dyDescent="0.2">
      <c r="A1846" t="s">
        <v>3862</v>
      </c>
      <c r="B1846" t="s">
        <v>1750</v>
      </c>
      <c r="C1846" t="s">
        <v>1388</v>
      </c>
      <c r="D1846" t="s">
        <v>412</v>
      </c>
      <c r="E1846" t="s">
        <v>202</v>
      </c>
      <c r="F1846" s="2" t="str">
        <f>HYPERLINK("http://www.otzar.org/book.asp?52955","אור השבת - 31 כר'")</f>
        <v>אור השבת - 31 כר'</v>
      </c>
    </row>
    <row r="1847" spans="1:6" x14ac:dyDescent="0.2">
      <c r="A1847" t="s">
        <v>3863</v>
      </c>
      <c r="B1847" t="s">
        <v>3864</v>
      </c>
      <c r="C1847" t="s">
        <v>68</v>
      </c>
      <c r="D1847" t="s">
        <v>486</v>
      </c>
      <c r="E1847" t="s">
        <v>15</v>
      </c>
      <c r="F1847" s="2" t="str">
        <f>HYPERLINK("http://www.otzar.org/book.asp?156749","אור השחר")</f>
        <v>אור השחר</v>
      </c>
    </row>
    <row r="1848" spans="1:6" x14ac:dyDescent="0.2">
      <c r="A1848" t="s">
        <v>3863</v>
      </c>
      <c r="B1848" t="s">
        <v>3865</v>
      </c>
      <c r="C1848" t="s">
        <v>151</v>
      </c>
      <c r="D1848" t="s">
        <v>14</v>
      </c>
      <c r="F1848" s="2" t="str">
        <f>HYPERLINK("http://www.otzar.org/book.asp?616085","אור השחר")</f>
        <v>אור השחר</v>
      </c>
    </row>
    <row r="1849" spans="1:6" x14ac:dyDescent="0.2">
      <c r="A1849" t="s">
        <v>3866</v>
      </c>
      <c r="B1849" t="s">
        <v>3306</v>
      </c>
      <c r="C1849" t="s">
        <v>17</v>
      </c>
      <c r="D1849" t="s">
        <v>14</v>
      </c>
      <c r="E1849" t="s">
        <v>399</v>
      </c>
      <c r="F1849" s="2" t="str">
        <f>HYPERLINK("http://www.otzar.org/book.asp?148998","אור השכל - 2 כר'")</f>
        <v>אור השכל - 2 כר'</v>
      </c>
    </row>
    <row r="1850" spans="1:6" x14ac:dyDescent="0.2">
      <c r="A1850" t="s">
        <v>3867</v>
      </c>
      <c r="B1850" t="s">
        <v>3868</v>
      </c>
      <c r="C1850" t="s">
        <v>3869</v>
      </c>
      <c r="D1850" t="s">
        <v>49</v>
      </c>
      <c r="E1850" t="s">
        <v>43</v>
      </c>
      <c r="F1850" s="2" t="str">
        <f>HYPERLINK("http://www.otzar.org/book.asp?17144","אור השכל - 3 כר'")</f>
        <v>אור השכל - 3 כר'</v>
      </c>
    </row>
    <row r="1851" spans="1:6" x14ac:dyDescent="0.2">
      <c r="A1851" t="s">
        <v>3870</v>
      </c>
      <c r="B1851" t="s">
        <v>3871</v>
      </c>
      <c r="C1851" t="s">
        <v>133</v>
      </c>
      <c r="D1851" t="s">
        <v>52</v>
      </c>
      <c r="E1851" t="s">
        <v>158</v>
      </c>
      <c r="F1851" s="2" t="str">
        <f>HYPERLINK("http://www.otzar.org/book.asp?176535","אור השלחן - א (בראשית, שמות)")</f>
        <v>אור השלחן - א (בראשית, שמות)</v>
      </c>
    </row>
    <row r="1852" spans="1:6" x14ac:dyDescent="0.2">
      <c r="A1852" t="s">
        <v>3872</v>
      </c>
      <c r="B1852" t="s">
        <v>3603</v>
      </c>
      <c r="C1852" t="s">
        <v>775</v>
      </c>
      <c r="D1852" t="s">
        <v>14</v>
      </c>
      <c r="E1852" t="s">
        <v>714</v>
      </c>
      <c r="F1852" s="2" t="str">
        <f>HYPERLINK("http://www.otzar.org/book.asp?12688","אור השם")</f>
        <v>אור השם</v>
      </c>
    </row>
    <row r="1853" spans="1:6" x14ac:dyDescent="0.2">
      <c r="A1853" t="s">
        <v>3873</v>
      </c>
      <c r="B1853" t="s">
        <v>1681</v>
      </c>
      <c r="C1853" t="s">
        <v>411</v>
      </c>
      <c r="D1853" t="s">
        <v>80</v>
      </c>
      <c r="E1853" t="s">
        <v>15</v>
      </c>
      <c r="F1853" s="2" t="str">
        <f>HYPERLINK("http://www.otzar.org/book.asp?606827","אור השמחה")</f>
        <v>אור השמחה</v>
      </c>
    </row>
    <row r="1854" spans="1:6" x14ac:dyDescent="0.2">
      <c r="A1854" t="s">
        <v>3874</v>
      </c>
      <c r="B1854" t="s">
        <v>3632</v>
      </c>
      <c r="C1854" t="s">
        <v>989</v>
      </c>
      <c r="D1854" t="s">
        <v>14</v>
      </c>
      <c r="E1854" t="s">
        <v>119</v>
      </c>
      <c r="F1854" s="2" t="str">
        <f>HYPERLINK("http://www.otzar.org/book.asp?5170","אור השמש")</f>
        <v>אור השמש</v>
      </c>
    </row>
    <row r="1855" spans="1:6" x14ac:dyDescent="0.2">
      <c r="A1855" t="s">
        <v>3874</v>
      </c>
      <c r="B1855" t="s">
        <v>3875</v>
      </c>
      <c r="C1855" t="s">
        <v>1169</v>
      </c>
      <c r="D1855" t="s">
        <v>9</v>
      </c>
      <c r="E1855" t="s">
        <v>3876</v>
      </c>
      <c r="F1855" s="2" t="str">
        <f>HYPERLINK("http://www.otzar.org/book.asp?9208","אור השמש")</f>
        <v>אור השמש</v>
      </c>
    </row>
    <row r="1856" spans="1:6" x14ac:dyDescent="0.2">
      <c r="A1856" t="s">
        <v>3874</v>
      </c>
      <c r="B1856" t="s">
        <v>3877</v>
      </c>
      <c r="C1856" t="s">
        <v>13</v>
      </c>
      <c r="D1856" t="s">
        <v>14</v>
      </c>
      <c r="E1856" t="s">
        <v>3878</v>
      </c>
      <c r="F1856" s="2" t="str">
        <f>HYPERLINK("http://www.otzar.org/book.asp?170545","אור השמש")</f>
        <v>אור השמש</v>
      </c>
    </row>
    <row r="1857" spans="1:6" x14ac:dyDescent="0.2">
      <c r="A1857" t="s">
        <v>3879</v>
      </c>
      <c r="B1857" t="s">
        <v>3880</v>
      </c>
      <c r="C1857" t="s">
        <v>151</v>
      </c>
      <c r="D1857" t="s">
        <v>14</v>
      </c>
      <c r="E1857" t="s">
        <v>15</v>
      </c>
      <c r="F1857" s="2" t="str">
        <f>HYPERLINK("http://www.otzar.org/book.asp?620309","אור השנים &lt;מהדורה חדשה&gt;")</f>
        <v>אור השנים &lt;מהדורה חדשה&gt;</v>
      </c>
    </row>
    <row r="1858" spans="1:6" x14ac:dyDescent="0.2">
      <c r="A1858" t="s">
        <v>3881</v>
      </c>
      <c r="B1858" t="s">
        <v>3880</v>
      </c>
      <c r="C1858" t="s">
        <v>2323</v>
      </c>
      <c r="D1858" t="s">
        <v>2290</v>
      </c>
      <c r="E1858" t="s">
        <v>24</v>
      </c>
      <c r="F1858" s="2" t="str">
        <f>HYPERLINK("http://www.otzar.org/book.asp?196848","אור השנים - 9 כר'")</f>
        <v>אור השנים - 9 כר'</v>
      </c>
    </row>
    <row r="1859" spans="1:6" x14ac:dyDescent="0.2">
      <c r="A1859" t="s">
        <v>3882</v>
      </c>
      <c r="B1859" t="s">
        <v>3883</v>
      </c>
      <c r="C1859" t="s">
        <v>133</v>
      </c>
      <c r="D1859" t="s">
        <v>14</v>
      </c>
      <c r="E1859" t="s">
        <v>158</v>
      </c>
      <c r="F1859" s="2" t="str">
        <f>HYPERLINK("http://www.otzar.org/book.asp?173532","אור התורה - 5 כר'")</f>
        <v>אור התורה - 5 כר'</v>
      </c>
    </row>
    <row r="1860" spans="1:6" x14ac:dyDescent="0.2">
      <c r="A1860" t="s">
        <v>3884</v>
      </c>
      <c r="B1860" t="s">
        <v>3885</v>
      </c>
      <c r="C1860" t="s">
        <v>989</v>
      </c>
      <c r="D1860" t="s">
        <v>52</v>
      </c>
      <c r="E1860" t="s">
        <v>186</v>
      </c>
      <c r="F1860" s="2" t="str">
        <f>HYPERLINK("http://www.otzar.org/book.asp?180442","אור התורה - בבא בתרא")</f>
        <v>אור התורה - בבא בתרא</v>
      </c>
    </row>
    <row r="1861" spans="1:6" x14ac:dyDescent="0.2">
      <c r="A1861" t="s">
        <v>3886</v>
      </c>
      <c r="B1861" t="s">
        <v>3606</v>
      </c>
      <c r="C1861" t="s">
        <v>433</v>
      </c>
      <c r="D1861" t="s">
        <v>9</v>
      </c>
      <c r="E1861" t="s">
        <v>158</v>
      </c>
      <c r="F1861" s="2" t="str">
        <f>HYPERLINK("http://www.otzar.org/book.asp?51760","אור התורה")</f>
        <v>אור התורה</v>
      </c>
    </row>
    <row r="1862" spans="1:6" x14ac:dyDescent="0.2">
      <c r="A1862" t="s">
        <v>3887</v>
      </c>
      <c r="B1862" t="s">
        <v>3888</v>
      </c>
      <c r="C1862" t="s">
        <v>411</v>
      </c>
      <c r="D1862" t="s">
        <v>14</v>
      </c>
      <c r="E1862" t="s">
        <v>230</v>
      </c>
      <c r="F1862" s="2" t="str">
        <f>HYPERLINK("http://www.otzar.org/book.asp?170047","אור התורה - 3 כר'")</f>
        <v>אור התורה - 3 כר'</v>
      </c>
    </row>
    <row r="1863" spans="1:6" x14ac:dyDescent="0.2">
      <c r="A1863" t="s">
        <v>3889</v>
      </c>
      <c r="B1863" t="s">
        <v>3890</v>
      </c>
      <c r="C1863" t="s">
        <v>466</v>
      </c>
      <c r="D1863" t="s">
        <v>14</v>
      </c>
      <c r="E1863" t="s">
        <v>158</v>
      </c>
      <c r="F1863" s="2" t="str">
        <f>HYPERLINK("http://www.otzar.org/book.asp?155001","אור התורה - 2 כר'")</f>
        <v>אור התורה - 2 כר'</v>
      </c>
    </row>
    <row r="1864" spans="1:6" x14ac:dyDescent="0.2">
      <c r="A1864" t="s">
        <v>3891</v>
      </c>
      <c r="B1864" t="s">
        <v>3892</v>
      </c>
      <c r="C1864" t="s">
        <v>13</v>
      </c>
      <c r="D1864" t="s">
        <v>14</v>
      </c>
      <c r="E1864" t="s">
        <v>186</v>
      </c>
      <c r="F1864" s="2" t="str">
        <f>HYPERLINK("http://www.otzar.org/book.asp?158841","אור התלמוד - 2 כר'")</f>
        <v>אור התלמוד - 2 כר'</v>
      </c>
    </row>
    <row r="1865" spans="1:6" x14ac:dyDescent="0.2">
      <c r="A1865" t="s">
        <v>3893</v>
      </c>
      <c r="B1865" t="s">
        <v>3894</v>
      </c>
      <c r="C1865" t="s">
        <v>111</v>
      </c>
      <c r="D1865" t="s">
        <v>90</v>
      </c>
      <c r="E1865" t="s">
        <v>246</v>
      </c>
      <c r="F1865" s="2" t="str">
        <f>HYPERLINK("http://www.otzar.org/book.asp?620064","אור התענוג - 2 כר'")</f>
        <v>אור התענוג - 2 כר'</v>
      </c>
    </row>
    <row r="1866" spans="1:6" x14ac:dyDescent="0.2">
      <c r="A1866" t="s">
        <v>3895</v>
      </c>
      <c r="B1866" t="s">
        <v>3599</v>
      </c>
      <c r="C1866" t="s">
        <v>37</v>
      </c>
      <c r="D1866" t="s">
        <v>14</v>
      </c>
      <c r="F1866" s="2" t="str">
        <f>HYPERLINK("http://www.otzar.org/book.asp?198343","אור התפילין")</f>
        <v>אור התפילין</v>
      </c>
    </row>
    <row r="1867" spans="1:6" x14ac:dyDescent="0.2">
      <c r="A1867" t="s">
        <v>3895</v>
      </c>
      <c r="B1867" t="s">
        <v>3896</v>
      </c>
      <c r="E1867" t="s">
        <v>15</v>
      </c>
      <c r="F1867" s="2" t="str">
        <f>HYPERLINK("http://www.otzar.org/book.asp?622531","אור התפילין")</f>
        <v>אור התפילין</v>
      </c>
    </row>
    <row r="1868" spans="1:6" x14ac:dyDescent="0.2">
      <c r="A1868" t="s">
        <v>3897</v>
      </c>
      <c r="B1868" t="s">
        <v>3243</v>
      </c>
      <c r="C1868" t="s">
        <v>3898</v>
      </c>
      <c r="D1868" t="s">
        <v>27</v>
      </c>
      <c r="E1868" t="s">
        <v>1507</v>
      </c>
      <c r="F1868" s="2" t="str">
        <f>HYPERLINK("http://www.otzar.org/book.asp?83725","אור התרגום &lt;קונטרס הנענועים&gt;")</f>
        <v>אור התרגום &lt;קונטרס הנענועים&gt;</v>
      </c>
    </row>
    <row r="1869" spans="1:6" x14ac:dyDescent="0.2">
      <c r="A1869" t="s">
        <v>3899</v>
      </c>
      <c r="B1869" t="s">
        <v>3900</v>
      </c>
      <c r="C1869" t="s">
        <v>168</v>
      </c>
      <c r="D1869" t="s">
        <v>216</v>
      </c>
      <c r="E1869" t="s">
        <v>714</v>
      </c>
      <c r="F1869" s="2" t="str">
        <f>HYPERLINK("http://www.otzar.org/book.asp?17028","אור התשובה")</f>
        <v>אור התשובה</v>
      </c>
    </row>
    <row r="1870" spans="1:6" x14ac:dyDescent="0.2">
      <c r="A1870" t="s">
        <v>3899</v>
      </c>
      <c r="B1870" t="s">
        <v>3901</v>
      </c>
      <c r="C1870" t="s">
        <v>383</v>
      </c>
      <c r="D1870" t="s">
        <v>52</v>
      </c>
      <c r="E1870" t="s">
        <v>3902</v>
      </c>
      <c r="F1870" s="2" t="str">
        <f>HYPERLINK("http://www.otzar.org/book.asp?172141","אור התשובה")</f>
        <v>אור התשובה</v>
      </c>
    </row>
    <row r="1871" spans="1:6" x14ac:dyDescent="0.2">
      <c r="A1871" t="s">
        <v>3903</v>
      </c>
      <c r="B1871" t="s">
        <v>3678</v>
      </c>
      <c r="C1871" t="s">
        <v>129</v>
      </c>
      <c r="D1871" t="s">
        <v>14</v>
      </c>
      <c r="E1871" t="s">
        <v>158</v>
      </c>
      <c r="F1871" s="2" t="str">
        <f>HYPERLINK("http://www.otzar.org/book.asp?180213","אור וחיים לישראל - 7 כר'")</f>
        <v>אור וחיים לישראל - 7 כר'</v>
      </c>
    </row>
    <row r="1872" spans="1:6" x14ac:dyDescent="0.2">
      <c r="A1872" t="s">
        <v>3904</v>
      </c>
      <c r="B1872" t="s">
        <v>3905</v>
      </c>
      <c r="C1872" t="s">
        <v>3906</v>
      </c>
      <c r="D1872" t="s">
        <v>947</v>
      </c>
      <c r="E1872" t="s">
        <v>140</v>
      </c>
      <c r="F1872" s="2" t="str">
        <f>HYPERLINK("http://www.otzar.org/book.asp?17146","אור זורח - ג ד")</f>
        <v>אור זורח - ג ד</v>
      </c>
    </row>
    <row r="1873" spans="1:6" x14ac:dyDescent="0.2">
      <c r="A1873" t="s">
        <v>3907</v>
      </c>
      <c r="B1873" t="s">
        <v>3908</v>
      </c>
      <c r="C1873" t="s">
        <v>3909</v>
      </c>
      <c r="D1873" t="s">
        <v>56</v>
      </c>
      <c r="E1873" t="s">
        <v>144</v>
      </c>
      <c r="F1873" s="2" t="str">
        <f>HYPERLINK("http://www.otzar.org/book.asp?10032","אור זרוע &lt;מגדל עוז&gt; - ב (שבת)")</f>
        <v>אור זרוע &lt;מגדל עוז&gt; - ב (שבת)</v>
      </c>
    </row>
    <row r="1874" spans="1:6" x14ac:dyDescent="0.2">
      <c r="A1874" t="s">
        <v>3910</v>
      </c>
      <c r="B1874" t="s">
        <v>3911</v>
      </c>
      <c r="C1874" t="s">
        <v>71</v>
      </c>
      <c r="D1874" t="s">
        <v>14</v>
      </c>
      <c r="E1874" t="s">
        <v>803</v>
      </c>
      <c r="F1874" s="2" t="str">
        <f>HYPERLINK("http://www.otzar.org/book.asp?169308","אור זרוע בשבת")</f>
        <v>אור זרוע בשבת</v>
      </c>
    </row>
    <row r="1875" spans="1:6" x14ac:dyDescent="0.2">
      <c r="A1875" t="s">
        <v>3912</v>
      </c>
      <c r="B1875" t="s">
        <v>3913</v>
      </c>
      <c r="C1875" t="s">
        <v>366</v>
      </c>
      <c r="D1875" t="s">
        <v>115</v>
      </c>
      <c r="F1875" s="2" t="str">
        <f>HYPERLINK("http://www.otzar.org/book.asp?608785","אור זרוע הקצר &lt;זרע אברהם&gt;")</f>
        <v>אור זרוע הקצר &lt;זרע אברהם&gt;</v>
      </c>
    </row>
    <row r="1876" spans="1:6" x14ac:dyDescent="0.2">
      <c r="A1876" t="s">
        <v>3914</v>
      </c>
      <c r="B1876" t="s">
        <v>3299</v>
      </c>
      <c r="C1876" t="s">
        <v>767</v>
      </c>
      <c r="D1876" t="s">
        <v>14</v>
      </c>
      <c r="E1876" t="s">
        <v>3798</v>
      </c>
      <c r="F1876" s="2" t="str">
        <f>HYPERLINK("http://www.otzar.org/book.asp?163021","אור זרוע לצדיק")</f>
        <v>אור זרוע לצדיק</v>
      </c>
    </row>
    <row r="1877" spans="1:6" x14ac:dyDescent="0.2">
      <c r="A1877" t="s">
        <v>3914</v>
      </c>
      <c r="B1877" t="s">
        <v>2993</v>
      </c>
      <c r="C1877" t="s">
        <v>609</v>
      </c>
      <c r="D1877" t="s">
        <v>726</v>
      </c>
      <c r="E1877" t="s">
        <v>3915</v>
      </c>
      <c r="F1877" s="2" t="str">
        <f>HYPERLINK("http://www.otzar.org/book.asp?5529","אור זרוע לצדיק")</f>
        <v>אור זרוע לצדיק</v>
      </c>
    </row>
    <row r="1878" spans="1:6" x14ac:dyDescent="0.2">
      <c r="A1878" t="s">
        <v>3916</v>
      </c>
      <c r="B1878" t="s">
        <v>3917</v>
      </c>
      <c r="C1878" t="s">
        <v>1811</v>
      </c>
      <c r="D1878" t="s">
        <v>216</v>
      </c>
      <c r="E1878" t="s">
        <v>140</v>
      </c>
      <c r="F1878" s="2" t="str">
        <f>HYPERLINK("http://www.otzar.org/book.asp?83963","אור זרוע")</f>
        <v>אור זרוע</v>
      </c>
    </row>
    <row r="1879" spans="1:6" x14ac:dyDescent="0.2">
      <c r="A1879" t="s">
        <v>3918</v>
      </c>
      <c r="B1879" t="s">
        <v>3919</v>
      </c>
      <c r="C1879" t="s">
        <v>422</v>
      </c>
      <c r="D1879" t="s">
        <v>14</v>
      </c>
      <c r="E1879" t="s">
        <v>399</v>
      </c>
      <c r="F1879" s="2" t="str">
        <f>HYPERLINK("http://www.otzar.org/book.asp?168904","אור זרוע - 3 כר'")</f>
        <v>אור זרוע - 3 כר'</v>
      </c>
    </row>
    <row r="1880" spans="1:6" x14ac:dyDescent="0.2">
      <c r="A1880" t="s">
        <v>3920</v>
      </c>
      <c r="B1880" t="s">
        <v>3921</v>
      </c>
      <c r="C1880" t="s">
        <v>75</v>
      </c>
      <c r="D1880" t="s">
        <v>1419</v>
      </c>
      <c r="E1880" t="s">
        <v>144</v>
      </c>
      <c r="F1880" s="2" t="str">
        <f>HYPERLINK("http://www.otzar.org/book.asp?26433","אור זרוע - 5 כר'")</f>
        <v>אור זרוע - 5 כר'</v>
      </c>
    </row>
    <row r="1881" spans="1:6" x14ac:dyDescent="0.2">
      <c r="A1881" t="s">
        <v>3922</v>
      </c>
      <c r="B1881" t="s">
        <v>3923</v>
      </c>
      <c r="C1881" t="s">
        <v>37</v>
      </c>
      <c r="D1881" t="s">
        <v>14</v>
      </c>
      <c r="E1881" t="s">
        <v>158</v>
      </c>
      <c r="F1881" s="2" t="str">
        <f>HYPERLINK("http://www.otzar.org/book.asp?193836","אור חדש &lt;מכון ירושלים&gt; - 3 כר'")</f>
        <v>אור חדש &lt;מכון ירושלים&gt; - 3 כר'</v>
      </c>
    </row>
    <row r="1882" spans="1:6" x14ac:dyDescent="0.2">
      <c r="A1882" t="s">
        <v>3924</v>
      </c>
      <c r="B1882" t="s">
        <v>3925</v>
      </c>
      <c r="C1882" t="s">
        <v>919</v>
      </c>
      <c r="D1882" t="s">
        <v>14</v>
      </c>
      <c r="E1882" t="s">
        <v>104</v>
      </c>
      <c r="F1882" s="2" t="str">
        <f>HYPERLINK("http://www.otzar.org/book.asp?22047","אור חדש במבוכה")</f>
        <v>אור חדש במבוכה</v>
      </c>
    </row>
    <row r="1883" spans="1:6" x14ac:dyDescent="0.2">
      <c r="A1883" t="s">
        <v>3926</v>
      </c>
      <c r="B1883" t="s">
        <v>3927</v>
      </c>
      <c r="C1883" t="s">
        <v>180</v>
      </c>
      <c r="D1883" t="s">
        <v>216</v>
      </c>
      <c r="E1883" t="s">
        <v>104</v>
      </c>
      <c r="F1883" s="2" t="str">
        <f>HYPERLINK("http://www.otzar.org/book.asp?11872","אור חדש בציון -  א")</f>
        <v>אור חדש בציון -  א</v>
      </c>
    </row>
    <row r="1884" spans="1:6" x14ac:dyDescent="0.2">
      <c r="A1884" t="s">
        <v>3928</v>
      </c>
      <c r="B1884" t="s">
        <v>1949</v>
      </c>
      <c r="C1884" t="s">
        <v>427</v>
      </c>
      <c r="D1884" t="s">
        <v>14</v>
      </c>
      <c r="E1884" t="s">
        <v>3929</v>
      </c>
      <c r="F1884" s="2" t="str">
        <f>HYPERLINK("http://www.otzar.org/book.asp?5965","אור חדש וצמח צדיק")</f>
        <v>אור חדש וצמח צדיק</v>
      </c>
    </row>
    <row r="1885" spans="1:6" x14ac:dyDescent="0.2">
      <c r="A1885" t="s">
        <v>3930</v>
      </c>
      <c r="B1885" t="s">
        <v>3113</v>
      </c>
      <c r="C1885" t="s">
        <v>2874</v>
      </c>
      <c r="D1885" t="s">
        <v>986</v>
      </c>
      <c r="E1885" t="s">
        <v>234</v>
      </c>
      <c r="F1885" s="2" t="str">
        <f>HYPERLINK("http://www.otzar.org/book.asp?103777","אור חדש למטיפים")</f>
        <v>אור חדש למטיפים</v>
      </c>
    </row>
    <row r="1886" spans="1:6" x14ac:dyDescent="0.2">
      <c r="A1886" t="s">
        <v>3931</v>
      </c>
      <c r="B1886" t="s">
        <v>3932</v>
      </c>
      <c r="C1886" t="s">
        <v>3933</v>
      </c>
      <c r="D1886" t="s">
        <v>1023</v>
      </c>
      <c r="E1886" t="s">
        <v>15</v>
      </c>
      <c r="F1886" s="2" t="str">
        <f>HYPERLINK("http://www.otzar.org/book.asp?100336","אור חדש - 2 כר'")</f>
        <v>אור חדש - 2 כר'</v>
      </c>
    </row>
    <row r="1887" spans="1:6" x14ac:dyDescent="0.2">
      <c r="A1887" t="s">
        <v>3934</v>
      </c>
      <c r="B1887" t="s">
        <v>3935</v>
      </c>
      <c r="C1887" t="s">
        <v>843</v>
      </c>
      <c r="D1887" t="s">
        <v>9</v>
      </c>
      <c r="E1887" t="s">
        <v>3936</v>
      </c>
      <c r="F1887" s="2" t="str">
        <f>HYPERLINK("http://www.otzar.org/book.asp?13706","אור חדש")</f>
        <v>אור חדש</v>
      </c>
    </row>
    <row r="1888" spans="1:6" x14ac:dyDescent="0.2">
      <c r="A1888" t="s">
        <v>3937</v>
      </c>
      <c r="B1888" t="s">
        <v>3820</v>
      </c>
      <c r="C1888" t="s">
        <v>956</v>
      </c>
      <c r="D1888" t="s">
        <v>14</v>
      </c>
      <c r="E1888" t="s">
        <v>573</v>
      </c>
      <c r="F1888" s="2" t="str">
        <f>HYPERLINK("http://www.otzar.org/book.asp?19321","אור חדש - 4 כר'")</f>
        <v>אור חדש - 4 כר'</v>
      </c>
    </row>
    <row r="1889" spans="1:6" x14ac:dyDescent="0.2">
      <c r="A1889" t="s">
        <v>3934</v>
      </c>
      <c r="B1889" t="s">
        <v>3938</v>
      </c>
      <c r="C1889" t="s">
        <v>785</v>
      </c>
      <c r="D1889" t="s">
        <v>3939</v>
      </c>
      <c r="E1889" t="s">
        <v>241</v>
      </c>
      <c r="F1889" s="2" t="str">
        <f>HYPERLINK("http://www.otzar.org/book.asp?103109","אור חדש")</f>
        <v>אור חדש</v>
      </c>
    </row>
    <row r="1890" spans="1:6" x14ac:dyDescent="0.2">
      <c r="A1890" t="s">
        <v>3940</v>
      </c>
      <c r="B1890" t="s">
        <v>3923</v>
      </c>
      <c r="C1890" t="s">
        <v>603</v>
      </c>
      <c r="D1890" t="s">
        <v>283</v>
      </c>
      <c r="E1890" t="s">
        <v>230</v>
      </c>
      <c r="F1890" s="2" t="str">
        <f>HYPERLINK("http://www.otzar.org/book.asp?101152","אור חדש - 3 כר'")</f>
        <v>אור חדש - 3 כר'</v>
      </c>
    </row>
    <row r="1891" spans="1:6" x14ac:dyDescent="0.2">
      <c r="A1891" t="s">
        <v>3934</v>
      </c>
      <c r="B1891" t="s">
        <v>3941</v>
      </c>
      <c r="C1891" t="s">
        <v>3942</v>
      </c>
      <c r="D1891" t="s">
        <v>744</v>
      </c>
      <c r="F1891" s="2" t="str">
        <f>HYPERLINK("http://www.otzar.org/book.asp?53281","אור חדש")</f>
        <v>אור חדש</v>
      </c>
    </row>
    <row r="1892" spans="1:6" x14ac:dyDescent="0.2">
      <c r="A1892" t="s">
        <v>3934</v>
      </c>
      <c r="B1892" t="s">
        <v>3943</v>
      </c>
      <c r="C1892" t="s">
        <v>728</v>
      </c>
      <c r="D1892" t="s">
        <v>563</v>
      </c>
      <c r="E1892" t="s">
        <v>1028</v>
      </c>
      <c r="F1892" s="2" t="str">
        <f>HYPERLINK("http://www.otzar.org/book.asp?104099","אור חדש")</f>
        <v>אור חדש</v>
      </c>
    </row>
    <row r="1893" spans="1:6" x14ac:dyDescent="0.2">
      <c r="A1893" t="s">
        <v>3934</v>
      </c>
      <c r="B1893" t="s">
        <v>3944</v>
      </c>
      <c r="C1893" t="s">
        <v>1228</v>
      </c>
      <c r="D1893" t="s">
        <v>56</v>
      </c>
      <c r="E1893" t="s">
        <v>154</v>
      </c>
      <c r="F1893" s="2" t="str">
        <f>HYPERLINK("http://www.otzar.org/book.asp?17148","אור חדש")</f>
        <v>אור חדש</v>
      </c>
    </row>
    <row r="1894" spans="1:6" x14ac:dyDescent="0.2">
      <c r="A1894" t="s">
        <v>3931</v>
      </c>
      <c r="B1894" t="s">
        <v>3945</v>
      </c>
      <c r="C1894" t="s">
        <v>503</v>
      </c>
      <c r="D1894" t="s">
        <v>283</v>
      </c>
      <c r="E1894" t="s">
        <v>144</v>
      </c>
      <c r="F1894" s="2" t="str">
        <f>HYPERLINK("http://www.otzar.org/book.asp?6699","אור חדש - 2 כר'")</f>
        <v>אור חדש - 2 כר'</v>
      </c>
    </row>
    <row r="1895" spans="1:6" x14ac:dyDescent="0.2">
      <c r="A1895" t="s">
        <v>3934</v>
      </c>
      <c r="B1895" t="s">
        <v>3946</v>
      </c>
      <c r="C1895" t="s">
        <v>1202</v>
      </c>
      <c r="D1895" t="s">
        <v>56</v>
      </c>
      <c r="E1895" t="s">
        <v>588</v>
      </c>
      <c r="F1895" s="2" t="str">
        <f>HYPERLINK("http://www.otzar.org/book.asp?104282","אור חדש")</f>
        <v>אור חדש</v>
      </c>
    </row>
    <row r="1896" spans="1:6" x14ac:dyDescent="0.2">
      <c r="A1896" t="s">
        <v>3934</v>
      </c>
      <c r="B1896" t="s">
        <v>3947</v>
      </c>
      <c r="C1896" t="s">
        <v>23</v>
      </c>
      <c r="D1896" t="s">
        <v>21</v>
      </c>
      <c r="E1896" t="s">
        <v>148</v>
      </c>
      <c r="F1896" s="2" t="str">
        <f>HYPERLINK("http://www.otzar.org/book.asp?196064","אור חדש")</f>
        <v>אור חדש</v>
      </c>
    </row>
    <row r="1897" spans="1:6" x14ac:dyDescent="0.2">
      <c r="A1897" t="s">
        <v>3948</v>
      </c>
      <c r="B1897" t="s">
        <v>3949</v>
      </c>
      <c r="D1897" t="s">
        <v>21</v>
      </c>
      <c r="E1897" t="s">
        <v>158</v>
      </c>
      <c r="F1897" s="2" t="str">
        <f>HYPERLINK("http://www.otzar.org/book.asp?191280","אור חדש - 5 כר'")</f>
        <v>אור חדש - 5 כר'</v>
      </c>
    </row>
    <row r="1898" spans="1:6" x14ac:dyDescent="0.2">
      <c r="A1898" t="s">
        <v>3950</v>
      </c>
      <c r="B1898" t="s">
        <v>3951</v>
      </c>
      <c r="C1898" t="s">
        <v>13</v>
      </c>
      <c r="D1898" t="s">
        <v>52</v>
      </c>
      <c r="E1898" t="s">
        <v>246</v>
      </c>
      <c r="F1898" s="2" t="str">
        <f>HYPERLINK("http://www.otzar.org/book.asp?626326","אור חיה - מועדים")</f>
        <v>אור חיה - מועדים</v>
      </c>
    </row>
    <row r="1899" spans="1:6" x14ac:dyDescent="0.2">
      <c r="A1899" t="s">
        <v>3952</v>
      </c>
      <c r="B1899" t="s">
        <v>3953</v>
      </c>
      <c r="C1899" t="s">
        <v>68</v>
      </c>
      <c r="D1899" t="s">
        <v>14</v>
      </c>
      <c r="E1899" t="s">
        <v>144</v>
      </c>
      <c r="F1899" s="2" t="str">
        <f>HYPERLINK("http://www.otzar.org/book.asp?190090","אור חיים - 7 כר'")</f>
        <v>אור חיים - 7 כר'</v>
      </c>
    </row>
    <row r="1900" spans="1:6" x14ac:dyDescent="0.2">
      <c r="A1900" t="s">
        <v>3954</v>
      </c>
      <c r="B1900" t="s">
        <v>3520</v>
      </c>
      <c r="C1900" t="s">
        <v>13</v>
      </c>
      <c r="D1900" t="s">
        <v>14</v>
      </c>
      <c r="E1900" t="s">
        <v>621</v>
      </c>
      <c r="F1900" s="2" t="str">
        <f>HYPERLINK("http://www.otzar.org/book.asp?144059","אור חיינו")</f>
        <v>אור חיינו</v>
      </c>
    </row>
    <row r="1901" spans="1:6" x14ac:dyDescent="0.2">
      <c r="A1901" t="s">
        <v>3955</v>
      </c>
      <c r="B1901" t="s">
        <v>3956</v>
      </c>
      <c r="C1901" t="s">
        <v>3957</v>
      </c>
      <c r="D1901" t="s">
        <v>2041</v>
      </c>
      <c r="F1901" s="2" t="str">
        <f>HYPERLINK("http://www.otzar.org/book.asp?83591","אור חכמים &lt;בחינת עולם&gt;")</f>
        <v>אור חכמים &lt;בחינת עולם&gt;</v>
      </c>
    </row>
    <row r="1902" spans="1:6" x14ac:dyDescent="0.2">
      <c r="A1902" t="s">
        <v>3958</v>
      </c>
      <c r="B1902" t="s">
        <v>461</v>
      </c>
      <c r="C1902" t="s">
        <v>3959</v>
      </c>
      <c r="D1902" t="s">
        <v>1833</v>
      </c>
      <c r="E1902" t="s">
        <v>144</v>
      </c>
      <c r="F1902" s="2" t="str">
        <f>HYPERLINK("http://www.otzar.org/book.asp?300182","אור חכמים")</f>
        <v>אור חכמים</v>
      </c>
    </row>
    <row r="1903" spans="1:6" x14ac:dyDescent="0.2">
      <c r="A1903" t="s">
        <v>3960</v>
      </c>
      <c r="B1903" t="s">
        <v>3961</v>
      </c>
      <c r="C1903" t="s">
        <v>103</v>
      </c>
      <c r="D1903" t="s">
        <v>412</v>
      </c>
      <c r="E1903" t="s">
        <v>144</v>
      </c>
      <c r="F1903" s="2" t="str">
        <f>HYPERLINK("http://www.otzar.org/book.asp?177153","אור טהרה - מ""מ למסכת נדה")</f>
        <v>אור טהרה - מ"מ למסכת נדה</v>
      </c>
    </row>
    <row r="1904" spans="1:6" x14ac:dyDescent="0.2">
      <c r="A1904" t="s">
        <v>3962</v>
      </c>
      <c r="B1904" t="s">
        <v>3603</v>
      </c>
      <c r="C1904" t="s">
        <v>1544</v>
      </c>
      <c r="D1904" t="s">
        <v>3963</v>
      </c>
      <c r="E1904" t="s">
        <v>241</v>
      </c>
      <c r="F1904" s="2" t="str">
        <f>HYPERLINK("http://www.otzar.org/book.asp?12201","אור י""י")</f>
        <v>אור י"י</v>
      </c>
    </row>
    <row r="1905" spans="1:6" x14ac:dyDescent="0.2">
      <c r="A1905" t="s">
        <v>3964</v>
      </c>
      <c r="B1905" t="s">
        <v>3965</v>
      </c>
      <c r="C1905" t="s">
        <v>466</v>
      </c>
      <c r="D1905" t="s">
        <v>412</v>
      </c>
      <c r="E1905" t="s">
        <v>144</v>
      </c>
      <c r="F1905" s="2" t="str">
        <f>HYPERLINK("http://www.otzar.org/book.asp?162091","אור יהודה - 4 כר'")</f>
        <v>אור יהודה - 4 כר'</v>
      </c>
    </row>
    <row r="1906" spans="1:6" x14ac:dyDescent="0.2">
      <c r="A1906" t="s">
        <v>3966</v>
      </c>
      <c r="B1906" t="s">
        <v>3967</v>
      </c>
      <c r="C1906" t="s">
        <v>585</v>
      </c>
      <c r="D1906" t="s">
        <v>14</v>
      </c>
      <c r="E1906" t="s">
        <v>1185</v>
      </c>
      <c r="F1906" s="2" t="str">
        <f>HYPERLINK("http://www.otzar.org/book.asp?63017","אור יהושע")</f>
        <v>אור יהושע</v>
      </c>
    </row>
    <row r="1907" spans="1:6" x14ac:dyDescent="0.2">
      <c r="A1907" t="s">
        <v>3968</v>
      </c>
      <c r="B1907" t="s">
        <v>3969</v>
      </c>
      <c r="C1907" t="s">
        <v>812</v>
      </c>
      <c r="D1907" t="s">
        <v>27</v>
      </c>
      <c r="E1907" t="s">
        <v>213</v>
      </c>
      <c r="F1907" s="2" t="str">
        <f>HYPERLINK("http://www.otzar.org/book.asp?188475","אור יהל - 3 כר'")</f>
        <v>אור יהל - 3 כר'</v>
      </c>
    </row>
    <row r="1908" spans="1:6" x14ac:dyDescent="0.2">
      <c r="A1908" t="s">
        <v>3970</v>
      </c>
      <c r="B1908" t="s">
        <v>3669</v>
      </c>
      <c r="C1908" t="s">
        <v>411</v>
      </c>
      <c r="D1908" t="s">
        <v>90</v>
      </c>
      <c r="E1908" t="s">
        <v>803</v>
      </c>
      <c r="F1908" s="2" t="str">
        <f>HYPERLINK("http://www.otzar.org/book.asp?628083","אור יום טוב")</f>
        <v>אור יום טוב</v>
      </c>
    </row>
    <row r="1909" spans="1:6" x14ac:dyDescent="0.2">
      <c r="A1909" t="s">
        <v>3970</v>
      </c>
      <c r="B1909" t="s">
        <v>3971</v>
      </c>
      <c r="C1909" t="s">
        <v>411</v>
      </c>
      <c r="D1909" t="s">
        <v>1156</v>
      </c>
      <c r="E1909" t="s">
        <v>15</v>
      </c>
      <c r="F1909" s="2" t="str">
        <f>HYPERLINK("http://www.otzar.org/book.asp?180466","אור יום טוב")</f>
        <v>אור יום טוב</v>
      </c>
    </row>
    <row r="1910" spans="1:6" x14ac:dyDescent="0.2">
      <c r="A1910" t="s">
        <v>3972</v>
      </c>
      <c r="B1910" t="s">
        <v>3973</v>
      </c>
      <c r="C1910" t="s">
        <v>496</v>
      </c>
      <c r="D1910" t="s">
        <v>3627</v>
      </c>
      <c r="E1910" t="s">
        <v>3974</v>
      </c>
      <c r="F1910" s="2" t="str">
        <f>HYPERLINK("http://www.otzar.org/book.asp?104912","אור יוסף")</f>
        <v>אור יוסף</v>
      </c>
    </row>
    <row r="1911" spans="1:6" x14ac:dyDescent="0.2">
      <c r="A1911" t="s">
        <v>3975</v>
      </c>
      <c r="B1911" t="s">
        <v>1204</v>
      </c>
      <c r="C1911" t="s">
        <v>124</v>
      </c>
      <c r="D1911" t="s">
        <v>52</v>
      </c>
      <c r="E1911" t="s">
        <v>104</v>
      </c>
      <c r="F1911" s="2" t="str">
        <f>HYPERLINK("http://www.otzar.org/book.asp?22819","אור יחזקאל - 7 כר'")</f>
        <v>אור יחזקאל - 7 כר'</v>
      </c>
    </row>
    <row r="1912" spans="1:6" x14ac:dyDescent="0.2">
      <c r="A1912" t="s">
        <v>3976</v>
      </c>
      <c r="B1912" t="s">
        <v>3977</v>
      </c>
      <c r="C1912" t="s">
        <v>37</v>
      </c>
      <c r="D1912" t="s">
        <v>52</v>
      </c>
      <c r="E1912" t="s">
        <v>230</v>
      </c>
      <c r="F1912" s="2" t="str">
        <f>HYPERLINK("http://www.otzar.org/book.asp?195117","אור ימי הפורים")</f>
        <v>אור ימי הפורים</v>
      </c>
    </row>
    <row r="1913" spans="1:6" x14ac:dyDescent="0.2">
      <c r="A1913" t="s">
        <v>3978</v>
      </c>
      <c r="B1913" t="s">
        <v>3977</v>
      </c>
      <c r="C1913" t="s">
        <v>37</v>
      </c>
      <c r="D1913" t="s">
        <v>52</v>
      </c>
      <c r="E1913" t="s">
        <v>246</v>
      </c>
      <c r="F1913" s="2" t="str">
        <f>HYPERLINK("http://www.otzar.org/book.asp?195118","אור ימי הפסח")</f>
        <v>אור ימי הפסח</v>
      </c>
    </row>
    <row r="1914" spans="1:6" x14ac:dyDescent="0.2">
      <c r="A1914" t="s">
        <v>3979</v>
      </c>
      <c r="B1914" t="s">
        <v>3977</v>
      </c>
      <c r="C1914" t="s">
        <v>37</v>
      </c>
      <c r="D1914" t="s">
        <v>52</v>
      </c>
      <c r="E1914" t="s">
        <v>246</v>
      </c>
      <c r="F1914" s="2" t="str">
        <f>HYPERLINK("http://www.otzar.org/book.asp?195119","אור ימי ספירת העומר וחג השבועות")</f>
        <v>אור ימי ספירת העומר וחג השבועות</v>
      </c>
    </row>
    <row r="1915" spans="1:6" x14ac:dyDescent="0.2">
      <c r="A1915" t="s">
        <v>3980</v>
      </c>
      <c r="B1915" t="s">
        <v>3981</v>
      </c>
      <c r="C1915" t="s">
        <v>356</v>
      </c>
      <c r="D1915" t="s">
        <v>14</v>
      </c>
      <c r="E1915" t="s">
        <v>144</v>
      </c>
      <c r="F1915" s="2" t="str">
        <f>HYPERLINK("http://www.otzar.org/book.asp?52186","אור יעקב - 5 כר'")</f>
        <v>אור יעקב - 5 כר'</v>
      </c>
    </row>
    <row r="1916" spans="1:6" x14ac:dyDescent="0.2">
      <c r="A1916" t="s">
        <v>3982</v>
      </c>
      <c r="B1916" t="s">
        <v>3983</v>
      </c>
      <c r="C1916" t="s">
        <v>351</v>
      </c>
      <c r="D1916" t="s">
        <v>56</v>
      </c>
      <c r="E1916" t="s">
        <v>3984</v>
      </c>
      <c r="F1916" s="2" t="str">
        <f>HYPERLINK("http://www.otzar.org/book.asp?104318","אור יעקב")</f>
        <v>אור יעקב</v>
      </c>
    </row>
    <row r="1917" spans="1:6" x14ac:dyDescent="0.2">
      <c r="A1917" t="s">
        <v>3985</v>
      </c>
      <c r="B1917" t="s">
        <v>3986</v>
      </c>
      <c r="C1917" t="s">
        <v>767</v>
      </c>
      <c r="D1917" t="s">
        <v>52</v>
      </c>
      <c r="E1917" t="s">
        <v>3987</v>
      </c>
      <c r="F1917" s="2" t="str">
        <f>HYPERLINK("http://www.otzar.org/book.asp?23764","אור יצהר")</f>
        <v>אור יצהר</v>
      </c>
    </row>
    <row r="1918" spans="1:6" x14ac:dyDescent="0.2">
      <c r="A1918" t="s">
        <v>3988</v>
      </c>
      <c r="B1918" t="s">
        <v>3989</v>
      </c>
      <c r="C1918" t="s">
        <v>71</v>
      </c>
      <c r="D1918" t="s">
        <v>52</v>
      </c>
      <c r="E1918" t="s">
        <v>246</v>
      </c>
      <c r="F1918" s="2" t="str">
        <f>HYPERLINK("http://www.otzar.org/book.asp?84674","אור יצהר - 2 כר'")</f>
        <v>אור יצהר - 2 כר'</v>
      </c>
    </row>
    <row r="1919" spans="1:6" x14ac:dyDescent="0.2">
      <c r="A1919" t="s">
        <v>3990</v>
      </c>
      <c r="B1919" t="s">
        <v>3991</v>
      </c>
      <c r="C1919" t="s">
        <v>422</v>
      </c>
      <c r="D1919" t="s">
        <v>412</v>
      </c>
      <c r="E1919" t="s">
        <v>3992</v>
      </c>
      <c r="F1919" s="2" t="str">
        <f>HYPERLINK("http://www.otzar.org/book.asp?170536","אור יצחק &lt;מהדורה חדשה - ללא המפתחות&gt;")</f>
        <v>אור יצחק &lt;מהדורה חדשה - ללא המפתחות&gt;</v>
      </c>
    </row>
    <row r="1920" spans="1:6" x14ac:dyDescent="0.2">
      <c r="A1920" t="s">
        <v>3993</v>
      </c>
      <c r="B1920" t="s">
        <v>206</v>
      </c>
      <c r="C1920" t="s">
        <v>3994</v>
      </c>
      <c r="D1920" t="s">
        <v>14</v>
      </c>
      <c r="F1920" s="2" t="str">
        <f>HYPERLINK("http://www.otzar.org/book.asp?150584","אור יצחק - נדרים, קדושין, יבמות, מכות, כתובות")</f>
        <v>אור יצחק - נדרים, קדושין, יבמות, מכות, כתובות</v>
      </c>
    </row>
    <row r="1921" spans="1:6" x14ac:dyDescent="0.2">
      <c r="A1921" t="s">
        <v>3995</v>
      </c>
      <c r="B1921" t="s">
        <v>3996</v>
      </c>
      <c r="C1921" t="s">
        <v>51</v>
      </c>
      <c r="D1921" t="s">
        <v>14</v>
      </c>
      <c r="E1921" t="s">
        <v>144</v>
      </c>
      <c r="F1921" s="2" t="str">
        <f>HYPERLINK("http://www.otzar.org/book.asp?161243","אור יצחק - גניבה וגזילה")</f>
        <v>אור יצחק - גניבה וגזילה</v>
      </c>
    </row>
    <row r="1922" spans="1:6" x14ac:dyDescent="0.2">
      <c r="A1922" t="s">
        <v>3997</v>
      </c>
      <c r="B1922" t="s">
        <v>3991</v>
      </c>
      <c r="C1922" t="s">
        <v>767</v>
      </c>
      <c r="D1922" t="s">
        <v>14</v>
      </c>
      <c r="E1922" t="s">
        <v>158</v>
      </c>
      <c r="F1922" s="2" t="str">
        <f>HYPERLINK("http://www.otzar.org/book.asp?26338","אור יצחק")</f>
        <v>אור יצחק</v>
      </c>
    </row>
    <row r="1923" spans="1:6" x14ac:dyDescent="0.2">
      <c r="A1923" t="s">
        <v>3998</v>
      </c>
      <c r="B1923" t="s">
        <v>3999</v>
      </c>
      <c r="C1923" t="s">
        <v>454</v>
      </c>
      <c r="D1923" t="s">
        <v>14</v>
      </c>
      <c r="E1923" t="s">
        <v>154</v>
      </c>
      <c r="F1923" s="2" t="str">
        <f>HYPERLINK("http://www.otzar.org/book.asp?171881","אור יצחק - 3 כר'")</f>
        <v>אור יצחק - 3 כר'</v>
      </c>
    </row>
    <row r="1924" spans="1:6" x14ac:dyDescent="0.2">
      <c r="A1924" t="s">
        <v>4000</v>
      </c>
      <c r="B1924" t="s">
        <v>4001</v>
      </c>
      <c r="C1924" t="s">
        <v>4002</v>
      </c>
      <c r="D1924" t="s">
        <v>283</v>
      </c>
      <c r="E1924" t="s">
        <v>4003</v>
      </c>
      <c r="F1924" s="2" t="str">
        <f>HYPERLINK("http://www.otzar.org/book.asp?100237","אור יצחק - א ב")</f>
        <v>אור יצחק - א ב</v>
      </c>
    </row>
    <row r="1925" spans="1:6" x14ac:dyDescent="0.2">
      <c r="A1925" t="s">
        <v>4004</v>
      </c>
      <c r="B1925" t="s">
        <v>4005</v>
      </c>
      <c r="C1925" t="s">
        <v>133</v>
      </c>
      <c r="D1925" t="s">
        <v>139</v>
      </c>
      <c r="E1925" t="s">
        <v>246</v>
      </c>
      <c r="F1925" s="2" t="str">
        <f>HYPERLINK("http://www.otzar.org/book.asp?181619","אור יקר - עניני חנוכה")</f>
        <v>אור יקר - עניני חנוכה</v>
      </c>
    </row>
    <row r="1926" spans="1:6" x14ac:dyDescent="0.2">
      <c r="A1926" t="s">
        <v>4006</v>
      </c>
      <c r="B1926" t="s">
        <v>4007</v>
      </c>
      <c r="C1926" t="s">
        <v>454</v>
      </c>
      <c r="D1926" t="s">
        <v>27</v>
      </c>
      <c r="E1926" t="s">
        <v>84</v>
      </c>
      <c r="F1926" s="2" t="str">
        <f>HYPERLINK("http://www.otzar.org/book.asp?618998","אור יקרות &lt;מהדורה חדשה&gt; - א")</f>
        <v>אור יקרות &lt;מהדורה חדשה&gt; - א</v>
      </c>
    </row>
    <row r="1927" spans="1:6" x14ac:dyDescent="0.2">
      <c r="A1927" t="s">
        <v>4008</v>
      </c>
      <c r="B1927" t="s">
        <v>1691</v>
      </c>
      <c r="C1927" t="s">
        <v>111</v>
      </c>
      <c r="D1927" t="s">
        <v>14</v>
      </c>
      <c r="E1927" t="s">
        <v>158</v>
      </c>
      <c r="F1927" s="2" t="str">
        <f>HYPERLINK("http://www.otzar.org/book.asp?619067","אור יקרות הנביאים - ישעיהו, ירמיהו")</f>
        <v>אור יקרות הנביאים - ישעיהו, ירמיהו</v>
      </c>
    </row>
    <row r="1928" spans="1:6" x14ac:dyDescent="0.2">
      <c r="A1928" t="s">
        <v>4009</v>
      </c>
      <c r="B1928" t="s">
        <v>4010</v>
      </c>
      <c r="C1928" t="s">
        <v>422</v>
      </c>
      <c r="D1928" t="s">
        <v>21</v>
      </c>
      <c r="E1928" t="s">
        <v>158</v>
      </c>
      <c r="F1928" s="2" t="str">
        <f>HYPERLINK("http://www.otzar.org/book.asp?196674","אור יקרות - א")</f>
        <v>אור יקרות - א</v>
      </c>
    </row>
    <row r="1929" spans="1:6" x14ac:dyDescent="0.2">
      <c r="A1929" t="s">
        <v>4011</v>
      </c>
      <c r="B1929" t="s">
        <v>4012</v>
      </c>
      <c r="C1929" t="s">
        <v>13</v>
      </c>
      <c r="D1929" t="s">
        <v>52</v>
      </c>
      <c r="E1929" t="s">
        <v>246</v>
      </c>
      <c r="F1929" s="2" t="str">
        <f>HYPERLINK("http://www.otzar.org/book.asp?162943","אור יקרות - 3 כר'")</f>
        <v>אור יקרות - 3 כר'</v>
      </c>
    </row>
    <row r="1930" spans="1:6" x14ac:dyDescent="0.2">
      <c r="A1930" t="s">
        <v>4013</v>
      </c>
      <c r="B1930" t="s">
        <v>4014</v>
      </c>
      <c r="C1930" t="s">
        <v>13</v>
      </c>
      <c r="D1930" t="s">
        <v>14</v>
      </c>
      <c r="E1930" t="s">
        <v>564</v>
      </c>
      <c r="F1930" s="2" t="str">
        <f>HYPERLINK("http://www.otzar.org/book.asp?61109","אור יקרות")</f>
        <v>אור יקרות</v>
      </c>
    </row>
    <row r="1931" spans="1:6" x14ac:dyDescent="0.2">
      <c r="A1931" t="s">
        <v>4013</v>
      </c>
      <c r="B1931" t="s">
        <v>4015</v>
      </c>
      <c r="C1931" t="s">
        <v>160</v>
      </c>
      <c r="D1931" t="s">
        <v>9</v>
      </c>
      <c r="E1931" t="s">
        <v>144</v>
      </c>
      <c r="F1931" s="2" t="str">
        <f>HYPERLINK("http://www.otzar.org/book.asp?168329","אור יקרות")</f>
        <v>אור יקרות</v>
      </c>
    </row>
    <row r="1932" spans="1:6" x14ac:dyDescent="0.2">
      <c r="A1932" t="s">
        <v>4013</v>
      </c>
      <c r="B1932" t="s">
        <v>4016</v>
      </c>
      <c r="C1932" t="s">
        <v>2213</v>
      </c>
      <c r="D1932" t="s">
        <v>60</v>
      </c>
      <c r="E1932" t="s">
        <v>158</v>
      </c>
      <c r="F1932" s="2" t="str">
        <f>HYPERLINK("http://www.otzar.org/book.asp?108280","אור יקרות")</f>
        <v>אור יקרות</v>
      </c>
    </row>
    <row r="1933" spans="1:6" x14ac:dyDescent="0.2">
      <c r="A1933" t="s">
        <v>4013</v>
      </c>
      <c r="B1933" t="s">
        <v>4017</v>
      </c>
      <c r="C1933" t="s">
        <v>2323</v>
      </c>
      <c r="D1933" t="s">
        <v>1490</v>
      </c>
      <c r="E1933" t="s">
        <v>803</v>
      </c>
      <c r="F1933" s="2" t="str">
        <f>HYPERLINK("http://www.otzar.org/book.asp?103961","אור יקרות")</f>
        <v>אור יקרות</v>
      </c>
    </row>
    <row r="1934" spans="1:6" x14ac:dyDescent="0.2">
      <c r="A1934" t="s">
        <v>4009</v>
      </c>
      <c r="B1934" t="s">
        <v>4007</v>
      </c>
      <c r="C1934" t="s">
        <v>1096</v>
      </c>
      <c r="D1934" t="s">
        <v>27</v>
      </c>
      <c r="E1934" t="s">
        <v>786</v>
      </c>
      <c r="F1934" s="2" t="str">
        <f>HYPERLINK("http://www.otzar.org/book.asp?300176","אור יקרות - א")</f>
        <v>אור יקרות - א</v>
      </c>
    </row>
    <row r="1935" spans="1:6" x14ac:dyDescent="0.2">
      <c r="A1935" t="s">
        <v>4018</v>
      </c>
      <c r="B1935" t="s">
        <v>939</v>
      </c>
      <c r="C1935" t="s">
        <v>383</v>
      </c>
      <c r="D1935" t="s">
        <v>14</v>
      </c>
      <c r="E1935" t="s">
        <v>246</v>
      </c>
      <c r="F1935" s="2" t="str">
        <f>HYPERLINK("http://www.otzar.org/book.asp?196604","אור יקרות - חנוכה")</f>
        <v>אור יקרות - חנוכה</v>
      </c>
    </row>
    <row r="1936" spans="1:6" x14ac:dyDescent="0.2">
      <c r="A1936" t="s">
        <v>4011</v>
      </c>
      <c r="B1936" t="s">
        <v>4019</v>
      </c>
      <c r="C1936" t="s">
        <v>68</v>
      </c>
      <c r="D1936" t="s">
        <v>14</v>
      </c>
      <c r="E1936" t="s">
        <v>84</v>
      </c>
      <c r="F1936" s="2" t="str">
        <f>HYPERLINK("http://www.otzar.org/book.asp?166099","אור יקרות - 3 כר'")</f>
        <v>אור יקרות - 3 כר'</v>
      </c>
    </row>
    <row r="1937" spans="1:6" x14ac:dyDescent="0.2">
      <c r="A1937" t="s">
        <v>4020</v>
      </c>
      <c r="B1937" t="s">
        <v>3800</v>
      </c>
      <c r="C1937" t="s">
        <v>624</v>
      </c>
      <c r="D1937" t="s">
        <v>14</v>
      </c>
      <c r="F1937" s="2" t="str">
        <f>HYPERLINK("http://www.otzar.org/book.asp?611252","אור יקרות - 4 כר'")</f>
        <v>אור יקרות - 4 כר'</v>
      </c>
    </row>
    <row r="1938" spans="1:6" x14ac:dyDescent="0.2">
      <c r="A1938" t="s">
        <v>4013</v>
      </c>
      <c r="B1938" t="s">
        <v>4021</v>
      </c>
      <c r="C1938" t="s">
        <v>68</v>
      </c>
      <c r="D1938" t="s">
        <v>14</v>
      </c>
      <c r="E1938" t="s">
        <v>4022</v>
      </c>
      <c r="F1938" s="2" t="str">
        <f>HYPERLINK("http://www.otzar.org/book.asp?152388","אור יקרות")</f>
        <v>אור יקרות</v>
      </c>
    </row>
    <row r="1939" spans="1:6" x14ac:dyDescent="0.2">
      <c r="A1939" t="s">
        <v>4023</v>
      </c>
      <c r="B1939" t="s">
        <v>4024</v>
      </c>
      <c r="C1939" t="s">
        <v>23</v>
      </c>
      <c r="D1939" t="s">
        <v>90</v>
      </c>
      <c r="E1939" t="s">
        <v>803</v>
      </c>
      <c r="F1939" s="2" t="str">
        <f>HYPERLINK("http://www.otzar.org/book.asp?190230","אור יקרות - 2 כר'")</f>
        <v>אור יקרות - 2 כר'</v>
      </c>
    </row>
    <row r="1940" spans="1:6" x14ac:dyDescent="0.2">
      <c r="A1940" t="s">
        <v>4025</v>
      </c>
      <c r="B1940" t="s">
        <v>4026</v>
      </c>
      <c r="C1940" t="s">
        <v>624</v>
      </c>
      <c r="D1940" t="s">
        <v>4027</v>
      </c>
      <c r="E1940" t="s">
        <v>186</v>
      </c>
      <c r="F1940" s="2" t="str">
        <f>HYPERLINK("http://www.otzar.org/book.asp?604303","אור ירושלים - ב")</f>
        <v>אור ירושלים - ב</v>
      </c>
    </row>
    <row r="1941" spans="1:6" x14ac:dyDescent="0.2">
      <c r="A1941" t="s">
        <v>4028</v>
      </c>
      <c r="B1941" t="s">
        <v>4029</v>
      </c>
      <c r="C1941" t="s">
        <v>558</v>
      </c>
      <c r="D1941" t="s">
        <v>225</v>
      </c>
      <c r="E1941" t="s">
        <v>586</v>
      </c>
      <c r="F1941" s="2" t="str">
        <f>HYPERLINK("http://www.otzar.org/book.asp?108737","אור ישן")</f>
        <v>אור ישן</v>
      </c>
    </row>
    <row r="1942" spans="1:6" x14ac:dyDescent="0.2">
      <c r="A1942" t="s">
        <v>4030</v>
      </c>
      <c r="B1942" t="s">
        <v>4031</v>
      </c>
      <c r="C1942" t="s">
        <v>189</v>
      </c>
      <c r="D1942" t="s">
        <v>423</v>
      </c>
      <c r="E1942" t="s">
        <v>4032</v>
      </c>
      <c r="F1942" s="2" t="str">
        <f>HYPERLINK("http://www.otzar.org/book.asp?170446","אור ישע השלם")</f>
        <v>אור ישע השלם</v>
      </c>
    </row>
    <row r="1943" spans="1:6" x14ac:dyDescent="0.2">
      <c r="A1943" t="s">
        <v>4033</v>
      </c>
      <c r="B1943" t="s">
        <v>4034</v>
      </c>
      <c r="C1943" t="s">
        <v>1096</v>
      </c>
      <c r="D1943" t="s">
        <v>855</v>
      </c>
      <c r="E1943" t="s">
        <v>2071</v>
      </c>
      <c r="F1943" s="2" t="str">
        <f>HYPERLINK("http://www.otzar.org/book.asp?51762","אור ישע")</f>
        <v>אור ישע</v>
      </c>
    </row>
    <row r="1944" spans="1:6" x14ac:dyDescent="0.2">
      <c r="A1944" t="s">
        <v>4035</v>
      </c>
      <c r="B1944" t="s">
        <v>4031</v>
      </c>
      <c r="C1944" t="s">
        <v>124</v>
      </c>
      <c r="D1944" t="s">
        <v>14</v>
      </c>
      <c r="E1944" t="s">
        <v>1185</v>
      </c>
      <c r="F1944" s="2" t="str">
        <f>HYPERLINK("http://www.otzar.org/book.asp?160274","אור ישע - 4 כר'")</f>
        <v>אור ישע - 4 כר'</v>
      </c>
    </row>
    <row r="1945" spans="1:6" x14ac:dyDescent="0.2">
      <c r="A1945" t="s">
        <v>4036</v>
      </c>
      <c r="B1945" t="s">
        <v>4037</v>
      </c>
      <c r="C1945" t="s">
        <v>940</v>
      </c>
      <c r="D1945" t="s">
        <v>52</v>
      </c>
      <c r="E1945" t="s">
        <v>158</v>
      </c>
      <c r="F1945" s="2" t="str">
        <f>HYPERLINK("http://www.otzar.org/book.asp?199999","אור ישר, אור חוזר, קרסי זהב")</f>
        <v>אור ישר, אור חוזר, קרסי זהב</v>
      </c>
    </row>
    <row r="1946" spans="1:6" x14ac:dyDescent="0.2">
      <c r="A1946" t="s">
        <v>4038</v>
      </c>
      <c r="B1946" t="s">
        <v>4039</v>
      </c>
      <c r="C1946" t="s">
        <v>334</v>
      </c>
      <c r="D1946" t="s">
        <v>52</v>
      </c>
      <c r="E1946" t="s">
        <v>213</v>
      </c>
      <c r="F1946" s="2" t="str">
        <f>HYPERLINK("http://www.otzar.org/book.asp?179500","אור ישראל &lt;אגרת הזאת&gt;")</f>
        <v>אור ישראל &lt;אגרת הזאת&gt;</v>
      </c>
    </row>
    <row r="1947" spans="1:6" x14ac:dyDescent="0.2">
      <c r="A1947" t="s">
        <v>4040</v>
      </c>
      <c r="B1947" t="s">
        <v>1750</v>
      </c>
      <c r="C1947" t="s">
        <v>767</v>
      </c>
      <c r="D1947" t="s">
        <v>412</v>
      </c>
      <c r="E1947" t="s">
        <v>202</v>
      </c>
      <c r="F1947" s="2" t="str">
        <f>HYPERLINK("http://www.otzar.org/book.asp?106506","אור ישראל &lt;מאנסי&gt; - 72 כר'")</f>
        <v>אור ישראל &lt;מאנסי&gt; - 72 כר'</v>
      </c>
    </row>
    <row r="1948" spans="1:6" x14ac:dyDescent="0.2">
      <c r="A1948" t="s">
        <v>4041</v>
      </c>
      <c r="B1948" t="s">
        <v>4042</v>
      </c>
      <c r="C1948" t="s">
        <v>151</v>
      </c>
      <c r="D1948" t="s">
        <v>14</v>
      </c>
      <c r="F1948" s="2" t="str">
        <f>HYPERLINK("http://www.otzar.org/book.asp?621858","אור ישראל &lt;שו""ת&gt; - ד' חלקי שו""ע")</f>
        <v>אור ישראל &lt;שו"ת&gt; - ד' חלקי שו"ע</v>
      </c>
    </row>
    <row r="1949" spans="1:6" x14ac:dyDescent="0.2">
      <c r="A1949" t="s">
        <v>4043</v>
      </c>
      <c r="B1949" t="s">
        <v>4044</v>
      </c>
      <c r="C1949" t="s">
        <v>79</v>
      </c>
      <c r="D1949" t="s">
        <v>3592</v>
      </c>
      <c r="E1949" t="s">
        <v>246</v>
      </c>
      <c r="F1949" s="2" t="str">
        <f>HYPERLINK("http://www.otzar.org/book.asp?163659","אור ישראל (הגדה של פסח)")</f>
        <v>אור ישראל (הגדה של פסח)</v>
      </c>
    </row>
    <row r="1950" spans="1:6" x14ac:dyDescent="0.2">
      <c r="A1950" t="s">
        <v>4045</v>
      </c>
      <c r="B1950" t="s">
        <v>4046</v>
      </c>
      <c r="C1950" t="s">
        <v>146</v>
      </c>
      <c r="D1950" t="s">
        <v>14</v>
      </c>
      <c r="E1950" t="s">
        <v>241</v>
      </c>
      <c r="F1950" s="2" t="str">
        <f>HYPERLINK("http://www.otzar.org/book.asp?157489","אור ישראל עם עיונים")</f>
        <v>אור ישראל עם עיונים</v>
      </c>
    </row>
    <row r="1951" spans="1:6" x14ac:dyDescent="0.2">
      <c r="A1951" t="s">
        <v>4047</v>
      </c>
      <c r="B1951" t="s">
        <v>4048</v>
      </c>
      <c r="C1951" t="s">
        <v>13</v>
      </c>
      <c r="D1951" t="s">
        <v>14</v>
      </c>
      <c r="E1951" t="s">
        <v>15</v>
      </c>
      <c r="F1951" s="2" t="str">
        <f>HYPERLINK("http://www.otzar.org/book.asp?60130","אור ישראל")</f>
        <v>אור ישראל</v>
      </c>
    </row>
    <row r="1952" spans="1:6" x14ac:dyDescent="0.2">
      <c r="A1952" t="s">
        <v>4047</v>
      </c>
      <c r="B1952" t="s">
        <v>2007</v>
      </c>
      <c r="C1952" t="s">
        <v>812</v>
      </c>
      <c r="D1952" t="s">
        <v>2009</v>
      </c>
      <c r="E1952" t="s">
        <v>140</v>
      </c>
      <c r="F1952" s="2" t="str">
        <f>HYPERLINK("http://www.otzar.org/book.asp?10339","אור ישראל")</f>
        <v>אור ישראל</v>
      </c>
    </row>
    <row r="1953" spans="1:6" x14ac:dyDescent="0.2">
      <c r="A1953" t="s">
        <v>4047</v>
      </c>
      <c r="B1953" t="s">
        <v>4049</v>
      </c>
      <c r="C1953" t="s">
        <v>75</v>
      </c>
      <c r="D1953" t="s">
        <v>1538</v>
      </c>
      <c r="E1953" t="s">
        <v>399</v>
      </c>
      <c r="F1953" s="2" t="str">
        <f>HYPERLINK("http://www.otzar.org/book.asp?300175","אור ישראל")</f>
        <v>אור ישראל</v>
      </c>
    </row>
    <row r="1954" spans="1:6" x14ac:dyDescent="0.2">
      <c r="A1954" t="s">
        <v>4047</v>
      </c>
      <c r="B1954" t="s">
        <v>4050</v>
      </c>
      <c r="C1954" t="s">
        <v>4051</v>
      </c>
      <c r="D1954" t="s">
        <v>283</v>
      </c>
      <c r="E1954" t="s">
        <v>606</v>
      </c>
      <c r="F1954" s="2" t="str">
        <f>HYPERLINK("http://www.otzar.org/book.asp?8606","אור ישראל")</f>
        <v>אור ישראל</v>
      </c>
    </row>
    <row r="1955" spans="1:6" x14ac:dyDescent="0.2">
      <c r="A1955" t="s">
        <v>4047</v>
      </c>
      <c r="B1955" t="s">
        <v>4052</v>
      </c>
      <c r="C1955" t="s">
        <v>4053</v>
      </c>
      <c r="D1955" t="s">
        <v>2290</v>
      </c>
      <c r="E1955" t="s">
        <v>4054</v>
      </c>
      <c r="F1955" s="2" t="str">
        <f>HYPERLINK("http://www.otzar.org/book.asp?14156","אור ישראל")</f>
        <v>אור ישראל</v>
      </c>
    </row>
    <row r="1956" spans="1:6" x14ac:dyDescent="0.2">
      <c r="A1956" t="s">
        <v>4055</v>
      </c>
      <c r="B1956" t="s">
        <v>4056</v>
      </c>
      <c r="C1956" t="s">
        <v>4057</v>
      </c>
      <c r="D1956" t="s">
        <v>1023</v>
      </c>
      <c r="E1956" t="s">
        <v>234</v>
      </c>
      <c r="F1956" s="2" t="str">
        <f>HYPERLINK("http://www.otzar.org/book.asp?84337","אור ישראל - 2 כר'")</f>
        <v>אור ישראל - 2 כר'</v>
      </c>
    </row>
    <row r="1957" spans="1:6" x14ac:dyDescent="0.2">
      <c r="A1957" t="s">
        <v>4047</v>
      </c>
      <c r="B1957" t="s">
        <v>4039</v>
      </c>
      <c r="C1957" t="s">
        <v>492</v>
      </c>
      <c r="D1957" t="s">
        <v>344</v>
      </c>
      <c r="E1957" t="s">
        <v>213</v>
      </c>
      <c r="F1957" s="2" t="str">
        <f>HYPERLINK("http://www.otzar.org/book.asp?200631","אור ישראל")</f>
        <v>אור ישראל</v>
      </c>
    </row>
    <row r="1958" spans="1:6" x14ac:dyDescent="0.2">
      <c r="A1958" t="s">
        <v>4055</v>
      </c>
      <c r="B1958" t="s">
        <v>4058</v>
      </c>
      <c r="C1958" t="s">
        <v>4059</v>
      </c>
      <c r="D1958" t="s">
        <v>4060</v>
      </c>
      <c r="E1958" t="s">
        <v>791</v>
      </c>
      <c r="F1958" s="2" t="str">
        <f>HYPERLINK("http://www.otzar.org/book.asp?104200","אור ישראל - 2 כר'")</f>
        <v>אור ישראל - 2 כר'</v>
      </c>
    </row>
    <row r="1959" spans="1:6" x14ac:dyDescent="0.2">
      <c r="A1959" t="s">
        <v>4047</v>
      </c>
      <c r="B1959" t="s">
        <v>4061</v>
      </c>
      <c r="C1959" t="s">
        <v>1208</v>
      </c>
      <c r="D1959" t="s">
        <v>14</v>
      </c>
      <c r="E1959" t="s">
        <v>158</v>
      </c>
      <c r="F1959" s="2" t="str">
        <f>HYPERLINK("http://www.otzar.org/book.asp?155111","אור ישראל")</f>
        <v>אור ישראל</v>
      </c>
    </row>
    <row r="1960" spans="1:6" x14ac:dyDescent="0.2">
      <c r="A1960" t="s">
        <v>4062</v>
      </c>
      <c r="B1960" t="s">
        <v>4063</v>
      </c>
      <c r="C1960" t="s">
        <v>114</v>
      </c>
      <c r="D1960" t="s">
        <v>1840</v>
      </c>
      <c r="E1960" t="s">
        <v>202</v>
      </c>
      <c r="F1960" s="2" t="str">
        <f>HYPERLINK("http://www.otzar.org/book.asp?198672","אור ישראל - 7 כר'")</f>
        <v>אור ישראל - 7 כר'</v>
      </c>
    </row>
    <row r="1961" spans="1:6" x14ac:dyDescent="0.2">
      <c r="A1961" t="s">
        <v>4047</v>
      </c>
      <c r="B1961" t="s">
        <v>4064</v>
      </c>
      <c r="C1961" t="s">
        <v>103</v>
      </c>
      <c r="D1961" t="s">
        <v>14</v>
      </c>
      <c r="E1961" t="s">
        <v>4065</v>
      </c>
      <c r="F1961" s="2" t="str">
        <f>HYPERLINK("http://www.otzar.org/book.asp?50261","אור ישראל")</f>
        <v>אור ישראל</v>
      </c>
    </row>
    <row r="1962" spans="1:6" x14ac:dyDescent="0.2">
      <c r="A1962" t="s">
        <v>4066</v>
      </c>
      <c r="B1962" t="s">
        <v>522</v>
      </c>
      <c r="C1962" t="s">
        <v>624</v>
      </c>
      <c r="D1962" t="s">
        <v>52</v>
      </c>
      <c r="E1962" t="s">
        <v>148</v>
      </c>
      <c r="F1962" s="2" t="str">
        <f>HYPERLINK("http://www.otzar.org/book.asp?53062","אור ישראל - א (א-מה)")</f>
        <v>אור ישראל - א (א-מה)</v>
      </c>
    </row>
    <row r="1963" spans="1:6" x14ac:dyDescent="0.2">
      <c r="A1963" t="s">
        <v>4067</v>
      </c>
      <c r="B1963" t="s">
        <v>4068</v>
      </c>
      <c r="C1963" t="s">
        <v>71</v>
      </c>
      <c r="D1963" t="s">
        <v>216</v>
      </c>
      <c r="E1963" t="s">
        <v>230</v>
      </c>
      <c r="F1963" s="2" t="str">
        <f>HYPERLINK("http://www.otzar.org/book.asp?156433","אור ישראל - על התורה ומועדים")</f>
        <v>אור ישראל - על התורה ומועדים</v>
      </c>
    </row>
    <row r="1964" spans="1:6" x14ac:dyDescent="0.2">
      <c r="A1964" t="s">
        <v>4069</v>
      </c>
      <c r="B1964" t="s">
        <v>4070</v>
      </c>
      <c r="C1964" t="s">
        <v>775</v>
      </c>
      <c r="D1964" t="s">
        <v>2375</v>
      </c>
      <c r="E1964" t="s">
        <v>2091</v>
      </c>
      <c r="F1964" s="2" t="str">
        <f>HYPERLINK("http://www.otzar.org/book.asp?148634","אור ישראל - 5 כר'")</f>
        <v>אור ישראל - 5 כר'</v>
      </c>
    </row>
    <row r="1965" spans="1:6" x14ac:dyDescent="0.2">
      <c r="A1965" t="s">
        <v>4047</v>
      </c>
      <c r="B1965" t="s">
        <v>4071</v>
      </c>
      <c r="C1965" t="s">
        <v>785</v>
      </c>
      <c r="D1965" t="s">
        <v>2375</v>
      </c>
      <c r="E1965" t="s">
        <v>202</v>
      </c>
      <c r="F1965" s="2" t="str">
        <f>HYPERLINK("http://www.otzar.org/book.asp?195622","אור ישראל")</f>
        <v>אור ישראל</v>
      </c>
    </row>
    <row r="1966" spans="1:6" x14ac:dyDescent="0.2">
      <c r="A1966" t="s">
        <v>4062</v>
      </c>
      <c r="B1966" t="s">
        <v>4072</v>
      </c>
      <c r="C1966" t="s">
        <v>940</v>
      </c>
      <c r="D1966" t="s">
        <v>52</v>
      </c>
      <c r="E1966" t="s">
        <v>202</v>
      </c>
      <c r="F1966" s="2" t="str">
        <f>HYPERLINK("http://www.otzar.org/book.asp?157463","אור ישראל - 7 כר'")</f>
        <v>אור ישראל - 7 כר'</v>
      </c>
    </row>
    <row r="1967" spans="1:6" x14ac:dyDescent="0.2">
      <c r="A1967" t="s">
        <v>4047</v>
      </c>
      <c r="B1967" t="s">
        <v>4073</v>
      </c>
      <c r="C1967" t="s">
        <v>888</v>
      </c>
      <c r="D1967" t="s">
        <v>283</v>
      </c>
      <c r="E1967" t="s">
        <v>4074</v>
      </c>
      <c r="F1967" s="2" t="str">
        <f>HYPERLINK("http://www.otzar.org/book.asp?100287","אור ישראל")</f>
        <v>אור ישראל</v>
      </c>
    </row>
    <row r="1968" spans="1:6" x14ac:dyDescent="0.2">
      <c r="A1968" t="s">
        <v>4075</v>
      </c>
      <c r="B1968" t="s">
        <v>4042</v>
      </c>
      <c r="C1968" t="s">
        <v>129</v>
      </c>
      <c r="D1968" t="s">
        <v>14</v>
      </c>
      <c r="E1968" t="s">
        <v>148</v>
      </c>
      <c r="F1968" s="2" t="str">
        <f>HYPERLINK("http://www.otzar.org/book.asp?62735","אור ישראל - 3 כר'")</f>
        <v>אור ישראל - 3 כר'</v>
      </c>
    </row>
    <row r="1969" spans="1:6" x14ac:dyDescent="0.2">
      <c r="A1969" t="s">
        <v>4076</v>
      </c>
      <c r="B1969" t="s">
        <v>4077</v>
      </c>
      <c r="C1969" t="s">
        <v>1609</v>
      </c>
      <c r="D1969" t="s">
        <v>27</v>
      </c>
      <c r="E1969" t="s">
        <v>140</v>
      </c>
      <c r="F1969" s="2" t="str">
        <f>HYPERLINK("http://www.otzar.org/book.asp?10334","אור ישרים - 2 כר'")</f>
        <v>אור ישרים - 2 כר'</v>
      </c>
    </row>
    <row r="1970" spans="1:6" x14ac:dyDescent="0.2">
      <c r="A1970" t="s">
        <v>4078</v>
      </c>
      <c r="B1970" t="s">
        <v>4079</v>
      </c>
      <c r="C1970" t="s">
        <v>956</v>
      </c>
      <c r="D1970" t="s">
        <v>14</v>
      </c>
      <c r="E1970" t="s">
        <v>119</v>
      </c>
      <c r="F1970" s="2" t="str">
        <f>HYPERLINK("http://www.otzar.org/book.asp?144839","אור כי טוב")</f>
        <v>אור כי טוב</v>
      </c>
    </row>
    <row r="1971" spans="1:6" x14ac:dyDescent="0.2">
      <c r="A1971" t="s">
        <v>4080</v>
      </c>
      <c r="B1971" t="s">
        <v>4081</v>
      </c>
      <c r="C1971" t="s">
        <v>422</v>
      </c>
      <c r="D1971" t="s">
        <v>646</v>
      </c>
      <c r="E1971" t="s">
        <v>24</v>
      </c>
      <c r="F1971" s="2" t="str">
        <f>HYPERLINK("http://www.otzar.org/book.asp?150898","אור לארבעה עשר - סדר ברכת החמה")</f>
        <v>אור לארבעה עשר - סדר ברכת החמה</v>
      </c>
    </row>
    <row r="1972" spans="1:6" x14ac:dyDescent="0.2">
      <c r="A1972" t="s">
        <v>4082</v>
      </c>
      <c r="B1972" t="s">
        <v>1681</v>
      </c>
      <c r="C1972" t="s">
        <v>454</v>
      </c>
      <c r="D1972" t="s">
        <v>52</v>
      </c>
      <c r="E1972" t="s">
        <v>15</v>
      </c>
      <c r="F1972" s="2" t="str">
        <f>HYPERLINK("http://www.otzar.org/book.asp?23931","אור לארבעה עשר")</f>
        <v>אור לארבעה עשר</v>
      </c>
    </row>
    <row r="1973" spans="1:6" x14ac:dyDescent="0.2">
      <c r="A1973" t="s">
        <v>4083</v>
      </c>
      <c r="B1973" t="s">
        <v>4084</v>
      </c>
      <c r="C1973" t="s">
        <v>411</v>
      </c>
      <c r="D1973" t="s">
        <v>1974</v>
      </c>
      <c r="E1973" t="s">
        <v>15</v>
      </c>
      <c r="F1973" s="2" t="str">
        <f>HYPERLINK("http://www.otzar.org/book.asp?190750","אור לגויים")</f>
        <v>אור לגויים</v>
      </c>
    </row>
    <row r="1974" spans="1:6" x14ac:dyDescent="0.2">
      <c r="A1974" t="s">
        <v>4085</v>
      </c>
      <c r="B1974" t="s">
        <v>4086</v>
      </c>
      <c r="C1974" t="s">
        <v>4087</v>
      </c>
      <c r="D1974" t="s">
        <v>4088</v>
      </c>
      <c r="E1974" t="s">
        <v>144</v>
      </c>
      <c r="F1974" s="2" t="str">
        <f>HYPERLINK("http://www.otzar.org/book.asp?100263","אור לו בציון")</f>
        <v>אור לו בציון</v>
      </c>
    </row>
    <row r="1975" spans="1:6" x14ac:dyDescent="0.2">
      <c r="A1975" t="s">
        <v>4089</v>
      </c>
      <c r="B1975" t="s">
        <v>4090</v>
      </c>
      <c r="C1975" t="s">
        <v>114</v>
      </c>
      <c r="D1975" t="s">
        <v>52</v>
      </c>
      <c r="E1975" t="s">
        <v>579</v>
      </c>
      <c r="F1975" s="2" t="str">
        <f>HYPERLINK("http://www.otzar.org/book.asp?167118","אור לוי זיו יהודה - 3 כר'")</f>
        <v>אור לוי זיו יהודה - 3 כר'</v>
      </c>
    </row>
    <row r="1976" spans="1:6" x14ac:dyDescent="0.2">
      <c r="A1976" t="s">
        <v>4091</v>
      </c>
      <c r="B1976" t="s">
        <v>4090</v>
      </c>
      <c r="C1976" t="s">
        <v>20</v>
      </c>
      <c r="D1976" t="s">
        <v>52</v>
      </c>
      <c r="E1976" t="s">
        <v>158</v>
      </c>
      <c r="F1976" s="2" t="str">
        <f>HYPERLINK("http://www.otzar.org/book.asp?179572","אור לוי קול יהודה - 2 כר'")</f>
        <v>אור לוי קול יהודה - 2 כר'</v>
      </c>
    </row>
    <row r="1977" spans="1:6" x14ac:dyDescent="0.2">
      <c r="A1977" t="s">
        <v>4092</v>
      </c>
      <c r="B1977" t="s">
        <v>4093</v>
      </c>
      <c r="C1977" t="s">
        <v>17</v>
      </c>
      <c r="D1977" t="s">
        <v>14</v>
      </c>
      <c r="E1977" t="s">
        <v>144</v>
      </c>
      <c r="F1977" s="2" t="str">
        <f>HYPERLINK("http://www.otzar.org/book.asp?50576","אור לי - 6 כר'")</f>
        <v>אור לי - 6 כר'</v>
      </c>
    </row>
    <row r="1978" spans="1:6" x14ac:dyDescent="0.2">
      <c r="A1978" t="s">
        <v>4094</v>
      </c>
      <c r="B1978" t="s">
        <v>4095</v>
      </c>
      <c r="C1978" t="s">
        <v>603</v>
      </c>
      <c r="D1978" t="s">
        <v>157</v>
      </c>
      <c r="E1978" t="s">
        <v>15</v>
      </c>
      <c r="F1978" s="2" t="str">
        <f>HYPERLINK("http://www.otzar.org/book.asp?105652","אור לי")</f>
        <v>אור לי</v>
      </c>
    </row>
    <row r="1979" spans="1:6" x14ac:dyDescent="0.2">
      <c r="A1979" t="s">
        <v>4096</v>
      </c>
      <c r="B1979" t="s">
        <v>4097</v>
      </c>
      <c r="C1979" t="s">
        <v>466</v>
      </c>
      <c r="D1979" t="s">
        <v>52</v>
      </c>
      <c r="E1979" t="s">
        <v>1211</v>
      </c>
      <c r="F1979" s="2" t="str">
        <f>HYPERLINK("http://www.otzar.org/book.asp?26814","אור ליהודה - 3 כר'")</f>
        <v>אור ליהודה - 3 כר'</v>
      </c>
    </row>
    <row r="1980" spans="1:6" x14ac:dyDescent="0.2">
      <c r="A1980" t="s">
        <v>4098</v>
      </c>
      <c r="B1980" t="s">
        <v>4099</v>
      </c>
      <c r="D1980" t="s">
        <v>412</v>
      </c>
      <c r="E1980" t="s">
        <v>172</v>
      </c>
      <c r="F1980" s="2" t="str">
        <f>HYPERLINK("http://www.otzar.org/book.asp?170653","אור ליורה דעה")</f>
        <v>אור ליורה דעה</v>
      </c>
    </row>
    <row r="1981" spans="1:6" x14ac:dyDescent="0.2">
      <c r="A1981" t="s">
        <v>4100</v>
      </c>
      <c r="B1981" t="s">
        <v>4101</v>
      </c>
      <c r="C1981" t="s">
        <v>1570</v>
      </c>
      <c r="D1981" t="s">
        <v>52</v>
      </c>
      <c r="E1981" t="s">
        <v>474</v>
      </c>
      <c r="F1981" s="2" t="str">
        <f>HYPERLINK("http://www.otzar.org/book.asp?62859","אור ליעקב")</f>
        <v>אור ליעקב</v>
      </c>
    </row>
    <row r="1982" spans="1:6" x14ac:dyDescent="0.2">
      <c r="A1982" t="s">
        <v>4100</v>
      </c>
      <c r="B1982" t="s">
        <v>2674</v>
      </c>
      <c r="C1982" t="s">
        <v>13</v>
      </c>
      <c r="D1982" t="s">
        <v>486</v>
      </c>
      <c r="E1982" t="s">
        <v>674</v>
      </c>
      <c r="F1982" s="2" t="str">
        <f>HYPERLINK("http://www.otzar.org/book.asp?159411","אור ליעקב")</f>
        <v>אור ליעקב</v>
      </c>
    </row>
    <row r="1983" spans="1:6" x14ac:dyDescent="0.2">
      <c r="A1983" t="s">
        <v>4102</v>
      </c>
      <c r="B1983" t="s">
        <v>4103</v>
      </c>
      <c r="C1983" t="s">
        <v>985</v>
      </c>
      <c r="D1983" t="s">
        <v>260</v>
      </c>
      <c r="E1983" t="s">
        <v>4104</v>
      </c>
      <c r="F1983" s="2" t="str">
        <f>HYPERLINK("http://www.otzar.org/book.asp?103108","אור לישראל")</f>
        <v>אור לישראל</v>
      </c>
    </row>
    <row r="1984" spans="1:6" x14ac:dyDescent="0.2">
      <c r="A1984" t="s">
        <v>4105</v>
      </c>
      <c r="B1984" t="s">
        <v>4106</v>
      </c>
      <c r="C1984" t="s">
        <v>87</v>
      </c>
      <c r="D1984" t="s">
        <v>52</v>
      </c>
      <c r="E1984" t="s">
        <v>213</v>
      </c>
      <c r="F1984" s="2" t="str">
        <f>HYPERLINK("http://www.otzar.org/book.asp?144397","אור לישרים עם ביאור מאור משה - 2 כר'")</f>
        <v>אור לישרים עם ביאור מאור משה - 2 כר'</v>
      </c>
    </row>
    <row r="1985" spans="1:6" x14ac:dyDescent="0.2">
      <c r="A1985" t="s">
        <v>4107</v>
      </c>
      <c r="B1985" t="s">
        <v>4108</v>
      </c>
      <c r="C1985" t="s">
        <v>1524</v>
      </c>
      <c r="D1985" t="s">
        <v>744</v>
      </c>
      <c r="E1985" t="s">
        <v>234</v>
      </c>
      <c r="F1985" s="2" t="str">
        <f>HYPERLINK("http://www.otzar.org/book.asp?15827","אור לישרים - 3 כר'")</f>
        <v>אור לישרים - 3 כר'</v>
      </c>
    </row>
    <row r="1986" spans="1:6" x14ac:dyDescent="0.2">
      <c r="A1986" t="s">
        <v>4109</v>
      </c>
      <c r="B1986" t="s">
        <v>4110</v>
      </c>
      <c r="C1986" t="s">
        <v>462</v>
      </c>
      <c r="D1986" t="s">
        <v>1117</v>
      </c>
      <c r="E1986" t="s">
        <v>158</v>
      </c>
      <c r="F1986" s="2" t="str">
        <f>HYPERLINK("http://www.otzar.org/book.asp?159111","אור לישרים - ב")</f>
        <v>אור לישרים - ב</v>
      </c>
    </row>
    <row r="1987" spans="1:6" x14ac:dyDescent="0.2">
      <c r="A1987" t="s">
        <v>4111</v>
      </c>
      <c r="B1987" t="s">
        <v>4112</v>
      </c>
      <c r="C1987" t="s">
        <v>68</v>
      </c>
      <c r="D1987" t="s">
        <v>52</v>
      </c>
      <c r="F1987" s="2" t="str">
        <f>HYPERLINK("http://www.otzar.org/book.asp?610687","אור לישרים")</f>
        <v>אור לישרים</v>
      </c>
    </row>
    <row r="1988" spans="1:6" x14ac:dyDescent="0.2">
      <c r="A1988" t="s">
        <v>4111</v>
      </c>
      <c r="B1988" t="s">
        <v>4113</v>
      </c>
      <c r="C1988" t="s">
        <v>4114</v>
      </c>
      <c r="D1988" t="s">
        <v>4115</v>
      </c>
      <c r="E1988" t="s">
        <v>474</v>
      </c>
      <c r="F1988" s="2" t="str">
        <f>HYPERLINK("http://www.otzar.org/book.asp?20852","אור לישרים")</f>
        <v>אור לישרים</v>
      </c>
    </row>
    <row r="1989" spans="1:6" x14ac:dyDescent="0.2">
      <c r="A1989" t="s">
        <v>4111</v>
      </c>
      <c r="B1989" t="s">
        <v>4116</v>
      </c>
      <c r="C1989" t="s">
        <v>528</v>
      </c>
      <c r="D1989" t="s">
        <v>403</v>
      </c>
      <c r="E1989" t="s">
        <v>144</v>
      </c>
      <c r="F1989" s="2" t="str">
        <f>HYPERLINK("http://www.otzar.org/book.asp?5697","אור לישרים")</f>
        <v>אור לישרים</v>
      </c>
    </row>
    <row r="1990" spans="1:6" x14ac:dyDescent="0.2">
      <c r="A1990" t="s">
        <v>4117</v>
      </c>
      <c r="B1990" t="s">
        <v>4118</v>
      </c>
      <c r="C1990" t="s">
        <v>767</v>
      </c>
      <c r="D1990" t="s">
        <v>52</v>
      </c>
      <c r="E1990" t="s">
        <v>158</v>
      </c>
      <c r="F1990" s="2" t="str">
        <f>HYPERLINK("http://www.otzar.org/book.asp?22540","אור לישרים - 4 כר'")</f>
        <v>אור לישרים - 4 כר'</v>
      </c>
    </row>
    <row r="1991" spans="1:6" x14ac:dyDescent="0.2">
      <c r="A1991" t="s">
        <v>4111</v>
      </c>
      <c r="B1991" t="s">
        <v>3606</v>
      </c>
      <c r="C1991" t="s">
        <v>133</v>
      </c>
      <c r="D1991" t="s">
        <v>412</v>
      </c>
      <c r="E1991" t="s">
        <v>158</v>
      </c>
      <c r="F1991" s="2" t="str">
        <f>HYPERLINK("http://www.otzar.org/book.asp?195200","אור לישרים")</f>
        <v>אור לישרים</v>
      </c>
    </row>
    <row r="1992" spans="1:6" x14ac:dyDescent="0.2">
      <c r="A1992" t="s">
        <v>4111</v>
      </c>
      <c r="B1992" t="s">
        <v>4119</v>
      </c>
      <c r="C1992" t="s">
        <v>492</v>
      </c>
      <c r="D1992" t="s">
        <v>283</v>
      </c>
      <c r="E1992" t="s">
        <v>241</v>
      </c>
      <c r="F1992" s="2" t="str">
        <f>HYPERLINK("http://www.otzar.org/book.asp?171879","אור לישרים")</f>
        <v>אור לישרים</v>
      </c>
    </row>
    <row r="1993" spans="1:6" x14ac:dyDescent="0.2">
      <c r="A1993" t="s">
        <v>4107</v>
      </c>
      <c r="B1993" t="s">
        <v>489</v>
      </c>
      <c r="C1993" t="s">
        <v>133</v>
      </c>
      <c r="D1993" t="s">
        <v>14</v>
      </c>
      <c r="E1993" t="s">
        <v>186</v>
      </c>
      <c r="F1993" s="2" t="str">
        <f>HYPERLINK("http://www.otzar.org/book.asp?172766","אור לישרים - 3 כר'")</f>
        <v>אור לישרים - 3 כר'</v>
      </c>
    </row>
    <row r="1994" spans="1:6" x14ac:dyDescent="0.2">
      <c r="A1994" t="s">
        <v>4120</v>
      </c>
      <c r="B1994" t="s">
        <v>4121</v>
      </c>
      <c r="C1994" t="s">
        <v>37</v>
      </c>
      <c r="D1994" t="s">
        <v>90</v>
      </c>
      <c r="F1994" s="2" t="str">
        <f>HYPERLINK("http://www.otzar.org/book.asp?194597","אור לישרים - 5 כר'")</f>
        <v>אור לישרים - 5 כר'</v>
      </c>
    </row>
    <row r="1995" spans="1:6" x14ac:dyDescent="0.2">
      <c r="A1995" t="s">
        <v>4107</v>
      </c>
      <c r="B1995" t="s">
        <v>4122</v>
      </c>
      <c r="C1995" t="s">
        <v>68</v>
      </c>
      <c r="D1995" t="s">
        <v>14</v>
      </c>
      <c r="E1995" t="s">
        <v>144</v>
      </c>
      <c r="F1995" s="2" t="str">
        <f>HYPERLINK("http://www.otzar.org/book.asp?173351","אור לישרים - 3 כר'")</f>
        <v>אור לישרים - 3 כר'</v>
      </c>
    </row>
    <row r="1996" spans="1:6" x14ac:dyDescent="0.2">
      <c r="A1996" t="s">
        <v>4111</v>
      </c>
      <c r="B1996" t="s">
        <v>4123</v>
      </c>
      <c r="C1996" t="s">
        <v>950</v>
      </c>
      <c r="D1996" t="s">
        <v>4124</v>
      </c>
      <c r="E1996" t="s">
        <v>219</v>
      </c>
      <c r="F1996" s="2" t="str">
        <f>HYPERLINK("http://www.otzar.org/book.asp?23580","אור לישרים")</f>
        <v>אור לישרים</v>
      </c>
    </row>
    <row r="1997" spans="1:6" x14ac:dyDescent="0.2">
      <c r="A1997" t="s">
        <v>4125</v>
      </c>
      <c r="B1997" t="s">
        <v>4126</v>
      </c>
      <c r="C1997" t="s">
        <v>1166</v>
      </c>
      <c r="D1997" t="s">
        <v>855</v>
      </c>
      <c r="E1997" t="s">
        <v>158</v>
      </c>
      <c r="F1997" s="2" t="str">
        <f>HYPERLINK("http://www.otzar.org/book.asp?15816","אור למאיר - 2 כר'")</f>
        <v>אור למאיר - 2 כר'</v>
      </c>
    </row>
    <row r="1998" spans="1:6" x14ac:dyDescent="0.2">
      <c r="A1998" t="s">
        <v>4127</v>
      </c>
      <c r="B1998" t="s">
        <v>4128</v>
      </c>
      <c r="C1998" t="s">
        <v>1388</v>
      </c>
      <c r="D1998" t="s">
        <v>14</v>
      </c>
      <c r="E1998" t="s">
        <v>15</v>
      </c>
      <c r="F1998" s="2" t="str">
        <f>HYPERLINK("http://www.otzar.org/book.asp?84906","אור לנר - 2 כר'")</f>
        <v>אור לנר - 2 כר'</v>
      </c>
    </row>
    <row r="1999" spans="1:6" x14ac:dyDescent="0.2">
      <c r="A1999" t="s">
        <v>4129</v>
      </c>
      <c r="B1999" t="s">
        <v>686</v>
      </c>
      <c r="C1999" t="s">
        <v>189</v>
      </c>
      <c r="D1999" t="s">
        <v>52</v>
      </c>
      <c r="E1999" t="s">
        <v>1776</v>
      </c>
      <c r="F1999" s="2" t="str">
        <f>HYPERLINK("http://www.otzar.org/book.asp?60742","אור לנתיבתי")</f>
        <v>אור לנתיבתי</v>
      </c>
    </row>
    <row r="2000" spans="1:6" x14ac:dyDescent="0.2">
      <c r="A2000" t="s">
        <v>4130</v>
      </c>
      <c r="B2000" t="s">
        <v>4131</v>
      </c>
      <c r="C2000" t="s">
        <v>189</v>
      </c>
      <c r="D2000" t="s">
        <v>14</v>
      </c>
      <c r="E2000" t="s">
        <v>144</v>
      </c>
      <c r="F2000" s="2" t="str">
        <f>HYPERLINK("http://www.otzar.org/book.asp?26404","אור לנתיבתי - עירובין")</f>
        <v>אור לנתיבתי - עירובין</v>
      </c>
    </row>
    <row r="2001" spans="1:6" x14ac:dyDescent="0.2">
      <c r="A2001" t="s">
        <v>4132</v>
      </c>
      <c r="B2001" t="s">
        <v>4133</v>
      </c>
      <c r="C2001" t="s">
        <v>454</v>
      </c>
      <c r="F2001" s="2" t="str">
        <f>HYPERLINK("http://www.otzar.org/book.asp?617191","אור לנתיבתי - 19 כר'")</f>
        <v>אור לנתיבתי - 19 כר'</v>
      </c>
    </row>
    <row r="2002" spans="1:6" x14ac:dyDescent="0.2">
      <c r="A2002" t="s">
        <v>4134</v>
      </c>
      <c r="B2002" t="s">
        <v>4135</v>
      </c>
      <c r="C2002" t="s">
        <v>313</v>
      </c>
      <c r="D2002" t="s">
        <v>14</v>
      </c>
      <c r="E2002" t="s">
        <v>186</v>
      </c>
      <c r="F2002" s="2" t="str">
        <f>HYPERLINK("http://www.otzar.org/book.asp?148193","אור לנתיבתי - 2 כר'")</f>
        <v>אור לנתיבתי - 2 כר'</v>
      </c>
    </row>
    <row r="2003" spans="1:6" x14ac:dyDescent="0.2">
      <c r="A2003" t="s">
        <v>4136</v>
      </c>
      <c r="B2003" t="s">
        <v>3892</v>
      </c>
      <c r="C2003" t="s">
        <v>146</v>
      </c>
      <c r="D2003" t="s">
        <v>14</v>
      </c>
      <c r="F2003" s="2" t="str">
        <f>HYPERLINK("http://www.otzar.org/book.asp?197556","אור לנתיבתי - 3 כר'")</f>
        <v>אור לנתיבתי - 3 כר'</v>
      </c>
    </row>
    <row r="2004" spans="1:6" x14ac:dyDescent="0.2">
      <c r="A2004" t="s">
        <v>4137</v>
      </c>
      <c r="B2004" t="s">
        <v>4138</v>
      </c>
      <c r="C2004" t="s">
        <v>244</v>
      </c>
      <c r="D2004" t="s">
        <v>21</v>
      </c>
      <c r="E2004" t="s">
        <v>186</v>
      </c>
      <c r="F2004" s="2" t="str">
        <f>HYPERLINK("http://www.otzar.org/book.asp?195950","אור לנתיבתי - בבא בתרא")</f>
        <v>אור לנתיבתי - בבא בתרא</v>
      </c>
    </row>
    <row r="2005" spans="1:6" x14ac:dyDescent="0.2">
      <c r="A2005" t="s">
        <v>4129</v>
      </c>
      <c r="B2005" t="s">
        <v>4139</v>
      </c>
      <c r="C2005" t="s">
        <v>68</v>
      </c>
      <c r="D2005" t="s">
        <v>657</v>
      </c>
      <c r="E2005" t="s">
        <v>872</v>
      </c>
      <c r="F2005" s="2" t="str">
        <f>HYPERLINK("http://www.otzar.org/book.asp?154956","אור לנתיבתי")</f>
        <v>אור לנתיבתי</v>
      </c>
    </row>
    <row r="2006" spans="1:6" x14ac:dyDescent="0.2">
      <c r="A2006" t="s">
        <v>4140</v>
      </c>
      <c r="B2006" t="s">
        <v>107</v>
      </c>
      <c r="C2006" t="s">
        <v>533</v>
      </c>
      <c r="D2006" t="s">
        <v>14</v>
      </c>
      <c r="E2006" t="s">
        <v>104</v>
      </c>
      <c r="F2006" s="2" t="str">
        <f>HYPERLINK("http://www.otzar.org/book.asp?84430","אור לעמים")</f>
        <v>אור לעמים</v>
      </c>
    </row>
    <row r="2007" spans="1:6" x14ac:dyDescent="0.2">
      <c r="A2007" t="s">
        <v>4141</v>
      </c>
      <c r="B2007" t="s">
        <v>4142</v>
      </c>
      <c r="C2007" t="s">
        <v>2644</v>
      </c>
      <c r="D2007" t="s">
        <v>2313</v>
      </c>
      <c r="E2007" t="s">
        <v>148</v>
      </c>
      <c r="F2007" s="2" t="str">
        <f>HYPERLINK("http://www.otzar.org/book.asp?669","אור לפארו - 2 כר'")</f>
        <v>אור לפארו - 2 כר'</v>
      </c>
    </row>
    <row r="2008" spans="1:6" x14ac:dyDescent="0.2">
      <c r="A2008" t="s">
        <v>4143</v>
      </c>
      <c r="B2008" t="s">
        <v>3113</v>
      </c>
      <c r="C2008" t="s">
        <v>4144</v>
      </c>
      <c r="D2008" t="s">
        <v>9</v>
      </c>
      <c r="E2008" t="s">
        <v>474</v>
      </c>
      <c r="F2008" s="2" t="str">
        <f>HYPERLINK("http://www.otzar.org/book.asp?300179","אור לפני הדורשין")</f>
        <v>אור לפני הדורשין</v>
      </c>
    </row>
    <row r="2009" spans="1:6" x14ac:dyDescent="0.2">
      <c r="A2009" t="s">
        <v>4145</v>
      </c>
      <c r="B2009" t="s">
        <v>4146</v>
      </c>
      <c r="C2009" t="s">
        <v>176</v>
      </c>
      <c r="D2009" t="s">
        <v>14</v>
      </c>
      <c r="E2009" t="s">
        <v>241</v>
      </c>
      <c r="F2009" s="2" t="str">
        <f>HYPERLINK("http://www.otzar.org/book.asp?13168","אור לציון - 9 כר'")</f>
        <v>אור לציון - 9 כר'</v>
      </c>
    </row>
    <row r="2010" spans="1:6" x14ac:dyDescent="0.2">
      <c r="A2010" t="s">
        <v>4147</v>
      </c>
      <c r="B2010" t="s">
        <v>4148</v>
      </c>
      <c r="C2010" t="s">
        <v>90</v>
      </c>
      <c r="D2010" t="s">
        <v>20</v>
      </c>
      <c r="E2010" t="s">
        <v>325</v>
      </c>
      <c r="F2010" s="2" t="str">
        <f>HYPERLINK("http://www.otzar.org/book.asp?194938","אור לציון")</f>
        <v>אור לציון</v>
      </c>
    </row>
    <row r="2011" spans="1:6" x14ac:dyDescent="0.2">
      <c r="A2011" t="s">
        <v>4149</v>
      </c>
      <c r="B2011" t="s">
        <v>4150</v>
      </c>
      <c r="C2011" t="s">
        <v>454</v>
      </c>
      <c r="D2011" t="s">
        <v>14</v>
      </c>
      <c r="E2011" t="s">
        <v>1235</v>
      </c>
      <c r="F2011" s="2" t="str">
        <f>HYPERLINK("http://www.otzar.org/book.asp?157647","אור לשמים &lt;מהדורה חדשה&gt;")</f>
        <v>אור לשמים &lt;מהדורה חדשה&gt;</v>
      </c>
    </row>
    <row r="2012" spans="1:6" x14ac:dyDescent="0.2">
      <c r="A2012" t="s">
        <v>4151</v>
      </c>
      <c r="B2012" t="s">
        <v>4150</v>
      </c>
      <c r="C2012" t="s">
        <v>767</v>
      </c>
      <c r="D2012" t="s">
        <v>412</v>
      </c>
      <c r="E2012" t="s">
        <v>158</v>
      </c>
      <c r="F2012" s="2" t="str">
        <f>HYPERLINK("http://www.otzar.org/book.asp?171019","אור לשמים &lt;עין לשמים&gt; - 2 כר'")</f>
        <v>אור לשמים &lt;עין לשמים&gt; - 2 כר'</v>
      </c>
    </row>
    <row r="2013" spans="1:6" x14ac:dyDescent="0.2">
      <c r="A2013" t="s">
        <v>4152</v>
      </c>
      <c r="B2013" t="s">
        <v>4150</v>
      </c>
      <c r="C2013" t="s">
        <v>800</v>
      </c>
      <c r="D2013" t="s">
        <v>267</v>
      </c>
      <c r="E2013" t="s">
        <v>1185</v>
      </c>
      <c r="F2013" s="2" t="str">
        <f>HYPERLINK("http://www.otzar.org/book.asp?102285","אור לשמים &lt;תר""ך&gt;")</f>
        <v>אור לשמים &lt;תר"ך&gt;</v>
      </c>
    </row>
    <row r="2014" spans="1:6" x14ac:dyDescent="0.2">
      <c r="A2014" t="s">
        <v>4153</v>
      </c>
      <c r="B2014" t="s">
        <v>4150</v>
      </c>
      <c r="C2014" t="s">
        <v>473</v>
      </c>
      <c r="D2014" t="s">
        <v>726</v>
      </c>
      <c r="E2014" t="s">
        <v>957</v>
      </c>
      <c r="F2014" s="2" t="str">
        <f>HYPERLINK("http://www.otzar.org/book.asp?7184","אור לשמים &lt;תרע""ד&gt;")</f>
        <v>אור לשמים &lt;תרע"ד&gt;</v>
      </c>
    </row>
    <row r="2015" spans="1:6" x14ac:dyDescent="0.2">
      <c r="A2015" t="s">
        <v>4154</v>
      </c>
      <c r="B2015" t="s">
        <v>3669</v>
      </c>
      <c r="C2015" t="s">
        <v>133</v>
      </c>
      <c r="D2015" t="s">
        <v>14</v>
      </c>
      <c r="E2015" t="s">
        <v>15</v>
      </c>
      <c r="F2015" s="2" t="str">
        <f>HYPERLINK("http://www.otzar.org/book.asp?628090","אור לשמינית")</f>
        <v>אור לשמינית</v>
      </c>
    </row>
    <row r="2016" spans="1:6" x14ac:dyDescent="0.2">
      <c r="A2016" t="s">
        <v>4155</v>
      </c>
      <c r="B2016" t="s">
        <v>4156</v>
      </c>
      <c r="C2016" t="s">
        <v>748</v>
      </c>
      <c r="D2016" t="s">
        <v>9</v>
      </c>
      <c r="E2016" t="s">
        <v>3261</v>
      </c>
      <c r="F2016" s="2" t="str">
        <f>HYPERLINK("http://www.otzar.org/book.asp?17151","אור מאיר")</f>
        <v>אור מאיר</v>
      </c>
    </row>
    <row r="2017" spans="1:6" x14ac:dyDescent="0.2">
      <c r="A2017" t="s">
        <v>4157</v>
      </c>
      <c r="B2017" t="s">
        <v>4158</v>
      </c>
      <c r="C2017" t="s">
        <v>244</v>
      </c>
      <c r="D2017" t="s">
        <v>90</v>
      </c>
      <c r="E2017" t="s">
        <v>2071</v>
      </c>
      <c r="F2017" s="2" t="str">
        <f>HYPERLINK("http://www.otzar.org/book.asp?611659","אור מאיר - 2 כר'")</f>
        <v>אור מאיר - 2 כר'</v>
      </c>
    </row>
    <row r="2018" spans="1:6" x14ac:dyDescent="0.2">
      <c r="A2018" t="s">
        <v>4157</v>
      </c>
      <c r="B2018" t="s">
        <v>4159</v>
      </c>
      <c r="C2018" t="s">
        <v>17</v>
      </c>
      <c r="D2018" t="s">
        <v>14</v>
      </c>
      <c r="E2018" t="s">
        <v>4160</v>
      </c>
      <c r="F2018" s="2" t="str">
        <f>HYPERLINK("http://www.otzar.org/book.asp?50695","אור מאיר - 2 כר'")</f>
        <v>אור מאיר - 2 כר'</v>
      </c>
    </row>
    <row r="2019" spans="1:6" x14ac:dyDescent="0.2">
      <c r="A2019" t="s">
        <v>4161</v>
      </c>
      <c r="B2019" t="s">
        <v>4162</v>
      </c>
      <c r="C2019" t="s">
        <v>383</v>
      </c>
      <c r="D2019" t="s">
        <v>52</v>
      </c>
      <c r="E2019" t="s">
        <v>4163</v>
      </c>
      <c r="F2019" s="2" t="str">
        <f>HYPERLINK("http://www.otzar.org/book.asp?161230","אור מאיר - 4 כר'")</f>
        <v>אור מאיר - 4 כר'</v>
      </c>
    </row>
    <row r="2020" spans="1:6" x14ac:dyDescent="0.2">
      <c r="A2020" t="s">
        <v>4164</v>
      </c>
      <c r="B2020" t="s">
        <v>4165</v>
      </c>
      <c r="C2020" t="s">
        <v>313</v>
      </c>
      <c r="D2020" t="s">
        <v>657</v>
      </c>
      <c r="E2020" t="s">
        <v>148</v>
      </c>
      <c r="F2020" s="2" t="str">
        <f>HYPERLINK("http://www.otzar.org/book.asp?53151","אור מאיר - 3 כר'")</f>
        <v>אור מאיר - 3 כר'</v>
      </c>
    </row>
    <row r="2021" spans="1:6" x14ac:dyDescent="0.2">
      <c r="A2021" t="s">
        <v>4155</v>
      </c>
      <c r="B2021" t="s">
        <v>4166</v>
      </c>
      <c r="C2021" t="s">
        <v>1811</v>
      </c>
      <c r="D2021" t="s">
        <v>646</v>
      </c>
      <c r="E2021" t="s">
        <v>3261</v>
      </c>
      <c r="F2021" s="2" t="str">
        <f>HYPERLINK("http://www.otzar.org/book.asp?12702","אור מאיר")</f>
        <v>אור מאיר</v>
      </c>
    </row>
    <row r="2022" spans="1:6" x14ac:dyDescent="0.2">
      <c r="A2022" t="s">
        <v>4155</v>
      </c>
      <c r="B2022" t="s">
        <v>4167</v>
      </c>
      <c r="C2022" t="s">
        <v>26</v>
      </c>
      <c r="D2022" t="s">
        <v>14</v>
      </c>
      <c r="F2022" s="2" t="str">
        <f>HYPERLINK("http://www.otzar.org/book.asp?617043","אור מאיר")</f>
        <v>אור מאיר</v>
      </c>
    </row>
    <row r="2023" spans="1:6" x14ac:dyDescent="0.2">
      <c r="A2023" t="s">
        <v>4168</v>
      </c>
      <c r="B2023" t="s">
        <v>4169</v>
      </c>
      <c r="C2023" t="s">
        <v>68</v>
      </c>
      <c r="D2023" t="s">
        <v>412</v>
      </c>
      <c r="E2023" t="s">
        <v>246</v>
      </c>
      <c r="F2023" s="2" t="str">
        <f>HYPERLINK("http://www.otzar.org/book.asp?160864","אור מופלא")</f>
        <v>אור מופלא</v>
      </c>
    </row>
    <row r="2024" spans="1:6" x14ac:dyDescent="0.2">
      <c r="A2024" t="s">
        <v>4168</v>
      </c>
      <c r="B2024" t="s">
        <v>4170</v>
      </c>
      <c r="C2024" t="s">
        <v>51</v>
      </c>
      <c r="D2024" t="s">
        <v>90</v>
      </c>
      <c r="E2024" t="s">
        <v>246</v>
      </c>
      <c r="F2024" s="2" t="str">
        <f>HYPERLINK("http://www.otzar.org/book.asp?623685","אור מופלא")</f>
        <v>אור מופלא</v>
      </c>
    </row>
    <row r="2025" spans="1:6" x14ac:dyDescent="0.2">
      <c r="A2025" t="s">
        <v>4168</v>
      </c>
      <c r="B2025" t="s">
        <v>4171</v>
      </c>
      <c r="E2025" t="s">
        <v>4172</v>
      </c>
      <c r="F2025" s="2" t="str">
        <f>HYPERLINK("http://www.otzar.org/book.asp?193667","אור מופלא")</f>
        <v>אור מופלא</v>
      </c>
    </row>
    <row r="2026" spans="1:6" x14ac:dyDescent="0.2">
      <c r="A2026" t="s">
        <v>4173</v>
      </c>
      <c r="B2026" t="s">
        <v>4174</v>
      </c>
      <c r="C2026" t="s">
        <v>151</v>
      </c>
      <c r="D2026" t="s">
        <v>14</v>
      </c>
      <c r="F2026" s="2" t="str">
        <f>HYPERLINK("http://www.otzar.org/book.asp?622934","אור מופלא - ל""ג בעומר")</f>
        <v>אור מופלא - ל"ג בעומר</v>
      </c>
    </row>
    <row r="2027" spans="1:6" x14ac:dyDescent="0.2">
      <c r="A2027" t="s">
        <v>4175</v>
      </c>
      <c r="B2027" t="s">
        <v>4176</v>
      </c>
      <c r="C2027" t="s">
        <v>244</v>
      </c>
      <c r="D2027" t="s">
        <v>90</v>
      </c>
      <c r="E2027" t="s">
        <v>104</v>
      </c>
      <c r="F2027" s="2" t="str">
        <f>HYPERLINK("http://www.otzar.org/book.asp?629896","אור מיכאל")</f>
        <v>אור מיכאל</v>
      </c>
    </row>
    <row r="2028" spans="1:6" x14ac:dyDescent="0.2">
      <c r="A2028" t="s">
        <v>4177</v>
      </c>
      <c r="B2028" t="s">
        <v>4178</v>
      </c>
      <c r="C2028" t="s">
        <v>1388</v>
      </c>
      <c r="D2028" t="s">
        <v>412</v>
      </c>
      <c r="E2028" t="s">
        <v>158</v>
      </c>
      <c r="F2028" s="2" t="str">
        <f>HYPERLINK("http://www.otzar.org/book.asp?23794","אור מלא")</f>
        <v>אור מלא</v>
      </c>
    </row>
    <row r="2029" spans="1:6" x14ac:dyDescent="0.2">
      <c r="A2029" t="s">
        <v>4179</v>
      </c>
      <c r="B2029" t="s">
        <v>4180</v>
      </c>
      <c r="C2029" t="s">
        <v>114</v>
      </c>
      <c r="D2029" t="s">
        <v>412</v>
      </c>
      <c r="E2029" t="s">
        <v>84</v>
      </c>
      <c r="F2029" s="2" t="str">
        <f>HYPERLINK("http://www.otzar.org/book.asp?167884","אור מנחם על פרקי אבות")</f>
        <v>אור מנחם על פרקי אבות</v>
      </c>
    </row>
    <row r="2030" spans="1:6" x14ac:dyDescent="0.2">
      <c r="A2030" t="s">
        <v>4181</v>
      </c>
      <c r="B2030" t="s">
        <v>4182</v>
      </c>
      <c r="C2030" t="s">
        <v>151</v>
      </c>
      <c r="D2030" t="s">
        <v>412</v>
      </c>
      <c r="E2030" t="s">
        <v>158</v>
      </c>
      <c r="F2030" s="2" t="str">
        <f>HYPERLINK("http://www.otzar.org/book.asp?621606","אור מנחם - בראשית")</f>
        <v>אור מנחם - בראשית</v>
      </c>
    </row>
    <row r="2031" spans="1:6" x14ac:dyDescent="0.2">
      <c r="A2031" t="s">
        <v>4183</v>
      </c>
      <c r="B2031" t="s">
        <v>552</v>
      </c>
      <c r="C2031" t="s">
        <v>114</v>
      </c>
      <c r="D2031" t="s">
        <v>90</v>
      </c>
      <c r="E2031" t="s">
        <v>202</v>
      </c>
      <c r="F2031" s="2" t="str">
        <f>HYPERLINK("http://www.otzar.org/book.asp?198620","אור מנחם")</f>
        <v>אור מנחם</v>
      </c>
    </row>
    <row r="2032" spans="1:6" x14ac:dyDescent="0.2">
      <c r="A2032" t="s">
        <v>4184</v>
      </c>
      <c r="B2032" t="s">
        <v>4185</v>
      </c>
      <c r="C2032" t="s">
        <v>146</v>
      </c>
      <c r="D2032" t="s">
        <v>52</v>
      </c>
      <c r="E2032" t="s">
        <v>144</v>
      </c>
      <c r="F2032" s="2" t="str">
        <f>HYPERLINK("http://www.otzar.org/book.asp?145077","אור מציון - גיטין")</f>
        <v>אור מציון - גיטין</v>
      </c>
    </row>
    <row r="2033" spans="1:6" x14ac:dyDescent="0.2">
      <c r="A2033" t="s">
        <v>4186</v>
      </c>
      <c r="B2033" t="s">
        <v>1750</v>
      </c>
      <c r="C2033" t="s">
        <v>185</v>
      </c>
      <c r="D2033" t="s">
        <v>52</v>
      </c>
      <c r="E2033" t="s">
        <v>202</v>
      </c>
      <c r="F2033" s="2" t="str">
        <f>HYPERLINK("http://www.otzar.org/book.asp?631122","אור מרדכי")</f>
        <v>אור מרדכי</v>
      </c>
    </row>
    <row r="2034" spans="1:6" x14ac:dyDescent="0.2">
      <c r="A2034" t="s">
        <v>4187</v>
      </c>
      <c r="B2034" t="s">
        <v>4188</v>
      </c>
      <c r="C2034" t="s">
        <v>146</v>
      </c>
      <c r="D2034" t="s">
        <v>486</v>
      </c>
      <c r="E2034" t="s">
        <v>104</v>
      </c>
      <c r="F2034" s="2" t="str">
        <f>HYPERLINK("http://www.otzar.org/book.asp?624755","אור משה מאיר ושירת רינה")</f>
        <v>אור משה מאיר ושירת רינה</v>
      </c>
    </row>
    <row r="2035" spans="1:6" x14ac:dyDescent="0.2">
      <c r="A2035" t="s">
        <v>4189</v>
      </c>
      <c r="B2035" t="s">
        <v>4190</v>
      </c>
      <c r="C2035" t="s">
        <v>1208</v>
      </c>
      <c r="D2035" t="s">
        <v>52</v>
      </c>
      <c r="E2035" t="s">
        <v>4191</v>
      </c>
      <c r="F2035" s="2" t="str">
        <f>HYPERLINK("http://www.otzar.org/book.asp?9578","אור משה - 3 כר'")</f>
        <v>אור משה - 3 כר'</v>
      </c>
    </row>
    <row r="2036" spans="1:6" x14ac:dyDescent="0.2">
      <c r="A2036" t="s">
        <v>4192</v>
      </c>
      <c r="B2036" t="s">
        <v>3166</v>
      </c>
      <c r="C2036" t="s">
        <v>775</v>
      </c>
      <c r="D2036" t="s">
        <v>14</v>
      </c>
      <c r="E2036" t="s">
        <v>144</v>
      </c>
      <c r="F2036" s="2" t="str">
        <f>HYPERLINK("http://www.otzar.org/book.asp?200276","אור משה")</f>
        <v>אור משה</v>
      </c>
    </row>
    <row r="2037" spans="1:6" x14ac:dyDescent="0.2">
      <c r="A2037" t="s">
        <v>4193</v>
      </c>
      <c r="B2037" t="s">
        <v>4194</v>
      </c>
      <c r="C2037" t="s">
        <v>4195</v>
      </c>
      <c r="D2037" t="s">
        <v>56</v>
      </c>
      <c r="E2037" t="s">
        <v>158</v>
      </c>
      <c r="F2037" s="2" t="str">
        <f>HYPERLINK("http://www.otzar.org/book.asp?300186","אור מתוק - 2 כר'")</f>
        <v>אור מתוק - 2 כר'</v>
      </c>
    </row>
    <row r="2038" spans="1:6" x14ac:dyDescent="0.2">
      <c r="A2038" t="s">
        <v>4196</v>
      </c>
      <c r="B2038" t="s">
        <v>4197</v>
      </c>
      <c r="C2038" t="s">
        <v>4198</v>
      </c>
      <c r="D2038" t="s">
        <v>49</v>
      </c>
      <c r="E2038" t="s">
        <v>399</v>
      </c>
      <c r="F2038" s="2" t="str">
        <f>HYPERLINK("http://www.otzar.org/book.asp?104184","אור נוגה - 2 כר'")</f>
        <v>אור נוגה - 2 כר'</v>
      </c>
    </row>
    <row r="2039" spans="1:6" x14ac:dyDescent="0.2">
      <c r="A2039" t="s">
        <v>4199</v>
      </c>
      <c r="B2039" t="s">
        <v>4086</v>
      </c>
      <c r="C2039" t="s">
        <v>4087</v>
      </c>
      <c r="D2039" t="s">
        <v>4088</v>
      </c>
      <c r="E2039" t="s">
        <v>154</v>
      </c>
      <c r="F2039" s="2" t="str">
        <f>HYPERLINK("http://www.otzar.org/book.asp?10724","אור נעלם")</f>
        <v>אור נעלם</v>
      </c>
    </row>
    <row r="2040" spans="1:6" x14ac:dyDescent="0.2">
      <c r="A2040" t="s">
        <v>4200</v>
      </c>
      <c r="B2040" t="s">
        <v>4201</v>
      </c>
      <c r="C2040" t="s">
        <v>4202</v>
      </c>
      <c r="D2040" t="s">
        <v>49</v>
      </c>
      <c r="E2040" t="s">
        <v>399</v>
      </c>
      <c r="F2040" s="2" t="str">
        <f>HYPERLINK("http://www.otzar.org/book.asp?53283","אור נערב &lt;דפו""ר&gt;")</f>
        <v>אור נערב &lt;דפו"ר&gt;</v>
      </c>
    </row>
    <row r="2041" spans="1:6" x14ac:dyDescent="0.2">
      <c r="A2041" t="s">
        <v>4203</v>
      </c>
      <c r="B2041" t="s">
        <v>4201</v>
      </c>
      <c r="C2041" t="s">
        <v>767</v>
      </c>
      <c r="D2041" t="s">
        <v>21</v>
      </c>
      <c r="E2041" t="s">
        <v>399</v>
      </c>
      <c r="F2041" s="2" t="str">
        <f>HYPERLINK("http://www.otzar.org/book.asp?199393","אור נערב &lt;מהדורה חדשה&gt;")</f>
        <v>אור נערב &lt;מהדורה חדשה&gt;</v>
      </c>
    </row>
    <row r="2042" spans="1:6" x14ac:dyDescent="0.2">
      <c r="A2042" t="s">
        <v>4204</v>
      </c>
      <c r="B2042" t="s">
        <v>4201</v>
      </c>
      <c r="C2042" t="s">
        <v>1096</v>
      </c>
      <c r="D2042" t="s">
        <v>56</v>
      </c>
      <c r="E2042" t="s">
        <v>399</v>
      </c>
      <c r="F2042" s="2" t="str">
        <f>HYPERLINK("http://www.otzar.org/book.asp?15806","אור נערב - 2 כר'")</f>
        <v>אור נערב - 2 כר'</v>
      </c>
    </row>
    <row r="2043" spans="1:6" x14ac:dyDescent="0.2">
      <c r="A2043" t="s">
        <v>4205</v>
      </c>
      <c r="B2043" t="s">
        <v>4206</v>
      </c>
      <c r="C2043" t="s">
        <v>334</v>
      </c>
      <c r="D2043" t="s">
        <v>4207</v>
      </c>
      <c r="E2043" t="s">
        <v>140</v>
      </c>
      <c r="F2043" s="2" t="str">
        <f>HYPERLINK("http://www.otzar.org/book.asp?624594","אור נצח")</f>
        <v>אור נצח</v>
      </c>
    </row>
    <row r="2044" spans="1:6" x14ac:dyDescent="0.2">
      <c r="A2044" t="s">
        <v>4208</v>
      </c>
      <c r="B2044" t="s">
        <v>4209</v>
      </c>
      <c r="C2044" t="s">
        <v>422</v>
      </c>
      <c r="D2044" t="s">
        <v>412</v>
      </c>
      <c r="E2044" t="s">
        <v>130</v>
      </c>
      <c r="F2044" s="2" t="str">
        <f>HYPERLINK("http://www.otzar.org/book.asp?627280","אור נתנאל")</f>
        <v>אור נתנאל</v>
      </c>
    </row>
    <row r="2045" spans="1:6" x14ac:dyDescent="0.2">
      <c r="A2045" t="s">
        <v>4210</v>
      </c>
      <c r="B2045" t="s">
        <v>4211</v>
      </c>
      <c r="C2045" t="s">
        <v>411</v>
      </c>
      <c r="D2045" t="s">
        <v>14</v>
      </c>
      <c r="E2045" t="s">
        <v>158</v>
      </c>
      <c r="F2045" s="2" t="str">
        <f>HYPERLINK("http://www.otzar.org/book.asp?615201","אור עולם &lt;מהדורה חדשה&gt; - 2 כר'")</f>
        <v>אור עולם &lt;מהדורה חדשה&gt; - 2 כר'</v>
      </c>
    </row>
    <row r="2046" spans="1:6" x14ac:dyDescent="0.2">
      <c r="A2046" t="s">
        <v>4212</v>
      </c>
      <c r="B2046" t="s">
        <v>4213</v>
      </c>
      <c r="C2046" t="s">
        <v>20</v>
      </c>
      <c r="D2046" t="s">
        <v>27</v>
      </c>
      <c r="E2046" t="s">
        <v>3567</v>
      </c>
      <c r="F2046" s="2" t="str">
        <f>HYPERLINK("http://www.otzar.org/book.asp?5485","אור עולם &lt;הדרך הטוב והישר&gt; - 2 כר'")</f>
        <v>אור עולם &lt;הדרך הטוב והישר&gt; - 2 כר'</v>
      </c>
    </row>
    <row r="2047" spans="1:6" x14ac:dyDescent="0.2">
      <c r="A2047" t="s">
        <v>4214</v>
      </c>
      <c r="B2047" t="s">
        <v>4213</v>
      </c>
      <c r="C2047" t="s">
        <v>1663</v>
      </c>
      <c r="D2047" t="s">
        <v>27</v>
      </c>
      <c r="E2047" t="s">
        <v>154</v>
      </c>
      <c r="F2047" s="2" t="str">
        <f>HYPERLINK("http://www.otzar.org/book.asp?9760","אור עולם &lt;מאיר נתיבים&gt;")</f>
        <v>אור עולם &lt;מאיר נתיבים&gt;</v>
      </c>
    </row>
    <row r="2048" spans="1:6" x14ac:dyDescent="0.2">
      <c r="A2048" t="s">
        <v>4215</v>
      </c>
      <c r="B2048" t="s">
        <v>4213</v>
      </c>
      <c r="C2048" t="s">
        <v>419</v>
      </c>
      <c r="D2048" t="s">
        <v>52</v>
      </c>
      <c r="F2048" s="2" t="str">
        <f>HYPERLINK("http://www.otzar.org/book.asp?153997","אור עולם &lt;מהדורה חדשה&gt;")</f>
        <v>אור עולם &lt;מהדורה חדשה&gt;</v>
      </c>
    </row>
    <row r="2049" spans="1:6" x14ac:dyDescent="0.2">
      <c r="A2049" t="s">
        <v>4216</v>
      </c>
      <c r="B2049" t="s">
        <v>4213</v>
      </c>
      <c r="C2049" t="s">
        <v>1246</v>
      </c>
      <c r="D2049" t="s">
        <v>563</v>
      </c>
      <c r="E2049" t="s">
        <v>226</v>
      </c>
      <c r="F2049" s="2" t="str">
        <f>HYPERLINK("http://www.otzar.org/book.asp?105811","אור עולם &lt;סוד יכין ובועז&gt; - 2 כר'")</f>
        <v>אור עולם &lt;סוד יכין ובועז&gt; - 2 כר'</v>
      </c>
    </row>
    <row r="2050" spans="1:6" x14ac:dyDescent="0.2">
      <c r="A2050" t="s">
        <v>4217</v>
      </c>
      <c r="B2050" t="s">
        <v>4218</v>
      </c>
      <c r="C2050" t="s">
        <v>37</v>
      </c>
      <c r="D2050" t="s">
        <v>14</v>
      </c>
      <c r="F2050" s="2" t="str">
        <f>HYPERLINK("http://www.otzar.org/book.asp?182475","אור עולם &lt;שו""ת&gt; - 2 כר'")</f>
        <v>אור עולם &lt;שו"ת&gt; - 2 כר'</v>
      </c>
    </row>
    <row r="2051" spans="1:6" x14ac:dyDescent="0.2">
      <c r="A2051" t="s">
        <v>4219</v>
      </c>
      <c r="B2051" t="s">
        <v>3935</v>
      </c>
      <c r="C2051" t="s">
        <v>427</v>
      </c>
      <c r="D2051" t="s">
        <v>412</v>
      </c>
      <c r="E2051" t="s">
        <v>2533</v>
      </c>
      <c r="F2051" s="2" t="str">
        <f>HYPERLINK("http://www.otzar.org/book.asp?23346","אור עולם - ע-ת")</f>
        <v>אור עולם - ע-ת</v>
      </c>
    </row>
    <row r="2052" spans="1:6" x14ac:dyDescent="0.2">
      <c r="A2052" t="s">
        <v>4220</v>
      </c>
      <c r="B2052" t="s">
        <v>4211</v>
      </c>
      <c r="C2052" t="s">
        <v>17</v>
      </c>
      <c r="D2052" t="s">
        <v>14</v>
      </c>
      <c r="E2052" t="s">
        <v>1847</v>
      </c>
      <c r="F2052" s="2" t="str">
        <f>HYPERLINK("http://www.otzar.org/book.asp?50102","אור עולם - 2 כר'")</f>
        <v>אור עולם - 2 כר'</v>
      </c>
    </row>
    <row r="2053" spans="1:6" x14ac:dyDescent="0.2">
      <c r="A2053" t="s">
        <v>4220</v>
      </c>
      <c r="B2053" t="s">
        <v>3938</v>
      </c>
      <c r="C2053" t="s">
        <v>68</v>
      </c>
      <c r="D2053" t="s">
        <v>14</v>
      </c>
      <c r="E2053" t="s">
        <v>246</v>
      </c>
      <c r="F2053" s="2" t="str">
        <f>HYPERLINK("http://www.otzar.org/book.asp?179469","אור עולם - 2 כר'")</f>
        <v>אור עולם - 2 כר'</v>
      </c>
    </row>
    <row r="2054" spans="1:6" x14ac:dyDescent="0.2">
      <c r="A2054" t="s">
        <v>4221</v>
      </c>
      <c r="B2054" t="s">
        <v>4222</v>
      </c>
      <c r="C2054" t="s">
        <v>51</v>
      </c>
      <c r="D2054" t="s">
        <v>4223</v>
      </c>
      <c r="E2054" t="s">
        <v>1262</v>
      </c>
      <c r="F2054" s="2" t="str">
        <f>HYPERLINK("http://www.otzar.org/book.asp?85530","אור עולם - 10 כר'")</f>
        <v>אור עולם - 10 כר'</v>
      </c>
    </row>
    <row r="2055" spans="1:6" x14ac:dyDescent="0.2">
      <c r="A2055" t="s">
        <v>4224</v>
      </c>
      <c r="B2055" t="s">
        <v>1493</v>
      </c>
      <c r="C2055" t="s">
        <v>617</v>
      </c>
      <c r="D2055" t="s">
        <v>283</v>
      </c>
      <c r="E2055" t="s">
        <v>241</v>
      </c>
      <c r="F2055" s="2" t="str">
        <f>HYPERLINK("http://www.otzar.org/book.asp?84539","אור עולם")</f>
        <v>אור עולם</v>
      </c>
    </row>
    <row r="2056" spans="1:6" x14ac:dyDescent="0.2">
      <c r="A2056" t="s">
        <v>4225</v>
      </c>
      <c r="B2056" t="s">
        <v>4213</v>
      </c>
      <c r="C2056" t="s">
        <v>4226</v>
      </c>
      <c r="D2056" t="s">
        <v>4227</v>
      </c>
      <c r="E2056" t="s">
        <v>1880</v>
      </c>
      <c r="F2056" s="2" t="str">
        <f>HYPERLINK("http://www.otzar.org/book.asp?953","אור עולם - &lt;מאיר נתיבים&gt;")</f>
        <v>אור עולם - &lt;מאיר נתיבים&gt;</v>
      </c>
    </row>
    <row r="2057" spans="1:6" x14ac:dyDescent="0.2">
      <c r="A2057" t="s">
        <v>4228</v>
      </c>
      <c r="B2057" t="s">
        <v>4218</v>
      </c>
      <c r="C2057" t="s">
        <v>114</v>
      </c>
      <c r="D2057" t="s">
        <v>14</v>
      </c>
      <c r="E2057" t="s">
        <v>148</v>
      </c>
      <c r="F2057" s="2" t="str">
        <f>HYPERLINK("http://www.otzar.org/book.asp?161211","אור עולם - בשר בחלב")</f>
        <v>אור עולם - בשר בחלב</v>
      </c>
    </row>
    <row r="2058" spans="1:6" x14ac:dyDescent="0.2">
      <c r="A2058" t="s">
        <v>4224</v>
      </c>
      <c r="B2058" t="s">
        <v>4229</v>
      </c>
      <c r="C2058" t="s">
        <v>4230</v>
      </c>
      <c r="D2058" t="s">
        <v>1490</v>
      </c>
      <c r="F2058" s="2" t="str">
        <f>HYPERLINK("http://www.otzar.org/book.asp?84148","אור עולם")</f>
        <v>אור עולם</v>
      </c>
    </row>
    <row r="2059" spans="1:6" x14ac:dyDescent="0.2">
      <c r="A2059" t="s">
        <v>4224</v>
      </c>
      <c r="B2059" t="s">
        <v>4171</v>
      </c>
      <c r="C2059" t="s">
        <v>1619</v>
      </c>
      <c r="D2059" t="s">
        <v>14</v>
      </c>
      <c r="F2059" s="2" t="str">
        <f>HYPERLINK("http://www.otzar.org/book.asp?610762","אור עולם")</f>
        <v>אור עולם</v>
      </c>
    </row>
    <row r="2060" spans="1:6" x14ac:dyDescent="0.2">
      <c r="A2060" t="s">
        <v>4231</v>
      </c>
      <c r="B2060" t="s">
        <v>4232</v>
      </c>
      <c r="C2060" t="s">
        <v>1954</v>
      </c>
      <c r="D2060" t="s">
        <v>14</v>
      </c>
      <c r="E2060" t="s">
        <v>202</v>
      </c>
      <c r="F2060" s="2" t="str">
        <f>HYPERLINK("http://www.otzar.org/book.asp?172927","אור עולם - 7 כר'")</f>
        <v>אור עולם - 7 כר'</v>
      </c>
    </row>
    <row r="2061" spans="1:6" x14ac:dyDescent="0.2">
      <c r="A2061" t="s">
        <v>4233</v>
      </c>
      <c r="B2061" t="s">
        <v>4234</v>
      </c>
      <c r="C2061" t="s">
        <v>114</v>
      </c>
      <c r="D2061" t="s">
        <v>14</v>
      </c>
      <c r="E2061" t="s">
        <v>2075</v>
      </c>
      <c r="F2061" s="2" t="str">
        <f>HYPERLINK("http://www.otzar.org/book.asp?180255","אור עולם - תולדות  רמח""ל ומשנתו")</f>
        <v>אור עולם - תולדות  רמח"ל ומשנתו</v>
      </c>
    </row>
    <row r="2062" spans="1:6" x14ac:dyDescent="0.2">
      <c r="A2062" t="s">
        <v>4235</v>
      </c>
      <c r="B2062" t="s">
        <v>4236</v>
      </c>
      <c r="C2062" t="s">
        <v>4237</v>
      </c>
      <c r="D2062" t="s">
        <v>855</v>
      </c>
      <c r="E2062" t="s">
        <v>1438</v>
      </c>
      <c r="F2062" s="2" t="str">
        <f>HYPERLINK("http://www.otzar.org/book.asp?5961","אור עינים - 2 כר'")</f>
        <v>אור עינים - 2 כר'</v>
      </c>
    </row>
    <row r="2063" spans="1:6" x14ac:dyDescent="0.2">
      <c r="A2063" t="s">
        <v>4238</v>
      </c>
      <c r="B2063" t="s">
        <v>4239</v>
      </c>
      <c r="C2063" t="s">
        <v>4240</v>
      </c>
      <c r="D2063" t="s">
        <v>4241</v>
      </c>
      <c r="E2063" t="s">
        <v>104</v>
      </c>
      <c r="F2063" s="2" t="str">
        <f>HYPERLINK("http://www.otzar.org/book.asp?300183","אור עינים")</f>
        <v>אור עינים</v>
      </c>
    </row>
    <row r="2064" spans="1:6" x14ac:dyDescent="0.2">
      <c r="A2064" t="s">
        <v>4238</v>
      </c>
      <c r="B2064" t="s">
        <v>4242</v>
      </c>
      <c r="C2064" t="s">
        <v>533</v>
      </c>
      <c r="D2064" t="s">
        <v>14</v>
      </c>
      <c r="E2064" t="s">
        <v>213</v>
      </c>
      <c r="F2064" s="2" t="str">
        <f>HYPERLINK("http://www.otzar.org/book.asp?104943","אור עינים")</f>
        <v>אור עינים</v>
      </c>
    </row>
    <row r="2065" spans="1:6" x14ac:dyDescent="0.2">
      <c r="A2065" t="s">
        <v>4243</v>
      </c>
      <c r="B2065" t="s">
        <v>4244</v>
      </c>
      <c r="C2065" t="s">
        <v>111</v>
      </c>
      <c r="D2065" t="s">
        <v>14</v>
      </c>
      <c r="E2065" t="s">
        <v>144</v>
      </c>
      <c r="F2065" s="2" t="str">
        <f>HYPERLINK("http://www.otzar.org/book.asp?620327","אור עירובין")</f>
        <v>אור עירובין</v>
      </c>
    </row>
    <row r="2066" spans="1:6" x14ac:dyDescent="0.2">
      <c r="A2066" t="s">
        <v>4245</v>
      </c>
      <c r="B2066" t="s">
        <v>4246</v>
      </c>
      <c r="C2066" t="s">
        <v>4247</v>
      </c>
      <c r="D2066" t="s">
        <v>4248</v>
      </c>
      <c r="E2066" t="s">
        <v>241</v>
      </c>
      <c r="F2066" s="2" t="str">
        <f>HYPERLINK("http://www.otzar.org/book.asp?12169","אור עמים")</f>
        <v>אור עמים</v>
      </c>
    </row>
    <row r="2067" spans="1:6" x14ac:dyDescent="0.2">
      <c r="A2067" t="s">
        <v>4249</v>
      </c>
      <c r="B2067" t="s">
        <v>1750</v>
      </c>
      <c r="C2067" t="s">
        <v>129</v>
      </c>
      <c r="D2067" t="s">
        <v>52</v>
      </c>
      <c r="E2067" t="s">
        <v>2091</v>
      </c>
      <c r="F2067" s="2" t="str">
        <f>HYPERLINK("http://www.otzar.org/book.asp?52203","אור עמרם - 2 כר'")</f>
        <v>אור עמרם - 2 כר'</v>
      </c>
    </row>
    <row r="2068" spans="1:6" x14ac:dyDescent="0.2">
      <c r="A2068" t="s">
        <v>4250</v>
      </c>
      <c r="B2068" t="s">
        <v>4251</v>
      </c>
      <c r="C2068" t="s">
        <v>114</v>
      </c>
      <c r="D2068" t="s">
        <v>52</v>
      </c>
      <c r="E2068" t="s">
        <v>158</v>
      </c>
      <c r="F2068" s="2" t="str">
        <f>HYPERLINK("http://www.otzar.org/book.asp?163770","אור פני חיים - 2 כר'")</f>
        <v>אור פני חיים - 2 כר'</v>
      </c>
    </row>
    <row r="2069" spans="1:6" x14ac:dyDescent="0.2">
      <c r="A2069" t="s">
        <v>4252</v>
      </c>
      <c r="B2069" t="s">
        <v>4253</v>
      </c>
      <c r="C2069" t="s">
        <v>180</v>
      </c>
      <c r="D2069" t="s">
        <v>14</v>
      </c>
      <c r="E2069" t="s">
        <v>443</v>
      </c>
      <c r="F2069" s="2" t="str">
        <f>HYPERLINK("http://www.otzar.org/book.asp?9582","אור פני יהושע - 2 כר'")</f>
        <v>אור פני יהושע - 2 כר'</v>
      </c>
    </row>
    <row r="2070" spans="1:6" x14ac:dyDescent="0.2">
      <c r="A2070" t="s">
        <v>4254</v>
      </c>
      <c r="B2070" t="s">
        <v>4255</v>
      </c>
      <c r="C2070" t="s">
        <v>725</v>
      </c>
      <c r="D2070" t="s">
        <v>14</v>
      </c>
      <c r="F2070" s="2" t="str">
        <f>HYPERLINK("http://www.otzar.org/book.asp?611663","אור פני יצחק")</f>
        <v>אור פני יצחק</v>
      </c>
    </row>
    <row r="2071" spans="1:6" x14ac:dyDescent="0.2">
      <c r="A2071" t="s">
        <v>4256</v>
      </c>
      <c r="B2071" t="s">
        <v>4257</v>
      </c>
      <c r="C2071" t="s">
        <v>985</v>
      </c>
      <c r="D2071" t="s">
        <v>1188</v>
      </c>
      <c r="E2071" t="s">
        <v>15</v>
      </c>
      <c r="F2071" s="2" t="str">
        <f>HYPERLINK("http://www.otzar.org/book.asp?300188","אור פני מלך")</f>
        <v>אור פני מלך</v>
      </c>
    </row>
    <row r="2072" spans="1:6" x14ac:dyDescent="0.2">
      <c r="A2072" t="s">
        <v>4258</v>
      </c>
      <c r="B2072" t="s">
        <v>4259</v>
      </c>
      <c r="C2072" t="s">
        <v>87</v>
      </c>
      <c r="D2072" t="s">
        <v>486</v>
      </c>
      <c r="E2072" t="s">
        <v>4260</v>
      </c>
      <c r="F2072" s="2" t="str">
        <f>HYPERLINK("http://www.otzar.org/book.asp?52886","אור פני משה")</f>
        <v>אור פני משה</v>
      </c>
    </row>
    <row r="2073" spans="1:6" x14ac:dyDescent="0.2">
      <c r="A2073" t="s">
        <v>4261</v>
      </c>
      <c r="B2073" t="s">
        <v>4262</v>
      </c>
      <c r="C2073" t="s">
        <v>506</v>
      </c>
      <c r="D2073" t="s">
        <v>322</v>
      </c>
      <c r="E2073" t="s">
        <v>791</v>
      </c>
      <c r="F2073" s="2" t="str">
        <f>HYPERLINK("http://www.otzar.org/book.asp?100288","אור פני משה - 2 כר'")</f>
        <v>אור פני משה - 2 כר'</v>
      </c>
    </row>
    <row r="2074" spans="1:6" x14ac:dyDescent="0.2">
      <c r="A2074" t="s">
        <v>4258</v>
      </c>
      <c r="B2074" t="s">
        <v>4263</v>
      </c>
      <c r="C2074" t="s">
        <v>2132</v>
      </c>
      <c r="D2074" t="s">
        <v>20</v>
      </c>
      <c r="E2074" t="s">
        <v>474</v>
      </c>
      <c r="F2074" s="2" t="str">
        <f>HYPERLINK("http://www.otzar.org/book.asp?606029","אור פני משה")</f>
        <v>אור פני משה</v>
      </c>
    </row>
    <row r="2075" spans="1:6" x14ac:dyDescent="0.2">
      <c r="A2075" t="s">
        <v>4258</v>
      </c>
      <c r="B2075" t="s">
        <v>4264</v>
      </c>
      <c r="C2075" t="s">
        <v>151</v>
      </c>
      <c r="D2075" t="s">
        <v>52</v>
      </c>
      <c r="F2075" s="2" t="str">
        <f>HYPERLINK("http://www.otzar.org/book.asp?617233","אור פני משה")</f>
        <v>אור פני משה</v>
      </c>
    </row>
    <row r="2076" spans="1:6" x14ac:dyDescent="0.2">
      <c r="A2076" t="s">
        <v>4258</v>
      </c>
      <c r="B2076" t="s">
        <v>4265</v>
      </c>
      <c r="C2076" t="s">
        <v>4266</v>
      </c>
      <c r="D2076" t="s">
        <v>42</v>
      </c>
      <c r="E2076" t="s">
        <v>234</v>
      </c>
      <c r="F2076" s="2" t="str">
        <f>HYPERLINK("http://www.otzar.org/book.asp?108743","אור פני משה")</f>
        <v>אור פני משה</v>
      </c>
    </row>
    <row r="2077" spans="1:6" x14ac:dyDescent="0.2">
      <c r="A2077" t="s">
        <v>4267</v>
      </c>
      <c r="B2077" t="s">
        <v>4268</v>
      </c>
      <c r="C2077" t="s">
        <v>2644</v>
      </c>
      <c r="D2077" t="s">
        <v>4269</v>
      </c>
      <c r="E2077" t="s">
        <v>4270</v>
      </c>
      <c r="F2077" s="2" t="str">
        <f>HYPERLINK("http://www.otzar.org/book.asp?16001","אור פני משה - 3 כר'")</f>
        <v>אור פני משה - 3 כר'</v>
      </c>
    </row>
    <row r="2078" spans="1:6" x14ac:dyDescent="0.2">
      <c r="A2078" t="s">
        <v>4271</v>
      </c>
      <c r="B2078" t="s">
        <v>4272</v>
      </c>
      <c r="C2078" t="s">
        <v>151</v>
      </c>
      <c r="D2078" t="s">
        <v>852</v>
      </c>
      <c r="E2078" t="s">
        <v>140</v>
      </c>
      <c r="F2078" s="2" t="str">
        <f>HYPERLINK("http://www.otzar.org/book.asp?622133","אור פני משה - א (תשע""ז, תשע""ח)")</f>
        <v>אור פני משה - א (תשע"ז, תשע"ח)</v>
      </c>
    </row>
    <row r="2079" spans="1:6" x14ac:dyDescent="0.2">
      <c r="A2079" t="s">
        <v>4273</v>
      </c>
      <c r="B2079" t="s">
        <v>4274</v>
      </c>
      <c r="C2079" t="s">
        <v>111</v>
      </c>
      <c r="D2079" t="s">
        <v>852</v>
      </c>
      <c r="E2079" t="s">
        <v>1185</v>
      </c>
      <c r="F2079" s="2" t="str">
        <f>HYPERLINK("http://www.otzar.org/book.asp?628096","אור פני משה - ב (תשע""ח, תשע""ט)")</f>
        <v>אור פני משה - ב (תשע"ח, תשע"ט)</v>
      </c>
    </row>
    <row r="2080" spans="1:6" x14ac:dyDescent="0.2">
      <c r="A2080" t="s">
        <v>4275</v>
      </c>
      <c r="B2080" t="s">
        <v>4276</v>
      </c>
      <c r="C2080" t="s">
        <v>244</v>
      </c>
      <c r="D2080" t="s">
        <v>52</v>
      </c>
      <c r="E2080" t="s">
        <v>144</v>
      </c>
      <c r="F2080" s="2" t="str">
        <f>HYPERLINK("http://www.otzar.org/book.asp?629347","אור צבי - 10 כר'")</f>
        <v>אור צבי - 10 כר'</v>
      </c>
    </row>
    <row r="2081" spans="1:6" x14ac:dyDescent="0.2">
      <c r="A2081" t="s">
        <v>4277</v>
      </c>
      <c r="B2081" t="s">
        <v>4278</v>
      </c>
      <c r="C2081" t="s">
        <v>1458</v>
      </c>
      <c r="D2081" t="s">
        <v>267</v>
      </c>
      <c r="E2081" t="s">
        <v>4279</v>
      </c>
      <c r="F2081" s="2" t="str">
        <f>HYPERLINK("http://www.otzar.org/book.asp?15828","אור צבי")</f>
        <v>אור צבי</v>
      </c>
    </row>
    <row r="2082" spans="1:6" x14ac:dyDescent="0.2">
      <c r="A2082" t="s">
        <v>4280</v>
      </c>
      <c r="B2082" t="s">
        <v>3731</v>
      </c>
      <c r="C2082" t="s">
        <v>1047</v>
      </c>
      <c r="D2082" t="s">
        <v>283</v>
      </c>
      <c r="E2082" t="s">
        <v>4281</v>
      </c>
      <c r="F2082" s="2" t="str">
        <f>HYPERLINK("http://www.otzar.org/book.asp?5103","אור צדיקים ודרך סעודה - 2 כר'")</f>
        <v>אור צדיקים ודרך סעודה - 2 כר'</v>
      </c>
    </row>
    <row r="2083" spans="1:6" x14ac:dyDescent="0.2">
      <c r="A2083" t="s">
        <v>4282</v>
      </c>
      <c r="B2083" t="s">
        <v>4282</v>
      </c>
      <c r="C2083" t="s">
        <v>896</v>
      </c>
      <c r="D2083" t="s">
        <v>4283</v>
      </c>
      <c r="E2083" t="s">
        <v>1185</v>
      </c>
      <c r="F2083" s="2" t="str">
        <f>HYPERLINK("http://www.otzar.org/book.asp?17639","אור צדיקים")</f>
        <v>אור צדיקים</v>
      </c>
    </row>
    <row r="2084" spans="1:6" x14ac:dyDescent="0.2">
      <c r="A2084" t="s">
        <v>4284</v>
      </c>
      <c r="B2084" t="s">
        <v>4285</v>
      </c>
      <c r="C2084" t="s">
        <v>854</v>
      </c>
      <c r="D2084" t="s">
        <v>283</v>
      </c>
      <c r="E2084" t="s">
        <v>4286</v>
      </c>
      <c r="F2084" s="2" t="str">
        <f>HYPERLINK("http://www.otzar.org/book.asp?504","אור צדיקים - 2 כר'")</f>
        <v>אור צדיקים - 2 כר'</v>
      </c>
    </row>
    <row r="2085" spans="1:6" x14ac:dyDescent="0.2">
      <c r="A2085" t="s">
        <v>4282</v>
      </c>
      <c r="B2085" t="s">
        <v>3731</v>
      </c>
      <c r="C2085" t="s">
        <v>4287</v>
      </c>
      <c r="D2085" t="s">
        <v>4288</v>
      </c>
      <c r="F2085" s="2" t="str">
        <f>HYPERLINK("http://www.otzar.org/book.asp?53284","אור צדיקים")</f>
        <v>אור צדיקים</v>
      </c>
    </row>
    <row r="2086" spans="1:6" x14ac:dyDescent="0.2">
      <c r="A2086" t="s">
        <v>4282</v>
      </c>
      <c r="B2086" t="s">
        <v>4289</v>
      </c>
      <c r="C2086" t="s">
        <v>1811</v>
      </c>
      <c r="D2086" t="s">
        <v>52</v>
      </c>
      <c r="E2086" t="s">
        <v>741</v>
      </c>
      <c r="F2086" s="2" t="str">
        <f>HYPERLINK("http://www.otzar.org/book.asp?191626","אור צדיקים")</f>
        <v>אור צדיקים</v>
      </c>
    </row>
    <row r="2087" spans="1:6" x14ac:dyDescent="0.2">
      <c r="A2087" t="s">
        <v>4290</v>
      </c>
      <c r="B2087" t="s">
        <v>4291</v>
      </c>
      <c r="C2087" t="s">
        <v>390</v>
      </c>
      <c r="D2087" t="s">
        <v>4292</v>
      </c>
      <c r="E2087" t="s">
        <v>15</v>
      </c>
      <c r="F2087" s="2" t="str">
        <f>HYPERLINK("http://www.otzar.org/book.asp?60660","אור צהיר")</f>
        <v>אור צהיר</v>
      </c>
    </row>
    <row r="2088" spans="1:6" x14ac:dyDescent="0.2">
      <c r="A2088" t="s">
        <v>4293</v>
      </c>
      <c r="B2088" t="s">
        <v>4294</v>
      </c>
      <c r="C2088" t="s">
        <v>51</v>
      </c>
      <c r="D2088" t="s">
        <v>14</v>
      </c>
      <c r="E2088" t="s">
        <v>2533</v>
      </c>
      <c r="F2088" s="2" t="str">
        <f>HYPERLINK("http://www.otzar.org/book.asp?625652","אור ציון")</f>
        <v>אור ציון</v>
      </c>
    </row>
    <row r="2089" spans="1:6" x14ac:dyDescent="0.2">
      <c r="A2089" t="s">
        <v>4295</v>
      </c>
      <c r="B2089" t="s">
        <v>4296</v>
      </c>
      <c r="C2089" t="s">
        <v>624</v>
      </c>
      <c r="D2089" t="s">
        <v>14</v>
      </c>
      <c r="E2089" t="s">
        <v>219</v>
      </c>
      <c r="F2089" s="2" t="str">
        <f>HYPERLINK("http://www.otzar.org/book.asp?158495","אור צפון")</f>
        <v>אור צפון</v>
      </c>
    </row>
    <row r="2090" spans="1:6" x14ac:dyDescent="0.2">
      <c r="A2090" t="s">
        <v>4297</v>
      </c>
      <c r="B2090" t="s">
        <v>4298</v>
      </c>
      <c r="C2090" t="s">
        <v>37</v>
      </c>
      <c r="D2090" t="s">
        <v>14</v>
      </c>
      <c r="E2090" t="s">
        <v>1517</v>
      </c>
      <c r="F2090" s="2" t="str">
        <f>HYPERLINK("http://www.otzar.org/book.asp?182952","אור צפון - ביאור ההושענות ההקפות והנענועים")</f>
        <v>אור צפון - ביאור ההושענות ההקפות והנענועים</v>
      </c>
    </row>
    <row r="2091" spans="1:6" x14ac:dyDescent="0.2">
      <c r="A2091" t="s">
        <v>4299</v>
      </c>
      <c r="B2091" t="s">
        <v>4300</v>
      </c>
      <c r="C2091" t="s">
        <v>51</v>
      </c>
      <c r="D2091" t="s">
        <v>412</v>
      </c>
      <c r="E2091" t="s">
        <v>4301</v>
      </c>
      <c r="F2091" s="2" t="str">
        <f>HYPERLINK("http://www.otzar.org/book.asp?170466","אור קדוש")</f>
        <v>אור קדוש</v>
      </c>
    </row>
    <row r="2092" spans="1:6" x14ac:dyDescent="0.2">
      <c r="A2092" t="s">
        <v>4302</v>
      </c>
      <c r="B2092" t="s">
        <v>4303</v>
      </c>
      <c r="C2092" t="s">
        <v>4304</v>
      </c>
      <c r="D2092" t="s">
        <v>49</v>
      </c>
      <c r="E2092" t="s">
        <v>241</v>
      </c>
      <c r="F2092" s="2" t="str">
        <f>HYPERLINK("http://www.otzar.org/book.asp?300184","אור קדמון")</f>
        <v>אור קדמון</v>
      </c>
    </row>
    <row r="2093" spans="1:6" x14ac:dyDescent="0.2">
      <c r="A2093" t="s">
        <v>4305</v>
      </c>
      <c r="B2093" t="s">
        <v>552</v>
      </c>
      <c r="C2093" t="s">
        <v>168</v>
      </c>
      <c r="D2093" t="s">
        <v>52</v>
      </c>
      <c r="E2093" t="s">
        <v>202</v>
      </c>
      <c r="F2093" s="2" t="str">
        <f>HYPERLINK("http://www.otzar.org/book.asp?145078","אור רפאל")</f>
        <v>אור רפאל</v>
      </c>
    </row>
    <row r="2094" spans="1:6" x14ac:dyDescent="0.2">
      <c r="A2094" t="s">
        <v>4306</v>
      </c>
      <c r="B2094" t="s">
        <v>4307</v>
      </c>
      <c r="C2094" t="s">
        <v>4308</v>
      </c>
      <c r="D2094" t="s">
        <v>27</v>
      </c>
      <c r="E2094" t="s">
        <v>573</v>
      </c>
      <c r="F2094" s="2" t="str">
        <f>HYPERLINK("http://www.otzar.org/book.asp?7213","אור רש""ז - 5 כר'")</f>
        <v>אור רש"ז - 5 כר'</v>
      </c>
    </row>
    <row r="2095" spans="1:6" x14ac:dyDescent="0.2">
      <c r="A2095" t="s">
        <v>4309</v>
      </c>
      <c r="B2095" t="s">
        <v>4174</v>
      </c>
      <c r="C2095" t="s">
        <v>133</v>
      </c>
      <c r="D2095" t="s">
        <v>14</v>
      </c>
      <c r="F2095" s="2" t="str">
        <f>HYPERLINK("http://www.otzar.org/book.asp?622926","אור שבעת הימים - 3 כר'")</f>
        <v>אור שבעת הימים - 3 כר'</v>
      </c>
    </row>
    <row r="2096" spans="1:6" x14ac:dyDescent="0.2">
      <c r="A2096" t="s">
        <v>4310</v>
      </c>
      <c r="B2096" t="s">
        <v>4311</v>
      </c>
      <c r="C2096" t="s">
        <v>454</v>
      </c>
      <c r="D2096" t="s">
        <v>2375</v>
      </c>
      <c r="E2096" t="s">
        <v>246</v>
      </c>
      <c r="F2096" s="2" t="str">
        <f>HYPERLINK("http://www.otzar.org/book.asp?165237","אור שבעת הרועים")</f>
        <v>אור שבעת הרועים</v>
      </c>
    </row>
    <row r="2097" spans="1:6" x14ac:dyDescent="0.2">
      <c r="A2097" t="s">
        <v>4312</v>
      </c>
      <c r="B2097" t="s">
        <v>4313</v>
      </c>
      <c r="C2097" t="s">
        <v>1208</v>
      </c>
      <c r="D2097" t="s">
        <v>115</v>
      </c>
      <c r="E2097" t="s">
        <v>803</v>
      </c>
      <c r="F2097" s="2" t="str">
        <f>HYPERLINK("http://www.otzar.org/book.asp?84292","אור שלום")</f>
        <v>אור שלום</v>
      </c>
    </row>
    <row r="2098" spans="1:6" x14ac:dyDescent="0.2">
      <c r="A2098" t="s">
        <v>4314</v>
      </c>
      <c r="B2098" t="s">
        <v>4315</v>
      </c>
      <c r="C2098" t="s">
        <v>111</v>
      </c>
      <c r="D2098" t="s">
        <v>14</v>
      </c>
      <c r="E2098" t="s">
        <v>186</v>
      </c>
      <c r="F2098" s="2" t="str">
        <f>HYPERLINK("http://www.otzar.org/book.asp?628007","אור שלמה ומשה - פרק כיצד הרגל")</f>
        <v>אור שלמה ומשה - פרק כיצד הרגל</v>
      </c>
    </row>
    <row r="2099" spans="1:6" x14ac:dyDescent="0.2">
      <c r="A2099" t="s">
        <v>4316</v>
      </c>
      <c r="B2099" t="s">
        <v>4317</v>
      </c>
      <c r="C2099" t="s">
        <v>940</v>
      </c>
      <c r="D2099" t="s">
        <v>4318</v>
      </c>
      <c r="E2099" t="s">
        <v>202</v>
      </c>
      <c r="F2099" s="2" t="str">
        <f>HYPERLINK("http://www.otzar.org/book.asp?188445","אור שמואל - 8 כר'")</f>
        <v>אור שמואל - 8 כר'</v>
      </c>
    </row>
    <row r="2100" spans="1:6" x14ac:dyDescent="0.2">
      <c r="A2100" t="s">
        <v>4319</v>
      </c>
      <c r="B2100" t="s">
        <v>4320</v>
      </c>
      <c r="C2100" t="s">
        <v>523</v>
      </c>
      <c r="D2100" t="s">
        <v>412</v>
      </c>
      <c r="E2100" t="s">
        <v>246</v>
      </c>
      <c r="F2100" s="2" t="str">
        <f>HYPERLINK("http://www.otzar.org/book.asp?145187","אור שמונה")</f>
        <v>אור שמונה</v>
      </c>
    </row>
    <row r="2101" spans="1:6" x14ac:dyDescent="0.2">
      <c r="A2101" t="s">
        <v>4321</v>
      </c>
      <c r="B2101" t="s">
        <v>4322</v>
      </c>
      <c r="C2101" t="s">
        <v>111</v>
      </c>
      <c r="D2101" t="s">
        <v>52</v>
      </c>
      <c r="E2101" t="s">
        <v>15</v>
      </c>
      <c r="F2101" s="2" t="str">
        <f>HYPERLINK("http://www.otzar.org/book.asp?630125","אור שמח &lt;אור הבינה&gt; - נזיקין א")</f>
        <v>אור שמח &lt;אור הבינה&gt; - נזיקין א</v>
      </c>
    </row>
    <row r="2102" spans="1:6" x14ac:dyDescent="0.2">
      <c r="A2102" t="s">
        <v>4323</v>
      </c>
      <c r="B2102" t="s">
        <v>4324</v>
      </c>
      <c r="C2102" t="s">
        <v>366</v>
      </c>
      <c r="D2102" t="s">
        <v>21</v>
      </c>
      <c r="E2102" t="s">
        <v>15</v>
      </c>
      <c r="F2102" s="2" t="str">
        <f>HYPERLINK("http://www.otzar.org/book.asp?601654","אור שמח &lt;מהדורה חדשה&gt; - א")</f>
        <v>אור שמח &lt;מהדורה חדשה&gt; - א</v>
      </c>
    </row>
    <row r="2103" spans="1:6" x14ac:dyDescent="0.2">
      <c r="A2103" t="s">
        <v>4325</v>
      </c>
      <c r="B2103" t="s">
        <v>4326</v>
      </c>
      <c r="C2103" t="s">
        <v>68</v>
      </c>
      <c r="D2103" t="s">
        <v>216</v>
      </c>
      <c r="E2103" t="s">
        <v>144</v>
      </c>
      <c r="F2103" s="2" t="str">
        <f>HYPERLINK("http://www.otzar.org/book.asp?618443","אור שמח חידושי מסכת פסחים")</f>
        <v>אור שמח חידושי מסכת פסחים</v>
      </c>
    </row>
    <row r="2104" spans="1:6" x14ac:dyDescent="0.2">
      <c r="A2104" t="s">
        <v>4327</v>
      </c>
      <c r="B2104" t="s">
        <v>4328</v>
      </c>
      <c r="C2104" t="s">
        <v>313</v>
      </c>
      <c r="D2104" t="s">
        <v>52</v>
      </c>
      <c r="E2104" t="s">
        <v>144</v>
      </c>
      <c r="F2104" s="2" t="str">
        <f>HYPERLINK("http://www.otzar.org/book.asp?604573","אור שמח - קונטרס זיקה")</f>
        <v>אור שמח - קונטרס זיקה</v>
      </c>
    </row>
    <row r="2105" spans="1:6" x14ac:dyDescent="0.2">
      <c r="A2105" t="s">
        <v>4329</v>
      </c>
      <c r="B2105" t="s">
        <v>4324</v>
      </c>
      <c r="C2105" t="s">
        <v>390</v>
      </c>
      <c r="D2105" t="s">
        <v>14</v>
      </c>
      <c r="E2105" t="s">
        <v>144</v>
      </c>
      <c r="F2105" s="2" t="str">
        <f>HYPERLINK("http://www.otzar.org/book.asp?9214","אור שמח - 5 כר'")</f>
        <v>אור שמח - 5 כר'</v>
      </c>
    </row>
    <row r="2106" spans="1:6" x14ac:dyDescent="0.2">
      <c r="A2106" t="s">
        <v>4330</v>
      </c>
      <c r="B2106" t="s">
        <v>4174</v>
      </c>
      <c r="C2106" t="s">
        <v>23</v>
      </c>
      <c r="D2106" t="s">
        <v>14</v>
      </c>
      <c r="F2106" s="2" t="str">
        <f>HYPERLINK("http://www.otzar.org/book.asp?622931","אור שמח - חנוכה")</f>
        <v>אור שמח - חנוכה</v>
      </c>
    </row>
    <row r="2107" spans="1:6" x14ac:dyDescent="0.2">
      <c r="A2107" t="s">
        <v>4331</v>
      </c>
      <c r="B2107" t="s">
        <v>4332</v>
      </c>
      <c r="C2107" t="s">
        <v>1619</v>
      </c>
      <c r="D2107" t="s">
        <v>14</v>
      </c>
      <c r="E2107" t="s">
        <v>4333</v>
      </c>
      <c r="F2107" s="2" t="str">
        <f>HYPERLINK("http://www.otzar.org/book.asp?165102","אור שמחה")</f>
        <v>אור שמחה</v>
      </c>
    </row>
    <row r="2108" spans="1:6" x14ac:dyDescent="0.2">
      <c r="A2108" t="s">
        <v>4331</v>
      </c>
      <c r="B2108" t="s">
        <v>4334</v>
      </c>
      <c r="C2108" t="s">
        <v>99</v>
      </c>
      <c r="D2108" t="s">
        <v>4335</v>
      </c>
      <c r="E2108" t="s">
        <v>803</v>
      </c>
      <c r="F2108" s="2" t="str">
        <f>HYPERLINK("http://www.otzar.org/book.asp?52472","אור שמחה")</f>
        <v>אור שמחה</v>
      </c>
    </row>
    <row r="2109" spans="1:6" x14ac:dyDescent="0.2">
      <c r="A2109" t="s">
        <v>4336</v>
      </c>
      <c r="B2109" t="s">
        <v>4337</v>
      </c>
      <c r="C2109" t="s">
        <v>767</v>
      </c>
      <c r="D2109" t="s">
        <v>4338</v>
      </c>
      <c r="F2109" s="2" t="str">
        <f>HYPERLINK("http://www.otzar.org/book.asp?615282","אור שרגא - קובץ חידושי תורה")</f>
        <v>אור שרגא - קובץ חידושי תורה</v>
      </c>
    </row>
    <row r="2110" spans="1:6" x14ac:dyDescent="0.2">
      <c r="A2110" t="s">
        <v>4339</v>
      </c>
      <c r="B2110" t="s">
        <v>4340</v>
      </c>
      <c r="C2110" t="s">
        <v>1169</v>
      </c>
      <c r="D2110" t="s">
        <v>260</v>
      </c>
      <c r="E2110" t="s">
        <v>4341</v>
      </c>
      <c r="F2110" s="2" t="str">
        <f>HYPERLINK("http://www.otzar.org/book.asp?144714","אור שרגא")</f>
        <v>אור שרגא</v>
      </c>
    </row>
    <row r="2111" spans="1:6" x14ac:dyDescent="0.2">
      <c r="A2111" t="s">
        <v>4342</v>
      </c>
      <c r="B2111" t="s">
        <v>4343</v>
      </c>
      <c r="C2111" t="s">
        <v>13</v>
      </c>
      <c r="D2111" t="s">
        <v>14</v>
      </c>
      <c r="E2111" t="s">
        <v>15</v>
      </c>
      <c r="F2111" s="2" t="str">
        <f>HYPERLINK("http://www.otzar.org/book.asp?62198","אור שרגא - שבת")</f>
        <v>אור שרגא - שבת</v>
      </c>
    </row>
    <row r="2112" spans="1:6" x14ac:dyDescent="0.2">
      <c r="A2112" t="s">
        <v>4344</v>
      </c>
      <c r="B2112" t="s">
        <v>4345</v>
      </c>
      <c r="C2112" t="s">
        <v>176</v>
      </c>
      <c r="D2112" t="s">
        <v>14</v>
      </c>
      <c r="E2112" t="s">
        <v>15</v>
      </c>
      <c r="F2112" s="2" t="str">
        <f>HYPERLINK("http://www.otzar.org/book.asp?144027","אור שרה")</f>
        <v>אור שרה</v>
      </c>
    </row>
    <row r="2113" spans="1:6" x14ac:dyDescent="0.2">
      <c r="A2113" t="s">
        <v>4346</v>
      </c>
      <c r="B2113" t="s">
        <v>4347</v>
      </c>
      <c r="C2113" t="s">
        <v>4348</v>
      </c>
      <c r="D2113" t="s">
        <v>4349</v>
      </c>
      <c r="E2113" t="s">
        <v>158</v>
      </c>
      <c r="F2113" s="2" t="str">
        <f>HYPERLINK("http://www.otzar.org/book.asp?150005","אור תורה &lt;עם מכתב מאליהו&gt;")</f>
        <v>אור תורה &lt;עם מכתב מאליהו&gt;</v>
      </c>
    </row>
    <row r="2114" spans="1:6" x14ac:dyDescent="0.2">
      <c r="A2114" t="s">
        <v>4350</v>
      </c>
      <c r="B2114" t="s">
        <v>4347</v>
      </c>
      <c r="C2114" t="s">
        <v>4351</v>
      </c>
      <c r="D2114" t="s">
        <v>4352</v>
      </c>
      <c r="E2114" t="s">
        <v>158</v>
      </c>
      <c r="F2114" s="2" t="str">
        <f>HYPERLINK("http://www.otzar.org/book.asp?16549","אור תורה &lt;שתי ידות&gt;")</f>
        <v>אור תורה &lt;שתי ידות&gt;</v>
      </c>
    </row>
    <row r="2115" spans="1:6" x14ac:dyDescent="0.2">
      <c r="A2115" t="s">
        <v>4353</v>
      </c>
      <c r="B2115" t="s">
        <v>1750</v>
      </c>
      <c r="C2115" t="s">
        <v>4354</v>
      </c>
      <c r="D2115" t="s">
        <v>563</v>
      </c>
      <c r="E2115" t="s">
        <v>202</v>
      </c>
      <c r="F2115" s="2" t="str">
        <f>HYPERLINK("http://www.otzar.org/book.asp?22797","אור תורה &lt;לונדון&gt; - 3 כר'")</f>
        <v>אור תורה &lt;לונדון&gt; - 3 כר'</v>
      </c>
    </row>
    <row r="2116" spans="1:6" x14ac:dyDescent="0.2">
      <c r="A2116" t="s">
        <v>4355</v>
      </c>
      <c r="B2116" t="s">
        <v>3618</v>
      </c>
      <c r="C2116" t="s">
        <v>1954</v>
      </c>
      <c r="D2116" t="s">
        <v>80</v>
      </c>
      <c r="E2116" t="s">
        <v>1185</v>
      </c>
      <c r="F2116" s="2" t="str">
        <f>HYPERLINK("http://www.otzar.org/book.asp?14359","אור תורה (רמזי תורה) - 2 כר'")</f>
        <v>אור תורה (רמזי תורה) - 2 כר'</v>
      </c>
    </row>
    <row r="2117" spans="1:6" x14ac:dyDescent="0.2">
      <c r="A2117" t="s">
        <v>4356</v>
      </c>
      <c r="B2117" t="s">
        <v>206</v>
      </c>
      <c r="C2117" t="s">
        <v>366</v>
      </c>
      <c r="D2117" t="s">
        <v>152</v>
      </c>
      <c r="E2117" t="s">
        <v>246</v>
      </c>
      <c r="F2117" s="2" t="str">
        <f>HYPERLINK("http://www.otzar.org/book.asp?607059","אור תורה המאיר")</f>
        <v>אור תורה המאיר</v>
      </c>
    </row>
    <row r="2118" spans="1:6" x14ac:dyDescent="0.2">
      <c r="A2118" t="s">
        <v>4357</v>
      </c>
      <c r="B2118" t="s">
        <v>4358</v>
      </c>
      <c r="C2118" t="s">
        <v>71</v>
      </c>
      <c r="D2118" t="s">
        <v>260</v>
      </c>
      <c r="E2118" t="s">
        <v>230</v>
      </c>
      <c r="F2118" s="2" t="str">
        <f>HYPERLINK("http://www.otzar.org/book.asp?197101","אור תורה השלם - משמרת כהונה")</f>
        <v>אור תורה השלם - משמרת כהונה</v>
      </c>
    </row>
    <row r="2119" spans="1:6" x14ac:dyDescent="0.2">
      <c r="A2119" t="s">
        <v>4359</v>
      </c>
      <c r="B2119" t="s">
        <v>1750</v>
      </c>
      <c r="C2119" t="s">
        <v>956</v>
      </c>
      <c r="D2119" t="s">
        <v>14</v>
      </c>
      <c r="E2119" t="s">
        <v>384</v>
      </c>
      <c r="F2119" s="2" t="str">
        <f>HYPERLINK("http://www.otzar.org/book.asp?159939","אור תורה ומוסר")</f>
        <v>אור תורה ומוסר</v>
      </c>
    </row>
    <row r="2120" spans="1:6" x14ac:dyDescent="0.2">
      <c r="A2120" t="s">
        <v>4360</v>
      </c>
      <c r="B2120" t="s">
        <v>4361</v>
      </c>
      <c r="C2120" t="s">
        <v>698</v>
      </c>
      <c r="D2120" t="s">
        <v>4362</v>
      </c>
      <c r="E2120" t="s">
        <v>202</v>
      </c>
      <c r="F2120" s="2" t="str">
        <f>HYPERLINK("http://www.otzar.org/book.asp?167217","אור תורה ממזרח")</f>
        <v>אור תורה ממזרח</v>
      </c>
    </row>
    <row r="2121" spans="1:6" x14ac:dyDescent="0.2">
      <c r="A2121" t="s">
        <v>4363</v>
      </c>
      <c r="B2121" t="s">
        <v>3757</v>
      </c>
      <c r="C2121" t="s">
        <v>99</v>
      </c>
      <c r="D2121" t="s">
        <v>267</v>
      </c>
      <c r="E2121" t="s">
        <v>202</v>
      </c>
      <c r="F2121" s="2" t="str">
        <f>HYPERLINK("http://www.otzar.org/book.asp?168749","אור תורה - 2 כר'")</f>
        <v>אור תורה - 2 כר'</v>
      </c>
    </row>
    <row r="2122" spans="1:6" x14ac:dyDescent="0.2">
      <c r="A2122" t="s">
        <v>3757</v>
      </c>
      <c r="B2122" t="s">
        <v>3935</v>
      </c>
      <c r="C2122" t="s">
        <v>438</v>
      </c>
      <c r="D2122" t="s">
        <v>412</v>
      </c>
      <c r="E2122" t="s">
        <v>104</v>
      </c>
      <c r="F2122" s="2" t="str">
        <f>HYPERLINK("http://www.otzar.org/book.asp?6687","אור תורה")</f>
        <v>אור תורה</v>
      </c>
    </row>
    <row r="2123" spans="1:6" x14ac:dyDescent="0.2">
      <c r="A2123" t="s">
        <v>3757</v>
      </c>
      <c r="B2123" t="s">
        <v>3618</v>
      </c>
      <c r="C2123" t="s">
        <v>538</v>
      </c>
      <c r="D2123" t="s">
        <v>4364</v>
      </c>
      <c r="E2123" t="s">
        <v>158</v>
      </c>
      <c r="F2123" s="2" t="str">
        <f>HYPERLINK("http://www.otzar.org/book.asp?53285","אור תורה")</f>
        <v>אור תורה</v>
      </c>
    </row>
    <row r="2124" spans="1:6" x14ac:dyDescent="0.2">
      <c r="A2124" t="s">
        <v>3757</v>
      </c>
      <c r="B2124" t="s">
        <v>4358</v>
      </c>
      <c r="C2124" t="s">
        <v>1609</v>
      </c>
      <c r="D2124" t="s">
        <v>27</v>
      </c>
      <c r="E2124" t="s">
        <v>158</v>
      </c>
      <c r="F2124" s="2" t="str">
        <f>HYPERLINK("http://www.otzar.org/book.asp?147791","אור תורה")</f>
        <v>אור תורה</v>
      </c>
    </row>
    <row r="2125" spans="1:6" x14ac:dyDescent="0.2">
      <c r="A2125" t="s">
        <v>4365</v>
      </c>
      <c r="B2125" t="s">
        <v>4366</v>
      </c>
      <c r="C2125" t="s">
        <v>4367</v>
      </c>
      <c r="D2125" t="s">
        <v>1037</v>
      </c>
      <c r="E2125" t="s">
        <v>158</v>
      </c>
      <c r="F2125" s="2" t="str">
        <f>HYPERLINK("http://www.otzar.org/book.asp?21299","אור תורה - 3 כר'")</f>
        <v>אור תורה - 3 כר'</v>
      </c>
    </row>
    <row r="2126" spans="1:6" x14ac:dyDescent="0.2">
      <c r="A2126" t="s">
        <v>4368</v>
      </c>
      <c r="B2126" t="s">
        <v>4015</v>
      </c>
      <c r="C2126" t="s">
        <v>1269</v>
      </c>
      <c r="D2126" t="s">
        <v>225</v>
      </c>
      <c r="E2126" t="s">
        <v>158</v>
      </c>
      <c r="F2126" s="2" t="str">
        <f>HYPERLINK("http://www.otzar.org/book.asp?15838","אור תורה - 5 כר'")</f>
        <v>אור תורה - 5 כר'</v>
      </c>
    </row>
    <row r="2127" spans="1:6" x14ac:dyDescent="0.2">
      <c r="A2127" t="s">
        <v>4363</v>
      </c>
      <c r="B2127" t="s">
        <v>4369</v>
      </c>
      <c r="C2127" t="s">
        <v>17</v>
      </c>
      <c r="D2127" t="s">
        <v>14</v>
      </c>
      <c r="E2127" t="s">
        <v>246</v>
      </c>
      <c r="F2127" s="2" t="str">
        <f>HYPERLINK("http://www.otzar.org/book.asp?603535","אור תורה - 2 כר'")</f>
        <v>אור תורה - 2 כר'</v>
      </c>
    </row>
    <row r="2128" spans="1:6" x14ac:dyDescent="0.2">
      <c r="A2128" t="s">
        <v>4370</v>
      </c>
      <c r="B2128" t="s">
        <v>4371</v>
      </c>
      <c r="C2128" t="s">
        <v>185</v>
      </c>
      <c r="D2128" t="s">
        <v>14</v>
      </c>
      <c r="F2128" s="2" t="str">
        <f>HYPERLINK("http://www.otzar.org/book.asp?632018","אור תורה - 361 כר'")</f>
        <v>אור תורה - 361 כר'</v>
      </c>
    </row>
    <row r="2129" spans="1:6" x14ac:dyDescent="0.2">
      <c r="A2129" t="s">
        <v>3757</v>
      </c>
      <c r="B2129" t="s">
        <v>4372</v>
      </c>
      <c r="C2129" t="s">
        <v>1160</v>
      </c>
      <c r="D2129" t="s">
        <v>14</v>
      </c>
      <c r="E2129" t="s">
        <v>158</v>
      </c>
      <c r="F2129" s="2" t="str">
        <f>HYPERLINK("http://www.otzar.org/book.asp?10092","אור תורה")</f>
        <v>אור תורה</v>
      </c>
    </row>
    <row r="2130" spans="1:6" x14ac:dyDescent="0.2">
      <c r="A2130" t="s">
        <v>3757</v>
      </c>
      <c r="B2130" t="s">
        <v>4373</v>
      </c>
      <c r="C2130" t="s">
        <v>4374</v>
      </c>
      <c r="D2130" t="s">
        <v>76</v>
      </c>
      <c r="F2130" s="2" t="str">
        <f>HYPERLINK("http://www.otzar.org/book.asp?170063","אור תורה")</f>
        <v>אור תורה</v>
      </c>
    </row>
    <row r="2131" spans="1:6" x14ac:dyDescent="0.2">
      <c r="A2131" t="s">
        <v>3757</v>
      </c>
      <c r="B2131" t="s">
        <v>4375</v>
      </c>
      <c r="C2131" t="s">
        <v>1470</v>
      </c>
      <c r="D2131" t="s">
        <v>9</v>
      </c>
      <c r="E2131" t="s">
        <v>158</v>
      </c>
      <c r="F2131" s="2" t="str">
        <f>HYPERLINK("http://www.otzar.org/book.asp?51761","אור תורה")</f>
        <v>אור תורה</v>
      </c>
    </row>
    <row r="2132" spans="1:6" x14ac:dyDescent="0.2">
      <c r="A2132" t="s">
        <v>4363</v>
      </c>
      <c r="B2132" t="s">
        <v>489</v>
      </c>
      <c r="C2132" t="s">
        <v>454</v>
      </c>
      <c r="D2132" t="s">
        <v>2531</v>
      </c>
      <c r="E2132" t="s">
        <v>4376</v>
      </c>
      <c r="F2132" s="2" t="str">
        <f>HYPERLINK("http://www.otzar.org/book.asp?50027","אור תורה - 2 כר'")</f>
        <v>אור תורה - 2 כר'</v>
      </c>
    </row>
    <row r="2133" spans="1:6" x14ac:dyDescent="0.2">
      <c r="A2133" t="s">
        <v>4363</v>
      </c>
      <c r="B2133" t="s">
        <v>1750</v>
      </c>
      <c r="C2133" t="s">
        <v>4377</v>
      </c>
      <c r="D2133" t="s">
        <v>27</v>
      </c>
      <c r="E2133" t="s">
        <v>202</v>
      </c>
      <c r="F2133" s="2" t="str">
        <f>HYPERLINK("http://www.otzar.org/book.asp?8804","אור תורה - 2 כר'")</f>
        <v>אור תורה - 2 כר'</v>
      </c>
    </row>
    <row r="2134" spans="1:6" x14ac:dyDescent="0.2">
      <c r="A2134" t="s">
        <v>4363</v>
      </c>
      <c r="B2134" t="s">
        <v>4378</v>
      </c>
      <c r="C2134" t="s">
        <v>17</v>
      </c>
      <c r="D2134" t="s">
        <v>412</v>
      </c>
      <c r="E2134" t="s">
        <v>474</v>
      </c>
      <c r="F2134" s="2" t="str">
        <f>HYPERLINK("http://www.otzar.org/book.asp?141019","אור תורה - 2 כר'")</f>
        <v>אור תורה - 2 כר'</v>
      </c>
    </row>
    <row r="2135" spans="1:6" x14ac:dyDescent="0.2">
      <c r="A2135" t="s">
        <v>3757</v>
      </c>
      <c r="B2135" t="s">
        <v>4379</v>
      </c>
      <c r="C2135" t="s">
        <v>4380</v>
      </c>
      <c r="D2135" t="s">
        <v>4381</v>
      </c>
      <c r="E2135" t="s">
        <v>4382</v>
      </c>
      <c r="F2135" s="2" t="str">
        <f>HYPERLINK("http://www.otzar.org/book.asp?19226","אור תורה")</f>
        <v>אור תורה</v>
      </c>
    </row>
    <row r="2136" spans="1:6" x14ac:dyDescent="0.2">
      <c r="A2136" t="s">
        <v>4383</v>
      </c>
      <c r="B2136" t="s">
        <v>4384</v>
      </c>
      <c r="C2136" t="s">
        <v>103</v>
      </c>
      <c r="D2136" t="s">
        <v>52</v>
      </c>
      <c r="E2136" t="s">
        <v>144</v>
      </c>
      <c r="F2136" s="2" t="str">
        <f>HYPERLINK("http://www.otzar.org/book.asp?22741","אור תורה - 7 כר'")</f>
        <v>אור תורה - 7 כר'</v>
      </c>
    </row>
    <row r="2137" spans="1:6" x14ac:dyDescent="0.2">
      <c r="A2137" t="s">
        <v>4368</v>
      </c>
      <c r="B2137" t="s">
        <v>4385</v>
      </c>
      <c r="C2137" t="s">
        <v>1364</v>
      </c>
      <c r="D2137" t="s">
        <v>212</v>
      </c>
      <c r="E2137" t="s">
        <v>158</v>
      </c>
      <c r="F2137" s="2" t="str">
        <f>HYPERLINK("http://www.otzar.org/book.asp?176722","אור תורה - 5 כר'")</f>
        <v>אור תורה - 5 כר'</v>
      </c>
    </row>
    <row r="2138" spans="1:6" x14ac:dyDescent="0.2">
      <c r="A2138" t="s">
        <v>4363</v>
      </c>
      <c r="B2138" t="s">
        <v>4386</v>
      </c>
      <c r="C2138" t="s">
        <v>351</v>
      </c>
      <c r="D2138" t="s">
        <v>212</v>
      </c>
      <c r="E2138" t="s">
        <v>158</v>
      </c>
      <c r="F2138" s="2" t="str">
        <f>HYPERLINK("http://www.otzar.org/book.asp?155840","אור תורה - 2 כר'")</f>
        <v>אור תורה - 2 כר'</v>
      </c>
    </row>
    <row r="2139" spans="1:6" x14ac:dyDescent="0.2">
      <c r="A2139" t="s">
        <v>4387</v>
      </c>
      <c r="B2139" t="s">
        <v>4388</v>
      </c>
      <c r="C2139" t="s">
        <v>649</v>
      </c>
      <c r="D2139" t="s">
        <v>9</v>
      </c>
      <c r="E2139" t="s">
        <v>241</v>
      </c>
      <c r="F2139" s="2" t="str">
        <f>HYPERLINK("http://www.otzar.org/book.asp?103100","אור תורת משה")</f>
        <v>אור תורת משה</v>
      </c>
    </row>
    <row r="2140" spans="1:6" x14ac:dyDescent="0.2">
      <c r="A2140" t="s">
        <v>4389</v>
      </c>
      <c r="B2140" t="s">
        <v>1255</v>
      </c>
      <c r="C2140" t="s">
        <v>725</v>
      </c>
      <c r="D2140" t="s">
        <v>947</v>
      </c>
      <c r="E2140" t="s">
        <v>246</v>
      </c>
      <c r="F2140" s="2" t="str">
        <f>HYPERLINK("http://www.otzar.org/book.asp?300187","אור תיקון שבת")</f>
        <v>אור תיקון שבת</v>
      </c>
    </row>
    <row r="2141" spans="1:6" x14ac:dyDescent="0.2">
      <c r="A2141" t="s">
        <v>4390</v>
      </c>
      <c r="B2141" t="s">
        <v>4391</v>
      </c>
      <c r="C2141" t="s">
        <v>133</v>
      </c>
      <c r="D2141" t="s">
        <v>412</v>
      </c>
      <c r="E2141" t="s">
        <v>467</v>
      </c>
      <c r="F2141" s="2" t="str">
        <f>HYPERLINK("http://www.otzar.org/book.asp?603899","אורה ושמחה &lt;מהדורה חדשה&gt;")</f>
        <v>אורה ושמחה &lt;מהדורה חדשה&gt;</v>
      </c>
    </row>
    <row r="2142" spans="1:6" x14ac:dyDescent="0.2">
      <c r="A2142" t="s">
        <v>4392</v>
      </c>
      <c r="B2142" t="s">
        <v>4393</v>
      </c>
      <c r="C2142" t="s">
        <v>129</v>
      </c>
      <c r="D2142" t="s">
        <v>52</v>
      </c>
      <c r="E2142" t="s">
        <v>467</v>
      </c>
      <c r="F2142" s="2" t="str">
        <f>HYPERLINK("http://www.otzar.org/book.asp?60286","אורה ושמחה")</f>
        <v>אורה ושמחה</v>
      </c>
    </row>
    <row r="2143" spans="1:6" x14ac:dyDescent="0.2">
      <c r="A2143" t="s">
        <v>4392</v>
      </c>
      <c r="B2143" t="s">
        <v>4394</v>
      </c>
      <c r="C2143" t="s">
        <v>87</v>
      </c>
      <c r="D2143" t="s">
        <v>14</v>
      </c>
      <c r="E2143" t="s">
        <v>158</v>
      </c>
      <c r="F2143" s="2" t="str">
        <f>HYPERLINK("http://www.otzar.org/book.asp?161693","אורה ושמחה")</f>
        <v>אורה ושמחה</v>
      </c>
    </row>
    <row r="2144" spans="1:6" x14ac:dyDescent="0.2">
      <c r="A2144" t="s">
        <v>4395</v>
      </c>
      <c r="B2144" t="s">
        <v>4396</v>
      </c>
      <c r="C2144" t="s">
        <v>146</v>
      </c>
      <c r="D2144" t="s">
        <v>14</v>
      </c>
      <c r="E2144" t="s">
        <v>172</v>
      </c>
      <c r="F2144" s="2" t="str">
        <f>HYPERLINK("http://www.otzar.org/book.asp?28125","אורה ושמחה - 6 כר'")</f>
        <v>אורה ושמחה - 6 כר'</v>
      </c>
    </row>
    <row r="2145" spans="1:6" x14ac:dyDescent="0.2">
      <c r="A2145" t="s">
        <v>4392</v>
      </c>
      <c r="B2145" t="s">
        <v>4391</v>
      </c>
      <c r="C2145" t="s">
        <v>106</v>
      </c>
      <c r="D2145" t="s">
        <v>14</v>
      </c>
      <c r="E2145" t="s">
        <v>246</v>
      </c>
      <c r="F2145" s="2" t="str">
        <f>HYPERLINK("http://www.otzar.org/book.asp?156908","אורה ושמחה")</f>
        <v>אורה ושמחה</v>
      </c>
    </row>
    <row r="2146" spans="1:6" x14ac:dyDescent="0.2">
      <c r="A2146" t="s">
        <v>4392</v>
      </c>
      <c r="B2146" t="s">
        <v>4397</v>
      </c>
      <c r="C2146" t="s">
        <v>176</v>
      </c>
      <c r="D2146" t="s">
        <v>14</v>
      </c>
      <c r="E2146" t="s">
        <v>144</v>
      </c>
      <c r="F2146" s="2" t="str">
        <f>HYPERLINK("http://www.otzar.org/book.asp?62920","אורה ושמחה")</f>
        <v>אורה ושמחה</v>
      </c>
    </row>
    <row r="2147" spans="1:6" x14ac:dyDescent="0.2">
      <c r="A2147" t="s">
        <v>4392</v>
      </c>
      <c r="B2147" t="s">
        <v>4398</v>
      </c>
      <c r="C2147" t="s">
        <v>785</v>
      </c>
      <c r="D2147" t="s">
        <v>216</v>
      </c>
      <c r="E2147" t="s">
        <v>158</v>
      </c>
      <c r="F2147" s="2" t="str">
        <f>HYPERLINK("http://www.otzar.org/book.asp?148457","אורה ושמחה")</f>
        <v>אורה ושמחה</v>
      </c>
    </row>
    <row r="2148" spans="1:6" x14ac:dyDescent="0.2">
      <c r="A2148" t="s">
        <v>4392</v>
      </c>
      <c r="B2148" t="s">
        <v>4399</v>
      </c>
      <c r="C2148" t="s">
        <v>332</v>
      </c>
      <c r="D2148" t="s">
        <v>4400</v>
      </c>
      <c r="F2148" s="2" t="str">
        <f>HYPERLINK("http://www.otzar.org/book.asp?615725","אורה ושמחה")</f>
        <v>אורה ושמחה</v>
      </c>
    </row>
    <row r="2149" spans="1:6" x14ac:dyDescent="0.2">
      <c r="A2149" t="s">
        <v>4401</v>
      </c>
      <c r="B2149" t="s">
        <v>4402</v>
      </c>
      <c r="C2149" t="s">
        <v>17</v>
      </c>
      <c r="D2149" t="s">
        <v>52</v>
      </c>
      <c r="E2149" t="s">
        <v>246</v>
      </c>
      <c r="F2149" s="2" t="str">
        <f>HYPERLINK("http://www.otzar.org/book.asp?166983","אורה ושמחה - חנוכה")</f>
        <v>אורה ושמחה - חנוכה</v>
      </c>
    </row>
    <row r="2150" spans="1:6" x14ac:dyDescent="0.2">
      <c r="A2150" t="s">
        <v>4392</v>
      </c>
      <c r="B2150" t="s">
        <v>3888</v>
      </c>
      <c r="C2150" t="s">
        <v>189</v>
      </c>
      <c r="D2150" t="s">
        <v>14</v>
      </c>
      <c r="E2150" t="s">
        <v>213</v>
      </c>
      <c r="F2150" s="2" t="str">
        <f>HYPERLINK("http://www.otzar.org/book.asp?156901","אורה ושמחה")</f>
        <v>אורה ושמחה</v>
      </c>
    </row>
    <row r="2151" spans="1:6" x14ac:dyDescent="0.2">
      <c r="A2151" t="s">
        <v>4392</v>
      </c>
      <c r="B2151" t="s">
        <v>4403</v>
      </c>
      <c r="C2151" t="s">
        <v>4404</v>
      </c>
      <c r="D2151" t="s">
        <v>212</v>
      </c>
      <c r="E2151" t="s">
        <v>130</v>
      </c>
      <c r="F2151" s="2" t="str">
        <f>HYPERLINK("http://www.otzar.org/book.asp?141085","אורה ושמחה")</f>
        <v>אורה ושמחה</v>
      </c>
    </row>
    <row r="2152" spans="1:6" x14ac:dyDescent="0.2">
      <c r="A2152" t="s">
        <v>4392</v>
      </c>
      <c r="B2152" t="s">
        <v>4405</v>
      </c>
      <c r="C2152" t="s">
        <v>17</v>
      </c>
      <c r="D2152" t="s">
        <v>52</v>
      </c>
      <c r="E2152" t="s">
        <v>579</v>
      </c>
      <c r="F2152" s="2" t="str">
        <f>HYPERLINK("http://www.otzar.org/book.asp?107437","אורה ושמחה")</f>
        <v>אורה ושמחה</v>
      </c>
    </row>
    <row r="2153" spans="1:6" x14ac:dyDescent="0.2">
      <c r="A2153" t="s">
        <v>4392</v>
      </c>
      <c r="B2153" t="s">
        <v>3778</v>
      </c>
      <c r="C2153" t="s">
        <v>624</v>
      </c>
      <c r="D2153" t="s">
        <v>80</v>
      </c>
      <c r="E2153" t="s">
        <v>202</v>
      </c>
      <c r="F2153" s="2" t="str">
        <f>HYPERLINK("http://www.otzar.org/book.asp?604035","אורה ושמחה")</f>
        <v>אורה ושמחה</v>
      </c>
    </row>
    <row r="2154" spans="1:6" x14ac:dyDescent="0.2">
      <c r="A2154" t="s">
        <v>4406</v>
      </c>
      <c r="B2154" t="s">
        <v>1750</v>
      </c>
      <c r="C2154" t="s">
        <v>146</v>
      </c>
      <c r="D2154" t="s">
        <v>14</v>
      </c>
      <c r="E2154" t="s">
        <v>4022</v>
      </c>
      <c r="F2154" s="2" t="str">
        <f>HYPERLINK("http://www.otzar.org/book.asp?62019","אורה ושמחה - 2 כר'")</f>
        <v>אורה ושמחה - 2 כר'</v>
      </c>
    </row>
    <row r="2155" spans="1:6" x14ac:dyDescent="0.2">
      <c r="A2155" t="s">
        <v>4392</v>
      </c>
      <c r="B2155" t="s">
        <v>4407</v>
      </c>
      <c r="C2155" t="s">
        <v>1166</v>
      </c>
      <c r="D2155" t="s">
        <v>225</v>
      </c>
      <c r="E2155" t="s">
        <v>4408</v>
      </c>
      <c r="F2155" s="2" t="str">
        <f>HYPERLINK("http://www.otzar.org/book.asp?14305","אורה ושמחה")</f>
        <v>אורה ושמחה</v>
      </c>
    </row>
    <row r="2156" spans="1:6" x14ac:dyDescent="0.2">
      <c r="A2156" t="s">
        <v>4409</v>
      </c>
      <c r="B2156" t="s">
        <v>4410</v>
      </c>
      <c r="C2156" t="s">
        <v>767</v>
      </c>
      <c r="D2156" t="s">
        <v>423</v>
      </c>
      <c r="E2156" t="s">
        <v>15</v>
      </c>
      <c r="F2156" s="2" t="str">
        <f>HYPERLINK("http://www.otzar.org/book.asp?604177","אורה וששון")</f>
        <v>אורה וששון</v>
      </c>
    </row>
    <row r="2157" spans="1:6" x14ac:dyDescent="0.2">
      <c r="A2157" t="s">
        <v>4411</v>
      </c>
      <c r="B2157" t="s">
        <v>3727</v>
      </c>
      <c r="C2157" t="s">
        <v>20</v>
      </c>
      <c r="D2157" t="s">
        <v>52</v>
      </c>
      <c r="E2157" t="s">
        <v>158</v>
      </c>
      <c r="F2157" s="2" t="str">
        <f>HYPERLINK("http://www.otzar.org/book.asp?606780","אורה זו תורה - 55 כר'")</f>
        <v>אורה זו תורה - 55 כר'</v>
      </c>
    </row>
    <row r="2158" spans="1:6" x14ac:dyDescent="0.2">
      <c r="A2158" t="s">
        <v>4412</v>
      </c>
      <c r="B2158" t="s">
        <v>4413</v>
      </c>
      <c r="C2158" t="s">
        <v>854</v>
      </c>
      <c r="D2158" t="s">
        <v>283</v>
      </c>
      <c r="E2158" t="s">
        <v>3261</v>
      </c>
      <c r="F2158" s="2" t="str">
        <f>HYPERLINK("http://www.otzar.org/book.asp?13542","אורה לציון")</f>
        <v>אורה לציון</v>
      </c>
    </row>
    <row r="2159" spans="1:6" x14ac:dyDescent="0.2">
      <c r="A2159" t="s">
        <v>4414</v>
      </c>
      <c r="B2159" t="s">
        <v>4415</v>
      </c>
      <c r="C2159" t="s">
        <v>422</v>
      </c>
      <c r="D2159" t="s">
        <v>152</v>
      </c>
      <c r="F2159" s="2" t="str">
        <f>HYPERLINK("http://www.otzar.org/book.asp?194710","אורה של הוראה")</f>
        <v>אורה של הוראה</v>
      </c>
    </row>
    <row r="2160" spans="1:6" x14ac:dyDescent="0.2">
      <c r="A2160" t="s">
        <v>4416</v>
      </c>
      <c r="B2160" t="s">
        <v>4417</v>
      </c>
      <c r="C2160" t="s">
        <v>37</v>
      </c>
      <c r="D2160" t="s">
        <v>14</v>
      </c>
      <c r="E2160" t="s">
        <v>119</v>
      </c>
      <c r="F2160" s="2" t="str">
        <f>HYPERLINK("http://www.otzar.org/book.asp?188849","אורה של ירושלים - רבי שלום משאש")</f>
        <v>אורה של ירושלים - רבי שלום משאש</v>
      </c>
    </row>
    <row r="2161" spans="1:6" x14ac:dyDescent="0.2">
      <c r="A2161" t="s">
        <v>4418</v>
      </c>
      <c r="B2161" t="s">
        <v>4419</v>
      </c>
      <c r="C2161" t="s">
        <v>20</v>
      </c>
      <c r="D2161" t="s">
        <v>14</v>
      </c>
      <c r="E2161" t="s">
        <v>104</v>
      </c>
      <c r="F2161" s="2" t="str">
        <f>HYPERLINK("http://www.otzar.org/book.asp?610757","אורה של תורה")</f>
        <v>אורה של תורה</v>
      </c>
    </row>
    <row r="2162" spans="1:6" x14ac:dyDescent="0.2">
      <c r="A2162" t="s">
        <v>4420</v>
      </c>
      <c r="B2162" t="s">
        <v>204</v>
      </c>
      <c r="C2162" t="s">
        <v>151</v>
      </c>
      <c r="D2162" t="s">
        <v>14</v>
      </c>
      <c r="E2162" t="s">
        <v>246</v>
      </c>
      <c r="F2162" s="2" t="str">
        <f>HYPERLINK("http://www.otzar.org/book.asp?620085","אורו של יום - שבת קודש")</f>
        <v>אורו של יום - שבת קודש</v>
      </c>
    </row>
    <row r="2163" spans="1:6" x14ac:dyDescent="0.2">
      <c r="A2163" t="s">
        <v>4421</v>
      </c>
      <c r="B2163" t="s">
        <v>206</v>
      </c>
      <c r="C2163" t="s">
        <v>366</v>
      </c>
      <c r="D2163" t="s">
        <v>152</v>
      </c>
      <c r="E2163" t="s">
        <v>213</v>
      </c>
      <c r="F2163" s="2" t="str">
        <f>HYPERLINK("http://www.otzar.org/book.asp?607061","אורו של עולם - 2 כר'")</f>
        <v>אורו של עולם - 2 כר'</v>
      </c>
    </row>
    <row r="2164" spans="1:6" x14ac:dyDescent="0.2">
      <c r="A2164" t="s">
        <v>4422</v>
      </c>
      <c r="B2164" t="s">
        <v>4423</v>
      </c>
      <c r="D2164" t="s">
        <v>870</v>
      </c>
      <c r="E2164" t="s">
        <v>4424</v>
      </c>
      <c r="F2164" s="2" t="str">
        <f>HYPERLINK("http://www.otzar.org/book.asp?605857","אורו של עולם")</f>
        <v>אורו של עולם</v>
      </c>
    </row>
    <row r="2165" spans="1:6" x14ac:dyDescent="0.2">
      <c r="A2165" t="s">
        <v>4425</v>
      </c>
      <c r="B2165" t="s">
        <v>4426</v>
      </c>
      <c r="C2165" t="s">
        <v>111</v>
      </c>
      <c r="D2165" t="s">
        <v>52</v>
      </c>
      <c r="E2165" t="s">
        <v>158</v>
      </c>
      <c r="F2165" s="2" t="str">
        <f>HYPERLINK("http://www.otzar.org/book.asp?621792","אורו של עולם - בראשית")</f>
        <v>אורו של עולם - בראשית</v>
      </c>
    </row>
    <row r="2166" spans="1:6" x14ac:dyDescent="0.2">
      <c r="A2166" t="s">
        <v>4427</v>
      </c>
      <c r="B2166" t="s">
        <v>1340</v>
      </c>
      <c r="C2166" t="s">
        <v>20</v>
      </c>
      <c r="D2166" t="s">
        <v>90</v>
      </c>
      <c r="F2166" s="2" t="str">
        <f>HYPERLINK("http://www.otzar.org/book.asp?612202","אורות אור החיים")</f>
        <v>אורות אור החיים</v>
      </c>
    </row>
    <row r="2167" spans="1:6" x14ac:dyDescent="0.2">
      <c r="A2167" t="s">
        <v>4428</v>
      </c>
      <c r="B2167" t="s">
        <v>4429</v>
      </c>
      <c r="C2167" t="s">
        <v>114</v>
      </c>
      <c r="D2167" t="s">
        <v>52</v>
      </c>
      <c r="E2167" t="s">
        <v>993</v>
      </c>
      <c r="F2167" s="2" t="str">
        <f>HYPERLINK("http://www.otzar.org/book.asp?606226","אורות אליהו - 2 כר'")</f>
        <v>אורות אליהו - 2 כר'</v>
      </c>
    </row>
    <row r="2168" spans="1:6" x14ac:dyDescent="0.2">
      <c r="A2168" t="s">
        <v>4430</v>
      </c>
      <c r="B2168" t="s">
        <v>4431</v>
      </c>
      <c r="C2168" t="s">
        <v>189</v>
      </c>
      <c r="D2168" t="s">
        <v>486</v>
      </c>
      <c r="E2168" t="s">
        <v>714</v>
      </c>
      <c r="F2168" s="2" t="str">
        <f>HYPERLINK("http://www.otzar.org/book.asp?166588","אורות אלים &lt;מהדורה חדשה&gt;")</f>
        <v>אורות אלים &lt;מהדורה חדשה&gt;</v>
      </c>
    </row>
    <row r="2169" spans="1:6" x14ac:dyDescent="0.2">
      <c r="A2169" t="s">
        <v>4432</v>
      </c>
      <c r="B2169" t="s">
        <v>4431</v>
      </c>
      <c r="C2169" t="s">
        <v>2465</v>
      </c>
      <c r="D2169" t="s">
        <v>76</v>
      </c>
      <c r="E2169" t="s">
        <v>4433</v>
      </c>
      <c r="F2169" s="2" t="str">
        <f>HYPERLINK("http://www.otzar.org/book.asp?104913","אורות אלים - 2 כר'")</f>
        <v>אורות אלים - 2 כר'</v>
      </c>
    </row>
    <row r="2170" spans="1:6" x14ac:dyDescent="0.2">
      <c r="A2170" t="s">
        <v>4434</v>
      </c>
      <c r="B2170" t="s">
        <v>642</v>
      </c>
      <c r="C2170" t="s">
        <v>1096</v>
      </c>
      <c r="D2170" t="s">
        <v>379</v>
      </c>
      <c r="E2170" t="s">
        <v>4435</v>
      </c>
      <c r="F2170" s="2" t="str">
        <f>HYPERLINK("http://www.otzar.org/book.asp?108749","אורות אלים")</f>
        <v>אורות אלים</v>
      </c>
    </row>
    <row r="2171" spans="1:6" x14ac:dyDescent="0.2">
      <c r="A2171" t="s">
        <v>4436</v>
      </c>
      <c r="B2171" t="s">
        <v>4437</v>
      </c>
      <c r="C2171" t="s">
        <v>4438</v>
      </c>
      <c r="D2171" t="s">
        <v>52</v>
      </c>
      <c r="E2171" t="s">
        <v>213</v>
      </c>
      <c r="F2171" s="2" t="str">
        <f>HYPERLINK("http://www.otzar.org/book.asp?629615","אורות אמונים - 4 כר'")</f>
        <v>אורות אמונים - 4 כר'</v>
      </c>
    </row>
    <row r="2172" spans="1:6" x14ac:dyDescent="0.2">
      <c r="A2172" t="s">
        <v>4439</v>
      </c>
      <c r="B2172" t="s">
        <v>4440</v>
      </c>
      <c r="C2172" t="s">
        <v>1062</v>
      </c>
      <c r="D2172" t="s">
        <v>4441</v>
      </c>
      <c r="E2172" t="s">
        <v>733</v>
      </c>
      <c r="F2172" s="2" t="str">
        <f>HYPERLINK("http://www.otzar.org/book.asp?196572","אורות באופל")</f>
        <v>אורות באופל</v>
      </c>
    </row>
    <row r="2173" spans="1:6" x14ac:dyDescent="0.2">
      <c r="A2173" t="s">
        <v>4442</v>
      </c>
      <c r="B2173" t="s">
        <v>1750</v>
      </c>
      <c r="C2173" t="s">
        <v>23</v>
      </c>
      <c r="D2173" t="s">
        <v>90</v>
      </c>
      <c r="E2173" t="s">
        <v>202</v>
      </c>
      <c r="F2173" s="2" t="str">
        <f>HYPERLINK("http://www.otzar.org/book.asp?627825","אורות בין הזמנים - 2 כר'")</f>
        <v>אורות בין הזמנים - 2 כר'</v>
      </c>
    </row>
    <row r="2174" spans="1:6" x14ac:dyDescent="0.2">
      <c r="A2174" t="s">
        <v>4443</v>
      </c>
      <c r="B2174" t="s">
        <v>1821</v>
      </c>
      <c r="C2174" t="s">
        <v>940</v>
      </c>
      <c r="D2174" t="s">
        <v>52</v>
      </c>
      <c r="E2174" t="s">
        <v>213</v>
      </c>
      <c r="F2174" s="2" t="str">
        <f>HYPERLINK("http://www.otzar.org/book.asp?153527","אורות הגר""א")</f>
        <v>אורות הגר"א</v>
      </c>
    </row>
    <row r="2175" spans="1:6" x14ac:dyDescent="0.2">
      <c r="A2175" t="s">
        <v>4444</v>
      </c>
      <c r="B2175" t="s">
        <v>4445</v>
      </c>
      <c r="C2175" t="s">
        <v>189</v>
      </c>
      <c r="D2175" t="s">
        <v>21</v>
      </c>
      <c r="E2175" t="s">
        <v>15</v>
      </c>
      <c r="F2175" s="2" t="str">
        <f>HYPERLINK("http://www.otzar.org/book.asp?197199","אורות ההלכה")</f>
        <v>אורות ההלכה</v>
      </c>
    </row>
    <row r="2176" spans="1:6" x14ac:dyDescent="0.2">
      <c r="A2176" t="s">
        <v>4446</v>
      </c>
      <c r="B2176" t="s">
        <v>4037</v>
      </c>
      <c r="C2176" t="s">
        <v>553</v>
      </c>
      <c r="D2176" t="s">
        <v>52</v>
      </c>
      <c r="E2176" t="s">
        <v>2758</v>
      </c>
      <c r="F2176" s="2" t="str">
        <f>HYPERLINK("http://www.otzar.org/book.asp?143782","אורות הזוהר, ילקוט בנימין - 2 כר'")</f>
        <v>אורות הזוהר, ילקוט בנימין - 2 כר'</v>
      </c>
    </row>
    <row r="2177" spans="1:6" x14ac:dyDescent="0.2">
      <c r="A2177" t="s">
        <v>4447</v>
      </c>
      <c r="B2177" t="s">
        <v>4448</v>
      </c>
      <c r="C2177" t="s">
        <v>411</v>
      </c>
      <c r="D2177" t="s">
        <v>14</v>
      </c>
      <c r="E2177" t="s">
        <v>246</v>
      </c>
      <c r="F2177" s="2" t="str">
        <f>HYPERLINK("http://www.otzar.org/book.asp?605678","אורות החג - 5 כר'")</f>
        <v>אורות החג - 5 כר'</v>
      </c>
    </row>
    <row r="2178" spans="1:6" x14ac:dyDescent="0.2">
      <c r="A2178" t="s">
        <v>4449</v>
      </c>
      <c r="B2178" t="s">
        <v>2530</v>
      </c>
      <c r="C2178" t="s">
        <v>51</v>
      </c>
      <c r="D2178" t="s">
        <v>2531</v>
      </c>
      <c r="E2178" t="s">
        <v>158</v>
      </c>
      <c r="F2178" s="2" t="str">
        <f>HYPERLINK("http://www.otzar.org/book.asp?85567","אורות החומש")</f>
        <v>אורות החומש</v>
      </c>
    </row>
    <row r="2179" spans="1:6" x14ac:dyDescent="0.2">
      <c r="A2179" t="s">
        <v>4450</v>
      </c>
      <c r="B2179" t="s">
        <v>3820</v>
      </c>
      <c r="C2179" t="s">
        <v>482</v>
      </c>
      <c r="D2179" t="s">
        <v>9</v>
      </c>
      <c r="E2179" t="s">
        <v>241</v>
      </c>
      <c r="F2179" s="2" t="str">
        <f>HYPERLINK("http://www.otzar.org/book.asp?105862","אורות החיים")</f>
        <v>אורות החיים</v>
      </c>
    </row>
    <row r="2180" spans="1:6" x14ac:dyDescent="0.2">
      <c r="A2180" t="s">
        <v>4451</v>
      </c>
      <c r="C2180" t="s">
        <v>244</v>
      </c>
      <c r="D2180" t="s">
        <v>412</v>
      </c>
      <c r="E2180" t="s">
        <v>2915</v>
      </c>
      <c r="F2180" s="2" t="str">
        <f>HYPERLINK("http://www.otzar.org/book.asp?605005","אורות המאירים - ליקוטי ישכר")</f>
        <v>אורות המאירים - ליקוטי ישכר</v>
      </c>
    </row>
    <row r="2181" spans="1:6" x14ac:dyDescent="0.2">
      <c r="A2181" t="s">
        <v>4452</v>
      </c>
      <c r="B2181" t="s">
        <v>3883</v>
      </c>
      <c r="C2181" t="s">
        <v>51</v>
      </c>
      <c r="D2181" t="s">
        <v>14</v>
      </c>
      <c r="F2181" s="2" t="str">
        <f>HYPERLINK("http://www.otzar.org/book.asp?50446","אורות המוסר")</f>
        <v>אורות המוסר</v>
      </c>
    </row>
    <row r="2182" spans="1:6" x14ac:dyDescent="0.2">
      <c r="A2182" t="s">
        <v>4452</v>
      </c>
      <c r="B2182" t="s">
        <v>4453</v>
      </c>
      <c r="C2182" t="s">
        <v>23</v>
      </c>
      <c r="D2182" t="s">
        <v>14</v>
      </c>
      <c r="F2182" s="2" t="str">
        <f>HYPERLINK("http://www.otzar.org/book.asp?616225","אורות המוסר")</f>
        <v>אורות המוסר</v>
      </c>
    </row>
    <row r="2183" spans="1:6" x14ac:dyDescent="0.2">
      <c r="A2183" t="s">
        <v>4454</v>
      </c>
      <c r="B2183" t="s">
        <v>3727</v>
      </c>
      <c r="C2183" t="s">
        <v>143</v>
      </c>
      <c r="D2183" t="s">
        <v>118</v>
      </c>
      <c r="E2183" t="s">
        <v>4455</v>
      </c>
      <c r="F2183" s="2" t="str">
        <f>HYPERLINK("http://www.otzar.org/book.asp?148624","אורות המועדים")</f>
        <v>אורות המועדים</v>
      </c>
    </row>
    <row r="2184" spans="1:6" x14ac:dyDescent="0.2">
      <c r="A2184" t="s">
        <v>4456</v>
      </c>
      <c r="B2184" t="s">
        <v>4457</v>
      </c>
      <c r="C2184" t="s">
        <v>111</v>
      </c>
      <c r="D2184" t="s">
        <v>1156</v>
      </c>
      <c r="E2184" t="s">
        <v>3055</v>
      </c>
      <c r="F2184" s="2" t="str">
        <f>HYPERLINK("http://www.otzar.org/book.asp?621811","אורות המועדים - חנוכה")</f>
        <v>אורות המועדים - חנוכה</v>
      </c>
    </row>
    <row r="2185" spans="1:6" x14ac:dyDescent="0.2">
      <c r="A2185" t="s">
        <v>4458</v>
      </c>
      <c r="B2185" t="s">
        <v>4459</v>
      </c>
      <c r="C2185" t="s">
        <v>411</v>
      </c>
      <c r="D2185" t="s">
        <v>14</v>
      </c>
      <c r="E2185" t="s">
        <v>246</v>
      </c>
      <c r="F2185" s="2" t="str">
        <f>HYPERLINK("http://www.otzar.org/book.asp?197073","אורות המועדים - 2 כר'")</f>
        <v>אורות המועדים - 2 כר'</v>
      </c>
    </row>
    <row r="2186" spans="1:6" x14ac:dyDescent="0.2">
      <c r="A2186" t="s">
        <v>4460</v>
      </c>
      <c r="B2186" t="s">
        <v>4461</v>
      </c>
      <c r="C2186" t="s">
        <v>4462</v>
      </c>
      <c r="D2186" t="s">
        <v>1023</v>
      </c>
      <c r="E2186" t="s">
        <v>3261</v>
      </c>
      <c r="F2186" s="2" t="str">
        <f>HYPERLINK("http://www.otzar.org/book.asp?22362","אורות המצות")</f>
        <v>אורות המצות</v>
      </c>
    </row>
    <row r="2187" spans="1:6" x14ac:dyDescent="0.2">
      <c r="A2187" t="s">
        <v>4463</v>
      </c>
      <c r="B2187" t="s">
        <v>4464</v>
      </c>
      <c r="C2187" t="s">
        <v>129</v>
      </c>
      <c r="D2187" t="s">
        <v>14</v>
      </c>
      <c r="E2187" t="s">
        <v>15</v>
      </c>
      <c r="F2187" s="2" t="str">
        <f>HYPERLINK("http://www.otzar.org/book.asp?159305","אורות המשפט - 3 כר'")</f>
        <v>אורות המשפט - 3 כר'</v>
      </c>
    </row>
    <row r="2188" spans="1:6" x14ac:dyDescent="0.2">
      <c r="A2188" t="s">
        <v>4465</v>
      </c>
      <c r="B2188" t="s">
        <v>4466</v>
      </c>
      <c r="C2188" t="s">
        <v>13</v>
      </c>
      <c r="D2188" t="s">
        <v>21</v>
      </c>
      <c r="E2188" t="s">
        <v>714</v>
      </c>
      <c r="F2188" s="2" t="str">
        <f>HYPERLINK("http://www.otzar.org/book.asp?190761","אורות הנפש - אבלות")</f>
        <v>אורות הנפש - אבלות</v>
      </c>
    </row>
    <row r="2189" spans="1:6" x14ac:dyDescent="0.2">
      <c r="A2189" t="s">
        <v>4467</v>
      </c>
      <c r="B2189" t="s">
        <v>3727</v>
      </c>
      <c r="C2189" t="s">
        <v>366</v>
      </c>
      <c r="D2189" t="s">
        <v>52</v>
      </c>
      <c r="E2189" t="s">
        <v>246</v>
      </c>
      <c r="F2189" s="2" t="str">
        <f>HYPERLINK("http://www.otzar.org/book.asp?603127","אורות הסופרים - 3 כר'")</f>
        <v>אורות הסופרים - 3 כר'</v>
      </c>
    </row>
    <row r="2190" spans="1:6" x14ac:dyDescent="0.2">
      <c r="A2190" t="s">
        <v>4468</v>
      </c>
      <c r="B2190" t="s">
        <v>4469</v>
      </c>
      <c r="C2190" t="s">
        <v>624</v>
      </c>
      <c r="D2190" t="s">
        <v>52</v>
      </c>
      <c r="E2190" t="s">
        <v>467</v>
      </c>
      <c r="F2190" s="2" t="str">
        <f>HYPERLINK("http://www.otzar.org/book.asp?52531","אורות הפורים")</f>
        <v>אורות הפורים</v>
      </c>
    </row>
    <row r="2191" spans="1:6" x14ac:dyDescent="0.2">
      <c r="A2191" t="s">
        <v>4470</v>
      </c>
      <c r="B2191" t="s">
        <v>4471</v>
      </c>
      <c r="C2191" t="s">
        <v>20</v>
      </c>
      <c r="D2191" t="s">
        <v>27</v>
      </c>
      <c r="E2191" t="s">
        <v>241</v>
      </c>
      <c r="F2191" s="2" t="str">
        <f>HYPERLINK("http://www.otzar.org/book.asp?199659","אורות הקודש &lt;דיבור ומחשבה - חוויית הקודש&gt; - ב")</f>
        <v>אורות הקודש &lt;דיבור ומחשבה - חוויית הקודש&gt; - ב</v>
      </c>
    </row>
    <row r="2192" spans="1:6" x14ac:dyDescent="0.2">
      <c r="A2192" t="s">
        <v>4472</v>
      </c>
      <c r="B2192" t="s">
        <v>4473</v>
      </c>
      <c r="C2192" t="s">
        <v>411</v>
      </c>
      <c r="D2192" t="s">
        <v>14</v>
      </c>
      <c r="E2192" t="s">
        <v>4474</v>
      </c>
      <c r="F2192" s="2" t="str">
        <f>HYPERLINK("http://www.otzar.org/book.asp?173627","אורות הש""ס &lt;רוז'ין&gt;")</f>
        <v>אורות הש"ס &lt;רוז'ין&gt;</v>
      </c>
    </row>
    <row r="2193" spans="1:6" x14ac:dyDescent="0.2">
      <c r="A2193" t="s">
        <v>4475</v>
      </c>
      <c r="B2193" t="s">
        <v>4476</v>
      </c>
      <c r="C2193" t="s">
        <v>129</v>
      </c>
      <c r="D2193" t="s">
        <v>52</v>
      </c>
      <c r="E2193" t="s">
        <v>15</v>
      </c>
      <c r="F2193" s="2" t="str">
        <f>HYPERLINK("http://www.otzar.org/book.asp?144314","אורות השבת - 2 כר'")</f>
        <v>אורות השבת - 2 כר'</v>
      </c>
    </row>
    <row r="2194" spans="1:6" x14ac:dyDescent="0.2">
      <c r="A2194" t="s">
        <v>4477</v>
      </c>
      <c r="B2194" t="s">
        <v>1469</v>
      </c>
      <c r="C2194" t="s">
        <v>103</v>
      </c>
      <c r="D2194" t="s">
        <v>4478</v>
      </c>
      <c r="E2194" t="s">
        <v>213</v>
      </c>
      <c r="F2194" s="2" t="str">
        <f>HYPERLINK("http://www.otzar.org/book.asp?63146","אורות התורה")</f>
        <v>אורות התורה</v>
      </c>
    </row>
    <row r="2195" spans="1:6" x14ac:dyDescent="0.2">
      <c r="A2195" t="s">
        <v>4479</v>
      </c>
      <c r="B2195" t="s">
        <v>4480</v>
      </c>
      <c r="C2195" t="s">
        <v>1448</v>
      </c>
      <c r="D2195" t="s">
        <v>14</v>
      </c>
      <c r="E2195" t="s">
        <v>104</v>
      </c>
      <c r="F2195" s="2" t="str">
        <f>HYPERLINK("http://www.otzar.org/book.asp?12708","אורות וזמנים")</f>
        <v>אורות וזמנים</v>
      </c>
    </row>
    <row r="2196" spans="1:6" x14ac:dyDescent="0.2">
      <c r="A2196" t="s">
        <v>4481</v>
      </c>
      <c r="C2196" t="s">
        <v>422</v>
      </c>
      <c r="D2196" t="s">
        <v>52</v>
      </c>
      <c r="E2196" t="s">
        <v>246</v>
      </c>
      <c r="F2196" s="2" t="str">
        <f>HYPERLINK("http://www.otzar.org/book.asp?199660","אורות חיים - חנוכה, ימי השובבי""ם")</f>
        <v>אורות חיים - חנוכה, ימי השובבי"ם</v>
      </c>
    </row>
    <row r="2197" spans="1:6" x14ac:dyDescent="0.2">
      <c r="A2197" t="s">
        <v>4482</v>
      </c>
      <c r="B2197" t="s">
        <v>4483</v>
      </c>
      <c r="C2197" t="s">
        <v>989</v>
      </c>
      <c r="D2197" t="s">
        <v>27</v>
      </c>
      <c r="E2197" t="s">
        <v>104</v>
      </c>
      <c r="F2197" s="2" t="str">
        <f>HYPERLINK("http://www.otzar.org/book.asp?617861","אורות חיים - 3 כר'")</f>
        <v>אורות חיים - 3 כר'</v>
      </c>
    </row>
    <row r="2198" spans="1:6" x14ac:dyDescent="0.2">
      <c r="A2198" t="s">
        <v>4484</v>
      </c>
      <c r="B2198" t="s">
        <v>4485</v>
      </c>
      <c r="C2198" t="s">
        <v>767</v>
      </c>
      <c r="D2198" t="s">
        <v>14</v>
      </c>
      <c r="E2198" t="s">
        <v>4486</v>
      </c>
      <c r="F2198" s="2" t="str">
        <f>HYPERLINK("http://www.otzar.org/book.asp?171028","אורות חיים - דברי חיים - חנוכה")</f>
        <v>אורות חיים - דברי חיים - חנוכה</v>
      </c>
    </row>
    <row r="2199" spans="1:6" x14ac:dyDescent="0.2">
      <c r="A2199" t="s">
        <v>4487</v>
      </c>
      <c r="B2199" t="s">
        <v>4488</v>
      </c>
      <c r="C2199" t="s">
        <v>17</v>
      </c>
      <c r="D2199" t="s">
        <v>412</v>
      </c>
      <c r="E2199" t="s">
        <v>467</v>
      </c>
      <c r="F2199" s="2" t="str">
        <f>HYPERLINK("http://www.otzar.org/book.asp?145274","אורות חיים")</f>
        <v>אורות חיים</v>
      </c>
    </row>
    <row r="2200" spans="1:6" x14ac:dyDescent="0.2">
      <c r="A2200" t="s">
        <v>4482</v>
      </c>
      <c r="B2200" t="s">
        <v>4251</v>
      </c>
      <c r="C2200" t="s">
        <v>20</v>
      </c>
      <c r="D2200" t="s">
        <v>2458</v>
      </c>
      <c r="F2200" s="2" t="str">
        <f>HYPERLINK("http://www.otzar.org/book.asp?604855","אורות חיים - 3 כר'")</f>
        <v>אורות חיים - 3 כר'</v>
      </c>
    </row>
    <row r="2201" spans="1:6" x14ac:dyDescent="0.2">
      <c r="A2201" t="s">
        <v>4489</v>
      </c>
      <c r="B2201" t="s">
        <v>4490</v>
      </c>
      <c r="C2201" t="s">
        <v>466</v>
      </c>
      <c r="D2201" t="s">
        <v>412</v>
      </c>
      <c r="E2201" t="s">
        <v>158</v>
      </c>
      <c r="F2201" s="2" t="str">
        <f>HYPERLINK("http://www.otzar.org/book.asp?171715","אורות חתם סופר - 2 כר'")</f>
        <v>אורות חתם סופר - 2 כר'</v>
      </c>
    </row>
    <row r="2202" spans="1:6" x14ac:dyDescent="0.2">
      <c r="A2202" t="s">
        <v>4491</v>
      </c>
      <c r="B2202" t="s">
        <v>4466</v>
      </c>
      <c r="C2202" t="s">
        <v>68</v>
      </c>
      <c r="D2202" t="s">
        <v>14</v>
      </c>
      <c r="E2202" t="s">
        <v>15</v>
      </c>
      <c r="F2202" s="2" t="str">
        <f>HYPERLINK("http://www.otzar.org/book.asp?191910","אורות טהרת המשפחה")</f>
        <v>אורות טהרת המשפחה</v>
      </c>
    </row>
    <row r="2203" spans="1:6" x14ac:dyDescent="0.2">
      <c r="A2203" t="s">
        <v>4492</v>
      </c>
      <c r="B2203" t="s">
        <v>4493</v>
      </c>
      <c r="C2203" t="s">
        <v>133</v>
      </c>
      <c r="D2203" t="s">
        <v>412</v>
      </c>
      <c r="E2203" t="s">
        <v>4494</v>
      </c>
      <c r="F2203" s="2" t="str">
        <f>HYPERLINK("http://www.otzar.org/book.asp?170856","אורות יהושע - חשון - אדר")</f>
        <v>אורות יהושע - חשון - אדר</v>
      </c>
    </row>
    <row r="2204" spans="1:6" x14ac:dyDescent="0.2">
      <c r="A2204" t="s">
        <v>4495</v>
      </c>
      <c r="B2204" t="s">
        <v>4496</v>
      </c>
      <c r="C2204" t="s">
        <v>366</v>
      </c>
      <c r="E2204" t="s">
        <v>158</v>
      </c>
      <c r="F2204" s="2" t="str">
        <f>HYPERLINK("http://www.otzar.org/book.asp?606333","אורות יעקב")</f>
        <v>אורות יעקב</v>
      </c>
    </row>
    <row r="2205" spans="1:6" x14ac:dyDescent="0.2">
      <c r="A2205" t="s">
        <v>4497</v>
      </c>
      <c r="B2205" t="s">
        <v>4498</v>
      </c>
      <c r="C2205" t="s">
        <v>4499</v>
      </c>
      <c r="D2205" t="s">
        <v>947</v>
      </c>
      <c r="E2205" t="s">
        <v>104</v>
      </c>
      <c r="F2205" s="2" t="str">
        <f>HYPERLINK("http://www.otzar.org/book.asp?154469","אורות ישמח ישראל")</f>
        <v>אורות ישמח ישראל</v>
      </c>
    </row>
    <row r="2206" spans="1:6" x14ac:dyDescent="0.2">
      <c r="A2206" t="s">
        <v>4500</v>
      </c>
      <c r="B2206" t="s">
        <v>4501</v>
      </c>
      <c r="C2206" t="s">
        <v>1811</v>
      </c>
      <c r="D2206" t="s">
        <v>27</v>
      </c>
      <c r="E2206" t="s">
        <v>3987</v>
      </c>
      <c r="F2206" s="2" t="str">
        <f>HYPERLINK("http://www.otzar.org/book.asp?156695","אורות ישראל")</f>
        <v>אורות ישראל</v>
      </c>
    </row>
    <row r="2207" spans="1:6" x14ac:dyDescent="0.2">
      <c r="A2207" t="s">
        <v>4502</v>
      </c>
      <c r="B2207" t="s">
        <v>4503</v>
      </c>
      <c r="C2207" t="s">
        <v>843</v>
      </c>
      <c r="D2207" t="s">
        <v>9</v>
      </c>
      <c r="E2207" t="s">
        <v>104</v>
      </c>
      <c r="F2207" s="2" t="str">
        <f>HYPERLINK("http://www.otzar.org/book.asp?17158","אורות מאופל")</f>
        <v>אורות מאופל</v>
      </c>
    </row>
    <row r="2208" spans="1:6" x14ac:dyDescent="0.2">
      <c r="A2208" t="s">
        <v>4504</v>
      </c>
      <c r="B2208" t="s">
        <v>3554</v>
      </c>
      <c r="C2208" t="s">
        <v>1570</v>
      </c>
      <c r="D2208" t="s">
        <v>52</v>
      </c>
      <c r="E2208" t="s">
        <v>119</v>
      </c>
      <c r="F2208" s="2" t="str">
        <f>HYPERLINK("http://www.otzar.org/book.asp?144135","אורות ממזרח")</f>
        <v>אורות ממזרח</v>
      </c>
    </row>
    <row r="2209" spans="1:6" x14ac:dyDescent="0.2">
      <c r="A2209" t="s">
        <v>4505</v>
      </c>
      <c r="B2209" t="s">
        <v>4506</v>
      </c>
      <c r="C2209" t="s">
        <v>767</v>
      </c>
      <c r="D2209" t="s">
        <v>14</v>
      </c>
      <c r="E2209" t="s">
        <v>119</v>
      </c>
      <c r="F2209" s="2" t="str">
        <f>HYPERLINK("http://www.otzar.org/book.asp?180626","אורות ממיר")</f>
        <v>אורות ממיר</v>
      </c>
    </row>
    <row r="2210" spans="1:6" x14ac:dyDescent="0.2">
      <c r="A2210" t="s">
        <v>4507</v>
      </c>
      <c r="B2210" t="s">
        <v>4464</v>
      </c>
      <c r="C2210" t="s">
        <v>23</v>
      </c>
      <c r="D2210" t="s">
        <v>4508</v>
      </c>
      <c r="E2210" t="s">
        <v>241</v>
      </c>
      <c r="F2210" s="2" t="str">
        <f>HYPERLINK("http://www.otzar.org/book.asp?197207","אורות מן האבות")</f>
        <v>אורות מן האבות</v>
      </c>
    </row>
    <row r="2211" spans="1:6" x14ac:dyDescent="0.2">
      <c r="A2211" t="s">
        <v>4509</v>
      </c>
      <c r="B2211" t="s">
        <v>4510</v>
      </c>
      <c r="C2211" t="s">
        <v>383</v>
      </c>
      <c r="D2211" t="s">
        <v>2798</v>
      </c>
      <c r="E2211" t="s">
        <v>158</v>
      </c>
      <c r="F2211" s="2" t="str">
        <f>HYPERLINK("http://www.otzar.org/book.asp?193129","אורות מנחם - בראשית")</f>
        <v>אורות מנחם - בראשית</v>
      </c>
    </row>
    <row r="2212" spans="1:6" x14ac:dyDescent="0.2">
      <c r="A2212" t="s">
        <v>4511</v>
      </c>
      <c r="B2212" t="s">
        <v>4512</v>
      </c>
      <c r="C2212" t="s">
        <v>176</v>
      </c>
      <c r="D2212" t="s">
        <v>139</v>
      </c>
      <c r="E2212" t="s">
        <v>4513</v>
      </c>
      <c r="F2212" s="2" t="str">
        <f>HYPERLINK("http://www.otzar.org/book.asp?63256","אורות מרדכי")</f>
        <v>אורות מרדכי</v>
      </c>
    </row>
    <row r="2213" spans="1:6" x14ac:dyDescent="0.2">
      <c r="A2213" t="s">
        <v>4514</v>
      </c>
      <c r="B2213" t="s">
        <v>4515</v>
      </c>
      <c r="C2213" t="s">
        <v>332</v>
      </c>
      <c r="D2213" t="s">
        <v>852</v>
      </c>
      <c r="E2213" t="s">
        <v>1174</v>
      </c>
      <c r="F2213" s="2" t="str">
        <f>HYPERLINK("http://www.otzar.org/book.asp?159795","אורות משה - 9 כר'")</f>
        <v>אורות משה - 9 כר'</v>
      </c>
    </row>
    <row r="2214" spans="1:6" x14ac:dyDescent="0.2">
      <c r="A2214" t="s">
        <v>4516</v>
      </c>
      <c r="B2214" t="s">
        <v>4517</v>
      </c>
      <c r="C2214" t="s">
        <v>4518</v>
      </c>
      <c r="D2214" t="s">
        <v>4519</v>
      </c>
      <c r="E2214" t="s">
        <v>202</v>
      </c>
      <c r="F2214" s="2" t="str">
        <f>HYPERLINK("http://www.otzar.org/book.asp?629734","אורות עמנואל")</f>
        <v>אורות עמנואל</v>
      </c>
    </row>
    <row r="2215" spans="1:6" x14ac:dyDescent="0.2">
      <c r="A2215" t="s">
        <v>4520</v>
      </c>
      <c r="B2215" t="s">
        <v>4431</v>
      </c>
      <c r="C2215" t="s">
        <v>37</v>
      </c>
      <c r="D2215" t="s">
        <v>27</v>
      </c>
      <c r="E2215" t="s">
        <v>4521</v>
      </c>
      <c r="F2215" s="2" t="str">
        <f>HYPERLINK("http://www.otzar.org/book.asp?189161","אורות פלא - 2 כר'")</f>
        <v>אורות פלא - 2 כר'</v>
      </c>
    </row>
    <row r="2216" spans="1:6" x14ac:dyDescent="0.2">
      <c r="A2216" t="s">
        <v>4522</v>
      </c>
      <c r="B2216" t="s">
        <v>4523</v>
      </c>
      <c r="C2216" t="s">
        <v>71</v>
      </c>
      <c r="D2216" t="s">
        <v>14</v>
      </c>
      <c r="E2216" t="s">
        <v>130</v>
      </c>
      <c r="F2216" s="2" t="str">
        <f>HYPERLINK("http://www.otzar.org/book.asp?145269","אורות צדיקים - חנוכה")</f>
        <v>אורות צדיקים - חנוכה</v>
      </c>
    </row>
    <row r="2217" spans="1:6" x14ac:dyDescent="0.2">
      <c r="A2217" t="s">
        <v>4524</v>
      </c>
      <c r="B2217" t="s">
        <v>4525</v>
      </c>
      <c r="C2217" t="s">
        <v>244</v>
      </c>
      <c r="E2217" t="s">
        <v>1174</v>
      </c>
      <c r="F2217" s="2" t="str">
        <f>HYPERLINK("http://www.otzar.org/book.asp?628221","אורות - יב")</f>
        <v>אורות - יב</v>
      </c>
    </row>
    <row r="2218" spans="1:6" x14ac:dyDescent="0.2">
      <c r="A2218" t="s">
        <v>4526</v>
      </c>
      <c r="B2218" t="s">
        <v>1750</v>
      </c>
      <c r="C2218" t="s">
        <v>725</v>
      </c>
      <c r="D2218" t="s">
        <v>14</v>
      </c>
      <c r="E2218" t="s">
        <v>3790</v>
      </c>
      <c r="F2218" s="2" t="str">
        <f>HYPERLINK("http://www.otzar.org/book.asp?196204","אורות")</f>
        <v>אורות</v>
      </c>
    </row>
    <row r="2219" spans="1:6" x14ac:dyDescent="0.2">
      <c r="A2219" t="s">
        <v>4527</v>
      </c>
      <c r="B2219" t="s">
        <v>142</v>
      </c>
      <c r="C2219" t="s">
        <v>244</v>
      </c>
      <c r="D2219" t="s">
        <v>14</v>
      </c>
      <c r="E2219" t="s">
        <v>172</v>
      </c>
      <c r="F2219" s="2" t="str">
        <f>HYPERLINK("http://www.otzar.org/book.asp?605907","אורח אביעזרי")</f>
        <v>אורח אביעזרי</v>
      </c>
    </row>
    <row r="2220" spans="1:6" x14ac:dyDescent="0.2">
      <c r="A2220" t="s">
        <v>4528</v>
      </c>
      <c r="B2220" t="s">
        <v>4529</v>
      </c>
      <c r="C2220" t="s">
        <v>13</v>
      </c>
      <c r="D2220" t="s">
        <v>423</v>
      </c>
      <c r="E2220" t="s">
        <v>15</v>
      </c>
      <c r="F2220" s="2" t="str">
        <f>HYPERLINK("http://www.otzar.org/book.asp?160560","אורח הדרך - הלכות מצויות להולכי דרכים")</f>
        <v>אורח הדרך - הלכות מצויות להולכי דרכים</v>
      </c>
    </row>
    <row r="2221" spans="1:6" x14ac:dyDescent="0.2">
      <c r="A2221" t="s">
        <v>4530</v>
      </c>
      <c r="B2221" t="s">
        <v>4531</v>
      </c>
      <c r="C2221" t="s">
        <v>129</v>
      </c>
      <c r="D2221" t="s">
        <v>52</v>
      </c>
      <c r="E2221" t="s">
        <v>148</v>
      </c>
      <c r="F2221" s="2" t="str">
        <f>HYPERLINK("http://www.otzar.org/book.asp?143890","אורח הטהרה - 4 כר'")</f>
        <v>אורח הטהרה - 4 כר'</v>
      </c>
    </row>
    <row r="2222" spans="1:6" x14ac:dyDescent="0.2">
      <c r="A2222" t="s">
        <v>4532</v>
      </c>
      <c r="B2222" t="s">
        <v>4531</v>
      </c>
      <c r="C2222" t="s">
        <v>103</v>
      </c>
      <c r="D2222" t="s">
        <v>52</v>
      </c>
      <c r="E2222" t="s">
        <v>144</v>
      </c>
      <c r="F2222" s="2" t="str">
        <f>HYPERLINK("http://www.otzar.org/book.asp?23908","אורח השבת - א-ב (בישול, הטמנה, שהיה, החזרה)")</f>
        <v>אורח השבת - א-ב (בישול, הטמנה, שהיה, החזרה)</v>
      </c>
    </row>
    <row r="2223" spans="1:6" x14ac:dyDescent="0.2">
      <c r="A2223" t="s">
        <v>4533</v>
      </c>
      <c r="B2223" t="s">
        <v>4015</v>
      </c>
      <c r="C2223" t="s">
        <v>429</v>
      </c>
      <c r="D2223" t="s">
        <v>1566</v>
      </c>
      <c r="E2223" t="s">
        <v>158</v>
      </c>
      <c r="F2223" s="2" t="str">
        <f>HYPERLINK("http://www.otzar.org/book.asp?300185","אורח חיים ובינה במקרא")</f>
        <v>אורח חיים ובינה במקרא</v>
      </c>
    </row>
    <row r="2224" spans="1:6" x14ac:dyDescent="0.2">
      <c r="A2224" t="s">
        <v>4534</v>
      </c>
      <c r="B2224" t="s">
        <v>1308</v>
      </c>
      <c r="C2224" t="s">
        <v>224</v>
      </c>
      <c r="D2224" t="s">
        <v>27</v>
      </c>
      <c r="E2224" t="s">
        <v>219</v>
      </c>
      <c r="F2224" s="2" t="str">
        <f>HYPERLINK("http://www.otzar.org/book.asp?84750","אורח חיים")</f>
        <v>אורח חיים</v>
      </c>
    </row>
    <row r="2225" spans="1:6" x14ac:dyDescent="0.2">
      <c r="A2225" t="s">
        <v>4534</v>
      </c>
      <c r="B2225" t="s">
        <v>4535</v>
      </c>
      <c r="C2225" t="s">
        <v>99</v>
      </c>
      <c r="D2225" t="s">
        <v>1889</v>
      </c>
      <c r="E2225" t="s">
        <v>84</v>
      </c>
      <c r="F2225" s="2" t="str">
        <f>HYPERLINK("http://www.otzar.org/book.asp?108750","אורח חיים")</f>
        <v>אורח חיים</v>
      </c>
    </row>
    <row r="2226" spans="1:6" x14ac:dyDescent="0.2">
      <c r="A2226" t="s">
        <v>4536</v>
      </c>
      <c r="B2226" t="s">
        <v>4537</v>
      </c>
      <c r="C2226" t="s">
        <v>4538</v>
      </c>
      <c r="D2226" t="s">
        <v>4539</v>
      </c>
      <c r="E2226" t="s">
        <v>314</v>
      </c>
      <c r="F2226" s="2" t="str">
        <f>HYPERLINK("http://www.otzar.org/book.asp?103600","אורח חיים - 2 כר'")</f>
        <v>אורח חיים - 2 כר'</v>
      </c>
    </row>
    <row r="2227" spans="1:6" x14ac:dyDescent="0.2">
      <c r="A2227" t="s">
        <v>4540</v>
      </c>
      <c r="B2227" t="s">
        <v>4541</v>
      </c>
      <c r="C2227" t="s">
        <v>4542</v>
      </c>
      <c r="D2227" t="s">
        <v>280</v>
      </c>
      <c r="E2227" t="s">
        <v>241</v>
      </c>
      <c r="F2227" s="2" t="str">
        <f>HYPERLINK("http://www.otzar.org/book.asp?15834","אורח חיים - 3 כר'")</f>
        <v>אורח חיים - 3 כר'</v>
      </c>
    </row>
    <row r="2228" spans="1:6" x14ac:dyDescent="0.2">
      <c r="A2228" t="s">
        <v>4543</v>
      </c>
      <c r="B2228" t="s">
        <v>477</v>
      </c>
      <c r="C2228" t="s">
        <v>13</v>
      </c>
      <c r="D2228" t="s">
        <v>14</v>
      </c>
      <c r="E2228" t="s">
        <v>15</v>
      </c>
      <c r="F2228" s="2" t="str">
        <f>HYPERLINK("http://www.otzar.org/book.asp?173997","אורח יאה - 2 כר'")</f>
        <v>אורח יאה - 2 כר'</v>
      </c>
    </row>
    <row r="2229" spans="1:6" x14ac:dyDescent="0.2">
      <c r="A2229" t="s">
        <v>4544</v>
      </c>
      <c r="B2229" t="s">
        <v>4545</v>
      </c>
      <c r="C2229" t="s">
        <v>2644</v>
      </c>
      <c r="D2229" t="s">
        <v>56</v>
      </c>
      <c r="E2229" t="s">
        <v>930</v>
      </c>
      <c r="F2229" s="2" t="str">
        <f>HYPERLINK("http://www.otzar.org/book.asp?102832","אורח ישר")</f>
        <v>אורח ישר</v>
      </c>
    </row>
    <row r="2230" spans="1:6" x14ac:dyDescent="0.2">
      <c r="A2230" t="s">
        <v>4546</v>
      </c>
      <c r="B2230" t="s">
        <v>4547</v>
      </c>
      <c r="C2230" t="s">
        <v>785</v>
      </c>
      <c r="D2230" t="s">
        <v>14</v>
      </c>
      <c r="E2230" t="s">
        <v>154</v>
      </c>
      <c r="F2230" s="2" t="str">
        <f>HYPERLINK("http://www.otzar.org/book.asp?51572","אורח ישראל")</f>
        <v>אורח ישראל</v>
      </c>
    </row>
    <row r="2231" spans="1:6" x14ac:dyDescent="0.2">
      <c r="A2231" t="s">
        <v>4546</v>
      </c>
      <c r="B2231" t="s">
        <v>4548</v>
      </c>
      <c r="C2231" t="s">
        <v>313</v>
      </c>
      <c r="D2231" t="s">
        <v>4549</v>
      </c>
      <c r="E2231" t="s">
        <v>684</v>
      </c>
      <c r="F2231" s="2" t="str">
        <f>HYPERLINK("http://www.otzar.org/book.asp?84696","אורח ישראל")</f>
        <v>אורח ישראל</v>
      </c>
    </row>
    <row r="2232" spans="1:6" x14ac:dyDescent="0.2">
      <c r="A2232" t="s">
        <v>4550</v>
      </c>
      <c r="B2232" t="s">
        <v>4015</v>
      </c>
      <c r="C2232" t="s">
        <v>617</v>
      </c>
      <c r="D2232" t="s">
        <v>283</v>
      </c>
      <c r="E2232" t="s">
        <v>4424</v>
      </c>
      <c r="F2232" s="2" t="str">
        <f>HYPERLINK("http://www.otzar.org/book.asp?15835","אורח ישרים - 3 כר'")</f>
        <v>אורח ישרים - 3 כר'</v>
      </c>
    </row>
    <row r="2233" spans="1:6" x14ac:dyDescent="0.2">
      <c r="A2233" t="s">
        <v>4551</v>
      </c>
      <c r="B2233" t="s">
        <v>4552</v>
      </c>
      <c r="C2233" t="s">
        <v>313</v>
      </c>
      <c r="D2233" t="s">
        <v>52</v>
      </c>
      <c r="E2233" t="s">
        <v>144</v>
      </c>
      <c r="F2233" s="2" t="str">
        <f>HYPERLINK("http://www.otzar.org/book.asp?165833","אורח ישרים - הוריות")</f>
        <v>אורח ישרים - הוריות</v>
      </c>
    </row>
    <row r="2234" spans="1:6" x14ac:dyDescent="0.2">
      <c r="A2234" t="s">
        <v>4553</v>
      </c>
      <c r="B2234" t="s">
        <v>4554</v>
      </c>
      <c r="C2234" t="s">
        <v>23</v>
      </c>
      <c r="D2234" t="s">
        <v>27</v>
      </c>
      <c r="E2234" t="s">
        <v>144</v>
      </c>
      <c r="F2234" s="2" t="str">
        <f>HYPERLINK("http://www.otzar.org/book.asp?188914","אורח ישרים - כריתות")</f>
        <v>אורח ישרים - כריתות</v>
      </c>
    </row>
    <row r="2235" spans="1:6" x14ac:dyDescent="0.2">
      <c r="A2235" t="s">
        <v>4555</v>
      </c>
      <c r="B2235" t="s">
        <v>4556</v>
      </c>
      <c r="C2235" t="s">
        <v>422</v>
      </c>
      <c r="D2235" t="s">
        <v>14</v>
      </c>
      <c r="E2235" t="s">
        <v>1164</v>
      </c>
      <c r="F2235" s="2" t="str">
        <f>HYPERLINK("http://www.otzar.org/book.asp?199884","אורח לחיים &lt;מהדורה חדשה&gt;")</f>
        <v>אורח לחיים &lt;מהדורה חדשה&gt;</v>
      </c>
    </row>
    <row r="2236" spans="1:6" x14ac:dyDescent="0.2">
      <c r="A2236" t="s">
        <v>4557</v>
      </c>
      <c r="B2236" t="s">
        <v>4558</v>
      </c>
      <c r="C2236" t="s">
        <v>248</v>
      </c>
      <c r="D2236" t="s">
        <v>267</v>
      </c>
      <c r="E2236" t="s">
        <v>158</v>
      </c>
      <c r="F2236" s="2" t="str">
        <f>HYPERLINK("http://www.otzar.org/book.asp?108279","אורח לחיים - 3 כר'")</f>
        <v>אורח לחיים - 3 כר'</v>
      </c>
    </row>
    <row r="2237" spans="1:6" x14ac:dyDescent="0.2">
      <c r="A2237" t="s">
        <v>4559</v>
      </c>
      <c r="B2237" t="s">
        <v>4560</v>
      </c>
      <c r="C2237" t="s">
        <v>725</v>
      </c>
      <c r="D2237" t="s">
        <v>726</v>
      </c>
      <c r="E2237" t="s">
        <v>4561</v>
      </c>
      <c r="F2237" s="2" t="str">
        <f>HYPERLINK("http://www.otzar.org/book.asp?51756","אורח לחיים")</f>
        <v>אורח לחיים</v>
      </c>
    </row>
    <row r="2238" spans="1:6" x14ac:dyDescent="0.2">
      <c r="A2238" t="s">
        <v>4557</v>
      </c>
      <c r="B2238" t="s">
        <v>4556</v>
      </c>
      <c r="C2238" t="s">
        <v>4562</v>
      </c>
      <c r="D2238" t="s">
        <v>726</v>
      </c>
      <c r="F2238" s="2" t="str">
        <f>HYPERLINK("http://www.otzar.org/book.asp?619156","אורח לחיים - 3 כר'")</f>
        <v>אורח לחיים - 3 כר'</v>
      </c>
    </row>
    <row r="2239" spans="1:6" x14ac:dyDescent="0.2">
      <c r="A2239" t="s">
        <v>4559</v>
      </c>
      <c r="B2239" t="s">
        <v>4563</v>
      </c>
      <c r="C2239" t="s">
        <v>1062</v>
      </c>
      <c r="D2239" t="s">
        <v>9</v>
      </c>
      <c r="E2239" t="s">
        <v>241</v>
      </c>
      <c r="F2239" s="2" t="str">
        <f>HYPERLINK("http://www.otzar.org/book.asp?15801","אורח לחיים")</f>
        <v>אורח לחיים</v>
      </c>
    </row>
    <row r="2240" spans="1:6" x14ac:dyDescent="0.2">
      <c r="A2240" t="s">
        <v>4559</v>
      </c>
      <c r="B2240" t="s">
        <v>4564</v>
      </c>
      <c r="C2240" t="s">
        <v>1177</v>
      </c>
      <c r="D2240" t="s">
        <v>56</v>
      </c>
      <c r="E2240" t="s">
        <v>154</v>
      </c>
      <c r="F2240" s="2" t="str">
        <f>HYPERLINK("http://www.otzar.org/book.asp?10666","אורח לחיים")</f>
        <v>אורח לחיים</v>
      </c>
    </row>
    <row r="2241" spans="1:6" x14ac:dyDescent="0.2">
      <c r="A2241" t="s">
        <v>4565</v>
      </c>
      <c r="B2241" t="s">
        <v>4566</v>
      </c>
      <c r="C2241" t="s">
        <v>103</v>
      </c>
      <c r="D2241" t="s">
        <v>412</v>
      </c>
      <c r="E2241" t="s">
        <v>4567</v>
      </c>
      <c r="F2241" s="2" t="str">
        <f>HYPERLINK("http://www.otzar.org/book.asp?154651","אורח לצדיק - בית אלימלך")</f>
        <v>אורח לצדיק - בית אלימלך</v>
      </c>
    </row>
    <row r="2242" spans="1:6" x14ac:dyDescent="0.2">
      <c r="A2242" t="s">
        <v>4568</v>
      </c>
      <c r="B2242" t="s">
        <v>4569</v>
      </c>
      <c r="C2242" t="s">
        <v>617</v>
      </c>
      <c r="D2242" t="s">
        <v>283</v>
      </c>
      <c r="E2242" t="s">
        <v>158</v>
      </c>
      <c r="F2242" s="2" t="str">
        <f>HYPERLINK("http://www.otzar.org/book.asp?102362","אורח לצדיק - 3 כר'")</f>
        <v>אורח לצדיק - 3 כר'</v>
      </c>
    </row>
    <row r="2243" spans="1:6" x14ac:dyDescent="0.2">
      <c r="A2243" t="s">
        <v>4570</v>
      </c>
      <c r="B2243" t="s">
        <v>4015</v>
      </c>
      <c r="C2243" t="s">
        <v>1706</v>
      </c>
      <c r="D2243" t="s">
        <v>283</v>
      </c>
      <c r="E2243" t="s">
        <v>158</v>
      </c>
      <c r="F2243" s="2" t="str">
        <f>HYPERLINK("http://www.otzar.org/book.asp?106930","אורח לצדיק")</f>
        <v>אורח לצדיק</v>
      </c>
    </row>
    <row r="2244" spans="1:6" x14ac:dyDescent="0.2">
      <c r="A2244" t="s">
        <v>4571</v>
      </c>
      <c r="B2244" t="s">
        <v>4572</v>
      </c>
      <c r="C2244" t="s">
        <v>68</v>
      </c>
      <c r="D2244" t="s">
        <v>90</v>
      </c>
      <c r="E2244" t="s">
        <v>733</v>
      </c>
      <c r="F2244" s="2" t="str">
        <f>HYPERLINK("http://www.otzar.org/book.asp?151719","אורח לצדיק - מסורת תימן הקדומה")</f>
        <v>אורח לצדיק - מסורת תימן הקדומה</v>
      </c>
    </row>
    <row r="2245" spans="1:6" x14ac:dyDescent="0.2">
      <c r="A2245" t="s">
        <v>4573</v>
      </c>
      <c r="B2245" t="s">
        <v>4574</v>
      </c>
      <c r="C2245" t="s">
        <v>23</v>
      </c>
      <c r="D2245" t="s">
        <v>367</v>
      </c>
      <c r="F2245" s="2" t="str">
        <f>HYPERLINK("http://www.otzar.org/book.asp?609971","אורח מישור &lt;מהדורה חדשה&gt;")</f>
        <v>אורח מישור &lt;מהדורה חדשה&gt;</v>
      </c>
    </row>
    <row r="2246" spans="1:6" x14ac:dyDescent="0.2">
      <c r="A2246" t="s">
        <v>4575</v>
      </c>
      <c r="B2246" t="s">
        <v>4574</v>
      </c>
      <c r="C2246" t="s">
        <v>496</v>
      </c>
      <c r="D2246" t="s">
        <v>1966</v>
      </c>
      <c r="E2246" t="s">
        <v>241</v>
      </c>
      <c r="F2246" s="2" t="str">
        <f>HYPERLINK("http://www.otzar.org/book.asp?169735","אורח מישור - 2 כר'")</f>
        <v>אורח מישור - 2 כר'</v>
      </c>
    </row>
    <row r="2247" spans="1:6" x14ac:dyDescent="0.2">
      <c r="A2247" t="s">
        <v>4576</v>
      </c>
      <c r="B2247" t="s">
        <v>4577</v>
      </c>
      <c r="C2247" t="s">
        <v>603</v>
      </c>
      <c r="D2247" t="s">
        <v>1279</v>
      </c>
      <c r="E2247" t="s">
        <v>241</v>
      </c>
      <c r="F2247" s="2" t="str">
        <f>HYPERLINK("http://www.otzar.org/book.asp?13421","אורח מישור")</f>
        <v>אורח מישור</v>
      </c>
    </row>
    <row r="2248" spans="1:6" x14ac:dyDescent="0.2">
      <c r="A2248" t="s">
        <v>4576</v>
      </c>
      <c r="B2248" t="s">
        <v>3875</v>
      </c>
      <c r="C2248" t="s">
        <v>237</v>
      </c>
      <c r="D2248" t="s">
        <v>9</v>
      </c>
      <c r="E2248" t="s">
        <v>144</v>
      </c>
      <c r="F2248" s="2" t="str">
        <f>HYPERLINK("http://www.otzar.org/book.asp?24387","אורח מישור")</f>
        <v>אורח מישור</v>
      </c>
    </row>
    <row r="2249" spans="1:6" x14ac:dyDescent="0.2">
      <c r="A2249" t="s">
        <v>4575</v>
      </c>
      <c r="B2249" t="s">
        <v>4578</v>
      </c>
      <c r="C2249" t="s">
        <v>189</v>
      </c>
      <c r="D2249" t="s">
        <v>52</v>
      </c>
      <c r="E2249" t="s">
        <v>172</v>
      </c>
      <c r="F2249" s="2" t="str">
        <f>HYPERLINK("http://www.otzar.org/book.asp?169209","אורח מישור - 2 כר'")</f>
        <v>אורח מישור - 2 כר'</v>
      </c>
    </row>
    <row r="2250" spans="1:6" x14ac:dyDescent="0.2">
      <c r="A2250" t="s">
        <v>4576</v>
      </c>
      <c r="B2250" t="s">
        <v>4579</v>
      </c>
      <c r="C2250" t="s">
        <v>129</v>
      </c>
      <c r="D2250" t="s">
        <v>52</v>
      </c>
      <c r="E2250" t="s">
        <v>241</v>
      </c>
      <c r="F2250" s="2" t="str">
        <f>HYPERLINK("http://www.otzar.org/book.asp?61479","אורח מישור")</f>
        <v>אורח מישור</v>
      </c>
    </row>
    <row r="2251" spans="1:6" x14ac:dyDescent="0.2">
      <c r="A2251" t="s">
        <v>4576</v>
      </c>
      <c r="B2251" t="s">
        <v>4580</v>
      </c>
      <c r="C2251" t="s">
        <v>59</v>
      </c>
      <c r="D2251" t="s">
        <v>280</v>
      </c>
      <c r="E2251" t="s">
        <v>144</v>
      </c>
      <c r="F2251" s="2" t="str">
        <f>HYPERLINK("http://www.otzar.org/book.asp?1035","אורח מישור")</f>
        <v>אורח מישור</v>
      </c>
    </row>
    <row r="2252" spans="1:6" x14ac:dyDescent="0.2">
      <c r="A2252" t="s">
        <v>4576</v>
      </c>
      <c r="B2252" t="s">
        <v>4581</v>
      </c>
      <c r="C2252" t="s">
        <v>2617</v>
      </c>
      <c r="D2252" t="s">
        <v>212</v>
      </c>
      <c r="E2252" t="s">
        <v>104</v>
      </c>
      <c r="F2252" s="2" t="str">
        <f>HYPERLINK("http://www.otzar.org/book.asp?165161","אורח מישור")</f>
        <v>אורח מישור</v>
      </c>
    </row>
    <row r="2253" spans="1:6" x14ac:dyDescent="0.2">
      <c r="A2253" t="s">
        <v>4582</v>
      </c>
      <c r="B2253" t="s">
        <v>4574</v>
      </c>
      <c r="C2253" t="s">
        <v>492</v>
      </c>
      <c r="D2253" t="s">
        <v>283</v>
      </c>
      <c r="E2253" t="s">
        <v>2010</v>
      </c>
      <c r="F2253" s="2" t="str">
        <f>HYPERLINK("http://www.otzar.org/book.asp?100690","אורח מישור, אלפא ביתא, תורת האדם, כתב יושר")</f>
        <v>אורח מישור, אלפא ביתא, תורת האדם, כתב יושר</v>
      </c>
    </row>
    <row r="2254" spans="1:6" x14ac:dyDescent="0.2">
      <c r="A2254" t="s">
        <v>4583</v>
      </c>
      <c r="B2254" t="s">
        <v>4584</v>
      </c>
      <c r="C2254" t="s">
        <v>20</v>
      </c>
      <c r="D2254" t="s">
        <v>2196</v>
      </c>
      <c r="E2254" t="s">
        <v>144</v>
      </c>
      <c r="F2254" s="2" t="str">
        <f>HYPERLINK("http://www.otzar.org/book.asp?152737","אורח מישרים החדש - ב""ק")</f>
        <v>אורח מישרים החדש - ב"ק</v>
      </c>
    </row>
    <row r="2255" spans="1:6" x14ac:dyDescent="0.2">
      <c r="A2255" t="s">
        <v>4585</v>
      </c>
      <c r="B2255" t="s">
        <v>4584</v>
      </c>
      <c r="C2255" t="s">
        <v>989</v>
      </c>
      <c r="D2255" t="s">
        <v>412</v>
      </c>
      <c r="E2255" t="s">
        <v>4586</v>
      </c>
      <c r="F2255" s="2" t="str">
        <f>HYPERLINK("http://www.otzar.org/book.asp?6696","אורח מישרים - 3 כר'")</f>
        <v>אורח מישרים - 3 כר'</v>
      </c>
    </row>
    <row r="2256" spans="1:6" x14ac:dyDescent="0.2">
      <c r="A2256" t="s">
        <v>4587</v>
      </c>
      <c r="B2256" t="s">
        <v>4588</v>
      </c>
      <c r="C2256" t="s">
        <v>462</v>
      </c>
      <c r="D2256" t="s">
        <v>225</v>
      </c>
      <c r="E2256" t="s">
        <v>172</v>
      </c>
      <c r="F2256" s="2" t="str">
        <f>HYPERLINK("http://www.otzar.org/book.asp?8169","אורח משפט")</f>
        <v>אורח משפט</v>
      </c>
    </row>
    <row r="2257" spans="1:6" x14ac:dyDescent="0.2">
      <c r="A2257" t="s">
        <v>4587</v>
      </c>
      <c r="B2257" t="s">
        <v>4589</v>
      </c>
      <c r="C2257" t="s">
        <v>68</v>
      </c>
      <c r="D2257" t="s">
        <v>14</v>
      </c>
      <c r="F2257" s="2" t="str">
        <f>HYPERLINK("http://www.otzar.org/book.asp?603642","אורח משפט")</f>
        <v>אורח משפט</v>
      </c>
    </row>
    <row r="2258" spans="1:6" x14ac:dyDescent="0.2">
      <c r="A2258" t="s">
        <v>4590</v>
      </c>
      <c r="B2258" t="s">
        <v>4591</v>
      </c>
      <c r="C2258" t="s">
        <v>4592</v>
      </c>
      <c r="D2258" t="s">
        <v>27</v>
      </c>
      <c r="E2258" t="s">
        <v>172</v>
      </c>
      <c r="F2258" s="2" t="str">
        <f>HYPERLINK("http://www.otzar.org/book.asp?84519","אורח נאמן - 3 כר'")</f>
        <v>אורח נאמן - 3 כר'</v>
      </c>
    </row>
    <row r="2259" spans="1:6" x14ac:dyDescent="0.2">
      <c r="A2259" t="s">
        <v>4593</v>
      </c>
      <c r="B2259" t="s">
        <v>4594</v>
      </c>
      <c r="C2259" t="s">
        <v>244</v>
      </c>
      <c r="D2259" t="s">
        <v>3750</v>
      </c>
      <c r="F2259" s="2" t="str">
        <f>HYPERLINK("http://www.otzar.org/book.asp?601015","אורח שלמה - נדה")</f>
        <v>אורח שלמה - נדה</v>
      </c>
    </row>
    <row r="2260" spans="1:6" x14ac:dyDescent="0.2">
      <c r="A2260" t="s">
        <v>4595</v>
      </c>
      <c r="B2260" t="s">
        <v>4596</v>
      </c>
      <c r="C2260" t="s">
        <v>422</v>
      </c>
      <c r="D2260" t="s">
        <v>14</v>
      </c>
      <c r="E2260" t="s">
        <v>15</v>
      </c>
      <c r="F2260" s="2" t="str">
        <f>HYPERLINK("http://www.otzar.org/book.asp?168377","אורח תשובה")</f>
        <v>אורח תשובה</v>
      </c>
    </row>
    <row r="2261" spans="1:6" x14ac:dyDescent="0.2">
      <c r="A2261" t="s">
        <v>4597</v>
      </c>
      <c r="B2261" t="s">
        <v>4598</v>
      </c>
      <c r="C2261" t="s">
        <v>411</v>
      </c>
      <c r="D2261" t="s">
        <v>152</v>
      </c>
      <c r="F2261" s="2" t="str">
        <f>HYPERLINK("http://www.otzar.org/book.asp?169494","אורחות אברהם")</f>
        <v>אורחות אברהם</v>
      </c>
    </row>
    <row r="2262" spans="1:6" x14ac:dyDescent="0.2">
      <c r="A2262" t="s">
        <v>4599</v>
      </c>
      <c r="B2262" t="s">
        <v>4600</v>
      </c>
      <c r="C2262" t="s">
        <v>23</v>
      </c>
      <c r="D2262" t="s">
        <v>14</v>
      </c>
      <c r="E2262" t="s">
        <v>15</v>
      </c>
      <c r="F2262" s="2" t="str">
        <f>HYPERLINK("http://www.otzar.org/book.asp?194094","אורחות בן שלוש")</f>
        <v>אורחות בן שלוש</v>
      </c>
    </row>
    <row r="2263" spans="1:6" x14ac:dyDescent="0.2">
      <c r="A2263" t="s">
        <v>4601</v>
      </c>
      <c r="B2263" t="s">
        <v>4602</v>
      </c>
      <c r="C2263" t="s">
        <v>23</v>
      </c>
      <c r="D2263" t="s">
        <v>152</v>
      </c>
      <c r="E2263" t="s">
        <v>130</v>
      </c>
      <c r="F2263" s="2" t="str">
        <f>HYPERLINK("http://www.otzar.org/book.asp?193595","אורחות גאולה")</f>
        <v>אורחות גאולה</v>
      </c>
    </row>
    <row r="2264" spans="1:6" x14ac:dyDescent="0.2">
      <c r="A2264" t="s">
        <v>4603</v>
      </c>
      <c r="B2264" t="s">
        <v>4604</v>
      </c>
      <c r="C2264" t="s">
        <v>51</v>
      </c>
      <c r="D2264" t="s">
        <v>52</v>
      </c>
      <c r="F2264" s="2" t="str">
        <f>HYPERLINK("http://www.otzar.org/book.asp?612755","אורחות דוד")</f>
        <v>אורחות דוד</v>
      </c>
    </row>
    <row r="2265" spans="1:6" x14ac:dyDescent="0.2">
      <c r="A2265" t="s">
        <v>4605</v>
      </c>
      <c r="B2265" t="s">
        <v>4606</v>
      </c>
      <c r="C2265" t="s">
        <v>176</v>
      </c>
      <c r="D2265" t="s">
        <v>14</v>
      </c>
      <c r="E2265" t="s">
        <v>674</v>
      </c>
      <c r="F2265" s="2" t="str">
        <f>HYPERLINK("http://www.otzar.org/book.asp?50799","אורחות הבית")</f>
        <v>אורחות הבית</v>
      </c>
    </row>
    <row r="2266" spans="1:6" x14ac:dyDescent="0.2">
      <c r="A2266" t="s">
        <v>4607</v>
      </c>
      <c r="B2266" t="s">
        <v>4608</v>
      </c>
      <c r="C2266" t="s">
        <v>23</v>
      </c>
      <c r="D2266" t="s">
        <v>1076</v>
      </c>
      <c r="E2266" t="s">
        <v>872</v>
      </c>
      <c r="F2266" s="2" t="str">
        <f>HYPERLINK("http://www.otzar.org/book.asp?191475","אורחות הלכה")</f>
        <v>אורחות הלכה</v>
      </c>
    </row>
    <row r="2267" spans="1:6" x14ac:dyDescent="0.2">
      <c r="A2267" t="s">
        <v>4609</v>
      </c>
      <c r="B2267" t="s">
        <v>4610</v>
      </c>
      <c r="C2267" t="s">
        <v>4611</v>
      </c>
      <c r="D2267" t="s">
        <v>1966</v>
      </c>
      <c r="E2267" t="s">
        <v>104</v>
      </c>
      <c r="F2267" s="2" t="str">
        <f>HYPERLINK("http://www.otzar.org/book.asp?107318","אורחות המשפטים - 3 כר'")</f>
        <v>אורחות המשפטים - 3 כר'</v>
      </c>
    </row>
    <row r="2268" spans="1:6" x14ac:dyDescent="0.2">
      <c r="A2268" t="s">
        <v>4612</v>
      </c>
      <c r="B2268" t="s">
        <v>4613</v>
      </c>
      <c r="C2268" t="s">
        <v>411</v>
      </c>
      <c r="D2268" t="s">
        <v>14</v>
      </c>
      <c r="E2268" t="s">
        <v>714</v>
      </c>
      <c r="F2268" s="2" t="str">
        <f>HYPERLINK("http://www.otzar.org/book.asp?168583","אורחות הרב וראש הישיבה (הגר""פ שיינברג זצ""ל)")</f>
        <v>אורחות הרב וראש הישיבה (הגר"פ שיינברג זצ"ל)</v>
      </c>
    </row>
    <row r="2269" spans="1:6" x14ac:dyDescent="0.2">
      <c r="A2269" t="s">
        <v>4614</v>
      </c>
      <c r="B2269" t="s">
        <v>4615</v>
      </c>
      <c r="C2269" t="s">
        <v>189</v>
      </c>
      <c r="D2269" t="s">
        <v>245</v>
      </c>
      <c r="F2269" s="2" t="str">
        <f>HYPERLINK("http://www.otzar.org/book.asp?169599","אורחות חיים &lt;נתיב חיים&gt;")</f>
        <v>אורחות חיים &lt;נתיב חיים&gt;</v>
      </c>
    </row>
    <row r="2270" spans="1:6" x14ac:dyDescent="0.2">
      <c r="A2270" t="s">
        <v>4616</v>
      </c>
      <c r="B2270" t="s">
        <v>4617</v>
      </c>
      <c r="C2270" t="s">
        <v>553</v>
      </c>
      <c r="D2270" t="s">
        <v>14</v>
      </c>
      <c r="E2270" t="s">
        <v>15</v>
      </c>
      <c r="F2270" s="2" t="str">
        <f>HYPERLINK("http://www.otzar.org/book.asp?153618","אורחות חיים &lt;עלי אורח - דרשת התוי""ט&gt;")</f>
        <v>אורחות חיים &lt;עלי אורח - דרשת התוי"ט&gt;</v>
      </c>
    </row>
    <row r="2271" spans="1:6" x14ac:dyDescent="0.2">
      <c r="A2271" t="s">
        <v>4618</v>
      </c>
      <c r="B2271" t="s">
        <v>4619</v>
      </c>
      <c r="C2271" t="s">
        <v>576</v>
      </c>
      <c r="D2271" t="s">
        <v>27</v>
      </c>
      <c r="E2271" t="s">
        <v>158</v>
      </c>
      <c r="F2271" s="2" t="str">
        <f>HYPERLINK("http://www.otzar.org/book.asp?19479","אורחות חיים &lt;ליקוטי יצחק&gt;")</f>
        <v>אורחות חיים &lt;ליקוטי יצחק&gt;</v>
      </c>
    </row>
    <row r="2272" spans="1:6" x14ac:dyDescent="0.2">
      <c r="A2272" t="s">
        <v>4620</v>
      </c>
      <c r="B2272" t="s">
        <v>4619</v>
      </c>
      <c r="C2272" t="s">
        <v>68</v>
      </c>
      <c r="D2272" t="s">
        <v>412</v>
      </c>
      <c r="E2272" t="s">
        <v>172</v>
      </c>
      <c r="F2272" s="2" t="str">
        <f>HYPERLINK("http://www.otzar.org/book.asp?167885","אורחות חיים &lt;מהדורה חדשה&gt;")</f>
        <v>אורחות חיים &lt;מהדורה חדשה&gt;</v>
      </c>
    </row>
    <row r="2273" spans="1:6" x14ac:dyDescent="0.2">
      <c r="A2273" t="s">
        <v>4621</v>
      </c>
      <c r="B2273" t="s">
        <v>4606</v>
      </c>
      <c r="C2273" t="s">
        <v>767</v>
      </c>
      <c r="D2273" t="s">
        <v>14</v>
      </c>
      <c r="E2273" t="s">
        <v>241</v>
      </c>
      <c r="F2273" s="2" t="str">
        <f>HYPERLINK("http://www.otzar.org/book.asp?61512","אורחות חיים להרא""ש עם ביאור")</f>
        <v>אורחות חיים להרא"ש עם ביאור</v>
      </c>
    </row>
    <row r="2274" spans="1:6" x14ac:dyDescent="0.2">
      <c r="A2274" t="s">
        <v>4622</v>
      </c>
      <c r="B2274" t="s">
        <v>4623</v>
      </c>
      <c r="C2274" t="s">
        <v>20</v>
      </c>
      <c r="D2274" t="s">
        <v>2347</v>
      </c>
      <c r="E2274" t="s">
        <v>241</v>
      </c>
      <c r="F2274" s="2" t="str">
        <f>HYPERLINK("http://www.otzar.org/book.asp?188424","אורחות חיים מתורגם לאנגלית")</f>
        <v>אורחות חיים מתורגם לאנגלית</v>
      </c>
    </row>
    <row r="2275" spans="1:6" x14ac:dyDescent="0.2">
      <c r="A2275" t="s">
        <v>4624</v>
      </c>
      <c r="B2275" t="s">
        <v>4617</v>
      </c>
      <c r="C2275" t="s">
        <v>20</v>
      </c>
      <c r="D2275" t="s">
        <v>2347</v>
      </c>
      <c r="E2275" t="s">
        <v>241</v>
      </c>
      <c r="F2275" s="2" t="str">
        <f>HYPERLINK("http://www.otzar.org/book.asp?52521","אורחות חיים")</f>
        <v>אורחות חיים</v>
      </c>
    </row>
    <row r="2276" spans="1:6" x14ac:dyDescent="0.2">
      <c r="A2276" t="s">
        <v>4624</v>
      </c>
      <c r="B2276" t="s">
        <v>4625</v>
      </c>
      <c r="C2276" t="s">
        <v>950</v>
      </c>
      <c r="D2276" t="s">
        <v>1459</v>
      </c>
      <c r="E2276" t="s">
        <v>15</v>
      </c>
      <c r="F2276" s="2" t="str">
        <f>HYPERLINK("http://www.otzar.org/book.asp?300382","אורחות חיים")</f>
        <v>אורחות חיים</v>
      </c>
    </row>
    <row r="2277" spans="1:6" x14ac:dyDescent="0.2">
      <c r="A2277" t="s">
        <v>4624</v>
      </c>
      <c r="B2277" t="s">
        <v>4626</v>
      </c>
      <c r="C2277" t="s">
        <v>176</v>
      </c>
      <c r="D2277" t="s">
        <v>14</v>
      </c>
      <c r="E2277" t="s">
        <v>202</v>
      </c>
      <c r="F2277" s="2" t="str">
        <f>HYPERLINK("http://www.otzar.org/book.asp?152359","אורחות חיים")</f>
        <v>אורחות חיים</v>
      </c>
    </row>
    <row r="2278" spans="1:6" x14ac:dyDescent="0.2">
      <c r="A2278" t="s">
        <v>4627</v>
      </c>
      <c r="B2278" t="s">
        <v>4619</v>
      </c>
      <c r="C2278" t="s">
        <v>1418</v>
      </c>
      <c r="D2278" t="s">
        <v>535</v>
      </c>
      <c r="E2278" t="s">
        <v>172</v>
      </c>
      <c r="F2278" s="2" t="str">
        <f>HYPERLINK("http://www.otzar.org/book.asp?8605","אורחות חיים - 2 כר'")</f>
        <v>אורחות חיים - 2 כר'</v>
      </c>
    </row>
    <row r="2279" spans="1:6" x14ac:dyDescent="0.2">
      <c r="A2279" t="s">
        <v>4628</v>
      </c>
      <c r="B2279" t="s">
        <v>4629</v>
      </c>
      <c r="C2279" t="s">
        <v>133</v>
      </c>
      <c r="D2279" t="s">
        <v>21</v>
      </c>
      <c r="E2279" t="s">
        <v>130</v>
      </c>
      <c r="F2279" s="2" t="str">
        <f>HYPERLINK("http://www.otzar.org/book.asp?603977","אורחות חנוכה")</f>
        <v>אורחות חנוכה</v>
      </c>
    </row>
    <row r="2280" spans="1:6" x14ac:dyDescent="0.2">
      <c r="A2280" t="s">
        <v>4630</v>
      </c>
      <c r="B2280" t="s">
        <v>4631</v>
      </c>
      <c r="C2280" t="s">
        <v>189</v>
      </c>
      <c r="D2280" t="s">
        <v>14</v>
      </c>
      <c r="E2280" t="s">
        <v>4632</v>
      </c>
      <c r="F2280" s="2" t="str">
        <f>HYPERLINK("http://www.otzar.org/book.asp?50597","אורחות יום טוב - 4 כר'")</f>
        <v>אורחות יום טוב - 4 כר'</v>
      </c>
    </row>
    <row r="2281" spans="1:6" x14ac:dyDescent="0.2">
      <c r="A2281" t="s">
        <v>4633</v>
      </c>
      <c r="B2281" t="s">
        <v>4634</v>
      </c>
      <c r="C2281" t="s">
        <v>106</v>
      </c>
      <c r="D2281" t="s">
        <v>216</v>
      </c>
      <c r="E2281" t="s">
        <v>714</v>
      </c>
      <c r="F2281" s="2" t="str">
        <f>HYPERLINK("http://www.otzar.org/book.asp?169449","אורחות יושר")</f>
        <v>אורחות יושר</v>
      </c>
    </row>
    <row r="2282" spans="1:6" x14ac:dyDescent="0.2">
      <c r="A2282" t="s">
        <v>4635</v>
      </c>
      <c r="B2282" t="s">
        <v>4636</v>
      </c>
      <c r="C2282" t="s">
        <v>68</v>
      </c>
      <c r="D2282" t="s">
        <v>152</v>
      </c>
      <c r="F2282" s="2" t="str">
        <f>HYPERLINK("http://www.otzar.org/book.asp?157145","אורחות ימים")</f>
        <v>אורחות ימים</v>
      </c>
    </row>
    <row r="2283" spans="1:6" x14ac:dyDescent="0.2">
      <c r="A2283" t="s">
        <v>4637</v>
      </c>
      <c r="B2283" t="s">
        <v>4638</v>
      </c>
      <c r="C2283" t="s">
        <v>585</v>
      </c>
      <c r="D2283" t="s">
        <v>14</v>
      </c>
      <c r="E2283" t="s">
        <v>241</v>
      </c>
      <c r="F2283" s="2" t="str">
        <f>HYPERLINK("http://www.otzar.org/book.asp?84802","אורחות ישרים")</f>
        <v>אורחות ישרים</v>
      </c>
    </row>
    <row r="2284" spans="1:6" x14ac:dyDescent="0.2">
      <c r="A2284" t="s">
        <v>4639</v>
      </c>
      <c r="B2284" t="s">
        <v>4640</v>
      </c>
      <c r="C2284" t="s">
        <v>17</v>
      </c>
      <c r="D2284" t="s">
        <v>52</v>
      </c>
      <c r="E2284" t="s">
        <v>573</v>
      </c>
      <c r="F2284" s="2" t="str">
        <f>HYPERLINK("http://www.otzar.org/book.asp?50737","אורחות מוסר")</f>
        <v>אורחות מוסר</v>
      </c>
    </row>
    <row r="2285" spans="1:6" x14ac:dyDescent="0.2">
      <c r="A2285" t="s">
        <v>4641</v>
      </c>
      <c r="B2285" t="s">
        <v>4602</v>
      </c>
      <c r="C2285" t="s">
        <v>454</v>
      </c>
      <c r="D2285" t="s">
        <v>152</v>
      </c>
      <c r="E2285" t="s">
        <v>15</v>
      </c>
      <c r="F2285" s="2" t="str">
        <f>HYPERLINK("http://www.otzar.org/book.asp?63015","אורחות מתנה")</f>
        <v>אורחות מתנה</v>
      </c>
    </row>
    <row r="2286" spans="1:6" x14ac:dyDescent="0.2">
      <c r="A2286" t="s">
        <v>4642</v>
      </c>
      <c r="B2286" t="s">
        <v>4643</v>
      </c>
      <c r="C2286" t="s">
        <v>20</v>
      </c>
      <c r="D2286" t="s">
        <v>14</v>
      </c>
      <c r="E2286" t="s">
        <v>158</v>
      </c>
      <c r="F2286" s="2" t="str">
        <f>HYPERLINK("http://www.otzar.org/book.asp?165337","אורחות פרץ - 2 כר'")</f>
        <v>אורחות פרץ - 2 כר'</v>
      </c>
    </row>
    <row r="2287" spans="1:6" x14ac:dyDescent="0.2">
      <c r="A2287" t="s">
        <v>4644</v>
      </c>
      <c r="B2287" t="s">
        <v>4645</v>
      </c>
      <c r="C2287" t="s">
        <v>767</v>
      </c>
      <c r="D2287" t="s">
        <v>4646</v>
      </c>
      <c r="E2287" t="s">
        <v>674</v>
      </c>
      <c r="F2287" s="2" t="str">
        <f>HYPERLINK("http://www.otzar.org/book.asp?143439","אורחות פתחיה")</f>
        <v>אורחות פתחיה</v>
      </c>
    </row>
    <row r="2288" spans="1:6" x14ac:dyDescent="0.2">
      <c r="A2288" t="s">
        <v>4647</v>
      </c>
      <c r="B2288" t="s">
        <v>4648</v>
      </c>
      <c r="C2288" t="s">
        <v>943</v>
      </c>
      <c r="D2288" t="s">
        <v>60</v>
      </c>
      <c r="E2288" t="s">
        <v>241</v>
      </c>
      <c r="F2288" s="2" t="str">
        <f>HYPERLINK("http://www.otzar.org/book.asp?174370","אורחות צדיקים")</f>
        <v>אורחות צדיקים</v>
      </c>
    </row>
    <row r="2289" spans="1:6" x14ac:dyDescent="0.2">
      <c r="A2289" t="s">
        <v>4647</v>
      </c>
      <c r="B2289" t="s">
        <v>4649</v>
      </c>
      <c r="C2289" t="s">
        <v>985</v>
      </c>
      <c r="D2289" t="s">
        <v>4650</v>
      </c>
      <c r="F2289" s="2" t="str">
        <f>HYPERLINK("http://www.otzar.org/book.asp?620072","אורחות צדיקים")</f>
        <v>אורחות צדיקים</v>
      </c>
    </row>
    <row r="2290" spans="1:6" x14ac:dyDescent="0.2">
      <c r="A2290" t="s">
        <v>4651</v>
      </c>
      <c r="B2290" t="s">
        <v>4602</v>
      </c>
      <c r="C2290" t="s">
        <v>129</v>
      </c>
      <c r="D2290" t="s">
        <v>152</v>
      </c>
      <c r="E2290" t="s">
        <v>144</v>
      </c>
      <c r="F2290" s="2" t="str">
        <f>HYPERLINK("http://www.otzar.org/book.asp?146495","אורחות ציונים - 2 כר'")</f>
        <v>אורחות ציונים - 2 כר'</v>
      </c>
    </row>
    <row r="2291" spans="1:6" x14ac:dyDescent="0.2">
      <c r="A2291" t="s">
        <v>4652</v>
      </c>
      <c r="B2291" t="s">
        <v>4653</v>
      </c>
      <c r="C2291" t="s">
        <v>114</v>
      </c>
      <c r="D2291" t="s">
        <v>90</v>
      </c>
      <c r="E2291" t="s">
        <v>241</v>
      </c>
      <c r="F2291" s="2" t="str">
        <f>HYPERLINK("http://www.otzar.org/book.asp?183033","אורחות רבותינו ע""ס צעטיל קטן והנהגות האדם")</f>
        <v>אורחות רבותינו ע"ס צעטיל קטן והנהגות האדם</v>
      </c>
    </row>
    <row r="2292" spans="1:6" x14ac:dyDescent="0.2">
      <c r="A2292" t="s">
        <v>4654</v>
      </c>
      <c r="B2292" t="s">
        <v>4655</v>
      </c>
      <c r="C2292" t="s">
        <v>454</v>
      </c>
      <c r="D2292" t="s">
        <v>52</v>
      </c>
      <c r="E2292" t="s">
        <v>4656</v>
      </c>
      <c r="F2292" s="2" t="str">
        <f>HYPERLINK("http://www.otzar.org/book.asp?190917","אורחות רבותינו")</f>
        <v>אורחות רבותינו</v>
      </c>
    </row>
    <row r="2293" spans="1:6" x14ac:dyDescent="0.2">
      <c r="A2293" t="s">
        <v>4657</v>
      </c>
      <c r="B2293" t="s">
        <v>552</v>
      </c>
      <c r="C2293" t="s">
        <v>383</v>
      </c>
      <c r="D2293" t="s">
        <v>52</v>
      </c>
      <c r="E2293" t="s">
        <v>202</v>
      </c>
      <c r="F2293" s="2" t="str">
        <f>HYPERLINK("http://www.otzar.org/book.asp?157530","אורחות שלמה")</f>
        <v>אורחות שלמה</v>
      </c>
    </row>
    <row r="2294" spans="1:6" x14ac:dyDescent="0.2">
      <c r="A2294" t="s">
        <v>4658</v>
      </c>
      <c r="B2294" t="s">
        <v>4659</v>
      </c>
      <c r="C2294" t="s">
        <v>454</v>
      </c>
      <c r="D2294" t="s">
        <v>52</v>
      </c>
      <c r="E2294" t="s">
        <v>15</v>
      </c>
      <c r="F2294" s="2" t="str">
        <f>HYPERLINK("http://www.otzar.org/book.asp?619814","אורחות תפילין")</f>
        <v>אורחות תפילין</v>
      </c>
    </row>
    <row r="2295" spans="1:6" x14ac:dyDescent="0.2">
      <c r="A2295" t="s">
        <v>4660</v>
      </c>
      <c r="B2295" t="s">
        <v>239</v>
      </c>
      <c r="C2295" t="s">
        <v>13</v>
      </c>
      <c r="D2295" t="s">
        <v>486</v>
      </c>
      <c r="E2295" t="s">
        <v>246</v>
      </c>
      <c r="F2295" s="2" t="str">
        <f>HYPERLINK("http://www.otzar.org/book.asp?193070","אורי וישעי - אוצרות יעקב")</f>
        <v>אורי וישעי - אוצרות יעקב</v>
      </c>
    </row>
    <row r="2296" spans="1:6" x14ac:dyDescent="0.2">
      <c r="A2296" t="s">
        <v>4661</v>
      </c>
      <c r="B2296" t="s">
        <v>4662</v>
      </c>
      <c r="C2296" t="s">
        <v>75</v>
      </c>
      <c r="D2296" t="s">
        <v>1279</v>
      </c>
      <c r="E2296" t="s">
        <v>241</v>
      </c>
      <c r="F2296" s="2" t="str">
        <f>HYPERLINK("http://www.otzar.org/book.asp?300378","אורי וישעי")</f>
        <v>אורי וישעי</v>
      </c>
    </row>
    <row r="2297" spans="1:6" x14ac:dyDescent="0.2">
      <c r="A2297" t="s">
        <v>4661</v>
      </c>
      <c r="B2297" t="s">
        <v>510</v>
      </c>
      <c r="C2297" t="s">
        <v>523</v>
      </c>
      <c r="D2297" t="s">
        <v>512</v>
      </c>
      <c r="E2297" t="s">
        <v>241</v>
      </c>
      <c r="F2297" s="2" t="str">
        <f>HYPERLINK("http://www.otzar.org/book.asp?53256","אורי וישעי")</f>
        <v>אורי וישעי</v>
      </c>
    </row>
    <row r="2298" spans="1:6" x14ac:dyDescent="0.2">
      <c r="A2298" t="s">
        <v>4661</v>
      </c>
      <c r="B2298" t="s">
        <v>4419</v>
      </c>
      <c r="C2298" t="s">
        <v>775</v>
      </c>
      <c r="D2298" t="s">
        <v>14</v>
      </c>
      <c r="E2298" t="s">
        <v>234</v>
      </c>
      <c r="F2298" s="2" t="str">
        <f>HYPERLINK("http://www.otzar.org/book.asp?160700","אורי וישעי")</f>
        <v>אורי וישעי</v>
      </c>
    </row>
    <row r="2299" spans="1:6" x14ac:dyDescent="0.2">
      <c r="A2299" t="s">
        <v>4663</v>
      </c>
      <c r="B2299" t="s">
        <v>4664</v>
      </c>
      <c r="C2299" t="s">
        <v>37</v>
      </c>
      <c r="D2299" t="s">
        <v>4665</v>
      </c>
      <c r="F2299" s="2" t="str">
        <f>HYPERLINK("http://www.otzar.org/book.asp?606149","אורי וישעי - ימים נוראים")</f>
        <v>אורי וישעי - ימים נוראים</v>
      </c>
    </row>
    <row r="2300" spans="1:6" x14ac:dyDescent="0.2">
      <c r="A2300" t="s">
        <v>4666</v>
      </c>
      <c r="B2300" t="s">
        <v>4667</v>
      </c>
      <c r="C2300" t="s">
        <v>37</v>
      </c>
      <c r="D2300" t="s">
        <v>52</v>
      </c>
      <c r="E2300" t="s">
        <v>246</v>
      </c>
      <c r="F2300" s="2" t="str">
        <f>HYPERLINK("http://www.otzar.org/book.asp?189845","אורי וישעי - 2 כר'")</f>
        <v>אורי וישעי - 2 כר'</v>
      </c>
    </row>
    <row r="2301" spans="1:6" x14ac:dyDescent="0.2">
      <c r="A2301" t="s">
        <v>4666</v>
      </c>
      <c r="B2301" t="s">
        <v>4668</v>
      </c>
      <c r="C2301" t="s">
        <v>129</v>
      </c>
      <c r="D2301" t="s">
        <v>52</v>
      </c>
      <c r="E2301" t="s">
        <v>144</v>
      </c>
      <c r="F2301" s="2" t="str">
        <f>HYPERLINK("http://www.otzar.org/book.asp?52604","אורי וישעי - 2 כר'")</f>
        <v>אורי וישעי - 2 כר'</v>
      </c>
    </row>
    <row r="2302" spans="1:6" x14ac:dyDescent="0.2">
      <c r="A2302" t="s">
        <v>4661</v>
      </c>
      <c r="B2302" t="s">
        <v>4669</v>
      </c>
      <c r="C2302" t="s">
        <v>896</v>
      </c>
      <c r="D2302" t="s">
        <v>267</v>
      </c>
      <c r="E2302" t="s">
        <v>154</v>
      </c>
      <c r="F2302" s="2" t="str">
        <f>HYPERLINK("http://www.otzar.org/book.asp?100264","אורי וישעי")</f>
        <v>אורי וישעי</v>
      </c>
    </row>
    <row r="2303" spans="1:6" x14ac:dyDescent="0.2">
      <c r="A2303" t="s">
        <v>4666</v>
      </c>
      <c r="B2303" t="s">
        <v>4670</v>
      </c>
      <c r="C2303" t="s">
        <v>366</v>
      </c>
      <c r="D2303" t="s">
        <v>21</v>
      </c>
      <c r="E2303" t="s">
        <v>674</v>
      </c>
      <c r="F2303" s="2" t="str">
        <f>HYPERLINK("http://www.otzar.org/book.asp?600659","אורי וישעי - 2 כר'")</f>
        <v>אורי וישעי - 2 כר'</v>
      </c>
    </row>
    <row r="2304" spans="1:6" x14ac:dyDescent="0.2">
      <c r="A2304" t="s">
        <v>4661</v>
      </c>
      <c r="B2304" t="s">
        <v>4671</v>
      </c>
      <c r="C2304" t="s">
        <v>23</v>
      </c>
      <c r="D2304" t="s">
        <v>52</v>
      </c>
      <c r="E2304" t="s">
        <v>4521</v>
      </c>
      <c r="F2304" s="2" t="str">
        <f>HYPERLINK("http://www.otzar.org/book.asp?628784","אורי וישעי")</f>
        <v>אורי וישעי</v>
      </c>
    </row>
    <row r="2305" spans="1:6" x14ac:dyDescent="0.2">
      <c r="A2305" t="s">
        <v>4672</v>
      </c>
      <c r="B2305" t="s">
        <v>4673</v>
      </c>
      <c r="C2305" t="s">
        <v>624</v>
      </c>
      <c r="D2305" t="s">
        <v>14</v>
      </c>
      <c r="E2305" t="s">
        <v>144</v>
      </c>
      <c r="F2305" s="2" t="str">
        <f>HYPERLINK("http://www.otzar.org/book.asp?158385","אורי וישעי - 10 כר'")</f>
        <v>אורי וישעי - 10 כר'</v>
      </c>
    </row>
    <row r="2306" spans="1:6" x14ac:dyDescent="0.2">
      <c r="A2306" t="s">
        <v>4661</v>
      </c>
      <c r="B2306" t="s">
        <v>4579</v>
      </c>
      <c r="C2306" t="s">
        <v>17</v>
      </c>
      <c r="D2306" t="s">
        <v>52</v>
      </c>
      <c r="E2306" t="s">
        <v>4674</v>
      </c>
      <c r="F2306" s="2" t="str">
        <f>HYPERLINK("http://www.otzar.org/book.asp?144392","אורי וישעי")</f>
        <v>אורי וישעי</v>
      </c>
    </row>
    <row r="2307" spans="1:6" x14ac:dyDescent="0.2">
      <c r="A2307" t="s">
        <v>4661</v>
      </c>
      <c r="B2307" t="s">
        <v>4675</v>
      </c>
      <c r="C2307" t="s">
        <v>313</v>
      </c>
      <c r="D2307" t="s">
        <v>412</v>
      </c>
      <c r="E2307" t="s">
        <v>230</v>
      </c>
      <c r="F2307" s="2" t="str">
        <f>HYPERLINK("http://www.otzar.org/book.asp?154816","אורי וישעי")</f>
        <v>אורי וישעי</v>
      </c>
    </row>
    <row r="2308" spans="1:6" x14ac:dyDescent="0.2">
      <c r="A2308" t="s">
        <v>4676</v>
      </c>
      <c r="B2308" t="s">
        <v>4677</v>
      </c>
      <c r="C2308" t="s">
        <v>68</v>
      </c>
      <c r="D2308" t="s">
        <v>657</v>
      </c>
      <c r="E2308" t="s">
        <v>158</v>
      </c>
      <c r="F2308" s="2" t="str">
        <f>HYPERLINK("http://www.otzar.org/book.asp?170106","אורי וישעי - למכסה עתיק")</f>
        <v>אורי וישעי - למכסה עתיק</v>
      </c>
    </row>
    <row r="2309" spans="1:6" x14ac:dyDescent="0.2">
      <c r="A2309" t="s">
        <v>4678</v>
      </c>
      <c r="B2309" t="s">
        <v>4679</v>
      </c>
      <c r="C2309" t="s">
        <v>1448</v>
      </c>
      <c r="D2309" t="s">
        <v>118</v>
      </c>
      <c r="E2309" t="s">
        <v>104</v>
      </c>
      <c r="F2309" s="2" t="str">
        <f>HYPERLINK("http://www.otzar.org/book.asp?172700","אורי חיים - 4 כר'")</f>
        <v>אורי חיים - 4 כר'</v>
      </c>
    </row>
    <row r="2310" spans="1:6" x14ac:dyDescent="0.2">
      <c r="A2310" t="s">
        <v>4680</v>
      </c>
      <c r="B2310" t="s">
        <v>2396</v>
      </c>
      <c r="C2310" t="s">
        <v>366</v>
      </c>
      <c r="D2310" t="s">
        <v>1076</v>
      </c>
      <c r="E2310" t="s">
        <v>104</v>
      </c>
      <c r="F2310" s="2" t="str">
        <f>HYPERLINK("http://www.otzar.org/book.asp?618400","אוריאל - 2 כר'")</f>
        <v>אוריאל - 2 כר'</v>
      </c>
    </row>
    <row r="2311" spans="1:6" x14ac:dyDescent="0.2">
      <c r="A2311" t="s">
        <v>4681</v>
      </c>
      <c r="B2311" t="s">
        <v>4682</v>
      </c>
      <c r="C2311" t="s">
        <v>180</v>
      </c>
      <c r="D2311" t="s">
        <v>2458</v>
      </c>
      <c r="E2311" t="s">
        <v>4683</v>
      </c>
      <c r="F2311" s="2" t="str">
        <f>HYPERLINK("http://www.otzar.org/book.asp?154141","אוריאן תליתאי")</f>
        <v>אוריאן תליתאי</v>
      </c>
    </row>
    <row r="2312" spans="1:6" x14ac:dyDescent="0.2">
      <c r="A2312" t="s">
        <v>4684</v>
      </c>
      <c r="B2312" t="s">
        <v>4684</v>
      </c>
      <c r="C2312" t="s">
        <v>1706</v>
      </c>
      <c r="D2312" t="s">
        <v>1117</v>
      </c>
      <c r="E2312" t="s">
        <v>1935</v>
      </c>
      <c r="F2312" s="2" t="str">
        <f>HYPERLINK("http://www.otzar.org/book.asp?300383","אוריין תליתאי")</f>
        <v>אוריין תליתאי</v>
      </c>
    </row>
    <row r="2313" spans="1:6" x14ac:dyDescent="0.2">
      <c r="A2313" t="s">
        <v>4684</v>
      </c>
      <c r="B2313" t="s">
        <v>4685</v>
      </c>
      <c r="C2313" t="s">
        <v>1166</v>
      </c>
      <c r="D2313" t="s">
        <v>27</v>
      </c>
      <c r="E2313" t="s">
        <v>144</v>
      </c>
      <c r="F2313" s="2" t="str">
        <f>HYPERLINK("http://www.otzar.org/book.asp?6686","אוריין תליתאי")</f>
        <v>אוריין תליתאי</v>
      </c>
    </row>
    <row r="2314" spans="1:6" x14ac:dyDescent="0.2">
      <c r="A2314" t="s">
        <v>4684</v>
      </c>
      <c r="B2314" t="s">
        <v>4686</v>
      </c>
      <c r="C2314" t="s">
        <v>4687</v>
      </c>
      <c r="D2314" t="s">
        <v>76</v>
      </c>
      <c r="E2314" t="s">
        <v>144</v>
      </c>
      <c r="F2314" s="2" t="str">
        <f>HYPERLINK("http://www.otzar.org/book.asp?100238","אוריין תליתאי")</f>
        <v>אוריין תליתאי</v>
      </c>
    </row>
    <row r="2315" spans="1:6" x14ac:dyDescent="0.2">
      <c r="A2315" t="s">
        <v>4684</v>
      </c>
      <c r="B2315" t="s">
        <v>4688</v>
      </c>
      <c r="C2315" t="s">
        <v>1885</v>
      </c>
      <c r="D2315" t="s">
        <v>283</v>
      </c>
      <c r="E2315" t="s">
        <v>144</v>
      </c>
      <c r="F2315" s="2" t="str">
        <f>HYPERLINK("http://www.otzar.org/book.asp?17160","אוריין תליתאי")</f>
        <v>אוריין תליתאי</v>
      </c>
    </row>
    <row r="2316" spans="1:6" x14ac:dyDescent="0.2">
      <c r="A2316" t="s">
        <v>4684</v>
      </c>
      <c r="B2316" t="s">
        <v>2654</v>
      </c>
      <c r="C2316" t="s">
        <v>156</v>
      </c>
      <c r="D2316" t="s">
        <v>267</v>
      </c>
      <c r="E2316" t="s">
        <v>154</v>
      </c>
      <c r="F2316" s="2" t="str">
        <f>HYPERLINK("http://www.otzar.org/book.asp?100265","אוריין תליתאי")</f>
        <v>אוריין תליתאי</v>
      </c>
    </row>
    <row r="2317" spans="1:6" x14ac:dyDescent="0.2">
      <c r="A2317" t="s">
        <v>4689</v>
      </c>
      <c r="B2317" t="s">
        <v>4690</v>
      </c>
      <c r="C2317" t="s">
        <v>523</v>
      </c>
      <c r="D2317" t="s">
        <v>14</v>
      </c>
      <c r="E2317" t="s">
        <v>202</v>
      </c>
      <c r="F2317" s="2" t="str">
        <f>HYPERLINK("http://www.otzar.org/book.asp?145109","אורייתא &lt;קובץ&gt; - 5 כר'")</f>
        <v>אורייתא &lt;קובץ&gt; - 5 כר'</v>
      </c>
    </row>
    <row r="2318" spans="1:6" x14ac:dyDescent="0.2">
      <c r="A2318" t="s">
        <v>4691</v>
      </c>
      <c r="B2318" t="s">
        <v>4692</v>
      </c>
      <c r="C2318" t="s">
        <v>68</v>
      </c>
      <c r="D2318" t="s">
        <v>412</v>
      </c>
      <c r="E2318" t="s">
        <v>202</v>
      </c>
      <c r="F2318" s="2" t="str">
        <f>HYPERLINK("http://www.otzar.org/book.asp?602850","אורייתא &lt;קובץ תורני&gt; - 8 כר'")</f>
        <v>אורייתא &lt;קובץ תורני&gt; - 8 כר'</v>
      </c>
    </row>
    <row r="2319" spans="1:6" x14ac:dyDescent="0.2">
      <c r="A2319" t="s">
        <v>4693</v>
      </c>
      <c r="B2319" t="s">
        <v>4694</v>
      </c>
      <c r="C2319" t="s">
        <v>189</v>
      </c>
      <c r="D2319" t="s">
        <v>2201</v>
      </c>
      <c r="E2319" t="s">
        <v>202</v>
      </c>
      <c r="F2319" s="2" t="str">
        <f>HYPERLINK("http://www.otzar.org/book.asp?198219","אורייתא בחדוותא")</f>
        <v>אורייתא בחדוותא</v>
      </c>
    </row>
    <row r="2320" spans="1:6" x14ac:dyDescent="0.2">
      <c r="A2320" t="s">
        <v>4695</v>
      </c>
      <c r="B2320" t="s">
        <v>3166</v>
      </c>
      <c r="C2320" t="s">
        <v>244</v>
      </c>
      <c r="D2320" t="s">
        <v>21</v>
      </c>
      <c r="F2320" s="2" t="str">
        <f>HYPERLINK("http://www.otzar.org/book.asp?602138","אורייתא - א")</f>
        <v>אורייתא - א</v>
      </c>
    </row>
    <row r="2321" spans="1:6" x14ac:dyDescent="0.2">
      <c r="A2321" t="s">
        <v>4696</v>
      </c>
      <c r="B2321" t="s">
        <v>4113</v>
      </c>
      <c r="C2321" t="s">
        <v>4687</v>
      </c>
      <c r="D2321" t="s">
        <v>157</v>
      </c>
      <c r="F2321" s="2" t="str">
        <f>HYPERLINK("http://www.otzar.org/book.asp?809","אורים גדולים - 2 כר'")</f>
        <v>אורים גדולים - 2 כר'</v>
      </c>
    </row>
    <row r="2322" spans="1:6" x14ac:dyDescent="0.2">
      <c r="A2322" t="s">
        <v>4697</v>
      </c>
      <c r="B2322" t="s">
        <v>4698</v>
      </c>
      <c r="C2322" t="s">
        <v>4699</v>
      </c>
      <c r="D2322" t="s">
        <v>1023</v>
      </c>
      <c r="F2322" s="2" t="str">
        <f>HYPERLINK("http://www.otzar.org/book.asp?619169","אורים והתומים - 2 כר'")</f>
        <v>אורים והתומים - 2 כר'</v>
      </c>
    </row>
    <row r="2323" spans="1:6" x14ac:dyDescent="0.2">
      <c r="A2323" t="s">
        <v>4700</v>
      </c>
      <c r="B2323" t="s">
        <v>1990</v>
      </c>
      <c r="C2323" t="s">
        <v>68</v>
      </c>
      <c r="D2323" t="s">
        <v>14</v>
      </c>
      <c r="E2323" t="s">
        <v>172</v>
      </c>
      <c r="F2323" s="2" t="str">
        <f>HYPERLINK("http://www.otzar.org/book.asp?170833","אורים ותומים &lt;מהדורה חדשה&gt; - 2 כר'")</f>
        <v>אורים ותומים &lt;מהדורה חדשה&gt; - 2 כר'</v>
      </c>
    </row>
    <row r="2324" spans="1:6" x14ac:dyDescent="0.2">
      <c r="A2324" t="s">
        <v>4701</v>
      </c>
      <c r="B2324" t="s">
        <v>4702</v>
      </c>
      <c r="C2324" t="s">
        <v>41</v>
      </c>
      <c r="D2324" t="s">
        <v>4703</v>
      </c>
      <c r="E2324" t="s">
        <v>104</v>
      </c>
      <c r="F2324" s="2" t="str">
        <f>HYPERLINK("http://www.otzar.org/book.asp?53288","אורים ותומים")</f>
        <v>אורים ותומים</v>
      </c>
    </row>
    <row r="2325" spans="1:6" x14ac:dyDescent="0.2">
      <c r="A2325" t="s">
        <v>4704</v>
      </c>
      <c r="B2325" t="s">
        <v>1990</v>
      </c>
      <c r="C2325" t="s">
        <v>4705</v>
      </c>
      <c r="D2325" t="s">
        <v>283</v>
      </c>
      <c r="E2325" t="s">
        <v>172</v>
      </c>
      <c r="F2325" s="2" t="str">
        <f>HYPERLINK("http://www.otzar.org/book.asp?20939","אורים ותומים - 3 כר'")</f>
        <v>אורים ותומים - 3 כר'</v>
      </c>
    </row>
    <row r="2326" spans="1:6" x14ac:dyDescent="0.2">
      <c r="A2326" t="s">
        <v>4701</v>
      </c>
      <c r="B2326" t="s">
        <v>4706</v>
      </c>
      <c r="C2326" t="s">
        <v>4707</v>
      </c>
      <c r="D2326" t="s">
        <v>563</v>
      </c>
      <c r="E2326" t="s">
        <v>15</v>
      </c>
      <c r="F2326" s="2" t="str">
        <f>HYPERLINK("http://www.otzar.org/book.asp?147237","אורים ותומים")</f>
        <v>אורים ותומים</v>
      </c>
    </row>
    <row r="2327" spans="1:6" x14ac:dyDescent="0.2">
      <c r="A2327" t="s">
        <v>4701</v>
      </c>
      <c r="B2327" t="s">
        <v>4708</v>
      </c>
      <c r="C2327" t="s">
        <v>1395</v>
      </c>
      <c r="D2327" t="s">
        <v>49</v>
      </c>
      <c r="E2327" t="s">
        <v>158</v>
      </c>
      <c r="F2327" s="2" t="str">
        <f>HYPERLINK("http://www.otzar.org/book.asp?10038","אורים ותומים")</f>
        <v>אורים ותומים</v>
      </c>
    </row>
    <row r="2328" spans="1:6" x14ac:dyDescent="0.2">
      <c r="A2328" t="s">
        <v>4709</v>
      </c>
      <c r="B2328" t="s">
        <v>4710</v>
      </c>
      <c r="C2328" t="s">
        <v>160</v>
      </c>
      <c r="D2328" t="s">
        <v>21</v>
      </c>
      <c r="E2328" t="s">
        <v>202</v>
      </c>
      <c r="F2328" s="2" t="str">
        <f>HYPERLINK("http://www.otzar.org/book.asp?603810","אורים")</f>
        <v>אורים</v>
      </c>
    </row>
    <row r="2329" spans="1:6" x14ac:dyDescent="0.2">
      <c r="A2329" t="s">
        <v>4711</v>
      </c>
      <c r="B2329" t="s">
        <v>4712</v>
      </c>
      <c r="C2329" t="s">
        <v>466</v>
      </c>
      <c r="D2329" t="s">
        <v>423</v>
      </c>
      <c r="E2329" t="s">
        <v>4713</v>
      </c>
      <c r="F2329" s="2" t="str">
        <f>HYPERLINK("http://www.otzar.org/book.asp?50428","אוריתא - 15 כר'")</f>
        <v>אוריתא - 15 כר'</v>
      </c>
    </row>
    <row r="2330" spans="1:6" x14ac:dyDescent="0.2">
      <c r="A2330" t="s">
        <v>4714</v>
      </c>
      <c r="B2330" t="s">
        <v>4715</v>
      </c>
      <c r="C2330" t="s">
        <v>37</v>
      </c>
      <c r="D2330" t="s">
        <v>245</v>
      </c>
      <c r="E2330" t="s">
        <v>172</v>
      </c>
      <c r="F2330" s="2" t="str">
        <f>HYPERLINK("http://www.otzar.org/book.asp?196060","אורך השולחן - הלכות אונאה")</f>
        <v>אורך השולחן - הלכות אונאה</v>
      </c>
    </row>
    <row r="2331" spans="1:6" x14ac:dyDescent="0.2">
      <c r="A2331" t="s">
        <v>4716</v>
      </c>
      <c r="B2331" t="s">
        <v>4717</v>
      </c>
      <c r="C2331" t="s">
        <v>4230</v>
      </c>
      <c r="D2331" t="s">
        <v>1490</v>
      </c>
      <c r="E2331" t="s">
        <v>241</v>
      </c>
      <c r="F2331" s="2" t="str">
        <f>HYPERLINK("http://www.otzar.org/book.asp?167046","אורך ימים - 2 כר'")</f>
        <v>אורך ימים - 2 כר'</v>
      </c>
    </row>
    <row r="2332" spans="1:6" x14ac:dyDescent="0.2">
      <c r="A2332" t="s">
        <v>4718</v>
      </c>
      <c r="B2332" t="s">
        <v>4719</v>
      </c>
      <c r="C2332" t="s">
        <v>111</v>
      </c>
      <c r="D2332" t="s">
        <v>90</v>
      </c>
      <c r="E2332" t="s">
        <v>104</v>
      </c>
      <c r="F2332" s="2" t="str">
        <f>HYPERLINK("http://www.otzar.org/book.asp?621098","אורך ימים")</f>
        <v>אורך ימים</v>
      </c>
    </row>
    <row r="2333" spans="1:6" x14ac:dyDescent="0.2">
      <c r="A2333" t="s">
        <v>4720</v>
      </c>
      <c r="B2333" t="s">
        <v>4721</v>
      </c>
      <c r="C2333" t="s">
        <v>244</v>
      </c>
      <c r="D2333" t="s">
        <v>14</v>
      </c>
      <c r="E2333" t="s">
        <v>15</v>
      </c>
      <c r="F2333" s="2" t="str">
        <f>HYPERLINK("http://www.otzar.org/book.asp?620162","אורך ימים - שבת ומועדים")</f>
        <v>אורך ימים - שבת ומועדים</v>
      </c>
    </row>
    <row r="2334" spans="1:6" x14ac:dyDescent="0.2">
      <c r="A2334" t="s">
        <v>4718</v>
      </c>
      <c r="B2334" t="s">
        <v>4722</v>
      </c>
      <c r="C2334" t="s">
        <v>1609</v>
      </c>
      <c r="D2334" t="s">
        <v>260</v>
      </c>
      <c r="E2334" t="s">
        <v>10</v>
      </c>
      <c r="F2334" s="2" t="str">
        <f>HYPERLINK("http://www.otzar.org/book.asp?13780","אורך ימים")</f>
        <v>אורך ימים</v>
      </c>
    </row>
    <row r="2335" spans="1:6" x14ac:dyDescent="0.2">
      <c r="A2335" t="s">
        <v>4723</v>
      </c>
      <c r="B2335" t="s">
        <v>4724</v>
      </c>
      <c r="C2335" t="s">
        <v>146</v>
      </c>
      <c r="D2335" t="s">
        <v>14</v>
      </c>
      <c r="E2335" t="s">
        <v>674</v>
      </c>
      <c r="F2335" s="2" t="str">
        <f>HYPERLINK("http://www.otzar.org/book.asp?188794","אורן של חכמים")</f>
        <v>אורן של חכמים</v>
      </c>
    </row>
    <row r="2336" spans="1:6" x14ac:dyDescent="0.2">
      <c r="A2336" t="s">
        <v>4725</v>
      </c>
      <c r="B2336" t="s">
        <v>4726</v>
      </c>
      <c r="C2336" t="s">
        <v>114</v>
      </c>
      <c r="D2336" t="s">
        <v>152</v>
      </c>
      <c r="E2336" t="s">
        <v>154</v>
      </c>
      <c r="F2336" s="2" t="str">
        <f>HYPERLINK("http://www.otzar.org/book.asp?165464","אורן של חכמים - 2 כר'")</f>
        <v>אורן של חכמים - 2 כר'</v>
      </c>
    </row>
    <row r="2337" spans="1:6" x14ac:dyDescent="0.2">
      <c r="A2337" t="s">
        <v>4727</v>
      </c>
      <c r="B2337" t="s">
        <v>4728</v>
      </c>
      <c r="C2337" t="s">
        <v>103</v>
      </c>
      <c r="D2337" t="s">
        <v>14</v>
      </c>
      <c r="E2337" t="s">
        <v>399</v>
      </c>
      <c r="F2337" s="2" t="str">
        <f>HYPERLINK("http://www.otzar.org/book.asp?156584","אושפיזא דיצחק")</f>
        <v>אושפיזא דיצחק</v>
      </c>
    </row>
    <row r="2338" spans="1:6" x14ac:dyDescent="0.2">
      <c r="A2338" t="s">
        <v>4729</v>
      </c>
      <c r="B2338" t="s">
        <v>4730</v>
      </c>
      <c r="C2338" t="s">
        <v>114</v>
      </c>
      <c r="D2338" t="s">
        <v>115</v>
      </c>
      <c r="E2338" t="s">
        <v>4731</v>
      </c>
      <c r="F2338" s="2" t="str">
        <f>HYPERLINK("http://www.otzar.org/book.asp?160179","אושפיזין קדישין")</f>
        <v>אושפיזין קדישין</v>
      </c>
    </row>
    <row r="2339" spans="1:6" x14ac:dyDescent="0.2">
      <c r="A2339" t="s">
        <v>4732</v>
      </c>
      <c r="B2339" t="s">
        <v>4733</v>
      </c>
      <c r="C2339" t="s">
        <v>1609</v>
      </c>
      <c r="D2339" t="s">
        <v>412</v>
      </c>
      <c r="E2339" t="s">
        <v>158</v>
      </c>
      <c r="F2339" s="2" t="str">
        <f>HYPERLINK("http://www.otzar.org/book.asp?51763","אושר אהרן")</f>
        <v>אושר אהרן</v>
      </c>
    </row>
    <row r="2340" spans="1:6" x14ac:dyDescent="0.2">
      <c r="A2340" t="s">
        <v>4734</v>
      </c>
      <c r="B2340" t="s">
        <v>4735</v>
      </c>
      <c r="C2340" t="s">
        <v>585</v>
      </c>
      <c r="D2340" t="s">
        <v>14</v>
      </c>
      <c r="F2340" s="2" t="str">
        <f>HYPERLINK("http://www.otzar.org/book.asp?630381","אושר הנישואין באותיות ומילים")</f>
        <v>אושר הנישואין באותיות ומילים</v>
      </c>
    </row>
    <row r="2341" spans="1:6" x14ac:dyDescent="0.2">
      <c r="A2341" t="s">
        <v>4736</v>
      </c>
      <c r="B2341" t="s">
        <v>4737</v>
      </c>
      <c r="C2341" t="s">
        <v>438</v>
      </c>
      <c r="D2341" t="s">
        <v>14</v>
      </c>
      <c r="E2341" t="s">
        <v>4738</v>
      </c>
      <c r="F2341" s="2" t="str">
        <f>HYPERLINK("http://www.otzar.org/book.asp?9228","אושר ירוחם")</f>
        <v>אושר ירוחם</v>
      </c>
    </row>
    <row r="2342" spans="1:6" x14ac:dyDescent="0.2">
      <c r="A2342" t="s">
        <v>4739</v>
      </c>
      <c r="B2342" t="s">
        <v>4740</v>
      </c>
      <c r="C2342" t="s">
        <v>4741</v>
      </c>
      <c r="D2342" t="s">
        <v>76</v>
      </c>
      <c r="E2342" t="s">
        <v>104</v>
      </c>
      <c r="F2342" s="2" t="str">
        <f>HYPERLINK("http://www.otzar.org/book.asp?8764","אות אמת")</f>
        <v>אות אמת</v>
      </c>
    </row>
    <row r="2343" spans="1:6" x14ac:dyDescent="0.2">
      <c r="A2343" t="s">
        <v>4739</v>
      </c>
      <c r="B2343" t="s">
        <v>4742</v>
      </c>
      <c r="C2343" t="s">
        <v>176</v>
      </c>
      <c r="D2343" t="s">
        <v>52</v>
      </c>
      <c r="E2343" t="s">
        <v>15</v>
      </c>
      <c r="F2343" s="2" t="str">
        <f>HYPERLINK("http://www.otzar.org/book.asp?52917","אות אמת")</f>
        <v>אות אמת</v>
      </c>
    </row>
    <row r="2344" spans="1:6" x14ac:dyDescent="0.2">
      <c r="A2344" t="s">
        <v>4739</v>
      </c>
      <c r="B2344" t="s">
        <v>4743</v>
      </c>
      <c r="C2344" t="s">
        <v>1937</v>
      </c>
      <c r="D2344" t="s">
        <v>76</v>
      </c>
      <c r="E2344" t="s">
        <v>2495</v>
      </c>
      <c r="F2344" s="2" t="str">
        <f>HYPERLINK("http://www.otzar.org/book.asp?104427","אות אמת")</f>
        <v>אות אמת</v>
      </c>
    </row>
    <row r="2345" spans="1:6" x14ac:dyDescent="0.2">
      <c r="A2345" t="s">
        <v>4744</v>
      </c>
      <c r="B2345" t="s">
        <v>4745</v>
      </c>
      <c r="C2345" t="s">
        <v>4746</v>
      </c>
      <c r="D2345" t="s">
        <v>1023</v>
      </c>
      <c r="E2345" t="s">
        <v>733</v>
      </c>
      <c r="F2345" s="2" t="str">
        <f>HYPERLINK("http://www.otzar.org/book.asp?300380","אות אמת - א")</f>
        <v>אות אמת - א</v>
      </c>
    </row>
    <row r="2346" spans="1:6" x14ac:dyDescent="0.2">
      <c r="A2346" t="s">
        <v>4739</v>
      </c>
      <c r="B2346" t="s">
        <v>4747</v>
      </c>
      <c r="C2346" t="s">
        <v>492</v>
      </c>
      <c r="D2346" t="s">
        <v>4269</v>
      </c>
      <c r="E2346" t="s">
        <v>15</v>
      </c>
      <c r="F2346" s="2" t="str">
        <f>HYPERLINK("http://www.otzar.org/book.asp?300381","אות אמת")</f>
        <v>אות אמת</v>
      </c>
    </row>
    <row r="2347" spans="1:6" x14ac:dyDescent="0.2">
      <c r="A2347" t="s">
        <v>4748</v>
      </c>
      <c r="B2347" t="s">
        <v>4749</v>
      </c>
      <c r="C2347" t="s">
        <v>503</v>
      </c>
      <c r="D2347" t="s">
        <v>212</v>
      </c>
      <c r="E2347" t="s">
        <v>714</v>
      </c>
      <c r="F2347" s="2" t="str">
        <f>HYPERLINK("http://www.otzar.org/book.asp?17164","אות ברית קדש")</f>
        <v>אות ברית קדש</v>
      </c>
    </row>
    <row r="2348" spans="1:6" x14ac:dyDescent="0.2">
      <c r="A2348" t="s">
        <v>4750</v>
      </c>
      <c r="B2348" t="s">
        <v>4751</v>
      </c>
      <c r="C2348" t="s">
        <v>146</v>
      </c>
      <c r="D2348" t="s">
        <v>14</v>
      </c>
      <c r="E2348" t="s">
        <v>15</v>
      </c>
      <c r="F2348" s="2" t="str">
        <f>HYPERLINK("http://www.otzar.org/book.asp?167785","אות ברית קודש - סדר המילה והלכותיה")</f>
        <v>אות ברית קודש - סדר המילה והלכותיה</v>
      </c>
    </row>
    <row r="2349" spans="1:6" x14ac:dyDescent="0.2">
      <c r="A2349" t="s">
        <v>4752</v>
      </c>
      <c r="B2349" t="s">
        <v>4753</v>
      </c>
      <c r="C2349" t="s">
        <v>133</v>
      </c>
      <c r="D2349" t="s">
        <v>14</v>
      </c>
      <c r="E2349" t="s">
        <v>148</v>
      </c>
      <c r="F2349" s="2" t="str">
        <f>HYPERLINK("http://www.otzar.org/book.asp?176062","אות ברית")</f>
        <v>אות ברית</v>
      </c>
    </row>
    <row r="2350" spans="1:6" x14ac:dyDescent="0.2">
      <c r="A2350" t="s">
        <v>4754</v>
      </c>
      <c r="B2350" t="s">
        <v>4755</v>
      </c>
      <c r="C2350" t="s">
        <v>553</v>
      </c>
      <c r="D2350" t="s">
        <v>52</v>
      </c>
      <c r="F2350" s="2" t="str">
        <f>HYPERLINK("http://www.otzar.org/book.asp?85731","אות ברית - 2 כר'")</f>
        <v>אות ברית - 2 כר'</v>
      </c>
    </row>
    <row r="2351" spans="1:6" x14ac:dyDescent="0.2">
      <c r="A2351" t="s">
        <v>4752</v>
      </c>
      <c r="B2351" t="s">
        <v>206</v>
      </c>
      <c r="C2351" t="s">
        <v>624</v>
      </c>
      <c r="D2351" t="s">
        <v>14</v>
      </c>
      <c r="E2351" t="s">
        <v>15</v>
      </c>
      <c r="F2351" s="2" t="str">
        <f>HYPERLINK("http://www.otzar.org/book.asp?158836","אות ברית")</f>
        <v>אות ברית</v>
      </c>
    </row>
    <row r="2352" spans="1:6" x14ac:dyDescent="0.2">
      <c r="A2352" t="s">
        <v>4752</v>
      </c>
      <c r="B2352" t="s">
        <v>4756</v>
      </c>
      <c r="C2352" t="s">
        <v>20</v>
      </c>
      <c r="D2352" t="s">
        <v>14</v>
      </c>
      <c r="E2352" t="s">
        <v>15</v>
      </c>
      <c r="F2352" s="2" t="str">
        <f>HYPERLINK("http://www.otzar.org/book.asp?180672","אות ברית")</f>
        <v>אות ברית</v>
      </c>
    </row>
    <row r="2353" spans="1:6" x14ac:dyDescent="0.2">
      <c r="A2353" t="s">
        <v>4752</v>
      </c>
      <c r="B2353" t="s">
        <v>3614</v>
      </c>
      <c r="C2353" t="s">
        <v>1169</v>
      </c>
      <c r="D2353" t="s">
        <v>27</v>
      </c>
      <c r="E2353" t="s">
        <v>703</v>
      </c>
      <c r="F2353" s="2" t="str">
        <f>HYPERLINK("http://www.otzar.org/book.asp?17513","אות ברית")</f>
        <v>אות ברית</v>
      </c>
    </row>
    <row r="2354" spans="1:6" x14ac:dyDescent="0.2">
      <c r="A2354" t="s">
        <v>4752</v>
      </c>
      <c r="B2354" t="s">
        <v>4757</v>
      </c>
      <c r="C2354" t="s">
        <v>4758</v>
      </c>
      <c r="D2354" t="s">
        <v>1422</v>
      </c>
      <c r="E2354" t="s">
        <v>148</v>
      </c>
      <c r="F2354" s="2" t="str">
        <f>HYPERLINK("http://www.otzar.org/book.asp?108755","אות ברית")</f>
        <v>אות ברית</v>
      </c>
    </row>
    <row r="2355" spans="1:6" x14ac:dyDescent="0.2">
      <c r="A2355" t="s">
        <v>4759</v>
      </c>
      <c r="B2355" t="s">
        <v>4760</v>
      </c>
      <c r="C2355" t="s">
        <v>550</v>
      </c>
      <c r="D2355" t="s">
        <v>157</v>
      </c>
      <c r="E2355" t="s">
        <v>158</v>
      </c>
      <c r="F2355" s="2" t="str">
        <f>HYPERLINK("http://www.otzar.org/book.asp?17165","אות הברית")</f>
        <v>אות הברית</v>
      </c>
    </row>
    <row r="2356" spans="1:6" x14ac:dyDescent="0.2">
      <c r="A2356" t="s">
        <v>4759</v>
      </c>
      <c r="B2356" t="s">
        <v>4761</v>
      </c>
      <c r="C2356" t="s">
        <v>422</v>
      </c>
      <c r="D2356" t="s">
        <v>1156</v>
      </c>
      <c r="E2356" t="s">
        <v>15</v>
      </c>
      <c r="F2356" s="2" t="str">
        <f>HYPERLINK("http://www.otzar.org/book.asp?619799","אות הברית")</f>
        <v>אות הברית</v>
      </c>
    </row>
    <row r="2357" spans="1:6" x14ac:dyDescent="0.2">
      <c r="A2357" t="s">
        <v>4762</v>
      </c>
      <c r="B2357" t="s">
        <v>4760</v>
      </c>
      <c r="C2357" t="s">
        <v>4763</v>
      </c>
      <c r="D2357" t="s">
        <v>157</v>
      </c>
      <c r="E2357" t="s">
        <v>104</v>
      </c>
      <c r="F2357" s="2" t="str">
        <f>HYPERLINK("http://www.otzar.org/book.asp?103986","אות היא לעולם - 2 כר'")</f>
        <v>אות היא לעולם - 2 כר'</v>
      </c>
    </row>
    <row r="2358" spans="1:6" x14ac:dyDescent="0.2">
      <c r="A2358" t="s">
        <v>4764</v>
      </c>
      <c r="B2358" t="s">
        <v>4765</v>
      </c>
      <c r="C2358" t="s">
        <v>619</v>
      </c>
      <c r="D2358" t="s">
        <v>535</v>
      </c>
      <c r="E2358" t="s">
        <v>234</v>
      </c>
      <c r="F2358" s="2" t="str">
        <f>HYPERLINK("http://www.otzar.org/book.asp?103099","אות התפלין")</f>
        <v>אות התפלין</v>
      </c>
    </row>
    <row r="2359" spans="1:6" x14ac:dyDescent="0.2">
      <c r="A2359" t="s">
        <v>4766</v>
      </c>
      <c r="B2359" t="s">
        <v>796</v>
      </c>
      <c r="C2359" t="s">
        <v>133</v>
      </c>
      <c r="D2359" t="s">
        <v>245</v>
      </c>
      <c r="E2359" t="s">
        <v>158</v>
      </c>
      <c r="F2359" s="2" t="str">
        <f>HYPERLINK("http://www.otzar.org/book.asp?179538","אות ופלא")</f>
        <v>אות ופלא</v>
      </c>
    </row>
    <row r="2360" spans="1:6" x14ac:dyDescent="0.2">
      <c r="A2360" t="s">
        <v>4767</v>
      </c>
      <c r="B2360" t="s">
        <v>4768</v>
      </c>
      <c r="C2360" t="s">
        <v>1885</v>
      </c>
      <c r="D2360" t="s">
        <v>2276</v>
      </c>
      <c r="E2360" t="s">
        <v>930</v>
      </c>
      <c r="F2360" s="2" t="str">
        <f>HYPERLINK("http://www.otzar.org/book.asp?22335","אות זכרון")</f>
        <v>אות זכרון</v>
      </c>
    </row>
    <row r="2361" spans="1:6" x14ac:dyDescent="0.2">
      <c r="A2361" t="s">
        <v>4769</v>
      </c>
      <c r="B2361" t="s">
        <v>4770</v>
      </c>
      <c r="C2361" t="s">
        <v>366</v>
      </c>
      <c r="D2361" t="s">
        <v>14</v>
      </c>
      <c r="E2361" t="s">
        <v>148</v>
      </c>
      <c r="F2361" s="2" t="str">
        <f>HYPERLINK("http://www.otzar.org/book.asp?608514","אות חיים &lt;מהדורה חדשה&gt;")</f>
        <v>אות חיים &lt;מהדורה חדשה&gt;</v>
      </c>
    </row>
    <row r="2362" spans="1:6" x14ac:dyDescent="0.2">
      <c r="A2362" t="s">
        <v>4771</v>
      </c>
      <c r="B2362" t="s">
        <v>4770</v>
      </c>
      <c r="C2362" t="s">
        <v>1650</v>
      </c>
      <c r="D2362" t="s">
        <v>4772</v>
      </c>
      <c r="E2362" t="s">
        <v>15</v>
      </c>
      <c r="F2362" s="2" t="str">
        <f>HYPERLINK("http://www.otzar.org/book.asp?130","אות חיים ושלום")</f>
        <v>אות חיים ושלום</v>
      </c>
    </row>
    <row r="2363" spans="1:6" x14ac:dyDescent="0.2">
      <c r="A2363" t="s">
        <v>4773</v>
      </c>
      <c r="B2363" t="s">
        <v>4774</v>
      </c>
      <c r="C2363" t="s">
        <v>71</v>
      </c>
      <c r="D2363" t="s">
        <v>52</v>
      </c>
      <c r="E2363" t="s">
        <v>104</v>
      </c>
      <c r="F2363" s="2" t="str">
        <f>HYPERLINK("http://www.otzar.org/book.asp?189563","אות חיים - א")</f>
        <v>אות חיים - א</v>
      </c>
    </row>
    <row r="2364" spans="1:6" x14ac:dyDescent="0.2">
      <c r="A2364" t="s">
        <v>4775</v>
      </c>
      <c r="B2364" t="s">
        <v>4776</v>
      </c>
      <c r="C2364" t="s">
        <v>129</v>
      </c>
      <c r="D2364" t="s">
        <v>52</v>
      </c>
      <c r="E2364" t="s">
        <v>144</v>
      </c>
      <c r="F2364" s="2" t="str">
        <f>HYPERLINK("http://www.otzar.org/book.asp?158103","אות חיים")</f>
        <v>אות חיים</v>
      </c>
    </row>
    <row r="2365" spans="1:6" x14ac:dyDescent="0.2">
      <c r="A2365" t="s">
        <v>4777</v>
      </c>
      <c r="B2365" t="s">
        <v>4778</v>
      </c>
      <c r="C2365" t="s">
        <v>168</v>
      </c>
      <c r="D2365" t="s">
        <v>52</v>
      </c>
      <c r="E2365" t="s">
        <v>4779</v>
      </c>
      <c r="F2365" s="2" t="str">
        <f>HYPERLINK("http://www.otzar.org/book.asp?191721","אות חיים - תיקון בית רחל, חיים ברצונו, חיים וחסד השלם")</f>
        <v>אות חיים - תיקון בית רחל, חיים ברצונו, חיים וחסד השלם</v>
      </c>
    </row>
    <row r="2366" spans="1:6" x14ac:dyDescent="0.2">
      <c r="A2366" t="s">
        <v>4780</v>
      </c>
      <c r="B2366" t="s">
        <v>4781</v>
      </c>
      <c r="C2366" t="s">
        <v>244</v>
      </c>
      <c r="D2366" t="s">
        <v>80</v>
      </c>
      <c r="E2366" t="s">
        <v>15</v>
      </c>
      <c r="F2366" s="2" t="str">
        <f>HYPERLINK("http://www.otzar.org/book.asp?601158","אות ישראל")</f>
        <v>אות ישראל</v>
      </c>
    </row>
    <row r="2367" spans="1:6" x14ac:dyDescent="0.2">
      <c r="A2367" t="s">
        <v>4782</v>
      </c>
      <c r="B2367" t="s">
        <v>4783</v>
      </c>
      <c r="C2367" t="s">
        <v>129</v>
      </c>
      <c r="D2367" t="s">
        <v>14</v>
      </c>
      <c r="E2367" t="s">
        <v>803</v>
      </c>
      <c r="F2367" s="2" t="str">
        <f>HYPERLINK("http://www.otzar.org/book.asp?60311","אות לטובה - נדה")</f>
        <v>אות לטובה - נדה</v>
      </c>
    </row>
    <row r="2368" spans="1:6" x14ac:dyDescent="0.2">
      <c r="A2368" t="s">
        <v>4784</v>
      </c>
      <c r="B2368" t="s">
        <v>4785</v>
      </c>
      <c r="C2368" t="s">
        <v>151</v>
      </c>
      <c r="D2368" t="s">
        <v>52</v>
      </c>
      <c r="E2368" t="s">
        <v>104</v>
      </c>
      <c r="F2368" s="2" t="str">
        <f>HYPERLINK("http://www.otzar.org/book.asp?618895","אות לטובה")</f>
        <v>אות לטובה</v>
      </c>
    </row>
    <row r="2369" spans="1:6" x14ac:dyDescent="0.2">
      <c r="A2369" t="s">
        <v>4786</v>
      </c>
      <c r="B2369" t="s">
        <v>4787</v>
      </c>
      <c r="C2369" t="s">
        <v>553</v>
      </c>
      <c r="D2369" t="s">
        <v>52</v>
      </c>
      <c r="E2369" t="s">
        <v>3516</v>
      </c>
      <c r="F2369" s="2" t="str">
        <f>HYPERLINK("http://www.otzar.org/book.asp?61686","אות לטובה - 3 כר'")</f>
        <v>אות לטובה - 3 כר'</v>
      </c>
    </row>
    <row r="2370" spans="1:6" x14ac:dyDescent="0.2">
      <c r="A2370" t="s">
        <v>4784</v>
      </c>
      <c r="B2370" t="s">
        <v>4788</v>
      </c>
      <c r="C2370" t="s">
        <v>1437</v>
      </c>
      <c r="D2370" t="s">
        <v>4269</v>
      </c>
      <c r="E2370" t="s">
        <v>2495</v>
      </c>
      <c r="F2370" s="2" t="str">
        <f>HYPERLINK("http://www.otzar.org/book.asp?17167","אות לטובה")</f>
        <v>אות לטובה</v>
      </c>
    </row>
    <row r="2371" spans="1:6" x14ac:dyDescent="0.2">
      <c r="A2371" t="s">
        <v>4784</v>
      </c>
      <c r="B2371" t="s">
        <v>4789</v>
      </c>
      <c r="C2371" t="s">
        <v>4790</v>
      </c>
      <c r="D2371" t="s">
        <v>4791</v>
      </c>
      <c r="E2371" t="s">
        <v>104</v>
      </c>
      <c r="F2371" s="2" t="str">
        <f>HYPERLINK("http://www.otzar.org/book.asp?146877","אות לטובה")</f>
        <v>אות לטובה</v>
      </c>
    </row>
    <row r="2372" spans="1:6" x14ac:dyDescent="0.2">
      <c r="A2372" t="s">
        <v>4792</v>
      </c>
      <c r="B2372" t="s">
        <v>4760</v>
      </c>
      <c r="C2372" t="s">
        <v>1124</v>
      </c>
      <c r="D2372" t="s">
        <v>157</v>
      </c>
      <c r="E2372" t="s">
        <v>234</v>
      </c>
      <c r="F2372" s="2" t="str">
        <f>HYPERLINK("http://www.otzar.org/book.asp?147071","אות לישועה")</f>
        <v>אות לישועה</v>
      </c>
    </row>
    <row r="2373" spans="1:6" x14ac:dyDescent="0.2">
      <c r="A2373" t="s">
        <v>4793</v>
      </c>
      <c r="B2373" t="s">
        <v>4794</v>
      </c>
      <c r="C2373" t="s">
        <v>51</v>
      </c>
      <c r="D2373" t="s">
        <v>14</v>
      </c>
      <c r="E2373" t="s">
        <v>15</v>
      </c>
      <c r="F2373" s="2" t="str">
        <f>HYPERLINK("http://www.otzar.org/book.asp?50438","אות לישראל")</f>
        <v>אות לישראל</v>
      </c>
    </row>
    <row r="2374" spans="1:6" x14ac:dyDescent="0.2">
      <c r="A2374" t="s">
        <v>4795</v>
      </c>
      <c r="B2374" t="s">
        <v>4796</v>
      </c>
      <c r="C2374" t="s">
        <v>176</v>
      </c>
      <c r="D2374" t="s">
        <v>216</v>
      </c>
      <c r="E2374" t="s">
        <v>2840</v>
      </c>
      <c r="F2374" s="2" t="str">
        <f>HYPERLINK("http://www.otzar.org/book.asp?85131","אות מלך")</f>
        <v>אות מלך</v>
      </c>
    </row>
    <row r="2375" spans="1:6" x14ac:dyDescent="0.2">
      <c r="A2375" t="s">
        <v>4797</v>
      </c>
      <c r="B2375" t="s">
        <v>4798</v>
      </c>
      <c r="C2375" t="s">
        <v>20</v>
      </c>
      <c r="D2375" t="s">
        <v>14</v>
      </c>
      <c r="E2375" t="s">
        <v>158</v>
      </c>
      <c r="F2375" s="2" t="str">
        <f>HYPERLINK("http://www.otzar.org/book.asp?108384","אות נפש")</f>
        <v>אות נפש</v>
      </c>
    </row>
    <row r="2376" spans="1:6" x14ac:dyDescent="0.2">
      <c r="A2376" t="s">
        <v>4799</v>
      </c>
      <c r="B2376" t="s">
        <v>4799</v>
      </c>
      <c r="C2376" t="s">
        <v>2644</v>
      </c>
      <c r="D2376" t="s">
        <v>27</v>
      </c>
      <c r="E2376" t="s">
        <v>4800</v>
      </c>
      <c r="F2376" s="2" t="str">
        <f>HYPERLINK("http://www.otzar.org/book.asp?300384","אות עולם")</f>
        <v>אות עולם</v>
      </c>
    </row>
    <row r="2377" spans="1:6" x14ac:dyDescent="0.2">
      <c r="A2377" t="s">
        <v>4801</v>
      </c>
      <c r="B2377" t="s">
        <v>4802</v>
      </c>
      <c r="C2377" t="s">
        <v>13</v>
      </c>
      <c r="D2377" t="s">
        <v>14</v>
      </c>
      <c r="E2377" t="s">
        <v>144</v>
      </c>
      <c r="F2377" s="2" t="str">
        <f>HYPERLINK("http://www.otzar.org/book.asp?142512","אות ציון &lt;טקסט&gt;")</f>
        <v>אות ציון &lt;טקסט&gt;</v>
      </c>
    </row>
    <row r="2378" spans="1:6" x14ac:dyDescent="0.2">
      <c r="A2378" t="s">
        <v>4803</v>
      </c>
      <c r="B2378" t="s">
        <v>4802</v>
      </c>
      <c r="C2378" t="s">
        <v>454</v>
      </c>
      <c r="D2378" t="s">
        <v>412</v>
      </c>
      <c r="E2378" t="s">
        <v>3736</v>
      </c>
      <c r="F2378" s="2" t="str">
        <f>HYPERLINK("http://www.otzar.org/book.asp?22093","אות ציון")</f>
        <v>אות ציון</v>
      </c>
    </row>
    <row r="2379" spans="1:6" x14ac:dyDescent="0.2">
      <c r="A2379" t="s">
        <v>4804</v>
      </c>
      <c r="B2379" t="s">
        <v>4805</v>
      </c>
      <c r="C2379" t="s">
        <v>20</v>
      </c>
      <c r="D2379" t="s">
        <v>90</v>
      </c>
      <c r="E2379" t="s">
        <v>119</v>
      </c>
      <c r="F2379" s="2" t="str">
        <f>HYPERLINK("http://www.otzar.org/book.asp?602614","אות קין")</f>
        <v>אות קין</v>
      </c>
    </row>
    <row r="2380" spans="1:6" x14ac:dyDescent="0.2">
      <c r="A2380" t="s">
        <v>4806</v>
      </c>
      <c r="B2380" t="s">
        <v>4770</v>
      </c>
      <c r="C2380" t="s">
        <v>366</v>
      </c>
      <c r="D2380" t="s">
        <v>14</v>
      </c>
      <c r="E2380" t="s">
        <v>148</v>
      </c>
      <c r="F2380" s="2" t="str">
        <f>HYPERLINK("http://www.otzar.org/book.asp?608515","אות שלום &lt;מהדורה חדשה&gt;")</f>
        <v>אות שלום &lt;מהדורה חדשה&gt;</v>
      </c>
    </row>
    <row r="2381" spans="1:6" x14ac:dyDescent="0.2">
      <c r="A2381" t="s">
        <v>4807</v>
      </c>
      <c r="B2381" t="s">
        <v>4808</v>
      </c>
      <c r="C2381" t="s">
        <v>1310</v>
      </c>
      <c r="D2381" t="s">
        <v>563</v>
      </c>
      <c r="E2381" t="s">
        <v>104</v>
      </c>
      <c r="F2381" s="2" t="str">
        <f>HYPERLINK("http://www.otzar.org/book.asp?146886","אותות השמים")</f>
        <v>אותות השמים</v>
      </c>
    </row>
    <row r="2382" spans="1:6" x14ac:dyDescent="0.2">
      <c r="A2382" t="s">
        <v>4807</v>
      </c>
      <c r="B2382" t="s">
        <v>4809</v>
      </c>
      <c r="C2382" t="s">
        <v>2269</v>
      </c>
      <c r="D2382" t="s">
        <v>1419</v>
      </c>
      <c r="E2382" t="s">
        <v>104</v>
      </c>
      <c r="F2382" s="2" t="str">
        <f>HYPERLINK("http://www.otzar.org/book.asp?104254","אותות השמים")</f>
        <v>אותות השמים</v>
      </c>
    </row>
    <row r="2383" spans="1:6" x14ac:dyDescent="0.2">
      <c r="A2383" t="s">
        <v>4810</v>
      </c>
      <c r="B2383" t="s">
        <v>4811</v>
      </c>
      <c r="C2383" t="s">
        <v>2644</v>
      </c>
      <c r="D2383" t="s">
        <v>2313</v>
      </c>
      <c r="E2383" t="s">
        <v>399</v>
      </c>
      <c r="F2383" s="2" t="str">
        <f>HYPERLINK("http://www.otzar.org/book.asp?15879","אותות ומועדים")</f>
        <v>אותות ומועדים</v>
      </c>
    </row>
    <row r="2384" spans="1:6" x14ac:dyDescent="0.2">
      <c r="A2384" t="s">
        <v>4812</v>
      </c>
      <c r="B2384" t="s">
        <v>4453</v>
      </c>
      <c r="C2384" t="s">
        <v>111</v>
      </c>
      <c r="D2384" t="s">
        <v>14</v>
      </c>
      <c r="E2384" t="s">
        <v>246</v>
      </c>
      <c r="F2384" s="2" t="str">
        <f>HYPERLINK("http://www.otzar.org/book.asp?630345","אותות ומופתים")</f>
        <v>אותות ומופתים</v>
      </c>
    </row>
    <row r="2385" spans="1:6" x14ac:dyDescent="0.2">
      <c r="A2385" t="s">
        <v>4813</v>
      </c>
      <c r="B2385" t="s">
        <v>4814</v>
      </c>
      <c r="C2385" t="s">
        <v>168</v>
      </c>
      <c r="D2385" t="s">
        <v>14</v>
      </c>
      <c r="E2385" t="s">
        <v>1626</v>
      </c>
      <c r="F2385" s="2" t="str">
        <f>HYPERLINK("http://www.otzar.org/book.asp?182815","אותות שלשה - קדושתא קלירית לשבת חנוכה וראש חודש (תדפיס)")</f>
        <v>אותות שלשה - קדושתא קלירית לשבת חנוכה וראש חודש (תדפיס)</v>
      </c>
    </row>
    <row r="2386" spans="1:6" x14ac:dyDescent="0.2">
      <c r="A2386" t="s">
        <v>4815</v>
      </c>
      <c r="B2386" t="s">
        <v>4816</v>
      </c>
      <c r="C2386" t="s">
        <v>133</v>
      </c>
      <c r="D2386" t="s">
        <v>412</v>
      </c>
      <c r="E2386" t="s">
        <v>104</v>
      </c>
      <c r="F2386" s="2" t="str">
        <f>HYPERLINK("http://www.otzar.org/book.asp?179494","אותיות אליהו")</f>
        <v>אותיות אליהו</v>
      </c>
    </row>
    <row r="2387" spans="1:6" x14ac:dyDescent="0.2">
      <c r="A2387" t="s">
        <v>4817</v>
      </c>
      <c r="B2387" t="s">
        <v>4818</v>
      </c>
      <c r="C2387" t="s">
        <v>1640</v>
      </c>
      <c r="D2387" t="s">
        <v>14</v>
      </c>
      <c r="E2387" t="s">
        <v>399</v>
      </c>
      <c r="F2387" s="2" t="str">
        <f>HYPERLINK("http://www.otzar.org/book.asp?625938","אותיות דר' יצחק &lt;מהדורה חדשה&gt; - 2 כר'")</f>
        <v>אותיות דר' יצחק &lt;מהדורה חדשה&gt; - 2 כר'</v>
      </c>
    </row>
    <row r="2388" spans="1:6" x14ac:dyDescent="0.2">
      <c r="A2388" t="s">
        <v>4819</v>
      </c>
      <c r="B2388" t="s">
        <v>4818</v>
      </c>
      <c r="C2388" t="s">
        <v>950</v>
      </c>
      <c r="D2388" t="s">
        <v>1419</v>
      </c>
      <c r="E2388" t="s">
        <v>399</v>
      </c>
      <c r="F2388" s="2" t="str">
        <f>HYPERLINK("http://www.otzar.org/book.asp?10332","אותיות דר' יצחק - 2 כר'")</f>
        <v>אותיות דר' יצחק - 2 כר'</v>
      </c>
    </row>
    <row r="2389" spans="1:6" x14ac:dyDescent="0.2">
      <c r="A2389" t="s">
        <v>4820</v>
      </c>
      <c r="B2389" t="s">
        <v>4821</v>
      </c>
      <c r="C2389" t="s">
        <v>330</v>
      </c>
      <c r="D2389" t="s">
        <v>49</v>
      </c>
      <c r="E2389" t="s">
        <v>43</v>
      </c>
      <c r="F2389" s="2" t="str">
        <f>HYPERLINK("http://www.otzar.org/book.asp?53289","אותיות דרבי עקיבא &lt;דפו""ר&gt;")</f>
        <v>אותיות דרבי עקיבא &lt;דפו"ר&gt;</v>
      </c>
    </row>
    <row r="2390" spans="1:6" x14ac:dyDescent="0.2">
      <c r="A2390" t="s">
        <v>4822</v>
      </c>
      <c r="B2390" t="s">
        <v>1385</v>
      </c>
      <c r="C2390" t="s">
        <v>334</v>
      </c>
      <c r="D2390" t="s">
        <v>646</v>
      </c>
      <c r="E2390" t="s">
        <v>933</v>
      </c>
      <c r="F2390" s="2" t="str">
        <f>HYPERLINK("http://www.otzar.org/book.asp?174053","אותיות דרבי עקיבא איגר")</f>
        <v>אותיות דרבי עקיבא איגר</v>
      </c>
    </row>
    <row r="2391" spans="1:6" x14ac:dyDescent="0.2">
      <c r="A2391" t="s">
        <v>4823</v>
      </c>
      <c r="B2391" t="s">
        <v>4821</v>
      </c>
      <c r="F2391" s="2" t="str">
        <f>HYPERLINK("http://www.otzar.org/book.asp?184996","אותיות דרבי עקיבא השלם")</f>
        <v>אותיות דרבי עקיבא השלם</v>
      </c>
    </row>
    <row r="2392" spans="1:6" x14ac:dyDescent="0.2">
      <c r="A2392" t="s">
        <v>4821</v>
      </c>
      <c r="B2392" t="s">
        <v>4821</v>
      </c>
      <c r="C2392" t="s">
        <v>473</v>
      </c>
      <c r="D2392" t="s">
        <v>27</v>
      </c>
      <c r="E2392" t="s">
        <v>43</v>
      </c>
      <c r="F2392" s="2" t="str">
        <f>HYPERLINK("http://www.otzar.org/book.asp?14752","אותיות דרבי עקיבא")</f>
        <v>אותיות דרבי עקיבא</v>
      </c>
    </row>
    <row r="2393" spans="1:6" x14ac:dyDescent="0.2">
      <c r="A2393" t="s">
        <v>4821</v>
      </c>
      <c r="B2393" t="s">
        <v>4824</v>
      </c>
      <c r="C2393" t="s">
        <v>4825</v>
      </c>
      <c r="D2393" t="s">
        <v>1117</v>
      </c>
      <c r="E2393" t="s">
        <v>43</v>
      </c>
      <c r="F2393" s="2" t="str">
        <f>HYPERLINK("http://www.otzar.org/book.asp?167053","אותיות דרבי עקיבא")</f>
        <v>אותיות דרבי עקיבא</v>
      </c>
    </row>
    <row r="2394" spans="1:6" x14ac:dyDescent="0.2">
      <c r="A2394" t="s">
        <v>4821</v>
      </c>
      <c r="B2394" t="s">
        <v>4826</v>
      </c>
      <c r="C2394" t="s">
        <v>4827</v>
      </c>
      <c r="D2394" t="s">
        <v>1667</v>
      </c>
      <c r="F2394" s="2" t="str">
        <f>HYPERLINK("http://www.otzar.org/book.asp?170107","אותיות דרבי עקיבא")</f>
        <v>אותיות דרבי עקיבא</v>
      </c>
    </row>
    <row r="2395" spans="1:6" x14ac:dyDescent="0.2">
      <c r="A2395" t="s">
        <v>4828</v>
      </c>
      <c r="B2395" t="s">
        <v>4829</v>
      </c>
      <c r="C2395" t="s">
        <v>411</v>
      </c>
      <c r="D2395" t="s">
        <v>14</v>
      </c>
      <c r="F2395" s="2" t="str">
        <f>HYPERLINK("http://www.otzar.org/book.asp?85860","אותיות האלף בית")</f>
        <v>אותיות האלף בית</v>
      </c>
    </row>
    <row r="2396" spans="1:6" x14ac:dyDescent="0.2">
      <c r="A2396" t="s">
        <v>4830</v>
      </c>
      <c r="B2396" t="s">
        <v>4831</v>
      </c>
      <c r="C2396" t="s">
        <v>20</v>
      </c>
      <c r="D2396" t="s">
        <v>657</v>
      </c>
      <c r="E2396" t="s">
        <v>714</v>
      </c>
      <c r="F2396" s="2" t="str">
        <f>HYPERLINK("http://www.otzar.org/book.asp?165027","אותיות החיים")</f>
        <v>אותיות החיים</v>
      </c>
    </row>
    <row r="2397" spans="1:6" x14ac:dyDescent="0.2">
      <c r="A2397" t="s">
        <v>4832</v>
      </c>
      <c r="B2397" t="s">
        <v>4833</v>
      </c>
      <c r="C2397" t="s">
        <v>143</v>
      </c>
      <c r="D2397" t="s">
        <v>14</v>
      </c>
      <c r="E2397" t="s">
        <v>15</v>
      </c>
      <c r="F2397" s="2" t="str">
        <f>HYPERLINK("http://www.otzar.org/book.asp?148381","אותיות הרב")</f>
        <v>אותיות הרב</v>
      </c>
    </row>
    <row r="2398" spans="1:6" x14ac:dyDescent="0.2">
      <c r="A2398" t="s">
        <v>4834</v>
      </c>
      <c r="B2398" t="s">
        <v>4835</v>
      </c>
      <c r="C2398" t="s">
        <v>23</v>
      </c>
      <c r="D2398" t="s">
        <v>1156</v>
      </c>
      <c r="E2398" t="s">
        <v>579</v>
      </c>
      <c r="F2398" s="2" t="str">
        <f>HYPERLINK("http://www.otzar.org/book.asp?189675","אותיות ומופתים בגימטריא")</f>
        <v>אותיות ומופתים בגימטריא</v>
      </c>
    </row>
    <row r="2399" spans="1:6" x14ac:dyDescent="0.2">
      <c r="A2399" t="s">
        <v>4836</v>
      </c>
      <c r="B2399" t="s">
        <v>4837</v>
      </c>
      <c r="C2399" t="s">
        <v>124</v>
      </c>
      <c r="D2399" t="s">
        <v>21</v>
      </c>
      <c r="E2399" t="s">
        <v>579</v>
      </c>
      <c r="F2399" s="2" t="str">
        <f>HYPERLINK("http://www.otzar.org/book.asp?614403","אותיות ומשמעותם במקרא - 6 כר'")</f>
        <v>אותיות ומשמעותם במקרא - 6 כר'</v>
      </c>
    </row>
    <row r="2400" spans="1:6" x14ac:dyDescent="0.2">
      <c r="A2400" t="s">
        <v>4838</v>
      </c>
      <c r="B2400" t="s">
        <v>489</v>
      </c>
      <c r="C2400" t="s">
        <v>13</v>
      </c>
      <c r="D2400" t="s">
        <v>52</v>
      </c>
      <c r="E2400" t="s">
        <v>202</v>
      </c>
      <c r="F2400" s="2" t="str">
        <f>HYPERLINK("http://www.otzar.org/book.asp?147599","אותיות למשה - 13 כר'")</f>
        <v>אותיות למשה - 13 כר'</v>
      </c>
    </row>
    <row r="2401" spans="1:6" x14ac:dyDescent="0.2">
      <c r="A2401" t="s">
        <v>4839</v>
      </c>
      <c r="B2401" t="s">
        <v>4840</v>
      </c>
      <c r="C2401" t="s">
        <v>2455</v>
      </c>
      <c r="D2401" t="s">
        <v>403</v>
      </c>
      <c r="E2401" t="s">
        <v>4104</v>
      </c>
      <c r="F2401" s="2" t="str">
        <f>HYPERLINK("http://www.otzar.org/book.asp?102592","אותיות לרבינו סעדיה")</f>
        <v>אותיות לרבינו סעדיה</v>
      </c>
    </row>
    <row r="2402" spans="1:6" x14ac:dyDescent="0.2">
      <c r="A2402" t="s">
        <v>4841</v>
      </c>
      <c r="B2402" t="s">
        <v>1728</v>
      </c>
      <c r="C2402" t="s">
        <v>422</v>
      </c>
      <c r="D2402" t="s">
        <v>273</v>
      </c>
      <c r="E2402" t="s">
        <v>104</v>
      </c>
      <c r="F2402" s="2" t="str">
        <f>HYPERLINK("http://www.otzar.org/book.asp?626863","אותיות לשון הקודש")</f>
        <v>אותיות לשון הקודש</v>
      </c>
    </row>
    <row r="2403" spans="1:6" x14ac:dyDescent="0.2">
      <c r="A2403" t="s">
        <v>4842</v>
      </c>
      <c r="B2403" t="s">
        <v>4843</v>
      </c>
      <c r="C2403" t="s">
        <v>1166</v>
      </c>
      <c r="D2403" t="s">
        <v>2545</v>
      </c>
      <c r="E2403" t="s">
        <v>158</v>
      </c>
      <c r="F2403" s="2" t="str">
        <f>HYPERLINK("http://www.otzar.org/book.asp?51682","אותיות מחכימות")</f>
        <v>אותיות מחכימות</v>
      </c>
    </row>
    <row r="2404" spans="1:6" x14ac:dyDescent="0.2">
      <c r="A2404" t="s">
        <v>4844</v>
      </c>
      <c r="B2404" t="s">
        <v>4845</v>
      </c>
      <c r="C2404" t="s">
        <v>1284</v>
      </c>
      <c r="D2404" t="s">
        <v>27</v>
      </c>
      <c r="E2404" t="s">
        <v>733</v>
      </c>
      <c r="F2404" s="2" t="str">
        <f>HYPERLINK("http://www.otzar.org/book.asp?104558","אותיות מחכימות - 2 כר'")</f>
        <v>אותיות מחכימות - 2 כר'</v>
      </c>
    </row>
    <row r="2405" spans="1:6" x14ac:dyDescent="0.2">
      <c r="A2405" t="s">
        <v>4846</v>
      </c>
      <c r="B2405" t="s">
        <v>4847</v>
      </c>
      <c r="C2405" t="s">
        <v>4848</v>
      </c>
      <c r="D2405" t="s">
        <v>260</v>
      </c>
      <c r="E2405" t="s">
        <v>104</v>
      </c>
      <c r="F2405" s="2" t="str">
        <f>HYPERLINK("http://www.otzar.org/book.asp?13584","אותיות נחות")</f>
        <v>אותיות נחות</v>
      </c>
    </row>
    <row r="2406" spans="1:6" x14ac:dyDescent="0.2">
      <c r="A2406" t="s">
        <v>4849</v>
      </c>
      <c r="B2406" t="s">
        <v>3038</v>
      </c>
      <c r="C2406" t="s">
        <v>482</v>
      </c>
      <c r="D2406" t="s">
        <v>9</v>
      </c>
      <c r="E2406" t="s">
        <v>2875</v>
      </c>
      <c r="F2406" s="2" t="str">
        <f>HYPERLINK("http://www.otzar.org/book.asp?14677","אותיות פורחות")</f>
        <v>אותיות פורחות</v>
      </c>
    </row>
    <row r="2407" spans="1:6" x14ac:dyDescent="0.2">
      <c r="A2407" t="s">
        <v>4850</v>
      </c>
      <c r="B2407" t="s">
        <v>4851</v>
      </c>
      <c r="C2407" t="s">
        <v>4827</v>
      </c>
      <c r="D2407" t="s">
        <v>1667</v>
      </c>
      <c r="F2407" s="2" t="str">
        <f>HYPERLINK("http://www.otzar.org/book.asp?170072","אותיות של רבי עקיבא")</f>
        <v>אותיות של רבי עקיבא</v>
      </c>
    </row>
    <row r="2408" spans="1:6" x14ac:dyDescent="0.2">
      <c r="A2408" t="s">
        <v>4850</v>
      </c>
      <c r="B2408" t="s">
        <v>4852</v>
      </c>
      <c r="C2408" t="s">
        <v>330</v>
      </c>
      <c r="D2408" t="s">
        <v>49</v>
      </c>
      <c r="F2408" s="2" t="str">
        <f>HYPERLINK("http://www.otzar.org/book.asp?170069","אותיות של רבי עקיבא")</f>
        <v>אותיות של רבי עקיבא</v>
      </c>
    </row>
    <row r="2409" spans="1:6" x14ac:dyDescent="0.2">
      <c r="A2409" t="s">
        <v>4853</v>
      </c>
      <c r="B2409" t="s">
        <v>4854</v>
      </c>
      <c r="C2409" t="s">
        <v>411</v>
      </c>
      <c r="D2409" t="s">
        <v>367</v>
      </c>
      <c r="E2409" t="s">
        <v>241</v>
      </c>
      <c r="F2409" s="2" t="str">
        <f>HYPERLINK("http://www.otzar.org/book.asp?605470","אותך אבקש - 3 כר'")</f>
        <v>אותך אבקש - 3 כר'</v>
      </c>
    </row>
    <row r="2410" spans="1:6" x14ac:dyDescent="0.2">
      <c r="A2410" t="s">
        <v>4855</v>
      </c>
      <c r="B2410" t="s">
        <v>4785</v>
      </c>
      <c r="C2410" t="s">
        <v>151</v>
      </c>
      <c r="D2410" t="s">
        <v>52</v>
      </c>
      <c r="E2410" t="s">
        <v>1164</v>
      </c>
      <c r="F2410" s="2" t="str">
        <f>HYPERLINK("http://www.otzar.org/book.asp?618893","אותך קויתי")</f>
        <v>אותך קויתי</v>
      </c>
    </row>
    <row r="2411" spans="1:6" x14ac:dyDescent="0.2">
      <c r="A2411" t="s">
        <v>4856</v>
      </c>
      <c r="B2411" t="s">
        <v>4857</v>
      </c>
      <c r="C2411" t="s">
        <v>4858</v>
      </c>
      <c r="D2411" t="s">
        <v>60</v>
      </c>
      <c r="E2411" t="s">
        <v>658</v>
      </c>
      <c r="F2411" s="2" t="str">
        <f>HYPERLINK("http://www.otzar.org/book.asp?63833","אותת למועדים")</f>
        <v>אותת למועדים</v>
      </c>
    </row>
    <row r="2412" spans="1:6" x14ac:dyDescent="0.2">
      <c r="A2412" t="s">
        <v>4859</v>
      </c>
      <c r="B2412" t="s">
        <v>4860</v>
      </c>
      <c r="C2412" t="s">
        <v>422</v>
      </c>
      <c r="D2412" t="s">
        <v>412</v>
      </c>
      <c r="F2412" s="2" t="str">
        <f>HYPERLINK("http://www.otzar.org/book.asp?198511","אז אמר שלמה")</f>
        <v>אז אמר שלמה</v>
      </c>
    </row>
    <row r="2413" spans="1:6" x14ac:dyDescent="0.2">
      <c r="A2413" t="s">
        <v>4861</v>
      </c>
      <c r="B2413" t="s">
        <v>4862</v>
      </c>
      <c r="C2413" t="s">
        <v>13</v>
      </c>
      <c r="D2413" t="s">
        <v>14</v>
      </c>
      <c r="E2413" t="s">
        <v>834</v>
      </c>
      <c r="F2413" s="2" t="str">
        <f>HYPERLINK("http://www.otzar.org/book.asp?61072","אז אמרתי")</f>
        <v>אז אמרתי</v>
      </c>
    </row>
    <row r="2414" spans="1:6" x14ac:dyDescent="0.2">
      <c r="A2414" t="s">
        <v>4863</v>
      </c>
      <c r="B2414" t="s">
        <v>4864</v>
      </c>
      <c r="C2414" t="s">
        <v>189</v>
      </c>
      <c r="D2414" t="s">
        <v>52</v>
      </c>
      <c r="E2414" t="s">
        <v>234</v>
      </c>
      <c r="F2414" s="2" t="str">
        <f>HYPERLINK("http://www.otzar.org/book.asp?63768","אז ברית")</f>
        <v>אז ברית</v>
      </c>
    </row>
    <row r="2415" spans="1:6" x14ac:dyDescent="0.2">
      <c r="A2415" t="s">
        <v>4865</v>
      </c>
      <c r="B2415" t="s">
        <v>4864</v>
      </c>
      <c r="C2415" t="s">
        <v>71</v>
      </c>
      <c r="D2415" t="s">
        <v>52</v>
      </c>
      <c r="E2415" t="s">
        <v>234</v>
      </c>
      <c r="F2415" s="2" t="str">
        <f>HYPERLINK("http://www.otzar.org/book.asp?63790","אז דרש")</f>
        <v>אז דרש</v>
      </c>
    </row>
    <row r="2416" spans="1:6" x14ac:dyDescent="0.2">
      <c r="A2416" t="s">
        <v>4866</v>
      </c>
      <c r="B2416" t="s">
        <v>4867</v>
      </c>
      <c r="C2416" t="s">
        <v>411</v>
      </c>
      <c r="D2416" t="s">
        <v>412</v>
      </c>
      <c r="F2416" s="2" t="str">
        <f>HYPERLINK("http://www.otzar.org/book.asp?613285","אז יאמרו - 2 כר'")</f>
        <v>אז יאמרו - 2 כר'</v>
      </c>
    </row>
    <row r="2417" spans="1:6" x14ac:dyDescent="0.2">
      <c r="A2417" t="s">
        <v>4868</v>
      </c>
      <c r="B2417" t="s">
        <v>4864</v>
      </c>
      <c r="C2417" t="s">
        <v>68</v>
      </c>
      <c r="D2417" t="s">
        <v>80</v>
      </c>
      <c r="E2417" t="s">
        <v>104</v>
      </c>
      <c r="F2417" s="2" t="str">
        <f>HYPERLINK("http://www.otzar.org/book.asp?197743","אז ירננו")</f>
        <v>אז ירננו</v>
      </c>
    </row>
    <row r="2418" spans="1:6" x14ac:dyDescent="0.2">
      <c r="A2418" t="s">
        <v>4869</v>
      </c>
      <c r="B2418" t="s">
        <v>4864</v>
      </c>
      <c r="C2418" t="s">
        <v>37</v>
      </c>
      <c r="D2418" t="s">
        <v>80</v>
      </c>
      <c r="E2418" t="s">
        <v>1164</v>
      </c>
      <c r="F2418" s="2" t="str">
        <f>HYPERLINK("http://www.otzar.org/book.asp?197741","אז ישוררו")</f>
        <v>אז ישוררו</v>
      </c>
    </row>
    <row r="2419" spans="1:6" x14ac:dyDescent="0.2">
      <c r="A2419" t="s">
        <v>4870</v>
      </c>
      <c r="B2419" t="s">
        <v>4871</v>
      </c>
      <c r="C2419" t="s">
        <v>129</v>
      </c>
      <c r="D2419" t="s">
        <v>657</v>
      </c>
      <c r="E2419" t="s">
        <v>202</v>
      </c>
      <c r="F2419" s="2" t="str">
        <f>HYPERLINK("http://www.otzar.org/book.asp?159308","אז ישיר משה")</f>
        <v>אז ישיר משה</v>
      </c>
    </row>
    <row r="2420" spans="1:6" x14ac:dyDescent="0.2">
      <c r="A2420" t="s">
        <v>4872</v>
      </c>
      <c r="B2420" t="s">
        <v>4873</v>
      </c>
      <c r="C2420" t="s">
        <v>189</v>
      </c>
      <c r="D2420" t="s">
        <v>14</v>
      </c>
      <c r="E2420" t="s">
        <v>714</v>
      </c>
      <c r="F2420" s="2" t="str">
        <f>HYPERLINK("http://www.otzar.org/book.asp?25963","אז ישיר")</f>
        <v>אז ישיר</v>
      </c>
    </row>
    <row r="2421" spans="1:6" x14ac:dyDescent="0.2">
      <c r="A2421" t="s">
        <v>4872</v>
      </c>
      <c r="B2421" t="s">
        <v>4864</v>
      </c>
      <c r="C2421" t="s">
        <v>419</v>
      </c>
      <c r="D2421" t="s">
        <v>52</v>
      </c>
      <c r="E2421" t="s">
        <v>144</v>
      </c>
      <c r="F2421" s="2" t="str">
        <f>HYPERLINK("http://www.otzar.org/book.asp?63824","אז ישיר")</f>
        <v>אז ישיר</v>
      </c>
    </row>
    <row r="2422" spans="1:6" x14ac:dyDescent="0.2">
      <c r="A2422" t="s">
        <v>4874</v>
      </c>
      <c r="B2422" t="s">
        <v>788</v>
      </c>
      <c r="C2422" t="s">
        <v>422</v>
      </c>
      <c r="D2422" t="s">
        <v>14</v>
      </c>
      <c r="E2422" t="s">
        <v>158</v>
      </c>
      <c r="F2422" s="2" t="str">
        <f>HYPERLINK("http://www.otzar.org/book.asp?158529","אז ישיר - 2 כר'")</f>
        <v>אז ישיר - 2 כר'</v>
      </c>
    </row>
    <row r="2423" spans="1:6" x14ac:dyDescent="0.2">
      <c r="A2423" t="s">
        <v>4872</v>
      </c>
      <c r="B2423" t="s">
        <v>4875</v>
      </c>
      <c r="C2423" t="s">
        <v>129</v>
      </c>
      <c r="D2423" t="s">
        <v>14</v>
      </c>
      <c r="E2423" t="s">
        <v>3798</v>
      </c>
      <c r="F2423" s="2" t="str">
        <f>HYPERLINK("http://www.otzar.org/book.asp?50590","אז ישיר")</f>
        <v>אז ישיר</v>
      </c>
    </row>
    <row r="2424" spans="1:6" x14ac:dyDescent="0.2">
      <c r="A2424" t="s">
        <v>4872</v>
      </c>
      <c r="B2424" t="s">
        <v>4876</v>
      </c>
      <c r="C2424" t="s">
        <v>176</v>
      </c>
      <c r="D2424" t="s">
        <v>412</v>
      </c>
      <c r="E2424" t="s">
        <v>463</v>
      </c>
      <c r="F2424" s="2" t="str">
        <f>HYPERLINK("http://www.otzar.org/book.asp?604231","אז ישיר")</f>
        <v>אז ישיר</v>
      </c>
    </row>
    <row r="2425" spans="1:6" x14ac:dyDescent="0.2">
      <c r="A2425" t="s">
        <v>4877</v>
      </c>
      <c r="B2425" t="s">
        <v>4878</v>
      </c>
      <c r="C2425" t="s">
        <v>151</v>
      </c>
      <c r="D2425" t="s">
        <v>412</v>
      </c>
      <c r="E2425" t="s">
        <v>246</v>
      </c>
      <c r="F2425" s="2" t="str">
        <f>HYPERLINK("http://www.otzar.org/book.asp?618876","אז ישיר - שבועות")</f>
        <v>אז ישיר - שבועות</v>
      </c>
    </row>
    <row r="2426" spans="1:6" x14ac:dyDescent="0.2">
      <c r="A2426" t="s">
        <v>4879</v>
      </c>
      <c r="B2426" t="s">
        <v>4864</v>
      </c>
      <c r="C2426" t="s">
        <v>189</v>
      </c>
      <c r="D2426" t="s">
        <v>52</v>
      </c>
      <c r="E2426" t="s">
        <v>435</v>
      </c>
      <c r="F2426" s="2" t="str">
        <f>HYPERLINK("http://www.otzar.org/book.asp?63765","אז כצבי")</f>
        <v>אז כצבי</v>
      </c>
    </row>
    <row r="2427" spans="1:6" x14ac:dyDescent="0.2">
      <c r="A2427" t="s">
        <v>4880</v>
      </c>
      <c r="B2427" t="s">
        <v>1681</v>
      </c>
      <c r="C2427" t="s">
        <v>422</v>
      </c>
      <c r="D2427" t="s">
        <v>80</v>
      </c>
      <c r="E2427" t="s">
        <v>15</v>
      </c>
      <c r="F2427" s="2" t="str">
        <f>HYPERLINK("http://www.otzar.org/book.asp?606828","אז לשון שירה")</f>
        <v>אז לשון שירה</v>
      </c>
    </row>
    <row r="2428" spans="1:6" x14ac:dyDescent="0.2">
      <c r="A2428" t="s">
        <v>4881</v>
      </c>
      <c r="B2428" t="s">
        <v>4882</v>
      </c>
      <c r="C2428" t="s">
        <v>13</v>
      </c>
      <c r="D2428" t="s">
        <v>646</v>
      </c>
      <c r="E2428" t="s">
        <v>1174</v>
      </c>
      <c r="F2428" s="2" t="str">
        <f>HYPERLINK("http://www.otzar.org/book.asp?613850","אז נדברו - 7 כר'")</f>
        <v>אז נדברו - 7 כר'</v>
      </c>
    </row>
    <row r="2429" spans="1:6" x14ac:dyDescent="0.2">
      <c r="A2429" t="s">
        <v>4883</v>
      </c>
      <c r="B2429" t="s">
        <v>4884</v>
      </c>
      <c r="C2429" t="s">
        <v>129</v>
      </c>
      <c r="D2429" t="s">
        <v>412</v>
      </c>
      <c r="E2429" t="s">
        <v>158</v>
      </c>
      <c r="F2429" s="2" t="str">
        <f>HYPERLINK("http://www.otzar.org/book.asp?177150","אז נדברו - בראשית")</f>
        <v>אז נדברו - בראשית</v>
      </c>
    </row>
    <row r="2430" spans="1:6" x14ac:dyDescent="0.2">
      <c r="A2430" t="s">
        <v>4885</v>
      </c>
      <c r="B2430" t="s">
        <v>4886</v>
      </c>
      <c r="C2430" t="s">
        <v>4887</v>
      </c>
      <c r="D2430" t="s">
        <v>52</v>
      </c>
      <c r="E2430" t="s">
        <v>154</v>
      </c>
      <c r="F2430" s="2" t="str">
        <f>HYPERLINK("http://www.otzar.org/book.asp?16640","אז נדברו - 14 כר'")</f>
        <v>אז נדברו - 14 כר'</v>
      </c>
    </row>
    <row r="2431" spans="1:6" x14ac:dyDescent="0.2">
      <c r="A2431" t="s">
        <v>4888</v>
      </c>
      <c r="B2431" t="s">
        <v>4889</v>
      </c>
      <c r="C2431" t="s">
        <v>68</v>
      </c>
      <c r="D2431" t="s">
        <v>412</v>
      </c>
      <c r="E2431" t="s">
        <v>1174</v>
      </c>
      <c r="F2431" s="2" t="str">
        <f>HYPERLINK("http://www.otzar.org/book.asp?628604","אז נדברו - 5 כר'")</f>
        <v>אז נדברו - 5 כר'</v>
      </c>
    </row>
    <row r="2432" spans="1:6" x14ac:dyDescent="0.2">
      <c r="A2432" t="s">
        <v>4890</v>
      </c>
      <c r="B2432" t="s">
        <v>4891</v>
      </c>
      <c r="C2432" t="s">
        <v>4892</v>
      </c>
      <c r="E2432" t="s">
        <v>1174</v>
      </c>
      <c r="F2432" s="2" t="str">
        <f>HYPERLINK("http://www.otzar.org/book.asp?605864","אז נדברו - 42 כר'")</f>
        <v>אז נדברו - 42 כר'</v>
      </c>
    </row>
    <row r="2433" spans="1:6" x14ac:dyDescent="0.2">
      <c r="A2433" t="s">
        <v>4893</v>
      </c>
      <c r="B2433" t="s">
        <v>4864</v>
      </c>
      <c r="C2433" t="s">
        <v>68</v>
      </c>
      <c r="D2433" t="s">
        <v>80</v>
      </c>
      <c r="E2433" t="s">
        <v>15</v>
      </c>
      <c r="F2433" s="2" t="str">
        <f>HYPERLINK("http://www.otzar.org/book.asp?197736","אז נצטוו")</f>
        <v>אז נצטוו</v>
      </c>
    </row>
    <row r="2434" spans="1:6" x14ac:dyDescent="0.2">
      <c r="A2434" t="s">
        <v>4894</v>
      </c>
      <c r="B2434" t="s">
        <v>4895</v>
      </c>
      <c r="C2434" t="s">
        <v>68</v>
      </c>
      <c r="D2434" t="s">
        <v>486</v>
      </c>
      <c r="E2434" t="s">
        <v>172</v>
      </c>
      <c r="F2434" s="2" t="str">
        <f>HYPERLINK("http://www.otzar.org/book.asp?161904","אז ראה ויספרה")</f>
        <v>אז ראה ויספרה</v>
      </c>
    </row>
    <row r="2435" spans="1:6" x14ac:dyDescent="0.2">
      <c r="A2435" t="s">
        <v>4896</v>
      </c>
      <c r="B2435" t="s">
        <v>4864</v>
      </c>
      <c r="C2435" t="s">
        <v>17</v>
      </c>
      <c r="D2435" t="s">
        <v>52</v>
      </c>
      <c r="E2435" t="s">
        <v>234</v>
      </c>
      <c r="F2435" s="2" t="str">
        <f>HYPERLINK("http://www.otzar.org/book.asp?63767","אז שמח")</f>
        <v>אז שמח</v>
      </c>
    </row>
    <row r="2436" spans="1:6" x14ac:dyDescent="0.2">
      <c r="A2436" t="s">
        <v>4897</v>
      </c>
      <c r="B2436" t="s">
        <v>4898</v>
      </c>
      <c r="C2436" t="s">
        <v>146</v>
      </c>
      <c r="D2436" t="s">
        <v>412</v>
      </c>
      <c r="F2436" s="2" t="str">
        <f>HYPERLINK("http://www.otzar.org/book.asp?198319","אז תשכיל - 2 כר'")</f>
        <v>אז תשכיל - 2 כר'</v>
      </c>
    </row>
    <row r="2437" spans="1:6" x14ac:dyDescent="0.2">
      <c r="A2437" t="s">
        <v>4899</v>
      </c>
      <c r="B2437" t="s">
        <v>4900</v>
      </c>
      <c r="C2437" t="s">
        <v>20</v>
      </c>
      <c r="D2437" t="s">
        <v>4901</v>
      </c>
      <c r="E2437" t="s">
        <v>144</v>
      </c>
      <c r="F2437" s="2" t="str">
        <f>HYPERLINK("http://www.otzar.org/book.asp?103954","אז תשמח")</f>
        <v>אז תשמח</v>
      </c>
    </row>
    <row r="2438" spans="1:6" x14ac:dyDescent="0.2">
      <c r="A2438" t="s">
        <v>4902</v>
      </c>
      <c r="B2438" t="s">
        <v>4903</v>
      </c>
      <c r="C2438" t="s">
        <v>133</v>
      </c>
      <c r="D2438" t="s">
        <v>367</v>
      </c>
      <c r="E2438" t="s">
        <v>15</v>
      </c>
      <c r="F2438" s="2" t="str">
        <f>HYPERLINK("http://www.otzar.org/book.asp?175571","אזהרה לכהנים")</f>
        <v>אזהרה לכהנים</v>
      </c>
    </row>
    <row r="2439" spans="1:6" x14ac:dyDescent="0.2">
      <c r="A2439" t="s">
        <v>4904</v>
      </c>
      <c r="B2439" t="s">
        <v>4904</v>
      </c>
      <c r="C2439" t="s">
        <v>20</v>
      </c>
      <c r="D2439" t="s">
        <v>2347</v>
      </c>
      <c r="E2439" t="s">
        <v>4738</v>
      </c>
      <c r="F2439" s="2" t="str">
        <f>HYPERLINK("http://www.otzar.org/book.asp?300218","אזהרה")</f>
        <v>אזהרה</v>
      </c>
    </row>
    <row r="2440" spans="1:6" x14ac:dyDescent="0.2">
      <c r="A2440" t="s">
        <v>4905</v>
      </c>
      <c r="B2440" t="s">
        <v>4906</v>
      </c>
      <c r="C2440" t="s">
        <v>4907</v>
      </c>
      <c r="D2440" t="s">
        <v>49</v>
      </c>
      <c r="E2440" t="s">
        <v>219</v>
      </c>
      <c r="F2440" s="2" t="str">
        <f>HYPERLINK("http://www.otzar.org/book.asp?62169","אזהרות &lt;פתיל תכלת&gt;")</f>
        <v>אזהרות &lt;פתיל תכלת&gt;</v>
      </c>
    </row>
    <row r="2441" spans="1:6" x14ac:dyDescent="0.2">
      <c r="A2441" t="s">
        <v>4908</v>
      </c>
      <c r="B2441" t="s">
        <v>4909</v>
      </c>
      <c r="C2441" t="s">
        <v>4910</v>
      </c>
      <c r="D2441" t="s">
        <v>212</v>
      </c>
      <c r="E2441" t="s">
        <v>219</v>
      </c>
      <c r="F2441" s="2" t="str">
        <f>HYPERLINK("http://www.otzar.org/book.asp?84655","אזהרות &lt;ישיר משה&gt;")</f>
        <v>אזהרות &lt;ישיר משה&gt;</v>
      </c>
    </row>
    <row r="2442" spans="1:6" x14ac:dyDescent="0.2">
      <c r="A2442" t="s">
        <v>4911</v>
      </c>
      <c r="B2442" t="s">
        <v>4912</v>
      </c>
      <c r="C2442" t="s">
        <v>1268</v>
      </c>
      <c r="D2442" t="s">
        <v>21</v>
      </c>
      <c r="E2442" t="s">
        <v>1517</v>
      </c>
      <c r="F2442" s="2" t="str">
        <f>HYPERLINK("http://www.otzar.org/book.asp?196645","אזהרות להרב שמואל אלבז")</f>
        <v>אזהרות להרב שמואל אלבז</v>
      </c>
    </row>
    <row r="2443" spans="1:6" x14ac:dyDescent="0.2">
      <c r="A2443" t="s">
        <v>4913</v>
      </c>
      <c r="B2443" t="s">
        <v>4914</v>
      </c>
      <c r="C2443" t="s">
        <v>492</v>
      </c>
      <c r="D2443" t="s">
        <v>283</v>
      </c>
      <c r="E2443" t="s">
        <v>1517</v>
      </c>
      <c r="F2443" s="2" t="str">
        <f>HYPERLINK("http://www.otzar.org/book.asp?10511","אזהרות לחג השבועות לרבינו אליהו זקן &lt;הידור זקן&gt;")</f>
        <v>אזהרות לחג השבועות לרבינו אליהו זקן &lt;הידור זקן&gt;</v>
      </c>
    </row>
    <row r="2444" spans="1:6" x14ac:dyDescent="0.2">
      <c r="A2444" t="s">
        <v>4915</v>
      </c>
      <c r="B2444" t="s">
        <v>4916</v>
      </c>
      <c r="C2444" t="s">
        <v>103</v>
      </c>
      <c r="D2444" t="s">
        <v>14</v>
      </c>
      <c r="E2444" t="s">
        <v>219</v>
      </c>
      <c r="F2444" s="2" t="str">
        <f>HYPERLINK("http://www.otzar.org/book.asp?618742","אזהרות לרבינו שלמה בן גבירול עם זוהר הרקיע &lt;זיו הזהר&gt;")</f>
        <v>אזהרות לרבינו שלמה בן גבירול עם זוהר הרקיע &lt;זיו הזהר&gt;</v>
      </c>
    </row>
    <row r="2445" spans="1:6" x14ac:dyDescent="0.2">
      <c r="A2445" t="s">
        <v>4917</v>
      </c>
      <c r="B2445" t="s">
        <v>4918</v>
      </c>
      <c r="C2445" t="s">
        <v>13</v>
      </c>
      <c r="D2445" t="s">
        <v>4919</v>
      </c>
      <c r="E2445" t="s">
        <v>219</v>
      </c>
      <c r="F2445" s="2" t="str">
        <f>HYPERLINK("http://www.otzar.org/book.asp?63974","אזהרות לשבועות &lt;שמע אברהם&gt;")</f>
        <v>אזהרות לשבועות &lt;שמע אברהם&gt;</v>
      </c>
    </row>
    <row r="2446" spans="1:6" x14ac:dyDescent="0.2">
      <c r="A2446" t="s">
        <v>4920</v>
      </c>
      <c r="B2446" t="s">
        <v>4921</v>
      </c>
      <c r="C2446" t="s">
        <v>37</v>
      </c>
      <c r="D2446" t="s">
        <v>52</v>
      </c>
      <c r="E2446" t="s">
        <v>219</v>
      </c>
      <c r="F2446" s="2" t="str">
        <f>HYPERLINK("http://www.otzar.org/book.asp?182525","אזהרות על סדר עשרת הדברות &lt;אוסף לקח&gt;")</f>
        <v>אזהרות על סדר עשרת הדברות &lt;אוסף לקח&gt;</v>
      </c>
    </row>
    <row r="2447" spans="1:6" x14ac:dyDescent="0.2">
      <c r="A2447" t="s">
        <v>4922</v>
      </c>
      <c r="B2447" t="s">
        <v>4923</v>
      </c>
      <c r="C2447" t="s">
        <v>1619</v>
      </c>
      <c r="D2447" t="s">
        <v>14</v>
      </c>
      <c r="E2447" t="s">
        <v>674</v>
      </c>
      <c r="F2447" s="2" t="str">
        <f>HYPERLINK("http://www.otzar.org/book.asp?145067","אזהרות רבינו אליהו הזקן עם ביאור מתק אזהרות")</f>
        <v>אזהרות רבינו אליהו הזקן עם ביאור מתק אזהרות</v>
      </c>
    </row>
    <row r="2448" spans="1:6" x14ac:dyDescent="0.2">
      <c r="A2448" t="s">
        <v>4924</v>
      </c>
      <c r="B2448" t="s">
        <v>4925</v>
      </c>
      <c r="C2448" t="s">
        <v>4926</v>
      </c>
      <c r="D2448" t="s">
        <v>49</v>
      </c>
      <c r="E2448" t="s">
        <v>219</v>
      </c>
      <c r="F2448" s="2" t="str">
        <f>HYPERLINK("http://www.otzar.org/book.asp?146883","אזהרות")</f>
        <v>אזהרות</v>
      </c>
    </row>
    <row r="2449" spans="1:6" x14ac:dyDescent="0.2">
      <c r="A2449" t="s">
        <v>4924</v>
      </c>
      <c r="B2449" t="s">
        <v>4909</v>
      </c>
      <c r="C2449" t="s">
        <v>3709</v>
      </c>
      <c r="D2449" t="s">
        <v>212</v>
      </c>
      <c r="E2449" t="s">
        <v>1517</v>
      </c>
      <c r="F2449" s="2" t="str">
        <f>HYPERLINK("http://www.otzar.org/book.asp?5307","אזהרות")</f>
        <v>אזהרות</v>
      </c>
    </row>
    <row r="2450" spans="1:6" x14ac:dyDescent="0.2">
      <c r="A2450" t="s">
        <v>4924</v>
      </c>
      <c r="B2450" t="s">
        <v>4927</v>
      </c>
      <c r="C2450" t="s">
        <v>1885</v>
      </c>
      <c r="D2450" t="s">
        <v>14</v>
      </c>
      <c r="E2450" t="s">
        <v>219</v>
      </c>
      <c r="F2450" s="2" t="str">
        <f>HYPERLINK("http://www.otzar.org/book.asp?300212","אזהרות")</f>
        <v>אזהרות</v>
      </c>
    </row>
    <row r="2451" spans="1:6" x14ac:dyDescent="0.2">
      <c r="A2451" t="s">
        <v>4928</v>
      </c>
      <c r="B2451" t="s">
        <v>4925</v>
      </c>
      <c r="C2451" t="s">
        <v>1981</v>
      </c>
      <c r="D2451" t="s">
        <v>212</v>
      </c>
      <c r="E2451" t="s">
        <v>1517</v>
      </c>
      <c r="F2451" s="2" t="str">
        <f>HYPERLINK("http://www.otzar.org/book.asp?166859","אזהרת הקדש")</f>
        <v>אזהרת הקדש</v>
      </c>
    </row>
    <row r="2452" spans="1:6" x14ac:dyDescent="0.2">
      <c r="A2452" t="s">
        <v>4929</v>
      </c>
      <c r="B2452" t="s">
        <v>4930</v>
      </c>
      <c r="C2452" t="s">
        <v>4931</v>
      </c>
      <c r="D2452" t="s">
        <v>2303</v>
      </c>
      <c r="E2452" t="s">
        <v>714</v>
      </c>
      <c r="F2452" s="2" t="str">
        <f>HYPERLINK("http://www.otzar.org/book.asp?169254","אזהרת הקודש")</f>
        <v>אזהרת הקודש</v>
      </c>
    </row>
    <row r="2453" spans="1:6" x14ac:dyDescent="0.2">
      <c r="A2453" t="s">
        <v>4932</v>
      </c>
      <c r="B2453" t="s">
        <v>3854</v>
      </c>
      <c r="C2453" t="s">
        <v>4933</v>
      </c>
      <c r="D2453" t="s">
        <v>4934</v>
      </c>
      <c r="E2453" t="s">
        <v>213</v>
      </c>
      <c r="F2453" s="2" t="str">
        <f>HYPERLINK("http://www.otzar.org/book.asp?146933","אזהרת נשים")</f>
        <v>אזהרת נשים</v>
      </c>
    </row>
    <row r="2454" spans="1:6" x14ac:dyDescent="0.2">
      <c r="A2454" t="s">
        <v>4935</v>
      </c>
      <c r="B2454" t="s">
        <v>4936</v>
      </c>
      <c r="C2454" t="s">
        <v>20</v>
      </c>
      <c r="D2454" t="s">
        <v>14</v>
      </c>
      <c r="E2454" t="s">
        <v>4937</v>
      </c>
      <c r="F2454" s="2" t="str">
        <f>HYPERLINK("http://www.otzar.org/book.asp?5286","אזהרת שבת - 3 כר'")</f>
        <v>אזהרת שבת - 3 כר'</v>
      </c>
    </row>
    <row r="2455" spans="1:6" x14ac:dyDescent="0.2">
      <c r="A2455" t="s">
        <v>4938</v>
      </c>
      <c r="B2455" t="s">
        <v>1112</v>
      </c>
      <c r="C2455" t="s">
        <v>1706</v>
      </c>
      <c r="D2455" t="s">
        <v>27</v>
      </c>
      <c r="E2455" t="s">
        <v>674</v>
      </c>
      <c r="F2455" s="2" t="str">
        <f>HYPERLINK("http://www.otzar.org/book.asp?100290","אזור אליהו")</f>
        <v>אזור אליהו</v>
      </c>
    </row>
    <row r="2456" spans="1:6" x14ac:dyDescent="0.2">
      <c r="A2456" t="s">
        <v>4938</v>
      </c>
      <c r="B2456" t="s">
        <v>4939</v>
      </c>
      <c r="C2456" t="s">
        <v>1047</v>
      </c>
      <c r="D2456" t="s">
        <v>267</v>
      </c>
      <c r="E2456" t="s">
        <v>4940</v>
      </c>
      <c r="F2456" s="2" t="str">
        <f>HYPERLINK("http://www.otzar.org/book.asp?7225","אזור אליהו")</f>
        <v>אזור אליהו</v>
      </c>
    </row>
    <row r="2457" spans="1:6" x14ac:dyDescent="0.2">
      <c r="A2457" t="s">
        <v>4938</v>
      </c>
      <c r="B2457" t="s">
        <v>4941</v>
      </c>
      <c r="C2457" t="s">
        <v>1718</v>
      </c>
      <c r="D2457" t="s">
        <v>283</v>
      </c>
      <c r="E2457" t="s">
        <v>158</v>
      </c>
      <c r="F2457" s="2" t="str">
        <f>HYPERLINK("http://www.otzar.org/book.asp?15800","אזור אליהו")</f>
        <v>אזור אליהו</v>
      </c>
    </row>
    <row r="2458" spans="1:6" x14ac:dyDescent="0.2">
      <c r="A2458" t="s">
        <v>4942</v>
      </c>
      <c r="B2458" t="s">
        <v>4943</v>
      </c>
      <c r="C2458" t="s">
        <v>946</v>
      </c>
      <c r="D2458" t="s">
        <v>756</v>
      </c>
      <c r="E2458" t="s">
        <v>241</v>
      </c>
      <c r="F2458" s="2" t="str">
        <f>HYPERLINK("http://www.otzar.org/book.asp?300268","אזור האמונה")</f>
        <v>אזור האמונה</v>
      </c>
    </row>
    <row r="2459" spans="1:6" x14ac:dyDescent="0.2">
      <c r="A2459" t="s">
        <v>4944</v>
      </c>
      <c r="B2459" t="s">
        <v>4945</v>
      </c>
      <c r="C2459" t="s">
        <v>496</v>
      </c>
      <c r="D2459" t="s">
        <v>225</v>
      </c>
      <c r="E2459" t="s">
        <v>158</v>
      </c>
      <c r="F2459" s="2" t="str">
        <f>HYPERLINK("http://www.otzar.org/book.asp?17171","אזור הצבי")</f>
        <v>אזור הצבי</v>
      </c>
    </row>
    <row r="2460" spans="1:6" x14ac:dyDescent="0.2">
      <c r="A2460" t="s">
        <v>4946</v>
      </c>
      <c r="B2460" t="s">
        <v>4947</v>
      </c>
      <c r="C2460" t="s">
        <v>956</v>
      </c>
      <c r="D2460" t="s">
        <v>216</v>
      </c>
      <c r="E2460" t="s">
        <v>246</v>
      </c>
      <c r="F2460" s="2" t="str">
        <f>HYPERLINK("http://www.otzar.org/book.asp?84163","אזכרה מצוק")</f>
        <v>אזכרה מצוק</v>
      </c>
    </row>
    <row r="2461" spans="1:6" x14ac:dyDescent="0.2">
      <c r="A2461" t="s">
        <v>4948</v>
      </c>
      <c r="B2461" t="s">
        <v>4949</v>
      </c>
      <c r="C2461" t="s">
        <v>454</v>
      </c>
      <c r="D2461" t="s">
        <v>14</v>
      </c>
      <c r="E2461" t="s">
        <v>119</v>
      </c>
      <c r="F2461" s="2" t="str">
        <f>HYPERLINK("http://www.otzar.org/book.asp?188758","אזמ""ר בשבחין - תולדות ריא""ז מרגליות, שאל אביך")</f>
        <v>אזמ"ר בשבחין - תולדות ריא"ז מרגליות, שאל אביך</v>
      </c>
    </row>
    <row r="2462" spans="1:6" x14ac:dyDescent="0.2">
      <c r="A2462" t="s">
        <v>4950</v>
      </c>
      <c r="B2462" t="s">
        <v>4951</v>
      </c>
      <c r="C2462" t="s">
        <v>20</v>
      </c>
      <c r="D2462" t="s">
        <v>14</v>
      </c>
      <c r="E2462" t="s">
        <v>219</v>
      </c>
      <c r="F2462" s="2" t="str">
        <f>HYPERLINK("http://www.otzar.org/book.asp?165326","אזמר בשבחין - נר יצחק")</f>
        <v>אזמר בשבחין - נר יצחק</v>
      </c>
    </row>
    <row r="2463" spans="1:6" x14ac:dyDescent="0.2">
      <c r="A2463" t="s">
        <v>4952</v>
      </c>
      <c r="B2463" t="s">
        <v>4953</v>
      </c>
      <c r="C2463" t="s">
        <v>422</v>
      </c>
      <c r="D2463" t="s">
        <v>14</v>
      </c>
      <c r="F2463" s="2" t="str">
        <f>HYPERLINK("http://www.otzar.org/book.asp?614687","אזמר בשבחין - זמירות לשבת קודש מפורשות ומבוארות")</f>
        <v>אזמר בשבחין - זמירות לשבת קודש מפורשות ומבוארות</v>
      </c>
    </row>
    <row r="2464" spans="1:6" x14ac:dyDescent="0.2">
      <c r="A2464" t="s">
        <v>4954</v>
      </c>
      <c r="B2464" t="s">
        <v>686</v>
      </c>
      <c r="C2464" t="s">
        <v>23</v>
      </c>
      <c r="D2464" t="s">
        <v>52</v>
      </c>
      <c r="F2464" s="2" t="str">
        <f>HYPERLINK("http://www.otzar.org/book.asp?189701","אזמרה שמך")</f>
        <v>אזמרה שמך</v>
      </c>
    </row>
    <row r="2465" spans="1:6" x14ac:dyDescent="0.2">
      <c r="A2465" t="s">
        <v>4955</v>
      </c>
      <c r="B2465" t="s">
        <v>4956</v>
      </c>
      <c r="C2465" t="s">
        <v>17</v>
      </c>
      <c r="D2465" t="s">
        <v>14</v>
      </c>
      <c r="E2465" t="s">
        <v>140</v>
      </c>
      <c r="F2465" s="2" t="str">
        <f>HYPERLINK("http://www.otzar.org/book.asp?182255","אזמרה")</f>
        <v>אזמרה</v>
      </c>
    </row>
    <row r="2466" spans="1:6" x14ac:dyDescent="0.2">
      <c r="A2466" t="s">
        <v>4957</v>
      </c>
      <c r="B2466" t="s">
        <v>4958</v>
      </c>
      <c r="C2466" t="s">
        <v>624</v>
      </c>
      <c r="D2466" t="s">
        <v>27</v>
      </c>
      <c r="F2466" s="2" t="str">
        <f>HYPERLINK("http://www.otzar.org/book.asp?631535","אזן אהרן &lt;מהדורה חדשה&gt;")</f>
        <v>אזן אהרן &lt;מהדורה חדשה&gt;</v>
      </c>
    </row>
    <row r="2467" spans="1:6" x14ac:dyDescent="0.2">
      <c r="A2467" t="s">
        <v>4959</v>
      </c>
      <c r="B2467" t="s">
        <v>4958</v>
      </c>
      <c r="C2467" t="s">
        <v>896</v>
      </c>
      <c r="D2467" t="s">
        <v>27</v>
      </c>
      <c r="E2467" t="s">
        <v>104</v>
      </c>
      <c r="F2467" s="2" t="str">
        <f>HYPERLINK("http://www.otzar.org/book.asp?100292","אזן אהרן - 2 כר'")</f>
        <v>אזן אהרן - 2 כר'</v>
      </c>
    </row>
    <row r="2468" spans="1:6" x14ac:dyDescent="0.2">
      <c r="A2468" t="s">
        <v>4960</v>
      </c>
      <c r="B2468" t="s">
        <v>4961</v>
      </c>
      <c r="C2468" t="s">
        <v>20</v>
      </c>
      <c r="D2468" t="s">
        <v>90</v>
      </c>
      <c r="F2468" s="2" t="str">
        <f>HYPERLINK("http://www.otzar.org/book.asp?199165","אזני יהושע &lt;מהדורה חדשה&gt; - 4 כר'")</f>
        <v>אזני יהושע &lt;מהדורה חדשה&gt; - 4 כר'</v>
      </c>
    </row>
    <row r="2469" spans="1:6" x14ac:dyDescent="0.2">
      <c r="A2469" t="s">
        <v>4962</v>
      </c>
      <c r="B2469" t="s">
        <v>4961</v>
      </c>
      <c r="C2469" t="s">
        <v>4963</v>
      </c>
      <c r="D2469" t="s">
        <v>1490</v>
      </c>
      <c r="E2469" t="s">
        <v>234</v>
      </c>
      <c r="F2469" s="2" t="str">
        <f>HYPERLINK("http://www.otzar.org/book.asp?15707","אזני יהושע")</f>
        <v>אזני יהושע</v>
      </c>
    </row>
    <row r="2470" spans="1:6" x14ac:dyDescent="0.2">
      <c r="A2470" t="s">
        <v>4962</v>
      </c>
      <c r="B2470" t="s">
        <v>4964</v>
      </c>
      <c r="C2470" t="s">
        <v>1619</v>
      </c>
      <c r="D2470" t="s">
        <v>14</v>
      </c>
      <c r="E2470" t="s">
        <v>325</v>
      </c>
      <c r="F2470" s="2" t="str">
        <f>HYPERLINK("http://www.otzar.org/book.asp?61378","אזני יהושע")</f>
        <v>אזני יהושע</v>
      </c>
    </row>
    <row r="2471" spans="1:6" x14ac:dyDescent="0.2">
      <c r="A2471" t="s">
        <v>4962</v>
      </c>
      <c r="B2471" t="s">
        <v>4965</v>
      </c>
      <c r="C2471" t="s">
        <v>473</v>
      </c>
      <c r="D2471" t="s">
        <v>27</v>
      </c>
      <c r="E2471" t="s">
        <v>154</v>
      </c>
      <c r="F2471" s="2" t="str">
        <f>HYPERLINK("http://www.otzar.org/book.asp?108764","אזני יהושע")</f>
        <v>אזני יהושע</v>
      </c>
    </row>
    <row r="2472" spans="1:6" x14ac:dyDescent="0.2">
      <c r="A2472" t="s">
        <v>4966</v>
      </c>
      <c r="B2472" t="s">
        <v>4967</v>
      </c>
      <c r="C2472" t="s">
        <v>4968</v>
      </c>
      <c r="D2472" t="s">
        <v>21</v>
      </c>
      <c r="E2472" t="s">
        <v>158</v>
      </c>
      <c r="F2472" s="2" t="str">
        <f>HYPERLINK("http://www.otzar.org/book.asp?7216","אזנים לתורה - 5 כר'")</f>
        <v>אזנים לתורה - 5 כר'</v>
      </c>
    </row>
    <row r="2473" spans="1:6" x14ac:dyDescent="0.2">
      <c r="A2473" t="s">
        <v>4969</v>
      </c>
      <c r="B2473" t="s">
        <v>4970</v>
      </c>
      <c r="C2473" t="s">
        <v>244</v>
      </c>
      <c r="D2473" t="s">
        <v>21</v>
      </c>
      <c r="E2473" t="s">
        <v>241</v>
      </c>
      <c r="F2473" s="2" t="str">
        <f>HYPERLINK("http://www.otzar.org/book.asp?606884","אזעקת אמת")</f>
        <v>אזעקת אמת</v>
      </c>
    </row>
    <row r="2474" spans="1:6" x14ac:dyDescent="0.2">
      <c r="A2474" t="s">
        <v>4969</v>
      </c>
      <c r="B2474" t="s">
        <v>4971</v>
      </c>
      <c r="C2474" t="s">
        <v>20</v>
      </c>
      <c r="D2474" t="s">
        <v>52</v>
      </c>
      <c r="E2474" t="s">
        <v>241</v>
      </c>
      <c r="F2474" s="2" t="str">
        <f>HYPERLINK("http://www.otzar.org/book.asp?623304","אזעקת אמת")</f>
        <v>אזעקת אמת</v>
      </c>
    </row>
    <row r="2475" spans="1:6" x14ac:dyDescent="0.2">
      <c r="A2475" t="s">
        <v>4972</v>
      </c>
      <c r="B2475" t="s">
        <v>4973</v>
      </c>
      <c r="C2475" t="s">
        <v>75</v>
      </c>
      <c r="D2475" t="s">
        <v>1422</v>
      </c>
      <c r="E2475" t="s">
        <v>119</v>
      </c>
      <c r="F2475" s="2" t="str">
        <f>HYPERLINK("http://www.otzar.org/book.asp?107004","אזרח רענן")</f>
        <v>אזרח רענן</v>
      </c>
    </row>
    <row r="2476" spans="1:6" x14ac:dyDescent="0.2">
      <c r="A2476" t="s">
        <v>4974</v>
      </c>
      <c r="B2476" t="s">
        <v>4975</v>
      </c>
      <c r="C2476" t="s">
        <v>725</v>
      </c>
      <c r="D2476" t="s">
        <v>699</v>
      </c>
      <c r="E2476" t="s">
        <v>674</v>
      </c>
      <c r="F2476" s="2" t="str">
        <f>HYPERLINK("http://www.otzar.org/book.asp?17172","אח לצרה")</f>
        <v>אח לצרה</v>
      </c>
    </row>
    <row r="2477" spans="1:6" x14ac:dyDescent="0.2">
      <c r="A2477" t="s">
        <v>4976</v>
      </c>
      <c r="B2477" t="s">
        <v>4977</v>
      </c>
      <c r="C2477" t="s">
        <v>20</v>
      </c>
      <c r="D2477" t="s">
        <v>14</v>
      </c>
      <c r="E2477" t="s">
        <v>4022</v>
      </c>
      <c r="F2477" s="2" t="str">
        <f>HYPERLINK("http://www.otzar.org/book.asp?153433","אחד אני יודע")</f>
        <v>אחד אני יודע</v>
      </c>
    </row>
    <row r="2478" spans="1:6" x14ac:dyDescent="0.2">
      <c r="A2478" t="s">
        <v>4978</v>
      </c>
      <c r="B2478" t="s">
        <v>4979</v>
      </c>
      <c r="C2478" t="s">
        <v>20</v>
      </c>
      <c r="D2478" t="s">
        <v>4478</v>
      </c>
      <c r="E2478" t="s">
        <v>158</v>
      </c>
      <c r="F2478" s="2" t="str">
        <f>HYPERLINK("http://www.otzar.org/book.asp?63129","אחד היה אברהם")</f>
        <v>אחד היה אברהם</v>
      </c>
    </row>
    <row r="2479" spans="1:6" x14ac:dyDescent="0.2">
      <c r="A2479" t="s">
        <v>4978</v>
      </c>
      <c r="B2479" t="s">
        <v>4980</v>
      </c>
      <c r="C2479" t="s">
        <v>366</v>
      </c>
      <c r="D2479" t="s">
        <v>14</v>
      </c>
      <c r="F2479" s="2" t="str">
        <f>HYPERLINK("http://www.otzar.org/book.asp?613034","אחד היה אברהם")</f>
        <v>אחד היה אברהם</v>
      </c>
    </row>
    <row r="2480" spans="1:6" x14ac:dyDescent="0.2">
      <c r="A2480" t="s">
        <v>4981</v>
      </c>
      <c r="B2480" t="s">
        <v>4982</v>
      </c>
      <c r="C2480" t="s">
        <v>366</v>
      </c>
      <c r="D2480" t="s">
        <v>52</v>
      </c>
      <c r="F2480" s="2" t="str">
        <f>HYPERLINK("http://www.otzar.org/book.asp?611873","אחד היה אברהם - א")</f>
        <v>אחד היה אברהם - א</v>
      </c>
    </row>
    <row r="2481" spans="1:6" x14ac:dyDescent="0.2">
      <c r="A2481" t="s">
        <v>4983</v>
      </c>
      <c r="B2481" t="s">
        <v>3549</v>
      </c>
      <c r="C2481" t="s">
        <v>411</v>
      </c>
      <c r="D2481" t="s">
        <v>14</v>
      </c>
      <c r="E2481" t="s">
        <v>119</v>
      </c>
      <c r="F2481" s="2" t="str">
        <f>HYPERLINK("http://www.otzar.org/book.asp?173784","אחד מל""ו")</f>
        <v>אחד מל"ו</v>
      </c>
    </row>
    <row r="2482" spans="1:6" x14ac:dyDescent="0.2">
      <c r="A2482" t="s">
        <v>4984</v>
      </c>
      <c r="B2482" t="s">
        <v>3652</v>
      </c>
      <c r="C2482" t="s">
        <v>129</v>
      </c>
      <c r="D2482" t="s">
        <v>14</v>
      </c>
      <c r="E2482" t="s">
        <v>241</v>
      </c>
      <c r="F2482" s="2" t="str">
        <f>HYPERLINK("http://www.otzar.org/book.asp?64316","אחד מלך העולם")</f>
        <v>אחד מלך העולם</v>
      </c>
    </row>
    <row r="2483" spans="1:6" x14ac:dyDescent="0.2">
      <c r="A2483" t="s">
        <v>4985</v>
      </c>
      <c r="B2483" t="s">
        <v>4986</v>
      </c>
      <c r="C2483" t="s">
        <v>244</v>
      </c>
      <c r="D2483" t="s">
        <v>90</v>
      </c>
      <c r="F2483" s="2" t="str">
        <f>HYPERLINK("http://www.otzar.org/book.asp?198148","אחדות ישראל - 2 כר'")</f>
        <v>אחדות ישראל - 2 כר'</v>
      </c>
    </row>
    <row r="2484" spans="1:6" x14ac:dyDescent="0.2">
      <c r="A2484" t="s">
        <v>4987</v>
      </c>
      <c r="B2484" t="s">
        <v>4988</v>
      </c>
      <c r="C2484" t="s">
        <v>20</v>
      </c>
      <c r="D2484" t="s">
        <v>52</v>
      </c>
      <c r="F2484" s="2" t="str">
        <f>HYPERLINK("http://www.otzar.org/book.asp?153414","אחדות ישראל")</f>
        <v>אחדות ישראל</v>
      </c>
    </row>
    <row r="2485" spans="1:6" x14ac:dyDescent="0.2">
      <c r="A2485" t="s">
        <v>4989</v>
      </c>
      <c r="B2485" t="s">
        <v>2667</v>
      </c>
      <c r="C2485" t="s">
        <v>146</v>
      </c>
      <c r="D2485" t="s">
        <v>245</v>
      </c>
      <c r="F2485" s="2" t="str">
        <f>HYPERLINK("http://www.otzar.org/book.asp?198688","אחוה דעי - 3 כר'")</f>
        <v>אחוה דעי - 3 כר'</v>
      </c>
    </row>
    <row r="2486" spans="1:6" x14ac:dyDescent="0.2">
      <c r="A2486" t="s">
        <v>4990</v>
      </c>
      <c r="B2486" t="s">
        <v>4991</v>
      </c>
      <c r="C2486" t="s">
        <v>624</v>
      </c>
      <c r="D2486" t="s">
        <v>14</v>
      </c>
      <c r="E2486" t="s">
        <v>213</v>
      </c>
      <c r="F2486" s="2" t="str">
        <f>HYPERLINK("http://www.otzar.org/book.asp?6086","אחוה והשפעה")</f>
        <v>אחוה והשפעה</v>
      </c>
    </row>
    <row r="2487" spans="1:6" x14ac:dyDescent="0.2">
      <c r="A2487" t="s">
        <v>4992</v>
      </c>
      <c r="B2487" t="s">
        <v>4993</v>
      </c>
      <c r="C2487" t="s">
        <v>103</v>
      </c>
      <c r="D2487" t="s">
        <v>14</v>
      </c>
      <c r="E2487" t="s">
        <v>933</v>
      </c>
      <c r="F2487" s="2" t="str">
        <f>HYPERLINK("http://www.otzar.org/book.asp?154319","אחוזת ארץ")</f>
        <v>אחוזת ארץ</v>
      </c>
    </row>
    <row r="2488" spans="1:6" x14ac:dyDescent="0.2">
      <c r="A2488" t="s">
        <v>4994</v>
      </c>
      <c r="B2488" t="s">
        <v>4995</v>
      </c>
      <c r="C2488" t="s">
        <v>1448</v>
      </c>
      <c r="D2488" t="s">
        <v>4996</v>
      </c>
      <c r="E2488" t="s">
        <v>104</v>
      </c>
      <c r="F2488" s="2" t="str">
        <f>HYPERLINK("http://www.otzar.org/book.asp?173111","אחוזת שדה")</f>
        <v>אחוזת שדה</v>
      </c>
    </row>
    <row r="2489" spans="1:6" x14ac:dyDescent="0.2">
      <c r="A2489" t="s">
        <v>4997</v>
      </c>
      <c r="B2489" t="s">
        <v>206</v>
      </c>
      <c r="C2489" t="s">
        <v>1592</v>
      </c>
      <c r="D2489" t="s">
        <v>1023</v>
      </c>
      <c r="E2489" t="s">
        <v>1517</v>
      </c>
      <c r="F2489" s="2" t="str">
        <f>HYPERLINK("http://www.otzar.org/book.asp?141173","אחוית אחידן: או פתרון החידה חד גדיא")</f>
        <v>אחוית אחידן: או פתרון החידה חד גדיא</v>
      </c>
    </row>
    <row r="2490" spans="1:6" x14ac:dyDescent="0.2">
      <c r="A2490" t="s">
        <v>4998</v>
      </c>
      <c r="B2490" t="s">
        <v>4999</v>
      </c>
      <c r="C2490" t="s">
        <v>1535</v>
      </c>
      <c r="D2490" t="s">
        <v>27</v>
      </c>
      <c r="E2490" t="s">
        <v>234</v>
      </c>
      <c r="F2490" s="2" t="str">
        <f>HYPERLINK("http://www.otzar.org/book.asp?11760","אחות יהודה")</f>
        <v>אחות יהודה</v>
      </c>
    </row>
    <row r="2491" spans="1:6" x14ac:dyDescent="0.2">
      <c r="A2491" t="s">
        <v>5000</v>
      </c>
      <c r="B2491" t="s">
        <v>5001</v>
      </c>
      <c r="C2491" t="s">
        <v>291</v>
      </c>
      <c r="D2491" t="s">
        <v>5002</v>
      </c>
      <c r="F2491" s="2" t="str">
        <f>HYPERLINK("http://www.otzar.org/book.asp?164722","אחות קטנה")</f>
        <v>אחות קטנה</v>
      </c>
    </row>
    <row r="2492" spans="1:6" x14ac:dyDescent="0.2">
      <c r="A2492" t="s">
        <v>5000</v>
      </c>
      <c r="B2492" t="s">
        <v>5003</v>
      </c>
      <c r="C2492" t="s">
        <v>111</v>
      </c>
      <c r="D2492" t="s">
        <v>147</v>
      </c>
      <c r="E2492" t="s">
        <v>154</v>
      </c>
      <c r="F2492" s="2" t="str">
        <f>HYPERLINK("http://www.otzar.org/book.asp?627923","אחות קטנה")</f>
        <v>אחות קטנה</v>
      </c>
    </row>
    <row r="2493" spans="1:6" x14ac:dyDescent="0.2">
      <c r="A2493" t="s">
        <v>5004</v>
      </c>
      <c r="B2493" t="s">
        <v>5005</v>
      </c>
      <c r="C2493" t="s">
        <v>129</v>
      </c>
      <c r="D2493" t="s">
        <v>14</v>
      </c>
      <c r="E2493" t="s">
        <v>674</v>
      </c>
      <c r="F2493" s="2" t="str">
        <f>HYPERLINK("http://www.otzar.org/book.asp?50142","אחותי כלה")</f>
        <v>אחותי כלה</v>
      </c>
    </row>
    <row r="2494" spans="1:6" x14ac:dyDescent="0.2">
      <c r="A2494" t="s">
        <v>5006</v>
      </c>
      <c r="B2494" t="s">
        <v>5007</v>
      </c>
      <c r="C2494" t="s">
        <v>20</v>
      </c>
      <c r="D2494" t="s">
        <v>4549</v>
      </c>
      <c r="E2494" t="s">
        <v>579</v>
      </c>
      <c r="F2494" s="2" t="str">
        <f>HYPERLINK("http://www.otzar.org/book.asp?623380","אחזת הלויים")</f>
        <v>אחזת הלויים</v>
      </c>
    </row>
    <row r="2495" spans="1:6" x14ac:dyDescent="0.2">
      <c r="A2495" t="s">
        <v>5008</v>
      </c>
      <c r="B2495" t="s">
        <v>5009</v>
      </c>
      <c r="C2495" t="s">
        <v>1177</v>
      </c>
      <c r="D2495" t="s">
        <v>1023</v>
      </c>
      <c r="E2495" t="s">
        <v>144</v>
      </c>
      <c r="F2495" s="2" t="str">
        <f>HYPERLINK("http://www.otzar.org/book.asp?155761","אחזת מרעים")</f>
        <v>אחזת מרעים</v>
      </c>
    </row>
    <row r="2496" spans="1:6" x14ac:dyDescent="0.2">
      <c r="A2496" t="s">
        <v>5010</v>
      </c>
      <c r="B2496" t="s">
        <v>5011</v>
      </c>
      <c r="C2496" t="s">
        <v>189</v>
      </c>
      <c r="D2496" t="s">
        <v>52</v>
      </c>
      <c r="E2496" t="s">
        <v>674</v>
      </c>
      <c r="F2496" s="2" t="str">
        <f>HYPERLINK("http://www.otzar.org/book.asp?141783","אחי וראש")</f>
        <v>אחי וראש</v>
      </c>
    </row>
    <row r="2497" spans="1:6" x14ac:dyDescent="0.2">
      <c r="A2497" t="s">
        <v>5012</v>
      </c>
      <c r="B2497" t="s">
        <v>5013</v>
      </c>
      <c r="C2497" t="s">
        <v>270</v>
      </c>
      <c r="D2497" t="s">
        <v>157</v>
      </c>
      <c r="E2497" t="s">
        <v>154</v>
      </c>
      <c r="F2497" s="2" t="str">
        <f>HYPERLINK("http://www.otzar.org/book.asp?17173","אחי וראש - 2 כר'")</f>
        <v>אחי וראש - 2 כר'</v>
      </c>
    </row>
    <row r="2498" spans="1:6" x14ac:dyDescent="0.2">
      <c r="A2498" t="s">
        <v>5014</v>
      </c>
      <c r="B2498" t="s">
        <v>5015</v>
      </c>
      <c r="C2498" t="s">
        <v>3103</v>
      </c>
      <c r="D2498" t="s">
        <v>5016</v>
      </c>
      <c r="E2498" t="s">
        <v>202</v>
      </c>
      <c r="F2498" s="2" t="str">
        <f>HYPERLINK("http://www.otzar.org/book.asp?17174","אחיאסף - 2 כר'")</f>
        <v>אחיאסף - 2 כר'</v>
      </c>
    </row>
    <row r="2499" spans="1:6" x14ac:dyDescent="0.2">
      <c r="A2499" t="s">
        <v>5017</v>
      </c>
      <c r="B2499" t="s">
        <v>5018</v>
      </c>
      <c r="C2499" t="s">
        <v>419</v>
      </c>
      <c r="D2499" t="s">
        <v>21</v>
      </c>
      <c r="E2499" t="s">
        <v>579</v>
      </c>
      <c r="F2499" s="2" t="str">
        <f>HYPERLINK("http://www.otzar.org/book.asp?198426","אחיה ואספר")</f>
        <v>אחיה ואספר</v>
      </c>
    </row>
    <row r="2500" spans="1:6" x14ac:dyDescent="0.2">
      <c r="A2500" t="s">
        <v>5019</v>
      </c>
      <c r="B2500" t="s">
        <v>5020</v>
      </c>
      <c r="C2500" t="s">
        <v>68</v>
      </c>
      <c r="D2500" t="s">
        <v>14</v>
      </c>
      <c r="E2500" t="s">
        <v>5021</v>
      </c>
      <c r="F2500" s="2" t="str">
        <f>HYPERLINK("http://www.otzar.org/book.asp?161558","אחים בהספדא")</f>
        <v>אחים בהספדא</v>
      </c>
    </row>
    <row r="2501" spans="1:6" x14ac:dyDescent="0.2">
      <c r="A2501" t="s">
        <v>5022</v>
      </c>
      <c r="B2501" t="s">
        <v>552</v>
      </c>
      <c r="C2501" t="s">
        <v>23</v>
      </c>
      <c r="D2501" t="s">
        <v>1180</v>
      </c>
      <c r="F2501" s="2" t="str">
        <f>HYPERLINK("http://www.otzar.org/book.asp?198723","אחים בהספידא")</f>
        <v>אחים בהספידא</v>
      </c>
    </row>
    <row r="2502" spans="1:6" x14ac:dyDescent="0.2">
      <c r="A2502" t="s">
        <v>5023</v>
      </c>
      <c r="B2502" t="s">
        <v>1750</v>
      </c>
      <c r="C2502" t="s">
        <v>13</v>
      </c>
      <c r="D2502" t="s">
        <v>14</v>
      </c>
      <c r="E2502" t="s">
        <v>186</v>
      </c>
      <c r="F2502" s="2" t="str">
        <f>HYPERLINK("http://www.otzar.org/book.asp?158676","אחים יחדיו - 2 כר'")</f>
        <v>אחים יחדיו - 2 כר'</v>
      </c>
    </row>
    <row r="2503" spans="1:6" x14ac:dyDescent="0.2">
      <c r="A2503" t="s">
        <v>5024</v>
      </c>
      <c r="B2503" t="s">
        <v>5025</v>
      </c>
      <c r="C2503" t="s">
        <v>13</v>
      </c>
      <c r="D2503" t="s">
        <v>52</v>
      </c>
      <c r="E2503" t="s">
        <v>154</v>
      </c>
      <c r="F2503" s="2" t="str">
        <f>HYPERLINK("http://www.otzar.org/book.asp?85223","אחימלך הכהן")</f>
        <v>אחימלך הכהן</v>
      </c>
    </row>
    <row r="2504" spans="1:6" x14ac:dyDescent="0.2">
      <c r="A2504" t="s">
        <v>5026</v>
      </c>
      <c r="B2504" t="s">
        <v>5027</v>
      </c>
      <c r="C2504" t="s">
        <v>390</v>
      </c>
      <c r="D2504" t="s">
        <v>14</v>
      </c>
      <c r="E2504" t="s">
        <v>1626</v>
      </c>
      <c r="F2504" s="2" t="str">
        <f>HYPERLINK("http://www.otzar.org/book.asp?146821","אחימע""ץ")</f>
        <v>אחימע"ץ</v>
      </c>
    </row>
    <row r="2505" spans="1:6" x14ac:dyDescent="0.2">
      <c r="A2505" t="s">
        <v>5028</v>
      </c>
      <c r="B2505" t="s">
        <v>262</v>
      </c>
      <c r="C2505" t="s">
        <v>71</v>
      </c>
      <c r="D2505" t="s">
        <v>52</v>
      </c>
      <c r="E2505" t="s">
        <v>43</v>
      </c>
      <c r="F2505" s="2" t="str">
        <f>HYPERLINK("http://www.otzar.org/book.asp?51068","אחיסמך")</f>
        <v>אחיסמך</v>
      </c>
    </row>
    <row r="2506" spans="1:6" x14ac:dyDescent="0.2">
      <c r="A2506" t="s">
        <v>5029</v>
      </c>
      <c r="B2506" t="s">
        <v>1379</v>
      </c>
      <c r="C2506" t="s">
        <v>383</v>
      </c>
      <c r="D2506" t="s">
        <v>14</v>
      </c>
      <c r="E2506" t="s">
        <v>154</v>
      </c>
      <c r="F2506" s="2" t="str">
        <f>HYPERLINK("http://www.otzar.org/book.asp?174573","אחיעזר &lt;מהדורה חדשה&gt; - 4 כר'")</f>
        <v>אחיעזר &lt;מהדורה חדשה&gt; - 4 כר'</v>
      </c>
    </row>
    <row r="2507" spans="1:6" x14ac:dyDescent="0.2">
      <c r="A2507" t="s">
        <v>5030</v>
      </c>
      <c r="B2507" t="s">
        <v>1379</v>
      </c>
      <c r="C2507" t="s">
        <v>989</v>
      </c>
      <c r="D2507" t="s">
        <v>216</v>
      </c>
      <c r="E2507" t="s">
        <v>733</v>
      </c>
      <c r="F2507" s="2" t="str">
        <f>HYPERLINK("http://www.otzar.org/book.asp?106999","אחיעזר &lt;קובץ אגרות&gt; - 2 כר'")</f>
        <v>אחיעזר &lt;קובץ אגרות&gt; - 2 כר'</v>
      </c>
    </row>
    <row r="2508" spans="1:6" x14ac:dyDescent="0.2">
      <c r="A2508" t="s">
        <v>5031</v>
      </c>
      <c r="B2508" t="s">
        <v>1379</v>
      </c>
      <c r="C2508" t="s">
        <v>5032</v>
      </c>
      <c r="D2508" t="s">
        <v>56</v>
      </c>
      <c r="E2508" t="s">
        <v>154</v>
      </c>
      <c r="F2508" s="2" t="str">
        <f>HYPERLINK("http://www.otzar.org/book.asp?21709","אחיעזר - 4 כר'")</f>
        <v>אחיעזר - 4 כר'</v>
      </c>
    </row>
    <row r="2509" spans="1:6" x14ac:dyDescent="0.2">
      <c r="A2509" t="s">
        <v>5033</v>
      </c>
      <c r="B2509" t="s">
        <v>5034</v>
      </c>
      <c r="C2509" t="s">
        <v>985</v>
      </c>
      <c r="D2509" t="s">
        <v>27</v>
      </c>
      <c r="F2509" s="2" t="str">
        <f>HYPERLINK("http://www.otzar.org/book.asp?619949","אחיעזר - חייו ופעולותיו")</f>
        <v>אחיעזר - חייו ופעולותיו</v>
      </c>
    </row>
    <row r="2510" spans="1:6" x14ac:dyDescent="0.2">
      <c r="A2510" t="s">
        <v>5035</v>
      </c>
      <c r="B2510" t="s">
        <v>5036</v>
      </c>
      <c r="C2510" t="s">
        <v>454</v>
      </c>
      <c r="D2510" t="s">
        <v>52</v>
      </c>
      <c r="E2510" t="s">
        <v>104</v>
      </c>
      <c r="F2510" s="2" t="str">
        <f>HYPERLINK("http://www.otzar.org/book.asp?107223","אחלמה")</f>
        <v>אחלמה</v>
      </c>
    </row>
    <row r="2511" spans="1:6" x14ac:dyDescent="0.2">
      <c r="A2511" t="s">
        <v>5037</v>
      </c>
      <c r="B2511" t="s">
        <v>5038</v>
      </c>
      <c r="C2511" t="s">
        <v>111</v>
      </c>
      <c r="D2511" t="s">
        <v>14</v>
      </c>
      <c r="E2511" t="s">
        <v>975</v>
      </c>
      <c r="F2511" s="2" t="str">
        <f>HYPERLINK("http://www.otzar.org/book.asp?630431","אחלקם ביעקב")</f>
        <v>אחלקם ביעקב</v>
      </c>
    </row>
    <row r="2512" spans="1:6" x14ac:dyDescent="0.2">
      <c r="A2512" t="s">
        <v>5039</v>
      </c>
      <c r="B2512" t="s">
        <v>5018</v>
      </c>
      <c r="C2512" t="s">
        <v>68</v>
      </c>
      <c r="D2512" t="s">
        <v>21</v>
      </c>
      <c r="F2512" s="2" t="str">
        <f>HYPERLINK("http://www.otzar.org/book.asp?198416","אחסה בו")</f>
        <v>אחסה בו</v>
      </c>
    </row>
    <row r="2513" spans="1:6" x14ac:dyDescent="0.2">
      <c r="A2513" t="s">
        <v>5040</v>
      </c>
      <c r="B2513" t="s">
        <v>552</v>
      </c>
      <c r="C2513" t="s">
        <v>919</v>
      </c>
      <c r="D2513" t="s">
        <v>14</v>
      </c>
      <c r="E2513" t="s">
        <v>202</v>
      </c>
      <c r="F2513" s="2" t="str">
        <f>HYPERLINK("http://www.otzar.org/book.asp?13026","אחר האסף [סרנא]")</f>
        <v>אחר האסף [סרנא]</v>
      </c>
    </row>
    <row r="2514" spans="1:6" x14ac:dyDescent="0.2">
      <c r="A2514" t="s">
        <v>5041</v>
      </c>
      <c r="B2514" t="s">
        <v>107</v>
      </c>
      <c r="C2514" t="s">
        <v>51</v>
      </c>
      <c r="D2514" t="s">
        <v>14</v>
      </c>
      <c r="E2514" t="s">
        <v>119</v>
      </c>
      <c r="F2514" s="2" t="str">
        <f>HYPERLINK("http://www.otzar.org/book.asp?84023","אחר מיטתו")</f>
        <v>אחר מיטתו</v>
      </c>
    </row>
    <row r="2515" spans="1:6" x14ac:dyDescent="0.2">
      <c r="A2515" t="s">
        <v>5042</v>
      </c>
      <c r="B2515" t="s">
        <v>5043</v>
      </c>
      <c r="C2515" t="s">
        <v>111</v>
      </c>
      <c r="D2515" t="s">
        <v>14</v>
      </c>
      <c r="F2515" s="2" t="str">
        <f>HYPERLINK("http://www.otzar.org/book.asp?622968","אחר שלישים במועצות אשים")</f>
        <v>אחר שלישים במועצות אשים</v>
      </c>
    </row>
    <row r="2516" spans="1:6" x14ac:dyDescent="0.2">
      <c r="A2516" t="s">
        <v>5044</v>
      </c>
      <c r="B2516" t="s">
        <v>5045</v>
      </c>
      <c r="C2516" t="s">
        <v>767</v>
      </c>
      <c r="D2516" t="s">
        <v>52</v>
      </c>
      <c r="E2516" t="s">
        <v>119</v>
      </c>
      <c r="F2516" s="2" t="str">
        <f>HYPERLINK("http://www.otzar.org/book.asp?51095","אחרון הגאונים בתוניסיה - 2 כר'")</f>
        <v>אחרון הגאונים בתוניסיה - 2 כר'</v>
      </c>
    </row>
    <row r="2517" spans="1:6" x14ac:dyDescent="0.2">
      <c r="A2517" t="s">
        <v>5046</v>
      </c>
      <c r="B2517" t="s">
        <v>5047</v>
      </c>
      <c r="C2517" t="s">
        <v>133</v>
      </c>
      <c r="D2517" t="s">
        <v>14</v>
      </c>
      <c r="E2517" t="s">
        <v>158</v>
      </c>
      <c r="F2517" s="2" t="str">
        <f>HYPERLINK("http://www.otzar.org/book.asp?172026","אחרי הקוצרים")</f>
        <v>אחרי הקוצרים</v>
      </c>
    </row>
    <row r="2518" spans="1:6" x14ac:dyDescent="0.2">
      <c r="A2518" t="s">
        <v>5048</v>
      </c>
      <c r="B2518" t="s">
        <v>5049</v>
      </c>
      <c r="C2518" t="s">
        <v>581</v>
      </c>
      <c r="D2518" t="s">
        <v>5050</v>
      </c>
      <c r="E2518" t="s">
        <v>119</v>
      </c>
      <c r="F2518" s="2" t="str">
        <f>HYPERLINK("http://www.otzar.org/book.asp?149379","אחרי מות קדושים")</f>
        <v>אחרי מות קדושים</v>
      </c>
    </row>
    <row r="2519" spans="1:6" x14ac:dyDescent="0.2">
      <c r="A2519" t="s">
        <v>5051</v>
      </c>
      <c r="B2519" t="s">
        <v>5052</v>
      </c>
      <c r="C2519" t="s">
        <v>103</v>
      </c>
      <c r="D2519" t="s">
        <v>412</v>
      </c>
      <c r="E2519" t="s">
        <v>5053</v>
      </c>
      <c r="F2519" s="2" t="str">
        <f>HYPERLINK("http://www.otzar.org/book.asp?171026","אחרי ראי - 2 כר'")</f>
        <v>אחרי ראי - 2 כר'</v>
      </c>
    </row>
    <row r="2520" spans="1:6" x14ac:dyDescent="0.2">
      <c r="A2520" t="s">
        <v>5054</v>
      </c>
      <c r="B2520" t="s">
        <v>5055</v>
      </c>
      <c r="C2520" t="s">
        <v>20</v>
      </c>
      <c r="D2520" t="s">
        <v>2798</v>
      </c>
      <c r="F2520" s="2" t="str">
        <f>HYPERLINK("http://www.otzar.org/book.asp?611618","אחריך בנימין")</f>
        <v>אחריך בנימין</v>
      </c>
    </row>
    <row r="2521" spans="1:6" x14ac:dyDescent="0.2">
      <c r="A2521" t="s">
        <v>5056</v>
      </c>
      <c r="B2521" t="s">
        <v>107</v>
      </c>
      <c r="C2521" t="s">
        <v>20</v>
      </c>
      <c r="D2521" t="s">
        <v>14</v>
      </c>
      <c r="E2521" t="s">
        <v>104</v>
      </c>
      <c r="F2521" s="2" t="str">
        <f>HYPERLINK("http://www.otzar.org/book.asp?625799","אחרית האדם בעולם הזה")</f>
        <v>אחרית האדם בעולם הזה</v>
      </c>
    </row>
    <row r="2522" spans="1:6" x14ac:dyDescent="0.2">
      <c r="A2522" t="s">
        <v>5057</v>
      </c>
      <c r="B2522" t="s">
        <v>5058</v>
      </c>
      <c r="C2522" t="s">
        <v>189</v>
      </c>
      <c r="D2522" t="s">
        <v>14</v>
      </c>
      <c r="E2522" t="s">
        <v>15</v>
      </c>
      <c r="F2522" s="2" t="str">
        <f>HYPERLINK("http://www.otzar.org/book.asp?141807","אחרית השנים - 2 כר'")</f>
        <v>אחרית השנים - 2 כר'</v>
      </c>
    </row>
    <row r="2523" spans="1:6" x14ac:dyDescent="0.2">
      <c r="A2523" t="s">
        <v>5059</v>
      </c>
      <c r="B2523" t="s">
        <v>5060</v>
      </c>
      <c r="C2523" t="s">
        <v>68</v>
      </c>
      <c r="D2523" t="s">
        <v>14</v>
      </c>
      <c r="E2523" t="s">
        <v>144</v>
      </c>
      <c r="F2523" s="2" t="str">
        <f>HYPERLINK("http://www.otzar.org/book.asp?156742","אחרית ים")</f>
        <v>אחרית ים</v>
      </c>
    </row>
    <row r="2524" spans="1:6" x14ac:dyDescent="0.2">
      <c r="A2524" t="s">
        <v>5061</v>
      </c>
      <c r="B2524" t="s">
        <v>5062</v>
      </c>
      <c r="C2524" t="s">
        <v>454</v>
      </c>
      <c r="D2524" t="s">
        <v>14</v>
      </c>
      <c r="E2524" t="s">
        <v>241</v>
      </c>
      <c r="F2524" s="2" t="str">
        <f>HYPERLINK("http://www.otzar.org/book.asp?142531","אחרית כראשית")</f>
        <v>אחרית כראשית</v>
      </c>
    </row>
    <row r="2525" spans="1:6" x14ac:dyDescent="0.2">
      <c r="A2525" t="s">
        <v>5063</v>
      </c>
      <c r="B2525" t="s">
        <v>5064</v>
      </c>
      <c r="C2525" t="s">
        <v>20</v>
      </c>
      <c r="D2525" t="s">
        <v>52</v>
      </c>
      <c r="E2525" t="s">
        <v>119</v>
      </c>
      <c r="F2525" s="2" t="str">
        <f>HYPERLINK("http://www.otzar.org/book.asp?61959","אחרית לאיש שלום &lt;מסכת חייו של רבי שלום טובי&gt;")</f>
        <v>אחרית לאיש שלום &lt;מסכת חייו של רבי שלום טובי&gt;</v>
      </c>
    </row>
    <row r="2526" spans="1:6" x14ac:dyDescent="0.2">
      <c r="A2526" t="s">
        <v>5065</v>
      </c>
      <c r="B2526" t="s">
        <v>5066</v>
      </c>
      <c r="C2526" t="s">
        <v>1921</v>
      </c>
      <c r="D2526" t="s">
        <v>212</v>
      </c>
      <c r="E2526" t="s">
        <v>234</v>
      </c>
      <c r="F2526" s="2" t="str">
        <f>HYPERLINK("http://www.otzar.org/book.asp?149822","אחרית לאיש שלום")</f>
        <v>אחרית לאיש שלום</v>
      </c>
    </row>
    <row r="2527" spans="1:6" x14ac:dyDescent="0.2">
      <c r="A2527" t="s">
        <v>5065</v>
      </c>
      <c r="B2527" t="s">
        <v>552</v>
      </c>
      <c r="C2527" t="s">
        <v>103</v>
      </c>
      <c r="D2527" t="s">
        <v>14</v>
      </c>
      <c r="E2527" t="s">
        <v>202</v>
      </c>
      <c r="F2527" s="2" t="str">
        <f>HYPERLINK("http://www.otzar.org/book.asp?61153","אחרית לאיש שלום")</f>
        <v>אחרית לאיש שלום</v>
      </c>
    </row>
    <row r="2528" spans="1:6" x14ac:dyDescent="0.2">
      <c r="A2528" t="s">
        <v>5067</v>
      </c>
      <c r="B2528" t="s">
        <v>5068</v>
      </c>
      <c r="C2528" t="s">
        <v>20</v>
      </c>
      <c r="D2528" t="s">
        <v>21</v>
      </c>
      <c r="E2528" t="s">
        <v>213</v>
      </c>
      <c r="F2528" s="2" t="str">
        <f>HYPERLINK("http://www.otzar.org/book.asp?190762","אחרית")</f>
        <v>אחרית</v>
      </c>
    </row>
    <row r="2529" spans="1:6" x14ac:dyDescent="0.2">
      <c r="A2529" t="s">
        <v>5069</v>
      </c>
      <c r="B2529" t="s">
        <v>5070</v>
      </c>
      <c r="C2529" t="s">
        <v>189</v>
      </c>
      <c r="D2529" t="s">
        <v>152</v>
      </c>
      <c r="E2529" t="s">
        <v>104</v>
      </c>
      <c r="F2529" s="2" t="str">
        <f>HYPERLINK("http://www.otzar.org/book.asp?152581","אחת ולתמיד")</f>
        <v>אחת ולתמיד</v>
      </c>
    </row>
    <row r="2530" spans="1:6" x14ac:dyDescent="0.2">
      <c r="A2530" t="s">
        <v>5071</v>
      </c>
      <c r="B2530" t="s">
        <v>5072</v>
      </c>
      <c r="C2530" t="s">
        <v>383</v>
      </c>
      <c r="D2530" t="s">
        <v>14</v>
      </c>
      <c r="E2530" t="s">
        <v>241</v>
      </c>
      <c r="F2530" s="2" t="str">
        <f>HYPERLINK("http://www.otzar.org/book.asp?174312","אחת שאלתי - 2 כר'")</f>
        <v>אחת שאלתי - 2 כר'</v>
      </c>
    </row>
    <row r="2531" spans="1:6" x14ac:dyDescent="0.2">
      <c r="A2531" t="s">
        <v>5073</v>
      </c>
      <c r="B2531" t="s">
        <v>5074</v>
      </c>
      <c r="C2531" t="s">
        <v>51</v>
      </c>
      <c r="D2531" t="s">
        <v>52</v>
      </c>
      <c r="E2531" t="s">
        <v>714</v>
      </c>
      <c r="F2531" s="2" t="str">
        <f>HYPERLINK("http://www.otzar.org/book.asp?166396","אחת שאלתי")</f>
        <v>אחת שאלתי</v>
      </c>
    </row>
    <row r="2532" spans="1:6" x14ac:dyDescent="0.2">
      <c r="A2532" t="s">
        <v>5075</v>
      </c>
      <c r="B2532" t="s">
        <v>5076</v>
      </c>
      <c r="C2532" t="s">
        <v>114</v>
      </c>
      <c r="D2532" t="s">
        <v>52</v>
      </c>
      <c r="E2532" t="s">
        <v>144</v>
      </c>
      <c r="F2532" s="2" t="str">
        <f>HYPERLINK("http://www.otzar.org/book.asp?166065","אטה למשל - 3 כר'")</f>
        <v>אטה למשל - 3 כר'</v>
      </c>
    </row>
    <row r="2533" spans="1:6" x14ac:dyDescent="0.2">
      <c r="A2533" t="s">
        <v>5077</v>
      </c>
      <c r="B2533" t="s">
        <v>5078</v>
      </c>
      <c r="C2533" t="s">
        <v>168</v>
      </c>
      <c r="D2533" t="s">
        <v>52</v>
      </c>
      <c r="E2533" t="s">
        <v>733</v>
      </c>
      <c r="F2533" s="2" t="str">
        <f>HYPERLINK("http://www.otzar.org/book.asp?143494","אטלס עץ חיים - 16 כר'")</f>
        <v>אטלס עץ חיים - 16 כר'</v>
      </c>
    </row>
    <row r="2534" spans="1:6" x14ac:dyDescent="0.2">
      <c r="A2534" t="s">
        <v>5079</v>
      </c>
      <c r="B2534" t="s">
        <v>5080</v>
      </c>
      <c r="C2534" t="s">
        <v>286</v>
      </c>
      <c r="D2534" t="s">
        <v>4352</v>
      </c>
      <c r="E2534" t="s">
        <v>15</v>
      </c>
      <c r="F2534" s="2" t="str">
        <f>HYPERLINK("http://www.otzar.org/book.asp?166764","אי אחינו ב""י רשאים לשנות ממבטא אשכנזי למבטא ספרדי")</f>
        <v>אי אחינו ב"י רשאים לשנות ממבטא אשכנזי למבטא ספרדי</v>
      </c>
    </row>
    <row r="2535" spans="1:6" x14ac:dyDescent="0.2">
      <c r="A2535" t="s">
        <v>5081</v>
      </c>
      <c r="B2535" t="s">
        <v>5082</v>
      </c>
      <c r="C2535" t="s">
        <v>143</v>
      </c>
      <c r="D2535" t="s">
        <v>486</v>
      </c>
      <c r="E2535" t="s">
        <v>2071</v>
      </c>
      <c r="F2535" s="2" t="str">
        <f>HYPERLINK("http://www.otzar.org/book.asp?152729","איבא דאברהם")</f>
        <v>איבא דאברהם</v>
      </c>
    </row>
    <row r="2536" spans="1:6" x14ac:dyDescent="0.2">
      <c r="A2536" t="s">
        <v>5083</v>
      </c>
      <c r="B2536" t="s">
        <v>5084</v>
      </c>
      <c r="C2536" t="s">
        <v>466</v>
      </c>
      <c r="D2536" t="s">
        <v>14</v>
      </c>
      <c r="E2536" t="s">
        <v>144</v>
      </c>
      <c r="F2536" s="2" t="str">
        <f>HYPERLINK("http://www.otzar.org/book.asp?181052","איבעיא להו")</f>
        <v>איבעיא להו</v>
      </c>
    </row>
    <row r="2537" spans="1:6" x14ac:dyDescent="0.2">
      <c r="A2537" t="s">
        <v>5085</v>
      </c>
      <c r="B2537" t="s">
        <v>5086</v>
      </c>
      <c r="C2537" t="s">
        <v>3840</v>
      </c>
      <c r="D2537" t="s">
        <v>216</v>
      </c>
      <c r="E2537" t="s">
        <v>119</v>
      </c>
      <c r="F2537" s="2" t="str">
        <f>HYPERLINK("http://www.otzar.org/book.asp?153662","איבער שטיין און שטאק")</f>
        <v>איבער שטיין און שטאק</v>
      </c>
    </row>
    <row r="2538" spans="1:6" x14ac:dyDescent="0.2">
      <c r="A2538" t="s">
        <v>5087</v>
      </c>
      <c r="B2538" t="s">
        <v>5088</v>
      </c>
      <c r="C2538" t="s">
        <v>1718</v>
      </c>
      <c r="D2538" t="s">
        <v>307</v>
      </c>
      <c r="E2538" t="s">
        <v>920</v>
      </c>
      <c r="F2538" s="2" t="str">
        <f>HYPERLINK("http://www.otzar.org/book.asp?6694","איגרא רמה - 2 כר'")</f>
        <v>איגרא רמה - 2 כר'</v>
      </c>
    </row>
    <row r="2539" spans="1:6" x14ac:dyDescent="0.2">
      <c r="A2539" t="s">
        <v>5089</v>
      </c>
      <c r="B2539" t="s">
        <v>5090</v>
      </c>
      <c r="C2539" t="s">
        <v>506</v>
      </c>
      <c r="D2539" t="s">
        <v>535</v>
      </c>
      <c r="E2539" t="s">
        <v>733</v>
      </c>
      <c r="F2539" s="2" t="str">
        <f>HYPERLINK("http://www.otzar.org/book.asp?549","איגרות סופרים")</f>
        <v>איגרות סופרים</v>
      </c>
    </row>
    <row r="2540" spans="1:6" x14ac:dyDescent="0.2">
      <c r="A2540" t="s">
        <v>5091</v>
      </c>
      <c r="B2540" t="s">
        <v>5092</v>
      </c>
      <c r="C2540" t="s">
        <v>71</v>
      </c>
      <c r="D2540" t="s">
        <v>412</v>
      </c>
      <c r="E2540" t="s">
        <v>104</v>
      </c>
      <c r="F2540" s="2" t="str">
        <f>HYPERLINK("http://www.otzar.org/book.asp?144737","איגרי דבי הילולי - 2 כר'")</f>
        <v>איגרי דבי הילולי - 2 כר'</v>
      </c>
    </row>
    <row r="2541" spans="1:6" x14ac:dyDescent="0.2">
      <c r="A2541" t="s">
        <v>5093</v>
      </c>
      <c r="B2541" t="s">
        <v>5094</v>
      </c>
      <c r="C2541" t="s">
        <v>989</v>
      </c>
      <c r="D2541" t="s">
        <v>90</v>
      </c>
      <c r="E2541" t="s">
        <v>241</v>
      </c>
      <c r="F2541" s="2" t="str">
        <f>HYPERLINK("http://www.otzar.org/book.asp?606837","איגרת לבן ישיבה - ה")</f>
        <v>איגרת לבן ישיבה - ה</v>
      </c>
    </row>
    <row r="2542" spans="1:6" x14ac:dyDescent="0.2">
      <c r="A2542" t="s">
        <v>5095</v>
      </c>
      <c r="B2542" t="s">
        <v>5096</v>
      </c>
      <c r="C2542" t="s">
        <v>20</v>
      </c>
      <c r="D2542" t="s">
        <v>14</v>
      </c>
      <c r="E2542" t="s">
        <v>15</v>
      </c>
      <c r="F2542" s="2" t="str">
        <f>HYPERLINK("http://www.otzar.org/book.asp?606835","איגרת לבר מצוה")</f>
        <v>איגרת לבר מצוה</v>
      </c>
    </row>
    <row r="2543" spans="1:6" x14ac:dyDescent="0.2">
      <c r="A2543" t="s">
        <v>5097</v>
      </c>
      <c r="B2543" t="s">
        <v>5097</v>
      </c>
      <c r="C2543" t="s">
        <v>71</v>
      </c>
      <c r="D2543" t="s">
        <v>14</v>
      </c>
      <c r="E2543" t="s">
        <v>104</v>
      </c>
      <c r="F2543" s="2" t="str">
        <f>HYPERLINK("http://www.otzar.org/book.asp?14852","איגרת להורים")</f>
        <v>איגרת להורים</v>
      </c>
    </row>
    <row r="2544" spans="1:6" x14ac:dyDescent="0.2">
      <c r="A2544" t="s">
        <v>5098</v>
      </c>
      <c r="B2544" t="s">
        <v>5099</v>
      </c>
      <c r="C2544" t="s">
        <v>1619</v>
      </c>
      <c r="D2544" t="s">
        <v>260</v>
      </c>
      <c r="E2544" t="s">
        <v>241</v>
      </c>
      <c r="F2544" s="2" t="str">
        <f>HYPERLINK("http://www.otzar.org/book.asp?606852","איגרת לצעיר")</f>
        <v>איגרת לצעיר</v>
      </c>
    </row>
    <row r="2545" spans="1:6" x14ac:dyDescent="0.2">
      <c r="A2545" t="s">
        <v>5100</v>
      </c>
      <c r="B2545" t="s">
        <v>5101</v>
      </c>
      <c r="C2545" t="s">
        <v>940</v>
      </c>
      <c r="D2545" t="s">
        <v>52</v>
      </c>
      <c r="E2545" t="s">
        <v>2635</v>
      </c>
      <c r="F2545" s="2" t="str">
        <f>HYPERLINK("http://www.otzar.org/book.asp?623596","איגרת פורים")</f>
        <v>איגרת פורים</v>
      </c>
    </row>
    <row r="2546" spans="1:6" x14ac:dyDescent="0.2">
      <c r="A2546" t="s">
        <v>5102</v>
      </c>
      <c r="B2546" t="s">
        <v>3286</v>
      </c>
      <c r="C2546" t="s">
        <v>411</v>
      </c>
      <c r="D2546" t="s">
        <v>52</v>
      </c>
      <c r="E2546" t="s">
        <v>130</v>
      </c>
      <c r="F2546" s="2" t="str">
        <f>HYPERLINK("http://www.otzar.org/book.asp?190149","איגרתא חדא &lt;מהדורה חדשה&gt;")</f>
        <v>איגרתא חדא &lt;מהדורה חדשה&gt;</v>
      </c>
    </row>
    <row r="2547" spans="1:6" x14ac:dyDescent="0.2">
      <c r="A2547" t="s">
        <v>5103</v>
      </c>
      <c r="B2547" t="s">
        <v>3286</v>
      </c>
      <c r="C2547" t="s">
        <v>13</v>
      </c>
      <c r="D2547" t="s">
        <v>52</v>
      </c>
      <c r="E2547" t="s">
        <v>15</v>
      </c>
      <c r="F2547" s="2" t="str">
        <f>HYPERLINK("http://www.otzar.org/book.asp?143202","איגרתא חדא - 2 כר'")</f>
        <v>איגרתא חדא - 2 כר'</v>
      </c>
    </row>
    <row r="2548" spans="1:6" x14ac:dyDescent="0.2">
      <c r="A2548" t="s">
        <v>5104</v>
      </c>
      <c r="B2548" t="s">
        <v>5105</v>
      </c>
      <c r="C2548" t="s">
        <v>609</v>
      </c>
      <c r="D2548" t="s">
        <v>9</v>
      </c>
      <c r="E2548" t="s">
        <v>202</v>
      </c>
      <c r="F2548" s="2" t="str">
        <f>HYPERLINK("http://www.otzar.org/book.asp?300213","אידנו")</f>
        <v>אידנו</v>
      </c>
    </row>
    <row r="2549" spans="1:6" x14ac:dyDescent="0.2">
      <c r="A2549" t="s">
        <v>5106</v>
      </c>
      <c r="B2549" t="s">
        <v>5107</v>
      </c>
      <c r="C2549" t="s">
        <v>1160</v>
      </c>
      <c r="D2549" t="s">
        <v>5108</v>
      </c>
      <c r="F2549" s="2" t="str">
        <f>HYPERLINK("http://www.otzar.org/book.asp?196469","אידעאלאגיע פון יידישן אלף בית")</f>
        <v>אידעאלאגיע פון יידישן אלף בית</v>
      </c>
    </row>
    <row r="2550" spans="1:6" x14ac:dyDescent="0.2">
      <c r="A2550" t="s">
        <v>5109</v>
      </c>
      <c r="B2550" t="s">
        <v>5110</v>
      </c>
      <c r="C2550" t="s">
        <v>133</v>
      </c>
      <c r="D2550" t="s">
        <v>21</v>
      </c>
      <c r="E2550" t="s">
        <v>399</v>
      </c>
      <c r="F2550" s="2" t="str">
        <f>HYPERLINK("http://www.otzar.org/book.asp?603789","אידרת אליהו - אדרא זוטא ע""פ הגר""א עם ביאור")</f>
        <v>אידרת אליהו - אדרא זוטא ע"פ הגר"א עם ביאור</v>
      </c>
    </row>
    <row r="2551" spans="1:6" x14ac:dyDescent="0.2">
      <c r="A2551" t="s">
        <v>5111</v>
      </c>
      <c r="B2551" t="s">
        <v>236</v>
      </c>
      <c r="C2551" t="s">
        <v>433</v>
      </c>
      <c r="D2551" t="s">
        <v>412</v>
      </c>
      <c r="E2551" t="s">
        <v>234</v>
      </c>
      <c r="F2551" s="2" t="str">
        <f>HYPERLINK("http://www.otzar.org/book.asp?103958","איה סופר")</f>
        <v>איה סופר</v>
      </c>
    </row>
    <row r="2552" spans="1:6" x14ac:dyDescent="0.2">
      <c r="A2552" t="s">
        <v>5111</v>
      </c>
      <c r="B2552" t="s">
        <v>5112</v>
      </c>
      <c r="C2552" t="s">
        <v>503</v>
      </c>
      <c r="D2552" t="s">
        <v>1117</v>
      </c>
      <c r="E2552" t="s">
        <v>234</v>
      </c>
      <c r="F2552" s="2" t="str">
        <f>HYPERLINK("http://www.otzar.org/book.asp?300214","איה סופר")</f>
        <v>איה סופר</v>
      </c>
    </row>
    <row r="2553" spans="1:6" x14ac:dyDescent="0.2">
      <c r="A2553" t="s">
        <v>5113</v>
      </c>
      <c r="B2553" t="s">
        <v>4840</v>
      </c>
      <c r="C2553" t="s">
        <v>1811</v>
      </c>
      <c r="D2553" t="s">
        <v>14</v>
      </c>
      <c r="E2553" t="s">
        <v>158</v>
      </c>
      <c r="F2553" s="2" t="str">
        <f>HYPERLINK("http://www.otzar.org/book.asp?24835","איוב &lt;רס""ג&gt;")</f>
        <v>איוב &lt;רס"ג&gt;</v>
      </c>
    </row>
    <row r="2554" spans="1:6" x14ac:dyDescent="0.2">
      <c r="A2554" t="s">
        <v>5114</v>
      </c>
      <c r="B2554" t="s">
        <v>5115</v>
      </c>
      <c r="C2554" t="s">
        <v>3816</v>
      </c>
      <c r="D2554" t="s">
        <v>267</v>
      </c>
      <c r="E2554" t="s">
        <v>158</v>
      </c>
      <c r="F2554" s="2" t="str">
        <f>HYPERLINK("http://www.otzar.org/book.asp?83615","איוב &lt;עם באור נחמד&gt;")</f>
        <v>איוב &lt;עם באור נחמד&gt;</v>
      </c>
    </row>
    <row r="2555" spans="1:6" x14ac:dyDescent="0.2">
      <c r="A2555" t="s">
        <v>5116</v>
      </c>
      <c r="B2555" t="s">
        <v>5117</v>
      </c>
      <c r="C2555" t="s">
        <v>1323</v>
      </c>
      <c r="D2555" t="s">
        <v>1490</v>
      </c>
      <c r="E2555" t="s">
        <v>158</v>
      </c>
      <c r="F2555" s="2" t="str">
        <f>HYPERLINK("http://www.otzar.org/book.asp?63836","איוב &lt;ע""פ יצחק ב""ר שלמה הכהן&gt;")</f>
        <v>איוב &lt;ע"פ יצחק ב"ר שלמה הכהן&gt;</v>
      </c>
    </row>
    <row r="2556" spans="1:6" x14ac:dyDescent="0.2">
      <c r="A2556" t="s">
        <v>5118</v>
      </c>
      <c r="B2556" t="s">
        <v>5117</v>
      </c>
      <c r="C2556" t="s">
        <v>1323</v>
      </c>
      <c r="D2556" t="s">
        <v>1490</v>
      </c>
      <c r="E2556" t="s">
        <v>158</v>
      </c>
      <c r="F2556" s="2" t="str">
        <f>HYPERLINK("http://www.otzar.org/book.asp?164734","איוב &lt;ע""פ ר""י כהן&gt;")</f>
        <v>איוב &lt;ע"פ ר"י כהן&gt;</v>
      </c>
    </row>
    <row r="2557" spans="1:6" x14ac:dyDescent="0.2">
      <c r="A2557" t="s">
        <v>5119</v>
      </c>
      <c r="B2557" t="s">
        <v>5120</v>
      </c>
      <c r="C2557" t="s">
        <v>1268</v>
      </c>
      <c r="D2557" t="s">
        <v>14</v>
      </c>
      <c r="E2557" t="s">
        <v>579</v>
      </c>
      <c r="F2557" s="2" t="str">
        <f>HYPERLINK("http://www.otzar.org/book.asp?14502","איוב כמו שהוא - 2 כר'")</f>
        <v>איוב כמו שהוא - 2 כר'</v>
      </c>
    </row>
    <row r="2558" spans="1:6" x14ac:dyDescent="0.2">
      <c r="A2558" t="s">
        <v>5121</v>
      </c>
      <c r="B2558" t="s">
        <v>5122</v>
      </c>
      <c r="C2558" t="s">
        <v>1437</v>
      </c>
      <c r="D2558" t="s">
        <v>14</v>
      </c>
      <c r="E2558" t="s">
        <v>230</v>
      </c>
      <c r="F2558" s="2" t="str">
        <f>HYPERLINK("http://www.otzar.org/book.asp?159544","איוב עם העתקה בלשון פארסי")</f>
        <v>איוב עם העתקה בלשון פארסי</v>
      </c>
    </row>
    <row r="2559" spans="1:6" x14ac:dyDescent="0.2">
      <c r="A2559" t="s">
        <v>5123</v>
      </c>
      <c r="B2559" t="s">
        <v>5124</v>
      </c>
      <c r="C2559" t="s">
        <v>5125</v>
      </c>
      <c r="D2559" t="s">
        <v>1490</v>
      </c>
      <c r="E2559" t="s">
        <v>104</v>
      </c>
      <c r="F2559" s="2" t="str">
        <f>HYPERLINK("http://www.otzar.org/book.asp?53290","איומה כנדגלות")</f>
        <v>איומה כנדגלות</v>
      </c>
    </row>
    <row r="2560" spans="1:6" x14ac:dyDescent="0.2">
      <c r="A2560" t="s">
        <v>5126</v>
      </c>
      <c r="B2560" t="s">
        <v>5127</v>
      </c>
      <c r="C2560" t="s">
        <v>114</v>
      </c>
      <c r="D2560" t="s">
        <v>52</v>
      </c>
      <c r="E2560" t="s">
        <v>1211</v>
      </c>
      <c r="F2560" s="2" t="str">
        <f>HYPERLINK("http://www.otzar.org/book.asp?161708","איזהו מקומן - 8 כר'")</f>
        <v>איזהו מקומן - 8 כר'</v>
      </c>
    </row>
    <row r="2561" spans="1:6" x14ac:dyDescent="0.2">
      <c r="A2561" t="s">
        <v>5128</v>
      </c>
      <c r="B2561" t="s">
        <v>5129</v>
      </c>
      <c r="C2561" t="s">
        <v>547</v>
      </c>
      <c r="D2561" t="s">
        <v>5130</v>
      </c>
      <c r="E2561" t="s">
        <v>148</v>
      </c>
      <c r="F2561" s="2" t="str">
        <f>HYPERLINK("http://www.otzar.org/book.asp?141131","איזהו נשך")</f>
        <v>איזהו נשך</v>
      </c>
    </row>
    <row r="2562" spans="1:6" x14ac:dyDescent="0.2">
      <c r="A2562" t="s">
        <v>5131</v>
      </c>
      <c r="B2562" t="s">
        <v>5132</v>
      </c>
      <c r="C2562" t="s">
        <v>244</v>
      </c>
      <c r="D2562" t="s">
        <v>412</v>
      </c>
      <c r="E2562" t="s">
        <v>15</v>
      </c>
      <c r="F2562" s="2" t="str">
        <f>HYPERLINK("http://www.otzar.org/book.asp?629826","איזהו רשות הרבים - 2 כר'")</f>
        <v>איזהו רשות הרבים - 2 כר'</v>
      </c>
    </row>
    <row r="2563" spans="1:6" x14ac:dyDescent="0.2">
      <c r="A2563" t="s">
        <v>5133</v>
      </c>
      <c r="B2563" t="s">
        <v>259</v>
      </c>
      <c r="C2563" t="s">
        <v>1570</v>
      </c>
      <c r="D2563" t="s">
        <v>216</v>
      </c>
      <c r="E2563" t="s">
        <v>119</v>
      </c>
      <c r="F2563" s="2" t="str">
        <f>HYPERLINK("http://www.otzar.org/book.asp?174382","איטליה")</f>
        <v>איטליה</v>
      </c>
    </row>
    <row r="2564" spans="1:6" x14ac:dyDescent="0.2">
      <c r="A2564" t="s">
        <v>5134</v>
      </c>
      <c r="B2564" t="s">
        <v>5135</v>
      </c>
      <c r="C2564" t="s">
        <v>151</v>
      </c>
      <c r="D2564" t="s">
        <v>3750</v>
      </c>
      <c r="E2564" t="s">
        <v>158</v>
      </c>
      <c r="F2564" s="2" t="str">
        <f>HYPERLINK("http://www.otzar.org/book.asp?616756","איי הים - 2 כר'")</f>
        <v>איי הים - 2 כר'</v>
      </c>
    </row>
    <row r="2565" spans="1:6" x14ac:dyDescent="0.2">
      <c r="A2565" t="s">
        <v>5136</v>
      </c>
      <c r="B2565" t="s">
        <v>5137</v>
      </c>
      <c r="C2565" t="s">
        <v>427</v>
      </c>
      <c r="D2565" t="s">
        <v>14</v>
      </c>
      <c r="E2565" t="s">
        <v>158</v>
      </c>
      <c r="F2565" s="2" t="str">
        <f>HYPERLINK("http://www.otzar.org/book.asp?84843","איי הים")</f>
        <v>איי הים</v>
      </c>
    </row>
    <row r="2566" spans="1:6" x14ac:dyDescent="0.2">
      <c r="A2566" t="s">
        <v>5136</v>
      </c>
      <c r="B2566" t="s">
        <v>5060</v>
      </c>
      <c r="C2566" t="s">
        <v>68</v>
      </c>
      <c r="D2566" t="s">
        <v>14</v>
      </c>
      <c r="E2566" t="s">
        <v>144</v>
      </c>
      <c r="F2566" s="2" t="str">
        <f>HYPERLINK("http://www.otzar.org/book.asp?156741","איי הים")</f>
        <v>איי הים</v>
      </c>
    </row>
    <row r="2567" spans="1:6" x14ac:dyDescent="0.2">
      <c r="A2567" t="s">
        <v>5138</v>
      </c>
      <c r="B2567" t="s">
        <v>5139</v>
      </c>
      <c r="C2567" t="s">
        <v>5140</v>
      </c>
      <c r="D2567" t="s">
        <v>3817</v>
      </c>
      <c r="E2567" t="s">
        <v>144</v>
      </c>
      <c r="F2567" s="2" t="str">
        <f>HYPERLINK("http://www.otzar.org/book.asp?173103","איי הים - 3 כר'")</f>
        <v>איי הים - 3 כר'</v>
      </c>
    </row>
    <row r="2568" spans="1:6" x14ac:dyDescent="0.2">
      <c r="A2568" t="s">
        <v>5141</v>
      </c>
      <c r="B2568" t="s">
        <v>1066</v>
      </c>
      <c r="C2568" t="s">
        <v>151</v>
      </c>
      <c r="D2568" t="s">
        <v>412</v>
      </c>
      <c r="E2568" t="s">
        <v>104</v>
      </c>
      <c r="F2568" s="2" t="str">
        <f>HYPERLINK("http://www.otzar.org/book.asp?621374","איידי דזוטר")</f>
        <v>איידי דזוטר</v>
      </c>
    </row>
    <row r="2569" spans="1:6" x14ac:dyDescent="0.2">
      <c r="A2569" t="s">
        <v>5142</v>
      </c>
      <c r="B2569" t="s">
        <v>5143</v>
      </c>
      <c r="C2569" t="s">
        <v>87</v>
      </c>
      <c r="D2569" t="s">
        <v>721</v>
      </c>
      <c r="E2569" t="s">
        <v>5144</v>
      </c>
      <c r="F2569" s="2" t="str">
        <f>HYPERLINK("http://www.otzar.org/book.asp?165873","איילת חשקי כלילת יופי - תולדות רבי אהרן פרץ")</f>
        <v>איילת חשקי כלילת יופי - תולדות רבי אהרן פרץ</v>
      </c>
    </row>
    <row r="2570" spans="1:6" x14ac:dyDescent="0.2">
      <c r="A2570" t="s">
        <v>5145</v>
      </c>
      <c r="B2570" t="s">
        <v>5052</v>
      </c>
      <c r="C2570" t="s">
        <v>553</v>
      </c>
      <c r="D2570" t="s">
        <v>412</v>
      </c>
      <c r="E2570" t="s">
        <v>144</v>
      </c>
      <c r="F2570" s="2" t="str">
        <f>HYPERLINK("http://www.otzar.org/book.asp?84770","איים בים - 9 כר'")</f>
        <v>איים בים - 9 כר'</v>
      </c>
    </row>
    <row r="2571" spans="1:6" x14ac:dyDescent="0.2">
      <c r="A2571" t="s">
        <v>5146</v>
      </c>
      <c r="B2571" t="s">
        <v>5147</v>
      </c>
      <c r="C2571" t="s">
        <v>5148</v>
      </c>
      <c r="D2571" t="s">
        <v>4539</v>
      </c>
      <c r="F2571" s="2" t="str">
        <f>HYPERLINK("http://www.otzar.org/book.asp?146848","איין נייא שין ליד אוף עשרת הדברות")</f>
        <v>איין נייא שין ליד אוף עשרת הדברות</v>
      </c>
    </row>
    <row r="2572" spans="1:6" x14ac:dyDescent="0.2">
      <c r="A2572" t="s">
        <v>5149</v>
      </c>
      <c r="B2572" t="s">
        <v>5150</v>
      </c>
      <c r="C2572" t="s">
        <v>5151</v>
      </c>
      <c r="D2572" t="s">
        <v>2599</v>
      </c>
      <c r="F2572" s="2" t="str">
        <f>HYPERLINK("http://www.otzar.org/book.asp?146847","איין נייע ליד")</f>
        <v>איין נייע ליד</v>
      </c>
    </row>
    <row r="2573" spans="1:6" x14ac:dyDescent="0.2">
      <c r="A2573" t="s">
        <v>5152</v>
      </c>
      <c r="B2573" t="s">
        <v>5153</v>
      </c>
      <c r="C2573" t="s">
        <v>5154</v>
      </c>
      <c r="D2573" t="s">
        <v>4539</v>
      </c>
      <c r="F2573" s="2" t="str">
        <f>HYPERLINK("http://www.otzar.org/book.asp?146845","איין שין ליד אויף שני קדושים")</f>
        <v>איין שין ליד אויף שני קדושים</v>
      </c>
    </row>
    <row r="2574" spans="1:6" x14ac:dyDescent="0.2">
      <c r="A2574" t="s">
        <v>5155</v>
      </c>
      <c r="B2574" t="s">
        <v>5150</v>
      </c>
      <c r="C2574" t="s">
        <v>5156</v>
      </c>
      <c r="D2574" t="s">
        <v>4539</v>
      </c>
      <c r="F2574" s="2" t="str">
        <f>HYPERLINK("http://www.otzar.org/book.asp?146905","איין שין ליד")</f>
        <v>איין שין ליד</v>
      </c>
    </row>
    <row r="2575" spans="1:6" x14ac:dyDescent="0.2">
      <c r="A2575" t="s">
        <v>5157</v>
      </c>
      <c r="B2575" t="s">
        <v>5157</v>
      </c>
      <c r="C2575" t="s">
        <v>20</v>
      </c>
      <c r="D2575" t="s">
        <v>90</v>
      </c>
      <c r="F2575" s="2" t="str">
        <f>HYPERLINK("http://www.otzar.org/book.asp?146846","איין שין מעשה")</f>
        <v>איין שין מעשה</v>
      </c>
    </row>
    <row r="2576" spans="1:6" x14ac:dyDescent="0.2">
      <c r="A2576" t="s">
        <v>5158</v>
      </c>
      <c r="B2576" t="s">
        <v>5159</v>
      </c>
      <c r="C2576" t="s">
        <v>5160</v>
      </c>
      <c r="D2576" t="s">
        <v>2599</v>
      </c>
      <c r="E2576" t="s">
        <v>4738</v>
      </c>
      <c r="F2576" s="2" t="str">
        <f>HYPERLINK("http://www.otzar.org/book.asp?163383","איין שין נייא תורה ליד")</f>
        <v>איין שין נייא תורה ליד</v>
      </c>
    </row>
    <row r="2577" spans="1:6" x14ac:dyDescent="0.2">
      <c r="A2577" t="s">
        <v>5161</v>
      </c>
      <c r="B2577" t="s">
        <v>5162</v>
      </c>
      <c r="C2577" t="s">
        <v>5163</v>
      </c>
      <c r="D2577" t="s">
        <v>327</v>
      </c>
      <c r="E2577" t="s">
        <v>158</v>
      </c>
      <c r="F2577" s="2" t="str">
        <f>HYPERLINK("http://www.otzar.org/book.asp?300222","איל המלאים")</f>
        <v>איל המלאים</v>
      </c>
    </row>
    <row r="2578" spans="1:6" x14ac:dyDescent="0.2">
      <c r="A2578" t="s">
        <v>5164</v>
      </c>
      <c r="B2578" t="s">
        <v>5165</v>
      </c>
      <c r="C2578" t="s">
        <v>114</v>
      </c>
      <c r="D2578" t="s">
        <v>1076</v>
      </c>
      <c r="E2578" t="s">
        <v>5166</v>
      </c>
      <c r="F2578" s="2" t="str">
        <f>HYPERLINK("http://www.otzar.org/book.asp?160211","איל וצבי")</f>
        <v>איל וצבי</v>
      </c>
    </row>
    <row r="2579" spans="1:6" x14ac:dyDescent="0.2">
      <c r="A2579" t="s">
        <v>5167</v>
      </c>
      <c r="B2579" t="s">
        <v>5168</v>
      </c>
      <c r="C2579" t="s">
        <v>5169</v>
      </c>
      <c r="D2579" t="s">
        <v>267</v>
      </c>
      <c r="E2579" t="s">
        <v>2758</v>
      </c>
      <c r="F2579" s="2" t="str">
        <f>HYPERLINK("http://www.otzar.org/book.asp?300215","איל יצחק")</f>
        <v>איל יצחק</v>
      </c>
    </row>
    <row r="2580" spans="1:6" x14ac:dyDescent="0.2">
      <c r="A2580" t="s">
        <v>5170</v>
      </c>
      <c r="B2580" t="s">
        <v>5171</v>
      </c>
      <c r="C2580" t="s">
        <v>133</v>
      </c>
      <c r="D2580" t="s">
        <v>5172</v>
      </c>
      <c r="E2580" t="s">
        <v>15</v>
      </c>
      <c r="F2580" s="2" t="str">
        <f>HYPERLINK("http://www.otzar.org/book.asp?181893","איל יצחק - תקיעת שופר")</f>
        <v>איל יצחק - תקיעת שופר</v>
      </c>
    </row>
    <row r="2581" spans="1:6" x14ac:dyDescent="0.2">
      <c r="A2581" t="s">
        <v>5173</v>
      </c>
      <c r="B2581" t="s">
        <v>5174</v>
      </c>
      <c r="C2581" t="s">
        <v>1437</v>
      </c>
      <c r="D2581" t="s">
        <v>283</v>
      </c>
      <c r="E2581" t="s">
        <v>5175</v>
      </c>
      <c r="F2581" s="2" t="str">
        <f>HYPERLINK("http://www.otzar.org/book.asp?100242","איל מלאים")</f>
        <v>איל מלאים</v>
      </c>
    </row>
    <row r="2582" spans="1:6" x14ac:dyDescent="0.2">
      <c r="A2582" t="s">
        <v>5176</v>
      </c>
      <c r="B2582" t="s">
        <v>5177</v>
      </c>
      <c r="C2582" t="s">
        <v>533</v>
      </c>
      <c r="D2582" t="s">
        <v>52</v>
      </c>
      <c r="E2582" t="s">
        <v>148</v>
      </c>
      <c r="F2582" s="2" t="str">
        <f>HYPERLINK("http://www.otzar.org/book.asp?8465","איל מלואים - 3 כר'")</f>
        <v>איל מלואים - 3 כר'</v>
      </c>
    </row>
    <row r="2583" spans="1:6" x14ac:dyDescent="0.2">
      <c r="A2583" t="s">
        <v>5178</v>
      </c>
      <c r="B2583" t="s">
        <v>5179</v>
      </c>
      <c r="C2583" t="s">
        <v>189</v>
      </c>
      <c r="D2583" t="s">
        <v>14</v>
      </c>
      <c r="E2583" t="s">
        <v>104</v>
      </c>
      <c r="F2583" s="2" t="str">
        <f>HYPERLINK("http://www.otzar.org/book.asp?186727","איל משולש &lt;מבואר&gt;")</f>
        <v>איל משולש &lt;מבואר&gt;</v>
      </c>
    </row>
    <row r="2584" spans="1:6" x14ac:dyDescent="0.2">
      <c r="A2584" t="s">
        <v>5180</v>
      </c>
      <c r="B2584" t="s">
        <v>1821</v>
      </c>
      <c r="C2584" t="s">
        <v>282</v>
      </c>
      <c r="D2584" t="s">
        <v>56</v>
      </c>
      <c r="E2584" t="s">
        <v>104</v>
      </c>
      <c r="F2584" s="2" t="str">
        <f>HYPERLINK("http://www.otzar.org/book.asp?52183","איל משולש - 2 כר'")</f>
        <v>איל משולש - 2 כר'</v>
      </c>
    </row>
    <row r="2585" spans="1:6" x14ac:dyDescent="0.2">
      <c r="A2585" t="s">
        <v>5181</v>
      </c>
      <c r="B2585" t="s">
        <v>5182</v>
      </c>
      <c r="C2585" t="s">
        <v>1388</v>
      </c>
      <c r="D2585" t="s">
        <v>5183</v>
      </c>
      <c r="E2585" t="s">
        <v>15</v>
      </c>
      <c r="F2585" s="2" t="str">
        <f>HYPERLINK("http://www.otzar.org/book.asp?23921","איל משולש - 5 כר'")</f>
        <v>איל משולש - 5 כר'</v>
      </c>
    </row>
    <row r="2586" spans="1:6" x14ac:dyDescent="0.2">
      <c r="A2586" t="s">
        <v>5184</v>
      </c>
      <c r="B2586" t="s">
        <v>5185</v>
      </c>
      <c r="C2586" t="s">
        <v>244</v>
      </c>
      <c r="D2586" t="s">
        <v>52</v>
      </c>
      <c r="E2586" t="s">
        <v>5186</v>
      </c>
      <c r="F2586" s="2" t="str">
        <f>HYPERLINK("http://www.otzar.org/book.asp?600054","איל תערוג - 3 כר'")</f>
        <v>איל תערוג - 3 כר'</v>
      </c>
    </row>
    <row r="2587" spans="1:6" x14ac:dyDescent="0.2">
      <c r="A2587" t="s">
        <v>5187</v>
      </c>
      <c r="B2587" t="s">
        <v>1838</v>
      </c>
      <c r="C2587" t="s">
        <v>624</v>
      </c>
      <c r="D2587" t="s">
        <v>14</v>
      </c>
      <c r="E2587" t="s">
        <v>158</v>
      </c>
      <c r="F2587" s="2" t="str">
        <f>HYPERLINK("http://www.otzar.org/book.asp?84407","אילה שלוחה &lt;על התורה&gt; - 3 כר'")</f>
        <v>אילה שלוחה &lt;על התורה&gt; - 3 כר'</v>
      </c>
    </row>
    <row r="2588" spans="1:6" x14ac:dyDescent="0.2">
      <c r="A2588" t="s">
        <v>5188</v>
      </c>
      <c r="B2588" t="s">
        <v>1838</v>
      </c>
      <c r="C2588" t="s">
        <v>68</v>
      </c>
      <c r="D2588" t="s">
        <v>14</v>
      </c>
      <c r="E2588" t="s">
        <v>158</v>
      </c>
      <c r="F2588" s="2" t="str">
        <f>HYPERLINK("http://www.otzar.org/book.asp?156469","אילה שלוחה &lt;על נביאים&gt; - 4 כר'")</f>
        <v>אילה שלוחה &lt;על נביאים&gt; - 4 כר'</v>
      </c>
    </row>
    <row r="2589" spans="1:6" x14ac:dyDescent="0.2">
      <c r="A2589" t="s">
        <v>5189</v>
      </c>
      <c r="B2589" t="s">
        <v>5190</v>
      </c>
      <c r="C2589" t="s">
        <v>1437</v>
      </c>
      <c r="D2589" t="s">
        <v>855</v>
      </c>
      <c r="E2589" t="s">
        <v>1211</v>
      </c>
      <c r="F2589" s="2" t="str">
        <f>HYPERLINK("http://www.otzar.org/book.asp?104903","אילה שלוחה")</f>
        <v>אילה שלוחה</v>
      </c>
    </row>
    <row r="2590" spans="1:6" x14ac:dyDescent="0.2">
      <c r="A2590" t="s">
        <v>5191</v>
      </c>
      <c r="B2590" t="s">
        <v>2346</v>
      </c>
      <c r="C2590" t="s">
        <v>2008</v>
      </c>
      <c r="D2590" t="s">
        <v>974</v>
      </c>
      <c r="E2590" t="s">
        <v>957</v>
      </c>
      <c r="F2590" s="2" t="str">
        <f>HYPERLINK("http://www.otzar.org/book.asp?461","אילה שלוחה - 2 כר'")</f>
        <v>אילה שלוחה - 2 כר'</v>
      </c>
    </row>
    <row r="2591" spans="1:6" x14ac:dyDescent="0.2">
      <c r="A2591" t="s">
        <v>5192</v>
      </c>
      <c r="B2591" t="s">
        <v>1838</v>
      </c>
      <c r="C2591" t="s">
        <v>143</v>
      </c>
      <c r="D2591" t="s">
        <v>14</v>
      </c>
      <c r="E2591" t="s">
        <v>144</v>
      </c>
      <c r="F2591" s="2" t="str">
        <f>HYPERLINK("http://www.otzar.org/book.asp?22984","אילה שלוחה - 30 כר'")</f>
        <v>אילה שלוחה - 30 כר'</v>
      </c>
    </row>
    <row r="2592" spans="1:6" x14ac:dyDescent="0.2">
      <c r="A2592" t="s">
        <v>5189</v>
      </c>
      <c r="B2592" t="s">
        <v>5193</v>
      </c>
      <c r="C2592" t="s">
        <v>17</v>
      </c>
      <c r="D2592" t="s">
        <v>14</v>
      </c>
      <c r="E2592" t="s">
        <v>5194</v>
      </c>
      <c r="F2592" s="2" t="str">
        <f>HYPERLINK("http://www.otzar.org/book.asp?21374","אילה שלוחה")</f>
        <v>אילה שלוחה</v>
      </c>
    </row>
    <row r="2593" spans="1:6" x14ac:dyDescent="0.2">
      <c r="A2593" t="s">
        <v>5189</v>
      </c>
      <c r="B2593" t="s">
        <v>5195</v>
      </c>
      <c r="C2593" t="s">
        <v>896</v>
      </c>
      <c r="D2593" t="s">
        <v>283</v>
      </c>
      <c r="E2593" t="s">
        <v>158</v>
      </c>
      <c r="F2593" s="2" t="str">
        <f>HYPERLINK("http://www.otzar.org/book.asp?300229","אילה שלוחה")</f>
        <v>אילה שלוחה</v>
      </c>
    </row>
    <row r="2594" spans="1:6" x14ac:dyDescent="0.2">
      <c r="A2594" t="s">
        <v>5196</v>
      </c>
      <c r="B2594" t="s">
        <v>5197</v>
      </c>
      <c r="C2594" t="s">
        <v>454</v>
      </c>
      <c r="D2594" t="s">
        <v>14</v>
      </c>
      <c r="E2594" t="s">
        <v>144</v>
      </c>
      <c r="F2594" s="2" t="str">
        <f>HYPERLINK("http://www.otzar.org/book.asp?152528","אילה שלוחה - בבא בתרא")</f>
        <v>אילה שלוחה - בבא בתרא</v>
      </c>
    </row>
    <row r="2595" spans="1:6" x14ac:dyDescent="0.2">
      <c r="A2595" t="s">
        <v>5189</v>
      </c>
      <c r="B2595" t="s">
        <v>5198</v>
      </c>
      <c r="C2595" t="s">
        <v>748</v>
      </c>
      <c r="D2595" t="s">
        <v>283</v>
      </c>
      <c r="E2595" t="s">
        <v>508</v>
      </c>
      <c r="F2595" s="2" t="str">
        <f>HYPERLINK("http://www.otzar.org/book.asp?102831","אילה שלוחה")</f>
        <v>אילה שלוחה</v>
      </c>
    </row>
    <row r="2596" spans="1:6" x14ac:dyDescent="0.2">
      <c r="A2596" t="s">
        <v>5189</v>
      </c>
      <c r="B2596" t="s">
        <v>5199</v>
      </c>
      <c r="C2596" t="s">
        <v>698</v>
      </c>
      <c r="D2596" t="s">
        <v>5200</v>
      </c>
      <c r="E2596" t="s">
        <v>104</v>
      </c>
      <c r="F2596" s="2" t="str">
        <f>HYPERLINK("http://www.otzar.org/book.asp?300055","אילה שלוחה")</f>
        <v>אילה שלוחה</v>
      </c>
    </row>
    <row r="2597" spans="1:6" x14ac:dyDescent="0.2">
      <c r="A2597" t="s">
        <v>5201</v>
      </c>
      <c r="B2597" t="s">
        <v>5202</v>
      </c>
      <c r="C2597" t="s">
        <v>383</v>
      </c>
      <c r="D2597" t="s">
        <v>2458</v>
      </c>
      <c r="E2597" t="s">
        <v>2071</v>
      </c>
      <c r="F2597" s="2" t="str">
        <f>HYPERLINK("http://www.otzar.org/book.asp?148905","אילה שלוחה - קרן ישועה")</f>
        <v>אילה שלוחה - קרן ישועה</v>
      </c>
    </row>
    <row r="2598" spans="1:6" x14ac:dyDescent="0.2">
      <c r="A2598" t="s">
        <v>5189</v>
      </c>
      <c r="B2598" t="s">
        <v>5203</v>
      </c>
      <c r="C2598" t="s">
        <v>1124</v>
      </c>
      <c r="D2598" t="s">
        <v>1801</v>
      </c>
      <c r="E2598" t="s">
        <v>158</v>
      </c>
      <c r="F2598" s="2" t="str">
        <f>HYPERLINK("http://www.otzar.org/book.asp?108768","אילה שלוחה")</f>
        <v>אילה שלוחה</v>
      </c>
    </row>
    <row r="2599" spans="1:6" x14ac:dyDescent="0.2">
      <c r="A2599" t="s">
        <v>5204</v>
      </c>
      <c r="B2599" t="s">
        <v>5205</v>
      </c>
      <c r="C2599" t="s">
        <v>466</v>
      </c>
      <c r="D2599" t="s">
        <v>1511</v>
      </c>
      <c r="E2599" t="s">
        <v>144</v>
      </c>
      <c r="F2599" s="2" t="str">
        <f>HYPERLINK("http://www.otzar.org/book.asp?625031","אילו של אברהם - 2 כר'")</f>
        <v>אילו של אברהם - 2 כר'</v>
      </c>
    </row>
    <row r="2600" spans="1:6" x14ac:dyDescent="0.2">
      <c r="A2600" t="s">
        <v>5206</v>
      </c>
      <c r="B2600" t="s">
        <v>5207</v>
      </c>
      <c r="C2600" t="s">
        <v>5208</v>
      </c>
      <c r="D2600" t="s">
        <v>5209</v>
      </c>
      <c r="E2600" t="s">
        <v>733</v>
      </c>
      <c r="F2600" s="2" t="str">
        <f>HYPERLINK("http://www.otzar.org/book.asp?12793","אילם - 8 כר'")</f>
        <v>אילם - 8 כר'</v>
      </c>
    </row>
    <row r="2601" spans="1:6" x14ac:dyDescent="0.2">
      <c r="A2601" t="s">
        <v>5210</v>
      </c>
      <c r="B2601" t="s">
        <v>4201</v>
      </c>
      <c r="C2601" t="s">
        <v>728</v>
      </c>
      <c r="D2601" t="s">
        <v>5211</v>
      </c>
      <c r="E2601" t="s">
        <v>399</v>
      </c>
      <c r="F2601" s="2" t="str">
        <f>HYPERLINK("http://www.otzar.org/book.asp?15855","אילמה רבתי")</f>
        <v>אילמה רבתי</v>
      </c>
    </row>
    <row r="2602" spans="1:6" x14ac:dyDescent="0.2">
      <c r="A2602" t="s">
        <v>5212</v>
      </c>
      <c r="B2602" t="s">
        <v>5213</v>
      </c>
      <c r="C2602" t="s">
        <v>244</v>
      </c>
      <c r="D2602" t="s">
        <v>21</v>
      </c>
      <c r="F2602" s="2" t="str">
        <f>HYPERLINK("http://www.otzar.org/book.asp?603900","אילן אילן במה אברכך")</f>
        <v>אילן אילן במה אברכך</v>
      </c>
    </row>
    <row r="2603" spans="1:6" x14ac:dyDescent="0.2">
      <c r="A2603" t="s">
        <v>5214</v>
      </c>
      <c r="B2603" t="s">
        <v>3731</v>
      </c>
      <c r="C2603" t="s">
        <v>950</v>
      </c>
      <c r="D2603" t="s">
        <v>2295</v>
      </c>
      <c r="E2603" t="s">
        <v>399</v>
      </c>
      <c r="F2603" s="2" t="str">
        <f>HYPERLINK("http://www.otzar.org/book.asp?53291","אילן הגדול - 2 כר'")</f>
        <v>אילן הגדול - 2 כר'</v>
      </c>
    </row>
    <row r="2604" spans="1:6" x14ac:dyDescent="0.2">
      <c r="A2604" t="s">
        <v>5215</v>
      </c>
      <c r="B2604" t="s">
        <v>5216</v>
      </c>
      <c r="C2604" t="s">
        <v>151</v>
      </c>
      <c r="D2604" t="s">
        <v>1156</v>
      </c>
      <c r="E2604" t="s">
        <v>148</v>
      </c>
      <c r="F2604" s="2" t="str">
        <f>HYPERLINK("http://www.otzar.org/book.asp?622130","אילן המשפט")</f>
        <v>אילן המשפט</v>
      </c>
    </row>
    <row r="2605" spans="1:6" x14ac:dyDescent="0.2">
      <c r="A2605" t="s">
        <v>5217</v>
      </c>
      <c r="B2605" t="s">
        <v>5218</v>
      </c>
      <c r="C2605" t="s">
        <v>168</v>
      </c>
      <c r="D2605" t="s">
        <v>14</v>
      </c>
      <c r="E2605" t="s">
        <v>241</v>
      </c>
      <c r="F2605" s="2" t="str">
        <f>HYPERLINK("http://www.otzar.org/book.asp?53657","אילן הקדוש")</f>
        <v>אילן הקדוש</v>
      </c>
    </row>
    <row r="2606" spans="1:6" x14ac:dyDescent="0.2">
      <c r="A2606" t="s">
        <v>5219</v>
      </c>
      <c r="B2606" t="s">
        <v>5220</v>
      </c>
      <c r="C2606" t="s">
        <v>1062</v>
      </c>
      <c r="D2606" t="s">
        <v>27</v>
      </c>
      <c r="E2606" t="s">
        <v>119</v>
      </c>
      <c r="F2606" s="2" t="str">
        <f>HYPERLINK("http://www.otzar.org/book.asp?144715","אילן ונופו")</f>
        <v>אילן ונופו</v>
      </c>
    </row>
    <row r="2607" spans="1:6" x14ac:dyDescent="0.2">
      <c r="A2607" t="s">
        <v>5221</v>
      </c>
      <c r="B2607" t="s">
        <v>5222</v>
      </c>
      <c r="C2607" t="s">
        <v>13</v>
      </c>
      <c r="D2607" t="s">
        <v>14</v>
      </c>
      <c r="E2607" t="s">
        <v>104</v>
      </c>
      <c r="F2607" s="2" t="str">
        <f>HYPERLINK("http://www.otzar.org/book.asp?63419","אילן יוחסין למשפחת אליעזר ליפמן פיליפ פרינץ")</f>
        <v>אילן יוחסין למשפחת אליעזר ליפמן פיליפ פרינץ</v>
      </c>
    </row>
    <row r="2608" spans="1:6" x14ac:dyDescent="0.2">
      <c r="A2608" t="s">
        <v>5223</v>
      </c>
      <c r="B2608" t="s">
        <v>5224</v>
      </c>
      <c r="C2608" t="s">
        <v>146</v>
      </c>
      <c r="D2608" t="s">
        <v>21</v>
      </c>
      <c r="E2608" t="s">
        <v>399</v>
      </c>
      <c r="F2608" s="2" t="str">
        <f>HYPERLINK("http://www.otzar.org/book.asp?195523","אילן רמח""ל עם שורש האילן")</f>
        <v>אילן רמח"ל עם שורש האילן</v>
      </c>
    </row>
    <row r="2609" spans="1:6" x14ac:dyDescent="0.2">
      <c r="A2609" t="s">
        <v>5225</v>
      </c>
      <c r="B2609" t="s">
        <v>1005</v>
      </c>
      <c r="C2609" t="s">
        <v>940</v>
      </c>
      <c r="D2609" t="s">
        <v>90</v>
      </c>
      <c r="E2609" t="s">
        <v>202</v>
      </c>
      <c r="F2609" s="2" t="str">
        <f>HYPERLINK("http://www.otzar.org/book.asp?618073","אילנא דחיי שרה")</f>
        <v>אילנא דחיי שרה</v>
      </c>
    </row>
    <row r="2610" spans="1:6" x14ac:dyDescent="0.2">
      <c r="A2610" t="s">
        <v>5226</v>
      </c>
      <c r="B2610" t="s">
        <v>5227</v>
      </c>
      <c r="C2610" t="s">
        <v>462</v>
      </c>
      <c r="D2610" t="s">
        <v>225</v>
      </c>
      <c r="E2610" t="s">
        <v>158</v>
      </c>
      <c r="F2610" s="2" t="str">
        <f>HYPERLINK("http://www.otzar.org/book.asp?15839","אילנא דחיי - 2 כר'")</f>
        <v>אילנא דחיי - 2 כר'</v>
      </c>
    </row>
    <row r="2611" spans="1:6" x14ac:dyDescent="0.2">
      <c r="A2611" t="s">
        <v>5228</v>
      </c>
      <c r="B2611" t="s">
        <v>1750</v>
      </c>
      <c r="C2611" t="s">
        <v>189</v>
      </c>
      <c r="D2611" t="s">
        <v>14</v>
      </c>
      <c r="E2611" t="s">
        <v>202</v>
      </c>
      <c r="F2611" s="2" t="str">
        <f>HYPERLINK("http://www.otzar.org/book.asp?169028","אילנא דחיי")</f>
        <v>אילנא דחיי</v>
      </c>
    </row>
    <row r="2612" spans="1:6" x14ac:dyDescent="0.2">
      <c r="A2612" t="s">
        <v>5228</v>
      </c>
      <c r="B2612" t="s">
        <v>2396</v>
      </c>
      <c r="C2612" t="s">
        <v>20</v>
      </c>
      <c r="D2612" t="s">
        <v>1076</v>
      </c>
      <c r="E2612" t="s">
        <v>579</v>
      </c>
      <c r="F2612" s="2" t="str">
        <f>HYPERLINK("http://www.otzar.org/book.asp?22916","אילנא דחיי")</f>
        <v>אילנא דחיי</v>
      </c>
    </row>
    <row r="2613" spans="1:6" x14ac:dyDescent="0.2">
      <c r="A2613" t="s">
        <v>5229</v>
      </c>
      <c r="B2613" t="s">
        <v>5230</v>
      </c>
      <c r="C2613" t="s">
        <v>5231</v>
      </c>
      <c r="D2613" t="s">
        <v>5232</v>
      </c>
      <c r="E2613" t="s">
        <v>148</v>
      </c>
      <c r="F2613" s="2" t="str">
        <f>HYPERLINK("http://www.otzar.org/book.asp?100267","אילנא דחייא &lt;אילנא דחיי&gt; - 3 כר'")</f>
        <v>אילנא דחייא &lt;אילנא דחיי&gt; - 3 כר'</v>
      </c>
    </row>
    <row r="2614" spans="1:6" x14ac:dyDescent="0.2">
      <c r="A2614" t="s">
        <v>5233</v>
      </c>
      <c r="B2614" t="s">
        <v>5234</v>
      </c>
      <c r="C2614" t="s">
        <v>189</v>
      </c>
      <c r="D2614" t="s">
        <v>14</v>
      </c>
      <c r="E2614" t="s">
        <v>15</v>
      </c>
      <c r="F2614" s="2" t="str">
        <f>HYPERLINK("http://www.otzar.org/book.asp?141808","אילנא רברבא")</f>
        <v>אילנא רברבא</v>
      </c>
    </row>
    <row r="2615" spans="1:6" x14ac:dyDescent="0.2">
      <c r="A2615" t="s">
        <v>5235</v>
      </c>
      <c r="B2615" t="s">
        <v>3888</v>
      </c>
      <c r="C2615" t="s">
        <v>68</v>
      </c>
      <c r="D2615" t="s">
        <v>14</v>
      </c>
      <c r="E2615" t="s">
        <v>130</v>
      </c>
      <c r="F2615" s="2" t="str">
        <f>HYPERLINK("http://www.otzar.org/book.asp?156899","אילנות השדה - ט""ו בשבט")</f>
        <v>אילנות השדה - ט"ו בשבט</v>
      </c>
    </row>
    <row r="2616" spans="1:6" x14ac:dyDescent="0.2">
      <c r="A2616" t="s">
        <v>5236</v>
      </c>
      <c r="B2616" t="s">
        <v>5237</v>
      </c>
      <c r="C2616" t="s">
        <v>1160</v>
      </c>
      <c r="D2616" t="s">
        <v>118</v>
      </c>
      <c r="E2616" t="s">
        <v>733</v>
      </c>
      <c r="F2616" s="2" t="str">
        <f>HYPERLINK("http://www.otzar.org/book.asp?155429","אילנות")</f>
        <v>אילנות</v>
      </c>
    </row>
    <row r="2617" spans="1:6" x14ac:dyDescent="0.2">
      <c r="A2617" t="s">
        <v>5238</v>
      </c>
      <c r="B2617" t="s">
        <v>5239</v>
      </c>
      <c r="C2617" t="s">
        <v>13</v>
      </c>
      <c r="D2617" t="s">
        <v>14</v>
      </c>
      <c r="E2617" t="s">
        <v>158</v>
      </c>
      <c r="F2617" s="2" t="str">
        <f>HYPERLINK("http://www.otzar.org/book.asp?171335","אילני דפלפלי")</f>
        <v>אילני דפלפלי</v>
      </c>
    </row>
    <row r="2618" spans="1:6" x14ac:dyDescent="0.2">
      <c r="A2618" t="s">
        <v>5240</v>
      </c>
      <c r="B2618" t="s">
        <v>5241</v>
      </c>
      <c r="C2618" t="s">
        <v>5242</v>
      </c>
      <c r="D2618" t="s">
        <v>49</v>
      </c>
      <c r="E2618" t="s">
        <v>158</v>
      </c>
      <c r="F2618" s="2" t="str">
        <f>HYPERLINK("http://www.otzar.org/book.asp?53292","אילת אהבים &lt;דפו""ר&gt;")</f>
        <v>אילת אהבים &lt;דפו"ר&gt;</v>
      </c>
    </row>
    <row r="2619" spans="1:6" x14ac:dyDescent="0.2">
      <c r="A2619" t="s">
        <v>5243</v>
      </c>
      <c r="B2619" t="s">
        <v>5241</v>
      </c>
      <c r="C2619" t="s">
        <v>313</v>
      </c>
      <c r="D2619" t="s">
        <v>14</v>
      </c>
      <c r="E2619" t="s">
        <v>230</v>
      </c>
      <c r="F2619" s="2" t="str">
        <f>HYPERLINK("http://www.otzar.org/book.asp?178967","אילת אהבים &lt;מהדורה חדשה&gt; (הגדה של פסח - כתב אשורית)")</f>
        <v>אילת אהבים &lt;מהדורה חדשה&gt; (הגדה של פסח - כתב אשורית)</v>
      </c>
    </row>
    <row r="2620" spans="1:6" x14ac:dyDescent="0.2">
      <c r="A2620" t="s">
        <v>5244</v>
      </c>
      <c r="B2620" t="s">
        <v>5245</v>
      </c>
      <c r="D2620" t="s">
        <v>412</v>
      </c>
      <c r="E2620" t="s">
        <v>172</v>
      </c>
      <c r="F2620" s="2" t="str">
        <f>HYPERLINK("http://www.otzar.org/book.asp?161516","אילת אהבים &lt;מהדורה חדשה&gt;")</f>
        <v>אילת אהבים &lt;מהדורה חדשה&gt;</v>
      </c>
    </row>
    <row r="2621" spans="1:6" x14ac:dyDescent="0.2">
      <c r="A2621" t="s">
        <v>5246</v>
      </c>
      <c r="B2621" t="s">
        <v>5241</v>
      </c>
      <c r="C2621" t="s">
        <v>1811</v>
      </c>
      <c r="D2621" t="s">
        <v>14</v>
      </c>
      <c r="E2621" t="s">
        <v>158</v>
      </c>
      <c r="F2621" s="2" t="str">
        <f>HYPERLINK("http://www.otzar.org/book.asp?154142","אילת אהבים - 3 כר'")</f>
        <v>אילת אהבים - 3 כר'</v>
      </c>
    </row>
    <row r="2622" spans="1:6" x14ac:dyDescent="0.2">
      <c r="A2622" t="s">
        <v>5247</v>
      </c>
      <c r="B2622" t="s">
        <v>5248</v>
      </c>
      <c r="C2622" t="s">
        <v>133</v>
      </c>
      <c r="D2622" t="s">
        <v>14</v>
      </c>
      <c r="E2622" t="s">
        <v>241</v>
      </c>
      <c r="F2622" s="2" t="str">
        <f>HYPERLINK("http://www.otzar.org/book.asp?175956","אילת אהבים")</f>
        <v>אילת אהבים</v>
      </c>
    </row>
    <row r="2623" spans="1:6" x14ac:dyDescent="0.2">
      <c r="A2623" t="s">
        <v>5247</v>
      </c>
      <c r="B2623" t="s">
        <v>5249</v>
      </c>
      <c r="C2623" t="s">
        <v>343</v>
      </c>
      <c r="D2623" t="s">
        <v>535</v>
      </c>
      <c r="E2623" t="s">
        <v>213</v>
      </c>
      <c r="F2623" s="2" t="str">
        <f>HYPERLINK("http://www.otzar.org/book.asp?146902","אילת אהבים")</f>
        <v>אילת אהבים</v>
      </c>
    </row>
    <row r="2624" spans="1:6" x14ac:dyDescent="0.2">
      <c r="A2624" t="s">
        <v>5250</v>
      </c>
      <c r="B2624" t="s">
        <v>5251</v>
      </c>
      <c r="C2624" t="s">
        <v>129</v>
      </c>
      <c r="D2624" t="s">
        <v>52</v>
      </c>
      <c r="E2624" t="s">
        <v>186</v>
      </c>
      <c r="F2624" s="2" t="str">
        <f>HYPERLINK("http://www.otzar.org/book.asp?85244","אילת אהבים - קידושין")</f>
        <v>אילת אהבים - קידושין</v>
      </c>
    </row>
    <row r="2625" spans="1:6" x14ac:dyDescent="0.2">
      <c r="A2625" t="s">
        <v>5252</v>
      </c>
      <c r="B2625" t="s">
        <v>5253</v>
      </c>
      <c r="C2625" t="s">
        <v>244</v>
      </c>
      <c r="D2625" t="s">
        <v>486</v>
      </c>
      <c r="E2625" t="s">
        <v>144</v>
      </c>
      <c r="F2625" s="2" t="str">
        <f>HYPERLINK("http://www.otzar.org/book.asp?606478","אילת אהבים - 6 כר'")</f>
        <v>אילת אהבים - 6 כר'</v>
      </c>
    </row>
    <row r="2626" spans="1:6" x14ac:dyDescent="0.2">
      <c r="A2626" t="s">
        <v>5254</v>
      </c>
      <c r="B2626" t="s">
        <v>5255</v>
      </c>
      <c r="C2626" t="s">
        <v>20</v>
      </c>
      <c r="D2626" t="s">
        <v>90</v>
      </c>
      <c r="E2626" t="s">
        <v>399</v>
      </c>
      <c r="F2626" s="2" t="str">
        <f>HYPERLINK("http://www.otzar.org/book.asp?629706","אילת אהבים - 5 כר'")</f>
        <v>אילת אהבים - 5 כר'</v>
      </c>
    </row>
    <row r="2627" spans="1:6" x14ac:dyDescent="0.2">
      <c r="A2627" t="s">
        <v>5247</v>
      </c>
      <c r="B2627" t="s">
        <v>5256</v>
      </c>
      <c r="C2627" t="s">
        <v>5257</v>
      </c>
      <c r="D2627" t="s">
        <v>5258</v>
      </c>
      <c r="E2627" t="s">
        <v>144</v>
      </c>
      <c r="F2627" s="2" t="str">
        <f>HYPERLINK("http://www.otzar.org/book.asp?100268","אילת אהבים")</f>
        <v>אילת אהבים</v>
      </c>
    </row>
    <row r="2628" spans="1:6" x14ac:dyDescent="0.2">
      <c r="A2628" t="s">
        <v>5259</v>
      </c>
      <c r="B2628" t="s">
        <v>1353</v>
      </c>
      <c r="C2628" t="s">
        <v>411</v>
      </c>
      <c r="D2628" t="s">
        <v>52</v>
      </c>
      <c r="E2628" t="s">
        <v>158</v>
      </c>
      <c r="F2628" s="2" t="str">
        <f>HYPERLINK("http://www.otzar.org/book.asp?167841","אילת השחר על התורה - 5 כר'")</f>
        <v>אילת השחר על התורה - 5 כר'</v>
      </c>
    </row>
    <row r="2629" spans="1:6" x14ac:dyDescent="0.2">
      <c r="A2629" t="s">
        <v>5260</v>
      </c>
      <c r="B2629" t="s">
        <v>206</v>
      </c>
      <c r="C2629" t="s">
        <v>23</v>
      </c>
      <c r="D2629" t="s">
        <v>2458</v>
      </c>
      <c r="E2629" t="s">
        <v>158</v>
      </c>
      <c r="F2629" s="2" t="str">
        <f>HYPERLINK("http://www.otzar.org/book.asp?199633","אילת השחר")</f>
        <v>אילת השחר</v>
      </c>
    </row>
    <row r="2630" spans="1:6" x14ac:dyDescent="0.2">
      <c r="A2630" t="s">
        <v>5261</v>
      </c>
      <c r="B2630" t="s">
        <v>5262</v>
      </c>
      <c r="C2630" t="s">
        <v>422</v>
      </c>
      <c r="D2630" t="s">
        <v>412</v>
      </c>
      <c r="E2630" t="s">
        <v>246</v>
      </c>
      <c r="F2630" s="2" t="str">
        <f>HYPERLINK("http://www.otzar.org/book.asp?170422","אילת השחר - 2 כר'")</f>
        <v>אילת השחר - 2 כר'</v>
      </c>
    </row>
    <row r="2631" spans="1:6" x14ac:dyDescent="0.2">
      <c r="A2631" t="s">
        <v>5263</v>
      </c>
      <c r="B2631" t="s">
        <v>5264</v>
      </c>
      <c r="C2631" t="s">
        <v>946</v>
      </c>
      <c r="D2631" t="s">
        <v>726</v>
      </c>
      <c r="E2631" t="s">
        <v>15</v>
      </c>
      <c r="F2631" s="2" t="str">
        <f>HYPERLINK("http://www.otzar.org/book.asp?300225","אילת השחר - א")</f>
        <v>אילת השחר - א</v>
      </c>
    </row>
    <row r="2632" spans="1:6" x14ac:dyDescent="0.2">
      <c r="A2632" t="s">
        <v>5261</v>
      </c>
      <c r="B2632" t="s">
        <v>5265</v>
      </c>
      <c r="C2632" t="s">
        <v>23</v>
      </c>
      <c r="D2632" t="s">
        <v>14</v>
      </c>
      <c r="E2632" t="s">
        <v>234</v>
      </c>
      <c r="F2632" s="2" t="str">
        <f>HYPERLINK("http://www.otzar.org/book.asp?622100","אילת השחר - 2 כר'")</f>
        <v>אילת השחר - 2 כר'</v>
      </c>
    </row>
    <row r="2633" spans="1:6" x14ac:dyDescent="0.2">
      <c r="A2633" t="s">
        <v>5261</v>
      </c>
      <c r="B2633" t="s">
        <v>5266</v>
      </c>
      <c r="C2633" t="s">
        <v>133</v>
      </c>
      <c r="D2633" t="s">
        <v>14</v>
      </c>
      <c r="E2633" t="s">
        <v>158</v>
      </c>
      <c r="F2633" s="2" t="str">
        <f>HYPERLINK("http://www.otzar.org/book.asp?173766","אילת השחר - 2 כר'")</f>
        <v>אילת השחר - 2 כר'</v>
      </c>
    </row>
    <row r="2634" spans="1:6" x14ac:dyDescent="0.2">
      <c r="A2634" t="s">
        <v>5260</v>
      </c>
      <c r="B2634" t="s">
        <v>5267</v>
      </c>
      <c r="C2634" t="s">
        <v>1124</v>
      </c>
      <c r="D2634" t="s">
        <v>379</v>
      </c>
      <c r="E2634" t="s">
        <v>158</v>
      </c>
      <c r="F2634" s="2" t="str">
        <f>HYPERLINK("http://www.otzar.org/book.asp?5640","אילת השחר")</f>
        <v>אילת השחר</v>
      </c>
    </row>
    <row r="2635" spans="1:6" x14ac:dyDescent="0.2">
      <c r="A2635" t="s">
        <v>5260</v>
      </c>
      <c r="B2635" t="s">
        <v>5268</v>
      </c>
      <c r="C2635" t="s">
        <v>785</v>
      </c>
      <c r="D2635" t="s">
        <v>14</v>
      </c>
      <c r="F2635" s="2" t="str">
        <f>HYPERLINK("http://www.otzar.org/book.asp?612069","אילת השחר")</f>
        <v>אילת השחר</v>
      </c>
    </row>
    <row r="2636" spans="1:6" x14ac:dyDescent="0.2">
      <c r="A2636" t="s">
        <v>5269</v>
      </c>
      <c r="B2636" t="s">
        <v>5270</v>
      </c>
      <c r="C2636" t="s">
        <v>5271</v>
      </c>
      <c r="D2636" t="s">
        <v>412</v>
      </c>
      <c r="E2636" t="s">
        <v>104</v>
      </c>
      <c r="F2636" s="2" t="str">
        <f>HYPERLINK("http://www.otzar.org/book.asp?12697","אילת השחר - 3 כר'")</f>
        <v>אילת השחר - 3 כר'</v>
      </c>
    </row>
    <row r="2637" spans="1:6" x14ac:dyDescent="0.2">
      <c r="A2637" t="s">
        <v>5260</v>
      </c>
      <c r="B2637" t="s">
        <v>5272</v>
      </c>
      <c r="C2637" t="s">
        <v>1177</v>
      </c>
      <c r="D2637" t="s">
        <v>283</v>
      </c>
      <c r="E2637" t="s">
        <v>467</v>
      </c>
      <c r="F2637" s="2" t="str">
        <f>HYPERLINK("http://www.otzar.org/book.asp?300226","אילת השחר")</f>
        <v>אילת השחר</v>
      </c>
    </row>
    <row r="2638" spans="1:6" x14ac:dyDescent="0.2">
      <c r="A2638" t="s">
        <v>5273</v>
      </c>
      <c r="B2638" t="s">
        <v>107</v>
      </c>
      <c r="C2638" t="s">
        <v>151</v>
      </c>
      <c r="D2638" t="s">
        <v>14</v>
      </c>
      <c r="E2638" t="s">
        <v>104</v>
      </c>
      <c r="F2638" s="2" t="str">
        <f>HYPERLINK("http://www.otzar.org/book.asp?623490","אילת השחר - כאיל תערוג")</f>
        <v>אילת השחר - כאיל תערוג</v>
      </c>
    </row>
    <row r="2639" spans="1:6" x14ac:dyDescent="0.2">
      <c r="A2639" t="s">
        <v>5274</v>
      </c>
      <c r="B2639" t="s">
        <v>1353</v>
      </c>
      <c r="C2639" t="s">
        <v>5275</v>
      </c>
      <c r="D2639" t="s">
        <v>52</v>
      </c>
      <c r="E2639" t="s">
        <v>144</v>
      </c>
      <c r="F2639" s="2" t="str">
        <f>HYPERLINK("http://www.otzar.org/book.asp?107270","אילת השחר - 23 כר'")</f>
        <v>אילת השחר - 23 כר'</v>
      </c>
    </row>
    <row r="2640" spans="1:6" x14ac:dyDescent="0.2">
      <c r="A2640" t="s">
        <v>5260</v>
      </c>
      <c r="B2640" t="s">
        <v>3949</v>
      </c>
      <c r="D2640" t="s">
        <v>423</v>
      </c>
      <c r="E2640" t="s">
        <v>246</v>
      </c>
      <c r="F2640" s="2" t="str">
        <f>HYPERLINK("http://www.otzar.org/book.asp?607614","אילת השחר")</f>
        <v>אילת השחר</v>
      </c>
    </row>
    <row r="2641" spans="1:6" x14ac:dyDescent="0.2">
      <c r="A2641" t="s">
        <v>5261</v>
      </c>
      <c r="B2641" t="s">
        <v>5276</v>
      </c>
      <c r="C2641" t="s">
        <v>5277</v>
      </c>
      <c r="D2641" t="s">
        <v>1411</v>
      </c>
      <c r="E2641" t="s">
        <v>219</v>
      </c>
      <c r="F2641" s="2" t="str">
        <f>HYPERLINK("http://www.otzar.org/book.asp?300228","אילת השחר - 2 כר'")</f>
        <v>אילת השחר - 2 כר'</v>
      </c>
    </row>
    <row r="2642" spans="1:6" x14ac:dyDescent="0.2">
      <c r="A2642" t="s">
        <v>5278</v>
      </c>
      <c r="B2642" t="s">
        <v>5279</v>
      </c>
      <c r="C2642" t="s">
        <v>3106</v>
      </c>
      <c r="D2642" t="s">
        <v>216</v>
      </c>
      <c r="E2642" t="s">
        <v>674</v>
      </c>
      <c r="F2642" s="2" t="str">
        <f>HYPERLINK("http://www.otzar.org/book.asp?176868","אימוץ ילדים בישראל")</f>
        <v>אימוץ ילדים בישראל</v>
      </c>
    </row>
    <row r="2643" spans="1:6" x14ac:dyDescent="0.2">
      <c r="A2643" t="s">
        <v>5280</v>
      </c>
      <c r="B2643" t="s">
        <v>5281</v>
      </c>
      <c r="C2643" t="s">
        <v>20</v>
      </c>
      <c r="D2643" t="s">
        <v>14</v>
      </c>
      <c r="E2643" t="s">
        <v>15</v>
      </c>
      <c r="F2643" s="2" t="str">
        <f>HYPERLINK("http://www.otzar.org/book.asp?627291","אימורים משלחן גבוה")</f>
        <v>אימורים משלחן גבוה</v>
      </c>
    </row>
    <row r="2644" spans="1:6" x14ac:dyDescent="0.2">
      <c r="A2644" t="s">
        <v>5282</v>
      </c>
      <c r="B2644" t="s">
        <v>5283</v>
      </c>
      <c r="C2644" t="s">
        <v>767</v>
      </c>
      <c r="D2644" t="s">
        <v>14</v>
      </c>
      <c r="E2644" t="s">
        <v>219</v>
      </c>
      <c r="F2644" s="2" t="str">
        <f>HYPERLINK("http://www.otzar.org/book.asp?182845","אימנתה תעל לנמהרים (תדפיס)")</f>
        <v>אימנתה תעל לנמהרים (תדפיס)</v>
      </c>
    </row>
    <row r="2645" spans="1:6" x14ac:dyDescent="0.2">
      <c r="A2645" t="s">
        <v>5284</v>
      </c>
      <c r="B2645" t="s">
        <v>5285</v>
      </c>
      <c r="C2645" t="s">
        <v>989</v>
      </c>
      <c r="D2645" t="s">
        <v>412</v>
      </c>
      <c r="E2645" t="s">
        <v>579</v>
      </c>
      <c r="F2645" s="2" t="str">
        <f>HYPERLINK("http://www.otzar.org/book.asp?84721","אימרות טל - 2 כר'")</f>
        <v>אימרות טל - 2 כר'</v>
      </c>
    </row>
    <row r="2646" spans="1:6" x14ac:dyDescent="0.2">
      <c r="A2646" t="s">
        <v>5286</v>
      </c>
      <c r="B2646" t="s">
        <v>5287</v>
      </c>
      <c r="C2646" t="s">
        <v>13</v>
      </c>
      <c r="D2646" t="s">
        <v>14</v>
      </c>
      <c r="E2646" t="s">
        <v>158</v>
      </c>
      <c r="F2646" s="2" t="str">
        <f>HYPERLINK("http://www.otzar.org/book.asp?153115","אימרות נעם - 2 כר'")</f>
        <v>אימרות נעם - 2 כר'</v>
      </c>
    </row>
    <row r="2647" spans="1:6" x14ac:dyDescent="0.2">
      <c r="A2647" t="s">
        <v>5288</v>
      </c>
      <c r="B2647" t="s">
        <v>5289</v>
      </c>
      <c r="C2647" t="s">
        <v>1721</v>
      </c>
      <c r="D2647" t="s">
        <v>212</v>
      </c>
      <c r="E2647" t="s">
        <v>241</v>
      </c>
      <c r="F2647" s="2" t="str">
        <f>HYPERLINK("http://www.otzar.org/book.asp?25145","אימת מפגיע - 2 כר'")</f>
        <v>אימת מפגיע - 2 כר'</v>
      </c>
    </row>
    <row r="2648" spans="1:6" x14ac:dyDescent="0.2">
      <c r="A2648" t="s">
        <v>5290</v>
      </c>
      <c r="B2648" t="s">
        <v>5291</v>
      </c>
      <c r="C2648" t="s">
        <v>429</v>
      </c>
      <c r="D2648" t="s">
        <v>283</v>
      </c>
      <c r="E2648" t="s">
        <v>241</v>
      </c>
      <c r="F2648" s="2" t="str">
        <f>HYPERLINK("http://www.otzar.org/book.asp?17180","אימת מפגיע")</f>
        <v>אימת מפגיע</v>
      </c>
    </row>
    <row r="2649" spans="1:6" x14ac:dyDescent="0.2">
      <c r="A2649" t="s">
        <v>5292</v>
      </c>
      <c r="B2649" t="s">
        <v>5293</v>
      </c>
      <c r="C2649" t="s">
        <v>37</v>
      </c>
      <c r="D2649" t="s">
        <v>21</v>
      </c>
      <c r="E2649" t="s">
        <v>241</v>
      </c>
      <c r="F2649" s="2" t="str">
        <f>HYPERLINK("http://www.otzar.org/book.asp?606901","אין אבדה כאבדת הזמן")</f>
        <v>אין אבדה כאבדת הזמן</v>
      </c>
    </row>
    <row r="2650" spans="1:6" x14ac:dyDescent="0.2">
      <c r="A2650" t="s">
        <v>5294</v>
      </c>
      <c r="B2650" t="s">
        <v>5295</v>
      </c>
      <c r="C2650" t="s">
        <v>114</v>
      </c>
      <c r="D2650" t="s">
        <v>14</v>
      </c>
      <c r="E2650" t="s">
        <v>202</v>
      </c>
      <c r="F2650" s="2" t="str">
        <f>HYPERLINK("http://www.otzar.org/book.asp?160771","אין אסתר מגדת")</f>
        <v>אין אסתר מגדת</v>
      </c>
    </row>
    <row r="2651" spans="1:6" x14ac:dyDescent="0.2">
      <c r="A2651" t="s">
        <v>5296</v>
      </c>
      <c r="B2651" t="s">
        <v>5297</v>
      </c>
      <c r="C2651" t="s">
        <v>185</v>
      </c>
      <c r="D2651" t="s">
        <v>52</v>
      </c>
      <c r="E2651" t="s">
        <v>104</v>
      </c>
      <c r="F2651" s="2" t="str">
        <f>HYPERLINK("http://www.otzar.org/book.asp?629404","אין גדולה כתורה")</f>
        <v>אין גדולה כתורה</v>
      </c>
    </row>
    <row r="2652" spans="1:6" x14ac:dyDescent="0.2">
      <c r="A2652" t="s">
        <v>5298</v>
      </c>
      <c r="B2652" t="s">
        <v>5299</v>
      </c>
      <c r="C2652" t="s">
        <v>411</v>
      </c>
      <c r="D2652" t="s">
        <v>14</v>
      </c>
      <c r="E2652" t="s">
        <v>15</v>
      </c>
      <c r="F2652" s="2" t="str">
        <f>HYPERLINK("http://www.otzar.org/book.asp?181819","אין לנו אלא הבן איש חי")</f>
        <v>אין לנו אלא הבן איש חי</v>
      </c>
    </row>
    <row r="2653" spans="1:6" x14ac:dyDescent="0.2">
      <c r="A2653" t="s">
        <v>5300</v>
      </c>
      <c r="B2653" t="s">
        <v>4735</v>
      </c>
      <c r="C2653" t="s">
        <v>20</v>
      </c>
      <c r="D2653" t="s">
        <v>5301</v>
      </c>
      <c r="E2653" t="s">
        <v>4738</v>
      </c>
      <c r="F2653" s="2" t="str">
        <f>HYPERLINK("http://www.otzar.org/book.asp?12711","אין מזל לישראל")</f>
        <v>אין מזל לישראל</v>
      </c>
    </row>
    <row r="2654" spans="1:6" x14ac:dyDescent="0.2">
      <c r="A2654" t="s">
        <v>5302</v>
      </c>
      <c r="B2654" t="s">
        <v>5303</v>
      </c>
      <c r="C2654" t="s">
        <v>422</v>
      </c>
      <c r="D2654" t="s">
        <v>52</v>
      </c>
      <c r="E2654" t="s">
        <v>104</v>
      </c>
      <c r="F2654" s="2" t="str">
        <f>HYPERLINK("http://www.otzar.org/book.asp?158483","אין עוד מלבדו - 3 כר'")</f>
        <v>אין עוד מלבדו - 3 כר'</v>
      </c>
    </row>
    <row r="2655" spans="1:6" x14ac:dyDescent="0.2">
      <c r="A2655" t="s">
        <v>5304</v>
      </c>
      <c r="B2655" t="s">
        <v>5305</v>
      </c>
      <c r="C2655" t="s">
        <v>20</v>
      </c>
      <c r="D2655" t="s">
        <v>52</v>
      </c>
      <c r="E2655" t="s">
        <v>241</v>
      </c>
      <c r="F2655" s="2" t="str">
        <f>HYPERLINK("http://www.otzar.org/book.asp?629376","אין עוד מלבדו")</f>
        <v>אין עוד מלבדו</v>
      </c>
    </row>
    <row r="2656" spans="1:6" x14ac:dyDescent="0.2">
      <c r="A2656" t="s">
        <v>5306</v>
      </c>
      <c r="B2656" t="s">
        <v>5307</v>
      </c>
      <c r="C2656" t="s">
        <v>5308</v>
      </c>
      <c r="D2656" t="s">
        <v>563</v>
      </c>
      <c r="E2656" t="s">
        <v>119</v>
      </c>
      <c r="F2656" s="2" t="str">
        <f>HYPERLINK("http://www.otzar.org/book.asp?147213","אין עת לחשות")</f>
        <v>אין עת לחשות</v>
      </c>
    </row>
    <row r="2657" spans="1:6" x14ac:dyDescent="0.2">
      <c r="A2657" t="s">
        <v>5309</v>
      </c>
      <c r="B2657" t="s">
        <v>5310</v>
      </c>
      <c r="C2657" t="s">
        <v>985</v>
      </c>
      <c r="D2657" t="s">
        <v>646</v>
      </c>
      <c r="E2657" t="s">
        <v>104</v>
      </c>
      <c r="F2657" s="2" t="str">
        <f>HYPERLINK("http://www.otzar.org/book.asp?173853","אין קאמף קעגן שטראם")</f>
        <v>אין קאמף קעגן שטראם</v>
      </c>
    </row>
    <row r="2658" spans="1:6" x14ac:dyDescent="0.2">
      <c r="A2658" t="s">
        <v>5311</v>
      </c>
      <c r="B2658" t="s">
        <v>5312</v>
      </c>
      <c r="C2658" t="s">
        <v>843</v>
      </c>
      <c r="D2658" t="s">
        <v>260</v>
      </c>
      <c r="E2658" t="s">
        <v>119</v>
      </c>
      <c r="F2658" s="2" t="str">
        <f>HYPERLINK("http://www.otzar.org/book.asp?199654","אין שאטן פון טרעבלינקע (חורבן סאקאלאוו (סוקלוב) פאדליאסקי)")</f>
        <v>אין שאטן פון טרעבלינקע (חורבן סאקאלאוו (סוקלוב) פאדליאסקי)</v>
      </c>
    </row>
    <row r="2659" spans="1:6" x14ac:dyDescent="0.2">
      <c r="A2659" t="s">
        <v>5313</v>
      </c>
      <c r="B2659" t="s">
        <v>5314</v>
      </c>
      <c r="C2659" t="s">
        <v>547</v>
      </c>
      <c r="D2659" t="s">
        <v>56</v>
      </c>
      <c r="E2659" t="s">
        <v>3567</v>
      </c>
      <c r="F2659" s="2" t="str">
        <f>HYPERLINK("http://www.otzar.org/book.asp?6252","אין תנאי בנשואין")</f>
        <v>אין תנאי בנשואין</v>
      </c>
    </row>
    <row r="2660" spans="1:6" x14ac:dyDescent="0.2">
      <c r="A2660" t="s">
        <v>5315</v>
      </c>
      <c r="B2660" t="s">
        <v>5316</v>
      </c>
      <c r="C2660" t="s">
        <v>20</v>
      </c>
      <c r="D2660" t="s">
        <v>90</v>
      </c>
      <c r="E2660" t="s">
        <v>241</v>
      </c>
      <c r="F2660" s="2" t="str">
        <f>HYPERLINK("http://www.otzar.org/book.asp?606125","אין תקוה?")</f>
        <v>אין תקוה?</v>
      </c>
    </row>
    <row r="2661" spans="1:6" x14ac:dyDescent="0.2">
      <c r="A2661" t="s">
        <v>5317</v>
      </c>
      <c r="E2661" t="s">
        <v>15</v>
      </c>
      <c r="F2661" s="2" t="str">
        <f>HYPERLINK("http://www.otzar.org/book.asp?616331","אינדקס הכשרת כלים לפסח")</f>
        <v>אינדקס הכשרת כלים לפסח</v>
      </c>
    </row>
    <row r="2662" spans="1:6" x14ac:dyDescent="0.2">
      <c r="A2662" t="s">
        <v>5318</v>
      </c>
      <c r="B2662" t="s">
        <v>5319</v>
      </c>
      <c r="C2662">
        <v>1981</v>
      </c>
      <c r="D2662" t="s">
        <v>5320</v>
      </c>
      <c r="F2662" s="2" t="str">
        <f>HYPERLINK("http://www.otzar.org/book.asp?602729","אינקונבולים וספרים נדירים - מתוך אוסף יעקב א לוי")</f>
        <v>אינקונבולים וספרים נדירים - מתוך אוסף יעקב א לוי</v>
      </c>
    </row>
    <row r="2663" spans="1:6" x14ac:dyDescent="0.2">
      <c r="A2663" t="s">
        <v>5321</v>
      </c>
      <c r="B2663" t="s">
        <v>5322</v>
      </c>
      <c r="C2663" t="s">
        <v>23</v>
      </c>
      <c r="D2663" t="s">
        <v>14</v>
      </c>
      <c r="F2663" s="2" t="str">
        <f>HYPERLINK("http://www.otzar.org/book.asp?198175","איסור אמירת ברכה מעין שבע בליל פסח")</f>
        <v>איסור אמירת ברכה מעין שבע בליל פסח</v>
      </c>
    </row>
    <row r="2664" spans="1:6" x14ac:dyDescent="0.2">
      <c r="A2664" t="s">
        <v>5323</v>
      </c>
      <c r="B2664" t="s">
        <v>5324</v>
      </c>
      <c r="C2664" t="s">
        <v>23</v>
      </c>
      <c r="D2664" t="s">
        <v>273</v>
      </c>
      <c r="E2664" t="s">
        <v>15</v>
      </c>
      <c r="F2664" s="2" t="str">
        <f>HYPERLINK("http://www.otzar.org/book.asp?603106","איסור הליכה לערכאות")</f>
        <v>איסור הליכה לערכאות</v>
      </c>
    </row>
    <row r="2665" spans="1:6" x14ac:dyDescent="0.2">
      <c r="A2665" t="s">
        <v>5325</v>
      </c>
      <c r="B2665" t="s">
        <v>5326</v>
      </c>
      <c r="C2665" t="s">
        <v>129</v>
      </c>
      <c r="D2665" t="s">
        <v>21</v>
      </c>
      <c r="E2665" t="s">
        <v>15</v>
      </c>
      <c r="F2665" s="2" t="str">
        <f>HYPERLINK("http://www.otzar.org/book.asp?600660","איסור והיתר הארוך &lt;מהדורה חדשה&gt;")</f>
        <v>איסור והיתר הארוך &lt;מהדורה חדשה&gt;</v>
      </c>
    </row>
    <row r="2666" spans="1:6" x14ac:dyDescent="0.2">
      <c r="A2666" t="s">
        <v>5327</v>
      </c>
      <c r="B2666" t="s">
        <v>5326</v>
      </c>
      <c r="C2666" t="s">
        <v>550</v>
      </c>
      <c r="D2666" t="s">
        <v>1279</v>
      </c>
      <c r="E2666" t="s">
        <v>5328</v>
      </c>
      <c r="F2666" s="2" t="str">
        <f>HYPERLINK("http://www.otzar.org/book.asp?15470","איסור והיתר הארוך - 4 כר'")</f>
        <v>איסור והיתר הארוך - 4 כר'</v>
      </c>
    </row>
    <row r="2667" spans="1:6" x14ac:dyDescent="0.2">
      <c r="A2667" t="s">
        <v>5329</v>
      </c>
      <c r="B2667" t="s">
        <v>5330</v>
      </c>
      <c r="C2667" t="s">
        <v>4705</v>
      </c>
      <c r="D2667" t="s">
        <v>212</v>
      </c>
      <c r="E2667" t="s">
        <v>15</v>
      </c>
      <c r="F2667" s="2" t="str">
        <f>HYPERLINK("http://www.otzar.org/book.asp?51399","איסור והיתר לרבינו ירוחם")</f>
        <v>איסור והיתר לרבינו ירוחם</v>
      </c>
    </row>
    <row r="2668" spans="1:6" x14ac:dyDescent="0.2">
      <c r="A2668" t="s">
        <v>5331</v>
      </c>
      <c r="B2668" t="s">
        <v>5332</v>
      </c>
      <c r="C2668" t="s">
        <v>812</v>
      </c>
      <c r="D2668" t="s">
        <v>280</v>
      </c>
      <c r="E2668" t="s">
        <v>15</v>
      </c>
      <c r="F2668" s="2" t="str">
        <f>HYPERLINK("http://www.otzar.org/book.asp?53293","איסור והיתר לרש""י - 2 כר'")</f>
        <v>איסור והיתר לרש"י - 2 כר'</v>
      </c>
    </row>
    <row r="2669" spans="1:6" x14ac:dyDescent="0.2">
      <c r="A2669" t="s">
        <v>5333</v>
      </c>
      <c r="B2669" t="s">
        <v>5326</v>
      </c>
      <c r="C2669" t="s">
        <v>5334</v>
      </c>
      <c r="D2669" t="s">
        <v>744</v>
      </c>
      <c r="E2669" t="s">
        <v>15</v>
      </c>
      <c r="F2669" s="2" t="str">
        <f>HYPERLINK("http://www.otzar.org/book.asp?153038","איסור והיתר - 2 כר'")</f>
        <v>איסור והיתר - 2 כר'</v>
      </c>
    </row>
    <row r="2670" spans="1:6" x14ac:dyDescent="0.2">
      <c r="A2670" t="s">
        <v>5335</v>
      </c>
      <c r="B2670" t="s">
        <v>5336</v>
      </c>
      <c r="C2670" t="s">
        <v>785</v>
      </c>
      <c r="D2670" t="s">
        <v>412</v>
      </c>
      <c r="E2670" t="s">
        <v>15</v>
      </c>
      <c r="F2670" s="2" t="str">
        <f>HYPERLINK("http://www.otzar.org/book.asp?62249","איסור והיתר")</f>
        <v>איסור והיתר</v>
      </c>
    </row>
    <row r="2671" spans="1:6" x14ac:dyDescent="0.2">
      <c r="A2671" t="s">
        <v>5337</v>
      </c>
      <c r="B2671" t="s">
        <v>5338</v>
      </c>
      <c r="C2671" t="s">
        <v>1619</v>
      </c>
      <c r="D2671" t="s">
        <v>14</v>
      </c>
      <c r="E2671" t="s">
        <v>15</v>
      </c>
      <c r="F2671" s="2" t="str">
        <f>HYPERLINK("http://www.otzar.org/book.asp?6740","איסור משהו להראב""ד עם פירוש שולי האדרת")</f>
        <v>איסור משהו להראב"ד עם פירוש שולי האדרת</v>
      </c>
    </row>
    <row r="2672" spans="1:6" x14ac:dyDescent="0.2">
      <c r="A2672" t="s">
        <v>5339</v>
      </c>
      <c r="B2672" t="s">
        <v>1728</v>
      </c>
      <c r="C2672" t="s">
        <v>133</v>
      </c>
      <c r="D2672" t="s">
        <v>273</v>
      </c>
      <c r="E2672" t="s">
        <v>5340</v>
      </c>
      <c r="F2672" s="2" t="str">
        <f>HYPERLINK("http://www.otzar.org/book.asp?628516","איסור נגיעה ותיקונו")</f>
        <v>איסור נגיעה ותיקונו</v>
      </c>
    </row>
    <row r="2673" spans="1:6" x14ac:dyDescent="0.2">
      <c r="A2673" t="s">
        <v>5341</v>
      </c>
      <c r="B2673" t="s">
        <v>5342</v>
      </c>
      <c r="C2673" t="s">
        <v>63</v>
      </c>
      <c r="D2673" t="s">
        <v>14</v>
      </c>
      <c r="E2673" t="s">
        <v>15</v>
      </c>
      <c r="F2673" s="2" t="str">
        <f>HYPERLINK("http://www.otzar.org/book.asp?19245","איסור קליטה בשביעית ובתוס' שביעית")</f>
        <v>איסור קליטה בשביעית ובתוס' שביעית</v>
      </c>
    </row>
    <row r="2674" spans="1:6" x14ac:dyDescent="0.2">
      <c r="A2674" t="s">
        <v>5343</v>
      </c>
      <c r="B2674" t="s">
        <v>5344</v>
      </c>
      <c r="C2674" t="s">
        <v>1208</v>
      </c>
      <c r="D2674" t="s">
        <v>21</v>
      </c>
      <c r="E2674" t="s">
        <v>674</v>
      </c>
      <c r="F2674" s="2" t="str">
        <f>HYPERLINK("http://www.otzar.org/book.asp?190918","איסורי העישון בהלכה")</f>
        <v>איסורי העישון בהלכה</v>
      </c>
    </row>
    <row r="2675" spans="1:6" x14ac:dyDescent="0.2">
      <c r="A2675" t="s">
        <v>5345</v>
      </c>
      <c r="B2675" t="s">
        <v>5346</v>
      </c>
      <c r="C2675" t="s">
        <v>189</v>
      </c>
      <c r="D2675" t="s">
        <v>14</v>
      </c>
      <c r="E2675" t="s">
        <v>130</v>
      </c>
      <c r="F2675" s="2" t="str">
        <f>HYPERLINK("http://www.otzar.org/book.asp?156489","איפה לאיל")</f>
        <v>איפה לאיל</v>
      </c>
    </row>
    <row r="2676" spans="1:6" x14ac:dyDescent="0.2">
      <c r="A2676" t="s">
        <v>5347</v>
      </c>
      <c r="B2676" t="s">
        <v>5348</v>
      </c>
      <c r="C2676" t="s">
        <v>725</v>
      </c>
      <c r="D2676" t="s">
        <v>21</v>
      </c>
      <c r="E2676" t="s">
        <v>119</v>
      </c>
      <c r="F2676" s="2" t="str">
        <f>HYPERLINK("http://www.otzar.org/book.asp?196348","איפה נולד ר' יהודה הלוי")</f>
        <v>איפה נולד ר' יהודה הלוי</v>
      </c>
    </row>
    <row r="2677" spans="1:6" x14ac:dyDescent="0.2">
      <c r="A2677" t="s">
        <v>5349</v>
      </c>
      <c r="B2677" t="s">
        <v>5350</v>
      </c>
      <c r="C2677" t="s">
        <v>68</v>
      </c>
      <c r="D2677" t="s">
        <v>14</v>
      </c>
      <c r="E2677" t="s">
        <v>5351</v>
      </c>
      <c r="F2677" s="2" t="str">
        <f>HYPERLINK("http://www.otzar.org/book.asp?165921","איפה שלמה")</f>
        <v>איפה שלמה</v>
      </c>
    </row>
    <row r="2678" spans="1:6" x14ac:dyDescent="0.2">
      <c r="A2678" t="s">
        <v>5352</v>
      </c>
      <c r="B2678" t="s">
        <v>5353</v>
      </c>
      <c r="C2678" t="s">
        <v>422</v>
      </c>
      <c r="D2678" t="s">
        <v>14</v>
      </c>
      <c r="E2678" t="s">
        <v>148</v>
      </c>
      <c r="F2678" s="2" t="str">
        <f>HYPERLINK("http://www.otzar.org/book.asp?85653","איפת צדק - 5 כר'")</f>
        <v>איפת צדק - 5 כר'</v>
      </c>
    </row>
    <row r="2679" spans="1:6" x14ac:dyDescent="0.2">
      <c r="A2679" t="s">
        <v>5354</v>
      </c>
      <c r="B2679" t="s">
        <v>5355</v>
      </c>
      <c r="C2679" t="s">
        <v>237</v>
      </c>
      <c r="D2679" t="s">
        <v>80</v>
      </c>
      <c r="E2679" t="s">
        <v>104</v>
      </c>
      <c r="F2679" s="2" t="str">
        <f>HYPERLINK("http://www.otzar.org/book.asp?145137","איפת צדק")</f>
        <v>איפת צדק</v>
      </c>
    </row>
    <row r="2680" spans="1:6" x14ac:dyDescent="0.2">
      <c r="A2680" t="s">
        <v>5356</v>
      </c>
      <c r="B2680" t="s">
        <v>2663</v>
      </c>
      <c r="C2680" t="s">
        <v>143</v>
      </c>
      <c r="D2680" t="s">
        <v>21</v>
      </c>
      <c r="E2680" t="s">
        <v>3790</v>
      </c>
      <c r="F2680" s="2" t="str">
        <f>HYPERLINK("http://www.otzar.org/book.asp?606832","איש אל אחיו")</f>
        <v>איש אל אחיו</v>
      </c>
    </row>
    <row r="2681" spans="1:6" x14ac:dyDescent="0.2">
      <c r="A2681" t="s">
        <v>5357</v>
      </c>
      <c r="B2681" t="s">
        <v>5358</v>
      </c>
      <c r="C2681" t="s">
        <v>429</v>
      </c>
      <c r="D2681" t="s">
        <v>27</v>
      </c>
      <c r="E2681" t="s">
        <v>234</v>
      </c>
      <c r="F2681" s="2" t="str">
        <f>HYPERLINK("http://www.otzar.org/book.asp?300238","איש אמונים")</f>
        <v>איש אמונים</v>
      </c>
    </row>
    <row r="2682" spans="1:6" x14ac:dyDescent="0.2">
      <c r="A2682" t="s">
        <v>5359</v>
      </c>
      <c r="B2682" t="s">
        <v>5360</v>
      </c>
      <c r="C2682" t="s">
        <v>23</v>
      </c>
      <c r="D2682" t="s">
        <v>90</v>
      </c>
      <c r="F2682" s="2" t="str">
        <f>HYPERLINK("http://www.otzar.org/book.asp?610398","איש אשר רוח בו")</f>
        <v>איש אשר רוח בו</v>
      </c>
    </row>
    <row r="2683" spans="1:6" x14ac:dyDescent="0.2">
      <c r="A2683" t="s">
        <v>5361</v>
      </c>
      <c r="B2683" t="s">
        <v>5362</v>
      </c>
      <c r="C2683" t="s">
        <v>68</v>
      </c>
      <c r="D2683" t="s">
        <v>14</v>
      </c>
      <c r="E2683" t="s">
        <v>741</v>
      </c>
      <c r="F2683" s="2" t="str">
        <f>HYPERLINK("http://www.otzar.org/book.asp?158176","איש האמת - עובדות וסיפורים ממרן רבינו הקדוש מסטראפקוב")</f>
        <v>איש האמת - עובדות וסיפורים ממרן רבינו הקדוש מסטראפקוב</v>
      </c>
    </row>
    <row r="2684" spans="1:6" x14ac:dyDescent="0.2">
      <c r="A2684" t="s">
        <v>5363</v>
      </c>
      <c r="B2684" t="s">
        <v>5364</v>
      </c>
      <c r="C2684" t="s">
        <v>133</v>
      </c>
      <c r="D2684" t="s">
        <v>90</v>
      </c>
      <c r="E2684" t="s">
        <v>119</v>
      </c>
      <c r="F2684" s="2" t="str">
        <f>HYPERLINK("http://www.otzar.org/book.asp?603901","איש האשכולות -  על מרן האמרי אמת")</f>
        <v>איש האשכולות -  על מרן האמרי אמת</v>
      </c>
    </row>
    <row r="2685" spans="1:6" x14ac:dyDescent="0.2">
      <c r="A2685" t="s">
        <v>5365</v>
      </c>
      <c r="B2685" t="s">
        <v>5366</v>
      </c>
      <c r="C2685" t="s">
        <v>5367</v>
      </c>
      <c r="D2685" t="s">
        <v>14</v>
      </c>
      <c r="F2685" s="2" t="str">
        <f>HYPERLINK("http://www.otzar.org/book.asp?611480","איש ההלכה והמעשה -תולדות רבי אליעזר סילבר")</f>
        <v>איש ההלכה והמעשה -תולדות רבי אליעזר סילבר</v>
      </c>
    </row>
    <row r="2686" spans="1:6" x14ac:dyDescent="0.2">
      <c r="A2686" t="s">
        <v>5368</v>
      </c>
      <c r="B2686" t="s">
        <v>5369</v>
      </c>
      <c r="C2686" t="s">
        <v>168</v>
      </c>
      <c r="D2686" t="s">
        <v>1153</v>
      </c>
      <c r="E2686" t="s">
        <v>384</v>
      </c>
      <c r="F2686" s="2" t="str">
        <f>HYPERLINK("http://www.otzar.org/book.asp?195214","איש החסד מתימן")</f>
        <v>איש החסד מתימן</v>
      </c>
    </row>
    <row r="2687" spans="1:6" x14ac:dyDescent="0.2">
      <c r="A2687" t="s">
        <v>5370</v>
      </c>
      <c r="B2687" t="s">
        <v>5371</v>
      </c>
      <c r="C2687" t="s">
        <v>146</v>
      </c>
      <c r="D2687" t="s">
        <v>2909</v>
      </c>
      <c r="F2687" s="2" t="str">
        <f>HYPERLINK("http://www.otzar.org/book.asp?610764","איש היה באר""ץ - תולדות רבי עזרא חמווי")</f>
        <v>איש היה באר"ץ - תולדות רבי עזרא חמווי</v>
      </c>
    </row>
    <row r="2688" spans="1:6" x14ac:dyDescent="0.2">
      <c r="A2688" t="s">
        <v>5372</v>
      </c>
      <c r="B2688" t="s">
        <v>5373</v>
      </c>
      <c r="E2688" t="s">
        <v>144</v>
      </c>
      <c r="F2688" s="2" t="str">
        <f>HYPERLINK("http://www.otzar.org/book.asp?629294","איש הלוי - 2 כר'")</f>
        <v>איש הלוי - 2 כר'</v>
      </c>
    </row>
    <row r="2689" spans="1:6" x14ac:dyDescent="0.2">
      <c r="A2689" t="s">
        <v>5374</v>
      </c>
      <c r="B2689" t="s">
        <v>5375</v>
      </c>
      <c r="C2689" t="s">
        <v>553</v>
      </c>
      <c r="D2689" t="s">
        <v>52</v>
      </c>
      <c r="E2689" t="s">
        <v>199</v>
      </c>
      <c r="F2689" s="2" t="str">
        <f>HYPERLINK("http://www.otzar.org/book.asp?160158","איש הפלא")</f>
        <v>איש הפלא</v>
      </c>
    </row>
    <row r="2690" spans="1:6" x14ac:dyDescent="0.2">
      <c r="A2690" t="s">
        <v>5376</v>
      </c>
      <c r="B2690" t="s">
        <v>5377</v>
      </c>
      <c r="C2690" t="s">
        <v>133</v>
      </c>
      <c r="D2690" t="s">
        <v>21</v>
      </c>
      <c r="E2690" t="s">
        <v>104</v>
      </c>
      <c r="F2690" s="2" t="str">
        <f>HYPERLINK("http://www.otzar.org/book.asp?197800","איש ואשה שזכו - 2 כר'")</f>
        <v>איש ואשה שזכו - 2 כר'</v>
      </c>
    </row>
    <row r="2691" spans="1:6" x14ac:dyDescent="0.2">
      <c r="A2691" t="s">
        <v>5378</v>
      </c>
      <c r="B2691" t="s">
        <v>5379</v>
      </c>
      <c r="C2691" t="s">
        <v>422</v>
      </c>
      <c r="D2691" t="s">
        <v>14</v>
      </c>
      <c r="E2691" t="s">
        <v>15</v>
      </c>
      <c r="F2691" s="2" t="str">
        <f>HYPERLINK("http://www.otzar.org/book.asp?148283","איש וביתו")</f>
        <v>איש וביתו</v>
      </c>
    </row>
    <row r="2692" spans="1:6" x14ac:dyDescent="0.2">
      <c r="A2692" t="s">
        <v>5380</v>
      </c>
      <c r="B2692" t="s">
        <v>107</v>
      </c>
      <c r="C2692" t="s">
        <v>20</v>
      </c>
      <c r="D2692" t="s">
        <v>14</v>
      </c>
      <c r="E2692" t="s">
        <v>241</v>
      </c>
      <c r="F2692" s="2" t="str">
        <f>HYPERLINK("http://www.otzar.org/book.asp?6136","איש ורעהו")</f>
        <v>איש ורעהו</v>
      </c>
    </row>
    <row r="2693" spans="1:6" x14ac:dyDescent="0.2">
      <c r="A2693" t="s">
        <v>5381</v>
      </c>
      <c r="B2693" t="s">
        <v>5382</v>
      </c>
      <c r="C2693" t="s">
        <v>411</v>
      </c>
      <c r="D2693" t="s">
        <v>21</v>
      </c>
      <c r="E2693" t="s">
        <v>119</v>
      </c>
      <c r="F2693" s="2" t="str">
        <f>HYPERLINK("http://www.otzar.org/book.asp?604980","איש חי רב פעלים")</f>
        <v>איש חי רב פעלים</v>
      </c>
    </row>
    <row r="2694" spans="1:6" x14ac:dyDescent="0.2">
      <c r="A2694" t="s">
        <v>5383</v>
      </c>
      <c r="B2694" t="s">
        <v>5384</v>
      </c>
      <c r="C2694" t="s">
        <v>2040</v>
      </c>
      <c r="D2694" t="s">
        <v>1769</v>
      </c>
      <c r="E2694" t="s">
        <v>104</v>
      </c>
      <c r="F2694" s="2" t="str">
        <f>HYPERLINK("http://www.otzar.org/book.asp?147219","איש חיל רב פעלים")</f>
        <v>איש חיל רב פעלים</v>
      </c>
    </row>
    <row r="2695" spans="1:6" x14ac:dyDescent="0.2">
      <c r="A2695" t="s">
        <v>5385</v>
      </c>
      <c r="B2695" t="s">
        <v>5386</v>
      </c>
      <c r="C2695" t="s">
        <v>594</v>
      </c>
      <c r="D2695" t="s">
        <v>1117</v>
      </c>
      <c r="E2695" t="s">
        <v>119</v>
      </c>
      <c r="F2695" s="2" t="str">
        <f>HYPERLINK("http://www.otzar.org/book.asp?17181","איש חיל")</f>
        <v>איש חיל</v>
      </c>
    </row>
    <row r="2696" spans="1:6" x14ac:dyDescent="0.2">
      <c r="A2696" t="s">
        <v>5387</v>
      </c>
      <c r="B2696" t="s">
        <v>5388</v>
      </c>
      <c r="C2696" t="s">
        <v>13</v>
      </c>
      <c r="D2696" t="s">
        <v>412</v>
      </c>
      <c r="E2696" t="s">
        <v>119</v>
      </c>
      <c r="F2696" s="2" t="str">
        <f>HYPERLINK("http://www.otzar.org/book.asp?62042","איש חמודות &lt;תולדות רבינו חיים מיכאל דוב וויסמאנדל&gt;")</f>
        <v>איש חמודות &lt;תולדות רבינו חיים מיכאל דוב וויסמאנדל&gt;</v>
      </c>
    </row>
    <row r="2697" spans="1:6" x14ac:dyDescent="0.2">
      <c r="A2697" t="s">
        <v>5389</v>
      </c>
      <c r="B2697" t="s">
        <v>5390</v>
      </c>
      <c r="C2697" t="s">
        <v>366</v>
      </c>
      <c r="D2697" t="s">
        <v>245</v>
      </c>
      <c r="E2697" t="s">
        <v>474</v>
      </c>
      <c r="F2697" s="2" t="str">
        <f>HYPERLINK("http://www.otzar.org/book.asp?622008","איש חמודות")</f>
        <v>איש חמודות</v>
      </c>
    </row>
    <row r="2698" spans="1:6" x14ac:dyDescent="0.2">
      <c r="A2698" t="s">
        <v>5389</v>
      </c>
      <c r="B2698" t="s">
        <v>5391</v>
      </c>
      <c r="C2698" t="s">
        <v>422</v>
      </c>
      <c r="D2698" t="s">
        <v>52</v>
      </c>
      <c r="E2698" t="s">
        <v>5392</v>
      </c>
      <c r="F2698" s="2" t="str">
        <f>HYPERLINK("http://www.otzar.org/book.asp?154772","איש חמודות")</f>
        <v>איש חמודות</v>
      </c>
    </row>
    <row r="2699" spans="1:6" x14ac:dyDescent="0.2">
      <c r="A2699" t="s">
        <v>5389</v>
      </c>
      <c r="B2699" t="s">
        <v>552</v>
      </c>
      <c r="C2699" t="s">
        <v>37</v>
      </c>
      <c r="D2699" t="s">
        <v>21</v>
      </c>
      <c r="E2699" t="s">
        <v>202</v>
      </c>
      <c r="F2699" s="2" t="str">
        <f>HYPERLINK("http://www.otzar.org/book.asp?194676","איש חמודות")</f>
        <v>איש חמודות</v>
      </c>
    </row>
    <row r="2700" spans="1:6" x14ac:dyDescent="0.2">
      <c r="A2700" t="s">
        <v>5393</v>
      </c>
      <c r="B2700" t="s">
        <v>5394</v>
      </c>
      <c r="C2700" t="s">
        <v>334</v>
      </c>
      <c r="D2700" t="s">
        <v>14</v>
      </c>
      <c r="E2700" t="s">
        <v>119</v>
      </c>
      <c r="F2700" s="2" t="str">
        <f>HYPERLINK("http://www.otzar.org/book.asp?618637","איש חסד בירושלים")</f>
        <v>איש חסד בירושלים</v>
      </c>
    </row>
    <row r="2701" spans="1:6" x14ac:dyDescent="0.2">
      <c r="A2701" t="s">
        <v>5395</v>
      </c>
      <c r="B2701" t="s">
        <v>363</v>
      </c>
      <c r="C2701" t="s">
        <v>114</v>
      </c>
      <c r="D2701" t="s">
        <v>52</v>
      </c>
      <c r="E2701" t="s">
        <v>119</v>
      </c>
      <c r="F2701" s="2" t="str">
        <f>HYPERLINK("http://www.otzar.org/book.asp?174675","איש חסד היה")</f>
        <v>איש חסד היה</v>
      </c>
    </row>
    <row r="2702" spans="1:6" x14ac:dyDescent="0.2">
      <c r="A2702" t="s">
        <v>5396</v>
      </c>
      <c r="B2702" t="s">
        <v>5397</v>
      </c>
      <c r="C2702" t="s">
        <v>129</v>
      </c>
      <c r="D2702" t="s">
        <v>52</v>
      </c>
      <c r="E2702" t="s">
        <v>5398</v>
      </c>
      <c r="F2702" s="2" t="str">
        <f>HYPERLINK("http://www.otzar.org/book.asp?84672","איש חסיד")</f>
        <v>איש חסיד</v>
      </c>
    </row>
    <row r="2703" spans="1:6" x14ac:dyDescent="0.2">
      <c r="A2703" t="s">
        <v>5399</v>
      </c>
      <c r="B2703" t="s">
        <v>5400</v>
      </c>
      <c r="C2703" t="s">
        <v>523</v>
      </c>
      <c r="D2703" t="s">
        <v>14</v>
      </c>
      <c r="E2703" t="s">
        <v>119</v>
      </c>
      <c r="F2703" s="2" t="str">
        <f>HYPERLINK("http://www.otzar.org/book.asp?622136","איש חסידיך")</f>
        <v>איש חסידיך</v>
      </c>
    </row>
    <row r="2704" spans="1:6" x14ac:dyDescent="0.2">
      <c r="A2704" t="s">
        <v>5401</v>
      </c>
      <c r="B2704" t="s">
        <v>5402</v>
      </c>
      <c r="C2704" t="s">
        <v>20</v>
      </c>
      <c r="D2704" t="s">
        <v>14</v>
      </c>
      <c r="E2704" t="s">
        <v>119</v>
      </c>
      <c r="F2704" s="2" t="str">
        <f>HYPERLINK("http://www.otzar.org/book.asp?148941","איש יהודי היה")</f>
        <v>איש יהודי היה</v>
      </c>
    </row>
    <row r="2705" spans="1:6" x14ac:dyDescent="0.2">
      <c r="A2705" t="s">
        <v>5403</v>
      </c>
      <c r="B2705" t="s">
        <v>5379</v>
      </c>
      <c r="C2705" t="s">
        <v>146</v>
      </c>
      <c r="D2705" t="s">
        <v>14</v>
      </c>
      <c r="E2705" t="s">
        <v>674</v>
      </c>
      <c r="F2705" s="2" t="str">
        <f>HYPERLINK("http://www.otzar.org/book.asp?50612","איש יהודי")</f>
        <v>איש יהודי</v>
      </c>
    </row>
    <row r="2706" spans="1:6" x14ac:dyDescent="0.2">
      <c r="A2706" t="s">
        <v>5404</v>
      </c>
      <c r="B2706" t="s">
        <v>5405</v>
      </c>
      <c r="C2706" t="s">
        <v>114</v>
      </c>
      <c r="D2706" t="s">
        <v>52</v>
      </c>
      <c r="F2706" s="2" t="str">
        <f>HYPERLINK("http://www.otzar.org/book.asp?169567","איש ימיני - 4 כר'")</f>
        <v>איש ימיני - 4 כר'</v>
      </c>
    </row>
    <row r="2707" spans="1:6" x14ac:dyDescent="0.2">
      <c r="A2707" t="s">
        <v>5406</v>
      </c>
      <c r="B2707" t="s">
        <v>5407</v>
      </c>
      <c r="C2707" t="s">
        <v>576</v>
      </c>
      <c r="D2707" t="s">
        <v>27</v>
      </c>
      <c r="E2707" t="s">
        <v>202</v>
      </c>
      <c r="F2707" s="2" t="str">
        <f>HYPERLINK("http://www.otzar.org/book.asp?15005","איש ירושלים")</f>
        <v>איש ירושלים</v>
      </c>
    </row>
    <row r="2708" spans="1:6" x14ac:dyDescent="0.2">
      <c r="A2708" t="s">
        <v>5408</v>
      </c>
      <c r="B2708" t="s">
        <v>5409</v>
      </c>
      <c r="C2708" t="s">
        <v>23</v>
      </c>
      <c r="D2708" t="s">
        <v>80</v>
      </c>
      <c r="E2708" t="s">
        <v>119</v>
      </c>
      <c r="F2708" s="2" t="str">
        <f>HYPERLINK("http://www.otzar.org/book.asp?606771","איש להבה")</f>
        <v>איש להבה</v>
      </c>
    </row>
    <row r="2709" spans="1:6" x14ac:dyDescent="0.2">
      <c r="A2709" t="s">
        <v>5410</v>
      </c>
      <c r="B2709" t="s">
        <v>5411</v>
      </c>
      <c r="C2709" t="s">
        <v>1047</v>
      </c>
      <c r="D2709" t="s">
        <v>157</v>
      </c>
      <c r="E2709" t="s">
        <v>234</v>
      </c>
      <c r="F2709" s="2" t="str">
        <f>HYPERLINK("http://www.otzar.org/book.asp?22370","איש מבין - 2 כר'")</f>
        <v>איש מבין - 2 כר'</v>
      </c>
    </row>
    <row r="2710" spans="1:6" x14ac:dyDescent="0.2">
      <c r="A2710" t="s">
        <v>5412</v>
      </c>
      <c r="B2710" t="s">
        <v>5413</v>
      </c>
      <c r="C2710" t="s">
        <v>775</v>
      </c>
      <c r="D2710" t="s">
        <v>216</v>
      </c>
      <c r="E2710" t="s">
        <v>158</v>
      </c>
      <c r="F2710" s="2" t="str">
        <f>HYPERLINK("http://www.otzar.org/book.asp?153600","איש מבית לוי - 2 כר'")</f>
        <v>איש מבית לוי - 2 כר'</v>
      </c>
    </row>
    <row r="2711" spans="1:6" x14ac:dyDescent="0.2">
      <c r="A2711" t="s">
        <v>5414</v>
      </c>
      <c r="B2711" t="s">
        <v>5303</v>
      </c>
      <c r="C2711" t="s">
        <v>411</v>
      </c>
      <c r="D2711" t="s">
        <v>52</v>
      </c>
      <c r="E2711" t="s">
        <v>119</v>
      </c>
      <c r="F2711" s="2" t="str">
        <f>HYPERLINK("http://www.otzar.org/book.asp?171431","איש מבית לחם יהודה")</f>
        <v>איש מבית לחם יהודה</v>
      </c>
    </row>
    <row r="2712" spans="1:6" x14ac:dyDescent="0.2">
      <c r="A2712" t="s">
        <v>5415</v>
      </c>
      <c r="B2712" t="s">
        <v>5416</v>
      </c>
      <c r="C2712" t="s">
        <v>23</v>
      </c>
      <c r="D2712" t="s">
        <v>52</v>
      </c>
      <c r="F2712" s="2" t="str">
        <f>HYPERLINK("http://www.otzar.org/book.asp?608769","איש מצליח &lt;מהדורה חדשה&gt; - יור""ד א")</f>
        <v>איש מצליח &lt;מהדורה חדשה&gt; - יור"ד א</v>
      </c>
    </row>
    <row r="2713" spans="1:6" x14ac:dyDescent="0.2">
      <c r="A2713" t="s">
        <v>5417</v>
      </c>
      <c r="B2713" t="s">
        <v>5416</v>
      </c>
      <c r="C2713" t="s">
        <v>13</v>
      </c>
      <c r="D2713" t="s">
        <v>52</v>
      </c>
      <c r="E2713" t="s">
        <v>154</v>
      </c>
      <c r="F2713" s="2" t="str">
        <f>HYPERLINK("http://www.otzar.org/book.asp?85220","איש מצליח - 5 כר'")</f>
        <v>איש מצליח - 5 כר'</v>
      </c>
    </row>
    <row r="2714" spans="1:6" x14ac:dyDescent="0.2">
      <c r="A2714" t="s">
        <v>5418</v>
      </c>
      <c r="B2714" t="s">
        <v>1093</v>
      </c>
      <c r="C2714" t="s">
        <v>129</v>
      </c>
      <c r="D2714" t="s">
        <v>14</v>
      </c>
      <c r="E2714" t="s">
        <v>202</v>
      </c>
      <c r="F2714" s="2" t="str">
        <f>HYPERLINK("http://www.otzar.org/book.asp?612082","איש סחו אחריו ה' הוא האלקים")</f>
        <v>איש סחו אחריו ה' הוא האלקים</v>
      </c>
    </row>
    <row r="2715" spans="1:6" x14ac:dyDescent="0.2">
      <c r="A2715" t="s">
        <v>5419</v>
      </c>
      <c r="B2715" t="s">
        <v>5420</v>
      </c>
      <c r="C2715" t="s">
        <v>244</v>
      </c>
      <c r="D2715" t="s">
        <v>5421</v>
      </c>
      <c r="E2715" t="s">
        <v>15</v>
      </c>
      <c r="F2715" s="2" t="str">
        <f>HYPERLINK("http://www.otzar.org/book.asp?618843","איש על העדה - רמב""ם")</f>
        <v>איש על העדה - רמב"ם</v>
      </c>
    </row>
    <row r="2716" spans="1:6" x14ac:dyDescent="0.2">
      <c r="A2716" t="s">
        <v>5422</v>
      </c>
      <c r="B2716" t="s">
        <v>5423</v>
      </c>
      <c r="C2716" t="s">
        <v>133</v>
      </c>
      <c r="D2716" t="s">
        <v>14</v>
      </c>
      <c r="E2716" t="s">
        <v>119</v>
      </c>
      <c r="F2716" s="2" t="str">
        <f>HYPERLINK("http://www.otzar.org/book.asp?172916","איש על העדה - 4 כר'")</f>
        <v>איש על העדה - 4 כר'</v>
      </c>
    </row>
    <row r="2717" spans="1:6" x14ac:dyDescent="0.2">
      <c r="A2717" t="s">
        <v>5424</v>
      </c>
      <c r="B2717" t="s">
        <v>5425</v>
      </c>
      <c r="C2717" t="s">
        <v>1940</v>
      </c>
      <c r="D2717" t="s">
        <v>280</v>
      </c>
      <c r="F2717" s="2" t="str">
        <f>HYPERLINK("http://www.otzar.org/book.asp?151824","איש עניו &lt;על בשמים ראש&gt;")</f>
        <v>איש עניו &lt;על בשמים ראש&gt;</v>
      </c>
    </row>
    <row r="2718" spans="1:6" x14ac:dyDescent="0.2">
      <c r="A2718" t="s">
        <v>5426</v>
      </c>
      <c r="B2718" t="s">
        <v>5427</v>
      </c>
      <c r="C2718" t="s">
        <v>1811</v>
      </c>
      <c r="D2718" t="s">
        <v>14</v>
      </c>
      <c r="E2718" t="s">
        <v>119</v>
      </c>
      <c r="F2718" s="2" t="str">
        <f>HYPERLINK("http://www.otzar.org/book.asp?189905","איש צדיק היה - מסכת חייו של ר' אריה לוין")</f>
        <v>איש צדיק היה - מסכת חייו של ר' אריה לוין</v>
      </c>
    </row>
    <row r="2719" spans="1:6" x14ac:dyDescent="0.2">
      <c r="A2719" t="s">
        <v>5428</v>
      </c>
      <c r="B2719" t="s">
        <v>5429</v>
      </c>
      <c r="C2719" t="s">
        <v>603</v>
      </c>
      <c r="D2719" t="s">
        <v>27</v>
      </c>
      <c r="E2719" t="s">
        <v>234</v>
      </c>
      <c r="F2719" s="2" t="str">
        <f>HYPERLINK("http://www.otzar.org/book.asp?108775","איש צעיר")</f>
        <v>איש צעיר</v>
      </c>
    </row>
    <row r="2720" spans="1:6" x14ac:dyDescent="0.2">
      <c r="A2720" t="s">
        <v>5430</v>
      </c>
      <c r="B2720" t="s">
        <v>5431</v>
      </c>
      <c r="C2720" t="s">
        <v>37</v>
      </c>
      <c r="D2720" t="s">
        <v>14</v>
      </c>
      <c r="E2720" t="s">
        <v>140</v>
      </c>
      <c r="F2720" s="2" t="str">
        <f>HYPERLINK("http://www.otzar.org/book.asp?182265","איש תבונה ידלה - א")</f>
        <v>איש תבונה ידלה - א</v>
      </c>
    </row>
    <row r="2721" spans="1:6" x14ac:dyDescent="0.2">
      <c r="A2721" t="s">
        <v>5432</v>
      </c>
      <c r="B2721" t="s">
        <v>5433</v>
      </c>
      <c r="C2721" t="s">
        <v>23</v>
      </c>
      <c r="D2721" t="s">
        <v>412</v>
      </c>
      <c r="E2721" t="s">
        <v>202</v>
      </c>
      <c r="F2721" s="2" t="str">
        <f>HYPERLINK("http://www.otzar.org/book.asp?190265","איש תבונה - ספר הזכרון לרבי יואל קלוגמן")</f>
        <v>איש תבונה - ספר הזכרון לרבי יואל קלוגמן</v>
      </c>
    </row>
    <row r="2722" spans="1:6" x14ac:dyDescent="0.2">
      <c r="A2722" t="s">
        <v>5434</v>
      </c>
      <c r="B2722" t="s">
        <v>5435</v>
      </c>
      <c r="C2722" t="s">
        <v>411</v>
      </c>
      <c r="D2722" t="s">
        <v>14</v>
      </c>
      <c r="E2722" t="s">
        <v>144</v>
      </c>
      <c r="F2722" s="2" t="str">
        <f>HYPERLINK("http://www.otzar.org/book.asp?606437","אישי דעת")</f>
        <v>אישי דעת</v>
      </c>
    </row>
    <row r="2723" spans="1:6" x14ac:dyDescent="0.2">
      <c r="A2723" t="s">
        <v>5436</v>
      </c>
      <c r="B2723" t="s">
        <v>5437</v>
      </c>
      <c r="C2723" t="s">
        <v>37</v>
      </c>
      <c r="D2723" t="s">
        <v>5172</v>
      </c>
      <c r="E2723" t="s">
        <v>5438</v>
      </c>
      <c r="F2723" s="2" t="str">
        <f>HYPERLINK("http://www.otzar.org/book.asp?183077","אישי מועד")</f>
        <v>אישי מועד</v>
      </c>
    </row>
    <row r="2724" spans="1:6" x14ac:dyDescent="0.2">
      <c r="A2724" t="s">
        <v>5436</v>
      </c>
      <c r="B2724" t="s">
        <v>552</v>
      </c>
      <c r="C2724" t="s">
        <v>1388</v>
      </c>
      <c r="D2724" t="s">
        <v>14</v>
      </c>
      <c r="E2724" t="s">
        <v>467</v>
      </c>
      <c r="F2724" s="2" t="str">
        <f>HYPERLINK("http://www.otzar.org/book.asp?52842","אישי מועד")</f>
        <v>אישי מועד</v>
      </c>
    </row>
    <row r="2725" spans="1:6" x14ac:dyDescent="0.2">
      <c r="A2725" t="s">
        <v>5439</v>
      </c>
      <c r="B2725" t="s">
        <v>5440</v>
      </c>
      <c r="C2725" t="s">
        <v>20</v>
      </c>
      <c r="D2725" t="s">
        <v>216</v>
      </c>
      <c r="F2725" s="2" t="str">
        <f>HYPERLINK("http://www.otzar.org/book.asp?612817","אישים בעיר הנצח")</f>
        <v>אישים בעיר הנצח</v>
      </c>
    </row>
    <row r="2726" spans="1:6" x14ac:dyDescent="0.2">
      <c r="A2726" t="s">
        <v>5441</v>
      </c>
      <c r="B2726" t="s">
        <v>5442</v>
      </c>
      <c r="C2726" t="s">
        <v>523</v>
      </c>
      <c r="D2726" t="s">
        <v>52</v>
      </c>
      <c r="E2726" t="s">
        <v>119</v>
      </c>
      <c r="F2726" s="2" t="str">
        <f>HYPERLINK("http://www.otzar.org/book.asp?147902","אישים בתשובות חתם סופר")</f>
        <v>אישים בתשובות חתם סופר</v>
      </c>
    </row>
    <row r="2727" spans="1:6" x14ac:dyDescent="0.2">
      <c r="A2727" t="s">
        <v>5443</v>
      </c>
      <c r="B2727" t="s">
        <v>5444</v>
      </c>
      <c r="C2727" t="s">
        <v>777</v>
      </c>
      <c r="D2727" t="s">
        <v>9</v>
      </c>
      <c r="E2727" t="s">
        <v>5445</v>
      </c>
      <c r="F2727" s="2" t="str">
        <f>HYPERLINK("http://www.otzar.org/book.asp?13175","אישים וספרים ב""תוספות""")</f>
        <v>אישים וספרים ב"תוספות"</v>
      </c>
    </row>
    <row r="2728" spans="1:6" x14ac:dyDescent="0.2">
      <c r="A2728" t="s">
        <v>5446</v>
      </c>
      <c r="B2728" t="s">
        <v>5447</v>
      </c>
      <c r="C2728" t="s">
        <v>419</v>
      </c>
      <c r="D2728" t="s">
        <v>216</v>
      </c>
      <c r="E2728" t="s">
        <v>119</v>
      </c>
      <c r="F2728" s="2" t="str">
        <f>HYPERLINK("http://www.otzar.org/book.asp?147837","אישים וקהילות")</f>
        <v>אישים וקהילות</v>
      </c>
    </row>
    <row r="2729" spans="1:6" x14ac:dyDescent="0.2">
      <c r="A2729" t="s">
        <v>5448</v>
      </c>
      <c r="B2729" t="s">
        <v>5449</v>
      </c>
      <c r="C2729" t="s">
        <v>129</v>
      </c>
      <c r="D2729" t="s">
        <v>14</v>
      </c>
      <c r="E2729" t="s">
        <v>119</v>
      </c>
      <c r="F2729" s="2" t="str">
        <f>HYPERLINK("http://www.otzar.org/book.asp?144217","אישים ושיטות")</f>
        <v>אישים ושיטות</v>
      </c>
    </row>
    <row r="2730" spans="1:6" x14ac:dyDescent="0.2">
      <c r="A2730" t="s">
        <v>5450</v>
      </c>
      <c r="B2730" t="s">
        <v>5451</v>
      </c>
      <c r="C2730" t="s">
        <v>1494</v>
      </c>
      <c r="D2730" t="s">
        <v>3817</v>
      </c>
      <c r="E2730" t="s">
        <v>930</v>
      </c>
      <c r="F2730" s="2" t="str">
        <f>HYPERLINK("http://www.otzar.org/book.asp?10687","איתן האזרחי &lt;ירח האיתנים&gt;")</f>
        <v>איתן האזרחי &lt;ירח האיתנים&gt;</v>
      </c>
    </row>
    <row r="2731" spans="1:6" x14ac:dyDescent="0.2">
      <c r="A2731" t="s">
        <v>5452</v>
      </c>
      <c r="B2731" t="s">
        <v>5453</v>
      </c>
      <c r="C2731" t="s">
        <v>908</v>
      </c>
      <c r="D2731" t="s">
        <v>699</v>
      </c>
      <c r="E2731" t="s">
        <v>246</v>
      </c>
      <c r="F2731" s="2" t="str">
        <f>HYPERLINK("http://www.otzar.org/book.asp?15878","איתן שמואל")</f>
        <v>איתן שמואל</v>
      </c>
    </row>
    <row r="2732" spans="1:6" x14ac:dyDescent="0.2">
      <c r="A2732" t="s">
        <v>5454</v>
      </c>
      <c r="B2732" t="s">
        <v>5455</v>
      </c>
      <c r="C2732" t="s">
        <v>133</v>
      </c>
      <c r="D2732" t="s">
        <v>423</v>
      </c>
      <c r="E2732" t="s">
        <v>172</v>
      </c>
      <c r="F2732" s="2" t="str">
        <f>HYPERLINK("http://www.otzar.org/book.asp?173459","איתני ים")</f>
        <v>איתני ים</v>
      </c>
    </row>
    <row r="2733" spans="1:6" x14ac:dyDescent="0.2">
      <c r="A2733" t="s">
        <v>5456</v>
      </c>
      <c r="B2733" t="s">
        <v>3549</v>
      </c>
      <c r="C2733" t="s">
        <v>366</v>
      </c>
      <c r="D2733" t="s">
        <v>90</v>
      </c>
      <c r="E2733" t="s">
        <v>154</v>
      </c>
      <c r="F2733" s="2" t="str">
        <f>HYPERLINK("http://www.otzar.org/book.asp?622094","אך טוב וחסד - 8 כר'")</f>
        <v>אך טוב וחסד - 8 כר'</v>
      </c>
    </row>
    <row r="2734" spans="1:6" x14ac:dyDescent="0.2">
      <c r="A2734" t="s">
        <v>5457</v>
      </c>
      <c r="B2734" t="s">
        <v>5458</v>
      </c>
      <c r="C2734" t="s">
        <v>422</v>
      </c>
      <c r="D2734" t="s">
        <v>423</v>
      </c>
      <c r="E2734" t="s">
        <v>154</v>
      </c>
      <c r="F2734" s="2" t="str">
        <f>HYPERLINK("http://www.otzar.org/book.asp?622120","אך טוב לישראל - 2 כר'")</f>
        <v>אך טוב לישראל - 2 כר'</v>
      </c>
    </row>
    <row r="2735" spans="1:6" x14ac:dyDescent="0.2">
      <c r="A2735" t="s">
        <v>5459</v>
      </c>
      <c r="B2735" t="s">
        <v>5460</v>
      </c>
      <c r="C2735" t="s">
        <v>87</v>
      </c>
      <c r="D2735" t="s">
        <v>52</v>
      </c>
      <c r="E2735" t="s">
        <v>230</v>
      </c>
      <c r="F2735" s="2" t="str">
        <f>HYPERLINK("http://www.otzar.org/book.asp?160170","אך טוב לישראל")</f>
        <v>אך טוב לישראל</v>
      </c>
    </row>
    <row r="2736" spans="1:6" x14ac:dyDescent="0.2">
      <c r="A2736" t="s">
        <v>5461</v>
      </c>
      <c r="B2736" t="s">
        <v>1750</v>
      </c>
      <c r="C2736" t="s">
        <v>189</v>
      </c>
      <c r="D2736" t="s">
        <v>14</v>
      </c>
      <c r="E2736" t="s">
        <v>186</v>
      </c>
      <c r="F2736" s="2" t="str">
        <f>HYPERLINK("http://www.otzar.org/book.asp?50052","אך טוב - בבא קמא")</f>
        <v>אך טוב - בבא קמא</v>
      </c>
    </row>
    <row r="2737" spans="1:6" x14ac:dyDescent="0.2">
      <c r="A2737" t="s">
        <v>5462</v>
      </c>
      <c r="B2737" t="s">
        <v>5463</v>
      </c>
      <c r="C2737" t="s">
        <v>224</v>
      </c>
      <c r="D2737" t="s">
        <v>1100</v>
      </c>
      <c r="E2737" t="s">
        <v>158</v>
      </c>
      <c r="F2737" s="2" t="str">
        <f>HYPERLINK("http://www.otzar.org/book.asp?108757","אך פרי לצדיק")</f>
        <v>אך פרי לצדיק</v>
      </c>
    </row>
    <row r="2738" spans="1:6" x14ac:dyDescent="0.2">
      <c r="A2738" t="s">
        <v>5464</v>
      </c>
      <c r="B2738" t="s">
        <v>5465</v>
      </c>
      <c r="C2738" t="s">
        <v>5466</v>
      </c>
      <c r="D2738" t="s">
        <v>379</v>
      </c>
      <c r="E2738" t="s">
        <v>230</v>
      </c>
      <c r="F2738" s="2" t="str">
        <f>HYPERLINK("http://www.otzar.org/book.asp?7224","אך פרי תבואה - 2 כר'")</f>
        <v>אך פרי תבואה - 2 כר'</v>
      </c>
    </row>
    <row r="2739" spans="1:6" x14ac:dyDescent="0.2">
      <c r="A2739" t="s">
        <v>5467</v>
      </c>
      <c r="B2739" t="s">
        <v>5468</v>
      </c>
      <c r="C2739" t="s">
        <v>366</v>
      </c>
      <c r="D2739" t="s">
        <v>52</v>
      </c>
      <c r="E2739" t="s">
        <v>1164</v>
      </c>
      <c r="F2739" s="2" t="str">
        <f>HYPERLINK("http://www.otzar.org/book.asp?613840","אכול ושבוע")</f>
        <v>אכול ושבוע</v>
      </c>
    </row>
    <row r="2740" spans="1:6" x14ac:dyDescent="0.2">
      <c r="A2740" t="s">
        <v>5469</v>
      </c>
      <c r="B2740" t="s">
        <v>5470</v>
      </c>
      <c r="C2740" t="s">
        <v>111</v>
      </c>
      <c r="D2740" t="s">
        <v>118</v>
      </c>
      <c r="E2740" t="s">
        <v>246</v>
      </c>
      <c r="F2740" s="2" t="str">
        <f>HYPERLINK("http://www.otzar.org/book.asp?620464","אכילה בהלל - 2 כר'")</f>
        <v>אכילה בהלל - 2 כר'</v>
      </c>
    </row>
    <row r="2741" spans="1:6" x14ac:dyDescent="0.2">
      <c r="A2741" t="s">
        <v>5471</v>
      </c>
      <c r="B2741" t="s">
        <v>5470</v>
      </c>
      <c r="C2741" t="s">
        <v>111</v>
      </c>
      <c r="D2741" t="s">
        <v>118</v>
      </c>
      <c r="F2741" s="2" t="str">
        <f>HYPERLINK("http://www.otzar.org/book.asp?622464","אכילה בשירה - 2 כר'")</f>
        <v>אכילה בשירה - 2 כר'</v>
      </c>
    </row>
    <row r="2742" spans="1:6" x14ac:dyDescent="0.2">
      <c r="A2742" t="s">
        <v>5472</v>
      </c>
      <c r="B2742" t="s">
        <v>5473</v>
      </c>
      <c r="C2742" t="s">
        <v>68</v>
      </c>
      <c r="D2742" t="s">
        <v>152</v>
      </c>
      <c r="E2742" t="s">
        <v>144</v>
      </c>
      <c r="F2742" s="2" t="str">
        <f>HYPERLINK("http://www.otzar.org/book.asp?156138","אכילת קדשים")</f>
        <v>אכילת קדשים</v>
      </c>
    </row>
    <row r="2743" spans="1:6" x14ac:dyDescent="0.2">
      <c r="A2743" t="s">
        <v>5474</v>
      </c>
      <c r="B2743" t="s">
        <v>5475</v>
      </c>
      <c r="C2743" t="s">
        <v>1163</v>
      </c>
      <c r="D2743" t="s">
        <v>1163</v>
      </c>
      <c r="E2743" t="s">
        <v>4738</v>
      </c>
      <c r="F2743" s="2" t="str">
        <f>HYPERLINK("http://www.otzar.org/book.asp?170924","אכלה ואכלה - כתב יד פריס")</f>
        <v>אכלה ואכלה - כתב יד פריס</v>
      </c>
    </row>
    <row r="2744" spans="1:6" x14ac:dyDescent="0.2">
      <c r="A2744" t="s">
        <v>5475</v>
      </c>
      <c r="B2744" t="s">
        <v>5476</v>
      </c>
      <c r="C2744" t="s">
        <v>1844</v>
      </c>
      <c r="D2744" t="s">
        <v>5477</v>
      </c>
      <c r="E2744" t="s">
        <v>104</v>
      </c>
      <c r="F2744" s="2" t="str">
        <f>HYPERLINK("http://www.otzar.org/book.asp?170661","אכלה ואכלה")</f>
        <v>אכלה ואכלה</v>
      </c>
    </row>
    <row r="2745" spans="1:6" x14ac:dyDescent="0.2">
      <c r="A2745" t="s">
        <v>5478</v>
      </c>
      <c r="B2745" t="s">
        <v>5479</v>
      </c>
      <c r="C2745" t="s">
        <v>133</v>
      </c>
      <c r="D2745" t="s">
        <v>646</v>
      </c>
      <c r="E2745" t="s">
        <v>219</v>
      </c>
      <c r="F2745" s="2" t="str">
        <f>HYPERLINK("http://www.otzar.org/book.asp?189825","אכסוף נועם שבת")</f>
        <v>אכסוף נועם שבת</v>
      </c>
    </row>
    <row r="2746" spans="1:6" x14ac:dyDescent="0.2">
      <c r="A2746" t="s">
        <v>5478</v>
      </c>
      <c r="B2746" t="s">
        <v>5480</v>
      </c>
      <c r="C2746" t="s">
        <v>13</v>
      </c>
      <c r="D2746" t="s">
        <v>423</v>
      </c>
      <c r="E2746" t="s">
        <v>246</v>
      </c>
      <c r="F2746" s="2" t="str">
        <f>HYPERLINK("http://www.otzar.org/book.asp?61899","אכסוף נועם שבת")</f>
        <v>אכסוף נועם שבת</v>
      </c>
    </row>
    <row r="2747" spans="1:6" x14ac:dyDescent="0.2">
      <c r="A2747" t="s">
        <v>5481</v>
      </c>
      <c r="B2747" t="s">
        <v>5482</v>
      </c>
      <c r="C2747" t="s">
        <v>111</v>
      </c>
      <c r="D2747" t="s">
        <v>147</v>
      </c>
      <c r="E2747" t="s">
        <v>1185</v>
      </c>
      <c r="F2747" s="2" t="str">
        <f>HYPERLINK("http://www.otzar.org/book.asp?620518","אכסוף - תשע""ט")</f>
        <v>אכסוף - תשע"ט</v>
      </c>
    </row>
    <row r="2748" spans="1:6" x14ac:dyDescent="0.2">
      <c r="A2748" t="s">
        <v>5483</v>
      </c>
      <c r="B2748" t="s">
        <v>5484</v>
      </c>
      <c r="C2748" t="s">
        <v>2105</v>
      </c>
      <c r="D2748" t="s">
        <v>610</v>
      </c>
      <c r="E2748" t="s">
        <v>202</v>
      </c>
      <c r="F2748" s="2" t="str">
        <f>HYPERLINK("http://www.otzar.org/book.asp?188562","אכסניא של תורה - א")</f>
        <v>אכסניא של תורה - א</v>
      </c>
    </row>
    <row r="2749" spans="1:6" x14ac:dyDescent="0.2">
      <c r="A2749" t="s">
        <v>5485</v>
      </c>
      <c r="B2749" t="s">
        <v>5486</v>
      </c>
      <c r="C2749" t="s">
        <v>20</v>
      </c>
      <c r="D2749" t="s">
        <v>14</v>
      </c>
      <c r="E2749" t="s">
        <v>202</v>
      </c>
      <c r="F2749" s="2" t="str">
        <f>HYPERLINK("http://www.otzar.org/book.asp?608383","אכסניה של תורה")</f>
        <v>אכסניה של תורה</v>
      </c>
    </row>
    <row r="2750" spans="1:6" x14ac:dyDescent="0.2">
      <c r="A2750" t="s">
        <v>5485</v>
      </c>
      <c r="B2750" t="s">
        <v>1750</v>
      </c>
      <c r="C2750" t="s">
        <v>244</v>
      </c>
      <c r="D2750" t="s">
        <v>486</v>
      </c>
      <c r="F2750" s="2" t="str">
        <f>HYPERLINK("http://www.otzar.org/book.asp?198147","אכסניה של תורה")</f>
        <v>אכסניה של תורה</v>
      </c>
    </row>
    <row r="2751" spans="1:6" x14ac:dyDescent="0.2">
      <c r="A2751" t="s">
        <v>5485</v>
      </c>
      <c r="B2751" t="s">
        <v>5487</v>
      </c>
      <c r="C2751" t="s">
        <v>366</v>
      </c>
      <c r="D2751" t="s">
        <v>4223</v>
      </c>
      <c r="E2751" t="s">
        <v>202</v>
      </c>
      <c r="F2751" s="2" t="str">
        <f>HYPERLINK("http://www.otzar.org/book.asp?603903","אכסניה של תורה")</f>
        <v>אכסניה של תורה</v>
      </c>
    </row>
    <row r="2752" spans="1:6" x14ac:dyDescent="0.2">
      <c r="A2752" t="s">
        <v>5488</v>
      </c>
      <c r="B2752" t="s">
        <v>5488</v>
      </c>
      <c r="C2752" t="s">
        <v>427</v>
      </c>
      <c r="D2752" t="s">
        <v>14</v>
      </c>
      <c r="E2752" t="s">
        <v>674</v>
      </c>
      <c r="F2752" s="2" t="str">
        <f>HYPERLINK("http://www.otzar.org/book.asp?107115","אל גיל כעמים")</f>
        <v>אל גיל כעמים</v>
      </c>
    </row>
    <row r="2753" spans="1:6" x14ac:dyDescent="0.2">
      <c r="A2753" t="s">
        <v>5489</v>
      </c>
      <c r="B2753" t="s">
        <v>5490</v>
      </c>
      <c r="C2753" t="s">
        <v>46</v>
      </c>
      <c r="D2753" t="s">
        <v>27</v>
      </c>
      <c r="E2753" t="s">
        <v>15</v>
      </c>
      <c r="F2753" s="2" t="str">
        <f>HYPERLINK("http://www.otzar.org/book.asp?179085","אל האשה העבריה")</f>
        <v>אל האשה העבריה</v>
      </c>
    </row>
    <row r="2754" spans="1:6" x14ac:dyDescent="0.2">
      <c r="A2754" t="s">
        <v>5491</v>
      </c>
      <c r="B2754" t="s">
        <v>5492</v>
      </c>
      <c r="C2754" t="s">
        <v>1640</v>
      </c>
      <c r="D2754" t="s">
        <v>21</v>
      </c>
      <c r="E2754" t="s">
        <v>104</v>
      </c>
      <c r="F2754" s="2" t="str">
        <f>HYPERLINK("http://www.otzar.org/book.asp?602609","אל הישיבות")</f>
        <v>אל הישיבות</v>
      </c>
    </row>
    <row r="2755" spans="1:6" x14ac:dyDescent="0.2">
      <c r="A2755" t="s">
        <v>5493</v>
      </c>
      <c r="B2755" t="s">
        <v>5494</v>
      </c>
      <c r="C2755" t="s">
        <v>725</v>
      </c>
      <c r="D2755" t="s">
        <v>225</v>
      </c>
      <c r="E2755" t="s">
        <v>241</v>
      </c>
      <c r="F2755" s="2" t="str">
        <f>HYPERLINK("http://www.otzar.org/book.asp?103027","אל המבקש")</f>
        <v>אל המבקש</v>
      </c>
    </row>
    <row r="2756" spans="1:6" x14ac:dyDescent="0.2">
      <c r="A2756" t="s">
        <v>5495</v>
      </c>
      <c r="B2756" t="s">
        <v>5496</v>
      </c>
      <c r="C2756" t="s">
        <v>143</v>
      </c>
      <c r="D2756" t="s">
        <v>80</v>
      </c>
      <c r="E2756" t="s">
        <v>3790</v>
      </c>
      <c r="F2756" s="2" t="str">
        <f>HYPERLINK("http://www.otzar.org/book.asp?195802","אל המבקש - 2 כר'")</f>
        <v>אל המבקש - 2 כר'</v>
      </c>
    </row>
    <row r="2757" spans="1:6" x14ac:dyDescent="0.2">
      <c r="A2757" t="s">
        <v>5497</v>
      </c>
      <c r="B2757" t="s">
        <v>5498</v>
      </c>
      <c r="C2757" t="s">
        <v>124</v>
      </c>
      <c r="D2757" t="s">
        <v>52</v>
      </c>
      <c r="E2757" t="s">
        <v>750</v>
      </c>
      <c r="F2757" s="2" t="str">
        <f>HYPERLINK("http://www.otzar.org/book.asp?150752","אל המקורות - 4 כר'")</f>
        <v>אל המקורות - 4 כר'</v>
      </c>
    </row>
    <row r="2758" spans="1:6" x14ac:dyDescent="0.2">
      <c r="A2758" t="s">
        <v>5499</v>
      </c>
      <c r="B2758" t="s">
        <v>5499</v>
      </c>
      <c r="C2758" t="s">
        <v>20</v>
      </c>
      <c r="D2758" t="s">
        <v>90</v>
      </c>
      <c r="E2758" t="s">
        <v>579</v>
      </c>
      <c r="F2758" s="2" t="str">
        <f>HYPERLINK("http://www.otzar.org/book.asp?53012","אל הנער הזה התפללתי")</f>
        <v>אל הנער הזה התפללתי</v>
      </c>
    </row>
    <row r="2759" spans="1:6" x14ac:dyDescent="0.2">
      <c r="A2759" t="s">
        <v>5500</v>
      </c>
      <c r="B2759" t="s">
        <v>5501</v>
      </c>
      <c r="C2759" t="s">
        <v>237</v>
      </c>
      <c r="D2759" t="s">
        <v>27</v>
      </c>
      <c r="E2759" t="s">
        <v>3261</v>
      </c>
      <c r="F2759" s="2" t="str">
        <f>HYPERLINK("http://www.otzar.org/book.asp?106963","אל התלמיד")</f>
        <v>אל התלמיד</v>
      </c>
    </row>
    <row r="2760" spans="1:6" x14ac:dyDescent="0.2">
      <c r="A2760" t="s">
        <v>5502</v>
      </c>
      <c r="B2760" t="s">
        <v>3663</v>
      </c>
      <c r="C2760" t="s">
        <v>133</v>
      </c>
      <c r="D2760" t="s">
        <v>2285</v>
      </c>
      <c r="E2760" t="s">
        <v>130</v>
      </c>
      <c r="F2760" s="2" t="str">
        <f>HYPERLINK("http://www.otzar.org/book.asp?192900","אל יוציא")</f>
        <v>אל יוציא</v>
      </c>
    </row>
    <row r="2761" spans="1:6" x14ac:dyDescent="0.2">
      <c r="A2761" t="s">
        <v>5503</v>
      </c>
      <c r="B2761" t="s">
        <v>5504</v>
      </c>
      <c r="C2761" t="s">
        <v>20</v>
      </c>
      <c r="D2761" t="s">
        <v>21</v>
      </c>
      <c r="E2761" t="s">
        <v>119</v>
      </c>
      <c r="F2761" s="2" t="str">
        <f>HYPERLINK("http://www.otzar.org/book.asp?197169","אל מעין העדן")</f>
        <v>אל מעין העדן</v>
      </c>
    </row>
    <row r="2762" spans="1:6" x14ac:dyDescent="0.2">
      <c r="A2762" t="s">
        <v>5505</v>
      </c>
      <c r="B2762" t="s">
        <v>5506</v>
      </c>
      <c r="C2762" t="s">
        <v>71</v>
      </c>
      <c r="D2762" t="s">
        <v>14</v>
      </c>
      <c r="E2762" t="s">
        <v>399</v>
      </c>
      <c r="F2762" s="2" t="str">
        <f>HYPERLINK("http://www.otzar.org/book.asp?155021","אל סף הפנימיות")</f>
        <v>אל סף הפנימיות</v>
      </c>
    </row>
    <row r="2763" spans="1:6" x14ac:dyDescent="0.2">
      <c r="A2763" t="s">
        <v>5507</v>
      </c>
      <c r="B2763" t="s">
        <v>5508</v>
      </c>
      <c r="C2763" t="s">
        <v>422</v>
      </c>
      <c r="D2763" t="s">
        <v>115</v>
      </c>
      <c r="F2763" s="2" t="str">
        <f>HYPERLINK("http://www.otzar.org/book.asp?194760","אל עין המים - ב""מ")</f>
        <v>אל עין המים - ב"מ</v>
      </c>
    </row>
    <row r="2764" spans="1:6" x14ac:dyDescent="0.2">
      <c r="A2764" t="s">
        <v>5509</v>
      </c>
      <c r="B2764" t="s">
        <v>5510</v>
      </c>
      <c r="C2764" t="s">
        <v>313</v>
      </c>
      <c r="D2764" t="s">
        <v>14</v>
      </c>
      <c r="E2764" t="s">
        <v>733</v>
      </c>
      <c r="F2764" s="2" t="str">
        <f>HYPERLINK("http://www.otzar.org/book.asp?165277","אל תדום")</f>
        <v>אל תדום</v>
      </c>
    </row>
    <row r="2765" spans="1:6" x14ac:dyDescent="0.2">
      <c r="A2765" t="s">
        <v>5511</v>
      </c>
      <c r="B2765" t="s">
        <v>5512</v>
      </c>
      <c r="C2765" t="s">
        <v>411</v>
      </c>
      <c r="D2765" t="s">
        <v>229</v>
      </c>
      <c r="E2765" t="s">
        <v>64</v>
      </c>
      <c r="F2765" s="2" t="str">
        <f>HYPERLINK("http://www.otzar.org/book.asp?168805","אל תדיחנו")</f>
        <v>אל תדיחנו</v>
      </c>
    </row>
    <row r="2766" spans="1:6" x14ac:dyDescent="0.2">
      <c r="A2766" t="s">
        <v>5513</v>
      </c>
      <c r="B2766" t="s">
        <v>206</v>
      </c>
      <c r="C2766" t="s">
        <v>20</v>
      </c>
      <c r="D2766" t="s">
        <v>90</v>
      </c>
      <c r="E2766" t="s">
        <v>674</v>
      </c>
      <c r="F2766" s="2" t="str">
        <f>HYPERLINK("http://www.otzar.org/book.asp?629564","אל תהי צדיק הרבה")</f>
        <v>אל תהי צדיק הרבה</v>
      </c>
    </row>
    <row r="2767" spans="1:6" x14ac:dyDescent="0.2">
      <c r="A2767" t="s">
        <v>5514</v>
      </c>
      <c r="B2767" t="s">
        <v>5515</v>
      </c>
      <c r="E2767" t="s">
        <v>104</v>
      </c>
      <c r="F2767" s="2" t="str">
        <f>HYPERLINK("http://www.otzar.org/book.asp?629135","אל תחטאו בילד")</f>
        <v>אל תחטאו בילד</v>
      </c>
    </row>
    <row r="2768" spans="1:6" x14ac:dyDescent="0.2">
      <c r="A2768" t="s">
        <v>5516</v>
      </c>
      <c r="B2768" t="s">
        <v>5517</v>
      </c>
      <c r="C2768" t="s">
        <v>87</v>
      </c>
      <c r="D2768" t="s">
        <v>14</v>
      </c>
      <c r="E2768" t="s">
        <v>15</v>
      </c>
      <c r="F2768" s="2" t="str">
        <f>HYPERLINK("http://www.otzar.org/book.asp?106059","אל תיראי אדמה")</f>
        <v>אל תיראי אדמה</v>
      </c>
    </row>
    <row r="2769" spans="1:6" x14ac:dyDescent="0.2">
      <c r="A2769" t="s">
        <v>5518</v>
      </c>
      <c r="B2769" t="s">
        <v>5519</v>
      </c>
      <c r="C2769" t="s">
        <v>3246</v>
      </c>
      <c r="D2769" t="s">
        <v>283</v>
      </c>
      <c r="E2769" t="s">
        <v>154</v>
      </c>
      <c r="F2769" s="2" t="str">
        <f>HYPERLINK("http://www.otzar.org/book.asp?17183","אל תקרי הליכות אלא הלכות")</f>
        <v>אל תקרי הליכות אלא הלכות</v>
      </c>
    </row>
    <row r="2770" spans="1:6" x14ac:dyDescent="0.2">
      <c r="A2770" t="s">
        <v>5520</v>
      </c>
      <c r="B2770" t="s">
        <v>1614</v>
      </c>
      <c r="C2770" t="s">
        <v>20</v>
      </c>
      <c r="D2770" t="s">
        <v>14</v>
      </c>
      <c r="E2770" t="s">
        <v>104</v>
      </c>
      <c r="F2770" s="2" t="str">
        <f>HYPERLINK("http://www.otzar.org/book.asp?158658","אל תשלח ידך אל הנער")</f>
        <v>אל תשלח ידך אל הנער</v>
      </c>
    </row>
    <row r="2771" spans="1:6" x14ac:dyDescent="0.2">
      <c r="A2771" t="s">
        <v>5521</v>
      </c>
      <c r="B2771" t="s">
        <v>5522</v>
      </c>
      <c r="C2771" t="s">
        <v>473</v>
      </c>
      <c r="D2771" t="s">
        <v>379</v>
      </c>
      <c r="E2771" t="s">
        <v>803</v>
      </c>
      <c r="F2771" s="2" t="str">
        <f>HYPERLINK("http://www.otzar.org/book.asp?17184","אלביש ישע")</f>
        <v>אלביש ישע</v>
      </c>
    </row>
    <row r="2772" spans="1:6" x14ac:dyDescent="0.2">
      <c r="A2772" t="s">
        <v>5523</v>
      </c>
      <c r="B2772" t="s">
        <v>5524</v>
      </c>
      <c r="C2772" t="s">
        <v>1208</v>
      </c>
      <c r="D2772" t="s">
        <v>14</v>
      </c>
      <c r="E2772" t="s">
        <v>384</v>
      </c>
      <c r="F2772" s="2" t="str">
        <f>HYPERLINK("http://www.otzar.org/book.asp?157483","אלגאמע - המאסף - דברי שלום")</f>
        <v>אלגאמע - המאסף - דברי שלום</v>
      </c>
    </row>
    <row r="2773" spans="1:6" x14ac:dyDescent="0.2">
      <c r="A2773" t="s">
        <v>5525</v>
      </c>
      <c r="B2773" t="s">
        <v>5526</v>
      </c>
      <c r="C2773" t="s">
        <v>5527</v>
      </c>
      <c r="D2773" t="s">
        <v>5528</v>
      </c>
      <c r="E2773" t="s">
        <v>15</v>
      </c>
      <c r="F2773" s="2" t="str">
        <f>HYPERLINK("http://www.otzar.org/book.asp?12158","אלדד הדני")</f>
        <v>אלדד הדני</v>
      </c>
    </row>
    <row r="2774" spans="1:6" x14ac:dyDescent="0.2">
      <c r="A2774" t="s">
        <v>5525</v>
      </c>
      <c r="B2774" t="s">
        <v>5529</v>
      </c>
      <c r="C2774" t="s">
        <v>5530</v>
      </c>
      <c r="D2774" t="s">
        <v>2234</v>
      </c>
      <c r="E2774" t="s">
        <v>104</v>
      </c>
      <c r="F2774" s="2" t="str">
        <f>HYPERLINK("http://www.otzar.org/book.asp?614423","אלדד הדני")</f>
        <v>אלדד הדני</v>
      </c>
    </row>
    <row r="2775" spans="1:6" x14ac:dyDescent="0.2">
      <c r="A2775" t="s">
        <v>5525</v>
      </c>
      <c r="B2775" t="s">
        <v>5531</v>
      </c>
      <c r="C2775" t="s">
        <v>1844</v>
      </c>
      <c r="D2775" t="s">
        <v>1422</v>
      </c>
      <c r="E2775" t="s">
        <v>104</v>
      </c>
      <c r="F2775" s="2" t="str">
        <f>HYPERLINK("http://www.otzar.org/book.asp?162271","אלדד הדני")</f>
        <v>אלדד הדני</v>
      </c>
    </row>
    <row r="2776" spans="1:6" x14ac:dyDescent="0.2">
      <c r="A2776" t="s">
        <v>5525</v>
      </c>
      <c r="B2776" t="s">
        <v>5532</v>
      </c>
      <c r="C2776" t="s">
        <v>3690</v>
      </c>
      <c r="D2776" t="s">
        <v>1422</v>
      </c>
      <c r="E2776" t="s">
        <v>15</v>
      </c>
      <c r="F2776" s="2" t="str">
        <f>HYPERLINK("http://www.otzar.org/book.asp?7787","אלדד הדני")</f>
        <v>אלדד הדני</v>
      </c>
    </row>
    <row r="2777" spans="1:6" x14ac:dyDescent="0.2">
      <c r="A2777" t="s">
        <v>5533</v>
      </c>
      <c r="B2777" t="s">
        <v>5534</v>
      </c>
      <c r="C2777" t="s">
        <v>5535</v>
      </c>
      <c r="D2777" t="s">
        <v>9</v>
      </c>
      <c r="E2777" t="s">
        <v>119</v>
      </c>
      <c r="F2777" s="2" t="str">
        <f>HYPERLINK("http://www.otzar.org/book.asp?17728","אלה אזכרה - 7 כר'")</f>
        <v>אלה אזכרה - 7 כר'</v>
      </c>
    </row>
    <row r="2778" spans="1:6" x14ac:dyDescent="0.2">
      <c r="A2778" t="s">
        <v>5536</v>
      </c>
      <c r="B2778" t="s">
        <v>5537</v>
      </c>
      <c r="C2778" t="s">
        <v>1954</v>
      </c>
      <c r="D2778" t="s">
        <v>260</v>
      </c>
      <c r="E2778" t="s">
        <v>1433</v>
      </c>
      <c r="F2778" s="2" t="str">
        <f>HYPERLINK("http://www.otzar.org/book.asp?11961","אלה גבולותיך ישראל")</f>
        <v>אלה גבולותיך ישראל</v>
      </c>
    </row>
    <row r="2779" spans="1:6" x14ac:dyDescent="0.2">
      <c r="A2779" t="s">
        <v>5538</v>
      </c>
      <c r="B2779" t="s">
        <v>5058</v>
      </c>
      <c r="C2779" t="s">
        <v>466</v>
      </c>
      <c r="D2779" t="s">
        <v>118</v>
      </c>
      <c r="E2779" t="s">
        <v>15</v>
      </c>
      <c r="F2779" s="2" t="str">
        <f>HYPERLINK("http://www.otzar.org/book.asp?179939","אלה דברי הברית")</f>
        <v>אלה דברי הברית</v>
      </c>
    </row>
    <row r="2780" spans="1:6" x14ac:dyDescent="0.2">
      <c r="A2780" t="s">
        <v>5538</v>
      </c>
      <c r="B2780" t="s">
        <v>3111</v>
      </c>
      <c r="C2780" t="s">
        <v>189</v>
      </c>
      <c r="D2780" t="s">
        <v>14</v>
      </c>
      <c r="E2780" t="s">
        <v>15</v>
      </c>
      <c r="F2780" s="2" t="str">
        <f>HYPERLINK("http://www.otzar.org/book.asp?23259","אלה דברי הברית")</f>
        <v>אלה דברי הברית</v>
      </c>
    </row>
    <row r="2781" spans="1:6" x14ac:dyDescent="0.2">
      <c r="A2781" t="s">
        <v>5539</v>
      </c>
      <c r="B2781" t="s">
        <v>5540</v>
      </c>
      <c r="C2781" t="s">
        <v>4907</v>
      </c>
      <c r="D2781" t="s">
        <v>1023</v>
      </c>
      <c r="E2781" t="s">
        <v>234</v>
      </c>
      <c r="F2781" s="2" t="str">
        <f>HYPERLINK("http://www.otzar.org/book.asp?149994","אלה דברי החכם")</f>
        <v>אלה דברי החכם</v>
      </c>
    </row>
    <row r="2782" spans="1:6" x14ac:dyDescent="0.2">
      <c r="A2782" t="s">
        <v>5541</v>
      </c>
      <c r="B2782" t="s">
        <v>5542</v>
      </c>
      <c r="C2782" t="s">
        <v>427</v>
      </c>
      <c r="D2782" t="s">
        <v>14</v>
      </c>
      <c r="F2782" s="2" t="str">
        <f>HYPERLINK("http://www.otzar.org/book.asp?169371","אלה דברי שמואל - 2 כר'")</f>
        <v>אלה דברי שמואל - 2 כר'</v>
      </c>
    </row>
    <row r="2783" spans="1:6" x14ac:dyDescent="0.2">
      <c r="A2783" t="s">
        <v>5543</v>
      </c>
      <c r="B2783" t="s">
        <v>5543</v>
      </c>
      <c r="C2783" t="s">
        <v>5544</v>
      </c>
      <c r="D2783" t="s">
        <v>1411</v>
      </c>
      <c r="E2783" t="s">
        <v>2775</v>
      </c>
      <c r="F2783" s="2" t="str">
        <f>HYPERLINK("http://www.otzar.org/book.asp?146598","אלה הדברים")</f>
        <v>אלה הדברים</v>
      </c>
    </row>
    <row r="2784" spans="1:6" x14ac:dyDescent="0.2">
      <c r="A2784" t="s">
        <v>5545</v>
      </c>
      <c r="B2784" t="s">
        <v>5546</v>
      </c>
      <c r="C2784" t="s">
        <v>812</v>
      </c>
      <c r="D2784" t="s">
        <v>5547</v>
      </c>
      <c r="E2784" t="s">
        <v>564</v>
      </c>
      <c r="F2784" s="2" t="str">
        <f>HYPERLINK("http://www.otzar.org/book.asp?300237","אלה הדברים - א")</f>
        <v>אלה הדברים - א</v>
      </c>
    </row>
    <row r="2785" spans="1:6" x14ac:dyDescent="0.2">
      <c r="A2785" t="s">
        <v>5548</v>
      </c>
      <c r="B2785" t="s">
        <v>3111</v>
      </c>
      <c r="C2785" t="s">
        <v>313</v>
      </c>
      <c r="D2785" t="s">
        <v>14</v>
      </c>
      <c r="E2785" t="s">
        <v>2071</v>
      </c>
      <c r="F2785" s="2" t="str">
        <f>HYPERLINK("http://www.otzar.org/book.asp?23179","אלה הדברים - 2 כר'")</f>
        <v>אלה הדברים - 2 כר'</v>
      </c>
    </row>
    <row r="2786" spans="1:6" x14ac:dyDescent="0.2">
      <c r="A2786" t="s">
        <v>5549</v>
      </c>
      <c r="B2786" t="s">
        <v>5550</v>
      </c>
      <c r="C2786" t="s">
        <v>2024</v>
      </c>
      <c r="D2786" t="s">
        <v>4288</v>
      </c>
      <c r="E2786" t="s">
        <v>241</v>
      </c>
      <c r="F2786" s="2" t="str">
        <f>HYPERLINK("http://www.otzar.org/book.asp?147223","אלה הם דברי התעוררות")</f>
        <v>אלה הם דברי התעוררות</v>
      </c>
    </row>
    <row r="2787" spans="1:6" x14ac:dyDescent="0.2">
      <c r="A2787" t="s">
        <v>5551</v>
      </c>
      <c r="B2787" t="s">
        <v>5552</v>
      </c>
      <c r="C2787" t="s">
        <v>366</v>
      </c>
      <c r="D2787" t="s">
        <v>412</v>
      </c>
      <c r="F2787" s="2" t="str">
        <f>HYPERLINK("http://www.otzar.org/book.asp?617806","אלה הם מועדי")</f>
        <v>אלה הם מועדי</v>
      </c>
    </row>
    <row r="2788" spans="1:6" x14ac:dyDescent="0.2">
      <c r="A2788" t="s">
        <v>5551</v>
      </c>
      <c r="B2788" t="s">
        <v>5553</v>
      </c>
      <c r="C2788" t="s">
        <v>411</v>
      </c>
      <c r="D2788" t="s">
        <v>52</v>
      </c>
      <c r="E2788" t="s">
        <v>246</v>
      </c>
      <c r="F2788" s="2" t="str">
        <f>HYPERLINK("http://www.otzar.org/book.asp?167183","אלה הם מועדי")</f>
        <v>אלה הם מועדי</v>
      </c>
    </row>
    <row r="2789" spans="1:6" x14ac:dyDescent="0.2">
      <c r="A2789" t="s">
        <v>5554</v>
      </c>
      <c r="B2789" t="s">
        <v>3111</v>
      </c>
      <c r="C2789" t="s">
        <v>51</v>
      </c>
      <c r="D2789" t="s">
        <v>14</v>
      </c>
      <c r="E2789" t="s">
        <v>4494</v>
      </c>
      <c r="F2789" s="2" t="str">
        <f>HYPERLINK("http://www.otzar.org/book.asp?23178","אלה הם מועדי - 6 כר'")</f>
        <v>אלה הם מועדי - 6 כר'</v>
      </c>
    </row>
    <row r="2790" spans="1:6" x14ac:dyDescent="0.2">
      <c r="A2790" t="s">
        <v>5555</v>
      </c>
      <c r="B2790" t="s">
        <v>5556</v>
      </c>
      <c r="C2790" t="s">
        <v>1284</v>
      </c>
      <c r="D2790" t="s">
        <v>225</v>
      </c>
      <c r="E2790" t="s">
        <v>104</v>
      </c>
      <c r="F2790" s="2" t="str">
        <f>HYPERLINK("http://www.otzar.org/book.asp?100243","אלה המצות")</f>
        <v>אלה המצות</v>
      </c>
    </row>
    <row r="2791" spans="1:6" x14ac:dyDescent="0.2">
      <c r="A2791" t="s">
        <v>5555</v>
      </c>
      <c r="B2791" t="s">
        <v>5557</v>
      </c>
      <c r="C2791" t="s">
        <v>558</v>
      </c>
      <c r="D2791" t="s">
        <v>5558</v>
      </c>
      <c r="E2791" t="s">
        <v>674</v>
      </c>
      <c r="F2791" s="2" t="str">
        <f>HYPERLINK("http://www.otzar.org/book.asp?149133","אלה המצות")</f>
        <v>אלה המצות</v>
      </c>
    </row>
    <row r="2792" spans="1:6" x14ac:dyDescent="0.2">
      <c r="A2792" t="s">
        <v>5559</v>
      </c>
      <c r="B2792" t="s">
        <v>1540</v>
      </c>
      <c r="C2792" t="s">
        <v>1844</v>
      </c>
      <c r="D2792" t="s">
        <v>1722</v>
      </c>
      <c r="E2792" t="s">
        <v>674</v>
      </c>
      <c r="F2792" s="2" t="str">
        <f>HYPERLINK("http://www.otzar.org/book.asp?146981","אלה המצות - 4 כר'")</f>
        <v>אלה המצות - 4 כר'</v>
      </c>
    </row>
    <row r="2793" spans="1:6" x14ac:dyDescent="0.2">
      <c r="A2793" t="s">
        <v>5560</v>
      </c>
      <c r="B2793" t="s">
        <v>5561</v>
      </c>
      <c r="C2793" t="s">
        <v>946</v>
      </c>
      <c r="D2793" t="s">
        <v>225</v>
      </c>
      <c r="E2793" t="s">
        <v>508</v>
      </c>
      <c r="F2793" s="2" t="str">
        <f>HYPERLINK("http://www.otzar.org/book.asp?300236","אלה המשפטים")</f>
        <v>אלה המשפטים</v>
      </c>
    </row>
    <row r="2794" spans="1:6" x14ac:dyDescent="0.2">
      <c r="A2794" t="s">
        <v>5562</v>
      </c>
      <c r="B2794" t="s">
        <v>5561</v>
      </c>
      <c r="C2794" t="s">
        <v>649</v>
      </c>
      <c r="D2794" t="s">
        <v>225</v>
      </c>
      <c r="F2794" s="2" t="str">
        <f>HYPERLINK("http://www.otzar.org/book.asp?19319","אלה העדות")</f>
        <v>אלה העדות</v>
      </c>
    </row>
    <row r="2795" spans="1:6" x14ac:dyDescent="0.2">
      <c r="A2795" t="s">
        <v>5563</v>
      </c>
      <c r="B2795" t="s">
        <v>5564</v>
      </c>
      <c r="C2795" t="s">
        <v>87</v>
      </c>
      <c r="D2795" t="s">
        <v>14</v>
      </c>
      <c r="E2795" t="s">
        <v>5565</v>
      </c>
      <c r="F2795" s="2" t="str">
        <f>HYPERLINK("http://www.otzar.org/book.asp?159339","אלה מועדי - א")</f>
        <v>אלה מועדי - א</v>
      </c>
    </row>
    <row r="2796" spans="1:6" x14ac:dyDescent="0.2">
      <c r="A2796" t="s">
        <v>5566</v>
      </c>
      <c r="B2796" t="s">
        <v>5567</v>
      </c>
      <c r="C2796" t="s">
        <v>114</v>
      </c>
      <c r="D2796" t="s">
        <v>21</v>
      </c>
      <c r="E2796" t="s">
        <v>246</v>
      </c>
      <c r="F2796" s="2" t="str">
        <f>HYPERLINK("http://www.otzar.org/book.asp?603499","אלה מועדי")</f>
        <v>אלה מועדי</v>
      </c>
    </row>
    <row r="2797" spans="1:6" x14ac:dyDescent="0.2">
      <c r="A2797" t="s">
        <v>5568</v>
      </c>
      <c r="B2797" t="s">
        <v>5569</v>
      </c>
      <c r="C2797" t="s">
        <v>17</v>
      </c>
      <c r="D2797" t="s">
        <v>5570</v>
      </c>
      <c r="E2797" t="s">
        <v>119</v>
      </c>
      <c r="F2797" s="2" t="str">
        <f>HYPERLINK("http://www.otzar.org/book.asp?63168","אלה מסעי &lt;רשימת מסע הרבנים&gt;")</f>
        <v>אלה מסעי &lt;רשימת מסע הרבנים&gt;</v>
      </c>
    </row>
    <row r="2798" spans="1:6" x14ac:dyDescent="0.2">
      <c r="A2798" t="s">
        <v>5571</v>
      </c>
      <c r="B2798" t="s">
        <v>5572</v>
      </c>
      <c r="C2798" t="s">
        <v>87</v>
      </c>
      <c r="D2798" t="s">
        <v>412</v>
      </c>
      <c r="E2798" t="s">
        <v>140</v>
      </c>
      <c r="F2798" s="2" t="str">
        <f>HYPERLINK("http://www.otzar.org/book.asp?155876","אלה מסעי")</f>
        <v>אלה מסעי</v>
      </c>
    </row>
    <row r="2799" spans="1:6" x14ac:dyDescent="0.2">
      <c r="A2799" t="s">
        <v>5573</v>
      </c>
      <c r="B2799" t="s">
        <v>5574</v>
      </c>
      <c r="C2799" t="s">
        <v>356</v>
      </c>
      <c r="D2799" t="s">
        <v>52</v>
      </c>
      <c r="F2799" s="2" t="str">
        <f>HYPERLINK("http://www.otzar.org/book.asp?156553","אלה שלא נכנעו")</f>
        <v>אלה שלא נכנעו</v>
      </c>
    </row>
    <row r="2800" spans="1:6" x14ac:dyDescent="0.2">
      <c r="A2800" t="s">
        <v>5575</v>
      </c>
      <c r="C2800" t="s">
        <v>950</v>
      </c>
      <c r="D2800" t="s">
        <v>5576</v>
      </c>
      <c r="F2800" s="2" t="str">
        <f>HYPERLINK("http://www.otzar.org/book.asp?170139","אלה תולדות הרב משה ראססקס")</f>
        <v>אלה תולדות הרב משה ראססקס</v>
      </c>
    </row>
    <row r="2801" spans="1:6" x14ac:dyDescent="0.2">
      <c r="A2801" t="s">
        <v>5577</v>
      </c>
      <c r="B2801" t="s">
        <v>5578</v>
      </c>
      <c r="C2801" t="s">
        <v>176</v>
      </c>
      <c r="D2801" t="s">
        <v>14</v>
      </c>
      <c r="E2801" t="s">
        <v>119</v>
      </c>
      <c r="F2801" s="2" t="str">
        <f>HYPERLINK("http://www.otzar.org/book.asp?170795","אלה תולדות יעקב")</f>
        <v>אלה תולדות יעקב</v>
      </c>
    </row>
    <row r="2802" spans="1:6" x14ac:dyDescent="0.2">
      <c r="A2802" t="s">
        <v>5577</v>
      </c>
      <c r="B2802" t="s">
        <v>5579</v>
      </c>
      <c r="C2802" t="s">
        <v>20</v>
      </c>
      <c r="D2802" t="s">
        <v>90</v>
      </c>
      <c r="E2802" t="s">
        <v>5580</v>
      </c>
      <c r="F2802" s="2" t="str">
        <f>HYPERLINK("http://www.otzar.org/book.asp?50117","אלה תולדות יעקב")</f>
        <v>אלה תולדות יעקב</v>
      </c>
    </row>
    <row r="2803" spans="1:6" x14ac:dyDescent="0.2">
      <c r="A2803" t="s">
        <v>5581</v>
      </c>
      <c r="B2803" t="s">
        <v>5582</v>
      </c>
      <c r="C2803" t="s">
        <v>1124</v>
      </c>
      <c r="D2803" t="s">
        <v>1422</v>
      </c>
      <c r="E2803" t="s">
        <v>119</v>
      </c>
      <c r="F2803" s="2" t="str">
        <f>HYPERLINK("http://www.otzar.org/book.asp?170907","אלה תולדות רבינו")</f>
        <v>אלה תולדות רבינו</v>
      </c>
    </row>
    <row r="2804" spans="1:6" x14ac:dyDescent="0.2">
      <c r="A2804" t="s">
        <v>5583</v>
      </c>
      <c r="B2804" t="s">
        <v>5584</v>
      </c>
      <c r="C2804" t="s">
        <v>725</v>
      </c>
      <c r="D2804" t="s">
        <v>27</v>
      </c>
      <c r="E2804" t="s">
        <v>119</v>
      </c>
      <c r="F2804" s="2" t="str">
        <f>HYPERLINK("http://www.otzar.org/book.asp?168115","אלה תולדות")</f>
        <v>אלה תולדות</v>
      </c>
    </row>
    <row r="2805" spans="1:6" x14ac:dyDescent="0.2">
      <c r="A2805" t="s">
        <v>5585</v>
      </c>
      <c r="B2805" t="s">
        <v>5586</v>
      </c>
      <c r="C2805" t="s">
        <v>68</v>
      </c>
      <c r="D2805" t="s">
        <v>80</v>
      </c>
      <c r="E2805" t="s">
        <v>246</v>
      </c>
      <c r="F2805" s="2" t="str">
        <f>HYPERLINK("http://www.otzar.org/book.asp?193007","אלהא דמאיר ענני")</f>
        <v>אלהא דמאיר ענני</v>
      </c>
    </row>
    <row r="2806" spans="1:6" x14ac:dyDescent="0.2">
      <c r="A2806" t="s">
        <v>5587</v>
      </c>
      <c r="B2806" t="s">
        <v>5588</v>
      </c>
      <c r="C2806" t="s">
        <v>619</v>
      </c>
      <c r="D2806" t="s">
        <v>216</v>
      </c>
      <c r="F2806" s="2" t="str">
        <f>HYPERLINK("http://www.otzar.org/book.asp?612807","אלו מציאות (מפורש)")</f>
        <v>אלו מציאות (מפורש)</v>
      </c>
    </row>
    <row r="2807" spans="1:6" x14ac:dyDescent="0.2">
      <c r="A2807" t="s">
        <v>5589</v>
      </c>
      <c r="B2807" t="s">
        <v>5590</v>
      </c>
      <c r="C2807" t="s">
        <v>133</v>
      </c>
      <c r="D2807" t="s">
        <v>14</v>
      </c>
      <c r="F2807" s="2" t="str">
        <f>HYPERLINK("http://www.otzar.org/book.asp?180905","אלו שכופין להוציא")</f>
        <v>אלו שכופין להוציא</v>
      </c>
    </row>
    <row r="2808" spans="1:6" x14ac:dyDescent="0.2">
      <c r="A2808" t="s">
        <v>5591</v>
      </c>
      <c r="B2808" t="s">
        <v>5592</v>
      </c>
      <c r="C2808" t="s">
        <v>2302</v>
      </c>
      <c r="D2808" t="s">
        <v>1833</v>
      </c>
      <c r="F2808" s="2" t="str">
        <f>HYPERLINK("http://www.otzar.org/book.asp?84125","אלו שרשרת העבתת")</f>
        <v>אלו שרשרת העבתת</v>
      </c>
    </row>
    <row r="2809" spans="1:6" x14ac:dyDescent="0.2">
      <c r="A2809" t="s">
        <v>5593</v>
      </c>
      <c r="B2809" t="s">
        <v>3888</v>
      </c>
      <c r="C2809" t="s">
        <v>151</v>
      </c>
      <c r="D2809" t="s">
        <v>21</v>
      </c>
      <c r="F2809" s="2" t="str">
        <f>HYPERLINK("http://www.otzar.org/book.asp?622920","אלול למעשה")</f>
        <v>אלול למעשה</v>
      </c>
    </row>
    <row r="2810" spans="1:6" x14ac:dyDescent="0.2">
      <c r="A2810" t="s">
        <v>5594</v>
      </c>
      <c r="B2810" t="s">
        <v>5595</v>
      </c>
      <c r="C2810" t="s">
        <v>356</v>
      </c>
      <c r="D2810" t="s">
        <v>14</v>
      </c>
      <c r="E2810" t="s">
        <v>2135</v>
      </c>
      <c r="F2810" s="2" t="str">
        <f>HYPERLINK("http://www.otzar.org/book.asp?25632","אלומות יוסף - 2 כר'")</f>
        <v>אלומות יוסף - 2 כר'</v>
      </c>
    </row>
    <row r="2811" spans="1:6" x14ac:dyDescent="0.2">
      <c r="A2811" t="s">
        <v>5596</v>
      </c>
      <c r="B2811" t="s">
        <v>5597</v>
      </c>
      <c r="C2811" t="s">
        <v>23</v>
      </c>
      <c r="D2811" t="s">
        <v>52</v>
      </c>
      <c r="E2811" t="s">
        <v>15</v>
      </c>
      <c r="F2811" s="2" t="str">
        <f>HYPERLINK("http://www.otzar.org/book.asp?619671","אלומות יוסף - תרומות ומעשרות, ערלה, נטע רבעי")</f>
        <v>אלומות יוסף - תרומות ומעשרות, ערלה, נטע רבעי</v>
      </c>
    </row>
    <row r="2812" spans="1:6" x14ac:dyDescent="0.2">
      <c r="A2812" t="s">
        <v>5598</v>
      </c>
      <c r="B2812" t="s">
        <v>5599</v>
      </c>
      <c r="C2812" t="s">
        <v>68</v>
      </c>
      <c r="D2812" t="s">
        <v>14</v>
      </c>
      <c r="E2812" t="s">
        <v>202</v>
      </c>
      <c r="F2812" s="2" t="str">
        <f>HYPERLINK("http://www.otzar.org/book.asp?159553","אלומות")</f>
        <v>אלומות</v>
      </c>
    </row>
    <row r="2813" spans="1:6" x14ac:dyDescent="0.2">
      <c r="A2813" t="s">
        <v>5600</v>
      </c>
      <c r="B2813" t="s">
        <v>5601</v>
      </c>
      <c r="C2813" t="s">
        <v>20</v>
      </c>
      <c r="D2813" t="s">
        <v>14</v>
      </c>
      <c r="E2813" t="s">
        <v>144</v>
      </c>
      <c r="F2813" s="2" t="str">
        <f>HYPERLINK("http://www.otzar.org/book.asp?60377","אלומים בשדה - איזהו נשך")</f>
        <v>אלומים בשדה - איזהו נשך</v>
      </c>
    </row>
    <row r="2814" spans="1:6" x14ac:dyDescent="0.2">
      <c r="A2814" t="s">
        <v>5602</v>
      </c>
      <c r="B2814" t="s">
        <v>5603</v>
      </c>
      <c r="C2814" t="s">
        <v>71</v>
      </c>
      <c r="D2814" t="s">
        <v>14</v>
      </c>
      <c r="E2814" t="s">
        <v>144</v>
      </c>
      <c r="F2814" s="2" t="str">
        <f>HYPERLINK("http://www.otzar.org/book.asp?25629","אלומת יוסף - 4 כר'")</f>
        <v>אלומת יוסף - 4 כר'</v>
      </c>
    </row>
    <row r="2815" spans="1:6" x14ac:dyDescent="0.2">
      <c r="A2815" t="s">
        <v>5604</v>
      </c>
      <c r="B2815" t="s">
        <v>5605</v>
      </c>
      <c r="C2815" t="s">
        <v>360</v>
      </c>
      <c r="D2815" t="s">
        <v>283</v>
      </c>
      <c r="E2815" t="s">
        <v>234</v>
      </c>
      <c r="F2815" s="2" t="str">
        <f>HYPERLINK("http://www.otzar.org/book.asp?300234","אלומת יוסף - א")</f>
        <v>אלומת יוסף - א</v>
      </c>
    </row>
    <row r="2816" spans="1:6" x14ac:dyDescent="0.2">
      <c r="A2816" t="s">
        <v>5606</v>
      </c>
      <c r="B2816" t="s">
        <v>2214</v>
      </c>
      <c r="C2816" t="s">
        <v>496</v>
      </c>
      <c r="D2816" t="s">
        <v>27</v>
      </c>
      <c r="E2816" t="s">
        <v>564</v>
      </c>
      <c r="F2816" s="2" t="str">
        <f>HYPERLINK("http://www.otzar.org/book.asp?300235","אלומת יוסף")</f>
        <v>אלומת יוסף</v>
      </c>
    </row>
    <row r="2817" spans="1:6" x14ac:dyDescent="0.2">
      <c r="A2817" t="s">
        <v>5607</v>
      </c>
      <c r="B2817" t="s">
        <v>5608</v>
      </c>
      <c r="C2817" t="s">
        <v>4705</v>
      </c>
      <c r="D2817" t="s">
        <v>56</v>
      </c>
      <c r="E2817" t="s">
        <v>144</v>
      </c>
      <c r="F2817" s="2" t="str">
        <f>HYPERLINK("http://www.otzar.org/book.asp?17187","אלומת עלומים")</f>
        <v>אלומת עלומים</v>
      </c>
    </row>
    <row r="2818" spans="1:6" x14ac:dyDescent="0.2">
      <c r="A2818" t="s">
        <v>5609</v>
      </c>
      <c r="B2818" t="s">
        <v>93</v>
      </c>
      <c r="C2818" t="s">
        <v>20</v>
      </c>
      <c r="D2818" t="s">
        <v>90</v>
      </c>
      <c r="F2818" s="2" t="str">
        <f>HYPERLINK("http://www.otzar.org/book.asp?606501","אלון בכות &lt;מהדורה חדשה&gt;")</f>
        <v>אלון בכות &lt;מהדורה חדשה&gt;</v>
      </c>
    </row>
    <row r="2819" spans="1:6" x14ac:dyDescent="0.2">
      <c r="A2819" t="s">
        <v>5610</v>
      </c>
      <c r="B2819" t="s">
        <v>5611</v>
      </c>
      <c r="C2819" t="s">
        <v>2105</v>
      </c>
      <c r="D2819" t="s">
        <v>212</v>
      </c>
      <c r="E2819" t="s">
        <v>1517</v>
      </c>
      <c r="F2819" s="2" t="str">
        <f>HYPERLINK("http://www.otzar.org/book.asp?188428","אלון בכות חדש")</f>
        <v>אלון בכות חדש</v>
      </c>
    </row>
    <row r="2820" spans="1:6" x14ac:dyDescent="0.2">
      <c r="A2820" t="s">
        <v>5612</v>
      </c>
      <c r="B2820" t="s">
        <v>5613</v>
      </c>
      <c r="C2820" t="s">
        <v>1096</v>
      </c>
      <c r="D2820" t="s">
        <v>27</v>
      </c>
      <c r="E2820" t="s">
        <v>234</v>
      </c>
      <c r="F2820" s="2" t="str">
        <f>HYPERLINK("http://www.otzar.org/book.asp?300231","אלון בכות")</f>
        <v>אלון בכות</v>
      </c>
    </row>
    <row r="2821" spans="1:6" x14ac:dyDescent="0.2">
      <c r="A2821" t="s">
        <v>5612</v>
      </c>
      <c r="B2821" t="s">
        <v>5614</v>
      </c>
      <c r="C2821" t="s">
        <v>156</v>
      </c>
      <c r="D2821" t="s">
        <v>5615</v>
      </c>
      <c r="E2821" t="s">
        <v>234</v>
      </c>
      <c r="F2821" s="2" t="str">
        <f>HYPERLINK("http://www.otzar.org/book.asp?15873","אלון בכות")</f>
        <v>אלון בכות</v>
      </c>
    </row>
    <row r="2822" spans="1:6" x14ac:dyDescent="0.2">
      <c r="A2822" t="s">
        <v>5612</v>
      </c>
      <c r="B2822" t="s">
        <v>686</v>
      </c>
      <c r="C2822" t="s">
        <v>23</v>
      </c>
      <c r="D2822" t="s">
        <v>52</v>
      </c>
      <c r="E2822" t="s">
        <v>1262</v>
      </c>
      <c r="F2822" s="2" t="str">
        <f>HYPERLINK("http://www.otzar.org/book.asp?191909","אלון בכות")</f>
        <v>אלון בכות</v>
      </c>
    </row>
    <row r="2823" spans="1:6" x14ac:dyDescent="0.2">
      <c r="A2823" t="s">
        <v>5612</v>
      </c>
      <c r="B2823" t="s">
        <v>5616</v>
      </c>
      <c r="C2823" t="s">
        <v>2465</v>
      </c>
      <c r="D2823" t="s">
        <v>2303</v>
      </c>
      <c r="E2823" t="s">
        <v>234</v>
      </c>
      <c r="F2823" s="2" t="str">
        <f>HYPERLINK("http://www.otzar.org/book.asp?15862","אלון בכות")</f>
        <v>אלון בכות</v>
      </c>
    </row>
    <row r="2824" spans="1:6" x14ac:dyDescent="0.2">
      <c r="A2824" t="s">
        <v>5612</v>
      </c>
      <c r="B2824" t="s">
        <v>5617</v>
      </c>
      <c r="C2824" t="s">
        <v>725</v>
      </c>
      <c r="D2824" t="s">
        <v>691</v>
      </c>
      <c r="E2824" t="s">
        <v>234</v>
      </c>
      <c r="F2824" s="2" t="str">
        <f>HYPERLINK("http://www.otzar.org/book.asp?17188","אלון בכות")</f>
        <v>אלון בכות</v>
      </c>
    </row>
    <row r="2825" spans="1:6" x14ac:dyDescent="0.2">
      <c r="A2825" t="s">
        <v>5612</v>
      </c>
      <c r="B2825" t="s">
        <v>5618</v>
      </c>
      <c r="C2825" t="s">
        <v>20</v>
      </c>
      <c r="D2825" t="s">
        <v>14</v>
      </c>
      <c r="E2825" t="s">
        <v>234</v>
      </c>
      <c r="F2825" s="2" t="str">
        <f>HYPERLINK("http://www.otzar.org/book.asp?148622","אלון בכות")</f>
        <v>אלון בכות</v>
      </c>
    </row>
    <row r="2826" spans="1:6" x14ac:dyDescent="0.2">
      <c r="A2826" t="s">
        <v>5612</v>
      </c>
      <c r="B2826" t="s">
        <v>93</v>
      </c>
      <c r="C2826" t="s">
        <v>5619</v>
      </c>
      <c r="D2826" t="s">
        <v>49</v>
      </c>
      <c r="E2826" t="s">
        <v>158</v>
      </c>
      <c r="F2826" s="2" t="str">
        <f>HYPERLINK("http://www.otzar.org/book.asp?22371","אלון בכות")</f>
        <v>אלון בכות</v>
      </c>
    </row>
    <row r="2827" spans="1:6" x14ac:dyDescent="0.2">
      <c r="A2827" t="s">
        <v>5612</v>
      </c>
      <c r="B2827" t="s">
        <v>5620</v>
      </c>
      <c r="C2827" t="s">
        <v>1844</v>
      </c>
      <c r="D2827" t="s">
        <v>1279</v>
      </c>
      <c r="E2827" t="s">
        <v>234</v>
      </c>
      <c r="F2827" s="2" t="str">
        <f>HYPERLINK("http://www.otzar.org/book.asp?15875","אלון בכות")</f>
        <v>אלון בכות</v>
      </c>
    </row>
    <row r="2828" spans="1:6" x14ac:dyDescent="0.2">
      <c r="A2828" t="s">
        <v>5612</v>
      </c>
      <c r="B2828" t="s">
        <v>5621</v>
      </c>
      <c r="C2828" t="s">
        <v>919</v>
      </c>
      <c r="D2828" t="s">
        <v>216</v>
      </c>
      <c r="E2828" t="s">
        <v>202</v>
      </c>
      <c r="F2828" s="2" t="str">
        <f>HYPERLINK("http://www.otzar.org/book.asp?159985","אלון בכות")</f>
        <v>אלון בכות</v>
      </c>
    </row>
    <row r="2829" spans="1:6" x14ac:dyDescent="0.2">
      <c r="A2829" t="s">
        <v>5612</v>
      </c>
      <c r="B2829" t="s">
        <v>5622</v>
      </c>
      <c r="C2829" t="s">
        <v>1374</v>
      </c>
      <c r="D2829" t="s">
        <v>100</v>
      </c>
      <c r="E2829" t="s">
        <v>234</v>
      </c>
      <c r="F2829" s="2" t="str">
        <f>HYPERLINK("http://www.otzar.org/book.asp?15880","אלון בכות")</f>
        <v>אלון בכות</v>
      </c>
    </row>
    <row r="2830" spans="1:6" x14ac:dyDescent="0.2">
      <c r="A2830" t="s">
        <v>5623</v>
      </c>
      <c r="B2830" t="s">
        <v>5624</v>
      </c>
      <c r="C2830" t="s">
        <v>244</v>
      </c>
      <c r="D2830" t="s">
        <v>52</v>
      </c>
      <c r="E2830" t="s">
        <v>234</v>
      </c>
      <c r="F2830" s="2" t="str">
        <f>HYPERLINK("http://www.otzar.org/book.asp?616384","אלון בכות - הספדים")</f>
        <v>אלון בכות - הספדים</v>
      </c>
    </row>
    <row r="2831" spans="1:6" x14ac:dyDescent="0.2">
      <c r="A2831" t="s">
        <v>5612</v>
      </c>
      <c r="B2831" t="s">
        <v>5625</v>
      </c>
      <c r="C2831" t="s">
        <v>2271</v>
      </c>
      <c r="D2831" t="s">
        <v>5626</v>
      </c>
      <c r="E2831" t="s">
        <v>219</v>
      </c>
      <c r="F2831" s="2" t="str">
        <f>HYPERLINK("http://www.otzar.org/book.asp?196850","אלון בכות")</f>
        <v>אלון בכות</v>
      </c>
    </row>
    <row r="2832" spans="1:6" x14ac:dyDescent="0.2">
      <c r="A2832" t="s">
        <v>5627</v>
      </c>
      <c r="B2832" t="s">
        <v>5628</v>
      </c>
      <c r="C2832" t="s">
        <v>343</v>
      </c>
      <c r="D2832" t="s">
        <v>283</v>
      </c>
      <c r="E2832" t="s">
        <v>158</v>
      </c>
      <c r="F2832" s="2" t="str">
        <f>HYPERLINK("http://www.otzar.org/book.asp?83621","אלופי יהודא")</f>
        <v>אלופי יהודא</v>
      </c>
    </row>
    <row r="2833" spans="1:6" x14ac:dyDescent="0.2">
      <c r="A2833" t="s">
        <v>5629</v>
      </c>
      <c r="B2833" t="s">
        <v>5630</v>
      </c>
      <c r="C2833" t="s">
        <v>940</v>
      </c>
      <c r="D2833" t="s">
        <v>14</v>
      </c>
      <c r="E2833" t="s">
        <v>158</v>
      </c>
      <c r="F2833" s="2" t="str">
        <f>HYPERLINK("http://www.otzar.org/book.asp?62672","אלופי יהודה - 2 כר'")</f>
        <v>אלופי יהודה - 2 כר'</v>
      </c>
    </row>
    <row r="2834" spans="1:6" x14ac:dyDescent="0.2">
      <c r="A2834" t="s">
        <v>5631</v>
      </c>
      <c r="B2834" t="s">
        <v>5632</v>
      </c>
      <c r="C2834" t="s">
        <v>332</v>
      </c>
      <c r="D2834" t="s">
        <v>52</v>
      </c>
      <c r="E2834" t="s">
        <v>241</v>
      </c>
      <c r="F2834" s="2" t="str">
        <f>HYPERLINK("http://www.otzar.org/book.asp?165965","אלופינו מסובלים - 3 כר'")</f>
        <v>אלופינו מסובלים - 3 כר'</v>
      </c>
    </row>
    <row r="2835" spans="1:6" x14ac:dyDescent="0.2">
      <c r="A2835" t="s">
        <v>5633</v>
      </c>
      <c r="B2835" t="s">
        <v>5634</v>
      </c>
      <c r="C2835" t="s">
        <v>13</v>
      </c>
      <c r="D2835" t="s">
        <v>52</v>
      </c>
      <c r="E2835" t="s">
        <v>104</v>
      </c>
      <c r="F2835" s="2" t="str">
        <f>HYPERLINK("http://www.otzar.org/book.asp?147605","אלופינו מסובלים")</f>
        <v>אלופינו מסובלים</v>
      </c>
    </row>
    <row r="2836" spans="1:6" x14ac:dyDescent="0.2">
      <c r="A2836" t="s">
        <v>5635</v>
      </c>
      <c r="B2836" t="s">
        <v>5636</v>
      </c>
      <c r="C2836" t="s">
        <v>313</v>
      </c>
      <c r="D2836" t="s">
        <v>1511</v>
      </c>
      <c r="E2836" t="s">
        <v>5637</v>
      </c>
      <c r="F2836" s="2" t="str">
        <f>HYPERLINK("http://www.otzar.org/book.asp?165230","אלוקי אברהם")</f>
        <v>אלוקי אברהם</v>
      </c>
    </row>
    <row r="2837" spans="1:6" x14ac:dyDescent="0.2">
      <c r="A2837" t="s">
        <v>5638</v>
      </c>
      <c r="B2837" t="s">
        <v>5636</v>
      </c>
      <c r="C2837" t="s">
        <v>71</v>
      </c>
      <c r="D2837" t="s">
        <v>139</v>
      </c>
      <c r="E2837" t="s">
        <v>213</v>
      </c>
      <c r="F2837" s="2" t="str">
        <f>HYPERLINK("http://www.otzar.org/book.asp?165233","אלוקי יעקב")</f>
        <v>אלוקי יעקב</v>
      </c>
    </row>
    <row r="2838" spans="1:6" x14ac:dyDescent="0.2">
      <c r="A2838" t="s">
        <v>5639</v>
      </c>
      <c r="B2838" t="s">
        <v>5640</v>
      </c>
      <c r="C2838" t="s">
        <v>180</v>
      </c>
      <c r="D2838" t="s">
        <v>412</v>
      </c>
      <c r="F2838" s="2" t="str">
        <f>HYPERLINK("http://www.otzar.org/book.asp?85787","אלט און ניי אין ישראל")</f>
        <v>אלט און ניי אין ישראל</v>
      </c>
    </row>
    <row r="2839" spans="1:6" x14ac:dyDescent="0.2">
      <c r="A2839" t="s">
        <v>5639</v>
      </c>
      <c r="B2839" t="s">
        <v>5641</v>
      </c>
      <c r="C2839" t="s">
        <v>180</v>
      </c>
      <c r="D2839" t="s">
        <v>412</v>
      </c>
      <c r="F2839" s="2" t="str">
        <f>HYPERLINK("http://www.otzar.org/book.asp?604305","אלט און ניי אין ישראל")</f>
        <v>אלט און ניי אין ישראל</v>
      </c>
    </row>
    <row r="2840" spans="1:6" x14ac:dyDescent="0.2">
      <c r="A2840" t="s">
        <v>5642</v>
      </c>
      <c r="B2840" t="s">
        <v>5643</v>
      </c>
      <c r="C2840" t="s">
        <v>1208</v>
      </c>
      <c r="D2840" t="s">
        <v>5644</v>
      </c>
      <c r="E2840" t="s">
        <v>213</v>
      </c>
      <c r="F2840" s="2" t="str">
        <f>HYPERLINK("http://www.otzar.org/book.asp?170752","אלי בעזרי")</f>
        <v>אלי בעזרי</v>
      </c>
    </row>
    <row r="2841" spans="1:6" x14ac:dyDescent="0.2">
      <c r="A2841" t="s">
        <v>5645</v>
      </c>
      <c r="B2841" t="s">
        <v>5646</v>
      </c>
      <c r="C2841" t="s">
        <v>20</v>
      </c>
      <c r="D2841" t="s">
        <v>90</v>
      </c>
      <c r="E2841" t="s">
        <v>674</v>
      </c>
      <c r="F2841" s="2" t="str">
        <f>HYPERLINK("http://www.otzar.org/book.asp?629969","אלי""ה תמימה")</f>
        <v>אלי"ה תמימה</v>
      </c>
    </row>
    <row r="2842" spans="1:6" x14ac:dyDescent="0.2">
      <c r="A2842" t="s">
        <v>5647</v>
      </c>
      <c r="B2842" t="s">
        <v>5648</v>
      </c>
      <c r="C2842" t="s">
        <v>360</v>
      </c>
      <c r="D2842" t="s">
        <v>283</v>
      </c>
      <c r="E2842" t="s">
        <v>5649</v>
      </c>
      <c r="F2842" s="2" t="str">
        <f>HYPERLINK("http://www.otzar.org/book.asp?104904","אליאב בן אחיסמך")</f>
        <v>אליאב בן אחיסמך</v>
      </c>
    </row>
    <row r="2843" spans="1:6" x14ac:dyDescent="0.2">
      <c r="A2843" t="s">
        <v>5650</v>
      </c>
      <c r="B2843" t="s">
        <v>5651</v>
      </c>
      <c r="C2843" t="s">
        <v>775</v>
      </c>
      <c r="D2843" t="s">
        <v>14</v>
      </c>
      <c r="E2843" t="s">
        <v>144</v>
      </c>
      <c r="F2843" s="2" t="str">
        <f>HYPERLINK("http://www.otzar.org/book.asp?168895","אליבא דהלכתא")</f>
        <v>אליבא דהלכתא</v>
      </c>
    </row>
    <row r="2844" spans="1:6" x14ac:dyDescent="0.2">
      <c r="A2844" t="s">
        <v>5652</v>
      </c>
      <c r="B2844" t="s">
        <v>5653</v>
      </c>
      <c r="C2844" t="s">
        <v>244</v>
      </c>
      <c r="D2844" t="s">
        <v>21</v>
      </c>
      <c r="E2844" t="s">
        <v>144</v>
      </c>
      <c r="F2844" s="2" t="str">
        <f>HYPERLINK("http://www.otzar.org/book.asp?195599","אליבא דהלכתא - 3 כר'")</f>
        <v>אליבא דהלכתא - 3 כר'</v>
      </c>
    </row>
    <row r="2845" spans="1:6" x14ac:dyDescent="0.2">
      <c r="A2845" t="s">
        <v>5654</v>
      </c>
      <c r="B2845" t="s">
        <v>5655</v>
      </c>
      <c r="C2845" t="s">
        <v>129</v>
      </c>
      <c r="D2845" t="s">
        <v>14</v>
      </c>
      <c r="E2845" t="s">
        <v>2091</v>
      </c>
      <c r="F2845" s="2" t="str">
        <f>HYPERLINK("http://www.otzar.org/book.asp?151358","אליבא דהלכתא - 98 כר'")</f>
        <v>אליבא דהלכתא - 98 כר'</v>
      </c>
    </row>
    <row r="2846" spans="1:6" x14ac:dyDescent="0.2">
      <c r="A2846" t="s">
        <v>5656</v>
      </c>
      <c r="B2846" t="s">
        <v>1275</v>
      </c>
      <c r="C2846" t="s">
        <v>111</v>
      </c>
      <c r="D2846" t="s">
        <v>14</v>
      </c>
      <c r="F2846" s="2" t="str">
        <f>HYPERLINK("http://www.otzar.org/book.asp?623065","אליבא דשמואל - 2 כר'")</f>
        <v>אליבא דשמואל - 2 כר'</v>
      </c>
    </row>
    <row r="2847" spans="1:6" x14ac:dyDescent="0.2">
      <c r="A2847" t="s">
        <v>5657</v>
      </c>
      <c r="B2847" t="s">
        <v>5658</v>
      </c>
      <c r="C2847" t="s">
        <v>812</v>
      </c>
      <c r="D2847" t="s">
        <v>5659</v>
      </c>
      <c r="E2847" t="s">
        <v>158</v>
      </c>
      <c r="F2847" s="2" t="str">
        <f>HYPERLINK("http://www.otzar.org/book.asp?161104","אליה מזרחי &lt;הרא""ם - 3 כר'")</f>
        <v>אליה מזרחי &lt;הרא"ם - 3 כר'</v>
      </c>
    </row>
    <row r="2848" spans="1:6" x14ac:dyDescent="0.2">
      <c r="A2848" t="s">
        <v>5660</v>
      </c>
      <c r="B2848" t="s">
        <v>5658</v>
      </c>
      <c r="C2848" t="s">
        <v>5661</v>
      </c>
      <c r="D2848" t="s">
        <v>5662</v>
      </c>
      <c r="F2848" s="2" t="str">
        <f>HYPERLINK("http://www.otzar.org/book.asp?621527","אליה מזרחי")</f>
        <v>אליה מזרחי</v>
      </c>
    </row>
    <row r="2849" spans="1:6" x14ac:dyDescent="0.2">
      <c r="A2849" t="s">
        <v>5663</v>
      </c>
      <c r="B2849" t="s">
        <v>5664</v>
      </c>
      <c r="C2849" t="s">
        <v>4538</v>
      </c>
      <c r="D2849" t="s">
        <v>5665</v>
      </c>
      <c r="E2849" t="s">
        <v>148</v>
      </c>
      <c r="F2849" s="2" t="str">
        <f>HYPERLINK("http://www.otzar.org/book.asp?51248","אליה רבה - 3 כר'")</f>
        <v>אליה רבה - 3 כר'</v>
      </c>
    </row>
    <row r="2850" spans="1:6" x14ac:dyDescent="0.2">
      <c r="A2850" t="s">
        <v>5666</v>
      </c>
      <c r="B2850" t="s">
        <v>5667</v>
      </c>
      <c r="C2850" t="s">
        <v>5668</v>
      </c>
      <c r="D2850" t="s">
        <v>3208</v>
      </c>
      <c r="E2850" t="s">
        <v>1164</v>
      </c>
      <c r="F2850" s="2" t="str">
        <f>HYPERLINK("http://www.otzar.org/book.asp?624780","אליהו הנביא - 3 כר'")</f>
        <v>אליהו הנביא - 3 כר'</v>
      </c>
    </row>
    <row r="2851" spans="1:6" x14ac:dyDescent="0.2">
      <c r="A2851" t="s">
        <v>5669</v>
      </c>
      <c r="B2851" t="s">
        <v>5670</v>
      </c>
      <c r="C2851" t="s">
        <v>445</v>
      </c>
      <c r="D2851" t="s">
        <v>4269</v>
      </c>
      <c r="E2851" t="s">
        <v>172</v>
      </c>
      <c r="F2851" s="2" t="str">
        <f>HYPERLINK("http://www.otzar.org/book.asp?22372","אליהו רבה")</f>
        <v>אליהו רבה</v>
      </c>
    </row>
    <row r="2852" spans="1:6" x14ac:dyDescent="0.2">
      <c r="A2852" t="s">
        <v>5671</v>
      </c>
      <c r="B2852" t="s">
        <v>3462</v>
      </c>
      <c r="C2852" t="s">
        <v>767</v>
      </c>
      <c r="D2852" t="s">
        <v>52</v>
      </c>
      <c r="E2852" t="s">
        <v>241</v>
      </c>
      <c r="F2852" s="2" t="str">
        <f>HYPERLINK("http://www.otzar.org/book.asp?61331","אליך ה' נפשי אשא")</f>
        <v>אליך ה' נפשי אשא</v>
      </c>
    </row>
    <row r="2853" spans="1:6" x14ac:dyDescent="0.2">
      <c r="A2853" t="s">
        <v>5672</v>
      </c>
      <c r="B2853" t="s">
        <v>5673</v>
      </c>
      <c r="C2853" t="s">
        <v>51</v>
      </c>
      <c r="D2853" t="s">
        <v>14</v>
      </c>
      <c r="E2853" t="s">
        <v>144</v>
      </c>
      <c r="F2853" s="2" t="str">
        <f>HYPERLINK("http://www.otzar.org/book.asp?51945","אליעזר משה - 5 כר'")</f>
        <v>אליעזר משה - 5 כר'</v>
      </c>
    </row>
    <row r="2854" spans="1:6" x14ac:dyDescent="0.2">
      <c r="A2854" t="s">
        <v>5674</v>
      </c>
      <c r="B2854" t="s">
        <v>5675</v>
      </c>
      <c r="C2854" t="s">
        <v>103</v>
      </c>
      <c r="D2854" t="s">
        <v>52</v>
      </c>
      <c r="E2854" t="s">
        <v>154</v>
      </c>
      <c r="F2854" s="2" t="str">
        <f>HYPERLINK("http://www.otzar.org/book.asp?50955","אלישיב הכהן - 3 כר'")</f>
        <v>אלישיב הכהן - 3 כר'</v>
      </c>
    </row>
    <row r="2855" spans="1:6" x14ac:dyDescent="0.2">
      <c r="A2855" t="s">
        <v>5676</v>
      </c>
      <c r="B2855" t="s">
        <v>5677</v>
      </c>
      <c r="C2855" t="s">
        <v>244</v>
      </c>
      <c r="D2855" t="s">
        <v>5678</v>
      </c>
      <c r="E2855" t="s">
        <v>226</v>
      </c>
      <c r="F2855" s="2" t="str">
        <f>HYPERLINK("http://www.otzar.org/book.asp?197220","אלכסנדר האחים הקדושים")</f>
        <v>אלכסנדר האחים הקדושים</v>
      </c>
    </row>
    <row r="2856" spans="1:6" x14ac:dyDescent="0.2">
      <c r="A2856" t="s">
        <v>5679</v>
      </c>
      <c r="B2856" t="s">
        <v>5680</v>
      </c>
      <c r="C2856" t="s">
        <v>1163</v>
      </c>
      <c r="D2856" t="s">
        <v>1163</v>
      </c>
      <c r="E2856" t="s">
        <v>158</v>
      </c>
      <c r="F2856" s="2" t="str">
        <f>HYPERLINK("http://www.otzar.org/book.asp?179168","אלמושנינו על רש""י")</f>
        <v>אלמושנינו על רש"י</v>
      </c>
    </row>
    <row r="2857" spans="1:6" x14ac:dyDescent="0.2">
      <c r="A2857" t="s">
        <v>5681</v>
      </c>
      <c r="B2857" t="s">
        <v>5682</v>
      </c>
      <c r="C2857" t="s">
        <v>390</v>
      </c>
      <c r="D2857" t="s">
        <v>216</v>
      </c>
      <c r="E2857" t="s">
        <v>104</v>
      </c>
      <c r="F2857" s="2" t="str">
        <f>HYPERLINK("http://www.otzar.org/book.asp?107378","אלמרשד אלכאפי &lt;המדריך המספיק&gt;")</f>
        <v>אלמרשד אלכאפי &lt;המדריך המספיק&gt;</v>
      </c>
    </row>
    <row r="2858" spans="1:6" x14ac:dyDescent="0.2">
      <c r="A2858" t="s">
        <v>5683</v>
      </c>
      <c r="B2858" t="s">
        <v>5684</v>
      </c>
      <c r="C2858" t="s">
        <v>946</v>
      </c>
      <c r="D2858" t="s">
        <v>412</v>
      </c>
      <c r="E2858" t="s">
        <v>144</v>
      </c>
      <c r="F2858" s="2" t="str">
        <f>HYPERLINK("http://www.otzar.org/book.asp?624734","אלע אגדות פון תלמוד")</f>
        <v>אלע אגדות פון תלמוד</v>
      </c>
    </row>
    <row r="2859" spans="1:6" x14ac:dyDescent="0.2">
      <c r="A2859" t="s">
        <v>5685</v>
      </c>
      <c r="B2859" t="s">
        <v>2220</v>
      </c>
      <c r="C2859" t="s">
        <v>506</v>
      </c>
      <c r="D2859" t="s">
        <v>412</v>
      </c>
      <c r="E2859" t="s">
        <v>104</v>
      </c>
      <c r="F2859" s="2" t="str">
        <f>HYPERLINK("http://www.otzar.org/book.asp?196350","אלע משלים פון דובנער מגיד - 2 כר'")</f>
        <v>אלע משלים פון דובנער מגיד - 2 כר'</v>
      </c>
    </row>
    <row r="2860" spans="1:6" x14ac:dyDescent="0.2">
      <c r="A2860" t="s">
        <v>5686</v>
      </c>
      <c r="B2860" t="s">
        <v>5687</v>
      </c>
      <c r="C2860" t="s">
        <v>3957</v>
      </c>
      <c r="D2860" t="s">
        <v>2041</v>
      </c>
      <c r="E2860" t="s">
        <v>1626</v>
      </c>
      <c r="F2860" s="2" t="str">
        <f>HYPERLINK("http://www.otzar.org/book.asp?149417","אלף אומר")</f>
        <v>אלף אומר</v>
      </c>
    </row>
    <row r="2861" spans="1:6" x14ac:dyDescent="0.2">
      <c r="A2861" t="s">
        <v>5688</v>
      </c>
      <c r="B2861" t="s">
        <v>5689</v>
      </c>
      <c r="C2861" t="s">
        <v>71</v>
      </c>
      <c r="D2861" t="s">
        <v>52</v>
      </c>
      <c r="E2861" t="s">
        <v>104</v>
      </c>
      <c r="F2861" s="2" t="str">
        <f>HYPERLINK("http://www.otzar.org/book.asp?64271","אלף בי")</f>
        <v>אלף בי</v>
      </c>
    </row>
    <row r="2862" spans="1:6" x14ac:dyDescent="0.2">
      <c r="A2862" t="s">
        <v>5690</v>
      </c>
      <c r="B2862" t="s">
        <v>239</v>
      </c>
      <c r="C2862" t="s">
        <v>20</v>
      </c>
      <c r="D2862" t="s">
        <v>240</v>
      </c>
      <c r="F2862" s="2" t="str">
        <f>HYPERLINK("http://www.otzar.org/book.asp?604599","אלף בינה &lt;המבואר&gt;")</f>
        <v>אלף בינה &lt;המבואר&gt;</v>
      </c>
    </row>
    <row r="2863" spans="1:6" x14ac:dyDescent="0.2">
      <c r="A2863" t="s">
        <v>5691</v>
      </c>
      <c r="B2863" t="s">
        <v>239</v>
      </c>
      <c r="C2863" t="s">
        <v>1163</v>
      </c>
      <c r="D2863" t="s">
        <v>1163</v>
      </c>
      <c r="E2863" t="s">
        <v>158</v>
      </c>
      <c r="F2863" s="2" t="str">
        <f>HYPERLINK("http://www.otzar.org/book.asp?164962","אלף בינה &lt;כת""י המחבר&gt;")</f>
        <v>אלף בינה &lt;כת"י המחבר&gt;</v>
      </c>
    </row>
    <row r="2864" spans="1:6" x14ac:dyDescent="0.2">
      <c r="A2864" t="s">
        <v>5692</v>
      </c>
      <c r="B2864" t="s">
        <v>239</v>
      </c>
      <c r="C2864" t="s">
        <v>313</v>
      </c>
      <c r="D2864" t="s">
        <v>14</v>
      </c>
      <c r="E2864" t="s">
        <v>573</v>
      </c>
      <c r="F2864" s="2" t="str">
        <f>HYPERLINK("http://www.otzar.org/book.asp?165318","אלף בינה - 3 כר'")</f>
        <v>אלף בינה - 3 כר'</v>
      </c>
    </row>
    <row r="2865" spans="1:6" x14ac:dyDescent="0.2">
      <c r="A2865" t="s">
        <v>5693</v>
      </c>
      <c r="B2865" t="s">
        <v>5694</v>
      </c>
      <c r="C2865" t="s">
        <v>114</v>
      </c>
      <c r="D2865" t="s">
        <v>216</v>
      </c>
      <c r="E2865" t="s">
        <v>119</v>
      </c>
      <c r="F2865" s="2" t="str">
        <f>HYPERLINK("http://www.otzar.org/book.asp?170055","אלף דור - 4 כר'")</f>
        <v>אלף דור - 4 כר'</v>
      </c>
    </row>
    <row r="2866" spans="1:6" x14ac:dyDescent="0.2">
      <c r="A2866" t="s">
        <v>5695</v>
      </c>
      <c r="B2866" t="s">
        <v>4431</v>
      </c>
      <c r="C2866" t="s">
        <v>114</v>
      </c>
      <c r="D2866" t="s">
        <v>486</v>
      </c>
      <c r="E2866" t="s">
        <v>158</v>
      </c>
      <c r="F2866" s="2" t="str">
        <f>HYPERLINK("http://www.otzar.org/book.asp?166586","אלף המגן &lt;מהדורה חדשה&gt; - 2 כר'")</f>
        <v>אלף המגן &lt;מהדורה חדשה&gt; - 2 כר'</v>
      </c>
    </row>
    <row r="2867" spans="1:6" x14ac:dyDescent="0.2">
      <c r="A2867" t="s">
        <v>5696</v>
      </c>
      <c r="B2867" t="s">
        <v>5697</v>
      </c>
      <c r="C2867" t="s">
        <v>395</v>
      </c>
      <c r="D2867" t="s">
        <v>283</v>
      </c>
      <c r="E2867" t="s">
        <v>684</v>
      </c>
      <c r="F2867" s="2" t="str">
        <f>HYPERLINK("http://www.otzar.org/book.asp?102828","אלף המגן &lt;שו""ת&gt; - 2 כר'")</f>
        <v>אלף המגן &lt;שו"ת&gt; - 2 כר'</v>
      </c>
    </row>
    <row r="2868" spans="1:6" x14ac:dyDescent="0.2">
      <c r="A2868" t="s">
        <v>5698</v>
      </c>
      <c r="B2868" t="s">
        <v>5699</v>
      </c>
      <c r="C2868" t="s">
        <v>46</v>
      </c>
      <c r="D2868" t="s">
        <v>27</v>
      </c>
      <c r="E2868" t="s">
        <v>474</v>
      </c>
      <c r="F2868" s="2" t="str">
        <f>HYPERLINK("http://www.otzar.org/book.asp?8378","אלף המגן - 2 כר'")</f>
        <v>אלף המגן - 2 כר'</v>
      </c>
    </row>
    <row r="2869" spans="1:6" x14ac:dyDescent="0.2">
      <c r="A2869" t="s">
        <v>5698</v>
      </c>
      <c r="B2869" t="s">
        <v>5700</v>
      </c>
      <c r="C2869" t="s">
        <v>68</v>
      </c>
      <c r="D2869" t="s">
        <v>412</v>
      </c>
      <c r="E2869" t="s">
        <v>158</v>
      </c>
      <c r="F2869" s="2" t="str">
        <f>HYPERLINK("http://www.otzar.org/book.asp?160857","אלף המגן - 2 כר'")</f>
        <v>אלף המגן - 2 כר'</v>
      </c>
    </row>
    <row r="2870" spans="1:6" x14ac:dyDescent="0.2">
      <c r="A2870" t="s">
        <v>5701</v>
      </c>
      <c r="B2870" t="s">
        <v>5702</v>
      </c>
      <c r="C2870" t="s">
        <v>454</v>
      </c>
      <c r="D2870" t="s">
        <v>14</v>
      </c>
      <c r="E2870" t="s">
        <v>144</v>
      </c>
      <c r="F2870" s="2" t="str">
        <f>HYPERLINK("http://www.otzar.org/book.asp?182314","אלף המגן")</f>
        <v>אלף המגן</v>
      </c>
    </row>
    <row r="2871" spans="1:6" x14ac:dyDescent="0.2">
      <c r="A2871" t="s">
        <v>5701</v>
      </c>
      <c r="B2871" t="s">
        <v>5703</v>
      </c>
      <c r="C2871" t="s">
        <v>1284</v>
      </c>
      <c r="D2871" t="s">
        <v>283</v>
      </c>
      <c r="E2871" t="s">
        <v>1211</v>
      </c>
      <c r="F2871" s="2" t="str">
        <f>HYPERLINK("http://www.otzar.org/book.asp?300243","אלף המגן")</f>
        <v>אלף המגן</v>
      </c>
    </row>
    <row r="2872" spans="1:6" x14ac:dyDescent="0.2">
      <c r="A2872" t="s">
        <v>5704</v>
      </c>
      <c r="B2872" t="s">
        <v>5705</v>
      </c>
      <c r="C2872" t="s">
        <v>558</v>
      </c>
      <c r="D2872" t="s">
        <v>283</v>
      </c>
      <c r="E2872" t="s">
        <v>144</v>
      </c>
      <c r="F2872" s="2" t="str">
        <f>HYPERLINK("http://www.otzar.org/book.asp?23883","אלף המגן - הוריות")</f>
        <v>אלף המגן - הוריות</v>
      </c>
    </row>
    <row r="2873" spans="1:6" x14ac:dyDescent="0.2">
      <c r="A2873" t="s">
        <v>5701</v>
      </c>
      <c r="B2873" t="s">
        <v>5706</v>
      </c>
      <c r="C2873" t="s">
        <v>1437</v>
      </c>
      <c r="D2873" t="s">
        <v>56</v>
      </c>
      <c r="E2873" t="s">
        <v>241</v>
      </c>
      <c r="F2873" s="2" t="str">
        <f>HYPERLINK("http://www.otzar.org/book.asp?300242","אלף המגן")</f>
        <v>אלף המגן</v>
      </c>
    </row>
    <row r="2874" spans="1:6" x14ac:dyDescent="0.2">
      <c r="A2874" t="s">
        <v>5701</v>
      </c>
      <c r="B2874" t="s">
        <v>4431</v>
      </c>
      <c r="C2874" t="s">
        <v>1737</v>
      </c>
      <c r="D2874" t="s">
        <v>76</v>
      </c>
      <c r="F2874" s="2" t="str">
        <f>HYPERLINK("http://www.otzar.org/book.asp?611072","אלף המגן")</f>
        <v>אלף המגן</v>
      </c>
    </row>
    <row r="2875" spans="1:6" x14ac:dyDescent="0.2">
      <c r="A2875" t="s">
        <v>5701</v>
      </c>
      <c r="B2875" t="s">
        <v>5707</v>
      </c>
      <c r="C2875" t="s">
        <v>492</v>
      </c>
      <c r="D2875" t="s">
        <v>283</v>
      </c>
      <c r="E2875" t="s">
        <v>104</v>
      </c>
      <c r="F2875" s="2" t="str">
        <f>HYPERLINK("http://www.otzar.org/book.asp?189339","אלף המגן")</f>
        <v>אלף המגן</v>
      </c>
    </row>
    <row r="2876" spans="1:6" x14ac:dyDescent="0.2">
      <c r="A2876" t="s">
        <v>5701</v>
      </c>
      <c r="B2876" t="s">
        <v>5708</v>
      </c>
      <c r="C2876" t="s">
        <v>5709</v>
      </c>
      <c r="D2876" t="s">
        <v>60</v>
      </c>
      <c r="F2876" s="2" t="str">
        <f>HYPERLINK("http://www.otzar.org/book.asp?149957","אלף המגן")</f>
        <v>אלף המגן</v>
      </c>
    </row>
    <row r="2877" spans="1:6" x14ac:dyDescent="0.2">
      <c r="A2877" t="s">
        <v>5710</v>
      </c>
      <c r="B2877" t="s">
        <v>5711</v>
      </c>
      <c r="C2877" t="s">
        <v>609</v>
      </c>
      <c r="D2877" t="s">
        <v>4772</v>
      </c>
      <c r="E2877" t="s">
        <v>5712</v>
      </c>
      <c r="F2877" s="2" t="str">
        <f>HYPERLINK("http://www.otzar.org/book.asp?108780","אלף זעירא - 2 כר'")</f>
        <v>אלף זעירא - 2 כר'</v>
      </c>
    </row>
    <row r="2878" spans="1:6" x14ac:dyDescent="0.2">
      <c r="A2878" t="s">
        <v>5713</v>
      </c>
      <c r="B2878" t="s">
        <v>686</v>
      </c>
      <c r="C2878" t="s">
        <v>23</v>
      </c>
      <c r="D2878" t="s">
        <v>80</v>
      </c>
      <c r="E2878" t="s">
        <v>104</v>
      </c>
      <c r="F2878" s="2" t="str">
        <f>HYPERLINK("http://www.otzar.org/book.asp?193020","אלף כסף")</f>
        <v>אלף כסף</v>
      </c>
    </row>
    <row r="2879" spans="1:6" x14ac:dyDescent="0.2">
      <c r="A2879" t="s">
        <v>5714</v>
      </c>
      <c r="B2879" t="s">
        <v>2398</v>
      </c>
      <c r="C2879" t="s">
        <v>523</v>
      </c>
      <c r="D2879" t="s">
        <v>14</v>
      </c>
      <c r="E2879" t="s">
        <v>733</v>
      </c>
      <c r="F2879" s="2" t="str">
        <f>HYPERLINK("http://www.otzar.org/book.asp?105732","אלף מרגליות")</f>
        <v>אלף מרגליות</v>
      </c>
    </row>
    <row r="2880" spans="1:6" x14ac:dyDescent="0.2">
      <c r="A2880" t="s">
        <v>5715</v>
      </c>
      <c r="B2880" t="s">
        <v>5716</v>
      </c>
      <c r="C2880" t="s">
        <v>146</v>
      </c>
      <c r="D2880" t="s">
        <v>412</v>
      </c>
      <c r="E2880" t="s">
        <v>241</v>
      </c>
      <c r="F2880" s="2" t="str">
        <f>HYPERLINK("http://www.otzar.org/book.asp?84326","אלפא ביתא &lt;מהדורה חדשה&gt;")</f>
        <v>אלפא ביתא &lt;מהדורה חדשה&gt;</v>
      </c>
    </row>
    <row r="2881" spans="1:6" x14ac:dyDescent="0.2">
      <c r="A2881" t="s">
        <v>5717</v>
      </c>
      <c r="B2881" t="s">
        <v>5718</v>
      </c>
      <c r="C2881" t="s">
        <v>2008</v>
      </c>
      <c r="D2881" t="s">
        <v>5719</v>
      </c>
      <c r="E2881" t="s">
        <v>38</v>
      </c>
      <c r="F2881" s="2" t="str">
        <f>HYPERLINK("http://www.otzar.org/book.asp?6230","אלפא ביתא דאבות")</f>
        <v>אלפא ביתא דאבות</v>
      </c>
    </row>
    <row r="2882" spans="1:6" x14ac:dyDescent="0.2">
      <c r="A2882" t="s">
        <v>5720</v>
      </c>
      <c r="B2882" t="s">
        <v>5716</v>
      </c>
      <c r="C2882" t="s">
        <v>5721</v>
      </c>
      <c r="D2882" t="s">
        <v>1419</v>
      </c>
      <c r="E2882" t="s">
        <v>241</v>
      </c>
      <c r="F2882" s="2" t="str">
        <f>HYPERLINK("http://www.otzar.org/book.asp?149585","אלפא ביתא - 5 כר'")</f>
        <v>אלפא ביתא - 5 כר'</v>
      </c>
    </row>
    <row r="2883" spans="1:6" x14ac:dyDescent="0.2">
      <c r="A2883" t="s">
        <v>5722</v>
      </c>
      <c r="B2883" t="s">
        <v>5723</v>
      </c>
      <c r="C2883" t="s">
        <v>5724</v>
      </c>
      <c r="D2883" t="s">
        <v>322</v>
      </c>
      <c r="E2883" t="s">
        <v>1211</v>
      </c>
      <c r="F2883" s="2" t="str">
        <f>HYPERLINK("http://www.otzar.org/book.asp?5875","אלפא ביתא")</f>
        <v>אלפא ביתא</v>
      </c>
    </row>
    <row r="2884" spans="1:6" x14ac:dyDescent="0.2">
      <c r="A2884" t="s">
        <v>5725</v>
      </c>
      <c r="B2884" t="s">
        <v>5726</v>
      </c>
      <c r="C2884" t="s">
        <v>3205</v>
      </c>
      <c r="D2884" t="s">
        <v>5727</v>
      </c>
      <c r="E2884" t="s">
        <v>230</v>
      </c>
      <c r="F2884" s="2" t="str">
        <f>HYPERLINK("http://www.otzar.org/book.asp?84757","אלפא שמן לנר - 2 כר'")</f>
        <v>אלפא שמן לנר - 2 כר'</v>
      </c>
    </row>
    <row r="2885" spans="1:6" x14ac:dyDescent="0.2">
      <c r="A2885" t="s">
        <v>5728</v>
      </c>
      <c r="B2885" t="s">
        <v>2464</v>
      </c>
      <c r="C2885" t="s">
        <v>543</v>
      </c>
      <c r="D2885" t="s">
        <v>212</v>
      </c>
      <c r="E2885" t="s">
        <v>144</v>
      </c>
      <c r="F2885" s="2" t="str">
        <f>HYPERLINK("http://www.otzar.org/book.asp?17190","אלפי יהודה")</f>
        <v>אלפי יהודה</v>
      </c>
    </row>
    <row r="2886" spans="1:6" x14ac:dyDescent="0.2">
      <c r="A2886" t="s">
        <v>5729</v>
      </c>
      <c r="B2886" t="s">
        <v>5730</v>
      </c>
      <c r="C2886" t="s">
        <v>462</v>
      </c>
      <c r="D2886" t="s">
        <v>283</v>
      </c>
      <c r="E2886" t="s">
        <v>158</v>
      </c>
      <c r="F2886" s="2" t="str">
        <f>HYPERLINK("http://www.otzar.org/book.asp?300244","אלפי יהודה - 2 כר'")</f>
        <v>אלפי יהודה - 2 כר'</v>
      </c>
    </row>
    <row r="2887" spans="1:6" x14ac:dyDescent="0.2">
      <c r="A2887" t="s">
        <v>5731</v>
      </c>
      <c r="B2887" t="s">
        <v>5732</v>
      </c>
      <c r="C2887" t="s">
        <v>156</v>
      </c>
      <c r="D2887" t="s">
        <v>1279</v>
      </c>
      <c r="E2887" t="s">
        <v>172</v>
      </c>
      <c r="F2887" s="2" t="str">
        <f>HYPERLINK("http://www.otzar.org/book.asp?17191","אלפי ישראל - 2 כר'")</f>
        <v>אלפי ישראל - 2 כר'</v>
      </c>
    </row>
    <row r="2888" spans="1:6" x14ac:dyDescent="0.2">
      <c r="A2888" t="s">
        <v>5733</v>
      </c>
      <c r="B2888" t="s">
        <v>5734</v>
      </c>
      <c r="C2888" t="s">
        <v>473</v>
      </c>
      <c r="D2888" t="s">
        <v>283</v>
      </c>
      <c r="E2888" t="s">
        <v>154</v>
      </c>
      <c r="F2888" s="2" t="str">
        <f>HYPERLINK("http://www.otzar.org/book.asp?300247","אלפי ישראל - א")</f>
        <v>אלפי ישראל - א</v>
      </c>
    </row>
    <row r="2889" spans="1:6" x14ac:dyDescent="0.2">
      <c r="A2889" t="s">
        <v>5731</v>
      </c>
      <c r="B2889" t="s">
        <v>5735</v>
      </c>
      <c r="C2889" t="s">
        <v>1388</v>
      </c>
      <c r="D2889" t="s">
        <v>52</v>
      </c>
      <c r="E2889" t="s">
        <v>104</v>
      </c>
      <c r="F2889" s="2" t="str">
        <f>HYPERLINK("http://www.otzar.org/book.asp?176968","אלפי ישראל - 2 כר'")</f>
        <v>אלפי ישראל - 2 כר'</v>
      </c>
    </row>
    <row r="2890" spans="1:6" x14ac:dyDescent="0.2">
      <c r="A2890" t="s">
        <v>5731</v>
      </c>
      <c r="B2890" t="s">
        <v>453</v>
      </c>
      <c r="C2890" t="s">
        <v>133</v>
      </c>
      <c r="D2890" t="s">
        <v>52</v>
      </c>
      <c r="E2890" t="s">
        <v>230</v>
      </c>
      <c r="F2890" s="2" t="str">
        <f>HYPERLINK("http://www.otzar.org/book.asp?617039","אלפי ישראל - 2 כר'")</f>
        <v>אלפי ישראל - 2 כר'</v>
      </c>
    </row>
    <row r="2891" spans="1:6" x14ac:dyDescent="0.2">
      <c r="A2891" t="s">
        <v>5736</v>
      </c>
      <c r="B2891" t="s">
        <v>5737</v>
      </c>
      <c r="C2891" t="s">
        <v>1437</v>
      </c>
      <c r="D2891" t="s">
        <v>855</v>
      </c>
      <c r="E2891" t="s">
        <v>172</v>
      </c>
      <c r="F2891" s="2" t="str">
        <f>HYPERLINK("http://www.otzar.org/book.asp?8480","אלפי מנשה - 2 כר'")</f>
        <v>אלפי מנשה - 2 כר'</v>
      </c>
    </row>
    <row r="2892" spans="1:6" x14ac:dyDescent="0.2">
      <c r="A2892" t="s">
        <v>5738</v>
      </c>
      <c r="B2892" t="s">
        <v>5739</v>
      </c>
      <c r="C2892" t="s">
        <v>5740</v>
      </c>
      <c r="D2892" t="s">
        <v>56</v>
      </c>
      <c r="E2892" t="s">
        <v>5741</v>
      </c>
      <c r="F2892" s="2" t="str">
        <f>HYPERLINK("http://www.otzar.org/book.asp?13423","אלפי מנשה - 3 כר'")</f>
        <v>אלפי מנשה - 3 כר'</v>
      </c>
    </row>
    <row r="2893" spans="1:6" x14ac:dyDescent="0.2">
      <c r="A2893" t="s">
        <v>5742</v>
      </c>
      <c r="B2893" t="s">
        <v>5743</v>
      </c>
      <c r="C2893" t="s">
        <v>523</v>
      </c>
      <c r="D2893" t="s">
        <v>14</v>
      </c>
      <c r="E2893" t="s">
        <v>154</v>
      </c>
      <c r="F2893" s="2" t="str">
        <f>HYPERLINK("http://www.otzar.org/book.asp?189444","אלפי מנשה")</f>
        <v>אלפי מנשה</v>
      </c>
    </row>
    <row r="2894" spans="1:6" x14ac:dyDescent="0.2">
      <c r="A2894" t="s">
        <v>5744</v>
      </c>
      <c r="B2894" t="s">
        <v>5745</v>
      </c>
      <c r="C2894" t="s">
        <v>37</v>
      </c>
      <c r="D2894" t="s">
        <v>90</v>
      </c>
      <c r="F2894" s="2" t="str">
        <f>HYPERLINK("http://www.otzar.org/book.asp?194745","אלפי מנשה - יסודות והערות")</f>
        <v>אלפי מנשה - יסודות והערות</v>
      </c>
    </row>
    <row r="2895" spans="1:6" x14ac:dyDescent="0.2">
      <c r="A2895" t="s">
        <v>5746</v>
      </c>
      <c r="B2895" t="s">
        <v>5747</v>
      </c>
      <c r="C2895" t="s">
        <v>51</v>
      </c>
      <c r="D2895" t="s">
        <v>657</v>
      </c>
      <c r="E2895" t="s">
        <v>154</v>
      </c>
      <c r="F2895" s="2" t="str">
        <f>HYPERLINK("http://www.otzar.org/book.asp?175722","אלקבץ - 2 כר'")</f>
        <v>אלקבץ - 2 כר'</v>
      </c>
    </row>
    <row r="2896" spans="1:6" x14ac:dyDescent="0.2">
      <c r="A2896" t="s">
        <v>5748</v>
      </c>
      <c r="B2896" t="s">
        <v>5749</v>
      </c>
      <c r="C2896" t="s">
        <v>20</v>
      </c>
      <c r="D2896" t="s">
        <v>52</v>
      </c>
      <c r="F2896" s="2" t="str">
        <f>HYPERLINK("http://www.otzar.org/book.asp?617500","אלקטה באמרים - 14 כר'")</f>
        <v>אלקטה באמרים - 14 כר'</v>
      </c>
    </row>
    <row r="2897" spans="1:6" x14ac:dyDescent="0.2">
      <c r="A2897" t="s">
        <v>5750</v>
      </c>
      <c r="B2897" t="s">
        <v>5751</v>
      </c>
      <c r="C2897" t="s">
        <v>422</v>
      </c>
      <c r="D2897" t="s">
        <v>21</v>
      </c>
      <c r="E2897" t="s">
        <v>230</v>
      </c>
      <c r="F2897" s="2" t="str">
        <f>HYPERLINK("http://www.otzar.org/book.asp?603385","אלקי אבי בעזרי - 2 כר'")</f>
        <v>אלקי אבי בעזרי - 2 כר'</v>
      </c>
    </row>
    <row r="2898" spans="1:6" x14ac:dyDescent="0.2">
      <c r="A2898" t="s">
        <v>5752</v>
      </c>
      <c r="B2898" t="s">
        <v>5753</v>
      </c>
      <c r="C2898" t="s">
        <v>454</v>
      </c>
      <c r="D2898" t="s">
        <v>14</v>
      </c>
      <c r="E2898" t="s">
        <v>674</v>
      </c>
      <c r="F2898" s="2" t="str">
        <f>HYPERLINK("http://www.otzar.org/book.asp?106135","אם אסק שמים")</f>
        <v>אם אסק שמים</v>
      </c>
    </row>
    <row r="2899" spans="1:6" x14ac:dyDescent="0.2">
      <c r="A2899" t="s">
        <v>5754</v>
      </c>
      <c r="B2899" t="s">
        <v>5755</v>
      </c>
      <c r="C2899" t="s">
        <v>37</v>
      </c>
      <c r="D2899" t="s">
        <v>14</v>
      </c>
      <c r="E2899" t="s">
        <v>104</v>
      </c>
      <c r="F2899" s="2" t="str">
        <f>HYPERLINK("http://www.otzar.org/book.asp?181340","אם אשכחך ירושלים")</f>
        <v>אם אשכחך ירושלים</v>
      </c>
    </row>
    <row r="2900" spans="1:6" x14ac:dyDescent="0.2">
      <c r="A2900" t="s">
        <v>5756</v>
      </c>
      <c r="B2900" t="s">
        <v>5757</v>
      </c>
      <c r="C2900" t="s">
        <v>1629</v>
      </c>
      <c r="D2900" t="s">
        <v>5758</v>
      </c>
      <c r="E2900" t="s">
        <v>104</v>
      </c>
      <c r="F2900" s="2" t="str">
        <f>HYPERLINK("http://www.otzar.org/book.asp?147228","אם אשכחך ירושלם תשכח ימיני")</f>
        <v>אם אשכחך ירושלם תשכח ימיני</v>
      </c>
    </row>
    <row r="2901" spans="1:6" x14ac:dyDescent="0.2">
      <c r="A2901" t="s">
        <v>5759</v>
      </c>
      <c r="B2901" t="s">
        <v>5760</v>
      </c>
      <c r="C2901" t="s">
        <v>244</v>
      </c>
      <c r="D2901" t="s">
        <v>14</v>
      </c>
      <c r="E2901" t="s">
        <v>219</v>
      </c>
      <c r="F2901" s="2" t="str">
        <f>HYPERLINK("http://www.otzar.org/book.asp?606702","אם אשכחך")</f>
        <v>אם אשכחך</v>
      </c>
    </row>
    <row r="2902" spans="1:6" x14ac:dyDescent="0.2">
      <c r="A2902" t="s">
        <v>5761</v>
      </c>
      <c r="B2902" t="s">
        <v>5762</v>
      </c>
      <c r="C2902" t="s">
        <v>133</v>
      </c>
      <c r="D2902" t="s">
        <v>14</v>
      </c>
      <c r="E2902" t="s">
        <v>119</v>
      </c>
      <c r="F2902" s="2" t="str">
        <f>HYPERLINK("http://www.otzar.org/book.asp?176165","אם בישראל")</f>
        <v>אם בישראל</v>
      </c>
    </row>
    <row r="2903" spans="1:6" x14ac:dyDescent="0.2">
      <c r="A2903" t="s">
        <v>5763</v>
      </c>
      <c r="B2903" t="s">
        <v>5764</v>
      </c>
      <c r="C2903" t="s">
        <v>151</v>
      </c>
      <c r="D2903" t="s">
        <v>14</v>
      </c>
      <c r="F2903" s="2" t="str">
        <f>HYPERLINK("http://www.otzar.org/book.asp?616228","אם בישראל - ספר זכרון")</f>
        <v>אם בישראל - ספר זכרון</v>
      </c>
    </row>
    <row r="2904" spans="1:6" x14ac:dyDescent="0.2">
      <c r="A2904" t="s">
        <v>5765</v>
      </c>
      <c r="B2904" t="s">
        <v>5766</v>
      </c>
      <c r="C2904" t="s">
        <v>1246</v>
      </c>
      <c r="D2904" t="s">
        <v>260</v>
      </c>
      <c r="E2904" t="s">
        <v>202</v>
      </c>
      <c r="F2904" s="2" t="str">
        <f>HYPERLINK("http://www.otzar.org/book.asp?107284","אם בישראל - 3 כר'")</f>
        <v>אם בישראל - 3 כר'</v>
      </c>
    </row>
    <row r="2905" spans="1:6" x14ac:dyDescent="0.2">
      <c r="A2905" t="s">
        <v>5767</v>
      </c>
      <c r="B2905" t="s">
        <v>5768</v>
      </c>
      <c r="C2905" t="s">
        <v>133</v>
      </c>
      <c r="D2905" t="s">
        <v>14</v>
      </c>
      <c r="E2905" t="s">
        <v>104</v>
      </c>
      <c r="F2905" s="2" t="str">
        <f>HYPERLINK("http://www.otzar.org/book.asp?180560","אם הבנים שמחה &lt;מהדורה חדשה&gt;")</f>
        <v>אם הבנים שמחה &lt;מהדורה חדשה&gt;</v>
      </c>
    </row>
    <row r="2906" spans="1:6" x14ac:dyDescent="0.2">
      <c r="A2906" t="s">
        <v>5769</v>
      </c>
      <c r="B2906" t="s">
        <v>5768</v>
      </c>
      <c r="C2906" t="s">
        <v>533</v>
      </c>
      <c r="D2906" t="s">
        <v>14</v>
      </c>
      <c r="F2906" s="2" t="str">
        <f>HYPERLINK("http://www.otzar.org/book.asp?612227","אם הבנים שמחה &lt;מכון פרי הארץ&gt;")</f>
        <v>אם הבנים שמחה &lt;מכון פרי הארץ&gt;</v>
      </c>
    </row>
    <row r="2907" spans="1:6" x14ac:dyDescent="0.2">
      <c r="A2907" t="s">
        <v>5770</v>
      </c>
      <c r="B2907" t="s">
        <v>5768</v>
      </c>
      <c r="C2907" t="s">
        <v>2008</v>
      </c>
      <c r="D2907" t="s">
        <v>974</v>
      </c>
      <c r="E2907" t="s">
        <v>213</v>
      </c>
      <c r="F2907" s="2" t="str">
        <f>HYPERLINK("http://www.otzar.org/book.asp?144588","אם הבנים שמחה")</f>
        <v>אם הבנים שמחה</v>
      </c>
    </row>
    <row r="2908" spans="1:6" x14ac:dyDescent="0.2">
      <c r="A2908" t="s">
        <v>5770</v>
      </c>
      <c r="B2908" t="s">
        <v>5771</v>
      </c>
      <c r="C2908" t="s">
        <v>168</v>
      </c>
      <c r="D2908" t="s">
        <v>2189</v>
      </c>
      <c r="E2908" t="s">
        <v>5772</v>
      </c>
      <c r="F2908" s="2" t="str">
        <f>HYPERLINK("http://www.otzar.org/book.asp?85274","אם הבנים שמחה")</f>
        <v>אם הבנים שמחה</v>
      </c>
    </row>
    <row r="2909" spans="1:6" x14ac:dyDescent="0.2">
      <c r="A2909" t="s">
        <v>5773</v>
      </c>
      <c r="B2909" t="s">
        <v>5774</v>
      </c>
      <c r="C2909" t="s">
        <v>5775</v>
      </c>
      <c r="D2909" t="s">
        <v>157</v>
      </c>
      <c r="E2909" t="s">
        <v>158</v>
      </c>
      <c r="F2909" s="2" t="str">
        <f>HYPERLINK("http://www.otzar.org/book.asp?442","אם הבנים - 2 כר'")</f>
        <v>אם הבנים - 2 כר'</v>
      </c>
    </row>
    <row r="2910" spans="1:6" x14ac:dyDescent="0.2">
      <c r="A2910" t="s">
        <v>5776</v>
      </c>
      <c r="B2910" t="s">
        <v>5777</v>
      </c>
      <c r="C2910" t="s">
        <v>362</v>
      </c>
      <c r="D2910" t="s">
        <v>76</v>
      </c>
      <c r="E2910" t="s">
        <v>5778</v>
      </c>
      <c r="F2910" s="2" t="str">
        <f>HYPERLINK("http://www.otzar.org/book.asp?17192","אם הדרך")</f>
        <v>אם הדרך</v>
      </c>
    </row>
    <row r="2911" spans="1:6" x14ac:dyDescent="0.2">
      <c r="A2911" t="s">
        <v>5779</v>
      </c>
      <c r="B2911" t="s">
        <v>5780</v>
      </c>
      <c r="C2911" t="s">
        <v>189</v>
      </c>
      <c r="D2911" t="s">
        <v>14</v>
      </c>
      <c r="E2911" t="s">
        <v>202</v>
      </c>
      <c r="F2911" s="2" t="str">
        <f>HYPERLINK("http://www.otzar.org/book.asp?163330","אם הדרך - על דמותה של הגב' שרה שנירר ע""ה")</f>
        <v>אם הדרך - על דמותה של הגב' שרה שנירר ע"ה</v>
      </c>
    </row>
    <row r="2912" spans="1:6" x14ac:dyDescent="0.2">
      <c r="A2912" t="s">
        <v>5781</v>
      </c>
      <c r="B2912" t="s">
        <v>5782</v>
      </c>
      <c r="C2912" t="s">
        <v>41</v>
      </c>
      <c r="D2912" t="s">
        <v>2303</v>
      </c>
      <c r="F2912" s="2" t="str">
        <f>HYPERLINK("http://www.otzar.org/book.asp?84637","אם הילד וחינוך לקטן")</f>
        <v>אם הילד וחינוך לקטן</v>
      </c>
    </row>
    <row r="2913" spans="1:6" x14ac:dyDescent="0.2">
      <c r="A2913" t="s">
        <v>5783</v>
      </c>
      <c r="B2913" t="s">
        <v>5784</v>
      </c>
      <c r="C2913" t="s">
        <v>4053</v>
      </c>
      <c r="D2913" t="s">
        <v>744</v>
      </c>
      <c r="F2913" s="2" t="str">
        <f>HYPERLINK("http://www.otzar.org/book.asp?170192","אם הילד")</f>
        <v>אם הילד</v>
      </c>
    </row>
    <row r="2914" spans="1:6" x14ac:dyDescent="0.2">
      <c r="A2914" t="s">
        <v>5785</v>
      </c>
      <c r="B2914" t="s">
        <v>5786</v>
      </c>
      <c r="C2914" t="s">
        <v>466</v>
      </c>
      <c r="D2914" t="s">
        <v>412</v>
      </c>
      <c r="E2914" t="s">
        <v>15</v>
      </c>
      <c r="F2914" s="2" t="str">
        <f>HYPERLINK("http://www.otzar.org/book.asp?172286","אם המלך")</f>
        <v>אם המלך</v>
      </c>
    </row>
    <row r="2915" spans="1:6" x14ac:dyDescent="0.2">
      <c r="A2915" t="s">
        <v>5787</v>
      </c>
      <c r="B2915" t="s">
        <v>5788</v>
      </c>
      <c r="C2915" t="s">
        <v>17</v>
      </c>
      <c r="D2915" t="s">
        <v>657</v>
      </c>
      <c r="E2915" t="s">
        <v>158</v>
      </c>
      <c r="F2915" s="2" t="str">
        <f>HYPERLINK("http://www.otzar.org/book.asp?160512","אם המלכות - רות")</f>
        <v>אם המלכות - רות</v>
      </c>
    </row>
    <row r="2916" spans="1:6" x14ac:dyDescent="0.2">
      <c r="A2916" t="s">
        <v>5789</v>
      </c>
      <c r="B2916" t="s">
        <v>5790</v>
      </c>
      <c r="C2916" t="s">
        <v>20</v>
      </c>
      <c r="D2916" t="s">
        <v>90</v>
      </c>
      <c r="E2916" t="s">
        <v>399</v>
      </c>
      <c r="F2916" s="2" t="str">
        <f>HYPERLINK("http://www.otzar.org/book.asp?606246","אם העיגולים קדמו ליושר")</f>
        <v>אם העיגולים קדמו ליושר</v>
      </c>
    </row>
    <row r="2917" spans="1:6" x14ac:dyDescent="0.2">
      <c r="A2917" t="s">
        <v>5791</v>
      </c>
      <c r="B2917" t="s">
        <v>5792</v>
      </c>
      <c r="C2917" t="s">
        <v>2644</v>
      </c>
      <c r="D2917" t="s">
        <v>283</v>
      </c>
      <c r="E2917" t="s">
        <v>803</v>
      </c>
      <c r="F2917" s="2" t="str">
        <f>HYPERLINK("http://www.otzar.org/book.asp?104905","אם יעקב")</f>
        <v>אם יעקב</v>
      </c>
    </row>
    <row r="2918" spans="1:6" x14ac:dyDescent="0.2">
      <c r="A2918" t="s">
        <v>5793</v>
      </c>
      <c r="B2918" t="s">
        <v>5794</v>
      </c>
      <c r="C2918" t="s">
        <v>111</v>
      </c>
      <c r="D2918" t="s">
        <v>5795</v>
      </c>
      <c r="E2918" t="s">
        <v>148</v>
      </c>
      <c r="F2918" s="2" t="str">
        <f>HYPERLINK("http://www.otzar.org/book.asp?622107","אם כל חי - ברכות")</f>
        <v>אם כל חי - ברכות</v>
      </c>
    </row>
    <row r="2919" spans="1:6" x14ac:dyDescent="0.2">
      <c r="A2919" t="s">
        <v>5796</v>
      </c>
      <c r="B2919" t="s">
        <v>5797</v>
      </c>
      <c r="C2919" t="s">
        <v>411</v>
      </c>
      <c r="D2919" t="s">
        <v>5798</v>
      </c>
      <c r="E2919" t="s">
        <v>144</v>
      </c>
      <c r="F2919" s="2" t="str">
        <f>HYPERLINK("http://www.otzar.org/book.asp?168569","אם לא באתי")</f>
        <v>אם לא באתי</v>
      </c>
    </row>
    <row r="2920" spans="1:6" x14ac:dyDescent="0.2">
      <c r="A2920" t="s">
        <v>5799</v>
      </c>
      <c r="B2920" t="s">
        <v>5800</v>
      </c>
      <c r="C2920" t="s">
        <v>20</v>
      </c>
      <c r="D2920" t="s">
        <v>412</v>
      </c>
      <c r="E2920" t="s">
        <v>241</v>
      </c>
      <c r="F2920" s="2" t="str">
        <f>HYPERLINK("http://www.otzar.org/book.asp?176375","אם לבינה - 2 כר'")</f>
        <v>אם לבינה - 2 כר'</v>
      </c>
    </row>
    <row r="2921" spans="1:6" x14ac:dyDescent="0.2">
      <c r="A2921" t="s">
        <v>5801</v>
      </c>
      <c r="B2921" t="s">
        <v>5802</v>
      </c>
      <c r="C2921" t="s">
        <v>20</v>
      </c>
      <c r="D2921" t="s">
        <v>216</v>
      </c>
      <c r="E2921" t="s">
        <v>158</v>
      </c>
      <c r="F2921" s="2" t="str">
        <f>HYPERLINK("http://www.otzar.org/book.asp?176847","אם לבינה - ב")</f>
        <v>אם לבינה - ב</v>
      </c>
    </row>
    <row r="2922" spans="1:6" x14ac:dyDescent="0.2">
      <c r="A2922" t="s">
        <v>5803</v>
      </c>
      <c r="B2922" t="s">
        <v>1314</v>
      </c>
      <c r="C2922" t="s">
        <v>114</v>
      </c>
      <c r="D2922" t="s">
        <v>52</v>
      </c>
      <c r="E2922" t="s">
        <v>399</v>
      </c>
      <c r="F2922" s="2" t="str">
        <f>HYPERLINK("http://www.otzar.org/book.asp?162711","אם לבינה")</f>
        <v>אם לבינה</v>
      </c>
    </row>
    <row r="2923" spans="1:6" x14ac:dyDescent="0.2">
      <c r="A2923" t="s">
        <v>5803</v>
      </c>
      <c r="B2923" t="s">
        <v>5804</v>
      </c>
      <c r="C2923" t="s">
        <v>1208</v>
      </c>
      <c r="D2923" t="s">
        <v>5805</v>
      </c>
      <c r="E2923" t="s">
        <v>684</v>
      </c>
      <c r="F2923" s="2" t="str">
        <f>HYPERLINK("http://www.otzar.org/book.asp?168221","אם לבינה")</f>
        <v>אם לבינה</v>
      </c>
    </row>
    <row r="2924" spans="1:6" x14ac:dyDescent="0.2">
      <c r="A2924" t="s">
        <v>5806</v>
      </c>
      <c r="B2924" t="s">
        <v>5807</v>
      </c>
      <c r="C2924" t="s">
        <v>111</v>
      </c>
      <c r="D2924" t="s">
        <v>52</v>
      </c>
      <c r="E2924" t="s">
        <v>144</v>
      </c>
      <c r="F2924" s="2" t="str">
        <f>HYPERLINK("http://www.otzar.org/book.asp?628046","אם לבינה - קידושין")</f>
        <v>אם לבינה - קידושין</v>
      </c>
    </row>
    <row r="2925" spans="1:6" x14ac:dyDescent="0.2">
      <c r="A2925" t="s">
        <v>5803</v>
      </c>
      <c r="B2925" t="s">
        <v>5808</v>
      </c>
      <c r="C2925" t="s">
        <v>411</v>
      </c>
      <c r="D2925" t="s">
        <v>14</v>
      </c>
      <c r="E2925" t="s">
        <v>158</v>
      </c>
      <c r="F2925" s="2" t="str">
        <f>HYPERLINK("http://www.otzar.org/book.asp?607476","אם לבינה")</f>
        <v>אם לבינה</v>
      </c>
    </row>
    <row r="2926" spans="1:6" x14ac:dyDescent="0.2">
      <c r="A2926" t="s">
        <v>5809</v>
      </c>
      <c r="B2926" t="s">
        <v>5810</v>
      </c>
      <c r="C2926" t="s">
        <v>496</v>
      </c>
      <c r="D2926" t="s">
        <v>1279</v>
      </c>
      <c r="E2926" t="s">
        <v>119</v>
      </c>
      <c r="F2926" s="2" t="str">
        <f>HYPERLINK("http://www.otzar.org/book.asp?50851","אם לבינה - 3 כר'")</f>
        <v>אם לבינה - 3 כר'</v>
      </c>
    </row>
    <row r="2927" spans="1:6" x14ac:dyDescent="0.2">
      <c r="A2927" t="s">
        <v>5803</v>
      </c>
      <c r="B2927" t="s">
        <v>5811</v>
      </c>
      <c r="C2927" t="s">
        <v>99</v>
      </c>
      <c r="D2927" t="s">
        <v>5812</v>
      </c>
      <c r="E2927" t="s">
        <v>4260</v>
      </c>
      <c r="F2927" s="2" t="str">
        <f>HYPERLINK("http://www.otzar.org/book.asp?22340","אם לבינה")</f>
        <v>אם לבינה</v>
      </c>
    </row>
    <row r="2928" spans="1:6" x14ac:dyDescent="0.2">
      <c r="A2928" t="s">
        <v>5803</v>
      </c>
      <c r="B2928" t="s">
        <v>5813</v>
      </c>
      <c r="C2928" t="s">
        <v>752</v>
      </c>
      <c r="D2928" t="s">
        <v>283</v>
      </c>
      <c r="E2928" t="s">
        <v>172</v>
      </c>
      <c r="F2928" s="2" t="str">
        <f>HYPERLINK("http://www.otzar.org/book.asp?17193","אם לבינה")</f>
        <v>אם לבינה</v>
      </c>
    </row>
    <row r="2929" spans="1:6" x14ac:dyDescent="0.2">
      <c r="A2929" t="s">
        <v>5814</v>
      </c>
      <c r="B2929" t="s">
        <v>5815</v>
      </c>
      <c r="C2929" t="s">
        <v>1124</v>
      </c>
      <c r="D2929" t="s">
        <v>27</v>
      </c>
      <c r="E2929" t="s">
        <v>579</v>
      </c>
      <c r="F2929" s="2" t="str">
        <f>HYPERLINK("http://www.otzar.org/book.asp?53295","אם למסורות")</f>
        <v>אם למסורות</v>
      </c>
    </row>
    <row r="2930" spans="1:6" x14ac:dyDescent="0.2">
      <c r="A2930" t="s">
        <v>5816</v>
      </c>
      <c r="B2930" t="s">
        <v>5817</v>
      </c>
      <c r="C2930" t="s">
        <v>5818</v>
      </c>
      <c r="D2930" t="s">
        <v>1411</v>
      </c>
      <c r="E2930" t="s">
        <v>674</v>
      </c>
      <c r="F2930" s="2" t="str">
        <f>HYPERLINK("http://www.otzar.org/book.asp?300248","אם למסורת")</f>
        <v>אם למסורת</v>
      </c>
    </row>
    <row r="2931" spans="1:6" x14ac:dyDescent="0.2">
      <c r="A2931" t="s">
        <v>5816</v>
      </c>
      <c r="B2931" t="s">
        <v>2396</v>
      </c>
      <c r="C2931" t="s">
        <v>20</v>
      </c>
      <c r="D2931" t="s">
        <v>1076</v>
      </c>
      <c r="E2931" t="s">
        <v>144</v>
      </c>
      <c r="F2931" s="2" t="str">
        <f>HYPERLINK("http://www.otzar.org/book.asp?22903","אם למסורת")</f>
        <v>אם למסורת</v>
      </c>
    </row>
    <row r="2932" spans="1:6" x14ac:dyDescent="0.2">
      <c r="A2932" t="s">
        <v>5819</v>
      </c>
      <c r="B2932" t="s">
        <v>5820</v>
      </c>
      <c r="C2932" t="s">
        <v>17</v>
      </c>
      <c r="D2932" t="s">
        <v>14</v>
      </c>
      <c r="E2932" t="s">
        <v>144</v>
      </c>
      <c r="F2932" s="2" t="str">
        <f>HYPERLINK("http://www.otzar.org/book.asp?50110","אם למקרא ואם למסורת")</f>
        <v>אם למקרא ואם למסורת</v>
      </c>
    </row>
    <row r="2933" spans="1:6" x14ac:dyDescent="0.2">
      <c r="A2933" t="s">
        <v>5821</v>
      </c>
      <c r="B2933" t="s">
        <v>5822</v>
      </c>
      <c r="C2933" t="s">
        <v>5823</v>
      </c>
      <c r="D2933" t="s">
        <v>283</v>
      </c>
      <c r="E2933" t="s">
        <v>104</v>
      </c>
      <c r="F2933" s="2" t="str">
        <f>HYPERLINK("http://www.otzar.org/book.asp?103135","אם למקרא ולמסורת")</f>
        <v>אם למקרא ולמסורת</v>
      </c>
    </row>
    <row r="2934" spans="1:6" x14ac:dyDescent="0.2">
      <c r="A2934" t="s">
        <v>5824</v>
      </c>
      <c r="B2934" t="s">
        <v>5825</v>
      </c>
      <c r="C2934" t="s">
        <v>5826</v>
      </c>
      <c r="D2934" t="s">
        <v>1516</v>
      </c>
      <c r="E2934" t="s">
        <v>104</v>
      </c>
      <c r="F2934" s="2" t="str">
        <f>HYPERLINK("http://www.otzar.org/book.asp?21689","אם למקרא")</f>
        <v>אם למקרא</v>
      </c>
    </row>
    <row r="2935" spans="1:6" x14ac:dyDescent="0.2">
      <c r="A2935" t="s">
        <v>5827</v>
      </c>
      <c r="B2935" t="s">
        <v>3883</v>
      </c>
      <c r="C2935" t="s">
        <v>422</v>
      </c>
      <c r="D2935" t="s">
        <v>14</v>
      </c>
      <c r="E2935" t="s">
        <v>158</v>
      </c>
      <c r="F2935" s="2" t="str">
        <f>HYPERLINK("http://www.otzar.org/book.asp?152252","אם למקרא - 2 כר'")</f>
        <v>אם למקרא - 2 כר'</v>
      </c>
    </row>
    <row r="2936" spans="1:6" x14ac:dyDescent="0.2">
      <c r="A2936" t="s">
        <v>5824</v>
      </c>
      <c r="B2936" t="s">
        <v>2396</v>
      </c>
      <c r="C2936" t="s">
        <v>313</v>
      </c>
      <c r="D2936" t="s">
        <v>1076</v>
      </c>
      <c r="E2936" t="s">
        <v>158</v>
      </c>
      <c r="F2936" s="2" t="str">
        <f>HYPERLINK("http://www.otzar.org/book.asp?22896","אם למקרא")</f>
        <v>אם למקרא</v>
      </c>
    </row>
    <row r="2937" spans="1:6" x14ac:dyDescent="0.2">
      <c r="A2937" t="s">
        <v>5824</v>
      </c>
      <c r="B2937" t="s">
        <v>5828</v>
      </c>
      <c r="C2937" t="s">
        <v>1570</v>
      </c>
      <c r="D2937" t="s">
        <v>52</v>
      </c>
      <c r="E2937" t="s">
        <v>579</v>
      </c>
      <c r="F2937" s="2" t="str">
        <f>HYPERLINK("http://www.otzar.org/book.asp?13114","אם למקרא")</f>
        <v>אם למקרא</v>
      </c>
    </row>
    <row r="2938" spans="1:6" x14ac:dyDescent="0.2">
      <c r="A2938" t="s">
        <v>5829</v>
      </c>
      <c r="B2938" t="s">
        <v>5830</v>
      </c>
      <c r="C2938" t="s">
        <v>114</v>
      </c>
      <c r="D2938" t="s">
        <v>52</v>
      </c>
      <c r="E2938" t="s">
        <v>119</v>
      </c>
      <c r="F2938" s="2" t="str">
        <f>HYPERLINK("http://www.otzar.org/book.asp?606127","אם סגולה")</f>
        <v>אם סגולה</v>
      </c>
    </row>
    <row r="2939" spans="1:6" x14ac:dyDescent="0.2">
      <c r="A2939" t="s">
        <v>5831</v>
      </c>
      <c r="B2939" t="s">
        <v>107</v>
      </c>
      <c r="C2939" t="s">
        <v>1208</v>
      </c>
      <c r="D2939" t="s">
        <v>14</v>
      </c>
      <c r="E2939" t="s">
        <v>15</v>
      </c>
      <c r="F2939" s="2" t="str">
        <f>HYPERLINK("http://www.otzar.org/book.asp?84008","אם על בנים")</f>
        <v>אם על בנים</v>
      </c>
    </row>
    <row r="2940" spans="1:6" x14ac:dyDescent="0.2">
      <c r="A2940" t="s">
        <v>5832</v>
      </c>
      <c r="B2940" t="s">
        <v>5833</v>
      </c>
      <c r="C2940" t="s">
        <v>129</v>
      </c>
      <c r="D2940" t="s">
        <v>5172</v>
      </c>
      <c r="E2940" t="s">
        <v>144</v>
      </c>
      <c r="F2940" s="2" t="str">
        <f>HYPERLINK("http://www.otzar.org/book.asp?162811","אם על הבנים")</f>
        <v>אם על הבנים</v>
      </c>
    </row>
    <row r="2941" spans="1:6" x14ac:dyDescent="0.2">
      <c r="A2941" t="s">
        <v>5834</v>
      </c>
      <c r="B2941" t="s">
        <v>5835</v>
      </c>
      <c r="C2941" t="s">
        <v>17</v>
      </c>
      <c r="D2941" t="s">
        <v>52</v>
      </c>
      <c r="E2941" t="s">
        <v>119</v>
      </c>
      <c r="F2941" s="2" t="str">
        <f>HYPERLINK("http://www.otzar.org/book.asp?180107","אמא בקשתך נתקבלה")</f>
        <v>אמא בקשתך נתקבלה</v>
      </c>
    </row>
    <row r="2942" spans="1:6" x14ac:dyDescent="0.2">
      <c r="A2942" t="s">
        <v>5836</v>
      </c>
      <c r="B2942" t="s">
        <v>4979</v>
      </c>
      <c r="C2942" t="s">
        <v>313</v>
      </c>
      <c r="D2942" t="s">
        <v>5837</v>
      </c>
      <c r="E2942" t="s">
        <v>158</v>
      </c>
      <c r="F2942" s="2" t="str">
        <f>HYPERLINK("http://www.otzar.org/book.asp?63130","אמה של מלכות")</f>
        <v>אמה של מלכות</v>
      </c>
    </row>
    <row r="2943" spans="1:6" x14ac:dyDescent="0.2">
      <c r="A2943" t="s">
        <v>5838</v>
      </c>
      <c r="B2943" t="s">
        <v>253</v>
      </c>
      <c r="C2943" t="s">
        <v>1448</v>
      </c>
      <c r="D2943" t="s">
        <v>14</v>
      </c>
      <c r="E2943" t="s">
        <v>583</v>
      </c>
      <c r="F2943" s="2" t="str">
        <f>HYPERLINK("http://www.otzar.org/book.asp?602616","אמונה בשואה")</f>
        <v>אמונה בשואה</v>
      </c>
    </row>
    <row r="2944" spans="1:6" x14ac:dyDescent="0.2">
      <c r="A2944" t="s">
        <v>5839</v>
      </c>
      <c r="B2944" t="s">
        <v>1602</v>
      </c>
      <c r="C2944" t="s">
        <v>411</v>
      </c>
      <c r="D2944" t="s">
        <v>21</v>
      </c>
      <c r="E2944" t="s">
        <v>241</v>
      </c>
      <c r="F2944" s="2" t="str">
        <f>HYPERLINK("http://www.otzar.org/book.asp?191177","אמונה ובטחון - 2 כר'")</f>
        <v>אמונה ובטחון - 2 כר'</v>
      </c>
    </row>
    <row r="2945" spans="1:6" x14ac:dyDescent="0.2">
      <c r="A2945" t="s">
        <v>5840</v>
      </c>
      <c r="B2945" t="s">
        <v>5636</v>
      </c>
      <c r="C2945" t="s">
        <v>146</v>
      </c>
      <c r="D2945" t="s">
        <v>1511</v>
      </c>
      <c r="E2945" t="s">
        <v>241</v>
      </c>
      <c r="F2945" s="2" t="str">
        <f>HYPERLINK("http://www.otzar.org/book.asp?165234","אמונה ובטחון")</f>
        <v>אמונה ובטחון</v>
      </c>
    </row>
    <row r="2946" spans="1:6" x14ac:dyDescent="0.2">
      <c r="A2946" t="s">
        <v>5841</v>
      </c>
      <c r="B2946" t="s">
        <v>4015</v>
      </c>
      <c r="C2946" t="s">
        <v>473</v>
      </c>
      <c r="D2946" t="s">
        <v>283</v>
      </c>
      <c r="E2946" t="s">
        <v>703</v>
      </c>
      <c r="F2946" s="2" t="str">
        <f>HYPERLINK("http://www.otzar.org/book.asp?85149","אמונה ודעת")</f>
        <v>אמונה ודעת</v>
      </c>
    </row>
    <row r="2947" spans="1:6" x14ac:dyDescent="0.2">
      <c r="A2947" t="s">
        <v>5841</v>
      </c>
      <c r="B2947" t="s">
        <v>5842</v>
      </c>
      <c r="C2947" t="s">
        <v>20</v>
      </c>
      <c r="D2947" t="s">
        <v>52</v>
      </c>
      <c r="E2947" t="s">
        <v>241</v>
      </c>
      <c r="F2947" s="2" t="str">
        <f>HYPERLINK("http://www.otzar.org/book.asp?154445","אמונה ודעת")</f>
        <v>אמונה ודעת</v>
      </c>
    </row>
    <row r="2948" spans="1:6" x14ac:dyDescent="0.2">
      <c r="A2948" t="s">
        <v>5843</v>
      </c>
      <c r="B2948" t="s">
        <v>5844</v>
      </c>
      <c r="C2948" t="s">
        <v>1844</v>
      </c>
      <c r="D2948" t="s">
        <v>164</v>
      </c>
      <c r="E2948" t="s">
        <v>241</v>
      </c>
      <c r="F2948" s="2" t="str">
        <f>HYPERLINK("http://www.otzar.org/book.asp?13424","אמונה והשגחה")</f>
        <v>אמונה והשגחה</v>
      </c>
    </row>
    <row r="2949" spans="1:6" x14ac:dyDescent="0.2">
      <c r="A2949" t="s">
        <v>5845</v>
      </c>
      <c r="B2949" t="s">
        <v>5846</v>
      </c>
      <c r="C2949" t="s">
        <v>71</v>
      </c>
      <c r="D2949" t="s">
        <v>216</v>
      </c>
      <c r="E2949" t="s">
        <v>241</v>
      </c>
      <c r="F2949" s="2" t="str">
        <f>HYPERLINK("http://www.otzar.org/book.asp?6139","אמונה וישועה")</f>
        <v>אמונה וישועה</v>
      </c>
    </row>
    <row r="2950" spans="1:6" x14ac:dyDescent="0.2">
      <c r="A2950" t="s">
        <v>5847</v>
      </c>
      <c r="B2950" t="s">
        <v>1728</v>
      </c>
      <c r="C2950" t="s">
        <v>466</v>
      </c>
      <c r="D2950" t="s">
        <v>273</v>
      </c>
      <c r="E2950" t="s">
        <v>5848</v>
      </c>
      <c r="F2950" s="2" t="str">
        <f>HYPERLINK("http://www.otzar.org/book.asp?628518","אמונה ומודעות")</f>
        <v>אמונה ומודעות</v>
      </c>
    </row>
    <row r="2951" spans="1:6" x14ac:dyDescent="0.2">
      <c r="A2951" t="s">
        <v>5849</v>
      </c>
      <c r="B2951" t="s">
        <v>1393</v>
      </c>
      <c r="C2951" t="s">
        <v>237</v>
      </c>
      <c r="D2951" t="s">
        <v>412</v>
      </c>
      <c r="E2951" t="s">
        <v>241</v>
      </c>
      <c r="F2951" s="2" t="str">
        <f>HYPERLINK("http://www.otzar.org/book.asp?107019","אמונה ופרנסה")</f>
        <v>אמונה ופרנסה</v>
      </c>
    </row>
    <row r="2952" spans="1:6" x14ac:dyDescent="0.2">
      <c r="A2952" t="s">
        <v>5850</v>
      </c>
      <c r="B2952" t="s">
        <v>4606</v>
      </c>
      <c r="C2952" t="s">
        <v>334</v>
      </c>
      <c r="D2952" t="s">
        <v>52</v>
      </c>
      <c r="E2952" t="s">
        <v>714</v>
      </c>
      <c r="F2952" s="2" t="str">
        <f>HYPERLINK("http://www.otzar.org/book.asp?10009","אמונה ותורה")</f>
        <v>אמונה ותורה</v>
      </c>
    </row>
    <row r="2953" spans="1:6" x14ac:dyDescent="0.2">
      <c r="A2953" t="s">
        <v>5851</v>
      </c>
      <c r="B2953" t="s">
        <v>5852</v>
      </c>
      <c r="C2953" t="s">
        <v>1374</v>
      </c>
      <c r="D2953" t="s">
        <v>412</v>
      </c>
      <c r="E2953" t="s">
        <v>241</v>
      </c>
      <c r="F2953" s="2" t="str">
        <f>HYPERLINK("http://www.otzar.org/book.asp?51297","אמונה טהורה")</f>
        <v>אמונה טהורה</v>
      </c>
    </row>
    <row r="2954" spans="1:6" x14ac:dyDescent="0.2">
      <c r="A2954" t="s">
        <v>5853</v>
      </c>
      <c r="B2954" t="s">
        <v>326</v>
      </c>
      <c r="C2954" t="s">
        <v>5854</v>
      </c>
      <c r="D2954" t="s">
        <v>327</v>
      </c>
      <c r="E2954" t="s">
        <v>573</v>
      </c>
      <c r="F2954" s="2" t="str">
        <f>HYPERLINK("http://www.otzar.org/book.asp?15867","אמונה ישרה - 2 כר'")</f>
        <v>אמונה ישרה - 2 כר'</v>
      </c>
    </row>
    <row r="2955" spans="1:6" x14ac:dyDescent="0.2">
      <c r="A2955" t="s">
        <v>5855</v>
      </c>
      <c r="B2955" t="s">
        <v>5506</v>
      </c>
      <c r="C2955" t="s">
        <v>775</v>
      </c>
      <c r="D2955" t="s">
        <v>14</v>
      </c>
      <c r="E2955" t="s">
        <v>241</v>
      </c>
      <c r="F2955" s="2" t="str">
        <f>HYPERLINK("http://www.otzar.org/book.asp?155023","אמונה לדור התהיה")</f>
        <v>אמונה לדור התהיה</v>
      </c>
    </row>
    <row r="2956" spans="1:6" x14ac:dyDescent="0.2">
      <c r="A2956" t="s">
        <v>5856</v>
      </c>
      <c r="B2956" t="s">
        <v>5857</v>
      </c>
      <c r="C2956" t="s">
        <v>68</v>
      </c>
      <c r="D2956" t="s">
        <v>21</v>
      </c>
      <c r="E2956" t="s">
        <v>234</v>
      </c>
      <c r="F2956" s="2" t="str">
        <f>HYPERLINK("http://www.otzar.org/book.asp?191726","אמונה עד בא השמש")</f>
        <v>אמונה עד בא השמש</v>
      </c>
    </row>
    <row r="2957" spans="1:6" x14ac:dyDescent="0.2">
      <c r="A2957" t="s">
        <v>5858</v>
      </c>
      <c r="B2957" t="s">
        <v>5859</v>
      </c>
      <c r="C2957" t="s">
        <v>176</v>
      </c>
      <c r="D2957" t="s">
        <v>14</v>
      </c>
      <c r="E2957" t="s">
        <v>5860</v>
      </c>
      <c r="F2957" s="2" t="str">
        <f>HYPERLINK("http://www.otzar.org/book.asp?15251","אמונה צרופה בכור השואה - 2 כר'")</f>
        <v>אמונה צרופה בכור השואה - 2 כר'</v>
      </c>
    </row>
    <row r="2958" spans="1:6" x14ac:dyDescent="0.2">
      <c r="A2958" t="s">
        <v>5861</v>
      </c>
      <c r="B2958" t="s">
        <v>5862</v>
      </c>
      <c r="C2958" t="s">
        <v>1470</v>
      </c>
      <c r="D2958" t="s">
        <v>9</v>
      </c>
      <c r="E2958" t="s">
        <v>241</v>
      </c>
      <c r="F2958" s="2" t="str">
        <f>HYPERLINK("http://www.otzar.org/book.asp?108783","אמונה שלימה")</f>
        <v>אמונה שלימה</v>
      </c>
    </row>
    <row r="2959" spans="1:6" x14ac:dyDescent="0.2">
      <c r="A2959" t="s">
        <v>5863</v>
      </c>
      <c r="B2959" t="s">
        <v>5864</v>
      </c>
      <c r="C2959" t="s">
        <v>20</v>
      </c>
      <c r="D2959" t="s">
        <v>147</v>
      </c>
      <c r="E2959" t="s">
        <v>158</v>
      </c>
      <c r="F2959" s="2" t="str">
        <f>HYPERLINK("http://www.otzar.org/book.asp?622002","אמונה שלמה - 6 כר'")</f>
        <v>אמונה שלמה - 6 כר'</v>
      </c>
    </row>
    <row r="2960" spans="1:6" x14ac:dyDescent="0.2">
      <c r="A2960" t="s">
        <v>5865</v>
      </c>
      <c r="B2960" t="s">
        <v>4840</v>
      </c>
      <c r="C2960" t="s">
        <v>506</v>
      </c>
      <c r="D2960" t="s">
        <v>280</v>
      </c>
      <c r="E2960" t="s">
        <v>241</v>
      </c>
      <c r="F2960" s="2" t="str">
        <f>HYPERLINK("http://www.otzar.org/book.asp?13496","אמונות ודעות")</f>
        <v>אמונות ודעות</v>
      </c>
    </row>
    <row r="2961" spans="1:6" x14ac:dyDescent="0.2">
      <c r="A2961" t="s">
        <v>5866</v>
      </c>
      <c r="B2961" t="s">
        <v>5867</v>
      </c>
      <c r="C2961" t="s">
        <v>466</v>
      </c>
      <c r="D2961" t="s">
        <v>52</v>
      </c>
      <c r="E2961" t="s">
        <v>104</v>
      </c>
      <c r="F2961" s="2" t="str">
        <f>HYPERLINK("http://www.otzar.org/book.asp?153884","אמוני עם סגולה - 4 כר'")</f>
        <v>אמוני עם סגולה - 4 כר'</v>
      </c>
    </row>
    <row r="2962" spans="1:6" x14ac:dyDescent="0.2">
      <c r="A2962" t="s">
        <v>5868</v>
      </c>
      <c r="B2962" t="s">
        <v>5869</v>
      </c>
      <c r="C2962" t="s">
        <v>5870</v>
      </c>
      <c r="D2962" t="s">
        <v>118</v>
      </c>
      <c r="F2962" s="2" t="str">
        <f>HYPERLINK("http://www.otzar.org/book.asp?152980","אמונים - 6 כר'")</f>
        <v>אמונים - 6 כר'</v>
      </c>
    </row>
    <row r="2963" spans="1:6" x14ac:dyDescent="0.2">
      <c r="A2963" t="s">
        <v>5871</v>
      </c>
      <c r="B2963" t="s">
        <v>5082</v>
      </c>
      <c r="C2963" t="s">
        <v>151</v>
      </c>
      <c r="D2963" t="s">
        <v>486</v>
      </c>
      <c r="E2963" t="s">
        <v>84</v>
      </c>
      <c r="F2963" s="2" t="str">
        <f>HYPERLINK("http://www.otzar.org/book.asp?615911","אמונת אברהם - 4 כר'")</f>
        <v>אמונת אברהם - 4 כר'</v>
      </c>
    </row>
    <row r="2964" spans="1:6" x14ac:dyDescent="0.2">
      <c r="A2964" t="s">
        <v>5872</v>
      </c>
      <c r="B2964" t="s">
        <v>5873</v>
      </c>
      <c r="C2964" t="s">
        <v>20</v>
      </c>
      <c r="D2964" t="s">
        <v>90</v>
      </c>
      <c r="F2964" s="2" t="str">
        <f>HYPERLINK("http://www.otzar.org/book.asp?623027","אמונת אברהם")</f>
        <v>אמונת אברהם</v>
      </c>
    </row>
    <row r="2965" spans="1:6" x14ac:dyDescent="0.2">
      <c r="A2965" t="s">
        <v>5874</v>
      </c>
      <c r="B2965" t="s">
        <v>5875</v>
      </c>
      <c r="C2965" t="s">
        <v>466</v>
      </c>
      <c r="D2965" t="s">
        <v>486</v>
      </c>
      <c r="E2965" t="s">
        <v>219</v>
      </c>
      <c r="F2965" s="2" t="str">
        <f>HYPERLINK("http://www.otzar.org/book.asp?142164","אמונת אברהם, פתגמי אורייתא")</f>
        <v>אמונת אברהם, פתגמי אורייתא</v>
      </c>
    </row>
    <row r="2966" spans="1:6" x14ac:dyDescent="0.2">
      <c r="A2966" t="s">
        <v>5876</v>
      </c>
      <c r="B2966" t="s">
        <v>5877</v>
      </c>
      <c r="C2966" t="s">
        <v>248</v>
      </c>
      <c r="D2966" t="s">
        <v>1023</v>
      </c>
      <c r="E2966" t="s">
        <v>241</v>
      </c>
      <c r="F2966" s="2" t="str">
        <f>HYPERLINK("http://www.otzar.org/book.asp?300240","אמונת אומן")</f>
        <v>אמונת אומן</v>
      </c>
    </row>
    <row r="2967" spans="1:6" x14ac:dyDescent="0.2">
      <c r="A2967" t="s">
        <v>5878</v>
      </c>
      <c r="B2967" t="s">
        <v>5879</v>
      </c>
      <c r="C2967" t="s">
        <v>23</v>
      </c>
      <c r="D2967" t="s">
        <v>80</v>
      </c>
      <c r="F2967" s="2" t="str">
        <f>HYPERLINK("http://www.otzar.org/book.asp?617648","אמונת אומן - 2 כר'")</f>
        <v>אמונת אומן - 2 כר'</v>
      </c>
    </row>
    <row r="2968" spans="1:6" x14ac:dyDescent="0.2">
      <c r="A2968" t="s">
        <v>5880</v>
      </c>
      <c r="B2968" t="s">
        <v>5881</v>
      </c>
      <c r="C2968" t="s">
        <v>129</v>
      </c>
      <c r="D2968" t="s">
        <v>115</v>
      </c>
      <c r="E2968" t="s">
        <v>1097</v>
      </c>
      <c r="F2968" s="2" t="str">
        <f>HYPERLINK("http://www.otzar.org/book.asp?604436","אמונת איתן - 2 כר'")</f>
        <v>אמונת איתן - 2 כר'</v>
      </c>
    </row>
    <row r="2969" spans="1:6" x14ac:dyDescent="0.2">
      <c r="A2969" t="s">
        <v>5882</v>
      </c>
      <c r="B2969" t="s">
        <v>4988</v>
      </c>
      <c r="C2969" t="s">
        <v>20</v>
      </c>
      <c r="D2969" t="s">
        <v>90</v>
      </c>
      <c r="E2969" t="s">
        <v>703</v>
      </c>
      <c r="F2969" s="2" t="str">
        <f>HYPERLINK("http://www.otzar.org/book.asp?189678","אמונת איתן")</f>
        <v>אמונת איתן</v>
      </c>
    </row>
    <row r="2970" spans="1:6" x14ac:dyDescent="0.2">
      <c r="A2970" t="s">
        <v>5883</v>
      </c>
      <c r="B2970" t="s">
        <v>5884</v>
      </c>
      <c r="C2970" t="s">
        <v>23</v>
      </c>
      <c r="D2970" t="s">
        <v>14</v>
      </c>
      <c r="F2970" s="2" t="str">
        <f>HYPERLINK("http://www.otzar.org/book.asp?630737","אמונת אליעזר - 3 כר'")</f>
        <v>אמונת אליעזר - 3 כר'</v>
      </c>
    </row>
    <row r="2971" spans="1:6" x14ac:dyDescent="0.2">
      <c r="A2971" t="s">
        <v>5885</v>
      </c>
      <c r="B2971" t="s">
        <v>5886</v>
      </c>
      <c r="C2971" t="s">
        <v>129</v>
      </c>
      <c r="D2971" t="s">
        <v>412</v>
      </c>
      <c r="E2971" t="s">
        <v>84</v>
      </c>
      <c r="F2971" s="2" t="str">
        <f>HYPERLINK("http://www.otzar.org/book.asp?188897","אמונת אליעזר - 2 כר'")</f>
        <v>אמונת אליעזר - 2 כר'</v>
      </c>
    </row>
    <row r="2972" spans="1:6" x14ac:dyDescent="0.2">
      <c r="A2972" t="s">
        <v>5887</v>
      </c>
      <c r="B2972" t="s">
        <v>5888</v>
      </c>
      <c r="C2972" t="s">
        <v>812</v>
      </c>
      <c r="D2972" t="s">
        <v>27</v>
      </c>
      <c r="F2972" s="2" t="str">
        <f>HYPERLINK("http://www.otzar.org/book.asp?174355","אמונת ה'")</f>
        <v>אמונת ה'</v>
      </c>
    </row>
    <row r="2973" spans="1:6" x14ac:dyDescent="0.2">
      <c r="A2973" t="s">
        <v>5889</v>
      </c>
      <c r="B2973" t="s">
        <v>5890</v>
      </c>
      <c r="C2973" t="s">
        <v>594</v>
      </c>
      <c r="D2973" t="s">
        <v>855</v>
      </c>
      <c r="E2973" t="s">
        <v>241</v>
      </c>
      <c r="F2973" s="2" t="str">
        <f>HYPERLINK("http://www.otzar.org/book.asp?14274","אמונת היחוד")</f>
        <v>אמונת היחוד</v>
      </c>
    </row>
    <row r="2974" spans="1:6" x14ac:dyDescent="0.2">
      <c r="A2974" t="s">
        <v>5891</v>
      </c>
      <c r="B2974" t="s">
        <v>5892</v>
      </c>
      <c r="C2974" t="s">
        <v>1706</v>
      </c>
      <c r="D2974" t="s">
        <v>4269</v>
      </c>
      <c r="E2974" t="s">
        <v>104</v>
      </c>
      <c r="F2974" s="2" t="str">
        <f>HYPERLINK("http://www.otzar.org/book.asp?103116","אמונת התחיה")</f>
        <v>אמונת התחיה</v>
      </c>
    </row>
    <row r="2975" spans="1:6" x14ac:dyDescent="0.2">
      <c r="A2975" t="s">
        <v>5893</v>
      </c>
      <c r="B2975" t="s">
        <v>5894</v>
      </c>
      <c r="C2975" t="s">
        <v>1169</v>
      </c>
      <c r="D2975" t="s">
        <v>52</v>
      </c>
      <c r="E2975" t="s">
        <v>786</v>
      </c>
      <c r="F2975" s="2" t="str">
        <f>HYPERLINK("http://www.otzar.org/book.asp?603688","אמונת זרעים שביעית - קונטרס הארות")</f>
        <v>אמונת זרעים שביעית - קונטרס הארות</v>
      </c>
    </row>
    <row r="2976" spans="1:6" x14ac:dyDescent="0.2">
      <c r="A2976" t="s">
        <v>5895</v>
      </c>
      <c r="B2976" t="s">
        <v>5896</v>
      </c>
      <c r="C2976" t="s">
        <v>506</v>
      </c>
      <c r="D2976" t="s">
        <v>283</v>
      </c>
      <c r="E2976" t="s">
        <v>84</v>
      </c>
      <c r="F2976" s="2" t="str">
        <f>HYPERLINK("http://www.otzar.org/book.asp?7782","אמונת זרעים")</f>
        <v>אמונת זרעים</v>
      </c>
    </row>
    <row r="2977" spans="1:6" x14ac:dyDescent="0.2">
      <c r="A2977" t="s">
        <v>5897</v>
      </c>
      <c r="B2977" t="s">
        <v>5898</v>
      </c>
      <c r="C2977" t="s">
        <v>114</v>
      </c>
      <c r="D2977" t="s">
        <v>1156</v>
      </c>
      <c r="F2977" s="2" t="str">
        <f>HYPERLINK("http://www.otzar.org/book.asp?85894","אמונת חיים - 4 כר'")</f>
        <v>אמונת חיים - 4 כר'</v>
      </c>
    </row>
    <row r="2978" spans="1:6" x14ac:dyDescent="0.2">
      <c r="A2978" t="s">
        <v>5899</v>
      </c>
      <c r="B2978" t="s">
        <v>5900</v>
      </c>
      <c r="C2978" t="s">
        <v>429</v>
      </c>
      <c r="D2978" t="s">
        <v>283</v>
      </c>
      <c r="E2978" t="s">
        <v>583</v>
      </c>
      <c r="F2978" s="2" t="str">
        <f>HYPERLINK("http://www.otzar.org/book.asp?102054","אמונת חכמים - 5 כר'")</f>
        <v>אמונת חכמים - 5 כר'</v>
      </c>
    </row>
    <row r="2979" spans="1:6" x14ac:dyDescent="0.2">
      <c r="A2979" t="s">
        <v>5901</v>
      </c>
      <c r="B2979" t="s">
        <v>5902</v>
      </c>
      <c r="C2979" t="s">
        <v>5903</v>
      </c>
      <c r="D2979" t="s">
        <v>56</v>
      </c>
      <c r="E2979" t="s">
        <v>3798</v>
      </c>
      <c r="F2979" s="2" t="str">
        <f>HYPERLINK("http://www.otzar.org/book.asp?300239","אמונת חכמים")</f>
        <v>אמונת חכמים</v>
      </c>
    </row>
    <row r="2980" spans="1:6" x14ac:dyDescent="0.2">
      <c r="A2980" t="s">
        <v>5901</v>
      </c>
      <c r="B2980" t="s">
        <v>5904</v>
      </c>
      <c r="C2980" t="s">
        <v>553</v>
      </c>
      <c r="D2980" t="s">
        <v>14</v>
      </c>
      <c r="E2980" t="s">
        <v>104</v>
      </c>
      <c r="F2980" s="2" t="str">
        <f>HYPERLINK("http://www.otzar.org/book.asp?179889","אמונת חכמים")</f>
        <v>אמונת חכמים</v>
      </c>
    </row>
    <row r="2981" spans="1:6" x14ac:dyDescent="0.2">
      <c r="A2981" t="s">
        <v>5905</v>
      </c>
      <c r="B2981" t="s">
        <v>5906</v>
      </c>
      <c r="C2981" t="s">
        <v>1169</v>
      </c>
      <c r="D2981" t="s">
        <v>9</v>
      </c>
      <c r="E2981" t="s">
        <v>241</v>
      </c>
      <c r="F2981" s="2" t="str">
        <f>HYPERLINK("http://www.otzar.org/book.asp?167411","אמונת יהודה וישראל")</f>
        <v>אמונת יהודה וישראל</v>
      </c>
    </row>
    <row r="2982" spans="1:6" x14ac:dyDescent="0.2">
      <c r="A2982" t="s">
        <v>5907</v>
      </c>
      <c r="B2982" t="s">
        <v>5908</v>
      </c>
      <c r="C2982" t="s">
        <v>129</v>
      </c>
      <c r="D2982" t="s">
        <v>14</v>
      </c>
      <c r="F2982" s="2" t="str">
        <f>HYPERLINK("http://www.otzar.org/book.asp?156589","אמונת יהושע - 6 כר'")</f>
        <v>אמונת יהושע - 6 כר'</v>
      </c>
    </row>
    <row r="2983" spans="1:6" x14ac:dyDescent="0.2">
      <c r="A2983" t="s">
        <v>5909</v>
      </c>
      <c r="B2983" t="s">
        <v>2004</v>
      </c>
      <c r="C2983" t="s">
        <v>106</v>
      </c>
      <c r="D2983" t="s">
        <v>216</v>
      </c>
      <c r="E2983" t="s">
        <v>241</v>
      </c>
      <c r="F2983" s="2" t="str">
        <f>HYPERLINK("http://www.otzar.org/book.asp?153779","אמונת ישראל סבא")</f>
        <v>אמונת ישראל סבא</v>
      </c>
    </row>
    <row r="2984" spans="1:6" x14ac:dyDescent="0.2">
      <c r="A2984" t="s">
        <v>5910</v>
      </c>
      <c r="B2984" t="s">
        <v>5911</v>
      </c>
      <c r="C2984" t="s">
        <v>5912</v>
      </c>
      <c r="D2984" t="s">
        <v>1862</v>
      </c>
      <c r="E2984" t="s">
        <v>241</v>
      </c>
      <c r="F2984" s="2" t="str">
        <f>HYPERLINK("http://www.otzar.org/book.asp?169807","אמונת ישראל - 4 כר'")</f>
        <v>אמונת ישראל - 4 כר'</v>
      </c>
    </row>
    <row r="2985" spans="1:6" x14ac:dyDescent="0.2">
      <c r="A2985" t="s">
        <v>5913</v>
      </c>
      <c r="B2985" t="s">
        <v>5914</v>
      </c>
      <c r="C2985" t="s">
        <v>313</v>
      </c>
      <c r="D2985" t="s">
        <v>14</v>
      </c>
      <c r="E2985" t="s">
        <v>901</v>
      </c>
      <c r="F2985" s="2" t="str">
        <f>HYPERLINK("http://www.otzar.org/book.asp?60194","אמונת ישראל - 3 כר'")</f>
        <v>אמונת ישראל - 3 כר'</v>
      </c>
    </row>
    <row r="2986" spans="1:6" x14ac:dyDescent="0.2">
      <c r="A2986" t="s">
        <v>5915</v>
      </c>
      <c r="B2986" t="s">
        <v>5916</v>
      </c>
      <c r="C2986" t="s">
        <v>5917</v>
      </c>
      <c r="D2986" t="s">
        <v>27</v>
      </c>
      <c r="E2986" t="s">
        <v>158</v>
      </c>
      <c r="F2986" s="2" t="str">
        <f>HYPERLINK("http://www.otzar.org/book.asp?7436","אמונת ישראל - 2 כר'")</f>
        <v>אמונת ישראל - 2 כר'</v>
      </c>
    </row>
    <row r="2987" spans="1:6" x14ac:dyDescent="0.2">
      <c r="A2987" t="s">
        <v>5918</v>
      </c>
      <c r="B2987" t="s">
        <v>5919</v>
      </c>
      <c r="C2987" t="s">
        <v>106</v>
      </c>
      <c r="D2987" t="s">
        <v>52</v>
      </c>
      <c r="E2987" t="s">
        <v>15</v>
      </c>
      <c r="F2987" s="2" t="str">
        <f>HYPERLINK("http://www.otzar.org/book.asp?25499","אמונת מנחם")</f>
        <v>אמונת מנחם</v>
      </c>
    </row>
    <row r="2988" spans="1:6" x14ac:dyDescent="0.2">
      <c r="A2988" t="s">
        <v>5920</v>
      </c>
      <c r="B2988" t="s">
        <v>5921</v>
      </c>
      <c r="C2988" t="s">
        <v>124</v>
      </c>
      <c r="D2988" t="s">
        <v>52</v>
      </c>
      <c r="E2988" t="s">
        <v>2071</v>
      </c>
      <c r="F2988" s="2" t="str">
        <f>HYPERLINK("http://www.otzar.org/book.asp?145069","אמונת משה - 5 כר'")</f>
        <v>אמונת משה - 5 כר'</v>
      </c>
    </row>
    <row r="2989" spans="1:6" x14ac:dyDescent="0.2">
      <c r="A2989" t="s">
        <v>5922</v>
      </c>
      <c r="B2989" t="s">
        <v>5923</v>
      </c>
      <c r="C2989" t="s">
        <v>111</v>
      </c>
      <c r="D2989" t="s">
        <v>14</v>
      </c>
      <c r="E2989" t="s">
        <v>84</v>
      </c>
      <c r="F2989" s="2" t="str">
        <f>HYPERLINK("http://www.otzar.org/book.asp?630458","אמונת עז")</f>
        <v>אמונת עז</v>
      </c>
    </row>
    <row r="2990" spans="1:6" x14ac:dyDescent="0.2">
      <c r="A2990" t="s">
        <v>5924</v>
      </c>
      <c r="B2990" t="s">
        <v>5925</v>
      </c>
      <c r="C2990" t="s">
        <v>129</v>
      </c>
      <c r="D2990" t="s">
        <v>3859</v>
      </c>
      <c r="E2990" t="s">
        <v>5926</v>
      </c>
      <c r="F2990" s="2" t="str">
        <f>HYPERLINK("http://www.otzar.org/book.asp?61137","אמונת עתיך - שביעית")</f>
        <v>אמונת עתיך - שביעית</v>
      </c>
    </row>
    <row r="2991" spans="1:6" x14ac:dyDescent="0.2">
      <c r="A2991" t="s">
        <v>5927</v>
      </c>
      <c r="B2991" t="s">
        <v>5928</v>
      </c>
      <c r="C2991" t="s">
        <v>103</v>
      </c>
      <c r="D2991" t="s">
        <v>14</v>
      </c>
      <c r="E2991" t="s">
        <v>230</v>
      </c>
      <c r="F2991" s="2" t="str">
        <f>HYPERLINK("http://www.otzar.org/book.asp?172871","אמונת עתיך - 3 כר'")</f>
        <v>אמונת עתיך - 3 כר'</v>
      </c>
    </row>
    <row r="2992" spans="1:6" x14ac:dyDescent="0.2">
      <c r="A2992" t="s">
        <v>5929</v>
      </c>
      <c r="B2992" t="s">
        <v>5930</v>
      </c>
      <c r="C2992" t="s">
        <v>411</v>
      </c>
      <c r="D2992" t="s">
        <v>3331</v>
      </c>
      <c r="E2992" t="s">
        <v>144</v>
      </c>
      <c r="F2992" s="2" t="str">
        <f>HYPERLINK("http://www.otzar.org/book.asp?169530","אמונת עתיך")</f>
        <v>אמונת עתיך</v>
      </c>
    </row>
    <row r="2993" spans="1:6" x14ac:dyDescent="0.2">
      <c r="A2993" t="s">
        <v>5931</v>
      </c>
      <c r="B2993" t="s">
        <v>5932</v>
      </c>
      <c r="C2993" t="s">
        <v>176</v>
      </c>
      <c r="D2993" t="s">
        <v>108</v>
      </c>
      <c r="E2993" t="s">
        <v>2091</v>
      </c>
      <c r="F2993" s="2" t="str">
        <f>HYPERLINK("http://www.otzar.org/book.asp?28243","אמונת עתיך - 68 כר'")</f>
        <v>אמונת עתיך - 68 כר'</v>
      </c>
    </row>
    <row r="2994" spans="1:6" x14ac:dyDescent="0.2">
      <c r="A2994" t="s">
        <v>5929</v>
      </c>
      <c r="B2994" t="s">
        <v>5933</v>
      </c>
      <c r="C2994" t="s">
        <v>114</v>
      </c>
      <c r="D2994" t="s">
        <v>5172</v>
      </c>
      <c r="F2994" s="2" t="str">
        <f>HYPERLINK("http://www.otzar.org/book.asp?609617","אמונת עתיך")</f>
        <v>אמונת עתיך</v>
      </c>
    </row>
    <row r="2995" spans="1:6" x14ac:dyDescent="0.2">
      <c r="A2995" t="s">
        <v>5934</v>
      </c>
      <c r="B2995" t="s">
        <v>5753</v>
      </c>
      <c r="C2995" t="s">
        <v>17</v>
      </c>
      <c r="D2995" t="s">
        <v>14</v>
      </c>
      <c r="E2995" t="s">
        <v>5935</v>
      </c>
      <c r="F2995" s="2" t="str">
        <f>HYPERLINK("http://www.otzar.org/book.asp?106142","אמונת עתך")</f>
        <v>אמונת עתך</v>
      </c>
    </row>
    <row r="2996" spans="1:6" x14ac:dyDescent="0.2">
      <c r="A2996" t="s">
        <v>5936</v>
      </c>
      <c r="B2996" t="s">
        <v>599</v>
      </c>
      <c r="C2996" t="s">
        <v>26</v>
      </c>
      <c r="D2996" t="s">
        <v>27</v>
      </c>
      <c r="E2996" t="s">
        <v>219</v>
      </c>
      <c r="F2996" s="2" t="str">
        <f>HYPERLINK("http://www.otzar.org/book.asp?154532","אמונת עתך - 2 כר'")</f>
        <v>אמונת עתך - 2 כר'</v>
      </c>
    </row>
    <row r="2997" spans="1:6" x14ac:dyDescent="0.2">
      <c r="A2997" t="s">
        <v>5937</v>
      </c>
      <c r="B2997" t="s">
        <v>5938</v>
      </c>
      <c r="C2997" t="s">
        <v>492</v>
      </c>
      <c r="D2997" t="s">
        <v>283</v>
      </c>
      <c r="E2997" t="s">
        <v>2010</v>
      </c>
      <c r="F2997" s="2" t="str">
        <f>HYPERLINK("http://www.otzar.org/book.asp?19214","אמונת צדיקים")</f>
        <v>אמונת צדיקים</v>
      </c>
    </row>
    <row r="2998" spans="1:6" x14ac:dyDescent="0.2">
      <c r="A2998" t="s">
        <v>5939</v>
      </c>
      <c r="B2998" t="s">
        <v>206</v>
      </c>
      <c r="C2998" t="s">
        <v>23</v>
      </c>
      <c r="D2998" t="s">
        <v>1646</v>
      </c>
      <c r="E2998" t="s">
        <v>15</v>
      </c>
      <c r="F2998" s="2" t="str">
        <f>HYPERLINK("http://www.otzar.org/book.asp?193732","אמונת שביעית")</f>
        <v>אמונת שביעית</v>
      </c>
    </row>
    <row r="2999" spans="1:6" x14ac:dyDescent="0.2">
      <c r="A2999" t="s">
        <v>5940</v>
      </c>
      <c r="B2999" t="s">
        <v>5941</v>
      </c>
      <c r="C2999" t="s">
        <v>13</v>
      </c>
      <c r="D2999" t="s">
        <v>5942</v>
      </c>
      <c r="E2999" t="s">
        <v>15</v>
      </c>
      <c r="F2999" s="2" t="str">
        <f>HYPERLINK("http://www.otzar.org/book.asp?62310","אמונת שביעית, וקונטרסים בעניני שביעית")</f>
        <v>אמונת שביעית, וקונטרסים בעניני שביעית</v>
      </c>
    </row>
    <row r="3000" spans="1:6" x14ac:dyDescent="0.2">
      <c r="A3000" t="s">
        <v>5943</v>
      </c>
      <c r="B3000" t="s">
        <v>5944</v>
      </c>
      <c r="C3000" t="s">
        <v>1718</v>
      </c>
      <c r="D3000" t="s">
        <v>267</v>
      </c>
      <c r="E3000" t="s">
        <v>154</v>
      </c>
      <c r="F3000" s="2" t="str">
        <f>HYPERLINK("http://www.otzar.org/book.asp?17520","אמונת שמואל - 2 כר'")</f>
        <v>אמונת שמואל - 2 כר'</v>
      </c>
    </row>
    <row r="3001" spans="1:6" x14ac:dyDescent="0.2">
      <c r="A3001" t="s">
        <v>5945</v>
      </c>
      <c r="B3001" t="s">
        <v>5946</v>
      </c>
      <c r="C3001" t="s">
        <v>23</v>
      </c>
      <c r="D3001" t="s">
        <v>367</v>
      </c>
      <c r="F3001" s="2" t="str">
        <f>HYPERLINK("http://www.otzar.org/book.asp?617049","אמור להם")</f>
        <v>אמור להם</v>
      </c>
    </row>
    <row r="3002" spans="1:6" x14ac:dyDescent="0.2">
      <c r="A3002" t="s">
        <v>5947</v>
      </c>
      <c r="B3002" t="s">
        <v>5948</v>
      </c>
      <c r="C3002" t="s">
        <v>313</v>
      </c>
      <c r="D3002" t="s">
        <v>52</v>
      </c>
      <c r="E3002" t="s">
        <v>104</v>
      </c>
      <c r="F3002" s="2" t="str">
        <f>HYPERLINK("http://www.otzar.org/book.asp?604912","אמינות חידושי רבי עקיבא איגר &lt;מהדורת הרב אברהם בנימין זילברברג&gt;")</f>
        <v>אמינות חידושי רבי עקיבא איגר &lt;מהדורת הרב אברהם בנימין זילברברג&gt;</v>
      </c>
    </row>
    <row r="3003" spans="1:6" x14ac:dyDescent="0.2">
      <c r="A3003" t="s">
        <v>5949</v>
      </c>
      <c r="B3003" t="s">
        <v>5950</v>
      </c>
      <c r="C3003" t="s">
        <v>989</v>
      </c>
      <c r="D3003" t="s">
        <v>412</v>
      </c>
      <c r="E3003" t="s">
        <v>2332</v>
      </c>
      <c r="F3003" s="2" t="str">
        <f>HYPERLINK("http://www.otzar.org/book.asp?7172","אמירה דכיא")</f>
        <v>אמירה דכיא</v>
      </c>
    </row>
    <row r="3004" spans="1:6" x14ac:dyDescent="0.2">
      <c r="A3004" t="s">
        <v>5951</v>
      </c>
      <c r="B3004" t="s">
        <v>5952</v>
      </c>
      <c r="C3004" t="s">
        <v>1448</v>
      </c>
      <c r="D3004" t="s">
        <v>14</v>
      </c>
      <c r="F3004" s="2" t="str">
        <f>HYPERLINK("http://www.otzar.org/book.asp?84952","אמירה יפה - 2 כר'")</f>
        <v>אמירה יפה - 2 כר'</v>
      </c>
    </row>
    <row r="3005" spans="1:6" x14ac:dyDescent="0.2">
      <c r="A3005" t="s">
        <v>5953</v>
      </c>
      <c r="B3005" t="s">
        <v>5954</v>
      </c>
      <c r="C3005" t="s">
        <v>111</v>
      </c>
      <c r="D3005" t="s">
        <v>412</v>
      </c>
      <c r="E3005" t="s">
        <v>144</v>
      </c>
      <c r="F3005" s="2" t="str">
        <f>HYPERLINK("http://www.otzar.org/book.asp?628705","אמירה כתיבה - כתובות")</f>
        <v>אמירה כתיבה - כתובות</v>
      </c>
    </row>
    <row r="3006" spans="1:6" x14ac:dyDescent="0.2">
      <c r="A3006" t="s">
        <v>5955</v>
      </c>
      <c r="B3006" t="s">
        <v>5956</v>
      </c>
      <c r="C3006" t="s">
        <v>362</v>
      </c>
      <c r="D3006" t="s">
        <v>5957</v>
      </c>
      <c r="E3006" t="s">
        <v>15</v>
      </c>
      <c r="F3006" s="2" t="str">
        <f>HYPERLINK("http://www.otzar.org/book.asp?63444","אמירה לבית יעקב &lt;גרמנית&gt; - 2 כר'")</f>
        <v>אמירה לבית יעקב &lt;גרמנית&gt; - 2 כר'</v>
      </c>
    </row>
    <row r="3007" spans="1:6" x14ac:dyDescent="0.2">
      <c r="A3007" t="s">
        <v>5958</v>
      </c>
      <c r="B3007" t="s">
        <v>5956</v>
      </c>
      <c r="C3007" t="s">
        <v>46</v>
      </c>
      <c r="D3007" t="s">
        <v>27</v>
      </c>
      <c r="E3007" t="s">
        <v>15</v>
      </c>
      <c r="F3007" s="2" t="str">
        <f>HYPERLINK("http://www.otzar.org/book.asp?13444","אמירה לבית יעקב")</f>
        <v>אמירה לבית יעקב</v>
      </c>
    </row>
    <row r="3008" spans="1:6" x14ac:dyDescent="0.2">
      <c r="A3008" t="s">
        <v>5959</v>
      </c>
      <c r="B3008" t="s">
        <v>5960</v>
      </c>
      <c r="C3008" t="s">
        <v>581</v>
      </c>
      <c r="D3008" t="s">
        <v>5961</v>
      </c>
      <c r="E3008" t="s">
        <v>241</v>
      </c>
      <c r="F3008" s="2" t="str">
        <f>HYPERLINK("http://www.otzar.org/book.asp?149632","אמירה לבת יעקב")</f>
        <v>אמירה לבת יעקב</v>
      </c>
    </row>
    <row r="3009" spans="1:6" x14ac:dyDescent="0.2">
      <c r="A3009" t="s">
        <v>5962</v>
      </c>
      <c r="B3009" t="s">
        <v>206</v>
      </c>
      <c r="C3009" t="s">
        <v>466</v>
      </c>
      <c r="D3009" t="s">
        <v>14</v>
      </c>
      <c r="F3009" s="2" t="str">
        <f>HYPERLINK("http://www.otzar.org/book.asp?621822","אמירה לנכרי")</f>
        <v>אמירה לנכרי</v>
      </c>
    </row>
    <row r="3010" spans="1:6" x14ac:dyDescent="0.2">
      <c r="A3010" t="s">
        <v>5962</v>
      </c>
      <c r="B3010" t="s">
        <v>5963</v>
      </c>
      <c r="C3010" t="s">
        <v>466</v>
      </c>
      <c r="D3010" t="s">
        <v>14</v>
      </c>
      <c r="E3010" t="s">
        <v>15</v>
      </c>
      <c r="F3010" s="2" t="str">
        <f>HYPERLINK("http://www.otzar.org/book.asp?28888","אמירה לנכרי")</f>
        <v>אמירה לנכרי</v>
      </c>
    </row>
    <row r="3011" spans="1:6" x14ac:dyDescent="0.2">
      <c r="A3011" t="s">
        <v>5962</v>
      </c>
      <c r="B3011" t="s">
        <v>5964</v>
      </c>
      <c r="C3011" t="s">
        <v>71</v>
      </c>
      <c r="D3011" t="s">
        <v>21</v>
      </c>
      <c r="E3011" t="s">
        <v>15</v>
      </c>
      <c r="F3011" s="2" t="str">
        <f>HYPERLINK("http://www.otzar.org/book.asp?601229","אמירה לנכרי")</f>
        <v>אמירה לנכרי</v>
      </c>
    </row>
    <row r="3012" spans="1:6" x14ac:dyDescent="0.2">
      <c r="A3012" t="s">
        <v>5962</v>
      </c>
      <c r="B3012" t="s">
        <v>5965</v>
      </c>
      <c r="C3012" t="s">
        <v>13</v>
      </c>
      <c r="D3012" t="s">
        <v>52</v>
      </c>
      <c r="E3012" t="s">
        <v>15</v>
      </c>
      <c r="F3012" s="2" t="str">
        <f>HYPERLINK("http://www.otzar.org/book.asp?147613","אמירה לנכרי")</f>
        <v>אמירה לנכרי</v>
      </c>
    </row>
    <row r="3013" spans="1:6" x14ac:dyDescent="0.2">
      <c r="A3013" t="s">
        <v>5966</v>
      </c>
      <c r="B3013" t="s">
        <v>5967</v>
      </c>
      <c r="C3013" t="s">
        <v>171</v>
      </c>
      <c r="D3013" t="s">
        <v>260</v>
      </c>
      <c r="E3013" t="s">
        <v>529</v>
      </c>
      <c r="F3013" s="2" t="str">
        <f>HYPERLINK("http://www.otzar.org/book.asp?103993","אמירה נעימה תנינא - 2 כר'")</f>
        <v>אמירה נעימה תנינא - 2 כר'</v>
      </c>
    </row>
    <row r="3014" spans="1:6" x14ac:dyDescent="0.2">
      <c r="A3014" t="s">
        <v>5968</v>
      </c>
      <c r="B3014" t="s">
        <v>5969</v>
      </c>
      <c r="C3014" t="s">
        <v>37</v>
      </c>
      <c r="D3014" t="s">
        <v>52</v>
      </c>
      <c r="E3014" t="s">
        <v>144</v>
      </c>
      <c r="F3014" s="2" t="str">
        <f>HYPERLINK("http://www.otzar.org/book.asp?186748","אמירה נעימה - מעילה")</f>
        <v>אמירה נעימה - מעילה</v>
      </c>
    </row>
    <row r="3015" spans="1:6" x14ac:dyDescent="0.2">
      <c r="A3015" t="s">
        <v>5970</v>
      </c>
      <c r="B3015" t="s">
        <v>5971</v>
      </c>
      <c r="C3015" t="s">
        <v>87</v>
      </c>
      <c r="D3015" t="s">
        <v>412</v>
      </c>
      <c r="E3015" t="s">
        <v>158</v>
      </c>
      <c r="F3015" s="2" t="str">
        <f>HYPERLINK("http://www.otzar.org/book.asp?108786","אמירה נעימה")</f>
        <v>אמירה נעימה</v>
      </c>
    </row>
    <row r="3016" spans="1:6" x14ac:dyDescent="0.2">
      <c r="A3016" t="s">
        <v>5970</v>
      </c>
      <c r="B3016" t="s">
        <v>5967</v>
      </c>
      <c r="C3016" t="s">
        <v>79</v>
      </c>
      <c r="D3016" t="s">
        <v>27</v>
      </c>
      <c r="E3016" t="s">
        <v>144</v>
      </c>
      <c r="F3016" s="2" t="str">
        <f>HYPERLINK("http://www.otzar.org/book.asp?103994","אמירה נעימה")</f>
        <v>אמירה נעימה</v>
      </c>
    </row>
    <row r="3017" spans="1:6" x14ac:dyDescent="0.2">
      <c r="A3017" t="s">
        <v>5972</v>
      </c>
      <c r="B3017" t="s">
        <v>5973</v>
      </c>
      <c r="C3017" t="s">
        <v>1663</v>
      </c>
      <c r="D3017" t="s">
        <v>260</v>
      </c>
      <c r="E3017" t="s">
        <v>144</v>
      </c>
      <c r="F3017" s="2" t="str">
        <f>HYPERLINK("http://www.otzar.org/book.asp?14386","אמירת דבר בשם אומרו")</f>
        <v>אמירת דבר בשם אומרו</v>
      </c>
    </row>
    <row r="3018" spans="1:6" x14ac:dyDescent="0.2">
      <c r="A3018" t="s">
        <v>5974</v>
      </c>
      <c r="B3018" t="s">
        <v>5975</v>
      </c>
      <c r="C3018" t="s">
        <v>176</v>
      </c>
      <c r="D3018" t="s">
        <v>2458</v>
      </c>
      <c r="E3018" t="s">
        <v>241</v>
      </c>
      <c r="F3018" s="2" t="str">
        <f>HYPERLINK("http://www.otzar.org/book.asp?158874","אמירת חזק ויישר כח - תדפיס")</f>
        <v>אמירת חזק ויישר כח - תדפיס</v>
      </c>
    </row>
    <row r="3019" spans="1:6" x14ac:dyDescent="0.2">
      <c r="A3019" t="s">
        <v>5976</v>
      </c>
      <c r="B3019" t="s">
        <v>5977</v>
      </c>
      <c r="C3019" t="s">
        <v>114</v>
      </c>
      <c r="D3019" t="s">
        <v>52</v>
      </c>
      <c r="E3019" t="s">
        <v>234</v>
      </c>
      <c r="F3019" s="2" t="str">
        <f>HYPERLINK("http://www.otzar.org/book.asp?172033","אמן והלל")</f>
        <v>אמן והלל</v>
      </c>
    </row>
    <row r="3020" spans="1:6" x14ac:dyDescent="0.2">
      <c r="A3020" t="s">
        <v>5978</v>
      </c>
      <c r="B3020" t="s">
        <v>5978</v>
      </c>
      <c r="C3020" t="s">
        <v>725</v>
      </c>
      <c r="D3020" t="s">
        <v>27</v>
      </c>
      <c r="E3020" t="s">
        <v>202</v>
      </c>
      <c r="F3020" s="2" t="str">
        <f>HYPERLINK("http://www.otzar.org/book.asp?300284","אמנה")</f>
        <v>אמנה</v>
      </c>
    </row>
    <row r="3021" spans="1:6" x14ac:dyDescent="0.2">
      <c r="A3021" t="s">
        <v>5979</v>
      </c>
      <c r="B3021" t="s">
        <v>5980</v>
      </c>
      <c r="C3021" t="s">
        <v>624</v>
      </c>
      <c r="D3021" t="s">
        <v>5981</v>
      </c>
      <c r="E3021" t="s">
        <v>148</v>
      </c>
      <c r="F3021" s="2" t="str">
        <f>HYPERLINK("http://www.otzar.org/book.asp?150588","אמר הטוב והמטיב")</f>
        <v>אמר הטוב והמטיב</v>
      </c>
    </row>
    <row r="3022" spans="1:6" x14ac:dyDescent="0.2">
      <c r="A3022" t="s">
        <v>5982</v>
      </c>
      <c r="B3022" t="s">
        <v>2796</v>
      </c>
      <c r="C3022" t="s">
        <v>87</v>
      </c>
      <c r="D3022" t="s">
        <v>2798</v>
      </c>
      <c r="E3022" t="s">
        <v>158</v>
      </c>
      <c r="F3022" s="2" t="str">
        <f>HYPERLINK("http://www.otzar.org/book.asp?63313","אמר ואמרת - 2 כר'")</f>
        <v>אמר ואמרת - 2 כר'</v>
      </c>
    </row>
    <row r="3023" spans="1:6" x14ac:dyDescent="0.2">
      <c r="A3023" t="s">
        <v>5983</v>
      </c>
      <c r="B3023" t="s">
        <v>5984</v>
      </c>
      <c r="C3023" t="s">
        <v>1202</v>
      </c>
      <c r="D3023" t="s">
        <v>9</v>
      </c>
      <c r="E3023" t="s">
        <v>241</v>
      </c>
      <c r="F3023" s="2" t="str">
        <f>HYPERLINK("http://www.otzar.org/book.asp?51752","אמר ודברים")</f>
        <v>אמר ודברים</v>
      </c>
    </row>
    <row r="3024" spans="1:6" x14ac:dyDescent="0.2">
      <c r="A3024" t="s">
        <v>5985</v>
      </c>
      <c r="B3024" t="s">
        <v>5986</v>
      </c>
      <c r="C3024" t="s">
        <v>908</v>
      </c>
      <c r="D3024" t="s">
        <v>225</v>
      </c>
      <c r="E3024" t="s">
        <v>154</v>
      </c>
      <c r="F3024" s="2" t="str">
        <f>HYPERLINK("http://www.otzar.org/book.asp?141117","אמר ודעת")</f>
        <v>אמר ודעת</v>
      </c>
    </row>
    <row r="3025" spans="1:6" x14ac:dyDescent="0.2">
      <c r="A3025" t="s">
        <v>5987</v>
      </c>
      <c r="B3025" t="s">
        <v>5988</v>
      </c>
      <c r="C3025" t="s">
        <v>1519</v>
      </c>
      <c r="D3025" t="s">
        <v>76</v>
      </c>
      <c r="E3025" t="s">
        <v>144</v>
      </c>
      <c r="F3025" s="2" t="str">
        <f>HYPERLINK("http://www.otzar.org/book.asp?5672","אמר ידיד")</f>
        <v>אמר ידיד</v>
      </c>
    </row>
    <row r="3026" spans="1:6" x14ac:dyDescent="0.2">
      <c r="A3026" t="s">
        <v>5989</v>
      </c>
      <c r="B3026" t="s">
        <v>5990</v>
      </c>
      <c r="C3026" t="s">
        <v>5991</v>
      </c>
      <c r="D3026" t="s">
        <v>76</v>
      </c>
      <c r="E3026" t="s">
        <v>5992</v>
      </c>
      <c r="F3026" s="2" t="str">
        <f>HYPERLINK("http://www.otzar.org/book.asp?100244","אמר יוסף")</f>
        <v>אמר יוסף</v>
      </c>
    </row>
    <row r="3027" spans="1:6" x14ac:dyDescent="0.2">
      <c r="A3027" t="s">
        <v>5993</v>
      </c>
      <c r="B3027" t="s">
        <v>5994</v>
      </c>
      <c r="C3027" t="s">
        <v>617</v>
      </c>
      <c r="D3027" t="s">
        <v>157</v>
      </c>
      <c r="E3027" t="s">
        <v>5995</v>
      </c>
      <c r="F3027" s="2" t="str">
        <f>HYPERLINK("http://www.otzar.org/book.asp?300280","אמר יצחק")</f>
        <v>אמר יצחק</v>
      </c>
    </row>
    <row r="3028" spans="1:6" x14ac:dyDescent="0.2">
      <c r="A3028" t="s">
        <v>5996</v>
      </c>
      <c r="B3028" t="s">
        <v>5997</v>
      </c>
      <c r="C3028" t="s">
        <v>547</v>
      </c>
      <c r="D3028" t="s">
        <v>27</v>
      </c>
      <c r="E3028" t="s">
        <v>15</v>
      </c>
      <c r="F3028" s="2" t="str">
        <f>HYPERLINK("http://www.otzar.org/book.asp?17198","אמר מר")</f>
        <v>אמר מר</v>
      </c>
    </row>
    <row r="3029" spans="1:6" x14ac:dyDescent="0.2">
      <c r="A3029" t="s">
        <v>5998</v>
      </c>
      <c r="B3029" t="s">
        <v>5975</v>
      </c>
      <c r="D3029" t="s">
        <v>2458</v>
      </c>
      <c r="E3029" t="s">
        <v>1211</v>
      </c>
      <c r="F3029" s="2" t="str">
        <f>HYPERLINK("http://www.otzar.org/book.asp?158945","אמר רבא הלכתא, פסקי הלכה מאוחרים - תדפיס")</f>
        <v>אמר רבא הלכתא, פסקי הלכה מאוחרים - תדפיס</v>
      </c>
    </row>
    <row r="3030" spans="1:6" x14ac:dyDescent="0.2">
      <c r="A3030" t="s">
        <v>5999</v>
      </c>
      <c r="B3030" t="s">
        <v>206</v>
      </c>
      <c r="C3030" t="s">
        <v>313</v>
      </c>
      <c r="D3030" t="s">
        <v>657</v>
      </c>
      <c r="E3030" t="s">
        <v>782</v>
      </c>
      <c r="F3030" s="2" t="str">
        <f>HYPERLINK("http://www.otzar.org/book.asp?63684","אמר רבי אלעזר")</f>
        <v>אמר רבי אלעזר</v>
      </c>
    </row>
    <row r="3031" spans="1:6" x14ac:dyDescent="0.2">
      <c r="A3031" t="s">
        <v>6000</v>
      </c>
      <c r="B3031" t="s">
        <v>6001</v>
      </c>
      <c r="E3031" t="s">
        <v>140</v>
      </c>
      <c r="F3031" s="2" t="str">
        <f>HYPERLINK("http://www.otzar.org/book.asp?613568","אמר רבי עקיבא")</f>
        <v>אמר רבי עקיבא</v>
      </c>
    </row>
    <row r="3032" spans="1:6" x14ac:dyDescent="0.2">
      <c r="A3032" t="s">
        <v>6002</v>
      </c>
      <c r="B3032" t="s">
        <v>6003</v>
      </c>
      <c r="C3032" t="s">
        <v>1844</v>
      </c>
      <c r="D3032" t="s">
        <v>76</v>
      </c>
      <c r="E3032" t="s">
        <v>154</v>
      </c>
      <c r="F3032" s="2" t="str">
        <f>HYPERLINK("http://www.otzar.org/book.asp?17199","אמר שלמה")</f>
        <v>אמר שלמה</v>
      </c>
    </row>
    <row r="3033" spans="1:6" x14ac:dyDescent="0.2">
      <c r="A3033" t="s">
        <v>6004</v>
      </c>
      <c r="B3033" t="s">
        <v>6005</v>
      </c>
      <c r="C3033" t="s">
        <v>896</v>
      </c>
      <c r="D3033" t="s">
        <v>76</v>
      </c>
      <c r="E3033" t="s">
        <v>325</v>
      </c>
      <c r="F3033" s="2" t="str">
        <f>HYPERLINK("http://www.otzar.org/book.asp?17200","אמר שמואל")</f>
        <v>אמר שמואל</v>
      </c>
    </row>
    <row r="3034" spans="1:6" x14ac:dyDescent="0.2">
      <c r="A3034" t="s">
        <v>6006</v>
      </c>
      <c r="B3034" t="s">
        <v>6007</v>
      </c>
      <c r="C3034" t="s">
        <v>1166</v>
      </c>
      <c r="D3034" t="s">
        <v>225</v>
      </c>
      <c r="E3034" t="s">
        <v>703</v>
      </c>
      <c r="F3034" s="2" t="str">
        <f>HYPERLINK("http://www.otzar.org/book.asp?15858","אמר""י ט""ל")</f>
        <v>אמר"י ט"ל</v>
      </c>
    </row>
    <row r="3035" spans="1:6" x14ac:dyDescent="0.2">
      <c r="A3035" t="s">
        <v>6008</v>
      </c>
      <c r="B3035" t="s">
        <v>6009</v>
      </c>
      <c r="C3035" t="s">
        <v>1706</v>
      </c>
      <c r="D3035" t="s">
        <v>6010</v>
      </c>
      <c r="E3035" t="s">
        <v>234</v>
      </c>
      <c r="F3035" s="2" t="str">
        <f>HYPERLINK("http://www.otzar.org/book.asp?300313","אמר""י שב""ח")</f>
        <v>אמר"י שב"ח</v>
      </c>
    </row>
    <row r="3036" spans="1:6" x14ac:dyDescent="0.2">
      <c r="A3036" t="s">
        <v>6011</v>
      </c>
      <c r="B3036" t="s">
        <v>6012</v>
      </c>
      <c r="C3036" t="s">
        <v>1737</v>
      </c>
      <c r="D3036" t="s">
        <v>729</v>
      </c>
      <c r="E3036" t="s">
        <v>104</v>
      </c>
      <c r="F3036" s="2" t="str">
        <f>HYPERLINK("http://www.otzar.org/book.asp?108321","אמרה צרופה")</f>
        <v>אמרה צרופה</v>
      </c>
    </row>
    <row r="3037" spans="1:6" x14ac:dyDescent="0.2">
      <c r="A3037" t="s">
        <v>6013</v>
      </c>
      <c r="B3037" t="s">
        <v>6014</v>
      </c>
      <c r="C3037" t="s">
        <v>146</v>
      </c>
      <c r="D3037" t="s">
        <v>216</v>
      </c>
      <c r="E3037" t="s">
        <v>5398</v>
      </c>
      <c r="F3037" s="2" t="str">
        <f>HYPERLINK("http://www.otzar.org/book.asp?61692","אמרו צדיק &lt;ספורי מופת על אדמור""י בית הוסיאטין&gt;")</f>
        <v>אמרו צדיק &lt;ספורי מופת על אדמור"י בית הוסיאטין&gt;</v>
      </c>
    </row>
    <row r="3038" spans="1:6" x14ac:dyDescent="0.2">
      <c r="A3038" t="s">
        <v>6015</v>
      </c>
      <c r="B3038" t="s">
        <v>6016</v>
      </c>
      <c r="C3038" t="s">
        <v>454</v>
      </c>
      <c r="D3038" t="s">
        <v>14</v>
      </c>
      <c r="E3038" t="s">
        <v>158</v>
      </c>
      <c r="F3038" s="2" t="str">
        <f>HYPERLINK("http://www.otzar.org/book.asp?26793","אמרות אברהם - בראשית, שמות")</f>
        <v>אמרות אברהם - בראשית, שמות</v>
      </c>
    </row>
    <row r="3039" spans="1:6" x14ac:dyDescent="0.2">
      <c r="A3039" t="s">
        <v>6017</v>
      </c>
      <c r="B3039" t="s">
        <v>6018</v>
      </c>
      <c r="C3039" t="s">
        <v>151</v>
      </c>
      <c r="D3039" t="s">
        <v>14</v>
      </c>
      <c r="E3039" t="s">
        <v>144</v>
      </c>
      <c r="F3039" s="2" t="str">
        <f>HYPERLINK("http://www.otzar.org/book.asp?622244","אמרות אברהם - 35 כר'")</f>
        <v>אמרות אברהם - 35 כר'</v>
      </c>
    </row>
    <row r="3040" spans="1:6" x14ac:dyDescent="0.2">
      <c r="A3040" t="s">
        <v>6019</v>
      </c>
      <c r="B3040" t="s">
        <v>6020</v>
      </c>
      <c r="C3040" t="s">
        <v>114</v>
      </c>
      <c r="D3040" t="s">
        <v>14</v>
      </c>
      <c r="E3040" t="s">
        <v>230</v>
      </c>
      <c r="F3040" s="2" t="str">
        <f>HYPERLINK("http://www.otzar.org/book.asp?172447","אמרות אליהו - א")</f>
        <v>אמרות אליהו - א</v>
      </c>
    </row>
    <row r="3041" spans="1:6" x14ac:dyDescent="0.2">
      <c r="A3041" t="s">
        <v>6021</v>
      </c>
      <c r="B3041" t="s">
        <v>6022</v>
      </c>
      <c r="C3041" t="s">
        <v>189</v>
      </c>
      <c r="D3041" t="s">
        <v>14</v>
      </c>
      <c r="E3041" t="s">
        <v>158</v>
      </c>
      <c r="F3041" s="2" t="str">
        <f>HYPERLINK("http://www.otzar.org/book.asp?61567","אמרות ה' השלם - 5 כר'")</f>
        <v>אמרות ה' השלם - 5 כר'</v>
      </c>
    </row>
    <row r="3042" spans="1:6" x14ac:dyDescent="0.2">
      <c r="A3042" t="s">
        <v>6023</v>
      </c>
      <c r="B3042" t="s">
        <v>6022</v>
      </c>
      <c r="C3042" t="s">
        <v>1177</v>
      </c>
      <c r="D3042" t="s">
        <v>6024</v>
      </c>
      <c r="E3042" t="s">
        <v>158</v>
      </c>
      <c r="F3042" s="2" t="str">
        <f>HYPERLINK("http://www.otzar.org/book.asp?300263","אמרות ה' - 2 כר'")</f>
        <v>אמרות ה' - 2 כר'</v>
      </c>
    </row>
    <row r="3043" spans="1:6" x14ac:dyDescent="0.2">
      <c r="A3043" t="s">
        <v>6025</v>
      </c>
      <c r="B3043" t="s">
        <v>6026</v>
      </c>
      <c r="C3043" t="s">
        <v>725</v>
      </c>
      <c r="D3043" t="s">
        <v>6027</v>
      </c>
      <c r="E3043" t="s">
        <v>84</v>
      </c>
      <c r="F3043" s="2" t="str">
        <f>HYPERLINK("http://www.otzar.org/book.asp?197599","אמרות המשנה")</f>
        <v>אמרות המשנה</v>
      </c>
    </row>
    <row r="3044" spans="1:6" x14ac:dyDescent="0.2">
      <c r="A3044" t="s">
        <v>6028</v>
      </c>
      <c r="B3044" t="s">
        <v>6029</v>
      </c>
      <c r="C3044" t="s">
        <v>20</v>
      </c>
      <c r="D3044" t="s">
        <v>90</v>
      </c>
      <c r="E3044" t="s">
        <v>213</v>
      </c>
      <c r="F3044" s="2" t="str">
        <f>HYPERLINK("http://www.otzar.org/book.asp?195822","אמרות והנהגות")</f>
        <v>אמרות והנהגות</v>
      </c>
    </row>
    <row r="3045" spans="1:6" x14ac:dyDescent="0.2">
      <c r="A3045" t="s">
        <v>6030</v>
      </c>
      <c r="B3045" t="s">
        <v>6031</v>
      </c>
      <c r="C3045" t="s">
        <v>3106</v>
      </c>
      <c r="D3045" t="s">
        <v>260</v>
      </c>
      <c r="E3045" t="s">
        <v>104</v>
      </c>
      <c r="F3045" s="2" t="str">
        <f>HYPERLINK("http://www.otzar.org/book.asp?179113","אמרות חז""ל")</f>
        <v>אמרות חז"ל</v>
      </c>
    </row>
    <row r="3046" spans="1:6" x14ac:dyDescent="0.2">
      <c r="A3046" t="s">
        <v>6032</v>
      </c>
      <c r="B3046" t="s">
        <v>6033</v>
      </c>
      <c r="C3046" t="s">
        <v>20</v>
      </c>
      <c r="D3046" t="s">
        <v>20</v>
      </c>
      <c r="E3046" t="s">
        <v>104</v>
      </c>
      <c r="F3046" s="2" t="str">
        <f>HYPERLINK("http://www.otzar.org/book.asp?196569","אמרות חיים")</f>
        <v>אמרות חיים</v>
      </c>
    </row>
    <row r="3047" spans="1:6" x14ac:dyDescent="0.2">
      <c r="A3047" t="s">
        <v>6032</v>
      </c>
      <c r="B3047" t="s">
        <v>6034</v>
      </c>
      <c r="C3047" t="s">
        <v>523</v>
      </c>
      <c r="D3047" t="s">
        <v>52</v>
      </c>
      <c r="E3047" t="s">
        <v>5712</v>
      </c>
      <c r="F3047" s="2" t="str">
        <f>HYPERLINK("http://www.otzar.org/book.asp?158358","אמרות חיים")</f>
        <v>אמרות חיים</v>
      </c>
    </row>
    <row r="3048" spans="1:6" x14ac:dyDescent="0.2">
      <c r="A3048" t="s">
        <v>6035</v>
      </c>
      <c r="B3048" t="s">
        <v>6036</v>
      </c>
      <c r="C3048" t="s">
        <v>17</v>
      </c>
      <c r="D3048" t="s">
        <v>14</v>
      </c>
      <c r="E3048" t="s">
        <v>579</v>
      </c>
      <c r="F3048" s="2" t="str">
        <f>HYPERLINK("http://www.otzar.org/book.asp?23228","אמרות חכמה - 6 כר'")</f>
        <v>אמרות חכמה - 6 כר'</v>
      </c>
    </row>
    <row r="3049" spans="1:6" x14ac:dyDescent="0.2">
      <c r="A3049" t="s">
        <v>6037</v>
      </c>
      <c r="B3049" t="s">
        <v>6038</v>
      </c>
      <c r="C3049" t="s">
        <v>87</v>
      </c>
      <c r="D3049" t="s">
        <v>412</v>
      </c>
      <c r="E3049" t="s">
        <v>144</v>
      </c>
      <c r="F3049" s="2" t="str">
        <f>HYPERLINK("http://www.otzar.org/book.asp?85436","אמרות חן")</f>
        <v>אמרות חן</v>
      </c>
    </row>
    <row r="3050" spans="1:6" x14ac:dyDescent="0.2">
      <c r="A3050" t="s">
        <v>6039</v>
      </c>
      <c r="B3050" t="s">
        <v>6040</v>
      </c>
      <c r="C3050" t="s">
        <v>6041</v>
      </c>
      <c r="D3050" t="s">
        <v>6042</v>
      </c>
      <c r="E3050" t="s">
        <v>241</v>
      </c>
      <c r="F3050" s="2" t="str">
        <f>HYPERLINK("http://www.otzar.org/book.asp?62373","אמרות טהורות &lt;עשרה מאמרות&gt;")</f>
        <v>אמרות טהורות &lt;עשרה מאמרות&gt;</v>
      </c>
    </row>
    <row r="3051" spans="1:6" x14ac:dyDescent="0.2">
      <c r="A3051" t="s">
        <v>6043</v>
      </c>
      <c r="B3051" t="s">
        <v>6044</v>
      </c>
      <c r="C3051" t="s">
        <v>146</v>
      </c>
      <c r="D3051" t="s">
        <v>14</v>
      </c>
      <c r="E3051" t="s">
        <v>5935</v>
      </c>
      <c r="F3051" s="2" t="str">
        <f>HYPERLINK("http://www.otzar.org/book.asp?154999","אמרות טהורות חיצוניות ופנימיות")</f>
        <v>אמרות טהורות חיצוניות ופנימיות</v>
      </c>
    </row>
    <row r="3052" spans="1:6" x14ac:dyDescent="0.2">
      <c r="A3052" t="s">
        <v>6045</v>
      </c>
      <c r="B3052" t="s">
        <v>6046</v>
      </c>
      <c r="C3052" t="s">
        <v>111</v>
      </c>
      <c r="D3052" t="s">
        <v>14</v>
      </c>
      <c r="F3052" s="2" t="str">
        <f>HYPERLINK("http://www.otzar.org/book.asp?623005","אמרות טהורות")</f>
        <v>אמרות טהורות</v>
      </c>
    </row>
    <row r="3053" spans="1:6" x14ac:dyDescent="0.2">
      <c r="A3053" t="s">
        <v>6045</v>
      </c>
      <c r="B3053" t="s">
        <v>6047</v>
      </c>
      <c r="C3053" t="s">
        <v>20</v>
      </c>
      <c r="D3053" t="s">
        <v>1840</v>
      </c>
      <c r="F3053" s="2" t="str">
        <f>HYPERLINK("http://www.otzar.org/book.asp?614717","אמרות טהורות")</f>
        <v>אמרות טהורות</v>
      </c>
    </row>
    <row r="3054" spans="1:6" x14ac:dyDescent="0.2">
      <c r="A3054" t="s">
        <v>6045</v>
      </c>
      <c r="B3054" t="s">
        <v>6048</v>
      </c>
      <c r="C3054" t="s">
        <v>5903</v>
      </c>
      <c r="D3054" t="s">
        <v>267</v>
      </c>
      <c r="E3054" t="s">
        <v>234</v>
      </c>
      <c r="F3054" s="2" t="str">
        <f>HYPERLINK("http://www.otzar.org/book.asp?12921","אמרות טהורות")</f>
        <v>אמרות טהורות</v>
      </c>
    </row>
    <row r="3055" spans="1:6" x14ac:dyDescent="0.2">
      <c r="A3055" t="s">
        <v>6045</v>
      </c>
      <c r="B3055" t="s">
        <v>6049</v>
      </c>
      <c r="C3055" t="s">
        <v>6050</v>
      </c>
      <c r="D3055" t="s">
        <v>726</v>
      </c>
      <c r="F3055" s="2" t="str">
        <f>HYPERLINK("http://www.otzar.org/book.asp?83764","אמרות טהורות")</f>
        <v>אמרות טהורות</v>
      </c>
    </row>
    <row r="3056" spans="1:6" x14ac:dyDescent="0.2">
      <c r="A3056" t="s">
        <v>6045</v>
      </c>
      <c r="B3056" t="s">
        <v>6051</v>
      </c>
      <c r="C3056" t="s">
        <v>6052</v>
      </c>
      <c r="D3056" t="s">
        <v>283</v>
      </c>
      <c r="E3056" t="s">
        <v>158</v>
      </c>
      <c r="F3056" s="2" t="str">
        <f>HYPERLINK("http://www.otzar.org/book.asp?104390","אמרות טהורות")</f>
        <v>אמרות טהורות</v>
      </c>
    </row>
    <row r="3057" spans="1:6" x14ac:dyDescent="0.2">
      <c r="A3057" t="s">
        <v>6045</v>
      </c>
      <c r="B3057" t="s">
        <v>6053</v>
      </c>
      <c r="C3057" t="s">
        <v>6054</v>
      </c>
      <c r="D3057" t="s">
        <v>1966</v>
      </c>
      <c r="E3057" t="s">
        <v>15</v>
      </c>
      <c r="F3057" s="2" t="str">
        <f>HYPERLINK("http://www.otzar.org/book.asp?167594","אמרות טהורות")</f>
        <v>אמרות טהורות</v>
      </c>
    </row>
    <row r="3058" spans="1:6" x14ac:dyDescent="0.2">
      <c r="A3058" t="s">
        <v>6055</v>
      </c>
      <c r="B3058" t="s">
        <v>6056</v>
      </c>
      <c r="C3058" t="s">
        <v>313</v>
      </c>
      <c r="D3058" t="s">
        <v>14</v>
      </c>
      <c r="E3058" t="s">
        <v>803</v>
      </c>
      <c r="F3058" s="2" t="str">
        <f>HYPERLINK("http://www.otzar.org/book.asp?61519","אמרות טהורות - פסחים")</f>
        <v>אמרות טהורות - פסחים</v>
      </c>
    </row>
    <row r="3059" spans="1:6" x14ac:dyDescent="0.2">
      <c r="A3059" t="s">
        <v>6045</v>
      </c>
      <c r="B3059" t="s">
        <v>6057</v>
      </c>
      <c r="C3059" t="s">
        <v>888</v>
      </c>
      <c r="D3059" t="s">
        <v>27</v>
      </c>
      <c r="E3059" t="s">
        <v>241</v>
      </c>
      <c r="F3059" s="2" t="str">
        <f>HYPERLINK("http://www.otzar.org/book.asp?17202","אמרות טהורות")</f>
        <v>אמרות טהורות</v>
      </c>
    </row>
    <row r="3060" spans="1:6" x14ac:dyDescent="0.2">
      <c r="A3060" t="s">
        <v>6045</v>
      </c>
      <c r="B3060" t="s">
        <v>6058</v>
      </c>
      <c r="C3060" t="s">
        <v>8</v>
      </c>
      <c r="D3060" t="s">
        <v>1889</v>
      </c>
      <c r="E3060" t="s">
        <v>579</v>
      </c>
      <c r="F3060" s="2" t="str">
        <f>HYPERLINK("http://www.otzar.org/book.asp?300516","אמרות טהורות")</f>
        <v>אמרות טהורות</v>
      </c>
    </row>
    <row r="3061" spans="1:6" x14ac:dyDescent="0.2">
      <c r="A3061" t="s">
        <v>6059</v>
      </c>
      <c r="B3061" t="s">
        <v>6060</v>
      </c>
      <c r="C3061" t="s">
        <v>427</v>
      </c>
      <c r="D3061" t="s">
        <v>14</v>
      </c>
      <c r="E3061" t="s">
        <v>104</v>
      </c>
      <c r="F3061" s="2" t="str">
        <f>HYPERLINK("http://www.otzar.org/book.asp?624587","אמרות טהורות - ב")</f>
        <v>אמרות טהורות - ב</v>
      </c>
    </row>
    <row r="3062" spans="1:6" x14ac:dyDescent="0.2">
      <c r="A3062" t="s">
        <v>6045</v>
      </c>
      <c r="B3062" t="s">
        <v>6061</v>
      </c>
      <c r="C3062" t="s">
        <v>6062</v>
      </c>
      <c r="D3062" t="s">
        <v>212</v>
      </c>
      <c r="E3062" t="s">
        <v>172</v>
      </c>
      <c r="F3062" s="2" t="str">
        <f>HYPERLINK("http://www.otzar.org/book.asp?100245","אמרות טהורות")</f>
        <v>אמרות טהורות</v>
      </c>
    </row>
    <row r="3063" spans="1:6" x14ac:dyDescent="0.2">
      <c r="A3063" t="s">
        <v>6045</v>
      </c>
      <c r="B3063" t="s">
        <v>6063</v>
      </c>
      <c r="C3063" t="s">
        <v>1437</v>
      </c>
      <c r="D3063" t="s">
        <v>726</v>
      </c>
      <c r="E3063" t="s">
        <v>6064</v>
      </c>
      <c r="F3063" s="2" t="str">
        <f>HYPERLINK("http://www.otzar.org/book.asp?5080","אמרות טהורות")</f>
        <v>אמרות טהורות</v>
      </c>
    </row>
    <row r="3064" spans="1:6" x14ac:dyDescent="0.2">
      <c r="A3064" t="s">
        <v>6045</v>
      </c>
      <c r="B3064" t="s">
        <v>6065</v>
      </c>
      <c r="C3064" t="s">
        <v>313</v>
      </c>
      <c r="D3064" t="s">
        <v>14</v>
      </c>
      <c r="E3064" t="s">
        <v>246</v>
      </c>
      <c r="F3064" s="2" t="str">
        <f>HYPERLINK("http://www.otzar.org/book.asp?150583","אמרות טהורות")</f>
        <v>אמרות טהורות</v>
      </c>
    </row>
    <row r="3065" spans="1:6" x14ac:dyDescent="0.2">
      <c r="A3065" t="s">
        <v>6066</v>
      </c>
      <c r="B3065" t="s">
        <v>6067</v>
      </c>
      <c r="C3065" t="s">
        <v>20</v>
      </c>
      <c r="D3065" t="s">
        <v>90</v>
      </c>
      <c r="F3065" s="2" t="str">
        <f>HYPERLINK("http://www.otzar.org/book.asp?603155","אמרות טהורות - 3 כר'")</f>
        <v>אמרות טהורות - 3 כר'</v>
      </c>
    </row>
    <row r="3066" spans="1:6" x14ac:dyDescent="0.2">
      <c r="A3066" t="s">
        <v>6068</v>
      </c>
      <c r="B3066" t="s">
        <v>6069</v>
      </c>
      <c r="C3066">
        <v>1903</v>
      </c>
      <c r="D3066" t="s">
        <v>412</v>
      </c>
      <c r="E3066" t="s">
        <v>234</v>
      </c>
      <c r="F3066" s="2" t="str">
        <f>HYPERLINK("http://www.otzar.org/book.asp?626409","אמרות טהורות - אוצרות התורה")</f>
        <v>אמרות טהורות - אוצרות התורה</v>
      </c>
    </row>
    <row r="3067" spans="1:6" x14ac:dyDescent="0.2">
      <c r="A3067" t="s">
        <v>6070</v>
      </c>
      <c r="B3067" t="s">
        <v>4019</v>
      </c>
      <c r="C3067" t="s">
        <v>189</v>
      </c>
      <c r="D3067" t="s">
        <v>14</v>
      </c>
      <c r="E3067" t="s">
        <v>84</v>
      </c>
      <c r="F3067" s="2" t="str">
        <f>HYPERLINK("http://www.otzar.org/book.asp?168394","אמרות טהורות - כלים")</f>
        <v>אמרות טהורות - כלים</v>
      </c>
    </row>
    <row r="3068" spans="1:6" x14ac:dyDescent="0.2">
      <c r="A3068" t="s">
        <v>6071</v>
      </c>
      <c r="B3068" t="s">
        <v>6072</v>
      </c>
      <c r="C3068" t="s">
        <v>189</v>
      </c>
      <c r="D3068" t="s">
        <v>486</v>
      </c>
      <c r="E3068" t="s">
        <v>158</v>
      </c>
      <c r="F3068" s="2" t="str">
        <f>HYPERLINK("http://www.otzar.org/book.asp?147638","אמרות טהורות - 5 כר'")</f>
        <v>אמרות טהורות - 5 כר'</v>
      </c>
    </row>
    <row r="3069" spans="1:6" x14ac:dyDescent="0.2">
      <c r="A3069" t="s">
        <v>6045</v>
      </c>
      <c r="B3069" t="s">
        <v>6073</v>
      </c>
      <c r="C3069" t="s">
        <v>4374</v>
      </c>
      <c r="D3069" t="s">
        <v>267</v>
      </c>
      <c r="E3069" t="s">
        <v>234</v>
      </c>
      <c r="F3069" s="2" t="str">
        <f>HYPERLINK("http://www.otzar.org/book.asp?200661","אמרות טהורות")</f>
        <v>אמרות טהורות</v>
      </c>
    </row>
    <row r="3070" spans="1:6" x14ac:dyDescent="0.2">
      <c r="A3070" t="s">
        <v>6045</v>
      </c>
      <c r="B3070" t="s">
        <v>6040</v>
      </c>
      <c r="C3070" t="s">
        <v>800</v>
      </c>
      <c r="D3070" t="s">
        <v>1538</v>
      </c>
      <c r="E3070" t="s">
        <v>399</v>
      </c>
      <c r="F3070" s="2" t="str">
        <f>HYPERLINK("http://www.otzar.org/book.asp?17201","אמרות טהורות")</f>
        <v>אמרות טהורות</v>
      </c>
    </row>
    <row r="3071" spans="1:6" x14ac:dyDescent="0.2">
      <c r="A3071" t="s">
        <v>6045</v>
      </c>
      <c r="B3071" t="s">
        <v>6074</v>
      </c>
      <c r="C3071" t="s">
        <v>445</v>
      </c>
      <c r="D3071" t="s">
        <v>283</v>
      </c>
      <c r="E3071" t="s">
        <v>140</v>
      </c>
      <c r="F3071" s="2" t="str">
        <f>HYPERLINK("http://www.otzar.org/book.asp?200665","אמרות טהורות")</f>
        <v>אמרות טהורות</v>
      </c>
    </row>
    <row r="3072" spans="1:6" x14ac:dyDescent="0.2">
      <c r="A3072" t="s">
        <v>6045</v>
      </c>
      <c r="B3072" t="s">
        <v>6075</v>
      </c>
      <c r="C3072" t="s">
        <v>71</v>
      </c>
      <c r="D3072" t="s">
        <v>14</v>
      </c>
      <c r="E3072" t="s">
        <v>234</v>
      </c>
      <c r="F3072" s="2" t="str">
        <f>HYPERLINK("http://www.otzar.org/book.asp?189999","אמרות טהורות")</f>
        <v>אמרות טהורות</v>
      </c>
    </row>
    <row r="3073" spans="1:6" x14ac:dyDescent="0.2">
      <c r="A3073" t="s">
        <v>6045</v>
      </c>
      <c r="B3073" t="s">
        <v>6076</v>
      </c>
      <c r="C3073" t="s">
        <v>1448</v>
      </c>
      <c r="D3073" t="s">
        <v>14</v>
      </c>
      <c r="E3073" t="s">
        <v>158</v>
      </c>
      <c r="F3073" s="2" t="str">
        <f>HYPERLINK("http://www.otzar.org/book.asp?153404","אמרות טהורות")</f>
        <v>אמרות טהורות</v>
      </c>
    </row>
    <row r="3074" spans="1:6" x14ac:dyDescent="0.2">
      <c r="A3074" t="s">
        <v>6045</v>
      </c>
      <c r="B3074" t="s">
        <v>6077</v>
      </c>
      <c r="C3074" t="s">
        <v>87</v>
      </c>
      <c r="D3074" t="s">
        <v>14</v>
      </c>
      <c r="E3074" t="s">
        <v>6078</v>
      </c>
      <c r="F3074" s="2" t="str">
        <f>HYPERLINK("http://www.otzar.org/book.asp?169021","אמרות טהורות")</f>
        <v>אמרות טהורות</v>
      </c>
    </row>
    <row r="3075" spans="1:6" x14ac:dyDescent="0.2">
      <c r="A3075" t="s">
        <v>6079</v>
      </c>
      <c r="B3075" t="s">
        <v>6080</v>
      </c>
      <c r="C3075" t="s">
        <v>20</v>
      </c>
      <c r="D3075" t="s">
        <v>14</v>
      </c>
      <c r="E3075" t="s">
        <v>158</v>
      </c>
      <c r="F3075" s="2" t="str">
        <f>HYPERLINK("http://www.otzar.org/book.asp?168459","אמרות טהורות - 4 כר'")</f>
        <v>אמרות טהורות - 4 כר'</v>
      </c>
    </row>
    <row r="3076" spans="1:6" x14ac:dyDescent="0.2">
      <c r="A3076" t="s">
        <v>6045</v>
      </c>
      <c r="B3076" t="s">
        <v>6081</v>
      </c>
      <c r="C3076" t="s">
        <v>649</v>
      </c>
      <c r="D3076" t="s">
        <v>27</v>
      </c>
      <c r="E3076" t="s">
        <v>241</v>
      </c>
      <c r="F3076" s="2" t="str">
        <f>HYPERLINK("http://www.otzar.org/book.asp?103118","אמרות טהורות")</f>
        <v>אמרות טהורות</v>
      </c>
    </row>
    <row r="3077" spans="1:6" x14ac:dyDescent="0.2">
      <c r="A3077" t="s">
        <v>6082</v>
      </c>
      <c r="B3077" t="s">
        <v>6083</v>
      </c>
      <c r="C3077" t="s">
        <v>1418</v>
      </c>
      <c r="D3077" t="s">
        <v>744</v>
      </c>
      <c r="E3077" t="s">
        <v>38</v>
      </c>
      <c r="F3077" s="2" t="str">
        <f>HYPERLINK("http://www.otzar.org/book.asp?101228","אמרות טהרות")</f>
        <v>אמרות טהרות</v>
      </c>
    </row>
    <row r="3078" spans="1:6" x14ac:dyDescent="0.2">
      <c r="A3078" t="s">
        <v>6084</v>
      </c>
      <c r="B3078" t="s">
        <v>6085</v>
      </c>
      <c r="C3078" t="s">
        <v>433</v>
      </c>
      <c r="D3078" t="s">
        <v>27</v>
      </c>
      <c r="E3078" t="s">
        <v>2915</v>
      </c>
      <c r="F3078" s="2" t="str">
        <f>HYPERLINK("http://www.otzar.org/book.asp?14469","אמרות יצחק - 2 כר'")</f>
        <v>אמרות יצחק - 2 כר'</v>
      </c>
    </row>
    <row r="3079" spans="1:6" x14ac:dyDescent="0.2">
      <c r="A3079" t="s">
        <v>6086</v>
      </c>
      <c r="B3079" t="s">
        <v>2031</v>
      </c>
      <c r="C3079" t="s">
        <v>411</v>
      </c>
      <c r="D3079" t="s">
        <v>14</v>
      </c>
      <c r="E3079" t="s">
        <v>15</v>
      </c>
      <c r="F3079" s="2" t="str">
        <f>HYPERLINK("http://www.otzar.org/book.asp?169375","אמרות מלך")</f>
        <v>אמרות מלך</v>
      </c>
    </row>
    <row r="3080" spans="1:6" x14ac:dyDescent="0.2">
      <c r="A3080" t="s">
        <v>6087</v>
      </c>
      <c r="B3080" t="s">
        <v>6088</v>
      </c>
      <c r="C3080" t="s">
        <v>151</v>
      </c>
      <c r="D3080" t="s">
        <v>1643</v>
      </c>
      <c r="E3080" t="s">
        <v>158</v>
      </c>
      <c r="F3080" s="2" t="str">
        <f>HYPERLINK("http://www.otzar.org/book.asp?629789","אמרות משה - תורה")</f>
        <v>אמרות משה - תורה</v>
      </c>
    </row>
    <row r="3081" spans="1:6" x14ac:dyDescent="0.2">
      <c r="A3081" t="s">
        <v>6089</v>
      </c>
      <c r="B3081" t="s">
        <v>6074</v>
      </c>
      <c r="C3081" t="s">
        <v>422</v>
      </c>
      <c r="D3081" t="s">
        <v>52</v>
      </c>
      <c r="E3081" t="s">
        <v>6090</v>
      </c>
      <c r="F3081" s="2" t="str">
        <f>HYPERLINK("http://www.otzar.org/book.asp?156118","אמרות משה - 3 כר'")</f>
        <v>אמרות משה - 3 כר'</v>
      </c>
    </row>
    <row r="3082" spans="1:6" x14ac:dyDescent="0.2">
      <c r="A3082" t="s">
        <v>6091</v>
      </c>
      <c r="B3082" t="s">
        <v>6092</v>
      </c>
      <c r="C3082" t="s">
        <v>151</v>
      </c>
      <c r="D3082" t="s">
        <v>80</v>
      </c>
      <c r="E3082" t="s">
        <v>144</v>
      </c>
      <c r="F3082" s="2" t="str">
        <f>HYPERLINK("http://www.otzar.org/book.asp?626214","אמרות משה - גיטין")</f>
        <v>אמרות משה - גיטין</v>
      </c>
    </row>
    <row r="3083" spans="1:6" x14ac:dyDescent="0.2">
      <c r="A3083" t="s">
        <v>6093</v>
      </c>
      <c r="B3083" t="s">
        <v>3520</v>
      </c>
      <c r="C3083" t="s">
        <v>176</v>
      </c>
      <c r="D3083" t="s">
        <v>14</v>
      </c>
      <c r="E3083" t="s">
        <v>741</v>
      </c>
      <c r="F3083" s="2" t="str">
        <f>HYPERLINK("http://www.otzar.org/book.asp?144997","אמרות צדיקים - 2 כר'")</f>
        <v>אמרות צדיקים - 2 כר'</v>
      </c>
    </row>
    <row r="3084" spans="1:6" x14ac:dyDescent="0.2">
      <c r="A3084" t="s">
        <v>6094</v>
      </c>
      <c r="B3084" t="s">
        <v>6095</v>
      </c>
      <c r="C3084" t="s">
        <v>503</v>
      </c>
      <c r="D3084" t="s">
        <v>267</v>
      </c>
      <c r="F3084" s="2" t="str">
        <f>HYPERLINK("http://www.otzar.org/book.asp?149224","אמרות שלמה - 2 כר'")</f>
        <v>אמרות שלמה - 2 כר'</v>
      </c>
    </row>
    <row r="3085" spans="1:6" x14ac:dyDescent="0.2">
      <c r="A3085" t="s">
        <v>6094</v>
      </c>
      <c r="B3085" t="s">
        <v>6096</v>
      </c>
      <c r="C3085" t="s">
        <v>411</v>
      </c>
      <c r="D3085" t="s">
        <v>52</v>
      </c>
      <c r="F3085" s="2" t="str">
        <f>HYPERLINK("http://www.otzar.org/book.asp?169655","אמרות שלמה - 2 כר'")</f>
        <v>אמרות שלמה - 2 כר'</v>
      </c>
    </row>
    <row r="3086" spans="1:6" x14ac:dyDescent="0.2">
      <c r="A3086" t="s">
        <v>6097</v>
      </c>
      <c r="B3086" t="s">
        <v>6098</v>
      </c>
      <c r="C3086" t="s">
        <v>176</v>
      </c>
      <c r="D3086" t="s">
        <v>14</v>
      </c>
      <c r="E3086" t="s">
        <v>463</v>
      </c>
      <c r="F3086" s="2" t="str">
        <f>HYPERLINK("http://www.otzar.org/book.asp?171125","אמרות שם")</f>
        <v>אמרות שם</v>
      </c>
    </row>
    <row r="3087" spans="1:6" x14ac:dyDescent="0.2">
      <c r="A3087" t="s">
        <v>6099</v>
      </c>
      <c r="B3087" t="s">
        <v>6100</v>
      </c>
      <c r="C3087" t="s">
        <v>51</v>
      </c>
      <c r="D3087" t="s">
        <v>14</v>
      </c>
      <c r="E3087" t="s">
        <v>6101</v>
      </c>
      <c r="F3087" s="2" t="str">
        <f>HYPERLINK("http://www.otzar.org/book.asp?168182","אמרות שמואל")</f>
        <v>אמרות שמואל</v>
      </c>
    </row>
    <row r="3088" spans="1:6" x14ac:dyDescent="0.2">
      <c r="A3088" t="s">
        <v>6102</v>
      </c>
      <c r="B3088" t="s">
        <v>1750</v>
      </c>
      <c r="C3088" t="s">
        <v>989</v>
      </c>
      <c r="D3088" t="s">
        <v>14</v>
      </c>
      <c r="E3088" t="s">
        <v>202</v>
      </c>
      <c r="F3088" s="2" t="str">
        <f>HYPERLINK("http://www.otzar.org/book.asp?152603","אמרות - א")</f>
        <v>אמרות - א</v>
      </c>
    </row>
    <row r="3089" spans="1:6" x14ac:dyDescent="0.2">
      <c r="A3089" t="s">
        <v>6103</v>
      </c>
      <c r="B3089" t="s">
        <v>6104</v>
      </c>
      <c r="C3089" t="s">
        <v>454</v>
      </c>
      <c r="D3089" t="s">
        <v>52</v>
      </c>
      <c r="E3089" t="s">
        <v>1626</v>
      </c>
      <c r="F3089" s="2" t="str">
        <f>HYPERLINK("http://www.otzar.org/book.asp?22042","אמרי אבא")</f>
        <v>אמרי אבא</v>
      </c>
    </row>
    <row r="3090" spans="1:6" x14ac:dyDescent="0.2">
      <c r="A3090" t="s">
        <v>6103</v>
      </c>
      <c r="B3090" t="s">
        <v>6105</v>
      </c>
      <c r="C3090" t="s">
        <v>99</v>
      </c>
      <c r="D3090" t="s">
        <v>1239</v>
      </c>
      <c r="E3090" t="s">
        <v>6106</v>
      </c>
      <c r="F3090" s="2" t="str">
        <f>HYPERLINK("http://www.otzar.org/book.asp?300250","אמרי אבא")</f>
        <v>אמרי אבא</v>
      </c>
    </row>
    <row r="3091" spans="1:6" x14ac:dyDescent="0.2">
      <c r="A3091" t="s">
        <v>6107</v>
      </c>
      <c r="B3091" t="s">
        <v>6108</v>
      </c>
      <c r="C3091" t="s">
        <v>244</v>
      </c>
      <c r="D3091" t="s">
        <v>1156</v>
      </c>
      <c r="F3091" s="2" t="str">
        <f>HYPERLINK("http://www.otzar.org/book.asp?610990","אמרי אבות")</f>
        <v>אמרי אבות</v>
      </c>
    </row>
    <row r="3092" spans="1:6" x14ac:dyDescent="0.2">
      <c r="A3092" t="s">
        <v>6107</v>
      </c>
      <c r="B3092" t="s">
        <v>6109</v>
      </c>
      <c r="C3092" t="s">
        <v>985</v>
      </c>
      <c r="D3092" t="s">
        <v>2362</v>
      </c>
      <c r="E3092" t="s">
        <v>241</v>
      </c>
      <c r="F3092" s="2" t="str">
        <f>HYPERLINK("http://www.otzar.org/book.asp?181731","אמרי אבות")</f>
        <v>אמרי אבות</v>
      </c>
    </row>
    <row r="3093" spans="1:6" x14ac:dyDescent="0.2">
      <c r="A3093" t="s">
        <v>6110</v>
      </c>
      <c r="B3093" t="s">
        <v>6111</v>
      </c>
      <c r="C3093" t="s">
        <v>1268</v>
      </c>
      <c r="D3093" t="s">
        <v>412</v>
      </c>
      <c r="E3093" t="s">
        <v>4586</v>
      </c>
      <c r="F3093" s="2" t="str">
        <f>HYPERLINK("http://www.otzar.org/book.asp?169304","אמרי אביגדור - 2 כר'")</f>
        <v>אמרי אביגדור - 2 כר'</v>
      </c>
    </row>
    <row r="3094" spans="1:6" x14ac:dyDescent="0.2">
      <c r="A3094" t="s">
        <v>6112</v>
      </c>
      <c r="B3094" t="s">
        <v>6113</v>
      </c>
      <c r="C3094" t="s">
        <v>180</v>
      </c>
      <c r="D3094" t="s">
        <v>14</v>
      </c>
      <c r="E3094" t="s">
        <v>15</v>
      </c>
      <c r="F3094" s="2" t="str">
        <f>HYPERLINK("http://www.otzar.org/book.asp?8205","אמרי אברהם - נדה")</f>
        <v>אמרי אברהם - נדה</v>
      </c>
    </row>
    <row r="3095" spans="1:6" x14ac:dyDescent="0.2">
      <c r="A3095" t="s">
        <v>6114</v>
      </c>
      <c r="B3095" t="s">
        <v>6115</v>
      </c>
      <c r="C3095" t="s">
        <v>1663</v>
      </c>
      <c r="D3095" t="s">
        <v>9</v>
      </c>
      <c r="E3095" t="s">
        <v>158</v>
      </c>
      <c r="F3095" s="2" t="str">
        <f>HYPERLINK("http://www.otzar.org/book.asp?51386","אמרי אברהם - א")</f>
        <v>אמרי אברהם - א</v>
      </c>
    </row>
    <row r="3096" spans="1:6" x14ac:dyDescent="0.2">
      <c r="A3096" t="s">
        <v>6116</v>
      </c>
      <c r="B3096" t="s">
        <v>6117</v>
      </c>
      <c r="C3096" t="s">
        <v>106</v>
      </c>
      <c r="D3096" t="s">
        <v>52</v>
      </c>
      <c r="E3096" t="s">
        <v>158</v>
      </c>
      <c r="F3096" s="2" t="str">
        <f>HYPERLINK("http://www.otzar.org/book.asp?84928","אמרי אברהם - 7 כר'")</f>
        <v>אמרי אברהם - 7 כר'</v>
      </c>
    </row>
    <row r="3097" spans="1:6" x14ac:dyDescent="0.2">
      <c r="A3097" t="s">
        <v>6118</v>
      </c>
      <c r="B3097" t="s">
        <v>6119</v>
      </c>
      <c r="C3097" t="s">
        <v>244</v>
      </c>
      <c r="D3097" t="s">
        <v>14</v>
      </c>
      <c r="E3097" t="s">
        <v>4779</v>
      </c>
      <c r="F3097" s="2" t="str">
        <f>HYPERLINK("http://www.otzar.org/book.asp?629692","אמרי אברהם")</f>
        <v>אמרי אברהם</v>
      </c>
    </row>
    <row r="3098" spans="1:6" x14ac:dyDescent="0.2">
      <c r="A3098" t="s">
        <v>6120</v>
      </c>
      <c r="B3098" t="s">
        <v>6121</v>
      </c>
      <c r="C3098" t="s">
        <v>68</v>
      </c>
      <c r="D3098" t="s">
        <v>14</v>
      </c>
      <c r="E3098" t="s">
        <v>15</v>
      </c>
      <c r="F3098" s="2" t="str">
        <f>HYPERLINK("http://www.otzar.org/book.asp?169464","אמרי אברהם - מוקצה")</f>
        <v>אמרי אברהם - מוקצה</v>
      </c>
    </row>
    <row r="3099" spans="1:6" x14ac:dyDescent="0.2">
      <c r="A3099" t="s">
        <v>6122</v>
      </c>
      <c r="B3099" t="s">
        <v>6123</v>
      </c>
      <c r="C3099" t="s">
        <v>411</v>
      </c>
      <c r="D3099" t="s">
        <v>14</v>
      </c>
      <c r="E3099" t="s">
        <v>230</v>
      </c>
      <c r="F3099" s="2" t="str">
        <f>HYPERLINK("http://www.otzar.org/book.asp?172516","אמרי אברהם - 4 כר'")</f>
        <v>אמרי אברהם - 4 כר'</v>
      </c>
    </row>
    <row r="3100" spans="1:6" x14ac:dyDescent="0.2">
      <c r="A3100" t="s">
        <v>6118</v>
      </c>
      <c r="B3100" t="s">
        <v>6124</v>
      </c>
      <c r="C3100" t="s">
        <v>454</v>
      </c>
      <c r="D3100" t="s">
        <v>646</v>
      </c>
      <c r="E3100" t="s">
        <v>6125</v>
      </c>
      <c r="F3100" s="2" t="str">
        <f>HYPERLINK("http://www.otzar.org/book.asp?22651","אמרי אברהם")</f>
        <v>אמרי אברהם</v>
      </c>
    </row>
    <row r="3101" spans="1:6" x14ac:dyDescent="0.2">
      <c r="A3101" t="s">
        <v>6126</v>
      </c>
      <c r="B3101" t="s">
        <v>6127</v>
      </c>
      <c r="C3101" t="s">
        <v>985</v>
      </c>
      <c r="D3101" t="s">
        <v>9</v>
      </c>
      <c r="E3101" t="s">
        <v>474</v>
      </c>
      <c r="F3101" s="2" t="str">
        <f>HYPERLINK("http://www.otzar.org/book.asp?15697","אמרי אברהם - 2 כר'")</f>
        <v>אמרי אברהם - 2 כר'</v>
      </c>
    </row>
    <row r="3102" spans="1:6" x14ac:dyDescent="0.2">
      <c r="A3102" t="s">
        <v>6118</v>
      </c>
      <c r="B3102" t="s">
        <v>6128</v>
      </c>
      <c r="C3102" t="s">
        <v>908</v>
      </c>
      <c r="D3102" t="s">
        <v>6129</v>
      </c>
      <c r="E3102" t="s">
        <v>6130</v>
      </c>
      <c r="F3102" s="2" t="str">
        <f>HYPERLINK("http://www.otzar.org/book.asp?300285","אמרי אברהם")</f>
        <v>אמרי אברהם</v>
      </c>
    </row>
    <row r="3103" spans="1:6" x14ac:dyDescent="0.2">
      <c r="A3103" t="s">
        <v>6131</v>
      </c>
      <c r="B3103" t="s">
        <v>6132</v>
      </c>
      <c r="C3103" t="s">
        <v>146</v>
      </c>
      <c r="D3103" t="s">
        <v>6133</v>
      </c>
      <c r="E3103" t="s">
        <v>6134</v>
      </c>
      <c r="F3103" s="2" t="str">
        <f>HYPERLINK("http://www.otzar.org/book.asp?50449","אמרי אהרן")</f>
        <v>אמרי אהרן</v>
      </c>
    </row>
    <row r="3104" spans="1:6" x14ac:dyDescent="0.2">
      <c r="A3104" t="s">
        <v>6131</v>
      </c>
      <c r="B3104" t="s">
        <v>6135</v>
      </c>
      <c r="C3104" t="s">
        <v>777</v>
      </c>
      <c r="D3104" t="s">
        <v>27</v>
      </c>
      <c r="E3104" t="s">
        <v>144</v>
      </c>
      <c r="F3104" s="2" t="str">
        <f>HYPERLINK("http://www.otzar.org/book.asp?300287","אמרי אהרן")</f>
        <v>אמרי אהרן</v>
      </c>
    </row>
    <row r="3105" spans="1:6" x14ac:dyDescent="0.2">
      <c r="A3105" t="s">
        <v>6131</v>
      </c>
      <c r="B3105" t="s">
        <v>4733</v>
      </c>
      <c r="C3105" t="s">
        <v>3106</v>
      </c>
      <c r="D3105" t="s">
        <v>9</v>
      </c>
      <c r="E3105" t="s">
        <v>241</v>
      </c>
      <c r="F3105" s="2" t="str">
        <f>HYPERLINK("http://www.otzar.org/book.asp?51385","אמרי אהרן")</f>
        <v>אמרי אהרן</v>
      </c>
    </row>
    <row r="3106" spans="1:6" x14ac:dyDescent="0.2">
      <c r="A3106" t="s">
        <v>6131</v>
      </c>
      <c r="B3106" t="s">
        <v>1393</v>
      </c>
      <c r="C3106" t="s">
        <v>13</v>
      </c>
      <c r="D3106" t="s">
        <v>14</v>
      </c>
      <c r="E3106" t="s">
        <v>6136</v>
      </c>
      <c r="F3106" s="2" t="str">
        <f>HYPERLINK("http://www.otzar.org/book.asp?159647","אמרי אהרן")</f>
        <v>אמרי אהרן</v>
      </c>
    </row>
    <row r="3107" spans="1:6" x14ac:dyDescent="0.2">
      <c r="A3107" t="s">
        <v>6137</v>
      </c>
      <c r="B3107" t="s">
        <v>3623</v>
      </c>
      <c r="C3107" t="s">
        <v>313</v>
      </c>
      <c r="D3107" t="s">
        <v>6138</v>
      </c>
      <c r="E3107" t="s">
        <v>10</v>
      </c>
      <c r="F3107" s="2" t="str">
        <f>HYPERLINK("http://www.otzar.org/book.asp?50472","אמרי אופיר - א")</f>
        <v>אמרי אופיר - א</v>
      </c>
    </row>
    <row r="3108" spans="1:6" x14ac:dyDescent="0.2">
      <c r="A3108" t="s">
        <v>6139</v>
      </c>
      <c r="B3108" t="s">
        <v>6140</v>
      </c>
      <c r="C3108" t="s">
        <v>124</v>
      </c>
      <c r="D3108" t="s">
        <v>52</v>
      </c>
      <c r="E3108" t="s">
        <v>234</v>
      </c>
      <c r="F3108" s="2" t="str">
        <f>HYPERLINK("http://www.otzar.org/book.asp?603754","אמרי איש")</f>
        <v>אמרי איש</v>
      </c>
    </row>
    <row r="3109" spans="1:6" x14ac:dyDescent="0.2">
      <c r="A3109" t="s">
        <v>6139</v>
      </c>
      <c r="B3109" t="s">
        <v>6141</v>
      </c>
      <c r="C3109" t="s">
        <v>454</v>
      </c>
      <c r="D3109" t="s">
        <v>14</v>
      </c>
      <c r="E3109" t="s">
        <v>6142</v>
      </c>
      <c r="F3109" s="2" t="str">
        <f>HYPERLINK("http://www.otzar.org/book.asp?22683","אמרי איש")</f>
        <v>אמרי איש</v>
      </c>
    </row>
    <row r="3110" spans="1:6" x14ac:dyDescent="0.2">
      <c r="A3110" t="s">
        <v>6143</v>
      </c>
      <c r="B3110" t="s">
        <v>6144</v>
      </c>
      <c r="C3110" t="s">
        <v>366</v>
      </c>
      <c r="D3110" t="s">
        <v>52</v>
      </c>
      <c r="E3110" t="s">
        <v>154</v>
      </c>
      <c r="F3110" s="2" t="str">
        <f>HYPERLINK("http://www.otzar.org/book.asp?602857","אמרי אליהו &lt;שו""ת&gt;")</f>
        <v>אמרי אליהו &lt;שו"ת&gt;</v>
      </c>
    </row>
    <row r="3111" spans="1:6" x14ac:dyDescent="0.2">
      <c r="A3111" t="s">
        <v>6145</v>
      </c>
      <c r="B3111" t="s">
        <v>6146</v>
      </c>
      <c r="C3111" t="s">
        <v>20</v>
      </c>
      <c r="D3111" t="s">
        <v>152</v>
      </c>
      <c r="E3111" t="s">
        <v>15</v>
      </c>
      <c r="F3111" s="2" t="str">
        <f>HYPERLINK("http://www.otzar.org/book.asp?197267","אמרי אליהו - 3 כר'")</f>
        <v>אמרי אליהו - 3 כר'</v>
      </c>
    </row>
    <row r="3112" spans="1:6" x14ac:dyDescent="0.2">
      <c r="A3112" t="s">
        <v>6147</v>
      </c>
      <c r="B3112" t="s">
        <v>6144</v>
      </c>
      <c r="C3112" t="s">
        <v>244</v>
      </c>
      <c r="D3112" t="s">
        <v>52</v>
      </c>
      <c r="E3112" t="s">
        <v>1517</v>
      </c>
      <c r="F3112" s="2" t="str">
        <f>HYPERLINK("http://www.otzar.org/book.asp?602856","אמרי אליהו")</f>
        <v>אמרי אליהו</v>
      </c>
    </row>
    <row r="3113" spans="1:6" x14ac:dyDescent="0.2">
      <c r="A3113" t="s">
        <v>6147</v>
      </c>
      <c r="B3113" t="s">
        <v>191</v>
      </c>
      <c r="C3113" t="s">
        <v>23</v>
      </c>
      <c r="D3113" t="s">
        <v>52</v>
      </c>
      <c r="E3113" t="s">
        <v>15</v>
      </c>
      <c r="F3113" s="2" t="str">
        <f>HYPERLINK("http://www.otzar.org/book.asp?602868","אמרי אליהו")</f>
        <v>אמרי אליהו</v>
      </c>
    </row>
    <row r="3114" spans="1:6" x14ac:dyDescent="0.2">
      <c r="A3114" t="s">
        <v>6148</v>
      </c>
      <c r="B3114" t="s">
        <v>2959</v>
      </c>
      <c r="C3114" t="s">
        <v>313</v>
      </c>
      <c r="D3114" t="s">
        <v>52</v>
      </c>
      <c r="E3114" t="s">
        <v>158</v>
      </c>
      <c r="F3114" s="2" t="str">
        <f>HYPERLINK("http://www.otzar.org/book.asp?163674","אמרי אליהו - 13 כר'")</f>
        <v>אמרי אליהו - 13 כר'</v>
      </c>
    </row>
    <row r="3115" spans="1:6" x14ac:dyDescent="0.2">
      <c r="A3115" t="s">
        <v>6149</v>
      </c>
      <c r="B3115" t="s">
        <v>6150</v>
      </c>
      <c r="C3115" t="s">
        <v>71</v>
      </c>
      <c r="D3115" t="s">
        <v>6151</v>
      </c>
      <c r="E3115" t="s">
        <v>508</v>
      </c>
      <c r="F3115" s="2" t="str">
        <f>HYPERLINK("http://www.otzar.org/book.asp?159534","אמרי אליהו - 2 כר'")</f>
        <v>אמרי אליהו - 2 כר'</v>
      </c>
    </row>
    <row r="3116" spans="1:6" x14ac:dyDescent="0.2">
      <c r="A3116" t="s">
        <v>6149</v>
      </c>
      <c r="B3116" t="s">
        <v>6152</v>
      </c>
      <c r="C3116" t="s">
        <v>103</v>
      </c>
      <c r="D3116" t="s">
        <v>1511</v>
      </c>
      <c r="E3116" t="s">
        <v>786</v>
      </c>
      <c r="F3116" s="2" t="str">
        <f>HYPERLINK("http://www.otzar.org/book.asp?84617","אמרי אליהו - 2 כר'")</f>
        <v>אמרי אליהו - 2 כר'</v>
      </c>
    </row>
    <row r="3117" spans="1:6" x14ac:dyDescent="0.2">
      <c r="A3117" t="s">
        <v>6147</v>
      </c>
      <c r="B3117" t="s">
        <v>3111</v>
      </c>
      <c r="C3117" t="s">
        <v>13</v>
      </c>
      <c r="D3117" t="s">
        <v>14</v>
      </c>
      <c r="F3117" s="2" t="str">
        <f>HYPERLINK("http://www.otzar.org/book.asp?610954","אמרי אליהו")</f>
        <v>אמרי אליהו</v>
      </c>
    </row>
    <row r="3118" spans="1:6" x14ac:dyDescent="0.2">
      <c r="A3118" t="s">
        <v>6153</v>
      </c>
      <c r="B3118" t="s">
        <v>6154</v>
      </c>
      <c r="C3118" t="s">
        <v>103</v>
      </c>
      <c r="D3118" t="s">
        <v>412</v>
      </c>
      <c r="E3118" t="s">
        <v>230</v>
      </c>
      <c r="F3118" s="2" t="str">
        <f>HYPERLINK("http://www.otzar.org/book.asp?603793","אמרי אלימלך")</f>
        <v>אמרי אלימלך</v>
      </c>
    </row>
    <row r="3119" spans="1:6" x14ac:dyDescent="0.2">
      <c r="A3119" t="s">
        <v>6153</v>
      </c>
      <c r="B3119" t="s">
        <v>6155</v>
      </c>
      <c r="C3119" t="s">
        <v>1124</v>
      </c>
      <c r="D3119" t="s">
        <v>283</v>
      </c>
      <c r="E3119" t="s">
        <v>1185</v>
      </c>
      <c r="F3119" s="2" t="str">
        <f>HYPERLINK("http://www.otzar.org/book.asp?15668","אמרי אלימלך")</f>
        <v>אמרי אלימלך</v>
      </c>
    </row>
    <row r="3120" spans="1:6" x14ac:dyDescent="0.2">
      <c r="A3120" t="s">
        <v>6156</v>
      </c>
      <c r="B3120" t="s">
        <v>6157</v>
      </c>
      <c r="C3120" t="s">
        <v>146</v>
      </c>
      <c r="D3120" t="s">
        <v>14</v>
      </c>
      <c r="E3120" t="s">
        <v>158</v>
      </c>
      <c r="F3120" s="2" t="str">
        <f>HYPERLINK("http://www.otzar.org/book.asp?148287","אמרי אליעזר - 4 כר'")</f>
        <v>אמרי אליעזר - 4 כר'</v>
      </c>
    </row>
    <row r="3121" spans="1:6" x14ac:dyDescent="0.2">
      <c r="A3121" t="s">
        <v>6158</v>
      </c>
      <c r="B3121" t="s">
        <v>6159</v>
      </c>
      <c r="C3121" t="s">
        <v>785</v>
      </c>
      <c r="D3121" t="s">
        <v>412</v>
      </c>
      <c r="E3121" t="s">
        <v>144</v>
      </c>
      <c r="F3121" s="2" t="str">
        <f>HYPERLINK("http://www.otzar.org/book.asp?626514","אמרי אליעזר - ג")</f>
        <v>אמרי אליעזר - ג</v>
      </c>
    </row>
    <row r="3122" spans="1:6" x14ac:dyDescent="0.2">
      <c r="A3122" t="s">
        <v>6160</v>
      </c>
      <c r="B3122" t="s">
        <v>4347</v>
      </c>
      <c r="C3122" t="s">
        <v>1448</v>
      </c>
      <c r="D3122" t="s">
        <v>1356</v>
      </c>
      <c r="E3122" t="s">
        <v>399</v>
      </c>
      <c r="F3122" s="2" t="str">
        <f>HYPERLINK("http://www.otzar.org/book.asp?148372","אמרי אמת &lt;מכת""י&gt;")</f>
        <v>אמרי אמת &lt;מכת"י&gt;</v>
      </c>
    </row>
    <row r="3123" spans="1:6" x14ac:dyDescent="0.2">
      <c r="A3123" t="s">
        <v>6161</v>
      </c>
      <c r="B3123" t="s">
        <v>6162</v>
      </c>
      <c r="C3123" t="s">
        <v>6163</v>
      </c>
      <c r="D3123" t="s">
        <v>726</v>
      </c>
      <c r="E3123" t="s">
        <v>158</v>
      </c>
      <c r="F3123" s="2" t="str">
        <f>HYPERLINK("http://www.otzar.org/book.asp?15845","אמרי אמת - 2 כר'")</f>
        <v>אמרי אמת - 2 כר'</v>
      </c>
    </row>
    <row r="3124" spans="1:6" x14ac:dyDescent="0.2">
      <c r="A3124" t="s">
        <v>6164</v>
      </c>
      <c r="B3124" t="s">
        <v>6165</v>
      </c>
      <c r="C3124" t="s">
        <v>1885</v>
      </c>
      <c r="D3124" t="s">
        <v>4269</v>
      </c>
      <c r="E3124" t="s">
        <v>158</v>
      </c>
      <c r="F3124" s="2" t="str">
        <f>HYPERLINK("http://www.otzar.org/book.asp?17203","אמרי אמת")</f>
        <v>אמרי אמת</v>
      </c>
    </row>
    <row r="3125" spans="1:6" x14ac:dyDescent="0.2">
      <c r="A3125" t="s">
        <v>6166</v>
      </c>
      <c r="B3125" t="s">
        <v>2777</v>
      </c>
      <c r="C3125" t="s">
        <v>533</v>
      </c>
      <c r="D3125" t="s">
        <v>52</v>
      </c>
      <c r="E3125" t="s">
        <v>158</v>
      </c>
      <c r="F3125" s="2" t="str">
        <f>HYPERLINK("http://www.otzar.org/book.asp?155982","אמרי אמת - 7 כר'")</f>
        <v>אמרי אמת - 7 כר'</v>
      </c>
    </row>
    <row r="3126" spans="1:6" x14ac:dyDescent="0.2">
      <c r="A3126" t="s">
        <v>6164</v>
      </c>
      <c r="B3126" t="s">
        <v>6167</v>
      </c>
      <c r="C3126" t="s">
        <v>728</v>
      </c>
      <c r="D3126" t="s">
        <v>157</v>
      </c>
      <c r="E3126" t="s">
        <v>474</v>
      </c>
      <c r="F3126" s="2" t="str">
        <f>HYPERLINK("http://www.otzar.org/book.asp?22615","אמרי אמת")</f>
        <v>אמרי אמת</v>
      </c>
    </row>
    <row r="3127" spans="1:6" x14ac:dyDescent="0.2">
      <c r="A3127" t="s">
        <v>6164</v>
      </c>
      <c r="B3127" t="s">
        <v>6168</v>
      </c>
      <c r="C3127" t="s">
        <v>1650</v>
      </c>
      <c r="D3127" t="s">
        <v>225</v>
      </c>
      <c r="E3127" t="s">
        <v>6169</v>
      </c>
      <c r="F3127" s="2" t="str">
        <f>HYPERLINK("http://www.otzar.org/book.asp?15847","אמרי אמת")</f>
        <v>אמרי אמת</v>
      </c>
    </row>
    <row r="3128" spans="1:6" x14ac:dyDescent="0.2">
      <c r="A3128" t="s">
        <v>6170</v>
      </c>
      <c r="B3128" t="s">
        <v>6171</v>
      </c>
      <c r="C3128" t="s">
        <v>114</v>
      </c>
      <c r="D3128" t="s">
        <v>52</v>
      </c>
      <c r="F3128" s="2" t="str">
        <f>HYPERLINK("http://www.otzar.org/book.asp?85876","אמרי אפרים")</f>
        <v>אמרי אפרים</v>
      </c>
    </row>
    <row r="3129" spans="1:6" x14ac:dyDescent="0.2">
      <c r="A3129" t="s">
        <v>6172</v>
      </c>
      <c r="B3129" t="s">
        <v>6173</v>
      </c>
      <c r="C3129" t="s">
        <v>454</v>
      </c>
      <c r="D3129" t="s">
        <v>52</v>
      </c>
      <c r="E3129" t="s">
        <v>474</v>
      </c>
      <c r="F3129" s="2" t="str">
        <f>HYPERLINK("http://www.otzar.org/book.asp?106591","אמרי אש חומת אש")</f>
        <v>אמרי אש חומת אש</v>
      </c>
    </row>
    <row r="3130" spans="1:6" x14ac:dyDescent="0.2">
      <c r="A3130" t="s">
        <v>6174</v>
      </c>
      <c r="B3130" t="s">
        <v>6175</v>
      </c>
      <c r="C3130" t="s">
        <v>523</v>
      </c>
      <c r="D3130" t="s">
        <v>245</v>
      </c>
      <c r="E3130" t="s">
        <v>803</v>
      </c>
      <c r="F3130" s="2" t="str">
        <f>HYPERLINK("http://www.otzar.org/book.asp?153785","אמרי אש")</f>
        <v>אמרי אש</v>
      </c>
    </row>
    <row r="3131" spans="1:6" x14ac:dyDescent="0.2">
      <c r="A3131" t="s">
        <v>6176</v>
      </c>
      <c r="B3131" t="s">
        <v>6177</v>
      </c>
      <c r="C3131" t="s">
        <v>103</v>
      </c>
      <c r="D3131" t="s">
        <v>52</v>
      </c>
      <c r="E3131" t="s">
        <v>154</v>
      </c>
      <c r="F3131" s="2" t="str">
        <f>HYPERLINK("http://www.otzar.org/book.asp?23769","אמרי אש - 8 כר'")</f>
        <v>אמרי אש - 8 כר'</v>
      </c>
    </row>
    <row r="3132" spans="1:6" x14ac:dyDescent="0.2">
      <c r="A3132" t="s">
        <v>6174</v>
      </c>
      <c r="B3132" t="s">
        <v>6178</v>
      </c>
      <c r="C3132" t="s">
        <v>17</v>
      </c>
      <c r="D3132" t="s">
        <v>14</v>
      </c>
      <c r="E3132" t="s">
        <v>15</v>
      </c>
      <c r="F3132" s="2" t="str">
        <f>HYPERLINK("http://www.otzar.org/book.asp?25735","אמרי אש")</f>
        <v>אמרי אש</v>
      </c>
    </row>
    <row r="3133" spans="1:6" x14ac:dyDescent="0.2">
      <c r="A3133" t="s">
        <v>6174</v>
      </c>
      <c r="B3133" t="s">
        <v>6179</v>
      </c>
      <c r="C3133" t="s">
        <v>576</v>
      </c>
      <c r="D3133" t="s">
        <v>283</v>
      </c>
      <c r="E3133" t="s">
        <v>5712</v>
      </c>
      <c r="F3133" s="2" t="str">
        <f>HYPERLINK("http://www.otzar.org/book.asp?17204","אמרי אש")</f>
        <v>אמרי אש</v>
      </c>
    </row>
    <row r="3134" spans="1:6" x14ac:dyDescent="0.2">
      <c r="A3134" t="s">
        <v>6180</v>
      </c>
      <c r="B3134" t="s">
        <v>6181</v>
      </c>
      <c r="C3134" t="s">
        <v>189</v>
      </c>
      <c r="D3134" t="s">
        <v>412</v>
      </c>
      <c r="E3134" t="s">
        <v>6078</v>
      </c>
      <c r="F3134" s="2" t="str">
        <f>HYPERLINK("http://www.otzar.org/book.asp?174189","אמרי אש - פורים, ארבע פרשיות")</f>
        <v>אמרי אש - פורים, ארבע פרשיות</v>
      </c>
    </row>
    <row r="3135" spans="1:6" x14ac:dyDescent="0.2">
      <c r="A3135" t="s">
        <v>6182</v>
      </c>
      <c r="B3135" t="s">
        <v>6183</v>
      </c>
      <c r="C3135" t="s">
        <v>129</v>
      </c>
      <c r="D3135" t="s">
        <v>52</v>
      </c>
      <c r="E3135" t="s">
        <v>144</v>
      </c>
      <c r="F3135" s="2" t="str">
        <f>HYPERLINK("http://www.otzar.org/book.asp?158381","אמרי אש - 2 כר'")</f>
        <v>אמרי אש - 2 כר'</v>
      </c>
    </row>
    <row r="3136" spans="1:6" x14ac:dyDescent="0.2">
      <c r="A3136" t="s">
        <v>6174</v>
      </c>
      <c r="B3136" t="s">
        <v>6184</v>
      </c>
      <c r="C3136" t="s">
        <v>111</v>
      </c>
      <c r="D3136" t="s">
        <v>412</v>
      </c>
      <c r="E3136" t="s">
        <v>230</v>
      </c>
      <c r="F3136" s="2" t="str">
        <f>HYPERLINK("http://www.otzar.org/book.asp?621954","אמרי אש")</f>
        <v>אמרי אש</v>
      </c>
    </row>
    <row r="3137" spans="1:6" x14ac:dyDescent="0.2">
      <c r="A3137" t="s">
        <v>6185</v>
      </c>
      <c r="B3137" t="s">
        <v>6186</v>
      </c>
      <c r="C3137" t="s">
        <v>37</v>
      </c>
      <c r="D3137" t="s">
        <v>14</v>
      </c>
      <c r="E3137" t="s">
        <v>104</v>
      </c>
      <c r="F3137" s="2" t="str">
        <f>HYPERLINK("http://www.otzar.org/book.asp?616030","אמרי אשר")</f>
        <v>אמרי אשר</v>
      </c>
    </row>
    <row r="3138" spans="1:6" x14ac:dyDescent="0.2">
      <c r="A3138" t="s">
        <v>6187</v>
      </c>
      <c r="B3138" t="s">
        <v>6188</v>
      </c>
      <c r="C3138" t="s">
        <v>13</v>
      </c>
      <c r="D3138" t="s">
        <v>152</v>
      </c>
      <c r="E3138" t="s">
        <v>186</v>
      </c>
      <c r="F3138" s="2" t="str">
        <f>HYPERLINK("http://www.otzar.org/book.asp?153797","אמרי בי רב - 3 כר'")</f>
        <v>אמרי בי רב - 3 כר'</v>
      </c>
    </row>
    <row r="3139" spans="1:6" x14ac:dyDescent="0.2">
      <c r="A3139" t="s">
        <v>6189</v>
      </c>
      <c r="B3139" t="s">
        <v>6190</v>
      </c>
      <c r="C3139" t="s">
        <v>68</v>
      </c>
      <c r="D3139" t="s">
        <v>245</v>
      </c>
      <c r="F3139" s="2" t="str">
        <f>HYPERLINK("http://www.otzar.org/book.asp?169603","אמרי בינה &lt;מכון משנת ר""א&gt; - 3 כר'")</f>
        <v>אמרי בינה &lt;מכון משנת ר"א&gt; - 3 כר'</v>
      </c>
    </row>
    <row r="3140" spans="1:6" x14ac:dyDescent="0.2">
      <c r="A3140" t="s">
        <v>6191</v>
      </c>
      <c r="B3140" t="s">
        <v>6192</v>
      </c>
      <c r="C3140" t="s">
        <v>748</v>
      </c>
      <c r="D3140" t="s">
        <v>756</v>
      </c>
      <c r="E3140" t="s">
        <v>1847</v>
      </c>
      <c r="F3140" s="2" t="str">
        <f>HYPERLINK("http://www.otzar.org/book.asp?102506","אמרי בינה &lt;שיר השירים&gt;")</f>
        <v>אמרי בינה &lt;שיר השירים&gt;</v>
      </c>
    </row>
    <row r="3141" spans="1:6" x14ac:dyDescent="0.2">
      <c r="A3141" t="s">
        <v>6193</v>
      </c>
      <c r="B3141" t="s">
        <v>6194</v>
      </c>
      <c r="C3141" t="s">
        <v>51</v>
      </c>
      <c r="D3141" t="s">
        <v>14</v>
      </c>
      <c r="E3141" t="s">
        <v>588</v>
      </c>
      <c r="F3141" s="2" t="str">
        <f>HYPERLINK("http://www.otzar.org/book.asp?174023","אמרי בינה (שו""ת), ליקוטי הערות על שו""ת חת""ס")</f>
        <v>אמרי בינה (שו"ת), ליקוטי הערות על שו"ת חת"ס</v>
      </c>
    </row>
    <row r="3142" spans="1:6" x14ac:dyDescent="0.2">
      <c r="A3142" t="s">
        <v>6195</v>
      </c>
      <c r="B3142" t="s">
        <v>6196</v>
      </c>
      <c r="C3142" t="s">
        <v>1335</v>
      </c>
      <c r="D3142" t="s">
        <v>855</v>
      </c>
      <c r="E3142" t="s">
        <v>3755</v>
      </c>
      <c r="F3142" s="2" t="str">
        <f>HYPERLINK("http://www.otzar.org/book.asp?17047","אמרי בינה")</f>
        <v>אמרי בינה</v>
      </c>
    </row>
    <row r="3143" spans="1:6" x14ac:dyDescent="0.2">
      <c r="A3143" t="s">
        <v>6197</v>
      </c>
      <c r="B3143" t="s">
        <v>5732</v>
      </c>
      <c r="C3143" t="s">
        <v>5823</v>
      </c>
      <c r="D3143" t="s">
        <v>267</v>
      </c>
      <c r="E3143" t="s">
        <v>325</v>
      </c>
      <c r="F3143" s="2" t="str">
        <f>HYPERLINK("http://www.otzar.org/book.asp?17205","אמרי בינה - 3 כר'")</f>
        <v>אמרי בינה - 3 כר'</v>
      </c>
    </row>
    <row r="3144" spans="1:6" x14ac:dyDescent="0.2">
      <c r="A3144" t="s">
        <v>6198</v>
      </c>
      <c r="B3144" t="s">
        <v>6190</v>
      </c>
      <c r="C3144" t="s">
        <v>6199</v>
      </c>
      <c r="D3144" t="s">
        <v>27</v>
      </c>
      <c r="E3144" t="s">
        <v>2572</v>
      </c>
      <c r="F3144" s="2" t="str">
        <f>HYPERLINK("http://www.otzar.org/book.asp?779","אמרי בינה - 6 כר'")</f>
        <v>אמרי בינה - 6 כר'</v>
      </c>
    </row>
    <row r="3145" spans="1:6" x14ac:dyDescent="0.2">
      <c r="A3145" t="s">
        <v>6200</v>
      </c>
      <c r="B3145" t="s">
        <v>6177</v>
      </c>
      <c r="C3145" t="s">
        <v>550</v>
      </c>
      <c r="D3145" t="s">
        <v>929</v>
      </c>
      <c r="E3145" t="s">
        <v>144</v>
      </c>
      <c r="F3145" s="2" t="str">
        <f>HYPERLINK("http://www.otzar.org/book.asp?8023","אמרי בינה - 2 כר'")</f>
        <v>אמרי בינה - 2 כר'</v>
      </c>
    </row>
    <row r="3146" spans="1:6" x14ac:dyDescent="0.2">
      <c r="A3146" t="s">
        <v>6197</v>
      </c>
      <c r="B3146" t="s">
        <v>6195</v>
      </c>
      <c r="C3146" t="s">
        <v>1284</v>
      </c>
      <c r="D3146" t="s">
        <v>6201</v>
      </c>
      <c r="E3146" t="s">
        <v>579</v>
      </c>
      <c r="F3146" s="2" t="str">
        <f>HYPERLINK("http://www.otzar.org/book.asp?7263","אמרי בינה - 3 כר'")</f>
        <v>אמרי בינה - 3 כר'</v>
      </c>
    </row>
    <row r="3147" spans="1:6" x14ac:dyDescent="0.2">
      <c r="A3147" t="s">
        <v>6195</v>
      </c>
      <c r="B3147" t="s">
        <v>6202</v>
      </c>
      <c r="C3147" t="s">
        <v>6203</v>
      </c>
      <c r="D3147" t="s">
        <v>42</v>
      </c>
      <c r="E3147" t="s">
        <v>1517</v>
      </c>
      <c r="F3147" s="2" t="str">
        <f>HYPERLINK("http://www.otzar.org/book.asp?9284","אמרי בינה")</f>
        <v>אמרי בינה</v>
      </c>
    </row>
    <row r="3148" spans="1:6" x14ac:dyDescent="0.2">
      <c r="A3148" t="s">
        <v>6195</v>
      </c>
      <c r="B3148" t="s">
        <v>6204</v>
      </c>
      <c r="C3148" t="s">
        <v>4705</v>
      </c>
      <c r="D3148" t="s">
        <v>1117</v>
      </c>
      <c r="E3148" t="s">
        <v>1211</v>
      </c>
      <c r="F3148" s="2" t="str">
        <f>HYPERLINK("http://www.otzar.org/book.asp?5740","אמרי בינה")</f>
        <v>אמרי בינה</v>
      </c>
    </row>
    <row r="3149" spans="1:6" x14ac:dyDescent="0.2">
      <c r="A3149" t="s">
        <v>6205</v>
      </c>
      <c r="B3149" t="s">
        <v>6206</v>
      </c>
      <c r="C3149" t="s">
        <v>51</v>
      </c>
      <c r="D3149" t="s">
        <v>52</v>
      </c>
      <c r="E3149" t="s">
        <v>144</v>
      </c>
      <c r="F3149" s="2" t="str">
        <f>HYPERLINK("http://www.otzar.org/book.asp?26847","אמרי בינה - 4 כר'")</f>
        <v>אמרי בינה - 4 כר'</v>
      </c>
    </row>
    <row r="3150" spans="1:6" x14ac:dyDescent="0.2">
      <c r="A3150" t="s">
        <v>6207</v>
      </c>
      <c r="B3150" t="s">
        <v>6208</v>
      </c>
      <c r="C3150" t="s">
        <v>785</v>
      </c>
      <c r="D3150" t="s">
        <v>14</v>
      </c>
      <c r="E3150" t="s">
        <v>144</v>
      </c>
      <c r="F3150" s="2" t="str">
        <f>HYPERLINK("http://www.otzar.org/book.asp?153305","אמרי בינה - 10 כר'")</f>
        <v>אמרי בינה - 10 כר'</v>
      </c>
    </row>
    <row r="3151" spans="1:6" x14ac:dyDescent="0.2">
      <c r="A3151" t="s">
        <v>6195</v>
      </c>
      <c r="B3151" t="s">
        <v>6209</v>
      </c>
      <c r="C3151" t="s">
        <v>1640</v>
      </c>
      <c r="D3151" t="s">
        <v>14</v>
      </c>
      <c r="E3151" t="s">
        <v>158</v>
      </c>
      <c r="F3151" s="2" t="str">
        <f>HYPERLINK("http://www.otzar.org/book.asp?161102","אמרי בינה")</f>
        <v>אמרי בינה</v>
      </c>
    </row>
    <row r="3152" spans="1:6" x14ac:dyDescent="0.2">
      <c r="A3152" t="s">
        <v>6197</v>
      </c>
      <c r="B3152" t="s">
        <v>599</v>
      </c>
      <c r="C3152" t="s">
        <v>1811</v>
      </c>
      <c r="D3152" t="s">
        <v>27</v>
      </c>
      <c r="E3152" t="s">
        <v>104</v>
      </c>
      <c r="F3152" s="2" t="str">
        <f>HYPERLINK("http://www.otzar.org/book.asp?542","אמרי בינה - 3 כר'")</f>
        <v>אמרי בינה - 3 כר'</v>
      </c>
    </row>
    <row r="3153" spans="1:6" x14ac:dyDescent="0.2">
      <c r="A3153" t="s">
        <v>6200</v>
      </c>
      <c r="B3153" t="s">
        <v>6210</v>
      </c>
      <c r="C3153" t="s">
        <v>6211</v>
      </c>
      <c r="D3153" t="s">
        <v>744</v>
      </c>
      <c r="E3153" t="s">
        <v>579</v>
      </c>
      <c r="F3153" s="2" t="str">
        <f>HYPERLINK("http://www.otzar.org/book.asp?189617","אמרי בינה - 2 כר'")</f>
        <v>אמרי בינה - 2 כר'</v>
      </c>
    </row>
    <row r="3154" spans="1:6" x14ac:dyDescent="0.2">
      <c r="A3154" t="s">
        <v>6195</v>
      </c>
      <c r="B3154" t="s">
        <v>6212</v>
      </c>
      <c r="C3154" t="s">
        <v>6213</v>
      </c>
      <c r="D3154" t="s">
        <v>6214</v>
      </c>
      <c r="E3154" t="s">
        <v>4435</v>
      </c>
      <c r="F3154" s="2" t="str">
        <f>HYPERLINK("http://www.otzar.org/book.asp?625995","אמרי בינה")</f>
        <v>אמרי בינה</v>
      </c>
    </row>
    <row r="3155" spans="1:6" x14ac:dyDescent="0.2">
      <c r="A3155" t="s">
        <v>6195</v>
      </c>
      <c r="B3155" t="s">
        <v>481</v>
      </c>
      <c r="C3155" t="s">
        <v>1335</v>
      </c>
      <c r="D3155" t="s">
        <v>6215</v>
      </c>
      <c r="E3155" t="s">
        <v>104</v>
      </c>
      <c r="F3155" s="2" t="str">
        <f>HYPERLINK("http://www.otzar.org/book.asp?196362","אמרי בינה")</f>
        <v>אמרי בינה</v>
      </c>
    </row>
    <row r="3156" spans="1:6" x14ac:dyDescent="0.2">
      <c r="A3156" t="s">
        <v>6195</v>
      </c>
      <c r="B3156" t="s">
        <v>6216</v>
      </c>
      <c r="C3156" t="s">
        <v>1640</v>
      </c>
      <c r="D3156" t="s">
        <v>14</v>
      </c>
      <c r="E3156" t="s">
        <v>5186</v>
      </c>
      <c r="F3156" s="2" t="str">
        <f>HYPERLINK("http://www.otzar.org/book.asp?166210","אמרי בינה")</f>
        <v>אמרי בינה</v>
      </c>
    </row>
    <row r="3157" spans="1:6" x14ac:dyDescent="0.2">
      <c r="A3157" t="s">
        <v>6195</v>
      </c>
      <c r="B3157" t="s">
        <v>6217</v>
      </c>
      <c r="C3157" t="s">
        <v>1706</v>
      </c>
      <c r="D3157" t="s">
        <v>283</v>
      </c>
      <c r="E3157" t="s">
        <v>1028</v>
      </c>
      <c r="F3157" s="2" t="str">
        <f>HYPERLINK("http://www.otzar.org/book.asp?189604","אמרי בינה")</f>
        <v>אמרי בינה</v>
      </c>
    </row>
    <row r="3158" spans="1:6" x14ac:dyDescent="0.2">
      <c r="A3158" t="s">
        <v>6195</v>
      </c>
      <c r="B3158" t="s">
        <v>6218</v>
      </c>
      <c r="C3158" t="s">
        <v>2076</v>
      </c>
      <c r="D3158" t="s">
        <v>212</v>
      </c>
      <c r="E3158" t="s">
        <v>241</v>
      </c>
      <c r="F3158" s="2" t="str">
        <f>HYPERLINK("http://www.otzar.org/book.asp?15861","אמרי בינה")</f>
        <v>אמרי בינה</v>
      </c>
    </row>
    <row r="3159" spans="1:6" x14ac:dyDescent="0.2">
      <c r="A3159" t="s">
        <v>6195</v>
      </c>
      <c r="B3159" t="s">
        <v>6219</v>
      </c>
      <c r="C3159" t="s">
        <v>503</v>
      </c>
      <c r="D3159" t="s">
        <v>267</v>
      </c>
      <c r="E3159" t="s">
        <v>154</v>
      </c>
      <c r="F3159" s="2" t="str">
        <f>HYPERLINK("http://www.otzar.org/book.asp?100296","אמרי בינה")</f>
        <v>אמרי בינה</v>
      </c>
    </row>
    <row r="3160" spans="1:6" x14ac:dyDescent="0.2">
      <c r="A3160" t="s">
        <v>6195</v>
      </c>
      <c r="B3160" t="s">
        <v>2658</v>
      </c>
      <c r="C3160" t="s">
        <v>1535</v>
      </c>
      <c r="D3160" t="s">
        <v>27</v>
      </c>
      <c r="E3160" t="s">
        <v>234</v>
      </c>
      <c r="F3160" s="2" t="str">
        <f>HYPERLINK("http://www.otzar.org/book.asp?154452","אמרי בינה")</f>
        <v>אמרי בינה</v>
      </c>
    </row>
    <row r="3161" spans="1:6" x14ac:dyDescent="0.2">
      <c r="A3161" t="s">
        <v>6220</v>
      </c>
      <c r="B3161" t="s">
        <v>6221</v>
      </c>
      <c r="C3161" t="s">
        <v>68</v>
      </c>
      <c r="D3161" t="s">
        <v>90</v>
      </c>
      <c r="E3161" t="s">
        <v>2533</v>
      </c>
      <c r="F3161" s="2" t="str">
        <f>HYPERLINK("http://www.otzar.org/book.asp?159218","אמרי במערבא")</f>
        <v>אמרי במערבא</v>
      </c>
    </row>
    <row r="3162" spans="1:6" x14ac:dyDescent="0.2">
      <c r="A3162" t="s">
        <v>6222</v>
      </c>
      <c r="B3162" t="s">
        <v>6223</v>
      </c>
      <c r="C3162" t="s">
        <v>1019</v>
      </c>
      <c r="D3162" t="s">
        <v>6224</v>
      </c>
      <c r="E3162" t="s">
        <v>158</v>
      </c>
      <c r="F3162" s="2" t="str">
        <f>HYPERLINK("http://www.otzar.org/book.asp?22310","אמרי בנימין")</f>
        <v>אמרי בנימין</v>
      </c>
    </row>
    <row r="3163" spans="1:6" x14ac:dyDescent="0.2">
      <c r="A3163" t="s">
        <v>6222</v>
      </c>
      <c r="B3163" t="s">
        <v>6225</v>
      </c>
      <c r="C3163" t="s">
        <v>462</v>
      </c>
      <c r="D3163" t="s">
        <v>6226</v>
      </c>
      <c r="E3163" t="s">
        <v>573</v>
      </c>
      <c r="F3163" s="2" t="str">
        <f>HYPERLINK("http://www.otzar.org/book.asp?300254","אמרי בנימין")</f>
        <v>אמרי בנימין</v>
      </c>
    </row>
    <row r="3164" spans="1:6" x14ac:dyDescent="0.2">
      <c r="A3164" t="s">
        <v>6227</v>
      </c>
      <c r="B3164" t="s">
        <v>6223</v>
      </c>
      <c r="C3164" t="s">
        <v>8</v>
      </c>
      <c r="D3164" t="s">
        <v>947</v>
      </c>
      <c r="E3164" t="s">
        <v>158</v>
      </c>
      <c r="F3164" s="2" t="str">
        <f>HYPERLINK("http://www.otzar.org/book.asp?51387","אמרי בנימן")</f>
        <v>אמרי בנימן</v>
      </c>
    </row>
    <row r="3165" spans="1:6" x14ac:dyDescent="0.2">
      <c r="A3165" t="s">
        <v>6228</v>
      </c>
      <c r="B3165" t="s">
        <v>6229</v>
      </c>
      <c r="C3165" t="s">
        <v>71</v>
      </c>
      <c r="D3165" t="s">
        <v>52</v>
      </c>
      <c r="E3165" t="s">
        <v>144</v>
      </c>
      <c r="F3165" s="2" t="str">
        <f>HYPERLINK("http://www.otzar.org/book.asp?173864","אמרי בנימן - 10 כר'")</f>
        <v>אמרי בנימן - 10 כר'</v>
      </c>
    </row>
    <row r="3166" spans="1:6" x14ac:dyDescent="0.2">
      <c r="A3166" t="s">
        <v>6230</v>
      </c>
      <c r="B3166" t="s">
        <v>6231</v>
      </c>
      <c r="C3166" t="s">
        <v>940</v>
      </c>
      <c r="D3166" t="s">
        <v>412</v>
      </c>
      <c r="E3166" t="s">
        <v>4683</v>
      </c>
      <c r="F3166" s="2" t="str">
        <f>HYPERLINK("http://www.otzar.org/book.asp?196089","אמרי ברוך")</f>
        <v>אמרי ברוך</v>
      </c>
    </row>
    <row r="3167" spans="1:6" x14ac:dyDescent="0.2">
      <c r="A3167" t="s">
        <v>6230</v>
      </c>
      <c r="B3167" t="s">
        <v>6232</v>
      </c>
      <c r="C3167" t="s">
        <v>362</v>
      </c>
      <c r="D3167" t="s">
        <v>27</v>
      </c>
      <c r="E3167" t="s">
        <v>508</v>
      </c>
      <c r="F3167" s="2" t="str">
        <f>HYPERLINK("http://www.otzar.org/book.asp?22373","אמרי ברוך")</f>
        <v>אמרי ברוך</v>
      </c>
    </row>
    <row r="3168" spans="1:6" x14ac:dyDescent="0.2">
      <c r="A3168" t="s">
        <v>6233</v>
      </c>
      <c r="B3168" t="s">
        <v>6234</v>
      </c>
      <c r="C3168" t="s">
        <v>4144</v>
      </c>
      <c r="D3168" t="s">
        <v>283</v>
      </c>
      <c r="E3168" t="s">
        <v>158</v>
      </c>
      <c r="F3168" s="2" t="str">
        <f>HYPERLINK("http://www.otzar.org/book.asp?300251","אמרי ברוך - א")</f>
        <v>אמרי ברוך - א</v>
      </c>
    </row>
    <row r="3169" spans="1:6" x14ac:dyDescent="0.2">
      <c r="A3169" t="s">
        <v>6230</v>
      </c>
      <c r="B3169" t="s">
        <v>6235</v>
      </c>
      <c r="C3169" t="s">
        <v>224</v>
      </c>
      <c r="D3169" t="s">
        <v>947</v>
      </c>
      <c r="E3169" t="s">
        <v>158</v>
      </c>
      <c r="F3169" s="2" t="str">
        <f>HYPERLINK("http://www.otzar.org/book.asp?300290","אמרי ברוך")</f>
        <v>אמרי ברוך</v>
      </c>
    </row>
    <row r="3170" spans="1:6" x14ac:dyDescent="0.2">
      <c r="A3170" t="s">
        <v>6230</v>
      </c>
      <c r="B3170" t="s">
        <v>6236</v>
      </c>
      <c r="C3170" t="s">
        <v>176</v>
      </c>
      <c r="D3170" t="s">
        <v>52</v>
      </c>
      <c r="E3170" t="s">
        <v>158</v>
      </c>
      <c r="F3170" s="2" t="str">
        <f>HYPERLINK("http://www.otzar.org/book.asp?604445","אמרי ברוך")</f>
        <v>אמרי ברוך</v>
      </c>
    </row>
    <row r="3171" spans="1:6" x14ac:dyDescent="0.2">
      <c r="A3171" t="s">
        <v>6230</v>
      </c>
      <c r="B3171" t="s">
        <v>6237</v>
      </c>
      <c r="C3171" t="s">
        <v>558</v>
      </c>
      <c r="D3171" t="s">
        <v>6238</v>
      </c>
      <c r="E3171" t="s">
        <v>6239</v>
      </c>
      <c r="F3171" s="2" t="str">
        <f>HYPERLINK("http://www.otzar.org/book.asp?14229","אמרי ברוך")</f>
        <v>אמרי ברוך</v>
      </c>
    </row>
    <row r="3172" spans="1:6" x14ac:dyDescent="0.2">
      <c r="A3172" t="s">
        <v>6230</v>
      </c>
      <c r="B3172" t="s">
        <v>6240</v>
      </c>
      <c r="C3172" t="s">
        <v>13</v>
      </c>
      <c r="D3172" t="s">
        <v>14</v>
      </c>
      <c r="E3172" t="s">
        <v>230</v>
      </c>
      <c r="F3172" s="2" t="str">
        <f>HYPERLINK("http://www.otzar.org/book.asp?173131","אמרי ברוך")</f>
        <v>אמרי ברוך</v>
      </c>
    </row>
    <row r="3173" spans="1:6" x14ac:dyDescent="0.2">
      <c r="A3173" t="s">
        <v>6230</v>
      </c>
      <c r="B3173" t="s">
        <v>6241</v>
      </c>
      <c r="C3173" t="s">
        <v>547</v>
      </c>
      <c r="D3173" t="s">
        <v>1651</v>
      </c>
      <c r="E3173" t="s">
        <v>6242</v>
      </c>
      <c r="F3173" s="2" t="str">
        <f>HYPERLINK("http://www.otzar.org/book.asp?300288","אמרי ברוך")</f>
        <v>אמרי ברוך</v>
      </c>
    </row>
    <row r="3174" spans="1:6" x14ac:dyDescent="0.2">
      <c r="A3174" t="s">
        <v>6243</v>
      </c>
      <c r="B3174" t="s">
        <v>6244</v>
      </c>
      <c r="E3174" t="s">
        <v>158</v>
      </c>
      <c r="F3174" s="2" t="str">
        <f>HYPERLINK("http://www.otzar.org/book.asp?623838","אמרי ברוך - בראשית")</f>
        <v>אמרי ברוך - בראשית</v>
      </c>
    </row>
    <row r="3175" spans="1:6" x14ac:dyDescent="0.2">
      <c r="A3175" t="s">
        <v>6233</v>
      </c>
      <c r="B3175" t="s">
        <v>6245</v>
      </c>
      <c r="C3175" t="s">
        <v>1388</v>
      </c>
      <c r="D3175" t="s">
        <v>6246</v>
      </c>
      <c r="E3175" t="s">
        <v>202</v>
      </c>
      <c r="F3175" s="2" t="str">
        <f>HYPERLINK("http://www.otzar.org/book.asp?173870","אמרי ברוך - א")</f>
        <v>אמרי ברוך - א</v>
      </c>
    </row>
    <row r="3176" spans="1:6" x14ac:dyDescent="0.2">
      <c r="A3176" t="s">
        <v>6247</v>
      </c>
      <c r="B3176" t="s">
        <v>6248</v>
      </c>
      <c r="C3176" t="s">
        <v>133</v>
      </c>
      <c r="D3176" t="s">
        <v>14</v>
      </c>
      <c r="E3176" t="s">
        <v>186</v>
      </c>
      <c r="F3176" s="2" t="str">
        <f>HYPERLINK("http://www.otzar.org/book.asp?171892","אמרי ברוך - מנחות - סוגיות ציצית")</f>
        <v>אמרי ברוך - מנחות - סוגיות ציצית</v>
      </c>
    </row>
    <row r="3177" spans="1:6" x14ac:dyDescent="0.2">
      <c r="A3177" t="s">
        <v>6230</v>
      </c>
      <c r="B3177" t="s">
        <v>1750</v>
      </c>
      <c r="C3177" t="s">
        <v>523</v>
      </c>
      <c r="D3177" t="s">
        <v>14</v>
      </c>
      <c r="E3177" t="s">
        <v>202</v>
      </c>
      <c r="F3177" s="2" t="str">
        <f>HYPERLINK("http://www.otzar.org/book.asp?5006","אמרי ברוך")</f>
        <v>אמרי ברוך</v>
      </c>
    </row>
    <row r="3178" spans="1:6" x14ac:dyDescent="0.2">
      <c r="A3178" t="s">
        <v>6249</v>
      </c>
      <c r="B3178" t="s">
        <v>6250</v>
      </c>
      <c r="C3178" t="s">
        <v>6251</v>
      </c>
      <c r="D3178" t="s">
        <v>379</v>
      </c>
      <c r="E3178" t="s">
        <v>158</v>
      </c>
      <c r="F3178" s="2" t="str">
        <f>HYPERLINK("http://www.otzar.org/book.asp?16977","אמרי ברוך - שמות ויקרא")</f>
        <v>אמרי ברוך - שמות ויקרא</v>
      </c>
    </row>
    <row r="3179" spans="1:6" x14ac:dyDescent="0.2">
      <c r="A3179" t="s">
        <v>6230</v>
      </c>
      <c r="B3179" t="s">
        <v>6252</v>
      </c>
      <c r="C3179" t="s">
        <v>4144</v>
      </c>
      <c r="D3179" t="s">
        <v>535</v>
      </c>
      <c r="E3179" t="s">
        <v>6253</v>
      </c>
      <c r="F3179" s="2" t="str">
        <f>HYPERLINK("http://www.otzar.org/book.asp?300265","אמרי ברוך")</f>
        <v>אמרי ברוך</v>
      </c>
    </row>
    <row r="3180" spans="1:6" x14ac:dyDescent="0.2">
      <c r="A3180" t="s">
        <v>6254</v>
      </c>
      <c r="B3180" t="s">
        <v>6255</v>
      </c>
      <c r="C3180" t="s">
        <v>5823</v>
      </c>
      <c r="D3180" t="s">
        <v>267</v>
      </c>
      <c r="E3180" t="s">
        <v>144</v>
      </c>
      <c r="F3180" s="2" t="str">
        <f>HYPERLINK("http://www.otzar.org/book.asp?100297","אמרי ברכה")</f>
        <v>אמרי ברכה</v>
      </c>
    </row>
    <row r="3181" spans="1:6" x14ac:dyDescent="0.2">
      <c r="A3181" t="s">
        <v>6256</v>
      </c>
      <c r="B3181" t="s">
        <v>6257</v>
      </c>
      <c r="C3181" t="s">
        <v>146</v>
      </c>
      <c r="D3181" t="s">
        <v>14</v>
      </c>
      <c r="E3181" t="s">
        <v>144</v>
      </c>
      <c r="F3181" s="2" t="str">
        <f>HYPERLINK("http://www.otzar.org/book.asp?51806","אמרי גדליה - 9 כר'")</f>
        <v>אמרי גדליה - 9 כר'</v>
      </c>
    </row>
    <row r="3182" spans="1:6" x14ac:dyDescent="0.2">
      <c r="A3182" t="s">
        <v>6258</v>
      </c>
      <c r="B3182" t="s">
        <v>6259</v>
      </c>
      <c r="C3182" t="s">
        <v>523</v>
      </c>
      <c r="D3182" t="s">
        <v>52</v>
      </c>
      <c r="E3182" t="s">
        <v>144</v>
      </c>
      <c r="F3182" s="2" t="str">
        <f>HYPERLINK("http://www.otzar.org/book.asp?624635","אמרי דב - 2 כר'")</f>
        <v>אמרי דב - 2 כר'</v>
      </c>
    </row>
    <row r="3183" spans="1:6" x14ac:dyDescent="0.2">
      <c r="A3183" t="s">
        <v>6260</v>
      </c>
      <c r="B3183" t="s">
        <v>6261</v>
      </c>
      <c r="C3183" t="s">
        <v>17</v>
      </c>
      <c r="D3183" t="s">
        <v>52</v>
      </c>
      <c r="E3183" t="s">
        <v>186</v>
      </c>
      <c r="F3183" s="2" t="str">
        <f>HYPERLINK("http://www.otzar.org/book.asp?160563","אמרי דבי מדרשא - 3 כר'")</f>
        <v>אמרי דבי מדרשא - 3 כר'</v>
      </c>
    </row>
    <row r="3184" spans="1:6" x14ac:dyDescent="0.2">
      <c r="A3184" t="s">
        <v>6262</v>
      </c>
      <c r="B3184" t="s">
        <v>6263</v>
      </c>
      <c r="C3184" t="s">
        <v>1811</v>
      </c>
      <c r="D3184" t="s">
        <v>646</v>
      </c>
      <c r="E3184" t="s">
        <v>1211</v>
      </c>
      <c r="F3184" s="2" t="str">
        <f>HYPERLINK("http://www.otzar.org/book.asp?615774","אמרי דבש - א")</f>
        <v>אמרי דבש - א</v>
      </c>
    </row>
    <row r="3185" spans="1:6" x14ac:dyDescent="0.2">
      <c r="A3185" t="s">
        <v>6264</v>
      </c>
      <c r="B3185" t="s">
        <v>6265</v>
      </c>
      <c r="C3185" t="s">
        <v>111</v>
      </c>
      <c r="D3185" t="s">
        <v>90</v>
      </c>
      <c r="E3185" t="s">
        <v>219</v>
      </c>
      <c r="F3185" s="2" t="str">
        <f>HYPERLINK("http://www.otzar.org/book.asp?629800","אמרי דבש - ביאור על נשמת")</f>
        <v>אמרי דבש - ביאור על נשמת</v>
      </c>
    </row>
    <row r="3186" spans="1:6" x14ac:dyDescent="0.2">
      <c r="A3186" t="s">
        <v>6266</v>
      </c>
      <c r="B3186" t="s">
        <v>6267</v>
      </c>
      <c r="C3186" t="s">
        <v>462</v>
      </c>
      <c r="D3186" t="s">
        <v>3627</v>
      </c>
      <c r="E3186" t="s">
        <v>674</v>
      </c>
      <c r="F3186" s="2" t="str">
        <f>HYPERLINK("http://www.otzar.org/book.asp?300292","אמרי דוד וכתר מצות")</f>
        <v>אמרי דוד וכתר מצות</v>
      </c>
    </row>
    <row r="3187" spans="1:6" x14ac:dyDescent="0.2">
      <c r="A3187" t="s">
        <v>6268</v>
      </c>
      <c r="B3187" t="s">
        <v>6269</v>
      </c>
      <c r="C3187" t="s">
        <v>908</v>
      </c>
      <c r="D3187" t="s">
        <v>691</v>
      </c>
      <c r="E3187" t="s">
        <v>154</v>
      </c>
      <c r="F3187" s="2" t="str">
        <f>HYPERLINK("http://www.otzar.org/book.asp?10970","אמרי דוד")</f>
        <v>אמרי דוד</v>
      </c>
    </row>
    <row r="3188" spans="1:6" x14ac:dyDescent="0.2">
      <c r="A3188" t="s">
        <v>6268</v>
      </c>
      <c r="B3188" t="s">
        <v>6270</v>
      </c>
      <c r="C3188" t="s">
        <v>151</v>
      </c>
      <c r="D3188" t="s">
        <v>52</v>
      </c>
      <c r="F3188" s="2" t="str">
        <f>HYPERLINK("http://www.otzar.org/book.asp?609660","אמרי דוד")</f>
        <v>אמרי דוד</v>
      </c>
    </row>
    <row r="3189" spans="1:6" x14ac:dyDescent="0.2">
      <c r="A3189" t="s">
        <v>6271</v>
      </c>
      <c r="B3189" t="s">
        <v>702</v>
      </c>
      <c r="C3189" t="s">
        <v>2132</v>
      </c>
      <c r="D3189" t="s">
        <v>52</v>
      </c>
      <c r="E3189" t="s">
        <v>158</v>
      </c>
      <c r="F3189" s="2" t="str">
        <f>HYPERLINK("http://www.otzar.org/book.asp?179235","אמרי דוד - 3 כר'")</f>
        <v>אמרי דוד - 3 כר'</v>
      </c>
    </row>
    <row r="3190" spans="1:6" x14ac:dyDescent="0.2">
      <c r="A3190" t="s">
        <v>6272</v>
      </c>
      <c r="B3190" t="s">
        <v>6273</v>
      </c>
      <c r="C3190" t="s">
        <v>1811</v>
      </c>
      <c r="D3190" t="s">
        <v>27</v>
      </c>
      <c r="E3190" t="s">
        <v>15</v>
      </c>
      <c r="F3190" s="2" t="str">
        <f>HYPERLINK("http://www.otzar.org/book.asp?24941","אמרי דוד - 2 כר'")</f>
        <v>אמרי דוד - 2 כר'</v>
      </c>
    </row>
    <row r="3191" spans="1:6" x14ac:dyDescent="0.2">
      <c r="A3191" t="s">
        <v>6274</v>
      </c>
      <c r="B3191" t="s">
        <v>6275</v>
      </c>
      <c r="C3191" t="s">
        <v>775</v>
      </c>
      <c r="D3191" t="s">
        <v>52</v>
      </c>
      <c r="E3191" t="s">
        <v>144</v>
      </c>
      <c r="F3191" s="2" t="str">
        <f>HYPERLINK("http://www.otzar.org/book.asp?23906","אמרי דוד - נשים, נזיקין")</f>
        <v>אמרי דוד - נשים, נזיקין</v>
      </c>
    </row>
    <row r="3192" spans="1:6" x14ac:dyDescent="0.2">
      <c r="A3192" t="s">
        <v>6268</v>
      </c>
      <c r="B3192" t="s">
        <v>6276</v>
      </c>
      <c r="C3192" t="s">
        <v>411</v>
      </c>
      <c r="D3192" t="s">
        <v>21</v>
      </c>
      <c r="F3192" s="2" t="str">
        <f>HYPERLINK("http://www.otzar.org/book.asp?610082","אמרי דוד")</f>
        <v>אמרי דוד</v>
      </c>
    </row>
    <row r="3193" spans="1:6" x14ac:dyDescent="0.2">
      <c r="A3193" t="s">
        <v>6272</v>
      </c>
      <c r="B3193" t="s">
        <v>6277</v>
      </c>
      <c r="C3193" t="s">
        <v>1885</v>
      </c>
      <c r="D3193" t="s">
        <v>267</v>
      </c>
      <c r="E3193" t="s">
        <v>172</v>
      </c>
      <c r="F3193" s="2" t="str">
        <f>HYPERLINK("http://www.otzar.org/book.asp?64030","אמרי דוד - 2 כר'")</f>
        <v>אמרי דוד - 2 כר'</v>
      </c>
    </row>
    <row r="3194" spans="1:6" x14ac:dyDescent="0.2">
      <c r="A3194" t="s">
        <v>6268</v>
      </c>
      <c r="B3194" t="s">
        <v>6278</v>
      </c>
      <c r="C3194" t="s">
        <v>624</v>
      </c>
      <c r="D3194" t="s">
        <v>14</v>
      </c>
      <c r="E3194" t="s">
        <v>2071</v>
      </c>
      <c r="F3194" s="2" t="str">
        <f>HYPERLINK("http://www.otzar.org/book.asp?61613","אמרי דוד")</f>
        <v>אמרי דוד</v>
      </c>
    </row>
    <row r="3195" spans="1:6" x14ac:dyDescent="0.2">
      <c r="A3195" t="s">
        <v>6279</v>
      </c>
      <c r="B3195" t="s">
        <v>6280</v>
      </c>
      <c r="C3195" t="s">
        <v>37</v>
      </c>
      <c r="D3195" t="s">
        <v>147</v>
      </c>
      <c r="E3195" t="s">
        <v>158</v>
      </c>
      <c r="F3195" s="2" t="str">
        <f>HYPERLINK("http://www.otzar.org/book.asp?199631","אמרי דוד - בראשית")</f>
        <v>אמרי דוד - בראשית</v>
      </c>
    </row>
    <row r="3196" spans="1:6" x14ac:dyDescent="0.2">
      <c r="A3196" t="s">
        <v>6281</v>
      </c>
      <c r="B3196" t="s">
        <v>6282</v>
      </c>
      <c r="C3196" t="s">
        <v>20</v>
      </c>
      <c r="D3196" t="s">
        <v>6283</v>
      </c>
      <c r="E3196" t="s">
        <v>148</v>
      </c>
      <c r="F3196" s="2" t="str">
        <f>HYPERLINK("http://www.otzar.org/book.asp?197080","אמרי דוד - שו""ע")</f>
        <v>אמרי דוד - שו"ע</v>
      </c>
    </row>
    <row r="3197" spans="1:6" x14ac:dyDescent="0.2">
      <c r="A3197" t="s">
        <v>6284</v>
      </c>
      <c r="B3197" t="s">
        <v>6285</v>
      </c>
      <c r="C3197" t="s">
        <v>103</v>
      </c>
      <c r="D3197" t="s">
        <v>14</v>
      </c>
      <c r="E3197" t="s">
        <v>144</v>
      </c>
      <c r="F3197" s="2" t="str">
        <f>HYPERLINK("http://www.otzar.org/book.asp?621800","אמרי דוד - 4 כר'")</f>
        <v>אמרי דוד - 4 כר'</v>
      </c>
    </row>
    <row r="3198" spans="1:6" x14ac:dyDescent="0.2">
      <c r="A3198" t="s">
        <v>6271</v>
      </c>
      <c r="B3198" t="s">
        <v>6286</v>
      </c>
      <c r="C3198" t="s">
        <v>180</v>
      </c>
      <c r="D3198" t="s">
        <v>9</v>
      </c>
      <c r="E3198" t="s">
        <v>559</v>
      </c>
      <c r="F3198" s="2" t="str">
        <f>HYPERLINK("http://www.otzar.org/book.asp?300283","אמרי דוד - 3 כר'")</f>
        <v>אמרי דוד - 3 כר'</v>
      </c>
    </row>
    <row r="3199" spans="1:6" x14ac:dyDescent="0.2">
      <c r="A3199" t="s">
        <v>6287</v>
      </c>
      <c r="B3199" t="s">
        <v>6288</v>
      </c>
      <c r="C3199" t="s">
        <v>466</v>
      </c>
      <c r="D3199" t="s">
        <v>14</v>
      </c>
      <c r="E3199" t="s">
        <v>158</v>
      </c>
      <c r="F3199" s="2" t="str">
        <f>HYPERLINK("http://www.otzar.org/book.asp?61035","אמרי דניאל - 4 כר'")</f>
        <v>אמרי דניאל - 4 כר'</v>
      </c>
    </row>
    <row r="3200" spans="1:6" x14ac:dyDescent="0.2">
      <c r="A3200" t="s">
        <v>6289</v>
      </c>
      <c r="B3200" t="s">
        <v>6290</v>
      </c>
      <c r="C3200" t="s">
        <v>133</v>
      </c>
      <c r="D3200" t="s">
        <v>412</v>
      </c>
      <c r="E3200" t="s">
        <v>172</v>
      </c>
      <c r="F3200" s="2" t="str">
        <f>HYPERLINK("http://www.otzar.org/book.asp?176962","אמרי דעה - שו""ע יו""ד בשר בחלב")</f>
        <v>אמרי דעה - שו"ע יו"ד בשר בחלב</v>
      </c>
    </row>
    <row r="3201" spans="1:6" x14ac:dyDescent="0.2">
      <c r="A3201" t="s">
        <v>6291</v>
      </c>
      <c r="B3201" t="s">
        <v>6292</v>
      </c>
      <c r="C3201" t="s">
        <v>13</v>
      </c>
      <c r="D3201" t="s">
        <v>52</v>
      </c>
      <c r="E3201" t="s">
        <v>148</v>
      </c>
      <c r="F3201" s="2" t="str">
        <f>HYPERLINK("http://www.otzar.org/book.asp?60508","אמרי דעה - יו""ד פז-קיא")</f>
        <v>אמרי דעה - יו"ד פז-קיא</v>
      </c>
    </row>
    <row r="3202" spans="1:6" x14ac:dyDescent="0.2">
      <c r="A3202" t="s">
        <v>6293</v>
      </c>
      <c r="B3202" t="s">
        <v>6294</v>
      </c>
      <c r="C3202" t="s">
        <v>17</v>
      </c>
      <c r="D3202" t="s">
        <v>14</v>
      </c>
      <c r="E3202" t="s">
        <v>6295</v>
      </c>
      <c r="F3202" s="2" t="str">
        <f>HYPERLINK("http://www.otzar.org/book.asp?50655","אמרי דעה")</f>
        <v>אמרי דעה</v>
      </c>
    </row>
    <row r="3203" spans="1:6" x14ac:dyDescent="0.2">
      <c r="A3203" t="s">
        <v>6296</v>
      </c>
      <c r="B3203" t="s">
        <v>6297</v>
      </c>
      <c r="C3203" t="s">
        <v>2644</v>
      </c>
      <c r="D3203" t="s">
        <v>1117</v>
      </c>
      <c r="E3203" t="s">
        <v>579</v>
      </c>
      <c r="F3203" s="2" t="str">
        <f>HYPERLINK("http://www.otzar.org/book.asp?103122","אמרי דעת")</f>
        <v>אמרי דעת</v>
      </c>
    </row>
    <row r="3204" spans="1:6" x14ac:dyDescent="0.2">
      <c r="A3204" t="s">
        <v>6296</v>
      </c>
      <c r="B3204" t="s">
        <v>6209</v>
      </c>
      <c r="C3204" t="s">
        <v>63</v>
      </c>
      <c r="D3204" t="s">
        <v>14</v>
      </c>
      <c r="E3204" t="s">
        <v>241</v>
      </c>
      <c r="F3204" s="2" t="str">
        <f>HYPERLINK("http://www.otzar.org/book.asp?10338","אמרי דעת")</f>
        <v>אמרי דעת</v>
      </c>
    </row>
    <row r="3205" spans="1:6" x14ac:dyDescent="0.2">
      <c r="A3205" t="s">
        <v>6296</v>
      </c>
      <c r="B3205" t="s">
        <v>6298</v>
      </c>
      <c r="C3205" t="s">
        <v>51</v>
      </c>
      <c r="D3205" t="s">
        <v>52</v>
      </c>
      <c r="E3205" t="s">
        <v>508</v>
      </c>
      <c r="F3205" s="2" t="str">
        <f>HYPERLINK("http://www.otzar.org/book.asp?50210","אמרי דעת")</f>
        <v>אמרי דעת</v>
      </c>
    </row>
    <row r="3206" spans="1:6" x14ac:dyDescent="0.2">
      <c r="A3206" t="s">
        <v>6296</v>
      </c>
      <c r="B3206" t="s">
        <v>6299</v>
      </c>
      <c r="C3206" t="s">
        <v>594</v>
      </c>
      <c r="D3206" t="s">
        <v>535</v>
      </c>
      <c r="E3206" t="s">
        <v>158</v>
      </c>
      <c r="F3206" s="2" t="str">
        <f>HYPERLINK("http://www.otzar.org/book.asp?300286","אמרי דעת")</f>
        <v>אמרי דעת</v>
      </c>
    </row>
    <row r="3207" spans="1:6" x14ac:dyDescent="0.2">
      <c r="A3207" t="s">
        <v>6296</v>
      </c>
      <c r="B3207" t="s">
        <v>1634</v>
      </c>
      <c r="C3207" t="s">
        <v>5903</v>
      </c>
      <c r="D3207" t="s">
        <v>1081</v>
      </c>
      <c r="E3207" t="s">
        <v>6300</v>
      </c>
      <c r="F3207" s="2" t="str">
        <f>HYPERLINK("http://www.otzar.org/book.asp?21526","אמרי דעת")</f>
        <v>אמרי דעת</v>
      </c>
    </row>
    <row r="3208" spans="1:6" x14ac:dyDescent="0.2">
      <c r="A3208" t="s">
        <v>6301</v>
      </c>
      <c r="B3208" t="s">
        <v>6302</v>
      </c>
      <c r="C3208" t="s">
        <v>411</v>
      </c>
      <c r="D3208" t="s">
        <v>52</v>
      </c>
      <c r="E3208" t="s">
        <v>104</v>
      </c>
      <c r="F3208" s="2" t="str">
        <f>HYPERLINK("http://www.otzar.org/book.asp?194921","אמרי דעת - 2 כר'")</f>
        <v>אמרי דעת - 2 כר'</v>
      </c>
    </row>
    <row r="3209" spans="1:6" x14ac:dyDescent="0.2">
      <c r="A3209" t="s">
        <v>6296</v>
      </c>
      <c r="B3209" t="s">
        <v>6303</v>
      </c>
      <c r="C3209" t="s">
        <v>433</v>
      </c>
      <c r="D3209" t="s">
        <v>27</v>
      </c>
      <c r="E3209" t="s">
        <v>158</v>
      </c>
      <c r="F3209" s="2" t="str">
        <f>HYPERLINK("http://www.otzar.org/book.asp?160249","אמרי דעת")</f>
        <v>אמרי דעת</v>
      </c>
    </row>
    <row r="3210" spans="1:6" x14ac:dyDescent="0.2">
      <c r="A3210" t="s">
        <v>6296</v>
      </c>
      <c r="B3210" t="s">
        <v>6304</v>
      </c>
      <c r="C3210" t="s">
        <v>767</v>
      </c>
      <c r="D3210" t="s">
        <v>14</v>
      </c>
      <c r="E3210" t="s">
        <v>6305</v>
      </c>
      <c r="F3210" s="2" t="str">
        <f>HYPERLINK("http://www.otzar.org/book.asp?50032","אמרי דעת")</f>
        <v>אמרי דעת</v>
      </c>
    </row>
    <row r="3211" spans="1:6" x14ac:dyDescent="0.2">
      <c r="A3211" t="s">
        <v>6301</v>
      </c>
      <c r="B3211" t="s">
        <v>3760</v>
      </c>
      <c r="C3211" t="s">
        <v>624</v>
      </c>
      <c r="D3211" t="s">
        <v>52</v>
      </c>
      <c r="E3211" t="s">
        <v>604</v>
      </c>
      <c r="F3211" s="2" t="str">
        <f>HYPERLINK("http://www.otzar.org/book.asp?107215","אמרי דעת - 2 כר'")</f>
        <v>אמרי דעת - 2 כר'</v>
      </c>
    </row>
    <row r="3212" spans="1:6" x14ac:dyDescent="0.2">
      <c r="A3212" t="s">
        <v>6306</v>
      </c>
      <c r="B3212" t="s">
        <v>6307</v>
      </c>
      <c r="C3212" t="s">
        <v>466</v>
      </c>
      <c r="D3212" t="s">
        <v>52</v>
      </c>
      <c r="E3212" t="s">
        <v>144</v>
      </c>
      <c r="F3212" s="2" t="str">
        <f>HYPERLINK("http://www.otzar.org/book.asp?60575","אמרי הדף - 2 כר'")</f>
        <v>אמרי הדף - 2 כר'</v>
      </c>
    </row>
    <row r="3213" spans="1:6" x14ac:dyDescent="0.2">
      <c r="A3213" t="s">
        <v>6308</v>
      </c>
      <c r="B3213" t="s">
        <v>6309</v>
      </c>
      <c r="C3213" t="s">
        <v>189</v>
      </c>
      <c r="D3213" t="s">
        <v>14</v>
      </c>
      <c r="E3213" t="s">
        <v>154</v>
      </c>
      <c r="F3213" s="2" t="str">
        <f>HYPERLINK("http://www.otzar.org/book.asp?50183","אמרי הלכה ומנהג")</f>
        <v>אמרי הלכה ומנהג</v>
      </c>
    </row>
    <row r="3214" spans="1:6" x14ac:dyDescent="0.2">
      <c r="A3214" t="s">
        <v>6310</v>
      </c>
      <c r="B3214" t="s">
        <v>6311</v>
      </c>
      <c r="C3214" t="s">
        <v>37</v>
      </c>
      <c r="D3214" t="s">
        <v>152</v>
      </c>
      <c r="E3214" t="s">
        <v>172</v>
      </c>
      <c r="F3214" s="2" t="str">
        <f>HYPERLINK("http://www.otzar.org/book.asp?183063","אמרי הלכה")</f>
        <v>אמרי הלכה</v>
      </c>
    </row>
    <row r="3215" spans="1:6" x14ac:dyDescent="0.2">
      <c r="A3215" t="s">
        <v>6312</v>
      </c>
      <c r="B3215" t="s">
        <v>6313</v>
      </c>
      <c r="C3215" t="s">
        <v>114</v>
      </c>
      <c r="D3215" t="s">
        <v>14</v>
      </c>
      <c r="E3215" t="s">
        <v>172</v>
      </c>
      <c r="F3215" s="2" t="str">
        <f>HYPERLINK("http://www.otzar.org/book.asp?85830","אמרי הלכה - 2 כר'")</f>
        <v>אמרי הלכה - 2 כר'</v>
      </c>
    </row>
    <row r="3216" spans="1:6" x14ac:dyDescent="0.2">
      <c r="A3216" t="s">
        <v>6310</v>
      </c>
      <c r="B3216" t="s">
        <v>6314</v>
      </c>
      <c r="C3216" t="s">
        <v>1663</v>
      </c>
      <c r="D3216" t="s">
        <v>9</v>
      </c>
      <c r="E3216" t="s">
        <v>508</v>
      </c>
      <c r="F3216" s="2" t="str">
        <f>HYPERLINK("http://www.otzar.org/book.asp?300289","אמרי הלכה")</f>
        <v>אמרי הלכה</v>
      </c>
    </row>
    <row r="3217" spans="1:6" x14ac:dyDescent="0.2">
      <c r="A3217" t="s">
        <v>6315</v>
      </c>
      <c r="B3217" t="s">
        <v>6316</v>
      </c>
      <c r="C3217" t="s">
        <v>180</v>
      </c>
      <c r="D3217" t="s">
        <v>1180</v>
      </c>
      <c r="E3217" t="s">
        <v>84</v>
      </c>
      <c r="F3217" s="2" t="str">
        <f>HYPERLINK("http://www.otzar.org/book.asp?199725","אמרי המז""ג")</f>
        <v>אמרי המז"ג</v>
      </c>
    </row>
    <row r="3218" spans="1:6" x14ac:dyDescent="0.2">
      <c r="A3218" t="s">
        <v>6317</v>
      </c>
      <c r="B3218" t="s">
        <v>6318</v>
      </c>
      <c r="C3218" t="s">
        <v>23</v>
      </c>
      <c r="D3218" t="s">
        <v>52</v>
      </c>
      <c r="E3218" t="s">
        <v>15</v>
      </c>
      <c r="F3218" s="2" t="str">
        <f>HYPERLINK("http://www.otzar.org/book.asp?199670","אמרי המצוה")</f>
        <v>אמרי המצוה</v>
      </c>
    </row>
    <row r="3219" spans="1:6" x14ac:dyDescent="0.2">
      <c r="A3219" t="s">
        <v>6319</v>
      </c>
      <c r="B3219" t="s">
        <v>6320</v>
      </c>
      <c r="C3219" t="s">
        <v>2550</v>
      </c>
      <c r="D3219" t="s">
        <v>947</v>
      </c>
      <c r="E3219" t="s">
        <v>325</v>
      </c>
      <c r="F3219" s="2" t="str">
        <f>HYPERLINK("http://www.otzar.org/book.asp?141155","אמרי הצבי - 5 כר'")</f>
        <v>אמרי הצבי - 5 כר'</v>
      </c>
    </row>
    <row r="3220" spans="1:6" x14ac:dyDescent="0.2">
      <c r="A3220" t="s">
        <v>6321</v>
      </c>
      <c r="B3220" t="s">
        <v>6322</v>
      </c>
      <c r="C3220" t="s">
        <v>411</v>
      </c>
      <c r="D3220" t="s">
        <v>52</v>
      </c>
      <c r="E3220" t="s">
        <v>158</v>
      </c>
      <c r="F3220" s="2" t="str">
        <f>HYPERLINK("http://www.otzar.org/book.asp?168281","אמרי הרי""ם - 6 כר'")</f>
        <v>אמרי הרי"ם - 6 כר'</v>
      </c>
    </row>
    <row r="3221" spans="1:6" x14ac:dyDescent="0.2">
      <c r="A3221" t="s">
        <v>6323</v>
      </c>
      <c r="B3221" t="s">
        <v>6209</v>
      </c>
      <c r="C3221" t="s">
        <v>956</v>
      </c>
      <c r="D3221" t="s">
        <v>14</v>
      </c>
      <c r="E3221" t="s">
        <v>38</v>
      </c>
      <c r="F3221" s="2" t="str">
        <f>HYPERLINK("http://www.otzar.org/book.asp?103123","אמרי השכל")</f>
        <v>אמרי השכל</v>
      </c>
    </row>
    <row r="3222" spans="1:6" x14ac:dyDescent="0.2">
      <c r="A3222" t="s">
        <v>6323</v>
      </c>
      <c r="B3222" t="s">
        <v>6324</v>
      </c>
      <c r="C3222" t="s">
        <v>496</v>
      </c>
      <c r="D3222" t="s">
        <v>691</v>
      </c>
      <c r="E3222" t="s">
        <v>234</v>
      </c>
      <c r="F3222" s="2" t="str">
        <f>HYPERLINK("http://www.otzar.org/book.asp?300253","אמרי השכל")</f>
        <v>אמרי השכל</v>
      </c>
    </row>
    <row r="3223" spans="1:6" x14ac:dyDescent="0.2">
      <c r="A3223" t="s">
        <v>6325</v>
      </c>
      <c r="B3223" t="s">
        <v>6318</v>
      </c>
      <c r="C3223" t="s">
        <v>133</v>
      </c>
      <c r="D3223" t="s">
        <v>52</v>
      </c>
      <c r="E3223" t="s">
        <v>230</v>
      </c>
      <c r="F3223" s="2" t="str">
        <f>HYPERLINK("http://www.otzar.org/book.asp?199671","אמרי התורה")</f>
        <v>אמרי התורה</v>
      </c>
    </row>
    <row r="3224" spans="1:6" x14ac:dyDescent="0.2">
      <c r="A3224" t="s">
        <v>6326</v>
      </c>
      <c r="B3224" t="s">
        <v>6327</v>
      </c>
      <c r="C3224" t="s">
        <v>1228</v>
      </c>
      <c r="D3224" t="s">
        <v>225</v>
      </c>
      <c r="E3224" t="s">
        <v>701</v>
      </c>
      <c r="F3224" s="2" t="str">
        <f>HYPERLINK("http://www.otzar.org/book.asp?300252","אמרי זאב")</f>
        <v>אמרי זאב</v>
      </c>
    </row>
    <row r="3225" spans="1:6" x14ac:dyDescent="0.2">
      <c r="A3225" t="s">
        <v>6328</v>
      </c>
      <c r="B3225" t="s">
        <v>6329</v>
      </c>
      <c r="C3225" t="s">
        <v>20</v>
      </c>
      <c r="D3225" t="s">
        <v>646</v>
      </c>
      <c r="E3225" t="s">
        <v>144</v>
      </c>
      <c r="F3225" s="2" t="str">
        <f>HYPERLINK("http://www.otzar.org/book.asp?178975","אמרי זיו - 3 כר'")</f>
        <v>אמרי זיו - 3 כר'</v>
      </c>
    </row>
    <row r="3226" spans="1:6" x14ac:dyDescent="0.2">
      <c r="A3226" t="s">
        <v>6330</v>
      </c>
      <c r="B3226" t="s">
        <v>6331</v>
      </c>
      <c r="C3226" t="s">
        <v>785</v>
      </c>
      <c r="D3226" t="s">
        <v>52</v>
      </c>
      <c r="E3226" t="s">
        <v>604</v>
      </c>
      <c r="F3226" s="2" t="str">
        <f>HYPERLINK("http://www.otzar.org/book.asp?60627","אמרי ח""ן - 11 כר'")</f>
        <v>אמרי ח"ן - 11 כר'</v>
      </c>
    </row>
    <row r="3227" spans="1:6" x14ac:dyDescent="0.2">
      <c r="A3227" t="s">
        <v>6332</v>
      </c>
      <c r="B3227" t="s">
        <v>6333</v>
      </c>
      <c r="C3227" t="s">
        <v>523</v>
      </c>
      <c r="D3227" t="s">
        <v>52</v>
      </c>
      <c r="E3227" t="s">
        <v>15</v>
      </c>
      <c r="F3227" s="2" t="str">
        <f>HYPERLINK("http://www.otzar.org/book.asp?191720","אמרי חב""ר - טהרת השבת כהלכתה ג, ברכות החיים תניינא, יקרא דשכבי, אות חיים תניינא")</f>
        <v>אמרי חב"ר - טהרת השבת כהלכתה ג, ברכות החיים תניינא, יקרא דשכבי, אות חיים תניינא</v>
      </c>
    </row>
    <row r="3228" spans="1:6" x14ac:dyDescent="0.2">
      <c r="A3228" t="s">
        <v>6334</v>
      </c>
      <c r="B3228" t="s">
        <v>6335</v>
      </c>
      <c r="C3228" t="s">
        <v>523</v>
      </c>
      <c r="D3228" t="s">
        <v>52</v>
      </c>
      <c r="E3228" t="s">
        <v>28</v>
      </c>
      <c r="F3228" s="2" t="str">
        <f>HYPERLINK("http://www.otzar.org/book.asp?15344","אמרי חב""ר")</f>
        <v>אמרי חב"ר</v>
      </c>
    </row>
    <row r="3229" spans="1:6" x14ac:dyDescent="0.2">
      <c r="A3229" t="s">
        <v>6336</v>
      </c>
      <c r="B3229" t="s">
        <v>6337</v>
      </c>
      <c r="C3229" t="s">
        <v>143</v>
      </c>
      <c r="D3229" t="s">
        <v>1076</v>
      </c>
      <c r="E3229" t="s">
        <v>4586</v>
      </c>
      <c r="F3229" s="2" t="str">
        <f>HYPERLINK("http://www.otzar.org/book.asp?85686","אמרי חזקיה")</f>
        <v>אמרי חזקיה</v>
      </c>
    </row>
    <row r="3230" spans="1:6" x14ac:dyDescent="0.2">
      <c r="A3230" t="s">
        <v>6338</v>
      </c>
      <c r="B3230" t="s">
        <v>6339</v>
      </c>
      <c r="C3230" t="s">
        <v>133</v>
      </c>
      <c r="D3230" t="s">
        <v>245</v>
      </c>
      <c r="E3230" t="s">
        <v>144</v>
      </c>
      <c r="F3230" s="2" t="str">
        <f>HYPERLINK("http://www.otzar.org/book.asp?172998","אמרי חיים עוזר - פסחים")</f>
        <v>אמרי חיים עוזר - פסחים</v>
      </c>
    </row>
    <row r="3231" spans="1:6" x14ac:dyDescent="0.2">
      <c r="A3231" t="s">
        <v>6340</v>
      </c>
      <c r="B3231" t="s">
        <v>6255</v>
      </c>
      <c r="C3231" t="s">
        <v>617</v>
      </c>
      <c r="D3231" t="s">
        <v>267</v>
      </c>
      <c r="E3231" t="s">
        <v>674</v>
      </c>
      <c r="F3231" s="2" t="str">
        <f>HYPERLINK("http://www.otzar.org/book.asp?100298","אמרי חיים")</f>
        <v>אמרי חיים</v>
      </c>
    </row>
    <row r="3232" spans="1:6" x14ac:dyDescent="0.2">
      <c r="A3232" t="s">
        <v>6341</v>
      </c>
      <c r="B3232" t="s">
        <v>6342</v>
      </c>
      <c r="C3232" t="s">
        <v>785</v>
      </c>
      <c r="D3232" t="s">
        <v>52</v>
      </c>
      <c r="E3232" t="s">
        <v>158</v>
      </c>
      <c r="F3232" s="2" t="str">
        <f>HYPERLINK("http://www.otzar.org/book.asp?145275","אמרי חיים - 4 כר'")</f>
        <v>אמרי חיים - 4 כר'</v>
      </c>
    </row>
    <row r="3233" spans="1:6" x14ac:dyDescent="0.2">
      <c r="A3233" t="s">
        <v>6340</v>
      </c>
      <c r="B3233" t="s">
        <v>6343</v>
      </c>
      <c r="C3233" t="s">
        <v>1166</v>
      </c>
      <c r="D3233" t="s">
        <v>225</v>
      </c>
      <c r="E3233" t="s">
        <v>144</v>
      </c>
      <c r="F3233" s="2" t="str">
        <f>HYPERLINK("http://www.otzar.org/book.asp?16627","אמרי חיים")</f>
        <v>אמרי חיים</v>
      </c>
    </row>
    <row r="3234" spans="1:6" x14ac:dyDescent="0.2">
      <c r="A3234" t="s">
        <v>6340</v>
      </c>
      <c r="B3234" t="s">
        <v>6344</v>
      </c>
      <c r="C3234" t="s">
        <v>151</v>
      </c>
      <c r="D3234" t="s">
        <v>14</v>
      </c>
      <c r="E3234" t="s">
        <v>144</v>
      </c>
      <c r="F3234" s="2" t="str">
        <f>HYPERLINK("http://www.otzar.org/book.asp?619399","אמרי חיים")</f>
        <v>אמרי חיים</v>
      </c>
    </row>
    <row r="3235" spans="1:6" x14ac:dyDescent="0.2">
      <c r="A3235" t="s">
        <v>6340</v>
      </c>
      <c r="B3235" t="s">
        <v>6345</v>
      </c>
      <c r="C3235" t="s">
        <v>438</v>
      </c>
      <c r="D3235" t="s">
        <v>115</v>
      </c>
      <c r="F3235" s="2" t="str">
        <f>HYPERLINK("http://www.otzar.org/book.asp?610932","אמרי חיים")</f>
        <v>אמרי חיים</v>
      </c>
    </row>
    <row r="3236" spans="1:6" x14ac:dyDescent="0.2">
      <c r="A3236" t="s">
        <v>6346</v>
      </c>
      <c r="B3236" t="s">
        <v>6347</v>
      </c>
      <c r="C3236" t="s">
        <v>1619</v>
      </c>
      <c r="D3236" t="s">
        <v>27</v>
      </c>
      <c r="E3236" t="s">
        <v>2071</v>
      </c>
      <c r="F3236" s="2" t="str">
        <f>HYPERLINK("http://www.otzar.org/book.asp?144190","אמרי חיים - תנינא")</f>
        <v>אמרי חיים - תנינא</v>
      </c>
    </row>
    <row r="3237" spans="1:6" x14ac:dyDescent="0.2">
      <c r="A3237" t="s">
        <v>6340</v>
      </c>
      <c r="B3237" t="s">
        <v>6348</v>
      </c>
      <c r="C3237" t="s">
        <v>609</v>
      </c>
      <c r="D3237" t="s">
        <v>260</v>
      </c>
      <c r="E3237" t="s">
        <v>1262</v>
      </c>
      <c r="F3237" s="2" t="str">
        <f>HYPERLINK("http://www.otzar.org/book.asp?103124","אמרי חיים")</f>
        <v>אמרי חיים</v>
      </c>
    </row>
    <row r="3238" spans="1:6" x14ac:dyDescent="0.2">
      <c r="A3238" t="s">
        <v>6340</v>
      </c>
      <c r="B3238" t="s">
        <v>6349</v>
      </c>
      <c r="C3238" t="s">
        <v>87</v>
      </c>
      <c r="D3238" t="s">
        <v>412</v>
      </c>
      <c r="E3238" t="s">
        <v>325</v>
      </c>
      <c r="F3238" s="2" t="str">
        <f>HYPERLINK("http://www.otzar.org/book.asp?168234","אמרי חיים")</f>
        <v>אמרי חיים</v>
      </c>
    </row>
    <row r="3239" spans="1:6" x14ac:dyDescent="0.2">
      <c r="A3239" t="s">
        <v>6350</v>
      </c>
      <c r="B3239" t="s">
        <v>3166</v>
      </c>
      <c r="C3239" t="s">
        <v>189</v>
      </c>
      <c r="D3239" t="s">
        <v>14</v>
      </c>
      <c r="E3239" t="s">
        <v>241</v>
      </c>
      <c r="F3239" s="2" t="str">
        <f>HYPERLINK("http://www.otzar.org/book.asp?22595","אמרי חיים - 2 כר'")</f>
        <v>אמרי חיים - 2 כר'</v>
      </c>
    </row>
    <row r="3240" spans="1:6" x14ac:dyDescent="0.2">
      <c r="A3240" t="s">
        <v>6350</v>
      </c>
      <c r="B3240" t="s">
        <v>6351</v>
      </c>
      <c r="C3240" t="s">
        <v>1096</v>
      </c>
      <c r="D3240" t="s">
        <v>283</v>
      </c>
      <c r="E3240" t="s">
        <v>144</v>
      </c>
      <c r="F3240" s="2" t="str">
        <f>HYPERLINK("http://www.otzar.org/book.asp?6675","אמרי חיים - 2 כר'")</f>
        <v>אמרי חיים - 2 כר'</v>
      </c>
    </row>
    <row r="3241" spans="1:6" x14ac:dyDescent="0.2">
      <c r="A3241" t="s">
        <v>6352</v>
      </c>
      <c r="B3241" t="s">
        <v>6353</v>
      </c>
      <c r="C3241" t="s">
        <v>146</v>
      </c>
      <c r="D3241" t="s">
        <v>1550</v>
      </c>
      <c r="E3241" t="s">
        <v>2915</v>
      </c>
      <c r="F3241" s="2" t="str">
        <f>HYPERLINK("http://www.otzar.org/book.asp?159771","אמרי חיים - 3 כר'")</f>
        <v>אמרי חיים - 3 כר'</v>
      </c>
    </row>
    <row r="3242" spans="1:6" x14ac:dyDescent="0.2">
      <c r="A3242" t="s">
        <v>6340</v>
      </c>
      <c r="B3242" t="s">
        <v>6354</v>
      </c>
      <c r="C3242" t="s">
        <v>989</v>
      </c>
      <c r="D3242" t="s">
        <v>14</v>
      </c>
      <c r="E3242" t="s">
        <v>424</v>
      </c>
      <c r="F3242" s="2" t="str">
        <f>HYPERLINK("http://www.otzar.org/book.asp?60306","אמרי חיים")</f>
        <v>אמרי חיים</v>
      </c>
    </row>
    <row r="3243" spans="1:6" x14ac:dyDescent="0.2">
      <c r="A3243" t="s">
        <v>6355</v>
      </c>
      <c r="B3243" t="s">
        <v>6209</v>
      </c>
      <c r="C3243" t="s">
        <v>427</v>
      </c>
      <c r="D3243" t="s">
        <v>14</v>
      </c>
      <c r="E3243" t="s">
        <v>158</v>
      </c>
      <c r="F3243" s="2" t="str">
        <f>HYPERLINK("http://www.otzar.org/book.asp?7208","אמרי חכמה - על חלק זעיר מקהלת")</f>
        <v>אמרי חכמה - על חלק זעיר מקהלת</v>
      </c>
    </row>
    <row r="3244" spans="1:6" x14ac:dyDescent="0.2">
      <c r="A3244" t="s">
        <v>6356</v>
      </c>
      <c r="B3244" t="s">
        <v>6357</v>
      </c>
      <c r="C3244" t="s">
        <v>466</v>
      </c>
      <c r="D3244" t="s">
        <v>14</v>
      </c>
      <c r="E3244" t="s">
        <v>144</v>
      </c>
      <c r="F3244" s="2" t="str">
        <f>HYPERLINK("http://www.otzar.org/book.asp?25978","אמרי חמד - 6 כר'")</f>
        <v>אמרי חמד - 6 כר'</v>
      </c>
    </row>
    <row r="3245" spans="1:6" x14ac:dyDescent="0.2">
      <c r="A3245" t="s">
        <v>6358</v>
      </c>
      <c r="B3245" t="s">
        <v>6359</v>
      </c>
      <c r="C3245" t="s">
        <v>854</v>
      </c>
      <c r="D3245" t="s">
        <v>56</v>
      </c>
      <c r="E3245" t="s">
        <v>474</v>
      </c>
      <c r="F3245" s="2" t="str">
        <f>HYPERLINK("http://www.otzar.org/book.asp?300261","אמרי חמד - 2 כר'")</f>
        <v>אמרי חמד - 2 כר'</v>
      </c>
    </row>
    <row r="3246" spans="1:6" x14ac:dyDescent="0.2">
      <c r="A3246" t="s">
        <v>6360</v>
      </c>
      <c r="B3246" t="s">
        <v>6361</v>
      </c>
      <c r="C3246" t="s">
        <v>383</v>
      </c>
      <c r="D3246" t="s">
        <v>14</v>
      </c>
      <c r="E3246" t="s">
        <v>234</v>
      </c>
      <c r="F3246" s="2" t="str">
        <f>HYPERLINK("http://www.otzar.org/book.asp?154017","אמרי חמודות")</f>
        <v>אמרי חמודות</v>
      </c>
    </row>
    <row r="3247" spans="1:6" x14ac:dyDescent="0.2">
      <c r="A3247" t="s">
        <v>6362</v>
      </c>
      <c r="B3247" t="s">
        <v>6363</v>
      </c>
      <c r="C3247" t="s">
        <v>103</v>
      </c>
      <c r="D3247" t="s">
        <v>852</v>
      </c>
      <c r="E3247" t="s">
        <v>144</v>
      </c>
      <c r="F3247" s="2" t="str">
        <f>HYPERLINK("http://www.otzar.org/book.asp?108421","אמרי חמודות - 2 כר'")</f>
        <v>אמרי חמודות - 2 כר'</v>
      </c>
    </row>
    <row r="3248" spans="1:6" x14ac:dyDescent="0.2">
      <c r="A3248" t="s">
        <v>6364</v>
      </c>
      <c r="B3248" t="s">
        <v>6365</v>
      </c>
      <c r="C3248" t="s">
        <v>103</v>
      </c>
      <c r="D3248" t="s">
        <v>229</v>
      </c>
      <c r="E3248" t="s">
        <v>144</v>
      </c>
      <c r="F3248" s="2" t="str">
        <f>HYPERLINK("http://www.otzar.org/book.asp?629325","אמרי חן ושפר")</f>
        <v>אמרי חן ושפר</v>
      </c>
    </row>
    <row r="3249" spans="1:6" x14ac:dyDescent="0.2">
      <c r="A3249" t="s">
        <v>6366</v>
      </c>
      <c r="B3249" t="s">
        <v>6367</v>
      </c>
      <c r="C3249" t="s">
        <v>1208</v>
      </c>
      <c r="D3249" t="s">
        <v>2125</v>
      </c>
      <c r="E3249" t="s">
        <v>15</v>
      </c>
      <c r="F3249" s="2" t="str">
        <f>HYPERLINK("http://www.otzar.org/book.asp?150721","אמרי חן על הרמב""ם - 4 כר'")</f>
        <v>אמרי חן על הרמב"ם - 4 כר'</v>
      </c>
    </row>
    <row r="3250" spans="1:6" x14ac:dyDescent="0.2">
      <c r="A3250" t="s">
        <v>6368</v>
      </c>
      <c r="B3250" t="s">
        <v>6367</v>
      </c>
      <c r="C3250" t="s">
        <v>87</v>
      </c>
      <c r="D3250" t="s">
        <v>2125</v>
      </c>
      <c r="E3250" t="s">
        <v>158</v>
      </c>
      <c r="F3250" s="2" t="str">
        <f>HYPERLINK("http://www.otzar.org/book.asp?150603","אמרי חן על התורה - 4 כר'")</f>
        <v>אמרי חן על התורה - 4 כר'</v>
      </c>
    </row>
    <row r="3251" spans="1:6" x14ac:dyDescent="0.2">
      <c r="A3251" t="s">
        <v>6369</v>
      </c>
      <c r="B3251" t="s">
        <v>6370</v>
      </c>
      <c r="C3251" t="s">
        <v>133</v>
      </c>
      <c r="D3251" t="s">
        <v>14</v>
      </c>
      <c r="E3251" t="s">
        <v>158</v>
      </c>
      <c r="F3251" s="2" t="str">
        <f>HYPERLINK("http://www.otzar.org/book.asp?175819","אמרי חן - 2 כר'")</f>
        <v>אמרי חן - 2 כר'</v>
      </c>
    </row>
    <row r="3252" spans="1:6" x14ac:dyDescent="0.2">
      <c r="A3252" t="s">
        <v>6371</v>
      </c>
      <c r="B3252" t="s">
        <v>6372</v>
      </c>
      <c r="C3252" t="s">
        <v>37</v>
      </c>
      <c r="D3252" t="s">
        <v>14</v>
      </c>
      <c r="E3252" t="s">
        <v>158</v>
      </c>
      <c r="F3252" s="2" t="str">
        <f>HYPERLINK("http://www.otzar.org/book.asp?605983","אמרי חן - 3 כר'")</f>
        <v>אמרי חן - 3 כר'</v>
      </c>
    </row>
    <row r="3253" spans="1:6" x14ac:dyDescent="0.2">
      <c r="A3253" t="s">
        <v>6373</v>
      </c>
      <c r="B3253" t="s">
        <v>6367</v>
      </c>
      <c r="C3253" t="s">
        <v>533</v>
      </c>
      <c r="D3253" t="s">
        <v>2196</v>
      </c>
      <c r="E3253" t="s">
        <v>158</v>
      </c>
      <c r="F3253" s="2" t="str">
        <f>HYPERLINK("http://www.otzar.org/book.asp?150608","אמרי חן - 26 כר'")</f>
        <v>אמרי חן - 26 כר'</v>
      </c>
    </row>
    <row r="3254" spans="1:6" x14ac:dyDescent="0.2">
      <c r="A3254" t="s">
        <v>6374</v>
      </c>
      <c r="B3254" t="s">
        <v>6375</v>
      </c>
      <c r="C3254" t="s">
        <v>940</v>
      </c>
      <c r="D3254" t="s">
        <v>2285</v>
      </c>
      <c r="E3254" t="s">
        <v>6376</v>
      </c>
      <c r="F3254" s="2" t="str">
        <f>HYPERLINK("http://www.otzar.org/book.asp?161651","אמרי חנן - א")</f>
        <v>אמרי חנן - א</v>
      </c>
    </row>
    <row r="3255" spans="1:6" x14ac:dyDescent="0.2">
      <c r="A3255" t="s">
        <v>6377</v>
      </c>
      <c r="B3255" t="s">
        <v>6378</v>
      </c>
      <c r="C3255" t="s">
        <v>533</v>
      </c>
      <c r="D3255" t="s">
        <v>52</v>
      </c>
      <c r="E3255" t="s">
        <v>6379</v>
      </c>
      <c r="F3255" s="2" t="str">
        <f>HYPERLINK("http://www.otzar.org/book.asp?11097","אמרי טבא")</f>
        <v>אמרי טבא</v>
      </c>
    </row>
    <row r="3256" spans="1:6" x14ac:dyDescent="0.2">
      <c r="A3256" t="s">
        <v>6380</v>
      </c>
      <c r="B3256" t="s">
        <v>6381</v>
      </c>
      <c r="C3256" t="s">
        <v>111</v>
      </c>
      <c r="D3256" t="s">
        <v>21</v>
      </c>
      <c r="E3256" t="s">
        <v>172</v>
      </c>
      <c r="F3256" s="2" t="str">
        <f>HYPERLINK("http://www.otzar.org/book.asp?621064","אמרי טהרה")</f>
        <v>אמרי טהרה</v>
      </c>
    </row>
    <row r="3257" spans="1:6" x14ac:dyDescent="0.2">
      <c r="A3257" t="s">
        <v>6382</v>
      </c>
      <c r="B3257" t="s">
        <v>6255</v>
      </c>
      <c r="C3257" t="s">
        <v>3690</v>
      </c>
      <c r="D3257" t="s">
        <v>267</v>
      </c>
      <c r="E3257" t="s">
        <v>158</v>
      </c>
      <c r="F3257" s="2" t="str">
        <f>HYPERLINK("http://www.otzar.org/book.asp?175395","אמרי טוב")</f>
        <v>אמרי טוב</v>
      </c>
    </row>
    <row r="3258" spans="1:6" x14ac:dyDescent="0.2">
      <c r="A3258" t="s">
        <v>6383</v>
      </c>
      <c r="B3258" t="s">
        <v>294</v>
      </c>
      <c r="C3258" t="s">
        <v>482</v>
      </c>
      <c r="D3258" t="s">
        <v>260</v>
      </c>
      <c r="E3258" t="s">
        <v>241</v>
      </c>
      <c r="F3258" s="2" t="str">
        <f>HYPERLINK("http://www.otzar.org/book.asp?13120","אמרי טל")</f>
        <v>אמרי טל</v>
      </c>
    </row>
    <row r="3259" spans="1:6" x14ac:dyDescent="0.2">
      <c r="A3259" t="s">
        <v>6384</v>
      </c>
      <c r="B3259" t="s">
        <v>6385</v>
      </c>
      <c r="C3259" t="s">
        <v>854</v>
      </c>
      <c r="D3259" t="s">
        <v>283</v>
      </c>
      <c r="E3259" t="s">
        <v>154</v>
      </c>
      <c r="F3259" s="2" t="str">
        <f>HYPERLINK("http://www.otzar.org/book.asp?17208","אמרי טעם")</f>
        <v>אמרי טעם</v>
      </c>
    </row>
    <row r="3260" spans="1:6" x14ac:dyDescent="0.2">
      <c r="A3260" t="s">
        <v>6386</v>
      </c>
      <c r="B3260" t="s">
        <v>6387</v>
      </c>
      <c r="C3260" t="s">
        <v>1166</v>
      </c>
      <c r="D3260" t="s">
        <v>27</v>
      </c>
      <c r="E3260" t="s">
        <v>435</v>
      </c>
      <c r="F3260" s="2" t="str">
        <f>HYPERLINK("http://www.otzar.org/book.asp?300311","אמרי יא""י")</f>
        <v>אמרי יא"י</v>
      </c>
    </row>
    <row r="3261" spans="1:6" x14ac:dyDescent="0.2">
      <c r="A3261" t="s">
        <v>6388</v>
      </c>
      <c r="B3261" t="s">
        <v>3113</v>
      </c>
      <c r="C3261" t="s">
        <v>1202</v>
      </c>
      <c r="D3261" t="s">
        <v>9</v>
      </c>
      <c r="E3261" t="s">
        <v>234</v>
      </c>
      <c r="F3261" s="2" t="str">
        <f>HYPERLINK("http://www.otzar.org/book.asp?51391","אמרי יאי")</f>
        <v>אמרי יאי</v>
      </c>
    </row>
    <row r="3262" spans="1:6" x14ac:dyDescent="0.2">
      <c r="A3262" t="s">
        <v>6389</v>
      </c>
      <c r="B3262" t="s">
        <v>6390</v>
      </c>
      <c r="C3262" t="s">
        <v>143</v>
      </c>
      <c r="D3262" t="s">
        <v>412</v>
      </c>
      <c r="F3262" s="2" t="str">
        <f>HYPERLINK("http://www.otzar.org/book.asp?622215","אמרי יהודא - ביצה")</f>
        <v>אמרי יהודא - ביצה</v>
      </c>
    </row>
    <row r="3263" spans="1:6" x14ac:dyDescent="0.2">
      <c r="A3263" t="s">
        <v>6391</v>
      </c>
      <c r="B3263" t="s">
        <v>876</v>
      </c>
      <c r="C3263" t="s">
        <v>411</v>
      </c>
      <c r="D3263" t="s">
        <v>14</v>
      </c>
      <c r="E3263" t="s">
        <v>241</v>
      </c>
      <c r="F3263" s="2" t="str">
        <f>HYPERLINK("http://www.otzar.org/book.asp?615942","אמרי יהודה - מאמרים")</f>
        <v>אמרי יהודה - מאמרים</v>
      </c>
    </row>
    <row r="3264" spans="1:6" x14ac:dyDescent="0.2">
      <c r="A3264" t="s">
        <v>6392</v>
      </c>
      <c r="B3264" t="s">
        <v>6393</v>
      </c>
      <c r="C3264" t="s">
        <v>17</v>
      </c>
      <c r="D3264" t="s">
        <v>14</v>
      </c>
      <c r="E3264" t="s">
        <v>158</v>
      </c>
      <c r="F3264" s="2" t="str">
        <f>HYPERLINK("http://www.otzar.org/book.asp?159145","אמרי יהודה - 2 כר'")</f>
        <v>אמרי יהודה - 2 כר'</v>
      </c>
    </row>
    <row r="3265" spans="1:6" x14ac:dyDescent="0.2">
      <c r="A3265" t="s">
        <v>6394</v>
      </c>
      <c r="B3265" t="s">
        <v>6395</v>
      </c>
      <c r="C3265" t="s">
        <v>617</v>
      </c>
      <c r="D3265" t="s">
        <v>56</v>
      </c>
      <c r="E3265" t="s">
        <v>144</v>
      </c>
      <c r="F3265" s="2" t="str">
        <f>HYPERLINK("http://www.otzar.org/book.asp?300281","אמרי יהודה")</f>
        <v>אמרי יהודה</v>
      </c>
    </row>
    <row r="3266" spans="1:6" x14ac:dyDescent="0.2">
      <c r="A3266" t="s">
        <v>6396</v>
      </c>
      <c r="B3266" t="s">
        <v>6397</v>
      </c>
      <c r="C3266" t="s">
        <v>133</v>
      </c>
      <c r="D3266" t="s">
        <v>14</v>
      </c>
      <c r="E3266" t="s">
        <v>158</v>
      </c>
      <c r="F3266" s="2" t="str">
        <f>HYPERLINK("http://www.otzar.org/book.asp?198337","אמרי יהודה - 3 כר'")</f>
        <v>אמרי יהודה - 3 כר'</v>
      </c>
    </row>
    <row r="3267" spans="1:6" x14ac:dyDescent="0.2">
      <c r="A3267" t="s">
        <v>6398</v>
      </c>
      <c r="B3267" t="s">
        <v>6399</v>
      </c>
      <c r="C3267" t="s">
        <v>313</v>
      </c>
      <c r="D3267" t="s">
        <v>80</v>
      </c>
      <c r="E3267" t="s">
        <v>202</v>
      </c>
      <c r="F3267" s="2" t="str">
        <f>HYPERLINK("http://www.otzar.org/book.asp?604226","אמרי יהודה - א (מכות)")</f>
        <v>אמרי יהודה - א (מכות)</v>
      </c>
    </row>
    <row r="3268" spans="1:6" x14ac:dyDescent="0.2">
      <c r="A3268" t="s">
        <v>6394</v>
      </c>
      <c r="B3268" t="s">
        <v>6400</v>
      </c>
      <c r="C3268" t="s">
        <v>854</v>
      </c>
      <c r="D3268" t="s">
        <v>1117</v>
      </c>
      <c r="E3268" t="s">
        <v>579</v>
      </c>
      <c r="F3268" s="2" t="str">
        <f>HYPERLINK("http://www.otzar.org/book.asp?300306","אמרי יהודה")</f>
        <v>אמרי יהודה</v>
      </c>
    </row>
    <row r="3269" spans="1:6" x14ac:dyDescent="0.2">
      <c r="A3269" t="s">
        <v>6401</v>
      </c>
      <c r="B3269" t="s">
        <v>6402</v>
      </c>
      <c r="C3269" t="s">
        <v>106</v>
      </c>
      <c r="D3269" t="s">
        <v>6403</v>
      </c>
      <c r="E3269" t="s">
        <v>467</v>
      </c>
      <c r="F3269" s="2" t="str">
        <f>HYPERLINK("http://www.otzar.org/book.asp?144721","אמרי יהודה - 7 כר'")</f>
        <v>אמרי יהודה - 7 כר'</v>
      </c>
    </row>
    <row r="3270" spans="1:6" x14ac:dyDescent="0.2">
      <c r="A3270" t="s">
        <v>6404</v>
      </c>
      <c r="B3270" t="s">
        <v>6405</v>
      </c>
      <c r="C3270" t="s">
        <v>422</v>
      </c>
      <c r="D3270" t="s">
        <v>229</v>
      </c>
      <c r="E3270" t="s">
        <v>148</v>
      </c>
      <c r="F3270" s="2" t="str">
        <f>HYPERLINK("http://www.otzar.org/book.asp?153011","אמרי יהודה - הלכות שחיטה")</f>
        <v>אמרי יהודה - הלכות שחיטה</v>
      </c>
    </row>
    <row r="3271" spans="1:6" x14ac:dyDescent="0.2">
      <c r="A3271" t="s">
        <v>6406</v>
      </c>
      <c r="B3271" t="s">
        <v>6407</v>
      </c>
      <c r="C3271" t="s">
        <v>1169</v>
      </c>
      <c r="D3271" t="s">
        <v>412</v>
      </c>
      <c r="E3271" t="s">
        <v>674</v>
      </c>
      <c r="F3271" s="2" t="str">
        <f>HYPERLINK("http://www.otzar.org/book.asp?149170","אמרי יהוסף (על הסמ""ק)")</f>
        <v>אמרי יהוסף (על הסמ"ק)</v>
      </c>
    </row>
    <row r="3272" spans="1:6" x14ac:dyDescent="0.2">
      <c r="A3272" t="s">
        <v>6408</v>
      </c>
      <c r="B3272" t="s">
        <v>6409</v>
      </c>
      <c r="C3272" t="s">
        <v>1268</v>
      </c>
      <c r="D3272" t="s">
        <v>6410</v>
      </c>
      <c r="E3272" t="s">
        <v>803</v>
      </c>
      <c r="F3272" s="2" t="str">
        <f>HYPERLINK("http://www.otzar.org/book.asp?21020","אמרי יהושע")</f>
        <v>אמרי יהושע</v>
      </c>
    </row>
    <row r="3273" spans="1:6" x14ac:dyDescent="0.2">
      <c r="A3273" t="s">
        <v>6411</v>
      </c>
      <c r="B3273" t="s">
        <v>6412</v>
      </c>
      <c r="C3273" t="s">
        <v>168</v>
      </c>
      <c r="D3273" t="s">
        <v>52</v>
      </c>
      <c r="E3273" t="s">
        <v>119</v>
      </c>
      <c r="F3273" s="2" t="str">
        <f>HYPERLINK("http://www.otzar.org/book.asp?153642","אמרי יהושע - 7 כר'")</f>
        <v>אמרי יהושע - 7 כר'</v>
      </c>
    </row>
    <row r="3274" spans="1:6" x14ac:dyDescent="0.2">
      <c r="A3274" t="s">
        <v>6413</v>
      </c>
      <c r="B3274" t="s">
        <v>6414</v>
      </c>
      <c r="C3274" t="s">
        <v>6415</v>
      </c>
      <c r="D3274" t="s">
        <v>225</v>
      </c>
      <c r="E3274" t="s">
        <v>1185</v>
      </c>
      <c r="F3274" s="2" t="str">
        <f>HYPERLINK("http://www.otzar.org/book.asp?108796","אמרי יהושע - 4 כר'")</f>
        <v>אמרי יהושע - 4 כר'</v>
      </c>
    </row>
    <row r="3275" spans="1:6" x14ac:dyDescent="0.2">
      <c r="A3275" t="s">
        <v>6416</v>
      </c>
      <c r="B3275" t="s">
        <v>6417</v>
      </c>
      <c r="C3275" t="s">
        <v>17</v>
      </c>
      <c r="D3275" t="s">
        <v>52</v>
      </c>
      <c r="E3275" t="s">
        <v>1262</v>
      </c>
      <c r="F3275" s="2" t="str">
        <f>HYPERLINK("http://www.otzar.org/book.asp?162824","אמרי יואב &lt;מהדורה חדשה&gt;")</f>
        <v>אמרי יואב &lt;מהדורה חדשה&gt;</v>
      </c>
    </row>
    <row r="3276" spans="1:6" x14ac:dyDescent="0.2">
      <c r="A3276" t="s">
        <v>6418</v>
      </c>
      <c r="B3276" t="s">
        <v>6417</v>
      </c>
      <c r="C3276" t="s">
        <v>1437</v>
      </c>
      <c r="D3276" t="s">
        <v>267</v>
      </c>
      <c r="E3276" t="s">
        <v>4260</v>
      </c>
      <c r="F3276" s="2" t="str">
        <f>HYPERLINK("http://www.otzar.org/book.asp?15859","אמרי יואב")</f>
        <v>אמרי יואב</v>
      </c>
    </row>
    <row r="3277" spans="1:6" x14ac:dyDescent="0.2">
      <c r="A3277" t="s">
        <v>6419</v>
      </c>
      <c r="B3277" t="s">
        <v>6420</v>
      </c>
      <c r="C3277" t="s">
        <v>6421</v>
      </c>
      <c r="D3277" t="s">
        <v>563</v>
      </c>
      <c r="E3277" t="s">
        <v>474</v>
      </c>
      <c r="F3277" s="2" t="str">
        <f>HYPERLINK("http://www.otzar.org/book.asp?300256","אמרי יואל - 5 כר'")</f>
        <v>אמרי יואל - 5 כר'</v>
      </c>
    </row>
    <row r="3278" spans="1:6" x14ac:dyDescent="0.2">
      <c r="A3278" t="s">
        <v>6422</v>
      </c>
      <c r="B3278" t="s">
        <v>6423</v>
      </c>
      <c r="C3278" t="s">
        <v>106</v>
      </c>
      <c r="D3278" t="s">
        <v>2362</v>
      </c>
      <c r="E3278" t="s">
        <v>803</v>
      </c>
      <c r="F3278" s="2" t="str">
        <f>HYPERLINK("http://www.otzar.org/book.asp?620612","אמרי יוסף הלוי - א")</f>
        <v>אמרי יוסף הלוי - א</v>
      </c>
    </row>
    <row r="3279" spans="1:6" x14ac:dyDescent="0.2">
      <c r="A3279" t="s">
        <v>6424</v>
      </c>
      <c r="B3279" t="s">
        <v>6425</v>
      </c>
      <c r="C3279" t="s">
        <v>6426</v>
      </c>
      <c r="D3279" t="s">
        <v>225</v>
      </c>
      <c r="E3279" t="s">
        <v>15</v>
      </c>
      <c r="F3279" s="2" t="str">
        <f>HYPERLINK("http://www.otzar.org/book.asp?108802","אמרי יוסף - 3 כר'")</f>
        <v>אמרי יוסף - 3 כר'</v>
      </c>
    </row>
    <row r="3280" spans="1:6" x14ac:dyDescent="0.2">
      <c r="A3280" t="s">
        <v>6427</v>
      </c>
      <c r="B3280" t="s">
        <v>6428</v>
      </c>
      <c r="C3280" t="s">
        <v>6429</v>
      </c>
      <c r="D3280" t="s">
        <v>756</v>
      </c>
      <c r="E3280" t="s">
        <v>2862</v>
      </c>
      <c r="F3280" s="2" t="str">
        <f>HYPERLINK("http://www.otzar.org/book.asp?15851","אמרי יוסף - 5 כר'")</f>
        <v>אמרי יוסף - 5 כר'</v>
      </c>
    </row>
    <row r="3281" spans="1:6" x14ac:dyDescent="0.2">
      <c r="A3281" t="s">
        <v>6430</v>
      </c>
      <c r="B3281" t="s">
        <v>6431</v>
      </c>
      <c r="C3281" t="s">
        <v>422</v>
      </c>
      <c r="D3281" t="s">
        <v>14</v>
      </c>
      <c r="E3281" t="s">
        <v>148</v>
      </c>
      <c r="F3281" s="2" t="str">
        <f>HYPERLINK("http://www.otzar.org/book.asp?165456","אמרי יוסף - 2 כר'")</f>
        <v>אמרי יוסף - 2 כר'</v>
      </c>
    </row>
    <row r="3282" spans="1:6" x14ac:dyDescent="0.2">
      <c r="A3282" t="s">
        <v>6432</v>
      </c>
      <c r="B3282" t="s">
        <v>6433</v>
      </c>
      <c r="C3282" t="s">
        <v>1047</v>
      </c>
      <c r="D3282" t="s">
        <v>855</v>
      </c>
      <c r="E3282" t="s">
        <v>158</v>
      </c>
      <c r="F3282" s="2" t="str">
        <f>HYPERLINK("http://www.otzar.org/book.asp?300085","אמרי יוסף")</f>
        <v>אמרי יוסף</v>
      </c>
    </row>
    <row r="3283" spans="1:6" x14ac:dyDescent="0.2">
      <c r="A3283" t="s">
        <v>6432</v>
      </c>
      <c r="B3283" t="s">
        <v>6434</v>
      </c>
      <c r="C3283" t="s">
        <v>20</v>
      </c>
      <c r="E3283" t="s">
        <v>230</v>
      </c>
      <c r="F3283" s="2" t="str">
        <f>HYPERLINK("http://www.otzar.org/book.asp?603162","אמרי יוסף")</f>
        <v>אמרי יוסף</v>
      </c>
    </row>
    <row r="3284" spans="1:6" x14ac:dyDescent="0.2">
      <c r="A3284" t="s">
        <v>6424</v>
      </c>
      <c r="B3284" t="s">
        <v>6435</v>
      </c>
      <c r="C3284" t="s">
        <v>366</v>
      </c>
      <c r="D3284" t="s">
        <v>14</v>
      </c>
      <c r="E3284" t="s">
        <v>158</v>
      </c>
      <c r="F3284" s="2" t="str">
        <f>HYPERLINK("http://www.otzar.org/book.asp?630112","אמרי יוסף - 3 כר'")</f>
        <v>אמרי יוסף - 3 כר'</v>
      </c>
    </row>
    <row r="3285" spans="1:6" x14ac:dyDescent="0.2">
      <c r="A3285" t="s">
        <v>6432</v>
      </c>
      <c r="B3285" t="s">
        <v>6436</v>
      </c>
      <c r="C3285" t="s">
        <v>71</v>
      </c>
      <c r="D3285" t="s">
        <v>657</v>
      </c>
      <c r="E3285" t="s">
        <v>2098</v>
      </c>
      <c r="F3285" s="2" t="str">
        <f>HYPERLINK("http://www.otzar.org/book.asp?63067","אמרי יוסף")</f>
        <v>אמרי יוסף</v>
      </c>
    </row>
    <row r="3286" spans="1:6" x14ac:dyDescent="0.2">
      <c r="A3286" t="s">
        <v>6432</v>
      </c>
      <c r="B3286" t="s">
        <v>6437</v>
      </c>
      <c r="C3286" t="s">
        <v>68</v>
      </c>
      <c r="D3286" t="s">
        <v>14</v>
      </c>
      <c r="E3286" t="s">
        <v>144</v>
      </c>
      <c r="F3286" s="2" t="str">
        <f>HYPERLINK("http://www.otzar.org/book.asp?162835","אמרי יוסף")</f>
        <v>אמרי יוסף</v>
      </c>
    </row>
    <row r="3287" spans="1:6" x14ac:dyDescent="0.2">
      <c r="A3287" t="s">
        <v>6438</v>
      </c>
      <c r="B3287" t="s">
        <v>6439</v>
      </c>
      <c r="C3287" t="s">
        <v>71</v>
      </c>
      <c r="D3287" t="s">
        <v>21</v>
      </c>
      <c r="E3287" t="s">
        <v>6440</v>
      </c>
      <c r="F3287" s="2" t="str">
        <f>HYPERLINK("http://www.otzar.org/book.asp?199433","אמרי יושר החדש - טל תורה החדש")</f>
        <v>אמרי יושר החדש - טל תורה החדש</v>
      </c>
    </row>
    <row r="3288" spans="1:6" x14ac:dyDescent="0.2">
      <c r="A3288" t="s">
        <v>6441</v>
      </c>
      <c r="B3288" t="s">
        <v>6177</v>
      </c>
      <c r="C3288" t="s">
        <v>1844</v>
      </c>
      <c r="D3288" t="s">
        <v>929</v>
      </c>
      <c r="E3288" t="s">
        <v>474</v>
      </c>
      <c r="F3288" s="2" t="str">
        <f>HYPERLINK("http://www.otzar.org/book.asp?300273","אמרי יושר")</f>
        <v>אמרי יושר</v>
      </c>
    </row>
    <row r="3289" spans="1:6" x14ac:dyDescent="0.2">
      <c r="A3289" t="s">
        <v>6442</v>
      </c>
      <c r="B3289" t="s">
        <v>6439</v>
      </c>
      <c r="C3289" t="s">
        <v>6443</v>
      </c>
      <c r="D3289" t="s">
        <v>379</v>
      </c>
      <c r="E3289" t="s">
        <v>154</v>
      </c>
      <c r="F3289" s="2" t="str">
        <f>HYPERLINK("http://www.otzar.org/book.asp?8578","אמרי יושר - 2 כר'")</f>
        <v>אמרי יושר - 2 כר'</v>
      </c>
    </row>
    <row r="3290" spans="1:6" x14ac:dyDescent="0.2">
      <c r="A3290" t="s">
        <v>6444</v>
      </c>
      <c r="B3290" t="s">
        <v>6445</v>
      </c>
      <c r="C3290" t="s">
        <v>129</v>
      </c>
      <c r="D3290" t="s">
        <v>52</v>
      </c>
      <c r="E3290" t="s">
        <v>144</v>
      </c>
      <c r="F3290" s="2" t="str">
        <f>HYPERLINK("http://www.otzar.org/book.asp?63800","אמרי יושר - 20 כר'")</f>
        <v>אמרי יושר - 20 כר'</v>
      </c>
    </row>
    <row r="3291" spans="1:6" x14ac:dyDescent="0.2">
      <c r="A3291" t="s">
        <v>6441</v>
      </c>
      <c r="B3291" t="s">
        <v>6446</v>
      </c>
      <c r="C3291" t="s">
        <v>395</v>
      </c>
      <c r="D3291" t="s">
        <v>56</v>
      </c>
      <c r="E3291" t="s">
        <v>234</v>
      </c>
      <c r="F3291" s="2" t="str">
        <f>HYPERLINK("http://www.otzar.org/book.asp?102872","אמרי יושר")</f>
        <v>אמרי יושר</v>
      </c>
    </row>
    <row r="3292" spans="1:6" x14ac:dyDescent="0.2">
      <c r="A3292" t="s">
        <v>6441</v>
      </c>
      <c r="B3292" t="s">
        <v>6447</v>
      </c>
      <c r="C3292" t="s">
        <v>6448</v>
      </c>
      <c r="D3292" t="s">
        <v>535</v>
      </c>
      <c r="E3292" t="s">
        <v>15</v>
      </c>
      <c r="F3292" s="2" t="str">
        <f>HYPERLINK("http://www.otzar.org/book.asp?167182","אמרי יושר")</f>
        <v>אמרי יושר</v>
      </c>
    </row>
    <row r="3293" spans="1:6" x14ac:dyDescent="0.2">
      <c r="A3293" t="s">
        <v>6441</v>
      </c>
      <c r="B3293" t="s">
        <v>3292</v>
      </c>
      <c r="C3293" t="s">
        <v>946</v>
      </c>
      <c r="D3293" t="s">
        <v>3293</v>
      </c>
      <c r="E3293" t="s">
        <v>234</v>
      </c>
      <c r="F3293" s="2" t="str">
        <f>HYPERLINK("http://www.otzar.org/book.asp?17211","אמרי יושר")</f>
        <v>אמרי יושר</v>
      </c>
    </row>
    <row r="3294" spans="1:6" x14ac:dyDescent="0.2">
      <c r="A3294" t="s">
        <v>6441</v>
      </c>
      <c r="B3294" t="s">
        <v>6449</v>
      </c>
      <c r="C3294" t="s">
        <v>68</v>
      </c>
      <c r="D3294" t="s">
        <v>1840</v>
      </c>
      <c r="E3294" t="s">
        <v>6450</v>
      </c>
      <c r="F3294" s="2" t="str">
        <f>HYPERLINK("http://www.otzar.org/book.asp?197340","אמרי יושר")</f>
        <v>אמרי יושר</v>
      </c>
    </row>
    <row r="3295" spans="1:6" x14ac:dyDescent="0.2">
      <c r="A3295" t="s">
        <v>6451</v>
      </c>
      <c r="B3295" t="s">
        <v>6452</v>
      </c>
      <c r="C3295" t="s">
        <v>576</v>
      </c>
      <c r="D3295" t="s">
        <v>1966</v>
      </c>
      <c r="E3295" t="s">
        <v>564</v>
      </c>
      <c r="F3295" s="2" t="str">
        <f>HYPERLINK("http://www.otzar.org/book.asp?300272","אמרי יחזקאל החדש")</f>
        <v>אמרי יחזקאל החדש</v>
      </c>
    </row>
    <row r="3296" spans="1:6" x14ac:dyDescent="0.2">
      <c r="A3296" t="s">
        <v>6453</v>
      </c>
      <c r="B3296" t="s">
        <v>6454</v>
      </c>
      <c r="C3296" t="s">
        <v>888</v>
      </c>
      <c r="D3296" t="s">
        <v>56</v>
      </c>
      <c r="E3296" t="s">
        <v>6455</v>
      </c>
      <c r="F3296" s="2" t="str">
        <f>HYPERLINK("http://www.otzar.org/book.asp?300309","אמרי יחזקאל")</f>
        <v>אמרי יחזקאל</v>
      </c>
    </row>
    <row r="3297" spans="1:6" x14ac:dyDescent="0.2">
      <c r="A3297" t="s">
        <v>6453</v>
      </c>
      <c r="B3297" t="s">
        <v>1204</v>
      </c>
      <c r="C3297" t="s">
        <v>146</v>
      </c>
      <c r="D3297" t="s">
        <v>14</v>
      </c>
      <c r="E3297" t="s">
        <v>213</v>
      </c>
      <c r="F3297" s="2" t="str">
        <f>HYPERLINK("http://www.otzar.org/book.asp?85424","אמרי יחזקאל")</f>
        <v>אמרי יחזקאל</v>
      </c>
    </row>
    <row r="3298" spans="1:6" x14ac:dyDescent="0.2">
      <c r="A3298" t="s">
        <v>6456</v>
      </c>
      <c r="B3298" t="s">
        <v>6457</v>
      </c>
      <c r="C3298" t="s">
        <v>454</v>
      </c>
      <c r="D3298" t="s">
        <v>52</v>
      </c>
      <c r="E3298" t="s">
        <v>1262</v>
      </c>
      <c r="F3298" s="2" t="str">
        <f>HYPERLINK("http://www.otzar.org/book.asp?159049","אמרי יחזקאל - 6 כר'")</f>
        <v>אמרי יחזקאל - 6 כר'</v>
      </c>
    </row>
    <row r="3299" spans="1:6" x14ac:dyDescent="0.2">
      <c r="A3299" t="s">
        <v>6453</v>
      </c>
      <c r="B3299" t="s">
        <v>6458</v>
      </c>
      <c r="C3299" t="s">
        <v>473</v>
      </c>
      <c r="D3299" t="s">
        <v>6459</v>
      </c>
      <c r="E3299" t="s">
        <v>154</v>
      </c>
      <c r="F3299" s="2" t="str">
        <f>HYPERLINK("http://www.otzar.org/book.asp?108803","אמרי יחזקאל")</f>
        <v>אמרי יחזקאל</v>
      </c>
    </row>
    <row r="3300" spans="1:6" x14ac:dyDescent="0.2">
      <c r="A3300" t="s">
        <v>6460</v>
      </c>
      <c r="B3300" t="s">
        <v>6461</v>
      </c>
      <c r="C3300" t="s">
        <v>619</v>
      </c>
      <c r="D3300" t="s">
        <v>225</v>
      </c>
      <c r="E3300" t="s">
        <v>144</v>
      </c>
      <c r="F3300" s="2" t="str">
        <f>HYPERLINK("http://www.otzar.org/book.asp?104907","אמרי יעקב")</f>
        <v>אמרי יעקב</v>
      </c>
    </row>
    <row r="3301" spans="1:6" x14ac:dyDescent="0.2">
      <c r="A3301" t="s">
        <v>6462</v>
      </c>
      <c r="B3301" t="s">
        <v>6463</v>
      </c>
      <c r="C3301" t="s">
        <v>1166</v>
      </c>
      <c r="D3301" t="s">
        <v>283</v>
      </c>
      <c r="E3301" t="s">
        <v>573</v>
      </c>
      <c r="F3301" s="2" t="str">
        <f>HYPERLINK("http://www.otzar.org/book.asp?15857","אמרי יעקב - חלק ראשון על התנך")</f>
        <v>אמרי יעקב - חלק ראשון על התנך</v>
      </c>
    </row>
    <row r="3302" spans="1:6" x14ac:dyDescent="0.2">
      <c r="A3302" t="s">
        <v>6464</v>
      </c>
      <c r="B3302" t="s">
        <v>6465</v>
      </c>
      <c r="C3302" t="s">
        <v>1284</v>
      </c>
      <c r="D3302" t="s">
        <v>225</v>
      </c>
      <c r="E3302" t="s">
        <v>158</v>
      </c>
      <c r="F3302" s="2" t="str">
        <f>HYPERLINK("http://www.otzar.org/book.asp?300277","אמרי יעקב - 2 כר'")</f>
        <v>אמרי יעקב - 2 כר'</v>
      </c>
    </row>
    <row r="3303" spans="1:6" x14ac:dyDescent="0.2">
      <c r="A3303" t="s">
        <v>6466</v>
      </c>
      <c r="B3303" t="s">
        <v>3166</v>
      </c>
      <c r="C3303" t="s">
        <v>129</v>
      </c>
      <c r="D3303" t="s">
        <v>14</v>
      </c>
      <c r="E3303" t="s">
        <v>3915</v>
      </c>
      <c r="F3303" s="2" t="str">
        <f>HYPERLINK("http://www.otzar.org/book.asp?141995","אמרי יעקב - על ספר חסידים")</f>
        <v>אמרי יעקב - על ספר חסידים</v>
      </c>
    </row>
    <row r="3304" spans="1:6" x14ac:dyDescent="0.2">
      <c r="A3304" t="s">
        <v>6467</v>
      </c>
      <c r="B3304" t="s">
        <v>6307</v>
      </c>
      <c r="C3304" t="s">
        <v>366</v>
      </c>
      <c r="D3304" t="s">
        <v>147</v>
      </c>
      <c r="E3304" t="s">
        <v>144</v>
      </c>
      <c r="F3304" s="2" t="str">
        <f>HYPERLINK("http://www.otzar.org/book.asp?607463","אמרי יעקב - 7 כר'")</f>
        <v>אמרי יעקב - 7 כר'</v>
      </c>
    </row>
    <row r="3305" spans="1:6" x14ac:dyDescent="0.2">
      <c r="A3305" t="s">
        <v>6464</v>
      </c>
      <c r="B3305" t="s">
        <v>6468</v>
      </c>
      <c r="C3305" t="s">
        <v>17</v>
      </c>
      <c r="D3305" t="s">
        <v>14</v>
      </c>
      <c r="E3305" t="s">
        <v>144</v>
      </c>
      <c r="F3305" s="2" t="str">
        <f>HYPERLINK("http://www.otzar.org/book.asp?22559","אמרי יעקב - 2 כר'")</f>
        <v>אמרי יעקב - 2 כר'</v>
      </c>
    </row>
    <row r="3306" spans="1:6" x14ac:dyDescent="0.2">
      <c r="A3306" t="s">
        <v>6469</v>
      </c>
      <c r="B3306" t="s">
        <v>6470</v>
      </c>
      <c r="C3306" t="s">
        <v>360</v>
      </c>
      <c r="D3306" t="s">
        <v>691</v>
      </c>
      <c r="E3306" t="s">
        <v>474</v>
      </c>
      <c r="F3306" s="2" t="str">
        <f>HYPERLINK("http://www.otzar.org/book.asp?300310","אמרי יעקב - א בראשית, שמות")</f>
        <v>אמרי יעקב - א בראשית, שמות</v>
      </c>
    </row>
    <row r="3307" spans="1:6" x14ac:dyDescent="0.2">
      <c r="A3307" t="s">
        <v>6464</v>
      </c>
      <c r="B3307" t="s">
        <v>6471</v>
      </c>
      <c r="C3307" t="s">
        <v>129</v>
      </c>
      <c r="D3307" t="s">
        <v>6403</v>
      </c>
      <c r="E3307" t="s">
        <v>158</v>
      </c>
      <c r="F3307" s="2" t="str">
        <f>HYPERLINK("http://www.otzar.org/book.asp?142442","אמרי יעקב - 2 כר'")</f>
        <v>אמרי יעקב - 2 כר'</v>
      </c>
    </row>
    <row r="3308" spans="1:6" x14ac:dyDescent="0.2">
      <c r="A3308" t="s">
        <v>6472</v>
      </c>
      <c r="B3308" t="s">
        <v>6473</v>
      </c>
      <c r="C3308" t="s">
        <v>23</v>
      </c>
      <c r="D3308" t="s">
        <v>52</v>
      </c>
      <c r="E3308" t="s">
        <v>172</v>
      </c>
      <c r="F3308" s="2" t="str">
        <f>HYPERLINK("http://www.otzar.org/book.asp?605503","אמרי יעקב - 4 כר'")</f>
        <v>אמרי יעקב - 4 כר'</v>
      </c>
    </row>
    <row r="3309" spans="1:6" x14ac:dyDescent="0.2">
      <c r="A3309" t="s">
        <v>6464</v>
      </c>
      <c r="B3309" t="s">
        <v>6474</v>
      </c>
      <c r="C3309" t="s">
        <v>244</v>
      </c>
      <c r="D3309" t="s">
        <v>90</v>
      </c>
      <c r="E3309" t="s">
        <v>4683</v>
      </c>
      <c r="F3309" s="2" t="str">
        <f>HYPERLINK("http://www.otzar.org/book.asp?602867","אמרי יעקב - 2 כר'")</f>
        <v>אמרי יעקב - 2 כר'</v>
      </c>
    </row>
    <row r="3310" spans="1:6" x14ac:dyDescent="0.2">
      <c r="A3310" t="s">
        <v>6475</v>
      </c>
      <c r="B3310" t="s">
        <v>6476</v>
      </c>
      <c r="C3310" t="s">
        <v>13</v>
      </c>
      <c r="D3310" t="s">
        <v>14</v>
      </c>
      <c r="E3310" t="s">
        <v>144</v>
      </c>
      <c r="F3310" s="2" t="str">
        <f>HYPERLINK("http://www.otzar.org/book.asp?153216","אמרי יצחק - 3 כר'")</f>
        <v>אמרי יצחק - 3 כר'</v>
      </c>
    </row>
    <row r="3311" spans="1:6" x14ac:dyDescent="0.2">
      <c r="A3311" t="s">
        <v>6477</v>
      </c>
      <c r="B3311" t="s">
        <v>6478</v>
      </c>
      <c r="C3311" t="s">
        <v>151</v>
      </c>
      <c r="D3311" t="s">
        <v>1180</v>
      </c>
      <c r="E3311" t="s">
        <v>6479</v>
      </c>
      <c r="F3311" s="2" t="str">
        <f>HYPERLINK("http://www.otzar.org/book.asp?612831","אמרי יצחק")</f>
        <v>אמרי יצחק</v>
      </c>
    </row>
    <row r="3312" spans="1:6" x14ac:dyDescent="0.2">
      <c r="A3312" t="s">
        <v>6480</v>
      </c>
      <c r="B3312" t="s">
        <v>6481</v>
      </c>
      <c r="C3312" t="s">
        <v>114</v>
      </c>
      <c r="D3312" t="s">
        <v>1156</v>
      </c>
      <c r="E3312" t="s">
        <v>246</v>
      </c>
      <c r="F3312" s="2" t="str">
        <f>HYPERLINK("http://www.otzar.org/book.asp?164094","אמרי יצחק - 6 כר'")</f>
        <v>אמרי יצחק - 6 כר'</v>
      </c>
    </row>
    <row r="3313" spans="1:6" x14ac:dyDescent="0.2">
      <c r="A3313" t="s">
        <v>6482</v>
      </c>
      <c r="B3313" t="s">
        <v>6483</v>
      </c>
      <c r="C3313" t="s">
        <v>13</v>
      </c>
      <c r="D3313" t="s">
        <v>14</v>
      </c>
      <c r="F3313" s="2" t="str">
        <f>HYPERLINK("http://www.otzar.org/book.asp?630740","אמרי יצחק -מועדים - פורים פסח")</f>
        <v>אמרי יצחק -מועדים - פורים פסח</v>
      </c>
    </row>
    <row r="3314" spans="1:6" x14ac:dyDescent="0.2">
      <c r="A3314" t="s">
        <v>6484</v>
      </c>
      <c r="B3314" t="s">
        <v>6485</v>
      </c>
      <c r="C3314" t="s">
        <v>71</v>
      </c>
      <c r="D3314" t="s">
        <v>14</v>
      </c>
      <c r="E3314" t="s">
        <v>144</v>
      </c>
      <c r="F3314" s="2" t="str">
        <f>HYPERLINK("http://www.otzar.org/book.asp?156459","אמרי יצחק - נדה")</f>
        <v>אמרי יצחק - נדה</v>
      </c>
    </row>
    <row r="3315" spans="1:6" x14ac:dyDescent="0.2">
      <c r="A3315" t="s">
        <v>6477</v>
      </c>
      <c r="B3315" t="s">
        <v>6486</v>
      </c>
      <c r="C3315" t="s">
        <v>785</v>
      </c>
      <c r="D3315" t="s">
        <v>412</v>
      </c>
      <c r="E3315" t="s">
        <v>158</v>
      </c>
      <c r="F3315" s="2" t="str">
        <f>HYPERLINK("http://www.otzar.org/book.asp?153750","אמרי יצחק")</f>
        <v>אמרי יצחק</v>
      </c>
    </row>
    <row r="3316" spans="1:6" x14ac:dyDescent="0.2">
      <c r="A3316" t="s">
        <v>6475</v>
      </c>
      <c r="B3316" t="s">
        <v>6487</v>
      </c>
      <c r="C3316" t="s">
        <v>23</v>
      </c>
      <c r="D3316" t="s">
        <v>14</v>
      </c>
      <c r="E3316" t="s">
        <v>158</v>
      </c>
      <c r="F3316" s="2" t="str">
        <f>HYPERLINK("http://www.otzar.org/book.asp?621603","אמרי יצחק - 3 כר'")</f>
        <v>אמרי יצחק - 3 כר'</v>
      </c>
    </row>
    <row r="3317" spans="1:6" x14ac:dyDescent="0.2">
      <c r="A3317" t="s">
        <v>6488</v>
      </c>
      <c r="B3317" t="s">
        <v>6489</v>
      </c>
      <c r="C3317" t="s">
        <v>980</v>
      </c>
      <c r="D3317" t="s">
        <v>1966</v>
      </c>
      <c r="E3317" t="s">
        <v>158</v>
      </c>
      <c r="F3317" s="2" t="str">
        <f>HYPERLINK("http://www.otzar.org/book.asp?154128","אמרי יצחק - 2 כר'")</f>
        <v>אמרי יצחק - 2 כר'</v>
      </c>
    </row>
    <row r="3318" spans="1:6" x14ac:dyDescent="0.2">
      <c r="A3318" t="s">
        <v>6490</v>
      </c>
      <c r="B3318" t="s">
        <v>6491</v>
      </c>
      <c r="C3318" t="s">
        <v>111</v>
      </c>
      <c r="D3318" t="s">
        <v>657</v>
      </c>
      <c r="E3318" t="s">
        <v>246</v>
      </c>
      <c r="F3318" s="2" t="str">
        <f>HYPERLINK("http://www.otzar.org/book.asp?621835","אמרי יציב - 2 כר'")</f>
        <v>אמרי יציב - 2 כר'</v>
      </c>
    </row>
    <row r="3319" spans="1:6" x14ac:dyDescent="0.2">
      <c r="A3319" t="s">
        <v>6492</v>
      </c>
      <c r="B3319" t="s">
        <v>3374</v>
      </c>
      <c r="C3319" t="s">
        <v>133</v>
      </c>
      <c r="D3319" t="s">
        <v>412</v>
      </c>
      <c r="E3319" t="s">
        <v>241</v>
      </c>
      <c r="F3319" s="2" t="str">
        <f>HYPERLINK("http://www.otzar.org/book.asp?198101","אמרי יציב")</f>
        <v>אמרי יציב</v>
      </c>
    </row>
    <row r="3320" spans="1:6" x14ac:dyDescent="0.2">
      <c r="A3320" t="s">
        <v>6493</v>
      </c>
      <c r="B3320" t="s">
        <v>4737</v>
      </c>
      <c r="C3320" t="s">
        <v>3840</v>
      </c>
      <c r="D3320" t="s">
        <v>27</v>
      </c>
      <c r="E3320" t="s">
        <v>684</v>
      </c>
      <c r="F3320" s="2" t="str">
        <f>HYPERLINK("http://www.otzar.org/book.asp?17212","אמרי ירוחם")</f>
        <v>אמרי ירוחם</v>
      </c>
    </row>
    <row r="3321" spans="1:6" x14ac:dyDescent="0.2">
      <c r="A3321" t="s">
        <v>6494</v>
      </c>
      <c r="B3321" t="s">
        <v>3301</v>
      </c>
      <c r="C3321" t="s">
        <v>422</v>
      </c>
      <c r="D3321" t="s">
        <v>14</v>
      </c>
      <c r="E3321" t="s">
        <v>158</v>
      </c>
      <c r="F3321" s="2" t="str">
        <f>HYPERLINK("http://www.otzar.org/book.asp?63976","אמרי ישע - 2 כר'")</f>
        <v>אמרי ישע - 2 כר'</v>
      </c>
    </row>
    <row r="3322" spans="1:6" x14ac:dyDescent="0.2">
      <c r="A3322" t="s">
        <v>6495</v>
      </c>
      <c r="B3322" t="s">
        <v>6496</v>
      </c>
      <c r="C3322" t="s">
        <v>3695</v>
      </c>
      <c r="D3322" t="s">
        <v>403</v>
      </c>
      <c r="E3322" t="s">
        <v>1847</v>
      </c>
      <c r="F3322" s="2" t="str">
        <f>HYPERLINK("http://www.otzar.org/book.asp?103125","אמרי ישר - 5 כר'")</f>
        <v>אמרי ישר - 5 כר'</v>
      </c>
    </row>
    <row r="3323" spans="1:6" x14ac:dyDescent="0.2">
      <c r="A3323" t="s">
        <v>6497</v>
      </c>
      <c r="B3323" t="s">
        <v>6498</v>
      </c>
      <c r="C3323" t="s">
        <v>422</v>
      </c>
      <c r="D3323" t="s">
        <v>14</v>
      </c>
      <c r="E3323" t="s">
        <v>144</v>
      </c>
      <c r="F3323" s="2" t="str">
        <f>HYPERLINK("http://www.otzar.org/book.asp?162956","אמרי ישראל - הוריות")</f>
        <v>אמרי ישראל - הוריות</v>
      </c>
    </row>
    <row r="3324" spans="1:6" x14ac:dyDescent="0.2">
      <c r="A3324" t="s">
        <v>6499</v>
      </c>
      <c r="B3324" t="s">
        <v>6500</v>
      </c>
      <c r="C3324" t="s">
        <v>558</v>
      </c>
      <c r="D3324" t="s">
        <v>6501</v>
      </c>
      <c r="E3324" t="s">
        <v>104</v>
      </c>
      <c r="F3324" s="2" t="str">
        <f>HYPERLINK("http://www.otzar.org/book.asp?17213","אמרי ישראל")</f>
        <v>אמרי ישראל</v>
      </c>
    </row>
    <row r="3325" spans="1:6" x14ac:dyDescent="0.2">
      <c r="A3325" t="s">
        <v>6499</v>
      </c>
      <c r="B3325" t="s">
        <v>6502</v>
      </c>
      <c r="C3325" t="s">
        <v>725</v>
      </c>
      <c r="D3325" t="s">
        <v>6503</v>
      </c>
      <c r="E3325" t="s">
        <v>2071</v>
      </c>
      <c r="F3325" s="2" t="str">
        <f>HYPERLINK("http://www.otzar.org/book.asp?172356","אמרי ישראל")</f>
        <v>אמרי ישראל</v>
      </c>
    </row>
    <row r="3326" spans="1:6" x14ac:dyDescent="0.2">
      <c r="A3326" t="s">
        <v>6504</v>
      </c>
      <c r="B3326" t="s">
        <v>6505</v>
      </c>
      <c r="C3326" t="s">
        <v>114</v>
      </c>
      <c r="D3326" t="s">
        <v>14</v>
      </c>
      <c r="E3326" t="s">
        <v>144</v>
      </c>
      <c r="F3326" s="2" t="str">
        <f>HYPERLINK("http://www.otzar.org/book.asp?165573","אמרי ישראל - תמורה")</f>
        <v>אמרי ישראל - תמורה</v>
      </c>
    </row>
    <row r="3327" spans="1:6" x14ac:dyDescent="0.2">
      <c r="A3327" t="s">
        <v>6499</v>
      </c>
      <c r="B3327" t="s">
        <v>6506</v>
      </c>
      <c r="C3327" t="s">
        <v>23</v>
      </c>
      <c r="D3327" t="s">
        <v>14</v>
      </c>
      <c r="E3327" t="s">
        <v>2071</v>
      </c>
      <c r="F3327" s="2" t="str">
        <f>HYPERLINK("http://www.otzar.org/book.asp?198576","אמרי ישראל")</f>
        <v>אמרי ישראל</v>
      </c>
    </row>
    <row r="3328" spans="1:6" x14ac:dyDescent="0.2">
      <c r="A3328" t="s">
        <v>6499</v>
      </c>
      <c r="B3328" t="s">
        <v>6507</v>
      </c>
      <c r="C3328" t="s">
        <v>2008</v>
      </c>
      <c r="D3328" t="s">
        <v>699</v>
      </c>
      <c r="E3328" t="s">
        <v>2071</v>
      </c>
      <c r="F3328" s="2" t="str">
        <f>HYPERLINK("http://www.otzar.org/book.asp?51390","אמרי ישראל")</f>
        <v>אמרי ישראל</v>
      </c>
    </row>
    <row r="3329" spans="1:6" x14ac:dyDescent="0.2">
      <c r="A3329" t="s">
        <v>6499</v>
      </c>
      <c r="B3329" t="s">
        <v>6508</v>
      </c>
      <c r="C3329" t="s">
        <v>111</v>
      </c>
      <c r="D3329" t="s">
        <v>152</v>
      </c>
      <c r="E3329" t="s">
        <v>144</v>
      </c>
      <c r="F3329" s="2" t="str">
        <f>HYPERLINK("http://www.otzar.org/book.asp?629987","אמרי ישראל")</f>
        <v>אמרי ישראל</v>
      </c>
    </row>
    <row r="3330" spans="1:6" x14ac:dyDescent="0.2">
      <c r="A3330" t="s">
        <v>6499</v>
      </c>
      <c r="B3330" t="s">
        <v>6509</v>
      </c>
      <c r="C3330" t="s">
        <v>114</v>
      </c>
      <c r="D3330" t="s">
        <v>14</v>
      </c>
      <c r="E3330" t="s">
        <v>2071</v>
      </c>
      <c r="F3330" s="2" t="str">
        <f>HYPERLINK("http://www.otzar.org/book.asp?170876","אמרי ישראל")</f>
        <v>אמרי ישראל</v>
      </c>
    </row>
    <row r="3331" spans="1:6" x14ac:dyDescent="0.2">
      <c r="A3331" t="s">
        <v>6510</v>
      </c>
      <c r="B3331" t="s">
        <v>206</v>
      </c>
      <c r="C3331" t="s">
        <v>23</v>
      </c>
      <c r="D3331" t="s">
        <v>147</v>
      </c>
      <c r="E3331" t="s">
        <v>144</v>
      </c>
      <c r="F3331" s="2" t="str">
        <f>HYPERLINK("http://www.otzar.org/book.asp?606880","אמרי כהן - 4 כר'")</f>
        <v>אמרי כהן - 4 כר'</v>
      </c>
    </row>
    <row r="3332" spans="1:6" x14ac:dyDescent="0.2">
      <c r="A3332" t="s">
        <v>6511</v>
      </c>
      <c r="B3332" t="s">
        <v>6512</v>
      </c>
      <c r="C3332" t="s">
        <v>13</v>
      </c>
      <c r="D3332" t="s">
        <v>14</v>
      </c>
      <c r="E3332" t="s">
        <v>154</v>
      </c>
      <c r="F3332" s="2" t="str">
        <f>HYPERLINK("http://www.otzar.org/book.asp?154645","אמרי כהן - 2 כר'")</f>
        <v>אמרי כהן - 2 כר'</v>
      </c>
    </row>
    <row r="3333" spans="1:6" x14ac:dyDescent="0.2">
      <c r="A3333" t="s">
        <v>6513</v>
      </c>
      <c r="B3333" t="s">
        <v>6514</v>
      </c>
      <c r="C3333" t="s">
        <v>87</v>
      </c>
      <c r="D3333" t="s">
        <v>14</v>
      </c>
      <c r="E3333" t="s">
        <v>144</v>
      </c>
      <c r="F3333" s="2" t="str">
        <f>HYPERLINK("http://www.otzar.org/book.asp?162821","אמרי כהן")</f>
        <v>אמרי כהן</v>
      </c>
    </row>
    <row r="3334" spans="1:6" x14ac:dyDescent="0.2">
      <c r="A3334" t="s">
        <v>6515</v>
      </c>
      <c r="B3334" t="s">
        <v>6516</v>
      </c>
      <c r="C3334" t="s">
        <v>6517</v>
      </c>
      <c r="D3334" t="s">
        <v>283</v>
      </c>
      <c r="E3334" t="s">
        <v>158</v>
      </c>
      <c r="F3334" s="2" t="str">
        <f>HYPERLINK("http://www.otzar.org/book.asp?300274","אמרי כהן - 3 כר'")</f>
        <v>אמרי כהן - 3 כר'</v>
      </c>
    </row>
    <row r="3335" spans="1:6" x14ac:dyDescent="0.2">
      <c r="A3335" t="s">
        <v>6518</v>
      </c>
      <c r="B3335" t="s">
        <v>6519</v>
      </c>
      <c r="C3335" t="s">
        <v>454</v>
      </c>
      <c r="D3335" t="s">
        <v>52</v>
      </c>
      <c r="E3335" t="s">
        <v>144</v>
      </c>
      <c r="F3335" s="2" t="str">
        <f>HYPERLINK("http://www.otzar.org/book.asp?156054","אמרי כהן - 6 כר'")</f>
        <v>אמרי כהן - 6 כר'</v>
      </c>
    </row>
    <row r="3336" spans="1:6" x14ac:dyDescent="0.2">
      <c r="A3336" t="s">
        <v>6513</v>
      </c>
      <c r="B3336" t="s">
        <v>6520</v>
      </c>
      <c r="C3336" t="s">
        <v>151</v>
      </c>
      <c r="D3336" t="s">
        <v>21</v>
      </c>
      <c r="E3336" t="s">
        <v>144</v>
      </c>
      <c r="F3336" s="2" t="str">
        <f>HYPERLINK("http://www.otzar.org/book.asp?621843","אמרי כהן")</f>
        <v>אמרי כהן</v>
      </c>
    </row>
    <row r="3337" spans="1:6" x14ac:dyDescent="0.2">
      <c r="A3337" t="s">
        <v>6513</v>
      </c>
      <c r="B3337" t="s">
        <v>6521</v>
      </c>
      <c r="C3337" t="s">
        <v>37</v>
      </c>
      <c r="D3337" t="s">
        <v>367</v>
      </c>
      <c r="E3337" t="s">
        <v>144</v>
      </c>
      <c r="F3337" s="2" t="str">
        <f>HYPERLINK("http://www.otzar.org/book.asp?193831","אמרי כהן")</f>
        <v>אמרי כהן</v>
      </c>
    </row>
    <row r="3338" spans="1:6" x14ac:dyDescent="0.2">
      <c r="A3338" t="s">
        <v>6522</v>
      </c>
      <c r="B3338" t="s">
        <v>6523</v>
      </c>
      <c r="C3338" t="s">
        <v>224</v>
      </c>
      <c r="D3338" t="s">
        <v>1100</v>
      </c>
      <c r="E3338" t="s">
        <v>15</v>
      </c>
      <c r="F3338" s="2" t="str">
        <f>HYPERLINK("http://www.otzar.org/book.asp?8628","אמרי לב - א")</f>
        <v>אמרי לב - א</v>
      </c>
    </row>
    <row r="3339" spans="1:6" x14ac:dyDescent="0.2">
      <c r="A3339" t="s">
        <v>6524</v>
      </c>
      <c r="B3339" t="s">
        <v>6525</v>
      </c>
      <c r="C3339" t="s">
        <v>146</v>
      </c>
      <c r="D3339" t="s">
        <v>3560</v>
      </c>
      <c r="E3339" t="s">
        <v>104</v>
      </c>
      <c r="F3339" s="2" t="str">
        <f>HYPERLINK("http://www.otzar.org/book.asp?64254","אמרי לשון - מילתא בטעמא &lt;כללי השיר לר""ת&gt;")</f>
        <v>אמרי לשון - מילתא בטעמא &lt;כללי השיר לר"ת&gt;</v>
      </c>
    </row>
    <row r="3340" spans="1:6" x14ac:dyDescent="0.2">
      <c r="A3340" t="s">
        <v>6526</v>
      </c>
      <c r="B3340" t="s">
        <v>6527</v>
      </c>
      <c r="C3340" t="s">
        <v>383</v>
      </c>
      <c r="D3340" t="s">
        <v>14</v>
      </c>
      <c r="E3340" t="s">
        <v>230</v>
      </c>
      <c r="F3340" s="2" t="str">
        <f>HYPERLINK("http://www.otzar.org/book.asp?155101","אמרי מ""י &lt;מהדורה חדשה&gt;")</f>
        <v>אמרי מ"י &lt;מהדורה חדשה&gt;</v>
      </c>
    </row>
    <row r="3341" spans="1:6" x14ac:dyDescent="0.2">
      <c r="A3341" t="s">
        <v>6528</v>
      </c>
      <c r="B3341" t="s">
        <v>6527</v>
      </c>
      <c r="C3341" t="s">
        <v>812</v>
      </c>
      <c r="D3341" t="s">
        <v>283</v>
      </c>
      <c r="E3341" t="s">
        <v>158</v>
      </c>
      <c r="F3341" s="2" t="str">
        <f>HYPERLINK("http://www.otzar.org/book.asp?300266","אמרי מ""י")</f>
        <v>אמרי מ"י</v>
      </c>
    </row>
    <row r="3342" spans="1:6" x14ac:dyDescent="0.2">
      <c r="A3342" t="s">
        <v>6529</v>
      </c>
      <c r="B3342" t="s">
        <v>206</v>
      </c>
      <c r="C3342" t="s">
        <v>244</v>
      </c>
      <c r="D3342" t="s">
        <v>14</v>
      </c>
      <c r="E3342" t="s">
        <v>15</v>
      </c>
      <c r="F3342" s="2" t="str">
        <f>HYPERLINK("http://www.otzar.org/book.asp?198451","אמרי מאיר")</f>
        <v>אמרי מאיר</v>
      </c>
    </row>
    <row r="3343" spans="1:6" x14ac:dyDescent="0.2">
      <c r="A3343" t="s">
        <v>6530</v>
      </c>
      <c r="B3343" t="s">
        <v>6531</v>
      </c>
      <c r="C3343" t="s">
        <v>366</v>
      </c>
      <c r="D3343" t="s">
        <v>14</v>
      </c>
      <c r="E3343" t="s">
        <v>6532</v>
      </c>
      <c r="F3343" s="2" t="str">
        <f>HYPERLINK("http://www.otzar.org/book.asp?619029","אמרי מאיר - מאמר מרדכי")</f>
        <v>אמרי מאיר - מאמר מרדכי</v>
      </c>
    </row>
    <row r="3344" spans="1:6" x14ac:dyDescent="0.2">
      <c r="A3344" t="s">
        <v>6529</v>
      </c>
      <c r="B3344" t="s">
        <v>6533</v>
      </c>
      <c r="C3344" t="s">
        <v>1268</v>
      </c>
      <c r="D3344" t="s">
        <v>14</v>
      </c>
      <c r="E3344" t="s">
        <v>158</v>
      </c>
      <c r="F3344" s="2" t="str">
        <f>HYPERLINK("http://www.otzar.org/book.asp?188443","אמרי מאיר")</f>
        <v>אמרי מאיר</v>
      </c>
    </row>
    <row r="3345" spans="1:6" x14ac:dyDescent="0.2">
      <c r="A3345" t="s">
        <v>6534</v>
      </c>
      <c r="B3345" t="s">
        <v>6535</v>
      </c>
      <c r="C3345" t="s">
        <v>313</v>
      </c>
      <c r="D3345" t="s">
        <v>14</v>
      </c>
      <c r="E3345" t="s">
        <v>234</v>
      </c>
      <c r="F3345" s="2" t="str">
        <f>HYPERLINK("http://www.otzar.org/book.asp?174307","אמרי מאיר - 2 כר'")</f>
        <v>אמרי מאיר - 2 כר'</v>
      </c>
    </row>
    <row r="3346" spans="1:6" x14ac:dyDescent="0.2">
      <c r="A3346" t="s">
        <v>6529</v>
      </c>
      <c r="B3346" t="s">
        <v>6536</v>
      </c>
      <c r="C3346" t="s">
        <v>103</v>
      </c>
      <c r="D3346" t="s">
        <v>6537</v>
      </c>
      <c r="E3346" t="s">
        <v>15</v>
      </c>
      <c r="F3346" s="2" t="str">
        <f>HYPERLINK("http://www.otzar.org/book.asp?628239","אמרי מאיר")</f>
        <v>אמרי מאיר</v>
      </c>
    </row>
    <row r="3347" spans="1:6" x14ac:dyDescent="0.2">
      <c r="A3347" t="s">
        <v>6529</v>
      </c>
      <c r="B3347" t="s">
        <v>6538</v>
      </c>
      <c r="C3347" t="s">
        <v>71</v>
      </c>
      <c r="D3347" t="s">
        <v>14</v>
      </c>
      <c r="E3347" t="s">
        <v>144</v>
      </c>
      <c r="F3347" s="2" t="str">
        <f>HYPERLINK("http://www.otzar.org/book.asp?176817","אמרי מאיר")</f>
        <v>אמרי מאיר</v>
      </c>
    </row>
    <row r="3348" spans="1:6" x14ac:dyDescent="0.2">
      <c r="A3348" t="s">
        <v>6529</v>
      </c>
      <c r="B3348" t="s">
        <v>6539</v>
      </c>
      <c r="C3348" t="s">
        <v>146</v>
      </c>
      <c r="D3348" t="s">
        <v>6540</v>
      </c>
      <c r="E3348" t="s">
        <v>2143</v>
      </c>
      <c r="F3348" s="2" t="str">
        <f>HYPERLINK("http://www.otzar.org/book.asp?148348","אמרי מאיר")</f>
        <v>אמרי מאיר</v>
      </c>
    </row>
    <row r="3349" spans="1:6" x14ac:dyDescent="0.2">
      <c r="A3349" t="s">
        <v>6529</v>
      </c>
      <c r="B3349" t="s">
        <v>6541</v>
      </c>
      <c r="C3349" t="s">
        <v>698</v>
      </c>
      <c r="D3349" t="s">
        <v>9</v>
      </c>
      <c r="E3349" t="s">
        <v>158</v>
      </c>
      <c r="F3349" s="2" t="str">
        <f>HYPERLINK("http://www.otzar.org/book.asp?51392","אמרי מאיר")</f>
        <v>אמרי מאיר</v>
      </c>
    </row>
    <row r="3350" spans="1:6" x14ac:dyDescent="0.2">
      <c r="A3350" t="s">
        <v>6542</v>
      </c>
      <c r="B3350" t="s">
        <v>6543</v>
      </c>
      <c r="C3350" t="s">
        <v>189</v>
      </c>
      <c r="D3350" t="s">
        <v>14</v>
      </c>
      <c r="E3350" t="s">
        <v>803</v>
      </c>
      <c r="F3350" s="2" t="str">
        <f>HYPERLINK("http://www.otzar.org/book.asp?161212","אמרי מגדים - עירובין")</f>
        <v>אמרי מגדים - עירובין</v>
      </c>
    </row>
    <row r="3351" spans="1:6" x14ac:dyDescent="0.2">
      <c r="A3351" t="s">
        <v>6544</v>
      </c>
      <c r="B3351" t="s">
        <v>6545</v>
      </c>
      <c r="C3351" t="s">
        <v>2008</v>
      </c>
      <c r="D3351" t="s">
        <v>9</v>
      </c>
      <c r="E3351" t="s">
        <v>144</v>
      </c>
      <c r="F3351" s="2" t="str">
        <f>HYPERLINK("http://www.otzar.org/book.asp?100246","אמרי מהרא""ב")</f>
        <v>אמרי מהרא"ב</v>
      </c>
    </row>
    <row r="3352" spans="1:6" x14ac:dyDescent="0.2">
      <c r="A3352" t="s">
        <v>6546</v>
      </c>
      <c r="B3352" t="s">
        <v>6547</v>
      </c>
      <c r="C3352" t="s">
        <v>506</v>
      </c>
      <c r="D3352" t="s">
        <v>2009</v>
      </c>
      <c r="E3352" t="s">
        <v>6548</v>
      </c>
      <c r="F3352" s="2" t="str">
        <f>HYPERLINK("http://www.otzar.org/book.asp?17214","אמרי מהרז""ל")</f>
        <v>אמרי מהרז"ל</v>
      </c>
    </row>
    <row r="3353" spans="1:6" x14ac:dyDescent="0.2">
      <c r="A3353" t="s">
        <v>6549</v>
      </c>
      <c r="B3353" t="s">
        <v>6550</v>
      </c>
      <c r="C3353" t="s">
        <v>462</v>
      </c>
      <c r="D3353" t="s">
        <v>6551</v>
      </c>
      <c r="E3353" t="s">
        <v>559</v>
      </c>
      <c r="F3353" s="2" t="str">
        <f>HYPERLINK("http://www.otzar.org/book.asp?300308","אמרי מהרי""ן")</f>
        <v>אמרי מהרי"ן</v>
      </c>
    </row>
    <row r="3354" spans="1:6" x14ac:dyDescent="0.2">
      <c r="A3354" t="s">
        <v>6552</v>
      </c>
      <c r="B3354" t="s">
        <v>6553</v>
      </c>
      <c r="C3354" t="s">
        <v>176</v>
      </c>
      <c r="D3354" t="s">
        <v>412</v>
      </c>
      <c r="E3354" t="s">
        <v>144</v>
      </c>
      <c r="F3354" s="2" t="str">
        <f>HYPERLINK("http://www.otzar.org/book.asp?151672","אמרי מהרש""ח")</f>
        <v>אמרי מהרש"ח</v>
      </c>
    </row>
    <row r="3355" spans="1:6" x14ac:dyDescent="0.2">
      <c r="A3355" t="s">
        <v>6554</v>
      </c>
      <c r="B3355" t="s">
        <v>2885</v>
      </c>
      <c r="C3355" t="s">
        <v>940</v>
      </c>
      <c r="D3355" t="s">
        <v>412</v>
      </c>
      <c r="E3355" t="s">
        <v>140</v>
      </c>
      <c r="F3355" s="2" t="str">
        <f>HYPERLINK("http://www.otzar.org/book.asp?60797","אמרי מוהרא""ש - א")</f>
        <v>אמרי מוהרא"ש - א</v>
      </c>
    </row>
    <row r="3356" spans="1:6" x14ac:dyDescent="0.2">
      <c r="A3356" t="s">
        <v>6555</v>
      </c>
      <c r="B3356" t="s">
        <v>6313</v>
      </c>
      <c r="C3356" t="s">
        <v>366</v>
      </c>
      <c r="D3356" t="s">
        <v>14</v>
      </c>
      <c r="E3356" t="s">
        <v>241</v>
      </c>
      <c r="F3356" s="2" t="str">
        <f>HYPERLINK("http://www.otzar.org/book.asp?608247","אמרי מחשבה")</f>
        <v>אמרי מחשבה</v>
      </c>
    </row>
    <row r="3357" spans="1:6" x14ac:dyDescent="0.2">
      <c r="A3357" t="s">
        <v>6556</v>
      </c>
      <c r="B3357" t="s">
        <v>6557</v>
      </c>
      <c r="C3357" t="s">
        <v>133</v>
      </c>
      <c r="D3357" t="s">
        <v>14</v>
      </c>
      <c r="E3357" t="s">
        <v>158</v>
      </c>
      <c r="F3357" s="2" t="str">
        <f>HYPERLINK("http://www.otzar.org/book.asp?179636","אמרי מנחה - בראשית")</f>
        <v>אמרי מנחה - בראשית</v>
      </c>
    </row>
    <row r="3358" spans="1:6" x14ac:dyDescent="0.2">
      <c r="A3358" t="s">
        <v>6558</v>
      </c>
      <c r="B3358" t="s">
        <v>6559</v>
      </c>
      <c r="C3358" t="s">
        <v>366</v>
      </c>
      <c r="D3358" t="s">
        <v>52</v>
      </c>
      <c r="F3358" s="2" t="str">
        <f>HYPERLINK("http://www.otzar.org/book.asp?609534","אמרי מנחם &lt;המבואר&gt; - 5 כר'")</f>
        <v>אמרי מנחם &lt;המבואר&gt; - 5 כר'</v>
      </c>
    </row>
    <row r="3359" spans="1:6" x14ac:dyDescent="0.2">
      <c r="A3359" t="s">
        <v>6560</v>
      </c>
      <c r="B3359" t="s">
        <v>6559</v>
      </c>
      <c r="C3359" t="s">
        <v>13</v>
      </c>
      <c r="D3359" t="s">
        <v>52</v>
      </c>
      <c r="E3359" t="s">
        <v>230</v>
      </c>
      <c r="F3359" s="2" t="str">
        <f>HYPERLINK("http://www.otzar.org/book.asp?605933","אמרי מנחם - 5 כר'")</f>
        <v>אמרי מנחם - 5 כר'</v>
      </c>
    </row>
    <row r="3360" spans="1:6" x14ac:dyDescent="0.2">
      <c r="A3360" t="s">
        <v>6561</v>
      </c>
      <c r="B3360" t="s">
        <v>6562</v>
      </c>
      <c r="C3360" t="s">
        <v>466</v>
      </c>
      <c r="D3360" t="s">
        <v>21</v>
      </c>
      <c r="E3360" t="s">
        <v>5712</v>
      </c>
      <c r="F3360" s="2" t="str">
        <f>HYPERLINK("http://www.otzar.org/book.asp?601231","אמרי מנחם")</f>
        <v>אמרי מנחם</v>
      </c>
    </row>
    <row r="3361" spans="1:6" x14ac:dyDescent="0.2">
      <c r="A3361" t="s">
        <v>6563</v>
      </c>
      <c r="B3361" t="s">
        <v>6564</v>
      </c>
      <c r="C3361" t="s">
        <v>427</v>
      </c>
      <c r="D3361" t="s">
        <v>412</v>
      </c>
      <c r="E3361" t="s">
        <v>6565</v>
      </c>
      <c r="F3361" s="2" t="str">
        <f>HYPERLINK("http://www.otzar.org/book.asp?165350","אמרי מרדכי ועטרת מרדכי")</f>
        <v>אמרי מרדכי ועטרת מרדכי</v>
      </c>
    </row>
    <row r="3362" spans="1:6" x14ac:dyDescent="0.2">
      <c r="A3362" t="s">
        <v>6563</v>
      </c>
      <c r="B3362" t="s">
        <v>6566</v>
      </c>
      <c r="C3362" t="s">
        <v>411</v>
      </c>
      <c r="D3362" t="s">
        <v>412</v>
      </c>
      <c r="E3362" t="s">
        <v>6567</v>
      </c>
      <c r="F3362" s="2" t="str">
        <f>HYPERLINK("http://www.otzar.org/book.asp?169910","אמרי מרדכי ועטרת מרדכי")</f>
        <v>אמרי מרדכי ועטרת מרדכי</v>
      </c>
    </row>
    <row r="3363" spans="1:6" x14ac:dyDescent="0.2">
      <c r="A3363" t="s">
        <v>6568</v>
      </c>
      <c r="B3363" t="s">
        <v>6569</v>
      </c>
      <c r="C3363" t="s">
        <v>151</v>
      </c>
      <c r="D3363" t="s">
        <v>14</v>
      </c>
      <c r="E3363" t="s">
        <v>564</v>
      </c>
      <c r="F3363" s="2" t="str">
        <f>HYPERLINK("http://www.otzar.org/book.asp?619397","אמרי מרדכי - 2 כר'")</f>
        <v>אמרי מרדכי - 2 כר'</v>
      </c>
    </row>
    <row r="3364" spans="1:6" x14ac:dyDescent="0.2">
      <c r="A3364" t="s">
        <v>6570</v>
      </c>
      <c r="B3364" t="s">
        <v>6571</v>
      </c>
      <c r="C3364" t="s">
        <v>71</v>
      </c>
      <c r="D3364" t="s">
        <v>3283</v>
      </c>
      <c r="E3364" t="s">
        <v>154</v>
      </c>
      <c r="F3364" s="2" t="str">
        <f>HYPERLINK("http://www.otzar.org/book.asp?151285","אמרי מרדכי")</f>
        <v>אמרי מרדכי</v>
      </c>
    </row>
    <row r="3365" spans="1:6" x14ac:dyDescent="0.2">
      <c r="A3365" t="s">
        <v>6570</v>
      </c>
      <c r="B3365" t="s">
        <v>6572</v>
      </c>
      <c r="C3365" t="s">
        <v>466</v>
      </c>
      <c r="D3365" t="s">
        <v>52</v>
      </c>
      <c r="E3365" t="s">
        <v>230</v>
      </c>
      <c r="F3365" s="2" t="str">
        <f>HYPERLINK("http://www.otzar.org/book.asp?156885","אמרי מרדכי")</f>
        <v>אמרי מרדכי</v>
      </c>
    </row>
    <row r="3366" spans="1:6" x14ac:dyDescent="0.2">
      <c r="A3366" t="s">
        <v>6570</v>
      </c>
      <c r="B3366" t="s">
        <v>6573</v>
      </c>
      <c r="C3366" t="s">
        <v>785</v>
      </c>
      <c r="D3366" t="s">
        <v>52</v>
      </c>
      <c r="E3366" t="s">
        <v>15</v>
      </c>
      <c r="F3366" s="2" t="str">
        <f>HYPERLINK("http://www.otzar.org/book.asp?149235","אמרי מרדכי")</f>
        <v>אמרי מרדכי</v>
      </c>
    </row>
    <row r="3367" spans="1:6" x14ac:dyDescent="0.2">
      <c r="A3367" t="s">
        <v>6570</v>
      </c>
      <c r="B3367" t="s">
        <v>6574</v>
      </c>
      <c r="C3367" t="s">
        <v>1609</v>
      </c>
      <c r="D3367" t="s">
        <v>9</v>
      </c>
      <c r="E3367" t="s">
        <v>144</v>
      </c>
      <c r="F3367" s="2" t="str">
        <f>HYPERLINK("http://www.otzar.org/book.asp?300307","אמרי מרדכי")</f>
        <v>אמרי מרדכי</v>
      </c>
    </row>
    <row r="3368" spans="1:6" x14ac:dyDescent="0.2">
      <c r="A3368" t="s">
        <v>6570</v>
      </c>
      <c r="B3368" t="s">
        <v>6575</v>
      </c>
      <c r="C3368" t="s">
        <v>23</v>
      </c>
      <c r="D3368" t="s">
        <v>21</v>
      </c>
      <c r="E3368" t="s">
        <v>130</v>
      </c>
      <c r="F3368" s="2" t="str">
        <f>HYPERLINK("http://www.otzar.org/book.asp?194056","אמרי מרדכי")</f>
        <v>אמרי מרדכי</v>
      </c>
    </row>
    <row r="3369" spans="1:6" x14ac:dyDescent="0.2">
      <c r="A3369" t="s">
        <v>6568</v>
      </c>
      <c r="B3369" t="s">
        <v>6576</v>
      </c>
      <c r="C3369" t="s">
        <v>111</v>
      </c>
      <c r="D3369" t="s">
        <v>14</v>
      </c>
      <c r="E3369" t="s">
        <v>154</v>
      </c>
      <c r="F3369" s="2" t="str">
        <f>HYPERLINK("http://www.otzar.org/book.asp?629257","אמרי מרדכי - 2 כר'")</f>
        <v>אמרי מרדכי - 2 כר'</v>
      </c>
    </row>
    <row r="3370" spans="1:6" x14ac:dyDescent="0.2">
      <c r="A3370" t="s">
        <v>6570</v>
      </c>
      <c r="B3370" t="s">
        <v>6577</v>
      </c>
      <c r="C3370" t="s">
        <v>785</v>
      </c>
      <c r="D3370" t="s">
        <v>52</v>
      </c>
      <c r="E3370" t="s">
        <v>144</v>
      </c>
      <c r="F3370" s="2" t="str">
        <f>HYPERLINK("http://www.otzar.org/book.asp?150487","אמרי מרדכי")</f>
        <v>אמרי מרדכי</v>
      </c>
    </row>
    <row r="3371" spans="1:6" x14ac:dyDescent="0.2">
      <c r="A3371" t="s">
        <v>6578</v>
      </c>
      <c r="B3371" t="s">
        <v>6579</v>
      </c>
      <c r="C3371" t="s">
        <v>146</v>
      </c>
      <c r="D3371" t="s">
        <v>14</v>
      </c>
      <c r="E3371" t="s">
        <v>559</v>
      </c>
      <c r="F3371" s="2" t="str">
        <f>HYPERLINK("http://www.otzar.org/book.asp?61612","אמרי משה &lt;מהדורה חדשה&gt;")</f>
        <v>אמרי משה &lt;מהדורה חדשה&gt;</v>
      </c>
    </row>
    <row r="3372" spans="1:6" x14ac:dyDescent="0.2">
      <c r="A3372" t="s">
        <v>6580</v>
      </c>
      <c r="B3372" t="s">
        <v>6581</v>
      </c>
      <c r="C3372" t="s">
        <v>888</v>
      </c>
      <c r="D3372" t="s">
        <v>6582</v>
      </c>
      <c r="E3372" t="s">
        <v>144</v>
      </c>
      <c r="F3372" s="2" t="str">
        <f>HYPERLINK("http://www.otzar.org/book.asp?103995","אמרי משה")</f>
        <v>אמרי משה</v>
      </c>
    </row>
    <row r="3373" spans="1:6" x14ac:dyDescent="0.2">
      <c r="A3373" t="s">
        <v>6583</v>
      </c>
      <c r="B3373" t="s">
        <v>2308</v>
      </c>
      <c r="C3373" t="s">
        <v>176</v>
      </c>
      <c r="D3373" t="s">
        <v>14</v>
      </c>
      <c r="E3373" t="s">
        <v>158</v>
      </c>
      <c r="F3373" s="2" t="str">
        <f>HYPERLINK("http://www.otzar.org/book.asp?51296","אמרי משה - 2 כר'")</f>
        <v>אמרי משה - 2 כר'</v>
      </c>
    </row>
    <row r="3374" spans="1:6" x14ac:dyDescent="0.2">
      <c r="A3374" t="s">
        <v>6583</v>
      </c>
      <c r="B3374" t="s">
        <v>6584</v>
      </c>
      <c r="C3374" t="s">
        <v>151</v>
      </c>
      <c r="D3374" t="s">
        <v>423</v>
      </c>
      <c r="E3374" t="s">
        <v>158</v>
      </c>
      <c r="F3374" s="2" t="str">
        <f>HYPERLINK("http://www.otzar.org/book.asp?616230","אמרי משה - 2 כר'")</f>
        <v>אמרי משה - 2 כר'</v>
      </c>
    </row>
    <row r="3375" spans="1:6" x14ac:dyDescent="0.2">
      <c r="A3375" t="s">
        <v>6583</v>
      </c>
      <c r="B3375" t="s">
        <v>6585</v>
      </c>
      <c r="C3375" t="s">
        <v>68</v>
      </c>
      <c r="D3375" t="s">
        <v>14</v>
      </c>
      <c r="F3375" s="2" t="str">
        <f>HYPERLINK("http://www.otzar.org/book.asp?630459","אמרי משה - 2 כר'")</f>
        <v>אמרי משה - 2 כר'</v>
      </c>
    </row>
    <row r="3376" spans="1:6" x14ac:dyDescent="0.2">
      <c r="A3376" t="s">
        <v>6580</v>
      </c>
      <c r="B3376" t="s">
        <v>6586</v>
      </c>
      <c r="C3376" t="s">
        <v>71</v>
      </c>
      <c r="D3376" t="s">
        <v>52</v>
      </c>
      <c r="E3376" t="s">
        <v>6587</v>
      </c>
      <c r="F3376" s="2" t="str">
        <f>HYPERLINK("http://www.otzar.org/book.asp?153575","אמרי משה")</f>
        <v>אמרי משה</v>
      </c>
    </row>
    <row r="3377" spans="1:6" x14ac:dyDescent="0.2">
      <c r="A3377" t="s">
        <v>6580</v>
      </c>
      <c r="B3377" t="s">
        <v>6588</v>
      </c>
      <c r="C3377" t="s">
        <v>151</v>
      </c>
      <c r="E3377" t="s">
        <v>15</v>
      </c>
      <c r="F3377" s="2" t="str">
        <f>HYPERLINK("http://www.otzar.org/book.asp?622555","אמרי משה")</f>
        <v>אמרי משה</v>
      </c>
    </row>
    <row r="3378" spans="1:6" x14ac:dyDescent="0.2">
      <c r="A3378" t="s">
        <v>6583</v>
      </c>
      <c r="B3378" t="s">
        <v>6589</v>
      </c>
      <c r="C3378" t="s">
        <v>1650</v>
      </c>
      <c r="D3378" t="s">
        <v>283</v>
      </c>
      <c r="E3378" t="s">
        <v>154</v>
      </c>
      <c r="F3378" s="2" t="str">
        <f>HYPERLINK("http://www.otzar.org/book.asp?108282","אמרי משה - 2 כר'")</f>
        <v>אמרי משה - 2 כר'</v>
      </c>
    </row>
    <row r="3379" spans="1:6" x14ac:dyDescent="0.2">
      <c r="A3379" t="s">
        <v>6580</v>
      </c>
      <c r="B3379" t="s">
        <v>6579</v>
      </c>
      <c r="C3379" t="s">
        <v>176</v>
      </c>
      <c r="D3379" t="s">
        <v>412</v>
      </c>
      <c r="E3379" t="s">
        <v>5712</v>
      </c>
      <c r="F3379" s="2" t="str">
        <f>HYPERLINK("http://www.otzar.org/book.asp?145289","אמרי משה")</f>
        <v>אמרי משה</v>
      </c>
    </row>
    <row r="3380" spans="1:6" x14ac:dyDescent="0.2">
      <c r="A3380" t="s">
        <v>6583</v>
      </c>
      <c r="B3380" t="s">
        <v>6590</v>
      </c>
      <c r="C3380" t="s">
        <v>103</v>
      </c>
      <c r="D3380" t="s">
        <v>115</v>
      </c>
      <c r="E3380" t="s">
        <v>241</v>
      </c>
      <c r="F3380" s="2" t="str">
        <f>HYPERLINK("http://www.otzar.org/book.asp?28142","אמרי משה - 2 כר'")</f>
        <v>אמרי משה - 2 כר'</v>
      </c>
    </row>
    <row r="3381" spans="1:6" x14ac:dyDescent="0.2">
      <c r="A3381" t="s">
        <v>6580</v>
      </c>
      <c r="B3381" t="s">
        <v>6591</v>
      </c>
      <c r="C3381" t="s">
        <v>1202</v>
      </c>
      <c r="D3381" t="s">
        <v>56</v>
      </c>
      <c r="E3381" t="s">
        <v>564</v>
      </c>
      <c r="F3381" s="2" t="str">
        <f>HYPERLINK("http://www.otzar.org/book.asp?300304","אמרי משה")</f>
        <v>אמרי משה</v>
      </c>
    </row>
    <row r="3382" spans="1:6" x14ac:dyDescent="0.2">
      <c r="A3382" t="s">
        <v>6580</v>
      </c>
      <c r="B3382" t="s">
        <v>6592</v>
      </c>
      <c r="C3382" t="s">
        <v>1047</v>
      </c>
      <c r="D3382" t="s">
        <v>283</v>
      </c>
      <c r="E3382" t="s">
        <v>2071</v>
      </c>
      <c r="F3382" s="2" t="str">
        <f>HYPERLINK("http://www.otzar.org/book.asp?141061","אמרי משה")</f>
        <v>אמרי משה</v>
      </c>
    </row>
    <row r="3383" spans="1:6" x14ac:dyDescent="0.2">
      <c r="A3383" t="s">
        <v>6593</v>
      </c>
      <c r="B3383" t="s">
        <v>6594</v>
      </c>
      <c r="C3383" t="s">
        <v>13</v>
      </c>
      <c r="D3383" t="s">
        <v>14</v>
      </c>
      <c r="E3383" t="s">
        <v>154</v>
      </c>
      <c r="F3383" s="2" t="str">
        <f>HYPERLINK("http://www.otzar.org/book.asp?169478","אמרי משפט - 2 כר'")</f>
        <v>אמרי משפט - 2 כר'</v>
      </c>
    </row>
    <row r="3384" spans="1:6" x14ac:dyDescent="0.2">
      <c r="A3384" t="s">
        <v>6595</v>
      </c>
      <c r="B3384" t="s">
        <v>6596</v>
      </c>
      <c r="C3384" t="s">
        <v>366</v>
      </c>
      <c r="D3384" t="s">
        <v>52</v>
      </c>
      <c r="E3384" t="s">
        <v>144</v>
      </c>
      <c r="F3384" s="2" t="str">
        <f>HYPERLINK("http://www.otzar.org/book.asp?621077","אמרי נדה")</f>
        <v>אמרי נדה</v>
      </c>
    </row>
    <row r="3385" spans="1:6" x14ac:dyDescent="0.2">
      <c r="A3385" t="s">
        <v>6597</v>
      </c>
      <c r="B3385" t="s">
        <v>6598</v>
      </c>
      <c r="C3385" t="s">
        <v>146</v>
      </c>
      <c r="D3385" t="s">
        <v>14</v>
      </c>
      <c r="E3385" t="s">
        <v>2088</v>
      </c>
      <c r="F3385" s="2" t="str">
        <f>HYPERLINK("http://www.otzar.org/book.asp?159103","אמרי נועם &lt;מהדורה חדשה&gt;")</f>
        <v>אמרי נועם &lt;מהדורה חדשה&gt;</v>
      </c>
    </row>
    <row r="3386" spans="1:6" x14ac:dyDescent="0.2">
      <c r="A3386" t="s">
        <v>6599</v>
      </c>
      <c r="B3386" t="s">
        <v>1821</v>
      </c>
      <c r="C3386" t="s">
        <v>956</v>
      </c>
      <c r="D3386" t="s">
        <v>14</v>
      </c>
      <c r="E3386" t="s">
        <v>6600</v>
      </c>
      <c r="F3386" s="2" t="str">
        <f>HYPERLINK("http://www.otzar.org/book.asp?9247","אמרי נועם וחידושי הגר""א")</f>
        <v>אמרי נועם וחידושי הגר"א</v>
      </c>
    </row>
    <row r="3387" spans="1:6" x14ac:dyDescent="0.2">
      <c r="A3387" t="s">
        <v>6601</v>
      </c>
      <c r="B3387" t="s">
        <v>1821</v>
      </c>
      <c r="C3387" t="s">
        <v>146</v>
      </c>
      <c r="D3387" t="s">
        <v>52</v>
      </c>
      <c r="E3387" t="s">
        <v>144</v>
      </c>
      <c r="F3387" s="2" t="str">
        <f>HYPERLINK("http://www.otzar.org/book.asp?142215","אמרי נועם על מסכת ברכות")</f>
        <v>אמרי נועם על מסכת ברכות</v>
      </c>
    </row>
    <row r="3388" spans="1:6" x14ac:dyDescent="0.2">
      <c r="A3388" t="s">
        <v>6602</v>
      </c>
      <c r="B3388" t="s">
        <v>6603</v>
      </c>
      <c r="C3388" t="s">
        <v>133</v>
      </c>
      <c r="D3388" t="s">
        <v>2375</v>
      </c>
      <c r="E3388" t="s">
        <v>230</v>
      </c>
      <c r="F3388" s="2" t="str">
        <f>HYPERLINK("http://www.otzar.org/book.asp?183439","אמרי נועם - 2 כר'")</f>
        <v>אמרי נועם - 2 כר'</v>
      </c>
    </row>
    <row r="3389" spans="1:6" x14ac:dyDescent="0.2">
      <c r="A3389" t="s">
        <v>6604</v>
      </c>
      <c r="B3389" t="s">
        <v>1821</v>
      </c>
      <c r="C3389" t="s">
        <v>1096</v>
      </c>
      <c r="D3389" t="s">
        <v>283</v>
      </c>
      <c r="E3389" t="s">
        <v>144</v>
      </c>
      <c r="F3389" s="2" t="str">
        <f>HYPERLINK("http://www.otzar.org/book.asp?106029","אמרי נועם")</f>
        <v>אמרי נועם</v>
      </c>
    </row>
    <row r="3390" spans="1:6" x14ac:dyDescent="0.2">
      <c r="A3390" t="s">
        <v>6604</v>
      </c>
      <c r="B3390" t="s">
        <v>6604</v>
      </c>
      <c r="C3390" t="s">
        <v>1437</v>
      </c>
      <c r="D3390" t="s">
        <v>267</v>
      </c>
      <c r="E3390" t="s">
        <v>158</v>
      </c>
      <c r="F3390" s="2" t="str">
        <f>HYPERLINK("http://www.otzar.org/book.asp?108808","אמרי נועם")</f>
        <v>אמרי נועם</v>
      </c>
    </row>
    <row r="3391" spans="1:6" x14ac:dyDescent="0.2">
      <c r="A3391" t="s">
        <v>6604</v>
      </c>
      <c r="B3391" t="s">
        <v>6605</v>
      </c>
      <c r="C3391" t="s">
        <v>429</v>
      </c>
      <c r="D3391" t="s">
        <v>1365</v>
      </c>
      <c r="E3391" t="s">
        <v>674</v>
      </c>
      <c r="F3391" s="2" t="str">
        <f>HYPERLINK("http://www.otzar.org/book.asp?624701","אמרי נועם")</f>
        <v>אמרי נועם</v>
      </c>
    </row>
    <row r="3392" spans="1:6" x14ac:dyDescent="0.2">
      <c r="A3392" t="s">
        <v>6604</v>
      </c>
      <c r="B3392" t="s">
        <v>6606</v>
      </c>
      <c r="C3392" t="s">
        <v>6607</v>
      </c>
      <c r="D3392" t="s">
        <v>1023</v>
      </c>
      <c r="E3392" t="s">
        <v>219</v>
      </c>
      <c r="F3392" s="2" t="str">
        <f>HYPERLINK("http://www.otzar.org/book.asp?51389","אמרי נועם")</f>
        <v>אמרי נועם</v>
      </c>
    </row>
    <row r="3393" spans="1:6" x14ac:dyDescent="0.2">
      <c r="A3393" t="s">
        <v>6604</v>
      </c>
      <c r="B3393" t="s">
        <v>6598</v>
      </c>
      <c r="C3393" t="s">
        <v>5823</v>
      </c>
      <c r="D3393" t="s">
        <v>6608</v>
      </c>
      <c r="E3393" t="s">
        <v>901</v>
      </c>
      <c r="F3393" s="2" t="str">
        <f>HYPERLINK("http://www.otzar.org/book.asp?22374","אמרי נועם")</f>
        <v>אמרי נועם</v>
      </c>
    </row>
    <row r="3394" spans="1:6" x14ac:dyDescent="0.2">
      <c r="A3394" t="s">
        <v>6609</v>
      </c>
      <c r="B3394" t="s">
        <v>6610</v>
      </c>
      <c r="C3394" t="s">
        <v>1425</v>
      </c>
      <c r="D3394" t="s">
        <v>1117</v>
      </c>
      <c r="E3394" t="s">
        <v>158</v>
      </c>
      <c r="F3394" s="2" t="str">
        <f>HYPERLINK("http://www.otzar.org/book.asp?15863","אמרי נועם - 6 כר'")</f>
        <v>אמרי נועם - 6 כר'</v>
      </c>
    </row>
    <row r="3395" spans="1:6" x14ac:dyDescent="0.2">
      <c r="A3395" t="s">
        <v>6611</v>
      </c>
      <c r="B3395" t="s">
        <v>6612</v>
      </c>
      <c r="C3395" t="s">
        <v>6613</v>
      </c>
      <c r="D3395" t="s">
        <v>1117</v>
      </c>
      <c r="E3395" t="s">
        <v>154</v>
      </c>
      <c r="F3395" s="2" t="str">
        <f>HYPERLINK("http://www.otzar.org/book.asp?51393","אמרי נועם - 11 כר'")</f>
        <v>אמרי נועם - 11 כר'</v>
      </c>
    </row>
    <row r="3396" spans="1:6" x14ac:dyDescent="0.2">
      <c r="A3396" t="s">
        <v>6604</v>
      </c>
      <c r="B3396" t="s">
        <v>6614</v>
      </c>
      <c r="C3396" t="s">
        <v>133</v>
      </c>
      <c r="D3396" t="s">
        <v>14</v>
      </c>
      <c r="E3396" t="s">
        <v>158</v>
      </c>
      <c r="F3396" s="2" t="str">
        <f>HYPERLINK("http://www.otzar.org/book.asp?175454","אמרי נועם")</f>
        <v>אמרי נועם</v>
      </c>
    </row>
    <row r="3397" spans="1:6" x14ac:dyDescent="0.2">
      <c r="A3397" t="s">
        <v>6604</v>
      </c>
      <c r="B3397" t="s">
        <v>6615</v>
      </c>
      <c r="C3397" t="s">
        <v>1228</v>
      </c>
      <c r="D3397" t="s">
        <v>283</v>
      </c>
      <c r="E3397" t="s">
        <v>144</v>
      </c>
      <c r="F3397" s="2" t="str">
        <f>HYPERLINK("http://www.otzar.org/book.asp?17215","אמרי נועם")</f>
        <v>אמרי נועם</v>
      </c>
    </row>
    <row r="3398" spans="1:6" x14ac:dyDescent="0.2">
      <c r="A3398" t="s">
        <v>6604</v>
      </c>
      <c r="B3398" t="s">
        <v>6417</v>
      </c>
      <c r="C3398" t="s">
        <v>1718</v>
      </c>
      <c r="D3398" t="s">
        <v>379</v>
      </c>
      <c r="E3398" t="s">
        <v>154</v>
      </c>
      <c r="F3398" s="2" t="str">
        <f>HYPERLINK("http://www.otzar.org/book.asp?100247","אמרי נועם")</f>
        <v>אמרי נועם</v>
      </c>
    </row>
    <row r="3399" spans="1:6" x14ac:dyDescent="0.2">
      <c r="A3399" t="s">
        <v>6604</v>
      </c>
      <c r="B3399" t="s">
        <v>6616</v>
      </c>
      <c r="C3399" t="s">
        <v>68</v>
      </c>
      <c r="D3399" t="s">
        <v>14</v>
      </c>
      <c r="E3399" t="s">
        <v>154</v>
      </c>
      <c r="F3399" s="2" t="str">
        <f>HYPERLINK("http://www.otzar.org/book.asp?173012","אמרי נועם")</f>
        <v>אמרי נועם</v>
      </c>
    </row>
    <row r="3400" spans="1:6" x14ac:dyDescent="0.2">
      <c r="A3400" t="s">
        <v>6602</v>
      </c>
      <c r="B3400" t="s">
        <v>6617</v>
      </c>
      <c r="C3400" t="s">
        <v>2543</v>
      </c>
      <c r="D3400" t="s">
        <v>6618</v>
      </c>
      <c r="E3400" t="s">
        <v>158</v>
      </c>
      <c r="F3400" s="2" t="str">
        <f>HYPERLINK("http://www.otzar.org/book.asp?171360","אמרי נועם - 2 כר'")</f>
        <v>אמרי נועם - 2 כר'</v>
      </c>
    </row>
    <row r="3401" spans="1:6" x14ac:dyDescent="0.2">
      <c r="A3401" t="s">
        <v>6619</v>
      </c>
      <c r="B3401" t="s">
        <v>6620</v>
      </c>
      <c r="C3401" t="s">
        <v>2543</v>
      </c>
      <c r="D3401" t="s">
        <v>6618</v>
      </c>
      <c r="E3401" t="s">
        <v>158</v>
      </c>
      <c r="F3401" s="2" t="str">
        <f>HYPERLINK("http://www.otzar.org/book.asp?171361","אמרי נועם - שמות, ויקרא")</f>
        <v>אמרי נועם - שמות, ויקרא</v>
      </c>
    </row>
    <row r="3402" spans="1:6" x14ac:dyDescent="0.2">
      <c r="A3402" t="s">
        <v>6604</v>
      </c>
      <c r="B3402" t="s">
        <v>6621</v>
      </c>
      <c r="C3402" t="s">
        <v>2076</v>
      </c>
      <c r="D3402" t="s">
        <v>1459</v>
      </c>
      <c r="E3402" t="s">
        <v>674</v>
      </c>
      <c r="F3402" s="2" t="str">
        <f>HYPERLINK("http://www.otzar.org/book.asp?100274","אמרי נועם")</f>
        <v>אמרי נועם</v>
      </c>
    </row>
    <row r="3403" spans="1:6" x14ac:dyDescent="0.2">
      <c r="A3403" t="s">
        <v>6604</v>
      </c>
      <c r="B3403" t="s">
        <v>6622</v>
      </c>
      <c r="C3403" t="s">
        <v>99</v>
      </c>
      <c r="D3403" t="s">
        <v>1365</v>
      </c>
      <c r="E3403" t="s">
        <v>5712</v>
      </c>
      <c r="F3403" s="2" t="str">
        <f>HYPERLINK("http://www.otzar.org/book.asp?624782","אמרי נועם")</f>
        <v>אמרי נועם</v>
      </c>
    </row>
    <row r="3404" spans="1:6" x14ac:dyDescent="0.2">
      <c r="A3404" t="s">
        <v>6604</v>
      </c>
      <c r="B3404" t="s">
        <v>6623</v>
      </c>
      <c r="C3404" t="s">
        <v>6624</v>
      </c>
      <c r="D3404" t="s">
        <v>6625</v>
      </c>
      <c r="E3404" t="s">
        <v>213</v>
      </c>
      <c r="F3404" s="2" t="str">
        <f>HYPERLINK("http://www.otzar.org/book.asp?146865","אמרי נועם")</f>
        <v>אמרי נועם</v>
      </c>
    </row>
    <row r="3405" spans="1:6" x14ac:dyDescent="0.2">
      <c r="A3405" t="s">
        <v>6604</v>
      </c>
      <c r="B3405" t="s">
        <v>6626</v>
      </c>
      <c r="C3405" t="s">
        <v>51</v>
      </c>
      <c r="D3405" t="s">
        <v>14</v>
      </c>
      <c r="E3405" t="s">
        <v>741</v>
      </c>
      <c r="F3405" s="2" t="str">
        <f>HYPERLINK("http://www.otzar.org/book.asp?23895","אמרי נועם")</f>
        <v>אמרי נועם</v>
      </c>
    </row>
    <row r="3406" spans="1:6" x14ac:dyDescent="0.2">
      <c r="A3406" t="s">
        <v>6627</v>
      </c>
      <c r="B3406" t="s">
        <v>6628</v>
      </c>
      <c r="C3406" t="s">
        <v>17</v>
      </c>
      <c r="D3406" t="s">
        <v>52</v>
      </c>
      <c r="E3406" t="s">
        <v>144</v>
      </c>
      <c r="F3406" s="2" t="str">
        <f>HYPERLINK("http://www.otzar.org/book.asp?61707","אמרי נחמיה - מגילה")</f>
        <v>אמרי נחמיה - מגילה</v>
      </c>
    </row>
    <row r="3407" spans="1:6" x14ac:dyDescent="0.2">
      <c r="A3407" t="s">
        <v>6629</v>
      </c>
      <c r="B3407" t="s">
        <v>6630</v>
      </c>
      <c r="C3407" t="s">
        <v>286</v>
      </c>
      <c r="D3407" t="s">
        <v>14</v>
      </c>
      <c r="E3407" t="s">
        <v>104</v>
      </c>
      <c r="F3407" s="2" t="str">
        <f>HYPERLINK("http://www.otzar.org/book.asp?610484","אמרי נעם")</f>
        <v>אמרי נעם</v>
      </c>
    </row>
    <row r="3408" spans="1:6" x14ac:dyDescent="0.2">
      <c r="A3408" t="s">
        <v>6629</v>
      </c>
      <c r="B3408" t="s">
        <v>6631</v>
      </c>
      <c r="C3408" t="s">
        <v>438</v>
      </c>
      <c r="D3408" t="s">
        <v>14</v>
      </c>
      <c r="E3408" t="s">
        <v>158</v>
      </c>
      <c r="F3408" s="2" t="str">
        <f>HYPERLINK("http://www.otzar.org/book.asp?149206","אמרי נעם")</f>
        <v>אמרי נעם</v>
      </c>
    </row>
    <row r="3409" spans="1:6" x14ac:dyDescent="0.2">
      <c r="A3409" t="s">
        <v>6632</v>
      </c>
      <c r="B3409" t="s">
        <v>5804</v>
      </c>
      <c r="C3409" t="s">
        <v>151</v>
      </c>
      <c r="D3409" t="s">
        <v>52</v>
      </c>
      <c r="E3409" t="s">
        <v>158</v>
      </c>
      <c r="F3409" s="2" t="str">
        <f>HYPERLINK("http://www.otzar.org/book.asp?616243","אמרי נעם - א (בראשית, שמות)")</f>
        <v>אמרי נעם - א (בראשית, שמות)</v>
      </c>
    </row>
    <row r="3410" spans="1:6" x14ac:dyDescent="0.2">
      <c r="A3410" t="s">
        <v>6629</v>
      </c>
      <c r="B3410" t="s">
        <v>6417</v>
      </c>
      <c r="C3410" t="s">
        <v>411</v>
      </c>
      <c r="D3410" t="s">
        <v>14</v>
      </c>
      <c r="E3410" t="s">
        <v>144</v>
      </c>
      <c r="F3410" s="2" t="str">
        <f>HYPERLINK("http://www.otzar.org/book.asp?183177","אמרי נעם")</f>
        <v>אמרי נעם</v>
      </c>
    </row>
    <row r="3411" spans="1:6" x14ac:dyDescent="0.2">
      <c r="A3411" t="s">
        <v>6629</v>
      </c>
      <c r="B3411" t="s">
        <v>6633</v>
      </c>
      <c r="C3411" t="s">
        <v>419</v>
      </c>
      <c r="D3411" t="s">
        <v>52</v>
      </c>
      <c r="E3411" t="s">
        <v>15</v>
      </c>
      <c r="F3411" s="2" t="str">
        <f>HYPERLINK("http://www.otzar.org/book.asp?615099","אמרי נעם")</f>
        <v>אמרי נעם</v>
      </c>
    </row>
    <row r="3412" spans="1:6" x14ac:dyDescent="0.2">
      <c r="A3412" t="s">
        <v>6629</v>
      </c>
      <c r="B3412" t="s">
        <v>6634</v>
      </c>
      <c r="C3412" t="s">
        <v>20</v>
      </c>
      <c r="D3412" t="s">
        <v>52</v>
      </c>
      <c r="E3412" t="s">
        <v>6635</v>
      </c>
      <c r="F3412" s="2" t="str">
        <f>HYPERLINK("http://www.otzar.org/book.asp?197575","אמרי נעם")</f>
        <v>אמרי נעם</v>
      </c>
    </row>
    <row r="3413" spans="1:6" x14ac:dyDescent="0.2">
      <c r="A3413" t="s">
        <v>6629</v>
      </c>
      <c r="B3413" t="s">
        <v>6636</v>
      </c>
      <c r="C3413" t="s">
        <v>5721</v>
      </c>
      <c r="D3413" t="s">
        <v>1660</v>
      </c>
      <c r="E3413" t="s">
        <v>234</v>
      </c>
      <c r="F3413" s="2" t="str">
        <f>HYPERLINK("http://www.otzar.org/book.asp?17229","אמרי נעם")</f>
        <v>אמרי נעם</v>
      </c>
    </row>
    <row r="3414" spans="1:6" x14ac:dyDescent="0.2">
      <c r="A3414" t="s">
        <v>6629</v>
      </c>
      <c r="B3414" t="s">
        <v>6637</v>
      </c>
      <c r="C3414" t="s">
        <v>6638</v>
      </c>
      <c r="D3414" t="s">
        <v>6214</v>
      </c>
      <c r="E3414" t="s">
        <v>158</v>
      </c>
      <c r="F3414" s="2" t="str">
        <f>HYPERLINK("http://www.otzar.org/book.asp?626473","אמרי נעם")</f>
        <v>אמרי נעם</v>
      </c>
    </row>
    <row r="3415" spans="1:6" x14ac:dyDescent="0.2">
      <c r="A3415" t="s">
        <v>6639</v>
      </c>
      <c r="B3415" t="s">
        <v>6640</v>
      </c>
      <c r="C3415" t="s">
        <v>466</v>
      </c>
      <c r="D3415" t="s">
        <v>14</v>
      </c>
      <c r="E3415" t="s">
        <v>158</v>
      </c>
      <c r="F3415" s="2" t="str">
        <f>HYPERLINK("http://www.otzar.org/book.asp?161366","אמרי נפתלי - א")</f>
        <v>אמרי נפתלי - א</v>
      </c>
    </row>
    <row r="3416" spans="1:6" x14ac:dyDescent="0.2">
      <c r="A3416" t="s">
        <v>6641</v>
      </c>
      <c r="B3416" t="s">
        <v>1331</v>
      </c>
      <c r="C3416" t="s">
        <v>533</v>
      </c>
      <c r="D3416" t="s">
        <v>14</v>
      </c>
      <c r="E3416" t="s">
        <v>144</v>
      </c>
      <c r="F3416" s="2" t="str">
        <f>HYPERLINK("http://www.otzar.org/book.asp?145539","אמרי סופר - 11 כר'")</f>
        <v>אמרי סופר - 11 כר'</v>
      </c>
    </row>
    <row r="3417" spans="1:6" x14ac:dyDescent="0.2">
      <c r="A3417" t="s">
        <v>6642</v>
      </c>
      <c r="B3417" t="s">
        <v>6643</v>
      </c>
      <c r="C3417" t="s">
        <v>558</v>
      </c>
      <c r="D3417" t="s">
        <v>3627</v>
      </c>
      <c r="E3417" t="s">
        <v>975</v>
      </c>
      <c r="F3417" s="2" t="str">
        <f>HYPERLINK("http://www.otzar.org/book.asp?300305","אמרי סיני")</f>
        <v>אמרי סיני</v>
      </c>
    </row>
    <row r="3418" spans="1:6" x14ac:dyDescent="0.2">
      <c r="A3418" t="s">
        <v>6644</v>
      </c>
      <c r="B3418" t="s">
        <v>6645</v>
      </c>
      <c r="C3418" t="s">
        <v>156</v>
      </c>
      <c r="D3418" t="s">
        <v>6238</v>
      </c>
      <c r="E3418" t="s">
        <v>219</v>
      </c>
      <c r="F3418" s="2" t="str">
        <f>HYPERLINK("http://www.otzar.org/book.asp?300303","אמרי ספר")</f>
        <v>אמרי ספר</v>
      </c>
    </row>
    <row r="3419" spans="1:6" x14ac:dyDescent="0.2">
      <c r="A3419" t="s">
        <v>6644</v>
      </c>
      <c r="B3419" t="s">
        <v>6646</v>
      </c>
      <c r="E3419" t="s">
        <v>104</v>
      </c>
      <c r="F3419" s="2" t="str">
        <f>HYPERLINK("http://www.otzar.org/book.asp?196513","אמרי ספר")</f>
        <v>אמרי ספר</v>
      </c>
    </row>
    <row r="3420" spans="1:6" x14ac:dyDescent="0.2">
      <c r="A3420" t="s">
        <v>6647</v>
      </c>
      <c r="B3420" t="s">
        <v>6648</v>
      </c>
      <c r="C3420" t="s">
        <v>23</v>
      </c>
      <c r="D3420" t="s">
        <v>367</v>
      </c>
      <c r="E3420" t="s">
        <v>158</v>
      </c>
      <c r="F3420" s="2" t="str">
        <f>HYPERLINK("http://www.otzar.org/book.asp?198742","אמרי עובדיה")</f>
        <v>אמרי עובדיה</v>
      </c>
    </row>
    <row r="3421" spans="1:6" x14ac:dyDescent="0.2">
      <c r="A3421" t="s">
        <v>6649</v>
      </c>
      <c r="B3421" t="s">
        <v>6650</v>
      </c>
      <c r="C3421" t="s">
        <v>422</v>
      </c>
      <c r="D3421" t="s">
        <v>5172</v>
      </c>
      <c r="E3421" t="s">
        <v>154</v>
      </c>
      <c r="F3421" s="2" t="str">
        <f>HYPERLINK("http://www.otzar.org/book.asp?161539","אמרי פז")</f>
        <v>אמרי פז</v>
      </c>
    </row>
    <row r="3422" spans="1:6" x14ac:dyDescent="0.2">
      <c r="A3422" t="s">
        <v>6651</v>
      </c>
      <c r="B3422" t="s">
        <v>6652</v>
      </c>
      <c r="C3422" t="s">
        <v>366</v>
      </c>
      <c r="D3422" t="s">
        <v>1273</v>
      </c>
      <c r="E3422" t="s">
        <v>144</v>
      </c>
      <c r="F3422" s="2" t="str">
        <f>HYPERLINK("http://www.otzar.org/book.asp?605271","אמרי פי - נדה")</f>
        <v>אמרי פי - נדה</v>
      </c>
    </row>
    <row r="3423" spans="1:6" x14ac:dyDescent="0.2">
      <c r="A3423" t="s">
        <v>6653</v>
      </c>
      <c r="B3423" t="s">
        <v>6654</v>
      </c>
      <c r="C3423" t="s">
        <v>189</v>
      </c>
      <c r="D3423" t="s">
        <v>14</v>
      </c>
      <c r="E3423" t="s">
        <v>104</v>
      </c>
      <c r="F3423" s="2" t="str">
        <f>HYPERLINK("http://www.otzar.org/book.asp?161755","אמרי פי")</f>
        <v>אמרי פי</v>
      </c>
    </row>
    <row r="3424" spans="1:6" x14ac:dyDescent="0.2">
      <c r="A3424" t="s">
        <v>6653</v>
      </c>
      <c r="B3424" t="s">
        <v>206</v>
      </c>
      <c r="C3424" t="s">
        <v>411</v>
      </c>
      <c r="D3424" t="s">
        <v>52</v>
      </c>
      <c r="E3424" t="s">
        <v>144</v>
      </c>
      <c r="F3424" s="2" t="str">
        <f>HYPERLINK("http://www.otzar.org/book.asp?167470","אמרי פי")</f>
        <v>אמרי פי</v>
      </c>
    </row>
    <row r="3425" spans="1:6" x14ac:dyDescent="0.2">
      <c r="A3425" t="s">
        <v>6653</v>
      </c>
      <c r="B3425" t="s">
        <v>686</v>
      </c>
      <c r="C3425" t="s">
        <v>23</v>
      </c>
      <c r="D3425" t="s">
        <v>52</v>
      </c>
      <c r="E3425" t="s">
        <v>234</v>
      </c>
      <c r="F3425" s="2" t="str">
        <f>HYPERLINK("http://www.otzar.org/book.asp?189699","אמרי פי")</f>
        <v>אמרי פי</v>
      </c>
    </row>
    <row r="3426" spans="1:6" x14ac:dyDescent="0.2">
      <c r="A3426" t="s">
        <v>6653</v>
      </c>
      <c r="B3426" t="s">
        <v>6655</v>
      </c>
      <c r="C3426" t="s">
        <v>143</v>
      </c>
      <c r="D3426" t="s">
        <v>852</v>
      </c>
      <c r="E3426" t="s">
        <v>2071</v>
      </c>
      <c r="F3426" s="2" t="str">
        <f>HYPERLINK("http://www.otzar.org/book.asp?63774","אמרי פי")</f>
        <v>אמרי פי</v>
      </c>
    </row>
    <row r="3427" spans="1:6" x14ac:dyDescent="0.2">
      <c r="A3427" t="s">
        <v>6653</v>
      </c>
      <c r="B3427" t="s">
        <v>6656</v>
      </c>
      <c r="C3427" t="s">
        <v>51</v>
      </c>
      <c r="D3427" t="s">
        <v>486</v>
      </c>
      <c r="E3427" t="s">
        <v>6253</v>
      </c>
      <c r="F3427" s="2" t="str">
        <f>HYPERLINK("http://www.otzar.org/book.asp?25765","אמרי פי")</f>
        <v>אמרי פי</v>
      </c>
    </row>
    <row r="3428" spans="1:6" x14ac:dyDescent="0.2">
      <c r="A3428" t="s">
        <v>6657</v>
      </c>
      <c r="B3428" t="s">
        <v>6658</v>
      </c>
      <c r="C3428" t="s">
        <v>63</v>
      </c>
      <c r="D3428" t="s">
        <v>14</v>
      </c>
      <c r="E3428" t="s">
        <v>1148</v>
      </c>
      <c r="F3428" s="2" t="str">
        <f>HYPERLINK("http://www.otzar.org/book.asp?150714","אמרי פי - 2 כר'")</f>
        <v>אמרי פי - 2 כר'</v>
      </c>
    </row>
    <row r="3429" spans="1:6" x14ac:dyDescent="0.2">
      <c r="A3429" t="s">
        <v>6659</v>
      </c>
      <c r="B3429" t="s">
        <v>6660</v>
      </c>
      <c r="C3429" t="s">
        <v>547</v>
      </c>
      <c r="D3429" t="s">
        <v>225</v>
      </c>
      <c r="E3429" t="s">
        <v>234</v>
      </c>
      <c r="F3429" s="2" t="str">
        <f>HYPERLINK("http://www.otzar.org/book.asp?300314","אמרי פי - א")</f>
        <v>אמרי פי - א</v>
      </c>
    </row>
    <row r="3430" spans="1:6" x14ac:dyDescent="0.2">
      <c r="A3430" t="s">
        <v>6653</v>
      </c>
      <c r="B3430" t="s">
        <v>6661</v>
      </c>
      <c r="C3430" t="s">
        <v>767</v>
      </c>
      <c r="D3430" t="s">
        <v>90</v>
      </c>
      <c r="E3430" t="s">
        <v>241</v>
      </c>
      <c r="F3430" s="2" t="str">
        <f>HYPERLINK("http://www.otzar.org/book.asp?182814","אמרי פי")</f>
        <v>אמרי פי</v>
      </c>
    </row>
    <row r="3431" spans="1:6" x14ac:dyDescent="0.2">
      <c r="A3431" t="s">
        <v>6662</v>
      </c>
      <c r="B3431" t="s">
        <v>6663</v>
      </c>
      <c r="C3431" t="s">
        <v>313</v>
      </c>
      <c r="D3431" t="s">
        <v>90</v>
      </c>
      <c r="E3431" t="s">
        <v>158</v>
      </c>
      <c r="F3431" s="2" t="str">
        <f>HYPERLINK("http://www.otzar.org/book.asp?147969","אמרי פי - 3 כר'")</f>
        <v>אמרי פי - 3 כר'</v>
      </c>
    </row>
    <row r="3432" spans="1:6" x14ac:dyDescent="0.2">
      <c r="A3432" t="s">
        <v>6657</v>
      </c>
      <c r="B3432" t="s">
        <v>6664</v>
      </c>
      <c r="C3432" t="s">
        <v>129</v>
      </c>
      <c r="D3432" t="s">
        <v>52</v>
      </c>
      <c r="E3432" t="s">
        <v>154</v>
      </c>
      <c r="F3432" s="2" t="str">
        <f>HYPERLINK("http://www.otzar.org/book.asp?61706","אמרי פי - 2 כר'")</f>
        <v>אמרי פי - 2 כר'</v>
      </c>
    </row>
    <row r="3433" spans="1:6" x14ac:dyDescent="0.2">
      <c r="A3433" t="s">
        <v>6665</v>
      </c>
      <c r="B3433" t="s">
        <v>6666</v>
      </c>
      <c r="C3433" t="s">
        <v>129</v>
      </c>
      <c r="D3433" t="s">
        <v>412</v>
      </c>
      <c r="E3433" t="s">
        <v>158</v>
      </c>
      <c r="F3433" s="2" t="str">
        <f>HYPERLINK("http://www.otzar.org/book.asp?63209","אמרי פי - ה")</f>
        <v>אמרי פי - ה</v>
      </c>
    </row>
    <row r="3434" spans="1:6" x14ac:dyDescent="0.2">
      <c r="A3434" t="s">
        <v>6662</v>
      </c>
      <c r="B3434" t="s">
        <v>6667</v>
      </c>
      <c r="C3434" t="s">
        <v>23</v>
      </c>
      <c r="D3434" t="s">
        <v>367</v>
      </c>
      <c r="E3434" t="s">
        <v>144</v>
      </c>
      <c r="F3434" s="2" t="str">
        <f>HYPERLINK("http://www.otzar.org/book.asp?191649","אמרי פי - 3 כר'")</f>
        <v>אמרי פי - 3 כר'</v>
      </c>
    </row>
    <row r="3435" spans="1:6" x14ac:dyDescent="0.2">
      <c r="A3435" t="s">
        <v>6668</v>
      </c>
      <c r="B3435" t="s">
        <v>6669</v>
      </c>
      <c r="C3435" t="s">
        <v>133</v>
      </c>
      <c r="D3435" t="s">
        <v>14</v>
      </c>
      <c r="E3435" t="s">
        <v>148</v>
      </c>
      <c r="F3435" s="2" t="str">
        <f>HYPERLINK("http://www.otzar.org/book.asp?173612","אמרי פנחס &lt;מהדורה חדשה&gt;")</f>
        <v>אמרי פנחס &lt;מהדורה חדשה&gt;</v>
      </c>
    </row>
    <row r="3436" spans="1:6" x14ac:dyDescent="0.2">
      <c r="A3436" t="s">
        <v>6670</v>
      </c>
      <c r="B3436" t="s">
        <v>6671</v>
      </c>
      <c r="C3436" t="s">
        <v>454</v>
      </c>
      <c r="D3436" t="s">
        <v>52</v>
      </c>
      <c r="E3436" t="s">
        <v>6672</v>
      </c>
      <c r="F3436" s="2" t="str">
        <f>HYPERLINK("http://www.otzar.org/book.asp?145560","אמרי פנחס השלם - 2 כר'")</f>
        <v>אמרי פנחס השלם - 2 כר'</v>
      </c>
    </row>
    <row r="3437" spans="1:6" x14ac:dyDescent="0.2">
      <c r="A3437" t="s">
        <v>6673</v>
      </c>
      <c r="B3437" t="s">
        <v>6674</v>
      </c>
      <c r="C3437" t="s">
        <v>146</v>
      </c>
      <c r="D3437" t="s">
        <v>1076</v>
      </c>
      <c r="E3437" t="s">
        <v>1970</v>
      </c>
      <c r="F3437" s="2" t="str">
        <f>HYPERLINK("http://www.otzar.org/book.asp?145115","אמרי פנחס")</f>
        <v>אמרי פנחס</v>
      </c>
    </row>
    <row r="3438" spans="1:6" x14ac:dyDescent="0.2">
      <c r="A3438" t="s">
        <v>6673</v>
      </c>
      <c r="B3438" t="s">
        <v>6675</v>
      </c>
      <c r="C3438" t="s">
        <v>1228</v>
      </c>
      <c r="D3438" t="s">
        <v>283</v>
      </c>
      <c r="E3438" t="s">
        <v>234</v>
      </c>
      <c r="F3438" s="2" t="str">
        <f>HYPERLINK("http://www.otzar.org/book.asp?300329","אמרי פנחס")</f>
        <v>אמרי פנחס</v>
      </c>
    </row>
    <row r="3439" spans="1:6" x14ac:dyDescent="0.2">
      <c r="A3439" t="s">
        <v>6676</v>
      </c>
      <c r="B3439" t="s">
        <v>6677</v>
      </c>
      <c r="C3439" t="s">
        <v>114</v>
      </c>
      <c r="D3439" t="s">
        <v>273</v>
      </c>
      <c r="E3439" t="s">
        <v>393</v>
      </c>
      <c r="F3439" s="2" t="str">
        <f>HYPERLINK("http://www.otzar.org/book.asp?164343","אמרי צבי")</f>
        <v>אמרי צבי</v>
      </c>
    </row>
    <row r="3440" spans="1:6" x14ac:dyDescent="0.2">
      <c r="A3440" t="s">
        <v>6678</v>
      </c>
      <c r="B3440" t="s">
        <v>6679</v>
      </c>
      <c r="C3440" t="s">
        <v>1388</v>
      </c>
      <c r="D3440" t="s">
        <v>52</v>
      </c>
      <c r="E3440" t="s">
        <v>154</v>
      </c>
      <c r="F3440" s="2" t="str">
        <f>HYPERLINK("http://www.otzar.org/book.asp?154343","אמרי צבי - 2 כר'")</f>
        <v>אמרי צבי - 2 כר'</v>
      </c>
    </row>
    <row r="3441" spans="1:6" x14ac:dyDescent="0.2">
      <c r="A3441" t="s">
        <v>6680</v>
      </c>
      <c r="B3441" t="s">
        <v>6681</v>
      </c>
      <c r="C3441" t="s">
        <v>466</v>
      </c>
      <c r="D3441" t="s">
        <v>52</v>
      </c>
      <c r="E3441" t="s">
        <v>144</v>
      </c>
      <c r="F3441" s="2" t="str">
        <f>HYPERLINK("http://www.otzar.org/book.asp?22681","אמרי צבי - 8 כר'")</f>
        <v>אמרי צבי - 8 כר'</v>
      </c>
    </row>
    <row r="3442" spans="1:6" x14ac:dyDescent="0.2">
      <c r="A3442" t="s">
        <v>6676</v>
      </c>
      <c r="B3442" t="s">
        <v>6682</v>
      </c>
      <c r="C3442" t="s">
        <v>99</v>
      </c>
      <c r="D3442" t="s">
        <v>283</v>
      </c>
      <c r="E3442" t="s">
        <v>834</v>
      </c>
      <c r="F3442" s="2" t="str">
        <f>HYPERLINK("http://www.otzar.org/book.asp?51395","אמרי צבי")</f>
        <v>אמרי צבי</v>
      </c>
    </row>
    <row r="3443" spans="1:6" x14ac:dyDescent="0.2">
      <c r="A3443" t="s">
        <v>6678</v>
      </c>
      <c r="B3443" t="s">
        <v>6683</v>
      </c>
      <c r="C3443" t="s">
        <v>6684</v>
      </c>
      <c r="D3443" t="s">
        <v>56</v>
      </c>
      <c r="E3443" t="s">
        <v>144</v>
      </c>
      <c r="F3443" s="2" t="str">
        <f>HYPERLINK("http://www.otzar.org/book.asp?28373","אמרי צבי - 2 כר'")</f>
        <v>אמרי צבי - 2 כר'</v>
      </c>
    </row>
    <row r="3444" spans="1:6" x14ac:dyDescent="0.2">
      <c r="A3444" t="s">
        <v>6685</v>
      </c>
      <c r="B3444" t="s">
        <v>6686</v>
      </c>
      <c r="C3444" t="s">
        <v>4051</v>
      </c>
      <c r="D3444" t="s">
        <v>1279</v>
      </c>
      <c r="E3444" t="s">
        <v>674</v>
      </c>
      <c r="F3444" s="2" t="str">
        <f>HYPERLINK("http://www.otzar.org/book.asp?19274","אמרי צדיקים")</f>
        <v>אמרי צדיקים</v>
      </c>
    </row>
    <row r="3445" spans="1:6" x14ac:dyDescent="0.2">
      <c r="A3445" t="s">
        <v>6685</v>
      </c>
      <c r="B3445" t="s">
        <v>6687</v>
      </c>
      <c r="C3445" t="s">
        <v>1885</v>
      </c>
      <c r="D3445" t="s">
        <v>283</v>
      </c>
      <c r="E3445" t="s">
        <v>6688</v>
      </c>
      <c r="F3445" s="2" t="str">
        <f>HYPERLINK("http://www.otzar.org/book.asp?102501","אמרי צדיקים")</f>
        <v>אמרי צדיקים</v>
      </c>
    </row>
    <row r="3446" spans="1:6" x14ac:dyDescent="0.2">
      <c r="A3446" t="s">
        <v>6685</v>
      </c>
      <c r="B3446" t="s">
        <v>6689</v>
      </c>
      <c r="C3446" t="s">
        <v>362</v>
      </c>
      <c r="D3446" t="s">
        <v>1419</v>
      </c>
      <c r="E3446" t="s">
        <v>741</v>
      </c>
      <c r="F3446" s="2" t="str">
        <f>HYPERLINK("http://www.otzar.org/book.asp?300269","אמרי צדיקים")</f>
        <v>אמרי צדיקים</v>
      </c>
    </row>
    <row r="3447" spans="1:6" x14ac:dyDescent="0.2">
      <c r="A3447" t="s">
        <v>6690</v>
      </c>
      <c r="B3447" t="s">
        <v>6691</v>
      </c>
      <c r="C3447" t="s">
        <v>2543</v>
      </c>
      <c r="D3447" t="s">
        <v>27</v>
      </c>
      <c r="E3447" t="s">
        <v>213</v>
      </c>
      <c r="F3447" s="2" t="str">
        <f>HYPERLINK("http://www.otzar.org/book.asp?300312","אמרי ציון")</f>
        <v>אמרי ציון</v>
      </c>
    </row>
    <row r="3448" spans="1:6" x14ac:dyDescent="0.2">
      <c r="A3448" t="s">
        <v>6692</v>
      </c>
      <c r="B3448" t="s">
        <v>6693</v>
      </c>
      <c r="C3448" t="s">
        <v>2213</v>
      </c>
      <c r="D3448" t="s">
        <v>280</v>
      </c>
      <c r="E3448" t="s">
        <v>3516</v>
      </c>
      <c r="F3448" s="2" t="str">
        <f>HYPERLINK("http://www.otzar.org/book.asp?181794","אמרי צרופה")</f>
        <v>אמרי צרופה</v>
      </c>
    </row>
    <row r="3449" spans="1:6" x14ac:dyDescent="0.2">
      <c r="A3449" t="s">
        <v>6694</v>
      </c>
      <c r="B3449" t="s">
        <v>6695</v>
      </c>
      <c r="C3449" t="s">
        <v>20</v>
      </c>
      <c r="D3449" t="s">
        <v>216</v>
      </c>
      <c r="E3449" t="s">
        <v>140</v>
      </c>
      <c r="F3449" s="2" t="str">
        <f>HYPERLINK("http://www.otzar.org/book.asp?162530","אמרי קדוש &lt;השלם&gt;")</f>
        <v>אמרי קדוש &lt;השלם&gt;</v>
      </c>
    </row>
    <row r="3450" spans="1:6" x14ac:dyDescent="0.2">
      <c r="A3450" t="s">
        <v>6696</v>
      </c>
      <c r="B3450" t="s">
        <v>6695</v>
      </c>
      <c r="C3450" t="s">
        <v>17</v>
      </c>
      <c r="D3450" t="s">
        <v>423</v>
      </c>
      <c r="E3450" t="s">
        <v>230</v>
      </c>
      <c r="F3450" s="2" t="str">
        <f>HYPERLINK("http://www.otzar.org/book.asp?170665","אמרי קדוש השלם")</f>
        <v>אמרי קדוש השלם</v>
      </c>
    </row>
    <row r="3451" spans="1:6" x14ac:dyDescent="0.2">
      <c r="A3451" t="s">
        <v>6697</v>
      </c>
      <c r="B3451" t="s">
        <v>6698</v>
      </c>
      <c r="C3451" t="s">
        <v>1169</v>
      </c>
      <c r="D3451" t="s">
        <v>3592</v>
      </c>
      <c r="E3451" t="s">
        <v>234</v>
      </c>
      <c r="F3451" s="2" t="str">
        <f>HYPERLINK("http://www.otzar.org/book.asp?300555","אמרי קדוש")</f>
        <v>אמרי קדוש</v>
      </c>
    </row>
    <row r="3452" spans="1:6" x14ac:dyDescent="0.2">
      <c r="A3452" t="s">
        <v>6699</v>
      </c>
      <c r="B3452" t="s">
        <v>6695</v>
      </c>
      <c r="C3452" t="s">
        <v>20</v>
      </c>
      <c r="D3452" t="s">
        <v>216</v>
      </c>
      <c r="E3452" t="s">
        <v>140</v>
      </c>
      <c r="F3452" s="2" t="str">
        <f>HYPERLINK("http://www.otzar.org/book.asp?10333","אמרי קדוש - 2 כר'")</f>
        <v>אמרי קדוש - 2 כר'</v>
      </c>
    </row>
    <row r="3453" spans="1:6" x14ac:dyDescent="0.2">
      <c r="A3453" t="s">
        <v>6700</v>
      </c>
      <c r="B3453" t="s">
        <v>6701</v>
      </c>
      <c r="C3453" t="s">
        <v>1570</v>
      </c>
      <c r="D3453" t="s">
        <v>14</v>
      </c>
      <c r="E3453" t="s">
        <v>140</v>
      </c>
      <c r="F3453" s="2" t="str">
        <f>HYPERLINK("http://www.otzar.org/book.asp?169072","אמרי קודש  מאדמו""ר מסדיגורא זי""ע - ב")</f>
        <v>אמרי קודש  מאדמו"ר מסדיגורא זי"ע - ב</v>
      </c>
    </row>
    <row r="3454" spans="1:6" x14ac:dyDescent="0.2">
      <c r="A3454" t="s">
        <v>6702</v>
      </c>
      <c r="B3454" t="s">
        <v>6703</v>
      </c>
      <c r="C3454" t="s">
        <v>366</v>
      </c>
      <c r="D3454" t="s">
        <v>52</v>
      </c>
      <c r="F3454" s="2" t="str">
        <f>HYPERLINK("http://www.otzar.org/book.asp?609538","אמרי קודש &lt;אלכסנדר&gt; - 5 כר'")</f>
        <v>אמרי קודש &lt;אלכסנדר&gt; - 5 כר'</v>
      </c>
    </row>
    <row r="3455" spans="1:6" x14ac:dyDescent="0.2">
      <c r="A3455" t="s">
        <v>6704</v>
      </c>
      <c r="B3455" t="s">
        <v>6705</v>
      </c>
      <c r="C3455" t="s">
        <v>17</v>
      </c>
      <c r="D3455" t="s">
        <v>14</v>
      </c>
      <c r="E3455" t="s">
        <v>2418</v>
      </c>
      <c r="F3455" s="2" t="str">
        <f>HYPERLINK("http://www.otzar.org/book.asp?611137","אמרי קודש")</f>
        <v>אמרי קודש</v>
      </c>
    </row>
    <row r="3456" spans="1:6" x14ac:dyDescent="0.2">
      <c r="A3456" t="s">
        <v>6704</v>
      </c>
      <c r="B3456" t="s">
        <v>6706</v>
      </c>
      <c r="C3456" t="s">
        <v>1169</v>
      </c>
      <c r="D3456" t="s">
        <v>80</v>
      </c>
      <c r="E3456" t="s">
        <v>104</v>
      </c>
      <c r="F3456" s="2" t="str">
        <f>HYPERLINK("http://www.otzar.org/book.asp?11918","אמרי קודש")</f>
        <v>אמרי קודש</v>
      </c>
    </row>
    <row r="3457" spans="1:6" x14ac:dyDescent="0.2">
      <c r="A3457" t="s">
        <v>6704</v>
      </c>
      <c r="B3457" t="s">
        <v>6707</v>
      </c>
      <c r="C3457" t="s">
        <v>23</v>
      </c>
      <c r="D3457" t="s">
        <v>14</v>
      </c>
      <c r="E3457" t="s">
        <v>2418</v>
      </c>
      <c r="F3457" s="2" t="str">
        <f>HYPERLINK("http://www.otzar.org/book.asp?198344","אמרי קודש")</f>
        <v>אמרי קודש</v>
      </c>
    </row>
    <row r="3458" spans="1:6" x14ac:dyDescent="0.2">
      <c r="A3458" t="s">
        <v>6708</v>
      </c>
      <c r="B3458" t="s">
        <v>6709</v>
      </c>
      <c r="C3458" t="s">
        <v>313</v>
      </c>
      <c r="D3458" t="s">
        <v>412</v>
      </c>
      <c r="E3458" t="s">
        <v>230</v>
      </c>
      <c r="F3458" s="2" t="str">
        <f>HYPERLINK("http://www.otzar.org/book.asp?173275","אמרי קודש - 2 כר'")</f>
        <v>אמרי קודש - 2 כר'</v>
      </c>
    </row>
    <row r="3459" spans="1:6" x14ac:dyDescent="0.2">
      <c r="A3459" t="s">
        <v>6710</v>
      </c>
      <c r="B3459" t="s">
        <v>6711</v>
      </c>
      <c r="C3459" t="s">
        <v>466</v>
      </c>
      <c r="D3459" t="s">
        <v>152</v>
      </c>
      <c r="E3459" t="s">
        <v>144</v>
      </c>
      <c r="F3459" s="2" t="str">
        <f>HYPERLINK("http://www.otzar.org/book.asp?61062","אמרי ראובן - 5 כר'")</f>
        <v>אמרי ראובן - 5 כר'</v>
      </c>
    </row>
    <row r="3460" spans="1:6" x14ac:dyDescent="0.2">
      <c r="A3460" t="s">
        <v>6712</v>
      </c>
      <c r="B3460" t="s">
        <v>6713</v>
      </c>
      <c r="C3460" t="s">
        <v>103</v>
      </c>
      <c r="D3460" t="s">
        <v>486</v>
      </c>
      <c r="E3460" t="s">
        <v>6714</v>
      </c>
      <c r="F3460" s="2" t="str">
        <f>HYPERLINK("http://www.otzar.org/book.asp?52767","אמרי רבי שפטיה")</f>
        <v>אמרי רבי שפטיה</v>
      </c>
    </row>
    <row r="3461" spans="1:6" x14ac:dyDescent="0.2">
      <c r="A3461" t="s">
        <v>6715</v>
      </c>
      <c r="B3461" t="s">
        <v>6596</v>
      </c>
      <c r="C3461" t="s">
        <v>111</v>
      </c>
      <c r="D3461" t="s">
        <v>52</v>
      </c>
      <c r="E3461" t="s">
        <v>144</v>
      </c>
      <c r="F3461" s="2" t="str">
        <f>HYPERLINK("http://www.otzar.org/book.asp?629997","אמרי רבית")</f>
        <v>אמרי רבית</v>
      </c>
    </row>
    <row r="3462" spans="1:6" x14ac:dyDescent="0.2">
      <c r="A3462" t="s">
        <v>6716</v>
      </c>
      <c r="B3462" t="s">
        <v>6717</v>
      </c>
      <c r="C3462" t="s">
        <v>1535</v>
      </c>
      <c r="D3462" t="s">
        <v>225</v>
      </c>
      <c r="E3462" t="s">
        <v>6718</v>
      </c>
      <c r="F3462" s="2" t="str">
        <f>HYPERLINK("http://www.otzar.org/book.asp?104906","אמרי רג""ש")</f>
        <v>אמרי רג"ש</v>
      </c>
    </row>
    <row r="3463" spans="1:6" x14ac:dyDescent="0.2">
      <c r="A3463" t="s">
        <v>6719</v>
      </c>
      <c r="B3463" t="s">
        <v>6255</v>
      </c>
      <c r="C3463" t="s">
        <v>496</v>
      </c>
      <c r="D3463" t="s">
        <v>267</v>
      </c>
      <c r="E3463" t="s">
        <v>158</v>
      </c>
      <c r="F3463" s="2" t="str">
        <f>HYPERLINK("http://www.otzar.org/book.asp?300328","אמרי רצון")</f>
        <v>אמרי רצון</v>
      </c>
    </row>
    <row r="3464" spans="1:6" x14ac:dyDescent="0.2">
      <c r="A3464" t="s">
        <v>6719</v>
      </c>
      <c r="B3464" t="s">
        <v>6076</v>
      </c>
      <c r="C3464" t="s">
        <v>37</v>
      </c>
      <c r="D3464" t="s">
        <v>14</v>
      </c>
      <c r="E3464" t="s">
        <v>230</v>
      </c>
      <c r="F3464" s="2" t="str">
        <f>HYPERLINK("http://www.otzar.org/book.asp?603524","אמרי רצון")</f>
        <v>אמרי רצון</v>
      </c>
    </row>
    <row r="3465" spans="1:6" x14ac:dyDescent="0.2">
      <c r="A3465" t="s">
        <v>6719</v>
      </c>
      <c r="B3465" t="s">
        <v>6720</v>
      </c>
      <c r="C3465" t="s">
        <v>492</v>
      </c>
      <c r="D3465" t="s">
        <v>56</v>
      </c>
      <c r="E3465" t="s">
        <v>234</v>
      </c>
      <c r="F3465" s="2" t="str">
        <f>HYPERLINK("http://www.otzar.org/book.asp?17218","אמרי רצון")</f>
        <v>אמרי רצון</v>
      </c>
    </row>
    <row r="3466" spans="1:6" x14ac:dyDescent="0.2">
      <c r="A3466" t="s">
        <v>6721</v>
      </c>
      <c r="B3466" t="s">
        <v>4588</v>
      </c>
      <c r="C3466" t="s">
        <v>558</v>
      </c>
      <c r="D3466" t="s">
        <v>283</v>
      </c>
      <c r="E3466" t="s">
        <v>2915</v>
      </c>
      <c r="F3466" s="2" t="str">
        <f>HYPERLINK("http://www.otzar.org/book.asp?8170","אמרי רש""ד")</f>
        <v>אמרי רש"ד</v>
      </c>
    </row>
    <row r="3467" spans="1:6" x14ac:dyDescent="0.2">
      <c r="A3467" t="s">
        <v>6722</v>
      </c>
      <c r="B3467" t="s">
        <v>6723</v>
      </c>
      <c r="C3467" t="s">
        <v>3205</v>
      </c>
      <c r="D3467" t="s">
        <v>216</v>
      </c>
      <c r="E3467" t="s">
        <v>230</v>
      </c>
      <c r="F3467" s="2" t="str">
        <f>HYPERLINK("http://www.otzar.org/book.asp?179099","אמרי שאול")</f>
        <v>אמרי שאול</v>
      </c>
    </row>
    <row r="3468" spans="1:6" x14ac:dyDescent="0.2">
      <c r="A3468" t="s">
        <v>6722</v>
      </c>
      <c r="B3468" t="s">
        <v>6724</v>
      </c>
      <c r="C3468" t="s">
        <v>383</v>
      </c>
      <c r="D3468" t="s">
        <v>14</v>
      </c>
      <c r="E3468" t="s">
        <v>2071</v>
      </c>
      <c r="F3468" s="2" t="str">
        <f>HYPERLINK("http://www.otzar.org/book.asp?150722","אמרי שאול")</f>
        <v>אמרי שאול</v>
      </c>
    </row>
    <row r="3469" spans="1:6" x14ac:dyDescent="0.2">
      <c r="A3469" t="s">
        <v>6725</v>
      </c>
      <c r="B3469" t="s">
        <v>6726</v>
      </c>
      <c r="C3469" t="s">
        <v>244</v>
      </c>
      <c r="D3469" t="s">
        <v>52</v>
      </c>
      <c r="E3469" t="s">
        <v>15</v>
      </c>
      <c r="F3469" s="2" t="str">
        <f>HYPERLINK("http://www.otzar.org/book.asp?604410","אמרי שבת - 2 כר'")</f>
        <v>אמרי שבת - 2 כר'</v>
      </c>
    </row>
    <row r="3470" spans="1:6" x14ac:dyDescent="0.2">
      <c r="A3470" t="s">
        <v>6727</v>
      </c>
      <c r="B3470" t="s">
        <v>6728</v>
      </c>
      <c r="C3470" t="s">
        <v>1047</v>
      </c>
      <c r="D3470" t="s">
        <v>1117</v>
      </c>
      <c r="E3470" t="s">
        <v>621</v>
      </c>
      <c r="F3470" s="2" t="str">
        <f>HYPERLINK("http://www.otzar.org/book.asp?17219","אמרי שבת")</f>
        <v>אמרי שבת</v>
      </c>
    </row>
    <row r="3471" spans="1:6" x14ac:dyDescent="0.2">
      <c r="A3471" t="s">
        <v>6729</v>
      </c>
      <c r="B3471" t="s">
        <v>6730</v>
      </c>
      <c r="C3471" t="s">
        <v>156</v>
      </c>
      <c r="D3471" t="s">
        <v>6238</v>
      </c>
      <c r="E3471" t="s">
        <v>144</v>
      </c>
      <c r="F3471" s="2" t="str">
        <f>HYPERLINK("http://www.otzar.org/book.asp?9240","אמרי שהם")</f>
        <v>אמרי שהם</v>
      </c>
    </row>
    <row r="3472" spans="1:6" x14ac:dyDescent="0.2">
      <c r="A3472" t="s">
        <v>6731</v>
      </c>
      <c r="B3472" t="s">
        <v>6732</v>
      </c>
      <c r="C3472" t="s">
        <v>129</v>
      </c>
      <c r="D3472" t="s">
        <v>14</v>
      </c>
      <c r="E3472" t="s">
        <v>144</v>
      </c>
      <c r="F3472" s="2" t="str">
        <f>HYPERLINK("http://www.otzar.org/book.asp?628237","אמרי שי - כתובות")</f>
        <v>אמרי שי - כתובות</v>
      </c>
    </row>
    <row r="3473" spans="1:6" x14ac:dyDescent="0.2">
      <c r="A3473" t="s">
        <v>6733</v>
      </c>
      <c r="B3473" t="s">
        <v>6734</v>
      </c>
      <c r="C3473" t="s">
        <v>114</v>
      </c>
      <c r="D3473" t="s">
        <v>147</v>
      </c>
      <c r="E3473" t="s">
        <v>130</v>
      </c>
      <c r="F3473" s="2" t="str">
        <f>HYPERLINK("http://www.otzar.org/book.asp?162554","אמרי שי")</f>
        <v>אמרי שי</v>
      </c>
    </row>
    <row r="3474" spans="1:6" x14ac:dyDescent="0.2">
      <c r="A3474" t="s">
        <v>6735</v>
      </c>
      <c r="B3474" t="s">
        <v>6736</v>
      </c>
      <c r="C3474" t="s">
        <v>411</v>
      </c>
      <c r="D3474" t="s">
        <v>80</v>
      </c>
      <c r="E3474" t="s">
        <v>202</v>
      </c>
      <c r="F3474" s="2" t="str">
        <f>HYPERLINK("http://www.otzar.org/book.asp?193426","אמרי שלום - 4 כר'")</f>
        <v>אמרי שלום - 4 כר'</v>
      </c>
    </row>
    <row r="3475" spans="1:6" x14ac:dyDescent="0.2">
      <c r="A3475" t="s">
        <v>6737</v>
      </c>
      <c r="B3475" t="s">
        <v>6738</v>
      </c>
      <c r="C3475" t="s">
        <v>2008</v>
      </c>
      <c r="D3475" t="s">
        <v>412</v>
      </c>
      <c r="E3475" t="s">
        <v>154</v>
      </c>
      <c r="F3475" s="2" t="str">
        <f>HYPERLINK("http://www.otzar.org/book.asp?192205","אמרי שלום")</f>
        <v>אמרי שלום</v>
      </c>
    </row>
    <row r="3476" spans="1:6" x14ac:dyDescent="0.2">
      <c r="A3476" t="s">
        <v>6739</v>
      </c>
      <c r="B3476" t="s">
        <v>6740</v>
      </c>
      <c r="C3476" t="s">
        <v>422</v>
      </c>
      <c r="D3476" t="s">
        <v>52</v>
      </c>
      <c r="E3476" t="s">
        <v>803</v>
      </c>
      <c r="F3476" s="2" t="str">
        <f>HYPERLINK("http://www.otzar.org/book.asp?163413","אמרי שלמה")</f>
        <v>אמרי שלמה</v>
      </c>
    </row>
    <row r="3477" spans="1:6" x14ac:dyDescent="0.2">
      <c r="A3477" t="s">
        <v>6739</v>
      </c>
      <c r="B3477" t="s">
        <v>6741</v>
      </c>
      <c r="C3477" t="s">
        <v>550</v>
      </c>
      <c r="D3477" t="s">
        <v>6742</v>
      </c>
      <c r="E3477" t="s">
        <v>158</v>
      </c>
      <c r="F3477" s="2" t="str">
        <f>HYPERLINK("http://www.otzar.org/book.asp?103151","אמרי שלמה")</f>
        <v>אמרי שלמה</v>
      </c>
    </row>
    <row r="3478" spans="1:6" x14ac:dyDescent="0.2">
      <c r="A3478" t="s">
        <v>6743</v>
      </c>
      <c r="B3478" t="s">
        <v>6576</v>
      </c>
      <c r="C3478" t="s">
        <v>114</v>
      </c>
      <c r="D3478" t="s">
        <v>14</v>
      </c>
      <c r="E3478" t="s">
        <v>172</v>
      </c>
      <c r="F3478" s="2" t="str">
        <f>HYPERLINK("http://www.otzar.org/book.asp?622128","אמרי שם - 3 כר'")</f>
        <v>אמרי שם - 3 כר'</v>
      </c>
    </row>
    <row r="3479" spans="1:6" x14ac:dyDescent="0.2">
      <c r="A3479" t="s">
        <v>6744</v>
      </c>
      <c r="B3479" t="s">
        <v>6745</v>
      </c>
      <c r="C3479" t="s">
        <v>13</v>
      </c>
      <c r="D3479" t="s">
        <v>52</v>
      </c>
      <c r="E3479" t="s">
        <v>158</v>
      </c>
      <c r="F3479" s="2" t="str">
        <f>HYPERLINK("http://www.otzar.org/book.asp?169845","אמרי שמאי &lt;מהדורה חדשה&gt; - 5 כר'")</f>
        <v>אמרי שמאי &lt;מהדורה חדשה&gt; - 5 כר'</v>
      </c>
    </row>
    <row r="3480" spans="1:6" x14ac:dyDescent="0.2">
      <c r="A3480" t="s">
        <v>6746</v>
      </c>
      <c r="B3480" t="s">
        <v>6745</v>
      </c>
      <c r="C3480" t="s">
        <v>1811</v>
      </c>
      <c r="D3480" t="s">
        <v>14</v>
      </c>
      <c r="E3480" t="s">
        <v>6747</v>
      </c>
      <c r="F3480" s="2" t="str">
        <f>HYPERLINK("http://www.otzar.org/book.asp?5418","אמרי שמאי - 8 כר'")</f>
        <v>אמרי שמאי - 8 כר'</v>
      </c>
    </row>
    <row r="3481" spans="1:6" x14ac:dyDescent="0.2">
      <c r="A3481" t="s">
        <v>6748</v>
      </c>
      <c r="B3481" t="s">
        <v>6749</v>
      </c>
      <c r="C3481" t="s">
        <v>617</v>
      </c>
      <c r="D3481" t="s">
        <v>267</v>
      </c>
      <c r="E3481" t="s">
        <v>508</v>
      </c>
      <c r="F3481" s="2" t="str">
        <f>HYPERLINK("http://www.otzar.org/book.asp?179034","אמרי שמואל - 4 כר'")</f>
        <v>אמרי שמואל - 4 כר'</v>
      </c>
    </row>
    <row r="3482" spans="1:6" x14ac:dyDescent="0.2">
      <c r="A3482" t="s">
        <v>6750</v>
      </c>
      <c r="B3482" t="s">
        <v>6751</v>
      </c>
      <c r="C3482" t="s">
        <v>111</v>
      </c>
      <c r="D3482" t="s">
        <v>14</v>
      </c>
      <c r="E3482" t="s">
        <v>104</v>
      </c>
      <c r="F3482" s="2" t="str">
        <f>HYPERLINK("http://www.otzar.org/book.asp?625895","אמרי שמואל - 2 כר'")</f>
        <v>אמרי שמואל - 2 כר'</v>
      </c>
    </row>
    <row r="3483" spans="1:6" x14ac:dyDescent="0.2">
      <c r="A3483" t="s">
        <v>6748</v>
      </c>
      <c r="B3483" t="s">
        <v>6752</v>
      </c>
      <c r="C3483" t="s">
        <v>103</v>
      </c>
      <c r="D3483" t="s">
        <v>52</v>
      </c>
      <c r="E3483" t="s">
        <v>144</v>
      </c>
      <c r="F3483" s="2" t="str">
        <f>HYPERLINK("http://www.otzar.org/book.asp?159606","אמרי שמואל - 4 כר'")</f>
        <v>אמרי שמואל - 4 כר'</v>
      </c>
    </row>
    <row r="3484" spans="1:6" x14ac:dyDescent="0.2">
      <c r="A3484" t="s">
        <v>6753</v>
      </c>
      <c r="B3484" t="s">
        <v>6754</v>
      </c>
      <c r="C3484" t="s">
        <v>185</v>
      </c>
      <c r="D3484" t="s">
        <v>14</v>
      </c>
      <c r="E3484" t="s">
        <v>144</v>
      </c>
      <c r="F3484" s="2" t="str">
        <f>HYPERLINK("http://www.otzar.org/book.asp?631123","אמרי שמועה - שבת")</f>
        <v>אמרי שמועה - שבת</v>
      </c>
    </row>
    <row r="3485" spans="1:6" x14ac:dyDescent="0.2">
      <c r="A3485" t="s">
        <v>6755</v>
      </c>
      <c r="B3485" t="s">
        <v>6756</v>
      </c>
      <c r="C3485" t="s">
        <v>20</v>
      </c>
      <c r="D3485" t="s">
        <v>2909</v>
      </c>
      <c r="E3485" t="s">
        <v>144</v>
      </c>
      <c r="F3485" s="2" t="str">
        <f>HYPERLINK("http://www.otzar.org/book.asp?609890","אמרי שמחה - 2 כר'")</f>
        <v>אמרי שמחה - 2 כר'</v>
      </c>
    </row>
    <row r="3486" spans="1:6" x14ac:dyDescent="0.2">
      <c r="A3486" t="s">
        <v>6755</v>
      </c>
      <c r="B3486" t="s">
        <v>6757</v>
      </c>
      <c r="C3486" t="s">
        <v>785</v>
      </c>
      <c r="D3486" t="s">
        <v>412</v>
      </c>
      <c r="E3486" t="s">
        <v>241</v>
      </c>
      <c r="F3486" s="2" t="str">
        <f>HYPERLINK("http://www.otzar.org/book.asp?620596","אמרי שמחה - 2 כר'")</f>
        <v>אמרי שמחה - 2 כר'</v>
      </c>
    </row>
    <row r="3487" spans="1:6" x14ac:dyDescent="0.2">
      <c r="A3487" t="s">
        <v>6758</v>
      </c>
      <c r="B3487" t="s">
        <v>6759</v>
      </c>
      <c r="C3487" t="s">
        <v>956</v>
      </c>
      <c r="D3487" t="s">
        <v>14</v>
      </c>
      <c r="E3487" t="s">
        <v>6760</v>
      </c>
      <c r="F3487" s="2" t="str">
        <f>HYPERLINK("http://www.otzar.org/book.asp?6393","אמרי שמעון")</f>
        <v>אמרי שמעון</v>
      </c>
    </row>
    <row r="3488" spans="1:6" x14ac:dyDescent="0.2">
      <c r="A3488" t="s">
        <v>6761</v>
      </c>
      <c r="B3488" t="s">
        <v>6762</v>
      </c>
      <c r="C3488" t="s">
        <v>13</v>
      </c>
      <c r="D3488" t="s">
        <v>21</v>
      </c>
      <c r="E3488" t="s">
        <v>158</v>
      </c>
      <c r="F3488" s="2" t="str">
        <f>HYPERLINK("http://www.otzar.org/book.asp?193115","אמרי שמעון - תהלים, שה""ש, מגילת אסתר")</f>
        <v>אמרי שמעון - תהלים, שה"ש, מגילת אסתר</v>
      </c>
    </row>
    <row r="3489" spans="1:6" x14ac:dyDescent="0.2">
      <c r="A3489" t="s">
        <v>6758</v>
      </c>
      <c r="B3489" t="s">
        <v>6763</v>
      </c>
      <c r="C3489" t="s">
        <v>1284</v>
      </c>
      <c r="D3489" t="s">
        <v>379</v>
      </c>
      <c r="E3489" t="s">
        <v>508</v>
      </c>
      <c r="F3489" s="2" t="str">
        <f>HYPERLINK("http://www.otzar.org/book.asp?17220","אמרי שמעון")</f>
        <v>אמרי שמעון</v>
      </c>
    </row>
    <row r="3490" spans="1:6" x14ac:dyDescent="0.2">
      <c r="A3490" t="s">
        <v>6764</v>
      </c>
      <c r="B3490" t="s">
        <v>6303</v>
      </c>
      <c r="C3490" t="s">
        <v>20</v>
      </c>
      <c r="D3490" t="s">
        <v>90</v>
      </c>
      <c r="F3490" s="2" t="str">
        <f>HYPERLINK("http://www.otzar.org/book.asp?616418","אמרי שפר &lt;מהדורה חדשה&gt; - א")</f>
        <v>אמרי שפר &lt;מהדורה חדשה&gt; - א</v>
      </c>
    </row>
    <row r="3491" spans="1:6" x14ac:dyDescent="0.2">
      <c r="A3491" t="s">
        <v>6765</v>
      </c>
      <c r="B3491" t="s">
        <v>6766</v>
      </c>
      <c r="C3491" t="s">
        <v>114</v>
      </c>
      <c r="D3491" t="s">
        <v>52</v>
      </c>
      <c r="E3491" t="s">
        <v>6767</v>
      </c>
      <c r="F3491" s="2" t="str">
        <f>HYPERLINK("http://www.otzar.org/book.asp?186780","אמרי שפר &lt;מהדורה חדשה&gt; - 2 כר'")</f>
        <v>אמרי שפר &lt;מהדורה חדשה&gt; - 2 כר'</v>
      </c>
    </row>
    <row r="3492" spans="1:6" x14ac:dyDescent="0.2">
      <c r="A3492" t="s">
        <v>6768</v>
      </c>
      <c r="B3492" t="s">
        <v>305</v>
      </c>
      <c r="C3492" t="s">
        <v>1437</v>
      </c>
      <c r="D3492" t="s">
        <v>267</v>
      </c>
      <c r="E3492" t="s">
        <v>158</v>
      </c>
      <c r="F3492" s="2" t="str">
        <f>HYPERLINK("http://www.otzar.org/book.asp?100725","אמרי שפר &lt;על התורה&gt;")</f>
        <v>אמרי שפר &lt;על התורה&gt;</v>
      </c>
    </row>
    <row r="3493" spans="1:6" x14ac:dyDescent="0.2">
      <c r="A3493" t="s">
        <v>6769</v>
      </c>
      <c r="B3493" t="s">
        <v>6770</v>
      </c>
      <c r="C3493" t="s">
        <v>603</v>
      </c>
      <c r="D3493" t="s">
        <v>56</v>
      </c>
      <c r="E3493" t="s">
        <v>158</v>
      </c>
      <c r="F3493" s="2" t="str">
        <f>HYPERLINK("http://www.otzar.org/book.asp?141045","אמרי שפר על שיר השירים")</f>
        <v>אמרי שפר על שיר השירים</v>
      </c>
    </row>
    <row r="3494" spans="1:6" x14ac:dyDescent="0.2">
      <c r="A3494" t="s">
        <v>6771</v>
      </c>
      <c r="B3494" t="s">
        <v>3306</v>
      </c>
      <c r="C3494" t="s">
        <v>466</v>
      </c>
      <c r="D3494" t="s">
        <v>14</v>
      </c>
      <c r="E3494" t="s">
        <v>399</v>
      </c>
      <c r="F3494" s="2" t="str">
        <f>HYPERLINK("http://www.otzar.org/book.asp?149002","אמרי שפר")</f>
        <v>אמרי שפר</v>
      </c>
    </row>
    <row r="3495" spans="1:6" x14ac:dyDescent="0.2">
      <c r="A3495" t="s">
        <v>6771</v>
      </c>
      <c r="B3495" t="s">
        <v>6772</v>
      </c>
      <c r="C3495" t="s">
        <v>6773</v>
      </c>
      <c r="D3495" t="s">
        <v>726</v>
      </c>
      <c r="E3495" t="s">
        <v>104</v>
      </c>
      <c r="F3495" s="2" t="str">
        <f>HYPERLINK("http://www.otzar.org/book.asp?146610","אמרי שפר")</f>
        <v>אמרי שפר</v>
      </c>
    </row>
    <row r="3496" spans="1:6" x14ac:dyDescent="0.2">
      <c r="A3496" t="s">
        <v>6774</v>
      </c>
      <c r="B3496" t="s">
        <v>6775</v>
      </c>
      <c r="C3496" t="s">
        <v>4404</v>
      </c>
      <c r="D3496" t="s">
        <v>6776</v>
      </c>
      <c r="E3496" t="s">
        <v>158</v>
      </c>
      <c r="F3496" s="2" t="str">
        <f>HYPERLINK("http://www.otzar.org/book.asp?147216","אמרי שפר - 2 כר'")</f>
        <v>אמרי שפר - 2 כר'</v>
      </c>
    </row>
    <row r="3497" spans="1:6" x14ac:dyDescent="0.2">
      <c r="A3497" t="s">
        <v>6771</v>
      </c>
      <c r="B3497" t="s">
        <v>6777</v>
      </c>
      <c r="C3497" t="s">
        <v>6778</v>
      </c>
      <c r="D3497" t="s">
        <v>49</v>
      </c>
      <c r="E3497" t="s">
        <v>234</v>
      </c>
      <c r="F3497" s="2" t="str">
        <f>HYPERLINK("http://www.otzar.org/book.asp?104157","אמרי שפר")</f>
        <v>אמרי שפר</v>
      </c>
    </row>
    <row r="3498" spans="1:6" x14ac:dyDescent="0.2">
      <c r="A3498" t="s">
        <v>6774</v>
      </c>
      <c r="B3498" t="s">
        <v>6779</v>
      </c>
      <c r="C3498" t="s">
        <v>1570</v>
      </c>
      <c r="D3498" t="s">
        <v>14</v>
      </c>
      <c r="E3498" t="s">
        <v>144</v>
      </c>
      <c r="F3498" s="2" t="str">
        <f>HYPERLINK("http://www.otzar.org/book.asp?605031","אמרי שפר - 2 כר'")</f>
        <v>אמרי שפר - 2 כר'</v>
      </c>
    </row>
    <row r="3499" spans="1:6" x14ac:dyDescent="0.2">
      <c r="A3499" t="s">
        <v>6771</v>
      </c>
      <c r="B3499" t="s">
        <v>6780</v>
      </c>
      <c r="C3499" t="s">
        <v>26</v>
      </c>
      <c r="D3499" t="s">
        <v>14</v>
      </c>
      <c r="E3499" t="s">
        <v>154</v>
      </c>
      <c r="F3499" s="2" t="str">
        <f>HYPERLINK("http://www.otzar.org/book.asp?10688","אמרי שפר")</f>
        <v>אמרי שפר</v>
      </c>
    </row>
    <row r="3500" spans="1:6" x14ac:dyDescent="0.2">
      <c r="A3500" t="s">
        <v>6781</v>
      </c>
      <c r="B3500" t="s">
        <v>6782</v>
      </c>
      <c r="C3500" t="s">
        <v>114</v>
      </c>
      <c r="D3500" t="s">
        <v>14</v>
      </c>
      <c r="E3500" t="s">
        <v>230</v>
      </c>
      <c r="F3500" s="2" t="str">
        <f>HYPERLINK("http://www.otzar.org/book.asp?618088","אמרי שפר - 3 כר'")</f>
        <v>אמרי שפר - 3 כר'</v>
      </c>
    </row>
    <row r="3501" spans="1:6" x14ac:dyDescent="0.2">
      <c r="A3501" t="s">
        <v>6771</v>
      </c>
      <c r="B3501" t="s">
        <v>6783</v>
      </c>
      <c r="C3501" t="s">
        <v>6784</v>
      </c>
      <c r="D3501" t="s">
        <v>6785</v>
      </c>
      <c r="E3501" t="s">
        <v>960</v>
      </c>
      <c r="F3501" s="2" t="str">
        <f>HYPERLINK("http://www.otzar.org/book.asp?182187","אמרי שפר")</f>
        <v>אמרי שפר</v>
      </c>
    </row>
    <row r="3502" spans="1:6" x14ac:dyDescent="0.2">
      <c r="A3502" t="s">
        <v>6786</v>
      </c>
      <c r="B3502" t="s">
        <v>206</v>
      </c>
      <c r="C3502" t="s">
        <v>20</v>
      </c>
      <c r="D3502" t="s">
        <v>152</v>
      </c>
      <c r="E3502" t="s">
        <v>10</v>
      </c>
      <c r="F3502" s="2" t="str">
        <f>HYPERLINK("http://www.otzar.org/book.asp?198743","אמרי שפר - ברכות")</f>
        <v>אמרי שפר - ברכות</v>
      </c>
    </row>
    <row r="3503" spans="1:6" x14ac:dyDescent="0.2">
      <c r="A3503" t="s">
        <v>6771</v>
      </c>
      <c r="B3503" t="s">
        <v>6787</v>
      </c>
      <c r="C3503" t="s">
        <v>1150</v>
      </c>
      <c r="D3503" t="s">
        <v>6788</v>
      </c>
      <c r="E3503" t="s">
        <v>158</v>
      </c>
      <c r="F3503" s="2" t="str">
        <f>HYPERLINK("http://www.otzar.org/book.asp?108811","אמרי שפר")</f>
        <v>אמרי שפר</v>
      </c>
    </row>
    <row r="3504" spans="1:6" x14ac:dyDescent="0.2">
      <c r="A3504" t="s">
        <v>6786</v>
      </c>
      <c r="B3504" t="s">
        <v>6789</v>
      </c>
      <c r="C3504" t="s">
        <v>624</v>
      </c>
      <c r="D3504" t="s">
        <v>14</v>
      </c>
      <c r="E3504" t="s">
        <v>144</v>
      </c>
      <c r="F3504" s="2" t="str">
        <f>HYPERLINK("http://www.otzar.org/book.asp?199591","אמרי שפר - ברכות")</f>
        <v>אמרי שפר - ברכות</v>
      </c>
    </row>
    <row r="3505" spans="1:6" x14ac:dyDescent="0.2">
      <c r="A3505" t="s">
        <v>6790</v>
      </c>
      <c r="B3505" t="s">
        <v>6791</v>
      </c>
      <c r="C3505" t="s">
        <v>17</v>
      </c>
      <c r="D3505" t="s">
        <v>14</v>
      </c>
      <c r="E3505" t="s">
        <v>84</v>
      </c>
      <c r="F3505" s="2" t="str">
        <f>HYPERLINK("http://www.otzar.org/book.asp?160166","אמרי שפר - שביעית")</f>
        <v>אמרי שפר - שביעית</v>
      </c>
    </row>
    <row r="3506" spans="1:6" x14ac:dyDescent="0.2">
      <c r="A3506" t="s">
        <v>6771</v>
      </c>
      <c r="B3506" t="s">
        <v>2346</v>
      </c>
      <c r="C3506" t="s">
        <v>503</v>
      </c>
      <c r="D3506" t="s">
        <v>267</v>
      </c>
      <c r="E3506" t="s">
        <v>357</v>
      </c>
      <c r="F3506" s="2" t="str">
        <f>HYPERLINK("http://www.otzar.org/book.asp?51394","אמרי שפר")</f>
        <v>אמרי שפר</v>
      </c>
    </row>
    <row r="3507" spans="1:6" x14ac:dyDescent="0.2">
      <c r="A3507" t="s">
        <v>6771</v>
      </c>
      <c r="B3507" t="s">
        <v>6792</v>
      </c>
      <c r="C3507" t="s">
        <v>785</v>
      </c>
      <c r="D3507" t="s">
        <v>14</v>
      </c>
      <c r="E3507" t="s">
        <v>6793</v>
      </c>
      <c r="F3507" s="2" t="str">
        <f>HYPERLINK("http://www.otzar.org/book.asp?159302","אמרי שפר")</f>
        <v>אמרי שפר</v>
      </c>
    </row>
    <row r="3508" spans="1:6" x14ac:dyDescent="0.2">
      <c r="A3508" t="s">
        <v>6771</v>
      </c>
      <c r="B3508" t="s">
        <v>6794</v>
      </c>
      <c r="C3508" t="s">
        <v>523</v>
      </c>
      <c r="D3508" t="s">
        <v>14</v>
      </c>
      <c r="E3508" t="s">
        <v>158</v>
      </c>
      <c r="F3508" s="2" t="str">
        <f>HYPERLINK("http://www.otzar.org/book.asp?10099","אמרי שפר")</f>
        <v>אמרי שפר</v>
      </c>
    </row>
    <row r="3509" spans="1:6" x14ac:dyDescent="0.2">
      <c r="A3509" t="s">
        <v>6771</v>
      </c>
      <c r="B3509" t="s">
        <v>6795</v>
      </c>
      <c r="C3509" t="s">
        <v>266</v>
      </c>
      <c r="D3509" t="s">
        <v>283</v>
      </c>
      <c r="F3509" s="2" t="str">
        <f>HYPERLINK("http://www.otzar.org/book.asp?174318","אמרי שפר")</f>
        <v>אמרי שפר</v>
      </c>
    </row>
    <row r="3510" spans="1:6" x14ac:dyDescent="0.2">
      <c r="A3510" t="s">
        <v>6771</v>
      </c>
      <c r="B3510" t="s">
        <v>6796</v>
      </c>
      <c r="C3510" t="s">
        <v>496</v>
      </c>
      <c r="D3510" t="s">
        <v>225</v>
      </c>
      <c r="E3510" t="s">
        <v>6797</v>
      </c>
      <c r="F3510" s="2" t="str">
        <f>HYPERLINK("http://www.otzar.org/book.asp?17221","אמרי שפר")</f>
        <v>אמרי שפר</v>
      </c>
    </row>
    <row r="3511" spans="1:6" x14ac:dyDescent="0.2">
      <c r="A3511" t="s">
        <v>6771</v>
      </c>
      <c r="B3511" t="s">
        <v>6798</v>
      </c>
      <c r="C3511" t="s">
        <v>2076</v>
      </c>
      <c r="D3511" t="s">
        <v>267</v>
      </c>
      <c r="E3511" t="s">
        <v>684</v>
      </c>
      <c r="F3511" s="2" t="str">
        <f>HYPERLINK("http://www.otzar.org/book.asp?100326","אמרי שפר")</f>
        <v>אמרי שפר</v>
      </c>
    </row>
    <row r="3512" spans="1:6" x14ac:dyDescent="0.2">
      <c r="A3512" t="s">
        <v>6771</v>
      </c>
      <c r="B3512" t="s">
        <v>6799</v>
      </c>
      <c r="C3512" t="s">
        <v>6800</v>
      </c>
      <c r="D3512" t="s">
        <v>6801</v>
      </c>
      <c r="E3512" t="s">
        <v>104</v>
      </c>
      <c r="F3512" s="2" t="str">
        <f>HYPERLINK("http://www.otzar.org/book.asp?182140","אמרי שפר")</f>
        <v>אמרי שפר</v>
      </c>
    </row>
    <row r="3513" spans="1:6" x14ac:dyDescent="0.2">
      <c r="A3513" t="s">
        <v>6771</v>
      </c>
      <c r="B3513" t="s">
        <v>6802</v>
      </c>
      <c r="C3513" t="s">
        <v>1058</v>
      </c>
      <c r="D3513" t="s">
        <v>212</v>
      </c>
      <c r="E3513" t="s">
        <v>158</v>
      </c>
      <c r="F3513" s="2" t="str">
        <f>HYPERLINK("http://www.otzar.org/book.asp?182234","אמרי שפר")</f>
        <v>אמרי שפר</v>
      </c>
    </row>
    <row r="3514" spans="1:6" x14ac:dyDescent="0.2">
      <c r="A3514" t="s">
        <v>6771</v>
      </c>
      <c r="B3514" t="s">
        <v>6803</v>
      </c>
      <c r="C3514" t="s">
        <v>492</v>
      </c>
      <c r="D3514" t="s">
        <v>756</v>
      </c>
      <c r="E3514" t="s">
        <v>144</v>
      </c>
      <c r="F3514" s="2" t="str">
        <f>HYPERLINK("http://www.otzar.org/book.asp?108813","אמרי שפר")</f>
        <v>אמרי שפר</v>
      </c>
    </row>
    <row r="3515" spans="1:6" x14ac:dyDescent="0.2">
      <c r="A3515" t="s">
        <v>6804</v>
      </c>
      <c r="B3515" t="s">
        <v>6303</v>
      </c>
      <c r="C3515" t="s">
        <v>985</v>
      </c>
      <c r="D3515" t="s">
        <v>14</v>
      </c>
      <c r="F3515" s="2" t="str">
        <f>HYPERLINK("http://www.otzar.org/book.asp?85746","אמרי שפר - 4 כר'")</f>
        <v>אמרי שפר - 4 כר'</v>
      </c>
    </row>
    <row r="3516" spans="1:6" x14ac:dyDescent="0.2">
      <c r="A3516" t="s">
        <v>6771</v>
      </c>
      <c r="B3516" t="s">
        <v>6805</v>
      </c>
      <c r="C3516" t="s">
        <v>581</v>
      </c>
      <c r="D3516" t="s">
        <v>3592</v>
      </c>
      <c r="E3516" t="s">
        <v>234</v>
      </c>
      <c r="F3516" s="2" t="str">
        <f>HYPERLINK("http://www.otzar.org/book.asp?103148","אמרי שפר")</f>
        <v>אמרי שפר</v>
      </c>
    </row>
    <row r="3517" spans="1:6" x14ac:dyDescent="0.2">
      <c r="A3517" t="s">
        <v>6771</v>
      </c>
      <c r="B3517" t="s">
        <v>6590</v>
      </c>
      <c r="C3517" t="s">
        <v>454</v>
      </c>
      <c r="D3517" t="s">
        <v>115</v>
      </c>
      <c r="E3517" t="s">
        <v>144</v>
      </c>
      <c r="F3517" s="2" t="str">
        <f>HYPERLINK("http://www.otzar.org/book.asp?28208","אמרי שפר")</f>
        <v>אמרי שפר</v>
      </c>
    </row>
    <row r="3518" spans="1:6" x14ac:dyDescent="0.2">
      <c r="A3518" t="s">
        <v>6806</v>
      </c>
      <c r="B3518" t="s">
        <v>6807</v>
      </c>
      <c r="C3518" t="s">
        <v>176</v>
      </c>
      <c r="D3518" t="s">
        <v>14</v>
      </c>
      <c r="E3518" t="s">
        <v>158</v>
      </c>
      <c r="F3518" s="2" t="str">
        <f>HYPERLINK("http://www.otzar.org/book.asp?50701","אמרי שפר - 8 כר'")</f>
        <v>אמרי שפר - 8 כר'</v>
      </c>
    </row>
    <row r="3519" spans="1:6" x14ac:dyDescent="0.2">
      <c r="A3519" t="s">
        <v>6771</v>
      </c>
      <c r="B3519" t="s">
        <v>6808</v>
      </c>
      <c r="C3519" t="s">
        <v>1650</v>
      </c>
      <c r="D3519" t="s">
        <v>267</v>
      </c>
      <c r="E3519" t="s">
        <v>158</v>
      </c>
      <c r="F3519" s="2" t="str">
        <f>HYPERLINK("http://www.otzar.org/book.asp?108814","אמרי שפר")</f>
        <v>אמרי שפר</v>
      </c>
    </row>
    <row r="3520" spans="1:6" x14ac:dyDescent="0.2">
      <c r="A3520" t="s">
        <v>6771</v>
      </c>
      <c r="B3520" t="s">
        <v>6809</v>
      </c>
      <c r="C3520" t="s">
        <v>1202</v>
      </c>
      <c r="D3520" t="s">
        <v>56</v>
      </c>
      <c r="E3520" t="s">
        <v>158</v>
      </c>
      <c r="F3520" s="2" t="str">
        <f>HYPERLINK("http://www.otzar.org/book.asp?182200","אמרי שפר")</f>
        <v>אמרי שפר</v>
      </c>
    </row>
    <row r="3521" spans="1:6" x14ac:dyDescent="0.2">
      <c r="A3521" t="s">
        <v>6771</v>
      </c>
      <c r="B3521" t="s">
        <v>6810</v>
      </c>
      <c r="C3521" t="s">
        <v>4351</v>
      </c>
      <c r="D3521" t="s">
        <v>1490</v>
      </c>
      <c r="E3521" t="s">
        <v>158</v>
      </c>
      <c r="F3521" s="2" t="str">
        <f>HYPERLINK("http://www.otzar.org/book.asp?10649","אמרי שפר")</f>
        <v>אמרי שפר</v>
      </c>
    </row>
    <row r="3522" spans="1:6" x14ac:dyDescent="0.2">
      <c r="A3522" t="s">
        <v>6771</v>
      </c>
      <c r="B3522" t="s">
        <v>6811</v>
      </c>
      <c r="C3522" t="s">
        <v>1166</v>
      </c>
      <c r="D3522" t="s">
        <v>283</v>
      </c>
      <c r="E3522" t="s">
        <v>158</v>
      </c>
      <c r="F3522" s="2" t="str">
        <f>HYPERLINK("http://www.otzar.org/book.asp?152480","אמרי שפר")</f>
        <v>אמרי שפר</v>
      </c>
    </row>
    <row r="3523" spans="1:6" x14ac:dyDescent="0.2">
      <c r="A3523" t="s">
        <v>6774</v>
      </c>
      <c r="B3523" t="s">
        <v>6766</v>
      </c>
      <c r="C3523" t="s">
        <v>429</v>
      </c>
      <c r="D3523" t="s">
        <v>379</v>
      </c>
      <c r="E3523" t="s">
        <v>6812</v>
      </c>
      <c r="F3523" s="2" t="str">
        <f>HYPERLINK("http://www.otzar.org/book.asp?10094","אמרי שפר - 2 כר'")</f>
        <v>אמרי שפר - 2 כר'</v>
      </c>
    </row>
    <row r="3524" spans="1:6" x14ac:dyDescent="0.2">
      <c r="A3524" t="s">
        <v>6813</v>
      </c>
      <c r="B3524" t="s">
        <v>6814</v>
      </c>
      <c r="C3524" t="s">
        <v>103</v>
      </c>
      <c r="D3524" t="s">
        <v>52</v>
      </c>
      <c r="E3524" t="s">
        <v>130</v>
      </c>
      <c r="F3524" s="2" t="str">
        <f>HYPERLINK("http://www.otzar.org/book.asp?21826","אמרי שפר - 5 כר'")</f>
        <v>אמרי שפר - 5 כר'</v>
      </c>
    </row>
    <row r="3525" spans="1:6" x14ac:dyDescent="0.2">
      <c r="A3525" t="s">
        <v>6786</v>
      </c>
      <c r="B3525" t="s">
        <v>6815</v>
      </c>
      <c r="C3525" t="s">
        <v>20</v>
      </c>
      <c r="D3525" t="s">
        <v>152</v>
      </c>
      <c r="E3525" t="s">
        <v>144</v>
      </c>
      <c r="F3525" s="2" t="str">
        <f>HYPERLINK("http://www.otzar.org/book.asp?192888","אמרי שפר - ברכות")</f>
        <v>אמרי שפר - ברכות</v>
      </c>
    </row>
    <row r="3526" spans="1:6" x14ac:dyDescent="0.2">
      <c r="A3526" t="s">
        <v>6816</v>
      </c>
      <c r="B3526" t="s">
        <v>6817</v>
      </c>
      <c r="C3526" t="s">
        <v>1448</v>
      </c>
      <c r="D3526" t="s">
        <v>216</v>
      </c>
      <c r="E3526" t="s">
        <v>202</v>
      </c>
      <c r="F3526" s="2" t="str">
        <f>HYPERLINK("http://www.otzar.org/book.asp?160917","אמרי שפר - ג")</f>
        <v>אמרי שפר - ג</v>
      </c>
    </row>
    <row r="3527" spans="1:6" x14ac:dyDescent="0.2">
      <c r="A3527" t="s">
        <v>6771</v>
      </c>
      <c r="B3527" t="s">
        <v>6818</v>
      </c>
      <c r="C3527" t="s">
        <v>503</v>
      </c>
      <c r="D3527" t="s">
        <v>283</v>
      </c>
      <c r="E3527" t="s">
        <v>154</v>
      </c>
      <c r="F3527" s="2" t="str">
        <f>HYPERLINK("http://www.otzar.org/book.asp?28546","אמרי שפר")</f>
        <v>אמרי שפר</v>
      </c>
    </row>
    <row r="3528" spans="1:6" x14ac:dyDescent="0.2">
      <c r="A3528" t="s">
        <v>6771</v>
      </c>
      <c r="B3528" t="s">
        <v>6819</v>
      </c>
      <c r="C3528" t="s">
        <v>1062</v>
      </c>
      <c r="D3528" t="s">
        <v>216</v>
      </c>
      <c r="E3528" t="s">
        <v>234</v>
      </c>
      <c r="F3528" s="2" t="str">
        <f>HYPERLINK("http://www.otzar.org/book.asp?84909","אמרי שפר")</f>
        <v>אמרי שפר</v>
      </c>
    </row>
    <row r="3529" spans="1:6" x14ac:dyDescent="0.2">
      <c r="A3529" t="s">
        <v>6771</v>
      </c>
      <c r="B3529" t="s">
        <v>394</v>
      </c>
      <c r="C3529" t="s">
        <v>1885</v>
      </c>
      <c r="D3529" t="s">
        <v>283</v>
      </c>
      <c r="E3529" t="s">
        <v>154</v>
      </c>
      <c r="F3529" s="2" t="str">
        <f>HYPERLINK("http://www.otzar.org/book.asp?100248","אמרי שפר")</f>
        <v>אמרי שפר</v>
      </c>
    </row>
    <row r="3530" spans="1:6" x14ac:dyDescent="0.2">
      <c r="A3530" t="s">
        <v>6804</v>
      </c>
      <c r="B3530" t="s">
        <v>6820</v>
      </c>
      <c r="C3530" t="s">
        <v>103</v>
      </c>
      <c r="D3530" t="s">
        <v>14</v>
      </c>
      <c r="E3530" t="s">
        <v>144</v>
      </c>
      <c r="F3530" s="2" t="str">
        <f>HYPERLINK("http://www.otzar.org/book.asp?151218","אמרי שפר - 4 כר'")</f>
        <v>אמרי שפר - 4 כר'</v>
      </c>
    </row>
    <row r="3531" spans="1:6" x14ac:dyDescent="0.2">
      <c r="A3531" t="s">
        <v>6771</v>
      </c>
      <c r="B3531" t="s">
        <v>6821</v>
      </c>
      <c r="C3531" t="s">
        <v>503</v>
      </c>
      <c r="D3531" t="s">
        <v>1087</v>
      </c>
      <c r="E3531" t="s">
        <v>6822</v>
      </c>
      <c r="F3531" s="2" t="str">
        <f>HYPERLINK("http://www.otzar.org/book.asp?182199","אמרי שפר")</f>
        <v>אמרי שפר</v>
      </c>
    </row>
    <row r="3532" spans="1:6" x14ac:dyDescent="0.2">
      <c r="A3532" t="s">
        <v>6771</v>
      </c>
      <c r="B3532" t="s">
        <v>6823</v>
      </c>
      <c r="C3532" t="s">
        <v>609</v>
      </c>
      <c r="D3532" t="s">
        <v>56</v>
      </c>
      <c r="E3532" t="s">
        <v>564</v>
      </c>
      <c r="F3532" s="2" t="str">
        <f>HYPERLINK("http://www.otzar.org/book.asp?182160","אמרי שפר")</f>
        <v>אמרי שפר</v>
      </c>
    </row>
    <row r="3533" spans="1:6" x14ac:dyDescent="0.2">
      <c r="A3533" t="s">
        <v>6771</v>
      </c>
      <c r="B3533" t="s">
        <v>6824</v>
      </c>
      <c r="C3533" t="s">
        <v>189</v>
      </c>
      <c r="D3533" t="s">
        <v>14</v>
      </c>
      <c r="E3533" t="s">
        <v>202</v>
      </c>
      <c r="F3533" s="2" t="str">
        <f>HYPERLINK("http://www.otzar.org/book.asp?22366","אמרי שפר")</f>
        <v>אמרי שפר</v>
      </c>
    </row>
    <row r="3534" spans="1:6" x14ac:dyDescent="0.2">
      <c r="A3534" t="s">
        <v>6771</v>
      </c>
      <c r="B3534" t="s">
        <v>6825</v>
      </c>
      <c r="C3534" t="s">
        <v>2870</v>
      </c>
      <c r="D3534" t="s">
        <v>27</v>
      </c>
      <c r="E3534" t="s">
        <v>104</v>
      </c>
      <c r="F3534" s="2" t="str">
        <f>HYPERLINK("http://www.otzar.org/book.asp?149650","אמרי שפר")</f>
        <v>אמרי שפר</v>
      </c>
    </row>
    <row r="3535" spans="1:6" x14ac:dyDescent="0.2">
      <c r="A3535" t="s">
        <v>6771</v>
      </c>
      <c r="B3535" t="s">
        <v>6826</v>
      </c>
      <c r="C3535" t="s">
        <v>151</v>
      </c>
      <c r="D3535" t="s">
        <v>90</v>
      </c>
      <c r="E3535" t="s">
        <v>144</v>
      </c>
      <c r="F3535" s="2" t="str">
        <f>HYPERLINK("http://www.otzar.org/book.asp?629458","אמרי שפר")</f>
        <v>אמרי שפר</v>
      </c>
    </row>
    <row r="3536" spans="1:6" x14ac:dyDescent="0.2">
      <c r="A3536" t="s">
        <v>6827</v>
      </c>
      <c r="B3536" t="s">
        <v>6828</v>
      </c>
      <c r="C3536" t="s">
        <v>888</v>
      </c>
      <c r="D3536" t="s">
        <v>56</v>
      </c>
      <c r="E3536" t="s">
        <v>158</v>
      </c>
      <c r="F3536" s="2" t="str">
        <f>HYPERLINK("http://www.otzar.org/book.asp?182201","אמרי שפר - על מגילת קהלת")</f>
        <v>אמרי שפר - על מגילת קהלת</v>
      </c>
    </row>
    <row r="3537" spans="1:6" x14ac:dyDescent="0.2">
      <c r="A3537" t="s">
        <v>6771</v>
      </c>
      <c r="B3537" t="s">
        <v>6829</v>
      </c>
      <c r="C3537" t="s">
        <v>6830</v>
      </c>
      <c r="D3537" t="s">
        <v>726</v>
      </c>
      <c r="E3537" t="s">
        <v>158</v>
      </c>
      <c r="F3537" s="2" t="str">
        <f>HYPERLINK("http://www.otzar.org/book.asp?7431","אמרי שפר")</f>
        <v>אמרי שפר</v>
      </c>
    </row>
    <row r="3538" spans="1:6" x14ac:dyDescent="0.2">
      <c r="A3538" t="s">
        <v>6831</v>
      </c>
      <c r="B3538" t="s">
        <v>6832</v>
      </c>
      <c r="C3538" t="s">
        <v>26</v>
      </c>
      <c r="D3538" t="s">
        <v>14</v>
      </c>
      <c r="E3538" t="s">
        <v>241</v>
      </c>
      <c r="F3538" s="2" t="str">
        <f>HYPERLINK("http://www.otzar.org/book.asp?5350","אמרי ששון")</f>
        <v>אמרי ששון</v>
      </c>
    </row>
    <row r="3539" spans="1:6" x14ac:dyDescent="0.2">
      <c r="A3539" t="s">
        <v>6831</v>
      </c>
      <c r="B3539" t="s">
        <v>6833</v>
      </c>
      <c r="C3539" t="s">
        <v>411</v>
      </c>
      <c r="D3539" t="s">
        <v>14</v>
      </c>
      <c r="E3539" t="s">
        <v>241</v>
      </c>
      <c r="F3539" s="2" t="str">
        <f>HYPERLINK("http://www.otzar.org/book.asp?171956","אמרי ששון")</f>
        <v>אמרי ששון</v>
      </c>
    </row>
    <row r="3540" spans="1:6" x14ac:dyDescent="0.2">
      <c r="A3540" t="s">
        <v>6834</v>
      </c>
      <c r="B3540" t="s">
        <v>6835</v>
      </c>
      <c r="C3540" t="s">
        <v>383</v>
      </c>
      <c r="D3540" t="s">
        <v>6836</v>
      </c>
      <c r="E3540" t="s">
        <v>15</v>
      </c>
      <c r="F3540" s="2" t="str">
        <f>HYPERLINK("http://www.otzar.org/book.asp?196780","אמרי תודה")</f>
        <v>אמרי תודה</v>
      </c>
    </row>
    <row r="3541" spans="1:6" x14ac:dyDescent="0.2">
      <c r="A3541" t="s">
        <v>6837</v>
      </c>
      <c r="B3541" t="s">
        <v>4388</v>
      </c>
      <c r="C3541" t="s">
        <v>649</v>
      </c>
      <c r="D3541" t="s">
        <v>9</v>
      </c>
      <c r="E3541" t="s">
        <v>573</v>
      </c>
      <c r="F3541" s="2" t="str">
        <f>HYPERLINK("http://www.otzar.org/book.asp?103152","אמרי תורת משה")</f>
        <v>אמרי תורת משה</v>
      </c>
    </row>
    <row r="3542" spans="1:6" x14ac:dyDescent="0.2">
      <c r="A3542" t="s">
        <v>6838</v>
      </c>
      <c r="B3542" t="s">
        <v>6839</v>
      </c>
      <c r="C3542" t="s">
        <v>462</v>
      </c>
      <c r="D3542" t="s">
        <v>6840</v>
      </c>
      <c r="E3542" t="s">
        <v>104</v>
      </c>
      <c r="F3542" s="2" t="str">
        <f>HYPERLINK("http://www.otzar.org/book.asp?172930","אמרים משמחי לב")</f>
        <v>אמרים משמחי לב</v>
      </c>
    </row>
    <row r="3543" spans="1:6" x14ac:dyDescent="0.2">
      <c r="A3543" t="s">
        <v>6841</v>
      </c>
      <c r="B3543" t="s">
        <v>6841</v>
      </c>
      <c r="C3543" t="s">
        <v>473</v>
      </c>
      <c r="D3543" t="s">
        <v>280</v>
      </c>
      <c r="E3543" t="s">
        <v>606</v>
      </c>
      <c r="F3543" s="2" t="str">
        <f>HYPERLINK("http://www.otzar.org/book.asp?103884","אמרכל")</f>
        <v>אמרכל</v>
      </c>
    </row>
    <row r="3544" spans="1:6" x14ac:dyDescent="0.2">
      <c r="A3544" t="s">
        <v>6842</v>
      </c>
      <c r="B3544" t="s">
        <v>6843</v>
      </c>
      <c r="C3544" t="s">
        <v>752</v>
      </c>
      <c r="D3544" t="s">
        <v>267</v>
      </c>
      <c r="E3544" t="s">
        <v>158</v>
      </c>
      <c r="F3544" s="2" t="str">
        <f>HYPERLINK("http://www.otzar.org/book.asp?17222","אמרת הצרופה")</f>
        <v>אמרת הצרופה</v>
      </c>
    </row>
    <row r="3545" spans="1:6" x14ac:dyDescent="0.2">
      <c r="A3545" t="s">
        <v>6844</v>
      </c>
      <c r="B3545" t="s">
        <v>6845</v>
      </c>
      <c r="C3545" t="s">
        <v>111</v>
      </c>
      <c r="D3545" t="s">
        <v>852</v>
      </c>
      <c r="E3545" t="s">
        <v>15</v>
      </c>
      <c r="F3545" s="2" t="str">
        <f>HYPERLINK("http://www.otzar.org/book.asp?629173","אמרתו ארץ")</f>
        <v>אמרתו ארץ</v>
      </c>
    </row>
    <row r="3546" spans="1:6" x14ac:dyDescent="0.2">
      <c r="A3546" t="s">
        <v>6846</v>
      </c>
      <c r="B3546" t="s">
        <v>6847</v>
      </c>
      <c r="C3546" t="s">
        <v>129</v>
      </c>
      <c r="D3546" t="s">
        <v>14</v>
      </c>
      <c r="E3546" t="s">
        <v>226</v>
      </c>
      <c r="F3546" s="2" t="str">
        <f>HYPERLINK("http://www.otzar.org/book.asp?154116","אמרתך חייתני - טאלנא")</f>
        <v>אמרתך חייתני - טאלנא</v>
      </c>
    </row>
    <row r="3547" spans="1:6" x14ac:dyDescent="0.2">
      <c r="A3547" t="s">
        <v>6848</v>
      </c>
      <c r="B3547" t="s">
        <v>6849</v>
      </c>
      <c r="C3547" t="s">
        <v>23</v>
      </c>
      <c r="D3547" t="s">
        <v>90</v>
      </c>
      <c r="F3547" s="2" t="str">
        <f>HYPERLINK("http://www.otzar.org/book.asp?617898","אמת בפיהו")</f>
        <v>אמת בפיהו</v>
      </c>
    </row>
    <row r="3548" spans="1:6" x14ac:dyDescent="0.2">
      <c r="A3548" t="s">
        <v>6850</v>
      </c>
      <c r="B3548" t="s">
        <v>2417</v>
      </c>
      <c r="C3548" t="s">
        <v>189</v>
      </c>
      <c r="D3548" t="s">
        <v>27</v>
      </c>
      <c r="F3548" s="2" t="str">
        <f>HYPERLINK("http://www.otzar.org/book.asp?603681","אמת ואמונה &lt;מהדורה חדשה&gt;")</f>
        <v>אמת ואמונה &lt;מהדורה חדשה&gt;</v>
      </c>
    </row>
    <row r="3549" spans="1:6" x14ac:dyDescent="0.2">
      <c r="A3549" t="s">
        <v>6851</v>
      </c>
      <c r="B3549" t="s">
        <v>6852</v>
      </c>
      <c r="C3549" t="s">
        <v>23</v>
      </c>
      <c r="D3549" t="s">
        <v>6853</v>
      </c>
      <c r="F3549" s="2" t="str">
        <f>HYPERLINK("http://www.otzar.org/book.asp?616241","אמת ואמונה - ב")</f>
        <v>אמת ואמונה - ב</v>
      </c>
    </row>
    <row r="3550" spans="1:6" x14ac:dyDescent="0.2">
      <c r="A3550" t="s">
        <v>6854</v>
      </c>
      <c r="B3550" t="s">
        <v>6855</v>
      </c>
      <c r="C3550" t="s">
        <v>919</v>
      </c>
      <c r="D3550" t="s">
        <v>52</v>
      </c>
      <c r="E3550" t="s">
        <v>241</v>
      </c>
      <c r="F3550" s="2" t="str">
        <f>HYPERLINK("http://www.otzar.org/book.asp?154337","אמת ואמונה - 2 כר'")</f>
        <v>אמת ואמונה - 2 כר'</v>
      </c>
    </row>
    <row r="3551" spans="1:6" x14ac:dyDescent="0.2">
      <c r="A3551" t="s">
        <v>6854</v>
      </c>
      <c r="B3551" t="s">
        <v>2417</v>
      </c>
      <c r="C3551" t="s">
        <v>1619</v>
      </c>
      <c r="D3551" t="s">
        <v>27</v>
      </c>
      <c r="E3551" t="s">
        <v>140</v>
      </c>
      <c r="F3551" s="2" t="str">
        <f>HYPERLINK("http://www.otzar.org/book.asp?10262","אמת ואמונה - 2 כר'")</f>
        <v>אמת ואמונה - 2 כר'</v>
      </c>
    </row>
    <row r="3552" spans="1:6" x14ac:dyDescent="0.2">
      <c r="A3552" t="s">
        <v>6856</v>
      </c>
      <c r="B3552" t="s">
        <v>6857</v>
      </c>
      <c r="C3552" t="s">
        <v>422</v>
      </c>
      <c r="D3552" t="s">
        <v>412</v>
      </c>
      <c r="E3552" t="s">
        <v>241</v>
      </c>
      <c r="F3552" s="2" t="str">
        <f>HYPERLINK("http://www.otzar.org/book.asp?197728","אמת ואמונה")</f>
        <v>אמת ואמונה</v>
      </c>
    </row>
    <row r="3553" spans="1:6" x14ac:dyDescent="0.2">
      <c r="A3553" t="s">
        <v>6856</v>
      </c>
      <c r="B3553" t="s">
        <v>6858</v>
      </c>
      <c r="C3553" t="s">
        <v>462</v>
      </c>
      <c r="D3553" t="s">
        <v>4269</v>
      </c>
      <c r="E3553" t="s">
        <v>140</v>
      </c>
      <c r="F3553" s="2" t="str">
        <f>HYPERLINK("http://www.otzar.org/book.asp?102169","אמת ואמונה")</f>
        <v>אמת ואמונה</v>
      </c>
    </row>
    <row r="3554" spans="1:6" x14ac:dyDescent="0.2">
      <c r="A3554" t="s">
        <v>6856</v>
      </c>
      <c r="B3554" t="s">
        <v>6859</v>
      </c>
      <c r="C3554" t="s">
        <v>1437</v>
      </c>
      <c r="D3554" t="s">
        <v>9</v>
      </c>
      <c r="E3554" t="s">
        <v>241</v>
      </c>
      <c r="F3554" s="2" t="str">
        <f>HYPERLINK("http://www.otzar.org/book.asp?51250","אמת ואמונה")</f>
        <v>אמת ואמונה</v>
      </c>
    </row>
    <row r="3555" spans="1:6" x14ac:dyDescent="0.2">
      <c r="A3555" t="s">
        <v>6856</v>
      </c>
      <c r="B3555" t="s">
        <v>1159</v>
      </c>
      <c r="C3555" t="s">
        <v>51</v>
      </c>
      <c r="D3555" t="s">
        <v>14</v>
      </c>
      <c r="E3555" t="s">
        <v>104</v>
      </c>
      <c r="F3555" s="2" t="str">
        <f>HYPERLINK("http://www.otzar.org/book.asp?143822","אמת ואמונה")</f>
        <v>אמת ואמונה</v>
      </c>
    </row>
    <row r="3556" spans="1:6" x14ac:dyDescent="0.2">
      <c r="A3556" t="s">
        <v>6860</v>
      </c>
      <c r="B3556" t="s">
        <v>6861</v>
      </c>
      <c r="C3556" t="s">
        <v>133</v>
      </c>
      <c r="D3556" t="s">
        <v>14</v>
      </c>
      <c r="E3556" t="s">
        <v>467</v>
      </c>
      <c r="F3556" s="2" t="str">
        <f>HYPERLINK("http://www.otzar.org/book.asp?173961","אמת ואמונה - ירח האיתנים")</f>
        <v>אמת ואמונה - ירח האיתנים</v>
      </c>
    </row>
    <row r="3557" spans="1:6" x14ac:dyDescent="0.2">
      <c r="A3557" t="s">
        <v>6856</v>
      </c>
      <c r="B3557" t="s">
        <v>6862</v>
      </c>
      <c r="C3557" t="s">
        <v>422</v>
      </c>
      <c r="D3557" t="s">
        <v>412</v>
      </c>
      <c r="E3557" t="s">
        <v>241</v>
      </c>
      <c r="F3557" s="2" t="str">
        <f>HYPERLINK("http://www.otzar.org/book.asp?155688","אמת ואמונה")</f>
        <v>אמת ואמונה</v>
      </c>
    </row>
    <row r="3558" spans="1:6" x14ac:dyDescent="0.2">
      <c r="A3558" t="s">
        <v>6863</v>
      </c>
      <c r="B3558" t="s">
        <v>6864</v>
      </c>
      <c r="C3558" t="s">
        <v>20</v>
      </c>
      <c r="D3558" t="s">
        <v>6865</v>
      </c>
      <c r="E3558" t="s">
        <v>202</v>
      </c>
      <c r="F3558" s="2" t="str">
        <f>HYPERLINK("http://www.otzar.org/book.asp?176947","אמת ויציב")</f>
        <v>אמת ויציב</v>
      </c>
    </row>
    <row r="3559" spans="1:6" x14ac:dyDescent="0.2">
      <c r="A3559" t="s">
        <v>6866</v>
      </c>
      <c r="B3559" t="s">
        <v>6867</v>
      </c>
      <c r="C3559" t="s">
        <v>362</v>
      </c>
      <c r="D3559" t="s">
        <v>27</v>
      </c>
      <c r="E3559" t="s">
        <v>213</v>
      </c>
      <c r="F3559" s="2" t="str">
        <f>HYPERLINK("http://www.otzar.org/book.asp?300321","אמת ומשפט שלום שפטו בשעריכם")</f>
        <v>אמת ומשפט שלום שפטו בשעריכם</v>
      </c>
    </row>
    <row r="3560" spans="1:6" x14ac:dyDescent="0.2">
      <c r="A3560" t="s">
        <v>6868</v>
      </c>
      <c r="B3560" t="s">
        <v>6869</v>
      </c>
      <c r="C3560" t="s">
        <v>244</v>
      </c>
      <c r="D3560" t="s">
        <v>90</v>
      </c>
      <c r="E3560" t="s">
        <v>10</v>
      </c>
      <c r="F3560" s="2" t="str">
        <f>HYPERLINK("http://www.otzar.org/book.asp?620317","אמת ומשפט שלום - 4 כר'")</f>
        <v>אמת ומשפט שלום - 4 כר'</v>
      </c>
    </row>
    <row r="3561" spans="1:6" x14ac:dyDescent="0.2">
      <c r="A3561" t="s">
        <v>6870</v>
      </c>
      <c r="B3561" t="s">
        <v>6871</v>
      </c>
      <c r="C3561" t="s">
        <v>20</v>
      </c>
      <c r="D3561" t="s">
        <v>1153</v>
      </c>
      <c r="F3561" s="2" t="str">
        <f>HYPERLINK("http://www.otzar.org/book.asp?198774","אמת ומשפט שלום - חו""מ, יו""ד")</f>
        <v>אמת ומשפט שלום - חו"מ, יו"ד</v>
      </c>
    </row>
    <row r="3562" spans="1:6" x14ac:dyDescent="0.2">
      <c r="A3562" t="s">
        <v>6872</v>
      </c>
      <c r="B3562" t="s">
        <v>6873</v>
      </c>
      <c r="C3562" t="s">
        <v>2076</v>
      </c>
      <c r="D3562" t="s">
        <v>2181</v>
      </c>
      <c r="E3562" t="s">
        <v>241</v>
      </c>
      <c r="F3562" s="2" t="str">
        <f>HYPERLINK("http://www.otzar.org/book.asp?300326","אמת ומשפט")</f>
        <v>אמת ומשפט</v>
      </c>
    </row>
    <row r="3563" spans="1:6" x14ac:dyDescent="0.2">
      <c r="A3563" t="s">
        <v>6872</v>
      </c>
      <c r="B3563" t="s">
        <v>6871</v>
      </c>
      <c r="C3563" t="s">
        <v>411</v>
      </c>
      <c r="D3563" t="s">
        <v>1153</v>
      </c>
      <c r="E3563" t="s">
        <v>202</v>
      </c>
      <c r="F3563" s="2" t="str">
        <f>HYPERLINK("http://www.otzar.org/book.asp?168900","אמת ומשפט")</f>
        <v>אמת ומשפט</v>
      </c>
    </row>
    <row r="3564" spans="1:6" x14ac:dyDescent="0.2">
      <c r="A3564" t="s">
        <v>6874</v>
      </c>
      <c r="B3564" t="s">
        <v>6875</v>
      </c>
      <c r="C3564" t="s">
        <v>940</v>
      </c>
      <c r="D3564" t="s">
        <v>14</v>
      </c>
      <c r="E3564" t="s">
        <v>140</v>
      </c>
      <c r="F3564" s="2" t="str">
        <f>HYPERLINK("http://www.otzar.org/book.asp?63260","אמת ושלום")</f>
        <v>אמת ושלום</v>
      </c>
    </row>
    <row r="3565" spans="1:6" x14ac:dyDescent="0.2">
      <c r="A3565" t="s">
        <v>6874</v>
      </c>
      <c r="B3565" t="s">
        <v>6876</v>
      </c>
      <c r="C3565" t="s">
        <v>1519</v>
      </c>
      <c r="D3565" t="s">
        <v>76</v>
      </c>
      <c r="E3565" t="s">
        <v>399</v>
      </c>
      <c r="F3565" s="2" t="str">
        <f>HYPERLINK("http://www.otzar.org/book.asp?104455","אמת ושלום")</f>
        <v>אמת ושלום</v>
      </c>
    </row>
    <row r="3566" spans="1:6" x14ac:dyDescent="0.2">
      <c r="A3566" t="s">
        <v>6877</v>
      </c>
      <c r="B3566" t="s">
        <v>6878</v>
      </c>
      <c r="C3566" t="s">
        <v>466</v>
      </c>
      <c r="D3566" t="s">
        <v>52</v>
      </c>
      <c r="E3566" t="s">
        <v>15</v>
      </c>
      <c r="F3566" s="2" t="str">
        <f>HYPERLINK("http://www.otzar.org/book.asp?625618","אמת לדוד")</f>
        <v>אמת לדוד</v>
      </c>
    </row>
    <row r="3567" spans="1:6" x14ac:dyDescent="0.2">
      <c r="A3567" t="s">
        <v>6879</v>
      </c>
      <c r="B3567" t="s">
        <v>2651</v>
      </c>
      <c r="C3567" t="s">
        <v>37</v>
      </c>
      <c r="D3567" t="s">
        <v>2652</v>
      </c>
      <c r="E3567" t="s">
        <v>154</v>
      </c>
      <c r="F3567" s="2" t="str">
        <f>HYPERLINK("http://www.otzar.org/book.asp?192903","אמת להשיב - א")</f>
        <v>אמת להשיב - א</v>
      </c>
    </row>
    <row r="3568" spans="1:6" x14ac:dyDescent="0.2">
      <c r="A3568" t="s">
        <v>6880</v>
      </c>
      <c r="B3568" t="s">
        <v>6881</v>
      </c>
      <c r="C3568" t="s">
        <v>775</v>
      </c>
      <c r="D3568" t="s">
        <v>412</v>
      </c>
      <c r="E3568" t="s">
        <v>144</v>
      </c>
      <c r="F3568" s="2" t="str">
        <f>HYPERLINK("http://www.otzar.org/book.asp?21620","אמת ליהודה")</f>
        <v>אמת ליהודה</v>
      </c>
    </row>
    <row r="3569" spans="1:6" x14ac:dyDescent="0.2">
      <c r="A3569" t="s">
        <v>6882</v>
      </c>
      <c r="B3569" t="s">
        <v>6883</v>
      </c>
      <c r="C3569" t="s">
        <v>51</v>
      </c>
      <c r="D3569" t="s">
        <v>115</v>
      </c>
      <c r="F3569" s="2" t="str">
        <f>HYPERLINK("http://www.otzar.org/book.asp?157581","אמת ליוסף")</f>
        <v>אמת ליוסף</v>
      </c>
    </row>
    <row r="3570" spans="1:6" x14ac:dyDescent="0.2">
      <c r="A3570" t="s">
        <v>6884</v>
      </c>
      <c r="B3570" t="s">
        <v>6885</v>
      </c>
      <c r="C3570" t="s">
        <v>411</v>
      </c>
      <c r="D3570" t="s">
        <v>14</v>
      </c>
      <c r="E3570" t="s">
        <v>15</v>
      </c>
      <c r="F3570" s="2" t="str">
        <f>HYPERLINK("http://www.otzar.org/book.asp?189871","אמת ליעקב &lt;מהדורה חדשה&gt;")</f>
        <v>אמת ליעקב &lt;מהדורה חדשה&gt;</v>
      </c>
    </row>
    <row r="3571" spans="1:6" x14ac:dyDescent="0.2">
      <c r="A3571" t="s">
        <v>6886</v>
      </c>
      <c r="B3571" t="s">
        <v>6496</v>
      </c>
      <c r="C3571" t="s">
        <v>558</v>
      </c>
      <c r="D3571" t="s">
        <v>225</v>
      </c>
      <c r="E3571" t="s">
        <v>435</v>
      </c>
      <c r="F3571" s="2" t="str">
        <f>HYPERLINK("http://www.otzar.org/book.asp?9241","אמת ליעקב &lt;על אגדות הש""ס&gt; - 2 כר'")</f>
        <v>אמת ליעקב &lt;על אגדות הש"ס&gt; - 2 כר'</v>
      </c>
    </row>
    <row r="3572" spans="1:6" x14ac:dyDescent="0.2">
      <c r="A3572" t="s">
        <v>6887</v>
      </c>
      <c r="B3572" t="s">
        <v>6888</v>
      </c>
      <c r="C3572" t="s">
        <v>20</v>
      </c>
      <c r="D3572" t="s">
        <v>147</v>
      </c>
      <c r="E3572" t="s">
        <v>6889</v>
      </c>
      <c r="F3572" s="2" t="str">
        <f>HYPERLINK("http://www.otzar.org/book.asp?173223","אמת ליעקב &lt;מהדורה חדשה&gt;, שפת אמת, חסדי דוד")</f>
        <v>אמת ליעקב &lt;מהדורה חדשה&gt;, שפת אמת, חסדי דוד</v>
      </c>
    </row>
    <row r="3573" spans="1:6" x14ac:dyDescent="0.2">
      <c r="A3573" t="s">
        <v>6890</v>
      </c>
      <c r="B3573" t="s">
        <v>6891</v>
      </c>
      <c r="C3573" t="s">
        <v>20</v>
      </c>
      <c r="D3573" t="s">
        <v>21</v>
      </c>
      <c r="E3573" t="s">
        <v>158</v>
      </c>
      <c r="F3573" s="2" t="str">
        <f>HYPERLINK("http://www.otzar.org/book.asp?191254","אמת ליעקב חסד לאברהם - 2 כר'")</f>
        <v>אמת ליעקב חסד לאברהם - 2 כר'</v>
      </c>
    </row>
    <row r="3574" spans="1:6" x14ac:dyDescent="0.2">
      <c r="A3574" t="s">
        <v>6892</v>
      </c>
      <c r="B3574" t="s">
        <v>6893</v>
      </c>
      <c r="C3574" t="s">
        <v>129</v>
      </c>
      <c r="D3574" t="s">
        <v>412</v>
      </c>
      <c r="E3574" t="s">
        <v>158</v>
      </c>
      <c r="F3574" s="2" t="str">
        <f>HYPERLINK("http://www.otzar.org/book.asp?60250","אמת ליעקב על התורה")</f>
        <v>אמת ליעקב על התורה</v>
      </c>
    </row>
    <row r="3575" spans="1:6" x14ac:dyDescent="0.2">
      <c r="A3575" t="s">
        <v>6894</v>
      </c>
      <c r="B3575" t="s">
        <v>6885</v>
      </c>
      <c r="C3575" t="s">
        <v>6895</v>
      </c>
      <c r="D3575" t="s">
        <v>212</v>
      </c>
      <c r="E3575" t="s">
        <v>15</v>
      </c>
      <c r="F3575" s="2" t="str">
        <f>HYPERLINK("http://www.otzar.org/book.asp?181147","אמת ליעקב - 2 כר'")</f>
        <v>אמת ליעקב - 2 כר'</v>
      </c>
    </row>
    <row r="3576" spans="1:6" x14ac:dyDescent="0.2">
      <c r="A3576" t="s">
        <v>6896</v>
      </c>
      <c r="B3576" t="s">
        <v>6897</v>
      </c>
      <c r="C3576" t="s">
        <v>20</v>
      </c>
      <c r="D3576" t="s">
        <v>90</v>
      </c>
      <c r="E3576" t="s">
        <v>467</v>
      </c>
      <c r="F3576" s="2" t="str">
        <f>HYPERLINK("http://www.otzar.org/book.asp?624912","אמת ליעקב - קבלת התורה")</f>
        <v>אמת ליעקב - קבלת התורה</v>
      </c>
    </row>
    <row r="3577" spans="1:6" x14ac:dyDescent="0.2">
      <c r="A3577" t="s">
        <v>6898</v>
      </c>
      <c r="B3577" t="s">
        <v>6899</v>
      </c>
      <c r="C3577" t="s">
        <v>4705</v>
      </c>
      <c r="D3577" t="s">
        <v>283</v>
      </c>
      <c r="E3577" t="s">
        <v>213</v>
      </c>
      <c r="F3577" s="2" t="str">
        <f>HYPERLINK("http://www.otzar.org/book.asp?25157","אמת ליעקב")</f>
        <v>אמת ליעקב</v>
      </c>
    </row>
    <row r="3578" spans="1:6" x14ac:dyDescent="0.2">
      <c r="A3578" t="s">
        <v>6898</v>
      </c>
      <c r="B3578" t="s">
        <v>6900</v>
      </c>
      <c r="C3578" t="s">
        <v>503</v>
      </c>
      <c r="D3578" t="s">
        <v>267</v>
      </c>
      <c r="E3578" t="s">
        <v>158</v>
      </c>
      <c r="F3578" s="2" t="str">
        <f>HYPERLINK("http://www.otzar.org/book.asp?51251","אמת ליעקב")</f>
        <v>אמת ליעקב</v>
      </c>
    </row>
    <row r="3579" spans="1:6" x14ac:dyDescent="0.2">
      <c r="A3579" t="s">
        <v>6898</v>
      </c>
      <c r="B3579" t="s">
        <v>6901</v>
      </c>
      <c r="C3579" t="s">
        <v>146</v>
      </c>
      <c r="D3579" t="s">
        <v>14</v>
      </c>
      <c r="E3579" t="s">
        <v>154</v>
      </c>
      <c r="F3579" s="2" t="str">
        <f>HYPERLINK("http://www.otzar.org/book.asp?144079","אמת ליעקב")</f>
        <v>אמת ליעקב</v>
      </c>
    </row>
    <row r="3580" spans="1:6" x14ac:dyDescent="0.2">
      <c r="A3580" t="s">
        <v>6898</v>
      </c>
      <c r="B3580" t="s">
        <v>6902</v>
      </c>
      <c r="C3580" t="s">
        <v>6903</v>
      </c>
      <c r="D3580" t="s">
        <v>1889</v>
      </c>
      <c r="E3580" t="s">
        <v>1626</v>
      </c>
      <c r="F3580" s="2" t="str">
        <f>HYPERLINK("http://www.otzar.org/book.asp?300331","אמת ליעקב")</f>
        <v>אמת ליעקב</v>
      </c>
    </row>
    <row r="3581" spans="1:6" x14ac:dyDescent="0.2">
      <c r="A3581" t="s">
        <v>6904</v>
      </c>
      <c r="B3581" t="s">
        <v>6905</v>
      </c>
      <c r="C3581" t="s">
        <v>13</v>
      </c>
      <c r="D3581" t="s">
        <v>14</v>
      </c>
      <c r="E3581" t="s">
        <v>399</v>
      </c>
      <c r="F3581" s="2" t="str">
        <f>HYPERLINK("http://www.otzar.org/book.asp?143705","אמת ליעקב - על אדרא רבא ואדרא זוטא")</f>
        <v>אמת ליעקב - על אדרא רבא ואדרא זוטא</v>
      </c>
    </row>
    <row r="3582" spans="1:6" x14ac:dyDescent="0.2">
      <c r="A3582" t="s">
        <v>6898</v>
      </c>
      <c r="B3582" t="s">
        <v>6888</v>
      </c>
      <c r="C3582" t="s">
        <v>6906</v>
      </c>
      <c r="D3582" t="s">
        <v>212</v>
      </c>
      <c r="E3582" t="s">
        <v>399</v>
      </c>
      <c r="F3582" s="2" t="str">
        <f>HYPERLINK("http://www.otzar.org/book.asp?6176","אמת ליעקב")</f>
        <v>אמת ליעקב</v>
      </c>
    </row>
    <row r="3583" spans="1:6" x14ac:dyDescent="0.2">
      <c r="A3583" t="s">
        <v>6894</v>
      </c>
      <c r="B3583" t="s">
        <v>6907</v>
      </c>
      <c r="C3583" t="s">
        <v>411</v>
      </c>
      <c r="D3583" t="s">
        <v>14</v>
      </c>
      <c r="E3583" t="s">
        <v>158</v>
      </c>
      <c r="F3583" s="2" t="str">
        <f>HYPERLINK("http://www.otzar.org/book.asp?167887","אמת ליעקב - 2 כר'")</f>
        <v>אמת ליעקב - 2 כר'</v>
      </c>
    </row>
    <row r="3584" spans="1:6" x14ac:dyDescent="0.2">
      <c r="A3584" t="s">
        <v>6898</v>
      </c>
      <c r="B3584" t="s">
        <v>6908</v>
      </c>
      <c r="C3584" t="s">
        <v>547</v>
      </c>
      <c r="D3584" t="s">
        <v>379</v>
      </c>
      <c r="E3584" t="s">
        <v>4333</v>
      </c>
      <c r="F3584" s="2" t="str">
        <f>HYPERLINK("http://www.otzar.org/book.asp?300330","אמת ליעקב")</f>
        <v>אמת ליעקב</v>
      </c>
    </row>
    <row r="3585" spans="1:6" x14ac:dyDescent="0.2">
      <c r="A3585" t="s">
        <v>6898</v>
      </c>
      <c r="B3585" t="s">
        <v>6909</v>
      </c>
      <c r="C3585" t="s">
        <v>775</v>
      </c>
      <c r="D3585" t="s">
        <v>21</v>
      </c>
      <c r="E3585" t="s">
        <v>2418</v>
      </c>
      <c r="F3585" s="2" t="str">
        <f>HYPERLINK("http://www.otzar.org/book.asp?199476","אמת ליעקב")</f>
        <v>אמת ליעקב</v>
      </c>
    </row>
    <row r="3586" spans="1:6" x14ac:dyDescent="0.2">
      <c r="A3586" t="s">
        <v>6910</v>
      </c>
      <c r="B3586" t="s">
        <v>6911</v>
      </c>
      <c r="C3586" t="s">
        <v>87</v>
      </c>
      <c r="D3586" t="s">
        <v>14</v>
      </c>
      <c r="E3586" t="s">
        <v>714</v>
      </c>
      <c r="F3586" s="2" t="str">
        <f>HYPERLINK("http://www.otzar.org/book.asp?156146","אמת ליעקב - 5 כר'")</f>
        <v>אמת ליעקב - 5 כר'</v>
      </c>
    </row>
    <row r="3587" spans="1:6" x14ac:dyDescent="0.2">
      <c r="A3587" t="s">
        <v>6912</v>
      </c>
      <c r="B3587" t="s">
        <v>1750</v>
      </c>
      <c r="C3587" t="s">
        <v>87</v>
      </c>
      <c r="D3587" t="s">
        <v>852</v>
      </c>
      <c r="E3587" t="s">
        <v>202</v>
      </c>
      <c r="F3587" s="2" t="str">
        <f>HYPERLINK("http://www.otzar.org/book.asp?158605","אמת ליעקב - 3 כר'")</f>
        <v>אמת ליעקב - 3 כר'</v>
      </c>
    </row>
    <row r="3588" spans="1:6" x14ac:dyDescent="0.2">
      <c r="A3588" t="s">
        <v>6898</v>
      </c>
      <c r="B3588" t="s">
        <v>6913</v>
      </c>
      <c r="C3588" t="s">
        <v>13</v>
      </c>
      <c r="D3588" t="s">
        <v>52</v>
      </c>
      <c r="E3588" t="s">
        <v>6914</v>
      </c>
      <c r="F3588" s="2" t="str">
        <f>HYPERLINK("http://www.otzar.org/book.asp?171465","אמת ליעקב")</f>
        <v>אמת ליעקב</v>
      </c>
    </row>
    <row r="3589" spans="1:6" x14ac:dyDescent="0.2">
      <c r="A3589" t="s">
        <v>6915</v>
      </c>
      <c r="B3589" t="s">
        <v>6893</v>
      </c>
      <c r="C3589" t="s">
        <v>111</v>
      </c>
      <c r="D3589" t="s">
        <v>134</v>
      </c>
      <c r="E3589" t="s">
        <v>786</v>
      </c>
      <c r="F3589" s="2" t="str">
        <f>HYPERLINK("http://www.otzar.org/book.asp?626146","אמת ליעקב - 4 כר'")</f>
        <v>אמת ליעקב - 4 כר'</v>
      </c>
    </row>
    <row r="3590" spans="1:6" x14ac:dyDescent="0.2">
      <c r="A3590" t="s">
        <v>6898</v>
      </c>
      <c r="B3590" t="s">
        <v>6916</v>
      </c>
      <c r="C3590" t="s">
        <v>462</v>
      </c>
      <c r="D3590" t="s">
        <v>225</v>
      </c>
      <c r="E3590" t="s">
        <v>6917</v>
      </c>
      <c r="F3590" s="2" t="str">
        <f>HYPERLINK("http://www.otzar.org/book.asp?6676","אמת ליעקב")</f>
        <v>אמת ליעקב</v>
      </c>
    </row>
    <row r="3591" spans="1:6" x14ac:dyDescent="0.2">
      <c r="A3591" t="s">
        <v>6898</v>
      </c>
      <c r="B3591" t="s">
        <v>6918</v>
      </c>
      <c r="C3591" t="s">
        <v>617</v>
      </c>
      <c r="D3591" t="s">
        <v>5209</v>
      </c>
      <c r="E3591" t="s">
        <v>2054</v>
      </c>
      <c r="F3591" s="2" t="str">
        <f>HYPERLINK("http://www.otzar.org/book.asp?300322","אמת ליעקב")</f>
        <v>אמת ליעקב</v>
      </c>
    </row>
    <row r="3592" spans="1:6" x14ac:dyDescent="0.2">
      <c r="A3592" t="s">
        <v>6894</v>
      </c>
      <c r="B3592" t="s">
        <v>6919</v>
      </c>
      <c r="C3592" t="s">
        <v>103</v>
      </c>
      <c r="D3592" t="s">
        <v>14</v>
      </c>
      <c r="E3592" t="s">
        <v>474</v>
      </c>
      <c r="F3592" s="2" t="str">
        <f>HYPERLINK("http://www.otzar.org/book.asp?161288","אמת ליעקב - 2 כר'")</f>
        <v>אמת ליעקב - 2 כר'</v>
      </c>
    </row>
    <row r="3593" spans="1:6" x14ac:dyDescent="0.2">
      <c r="A3593" t="s">
        <v>6920</v>
      </c>
      <c r="B3593" t="s">
        <v>1728</v>
      </c>
      <c r="C3593" t="s">
        <v>133</v>
      </c>
      <c r="D3593" t="s">
        <v>273</v>
      </c>
      <c r="E3593" t="s">
        <v>140</v>
      </c>
      <c r="F3593" s="2" t="str">
        <f>HYPERLINK("http://www.otzar.org/book.asp?628519","אמת למד פיך")</f>
        <v>אמת למד פיך</v>
      </c>
    </row>
    <row r="3594" spans="1:6" x14ac:dyDescent="0.2">
      <c r="A3594" t="s">
        <v>6921</v>
      </c>
      <c r="B3594" t="s">
        <v>206</v>
      </c>
      <c r="C3594" t="s">
        <v>411</v>
      </c>
      <c r="D3594" t="s">
        <v>412</v>
      </c>
      <c r="E3594" t="s">
        <v>241</v>
      </c>
      <c r="F3594" s="2" t="str">
        <f>HYPERLINK("http://www.otzar.org/book.asp?169515","אמת מארץ תצמח")</f>
        <v>אמת מארץ תצמח</v>
      </c>
    </row>
    <row r="3595" spans="1:6" x14ac:dyDescent="0.2">
      <c r="A3595" t="s">
        <v>6921</v>
      </c>
      <c r="B3595" t="s">
        <v>107</v>
      </c>
      <c r="C3595" t="s">
        <v>1208</v>
      </c>
      <c r="D3595" t="s">
        <v>14</v>
      </c>
      <c r="E3595" t="s">
        <v>733</v>
      </c>
      <c r="F3595" s="2" t="str">
        <f>HYPERLINK("http://www.otzar.org/book.asp?84009","אמת מארץ תצמח")</f>
        <v>אמת מארץ תצמח</v>
      </c>
    </row>
    <row r="3596" spans="1:6" x14ac:dyDescent="0.2">
      <c r="A3596" t="s">
        <v>6922</v>
      </c>
      <c r="B3596" t="s">
        <v>6923</v>
      </c>
      <c r="C3596" t="s">
        <v>445</v>
      </c>
      <c r="D3596" t="s">
        <v>27</v>
      </c>
      <c r="E3596" t="s">
        <v>154</v>
      </c>
      <c r="F3596" s="2" t="str">
        <f>HYPERLINK("http://www.otzar.org/book.asp?17227","אמת מארץ")</f>
        <v>אמת מארץ</v>
      </c>
    </row>
    <row r="3597" spans="1:6" x14ac:dyDescent="0.2">
      <c r="A3597" t="s">
        <v>6924</v>
      </c>
      <c r="B3597" t="s">
        <v>2417</v>
      </c>
      <c r="C3597" t="s">
        <v>390</v>
      </c>
      <c r="D3597" t="s">
        <v>216</v>
      </c>
      <c r="E3597" t="s">
        <v>140</v>
      </c>
      <c r="F3597" s="2" t="str">
        <f>HYPERLINK("http://www.otzar.org/book.asp?103153","אמת מקאצק תצמח")</f>
        <v>אמת מקאצק תצמח</v>
      </c>
    </row>
    <row r="3598" spans="1:6" x14ac:dyDescent="0.2">
      <c r="A3598" t="s">
        <v>6925</v>
      </c>
      <c r="B3598" t="s">
        <v>6926</v>
      </c>
      <c r="C3598" t="s">
        <v>13</v>
      </c>
      <c r="D3598" t="s">
        <v>52</v>
      </c>
      <c r="E3598" t="s">
        <v>241</v>
      </c>
      <c r="F3598" s="2" t="str">
        <f>HYPERLINK("http://www.otzar.org/book.asp?152580","אמת על תילה")</f>
        <v>אמת על תילה</v>
      </c>
    </row>
    <row r="3599" spans="1:6" x14ac:dyDescent="0.2">
      <c r="A3599" t="s">
        <v>6927</v>
      </c>
      <c r="B3599" t="s">
        <v>6928</v>
      </c>
      <c r="C3599" t="s">
        <v>185</v>
      </c>
      <c r="D3599" t="s">
        <v>486</v>
      </c>
      <c r="F3599" s="2" t="str">
        <f>HYPERLINK("http://www.otzar.org/book.asp?632235","אמת צרופה")</f>
        <v>אמת צרופה</v>
      </c>
    </row>
    <row r="3600" spans="1:6" x14ac:dyDescent="0.2">
      <c r="A3600" t="s">
        <v>6929</v>
      </c>
      <c r="B3600" t="s">
        <v>6929</v>
      </c>
      <c r="C3600" t="s">
        <v>445</v>
      </c>
      <c r="D3600" t="s">
        <v>283</v>
      </c>
      <c r="E3600" t="s">
        <v>241</v>
      </c>
      <c r="F3600" s="2" t="str">
        <f>HYPERLINK("http://www.otzar.org/book.asp?5412","אמת קנה")</f>
        <v>אמת קנה</v>
      </c>
    </row>
    <row r="3601" spans="1:6" x14ac:dyDescent="0.2">
      <c r="A3601" t="s">
        <v>6929</v>
      </c>
      <c r="B3601" t="s">
        <v>6930</v>
      </c>
      <c r="C3601" t="s">
        <v>20</v>
      </c>
      <c r="D3601" t="s">
        <v>52</v>
      </c>
      <c r="E3601" t="s">
        <v>241</v>
      </c>
      <c r="F3601" s="2" t="str">
        <f>HYPERLINK("http://www.otzar.org/book.asp?605766","אמת קנה")</f>
        <v>אמת קנה</v>
      </c>
    </row>
    <row r="3602" spans="1:6" x14ac:dyDescent="0.2">
      <c r="A3602" t="s">
        <v>6929</v>
      </c>
      <c r="B3602" t="s">
        <v>338</v>
      </c>
      <c r="C3602" t="s">
        <v>23</v>
      </c>
      <c r="D3602" t="s">
        <v>14</v>
      </c>
      <c r="E3602" t="s">
        <v>241</v>
      </c>
      <c r="F3602" s="2" t="str">
        <f>HYPERLINK("http://www.otzar.org/book.asp?608186","אמת קנה")</f>
        <v>אמת קנה</v>
      </c>
    </row>
    <row r="3603" spans="1:6" x14ac:dyDescent="0.2">
      <c r="A3603" t="s">
        <v>6929</v>
      </c>
      <c r="B3603" t="s">
        <v>6931</v>
      </c>
      <c r="C3603" t="s">
        <v>20</v>
      </c>
      <c r="D3603" t="s">
        <v>90</v>
      </c>
      <c r="E3603" t="s">
        <v>15</v>
      </c>
      <c r="F3603" s="2" t="str">
        <f>HYPERLINK("http://www.otzar.org/book.asp?607099","אמת קנה")</f>
        <v>אמת קנה</v>
      </c>
    </row>
    <row r="3604" spans="1:6" x14ac:dyDescent="0.2">
      <c r="A3604" t="s">
        <v>6929</v>
      </c>
      <c r="B3604" t="s">
        <v>2530</v>
      </c>
      <c r="C3604" t="s">
        <v>624</v>
      </c>
      <c r="D3604" t="s">
        <v>2531</v>
      </c>
      <c r="E3604" t="s">
        <v>241</v>
      </c>
      <c r="F3604" s="2" t="str">
        <f>HYPERLINK("http://www.otzar.org/book.asp?85565","אמת קנה")</f>
        <v>אמת קנה</v>
      </c>
    </row>
    <row r="3605" spans="1:6" x14ac:dyDescent="0.2">
      <c r="A3605" t="s">
        <v>6932</v>
      </c>
      <c r="B3605" t="s">
        <v>1939</v>
      </c>
      <c r="C3605" t="s">
        <v>1494</v>
      </c>
      <c r="D3605" t="s">
        <v>6933</v>
      </c>
      <c r="E3605" t="s">
        <v>158</v>
      </c>
      <c r="F3605" s="2" t="str">
        <f>HYPERLINK("http://www.otzar.org/book.asp?102605","אמתחת בנימין")</f>
        <v>אמתחת בנימין</v>
      </c>
    </row>
    <row r="3606" spans="1:6" x14ac:dyDescent="0.2">
      <c r="A3606" t="s">
        <v>6934</v>
      </c>
      <c r="B3606" t="s">
        <v>6935</v>
      </c>
      <c r="C3606" t="s">
        <v>503</v>
      </c>
      <c r="D3606" t="s">
        <v>283</v>
      </c>
      <c r="E3606" t="s">
        <v>144</v>
      </c>
      <c r="F3606" s="2" t="str">
        <f>HYPERLINK("http://www.otzar.org/book.asp?108817","אמתחת בנימין - 3 כר'")</f>
        <v>אמתחת בנימין - 3 כר'</v>
      </c>
    </row>
    <row r="3607" spans="1:6" x14ac:dyDescent="0.2">
      <c r="A3607" t="s">
        <v>6932</v>
      </c>
      <c r="B3607" t="s">
        <v>6936</v>
      </c>
      <c r="C3607" t="s">
        <v>20</v>
      </c>
      <c r="D3607" t="s">
        <v>216</v>
      </c>
      <c r="E3607" t="s">
        <v>6937</v>
      </c>
      <c r="F3607" s="2" t="str">
        <f>HYPERLINK("http://www.otzar.org/book.asp?10361","אמתחת בנימין")</f>
        <v>אמתחת בנימין</v>
      </c>
    </row>
    <row r="3608" spans="1:6" x14ac:dyDescent="0.2">
      <c r="A3608" t="s">
        <v>6932</v>
      </c>
      <c r="B3608" t="s">
        <v>6938</v>
      </c>
      <c r="C3608" t="s">
        <v>943</v>
      </c>
      <c r="D3608" t="s">
        <v>2303</v>
      </c>
      <c r="E3608" t="s">
        <v>158</v>
      </c>
      <c r="F3608" s="2" t="str">
        <f>HYPERLINK("http://www.otzar.org/book.asp?103147","אמתחת בנימין")</f>
        <v>אמתחת בנימין</v>
      </c>
    </row>
    <row r="3609" spans="1:6" x14ac:dyDescent="0.2">
      <c r="A3609" t="s">
        <v>6932</v>
      </c>
      <c r="B3609" t="s">
        <v>6939</v>
      </c>
      <c r="C3609" t="s">
        <v>619</v>
      </c>
      <c r="D3609" t="s">
        <v>986</v>
      </c>
      <c r="E3609" t="s">
        <v>104</v>
      </c>
      <c r="F3609" s="2" t="str">
        <f>HYPERLINK("http://www.otzar.org/book.asp?141182","אמתחת בנימין")</f>
        <v>אמתחת בנימין</v>
      </c>
    </row>
    <row r="3610" spans="1:6" x14ac:dyDescent="0.2">
      <c r="A3610" t="s">
        <v>6932</v>
      </c>
      <c r="B3610" t="s">
        <v>6940</v>
      </c>
      <c r="C3610" t="s">
        <v>176</v>
      </c>
      <c r="D3610" t="s">
        <v>14</v>
      </c>
      <c r="E3610" t="s">
        <v>2775</v>
      </c>
      <c r="F3610" s="2" t="str">
        <f>HYPERLINK("http://www.otzar.org/book.asp?163020","אמתחת בנימין")</f>
        <v>אמתחת בנימין</v>
      </c>
    </row>
    <row r="3611" spans="1:6" x14ac:dyDescent="0.2">
      <c r="A3611" t="s">
        <v>6932</v>
      </c>
      <c r="B3611" t="s">
        <v>6941</v>
      </c>
      <c r="C3611" t="s">
        <v>4059</v>
      </c>
      <c r="D3611" t="s">
        <v>42</v>
      </c>
      <c r="E3611" t="s">
        <v>6300</v>
      </c>
      <c r="F3611" s="2" t="str">
        <f>HYPERLINK("http://www.otzar.org/book.asp?100250","אמתחת בנימין")</f>
        <v>אמתחת בנימין</v>
      </c>
    </row>
    <row r="3612" spans="1:6" x14ac:dyDescent="0.2">
      <c r="A3612" t="s">
        <v>6932</v>
      </c>
      <c r="B3612" t="s">
        <v>6942</v>
      </c>
      <c r="C3612" t="s">
        <v>2870</v>
      </c>
      <c r="D3612" t="s">
        <v>6943</v>
      </c>
      <c r="E3612" t="s">
        <v>158</v>
      </c>
      <c r="F3612" s="2" t="str">
        <f>HYPERLINK("http://www.otzar.org/book.asp?626459","אמתחת בנימין")</f>
        <v>אמתחת בנימין</v>
      </c>
    </row>
    <row r="3613" spans="1:6" x14ac:dyDescent="0.2">
      <c r="A3613" t="s">
        <v>6944</v>
      </c>
      <c r="B3613" t="s">
        <v>6945</v>
      </c>
      <c r="C3613" t="s">
        <v>6946</v>
      </c>
      <c r="D3613" t="s">
        <v>6947</v>
      </c>
      <c r="F3613" s="2" t="str">
        <f>HYPERLINK("http://www.otzar.org/book.asp?620569","אמתחת בנימן - 2 כר'")</f>
        <v>אמתחת בנימן - 2 כר'</v>
      </c>
    </row>
    <row r="3614" spans="1:6" x14ac:dyDescent="0.2">
      <c r="A3614" t="s">
        <v>6948</v>
      </c>
      <c r="B3614" t="s">
        <v>6949</v>
      </c>
      <c r="C3614" t="s">
        <v>445</v>
      </c>
      <c r="D3614" t="s">
        <v>3627</v>
      </c>
      <c r="E3614" t="s">
        <v>144</v>
      </c>
      <c r="F3614" s="2" t="str">
        <f>HYPERLINK("http://www.otzar.org/book.asp?28316","אמתחת הקטן")</f>
        <v>אמתחת הקטן</v>
      </c>
    </row>
    <row r="3615" spans="1:6" x14ac:dyDescent="0.2">
      <c r="A3615" t="s">
        <v>6948</v>
      </c>
      <c r="B3615" t="s">
        <v>6950</v>
      </c>
      <c r="C3615" t="s">
        <v>75</v>
      </c>
      <c r="D3615" t="s">
        <v>6951</v>
      </c>
      <c r="E3615" t="s">
        <v>10</v>
      </c>
      <c r="F3615" s="2" t="str">
        <f>HYPERLINK("http://www.otzar.org/book.asp?300333","אמתחת הקטן")</f>
        <v>אמתחת הקטן</v>
      </c>
    </row>
    <row r="3616" spans="1:6" x14ac:dyDescent="0.2">
      <c r="A3616" t="s">
        <v>6952</v>
      </c>
      <c r="B3616" t="s">
        <v>74</v>
      </c>
      <c r="F3616" s="2" t="str">
        <f>HYPERLINK("http://www.otzar.org/book.asp?164832","אנ""ך יפה")</f>
        <v>אנ"ך יפה</v>
      </c>
    </row>
    <row r="3617" spans="1:6" x14ac:dyDescent="0.2">
      <c r="A3617" t="s">
        <v>6953</v>
      </c>
      <c r="B3617" t="s">
        <v>6954</v>
      </c>
      <c r="C3617" t="s">
        <v>87</v>
      </c>
      <c r="D3617" t="s">
        <v>52</v>
      </c>
      <c r="E3617" t="s">
        <v>119</v>
      </c>
      <c r="F3617" s="2" t="str">
        <f>HYPERLINK("http://www.otzar.org/book.asp?195201","אנא עבדא")</f>
        <v>אנא עבדא</v>
      </c>
    </row>
    <row r="3618" spans="1:6" x14ac:dyDescent="0.2">
      <c r="A3618" t="s">
        <v>6955</v>
      </c>
      <c r="B3618" t="s">
        <v>6956</v>
      </c>
      <c r="C3618" t="s">
        <v>146</v>
      </c>
      <c r="D3618" t="s">
        <v>21</v>
      </c>
      <c r="E3618" t="s">
        <v>241</v>
      </c>
      <c r="F3618" s="2" t="str">
        <f>HYPERLINK("http://www.otzar.org/book.asp?197359","אנו עמלים ומקבלים שכר")</f>
        <v>אנו עמלים ומקבלים שכר</v>
      </c>
    </row>
    <row r="3619" spans="1:6" x14ac:dyDescent="0.2">
      <c r="A3619" t="s">
        <v>6957</v>
      </c>
      <c r="B3619" t="s">
        <v>6958</v>
      </c>
      <c r="C3619" t="s">
        <v>427</v>
      </c>
      <c r="D3619" t="s">
        <v>216</v>
      </c>
      <c r="E3619" t="s">
        <v>119</v>
      </c>
      <c r="F3619" s="2" t="str">
        <f>HYPERLINK("http://www.otzar.org/book.asp?159870","אנטישמיות בהונגריה")</f>
        <v>אנטישמיות בהונגריה</v>
      </c>
    </row>
    <row r="3620" spans="1:6" x14ac:dyDescent="0.2">
      <c r="A3620" t="s">
        <v>6959</v>
      </c>
      <c r="B3620" t="s">
        <v>6960</v>
      </c>
      <c r="C3620" t="s">
        <v>20</v>
      </c>
      <c r="D3620" t="s">
        <v>14</v>
      </c>
      <c r="E3620" t="s">
        <v>202</v>
      </c>
      <c r="F3620" s="2" t="str">
        <f>HYPERLINK("http://www.otzar.org/book.asp?183067","אני ארגתיה")</f>
        <v>אני ארגתיה</v>
      </c>
    </row>
    <row r="3621" spans="1:6" x14ac:dyDescent="0.2">
      <c r="A3621" t="s">
        <v>6961</v>
      </c>
      <c r="B3621" t="s">
        <v>6962</v>
      </c>
      <c r="C3621" t="s">
        <v>23</v>
      </c>
      <c r="D3621" t="s">
        <v>52</v>
      </c>
      <c r="E3621" t="s">
        <v>104</v>
      </c>
      <c r="F3621" s="2" t="str">
        <f>HYPERLINK("http://www.otzar.org/book.asp?193078","אני ה' שוכן בתוכה")</f>
        <v>אני ה' שוכן בתוכה</v>
      </c>
    </row>
    <row r="3622" spans="1:6" x14ac:dyDescent="0.2">
      <c r="A3622" t="s">
        <v>6963</v>
      </c>
      <c r="B3622" t="s">
        <v>6964</v>
      </c>
      <c r="C3622" t="s">
        <v>23</v>
      </c>
      <c r="D3622" t="s">
        <v>90</v>
      </c>
      <c r="E3622" t="s">
        <v>213</v>
      </c>
      <c r="F3622" s="2" t="str">
        <f>HYPERLINK("http://www.otzar.org/book.asp?189737","אני הרוח והנפש שבי")</f>
        <v>אני הרוח והנפש שבי</v>
      </c>
    </row>
    <row r="3623" spans="1:6" x14ac:dyDescent="0.2">
      <c r="A3623" t="s">
        <v>6965</v>
      </c>
      <c r="B3623" t="s">
        <v>6966</v>
      </c>
      <c r="C3623" t="s">
        <v>146</v>
      </c>
      <c r="D3623" t="s">
        <v>14</v>
      </c>
      <c r="E3623" t="s">
        <v>15</v>
      </c>
      <c r="F3623" s="2" t="str">
        <f>HYPERLINK("http://www.otzar.org/book.asp?26138","אני חומה")</f>
        <v>אני חומה</v>
      </c>
    </row>
    <row r="3624" spans="1:6" x14ac:dyDescent="0.2">
      <c r="A3624" t="s">
        <v>6965</v>
      </c>
      <c r="B3624" t="s">
        <v>6967</v>
      </c>
      <c r="C3624" t="s">
        <v>360</v>
      </c>
      <c r="D3624" t="s">
        <v>691</v>
      </c>
      <c r="E3624" t="s">
        <v>104</v>
      </c>
      <c r="F3624" s="2" t="str">
        <f>HYPERLINK("http://www.otzar.org/book.asp?12942","אני חומה")</f>
        <v>אני חומה</v>
      </c>
    </row>
    <row r="3625" spans="1:6" x14ac:dyDescent="0.2">
      <c r="A3625" t="s">
        <v>6965</v>
      </c>
      <c r="B3625" t="s">
        <v>6968</v>
      </c>
      <c r="C3625" t="s">
        <v>1169</v>
      </c>
      <c r="D3625" t="s">
        <v>1889</v>
      </c>
      <c r="E3625" t="s">
        <v>474</v>
      </c>
      <c r="F3625" s="2" t="str">
        <f>HYPERLINK("http://www.otzar.org/book.asp?144582","אני חומה")</f>
        <v>אני חומה</v>
      </c>
    </row>
    <row r="3626" spans="1:6" x14ac:dyDescent="0.2">
      <c r="A3626" t="s">
        <v>6969</v>
      </c>
      <c r="B3626" t="s">
        <v>6970</v>
      </c>
      <c r="C3626" t="s">
        <v>553</v>
      </c>
      <c r="D3626" t="s">
        <v>52</v>
      </c>
      <c r="E3626" t="s">
        <v>219</v>
      </c>
      <c r="F3626" s="2" t="str">
        <f>HYPERLINK("http://www.otzar.org/book.asp?188438","אני לאחי")</f>
        <v>אני לאחי</v>
      </c>
    </row>
    <row r="3627" spans="1:6" x14ac:dyDescent="0.2">
      <c r="A3627" t="s">
        <v>6971</v>
      </c>
      <c r="B3627" t="s">
        <v>1728</v>
      </c>
      <c r="C3627" t="s">
        <v>51</v>
      </c>
      <c r="D3627" t="s">
        <v>273</v>
      </c>
      <c r="E3627" t="s">
        <v>3055</v>
      </c>
      <c r="F3627" s="2" t="str">
        <f>HYPERLINK("http://www.otzar.org/book.asp?628520","אני לדודי ודודי לי")</f>
        <v>אני לדודי ודודי לי</v>
      </c>
    </row>
    <row r="3628" spans="1:6" x14ac:dyDescent="0.2">
      <c r="A3628" t="s">
        <v>6971</v>
      </c>
      <c r="B3628" t="s">
        <v>5755</v>
      </c>
      <c r="C3628" t="s">
        <v>37</v>
      </c>
      <c r="D3628" t="s">
        <v>14</v>
      </c>
      <c r="F3628" s="2" t="str">
        <f>HYPERLINK("http://www.otzar.org/book.asp?630765","אני לדודי ודודי לי")</f>
        <v>אני לדודי ודודי לי</v>
      </c>
    </row>
    <row r="3629" spans="1:6" x14ac:dyDescent="0.2">
      <c r="A3629" t="s">
        <v>6972</v>
      </c>
      <c r="B3629" t="s">
        <v>6973</v>
      </c>
      <c r="C3629" t="s">
        <v>442</v>
      </c>
      <c r="D3629" t="s">
        <v>6974</v>
      </c>
      <c r="E3629" t="s">
        <v>6975</v>
      </c>
      <c r="F3629" s="2" t="str">
        <f>HYPERLINK("http://www.otzar.org/book.asp?156098","אני לדודי - 2 כר'")</f>
        <v>אני לדודי - 2 כר'</v>
      </c>
    </row>
    <row r="3630" spans="1:6" x14ac:dyDescent="0.2">
      <c r="A3630" t="s">
        <v>6976</v>
      </c>
      <c r="B3630" t="s">
        <v>3286</v>
      </c>
      <c r="C3630" t="s">
        <v>411</v>
      </c>
      <c r="D3630" t="s">
        <v>52</v>
      </c>
      <c r="E3630" t="s">
        <v>4674</v>
      </c>
      <c r="F3630" s="2" t="str">
        <f>HYPERLINK("http://www.otzar.org/book.asp?169840","אני לדודי")</f>
        <v>אני לדודי</v>
      </c>
    </row>
    <row r="3631" spans="1:6" x14ac:dyDescent="0.2">
      <c r="A3631" t="s">
        <v>6976</v>
      </c>
      <c r="B3631" t="s">
        <v>6977</v>
      </c>
      <c r="C3631" t="s">
        <v>1609</v>
      </c>
      <c r="D3631" t="s">
        <v>27</v>
      </c>
      <c r="E3631" t="s">
        <v>158</v>
      </c>
      <c r="F3631" s="2" t="str">
        <f>HYPERLINK("http://www.otzar.org/book.asp?106750","אני לדודי")</f>
        <v>אני לדודי</v>
      </c>
    </row>
    <row r="3632" spans="1:6" x14ac:dyDescent="0.2">
      <c r="A3632" t="s">
        <v>6976</v>
      </c>
      <c r="B3632" t="s">
        <v>6978</v>
      </c>
      <c r="C3632" t="s">
        <v>1156</v>
      </c>
      <c r="D3632" t="s">
        <v>13</v>
      </c>
      <c r="F3632" s="2" t="str">
        <f>HYPERLINK("http://www.otzar.org/book.asp?611040","אני לדודי")</f>
        <v>אני לדודי</v>
      </c>
    </row>
    <row r="3633" spans="1:6" x14ac:dyDescent="0.2">
      <c r="A3633" t="s">
        <v>6976</v>
      </c>
      <c r="B3633" t="s">
        <v>6979</v>
      </c>
      <c r="C3633" t="s">
        <v>775</v>
      </c>
      <c r="D3633" t="s">
        <v>52</v>
      </c>
      <c r="E3633" t="s">
        <v>144</v>
      </c>
      <c r="F3633" s="2" t="str">
        <f>HYPERLINK("http://www.otzar.org/book.asp?25954","אני לדודי")</f>
        <v>אני לדודי</v>
      </c>
    </row>
    <row r="3634" spans="1:6" x14ac:dyDescent="0.2">
      <c r="A3634" t="s">
        <v>6976</v>
      </c>
      <c r="B3634" t="s">
        <v>6980</v>
      </c>
      <c r="C3634" t="s">
        <v>133</v>
      </c>
      <c r="D3634" t="s">
        <v>21</v>
      </c>
      <c r="E3634" t="s">
        <v>15</v>
      </c>
      <c r="F3634" s="2" t="str">
        <f>HYPERLINK("http://www.otzar.org/book.asp?197339","אני לדודי")</f>
        <v>אני לדודי</v>
      </c>
    </row>
    <row r="3635" spans="1:6" x14ac:dyDescent="0.2">
      <c r="A3635" t="s">
        <v>6972</v>
      </c>
      <c r="B3635" t="s">
        <v>1750</v>
      </c>
      <c r="C3635" t="s">
        <v>422</v>
      </c>
      <c r="D3635" t="s">
        <v>412</v>
      </c>
      <c r="E3635" t="s">
        <v>6981</v>
      </c>
      <c r="F3635" s="2" t="str">
        <f>HYPERLINK("http://www.otzar.org/book.asp?150925","אני לדודי - 2 כר'")</f>
        <v>אני לדודי - 2 כר'</v>
      </c>
    </row>
    <row r="3636" spans="1:6" x14ac:dyDescent="0.2">
      <c r="A3636" t="s">
        <v>6976</v>
      </c>
      <c r="B3636" t="s">
        <v>6982</v>
      </c>
      <c r="C3636" t="s">
        <v>1124</v>
      </c>
      <c r="D3636" t="s">
        <v>280</v>
      </c>
      <c r="E3636" t="s">
        <v>158</v>
      </c>
      <c r="F3636" s="2" t="str">
        <f>HYPERLINK("http://www.otzar.org/book.asp?103819","אני לדודי")</f>
        <v>אני לדודי</v>
      </c>
    </row>
    <row r="3637" spans="1:6" x14ac:dyDescent="0.2">
      <c r="A3637" t="s">
        <v>6983</v>
      </c>
      <c r="B3637" t="s">
        <v>6984</v>
      </c>
      <c r="C3637" t="s">
        <v>20</v>
      </c>
      <c r="D3637" t="s">
        <v>14</v>
      </c>
      <c r="E3637" t="s">
        <v>241</v>
      </c>
      <c r="F3637" s="2" t="str">
        <f>HYPERLINK("http://www.otzar.org/book.asp?23102","אני מאמין - 4 כר'")</f>
        <v>אני מאמין - 4 כר'</v>
      </c>
    </row>
    <row r="3638" spans="1:6" x14ac:dyDescent="0.2">
      <c r="A3638" t="s">
        <v>6985</v>
      </c>
      <c r="B3638" t="s">
        <v>6986</v>
      </c>
      <c r="C3638" t="s">
        <v>244</v>
      </c>
      <c r="D3638" t="s">
        <v>646</v>
      </c>
      <c r="F3638" s="2" t="str">
        <f>HYPERLINK("http://www.otzar.org/book.asp?611145","אני מאמין")</f>
        <v>אני מאמין</v>
      </c>
    </row>
    <row r="3639" spans="1:6" x14ac:dyDescent="0.2">
      <c r="A3639" t="s">
        <v>6985</v>
      </c>
      <c r="B3639" t="s">
        <v>5137</v>
      </c>
      <c r="C3639" t="s">
        <v>919</v>
      </c>
      <c r="D3639" t="s">
        <v>14</v>
      </c>
      <c r="E3639" t="s">
        <v>241</v>
      </c>
      <c r="F3639" s="2" t="str">
        <f>HYPERLINK("http://www.otzar.org/book.asp?160473","אני מאמין")</f>
        <v>אני מאמין</v>
      </c>
    </row>
    <row r="3640" spans="1:6" x14ac:dyDescent="0.2">
      <c r="A3640" t="s">
        <v>6985</v>
      </c>
      <c r="B3640" t="s">
        <v>6987</v>
      </c>
      <c r="C3640" t="s">
        <v>20</v>
      </c>
      <c r="E3640" t="s">
        <v>241</v>
      </c>
      <c r="F3640" s="2" t="str">
        <f>HYPERLINK("http://www.otzar.org/book.asp?606840","אני מאמין")</f>
        <v>אני מאמין</v>
      </c>
    </row>
    <row r="3641" spans="1:6" x14ac:dyDescent="0.2">
      <c r="A3641" t="s">
        <v>6985</v>
      </c>
      <c r="B3641" t="s">
        <v>1557</v>
      </c>
      <c r="C3641" t="s">
        <v>366</v>
      </c>
      <c r="D3641" t="s">
        <v>152</v>
      </c>
      <c r="F3641" s="2" t="str">
        <f>HYPERLINK("http://www.otzar.org/book.asp?610307","אני מאמין")</f>
        <v>אני מאמין</v>
      </c>
    </row>
    <row r="3642" spans="1:6" x14ac:dyDescent="0.2">
      <c r="A3642" t="s">
        <v>6985</v>
      </c>
      <c r="B3642" t="s">
        <v>6988</v>
      </c>
      <c r="C3642" t="s">
        <v>6989</v>
      </c>
      <c r="D3642" t="s">
        <v>260</v>
      </c>
      <c r="E3642" t="s">
        <v>119</v>
      </c>
      <c r="F3642" s="2" t="str">
        <f>HYPERLINK("http://www.otzar.org/book.asp?189413","אני מאמין")</f>
        <v>אני מאמין</v>
      </c>
    </row>
    <row r="3643" spans="1:6" x14ac:dyDescent="0.2">
      <c r="A3643" t="s">
        <v>6990</v>
      </c>
      <c r="B3643" t="s">
        <v>6991</v>
      </c>
      <c r="C3643" t="s">
        <v>37</v>
      </c>
      <c r="D3643" t="s">
        <v>14</v>
      </c>
      <c r="E3643" t="s">
        <v>714</v>
      </c>
      <c r="F3643" s="2" t="str">
        <f>HYPERLINK("http://www.otzar.org/book.asp?630189","אני תפילה (יידיש)")</f>
        <v>אני תפילה (יידיש)</v>
      </c>
    </row>
    <row r="3644" spans="1:6" x14ac:dyDescent="0.2">
      <c r="A3644" t="s">
        <v>6992</v>
      </c>
      <c r="B3644" t="s">
        <v>6991</v>
      </c>
      <c r="C3644" t="s">
        <v>23</v>
      </c>
      <c r="D3644" t="s">
        <v>412</v>
      </c>
      <c r="E3644" t="s">
        <v>714</v>
      </c>
      <c r="F3644" s="2" t="str">
        <f>HYPERLINK("http://www.otzar.org/book.asp?625600","אני תפילה")</f>
        <v>אני תפילה</v>
      </c>
    </row>
    <row r="3645" spans="1:6" x14ac:dyDescent="0.2">
      <c r="A3645" t="s">
        <v>6993</v>
      </c>
      <c r="B3645" t="s">
        <v>6994</v>
      </c>
      <c r="C3645" t="s">
        <v>6995</v>
      </c>
      <c r="D3645" t="s">
        <v>2303</v>
      </c>
      <c r="E3645" t="s">
        <v>241</v>
      </c>
      <c r="F3645" s="2" t="str">
        <f>HYPERLINK("http://www.otzar.org/book.asp?28486","אניה בלב ים - 2 כר'")</f>
        <v>אניה בלב ים - 2 כר'</v>
      </c>
    </row>
    <row r="3646" spans="1:6" x14ac:dyDescent="0.2">
      <c r="A3646" t="s">
        <v>6996</v>
      </c>
      <c r="B3646" t="s">
        <v>6022</v>
      </c>
      <c r="C3646" t="s">
        <v>6997</v>
      </c>
      <c r="D3646" t="s">
        <v>6785</v>
      </c>
      <c r="E3646" t="s">
        <v>15</v>
      </c>
      <c r="F3646" s="2" t="str">
        <f>HYPERLINK("http://www.otzar.org/book.asp?8660","אניה דיונה וספר מאיל המילואים &lt;אמרות טהורות&gt;")</f>
        <v>אניה דיונה וספר מאיל המילואים &lt;אמרות טהורות&gt;</v>
      </c>
    </row>
    <row r="3647" spans="1:6" x14ac:dyDescent="0.2">
      <c r="A3647" t="s">
        <v>6998</v>
      </c>
      <c r="B3647" t="s">
        <v>6999</v>
      </c>
      <c r="C3647" t="s">
        <v>114</v>
      </c>
      <c r="D3647" t="s">
        <v>14</v>
      </c>
      <c r="E3647" t="s">
        <v>144</v>
      </c>
      <c r="F3647" s="2" t="str">
        <f>HYPERLINK("http://www.otzar.org/book.asp?197165","אניות סוחר - זבחים")</f>
        <v>אניות סוחר - זבחים</v>
      </c>
    </row>
    <row r="3648" spans="1:6" x14ac:dyDescent="0.2">
      <c r="A3648" t="s">
        <v>7000</v>
      </c>
      <c r="B3648" t="s">
        <v>7001</v>
      </c>
      <c r="D3648" t="s">
        <v>7002</v>
      </c>
      <c r="E3648" t="s">
        <v>219</v>
      </c>
      <c r="F3648" s="2" t="str">
        <f>HYPERLINK("http://www.otzar.org/book.asp?624706","אנייע ש""ס תחנה")</f>
        <v>אנייע ש"ס תחנה</v>
      </c>
    </row>
    <row r="3649" spans="1:6" x14ac:dyDescent="0.2">
      <c r="A3649" t="s">
        <v>7003</v>
      </c>
      <c r="B3649" t="s">
        <v>7004</v>
      </c>
      <c r="C3649" t="s">
        <v>547</v>
      </c>
      <c r="D3649" t="s">
        <v>954</v>
      </c>
      <c r="E3649" t="s">
        <v>144</v>
      </c>
      <c r="F3649" s="2" t="str">
        <f>HYPERLINK("http://www.otzar.org/book.asp?193935","אנית סוחר - בבא קמא")</f>
        <v>אנית סוחר - בבא קמא</v>
      </c>
    </row>
    <row r="3650" spans="1:6" x14ac:dyDescent="0.2">
      <c r="A3650" t="s">
        <v>7005</v>
      </c>
      <c r="B3650" t="s">
        <v>74</v>
      </c>
      <c r="C3650" t="s">
        <v>617</v>
      </c>
      <c r="D3650" t="s">
        <v>157</v>
      </c>
      <c r="E3650" t="s">
        <v>158</v>
      </c>
      <c r="F3650" s="2" t="str">
        <f>HYPERLINK("http://www.otzar.org/book.asp?22006","אנך יפה")</f>
        <v>אנך יפה</v>
      </c>
    </row>
    <row r="3651" spans="1:6" x14ac:dyDescent="0.2">
      <c r="A3651" t="s">
        <v>7006</v>
      </c>
      <c r="B3651" t="s">
        <v>7007</v>
      </c>
      <c r="C3651" t="s">
        <v>422</v>
      </c>
      <c r="D3651" t="s">
        <v>52</v>
      </c>
      <c r="E3651" t="s">
        <v>119</v>
      </c>
      <c r="F3651" s="2" t="str">
        <f>HYPERLINK("http://www.otzar.org/book.asp?158525","אנכי אנכי הוא מנחמכם - זכרונות ניצול שואה")</f>
        <v>אנכי אנכי הוא מנחמכם - זכרונות ניצול שואה</v>
      </c>
    </row>
    <row r="3652" spans="1:6" x14ac:dyDescent="0.2">
      <c r="A3652" t="s">
        <v>7008</v>
      </c>
      <c r="B3652" t="s">
        <v>1728</v>
      </c>
      <c r="C3652" t="s">
        <v>466</v>
      </c>
      <c r="D3652" t="s">
        <v>852</v>
      </c>
      <c r="E3652" t="s">
        <v>741</v>
      </c>
      <c r="F3652" s="2" t="str">
        <f>HYPERLINK("http://www.otzar.org/book.asp?628521","אנכי והילדים")</f>
        <v>אנכי והילדים</v>
      </c>
    </row>
    <row r="3653" spans="1:6" x14ac:dyDescent="0.2">
      <c r="A3653" t="s">
        <v>7009</v>
      </c>
      <c r="B3653" t="s">
        <v>686</v>
      </c>
      <c r="C3653" t="s">
        <v>114</v>
      </c>
      <c r="D3653" t="s">
        <v>52</v>
      </c>
      <c r="E3653" t="s">
        <v>104</v>
      </c>
      <c r="F3653" s="2" t="str">
        <f>HYPERLINK("http://www.otzar.org/book.asp?165395","אנעים זמירות")</f>
        <v>אנעים זמירות</v>
      </c>
    </row>
    <row r="3654" spans="1:6" x14ac:dyDescent="0.2">
      <c r="A3654" t="s">
        <v>7010</v>
      </c>
      <c r="B3654" t="s">
        <v>4049</v>
      </c>
      <c r="C3654" t="s">
        <v>129</v>
      </c>
      <c r="D3654" t="s">
        <v>14</v>
      </c>
      <c r="E3654" t="s">
        <v>703</v>
      </c>
      <c r="F3654" s="2" t="str">
        <f>HYPERLINK("http://www.otzar.org/book.asp?158652","אנפהא נהירין")</f>
        <v>אנפהא נהירין</v>
      </c>
    </row>
    <row r="3655" spans="1:6" x14ac:dyDescent="0.2">
      <c r="A3655" t="s">
        <v>7011</v>
      </c>
      <c r="B3655" t="s">
        <v>7012</v>
      </c>
      <c r="C3655" t="s">
        <v>523</v>
      </c>
      <c r="D3655" t="s">
        <v>21</v>
      </c>
      <c r="F3655" s="2" t="str">
        <f>HYPERLINK("http://www.otzar.org/book.asp?612465","אנציקילופדיה כ""ו שערים בקדושה וטהרת ישראל")</f>
        <v>אנציקילופדיה כ"ו שערים בקדושה וטהרת ישראל</v>
      </c>
    </row>
    <row r="3656" spans="1:6" x14ac:dyDescent="0.2">
      <c r="A3656" t="s">
        <v>7013</v>
      </c>
      <c r="B3656" t="s">
        <v>7014</v>
      </c>
      <c r="C3656" t="s">
        <v>1535</v>
      </c>
      <c r="D3656" t="s">
        <v>283</v>
      </c>
      <c r="E3656" t="s">
        <v>674</v>
      </c>
      <c r="F3656" s="2" t="str">
        <f>HYPERLINK("http://www.otzar.org/book.asp?170655","אנציקלופדיא כל המצוה")</f>
        <v>אנציקלופדיא כל המצוה</v>
      </c>
    </row>
    <row r="3657" spans="1:6" x14ac:dyDescent="0.2">
      <c r="A3657" t="s">
        <v>7015</v>
      </c>
      <c r="B3657" t="s">
        <v>1851</v>
      </c>
      <c r="C3657" t="s">
        <v>1619</v>
      </c>
      <c r="D3657" t="s">
        <v>14</v>
      </c>
      <c r="E3657" t="s">
        <v>104</v>
      </c>
      <c r="F3657" s="2" t="str">
        <f>HYPERLINK("http://www.otzar.org/book.asp?104560","אנציקלופדיה הלכתית חסדי דוד")</f>
        <v>אנציקלופדיה הלכתית חסדי דוד</v>
      </c>
    </row>
    <row r="3658" spans="1:6" x14ac:dyDescent="0.2">
      <c r="A3658" t="s">
        <v>7016</v>
      </c>
      <c r="B3658" t="s">
        <v>7017</v>
      </c>
      <c r="C3658" t="s">
        <v>146</v>
      </c>
      <c r="D3658" t="s">
        <v>14</v>
      </c>
      <c r="E3658" t="s">
        <v>104</v>
      </c>
      <c r="F3658" s="2" t="str">
        <f>HYPERLINK("http://www.otzar.org/book.asp?143571","אנציקלופדיה הלכתית רפואית - 7 כר'")</f>
        <v>אנציקלופדיה הלכתית רפואית - 7 כר'</v>
      </c>
    </row>
    <row r="3659" spans="1:6" x14ac:dyDescent="0.2">
      <c r="A3659" t="s">
        <v>7018</v>
      </c>
      <c r="B3659" t="s">
        <v>7019</v>
      </c>
      <c r="C3659" t="s">
        <v>37</v>
      </c>
      <c r="D3659" t="s">
        <v>21</v>
      </c>
      <c r="E3659" t="s">
        <v>1211</v>
      </c>
      <c r="F3659" s="2" t="str">
        <f>HYPERLINK("http://www.otzar.org/book.asp?608272","אנציקלופדיה לאגדות הש""ס - 4 כר'")</f>
        <v>אנציקלופדיה לאגדות הש"ס - 4 כר'</v>
      </c>
    </row>
    <row r="3660" spans="1:6" x14ac:dyDescent="0.2">
      <c r="A3660" t="s">
        <v>7020</v>
      </c>
      <c r="B3660" t="s">
        <v>1137</v>
      </c>
      <c r="C3660" t="s">
        <v>1062</v>
      </c>
      <c r="D3660" t="s">
        <v>9</v>
      </c>
      <c r="E3660" t="s">
        <v>3387</v>
      </c>
      <c r="F3660" s="2" t="str">
        <f>HYPERLINK("http://www.otzar.org/book.asp?103313","אנציקלופדיה לאגדות התלמוד - א")</f>
        <v>אנציקלופדיה לאגדות התלמוד - א</v>
      </c>
    </row>
    <row r="3661" spans="1:6" x14ac:dyDescent="0.2">
      <c r="A3661" t="s">
        <v>7021</v>
      </c>
      <c r="B3661" t="s">
        <v>5078</v>
      </c>
      <c r="C3661" t="s">
        <v>68</v>
      </c>
      <c r="D3661" t="s">
        <v>52</v>
      </c>
      <c r="E3661" t="s">
        <v>104</v>
      </c>
      <c r="F3661" s="2" t="str">
        <f>HYPERLINK("http://www.otzar.org/book.asp?170354","אנציקלופדיה לבית ישראל - 20 כר'")</f>
        <v>אנציקלופדיה לבית ישראל - 20 כר'</v>
      </c>
    </row>
    <row r="3662" spans="1:6" x14ac:dyDescent="0.2">
      <c r="A3662" t="s">
        <v>7022</v>
      </c>
      <c r="B3662" t="s">
        <v>7023</v>
      </c>
      <c r="C3662" t="s">
        <v>1811</v>
      </c>
      <c r="D3662" t="s">
        <v>260</v>
      </c>
      <c r="E3662" t="s">
        <v>15</v>
      </c>
      <c r="F3662" s="2" t="str">
        <f>HYPERLINK("http://www.otzar.org/book.asp?605143","אנציקלופדיה לבר מצוה")</f>
        <v>אנציקלופדיה לבר מצוה</v>
      </c>
    </row>
    <row r="3663" spans="1:6" x14ac:dyDescent="0.2">
      <c r="A3663" t="s">
        <v>7024</v>
      </c>
      <c r="B3663" t="s">
        <v>7025</v>
      </c>
      <c r="C3663" t="s">
        <v>1619</v>
      </c>
      <c r="D3663" t="s">
        <v>216</v>
      </c>
      <c r="E3663" t="s">
        <v>104</v>
      </c>
      <c r="F3663" s="2" t="str">
        <f>HYPERLINK("http://www.otzar.org/book.asp?188917","אנציקלופדיה לגיאוגרפיה תלמודית - ב")</f>
        <v>אנציקלופדיה לגיאוגרפיה תלמודית - ב</v>
      </c>
    </row>
    <row r="3664" spans="1:6" x14ac:dyDescent="0.2">
      <c r="A3664" t="s">
        <v>7026</v>
      </c>
      <c r="B3664" t="s">
        <v>1691</v>
      </c>
      <c r="C3664" t="s">
        <v>151</v>
      </c>
      <c r="D3664" t="s">
        <v>14</v>
      </c>
      <c r="E3664" t="s">
        <v>104</v>
      </c>
      <c r="F3664" s="2" t="str">
        <f>HYPERLINK("http://www.otzar.org/book.asp?619068","אנציקלופדיה לחכמי איטליה")</f>
        <v>אנציקלופדיה לחכמי איטליה</v>
      </c>
    </row>
    <row r="3665" spans="1:6" x14ac:dyDescent="0.2">
      <c r="A3665" t="s">
        <v>7027</v>
      </c>
      <c r="B3665" t="s">
        <v>2398</v>
      </c>
      <c r="C3665" t="s">
        <v>7028</v>
      </c>
      <c r="D3665" t="s">
        <v>14</v>
      </c>
      <c r="E3665" t="s">
        <v>733</v>
      </c>
      <c r="F3665" s="2" t="str">
        <f>HYPERLINK("http://www.otzar.org/book.asp?105733","אנציקלופדיה לחכמי גליציה - 6 כר'")</f>
        <v>אנציקלופדיה לחכמי גליציה - 6 כר'</v>
      </c>
    </row>
    <row r="3666" spans="1:6" x14ac:dyDescent="0.2">
      <c r="A3666" t="s">
        <v>7029</v>
      </c>
      <c r="B3666" t="s">
        <v>1691</v>
      </c>
      <c r="C3666" t="s">
        <v>146</v>
      </c>
      <c r="D3666" t="s">
        <v>14</v>
      </c>
      <c r="E3666" t="s">
        <v>104</v>
      </c>
      <c r="F3666" s="2" t="str">
        <f>HYPERLINK("http://www.otzar.org/book.asp?619225","אנציקלופדיה לחכמי טורקיה")</f>
        <v>אנציקלופדיה לחכמי טורקיה</v>
      </c>
    </row>
    <row r="3667" spans="1:6" x14ac:dyDescent="0.2">
      <c r="A3667" t="s">
        <v>7030</v>
      </c>
      <c r="B3667" t="s">
        <v>7031</v>
      </c>
      <c r="C3667" t="s">
        <v>454</v>
      </c>
      <c r="D3667" t="s">
        <v>14</v>
      </c>
      <c r="E3667" t="s">
        <v>104</v>
      </c>
      <c r="F3667" s="2" t="str">
        <f>HYPERLINK("http://www.otzar.org/book.asp?161401","אנציקלופדיה לחכמי תימן - 2 כר'")</f>
        <v>אנציקלופדיה לחכמי תימן - 2 כר'</v>
      </c>
    </row>
    <row r="3668" spans="1:6" x14ac:dyDescent="0.2">
      <c r="A3668" t="s">
        <v>7032</v>
      </c>
      <c r="B3668" t="s">
        <v>7033</v>
      </c>
      <c r="C3668" t="s">
        <v>7034</v>
      </c>
      <c r="D3668" t="s">
        <v>260</v>
      </c>
      <c r="E3668" t="s">
        <v>733</v>
      </c>
      <c r="F3668" s="2" t="str">
        <f>HYPERLINK("http://www.otzar.org/book.asp?151590","אנציקלופדיה לחלוצי הישוב ובוניו - 2 כר'")</f>
        <v>אנציקלופדיה לחלוצי הישוב ובוניו - 2 כר'</v>
      </c>
    </row>
    <row r="3669" spans="1:6" x14ac:dyDescent="0.2">
      <c r="A3669" t="s">
        <v>7035</v>
      </c>
      <c r="B3669" t="s">
        <v>7036</v>
      </c>
      <c r="C3669" t="s">
        <v>523</v>
      </c>
      <c r="D3669" t="s">
        <v>14</v>
      </c>
      <c r="E3669" t="s">
        <v>104</v>
      </c>
      <c r="F3669" s="2" t="str">
        <f>HYPERLINK("http://www.otzar.org/book.asp?60988","אנציקלופדיה לכשרות המזון - 3 כר'")</f>
        <v>אנציקלופדיה לכשרות המזון - 3 כר'</v>
      </c>
    </row>
    <row r="3670" spans="1:6" x14ac:dyDescent="0.2">
      <c r="A3670" t="s">
        <v>7037</v>
      </c>
      <c r="B3670" t="s">
        <v>7038</v>
      </c>
      <c r="C3670" t="s">
        <v>7039</v>
      </c>
      <c r="D3670" t="s">
        <v>14</v>
      </c>
      <c r="E3670" t="s">
        <v>104</v>
      </c>
      <c r="F3670" s="2" t="str">
        <f>HYPERLINK("http://www.otzar.org/book.asp?260","אנציקלופדיה לעניני המשכן והמקדש - 7 כר'")</f>
        <v>אנציקלופדיה לעניני המשכן והמקדש - 7 כר'</v>
      </c>
    </row>
    <row r="3671" spans="1:6" x14ac:dyDescent="0.2">
      <c r="A3671" t="s">
        <v>7040</v>
      </c>
      <c r="B3671" t="s">
        <v>206</v>
      </c>
      <c r="C3671" t="s">
        <v>133</v>
      </c>
      <c r="D3671" t="s">
        <v>90</v>
      </c>
      <c r="E3671" t="s">
        <v>104</v>
      </c>
      <c r="F3671" s="2" t="str">
        <f>HYPERLINK("http://www.otzar.org/book.asp?608537","אנציקלופדיה לערכים תורניים - הון יוסף")</f>
        <v>אנציקלופדיה לערכים תורניים - הון יוסף</v>
      </c>
    </row>
    <row r="3672" spans="1:6" x14ac:dyDescent="0.2">
      <c r="A3672" t="s">
        <v>7041</v>
      </c>
      <c r="B3672" t="s">
        <v>7031</v>
      </c>
      <c r="C3672" t="s">
        <v>189</v>
      </c>
      <c r="D3672" t="s">
        <v>14</v>
      </c>
      <c r="E3672" t="s">
        <v>104</v>
      </c>
      <c r="F3672" s="2" t="str">
        <f>HYPERLINK("http://www.otzar.org/book.asp?161399","אנציקלופדיה לקהילות היהודיות בתימן - 2 כר'")</f>
        <v>אנציקלופדיה לקהילות היהודיות בתימן - 2 כר'</v>
      </c>
    </row>
    <row r="3673" spans="1:6" x14ac:dyDescent="0.2">
      <c r="A3673" t="s">
        <v>7042</v>
      </c>
      <c r="B3673" t="s">
        <v>7043</v>
      </c>
      <c r="C3673" t="s">
        <v>7044</v>
      </c>
      <c r="D3673" t="s">
        <v>260</v>
      </c>
      <c r="E3673" t="s">
        <v>104</v>
      </c>
      <c r="F3673" s="2" t="str">
        <f>HYPERLINK("http://www.otzar.org/book.asp?13302","אנציקלופדיה לתארי כבוד בישראל - 4 כר'")</f>
        <v>אנציקלופדיה לתארי כבוד בישראל - 4 כר'</v>
      </c>
    </row>
    <row r="3674" spans="1:6" x14ac:dyDescent="0.2">
      <c r="A3674" t="s">
        <v>7045</v>
      </c>
      <c r="B3674" t="s">
        <v>7046</v>
      </c>
      <c r="C3674" t="s">
        <v>106</v>
      </c>
      <c r="D3674" t="s">
        <v>14</v>
      </c>
      <c r="E3674" t="s">
        <v>733</v>
      </c>
      <c r="F3674" s="2" t="str">
        <f>HYPERLINK("http://www.otzar.org/book.asp?10946","אנציקלופדיה לתולדות חכמי ארץ - 3 כר'")</f>
        <v>אנציקלופדיה לתולדות חכמי ארץ - 3 כר'</v>
      </c>
    </row>
    <row r="3675" spans="1:6" x14ac:dyDescent="0.2">
      <c r="A3675" t="s">
        <v>7047</v>
      </c>
      <c r="B3675" t="s">
        <v>7048</v>
      </c>
      <c r="C3675" t="s">
        <v>767</v>
      </c>
      <c r="D3675" t="s">
        <v>216</v>
      </c>
      <c r="E3675" t="s">
        <v>104</v>
      </c>
      <c r="F3675" s="2" t="str">
        <f>HYPERLINK("http://www.otzar.org/book.asp?154922","אנציקלופדיה מורחבת לחכמי התלמוד")</f>
        <v>אנציקלופדיה מורחבת לחכמי התלמוד</v>
      </c>
    </row>
    <row r="3676" spans="1:6" x14ac:dyDescent="0.2">
      <c r="A3676" t="s">
        <v>7049</v>
      </c>
      <c r="B3676" t="s">
        <v>7050</v>
      </c>
      <c r="C3676" t="s">
        <v>383</v>
      </c>
      <c r="D3676" t="s">
        <v>52</v>
      </c>
      <c r="E3676" t="s">
        <v>104</v>
      </c>
      <c r="F3676" s="2" t="str">
        <f>HYPERLINK("http://www.otzar.org/book.asp?154019","אנציקלופדיה רינה וישועה - 5 כר'")</f>
        <v>אנציקלופדיה רינה וישועה - 5 כר'</v>
      </c>
    </row>
    <row r="3677" spans="1:6" x14ac:dyDescent="0.2">
      <c r="A3677" t="s">
        <v>7051</v>
      </c>
      <c r="B3677" t="s">
        <v>7052</v>
      </c>
      <c r="C3677" t="s">
        <v>454</v>
      </c>
      <c r="D3677" t="s">
        <v>21</v>
      </c>
      <c r="F3677" s="2" t="str">
        <f>HYPERLINK("http://www.otzar.org/book.asp?602800","אנציקלופדיה של יהודי כורדיסתאן - 3 כר'")</f>
        <v>אנציקלופדיה של יהודי כורדיסתאן - 3 כר'</v>
      </c>
    </row>
    <row r="3678" spans="1:6" x14ac:dyDescent="0.2">
      <c r="A3678" t="s">
        <v>7053</v>
      </c>
      <c r="B3678" t="s">
        <v>7054</v>
      </c>
      <c r="C3678" t="s">
        <v>71</v>
      </c>
      <c r="D3678" t="s">
        <v>52</v>
      </c>
      <c r="E3678" t="s">
        <v>199</v>
      </c>
      <c r="F3678" s="2" t="str">
        <f>HYPERLINK("http://www.otzar.org/book.asp?177203","אנציקלופדיה שמע ישראל - 2 כר'")</f>
        <v>אנציקלופדיה שמע ישראל - 2 כר'</v>
      </c>
    </row>
    <row r="3679" spans="1:6" x14ac:dyDescent="0.2">
      <c r="A3679" t="s">
        <v>7055</v>
      </c>
      <c r="B3679" t="s">
        <v>7056</v>
      </c>
      <c r="C3679" t="s">
        <v>151</v>
      </c>
      <c r="D3679" t="s">
        <v>3406</v>
      </c>
      <c r="E3679" t="s">
        <v>158</v>
      </c>
      <c r="F3679" s="2" t="str">
        <f>HYPERLINK("http://www.otzar.org/book.asp?620341","אנציקלופדית המצוות - 4 כר'")</f>
        <v>אנציקלופדית המצוות - 4 כר'</v>
      </c>
    </row>
    <row r="3680" spans="1:6" x14ac:dyDescent="0.2">
      <c r="A3680" t="s">
        <v>7057</v>
      </c>
      <c r="B3680" t="s">
        <v>7058</v>
      </c>
      <c r="C3680" t="s">
        <v>7059</v>
      </c>
      <c r="D3680">
        <v>1824</v>
      </c>
      <c r="E3680" t="s">
        <v>219</v>
      </c>
      <c r="F3680" s="2" t="str">
        <f>HYPERLINK("http://www.otzar.org/book.asp?189169","אנקת בני תמותה")</f>
        <v>אנקת בני תמותה</v>
      </c>
    </row>
    <row r="3681" spans="1:6" x14ac:dyDescent="0.2">
      <c r="A3681" t="s">
        <v>7060</v>
      </c>
      <c r="B3681" t="s">
        <v>7061</v>
      </c>
      <c r="C3681" t="s">
        <v>473</v>
      </c>
      <c r="D3681" t="s">
        <v>283</v>
      </c>
      <c r="E3681" t="s">
        <v>144</v>
      </c>
      <c r="F3681" s="2" t="str">
        <f>HYPERLINK("http://www.otzar.org/book.asp?300294","אנקת יעקב")</f>
        <v>אנקת יעקב</v>
      </c>
    </row>
    <row r="3682" spans="1:6" x14ac:dyDescent="0.2">
      <c r="A3682" t="s">
        <v>7062</v>
      </c>
      <c r="B3682" t="s">
        <v>7063</v>
      </c>
      <c r="C3682" t="s">
        <v>114</v>
      </c>
      <c r="D3682" t="s">
        <v>14</v>
      </c>
      <c r="E3682" t="s">
        <v>733</v>
      </c>
      <c r="F3682" s="2" t="str">
        <f>HYPERLINK("http://www.otzar.org/book.asp?165981","אנשי אמונה")</f>
        <v>אנשי אמונה</v>
      </c>
    </row>
    <row r="3683" spans="1:6" x14ac:dyDescent="0.2">
      <c r="A3683" t="s">
        <v>7064</v>
      </c>
      <c r="B3683" t="s">
        <v>7065</v>
      </c>
      <c r="C3683" t="s">
        <v>1374</v>
      </c>
      <c r="D3683" t="s">
        <v>1966</v>
      </c>
      <c r="E3683" t="s">
        <v>81</v>
      </c>
      <c r="F3683" s="2" t="str">
        <f>HYPERLINK("http://www.otzar.org/book.asp?103154","אנשי השם")</f>
        <v>אנשי השם</v>
      </c>
    </row>
    <row r="3684" spans="1:6" x14ac:dyDescent="0.2">
      <c r="A3684" t="s">
        <v>7066</v>
      </c>
      <c r="B3684" t="s">
        <v>4719</v>
      </c>
      <c r="C3684" t="s">
        <v>111</v>
      </c>
      <c r="D3684" t="s">
        <v>367</v>
      </c>
      <c r="E3684" t="s">
        <v>3785</v>
      </c>
      <c r="F3684" s="2" t="str">
        <f>HYPERLINK("http://www.otzar.org/book.asp?621099","אנשי חיל")</f>
        <v>אנשי חיל</v>
      </c>
    </row>
    <row r="3685" spans="1:6" x14ac:dyDescent="0.2">
      <c r="A3685" t="s">
        <v>7067</v>
      </c>
      <c r="B3685" t="s">
        <v>107</v>
      </c>
      <c r="C3685" t="s">
        <v>17</v>
      </c>
      <c r="D3685" t="s">
        <v>14</v>
      </c>
      <c r="E3685" t="s">
        <v>119</v>
      </c>
      <c r="F3685" s="2" t="str">
        <f>HYPERLINK("http://www.otzar.org/book.asp?6341","אנשי כנסת הגדולה")</f>
        <v>אנשי כנסת הגדולה</v>
      </c>
    </row>
    <row r="3686" spans="1:6" x14ac:dyDescent="0.2">
      <c r="A3686" t="s">
        <v>7068</v>
      </c>
      <c r="B3686" t="s">
        <v>7069</v>
      </c>
      <c r="C3686" t="s">
        <v>1619</v>
      </c>
      <c r="D3686" t="s">
        <v>14</v>
      </c>
      <c r="E3686" t="s">
        <v>104</v>
      </c>
      <c r="F3686" s="2" t="str">
        <f>HYPERLINK("http://www.otzar.org/book.asp?165340","אנשי מופת")</f>
        <v>אנשי מופת</v>
      </c>
    </row>
    <row r="3687" spans="1:6" x14ac:dyDescent="0.2">
      <c r="A3687" t="s">
        <v>7070</v>
      </c>
      <c r="B3687" t="s">
        <v>7071</v>
      </c>
      <c r="C3687" t="s">
        <v>989</v>
      </c>
      <c r="D3687" t="s">
        <v>14</v>
      </c>
      <c r="E3687" t="s">
        <v>104</v>
      </c>
      <c r="F3687" s="2" t="str">
        <f>HYPERLINK("http://www.otzar.org/book.asp?167549","אנשי מעלה")</f>
        <v>אנשי מעלה</v>
      </c>
    </row>
    <row r="3688" spans="1:6" x14ac:dyDescent="0.2">
      <c r="A3688" t="s">
        <v>7072</v>
      </c>
      <c r="B3688" t="s">
        <v>7073</v>
      </c>
      <c r="C3688" t="s">
        <v>133</v>
      </c>
      <c r="D3688" t="s">
        <v>646</v>
      </c>
      <c r="E3688" t="s">
        <v>144</v>
      </c>
      <c r="F3688" s="2" t="str">
        <f>HYPERLINK("http://www.otzar.org/book.asp?197725","אנשי עצתי")</f>
        <v>אנשי עצתי</v>
      </c>
    </row>
    <row r="3689" spans="1:6" x14ac:dyDescent="0.2">
      <c r="A3689" t="s">
        <v>7074</v>
      </c>
      <c r="B3689" t="s">
        <v>7075</v>
      </c>
      <c r="C3689" t="s">
        <v>1437</v>
      </c>
      <c r="D3689" t="s">
        <v>1117</v>
      </c>
      <c r="E3689" t="s">
        <v>119</v>
      </c>
      <c r="F3689" s="2" t="str">
        <f>HYPERLINK("http://www.otzar.org/book.asp?572","אנשי שם")</f>
        <v>אנשי שם</v>
      </c>
    </row>
    <row r="3690" spans="1:6" x14ac:dyDescent="0.2">
      <c r="A3690" t="s">
        <v>7074</v>
      </c>
      <c r="B3690" t="s">
        <v>7076</v>
      </c>
      <c r="C3690" t="s">
        <v>5903</v>
      </c>
      <c r="D3690" t="s">
        <v>283</v>
      </c>
      <c r="E3690" t="s">
        <v>119</v>
      </c>
      <c r="F3690" s="2" t="str">
        <f>HYPERLINK("http://www.otzar.org/book.asp?17233","אנשי שם")</f>
        <v>אנשי שם</v>
      </c>
    </row>
    <row r="3691" spans="1:6" x14ac:dyDescent="0.2">
      <c r="A3691" t="s">
        <v>7074</v>
      </c>
      <c r="B3691" t="s">
        <v>7077</v>
      </c>
      <c r="C3691" t="s">
        <v>71</v>
      </c>
      <c r="D3691" t="s">
        <v>21</v>
      </c>
      <c r="F3691" s="2" t="str">
        <f>HYPERLINK("http://www.otzar.org/book.asp?622588","אנשי שם")</f>
        <v>אנשי שם</v>
      </c>
    </row>
    <row r="3692" spans="1:6" x14ac:dyDescent="0.2">
      <c r="A3692" t="s">
        <v>7078</v>
      </c>
      <c r="B3692" t="s">
        <v>7079</v>
      </c>
      <c r="C3692" t="s">
        <v>767</v>
      </c>
      <c r="D3692" t="s">
        <v>20</v>
      </c>
      <c r="E3692" t="s">
        <v>104</v>
      </c>
      <c r="F3692" s="2" t="str">
        <f>HYPERLINK("http://www.otzar.org/book.asp?188830","אנשים מארצות החיים")</f>
        <v>אנשים מארצות החיים</v>
      </c>
    </row>
    <row r="3693" spans="1:6" x14ac:dyDescent="0.2">
      <c r="A3693" t="s">
        <v>7080</v>
      </c>
      <c r="B3693" t="s">
        <v>7081</v>
      </c>
      <c r="C3693" t="s">
        <v>940</v>
      </c>
      <c r="D3693" t="s">
        <v>7082</v>
      </c>
      <c r="F3693" s="2" t="str">
        <f>HYPERLINK("http://www.otzar.org/book.asp?620754","אנתולוגיה של פיוטי יוון אנאטוליה והבלקנים")</f>
        <v>אנתולוגיה של פיוטי יוון אנאטוליה והבלקנים</v>
      </c>
    </row>
    <row r="3694" spans="1:6" x14ac:dyDescent="0.2">
      <c r="A3694" t="s">
        <v>7083</v>
      </c>
      <c r="B3694" t="s">
        <v>7084</v>
      </c>
      <c r="C3694" t="s">
        <v>114</v>
      </c>
      <c r="D3694" t="s">
        <v>52</v>
      </c>
      <c r="E3694" t="s">
        <v>15</v>
      </c>
      <c r="F3694" s="2" t="str">
        <f>HYPERLINK("http://www.otzar.org/book.asp?167729","אסדר לסעודתא")</f>
        <v>אסדר לסעודתא</v>
      </c>
    </row>
    <row r="3695" spans="1:6" x14ac:dyDescent="0.2">
      <c r="A3695" t="s">
        <v>7085</v>
      </c>
      <c r="B3695" t="s">
        <v>552</v>
      </c>
      <c r="C3695" t="s">
        <v>20</v>
      </c>
      <c r="D3695" t="s">
        <v>6987</v>
      </c>
      <c r="E3695" t="s">
        <v>474</v>
      </c>
      <c r="F3695" s="2" t="str">
        <f>HYPERLINK("http://www.otzar.org/book.asp?146431","אסוך השמן")</f>
        <v>אסוך השמן</v>
      </c>
    </row>
    <row r="3696" spans="1:6" x14ac:dyDescent="0.2">
      <c r="A3696" t="s">
        <v>7086</v>
      </c>
      <c r="B3696" t="s">
        <v>7087</v>
      </c>
      <c r="C3696" t="s">
        <v>1388</v>
      </c>
      <c r="D3696" t="s">
        <v>412</v>
      </c>
      <c r="E3696" t="s">
        <v>144</v>
      </c>
      <c r="F3696" s="2" t="str">
        <f>HYPERLINK("http://www.otzar.org/book.asp?160371","אסוך שמן")</f>
        <v>אסוך שמן</v>
      </c>
    </row>
    <row r="3697" spans="1:6" x14ac:dyDescent="0.2">
      <c r="A3697" t="s">
        <v>7088</v>
      </c>
      <c r="B3697" t="s">
        <v>107</v>
      </c>
      <c r="C3697" t="s">
        <v>244</v>
      </c>
      <c r="D3697" t="s">
        <v>14</v>
      </c>
      <c r="E3697" t="s">
        <v>104</v>
      </c>
      <c r="F3697" s="2" t="str">
        <f>HYPERLINK("http://www.otzar.org/book.asp?625791","אסופה בעניני עם וארצו")</f>
        <v>אסופה בעניני עם וארצו</v>
      </c>
    </row>
    <row r="3698" spans="1:6" x14ac:dyDescent="0.2">
      <c r="A3698" t="s">
        <v>7089</v>
      </c>
      <c r="B3698" t="s">
        <v>7090</v>
      </c>
      <c r="C3698" t="s">
        <v>13</v>
      </c>
      <c r="D3698" t="s">
        <v>14</v>
      </c>
      <c r="E3698" t="s">
        <v>803</v>
      </c>
      <c r="F3698" s="2" t="str">
        <f>HYPERLINK("http://www.otzar.org/book.asp?144804","אסופות חג - ביצה")</f>
        <v>אסופות חג - ביצה</v>
      </c>
    </row>
    <row r="3699" spans="1:6" x14ac:dyDescent="0.2">
      <c r="A3699" t="s">
        <v>7091</v>
      </c>
      <c r="B3699" t="s">
        <v>7092</v>
      </c>
      <c r="C3699" t="s">
        <v>366</v>
      </c>
      <c r="D3699" t="s">
        <v>14</v>
      </c>
      <c r="E3699" t="s">
        <v>803</v>
      </c>
      <c r="F3699" s="2" t="str">
        <f>HYPERLINK("http://www.otzar.org/book.asp?606618","אסופות נתנו")</f>
        <v>אסופות נתנו</v>
      </c>
    </row>
    <row r="3700" spans="1:6" x14ac:dyDescent="0.2">
      <c r="A3700" t="s">
        <v>7093</v>
      </c>
      <c r="B3700" t="s">
        <v>7094</v>
      </c>
      <c r="C3700" t="s">
        <v>7095</v>
      </c>
      <c r="D3700" t="s">
        <v>14</v>
      </c>
      <c r="E3700" t="s">
        <v>202</v>
      </c>
      <c r="F3700" s="2" t="str">
        <f>HYPERLINK("http://www.otzar.org/book.asp?190921","אסופות - 9 כר'")</f>
        <v>אסופות - 9 כר'</v>
      </c>
    </row>
    <row r="3701" spans="1:6" x14ac:dyDescent="0.2">
      <c r="A3701" t="s">
        <v>7096</v>
      </c>
      <c r="B3701" t="s">
        <v>7097</v>
      </c>
      <c r="C3701" t="s">
        <v>146</v>
      </c>
      <c r="D3701" t="s">
        <v>152</v>
      </c>
      <c r="E3701" t="s">
        <v>241</v>
      </c>
      <c r="F3701" s="2" t="str">
        <f>HYPERLINK("http://www.otzar.org/book.asp?51564","אסופת ועדים - הר יראה")</f>
        <v>אסופת ועדים - הר יראה</v>
      </c>
    </row>
    <row r="3702" spans="1:6" x14ac:dyDescent="0.2">
      <c r="A3702" t="s">
        <v>7098</v>
      </c>
      <c r="B3702" t="s">
        <v>7099</v>
      </c>
      <c r="C3702" t="s">
        <v>13</v>
      </c>
      <c r="D3702" t="s">
        <v>52</v>
      </c>
      <c r="E3702" t="s">
        <v>84</v>
      </c>
      <c r="F3702" s="2" t="str">
        <f>HYPERLINK("http://www.otzar.org/book.asp?160162","אסופת זרעים - 2 כר'")</f>
        <v>אסופת זרעים - 2 כר'</v>
      </c>
    </row>
    <row r="3703" spans="1:6" x14ac:dyDescent="0.2">
      <c r="A3703" t="s">
        <v>7100</v>
      </c>
      <c r="B3703" t="s">
        <v>2861</v>
      </c>
      <c r="C3703" t="s">
        <v>23</v>
      </c>
      <c r="D3703" t="s">
        <v>52</v>
      </c>
      <c r="E3703" t="s">
        <v>144</v>
      </c>
      <c r="F3703" s="2" t="str">
        <f>HYPERLINK("http://www.otzar.org/book.asp?190757","אסופת חידושי ישועות משה - פסחים א")</f>
        <v>אסופת חידושי ישועות משה - פסחים א</v>
      </c>
    </row>
    <row r="3704" spans="1:6" x14ac:dyDescent="0.2">
      <c r="A3704" t="s">
        <v>7101</v>
      </c>
      <c r="B3704" t="s">
        <v>7102</v>
      </c>
      <c r="C3704" t="s">
        <v>244</v>
      </c>
      <c r="D3704" t="s">
        <v>152</v>
      </c>
      <c r="E3704" t="s">
        <v>202</v>
      </c>
      <c r="F3704" s="2" t="str">
        <f>HYPERLINK("http://www.otzar.org/book.asp?628049","אסופת חידושי תורה ומאמרים")</f>
        <v>אסופת חידושי תורה ומאמרים</v>
      </c>
    </row>
    <row r="3705" spans="1:6" x14ac:dyDescent="0.2">
      <c r="A3705" t="s">
        <v>7103</v>
      </c>
      <c r="B3705" t="s">
        <v>107</v>
      </c>
      <c r="C3705" t="s">
        <v>366</v>
      </c>
      <c r="D3705" t="s">
        <v>14</v>
      </c>
      <c r="E3705" t="s">
        <v>104</v>
      </c>
      <c r="F3705" s="2" t="str">
        <f>HYPERLINK("http://www.otzar.org/book.asp?625776","אסופת מאמרים בענייני חברה")</f>
        <v>אסופת מאמרים בענייני חברה</v>
      </c>
    </row>
    <row r="3706" spans="1:6" x14ac:dyDescent="0.2">
      <c r="A3706" t="s">
        <v>7104</v>
      </c>
      <c r="B3706" t="s">
        <v>7105</v>
      </c>
      <c r="C3706" t="s">
        <v>411</v>
      </c>
      <c r="D3706" t="s">
        <v>14</v>
      </c>
      <c r="E3706" t="s">
        <v>104</v>
      </c>
      <c r="F3706" s="2" t="str">
        <f>HYPERLINK("http://www.otzar.org/book.asp?191220","אסופת מאמרים בענייני תכלת")</f>
        <v>אסופת מאמרים בענייני תכלת</v>
      </c>
    </row>
    <row r="3707" spans="1:6" x14ac:dyDescent="0.2">
      <c r="A3707" t="s">
        <v>7106</v>
      </c>
      <c r="B3707" t="s">
        <v>107</v>
      </c>
      <c r="C3707" t="s">
        <v>366</v>
      </c>
      <c r="D3707" t="s">
        <v>14</v>
      </c>
      <c r="E3707" t="s">
        <v>104</v>
      </c>
      <c r="F3707" s="2" t="str">
        <f>HYPERLINK("http://www.otzar.org/book.asp?622162","אסופת מאמרים בעניני חברה")</f>
        <v>אסופת מאמרים בעניני חברה</v>
      </c>
    </row>
    <row r="3708" spans="1:6" x14ac:dyDescent="0.2">
      <c r="A3708" t="s">
        <v>7107</v>
      </c>
      <c r="B3708" t="s">
        <v>107</v>
      </c>
      <c r="C3708" t="s">
        <v>20</v>
      </c>
      <c r="D3708" t="s">
        <v>14</v>
      </c>
      <c r="E3708" t="s">
        <v>15</v>
      </c>
      <c r="F3708" s="2" t="str">
        <f>HYPERLINK("http://www.otzar.org/book.asp?625784","אסופת מאמרים והלכות בעניין שמירת איכות הסביבה ואיסור בל תשחית")</f>
        <v>אסופת מאמרים והלכות בעניין שמירת איכות הסביבה ואיסור בל תשחית</v>
      </c>
    </row>
    <row r="3709" spans="1:6" x14ac:dyDescent="0.2">
      <c r="A3709" t="s">
        <v>7108</v>
      </c>
      <c r="B3709" t="s">
        <v>7109</v>
      </c>
      <c r="C3709" t="s">
        <v>114</v>
      </c>
      <c r="D3709" t="s">
        <v>657</v>
      </c>
      <c r="E3709" t="s">
        <v>6479</v>
      </c>
      <c r="F3709" s="2" t="str">
        <f>HYPERLINK("http://www.otzar.org/book.asp?165438","אסופת מאמרים")</f>
        <v>אסופת מאמרים</v>
      </c>
    </row>
    <row r="3710" spans="1:6" x14ac:dyDescent="0.2">
      <c r="A3710" t="s">
        <v>7108</v>
      </c>
      <c r="B3710" t="s">
        <v>107</v>
      </c>
      <c r="C3710" t="s">
        <v>244</v>
      </c>
      <c r="D3710" t="s">
        <v>14</v>
      </c>
      <c r="E3710" t="s">
        <v>104</v>
      </c>
      <c r="F3710" s="2" t="str">
        <f>HYPERLINK("http://www.otzar.org/book.asp?625785","אסופת מאמרים")</f>
        <v>אסופת מאמרים</v>
      </c>
    </row>
    <row r="3711" spans="1:6" x14ac:dyDescent="0.2">
      <c r="A3711" t="s">
        <v>7110</v>
      </c>
      <c r="B3711" t="s">
        <v>7111</v>
      </c>
      <c r="C3711" t="s">
        <v>20</v>
      </c>
      <c r="D3711" t="s">
        <v>90</v>
      </c>
      <c r="E3711" t="s">
        <v>158</v>
      </c>
      <c r="F3711" s="2" t="str">
        <f>HYPERLINK("http://www.otzar.org/book.asp?52770","אסופת מערכות - 11 כר'")</f>
        <v>אסופת מערכות - 11 כר'</v>
      </c>
    </row>
    <row r="3712" spans="1:6" x14ac:dyDescent="0.2">
      <c r="A3712" t="s">
        <v>7112</v>
      </c>
      <c r="B3712" t="s">
        <v>7113</v>
      </c>
      <c r="C3712" t="s">
        <v>17</v>
      </c>
      <c r="D3712" t="s">
        <v>14</v>
      </c>
      <c r="E3712" t="s">
        <v>15</v>
      </c>
      <c r="F3712" s="2" t="str">
        <f>HYPERLINK("http://www.otzar.org/book.asp?52688","אסופת שביעית")</f>
        <v>אסופת שביעית</v>
      </c>
    </row>
    <row r="3713" spans="1:6" x14ac:dyDescent="0.2">
      <c r="A3713" t="s">
        <v>7114</v>
      </c>
      <c r="B3713" t="s">
        <v>7115</v>
      </c>
      <c r="C3713" t="s">
        <v>366</v>
      </c>
      <c r="D3713" t="s">
        <v>7116</v>
      </c>
      <c r="E3713" t="s">
        <v>148</v>
      </c>
      <c r="F3713" s="2" t="str">
        <f>HYPERLINK("http://www.otzar.org/book.asp?611662","אסוקי שמעתא - מקוואות")</f>
        <v>אסוקי שמעתא - מקוואות</v>
      </c>
    </row>
    <row r="3714" spans="1:6" x14ac:dyDescent="0.2">
      <c r="A3714" t="s">
        <v>7117</v>
      </c>
      <c r="B3714" t="s">
        <v>7118</v>
      </c>
      <c r="C3714" t="s">
        <v>151</v>
      </c>
      <c r="D3714" t="s">
        <v>14</v>
      </c>
      <c r="F3714" s="2" t="str">
        <f>HYPERLINK("http://www.otzar.org/book.asp?616249","אסוקי שמעתא")</f>
        <v>אסוקי שמעתא</v>
      </c>
    </row>
    <row r="3715" spans="1:6" x14ac:dyDescent="0.2">
      <c r="A3715" t="s">
        <v>7119</v>
      </c>
      <c r="B3715" t="s">
        <v>7120</v>
      </c>
      <c r="C3715" t="s">
        <v>17</v>
      </c>
      <c r="D3715" t="s">
        <v>1511</v>
      </c>
      <c r="F3715" s="2" t="str">
        <f>HYPERLINK("http://www.otzar.org/book.asp?159965","אסוקי שמעתתא - ברכות")</f>
        <v>אסוקי שמעתתא - ברכות</v>
      </c>
    </row>
    <row r="3716" spans="1:6" x14ac:dyDescent="0.2">
      <c r="A3716" t="s">
        <v>7121</v>
      </c>
      <c r="B3716" t="s">
        <v>7122</v>
      </c>
      <c r="C3716" t="s">
        <v>151</v>
      </c>
      <c r="D3716" t="s">
        <v>52</v>
      </c>
      <c r="E3716" t="s">
        <v>15</v>
      </c>
      <c r="F3716" s="2" t="str">
        <f>HYPERLINK("http://www.otzar.org/book.asp?621247","אסוקי שמעתתא - 2 כר'")</f>
        <v>אסוקי שמעתתא - 2 כר'</v>
      </c>
    </row>
    <row r="3717" spans="1:6" x14ac:dyDescent="0.2">
      <c r="A3717" t="s">
        <v>7123</v>
      </c>
      <c r="B3717" t="s">
        <v>7124</v>
      </c>
      <c r="C3717" t="s">
        <v>51</v>
      </c>
      <c r="D3717" t="s">
        <v>14</v>
      </c>
      <c r="E3717" t="s">
        <v>144</v>
      </c>
      <c r="F3717" s="2" t="str">
        <f>HYPERLINK("http://www.otzar.org/book.asp?60489","אסוקי שמעתתא - 3 כר'")</f>
        <v>אסוקי שמעתתא - 3 כר'</v>
      </c>
    </row>
    <row r="3718" spans="1:6" x14ac:dyDescent="0.2">
      <c r="A3718" t="s">
        <v>7125</v>
      </c>
      <c r="B3718" t="s">
        <v>7126</v>
      </c>
      <c r="C3718" t="s">
        <v>725</v>
      </c>
      <c r="D3718" t="s">
        <v>929</v>
      </c>
      <c r="E3718" t="s">
        <v>144</v>
      </c>
      <c r="F3718" s="2" t="str">
        <f>HYPERLINK("http://www.otzar.org/book.asp?300337","אסוקי שמעתתא")</f>
        <v>אסוקי שמעתתא</v>
      </c>
    </row>
    <row r="3719" spans="1:6" x14ac:dyDescent="0.2">
      <c r="A3719" t="s">
        <v>7127</v>
      </c>
      <c r="B3719" t="s">
        <v>686</v>
      </c>
      <c r="C3719" t="s">
        <v>23</v>
      </c>
      <c r="D3719" t="s">
        <v>80</v>
      </c>
      <c r="E3719" t="s">
        <v>246</v>
      </c>
      <c r="F3719" s="2" t="str">
        <f>HYPERLINK("http://www.otzar.org/book.asp?193019","אסור ברהטים")</f>
        <v>אסור ברהטים</v>
      </c>
    </row>
    <row r="3720" spans="1:6" x14ac:dyDescent="0.2">
      <c r="A3720" t="s">
        <v>7128</v>
      </c>
      <c r="B3720" t="s">
        <v>3259</v>
      </c>
      <c r="C3720" t="s">
        <v>146</v>
      </c>
      <c r="D3720" t="s">
        <v>14</v>
      </c>
      <c r="E3720" t="s">
        <v>674</v>
      </c>
      <c r="F3720" s="2" t="str">
        <f>HYPERLINK("http://www.otzar.org/book.asp?149503","אסותא")</f>
        <v>אסותא</v>
      </c>
    </row>
    <row r="3721" spans="1:6" x14ac:dyDescent="0.2">
      <c r="A3721" t="s">
        <v>7129</v>
      </c>
      <c r="B3721" t="s">
        <v>7130</v>
      </c>
      <c r="C3721" t="s">
        <v>989</v>
      </c>
      <c r="D3721" t="s">
        <v>14</v>
      </c>
      <c r="E3721" t="s">
        <v>384</v>
      </c>
      <c r="F3721" s="2" t="str">
        <f>HYPERLINK("http://www.otzar.org/book.asp?145050","אסיא - 74 כר'")</f>
        <v>אסיא - 74 כר'</v>
      </c>
    </row>
    <row r="3722" spans="1:6" x14ac:dyDescent="0.2">
      <c r="A3722" t="s">
        <v>7131</v>
      </c>
      <c r="B3722" t="s">
        <v>7132</v>
      </c>
      <c r="C3722" t="s">
        <v>37</v>
      </c>
      <c r="D3722" t="s">
        <v>90</v>
      </c>
      <c r="E3722" t="s">
        <v>5392</v>
      </c>
      <c r="F3722" s="2" t="str">
        <f>HYPERLINK("http://www.otzar.org/book.asp?199752","אסיף - 5 כר'")</f>
        <v>אסיף - 5 כר'</v>
      </c>
    </row>
    <row r="3723" spans="1:6" x14ac:dyDescent="0.2">
      <c r="A3723" t="s">
        <v>7133</v>
      </c>
      <c r="B3723" t="s">
        <v>7134</v>
      </c>
      <c r="C3723" t="s">
        <v>1519</v>
      </c>
      <c r="D3723" t="s">
        <v>610</v>
      </c>
      <c r="E3723" t="s">
        <v>154</v>
      </c>
      <c r="F3723" s="2" t="str">
        <f>HYPERLINK("http://www.otzar.org/book.asp?28547","אסיפת גאונים - 2 כר'")</f>
        <v>אסיפת גאונים - 2 כר'</v>
      </c>
    </row>
    <row r="3724" spans="1:6" x14ac:dyDescent="0.2">
      <c r="A3724" t="s">
        <v>7135</v>
      </c>
      <c r="B3724" t="s">
        <v>7136</v>
      </c>
      <c r="C3724" t="s">
        <v>1166</v>
      </c>
      <c r="D3724" t="s">
        <v>225</v>
      </c>
      <c r="E3724" t="s">
        <v>144</v>
      </c>
      <c r="F3724" s="2" t="str">
        <f>HYPERLINK("http://www.otzar.org/book.asp?300336","אסיפת גאונים - א-ב")</f>
        <v>אסיפת גאונים - א-ב</v>
      </c>
    </row>
    <row r="3725" spans="1:6" x14ac:dyDescent="0.2">
      <c r="A3725" t="s">
        <v>7137</v>
      </c>
      <c r="B3725" t="s">
        <v>7137</v>
      </c>
      <c r="C3725" t="s">
        <v>8</v>
      </c>
      <c r="D3725" t="s">
        <v>1117</v>
      </c>
      <c r="E3725" t="s">
        <v>7138</v>
      </c>
      <c r="F3725" s="2" t="str">
        <f>HYPERLINK("http://www.otzar.org/book.asp?143609","אסיפת גדולים")</f>
        <v>אסיפת גדולים</v>
      </c>
    </row>
    <row r="3726" spans="1:6" x14ac:dyDescent="0.2">
      <c r="A3726" t="s">
        <v>7139</v>
      </c>
      <c r="B3726" t="s">
        <v>7140</v>
      </c>
      <c r="D3726" t="s">
        <v>14</v>
      </c>
      <c r="E3726" t="s">
        <v>140</v>
      </c>
      <c r="F3726" s="2" t="str">
        <f>HYPERLINK("http://www.otzar.org/book.asp?626054","אסיפת דברי חכמים")</f>
        <v>אסיפת דברי חכמים</v>
      </c>
    </row>
    <row r="3727" spans="1:6" x14ac:dyDescent="0.2">
      <c r="A3727" t="s">
        <v>7141</v>
      </c>
      <c r="B3727" t="s">
        <v>7142</v>
      </c>
      <c r="C3727" t="s">
        <v>1284</v>
      </c>
      <c r="D3727" t="s">
        <v>2313</v>
      </c>
      <c r="E3727" t="s">
        <v>474</v>
      </c>
      <c r="F3727" s="2" t="str">
        <f>HYPERLINK("http://www.otzar.org/book.asp?15874","אסיפת הכהן")</f>
        <v>אסיפת הכהן</v>
      </c>
    </row>
    <row r="3728" spans="1:6" x14ac:dyDescent="0.2">
      <c r="A3728" t="s">
        <v>7143</v>
      </c>
      <c r="B3728" t="s">
        <v>7144</v>
      </c>
      <c r="C3728" t="s">
        <v>767</v>
      </c>
      <c r="D3728" t="s">
        <v>52</v>
      </c>
      <c r="E3728" t="s">
        <v>144</v>
      </c>
      <c r="F3728" s="2" t="str">
        <f>HYPERLINK("http://www.otzar.org/book.asp?148966","אסיפת השיעורים - 2 כר'")</f>
        <v>אסיפת השיעורים - 2 כר'</v>
      </c>
    </row>
    <row r="3729" spans="1:6" x14ac:dyDescent="0.2">
      <c r="A3729" t="s">
        <v>7145</v>
      </c>
      <c r="B3729" t="s">
        <v>7146</v>
      </c>
      <c r="C3729" t="s">
        <v>1619</v>
      </c>
      <c r="D3729" t="s">
        <v>14</v>
      </c>
      <c r="E3729" t="s">
        <v>144</v>
      </c>
      <c r="F3729" s="2" t="str">
        <f>HYPERLINK("http://www.otzar.org/book.asp?17605","אסיפת זקנים החדש - 36 כר'")</f>
        <v>אסיפת זקנים החדש - 36 כר'</v>
      </c>
    </row>
    <row r="3730" spans="1:6" x14ac:dyDescent="0.2">
      <c r="A3730" t="s">
        <v>7147</v>
      </c>
      <c r="B3730" t="s">
        <v>7148</v>
      </c>
      <c r="C3730" t="s">
        <v>775</v>
      </c>
      <c r="D3730" t="s">
        <v>14</v>
      </c>
      <c r="E3730" t="s">
        <v>144</v>
      </c>
      <c r="F3730" s="2" t="str">
        <f>HYPERLINK("http://www.otzar.org/book.asp?170964","אסיפת זקנים על מסכת נדה - 4 כר'")</f>
        <v>אסיפת זקנים על מסכת נדה - 4 כר'</v>
      </c>
    </row>
    <row r="3731" spans="1:6" x14ac:dyDescent="0.2">
      <c r="A3731" t="s">
        <v>7149</v>
      </c>
      <c r="B3731" t="s">
        <v>7150</v>
      </c>
      <c r="C3731" t="s">
        <v>6895</v>
      </c>
      <c r="D3731" t="s">
        <v>212</v>
      </c>
      <c r="E3731" t="s">
        <v>144</v>
      </c>
      <c r="F3731" s="2" t="str">
        <f>HYPERLINK("http://www.otzar.org/book.asp?150075","אסיפת זקנים - 3 כר'")</f>
        <v>אסיפת זקנים - 3 כר'</v>
      </c>
    </row>
    <row r="3732" spans="1:6" x14ac:dyDescent="0.2">
      <c r="A3732" t="s">
        <v>7151</v>
      </c>
      <c r="B3732" t="s">
        <v>7152</v>
      </c>
      <c r="C3732" t="s">
        <v>1135</v>
      </c>
      <c r="D3732" t="s">
        <v>1516</v>
      </c>
      <c r="E3732" t="s">
        <v>144</v>
      </c>
      <c r="F3732" s="2" t="str">
        <f>HYPERLINK("http://www.otzar.org/book.asp?150023","אסיפת זקנים - ביצה")</f>
        <v>אסיפת זקנים - ביצה</v>
      </c>
    </row>
    <row r="3733" spans="1:6" x14ac:dyDescent="0.2">
      <c r="A3733" t="s">
        <v>7153</v>
      </c>
      <c r="B3733" t="s">
        <v>1978</v>
      </c>
      <c r="C3733" t="s">
        <v>7154</v>
      </c>
      <c r="D3733" t="s">
        <v>283</v>
      </c>
      <c r="E3733" t="s">
        <v>144</v>
      </c>
      <c r="F3733" s="2" t="str">
        <f>HYPERLINK("http://www.otzar.org/book.asp?5367","אסיפת זקנים - קדשים")</f>
        <v>אסיפת זקנים - קדשים</v>
      </c>
    </row>
    <row r="3734" spans="1:6" x14ac:dyDescent="0.2">
      <c r="A3734" t="s">
        <v>7149</v>
      </c>
      <c r="B3734" t="s">
        <v>7155</v>
      </c>
      <c r="C3734" t="s">
        <v>1954</v>
      </c>
      <c r="D3734" t="s">
        <v>9</v>
      </c>
      <c r="E3734" t="s">
        <v>144</v>
      </c>
      <c r="F3734" s="2" t="str">
        <f>HYPERLINK("http://www.otzar.org/book.asp?5612","אסיפת זקנים - 3 כר'")</f>
        <v>אסיפת זקנים - 3 כר'</v>
      </c>
    </row>
    <row r="3735" spans="1:6" x14ac:dyDescent="0.2">
      <c r="A3735" t="s">
        <v>7156</v>
      </c>
      <c r="B3735" t="s">
        <v>7157</v>
      </c>
      <c r="C3735" t="s">
        <v>7158</v>
      </c>
      <c r="D3735" t="s">
        <v>6042</v>
      </c>
      <c r="E3735" t="s">
        <v>158</v>
      </c>
      <c r="F3735" s="2" t="str">
        <f>HYPERLINK("http://www.otzar.org/book.asp?22324","אסיפת חכמים וליקוטי שושנים")</f>
        <v>אסיפת חכמים וליקוטי שושנים</v>
      </c>
    </row>
    <row r="3736" spans="1:6" x14ac:dyDescent="0.2">
      <c r="A3736" t="s">
        <v>7159</v>
      </c>
      <c r="B3736" t="s">
        <v>7159</v>
      </c>
      <c r="C3736" t="s">
        <v>908</v>
      </c>
      <c r="D3736" t="s">
        <v>726</v>
      </c>
      <c r="E3736" t="s">
        <v>202</v>
      </c>
      <c r="F3736" s="2" t="str">
        <f>HYPERLINK("http://www.otzar.org/book.asp?108277","אסיפת חכמים")</f>
        <v>אסיפת חכמים</v>
      </c>
    </row>
    <row r="3737" spans="1:6" x14ac:dyDescent="0.2">
      <c r="A3737" t="s">
        <v>7159</v>
      </c>
      <c r="B3737" t="s">
        <v>7160</v>
      </c>
      <c r="C3737" t="s">
        <v>445</v>
      </c>
      <c r="D3737" t="s">
        <v>7161</v>
      </c>
      <c r="E3737" t="s">
        <v>202</v>
      </c>
      <c r="F3737" s="2" t="str">
        <f>HYPERLINK("http://www.otzar.org/book.asp?189616","אסיפת חכמים")</f>
        <v>אסיפת חכמים</v>
      </c>
    </row>
    <row r="3738" spans="1:6" x14ac:dyDescent="0.2">
      <c r="A3738" t="s">
        <v>7159</v>
      </c>
      <c r="B3738" t="s">
        <v>4369</v>
      </c>
      <c r="C3738" t="s">
        <v>1062</v>
      </c>
      <c r="D3738" t="s">
        <v>412</v>
      </c>
      <c r="E3738" t="s">
        <v>202</v>
      </c>
      <c r="F3738" s="2" t="str">
        <f>HYPERLINK("http://www.otzar.org/book.asp?144478","אסיפת חכמים")</f>
        <v>אסיפת חכמים</v>
      </c>
    </row>
    <row r="3739" spans="1:6" x14ac:dyDescent="0.2">
      <c r="A3739" t="s">
        <v>7159</v>
      </c>
      <c r="B3739" t="s">
        <v>7157</v>
      </c>
      <c r="C3739" t="s">
        <v>7162</v>
      </c>
      <c r="D3739" t="s">
        <v>7163</v>
      </c>
      <c r="E3739" t="s">
        <v>158</v>
      </c>
      <c r="F3739" s="2" t="str">
        <f>HYPERLINK("http://www.otzar.org/book.asp?22325","אסיפת חכמים")</f>
        <v>אסיפת חכמים</v>
      </c>
    </row>
    <row r="3740" spans="1:6" x14ac:dyDescent="0.2">
      <c r="A3740" t="s">
        <v>7164</v>
      </c>
      <c r="B3740" t="s">
        <v>7165</v>
      </c>
      <c r="C3740" t="s">
        <v>51</v>
      </c>
      <c r="D3740" t="s">
        <v>1156</v>
      </c>
      <c r="E3740" t="s">
        <v>202</v>
      </c>
      <c r="F3740" s="2" t="str">
        <f>HYPERLINK("http://www.otzar.org/book.asp?149830","אסיפת חכמים - 11 כר'")</f>
        <v>אסיפת חכמים - 11 כר'</v>
      </c>
    </row>
    <row r="3741" spans="1:6" x14ac:dyDescent="0.2">
      <c r="A3741" t="s">
        <v>7159</v>
      </c>
      <c r="B3741" t="s">
        <v>7166</v>
      </c>
      <c r="C3741" t="s">
        <v>4705</v>
      </c>
      <c r="D3741" t="s">
        <v>267</v>
      </c>
      <c r="E3741" t="s">
        <v>158</v>
      </c>
      <c r="F3741" s="2" t="str">
        <f>HYPERLINK("http://www.otzar.org/book.asp?141012","אסיפת חכמים")</f>
        <v>אסיפת חכמים</v>
      </c>
    </row>
    <row r="3742" spans="1:6" x14ac:dyDescent="0.2">
      <c r="A3742" t="s">
        <v>7167</v>
      </c>
      <c r="B3742" t="s">
        <v>7168</v>
      </c>
      <c r="C3742" t="s">
        <v>4114</v>
      </c>
      <c r="D3742" t="s">
        <v>2290</v>
      </c>
      <c r="E3742" t="s">
        <v>463</v>
      </c>
      <c r="F3742" s="2" t="str">
        <f>HYPERLINK("http://www.otzar.org/book.asp?15877","אסיפת יהודא")</f>
        <v>אסיפת יהודא</v>
      </c>
    </row>
    <row r="3743" spans="1:6" x14ac:dyDescent="0.2">
      <c r="A3743" t="s">
        <v>7169</v>
      </c>
      <c r="B3743" t="s">
        <v>7170</v>
      </c>
      <c r="C3743" t="s">
        <v>37</v>
      </c>
      <c r="D3743" t="s">
        <v>52</v>
      </c>
      <c r="F3743" s="2" t="str">
        <f>HYPERLINK("http://www.otzar.org/book.asp?619608","אסיפת מכתבים מגדולי ישראל אל בעל אמרי סופר - 2 כר'")</f>
        <v>אסיפת מכתבים מגדולי ישראל אל בעל אמרי סופר - 2 כר'</v>
      </c>
    </row>
    <row r="3744" spans="1:6" x14ac:dyDescent="0.2">
      <c r="A3744" t="s">
        <v>7171</v>
      </c>
      <c r="B3744" t="s">
        <v>1295</v>
      </c>
      <c r="C3744" t="s">
        <v>533</v>
      </c>
      <c r="D3744" t="s">
        <v>14</v>
      </c>
      <c r="E3744" t="s">
        <v>104</v>
      </c>
      <c r="F3744" s="2" t="str">
        <f>HYPERLINK("http://www.otzar.org/book.asp?85498","אסיפת מכתבים")</f>
        <v>אסיפת מכתבים</v>
      </c>
    </row>
    <row r="3745" spans="1:6" x14ac:dyDescent="0.2">
      <c r="A3745" t="s">
        <v>7172</v>
      </c>
      <c r="B3745" t="s">
        <v>7173</v>
      </c>
      <c r="C3745">
        <v>1972</v>
      </c>
      <c r="D3745" t="s">
        <v>90</v>
      </c>
      <c r="E3745" t="s">
        <v>144</v>
      </c>
      <c r="F3745" s="2" t="str">
        <f>HYPERLINK("http://www.otzar.org/book.asp?610952","אסיפת ראשונים גיטין - א")</f>
        <v>אסיפת ראשונים גיטין - א</v>
      </c>
    </row>
    <row r="3746" spans="1:6" x14ac:dyDescent="0.2">
      <c r="A3746" t="s">
        <v>7174</v>
      </c>
      <c r="B3746" t="s">
        <v>5954</v>
      </c>
      <c r="C3746" t="s">
        <v>466</v>
      </c>
      <c r="D3746" t="s">
        <v>118</v>
      </c>
      <c r="E3746" t="s">
        <v>144</v>
      </c>
      <c r="F3746" s="2" t="str">
        <f>HYPERLINK("http://www.otzar.org/book.asp?605441","אסיפת ראשונים על מסכת שבת עם ביאור שפע ימים")</f>
        <v>אסיפת ראשונים על מסכת שבת עם ביאור שפע ימים</v>
      </c>
    </row>
    <row r="3747" spans="1:6" x14ac:dyDescent="0.2">
      <c r="A3747" t="s">
        <v>7175</v>
      </c>
      <c r="B3747" t="s">
        <v>7176</v>
      </c>
      <c r="C3747" t="s">
        <v>129</v>
      </c>
      <c r="D3747" t="s">
        <v>367</v>
      </c>
      <c r="E3747" t="s">
        <v>144</v>
      </c>
      <c r="F3747" s="2" t="str">
        <f>HYPERLINK("http://www.otzar.org/book.asp?168323","אסיפת שיעורים - 4 כר'")</f>
        <v>אסיפת שיעורים - 4 כר'</v>
      </c>
    </row>
    <row r="3748" spans="1:6" x14ac:dyDescent="0.2">
      <c r="A3748" t="s">
        <v>7177</v>
      </c>
      <c r="B3748" t="s">
        <v>7178</v>
      </c>
      <c r="C3748" t="s">
        <v>87</v>
      </c>
      <c r="D3748" t="s">
        <v>14</v>
      </c>
      <c r="E3748" t="s">
        <v>144</v>
      </c>
      <c r="F3748" s="2" t="str">
        <f>HYPERLINK("http://www.otzar.org/book.asp?157571","אסיפת שיעורים - 5 כר'")</f>
        <v>אסיפת שיעורים - 5 כר'</v>
      </c>
    </row>
    <row r="3749" spans="1:6" x14ac:dyDescent="0.2">
      <c r="A3749" t="s">
        <v>7179</v>
      </c>
      <c r="B3749" t="s">
        <v>939</v>
      </c>
      <c r="C3749" t="s">
        <v>87</v>
      </c>
      <c r="D3749" t="s">
        <v>14</v>
      </c>
      <c r="E3749" t="s">
        <v>144</v>
      </c>
      <c r="F3749" s="2" t="str">
        <f>HYPERLINK("http://www.otzar.org/book.asp?158615","אסיפת שיעורים - 2 כר'")</f>
        <v>אסיפת שיעורים - 2 כר'</v>
      </c>
    </row>
    <row r="3750" spans="1:6" x14ac:dyDescent="0.2">
      <c r="A3750" t="s">
        <v>7180</v>
      </c>
      <c r="B3750" t="s">
        <v>7181</v>
      </c>
      <c r="C3750" t="s">
        <v>146</v>
      </c>
      <c r="D3750" t="s">
        <v>52</v>
      </c>
      <c r="E3750" t="s">
        <v>7182</v>
      </c>
      <c r="F3750" s="2" t="str">
        <f>HYPERLINK("http://www.otzar.org/book.asp?60245","אסיפת שמועות - 4 כר'")</f>
        <v>אסיפת שמועות - 4 כר'</v>
      </c>
    </row>
    <row r="3751" spans="1:6" x14ac:dyDescent="0.2">
      <c r="A3751" t="s">
        <v>7183</v>
      </c>
      <c r="B3751" t="s">
        <v>7184</v>
      </c>
      <c r="C3751" t="s">
        <v>1268</v>
      </c>
      <c r="D3751" t="s">
        <v>52</v>
      </c>
      <c r="E3751" t="s">
        <v>104</v>
      </c>
      <c r="F3751" s="2" t="str">
        <f>HYPERLINK("http://www.otzar.org/book.asp?159225","אסיר המלך")</f>
        <v>אסיר המלך</v>
      </c>
    </row>
    <row r="3752" spans="1:6" x14ac:dyDescent="0.2">
      <c r="A3752" t="s">
        <v>7185</v>
      </c>
      <c r="B3752" t="s">
        <v>7186</v>
      </c>
      <c r="C3752" t="s">
        <v>1244</v>
      </c>
      <c r="D3752" t="s">
        <v>7187</v>
      </c>
      <c r="E3752" t="s">
        <v>158</v>
      </c>
      <c r="F3752" s="2" t="str">
        <f>HYPERLINK("http://www.otzar.org/book.asp?300334","אסירי התקוה")</f>
        <v>אסירי התקוה</v>
      </c>
    </row>
    <row r="3753" spans="1:6" x14ac:dyDescent="0.2">
      <c r="A3753" t="s">
        <v>7185</v>
      </c>
      <c r="B3753" t="s">
        <v>7188</v>
      </c>
      <c r="C3753" t="s">
        <v>2302</v>
      </c>
      <c r="D3753" t="s">
        <v>212</v>
      </c>
      <c r="E3753" t="s">
        <v>1626</v>
      </c>
      <c r="F3753" s="2" t="str">
        <f>HYPERLINK("http://www.otzar.org/book.asp?146895","אסירי התקוה")</f>
        <v>אסירי התקוה</v>
      </c>
    </row>
    <row r="3754" spans="1:6" x14ac:dyDescent="0.2">
      <c r="A3754" t="s">
        <v>7185</v>
      </c>
      <c r="B3754" t="s">
        <v>1800</v>
      </c>
      <c r="C3754" t="s">
        <v>1470</v>
      </c>
      <c r="D3754" t="s">
        <v>27</v>
      </c>
      <c r="E3754" t="s">
        <v>3755</v>
      </c>
      <c r="F3754" s="2" t="str">
        <f>HYPERLINK("http://www.otzar.org/book.asp?5337","אסירי התקוה")</f>
        <v>אסירי התקוה</v>
      </c>
    </row>
    <row r="3755" spans="1:6" x14ac:dyDescent="0.2">
      <c r="A3755" t="s">
        <v>7189</v>
      </c>
      <c r="B3755" t="s">
        <v>5620</v>
      </c>
      <c r="C3755" t="s">
        <v>1166</v>
      </c>
      <c r="D3755" t="s">
        <v>535</v>
      </c>
      <c r="F3755" s="2" t="str">
        <f>HYPERLINK("http://www.otzar.org/book.asp?62192","אסם בשם")</f>
        <v>אסם בשם</v>
      </c>
    </row>
    <row r="3756" spans="1:6" x14ac:dyDescent="0.2">
      <c r="A3756" t="s">
        <v>7190</v>
      </c>
      <c r="B3756" t="s">
        <v>7191</v>
      </c>
      <c r="C3756" t="s">
        <v>37</v>
      </c>
      <c r="D3756" t="s">
        <v>14</v>
      </c>
      <c r="F3756" s="2" t="str">
        <f>HYPERLINK("http://www.otzar.org/book.asp?194743","אסף המזכיר")</f>
        <v>אסף המזכיר</v>
      </c>
    </row>
    <row r="3757" spans="1:6" x14ac:dyDescent="0.2">
      <c r="A3757" t="s">
        <v>7190</v>
      </c>
      <c r="B3757" t="s">
        <v>7192</v>
      </c>
      <c r="C3757" t="s">
        <v>7193</v>
      </c>
      <c r="D3757" t="s">
        <v>49</v>
      </c>
      <c r="E3757" t="s">
        <v>144</v>
      </c>
      <c r="F3757" s="2" t="str">
        <f>HYPERLINK("http://www.otzar.org/book.asp?100299","אסף המזכיר")</f>
        <v>אסף המזכיר</v>
      </c>
    </row>
    <row r="3758" spans="1:6" x14ac:dyDescent="0.2">
      <c r="A3758" t="s">
        <v>7194</v>
      </c>
      <c r="B3758" t="s">
        <v>5213</v>
      </c>
      <c r="C3758" t="s">
        <v>411</v>
      </c>
      <c r="D3758" t="s">
        <v>14</v>
      </c>
      <c r="E3758" t="s">
        <v>246</v>
      </c>
      <c r="F3758" s="2" t="str">
        <f>HYPERLINK("http://www.otzar.org/book.asp?172452","אסף חיים")</f>
        <v>אסף חיים</v>
      </c>
    </row>
    <row r="3759" spans="1:6" x14ac:dyDescent="0.2">
      <c r="A3759" t="s">
        <v>7195</v>
      </c>
      <c r="B3759" t="s">
        <v>2818</v>
      </c>
      <c r="C3759" t="s">
        <v>3106</v>
      </c>
      <c r="D3759" t="s">
        <v>7196</v>
      </c>
      <c r="E3759" t="s">
        <v>1211</v>
      </c>
      <c r="F3759" s="2" t="str">
        <f>HYPERLINK("http://www.otzar.org/book.asp?104510","אספי צבי - 2 כר'")</f>
        <v>אספי צבי - 2 כר'</v>
      </c>
    </row>
    <row r="3760" spans="1:6" x14ac:dyDescent="0.2">
      <c r="A3760" t="s">
        <v>7197</v>
      </c>
      <c r="B3760" t="s">
        <v>7198</v>
      </c>
      <c r="C3760" t="s">
        <v>90</v>
      </c>
      <c r="D3760" t="s">
        <v>3939</v>
      </c>
      <c r="F3760" s="2" t="str">
        <f>HYPERLINK("http://www.otzar.org/book.asp?621922","אספקלריא &lt;ברית מילה&gt;")</f>
        <v>אספקלריא &lt;ברית מילה&gt;</v>
      </c>
    </row>
    <row r="3761" spans="1:6" x14ac:dyDescent="0.2">
      <c r="A3761" t="s">
        <v>7199</v>
      </c>
      <c r="B3761" t="s">
        <v>2074</v>
      </c>
      <c r="C3761" t="s">
        <v>13</v>
      </c>
      <c r="D3761" t="s">
        <v>14</v>
      </c>
      <c r="E3761" t="s">
        <v>399</v>
      </c>
      <c r="F3761" s="2" t="str">
        <f>HYPERLINK("http://www.otzar.org/book.asp?150834","אספקלריא דנהר""א &lt;על רחובות הנהר&gt; - א")</f>
        <v>אספקלריא דנהר"א &lt;על רחובות הנהר&gt; - א</v>
      </c>
    </row>
    <row r="3762" spans="1:6" x14ac:dyDescent="0.2">
      <c r="A3762" t="s">
        <v>7200</v>
      </c>
      <c r="B3762" t="s">
        <v>7201</v>
      </c>
      <c r="C3762" t="s">
        <v>20</v>
      </c>
      <c r="D3762" t="s">
        <v>152</v>
      </c>
      <c r="E3762" t="s">
        <v>158</v>
      </c>
      <c r="F3762" s="2" t="str">
        <f>HYPERLINK("http://www.otzar.org/book.asp?182905","אספקלריא דנהרא")</f>
        <v>אספקלריא דנהרא</v>
      </c>
    </row>
    <row r="3763" spans="1:6" x14ac:dyDescent="0.2">
      <c r="A3763" t="s">
        <v>7202</v>
      </c>
      <c r="B3763" t="s">
        <v>7203</v>
      </c>
      <c r="C3763" t="s">
        <v>151</v>
      </c>
      <c r="D3763" t="s">
        <v>3069</v>
      </c>
      <c r="E3763" t="s">
        <v>733</v>
      </c>
      <c r="F3763" s="2" t="str">
        <f>HYPERLINK("http://www.otzar.org/book.asp?615403","אספקלריא המאירה")</f>
        <v>אספקלריא המאירה</v>
      </c>
    </row>
    <row r="3764" spans="1:6" x14ac:dyDescent="0.2">
      <c r="A3764" t="s">
        <v>7204</v>
      </c>
      <c r="B3764" t="s">
        <v>7205</v>
      </c>
      <c r="C3764" t="s">
        <v>1166</v>
      </c>
      <c r="D3764" t="s">
        <v>283</v>
      </c>
      <c r="E3764" t="s">
        <v>119</v>
      </c>
      <c r="F3764" s="2" t="str">
        <f>HYPERLINK("http://www.otzar.org/book.asp?200664","אספקלריא המאירה - 3 כר'")</f>
        <v>אספקלריא המאירה - 3 כר'</v>
      </c>
    </row>
    <row r="3765" spans="1:6" x14ac:dyDescent="0.2">
      <c r="A3765" t="s">
        <v>7206</v>
      </c>
      <c r="B3765" t="s">
        <v>7207</v>
      </c>
      <c r="C3765" t="s">
        <v>366</v>
      </c>
      <c r="D3765" t="s">
        <v>1356</v>
      </c>
      <c r="E3765" t="s">
        <v>140</v>
      </c>
      <c r="F3765" s="2" t="str">
        <f>HYPERLINK("http://www.otzar.org/book.asp?611698","אספקלריא לברית מילה")</f>
        <v>אספקלריא לברית מילה</v>
      </c>
    </row>
    <row r="3766" spans="1:6" x14ac:dyDescent="0.2">
      <c r="A3766" t="s">
        <v>7208</v>
      </c>
      <c r="B3766" t="s">
        <v>7209</v>
      </c>
      <c r="C3766" t="s">
        <v>383</v>
      </c>
      <c r="D3766" t="s">
        <v>14</v>
      </c>
      <c r="E3766" t="s">
        <v>104</v>
      </c>
      <c r="F3766" s="2" t="str">
        <f>HYPERLINK("http://www.otzar.org/book.asp?170973","אספקלריא - 29 כר'")</f>
        <v>אספקלריא - 29 כר'</v>
      </c>
    </row>
    <row r="3767" spans="1:6" x14ac:dyDescent="0.2">
      <c r="A3767" t="s">
        <v>7210</v>
      </c>
      <c r="B3767" t="s">
        <v>7198</v>
      </c>
      <c r="C3767" t="s">
        <v>366</v>
      </c>
      <c r="D3767" t="s">
        <v>3939</v>
      </c>
      <c r="F3767" s="2" t="str">
        <f>HYPERLINK("http://www.otzar.org/book.asp?617222","אספקלריא - 174 כר'")</f>
        <v>אספקלריא - 174 כר'</v>
      </c>
    </row>
    <row r="3768" spans="1:6" x14ac:dyDescent="0.2">
      <c r="A3768" t="s">
        <v>7211</v>
      </c>
      <c r="B3768" t="s">
        <v>206</v>
      </c>
      <c r="C3768" t="s">
        <v>90</v>
      </c>
      <c r="D3768" t="s">
        <v>276</v>
      </c>
      <c r="F3768" s="2" t="str">
        <f>HYPERLINK("http://www.otzar.org/book.asp?194081","אספקלריה דנהרא")</f>
        <v>אספקלריה דנהרא</v>
      </c>
    </row>
    <row r="3769" spans="1:6" x14ac:dyDescent="0.2">
      <c r="A3769" t="s">
        <v>7212</v>
      </c>
      <c r="B3769" t="s">
        <v>5867</v>
      </c>
      <c r="C3769" t="s">
        <v>71</v>
      </c>
      <c r="D3769" t="s">
        <v>52</v>
      </c>
      <c r="E3769" t="s">
        <v>226</v>
      </c>
      <c r="F3769" s="2" t="str">
        <f>HYPERLINK("http://www.otzar.org/book.asp?153870","אספקלריה המאירה - 2 כר'")</f>
        <v>אספקלריה המאירה - 2 כר'</v>
      </c>
    </row>
    <row r="3770" spans="1:6" x14ac:dyDescent="0.2">
      <c r="A3770" t="s">
        <v>7212</v>
      </c>
      <c r="B3770" t="s">
        <v>7213</v>
      </c>
      <c r="C3770" t="s">
        <v>279</v>
      </c>
      <c r="D3770" t="s">
        <v>2303</v>
      </c>
      <c r="E3770" t="s">
        <v>158</v>
      </c>
      <c r="F3770" s="2" t="str">
        <f>HYPERLINK("http://www.otzar.org/book.asp?102869","אספקלריה המאירה - 2 כר'")</f>
        <v>אספקלריה המאירה - 2 כר'</v>
      </c>
    </row>
    <row r="3771" spans="1:6" x14ac:dyDescent="0.2">
      <c r="A3771" t="s">
        <v>7214</v>
      </c>
      <c r="B3771" t="s">
        <v>7215</v>
      </c>
      <c r="C3771" t="s">
        <v>13</v>
      </c>
      <c r="D3771" t="s">
        <v>14</v>
      </c>
      <c r="E3771" t="s">
        <v>226</v>
      </c>
      <c r="F3771" s="2" t="str">
        <f>HYPERLINK("http://www.otzar.org/book.asp?156518","אספקלריה המאירה - ב")</f>
        <v>אספקלריה המאירה - ב</v>
      </c>
    </row>
    <row r="3772" spans="1:6" x14ac:dyDescent="0.2">
      <c r="A3772" t="s">
        <v>7216</v>
      </c>
      <c r="B3772" t="s">
        <v>7217</v>
      </c>
      <c r="C3772" t="s">
        <v>585</v>
      </c>
      <c r="D3772" t="s">
        <v>14</v>
      </c>
      <c r="E3772" t="s">
        <v>674</v>
      </c>
      <c r="F3772" s="2" t="str">
        <f>HYPERLINK("http://www.otzar.org/book.asp?12673","אספקלריה")</f>
        <v>אספקלריה</v>
      </c>
    </row>
    <row r="3773" spans="1:6" x14ac:dyDescent="0.2">
      <c r="A3773" t="s">
        <v>7218</v>
      </c>
      <c r="B3773" t="s">
        <v>3259</v>
      </c>
      <c r="C3773" t="s">
        <v>1570</v>
      </c>
      <c r="D3773" t="s">
        <v>14</v>
      </c>
      <c r="E3773" t="s">
        <v>674</v>
      </c>
      <c r="F3773" s="2" t="str">
        <f>HYPERLINK("http://www.otzar.org/book.asp?149513","אספקלרית הצדקה")</f>
        <v>אספקלרית הצדקה</v>
      </c>
    </row>
    <row r="3774" spans="1:6" x14ac:dyDescent="0.2">
      <c r="A3774" t="s">
        <v>7219</v>
      </c>
      <c r="B3774" t="s">
        <v>7220</v>
      </c>
      <c r="C3774" t="s">
        <v>419</v>
      </c>
      <c r="D3774" t="s">
        <v>52</v>
      </c>
      <c r="E3774" t="s">
        <v>158</v>
      </c>
      <c r="F3774" s="2" t="str">
        <f>HYPERLINK("http://www.otzar.org/book.asp?148280","אספרה כבודך")</f>
        <v>אספרה כבודך</v>
      </c>
    </row>
    <row r="3775" spans="1:6" x14ac:dyDescent="0.2">
      <c r="A3775" t="s">
        <v>7221</v>
      </c>
      <c r="B3775" t="s">
        <v>7222</v>
      </c>
      <c r="C3775" t="s">
        <v>20</v>
      </c>
      <c r="D3775" t="s">
        <v>152</v>
      </c>
      <c r="F3775" s="2" t="str">
        <f>HYPERLINK("http://www.otzar.org/book.asp?605720","אספרה שמך לאחי - 4 כר'")</f>
        <v>אספרה שמך לאחי - 4 כר'</v>
      </c>
    </row>
    <row r="3776" spans="1:6" x14ac:dyDescent="0.2">
      <c r="A3776" t="s">
        <v>7223</v>
      </c>
      <c r="B3776" t="s">
        <v>7224</v>
      </c>
      <c r="C3776" t="s">
        <v>7225</v>
      </c>
      <c r="D3776" t="s">
        <v>7226</v>
      </c>
      <c r="F3776" s="2" t="str">
        <f>HYPERLINK("http://www.otzar.org/book.asp?615576","אספת הרבנים בקראקא")</f>
        <v>אספת הרבנים בקראקא</v>
      </c>
    </row>
    <row r="3777" spans="1:6" x14ac:dyDescent="0.2">
      <c r="A3777" t="s">
        <v>7227</v>
      </c>
      <c r="B3777" t="s">
        <v>7228</v>
      </c>
      <c r="C3777" t="s">
        <v>1619</v>
      </c>
      <c r="D3777" t="s">
        <v>14</v>
      </c>
      <c r="E3777" t="s">
        <v>202</v>
      </c>
      <c r="F3777" s="2" t="str">
        <f>HYPERLINK("http://www.otzar.org/book.asp?106084","אספת מחקרים תורניים - 3 כר'")</f>
        <v>אספת מחקרים תורניים - 3 כר'</v>
      </c>
    </row>
    <row r="3778" spans="1:6" x14ac:dyDescent="0.2">
      <c r="A3778" t="s">
        <v>7229</v>
      </c>
      <c r="B3778" t="s">
        <v>905</v>
      </c>
      <c r="C3778" t="s">
        <v>146</v>
      </c>
      <c r="D3778" t="s">
        <v>14</v>
      </c>
      <c r="E3778" t="s">
        <v>246</v>
      </c>
      <c r="F3778" s="2" t="str">
        <f>HYPERLINK("http://www.otzar.org/book.asp?63182","אסרו חג הפסח בקהילות ישראל")</f>
        <v>אסרו חג הפסח בקהילות ישראל</v>
      </c>
    </row>
    <row r="3779" spans="1:6" x14ac:dyDescent="0.2">
      <c r="A3779" t="s">
        <v>7230</v>
      </c>
      <c r="B3779" t="s">
        <v>686</v>
      </c>
      <c r="C3779" t="s">
        <v>114</v>
      </c>
      <c r="D3779" t="s">
        <v>52</v>
      </c>
      <c r="E3779" t="s">
        <v>104</v>
      </c>
      <c r="F3779" s="2" t="str">
        <f>HYPERLINK("http://www.otzar.org/book.asp?189695","אסרי לגפן")</f>
        <v>אסרי לגפן</v>
      </c>
    </row>
    <row r="3780" spans="1:6" x14ac:dyDescent="0.2">
      <c r="A3780" t="s">
        <v>7231</v>
      </c>
      <c r="B3780" t="s">
        <v>7232</v>
      </c>
      <c r="C3780" t="s">
        <v>114</v>
      </c>
      <c r="D3780" t="s">
        <v>152</v>
      </c>
      <c r="E3780" t="s">
        <v>241</v>
      </c>
      <c r="F3780" s="2" t="str">
        <f>HYPERLINK("http://www.otzar.org/book.asp?622690","אסתכל באורייתא")</f>
        <v>אסתכל באורייתא</v>
      </c>
    </row>
    <row r="3781" spans="1:6" x14ac:dyDescent="0.2">
      <c r="A3781" t="s">
        <v>7233</v>
      </c>
      <c r="B3781" t="s">
        <v>1066</v>
      </c>
      <c r="C3781" t="s">
        <v>454</v>
      </c>
      <c r="D3781" t="s">
        <v>412</v>
      </c>
      <c r="E3781" t="s">
        <v>1507</v>
      </c>
      <c r="F3781" s="2" t="str">
        <f>HYPERLINK("http://www.otzar.org/book.asp?85588","אסתר המלכה")</f>
        <v>אסתר המלכה</v>
      </c>
    </row>
    <row r="3782" spans="1:6" x14ac:dyDescent="0.2">
      <c r="A3782" t="s">
        <v>7234</v>
      </c>
      <c r="B3782" t="s">
        <v>7235</v>
      </c>
      <c r="C3782" t="s">
        <v>366</v>
      </c>
      <c r="D3782" t="s">
        <v>80</v>
      </c>
      <c r="F3782" s="2" t="str">
        <f>HYPERLINK("http://www.otzar.org/book.asp?609739","אעירה פניך")</f>
        <v>אעירה פניך</v>
      </c>
    </row>
    <row r="3783" spans="1:6" x14ac:dyDescent="0.2">
      <c r="A3783" t="s">
        <v>7236</v>
      </c>
      <c r="B3783" t="s">
        <v>7237</v>
      </c>
      <c r="C3783" t="s">
        <v>17</v>
      </c>
      <c r="D3783" t="s">
        <v>14</v>
      </c>
      <c r="E3783" t="s">
        <v>130</v>
      </c>
      <c r="F3783" s="2" t="str">
        <f>HYPERLINK("http://www.otzar.org/book.asp?171127","אעירה שחר")</f>
        <v>אעירה שחר</v>
      </c>
    </row>
    <row r="3784" spans="1:6" x14ac:dyDescent="0.2">
      <c r="A3784" t="s">
        <v>7238</v>
      </c>
      <c r="B3784" t="s">
        <v>7239</v>
      </c>
      <c r="C3784" t="s">
        <v>133</v>
      </c>
      <c r="D3784" t="s">
        <v>90</v>
      </c>
      <c r="E3784" t="s">
        <v>202</v>
      </c>
      <c r="F3784" s="2" t="str">
        <f>HYPERLINK("http://www.otzar.org/book.asp?176149","אעירה שחר - 2 כר'")</f>
        <v>אעירה שחר - 2 כר'</v>
      </c>
    </row>
    <row r="3785" spans="1:6" x14ac:dyDescent="0.2">
      <c r="A3785" t="s">
        <v>7236</v>
      </c>
      <c r="B3785" t="s">
        <v>2396</v>
      </c>
      <c r="C3785" t="s">
        <v>20</v>
      </c>
      <c r="D3785" t="s">
        <v>90</v>
      </c>
      <c r="E3785" t="s">
        <v>144</v>
      </c>
      <c r="F3785" s="2" t="str">
        <f>HYPERLINK("http://www.otzar.org/book.asp?165294","אעירה שחר")</f>
        <v>אעירה שחר</v>
      </c>
    </row>
    <row r="3786" spans="1:6" x14ac:dyDescent="0.2">
      <c r="A3786" t="s">
        <v>7236</v>
      </c>
      <c r="B3786" t="s">
        <v>7240</v>
      </c>
      <c r="C3786" t="s">
        <v>20</v>
      </c>
      <c r="D3786" t="s">
        <v>90</v>
      </c>
      <c r="F3786" s="2" t="str">
        <f>HYPERLINK("http://www.otzar.org/book.asp?197402","אעירה שחר")</f>
        <v>אעירה שחר</v>
      </c>
    </row>
    <row r="3787" spans="1:6" x14ac:dyDescent="0.2">
      <c r="A3787" t="s">
        <v>7236</v>
      </c>
      <c r="B3787" t="s">
        <v>7241</v>
      </c>
      <c r="C3787" t="s">
        <v>17</v>
      </c>
      <c r="D3787" t="s">
        <v>14</v>
      </c>
      <c r="E3787" t="s">
        <v>144</v>
      </c>
      <c r="F3787" s="2" t="str">
        <f>HYPERLINK("http://www.otzar.org/book.asp?28235","אעירה שחר")</f>
        <v>אעירה שחר</v>
      </c>
    </row>
    <row r="3788" spans="1:6" x14ac:dyDescent="0.2">
      <c r="A3788" t="s">
        <v>7242</v>
      </c>
      <c r="B3788" t="s">
        <v>1353</v>
      </c>
      <c r="C3788" t="s">
        <v>20</v>
      </c>
      <c r="D3788" t="s">
        <v>52</v>
      </c>
      <c r="F3788" s="2" t="str">
        <f>HYPERLINK("http://www.otzar.org/book.asp?609665","אעלה בתמר (קונטרס הזכרון) - 3 כר'")</f>
        <v>אעלה בתמר (קונטרס הזכרון) - 3 כר'</v>
      </c>
    </row>
    <row r="3789" spans="1:6" x14ac:dyDescent="0.2">
      <c r="A3789" t="s">
        <v>7243</v>
      </c>
      <c r="B3789" t="s">
        <v>7243</v>
      </c>
      <c r="C3789" t="s">
        <v>189</v>
      </c>
      <c r="D3789" t="s">
        <v>52</v>
      </c>
      <c r="E3789" t="s">
        <v>2463</v>
      </c>
      <c r="F3789" s="2" t="str">
        <f>HYPERLINK("http://www.otzar.org/book.asp?50697","אעלה בתמר")</f>
        <v>אעלה בתמר</v>
      </c>
    </row>
    <row r="3790" spans="1:6" x14ac:dyDescent="0.2">
      <c r="A3790" t="s">
        <v>7244</v>
      </c>
      <c r="B3790" t="s">
        <v>7245</v>
      </c>
      <c r="C3790" t="s">
        <v>244</v>
      </c>
      <c r="D3790" t="s">
        <v>90</v>
      </c>
      <c r="F3790" s="2" t="str">
        <f>HYPERLINK("http://www.otzar.org/book.asp?612268","אעלה בתמר - 3 כר'")</f>
        <v>אעלה בתמר - 3 כר'</v>
      </c>
    </row>
    <row r="3791" spans="1:6" x14ac:dyDescent="0.2">
      <c r="A3791" t="s">
        <v>7243</v>
      </c>
      <c r="B3791" t="s">
        <v>7246</v>
      </c>
      <c r="C3791" t="s">
        <v>411</v>
      </c>
      <c r="D3791" t="s">
        <v>139</v>
      </c>
      <c r="E3791" t="s">
        <v>158</v>
      </c>
      <c r="F3791" s="2" t="str">
        <f>HYPERLINK("http://www.otzar.org/book.asp?614436","אעלה בתמר")</f>
        <v>אעלה בתמר</v>
      </c>
    </row>
    <row r="3792" spans="1:6" x14ac:dyDescent="0.2">
      <c r="A3792" t="s">
        <v>7243</v>
      </c>
      <c r="B3792" t="s">
        <v>7247</v>
      </c>
      <c r="C3792" t="s">
        <v>146</v>
      </c>
      <c r="D3792" t="s">
        <v>21</v>
      </c>
      <c r="E3792" t="s">
        <v>15</v>
      </c>
      <c r="F3792" s="2" t="str">
        <f>HYPERLINK("http://www.otzar.org/book.asp?195484","אעלה בתמר")</f>
        <v>אעלה בתמר</v>
      </c>
    </row>
    <row r="3793" spans="1:6" x14ac:dyDescent="0.2">
      <c r="A3793" t="s">
        <v>7248</v>
      </c>
      <c r="B3793" t="s">
        <v>552</v>
      </c>
      <c r="C3793" t="s">
        <v>114</v>
      </c>
      <c r="D3793" t="s">
        <v>7249</v>
      </c>
      <c r="E3793" t="s">
        <v>7250</v>
      </c>
      <c r="F3793" s="2" t="str">
        <f>HYPERLINK("http://www.otzar.org/book.asp?166936","אעלה בתמר - מתורת רבני מראכש")</f>
        <v>אעלה בתמר - מתורת רבני מראכש</v>
      </c>
    </row>
    <row r="3794" spans="1:6" x14ac:dyDescent="0.2">
      <c r="A3794" t="s">
        <v>7243</v>
      </c>
      <c r="B3794" t="s">
        <v>2530</v>
      </c>
      <c r="C3794" t="s">
        <v>775</v>
      </c>
      <c r="D3794" t="s">
        <v>14</v>
      </c>
      <c r="E3794" t="s">
        <v>130</v>
      </c>
      <c r="F3794" s="2" t="str">
        <f>HYPERLINK("http://www.otzar.org/book.asp?159717","אעלה בתמר")</f>
        <v>אעלה בתמר</v>
      </c>
    </row>
    <row r="3795" spans="1:6" x14ac:dyDescent="0.2">
      <c r="A3795" t="s">
        <v>7251</v>
      </c>
      <c r="B3795" t="s">
        <v>1353</v>
      </c>
      <c r="C3795" t="s">
        <v>87</v>
      </c>
      <c r="D3795" t="s">
        <v>52</v>
      </c>
      <c r="E3795" t="s">
        <v>803</v>
      </c>
      <c r="F3795" s="2" t="str">
        <f>HYPERLINK("http://www.otzar.org/book.asp?608535","אעלה בתמר - מתורת בית בריסק")</f>
        <v>אעלה בתמר - מתורת בית בריסק</v>
      </c>
    </row>
    <row r="3796" spans="1:6" x14ac:dyDescent="0.2">
      <c r="A3796" t="s">
        <v>7252</v>
      </c>
      <c r="B3796" t="s">
        <v>7253</v>
      </c>
      <c r="C3796" t="s">
        <v>114</v>
      </c>
      <c r="D3796" t="s">
        <v>52</v>
      </c>
      <c r="E3796" t="s">
        <v>154</v>
      </c>
      <c r="F3796" s="2" t="str">
        <f>HYPERLINK("http://www.otzar.org/book.asp?621471","אערוך שולחן")</f>
        <v>אערוך שולחן</v>
      </c>
    </row>
    <row r="3797" spans="1:6" x14ac:dyDescent="0.2">
      <c r="A3797" t="s">
        <v>7254</v>
      </c>
      <c r="B3797" t="s">
        <v>4953</v>
      </c>
      <c r="C3797" t="s">
        <v>37</v>
      </c>
      <c r="D3797" t="s">
        <v>14</v>
      </c>
      <c r="F3797" s="2" t="str">
        <f>HYPERLINK("http://www.otzar.org/book.asp?614685","אערוך שועי - הושענות מפורשות ומבוארות")</f>
        <v>אערוך שועי - הושענות מפורשות ומבוארות</v>
      </c>
    </row>
    <row r="3798" spans="1:6" x14ac:dyDescent="0.2">
      <c r="A3798" t="s">
        <v>7255</v>
      </c>
      <c r="B3798" t="s">
        <v>5975</v>
      </c>
      <c r="C3798" t="s">
        <v>20</v>
      </c>
      <c r="D3798" t="s">
        <v>2458</v>
      </c>
      <c r="E3798" t="s">
        <v>1211</v>
      </c>
      <c r="F3798" s="2" t="str">
        <f>HYPERLINK("http://www.otzar.org/book.asp?163057","אף על פי בלשון חז""ל והגאונים")</f>
        <v>אף על פי בלשון חז"ל והגאונים</v>
      </c>
    </row>
    <row r="3799" spans="1:6" x14ac:dyDescent="0.2">
      <c r="A3799" t="s">
        <v>7256</v>
      </c>
      <c r="B3799" t="s">
        <v>7257</v>
      </c>
      <c r="C3799" t="s">
        <v>503</v>
      </c>
      <c r="D3799" t="s">
        <v>157</v>
      </c>
      <c r="E3799" t="s">
        <v>234</v>
      </c>
      <c r="F3799" s="2" t="str">
        <f>HYPERLINK("http://www.otzar.org/book.asp?26068","אפד בד")</f>
        <v>אפד בד</v>
      </c>
    </row>
    <row r="3800" spans="1:6" x14ac:dyDescent="0.2">
      <c r="A3800" t="s">
        <v>7258</v>
      </c>
      <c r="B3800" t="s">
        <v>7259</v>
      </c>
      <c r="C3800" t="s">
        <v>111</v>
      </c>
      <c r="D3800" t="s">
        <v>90</v>
      </c>
      <c r="E3800" t="s">
        <v>158</v>
      </c>
      <c r="F3800" s="2" t="str">
        <f>HYPERLINK("http://www.otzar.org/book.asp?612269","אפוד בד - תורה")</f>
        <v>אפוד בד - תורה</v>
      </c>
    </row>
    <row r="3801" spans="1:6" x14ac:dyDescent="0.2">
      <c r="A3801" t="s">
        <v>7260</v>
      </c>
      <c r="B3801" t="s">
        <v>7261</v>
      </c>
      <c r="C3801" t="s">
        <v>558</v>
      </c>
      <c r="D3801" t="s">
        <v>379</v>
      </c>
      <c r="E3801" t="s">
        <v>588</v>
      </c>
      <c r="F3801" s="2" t="str">
        <f>HYPERLINK("http://www.otzar.org/book.asp?17237","אפוד בד")</f>
        <v>אפוד בד</v>
      </c>
    </row>
    <row r="3802" spans="1:6" x14ac:dyDescent="0.2">
      <c r="A3802" t="s">
        <v>7262</v>
      </c>
      <c r="B3802" t="s">
        <v>7263</v>
      </c>
      <c r="C3802" t="s">
        <v>133</v>
      </c>
      <c r="D3802" t="s">
        <v>852</v>
      </c>
      <c r="E3802" t="s">
        <v>144</v>
      </c>
      <c r="F3802" s="2" t="str">
        <f>HYPERLINK("http://www.otzar.org/book.asp?198050","אפוד בד - 7 כר'")</f>
        <v>אפוד בד - 7 כר'</v>
      </c>
    </row>
    <row r="3803" spans="1:6" x14ac:dyDescent="0.2">
      <c r="A3803" t="s">
        <v>7264</v>
      </c>
      <c r="B3803" t="s">
        <v>7265</v>
      </c>
      <c r="C3803" t="s">
        <v>1659</v>
      </c>
      <c r="D3803" t="s">
        <v>49</v>
      </c>
      <c r="E3803" t="s">
        <v>172</v>
      </c>
      <c r="F3803" s="2" t="str">
        <f>HYPERLINK("http://www.otzar.org/book.asp?100252","אפי זוטרי")</f>
        <v>אפי זוטרי</v>
      </c>
    </row>
    <row r="3804" spans="1:6" x14ac:dyDescent="0.2">
      <c r="A3804" t="s">
        <v>7264</v>
      </c>
      <c r="B3804" t="s">
        <v>7266</v>
      </c>
      <c r="C3804" t="s">
        <v>6448</v>
      </c>
      <c r="D3804" t="s">
        <v>76</v>
      </c>
      <c r="E3804" t="s">
        <v>15</v>
      </c>
      <c r="F3804" s="2" t="str">
        <f>HYPERLINK("http://www.otzar.org/book.asp?100300","אפי זוטרי")</f>
        <v>אפי זוטרי</v>
      </c>
    </row>
    <row r="3805" spans="1:6" x14ac:dyDescent="0.2">
      <c r="A3805" t="s">
        <v>7267</v>
      </c>
      <c r="B3805" t="s">
        <v>7268</v>
      </c>
      <c r="C3805" t="s">
        <v>1737</v>
      </c>
      <c r="D3805" t="s">
        <v>212</v>
      </c>
      <c r="E3805" t="s">
        <v>234</v>
      </c>
      <c r="F3805" s="2" t="str">
        <f>HYPERLINK("http://www.otzar.org/book.asp?100349","אפי משה")</f>
        <v>אפי משה</v>
      </c>
    </row>
    <row r="3806" spans="1:6" x14ac:dyDescent="0.2">
      <c r="A3806" t="s">
        <v>7269</v>
      </c>
      <c r="B3806" t="s">
        <v>1035</v>
      </c>
      <c r="C3806" t="s">
        <v>915</v>
      </c>
      <c r="D3806" t="s">
        <v>56</v>
      </c>
      <c r="E3806" t="s">
        <v>172</v>
      </c>
      <c r="F3806" s="2" t="str">
        <f>HYPERLINK("http://www.otzar.org/book.asp?153039","אפי רברבי")</f>
        <v>אפי רברבי</v>
      </c>
    </row>
    <row r="3807" spans="1:6" x14ac:dyDescent="0.2">
      <c r="A3807" t="s">
        <v>7270</v>
      </c>
      <c r="B3807" t="s">
        <v>2500</v>
      </c>
      <c r="C3807" t="s">
        <v>533</v>
      </c>
      <c r="D3807" t="s">
        <v>14</v>
      </c>
      <c r="E3807" t="s">
        <v>130</v>
      </c>
      <c r="F3807" s="2" t="str">
        <f>HYPERLINK("http://www.otzar.org/book.asp?63230","אפיית המצות השלם")</f>
        <v>אפיית המצות השלם</v>
      </c>
    </row>
    <row r="3808" spans="1:6" x14ac:dyDescent="0.2">
      <c r="A3808" t="s">
        <v>7271</v>
      </c>
      <c r="B3808" t="s">
        <v>7272</v>
      </c>
      <c r="C3808" t="s">
        <v>775</v>
      </c>
      <c r="D3808" t="s">
        <v>4646</v>
      </c>
      <c r="E3808" t="s">
        <v>199</v>
      </c>
      <c r="F3808" s="2" t="str">
        <f>HYPERLINK("http://www.otzar.org/book.asp?162414","אפיק בנגב")</f>
        <v>אפיק בנגב</v>
      </c>
    </row>
    <row r="3809" spans="1:6" x14ac:dyDescent="0.2">
      <c r="A3809" t="s">
        <v>7273</v>
      </c>
      <c r="B3809" t="s">
        <v>7274</v>
      </c>
      <c r="C3809" t="s">
        <v>411</v>
      </c>
      <c r="D3809" t="s">
        <v>520</v>
      </c>
      <c r="E3809" t="s">
        <v>158</v>
      </c>
      <c r="F3809" s="2" t="str">
        <f>HYPERLINK("http://www.otzar.org/book.asp?175547","אפיקי אליהו - 2 כר'")</f>
        <v>אפיקי אליהו - 2 כר'</v>
      </c>
    </row>
    <row r="3810" spans="1:6" x14ac:dyDescent="0.2">
      <c r="A3810" t="s">
        <v>7275</v>
      </c>
      <c r="B3810" t="s">
        <v>7276</v>
      </c>
      <c r="C3810" t="s">
        <v>20</v>
      </c>
      <c r="D3810" t="s">
        <v>7277</v>
      </c>
      <c r="E3810" t="s">
        <v>186</v>
      </c>
      <c r="F3810" s="2" t="str">
        <f>HYPERLINK("http://www.otzar.org/book.asp?166081","אפיקי דעה - 5 כר'")</f>
        <v>אפיקי דעה - 5 כר'</v>
      </c>
    </row>
    <row r="3811" spans="1:6" x14ac:dyDescent="0.2">
      <c r="A3811" t="s">
        <v>7278</v>
      </c>
      <c r="B3811" t="s">
        <v>7274</v>
      </c>
      <c r="C3811" t="s">
        <v>151</v>
      </c>
      <c r="D3811" t="s">
        <v>1156</v>
      </c>
      <c r="F3811" s="2" t="str">
        <f>HYPERLINK("http://www.otzar.org/book.asp?617725","אפיקי המועדים")</f>
        <v>אפיקי המועדים</v>
      </c>
    </row>
    <row r="3812" spans="1:6" x14ac:dyDescent="0.2">
      <c r="A3812" t="s">
        <v>7279</v>
      </c>
      <c r="B3812" t="s">
        <v>7280</v>
      </c>
      <c r="C3812" t="s">
        <v>767</v>
      </c>
      <c r="D3812" t="s">
        <v>52</v>
      </c>
      <c r="E3812" t="s">
        <v>144</v>
      </c>
      <c r="F3812" s="2" t="str">
        <f>HYPERLINK("http://www.otzar.org/book.asp?61783","אפיקי חיים - בבא מציעא")</f>
        <v>אפיקי חיים - בבא מציעא</v>
      </c>
    </row>
    <row r="3813" spans="1:6" x14ac:dyDescent="0.2">
      <c r="A3813" t="s">
        <v>7281</v>
      </c>
      <c r="B3813" t="s">
        <v>5139</v>
      </c>
      <c r="C3813" t="s">
        <v>466</v>
      </c>
      <c r="D3813" t="s">
        <v>14</v>
      </c>
      <c r="E3813" t="s">
        <v>234</v>
      </c>
      <c r="F3813" s="2" t="str">
        <f>HYPERLINK("http://www.otzar.org/book.asp?146977","אפיקי יהודה &lt;מהדורה חדשה&gt; - 2 כר'")</f>
        <v>אפיקי יהודה &lt;מהדורה חדשה&gt; - 2 כר'</v>
      </c>
    </row>
    <row r="3814" spans="1:6" x14ac:dyDescent="0.2">
      <c r="A3814" t="s">
        <v>7282</v>
      </c>
      <c r="B3814" t="s">
        <v>7283</v>
      </c>
      <c r="C3814" t="s">
        <v>7284</v>
      </c>
      <c r="D3814" t="s">
        <v>7285</v>
      </c>
      <c r="F3814" s="2" t="str">
        <f>HYPERLINK("http://www.otzar.org/book.asp?614597","אפיקי יהודה")</f>
        <v>אפיקי יהודה</v>
      </c>
    </row>
    <row r="3815" spans="1:6" x14ac:dyDescent="0.2">
      <c r="A3815" t="s">
        <v>7286</v>
      </c>
      <c r="B3815" t="s">
        <v>7287</v>
      </c>
      <c r="C3815" t="s">
        <v>114</v>
      </c>
      <c r="D3815" t="s">
        <v>52</v>
      </c>
      <c r="E3815" t="s">
        <v>803</v>
      </c>
      <c r="F3815" s="2" t="str">
        <f>HYPERLINK("http://www.otzar.org/book.asp?165045","אפיקי יהודה - 2 כר'")</f>
        <v>אפיקי יהודה - 2 כר'</v>
      </c>
    </row>
    <row r="3816" spans="1:6" x14ac:dyDescent="0.2">
      <c r="A3816" t="s">
        <v>7288</v>
      </c>
      <c r="B3816" t="s">
        <v>5139</v>
      </c>
      <c r="C3816" t="s">
        <v>915</v>
      </c>
      <c r="D3816" t="s">
        <v>60</v>
      </c>
      <c r="E3816" t="s">
        <v>234</v>
      </c>
      <c r="F3816" s="2" t="str">
        <f>HYPERLINK("http://www.otzar.org/book.asp?200115","אפיקי יהודה - 4 כר'")</f>
        <v>אפיקי יהודה - 4 כר'</v>
      </c>
    </row>
    <row r="3817" spans="1:6" x14ac:dyDescent="0.2">
      <c r="A3817" t="s">
        <v>7289</v>
      </c>
      <c r="B3817" t="s">
        <v>3522</v>
      </c>
      <c r="C3817" t="s">
        <v>87</v>
      </c>
      <c r="D3817" t="s">
        <v>21</v>
      </c>
      <c r="E3817" t="s">
        <v>144</v>
      </c>
      <c r="F3817" s="2" t="str">
        <f>HYPERLINK("http://www.otzar.org/book.asp?190345","אפיקי ים - 2 כר'")</f>
        <v>אפיקי ים - 2 כר'</v>
      </c>
    </row>
    <row r="3818" spans="1:6" x14ac:dyDescent="0.2">
      <c r="A3818" t="s">
        <v>7290</v>
      </c>
      <c r="B3818" t="s">
        <v>7291</v>
      </c>
      <c r="C3818" t="s">
        <v>7292</v>
      </c>
      <c r="D3818" t="s">
        <v>56</v>
      </c>
      <c r="E3818" t="s">
        <v>2199</v>
      </c>
      <c r="F3818" s="2" t="str">
        <f>HYPERLINK("http://www.otzar.org/book.asp?11624","אפיקי ים - א ב")</f>
        <v>אפיקי ים - א ב</v>
      </c>
    </row>
    <row r="3819" spans="1:6" x14ac:dyDescent="0.2">
      <c r="A3819" t="s">
        <v>7293</v>
      </c>
      <c r="B3819" t="s">
        <v>7294</v>
      </c>
      <c r="C3819" t="s">
        <v>20</v>
      </c>
      <c r="D3819" t="s">
        <v>2468</v>
      </c>
      <c r="E3819" t="s">
        <v>158</v>
      </c>
      <c r="F3819" s="2" t="str">
        <f>HYPERLINK("http://www.otzar.org/book.asp?64016","אפיקי ים - א")</f>
        <v>אפיקי ים - א</v>
      </c>
    </row>
    <row r="3820" spans="1:6" x14ac:dyDescent="0.2">
      <c r="A3820" t="s">
        <v>7295</v>
      </c>
      <c r="B3820" t="s">
        <v>7296</v>
      </c>
      <c r="C3820" t="s">
        <v>466</v>
      </c>
      <c r="D3820" t="s">
        <v>14</v>
      </c>
      <c r="E3820" t="s">
        <v>144</v>
      </c>
      <c r="F3820" s="2" t="str">
        <f>HYPERLINK("http://www.otzar.org/book.asp?173862","אפיקי מגינים - 10 כר'")</f>
        <v>אפיקי מגינים - 10 כר'</v>
      </c>
    </row>
    <row r="3821" spans="1:6" x14ac:dyDescent="0.2">
      <c r="A3821" t="s">
        <v>7297</v>
      </c>
      <c r="B3821" t="s">
        <v>7298</v>
      </c>
      <c r="C3821" t="s">
        <v>496</v>
      </c>
      <c r="D3821" t="s">
        <v>56</v>
      </c>
      <c r="E3821" t="s">
        <v>172</v>
      </c>
      <c r="F3821" s="2" t="str">
        <f>HYPERLINK("http://www.otzar.org/book.asp?6034","אפיקי מגינים - 2 כר'")</f>
        <v>אפיקי מגינים - 2 כר'</v>
      </c>
    </row>
    <row r="3822" spans="1:6" x14ac:dyDescent="0.2">
      <c r="A3822" t="s">
        <v>7299</v>
      </c>
      <c r="B3822" t="s">
        <v>7300</v>
      </c>
      <c r="C3822" t="s">
        <v>146</v>
      </c>
      <c r="D3822" t="s">
        <v>14</v>
      </c>
      <c r="E3822" t="s">
        <v>674</v>
      </c>
      <c r="F3822" s="2" t="str">
        <f>HYPERLINK("http://www.otzar.org/book.asp?159013","אפיקי מגנים")</f>
        <v>אפיקי מגנים</v>
      </c>
    </row>
    <row r="3823" spans="1:6" x14ac:dyDescent="0.2">
      <c r="A3823" t="s">
        <v>7301</v>
      </c>
      <c r="B3823" t="s">
        <v>1800</v>
      </c>
      <c r="C3823" t="s">
        <v>332</v>
      </c>
      <c r="D3823" t="s">
        <v>14</v>
      </c>
      <c r="E3823" t="s">
        <v>399</v>
      </c>
      <c r="F3823" s="2" t="str">
        <f>HYPERLINK("http://www.otzar.org/book.asp?617639","אפיקי מים &lt;כת""י&gt;")</f>
        <v>אפיקי מים &lt;כת"י&gt;</v>
      </c>
    </row>
    <row r="3824" spans="1:6" x14ac:dyDescent="0.2">
      <c r="A3824" t="s">
        <v>7302</v>
      </c>
      <c r="B3824" t="s">
        <v>206</v>
      </c>
      <c r="C3824" t="s">
        <v>111</v>
      </c>
      <c r="D3824" t="s">
        <v>90</v>
      </c>
      <c r="E3824" t="s">
        <v>104</v>
      </c>
      <c r="F3824" s="2" t="str">
        <f>HYPERLINK("http://www.otzar.org/book.asp?619362","אפיקי מים - 2 כר'")</f>
        <v>אפיקי מים - 2 כר'</v>
      </c>
    </row>
    <row r="3825" spans="1:6" x14ac:dyDescent="0.2">
      <c r="A3825" t="s">
        <v>7303</v>
      </c>
      <c r="B3825" t="s">
        <v>686</v>
      </c>
      <c r="C3825" t="s">
        <v>133</v>
      </c>
      <c r="D3825" t="s">
        <v>52</v>
      </c>
      <c r="E3825" t="s">
        <v>104</v>
      </c>
      <c r="F3825" s="2" t="str">
        <f>HYPERLINK("http://www.otzar.org/book.asp?170889","אפיקי מים")</f>
        <v>אפיקי מים</v>
      </c>
    </row>
    <row r="3826" spans="1:6" x14ac:dyDescent="0.2">
      <c r="A3826" t="s">
        <v>7304</v>
      </c>
      <c r="B3826" t="s">
        <v>7305</v>
      </c>
      <c r="C3826" t="s">
        <v>151</v>
      </c>
      <c r="D3826" t="s">
        <v>52</v>
      </c>
      <c r="F3826" s="2" t="str">
        <f>HYPERLINK("http://www.otzar.org/book.asp?617723","אפיקי מים - 4 כר'")</f>
        <v>אפיקי מים - 4 כר'</v>
      </c>
    </row>
    <row r="3827" spans="1:6" x14ac:dyDescent="0.2">
      <c r="A3827" t="s">
        <v>7302</v>
      </c>
      <c r="B3827" t="s">
        <v>7306</v>
      </c>
      <c r="C3827" t="s">
        <v>366</v>
      </c>
      <c r="D3827" t="s">
        <v>14</v>
      </c>
      <c r="E3827" t="s">
        <v>144</v>
      </c>
      <c r="F3827" s="2" t="str">
        <f>HYPERLINK("http://www.otzar.org/book.asp?607482","אפיקי מים - 2 כר'")</f>
        <v>אפיקי מים - 2 כר'</v>
      </c>
    </row>
    <row r="3828" spans="1:6" x14ac:dyDescent="0.2">
      <c r="A3828" t="s">
        <v>7303</v>
      </c>
      <c r="B3828" t="s">
        <v>7307</v>
      </c>
      <c r="C3828" t="s">
        <v>1208</v>
      </c>
      <c r="D3828" t="s">
        <v>14</v>
      </c>
      <c r="E3828" t="s">
        <v>234</v>
      </c>
      <c r="F3828" s="2" t="str">
        <f>HYPERLINK("http://www.otzar.org/book.asp?162095","אפיקי מים")</f>
        <v>אפיקי מים</v>
      </c>
    </row>
    <row r="3829" spans="1:6" x14ac:dyDescent="0.2">
      <c r="A3829" t="s">
        <v>7304</v>
      </c>
      <c r="B3829" t="s">
        <v>941</v>
      </c>
      <c r="C3829" t="s">
        <v>114</v>
      </c>
      <c r="D3829" t="s">
        <v>14</v>
      </c>
      <c r="E3829" t="s">
        <v>15</v>
      </c>
      <c r="F3829" s="2" t="str">
        <f>HYPERLINK("http://www.otzar.org/book.asp?169387","אפיקי מים - 4 כר'")</f>
        <v>אפיקי מים - 4 כר'</v>
      </c>
    </row>
    <row r="3830" spans="1:6" x14ac:dyDescent="0.2">
      <c r="A3830" t="s">
        <v>7302</v>
      </c>
      <c r="B3830" t="s">
        <v>7308</v>
      </c>
      <c r="C3830" t="s">
        <v>129</v>
      </c>
      <c r="D3830" t="s">
        <v>52</v>
      </c>
      <c r="E3830" t="s">
        <v>2071</v>
      </c>
      <c r="F3830" s="2" t="str">
        <f>HYPERLINK("http://www.otzar.org/book.asp?151188","אפיקי מים - 2 כר'")</f>
        <v>אפיקי מים - 2 כר'</v>
      </c>
    </row>
    <row r="3831" spans="1:6" x14ac:dyDescent="0.2">
      <c r="A3831" t="s">
        <v>7309</v>
      </c>
      <c r="B3831" t="s">
        <v>7310</v>
      </c>
      <c r="C3831" t="s">
        <v>37</v>
      </c>
      <c r="D3831" t="s">
        <v>14</v>
      </c>
      <c r="E3831" t="s">
        <v>104</v>
      </c>
      <c r="F3831" s="2" t="str">
        <f>HYPERLINK("http://www.otzar.org/book.asp?626569","אפיקי מים - 9 כר'")</f>
        <v>אפיקי מים - 9 כר'</v>
      </c>
    </row>
    <row r="3832" spans="1:6" x14ac:dyDescent="0.2">
      <c r="A3832" t="s">
        <v>7311</v>
      </c>
      <c r="B3832" t="s">
        <v>206</v>
      </c>
      <c r="C3832" t="s">
        <v>111</v>
      </c>
      <c r="D3832" t="s">
        <v>90</v>
      </c>
      <c r="E3832" t="s">
        <v>140</v>
      </c>
      <c r="F3832" s="2" t="str">
        <f>HYPERLINK("http://www.otzar.org/book.asp?629662","אפיקי נחל")</f>
        <v>אפיקי נחל</v>
      </c>
    </row>
    <row r="3833" spans="1:6" x14ac:dyDescent="0.2">
      <c r="A3833" t="s">
        <v>7312</v>
      </c>
      <c r="B3833" t="s">
        <v>7313</v>
      </c>
      <c r="C3833" t="s">
        <v>533</v>
      </c>
      <c r="D3833" t="s">
        <v>52</v>
      </c>
      <c r="E3833" t="s">
        <v>186</v>
      </c>
      <c r="F3833" s="2" t="str">
        <f>HYPERLINK("http://www.otzar.org/book.asp?158808","אפיקי תורה - 6 כר'")</f>
        <v>אפיקי תורה - 6 כר'</v>
      </c>
    </row>
    <row r="3834" spans="1:6" x14ac:dyDescent="0.2">
      <c r="A3834" t="s">
        <v>7314</v>
      </c>
      <c r="B3834" t="s">
        <v>7315</v>
      </c>
      <c r="C3834" t="s">
        <v>785</v>
      </c>
      <c r="D3834" t="s">
        <v>90</v>
      </c>
      <c r="E3834" t="s">
        <v>158</v>
      </c>
      <c r="F3834" s="2" t="str">
        <f>HYPERLINK("http://www.otzar.org/book.asp?605035","אפיקי תורה - שמות")</f>
        <v>אפיקי תורה - שמות</v>
      </c>
    </row>
    <row r="3835" spans="1:6" x14ac:dyDescent="0.2">
      <c r="A3835" t="s">
        <v>7316</v>
      </c>
      <c r="B3835" t="s">
        <v>489</v>
      </c>
      <c r="C3835" t="s">
        <v>146</v>
      </c>
      <c r="D3835" t="s">
        <v>412</v>
      </c>
      <c r="E3835" t="s">
        <v>202</v>
      </c>
      <c r="F3835" s="2" t="str">
        <f>HYPERLINK("http://www.otzar.org/book.asp?53734","אפיקי תורה - 2 כר'")</f>
        <v>אפיקי תורה - 2 כר'</v>
      </c>
    </row>
    <row r="3836" spans="1:6" x14ac:dyDescent="0.2">
      <c r="A3836" t="s">
        <v>7317</v>
      </c>
      <c r="B3836" t="s">
        <v>7318</v>
      </c>
      <c r="C3836" t="s">
        <v>111</v>
      </c>
      <c r="D3836" t="s">
        <v>721</v>
      </c>
      <c r="E3836" t="s">
        <v>144</v>
      </c>
      <c r="F3836" s="2" t="str">
        <f>HYPERLINK("http://www.otzar.org/book.asp?629091","אפיקי תלמוד")</f>
        <v>אפיקי תלמוד</v>
      </c>
    </row>
    <row r="3837" spans="1:6" x14ac:dyDescent="0.2">
      <c r="A3837" t="s">
        <v>7319</v>
      </c>
      <c r="B3837" t="s">
        <v>7320</v>
      </c>
      <c r="C3837" t="s">
        <v>146</v>
      </c>
      <c r="D3837" t="s">
        <v>14</v>
      </c>
      <c r="E3837" t="s">
        <v>15</v>
      </c>
      <c r="F3837" s="2" t="str">
        <f>HYPERLINK("http://www.otzar.org/book.asp?26413","אפית מצות למהדרין")</f>
        <v>אפית מצות למהדרין</v>
      </c>
    </row>
    <row r="3838" spans="1:6" x14ac:dyDescent="0.2">
      <c r="A3838" t="s">
        <v>7321</v>
      </c>
      <c r="B3838" t="s">
        <v>7322</v>
      </c>
      <c r="C3838" t="s">
        <v>189</v>
      </c>
      <c r="D3838" t="s">
        <v>2125</v>
      </c>
      <c r="E3838" t="s">
        <v>144</v>
      </c>
      <c r="F3838" s="2" t="str">
        <f>HYPERLINK("http://www.otzar.org/book.asp?162293","אפיתחא דבבא - 3 כר'")</f>
        <v>אפיתחא דבבא - 3 כר'</v>
      </c>
    </row>
    <row r="3839" spans="1:6" x14ac:dyDescent="0.2">
      <c r="A3839" t="s">
        <v>7323</v>
      </c>
      <c r="B3839" t="s">
        <v>7324</v>
      </c>
      <c r="C3839" t="s">
        <v>114</v>
      </c>
      <c r="D3839" t="s">
        <v>412</v>
      </c>
      <c r="E3839" t="s">
        <v>246</v>
      </c>
      <c r="F3839" s="2" t="str">
        <f>HYPERLINK("http://www.otzar.org/book.asp?162661","אפיתחא דמערתא")</f>
        <v>אפיתחא דמערתא</v>
      </c>
    </row>
    <row r="3840" spans="1:6" x14ac:dyDescent="0.2">
      <c r="A3840" t="s">
        <v>7325</v>
      </c>
      <c r="B3840" t="s">
        <v>7322</v>
      </c>
      <c r="C3840" t="s">
        <v>23</v>
      </c>
      <c r="D3840" t="s">
        <v>2125</v>
      </c>
      <c r="E3840" t="s">
        <v>144</v>
      </c>
      <c r="F3840" s="2" t="str">
        <f>HYPERLINK("http://www.otzar.org/book.asp?193515","אפיתחא דשמעתתא - 2 כר'")</f>
        <v>אפיתחא דשמעתתא - 2 כר'</v>
      </c>
    </row>
    <row r="3841" spans="1:6" x14ac:dyDescent="0.2">
      <c r="A3841" t="s">
        <v>7326</v>
      </c>
      <c r="B3841" t="s">
        <v>7327</v>
      </c>
      <c r="C3841" t="s">
        <v>7328</v>
      </c>
      <c r="D3841" t="s">
        <v>379</v>
      </c>
      <c r="E3841" t="s">
        <v>158</v>
      </c>
      <c r="F3841" s="2" t="str">
        <f>HYPERLINK("http://www.otzar.org/book.asp?300344","אפסי ארץ - 3 כר'")</f>
        <v>אפסי ארץ - 3 כר'</v>
      </c>
    </row>
    <row r="3842" spans="1:6" x14ac:dyDescent="0.2">
      <c r="A3842" t="s">
        <v>7329</v>
      </c>
      <c r="B3842" t="s">
        <v>7330</v>
      </c>
      <c r="C3842" t="s">
        <v>334</v>
      </c>
      <c r="D3842" t="s">
        <v>14</v>
      </c>
      <c r="E3842" t="s">
        <v>3567</v>
      </c>
      <c r="F3842" s="2" t="str">
        <f>HYPERLINK("http://www.otzar.org/book.asp?107012","אפקעתא דמלכא")</f>
        <v>אפקעתא דמלכא</v>
      </c>
    </row>
    <row r="3843" spans="1:6" x14ac:dyDescent="0.2">
      <c r="A3843" t="s">
        <v>7331</v>
      </c>
      <c r="B3843" t="s">
        <v>7332</v>
      </c>
      <c r="C3843" t="s">
        <v>143</v>
      </c>
      <c r="D3843" t="s">
        <v>412</v>
      </c>
      <c r="E3843" t="s">
        <v>463</v>
      </c>
      <c r="F3843" s="2" t="str">
        <f>HYPERLINK("http://www.otzar.org/book.asp?196154","אפר יצחק - שמועות דוד - תורת יחיאל")</f>
        <v>אפר יצחק - שמועות דוד - תורת יחיאל</v>
      </c>
    </row>
    <row r="3844" spans="1:6" x14ac:dyDescent="0.2">
      <c r="A3844" t="s">
        <v>7333</v>
      </c>
      <c r="B3844" t="s">
        <v>7334</v>
      </c>
      <c r="C3844" t="s">
        <v>13</v>
      </c>
      <c r="D3844" t="s">
        <v>139</v>
      </c>
      <c r="E3844" t="s">
        <v>399</v>
      </c>
      <c r="F3844" s="2" t="str">
        <f>HYPERLINK("http://www.otzar.org/book.asp?180266","אפר יצחק")</f>
        <v>אפר יצחק</v>
      </c>
    </row>
    <row r="3845" spans="1:6" x14ac:dyDescent="0.2">
      <c r="A3845" t="s">
        <v>7335</v>
      </c>
      <c r="B3845" t="s">
        <v>7336</v>
      </c>
      <c r="C3845" t="s">
        <v>919</v>
      </c>
      <c r="D3845" t="s">
        <v>412</v>
      </c>
      <c r="E3845" t="s">
        <v>144</v>
      </c>
      <c r="F3845" s="2" t="str">
        <f>HYPERLINK("http://www.otzar.org/book.asp?6680","אפר קדשים")</f>
        <v>אפר קדשים</v>
      </c>
    </row>
    <row r="3846" spans="1:6" x14ac:dyDescent="0.2">
      <c r="A3846" t="s">
        <v>7337</v>
      </c>
      <c r="B3846" t="s">
        <v>2528</v>
      </c>
      <c r="C3846" t="s">
        <v>176</v>
      </c>
      <c r="D3846" t="s">
        <v>14</v>
      </c>
      <c r="E3846" t="s">
        <v>158</v>
      </c>
      <c r="F3846" s="2" t="str">
        <f>HYPERLINK("http://www.otzar.org/book.asp?163769","אפריון  &lt;מהדורה חדשה&gt;")</f>
        <v>אפריון  &lt;מהדורה חדשה&gt;</v>
      </c>
    </row>
    <row r="3847" spans="1:6" x14ac:dyDescent="0.2">
      <c r="A3847" t="s">
        <v>7338</v>
      </c>
      <c r="B3847" t="s">
        <v>7339</v>
      </c>
      <c r="C3847" t="s">
        <v>411</v>
      </c>
      <c r="D3847" t="s">
        <v>486</v>
      </c>
      <c r="E3847" t="s">
        <v>1174</v>
      </c>
      <c r="F3847" s="2" t="str">
        <f>HYPERLINK("http://www.otzar.org/book.asp?195805","אפריון &lt;בטאון טולנא&gt; - ד")</f>
        <v>אפריון &lt;בטאון טולנא&gt; - ד</v>
      </c>
    </row>
    <row r="3848" spans="1:6" x14ac:dyDescent="0.2">
      <c r="A3848" t="s">
        <v>7340</v>
      </c>
      <c r="B3848" t="s">
        <v>7341</v>
      </c>
      <c r="C3848" t="s">
        <v>266</v>
      </c>
      <c r="D3848" t="s">
        <v>7342</v>
      </c>
      <c r="E3848" t="s">
        <v>154</v>
      </c>
      <c r="F3848" s="2" t="str">
        <f>HYPERLINK("http://www.otzar.org/book.asp?100275","אפריון דוד")</f>
        <v>אפריון דוד</v>
      </c>
    </row>
    <row r="3849" spans="1:6" x14ac:dyDescent="0.2">
      <c r="A3849" t="s">
        <v>7343</v>
      </c>
      <c r="B3849" t="s">
        <v>338</v>
      </c>
      <c r="C3849" t="s">
        <v>37</v>
      </c>
      <c r="D3849" t="s">
        <v>14</v>
      </c>
      <c r="E3849" t="s">
        <v>15</v>
      </c>
      <c r="F3849" s="2" t="str">
        <f>HYPERLINK("http://www.otzar.org/book.asp?182509","אפריון חתנים")</f>
        <v>אפריון חתנים</v>
      </c>
    </row>
    <row r="3850" spans="1:6" x14ac:dyDescent="0.2">
      <c r="A3850" t="s">
        <v>7344</v>
      </c>
      <c r="B3850" t="s">
        <v>1331</v>
      </c>
      <c r="C3850" t="s">
        <v>51</v>
      </c>
      <c r="D3850" t="s">
        <v>14</v>
      </c>
      <c r="E3850" t="s">
        <v>154</v>
      </c>
      <c r="F3850" s="2" t="str">
        <f>HYPERLINK("http://www.otzar.org/book.asp?26058","אפריון חתנים - 2 כר'")</f>
        <v>אפריון חתנים - 2 כר'</v>
      </c>
    </row>
    <row r="3851" spans="1:6" x14ac:dyDescent="0.2">
      <c r="A3851" t="s">
        <v>7345</v>
      </c>
      <c r="B3851" t="s">
        <v>7346</v>
      </c>
      <c r="C3851" t="s">
        <v>71</v>
      </c>
      <c r="D3851" t="s">
        <v>152</v>
      </c>
      <c r="E3851" t="s">
        <v>803</v>
      </c>
      <c r="F3851" s="2" t="str">
        <f>HYPERLINK("http://www.otzar.org/book.asp?50334","אפריון יוסף - 2 כר'")</f>
        <v>אפריון יוסף - 2 כר'</v>
      </c>
    </row>
    <row r="3852" spans="1:6" x14ac:dyDescent="0.2">
      <c r="A3852" t="s">
        <v>7347</v>
      </c>
      <c r="B3852" t="s">
        <v>7348</v>
      </c>
      <c r="C3852" t="s">
        <v>133</v>
      </c>
      <c r="D3852" t="s">
        <v>14</v>
      </c>
      <c r="E3852" t="s">
        <v>104</v>
      </c>
      <c r="F3852" s="2" t="str">
        <f>HYPERLINK("http://www.otzar.org/book.asp?171104","אפריון יעקב")</f>
        <v>אפריון יעקב</v>
      </c>
    </row>
    <row r="3853" spans="1:6" x14ac:dyDescent="0.2">
      <c r="A3853" t="s">
        <v>7349</v>
      </c>
      <c r="B3853" t="s">
        <v>7349</v>
      </c>
      <c r="C3853" t="s">
        <v>176</v>
      </c>
      <c r="D3853" t="s">
        <v>52</v>
      </c>
      <c r="E3853" t="s">
        <v>158</v>
      </c>
      <c r="F3853" s="2" t="str">
        <f>HYPERLINK("http://www.otzar.org/book.asp?23765","אפריון ישראל")</f>
        <v>אפריון ישראל</v>
      </c>
    </row>
    <row r="3854" spans="1:6" x14ac:dyDescent="0.2">
      <c r="A3854" t="s">
        <v>7350</v>
      </c>
      <c r="B3854" t="s">
        <v>7351</v>
      </c>
      <c r="C3854" t="s">
        <v>23</v>
      </c>
      <c r="D3854" t="s">
        <v>245</v>
      </c>
      <c r="E3854" t="s">
        <v>202</v>
      </c>
      <c r="F3854" s="2" t="str">
        <f>HYPERLINK("http://www.otzar.org/book.asp?606335","אפריון לשלמה")</f>
        <v>אפריון לשלמה</v>
      </c>
    </row>
    <row r="3855" spans="1:6" x14ac:dyDescent="0.2">
      <c r="A3855" t="s">
        <v>7350</v>
      </c>
      <c r="B3855" t="s">
        <v>7352</v>
      </c>
      <c r="C3855" t="s">
        <v>37</v>
      </c>
      <c r="D3855" t="s">
        <v>52</v>
      </c>
      <c r="E3855" t="s">
        <v>15</v>
      </c>
      <c r="F3855" s="2" t="str">
        <f>HYPERLINK("http://www.otzar.org/book.asp?197243","אפריון לשלמה")</f>
        <v>אפריון לשלמה</v>
      </c>
    </row>
    <row r="3856" spans="1:6" x14ac:dyDescent="0.2">
      <c r="A3856" t="s">
        <v>7353</v>
      </c>
      <c r="B3856" t="s">
        <v>7354</v>
      </c>
      <c r="C3856" t="s">
        <v>151</v>
      </c>
      <c r="D3856" t="s">
        <v>1156</v>
      </c>
      <c r="E3856" t="s">
        <v>15</v>
      </c>
      <c r="F3856" s="2" t="str">
        <f>HYPERLINK("http://www.otzar.org/book.asp?622585","אפריון לשלמה - חידושי וביאורי מהרש""ל לטור - אהע""ז א")</f>
        <v>אפריון לשלמה - חידושי וביאורי מהרש"ל לטור - אהע"ז א</v>
      </c>
    </row>
    <row r="3857" spans="1:6" x14ac:dyDescent="0.2">
      <c r="A3857" t="s">
        <v>7355</v>
      </c>
      <c r="B3857" t="s">
        <v>7356</v>
      </c>
      <c r="C3857" t="s">
        <v>133</v>
      </c>
      <c r="D3857" t="s">
        <v>21</v>
      </c>
      <c r="E3857" t="s">
        <v>104</v>
      </c>
      <c r="F3857" s="2" t="str">
        <f>HYPERLINK("http://www.otzar.org/book.asp?602841","אפריון צבי - 2 כר'")</f>
        <v>אפריון צבי - 2 כר'</v>
      </c>
    </row>
    <row r="3858" spans="1:6" x14ac:dyDescent="0.2">
      <c r="A3858" t="s">
        <v>7357</v>
      </c>
      <c r="B3858" t="s">
        <v>7358</v>
      </c>
      <c r="C3858" t="s">
        <v>68</v>
      </c>
      <c r="D3858" t="s">
        <v>52</v>
      </c>
      <c r="E3858" t="s">
        <v>144</v>
      </c>
      <c r="F3858" s="2" t="str">
        <f>HYPERLINK("http://www.otzar.org/book.asp?159612","אפריון שלמה - חולין")</f>
        <v>אפריון שלמה - חולין</v>
      </c>
    </row>
    <row r="3859" spans="1:6" x14ac:dyDescent="0.2">
      <c r="A3859" t="s">
        <v>7359</v>
      </c>
      <c r="B3859" t="s">
        <v>7360</v>
      </c>
      <c r="C3859" t="s">
        <v>103</v>
      </c>
      <c r="D3859" t="s">
        <v>412</v>
      </c>
      <c r="E3859" t="s">
        <v>975</v>
      </c>
      <c r="F3859" s="2" t="str">
        <f>HYPERLINK("http://www.otzar.org/book.asp?198334","אפריון שלמה")</f>
        <v>אפריון שלמה</v>
      </c>
    </row>
    <row r="3860" spans="1:6" x14ac:dyDescent="0.2">
      <c r="A3860" t="s">
        <v>7359</v>
      </c>
      <c r="B3860" t="s">
        <v>7361</v>
      </c>
      <c r="C3860" t="s">
        <v>129</v>
      </c>
      <c r="D3860" t="s">
        <v>14</v>
      </c>
      <c r="E3860" t="s">
        <v>15</v>
      </c>
      <c r="F3860" s="2" t="str">
        <f>HYPERLINK("http://www.otzar.org/book.asp?145371","אפריון שלמה")</f>
        <v>אפריון שלמה</v>
      </c>
    </row>
    <row r="3861" spans="1:6" x14ac:dyDescent="0.2">
      <c r="A3861" t="s">
        <v>7359</v>
      </c>
      <c r="B3861" t="s">
        <v>7362</v>
      </c>
      <c r="C3861" t="s">
        <v>1124</v>
      </c>
      <c r="D3861" t="s">
        <v>283</v>
      </c>
      <c r="E3861" t="s">
        <v>674</v>
      </c>
      <c r="F3861" s="2" t="str">
        <f>HYPERLINK("http://www.otzar.org/book.asp?17240","אפריון שלמה")</f>
        <v>אפריון שלמה</v>
      </c>
    </row>
    <row r="3862" spans="1:6" x14ac:dyDescent="0.2">
      <c r="A3862" t="s">
        <v>7359</v>
      </c>
      <c r="B3862" t="s">
        <v>7363</v>
      </c>
      <c r="C3862" t="s">
        <v>7364</v>
      </c>
      <c r="D3862" t="s">
        <v>885</v>
      </c>
      <c r="E3862" t="s">
        <v>158</v>
      </c>
      <c r="F3862" s="2" t="str">
        <f>HYPERLINK("http://www.otzar.org/book.asp?23994","אפריון שלמה")</f>
        <v>אפריון שלמה</v>
      </c>
    </row>
    <row r="3863" spans="1:6" x14ac:dyDescent="0.2">
      <c r="A3863" t="s">
        <v>7365</v>
      </c>
      <c r="B3863" t="s">
        <v>7366</v>
      </c>
      <c r="C3863" t="s">
        <v>7367</v>
      </c>
      <c r="D3863" t="s">
        <v>49</v>
      </c>
      <c r="F3863" s="2" t="str">
        <f>HYPERLINK("http://www.otzar.org/book.asp?170330","אפריון שלמה - 2 כר'")</f>
        <v>אפריון שלמה - 2 כר'</v>
      </c>
    </row>
    <row r="3864" spans="1:6" x14ac:dyDescent="0.2">
      <c r="A3864" t="s">
        <v>7368</v>
      </c>
      <c r="B3864" t="s">
        <v>2528</v>
      </c>
      <c r="C3864" t="s">
        <v>1844</v>
      </c>
      <c r="D3864" t="s">
        <v>929</v>
      </c>
      <c r="F3864" s="2" t="str">
        <f>HYPERLINK("http://www.otzar.org/book.asp?620628","אפריון - 2 כר'")</f>
        <v>אפריון - 2 כר'</v>
      </c>
    </row>
    <row r="3865" spans="1:6" x14ac:dyDescent="0.2">
      <c r="A3865" t="s">
        <v>7369</v>
      </c>
      <c r="B3865" t="s">
        <v>2851</v>
      </c>
      <c r="C3865" t="s">
        <v>1228</v>
      </c>
      <c r="D3865" t="s">
        <v>27</v>
      </c>
      <c r="E3865" t="s">
        <v>579</v>
      </c>
      <c r="F3865" s="2" t="str">
        <f>HYPERLINK("http://www.otzar.org/book.asp?14141","אפריון")</f>
        <v>אפריון</v>
      </c>
    </row>
    <row r="3866" spans="1:6" x14ac:dyDescent="0.2">
      <c r="A3866" t="s">
        <v>7370</v>
      </c>
      <c r="B3866" t="s">
        <v>1750</v>
      </c>
      <c r="C3866" t="s">
        <v>1160</v>
      </c>
      <c r="D3866" t="s">
        <v>52</v>
      </c>
      <c r="E3866" t="s">
        <v>202</v>
      </c>
      <c r="F3866" s="2" t="str">
        <f>HYPERLINK("http://www.otzar.org/book.asp?106772","אפריון - 10 כר'")</f>
        <v>אפריון - 10 כר'</v>
      </c>
    </row>
    <row r="3867" spans="1:6" x14ac:dyDescent="0.2">
      <c r="A3867" t="s">
        <v>7371</v>
      </c>
      <c r="B3867" t="s">
        <v>7372</v>
      </c>
      <c r="C3867" t="s">
        <v>2644</v>
      </c>
      <c r="D3867" t="s">
        <v>5301</v>
      </c>
      <c r="E3867" t="s">
        <v>246</v>
      </c>
      <c r="F3867" s="2" t="str">
        <f>HYPERLINK("http://www.otzar.org/book.asp?84549","אפריקאנער הגדה")</f>
        <v>אפריקאנער הגדה</v>
      </c>
    </row>
    <row r="3868" spans="1:6" x14ac:dyDescent="0.2">
      <c r="A3868" t="s">
        <v>7373</v>
      </c>
      <c r="B3868" t="s">
        <v>7374</v>
      </c>
      <c r="C3868" t="s">
        <v>1470</v>
      </c>
      <c r="D3868" t="s">
        <v>1966</v>
      </c>
      <c r="E3868" t="s">
        <v>154</v>
      </c>
      <c r="F3868" s="2" t="str">
        <f>HYPERLINK("http://www.otzar.org/book.asp?1023","אפרקסתא דעניא - 5 כר'")</f>
        <v>אפרקסתא דעניא - 5 כר'</v>
      </c>
    </row>
    <row r="3869" spans="1:6" x14ac:dyDescent="0.2">
      <c r="A3869" t="s">
        <v>7375</v>
      </c>
      <c r="B3869" t="s">
        <v>7376</v>
      </c>
      <c r="C3869" t="s">
        <v>7377</v>
      </c>
      <c r="D3869" t="s">
        <v>729</v>
      </c>
      <c r="E3869" t="s">
        <v>104</v>
      </c>
      <c r="F3869" s="2" t="str">
        <f>HYPERLINK("http://www.otzar.org/book.asp?84658","אפתח במשל פי ואביע חידה &lt;כתב חידה&gt;")</f>
        <v>אפתח במשל פי ואביע חידה &lt;כתב חידה&gt;</v>
      </c>
    </row>
    <row r="3870" spans="1:6" x14ac:dyDescent="0.2">
      <c r="A3870" t="s">
        <v>7378</v>
      </c>
      <c r="B3870" t="s">
        <v>7379</v>
      </c>
      <c r="C3870" t="s">
        <v>313</v>
      </c>
      <c r="D3870" t="s">
        <v>14</v>
      </c>
      <c r="E3870" t="s">
        <v>241</v>
      </c>
      <c r="F3870" s="2" t="str">
        <f>HYPERLINK("http://www.otzar.org/book.asp?141981","אפתחה במשל פי (ליקוטי חפץ חיים)")</f>
        <v>אפתחה במשל פי (ליקוטי חפץ חיים)</v>
      </c>
    </row>
    <row r="3871" spans="1:6" x14ac:dyDescent="0.2">
      <c r="A3871" t="s">
        <v>7380</v>
      </c>
      <c r="B3871" t="s">
        <v>7381</v>
      </c>
      <c r="C3871" t="s">
        <v>1124</v>
      </c>
      <c r="D3871" t="s">
        <v>157</v>
      </c>
      <c r="E3871" t="s">
        <v>15</v>
      </c>
      <c r="F3871" s="2" t="str">
        <f>HYPERLINK("http://www.otzar.org/book.asp?22611","אצבע קטנה")</f>
        <v>אצבע קטנה</v>
      </c>
    </row>
    <row r="3872" spans="1:6" x14ac:dyDescent="0.2">
      <c r="A3872" t="s">
        <v>7382</v>
      </c>
      <c r="B3872" t="s">
        <v>7383</v>
      </c>
      <c r="C3872" t="s">
        <v>7384</v>
      </c>
      <c r="D3872" t="s">
        <v>7385</v>
      </c>
      <c r="E3872" t="s">
        <v>104</v>
      </c>
      <c r="F3872" s="2" t="str">
        <f>HYPERLINK("http://www.otzar.org/book.asp?84561","אצילי בני ישראל &lt;קריאה לתרום ספרים לביהמ""ד של מרן&gt;")</f>
        <v>אצילי בני ישראל &lt;קריאה לתרום ספרים לביהמ"ד של מרן&gt;</v>
      </c>
    </row>
    <row r="3873" spans="1:6" x14ac:dyDescent="0.2">
      <c r="A3873" t="s">
        <v>7386</v>
      </c>
      <c r="B3873" t="s">
        <v>7387</v>
      </c>
      <c r="C3873" t="s">
        <v>20</v>
      </c>
      <c r="D3873" t="s">
        <v>90</v>
      </c>
      <c r="E3873" t="s">
        <v>104</v>
      </c>
      <c r="F3873" s="2" t="str">
        <f>HYPERLINK("http://www.otzar.org/book.asp?605429","אצלנו בחינוך היהודי")</f>
        <v>אצלנו בחינוך היהודי</v>
      </c>
    </row>
    <row r="3874" spans="1:6" x14ac:dyDescent="0.2">
      <c r="A3874" t="s">
        <v>7388</v>
      </c>
      <c r="B3874" t="s">
        <v>7389</v>
      </c>
      <c r="C3874" t="s">
        <v>743</v>
      </c>
      <c r="D3874" t="s">
        <v>157</v>
      </c>
      <c r="E3874" t="s">
        <v>1880</v>
      </c>
      <c r="F3874" s="2" t="str">
        <f>HYPERLINK("http://www.otzar.org/book.asp?28548","אצר בינה ואבני צהר")</f>
        <v>אצר בינה ואבני צהר</v>
      </c>
    </row>
    <row r="3875" spans="1:6" x14ac:dyDescent="0.2">
      <c r="A3875" t="s">
        <v>7390</v>
      </c>
      <c r="B3875" t="s">
        <v>7391</v>
      </c>
      <c r="C3875" t="s">
        <v>854</v>
      </c>
      <c r="D3875" t="s">
        <v>56</v>
      </c>
      <c r="E3875" t="s">
        <v>1517</v>
      </c>
      <c r="F3875" s="2" t="str">
        <f>HYPERLINK("http://www.otzar.org/book.asp?168863","אקדמות עם פירוש שני המאורות")</f>
        <v>אקדמות עם פירוש שני המאורות</v>
      </c>
    </row>
    <row r="3876" spans="1:6" x14ac:dyDescent="0.2">
      <c r="A3876" t="s">
        <v>7392</v>
      </c>
      <c r="B3876" t="s">
        <v>7393</v>
      </c>
      <c r="C3876" t="s">
        <v>99</v>
      </c>
      <c r="D3876" t="s">
        <v>6201</v>
      </c>
      <c r="E3876" t="s">
        <v>1517</v>
      </c>
      <c r="F3876" s="2" t="str">
        <f>HYPERLINK("http://www.otzar.org/book.asp?145225","אקדמות - 4 כר'")</f>
        <v>אקדמות - 4 כר'</v>
      </c>
    </row>
    <row r="3877" spans="1:6" x14ac:dyDescent="0.2">
      <c r="A3877" t="s">
        <v>7394</v>
      </c>
      <c r="B3877" t="s">
        <v>4735</v>
      </c>
      <c r="C3877" t="s">
        <v>523</v>
      </c>
      <c r="D3877" t="s">
        <v>14</v>
      </c>
      <c r="E3877" t="s">
        <v>104</v>
      </c>
      <c r="F3877" s="2" t="str">
        <f>HYPERLINK("http://www.otzar.org/book.asp?159100","אקטואליה באותיות ומילים - 3 כר'")</f>
        <v>אקטואליה באותיות ומילים - 3 כר'</v>
      </c>
    </row>
    <row r="3878" spans="1:6" x14ac:dyDescent="0.2">
      <c r="A3878" t="s">
        <v>7395</v>
      </c>
      <c r="B3878" t="s">
        <v>7396</v>
      </c>
      <c r="C3878" t="s">
        <v>445</v>
      </c>
      <c r="D3878" t="s">
        <v>1801</v>
      </c>
      <c r="E3878" t="s">
        <v>930</v>
      </c>
      <c r="F3878" s="2" t="str">
        <f>HYPERLINK("http://www.otzar.org/book.asp?300343","אקים את יצחק")</f>
        <v>אקים את יצחק</v>
      </c>
    </row>
    <row r="3879" spans="1:6" x14ac:dyDescent="0.2">
      <c r="A3879" t="s">
        <v>7397</v>
      </c>
      <c r="B3879" t="s">
        <v>5608</v>
      </c>
      <c r="C3879" t="s">
        <v>1166</v>
      </c>
      <c r="D3879" t="s">
        <v>56</v>
      </c>
      <c r="E3879" t="s">
        <v>4674</v>
      </c>
      <c r="F3879" s="2" t="str">
        <f>HYPERLINK("http://www.otzar.org/book.asp?161101","אקלידא דרחמי")</f>
        <v>אקלידא דרחמי</v>
      </c>
    </row>
    <row r="3880" spans="1:6" x14ac:dyDescent="0.2">
      <c r="A3880" t="s">
        <v>7398</v>
      </c>
      <c r="B3880" t="s">
        <v>7399</v>
      </c>
      <c r="C3880" t="s">
        <v>68</v>
      </c>
      <c r="D3880" t="s">
        <v>52</v>
      </c>
      <c r="E3880" t="s">
        <v>733</v>
      </c>
      <c r="F3880" s="2" t="str">
        <f>HYPERLINK("http://www.otzar.org/book.asp?156689","אר""ש חמדה -אודות חמדת ימים")</f>
        <v>אר"ש חמדה -אודות חמדת ימים</v>
      </c>
    </row>
    <row r="3881" spans="1:6" x14ac:dyDescent="0.2">
      <c r="A3881" t="s">
        <v>7400</v>
      </c>
      <c r="B3881" t="s">
        <v>7401</v>
      </c>
      <c r="C3881" t="s">
        <v>366</v>
      </c>
      <c r="D3881" t="s">
        <v>21</v>
      </c>
      <c r="E3881" t="s">
        <v>144</v>
      </c>
      <c r="F3881" s="2" t="str">
        <f>HYPERLINK("http://www.otzar.org/book.asp?602118","אראה בנחמה")</f>
        <v>אראה בנחמה</v>
      </c>
    </row>
    <row r="3882" spans="1:6" x14ac:dyDescent="0.2">
      <c r="A3882" t="s">
        <v>7402</v>
      </c>
      <c r="B3882" t="s">
        <v>7403</v>
      </c>
      <c r="C3882" t="s">
        <v>585</v>
      </c>
      <c r="D3882" t="s">
        <v>14</v>
      </c>
      <c r="E3882" t="s">
        <v>144</v>
      </c>
      <c r="F3882" s="2" t="str">
        <f>HYPERLINK("http://www.otzar.org/book.asp?176807","ארבע אבות המבואר בתרגום אידיש")</f>
        <v>ארבע אבות המבואר בתרגום אידיש</v>
      </c>
    </row>
    <row r="3883" spans="1:6" x14ac:dyDescent="0.2">
      <c r="A3883" t="s">
        <v>7404</v>
      </c>
      <c r="B3883" t="s">
        <v>7405</v>
      </c>
      <c r="C3883" t="s">
        <v>189</v>
      </c>
      <c r="D3883" t="s">
        <v>14</v>
      </c>
      <c r="E3883" t="s">
        <v>15</v>
      </c>
      <c r="F3883" s="2" t="str">
        <f>HYPERLINK("http://www.otzar.org/book.asp?51903","ארבע אמות של תפלה")</f>
        <v>ארבע אמות של תפלה</v>
      </c>
    </row>
    <row r="3884" spans="1:6" x14ac:dyDescent="0.2">
      <c r="A3884" t="s">
        <v>7406</v>
      </c>
      <c r="B3884" t="s">
        <v>7407</v>
      </c>
      <c r="C3884" t="s">
        <v>20</v>
      </c>
      <c r="D3884" t="s">
        <v>90</v>
      </c>
      <c r="F3884" s="2" t="str">
        <f>HYPERLINK("http://www.otzar.org/book.asp?196093","ארבע אמות - 4 כר'")</f>
        <v>ארבע אמות - 4 כר'</v>
      </c>
    </row>
    <row r="3885" spans="1:6" x14ac:dyDescent="0.2">
      <c r="A3885" t="s">
        <v>7408</v>
      </c>
      <c r="B3885" t="s">
        <v>7409</v>
      </c>
      <c r="C3885" t="s">
        <v>7410</v>
      </c>
      <c r="D3885" t="s">
        <v>2290</v>
      </c>
      <c r="E3885" t="s">
        <v>7411</v>
      </c>
      <c r="F3885" s="2" t="str">
        <f>HYPERLINK("http://www.otzar.org/book.asp?15694","ארבע חרשים")</f>
        <v>ארבע חרשים</v>
      </c>
    </row>
    <row r="3886" spans="1:6" x14ac:dyDescent="0.2">
      <c r="A3886" t="s">
        <v>7412</v>
      </c>
      <c r="B3886" t="s">
        <v>7413</v>
      </c>
      <c r="C3886" t="s">
        <v>2488</v>
      </c>
      <c r="D3886" t="s">
        <v>1023</v>
      </c>
      <c r="E3886" t="s">
        <v>246</v>
      </c>
      <c r="F3886" s="2" t="str">
        <f>HYPERLINK("http://www.otzar.org/book.asp?141191","ארבע יסודות")</f>
        <v>ארבע יסודות</v>
      </c>
    </row>
    <row r="3887" spans="1:6" x14ac:dyDescent="0.2">
      <c r="A3887" t="s">
        <v>7414</v>
      </c>
      <c r="B3887" t="s">
        <v>7415</v>
      </c>
      <c r="C3887" t="s">
        <v>946</v>
      </c>
      <c r="D3887" t="s">
        <v>7416</v>
      </c>
      <c r="E3887" t="s">
        <v>399</v>
      </c>
      <c r="F3887" s="2" t="str">
        <f>HYPERLINK("http://www.otzar.org/book.asp?101010","ארבע כנפים ופתח הגן")</f>
        <v>ארבע כנפים ופתח הגן</v>
      </c>
    </row>
    <row r="3888" spans="1:6" x14ac:dyDescent="0.2">
      <c r="A3888" t="s">
        <v>7417</v>
      </c>
      <c r="B3888" t="s">
        <v>7418</v>
      </c>
      <c r="C3888" t="s">
        <v>1640</v>
      </c>
      <c r="D3888" t="s">
        <v>14</v>
      </c>
      <c r="E3888" t="s">
        <v>104</v>
      </c>
      <c r="F3888" s="2" t="str">
        <f>HYPERLINK("http://www.otzar.org/book.asp?181812","ארבע מאות שנה שלחן ערוך")</f>
        <v>ארבע מאות שנה שלחן ערוך</v>
      </c>
    </row>
    <row r="3889" spans="1:6" x14ac:dyDescent="0.2">
      <c r="A3889" t="s">
        <v>7419</v>
      </c>
      <c r="B3889" t="s">
        <v>405</v>
      </c>
      <c r="C3889" t="s">
        <v>896</v>
      </c>
      <c r="D3889" t="s">
        <v>1117</v>
      </c>
      <c r="E3889" t="s">
        <v>399</v>
      </c>
      <c r="F3889" s="2" t="str">
        <f>HYPERLINK("http://www.otzar.org/book.asp?84733","ארבע מאות שקל כסף - 3 כר'")</f>
        <v>ארבע מאות שקל כסף - 3 כר'</v>
      </c>
    </row>
    <row r="3890" spans="1:6" x14ac:dyDescent="0.2">
      <c r="A3890" t="s">
        <v>7420</v>
      </c>
      <c r="B3890" t="s">
        <v>7421</v>
      </c>
      <c r="C3890" t="s">
        <v>7422</v>
      </c>
      <c r="D3890" t="s">
        <v>4349</v>
      </c>
      <c r="E3890" t="s">
        <v>219</v>
      </c>
      <c r="F3890" s="2" t="str">
        <f>HYPERLINK("http://www.otzar.org/book.asp?84646","ארבע שערים")</f>
        <v>ארבע שערים</v>
      </c>
    </row>
    <row r="3891" spans="1:6" x14ac:dyDescent="0.2">
      <c r="A3891" t="s">
        <v>7423</v>
      </c>
      <c r="B3891" t="s">
        <v>1750</v>
      </c>
      <c r="C3891" t="s">
        <v>133</v>
      </c>
      <c r="D3891" t="s">
        <v>14</v>
      </c>
      <c r="E3891" t="s">
        <v>246</v>
      </c>
      <c r="F3891" s="2" t="str">
        <f>HYPERLINK("http://www.otzar.org/book.asp?195123","ארבע תעניות ובין המצרים  בהלכה ובאגדה")</f>
        <v>ארבע תעניות ובין המצרים  בהלכה ובאגדה</v>
      </c>
    </row>
    <row r="3892" spans="1:6" x14ac:dyDescent="0.2">
      <c r="A3892" t="s">
        <v>7424</v>
      </c>
      <c r="B3892" t="s">
        <v>78</v>
      </c>
      <c r="C3892" t="s">
        <v>3840</v>
      </c>
      <c r="D3892" t="s">
        <v>80</v>
      </c>
      <c r="E3892" t="s">
        <v>119</v>
      </c>
      <c r="F3892" s="2" t="str">
        <f>HYPERLINK("http://www.otzar.org/book.asp?156259","ארבע תקופות")</f>
        <v>ארבע תקופות</v>
      </c>
    </row>
    <row r="3893" spans="1:6" x14ac:dyDescent="0.2">
      <c r="A3893" t="s">
        <v>7425</v>
      </c>
      <c r="B3893" t="s">
        <v>7425</v>
      </c>
      <c r="C3893" t="s">
        <v>20</v>
      </c>
      <c r="D3893" t="s">
        <v>52</v>
      </c>
      <c r="E3893" t="s">
        <v>357</v>
      </c>
      <c r="F3893" s="2" t="str">
        <f>HYPERLINK("http://www.otzar.org/book.asp?8694","ארבעה ארזים")</f>
        <v>ארבעה ארזים</v>
      </c>
    </row>
    <row r="3894" spans="1:6" x14ac:dyDescent="0.2">
      <c r="A3894" t="s">
        <v>7426</v>
      </c>
      <c r="B3894" t="s">
        <v>5218</v>
      </c>
      <c r="C3894" t="s">
        <v>124</v>
      </c>
      <c r="D3894" t="s">
        <v>14</v>
      </c>
      <c r="E3894" t="s">
        <v>43</v>
      </c>
      <c r="F3894" s="2" t="str">
        <f>HYPERLINK("http://www.otzar.org/book.asp?153443","ארבעה במסרה")</f>
        <v>ארבעה במסרה</v>
      </c>
    </row>
    <row r="3895" spans="1:6" x14ac:dyDescent="0.2">
      <c r="A3895" t="s">
        <v>7427</v>
      </c>
      <c r="B3895" t="s">
        <v>7428</v>
      </c>
      <c r="C3895" t="s">
        <v>1535</v>
      </c>
      <c r="D3895" t="s">
        <v>212</v>
      </c>
      <c r="E3895" t="s">
        <v>1517</v>
      </c>
      <c r="F3895" s="2" t="str">
        <f>HYPERLINK("http://www.otzar.org/book.asp?157966","ארבעה גביעים")</f>
        <v>ארבעה גביעים</v>
      </c>
    </row>
    <row r="3896" spans="1:6" x14ac:dyDescent="0.2">
      <c r="A3896" t="s">
        <v>7429</v>
      </c>
      <c r="B3896" t="s">
        <v>7430</v>
      </c>
      <c r="C3896" t="s">
        <v>7431</v>
      </c>
      <c r="D3896" t="s">
        <v>1411</v>
      </c>
      <c r="E3896" t="s">
        <v>158</v>
      </c>
      <c r="F3896" s="2" t="str">
        <f>HYPERLINK("http://www.otzar.org/book.asp?16125","ארבעה ועשרים &lt;מנחת שי&gt; - 6 כר'")</f>
        <v>ארבעה ועשרים &lt;מנחת שי&gt; - 6 כר'</v>
      </c>
    </row>
    <row r="3897" spans="1:6" x14ac:dyDescent="0.2">
      <c r="A3897" t="s">
        <v>7432</v>
      </c>
      <c r="B3897" t="s">
        <v>7433</v>
      </c>
      <c r="C3897" t="s">
        <v>282</v>
      </c>
      <c r="D3897" t="s">
        <v>1660</v>
      </c>
      <c r="E3897" t="s">
        <v>158</v>
      </c>
      <c r="F3897" s="2" t="str">
        <f>HYPERLINK("http://www.otzar.org/book.asp?84420","ארבעה ועשרים - ג (נביאים אחרונים)")</f>
        <v>ארבעה ועשרים - ג (נביאים אחרונים)</v>
      </c>
    </row>
    <row r="3898" spans="1:6" x14ac:dyDescent="0.2">
      <c r="A3898" t="s">
        <v>7434</v>
      </c>
      <c r="B3898" t="s">
        <v>7435</v>
      </c>
      <c r="C3898" t="s">
        <v>7436</v>
      </c>
      <c r="D3898" t="s">
        <v>7437</v>
      </c>
      <c r="E3898" t="s">
        <v>3518</v>
      </c>
      <c r="F3898" s="2" t="str">
        <f>HYPERLINK("http://www.otzar.org/book.asp?627965","ארבעה חרשים")</f>
        <v>ארבעה חרשים</v>
      </c>
    </row>
    <row r="3899" spans="1:6" x14ac:dyDescent="0.2">
      <c r="A3899" t="s">
        <v>7438</v>
      </c>
      <c r="B3899" t="s">
        <v>7439</v>
      </c>
      <c r="C3899" t="s">
        <v>785</v>
      </c>
      <c r="D3899" t="s">
        <v>14</v>
      </c>
      <c r="E3899" t="s">
        <v>158</v>
      </c>
      <c r="F3899" s="2" t="str">
        <f>HYPERLINK("http://www.otzar.org/book.asp?157474","ארבעה טורי אבן")</f>
        <v>ארבעה טורי אבן</v>
      </c>
    </row>
    <row r="3900" spans="1:6" x14ac:dyDescent="0.2">
      <c r="A3900" t="s">
        <v>7438</v>
      </c>
      <c r="B3900" t="s">
        <v>7440</v>
      </c>
      <c r="C3900" t="s">
        <v>445</v>
      </c>
      <c r="D3900" t="s">
        <v>225</v>
      </c>
      <c r="E3900" t="s">
        <v>144</v>
      </c>
      <c r="F3900" s="2" t="str">
        <f>HYPERLINK("http://www.otzar.org/book.asp?200295","ארבעה טורי אבן")</f>
        <v>ארבעה טורי אבן</v>
      </c>
    </row>
    <row r="3901" spans="1:6" x14ac:dyDescent="0.2">
      <c r="A3901" t="s">
        <v>7441</v>
      </c>
      <c r="B3901" t="s">
        <v>7442</v>
      </c>
      <c r="C3901" t="s">
        <v>20</v>
      </c>
      <c r="D3901" t="s">
        <v>90</v>
      </c>
      <c r="E3901" t="s">
        <v>154</v>
      </c>
      <c r="F3901" s="2" t="str">
        <f>HYPERLINK("http://www.otzar.org/book.asp?141190","ארבעה טורי אבן - 2 כר'")</f>
        <v>ארבעה טורי אבן - 2 כר'</v>
      </c>
    </row>
    <row r="3902" spans="1:6" x14ac:dyDescent="0.2">
      <c r="A3902" t="s">
        <v>7443</v>
      </c>
      <c r="B3902" t="s">
        <v>7444</v>
      </c>
      <c r="C3902" t="s">
        <v>896</v>
      </c>
      <c r="D3902" t="s">
        <v>855</v>
      </c>
      <c r="E3902" t="s">
        <v>7445</v>
      </c>
      <c r="F3902" s="2" t="str">
        <f>HYPERLINK("http://www.otzar.org/book.asp?17242","ארבעה טורים אבן")</f>
        <v>ארבעה טורים אבן</v>
      </c>
    </row>
    <row r="3903" spans="1:6" x14ac:dyDescent="0.2">
      <c r="A3903" t="s">
        <v>7446</v>
      </c>
      <c r="B3903" t="s">
        <v>7111</v>
      </c>
      <c r="C3903" t="s">
        <v>20</v>
      </c>
      <c r="D3903" t="s">
        <v>4665</v>
      </c>
      <c r="E3903" t="s">
        <v>104</v>
      </c>
      <c r="F3903" s="2" t="str">
        <f>HYPERLINK("http://www.otzar.org/book.asp?603188","ארבעה מאמרים באגדה")</f>
        <v>ארבעה מאמרים באגדה</v>
      </c>
    </row>
    <row r="3904" spans="1:6" x14ac:dyDescent="0.2">
      <c r="A3904" t="s">
        <v>7447</v>
      </c>
      <c r="B3904" t="s">
        <v>7447</v>
      </c>
      <c r="C3904" t="s">
        <v>445</v>
      </c>
      <c r="D3904" t="s">
        <v>225</v>
      </c>
      <c r="E3904" t="s">
        <v>714</v>
      </c>
      <c r="F3904" s="2" t="str">
        <f>HYPERLINK("http://www.otzar.org/book.asp?169740","ארבעה מטיבי לכת")</f>
        <v>ארבעה מטיבי לכת</v>
      </c>
    </row>
    <row r="3905" spans="1:6" x14ac:dyDescent="0.2">
      <c r="A3905" t="s">
        <v>7448</v>
      </c>
      <c r="B3905" t="s">
        <v>3286</v>
      </c>
      <c r="C3905" t="s">
        <v>332</v>
      </c>
      <c r="D3905" t="s">
        <v>52</v>
      </c>
      <c r="E3905" t="s">
        <v>2840</v>
      </c>
      <c r="F3905" s="2" t="str">
        <f>HYPERLINK("http://www.otzar.org/book.asp?142282","ארבעה ספרים נפתחים")</f>
        <v>ארבעה ספרים נפתחים</v>
      </c>
    </row>
    <row r="3906" spans="1:6" x14ac:dyDescent="0.2">
      <c r="A3906" t="s">
        <v>7449</v>
      </c>
      <c r="B3906" t="s">
        <v>7450</v>
      </c>
      <c r="C3906" t="s">
        <v>7451</v>
      </c>
      <c r="D3906" t="s">
        <v>2373</v>
      </c>
      <c r="E3906" t="s">
        <v>104</v>
      </c>
      <c r="F3906" s="2" t="str">
        <f>HYPERLINK("http://www.otzar.org/book.asp?199502","ארבעה עמודי הבית")</f>
        <v>ארבעה עמודי הבית</v>
      </c>
    </row>
    <row r="3907" spans="1:6" x14ac:dyDescent="0.2">
      <c r="A3907" t="s">
        <v>7452</v>
      </c>
      <c r="B3907" t="s">
        <v>7453</v>
      </c>
      <c r="C3907" t="s">
        <v>75</v>
      </c>
      <c r="D3907" t="s">
        <v>307</v>
      </c>
      <c r="E3907" t="s">
        <v>158</v>
      </c>
      <c r="F3907" s="2" t="str">
        <f>HYPERLINK("http://www.otzar.org/book.asp?23329","ארבעה פירושים (על רש""י על התורה) - 5 כר'")</f>
        <v>ארבעה פירושים (על רש"י על התורה) - 5 כר'</v>
      </c>
    </row>
    <row r="3908" spans="1:6" x14ac:dyDescent="0.2">
      <c r="A3908" t="s">
        <v>7454</v>
      </c>
      <c r="B3908" t="s">
        <v>7455</v>
      </c>
      <c r="C3908" t="s">
        <v>71</v>
      </c>
      <c r="D3908" t="s">
        <v>412</v>
      </c>
      <c r="E3908" t="s">
        <v>15</v>
      </c>
      <c r="F3908" s="2" t="str">
        <f>HYPERLINK("http://www.otzar.org/book.asp?148942","ארבעה קנינים")</f>
        <v>ארבעה קנינים</v>
      </c>
    </row>
    <row r="3909" spans="1:6" x14ac:dyDescent="0.2">
      <c r="A3909" t="s">
        <v>7456</v>
      </c>
      <c r="B3909" t="s">
        <v>7457</v>
      </c>
      <c r="C3909" t="s">
        <v>777</v>
      </c>
      <c r="D3909" t="s">
        <v>7458</v>
      </c>
      <c r="E3909" t="s">
        <v>7459</v>
      </c>
      <c r="F3909" s="2" t="str">
        <f>HYPERLINK("http://www.otzar.org/book.asp?300339","ארבעה שומרים")</f>
        <v>ארבעה שומרים</v>
      </c>
    </row>
    <row r="3910" spans="1:6" x14ac:dyDescent="0.2">
      <c r="A3910" t="s">
        <v>7460</v>
      </c>
      <c r="B3910" t="s">
        <v>7461</v>
      </c>
      <c r="C3910" t="s">
        <v>111</v>
      </c>
      <c r="D3910" t="s">
        <v>1156</v>
      </c>
      <c r="E3910" t="s">
        <v>130</v>
      </c>
      <c r="F3910" s="2" t="str">
        <f>HYPERLINK("http://www.otzar.org/book.asp?630464","ארבעת המינים המהודרים")</f>
        <v>ארבעת המינים המהודרים</v>
      </c>
    </row>
    <row r="3911" spans="1:6" x14ac:dyDescent="0.2">
      <c r="A3911" t="s">
        <v>7462</v>
      </c>
      <c r="B3911" t="s">
        <v>7463</v>
      </c>
      <c r="C3911" t="s">
        <v>68</v>
      </c>
      <c r="D3911" t="s">
        <v>52</v>
      </c>
      <c r="E3911" t="s">
        <v>130</v>
      </c>
      <c r="F3911" s="2" t="str">
        <f>HYPERLINK("http://www.otzar.org/book.asp?153738","ארבעת המינים כהלכתם")</f>
        <v>ארבעת המינים כהלכתם</v>
      </c>
    </row>
    <row r="3912" spans="1:6" x14ac:dyDescent="0.2">
      <c r="A3912" t="s">
        <v>7464</v>
      </c>
      <c r="B3912" t="s">
        <v>7320</v>
      </c>
      <c r="C3912" t="s">
        <v>129</v>
      </c>
      <c r="D3912" t="s">
        <v>14</v>
      </c>
      <c r="F3912" s="2" t="str">
        <f>HYPERLINK("http://www.otzar.org/book.asp?175932","ארבעת המינים למהדרין (צבעוני)")</f>
        <v>ארבעת המינים למהדרין (צבעוני)</v>
      </c>
    </row>
    <row r="3913" spans="1:6" x14ac:dyDescent="0.2">
      <c r="A3913" t="s">
        <v>7465</v>
      </c>
      <c r="B3913" t="s">
        <v>7320</v>
      </c>
      <c r="C3913" t="s">
        <v>454</v>
      </c>
      <c r="D3913" t="s">
        <v>14</v>
      </c>
      <c r="E3913" t="s">
        <v>872</v>
      </c>
      <c r="F3913" s="2" t="str">
        <f>HYPERLINK("http://www.otzar.org/book.asp?22685","ארבעת המינים למהדרין")</f>
        <v>ארבעת המינים למהדרין</v>
      </c>
    </row>
    <row r="3914" spans="1:6" x14ac:dyDescent="0.2">
      <c r="A3914" t="s">
        <v>7466</v>
      </c>
      <c r="B3914" t="s">
        <v>7467</v>
      </c>
      <c r="C3914" t="s">
        <v>411</v>
      </c>
      <c r="D3914" t="s">
        <v>7468</v>
      </c>
      <c r="E3914" t="s">
        <v>130</v>
      </c>
      <c r="F3914" s="2" t="str">
        <f>HYPERLINK("http://www.otzar.org/book.asp?166966","ארבעת המינים")</f>
        <v>ארבעת המינים</v>
      </c>
    </row>
    <row r="3915" spans="1:6" x14ac:dyDescent="0.2">
      <c r="A3915" t="s">
        <v>7469</v>
      </c>
      <c r="B3915" t="s">
        <v>7470</v>
      </c>
      <c r="C3915" t="s">
        <v>777</v>
      </c>
      <c r="D3915" t="s">
        <v>21</v>
      </c>
      <c r="E3915" t="s">
        <v>733</v>
      </c>
      <c r="F3915" s="2" t="str">
        <f>HYPERLINK("http://www.otzar.org/book.asp?197423","ארגון הישוב היהודי בארץ ישראל")</f>
        <v>ארגון הישוב היהודי בארץ ישראל</v>
      </c>
    </row>
    <row r="3916" spans="1:6" x14ac:dyDescent="0.2">
      <c r="A3916" t="s">
        <v>7471</v>
      </c>
      <c r="B3916" t="s">
        <v>1750</v>
      </c>
      <c r="C3916" t="s">
        <v>176</v>
      </c>
      <c r="D3916" t="s">
        <v>90</v>
      </c>
      <c r="E3916" t="s">
        <v>202</v>
      </c>
      <c r="F3916" s="2" t="str">
        <f>HYPERLINK("http://www.otzar.org/book.asp?50057","ארגון מרביצי תורה ספרדים באה""ק")</f>
        <v>ארגון מרביצי תורה ספרדים באה"ק</v>
      </c>
    </row>
    <row r="3917" spans="1:6" x14ac:dyDescent="0.2">
      <c r="A3917" t="s">
        <v>7472</v>
      </c>
      <c r="B3917" t="s">
        <v>7473</v>
      </c>
      <c r="C3917" t="s">
        <v>2644</v>
      </c>
      <c r="D3917" t="s">
        <v>283</v>
      </c>
      <c r="E3917" t="s">
        <v>104</v>
      </c>
      <c r="F3917" s="2" t="str">
        <f>HYPERLINK("http://www.otzar.org/book.asp?141194","ארובות השמים")</f>
        <v>ארובות השמים</v>
      </c>
    </row>
    <row r="3918" spans="1:6" x14ac:dyDescent="0.2">
      <c r="A3918" t="s">
        <v>7474</v>
      </c>
      <c r="B3918" t="s">
        <v>7475</v>
      </c>
      <c r="C3918" t="s">
        <v>7476</v>
      </c>
      <c r="D3918" t="s">
        <v>76</v>
      </c>
      <c r="E3918" t="s">
        <v>7477</v>
      </c>
      <c r="F3918" s="2" t="str">
        <f>HYPERLINK("http://www.otzar.org/book.asp?15681","ארוחת תמיד")</f>
        <v>ארוחת תמיד</v>
      </c>
    </row>
    <row r="3919" spans="1:6" x14ac:dyDescent="0.2">
      <c r="A3919" t="s">
        <v>7478</v>
      </c>
      <c r="B3919" t="s">
        <v>7479</v>
      </c>
      <c r="C3919" t="s">
        <v>129</v>
      </c>
      <c r="D3919" t="s">
        <v>14</v>
      </c>
      <c r="E3919" t="s">
        <v>241</v>
      </c>
      <c r="F3919" s="2" t="str">
        <f>HYPERLINK("http://www.otzar.org/book.asp?152362","ארוכה  ומרפא")</f>
        <v>ארוכה  ומרפא</v>
      </c>
    </row>
    <row r="3920" spans="1:6" x14ac:dyDescent="0.2">
      <c r="A3920" t="s">
        <v>7480</v>
      </c>
      <c r="B3920" t="s">
        <v>7481</v>
      </c>
      <c r="C3920" t="s">
        <v>2269</v>
      </c>
      <c r="D3920" t="s">
        <v>212</v>
      </c>
      <c r="E3920" t="s">
        <v>219</v>
      </c>
      <c r="F3920" s="2" t="str">
        <f>HYPERLINK("http://www.otzar.org/book.asp?150872","ארוכה ומרפא")</f>
        <v>ארוכה ומרפא</v>
      </c>
    </row>
    <row r="3921" spans="1:6" x14ac:dyDescent="0.2">
      <c r="A3921" t="s">
        <v>7482</v>
      </c>
      <c r="B3921" t="s">
        <v>7483</v>
      </c>
      <c r="C3921" t="s">
        <v>124</v>
      </c>
      <c r="D3921" t="s">
        <v>14</v>
      </c>
      <c r="E3921" t="s">
        <v>4333</v>
      </c>
      <c r="F3921" s="2" t="str">
        <f>HYPERLINK("http://www.otzar.org/book.asp?103140","ארוכת בת עמי - 6 כר'")</f>
        <v>ארוכת בת עמי - 6 כר'</v>
      </c>
    </row>
    <row r="3922" spans="1:6" x14ac:dyDescent="0.2">
      <c r="A3922" t="s">
        <v>7484</v>
      </c>
      <c r="B3922" t="s">
        <v>7485</v>
      </c>
      <c r="C3922" t="s">
        <v>129</v>
      </c>
      <c r="D3922" t="s">
        <v>14</v>
      </c>
      <c r="E3922" t="s">
        <v>7486</v>
      </c>
      <c r="F3922" s="2" t="str">
        <f>HYPERLINK("http://www.otzar.org/book.asp?64010","ארוממך אלוקי המלך - 2 כר'")</f>
        <v>ארוממך אלוקי המלך - 2 כר'</v>
      </c>
    </row>
    <row r="3923" spans="1:6" x14ac:dyDescent="0.2">
      <c r="A3923" t="s">
        <v>7487</v>
      </c>
      <c r="B3923" t="s">
        <v>686</v>
      </c>
      <c r="C3923" t="s">
        <v>244</v>
      </c>
      <c r="D3923" t="s">
        <v>80</v>
      </c>
      <c r="E3923" t="s">
        <v>246</v>
      </c>
      <c r="F3923" s="2" t="str">
        <f>HYPERLINK("http://www.otzar.org/book.asp?198065","ארוממך ה'")</f>
        <v>ארוממך ה'</v>
      </c>
    </row>
    <row r="3924" spans="1:6" x14ac:dyDescent="0.2">
      <c r="A3924" t="s">
        <v>7488</v>
      </c>
      <c r="B3924" t="s">
        <v>7489</v>
      </c>
      <c r="C3924" t="s">
        <v>146</v>
      </c>
      <c r="D3924" t="s">
        <v>14</v>
      </c>
      <c r="E3924" t="s">
        <v>202</v>
      </c>
      <c r="F3924" s="2" t="str">
        <f>HYPERLINK("http://www.otzar.org/book.asp?628038","ארוממך - 10 כר'")</f>
        <v>ארוממך - 10 כר'</v>
      </c>
    </row>
    <row r="3925" spans="1:6" x14ac:dyDescent="0.2">
      <c r="A3925" t="s">
        <v>7490</v>
      </c>
      <c r="B3925" t="s">
        <v>7491</v>
      </c>
      <c r="C3925" t="s">
        <v>244</v>
      </c>
      <c r="D3925" t="s">
        <v>90</v>
      </c>
      <c r="E3925" t="s">
        <v>3755</v>
      </c>
      <c r="F3925" s="2" t="str">
        <f>HYPERLINK("http://www.otzar.org/book.asp?629783","ארון הברית - 2 כר'")</f>
        <v>ארון הברית - 2 כר'</v>
      </c>
    </row>
    <row r="3926" spans="1:6" x14ac:dyDescent="0.2">
      <c r="A3926" t="s">
        <v>7492</v>
      </c>
      <c r="B3926" t="s">
        <v>7493</v>
      </c>
      <c r="C3926" t="s">
        <v>151</v>
      </c>
      <c r="D3926" t="s">
        <v>14</v>
      </c>
      <c r="E3926" t="s">
        <v>246</v>
      </c>
      <c r="F3926" s="2" t="str">
        <f>HYPERLINK("http://www.otzar.org/book.asp?621620","ארון חיים - חנוכה")</f>
        <v>ארון חיים - חנוכה</v>
      </c>
    </row>
    <row r="3927" spans="1:6" x14ac:dyDescent="0.2">
      <c r="A3927" t="s">
        <v>7494</v>
      </c>
      <c r="B3927" t="s">
        <v>1007</v>
      </c>
      <c r="C3927" t="s">
        <v>1458</v>
      </c>
      <c r="D3927" t="s">
        <v>1008</v>
      </c>
      <c r="E3927" t="s">
        <v>474</v>
      </c>
      <c r="F3927" s="2" t="str">
        <f>HYPERLINK("http://www.otzar.org/book.asp?14263","ארונו של יוסף")</f>
        <v>ארונו של יוסף</v>
      </c>
    </row>
    <row r="3928" spans="1:6" x14ac:dyDescent="0.2">
      <c r="A3928" t="s">
        <v>7495</v>
      </c>
      <c r="B3928" t="s">
        <v>7496</v>
      </c>
      <c r="C3928" t="s">
        <v>748</v>
      </c>
      <c r="D3928" t="s">
        <v>6042</v>
      </c>
      <c r="E3928" t="s">
        <v>564</v>
      </c>
      <c r="F3928" s="2" t="str">
        <f>HYPERLINK("http://www.otzar.org/book.asp?300342","ארז בלבנון")</f>
        <v>ארז בלבנון</v>
      </c>
    </row>
    <row r="3929" spans="1:6" x14ac:dyDescent="0.2">
      <c r="A3929" t="s">
        <v>7495</v>
      </c>
      <c r="B3929" t="s">
        <v>7497</v>
      </c>
      <c r="C3929" t="s">
        <v>244</v>
      </c>
      <c r="D3929" t="s">
        <v>14</v>
      </c>
      <c r="E3929" t="s">
        <v>144</v>
      </c>
      <c r="F3929" s="2" t="str">
        <f>HYPERLINK("http://www.otzar.org/book.asp?198146","ארז בלבנון")</f>
        <v>ארז בלבנון</v>
      </c>
    </row>
    <row r="3930" spans="1:6" x14ac:dyDescent="0.2">
      <c r="A3930" t="s">
        <v>7498</v>
      </c>
      <c r="B3930" t="s">
        <v>7499</v>
      </c>
      <c r="C3930" t="s">
        <v>649</v>
      </c>
      <c r="D3930" t="s">
        <v>646</v>
      </c>
      <c r="E3930" t="s">
        <v>399</v>
      </c>
      <c r="F3930" s="2" t="str">
        <f>HYPERLINK("http://www.otzar.org/book.asp?300338","ארז הלבנון")</f>
        <v>ארז הלבנון</v>
      </c>
    </row>
    <row r="3931" spans="1:6" x14ac:dyDescent="0.2">
      <c r="A3931" t="s">
        <v>7500</v>
      </c>
      <c r="B3931" t="s">
        <v>7501</v>
      </c>
      <c r="C3931" t="s">
        <v>1166</v>
      </c>
      <c r="D3931" t="s">
        <v>1419</v>
      </c>
      <c r="E3931" t="s">
        <v>579</v>
      </c>
      <c r="F3931" s="2" t="str">
        <f>HYPERLINK("http://www.otzar.org/book.asp?159239","ארז ישעיהו")</f>
        <v>ארז ישעיהו</v>
      </c>
    </row>
    <row r="3932" spans="1:6" x14ac:dyDescent="0.2">
      <c r="A3932" t="s">
        <v>7502</v>
      </c>
      <c r="B3932" t="s">
        <v>7503</v>
      </c>
      <c r="C3932" t="s">
        <v>103</v>
      </c>
      <c r="D3932" t="s">
        <v>14</v>
      </c>
      <c r="E3932" t="s">
        <v>144</v>
      </c>
      <c r="F3932" s="2" t="str">
        <f>HYPERLINK("http://www.otzar.org/book.asp?51924","ארזא דבי רב - 5 כר'")</f>
        <v>ארזא דבי רב - 5 כר'</v>
      </c>
    </row>
    <row r="3933" spans="1:6" x14ac:dyDescent="0.2">
      <c r="A3933" t="s">
        <v>7504</v>
      </c>
      <c r="B3933" t="s">
        <v>7505</v>
      </c>
      <c r="C3933" t="s">
        <v>176</v>
      </c>
      <c r="D3933" t="s">
        <v>412</v>
      </c>
      <c r="E3933" t="s">
        <v>144</v>
      </c>
      <c r="F3933" s="2" t="str">
        <f>HYPERLINK("http://www.otzar.org/book.asp?194943","ארזי בצלאל")</f>
        <v>ארזי בצלאל</v>
      </c>
    </row>
    <row r="3934" spans="1:6" x14ac:dyDescent="0.2">
      <c r="A3934" t="s">
        <v>7506</v>
      </c>
      <c r="B3934" t="s">
        <v>7507</v>
      </c>
      <c r="C3934" t="s">
        <v>146</v>
      </c>
      <c r="D3934" t="s">
        <v>14</v>
      </c>
      <c r="E3934" t="s">
        <v>733</v>
      </c>
      <c r="F3934" s="2" t="str">
        <f>HYPERLINK("http://www.otzar.org/book.asp?84508","ארזי הלבנון - 4 כר'")</f>
        <v>ארזי הלבנון - 4 כר'</v>
      </c>
    </row>
    <row r="3935" spans="1:6" x14ac:dyDescent="0.2">
      <c r="A3935" t="s">
        <v>7508</v>
      </c>
      <c r="B3935" t="s">
        <v>2193</v>
      </c>
      <c r="C3935" t="s">
        <v>1246</v>
      </c>
      <c r="D3935" t="s">
        <v>260</v>
      </c>
      <c r="E3935" t="s">
        <v>119</v>
      </c>
      <c r="F3935" s="2" t="str">
        <f>HYPERLINK("http://www.otzar.org/book.asp?145204","ארזי הלבנון")</f>
        <v>ארזי הלבנון</v>
      </c>
    </row>
    <row r="3936" spans="1:6" x14ac:dyDescent="0.2">
      <c r="A3936" t="s">
        <v>7508</v>
      </c>
      <c r="B3936" t="s">
        <v>7509</v>
      </c>
      <c r="C3936" t="s">
        <v>286</v>
      </c>
      <c r="D3936" t="s">
        <v>56</v>
      </c>
      <c r="E3936" t="s">
        <v>474</v>
      </c>
      <c r="F3936" s="2" t="str">
        <f>HYPERLINK("http://www.otzar.org/book.asp?189595","ארזי הלבנון")</f>
        <v>ארזי הלבנון</v>
      </c>
    </row>
    <row r="3937" spans="1:6" x14ac:dyDescent="0.2">
      <c r="A3937" t="s">
        <v>7508</v>
      </c>
      <c r="B3937" t="s">
        <v>7510</v>
      </c>
      <c r="C3937" t="s">
        <v>360</v>
      </c>
      <c r="D3937" t="s">
        <v>6618</v>
      </c>
      <c r="E3937" t="s">
        <v>579</v>
      </c>
      <c r="F3937" s="2" t="str">
        <f>HYPERLINK("http://www.otzar.org/book.asp?189601","ארזי הלבנון")</f>
        <v>ארזי הלבנון</v>
      </c>
    </row>
    <row r="3938" spans="1:6" x14ac:dyDescent="0.2">
      <c r="A3938" t="s">
        <v>7511</v>
      </c>
      <c r="E3938" t="s">
        <v>158</v>
      </c>
      <c r="F3938" s="2" t="str">
        <f>HYPERLINK("http://www.otzar.org/book.asp?625383","ארזי התורה - תשס""ו")</f>
        <v>ארזי התורה - תשס"ו</v>
      </c>
    </row>
    <row r="3939" spans="1:6" x14ac:dyDescent="0.2">
      <c r="A3939" t="s">
        <v>7512</v>
      </c>
      <c r="B3939" t="s">
        <v>7513</v>
      </c>
      <c r="C3939" t="s">
        <v>151</v>
      </c>
      <c r="D3939" t="s">
        <v>134</v>
      </c>
      <c r="E3939" t="s">
        <v>144</v>
      </c>
      <c r="F3939" s="2" t="str">
        <f>HYPERLINK("http://www.otzar.org/book.asp?617733","ארזי יעקב")</f>
        <v>ארזי יעקב</v>
      </c>
    </row>
    <row r="3940" spans="1:6" x14ac:dyDescent="0.2">
      <c r="A3940" t="s">
        <v>7514</v>
      </c>
      <c r="B3940" t="s">
        <v>7515</v>
      </c>
      <c r="C3940" t="s">
        <v>103</v>
      </c>
      <c r="D3940" t="s">
        <v>52</v>
      </c>
      <c r="E3940" t="s">
        <v>144</v>
      </c>
      <c r="F3940" s="2" t="str">
        <f>HYPERLINK("http://www.otzar.org/book.asp?53033","ארזי לבנון - 2 כר'")</f>
        <v>ארזי לבנון - 2 כר'</v>
      </c>
    </row>
    <row r="3941" spans="1:6" x14ac:dyDescent="0.2">
      <c r="A3941" t="s">
        <v>7516</v>
      </c>
      <c r="B3941" t="s">
        <v>7516</v>
      </c>
      <c r="C3941" t="s">
        <v>6778</v>
      </c>
      <c r="D3941" t="s">
        <v>49</v>
      </c>
      <c r="E3941" t="s">
        <v>314</v>
      </c>
      <c r="F3941" s="2" t="str">
        <f>HYPERLINK("http://www.otzar.org/book.asp?17243","ארזי לבנון")</f>
        <v>ארזי לבנון</v>
      </c>
    </row>
    <row r="3942" spans="1:6" x14ac:dyDescent="0.2">
      <c r="A3942" t="s">
        <v>7516</v>
      </c>
      <c r="B3942" t="s">
        <v>7517</v>
      </c>
      <c r="C3942" t="s">
        <v>1160</v>
      </c>
      <c r="D3942" t="s">
        <v>14</v>
      </c>
      <c r="E3942" t="s">
        <v>733</v>
      </c>
      <c r="F3942" s="2" t="str">
        <f>HYPERLINK("http://www.otzar.org/book.asp?167507","ארזי לבנון")</f>
        <v>ארזי לבנון</v>
      </c>
    </row>
    <row r="3943" spans="1:6" x14ac:dyDescent="0.2">
      <c r="A3943" t="s">
        <v>7516</v>
      </c>
      <c r="B3943" t="s">
        <v>7518</v>
      </c>
      <c r="C3943" t="s">
        <v>419</v>
      </c>
      <c r="D3943" t="s">
        <v>52</v>
      </c>
      <c r="E3943" t="s">
        <v>803</v>
      </c>
      <c r="F3943" s="2" t="str">
        <f>HYPERLINK("http://www.otzar.org/book.asp?153621","ארזי לבנון")</f>
        <v>ארזי לבנון</v>
      </c>
    </row>
    <row r="3944" spans="1:6" x14ac:dyDescent="0.2">
      <c r="A3944" t="s">
        <v>7516</v>
      </c>
      <c r="B3944" t="s">
        <v>7519</v>
      </c>
      <c r="C3944" t="s">
        <v>313</v>
      </c>
      <c r="D3944" t="s">
        <v>7520</v>
      </c>
      <c r="E3944" t="s">
        <v>104</v>
      </c>
      <c r="F3944" s="2" t="str">
        <f>HYPERLINK("http://www.otzar.org/book.asp?64102","ארזי לבנון")</f>
        <v>ארזי לבנון</v>
      </c>
    </row>
    <row r="3945" spans="1:6" x14ac:dyDescent="0.2">
      <c r="A3945" t="s">
        <v>7521</v>
      </c>
      <c r="B3945" t="s">
        <v>7522</v>
      </c>
      <c r="C3945" t="s">
        <v>146</v>
      </c>
      <c r="D3945" t="s">
        <v>14</v>
      </c>
      <c r="E3945" t="s">
        <v>579</v>
      </c>
      <c r="F3945" s="2" t="str">
        <f>HYPERLINK("http://www.otzar.org/book.asp?186730","ארזים עלי מים")</f>
        <v>ארזים עלי מים</v>
      </c>
    </row>
    <row r="3946" spans="1:6" x14ac:dyDescent="0.2">
      <c r="A3946" t="s">
        <v>7523</v>
      </c>
      <c r="B3946" t="s">
        <v>7524</v>
      </c>
      <c r="C3946" t="s">
        <v>114</v>
      </c>
      <c r="D3946" t="s">
        <v>14</v>
      </c>
      <c r="E3946" t="s">
        <v>119</v>
      </c>
      <c r="F3946" s="2" t="str">
        <f>HYPERLINK("http://www.otzar.org/book.asp?165903","ארח דוד - רבי דוד בהר""ן")</f>
        <v>ארח דוד - רבי דוד בהר"ן</v>
      </c>
    </row>
    <row r="3947" spans="1:6" x14ac:dyDescent="0.2">
      <c r="A3947" t="s">
        <v>7525</v>
      </c>
      <c r="B3947" t="s">
        <v>7526</v>
      </c>
      <c r="C3947" t="s">
        <v>146</v>
      </c>
      <c r="D3947" t="s">
        <v>14</v>
      </c>
      <c r="E3947" t="s">
        <v>325</v>
      </c>
      <c r="F3947" s="2" t="str">
        <f>HYPERLINK("http://www.otzar.org/book.asp?180038","ארח דעה - תערובות")</f>
        <v>ארח דעה - תערובות</v>
      </c>
    </row>
    <row r="3948" spans="1:6" x14ac:dyDescent="0.2">
      <c r="A3948" t="s">
        <v>7527</v>
      </c>
      <c r="B3948" t="s">
        <v>7528</v>
      </c>
      <c r="C3948" t="s">
        <v>146</v>
      </c>
      <c r="D3948" t="s">
        <v>14</v>
      </c>
      <c r="E3948" t="s">
        <v>325</v>
      </c>
      <c r="F3948" s="2" t="str">
        <f>HYPERLINK("http://www.otzar.org/book.asp?166205","ארח דעה")</f>
        <v>ארח דעה</v>
      </c>
    </row>
    <row r="3949" spans="1:6" x14ac:dyDescent="0.2">
      <c r="A3949" t="s">
        <v>7529</v>
      </c>
      <c r="B3949" t="s">
        <v>7530</v>
      </c>
      <c r="C3949" t="s">
        <v>13</v>
      </c>
      <c r="D3949" t="s">
        <v>52</v>
      </c>
      <c r="E3949" t="s">
        <v>467</v>
      </c>
      <c r="F3949" s="2" t="str">
        <f>HYPERLINK("http://www.otzar.org/book.asp?83713","ארח המועדים")</f>
        <v>ארח המועדים</v>
      </c>
    </row>
    <row r="3950" spans="1:6" x14ac:dyDescent="0.2">
      <c r="A3950" t="s">
        <v>7531</v>
      </c>
      <c r="B3950" t="s">
        <v>7532</v>
      </c>
      <c r="C3950" t="s">
        <v>244</v>
      </c>
      <c r="D3950" t="s">
        <v>52</v>
      </c>
      <c r="E3950" t="s">
        <v>246</v>
      </c>
      <c r="F3950" s="2" t="str">
        <f>HYPERLINK("http://www.otzar.org/book.asp?628609","ארח יצחק - 4 כר'")</f>
        <v>ארח יצחק - 4 כר'</v>
      </c>
    </row>
    <row r="3951" spans="1:6" x14ac:dyDescent="0.2">
      <c r="A3951" t="s">
        <v>7533</v>
      </c>
      <c r="B3951" t="s">
        <v>7534</v>
      </c>
      <c r="C3951" t="s">
        <v>624</v>
      </c>
      <c r="D3951" t="s">
        <v>14</v>
      </c>
      <c r="E3951" t="s">
        <v>872</v>
      </c>
      <c r="F3951" s="2" t="str">
        <f>HYPERLINK("http://www.otzar.org/book.asp?62618","ארח ישר - הלכות ארבעת המינים")</f>
        <v>ארח ישר - הלכות ארבעת המינים</v>
      </c>
    </row>
    <row r="3952" spans="1:6" x14ac:dyDescent="0.2">
      <c r="A3952" t="s">
        <v>7535</v>
      </c>
      <c r="B3952" t="s">
        <v>7536</v>
      </c>
      <c r="C3952" t="s">
        <v>777</v>
      </c>
      <c r="D3952" t="s">
        <v>260</v>
      </c>
      <c r="E3952" t="s">
        <v>714</v>
      </c>
      <c r="F3952" s="2" t="str">
        <f>HYPERLINK("http://www.otzar.org/book.asp?300415","ארח לחיים")</f>
        <v>ארח לחיים</v>
      </c>
    </row>
    <row r="3953" spans="1:6" x14ac:dyDescent="0.2">
      <c r="A3953" t="s">
        <v>7537</v>
      </c>
      <c r="B3953" t="s">
        <v>7538</v>
      </c>
      <c r="C3953" t="s">
        <v>1317</v>
      </c>
      <c r="D3953" t="s">
        <v>212</v>
      </c>
      <c r="E3953" t="s">
        <v>154</v>
      </c>
      <c r="F3953" s="2" t="str">
        <f>HYPERLINK("http://www.otzar.org/book.asp?24001","ארח לצדיק")</f>
        <v>ארח לצדיק</v>
      </c>
    </row>
    <row r="3954" spans="1:6" x14ac:dyDescent="0.2">
      <c r="A3954" t="s">
        <v>7539</v>
      </c>
      <c r="B3954" t="s">
        <v>7540</v>
      </c>
      <c r="C3954" t="s">
        <v>1374</v>
      </c>
      <c r="D3954" t="s">
        <v>947</v>
      </c>
      <c r="E3954" t="s">
        <v>104</v>
      </c>
      <c r="F3954" s="2" t="str">
        <f>HYPERLINK("http://www.otzar.org/book.asp?17244","ארח מישור")</f>
        <v>ארח מישור</v>
      </c>
    </row>
    <row r="3955" spans="1:6" x14ac:dyDescent="0.2">
      <c r="A3955" t="s">
        <v>7541</v>
      </c>
      <c r="B3955" t="s">
        <v>7542</v>
      </c>
      <c r="C3955" t="s">
        <v>1278</v>
      </c>
      <c r="D3955" t="s">
        <v>7543</v>
      </c>
      <c r="E3955" t="s">
        <v>241</v>
      </c>
      <c r="F3955" s="2" t="str">
        <f>HYPERLINK("http://www.otzar.org/book.asp?104611","ארח מישרים - 2 כר'")</f>
        <v>ארח מישרים - 2 כר'</v>
      </c>
    </row>
    <row r="3956" spans="1:6" x14ac:dyDescent="0.2">
      <c r="A3956" t="s">
        <v>7544</v>
      </c>
      <c r="B3956" t="s">
        <v>7545</v>
      </c>
      <c r="C3956" t="s">
        <v>151</v>
      </c>
      <c r="D3956" t="s">
        <v>14</v>
      </c>
      <c r="E3956" t="s">
        <v>2153</v>
      </c>
      <c r="F3956" s="2" t="str">
        <f>HYPERLINK("http://www.otzar.org/book.asp?627027","ארח משפט - 2 כר'")</f>
        <v>ארח משפט - 2 כר'</v>
      </c>
    </row>
    <row r="3957" spans="1:6" x14ac:dyDescent="0.2">
      <c r="A3957" t="s">
        <v>7546</v>
      </c>
      <c r="B3957" t="s">
        <v>7547</v>
      </c>
      <c r="C3957" t="s">
        <v>1278</v>
      </c>
      <c r="D3957" t="s">
        <v>76</v>
      </c>
      <c r="E3957" t="s">
        <v>15</v>
      </c>
      <c r="F3957" s="2" t="str">
        <f>HYPERLINK("http://www.otzar.org/book.asp?100253","ארח משפט")</f>
        <v>ארח משפט</v>
      </c>
    </row>
    <row r="3958" spans="1:6" x14ac:dyDescent="0.2">
      <c r="A3958" t="s">
        <v>7548</v>
      </c>
      <c r="B3958" t="s">
        <v>7526</v>
      </c>
      <c r="C3958" t="s">
        <v>133</v>
      </c>
      <c r="D3958" t="s">
        <v>14</v>
      </c>
      <c r="E3958" t="s">
        <v>144</v>
      </c>
      <c r="F3958" s="2" t="str">
        <f>HYPERLINK("http://www.otzar.org/book.asp?180037","ארח משפט - שבועות")</f>
        <v>ארח משפט - שבועות</v>
      </c>
    </row>
    <row r="3959" spans="1:6" x14ac:dyDescent="0.2">
      <c r="A3959" t="s">
        <v>7549</v>
      </c>
      <c r="B3959" t="s">
        <v>7550</v>
      </c>
      <c r="C3959" t="s">
        <v>129</v>
      </c>
      <c r="D3959" t="s">
        <v>52</v>
      </c>
      <c r="E3959" t="s">
        <v>186</v>
      </c>
      <c r="F3959" s="2" t="str">
        <f>HYPERLINK("http://www.otzar.org/book.asp?161039","ארח שבועה - שבועות")</f>
        <v>ארח שבועה - שבועות</v>
      </c>
    </row>
    <row r="3960" spans="1:6" x14ac:dyDescent="0.2">
      <c r="A3960" t="s">
        <v>7551</v>
      </c>
      <c r="B3960" t="s">
        <v>7552</v>
      </c>
      <c r="C3960" t="s">
        <v>151</v>
      </c>
      <c r="D3960" t="s">
        <v>7553</v>
      </c>
      <c r="F3960" s="2" t="str">
        <f>HYPERLINK("http://www.otzar.org/book.asp?616963","ארחות אבות - מנהגי יהודי תימן")</f>
        <v>ארחות אבות - מנהגי יהודי תימן</v>
      </c>
    </row>
    <row r="3961" spans="1:6" x14ac:dyDescent="0.2">
      <c r="A3961" t="s">
        <v>7554</v>
      </c>
      <c r="B3961" t="s">
        <v>7555</v>
      </c>
      <c r="C3961" t="s">
        <v>624</v>
      </c>
      <c r="D3961" t="s">
        <v>80</v>
      </c>
      <c r="E3961" t="s">
        <v>119</v>
      </c>
      <c r="F3961" s="2" t="str">
        <f>HYPERLINK("http://www.otzar.org/book.asp?600321","ארחות אבינו")</f>
        <v>ארחות אבינו</v>
      </c>
    </row>
    <row r="3962" spans="1:6" x14ac:dyDescent="0.2">
      <c r="A3962" t="s">
        <v>7556</v>
      </c>
      <c r="B3962" t="s">
        <v>7557</v>
      </c>
      <c r="C3962" t="s">
        <v>37</v>
      </c>
      <c r="D3962" t="s">
        <v>14</v>
      </c>
      <c r="E3962" t="s">
        <v>140</v>
      </c>
      <c r="F3962" s="2" t="str">
        <f>HYPERLINK("http://www.otzar.org/book.asp?630785","ארחות אהרן - 3 כר'")</f>
        <v>ארחות אהרן - 3 כר'</v>
      </c>
    </row>
    <row r="3963" spans="1:6" x14ac:dyDescent="0.2">
      <c r="A3963" t="s">
        <v>7558</v>
      </c>
      <c r="B3963" t="s">
        <v>7559</v>
      </c>
      <c r="C3963" t="s">
        <v>775</v>
      </c>
      <c r="D3963" t="s">
        <v>14</v>
      </c>
      <c r="E3963" t="s">
        <v>241</v>
      </c>
      <c r="F3963" s="2" t="str">
        <f>HYPERLINK("http://www.otzar.org/book.asp?25753","ארחות איש - 2 כר'")</f>
        <v>ארחות איש - 2 כר'</v>
      </c>
    </row>
    <row r="3964" spans="1:6" x14ac:dyDescent="0.2">
      <c r="A3964" t="s">
        <v>7560</v>
      </c>
      <c r="B3964" t="s">
        <v>7561</v>
      </c>
      <c r="C3964" t="s">
        <v>20</v>
      </c>
      <c r="D3964" t="s">
        <v>152</v>
      </c>
      <c r="E3964" t="s">
        <v>15</v>
      </c>
      <c r="F3964" s="2" t="str">
        <f>HYPERLINK("http://www.otzar.org/book.asp?199479","ארחות אמת - 5 כר'")</f>
        <v>ארחות אמת - 5 כר'</v>
      </c>
    </row>
    <row r="3965" spans="1:6" x14ac:dyDescent="0.2">
      <c r="A3965" t="s">
        <v>7562</v>
      </c>
      <c r="B3965" t="s">
        <v>7563</v>
      </c>
      <c r="C3965" t="s">
        <v>111</v>
      </c>
      <c r="D3965" t="s">
        <v>52</v>
      </c>
      <c r="F3965" s="2" t="str">
        <f>HYPERLINK("http://www.otzar.org/book.asp?623063","ארחות דעת - ריבית")</f>
        <v>ארחות דעת - ריבית</v>
      </c>
    </row>
    <row r="3966" spans="1:6" x14ac:dyDescent="0.2">
      <c r="A3966" t="s">
        <v>7564</v>
      </c>
      <c r="B3966" t="s">
        <v>7565</v>
      </c>
      <c r="C3966" t="s">
        <v>129</v>
      </c>
      <c r="D3966" t="s">
        <v>21</v>
      </c>
      <c r="E3966" t="s">
        <v>15</v>
      </c>
      <c r="F3966" s="2" t="str">
        <f>HYPERLINK("http://www.otzar.org/book.asp?199609","ארחות האשה")</f>
        <v>ארחות האשה</v>
      </c>
    </row>
    <row r="3967" spans="1:6" x14ac:dyDescent="0.2">
      <c r="A3967" t="s">
        <v>7566</v>
      </c>
      <c r="B3967" t="s">
        <v>552</v>
      </c>
      <c r="C3967" t="s">
        <v>133</v>
      </c>
      <c r="D3967" t="s">
        <v>14</v>
      </c>
      <c r="E3967" t="s">
        <v>202</v>
      </c>
      <c r="F3967" s="2" t="str">
        <f>HYPERLINK("http://www.otzar.org/book.asp?181872","ארחות ותולדות רבי מרדכי אליהו סלושץ")</f>
        <v>ארחות ותולדות רבי מרדכי אליהו סלושץ</v>
      </c>
    </row>
    <row r="3968" spans="1:6" x14ac:dyDescent="0.2">
      <c r="A3968" t="s">
        <v>7567</v>
      </c>
      <c r="B3968" t="s">
        <v>7568</v>
      </c>
      <c r="C3968" t="s">
        <v>366</v>
      </c>
      <c r="D3968" t="s">
        <v>7569</v>
      </c>
      <c r="E3968" t="s">
        <v>15</v>
      </c>
      <c r="F3968" s="2" t="str">
        <f>HYPERLINK("http://www.otzar.org/book.asp?608509","ארחות חיים &lt;מכון אור עציון&gt; - 2 כר'")</f>
        <v>ארחות חיים &lt;מכון אור עציון&gt; - 2 כר'</v>
      </c>
    </row>
    <row r="3969" spans="1:6" x14ac:dyDescent="0.2">
      <c r="A3969" t="s">
        <v>7570</v>
      </c>
      <c r="B3969" t="s">
        <v>4624</v>
      </c>
      <c r="C3969" t="s">
        <v>7571</v>
      </c>
      <c r="D3969" t="s">
        <v>49</v>
      </c>
      <c r="E3969" t="s">
        <v>241</v>
      </c>
      <c r="F3969" s="2" t="str">
        <f>HYPERLINK("http://www.otzar.org/book.asp?84145","ארחות חיים &lt;עם שושנת יעקב&gt;")</f>
        <v>ארחות חיים &lt;עם שושנת יעקב&gt;</v>
      </c>
    </row>
    <row r="3970" spans="1:6" x14ac:dyDescent="0.2">
      <c r="A3970" t="s">
        <v>7572</v>
      </c>
      <c r="B3970" t="s">
        <v>7573</v>
      </c>
      <c r="C3970" t="s">
        <v>466</v>
      </c>
      <c r="D3970" t="s">
        <v>412</v>
      </c>
      <c r="E3970" t="s">
        <v>241</v>
      </c>
      <c r="F3970" s="2" t="str">
        <f>HYPERLINK("http://www.otzar.org/book.asp?22092","ארחות חיים &lt;דרך ישרה, משנה הלכות&gt;")</f>
        <v>ארחות חיים &lt;דרך ישרה, משנה הלכות&gt;</v>
      </c>
    </row>
    <row r="3971" spans="1:6" x14ac:dyDescent="0.2">
      <c r="A3971" t="s">
        <v>7574</v>
      </c>
      <c r="B3971" t="s">
        <v>7575</v>
      </c>
      <c r="C3971" t="s">
        <v>7576</v>
      </c>
      <c r="D3971" t="s">
        <v>7577</v>
      </c>
      <c r="E3971" t="s">
        <v>158</v>
      </c>
      <c r="F3971" s="2" t="str">
        <f>HYPERLINK("http://www.otzar.org/book.asp?604576","ארחות חיים &lt;משלי&gt;")</f>
        <v>ארחות חיים &lt;משלי&gt;</v>
      </c>
    </row>
    <row r="3972" spans="1:6" x14ac:dyDescent="0.2">
      <c r="A3972" t="s">
        <v>7578</v>
      </c>
      <c r="B3972" t="s">
        <v>7579</v>
      </c>
      <c r="C3972" t="s">
        <v>411</v>
      </c>
      <c r="D3972" t="s">
        <v>14</v>
      </c>
      <c r="E3972" t="s">
        <v>15</v>
      </c>
      <c r="F3972" s="2" t="str">
        <f>HYPERLINK("http://www.otzar.org/book.asp?168787","ארחות חיים כתר ראש &lt;מהד' חדשה&gt;")</f>
        <v>ארחות חיים כתר ראש &lt;מהד' חדשה&gt;</v>
      </c>
    </row>
    <row r="3973" spans="1:6" x14ac:dyDescent="0.2">
      <c r="A3973" t="s">
        <v>7580</v>
      </c>
      <c r="B3973" t="s">
        <v>7579</v>
      </c>
      <c r="C3973" t="s">
        <v>3246</v>
      </c>
      <c r="D3973" t="s">
        <v>283</v>
      </c>
      <c r="E3973" t="s">
        <v>15</v>
      </c>
      <c r="F3973" s="2" t="str">
        <f>HYPERLINK("http://www.otzar.org/book.asp?15980","ארחות חיים כתר ראש - 2 כר'")</f>
        <v>ארחות חיים כתר ראש - 2 כר'</v>
      </c>
    </row>
    <row r="3974" spans="1:6" x14ac:dyDescent="0.2">
      <c r="A3974" t="s">
        <v>7581</v>
      </c>
      <c r="B3974" t="s">
        <v>3374</v>
      </c>
      <c r="C3974" t="s">
        <v>151</v>
      </c>
      <c r="D3974" t="s">
        <v>14</v>
      </c>
      <c r="F3974" s="2" t="str">
        <f>HYPERLINK("http://www.otzar.org/book.asp?618095","ארחות חיים של תורה")</f>
        <v>ארחות חיים של תורה</v>
      </c>
    </row>
    <row r="3975" spans="1:6" x14ac:dyDescent="0.2">
      <c r="A3975" t="s">
        <v>7581</v>
      </c>
      <c r="B3975" t="s">
        <v>7582</v>
      </c>
      <c r="C3975" t="s">
        <v>151</v>
      </c>
      <c r="D3975" t="s">
        <v>14</v>
      </c>
      <c r="F3975" s="2" t="str">
        <f>HYPERLINK("http://www.otzar.org/book.asp?617610","ארחות חיים של תורה")</f>
        <v>ארחות חיים של תורה</v>
      </c>
    </row>
    <row r="3976" spans="1:6" x14ac:dyDescent="0.2">
      <c r="A3976" t="s">
        <v>7583</v>
      </c>
      <c r="B3976" t="s">
        <v>7568</v>
      </c>
      <c r="C3976" t="s">
        <v>1954</v>
      </c>
      <c r="D3976" t="s">
        <v>27</v>
      </c>
      <c r="E3976" t="s">
        <v>15</v>
      </c>
      <c r="F3976" s="2" t="str">
        <f>HYPERLINK("http://www.otzar.org/book.asp?144935","ארחות חיים - 4 כר'")</f>
        <v>ארחות חיים - 4 כר'</v>
      </c>
    </row>
    <row r="3977" spans="1:6" x14ac:dyDescent="0.2">
      <c r="A3977" t="s">
        <v>7584</v>
      </c>
      <c r="B3977" t="s">
        <v>4617</v>
      </c>
      <c r="C3977" t="s">
        <v>843</v>
      </c>
      <c r="D3977" t="s">
        <v>27</v>
      </c>
      <c r="E3977" t="s">
        <v>241</v>
      </c>
      <c r="F3977" s="2" t="str">
        <f>HYPERLINK("http://www.otzar.org/book.asp?10394","ארחות חיים - 2 כר'")</f>
        <v>ארחות חיים - 2 כר'</v>
      </c>
    </row>
    <row r="3978" spans="1:6" x14ac:dyDescent="0.2">
      <c r="A3978" t="s">
        <v>7585</v>
      </c>
      <c r="B3978" t="s">
        <v>6656</v>
      </c>
      <c r="C3978" t="s">
        <v>17</v>
      </c>
      <c r="D3978" t="s">
        <v>486</v>
      </c>
      <c r="E3978" t="s">
        <v>241</v>
      </c>
      <c r="F3978" s="2" t="str">
        <f>HYPERLINK("http://www.otzar.org/book.asp?25762","ארחות חיים")</f>
        <v>ארחות חיים</v>
      </c>
    </row>
    <row r="3979" spans="1:6" x14ac:dyDescent="0.2">
      <c r="A3979" t="s">
        <v>7586</v>
      </c>
      <c r="B3979" t="s">
        <v>7587</v>
      </c>
      <c r="C3979" t="s">
        <v>1934</v>
      </c>
      <c r="D3979" t="s">
        <v>756</v>
      </c>
      <c r="E3979" t="s">
        <v>172</v>
      </c>
      <c r="F3979" s="2" t="str">
        <f>HYPERLINK("http://www.otzar.org/book.asp?100254","ארחות חיים - 3 כר'")</f>
        <v>ארחות חיים - 3 כר'</v>
      </c>
    </row>
    <row r="3980" spans="1:6" x14ac:dyDescent="0.2">
      <c r="A3980" t="s">
        <v>7585</v>
      </c>
      <c r="B3980" t="s">
        <v>170</v>
      </c>
      <c r="C3980" t="s">
        <v>802</v>
      </c>
      <c r="D3980" t="s">
        <v>56</v>
      </c>
      <c r="E3980" t="s">
        <v>172</v>
      </c>
      <c r="F3980" s="2" t="str">
        <f>HYPERLINK("http://www.otzar.org/book.asp?300392","ארחות חיים")</f>
        <v>ארחות חיים</v>
      </c>
    </row>
    <row r="3981" spans="1:6" x14ac:dyDescent="0.2">
      <c r="A3981" t="s">
        <v>7585</v>
      </c>
      <c r="B3981" t="s">
        <v>7588</v>
      </c>
      <c r="C3981" t="s">
        <v>20</v>
      </c>
      <c r="D3981" t="s">
        <v>14</v>
      </c>
      <c r="E3981" t="s">
        <v>213</v>
      </c>
      <c r="F3981" s="2" t="str">
        <f>HYPERLINK("http://www.otzar.org/book.asp?300379","ארחות חיים")</f>
        <v>ארחות חיים</v>
      </c>
    </row>
    <row r="3982" spans="1:6" x14ac:dyDescent="0.2">
      <c r="A3982" t="s">
        <v>7585</v>
      </c>
      <c r="B3982" t="s">
        <v>7589</v>
      </c>
      <c r="C3982" t="s">
        <v>237</v>
      </c>
      <c r="D3982" t="s">
        <v>27</v>
      </c>
      <c r="E3982" t="s">
        <v>960</v>
      </c>
      <c r="F3982" s="2" t="str">
        <f>HYPERLINK("http://www.otzar.org/book.asp?300385","ארחות חיים")</f>
        <v>ארחות חיים</v>
      </c>
    </row>
    <row r="3983" spans="1:6" x14ac:dyDescent="0.2">
      <c r="A3983" t="s">
        <v>7590</v>
      </c>
      <c r="B3983" t="s">
        <v>7591</v>
      </c>
      <c r="C3983" t="s">
        <v>114</v>
      </c>
      <c r="D3983" t="s">
        <v>90</v>
      </c>
      <c r="E3983" t="s">
        <v>130</v>
      </c>
      <c r="F3983" s="2" t="str">
        <f>HYPERLINK("http://www.otzar.org/book.asp?189041","ארחות חנוכה לבן ישיבה")</f>
        <v>ארחות חנוכה לבן ישיבה</v>
      </c>
    </row>
    <row r="3984" spans="1:6" x14ac:dyDescent="0.2">
      <c r="A3984" t="s">
        <v>7592</v>
      </c>
      <c r="B3984" t="s">
        <v>7593</v>
      </c>
      <c r="C3984" t="s">
        <v>23</v>
      </c>
      <c r="D3984" t="s">
        <v>21</v>
      </c>
      <c r="E3984" t="s">
        <v>15</v>
      </c>
      <c r="F3984" s="2" t="str">
        <f>HYPERLINK("http://www.otzar.org/book.asp?194465","ארחות טהרה")</f>
        <v>ארחות טהרה</v>
      </c>
    </row>
    <row r="3985" spans="1:6" x14ac:dyDescent="0.2">
      <c r="A3985" t="s">
        <v>7592</v>
      </c>
      <c r="B3985" t="s">
        <v>7594</v>
      </c>
      <c r="C3985" t="s">
        <v>129</v>
      </c>
      <c r="D3985" t="s">
        <v>14</v>
      </c>
      <c r="E3985" t="s">
        <v>15</v>
      </c>
      <c r="F3985" s="2" t="str">
        <f>HYPERLINK("http://www.otzar.org/book.asp?60652","ארחות טהרה")</f>
        <v>ארחות טהרה</v>
      </c>
    </row>
    <row r="3986" spans="1:6" x14ac:dyDescent="0.2">
      <c r="A3986" t="s">
        <v>7595</v>
      </c>
      <c r="B3986" t="s">
        <v>7596</v>
      </c>
      <c r="C3986" t="s">
        <v>114</v>
      </c>
      <c r="D3986" t="s">
        <v>276</v>
      </c>
      <c r="E3986" t="s">
        <v>15</v>
      </c>
      <c r="F3986" s="2" t="str">
        <f>HYPERLINK("http://www.otzar.org/book.asp?603747","ארחות טוהר - וסתות")</f>
        <v>ארחות טוהר - וסתות</v>
      </c>
    </row>
    <row r="3987" spans="1:6" x14ac:dyDescent="0.2">
      <c r="A3987" t="s">
        <v>7597</v>
      </c>
      <c r="B3987" t="s">
        <v>7598</v>
      </c>
      <c r="C3987" t="s">
        <v>366</v>
      </c>
      <c r="D3987" t="s">
        <v>147</v>
      </c>
      <c r="E3987" t="s">
        <v>144</v>
      </c>
      <c r="F3987" s="2" t="str">
        <f>HYPERLINK("http://www.otzar.org/book.asp?619364","ארחות יהודה - 2 כר'")</f>
        <v>ארחות יהודה - 2 כר'</v>
      </c>
    </row>
    <row r="3988" spans="1:6" x14ac:dyDescent="0.2">
      <c r="A3988" t="s">
        <v>7599</v>
      </c>
      <c r="B3988" t="s">
        <v>7600</v>
      </c>
      <c r="C3988" t="s">
        <v>114</v>
      </c>
      <c r="D3988" t="s">
        <v>14</v>
      </c>
      <c r="E3988" t="s">
        <v>144</v>
      </c>
      <c r="F3988" s="2" t="str">
        <f>HYPERLINK("http://www.otzar.org/book.asp?160346","ארחות יהודה - 3 כר'")</f>
        <v>ארחות יהודה - 3 כר'</v>
      </c>
    </row>
    <row r="3989" spans="1:6" x14ac:dyDescent="0.2">
      <c r="A3989" t="s">
        <v>7601</v>
      </c>
      <c r="B3989" t="s">
        <v>7602</v>
      </c>
      <c r="C3989" t="s">
        <v>244</v>
      </c>
      <c r="D3989" t="s">
        <v>52</v>
      </c>
      <c r="F3989" s="2" t="str">
        <f>HYPERLINK("http://www.otzar.org/book.asp?611361","ארחות יושר &lt;ביאורים ועיונים&gt;")</f>
        <v>ארחות יושר &lt;ביאורים ועיונים&gt;</v>
      </c>
    </row>
    <row r="3990" spans="1:6" x14ac:dyDescent="0.2">
      <c r="A3990" t="s">
        <v>7603</v>
      </c>
      <c r="B3990" t="s">
        <v>7604</v>
      </c>
      <c r="C3990" t="s">
        <v>71</v>
      </c>
      <c r="D3990" t="s">
        <v>52</v>
      </c>
      <c r="E3990" t="s">
        <v>241</v>
      </c>
      <c r="F3990" s="2" t="str">
        <f>HYPERLINK("http://www.otzar.org/book.asp?106397","ארחות יושר")</f>
        <v>ארחות יושר</v>
      </c>
    </row>
    <row r="3991" spans="1:6" x14ac:dyDescent="0.2">
      <c r="A3991" t="s">
        <v>7605</v>
      </c>
      <c r="B3991" t="s">
        <v>7606</v>
      </c>
      <c r="C3991" t="s">
        <v>151</v>
      </c>
      <c r="D3991" t="s">
        <v>14</v>
      </c>
      <c r="F3991" s="2" t="str">
        <f>HYPERLINK("http://www.otzar.org/book.asp?616382","ארחות ימים")</f>
        <v>ארחות ימים</v>
      </c>
    </row>
    <row r="3992" spans="1:6" x14ac:dyDescent="0.2">
      <c r="A3992" t="s">
        <v>7607</v>
      </c>
      <c r="B3992" t="s">
        <v>7608</v>
      </c>
      <c r="C3992" t="s">
        <v>466</v>
      </c>
      <c r="D3992" t="s">
        <v>1180</v>
      </c>
      <c r="E3992" t="s">
        <v>172</v>
      </c>
      <c r="F3992" s="2" t="str">
        <f>HYPERLINK("http://www.otzar.org/book.asp?193521","ארחות ימים - 3 כר'")</f>
        <v>ארחות ימים - 3 כר'</v>
      </c>
    </row>
    <row r="3993" spans="1:6" x14ac:dyDescent="0.2">
      <c r="A3993" t="s">
        <v>7609</v>
      </c>
      <c r="B3993" t="s">
        <v>7610</v>
      </c>
      <c r="C3993" t="s">
        <v>143</v>
      </c>
      <c r="D3993" t="s">
        <v>646</v>
      </c>
      <c r="E3993" t="s">
        <v>733</v>
      </c>
      <c r="F3993" s="2" t="str">
        <f>HYPERLINK("http://www.otzar.org/book.asp?153199","ארחות ישרים - 3 כר'")</f>
        <v>ארחות ישרים - 3 כר'</v>
      </c>
    </row>
    <row r="3994" spans="1:6" x14ac:dyDescent="0.2">
      <c r="A3994" t="s">
        <v>7611</v>
      </c>
      <c r="B3994" t="s">
        <v>3488</v>
      </c>
      <c r="C3994" t="s">
        <v>244</v>
      </c>
      <c r="D3994" t="s">
        <v>21</v>
      </c>
      <c r="F3994" s="2" t="str">
        <f>HYPERLINK("http://www.otzar.org/book.asp?194538","ארחות מרן - 3 כר'")</f>
        <v>ארחות מרן - 3 כר'</v>
      </c>
    </row>
    <row r="3995" spans="1:6" x14ac:dyDescent="0.2">
      <c r="A3995" t="s">
        <v>7612</v>
      </c>
      <c r="B3995" t="s">
        <v>7613</v>
      </c>
      <c r="C3995" t="s">
        <v>71</v>
      </c>
      <c r="D3995" t="s">
        <v>52</v>
      </c>
      <c r="E3995" t="s">
        <v>202</v>
      </c>
      <c r="F3995" s="2" t="str">
        <f>HYPERLINK("http://www.otzar.org/book.asp?164030","ארחות צדיק")</f>
        <v>ארחות צדיק</v>
      </c>
    </row>
    <row r="3996" spans="1:6" x14ac:dyDescent="0.2">
      <c r="A3996" t="s">
        <v>7614</v>
      </c>
      <c r="B3996" t="s">
        <v>7615</v>
      </c>
      <c r="C3996" t="s">
        <v>1991</v>
      </c>
      <c r="D3996" t="s">
        <v>76</v>
      </c>
      <c r="E3996" t="s">
        <v>241</v>
      </c>
      <c r="F3996" s="2" t="str">
        <f>HYPERLINK("http://www.otzar.org/book.asp?53287","ארחות צדיקים &lt;אורחות יושר&gt;")</f>
        <v>ארחות צדיקים &lt;אורחות יושר&gt;</v>
      </c>
    </row>
    <row r="3997" spans="1:6" x14ac:dyDescent="0.2">
      <c r="A3997" t="s">
        <v>7616</v>
      </c>
      <c r="B3997" t="s">
        <v>7615</v>
      </c>
      <c r="C3997" t="s">
        <v>17</v>
      </c>
      <c r="D3997" t="s">
        <v>52</v>
      </c>
      <c r="E3997" t="s">
        <v>241</v>
      </c>
      <c r="F3997" s="2" t="str">
        <f>HYPERLINK("http://www.otzar.org/book.asp?197374","ארחות צדיקים &lt;מעשה רב&gt;")</f>
        <v>ארחות צדיקים &lt;מעשה רב&gt;</v>
      </c>
    </row>
    <row r="3998" spans="1:6" x14ac:dyDescent="0.2">
      <c r="A3998" t="s">
        <v>7617</v>
      </c>
      <c r="B3998" t="s">
        <v>7618</v>
      </c>
      <c r="C3998" t="s">
        <v>23</v>
      </c>
      <c r="D3998" t="s">
        <v>52</v>
      </c>
      <c r="F3998" s="2" t="str">
        <f>HYPERLINK("http://www.otzar.org/book.asp?611362","ארחות צדיקים &lt;ביאורים ועיונים&gt; - 2 כר'")</f>
        <v>ארחות צדיקים &lt;ביאורים ועיונים&gt; - 2 כר'</v>
      </c>
    </row>
    <row r="3999" spans="1:6" x14ac:dyDescent="0.2">
      <c r="A3999" t="s">
        <v>7619</v>
      </c>
      <c r="B3999" t="s">
        <v>7620</v>
      </c>
      <c r="C3999" t="s">
        <v>71</v>
      </c>
      <c r="D3999" t="s">
        <v>52</v>
      </c>
      <c r="E3999" t="s">
        <v>241</v>
      </c>
      <c r="F3999" s="2" t="str">
        <f>HYPERLINK("http://www.otzar.org/book.asp?23164","ארחות צדיקים &lt;עלי אורח&gt;")</f>
        <v>ארחות צדיקים &lt;עלי אורח&gt;</v>
      </c>
    </row>
    <row r="4000" spans="1:6" x14ac:dyDescent="0.2">
      <c r="A4000" t="s">
        <v>7621</v>
      </c>
      <c r="B4000" t="s">
        <v>7622</v>
      </c>
      <c r="C4000" t="s">
        <v>533</v>
      </c>
      <c r="D4000" t="s">
        <v>14</v>
      </c>
      <c r="E4000" t="s">
        <v>241</v>
      </c>
      <c r="F4000" s="2" t="str">
        <f>HYPERLINK("http://www.otzar.org/book.asp?144000","ארחות צדיקים עם ביאור דרך טובים")</f>
        <v>ארחות צדיקים עם ביאור דרך טובים</v>
      </c>
    </row>
    <row r="4001" spans="1:6" x14ac:dyDescent="0.2">
      <c r="A4001" t="s">
        <v>7623</v>
      </c>
      <c r="B4001" t="s">
        <v>7615</v>
      </c>
      <c r="C4001" t="s">
        <v>1278</v>
      </c>
      <c r="D4001" t="s">
        <v>164</v>
      </c>
      <c r="E4001" t="s">
        <v>241</v>
      </c>
      <c r="F4001" s="2" t="str">
        <f>HYPERLINK("http://www.otzar.org/book.asp?5376","ארחות צדיקים - 4 כר'")</f>
        <v>ארחות צדיקים - 4 כר'</v>
      </c>
    </row>
    <row r="4002" spans="1:6" x14ac:dyDescent="0.2">
      <c r="A4002" t="s">
        <v>7615</v>
      </c>
      <c r="B4002" t="s">
        <v>7624</v>
      </c>
      <c r="C4002" t="s">
        <v>7625</v>
      </c>
      <c r="D4002" t="s">
        <v>76</v>
      </c>
      <c r="F4002" s="2" t="str">
        <f>HYPERLINK("http://www.otzar.org/book.asp?164935","ארחות צדיקים")</f>
        <v>ארחות צדיקים</v>
      </c>
    </row>
    <row r="4003" spans="1:6" x14ac:dyDescent="0.2">
      <c r="A4003" t="s">
        <v>7626</v>
      </c>
      <c r="B4003" t="s">
        <v>7627</v>
      </c>
      <c r="C4003" t="s">
        <v>111</v>
      </c>
      <c r="D4003" t="s">
        <v>90</v>
      </c>
      <c r="E4003" t="s">
        <v>15</v>
      </c>
      <c r="F4003" s="2" t="str">
        <f>HYPERLINK("http://www.otzar.org/book.asp?628069","ארחות צדקה")</f>
        <v>ארחות צדקה</v>
      </c>
    </row>
    <row r="4004" spans="1:6" x14ac:dyDescent="0.2">
      <c r="A4004" t="s">
        <v>7628</v>
      </c>
      <c r="B4004" t="s">
        <v>7629</v>
      </c>
      <c r="C4004" t="s">
        <v>366</v>
      </c>
      <c r="D4004" t="s">
        <v>14</v>
      </c>
      <c r="F4004" s="2" t="str">
        <f>HYPERLINK("http://www.otzar.org/book.asp?616130","ארחות ציון - 3 כר'")</f>
        <v>ארחות ציון - 3 כר'</v>
      </c>
    </row>
    <row r="4005" spans="1:6" x14ac:dyDescent="0.2">
      <c r="A4005" t="s">
        <v>7630</v>
      </c>
      <c r="B4005" t="s">
        <v>7631</v>
      </c>
      <c r="C4005" t="s">
        <v>37</v>
      </c>
      <c r="D4005" t="s">
        <v>52</v>
      </c>
      <c r="E4005" t="s">
        <v>3567</v>
      </c>
      <c r="F4005" s="2" t="str">
        <f>HYPERLINK("http://www.otzar.org/book.asp?191642","ארחות רבינו הקהלות יעקב &lt;מהדורה חדשה&gt; - 5 כר'")</f>
        <v>ארחות רבינו הקהלות יעקב &lt;מהדורה חדשה&gt; - 5 כר'</v>
      </c>
    </row>
    <row r="4006" spans="1:6" x14ac:dyDescent="0.2">
      <c r="A4006" t="s">
        <v>7632</v>
      </c>
      <c r="B4006" t="s">
        <v>7631</v>
      </c>
      <c r="C4006" t="s">
        <v>143</v>
      </c>
      <c r="D4006" t="s">
        <v>52</v>
      </c>
      <c r="E4006" t="s">
        <v>15</v>
      </c>
      <c r="F4006" s="2" t="str">
        <f>HYPERLINK("http://www.otzar.org/book.asp?144232","ארחות רבינו הקהלות יעקב - 5 כר'")</f>
        <v>ארחות רבינו הקהלות יעקב - 5 כר'</v>
      </c>
    </row>
    <row r="4007" spans="1:6" x14ac:dyDescent="0.2">
      <c r="A4007" t="s">
        <v>7633</v>
      </c>
      <c r="B4007" t="s">
        <v>7634</v>
      </c>
      <c r="C4007" t="s">
        <v>366</v>
      </c>
      <c r="D4007" t="s">
        <v>14</v>
      </c>
      <c r="E4007" t="s">
        <v>172</v>
      </c>
      <c r="F4007" s="2" t="str">
        <f>HYPERLINK("http://www.otzar.org/book.asp?609625","ארחות רבית")</f>
        <v>ארחות רבית</v>
      </c>
    </row>
    <row r="4008" spans="1:6" x14ac:dyDescent="0.2">
      <c r="A4008" t="s">
        <v>7635</v>
      </c>
      <c r="B4008" t="s">
        <v>7636</v>
      </c>
      <c r="C4008" t="s">
        <v>454</v>
      </c>
      <c r="D4008" t="s">
        <v>14</v>
      </c>
      <c r="E4008" t="s">
        <v>15</v>
      </c>
      <c r="F4008" s="2" t="str">
        <f>HYPERLINK("http://www.otzar.org/book.asp?28887","ארחות שבת - 3 כר'")</f>
        <v>ארחות שבת - 3 כר'</v>
      </c>
    </row>
    <row r="4009" spans="1:6" x14ac:dyDescent="0.2">
      <c r="A4009" t="s">
        <v>7637</v>
      </c>
      <c r="B4009" t="s">
        <v>2663</v>
      </c>
      <c r="C4009" t="s">
        <v>103</v>
      </c>
      <c r="D4009" t="s">
        <v>52</v>
      </c>
      <c r="E4009" t="s">
        <v>202</v>
      </c>
      <c r="F4009" s="2" t="str">
        <f>HYPERLINK("http://www.otzar.org/book.asp?170497","ארחות שלום")</f>
        <v>ארחות שלום</v>
      </c>
    </row>
    <row r="4010" spans="1:6" x14ac:dyDescent="0.2">
      <c r="A4010" t="s">
        <v>7638</v>
      </c>
      <c r="B4010" t="s">
        <v>7639</v>
      </c>
      <c r="C4010" t="s">
        <v>7640</v>
      </c>
      <c r="D4010" t="s">
        <v>1356</v>
      </c>
      <c r="E4010" t="s">
        <v>202</v>
      </c>
      <c r="F4010" s="2" t="str">
        <f>HYPERLINK("http://www.otzar.org/book.asp?153903","ארחות - 19 כר'")</f>
        <v>ארחות - 19 כר'</v>
      </c>
    </row>
    <row r="4011" spans="1:6" x14ac:dyDescent="0.2">
      <c r="A4011" t="s">
        <v>7641</v>
      </c>
      <c r="B4011" t="s">
        <v>206</v>
      </c>
      <c r="C4011" t="s">
        <v>454</v>
      </c>
      <c r="D4011" t="s">
        <v>14</v>
      </c>
      <c r="E4011" t="s">
        <v>154</v>
      </c>
      <c r="F4011" s="2" t="str">
        <f>HYPERLINK("http://www.otzar.org/book.asp?175554","ארחותיך למדני - 6 כר'")</f>
        <v>ארחותיך למדני - 6 כר'</v>
      </c>
    </row>
    <row r="4012" spans="1:6" x14ac:dyDescent="0.2">
      <c r="A4012" t="s">
        <v>7642</v>
      </c>
      <c r="B4012" t="s">
        <v>7643</v>
      </c>
      <c r="C4012" t="s">
        <v>146</v>
      </c>
      <c r="D4012" t="s">
        <v>14</v>
      </c>
      <c r="E4012" t="s">
        <v>202</v>
      </c>
      <c r="F4012" s="2" t="str">
        <f>HYPERLINK("http://www.otzar.org/book.asp?160892","ארחין דאורייתא - א")</f>
        <v>ארחין דאורייתא - א</v>
      </c>
    </row>
    <row r="4013" spans="1:6" x14ac:dyDescent="0.2">
      <c r="A4013" t="s">
        <v>7644</v>
      </c>
      <c r="B4013" t="s">
        <v>7645</v>
      </c>
      <c r="C4013" t="s">
        <v>114</v>
      </c>
      <c r="D4013" t="s">
        <v>2531</v>
      </c>
      <c r="E4013" t="s">
        <v>148</v>
      </c>
      <c r="F4013" s="2" t="str">
        <f>HYPERLINK("http://www.otzar.org/book.asp?167890","ארחץ בנקיון כפי - 3 כר'")</f>
        <v>ארחץ בנקיון כפי - 3 כר'</v>
      </c>
    </row>
    <row r="4014" spans="1:6" x14ac:dyDescent="0.2">
      <c r="A4014" t="s">
        <v>7646</v>
      </c>
      <c r="B4014" t="s">
        <v>7647</v>
      </c>
      <c r="C4014" t="s">
        <v>1535</v>
      </c>
      <c r="D4014" t="s">
        <v>7648</v>
      </c>
      <c r="E4014" t="s">
        <v>1174</v>
      </c>
      <c r="F4014" s="2" t="str">
        <f>HYPERLINK("http://www.otzar.org/book.asp?158042","ארטאדאקסישע יוגענד בלעטער - 9 כר'")</f>
        <v>ארטאדאקסישע יוגענד בלעטער - 9 כר'</v>
      </c>
    </row>
    <row r="4015" spans="1:6" x14ac:dyDescent="0.2">
      <c r="A4015" t="s">
        <v>7649</v>
      </c>
      <c r="B4015" t="s">
        <v>6881</v>
      </c>
      <c r="C4015" t="s">
        <v>775</v>
      </c>
      <c r="D4015" t="s">
        <v>14</v>
      </c>
      <c r="E4015" t="s">
        <v>158</v>
      </c>
      <c r="F4015" s="2" t="str">
        <f>HYPERLINK("http://www.otzar.org/book.asp?21613","ארי במסתרים")</f>
        <v>ארי במסתרים</v>
      </c>
    </row>
    <row r="4016" spans="1:6" x14ac:dyDescent="0.2">
      <c r="A4016" t="s">
        <v>7649</v>
      </c>
      <c r="B4016" t="s">
        <v>7650</v>
      </c>
      <c r="F4016" s="2" t="str">
        <f>HYPERLINK("http://www.otzar.org/book.asp?623028","ארי במסתרים")</f>
        <v>ארי במסתרים</v>
      </c>
    </row>
    <row r="4017" spans="1:6" x14ac:dyDescent="0.2">
      <c r="A4017" t="s">
        <v>7649</v>
      </c>
      <c r="B4017" t="s">
        <v>7651</v>
      </c>
      <c r="C4017" t="s">
        <v>1202</v>
      </c>
      <c r="D4017" t="s">
        <v>412</v>
      </c>
      <c r="E4017" t="s">
        <v>158</v>
      </c>
      <c r="F4017" s="2" t="str">
        <f>HYPERLINK("http://www.otzar.org/book.asp?141192","ארי במסתרים")</f>
        <v>ארי במסתרים</v>
      </c>
    </row>
    <row r="4018" spans="1:6" x14ac:dyDescent="0.2">
      <c r="A4018" t="s">
        <v>7649</v>
      </c>
      <c r="B4018" t="s">
        <v>3286</v>
      </c>
      <c r="C4018" t="s">
        <v>124</v>
      </c>
      <c r="D4018" t="s">
        <v>52</v>
      </c>
      <c r="E4018" t="s">
        <v>119</v>
      </c>
      <c r="F4018" s="2" t="str">
        <f>HYPERLINK("http://www.otzar.org/book.asp?9415","ארי במסתרים")</f>
        <v>ארי במסתרים</v>
      </c>
    </row>
    <row r="4019" spans="1:6" x14ac:dyDescent="0.2">
      <c r="A4019" t="s">
        <v>7649</v>
      </c>
      <c r="B4019" t="s">
        <v>7652</v>
      </c>
      <c r="C4019" t="s">
        <v>37</v>
      </c>
      <c r="D4019" t="s">
        <v>14</v>
      </c>
      <c r="E4019" t="s">
        <v>104</v>
      </c>
      <c r="F4019" s="2" t="str">
        <f>HYPERLINK("http://www.otzar.org/book.asp?192915","ארי במסתרים")</f>
        <v>ארי במסתרים</v>
      </c>
    </row>
    <row r="4020" spans="1:6" x14ac:dyDescent="0.2">
      <c r="A4020" t="s">
        <v>7649</v>
      </c>
      <c r="B4020" t="s">
        <v>7653</v>
      </c>
      <c r="C4020" t="s">
        <v>20</v>
      </c>
      <c r="D4020" t="s">
        <v>1156</v>
      </c>
      <c r="E4020" t="s">
        <v>202</v>
      </c>
      <c r="F4020" s="2" t="str">
        <f>HYPERLINK("http://www.otzar.org/book.asp?622372","ארי במסתרים")</f>
        <v>ארי במסתרים</v>
      </c>
    </row>
    <row r="4021" spans="1:6" x14ac:dyDescent="0.2">
      <c r="A4021" t="s">
        <v>7654</v>
      </c>
      <c r="B4021" t="s">
        <v>206</v>
      </c>
      <c r="C4021" t="s">
        <v>20</v>
      </c>
      <c r="D4021" t="s">
        <v>90</v>
      </c>
      <c r="E4021" t="s">
        <v>104</v>
      </c>
      <c r="F4021" s="2" t="str">
        <f>HYPERLINK("http://www.otzar.org/book.asp?622282","ארי טורף")</f>
        <v>ארי טורף</v>
      </c>
    </row>
    <row r="4022" spans="1:6" x14ac:dyDescent="0.2">
      <c r="A4022" t="s">
        <v>7655</v>
      </c>
      <c r="B4022" t="s">
        <v>7656</v>
      </c>
      <c r="C4022" t="s">
        <v>940</v>
      </c>
      <c r="D4022" t="s">
        <v>14</v>
      </c>
      <c r="E4022" t="s">
        <v>119</v>
      </c>
      <c r="F4022" s="2" t="str">
        <f>HYPERLINK("http://www.otzar.org/book.asp?156907","ארי עלה מבבל - רבי יעקב מוצפי")</f>
        <v>ארי עלה מבבל - רבי יעקב מוצפי</v>
      </c>
    </row>
    <row r="4023" spans="1:6" x14ac:dyDescent="0.2">
      <c r="A4023" t="s">
        <v>7657</v>
      </c>
      <c r="B4023" t="s">
        <v>7658</v>
      </c>
      <c r="C4023" t="s">
        <v>785</v>
      </c>
      <c r="D4023" t="s">
        <v>412</v>
      </c>
      <c r="E4023" t="s">
        <v>226</v>
      </c>
      <c r="F4023" s="2" t="str">
        <f>HYPERLINK("http://www.otzar.org/book.asp?21614","ארי שבחבורה")</f>
        <v>ארי שבחבורה</v>
      </c>
    </row>
    <row r="4024" spans="1:6" x14ac:dyDescent="0.2">
      <c r="A4024" t="s">
        <v>7659</v>
      </c>
      <c r="B4024" t="s">
        <v>7660</v>
      </c>
      <c r="C4024" t="s">
        <v>17</v>
      </c>
      <c r="D4024" t="s">
        <v>412</v>
      </c>
      <c r="E4024" t="s">
        <v>7661</v>
      </c>
      <c r="F4024" s="2" t="str">
        <f>HYPERLINK("http://www.otzar.org/book.asp?160850","ארי שבחבורה - 4 כר'")</f>
        <v>ארי שבחבורה - 4 כר'</v>
      </c>
    </row>
    <row r="4025" spans="1:6" x14ac:dyDescent="0.2">
      <c r="A4025" t="s">
        <v>7662</v>
      </c>
      <c r="B4025" t="s">
        <v>7663</v>
      </c>
      <c r="C4025" t="s">
        <v>7664</v>
      </c>
      <c r="D4025" t="s">
        <v>27</v>
      </c>
      <c r="E4025" t="s">
        <v>104</v>
      </c>
      <c r="F4025" s="2" t="str">
        <f>HYPERLINK("http://www.otzar.org/book.asp?182086","ארי' שאג - 2 כר'")</f>
        <v>ארי' שאג - 2 כר'</v>
      </c>
    </row>
    <row r="4026" spans="1:6" x14ac:dyDescent="0.2">
      <c r="A4026" t="s">
        <v>7665</v>
      </c>
      <c r="B4026" t="s">
        <v>7666</v>
      </c>
      <c r="C4026" t="s">
        <v>411</v>
      </c>
      <c r="D4026" t="s">
        <v>423</v>
      </c>
      <c r="E4026" t="s">
        <v>15</v>
      </c>
      <c r="F4026" s="2" t="str">
        <f>HYPERLINK("http://www.otzar.org/book.asp?166033","אריג פז")</f>
        <v>אריג פז</v>
      </c>
    </row>
    <row r="4027" spans="1:6" x14ac:dyDescent="0.2">
      <c r="A4027" t="s">
        <v>7667</v>
      </c>
      <c r="B4027" t="s">
        <v>7668</v>
      </c>
      <c r="C4027" t="s">
        <v>624</v>
      </c>
      <c r="D4027" t="s">
        <v>14</v>
      </c>
      <c r="E4027" t="s">
        <v>119</v>
      </c>
      <c r="F4027" s="2" t="str">
        <f>HYPERLINK("http://www.otzar.org/book.asp?611043","אריה בגבורתו - תולדות רבי מרדכי מן")</f>
        <v>אריה בגבורתו - תולדות רבי מרדכי מן</v>
      </c>
    </row>
    <row r="4028" spans="1:6" x14ac:dyDescent="0.2">
      <c r="A4028" t="s">
        <v>7669</v>
      </c>
      <c r="B4028" t="s">
        <v>7660</v>
      </c>
      <c r="C4028" t="s">
        <v>114</v>
      </c>
      <c r="D4028" t="s">
        <v>412</v>
      </c>
      <c r="E4028" t="s">
        <v>144</v>
      </c>
      <c r="F4028" s="2" t="str">
        <f>HYPERLINK("http://www.otzar.org/book.asp?603580","אריה דבי עילאי &lt;מהדורה חדשה&gt; - 6 כר'")</f>
        <v>אריה דבי עילאי &lt;מהדורה חדשה&gt; - 6 כר'</v>
      </c>
    </row>
    <row r="4029" spans="1:6" x14ac:dyDescent="0.2">
      <c r="A4029" t="s">
        <v>7670</v>
      </c>
      <c r="B4029" t="s">
        <v>7660</v>
      </c>
      <c r="C4029" t="s">
        <v>603</v>
      </c>
      <c r="D4029" t="s">
        <v>855</v>
      </c>
      <c r="E4029" t="s">
        <v>154</v>
      </c>
      <c r="F4029" s="2" t="str">
        <f>HYPERLINK("http://www.otzar.org/book.asp?100276","אריה דבי עילאי &lt;שו""ת&gt;")</f>
        <v>אריה דבי עילאי &lt;שו"ת&gt;</v>
      </c>
    </row>
    <row r="4030" spans="1:6" x14ac:dyDescent="0.2">
      <c r="A4030" t="s">
        <v>7671</v>
      </c>
      <c r="B4030" t="s">
        <v>7660</v>
      </c>
      <c r="C4030" t="s">
        <v>156</v>
      </c>
      <c r="D4030" t="s">
        <v>855</v>
      </c>
      <c r="E4030" t="s">
        <v>786</v>
      </c>
      <c r="F4030" s="2" t="str">
        <f>HYPERLINK("http://www.otzar.org/book.asp?100277","אריה דבי עילאי")</f>
        <v>אריה דבי עילאי</v>
      </c>
    </row>
    <row r="4031" spans="1:6" x14ac:dyDescent="0.2">
      <c r="A4031" t="s">
        <v>7672</v>
      </c>
      <c r="B4031" t="s">
        <v>206</v>
      </c>
      <c r="C4031" t="s">
        <v>111</v>
      </c>
      <c r="D4031" t="s">
        <v>52</v>
      </c>
      <c r="E4031" t="s">
        <v>172</v>
      </c>
      <c r="F4031" s="2" t="str">
        <f>HYPERLINK("http://www.otzar.org/book.asp?621622","אריה טורף")</f>
        <v>אריה טורף</v>
      </c>
    </row>
    <row r="4032" spans="1:6" x14ac:dyDescent="0.2">
      <c r="A4032" t="s">
        <v>7673</v>
      </c>
      <c r="B4032" t="s">
        <v>7674</v>
      </c>
      <c r="C4032" t="s">
        <v>366</v>
      </c>
      <c r="D4032" t="s">
        <v>14</v>
      </c>
      <c r="E4032" t="s">
        <v>241</v>
      </c>
      <c r="F4032" s="2" t="str">
        <f>HYPERLINK("http://www.otzar.org/book.asp?628617","אריה ישאג - 5 כר'")</f>
        <v>אריה ישאג - 5 כר'</v>
      </c>
    </row>
    <row r="4033" spans="1:6" x14ac:dyDescent="0.2">
      <c r="A4033" t="s">
        <v>7675</v>
      </c>
      <c r="B4033" t="s">
        <v>7676</v>
      </c>
      <c r="C4033" t="s">
        <v>68</v>
      </c>
      <c r="D4033" t="s">
        <v>14</v>
      </c>
      <c r="E4033" t="s">
        <v>144</v>
      </c>
      <c r="F4033" s="2" t="str">
        <f>HYPERLINK("http://www.otzar.org/book.asp?157907","אריה ליש")</f>
        <v>אריה ליש</v>
      </c>
    </row>
    <row r="4034" spans="1:6" x14ac:dyDescent="0.2">
      <c r="A4034" t="s">
        <v>7677</v>
      </c>
      <c r="B4034" t="s">
        <v>7678</v>
      </c>
      <c r="C4034" t="s">
        <v>466</v>
      </c>
      <c r="D4034" t="s">
        <v>52</v>
      </c>
      <c r="E4034" t="s">
        <v>1185</v>
      </c>
      <c r="F4034" s="2" t="str">
        <f>HYPERLINK("http://www.otzar.org/book.asp?153378","אריה שאג &lt;על התורה&gt; - 3 כר'")</f>
        <v>אריה שאג &lt;על התורה&gt; - 3 כר'</v>
      </c>
    </row>
    <row r="4035" spans="1:6" x14ac:dyDescent="0.2">
      <c r="A4035" t="s">
        <v>7679</v>
      </c>
      <c r="B4035" t="s">
        <v>686</v>
      </c>
      <c r="C4035" t="s">
        <v>103</v>
      </c>
      <c r="D4035" t="s">
        <v>52</v>
      </c>
      <c r="E4035" t="s">
        <v>104</v>
      </c>
      <c r="F4035" s="2" t="str">
        <f>HYPERLINK("http://www.otzar.org/book.asp?189271","אריה שאג")</f>
        <v>אריה שאג</v>
      </c>
    </row>
    <row r="4036" spans="1:6" x14ac:dyDescent="0.2">
      <c r="A4036" t="s">
        <v>7680</v>
      </c>
      <c r="B4036" t="s">
        <v>7678</v>
      </c>
      <c r="C4036" t="s">
        <v>176</v>
      </c>
      <c r="D4036" t="s">
        <v>52</v>
      </c>
      <c r="E4036" t="s">
        <v>703</v>
      </c>
      <c r="F4036" s="2" t="str">
        <f>HYPERLINK("http://www.otzar.org/book.asp?63085","אריה שאג - 9 כר'")</f>
        <v>אריה שאג - 9 כר'</v>
      </c>
    </row>
    <row r="4037" spans="1:6" x14ac:dyDescent="0.2">
      <c r="A4037" t="s">
        <v>7679</v>
      </c>
      <c r="B4037" t="s">
        <v>7681</v>
      </c>
      <c r="C4037" t="s">
        <v>1202</v>
      </c>
      <c r="D4037" t="s">
        <v>27</v>
      </c>
      <c r="E4037" t="s">
        <v>241</v>
      </c>
      <c r="F4037" s="2" t="str">
        <f>HYPERLINK("http://www.otzar.org/book.asp?921","אריה שאג")</f>
        <v>אריה שאג</v>
      </c>
    </row>
    <row r="4038" spans="1:6" x14ac:dyDescent="0.2">
      <c r="A4038" t="s">
        <v>7682</v>
      </c>
      <c r="B4038" t="s">
        <v>5295</v>
      </c>
      <c r="C4038" t="s">
        <v>1470</v>
      </c>
      <c r="D4038" t="s">
        <v>7683</v>
      </c>
      <c r="E4038" t="s">
        <v>104</v>
      </c>
      <c r="F4038" s="2" t="str">
        <f>HYPERLINK("http://www.otzar.org/book.asp?193936","אריכת ימים")</f>
        <v>אריכת ימים</v>
      </c>
    </row>
    <row r="4039" spans="1:6" x14ac:dyDescent="0.2">
      <c r="A4039" t="s">
        <v>7684</v>
      </c>
      <c r="B4039" t="s">
        <v>686</v>
      </c>
      <c r="C4039" t="s">
        <v>366</v>
      </c>
      <c r="D4039" t="s">
        <v>80</v>
      </c>
      <c r="E4039" t="s">
        <v>3798</v>
      </c>
      <c r="F4039" s="2" t="str">
        <f>HYPERLINK("http://www.otzar.org/book.asp?606757","ארים נסי")</f>
        <v>ארים נסי</v>
      </c>
    </row>
    <row r="4040" spans="1:6" x14ac:dyDescent="0.2">
      <c r="A4040" t="s">
        <v>7685</v>
      </c>
      <c r="B4040" t="s">
        <v>7686</v>
      </c>
      <c r="C4040" t="s">
        <v>68</v>
      </c>
      <c r="D4040" t="s">
        <v>52</v>
      </c>
      <c r="E4040" t="s">
        <v>144</v>
      </c>
      <c r="F4040" s="2" t="str">
        <f>HYPERLINK("http://www.otzar.org/book.asp?156395","ארים נסי - 2 כר'")</f>
        <v>ארים נסי - 2 כר'</v>
      </c>
    </row>
    <row r="4041" spans="1:6" x14ac:dyDescent="0.2">
      <c r="A4041" t="s">
        <v>7687</v>
      </c>
      <c r="B4041" t="s">
        <v>7688</v>
      </c>
      <c r="C4041" t="s">
        <v>624</v>
      </c>
      <c r="E4041" t="s">
        <v>586</v>
      </c>
      <c r="F4041" s="2" t="str">
        <f>HYPERLINK("http://www.otzar.org/book.asp?625604","אריתי מורי")</f>
        <v>אריתי מורי</v>
      </c>
    </row>
    <row r="4042" spans="1:6" x14ac:dyDescent="0.2">
      <c r="A4042" t="s">
        <v>7689</v>
      </c>
      <c r="B4042" t="s">
        <v>4945</v>
      </c>
      <c r="C4042" t="s">
        <v>940</v>
      </c>
      <c r="D4042" t="s">
        <v>14</v>
      </c>
      <c r="E4042" t="s">
        <v>241</v>
      </c>
      <c r="F4042" s="2" t="str">
        <f>HYPERLINK("http://www.otzar.org/book.asp?60638","ארך אפים - 2 כר'")</f>
        <v>ארך אפים - 2 כר'</v>
      </c>
    </row>
    <row r="4043" spans="1:6" x14ac:dyDescent="0.2">
      <c r="A4043" t="s">
        <v>7690</v>
      </c>
      <c r="B4043" t="s">
        <v>2885</v>
      </c>
      <c r="C4043" t="s">
        <v>20</v>
      </c>
      <c r="D4043" t="s">
        <v>14</v>
      </c>
      <c r="E4043" t="s">
        <v>703</v>
      </c>
      <c r="F4043" s="2" t="str">
        <f>HYPERLINK("http://www.otzar.org/book.asp?60810","ארך אפים")</f>
        <v>ארך אפים</v>
      </c>
    </row>
    <row r="4044" spans="1:6" x14ac:dyDescent="0.2">
      <c r="A4044" t="s">
        <v>7691</v>
      </c>
      <c r="B4044" t="s">
        <v>3834</v>
      </c>
      <c r="C4044" t="s">
        <v>244</v>
      </c>
      <c r="D4044" t="s">
        <v>21</v>
      </c>
      <c r="F4044" s="2" t="str">
        <f>HYPERLINK("http://www.otzar.org/book.asp?605580","ארכיאולוגיה תנכי""ת")</f>
        <v>ארכיאולוגיה תנכי"ת</v>
      </c>
    </row>
    <row r="4045" spans="1:6" x14ac:dyDescent="0.2">
      <c r="A4045" t="s">
        <v>7692</v>
      </c>
      <c r="B4045" t="s">
        <v>7693</v>
      </c>
      <c r="C4045" t="s">
        <v>189</v>
      </c>
      <c r="D4045" t="s">
        <v>14</v>
      </c>
      <c r="E4045" t="s">
        <v>104</v>
      </c>
      <c r="F4045" s="2" t="str">
        <f>HYPERLINK("http://www.otzar.org/book.asp?28220","ארמון על מכונו (מהד""א)")</f>
        <v>ארמון על מכונו (מהד"א)</v>
      </c>
    </row>
    <row r="4046" spans="1:6" x14ac:dyDescent="0.2">
      <c r="A4046" t="s">
        <v>7694</v>
      </c>
      <c r="B4046" t="s">
        <v>7693</v>
      </c>
      <c r="C4046" t="s">
        <v>411</v>
      </c>
      <c r="D4046" t="s">
        <v>14</v>
      </c>
      <c r="E4046" t="s">
        <v>399</v>
      </c>
      <c r="F4046" s="2" t="str">
        <f>HYPERLINK("http://www.otzar.org/book.asp?171951","ארמון על מכונו (מהד""ב)")</f>
        <v>ארמון על מכונו (מהד"ב)</v>
      </c>
    </row>
    <row r="4047" spans="1:6" x14ac:dyDescent="0.2">
      <c r="A4047" t="s">
        <v>7695</v>
      </c>
      <c r="B4047" t="s">
        <v>7696</v>
      </c>
      <c r="C4047" t="s">
        <v>20</v>
      </c>
      <c r="D4047" t="s">
        <v>14</v>
      </c>
      <c r="E4047" t="s">
        <v>246</v>
      </c>
      <c r="F4047" s="2" t="str">
        <f>HYPERLINK("http://www.otzar.org/book.asp?619395","ארמונות הזמן")</f>
        <v>ארמונות הזמן</v>
      </c>
    </row>
    <row r="4048" spans="1:6" x14ac:dyDescent="0.2">
      <c r="A4048" t="s">
        <v>7697</v>
      </c>
      <c r="B4048" t="s">
        <v>7698</v>
      </c>
      <c r="C4048" t="s">
        <v>422</v>
      </c>
      <c r="D4048" t="s">
        <v>118</v>
      </c>
      <c r="E4048" t="s">
        <v>803</v>
      </c>
      <c r="F4048" s="2" t="str">
        <f>HYPERLINK("http://www.otzar.org/book.asp?619837","ארמנות ציון")</f>
        <v>ארמנות ציון</v>
      </c>
    </row>
    <row r="4049" spans="1:6" x14ac:dyDescent="0.2">
      <c r="A4049" t="s">
        <v>7699</v>
      </c>
      <c r="B4049" t="s">
        <v>7700</v>
      </c>
      <c r="C4049" t="s">
        <v>1138</v>
      </c>
      <c r="D4049" t="s">
        <v>283</v>
      </c>
      <c r="E4049" t="s">
        <v>1185</v>
      </c>
      <c r="F4049" s="2" t="str">
        <f>HYPERLINK("http://www.otzar.org/book.asp?15680","ארן עדת - 3 כר'")</f>
        <v>ארן עדת - 3 כר'</v>
      </c>
    </row>
    <row r="4050" spans="1:6" x14ac:dyDescent="0.2">
      <c r="A4050" t="s">
        <v>7701</v>
      </c>
      <c r="B4050" t="s">
        <v>1845</v>
      </c>
      <c r="C4050" t="s">
        <v>17</v>
      </c>
      <c r="D4050" t="s">
        <v>152</v>
      </c>
      <c r="E4050" t="s">
        <v>674</v>
      </c>
      <c r="F4050" s="2" t="str">
        <f>HYPERLINK("http://www.otzar.org/book.asp?50607","ארעא דישראל - 2 כר'")</f>
        <v>ארעא דישראל - 2 כר'</v>
      </c>
    </row>
    <row r="4051" spans="1:6" x14ac:dyDescent="0.2">
      <c r="A4051" t="s">
        <v>7702</v>
      </c>
      <c r="B4051" t="s">
        <v>7703</v>
      </c>
      <c r="C4051" t="s">
        <v>23</v>
      </c>
      <c r="D4051" t="s">
        <v>5172</v>
      </c>
      <c r="E4051" t="s">
        <v>104</v>
      </c>
      <c r="F4051" s="2" t="str">
        <f>HYPERLINK("http://www.otzar.org/book.asp?192215","ארעא דרבנן &lt;עפרא דארעא - ארעא דישראל - ארעא קטינא &gt;")</f>
        <v>ארעא דרבנן &lt;עפרא דארעא - ארעא דישראל - ארעא קטינא &gt;</v>
      </c>
    </row>
    <row r="4052" spans="1:6" x14ac:dyDescent="0.2">
      <c r="A4052" t="s">
        <v>7704</v>
      </c>
      <c r="B4052" t="s">
        <v>7705</v>
      </c>
      <c r="C4052" t="s">
        <v>26</v>
      </c>
      <c r="D4052" t="s">
        <v>14</v>
      </c>
      <c r="E4052" t="s">
        <v>15</v>
      </c>
      <c r="F4052" s="2" t="str">
        <f>HYPERLINK("http://www.otzar.org/book.asp?178932","ארעא דרבנן &lt;עפרא דארעא&gt;")</f>
        <v>ארעא דרבנן &lt;עפרא דארעא&gt;</v>
      </c>
    </row>
    <row r="4053" spans="1:6" x14ac:dyDescent="0.2">
      <c r="A4053" t="s">
        <v>7704</v>
      </c>
      <c r="B4053" t="s">
        <v>6885</v>
      </c>
      <c r="C4053" t="s">
        <v>8</v>
      </c>
      <c r="D4053" t="s">
        <v>283</v>
      </c>
      <c r="E4053" t="s">
        <v>674</v>
      </c>
      <c r="F4053" s="2" t="str">
        <f>HYPERLINK("http://www.otzar.org/book.asp?10513","ארעא דרבנן &lt;עפרא דארעא&gt;")</f>
        <v>ארעא דרבנן &lt;עפרא דארעא&gt;</v>
      </c>
    </row>
    <row r="4054" spans="1:6" x14ac:dyDescent="0.2">
      <c r="A4054" t="s">
        <v>7706</v>
      </c>
      <c r="B4054" t="s">
        <v>7707</v>
      </c>
      <c r="C4054" t="s">
        <v>111</v>
      </c>
      <c r="D4054" t="s">
        <v>52</v>
      </c>
      <c r="F4054" s="2" t="str">
        <f>HYPERLINK("http://www.otzar.org/book.asp?623066","ארפא משובתם")</f>
        <v>ארפא משובתם</v>
      </c>
    </row>
    <row r="4055" spans="1:6" x14ac:dyDescent="0.2">
      <c r="A4055" t="s">
        <v>7708</v>
      </c>
      <c r="B4055" t="s">
        <v>7709</v>
      </c>
      <c r="C4055" t="s">
        <v>17</v>
      </c>
      <c r="D4055" t="s">
        <v>52</v>
      </c>
      <c r="E4055" t="s">
        <v>154</v>
      </c>
      <c r="F4055" s="2" t="str">
        <f>HYPERLINK("http://www.otzar.org/book.asp?51067","ארץ אפרים - א")</f>
        <v>ארץ אפרים - א</v>
      </c>
    </row>
    <row r="4056" spans="1:6" x14ac:dyDescent="0.2">
      <c r="A4056" t="s">
        <v>7710</v>
      </c>
      <c r="B4056" t="s">
        <v>7711</v>
      </c>
      <c r="C4056" t="s">
        <v>332</v>
      </c>
      <c r="D4056" t="s">
        <v>14</v>
      </c>
      <c r="E4056" t="s">
        <v>7712</v>
      </c>
      <c r="F4056" s="2" t="str">
        <f>HYPERLINK("http://www.otzar.org/book.asp?12994","ארץ בנימין")</f>
        <v>ארץ בנימין</v>
      </c>
    </row>
    <row r="4057" spans="1:6" x14ac:dyDescent="0.2">
      <c r="A4057" t="s">
        <v>7713</v>
      </c>
      <c r="B4057" t="s">
        <v>206</v>
      </c>
      <c r="C4057" t="s">
        <v>13</v>
      </c>
      <c r="D4057" t="s">
        <v>14</v>
      </c>
      <c r="E4057" t="s">
        <v>837</v>
      </c>
      <c r="F4057" s="2" t="str">
        <f>HYPERLINK("http://www.otzar.org/book.asp?166266","ארץ דשא")</f>
        <v>ארץ דשא</v>
      </c>
    </row>
    <row r="4058" spans="1:6" x14ac:dyDescent="0.2">
      <c r="A4058" t="s">
        <v>7714</v>
      </c>
      <c r="B4058" t="s">
        <v>7715</v>
      </c>
      <c r="C4058" t="s">
        <v>767</v>
      </c>
      <c r="D4058" t="s">
        <v>14</v>
      </c>
      <c r="E4058" t="s">
        <v>84</v>
      </c>
      <c r="F4058" s="2" t="str">
        <f>HYPERLINK("http://www.otzar.org/book.asp?22493","ארץ הבחירה - 10 כר'")</f>
        <v>ארץ הבחירה - 10 כר'</v>
      </c>
    </row>
    <row r="4059" spans="1:6" x14ac:dyDescent="0.2">
      <c r="A4059" t="s">
        <v>7716</v>
      </c>
      <c r="B4059" t="s">
        <v>3270</v>
      </c>
      <c r="C4059" t="s">
        <v>1208</v>
      </c>
      <c r="D4059" t="s">
        <v>7717</v>
      </c>
      <c r="E4059" t="s">
        <v>733</v>
      </c>
      <c r="F4059" s="2" t="str">
        <f>HYPERLINK("http://www.otzar.org/book.asp?62127","ארץ הגליל")</f>
        <v>ארץ הגליל</v>
      </c>
    </row>
    <row r="4060" spans="1:6" x14ac:dyDescent="0.2">
      <c r="A4060" t="s">
        <v>7718</v>
      </c>
      <c r="B4060" t="s">
        <v>7719</v>
      </c>
      <c r="C4060" t="s">
        <v>2644</v>
      </c>
      <c r="D4060" t="s">
        <v>267</v>
      </c>
      <c r="E4060" t="s">
        <v>7720</v>
      </c>
      <c r="F4060" s="2" t="str">
        <f>HYPERLINK("http://www.otzar.org/book.asp?102517","ארץ החיים &lt;על תהלים&gt; - 4 כר'")</f>
        <v>ארץ החיים &lt;על תהלים&gt; - 4 כר'</v>
      </c>
    </row>
    <row r="4061" spans="1:6" x14ac:dyDescent="0.2">
      <c r="A4061" t="s">
        <v>7721</v>
      </c>
      <c r="B4061" t="s">
        <v>1340</v>
      </c>
      <c r="C4061" t="s">
        <v>1374</v>
      </c>
      <c r="D4061" t="s">
        <v>535</v>
      </c>
      <c r="E4061" t="s">
        <v>3261</v>
      </c>
      <c r="F4061" s="2" t="str">
        <f>HYPERLINK("http://www.otzar.org/book.asp?626","ארץ החיים")</f>
        <v>ארץ החיים</v>
      </c>
    </row>
    <row r="4062" spans="1:6" x14ac:dyDescent="0.2">
      <c r="A4062" t="s">
        <v>7722</v>
      </c>
      <c r="B4062" t="s">
        <v>7723</v>
      </c>
      <c r="C4062" t="s">
        <v>568</v>
      </c>
      <c r="D4062" t="s">
        <v>1538</v>
      </c>
      <c r="E4062" t="s">
        <v>7724</v>
      </c>
      <c r="F4062" s="2" t="str">
        <f>HYPERLINK("http://www.otzar.org/book.asp?9236","ארץ החיים - 2 כר'")</f>
        <v>ארץ החיים - 2 כר'</v>
      </c>
    </row>
    <row r="4063" spans="1:6" x14ac:dyDescent="0.2">
      <c r="A4063" t="s">
        <v>7722</v>
      </c>
      <c r="B4063" t="s">
        <v>7725</v>
      </c>
      <c r="C4063" t="s">
        <v>8</v>
      </c>
      <c r="D4063" t="s">
        <v>855</v>
      </c>
      <c r="E4063" t="s">
        <v>2010</v>
      </c>
      <c r="F4063" s="2" t="str">
        <f>HYPERLINK("http://www.otzar.org/book.asp?52456","ארץ החיים - 2 כר'")</f>
        <v>ארץ החיים - 2 כר'</v>
      </c>
    </row>
    <row r="4064" spans="1:6" x14ac:dyDescent="0.2">
      <c r="A4064" t="s">
        <v>7721</v>
      </c>
      <c r="B4064" t="s">
        <v>2396</v>
      </c>
      <c r="C4064" t="s">
        <v>51</v>
      </c>
      <c r="D4064" t="s">
        <v>1076</v>
      </c>
      <c r="E4064" t="s">
        <v>158</v>
      </c>
      <c r="F4064" s="2" t="str">
        <f>HYPERLINK("http://www.otzar.org/book.asp?22915","ארץ החיים")</f>
        <v>ארץ החיים</v>
      </c>
    </row>
    <row r="4065" spans="1:6" x14ac:dyDescent="0.2">
      <c r="A4065" t="s">
        <v>7726</v>
      </c>
      <c r="B4065" t="s">
        <v>7727</v>
      </c>
      <c r="C4065" t="s">
        <v>133</v>
      </c>
      <c r="D4065" t="s">
        <v>486</v>
      </c>
      <c r="F4065" s="2" t="str">
        <f>HYPERLINK("http://www.otzar.org/book.asp?608185","ארץ הצבי על התורה")</f>
        <v>ארץ הצבי על התורה</v>
      </c>
    </row>
    <row r="4066" spans="1:6" x14ac:dyDescent="0.2">
      <c r="A4066" t="s">
        <v>7728</v>
      </c>
      <c r="B4066" t="s">
        <v>7729</v>
      </c>
      <c r="C4066" t="s">
        <v>767</v>
      </c>
      <c r="D4066" t="s">
        <v>14</v>
      </c>
      <c r="E4066" t="s">
        <v>104</v>
      </c>
      <c r="F4066" s="2" t="str">
        <f>HYPERLINK("http://www.otzar.org/book.asp?61825","ארץ הצבי")</f>
        <v>ארץ הצבי</v>
      </c>
    </row>
    <row r="4067" spans="1:6" x14ac:dyDescent="0.2">
      <c r="A4067" t="s">
        <v>7728</v>
      </c>
      <c r="B4067" t="s">
        <v>7730</v>
      </c>
      <c r="C4067" t="s">
        <v>383</v>
      </c>
      <c r="D4067" t="s">
        <v>216</v>
      </c>
      <c r="E4067" t="s">
        <v>7731</v>
      </c>
      <c r="F4067" s="2" t="str">
        <f>HYPERLINK("http://www.otzar.org/book.asp?618450","ארץ הצבי")</f>
        <v>ארץ הצבי</v>
      </c>
    </row>
    <row r="4068" spans="1:6" x14ac:dyDescent="0.2">
      <c r="A4068" t="s">
        <v>7732</v>
      </c>
      <c r="B4068" t="s">
        <v>7733</v>
      </c>
      <c r="C4068" t="s">
        <v>114</v>
      </c>
      <c r="D4068" t="s">
        <v>14</v>
      </c>
      <c r="E4068" t="s">
        <v>241</v>
      </c>
      <c r="F4068" s="2" t="str">
        <f>HYPERLINK("http://www.otzar.org/book.asp?170508","ארץ הצבי - 5 כר'")</f>
        <v>ארץ הצבי - 5 כר'</v>
      </c>
    </row>
    <row r="4069" spans="1:6" x14ac:dyDescent="0.2">
      <c r="A4069" t="s">
        <v>7728</v>
      </c>
      <c r="B4069" t="s">
        <v>2396</v>
      </c>
      <c r="C4069" t="s">
        <v>17</v>
      </c>
      <c r="D4069" t="s">
        <v>1076</v>
      </c>
      <c r="E4069" t="s">
        <v>144</v>
      </c>
      <c r="F4069" s="2" t="str">
        <f>HYPERLINK("http://www.otzar.org/book.asp?22899","ארץ הצבי")</f>
        <v>ארץ הצבי</v>
      </c>
    </row>
    <row r="4070" spans="1:6" x14ac:dyDescent="0.2">
      <c r="A4070" t="s">
        <v>7728</v>
      </c>
      <c r="B4070" t="s">
        <v>7734</v>
      </c>
      <c r="C4070" t="s">
        <v>767</v>
      </c>
      <c r="D4070" t="s">
        <v>52</v>
      </c>
      <c r="E4070" t="s">
        <v>674</v>
      </c>
      <c r="F4070" s="2" t="str">
        <f>HYPERLINK("http://www.otzar.org/book.asp?617055","ארץ הצבי")</f>
        <v>ארץ הצבי</v>
      </c>
    </row>
    <row r="4071" spans="1:6" x14ac:dyDescent="0.2">
      <c r="A4071" t="s">
        <v>7728</v>
      </c>
      <c r="B4071" t="s">
        <v>7735</v>
      </c>
      <c r="C4071" t="s">
        <v>51</v>
      </c>
      <c r="D4071" t="s">
        <v>14</v>
      </c>
      <c r="E4071" t="s">
        <v>1211</v>
      </c>
      <c r="F4071" s="2" t="str">
        <f>HYPERLINK("http://www.otzar.org/book.asp?64097","ארץ הצבי")</f>
        <v>ארץ הצבי</v>
      </c>
    </row>
    <row r="4072" spans="1:6" x14ac:dyDescent="0.2">
      <c r="A4072" t="s">
        <v>7736</v>
      </c>
      <c r="F4072" s="2" t="str">
        <f>HYPERLINK("http://www.otzar.org/book.asp?618612","ארץ הקדש")</f>
        <v>ארץ הקדש</v>
      </c>
    </row>
    <row r="4073" spans="1:6" x14ac:dyDescent="0.2">
      <c r="A4073" t="s">
        <v>7737</v>
      </c>
      <c r="B4073" t="s">
        <v>1750</v>
      </c>
      <c r="C4073" t="s">
        <v>146</v>
      </c>
      <c r="D4073" t="s">
        <v>52</v>
      </c>
      <c r="E4073" t="s">
        <v>7738</v>
      </c>
      <c r="F4073" s="2" t="str">
        <f>HYPERLINK("http://www.otzar.org/book.asp?53077","ארץ זבת חלב")</f>
        <v>ארץ זבת חלב</v>
      </c>
    </row>
    <row r="4074" spans="1:6" x14ac:dyDescent="0.2">
      <c r="A4074" t="s">
        <v>7739</v>
      </c>
      <c r="B4074" t="s">
        <v>7740</v>
      </c>
      <c r="C4074" t="s">
        <v>775</v>
      </c>
      <c r="D4074" t="s">
        <v>27</v>
      </c>
      <c r="E4074" t="s">
        <v>148</v>
      </c>
      <c r="F4074" s="2" t="str">
        <f>HYPERLINK("http://www.otzar.org/book.asp?152327","ארץ חיים &lt;מכון הכתב&gt;")</f>
        <v>ארץ חיים &lt;מכון הכתב&gt;</v>
      </c>
    </row>
    <row r="4075" spans="1:6" x14ac:dyDescent="0.2">
      <c r="A4075" t="s">
        <v>7741</v>
      </c>
      <c r="B4075" t="s">
        <v>7742</v>
      </c>
      <c r="C4075" t="s">
        <v>411</v>
      </c>
      <c r="D4075" t="s">
        <v>14</v>
      </c>
      <c r="E4075" t="s">
        <v>84</v>
      </c>
      <c r="F4075" s="2" t="str">
        <f>HYPERLINK("http://www.otzar.org/book.asp?172471","ארץ חיים - 9 כר'")</f>
        <v>ארץ חיים - 9 כר'</v>
      </c>
    </row>
    <row r="4076" spans="1:6" x14ac:dyDescent="0.2">
      <c r="A4076" t="s">
        <v>7743</v>
      </c>
      <c r="B4076" t="s">
        <v>7740</v>
      </c>
      <c r="C4076" t="s">
        <v>462</v>
      </c>
      <c r="D4076" t="s">
        <v>27</v>
      </c>
      <c r="E4076" t="s">
        <v>621</v>
      </c>
      <c r="F4076" s="2" t="str">
        <f>HYPERLINK("http://www.otzar.org/book.asp?978","ארץ חיים - 2 כר'")</f>
        <v>ארץ חיים - 2 כר'</v>
      </c>
    </row>
    <row r="4077" spans="1:6" x14ac:dyDescent="0.2">
      <c r="A4077" t="s">
        <v>7744</v>
      </c>
      <c r="B4077" t="s">
        <v>3367</v>
      </c>
      <c r="C4077" t="s">
        <v>87</v>
      </c>
      <c r="D4077" t="s">
        <v>14</v>
      </c>
      <c r="E4077" t="s">
        <v>104</v>
      </c>
      <c r="F4077" s="2" t="str">
        <f>HYPERLINK("http://www.otzar.org/book.asp?22949","ארץ חמדה טובה ורחבה")</f>
        <v>ארץ חמדה טובה ורחבה</v>
      </c>
    </row>
    <row r="4078" spans="1:6" x14ac:dyDescent="0.2">
      <c r="A4078" t="s">
        <v>7745</v>
      </c>
      <c r="B4078" t="s">
        <v>7746</v>
      </c>
      <c r="C4078" t="s">
        <v>7747</v>
      </c>
      <c r="D4078" t="s">
        <v>7748</v>
      </c>
      <c r="E4078" t="s">
        <v>104</v>
      </c>
      <c r="F4078" s="2" t="str">
        <f>HYPERLINK("http://www.otzar.org/book.asp?154354","ארץ חמדה - 2 כר'")</f>
        <v>ארץ חמדה - 2 כר'</v>
      </c>
    </row>
    <row r="4079" spans="1:6" x14ac:dyDescent="0.2">
      <c r="A4079" t="s">
        <v>7745</v>
      </c>
      <c r="B4079" t="s">
        <v>3057</v>
      </c>
      <c r="C4079" t="s">
        <v>1166</v>
      </c>
      <c r="D4079" t="s">
        <v>56</v>
      </c>
      <c r="E4079" t="s">
        <v>2018</v>
      </c>
      <c r="F4079" s="2" t="str">
        <f>HYPERLINK("http://www.otzar.org/book.asp?19100","ארץ חמדה - 2 כר'")</f>
        <v>ארץ חמדה - 2 כר'</v>
      </c>
    </row>
    <row r="4080" spans="1:6" x14ac:dyDescent="0.2">
      <c r="A4080" t="s">
        <v>7749</v>
      </c>
      <c r="B4080" t="s">
        <v>7750</v>
      </c>
      <c r="C4080" t="s">
        <v>151</v>
      </c>
      <c r="D4080" t="s">
        <v>14</v>
      </c>
      <c r="E4080" t="s">
        <v>144</v>
      </c>
      <c r="F4080" s="2" t="str">
        <f>HYPERLINK("http://www.otzar.org/book.asp?622127","ארץ חמדה - ברכות, ביצה")</f>
        <v>ארץ חמדה - ברכות, ביצה</v>
      </c>
    </row>
    <row r="4081" spans="1:6" x14ac:dyDescent="0.2">
      <c r="A4081" t="s">
        <v>7751</v>
      </c>
      <c r="B4081" t="s">
        <v>7752</v>
      </c>
      <c r="C4081" t="s">
        <v>68</v>
      </c>
      <c r="D4081" t="s">
        <v>52</v>
      </c>
      <c r="E4081" t="s">
        <v>1626</v>
      </c>
      <c r="F4081" s="2" t="str">
        <f>HYPERLINK("http://www.otzar.org/book.asp?189027","ארץ חמדה")</f>
        <v>ארץ חמדה</v>
      </c>
    </row>
    <row r="4082" spans="1:6" x14ac:dyDescent="0.2">
      <c r="A4082" t="s">
        <v>7751</v>
      </c>
      <c r="B4082" t="s">
        <v>7753</v>
      </c>
      <c r="C4082" t="s">
        <v>496</v>
      </c>
      <c r="D4082" t="s">
        <v>139</v>
      </c>
      <c r="E4082" t="s">
        <v>7754</v>
      </c>
      <c r="F4082" s="2" t="str">
        <f>HYPERLINK("http://www.otzar.org/book.asp?8612","ארץ חמדה")</f>
        <v>ארץ חמדה</v>
      </c>
    </row>
    <row r="4083" spans="1:6" x14ac:dyDescent="0.2">
      <c r="A4083" t="s">
        <v>7751</v>
      </c>
      <c r="B4083" t="s">
        <v>1091</v>
      </c>
      <c r="C4083" t="s">
        <v>422</v>
      </c>
      <c r="D4083" t="s">
        <v>14</v>
      </c>
      <c r="E4083" t="s">
        <v>104</v>
      </c>
      <c r="F4083" s="2" t="str">
        <f>HYPERLINK("http://www.otzar.org/book.asp?62873","ארץ חמדה")</f>
        <v>ארץ חמדה</v>
      </c>
    </row>
    <row r="4084" spans="1:6" x14ac:dyDescent="0.2">
      <c r="A4084" t="s">
        <v>7755</v>
      </c>
      <c r="B4084" t="s">
        <v>7756</v>
      </c>
      <c r="C4084" t="s">
        <v>496</v>
      </c>
      <c r="D4084" t="s">
        <v>56</v>
      </c>
      <c r="E4084" t="s">
        <v>241</v>
      </c>
      <c r="F4084" s="2" t="str">
        <f>HYPERLINK("http://www.otzar.org/book.asp?103143","ארץ חפץ")</f>
        <v>ארץ חפץ</v>
      </c>
    </row>
    <row r="4085" spans="1:6" x14ac:dyDescent="0.2">
      <c r="A4085" t="s">
        <v>7755</v>
      </c>
      <c r="B4085" t="s">
        <v>7757</v>
      </c>
      <c r="C4085" t="s">
        <v>503</v>
      </c>
      <c r="D4085" t="s">
        <v>27</v>
      </c>
      <c r="E4085" t="s">
        <v>15</v>
      </c>
      <c r="F4085" s="2" t="str">
        <f>HYPERLINK("http://www.otzar.org/book.asp?915","ארץ חפץ")</f>
        <v>ארץ חפץ</v>
      </c>
    </row>
    <row r="4086" spans="1:6" x14ac:dyDescent="0.2">
      <c r="A4086" t="s">
        <v>7758</v>
      </c>
      <c r="B4086" t="s">
        <v>294</v>
      </c>
      <c r="C4086" t="s">
        <v>160</v>
      </c>
      <c r="D4086" t="s">
        <v>27</v>
      </c>
      <c r="E4086" t="s">
        <v>154</v>
      </c>
      <c r="F4086" s="2" t="str">
        <f>HYPERLINK("http://www.otzar.org/book.asp?626383","ארץ טובה")</f>
        <v>ארץ טובה</v>
      </c>
    </row>
    <row r="4087" spans="1:6" x14ac:dyDescent="0.2">
      <c r="A4087" t="s">
        <v>7759</v>
      </c>
      <c r="B4087" t="s">
        <v>1736</v>
      </c>
      <c r="C4087" t="s">
        <v>1659</v>
      </c>
      <c r="D4087" t="s">
        <v>212</v>
      </c>
      <c r="E4087" t="s">
        <v>7760</v>
      </c>
      <c r="F4087" s="2" t="str">
        <f>HYPERLINK("http://www.otzar.org/book.asp?108299","ארץ יהודה")</f>
        <v>ארץ יהודה</v>
      </c>
    </row>
    <row r="4088" spans="1:6" x14ac:dyDescent="0.2">
      <c r="A4088" t="s">
        <v>7761</v>
      </c>
      <c r="B4088" t="s">
        <v>3299</v>
      </c>
      <c r="C4088" t="s">
        <v>383</v>
      </c>
      <c r="D4088" t="s">
        <v>14</v>
      </c>
      <c r="E4088" t="s">
        <v>104</v>
      </c>
      <c r="F4088" s="2" t="str">
        <f>HYPERLINK("http://www.otzar.org/book.asp?163022","ארץ ישראל במשנת החתם סופר")</f>
        <v>ארץ ישראל במשנת החתם סופר</v>
      </c>
    </row>
    <row r="4089" spans="1:6" x14ac:dyDescent="0.2">
      <c r="A4089" t="s">
        <v>7762</v>
      </c>
      <c r="B4089" t="s">
        <v>7763</v>
      </c>
      <c r="C4089" t="s">
        <v>103</v>
      </c>
      <c r="D4089" t="s">
        <v>14</v>
      </c>
      <c r="E4089" t="s">
        <v>104</v>
      </c>
      <c r="F4089" s="2" t="str">
        <f>HYPERLINK("http://www.otzar.org/book.asp?170558","ארץ ישראל במשנתם של תנאים ואמוראים")</f>
        <v>ארץ ישראל במשנתם של תנאים ואמוראים</v>
      </c>
    </row>
    <row r="4090" spans="1:6" x14ac:dyDescent="0.2">
      <c r="A4090" t="s">
        <v>7764</v>
      </c>
      <c r="B4090" t="s">
        <v>7765</v>
      </c>
      <c r="C4090" t="s">
        <v>649</v>
      </c>
      <c r="D4090" t="s">
        <v>21</v>
      </c>
      <c r="E4090" t="s">
        <v>104</v>
      </c>
      <c r="F4090" s="2" t="str">
        <f>HYPERLINK("http://www.otzar.org/book.asp?197877","ארץ ישראל בתור ארץ התירים")</f>
        <v>ארץ ישראל בתור ארץ התירים</v>
      </c>
    </row>
    <row r="4091" spans="1:6" x14ac:dyDescent="0.2">
      <c r="A4091" t="s">
        <v>7766</v>
      </c>
      <c r="B4091" t="s">
        <v>7767</v>
      </c>
      <c r="C4091" t="s">
        <v>775</v>
      </c>
      <c r="D4091" t="s">
        <v>52</v>
      </c>
      <c r="E4091" t="s">
        <v>104</v>
      </c>
      <c r="F4091" s="2" t="str">
        <f>HYPERLINK("http://www.otzar.org/book.asp?162700","ארץ ישראל ובעיותיה")</f>
        <v>ארץ ישראל ובעיותיה</v>
      </c>
    </row>
    <row r="4092" spans="1:6" x14ac:dyDescent="0.2">
      <c r="A4092" t="s">
        <v>7768</v>
      </c>
      <c r="B4092" t="s">
        <v>7769</v>
      </c>
      <c r="C4092" t="s">
        <v>1650</v>
      </c>
      <c r="D4092" t="s">
        <v>14</v>
      </c>
      <c r="E4092" t="s">
        <v>104</v>
      </c>
      <c r="F4092" s="2" t="str">
        <f>HYPERLINK("http://www.otzar.org/book.asp?182120","ארץ ישראל וסוריה הדרומית - ספר המסעות")</f>
        <v>ארץ ישראל וסוריה הדרומית - ספר המסעות</v>
      </c>
    </row>
    <row r="4093" spans="1:6" x14ac:dyDescent="0.2">
      <c r="A4093" t="s">
        <v>7770</v>
      </c>
      <c r="B4093" t="s">
        <v>7771</v>
      </c>
      <c r="C4093" t="s">
        <v>1202</v>
      </c>
      <c r="D4093" t="s">
        <v>535</v>
      </c>
      <c r="E4093" t="s">
        <v>104</v>
      </c>
      <c r="F4093" s="2" t="str">
        <f>HYPERLINK("http://www.otzar.org/book.asp?21987","ארץ ישראל ושכנותיה")</f>
        <v>ארץ ישראל ושכנותיה</v>
      </c>
    </row>
    <row r="4094" spans="1:6" x14ac:dyDescent="0.2">
      <c r="A4094" t="s">
        <v>7772</v>
      </c>
      <c r="B4094" t="s">
        <v>7306</v>
      </c>
      <c r="C4094" t="s">
        <v>454</v>
      </c>
      <c r="D4094" t="s">
        <v>14</v>
      </c>
      <c r="E4094" t="s">
        <v>104</v>
      </c>
      <c r="F4094" s="2" t="str">
        <f>HYPERLINK("http://www.otzar.org/book.asp?22794","ארץ ישראל כיבושה וקדושתה")</f>
        <v>ארץ ישראל כיבושה וקדושתה</v>
      </c>
    </row>
    <row r="4095" spans="1:6" x14ac:dyDescent="0.2">
      <c r="A4095" t="s">
        <v>7773</v>
      </c>
      <c r="B4095" t="s">
        <v>1617</v>
      </c>
      <c r="C4095" t="s">
        <v>427</v>
      </c>
      <c r="D4095" t="s">
        <v>52</v>
      </c>
      <c r="F4095" s="2" t="str">
        <f>HYPERLINK("http://www.otzar.org/book.asp?611692","ארץ ישראל נחלת עם ישראל")</f>
        <v>ארץ ישראל נחלת עם ישראל</v>
      </c>
    </row>
    <row r="4096" spans="1:6" x14ac:dyDescent="0.2">
      <c r="A4096" t="s">
        <v>7774</v>
      </c>
      <c r="B4096" t="s">
        <v>7775</v>
      </c>
      <c r="C4096" t="s">
        <v>26</v>
      </c>
      <c r="D4096" t="s">
        <v>14</v>
      </c>
      <c r="E4096" t="s">
        <v>104</v>
      </c>
      <c r="F4096" s="2" t="str">
        <f>HYPERLINK("http://www.otzar.org/book.asp?181070","ארץ ישראל עם ביאור בן ישראל")</f>
        <v>ארץ ישראל עם ביאור בן ישראל</v>
      </c>
    </row>
    <row r="4097" spans="1:6" x14ac:dyDescent="0.2">
      <c r="A4097" t="s">
        <v>6403</v>
      </c>
      <c r="B4097" t="s">
        <v>1617</v>
      </c>
      <c r="C4097" t="s">
        <v>46</v>
      </c>
      <c r="D4097" t="s">
        <v>563</v>
      </c>
      <c r="E4097" t="s">
        <v>104</v>
      </c>
      <c r="F4097" s="2" t="str">
        <f>HYPERLINK("http://www.otzar.org/book.asp?19213","ארץ ישראל")</f>
        <v>ארץ ישראל</v>
      </c>
    </row>
    <row r="4098" spans="1:6" x14ac:dyDescent="0.2">
      <c r="A4098" t="s">
        <v>6403</v>
      </c>
      <c r="B4098" t="s">
        <v>5501</v>
      </c>
      <c r="C4098" t="s">
        <v>1246</v>
      </c>
      <c r="D4098" t="s">
        <v>27</v>
      </c>
      <c r="E4098" t="s">
        <v>674</v>
      </c>
      <c r="F4098" s="2" t="str">
        <f>HYPERLINK("http://www.otzar.org/book.asp?5504","ארץ ישראל")</f>
        <v>ארץ ישראל</v>
      </c>
    </row>
    <row r="4099" spans="1:6" x14ac:dyDescent="0.2">
      <c r="A4099" t="s">
        <v>7776</v>
      </c>
      <c r="B4099" t="s">
        <v>3614</v>
      </c>
      <c r="C4099" t="s">
        <v>124</v>
      </c>
      <c r="D4099" t="s">
        <v>27</v>
      </c>
      <c r="E4099" t="s">
        <v>741</v>
      </c>
      <c r="F4099" s="2" t="str">
        <f>HYPERLINK("http://www.otzar.org/book.asp?154517","ארץ ישראל - 2 כר'")</f>
        <v>ארץ ישראל - 2 כר'</v>
      </c>
    </row>
    <row r="4100" spans="1:6" x14ac:dyDescent="0.2">
      <c r="A4100" t="s">
        <v>7777</v>
      </c>
      <c r="B4100" t="s">
        <v>7778</v>
      </c>
      <c r="C4100" t="s">
        <v>1208</v>
      </c>
      <c r="D4100" t="s">
        <v>14</v>
      </c>
      <c r="E4100" t="s">
        <v>4940</v>
      </c>
      <c r="F4100" s="2" t="str">
        <f>HYPERLINK("http://www.otzar.org/book.asp?14541","ארץ מגורי אביו")</f>
        <v>ארץ מגורי אביו</v>
      </c>
    </row>
    <row r="4101" spans="1:6" x14ac:dyDescent="0.2">
      <c r="A4101" t="s">
        <v>7779</v>
      </c>
      <c r="B4101" t="s">
        <v>179</v>
      </c>
      <c r="C4101" t="s">
        <v>956</v>
      </c>
      <c r="D4101" t="s">
        <v>14</v>
      </c>
      <c r="E4101" t="s">
        <v>7780</v>
      </c>
      <c r="F4101" s="2" t="str">
        <f>HYPERLINK("http://www.otzar.org/book.asp?24484","ארץ נושבת")</f>
        <v>ארץ נושבת</v>
      </c>
    </row>
    <row r="4102" spans="1:6" x14ac:dyDescent="0.2">
      <c r="A4102" t="s">
        <v>7781</v>
      </c>
      <c r="B4102" t="s">
        <v>7782</v>
      </c>
      <c r="C4102" t="s">
        <v>1268</v>
      </c>
      <c r="D4102" t="s">
        <v>216</v>
      </c>
      <c r="E4102" t="s">
        <v>579</v>
      </c>
      <c r="F4102" s="2" t="str">
        <f>HYPERLINK("http://www.otzar.org/book.asp?197385","ארץ נחלי מים - מים חיים")</f>
        <v>ארץ נחלי מים - מים חיים</v>
      </c>
    </row>
    <row r="4103" spans="1:6" x14ac:dyDescent="0.2">
      <c r="A4103" t="s">
        <v>7783</v>
      </c>
      <c r="B4103" t="s">
        <v>7782</v>
      </c>
      <c r="C4103" t="s">
        <v>1268</v>
      </c>
      <c r="D4103" t="s">
        <v>216</v>
      </c>
      <c r="E4103" t="s">
        <v>158</v>
      </c>
      <c r="F4103" s="2" t="str">
        <f>HYPERLINK("http://www.otzar.org/book.asp?197384","ארץ נחלי מים, מקור חיים")</f>
        <v>ארץ נחלי מים, מקור חיים</v>
      </c>
    </row>
    <row r="4104" spans="1:6" x14ac:dyDescent="0.2">
      <c r="A4104" t="s">
        <v>7784</v>
      </c>
      <c r="B4104" t="s">
        <v>7785</v>
      </c>
      <c r="C4104" t="s">
        <v>553</v>
      </c>
      <c r="D4104" t="s">
        <v>14</v>
      </c>
      <c r="E4104" t="s">
        <v>15</v>
      </c>
      <c r="F4104" s="2" t="str">
        <f>HYPERLINK("http://www.otzar.org/book.asp?62781","ארץ נפתלי")</f>
        <v>ארץ נפתלי</v>
      </c>
    </row>
    <row r="4105" spans="1:6" x14ac:dyDescent="0.2">
      <c r="A4105" t="s">
        <v>7786</v>
      </c>
      <c r="B4105" t="s">
        <v>7787</v>
      </c>
      <c r="C4105" t="s">
        <v>111</v>
      </c>
      <c r="D4105" t="s">
        <v>52</v>
      </c>
      <c r="F4105" s="2" t="str">
        <f>HYPERLINK("http://www.otzar.org/book.asp?630255","ארץ צבי &lt;מהדורה מחודשת&gt; - 2 כר'")</f>
        <v>ארץ צבי &lt;מהדורה מחודשת&gt; - 2 כר'</v>
      </c>
    </row>
    <row r="4106" spans="1:6" x14ac:dyDescent="0.2">
      <c r="A4106" t="s">
        <v>7788</v>
      </c>
      <c r="B4106" t="s">
        <v>7787</v>
      </c>
      <c r="C4106" t="s">
        <v>129</v>
      </c>
      <c r="D4106" t="s">
        <v>14</v>
      </c>
      <c r="E4106" t="s">
        <v>246</v>
      </c>
      <c r="F4106" s="2" t="str">
        <f>HYPERLINK("http://www.otzar.org/book.asp?183006","ארץ צבי &lt;מועדים&gt;")</f>
        <v>ארץ צבי &lt;מועדים&gt;</v>
      </c>
    </row>
    <row r="4107" spans="1:6" x14ac:dyDescent="0.2">
      <c r="A4107" t="s">
        <v>7789</v>
      </c>
      <c r="B4107" t="s">
        <v>7787</v>
      </c>
      <c r="C4107" t="s">
        <v>1448</v>
      </c>
      <c r="D4107" t="s">
        <v>216</v>
      </c>
      <c r="E4107" t="s">
        <v>7790</v>
      </c>
      <c r="F4107" s="2" t="str">
        <f>HYPERLINK("http://www.otzar.org/book.asp?103146","ארץ צבי &lt;על התורה&gt;")</f>
        <v>ארץ צבי &lt;על התורה&gt;</v>
      </c>
    </row>
    <row r="4108" spans="1:6" x14ac:dyDescent="0.2">
      <c r="A4108" t="s">
        <v>7791</v>
      </c>
      <c r="B4108" t="s">
        <v>7792</v>
      </c>
      <c r="C4108" t="s">
        <v>68</v>
      </c>
      <c r="D4108" t="s">
        <v>412</v>
      </c>
      <c r="E4108" t="s">
        <v>564</v>
      </c>
      <c r="F4108" s="2" t="str">
        <f>HYPERLINK("http://www.otzar.org/book.asp?177109","ארץ צבי &lt;מהדורה חדשה&gt; - 2 כר'")</f>
        <v>ארץ צבי &lt;מהדורה חדשה&gt; - 2 כר'</v>
      </c>
    </row>
    <row r="4109" spans="1:6" x14ac:dyDescent="0.2">
      <c r="A4109" t="s">
        <v>7793</v>
      </c>
      <c r="B4109" t="s">
        <v>7794</v>
      </c>
      <c r="C4109" t="s">
        <v>189</v>
      </c>
      <c r="D4109" t="s">
        <v>412</v>
      </c>
      <c r="E4109" t="s">
        <v>144</v>
      </c>
      <c r="F4109" s="2" t="str">
        <f>HYPERLINK("http://www.otzar.org/book.asp?160358","ארץ צבי ותאומי צביה - 2 כר'")</f>
        <v>ארץ צבי ותאומי צביה - 2 כר'</v>
      </c>
    </row>
    <row r="4110" spans="1:6" x14ac:dyDescent="0.2">
      <c r="A4110" t="s">
        <v>7795</v>
      </c>
      <c r="B4110" t="s">
        <v>7796</v>
      </c>
      <c r="C4110" t="s">
        <v>1228</v>
      </c>
      <c r="D4110" t="s">
        <v>56</v>
      </c>
      <c r="E4110" t="s">
        <v>7797</v>
      </c>
      <c r="F4110" s="2" t="str">
        <f>HYPERLINK("http://www.otzar.org/book.asp?300349","ארץ צבי")</f>
        <v>ארץ צבי</v>
      </c>
    </row>
    <row r="4111" spans="1:6" x14ac:dyDescent="0.2">
      <c r="A4111" t="s">
        <v>7795</v>
      </c>
      <c r="B4111" t="s">
        <v>7798</v>
      </c>
      <c r="C4111" t="s">
        <v>919</v>
      </c>
      <c r="D4111" t="s">
        <v>1076</v>
      </c>
      <c r="E4111" t="s">
        <v>463</v>
      </c>
      <c r="F4111" s="2" t="str">
        <f>HYPERLINK("http://www.otzar.org/book.asp?162955","ארץ צבי")</f>
        <v>ארץ צבי</v>
      </c>
    </row>
    <row r="4112" spans="1:6" x14ac:dyDescent="0.2">
      <c r="A4112" t="s">
        <v>7795</v>
      </c>
      <c r="B4112" t="s">
        <v>7799</v>
      </c>
      <c r="C4112" t="s">
        <v>1640</v>
      </c>
      <c r="D4112" t="s">
        <v>412</v>
      </c>
      <c r="E4112" t="s">
        <v>246</v>
      </c>
      <c r="F4112" s="2" t="str">
        <f>HYPERLINK("http://www.otzar.org/book.asp?14298","ארץ צבי")</f>
        <v>ארץ צבי</v>
      </c>
    </row>
    <row r="4113" spans="1:6" x14ac:dyDescent="0.2">
      <c r="A4113" t="s">
        <v>7800</v>
      </c>
      <c r="B4113" t="s">
        <v>5132</v>
      </c>
      <c r="C4113" t="s">
        <v>244</v>
      </c>
      <c r="D4113" t="s">
        <v>412</v>
      </c>
      <c r="E4113" t="s">
        <v>144</v>
      </c>
      <c r="F4113" s="2" t="str">
        <f>HYPERLINK("http://www.otzar.org/book.asp?629825","ארץ צבי - 2 כר'")</f>
        <v>ארץ צבי - 2 כר'</v>
      </c>
    </row>
    <row r="4114" spans="1:6" x14ac:dyDescent="0.2">
      <c r="A4114" t="s">
        <v>7795</v>
      </c>
      <c r="B4114" t="s">
        <v>7801</v>
      </c>
      <c r="C4114" t="s">
        <v>395</v>
      </c>
      <c r="D4114" t="s">
        <v>379</v>
      </c>
      <c r="E4114" t="s">
        <v>234</v>
      </c>
      <c r="F4114" s="2" t="str">
        <f>HYPERLINK("http://www.otzar.org/book.asp?300348","ארץ צבי")</f>
        <v>ארץ צבי</v>
      </c>
    </row>
    <row r="4115" spans="1:6" x14ac:dyDescent="0.2">
      <c r="A4115" t="s">
        <v>7795</v>
      </c>
      <c r="B4115" t="s">
        <v>7802</v>
      </c>
      <c r="C4115" t="s">
        <v>812</v>
      </c>
      <c r="D4115" t="s">
        <v>2968</v>
      </c>
      <c r="E4115" t="s">
        <v>10</v>
      </c>
      <c r="F4115" s="2" t="str">
        <f>HYPERLINK("http://www.otzar.org/book.asp?9140","ארץ צבי")</f>
        <v>ארץ צבי</v>
      </c>
    </row>
    <row r="4116" spans="1:6" x14ac:dyDescent="0.2">
      <c r="A4116" t="s">
        <v>7803</v>
      </c>
      <c r="B4116" t="s">
        <v>7787</v>
      </c>
      <c r="C4116" t="s">
        <v>725</v>
      </c>
      <c r="D4116" t="s">
        <v>726</v>
      </c>
      <c r="E4116" t="s">
        <v>154</v>
      </c>
      <c r="F4116" s="2" t="str">
        <f>HYPERLINK("http://www.otzar.org/book.asp?10927","ארץ צבי - א")</f>
        <v>ארץ צבי - א</v>
      </c>
    </row>
    <row r="4117" spans="1:6" x14ac:dyDescent="0.2">
      <c r="A4117" t="s">
        <v>7795</v>
      </c>
      <c r="B4117" t="s">
        <v>7804</v>
      </c>
      <c r="C4117" t="s">
        <v>4462</v>
      </c>
      <c r="D4117" t="s">
        <v>6801</v>
      </c>
      <c r="E4117" t="s">
        <v>158</v>
      </c>
      <c r="F4117" s="2" t="str">
        <f>HYPERLINK("http://www.otzar.org/book.asp?24004","ארץ צבי")</f>
        <v>ארץ צבי</v>
      </c>
    </row>
    <row r="4118" spans="1:6" x14ac:dyDescent="0.2">
      <c r="A4118" t="s">
        <v>7805</v>
      </c>
      <c r="B4118" t="s">
        <v>7792</v>
      </c>
      <c r="C4118" t="s">
        <v>503</v>
      </c>
      <c r="D4118" t="s">
        <v>283</v>
      </c>
      <c r="E4118" t="s">
        <v>564</v>
      </c>
      <c r="F4118" s="2" t="str">
        <f>HYPERLINK("http://www.otzar.org/book.asp?101881","ארץ צבי - 3 כר'")</f>
        <v>ארץ צבי - 3 כר'</v>
      </c>
    </row>
    <row r="4119" spans="1:6" x14ac:dyDescent="0.2">
      <c r="A4119" t="s">
        <v>7795</v>
      </c>
      <c r="B4119" t="s">
        <v>7806</v>
      </c>
      <c r="C4119" t="s">
        <v>785</v>
      </c>
      <c r="D4119" t="s">
        <v>118</v>
      </c>
      <c r="E4119" t="s">
        <v>104</v>
      </c>
      <c r="F4119" s="2" t="str">
        <f>HYPERLINK("http://www.otzar.org/book.asp?172366","ארץ צבי")</f>
        <v>ארץ צבי</v>
      </c>
    </row>
    <row r="4120" spans="1:6" x14ac:dyDescent="0.2">
      <c r="A4120" t="s">
        <v>7795</v>
      </c>
      <c r="B4120" t="s">
        <v>7807</v>
      </c>
      <c r="C4120" t="s">
        <v>1458</v>
      </c>
      <c r="D4120" t="s">
        <v>56</v>
      </c>
      <c r="E4120" t="s">
        <v>154</v>
      </c>
      <c r="F4120" s="2" t="str">
        <f>HYPERLINK("http://www.otzar.org/book.asp?100305","ארץ צבי")</f>
        <v>ארץ צבי</v>
      </c>
    </row>
    <row r="4121" spans="1:6" x14ac:dyDescent="0.2">
      <c r="A4121" t="s">
        <v>7795</v>
      </c>
      <c r="B4121" t="s">
        <v>7808</v>
      </c>
      <c r="C4121" t="s">
        <v>156</v>
      </c>
      <c r="D4121" t="s">
        <v>267</v>
      </c>
      <c r="E4121" t="s">
        <v>154</v>
      </c>
      <c r="F4121" s="2" t="str">
        <f>HYPERLINK("http://www.otzar.org/book.asp?100255","ארץ צבי")</f>
        <v>ארץ צבי</v>
      </c>
    </row>
    <row r="4122" spans="1:6" x14ac:dyDescent="0.2">
      <c r="A4122" t="s">
        <v>7809</v>
      </c>
      <c r="B4122" t="s">
        <v>7810</v>
      </c>
      <c r="C4122" t="s">
        <v>6052</v>
      </c>
      <c r="D4122" t="s">
        <v>56</v>
      </c>
      <c r="E4122" t="s">
        <v>4104</v>
      </c>
      <c r="F4122" s="2" t="str">
        <f>HYPERLINK("http://www.otzar.org/book.asp?17248","ארץ קדומים")</f>
        <v>ארץ קדומים</v>
      </c>
    </row>
    <row r="4123" spans="1:6" x14ac:dyDescent="0.2">
      <c r="A4123" t="s">
        <v>7811</v>
      </c>
      <c r="B4123" t="s">
        <v>3057</v>
      </c>
      <c r="C4123" t="s">
        <v>5912</v>
      </c>
      <c r="D4123" t="s">
        <v>1008</v>
      </c>
      <c r="E4123" t="s">
        <v>172</v>
      </c>
      <c r="F4123" s="2" t="str">
        <f>HYPERLINK("http://www.otzar.org/book.asp?164826","ארצות החיים - 4 כר'")</f>
        <v>ארצות החיים - 4 כר'</v>
      </c>
    </row>
    <row r="4124" spans="1:6" x14ac:dyDescent="0.2">
      <c r="A4124" t="s">
        <v>7812</v>
      </c>
      <c r="B4124" t="s">
        <v>7813</v>
      </c>
      <c r="C4124" t="s">
        <v>1062</v>
      </c>
      <c r="D4124" t="s">
        <v>7814</v>
      </c>
      <c r="E4124" t="s">
        <v>104</v>
      </c>
      <c r="F4124" s="2" t="str">
        <f>HYPERLINK("http://www.otzar.org/book.asp?141193","ארצות החיים")</f>
        <v>ארצות החיים</v>
      </c>
    </row>
    <row r="4125" spans="1:6" x14ac:dyDescent="0.2">
      <c r="A4125" t="s">
        <v>7812</v>
      </c>
      <c r="B4125" t="s">
        <v>155</v>
      </c>
      <c r="C4125" t="s">
        <v>752</v>
      </c>
      <c r="D4125" t="s">
        <v>27</v>
      </c>
      <c r="E4125" t="s">
        <v>674</v>
      </c>
      <c r="F4125" s="2" t="str">
        <f>HYPERLINK("http://www.otzar.org/book.asp?53303","ארצות החיים")</f>
        <v>ארצות החיים</v>
      </c>
    </row>
    <row r="4126" spans="1:6" x14ac:dyDescent="0.2">
      <c r="A4126" t="s">
        <v>7815</v>
      </c>
      <c r="B4126" t="s">
        <v>7816</v>
      </c>
      <c r="C4126" t="s">
        <v>51</v>
      </c>
      <c r="D4126" t="s">
        <v>14</v>
      </c>
      <c r="E4126" t="s">
        <v>7817</v>
      </c>
      <c r="F4126" s="2" t="str">
        <f>HYPERLINK("http://www.otzar.org/book.asp?160727","ארצות השלום")</f>
        <v>ארצות השלום</v>
      </c>
    </row>
    <row r="4127" spans="1:6" x14ac:dyDescent="0.2">
      <c r="A4127" t="s">
        <v>7818</v>
      </c>
      <c r="B4127" t="s">
        <v>3057</v>
      </c>
      <c r="C4127" t="s">
        <v>390</v>
      </c>
      <c r="D4127" t="s">
        <v>14</v>
      </c>
      <c r="E4127" t="s">
        <v>241</v>
      </c>
      <c r="F4127" s="2" t="str">
        <f>HYPERLINK("http://www.otzar.org/book.asp?13008","ארצות השלום - 4 כר'")</f>
        <v>ארצות השלום - 4 כר'</v>
      </c>
    </row>
    <row r="4128" spans="1:6" x14ac:dyDescent="0.2">
      <c r="A4128" t="s">
        <v>7819</v>
      </c>
      <c r="B4128" t="s">
        <v>7820</v>
      </c>
      <c r="C4128" t="s">
        <v>395</v>
      </c>
      <c r="D4128" t="s">
        <v>56</v>
      </c>
      <c r="E4128" t="s">
        <v>154</v>
      </c>
      <c r="F4128" s="2" t="str">
        <f>HYPERLINK("http://www.otzar.org/book.asp?9992","ארצות יהודה")</f>
        <v>ארצות יהודה</v>
      </c>
    </row>
    <row r="4129" spans="1:6" x14ac:dyDescent="0.2">
      <c r="A4129" t="s">
        <v>7821</v>
      </c>
      <c r="B4129" t="s">
        <v>7822</v>
      </c>
      <c r="C4129" t="s">
        <v>1650</v>
      </c>
      <c r="D4129" t="s">
        <v>5050</v>
      </c>
      <c r="E4129" t="s">
        <v>104</v>
      </c>
      <c r="F4129" s="2" t="str">
        <f>HYPERLINK("http://www.otzar.org/book.asp?168937","ארצנו")</f>
        <v>ארצנו</v>
      </c>
    </row>
    <row r="4130" spans="1:6" x14ac:dyDescent="0.2">
      <c r="A4130" t="s">
        <v>7821</v>
      </c>
      <c r="B4130" t="s">
        <v>7823</v>
      </c>
      <c r="C4130" t="s">
        <v>2832</v>
      </c>
      <c r="D4130" t="s">
        <v>21</v>
      </c>
      <c r="E4130" t="s">
        <v>104</v>
      </c>
      <c r="F4130" s="2" t="str">
        <f>HYPERLINK("http://www.otzar.org/book.asp?197406","ארצנו")</f>
        <v>ארצנו</v>
      </c>
    </row>
    <row r="4131" spans="1:6" x14ac:dyDescent="0.2">
      <c r="A4131" t="s">
        <v>7821</v>
      </c>
      <c r="B4131" t="s">
        <v>7824</v>
      </c>
      <c r="C4131" t="s">
        <v>2874</v>
      </c>
      <c r="D4131" t="s">
        <v>9</v>
      </c>
      <c r="E4131" t="s">
        <v>104</v>
      </c>
      <c r="F4131" s="2" t="str">
        <f>HYPERLINK("http://www.otzar.org/book.asp?182110","ארצנו")</f>
        <v>ארצנו</v>
      </c>
    </row>
    <row r="4132" spans="1:6" x14ac:dyDescent="0.2">
      <c r="A4132" t="s">
        <v>7825</v>
      </c>
      <c r="B4132" t="s">
        <v>7826</v>
      </c>
      <c r="C4132" t="s">
        <v>422</v>
      </c>
      <c r="D4132" t="s">
        <v>152</v>
      </c>
      <c r="E4132" t="s">
        <v>7827</v>
      </c>
      <c r="F4132" s="2" t="str">
        <f>HYPERLINK("http://www.otzar.org/book.asp?161878","ארשת צבי - ב")</f>
        <v>ארשת צבי - ב</v>
      </c>
    </row>
    <row r="4133" spans="1:6" x14ac:dyDescent="0.2">
      <c r="A4133" t="s">
        <v>7828</v>
      </c>
      <c r="B4133" t="s">
        <v>7829</v>
      </c>
      <c r="C4133" t="s">
        <v>366</v>
      </c>
      <c r="D4133" t="s">
        <v>14</v>
      </c>
      <c r="E4133" t="s">
        <v>144</v>
      </c>
      <c r="F4133" s="2" t="str">
        <f>HYPERLINK("http://www.otzar.org/book.asp?613975","ארשת צבי - 2 כר'")</f>
        <v>ארשת צבי - 2 כר'</v>
      </c>
    </row>
    <row r="4134" spans="1:6" x14ac:dyDescent="0.2">
      <c r="A4134" t="s">
        <v>7830</v>
      </c>
      <c r="B4134" t="s">
        <v>7831</v>
      </c>
      <c r="C4134" t="s">
        <v>244</v>
      </c>
      <c r="D4134" t="s">
        <v>14</v>
      </c>
      <c r="E4134" t="s">
        <v>202</v>
      </c>
      <c r="F4134" s="2" t="str">
        <f>HYPERLINK("http://www.otzar.org/book.asp?629546","ארשת שפתיים - 8 כר'")</f>
        <v>ארשת שפתיים - 8 כר'</v>
      </c>
    </row>
    <row r="4135" spans="1:6" x14ac:dyDescent="0.2">
      <c r="A4135" t="s">
        <v>7832</v>
      </c>
      <c r="B4135" t="s">
        <v>7833</v>
      </c>
      <c r="C4135" t="s">
        <v>576</v>
      </c>
      <c r="D4135" t="s">
        <v>729</v>
      </c>
      <c r="E4135" t="s">
        <v>219</v>
      </c>
      <c r="F4135" s="2" t="str">
        <f>HYPERLINK("http://www.otzar.org/book.asp?154213","ארשת שפתים")</f>
        <v>ארשת שפתים</v>
      </c>
    </row>
    <row r="4136" spans="1:6" x14ac:dyDescent="0.2">
      <c r="A4136" t="s">
        <v>7834</v>
      </c>
      <c r="F4136" s="2" t="str">
        <f>HYPERLINK("http://www.otzar.org/book.asp?610658","ארשת שפתינו")</f>
        <v>ארשת שפתינו</v>
      </c>
    </row>
    <row r="4137" spans="1:6" x14ac:dyDescent="0.2">
      <c r="A4137" t="s">
        <v>7835</v>
      </c>
      <c r="B4137" t="s">
        <v>3111</v>
      </c>
      <c r="C4137" t="s">
        <v>624</v>
      </c>
      <c r="D4137" t="s">
        <v>14</v>
      </c>
      <c r="E4137" t="s">
        <v>158</v>
      </c>
      <c r="F4137" s="2" t="str">
        <f>HYPERLINK("http://www.otzar.org/book.asp?50152","ארשת שפתינו - 2 כר'")</f>
        <v>ארשת שפתינו - 2 כר'</v>
      </c>
    </row>
    <row r="4138" spans="1:6" x14ac:dyDescent="0.2">
      <c r="A4138" t="s">
        <v>7836</v>
      </c>
      <c r="B4138" t="s">
        <v>7837</v>
      </c>
      <c r="C4138" t="s">
        <v>411</v>
      </c>
      <c r="D4138" t="s">
        <v>152</v>
      </c>
      <c r="E4138" t="s">
        <v>104</v>
      </c>
      <c r="F4138" s="2" t="str">
        <f>HYPERLINK("http://www.otzar.org/book.asp?174075","אש דוד - 2 כר'")</f>
        <v>אש דוד - 2 כר'</v>
      </c>
    </row>
    <row r="4139" spans="1:6" x14ac:dyDescent="0.2">
      <c r="A4139" t="s">
        <v>7838</v>
      </c>
      <c r="B4139" t="s">
        <v>7839</v>
      </c>
      <c r="C4139" t="s">
        <v>7840</v>
      </c>
      <c r="D4139" t="s">
        <v>4338</v>
      </c>
      <c r="F4139" s="2" t="str">
        <f>HYPERLINK("http://www.otzar.org/book.asp?194416","אש דת - 11 כר'")</f>
        <v>אש דת - 11 כר'</v>
      </c>
    </row>
    <row r="4140" spans="1:6" x14ac:dyDescent="0.2">
      <c r="A4140" t="s">
        <v>7841</v>
      </c>
      <c r="B4140" t="s">
        <v>4785</v>
      </c>
      <c r="C4140" t="s">
        <v>151</v>
      </c>
      <c r="D4140" t="s">
        <v>52</v>
      </c>
      <c r="E4140" t="s">
        <v>241</v>
      </c>
      <c r="F4140" s="2" t="str">
        <f>HYPERLINK("http://www.otzar.org/book.asp?613843","אש דת")</f>
        <v>אש דת</v>
      </c>
    </row>
    <row r="4141" spans="1:6" x14ac:dyDescent="0.2">
      <c r="A4141" t="s">
        <v>7841</v>
      </c>
      <c r="B4141" t="s">
        <v>7842</v>
      </c>
      <c r="C4141" t="s">
        <v>2644</v>
      </c>
      <c r="D4141" t="s">
        <v>225</v>
      </c>
      <c r="E4141" t="s">
        <v>130</v>
      </c>
      <c r="F4141" s="2" t="str">
        <f>HYPERLINK("http://www.otzar.org/book.asp?148513","אש דת")</f>
        <v>אש דת</v>
      </c>
    </row>
    <row r="4142" spans="1:6" x14ac:dyDescent="0.2">
      <c r="A4142" t="s">
        <v>7841</v>
      </c>
      <c r="B4142" t="s">
        <v>7843</v>
      </c>
      <c r="C4142" t="s">
        <v>2672</v>
      </c>
      <c r="D4142" t="s">
        <v>563</v>
      </c>
      <c r="E4142" t="s">
        <v>104</v>
      </c>
      <c r="F4142" s="2" t="str">
        <f>HYPERLINK("http://www.otzar.org/book.asp?147299","אש דת")</f>
        <v>אש דת</v>
      </c>
    </row>
    <row r="4143" spans="1:6" x14ac:dyDescent="0.2">
      <c r="A4143" t="s">
        <v>7841</v>
      </c>
      <c r="B4143" t="s">
        <v>7844</v>
      </c>
      <c r="C4143" t="s">
        <v>1284</v>
      </c>
      <c r="D4143" t="s">
        <v>283</v>
      </c>
      <c r="E4143" t="s">
        <v>241</v>
      </c>
      <c r="F4143" s="2" t="str">
        <f>HYPERLINK("http://www.otzar.org/book.asp?11495","אש דת")</f>
        <v>אש דת</v>
      </c>
    </row>
    <row r="4144" spans="1:6" x14ac:dyDescent="0.2">
      <c r="A4144" t="s">
        <v>7845</v>
      </c>
      <c r="B4144" t="s">
        <v>776</v>
      </c>
      <c r="C4144" t="s">
        <v>237</v>
      </c>
      <c r="D4144" t="s">
        <v>27</v>
      </c>
      <c r="E4144" t="s">
        <v>158</v>
      </c>
      <c r="F4144" s="2" t="str">
        <f>HYPERLINK("http://www.otzar.org/book.asp?11456","אש המזבח")</f>
        <v>אש המזבח</v>
      </c>
    </row>
    <row r="4145" spans="1:6" x14ac:dyDescent="0.2">
      <c r="A4145" t="s">
        <v>7846</v>
      </c>
      <c r="B4145" t="s">
        <v>7847</v>
      </c>
      <c r="C4145" t="s">
        <v>133</v>
      </c>
      <c r="D4145" t="s">
        <v>14</v>
      </c>
      <c r="E4145" t="s">
        <v>588</v>
      </c>
      <c r="F4145" s="2" t="str">
        <f>HYPERLINK("http://www.otzar.org/book.asp?173460","אש המערכה")</f>
        <v>אש המערכה</v>
      </c>
    </row>
    <row r="4146" spans="1:6" x14ac:dyDescent="0.2">
      <c r="A4146" t="s">
        <v>7848</v>
      </c>
      <c r="B4146" t="s">
        <v>3554</v>
      </c>
      <c r="C4146" t="s">
        <v>133</v>
      </c>
      <c r="D4146" t="s">
        <v>52</v>
      </c>
      <c r="E4146" t="s">
        <v>119</v>
      </c>
      <c r="F4146" s="2" t="str">
        <f>HYPERLINK("http://www.otzar.org/book.asp?180229","אש התורה - 2 כר'")</f>
        <v>אש התורה - 2 כר'</v>
      </c>
    </row>
    <row r="4147" spans="1:6" x14ac:dyDescent="0.2">
      <c r="A4147" t="s">
        <v>7849</v>
      </c>
      <c r="B4147" t="s">
        <v>7850</v>
      </c>
      <c r="C4147" t="s">
        <v>13</v>
      </c>
      <c r="D4147" t="s">
        <v>14</v>
      </c>
      <c r="E4147" t="s">
        <v>1507</v>
      </c>
      <c r="F4147" s="2" t="str">
        <f>HYPERLINK("http://www.otzar.org/book.asp?166929","אש התורה - בראשית")</f>
        <v>אש התורה - בראשית</v>
      </c>
    </row>
    <row r="4148" spans="1:6" x14ac:dyDescent="0.2">
      <c r="A4148" t="s">
        <v>7851</v>
      </c>
      <c r="B4148" t="s">
        <v>7852</v>
      </c>
      <c r="C4148" t="s">
        <v>366</v>
      </c>
      <c r="D4148" t="s">
        <v>14</v>
      </c>
      <c r="E4148" t="s">
        <v>474</v>
      </c>
      <c r="F4148" s="2" t="str">
        <f>HYPERLINK("http://www.otzar.org/book.asp?611987","אש התורה")</f>
        <v>אש התורה</v>
      </c>
    </row>
    <row r="4149" spans="1:6" x14ac:dyDescent="0.2">
      <c r="A4149" t="s">
        <v>7853</v>
      </c>
      <c r="B4149" t="s">
        <v>7854</v>
      </c>
      <c r="C4149" t="s">
        <v>313</v>
      </c>
      <c r="D4149" t="s">
        <v>14</v>
      </c>
      <c r="E4149" t="s">
        <v>158</v>
      </c>
      <c r="F4149" s="2" t="str">
        <f>HYPERLINK("http://www.otzar.org/book.asp?164001","אש למו")</f>
        <v>אש למו</v>
      </c>
    </row>
    <row r="4150" spans="1:6" x14ac:dyDescent="0.2">
      <c r="A4150" t="s">
        <v>7855</v>
      </c>
      <c r="B4150" t="s">
        <v>7856</v>
      </c>
      <c r="C4150" t="s">
        <v>624</v>
      </c>
      <c r="D4150" t="s">
        <v>7857</v>
      </c>
      <c r="E4150" t="s">
        <v>741</v>
      </c>
      <c r="F4150" s="2" t="str">
        <f>HYPERLINK("http://www.otzar.org/book.asp?60844","אש קדש - א")</f>
        <v>אש קדש - א</v>
      </c>
    </row>
    <row r="4151" spans="1:6" x14ac:dyDescent="0.2">
      <c r="A4151" t="s">
        <v>7858</v>
      </c>
      <c r="B4151" t="s">
        <v>7859</v>
      </c>
      <c r="C4151" t="s">
        <v>189</v>
      </c>
      <c r="D4151" t="s">
        <v>52</v>
      </c>
      <c r="E4151" t="s">
        <v>144</v>
      </c>
      <c r="F4151" s="2" t="str">
        <f>HYPERLINK("http://www.otzar.org/book.asp?153737","אש קודש - מעילה")</f>
        <v>אש קודש - מעילה</v>
      </c>
    </row>
    <row r="4152" spans="1:6" x14ac:dyDescent="0.2">
      <c r="A4152" t="s">
        <v>7860</v>
      </c>
      <c r="B4152" t="s">
        <v>4606</v>
      </c>
      <c r="C4152" t="s">
        <v>23</v>
      </c>
      <c r="D4152" t="s">
        <v>14</v>
      </c>
      <c r="F4152" s="2" t="str">
        <f>HYPERLINK("http://www.otzar.org/book.asp?612423","אש קודש")</f>
        <v>אש קודש</v>
      </c>
    </row>
    <row r="4153" spans="1:6" x14ac:dyDescent="0.2">
      <c r="A4153" t="s">
        <v>7860</v>
      </c>
      <c r="B4153" t="s">
        <v>7861</v>
      </c>
      <c r="C4153" t="s">
        <v>1663</v>
      </c>
      <c r="D4153" t="s">
        <v>27</v>
      </c>
      <c r="E4153" t="s">
        <v>7862</v>
      </c>
      <c r="F4153" s="2" t="str">
        <f>HYPERLINK("http://www.otzar.org/book.asp?106954","אש קודש")</f>
        <v>אש קודש</v>
      </c>
    </row>
    <row r="4154" spans="1:6" x14ac:dyDescent="0.2">
      <c r="A4154" t="s">
        <v>7863</v>
      </c>
      <c r="B4154" t="s">
        <v>7864</v>
      </c>
      <c r="C4154" t="s">
        <v>533</v>
      </c>
      <c r="D4154" t="s">
        <v>2458</v>
      </c>
      <c r="E4154" t="s">
        <v>199</v>
      </c>
      <c r="F4154" s="2" t="str">
        <f>HYPERLINK("http://www.otzar.org/book.asp?156121","אש תמיד תוקד")</f>
        <v>אש תמיד תוקד</v>
      </c>
    </row>
    <row r="4155" spans="1:6" x14ac:dyDescent="0.2">
      <c r="A4155" t="s">
        <v>7865</v>
      </c>
      <c r="B4155" t="s">
        <v>686</v>
      </c>
      <c r="C4155" t="s">
        <v>244</v>
      </c>
      <c r="D4155" t="s">
        <v>80</v>
      </c>
      <c r="E4155" t="s">
        <v>1164</v>
      </c>
      <c r="F4155" s="2" t="str">
        <f>HYPERLINK("http://www.otzar.org/book.asp?198064","אש תמיד")</f>
        <v>אש תמיד</v>
      </c>
    </row>
    <row r="4156" spans="1:6" x14ac:dyDescent="0.2">
      <c r="A4156" t="s">
        <v>7865</v>
      </c>
      <c r="B4156" t="s">
        <v>7866</v>
      </c>
      <c r="C4156" t="s">
        <v>244</v>
      </c>
      <c r="D4156" t="s">
        <v>21</v>
      </c>
      <c r="E4156" t="s">
        <v>148</v>
      </c>
      <c r="F4156" s="2" t="str">
        <f>HYPERLINK("http://www.otzar.org/book.asp?601673","אש תמיד")</f>
        <v>אש תמיד</v>
      </c>
    </row>
    <row r="4157" spans="1:6" x14ac:dyDescent="0.2">
      <c r="A4157" t="s">
        <v>7865</v>
      </c>
      <c r="B4157" t="s">
        <v>7867</v>
      </c>
      <c r="C4157" t="s">
        <v>13</v>
      </c>
      <c r="D4157" t="s">
        <v>52</v>
      </c>
      <c r="E4157" t="s">
        <v>144</v>
      </c>
      <c r="F4157" s="2" t="str">
        <f>HYPERLINK("http://www.otzar.org/book.asp?148300","אש תמיד")</f>
        <v>אש תמיד</v>
      </c>
    </row>
    <row r="4158" spans="1:6" x14ac:dyDescent="0.2">
      <c r="A4158" t="s">
        <v>7865</v>
      </c>
      <c r="B4158" t="s">
        <v>552</v>
      </c>
      <c r="C4158" t="s">
        <v>785</v>
      </c>
      <c r="D4158" t="s">
        <v>14</v>
      </c>
      <c r="E4158" t="s">
        <v>7868</v>
      </c>
      <c r="F4158" s="2" t="str">
        <f>HYPERLINK("http://www.otzar.org/book.asp?23015","אש תמיד")</f>
        <v>אש תמיד</v>
      </c>
    </row>
    <row r="4159" spans="1:6" x14ac:dyDescent="0.2">
      <c r="A4159" t="s">
        <v>7869</v>
      </c>
      <c r="B4159" t="s">
        <v>7870</v>
      </c>
      <c r="C4159" t="s">
        <v>422</v>
      </c>
      <c r="D4159" t="s">
        <v>412</v>
      </c>
      <c r="E4159" t="s">
        <v>3915</v>
      </c>
      <c r="F4159" s="2" t="str">
        <f>HYPERLINK("http://www.otzar.org/book.asp?174188","אש תמיד - מנהגי ספינקא")</f>
        <v>אש תמיד - מנהגי ספינקא</v>
      </c>
    </row>
    <row r="4160" spans="1:6" x14ac:dyDescent="0.2">
      <c r="A4160" t="s">
        <v>7871</v>
      </c>
      <c r="B4160" t="s">
        <v>7872</v>
      </c>
      <c r="C4160" t="s">
        <v>13</v>
      </c>
      <c r="D4160" t="s">
        <v>412</v>
      </c>
      <c r="E4160" t="s">
        <v>158</v>
      </c>
      <c r="F4160" s="2" t="str">
        <f>HYPERLINK("http://www.otzar.org/book.asp?85717","אש תמיד - 2 כר'")</f>
        <v>אש תמיד - 2 כר'</v>
      </c>
    </row>
    <row r="4161" spans="1:6" x14ac:dyDescent="0.2">
      <c r="A4161" t="s">
        <v>7865</v>
      </c>
      <c r="B4161" t="s">
        <v>7873</v>
      </c>
      <c r="C4161" t="s">
        <v>438</v>
      </c>
      <c r="D4161" t="s">
        <v>52</v>
      </c>
      <c r="E4161" t="s">
        <v>226</v>
      </c>
      <c r="F4161" s="2" t="str">
        <f>HYPERLINK("http://www.otzar.org/book.asp?83885","אש תמיד")</f>
        <v>אש תמיד</v>
      </c>
    </row>
    <row r="4162" spans="1:6" x14ac:dyDescent="0.2">
      <c r="A4162" t="s">
        <v>7874</v>
      </c>
      <c r="B4162" t="s">
        <v>7847</v>
      </c>
      <c r="C4162" t="s">
        <v>411</v>
      </c>
      <c r="D4162" t="s">
        <v>14</v>
      </c>
      <c r="E4162" t="s">
        <v>84</v>
      </c>
      <c r="F4162" s="2" t="str">
        <f>HYPERLINK("http://www.otzar.org/book.asp?172769","אש תמיד - מסכת תמיד")</f>
        <v>אש תמיד - מסכת תמיד</v>
      </c>
    </row>
    <row r="4163" spans="1:6" x14ac:dyDescent="0.2">
      <c r="A4163" t="s">
        <v>7875</v>
      </c>
      <c r="B4163" t="s">
        <v>7876</v>
      </c>
      <c r="C4163" t="s">
        <v>1160</v>
      </c>
      <c r="D4163" t="s">
        <v>118</v>
      </c>
      <c r="E4163" t="s">
        <v>7877</v>
      </c>
      <c r="F4163" s="2" t="str">
        <f>HYPERLINK("http://www.otzar.org/book.asp?8233","אשא דעי למרחוק")</f>
        <v>אשא דעי למרחוק</v>
      </c>
    </row>
    <row r="4164" spans="1:6" x14ac:dyDescent="0.2">
      <c r="A4164" t="s">
        <v>7878</v>
      </c>
      <c r="B4164" t="s">
        <v>7879</v>
      </c>
      <c r="C4164" t="s">
        <v>23</v>
      </c>
      <c r="D4164" t="s">
        <v>52</v>
      </c>
      <c r="E4164" t="s">
        <v>172</v>
      </c>
      <c r="F4164" s="2" t="str">
        <f>HYPERLINK("http://www.otzar.org/book.asp?192780","אשא דעי - יו""ד א")</f>
        <v>אשא דעי - יו"ד א</v>
      </c>
    </row>
    <row r="4165" spans="1:6" x14ac:dyDescent="0.2">
      <c r="A4165" t="s">
        <v>7880</v>
      </c>
      <c r="B4165" t="s">
        <v>7881</v>
      </c>
      <c r="C4165" t="s">
        <v>244</v>
      </c>
      <c r="D4165" t="s">
        <v>80</v>
      </c>
      <c r="E4165" t="s">
        <v>15</v>
      </c>
      <c r="F4165" s="2" t="str">
        <f>HYPERLINK("http://www.otzar.org/book.asp?601253","אשא כפי")</f>
        <v>אשא כפי</v>
      </c>
    </row>
    <row r="4166" spans="1:6" x14ac:dyDescent="0.2">
      <c r="A4166" t="s">
        <v>7882</v>
      </c>
      <c r="B4166" t="s">
        <v>4840</v>
      </c>
      <c r="C4166" t="s">
        <v>2008</v>
      </c>
      <c r="D4166" t="s">
        <v>27</v>
      </c>
      <c r="E4166" t="s">
        <v>960</v>
      </c>
      <c r="F4166" s="2" t="str">
        <f>HYPERLINK("http://www.otzar.org/book.asp?10415","אשא משלי")</f>
        <v>אשא משלי</v>
      </c>
    </row>
    <row r="4167" spans="1:6" x14ac:dyDescent="0.2">
      <c r="A4167" t="s">
        <v>7883</v>
      </c>
      <c r="B4167" t="s">
        <v>7884</v>
      </c>
      <c r="C4167" t="s">
        <v>189</v>
      </c>
      <c r="D4167" t="s">
        <v>216</v>
      </c>
      <c r="E4167" t="s">
        <v>230</v>
      </c>
      <c r="F4167" s="2" t="str">
        <f>HYPERLINK("http://www.otzar.org/book.asp?166204","אשא עיני")</f>
        <v>אשא עיני</v>
      </c>
    </row>
    <row r="4168" spans="1:6" x14ac:dyDescent="0.2">
      <c r="A4168" t="s">
        <v>7883</v>
      </c>
      <c r="B4168" t="s">
        <v>1728</v>
      </c>
      <c r="C4168" t="s">
        <v>624</v>
      </c>
      <c r="D4168" t="s">
        <v>852</v>
      </c>
      <c r="E4168" t="s">
        <v>140</v>
      </c>
      <c r="F4168" s="2" t="str">
        <f>HYPERLINK("http://www.otzar.org/book.asp?628540","אשא עיני")</f>
        <v>אשא עיני</v>
      </c>
    </row>
    <row r="4169" spans="1:6" x14ac:dyDescent="0.2">
      <c r="A4169" t="s">
        <v>7883</v>
      </c>
      <c r="B4169" t="s">
        <v>7885</v>
      </c>
      <c r="C4169" t="s">
        <v>51</v>
      </c>
      <c r="D4169" t="s">
        <v>52</v>
      </c>
      <c r="E4169" t="s">
        <v>834</v>
      </c>
      <c r="F4169" s="2" t="str">
        <f>HYPERLINK("http://www.otzar.org/book.asp?159382","אשא עיני")</f>
        <v>אשא עיני</v>
      </c>
    </row>
    <row r="4170" spans="1:6" x14ac:dyDescent="0.2">
      <c r="A4170" t="s">
        <v>7886</v>
      </c>
      <c r="B4170" t="s">
        <v>7887</v>
      </c>
      <c r="C4170" t="s">
        <v>422</v>
      </c>
      <c r="D4170" t="s">
        <v>7888</v>
      </c>
      <c r="E4170" t="s">
        <v>241</v>
      </c>
      <c r="F4170" s="2" t="str">
        <f>HYPERLINK("http://www.otzar.org/book.asp?603827","אשא עיני - 2 כר'")</f>
        <v>אשא עיני - 2 כר'</v>
      </c>
    </row>
    <row r="4171" spans="1:6" x14ac:dyDescent="0.2">
      <c r="A4171" t="s">
        <v>7883</v>
      </c>
      <c r="B4171" t="s">
        <v>7889</v>
      </c>
      <c r="C4171" t="s">
        <v>20</v>
      </c>
      <c r="D4171" t="s">
        <v>90</v>
      </c>
      <c r="E4171" t="s">
        <v>202</v>
      </c>
      <c r="F4171" s="2" t="str">
        <f>HYPERLINK("http://www.otzar.org/book.asp?622013","אשא עיני")</f>
        <v>אשא עיני</v>
      </c>
    </row>
    <row r="4172" spans="1:6" x14ac:dyDescent="0.2">
      <c r="A4172" t="s">
        <v>7890</v>
      </c>
      <c r="B4172" t="s">
        <v>7891</v>
      </c>
      <c r="C4172" t="s">
        <v>51</v>
      </c>
      <c r="D4172" t="s">
        <v>1076</v>
      </c>
      <c r="E4172" t="s">
        <v>154</v>
      </c>
      <c r="F4172" s="2" t="str">
        <f>HYPERLINK("http://www.otzar.org/book.asp?165218","אשבח בתהלתך")</f>
        <v>אשבח בתהלתך</v>
      </c>
    </row>
    <row r="4173" spans="1:6" x14ac:dyDescent="0.2">
      <c r="A4173" t="s">
        <v>7892</v>
      </c>
      <c r="B4173" t="s">
        <v>7893</v>
      </c>
      <c r="C4173" t="s">
        <v>985</v>
      </c>
      <c r="D4173" t="s">
        <v>7894</v>
      </c>
      <c r="E4173" t="s">
        <v>5580</v>
      </c>
      <c r="F4173" s="2" t="str">
        <f>HYPERLINK("http://www.otzar.org/book.asp?12864","אשביע לחם עם קונטרס לבי שמח")</f>
        <v>אשביע לחם עם קונטרס לבי שמח</v>
      </c>
    </row>
    <row r="4174" spans="1:6" x14ac:dyDescent="0.2">
      <c r="A4174" t="s">
        <v>7895</v>
      </c>
      <c r="B4174" t="s">
        <v>7896</v>
      </c>
      <c r="C4174" t="s">
        <v>619</v>
      </c>
      <c r="D4174" t="s">
        <v>412</v>
      </c>
      <c r="E4174" t="s">
        <v>7897</v>
      </c>
      <c r="F4174" s="2" t="str">
        <f>HYPERLINK("http://www.otzar.org/book.asp?51299","אשד הנהר")</f>
        <v>אשד הנהר</v>
      </c>
    </row>
    <row r="4175" spans="1:6" x14ac:dyDescent="0.2">
      <c r="A4175" t="s">
        <v>7898</v>
      </c>
      <c r="B4175" t="s">
        <v>7899</v>
      </c>
      <c r="C4175" t="s">
        <v>2455</v>
      </c>
      <c r="D4175" t="s">
        <v>212</v>
      </c>
      <c r="E4175" t="s">
        <v>148</v>
      </c>
      <c r="F4175" s="2" t="str">
        <f>HYPERLINK("http://www.otzar.org/book.asp?51300","אשד הנחלים")</f>
        <v>אשד הנחלים</v>
      </c>
    </row>
    <row r="4176" spans="1:6" x14ac:dyDescent="0.2">
      <c r="A4176" t="s">
        <v>7900</v>
      </c>
      <c r="B4176" t="s">
        <v>7901</v>
      </c>
      <c r="C4176" t="s">
        <v>103</v>
      </c>
      <c r="D4176" t="s">
        <v>14</v>
      </c>
      <c r="E4176" t="s">
        <v>1211</v>
      </c>
      <c r="F4176" s="2" t="str">
        <f>HYPERLINK("http://www.otzar.org/book.asp?24463","אשד הנחלים - 5 כר'")</f>
        <v>אשד הנחלים - 5 כר'</v>
      </c>
    </row>
    <row r="4177" spans="1:6" x14ac:dyDescent="0.2">
      <c r="A4177" t="s">
        <v>7898</v>
      </c>
      <c r="B4177" t="s">
        <v>7902</v>
      </c>
      <c r="C4177" t="s">
        <v>2488</v>
      </c>
      <c r="D4177" t="s">
        <v>76</v>
      </c>
      <c r="E4177" t="s">
        <v>234</v>
      </c>
      <c r="F4177" s="2" t="str">
        <f>HYPERLINK("http://www.otzar.org/book.asp?17249","אשד הנחלים")</f>
        <v>אשד הנחלים</v>
      </c>
    </row>
    <row r="4178" spans="1:6" x14ac:dyDescent="0.2">
      <c r="A4178" t="s">
        <v>7898</v>
      </c>
      <c r="B4178" t="s">
        <v>7903</v>
      </c>
      <c r="C4178" t="s">
        <v>168</v>
      </c>
      <c r="D4178" t="s">
        <v>216</v>
      </c>
      <c r="E4178" t="s">
        <v>158</v>
      </c>
      <c r="F4178" s="2" t="str">
        <f>HYPERLINK("http://www.otzar.org/book.asp?144914","אשד הנחלים")</f>
        <v>אשד הנחלים</v>
      </c>
    </row>
    <row r="4179" spans="1:6" x14ac:dyDescent="0.2">
      <c r="A4179" t="s">
        <v>7904</v>
      </c>
      <c r="B4179" t="s">
        <v>7903</v>
      </c>
      <c r="C4179" t="s">
        <v>940</v>
      </c>
      <c r="D4179" t="s">
        <v>216</v>
      </c>
      <c r="E4179" t="s">
        <v>158</v>
      </c>
      <c r="F4179" s="2" t="str">
        <f>HYPERLINK("http://www.otzar.org/book.asp?144915","אשדות הפסגה")</f>
        <v>אשדות הפסגה</v>
      </c>
    </row>
    <row r="4180" spans="1:6" x14ac:dyDescent="0.2">
      <c r="A4180" t="s">
        <v>7905</v>
      </c>
      <c r="B4180" t="s">
        <v>7906</v>
      </c>
      <c r="C4180" t="s">
        <v>1640</v>
      </c>
      <c r="D4180" t="s">
        <v>412</v>
      </c>
      <c r="E4180" t="s">
        <v>920</v>
      </c>
      <c r="F4180" s="2" t="str">
        <f>HYPERLINK("http://www.otzar.org/book.asp?6681","אשדת הפסגה - א (ברכות,שבת,עירובין)")</f>
        <v>אשדת הפסגה - א (ברכות,שבת,עירובין)</v>
      </c>
    </row>
    <row r="4181" spans="1:6" x14ac:dyDescent="0.2">
      <c r="A4181" t="s">
        <v>7907</v>
      </c>
      <c r="B4181" t="s">
        <v>7902</v>
      </c>
      <c r="C4181" t="s">
        <v>2040</v>
      </c>
      <c r="D4181" t="s">
        <v>76</v>
      </c>
      <c r="E4181" t="s">
        <v>508</v>
      </c>
      <c r="F4181" s="2" t="str">
        <f>HYPERLINK("http://www.otzar.org/book.asp?171185","אשדת הפסגה")</f>
        <v>אשדת הפסגה</v>
      </c>
    </row>
    <row r="4182" spans="1:6" x14ac:dyDescent="0.2">
      <c r="A4182" t="s">
        <v>7908</v>
      </c>
      <c r="B4182" t="s">
        <v>552</v>
      </c>
      <c r="C4182" t="s">
        <v>129</v>
      </c>
      <c r="D4182" t="s">
        <v>90</v>
      </c>
      <c r="E4182" t="s">
        <v>234</v>
      </c>
      <c r="F4182" s="2" t="str">
        <f>HYPERLINK("http://www.otzar.org/book.asp?60394","אשה גדולה")</f>
        <v>אשה גדולה</v>
      </c>
    </row>
    <row r="4183" spans="1:6" x14ac:dyDescent="0.2">
      <c r="A4183" t="s">
        <v>7909</v>
      </c>
      <c r="B4183" t="s">
        <v>7910</v>
      </c>
      <c r="C4183" t="s">
        <v>133</v>
      </c>
      <c r="D4183" t="s">
        <v>14</v>
      </c>
      <c r="E4183" t="s">
        <v>144</v>
      </c>
      <c r="F4183" s="2" t="str">
        <f>HYPERLINK("http://www.otzar.org/book.asp?629976","אשי אברהם - שבת")</f>
        <v>אשי אברהם - שבת</v>
      </c>
    </row>
    <row r="4184" spans="1:6" x14ac:dyDescent="0.2">
      <c r="A4184" t="s">
        <v>7911</v>
      </c>
      <c r="B4184" t="s">
        <v>6486</v>
      </c>
      <c r="C4184" t="s">
        <v>71</v>
      </c>
      <c r="D4184" t="s">
        <v>986</v>
      </c>
      <c r="E4184" t="s">
        <v>4731</v>
      </c>
      <c r="F4184" s="2" t="str">
        <f>HYPERLINK("http://www.otzar.org/book.asp?153890","אשי דוד")</f>
        <v>אשי דוד</v>
      </c>
    </row>
    <row r="4185" spans="1:6" x14ac:dyDescent="0.2">
      <c r="A4185" t="s">
        <v>7912</v>
      </c>
      <c r="B4185" t="s">
        <v>7913</v>
      </c>
      <c r="C4185" t="s">
        <v>1844</v>
      </c>
      <c r="D4185" t="s">
        <v>1419</v>
      </c>
      <c r="E4185" t="s">
        <v>15</v>
      </c>
      <c r="F4185" s="2" t="str">
        <f>HYPERLINK("http://www.otzar.org/book.asp?12000","אשי ה'")</f>
        <v>אשי ה'</v>
      </c>
    </row>
    <row r="4186" spans="1:6" x14ac:dyDescent="0.2">
      <c r="A4186" t="s">
        <v>7912</v>
      </c>
      <c r="B4186" t="s">
        <v>7914</v>
      </c>
      <c r="C4186" t="s">
        <v>129</v>
      </c>
      <c r="D4186" t="s">
        <v>52</v>
      </c>
      <c r="E4186" t="s">
        <v>15</v>
      </c>
      <c r="F4186" s="2" t="str">
        <f>HYPERLINK("http://www.otzar.org/book.asp?189776","אשי ה'")</f>
        <v>אשי ה'</v>
      </c>
    </row>
    <row r="4187" spans="1:6" x14ac:dyDescent="0.2">
      <c r="A4187" t="s">
        <v>7912</v>
      </c>
      <c r="B4187" t="s">
        <v>7915</v>
      </c>
      <c r="C4187" t="s">
        <v>3957</v>
      </c>
      <c r="D4187" t="s">
        <v>212</v>
      </c>
      <c r="E4187" t="s">
        <v>144</v>
      </c>
      <c r="F4187" s="2" t="str">
        <f>HYPERLINK("http://www.otzar.org/book.asp?100257","אשי ה'")</f>
        <v>אשי ה'</v>
      </c>
    </row>
    <row r="4188" spans="1:6" x14ac:dyDescent="0.2">
      <c r="A4188" t="s">
        <v>7916</v>
      </c>
      <c r="B4188" t="s">
        <v>7917</v>
      </c>
      <c r="C4188" t="s">
        <v>411</v>
      </c>
      <c r="D4188" t="s">
        <v>2504</v>
      </c>
      <c r="E4188" t="s">
        <v>3489</v>
      </c>
      <c r="F4188" s="2" t="str">
        <f>HYPERLINK("http://www.otzar.org/book.asp?194099","אשי המטבע")</f>
        <v>אשי המטבע</v>
      </c>
    </row>
    <row r="4189" spans="1:6" x14ac:dyDescent="0.2">
      <c r="A4189" t="s">
        <v>7918</v>
      </c>
      <c r="B4189" t="s">
        <v>7919</v>
      </c>
      <c r="C4189" t="s">
        <v>624</v>
      </c>
      <c r="D4189" t="s">
        <v>14</v>
      </c>
      <c r="E4189" t="s">
        <v>148</v>
      </c>
      <c r="F4189" s="2" t="str">
        <f>HYPERLINK("http://www.otzar.org/book.asp?52662","אשי יצחק")</f>
        <v>אשי יצחק</v>
      </c>
    </row>
    <row r="4190" spans="1:6" x14ac:dyDescent="0.2">
      <c r="A4190" t="s">
        <v>7918</v>
      </c>
      <c r="B4190" t="s">
        <v>7920</v>
      </c>
      <c r="C4190" t="s">
        <v>1208</v>
      </c>
      <c r="D4190" t="s">
        <v>14</v>
      </c>
      <c r="E4190" t="s">
        <v>144</v>
      </c>
      <c r="F4190" s="2" t="str">
        <f>HYPERLINK("http://www.otzar.org/book.asp?85427","אשי יצחק")</f>
        <v>אשי יצחק</v>
      </c>
    </row>
    <row r="4191" spans="1:6" x14ac:dyDescent="0.2">
      <c r="A4191" t="s">
        <v>7921</v>
      </c>
      <c r="B4191" t="s">
        <v>7922</v>
      </c>
      <c r="C4191" t="s">
        <v>1844</v>
      </c>
      <c r="D4191" t="s">
        <v>56</v>
      </c>
      <c r="E4191" t="s">
        <v>144</v>
      </c>
      <c r="F4191" s="2" t="str">
        <f>HYPERLINK("http://www.otzar.org/book.asp?181993","אשי ישראל")</f>
        <v>אשי ישראל</v>
      </c>
    </row>
    <row r="4192" spans="1:6" x14ac:dyDescent="0.2">
      <c r="A4192" t="s">
        <v>7923</v>
      </c>
      <c r="B4192" t="s">
        <v>7924</v>
      </c>
      <c r="C4192" t="s">
        <v>7925</v>
      </c>
      <c r="D4192" t="s">
        <v>5659</v>
      </c>
      <c r="E4192" t="s">
        <v>158</v>
      </c>
      <c r="F4192" s="2" t="str">
        <f>HYPERLINK("http://www.otzar.org/book.asp?24007","אשי ישראל - 2 כר'")</f>
        <v>אשי ישראל - 2 כר'</v>
      </c>
    </row>
    <row r="4193" spans="1:6" x14ac:dyDescent="0.2">
      <c r="A4193" t="s">
        <v>7926</v>
      </c>
      <c r="B4193" t="s">
        <v>7927</v>
      </c>
      <c r="C4193" t="s">
        <v>20</v>
      </c>
      <c r="D4193" t="s">
        <v>412</v>
      </c>
      <c r="E4193" t="s">
        <v>1185</v>
      </c>
      <c r="F4193" s="2" t="str">
        <f>HYPERLINK("http://www.otzar.org/book.asp?148753","אשי ישראל - במדבר, דברים")</f>
        <v>אשי ישראל - במדבר, דברים</v>
      </c>
    </row>
    <row r="4194" spans="1:6" x14ac:dyDescent="0.2">
      <c r="A4194" t="s">
        <v>7921</v>
      </c>
      <c r="B4194" t="s">
        <v>7928</v>
      </c>
      <c r="C4194" t="s">
        <v>13</v>
      </c>
      <c r="D4194" t="s">
        <v>14</v>
      </c>
      <c r="E4194" t="s">
        <v>15</v>
      </c>
      <c r="F4194" s="2" t="str">
        <f>HYPERLINK("http://www.otzar.org/book.asp?181332","אשי ישראל")</f>
        <v>אשי ישראל</v>
      </c>
    </row>
    <row r="4195" spans="1:6" x14ac:dyDescent="0.2">
      <c r="A4195" t="s">
        <v>7929</v>
      </c>
      <c r="B4195" t="s">
        <v>7930</v>
      </c>
      <c r="C4195" t="s">
        <v>313</v>
      </c>
      <c r="D4195" t="s">
        <v>52</v>
      </c>
      <c r="E4195" t="s">
        <v>219</v>
      </c>
      <c r="F4195" s="2" t="str">
        <f>HYPERLINK("http://www.otzar.org/book.asp?192255","אשי ישראל - 10 כר'")</f>
        <v>אשי ישראל - 10 כר'</v>
      </c>
    </row>
    <row r="4196" spans="1:6" x14ac:dyDescent="0.2">
      <c r="A4196" t="s">
        <v>7931</v>
      </c>
      <c r="B4196" t="s">
        <v>7932</v>
      </c>
      <c r="C4196" t="s">
        <v>244</v>
      </c>
      <c r="D4196" t="s">
        <v>152</v>
      </c>
      <c r="E4196" t="s">
        <v>172</v>
      </c>
      <c r="F4196" s="2" t="str">
        <f>HYPERLINK("http://www.otzar.org/book.asp?197464","אשי מאיר - 3 כר'")</f>
        <v>אשי מאיר - 3 כר'</v>
      </c>
    </row>
    <row r="4197" spans="1:6" x14ac:dyDescent="0.2">
      <c r="A4197" t="s">
        <v>7933</v>
      </c>
      <c r="B4197" t="s">
        <v>7934</v>
      </c>
      <c r="C4197" t="s">
        <v>462</v>
      </c>
      <c r="D4197" t="s">
        <v>27</v>
      </c>
      <c r="E4197" t="s">
        <v>7935</v>
      </c>
      <c r="F4197" s="2" t="str">
        <f>HYPERLINK("http://www.otzar.org/book.asp?13786","אשי משה")</f>
        <v>אשי משה</v>
      </c>
    </row>
    <row r="4198" spans="1:6" x14ac:dyDescent="0.2">
      <c r="A4198" t="s">
        <v>7936</v>
      </c>
      <c r="B4198" t="s">
        <v>6752</v>
      </c>
      <c r="C4198" t="s">
        <v>466</v>
      </c>
      <c r="D4198" t="s">
        <v>52</v>
      </c>
      <c r="E4198" t="s">
        <v>2071</v>
      </c>
      <c r="F4198" s="2" t="str">
        <f>HYPERLINK("http://www.otzar.org/book.asp?188867","אשיב אברהם")</f>
        <v>אשיב אברהם</v>
      </c>
    </row>
    <row r="4199" spans="1:6" x14ac:dyDescent="0.2">
      <c r="A4199" t="s">
        <v>7936</v>
      </c>
      <c r="B4199" t="s">
        <v>7937</v>
      </c>
      <c r="C4199" t="s">
        <v>1619</v>
      </c>
      <c r="D4199" t="s">
        <v>216</v>
      </c>
      <c r="E4199" t="s">
        <v>230</v>
      </c>
      <c r="F4199" s="2" t="str">
        <f>HYPERLINK("http://www.otzar.org/book.asp?84949","אשיב אברהם")</f>
        <v>אשיב אברהם</v>
      </c>
    </row>
    <row r="4200" spans="1:6" x14ac:dyDescent="0.2">
      <c r="A4200" t="s">
        <v>7938</v>
      </c>
      <c r="B4200" t="s">
        <v>686</v>
      </c>
      <c r="C4200" t="s">
        <v>244</v>
      </c>
      <c r="D4200" t="s">
        <v>80</v>
      </c>
      <c r="E4200" t="s">
        <v>3798</v>
      </c>
      <c r="F4200" s="2" t="str">
        <f>HYPERLINK("http://www.otzar.org/book.asp?606742","אשיח בפקודיך")</f>
        <v>אשיח בפקודיך</v>
      </c>
    </row>
    <row r="4201" spans="1:6" x14ac:dyDescent="0.2">
      <c r="A4201" t="s">
        <v>7938</v>
      </c>
      <c r="B4201" t="s">
        <v>7939</v>
      </c>
      <c r="C4201" t="s">
        <v>366</v>
      </c>
      <c r="D4201" t="s">
        <v>216</v>
      </c>
      <c r="E4201" t="s">
        <v>158</v>
      </c>
      <c r="F4201" s="2" t="str">
        <f>HYPERLINK("http://www.otzar.org/book.asp?617515","אשיח בפקודיך")</f>
        <v>אשיח בפקודיך</v>
      </c>
    </row>
    <row r="4202" spans="1:6" x14ac:dyDescent="0.2">
      <c r="A4202" t="s">
        <v>7940</v>
      </c>
      <c r="B4202" t="s">
        <v>4854</v>
      </c>
      <c r="C4202" t="s">
        <v>20</v>
      </c>
      <c r="D4202" t="s">
        <v>367</v>
      </c>
      <c r="E4202" t="s">
        <v>158</v>
      </c>
      <c r="F4202" s="2" t="str">
        <f>HYPERLINK("http://www.otzar.org/book.asp?605453","אשיחה בחוקיך - 5 כר'")</f>
        <v>אשיחה בחוקיך - 5 כר'</v>
      </c>
    </row>
    <row r="4203" spans="1:6" x14ac:dyDescent="0.2">
      <c r="A4203" t="s">
        <v>7941</v>
      </c>
      <c r="B4203" t="s">
        <v>7942</v>
      </c>
      <c r="C4203" t="s">
        <v>20</v>
      </c>
      <c r="D4203" t="s">
        <v>2798</v>
      </c>
      <c r="E4203" t="s">
        <v>15</v>
      </c>
      <c r="F4203" s="2" t="str">
        <f>HYPERLINK("http://www.otzar.org/book.asp?630916","אשיחה בחקיך &lt;בהלכה&gt; - 73 כר'")</f>
        <v>אשיחה בחקיך &lt;בהלכה&gt; - 73 כר'</v>
      </c>
    </row>
    <row r="4204" spans="1:6" x14ac:dyDescent="0.2">
      <c r="A4204" t="s">
        <v>7943</v>
      </c>
      <c r="B4204" t="s">
        <v>6056</v>
      </c>
      <c r="C4204" t="s">
        <v>129</v>
      </c>
      <c r="D4204" t="s">
        <v>14</v>
      </c>
      <c r="E4204" t="s">
        <v>84</v>
      </c>
      <c r="F4204" s="2" t="str">
        <f>HYPERLINK("http://www.otzar.org/book.asp?142342","אשיחה בחקיך")</f>
        <v>אשיחה בחקיך</v>
      </c>
    </row>
    <row r="4205" spans="1:6" x14ac:dyDescent="0.2">
      <c r="A4205" t="s">
        <v>7944</v>
      </c>
      <c r="B4205" t="s">
        <v>7945</v>
      </c>
      <c r="C4205" t="s">
        <v>87</v>
      </c>
      <c r="D4205" t="s">
        <v>14</v>
      </c>
      <c r="E4205" t="s">
        <v>144</v>
      </c>
      <c r="F4205" s="2" t="str">
        <f>HYPERLINK("http://www.otzar.org/book.asp?151159","אשיחה בחקיך - 9 כר'")</f>
        <v>אשיחה בחקיך - 9 כר'</v>
      </c>
    </row>
    <row r="4206" spans="1:6" x14ac:dyDescent="0.2">
      <c r="A4206" t="s">
        <v>7946</v>
      </c>
      <c r="B4206" t="s">
        <v>7942</v>
      </c>
      <c r="C4206" t="s">
        <v>151</v>
      </c>
      <c r="D4206" t="s">
        <v>2798</v>
      </c>
      <c r="E4206" t="s">
        <v>158</v>
      </c>
      <c r="F4206" s="2" t="str">
        <f>HYPERLINK("http://www.otzar.org/book.asp?622214","אשיחה בחקיך - 48 כר'")</f>
        <v>אשיחה בחקיך - 48 כר'</v>
      </c>
    </row>
    <row r="4207" spans="1:6" x14ac:dyDescent="0.2">
      <c r="A4207" t="s">
        <v>7947</v>
      </c>
      <c r="B4207" t="s">
        <v>7948</v>
      </c>
      <c r="C4207" t="s">
        <v>725</v>
      </c>
      <c r="D4207" t="s">
        <v>14</v>
      </c>
      <c r="E4207" t="s">
        <v>104</v>
      </c>
      <c r="F4207" s="2" t="str">
        <f>HYPERLINK("http://www.otzar.org/book.asp?199673","אשיחה בנפלאותיו - 2 כר'")</f>
        <v>אשיחה בנפלאותיו - 2 כר'</v>
      </c>
    </row>
    <row r="4208" spans="1:6" x14ac:dyDescent="0.2">
      <c r="A4208" t="s">
        <v>7949</v>
      </c>
      <c r="B4208" t="s">
        <v>7950</v>
      </c>
      <c r="C4208" t="s">
        <v>114</v>
      </c>
      <c r="D4208" t="s">
        <v>2319</v>
      </c>
      <c r="E4208" t="s">
        <v>158</v>
      </c>
      <c r="F4208" s="2" t="str">
        <f>HYPERLINK("http://www.otzar.org/book.asp?602842","אשיחה")</f>
        <v>אשיחה</v>
      </c>
    </row>
    <row r="4209" spans="1:6" x14ac:dyDescent="0.2">
      <c r="A4209" t="s">
        <v>7951</v>
      </c>
      <c r="B4209" t="s">
        <v>7850</v>
      </c>
      <c r="C4209" t="s">
        <v>411</v>
      </c>
      <c r="D4209" t="s">
        <v>14</v>
      </c>
      <c r="E4209" t="s">
        <v>154</v>
      </c>
      <c r="F4209" s="2" t="str">
        <f>HYPERLINK("http://www.otzar.org/book.asp?166908","אשיחה - 2 כר'")</f>
        <v>אשיחה - 2 כר'</v>
      </c>
    </row>
    <row r="4210" spans="1:6" x14ac:dyDescent="0.2">
      <c r="A4210" t="s">
        <v>7952</v>
      </c>
      <c r="B4210" t="s">
        <v>7953</v>
      </c>
      <c r="C4210" t="s">
        <v>103</v>
      </c>
      <c r="D4210" t="s">
        <v>260</v>
      </c>
      <c r="E4210" t="s">
        <v>202</v>
      </c>
      <c r="F4210" s="2" t="str">
        <f>HYPERLINK("http://www.otzar.org/book.asp?190747","אשירה לה' בחיי")</f>
        <v>אשירה לה' בחיי</v>
      </c>
    </row>
    <row r="4211" spans="1:6" x14ac:dyDescent="0.2">
      <c r="A4211" t="s">
        <v>7954</v>
      </c>
      <c r="B4211" t="s">
        <v>7955</v>
      </c>
      <c r="C4211" t="s">
        <v>1437</v>
      </c>
      <c r="D4211" t="s">
        <v>27</v>
      </c>
      <c r="E4211" t="s">
        <v>7956</v>
      </c>
      <c r="F4211" s="2" t="str">
        <f>HYPERLINK("http://www.otzar.org/book.asp?15884","אשירה לה'")</f>
        <v>אשירה לה'</v>
      </c>
    </row>
    <row r="4212" spans="1:6" x14ac:dyDescent="0.2">
      <c r="A4212" t="s">
        <v>7957</v>
      </c>
      <c r="B4212" t="s">
        <v>7958</v>
      </c>
      <c r="C4212" t="s">
        <v>244</v>
      </c>
      <c r="D4212" t="s">
        <v>90</v>
      </c>
      <c r="F4212" s="2" t="str">
        <f>HYPERLINK("http://www.otzar.org/book.asp?616171","אשירה לה' - קונטרס בעניני הלל")</f>
        <v>אשירה לה' - קונטרס בעניני הלל</v>
      </c>
    </row>
    <row r="4213" spans="1:6" x14ac:dyDescent="0.2">
      <c r="A4213" t="s">
        <v>7954</v>
      </c>
      <c r="B4213" t="s">
        <v>7959</v>
      </c>
      <c r="C4213" t="s">
        <v>133</v>
      </c>
      <c r="D4213" t="s">
        <v>21</v>
      </c>
      <c r="E4213" t="s">
        <v>104</v>
      </c>
      <c r="F4213" s="2" t="str">
        <f>HYPERLINK("http://www.otzar.org/book.asp?607267","אשירה לה'")</f>
        <v>אשירה לה'</v>
      </c>
    </row>
    <row r="4214" spans="1:6" x14ac:dyDescent="0.2">
      <c r="A4214" t="s">
        <v>7960</v>
      </c>
      <c r="B4214" t="s">
        <v>6849</v>
      </c>
      <c r="E4214" t="s">
        <v>213</v>
      </c>
      <c r="F4214" s="2" t="str">
        <f>HYPERLINK("http://www.otzar.org/book.asp?195463","אשירה עזך")</f>
        <v>אשירה עזך</v>
      </c>
    </row>
    <row r="4215" spans="1:6" x14ac:dyDescent="0.2">
      <c r="A4215" t="s">
        <v>7961</v>
      </c>
      <c r="B4215" t="s">
        <v>7962</v>
      </c>
      <c r="C4215" t="s">
        <v>114</v>
      </c>
      <c r="D4215" t="s">
        <v>14</v>
      </c>
      <c r="E4215" t="s">
        <v>474</v>
      </c>
      <c r="F4215" s="2" t="str">
        <f>HYPERLINK("http://www.otzar.org/book.asp?163215","אשירה")</f>
        <v>אשירה</v>
      </c>
    </row>
    <row r="4216" spans="1:6" x14ac:dyDescent="0.2">
      <c r="A4216" t="s">
        <v>7963</v>
      </c>
      <c r="B4216" t="s">
        <v>7964</v>
      </c>
      <c r="C4216" t="s">
        <v>244</v>
      </c>
      <c r="D4216" t="s">
        <v>14</v>
      </c>
      <c r="E4216" t="s">
        <v>144</v>
      </c>
      <c r="F4216" s="2" t="str">
        <f>HYPERLINK("http://www.otzar.org/book.asp?620480","אשישות חיים - 2 כר'")</f>
        <v>אשישות חיים - 2 כר'</v>
      </c>
    </row>
    <row r="4217" spans="1:6" x14ac:dyDescent="0.2">
      <c r="A4217" t="s">
        <v>7965</v>
      </c>
      <c r="B4217" t="s">
        <v>4679</v>
      </c>
      <c r="C4217" t="s">
        <v>143</v>
      </c>
      <c r="D4217" t="s">
        <v>118</v>
      </c>
      <c r="E4217" t="s">
        <v>104</v>
      </c>
      <c r="F4217" s="2" t="str">
        <f>HYPERLINK("http://www.otzar.org/book.asp?172323","אשכבתא דצדיקיא - 2 כר'")</f>
        <v>אשכבתא דצדיקיא - 2 כר'</v>
      </c>
    </row>
    <row r="4218" spans="1:6" x14ac:dyDescent="0.2">
      <c r="A4218" t="s">
        <v>7966</v>
      </c>
      <c r="B4218" t="s">
        <v>3371</v>
      </c>
      <c r="C4218" t="s">
        <v>185</v>
      </c>
      <c r="D4218" t="s">
        <v>14</v>
      </c>
      <c r="E4218" t="s">
        <v>234</v>
      </c>
      <c r="F4218" s="2" t="str">
        <f>HYPERLINK("http://www.otzar.org/book.asp?631201","אשכבתיה דבן מלך")</f>
        <v>אשכבתיה דבן מלך</v>
      </c>
    </row>
    <row r="4219" spans="1:6" x14ac:dyDescent="0.2">
      <c r="A4219" t="s">
        <v>7967</v>
      </c>
      <c r="B4219" t="s">
        <v>7968</v>
      </c>
      <c r="C4219" t="s">
        <v>23</v>
      </c>
      <c r="D4219" t="s">
        <v>21</v>
      </c>
      <c r="F4219" s="2" t="str">
        <f>HYPERLINK("http://www.otzar.org/book.asp?601119","אשכבתיה דרבי לוי")</f>
        <v>אשכבתיה דרבי לוי</v>
      </c>
    </row>
    <row r="4220" spans="1:6" x14ac:dyDescent="0.2">
      <c r="A4220" t="s">
        <v>7969</v>
      </c>
      <c r="B4220" t="s">
        <v>7970</v>
      </c>
      <c r="C4220" t="s">
        <v>68</v>
      </c>
      <c r="D4220" t="s">
        <v>14</v>
      </c>
      <c r="E4220" t="s">
        <v>234</v>
      </c>
      <c r="F4220" s="2" t="str">
        <f>HYPERLINK("http://www.otzar.org/book.asp?170387","אשכבתיה דרבי מאיר")</f>
        <v>אשכבתיה דרבי מאיר</v>
      </c>
    </row>
    <row r="4221" spans="1:6" x14ac:dyDescent="0.2">
      <c r="A4221" t="s">
        <v>7971</v>
      </c>
      <c r="B4221" t="s">
        <v>7972</v>
      </c>
      <c r="C4221" t="s">
        <v>940</v>
      </c>
      <c r="D4221" t="s">
        <v>52</v>
      </c>
      <c r="E4221" t="s">
        <v>234</v>
      </c>
      <c r="F4221" s="2" t="str">
        <f>HYPERLINK("http://www.otzar.org/book.asp?154227","אשכבתיה דרבי - 2 כר'")</f>
        <v>אשכבתיה דרבי - 2 כר'</v>
      </c>
    </row>
    <row r="4222" spans="1:6" x14ac:dyDescent="0.2">
      <c r="A4222" t="s">
        <v>7971</v>
      </c>
      <c r="B4222" t="s">
        <v>7973</v>
      </c>
      <c r="C4222" t="s">
        <v>51</v>
      </c>
      <c r="D4222" t="s">
        <v>7974</v>
      </c>
      <c r="E4222" t="s">
        <v>234</v>
      </c>
      <c r="F4222" s="2" t="str">
        <f>HYPERLINK("http://www.otzar.org/book.asp?190194","אשכבתיה דרבי - 2 כר'")</f>
        <v>אשכבתיה דרבי - 2 כר'</v>
      </c>
    </row>
    <row r="4223" spans="1:6" x14ac:dyDescent="0.2">
      <c r="A4223" t="s">
        <v>7975</v>
      </c>
      <c r="B4223" t="s">
        <v>7976</v>
      </c>
      <c r="C4223" t="s">
        <v>185</v>
      </c>
      <c r="D4223" t="s">
        <v>52</v>
      </c>
      <c r="E4223" t="s">
        <v>234</v>
      </c>
      <c r="F4223" s="2" t="str">
        <f>HYPERLINK("http://www.otzar.org/book.asp?628681","אשכבתיה דרבינו")</f>
        <v>אשכבתיה דרבינו</v>
      </c>
    </row>
    <row r="4224" spans="1:6" x14ac:dyDescent="0.2">
      <c r="A4224" t="s">
        <v>7977</v>
      </c>
      <c r="B4224" t="s">
        <v>7978</v>
      </c>
      <c r="C4224" t="s">
        <v>2644</v>
      </c>
      <c r="D4224" t="s">
        <v>2181</v>
      </c>
      <c r="E4224" t="s">
        <v>158</v>
      </c>
      <c r="F4224" s="2" t="str">
        <f>HYPERLINK("http://www.otzar.org/book.asp?108324","אשכול הכופר - 2 כר'")</f>
        <v>אשכול הכופר - 2 כר'</v>
      </c>
    </row>
    <row r="4225" spans="1:6" x14ac:dyDescent="0.2">
      <c r="A4225" t="s">
        <v>7979</v>
      </c>
      <c r="B4225" t="s">
        <v>7980</v>
      </c>
      <c r="C4225" t="s">
        <v>106</v>
      </c>
      <c r="D4225" t="s">
        <v>14</v>
      </c>
      <c r="E4225" t="s">
        <v>144</v>
      </c>
      <c r="F4225" s="2" t="str">
        <f>HYPERLINK("http://www.otzar.org/book.asp?103137","אשכול הסופר")</f>
        <v>אשכול הסופר</v>
      </c>
    </row>
    <row r="4226" spans="1:6" x14ac:dyDescent="0.2">
      <c r="A4226" t="s">
        <v>7981</v>
      </c>
      <c r="B4226" t="s">
        <v>7982</v>
      </c>
      <c r="C4226" t="s">
        <v>151</v>
      </c>
      <c r="D4226" t="s">
        <v>14</v>
      </c>
      <c r="F4226" s="2" t="str">
        <f>HYPERLINK("http://www.otzar.org/book.asp?616330","אשכול יוסף - 3 כר'")</f>
        <v>אשכול יוסף - 3 כר'</v>
      </c>
    </row>
    <row r="4227" spans="1:6" x14ac:dyDescent="0.2">
      <c r="A4227" t="s">
        <v>7983</v>
      </c>
      <c r="B4227" t="s">
        <v>7984</v>
      </c>
      <c r="C4227" t="s">
        <v>2227</v>
      </c>
      <c r="D4227" t="s">
        <v>283</v>
      </c>
      <c r="E4227" t="s">
        <v>474</v>
      </c>
      <c r="F4227" s="2" t="str">
        <f>HYPERLINK("http://www.otzar.org/book.asp?24008","אשכול ענבים")</f>
        <v>אשכול ענבים</v>
      </c>
    </row>
    <row r="4228" spans="1:6" x14ac:dyDescent="0.2">
      <c r="A4228" t="s">
        <v>7985</v>
      </c>
      <c r="B4228" t="s">
        <v>3292</v>
      </c>
      <c r="C4228" t="s">
        <v>1535</v>
      </c>
      <c r="D4228" t="s">
        <v>412</v>
      </c>
      <c r="E4228" t="s">
        <v>144</v>
      </c>
      <c r="F4228" s="2" t="str">
        <f>HYPERLINK("http://www.otzar.org/book.asp?51301","אשכול ענבים - תענית")</f>
        <v>אשכול ענבים - תענית</v>
      </c>
    </row>
    <row r="4229" spans="1:6" x14ac:dyDescent="0.2">
      <c r="A4229" t="s">
        <v>7986</v>
      </c>
      <c r="B4229" t="s">
        <v>7987</v>
      </c>
      <c r="C4229" t="s">
        <v>51</v>
      </c>
      <c r="D4229" t="s">
        <v>14</v>
      </c>
      <c r="E4229" t="s">
        <v>119</v>
      </c>
      <c r="F4229" s="2" t="str">
        <f>HYPERLINK("http://www.otzar.org/book.asp?191316","אשכולות תמר")</f>
        <v>אשכולות תמר</v>
      </c>
    </row>
    <row r="4230" spans="1:6" x14ac:dyDescent="0.2">
      <c r="A4230" t="s">
        <v>7988</v>
      </c>
      <c r="B4230" t="s">
        <v>7989</v>
      </c>
      <c r="C4230" t="s">
        <v>180</v>
      </c>
      <c r="D4230" t="s">
        <v>412</v>
      </c>
      <c r="E4230" t="s">
        <v>158</v>
      </c>
      <c r="F4230" s="2" t="str">
        <f>HYPERLINK("http://www.otzar.org/book.asp?7191","אשכל הכפר - 2 כר'")</f>
        <v>אשכל הכפר - 2 כר'</v>
      </c>
    </row>
    <row r="4231" spans="1:6" x14ac:dyDescent="0.2">
      <c r="A4231" t="s">
        <v>7990</v>
      </c>
      <c r="B4231" t="s">
        <v>7991</v>
      </c>
      <c r="C4231" t="s">
        <v>87</v>
      </c>
      <c r="D4231" t="s">
        <v>14</v>
      </c>
      <c r="E4231" t="s">
        <v>158</v>
      </c>
      <c r="F4231" s="2" t="str">
        <f>HYPERLINK("http://www.otzar.org/book.asp?179319","אשכלות הגפן")</f>
        <v>אשכלות הגפן</v>
      </c>
    </row>
    <row r="4232" spans="1:6" x14ac:dyDescent="0.2">
      <c r="A4232" t="s">
        <v>7990</v>
      </c>
      <c r="B4232" t="s">
        <v>7992</v>
      </c>
      <c r="C4232" t="s">
        <v>7993</v>
      </c>
      <c r="D4232" t="s">
        <v>855</v>
      </c>
      <c r="E4232" t="s">
        <v>158</v>
      </c>
      <c r="F4232" s="2" t="str">
        <f>HYPERLINK("http://www.otzar.org/book.asp?24009","אשכלות הגפן")</f>
        <v>אשכלות הגפן</v>
      </c>
    </row>
    <row r="4233" spans="1:6" x14ac:dyDescent="0.2">
      <c r="A4233" t="s">
        <v>7994</v>
      </c>
      <c r="B4233" t="s">
        <v>6053</v>
      </c>
      <c r="C4233" t="s">
        <v>1268</v>
      </c>
      <c r="D4233" t="s">
        <v>14</v>
      </c>
      <c r="E4233" t="s">
        <v>837</v>
      </c>
      <c r="F4233" s="2" t="str">
        <f>HYPERLINK("http://www.otzar.org/book.asp?156044","אשל אברהם &lt;ברכת אברהם&gt;")</f>
        <v>אשל אברהם &lt;ברכת אברהם&gt;</v>
      </c>
    </row>
    <row r="4234" spans="1:6" x14ac:dyDescent="0.2">
      <c r="A4234" t="s">
        <v>7995</v>
      </c>
      <c r="B4234" t="s">
        <v>7996</v>
      </c>
      <c r="C4234" t="s">
        <v>51</v>
      </c>
      <c r="D4234" t="s">
        <v>412</v>
      </c>
      <c r="E4234" t="s">
        <v>230</v>
      </c>
      <c r="F4234" s="2" t="str">
        <f>HYPERLINK("http://www.otzar.org/book.asp?165821","אשל אברהם עם ליקוטי צבי - 4 כר'")</f>
        <v>אשל אברהם עם ליקוטי צבי - 4 כר'</v>
      </c>
    </row>
    <row r="4235" spans="1:6" x14ac:dyDescent="0.2">
      <c r="A4235" t="s">
        <v>7997</v>
      </c>
      <c r="B4235" t="s">
        <v>7998</v>
      </c>
      <c r="C4235" t="s">
        <v>6054</v>
      </c>
      <c r="D4235" t="s">
        <v>7999</v>
      </c>
      <c r="E4235" t="s">
        <v>8000</v>
      </c>
      <c r="F4235" s="2" t="str">
        <f>HYPERLINK("http://www.otzar.org/book.asp?153636","אשל אברהם")</f>
        <v>אשל אברהם</v>
      </c>
    </row>
    <row r="4236" spans="1:6" x14ac:dyDescent="0.2">
      <c r="A4236" t="s">
        <v>7997</v>
      </c>
      <c r="B4236" t="s">
        <v>8001</v>
      </c>
      <c r="C4236" t="s">
        <v>8002</v>
      </c>
      <c r="D4236" t="s">
        <v>2303</v>
      </c>
      <c r="E4236" t="s">
        <v>399</v>
      </c>
      <c r="F4236" s="2" t="str">
        <f>HYPERLINK("http://www.otzar.org/book.asp?102868","אשל אברהם")</f>
        <v>אשל אברהם</v>
      </c>
    </row>
    <row r="4237" spans="1:6" x14ac:dyDescent="0.2">
      <c r="A4237" t="s">
        <v>7997</v>
      </c>
      <c r="B4237" t="s">
        <v>8003</v>
      </c>
      <c r="C4237" t="s">
        <v>20</v>
      </c>
      <c r="D4237" t="s">
        <v>520</v>
      </c>
      <c r="E4237" t="s">
        <v>158</v>
      </c>
      <c r="F4237" s="2" t="str">
        <f>HYPERLINK("http://www.otzar.org/book.asp?602647","אשל אברהם")</f>
        <v>אשל אברהם</v>
      </c>
    </row>
    <row r="4238" spans="1:6" x14ac:dyDescent="0.2">
      <c r="A4238" t="s">
        <v>7997</v>
      </c>
      <c r="B4238" t="s">
        <v>8004</v>
      </c>
      <c r="C4238" t="s">
        <v>2488</v>
      </c>
      <c r="D4238" t="s">
        <v>212</v>
      </c>
      <c r="E4238" t="s">
        <v>15</v>
      </c>
      <c r="F4238" s="2" t="str">
        <f>HYPERLINK("http://www.otzar.org/book.asp?19079","אשל אברהם")</f>
        <v>אשל אברהם</v>
      </c>
    </row>
    <row r="4239" spans="1:6" x14ac:dyDescent="0.2">
      <c r="A4239" t="s">
        <v>7997</v>
      </c>
      <c r="B4239" t="s">
        <v>8005</v>
      </c>
      <c r="C4239" t="s">
        <v>7422</v>
      </c>
      <c r="D4239" t="s">
        <v>322</v>
      </c>
      <c r="E4239" t="s">
        <v>144</v>
      </c>
      <c r="F4239" s="2" t="str">
        <f>HYPERLINK("http://www.otzar.org/book.asp?6683","אשל אברהם")</f>
        <v>אשל אברהם</v>
      </c>
    </row>
    <row r="4240" spans="1:6" x14ac:dyDescent="0.2">
      <c r="A4240" t="s">
        <v>7997</v>
      </c>
      <c r="B4240" t="s">
        <v>686</v>
      </c>
      <c r="C4240" t="s">
        <v>244</v>
      </c>
      <c r="D4240" t="s">
        <v>80</v>
      </c>
      <c r="E4240" t="s">
        <v>241</v>
      </c>
      <c r="F4240" s="2" t="str">
        <f>HYPERLINK("http://www.otzar.org/book.asp?606746","אשל אברהם")</f>
        <v>אשל אברהם</v>
      </c>
    </row>
    <row r="4241" spans="1:6" x14ac:dyDescent="0.2">
      <c r="A4241" t="s">
        <v>8006</v>
      </c>
      <c r="B4241" t="s">
        <v>6053</v>
      </c>
      <c r="C4241" t="s">
        <v>617</v>
      </c>
      <c r="D4241" t="s">
        <v>267</v>
      </c>
      <c r="E4241" t="s">
        <v>172</v>
      </c>
      <c r="F4241" s="2" t="str">
        <f>HYPERLINK("http://www.otzar.org/book.asp?300084","אשל אברהם - 3 כר'")</f>
        <v>אשל אברהם - 3 כר'</v>
      </c>
    </row>
    <row r="4242" spans="1:6" x14ac:dyDescent="0.2">
      <c r="A4242" t="s">
        <v>7997</v>
      </c>
      <c r="B4242" t="s">
        <v>8007</v>
      </c>
      <c r="C4242" t="s">
        <v>915</v>
      </c>
      <c r="D4242" t="s">
        <v>212</v>
      </c>
      <c r="E4242" t="s">
        <v>463</v>
      </c>
      <c r="F4242" s="2" t="str">
        <f>HYPERLINK("http://www.otzar.org/book.asp?15757","אשל אברהם")</f>
        <v>אשל אברהם</v>
      </c>
    </row>
    <row r="4243" spans="1:6" x14ac:dyDescent="0.2">
      <c r="A4243" t="s">
        <v>8008</v>
      </c>
      <c r="B4243" t="s">
        <v>4918</v>
      </c>
      <c r="C4243" t="s">
        <v>313</v>
      </c>
      <c r="D4243" t="s">
        <v>4919</v>
      </c>
      <c r="E4243" t="s">
        <v>158</v>
      </c>
      <c r="F4243" s="2" t="str">
        <f>HYPERLINK("http://www.otzar.org/book.asp?63964","אשל אברהם - 28 כר'")</f>
        <v>אשל אברהם - 28 כר'</v>
      </c>
    </row>
    <row r="4244" spans="1:6" x14ac:dyDescent="0.2">
      <c r="A4244" t="s">
        <v>8006</v>
      </c>
      <c r="B4244" t="s">
        <v>8009</v>
      </c>
      <c r="C4244" t="s">
        <v>445</v>
      </c>
      <c r="D4244" t="s">
        <v>379</v>
      </c>
      <c r="E4244" t="s">
        <v>158</v>
      </c>
      <c r="F4244" s="2" t="str">
        <f>HYPERLINK("http://www.otzar.org/book.asp?103138","אשל אברהם - 3 כר'")</f>
        <v>אשל אברהם - 3 כר'</v>
      </c>
    </row>
    <row r="4245" spans="1:6" x14ac:dyDescent="0.2">
      <c r="A4245" t="s">
        <v>8010</v>
      </c>
      <c r="B4245" t="s">
        <v>8011</v>
      </c>
      <c r="C4245" t="s">
        <v>133</v>
      </c>
      <c r="D4245" t="s">
        <v>2285</v>
      </c>
      <c r="E4245" t="s">
        <v>144</v>
      </c>
      <c r="F4245" s="2" t="str">
        <f>HYPERLINK("http://www.otzar.org/book.asp?627798","אשל אברהם - 10 כר'")</f>
        <v>אשל אברהם - 10 כר'</v>
      </c>
    </row>
    <row r="4246" spans="1:6" x14ac:dyDescent="0.2">
      <c r="A4246" t="s">
        <v>8012</v>
      </c>
      <c r="B4246" t="s">
        <v>8013</v>
      </c>
      <c r="D4246" t="s">
        <v>14</v>
      </c>
      <c r="F4246" s="2" t="str">
        <f>HYPERLINK("http://www.otzar.org/book.asp?622545","אשל אברהם - שבת קודש")</f>
        <v>אשל אברהם - שבת קודש</v>
      </c>
    </row>
    <row r="4247" spans="1:6" x14ac:dyDescent="0.2">
      <c r="A4247" t="s">
        <v>8010</v>
      </c>
      <c r="B4247" t="s">
        <v>8014</v>
      </c>
      <c r="C4247" t="s">
        <v>1663</v>
      </c>
      <c r="D4247" t="s">
        <v>260</v>
      </c>
      <c r="E4247" t="s">
        <v>1211</v>
      </c>
      <c r="F4247" s="2" t="str">
        <f>HYPERLINK("http://www.otzar.org/book.asp?159104","אשל אברהם - 10 כר'")</f>
        <v>אשל אברהם - 10 כר'</v>
      </c>
    </row>
    <row r="4248" spans="1:6" x14ac:dyDescent="0.2">
      <c r="A4248" t="s">
        <v>7997</v>
      </c>
      <c r="B4248" t="s">
        <v>8015</v>
      </c>
      <c r="C4248" t="s">
        <v>68</v>
      </c>
      <c r="D4248" t="s">
        <v>14</v>
      </c>
      <c r="E4248" t="s">
        <v>202</v>
      </c>
      <c r="F4248" s="2" t="str">
        <f>HYPERLINK("http://www.otzar.org/book.asp?164963","אשל אברהם")</f>
        <v>אשל אברהם</v>
      </c>
    </row>
    <row r="4249" spans="1:6" x14ac:dyDescent="0.2">
      <c r="A4249" t="s">
        <v>8016</v>
      </c>
      <c r="B4249" t="s">
        <v>8017</v>
      </c>
      <c r="C4249" t="s">
        <v>366</v>
      </c>
      <c r="D4249" t="s">
        <v>52</v>
      </c>
      <c r="E4249" t="s">
        <v>144</v>
      </c>
      <c r="F4249" s="2" t="str">
        <f>HYPERLINK("http://www.otzar.org/book.asp?630466","אשל ברמה - 2 כר'")</f>
        <v>אשל ברמה - 2 כר'</v>
      </c>
    </row>
    <row r="4250" spans="1:6" x14ac:dyDescent="0.2">
      <c r="A4250" t="s">
        <v>8018</v>
      </c>
      <c r="B4250" t="s">
        <v>8019</v>
      </c>
      <c r="C4250" t="s">
        <v>748</v>
      </c>
      <c r="D4250" t="s">
        <v>283</v>
      </c>
      <c r="E4250" t="s">
        <v>213</v>
      </c>
      <c r="F4250" s="2" t="str">
        <f>HYPERLINK("http://www.otzar.org/book.asp?101385","אשל ברמה")</f>
        <v>אשל ברמה</v>
      </c>
    </row>
    <row r="4251" spans="1:6" x14ac:dyDescent="0.2">
      <c r="A4251" t="s">
        <v>8020</v>
      </c>
      <c r="B4251" t="s">
        <v>8021</v>
      </c>
      <c r="C4251" t="s">
        <v>1609</v>
      </c>
      <c r="D4251" t="s">
        <v>412</v>
      </c>
      <c r="E4251" t="s">
        <v>733</v>
      </c>
      <c r="F4251" s="2" t="str">
        <f>HYPERLINK("http://www.otzar.org/book.asp?106190","אשל הגדולים")</f>
        <v>אשל הגדולים</v>
      </c>
    </row>
    <row r="4252" spans="1:6" x14ac:dyDescent="0.2">
      <c r="A4252" t="s">
        <v>8022</v>
      </c>
      <c r="B4252" t="s">
        <v>8023</v>
      </c>
      <c r="C4252" t="s">
        <v>224</v>
      </c>
      <c r="D4252" t="s">
        <v>8024</v>
      </c>
      <c r="E4252" t="s">
        <v>5712</v>
      </c>
      <c r="F4252" s="2" t="str">
        <f>HYPERLINK("http://www.otzar.org/book.asp?161087","אשל חיים")</f>
        <v>אשל חיים</v>
      </c>
    </row>
    <row r="4253" spans="1:6" x14ac:dyDescent="0.2">
      <c r="A4253" t="s">
        <v>8025</v>
      </c>
      <c r="B4253" t="s">
        <v>629</v>
      </c>
      <c r="C4253" t="s">
        <v>2970</v>
      </c>
      <c r="D4253" t="s">
        <v>5258</v>
      </c>
      <c r="E4253" t="s">
        <v>213</v>
      </c>
      <c r="F4253" s="2" t="str">
        <f>HYPERLINK("http://www.otzar.org/book.asp?83776","אשל מגדנות")</f>
        <v>אשל מגדנות</v>
      </c>
    </row>
    <row r="4254" spans="1:6" x14ac:dyDescent="0.2">
      <c r="A4254" t="s">
        <v>8026</v>
      </c>
      <c r="B4254" t="s">
        <v>253</v>
      </c>
      <c r="C4254" t="s">
        <v>1208</v>
      </c>
      <c r="D4254" t="s">
        <v>7468</v>
      </c>
      <c r="E4254" t="s">
        <v>213</v>
      </c>
      <c r="F4254" s="2" t="str">
        <f>HYPERLINK("http://www.otzar.org/book.asp?174258","אשל נתן")</f>
        <v>אשל נתן</v>
      </c>
    </row>
    <row r="4255" spans="1:6" x14ac:dyDescent="0.2">
      <c r="A4255" t="s">
        <v>8027</v>
      </c>
      <c r="B4255" t="s">
        <v>8028</v>
      </c>
      <c r="C4255" t="s">
        <v>422</v>
      </c>
      <c r="D4255" t="s">
        <v>52</v>
      </c>
      <c r="E4255" t="s">
        <v>8029</v>
      </c>
      <c r="F4255" s="2" t="str">
        <f>HYPERLINK("http://www.otzar.org/book.asp?168193","אשלם תודה לך - 2 כר'")</f>
        <v>אשלם תודה לך - 2 כר'</v>
      </c>
    </row>
    <row r="4256" spans="1:6" x14ac:dyDescent="0.2">
      <c r="A4256" t="s">
        <v>8030</v>
      </c>
      <c r="B4256" t="s">
        <v>2462</v>
      </c>
      <c r="C4256" t="s">
        <v>1150</v>
      </c>
      <c r="D4256" t="s">
        <v>76</v>
      </c>
      <c r="E4256" t="s">
        <v>1847</v>
      </c>
      <c r="F4256" s="2" t="str">
        <f>HYPERLINK("http://www.otzar.org/book.asp?104465","אשמורת הבקר")</f>
        <v>אשמורת הבקר</v>
      </c>
    </row>
    <row r="4257" spans="1:6" x14ac:dyDescent="0.2">
      <c r="A4257" t="s">
        <v>8030</v>
      </c>
      <c r="B4257" t="s">
        <v>8031</v>
      </c>
      <c r="C4257" t="s">
        <v>8032</v>
      </c>
      <c r="D4257" t="s">
        <v>1411</v>
      </c>
      <c r="F4257" s="2" t="str">
        <f>HYPERLINK("http://www.otzar.org/book.asp?164754","אשמורת הבקר")</f>
        <v>אשמורת הבקר</v>
      </c>
    </row>
    <row r="4258" spans="1:6" x14ac:dyDescent="0.2">
      <c r="A4258" t="s">
        <v>8033</v>
      </c>
      <c r="B4258" t="s">
        <v>8034</v>
      </c>
      <c r="C4258" t="s">
        <v>13</v>
      </c>
      <c r="D4258" t="s">
        <v>1076</v>
      </c>
      <c r="E4258" t="s">
        <v>8035</v>
      </c>
      <c r="F4258" s="2" t="str">
        <f>HYPERLINK("http://www.otzar.org/book.asp?161222","אשמורת הלילה - ברכות")</f>
        <v>אשמורת הלילה - ברכות</v>
      </c>
    </row>
    <row r="4259" spans="1:6" x14ac:dyDescent="0.2">
      <c r="A4259" t="s">
        <v>8036</v>
      </c>
      <c r="B4259" t="s">
        <v>4398</v>
      </c>
      <c r="C4259" t="s">
        <v>20</v>
      </c>
      <c r="D4259" t="s">
        <v>216</v>
      </c>
      <c r="E4259" t="s">
        <v>930</v>
      </c>
      <c r="F4259" s="2" t="str">
        <f>HYPERLINK("http://www.otzar.org/book.asp?63307","אשמח בהשם")</f>
        <v>אשמח בהשם</v>
      </c>
    </row>
    <row r="4260" spans="1:6" x14ac:dyDescent="0.2">
      <c r="A4260" t="s">
        <v>8037</v>
      </c>
      <c r="B4260" t="s">
        <v>8038</v>
      </c>
      <c r="C4260" t="s">
        <v>20</v>
      </c>
      <c r="D4260" t="s">
        <v>1974</v>
      </c>
      <c r="E4260" t="s">
        <v>104</v>
      </c>
      <c r="F4260" s="2" t="str">
        <f>HYPERLINK("http://www.otzar.org/book.asp?615094","אשמח בהשם - הבית היהודי")</f>
        <v>אשמח בהשם - הבית היהודי</v>
      </c>
    </row>
    <row r="4261" spans="1:6" x14ac:dyDescent="0.2">
      <c r="A4261" t="s">
        <v>8039</v>
      </c>
      <c r="B4261" t="s">
        <v>8040</v>
      </c>
      <c r="C4261" t="s">
        <v>68</v>
      </c>
      <c r="D4261" t="s">
        <v>14</v>
      </c>
      <c r="E4261" t="s">
        <v>104</v>
      </c>
      <c r="F4261" s="2" t="str">
        <f>HYPERLINK("http://www.otzar.org/book.asp?168488","אשמח בציון")</f>
        <v>אשמח בציון</v>
      </c>
    </row>
    <row r="4262" spans="1:6" x14ac:dyDescent="0.2">
      <c r="A4262" t="s">
        <v>8041</v>
      </c>
      <c r="B4262" t="s">
        <v>8042</v>
      </c>
      <c r="C4262" t="s">
        <v>23</v>
      </c>
      <c r="D4262" t="s">
        <v>14</v>
      </c>
      <c r="E4262" t="s">
        <v>148</v>
      </c>
      <c r="F4262" s="2" t="str">
        <f>HYPERLINK("http://www.otzar.org/book.asp?198019","אשמרה חוקיך")</f>
        <v>אשמרה חוקיך</v>
      </c>
    </row>
    <row r="4263" spans="1:6" x14ac:dyDescent="0.2">
      <c r="A4263" t="s">
        <v>8043</v>
      </c>
      <c r="B4263" t="s">
        <v>8042</v>
      </c>
      <c r="C4263" t="s">
        <v>411</v>
      </c>
      <c r="D4263" t="s">
        <v>14</v>
      </c>
      <c r="E4263" t="s">
        <v>172</v>
      </c>
      <c r="F4263" s="2" t="str">
        <f>HYPERLINK("http://www.otzar.org/book.asp?164818","אשמרה לפי - 2 כר'")</f>
        <v>אשמרה לפי - 2 כר'</v>
      </c>
    </row>
    <row r="4264" spans="1:6" x14ac:dyDescent="0.2">
      <c r="A4264" t="s">
        <v>8044</v>
      </c>
      <c r="B4264" t="s">
        <v>8042</v>
      </c>
      <c r="C4264" t="s">
        <v>51</v>
      </c>
      <c r="D4264" t="s">
        <v>14</v>
      </c>
      <c r="E4264" t="s">
        <v>148</v>
      </c>
      <c r="F4264" s="2" t="str">
        <f>HYPERLINK("http://www.otzar.org/book.asp?51871","אשמרה שבת - 2 כר'")</f>
        <v>אשמרה שבת - 2 כר'</v>
      </c>
    </row>
    <row r="4265" spans="1:6" x14ac:dyDescent="0.2">
      <c r="A4265" t="s">
        <v>8044</v>
      </c>
      <c r="B4265" t="s">
        <v>8045</v>
      </c>
      <c r="C4265" t="s">
        <v>111</v>
      </c>
      <c r="F4265" s="2" t="str">
        <f>HYPERLINK("http://www.otzar.org/book.asp?623051","אשמרה שבת - 2 כר'")</f>
        <v>אשמרה שבת - 2 כר'</v>
      </c>
    </row>
    <row r="4266" spans="1:6" x14ac:dyDescent="0.2">
      <c r="A4266" t="s">
        <v>8046</v>
      </c>
      <c r="B4266" t="s">
        <v>1275</v>
      </c>
      <c r="C4266" t="s">
        <v>411</v>
      </c>
      <c r="D4266" t="s">
        <v>14</v>
      </c>
      <c r="E4266" t="s">
        <v>104</v>
      </c>
      <c r="F4266" s="2" t="str">
        <f>HYPERLINK("http://www.otzar.org/book.asp?172864","אשמרנה בכל לב")</f>
        <v>אשמרנה בכל לב</v>
      </c>
    </row>
    <row r="4267" spans="1:6" x14ac:dyDescent="0.2">
      <c r="A4267" t="s">
        <v>8047</v>
      </c>
      <c r="B4267" t="s">
        <v>8048</v>
      </c>
      <c r="C4267" t="s">
        <v>313</v>
      </c>
      <c r="D4267" t="s">
        <v>14</v>
      </c>
      <c r="E4267" t="s">
        <v>8049</v>
      </c>
      <c r="F4267" s="2" t="str">
        <f>HYPERLINK("http://www.otzar.org/book.asp?6367","אשנב ליהדות")</f>
        <v>אשנב ליהדות</v>
      </c>
    </row>
    <row r="4268" spans="1:6" x14ac:dyDescent="0.2">
      <c r="A4268" t="s">
        <v>8050</v>
      </c>
      <c r="B4268" t="s">
        <v>8051</v>
      </c>
      <c r="C4268" t="s">
        <v>129</v>
      </c>
      <c r="D4268" t="s">
        <v>14</v>
      </c>
      <c r="E4268" t="s">
        <v>4656</v>
      </c>
      <c r="F4268" s="2" t="str">
        <f>HYPERLINK("http://www.otzar.org/book.asp?182260","אשפוך את לבי")</f>
        <v>אשפוך את לבי</v>
      </c>
    </row>
    <row r="4269" spans="1:6" x14ac:dyDescent="0.2">
      <c r="A4269" t="s">
        <v>8052</v>
      </c>
      <c r="B4269" t="s">
        <v>8053</v>
      </c>
      <c r="C4269" t="s">
        <v>989</v>
      </c>
      <c r="D4269" t="s">
        <v>14</v>
      </c>
      <c r="E4269" t="s">
        <v>130</v>
      </c>
      <c r="F4269" s="2" t="str">
        <f>HYPERLINK("http://www.otzar.org/book.asp?625456","אשפרת בטון בשבת")</f>
        <v>אשפרת בטון בשבת</v>
      </c>
    </row>
    <row r="4270" spans="1:6" x14ac:dyDescent="0.2">
      <c r="A4270" t="s">
        <v>8054</v>
      </c>
      <c r="B4270" t="s">
        <v>8055</v>
      </c>
      <c r="C4270" t="s">
        <v>244</v>
      </c>
      <c r="D4270" t="s">
        <v>139</v>
      </c>
      <c r="E4270" t="s">
        <v>15</v>
      </c>
      <c r="F4270" s="2" t="str">
        <f>HYPERLINK("http://www.otzar.org/book.asp?199638","אשקך מיין - 3 כר'")</f>
        <v>אשקך מיין - 3 כר'</v>
      </c>
    </row>
    <row r="4271" spans="1:6" x14ac:dyDescent="0.2">
      <c r="A4271" t="s">
        <v>8056</v>
      </c>
      <c r="B4271" t="s">
        <v>8057</v>
      </c>
      <c r="C4271" t="s">
        <v>366</v>
      </c>
      <c r="E4271" t="s">
        <v>144</v>
      </c>
      <c r="F4271" s="2" t="str">
        <f>HYPERLINK("http://www.otzar.org/book.asp?604064","אשר בדברו")</f>
        <v>אשר בדברו</v>
      </c>
    </row>
    <row r="4272" spans="1:6" x14ac:dyDescent="0.2">
      <c r="A4272" t="s">
        <v>8058</v>
      </c>
      <c r="B4272" t="s">
        <v>8059</v>
      </c>
      <c r="C4272" t="s">
        <v>411</v>
      </c>
      <c r="D4272" t="s">
        <v>1511</v>
      </c>
      <c r="E4272" t="s">
        <v>241</v>
      </c>
      <c r="F4272" s="2" t="str">
        <f>HYPERLINK("http://www.otzar.org/book.asp?608925","אשר בחר בנו")</f>
        <v>אשר בחר בנו</v>
      </c>
    </row>
    <row r="4273" spans="1:6" x14ac:dyDescent="0.2">
      <c r="A4273" t="s">
        <v>8060</v>
      </c>
      <c r="B4273" t="s">
        <v>2885</v>
      </c>
      <c r="C4273" t="s">
        <v>143</v>
      </c>
      <c r="D4273" t="s">
        <v>14</v>
      </c>
      <c r="E4273" t="s">
        <v>703</v>
      </c>
      <c r="F4273" s="2" t="str">
        <f>HYPERLINK("http://www.otzar.org/book.asp?60970","אשר בנחל - 118 כר'")</f>
        <v>אשר בנחל - 118 כר'</v>
      </c>
    </row>
    <row r="4274" spans="1:6" x14ac:dyDescent="0.2">
      <c r="A4274" t="s">
        <v>8061</v>
      </c>
      <c r="B4274" t="s">
        <v>2802</v>
      </c>
      <c r="C4274" t="s">
        <v>13</v>
      </c>
      <c r="D4274" t="s">
        <v>21</v>
      </c>
      <c r="E4274" t="s">
        <v>104</v>
      </c>
      <c r="F4274" s="2" t="str">
        <f>HYPERLINK("http://www.otzar.org/book.asp?196772","אשר החזקתי בימינו")</f>
        <v>אשר החזקתי בימינו</v>
      </c>
    </row>
    <row r="4275" spans="1:6" x14ac:dyDescent="0.2">
      <c r="A4275" t="s">
        <v>8062</v>
      </c>
      <c r="B4275" t="s">
        <v>8063</v>
      </c>
      <c r="C4275" t="s">
        <v>129</v>
      </c>
      <c r="D4275" t="s">
        <v>14</v>
      </c>
      <c r="E4275" t="s">
        <v>130</v>
      </c>
      <c r="F4275" s="2" t="str">
        <f>HYPERLINK("http://www.otzar.org/book.asp?172079","אשר החלו לעשות")</f>
        <v>אשר החלו לעשות</v>
      </c>
    </row>
    <row r="4276" spans="1:6" x14ac:dyDescent="0.2">
      <c r="A4276" t="s">
        <v>8064</v>
      </c>
      <c r="B4276" t="s">
        <v>8065</v>
      </c>
      <c r="C4276" t="s">
        <v>244</v>
      </c>
      <c r="D4276" t="s">
        <v>412</v>
      </c>
      <c r="E4276" t="s">
        <v>15</v>
      </c>
      <c r="F4276" s="2" t="str">
        <f>HYPERLINK("http://www.otzar.org/book.asp?600132","אשר חנן")</f>
        <v>אשר חנן</v>
      </c>
    </row>
    <row r="4277" spans="1:6" x14ac:dyDescent="0.2">
      <c r="A4277" t="s">
        <v>8066</v>
      </c>
      <c r="B4277" t="s">
        <v>5747</v>
      </c>
      <c r="C4277" t="s">
        <v>103</v>
      </c>
      <c r="D4277" t="s">
        <v>1974</v>
      </c>
      <c r="E4277" t="s">
        <v>154</v>
      </c>
      <c r="F4277" s="2" t="str">
        <f>HYPERLINK("http://www.otzar.org/book.asp?156059","אשר חנן - 6 כר'")</f>
        <v>אשר חנן - 6 כר'</v>
      </c>
    </row>
    <row r="4278" spans="1:6" x14ac:dyDescent="0.2">
      <c r="A4278" t="s">
        <v>8067</v>
      </c>
      <c r="B4278" t="s">
        <v>8068</v>
      </c>
      <c r="C4278" t="s">
        <v>366</v>
      </c>
      <c r="E4278" t="s">
        <v>144</v>
      </c>
      <c r="F4278" s="2" t="str">
        <f>HYPERLINK("http://www.otzar.org/book.asp?618763","אשר חנן - גיטין קידושין")</f>
        <v>אשר חנן - גיטין קידושין</v>
      </c>
    </row>
    <row r="4279" spans="1:6" x14ac:dyDescent="0.2">
      <c r="A4279" t="s">
        <v>8069</v>
      </c>
      <c r="B4279" t="s">
        <v>8070</v>
      </c>
      <c r="C4279" t="s">
        <v>111</v>
      </c>
      <c r="D4279" t="s">
        <v>152</v>
      </c>
      <c r="E4279" t="s">
        <v>104</v>
      </c>
      <c r="F4279" s="2" t="str">
        <f>HYPERLINK("http://www.otzar.org/book.asp?628001","אשר יבחר")</f>
        <v>אשר יבחר</v>
      </c>
    </row>
    <row r="4280" spans="1:6" x14ac:dyDescent="0.2">
      <c r="A4280" t="s">
        <v>8071</v>
      </c>
      <c r="B4280" t="s">
        <v>8072</v>
      </c>
      <c r="C4280" t="s">
        <v>133</v>
      </c>
      <c r="D4280" t="s">
        <v>14</v>
      </c>
      <c r="E4280" t="s">
        <v>104</v>
      </c>
      <c r="F4280" s="2" t="str">
        <f>HYPERLINK("http://www.otzar.org/book.asp?170773","אשר יצוה - חינוך")</f>
        <v>אשר יצוה - חינוך</v>
      </c>
    </row>
    <row r="4281" spans="1:6" x14ac:dyDescent="0.2">
      <c r="A4281" t="s">
        <v>8073</v>
      </c>
      <c r="B4281" t="s">
        <v>8074</v>
      </c>
      <c r="C4281" t="s">
        <v>395</v>
      </c>
      <c r="D4281" t="s">
        <v>157</v>
      </c>
      <c r="E4281" t="s">
        <v>8075</v>
      </c>
      <c r="F4281" s="2" t="str">
        <f>HYPERLINK("http://www.otzar.org/book.asp?17251","אשר לאברהם")</f>
        <v>אשר לאברהם</v>
      </c>
    </row>
    <row r="4282" spans="1:6" x14ac:dyDescent="0.2">
      <c r="A4282" t="s">
        <v>8076</v>
      </c>
      <c r="B4282" t="s">
        <v>8077</v>
      </c>
      <c r="C4282" t="s">
        <v>411</v>
      </c>
      <c r="D4282" t="s">
        <v>2798</v>
      </c>
      <c r="E4282" t="s">
        <v>158</v>
      </c>
      <c r="F4282" s="2" t="str">
        <f>HYPERLINK("http://www.otzar.org/book.asp?195577","אשר לדוד")</f>
        <v>אשר לדוד</v>
      </c>
    </row>
    <row r="4283" spans="1:6" x14ac:dyDescent="0.2">
      <c r="A4283" t="s">
        <v>8076</v>
      </c>
      <c r="B4283" t="s">
        <v>8078</v>
      </c>
      <c r="C4283" t="s">
        <v>1124</v>
      </c>
      <c r="D4283" t="s">
        <v>212</v>
      </c>
      <c r="E4283" t="s">
        <v>8079</v>
      </c>
      <c r="F4283" s="2" t="str">
        <f>HYPERLINK("http://www.otzar.org/book.asp?17252","אשר לדוד")</f>
        <v>אשר לדוד</v>
      </c>
    </row>
    <row r="4284" spans="1:6" x14ac:dyDescent="0.2">
      <c r="A4284" t="s">
        <v>8080</v>
      </c>
      <c r="B4284" t="s">
        <v>8081</v>
      </c>
      <c r="C4284" t="s">
        <v>37</v>
      </c>
      <c r="D4284" t="s">
        <v>52</v>
      </c>
      <c r="E4284" t="s">
        <v>158</v>
      </c>
      <c r="F4284" s="2" t="str">
        <f>HYPERLINK("http://www.otzar.org/book.asp?181854","אשר ליהודה")</f>
        <v>אשר ליהודה</v>
      </c>
    </row>
    <row r="4285" spans="1:6" x14ac:dyDescent="0.2">
      <c r="A4285" t="s">
        <v>8082</v>
      </c>
      <c r="B4285" t="s">
        <v>8083</v>
      </c>
      <c r="C4285" t="s">
        <v>785</v>
      </c>
      <c r="D4285" t="s">
        <v>14</v>
      </c>
      <c r="E4285" t="s">
        <v>15</v>
      </c>
      <c r="F4285" s="2" t="str">
        <f>HYPERLINK("http://www.otzar.org/book.asp?180760","אשר למלך - 4 כר'")</f>
        <v>אשר למלך - 4 כר'</v>
      </c>
    </row>
    <row r="4286" spans="1:6" x14ac:dyDescent="0.2">
      <c r="A4286" t="s">
        <v>8084</v>
      </c>
      <c r="B4286" t="s">
        <v>8085</v>
      </c>
      <c r="C4286" t="s">
        <v>1284</v>
      </c>
      <c r="D4286" t="s">
        <v>27</v>
      </c>
      <c r="E4286" t="s">
        <v>154</v>
      </c>
      <c r="F4286" s="2" t="str">
        <f>HYPERLINK("http://www.otzar.org/book.asp?100189","אשר לשלמה")</f>
        <v>אשר לשלמה</v>
      </c>
    </row>
    <row r="4287" spans="1:6" x14ac:dyDescent="0.2">
      <c r="A4287" t="s">
        <v>8086</v>
      </c>
      <c r="B4287" t="s">
        <v>8087</v>
      </c>
      <c r="C4287" t="s">
        <v>114</v>
      </c>
      <c r="D4287" t="s">
        <v>52</v>
      </c>
      <c r="E4287" t="s">
        <v>144</v>
      </c>
      <c r="F4287" s="2" t="str">
        <f>HYPERLINK("http://www.otzar.org/book.asp?165534","אשר לשלמה - 16 כר'")</f>
        <v>אשר לשלמה - 16 כר'</v>
      </c>
    </row>
    <row r="4288" spans="1:6" x14ac:dyDescent="0.2">
      <c r="A4288" t="s">
        <v>8088</v>
      </c>
      <c r="B4288" t="s">
        <v>5262</v>
      </c>
      <c r="C4288" t="s">
        <v>13</v>
      </c>
      <c r="D4288" t="s">
        <v>412</v>
      </c>
      <c r="E4288" t="s">
        <v>158</v>
      </c>
      <c r="F4288" s="2" t="str">
        <f>HYPERLINK("http://www.otzar.org/book.asp?63628","אשר לשלמה - שיר השירים, משלי, קהלת")</f>
        <v>אשר לשלמה - שיר השירים, משלי, קהלת</v>
      </c>
    </row>
    <row r="4289" spans="1:6" x14ac:dyDescent="0.2">
      <c r="A4289" t="s">
        <v>8084</v>
      </c>
      <c r="B4289" t="s">
        <v>8089</v>
      </c>
      <c r="C4289" t="s">
        <v>286</v>
      </c>
      <c r="D4289" t="s">
        <v>610</v>
      </c>
      <c r="E4289" t="s">
        <v>154</v>
      </c>
      <c r="F4289" s="2" t="str">
        <f>HYPERLINK("http://www.otzar.org/book.asp?17253","אשר לשלמה")</f>
        <v>אשר לשלמה</v>
      </c>
    </row>
    <row r="4290" spans="1:6" x14ac:dyDescent="0.2">
      <c r="A4290" t="s">
        <v>8084</v>
      </c>
      <c r="B4290" t="s">
        <v>8090</v>
      </c>
      <c r="C4290" t="s">
        <v>168</v>
      </c>
      <c r="D4290" t="s">
        <v>52</v>
      </c>
      <c r="E4290" t="s">
        <v>930</v>
      </c>
      <c r="F4290" s="2" t="str">
        <f>HYPERLINK("http://www.otzar.org/book.asp?144310","אשר לשלמה")</f>
        <v>אשר לשלמה</v>
      </c>
    </row>
    <row r="4291" spans="1:6" x14ac:dyDescent="0.2">
      <c r="A4291" t="s">
        <v>8084</v>
      </c>
      <c r="B4291" t="s">
        <v>8091</v>
      </c>
      <c r="C4291" t="s">
        <v>1124</v>
      </c>
      <c r="D4291" t="s">
        <v>157</v>
      </c>
      <c r="E4291" t="s">
        <v>2018</v>
      </c>
      <c r="F4291" s="2" t="str">
        <f>HYPERLINK("http://www.otzar.org/book.asp?100278","אשר לשלמה")</f>
        <v>אשר לשלמה</v>
      </c>
    </row>
    <row r="4292" spans="1:6" x14ac:dyDescent="0.2">
      <c r="A4292" t="s">
        <v>8084</v>
      </c>
      <c r="B4292" t="s">
        <v>8092</v>
      </c>
      <c r="C4292" t="s">
        <v>23</v>
      </c>
      <c r="D4292" t="s">
        <v>14</v>
      </c>
      <c r="E4292" t="s">
        <v>15</v>
      </c>
      <c r="F4292" s="2" t="str">
        <f>HYPERLINK("http://www.otzar.org/book.asp?606417","אשר לשלמה")</f>
        <v>אשר לשלמה</v>
      </c>
    </row>
    <row r="4293" spans="1:6" x14ac:dyDescent="0.2">
      <c r="A4293" t="s">
        <v>8093</v>
      </c>
      <c r="B4293" t="s">
        <v>8094</v>
      </c>
      <c r="C4293" t="s">
        <v>422</v>
      </c>
      <c r="D4293" t="s">
        <v>14</v>
      </c>
      <c r="E4293" t="s">
        <v>144</v>
      </c>
      <c r="F4293" s="2" t="str">
        <f>HYPERLINK("http://www.otzar.org/book.asp?162829","אשר לשלמה - חולין")</f>
        <v>אשר לשלמה - חולין</v>
      </c>
    </row>
    <row r="4294" spans="1:6" x14ac:dyDescent="0.2">
      <c r="A4294" t="s">
        <v>8095</v>
      </c>
      <c r="B4294" t="s">
        <v>8096</v>
      </c>
      <c r="C4294" t="s">
        <v>366</v>
      </c>
      <c r="D4294" t="s">
        <v>90</v>
      </c>
      <c r="E4294" t="s">
        <v>230</v>
      </c>
      <c r="F4294" s="2" t="str">
        <f>HYPERLINK("http://www.otzar.org/book.asp?608427","אשר לשמואל")</f>
        <v>אשר לשמואל</v>
      </c>
    </row>
    <row r="4295" spans="1:6" x14ac:dyDescent="0.2">
      <c r="A4295" t="s">
        <v>8097</v>
      </c>
      <c r="B4295" t="s">
        <v>8098</v>
      </c>
      <c r="C4295" t="s">
        <v>146</v>
      </c>
      <c r="D4295" t="s">
        <v>52</v>
      </c>
      <c r="E4295" t="s">
        <v>158</v>
      </c>
      <c r="F4295" s="2" t="str">
        <f>HYPERLINK("http://www.otzar.org/book.asp?61702","אשר על הפרשה - 5 כר'")</f>
        <v>אשר על הפרשה - 5 כר'</v>
      </c>
    </row>
    <row r="4296" spans="1:6" x14ac:dyDescent="0.2">
      <c r="A4296" t="s">
        <v>8099</v>
      </c>
      <c r="B4296" t="s">
        <v>8100</v>
      </c>
      <c r="C4296" t="s">
        <v>151</v>
      </c>
      <c r="D4296" t="s">
        <v>367</v>
      </c>
      <c r="F4296" s="2" t="str">
        <f>HYPERLINK("http://www.otzar.org/book.asp?622988","אשר צפנת")</f>
        <v>אשר צפנת</v>
      </c>
    </row>
    <row r="4297" spans="1:6" x14ac:dyDescent="0.2">
      <c r="A4297" t="s">
        <v>8101</v>
      </c>
      <c r="B4297" t="s">
        <v>4402</v>
      </c>
      <c r="C4297" t="s">
        <v>189</v>
      </c>
      <c r="D4297" t="s">
        <v>14</v>
      </c>
      <c r="E4297" t="s">
        <v>15</v>
      </c>
      <c r="F4297" s="2" t="str">
        <f>HYPERLINK("http://www.otzar.org/book.asp?189570","אשר קדשנו במצותיו")</f>
        <v>אשר קדשנו במצותיו</v>
      </c>
    </row>
    <row r="4298" spans="1:6" x14ac:dyDescent="0.2">
      <c r="A4298" t="s">
        <v>8102</v>
      </c>
      <c r="B4298" t="s">
        <v>8070</v>
      </c>
      <c r="C4298" t="s">
        <v>111</v>
      </c>
      <c r="D4298" t="s">
        <v>152</v>
      </c>
      <c r="E4298" t="s">
        <v>104</v>
      </c>
      <c r="F4298" s="2" t="str">
        <f>HYPERLINK("http://www.otzar.org/book.asp?630310","אשר קדשנו")</f>
        <v>אשר קדשנו</v>
      </c>
    </row>
    <row r="4299" spans="1:6" x14ac:dyDescent="0.2">
      <c r="A4299" t="s">
        <v>8103</v>
      </c>
      <c r="B4299" t="s">
        <v>5293</v>
      </c>
      <c r="C4299" t="s">
        <v>151</v>
      </c>
      <c r="D4299" t="s">
        <v>14</v>
      </c>
      <c r="F4299" s="2" t="str">
        <f>HYPERLINK("http://www.otzar.org/book.asp?614841","אשרי האיש")</f>
        <v>אשרי האיש</v>
      </c>
    </row>
    <row r="4300" spans="1:6" x14ac:dyDescent="0.2">
      <c r="A4300" t="s">
        <v>8104</v>
      </c>
      <c r="B4300" t="s">
        <v>8105</v>
      </c>
      <c r="C4300" t="s">
        <v>244</v>
      </c>
      <c r="D4300" t="s">
        <v>14</v>
      </c>
      <c r="E4300" t="s">
        <v>15</v>
      </c>
      <c r="F4300" s="2" t="str">
        <f>HYPERLINK("http://www.otzar.org/book.asp?608331","אשרי האיש - 2 כר'")</f>
        <v>אשרי האיש - 2 כר'</v>
      </c>
    </row>
    <row r="4301" spans="1:6" x14ac:dyDescent="0.2">
      <c r="A4301" t="s">
        <v>8103</v>
      </c>
      <c r="B4301" t="s">
        <v>8106</v>
      </c>
      <c r="C4301" t="s">
        <v>114</v>
      </c>
      <c r="D4301" t="s">
        <v>14</v>
      </c>
      <c r="F4301" s="2" t="str">
        <f>HYPERLINK("http://www.otzar.org/book.asp?611727","אשרי האיש")</f>
        <v>אשרי האיש</v>
      </c>
    </row>
    <row r="4302" spans="1:6" x14ac:dyDescent="0.2">
      <c r="A4302" t="s">
        <v>8103</v>
      </c>
      <c r="B4302" t="s">
        <v>1809</v>
      </c>
      <c r="C4302" t="s">
        <v>8</v>
      </c>
      <c r="D4302" t="s">
        <v>27</v>
      </c>
      <c r="E4302" t="s">
        <v>8107</v>
      </c>
      <c r="F4302" s="2" t="str">
        <f>HYPERLINK("http://www.otzar.org/book.asp?15871","אשרי האיש")</f>
        <v>אשרי האיש</v>
      </c>
    </row>
    <row r="4303" spans="1:6" x14ac:dyDescent="0.2">
      <c r="A4303" t="s">
        <v>8108</v>
      </c>
      <c r="B4303" t="s">
        <v>8109</v>
      </c>
      <c r="C4303" t="s">
        <v>422</v>
      </c>
      <c r="D4303" t="s">
        <v>412</v>
      </c>
      <c r="E4303" t="s">
        <v>230</v>
      </c>
      <c r="F4303" s="2" t="str">
        <f>HYPERLINK("http://www.otzar.org/book.asp?166240","אשרי לב")</f>
        <v>אשרי לב</v>
      </c>
    </row>
    <row r="4304" spans="1:6" x14ac:dyDescent="0.2">
      <c r="A4304" t="s">
        <v>8110</v>
      </c>
      <c r="B4304" t="s">
        <v>5634</v>
      </c>
      <c r="C4304" t="s">
        <v>13</v>
      </c>
      <c r="D4304" t="s">
        <v>52</v>
      </c>
      <c r="E4304" t="s">
        <v>104</v>
      </c>
      <c r="F4304" s="2" t="str">
        <f>HYPERLINK("http://www.otzar.org/book.asp?145311","אשרי מי שגדל בתורה - 2 כר'")</f>
        <v>אשרי מי שגדל בתורה - 2 כר'</v>
      </c>
    </row>
    <row r="4305" spans="1:6" x14ac:dyDescent="0.2">
      <c r="A4305" t="s">
        <v>8111</v>
      </c>
      <c r="B4305" t="s">
        <v>8112</v>
      </c>
      <c r="C4305" t="s">
        <v>411</v>
      </c>
      <c r="D4305" t="s">
        <v>8113</v>
      </c>
      <c r="F4305" s="2" t="str">
        <f>HYPERLINK("http://www.otzar.org/book.asp?85865","אשרי משכיל - 2 כר'")</f>
        <v>אשרי משכיל - 2 כר'</v>
      </c>
    </row>
    <row r="4306" spans="1:6" x14ac:dyDescent="0.2">
      <c r="A4306" t="s">
        <v>8114</v>
      </c>
      <c r="B4306" t="s">
        <v>8115</v>
      </c>
      <c r="C4306" t="s">
        <v>20</v>
      </c>
      <c r="D4306" t="s">
        <v>90</v>
      </c>
      <c r="E4306" t="s">
        <v>234</v>
      </c>
      <c r="F4306" s="2" t="str">
        <f>HYPERLINK("http://www.otzar.org/book.asp?600032","אשרי תמימי דרך")</f>
        <v>אשרי תמימי דרך</v>
      </c>
    </row>
    <row r="4307" spans="1:6" x14ac:dyDescent="0.2">
      <c r="A4307" t="s">
        <v>8116</v>
      </c>
      <c r="B4307" t="s">
        <v>8117</v>
      </c>
      <c r="C4307" t="s">
        <v>37</v>
      </c>
      <c r="D4307" t="s">
        <v>52</v>
      </c>
      <c r="E4307" t="s">
        <v>104</v>
      </c>
      <c r="F4307" s="2" t="str">
        <f>HYPERLINK("http://www.otzar.org/book.asp?192815","אשריך ישראל")</f>
        <v>אשריך ישראל</v>
      </c>
    </row>
    <row r="4308" spans="1:6" x14ac:dyDescent="0.2">
      <c r="A4308" t="s">
        <v>8118</v>
      </c>
      <c r="B4308" t="s">
        <v>8119</v>
      </c>
      <c r="C4308" t="s">
        <v>244</v>
      </c>
      <c r="D4308" t="s">
        <v>412</v>
      </c>
      <c r="E4308" t="s">
        <v>15</v>
      </c>
      <c r="F4308" s="2" t="str">
        <f>HYPERLINK("http://www.otzar.org/book.asp?606324","אשריכם ישראל")</f>
        <v>אשריכם ישראל</v>
      </c>
    </row>
    <row r="4309" spans="1:6" x14ac:dyDescent="0.2">
      <c r="A4309" t="s">
        <v>8118</v>
      </c>
      <c r="B4309" t="s">
        <v>8120</v>
      </c>
      <c r="C4309" t="s">
        <v>20</v>
      </c>
      <c r="D4309" t="s">
        <v>52</v>
      </c>
      <c r="E4309" t="s">
        <v>1174</v>
      </c>
      <c r="F4309" s="2" t="str">
        <f>HYPERLINK("http://www.otzar.org/book.asp?162391","אשריכם ישראל")</f>
        <v>אשריכם ישראל</v>
      </c>
    </row>
    <row r="4310" spans="1:6" x14ac:dyDescent="0.2">
      <c r="A4310" t="s">
        <v>8121</v>
      </c>
      <c r="B4310" t="s">
        <v>8122</v>
      </c>
      <c r="C4310" t="s">
        <v>523</v>
      </c>
      <c r="D4310" t="s">
        <v>52</v>
      </c>
      <c r="E4310" t="s">
        <v>241</v>
      </c>
      <c r="F4310" s="2" t="str">
        <f>HYPERLINK("http://www.otzar.org/book.asp?189424","אשת חיל")</f>
        <v>אשת חיל</v>
      </c>
    </row>
    <row r="4311" spans="1:6" x14ac:dyDescent="0.2">
      <c r="A4311" t="s">
        <v>8121</v>
      </c>
      <c r="B4311" t="s">
        <v>8123</v>
      </c>
      <c r="C4311" t="s">
        <v>313</v>
      </c>
      <c r="D4311" t="s">
        <v>14</v>
      </c>
      <c r="E4311" t="s">
        <v>158</v>
      </c>
      <c r="F4311" s="2" t="str">
        <f>HYPERLINK("http://www.otzar.org/book.asp?620261","אשת חיל")</f>
        <v>אשת חיל</v>
      </c>
    </row>
    <row r="4312" spans="1:6" x14ac:dyDescent="0.2">
      <c r="A4312" t="s">
        <v>8121</v>
      </c>
      <c r="B4312" t="s">
        <v>8124</v>
      </c>
      <c r="C4312" t="s">
        <v>366</v>
      </c>
      <c r="D4312" t="s">
        <v>52</v>
      </c>
      <c r="F4312" s="2" t="str">
        <f>HYPERLINK("http://www.otzar.org/book.asp?609541","אשת חיל")</f>
        <v>אשת חיל</v>
      </c>
    </row>
    <row r="4313" spans="1:6" x14ac:dyDescent="0.2">
      <c r="A4313" t="s">
        <v>8121</v>
      </c>
      <c r="B4313" t="s">
        <v>8125</v>
      </c>
      <c r="C4313" t="s">
        <v>68</v>
      </c>
      <c r="D4313" t="s">
        <v>90</v>
      </c>
      <c r="E4313" t="s">
        <v>5392</v>
      </c>
      <c r="F4313" s="2" t="str">
        <f>HYPERLINK("http://www.otzar.org/book.asp?160124","אשת חיל")</f>
        <v>אשת חיל</v>
      </c>
    </row>
    <row r="4314" spans="1:6" x14ac:dyDescent="0.2">
      <c r="A4314" t="s">
        <v>8121</v>
      </c>
      <c r="B4314" t="s">
        <v>8126</v>
      </c>
      <c r="C4314" t="s">
        <v>71</v>
      </c>
      <c r="D4314" t="s">
        <v>21</v>
      </c>
      <c r="E4314" t="s">
        <v>104</v>
      </c>
      <c r="F4314" s="2" t="str">
        <f>HYPERLINK("http://www.otzar.org/book.asp?191226","אשת חיל")</f>
        <v>אשת חיל</v>
      </c>
    </row>
    <row r="4315" spans="1:6" x14ac:dyDescent="0.2">
      <c r="A4315" t="s">
        <v>8121</v>
      </c>
      <c r="B4315" t="s">
        <v>8127</v>
      </c>
      <c r="C4315" t="s">
        <v>533</v>
      </c>
      <c r="D4315" t="s">
        <v>52</v>
      </c>
      <c r="E4315" t="s">
        <v>158</v>
      </c>
      <c r="F4315" s="2" t="str">
        <f>HYPERLINK("http://www.otzar.org/book.asp?142785","אשת חיל")</f>
        <v>אשת חיל</v>
      </c>
    </row>
    <row r="4316" spans="1:6" x14ac:dyDescent="0.2">
      <c r="A4316" t="s">
        <v>8121</v>
      </c>
      <c r="B4316" t="s">
        <v>8128</v>
      </c>
      <c r="C4316" t="s">
        <v>313</v>
      </c>
      <c r="D4316" t="s">
        <v>90</v>
      </c>
      <c r="E4316" t="s">
        <v>579</v>
      </c>
      <c r="F4316" s="2" t="str">
        <f>HYPERLINK("http://www.otzar.org/book.asp?196818","אשת חיל")</f>
        <v>אשת חיל</v>
      </c>
    </row>
    <row r="4317" spans="1:6" x14ac:dyDescent="0.2">
      <c r="A4317" t="s">
        <v>8121</v>
      </c>
      <c r="B4317" t="s">
        <v>8129</v>
      </c>
      <c r="C4317" t="s">
        <v>908</v>
      </c>
      <c r="D4317" t="s">
        <v>563</v>
      </c>
      <c r="E4317" t="s">
        <v>573</v>
      </c>
      <c r="F4317" s="2" t="str">
        <f>HYPERLINK("http://www.otzar.org/book.asp?158936","אשת חיל")</f>
        <v>אשת חיל</v>
      </c>
    </row>
    <row r="4318" spans="1:6" x14ac:dyDescent="0.2">
      <c r="A4318" t="s">
        <v>8130</v>
      </c>
      <c r="B4318" t="s">
        <v>1091</v>
      </c>
      <c r="C4318" t="s">
        <v>466</v>
      </c>
      <c r="D4318" t="s">
        <v>14</v>
      </c>
      <c r="E4318" t="s">
        <v>81</v>
      </c>
      <c r="F4318" s="2" t="str">
        <f>HYPERLINK("http://www.otzar.org/book.asp?14875","אשת חיל - 3 כר'")</f>
        <v>אשת חיל - 3 כר'</v>
      </c>
    </row>
    <row r="4319" spans="1:6" x14ac:dyDescent="0.2">
      <c r="A4319" t="s">
        <v>8131</v>
      </c>
      <c r="B4319" t="s">
        <v>8132</v>
      </c>
      <c r="C4319" t="s">
        <v>111</v>
      </c>
      <c r="D4319" t="s">
        <v>14</v>
      </c>
      <c r="E4319" t="s">
        <v>241</v>
      </c>
      <c r="F4319" s="2" t="str">
        <f>HYPERLINK("http://www.otzar.org/book.asp?621839","אשת לפידות")</f>
        <v>אשת לפידות</v>
      </c>
    </row>
    <row r="4320" spans="1:6" x14ac:dyDescent="0.2">
      <c r="A4320" t="s">
        <v>8133</v>
      </c>
      <c r="B4320" t="s">
        <v>686</v>
      </c>
      <c r="C4320" t="s">
        <v>411</v>
      </c>
      <c r="D4320" t="s">
        <v>52</v>
      </c>
      <c r="E4320" t="s">
        <v>1103</v>
      </c>
      <c r="F4320" s="2" t="str">
        <f>HYPERLINK("http://www.otzar.org/book.asp?166374","את אברהם אזכר - דן אנכי - האור כי טוב")</f>
        <v>את אברהם אזכר - דן אנכי - האור כי טוב</v>
      </c>
    </row>
    <row r="4321" spans="1:6" x14ac:dyDescent="0.2">
      <c r="A4321" t="s">
        <v>8134</v>
      </c>
      <c r="B4321" t="s">
        <v>8135</v>
      </c>
      <c r="C4321" t="s">
        <v>63</v>
      </c>
      <c r="D4321" t="s">
        <v>52</v>
      </c>
      <c r="E4321" t="s">
        <v>583</v>
      </c>
      <c r="F4321" s="2" t="str">
        <f>HYPERLINK("http://www.otzar.org/book.asp?15199","את אחי אנכי מבקש")</f>
        <v>את אחי אנכי מבקש</v>
      </c>
    </row>
    <row r="4322" spans="1:6" x14ac:dyDescent="0.2">
      <c r="A4322" t="s">
        <v>8136</v>
      </c>
      <c r="B4322" t="s">
        <v>8137</v>
      </c>
      <c r="C4322" t="s">
        <v>176</v>
      </c>
      <c r="D4322" t="s">
        <v>412</v>
      </c>
      <c r="E4322" t="s">
        <v>234</v>
      </c>
      <c r="F4322" s="2" t="str">
        <f>HYPERLINK("http://www.otzar.org/book.asp?163351","את הנרות - א")</f>
        <v>את הנרות - א</v>
      </c>
    </row>
    <row r="4323" spans="1:6" x14ac:dyDescent="0.2">
      <c r="A4323" t="s">
        <v>8138</v>
      </c>
      <c r="B4323" t="s">
        <v>4785</v>
      </c>
      <c r="C4323" t="s">
        <v>151</v>
      </c>
      <c r="D4323" t="s">
        <v>52</v>
      </c>
      <c r="F4323" s="2" t="str">
        <f>HYPERLINK("http://www.otzar.org/book.asp?613842","את השמים")</f>
        <v>את השמים</v>
      </c>
    </row>
    <row r="4324" spans="1:6" x14ac:dyDescent="0.2">
      <c r="A4324" t="s">
        <v>8139</v>
      </c>
      <c r="B4324" t="s">
        <v>8140</v>
      </c>
      <c r="C4324" t="s">
        <v>13</v>
      </c>
      <c r="D4324" t="s">
        <v>8141</v>
      </c>
      <c r="E4324" t="s">
        <v>15</v>
      </c>
      <c r="F4324" s="2" t="str">
        <f>HYPERLINK("http://www.otzar.org/book.asp?163599","את צנועים חכמה - 5 כר'")</f>
        <v>את צנועים חכמה - 5 כר'</v>
      </c>
    </row>
    <row r="4325" spans="1:6" x14ac:dyDescent="0.2">
      <c r="A4325" t="s">
        <v>8142</v>
      </c>
      <c r="B4325" t="s">
        <v>8143</v>
      </c>
      <c r="C4325" t="s">
        <v>427</v>
      </c>
      <c r="D4325" t="s">
        <v>14</v>
      </c>
      <c r="E4325" t="s">
        <v>674</v>
      </c>
      <c r="F4325" s="2" t="str">
        <f>HYPERLINK("http://www.otzar.org/book.asp?142992","אתא בקר וגם לילה")</f>
        <v>אתא בקר וגם לילה</v>
      </c>
    </row>
    <row r="4326" spans="1:6" x14ac:dyDescent="0.2">
      <c r="A4326" t="s">
        <v>8144</v>
      </c>
      <c r="B4326" t="s">
        <v>3727</v>
      </c>
      <c r="C4326" t="s">
        <v>244</v>
      </c>
      <c r="D4326" t="s">
        <v>14</v>
      </c>
      <c r="E4326" t="s">
        <v>246</v>
      </c>
      <c r="F4326" s="2" t="str">
        <f>HYPERLINK("http://www.otzar.org/book.asp?606885","אתה בחרתנו - 4 כר'")</f>
        <v>אתה בחרתנו - 4 כר'</v>
      </c>
    </row>
    <row r="4327" spans="1:6" x14ac:dyDescent="0.2">
      <c r="A4327" t="s">
        <v>8145</v>
      </c>
      <c r="B4327" t="s">
        <v>8146</v>
      </c>
      <c r="C4327" t="s">
        <v>244</v>
      </c>
      <c r="D4327" t="s">
        <v>52</v>
      </c>
      <c r="E4327" t="s">
        <v>144</v>
      </c>
      <c r="F4327" s="2" t="str">
        <f>HYPERLINK("http://www.otzar.org/book.asp?600646","אתה יצרת - 2 כר'")</f>
        <v>אתה יצרת - 2 כר'</v>
      </c>
    </row>
    <row r="4328" spans="1:6" x14ac:dyDescent="0.2">
      <c r="A4328" t="s">
        <v>8147</v>
      </c>
      <c r="B4328" t="s">
        <v>8148</v>
      </c>
      <c r="C4328" t="s">
        <v>68</v>
      </c>
      <c r="D4328" t="s">
        <v>245</v>
      </c>
      <c r="E4328" t="s">
        <v>834</v>
      </c>
      <c r="F4328" s="2" t="str">
        <f>HYPERLINK("http://www.otzar.org/book.asp?160403","אתה נגלית")</f>
        <v>אתה נגלית</v>
      </c>
    </row>
    <row r="4329" spans="1:6" x14ac:dyDescent="0.2">
      <c r="A4329" t="s">
        <v>8149</v>
      </c>
      <c r="B4329" t="s">
        <v>8150</v>
      </c>
      <c r="C4329" t="s">
        <v>624</v>
      </c>
      <c r="D4329" t="s">
        <v>52</v>
      </c>
      <c r="F4329" s="2" t="str">
        <f>HYPERLINK("http://www.otzar.org/book.asp?612118","אתהלך לפני ה'")</f>
        <v>אתהלך לפני ה'</v>
      </c>
    </row>
    <row r="4330" spans="1:6" x14ac:dyDescent="0.2">
      <c r="A4330" t="s">
        <v>8151</v>
      </c>
      <c r="B4330" t="s">
        <v>3493</v>
      </c>
      <c r="C4330" t="s">
        <v>23</v>
      </c>
      <c r="D4330" t="s">
        <v>14</v>
      </c>
      <c r="E4330" t="s">
        <v>1211</v>
      </c>
      <c r="F4330" s="2" t="str">
        <f>HYPERLINK("http://www.otzar.org/book.asp?183310","אתוון דאורייתא &lt;עסק אתוותא - יוסף אומץ&gt;")</f>
        <v>אתוון דאורייתא &lt;עסק אתוותא - יוסף אומץ&gt;</v>
      </c>
    </row>
    <row r="4331" spans="1:6" x14ac:dyDescent="0.2">
      <c r="A4331" t="s">
        <v>8152</v>
      </c>
      <c r="B4331" t="s">
        <v>3493</v>
      </c>
      <c r="C4331" t="s">
        <v>3690</v>
      </c>
      <c r="D4331" t="s">
        <v>267</v>
      </c>
      <c r="E4331" t="s">
        <v>144</v>
      </c>
      <c r="F4331" s="2" t="str">
        <f>HYPERLINK("http://www.otzar.org/book.asp?9592","אתוון דאורייתא - 3 כר'")</f>
        <v>אתוון דאורייתא - 3 כר'</v>
      </c>
    </row>
    <row r="4332" spans="1:6" x14ac:dyDescent="0.2">
      <c r="A4332" t="s">
        <v>8153</v>
      </c>
      <c r="B4332" t="s">
        <v>8154</v>
      </c>
      <c r="C4332" t="s">
        <v>617</v>
      </c>
      <c r="D4332" t="s">
        <v>157</v>
      </c>
      <c r="E4332" t="s">
        <v>930</v>
      </c>
      <c r="F4332" s="2" t="str">
        <f>HYPERLINK("http://www.otzar.org/book.asp?24012","אתם קשות")</f>
        <v>אתם קשות</v>
      </c>
    </row>
    <row r="4333" spans="1:6" x14ac:dyDescent="0.2">
      <c r="A4333" t="s">
        <v>8155</v>
      </c>
      <c r="B4333" t="s">
        <v>8156</v>
      </c>
      <c r="C4333" t="s">
        <v>51</v>
      </c>
      <c r="D4333" t="s">
        <v>14</v>
      </c>
      <c r="E4333" t="s">
        <v>15</v>
      </c>
      <c r="F4333" s="2" t="str">
        <f>HYPERLINK("http://www.otzar.org/book.asp?107371","אתקינו סעודתא - 6 כר'")</f>
        <v>אתקינו סעודתא - 6 כר'</v>
      </c>
    </row>
    <row r="4334" spans="1:6" x14ac:dyDescent="0.2">
      <c r="A4334" t="s">
        <v>8157</v>
      </c>
      <c r="B4334" t="s">
        <v>259</v>
      </c>
      <c r="C4334" t="s">
        <v>87</v>
      </c>
      <c r="D4334" t="s">
        <v>260</v>
      </c>
      <c r="E4334" t="s">
        <v>119</v>
      </c>
      <c r="F4334" s="2" t="str">
        <f>HYPERLINK("http://www.otzar.org/book.asp?604053","אתר ואתר")</f>
        <v>אתר ואתר</v>
      </c>
    </row>
    <row r="4335" spans="1:6" x14ac:dyDescent="0.2">
      <c r="A4335" t="s">
        <v>8158</v>
      </c>
      <c r="B4335" t="s">
        <v>8159</v>
      </c>
      <c r="C4335" t="s">
        <v>422</v>
      </c>
      <c r="D4335" t="s">
        <v>52</v>
      </c>
      <c r="E4335" t="s">
        <v>15</v>
      </c>
      <c r="F4335" s="2" t="str">
        <f>HYPERLINK("http://www.otzar.org/book.asp?165869","אתרא קדישא")</f>
        <v>אתרא קדישא</v>
      </c>
    </row>
    <row r="4336" spans="1:6" x14ac:dyDescent="0.2">
      <c r="A4336" t="s">
        <v>8160</v>
      </c>
      <c r="B4336" t="s">
        <v>5470</v>
      </c>
      <c r="C4336" t="s">
        <v>366</v>
      </c>
      <c r="D4336" t="s">
        <v>118</v>
      </c>
      <c r="E4336" t="s">
        <v>246</v>
      </c>
      <c r="F4336" s="2" t="str">
        <f>HYPERLINK("http://www.otzar.org/book.asp?627286","אתרוג למינו - 2 כר'")</f>
        <v>אתרוג למינו - 2 כר'</v>
      </c>
    </row>
    <row r="4337" spans="1:6" x14ac:dyDescent="0.2">
      <c r="A4337" t="s">
        <v>8161</v>
      </c>
      <c r="B4337" t="s">
        <v>8162</v>
      </c>
      <c r="C4337" t="s">
        <v>17</v>
      </c>
      <c r="D4337" t="s">
        <v>14</v>
      </c>
      <c r="E4337" t="s">
        <v>104</v>
      </c>
      <c r="F4337" s="2" t="str">
        <f>HYPERLINK("http://www.otzar.org/book.asp?191354","אתרים קדושים בארץ ישראל")</f>
        <v>אתרים קדושים בארץ ישראל</v>
      </c>
    </row>
    <row r="4338" spans="1:6" x14ac:dyDescent="0.2">
      <c r="A4338" t="s">
        <v>8163</v>
      </c>
      <c r="B4338" t="s">
        <v>8164</v>
      </c>
      <c r="C4338" t="s">
        <v>454</v>
      </c>
      <c r="D4338" t="s">
        <v>115</v>
      </c>
      <c r="E4338" t="s">
        <v>144</v>
      </c>
      <c r="F4338" s="2" t="str">
        <f>HYPERLINK("http://www.otzar.org/book.asp?159000","בא גד לפניני הגרא""ק - סנהדרין ב")</f>
        <v>בא גד לפניני הגרא"ק - סנהדרין ב</v>
      </c>
    </row>
    <row r="4339" spans="1:6" x14ac:dyDescent="0.2">
      <c r="A4339" t="s">
        <v>8165</v>
      </c>
      <c r="B4339" t="s">
        <v>8166</v>
      </c>
      <c r="C4339" t="s">
        <v>7364</v>
      </c>
      <c r="D4339" t="s">
        <v>8167</v>
      </c>
      <c r="E4339" t="s">
        <v>158</v>
      </c>
      <c r="F4339" s="2" t="str">
        <f>HYPERLINK("http://www.otzar.org/book.asp?17255","בא ישועה ונחמה - 2 כר'")</f>
        <v>בא ישועה ונחמה - 2 כר'</v>
      </c>
    </row>
    <row r="4340" spans="1:6" x14ac:dyDescent="0.2">
      <c r="A4340" t="s">
        <v>8168</v>
      </c>
      <c r="B4340" t="s">
        <v>8169</v>
      </c>
      <c r="C4340" t="s">
        <v>37</v>
      </c>
      <c r="D4340" t="s">
        <v>52</v>
      </c>
      <c r="E4340" t="s">
        <v>104</v>
      </c>
      <c r="F4340" s="2" t="str">
        <f>HYPERLINK("http://www.otzar.org/book.asp?198347","בא""ר התורה")</f>
        <v>בא"ר התורה</v>
      </c>
    </row>
    <row r="4341" spans="1:6" x14ac:dyDescent="0.2">
      <c r="A4341" t="s">
        <v>8170</v>
      </c>
      <c r="B4341" t="s">
        <v>5634</v>
      </c>
      <c r="C4341" t="s">
        <v>189</v>
      </c>
      <c r="D4341" t="s">
        <v>52</v>
      </c>
      <c r="E4341" t="s">
        <v>241</v>
      </c>
      <c r="F4341" s="2" t="str">
        <f>HYPERLINK("http://www.otzar.org/book.asp?145313","באהבתה תשגה תמיד")</f>
        <v>באהבתה תשגה תמיד</v>
      </c>
    </row>
    <row r="4342" spans="1:6" x14ac:dyDescent="0.2">
      <c r="A4342" t="s">
        <v>8171</v>
      </c>
      <c r="B4342" t="s">
        <v>8172</v>
      </c>
      <c r="C4342" t="s">
        <v>37</v>
      </c>
      <c r="D4342" t="s">
        <v>14</v>
      </c>
      <c r="E4342" t="s">
        <v>144</v>
      </c>
      <c r="F4342" s="2" t="str">
        <f>HYPERLINK("http://www.otzar.org/book.asp?611006","באהל יצחק")</f>
        <v>באהל יצחק</v>
      </c>
    </row>
    <row r="4343" spans="1:6" x14ac:dyDescent="0.2">
      <c r="A4343" t="s">
        <v>8173</v>
      </c>
      <c r="B4343" t="s">
        <v>8174</v>
      </c>
      <c r="C4343" t="s">
        <v>956</v>
      </c>
      <c r="D4343" t="s">
        <v>14</v>
      </c>
      <c r="E4343" t="s">
        <v>202</v>
      </c>
      <c r="F4343" s="2" t="str">
        <f>HYPERLINK("http://www.otzar.org/book.asp?180385","באהל - 3 כר'")</f>
        <v>באהל - 3 כר'</v>
      </c>
    </row>
    <row r="4344" spans="1:6" x14ac:dyDescent="0.2">
      <c r="A4344" t="s">
        <v>8175</v>
      </c>
      <c r="B4344" t="s">
        <v>8176</v>
      </c>
      <c r="C4344" t="s">
        <v>244</v>
      </c>
      <c r="D4344" t="s">
        <v>8177</v>
      </c>
      <c r="F4344" s="2" t="str">
        <f>HYPERLINK("http://www.otzar.org/book.asp?609007","באהלה של תורה - ו")</f>
        <v>באהלה של תורה - ו</v>
      </c>
    </row>
    <row r="4345" spans="1:6" x14ac:dyDescent="0.2">
      <c r="A4345" t="s">
        <v>8178</v>
      </c>
      <c r="B4345" t="s">
        <v>8179</v>
      </c>
      <c r="C4345" t="s">
        <v>13</v>
      </c>
      <c r="D4345" t="s">
        <v>412</v>
      </c>
      <c r="E4345" t="s">
        <v>130</v>
      </c>
      <c r="F4345" s="2" t="str">
        <f>HYPERLINK("http://www.otzar.org/book.asp?175456","באהלי יוסף - הלכות שבת")</f>
        <v>באהלי יוסף - הלכות שבת</v>
      </c>
    </row>
    <row r="4346" spans="1:6" x14ac:dyDescent="0.2">
      <c r="A4346" t="s">
        <v>8180</v>
      </c>
      <c r="B4346" t="s">
        <v>8181</v>
      </c>
      <c r="C4346" t="s">
        <v>2008</v>
      </c>
      <c r="D4346" t="s">
        <v>27</v>
      </c>
      <c r="E4346" t="s">
        <v>119</v>
      </c>
      <c r="F4346" s="2" t="str">
        <f>HYPERLINK("http://www.otzar.org/book.asp?61239","באהלי יעקב")</f>
        <v>באהלי יעקב</v>
      </c>
    </row>
    <row r="4347" spans="1:6" x14ac:dyDescent="0.2">
      <c r="A4347" t="s">
        <v>8182</v>
      </c>
      <c r="B4347" t="s">
        <v>8183</v>
      </c>
      <c r="C4347" t="s">
        <v>725</v>
      </c>
      <c r="D4347" t="s">
        <v>27</v>
      </c>
      <c r="E4347" t="s">
        <v>733</v>
      </c>
      <c r="F4347" s="2" t="str">
        <f>HYPERLINK("http://www.otzar.org/book.asp?141067","באהלי ספר")</f>
        <v>באהלי ספר</v>
      </c>
    </row>
    <row r="4348" spans="1:6" x14ac:dyDescent="0.2">
      <c r="A4348" t="s">
        <v>8184</v>
      </c>
      <c r="B4348" t="s">
        <v>8185</v>
      </c>
      <c r="C4348" t="s">
        <v>87</v>
      </c>
      <c r="D4348" t="s">
        <v>240</v>
      </c>
      <c r="F4348" s="2" t="str">
        <f>HYPERLINK("http://www.otzar.org/book.asp?621809","באהלי צדיקים - 4 כר'")</f>
        <v>באהלי צדיקים - 4 כר'</v>
      </c>
    </row>
    <row r="4349" spans="1:6" x14ac:dyDescent="0.2">
      <c r="A4349" t="s">
        <v>8186</v>
      </c>
      <c r="B4349" t="s">
        <v>8187</v>
      </c>
      <c r="C4349" t="s">
        <v>13</v>
      </c>
      <c r="D4349" t="s">
        <v>90</v>
      </c>
      <c r="F4349" s="2" t="str">
        <f>HYPERLINK("http://www.otzar.org/book.asp?612093","באהלי צדיקים")</f>
        <v>באהלי צדיקים</v>
      </c>
    </row>
    <row r="4350" spans="1:6" x14ac:dyDescent="0.2">
      <c r="A4350" t="s">
        <v>8186</v>
      </c>
      <c r="B4350" t="s">
        <v>7023</v>
      </c>
      <c r="C4350" t="s">
        <v>1160</v>
      </c>
      <c r="D4350" t="s">
        <v>260</v>
      </c>
      <c r="E4350" t="s">
        <v>158</v>
      </c>
      <c r="F4350" s="2" t="str">
        <f>HYPERLINK("http://www.otzar.org/book.asp?154208","באהלי צדיקים")</f>
        <v>באהלי צדיקים</v>
      </c>
    </row>
    <row r="4351" spans="1:6" x14ac:dyDescent="0.2">
      <c r="A4351" t="s">
        <v>8186</v>
      </c>
      <c r="B4351" t="s">
        <v>1750</v>
      </c>
      <c r="C4351" t="s">
        <v>466</v>
      </c>
      <c r="D4351" t="s">
        <v>1356</v>
      </c>
      <c r="E4351" t="s">
        <v>140</v>
      </c>
      <c r="F4351" s="2" t="str">
        <f>HYPERLINK("http://www.otzar.org/book.asp?84856","באהלי צדיקים")</f>
        <v>באהלי צדיקים</v>
      </c>
    </row>
    <row r="4352" spans="1:6" x14ac:dyDescent="0.2">
      <c r="A4352" t="s">
        <v>8188</v>
      </c>
      <c r="B4352" t="s">
        <v>8189</v>
      </c>
      <c r="C4352" t="s">
        <v>585</v>
      </c>
      <c r="D4352" t="s">
        <v>14</v>
      </c>
      <c r="E4352" t="s">
        <v>674</v>
      </c>
      <c r="F4352" s="2" t="str">
        <f>HYPERLINK("http://www.otzar.org/book.asp?15137","באהלי שם")</f>
        <v>באהלי שם</v>
      </c>
    </row>
    <row r="4353" spans="1:6" x14ac:dyDescent="0.2">
      <c r="A4353" t="s">
        <v>8190</v>
      </c>
      <c r="B4353" t="s">
        <v>489</v>
      </c>
      <c r="C4353" t="s">
        <v>466</v>
      </c>
      <c r="D4353" t="s">
        <v>52</v>
      </c>
      <c r="E4353" t="s">
        <v>202</v>
      </c>
      <c r="F4353" s="2" t="str">
        <f>HYPERLINK("http://www.otzar.org/book.asp?146478","באהלי תורה - 2 כר'")</f>
        <v>באהלי תורה - 2 כר'</v>
      </c>
    </row>
    <row r="4354" spans="1:6" x14ac:dyDescent="0.2">
      <c r="A4354" t="s">
        <v>8191</v>
      </c>
      <c r="B4354" t="s">
        <v>8192</v>
      </c>
      <c r="C4354" t="s">
        <v>1268</v>
      </c>
      <c r="D4354" t="s">
        <v>118</v>
      </c>
      <c r="E4354" t="s">
        <v>733</v>
      </c>
      <c r="F4354" s="2" t="str">
        <f>HYPERLINK("http://www.otzar.org/book.asp?64242","באהלי תימן")</f>
        <v>באהלי תימן</v>
      </c>
    </row>
    <row r="4355" spans="1:6" x14ac:dyDescent="0.2">
      <c r="A4355" t="s">
        <v>8193</v>
      </c>
      <c r="B4355" t="s">
        <v>8194</v>
      </c>
      <c r="C4355" t="s">
        <v>20</v>
      </c>
      <c r="D4355" t="s">
        <v>367</v>
      </c>
      <c r="E4355" t="s">
        <v>104</v>
      </c>
      <c r="F4355" s="2" t="str">
        <f>HYPERLINK("http://www.otzar.org/book.asp?627297","באופן מיוחד")</f>
        <v>באופן מיוחד</v>
      </c>
    </row>
    <row r="4356" spans="1:6" x14ac:dyDescent="0.2">
      <c r="A4356" t="s">
        <v>8195</v>
      </c>
      <c r="B4356" t="s">
        <v>8196</v>
      </c>
      <c r="C4356" t="s">
        <v>68</v>
      </c>
      <c r="D4356" t="s">
        <v>423</v>
      </c>
      <c r="E4356" t="s">
        <v>1174</v>
      </c>
      <c r="F4356" s="2" t="str">
        <f>HYPERLINK("http://www.otzar.org/book.asp?167635","באוצר חיים - 9 כר'")</f>
        <v>באוצר חיים - 9 כר'</v>
      </c>
    </row>
    <row r="4357" spans="1:6" x14ac:dyDescent="0.2">
      <c r="A4357" t="s">
        <v>8197</v>
      </c>
      <c r="B4357" t="s">
        <v>6987</v>
      </c>
      <c r="C4357" t="s">
        <v>87</v>
      </c>
      <c r="D4357" t="s">
        <v>14</v>
      </c>
      <c r="E4357" t="s">
        <v>15</v>
      </c>
      <c r="F4357" s="2" t="str">
        <f>HYPERLINK("http://www.otzar.org/book.asp?144357","באור אש")</f>
        <v>באור אש</v>
      </c>
    </row>
    <row r="4358" spans="1:6" x14ac:dyDescent="0.2">
      <c r="A4358" t="s">
        <v>8198</v>
      </c>
      <c r="B4358" t="s">
        <v>8199</v>
      </c>
      <c r="C4358" t="s">
        <v>313</v>
      </c>
      <c r="D4358" t="s">
        <v>14</v>
      </c>
      <c r="E4358" t="s">
        <v>148</v>
      </c>
      <c r="F4358" s="2" t="str">
        <f>HYPERLINK("http://www.otzar.org/book.asp?159292","באור אש - 2 כר'")</f>
        <v>באור אש - 2 כר'</v>
      </c>
    </row>
    <row r="4359" spans="1:6" x14ac:dyDescent="0.2">
      <c r="A4359" t="s">
        <v>8200</v>
      </c>
      <c r="B4359" t="s">
        <v>686</v>
      </c>
      <c r="C4359" t="s">
        <v>37</v>
      </c>
      <c r="D4359" t="s">
        <v>52</v>
      </c>
      <c r="E4359" t="s">
        <v>104</v>
      </c>
      <c r="F4359" s="2" t="str">
        <f>HYPERLINK("http://www.otzar.org/book.asp?182764","באור ה'")</f>
        <v>באור ה'</v>
      </c>
    </row>
    <row r="4360" spans="1:6" x14ac:dyDescent="0.2">
      <c r="A4360" t="s">
        <v>8201</v>
      </c>
      <c r="B4360" t="s">
        <v>8202</v>
      </c>
      <c r="C4360" t="s">
        <v>189</v>
      </c>
      <c r="D4360" t="s">
        <v>14</v>
      </c>
      <c r="E4360" t="s">
        <v>158</v>
      </c>
      <c r="F4360" s="2" t="str">
        <f>HYPERLINK("http://www.otzar.org/book.asp?163294","באור החיים")</f>
        <v>באור החיים</v>
      </c>
    </row>
    <row r="4361" spans="1:6" x14ac:dyDescent="0.2">
      <c r="A4361" t="s">
        <v>8203</v>
      </c>
      <c r="B4361" t="s">
        <v>3621</v>
      </c>
      <c r="C4361" t="s">
        <v>20</v>
      </c>
      <c r="D4361" t="s">
        <v>14</v>
      </c>
      <c r="E4361" t="s">
        <v>241</v>
      </c>
      <c r="F4361" s="2" t="str">
        <f>HYPERLINK("http://www.otzar.org/book.asp?160542","באור השם")</f>
        <v>באור השם</v>
      </c>
    </row>
    <row r="4362" spans="1:6" x14ac:dyDescent="0.2">
      <c r="A4362" t="s">
        <v>8204</v>
      </c>
      <c r="B4362" t="s">
        <v>8205</v>
      </c>
      <c r="C4362" t="s">
        <v>585</v>
      </c>
      <c r="D4362" t="s">
        <v>14</v>
      </c>
      <c r="E4362" t="s">
        <v>202</v>
      </c>
      <c r="F4362" s="2" t="str">
        <f>HYPERLINK("http://www.otzar.org/book.asp?195875","באור התורה - 6 כר'")</f>
        <v>באור התורה - 6 כר'</v>
      </c>
    </row>
    <row r="4363" spans="1:6" x14ac:dyDescent="0.2">
      <c r="A4363" t="s">
        <v>8206</v>
      </c>
      <c r="B4363" t="s">
        <v>8207</v>
      </c>
      <c r="C4363" t="s">
        <v>1374</v>
      </c>
      <c r="D4363" t="s">
        <v>8208</v>
      </c>
      <c r="E4363" t="s">
        <v>158</v>
      </c>
      <c r="F4363" s="2" t="str">
        <f>HYPERLINK("http://www.otzar.org/book.asp?602414","באור והסברה בענין העקדה")</f>
        <v>באור והסברה בענין העקדה</v>
      </c>
    </row>
    <row r="4364" spans="1:6" x14ac:dyDescent="0.2">
      <c r="A4364" t="s">
        <v>8209</v>
      </c>
      <c r="B4364" t="s">
        <v>6235</v>
      </c>
      <c r="C4364" t="s">
        <v>830</v>
      </c>
      <c r="D4364" t="s">
        <v>947</v>
      </c>
      <c r="E4364" t="s">
        <v>158</v>
      </c>
      <c r="F4364" s="2" t="str">
        <f>HYPERLINK("http://www.otzar.org/book.asp?162258","באור ומדרש תורה - ב")</f>
        <v>באור ומדרש תורה - ב</v>
      </c>
    </row>
    <row r="4365" spans="1:6" x14ac:dyDescent="0.2">
      <c r="A4365" t="s">
        <v>8210</v>
      </c>
      <c r="B4365" t="s">
        <v>8211</v>
      </c>
      <c r="C4365" t="s">
        <v>1150</v>
      </c>
      <c r="D4365" t="s">
        <v>1459</v>
      </c>
      <c r="E4365" t="s">
        <v>241</v>
      </c>
      <c r="F4365" s="2" t="str">
        <f>HYPERLINK("http://www.otzar.org/book.asp?388","באור לספר מורה נבוכים")</f>
        <v>באור לספר מורה נבוכים</v>
      </c>
    </row>
    <row r="4366" spans="1:6" x14ac:dyDescent="0.2">
      <c r="A4366" t="s">
        <v>8212</v>
      </c>
      <c r="B4366" t="s">
        <v>1320</v>
      </c>
      <c r="C4366" t="s">
        <v>71</v>
      </c>
      <c r="D4366" t="s">
        <v>5421</v>
      </c>
      <c r="E4366" t="s">
        <v>241</v>
      </c>
      <c r="F4366" s="2" t="str">
        <f>HYPERLINK("http://www.otzar.org/book.asp?149870","באור מלאכת ההגיון")</f>
        <v>באור מלאכת ההגיון</v>
      </c>
    </row>
    <row r="4367" spans="1:6" x14ac:dyDescent="0.2">
      <c r="A4367" t="s">
        <v>8213</v>
      </c>
      <c r="B4367" t="s">
        <v>1320</v>
      </c>
      <c r="C4367" t="s">
        <v>250</v>
      </c>
      <c r="D4367" t="s">
        <v>744</v>
      </c>
      <c r="E4367" t="s">
        <v>213</v>
      </c>
      <c r="F4367" s="2" t="str">
        <f>HYPERLINK("http://www.otzar.org/book.asp?102422","באור מלות ההגיון - 2 כר'")</f>
        <v>באור מלות ההגיון - 2 כר'</v>
      </c>
    </row>
    <row r="4368" spans="1:6" x14ac:dyDescent="0.2">
      <c r="A4368" t="s">
        <v>8214</v>
      </c>
      <c r="B4368" t="s">
        <v>8215</v>
      </c>
      <c r="C4368" t="s">
        <v>8216</v>
      </c>
      <c r="D4368" t="s">
        <v>49</v>
      </c>
      <c r="F4368" s="2" t="str">
        <f>HYPERLINK("http://www.otzar.org/book.asp?164844","באור ספר קהלת - 2 כר'")</f>
        <v>באור ספר קהלת - 2 כר'</v>
      </c>
    </row>
    <row r="4369" spans="1:6" x14ac:dyDescent="0.2">
      <c r="A4369" t="s">
        <v>8217</v>
      </c>
      <c r="B4369" t="s">
        <v>8218</v>
      </c>
      <c r="C4369" t="s">
        <v>20</v>
      </c>
      <c r="D4369" t="s">
        <v>2383</v>
      </c>
      <c r="E4369" t="s">
        <v>158</v>
      </c>
      <c r="F4369" s="2" t="str">
        <f>HYPERLINK("http://www.otzar.org/book.asp?615659","באור סתומות ברש""י - 6 כר'")</f>
        <v>באור סתומות ברש"י - 6 כר'</v>
      </c>
    </row>
    <row r="4370" spans="1:6" x14ac:dyDescent="0.2">
      <c r="A4370" t="s">
        <v>8219</v>
      </c>
      <c r="B4370" t="s">
        <v>531</v>
      </c>
      <c r="C4370" t="s">
        <v>6784</v>
      </c>
      <c r="D4370" t="s">
        <v>744</v>
      </c>
      <c r="E4370" t="s">
        <v>158</v>
      </c>
      <c r="F4370" s="2" t="str">
        <f>HYPERLINK("http://www.otzar.org/book.asp?15881","באור על ספר שמות &lt;ראב""ע&gt;")</f>
        <v>באור על ספר שמות &lt;ראב"ע&gt;</v>
      </c>
    </row>
    <row r="4371" spans="1:6" x14ac:dyDescent="0.2">
      <c r="A4371" t="s">
        <v>8220</v>
      </c>
      <c r="B4371" t="s">
        <v>8221</v>
      </c>
      <c r="C4371" t="s">
        <v>8222</v>
      </c>
      <c r="D4371" t="s">
        <v>744</v>
      </c>
      <c r="E4371" t="s">
        <v>158</v>
      </c>
      <c r="F4371" s="2" t="str">
        <f>HYPERLINK("http://www.otzar.org/book.asp?141032","באור על רש""י &lt;ספר נחמד ובאור יפה&gt;")</f>
        <v>באור על רש"י &lt;ספר נחמד ובאור יפה&gt;</v>
      </c>
    </row>
    <row r="4372" spans="1:6" x14ac:dyDescent="0.2">
      <c r="A4372" t="s">
        <v>8223</v>
      </c>
      <c r="B4372" t="s">
        <v>3971</v>
      </c>
      <c r="C4372" t="s">
        <v>23</v>
      </c>
      <c r="D4372" t="s">
        <v>1156</v>
      </c>
      <c r="E4372" t="s">
        <v>158</v>
      </c>
      <c r="F4372" s="2" t="str">
        <f>HYPERLINK("http://www.otzar.org/book.asp?603093","באור פני מלך")</f>
        <v>באור פני מלך</v>
      </c>
    </row>
    <row r="4373" spans="1:6" x14ac:dyDescent="0.2">
      <c r="A4373" t="s">
        <v>8224</v>
      </c>
      <c r="B4373" t="s">
        <v>8225</v>
      </c>
      <c r="C4373" t="s">
        <v>111</v>
      </c>
      <c r="D4373" t="s">
        <v>14</v>
      </c>
      <c r="E4373" t="s">
        <v>144</v>
      </c>
      <c r="F4373" s="2" t="str">
        <f>HYPERLINK("http://www.otzar.org/book.asp?628624","באור פניך - 2 כר'")</f>
        <v>באור פניך - 2 כר'</v>
      </c>
    </row>
    <row r="4374" spans="1:6" x14ac:dyDescent="0.2">
      <c r="A4374" t="s">
        <v>8226</v>
      </c>
      <c r="B4374" t="s">
        <v>8227</v>
      </c>
      <c r="C4374" t="s">
        <v>133</v>
      </c>
      <c r="D4374" t="s">
        <v>14</v>
      </c>
      <c r="E4374" t="s">
        <v>246</v>
      </c>
      <c r="F4374" s="2" t="str">
        <f>HYPERLINK("http://www.otzar.org/book.asp?176373","באור פניך")</f>
        <v>באור פניך</v>
      </c>
    </row>
    <row r="4375" spans="1:6" x14ac:dyDescent="0.2">
      <c r="A4375" t="s">
        <v>8228</v>
      </c>
      <c r="B4375" t="s">
        <v>8229</v>
      </c>
      <c r="C4375" t="s">
        <v>244</v>
      </c>
      <c r="D4375" t="s">
        <v>21</v>
      </c>
      <c r="E4375" t="s">
        <v>246</v>
      </c>
      <c r="F4375" s="2" t="str">
        <f>HYPERLINK("http://www.otzar.org/book.asp?603623","באור פניך - ירח האיתנים")</f>
        <v>באור פניך - ירח האיתנים</v>
      </c>
    </row>
    <row r="4376" spans="1:6" x14ac:dyDescent="0.2">
      <c r="A4376" t="s">
        <v>8226</v>
      </c>
      <c r="B4376" t="s">
        <v>8230</v>
      </c>
      <c r="C4376" t="s">
        <v>189</v>
      </c>
      <c r="D4376" t="s">
        <v>216</v>
      </c>
      <c r="E4376" t="s">
        <v>144</v>
      </c>
      <c r="F4376" s="2" t="str">
        <f>HYPERLINK("http://www.otzar.org/book.asp?141996","באור פניך")</f>
        <v>באור פניך</v>
      </c>
    </row>
    <row r="4377" spans="1:6" x14ac:dyDescent="0.2">
      <c r="A4377" t="s">
        <v>8231</v>
      </c>
      <c r="B4377" t="s">
        <v>8232</v>
      </c>
      <c r="C4377" t="s">
        <v>26</v>
      </c>
      <c r="D4377" t="s">
        <v>14</v>
      </c>
      <c r="E4377" t="s">
        <v>84</v>
      </c>
      <c r="F4377" s="2" t="str">
        <f>HYPERLINK("http://www.otzar.org/book.asp?44","באור ר""מ קזיס על מסכת מדות &lt;חנוכת הבית&gt;")</f>
        <v>באור ר"מ קזיס על מסכת מדות &lt;חנוכת הבית&gt;</v>
      </c>
    </row>
    <row r="4378" spans="1:6" x14ac:dyDescent="0.2">
      <c r="A4378" t="s">
        <v>8233</v>
      </c>
      <c r="B4378" t="s">
        <v>3243</v>
      </c>
      <c r="C4378" t="s">
        <v>3106</v>
      </c>
      <c r="D4378" t="s">
        <v>9</v>
      </c>
      <c r="E4378" t="s">
        <v>158</v>
      </c>
      <c r="F4378" s="2" t="str">
        <f>HYPERLINK("http://www.otzar.org/book.asp?83723","באור שמות הנרדפים שבתנ""ך")</f>
        <v>באור שמות הנרדפים שבתנ"ך</v>
      </c>
    </row>
    <row r="4379" spans="1:6" x14ac:dyDescent="0.2">
      <c r="A4379" t="s">
        <v>8234</v>
      </c>
      <c r="B4379" t="s">
        <v>8235</v>
      </c>
      <c r="C4379" t="s">
        <v>20</v>
      </c>
      <c r="D4379" t="s">
        <v>52</v>
      </c>
      <c r="E4379" t="s">
        <v>219</v>
      </c>
      <c r="F4379" s="2" t="str">
        <f>HYPERLINK("http://www.otzar.org/book.asp?182925","באורה של תפילה")</f>
        <v>באורה של תפילה</v>
      </c>
    </row>
    <row r="4380" spans="1:6" x14ac:dyDescent="0.2">
      <c r="A4380" t="s">
        <v>8236</v>
      </c>
      <c r="B4380" t="s">
        <v>6342</v>
      </c>
      <c r="C4380" t="s">
        <v>37</v>
      </c>
      <c r="D4380" t="s">
        <v>486</v>
      </c>
      <c r="E4380" t="s">
        <v>2418</v>
      </c>
      <c r="F4380" s="2" t="str">
        <f>HYPERLINK("http://www.otzar.org/book.asp?183337","באורו של חמה")</f>
        <v>באורו של חמה</v>
      </c>
    </row>
    <row r="4381" spans="1:6" x14ac:dyDescent="0.2">
      <c r="A4381" t="s">
        <v>8237</v>
      </c>
      <c r="B4381" t="s">
        <v>8238</v>
      </c>
      <c r="C4381" t="s">
        <v>151</v>
      </c>
      <c r="D4381" t="s">
        <v>14</v>
      </c>
      <c r="E4381" t="s">
        <v>172</v>
      </c>
      <c r="F4381" s="2" t="str">
        <f>HYPERLINK("http://www.otzar.org/book.asp?625965","באורח משפט")</f>
        <v>באורח משפט</v>
      </c>
    </row>
    <row r="4382" spans="1:6" x14ac:dyDescent="0.2">
      <c r="A4382" t="s">
        <v>8239</v>
      </c>
      <c r="B4382" t="s">
        <v>8240</v>
      </c>
      <c r="C4382" t="s">
        <v>151</v>
      </c>
      <c r="E4382" t="s">
        <v>213</v>
      </c>
      <c r="F4382" s="2" t="str">
        <f>HYPERLINK("http://www.otzar.org/book.asp?627478","באורח צדיקים - גלות וגאולה")</f>
        <v>באורח צדיקים - גלות וגאולה</v>
      </c>
    </row>
    <row r="4383" spans="1:6" x14ac:dyDescent="0.2">
      <c r="A4383" t="s">
        <v>8241</v>
      </c>
      <c r="B4383" t="s">
        <v>8242</v>
      </c>
      <c r="C4383" t="s">
        <v>146</v>
      </c>
      <c r="D4383" t="s">
        <v>14</v>
      </c>
      <c r="E4383" t="s">
        <v>15</v>
      </c>
      <c r="F4383" s="2" t="str">
        <f>HYPERLINK("http://www.otzar.org/book.asp?26382","באורח צדקה")</f>
        <v>באורח צדקה</v>
      </c>
    </row>
    <row r="4384" spans="1:6" x14ac:dyDescent="0.2">
      <c r="A4384" t="s">
        <v>8243</v>
      </c>
      <c r="B4384" t="s">
        <v>8244</v>
      </c>
      <c r="C4384" t="s">
        <v>129</v>
      </c>
      <c r="D4384" t="s">
        <v>8245</v>
      </c>
      <c r="E4384" t="s">
        <v>158</v>
      </c>
      <c r="F4384" s="2" t="str">
        <f>HYPERLINK("http://www.otzar.org/book.asp?158514","באורי אש")</f>
        <v>באורי אש</v>
      </c>
    </row>
    <row r="4385" spans="1:6" x14ac:dyDescent="0.2">
      <c r="A4385" t="s">
        <v>8246</v>
      </c>
      <c r="B4385" t="s">
        <v>8247</v>
      </c>
      <c r="C4385" t="s">
        <v>411</v>
      </c>
      <c r="D4385" t="s">
        <v>147</v>
      </c>
      <c r="F4385" s="2" t="str">
        <f>HYPERLINK("http://www.otzar.org/book.asp?616738","באורי המינים")</f>
        <v>באורי המינים</v>
      </c>
    </row>
    <row r="4386" spans="1:6" x14ac:dyDescent="0.2">
      <c r="A4386" t="s">
        <v>8248</v>
      </c>
      <c r="B4386" t="s">
        <v>8249</v>
      </c>
      <c r="C4386" t="s">
        <v>366</v>
      </c>
      <c r="D4386" t="s">
        <v>21</v>
      </c>
      <c r="F4386" s="2" t="str">
        <f>HYPERLINK("http://www.otzar.org/book.asp?610194","באורי ענינים בהלכות ד' מינים")</f>
        <v>באורי ענינים בהלכות ד' מינים</v>
      </c>
    </row>
    <row r="4387" spans="1:6" x14ac:dyDescent="0.2">
      <c r="A4387" t="s">
        <v>8250</v>
      </c>
      <c r="B4387" t="s">
        <v>8251</v>
      </c>
      <c r="C4387" t="s">
        <v>133</v>
      </c>
      <c r="D4387" t="s">
        <v>52</v>
      </c>
      <c r="E4387" t="s">
        <v>15</v>
      </c>
      <c r="F4387" s="2" t="str">
        <f>HYPERLINK("http://www.otzar.org/book.asp?176763","באורי ענינים - 21 כר'")</f>
        <v>באורי ענינים - 21 כר'</v>
      </c>
    </row>
    <row r="4388" spans="1:6" x14ac:dyDescent="0.2">
      <c r="A4388" t="s">
        <v>8252</v>
      </c>
      <c r="B4388" t="s">
        <v>8253</v>
      </c>
      <c r="C4388" t="s">
        <v>20</v>
      </c>
      <c r="D4388" t="s">
        <v>52</v>
      </c>
      <c r="E4388" t="s">
        <v>15</v>
      </c>
      <c r="F4388" s="2" t="str">
        <f>HYPERLINK("http://www.otzar.org/book.asp?197572","באורי ענינים - שבת")</f>
        <v>באורי ענינים - שבת</v>
      </c>
    </row>
    <row r="4389" spans="1:6" x14ac:dyDescent="0.2">
      <c r="A4389" t="s">
        <v>8254</v>
      </c>
      <c r="B4389" t="s">
        <v>8255</v>
      </c>
      <c r="C4389" t="s">
        <v>8256</v>
      </c>
      <c r="D4389" t="s">
        <v>1117</v>
      </c>
      <c r="E4389" t="s">
        <v>158</v>
      </c>
      <c r="F4389" s="2" t="str">
        <f>HYPERLINK("http://www.otzar.org/book.asp?17256","באורים כבדו ה'")</f>
        <v>באורים כבדו ה'</v>
      </c>
    </row>
    <row r="4390" spans="1:6" x14ac:dyDescent="0.2">
      <c r="A4390" t="s">
        <v>8254</v>
      </c>
      <c r="B4390" t="s">
        <v>1750</v>
      </c>
      <c r="C4390" t="s">
        <v>244</v>
      </c>
      <c r="D4390" t="s">
        <v>2285</v>
      </c>
      <c r="E4390" t="s">
        <v>202</v>
      </c>
      <c r="F4390" s="2" t="str">
        <f>HYPERLINK("http://www.otzar.org/book.asp?605239","באורים כבדו ה'")</f>
        <v>באורים כבדו ה'</v>
      </c>
    </row>
    <row r="4391" spans="1:6" x14ac:dyDescent="0.2">
      <c r="A4391" t="s">
        <v>8257</v>
      </c>
      <c r="B4391" t="s">
        <v>686</v>
      </c>
      <c r="C4391" t="s">
        <v>37</v>
      </c>
      <c r="D4391" t="s">
        <v>14</v>
      </c>
      <c r="E4391" t="s">
        <v>1164</v>
      </c>
      <c r="F4391" s="2" t="str">
        <f>HYPERLINK("http://www.otzar.org/book.asp?182733","באורך נראה אור")</f>
        <v>באורך נראה אור</v>
      </c>
    </row>
    <row r="4392" spans="1:6" x14ac:dyDescent="0.2">
      <c r="A4392" t="s">
        <v>8257</v>
      </c>
      <c r="B4392" t="s">
        <v>8258</v>
      </c>
      <c r="C4392" t="s">
        <v>103</v>
      </c>
      <c r="E4392" t="s">
        <v>5438</v>
      </c>
      <c r="F4392" s="2" t="str">
        <f>HYPERLINK("http://www.otzar.org/book.asp?624939","באורך נראה אור")</f>
        <v>באורך נראה אור</v>
      </c>
    </row>
    <row r="4393" spans="1:6" x14ac:dyDescent="0.2">
      <c r="A4393" t="s">
        <v>8257</v>
      </c>
      <c r="B4393" t="s">
        <v>8259</v>
      </c>
      <c r="C4393" t="s">
        <v>244</v>
      </c>
      <c r="D4393" t="s">
        <v>118</v>
      </c>
      <c r="E4393" t="s">
        <v>104</v>
      </c>
      <c r="F4393" s="2" t="str">
        <f>HYPERLINK("http://www.otzar.org/book.asp?606638","באורך נראה אור")</f>
        <v>באורך נראה אור</v>
      </c>
    </row>
    <row r="4394" spans="1:6" x14ac:dyDescent="0.2">
      <c r="A4394" t="s">
        <v>8260</v>
      </c>
      <c r="B4394" t="s">
        <v>8261</v>
      </c>
      <c r="C4394" t="s">
        <v>133</v>
      </c>
      <c r="D4394" t="s">
        <v>21</v>
      </c>
      <c r="E4394" t="s">
        <v>579</v>
      </c>
      <c r="F4394" s="2" t="str">
        <f>HYPERLINK("http://www.otzar.org/book.asp?193026","באורך נראה")</f>
        <v>באורך נראה</v>
      </c>
    </row>
    <row r="4395" spans="1:6" x14ac:dyDescent="0.2">
      <c r="A4395" t="s">
        <v>8262</v>
      </c>
      <c r="B4395" t="s">
        <v>8263</v>
      </c>
      <c r="C4395" t="s">
        <v>244</v>
      </c>
      <c r="D4395" t="s">
        <v>14</v>
      </c>
      <c r="E4395" t="s">
        <v>230</v>
      </c>
      <c r="F4395" s="2" t="str">
        <f>HYPERLINK("http://www.otzar.org/book.asp?603298","באז ישיר")</f>
        <v>באז ישיר</v>
      </c>
    </row>
    <row r="4396" spans="1:6" x14ac:dyDescent="0.2">
      <c r="A4396" t="s">
        <v>8264</v>
      </c>
      <c r="B4396" t="s">
        <v>8265</v>
      </c>
      <c r="C4396" t="s">
        <v>777</v>
      </c>
      <c r="D4396" t="s">
        <v>8266</v>
      </c>
      <c r="E4396" t="s">
        <v>104</v>
      </c>
      <c r="F4396" s="2" t="str">
        <f>HYPERLINK("http://www.otzar.org/book.asp?171354","באחרית הימים")</f>
        <v>באחרית הימים</v>
      </c>
    </row>
    <row r="4397" spans="1:6" x14ac:dyDescent="0.2">
      <c r="A4397" t="s">
        <v>8267</v>
      </c>
      <c r="B4397" t="s">
        <v>437</v>
      </c>
      <c r="C4397" t="s">
        <v>114</v>
      </c>
      <c r="D4397" t="s">
        <v>14</v>
      </c>
      <c r="E4397" t="s">
        <v>246</v>
      </c>
      <c r="F4397" s="2" t="str">
        <f>HYPERLINK("http://www.otzar.org/book.asp?183070","באי מועד - פסקי הציץ אליעזר &lt;פסח- בין המצרים&gt;")</f>
        <v>באי מועד - פסקי הציץ אליעזר &lt;פסח- בין המצרים&gt;</v>
      </c>
    </row>
    <row r="4398" spans="1:6" x14ac:dyDescent="0.2">
      <c r="A4398" t="s">
        <v>8268</v>
      </c>
      <c r="B4398" t="s">
        <v>5973</v>
      </c>
      <c r="C4398" t="s">
        <v>1640</v>
      </c>
      <c r="D4398" t="s">
        <v>14</v>
      </c>
      <c r="E4398" t="s">
        <v>674</v>
      </c>
      <c r="F4398" s="2" t="str">
        <f>HYPERLINK("http://www.otzar.org/book.asp?106996","באימה וביראה - 2 כר'")</f>
        <v>באימה וביראה - 2 כר'</v>
      </c>
    </row>
    <row r="4399" spans="1:6" x14ac:dyDescent="0.2">
      <c r="A4399" t="s">
        <v>8269</v>
      </c>
      <c r="B4399" t="s">
        <v>8270</v>
      </c>
      <c r="C4399" t="s">
        <v>427</v>
      </c>
      <c r="D4399" t="s">
        <v>14</v>
      </c>
      <c r="E4399" t="s">
        <v>583</v>
      </c>
      <c r="F4399" s="2" t="str">
        <f>HYPERLINK("http://www.otzar.org/book.asp?12207","באין חזון")</f>
        <v>באין חזון</v>
      </c>
    </row>
    <row r="4400" spans="1:6" x14ac:dyDescent="0.2">
      <c r="A4400" t="s">
        <v>8271</v>
      </c>
      <c r="B4400" t="s">
        <v>1631</v>
      </c>
      <c r="C4400" t="s">
        <v>411</v>
      </c>
      <c r="D4400" t="s">
        <v>1632</v>
      </c>
      <c r="F4400" s="2" t="str">
        <f>HYPERLINK("http://www.otzar.org/book.asp?609039","באמונה שלימה")</f>
        <v>באמונה שלימה</v>
      </c>
    </row>
    <row r="4401" spans="1:6" x14ac:dyDescent="0.2">
      <c r="A4401" t="s">
        <v>8272</v>
      </c>
      <c r="E4401" t="s">
        <v>714</v>
      </c>
      <c r="F4401" s="2" t="str">
        <f>HYPERLINK("http://www.otzar.org/book.asp?622530","באמונתו יחיה")</f>
        <v>באמונתו יחיה</v>
      </c>
    </row>
    <row r="4402" spans="1:6" x14ac:dyDescent="0.2">
      <c r="A4402" t="s">
        <v>8273</v>
      </c>
      <c r="B4402" t="s">
        <v>1602</v>
      </c>
      <c r="C4402" t="s">
        <v>17</v>
      </c>
      <c r="D4402" t="s">
        <v>14</v>
      </c>
      <c r="E4402" t="s">
        <v>213</v>
      </c>
      <c r="F4402" s="2" t="str">
        <f>HYPERLINK("http://www.otzar.org/book.asp?51002","באמונתו יחיה - 21 כר'")</f>
        <v>באמונתו יחיה - 21 כר'</v>
      </c>
    </row>
    <row r="4403" spans="1:6" x14ac:dyDescent="0.2">
      <c r="A4403" t="s">
        <v>8272</v>
      </c>
      <c r="B4403" t="s">
        <v>107</v>
      </c>
      <c r="C4403" t="s">
        <v>334</v>
      </c>
      <c r="D4403" t="s">
        <v>14</v>
      </c>
      <c r="E4403" t="s">
        <v>241</v>
      </c>
      <c r="F4403" s="2" t="str">
        <f>HYPERLINK("http://www.otzar.org/book.asp?6354","באמונתו יחיה")</f>
        <v>באמונתו יחיה</v>
      </c>
    </row>
    <row r="4404" spans="1:6" x14ac:dyDescent="0.2">
      <c r="A4404" t="s">
        <v>8272</v>
      </c>
      <c r="B4404" t="s">
        <v>8274</v>
      </c>
      <c r="C4404" t="s">
        <v>244</v>
      </c>
      <c r="D4404" t="s">
        <v>14</v>
      </c>
      <c r="E4404" t="s">
        <v>104</v>
      </c>
      <c r="F4404" s="2" t="str">
        <f>HYPERLINK("http://www.otzar.org/book.asp?605346","באמונתו יחיה")</f>
        <v>באמונתו יחיה</v>
      </c>
    </row>
    <row r="4405" spans="1:6" x14ac:dyDescent="0.2">
      <c r="A4405" t="s">
        <v>8275</v>
      </c>
      <c r="B4405" t="s">
        <v>8276</v>
      </c>
      <c r="C4405" t="s">
        <v>366</v>
      </c>
      <c r="D4405" t="s">
        <v>1156</v>
      </c>
      <c r="E4405" t="s">
        <v>140</v>
      </c>
      <c r="F4405" s="2" t="str">
        <f>HYPERLINK("http://www.otzar.org/book.asp?616042","באמת ובאמונה לעבדך - ב")</f>
        <v>באמת ובאמונה לעבדך - ב</v>
      </c>
    </row>
    <row r="4406" spans="1:6" x14ac:dyDescent="0.2">
      <c r="A4406" t="s">
        <v>8277</v>
      </c>
      <c r="B4406" t="s">
        <v>8278</v>
      </c>
      <c r="C4406" t="s">
        <v>106</v>
      </c>
      <c r="D4406" t="s">
        <v>8279</v>
      </c>
      <c r="E4406" t="s">
        <v>213</v>
      </c>
      <c r="F4406" s="2" t="str">
        <f>HYPERLINK("http://www.otzar.org/book.asp?188495","באספקלריה של תורה")</f>
        <v>באספקלריה של תורה</v>
      </c>
    </row>
    <row r="4407" spans="1:6" x14ac:dyDescent="0.2">
      <c r="A4407" t="s">
        <v>8280</v>
      </c>
      <c r="B4407" t="s">
        <v>8281</v>
      </c>
      <c r="C4407" t="s">
        <v>313</v>
      </c>
      <c r="D4407" t="s">
        <v>14</v>
      </c>
      <c r="E4407" t="s">
        <v>8282</v>
      </c>
      <c r="F4407" s="2" t="str">
        <f>HYPERLINK("http://www.otzar.org/book.asp?168893","באר אברהם &lt;מהדורה תנינא&gt;")</f>
        <v>באר אברהם &lt;מהדורה תנינא&gt;</v>
      </c>
    </row>
    <row r="4408" spans="1:6" x14ac:dyDescent="0.2">
      <c r="A4408" t="s">
        <v>8283</v>
      </c>
      <c r="B4408" t="s">
        <v>4918</v>
      </c>
      <c r="C4408" t="s">
        <v>466</v>
      </c>
      <c r="D4408" t="s">
        <v>4919</v>
      </c>
      <c r="E4408" t="s">
        <v>158</v>
      </c>
      <c r="F4408" s="2" t="str">
        <f>HYPERLINK("http://www.otzar.org/book.asp?63959","באר אברהם &lt;עה""ת&gt; - 2 כר'")</f>
        <v>באר אברהם &lt;עה"ת&gt; - 2 כר'</v>
      </c>
    </row>
    <row r="4409" spans="1:6" x14ac:dyDescent="0.2">
      <c r="A4409" t="s">
        <v>8284</v>
      </c>
      <c r="B4409" t="s">
        <v>8285</v>
      </c>
      <c r="C4409" t="s">
        <v>129</v>
      </c>
      <c r="D4409" t="s">
        <v>14</v>
      </c>
      <c r="E4409" t="s">
        <v>144</v>
      </c>
      <c r="F4409" s="2" t="str">
        <f>HYPERLINK("http://www.otzar.org/book.asp?145554","באר אברהם &lt;מכון חת""ס&gt; - 2 כר'")</f>
        <v>באר אברהם &lt;מכון חת"ס&gt; - 2 כר'</v>
      </c>
    </row>
    <row r="4410" spans="1:6" x14ac:dyDescent="0.2">
      <c r="A4410" t="s">
        <v>8286</v>
      </c>
      <c r="B4410" t="s">
        <v>8287</v>
      </c>
      <c r="C4410" t="s">
        <v>1058</v>
      </c>
      <c r="D4410" t="s">
        <v>267</v>
      </c>
      <c r="E4410" t="s">
        <v>399</v>
      </c>
      <c r="F4410" s="2" t="str">
        <f>HYPERLINK("http://www.otzar.org/book.asp?12872","באר אברהם")</f>
        <v>באר אברהם</v>
      </c>
    </row>
    <row r="4411" spans="1:6" x14ac:dyDescent="0.2">
      <c r="A4411" t="s">
        <v>8286</v>
      </c>
      <c r="B4411" t="s">
        <v>8288</v>
      </c>
      <c r="C4411" t="s">
        <v>2488</v>
      </c>
      <c r="D4411" t="s">
        <v>544</v>
      </c>
      <c r="E4411" t="s">
        <v>172</v>
      </c>
      <c r="F4411" s="2" t="str">
        <f>HYPERLINK("http://www.otzar.org/book.asp?100191","באר אברהם")</f>
        <v>באר אברהם</v>
      </c>
    </row>
    <row r="4412" spans="1:6" x14ac:dyDescent="0.2">
      <c r="A4412" t="s">
        <v>8286</v>
      </c>
      <c r="B4412" t="s">
        <v>8289</v>
      </c>
      <c r="C4412" t="s">
        <v>103</v>
      </c>
      <c r="D4412" t="s">
        <v>412</v>
      </c>
      <c r="E4412" t="s">
        <v>15</v>
      </c>
      <c r="F4412" s="2" t="str">
        <f>HYPERLINK("http://www.otzar.org/book.asp?25868","באר אברהם")</f>
        <v>באר אברהם</v>
      </c>
    </row>
    <row r="4413" spans="1:6" x14ac:dyDescent="0.2">
      <c r="A4413" t="s">
        <v>8286</v>
      </c>
      <c r="B4413" t="s">
        <v>8290</v>
      </c>
      <c r="C4413" t="s">
        <v>313</v>
      </c>
      <c r="D4413" t="s">
        <v>115</v>
      </c>
      <c r="E4413" t="s">
        <v>15</v>
      </c>
      <c r="F4413" s="2" t="str">
        <f>HYPERLINK("http://www.otzar.org/book.asp?147832","באר אברהם")</f>
        <v>באר אברהם</v>
      </c>
    </row>
    <row r="4414" spans="1:6" x14ac:dyDescent="0.2">
      <c r="A4414" t="s">
        <v>8291</v>
      </c>
      <c r="B4414" t="s">
        <v>8292</v>
      </c>
      <c r="C4414" t="s">
        <v>422</v>
      </c>
      <c r="D4414" t="s">
        <v>52</v>
      </c>
      <c r="E4414" t="s">
        <v>144</v>
      </c>
      <c r="F4414" s="2" t="str">
        <f>HYPERLINK("http://www.otzar.org/book.asp?163666","באר אברהם - 4 כר'")</f>
        <v>באר אברהם - 4 כר'</v>
      </c>
    </row>
    <row r="4415" spans="1:6" x14ac:dyDescent="0.2">
      <c r="A4415" t="s">
        <v>8286</v>
      </c>
      <c r="B4415" t="s">
        <v>8293</v>
      </c>
      <c r="C4415" t="s">
        <v>8294</v>
      </c>
      <c r="D4415" t="s">
        <v>5665</v>
      </c>
      <c r="E4415" t="s">
        <v>246</v>
      </c>
      <c r="F4415" s="2" t="str">
        <f>HYPERLINK("http://www.otzar.org/book.asp?141226","באר אברהם")</f>
        <v>באר אברהם</v>
      </c>
    </row>
    <row r="4416" spans="1:6" x14ac:dyDescent="0.2">
      <c r="A4416" t="s">
        <v>8295</v>
      </c>
      <c r="B4416" t="s">
        <v>8281</v>
      </c>
      <c r="C4416" t="s">
        <v>8296</v>
      </c>
      <c r="D4416" t="s">
        <v>283</v>
      </c>
      <c r="E4416" t="s">
        <v>43</v>
      </c>
      <c r="F4416" s="2" t="str">
        <f>HYPERLINK("http://www.otzar.org/book.asp?7185","באר אברהם - 2 כר'")</f>
        <v>באר אברהם - 2 כר'</v>
      </c>
    </row>
    <row r="4417" spans="1:6" x14ac:dyDescent="0.2">
      <c r="A4417" t="s">
        <v>8295</v>
      </c>
      <c r="B4417" t="s">
        <v>8297</v>
      </c>
      <c r="C4417" t="s">
        <v>422</v>
      </c>
      <c r="D4417" t="s">
        <v>14</v>
      </c>
      <c r="E4417" t="s">
        <v>786</v>
      </c>
      <c r="F4417" s="2" t="str">
        <f>HYPERLINK("http://www.otzar.org/book.asp?159693","באר אברהם - 2 כר'")</f>
        <v>באר אברהם - 2 כר'</v>
      </c>
    </row>
    <row r="4418" spans="1:6" x14ac:dyDescent="0.2">
      <c r="A4418" t="s">
        <v>8286</v>
      </c>
      <c r="B4418" t="s">
        <v>8298</v>
      </c>
      <c r="C4418" t="s">
        <v>133</v>
      </c>
      <c r="D4418" t="s">
        <v>21</v>
      </c>
      <c r="E4418" t="s">
        <v>172</v>
      </c>
      <c r="F4418" s="2" t="str">
        <f>HYPERLINK("http://www.otzar.org/book.asp?603944","באר אברהם")</f>
        <v>באר אברהם</v>
      </c>
    </row>
    <row r="4419" spans="1:6" x14ac:dyDescent="0.2">
      <c r="A4419" t="s">
        <v>8299</v>
      </c>
      <c r="B4419" t="s">
        <v>8300</v>
      </c>
      <c r="C4419" t="s">
        <v>151</v>
      </c>
      <c r="D4419" t="s">
        <v>14</v>
      </c>
      <c r="E4419" t="s">
        <v>144</v>
      </c>
      <c r="F4419" s="2" t="str">
        <f>HYPERLINK("http://www.otzar.org/book.asp?626235","באר אברהם - עירובין")</f>
        <v>באר אברהם - עירובין</v>
      </c>
    </row>
    <row r="4420" spans="1:6" x14ac:dyDescent="0.2">
      <c r="A4420" t="s">
        <v>8286</v>
      </c>
      <c r="B4420" t="s">
        <v>8285</v>
      </c>
      <c r="C4420" t="s">
        <v>3475</v>
      </c>
      <c r="D4420" t="s">
        <v>56</v>
      </c>
      <c r="E4420" t="s">
        <v>144</v>
      </c>
      <c r="F4420" s="2" t="str">
        <f>HYPERLINK("http://www.otzar.org/book.asp?8920","באר אברהם")</f>
        <v>באר אברהם</v>
      </c>
    </row>
    <row r="4421" spans="1:6" x14ac:dyDescent="0.2">
      <c r="A4421" t="s">
        <v>8286</v>
      </c>
      <c r="B4421" t="s">
        <v>8301</v>
      </c>
      <c r="C4421" t="s">
        <v>143</v>
      </c>
      <c r="D4421" t="s">
        <v>412</v>
      </c>
      <c r="E4421" t="s">
        <v>144</v>
      </c>
      <c r="F4421" s="2" t="str">
        <f>HYPERLINK("http://www.otzar.org/book.asp?85114","באר אברהם")</f>
        <v>באר אברהם</v>
      </c>
    </row>
    <row r="4422" spans="1:6" x14ac:dyDescent="0.2">
      <c r="A4422" t="s">
        <v>8286</v>
      </c>
      <c r="B4422" t="s">
        <v>3875</v>
      </c>
      <c r="C4422" t="s">
        <v>725</v>
      </c>
      <c r="D4422" t="s">
        <v>9</v>
      </c>
      <c r="E4422" t="s">
        <v>144</v>
      </c>
      <c r="F4422" s="2" t="str">
        <f>HYPERLINK("http://www.otzar.org/book.asp?104908","באר אברהם")</f>
        <v>באר אברהם</v>
      </c>
    </row>
    <row r="4423" spans="1:6" x14ac:dyDescent="0.2">
      <c r="A4423" t="s">
        <v>8302</v>
      </c>
      <c r="B4423" t="s">
        <v>2663</v>
      </c>
      <c r="C4423" t="s">
        <v>106</v>
      </c>
      <c r="D4423" t="s">
        <v>21</v>
      </c>
      <c r="E4423" t="s">
        <v>202</v>
      </c>
      <c r="F4423" s="2" t="str">
        <f>HYPERLINK("http://www.otzar.org/book.asp?197738","באר אברהם - א")</f>
        <v>באר אברהם - א</v>
      </c>
    </row>
    <row r="4424" spans="1:6" x14ac:dyDescent="0.2">
      <c r="A4424" t="s">
        <v>8303</v>
      </c>
      <c r="B4424" t="s">
        <v>8304</v>
      </c>
      <c r="C4424" t="s">
        <v>71</v>
      </c>
      <c r="D4424" t="s">
        <v>90</v>
      </c>
      <c r="E4424" t="s">
        <v>154</v>
      </c>
      <c r="F4424" s="2" t="str">
        <f>HYPERLINK("http://www.otzar.org/book.asp?629175","באר אברהם - 3 כר'")</f>
        <v>באר אברהם - 3 כר'</v>
      </c>
    </row>
    <row r="4425" spans="1:6" x14ac:dyDescent="0.2">
      <c r="A4425" t="s">
        <v>8286</v>
      </c>
      <c r="B4425" t="s">
        <v>8305</v>
      </c>
      <c r="C4425" t="s">
        <v>940</v>
      </c>
      <c r="D4425" t="s">
        <v>14</v>
      </c>
      <c r="E4425" t="s">
        <v>508</v>
      </c>
      <c r="F4425" s="2" t="str">
        <f>HYPERLINK("http://www.otzar.org/book.asp?142443","באר אברהם")</f>
        <v>באר אברהם</v>
      </c>
    </row>
    <row r="4426" spans="1:6" x14ac:dyDescent="0.2">
      <c r="A4426" t="s">
        <v>8306</v>
      </c>
      <c r="B4426" t="s">
        <v>6304</v>
      </c>
      <c r="C4426" t="s">
        <v>71</v>
      </c>
      <c r="D4426" t="s">
        <v>14</v>
      </c>
      <c r="E4426" t="s">
        <v>2088</v>
      </c>
      <c r="F4426" s="2" t="str">
        <f>HYPERLINK("http://www.otzar.org/book.asp?9593","באר אלחנן")</f>
        <v>באר אלחנן</v>
      </c>
    </row>
    <row r="4427" spans="1:6" x14ac:dyDescent="0.2">
      <c r="A4427" t="s">
        <v>8307</v>
      </c>
      <c r="B4427" t="s">
        <v>8308</v>
      </c>
      <c r="C4427" t="s">
        <v>13</v>
      </c>
      <c r="D4427" t="s">
        <v>14</v>
      </c>
      <c r="E4427" t="s">
        <v>399</v>
      </c>
      <c r="F4427" s="2" t="str">
        <f>HYPERLINK("http://www.otzar.org/book.asp?61398","באר אליהו על כוונות השבוע")</f>
        <v>באר אליהו על כוונות השבוע</v>
      </c>
    </row>
    <row r="4428" spans="1:6" x14ac:dyDescent="0.2">
      <c r="A4428" t="s">
        <v>8309</v>
      </c>
      <c r="B4428" t="s">
        <v>8308</v>
      </c>
      <c r="C4428" t="s">
        <v>129</v>
      </c>
      <c r="D4428" t="s">
        <v>14</v>
      </c>
      <c r="E4428" t="s">
        <v>399</v>
      </c>
      <c r="F4428" s="2" t="str">
        <f>HYPERLINK("http://www.otzar.org/book.asp?156629","באר אליהו על תורה לשמה")</f>
        <v>באר אליהו על תורה לשמה</v>
      </c>
    </row>
    <row r="4429" spans="1:6" x14ac:dyDescent="0.2">
      <c r="A4429" t="s">
        <v>8310</v>
      </c>
      <c r="B4429" t="s">
        <v>8311</v>
      </c>
      <c r="C4429" t="s">
        <v>68</v>
      </c>
      <c r="D4429" t="s">
        <v>14</v>
      </c>
      <c r="E4429" t="s">
        <v>148</v>
      </c>
      <c r="F4429" s="2" t="str">
        <f>HYPERLINK("http://www.otzar.org/book.asp?193450","באר אליהו - 10 כר'")</f>
        <v>באר אליהו - 10 כר'</v>
      </c>
    </row>
    <row r="4430" spans="1:6" x14ac:dyDescent="0.2">
      <c r="A4430" t="s">
        <v>8312</v>
      </c>
      <c r="B4430" t="s">
        <v>2796</v>
      </c>
      <c r="C4430" t="s">
        <v>624</v>
      </c>
      <c r="D4430" t="s">
        <v>2798</v>
      </c>
      <c r="E4430" t="s">
        <v>154</v>
      </c>
      <c r="F4430" s="2" t="str">
        <f>HYPERLINK("http://www.otzar.org/book.asp?61285","באר אליהו - 3 כר'")</f>
        <v>באר אליהו - 3 כר'</v>
      </c>
    </row>
    <row r="4431" spans="1:6" x14ac:dyDescent="0.2">
      <c r="A4431" t="s">
        <v>8313</v>
      </c>
      <c r="B4431" t="s">
        <v>8308</v>
      </c>
      <c r="C4431" t="s">
        <v>189</v>
      </c>
      <c r="D4431" t="s">
        <v>14</v>
      </c>
      <c r="E4431" t="s">
        <v>399</v>
      </c>
      <c r="F4431" s="2" t="str">
        <f>HYPERLINK("http://www.otzar.org/book.asp?159083","באר אליהו - 5 כר'")</f>
        <v>באר אליהו - 5 כר'</v>
      </c>
    </row>
    <row r="4432" spans="1:6" x14ac:dyDescent="0.2">
      <c r="A4432" t="s">
        <v>8314</v>
      </c>
      <c r="B4432" t="s">
        <v>8315</v>
      </c>
      <c r="C4432" t="s">
        <v>1228</v>
      </c>
      <c r="D4432" t="s">
        <v>8316</v>
      </c>
      <c r="E4432" t="s">
        <v>325</v>
      </c>
      <c r="F4432" s="2" t="str">
        <f>HYPERLINK("http://www.otzar.org/book.asp?17257","באר אליעזר")</f>
        <v>באר אליעזר</v>
      </c>
    </row>
    <row r="4433" spans="1:6" x14ac:dyDescent="0.2">
      <c r="A4433" t="s">
        <v>8314</v>
      </c>
      <c r="B4433" t="s">
        <v>8317</v>
      </c>
      <c r="C4433" t="s">
        <v>752</v>
      </c>
      <c r="D4433" t="s">
        <v>283</v>
      </c>
      <c r="E4433" t="s">
        <v>8318</v>
      </c>
      <c r="F4433" s="2" t="str">
        <f>HYPERLINK("http://www.otzar.org/book.asp?19212","באר אליעזר")</f>
        <v>באר אליעזר</v>
      </c>
    </row>
    <row r="4434" spans="1:6" x14ac:dyDescent="0.2">
      <c r="A4434" t="s">
        <v>8319</v>
      </c>
      <c r="B4434" t="s">
        <v>8320</v>
      </c>
      <c r="C4434" t="s">
        <v>244</v>
      </c>
      <c r="D4434" t="s">
        <v>1356</v>
      </c>
      <c r="E4434" t="s">
        <v>144</v>
      </c>
      <c r="F4434" s="2" t="str">
        <f>HYPERLINK("http://www.otzar.org/book.asp?602870","באר בדרך")</f>
        <v>באר בדרך</v>
      </c>
    </row>
    <row r="4435" spans="1:6" x14ac:dyDescent="0.2">
      <c r="A4435" t="s">
        <v>8321</v>
      </c>
      <c r="B4435" t="s">
        <v>8322</v>
      </c>
      <c r="C4435" t="s">
        <v>23</v>
      </c>
      <c r="D4435" t="s">
        <v>152</v>
      </c>
      <c r="E4435" t="s">
        <v>144</v>
      </c>
      <c r="F4435" s="2" t="str">
        <f>HYPERLINK("http://www.otzar.org/book.asp?625355","באר בצלאל - 8 כר'")</f>
        <v>באר בצלאל - 8 כר'</v>
      </c>
    </row>
    <row r="4436" spans="1:6" x14ac:dyDescent="0.2">
      <c r="A4436" t="s">
        <v>8323</v>
      </c>
      <c r="B4436" t="s">
        <v>8324</v>
      </c>
      <c r="C4436" t="s">
        <v>321</v>
      </c>
      <c r="D4436" t="s">
        <v>27</v>
      </c>
      <c r="E4436" t="s">
        <v>2135</v>
      </c>
      <c r="F4436" s="2" t="str">
        <f>HYPERLINK("http://www.otzar.org/book.asp?14094","באר בשדה")</f>
        <v>באר בשדה</v>
      </c>
    </row>
    <row r="4437" spans="1:6" x14ac:dyDescent="0.2">
      <c r="A4437" t="s">
        <v>8325</v>
      </c>
      <c r="B4437" t="s">
        <v>8326</v>
      </c>
      <c r="C4437" t="s">
        <v>68</v>
      </c>
      <c r="D4437" t="s">
        <v>14</v>
      </c>
      <c r="E4437" t="s">
        <v>15</v>
      </c>
      <c r="F4437" s="2" t="str">
        <f>HYPERLINK("http://www.otzar.org/book.asp?159057","באר בשדה - 4 כר'")</f>
        <v>באר בשדה - 4 כר'</v>
      </c>
    </row>
    <row r="4438" spans="1:6" x14ac:dyDescent="0.2">
      <c r="A4438" t="s">
        <v>8323</v>
      </c>
      <c r="B4438" t="s">
        <v>8327</v>
      </c>
      <c r="C4438" t="s">
        <v>114</v>
      </c>
      <c r="D4438" t="s">
        <v>14</v>
      </c>
      <c r="E4438" t="s">
        <v>158</v>
      </c>
      <c r="F4438" s="2" t="str">
        <f>HYPERLINK("http://www.otzar.org/book.asp?169995","באר בשדה")</f>
        <v>באר בשדה</v>
      </c>
    </row>
    <row r="4439" spans="1:6" x14ac:dyDescent="0.2">
      <c r="A4439" t="s">
        <v>8328</v>
      </c>
      <c r="B4439" t="s">
        <v>8329</v>
      </c>
      <c r="C4439" t="s">
        <v>133</v>
      </c>
      <c r="D4439" t="s">
        <v>21</v>
      </c>
      <c r="E4439" t="s">
        <v>130</v>
      </c>
      <c r="F4439" s="2" t="str">
        <f>HYPERLINK("http://www.otzar.org/book.asp?191178","באר בשדה - 3 כר'")</f>
        <v>באר בשדה - 3 כר'</v>
      </c>
    </row>
    <row r="4440" spans="1:6" x14ac:dyDescent="0.2">
      <c r="A4440" t="s">
        <v>8323</v>
      </c>
      <c r="B4440" t="s">
        <v>5092</v>
      </c>
      <c r="C4440" t="s">
        <v>176</v>
      </c>
      <c r="D4440" t="s">
        <v>412</v>
      </c>
      <c r="E4440" t="s">
        <v>2840</v>
      </c>
      <c r="F4440" s="2" t="str">
        <f>HYPERLINK("http://www.otzar.org/book.asp?160363","באר בשדה")</f>
        <v>באר בשדה</v>
      </c>
    </row>
    <row r="4441" spans="1:6" x14ac:dyDescent="0.2">
      <c r="A4441" t="s">
        <v>8323</v>
      </c>
      <c r="B4441" t="s">
        <v>5648</v>
      </c>
      <c r="C4441" t="s">
        <v>1124</v>
      </c>
      <c r="D4441" t="s">
        <v>283</v>
      </c>
      <c r="E4441" t="s">
        <v>1103</v>
      </c>
      <c r="F4441" s="2" t="str">
        <f>HYPERLINK("http://www.otzar.org/book.asp?83927","באר בשדה")</f>
        <v>באר בשדה</v>
      </c>
    </row>
    <row r="4442" spans="1:6" x14ac:dyDescent="0.2">
      <c r="A4442" t="s">
        <v>8323</v>
      </c>
      <c r="B4442" t="s">
        <v>8330</v>
      </c>
      <c r="C4442" t="s">
        <v>366</v>
      </c>
      <c r="D4442" t="s">
        <v>52</v>
      </c>
      <c r="F4442" s="2" t="str">
        <f>HYPERLINK("http://www.otzar.org/book.asp?613607","באר בשדה")</f>
        <v>באר בשדה</v>
      </c>
    </row>
    <row r="4443" spans="1:6" x14ac:dyDescent="0.2">
      <c r="A4443" t="s">
        <v>8331</v>
      </c>
      <c r="B4443" t="s">
        <v>8332</v>
      </c>
      <c r="C4443" t="s">
        <v>13</v>
      </c>
      <c r="D4443" t="s">
        <v>14</v>
      </c>
      <c r="E4443" t="s">
        <v>154</v>
      </c>
      <c r="F4443" s="2" t="str">
        <f>HYPERLINK("http://www.otzar.org/book.asp?142503","באר דוד &lt;טקסט&gt;")</f>
        <v>באר דוד &lt;טקסט&gt;</v>
      </c>
    </row>
    <row r="4444" spans="1:6" x14ac:dyDescent="0.2">
      <c r="A4444" t="s">
        <v>8333</v>
      </c>
      <c r="B4444" t="s">
        <v>8334</v>
      </c>
      <c r="C4444" t="s">
        <v>87</v>
      </c>
      <c r="D4444" t="s">
        <v>52</v>
      </c>
      <c r="E4444" t="s">
        <v>144</v>
      </c>
      <c r="F4444" s="2" t="str">
        <f>HYPERLINK("http://www.otzar.org/book.asp?23536","באר דוד - 7 כר'")</f>
        <v>באר דוד - 7 כר'</v>
      </c>
    </row>
    <row r="4445" spans="1:6" x14ac:dyDescent="0.2">
      <c r="A4445" t="s">
        <v>8335</v>
      </c>
      <c r="B4445" t="s">
        <v>8332</v>
      </c>
      <c r="C4445" t="s">
        <v>313</v>
      </c>
      <c r="D4445" t="s">
        <v>412</v>
      </c>
      <c r="E4445" t="s">
        <v>791</v>
      </c>
      <c r="F4445" s="2" t="str">
        <f>HYPERLINK("http://www.otzar.org/book.asp?21612","באר דוד")</f>
        <v>באר דוד</v>
      </c>
    </row>
    <row r="4446" spans="1:6" x14ac:dyDescent="0.2">
      <c r="A4446" t="s">
        <v>8336</v>
      </c>
      <c r="B4446" t="s">
        <v>8337</v>
      </c>
      <c r="C4446" t="s">
        <v>442</v>
      </c>
      <c r="D4446" t="s">
        <v>9</v>
      </c>
      <c r="E4446" t="s">
        <v>84</v>
      </c>
      <c r="F4446" s="2" t="str">
        <f>HYPERLINK("http://www.otzar.org/book.asp?9650","באר האבות")</f>
        <v>באר האבות</v>
      </c>
    </row>
    <row r="4447" spans="1:6" x14ac:dyDescent="0.2">
      <c r="A4447" t="s">
        <v>8338</v>
      </c>
      <c r="B4447" t="s">
        <v>3941</v>
      </c>
      <c r="C4447" t="s">
        <v>1425</v>
      </c>
      <c r="D4447" t="s">
        <v>744</v>
      </c>
      <c r="F4447" s="2" t="str">
        <f>HYPERLINK("http://www.otzar.org/book.asp?170275","באר הגולה &lt;דפו""ר&gt;")</f>
        <v>באר הגולה &lt;דפו"ר&gt;</v>
      </c>
    </row>
    <row r="4448" spans="1:6" x14ac:dyDescent="0.2">
      <c r="A4448" t="s">
        <v>8339</v>
      </c>
      <c r="B4448" t="s">
        <v>8339</v>
      </c>
      <c r="C4448" t="s">
        <v>635</v>
      </c>
      <c r="D4448" t="s">
        <v>8340</v>
      </c>
      <c r="E4448" t="s">
        <v>8341</v>
      </c>
      <c r="F4448" s="2" t="str">
        <f>HYPERLINK("http://www.otzar.org/book.asp?52","באר הגולה")</f>
        <v>באר הגולה</v>
      </c>
    </row>
    <row r="4449" spans="1:6" x14ac:dyDescent="0.2">
      <c r="A4449" t="s">
        <v>8342</v>
      </c>
      <c r="B4449" t="s">
        <v>8343</v>
      </c>
      <c r="C4449" t="s">
        <v>454</v>
      </c>
      <c r="D4449" t="s">
        <v>14</v>
      </c>
      <c r="E4449" t="s">
        <v>241</v>
      </c>
      <c r="F4449" s="2" t="str">
        <f>HYPERLINK("http://www.otzar.org/book.asp?603606","באר הגולה - בארה של מרים")</f>
        <v>באר הגולה - בארה של מרים</v>
      </c>
    </row>
    <row r="4450" spans="1:6" x14ac:dyDescent="0.2">
      <c r="A4450" t="s">
        <v>8344</v>
      </c>
      <c r="B4450" t="s">
        <v>3923</v>
      </c>
      <c r="C4450" t="s">
        <v>919</v>
      </c>
      <c r="D4450" t="s">
        <v>14</v>
      </c>
      <c r="E4450" t="s">
        <v>8345</v>
      </c>
      <c r="F4450" s="2" t="str">
        <f>HYPERLINK("http://www.otzar.org/book.asp?12391","באר הגולה - 2 כר'")</f>
        <v>באר הגולה - 2 כר'</v>
      </c>
    </row>
    <row r="4451" spans="1:6" x14ac:dyDescent="0.2">
      <c r="A4451" t="s">
        <v>8339</v>
      </c>
      <c r="B4451" t="s">
        <v>3941</v>
      </c>
      <c r="C4451" t="s">
        <v>538</v>
      </c>
      <c r="D4451" t="s">
        <v>4549</v>
      </c>
      <c r="E4451" t="s">
        <v>241</v>
      </c>
      <c r="F4451" s="2" t="str">
        <f>HYPERLINK("http://www.otzar.org/book.asp?173031","באר הגולה")</f>
        <v>באר הגולה</v>
      </c>
    </row>
    <row r="4452" spans="1:6" x14ac:dyDescent="0.2">
      <c r="A4452" t="s">
        <v>8346</v>
      </c>
      <c r="B4452" t="s">
        <v>8347</v>
      </c>
      <c r="C4452" t="s">
        <v>20</v>
      </c>
      <c r="D4452" t="s">
        <v>852</v>
      </c>
      <c r="F4452" s="2" t="str">
        <f>HYPERLINK("http://www.otzar.org/book.asp?608384","באר הדעת - מן הבאר ההיא")</f>
        <v>באר הדעת - מן הבאר ההיא</v>
      </c>
    </row>
    <row r="4453" spans="1:6" x14ac:dyDescent="0.2">
      <c r="A4453" t="s">
        <v>8348</v>
      </c>
      <c r="B4453" t="s">
        <v>8349</v>
      </c>
      <c r="C4453" t="s">
        <v>133</v>
      </c>
      <c r="D4453" t="s">
        <v>14</v>
      </c>
      <c r="E4453" t="s">
        <v>246</v>
      </c>
      <c r="F4453" s="2" t="str">
        <f>HYPERLINK("http://www.otzar.org/book.asp?628167","באר ההגדה")</f>
        <v>באר ההגדה</v>
      </c>
    </row>
    <row r="4454" spans="1:6" x14ac:dyDescent="0.2">
      <c r="A4454" t="s">
        <v>8350</v>
      </c>
      <c r="B4454" t="s">
        <v>8351</v>
      </c>
      <c r="C4454" t="s">
        <v>146</v>
      </c>
      <c r="D4454" t="s">
        <v>14</v>
      </c>
      <c r="E4454" t="s">
        <v>202</v>
      </c>
      <c r="F4454" s="2" t="str">
        <f>HYPERLINK("http://www.otzar.org/book.asp?158721","באר החושן - 6 כר'")</f>
        <v>באר החושן - 6 כר'</v>
      </c>
    </row>
    <row r="4455" spans="1:6" x14ac:dyDescent="0.2">
      <c r="A4455" t="s">
        <v>8352</v>
      </c>
      <c r="B4455" t="s">
        <v>8353</v>
      </c>
      <c r="C4455" t="s">
        <v>133</v>
      </c>
      <c r="D4455" t="s">
        <v>367</v>
      </c>
      <c r="E4455" t="s">
        <v>104</v>
      </c>
      <c r="F4455" s="2" t="str">
        <f>HYPERLINK("http://www.otzar.org/book.asp?172080","באר החיים")</f>
        <v>באר החיים</v>
      </c>
    </row>
    <row r="4456" spans="1:6" x14ac:dyDescent="0.2">
      <c r="A4456" t="s">
        <v>8354</v>
      </c>
      <c r="B4456" t="s">
        <v>8355</v>
      </c>
      <c r="C4456" t="s">
        <v>37</v>
      </c>
      <c r="D4456" t="s">
        <v>14</v>
      </c>
      <c r="E4456" t="s">
        <v>246</v>
      </c>
      <c r="F4456" s="2" t="str">
        <f>HYPERLINK("http://www.otzar.org/book.asp?611552","באר החיים - 5 כר'")</f>
        <v>באר החיים - 5 כר'</v>
      </c>
    </row>
    <row r="4457" spans="1:6" x14ac:dyDescent="0.2">
      <c r="A4457" t="s">
        <v>8356</v>
      </c>
      <c r="B4457" t="s">
        <v>8357</v>
      </c>
      <c r="C4457" t="s">
        <v>68</v>
      </c>
      <c r="D4457" t="s">
        <v>14</v>
      </c>
      <c r="E4457" t="s">
        <v>158</v>
      </c>
      <c r="F4457" s="2" t="str">
        <f>HYPERLINK("http://www.otzar.org/book.asp?176538","באר החיים - 2 כר'")</f>
        <v>באר החיים - 2 כר'</v>
      </c>
    </row>
    <row r="4458" spans="1:6" x14ac:dyDescent="0.2">
      <c r="A4458" t="s">
        <v>8356</v>
      </c>
      <c r="B4458" t="s">
        <v>8358</v>
      </c>
      <c r="C4458" t="s">
        <v>133</v>
      </c>
      <c r="D4458" t="s">
        <v>276</v>
      </c>
      <c r="F4458" s="2" t="str">
        <f>HYPERLINK("http://www.otzar.org/book.asp?198102","באר החיים - 2 כר'")</f>
        <v>באר החיים - 2 כר'</v>
      </c>
    </row>
    <row r="4459" spans="1:6" x14ac:dyDescent="0.2">
      <c r="A4459" t="s">
        <v>8359</v>
      </c>
      <c r="B4459" t="s">
        <v>8360</v>
      </c>
      <c r="C4459" t="s">
        <v>133</v>
      </c>
      <c r="D4459" t="s">
        <v>276</v>
      </c>
      <c r="F4459" s="2" t="str">
        <f>HYPERLINK("http://www.otzar.org/book.asp?198103","באר החיים - 3 כר'")</f>
        <v>באר החיים - 3 כר'</v>
      </c>
    </row>
    <row r="4460" spans="1:6" x14ac:dyDescent="0.2">
      <c r="A4460" t="s">
        <v>8361</v>
      </c>
      <c r="B4460" t="s">
        <v>8362</v>
      </c>
      <c r="C4460" t="s">
        <v>8363</v>
      </c>
      <c r="D4460" t="s">
        <v>260</v>
      </c>
      <c r="E4460" t="s">
        <v>119</v>
      </c>
      <c r="F4460" s="2" t="str">
        <f>HYPERLINK("http://www.otzar.org/book.asp?191620","באר החסידות - 4 כר'")</f>
        <v>באר החסידות - 4 כר'</v>
      </c>
    </row>
    <row r="4461" spans="1:6" x14ac:dyDescent="0.2">
      <c r="A4461" t="s">
        <v>8364</v>
      </c>
      <c r="B4461" t="s">
        <v>8365</v>
      </c>
      <c r="C4461" t="s">
        <v>87</v>
      </c>
      <c r="D4461" t="s">
        <v>21</v>
      </c>
      <c r="E4461" t="s">
        <v>15</v>
      </c>
      <c r="F4461" s="2" t="str">
        <f>HYPERLINK("http://www.otzar.org/book.asp?190709","באר הטהרה")</f>
        <v>באר הטהרה</v>
      </c>
    </row>
    <row r="4462" spans="1:6" x14ac:dyDescent="0.2">
      <c r="A4462" t="s">
        <v>8366</v>
      </c>
      <c r="B4462" t="s">
        <v>8367</v>
      </c>
      <c r="C4462" t="s">
        <v>1310</v>
      </c>
      <c r="D4462" t="s">
        <v>56</v>
      </c>
      <c r="E4462" t="s">
        <v>158</v>
      </c>
      <c r="F4462" s="2" t="str">
        <f>HYPERLINK("http://www.otzar.org/book.asp?15967","באר היטב")</f>
        <v>באר היטב</v>
      </c>
    </row>
    <row r="4463" spans="1:6" x14ac:dyDescent="0.2">
      <c r="A4463" t="s">
        <v>8368</v>
      </c>
      <c r="B4463" t="s">
        <v>8369</v>
      </c>
      <c r="C4463" t="s">
        <v>1515</v>
      </c>
      <c r="D4463" t="s">
        <v>8370</v>
      </c>
      <c r="E4463" t="s">
        <v>104</v>
      </c>
      <c r="F4463" s="2" t="str">
        <f>HYPERLINK("http://www.otzar.org/book.asp?189525","באר הלוחות")</f>
        <v>באר הלוחות</v>
      </c>
    </row>
    <row r="4464" spans="1:6" x14ac:dyDescent="0.2">
      <c r="A4464" t="s">
        <v>8371</v>
      </c>
      <c r="B4464" t="s">
        <v>8292</v>
      </c>
      <c r="C4464" t="s">
        <v>71</v>
      </c>
      <c r="D4464" t="s">
        <v>52</v>
      </c>
      <c r="E4464" t="s">
        <v>130</v>
      </c>
      <c r="F4464" s="2" t="str">
        <f>HYPERLINK("http://www.otzar.org/book.asp?154236","באר המועדים - 2 כר'")</f>
        <v>באר המועדים - 2 כר'</v>
      </c>
    </row>
    <row r="4465" spans="1:6" x14ac:dyDescent="0.2">
      <c r="A4465" t="s">
        <v>8372</v>
      </c>
      <c r="B4465" t="s">
        <v>8373</v>
      </c>
      <c r="C4465" t="s">
        <v>37</v>
      </c>
      <c r="D4465" t="s">
        <v>52</v>
      </c>
      <c r="E4465" t="s">
        <v>130</v>
      </c>
      <c r="F4465" s="2" t="str">
        <f>HYPERLINK("http://www.otzar.org/book.asp?178952","באר המועדים - אדר ופורים")</f>
        <v>באר המועדים - אדר ופורים</v>
      </c>
    </row>
    <row r="4466" spans="1:6" x14ac:dyDescent="0.2">
      <c r="A4466" t="s">
        <v>8374</v>
      </c>
      <c r="B4466" t="s">
        <v>2226</v>
      </c>
      <c r="C4466" t="s">
        <v>8375</v>
      </c>
      <c r="D4466" t="s">
        <v>76</v>
      </c>
      <c r="E4466" t="s">
        <v>154</v>
      </c>
      <c r="F4466" s="2" t="str">
        <f>HYPERLINK("http://www.otzar.org/book.asp?100124","באר המים - 2 כר'")</f>
        <v>באר המים - 2 כר'</v>
      </c>
    </row>
    <row r="4467" spans="1:6" x14ac:dyDescent="0.2">
      <c r="A4467" t="s">
        <v>8376</v>
      </c>
      <c r="B4467" t="s">
        <v>8377</v>
      </c>
      <c r="C4467" t="s">
        <v>111</v>
      </c>
      <c r="D4467" t="s">
        <v>90</v>
      </c>
      <c r="E4467" t="s">
        <v>144</v>
      </c>
      <c r="F4467" s="2" t="str">
        <f>HYPERLINK("http://www.otzar.org/book.asp?629802","באר המים - ב""ק")</f>
        <v>באר המים - ב"ק</v>
      </c>
    </row>
    <row r="4468" spans="1:6" x14ac:dyDescent="0.2">
      <c r="A4468" t="s">
        <v>8378</v>
      </c>
      <c r="B4468" t="s">
        <v>8379</v>
      </c>
      <c r="C4468" t="s">
        <v>8380</v>
      </c>
      <c r="D4468" t="s">
        <v>27</v>
      </c>
      <c r="E4468" t="s">
        <v>15</v>
      </c>
      <c r="F4468" s="2" t="str">
        <f>HYPERLINK("http://www.otzar.org/book.asp?9997","באר המלך - 7 כר'")</f>
        <v>באר המלך - 7 כר'</v>
      </c>
    </row>
    <row r="4469" spans="1:6" x14ac:dyDescent="0.2">
      <c r="A4469" t="s">
        <v>8381</v>
      </c>
      <c r="B4469" t="s">
        <v>8382</v>
      </c>
      <c r="C4469" t="s">
        <v>51</v>
      </c>
      <c r="D4469" t="s">
        <v>52</v>
      </c>
      <c r="E4469" t="s">
        <v>84</v>
      </c>
      <c r="F4469" s="2" t="str">
        <f>HYPERLINK("http://www.otzar.org/book.asp?174291","באר המשנה - ביצה")</f>
        <v>באר המשנה - ביצה</v>
      </c>
    </row>
    <row r="4470" spans="1:6" x14ac:dyDescent="0.2">
      <c r="A4470" t="s">
        <v>8383</v>
      </c>
      <c r="B4470" t="s">
        <v>8384</v>
      </c>
      <c r="C4470" t="s">
        <v>20</v>
      </c>
      <c r="D4470" t="s">
        <v>90</v>
      </c>
      <c r="E4470" t="s">
        <v>8385</v>
      </c>
      <c r="F4470" s="2" t="str">
        <f>HYPERLINK("http://www.otzar.org/book.asp?607928","באר הפרשה - ראש השנה")</f>
        <v>באר הפרשה - ראש השנה</v>
      </c>
    </row>
    <row r="4471" spans="1:6" x14ac:dyDescent="0.2">
      <c r="A4471" t="s">
        <v>8386</v>
      </c>
      <c r="B4471" t="s">
        <v>8387</v>
      </c>
      <c r="C4471" t="s">
        <v>767</v>
      </c>
      <c r="D4471" t="s">
        <v>216</v>
      </c>
      <c r="E4471" t="s">
        <v>230</v>
      </c>
      <c r="F4471" s="2" t="str">
        <f>HYPERLINK("http://www.otzar.org/book.asp?620075","באר הפרשה")</f>
        <v>באר הפרשה</v>
      </c>
    </row>
    <row r="4472" spans="1:6" x14ac:dyDescent="0.2">
      <c r="A4472" t="s">
        <v>8388</v>
      </c>
      <c r="B4472" t="s">
        <v>8389</v>
      </c>
      <c r="C4472" t="s">
        <v>411</v>
      </c>
      <c r="D4472" t="s">
        <v>412</v>
      </c>
      <c r="F4472" s="2" t="str">
        <f>HYPERLINK("http://www.otzar.org/book.asp?609947","באר הצבי")</f>
        <v>באר הצבי</v>
      </c>
    </row>
    <row r="4473" spans="1:6" x14ac:dyDescent="0.2">
      <c r="A4473" t="s">
        <v>8390</v>
      </c>
      <c r="B4473" t="s">
        <v>8391</v>
      </c>
      <c r="C4473" t="s">
        <v>244</v>
      </c>
      <c r="D4473" t="s">
        <v>52</v>
      </c>
      <c r="E4473" t="s">
        <v>325</v>
      </c>
      <c r="F4473" s="2" t="str">
        <f>HYPERLINK("http://www.otzar.org/book.asp?611199","באר הריבית")</f>
        <v>באר הריבית</v>
      </c>
    </row>
    <row r="4474" spans="1:6" x14ac:dyDescent="0.2">
      <c r="A4474" t="s">
        <v>8392</v>
      </c>
      <c r="B4474" t="s">
        <v>8393</v>
      </c>
      <c r="C4474" t="s">
        <v>51</v>
      </c>
      <c r="D4474" t="s">
        <v>14</v>
      </c>
      <c r="E4474" t="s">
        <v>8394</v>
      </c>
      <c r="F4474" s="2" t="str">
        <f>HYPERLINK("http://www.otzar.org/book.asp?23635","באר השמחה &lt;הבאר&gt;")</f>
        <v>באר השמחה &lt;הבאר&gt;</v>
      </c>
    </row>
    <row r="4475" spans="1:6" x14ac:dyDescent="0.2">
      <c r="A4475" t="s">
        <v>8395</v>
      </c>
      <c r="B4475" t="s">
        <v>3883</v>
      </c>
      <c r="C4475" t="s">
        <v>189</v>
      </c>
      <c r="D4475" t="s">
        <v>14</v>
      </c>
      <c r="E4475" t="s">
        <v>158</v>
      </c>
      <c r="F4475" s="2" t="str">
        <f>HYPERLINK("http://www.otzar.org/book.asp?50507","באר התורה - 6 כר'")</f>
        <v>באר התורה - 6 כר'</v>
      </c>
    </row>
    <row r="4476" spans="1:6" x14ac:dyDescent="0.2">
      <c r="A4476" t="s">
        <v>8396</v>
      </c>
      <c r="B4476" t="s">
        <v>8397</v>
      </c>
      <c r="C4476" t="s">
        <v>1388</v>
      </c>
      <c r="D4476" t="s">
        <v>216</v>
      </c>
      <c r="E4476" t="s">
        <v>158</v>
      </c>
      <c r="F4476" s="2" t="str">
        <f>HYPERLINK("http://www.otzar.org/book.asp?167629","באר התורה")</f>
        <v>באר התורה</v>
      </c>
    </row>
    <row r="4477" spans="1:6" x14ac:dyDescent="0.2">
      <c r="A4477" t="s">
        <v>8396</v>
      </c>
      <c r="B4477" t="s">
        <v>8398</v>
      </c>
      <c r="C4477" t="s">
        <v>103</v>
      </c>
      <c r="D4477" t="s">
        <v>14</v>
      </c>
      <c r="E4477" t="s">
        <v>202</v>
      </c>
      <c r="F4477" s="2" t="str">
        <f>HYPERLINK("http://www.otzar.org/book.asp?181675","באר התורה")</f>
        <v>באר התורה</v>
      </c>
    </row>
    <row r="4478" spans="1:6" x14ac:dyDescent="0.2">
      <c r="A4478" t="s">
        <v>8396</v>
      </c>
      <c r="B4478" t="s">
        <v>8399</v>
      </c>
      <c r="C4478" t="s">
        <v>87</v>
      </c>
      <c r="D4478" t="s">
        <v>27</v>
      </c>
      <c r="E4478" t="s">
        <v>158</v>
      </c>
      <c r="F4478" s="2" t="str">
        <f>HYPERLINK("http://www.otzar.org/book.asp?177107","באר התורה")</f>
        <v>באר התורה</v>
      </c>
    </row>
    <row r="4479" spans="1:6" x14ac:dyDescent="0.2">
      <c r="A4479" t="s">
        <v>8400</v>
      </c>
      <c r="B4479" t="s">
        <v>8401</v>
      </c>
      <c r="C4479" t="s">
        <v>17</v>
      </c>
      <c r="D4479" t="s">
        <v>14</v>
      </c>
      <c r="E4479" t="s">
        <v>144</v>
      </c>
      <c r="F4479" s="2" t="str">
        <f>HYPERLINK("http://www.otzar.org/book.asp?22672","באר התלמוד - כתובות, בן סורר ומורה")</f>
        <v>באר התלמוד - כתובות, בן סורר ומורה</v>
      </c>
    </row>
    <row r="4480" spans="1:6" x14ac:dyDescent="0.2">
      <c r="A4480" t="s">
        <v>8402</v>
      </c>
      <c r="B4480" t="s">
        <v>8403</v>
      </c>
      <c r="C4480" t="s">
        <v>411</v>
      </c>
      <c r="D4480" t="s">
        <v>1356</v>
      </c>
      <c r="E4480" t="s">
        <v>573</v>
      </c>
      <c r="F4480" s="2" t="str">
        <f>HYPERLINK("http://www.otzar.org/book.asp?170826","באר זכות")</f>
        <v>באר זכות</v>
      </c>
    </row>
    <row r="4481" spans="1:6" x14ac:dyDescent="0.2">
      <c r="A4481" t="s">
        <v>8404</v>
      </c>
      <c r="B4481" t="s">
        <v>8405</v>
      </c>
      <c r="C4481" t="s">
        <v>8406</v>
      </c>
      <c r="D4481" t="s">
        <v>30</v>
      </c>
      <c r="E4481" t="s">
        <v>154</v>
      </c>
      <c r="F4481" s="2" t="str">
        <f>HYPERLINK("http://www.otzar.org/book.asp?105280","באר חיים מרדכי - 5 כר'")</f>
        <v>באר חיים מרדכי - 5 כר'</v>
      </c>
    </row>
    <row r="4482" spans="1:6" x14ac:dyDescent="0.2">
      <c r="A4482" t="s">
        <v>8407</v>
      </c>
      <c r="B4482" t="s">
        <v>8408</v>
      </c>
      <c r="C4482" t="s">
        <v>585</v>
      </c>
      <c r="D4482" t="s">
        <v>412</v>
      </c>
      <c r="E4482" t="s">
        <v>144</v>
      </c>
      <c r="F4482" s="2" t="str">
        <f>HYPERLINK("http://www.otzar.org/book.asp?620603","באר חיים")</f>
        <v>באר חיים</v>
      </c>
    </row>
    <row r="4483" spans="1:6" x14ac:dyDescent="0.2">
      <c r="A4483" t="s">
        <v>8409</v>
      </c>
      <c r="B4483" t="s">
        <v>2155</v>
      </c>
      <c r="C4483" t="s">
        <v>411</v>
      </c>
      <c r="D4483" t="s">
        <v>52</v>
      </c>
      <c r="E4483" t="s">
        <v>84</v>
      </c>
      <c r="F4483" s="2" t="str">
        <f>HYPERLINK("http://www.otzar.org/book.asp?602981","באר חיים - 4 כר'")</f>
        <v>באר חיים - 4 כר'</v>
      </c>
    </row>
    <row r="4484" spans="1:6" x14ac:dyDescent="0.2">
      <c r="A4484" t="s">
        <v>8407</v>
      </c>
      <c r="B4484" t="s">
        <v>8410</v>
      </c>
      <c r="C4484" t="s">
        <v>1208</v>
      </c>
      <c r="D4484" t="s">
        <v>52</v>
      </c>
      <c r="E4484" t="s">
        <v>8411</v>
      </c>
      <c r="F4484" s="2" t="str">
        <f>HYPERLINK("http://www.otzar.org/book.asp?62126","באר חיים")</f>
        <v>באר חיים</v>
      </c>
    </row>
    <row r="4485" spans="1:6" x14ac:dyDescent="0.2">
      <c r="A4485" t="s">
        <v>8407</v>
      </c>
      <c r="B4485" t="s">
        <v>8412</v>
      </c>
      <c r="C4485" t="s">
        <v>395</v>
      </c>
      <c r="D4485" t="s">
        <v>56</v>
      </c>
      <c r="E4485" t="s">
        <v>8413</v>
      </c>
      <c r="F4485" s="2" t="str">
        <f>HYPERLINK("http://www.otzar.org/book.asp?102827","באר חיים")</f>
        <v>באר חיים</v>
      </c>
    </row>
    <row r="4486" spans="1:6" x14ac:dyDescent="0.2">
      <c r="A4486" t="s">
        <v>8414</v>
      </c>
      <c r="B4486" t="s">
        <v>8415</v>
      </c>
      <c r="C4486" t="s">
        <v>103</v>
      </c>
      <c r="D4486" t="s">
        <v>14</v>
      </c>
      <c r="E4486" t="s">
        <v>104</v>
      </c>
      <c r="F4486" s="2" t="str">
        <f>HYPERLINK("http://www.otzar.org/book.asp?21970","באר חיים - 5 כר'")</f>
        <v>באר חיים - 5 כר'</v>
      </c>
    </row>
    <row r="4487" spans="1:6" x14ac:dyDescent="0.2">
      <c r="A4487" t="s">
        <v>8407</v>
      </c>
      <c r="B4487" t="s">
        <v>8416</v>
      </c>
      <c r="C4487" t="s">
        <v>1160</v>
      </c>
      <c r="D4487" t="s">
        <v>412</v>
      </c>
      <c r="E4487" t="s">
        <v>15</v>
      </c>
      <c r="F4487" s="2" t="str">
        <f>HYPERLINK("http://www.otzar.org/book.asp?60794","באר חיים")</f>
        <v>באר חיים</v>
      </c>
    </row>
    <row r="4488" spans="1:6" x14ac:dyDescent="0.2">
      <c r="A4488" t="s">
        <v>8417</v>
      </c>
      <c r="B4488" t="s">
        <v>8418</v>
      </c>
      <c r="C4488" t="s">
        <v>366</v>
      </c>
      <c r="D4488" t="s">
        <v>14</v>
      </c>
      <c r="F4488" s="2" t="str">
        <f>HYPERLINK("http://www.otzar.org/book.asp?616432","באר חיים - שו""ת")</f>
        <v>באר חיים - שו"ת</v>
      </c>
    </row>
    <row r="4489" spans="1:6" x14ac:dyDescent="0.2">
      <c r="A4489" t="s">
        <v>8419</v>
      </c>
      <c r="B4489" t="s">
        <v>776</v>
      </c>
      <c r="C4489" t="s">
        <v>777</v>
      </c>
      <c r="D4489" t="s">
        <v>27</v>
      </c>
      <c r="E4489" t="s">
        <v>579</v>
      </c>
      <c r="F4489" s="2" t="str">
        <f>HYPERLINK("http://www.otzar.org/book.asp?179210","באר חן")</f>
        <v>באר חן</v>
      </c>
    </row>
    <row r="4490" spans="1:6" x14ac:dyDescent="0.2">
      <c r="A4490" t="s">
        <v>8420</v>
      </c>
      <c r="B4490" t="s">
        <v>8421</v>
      </c>
      <c r="C4490" t="s">
        <v>13</v>
      </c>
      <c r="D4490" t="s">
        <v>1356</v>
      </c>
      <c r="E4490" t="s">
        <v>172</v>
      </c>
      <c r="F4490" s="2" t="str">
        <f>HYPERLINK("http://www.otzar.org/book.asp?62766","באר חנוך - 6 כר'")</f>
        <v>באר חנוך - 6 כר'</v>
      </c>
    </row>
    <row r="4491" spans="1:6" x14ac:dyDescent="0.2">
      <c r="A4491" t="s">
        <v>8422</v>
      </c>
      <c r="B4491" t="s">
        <v>2396</v>
      </c>
      <c r="C4491" t="s">
        <v>87</v>
      </c>
      <c r="D4491" t="s">
        <v>1076</v>
      </c>
      <c r="E4491" t="s">
        <v>579</v>
      </c>
      <c r="F4491" s="2" t="str">
        <f>HYPERLINK("http://www.otzar.org/book.asp?22816","באר חפרוה שרים")</f>
        <v>באר חפרוה שרים</v>
      </c>
    </row>
    <row r="4492" spans="1:6" x14ac:dyDescent="0.2">
      <c r="A4492" t="s">
        <v>8423</v>
      </c>
      <c r="B4492" t="s">
        <v>8424</v>
      </c>
      <c r="C4492" t="s">
        <v>2236</v>
      </c>
      <c r="D4492" t="s">
        <v>42</v>
      </c>
      <c r="E4492" t="s">
        <v>144</v>
      </c>
      <c r="F4492" s="2" t="str">
        <f>HYPERLINK("http://www.otzar.org/book.asp?24016","באר טוב")</f>
        <v>באר טוב</v>
      </c>
    </row>
    <row r="4493" spans="1:6" x14ac:dyDescent="0.2">
      <c r="A4493" t="s">
        <v>8425</v>
      </c>
      <c r="B4493" t="s">
        <v>8426</v>
      </c>
      <c r="C4493" t="s">
        <v>8427</v>
      </c>
      <c r="D4493" t="s">
        <v>283</v>
      </c>
      <c r="E4493" t="s">
        <v>15</v>
      </c>
      <c r="F4493" s="2" t="str">
        <f>HYPERLINK("http://www.otzar.org/book.asp?8990","באר יהודה - 2 כר'")</f>
        <v>באר יהודה - 2 כר'</v>
      </c>
    </row>
    <row r="4494" spans="1:6" x14ac:dyDescent="0.2">
      <c r="A4494" t="s">
        <v>8428</v>
      </c>
      <c r="B4494" t="s">
        <v>8429</v>
      </c>
      <c r="C4494" t="s">
        <v>129</v>
      </c>
      <c r="D4494" t="s">
        <v>14</v>
      </c>
      <c r="E4494" t="s">
        <v>2091</v>
      </c>
      <c r="F4494" s="2" t="str">
        <f>HYPERLINK("http://www.otzar.org/book.asp?144494","באר יוחנן - על עניני ברכת הנהנין")</f>
        <v>באר יוחנן - על עניני ברכת הנהנין</v>
      </c>
    </row>
    <row r="4495" spans="1:6" x14ac:dyDescent="0.2">
      <c r="A4495" t="s">
        <v>8430</v>
      </c>
      <c r="B4495" t="s">
        <v>8431</v>
      </c>
      <c r="C4495" t="s">
        <v>422</v>
      </c>
      <c r="D4495" t="s">
        <v>14</v>
      </c>
      <c r="E4495" t="s">
        <v>158</v>
      </c>
      <c r="F4495" s="2" t="str">
        <f>HYPERLINK("http://www.otzar.org/book.asp?179835","באר יוסף &lt;מהדורה חדשה&gt; - 2 כר'")</f>
        <v>באר יוסף &lt;מהדורה חדשה&gt; - 2 כר'</v>
      </c>
    </row>
    <row r="4496" spans="1:6" x14ac:dyDescent="0.2">
      <c r="A4496" t="s">
        <v>8432</v>
      </c>
      <c r="B4496" t="s">
        <v>1750</v>
      </c>
      <c r="C4496" t="s">
        <v>87</v>
      </c>
      <c r="D4496" t="s">
        <v>14</v>
      </c>
      <c r="F4496" s="2" t="str">
        <f>HYPERLINK("http://www.otzar.org/book.asp?610654","באר יוסף צבי - 2 כר'")</f>
        <v>באר יוסף צבי - 2 כר'</v>
      </c>
    </row>
    <row r="4497" spans="1:6" x14ac:dyDescent="0.2">
      <c r="A4497" t="s">
        <v>8433</v>
      </c>
      <c r="B4497" t="s">
        <v>8434</v>
      </c>
      <c r="C4497" t="s">
        <v>13</v>
      </c>
      <c r="D4497" t="s">
        <v>14</v>
      </c>
      <c r="E4497" t="s">
        <v>202</v>
      </c>
      <c r="F4497" s="2" t="str">
        <f>HYPERLINK("http://www.otzar.org/book.asp?85692","באר יוסף - קובץ")</f>
        <v>באר יוסף - קובץ</v>
      </c>
    </row>
    <row r="4498" spans="1:6" x14ac:dyDescent="0.2">
      <c r="A4498" t="s">
        <v>8435</v>
      </c>
      <c r="B4498" t="s">
        <v>8431</v>
      </c>
      <c r="C4498" t="s">
        <v>422</v>
      </c>
      <c r="D4498" t="s">
        <v>14</v>
      </c>
      <c r="E4498" t="s">
        <v>230</v>
      </c>
      <c r="F4498" s="2" t="str">
        <f>HYPERLINK("http://www.otzar.org/book.asp?151105","באר יוסף - 4 כר'")</f>
        <v>באר יוסף - 4 כר'</v>
      </c>
    </row>
    <row r="4499" spans="1:6" x14ac:dyDescent="0.2">
      <c r="A4499" t="s">
        <v>8436</v>
      </c>
      <c r="B4499" t="s">
        <v>8437</v>
      </c>
      <c r="C4499" t="s">
        <v>23</v>
      </c>
      <c r="D4499" t="s">
        <v>21</v>
      </c>
      <c r="E4499" t="s">
        <v>202</v>
      </c>
      <c r="F4499" s="2" t="str">
        <f>HYPERLINK("http://www.otzar.org/book.asp?197707","באר יוסף")</f>
        <v>באר יוסף</v>
      </c>
    </row>
    <row r="4500" spans="1:6" x14ac:dyDescent="0.2">
      <c r="A4500" t="s">
        <v>8438</v>
      </c>
      <c r="B4500" t="s">
        <v>8439</v>
      </c>
      <c r="C4500" t="s">
        <v>143</v>
      </c>
      <c r="D4500" t="s">
        <v>14</v>
      </c>
      <c r="E4500" t="s">
        <v>144</v>
      </c>
      <c r="F4500" s="2" t="str">
        <f>HYPERLINK("http://www.otzar.org/book.asp?193737","באר יעקב - 2 כר'")</f>
        <v>באר יעקב - 2 כר'</v>
      </c>
    </row>
    <row r="4501" spans="1:6" x14ac:dyDescent="0.2">
      <c r="A4501" t="s">
        <v>8438</v>
      </c>
      <c r="B4501" t="s">
        <v>8440</v>
      </c>
      <c r="C4501" t="s">
        <v>2289</v>
      </c>
      <c r="D4501" t="s">
        <v>2303</v>
      </c>
      <c r="F4501" s="2" t="str">
        <f>HYPERLINK("http://www.otzar.org/book.asp?620274","באר יעקב - 2 כר'")</f>
        <v>באר יעקב - 2 כר'</v>
      </c>
    </row>
    <row r="4502" spans="1:6" x14ac:dyDescent="0.2">
      <c r="A4502" t="s">
        <v>2201</v>
      </c>
      <c r="B4502" t="s">
        <v>8441</v>
      </c>
      <c r="C4502" t="s">
        <v>156</v>
      </c>
      <c r="D4502" t="s">
        <v>56</v>
      </c>
      <c r="E4502" t="s">
        <v>172</v>
      </c>
      <c r="F4502" s="2" t="str">
        <f>HYPERLINK("http://www.otzar.org/book.asp?300296","באר יעקב")</f>
        <v>באר יעקב</v>
      </c>
    </row>
    <row r="4503" spans="1:6" x14ac:dyDescent="0.2">
      <c r="A4503" t="s">
        <v>8438</v>
      </c>
      <c r="B4503" t="s">
        <v>8442</v>
      </c>
      <c r="C4503" t="s">
        <v>23</v>
      </c>
      <c r="D4503" t="s">
        <v>52</v>
      </c>
      <c r="E4503" t="s">
        <v>144</v>
      </c>
      <c r="F4503" s="2" t="str">
        <f>HYPERLINK("http://www.otzar.org/book.asp?192822","באר יעקב - 2 כר'")</f>
        <v>באר יעקב - 2 כר'</v>
      </c>
    </row>
    <row r="4504" spans="1:6" x14ac:dyDescent="0.2">
      <c r="A4504" t="s">
        <v>2201</v>
      </c>
      <c r="B4504" t="s">
        <v>8443</v>
      </c>
      <c r="C4504" t="s">
        <v>422</v>
      </c>
      <c r="D4504" t="s">
        <v>14</v>
      </c>
      <c r="F4504" s="2" t="str">
        <f>HYPERLINK("http://www.otzar.org/book.asp?85730","באר יעקב")</f>
        <v>באר יעקב</v>
      </c>
    </row>
    <row r="4505" spans="1:6" x14ac:dyDescent="0.2">
      <c r="A4505" t="s">
        <v>8444</v>
      </c>
      <c r="B4505" t="s">
        <v>8445</v>
      </c>
      <c r="C4505" t="s">
        <v>8446</v>
      </c>
      <c r="D4505" t="s">
        <v>260</v>
      </c>
      <c r="E4505" t="s">
        <v>144</v>
      </c>
      <c r="F4505" s="2" t="str">
        <f>HYPERLINK("http://www.otzar.org/book.asp?23759","באר יעקב - א")</f>
        <v>באר יעקב - א</v>
      </c>
    </row>
    <row r="4506" spans="1:6" x14ac:dyDescent="0.2">
      <c r="A4506" t="s">
        <v>2201</v>
      </c>
      <c r="B4506" t="s">
        <v>8447</v>
      </c>
      <c r="C4506" t="s">
        <v>2644</v>
      </c>
      <c r="D4506" t="s">
        <v>56</v>
      </c>
      <c r="E4506" t="s">
        <v>15</v>
      </c>
      <c r="F4506" s="2" t="str">
        <f>HYPERLINK("http://www.otzar.org/book.asp?100407","באר יעקב")</f>
        <v>באר יעקב</v>
      </c>
    </row>
    <row r="4507" spans="1:6" x14ac:dyDescent="0.2">
      <c r="A4507" t="s">
        <v>8448</v>
      </c>
      <c r="B4507" t="s">
        <v>8449</v>
      </c>
      <c r="C4507" t="s">
        <v>8450</v>
      </c>
      <c r="D4507" t="s">
        <v>76</v>
      </c>
      <c r="E4507" t="s">
        <v>474</v>
      </c>
      <c r="F4507" s="2" t="str">
        <f>HYPERLINK("http://www.otzar.org/book.asp?189468","באר יצחק")</f>
        <v>באר יצחק</v>
      </c>
    </row>
    <row r="4508" spans="1:6" x14ac:dyDescent="0.2">
      <c r="A4508" t="s">
        <v>8448</v>
      </c>
      <c r="B4508" t="s">
        <v>531</v>
      </c>
      <c r="C4508" t="s">
        <v>1844</v>
      </c>
      <c r="D4508" t="s">
        <v>212</v>
      </c>
      <c r="E4508" t="s">
        <v>158</v>
      </c>
      <c r="F4508" s="2" t="str">
        <f>HYPERLINK("http://www.otzar.org/book.asp?6831","באר יצחק")</f>
        <v>באר יצחק</v>
      </c>
    </row>
    <row r="4509" spans="1:6" x14ac:dyDescent="0.2">
      <c r="A4509" t="s">
        <v>8448</v>
      </c>
      <c r="B4509" t="s">
        <v>8451</v>
      </c>
      <c r="C4509" t="s">
        <v>360</v>
      </c>
      <c r="D4509" t="s">
        <v>27</v>
      </c>
      <c r="E4509" t="s">
        <v>84</v>
      </c>
      <c r="F4509" s="2" t="str">
        <f>HYPERLINK("http://www.otzar.org/book.asp?21883","באר יצחק")</f>
        <v>באר יצחק</v>
      </c>
    </row>
    <row r="4510" spans="1:6" x14ac:dyDescent="0.2">
      <c r="A4510" t="s">
        <v>8448</v>
      </c>
      <c r="B4510" t="s">
        <v>8452</v>
      </c>
      <c r="C4510" t="s">
        <v>617</v>
      </c>
      <c r="D4510" t="s">
        <v>27</v>
      </c>
      <c r="E4510" t="s">
        <v>15</v>
      </c>
      <c r="F4510" s="2" t="str">
        <f>HYPERLINK("http://www.otzar.org/book.asp?189340","באר יצחק")</f>
        <v>באר יצחק</v>
      </c>
    </row>
    <row r="4511" spans="1:6" x14ac:dyDescent="0.2">
      <c r="A4511" t="s">
        <v>8453</v>
      </c>
      <c r="B4511" t="s">
        <v>8454</v>
      </c>
      <c r="C4511" t="s">
        <v>624</v>
      </c>
      <c r="D4511" t="s">
        <v>14</v>
      </c>
      <c r="E4511" t="s">
        <v>202</v>
      </c>
      <c r="F4511" s="2" t="str">
        <f>HYPERLINK("http://www.otzar.org/book.asp?627819","באר יצחק - ביצה")</f>
        <v>באר יצחק - ביצה</v>
      </c>
    </row>
    <row r="4512" spans="1:6" x14ac:dyDescent="0.2">
      <c r="A4512" t="s">
        <v>8455</v>
      </c>
      <c r="B4512" t="s">
        <v>8456</v>
      </c>
      <c r="C4512" t="s">
        <v>185</v>
      </c>
      <c r="D4512" t="s">
        <v>412</v>
      </c>
      <c r="E4512" t="s">
        <v>230</v>
      </c>
      <c r="F4512" s="2" t="str">
        <f>HYPERLINK("http://www.otzar.org/book.asp?631162","באר יצחק - 2 כר'")</f>
        <v>באר יצחק - 2 כר'</v>
      </c>
    </row>
    <row r="4513" spans="1:6" x14ac:dyDescent="0.2">
      <c r="A4513" t="s">
        <v>8455</v>
      </c>
      <c r="B4513" t="s">
        <v>3900</v>
      </c>
      <c r="C4513" t="s">
        <v>129</v>
      </c>
      <c r="D4513" t="s">
        <v>152</v>
      </c>
      <c r="E4513" t="s">
        <v>148</v>
      </c>
      <c r="F4513" s="2" t="str">
        <f>HYPERLINK("http://www.otzar.org/book.asp?189208","באר יצחק - 2 כר'")</f>
        <v>באר יצחק - 2 כר'</v>
      </c>
    </row>
    <row r="4514" spans="1:6" x14ac:dyDescent="0.2">
      <c r="A4514" t="s">
        <v>8455</v>
      </c>
      <c r="B4514" t="s">
        <v>8457</v>
      </c>
      <c r="C4514" t="s">
        <v>129</v>
      </c>
      <c r="D4514" t="s">
        <v>52</v>
      </c>
      <c r="E4514" t="s">
        <v>3798</v>
      </c>
      <c r="F4514" s="2" t="str">
        <f>HYPERLINK("http://www.otzar.org/book.asp?145272","באר יצחק - 2 כר'")</f>
        <v>באר יצחק - 2 כר'</v>
      </c>
    </row>
    <row r="4515" spans="1:6" x14ac:dyDescent="0.2">
      <c r="A4515" t="s">
        <v>8458</v>
      </c>
      <c r="B4515" t="s">
        <v>8459</v>
      </c>
      <c r="C4515" t="s">
        <v>37</v>
      </c>
      <c r="D4515" t="s">
        <v>14</v>
      </c>
      <c r="E4515" t="s">
        <v>144</v>
      </c>
      <c r="F4515" s="2" t="str">
        <f>HYPERLINK("http://www.otzar.org/book.asp?608118","באר יצחק - 4 כר'")</f>
        <v>באר יצחק - 4 כר'</v>
      </c>
    </row>
    <row r="4516" spans="1:6" x14ac:dyDescent="0.2">
      <c r="A4516" t="s">
        <v>8460</v>
      </c>
      <c r="B4516" t="s">
        <v>8461</v>
      </c>
      <c r="C4516" t="s">
        <v>8462</v>
      </c>
      <c r="D4516" t="s">
        <v>8463</v>
      </c>
      <c r="E4516" t="s">
        <v>144</v>
      </c>
      <c r="F4516" s="2" t="str">
        <f>HYPERLINK("http://www.otzar.org/book.asp?9355","באר יצחק - 3 כר'")</f>
        <v>באר יצחק - 3 כר'</v>
      </c>
    </row>
    <row r="4517" spans="1:6" x14ac:dyDescent="0.2">
      <c r="A4517" t="s">
        <v>8455</v>
      </c>
      <c r="B4517" t="s">
        <v>8464</v>
      </c>
      <c r="C4517" t="s">
        <v>1160</v>
      </c>
      <c r="D4517" t="s">
        <v>14</v>
      </c>
      <c r="E4517" t="s">
        <v>158</v>
      </c>
      <c r="F4517" s="2" t="str">
        <f>HYPERLINK("http://www.otzar.org/book.asp?14061","באר יצחק - 2 כר'")</f>
        <v>באר יצחק - 2 כר'</v>
      </c>
    </row>
    <row r="4518" spans="1:6" x14ac:dyDescent="0.2">
      <c r="A4518" t="s">
        <v>8448</v>
      </c>
      <c r="B4518" t="s">
        <v>8465</v>
      </c>
      <c r="C4518" t="s">
        <v>2105</v>
      </c>
      <c r="D4518" t="s">
        <v>9</v>
      </c>
      <c r="E4518" t="s">
        <v>564</v>
      </c>
      <c r="F4518" s="2" t="str">
        <f>HYPERLINK("http://www.otzar.org/book.asp?141227","באר יצחק")</f>
        <v>באר יצחק</v>
      </c>
    </row>
    <row r="4519" spans="1:6" x14ac:dyDescent="0.2">
      <c r="A4519" t="s">
        <v>8448</v>
      </c>
      <c r="B4519" t="s">
        <v>5168</v>
      </c>
      <c r="C4519" t="s">
        <v>1706</v>
      </c>
      <c r="D4519" t="s">
        <v>535</v>
      </c>
      <c r="E4519" t="s">
        <v>154</v>
      </c>
      <c r="F4519" s="2" t="str">
        <f>HYPERLINK("http://www.otzar.org/book.asp?100410","באר יצחק")</f>
        <v>באר יצחק</v>
      </c>
    </row>
    <row r="4520" spans="1:6" x14ac:dyDescent="0.2">
      <c r="A4520" t="s">
        <v>8466</v>
      </c>
      <c r="B4520" t="s">
        <v>8467</v>
      </c>
      <c r="C4520" t="s">
        <v>8468</v>
      </c>
      <c r="D4520" t="s">
        <v>283</v>
      </c>
      <c r="E4520" t="s">
        <v>8469</v>
      </c>
      <c r="F4520" s="2" t="str">
        <f>HYPERLINK("http://www.otzar.org/book.asp?15968","באר יצחק - 5 כר'")</f>
        <v>באר יצחק - 5 כר'</v>
      </c>
    </row>
    <row r="4521" spans="1:6" x14ac:dyDescent="0.2">
      <c r="A4521" t="s">
        <v>8470</v>
      </c>
      <c r="B4521" t="s">
        <v>8471</v>
      </c>
      <c r="C4521" t="s">
        <v>133</v>
      </c>
      <c r="D4521" t="s">
        <v>412</v>
      </c>
      <c r="E4521" t="s">
        <v>1211</v>
      </c>
      <c r="F4521" s="2" t="str">
        <f>HYPERLINK("http://www.otzar.org/book.asp?193465","באר יצחק - קרבן פסח")</f>
        <v>באר יצחק - קרבן פסח</v>
      </c>
    </row>
    <row r="4522" spans="1:6" x14ac:dyDescent="0.2">
      <c r="A4522" t="s">
        <v>8455</v>
      </c>
      <c r="B4522" t="s">
        <v>8472</v>
      </c>
      <c r="C4522" t="s">
        <v>523</v>
      </c>
      <c r="D4522" t="s">
        <v>52</v>
      </c>
      <c r="E4522" t="s">
        <v>1174</v>
      </c>
      <c r="F4522" s="2" t="str">
        <f>HYPERLINK("http://www.otzar.org/book.asp?612100","באר יצחק - 2 כר'")</f>
        <v>באר יצחק - 2 כר'</v>
      </c>
    </row>
    <row r="4523" spans="1:6" x14ac:dyDescent="0.2">
      <c r="A4523" t="s">
        <v>8473</v>
      </c>
      <c r="B4523" t="s">
        <v>8474</v>
      </c>
      <c r="C4523" t="s">
        <v>422</v>
      </c>
      <c r="D4523" t="s">
        <v>14</v>
      </c>
      <c r="E4523" t="s">
        <v>144</v>
      </c>
      <c r="F4523" s="2" t="str">
        <f>HYPERLINK("http://www.otzar.org/book.asp?153116","באר יצחק - גיטין")</f>
        <v>באר יצחק - גיטין</v>
      </c>
    </row>
    <row r="4524" spans="1:6" x14ac:dyDescent="0.2">
      <c r="A4524" t="s">
        <v>8448</v>
      </c>
      <c r="B4524" t="s">
        <v>8475</v>
      </c>
      <c r="C4524" t="s">
        <v>8476</v>
      </c>
      <c r="D4524" t="s">
        <v>7163</v>
      </c>
      <c r="E4524" t="s">
        <v>158</v>
      </c>
      <c r="F4524" s="2" t="str">
        <f>HYPERLINK("http://www.otzar.org/book.asp?151628","באר יצחק")</f>
        <v>באר יצחק</v>
      </c>
    </row>
    <row r="4525" spans="1:6" x14ac:dyDescent="0.2">
      <c r="A4525" t="s">
        <v>8455</v>
      </c>
      <c r="B4525" t="s">
        <v>8477</v>
      </c>
      <c r="C4525" t="s">
        <v>20</v>
      </c>
      <c r="D4525" t="s">
        <v>115</v>
      </c>
      <c r="F4525" s="2" t="str">
        <f>HYPERLINK("http://www.otzar.org/book.asp?614727","באר יצחק - 2 כר'")</f>
        <v>באר יצחק - 2 כר'</v>
      </c>
    </row>
    <row r="4526" spans="1:6" x14ac:dyDescent="0.2">
      <c r="A4526" t="s">
        <v>8448</v>
      </c>
      <c r="B4526" t="s">
        <v>8478</v>
      </c>
      <c r="C4526" t="s">
        <v>114</v>
      </c>
      <c r="D4526" t="s">
        <v>6133</v>
      </c>
      <c r="E4526" t="s">
        <v>43</v>
      </c>
      <c r="F4526" s="2" t="str">
        <f>HYPERLINK("http://www.otzar.org/book.asp?623302","באר יצחק")</f>
        <v>באר יצחק</v>
      </c>
    </row>
    <row r="4527" spans="1:6" x14ac:dyDescent="0.2">
      <c r="A4527" t="s">
        <v>8448</v>
      </c>
      <c r="B4527" t="s">
        <v>8479</v>
      </c>
      <c r="C4527" t="s">
        <v>454</v>
      </c>
      <c r="D4527" t="s">
        <v>14</v>
      </c>
      <c r="E4527" t="s">
        <v>399</v>
      </c>
      <c r="F4527" s="2" t="str">
        <f>HYPERLINK("http://www.otzar.org/book.asp?148724","באר יצחק")</f>
        <v>באר יצחק</v>
      </c>
    </row>
    <row r="4528" spans="1:6" x14ac:dyDescent="0.2">
      <c r="A4528" t="s">
        <v>8460</v>
      </c>
      <c r="B4528" t="s">
        <v>1381</v>
      </c>
      <c r="C4528" t="s">
        <v>46</v>
      </c>
      <c r="D4528" t="s">
        <v>9</v>
      </c>
      <c r="E4528" t="s">
        <v>154</v>
      </c>
      <c r="F4528" s="2" t="str">
        <f>HYPERLINK("http://www.otzar.org/book.asp?100193","באר יצחק - 3 כר'")</f>
        <v>באר יצחק - 3 כר'</v>
      </c>
    </row>
    <row r="4529" spans="1:6" x14ac:dyDescent="0.2">
      <c r="A4529" t="s">
        <v>8460</v>
      </c>
      <c r="B4529" t="s">
        <v>8480</v>
      </c>
      <c r="C4529" t="s">
        <v>383</v>
      </c>
      <c r="D4529" t="s">
        <v>14</v>
      </c>
      <c r="E4529" t="s">
        <v>148</v>
      </c>
      <c r="F4529" s="2" t="str">
        <f>HYPERLINK("http://www.otzar.org/book.asp?105745","באר יצחק - 3 כר'")</f>
        <v>באר יצחק - 3 כר'</v>
      </c>
    </row>
    <row r="4530" spans="1:6" x14ac:dyDescent="0.2">
      <c r="A4530" t="s">
        <v>8448</v>
      </c>
      <c r="B4530" t="s">
        <v>8481</v>
      </c>
      <c r="C4530" t="s">
        <v>946</v>
      </c>
      <c r="D4530" t="s">
        <v>30</v>
      </c>
      <c r="E4530" t="s">
        <v>8482</v>
      </c>
      <c r="F4530" s="2" t="str">
        <f>HYPERLINK("http://www.otzar.org/book.asp?300365","באר יצחק")</f>
        <v>באר יצחק</v>
      </c>
    </row>
    <row r="4531" spans="1:6" x14ac:dyDescent="0.2">
      <c r="A4531" t="s">
        <v>8448</v>
      </c>
      <c r="B4531" t="s">
        <v>8483</v>
      </c>
      <c r="C4531" t="s">
        <v>26</v>
      </c>
      <c r="D4531" t="s">
        <v>14</v>
      </c>
      <c r="E4531" t="s">
        <v>8484</v>
      </c>
      <c r="F4531" s="2" t="str">
        <f>HYPERLINK("http://www.otzar.org/book.asp?300368","באר יצחק")</f>
        <v>באר יצחק</v>
      </c>
    </row>
    <row r="4532" spans="1:6" x14ac:dyDescent="0.2">
      <c r="A4532" t="s">
        <v>8485</v>
      </c>
      <c r="B4532" t="s">
        <v>8486</v>
      </c>
      <c r="C4532" t="s">
        <v>68</v>
      </c>
      <c r="D4532" t="s">
        <v>14</v>
      </c>
      <c r="E4532" t="s">
        <v>144</v>
      </c>
      <c r="F4532" s="2" t="str">
        <f>HYPERLINK("http://www.otzar.org/book.asp?158501","באר ישראל - 2 כר'")</f>
        <v>באר ישראל - 2 כר'</v>
      </c>
    </row>
    <row r="4533" spans="1:6" x14ac:dyDescent="0.2">
      <c r="A4533" t="s">
        <v>8487</v>
      </c>
      <c r="B4533" t="s">
        <v>8488</v>
      </c>
      <c r="C4533" t="s">
        <v>411</v>
      </c>
      <c r="D4533" t="s">
        <v>21</v>
      </c>
      <c r="E4533" t="s">
        <v>246</v>
      </c>
      <c r="F4533" s="2" t="str">
        <f>HYPERLINK("http://www.otzar.org/book.asp?605000","באר ישראל - 5 כר'")</f>
        <v>באר ישראל - 5 כר'</v>
      </c>
    </row>
    <row r="4534" spans="1:6" x14ac:dyDescent="0.2">
      <c r="A4534" t="s">
        <v>8489</v>
      </c>
      <c r="B4534" t="s">
        <v>8490</v>
      </c>
      <c r="C4534" t="s">
        <v>576</v>
      </c>
      <c r="D4534" t="s">
        <v>691</v>
      </c>
      <c r="E4534" t="s">
        <v>241</v>
      </c>
      <c r="F4534" s="2" t="str">
        <f>HYPERLINK("http://www.otzar.org/book.asp?107352","באר ישראל")</f>
        <v>באר ישראל</v>
      </c>
    </row>
    <row r="4535" spans="1:6" x14ac:dyDescent="0.2">
      <c r="A4535" t="s">
        <v>8491</v>
      </c>
      <c r="B4535" t="s">
        <v>5066</v>
      </c>
      <c r="C4535" t="s">
        <v>248</v>
      </c>
      <c r="D4535" t="s">
        <v>8492</v>
      </c>
      <c r="E4535" t="s">
        <v>43</v>
      </c>
      <c r="F4535" s="2" t="str">
        <f>HYPERLINK("http://www.otzar.org/book.asp?192223","באר לחי ראי - 2 כר'")</f>
        <v>באר לחי ראי - 2 כר'</v>
      </c>
    </row>
    <row r="4536" spans="1:6" x14ac:dyDescent="0.2">
      <c r="A4536" t="s">
        <v>8493</v>
      </c>
      <c r="B4536" t="s">
        <v>8494</v>
      </c>
      <c r="C4536" t="s">
        <v>129</v>
      </c>
      <c r="D4536" t="s">
        <v>14</v>
      </c>
      <c r="F4536" s="2" t="str">
        <f>HYPERLINK("http://www.otzar.org/book.asp?168279","באר לחי ראי - 6 כר'")</f>
        <v>באר לחי ראי - 6 כר'</v>
      </c>
    </row>
    <row r="4537" spans="1:6" x14ac:dyDescent="0.2">
      <c r="A4537" t="s">
        <v>8495</v>
      </c>
      <c r="B4537" t="s">
        <v>8496</v>
      </c>
      <c r="C4537" t="s">
        <v>17</v>
      </c>
      <c r="D4537" t="s">
        <v>52</v>
      </c>
      <c r="E4537" t="s">
        <v>10</v>
      </c>
      <c r="F4537" s="2" t="str">
        <f>HYPERLINK("http://www.otzar.org/book.asp?28150","באר לחי רואי")</f>
        <v>באר לחי רואי</v>
      </c>
    </row>
    <row r="4538" spans="1:6" x14ac:dyDescent="0.2">
      <c r="A4538" t="s">
        <v>8497</v>
      </c>
      <c r="B4538" t="s">
        <v>8498</v>
      </c>
      <c r="C4538" t="s">
        <v>2874</v>
      </c>
      <c r="D4538" t="s">
        <v>3007</v>
      </c>
      <c r="E4538" t="s">
        <v>234</v>
      </c>
      <c r="F4538" s="2" t="str">
        <f>HYPERLINK("http://www.otzar.org/book.asp?141228","באר לחי")</f>
        <v>באר לחי</v>
      </c>
    </row>
    <row r="4539" spans="1:6" x14ac:dyDescent="0.2">
      <c r="A4539" t="s">
        <v>8497</v>
      </c>
      <c r="B4539" t="s">
        <v>8499</v>
      </c>
      <c r="C4539" t="s">
        <v>111</v>
      </c>
      <c r="D4539" t="s">
        <v>1180</v>
      </c>
      <c r="E4539" t="s">
        <v>158</v>
      </c>
      <c r="F4539" s="2" t="str">
        <f>HYPERLINK("http://www.otzar.org/book.asp?627523","באר לחי")</f>
        <v>באר לחי</v>
      </c>
    </row>
    <row r="4540" spans="1:6" x14ac:dyDescent="0.2">
      <c r="A4540" t="s">
        <v>8500</v>
      </c>
      <c r="B4540" t="s">
        <v>8501</v>
      </c>
      <c r="C4540" t="s">
        <v>429</v>
      </c>
      <c r="D4540" t="s">
        <v>212</v>
      </c>
      <c r="E4540" t="s">
        <v>8502</v>
      </c>
      <c r="F4540" s="2" t="str">
        <f>HYPERLINK("http://www.otzar.org/book.asp?17260","באר לחי - 2 כר'")</f>
        <v>באר לחי - 2 כר'</v>
      </c>
    </row>
    <row r="4541" spans="1:6" x14ac:dyDescent="0.2">
      <c r="A4541" t="s">
        <v>8497</v>
      </c>
      <c r="B4541" t="s">
        <v>2396</v>
      </c>
      <c r="C4541" t="s">
        <v>17</v>
      </c>
      <c r="D4541" t="s">
        <v>1076</v>
      </c>
      <c r="E4541" t="s">
        <v>144</v>
      </c>
      <c r="F4541" s="2" t="str">
        <f>HYPERLINK("http://www.otzar.org/book.asp?22894","באר לחי")</f>
        <v>באר לחי</v>
      </c>
    </row>
    <row r="4542" spans="1:6" x14ac:dyDescent="0.2">
      <c r="A4542" t="s">
        <v>8503</v>
      </c>
      <c r="B4542" t="s">
        <v>8504</v>
      </c>
      <c r="C4542" t="s">
        <v>176</v>
      </c>
      <c r="D4542" t="s">
        <v>6853</v>
      </c>
      <c r="E4542" t="s">
        <v>1262</v>
      </c>
      <c r="F4542" s="2" t="str">
        <f>HYPERLINK("http://www.otzar.org/book.asp?63173","באר מגד ירחים")</f>
        <v>באר מגד ירחים</v>
      </c>
    </row>
    <row r="4543" spans="1:6" x14ac:dyDescent="0.2">
      <c r="A4543" t="s">
        <v>8505</v>
      </c>
      <c r="B4543" t="s">
        <v>8506</v>
      </c>
      <c r="C4543" t="s">
        <v>23</v>
      </c>
      <c r="D4543" t="s">
        <v>90</v>
      </c>
      <c r="E4543" t="s">
        <v>202</v>
      </c>
      <c r="F4543" s="2" t="str">
        <f>HYPERLINK("http://www.otzar.org/book.asp?182121","באר מחוקק - 2 כר'")</f>
        <v>באר מחוקק - 2 כר'</v>
      </c>
    </row>
    <row r="4544" spans="1:6" x14ac:dyDescent="0.2">
      <c r="A4544" t="s">
        <v>8507</v>
      </c>
      <c r="B4544" t="s">
        <v>8508</v>
      </c>
      <c r="C4544" t="s">
        <v>1310</v>
      </c>
      <c r="D4544" t="s">
        <v>280</v>
      </c>
      <c r="E4544" t="s">
        <v>219</v>
      </c>
      <c r="F4544" s="2" t="str">
        <f>HYPERLINK("http://www.otzar.org/book.asp?177228","באר מיכל")</f>
        <v>באר מיכל</v>
      </c>
    </row>
    <row r="4545" spans="1:6" x14ac:dyDescent="0.2">
      <c r="A4545" t="s">
        <v>8509</v>
      </c>
      <c r="B4545" t="s">
        <v>8510</v>
      </c>
      <c r="C4545" t="s">
        <v>37</v>
      </c>
      <c r="D4545" t="s">
        <v>1356</v>
      </c>
      <c r="E4545" t="s">
        <v>154</v>
      </c>
      <c r="F4545" s="2" t="str">
        <f>HYPERLINK("http://www.otzar.org/book.asp?192306","באר מים חיים &lt;מהדורה חדשה&gt;")</f>
        <v>באר מים חיים &lt;מהדורה חדשה&gt;</v>
      </c>
    </row>
    <row r="4546" spans="1:6" x14ac:dyDescent="0.2">
      <c r="A4546" t="s">
        <v>8509</v>
      </c>
      <c r="B4546" t="s">
        <v>8511</v>
      </c>
      <c r="C4546" t="s">
        <v>133</v>
      </c>
      <c r="D4546" t="s">
        <v>412</v>
      </c>
      <c r="E4546" t="s">
        <v>15</v>
      </c>
      <c r="F4546" s="2" t="str">
        <f>HYPERLINK("http://www.otzar.org/book.asp?195457","באר מים חיים &lt;מהדורה חדשה&gt;")</f>
        <v>באר מים חיים &lt;מהדורה חדשה&gt;</v>
      </c>
    </row>
    <row r="4547" spans="1:6" x14ac:dyDescent="0.2">
      <c r="A4547" t="s">
        <v>8512</v>
      </c>
      <c r="B4547" t="s">
        <v>8513</v>
      </c>
      <c r="C4547" t="s">
        <v>5334</v>
      </c>
      <c r="D4547" t="s">
        <v>267</v>
      </c>
      <c r="E4547" t="s">
        <v>213</v>
      </c>
      <c r="F4547" s="2" t="str">
        <f>HYPERLINK("http://www.otzar.org/book.asp?146844","באר מים חיים")</f>
        <v>באר מים חיים</v>
      </c>
    </row>
    <row r="4548" spans="1:6" x14ac:dyDescent="0.2">
      <c r="A4548" t="s">
        <v>8512</v>
      </c>
      <c r="B4548" t="s">
        <v>8514</v>
      </c>
      <c r="C4548" t="s">
        <v>129</v>
      </c>
      <c r="D4548" t="s">
        <v>52</v>
      </c>
      <c r="E4548" t="s">
        <v>186</v>
      </c>
      <c r="F4548" s="2" t="str">
        <f>HYPERLINK("http://www.otzar.org/book.asp?85246","באר מים חיים")</f>
        <v>באר מים חיים</v>
      </c>
    </row>
    <row r="4549" spans="1:6" x14ac:dyDescent="0.2">
      <c r="A4549" t="s">
        <v>8512</v>
      </c>
      <c r="B4549" t="s">
        <v>8515</v>
      </c>
      <c r="C4549" t="s">
        <v>146</v>
      </c>
      <c r="D4549" t="s">
        <v>90</v>
      </c>
      <c r="E4549" t="s">
        <v>158</v>
      </c>
      <c r="F4549" s="2" t="str">
        <f>HYPERLINK("http://www.otzar.org/book.asp?610822","באר מים חיים")</f>
        <v>באר מים חיים</v>
      </c>
    </row>
    <row r="4550" spans="1:6" x14ac:dyDescent="0.2">
      <c r="A4550" t="s">
        <v>8512</v>
      </c>
      <c r="B4550" t="s">
        <v>8510</v>
      </c>
      <c r="C4550" t="s">
        <v>1519</v>
      </c>
      <c r="D4550" t="s">
        <v>212</v>
      </c>
      <c r="E4550" t="s">
        <v>154</v>
      </c>
      <c r="F4550" s="2" t="str">
        <f>HYPERLINK("http://www.otzar.org/book.asp?101226","באר מים חיים")</f>
        <v>באר מים חיים</v>
      </c>
    </row>
    <row r="4551" spans="1:6" x14ac:dyDescent="0.2">
      <c r="A4551" t="s">
        <v>8512</v>
      </c>
      <c r="B4551" t="s">
        <v>8516</v>
      </c>
      <c r="C4551" t="s">
        <v>4404</v>
      </c>
      <c r="D4551" t="s">
        <v>76</v>
      </c>
      <c r="E4551" t="s">
        <v>435</v>
      </c>
      <c r="F4551" s="2" t="str">
        <f>HYPERLINK("http://www.otzar.org/book.asp?107335","באר מים חיים")</f>
        <v>באר מים חיים</v>
      </c>
    </row>
    <row r="4552" spans="1:6" x14ac:dyDescent="0.2">
      <c r="A4552" t="s">
        <v>8512</v>
      </c>
      <c r="B4552" t="s">
        <v>8517</v>
      </c>
      <c r="C4552" t="s">
        <v>63</v>
      </c>
      <c r="D4552" t="s">
        <v>118</v>
      </c>
      <c r="E4552" t="s">
        <v>154</v>
      </c>
      <c r="F4552" s="2" t="str">
        <f>HYPERLINK("http://www.otzar.org/book.asp?9396","באר מים חיים")</f>
        <v>באר מים חיים</v>
      </c>
    </row>
    <row r="4553" spans="1:6" x14ac:dyDescent="0.2">
      <c r="A4553" t="s">
        <v>8518</v>
      </c>
      <c r="B4553" t="s">
        <v>8519</v>
      </c>
      <c r="C4553" t="s">
        <v>1310</v>
      </c>
      <c r="D4553" t="s">
        <v>1422</v>
      </c>
      <c r="E4553" t="s">
        <v>158</v>
      </c>
      <c r="F4553" s="2" t="str">
        <f>HYPERLINK("http://www.otzar.org/book.asp?189374","באר מים חיים - בראשית")</f>
        <v>באר מים חיים - בראשית</v>
      </c>
    </row>
    <row r="4554" spans="1:6" x14ac:dyDescent="0.2">
      <c r="A4554" t="s">
        <v>8520</v>
      </c>
      <c r="B4554" t="s">
        <v>1472</v>
      </c>
      <c r="C4554" t="s">
        <v>180</v>
      </c>
      <c r="D4554" t="s">
        <v>646</v>
      </c>
      <c r="E4554" t="s">
        <v>957</v>
      </c>
      <c r="F4554" s="2" t="str">
        <f>HYPERLINK("http://www.otzar.org/book.asp?14241","באר מים חיים - 3 כר'")</f>
        <v>באר מים חיים - 3 כר'</v>
      </c>
    </row>
    <row r="4555" spans="1:6" x14ac:dyDescent="0.2">
      <c r="A4555" t="s">
        <v>8521</v>
      </c>
      <c r="B4555" t="s">
        <v>7723</v>
      </c>
      <c r="C4555" t="s">
        <v>568</v>
      </c>
      <c r="D4555" t="s">
        <v>8522</v>
      </c>
      <c r="E4555" t="s">
        <v>158</v>
      </c>
      <c r="F4555" s="2" t="str">
        <f>HYPERLINK("http://www.otzar.org/book.asp?601804","באר מים חיים - 9 כר'")</f>
        <v>באר מים חיים - 9 כר'</v>
      </c>
    </row>
    <row r="4556" spans="1:6" x14ac:dyDescent="0.2">
      <c r="A4556" t="s">
        <v>8523</v>
      </c>
      <c r="B4556" t="s">
        <v>8524</v>
      </c>
      <c r="C4556" t="s">
        <v>2455</v>
      </c>
      <c r="D4556" t="s">
        <v>267</v>
      </c>
      <c r="E4556" t="s">
        <v>8525</v>
      </c>
      <c r="F4556" s="2" t="str">
        <f>HYPERLINK("http://www.otzar.org/book.asp?147075","באר מים חיים - 2 כר'")</f>
        <v>באר מים חיים - 2 כר'</v>
      </c>
    </row>
    <row r="4557" spans="1:6" x14ac:dyDescent="0.2">
      <c r="A4557" t="s">
        <v>8523</v>
      </c>
      <c r="B4557" t="s">
        <v>6067</v>
      </c>
      <c r="C4557" t="s">
        <v>20</v>
      </c>
      <c r="D4557" t="s">
        <v>90</v>
      </c>
      <c r="E4557" t="s">
        <v>158</v>
      </c>
      <c r="F4557" s="2" t="str">
        <f>HYPERLINK("http://www.otzar.org/book.asp?603147","באר מים חיים - 2 כר'")</f>
        <v>באר מים חיים - 2 כר'</v>
      </c>
    </row>
    <row r="4558" spans="1:6" x14ac:dyDescent="0.2">
      <c r="A4558" t="s">
        <v>8523</v>
      </c>
      <c r="B4558" t="s">
        <v>8526</v>
      </c>
      <c r="C4558" t="s">
        <v>543</v>
      </c>
      <c r="D4558" t="s">
        <v>76</v>
      </c>
      <c r="E4558" t="s">
        <v>930</v>
      </c>
      <c r="F4558" s="2" t="str">
        <f>HYPERLINK("http://www.otzar.org/book.asp?17262","באר מים חיים - 2 כר'")</f>
        <v>באר מים חיים - 2 כר'</v>
      </c>
    </row>
    <row r="4559" spans="1:6" x14ac:dyDescent="0.2">
      <c r="A4559" t="s">
        <v>8512</v>
      </c>
      <c r="B4559" t="s">
        <v>8527</v>
      </c>
      <c r="C4559" t="s">
        <v>362</v>
      </c>
      <c r="D4559" t="s">
        <v>56</v>
      </c>
      <c r="E4559" t="s">
        <v>144</v>
      </c>
      <c r="F4559" s="2" t="str">
        <f>HYPERLINK("http://www.otzar.org/book.asp?14022","באר מים חיים")</f>
        <v>באר מים חיים</v>
      </c>
    </row>
    <row r="4560" spans="1:6" x14ac:dyDescent="0.2">
      <c r="A4560" t="s">
        <v>8523</v>
      </c>
      <c r="B4560" t="s">
        <v>8511</v>
      </c>
      <c r="C4560" t="s">
        <v>330</v>
      </c>
      <c r="D4560" t="s">
        <v>76</v>
      </c>
      <c r="E4560" t="s">
        <v>1626</v>
      </c>
      <c r="F4560" s="2" t="str">
        <f>HYPERLINK("http://www.otzar.org/book.asp?147297","באר מים חיים - 2 כר'")</f>
        <v>באר מים חיים - 2 כר'</v>
      </c>
    </row>
    <row r="4561" spans="1:6" x14ac:dyDescent="0.2">
      <c r="A4561" t="s">
        <v>8512</v>
      </c>
      <c r="B4561" t="s">
        <v>8528</v>
      </c>
      <c r="C4561" t="s">
        <v>466</v>
      </c>
      <c r="D4561" t="s">
        <v>4665</v>
      </c>
      <c r="E4561" t="s">
        <v>202</v>
      </c>
      <c r="F4561" s="2" t="str">
        <f>HYPERLINK("http://www.otzar.org/book.asp?25705","באר מים חיים")</f>
        <v>באר מים חיים</v>
      </c>
    </row>
    <row r="4562" spans="1:6" x14ac:dyDescent="0.2">
      <c r="A4562" t="s">
        <v>8529</v>
      </c>
      <c r="B4562" t="s">
        <v>4174</v>
      </c>
      <c r="C4562" t="s">
        <v>23</v>
      </c>
      <c r="D4562" t="s">
        <v>14</v>
      </c>
      <c r="F4562" s="2" t="str">
        <f>HYPERLINK("http://www.otzar.org/book.asp?622928","באר מים חיים - טבילת כלים")</f>
        <v>באר מים חיים - טבילת כלים</v>
      </c>
    </row>
    <row r="4563" spans="1:6" x14ac:dyDescent="0.2">
      <c r="A4563" t="s">
        <v>8512</v>
      </c>
      <c r="B4563" t="s">
        <v>8530</v>
      </c>
      <c r="C4563" t="s">
        <v>23</v>
      </c>
      <c r="D4563" t="s">
        <v>80</v>
      </c>
      <c r="E4563" t="s">
        <v>104</v>
      </c>
      <c r="F4563" s="2" t="str">
        <f>HYPERLINK("http://www.otzar.org/book.asp?192299","באר מים חיים")</f>
        <v>באר מים חיים</v>
      </c>
    </row>
    <row r="4564" spans="1:6" x14ac:dyDescent="0.2">
      <c r="A4564" t="s">
        <v>8523</v>
      </c>
      <c r="B4564" t="s">
        <v>8531</v>
      </c>
      <c r="C4564" t="s">
        <v>8532</v>
      </c>
      <c r="D4564" t="s">
        <v>2038</v>
      </c>
      <c r="F4564" s="2" t="str">
        <f>HYPERLINK("http://www.otzar.org/book.asp?614539","באר מים חיים - 2 כר'")</f>
        <v>באר מים חיים - 2 כר'</v>
      </c>
    </row>
    <row r="4565" spans="1:6" x14ac:dyDescent="0.2">
      <c r="A4565" t="s">
        <v>8533</v>
      </c>
      <c r="B4565" t="s">
        <v>8534</v>
      </c>
      <c r="C4565" t="s">
        <v>2870</v>
      </c>
      <c r="D4565" t="s">
        <v>563</v>
      </c>
      <c r="E4565" t="s">
        <v>4435</v>
      </c>
      <c r="F4565" s="2" t="str">
        <f>HYPERLINK("http://www.otzar.org/book.asp?300364","באר מים")</f>
        <v>באר מים</v>
      </c>
    </row>
    <row r="4566" spans="1:6" x14ac:dyDescent="0.2">
      <c r="A4566" t="s">
        <v>8535</v>
      </c>
      <c r="B4566" t="s">
        <v>8536</v>
      </c>
      <c r="C4566" t="s">
        <v>151</v>
      </c>
      <c r="D4566" t="s">
        <v>14</v>
      </c>
      <c r="F4566" s="2" t="str">
        <f>HYPERLINK("http://www.otzar.org/book.asp?629641","באר מים - מקוואות")</f>
        <v>באר מים - מקוואות</v>
      </c>
    </row>
    <row r="4567" spans="1:6" x14ac:dyDescent="0.2">
      <c r="A4567" t="s">
        <v>8537</v>
      </c>
      <c r="B4567" t="s">
        <v>8538</v>
      </c>
      <c r="C4567" t="s">
        <v>496</v>
      </c>
      <c r="D4567" t="s">
        <v>225</v>
      </c>
      <c r="E4567" t="s">
        <v>43</v>
      </c>
      <c r="F4567" s="2" t="str">
        <f>HYPERLINK("http://www.otzar.org/book.asp?300372","באר מים - 4 כר'")</f>
        <v>באר מים - 4 כר'</v>
      </c>
    </row>
    <row r="4568" spans="1:6" x14ac:dyDescent="0.2">
      <c r="A4568" t="s">
        <v>8539</v>
      </c>
      <c r="B4568" t="s">
        <v>8540</v>
      </c>
      <c r="C4568" t="s">
        <v>1177</v>
      </c>
      <c r="D4568" t="s">
        <v>1279</v>
      </c>
      <c r="E4568" t="s">
        <v>2758</v>
      </c>
      <c r="F4568" s="2" t="str">
        <f>HYPERLINK("http://www.otzar.org/book.asp?104750","באר מים - 2 כר'")</f>
        <v>באר מים - 2 כר'</v>
      </c>
    </row>
    <row r="4569" spans="1:6" x14ac:dyDescent="0.2">
      <c r="A4569" t="s">
        <v>8533</v>
      </c>
      <c r="B4569" t="s">
        <v>8541</v>
      </c>
      <c r="C4569" t="s">
        <v>1524</v>
      </c>
      <c r="D4569" t="s">
        <v>544</v>
      </c>
      <c r="E4569" t="s">
        <v>8542</v>
      </c>
      <c r="F4569" s="2" t="str">
        <f>HYPERLINK("http://www.otzar.org/book.asp?8286","באר מים")</f>
        <v>באר מים</v>
      </c>
    </row>
    <row r="4570" spans="1:6" x14ac:dyDescent="0.2">
      <c r="A4570" t="s">
        <v>8533</v>
      </c>
      <c r="B4570" t="s">
        <v>8543</v>
      </c>
      <c r="C4570" t="s">
        <v>332</v>
      </c>
      <c r="D4570" t="s">
        <v>14</v>
      </c>
      <c r="E4570" t="s">
        <v>158</v>
      </c>
      <c r="F4570" s="2" t="str">
        <f>HYPERLINK("http://www.otzar.org/book.asp?159170","באר מים")</f>
        <v>באר מים</v>
      </c>
    </row>
    <row r="4571" spans="1:6" x14ac:dyDescent="0.2">
      <c r="A4571" t="s">
        <v>8533</v>
      </c>
      <c r="B4571" t="s">
        <v>8544</v>
      </c>
      <c r="C4571" t="s">
        <v>946</v>
      </c>
      <c r="D4571" t="s">
        <v>8545</v>
      </c>
      <c r="F4571" s="2" t="str">
        <f>HYPERLINK("http://www.otzar.org/book.asp?626441","באר מים")</f>
        <v>באר מים</v>
      </c>
    </row>
    <row r="4572" spans="1:6" x14ac:dyDescent="0.2">
      <c r="A4572" t="s">
        <v>8546</v>
      </c>
      <c r="B4572" t="s">
        <v>8403</v>
      </c>
      <c r="C4572" t="s">
        <v>23</v>
      </c>
      <c r="D4572" t="s">
        <v>1356</v>
      </c>
      <c r="E4572" t="s">
        <v>15</v>
      </c>
      <c r="F4572" s="2" t="str">
        <f>HYPERLINK("http://www.otzar.org/book.asp?192782","באר מלך - 5 כר'")</f>
        <v>באר מלך - 5 כר'</v>
      </c>
    </row>
    <row r="4573" spans="1:6" x14ac:dyDescent="0.2">
      <c r="A4573" t="s">
        <v>8547</v>
      </c>
      <c r="B4573" t="s">
        <v>8548</v>
      </c>
      <c r="C4573" t="s">
        <v>8549</v>
      </c>
      <c r="D4573" t="s">
        <v>8550</v>
      </c>
      <c r="E4573" t="s">
        <v>8551</v>
      </c>
      <c r="F4573" s="2" t="str">
        <f>HYPERLINK("http://www.otzar.org/book.asp?176592","באר מנחם - 2 כר'")</f>
        <v>באר מנחם - 2 כר'</v>
      </c>
    </row>
    <row r="4574" spans="1:6" x14ac:dyDescent="0.2">
      <c r="A4574" t="s">
        <v>8552</v>
      </c>
      <c r="B4574" t="s">
        <v>8553</v>
      </c>
      <c r="C4574" t="s">
        <v>99</v>
      </c>
      <c r="D4574" t="s">
        <v>27</v>
      </c>
      <c r="E4574" t="s">
        <v>213</v>
      </c>
      <c r="F4574" s="2" t="str">
        <f>HYPERLINK("http://www.otzar.org/book.asp?141229","באר מרדכי")</f>
        <v>באר מרדכי</v>
      </c>
    </row>
    <row r="4575" spans="1:6" x14ac:dyDescent="0.2">
      <c r="A4575" t="s">
        <v>8552</v>
      </c>
      <c r="B4575" t="s">
        <v>8554</v>
      </c>
      <c r="C4575" t="s">
        <v>8</v>
      </c>
      <c r="D4575" t="s">
        <v>8555</v>
      </c>
      <c r="F4575" s="2" t="str">
        <f>HYPERLINK("http://www.otzar.org/book.asp?169574","באר מרדכי")</f>
        <v>באר מרדכי</v>
      </c>
    </row>
    <row r="4576" spans="1:6" x14ac:dyDescent="0.2">
      <c r="A4576" t="s">
        <v>8556</v>
      </c>
      <c r="B4576" t="s">
        <v>8557</v>
      </c>
      <c r="C4576" t="s">
        <v>20</v>
      </c>
      <c r="D4576" t="s">
        <v>90</v>
      </c>
      <c r="E4576" t="s">
        <v>8558</v>
      </c>
      <c r="F4576" s="2" t="str">
        <f>HYPERLINK("http://www.otzar.org/book.asp?611699","באר מרים")</f>
        <v>באר מרים</v>
      </c>
    </row>
    <row r="4577" spans="1:6" x14ac:dyDescent="0.2">
      <c r="A4577" t="s">
        <v>8559</v>
      </c>
      <c r="B4577" t="s">
        <v>8560</v>
      </c>
      <c r="C4577" t="s">
        <v>151</v>
      </c>
      <c r="D4577" t="s">
        <v>152</v>
      </c>
      <c r="F4577" s="2" t="str">
        <f>HYPERLINK("http://www.otzar.org/book.asp?616386","באר מרים - זרעים, טהרות")</f>
        <v>באר מרים - זרעים, טהרות</v>
      </c>
    </row>
    <row r="4578" spans="1:6" x14ac:dyDescent="0.2">
      <c r="A4578" t="s">
        <v>8556</v>
      </c>
      <c r="B4578" t="s">
        <v>8561</v>
      </c>
      <c r="C4578" t="s">
        <v>767</v>
      </c>
      <c r="D4578" t="s">
        <v>52</v>
      </c>
      <c r="E4578" t="s">
        <v>158</v>
      </c>
      <c r="F4578" s="2" t="str">
        <f>HYPERLINK("http://www.otzar.org/book.asp?85677","באר מרים")</f>
        <v>באר מרים</v>
      </c>
    </row>
    <row r="4579" spans="1:6" x14ac:dyDescent="0.2">
      <c r="A4579" t="s">
        <v>8562</v>
      </c>
      <c r="B4579" t="s">
        <v>8563</v>
      </c>
      <c r="C4579" t="s">
        <v>1268</v>
      </c>
      <c r="D4579" t="s">
        <v>8564</v>
      </c>
      <c r="E4579" t="s">
        <v>15</v>
      </c>
      <c r="F4579" s="2" t="str">
        <f>HYPERLINK("http://www.otzar.org/book.asp?22189","באר מרים - 3 כר'")</f>
        <v>באר מרים - 3 כר'</v>
      </c>
    </row>
    <row r="4580" spans="1:6" x14ac:dyDescent="0.2">
      <c r="A4580" t="s">
        <v>8556</v>
      </c>
      <c r="B4580" t="s">
        <v>552</v>
      </c>
      <c r="C4580" t="s">
        <v>313</v>
      </c>
      <c r="D4580" t="s">
        <v>14</v>
      </c>
      <c r="E4580" t="s">
        <v>202</v>
      </c>
      <c r="F4580" s="2" t="str">
        <f>HYPERLINK("http://www.otzar.org/book.asp?145534","באר מרים")</f>
        <v>באר מרים</v>
      </c>
    </row>
    <row r="4581" spans="1:6" x14ac:dyDescent="0.2">
      <c r="A4581" t="s">
        <v>8556</v>
      </c>
      <c r="B4581" t="s">
        <v>8565</v>
      </c>
      <c r="C4581" t="s">
        <v>68</v>
      </c>
      <c r="D4581" t="s">
        <v>14</v>
      </c>
      <c r="E4581" t="s">
        <v>674</v>
      </c>
      <c r="F4581" s="2" t="str">
        <f>HYPERLINK("http://www.otzar.org/book.asp?154251","באר מרים")</f>
        <v>באר מרים</v>
      </c>
    </row>
    <row r="4582" spans="1:6" x14ac:dyDescent="0.2">
      <c r="A4582" t="s">
        <v>8556</v>
      </c>
      <c r="B4582" t="s">
        <v>8566</v>
      </c>
      <c r="C4582" t="s">
        <v>244</v>
      </c>
      <c r="D4582" t="s">
        <v>486</v>
      </c>
      <c r="F4582" s="2" t="str">
        <f>HYPERLINK("http://www.otzar.org/book.asp?614716","באר מרים")</f>
        <v>באר מרים</v>
      </c>
    </row>
    <row r="4583" spans="1:6" x14ac:dyDescent="0.2">
      <c r="A4583" t="s">
        <v>8567</v>
      </c>
      <c r="B4583" t="s">
        <v>2396</v>
      </c>
      <c r="C4583" t="s">
        <v>133</v>
      </c>
      <c r="D4583" t="s">
        <v>1076</v>
      </c>
      <c r="E4583" t="s">
        <v>158</v>
      </c>
      <c r="F4583" s="2" t="str">
        <f>HYPERLINK("http://www.otzar.org/book.asp?617272","באר מרים - בפסוקי התורה")</f>
        <v>באר מרים - בפסוקי התורה</v>
      </c>
    </row>
    <row r="4584" spans="1:6" x14ac:dyDescent="0.2">
      <c r="A4584" t="s">
        <v>8568</v>
      </c>
      <c r="B4584" t="s">
        <v>8569</v>
      </c>
      <c r="C4584" t="s">
        <v>585</v>
      </c>
      <c r="D4584" t="s">
        <v>412</v>
      </c>
      <c r="E4584" t="s">
        <v>8570</v>
      </c>
      <c r="F4584" s="2" t="str">
        <f>HYPERLINK("http://www.otzar.org/book.asp?191625","באר משה א - ב")</f>
        <v>באר משה א - ב</v>
      </c>
    </row>
    <row r="4585" spans="1:6" x14ac:dyDescent="0.2">
      <c r="A4585" t="s">
        <v>8571</v>
      </c>
      <c r="B4585" t="s">
        <v>8572</v>
      </c>
      <c r="C4585" t="s">
        <v>366</v>
      </c>
      <c r="D4585" t="s">
        <v>412</v>
      </c>
      <c r="E4585" t="s">
        <v>144</v>
      </c>
      <c r="F4585" s="2" t="str">
        <f>HYPERLINK("http://www.otzar.org/book.asp?603904","באר משה")</f>
        <v>באר משה</v>
      </c>
    </row>
    <row r="4586" spans="1:6" x14ac:dyDescent="0.2">
      <c r="A4586" t="s">
        <v>8573</v>
      </c>
      <c r="B4586" t="s">
        <v>7839</v>
      </c>
      <c r="C4586" t="s">
        <v>383</v>
      </c>
      <c r="D4586" t="s">
        <v>52</v>
      </c>
      <c r="E4586" t="s">
        <v>158</v>
      </c>
      <c r="F4586" s="2" t="str">
        <f>HYPERLINK("http://www.otzar.org/book.asp?188888","באר משה - 13 כר'")</f>
        <v>באר משה - 13 כר'</v>
      </c>
    </row>
    <row r="4587" spans="1:6" x14ac:dyDescent="0.2">
      <c r="A4587" t="s">
        <v>8571</v>
      </c>
      <c r="B4587" t="s">
        <v>8574</v>
      </c>
      <c r="C4587" t="s">
        <v>286</v>
      </c>
      <c r="D4587" t="s">
        <v>8575</v>
      </c>
      <c r="E4587" t="s">
        <v>435</v>
      </c>
      <c r="F4587" s="2" t="str">
        <f>HYPERLINK("http://www.otzar.org/book.asp?180754","באר משה")</f>
        <v>באר משה</v>
      </c>
    </row>
    <row r="4588" spans="1:6" x14ac:dyDescent="0.2">
      <c r="A4588" t="s">
        <v>8576</v>
      </c>
      <c r="B4588" t="s">
        <v>8577</v>
      </c>
      <c r="C4588" t="s">
        <v>1228</v>
      </c>
      <c r="D4588" t="s">
        <v>56</v>
      </c>
      <c r="E4588" t="s">
        <v>154</v>
      </c>
      <c r="F4588" s="2" t="str">
        <f>HYPERLINK("http://www.otzar.org/book.asp?100195","באר משה - 3 כר'")</f>
        <v>באר משה - 3 כר'</v>
      </c>
    </row>
    <row r="4589" spans="1:6" x14ac:dyDescent="0.2">
      <c r="A4589" t="s">
        <v>8571</v>
      </c>
      <c r="B4589" t="s">
        <v>8578</v>
      </c>
      <c r="C4589" t="s">
        <v>2076</v>
      </c>
      <c r="D4589" t="s">
        <v>8579</v>
      </c>
      <c r="E4589" t="s">
        <v>8580</v>
      </c>
      <c r="F4589" s="2" t="str">
        <f>HYPERLINK("http://www.otzar.org/book.asp?16087","באר משה")</f>
        <v>באר משה</v>
      </c>
    </row>
    <row r="4590" spans="1:6" x14ac:dyDescent="0.2">
      <c r="A4590" t="s">
        <v>8571</v>
      </c>
      <c r="B4590" t="s">
        <v>8581</v>
      </c>
      <c r="C4590" t="s">
        <v>63</v>
      </c>
      <c r="D4590" t="s">
        <v>52</v>
      </c>
      <c r="E4590" t="s">
        <v>674</v>
      </c>
      <c r="F4590" s="2" t="str">
        <f>HYPERLINK("http://www.otzar.org/book.asp?156889","באר משה")</f>
        <v>באר משה</v>
      </c>
    </row>
    <row r="4591" spans="1:6" x14ac:dyDescent="0.2">
      <c r="A4591" t="s">
        <v>8582</v>
      </c>
      <c r="B4591" t="s">
        <v>8583</v>
      </c>
      <c r="C4591" t="s">
        <v>129</v>
      </c>
      <c r="D4591" t="s">
        <v>14</v>
      </c>
      <c r="E4591" t="s">
        <v>144</v>
      </c>
      <c r="F4591" s="2" t="str">
        <f>HYPERLINK("http://www.otzar.org/book.asp?60227","באר משה - קידושין")</f>
        <v>באר משה - קידושין</v>
      </c>
    </row>
    <row r="4592" spans="1:6" x14ac:dyDescent="0.2">
      <c r="A4592" t="s">
        <v>8576</v>
      </c>
      <c r="B4592" t="s">
        <v>8584</v>
      </c>
      <c r="C4592" t="s">
        <v>362</v>
      </c>
      <c r="D4592" t="s">
        <v>283</v>
      </c>
      <c r="E4592" t="s">
        <v>2775</v>
      </c>
      <c r="F4592" s="2" t="str">
        <f>HYPERLINK("http://www.otzar.org/book.asp?100196","באר משה - 3 כר'")</f>
        <v>באר משה - 3 כר'</v>
      </c>
    </row>
    <row r="4593" spans="1:6" x14ac:dyDescent="0.2">
      <c r="A4593" t="s">
        <v>8585</v>
      </c>
      <c r="B4593" t="s">
        <v>8586</v>
      </c>
      <c r="C4593" t="s">
        <v>20</v>
      </c>
      <c r="D4593" t="s">
        <v>14</v>
      </c>
      <c r="F4593" s="2" t="str">
        <f>HYPERLINK("http://www.otzar.org/book.asp?609657","באר משה - ריבית")</f>
        <v>באר משה - ריבית</v>
      </c>
    </row>
    <row r="4594" spans="1:6" x14ac:dyDescent="0.2">
      <c r="A4594" t="s">
        <v>8571</v>
      </c>
      <c r="B4594" t="s">
        <v>8587</v>
      </c>
      <c r="C4594" t="s">
        <v>1150</v>
      </c>
      <c r="D4594" t="s">
        <v>212</v>
      </c>
      <c r="E4594" t="s">
        <v>144</v>
      </c>
      <c r="F4594" s="2" t="str">
        <f>HYPERLINK("http://www.otzar.org/book.asp?618495","באר משה")</f>
        <v>באר משה</v>
      </c>
    </row>
    <row r="4595" spans="1:6" x14ac:dyDescent="0.2">
      <c r="A4595" t="s">
        <v>8571</v>
      </c>
      <c r="B4595" t="s">
        <v>8588</v>
      </c>
      <c r="C4595" t="s">
        <v>87</v>
      </c>
      <c r="D4595" t="s">
        <v>721</v>
      </c>
      <c r="E4595" t="s">
        <v>158</v>
      </c>
      <c r="F4595" s="2" t="str">
        <f>HYPERLINK("http://www.otzar.org/book.asp?149238","באר משה")</f>
        <v>באר משה</v>
      </c>
    </row>
    <row r="4596" spans="1:6" x14ac:dyDescent="0.2">
      <c r="A4596" t="s">
        <v>8589</v>
      </c>
      <c r="B4596" t="s">
        <v>8590</v>
      </c>
      <c r="C4596" t="s">
        <v>8591</v>
      </c>
      <c r="D4596" t="s">
        <v>8592</v>
      </c>
      <c r="E4596" t="s">
        <v>399</v>
      </c>
      <c r="F4596" s="2" t="str">
        <f>HYPERLINK("http://www.otzar.org/book.asp?22381","באר משה - 2 כר'")</f>
        <v>באר משה - 2 כר'</v>
      </c>
    </row>
    <row r="4597" spans="1:6" x14ac:dyDescent="0.2">
      <c r="A4597" t="s">
        <v>8571</v>
      </c>
      <c r="B4597" t="s">
        <v>8569</v>
      </c>
      <c r="C4597" t="s">
        <v>854</v>
      </c>
      <c r="D4597" t="s">
        <v>756</v>
      </c>
      <c r="E4597" t="s">
        <v>463</v>
      </c>
      <c r="F4597" s="2" t="str">
        <f>HYPERLINK("http://www.otzar.org/book.asp?144812","באר משה")</f>
        <v>באר משה</v>
      </c>
    </row>
    <row r="4598" spans="1:6" x14ac:dyDescent="0.2">
      <c r="A4598" t="s">
        <v>8593</v>
      </c>
      <c r="B4598" t="s">
        <v>8594</v>
      </c>
      <c r="C4598" t="s">
        <v>26</v>
      </c>
      <c r="D4598" t="s">
        <v>412</v>
      </c>
      <c r="E4598" t="s">
        <v>1433</v>
      </c>
      <c r="F4598" s="2" t="str">
        <f>HYPERLINK("http://www.otzar.org/book.asp?14011","באר משה - 11 כר'")</f>
        <v>באר משה - 11 כר'</v>
      </c>
    </row>
    <row r="4599" spans="1:6" x14ac:dyDescent="0.2">
      <c r="A4599" t="s">
        <v>8589</v>
      </c>
      <c r="B4599" t="s">
        <v>8595</v>
      </c>
      <c r="C4599" t="s">
        <v>5277</v>
      </c>
      <c r="D4599" t="s">
        <v>744</v>
      </c>
      <c r="F4599" s="2" t="str">
        <f>HYPERLINK("http://www.otzar.org/book.asp?164778","באר משה - 2 כר'")</f>
        <v>באר משה - 2 כר'</v>
      </c>
    </row>
    <row r="4600" spans="1:6" x14ac:dyDescent="0.2">
      <c r="A4600" t="s">
        <v>8596</v>
      </c>
      <c r="B4600" t="s">
        <v>8597</v>
      </c>
      <c r="C4600" t="s">
        <v>37</v>
      </c>
      <c r="D4600" t="s">
        <v>412</v>
      </c>
      <c r="E4600" t="s">
        <v>158</v>
      </c>
      <c r="F4600" s="2" t="str">
        <f>HYPERLINK("http://www.otzar.org/book.asp?176963","באר נבונים - 3 כר'")</f>
        <v>באר נבונים - 3 כר'</v>
      </c>
    </row>
    <row r="4601" spans="1:6" x14ac:dyDescent="0.2">
      <c r="A4601" t="s">
        <v>8598</v>
      </c>
      <c r="B4601" t="s">
        <v>8599</v>
      </c>
      <c r="C4601" t="s">
        <v>37</v>
      </c>
      <c r="D4601" t="s">
        <v>14</v>
      </c>
      <c r="E4601" t="s">
        <v>202</v>
      </c>
      <c r="F4601" s="2" t="str">
        <f>HYPERLINK("http://www.otzar.org/book.asp?608525","באר נפתלי")</f>
        <v>באר נפתלי</v>
      </c>
    </row>
    <row r="4602" spans="1:6" x14ac:dyDescent="0.2">
      <c r="A4602" t="s">
        <v>8600</v>
      </c>
      <c r="B4602" t="s">
        <v>8601</v>
      </c>
      <c r="C4602" t="s">
        <v>1768</v>
      </c>
      <c r="D4602" t="s">
        <v>49</v>
      </c>
      <c r="E4602" t="s">
        <v>154</v>
      </c>
      <c r="F4602" s="2" t="str">
        <f>HYPERLINK("http://www.otzar.org/book.asp?10664","באר עשק")</f>
        <v>באר עשק</v>
      </c>
    </row>
    <row r="4603" spans="1:6" x14ac:dyDescent="0.2">
      <c r="A4603" t="s">
        <v>8600</v>
      </c>
      <c r="B4603" t="s">
        <v>8602</v>
      </c>
      <c r="C4603" t="s">
        <v>2644</v>
      </c>
      <c r="D4603" t="s">
        <v>283</v>
      </c>
      <c r="E4603" t="s">
        <v>583</v>
      </c>
      <c r="F4603" s="2" t="str">
        <f>HYPERLINK("http://www.otzar.org/book.asp?17263","באר עשק")</f>
        <v>באר עשק</v>
      </c>
    </row>
    <row r="4604" spans="1:6" x14ac:dyDescent="0.2">
      <c r="A4604" t="s">
        <v>8603</v>
      </c>
      <c r="B4604" t="s">
        <v>8604</v>
      </c>
      <c r="C4604" t="s">
        <v>919</v>
      </c>
      <c r="D4604" t="s">
        <v>14</v>
      </c>
      <c r="E4604" t="s">
        <v>154</v>
      </c>
      <c r="F4604" s="2" t="str">
        <f>HYPERLINK("http://www.otzar.org/book.asp?62819","באר צבי - 2 כר'")</f>
        <v>באר צבי - 2 כר'</v>
      </c>
    </row>
    <row r="4605" spans="1:6" x14ac:dyDescent="0.2">
      <c r="A4605" t="s">
        <v>8603</v>
      </c>
      <c r="B4605" t="s">
        <v>8605</v>
      </c>
      <c r="C4605" t="s">
        <v>23</v>
      </c>
      <c r="D4605" t="s">
        <v>52</v>
      </c>
      <c r="E4605" t="s">
        <v>246</v>
      </c>
      <c r="F4605" s="2" t="str">
        <f>HYPERLINK("http://www.otzar.org/book.asp?622255","באר צבי - 2 כר'")</f>
        <v>באר צבי - 2 כר'</v>
      </c>
    </row>
    <row r="4606" spans="1:6" x14ac:dyDescent="0.2">
      <c r="A4606" t="s">
        <v>8606</v>
      </c>
      <c r="B4606" t="s">
        <v>8607</v>
      </c>
      <c r="C4606" t="s">
        <v>20</v>
      </c>
      <c r="D4606" t="s">
        <v>52</v>
      </c>
      <c r="E4606" t="s">
        <v>144</v>
      </c>
      <c r="F4606" s="2" t="str">
        <f>HYPERLINK("http://www.otzar.org/book.asp?159823","באר צדק - 4 כר'")</f>
        <v>באר צדק - 4 כר'</v>
      </c>
    </row>
    <row r="4607" spans="1:6" x14ac:dyDescent="0.2">
      <c r="A4607" t="s">
        <v>8608</v>
      </c>
      <c r="B4607" t="s">
        <v>8609</v>
      </c>
      <c r="C4607" t="s">
        <v>189</v>
      </c>
      <c r="D4607" t="s">
        <v>14</v>
      </c>
      <c r="E4607" t="s">
        <v>144</v>
      </c>
      <c r="F4607" s="2" t="str">
        <f>HYPERLINK("http://www.otzar.org/book.asp?21877","באר ציון - 5 כר'")</f>
        <v>באר ציון - 5 כר'</v>
      </c>
    </row>
    <row r="4608" spans="1:6" x14ac:dyDescent="0.2">
      <c r="A4608" t="s">
        <v>8610</v>
      </c>
      <c r="B4608" t="s">
        <v>8611</v>
      </c>
      <c r="C4608" t="s">
        <v>103</v>
      </c>
      <c r="D4608" t="s">
        <v>14</v>
      </c>
      <c r="E4608" t="s">
        <v>384</v>
      </c>
      <c r="F4608" s="2" t="str">
        <f>HYPERLINK("http://www.otzar.org/book.asp?145415","באר ציון")</f>
        <v>באר ציון</v>
      </c>
    </row>
    <row r="4609" spans="1:6" x14ac:dyDescent="0.2">
      <c r="A4609" t="s">
        <v>8612</v>
      </c>
      <c r="B4609" t="s">
        <v>8613</v>
      </c>
      <c r="C4609" t="s">
        <v>71</v>
      </c>
      <c r="D4609" t="s">
        <v>14</v>
      </c>
      <c r="E4609" t="s">
        <v>104</v>
      </c>
      <c r="F4609" s="2" t="str">
        <f>HYPERLINK("http://www.otzar.org/book.asp?144983","באר ראי - 3 כר'")</f>
        <v>באר ראי - 3 כר'</v>
      </c>
    </row>
    <row r="4610" spans="1:6" x14ac:dyDescent="0.2">
      <c r="A4610" t="s">
        <v>8614</v>
      </c>
      <c r="B4610" t="s">
        <v>5052</v>
      </c>
      <c r="C4610" t="s">
        <v>422</v>
      </c>
      <c r="D4610" t="s">
        <v>412</v>
      </c>
      <c r="E4610" t="s">
        <v>158</v>
      </c>
      <c r="F4610" s="2" t="str">
        <f>HYPERLINK("http://www.otzar.org/book.asp?171878","באר ראי")</f>
        <v>באר ראי</v>
      </c>
    </row>
    <row r="4611" spans="1:6" x14ac:dyDescent="0.2">
      <c r="A4611" t="s">
        <v>8615</v>
      </c>
      <c r="B4611" t="s">
        <v>8616</v>
      </c>
      <c r="C4611" t="s">
        <v>1592</v>
      </c>
      <c r="D4611" t="s">
        <v>2303</v>
      </c>
      <c r="E4611" t="s">
        <v>579</v>
      </c>
      <c r="F4611" s="2" t="str">
        <f>HYPERLINK("http://www.otzar.org/book.asp?103164","באר רחובות - 2 כר'")</f>
        <v>באר רחובות - 2 כר'</v>
      </c>
    </row>
    <row r="4612" spans="1:6" x14ac:dyDescent="0.2">
      <c r="A4612" t="s">
        <v>8617</v>
      </c>
      <c r="B4612" t="s">
        <v>8618</v>
      </c>
      <c r="C4612" t="s">
        <v>603</v>
      </c>
      <c r="D4612" t="s">
        <v>1279</v>
      </c>
      <c r="E4612" t="s">
        <v>144</v>
      </c>
      <c r="F4612" s="2" t="str">
        <f>HYPERLINK("http://www.otzar.org/book.asp?300302","באר רחובות")</f>
        <v>באר רחובות</v>
      </c>
    </row>
    <row r="4613" spans="1:6" x14ac:dyDescent="0.2">
      <c r="A4613" t="s">
        <v>8619</v>
      </c>
      <c r="B4613" t="s">
        <v>8620</v>
      </c>
      <c r="C4613" t="s">
        <v>133</v>
      </c>
      <c r="D4613" t="s">
        <v>27</v>
      </c>
      <c r="E4613" t="s">
        <v>158</v>
      </c>
      <c r="F4613" s="2" t="str">
        <f>HYPERLINK("http://www.otzar.org/book.asp?617830","באר שבע &lt;מהדו""ח&gt;")</f>
        <v>באר שבע &lt;מהדו"ח&gt;</v>
      </c>
    </row>
    <row r="4614" spans="1:6" x14ac:dyDescent="0.2">
      <c r="A4614" t="s">
        <v>8621</v>
      </c>
      <c r="B4614" t="s">
        <v>8622</v>
      </c>
      <c r="C4614" t="s">
        <v>3739</v>
      </c>
      <c r="D4614" t="s">
        <v>322</v>
      </c>
      <c r="E4614" t="s">
        <v>901</v>
      </c>
      <c r="F4614" s="2" t="str">
        <f>HYPERLINK("http://www.otzar.org/book.asp?104482","באר שבע - 2 כר'")</f>
        <v>באר שבע - 2 כר'</v>
      </c>
    </row>
    <row r="4615" spans="1:6" x14ac:dyDescent="0.2">
      <c r="A4615" t="s">
        <v>2798</v>
      </c>
      <c r="B4615" t="s">
        <v>7457</v>
      </c>
      <c r="C4615" t="s">
        <v>533</v>
      </c>
      <c r="D4615" t="s">
        <v>14</v>
      </c>
      <c r="E4615" t="s">
        <v>104</v>
      </c>
      <c r="F4615" s="2" t="str">
        <f>HYPERLINK("http://www.otzar.org/book.asp?174248","באר שבע")</f>
        <v>באר שבע</v>
      </c>
    </row>
    <row r="4616" spans="1:6" x14ac:dyDescent="0.2">
      <c r="A4616" t="s">
        <v>8621</v>
      </c>
      <c r="B4616" t="s">
        <v>8620</v>
      </c>
      <c r="C4616" t="s">
        <v>291</v>
      </c>
      <c r="D4616" t="s">
        <v>27</v>
      </c>
      <c r="E4616" t="s">
        <v>158</v>
      </c>
      <c r="F4616" s="2" t="str">
        <f>HYPERLINK("http://www.otzar.org/book.asp?182344","באר שבע - 2 כר'")</f>
        <v>באר שבע - 2 כר'</v>
      </c>
    </row>
    <row r="4617" spans="1:6" x14ac:dyDescent="0.2">
      <c r="A4617" t="s">
        <v>8623</v>
      </c>
      <c r="B4617" t="s">
        <v>1702</v>
      </c>
      <c r="C4617" t="s">
        <v>411</v>
      </c>
      <c r="D4617" t="s">
        <v>52</v>
      </c>
      <c r="F4617" s="2" t="str">
        <f>HYPERLINK("http://www.otzar.org/book.asp?611133","באר שבע - הרבנית קנייבסקי")</f>
        <v>באר שבע - הרבנית קנייבסקי</v>
      </c>
    </row>
    <row r="4618" spans="1:6" x14ac:dyDescent="0.2">
      <c r="A4618" t="s">
        <v>2798</v>
      </c>
      <c r="B4618" t="s">
        <v>8624</v>
      </c>
      <c r="C4618" t="s">
        <v>3695</v>
      </c>
      <c r="D4618" t="s">
        <v>744</v>
      </c>
      <c r="E4618" t="s">
        <v>234</v>
      </c>
      <c r="F4618" s="2" t="str">
        <f>HYPERLINK("http://www.otzar.org/book.asp?22382","באר שבע")</f>
        <v>באר שבע</v>
      </c>
    </row>
    <row r="4619" spans="1:6" x14ac:dyDescent="0.2">
      <c r="A4619" t="s">
        <v>8625</v>
      </c>
      <c r="B4619" t="s">
        <v>8626</v>
      </c>
      <c r="C4619" t="s">
        <v>13</v>
      </c>
      <c r="D4619" t="s">
        <v>152</v>
      </c>
      <c r="E4619" t="s">
        <v>10</v>
      </c>
      <c r="F4619" s="2" t="str">
        <f>HYPERLINK("http://www.otzar.org/book.asp?60143","באר שלמה")</f>
        <v>באר שלמה</v>
      </c>
    </row>
    <row r="4620" spans="1:6" x14ac:dyDescent="0.2">
      <c r="A4620" t="s">
        <v>8625</v>
      </c>
      <c r="B4620" t="s">
        <v>8627</v>
      </c>
      <c r="C4620" t="s">
        <v>151</v>
      </c>
      <c r="D4620" t="s">
        <v>412</v>
      </c>
      <c r="E4620" t="s">
        <v>246</v>
      </c>
      <c r="F4620" s="2" t="str">
        <f>HYPERLINK("http://www.otzar.org/book.asp?627296","באר שלמה")</f>
        <v>באר שלמה</v>
      </c>
    </row>
    <row r="4621" spans="1:6" x14ac:dyDescent="0.2">
      <c r="A4621" t="s">
        <v>8628</v>
      </c>
      <c r="B4621" t="s">
        <v>8629</v>
      </c>
      <c r="C4621" t="s">
        <v>8</v>
      </c>
      <c r="D4621" t="s">
        <v>4772</v>
      </c>
      <c r="E4621" t="s">
        <v>213</v>
      </c>
      <c r="F4621" s="2" t="str">
        <f>HYPERLINK("http://www.otzar.org/book.asp?10360","באר שלמה - 3 כר'")</f>
        <v>באר שלמה - 3 כר'</v>
      </c>
    </row>
    <row r="4622" spans="1:6" x14ac:dyDescent="0.2">
      <c r="A4622" t="s">
        <v>8630</v>
      </c>
      <c r="B4622" t="s">
        <v>8631</v>
      </c>
      <c r="C4622" t="s">
        <v>106</v>
      </c>
      <c r="D4622" t="s">
        <v>14</v>
      </c>
      <c r="E4622" t="s">
        <v>144</v>
      </c>
      <c r="F4622" s="2" t="str">
        <f>HYPERLINK("http://www.otzar.org/book.asp?144975","באר שמואל &lt;סוגיות הש""ס&gt; - ב")</f>
        <v>באר שמואל &lt;סוגיות הש"ס&gt; - ב</v>
      </c>
    </row>
    <row r="4623" spans="1:6" x14ac:dyDescent="0.2">
      <c r="A4623" t="s">
        <v>8632</v>
      </c>
      <c r="B4623" t="s">
        <v>8631</v>
      </c>
      <c r="C4623" t="s">
        <v>1811</v>
      </c>
      <c r="D4623" t="s">
        <v>14</v>
      </c>
      <c r="E4623" t="s">
        <v>2071</v>
      </c>
      <c r="F4623" s="2" t="str">
        <f>HYPERLINK("http://www.otzar.org/book.asp?144978","באר שמואל &lt;תורה ומועדים&gt; - 3 כר'")</f>
        <v>באר שמואל &lt;תורה ומועדים&gt; - 3 כר'</v>
      </c>
    </row>
    <row r="4624" spans="1:6" x14ac:dyDescent="0.2">
      <c r="A4624" t="s">
        <v>8633</v>
      </c>
      <c r="B4624" t="s">
        <v>8634</v>
      </c>
      <c r="C4624" t="s">
        <v>366</v>
      </c>
      <c r="D4624" t="s">
        <v>152</v>
      </c>
      <c r="E4624" t="s">
        <v>144</v>
      </c>
      <c r="F4624" s="2" t="str">
        <f>HYPERLINK("http://www.otzar.org/book.asp?621738","באר שמואל - 2 כר'")</f>
        <v>באר שמואל - 2 כר'</v>
      </c>
    </row>
    <row r="4625" spans="1:6" x14ac:dyDescent="0.2">
      <c r="A4625" t="s">
        <v>8635</v>
      </c>
      <c r="B4625" t="s">
        <v>8636</v>
      </c>
      <c r="C4625" t="s">
        <v>20</v>
      </c>
      <c r="D4625" t="s">
        <v>90</v>
      </c>
      <c r="E4625" t="s">
        <v>144</v>
      </c>
      <c r="F4625" s="2" t="str">
        <f>HYPERLINK("http://www.otzar.org/book.asp?631470","באר שמואל - גניבה וגזילה")</f>
        <v>באר שמואל - גניבה וגזילה</v>
      </c>
    </row>
    <row r="4626" spans="1:6" x14ac:dyDescent="0.2">
      <c r="A4626" t="s">
        <v>8637</v>
      </c>
      <c r="B4626" t="s">
        <v>8638</v>
      </c>
      <c r="C4626" t="s">
        <v>332</v>
      </c>
      <c r="D4626" t="s">
        <v>14</v>
      </c>
      <c r="E4626" t="s">
        <v>202</v>
      </c>
      <c r="F4626" s="2" t="str">
        <f>HYPERLINK("http://www.otzar.org/book.asp?158336","באר שמואל")</f>
        <v>באר שמואל</v>
      </c>
    </row>
    <row r="4627" spans="1:6" x14ac:dyDescent="0.2">
      <c r="A4627" t="s">
        <v>8639</v>
      </c>
      <c r="B4627" t="s">
        <v>8640</v>
      </c>
      <c r="C4627" t="s">
        <v>244</v>
      </c>
      <c r="D4627" t="s">
        <v>3750</v>
      </c>
      <c r="E4627" t="s">
        <v>144</v>
      </c>
      <c r="F4627" s="2" t="str">
        <f>HYPERLINK("http://www.otzar.org/book.asp?600074","באר שמואל - בבא קמא")</f>
        <v>באר שמואל - בבא קמא</v>
      </c>
    </row>
    <row r="4628" spans="1:6" x14ac:dyDescent="0.2">
      <c r="A4628" t="s">
        <v>8641</v>
      </c>
      <c r="B4628" t="s">
        <v>8642</v>
      </c>
      <c r="C4628" t="s">
        <v>17</v>
      </c>
      <c r="D4628" t="s">
        <v>52</v>
      </c>
      <c r="E4628" t="s">
        <v>467</v>
      </c>
      <c r="F4628" s="2" t="str">
        <f>HYPERLINK("http://www.otzar.org/book.asp?83702","באר שמואל - מועדים")</f>
        <v>באר שמואל - מועדים</v>
      </c>
    </row>
    <row r="4629" spans="1:6" x14ac:dyDescent="0.2">
      <c r="A4629" t="s">
        <v>8637</v>
      </c>
      <c r="B4629" t="s">
        <v>8631</v>
      </c>
      <c r="C4629" t="s">
        <v>1202</v>
      </c>
      <c r="D4629" t="s">
        <v>1117</v>
      </c>
      <c r="E4629" t="s">
        <v>10</v>
      </c>
      <c r="F4629" s="2" t="str">
        <f>HYPERLINK("http://www.otzar.org/book.asp?947","באר שמואל")</f>
        <v>באר שמואל</v>
      </c>
    </row>
    <row r="4630" spans="1:6" x14ac:dyDescent="0.2">
      <c r="A4630" t="s">
        <v>8643</v>
      </c>
      <c r="B4630" t="s">
        <v>8644</v>
      </c>
      <c r="C4630" t="s">
        <v>111</v>
      </c>
      <c r="D4630" t="s">
        <v>14</v>
      </c>
      <c r="E4630" t="s">
        <v>158</v>
      </c>
      <c r="F4630" s="2" t="str">
        <f>HYPERLINK("http://www.otzar.org/book.asp?632828","באר שמחה")</f>
        <v>באר שמחה</v>
      </c>
    </row>
    <row r="4631" spans="1:6" x14ac:dyDescent="0.2">
      <c r="A4631" t="s">
        <v>8645</v>
      </c>
      <c r="B4631" t="s">
        <v>8646</v>
      </c>
      <c r="C4631" t="s">
        <v>244</v>
      </c>
      <c r="D4631" t="s">
        <v>8647</v>
      </c>
      <c r="F4631" s="2" t="str">
        <f>HYPERLINK("http://www.otzar.org/book.asp?196424","באר שמעון - 7 כר'")</f>
        <v>באר שמעון - 7 כר'</v>
      </c>
    </row>
    <row r="4632" spans="1:6" x14ac:dyDescent="0.2">
      <c r="A4632" t="s">
        <v>8648</v>
      </c>
      <c r="B4632" t="s">
        <v>8649</v>
      </c>
      <c r="C4632" t="s">
        <v>133</v>
      </c>
      <c r="D4632" t="s">
        <v>14</v>
      </c>
      <c r="E4632" t="s">
        <v>154</v>
      </c>
      <c r="F4632" s="2" t="str">
        <f>HYPERLINK("http://www.otzar.org/book.asp?176652","באר שרים &lt;מהדורה חדשה&gt; - 5 כר'")</f>
        <v>באר שרים &lt;מהדורה חדשה&gt; - 5 כר'</v>
      </c>
    </row>
    <row r="4633" spans="1:6" x14ac:dyDescent="0.2">
      <c r="A4633" t="s">
        <v>8650</v>
      </c>
      <c r="B4633" t="s">
        <v>8649</v>
      </c>
      <c r="C4633" t="s">
        <v>146</v>
      </c>
      <c r="D4633" t="s">
        <v>14</v>
      </c>
      <c r="E4633" t="s">
        <v>467</v>
      </c>
      <c r="F4633" s="2" t="str">
        <f>HYPERLINK("http://www.otzar.org/book.asp?143644","באר שרים &lt;מועדי השנה&gt; - 2 כר'")</f>
        <v>באר שרים &lt;מועדי השנה&gt; - 2 כר'</v>
      </c>
    </row>
    <row r="4634" spans="1:6" x14ac:dyDescent="0.2">
      <c r="A4634" t="s">
        <v>8651</v>
      </c>
      <c r="B4634" t="s">
        <v>8649</v>
      </c>
      <c r="C4634" t="s">
        <v>133</v>
      </c>
      <c r="D4634" t="s">
        <v>14</v>
      </c>
      <c r="E4634" t="s">
        <v>158</v>
      </c>
      <c r="F4634" s="2" t="str">
        <f>HYPERLINK("http://www.otzar.org/book.asp?173701","באר שרים &lt;על התורה&gt; - 2 כר'")</f>
        <v>באר שרים &lt;על התורה&gt; - 2 כר'</v>
      </c>
    </row>
    <row r="4635" spans="1:6" x14ac:dyDescent="0.2">
      <c r="A4635" t="s">
        <v>8652</v>
      </c>
      <c r="B4635" t="s">
        <v>8649</v>
      </c>
      <c r="C4635" t="s">
        <v>8653</v>
      </c>
      <c r="D4635" t="s">
        <v>8654</v>
      </c>
      <c r="E4635" t="s">
        <v>154</v>
      </c>
      <c r="F4635" s="2" t="str">
        <f>HYPERLINK("http://www.otzar.org/book.asp?28551","באר שרים &lt;שו""ת&gt; - 7 כר'")</f>
        <v>באר שרים &lt;שו"ת&gt; - 7 כר'</v>
      </c>
    </row>
    <row r="4636" spans="1:6" x14ac:dyDescent="0.2">
      <c r="A4636" t="s">
        <v>8655</v>
      </c>
      <c r="B4636" t="s">
        <v>8656</v>
      </c>
      <c r="C4636" t="s">
        <v>68</v>
      </c>
      <c r="D4636" t="s">
        <v>229</v>
      </c>
      <c r="E4636" t="s">
        <v>15</v>
      </c>
      <c r="F4636" s="2" t="str">
        <f>HYPERLINK("http://www.otzar.org/book.asp?166495","באר שרים &lt;על הרמב""ם&gt; - 4 כר'")</f>
        <v>באר שרים &lt;על הרמב"ם&gt; - 4 כר'</v>
      </c>
    </row>
    <row r="4637" spans="1:6" x14ac:dyDescent="0.2">
      <c r="A4637" t="s">
        <v>8657</v>
      </c>
      <c r="B4637" t="s">
        <v>8658</v>
      </c>
      <c r="C4637" t="s">
        <v>151</v>
      </c>
      <c r="D4637" t="s">
        <v>134</v>
      </c>
      <c r="F4637" s="2" t="str">
        <f>HYPERLINK("http://www.otzar.org/book.asp?611620","באר שרים - 3 כר'")</f>
        <v>באר שרים - 3 כר'</v>
      </c>
    </row>
    <row r="4638" spans="1:6" x14ac:dyDescent="0.2">
      <c r="A4638" t="s">
        <v>8659</v>
      </c>
      <c r="B4638" t="s">
        <v>8660</v>
      </c>
      <c r="C4638" t="s">
        <v>8661</v>
      </c>
      <c r="D4638" t="s">
        <v>986</v>
      </c>
      <c r="E4638" t="s">
        <v>144</v>
      </c>
      <c r="F4638" s="2" t="str">
        <f>HYPERLINK("http://www.otzar.org/book.asp?141231","באר שרים")</f>
        <v>באר שרים</v>
      </c>
    </row>
    <row r="4639" spans="1:6" x14ac:dyDescent="0.2">
      <c r="A4639" t="s">
        <v>8659</v>
      </c>
      <c r="B4639" t="s">
        <v>8662</v>
      </c>
      <c r="C4639" t="s">
        <v>3840</v>
      </c>
      <c r="D4639" t="s">
        <v>9</v>
      </c>
      <c r="E4639" t="s">
        <v>2088</v>
      </c>
      <c r="F4639" s="2" t="str">
        <f>HYPERLINK("http://www.otzar.org/book.asp?13773","באר שרים")</f>
        <v>באר שרים</v>
      </c>
    </row>
    <row r="4640" spans="1:6" x14ac:dyDescent="0.2">
      <c r="A4640" t="s">
        <v>8663</v>
      </c>
      <c r="B4640" t="s">
        <v>8664</v>
      </c>
      <c r="C4640" t="s">
        <v>146</v>
      </c>
      <c r="D4640" t="s">
        <v>2798</v>
      </c>
      <c r="E4640" t="s">
        <v>15</v>
      </c>
      <c r="F4640" s="2" t="str">
        <f>HYPERLINK("http://www.otzar.org/book.asp?624861","בארה שבע")</f>
        <v>בארה שבע</v>
      </c>
    </row>
    <row r="4641" spans="1:6" x14ac:dyDescent="0.2">
      <c r="A4641" t="s">
        <v>8665</v>
      </c>
      <c r="B4641" t="s">
        <v>8666</v>
      </c>
      <c r="C4641" t="s">
        <v>129</v>
      </c>
      <c r="D4641" t="s">
        <v>52</v>
      </c>
      <c r="E4641" t="s">
        <v>104</v>
      </c>
      <c r="F4641" s="2" t="str">
        <f>HYPERLINK("http://www.otzar.org/book.asp?60313","בארה של מרים א-ב")</f>
        <v>בארה של מרים א-ב</v>
      </c>
    </row>
    <row r="4642" spans="1:6" x14ac:dyDescent="0.2">
      <c r="A4642" t="s">
        <v>8667</v>
      </c>
      <c r="B4642" t="s">
        <v>2457</v>
      </c>
      <c r="C4642" t="s">
        <v>87</v>
      </c>
      <c r="D4642" t="s">
        <v>2458</v>
      </c>
      <c r="F4642" s="2" t="str">
        <f>HYPERLINK("http://www.otzar.org/book.asp?180889","בארה של מרים - 2 כר'")</f>
        <v>בארה של מרים - 2 כר'</v>
      </c>
    </row>
    <row r="4643" spans="1:6" x14ac:dyDescent="0.2">
      <c r="A4643" t="s">
        <v>8668</v>
      </c>
      <c r="B4643" t="s">
        <v>8669</v>
      </c>
      <c r="C4643" t="s">
        <v>71</v>
      </c>
      <c r="D4643" t="s">
        <v>14</v>
      </c>
      <c r="E4643" t="s">
        <v>202</v>
      </c>
      <c r="F4643" s="2" t="str">
        <f>HYPERLINK("http://www.otzar.org/book.asp?176976","בארה של מרים")</f>
        <v>בארה של מרים</v>
      </c>
    </row>
    <row r="4644" spans="1:6" x14ac:dyDescent="0.2">
      <c r="A4644" t="s">
        <v>8668</v>
      </c>
      <c r="B4644" t="s">
        <v>8670</v>
      </c>
      <c r="C4644" t="s">
        <v>51</v>
      </c>
      <c r="D4644" t="s">
        <v>52</v>
      </c>
      <c r="E4644" t="s">
        <v>241</v>
      </c>
      <c r="F4644" s="2" t="str">
        <f>HYPERLINK("http://www.otzar.org/book.asp?84369","בארה של מרים")</f>
        <v>בארה של מרים</v>
      </c>
    </row>
    <row r="4645" spans="1:6" x14ac:dyDescent="0.2">
      <c r="A4645" t="s">
        <v>8671</v>
      </c>
      <c r="B4645" t="s">
        <v>8672</v>
      </c>
      <c r="C4645" t="s">
        <v>51</v>
      </c>
      <c r="D4645" t="s">
        <v>115</v>
      </c>
      <c r="E4645" t="s">
        <v>154</v>
      </c>
      <c r="F4645" s="2" t="str">
        <f>HYPERLINK("http://www.otzar.org/book.asp?189883","בארו של אברהם - 4 כר'")</f>
        <v>בארו של אברהם - 4 כר'</v>
      </c>
    </row>
    <row r="4646" spans="1:6" x14ac:dyDescent="0.2">
      <c r="A4646" t="s">
        <v>8673</v>
      </c>
      <c r="B4646" t="s">
        <v>3168</v>
      </c>
      <c r="C4646" t="s">
        <v>466</v>
      </c>
      <c r="D4646" t="s">
        <v>14</v>
      </c>
      <c r="E4646" t="s">
        <v>140</v>
      </c>
      <c r="F4646" s="2" t="str">
        <f>HYPERLINK("http://www.otzar.org/book.asp?159177","בארו של יצחק, אוצר ישראל, מאמר זכר צדיק לברכה")</f>
        <v>בארו של יצחק, אוצר ישראל, מאמר זכר צדיק לברכה</v>
      </c>
    </row>
    <row r="4647" spans="1:6" x14ac:dyDescent="0.2">
      <c r="A4647" t="s">
        <v>8674</v>
      </c>
      <c r="B4647" t="s">
        <v>8675</v>
      </c>
      <c r="C4647" t="s">
        <v>506</v>
      </c>
      <c r="D4647" t="s">
        <v>6129</v>
      </c>
      <c r="E4647" t="s">
        <v>154</v>
      </c>
      <c r="F4647" s="2" t="str">
        <f>HYPERLINK("http://www.otzar.org/book.asp?17264","בארות אברהם - 2 כר'")</f>
        <v>בארות אברהם - 2 כר'</v>
      </c>
    </row>
    <row r="4648" spans="1:6" x14ac:dyDescent="0.2">
      <c r="A4648" t="s">
        <v>8676</v>
      </c>
      <c r="B4648" t="s">
        <v>8677</v>
      </c>
      <c r="C4648" t="s">
        <v>8678</v>
      </c>
      <c r="D4648" t="s">
        <v>76</v>
      </c>
      <c r="E4648" t="s">
        <v>10</v>
      </c>
      <c r="F4648" s="2" t="str">
        <f>HYPERLINK("http://www.otzar.org/book.asp?17265","בארות המים")</f>
        <v>בארות המים</v>
      </c>
    </row>
    <row r="4649" spans="1:6" x14ac:dyDescent="0.2">
      <c r="A4649" t="s">
        <v>8679</v>
      </c>
      <c r="B4649" t="s">
        <v>8680</v>
      </c>
      <c r="C4649" t="s">
        <v>244</v>
      </c>
      <c r="D4649" t="s">
        <v>3283</v>
      </c>
      <c r="E4649" t="s">
        <v>230</v>
      </c>
      <c r="F4649" s="2" t="str">
        <f>HYPERLINK("http://www.otzar.org/book.asp?620778","בארות המים - 2 כר'")</f>
        <v>בארות המים - 2 כר'</v>
      </c>
    </row>
    <row r="4650" spans="1:6" x14ac:dyDescent="0.2">
      <c r="A4650" t="s">
        <v>8676</v>
      </c>
      <c r="B4650" t="s">
        <v>8681</v>
      </c>
      <c r="C4650" t="s">
        <v>624</v>
      </c>
      <c r="D4650" t="s">
        <v>14</v>
      </c>
      <c r="E4650" t="s">
        <v>2071</v>
      </c>
      <c r="F4650" s="2" t="str">
        <f>HYPERLINK("http://www.otzar.org/book.asp?144091","בארות המים")</f>
        <v>בארות המים</v>
      </c>
    </row>
    <row r="4651" spans="1:6" x14ac:dyDescent="0.2">
      <c r="A4651" t="s">
        <v>8682</v>
      </c>
      <c r="B4651" t="s">
        <v>8683</v>
      </c>
      <c r="C4651" t="s">
        <v>151</v>
      </c>
      <c r="D4651" t="s">
        <v>20</v>
      </c>
      <c r="E4651" t="s">
        <v>993</v>
      </c>
      <c r="F4651" s="2" t="str">
        <f>HYPERLINK("http://www.otzar.org/book.asp?624926","בארות יצחק וברכה")</f>
        <v>בארות יצחק וברכה</v>
      </c>
    </row>
    <row r="4652" spans="1:6" x14ac:dyDescent="0.2">
      <c r="A4652" t="s">
        <v>8684</v>
      </c>
      <c r="B4652" t="s">
        <v>7220</v>
      </c>
      <c r="C4652" t="s">
        <v>124</v>
      </c>
      <c r="D4652" t="s">
        <v>52</v>
      </c>
      <c r="E4652" t="s">
        <v>8580</v>
      </c>
      <c r="F4652" s="2" t="str">
        <f>HYPERLINK("http://www.otzar.org/book.asp?7248","בארות יצחק")</f>
        <v>בארות יצחק</v>
      </c>
    </row>
    <row r="4653" spans="1:6" x14ac:dyDescent="0.2">
      <c r="A4653" t="s">
        <v>8685</v>
      </c>
      <c r="B4653" t="s">
        <v>8686</v>
      </c>
      <c r="C4653" t="s">
        <v>1208</v>
      </c>
      <c r="D4653" t="s">
        <v>646</v>
      </c>
      <c r="E4653" t="s">
        <v>158</v>
      </c>
      <c r="F4653" s="2" t="str">
        <f>HYPERLINK("http://www.otzar.org/book.asp?165957","בארות יצחק - 5 כר'")</f>
        <v>בארות יצחק - 5 כר'</v>
      </c>
    </row>
    <row r="4654" spans="1:6" x14ac:dyDescent="0.2">
      <c r="A4654" t="s">
        <v>8684</v>
      </c>
      <c r="B4654" t="s">
        <v>8687</v>
      </c>
      <c r="C4654" t="s">
        <v>189</v>
      </c>
      <c r="D4654" t="s">
        <v>52</v>
      </c>
      <c r="E4654" t="s">
        <v>933</v>
      </c>
      <c r="F4654" s="2" t="str">
        <f>HYPERLINK("http://www.otzar.org/book.asp?51160","בארות יצחק")</f>
        <v>בארות יצחק</v>
      </c>
    </row>
    <row r="4655" spans="1:6" x14ac:dyDescent="0.2">
      <c r="A4655" t="s">
        <v>8684</v>
      </c>
      <c r="B4655" t="s">
        <v>8688</v>
      </c>
      <c r="C4655" t="s">
        <v>23</v>
      </c>
      <c r="D4655" t="s">
        <v>8689</v>
      </c>
      <c r="E4655" t="s">
        <v>104</v>
      </c>
      <c r="F4655" s="2" t="str">
        <f>HYPERLINK("http://www.otzar.org/book.asp?192825","בארות יצחק")</f>
        <v>בארות יצחק</v>
      </c>
    </row>
    <row r="4656" spans="1:6" x14ac:dyDescent="0.2">
      <c r="A4656" t="s">
        <v>8690</v>
      </c>
      <c r="B4656" t="s">
        <v>8691</v>
      </c>
      <c r="C4656" t="s">
        <v>176</v>
      </c>
      <c r="D4656" t="s">
        <v>3560</v>
      </c>
      <c r="E4656" t="s">
        <v>158</v>
      </c>
      <c r="F4656" s="2" t="str">
        <f>HYPERLINK("http://www.otzar.org/book.asp?159073","בארות יצחק - 2 כר'")</f>
        <v>בארות יצחק - 2 כר'</v>
      </c>
    </row>
    <row r="4657" spans="1:6" x14ac:dyDescent="0.2">
      <c r="A4657" t="s">
        <v>8692</v>
      </c>
      <c r="B4657" t="s">
        <v>8693</v>
      </c>
      <c r="C4657" t="s">
        <v>23</v>
      </c>
      <c r="D4657" t="s">
        <v>52</v>
      </c>
      <c r="E4657" t="s">
        <v>144</v>
      </c>
      <c r="F4657" s="2" t="str">
        <f>HYPERLINK("http://www.otzar.org/book.asp?194398","בארות יצחק - 3 כר'")</f>
        <v>בארות יצחק - 3 כר'</v>
      </c>
    </row>
    <row r="4658" spans="1:6" x14ac:dyDescent="0.2">
      <c r="A4658" t="s">
        <v>8694</v>
      </c>
      <c r="B4658" t="s">
        <v>8695</v>
      </c>
      <c r="C4658" t="s">
        <v>37</v>
      </c>
      <c r="D4658" t="s">
        <v>276</v>
      </c>
      <c r="E4658" t="s">
        <v>144</v>
      </c>
      <c r="F4658" s="2" t="str">
        <f>HYPERLINK("http://www.otzar.org/book.asp?197125","בארות מים - גיטין")</f>
        <v>בארות מים - גיטין</v>
      </c>
    </row>
    <row r="4659" spans="1:6" x14ac:dyDescent="0.2">
      <c r="A4659" t="s">
        <v>8696</v>
      </c>
      <c r="B4659" t="s">
        <v>3961</v>
      </c>
      <c r="C4659" t="s">
        <v>129</v>
      </c>
      <c r="D4659" t="s">
        <v>412</v>
      </c>
      <c r="E4659" t="s">
        <v>148</v>
      </c>
      <c r="F4659" s="2" t="str">
        <f>HYPERLINK("http://www.otzar.org/book.asp?176964","בארות מים - שו""ע יו""ד הלכות מקוואות")</f>
        <v>בארות מים - שו"ע יו"ד הלכות מקוואות</v>
      </c>
    </row>
    <row r="4660" spans="1:6" x14ac:dyDescent="0.2">
      <c r="A4660" t="s">
        <v>8697</v>
      </c>
      <c r="B4660" t="s">
        <v>8698</v>
      </c>
      <c r="C4660" t="s">
        <v>244</v>
      </c>
      <c r="D4660" t="s">
        <v>152</v>
      </c>
      <c r="E4660" t="s">
        <v>144</v>
      </c>
      <c r="F4660" s="2" t="str">
        <f>HYPERLINK("http://www.otzar.org/book.asp?600631","בארות מים - 6 כר'")</f>
        <v>בארות מים - 6 כר'</v>
      </c>
    </row>
    <row r="4661" spans="1:6" x14ac:dyDescent="0.2">
      <c r="A4661" t="s">
        <v>8699</v>
      </c>
      <c r="B4661" t="s">
        <v>8700</v>
      </c>
      <c r="C4661" t="s">
        <v>1448</v>
      </c>
      <c r="D4661" t="s">
        <v>52</v>
      </c>
      <c r="E4661" t="s">
        <v>1211</v>
      </c>
      <c r="F4661" s="2" t="str">
        <f>HYPERLINK("http://www.otzar.org/book.asp?15248","בארות נתן")</f>
        <v>בארות נתן</v>
      </c>
    </row>
    <row r="4662" spans="1:6" x14ac:dyDescent="0.2">
      <c r="A4662" t="s">
        <v>8701</v>
      </c>
      <c r="B4662" t="s">
        <v>8702</v>
      </c>
      <c r="E4662" t="s">
        <v>230</v>
      </c>
      <c r="F4662" s="2" t="str">
        <f>HYPERLINK("http://www.otzar.org/book.asp?616052","בארות נתנאל")</f>
        <v>בארות נתנאל</v>
      </c>
    </row>
    <row r="4663" spans="1:6" x14ac:dyDescent="0.2">
      <c r="A4663" t="s">
        <v>8703</v>
      </c>
      <c r="B4663" t="s">
        <v>8704</v>
      </c>
      <c r="C4663" t="s">
        <v>422</v>
      </c>
      <c r="D4663" t="s">
        <v>52</v>
      </c>
      <c r="E4663" t="s">
        <v>345</v>
      </c>
      <c r="F4663" s="2" t="str">
        <f>HYPERLINK("http://www.otzar.org/book.asp?151717","בארות שלמה - 4 כר'")</f>
        <v>בארות שלמה - 4 כר'</v>
      </c>
    </row>
    <row r="4664" spans="1:6" x14ac:dyDescent="0.2">
      <c r="A4664" t="s">
        <v>8705</v>
      </c>
      <c r="B4664" t="s">
        <v>8706</v>
      </c>
      <c r="C4664" t="s">
        <v>20</v>
      </c>
      <c r="D4664" t="s">
        <v>52</v>
      </c>
      <c r="E4664" t="s">
        <v>234</v>
      </c>
      <c r="F4664" s="2" t="str">
        <f>HYPERLINK("http://www.otzar.org/book.asp?190944","בארחות החיים")</f>
        <v>בארחות החיים</v>
      </c>
    </row>
    <row r="4665" spans="1:6" x14ac:dyDescent="0.2">
      <c r="A4665" t="s">
        <v>8707</v>
      </c>
      <c r="B4665" t="s">
        <v>8708</v>
      </c>
      <c r="C4665" t="s">
        <v>422</v>
      </c>
      <c r="D4665" t="s">
        <v>21</v>
      </c>
      <c r="E4665" t="s">
        <v>8282</v>
      </c>
      <c r="F4665" s="2" t="str">
        <f>HYPERLINK("http://www.otzar.org/book.asp?192181","בארת המים &lt;מהדורת שפתי צדיקים&gt;")</f>
        <v>בארת המים &lt;מהדורת שפתי צדיקים&gt;</v>
      </c>
    </row>
    <row r="4666" spans="1:6" x14ac:dyDescent="0.2">
      <c r="A4666" t="s">
        <v>8709</v>
      </c>
      <c r="B4666" t="s">
        <v>8708</v>
      </c>
      <c r="C4666" t="s">
        <v>777</v>
      </c>
      <c r="D4666" t="s">
        <v>1966</v>
      </c>
      <c r="E4666" t="s">
        <v>8710</v>
      </c>
      <c r="F4666" s="2" t="str">
        <f>HYPERLINK("http://www.otzar.org/book.asp?11524","בארת המים - 2 כר'")</f>
        <v>בארת המים - 2 כר'</v>
      </c>
    </row>
    <row r="4667" spans="1:6" x14ac:dyDescent="0.2">
      <c r="A4667" t="s">
        <v>8711</v>
      </c>
      <c r="B4667" t="s">
        <v>8712</v>
      </c>
      <c r="C4667" t="s">
        <v>1208</v>
      </c>
      <c r="D4667" t="s">
        <v>52</v>
      </c>
      <c r="E4667" t="s">
        <v>733</v>
      </c>
      <c r="F4667" s="2" t="str">
        <f>HYPERLINK("http://www.otzar.org/book.asp?144932","באש ובמים")</f>
        <v>באש ובמים</v>
      </c>
    </row>
    <row r="4668" spans="1:6" x14ac:dyDescent="0.2">
      <c r="A4668" t="s">
        <v>8713</v>
      </c>
      <c r="B4668" t="s">
        <v>8714</v>
      </c>
      <c r="D4668" t="s">
        <v>14</v>
      </c>
      <c r="E4668" t="s">
        <v>226</v>
      </c>
      <c r="F4668" s="2" t="str">
        <f>HYPERLINK("http://www.otzar.org/book.asp?182253","באש ובמים - תולדות מוהרנ""ת")</f>
        <v>באש ובמים - תולדות מוהרנ"ת</v>
      </c>
    </row>
    <row r="4669" spans="1:6" x14ac:dyDescent="0.2">
      <c r="A4669" t="s">
        <v>8715</v>
      </c>
      <c r="B4669" t="s">
        <v>8716</v>
      </c>
      <c r="C4669" t="s">
        <v>411</v>
      </c>
      <c r="D4669" t="s">
        <v>14</v>
      </c>
      <c r="E4669" t="s">
        <v>5935</v>
      </c>
      <c r="F4669" s="2" t="str">
        <f>HYPERLINK("http://www.otzar.org/book.asp?172490","באשמורות אהגה")</f>
        <v>באשמורות אהגה</v>
      </c>
    </row>
    <row r="4670" spans="1:6" x14ac:dyDescent="0.2">
      <c r="A4670" t="s">
        <v>8717</v>
      </c>
      <c r="B4670" t="s">
        <v>8718</v>
      </c>
      <c r="C4670" t="s">
        <v>313</v>
      </c>
      <c r="D4670" t="s">
        <v>14</v>
      </c>
      <c r="E4670" t="s">
        <v>714</v>
      </c>
      <c r="F4670" s="2" t="str">
        <f>HYPERLINK("http://www.otzar.org/book.asp?84590","באשמורת הבוקר")</f>
        <v>באשמורת הבוקר</v>
      </c>
    </row>
    <row r="4671" spans="1:6" x14ac:dyDescent="0.2">
      <c r="A4671" t="s">
        <v>8719</v>
      </c>
      <c r="B4671" t="s">
        <v>4464</v>
      </c>
      <c r="C4671" t="s">
        <v>114</v>
      </c>
      <c r="D4671" t="s">
        <v>8720</v>
      </c>
      <c r="E4671" t="s">
        <v>230</v>
      </c>
      <c r="F4671" s="2" t="str">
        <f>HYPERLINK("http://www.otzar.org/book.asp?159317","באשר הוא שם")</f>
        <v>באשר הוא שם</v>
      </c>
    </row>
    <row r="4672" spans="1:6" x14ac:dyDescent="0.2">
      <c r="A4672" t="s">
        <v>8721</v>
      </c>
      <c r="B4672" t="s">
        <v>8722</v>
      </c>
      <c r="C4672" t="s">
        <v>20</v>
      </c>
      <c r="D4672" t="s">
        <v>14</v>
      </c>
      <c r="E4672" t="s">
        <v>104</v>
      </c>
      <c r="F4672" s="2" t="str">
        <f>HYPERLINK("http://www.otzar.org/book.asp?166638","באשר תלך - קורות חייה של הרבנית מרגלית יוסף ע""ה")</f>
        <v>באשר תלך - קורות חייה של הרבנית מרגלית יוסף ע"ה</v>
      </c>
    </row>
    <row r="4673" spans="1:6" x14ac:dyDescent="0.2">
      <c r="A4673" t="s">
        <v>8723</v>
      </c>
      <c r="B4673" t="s">
        <v>7693</v>
      </c>
      <c r="C4673" t="s">
        <v>313</v>
      </c>
      <c r="D4673" t="s">
        <v>14</v>
      </c>
      <c r="E4673" t="s">
        <v>158</v>
      </c>
      <c r="F4673" s="2" t="str">
        <f>HYPERLINK("http://www.otzar.org/book.asp?28160","באתי לארמוני - 6 כר'")</f>
        <v>באתי לארמוני - 6 כר'</v>
      </c>
    </row>
    <row r="4674" spans="1:6" x14ac:dyDescent="0.2">
      <c r="A4674" t="s">
        <v>8724</v>
      </c>
      <c r="B4674" t="s">
        <v>5005</v>
      </c>
      <c r="C4674" t="s">
        <v>114</v>
      </c>
      <c r="D4674" t="s">
        <v>14</v>
      </c>
      <c r="E4674" t="s">
        <v>15</v>
      </c>
      <c r="F4674" s="2" t="str">
        <f>HYPERLINK("http://www.otzar.org/book.asp?162889","באתי לגני")</f>
        <v>באתי לגני</v>
      </c>
    </row>
    <row r="4675" spans="1:6" x14ac:dyDescent="0.2">
      <c r="A4675" t="s">
        <v>8725</v>
      </c>
      <c r="B4675" t="s">
        <v>5618</v>
      </c>
      <c r="C4675" t="s">
        <v>1388</v>
      </c>
      <c r="D4675" t="s">
        <v>52</v>
      </c>
      <c r="E4675" t="s">
        <v>234</v>
      </c>
      <c r="F4675" s="2" t="str">
        <f>HYPERLINK("http://www.otzar.org/book.asp?189702","בבא מאיר - מילי דהספידא")</f>
        <v>בבא מאיר - מילי דהספידא</v>
      </c>
    </row>
    <row r="4676" spans="1:6" x14ac:dyDescent="0.2">
      <c r="A4676" t="s">
        <v>8726</v>
      </c>
      <c r="B4676" t="s">
        <v>8727</v>
      </c>
      <c r="C4676" t="s">
        <v>20</v>
      </c>
      <c r="D4676" t="s">
        <v>14</v>
      </c>
      <c r="E4676" t="s">
        <v>119</v>
      </c>
      <c r="F4676" s="2" t="str">
        <f>HYPERLINK("http://www.otzar.org/book.asp?619002","בבא סאלי")</f>
        <v>בבא סאלי</v>
      </c>
    </row>
    <row r="4677" spans="1:6" x14ac:dyDescent="0.2">
      <c r="A4677" t="s">
        <v>8728</v>
      </c>
      <c r="B4677" t="s">
        <v>8729</v>
      </c>
      <c r="C4677" t="s">
        <v>68</v>
      </c>
      <c r="D4677" t="s">
        <v>14</v>
      </c>
      <c r="E4677" t="s">
        <v>230</v>
      </c>
      <c r="F4677" s="2" t="str">
        <f>HYPERLINK("http://www.otzar.org/book.asp?158390","בבינת הלב")</f>
        <v>בבינת הלב</v>
      </c>
    </row>
    <row r="4678" spans="1:6" x14ac:dyDescent="0.2">
      <c r="A4678" t="s">
        <v>8730</v>
      </c>
      <c r="B4678" t="s">
        <v>7879</v>
      </c>
      <c r="C4678" t="s">
        <v>68</v>
      </c>
      <c r="D4678" t="s">
        <v>52</v>
      </c>
      <c r="E4678" t="s">
        <v>786</v>
      </c>
      <c r="F4678" s="2" t="str">
        <f>HYPERLINK("http://www.otzar.org/book.asp?153022","בבית גנזי")</f>
        <v>בבית גנזי</v>
      </c>
    </row>
    <row r="4679" spans="1:6" x14ac:dyDescent="0.2">
      <c r="A4679" t="s">
        <v>8731</v>
      </c>
      <c r="B4679" t="s">
        <v>8732</v>
      </c>
      <c r="C4679" t="s">
        <v>8733</v>
      </c>
      <c r="D4679" t="s">
        <v>592</v>
      </c>
      <c r="E4679" t="s">
        <v>104</v>
      </c>
      <c r="F4679" s="2" t="str">
        <f>HYPERLINK("http://www.otzar.org/book.asp?196392","בבית המדרש הישן")</f>
        <v>בבית המדרש הישן</v>
      </c>
    </row>
    <row r="4680" spans="1:6" x14ac:dyDescent="0.2">
      <c r="A4680" t="s">
        <v>8734</v>
      </c>
      <c r="B4680" t="s">
        <v>8735</v>
      </c>
      <c r="C4680" t="s">
        <v>8736</v>
      </c>
      <c r="D4680" t="s">
        <v>76</v>
      </c>
      <c r="E4680" t="s">
        <v>119</v>
      </c>
      <c r="F4680" s="2" t="str">
        <f>HYPERLINK("http://www.otzar.org/book.asp?300371","בבית העלמין של יהודי שאלוניקי - ב")</f>
        <v>בבית העלמין של יהודי שאלוניקי - ב</v>
      </c>
    </row>
    <row r="4681" spans="1:6" x14ac:dyDescent="0.2">
      <c r="A4681" t="s">
        <v>8737</v>
      </c>
      <c r="B4681" t="s">
        <v>8738</v>
      </c>
      <c r="D4681" t="s">
        <v>6853</v>
      </c>
      <c r="E4681" t="s">
        <v>144</v>
      </c>
      <c r="F4681" s="2" t="str">
        <f>HYPERLINK("http://www.otzar.org/book.asp?605347","בביתי ובחומותי")</f>
        <v>בביתי ובחומותי</v>
      </c>
    </row>
    <row r="4682" spans="1:6" x14ac:dyDescent="0.2">
      <c r="A4682" t="s">
        <v>8739</v>
      </c>
      <c r="B4682" t="s">
        <v>5018</v>
      </c>
      <c r="C4682" t="s">
        <v>775</v>
      </c>
      <c r="D4682" t="s">
        <v>21</v>
      </c>
      <c r="E4682" t="s">
        <v>119</v>
      </c>
      <c r="F4682" s="2" t="str">
        <f>HYPERLINK("http://www.otzar.org/book.asp?198433","בבל וחכמיה")</f>
        <v>בבל וחכמיה</v>
      </c>
    </row>
    <row r="4683" spans="1:6" x14ac:dyDescent="0.2">
      <c r="A4683" t="s">
        <v>8740</v>
      </c>
      <c r="B4683" t="s">
        <v>8741</v>
      </c>
      <c r="C4683" t="s">
        <v>1811</v>
      </c>
      <c r="D4683" t="s">
        <v>14</v>
      </c>
      <c r="E4683" t="s">
        <v>104</v>
      </c>
      <c r="F4683" s="2" t="str">
        <f>HYPERLINK("http://www.otzar.org/book.asp?175852","בבליוגרפיה לאבן גבירול")</f>
        <v>בבליוגרפיה לאבן גבירול</v>
      </c>
    </row>
    <row r="4684" spans="1:6" x14ac:dyDescent="0.2">
      <c r="A4684" t="s">
        <v>8742</v>
      </c>
      <c r="B4684" t="s">
        <v>8743</v>
      </c>
      <c r="C4684" t="s">
        <v>366</v>
      </c>
      <c r="D4684" t="s">
        <v>412</v>
      </c>
      <c r="F4684" s="2" t="str">
        <f>HYPERLINK("http://www.otzar.org/book.asp?613571","בבנותינו נלך")</f>
        <v>בבנותינו נלך</v>
      </c>
    </row>
    <row r="4685" spans="1:6" x14ac:dyDescent="0.2">
      <c r="A4685" t="s">
        <v>8744</v>
      </c>
      <c r="B4685" t="s">
        <v>8745</v>
      </c>
      <c r="C4685" t="s">
        <v>366</v>
      </c>
      <c r="D4685" t="s">
        <v>52</v>
      </c>
      <c r="E4685" t="s">
        <v>234</v>
      </c>
      <c r="F4685" s="2" t="str">
        <f>HYPERLINK("http://www.otzar.org/book.asp?621355","בבת עינינו - 5 כר'")</f>
        <v>בבת עינינו - 5 כר'</v>
      </c>
    </row>
    <row r="4686" spans="1:6" x14ac:dyDescent="0.2">
      <c r="A4686" t="s">
        <v>8746</v>
      </c>
      <c r="B4686" t="s">
        <v>8747</v>
      </c>
      <c r="C4686" t="s">
        <v>20</v>
      </c>
      <c r="D4686" t="s">
        <v>90</v>
      </c>
      <c r="E4686" t="s">
        <v>144</v>
      </c>
      <c r="F4686" s="2" t="str">
        <f>HYPERLINK("http://www.otzar.org/book.asp?626803","בגבורות ישע - עירובין")</f>
        <v>בגבורות ישע - עירובין</v>
      </c>
    </row>
    <row r="4687" spans="1:6" x14ac:dyDescent="0.2">
      <c r="A4687" t="s">
        <v>8748</v>
      </c>
      <c r="B4687" t="s">
        <v>1750</v>
      </c>
      <c r="C4687" t="s">
        <v>87</v>
      </c>
      <c r="D4687" t="s">
        <v>21</v>
      </c>
      <c r="E4687" t="s">
        <v>202</v>
      </c>
      <c r="F4687" s="2" t="str">
        <f>HYPERLINK("http://www.otzar.org/book.asp?603531","בגבורות שמונים")</f>
        <v>בגבורות שמונים</v>
      </c>
    </row>
    <row r="4688" spans="1:6" x14ac:dyDescent="0.2">
      <c r="A4688" t="s">
        <v>8749</v>
      </c>
      <c r="B4688" t="s">
        <v>686</v>
      </c>
      <c r="C4688" t="s">
        <v>146</v>
      </c>
      <c r="D4688" t="s">
        <v>52</v>
      </c>
      <c r="E4688" t="s">
        <v>158</v>
      </c>
      <c r="F4688" s="2" t="str">
        <f>HYPERLINK("http://www.otzar.org/book.asp?50418","בגבורת שמנים")</f>
        <v>בגבורת שמנים</v>
      </c>
    </row>
    <row r="4689" spans="1:6" x14ac:dyDescent="0.2">
      <c r="A4689" t="s">
        <v>8750</v>
      </c>
      <c r="B4689" t="s">
        <v>8751</v>
      </c>
      <c r="C4689" t="s">
        <v>71</v>
      </c>
      <c r="D4689" t="s">
        <v>52</v>
      </c>
      <c r="E4689" t="s">
        <v>104</v>
      </c>
      <c r="F4689" s="2" t="str">
        <f>HYPERLINK("http://www.otzar.org/book.asp?162785","בגד אהרן")</f>
        <v>בגד אהרן</v>
      </c>
    </row>
    <row r="4690" spans="1:6" x14ac:dyDescent="0.2">
      <c r="A4690" t="s">
        <v>8752</v>
      </c>
      <c r="B4690" t="s">
        <v>8753</v>
      </c>
      <c r="C4690" t="s">
        <v>635</v>
      </c>
      <c r="D4690" t="s">
        <v>267</v>
      </c>
      <c r="E4690" t="s">
        <v>241</v>
      </c>
      <c r="F4690" s="2" t="str">
        <f>HYPERLINK("http://www.otzar.org/book.asp?300375","בגד ללבוש")</f>
        <v>בגד ללבוש</v>
      </c>
    </row>
    <row r="4691" spans="1:6" x14ac:dyDescent="0.2">
      <c r="A4691" t="s">
        <v>8754</v>
      </c>
      <c r="B4691" t="s">
        <v>8755</v>
      </c>
      <c r="C4691" t="s">
        <v>553</v>
      </c>
      <c r="D4691" t="s">
        <v>52</v>
      </c>
      <c r="E4691" t="s">
        <v>8756</v>
      </c>
      <c r="F4691" s="2" t="str">
        <f>HYPERLINK("http://www.otzar.org/book.asp?153635","בגד תכלת - תורת המלך")</f>
        <v>בגד תכלת - תורת המלך</v>
      </c>
    </row>
    <row r="4692" spans="1:6" x14ac:dyDescent="0.2">
      <c r="A4692" t="s">
        <v>8757</v>
      </c>
      <c r="B4692" t="s">
        <v>8758</v>
      </c>
      <c r="C4692" t="s">
        <v>103</v>
      </c>
      <c r="D4692" t="s">
        <v>2375</v>
      </c>
      <c r="E4692" t="s">
        <v>8759</v>
      </c>
      <c r="F4692" s="2" t="str">
        <f>HYPERLINK("http://www.otzar.org/book.asp?143642","בגדי אהרן &lt;מהדורה חדשה&gt;")</f>
        <v>בגדי אהרן &lt;מהדורה חדשה&gt;</v>
      </c>
    </row>
    <row r="4693" spans="1:6" x14ac:dyDescent="0.2">
      <c r="A4693" t="s">
        <v>8760</v>
      </c>
      <c r="B4693" t="s">
        <v>8758</v>
      </c>
      <c r="C4693" t="s">
        <v>1519</v>
      </c>
      <c r="D4693" t="s">
        <v>212</v>
      </c>
      <c r="E4693" t="s">
        <v>8761</v>
      </c>
      <c r="F4693" s="2" t="str">
        <f>HYPERLINK("http://www.otzar.org/book.asp?17266","בגדי אהרן")</f>
        <v>בגדי אהרן</v>
      </c>
    </row>
    <row r="4694" spans="1:6" x14ac:dyDescent="0.2">
      <c r="A4694" t="s">
        <v>8762</v>
      </c>
      <c r="B4694" t="s">
        <v>8763</v>
      </c>
      <c r="C4694" t="s">
        <v>8764</v>
      </c>
      <c r="D4694" t="s">
        <v>6042</v>
      </c>
      <c r="E4694" t="s">
        <v>158</v>
      </c>
      <c r="F4694" s="2" t="str">
        <f>HYPERLINK("http://www.otzar.org/book.asp?108265","בגדי אהרן - 3 כר'")</f>
        <v>בגדי אהרן - 3 כר'</v>
      </c>
    </row>
    <row r="4695" spans="1:6" x14ac:dyDescent="0.2">
      <c r="A4695" t="s">
        <v>8765</v>
      </c>
      <c r="B4695" t="s">
        <v>8766</v>
      </c>
      <c r="C4695" t="s">
        <v>244</v>
      </c>
      <c r="D4695" t="s">
        <v>14</v>
      </c>
      <c r="E4695" t="s">
        <v>15</v>
      </c>
      <c r="F4695" s="2" t="str">
        <f>HYPERLINK("http://www.otzar.org/book.asp?199677","בגדי איש")</f>
        <v>בגדי איש</v>
      </c>
    </row>
    <row r="4696" spans="1:6" x14ac:dyDescent="0.2">
      <c r="A4696" t="s">
        <v>8767</v>
      </c>
      <c r="B4696" t="s">
        <v>318</v>
      </c>
      <c r="C4696" t="s">
        <v>366</v>
      </c>
      <c r="D4696" t="s">
        <v>14</v>
      </c>
      <c r="E4696" t="s">
        <v>158</v>
      </c>
      <c r="F4696" s="2" t="str">
        <f>HYPERLINK("http://www.otzar.org/book.asp?608867","בגדי הבד")</f>
        <v>בגדי הבד</v>
      </c>
    </row>
    <row r="4697" spans="1:6" x14ac:dyDescent="0.2">
      <c r="A4697" t="s">
        <v>8768</v>
      </c>
      <c r="B4697" t="s">
        <v>8769</v>
      </c>
      <c r="C4697" t="s">
        <v>1519</v>
      </c>
      <c r="D4697" t="s">
        <v>267</v>
      </c>
      <c r="F4697" s="2" t="str">
        <f>HYPERLINK("http://www.otzar.org/book.asp?183030","בגדי הקדש")</f>
        <v>בגדי הקדש</v>
      </c>
    </row>
    <row r="4698" spans="1:6" x14ac:dyDescent="0.2">
      <c r="A4698" t="s">
        <v>8770</v>
      </c>
      <c r="B4698" t="s">
        <v>239</v>
      </c>
      <c r="C4698" t="s">
        <v>20</v>
      </c>
      <c r="D4698" t="s">
        <v>240</v>
      </c>
      <c r="F4698" s="2" t="str">
        <f>HYPERLINK("http://www.otzar.org/book.asp?604605","בגדי השרד על הגדה של פסח &lt;המבואר&gt;")</f>
        <v>בגדי השרד על הגדה של פסח &lt;המבואר&gt;</v>
      </c>
    </row>
    <row r="4699" spans="1:6" x14ac:dyDescent="0.2">
      <c r="A4699" t="s">
        <v>8771</v>
      </c>
      <c r="B4699" t="s">
        <v>239</v>
      </c>
      <c r="C4699" t="s">
        <v>129</v>
      </c>
      <c r="D4699" t="s">
        <v>2375</v>
      </c>
      <c r="E4699" t="s">
        <v>246</v>
      </c>
      <c r="F4699" s="2" t="str">
        <f>HYPERLINK("http://www.otzar.org/book.asp?144829","בגדי השרד - 4 כר'")</f>
        <v>בגדי השרד - 4 כר'</v>
      </c>
    </row>
    <row r="4700" spans="1:6" x14ac:dyDescent="0.2">
      <c r="A4700" t="s">
        <v>8772</v>
      </c>
      <c r="B4700" t="s">
        <v>305</v>
      </c>
      <c r="C4700" t="s">
        <v>3690</v>
      </c>
      <c r="D4700" t="s">
        <v>267</v>
      </c>
      <c r="E4700" t="s">
        <v>803</v>
      </c>
      <c r="F4700" s="2" t="str">
        <f>HYPERLINK("http://www.otzar.org/book.asp?6706","בגדי יום טוב")</f>
        <v>בגדי יום טוב</v>
      </c>
    </row>
    <row r="4701" spans="1:6" x14ac:dyDescent="0.2">
      <c r="A4701" t="s">
        <v>8773</v>
      </c>
      <c r="B4701" t="s">
        <v>8774</v>
      </c>
      <c r="C4701" t="s">
        <v>8775</v>
      </c>
      <c r="D4701" t="s">
        <v>157</v>
      </c>
      <c r="E4701" t="s">
        <v>154</v>
      </c>
      <c r="F4701" s="2" t="str">
        <f>HYPERLINK("http://www.otzar.org/book.asp?100122","בגדי יום טוב - 2 כר'")</f>
        <v>בגדי יום טוב - 2 כר'</v>
      </c>
    </row>
    <row r="4702" spans="1:6" x14ac:dyDescent="0.2">
      <c r="A4702" t="s">
        <v>8776</v>
      </c>
      <c r="B4702" t="s">
        <v>8777</v>
      </c>
      <c r="C4702" t="s">
        <v>146</v>
      </c>
      <c r="D4702" t="s">
        <v>14</v>
      </c>
      <c r="E4702" t="s">
        <v>1880</v>
      </c>
      <c r="F4702" s="2" t="str">
        <f>HYPERLINK("http://www.otzar.org/book.asp?606636","בגדי ישע &lt;מהדורה חדשה&gt;")</f>
        <v>בגדי ישע &lt;מהדורה חדשה&gt;</v>
      </c>
    </row>
    <row r="4703" spans="1:6" x14ac:dyDescent="0.2">
      <c r="A4703" t="s">
        <v>8776</v>
      </c>
      <c r="B4703" t="s">
        <v>8778</v>
      </c>
      <c r="C4703" t="s">
        <v>111</v>
      </c>
      <c r="D4703" t="s">
        <v>52</v>
      </c>
      <c r="E4703" t="s">
        <v>993</v>
      </c>
      <c r="F4703" s="2" t="str">
        <f>HYPERLINK("http://www.otzar.org/book.asp?629435","בגדי ישע &lt;מהדורה חדשה&gt;")</f>
        <v>בגדי ישע &lt;מהדורה חדשה&gt;</v>
      </c>
    </row>
    <row r="4704" spans="1:6" x14ac:dyDescent="0.2">
      <c r="A4704" t="s">
        <v>8779</v>
      </c>
      <c r="B4704" t="s">
        <v>8780</v>
      </c>
      <c r="C4704" t="s">
        <v>146</v>
      </c>
      <c r="D4704" t="s">
        <v>14</v>
      </c>
      <c r="E4704" t="s">
        <v>241</v>
      </c>
      <c r="F4704" s="2" t="str">
        <f>HYPERLINK("http://www.otzar.org/book.asp?50111","בגדי ישע")</f>
        <v>בגדי ישע</v>
      </c>
    </row>
    <row r="4705" spans="1:6" x14ac:dyDescent="0.2">
      <c r="A4705" t="s">
        <v>8779</v>
      </c>
      <c r="B4705" t="s">
        <v>3443</v>
      </c>
      <c r="C4705" t="s">
        <v>4538</v>
      </c>
      <c r="D4705" t="s">
        <v>1023</v>
      </c>
      <c r="E4705" t="s">
        <v>8781</v>
      </c>
      <c r="F4705" s="2" t="str">
        <f>HYPERLINK("http://www.otzar.org/book.asp?6501","בגדי ישע")</f>
        <v>בגדי ישע</v>
      </c>
    </row>
    <row r="4706" spans="1:6" x14ac:dyDescent="0.2">
      <c r="A4706" t="s">
        <v>8782</v>
      </c>
      <c r="B4706" t="s">
        <v>8783</v>
      </c>
      <c r="C4706" t="s">
        <v>103</v>
      </c>
      <c r="D4706" t="s">
        <v>14</v>
      </c>
      <c r="E4706" t="s">
        <v>148</v>
      </c>
      <c r="F4706" s="2" t="str">
        <f>HYPERLINK("http://www.otzar.org/book.asp?149486","בגדי ישע - 4 כר'")</f>
        <v>בגדי ישע - 4 כר'</v>
      </c>
    </row>
    <row r="4707" spans="1:6" x14ac:dyDescent="0.2">
      <c r="A4707" t="s">
        <v>8779</v>
      </c>
      <c r="B4707" t="s">
        <v>8784</v>
      </c>
      <c r="C4707" t="s">
        <v>151</v>
      </c>
      <c r="D4707" t="s">
        <v>7116</v>
      </c>
      <c r="E4707" t="s">
        <v>158</v>
      </c>
      <c r="F4707" s="2" t="str">
        <f>HYPERLINK("http://www.otzar.org/book.asp?631188","בגדי ישע")</f>
        <v>בגדי ישע</v>
      </c>
    </row>
    <row r="4708" spans="1:6" x14ac:dyDescent="0.2">
      <c r="A4708" t="s">
        <v>8779</v>
      </c>
      <c r="B4708" t="s">
        <v>2999</v>
      </c>
      <c r="C4708" t="s">
        <v>775</v>
      </c>
      <c r="D4708" t="s">
        <v>14</v>
      </c>
      <c r="E4708" t="s">
        <v>8785</v>
      </c>
      <c r="F4708" s="2" t="str">
        <f>HYPERLINK("http://www.otzar.org/book.asp?143714","בגדי ישע")</f>
        <v>בגדי ישע</v>
      </c>
    </row>
    <row r="4709" spans="1:6" x14ac:dyDescent="0.2">
      <c r="A4709" t="s">
        <v>8779</v>
      </c>
      <c r="B4709" t="s">
        <v>8777</v>
      </c>
      <c r="C4709" t="s">
        <v>291</v>
      </c>
      <c r="D4709" t="s">
        <v>1660</v>
      </c>
      <c r="E4709" t="s">
        <v>8786</v>
      </c>
      <c r="F4709" s="2" t="str">
        <f>HYPERLINK("http://www.otzar.org/book.asp?100413","בגדי ישע")</f>
        <v>בגדי ישע</v>
      </c>
    </row>
    <row r="4710" spans="1:6" x14ac:dyDescent="0.2">
      <c r="A4710" t="s">
        <v>8779</v>
      </c>
      <c r="B4710" t="s">
        <v>8778</v>
      </c>
      <c r="C4710" t="s">
        <v>429</v>
      </c>
      <c r="D4710" t="s">
        <v>27</v>
      </c>
      <c r="E4710" t="s">
        <v>104</v>
      </c>
      <c r="F4710" s="2" t="str">
        <f>HYPERLINK("http://www.otzar.org/book.asp?149129","בגדי ישע")</f>
        <v>בגדי ישע</v>
      </c>
    </row>
    <row r="4711" spans="1:6" x14ac:dyDescent="0.2">
      <c r="A4711" t="s">
        <v>8779</v>
      </c>
      <c r="B4711" t="s">
        <v>8787</v>
      </c>
      <c r="C4711" t="s">
        <v>3475</v>
      </c>
      <c r="D4711" t="s">
        <v>56</v>
      </c>
      <c r="E4711" t="s">
        <v>154</v>
      </c>
      <c r="F4711" s="2" t="str">
        <f>HYPERLINK("http://www.otzar.org/book.asp?825","בגדי ישע")</f>
        <v>בגדי ישע</v>
      </c>
    </row>
    <row r="4712" spans="1:6" x14ac:dyDescent="0.2">
      <c r="A4712" t="s">
        <v>8788</v>
      </c>
      <c r="B4712" t="s">
        <v>8789</v>
      </c>
      <c r="C4712" t="s">
        <v>20</v>
      </c>
      <c r="D4712" t="s">
        <v>412</v>
      </c>
      <c r="E4712" t="s">
        <v>104</v>
      </c>
      <c r="F4712" s="2" t="str">
        <f>HYPERLINK("http://www.otzar.org/book.asp?619752","בגדי כהונה")</f>
        <v>בגדי כהונה</v>
      </c>
    </row>
    <row r="4713" spans="1:6" x14ac:dyDescent="0.2">
      <c r="A4713" t="s">
        <v>8788</v>
      </c>
      <c r="B4713" t="s">
        <v>8790</v>
      </c>
      <c r="C4713" t="s">
        <v>4462</v>
      </c>
      <c r="D4713" t="s">
        <v>76</v>
      </c>
      <c r="E4713" t="s">
        <v>234</v>
      </c>
      <c r="F4713" s="2" t="str">
        <f>HYPERLINK("http://www.otzar.org/book.asp?15700","בגדי כהונה")</f>
        <v>בגדי כהונה</v>
      </c>
    </row>
    <row r="4714" spans="1:6" x14ac:dyDescent="0.2">
      <c r="A4714" t="s">
        <v>8788</v>
      </c>
      <c r="B4714" t="s">
        <v>922</v>
      </c>
      <c r="C4714" t="s">
        <v>919</v>
      </c>
      <c r="D4714" t="s">
        <v>14</v>
      </c>
      <c r="E4714" t="s">
        <v>1262</v>
      </c>
      <c r="F4714" s="2" t="str">
        <f>HYPERLINK("http://www.otzar.org/book.asp?144229","בגדי כהונה")</f>
        <v>בגדי כהונה</v>
      </c>
    </row>
    <row r="4715" spans="1:6" x14ac:dyDescent="0.2">
      <c r="A4715" t="s">
        <v>8788</v>
      </c>
      <c r="B4715" t="s">
        <v>8791</v>
      </c>
      <c r="C4715" t="s">
        <v>180</v>
      </c>
      <c r="D4715" t="s">
        <v>14</v>
      </c>
      <c r="E4715" t="s">
        <v>104</v>
      </c>
      <c r="F4715" s="2" t="str">
        <f>HYPERLINK("http://www.otzar.org/book.asp?7189","בגדי כהונה")</f>
        <v>בגדי כהונה</v>
      </c>
    </row>
    <row r="4716" spans="1:6" x14ac:dyDescent="0.2">
      <c r="A4716" t="s">
        <v>8792</v>
      </c>
      <c r="B4716" t="s">
        <v>8793</v>
      </c>
      <c r="C4716" t="s">
        <v>20</v>
      </c>
      <c r="D4716" t="s">
        <v>90</v>
      </c>
      <c r="F4716" s="2" t="str">
        <f>HYPERLINK("http://www.otzar.org/book.asp?621837","בגדי כהן גדול")</f>
        <v>בגדי כהן גדול</v>
      </c>
    </row>
    <row r="4717" spans="1:6" x14ac:dyDescent="0.2">
      <c r="A4717" t="s">
        <v>8794</v>
      </c>
      <c r="B4717" t="s">
        <v>8795</v>
      </c>
      <c r="C4717" t="s">
        <v>17</v>
      </c>
      <c r="D4717" t="s">
        <v>14</v>
      </c>
      <c r="E4717" t="s">
        <v>8796</v>
      </c>
      <c r="F4717" s="2" t="str">
        <f>HYPERLINK("http://www.otzar.org/book.asp?145098","בגדי מרדכי - 2 כר'")</f>
        <v>בגדי מרדכי - 2 כר'</v>
      </c>
    </row>
    <row r="4718" spans="1:6" x14ac:dyDescent="0.2">
      <c r="A4718" t="s">
        <v>8797</v>
      </c>
      <c r="B4718" t="s">
        <v>8798</v>
      </c>
      <c r="C4718" t="s">
        <v>8799</v>
      </c>
      <c r="D4718" t="s">
        <v>49</v>
      </c>
      <c r="E4718" t="s">
        <v>219</v>
      </c>
      <c r="F4718" s="2" t="str">
        <f>HYPERLINK("http://www.otzar.org/book.asp?300370","בגדי קדש")</f>
        <v>בגדי קדש</v>
      </c>
    </row>
    <row r="4719" spans="1:6" x14ac:dyDescent="0.2">
      <c r="A4719" t="s">
        <v>8800</v>
      </c>
      <c r="B4719" t="s">
        <v>7334</v>
      </c>
      <c r="C4719" t="s">
        <v>13</v>
      </c>
      <c r="D4719" t="s">
        <v>139</v>
      </c>
      <c r="E4719" t="s">
        <v>399</v>
      </c>
      <c r="F4719" s="2" t="str">
        <f>HYPERLINK("http://www.otzar.org/book.asp?180262","בגדי קודש אשר לאהרן - 2 כר'")</f>
        <v>בגדי קודש אשר לאהרן - 2 כר'</v>
      </c>
    </row>
    <row r="4720" spans="1:6" x14ac:dyDescent="0.2">
      <c r="A4720" t="s">
        <v>8801</v>
      </c>
      <c r="B4720" t="s">
        <v>8802</v>
      </c>
      <c r="C4720" t="s">
        <v>422</v>
      </c>
      <c r="D4720" t="s">
        <v>14</v>
      </c>
      <c r="E4720" t="s">
        <v>148</v>
      </c>
      <c r="F4720" s="2" t="str">
        <f>HYPERLINK("http://www.otzar.org/book.asp?182770","בגדי קודש - 6 כר'")</f>
        <v>בגדי קודש - 6 כר'</v>
      </c>
    </row>
    <row r="4721" spans="1:6" x14ac:dyDescent="0.2">
      <c r="A4721" t="s">
        <v>8803</v>
      </c>
      <c r="B4721" t="s">
        <v>7899</v>
      </c>
      <c r="C4721" t="s">
        <v>1150</v>
      </c>
      <c r="D4721" t="s">
        <v>327</v>
      </c>
      <c r="E4721" t="s">
        <v>15</v>
      </c>
      <c r="F4721" s="2" t="str">
        <f>HYPERLINK("http://www.otzar.org/book.asp?154091","בגדי שרד - 2 כר'")</f>
        <v>בגדי שרד - 2 כר'</v>
      </c>
    </row>
    <row r="4722" spans="1:6" x14ac:dyDescent="0.2">
      <c r="A4722" t="s">
        <v>8804</v>
      </c>
      <c r="B4722" t="s">
        <v>984</v>
      </c>
      <c r="C4722" t="s">
        <v>8805</v>
      </c>
      <c r="D4722" t="s">
        <v>9</v>
      </c>
      <c r="E4722" t="s">
        <v>474</v>
      </c>
      <c r="F4722" s="2" t="str">
        <f>HYPERLINK("http://www.otzar.org/book.asp?7195","בגדי שרד")</f>
        <v>בגדי שרד</v>
      </c>
    </row>
    <row r="4723" spans="1:6" x14ac:dyDescent="0.2">
      <c r="A4723" t="s">
        <v>8806</v>
      </c>
      <c r="B4723" t="s">
        <v>8807</v>
      </c>
      <c r="C4723" t="s">
        <v>1096</v>
      </c>
      <c r="D4723" t="s">
        <v>212</v>
      </c>
      <c r="E4723" t="s">
        <v>84</v>
      </c>
      <c r="F4723" s="2" t="str">
        <f>HYPERLINK("http://www.otzar.org/book.asp?52499","בגדי שש")</f>
        <v>בגדי שש</v>
      </c>
    </row>
    <row r="4724" spans="1:6" x14ac:dyDescent="0.2">
      <c r="A4724" t="s">
        <v>8806</v>
      </c>
      <c r="B4724" t="s">
        <v>8808</v>
      </c>
      <c r="C4724" t="s">
        <v>1208</v>
      </c>
      <c r="D4724" t="s">
        <v>14</v>
      </c>
      <c r="E4724" t="s">
        <v>579</v>
      </c>
      <c r="F4724" s="2" t="str">
        <f>HYPERLINK("http://www.otzar.org/book.asp?165092","בגדי שש")</f>
        <v>בגדי שש</v>
      </c>
    </row>
    <row r="4725" spans="1:6" x14ac:dyDescent="0.2">
      <c r="A4725" t="s">
        <v>8806</v>
      </c>
      <c r="B4725" t="s">
        <v>8809</v>
      </c>
      <c r="C4725" t="s">
        <v>1811</v>
      </c>
      <c r="D4725" t="s">
        <v>14</v>
      </c>
      <c r="E4725" t="s">
        <v>8810</v>
      </c>
      <c r="F4725" s="2" t="str">
        <f>HYPERLINK("http://www.otzar.org/book.asp?13626","בגדי שש")</f>
        <v>בגדי שש</v>
      </c>
    </row>
    <row r="4726" spans="1:6" x14ac:dyDescent="0.2">
      <c r="A4726" t="s">
        <v>8806</v>
      </c>
      <c r="B4726" t="s">
        <v>8811</v>
      </c>
      <c r="C4726" t="s">
        <v>550</v>
      </c>
      <c r="D4726" t="s">
        <v>212</v>
      </c>
      <c r="E4726" t="s">
        <v>172</v>
      </c>
      <c r="F4726" s="2" t="str">
        <f>HYPERLINK("http://www.otzar.org/book.asp?17267","בגדי שש")</f>
        <v>בגדי שש</v>
      </c>
    </row>
    <row r="4727" spans="1:6" x14ac:dyDescent="0.2">
      <c r="A4727" t="s">
        <v>8812</v>
      </c>
      <c r="B4727" t="s">
        <v>8813</v>
      </c>
      <c r="D4727" t="s">
        <v>2909</v>
      </c>
      <c r="E4727" t="s">
        <v>15</v>
      </c>
      <c r="F4727" s="2" t="str">
        <f>HYPERLINK("http://www.otzar.org/book.asp?605116","בגדי תפארתך")</f>
        <v>בגדי תפארתך</v>
      </c>
    </row>
    <row r="4728" spans="1:6" x14ac:dyDescent="0.2">
      <c r="A4728" t="s">
        <v>8814</v>
      </c>
      <c r="B4728" t="s">
        <v>8815</v>
      </c>
      <c r="C4728" t="s">
        <v>454</v>
      </c>
      <c r="D4728" t="s">
        <v>14</v>
      </c>
      <c r="E4728" t="s">
        <v>119</v>
      </c>
      <c r="F4728" s="2" t="str">
        <f>HYPERLINK("http://www.otzar.org/book.asp?60125","בגיא צלמות")</f>
        <v>בגיא צלמות</v>
      </c>
    </row>
    <row r="4729" spans="1:6" x14ac:dyDescent="0.2">
      <c r="A4729" t="s">
        <v>8816</v>
      </c>
      <c r="B4729" t="s">
        <v>8817</v>
      </c>
      <c r="C4729" t="s">
        <v>1208</v>
      </c>
      <c r="D4729" t="s">
        <v>14</v>
      </c>
      <c r="E4729" t="s">
        <v>119</v>
      </c>
      <c r="F4729" s="2" t="str">
        <f>HYPERLINK("http://www.otzar.org/book.asp?159711","בגיא צלמות - ב")</f>
        <v>בגיא צלמות - ב</v>
      </c>
    </row>
    <row r="4730" spans="1:6" x14ac:dyDescent="0.2">
      <c r="A4730" t="s">
        <v>8818</v>
      </c>
      <c r="B4730" t="s">
        <v>8819</v>
      </c>
      <c r="C4730" t="s">
        <v>8820</v>
      </c>
      <c r="D4730" t="s">
        <v>744</v>
      </c>
      <c r="E4730" t="s">
        <v>5935</v>
      </c>
      <c r="F4730" s="2" t="str">
        <f>HYPERLINK("http://www.otzar.org/book.asp?62189","בגידת הזמן")</f>
        <v>בגידת הזמן</v>
      </c>
    </row>
    <row r="4731" spans="1:6" x14ac:dyDescent="0.2">
      <c r="A4731" t="s">
        <v>8821</v>
      </c>
      <c r="B4731" t="s">
        <v>8822</v>
      </c>
      <c r="C4731" t="s">
        <v>3840</v>
      </c>
      <c r="D4731" t="s">
        <v>646</v>
      </c>
      <c r="E4731" t="s">
        <v>140</v>
      </c>
      <c r="F4731" s="2" t="str">
        <f>HYPERLINK("http://www.otzar.org/book.asp?181334","בגילופין")</f>
        <v>בגילופין</v>
      </c>
    </row>
    <row r="4732" spans="1:6" x14ac:dyDescent="0.2">
      <c r="A4732" t="s">
        <v>8823</v>
      </c>
      <c r="B4732" t="s">
        <v>8824</v>
      </c>
      <c r="C4732" t="s">
        <v>395</v>
      </c>
      <c r="D4732" t="s">
        <v>283</v>
      </c>
      <c r="E4732" t="s">
        <v>84</v>
      </c>
      <c r="F4732" s="2" t="str">
        <f>HYPERLINK("http://www.otzar.org/book.asp?300376","בגלל אבות")</f>
        <v>בגלל אבות</v>
      </c>
    </row>
    <row r="4733" spans="1:6" x14ac:dyDescent="0.2">
      <c r="A4733" t="s">
        <v>8825</v>
      </c>
      <c r="B4733" t="s">
        <v>8826</v>
      </c>
      <c r="C4733" t="s">
        <v>812</v>
      </c>
      <c r="D4733" t="s">
        <v>8827</v>
      </c>
      <c r="E4733" t="s">
        <v>219</v>
      </c>
      <c r="F4733" s="2" t="str">
        <f>HYPERLINK("http://www.otzar.org/book.asp?197594","בגני רזים")</f>
        <v>בגני רזים</v>
      </c>
    </row>
    <row r="4734" spans="1:6" x14ac:dyDescent="0.2">
      <c r="A4734" t="s">
        <v>8828</v>
      </c>
      <c r="B4734" t="s">
        <v>8829</v>
      </c>
      <c r="C4734" t="s">
        <v>649</v>
      </c>
      <c r="D4734" t="s">
        <v>8830</v>
      </c>
      <c r="E4734" t="s">
        <v>588</v>
      </c>
      <c r="F4734" s="2" t="str">
        <f>HYPERLINK("http://www.otzar.org/book.asp?17268","בד דוד")</f>
        <v>בד דוד</v>
      </c>
    </row>
    <row r="4735" spans="1:6" x14ac:dyDescent="0.2">
      <c r="A4735" t="s">
        <v>8831</v>
      </c>
      <c r="B4735" t="s">
        <v>8832</v>
      </c>
      <c r="C4735" t="s">
        <v>189</v>
      </c>
      <c r="D4735" t="s">
        <v>52</v>
      </c>
      <c r="E4735" t="s">
        <v>8833</v>
      </c>
      <c r="F4735" s="2" t="str">
        <f>HYPERLINK("http://www.otzar.org/book.asp?23283","בד קודש (מועדים)")</f>
        <v>בד קודש (מועדים)</v>
      </c>
    </row>
    <row r="4736" spans="1:6" x14ac:dyDescent="0.2">
      <c r="A4736" t="s">
        <v>8834</v>
      </c>
      <c r="B4736" t="s">
        <v>8832</v>
      </c>
      <c r="C4736" t="s">
        <v>20</v>
      </c>
      <c r="D4736" t="s">
        <v>52</v>
      </c>
      <c r="E4736" t="s">
        <v>158</v>
      </c>
      <c r="F4736" s="2" t="str">
        <f>HYPERLINK("http://www.otzar.org/book.asp?609546","בד קודש (תורה) - 2 כר'")</f>
        <v>בד קודש (תורה) - 2 כר'</v>
      </c>
    </row>
    <row r="4737" spans="1:6" x14ac:dyDescent="0.2">
      <c r="A4737" t="s">
        <v>8835</v>
      </c>
      <c r="B4737" t="s">
        <v>8832</v>
      </c>
      <c r="C4737" t="s">
        <v>51</v>
      </c>
      <c r="D4737" t="s">
        <v>52</v>
      </c>
      <c r="E4737" t="s">
        <v>158</v>
      </c>
      <c r="F4737" s="2" t="str">
        <f>HYPERLINK("http://www.otzar.org/book.asp?23049","בד קודש (תנ""ך) - 2 כר'")</f>
        <v>בד קודש (תנ"ך) - 2 כר'</v>
      </c>
    </row>
    <row r="4738" spans="1:6" x14ac:dyDescent="0.2">
      <c r="A4738" t="s">
        <v>8836</v>
      </c>
      <c r="B4738" t="s">
        <v>8832</v>
      </c>
      <c r="C4738" t="s">
        <v>533</v>
      </c>
      <c r="D4738" t="s">
        <v>52</v>
      </c>
      <c r="E4738" t="s">
        <v>144</v>
      </c>
      <c r="F4738" s="2" t="str">
        <f>HYPERLINK("http://www.otzar.org/book.asp?106421","בד קודש - 14 כר'")</f>
        <v>בד קודש - 14 כר'</v>
      </c>
    </row>
    <row r="4739" spans="1:6" x14ac:dyDescent="0.2">
      <c r="A4739" t="s">
        <v>8837</v>
      </c>
      <c r="B4739" t="s">
        <v>8838</v>
      </c>
      <c r="C4739" t="s">
        <v>2328</v>
      </c>
      <c r="D4739" t="s">
        <v>9</v>
      </c>
      <c r="E4739" t="s">
        <v>1438</v>
      </c>
      <c r="F4739" s="2" t="str">
        <f>HYPERLINK("http://www.otzar.org/book.asp?24027","בד קודש")</f>
        <v>בד קודש</v>
      </c>
    </row>
    <row r="4740" spans="1:6" x14ac:dyDescent="0.2">
      <c r="A4740" t="s">
        <v>8839</v>
      </c>
      <c r="B4740" t="s">
        <v>8840</v>
      </c>
      <c r="C4740" t="s">
        <v>411</v>
      </c>
      <c r="D4740" t="s">
        <v>14</v>
      </c>
      <c r="E4740" t="s">
        <v>241</v>
      </c>
      <c r="F4740" s="2" t="str">
        <f>HYPERLINK("http://www.otzar.org/book.asp?176338","בדד ינחנו - מעלת ההתבודדות")</f>
        <v>בדד ינחנו - מעלת ההתבודדות</v>
      </c>
    </row>
    <row r="4741" spans="1:6" x14ac:dyDescent="0.2">
      <c r="A4741" t="s">
        <v>8841</v>
      </c>
      <c r="B4741" t="s">
        <v>8842</v>
      </c>
      <c r="C4741" t="s">
        <v>20</v>
      </c>
      <c r="D4741" t="s">
        <v>52</v>
      </c>
      <c r="F4741" s="2" t="str">
        <f>HYPERLINK("http://www.otzar.org/book.asp?85712","בדד")</f>
        <v>בדד</v>
      </c>
    </row>
    <row r="4742" spans="1:6" x14ac:dyDescent="0.2">
      <c r="A4742" t="s">
        <v>8843</v>
      </c>
      <c r="B4742" t="s">
        <v>8844</v>
      </c>
      <c r="C4742" t="s">
        <v>224</v>
      </c>
      <c r="D4742" t="s">
        <v>27</v>
      </c>
      <c r="E4742" t="s">
        <v>119</v>
      </c>
      <c r="F4742" s="2" t="str">
        <f>HYPERLINK("http://www.otzar.org/book.asp?154568","בדור יורד")</f>
        <v>בדור יורד</v>
      </c>
    </row>
    <row r="4743" spans="1:6" x14ac:dyDescent="0.2">
      <c r="A4743" t="s">
        <v>8845</v>
      </c>
      <c r="B4743" t="s">
        <v>8846</v>
      </c>
      <c r="C4743" t="s">
        <v>87</v>
      </c>
      <c r="D4743" t="s">
        <v>14</v>
      </c>
      <c r="E4743" t="s">
        <v>119</v>
      </c>
      <c r="F4743" s="2" t="str">
        <f>HYPERLINK("http://www.otzar.org/book.asp?180279","בדור תהפוכות")</f>
        <v>בדור תהפוכות</v>
      </c>
    </row>
    <row r="4744" spans="1:6" x14ac:dyDescent="0.2">
      <c r="A4744" t="s">
        <v>8847</v>
      </c>
      <c r="B4744" t="s">
        <v>8848</v>
      </c>
      <c r="C4744" t="s">
        <v>151</v>
      </c>
      <c r="D4744" t="s">
        <v>14</v>
      </c>
      <c r="E4744" t="s">
        <v>144</v>
      </c>
      <c r="F4744" s="2" t="str">
        <f>HYPERLINK("http://www.otzar.org/book.asp?626688","בדי אהרן - חולין")</f>
        <v>בדי אהרן - חולין</v>
      </c>
    </row>
    <row r="4745" spans="1:6" x14ac:dyDescent="0.2">
      <c r="A4745" t="s">
        <v>8849</v>
      </c>
      <c r="B4745" t="s">
        <v>2639</v>
      </c>
      <c r="C4745" t="s">
        <v>20</v>
      </c>
      <c r="F4745" s="2" t="str">
        <f>HYPERLINK("http://www.otzar.org/book.asp?623102","בדי אהרן - ביצה")</f>
        <v>בדי אהרן - ביצה</v>
      </c>
    </row>
    <row r="4746" spans="1:6" x14ac:dyDescent="0.2">
      <c r="A4746" t="s">
        <v>8850</v>
      </c>
      <c r="B4746" t="s">
        <v>8851</v>
      </c>
      <c r="C4746" t="s">
        <v>244</v>
      </c>
      <c r="D4746" t="s">
        <v>3859</v>
      </c>
      <c r="E4746" t="s">
        <v>399</v>
      </c>
      <c r="F4746" s="2" t="str">
        <f>HYPERLINK("http://www.otzar.org/book.asp?629405","בדי האילן - 2 כר'")</f>
        <v>בדי האילן - 2 כר'</v>
      </c>
    </row>
    <row r="4747" spans="1:6" x14ac:dyDescent="0.2">
      <c r="A4747" t="s">
        <v>8852</v>
      </c>
      <c r="B4747" t="s">
        <v>8853</v>
      </c>
      <c r="C4747" t="s">
        <v>332</v>
      </c>
      <c r="D4747" t="s">
        <v>21</v>
      </c>
      <c r="E4747" t="s">
        <v>8854</v>
      </c>
      <c r="F4747" s="2" t="str">
        <f>HYPERLINK("http://www.otzar.org/book.asp?191378","בדי הארון ומגדל חננאל")</f>
        <v>בדי הארון ומגדל חננאל</v>
      </c>
    </row>
    <row r="4748" spans="1:6" x14ac:dyDescent="0.2">
      <c r="A4748" t="s">
        <v>8855</v>
      </c>
      <c r="B4748" t="s">
        <v>2469</v>
      </c>
      <c r="C4748" t="s">
        <v>114</v>
      </c>
      <c r="D4748" t="s">
        <v>147</v>
      </c>
      <c r="E4748" t="s">
        <v>158</v>
      </c>
      <c r="F4748" s="2" t="str">
        <f>HYPERLINK("http://www.otzar.org/book.asp?172555","בדי הארון")</f>
        <v>בדי הארון</v>
      </c>
    </row>
    <row r="4749" spans="1:6" x14ac:dyDescent="0.2">
      <c r="A4749" t="s">
        <v>8855</v>
      </c>
      <c r="B4749" t="s">
        <v>8856</v>
      </c>
      <c r="C4749" t="s">
        <v>523</v>
      </c>
      <c r="D4749" t="s">
        <v>4478</v>
      </c>
      <c r="E4749" t="s">
        <v>144</v>
      </c>
      <c r="F4749" s="2" t="str">
        <f>HYPERLINK("http://www.otzar.org/book.asp?63152","בדי הארון")</f>
        <v>בדי הארון</v>
      </c>
    </row>
    <row r="4750" spans="1:6" x14ac:dyDescent="0.2">
      <c r="A4750" t="s">
        <v>8857</v>
      </c>
      <c r="B4750" t="s">
        <v>8858</v>
      </c>
      <c r="C4750" t="s">
        <v>133</v>
      </c>
      <c r="D4750" t="s">
        <v>14</v>
      </c>
      <c r="E4750" t="s">
        <v>144</v>
      </c>
      <c r="F4750" s="2" t="str">
        <f>HYPERLINK("http://www.otzar.org/book.asp?176651","בדי הארון - 3 כר'")</f>
        <v>בדי הארון - 3 כר'</v>
      </c>
    </row>
    <row r="4751" spans="1:6" x14ac:dyDescent="0.2">
      <c r="A4751" t="s">
        <v>8859</v>
      </c>
      <c r="B4751" t="s">
        <v>8860</v>
      </c>
      <c r="C4751" t="s">
        <v>151</v>
      </c>
      <c r="D4751" t="s">
        <v>412</v>
      </c>
      <c r="E4751" t="s">
        <v>158</v>
      </c>
      <c r="F4751" s="2" t="str">
        <f>HYPERLINK("http://www.otzar.org/book.asp?611700","בדי הארון - בראשית")</f>
        <v>בדי הארון - בראשית</v>
      </c>
    </row>
    <row r="4752" spans="1:6" x14ac:dyDescent="0.2">
      <c r="A4752" t="s">
        <v>8857</v>
      </c>
      <c r="B4752" t="s">
        <v>8861</v>
      </c>
      <c r="C4752" t="s">
        <v>133</v>
      </c>
      <c r="D4752" t="s">
        <v>152</v>
      </c>
      <c r="E4752" t="s">
        <v>144</v>
      </c>
      <c r="F4752" s="2" t="str">
        <f>HYPERLINK("http://www.otzar.org/book.asp?181958","בדי הארון - 3 כר'")</f>
        <v>בדי הארון - 3 כר'</v>
      </c>
    </row>
    <row r="4753" spans="1:6" x14ac:dyDescent="0.2">
      <c r="A4753" t="s">
        <v>8862</v>
      </c>
      <c r="B4753" t="s">
        <v>8863</v>
      </c>
      <c r="C4753" t="s">
        <v>1208</v>
      </c>
      <c r="D4753" t="s">
        <v>52</v>
      </c>
      <c r="E4753" t="s">
        <v>15</v>
      </c>
      <c r="F4753" s="2" t="str">
        <f>HYPERLINK("http://www.otzar.org/book.asp?15312","בדי השלחן")</f>
        <v>בדי השלחן</v>
      </c>
    </row>
    <row r="4754" spans="1:6" x14ac:dyDescent="0.2">
      <c r="A4754" t="s">
        <v>8864</v>
      </c>
      <c r="B4754" t="s">
        <v>8865</v>
      </c>
      <c r="C4754" t="s">
        <v>37</v>
      </c>
      <c r="D4754" t="s">
        <v>14</v>
      </c>
      <c r="F4754" s="2" t="str">
        <f>HYPERLINK("http://www.otzar.org/book.asp?610903","בדי משה - 2 כר'")</f>
        <v>בדי משה - 2 כר'</v>
      </c>
    </row>
    <row r="4755" spans="1:6" x14ac:dyDescent="0.2">
      <c r="A4755" t="s">
        <v>8866</v>
      </c>
      <c r="B4755" t="s">
        <v>8867</v>
      </c>
      <c r="C4755" t="s">
        <v>775</v>
      </c>
      <c r="D4755" t="s">
        <v>423</v>
      </c>
      <c r="E4755" t="s">
        <v>144</v>
      </c>
      <c r="F4755" s="2" t="str">
        <f>HYPERLINK("http://www.otzar.org/book.asp?163114","בדיבוק חברים - 4 כר'")</f>
        <v>בדיבוק חברים - 4 כר'</v>
      </c>
    </row>
    <row r="4756" spans="1:6" x14ac:dyDescent="0.2">
      <c r="A4756" t="s">
        <v>8868</v>
      </c>
      <c r="B4756" t="s">
        <v>5092</v>
      </c>
      <c r="C4756" t="s">
        <v>244</v>
      </c>
      <c r="D4756" t="s">
        <v>412</v>
      </c>
      <c r="E4756" t="s">
        <v>733</v>
      </c>
      <c r="F4756" s="2" t="str">
        <f>HYPERLINK("http://www.otzar.org/book.asp?199462","בדידי הוי עובדא")</f>
        <v>בדידי הוי עובדא</v>
      </c>
    </row>
    <row r="4757" spans="1:6" x14ac:dyDescent="0.2">
      <c r="A4757" t="s">
        <v>8869</v>
      </c>
      <c r="B4757" t="s">
        <v>8870</v>
      </c>
      <c r="C4757" t="s">
        <v>37</v>
      </c>
      <c r="D4757" t="s">
        <v>52</v>
      </c>
      <c r="E4757" t="s">
        <v>15</v>
      </c>
      <c r="F4757" s="2" t="str">
        <f>HYPERLINK("http://www.otzar.org/book.asp?624914","בדיני כלי שמלאכתו לאיסור")</f>
        <v>בדיני כלי שמלאכתו לאיסור</v>
      </c>
    </row>
    <row r="4758" spans="1:6" x14ac:dyDescent="0.2">
      <c r="A4758" t="s">
        <v>8871</v>
      </c>
      <c r="B4758" t="s">
        <v>8872</v>
      </c>
      <c r="C4758" t="s">
        <v>23</v>
      </c>
      <c r="E4758" t="s">
        <v>15</v>
      </c>
      <c r="F4758" s="2" t="str">
        <f>HYPERLINK("http://www.otzar.org/book.asp?193466","בדיני תולעים")</f>
        <v>בדיני תולעים</v>
      </c>
    </row>
    <row r="4759" spans="1:6" x14ac:dyDescent="0.2">
      <c r="A4759" t="s">
        <v>8873</v>
      </c>
      <c r="B4759" t="s">
        <v>8872</v>
      </c>
      <c r="C4759" t="s">
        <v>23</v>
      </c>
      <c r="E4759" t="s">
        <v>15</v>
      </c>
      <c r="F4759" s="2" t="str">
        <f>HYPERLINK("http://www.otzar.org/book.asp?193469","בדיני תקיעת שופר")</f>
        <v>בדיני תקיעת שופר</v>
      </c>
    </row>
    <row r="4760" spans="1:6" x14ac:dyDescent="0.2">
      <c r="A4760" t="s">
        <v>8874</v>
      </c>
      <c r="B4760" t="s">
        <v>8875</v>
      </c>
      <c r="C4760" t="s">
        <v>189</v>
      </c>
      <c r="D4760" t="s">
        <v>14</v>
      </c>
      <c r="E4760" t="s">
        <v>130</v>
      </c>
      <c r="F4760" s="2" t="str">
        <f>HYPERLINK("http://www.otzar.org/book.asp?60039","בדיקת חמץ וביעורו")</f>
        <v>בדיקת חמץ וביעורו</v>
      </c>
    </row>
    <row r="4761" spans="1:6" x14ac:dyDescent="0.2">
      <c r="A4761" t="s">
        <v>8876</v>
      </c>
      <c r="B4761" t="s">
        <v>8877</v>
      </c>
      <c r="C4761" t="s">
        <v>576</v>
      </c>
      <c r="D4761" t="s">
        <v>27</v>
      </c>
      <c r="E4761" t="s">
        <v>733</v>
      </c>
      <c r="F4761" s="2" t="str">
        <f>HYPERLINK("http://www.otzar.org/book.asp?17269","בדם ואש")</f>
        <v>בדם ואש</v>
      </c>
    </row>
    <row r="4762" spans="1:6" x14ac:dyDescent="0.2">
      <c r="A4762" t="s">
        <v>8878</v>
      </c>
      <c r="B4762" t="s">
        <v>7903</v>
      </c>
      <c r="C4762" t="s">
        <v>383</v>
      </c>
      <c r="D4762" t="s">
        <v>216</v>
      </c>
      <c r="E4762" t="s">
        <v>158</v>
      </c>
      <c r="F4762" s="2" t="str">
        <f>HYPERLINK("http://www.otzar.org/book.asp?144903","בדמייך חיי")</f>
        <v>בדמייך חיי</v>
      </c>
    </row>
    <row r="4763" spans="1:6" x14ac:dyDescent="0.2">
      <c r="A4763" t="s">
        <v>8879</v>
      </c>
      <c r="B4763" t="s">
        <v>8880</v>
      </c>
      <c r="C4763" t="s">
        <v>411</v>
      </c>
      <c r="D4763" t="s">
        <v>14</v>
      </c>
      <c r="E4763" t="s">
        <v>15</v>
      </c>
      <c r="F4763" s="2" t="str">
        <f>HYPERLINK("http://www.otzar.org/book.asp?193446","בדמיך חיי")</f>
        <v>בדמיך חיי</v>
      </c>
    </row>
    <row r="4764" spans="1:6" x14ac:dyDescent="0.2">
      <c r="A4764" t="s">
        <v>8879</v>
      </c>
      <c r="B4764" t="s">
        <v>1681</v>
      </c>
      <c r="C4764" t="s">
        <v>624</v>
      </c>
      <c r="D4764" t="s">
        <v>52</v>
      </c>
      <c r="E4764" t="s">
        <v>15</v>
      </c>
      <c r="F4764" s="2" t="str">
        <f>HYPERLINK("http://www.otzar.org/book.asp?26027","בדמיך חיי")</f>
        <v>בדמיך חיי</v>
      </c>
    </row>
    <row r="4765" spans="1:6" x14ac:dyDescent="0.2">
      <c r="A4765" t="s">
        <v>8881</v>
      </c>
      <c r="B4765" t="s">
        <v>1035</v>
      </c>
      <c r="C4765" t="s">
        <v>8882</v>
      </c>
      <c r="D4765" t="s">
        <v>49</v>
      </c>
      <c r="E4765" t="s">
        <v>15</v>
      </c>
      <c r="F4765" s="2" t="str">
        <f>HYPERLINK("http://www.otzar.org/book.asp?100507","בדק הבית - 2 כר'")</f>
        <v>בדק הבית - 2 כר'</v>
      </c>
    </row>
    <row r="4766" spans="1:6" x14ac:dyDescent="0.2">
      <c r="A4766" t="s">
        <v>8883</v>
      </c>
      <c r="B4766" t="s">
        <v>8884</v>
      </c>
      <c r="C4766" t="s">
        <v>20</v>
      </c>
      <c r="D4766" t="s">
        <v>90</v>
      </c>
      <c r="E4766" t="s">
        <v>144</v>
      </c>
      <c r="F4766" s="2" t="str">
        <f>HYPERLINK("http://www.otzar.org/book.asp?600817","בדקדוק חברים - 17 כר'")</f>
        <v>בדקדוק חברים - 17 כר'</v>
      </c>
    </row>
    <row r="4767" spans="1:6" x14ac:dyDescent="0.2">
      <c r="A4767" t="s">
        <v>8885</v>
      </c>
      <c r="B4767" t="s">
        <v>8886</v>
      </c>
      <c r="C4767" t="s">
        <v>785</v>
      </c>
      <c r="D4767" t="s">
        <v>852</v>
      </c>
      <c r="E4767" t="s">
        <v>202</v>
      </c>
      <c r="F4767" s="2" t="str">
        <f>HYPERLINK("http://www.otzar.org/book.asp?169046","בדקדוק חברים")</f>
        <v>בדקדוק חברים</v>
      </c>
    </row>
    <row r="4768" spans="1:6" x14ac:dyDescent="0.2">
      <c r="A4768" t="s">
        <v>8887</v>
      </c>
      <c r="B4768" t="s">
        <v>5314</v>
      </c>
      <c r="C4768" t="s">
        <v>1885</v>
      </c>
      <c r="D4768" t="s">
        <v>1731</v>
      </c>
      <c r="E4768" t="s">
        <v>3387</v>
      </c>
      <c r="F4768" s="2" t="str">
        <f>HYPERLINK("http://www.otzar.org/book.asp?17270","בדקי בתים")</f>
        <v>בדקי בתים</v>
      </c>
    </row>
    <row r="4769" spans="1:6" x14ac:dyDescent="0.2">
      <c r="A4769" t="s">
        <v>8888</v>
      </c>
      <c r="B4769" t="s">
        <v>8889</v>
      </c>
      <c r="C4769" t="s">
        <v>8890</v>
      </c>
      <c r="D4769" t="s">
        <v>4703</v>
      </c>
      <c r="E4769" t="s">
        <v>158</v>
      </c>
      <c r="F4769" s="2" t="str">
        <f>HYPERLINK("http://www.otzar.org/book.asp?21361","בדרך אלשוך")</f>
        <v>בדרך אלשוך</v>
      </c>
    </row>
    <row r="4770" spans="1:6" x14ac:dyDescent="0.2">
      <c r="A4770" t="s">
        <v>8891</v>
      </c>
      <c r="B4770" t="s">
        <v>1402</v>
      </c>
      <c r="C4770" t="s">
        <v>313</v>
      </c>
      <c r="D4770" t="s">
        <v>52</v>
      </c>
      <c r="E4770" t="s">
        <v>84</v>
      </c>
      <c r="F4770" s="2" t="str">
        <f>HYPERLINK("http://www.otzar.org/book.asp?157871","בדרך החיים על מסכת אבות - מתורת מהר""ל")</f>
        <v>בדרך החיים על מסכת אבות - מתורת מהר"ל</v>
      </c>
    </row>
    <row r="4771" spans="1:6" x14ac:dyDescent="0.2">
      <c r="A4771" t="s">
        <v>8892</v>
      </c>
      <c r="B4771" t="s">
        <v>8893</v>
      </c>
      <c r="C4771" t="s">
        <v>20</v>
      </c>
      <c r="D4771" t="s">
        <v>14</v>
      </c>
      <c r="E4771" t="s">
        <v>714</v>
      </c>
      <c r="F4771" s="2" t="str">
        <f>HYPERLINK("http://www.otzar.org/book.asp?164047","בדרך החכמה - בדרך החיים")</f>
        <v>בדרך החכמה - בדרך החיים</v>
      </c>
    </row>
    <row r="4772" spans="1:6" x14ac:dyDescent="0.2">
      <c r="A4772" t="s">
        <v>8894</v>
      </c>
      <c r="B4772" t="s">
        <v>8895</v>
      </c>
      <c r="C4772" t="s">
        <v>20</v>
      </c>
      <c r="D4772" t="s">
        <v>90</v>
      </c>
      <c r="E4772" t="s">
        <v>104</v>
      </c>
      <c r="F4772" s="2" t="str">
        <f>HYPERLINK("http://www.otzar.org/book.asp?627511","בדרך המלך נלך")</f>
        <v>בדרך המלך נלך</v>
      </c>
    </row>
    <row r="4773" spans="1:6" x14ac:dyDescent="0.2">
      <c r="A4773" t="s">
        <v>8896</v>
      </c>
      <c r="B4773" t="s">
        <v>8897</v>
      </c>
      <c r="C4773" t="s">
        <v>103</v>
      </c>
      <c r="D4773" t="s">
        <v>52</v>
      </c>
      <c r="E4773" t="s">
        <v>15</v>
      </c>
      <c r="F4773" s="2" t="str">
        <f>HYPERLINK("http://www.otzar.org/book.asp?189781","בדרך המלך")</f>
        <v>בדרך המלך</v>
      </c>
    </row>
    <row r="4774" spans="1:6" x14ac:dyDescent="0.2">
      <c r="A4774" t="s">
        <v>8896</v>
      </c>
      <c r="B4774" t="s">
        <v>8898</v>
      </c>
      <c r="C4774" t="s">
        <v>585</v>
      </c>
      <c r="D4774" t="s">
        <v>14</v>
      </c>
      <c r="E4774" t="s">
        <v>81</v>
      </c>
      <c r="F4774" s="2" t="str">
        <f>HYPERLINK("http://www.otzar.org/book.asp?61323","בדרך המלך")</f>
        <v>בדרך המלך</v>
      </c>
    </row>
    <row r="4775" spans="1:6" x14ac:dyDescent="0.2">
      <c r="A4775" t="s">
        <v>8899</v>
      </c>
      <c r="B4775" t="s">
        <v>8900</v>
      </c>
      <c r="C4775" t="s">
        <v>767</v>
      </c>
      <c r="D4775" t="s">
        <v>216</v>
      </c>
      <c r="E4775" t="s">
        <v>104</v>
      </c>
      <c r="F4775" s="2" t="str">
        <f>HYPERLINK("http://www.otzar.org/book.asp?176851","בדרך חיים")</f>
        <v>בדרך חיים</v>
      </c>
    </row>
    <row r="4776" spans="1:6" x14ac:dyDescent="0.2">
      <c r="A4776" t="s">
        <v>8901</v>
      </c>
      <c r="B4776" t="s">
        <v>6987</v>
      </c>
      <c r="C4776" t="s">
        <v>20</v>
      </c>
      <c r="D4776" t="s">
        <v>90</v>
      </c>
      <c r="E4776" t="s">
        <v>172</v>
      </c>
      <c r="F4776" s="2" t="str">
        <f>HYPERLINK("http://www.otzar.org/book.asp?630468","בדרך לימוד")</f>
        <v>בדרך לימוד</v>
      </c>
    </row>
    <row r="4777" spans="1:6" x14ac:dyDescent="0.2">
      <c r="A4777" t="s">
        <v>8902</v>
      </c>
      <c r="B4777" t="s">
        <v>8903</v>
      </c>
      <c r="C4777" t="s">
        <v>68</v>
      </c>
      <c r="D4777" t="s">
        <v>14</v>
      </c>
      <c r="F4777" s="2" t="str">
        <f>HYPERLINK("http://www.otzar.org/book.asp?156486","בדרך עדותיך")</f>
        <v>בדרך עדותיך</v>
      </c>
    </row>
    <row r="4778" spans="1:6" x14ac:dyDescent="0.2">
      <c r="A4778" t="s">
        <v>8904</v>
      </c>
      <c r="B4778" t="s">
        <v>7079</v>
      </c>
      <c r="C4778" t="s">
        <v>146</v>
      </c>
      <c r="D4778" t="s">
        <v>14</v>
      </c>
      <c r="E4778" t="s">
        <v>119</v>
      </c>
      <c r="F4778" s="2" t="str">
        <f>HYPERLINK("http://www.otzar.org/book.asp?188805","בדרך עץ החיים - 2 כר'")</f>
        <v>בדרך עץ החיים - 2 כר'</v>
      </c>
    </row>
    <row r="4779" spans="1:6" x14ac:dyDescent="0.2">
      <c r="A4779" t="s">
        <v>8905</v>
      </c>
      <c r="B4779" t="s">
        <v>8905</v>
      </c>
      <c r="C4779" t="s">
        <v>20</v>
      </c>
      <c r="D4779" t="s">
        <v>486</v>
      </c>
      <c r="E4779" t="s">
        <v>119</v>
      </c>
      <c r="F4779" s="2" t="str">
        <f>HYPERLINK("http://www.otzar.org/book.asp?189705","בדרכי אבות קדושים")</f>
        <v>בדרכי אבות קדושים</v>
      </c>
    </row>
    <row r="4780" spans="1:6" x14ac:dyDescent="0.2">
      <c r="A4780" t="s">
        <v>8906</v>
      </c>
      <c r="B4780" t="s">
        <v>8907</v>
      </c>
      <c r="C4780" t="s">
        <v>411</v>
      </c>
      <c r="D4780" t="s">
        <v>14</v>
      </c>
      <c r="E4780" t="s">
        <v>579</v>
      </c>
      <c r="F4780" s="2" t="str">
        <f>HYPERLINK("http://www.otzar.org/book.asp?173461","בדרכי אבות - 2 כר'")</f>
        <v>בדרכי אבות - 2 כר'</v>
      </c>
    </row>
    <row r="4781" spans="1:6" x14ac:dyDescent="0.2">
      <c r="A4781" t="s">
        <v>8908</v>
      </c>
      <c r="B4781" t="s">
        <v>8909</v>
      </c>
      <c r="C4781" t="s">
        <v>37</v>
      </c>
      <c r="D4781" t="s">
        <v>14</v>
      </c>
      <c r="F4781" s="2" t="str">
        <f>HYPERLINK("http://www.otzar.org/book.asp?618614","בדרכי אבות")</f>
        <v>בדרכי אבות</v>
      </c>
    </row>
    <row r="4782" spans="1:6" x14ac:dyDescent="0.2">
      <c r="A4782" t="s">
        <v>8910</v>
      </c>
      <c r="B4782" t="s">
        <v>4980</v>
      </c>
      <c r="C4782" t="s">
        <v>585</v>
      </c>
      <c r="D4782" t="s">
        <v>14</v>
      </c>
      <c r="F4782" s="2" t="str">
        <f>HYPERLINK("http://www.otzar.org/book.asp?612617","בדרכי אבותינו - 7 כר'")</f>
        <v>בדרכי אבותינו - 7 כר'</v>
      </c>
    </row>
    <row r="4783" spans="1:6" x14ac:dyDescent="0.2">
      <c r="A4783" t="s">
        <v>8911</v>
      </c>
      <c r="B4783" t="s">
        <v>6375</v>
      </c>
      <c r="C4783" t="s">
        <v>71</v>
      </c>
      <c r="D4783" t="s">
        <v>2285</v>
      </c>
      <c r="E4783" t="s">
        <v>241</v>
      </c>
      <c r="F4783" s="2" t="str">
        <f>HYPERLINK("http://www.otzar.org/book.asp?161661","בדרכי האמונה")</f>
        <v>בדרכי האמונה</v>
      </c>
    </row>
    <row r="4784" spans="1:6" x14ac:dyDescent="0.2">
      <c r="A4784" t="s">
        <v>8912</v>
      </c>
      <c r="B4784" t="s">
        <v>1750</v>
      </c>
      <c r="C4784" t="s">
        <v>454</v>
      </c>
      <c r="D4784" t="s">
        <v>14</v>
      </c>
      <c r="E4784" t="s">
        <v>8913</v>
      </c>
      <c r="F4784" s="2" t="str">
        <f>HYPERLINK("http://www.otzar.org/book.asp?50356","בדרכי החכמה - 2 כר'")</f>
        <v>בדרכי החכמה - 2 כר'</v>
      </c>
    </row>
    <row r="4785" spans="1:6" x14ac:dyDescent="0.2">
      <c r="A4785" t="s">
        <v>8914</v>
      </c>
      <c r="B4785" t="s">
        <v>8915</v>
      </c>
      <c r="C4785" t="s">
        <v>151</v>
      </c>
      <c r="D4785" t="s">
        <v>21</v>
      </c>
      <c r="E4785" t="s">
        <v>15</v>
      </c>
      <c r="F4785" s="2" t="str">
        <f>HYPERLINK("http://www.otzar.org/book.asp?621709","בדרכי המצוות")</f>
        <v>בדרכי המצוות</v>
      </c>
    </row>
    <row r="4786" spans="1:6" x14ac:dyDescent="0.2">
      <c r="A4786" t="s">
        <v>8916</v>
      </c>
      <c r="B4786" t="s">
        <v>8917</v>
      </c>
      <c r="C4786" t="s">
        <v>151</v>
      </c>
      <c r="D4786" t="s">
        <v>52</v>
      </c>
      <c r="F4786" s="2" t="str">
        <f>HYPERLINK("http://www.otzar.org/book.asp?616001","בדרכי השם")</f>
        <v>בדרכי השם</v>
      </c>
    </row>
    <row r="4787" spans="1:6" x14ac:dyDescent="0.2">
      <c r="A4787" t="s">
        <v>8918</v>
      </c>
      <c r="B4787" t="s">
        <v>8919</v>
      </c>
      <c r="C4787" t="s">
        <v>17</v>
      </c>
      <c r="D4787" t="s">
        <v>216</v>
      </c>
      <c r="E4787" t="s">
        <v>119</v>
      </c>
      <c r="F4787" s="2" t="str">
        <f>HYPERLINK("http://www.otzar.org/book.asp?171225","בדרכי ווארשא האבלות")</f>
        <v>בדרכי ווארשא האבלות</v>
      </c>
    </row>
    <row r="4788" spans="1:6" x14ac:dyDescent="0.2">
      <c r="A4788" t="s">
        <v>8920</v>
      </c>
      <c r="B4788" t="s">
        <v>8919</v>
      </c>
      <c r="C4788" t="s">
        <v>553</v>
      </c>
      <c r="D4788" t="s">
        <v>216</v>
      </c>
      <c r="E4788" t="s">
        <v>119</v>
      </c>
      <c r="F4788" s="2" t="str">
        <f>HYPERLINK("http://www.otzar.org/book.asp?171223","בדרכי פולין האבלות - 2 כר'")</f>
        <v>בדרכי פולין האבלות - 2 כר'</v>
      </c>
    </row>
    <row r="4789" spans="1:6" x14ac:dyDescent="0.2">
      <c r="A4789" t="s">
        <v>8921</v>
      </c>
      <c r="B4789" t="s">
        <v>8922</v>
      </c>
      <c r="C4789" t="s">
        <v>8923</v>
      </c>
      <c r="D4789" t="s">
        <v>49</v>
      </c>
      <c r="F4789" s="2" t="str">
        <f>HYPERLINK("http://www.otzar.org/book.asp?53356","בה""ג - 9 כר'")</f>
        <v>בה"ג - 9 כר'</v>
      </c>
    </row>
    <row r="4790" spans="1:6" x14ac:dyDescent="0.2">
      <c r="A4790" t="s">
        <v>8924</v>
      </c>
      <c r="B4790" t="s">
        <v>8925</v>
      </c>
      <c r="C4790" t="s">
        <v>366</v>
      </c>
      <c r="D4790" t="s">
        <v>1356</v>
      </c>
      <c r="F4790" s="2" t="str">
        <f>HYPERLINK("http://www.otzar.org/book.asp?610610","בהגיגי תבער אש")</f>
        <v>בהגיגי תבער אש</v>
      </c>
    </row>
    <row r="4791" spans="1:6" x14ac:dyDescent="0.2">
      <c r="A4791" t="s">
        <v>8926</v>
      </c>
      <c r="B4791" t="s">
        <v>8927</v>
      </c>
      <c r="C4791" t="s">
        <v>51</v>
      </c>
      <c r="D4791" t="s">
        <v>14</v>
      </c>
      <c r="E4791" t="s">
        <v>803</v>
      </c>
      <c r="F4791" s="2" t="str">
        <f>HYPERLINK("http://www.otzar.org/book.asp?161216","בהדין עירובא")</f>
        <v>בהדין עירובא</v>
      </c>
    </row>
    <row r="4792" spans="1:6" x14ac:dyDescent="0.2">
      <c r="A4792" t="s">
        <v>8928</v>
      </c>
      <c r="B4792" t="s">
        <v>8929</v>
      </c>
      <c r="C4792" t="s">
        <v>129</v>
      </c>
      <c r="D4792" t="s">
        <v>14</v>
      </c>
      <c r="E4792" t="s">
        <v>399</v>
      </c>
      <c r="F4792" s="2" t="str">
        <f>HYPERLINK("http://www.otzar.org/book.asp?156642","בהדרת קודש")</f>
        <v>בהדרת קודש</v>
      </c>
    </row>
    <row r="4793" spans="1:6" x14ac:dyDescent="0.2">
      <c r="A4793" t="s">
        <v>8930</v>
      </c>
      <c r="B4793" t="s">
        <v>98</v>
      </c>
      <c r="C4793" t="s">
        <v>17</v>
      </c>
      <c r="D4793" t="s">
        <v>52</v>
      </c>
      <c r="E4793" t="s">
        <v>8931</v>
      </c>
      <c r="F4793" s="2" t="str">
        <f>HYPERLINK("http://www.otzar.org/book.asp?176740","בהיות הבוקר &lt;מהדורה חדשה&gt;")</f>
        <v>בהיות הבוקר &lt;מהדורה חדשה&gt;</v>
      </c>
    </row>
    <row r="4794" spans="1:6" x14ac:dyDescent="0.2">
      <c r="A4794" t="s">
        <v>8932</v>
      </c>
      <c r="B4794" t="s">
        <v>552</v>
      </c>
      <c r="C4794" t="s">
        <v>313</v>
      </c>
      <c r="D4794" t="s">
        <v>4478</v>
      </c>
      <c r="E4794" t="s">
        <v>8558</v>
      </c>
      <c r="F4794" s="2" t="str">
        <f>HYPERLINK("http://www.otzar.org/book.asp?63158","בהיותו קרוב")</f>
        <v>בהיותו קרוב</v>
      </c>
    </row>
    <row r="4795" spans="1:6" x14ac:dyDescent="0.2">
      <c r="A4795" t="s">
        <v>8933</v>
      </c>
      <c r="B4795" t="s">
        <v>8934</v>
      </c>
      <c r="C4795" t="s">
        <v>422</v>
      </c>
      <c r="D4795" t="s">
        <v>1180</v>
      </c>
      <c r="E4795" t="s">
        <v>241</v>
      </c>
      <c r="F4795" s="2" t="str">
        <f>HYPERLINK("http://www.otzar.org/book.asp?153794","בהיכל המהר""ל")</f>
        <v>בהיכל המהר"ל</v>
      </c>
    </row>
    <row r="4796" spans="1:6" x14ac:dyDescent="0.2">
      <c r="A4796" t="s">
        <v>8935</v>
      </c>
      <c r="B4796" t="s">
        <v>8936</v>
      </c>
      <c r="C4796" t="s">
        <v>13</v>
      </c>
      <c r="D4796" t="s">
        <v>52</v>
      </c>
      <c r="E4796" t="s">
        <v>202</v>
      </c>
      <c r="F4796" s="2" t="str">
        <f>HYPERLINK("http://www.otzar.org/book.asp?165856","בהיכלו - ספר היובל")</f>
        <v>בהיכלו - ספר היובל</v>
      </c>
    </row>
    <row r="4797" spans="1:6" x14ac:dyDescent="0.2">
      <c r="A4797" t="s">
        <v>8937</v>
      </c>
      <c r="B4797" t="s">
        <v>5745</v>
      </c>
      <c r="C4797" t="s">
        <v>23</v>
      </c>
      <c r="D4797" t="s">
        <v>14</v>
      </c>
      <c r="E4797" t="s">
        <v>144</v>
      </c>
      <c r="F4797" s="2" t="str">
        <f>HYPERLINK("http://www.otzar.org/book.asp?190080","בהירות - 5 כר'")</f>
        <v>בהירות - 5 כר'</v>
      </c>
    </row>
    <row r="4798" spans="1:6" x14ac:dyDescent="0.2">
      <c r="A4798" t="s">
        <v>8938</v>
      </c>
      <c r="B4798" t="s">
        <v>98</v>
      </c>
      <c r="C4798" t="s">
        <v>619</v>
      </c>
      <c r="D4798" t="s">
        <v>8939</v>
      </c>
      <c r="E4798" t="s">
        <v>8940</v>
      </c>
      <c r="F4798" s="2" t="str">
        <f>HYPERLINK("http://www.otzar.org/book.asp?11683","בהית הבקר")</f>
        <v>בהית הבקר</v>
      </c>
    </row>
    <row r="4799" spans="1:6" x14ac:dyDescent="0.2">
      <c r="A4799" t="s">
        <v>8941</v>
      </c>
      <c r="B4799" t="s">
        <v>8942</v>
      </c>
      <c r="C4799" t="s">
        <v>13</v>
      </c>
      <c r="D4799" t="s">
        <v>367</v>
      </c>
      <c r="E4799" t="s">
        <v>202</v>
      </c>
      <c r="F4799" s="2" t="str">
        <f>HYPERLINK("http://www.otzar.org/book.asp?175875","בהם נהגה - 4 כר'")</f>
        <v>בהם נהגה - 4 כר'</v>
      </c>
    </row>
    <row r="4800" spans="1:6" x14ac:dyDescent="0.2">
      <c r="A4800" t="s">
        <v>8943</v>
      </c>
      <c r="B4800" t="s">
        <v>8944</v>
      </c>
      <c r="C4800" t="s">
        <v>146</v>
      </c>
      <c r="D4800" t="s">
        <v>52</v>
      </c>
      <c r="E4800" t="s">
        <v>8945</v>
      </c>
      <c r="F4800" s="2" t="str">
        <f>HYPERLINK("http://www.otzar.org/book.asp?153197","בהמון רחמיך")</f>
        <v>בהמון רחמיך</v>
      </c>
    </row>
    <row r="4801" spans="1:6" x14ac:dyDescent="0.2">
      <c r="A4801" t="s">
        <v>8946</v>
      </c>
      <c r="B4801" t="s">
        <v>8947</v>
      </c>
      <c r="C4801" t="s">
        <v>411</v>
      </c>
      <c r="D4801" t="s">
        <v>14</v>
      </c>
      <c r="E4801" t="s">
        <v>246</v>
      </c>
      <c r="F4801" s="2" t="str">
        <f>HYPERLINK("http://www.otzar.org/book.asp?176755","בהעלות הנרות - 5 כר'")</f>
        <v>בהעלות הנרות - 5 כר'</v>
      </c>
    </row>
    <row r="4802" spans="1:6" x14ac:dyDescent="0.2">
      <c r="A4802" t="s">
        <v>8948</v>
      </c>
      <c r="B4802" t="s">
        <v>8949</v>
      </c>
      <c r="C4802" t="s">
        <v>13</v>
      </c>
      <c r="D4802" t="s">
        <v>412</v>
      </c>
      <c r="E4802" t="s">
        <v>3055</v>
      </c>
      <c r="F4802" s="2" t="str">
        <f>HYPERLINK("http://www.otzar.org/book.asp?175457","בהעלותך את הנרות")</f>
        <v>בהעלותך את הנרות</v>
      </c>
    </row>
    <row r="4803" spans="1:6" x14ac:dyDescent="0.2">
      <c r="A4803" t="s">
        <v>8950</v>
      </c>
      <c r="B4803" t="s">
        <v>8951</v>
      </c>
      <c r="C4803" t="s">
        <v>466</v>
      </c>
      <c r="D4803" t="s">
        <v>14</v>
      </c>
      <c r="E4803" t="s">
        <v>1211</v>
      </c>
      <c r="F4803" s="2" t="str">
        <f>HYPERLINK("http://www.otzar.org/book.asp?60100","בהקבץ")</f>
        <v>בהקבץ</v>
      </c>
    </row>
    <row r="4804" spans="1:6" x14ac:dyDescent="0.2">
      <c r="A4804" t="s">
        <v>8950</v>
      </c>
      <c r="B4804" t="s">
        <v>1750</v>
      </c>
      <c r="C4804" t="s">
        <v>143</v>
      </c>
      <c r="D4804" t="s">
        <v>8952</v>
      </c>
      <c r="E4804" t="s">
        <v>104</v>
      </c>
      <c r="F4804" s="2" t="str">
        <f>HYPERLINK("http://www.otzar.org/book.asp?19406","בהקבץ")</f>
        <v>בהקבץ</v>
      </c>
    </row>
    <row r="4805" spans="1:6" x14ac:dyDescent="0.2">
      <c r="A4805" t="s">
        <v>8953</v>
      </c>
      <c r="B4805" t="s">
        <v>8954</v>
      </c>
      <c r="C4805" t="s">
        <v>103</v>
      </c>
      <c r="D4805" t="s">
        <v>14</v>
      </c>
      <c r="E4805" t="s">
        <v>172</v>
      </c>
      <c r="F4805" s="2" t="str">
        <f>HYPERLINK("http://www.otzar.org/book.asp?166651","בהר יראה")</f>
        <v>בהר יראה</v>
      </c>
    </row>
    <row r="4806" spans="1:6" x14ac:dyDescent="0.2">
      <c r="A4806" t="s">
        <v>8955</v>
      </c>
      <c r="B4806" t="s">
        <v>6184</v>
      </c>
      <c r="C4806" t="s">
        <v>111</v>
      </c>
      <c r="D4806" t="s">
        <v>8956</v>
      </c>
      <c r="E4806" t="s">
        <v>230</v>
      </c>
      <c r="F4806" s="2" t="str">
        <f>HYPERLINK("http://www.otzar.org/book.asp?627628","בהר יראה - תורה ומועדים")</f>
        <v>בהר יראה - תורה ומועדים</v>
      </c>
    </row>
    <row r="4807" spans="1:6" x14ac:dyDescent="0.2">
      <c r="A4807" t="s">
        <v>8957</v>
      </c>
      <c r="B4807" t="s">
        <v>8958</v>
      </c>
      <c r="C4807" t="s">
        <v>366</v>
      </c>
      <c r="D4807" t="s">
        <v>52</v>
      </c>
      <c r="E4807" t="s">
        <v>1164</v>
      </c>
      <c r="F4807" s="2" t="str">
        <f>HYPERLINK("http://www.otzar.org/book.asp?615965","בהר סיני")</f>
        <v>בהר סיני</v>
      </c>
    </row>
    <row r="4808" spans="1:6" x14ac:dyDescent="0.2">
      <c r="A4808" t="s">
        <v>8959</v>
      </c>
      <c r="B4808" t="s">
        <v>4398</v>
      </c>
      <c r="C4808" t="s">
        <v>189</v>
      </c>
      <c r="D4808" t="s">
        <v>216</v>
      </c>
      <c r="E4808" t="s">
        <v>474</v>
      </c>
      <c r="F4808" s="2" t="str">
        <f>HYPERLINK("http://www.otzar.org/book.asp?148445","בהשם שמחה, ישמח בו, ישמח האדם")</f>
        <v>בהשם שמחה, ישמח בו, ישמח האדם</v>
      </c>
    </row>
    <row r="4809" spans="1:6" x14ac:dyDescent="0.2">
      <c r="A4809" t="s">
        <v>8960</v>
      </c>
      <c r="B4809" t="s">
        <v>8961</v>
      </c>
      <c r="C4809" t="s">
        <v>366</v>
      </c>
      <c r="D4809" t="s">
        <v>14</v>
      </c>
      <c r="F4809" s="2" t="str">
        <f>HYPERLINK("http://www.otzar.org/book.asp?609563","בהתאסף")</f>
        <v>בהתאסף</v>
      </c>
    </row>
    <row r="4810" spans="1:6" x14ac:dyDescent="0.2">
      <c r="A4810" t="s">
        <v>8962</v>
      </c>
      <c r="B4810" t="s">
        <v>489</v>
      </c>
      <c r="C4810" t="s">
        <v>111</v>
      </c>
      <c r="D4810" t="s">
        <v>14</v>
      </c>
      <c r="E4810" t="s">
        <v>202</v>
      </c>
      <c r="F4810" s="2" t="str">
        <f>HYPERLINK("http://www.otzar.org/book.asp?624851","בהתאסף - 13 כר'")</f>
        <v>בהתאסף - 13 כר'</v>
      </c>
    </row>
    <row r="4811" spans="1:6" x14ac:dyDescent="0.2">
      <c r="A4811" t="s">
        <v>8963</v>
      </c>
      <c r="B4811" t="s">
        <v>4398</v>
      </c>
      <c r="C4811" t="s">
        <v>129</v>
      </c>
      <c r="D4811" t="s">
        <v>216</v>
      </c>
      <c r="E4811" t="s">
        <v>8964</v>
      </c>
      <c r="F4811" s="2" t="str">
        <f>HYPERLINK("http://www.otzar.org/book.asp?148444","בו ישמח - 2 כר'")</f>
        <v>בו ישמח - 2 כר'</v>
      </c>
    </row>
    <row r="4812" spans="1:6" x14ac:dyDescent="0.2">
      <c r="A4812" t="s">
        <v>8965</v>
      </c>
      <c r="B4812" t="s">
        <v>8966</v>
      </c>
      <c r="C4812" t="s">
        <v>23</v>
      </c>
      <c r="D4812" t="s">
        <v>412</v>
      </c>
      <c r="F4812" s="2" t="str">
        <f>HYPERLINK("http://www.otzar.org/book.asp?198350","בו תשיב - א")</f>
        <v>בו תשיב - א</v>
      </c>
    </row>
    <row r="4813" spans="1:6" x14ac:dyDescent="0.2">
      <c r="A4813" t="s">
        <v>8967</v>
      </c>
      <c r="B4813" t="s">
        <v>8967</v>
      </c>
      <c r="C4813" t="s">
        <v>106</v>
      </c>
      <c r="D4813" t="s">
        <v>52</v>
      </c>
      <c r="E4813" t="s">
        <v>241</v>
      </c>
      <c r="F4813" s="2" t="str">
        <f>HYPERLINK("http://www.otzar.org/book.asp?11907","בואו חשבון")</f>
        <v>בואו חשבון</v>
      </c>
    </row>
    <row r="4814" spans="1:6" x14ac:dyDescent="0.2">
      <c r="A4814" t="s">
        <v>8968</v>
      </c>
      <c r="B4814" t="s">
        <v>8227</v>
      </c>
      <c r="C4814" t="s">
        <v>422</v>
      </c>
      <c r="D4814" t="s">
        <v>14</v>
      </c>
      <c r="E4814" t="s">
        <v>15</v>
      </c>
      <c r="F4814" s="2" t="str">
        <f>HYPERLINK("http://www.otzar.org/book.asp?153234","בואי כלה")</f>
        <v>בואי כלה</v>
      </c>
    </row>
    <row r="4815" spans="1:6" x14ac:dyDescent="0.2">
      <c r="A4815" t="s">
        <v>8968</v>
      </c>
      <c r="B4815" t="s">
        <v>4977</v>
      </c>
      <c r="C4815" t="s">
        <v>20</v>
      </c>
      <c r="D4815" t="s">
        <v>14</v>
      </c>
      <c r="E4815" t="s">
        <v>165</v>
      </c>
      <c r="F4815" s="2" t="str">
        <f>HYPERLINK("http://www.otzar.org/book.asp?153420","בואי כלה")</f>
        <v>בואי כלה</v>
      </c>
    </row>
    <row r="4816" spans="1:6" x14ac:dyDescent="0.2">
      <c r="A4816" t="s">
        <v>8968</v>
      </c>
      <c r="B4816" t="s">
        <v>8969</v>
      </c>
      <c r="C4816" t="s">
        <v>422</v>
      </c>
      <c r="D4816" t="s">
        <v>21</v>
      </c>
      <c r="E4816" t="s">
        <v>674</v>
      </c>
      <c r="F4816" s="2" t="str">
        <f>HYPERLINK("http://www.otzar.org/book.asp?196749","בואי כלה")</f>
        <v>בואי כלה</v>
      </c>
    </row>
    <row r="4817" spans="1:6" x14ac:dyDescent="0.2">
      <c r="A4817" t="s">
        <v>8970</v>
      </c>
      <c r="B4817" t="s">
        <v>8971</v>
      </c>
      <c r="C4817" t="s">
        <v>1160</v>
      </c>
      <c r="D4817" t="s">
        <v>216</v>
      </c>
      <c r="E4817" t="s">
        <v>104</v>
      </c>
      <c r="F4817" s="2" t="str">
        <f>HYPERLINK("http://www.otzar.org/book.asp?189898","בואי תימן")</f>
        <v>בואי תימן</v>
      </c>
    </row>
    <row r="4818" spans="1:6" x14ac:dyDescent="0.2">
      <c r="A4818" t="s">
        <v>8972</v>
      </c>
      <c r="B4818" t="s">
        <v>8973</v>
      </c>
      <c r="C4818" t="s">
        <v>1096</v>
      </c>
      <c r="D4818" t="s">
        <v>56</v>
      </c>
      <c r="E4818" t="s">
        <v>5712</v>
      </c>
      <c r="F4818" s="2" t="str">
        <f>HYPERLINK("http://www.otzar.org/book.asp?300374","בונה ירושלים")</f>
        <v>בונה ירושלים</v>
      </c>
    </row>
    <row r="4819" spans="1:6" x14ac:dyDescent="0.2">
      <c r="A4819" t="s">
        <v>8974</v>
      </c>
      <c r="B4819" t="s">
        <v>8975</v>
      </c>
      <c r="C4819" t="s">
        <v>124</v>
      </c>
      <c r="D4819" t="s">
        <v>14</v>
      </c>
      <c r="F4819" s="2" t="str">
        <f>HYPERLINK("http://www.otzar.org/book.asp?611271","בוני ירושלים")</f>
        <v>בוני ירושלים</v>
      </c>
    </row>
    <row r="4820" spans="1:6" x14ac:dyDescent="0.2">
      <c r="A4820" t="s">
        <v>8976</v>
      </c>
      <c r="B4820" t="s">
        <v>8977</v>
      </c>
      <c r="C4820" t="s">
        <v>482</v>
      </c>
      <c r="D4820" t="s">
        <v>260</v>
      </c>
      <c r="E4820" t="s">
        <v>104</v>
      </c>
      <c r="F4820" s="2" t="str">
        <f>HYPERLINK("http://www.otzar.org/book.asp?156811","בוסתנאי - עבד כי ימלוך")</f>
        <v>בוסתנאי - עבד כי ימלוך</v>
      </c>
    </row>
    <row r="4821" spans="1:6" x14ac:dyDescent="0.2">
      <c r="A4821" t="s">
        <v>8978</v>
      </c>
      <c r="B4821" t="s">
        <v>6048</v>
      </c>
      <c r="C4821" t="s">
        <v>129</v>
      </c>
      <c r="D4821" t="s">
        <v>14</v>
      </c>
      <c r="E4821" t="s">
        <v>1185</v>
      </c>
      <c r="F4821" s="2" t="str">
        <f>HYPERLINK("http://www.otzar.org/book.asp?153864","בוצינא דנהורא &lt;תורת הרבי ר' ברוך&gt; - 2 כר'")</f>
        <v>בוצינא דנהורא &lt;תורת הרבי ר' ברוך&gt; - 2 כר'</v>
      </c>
    </row>
    <row r="4822" spans="1:6" x14ac:dyDescent="0.2">
      <c r="A4822" t="s">
        <v>8979</v>
      </c>
      <c r="B4822" t="s">
        <v>6048</v>
      </c>
      <c r="C4822" t="s">
        <v>99</v>
      </c>
      <c r="D4822" t="s">
        <v>691</v>
      </c>
      <c r="E4822" t="s">
        <v>2098</v>
      </c>
      <c r="F4822" s="2" t="str">
        <f>HYPERLINK("http://www.otzar.org/book.asp?171355","בוצינא דנהורא - 4 כר'")</f>
        <v>בוצינא דנהורא - 4 כר'</v>
      </c>
    </row>
    <row r="4823" spans="1:6" x14ac:dyDescent="0.2">
      <c r="A4823" t="s">
        <v>8980</v>
      </c>
      <c r="B4823" t="s">
        <v>5213</v>
      </c>
      <c r="C4823" t="s">
        <v>37</v>
      </c>
      <c r="D4823" t="s">
        <v>14</v>
      </c>
      <c r="E4823" t="s">
        <v>246</v>
      </c>
      <c r="F4823" s="2" t="str">
        <f>HYPERLINK("http://www.otzar.org/book.asp?194177","בוצינא קדישא")</f>
        <v>בוצינא קדישא</v>
      </c>
    </row>
    <row r="4824" spans="1:6" x14ac:dyDescent="0.2">
      <c r="A4824" t="s">
        <v>8980</v>
      </c>
      <c r="B4824" t="s">
        <v>8981</v>
      </c>
      <c r="C4824" t="s">
        <v>558</v>
      </c>
      <c r="D4824" t="s">
        <v>225</v>
      </c>
      <c r="E4824" t="s">
        <v>733</v>
      </c>
      <c r="F4824" s="2" t="str">
        <f>HYPERLINK("http://www.otzar.org/book.asp?50876","בוצינא קדישא")</f>
        <v>בוצינא קדישא</v>
      </c>
    </row>
    <row r="4825" spans="1:6" x14ac:dyDescent="0.2">
      <c r="A4825" t="s">
        <v>8980</v>
      </c>
      <c r="B4825" t="s">
        <v>8982</v>
      </c>
      <c r="C4825" t="s">
        <v>146</v>
      </c>
      <c r="D4825" t="s">
        <v>52</v>
      </c>
      <c r="F4825" s="2" t="str">
        <f>HYPERLINK("http://www.otzar.org/book.asp?617208","בוצינא קדישא")</f>
        <v>בוצינא קדישא</v>
      </c>
    </row>
    <row r="4826" spans="1:6" x14ac:dyDescent="0.2">
      <c r="A4826" t="s">
        <v>8983</v>
      </c>
      <c r="B4826" t="s">
        <v>8984</v>
      </c>
      <c r="C4826" t="s">
        <v>17</v>
      </c>
      <c r="D4826" t="s">
        <v>8985</v>
      </c>
      <c r="E4826" t="s">
        <v>144</v>
      </c>
      <c r="F4826" s="2" t="str">
        <f>HYPERLINK("http://www.otzar.org/book.asp?61800","בור הגולה")</f>
        <v>בור הגולה</v>
      </c>
    </row>
    <row r="4827" spans="1:6" x14ac:dyDescent="0.2">
      <c r="A4827" t="s">
        <v>8986</v>
      </c>
      <c r="B4827" t="s">
        <v>7320</v>
      </c>
      <c r="C4827" t="s">
        <v>111</v>
      </c>
      <c r="D4827" t="s">
        <v>14</v>
      </c>
      <c r="E4827" t="s">
        <v>15</v>
      </c>
      <c r="F4827" s="2" t="str">
        <f>HYPERLINK("http://www.otzar.org/book.asp?630578","בורא מיני בשמים")</f>
        <v>בורא מיני בשמים</v>
      </c>
    </row>
    <row r="4828" spans="1:6" x14ac:dyDescent="0.2">
      <c r="A4828" t="s">
        <v>8986</v>
      </c>
      <c r="B4828" t="s">
        <v>8189</v>
      </c>
      <c r="C4828" t="s">
        <v>124</v>
      </c>
      <c r="D4828" t="s">
        <v>21</v>
      </c>
      <c r="E4828" t="s">
        <v>1164</v>
      </c>
      <c r="F4828" s="2" t="str">
        <f>HYPERLINK("http://www.otzar.org/book.asp?191734","בורא מיני בשמים")</f>
        <v>בורא מיני בשמים</v>
      </c>
    </row>
    <row r="4829" spans="1:6" x14ac:dyDescent="0.2">
      <c r="A4829" t="s">
        <v>8987</v>
      </c>
      <c r="B4829" t="s">
        <v>338</v>
      </c>
      <c r="C4829" t="s">
        <v>411</v>
      </c>
      <c r="D4829" t="s">
        <v>14</v>
      </c>
      <c r="E4829" t="s">
        <v>213</v>
      </c>
      <c r="F4829" s="2" t="str">
        <f>HYPERLINK("http://www.otzar.org/book.asp?182451","בורא נפשות")</f>
        <v>בורא נפשות</v>
      </c>
    </row>
    <row r="4830" spans="1:6" x14ac:dyDescent="0.2">
      <c r="A4830" t="s">
        <v>8988</v>
      </c>
      <c r="B4830" t="s">
        <v>8907</v>
      </c>
      <c r="C4830" t="s">
        <v>133</v>
      </c>
      <c r="D4830" t="s">
        <v>412</v>
      </c>
      <c r="E4830" t="s">
        <v>230</v>
      </c>
      <c r="F4830" s="2" t="str">
        <f>HYPERLINK("http://www.otzar.org/book.asp?601412","בזאת יבא אהרן")</f>
        <v>בזאת יבא אהרן</v>
      </c>
    </row>
    <row r="4831" spans="1:6" x14ac:dyDescent="0.2">
      <c r="A4831" t="s">
        <v>8988</v>
      </c>
      <c r="B4831" t="s">
        <v>8989</v>
      </c>
      <c r="C4831" t="s">
        <v>37</v>
      </c>
      <c r="D4831" t="s">
        <v>5798</v>
      </c>
      <c r="E4831" t="s">
        <v>130</v>
      </c>
      <c r="F4831" s="2" t="str">
        <f>HYPERLINK("http://www.otzar.org/book.asp?195561","בזאת יבא אהרן")</f>
        <v>בזאת יבא אהרן</v>
      </c>
    </row>
    <row r="4832" spans="1:6" x14ac:dyDescent="0.2">
      <c r="A4832" t="s">
        <v>8990</v>
      </c>
      <c r="B4832" t="s">
        <v>206</v>
      </c>
      <c r="C4832" t="s">
        <v>366</v>
      </c>
      <c r="D4832" t="s">
        <v>21</v>
      </c>
      <c r="E4832" t="s">
        <v>158</v>
      </c>
      <c r="F4832" s="2" t="str">
        <f>HYPERLINK("http://www.otzar.org/book.asp?605095","בזאת תבחנו")</f>
        <v>בזאת תבחנו</v>
      </c>
    </row>
    <row r="4833" spans="1:6" x14ac:dyDescent="0.2">
      <c r="A4833" t="s">
        <v>8991</v>
      </c>
      <c r="B4833" t="s">
        <v>8992</v>
      </c>
      <c r="C4833" t="s">
        <v>146</v>
      </c>
      <c r="D4833" t="s">
        <v>14</v>
      </c>
      <c r="E4833" t="s">
        <v>15</v>
      </c>
      <c r="F4833" s="2" t="str">
        <f>HYPERLINK("http://www.otzar.org/book.asp?28060","בזיך הלבנה - על ל""ט מלאכות השבת")</f>
        <v>בזיך הלבנה - על ל"ט מלאכות השבת</v>
      </c>
    </row>
    <row r="4834" spans="1:6" x14ac:dyDescent="0.2">
      <c r="A4834" t="s">
        <v>8993</v>
      </c>
      <c r="B4834" t="s">
        <v>8992</v>
      </c>
      <c r="C4834" t="s">
        <v>20</v>
      </c>
      <c r="D4834" t="s">
        <v>21</v>
      </c>
      <c r="E4834" t="s">
        <v>130</v>
      </c>
      <c r="F4834" s="2" t="str">
        <f>HYPERLINK("http://www.otzar.org/book.asp?602075","בזיכי הלבונה")</f>
        <v>בזיכי הלבונה</v>
      </c>
    </row>
    <row r="4835" spans="1:6" x14ac:dyDescent="0.2">
      <c r="A4835" t="s">
        <v>8994</v>
      </c>
      <c r="B4835" t="s">
        <v>8995</v>
      </c>
      <c r="C4835" t="s">
        <v>313</v>
      </c>
      <c r="D4835" t="s">
        <v>14</v>
      </c>
      <c r="E4835" t="s">
        <v>104</v>
      </c>
      <c r="F4835" s="2" t="str">
        <f>HYPERLINK("http://www.otzar.org/book.asp?624717","בזכות ונשמרתם")</f>
        <v>בזכות ונשמרתם</v>
      </c>
    </row>
    <row r="4836" spans="1:6" x14ac:dyDescent="0.2">
      <c r="A4836" t="s">
        <v>8996</v>
      </c>
      <c r="B4836" t="s">
        <v>5293</v>
      </c>
      <c r="C4836" t="s">
        <v>114</v>
      </c>
      <c r="D4836" t="s">
        <v>14</v>
      </c>
      <c r="F4836" s="2" t="str">
        <f>HYPERLINK("http://www.otzar.org/book.asp?614842","בזכות נשים צדקניות")</f>
        <v>בזכות נשים צדקניות</v>
      </c>
    </row>
    <row r="4837" spans="1:6" x14ac:dyDescent="0.2">
      <c r="A4837" t="s">
        <v>8996</v>
      </c>
      <c r="B4837" t="s">
        <v>107</v>
      </c>
      <c r="C4837" t="s">
        <v>103</v>
      </c>
      <c r="D4837" t="s">
        <v>14</v>
      </c>
      <c r="E4837" t="s">
        <v>104</v>
      </c>
      <c r="F4837" s="2" t="str">
        <f>HYPERLINK("http://www.otzar.org/book.asp?164076","בזכות נשים צדקניות")</f>
        <v>בזכות נשים צדקניות</v>
      </c>
    </row>
    <row r="4838" spans="1:6" x14ac:dyDescent="0.2">
      <c r="A4838" t="s">
        <v>8997</v>
      </c>
      <c r="B4838" t="s">
        <v>8998</v>
      </c>
      <c r="C4838" t="s">
        <v>51</v>
      </c>
      <c r="D4838" t="s">
        <v>52</v>
      </c>
      <c r="E4838" t="s">
        <v>246</v>
      </c>
      <c r="F4838" s="2" t="str">
        <f>HYPERLINK("http://www.otzar.org/book.asp?623293","בזכותא דבר יוחאי")</f>
        <v>בזכותא דבר יוחאי</v>
      </c>
    </row>
    <row r="4839" spans="1:6" x14ac:dyDescent="0.2">
      <c r="A4839" t="s">
        <v>8999</v>
      </c>
      <c r="B4839" t="s">
        <v>9000</v>
      </c>
      <c r="C4839" t="s">
        <v>20</v>
      </c>
      <c r="D4839" t="s">
        <v>14</v>
      </c>
      <c r="E4839" t="s">
        <v>241</v>
      </c>
      <c r="F4839" s="2" t="str">
        <f>HYPERLINK("http://www.otzar.org/book.asp?166412","בזמן הזה - 4 כר'")</f>
        <v>בזמן הזה - 4 כר'</v>
      </c>
    </row>
    <row r="4840" spans="1:6" x14ac:dyDescent="0.2">
      <c r="A4840" t="s">
        <v>9001</v>
      </c>
      <c r="B4840" t="s">
        <v>9002</v>
      </c>
      <c r="C4840" t="s">
        <v>23</v>
      </c>
      <c r="D4840" t="s">
        <v>14</v>
      </c>
      <c r="E4840" t="s">
        <v>158</v>
      </c>
      <c r="F4840" s="2" t="str">
        <f>HYPERLINK("http://www.otzar.org/book.asp?607100","בחגוי הסלע - 2 כר'")</f>
        <v>בחגוי הסלע - 2 כר'</v>
      </c>
    </row>
    <row r="4841" spans="1:6" x14ac:dyDescent="0.2">
      <c r="A4841" t="s">
        <v>9003</v>
      </c>
      <c r="B4841" t="s">
        <v>9004</v>
      </c>
      <c r="C4841" t="s">
        <v>20</v>
      </c>
      <c r="D4841" t="s">
        <v>14</v>
      </c>
      <c r="E4841" t="s">
        <v>119</v>
      </c>
      <c r="F4841" s="2" t="str">
        <f>HYPERLINK("http://www.otzar.org/book.asp?180732","בחוזק יד - רבי דוד לייב שווארץ")</f>
        <v>בחוזק יד - רבי דוד לייב שווארץ</v>
      </c>
    </row>
    <row r="4842" spans="1:6" x14ac:dyDescent="0.2">
      <c r="A4842" t="s">
        <v>9005</v>
      </c>
      <c r="B4842" t="s">
        <v>9006</v>
      </c>
      <c r="C4842" t="s">
        <v>422</v>
      </c>
      <c r="D4842" t="s">
        <v>367</v>
      </c>
      <c r="E4842" t="s">
        <v>104</v>
      </c>
      <c r="F4842" s="2" t="str">
        <f>HYPERLINK("http://www.otzar.org/book.asp?623778","בחוקותיך אשתעשע")</f>
        <v>בחוקותיך אשתעשע</v>
      </c>
    </row>
    <row r="4843" spans="1:6" x14ac:dyDescent="0.2">
      <c r="A4843" t="s">
        <v>9005</v>
      </c>
      <c r="B4843" t="s">
        <v>9007</v>
      </c>
      <c r="C4843" t="s">
        <v>366</v>
      </c>
      <c r="D4843" t="s">
        <v>80</v>
      </c>
      <c r="E4843" t="s">
        <v>104</v>
      </c>
      <c r="F4843" s="2" t="str">
        <f>HYPERLINK("http://www.otzar.org/book.asp?606784","בחוקותיך אשתעשע")</f>
        <v>בחוקותיך אשתעשע</v>
      </c>
    </row>
    <row r="4844" spans="1:6" x14ac:dyDescent="0.2">
      <c r="A4844" t="s">
        <v>9008</v>
      </c>
      <c r="B4844" t="s">
        <v>9009</v>
      </c>
      <c r="C4844" t="s">
        <v>422</v>
      </c>
      <c r="D4844" t="s">
        <v>90</v>
      </c>
      <c r="E4844" t="s">
        <v>158</v>
      </c>
      <c r="F4844" s="2" t="str">
        <f>HYPERLINK("http://www.otzar.org/book.asp?161552","בחזק יד")</f>
        <v>בחזק יד</v>
      </c>
    </row>
    <row r="4845" spans="1:6" x14ac:dyDescent="0.2">
      <c r="A4845" t="s">
        <v>9010</v>
      </c>
      <c r="B4845" t="s">
        <v>1406</v>
      </c>
      <c r="C4845" t="s">
        <v>8</v>
      </c>
      <c r="D4845" t="s">
        <v>280</v>
      </c>
      <c r="E4845" t="s">
        <v>104</v>
      </c>
      <c r="F4845" s="2" t="str">
        <f>HYPERLINK("http://www.otzar.org/book.asp?19260","בחינות עולם &lt;באור המלות&gt;")</f>
        <v>בחינות עולם &lt;באור המלות&gt;</v>
      </c>
    </row>
    <row r="4846" spans="1:6" x14ac:dyDescent="0.2">
      <c r="A4846" t="s">
        <v>9011</v>
      </c>
      <c r="B4846" t="s">
        <v>1406</v>
      </c>
      <c r="C4846" t="s">
        <v>1407</v>
      </c>
      <c r="D4846" t="s">
        <v>9012</v>
      </c>
      <c r="E4846" t="s">
        <v>104</v>
      </c>
      <c r="F4846" s="2" t="str">
        <f>HYPERLINK("http://www.otzar.org/book.asp?53267","בחינות עולם &lt;דפו""ר&gt;")</f>
        <v>בחינות עולם &lt;דפו"ר&gt;</v>
      </c>
    </row>
    <row r="4847" spans="1:6" x14ac:dyDescent="0.2">
      <c r="A4847" t="s">
        <v>9013</v>
      </c>
      <c r="B4847" t="s">
        <v>1406</v>
      </c>
      <c r="C4847" t="s">
        <v>896</v>
      </c>
      <c r="D4847" t="s">
        <v>1422</v>
      </c>
      <c r="E4847" t="s">
        <v>1626</v>
      </c>
      <c r="F4847" s="2" t="str">
        <f>HYPERLINK("http://www.otzar.org/book.asp?11894","בחינות עולם &lt;ויפרש משה&gt;")</f>
        <v>בחינות עולם &lt;ויפרש משה&gt;</v>
      </c>
    </row>
    <row r="4848" spans="1:6" x14ac:dyDescent="0.2">
      <c r="A4848" t="s">
        <v>9014</v>
      </c>
      <c r="B4848" t="s">
        <v>1406</v>
      </c>
      <c r="C4848" t="s">
        <v>854</v>
      </c>
      <c r="D4848" t="s">
        <v>9015</v>
      </c>
      <c r="E4848" t="s">
        <v>1626</v>
      </c>
      <c r="F4848" s="2" t="str">
        <f>HYPERLINK("http://www.otzar.org/book.asp?104357","בחינות עולם &lt;חוק עולם&gt;")</f>
        <v>בחינות עולם &lt;חוק עולם&gt;</v>
      </c>
    </row>
    <row r="4849" spans="1:6" x14ac:dyDescent="0.2">
      <c r="A4849" t="s">
        <v>9016</v>
      </c>
      <c r="B4849" t="s">
        <v>1406</v>
      </c>
      <c r="C4849" t="s">
        <v>1844</v>
      </c>
      <c r="D4849" t="s">
        <v>283</v>
      </c>
      <c r="E4849" t="s">
        <v>3083</v>
      </c>
      <c r="F4849" s="2" t="str">
        <f>HYPERLINK("http://www.otzar.org/book.asp?9935","בחינות עולם &lt;כור הבחינה&gt;")</f>
        <v>בחינות עולם &lt;כור הבחינה&gt;</v>
      </c>
    </row>
    <row r="4850" spans="1:6" x14ac:dyDescent="0.2">
      <c r="A4850" t="s">
        <v>9017</v>
      </c>
      <c r="B4850" t="s">
        <v>1406</v>
      </c>
      <c r="C4850" t="s">
        <v>343</v>
      </c>
      <c r="D4850" t="s">
        <v>1365</v>
      </c>
      <c r="F4850" s="2" t="str">
        <f>HYPERLINK("http://www.otzar.org/book.asp?626592","בחינות עולם &lt;מגדנות  אלעזר - המליץ - המזכיר&gt;")</f>
        <v>בחינות עולם &lt;מגדנות  אלעזר - המליץ - המזכיר&gt;</v>
      </c>
    </row>
    <row r="4851" spans="1:6" x14ac:dyDescent="0.2">
      <c r="A4851" t="s">
        <v>9018</v>
      </c>
      <c r="B4851" t="s">
        <v>1406</v>
      </c>
      <c r="C4851" t="s">
        <v>20</v>
      </c>
      <c r="D4851" t="s">
        <v>2347</v>
      </c>
      <c r="E4851" t="s">
        <v>1626</v>
      </c>
      <c r="F4851" s="2" t="str">
        <f>HYPERLINK("http://www.otzar.org/book.asp?11452","בחינות עולם &lt;מגדנות אליעזר&gt; - 2 כר'")</f>
        <v>בחינות עולם &lt;מגדנות אליעזר&gt; - 2 כר'</v>
      </c>
    </row>
    <row r="4852" spans="1:6" x14ac:dyDescent="0.2">
      <c r="A4852" t="s">
        <v>9019</v>
      </c>
      <c r="B4852" t="s">
        <v>1406</v>
      </c>
      <c r="C4852" t="s">
        <v>752</v>
      </c>
      <c r="D4852" t="s">
        <v>855</v>
      </c>
      <c r="E4852" t="s">
        <v>241</v>
      </c>
      <c r="F4852" s="2" t="str">
        <f>HYPERLINK("http://www.otzar.org/book.asp?168171","בחינות עולם &lt;עין בוחן&gt;")</f>
        <v>בחינות עולם &lt;עין בוחן&gt;</v>
      </c>
    </row>
    <row r="4853" spans="1:6" x14ac:dyDescent="0.2">
      <c r="A4853" t="s">
        <v>9020</v>
      </c>
      <c r="B4853" t="s">
        <v>1406</v>
      </c>
      <c r="C4853" t="s">
        <v>5242</v>
      </c>
      <c r="D4853" t="s">
        <v>3963</v>
      </c>
      <c r="E4853" t="s">
        <v>104</v>
      </c>
      <c r="F4853" s="2" t="str">
        <f>HYPERLINK("http://www.otzar.org/book.asp?147317","בחינות עולם &lt;עם פי' ר' משה ן' חביב ור' יוסף פרנסיש&gt;")</f>
        <v>בחינות עולם &lt;עם פי' ר' משה ן' חביב ור' יוסף פרנסיש&gt;</v>
      </c>
    </row>
    <row r="4854" spans="1:6" x14ac:dyDescent="0.2">
      <c r="A4854" t="s">
        <v>9021</v>
      </c>
      <c r="B4854" t="s">
        <v>1406</v>
      </c>
      <c r="C4854" t="s">
        <v>896</v>
      </c>
      <c r="D4854" t="s">
        <v>307</v>
      </c>
      <c r="E4854" t="s">
        <v>213</v>
      </c>
      <c r="F4854" s="2" t="str">
        <f>HYPERLINK("http://www.otzar.org/book.asp?146870","בחינות עולם &lt;עם ציוני זהב ופי' רבינו בעל התוי""ט&gt;")</f>
        <v>בחינות עולם &lt;עם ציוני זהב ופי' רבינו בעל התוי"ט&gt;</v>
      </c>
    </row>
    <row r="4855" spans="1:6" x14ac:dyDescent="0.2">
      <c r="A4855" t="s">
        <v>9022</v>
      </c>
      <c r="B4855" t="s">
        <v>1406</v>
      </c>
      <c r="C4855" t="s">
        <v>4266</v>
      </c>
      <c r="D4855" t="s">
        <v>544</v>
      </c>
      <c r="E4855" t="s">
        <v>1626</v>
      </c>
      <c r="F4855" s="2" t="str">
        <f>HYPERLINK("http://www.otzar.org/book.asp?19208","בחינות עולם &lt;פירוש חביב&gt;")</f>
        <v>בחינות עולם &lt;פירוש חביב&gt;</v>
      </c>
    </row>
    <row r="4856" spans="1:6" x14ac:dyDescent="0.2">
      <c r="A4856" t="s">
        <v>9023</v>
      </c>
      <c r="B4856" t="s">
        <v>1406</v>
      </c>
      <c r="C4856" t="s">
        <v>9024</v>
      </c>
      <c r="D4856" t="s">
        <v>2303</v>
      </c>
      <c r="E4856" t="s">
        <v>241</v>
      </c>
      <c r="F4856" s="2" t="str">
        <f>HYPERLINK("http://www.otzar.org/book.asp?181163","בחינות עולם - 3 כר'")</f>
        <v>בחינות עולם - 3 כר'</v>
      </c>
    </row>
    <row r="4857" spans="1:6" x14ac:dyDescent="0.2">
      <c r="A4857" t="s">
        <v>9025</v>
      </c>
      <c r="B4857" t="s">
        <v>9026</v>
      </c>
      <c r="C4857" t="s">
        <v>55</v>
      </c>
      <c r="D4857" t="s">
        <v>1459</v>
      </c>
      <c r="E4857" t="s">
        <v>241</v>
      </c>
      <c r="F4857" s="2" t="str">
        <f>HYPERLINK("http://www.otzar.org/book.asp?15978","בחינת הדת &lt;עם פירוש&gt;")</f>
        <v>בחינת הדת &lt;עם פירוש&gt;</v>
      </c>
    </row>
    <row r="4858" spans="1:6" x14ac:dyDescent="0.2">
      <c r="A4858" t="s">
        <v>9027</v>
      </c>
      <c r="B4858" t="s">
        <v>9028</v>
      </c>
      <c r="C4858" t="s">
        <v>9029</v>
      </c>
      <c r="D4858" t="s">
        <v>27</v>
      </c>
      <c r="E4858" t="s">
        <v>241</v>
      </c>
      <c r="F4858" s="2" t="str">
        <f>HYPERLINK("http://www.otzar.org/book.asp?171351","בחינת החכמה - 2 כר'")</f>
        <v>בחינת החכמה - 2 כר'</v>
      </c>
    </row>
    <row r="4859" spans="1:6" x14ac:dyDescent="0.2">
      <c r="A4859" t="s">
        <v>9030</v>
      </c>
      <c r="B4859" t="s">
        <v>1406</v>
      </c>
      <c r="C4859" t="s">
        <v>1414</v>
      </c>
      <c r="D4859" t="s">
        <v>1722</v>
      </c>
      <c r="E4859" t="s">
        <v>104</v>
      </c>
      <c r="F4859" s="2" t="str">
        <f>HYPERLINK("http://www.otzar.org/book.asp?611901","בחינת עולם")</f>
        <v>בחינת עולם</v>
      </c>
    </row>
    <row r="4860" spans="1:6" x14ac:dyDescent="0.2">
      <c r="A4860" t="s">
        <v>9031</v>
      </c>
      <c r="B4860" t="s">
        <v>9032</v>
      </c>
      <c r="C4860" t="s">
        <v>1470</v>
      </c>
      <c r="D4860" t="s">
        <v>260</v>
      </c>
      <c r="E4860" t="s">
        <v>84</v>
      </c>
      <c r="F4860" s="2" t="str">
        <f>HYPERLINK("http://www.otzar.org/book.asp?101947","בחיר חיים - 2 כר'")</f>
        <v>בחיר חיים - 2 כר'</v>
      </c>
    </row>
    <row r="4861" spans="1:6" x14ac:dyDescent="0.2">
      <c r="A4861" t="s">
        <v>9033</v>
      </c>
      <c r="B4861" t="s">
        <v>9034</v>
      </c>
      <c r="C4861" t="s">
        <v>9035</v>
      </c>
      <c r="D4861" t="s">
        <v>56</v>
      </c>
      <c r="E4861" t="s">
        <v>43</v>
      </c>
      <c r="F4861" s="2" t="str">
        <f>HYPERLINK("http://www.otzar.org/book.asp?165171","בחירת אברהם")</f>
        <v>בחירת אברהם</v>
      </c>
    </row>
    <row r="4862" spans="1:6" x14ac:dyDescent="0.2">
      <c r="A4862" t="s">
        <v>9036</v>
      </c>
      <c r="B4862" t="s">
        <v>9037</v>
      </c>
      <c r="C4862" t="s">
        <v>133</v>
      </c>
      <c r="D4862" t="s">
        <v>412</v>
      </c>
      <c r="E4862" t="s">
        <v>15</v>
      </c>
      <c r="F4862" s="2" t="str">
        <f>HYPERLINK("http://www.otzar.org/book.asp?180166","בחירת המלך")</f>
        <v>בחירת המלך</v>
      </c>
    </row>
    <row r="4863" spans="1:6" x14ac:dyDescent="0.2">
      <c r="A4863" t="s">
        <v>9038</v>
      </c>
      <c r="B4863" t="s">
        <v>6987</v>
      </c>
      <c r="C4863" t="s">
        <v>411</v>
      </c>
      <c r="D4863" t="s">
        <v>14</v>
      </c>
      <c r="E4863" t="s">
        <v>2199</v>
      </c>
      <c r="F4863" s="2" t="str">
        <f>HYPERLINK("http://www.otzar.org/book.asp?166519","בחירת יוסף")</f>
        <v>בחירת יוסף</v>
      </c>
    </row>
    <row r="4864" spans="1:6" x14ac:dyDescent="0.2">
      <c r="A4864" t="s">
        <v>9039</v>
      </c>
      <c r="B4864" t="s">
        <v>2457</v>
      </c>
      <c r="C4864" t="s">
        <v>698</v>
      </c>
      <c r="D4864" t="s">
        <v>260</v>
      </c>
      <c r="E4864" t="s">
        <v>2533</v>
      </c>
      <c r="F4864" s="2" t="str">
        <f>HYPERLINK("http://www.otzar.org/book.asp?300389","בחירת ציון - 2 כר'")</f>
        <v>בחירת ציון - 2 כר'</v>
      </c>
    </row>
    <row r="4865" spans="1:6" x14ac:dyDescent="0.2">
      <c r="A4865" t="s">
        <v>9040</v>
      </c>
      <c r="B4865" t="s">
        <v>9041</v>
      </c>
      <c r="C4865" t="s">
        <v>68</v>
      </c>
      <c r="D4865" t="s">
        <v>115</v>
      </c>
      <c r="E4865" t="s">
        <v>104</v>
      </c>
      <c r="F4865" s="2" t="str">
        <f>HYPERLINK("http://www.otzar.org/book.asp?151078","בחכמה אמרתי")</f>
        <v>בחכמה אמרתי</v>
      </c>
    </row>
    <row r="4866" spans="1:6" x14ac:dyDescent="0.2">
      <c r="A4866" t="s">
        <v>9042</v>
      </c>
      <c r="B4866" t="s">
        <v>5293</v>
      </c>
      <c r="C4866" t="s">
        <v>23</v>
      </c>
      <c r="D4866" t="s">
        <v>14</v>
      </c>
      <c r="F4866" s="2" t="str">
        <f>HYPERLINK("http://www.otzar.org/book.asp?614866","בחכמה יבנה בית")</f>
        <v>בחכמה יבנה בית</v>
      </c>
    </row>
    <row r="4867" spans="1:6" x14ac:dyDescent="0.2">
      <c r="A4867" t="s">
        <v>9042</v>
      </c>
      <c r="B4867" t="s">
        <v>9043</v>
      </c>
      <c r="C4867" t="s">
        <v>114</v>
      </c>
      <c r="D4867" t="s">
        <v>90</v>
      </c>
      <c r="E4867" t="s">
        <v>573</v>
      </c>
      <c r="F4867" s="2" t="str">
        <f>HYPERLINK("http://www.otzar.org/book.asp?160094","בחכמה יבנה בית")</f>
        <v>בחכמה יבנה בית</v>
      </c>
    </row>
    <row r="4868" spans="1:6" x14ac:dyDescent="0.2">
      <c r="A4868" t="s">
        <v>9044</v>
      </c>
      <c r="B4868" t="s">
        <v>9045</v>
      </c>
      <c r="C4868" t="s">
        <v>594</v>
      </c>
      <c r="D4868" t="s">
        <v>76</v>
      </c>
      <c r="E4868" t="s">
        <v>130</v>
      </c>
      <c r="F4868" s="2" t="str">
        <f>HYPERLINK("http://www.otzar.org/book.asp?141224","בחפזון פסח")</f>
        <v>בחפזון פסח</v>
      </c>
    </row>
    <row r="4869" spans="1:6" x14ac:dyDescent="0.2">
      <c r="A4869" t="s">
        <v>9046</v>
      </c>
      <c r="B4869" t="s">
        <v>9047</v>
      </c>
      <c r="C4869" t="s">
        <v>129</v>
      </c>
      <c r="D4869" t="s">
        <v>412</v>
      </c>
      <c r="E4869" t="s">
        <v>1174</v>
      </c>
      <c r="F4869" s="2" t="str">
        <f>HYPERLINK("http://www.otzar.org/book.asp?83845","בחצר הקודש &lt;סקווירא&gt; - 4 כר'")</f>
        <v>בחצר הקודש &lt;סקווירא&gt; - 4 כר'</v>
      </c>
    </row>
    <row r="4870" spans="1:6" x14ac:dyDescent="0.2">
      <c r="A4870" t="s">
        <v>9048</v>
      </c>
      <c r="B4870" t="s">
        <v>9049</v>
      </c>
      <c r="C4870" t="s">
        <v>129</v>
      </c>
      <c r="D4870" t="s">
        <v>14</v>
      </c>
      <c r="E4870" t="s">
        <v>140</v>
      </c>
      <c r="F4870" s="2" t="str">
        <f>HYPERLINK("http://www.otzar.org/book.asp?611637","בחצרות בית ה' בתוככי ירושלים")</f>
        <v>בחצרות בית ה' בתוככי ירושלים</v>
      </c>
    </row>
    <row r="4871" spans="1:6" x14ac:dyDescent="0.2">
      <c r="A4871" t="s">
        <v>9050</v>
      </c>
      <c r="B4871" t="s">
        <v>9051</v>
      </c>
      <c r="C4871" t="s">
        <v>71</v>
      </c>
      <c r="D4871" t="s">
        <v>423</v>
      </c>
      <c r="E4871" t="s">
        <v>1174</v>
      </c>
      <c r="F4871" s="2" t="str">
        <f>HYPERLINK("http://www.otzar.org/book.asp?167293","בחצרות החיים - 58 כר'")</f>
        <v>בחצרות החיים - 58 כר'</v>
      </c>
    </row>
    <row r="4872" spans="1:6" x14ac:dyDescent="0.2">
      <c r="A4872" t="s">
        <v>9052</v>
      </c>
      <c r="B4872" t="s">
        <v>7879</v>
      </c>
      <c r="C4872" t="s">
        <v>129</v>
      </c>
      <c r="D4872" t="s">
        <v>52</v>
      </c>
      <c r="E4872" t="s">
        <v>144</v>
      </c>
      <c r="F4872" s="2" t="str">
        <f>HYPERLINK("http://www.otzar.org/book.asp?52267","בחצרות קדשי - זבחים, מנחות")</f>
        <v>בחצרות קדשי - זבחים, מנחות</v>
      </c>
    </row>
    <row r="4873" spans="1:6" x14ac:dyDescent="0.2">
      <c r="A4873" t="s">
        <v>9053</v>
      </c>
      <c r="B4873" t="s">
        <v>9054</v>
      </c>
      <c r="C4873" t="s">
        <v>151</v>
      </c>
      <c r="D4873" t="s">
        <v>118</v>
      </c>
      <c r="F4873" s="2" t="str">
        <f>HYPERLINK("http://www.otzar.org/book.asp?610992","בחצרות - א")</f>
        <v>בחצרות - א</v>
      </c>
    </row>
    <row r="4874" spans="1:6" x14ac:dyDescent="0.2">
      <c r="A4874" t="s">
        <v>9055</v>
      </c>
      <c r="B4874" t="s">
        <v>686</v>
      </c>
      <c r="C4874" t="s">
        <v>454</v>
      </c>
      <c r="D4874" t="s">
        <v>52</v>
      </c>
      <c r="E4874" t="s">
        <v>104</v>
      </c>
      <c r="F4874" s="2" t="str">
        <f>HYPERLINK("http://www.otzar.org/book.asp?84402","בחקתיך אשתעשע")</f>
        <v>בחקתיך אשתעשע</v>
      </c>
    </row>
    <row r="4875" spans="1:6" x14ac:dyDescent="0.2">
      <c r="A4875" t="s">
        <v>9055</v>
      </c>
      <c r="B4875" t="s">
        <v>552</v>
      </c>
      <c r="C4875" t="s">
        <v>37</v>
      </c>
      <c r="D4875" t="s">
        <v>21</v>
      </c>
      <c r="E4875" t="s">
        <v>202</v>
      </c>
      <c r="F4875" s="2" t="str">
        <f>HYPERLINK("http://www.otzar.org/book.asp?605349","בחקתיך אשתעשע")</f>
        <v>בחקתיך אשתעשע</v>
      </c>
    </row>
    <row r="4876" spans="1:6" x14ac:dyDescent="0.2">
      <c r="A4876" t="s">
        <v>9056</v>
      </c>
      <c r="B4876" t="s">
        <v>9057</v>
      </c>
      <c r="C4876" t="s">
        <v>71</v>
      </c>
      <c r="D4876" t="s">
        <v>486</v>
      </c>
      <c r="E4876" t="s">
        <v>1097</v>
      </c>
      <c r="F4876" s="2" t="str">
        <f>HYPERLINK("http://www.otzar.org/book.asp?189461","בחר בציון - ירושלמי ברכות")</f>
        <v>בחר בציון - ירושלמי ברכות</v>
      </c>
    </row>
    <row r="4877" spans="1:6" x14ac:dyDescent="0.2">
      <c r="A4877" t="s">
        <v>9058</v>
      </c>
      <c r="B4877" t="s">
        <v>9059</v>
      </c>
      <c r="C4877" t="s">
        <v>366</v>
      </c>
      <c r="D4877" t="s">
        <v>90</v>
      </c>
      <c r="E4877" t="s">
        <v>246</v>
      </c>
      <c r="F4877" s="2" t="str">
        <f>HYPERLINK("http://www.otzar.org/book.asp?623354","בחשק משה - 6 כר'")</f>
        <v>בחשק משה - 6 כר'</v>
      </c>
    </row>
    <row r="4878" spans="1:6" x14ac:dyDescent="0.2">
      <c r="A4878" t="s">
        <v>9060</v>
      </c>
      <c r="B4878" t="s">
        <v>9061</v>
      </c>
      <c r="C4878" t="s">
        <v>422</v>
      </c>
      <c r="D4878" t="s">
        <v>260</v>
      </c>
      <c r="E4878" t="s">
        <v>15</v>
      </c>
      <c r="F4878" s="2" t="str">
        <f>HYPERLINK("http://www.otzar.org/book.asp?197715","בט""ש בשבת ובמועד")</f>
        <v>בט"ש בשבת ובמועד</v>
      </c>
    </row>
    <row r="4879" spans="1:6" x14ac:dyDescent="0.2">
      <c r="A4879" t="s">
        <v>9062</v>
      </c>
      <c r="B4879" t="s">
        <v>9063</v>
      </c>
      <c r="C4879" t="s">
        <v>624</v>
      </c>
      <c r="D4879" t="s">
        <v>14</v>
      </c>
      <c r="E4879" t="s">
        <v>1174</v>
      </c>
      <c r="F4879" s="2" t="str">
        <f>HYPERLINK("http://www.otzar.org/book.asp?173780","בטאון אוהב ישראל - 4 כר'")</f>
        <v>בטאון אוהב ישראל - 4 כר'</v>
      </c>
    </row>
    <row r="4880" spans="1:6" x14ac:dyDescent="0.2">
      <c r="A4880" t="s">
        <v>9064</v>
      </c>
      <c r="B4880" t="s">
        <v>9065</v>
      </c>
      <c r="C4880" t="s">
        <v>1570</v>
      </c>
      <c r="D4880" t="s">
        <v>52</v>
      </c>
      <c r="E4880" t="s">
        <v>202</v>
      </c>
      <c r="F4880" s="2" t="str">
        <f>HYPERLINK("http://www.otzar.org/book.asp?618583","בטאון הארגון - 2 כר'")</f>
        <v>בטאון הארגון - 2 כר'</v>
      </c>
    </row>
    <row r="4881" spans="1:6" x14ac:dyDescent="0.2">
      <c r="A4881" t="s">
        <v>9066</v>
      </c>
      <c r="B4881" t="s">
        <v>3824</v>
      </c>
      <c r="C4881" t="s">
        <v>9067</v>
      </c>
      <c r="D4881" t="s">
        <v>2504</v>
      </c>
      <c r="E4881" t="s">
        <v>202</v>
      </c>
      <c r="F4881" s="2" t="str">
        <f>HYPERLINK("http://www.otzar.org/book.asp?163543","בטאון חניכי ישיבת נר ישראל")</f>
        <v>בטאון חניכי ישיבת נר ישראל</v>
      </c>
    </row>
    <row r="4882" spans="1:6" x14ac:dyDescent="0.2">
      <c r="A4882" t="s">
        <v>9068</v>
      </c>
      <c r="B4882" t="s">
        <v>9069</v>
      </c>
      <c r="C4882" t="s">
        <v>454</v>
      </c>
      <c r="D4882" t="s">
        <v>52</v>
      </c>
      <c r="E4882" t="s">
        <v>1174</v>
      </c>
      <c r="F4882" s="2" t="str">
        <f>HYPERLINK("http://www.otzar.org/book.asp?623680","בטאון צעירי ויז'ניץ - 40 כר'")</f>
        <v>בטאון צעירי ויז'ניץ - 40 כר'</v>
      </c>
    </row>
    <row r="4883" spans="1:6" x14ac:dyDescent="0.2">
      <c r="A4883" t="s">
        <v>9070</v>
      </c>
      <c r="B4883" t="s">
        <v>9071</v>
      </c>
      <c r="C4883" t="s">
        <v>13</v>
      </c>
      <c r="D4883" t="s">
        <v>1356</v>
      </c>
      <c r="E4883" t="s">
        <v>1174</v>
      </c>
      <c r="F4883" s="2" t="str">
        <f>HYPERLINK("http://www.otzar.org/book.asp?605600","בטאון תפארת משה - 4 כר'")</f>
        <v>בטאון תפארת משה - 4 כר'</v>
      </c>
    </row>
    <row r="4884" spans="1:6" x14ac:dyDescent="0.2">
      <c r="A4884" t="s">
        <v>9072</v>
      </c>
      <c r="B4884" t="s">
        <v>5564</v>
      </c>
      <c r="C4884" t="s">
        <v>20</v>
      </c>
      <c r="D4884" t="s">
        <v>118</v>
      </c>
      <c r="E4884" t="s">
        <v>158</v>
      </c>
      <c r="F4884" s="2" t="str">
        <f>HYPERLINK("http://www.otzar.org/book.asp?159336","בטבעת המלך על מגילת אסתר")</f>
        <v>בטבעת המלך על מגילת אסתר</v>
      </c>
    </row>
    <row r="4885" spans="1:6" x14ac:dyDescent="0.2">
      <c r="A4885" t="s">
        <v>9073</v>
      </c>
      <c r="B4885" t="s">
        <v>9074</v>
      </c>
      <c r="C4885" t="s">
        <v>1160</v>
      </c>
      <c r="D4885" t="s">
        <v>52</v>
      </c>
      <c r="E4885" t="s">
        <v>733</v>
      </c>
      <c r="F4885" s="2" t="str">
        <f>HYPERLINK("http://www.otzar.org/book.asp?11108","בטוב ירושלים")</f>
        <v>בטוב ירושלים</v>
      </c>
    </row>
    <row r="4886" spans="1:6" x14ac:dyDescent="0.2">
      <c r="A4886" t="s">
        <v>9075</v>
      </c>
      <c r="B4886" t="s">
        <v>1750</v>
      </c>
      <c r="C4886" t="s">
        <v>454</v>
      </c>
      <c r="D4886" t="s">
        <v>14</v>
      </c>
      <c r="E4886" t="s">
        <v>202</v>
      </c>
      <c r="F4886" s="2" t="str">
        <f>HYPERLINK("http://www.otzar.org/book.asp?146437","בטוב צדיקים")</f>
        <v>בטוב צדיקים</v>
      </c>
    </row>
    <row r="4887" spans="1:6" x14ac:dyDescent="0.2">
      <c r="A4887" t="s">
        <v>9076</v>
      </c>
      <c r="B4887" t="s">
        <v>9077</v>
      </c>
      <c r="C4887" t="s">
        <v>51</v>
      </c>
      <c r="D4887" t="s">
        <v>14</v>
      </c>
      <c r="E4887" t="s">
        <v>241</v>
      </c>
      <c r="F4887" s="2" t="str">
        <f>HYPERLINK("http://www.otzar.org/book.asp?152258","בטחון איש")</f>
        <v>בטחון איש</v>
      </c>
    </row>
    <row r="4888" spans="1:6" x14ac:dyDescent="0.2">
      <c r="A4888" t="s">
        <v>9078</v>
      </c>
      <c r="B4888" t="s">
        <v>9079</v>
      </c>
      <c r="C4888" t="s">
        <v>133</v>
      </c>
      <c r="D4888" t="s">
        <v>14</v>
      </c>
      <c r="E4888" t="s">
        <v>241</v>
      </c>
      <c r="F4888" s="2" t="str">
        <f>HYPERLINK("http://www.otzar.org/book.asp?176600","בטחון והשתדלות (בתרגום אנגלית)")</f>
        <v>בטחון והשתדלות (בתרגום אנגלית)</v>
      </c>
    </row>
    <row r="4889" spans="1:6" x14ac:dyDescent="0.2">
      <c r="A4889" t="s">
        <v>9080</v>
      </c>
      <c r="B4889" t="s">
        <v>9079</v>
      </c>
      <c r="C4889" t="s">
        <v>146</v>
      </c>
      <c r="D4889" t="s">
        <v>14</v>
      </c>
      <c r="E4889" t="s">
        <v>241</v>
      </c>
      <c r="F4889" s="2" t="str">
        <f>HYPERLINK("http://www.otzar.org/book.asp?154280","בטחון והשתדלות")</f>
        <v>בטחון והשתדלות</v>
      </c>
    </row>
    <row r="4890" spans="1:6" x14ac:dyDescent="0.2">
      <c r="A4890" t="s">
        <v>9081</v>
      </c>
      <c r="B4890" t="s">
        <v>4638</v>
      </c>
      <c r="C4890" t="s">
        <v>624</v>
      </c>
      <c r="D4890" t="s">
        <v>14</v>
      </c>
      <c r="E4890" t="s">
        <v>213</v>
      </c>
      <c r="F4890" s="2" t="str">
        <f>HYPERLINK("http://www.otzar.org/book.asp?619764","בטחון חי")</f>
        <v>בטחון חי</v>
      </c>
    </row>
    <row r="4891" spans="1:6" x14ac:dyDescent="0.2">
      <c r="A4891" t="s">
        <v>9082</v>
      </c>
      <c r="B4891" t="s">
        <v>9083</v>
      </c>
      <c r="C4891" t="s">
        <v>151</v>
      </c>
      <c r="D4891" t="s">
        <v>52</v>
      </c>
      <c r="E4891" t="s">
        <v>241</v>
      </c>
      <c r="F4891" s="2" t="str">
        <f>HYPERLINK("http://www.otzar.org/book.asp?621227","בטחוני בצורי הוא אוצרי")</f>
        <v>בטחוני בצורי הוא אוצרי</v>
      </c>
    </row>
    <row r="4892" spans="1:6" x14ac:dyDescent="0.2">
      <c r="A4892" t="s">
        <v>9084</v>
      </c>
      <c r="B4892" t="s">
        <v>9085</v>
      </c>
      <c r="C4892" t="s">
        <v>1388</v>
      </c>
      <c r="D4892" t="s">
        <v>14</v>
      </c>
      <c r="E4892" t="s">
        <v>15</v>
      </c>
      <c r="F4892" s="2" t="str">
        <f>HYPERLINK("http://www.otzar.org/book.asp?144008","בטיחות הבניה בהלכה")</f>
        <v>בטיחות הבניה בהלכה</v>
      </c>
    </row>
    <row r="4893" spans="1:6" x14ac:dyDescent="0.2">
      <c r="A4893" t="s">
        <v>9086</v>
      </c>
      <c r="B4893" t="s">
        <v>9087</v>
      </c>
      <c r="C4893" t="s">
        <v>13</v>
      </c>
      <c r="D4893" t="s">
        <v>412</v>
      </c>
      <c r="E4893" t="s">
        <v>158</v>
      </c>
      <c r="F4893" s="2" t="str">
        <f>HYPERLINK("http://www.otzar.org/book.asp?161374","בי חייא - 2 כר'")</f>
        <v>בי חייא - 2 כר'</v>
      </c>
    </row>
    <row r="4894" spans="1:6" x14ac:dyDescent="0.2">
      <c r="A4894" t="s">
        <v>9088</v>
      </c>
      <c r="B4894" t="s">
        <v>686</v>
      </c>
      <c r="C4894" t="s">
        <v>68</v>
      </c>
      <c r="D4894" t="s">
        <v>52</v>
      </c>
      <c r="E4894" t="s">
        <v>1164</v>
      </c>
      <c r="F4894" s="2" t="str">
        <f>HYPERLINK("http://www.otzar.org/book.asp?172424","בי מלכים - דרך אמונה")</f>
        <v>בי מלכים - דרך אמונה</v>
      </c>
    </row>
    <row r="4895" spans="1:6" x14ac:dyDescent="0.2">
      <c r="A4895" t="s">
        <v>9089</v>
      </c>
      <c r="B4895" t="s">
        <v>1821</v>
      </c>
      <c r="C4895" t="s">
        <v>9090</v>
      </c>
      <c r="D4895" t="s">
        <v>9091</v>
      </c>
      <c r="E4895" t="s">
        <v>9092</v>
      </c>
      <c r="F4895" s="2" t="str">
        <f>HYPERLINK("http://www.otzar.org/book.asp?5378","ביאור אגדות בבא קמא")</f>
        <v>ביאור אגדות בבא קמא</v>
      </c>
    </row>
    <row r="4896" spans="1:6" x14ac:dyDescent="0.2">
      <c r="A4896" t="s">
        <v>9093</v>
      </c>
      <c r="B4896" t="s">
        <v>9094</v>
      </c>
      <c r="C4896" t="s">
        <v>51</v>
      </c>
      <c r="D4896" t="s">
        <v>52</v>
      </c>
      <c r="E4896" t="s">
        <v>1211</v>
      </c>
      <c r="F4896" s="2" t="str">
        <f>HYPERLINK("http://www.otzar.org/book.asp?22625","ביאור אגדות חז""ל - 4 כר'")</f>
        <v>ביאור אגדות חז"ל - 4 כר'</v>
      </c>
    </row>
    <row r="4897" spans="1:6" x14ac:dyDescent="0.2">
      <c r="A4897" t="s">
        <v>9095</v>
      </c>
      <c r="B4897" t="s">
        <v>9096</v>
      </c>
      <c r="C4897" t="s">
        <v>180</v>
      </c>
      <c r="D4897" t="s">
        <v>14</v>
      </c>
      <c r="E4897" t="s">
        <v>15</v>
      </c>
      <c r="F4897" s="2" t="str">
        <f>HYPERLINK("http://www.otzar.org/book.asp?151246","ביאור דין טמא מת קודם טהרתו")</f>
        <v>ביאור דין טמא מת קודם טהרתו</v>
      </c>
    </row>
    <row r="4898" spans="1:6" x14ac:dyDescent="0.2">
      <c r="A4898" t="s">
        <v>9097</v>
      </c>
      <c r="B4898" t="s">
        <v>4211</v>
      </c>
      <c r="C4898" t="s">
        <v>68</v>
      </c>
      <c r="D4898" t="s">
        <v>14</v>
      </c>
      <c r="F4898" s="2" t="str">
        <f>HYPERLINK("http://www.otzar.org/book.asp?606151","ביאור דניאל, עזרא ונחמיה")</f>
        <v>ביאור דניאל, עזרא ונחמיה</v>
      </c>
    </row>
    <row r="4899" spans="1:6" x14ac:dyDescent="0.2">
      <c r="A4899" t="s">
        <v>9098</v>
      </c>
      <c r="B4899" t="s">
        <v>9099</v>
      </c>
      <c r="C4899" t="s">
        <v>422</v>
      </c>
      <c r="D4899" t="s">
        <v>14</v>
      </c>
      <c r="E4899" t="s">
        <v>172</v>
      </c>
      <c r="F4899" s="2" t="str">
        <f>HYPERLINK("http://www.otzar.org/book.asp?165141","ביאור הגר""א &lt;ברכת יוסף&gt; - הלכות חובל בחבירו")</f>
        <v>ביאור הגר"א &lt;ברכת יוסף&gt; - הלכות חובל בחבירו</v>
      </c>
    </row>
    <row r="4900" spans="1:6" x14ac:dyDescent="0.2">
      <c r="A4900" t="s">
        <v>9100</v>
      </c>
      <c r="B4900" t="s">
        <v>9099</v>
      </c>
      <c r="C4900" t="s">
        <v>1268</v>
      </c>
      <c r="D4900" t="s">
        <v>14</v>
      </c>
      <c r="E4900" t="s">
        <v>172</v>
      </c>
      <c r="F4900" s="2" t="str">
        <f>HYPERLINK("http://www.otzar.org/book.asp?165143","ביאור הגר""א &lt;נחפה בכסף&gt; - הלכות אבידה ומציאה")</f>
        <v>ביאור הגר"א &lt;נחפה בכסף&gt; - הלכות אבידה ומציאה</v>
      </c>
    </row>
    <row r="4901" spans="1:6" x14ac:dyDescent="0.2">
      <c r="A4901" t="s">
        <v>9101</v>
      </c>
      <c r="B4901" t="s">
        <v>9099</v>
      </c>
      <c r="C4901" t="s">
        <v>1268</v>
      </c>
      <c r="D4901" t="s">
        <v>14</v>
      </c>
      <c r="E4901" t="s">
        <v>172</v>
      </c>
      <c r="F4901" s="2" t="str">
        <f>HYPERLINK("http://www.otzar.org/book.asp?165142","ביאור הגר""א &lt;עדות ביהוסף&gt; - הלכות עדות")</f>
        <v>ביאור הגר"א &lt;עדות ביהוסף&gt; - הלכות עדות</v>
      </c>
    </row>
    <row r="4902" spans="1:6" x14ac:dyDescent="0.2">
      <c r="A4902" t="s">
        <v>9102</v>
      </c>
      <c r="B4902" t="s">
        <v>9103</v>
      </c>
      <c r="C4902" t="s">
        <v>422</v>
      </c>
      <c r="D4902" t="s">
        <v>14</v>
      </c>
      <c r="E4902" t="s">
        <v>837</v>
      </c>
      <c r="F4902" s="2" t="str">
        <f>HYPERLINK("http://www.otzar.org/book.asp?64383","ביאור הגר""א &lt;ברכת אליהו&gt; - 29 כר'")</f>
        <v>ביאור הגר"א &lt;ברכת אליהו&gt; - 29 כר'</v>
      </c>
    </row>
    <row r="4903" spans="1:6" x14ac:dyDescent="0.2">
      <c r="A4903" t="s">
        <v>9104</v>
      </c>
      <c r="B4903" t="s">
        <v>1821</v>
      </c>
      <c r="C4903" t="s">
        <v>624</v>
      </c>
      <c r="D4903" t="s">
        <v>412</v>
      </c>
      <c r="E4903" t="s">
        <v>43</v>
      </c>
      <c r="F4903" s="2" t="str">
        <f>HYPERLINK("http://www.otzar.org/book.asp?189412","ביאור הגר""א לספרא דצניעותא &lt;ע""פ כת""י&gt;")</f>
        <v>ביאור הגר"א לספרא דצניעותא &lt;ע"פ כת"י&gt;</v>
      </c>
    </row>
    <row r="4904" spans="1:6" x14ac:dyDescent="0.2">
      <c r="A4904" t="s">
        <v>9105</v>
      </c>
      <c r="B4904" t="s">
        <v>1821</v>
      </c>
      <c r="C4904" t="s">
        <v>624</v>
      </c>
      <c r="D4904" t="s">
        <v>52</v>
      </c>
      <c r="E4904" t="s">
        <v>43</v>
      </c>
      <c r="F4904" s="2" t="str">
        <f>HYPERLINK("http://www.otzar.org/book.asp?60029","ביאור הגר""א על תוספתא מסכת פרה")</f>
        <v>ביאור הגר"א על תוספתא מסכת פרה</v>
      </c>
    </row>
    <row r="4905" spans="1:6" x14ac:dyDescent="0.2">
      <c r="A4905" t="s">
        <v>9106</v>
      </c>
      <c r="B4905" t="s">
        <v>1821</v>
      </c>
      <c r="C4905" t="s">
        <v>13</v>
      </c>
      <c r="D4905" t="s">
        <v>2285</v>
      </c>
      <c r="E4905" t="s">
        <v>872</v>
      </c>
      <c r="F4905" s="2" t="str">
        <f>HYPERLINK("http://www.otzar.org/book.asp?62867","ביאור הגר""א - הלכות סוכה")</f>
        <v>ביאור הגר"א - הלכות סוכה</v>
      </c>
    </row>
    <row r="4906" spans="1:6" x14ac:dyDescent="0.2">
      <c r="A4906" t="s">
        <v>9107</v>
      </c>
      <c r="B4906" t="s">
        <v>4112</v>
      </c>
      <c r="C4906" t="s">
        <v>133</v>
      </c>
      <c r="D4906" t="s">
        <v>52</v>
      </c>
      <c r="F4906" s="2" t="str">
        <f>HYPERLINK("http://www.otzar.org/book.asp?610692","ביאור ההגדה - מלך שהשלום שלו")</f>
        <v>ביאור ההגדה - מלך שהשלום שלו</v>
      </c>
    </row>
    <row r="4907" spans="1:6" x14ac:dyDescent="0.2">
      <c r="A4907" t="s">
        <v>9108</v>
      </c>
      <c r="B4907" t="s">
        <v>1014</v>
      </c>
      <c r="C4907" t="s">
        <v>224</v>
      </c>
      <c r="D4907" t="s">
        <v>27</v>
      </c>
      <c r="E4907" t="s">
        <v>140</v>
      </c>
      <c r="F4907" s="2" t="str">
        <f>HYPERLINK("http://www.otzar.org/book.asp?179097","ביאור הליקוטים")</f>
        <v>ביאור הליקוטים</v>
      </c>
    </row>
    <row r="4908" spans="1:6" x14ac:dyDescent="0.2">
      <c r="A4908" t="s">
        <v>9109</v>
      </c>
      <c r="B4908" t="s">
        <v>9110</v>
      </c>
      <c r="C4908" t="s">
        <v>133</v>
      </c>
      <c r="D4908" t="s">
        <v>14</v>
      </c>
      <c r="E4908" t="s">
        <v>15</v>
      </c>
      <c r="F4908" s="2" t="str">
        <f>HYPERLINK("http://www.otzar.org/book.asp?181763","ביאור הלכתי בתקפו של הגיור ההמוני")</f>
        <v>ביאור הלכתי בתקפו של הגיור ההמוני</v>
      </c>
    </row>
    <row r="4909" spans="1:6" x14ac:dyDescent="0.2">
      <c r="A4909" t="s">
        <v>9111</v>
      </c>
      <c r="B4909" t="s">
        <v>9112</v>
      </c>
      <c r="C4909" t="s">
        <v>17</v>
      </c>
      <c r="D4909" t="s">
        <v>412</v>
      </c>
      <c r="E4909" t="s">
        <v>803</v>
      </c>
      <c r="F4909" s="2" t="str">
        <f>HYPERLINK("http://www.otzar.org/book.asp?162798","ביאור הסוגיות להלכות טריפות")</f>
        <v>ביאור הסוגיות להלכות טריפות</v>
      </c>
    </row>
    <row r="4910" spans="1:6" x14ac:dyDescent="0.2">
      <c r="A4910" t="s">
        <v>9113</v>
      </c>
      <c r="B4910" t="s">
        <v>9114</v>
      </c>
      <c r="C4910" t="s">
        <v>9115</v>
      </c>
      <c r="D4910" t="s">
        <v>3963</v>
      </c>
      <c r="E4910" t="s">
        <v>158</v>
      </c>
      <c r="F4910" s="2" t="str">
        <f>HYPERLINK("http://www.otzar.org/book.asp?53306","ביאור הרלב""ג לספר איוב")</f>
        <v>ביאור הרלב"ג לספר איוב</v>
      </c>
    </row>
    <row r="4911" spans="1:6" x14ac:dyDescent="0.2">
      <c r="A4911" t="s">
        <v>9116</v>
      </c>
      <c r="B4911" t="s">
        <v>1809</v>
      </c>
      <c r="C4911" t="s">
        <v>777</v>
      </c>
      <c r="D4911" t="s">
        <v>14</v>
      </c>
      <c r="E4911" t="s">
        <v>1517</v>
      </c>
      <c r="F4911" s="2" t="str">
        <f>HYPERLINK("http://www.otzar.org/book.asp?196567","ביאור השיר בר יוחאי")</f>
        <v>ביאור השיר בר יוחאי</v>
      </c>
    </row>
    <row r="4912" spans="1:6" x14ac:dyDescent="0.2">
      <c r="A4912" t="s">
        <v>9117</v>
      </c>
      <c r="B4912" t="s">
        <v>9118</v>
      </c>
      <c r="C4912" t="s">
        <v>151</v>
      </c>
      <c r="D4912" t="s">
        <v>1646</v>
      </c>
      <c r="F4912" s="2" t="str">
        <f>HYPERLINK("http://www.otzar.org/book.asp?622923","ביאור השלחן ערוך בסגנון המשנה ברורה (בצרפתית)")</f>
        <v>ביאור השלחן ערוך בסגנון המשנה ברורה (בצרפתית)</v>
      </c>
    </row>
    <row r="4913" spans="1:6" x14ac:dyDescent="0.2">
      <c r="A4913" t="s">
        <v>9119</v>
      </c>
      <c r="B4913" t="s">
        <v>9120</v>
      </c>
      <c r="C4913" t="s">
        <v>454</v>
      </c>
      <c r="D4913" t="s">
        <v>21</v>
      </c>
      <c r="E4913" t="s">
        <v>172</v>
      </c>
      <c r="F4913" s="2" t="str">
        <f>HYPERLINK("http://www.otzar.org/book.asp?601806","ביאור השלחן - 2 כר'")</f>
        <v>ביאור השלחן - 2 כר'</v>
      </c>
    </row>
    <row r="4914" spans="1:6" x14ac:dyDescent="0.2">
      <c r="A4914" t="s">
        <v>9121</v>
      </c>
      <c r="B4914" t="s">
        <v>3768</v>
      </c>
      <c r="C4914" t="s">
        <v>20</v>
      </c>
      <c r="D4914" t="s">
        <v>90</v>
      </c>
      <c r="E4914" t="s">
        <v>104</v>
      </c>
      <c r="F4914" s="2" t="str">
        <f>HYPERLINK("http://www.otzar.org/book.asp?605900","ביאור וליקוט בענין קץ אחרית הימים")</f>
        <v>ביאור וליקוט בענין קץ אחרית הימים</v>
      </c>
    </row>
    <row r="4915" spans="1:6" x14ac:dyDescent="0.2">
      <c r="A4915" t="s">
        <v>9122</v>
      </c>
      <c r="B4915" t="s">
        <v>6235</v>
      </c>
      <c r="C4915" t="s">
        <v>9123</v>
      </c>
      <c r="D4915" t="s">
        <v>947</v>
      </c>
      <c r="E4915" t="s">
        <v>158</v>
      </c>
      <c r="F4915" s="2" t="str">
        <f>HYPERLINK("http://www.otzar.org/book.asp?300297","ביאור ומדרש תורה")</f>
        <v>ביאור ומדרש תורה</v>
      </c>
    </row>
    <row r="4916" spans="1:6" x14ac:dyDescent="0.2">
      <c r="A4916" t="s">
        <v>9124</v>
      </c>
      <c r="B4916" t="s">
        <v>9125</v>
      </c>
      <c r="C4916" t="s">
        <v>5544</v>
      </c>
      <c r="D4916" t="s">
        <v>1411</v>
      </c>
      <c r="E4916" t="s">
        <v>15</v>
      </c>
      <c r="F4916" s="2" t="str">
        <f>HYPERLINK("http://www.otzar.org/book.asp?167453","ביאור זה יצא ראשונה")</f>
        <v>ביאור זה יצא ראשונה</v>
      </c>
    </row>
    <row r="4917" spans="1:6" x14ac:dyDescent="0.2">
      <c r="A4917" t="s">
        <v>9126</v>
      </c>
      <c r="B4917" t="s">
        <v>9127</v>
      </c>
      <c r="C4917" t="s">
        <v>1096</v>
      </c>
      <c r="D4917" t="s">
        <v>56</v>
      </c>
      <c r="E4917" t="s">
        <v>246</v>
      </c>
      <c r="F4917" s="2" t="str">
        <f>HYPERLINK("http://www.otzar.org/book.asp?26013","ביאור זכר יהוסף")</f>
        <v>ביאור זכר יהוסף</v>
      </c>
    </row>
    <row r="4918" spans="1:6" x14ac:dyDescent="0.2">
      <c r="A4918" t="s">
        <v>9128</v>
      </c>
      <c r="B4918" t="s">
        <v>9127</v>
      </c>
      <c r="C4918" t="s">
        <v>5466</v>
      </c>
      <c r="D4918" t="s">
        <v>56</v>
      </c>
      <c r="E4918" t="s">
        <v>158</v>
      </c>
      <c r="F4918" s="2" t="str">
        <f>HYPERLINK("http://www.otzar.org/book.asp?102599","ביאור חדש מהריז""ש - 3 כר'")</f>
        <v>ביאור חדש מהריז"ש - 3 כר'</v>
      </c>
    </row>
    <row r="4919" spans="1:6" x14ac:dyDescent="0.2">
      <c r="A4919" t="s">
        <v>9129</v>
      </c>
      <c r="B4919" t="s">
        <v>9130</v>
      </c>
      <c r="C4919" t="s">
        <v>244</v>
      </c>
      <c r="D4919" t="s">
        <v>80</v>
      </c>
      <c r="F4919" s="2" t="str">
        <f>HYPERLINK("http://www.otzar.org/book.asp?601043","ביאור חי - ביאור ברכת המזון")</f>
        <v>ביאור חי - ביאור ברכת המזון</v>
      </c>
    </row>
    <row r="4920" spans="1:6" x14ac:dyDescent="0.2">
      <c r="A4920" t="s">
        <v>9131</v>
      </c>
      <c r="B4920" t="s">
        <v>4211</v>
      </c>
      <c r="C4920" t="s">
        <v>111</v>
      </c>
      <c r="D4920" t="s">
        <v>14</v>
      </c>
      <c r="E4920" t="s">
        <v>158</v>
      </c>
      <c r="F4920" s="2" t="str">
        <f>HYPERLINK("http://www.otzar.org/book.asp?626570","ביאור חמש מגילות - 2 כר'")</f>
        <v>ביאור חמש מגילות - 2 כר'</v>
      </c>
    </row>
    <row r="4921" spans="1:6" x14ac:dyDescent="0.2">
      <c r="A4921" t="s">
        <v>9132</v>
      </c>
      <c r="B4921" t="s">
        <v>9133</v>
      </c>
      <c r="C4921" t="s">
        <v>395</v>
      </c>
      <c r="D4921" t="s">
        <v>283</v>
      </c>
      <c r="E4921" t="s">
        <v>104</v>
      </c>
      <c r="F4921" s="2" t="str">
        <f>HYPERLINK("http://www.otzar.org/book.asp?300295","ביאור לוח הכללי")</f>
        <v>ביאור לוח הכללי</v>
      </c>
    </row>
    <row r="4922" spans="1:6" x14ac:dyDescent="0.2">
      <c r="A4922" t="s">
        <v>9134</v>
      </c>
      <c r="B4922" t="s">
        <v>9135</v>
      </c>
      <c r="C4922" t="s">
        <v>1458</v>
      </c>
      <c r="D4922" t="s">
        <v>283</v>
      </c>
      <c r="E4922" t="s">
        <v>579</v>
      </c>
      <c r="F4922" s="2" t="str">
        <f>HYPERLINK("http://www.otzar.org/book.asp?188673","ביאור לפירוש הרמב""ן ז""ל על התורה")</f>
        <v>ביאור לפירוש הרמב"ן ז"ל על התורה</v>
      </c>
    </row>
    <row r="4923" spans="1:6" x14ac:dyDescent="0.2">
      <c r="A4923" t="s">
        <v>9136</v>
      </c>
      <c r="B4923" t="s">
        <v>4211</v>
      </c>
      <c r="C4923" t="s">
        <v>185</v>
      </c>
      <c r="D4923" t="s">
        <v>14</v>
      </c>
      <c r="F4923" s="2" t="str">
        <f>HYPERLINK("http://www.otzar.org/book.asp?632850","ביאור מגילת אסתר תליתאה")</f>
        <v>ביאור מגילת אסתר תליתאה</v>
      </c>
    </row>
    <row r="4924" spans="1:6" x14ac:dyDescent="0.2">
      <c r="A4924" t="s">
        <v>9137</v>
      </c>
      <c r="B4924" t="s">
        <v>9138</v>
      </c>
      <c r="C4924" t="s">
        <v>454</v>
      </c>
      <c r="D4924" t="s">
        <v>14</v>
      </c>
      <c r="E4924" t="s">
        <v>158</v>
      </c>
      <c r="F4924" s="2" t="str">
        <f>HYPERLINK("http://www.otzar.org/book.asp?175942","ביאור מגילת אסתר")</f>
        <v>ביאור מגילת אסתר</v>
      </c>
    </row>
    <row r="4925" spans="1:6" x14ac:dyDescent="0.2">
      <c r="A4925" t="s">
        <v>9139</v>
      </c>
      <c r="B4925" t="s">
        <v>1821</v>
      </c>
      <c r="C4925" t="s">
        <v>5823</v>
      </c>
      <c r="D4925" t="s">
        <v>27</v>
      </c>
      <c r="E4925" t="s">
        <v>158</v>
      </c>
      <c r="F4925" s="2" t="str">
        <f>HYPERLINK("http://www.otzar.org/book.asp?15979","ביאור מהגר""א על חבקוק")</f>
        <v>ביאור מהגר"א על חבקוק</v>
      </c>
    </row>
    <row r="4926" spans="1:6" x14ac:dyDescent="0.2">
      <c r="A4926" t="s">
        <v>9140</v>
      </c>
      <c r="B4926" t="s">
        <v>9141</v>
      </c>
      <c r="C4926" t="s">
        <v>1811</v>
      </c>
      <c r="D4926" t="s">
        <v>412</v>
      </c>
      <c r="E4926" t="s">
        <v>15</v>
      </c>
      <c r="F4926" s="2" t="str">
        <f>HYPERLINK("http://www.otzar.org/book.asp?10457","ביאור מהר""י קורקוס - קרבנות")</f>
        <v>ביאור מהר"י קורקוס - קרבנות</v>
      </c>
    </row>
    <row r="4927" spans="1:6" x14ac:dyDescent="0.2">
      <c r="A4927" t="s">
        <v>9142</v>
      </c>
      <c r="B4927" t="s">
        <v>1821</v>
      </c>
      <c r="C4927" t="s">
        <v>20</v>
      </c>
      <c r="D4927" t="s">
        <v>2347</v>
      </c>
      <c r="E4927" t="s">
        <v>158</v>
      </c>
      <c r="F4927" s="2" t="str">
        <f>HYPERLINK("http://www.otzar.org/book.asp?145124","ביאור מילים נרדפות להגר""א")</f>
        <v>ביאור מילים נרדפות להגר"א</v>
      </c>
    </row>
    <row r="4928" spans="1:6" x14ac:dyDescent="0.2">
      <c r="A4928" t="s">
        <v>9143</v>
      </c>
      <c r="B4928" t="s">
        <v>9144</v>
      </c>
      <c r="C4928" t="s">
        <v>896</v>
      </c>
      <c r="D4928" t="s">
        <v>8579</v>
      </c>
      <c r="E4928" t="s">
        <v>148</v>
      </c>
      <c r="F4928" s="2" t="str">
        <f>HYPERLINK("http://www.otzar.org/book.asp?100129","ביאור מנחם")</f>
        <v>ביאור מנחם</v>
      </c>
    </row>
    <row r="4929" spans="1:6" x14ac:dyDescent="0.2">
      <c r="A4929" t="s">
        <v>9145</v>
      </c>
      <c r="B4929" t="s">
        <v>9146</v>
      </c>
      <c r="C4929" t="s">
        <v>2269</v>
      </c>
      <c r="D4929" t="s">
        <v>535</v>
      </c>
      <c r="E4929" t="s">
        <v>15</v>
      </c>
      <c r="F4929" s="2" t="str">
        <f>HYPERLINK("http://www.otzar.org/book.asp?100190","ביאור מרדכי")</f>
        <v>ביאור מרדכי</v>
      </c>
    </row>
    <row r="4930" spans="1:6" x14ac:dyDescent="0.2">
      <c r="A4930" t="s">
        <v>9147</v>
      </c>
      <c r="B4930" t="s">
        <v>9148</v>
      </c>
      <c r="C4930" t="s">
        <v>68</v>
      </c>
      <c r="D4930" t="s">
        <v>4519</v>
      </c>
      <c r="E4930" t="s">
        <v>158</v>
      </c>
      <c r="F4930" s="2" t="str">
        <f>HYPERLINK("http://www.otzar.org/book.asp?154299","ביאור משה את התורה - 2 כר'")</f>
        <v>ביאור משה את התורה - 2 כר'</v>
      </c>
    </row>
    <row r="4931" spans="1:6" x14ac:dyDescent="0.2">
      <c r="A4931" t="s">
        <v>9149</v>
      </c>
      <c r="B4931" t="s">
        <v>4211</v>
      </c>
      <c r="C4931" t="s">
        <v>785</v>
      </c>
      <c r="D4931" t="s">
        <v>14</v>
      </c>
      <c r="E4931" t="s">
        <v>1847</v>
      </c>
      <c r="F4931" s="2" t="str">
        <f>HYPERLINK("http://www.otzar.org/book.asp?50100","ביאור משנה תורה")</f>
        <v>ביאור משנה תורה</v>
      </c>
    </row>
    <row r="4932" spans="1:6" x14ac:dyDescent="0.2">
      <c r="A4932" t="s">
        <v>9150</v>
      </c>
      <c r="B4932" t="s">
        <v>9151</v>
      </c>
      <c r="C4932" t="s">
        <v>133</v>
      </c>
      <c r="D4932" t="s">
        <v>14</v>
      </c>
      <c r="F4932" s="2" t="str">
        <f>HYPERLINK("http://www.otzar.org/book.asp?177065","ביאור נושאי הכלים על השו""ע - מילה וגירות")</f>
        <v>ביאור נושאי הכלים על השו"ע - מילה וגירות</v>
      </c>
    </row>
    <row r="4933" spans="1:6" x14ac:dyDescent="0.2">
      <c r="A4933" t="s">
        <v>9152</v>
      </c>
      <c r="B4933" t="s">
        <v>9153</v>
      </c>
      <c r="C4933" t="s">
        <v>133</v>
      </c>
      <c r="D4933" t="s">
        <v>152</v>
      </c>
      <c r="E4933" t="s">
        <v>144</v>
      </c>
      <c r="F4933" s="2" t="str">
        <f>HYPERLINK("http://www.otzar.org/book.asp?173977","ביאור סוגית רבי חנינא סגן הכהנים")</f>
        <v>ביאור סוגית רבי חנינא סגן הכהנים</v>
      </c>
    </row>
    <row r="4934" spans="1:6" x14ac:dyDescent="0.2">
      <c r="A4934" t="s">
        <v>9154</v>
      </c>
      <c r="B4934" t="s">
        <v>4211</v>
      </c>
      <c r="C4934" t="s">
        <v>68</v>
      </c>
      <c r="D4934" t="s">
        <v>14</v>
      </c>
      <c r="E4934" t="s">
        <v>158</v>
      </c>
      <c r="F4934" s="2" t="str">
        <f>HYPERLINK("http://www.otzar.org/book.asp?154248","ביאור ספר משלי")</f>
        <v>ביאור ספר משלי</v>
      </c>
    </row>
    <row r="4935" spans="1:6" x14ac:dyDescent="0.2">
      <c r="A4935" t="s">
        <v>9155</v>
      </c>
      <c r="B4935" t="s">
        <v>4211</v>
      </c>
      <c r="C4935" t="s">
        <v>13</v>
      </c>
      <c r="D4935" t="s">
        <v>14</v>
      </c>
      <c r="E4935" t="s">
        <v>1847</v>
      </c>
      <c r="F4935" s="2" t="str">
        <f>HYPERLINK("http://www.otzar.org/book.asp?60551","ביאור ספר תהלים - 2 כר'")</f>
        <v>ביאור ספר תהלים - 2 כר'</v>
      </c>
    </row>
    <row r="4936" spans="1:6" x14ac:dyDescent="0.2">
      <c r="A4936" t="s">
        <v>9156</v>
      </c>
      <c r="B4936" t="s">
        <v>1821</v>
      </c>
      <c r="C4936" t="s">
        <v>843</v>
      </c>
      <c r="D4936" t="s">
        <v>80</v>
      </c>
      <c r="E4936" t="s">
        <v>2088</v>
      </c>
      <c r="F4936" s="2" t="str">
        <f>HYPERLINK("http://www.otzar.org/book.asp?11613","ביאור על אגדות של רבה בר בר חנה וסבי דבי אתונא")</f>
        <v>ביאור על אגדות של רבה בר בר חנה וסבי דבי אתונא</v>
      </c>
    </row>
    <row r="4937" spans="1:6" x14ac:dyDescent="0.2">
      <c r="A4937" t="s">
        <v>9157</v>
      </c>
      <c r="B4937" t="s">
        <v>9158</v>
      </c>
      <c r="C4937" t="s">
        <v>9159</v>
      </c>
      <c r="D4937" t="s">
        <v>1490</v>
      </c>
      <c r="E4937" t="s">
        <v>219</v>
      </c>
      <c r="F4937" s="2" t="str">
        <f>HYPERLINK("http://www.otzar.org/book.asp?146926","ביאור על האזהרות")</f>
        <v>ביאור על האזהרות</v>
      </c>
    </row>
    <row r="4938" spans="1:6" x14ac:dyDescent="0.2">
      <c r="A4938" t="s">
        <v>9160</v>
      </c>
      <c r="B4938" t="s">
        <v>206</v>
      </c>
      <c r="C4938" t="s">
        <v>989</v>
      </c>
      <c r="D4938" t="s">
        <v>14</v>
      </c>
      <c r="E4938" t="s">
        <v>733</v>
      </c>
      <c r="F4938" s="2" t="str">
        <f>HYPERLINK("http://www.otzar.org/book.asp?156884","ביאור על העצמאות")</f>
        <v>ביאור על העצמאות</v>
      </c>
    </row>
    <row r="4939" spans="1:6" x14ac:dyDescent="0.2">
      <c r="A4939" t="s">
        <v>9161</v>
      </c>
      <c r="B4939" t="s">
        <v>1821</v>
      </c>
      <c r="C4939" t="s">
        <v>1278</v>
      </c>
      <c r="D4939" t="s">
        <v>9162</v>
      </c>
      <c r="E4939" t="s">
        <v>399</v>
      </c>
      <c r="F4939" s="2" t="str">
        <f>HYPERLINK("http://www.otzar.org/book.asp?12742","ביאור על הרעיא מהימנא")</f>
        <v>ביאור על הרעיא מהימנא</v>
      </c>
    </row>
    <row r="4940" spans="1:6" x14ac:dyDescent="0.2">
      <c r="A4940" t="s">
        <v>9163</v>
      </c>
      <c r="B4940" t="s">
        <v>9164</v>
      </c>
      <c r="C4940" t="s">
        <v>9165</v>
      </c>
      <c r="D4940" t="s">
        <v>9166</v>
      </c>
      <c r="F4940" s="2" t="str">
        <f>HYPERLINK("http://www.otzar.org/book.asp?611732","ביאור על התורה לרבינו בחיי")</f>
        <v>ביאור על התורה לרבינו בחיי</v>
      </c>
    </row>
    <row r="4941" spans="1:6" x14ac:dyDescent="0.2">
      <c r="A4941" t="s">
        <v>9167</v>
      </c>
      <c r="B4941" t="s">
        <v>8221</v>
      </c>
      <c r="C4941" t="s">
        <v>9168</v>
      </c>
      <c r="D4941" t="s">
        <v>49</v>
      </c>
      <c r="E4941" t="s">
        <v>104</v>
      </c>
      <c r="F4941" s="2" t="str">
        <f>HYPERLINK("http://www.otzar.org/book.asp?28453","ביאור על ספר מצות גדול")</f>
        <v>ביאור על ספר מצות גדול</v>
      </c>
    </row>
    <row r="4942" spans="1:6" x14ac:dyDescent="0.2">
      <c r="A4942" t="s">
        <v>9169</v>
      </c>
      <c r="B4942" t="s">
        <v>8221</v>
      </c>
      <c r="C4942" t="s">
        <v>8820</v>
      </c>
      <c r="D4942" t="s">
        <v>1576</v>
      </c>
      <c r="E4942" t="s">
        <v>15</v>
      </c>
      <c r="F4942" s="2" t="str">
        <f>HYPERLINK("http://www.otzar.org/book.asp?193397","ביאור על ספר שערי דורא")</f>
        <v>ביאור על ספר שערי דורא</v>
      </c>
    </row>
    <row r="4943" spans="1:6" x14ac:dyDescent="0.2">
      <c r="A4943" t="s">
        <v>9170</v>
      </c>
      <c r="B4943" t="s">
        <v>2804</v>
      </c>
      <c r="C4943" t="s">
        <v>1047</v>
      </c>
      <c r="D4943" t="s">
        <v>27</v>
      </c>
      <c r="E4943" t="s">
        <v>43</v>
      </c>
      <c r="F4943" s="2" t="str">
        <f>HYPERLINK("http://www.otzar.org/book.asp?13621","ביאור על פרק שירה &lt;זמרת הארץ ושמים&gt;")</f>
        <v>ביאור על פרק שירה &lt;זמרת הארץ ושמים&gt;</v>
      </c>
    </row>
    <row r="4944" spans="1:6" x14ac:dyDescent="0.2">
      <c r="A4944" t="s">
        <v>9171</v>
      </c>
      <c r="B4944" t="s">
        <v>8221</v>
      </c>
      <c r="C4944" t="s">
        <v>8222</v>
      </c>
      <c r="D4944" t="s">
        <v>744</v>
      </c>
      <c r="E4944" t="s">
        <v>158</v>
      </c>
      <c r="F4944" s="2" t="str">
        <f>HYPERLINK("http://www.otzar.org/book.asp?146717","ביאור על רש""י")</f>
        <v>ביאור על רש"י</v>
      </c>
    </row>
    <row r="4945" spans="1:6" x14ac:dyDescent="0.2">
      <c r="A4945" t="s">
        <v>9172</v>
      </c>
      <c r="B4945" t="s">
        <v>9173</v>
      </c>
      <c r="C4945" t="s">
        <v>20</v>
      </c>
      <c r="D4945" t="s">
        <v>90</v>
      </c>
      <c r="E4945" t="s">
        <v>158</v>
      </c>
      <c r="F4945" s="2" t="str">
        <f>HYPERLINK("http://www.otzar.org/book.asp?627846","ביאור עניני הנבואות וביאור המקראות בספר ירמיהו")</f>
        <v>ביאור עניני הנבואות וביאור המקראות בספר ירמיהו</v>
      </c>
    </row>
    <row r="4946" spans="1:6" x14ac:dyDescent="0.2">
      <c r="A4946" t="s">
        <v>9174</v>
      </c>
      <c r="B4946" t="s">
        <v>9175</v>
      </c>
      <c r="C4946" t="s">
        <v>71</v>
      </c>
      <c r="D4946" t="s">
        <v>14</v>
      </c>
      <c r="E4946" t="s">
        <v>399</v>
      </c>
      <c r="F4946" s="2" t="str">
        <f>HYPERLINK("http://www.otzar.org/book.asp?152245","ביאור עשר ספירות")</f>
        <v>ביאור עשר ספירות</v>
      </c>
    </row>
    <row r="4947" spans="1:6" x14ac:dyDescent="0.2">
      <c r="A4947" t="s">
        <v>9176</v>
      </c>
      <c r="B4947" t="s">
        <v>9177</v>
      </c>
      <c r="C4947" t="s">
        <v>1811</v>
      </c>
      <c r="D4947" t="s">
        <v>21</v>
      </c>
      <c r="E4947" t="s">
        <v>158</v>
      </c>
      <c r="F4947" s="2" t="str">
        <f>HYPERLINK("http://www.otzar.org/book.asp?192207","ביאור פירוש הרמב""ן ז""ל מהתורה - 2 כר'")</f>
        <v>ביאור פירוש הרמב"ן ז"ל מהתורה - 2 כר'</v>
      </c>
    </row>
    <row r="4948" spans="1:6" x14ac:dyDescent="0.2">
      <c r="A4948" t="s">
        <v>9178</v>
      </c>
      <c r="B4948" t="s">
        <v>9179</v>
      </c>
      <c r="C4948" t="s">
        <v>13</v>
      </c>
      <c r="D4948" t="s">
        <v>52</v>
      </c>
      <c r="E4948" t="s">
        <v>104</v>
      </c>
      <c r="F4948" s="2" t="str">
        <f>HYPERLINK("http://www.otzar.org/book.asp?623220","ביאור קצר על שלושים מצוות בני נח")</f>
        <v>ביאור קצר על שלושים מצוות בני נח</v>
      </c>
    </row>
    <row r="4949" spans="1:6" x14ac:dyDescent="0.2">
      <c r="A4949" t="s">
        <v>9180</v>
      </c>
      <c r="B4949" t="s">
        <v>9181</v>
      </c>
      <c r="C4949" t="s">
        <v>1246</v>
      </c>
      <c r="D4949" t="s">
        <v>9</v>
      </c>
      <c r="E4949" t="s">
        <v>144</v>
      </c>
      <c r="F4949" s="2" t="str">
        <f>HYPERLINK("http://www.otzar.org/book.asp?50871","ביאור ראובן")</f>
        <v>ביאור ראובן</v>
      </c>
    </row>
    <row r="4950" spans="1:6" x14ac:dyDescent="0.2">
      <c r="A4950" t="s">
        <v>9182</v>
      </c>
      <c r="B4950" t="s">
        <v>1665</v>
      </c>
      <c r="C4950" t="s">
        <v>523</v>
      </c>
      <c r="D4950" t="s">
        <v>14</v>
      </c>
      <c r="E4950" t="s">
        <v>158</v>
      </c>
      <c r="F4950" s="2" t="str">
        <f>HYPERLINK("http://www.otzar.org/book.asp?176748","ביאור רבי שמואל די אוזידא על מגילת אסתר")</f>
        <v>ביאור רבי שמואל די אוזידא על מגילת אסתר</v>
      </c>
    </row>
    <row r="4951" spans="1:6" x14ac:dyDescent="0.2">
      <c r="A4951" t="s">
        <v>9183</v>
      </c>
      <c r="B4951" t="s">
        <v>9114</v>
      </c>
      <c r="C4951" t="s">
        <v>9184</v>
      </c>
      <c r="D4951" t="s">
        <v>1411</v>
      </c>
      <c r="E4951" t="s">
        <v>158</v>
      </c>
      <c r="F4951" s="2" t="str">
        <f>HYPERLINK("http://www.otzar.org/book.asp?53307","ביאור רלב""ג על התורה &lt;דפו""ר&gt;")</f>
        <v>ביאור רלב"ג על התורה &lt;דפו"ר&gt;</v>
      </c>
    </row>
    <row r="4952" spans="1:6" x14ac:dyDescent="0.2">
      <c r="A4952" t="s">
        <v>9185</v>
      </c>
      <c r="B4952" t="s">
        <v>1552</v>
      </c>
      <c r="C4952" t="s">
        <v>1323</v>
      </c>
      <c r="D4952" t="s">
        <v>1324</v>
      </c>
      <c r="F4952" s="2" t="str">
        <f>HYPERLINK("http://www.otzar.org/book.asp?619162","ביאור רמב""ן על התורה")</f>
        <v>ביאור רמב"ן על התורה</v>
      </c>
    </row>
    <row r="4953" spans="1:6" x14ac:dyDescent="0.2">
      <c r="A4953" t="s">
        <v>9186</v>
      </c>
      <c r="B4953" t="s">
        <v>9187</v>
      </c>
      <c r="C4953" t="s">
        <v>523</v>
      </c>
      <c r="D4953" t="s">
        <v>52</v>
      </c>
      <c r="E4953" t="s">
        <v>15</v>
      </c>
      <c r="F4953" s="2" t="str">
        <f>HYPERLINK("http://www.otzar.org/book.asp?25901","ביאור שטרות הרשאה למכירת חמץ")</f>
        <v>ביאור שטרות הרשאה למכירת חמץ</v>
      </c>
    </row>
    <row r="4954" spans="1:6" x14ac:dyDescent="0.2">
      <c r="A4954" t="s">
        <v>9188</v>
      </c>
      <c r="B4954" t="s">
        <v>4211</v>
      </c>
      <c r="C4954" t="s">
        <v>68</v>
      </c>
      <c r="D4954" t="s">
        <v>14</v>
      </c>
      <c r="E4954" t="s">
        <v>158</v>
      </c>
      <c r="F4954" s="2" t="str">
        <f>HYPERLINK("http://www.otzar.org/book.asp?154249","ביאור שיר השירים, רות, קהלת, אסתר")</f>
        <v>ביאור שיר השירים, רות, קהלת, אסתר</v>
      </c>
    </row>
    <row r="4955" spans="1:6" x14ac:dyDescent="0.2">
      <c r="A4955" t="s">
        <v>9189</v>
      </c>
      <c r="B4955" t="s">
        <v>1320</v>
      </c>
      <c r="C4955" t="s">
        <v>1202</v>
      </c>
      <c r="D4955" t="s">
        <v>4352</v>
      </c>
      <c r="E4955" t="s">
        <v>104</v>
      </c>
      <c r="F4955" s="2" t="str">
        <f>HYPERLINK("http://www.otzar.org/book.asp?24890","ביאור שמות קדש וחול")</f>
        <v>ביאור שמות קדש וחול</v>
      </c>
    </row>
    <row r="4956" spans="1:6" x14ac:dyDescent="0.2">
      <c r="A4956" t="s">
        <v>9190</v>
      </c>
      <c r="B4956" t="s">
        <v>4211</v>
      </c>
      <c r="C4956" t="s">
        <v>422</v>
      </c>
      <c r="D4956" t="s">
        <v>14</v>
      </c>
      <c r="E4956" t="s">
        <v>158</v>
      </c>
      <c r="F4956" s="2" t="str">
        <f>HYPERLINK("http://www.otzar.org/book.asp?63977","ביאור תרי עשר")</f>
        <v>ביאור תרי עשר</v>
      </c>
    </row>
    <row r="4957" spans="1:6" x14ac:dyDescent="0.2">
      <c r="A4957" t="s">
        <v>9191</v>
      </c>
      <c r="B4957" t="s">
        <v>4840</v>
      </c>
      <c r="C4957" t="s">
        <v>1535</v>
      </c>
      <c r="D4957" t="s">
        <v>27</v>
      </c>
      <c r="E4957" t="s">
        <v>579</v>
      </c>
      <c r="F4957" s="2" t="str">
        <f>HYPERLINK("http://www.otzar.org/book.asp?153550","ביאור תשעים מלות בודדות בתנ""כ")</f>
        <v>ביאור תשעים מלות בודדות בתנ"כ</v>
      </c>
    </row>
    <row r="4958" spans="1:6" x14ac:dyDescent="0.2">
      <c r="A4958" t="s">
        <v>9192</v>
      </c>
      <c r="B4958" t="s">
        <v>3941</v>
      </c>
      <c r="C4958" t="s">
        <v>9193</v>
      </c>
      <c r="D4958" t="s">
        <v>744</v>
      </c>
      <c r="F4958" s="2" t="str">
        <f>HYPERLINK("http://www.otzar.org/book.asp?152402","ביאור")</f>
        <v>ביאור</v>
      </c>
    </row>
    <row r="4959" spans="1:6" x14ac:dyDescent="0.2">
      <c r="A4959" t="s">
        <v>9194</v>
      </c>
      <c r="B4959" t="s">
        <v>9195</v>
      </c>
      <c r="C4959" t="s">
        <v>422</v>
      </c>
      <c r="D4959" t="s">
        <v>14</v>
      </c>
      <c r="E4959" t="s">
        <v>144</v>
      </c>
      <c r="F4959" s="2" t="str">
        <f>HYPERLINK("http://www.otzar.org/book.asp?163688","ביאורי אברהם - 3 כר'")</f>
        <v>ביאורי אברהם - 3 כר'</v>
      </c>
    </row>
    <row r="4960" spans="1:6" x14ac:dyDescent="0.2">
      <c r="A4960" t="s">
        <v>9196</v>
      </c>
      <c r="B4960" t="s">
        <v>1557</v>
      </c>
      <c r="C4960" t="s">
        <v>244</v>
      </c>
      <c r="D4960" t="s">
        <v>152</v>
      </c>
      <c r="F4960" s="2" t="str">
        <f>HYPERLINK("http://www.otzar.org/book.asp?610308","ביאורי אגדות מהגר""א - מגילה")</f>
        <v>ביאורי אגדות מהגר"א - מגילה</v>
      </c>
    </row>
    <row r="4961" spans="1:6" x14ac:dyDescent="0.2">
      <c r="A4961" t="s">
        <v>9197</v>
      </c>
      <c r="B4961" t="s">
        <v>1821</v>
      </c>
      <c r="C4961" t="s">
        <v>896</v>
      </c>
      <c r="D4961" t="s">
        <v>283</v>
      </c>
      <c r="E4961" t="s">
        <v>9198</v>
      </c>
      <c r="F4961" s="2" t="str">
        <f>HYPERLINK("http://www.otzar.org/book.asp?12156","ביאורי אגדות")</f>
        <v>ביאורי אגדות</v>
      </c>
    </row>
    <row r="4962" spans="1:6" x14ac:dyDescent="0.2">
      <c r="A4962" t="s">
        <v>9199</v>
      </c>
      <c r="B4962" t="s">
        <v>9200</v>
      </c>
      <c r="C4962" t="s">
        <v>429</v>
      </c>
      <c r="D4962" t="s">
        <v>790</v>
      </c>
      <c r="E4962" t="s">
        <v>158</v>
      </c>
      <c r="F4962" s="2" t="str">
        <f>HYPERLINK("http://www.otzar.org/book.asp?14137","ביאורי אונקלוס")</f>
        <v>ביאורי אונקלוס</v>
      </c>
    </row>
    <row r="4963" spans="1:6" x14ac:dyDescent="0.2">
      <c r="A4963" t="s">
        <v>9201</v>
      </c>
      <c r="B4963" t="s">
        <v>9202</v>
      </c>
      <c r="C4963" t="s">
        <v>13</v>
      </c>
      <c r="D4963" t="s">
        <v>367</v>
      </c>
      <c r="E4963" t="s">
        <v>15</v>
      </c>
      <c r="F4963" s="2" t="str">
        <f>HYPERLINK("http://www.otzar.org/book.asp?608266","ביאורי דעת - 2 כר'")</f>
        <v>ביאורי דעת - 2 כר'</v>
      </c>
    </row>
    <row r="4964" spans="1:6" x14ac:dyDescent="0.2">
      <c r="A4964" t="s">
        <v>9203</v>
      </c>
      <c r="B4964" t="s">
        <v>9204</v>
      </c>
      <c r="C4964" t="s">
        <v>466</v>
      </c>
      <c r="D4964" t="s">
        <v>14</v>
      </c>
      <c r="E4964" t="s">
        <v>2075</v>
      </c>
      <c r="F4964" s="2" t="str">
        <f>HYPERLINK("http://www.otzar.org/book.asp?15425","ביאורי הב""ח לפרדס רימונים")</f>
        <v>ביאורי הב"ח לפרדס רימונים</v>
      </c>
    </row>
    <row r="4965" spans="1:6" x14ac:dyDescent="0.2">
      <c r="A4965" t="s">
        <v>9205</v>
      </c>
      <c r="B4965" t="s">
        <v>9206</v>
      </c>
      <c r="C4965" t="s">
        <v>133</v>
      </c>
      <c r="D4965" t="s">
        <v>21</v>
      </c>
      <c r="E4965" t="s">
        <v>144</v>
      </c>
      <c r="F4965" s="2" t="str">
        <f>HYPERLINK("http://www.otzar.org/book.asp?199745","ביאורי הגר""א על אגדות מסכת ברכות עם ביאורים")</f>
        <v>ביאורי הגר"א על אגדות מסכת ברכות עם ביאורים</v>
      </c>
    </row>
    <row r="4966" spans="1:6" x14ac:dyDescent="0.2">
      <c r="A4966" t="s">
        <v>9207</v>
      </c>
      <c r="B4966" t="s">
        <v>9208</v>
      </c>
      <c r="C4966" t="s">
        <v>189</v>
      </c>
      <c r="D4966" t="s">
        <v>52</v>
      </c>
      <c r="E4966" t="s">
        <v>144</v>
      </c>
      <c r="F4966" s="2" t="str">
        <f>HYPERLINK("http://www.otzar.org/book.asp?51998","ביאורי הדף - 17 כר'")</f>
        <v>ביאורי הדף - 17 כר'</v>
      </c>
    </row>
    <row r="4967" spans="1:6" x14ac:dyDescent="0.2">
      <c r="A4967" t="s">
        <v>9209</v>
      </c>
      <c r="B4967" t="s">
        <v>3227</v>
      </c>
      <c r="C4967" t="s">
        <v>168</v>
      </c>
      <c r="D4967" t="s">
        <v>14</v>
      </c>
      <c r="E4967" t="s">
        <v>1847</v>
      </c>
      <c r="F4967" s="2" t="str">
        <f>HYPERLINK("http://www.otzar.org/book.asp?16471","ביאורי המקובלים בנגלה - 2 כר'")</f>
        <v>ביאורי המקובלים בנגלה - 2 כר'</v>
      </c>
    </row>
    <row r="4968" spans="1:6" x14ac:dyDescent="0.2">
      <c r="A4968" t="s">
        <v>9210</v>
      </c>
      <c r="B4968" t="s">
        <v>9211</v>
      </c>
      <c r="C4968" t="s">
        <v>523</v>
      </c>
      <c r="D4968" t="s">
        <v>14</v>
      </c>
      <c r="E4968" t="s">
        <v>172</v>
      </c>
      <c r="F4968" s="2" t="str">
        <f>HYPERLINK("http://www.otzar.org/book.asp?154348","ביאורי המשפט - זכרון אליהו ב")</f>
        <v>ביאורי המשפט - זכרון אליהו ב</v>
      </c>
    </row>
    <row r="4969" spans="1:6" x14ac:dyDescent="0.2">
      <c r="A4969" t="s">
        <v>9212</v>
      </c>
      <c r="B4969" t="s">
        <v>9213</v>
      </c>
      <c r="C4969" t="s">
        <v>13</v>
      </c>
      <c r="D4969" t="s">
        <v>14</v>
      </c>
      <c r="E4969" t="s">
        <v>15</v>
      </c>
      <c r="F4969" s="2" t="str">
        <f>HYPERLINK("http://www.otzar.org/book.asp?61759","ביאורי השבת - 4 כר'")</f>
        <v>ביאורי השבת - 4 כר'</v>
      </c>
    </row>
    <row r="4970" spans="1:6" x14ac:dyDescent="0.2">
      <c r="A4970" t="s">
        <v>9214</v>
      </c>
      <c r="B4970" t="s">
        <v>9215</v>
      </c>
      <c r="C4970" t="s">
        <v>313</v>
      </c>
      <c r="E4970" t="s">
        <v>144</v>
      </c>
      <c r="F4970" s="2" t="str">
        <f>HYPERLINK("http://www.otzar.org/book.asp?52837","ביאורי השיטות - 2 כר'")</f>
        <v>ביאורי השיטות - 2 כר'</v>
      </c>
    </row>
    <row r="4971" spans="1:6" x14ac:dyDescent="0.2">
      <c r="A4971" t="s">
        <v>9216</v>
      </c>
      <c r="B4971" t="s">
        <v>9217</v>
      </c>
      <c r="C4971" t="s">
        <v>366</v>
      </c>
      <c r="D4971" t="s">
        <v>14</v>
      </c>
      <c r="F4971" s="2" t="str">
        <f>HYPERLINK("http://www.otzar.org/book.asp?613880","ביאורי השיטות - 3 כר'")</f>
        <v>ביאורי השיטות - 3 כר'</v>
      </c>
    </row>
    <row r="4972" spans="1:6" x14ac:dyDescent="0.2">
      <c r="A4972" t="s">
        <v>9218</v>
      </c>
      <c r="B4972" t="s">
        <v>9219</v>
      </c>
      <c r="C4972" t="s">
        <v>244</v>
      </c>
      <c r="D4972" t="s">
        <v>412</v>
      </c>
      <c r="E4972" t="s">
        <v>158</v>
      </c>
      <c r="F4972" s="2" t="str">
        <f>HYPERLINK("http://www.otzar.org/book.asp?196097","ביאורי ופירושי רבינו מהר""ל מפראג על התורה - 5 כר'")</f>
        <v>ביאורי ופירושי רבינו מהר"ל מפראג על התורה - 5 כר'</v>
      </c>
    </row>
    <row r="4973" spans="1:6" x14ac:dyDescent="0.2">
      <c r="A4973" t="s">
        <v>9220</v>
      </c>
      <c r="B4973" t="s">
        <v>9141</v>
      </c>
      <c r="C4973" t="s">
        <v>63</v>
      </c>
      <c r="D4973" t="s">
        <v>14</v>
      </c>
      <c r="E4973" t="s">
        <v>15</v>
      </c>
      <c r="F4973" s="2" t="str">
        <f>HYPERLINK("http://www.otzar.org/book.asp?171507","ביאורי מהר""י קורקוס והרדב""ז - 2 כר'")</f>
        <v>ביאורי מהר"י קורקוס והרדב"ז - 2 כר'</v>
      </c>
    </row>
    <row r="4974" spans="1:6" x14ac:dyDescent="0.2">
      <c r="A4974" t="s">
        <v>9221</v>
      </c>
      <c r="B4974" t="s">
        <v>3941</v>
      </c>
      <c r="C4974" t="s">
        <v>411</v>
      </c>
      <c r="D4974" t="s">
        <v>14</v>
      </c>
      <c r="E4974" t="s">
        <v>144</v>
      </c>
      <c r="F4974" s="2" t="str">
        <f>HYPERLINK("http://www.otzar.org/book.asp?173272","ביאורי מהר""ל על מסכת ברכות")</f>
        <v>ביאורי מהר"ל על מסכת ברכות</v>
      </c>
    </row>
    <row r="4975" spans="1:6" x14ac:dyDescent="0.2">
      <c r="A4975" t="s">
        <v>9222</v>
      </c>
      <c r="B4975" t="s">
        <v>9223</v>
      </c>
      <c r="C4975" t="s">
        <v>576</v>
      </c>
      <c r="D4975" t="s">
        <v>9224</v>
      </c>
      <c r="E4975" t="s">
        <v>158</v>
      </c>
      <c r="F4975" s="2" t="str">
        <f>HYPERLINK("http://www.otzar.org/book.asp?14071","ביאורי מהרא""י &lt;יריעות שלמה&gt;")</f>
        <v>ביאורי מהרא"י &lt;יריעות שלמה&gt;</v>
      </c>
    </row>
    <row r="4976" spans="1:6" x14ac:dyDescent="0.2">
      <c r="A4976" t="s">
        <v>9225</v>
      </c>
      <c r="B4976" t="s">
        <v>9226</v>
      </c>
      <c r="C4976" t="s">
        <v>725</v>
      </c>
      <c r="E4976" t="s">
        <v>474</v>
      </c>
      <c r="F4976" s="2" t="str">
        <f>HYPERLINK("http://www.otzar.org/book.asp?52491","ביאורי מהרא""י איסרלן - 3 כר'")</f>
        <v>ביאורי מהרא"י איסרלן - 3 כר'</v>
      </c>
    </row>
    <row r="4977" spans="1:6" x14ac:dyDescent="0.2">
      <c r="A4977" t="s">
        <v>9227</v>
      </c>
      <c r="B4977" t="s">
        <v>9226</v>
      </c>
      <c r="C4977" t="s">
        <v>20</v>
      </c>
      <c r="D4977" t="s">
        <v>486</v>
      </c>
      <c r="E4977" t="s">
        <v>158</v>
      </c>
      <c r="F4977" s="2" t="str">
        <f>HYPERLINK("http://www.otzar.org/book.asp?156234","ביאורי מהרא""י")</f>
        <v>ביאורי מהרא"י</v>
      </c>
    </row>
    <row r="4978" spans="1:6" x14ac:dyDescent="0.2">
      <c r="A4978" t="s">
        <v>9228</v>
      </c>
      <c r="B4978" t="s">
        <v>9229</v>
      </c>
      <c r="C4978" t="s">
        <v>313</v>
      </c>
      <c r="D4978" t="s">
        <v>14</v>
      </c>
      <c r="E4978" t="s">
        <v>144</v>
      </c>
      <c r="F4978" s="2" t="str">
        <f>HYPERLINK("http://www.otzar.org/book.asp?51178","ביאורי מרובה")</f>
        <v>ביאורי מרובה</v>
      </c>
    </row>
    <row r="4979" spans="1:6" x14ac:dyDescent="0.2">
      <c r="A4979" t="s">
        <v>9230</v>
      </c>
      <c r="B4979" t="s">
        <v>9231</v>
      </c>
      <c r="C4979" t="s">
        <v>146</v>
      </c>
      <c r="D4979" t="s">
        <v>14</v>
      </c>
      <c r="E4979" t="s">
        <v>144</v>
      </c>
      <c r="F4979" s="2" t="str">
        <f>HYPERLINK("http://www.otzar.org/book.asp?25931","ביאורי משנה ברורה - 2 כר'")</f>
        <v>ביאורי משנה ברורה - 2 כר'</v>
      </c>
    </row>
    <row r="4980" spans="1:6" x14ac:dyDescent="0.2">
      <c r="A4980" t="s">
        <v>9232</v>
      </c>
      <c r="B4980" t="s">
        <v>9233</v>
      </c>
      <c r="C4980" t="s">
        <v>111</v>
      </c>
      <c r="D4980" t="s">
        <v>152</v>
      </c>
      <c r="E4980" t="s">
        <v>172</v>
      </c>
      <c r="F4980" s="2" t="str">
        <f>HYPERLINK("http://www.otzar.org/book.asp?627469","ביאורי משפט - 2 כר'")</f>
        <v>ביאורי משפט - 2 כר'</v>
      </c>
    </row>
    <row r="4981" spans="1:6" x14ac:dyDescent="0.2">
      <c r="A4981" t="s">
        <v>9234</v>
      </c>
      <c r="B4981" t="s">
        <v>1750</v>
      </c>
      <c r="C4981" t="s">
        <v>129</v>
      </c>
      <c r="D4981" t="s">
        <v>14</v>
      </c>
      <c r="E4981" t="s">
        <v>202</v>
      </c>
      <c r="F4981" s="2" t="str">
        <f>HYPERLINK("http://www.otzar.org/book.asp?627735","ביאורי סוגיות אהל דוד - פסחים")</f>
        <v>ביאורי סוגיות אהל דוד - פסחים</v>
      </c>
    </row>
    <row r="4982" spans="1:6" x14ac:dyDescent="0.2">
      <c r="A4982" t="s">
        <v>9235</v>
      </c>
      <c r="B4982" t="s">
        <v>4019</v>
      </c>
      <c r="C4982" t="s">
        <v>13</v>
      </c>
      <c r="D4982" t="s">
        <v>14</v>
      </c>
      <c r="E4982" t="s">
        <v>144</v>
      </c>
      <c r="F4982" s="2" t="str">
        <f>HYPERLINK("http://www.otzar.org/book.asp?168389","ביאורי סוגיות בעניני שעבודים")</f>
        <v>ביאורי סוגיות בעניני שעבודים</v>
      </c>
    </row>
    <row r="4983" spans="1:6" x14ac:dyDescent="0.2">
      <c r="A4983" t="s">
        <v>9236</v>
      </c>
      <c r="B4983" t="s">
        <v>206</v>
      </c>
      <c r="C4983" t="s">
        <v>20</v>
      </c>
      <c r="D4983" t="s">
        <v>90</v>
      </c>
      <c r="E4983" t="s">
        <v>144</v>
      </c>
      <c r="F4983" s="2" t="str">
        <f>HYPERLINK("http://www.otzar.org/book.asp?627294","ביאורי סוגיות - 2 כר'")</f>
        <v>ביאורי סוגיות - 2 כר'</v>
      </c>
    </row>
    <row r="4984" spans="1:6" x14ac:dyDescent="0.2">
      <c r="A4984" t="s">
        <v>9237</v>
      </c>
      <c r="B4984" t="s">
        <v>9208</v>
      </c>
      <c r="C4984" t="s">
        <v>114</v>
      </c>
      <c r="D4984" t="s">
        <v>52</v>
      </c>
      <c r="F4984" s="2" t="str">
        <f>HYPERLINK("http://www.otzar.org/book.asp?85888","ביאורי סוגיות - 37 כר'")</f>
        <v>ביאורי סוגיות - 37 כר'</v>
      </c>
    </row>
    <row r="4985" spans="1:6" x14ac:dyDescent="0.2">
      <c r="A4985" t="s">
        <v>9238</v>
      </c>
      <c r="B4985" t="s">
        <v>9239</v>
      </c>
      <c r="C4985" t="s">
        <v>111</v>
      </c>
      <c r="D4985" t="s">
        <v>152</v>
      </c>
      <c r="E4985" t="s">
        <v>144</v>
      </c>
      <c r="F4985" s="2" t="str">
        <f>HYPERLINK("http://www.otzar.org/book.asp?629819","ביאורי סוגיות - ב""ק")</f>
        <v>ביאורי סוגיות - ב"ק</v>
      </c>
    </row>
    <row r="4986" spans="1:6" x14ac:dyDescent="0.2">
      <c r="A4986" t="s">
        <v>9240</v>
      </c>
      <c r="B4986" t="s">
        <v>9229</v>
      </c>
      <c r="C4986" t="s">
        <v>466</v>
      </c>
      <c r="D4986" t="s">
        <v>14</v>
      </c>
      <c r="E4986" t="s">
        <v>424</v>
      </c>
      <c r="F4986" s="2" t="str">
        <f>HYPERLINK("http://www.otzar.org/book.asp?51179","ביאורי עדות")</f>
        <v>ביאורי עדות</v>
      </c>
    </row>
    <row r="4987" spans="1:6" x14ac:dyDescent="0.2">
      <c r="A4987" t="s">
        <v>9241</v>
      </c>
      <c r="B4987" t="s">
        <v>9242</v>
      </c>
      <c r="C4987" t="s">
        <v>366</v>
      </c>
      <c r="D4987" t="s">
        <v>657</v>
      </c>
      <c r="F4987" s="2" t="str">
        <f>HYPERLINK("http://www.otzar.org/book.asp?603671","ביאורי על הניסים לחנוכה")</f>
        <v>ביאורי על הניסים לחנוכה</v>
      </c>
    </row>
    <row r="4988" spans="1:6" x14ac:dyDescent="0.2">
      <c r="A4988" t="s">
        <v>9243</v>
      </c>
      <c r="B4988" t="s">
        <v>8249</v>
      </c>
      <c r="C4988" t="s">
        <v>366</v>
      </c>
      <c r="D4988" t="s">
        <v>52</v>
      </c>
      <c r="F4988" s="2" t="str">
        <f>HYPERLINK("http://www.otzar.org/book.asp?610267","ביאורי ענינים - 2 כר'")</f>
        <v>ביאורי ענינים - 2 כר'</v>
      </c>
    </row>
    <row r="4989" spans="1:6" x14ac:dyDescent="0.2">
      <c r="A4989" t="s">
        <v>9244</v>
      </c>
      <c r="B4989" t="s">
        <v>1465</v>
      </c>
      <c r="C4989" t="s">
        <v>940</v>
      </c>
      <c r="D4989" t="s">
        <v>14</v>
      </c>
      <c r="E4989" t="s">
        <v>9245</v>
      </c>
      <c r="F4989" s="2" t="str">
        <f>HYPERLINK("http://www.otzar.org/book.asp?7257","ביאורי רבינו חיים מוולאזין")</f>
        <v>ביאורי רבינו חיים מוולאזין</v>
      </c>
    </row>
    <row r="4990" spans="1:6" x14ac:dyDescent="0.2">
      <c r="A4990" t="s">
        <v>9246</v>
      </c>
      <c r="B4990" t="s">
        <v>599</v>
      </c>
      <c r="C4990" t="s">
        <v>20</v>
      </c>
      <c r="D4990" t="s">
        <v>2285</v>
      </c>
      <c r="E4990" t="s">
        <v>158</v>
      </c>
      <c r="F4990" s="2" t="str">
        <f>HYPERLINK("http://www.otzar.org/book.asp?197388","ביאורי רבנו בן איש חי - משלי")</f>
        <v>ביאורי רבנו בן איש חי - משלי</v>
      </c>
    </row>
    <row r="4991" spans="1:6" x14ac:dyDescent="0.2">
      <c r="A4991" t="s">
        <v>9247</v>
      </c>
      <c r="B4991" t="s">
        <v>9114</v>
      </c>
      <c r="C4991" t="s">
        <v>429</v>
      </c>
      <c r="D4991" t="s">
        <v>1117</v>
      </c>
      <c r="E4991" t="s">
        <v>158</v>
      </c>
      <c r="F4991" s="2" t="str">
        <f>HYPERLINK("http://www.otzar.org/book.asp?107038","ביאורי רלב""ג על עזרא נחמיה ודברי הימים")</f>
        <v>ביאורי רלב"ג על עזרא נחמיה ודברי הימים</v>
      </c>
    </row>
    <row r="4992" spans="1:6" x14ac:dyDescent="0.2">
      <c r="A4992" t="s">
        <v>9248</v>
      </c>
      <c r="B4992" t="s">
        <v>9249</v>
      </c>
      <c r="C4992" t="s">
        <v>146</v>
      </c>
      <c r="D4992" t="s">
        <v>52</v>
      </c>
      <c r="F4992" s="2" t="str">
        <f>HYPERLINK("http://www.otzar.org/book.asp?166382","ביאורי שמעתתות")</f>
        <v>ביאורי שמעתתות</v>
      </c>
    </row>
    <row r="4993" spans="1:6" x14ac:dyDescent="0.2">
      <c r="A4993" t="s">
        <v>9250</v>
      </c>
      <c r="B4993" t="s">
        <v>9251</v>
      </c>
      <c r="C4993" t="s">
        <v>20</v>
      </c>
      <c r="D4993" t="s">
        <v>90</v>
      </c>
      <c r="F4993" s="2" t="str">
        <f>HYPERLINK("http://www.otzar.org/book.asp?161055","ביאורים באוצרות חיים שער עתיק")</f>
        <v>ביאורים באוצרות חיים שער עתיק</v>
      </c>
    </row>
    <row r="4994" spans="1:6" x14ac:dyDescent="0.2">
      <c r="A4994" t="s">
        <v>9252</v>
      </c>
      <c r="B4994" t="s">
        <v>9253</v>
      </c>
      <c r="C4994" t="s">
        <v>313</v>
      </c>
      <c r="D4994" t="s">
        <v>14</v>
      </c>
      <c r="E4994" t="s">
        <v>246</v>
      </c>
      <c r="F4994" s="2" t="str">
        <f>HYPERLINK("http://www.otzar.org/book.asp?28183","ביאורים בהגדה של פסח ועניני החג")</f>
        <v>ביאורים בהגדה של פסח ועניני החג</v>
      </c>
    </row>
    <row r="4995" spans="1:6" x14ac:dyDescent="0.2">
      <c r="A4995" t="s">
        <v>9254</v>
      </c>
      <c r="B4995" t="s">
        <v>2667</v>
      </c>
      <c r="C4995" t="s">
        <v>244</v>
      </c>
      <c r="D4995" t="s">
        <v>245</v>
      </c>
      <c r="E4995" t="s">
        <v>144</v>
      </c>
      <c r="F4995" s="2" t="str">
        <f>HYPERLINK("http://www.otzar.org/book.asp?606325","ביאורים בחלק שני דכתובות")</f>
        <v>ביאורים בחלק שני דכתובות</v>
      </c>
    </row>
    <row r="4996" spans="1:6" x14ac:dyDescent="0.2">
      <c r="A4996" t="s">
        <v>9255</v>
      </c>
      <c r="B4996" t="s">
        <v>9256</v>
      </c>
      <c r="C4996" t="s">
        <v>111</v>
      </c>
      <c r="D4996" t="s">
        <v>14</v>
      </c>
      <c r="E4996" t="s">
        <v>246</v>
      </c>
      <c r="F4996" s="2" t="str">
        <f>HYPERLINK("http://www.otzar.org/book.asp?630470","ביאורים במועדים - 5 כר'")</f>
        <v>ביאורים במועדים - 5 כר'</v>
      </c>
    </row>
    <row r="4997" spans="1:6" x14ac:dyDescent="0.2">
      <c r="A4997" t="s">
        <v>9257</v>
      </c>
      <c r="B4997" t="s">
        <v>9258</v>
      </c>
      <c r="C4997" t="s">
        <v>189</v>
      </c>
      <c r="D4997" t="s">
        <v>367</v>
      </c>
      <c r="E4997" t="s">
        <v>872</v>
      </c>
      <c r="F4997" s="2" t="str">
        <f>HYPERLINK("http://www.otzar.org/book.asp?166027","ביאורים במוקצה - 2 כר'")</f>
        <v>ביאורים במוקצה - 2 כר'</v>
      </c>
    </row>
    <row r="4998" spans="1:6" x14ac:dyDescent="0.2">
      <c r="A4998" t="s">
        <v>9259</v>
      </c>
      <c r="B4998" t="s">
        <v>9260</v>
      </c>
      <c r="C4998" t="s">
        <v>68</v>
      </c>
      <c r="D4998" t="s">
        <v>14</v>
      </c>
      <c r="E4998" t="s">
        <v>144</v>
      </c>
      <c r="F4998" s="2" t="str">
        <f>HYPERLINK("http://www.otzar.org/book.asp?153318","ביאורים בסוגיא דהוצאה")</f>
        <v>ביאורים בסוגיא דהוצאה</v>
      </c>
    </row>
    <row r="4999" spans="1:6" x14ac:dyDescent="0.2">
      <c r="A4999" t="s">
        <v>9261</v>
      </c>
      <c r="B4999" t="s">
        <v>9262</v>
      </c>
      <c r="C4999" t="s">
        <v>68</v>
      </c>
      <c r="D4999" t="s">
        <v>14</v>
      </c>
      <c r="E4999" t="s">
        <v>246</v>
      </c>
      <c r="F4999" s="2" t="str">
        <f>HYPERLINK("http://www.otzar.org/book.asp?603532","ביאורים בסוגיות בין המצרים")</f>
        <v>ביאורים בסוגיות בין המצרים</v>
      </c>
    </row>
    <row r="5000" spans="1:6" x14ac:dyDescent="0.2">
      <c r="A5000" t="s">
        <v>9263</v>
      </c>
      <c r="B5000" t="s">
        <v>9264</v>
      </c>
      <c r="C5000" t="s">
        <v>366</v>
      </c>
      <c r="D5000" t="s">
        <v>80</v>
      </c>
      <c r="F5000" s="2" t="str">
        <f>HYPERLINK("http://www.otzar.org/book.asp?601016","ביאורים בסוגיית טעם כעיקר")</f>
        <v>ביאורים בסוגיית טעם כעיקר</v>
      </c>
    </row>
    <row r="5001" spans="1:6" x14ac:dyDescent="0.2">
      <c r="A5001" t="s">
        <v>9265</v>
      </c>
      <c r="B5001" t="s">
        <v>9266</v>
      </c>
      <c r="C5001" t="s">
        <v>111</v>
      </c>
      <c r="D5001" t="s">
        <v>367</v>
      </c>
      <c r="F5001" s="2" t="str">
        <f>HYPERLINK("http://www.otzar.org/book.asp?623114","ביאורים ובירורים ביורה דעה")</f>
        <v>ביאורים ובירורים ביורה דעה</v>
      </c>
    </row>
    <row r="5002" spans="1:6" x14ac:dyDescent="0.2">
      <c r="A5002" t="s">
        <v>9267</v>
      </c>
      <c r="B5002" t="s">
        <v>9268</v>
      </c>
      <c r="C5002" t="s">
        <v>20</v>
      </c>
      <c r="D5002" t="s">
        <v>147</v>
      </c>
      <c r="E5002" t="s">
        <v>158</v>
      </c>
      <c r="F5002" s="2" t="str">
        <f>HYPERLINK("http://www.otzar.org/book.asp?160351","ביאורים ובירורים בתהלים - פירוש לשיר השירים")</f>
        <v>ביאורים ובירורים בתהלים - פירוש לשיר השירים</v>
      </c>
    </row>
    <row r="5003" spans="1:6" x14ac:dyDescent="0.2">
      <c r="A5003" t="s">
        <v>9269</v>
      </c>
      <c r="B5003" t="s">
        <v>7122</v>
      </c>
      <c r="C5003" t="s">
        <v>87</v>
      </c>
      <c r="D5003" t="s">
        <v>52</v>
      </c>
      <c r="F5003" s="2" t="str">
        <f>HYPERLINK("http://www.otzar.org/book.asp?194519","ביאורים ובירורים עמ""ס עירובין")</f>
        <v>ביאורים ובירורים עמ"ס עירובין</v>
      </c>
    </row>
    <row r="5004" spans="1:6" x14ac:dyDescent="0.2">
      <c r="A5004" t="s">
        <v>9270</v>
      </c>
      <c r="B5004" t="s">
        <v>2802</v>
      </c>
      <c r="C5004" t="s">
        <v>103</v>
      </c>
      <c r="D5004" t="s">
        <v>14</v>
      </c>
      <c r="E5004" t="s">
        <v>3915</v>
      </c>
      <c r="F5004" s="2" t="str">
        <f>HYPERLINK("http://www.otzar.org/book.asp?51886","ביאורים והערות בסה""ק ליקוטי מוהר""ן - ב")</f>
        <v>ביאורים והערות בסה"ק ליקוטי מוהר"ן - ב</v>
      </c>
    </row>
    <row r="5005" spans="1:6" x14ac:dyDescent="0.2">
      <c r="A5005" t="s">
        <v>9271</v>
      </c>
      <c r="B5005" t="s">
        <v>206</v>
      </c>
      <c r="C5005" t="s">
        <v>114</v>
      </c>
      <c r="D5005" t="s">
        <v>52</v>
      </c>
      <c r="E5005" t="s">
        <v>933</v>
      </c>
      <c r="F5005" s="2" t="str">
        <f>HYPERLINK("http://www.otzar.org/book.asp?180618","ביאורים והערות בעניינים שונים")</f>
        <v>ביאורים והערות בעניינים שונים</v>
      </c>
    </row>
    <row r="5006" spans="1:6" x14ac:dyDescent="0.2">
      <c r="A5006" t="s">
        <v>9272</v>
      </c>
      <c r="B5006" t="s">
        <v>206</v>
      </c>
      <c r="C5006" t="s">
        <v>37</v>
      </c>
      <c r="D5006" t="s">
        <v>90</v>
      </c>
      <c r="E5006" t="s">
        <v>144</v>
      </c>
      <c r="F5006" s="2" t="str">
        <f>HYPERLINK("http://www.otzar.org/book.asp?604919","ביאורים והערות בפרק ערבי פסחים")</f>
        <v>ביאורים והערות בפרק ערבי פסחים</v>
      </c>
    </row>
    <row r="5007" spans="1:6" x14ac:dyDescent="0.2">
      <c r="A5007" t="s">
        <v>9273</v>
      </c>
      <c r="B5007" t="s">
        <v>6752</v>
      </c>
      <c r="C5007" t="s">
        <v>13</v>
      </c>
      <c r="D5007" t="s">
        <v>52</v>
      </c>
      <c r="E5007" t="s">
        <v>144</v>
      </c>
      <c r="F5007" s="2" t="str">
        <f>HYPERLINK("http://www.otzar.org/book.asp?160866","ביאורים והערות למסכת כתובות")</f>
        <v>ביאורים והערות למסכת כתובות</v>
      </c>
    </row>
    <row r="5008" spans="1:6" x14ac:dyDescent="0.2">
      <c r="A5008" t="s">
        <v>9274</v>
      </c>
      <c r="B5008" t="s">
        <v>9275</v>
      </c>
      <c r="C5008" t="s">
        <v>114</v>
      </c>
      <c r="D5008" t="s">
        <v>152</v>
      </c>
      <c r="F5008" s="2" t="str">
        <f>HYPERLINK("http://www.otzar.org/book.asp?615980","ביאורים והערות על הלכות זימון")</f>
        <v>ביאורים והערות על הלכות זימון</v>
      </c>
    </row>
    <row r="5009" spans="1:6" x14ac:dyDescent="0.2">
      <c r="A5009" t="s">
        <v>9276</v>
      </c>
      <c r="B5009" t="s">
        <v>9277</v>
      </c>
      <c r="C5009" t="s">
        <v>23</v>
      </c>
      <c r="D5009" t="s">
        <v>21</v>
      </c>
      <c r="F5009" s="2" t="str">
        <f>HYPERLINK("http://www.otzar.org/book.asp?610451","ביאורים והערות - הלכות בשר בחלב")</f>
        <v>ביאורים והערות - הלכות בשר בחלב</v>
      </c>
    </row>
    <row r="5010" spans="1:6" x14ac:dyDescent="0.2">
      <c r="A5010" t="s">
        <v>9278</v>
      </c>
      <c r="B5010" t="s">
        <v>9279</v>
      </c>
      <c r="C5010" t="s">
        <v>2644</v>
      </c>
      <c r="D5010" t="s">
        <v>283</v>
      </c>
      <c r="E5010" t="s">
        <v>993</v>
      </c>
      <c r="F5010" s="2" t="str">
        <f>HYPERLINK("http://www.otzar.org/book.asp?15918","ביאורים והערות")</f>
        <v>ביאורים והערות</v>
      </c>
    </row>
    <row r="5011" spans="1:6" x14ac:dyDescent="0.2">
      <c r="A5011" t="s">
        <v>9280</v>
      </c>
      <c r="B5011" t="s">
        <v>9281</v>
      </c>
      <c r="C5011" t="s">
        <v>313</v>
      </c>
      <c r="D5011" t="s">
        <v>14</v>
      </c>
      <c r="E5011" t="s">
        <v>144</v>
      </c>
      <c r="F5011" s="2" t="str">
        <f>HYPERLINK("http://www.otzar.org/book.asp?60174","ביאורים והערות - 8 כר'")</f>
        <v>ביאורים והערות - 8 כר'</v>
      </c>
    </row>
    <row r="5012" spans="1:6" x14ac:dyDescent="0.2">
      <c r="A5012" t="s">
        <v>9282</v>
      </c>
      <c r="B5012" t="s">
        <v>9283</v>
      </c>
      <c r="C5012" t="s">
        <v>1310</v>
      </c>
      <c r="D5012" t="s">
        <v>56</v>
      </c>
      <c r="E5012" t="s">
        <v>158</v>
      </c>
      <c r="F5012" s="2" t="str">
        <f>HYPERLINK("http://www.otzar.org/book.asp?15670","ביאורים וחידושים - ביאורי מוהרא""ל")</f>
        <v>ביאורים וחידושים - ביאורי מוהרא"ל</v>
      </c>
    </row>
    <row r="5013" spans="1:6" x14ac:dyDescent="0.2">
      <c r="A5013" t="s">
        <v>9284</v>
      </c>
      <c r="B5013" t="s">
        <v>9285</v>
      </c>
      <c r="C5013" t="s">
        <v>111</v>
      </c>
      <c r="D5013" t="s">
        <v>52</v>
      </c>
      <c r="E5013" t="s">
        <v>144</v>
      </c>
      <c r="F5013" s="2" t="str">
        <f>HYPERLINK("http://www.otzar.org/book.asp?628491","ביאורים וחידושים - חולין")</f>
        <v>ביאורים וחידושים - חולין</v>
      </c>
    </row>
    <row r="5014" spans="1:6" x14ac:dyDescent="0.2">
      <c r="A5014" t="s">
        <v>9286</v>
      </c>
      <c r="B5014" t="s">
        <v>9287</v>
      </c>
      <c r="C5014" t="s">
        <v>151</v>
      </c>
      <c r="D5014" t="s">
        <v>52</v>
      </c>
      <c r="F5014" s="2" t="str">
        <f>HYPERLINK("http://www.otzar.org/book.asp?632067","ביאורים וליקוטים - 3 כר'")</f>
        <v>ביאורים וליקוטים - 3 כר'</v>
      </c>
    </row>
    <row r="5015" spans="1:6" x14ac:dyDescent="0.2">
      <c r="A5015" t="s">
        <v>9288</v>
      </c>
      <c r="B5015" t="s">
        <v>206</v>
      </c>
      <c r="C5015" t="s">
        <v>17</v>
      </c>
      <c r="D5015" t="s">
        <v>21</v>
      </c>
      <c r="E5015" t="s">
        <v>144</v>
      </c>
      <c r="F5015" s="2" t="str">
        <f>HYPERLINK("http://www.otzar.org/book.asp?193130","ביאורים ומראי מקומות - יבמות")</f>
        <v>ביאורים ומראי מקומות - יבמות</v>
      </c>
    </row>
    <row r="5016" spans="1:6" x14ac:dyDescent="0.2">
      <c r="A5016" t="s">
        <v>9289</v>
      </c>
      <c r="B5016" t="s">
        <v>9290</v>
      </c>
      <c r="C5016" t="s">
        <v>411</v>
      </c>
      <c r="D5016" t="s">
        <v>21</v>
      </c>
      <c r="E5016" t="s">
        <v>144</v>
      </c>
      <c r="F5016" s="2" t="str">
        <f>HYPERLINK("http://www.otzar.org/book.asp?191581","ביאורים ועיונים במסכת שבת")</f>
        <v>ביאורים ועיונים במסכת שבת</v>
      </c>
    </row>
    <row r="5017" spans="1:6" x14ac:dyDescent="0.2">
      <c r="A5017" t="s">
        <v>9291</v>
      </c>
      <c r="B5017" t="s">
        <v>9292</v>
      </c>
      <c r="C5017" t="s">
        <v>68</v>
      </c>
      <c r="D5017" t="s">
        <v>14</v>
      </c>
      <c r="E5017" t="s">
        <v>144</v>
      </c>
      <c r="F5017" s="2" t="str">
        <f>HYPERLINK("http://www.otzar.org/book.asp?159195","ביאורים ועיונים - 7 כר'")</f>
        <v>ביאורים ועיונים - 7 כר'</v>
      </c>
    </row>
    <row r="5018" spans="1:6" x14ac:dyDescent="0.2">
      <c r="A5018" t="s">
        <v>9293</v>
      </c>
      <c r="B5018" t="s">
        <v>9294</v>
      </c>
      <c r="C5018" t="s">
        <v>422</v>
      </c>
      <c r="D5018" t="s">
        <v>52</v>
      </c>
      <c r="E5018" t="s">
        <v>144</v>
      </c>
      <c r="F5018" s="2" t="str">
        <f>HYPERLINK("http://www.otzar.org/book.asp?148039","ביאורים ועיונים")</f>
        <v>ביאורים ועיונים</v>
      </c>
    </row>
    <row r="5019" spans="1:6" x14ac:dyDescent="0.2">
      <c r="A5019" t="s">
        <v>9295</v>
      </c>
      <c r="B5019" t="s">
        <v>9296</v>
      </c>
      <c r="C5019" t="s">
        <v>454</v>
      </c>
      <c r="D5019" t="s">
        <v>1205</v>
      </c>
      <c r="E5019" t="s">
        <v>144</v>
      </c>
      <c r="F5019" s="2" t="str">
        <f>HYPERLINK("http://www.otzar.org/book.asp?53014","ביאורים וציונים - 3 כר'")</f>
        <v>ביאורים וציונים - 3 כר'</v>
      </c>
    </row>
    <row r="5020" spans="1:6" x14ac:dyDescent="0.2">
      <c r="A5020" t="s">
        <v>9297</v>
      </c>
      <c r="B5020" t="s">
        <v>9298</v>
      </c>
      <c r="C5020" t="s">
        <v>956</v>
      </c>
      <c r="D5020" t="s">
        <v>412</v>
      </c>
      <c r="E5020" t="s">
        <v>158</v>
      </c>
      <c r="F5020" s="2" t="str">
        <f>HYPERLINK("http://www.otzar.org/book.asp?9917","ביאורים ורעיונות במזמורי תהלים")</f>
        <v>ביאורים ורעיונות במזמורי תהלים</v>
      </c>
    </row>
    <row r="5021" spans="1:6" x14ac:dyDescent="0.2">
      <c r="A5021" t="s">
        <v>9299</v>
      </c>
      <c r="B5021" t="s">
        <v>9300</v>
      </c>
      <c r="C5021" t="s">
        <v>103</v>
      </c>
      <c r="D5021" t="s">
        <v>52</v>
      </c>
      <c r="E5021" t="s">
        <v>158</v>
      </c>
      <c r="F5021" s="2" t="str">
        <f>HYPERLINK("http://www.otzar.org/book.asp?170478","ביאורים ושיחות - 8 כר'")</f>
        <v>ביאורים ושיחות - 8 כר'</v>
      </c>
    </row>
    <row r="5022" spans="1:6" x14ac:dyDescent="0.2">
      <c r="A5022" t="s">
        <v>9301</v>
      </c>
      <c r="B5022" t="s">
        <v>3286</v>
      </c>
      <c r="C5022" t="s">
        <v>383</v>
      </c>
      <c r="D5022" t="s">
        <v>52</v>
      </c>
      <c r="E5022" t="s">
        <v>399</v>
      </c>
      <c r="F5022" s="2" t="str">
        <f>HYPERLINK("http://www.otzar.org/book.asp?142265","ביאורים לכתבי הרש""ש")</f>
        <v>ביאורים לכתבי הרש"ש</v>
      </c>
    </row>
    <row r="5023" spans="1:6" x14ac:dyDescent="0.2">
      <c r="A5023" t="s">
        <v>9302</v>
      </c>
      <c r="B5023" t="s">
        <v>3462</v>
      </c>
      <c r="C5023" t="s">
        <v>189</v>
      </c>
      <c r="D5023" t="s">
        <v>52</v>
      </c>
      <c r="E5023" t="s">
        <v>158</v>
      </c>
      <c r="F5023" s="2" t="str">
        <f>HYPERLINK("http://www.otzar.org/book.asp?144391","ביאורים מהרמ""ק על התורה")</f>
        <v>ביאורים מהרמ"ק על התורה</v>
      </c>
    </row>
    <row r="5024" spans="1:6" x14ac:dyDescent="0.2">
      <c r="A5024" t="s">
        <v>9302</v>
      </c>
      <c r="B5024" t="s">
        <v>4201</v>
      </c>
      <c r="C5024" t="s">
        <v>189</v>
      </c>
      <c r="D5024" t="s">
        <v>52</v>
      </c>
      <c r="E5024" t="s">
        <v>158</v>
      </c>
      <c r="F5024" s="2" t="str">
        <f>HYPERLINK("http://www.otzar.org/book.asp?144517","ביאורים מהרמ""ק על התורה")</f>
        <v>ביאורים מהרמ"ק על התורה</v>
      </c>
    </row>
    <row r="5025" spans="1:6" x14ac:dyDescent="0.2">
      <c r="A5025" t="s">
        <v>9303</v>
      </c>
      <c r="B5025" t="s">
        <v>1406</v>
      </c>
      <c r="C5025" t="s">
        <v>3690</v>
      </c>
      <c r="D5025" t="s">
        <v>1117</v>
      </c>
      <c r="E5025" t="s">
        <v>1103</v>
      </c>
      <c r="F5025" s="2" t="str">
        <f>HYPERLINK("http://www.otzar.org/book.asp?15974","ביאורים על מאמרי חז""ל במדרש תהלים")</f>
        <v>ביאורים על מאמרי חז"ל במדרש תהלים</v>
      </c>
    </row>
    <row r="5026" spans="1:6" x14ac:dyDescent="0.2">
      <c r="A5026" t="s">
        <v>9304</v>
      </c>
      <c r="B5026" t="s">
        <v>9305</v>
      </c>
      <c r="C5026" t="s">
        <v>20</v>
      </c>
      <c r="D5026" t="s">
        <v>6133</v>
      </c>
      <c r="E5026" t="s">
        <v>158</v>
      </c>
      <c r="F5026" s="2" t="str">
        <f>HYPERLINK("http://www.otzar.org/book.asp?179358","ביאורים על פירוש רש""י")</f>
        <v>ביאורים על פירוש רש"י</v>
      </c>
    </row>
    <row r="5027" spans="1:6" x14ac:dyDescent="0.2">
      <c r="A5027" t="s">
        <v>9306</v>
      </c>
      <c r="B5027" t="s">
        <v>6829</v>
      </c>
      <c r="C5027" t="s">
        <v>9307</v>
      </c>
      <c r="D5027" t="s">
        <v>49</v>
      </c>
      <c r="E5027" t="s">
        <v>158</v>
      </c>
      <c r="F5027" s="2" t="str">
        <f>HYPERLINK("http://www.otzar.org/book.asp?53308","ביאורים על רש""י על התורה &lt;מוהר""נ שפירא&gt; - 2 כר'")</f>
        <v>ביאורים על רש"י על התורה &lt;מוהר"נ שפירא&gt; - 2 כר'</v>
      </c>
    </row>
    <row r="5028" spans="1:6" x14ac:dyDescent="0.2">
      <c r="A5028" t="s">
        <v>9308</v>
      </c>
      <c r="B5028" t="s">
        <v>1091</v>
      </c>
      <c r="C5028" t="s">
        <v>244</v>
      </c>
      <c r="D5028" t="s">
        <v>21</v>
      </c>
      <c r="E5028" t="s">
        <v>246</v>
      </c>
      <c r="F5028" s="2" t="str">
        <f>HYPERLINK("http://www.otzar.org/book.asp?605692","ביאורים קצרים בפירוש ההגדה")</f>
        <v>ביאורים קצרים בפירוש ההגדה</v>
      </c>
    </row>
    <row r="5029" spans="1:6" x14ac:dyDescent="0.2">
      <c r="A5029" t="s">
        <v>9309</v>
      </c>
      <c r="B5029" t="s">
        <v>9226</v>
      </c>
      <c r="C5029" t="s">
        <v>9310</v>
      </c>
      <c r="D5029" t="s">
        <v>49</v>
      </c>
      <c r="F5029" s="2" t="str">
        <f>HYPERLINK("http://www.otzar.org/book.asp?152403","ביאורים")</f>
        <v>ביאורים</v>
      </c>
    </row>
    <row r="5030" spans="1:6" x14ac:dyDescent="0.2">
      <c r="A5030" t="s">
        <v>9311</v>
      </c>
      <c r="B5030" t="s">
        <v>9264</v>
      </c>
      <c r="C5030" t="s">
        <v>13</v>
      </c>
      <c r="D5030" t="s">
        <v>52</v>
      </c>
      <c r="E5030" t="s">
        <v>144</v>
      </c>
      <c r="F5030" s="2" t="str">
        <f>HYPERLINK("http://www.otzar.org/book.asp?142425","ביאורים - 21 כר'")</f>
        <v>ביאורים - 21 כר'</v>
      </c>
    </row>
    <row r="5031" spans="1:6" x14ac:dyDescent="0.2">
      <c r="A5031" t="s">
        <v>9312</v>
      </c>
      <c r="B5031" t="s">
        <v>8183</v>
      </c>
      <c r="C5031" t="s">
        <v>390</v>
      </c>
      <c r="D5031" t="s">
        <v>14</v>
      </c>
      <c r="E5031" t="s">
        <v>1164</v>
      </c>
      <c r="F5031" s="2" t="str">
        <f>HYPERLINK("http://www.otzar.org/book.asp?300391","ביבליוגרפיה של הגדות פסח")</f>
        <v>ביבליוגרפיה של הגדות פסח</v>
      </c>
    </row>
    <row r="5032" spans="1:6" x14ac:dyDescent="0.2">
      <c r="A5032" t="s">
        <v>9313</v>
      </c>
      <c r="B5032" t="s">
        <v>9314</v>
      </c>
      <c r="C5032" t="s">
        <v>313</v>
      </c>
      <c r="D5032" t="s">
        <v>14</v>
      </c>
      <c r="E5032" t="s">
        <v>230</v>
      </c>
      <c r="F5032" s="2" t="str">
        <f>HYPERLINK("http://www.otzar.org/book.asp?166333","ביד דוד")</f>
        <v>ביד דוד</v>
      </c>
    </row>
    <row r="5033" spans="1:6" x14ac:dyDescent="0.2">
      <c r="A5033" t="s">
        <v>9315</v>
      </c>
      <c r="B5033" t="s">
        <v>9316</v>
      </c>
      <c r="C5033" t="s">
        <v>244</v>
      </c>
      <c r="D5033" t="s">
        <v>5172</v>
      </c>
      <c r="E5033" t="s">
        <v>15</v>
      </c>
      <c r="F5033" s="2" t="str">
        <f>HYPERLINK("http://www.otzar.org/book.asp?605969","ביד הלשון - במחיצת החפץ חיים")</f>
        <v>ביד הלשון - במחיצת החפץ חיים</v>
      </c>
    </row>
    <row r="5034" spans="1:6" x14ac:dyDescent="0.2">
      <c r="A5034" t="s">
        <v>9317</v>
      </c>
      <c r="B5034" t="s">
        <v>9318</v>
      </c>
      <c r="C5034" t="s">
        <v>68</v>
      </c>
      <c r="D5034" t="s">
        <v>14</v>
      </c>
      <c r="E5034" t="s">
        <v>714</v>
      </c>
      <c r="F5034" s="2" t="str">
        <f>HYPERLINK("http://www.otzar.org/book.asp?179002","ביד הלשון - 2 כר'")</f>
        <v>ביד הלשון - 2 כר'</v>
      </c>
    </row>
    <row r="5035" spans="1:6" x14ac:dyDescent="0.2">
      <c r="A5035" t="s">
        <v>9319</v>
      </c>
      <c r="B5035" t="s">
        <v>9320</v>
      </c>
      <c r="C5035" t="s">
        <v>114</v>
      </c>
      <c r="D5035" t="s">
        <v>14</v>
      </c>
      <c r="E5035" t="s">
        <v>144</v>
      </c>
      <c r="F5035" s="2" t="str">
        <f>HYPERLINK("http://www.otzar.org/book.asp?165568","ביד משה - נשים")</f>
        <v>ביד משה - נשים</v>
      </c>
    </row>
    <row r="5036" spans="1:6" x14ac:dyDescent="0.2">
      <c r="A5036" t="s">
        <v>9321</v>
      </c>
      <c r="B5036" t="s">
        <v>9322</v>
      </c>
      <c r="C5036" t="s">
        <v>3246</v>
      </c>
      <c r="D5036" t="s">
        <v>1889</v>
      </c>
      <c r="E5036" t="s">
        <v>104</v>
      </c>
      <c r="F5036" s="2" t="str">
        <f>HYPERLINK("http://www.otzar.org/book.asp?189515","ביד משה")</f>
        <v>ביד משה</v>
      </c>
    </row>
    <row r="5037" spans="1:6" x14ac:dyDescent="0.2">
      <c r="A5037" t="s">
        <v>9323</v>
      </c>
      <c r="B5037" t="s">
        <v>9324</v>
      </c>
      <c r="C5037" t="s">
        <v>129</v>
      </c>
      <c r="D5037" t="s">
        <v>52</v>
      </c>
      <c r="E5037" t="s">
        <v>2135</v>
      </c>
      <c r="F5037" s="2" t="str">
        <f>HYPERLINK("http://www.otzar.org/book.asp?159267","ביד נביאיך")</f>
        <v>ביד נביאיך</v>
      </c>
    </row>
    <row r="5038" spans="1:6" x14ac:dyDescent="0.2">
      <c r="A5038" t="s">
        <v>9325</v>
      </c>
      <c r="B5038" t="s">
        <v>9326</v>
      </c>
      <c r="C5038" t="s">
        <v>111</v>
      </c>
      <c r="D5038" t="s">
        <v>486</v>
      </c>
      <c r="F5038" s="2" t="str">
        <f>HYPERLINK("http://www.otzar.org/book.asp?623029","ביד נביאך")</f>
        <v>ביד נביאך</v>
      </c>
    </row>
    <row r="5039" spans="1:6" x14ac:dyDescent="0.2">
      <c r="A5039" t="s">
        <v>9327</v>
      </c>
      <c r="B5039" t="s">
        <v>9328</v>
      </c>
      <c r="C5039" t="s">
        <v>23</v>
      </c>
      <c r="D5039" t="s">
        <v>52</v>
      </c>
      <c r="E5039" t="s">
        <v>158</v>
      </c>
      <c r="F5039" s="2" t="str">
        <f>HYPERLINK("http://www.otzar.org/book.asp?606093","ביד עבדו - יונה")</f>
        <v>ביד עבדו - יונה</v>
      </c>
    </row>
    <row r="5040" spans="1:6" x14ac:dyDescent="0.2">
      <c r="A5040" t="s">
        <v>9329</v>
      </c>
      <c r="B5040" t="s">
        <v>4977</v>
      </c>
      <c r="C5040" t="s">
        <v>20</v>
      </c>
      <c r="D5040" t="s">
        <v>14</v>
      </c>
      <c r="E5040" t="s">
        <v>467</v>
      </c>
      <c r="F5040" s="2" t="str">
        <f>HYPERLINK("http://www.otzar.org/book.asp?153432","ביד עוסקי תורתך")</f>
        <v>ביד עוסקי תורתך</v>
      </c>
    </row>
    <row r="5041" spans="1:6" x14ac:dyDescent="0.2">
      <c r="A5041" t="s">
        <v>9330</v>
      </c>
      <c r="B5041" t="s">
        <v>9331</v>
      </c>
      <c r="C5041" t="s">
        <v>366</v>
      </c>
      <c r="D5041" t="s">
        <v>3939</v>
      </c>
      <c r="E5041" t="s">
        <v>130</v>
      </c>
      <c r="F5041" s="2" t="str">
        <f>HYPERLINK("http://www.otzar.org/book.asp?600738","ביד רמ""א - 2 כר'")</f>
        <v>ביד רמ"א - 2 כר'</v>
      </c>
    </row>
    <row r="5042" spans="1:6" x14ac:dyDescent="0.2">
      <c r="A5042" t="s">
        <v>9332</v>
      </c>
      <c r="B5042" t="s">
        <v>686</v>
      </c>
      <c r="C5042" t="s">
        <v>23</v>
      </c>
      <c r="D5042" t="s">
        <v>52</v>
      </c>
      <c r="E5042" t="s">
        <v>165</v>
      </c>
      <c r="F5042" s="2" t="str">
        <f>HYPERLINK("http://www.otzar.org/book.asp?191917","ביד רמה, בדרכי ה'")</f>
        <v>ביד רמה, בדרכי ה'</v>
      </c>
    </row>
    <row r="5043" spans="1:6" x14ac:dyDescent="0.2">
      <c r="A5043" t="s">
        <v>9333</v>
      </c>
      <c r="B5043" t="s">
        <v>9334</v>
      </c>
      <c r="C5043" t="s">
        <v>37</v>
      </c>
      <c r="D5043" t="s">
        <v>52</v>
      </c>
      <c r="E5043" t="s">
        <v>674</v>
      </c>
      <c r="F5043" s="2" t="str">
        <f>HYPERLINK("http://www.otzar.org/book.asp?179904","בידך עיתותי")</f>
        <v>בידך עיתותי</v>
      </c>
    </row>
    <row r="5044" spans="1:6" x14ac:dyDescent="0.2">
      <c r="A5044" t="s">
        <v>9335</v>
      </c>
      <c r="B5044" t="s">
        <v>9336</v>
      </c>
      <c r="C5044" t="s">
        <v>103</v>
      </c>
      <c r="D5044" t="s">
        <v>14</v>
      </c>
      <c r="E5044" t="s">
        <v>960</v>
      </c>
      <c r="F5044" s="2" t="str">
        <f>HYPERLINK("http://www.otzar.org/book.asp?23445","ביום ההוא יהיה ה' אחד ושמו אחד")</f>
        <v>ביום ההוא יהיה ה' אחד ושמו אחד</v>
      </c>
    </row>
    <row r="5045" spans="1:6" x14ac:dyDescent="0.2">
      <c r="A5045" t="s">
        <v>9337</v>
      </c>
      <c r="B5045" t="s">
        <v>9338</v>
      </c>
      <c r="C5045" t="s">
        <v>111</v>
      </c>
      <c r="D5045" t="s">
        <v>4519</v>
      </c>
      <c r="E5045" t="s">
        <v>15</v>
      </c>
      <c r="F5045" s="2" t="str">
        <f>HYPERLINK("http://www.otzar.org/book.asp?630456","ביום הראשון תשביתו")</f>
        <v>ביום הראשון תשביתו</v>
      </c>
    </row>
    <row r="5046" spans="1:6" x14ac:dyDescent="0.2">
      <c r="A5046" t="s">
        <v>9339</v>
      </c>
      <c r="B5046" t="s">
        <v>3727</v>
      </c>
      <c r="C5046" t="s">
        <v>523</v>
      </c>
      <c r="D5046" t="s">
        <v>4519</v>
      </c>
      <c r="E5046" t="s">
        <v>15</v>
      </c>
      <c r="F5046" s="2" t="str">
        <f>HYPERLINK("http://www.otzar.org/book.asp?85668","ביום השמיני")</f>
        <v>ביום השמיני</v>
      </c>
    </row>
    <row r="5047" spans="1:6" x14ac:dyDescent="0.2">
      <c r="A5047" t="s">
        <v>9340</v>
      </c>
      <c r="B5047" t="s">
        <v>1681</v>
      </c>
      <c r="C5047" t="s">
        <v>51</v>
      </c>
      <c r="D5047" t="s">
        <v>52</v>
      </c>
      <c r="E5047" t="s">
        <v>130</v>
      </c>
      <c r="F5047" s="2" t="str">
        <f>HYPERLINK("http://www.otzar.org/book.asp?23929","ביום חתונתו")</f>
        <v>ביום חתונתו</v>
      </c>
    </row>
    <row r="5048" spans="1:6" x14ac:dyDescent="0.2">
      <c r="A5048" t="s">
        <v>9341</v>
      </c>
      <c r="B5048" t="s">
        <v>4402</v>
      </c>
      <c r="C5048" t="s">
        <v>422</v>
      </c>
      <c r="D5048" t="s">
        <v>52</v>
      </c>
      <c r="E5048" t="s">
        <v>246</v>
      </c>
      <c r="F5048" s="2" t="str">
        <f>HYPERLINK("http://www.otzar.org/book.asp?166987","ביום חתונתו - ספירת העומר וחג השבועות")</f>
        <v>ביום חתונתו - ספירת העומר וחג השבועות</v>
      </c>
    </row>
    <row r="5049" spans="1:6" x14ac:dyDescent="0.2">
      <c r="A5049" t="s">
        <v>9340</v>
      </c>
      <c r="B5049" t="s">
        <v>9342</v>
      </c>
      <c r="C5049" t="s">
        <v>1208</v>
      </c>
      <c r="D5049" t="s">
        <v>118</v>
      </c>
      <c r="E5049" t="s">
        <v>15</v>
      </c>
      <c r="F5049" s="2" t="str">
        <f>HYPERLINK("http://www.otzar.org/book.asp?24953","ביום חתונתו")</f>
        <v>ביום חתונתו</v>
      </c>
    </row>
    <row r="5050" spans="1:6" x14ac:dyDescent="0.2">
      <c r="A5050" t="s">
        <v>9343</v>
      </c>
      <c r="B5050" t="s">
        <v>7879</v>
      </c>
      <c r="C5050" t="s">
        <v>411</v>
      </c>
      <c r="D5050" t="s">
        <v>52</v>
      </c>
      <c r="E5050" t="s">
        <v>786</v>
      </c>
      <c r="F5050" s="2" t="str">
        <f>HYPERLINK("http://www.otzar.org/book.asp?165472","ביום קדשי - 2 כר'")</f>
        <v>ביום קדשי - 2 כר'</v>
      </c>
    </row>
    <row r="5051" spans="1:6" x14ac:dyDescent="0.2">
      <c r="A5051" t="s">
        <v>9344</v>
      </c>
      <c r="B5051" t="s">
        <v>2820</v>
      </c>
      <c r="C5051" t="s">
        <v>143</v>
      </c>
      <c r="D5051" t="s">
        <v>52</v>
      </c>
      <c r="E5051" t="s">
        <v>2840</v>
      </c>
      <c r="F5051" s="2" t="str">
        <f>HYPERLINK("http://www.otzar.org/book.asp?148291","ביום שמחת לבו")</f>
        <v>ביום שמחת לבו</v>
      </c>
    </row>
    <row r="5052" spans="1:6" x14ac:dyDescent="0.2">
      <c r="A5052" t="s">
        <v>9345</v>
      </c>
      <c r="B5052" t="s">
        <v>9346</v>
      </c>
      <c r="C5052" t="s">
        <v>950</v>
      </c>
      <c r="D5052" t="s">
        <v>27</v>
      </c>
      <c r="E5052" t="s">
        <v>246</v>
      </c>
      <c r="F5052" s="2" t="str">
        <f>HYPERLINK("http://www.otzar.org/book.asp?50872","ביזת מצרים")</f>
        <v>ביזת מצרים</v>
      </c>
    </row>
    <row r="5053" spans="1:6" x14ac:dyDescent="0.2">
      <c r="A5053" t="s">
        <v>9347</v>
      </c>
      <c r="B5053" t="s">
        <v>9348</v>
      </c>
      <c r="C5053" t="s">
        <v>20</v>
      </c>
      <c r="D5053" t="s">
        <v>2468</v>
      </c>
      <c r="E5053" t="s">
        <v>104</v>
      </c>
      <c r="F5053" s="2" t="str">
        <f>HYPERLINK("http://www.otzar.org/book.asp?160078","ביטוי השגור")</f>
        <v>ביטוי השגור</v>
      </c>
    </row>
    <row r="5054" spans="1:6" x14ac:dyDescent="0.2">
      <c r="A5054" t="s">
        <v>9349</v>
      </c>
      <c r="B5054" t="s">
        <v>9350</v>
      </c>
      <c r="C5054" t="s">
        <v>624</v>
      </c>
      <c r="D5054" t="s">
        <v>21</v>
      </c>
      <c r="E5054" t="s">
        <v>104</v>
      </c>
      <c r="F5054" s="2" t="str">
        <f>HYPERLINK("http://www.otzar.org/book.asp?603405","ביטויים ביידיש בעולם התורה")</f>
        <v>ביטויים ביידיש בעולם התורה</v>
      </c>
    </row>
    <row r="5055" spans="1:6" x14ac:dyDescent="0.2">
      <c r="A5055" t="s">
        <v>9351</v>
      </c>
      <c r="B5055" t="s">
        <v>9352</v>
      </c>
      <c r="C5055" t="s">
        <v>68</v>
      </c>
      <c r="D5055" t="s">
        <v>14</v>
      </c>
      <c r="E5055" t="s">
        <v>15</v>
      </c>
      <c r="F5055" s="2" t="str">
        <f>HYPERLINK("http://www.otzar.org/book.asp?193276","ביטול גיור עקב חוסר כוונת בקב'")</f>
        <v>ביטול גיור עקב חוסר כוונת בקב'</v>
      </c>
    </row>
    <row r="5056" spans="1:6" x14ac:dyDescent="0.2">
      <c r="A5056" t="s">
        <v>9353</v>
      </c>
      <c r="B5056" t="s">
        <v>9354</v>
      </c>
      <c r="C5056" t="s">
        <v>429</v>
      </c>
      <c r="D5056" t="s">
        <v>283</v>
      </c>
      <c r="E5056" t="s">
        <v>588</v>
      </c>
      <c r="F5056" s="2" t="str">
        <f>HYPERLINK("http://www.otzar.org/book.asp?24032","ביטול הראשון למאמר")</f>
        <v>ביטול הראשון למאמר</v>
      </c>
    </row>
    <row r="5057" spans="1:6" x14ac:dyDescent="0.2">
      <c r="A5057" t="s">
        <v>9355</v>
      </c>
      <c r="B5057" t="s">
        <v>6073</v>
      </c>
      <c r="C5057" t="s">
        <v>1036</v>
      </c>
      <c r="D5057" t="s">
        <v>1279</v>
      </c>
      <c r="E5057" t="s">
        <v>9356</v>
      </c>
      <c r="F5057" s="2" t="str">
        <f>HYPERLINK("http://www.otzar.org/book.asp?22194","ביטול מודעה")</f>
        <v>ביטול מודעה</v>
      </c>
    </row>
    <row r="5058" spans="1:6" x14ac:dyDescent="0.2">
      <c r="A5058" t="s">
        <v>9357</v>
      </c>
      <c r="B5058" t="s">
        <v>9358</v>
      </c>
      <c r="C5058" t="s">
        <v>3205</v>
      </c>
      <c r="D5058" t="s">
        <v>118</v>
      </c>
      <c r="E5058" t="s">
        <v>199</v>
      </c>
      <c r="F5058" s="2" t="str">
        <f>HYPERLINK("http://www.otzar.org/book.asp?191385","בייטש - ספר זכרון לקדושי עיירתנו בייטש")</f>
        <v>בייטש - ספר זכרון לקדושי עיירתנו בייטש</v>
      </c>
    </row>
    <row r="5059" spans="1:6" x14ac:dyDescent="0.2">
      <c r="A5059" t="s">
        <v>9359</v>
      </c>
      <c r="B5059" t="s">
        <v>9360</v>
      </c>
      <c r="C5059" t="s">
        <v>79</v>
      </c>
      <c r="D5059" t="s">
        <v>563</v>
      </c>
      <c r="E5059" t="s">
        <v>579</v>
      </c>
      <c r="F5059" s="2" t="str">
        <f>HYPERLINK("http://www.otzar.org/book.asp?165347","ביכורי אבי""ב - 3 כר'")</f>
        <v>ביכורי אבי"ב - 3 כר'</v>
      </c>
    </row>
    <row r="5060" spans="1:6" x14ac:dyDescent="0.2">
      <c r="A5060" t="s">
        <v>9361</v>
      </c>
      <c r="B5060" t="s">
        <v>9362</v>
      </c>
      <c r="C5060" t="s">
        <v>411</v>
      </c>
      <c r="D5060" t="s">
        <v>412</v>
      </c>
      <c r="E5060" t="s">
        <v>474</v>
      </c>
      <c r="F5060" s="2" t="str">
        <f>HYPERLINK("http://www.otzar.org/book.asp?174673","ביכורי אביב - 2 כר'")</f>
        <v>ביכורי אביב - 2 כר'</v>
      </c>
    </row>
    <row r="5061" spans="1:6" x14ac:dyDescent="0.2">
      <c r="A5061" t="s">
        <v>9363</v>
      </c>
      <c r="B5061" t="s">
        <v>9364</v>
      </c>
      <c r="C5061" t="s">
        <v>151</v>
      </c>
      <c r="F5061" s="2" t="str">
        <f>HYPERLINK("http://www.otzar.org/book.asp?613148","ביכורי אברהם - 2 כר'")</f>
        <v>ביכורי אברהם - 2 כר'</v>
      </c>
    </row>
    <row r="5062" spans="1:6" x14ac:dyDescent="0.2">
      <c r="A5062" t="s">
        <v>9365</v>
      </c>
      <c r="B5062" t="s">
        <v>4918</v>
      </c>
      <c r="C5062" t="s">
        <v>103</v>
      </c>
      <c r="D5062" t="s">
        <v>4919</v>
      </c>
      <c r="E5062" t="s">
        <v>1211</v>
      </c>
      <c r="F5062" s="2" t="str">
        <f>HYPERLINK("http://www.otzar.org/book.asp?63954","ביכורי אברהם")</f>
        <v>ביכורי אברהם</v>
      </c>
    </row>
    <row r="5063" spans="1:6" x14ac:dyDescent="0.2">
      <c r="A5063" t="s">
        <v>9363</v>
      </c>
      <c r="B5063" t="s">
        <v>8297</v>
      </c>
      <c r="C5063" t="s">
        <v>775</v>
      </c>
      <c r="D5063" t="s">
        <v>14</v>
      </c>
      <c r="E5063" t="s">
        <v>786</v>
      </c>
      <c r="F5063" s="2" t="str">
        <f>HYPERLINK("http://www.otzar.org/book.asp?26388","ביכורי אברהם - 2 כר'")</f>
        <v>ביכורי אברהם - 2 כר'</v>
      </c>
    </row>
    <row r="5064" spans="1:6" x14ac:dyDescent="0.2">
      <c r="A5064" t="s">
        <v>9366</v>
      </c>
      <c r="B5064" t="s">
        <v>2514</v>
      </c>
      <c r="C5064" t="s">
        <v>422</v>
      </c>
      <c r="E5064" t="s">
        <v>144</v>
      </c>
      <c r="F5064" s="2" t="str">
        <f>HYPERLINK("http://www.otzar.org/book.asp?619649","ביכורי אליהו - כתובות")</f>
        <v>ביכורי אליהו - כתובות</v>
      </c>
    </row>
    <row r="5065" spans="1:6" x14ac:dyDescent="0.2">
      <c r="A5065" t="s">
        <v>9367</v>
      </c>
      <c r="B5065" t="s">
        <v>7620</v>
      </c>
      <c r="C5065" t="s">
        <v>189</v>
      </c>
      <c r="D5065" t="s">
        <v>52</v>
      </c>
      <c r="E5065" t="s">
        <v>9368</v>
      </c>
      <c r="F5065" s="2" t="str">
        <f>HYPERLINK("http://www.otzar.org/book.asp?28175","ביכורי אליהו")</f>
        <v>ביכורי אליהו</v>
      </c>
    </row>
    <row r="5066" spans="1:6" x14ac:dyDescent="0.2">
      <c r="A5066" t="s">
        <v>9369</v>
      </c>
      <c r="B5066" t="s">
        <v>9370</v>
      </c>
      <c r="C5066" t="s">
        <v>366</v>
      </c>
      <c r="D5066" t="s">
        <v>1632</v>
      </c>
      <c r="E5066" t="s">
        <v>84</v>
      </c>
      <c r="F5066" s="2" t="str">
        <f>HYPERLINK("http://www.otzar.org/book.asp?606173","ביכורי אליעזר - ביכורים")</f>
        <v>ביכורי אליעזר - ביכורים</v>
      </c>
    </row>
    <row r="5067" spans="1:6" x14ac:dyDescent="0.2">
      <c r="A5067" t="s">
        <v>9371</v>
      </c>
      <c r="B5067" t="s">
        <v>9372</v>
      </c>
      <c r="C5067" t="s">
        <v>17</v>
      </c>
      <c r="D5067" t="s">
        <v>14</v>
      </c>
      <c r="E5067" t="s">
        <v>1097</v>
      </c>
      <c r="F5067" s="2" t="str">
        <f>HYPERLINK("http://www.otzar.org/book.asp?53204","ביכורי אריה")</f>
        <v>ביכורי אריה</v>
      </c>
    </row>
    <row r="5068" spans="1:6" x14ac:dyDescent="0.2">
      <c r="A5068" t="s">
        <v>9373</v>
      </c>
      <c r="B5068" t="s">
        <v>9374</v>
      </c>
      <c r="C5068" t="s">
        <v>785</v>
      </c>
      <c r="D5068" t="s">
        <v>1550</v>
      </c>
      <c r="E5068" t="s">
        <v>202</v>
      </c>
      <c r="F5068" s="2" t="str">
        <f>HYPERLINK("http://www.otzar.org/book.asp?144375","ביכורי ארץ הנגב")</f>
        <v>ביכורי ארץ הנגב</v>
      </c>
    </row>
    <row r="5069" spans="1:6" x14ac:dyDescent="0.2">
      <c r="A5069" t="s">
        <v>9375</v>
      </c>
      <c r="B5069" t="s">
        <v>9376</v>
      </c>
      <c r="C5069" t="s">
        <v>1160</v>
      </c>
      <c r="D5069" t="s">
        <v>14</v>
      </c>
      <c r="E5069" t="s">
        <v>144</v>
      </c>
      <c r="F5069" s="2" t="str">
        <f>HYPERLINK("http://www.otzar.org/book.asp?143923","ביכורי ארץ - 10 כר'")</f>
        <v>ביכורי ארץ - 10 כר'</v>
      </c>
    </row>
    <row r="5070" spans="1:6" x14ac:dyDescent="0.2">
      <c r="A5070" t="s">
        <v>9377</v>
      </c>
      <c r="B5070" t="s">
        <v>9378</v>
      </c>
      <c r="C5070" t="s">
        <v>523</v>
      </c>
      <c r="D5070" t="s">
        <v>14</v>
      </c>
      <c r="E5070" t="s">
        <v>10</v>
      </c>
      <c r="F5070" s="2" t="str">
        <f>HYPERLINK("http://www.otzar.org/book.asp?23175","ביכורי אשר - 2 כר'")</f>
        <v>ביכורי אשר - 2 כר'</v>
      </c>
    </row>
    <row r="5071" spans="1:6" x14ac:dyDescent="0.2">
      <c r="A5071" t="s">
        <v>9379</v>
      </c>
      <c r="B5071" t="s">
        <v>9380</v>
      </c>
      <c r="C5071" t="s">
        <v>151</v>
      </c>
      <c r="D5071" t="s">
        <v>52</v>
      </c>
      <c r="F5071" s="2" t="str">
        <f>HYPERLINK("http://www.otzar.org/book.asp?616812","ביכורי ברוך")</f>
        <v>ביכורי ברוך</v>
      </c>
    </row>
    <row r="5072" spans="1:6" x14ac:dyDescent="0.2">
      <c r="A5072" t="s">
        <v>9381</v>
      </c>
      <c r="B5072" t="s">
        <v>9382</v>
      </c>
      <c r="C5072" t="s">
        <v>17</v>
      </c>
      <c r="D5072" t="s">
        <v>21</v>
      </c>
      <c r="E5072" t="s">
        <v>15</v>
      </c>
      <c r="F5072" s="2" t="str">
        <f>HYPERLINK("http://www.otzar.org/book.asp?606775","ביכורי דוד - 2 כר'")</f>
        <v>ביכורי דוד - 2 כר'</v>
      </c>
    </row>
    <row r="5073" spans="1:6" x14ac:dyDescent="0.2">
      <c r="A5073" t="s">
        <v>9383</v>
      </c>
      <c r="B5073" t="s">
        <v>5932</v>
      </c>
      <c r="C5073" t="s">
        <v>454</v>
      </c>
      <c r="D5073" t="s">
        <v>108</v>
      </c>
      <c r="E5073" t="s">
        <v>2596</v>
      </c>
      <c r="F5073" s="2" t="str">
        <f>HYPERLINK("http://www.otzar.org/book.asp?26117","ביכורי הארץ")</f>
        <v>ביכורי הארץ</v>
      </c>
    </row>
    <row r="5074" spans="1:6" x14ac:dyDescent="0.2">
      <c r="A5074" t="s">
        <v>9384</v>
      </c>
      <c r="B5074" t="s">
        <v>9385</v>
      </c>
      <c r="C5074" t="s">
        <v>189</v>
      </c>
      <c r="D5074" t="s">
        <v>14</v>
      </c>
      <c r="E5074" t="s">
        <v>186</v>
      </c>
      <c r="F5074" s="2" t="str">
        <f>HYPERLINK("http://www.otzar.org/book.asp?153799","ביכורי הכרם - כתובות")</f>
        <v>ביכורי הכרם - כתובות</v>
      </c>
    </row>
    <row r="5075" spans="1:6" x14ac:dyDescent="0.2">
      <c r="A5075" t="s">
        <v>9386</v>
      </c>
      <c r="B5075" t="s">
        <v>489</v>
      </c>
      <c r="C5075" t="s">
        <v>124</v>
      </c>
      <c r="D5075" t="s">
        <v>14</v>
      </c>
      <c r="E5075" t="s">
        <v>186</v>
      </c>
      <c r="F5075" s="2" t="str">
        <f>HYPERLINK("http://www.otzar.org/book.asp?5330","ביכורי הרים")</f>
        <v>ביכורי הרים</v>
      </c>
    </row>
    <row r="5076" spans="1:6" x14ac:dyDescent="0.2">
      <c r="A5076" t="s">
        <v>9387</v>
      </c>
      <c r="B5076" t="s">
        <v>9388</v>
      </c>
      <c r="C5076" t="s">
        <v>23</v>
      </c>
      <c r="D5076" t="s">
        <v>21</v>
      </c>
      <c r="E5076" t="s">
        <v>786</v>
      </c>
      <c r="F5076" s="2" t="str">
        <f>HYPERLINK("http://www.otzar.org/book.asp?197811","ביכורי זרעים")</f>
        <v>ביכורי זרעים</v>
      </c>
    </row>
    <row r="5077" spans="1:6" x14ac:dyDescent="0.2">
      <c r="A5077" t="s">
        <v>9389</v>
      </c>
      <c r="B5077" t="s">
        <v>9390</v>
      </c>
      <c r="C5077" t="s">
        <v>3283</v>
      </c>
      <c r="D5077" t="s">
        <v>624</v>
      </c>
      <c r="E5077" t="s">
        <v>15</v>
      </c>
      <c r="F5077" s="2" t="str">
        <f>HYPERLINK("http://www.otzar.org/book.asp?619667","ביכורי חיים - שנים מקרא ואחד תרגום")</f>
        <v>ביכורי חיים - שנים מקרא ואחד תרגום</v>
      </c>
    </row>
    <row r="5078" spans="1:6" x14ac:dyDescent="0.2">
      <c r="A5078" t="s">
        <v>9391</v>
      </c>
      <c r="B5078" t="s">
        <v>8416</v>
      </c>
      <c r="C5078" t="s">
        <v>3106</v>
      </c>
      <c r="D5078" t="s">
        <v>9</v>
      </c>
      <c r="E5078" t="s">
        <v>144</v>
      </c>
      <c r="F5078" s="2" t="str">
        <f>HYPERLINK("http://www.otzar.org/book.asp?19171","ביכורי חיים - 5 כר'")</f>
        <v>ביכורי חיים - 5 כר'</v>
      </c>
    </row>
    <row r="5079" spans="1:6" x14ac:dyDescent="0.2">
      <c r="A5079" t="s">
        <v>9392</v>
      </c>
      <c r="B5079" t="s">
        <v>9393</v>
      </c>
      <c r="C5079" t="s">
        <v>133</v>
      </c>
      <c r="D5079" t="s">
        <v>21</v>
      </c>
      <c r="E5079" t="s">
        <v>144</v>
      </c>
      <c r="F5079" s="2" t="str">
        <f>HYPERLINK("http://www.otzar.org/book.asp?195945","ביכורי יהונתן - ב""ק")</f>
        <v>ביכורי יהונתן - ב"ק</v>
      </c>
    </row>
    <row r="5080" spans="1:6" x14ac:dyDescent="0.2">
      <c r="A5080" t="s">
        <v>9394</v>
      </c>
      <c r="B5080" t="s">
        <v>3883</v>
      </c>
      <c r="C5080" t="s">
        <v>146</v>
      </c>
      <c r="D5080" t="s">
        <v>14</v>
      </c>
      <c r="E5080" t="s">
        <v>144</v>
      </c>
      <c r="F5080" s="2" t="str">
        <f>HYPERLINK("http://www.otzar.org/book.asp?50720","ביכורי יוסף - 4 כר'")</f>
        <v>ביכורי יוסף - 4 כר'</v>
      </c>
    </row>
    <row r="5081" spans="1:6" x14ac:dyDescent="0.2">
      <c r="A5081" t="s">
        <v>9395</v>
      </c>
      <c r="B5081" t="s">
        <v>9396</v>
      </c>
      <c r="C5081" t="s">
        <v>1169</v>
      </c>
      <c r="D5081" t="s">
        <v>80</v>
      </c>
      <c r="E5081" t="s">
        <v>803</v>
      </c>
      <c r="F5081" s="2" t="str">
        <f>HYPERLINK("http://www.otzar.org/book.asp?104665","ביכורי יוסף - 2 כר'")</f>
        <v>ביכורי יוסף - 2 כר'</v>
      </c>
    </row>
    <row r="5082" spans="1:6" x14ac:dyDescent="0.2">
      <c r="A5082" t="s">
        <v>9397</v>
      </c>
      <c r="B5082" t="s">
        <v>9398</v>
      </c>
      <c r="C5082" t="s">
        <v>133</v>
      </c>
      <c r="D5082" t="s">
        <v>52</v>
      </c>
      <c r="E5082" t="s">
        <v>158</v>
      </c>
      <c r="F5082" s="2" t="str">
        <f>HYPERLINK("http://www.otzar.org/book.asp?193724","ביכורי יעקב - 3 כר'")</f>
        <v>ביכורי יעקב - 3 כר'</v>
      </c>
    </row>
    <row r="5083" spans="1:6" x14ac:dyDescent="0.2">
      <c r="A5083" t="s">
        <v>9399</v>
      </c>
      <c r="B5083" t="s">
        <v>9400</v>
      </c>
      <c r="C5083" t="s">
        <v>466</v>
      </c>
      <c r="D5083" t="s">
        <v>14</v>
      </c>
      <c r="E5083" t="s">
        <v>933</v>
      </c>
      <c r="F5083" s="2" t="str">
        <f>HYPERLINK("http://www.otzar.org/book.asp?85028","ביכורי יצחק - 2 כר'")</f>
        <v>ביכורי יצחק - 2 כר'</v>
      </c>
    </row>
    <row r="5084" spans="1:6" x14ac:dyDescent="0.2">
      <c r="A5084" t="s">
        <v>9401</v>
      </c>
      <c r="B5084" t="s">
        <v>9402</v>
      </c>
      <c r="C5084" t="s">
        <v>244</v>
      </c>
      <c r="D5084" t="s">
        <v>21</v>
      </c>
      <c r="E5084" t="s">
        <v>144</v>
      </c>
      <c r="F5084" s="2" t="str">
        <f>HYPERLINK("http://www.otzar.org/book.asp?603489","ביכורי ישראל - סוכה, ב""ב, קידושין")</f>
        <v>ביכורי ישראל - סוכה, ב"ב, קידושין</v>
      </c>
    </row>
    <row r="5085" spans="1:6" x14ac:dyDescent="0.2">
      <c r="A5085" t="s">
        <v>9403</v>
      </c>
      <c r="B5085" t="s">
        <v>9037</v>
      </c>
      <c r="C5085" t="s">
        <v>411</v>
      </c>
      <c r="D5085" t="s">
        <v>412</v>
      </c>
      <c r="E5085" t="s">
        <v>246</v>
      </c>
      <c r="F5085" s="2" t="str">
        <f>HYPERLINK("http://www.otzar.org/book.asp?180157","ביכורי ישראל")</f>
        <v>ביכורי ישראל</v>
      </c>
    </row>
    <row r="5086" spans="1:6" x14ac:dyDescent="0.2">
      <c r="A5086" t="s">
        <v>9404</v>
      </c>
      <c r="B5086" t="s">
        <v>9405</v>
      </c>
      <c r="C5086" t="s">
        <v>1535</v>
      </c>
      <c r="D5086" t="s">
        <v>56</v>
      </c>
      <c r="E5086" t="s">
        <v>1097</v>
      </c>
      <c r="F5086" s="2" t="str">
        <f>HYPERLINK("http://www.otzar.org/book.asp?50862","ביכורי מרדכי")</f>
        <v>ביכורי מרדכי</v>
      </c>
    </row>
    <row r="5087" spans="1:6" x14ac:dyDescent="0.2">
      <c r="A5087" t="s">
        <v>9406</v>
      </c>
      <c r="B5087" t="s">
        <v>9407</v>
      </c>
      <c r="C5087" t="s">
        <v>1706</v>
      </c>
      <c r="D5087" t="s">
        <v>1566</v>
      </c>
      <c r="E5087" t="s">
        <v>786</v>
      </c>
      <c r="F5087" s="2" t="str">
        <f>HYPERLINK("http://www.otzar.org/book.asp?300494","ביכורי משה חיים - ב")</f>
        <v>ביכורי משה חיים - ב</v>
      </c>
    </row>
    <row r="5088" spans="1:6" x14ac:dyDescent="0.2">
      <c r="A5088" t="s">
        <v>9408</v>
      </c>
      <c r="B5088" t="s">
        <v>9409</v>
      </c>
      <c r="C5088" t="s">
        <v>37</v>
      </c>
      <c r="D5088" t="s">
        <v>52</v>
      </c>
      <c r="E5088" t="s">
        <v>144</v>
      </c>
      <c r="F5088" s="2" t="str">
        <f>HYPERLINK("http://www.otzar.org/book.asp?180788","ביכורי משה - נדה")</f>
        <v>ביכורי משה - נדה</v>
      </c>
    </row>
    <row r="5089" spans="1:6" x14ac:dyDescent="0.2">
      <c r="A5089" t="s">
        <v>9410</v>
      </c>
      <c r="B5089" t="s">
        <v>9411</v>
      </c>
      <c r="C5089" t="s">
        <v>244</v>
      </c>
      <c r="D5089" t="s">
        <v>21</v>
      </c>
      <c r="E5089" t="s">
        <v>975</v>
      </c>
      <c r="F5089" s="2" t="str">
        <f>HYPERLINK("http://www.otzar.org/book.asp?610453","ביכורי משה - נשים, נזיקין")</f>
        <v>ביכורי משה - נשים, נזיקין</v>
      </c>
    </row>
    <row r="5090" spans="1:6" x14ac:dyDescent="0.2">
      <c r="A5090" t="s">
        <v>9412</v>
      </c>
      <c r="B5090" t="s">
        <v>9413</v>
      </c>
      <c r="C5090" t="s">
        <v>13</v>
      </c>
      <c r="D5090" t="s">
        <v>245</v>
      </c>
      <c r="E5090" t="s">
        <v>15</v>
      </c>
      <c r="F5090" s="2" t="str">
        <f>HYPERLINK("http://www.otzar.org/book.asp?188530","ביכורי משה")</f>
        <v>ביכורי משה</v>
      </c>
    </row>
    <row r="5091" spans="1:6" x14ac:dyDescent="0.2">
      <c r="A5091" t="s">
        <v>9414</v>
      </c>
      <c r="B5091" t="s">
        <v>1750</v>
      </c>
      <c r="C5091" t="s">
        <v>87</v>
      </c>
      <c r="D5091" t="s">
        <v>4519</v>
      </c>
      <c r="E5091" t="s">
        <v>202</v>
      </c>
      <c r="F5091" s="2" t="str">
        <f>HYPERLINK("http://www.otzar.org/book.asp?106078","ביכורי נחלת יעקב")</f>
        <v>ביכורי נחלת יעקב</v>
      </c>
    </row>
    <row r="5092" spans="1:6" x14ac:dyDescent="0.2">
      <c r="A5092" t="s">
        <v>9415</v>
      </c>
      <c r="B5092" t="s">
        <v>9416</v>
      </c>
      <c r="C5092" t="s">
        <v>2105</v>
      </c>
      <c r="D5092" t="s">
        <v>56</v>
      </c>
      <c r="E5092" t="s">
        <v>2533</v>
      </c>
      <c r="F5092" s="2" t="str">
        <f>HYPERLINK("http://www.otzar.org/book.asp?300490","ביכורי ניסן")</f>
        <v>ביכורי ניסן</v>
      </c>
    </row>
    <row r="5093" spans="1:6" x14ac:dyDescent="0.2">
      <c r="A5093" t="s">
        <v>9417</v>
      </c>
      <c r="B5093" t="s">
        <v>1750</v>
      </c>
      <c r="C5093" t="s">
        <v>767</v>
      </c>
      <c r="D5093" t="s">
        <v>657</v>
      </c>
      <c r="E5093" t="s">
        <v>202</v>
      </c>
      <c r="F5093" s="2" t="str">
        <f>HYPERLINK("http://www.otzar.org/book.asp?160965","ביכורי ספר - א")</f>
        <v>ביכורי ספר - א</v>
      </c>
    </row>
    <row r="5094" spans="1:6" x14ac:dyDescent="0.2">
      <c r="A5094" t="s">
        <v>9418</v>
      </c>
      <c r="B5094" t="s">
        <v>9419</v>
      </c>
      <c r="C5094" t="s">
        <v>151</v>
      </c>
      <c r="D5094" t="s">
        <v>90</v>
      </c>
      <c r="F5094" s="2" t="str">
        <f>HYPERLINK("http://www.otzar.org/book.asp?611888","ביכורי ציון - ביכורים")</f>
        <v>ביכורי ציון - ביכורים</v>
      </c>
    </row>
    <row r="5095" spans="1:6" x14ac:dyDescent="0.2">
      <c r="A5095" t="s">
        <v>9420</v>
      </c>
      <c r="B5095" t="s">
        <v>9421</v>
      </c>
      <c r="C5095" t="s">
        <v>523</v>
      </c>
      <c r="D5095" t="s">
        <v>14</v>
      </c>
      <c r="E5095" t="s">
        <v>158</v>
      </c>
      <c r="F5095" s="2" t="str">
        <f>HYPERLINK("http://www.otzar.org/book.asp?181622","ביכורי ראובן - 2 כר'")</f>
        <v>ביכורי ראובן - 2 כר'</v>
      </c>
    </row>
    <row r="5096" spans="1:6" x14ac:dyDescent="0.2">
      <c r="A5096" t="s">
        <v>9422</v>
      </c>
      <c r="B5096" t="s">
        <v>9423</v>
      </c>
      <c r="C5096" t="s">
        <v>71</v>
      </c>
      <c r="D5096" t="s">
        <v>412</v>
      </c>
      <c r="E5096" t="s">
        <v>144</v>
      </c>
      <c r="F5096" s="2" t="str">
        <f>HYPERLINK("http://www.otzar.org/book.asp?159443","ביכורי ראובן - 5 כר'")</f>
        <v>ביכורי ראובן - 5 כר'</v>
      </c>
    </row>
    <row r="5097" spans="1:6" x14ac:dyDescent="0.2">
      <c r="A5097" t="s">
        <v>9424</v>
      </c>
      <c r="B5097" t="s">
        <v>9425</v>
      </c>
      <c r="C5097" t="s">
        <v>71</v>
      </c>
      <c r="D5097" t="s">
        <v>9426</v>
      </c>
      <c r="F5097" s="2" t="str">
        <f>HYPERLINK("http://www.otzar.org/book.asp?617498","ביכורי שדה")</f>
        <v>ביכורי שדה</v>
      </c>
    </row>
    <row r="5098" spans="1:6" x14ac:dyDescent="0.2">
      <c r="A5098" t="s">
        <v>9427</v>
      </c>
      <c r="B5098" t="s">
        <v>9428</v>
      </c>
      <c r="C5098" t="s">
        <v>20</v>
      </c>
      <c r="D5098" t="s">
        <v>14</v>
      </c>
      <c r="E5098" t="s">
        <v>4779</v>
      </c>
      <c r="F5098" s="2" t="str">
        <f>HYPERLINK("http://www.otzar.org/book.asp?626741","ביכורי שדי - 2 כר'")</f>
        <v>ביכורי שדי - 2 כר'</v>
      </c>
    </row>
    <row r="5099" spans="1:6" x14ac:dyDescent="0.2">
      <c r="A5099" t="s">
        <v>9429</v>
      </c>
      <c r="B5099" t="s">
        <v>9430</v>
      </c>
      <c r="C5099" t="s">
        <v>133</v>
      </c>
      <c r="D5099" t="s">
        <v>14</v>
      </c>
      <c r="E5099" t="s">
        <v>803</v>
      </c>
      <c r="F5099" s="2" t="str">
        <f>HYPERLINK("http://www.otzar.org/book.asp?181779","ביכורי שי")</f>
        <v>ביכורי שי</v>
      </c>
    </row>
    <row r="5100" spans="1:6" x14ac:dyDescent="0.2">
      <c r="A5100" t="s">
        <v>9431</v>
      </c>
      <c r="B5100" t="s">
        <v>9432</v>
      </c>
      <c r="C5100" t="s">
        <v>366</v>
      </c>
      <c r="D5100" t="s">
        <v>14</v>
      </c>
      <c r="E5100" t="s">
        <v>84</v>
      </c>
      <c r="F5100" s="2" t="str">
        <f>HYPERLINK("http://www.otzar.org/book.asp?624825","ביכורי שלמה")</f>
        <v>ביכורי שלמה</v>
      </c>
    </row>
    <row r="5101" spans="1:6" x14ac:dyDescent="0.2">
      <c r="A5101" t="s">
        <v>9433</v>
      </c>
      <c r="B5101" t="s">
        <v>9434</v>
      </c>
      <c r="C5101" t="s">
        <v>87</v>
      </c>
      <c r="D5101" t="s">
        <v>21</v>
      </c>
      <c r="E5101" t="s">
        <v>474</v>
      </c>
      <c r="F5101" s="2" t="str">
        <f>HYPERLINK("http://www.otzar.org/book.asp?190869","ביכורי שמואל")</f>
        <v>ביכורי שמואל</v>
      </c>
    </row>
    <row r="5102" spans="1:6" x14ac:dyDescent="0.2">
      <c r="A5102" t="s">
        <v>9435</v>
      </c>
      <c r="B5102" t="s">
        <v>9436</v>
      </c>
      <c r="C5102" t="s">
        <v>20</v>
      </c>
      <c r="D5102" t="s">
        <v>6133</v>
      </c>
      <c r="E5102" t="s">
        <v>144</v>
      </c>
      <c r="F5102" s="2" t="str">
        <f>HYPERLINK("http://www.otzar.org/book.asp?162823","ביכורי שמחה")</f>
        <v>ביכורי שמחה</v>
      </c>
    </row>
    <row r="5103" spans="1:6" x14ac:dyDescent="0.2">
      <c r="A5103" t="s">
        <v>9437</v>
      </c>
      <c r="B5103" t="s">
        <v>4445</v>
      </c>
      <c r="C5103" t="s">
        <v>366</v>
      </c>
      <c r="D5103" t="s">
        <v>52</v>
      </c>
      <c r="F5103" s="2" t="str">
        <f>HYPERLINK("http://www.otzar.org/book.asp?603660","ביכורי שמעון - 2 כר'")</f>
        <v>ביכורי שמעון - 2 כר'</v>
      </c>
    </row>
    <row r="5104" spans="1:6" x14ac:dyDescent="0.2">
      <c r="A5104" t="s">
        <v>9438</v>
      </c>
      <c r="B5104" t="s">
        <v>9439</v>
      </c>
      <c r="C5104" t="s">
        <v>785</v>
      </c>
      <c r="D5104" t="s">
        <v>14</v>
      </c>
      <c r="E5104" t="s">
        <v>202</v>
      </c>
      <c r="F5104" s="2" t="str">
        <f>HYPERLINK("http://www.otzar.org/book.asp?85092","ביכורים &lt;נזר התורה&gt;")</f>
        <v>ביכורים &lt;נזר התורה&gt;</v>
      </c>
    </row>
    <row r="5105" spans="1:6" x14ac:dyDescent="0.2">
      <c r="A5105" t="s">
        <v>9440</v>
      </c>
      <c r="B5105" t="s">
        <v>1750</v>
      </c>
      <c r="C5105" t="s">
        <v>767</v>
      </c>
      <c r="D5105" t="s">
        <v>4665</v>
      </c>
      <c r="F5105" s="2" t="str">
        <f>HYPERLINK("http://www.otzar.org/book.asp?630399","ביכורים בכרם - 2 כר'")</f>
        <v>ביכורים בכרם - 2 כר'</v>
      </c>
    </row>
    <row r="5106" spans="1:6" x14ac:dyDescent="0.2">
      <c r="A5106" t="s">
        <v>9441</v>
      </c>
      <c r="B5106" t="s">
        <v>382</v>
      </c>
      <c r="C5106" t="s">
        <v>624</v>
      </c>
      <c r="D5106" t="s">
        <v>14</v>
      </c>
      <c r="E5106" t="s">
        <v>202</v>
      </c>
      <c r="F5106" s="2" t="str">
        <f>HYPERLINK("http://www.otzar.org/book.asp?25771","ביכורים - 2 כר'")</f>
        <v>ביכורים - 2 כר'</v>
      </c>
    </row>
    <row r="5107" spans="1:6" x14ac:dyDescent="0.2">
      <c r="A5107" t="s">
        <v>9442</v>
      </c>
      <c r="B5107" t="s">
        <v>9358</v>
      </c>
      <c r="C5107" t="s">
        <v>624</v>
      </c>
      <c r="D5107" t="s">
        <v>216</v>
      </c>
      <c r="F5107" s="2" t="str">
        <f>HYPERLINK("http://www.otzar.org/book.asp?614618","בילקה -בילקה שלי שהיתה ואיננה -ב")</f>
        <v>בילקה -בילקה שלי שהיתה ואיננה -ב</v>
      </c>
    </row>
    <row r="5108" spans="1:6" x14ac:dyDescent="0.2">
      <c r="A5108" t="s">
        <v>9443</v>
      </c>
      <c r="B5108" t="s">
        <v>9444</v>
      </c>
      <c r="C5108" t="s">
        <v>2284</v>
      </c>
      <c r="D5108" t="s">
        <v>14</v>
      </c>
      <c r="E5108" t="s">
        <v>158</v>
      </c>
      <c r="F5108" s="2" t="str">
        <f>HYPERLINK("http://www.otzar.org/book.asp?22957","בים דרך - 5 כר'")</f>
        <v>בים דרך - 5 כר'</v>
      </c>
    </row>
    <row r="5109" spans="1:6" x14ac:dyDescent="0.2">
      <c r="A5109" t="s">
        <v>9445</v>
      </c>
      <c r="B5109" t="s">
        <v>1602</v>
      </c>
      <c r="C5109" t="s">
        <v>189</v>
      </c>
      <c r="D5109" t="s">
        <v>14</v>
      </c>
      <c r="E5109" t="s">
        <v>158</v>
      </c>
      <c r="F5109" s="2" t="str">
        <f>HYPERLINK("http://www.otzar.org/book.asp?50901","בים דרך - 2 כר'")</f>
        <v>בים דרך - 2 כר'</v>
      </c>
    </row>
    <row r="5110" spans="1:6" x14ac:dyDescent="0.2">
      <c r="A5110" t="s">
        <v>9446</v>
      </c>
      <c r="B5110" t="s">
        <v>9447</v>
      </c>
      <c r="C5110" t="s">
        <v>13</v>
      </c>
      <c r="D5110" t="s">
        <v>14</v>
      </c>
      <c r="E5110" t="s">
        <v>158</v>
      </c>
      <c r="F5110" s="2" t="str">
        <f>HYPERLINK("http://www.otzar.org/book.asp?148783","בים דרך - 8 כר'")</f>
        <v>בים דרך - 8 כר'</v>
      </c>
    </row>
    <row r="5111" spans="1:6" x14ac:dyDescent="0.2">
      <c r="A5111" t="s">
        <v>9448</v>
      </c>
      <c r="B5111" t="s">
        <v>9449</v>
      </c>
      <c r="C5111" t="s">
        <v>244</v>
      </c>
      <c r="D5111" t="s">
        <v>14</v>
      </c>
      <c r="E5111" t="s">
        <v>467</v>
      </c>
      <c r="F5111" s="2" t="str">
        <f>HYPERLINK("http://www.otzar.org/book.asp?198144","בימי מר והדס")</f>
        <v>בימי מר והדס</v>
      </c>
    </row>
    <row r="5112" spans="1:6" x14ac:dyDescent="0.2">
      <c r="A5112" t="s">
        <v>9450</v>
      </c>
      <c r="B5112" t="s">
        <v>9451</v>
      </c>
      <c r="C5112" t="s">
        <v>114</v>
      </c>
      <c r="D5112" t="s">
        <v>14</v>
      </c>
      <c r="E5112" t="s">
        <v>119</v>
      </c>
      <c r="F5112" s="2" t="str">
        <f>HYPERLINK("http://www.otzar.org/book.asp?157855","בימי מתתיהו בן יוחנן")</f>
        <v>בימי מתתיהו בן יוחנן</v>
      </c>
    </row>
    <row r="5113" spans="1:6" x14ac:dyDescent="0.2">
      <c r="A5113" t="s">
        <v>9452</v>
      </c>
      <c r="B5113" t="s">
        <v>9453</v>
      </c>
      <c r="C5113" t="s">
        <v>129</v>
      </c>
      <c r="D5113" t="s">
        <v>118</v>
      </c>
      <c r="E5113" t="s">
        <v>246</v>
      </c>
      <c r="F5113" s="2" t="str">
        <f>HYPERLINK("http://www.otzar.org/book.asp?182577","בימים הנוראים מתעוררים האנשים הנוראים")</f>
        <v>בימים הנוראים מתעוררים האנשים הנוראים</v>
      </c>
    </row>
    <row r="5114" spans="1:6" x14ac:dyDescent="0.2">
      <c r="A5114" t="s">
        <v>9454</v>
      </c>
      <c r="B5114" t="s">
        <v>9455</v>
      </c>
      <c r="C5114" t="s">
        <v>624</v>
      </c>
      <c r="D5114" t="s">
        <v>14</v>
      </c>
      <c r="E5114" t="s">
        <v>213</v>
      </c>
      <c r="F5114" s="2" t="str">
        <f>HYPERLINK("http://www.otzar.org/book.asp?61047","בין אדם לאדם")</f>
        <v>בין אדם לאדם</v>
      </c>
    </row>
    <row r="5115" spans="1:6" x14ac:dyDescent="0.2">
      <c r="A5115" t="s">
        <v>9456</v>
      </c>
      <c r="B5115" t="s">
        <v>9457</v>
      </c>
      <c r="C5115" t="s">
        <v>411</v>
      </c>
      <c r="D5115" t="s">
        <v>1511</v>
      </c>
      <c r="F5115" s="2" t="str">
        <f>HYPERLINK("http://www.otzar.org/book.asp?199383","בין אדם לחבירו")</f>
        <v>בין אדם לחבירו</v>
      </c>
    </row>
    <row r="5116" spans="1:6" x14ac:dyDescent="0.2">
      <c r="A5116" t="s">
        <v>9458</v>
      </c>
      <c r="B5116" t="s">
        <v>9459</v>
      </c>
      <c r="C5116" t="s">
        <v>454</v>
      </c>
      <c r="D5116" t="s">
        <v>139</v>
      </c>
      <c r="E5116" t="s">
        <v>241</v>
      </c>
      <c r="F5116" s="2" t="str">
        <f>HYPERLINK("http://www.otzar.org/book.asp?183401","בין אדם לחבירו - לא תקום ולא תטור")</f>
        <v>בין אדם לחבירו - לא תקום ולא תטור</v>
      </c>
    </row>
    <row r="5117" spans="1:6" x14ac:dyDescent="0.2">
      <c r="A5117" t="s">
        <v>9460</v>
      </c>
      <c r="B5117" t="s">
        <v>9461</v>
      </c>
      <c r="C5117" t="s">
        <v>1268</v>
      </c>
      <c r="D5117" t="s">
        <v>118</v>
      </c>
      <c r="E5117" t="s">
        <v>241</v>
      </c>
      <c r="F5117" s="2" t="str">
        <f>HYPERLINK("http://www.otzar.org/book.asp?12951","בין אדם לקונו")</f>
        <v>בין אדם לקונו</v>
      </c>
    </row>
    <row r="5118" spans="1:6" x14ac:dyDescent="0.2">
      <c r="A5118" t="s">
        <v>9462</v>
      </c>
      <c r="B5118" t="s">
        <v>9463</v>
      </c>
      <c r="C5118" t="s">
        <v>114</v>
      </c>
      <c r="D5118" t="s">
        <v>52</v>
      </c>
      <c r="E5118" t="s">
        <v>104</v>
      </c>
      <c r="F5118" s="2" t="str">
        <f>HYPERLINK("http://www.otzar.org/book.asp?616620","בין אור לחושך")</f>
        <v>בין אור לחושך</v>
      </c>
    </row>
    <row r="5119" spans="1:6" x14ac:dyDescent="0.2">
      <c r="A5119" t="s">
        <v>9464</v>
      </c>
      <c r="B5119" t="s">
        <v>9465</v>
      </c>
      <c r="C5119" t="s">
        <v>106</v>
      </c>
      <c r="D5119" t="s">
        <v>52</v>
      </c>
      <c r="E5119" t="s">
        <v>213</v>
      </c>
      <c r="F5119" s="2" t="str">
        <f>HYPERLINK("http://www.otzar.org/book.asp?26045","בין ארץ ישראל למדינת ישראל")</f>
        <v>בין ארץ ישראל למדינת ישראל</v>
      </c>
    </row>
    <row r="5120" spans="1:6" x14ac:dyDescent="0.2">
      <c r="A5120" t="s">
        <v>9466</v>
      </c>
      <c r="B5120" t="s">
        <v>5634</v>
      </c>
      <c r="C5120" t="s">
        <v>68</v>
      </c>
      <c r="D5120" t="s">
        <v>52</v>
      </c>
      <c r="E5120" t="s">
        <v>234</v>
      </c>
      <c r="F5120" s="2" t="str">
        <f>HYPERLINK("http://www.otzar.org/book.asp?161561","בין ההדסים")</f>
        <v>בין ההדסים</v>
      </c>
    </row>
    <row r="5121" spans="1:6" x14ac:dyDescent="0.2">
      <c r="A5121" t="s">
        <v>9467</v>
      </c>
      <c r="B5121" t="s">
        <v>206</v>
      </c>
      <c r="C5121" t="s">
        <v>129</v>
      </c>
      <c r="D5121" t="s">
        <v>52</v>
      </c>
      <c r="E5121" t="s">
        <v>241</v>
      </c>
      <c r="F5121" s="2" t="str">
        <f>HYPERLINK("http://www.otzar.org/book.asp?159624","בין הזמנים")</f>
        <v>בין הזמנים</v>
      </c>
    </row>
    <row r="5122" spans="1:6" x14ac:dyDescent="0.2">
      <c r="A5122" t="s">
        <v>9467</v>
      </c>
      <c r="B5122" t="s">
        <v>1353</v>
      </c>
      <c r="C5122" t="s">
        <v>68</v>
      </c>
      <c r="D5122" t="s">
        <v>80</v>
      </c>
      <c r="E5122" t="s">
        <v>241</v>
      </c>
      <c r="F5122" s="2" t="str">
        <f>HYPERLINK("http://www.otzar.org/book.asp?197780","בין הזמנים")</f>
        <v>בין הזמנים</v>
      </c>
    </row>
    <row r="5123" spans="1:6" x14ac:dyDescent="0.2">
      <c r="A5123" t="s">
        <v>9468</v>
      </c>
      <c r="B5123" t="s">
        <v>9469</v>
      </c>
      <c r="C5123" t="s">
        <v>777</v>
      </c>
      <c r="D5123" t="s">
        <v>260</v>
      </c>
      <c r="E5123" t="s">
        <v>246</v>
      </c>
      <c r="F5123" s="2" t="str">
        <f>HYPERLINK("http://www.otzar.org/book.asp?181056","בין המצרים")</f>
        <v>בין המצרים</v>
      </c>
    </row>
    <row r="5124" spans="1:6" x14ac:dyDescent="0.2">
      <c r="A5124" t="s">
        <v>9468</v>
      </c>
      <c r="B5124" t="s">
        <v>9470</v>
      </c>
      <c r="C5124" t="s">
        <v>1570</v>
      </c>
      <c r="D5124" t="s">
        <v>80</v>
      </c>
      <c r="E5124" t="s">
        <v>246</v>
      </c>
      <c r="F5124" s="2" t="str">
        <f>HYPERLINK("http://www.otzar.org/book.asp?606902","בין המצרים")</f>
        <v>בין המצרים</v>
      </c>
    </row>
    <row r="5125" spans="1:6" x14ac:dyDescent="0.2">
      <c r="A5125" t="s">
        <v>9471</v>
      </c>
      <c r="B5125" t="s">
        <v>9472</v>
      </c>
      <c r="C5125" t="s">
        <v>168</v>
      </c>
      <c r="D5125" t="s">
        <v>52</v>
      </c>
      <c r="E5125" t="s">
        <v>144</v>
      </c>
      <c r="F5125" s="2" t="str">
        <f>HYPERLINK("http://www.otzar.org/book.asp?106641","בין המשפתים - 15 כר'")</f>
        <v>בין המשפתים - 15 כר'</v>
      </c>
    </row>
    <row r="5126" spans="1:6" x14ac:dyDescent="0.2">
      <c r="A5126" t="s">
        <v>9473</v>
      </c>
      <c r="B5126" t="s">
        <v>9474</v>
      </c>
      <c r="C5126" t="s">
        <v>624</v>
      </c>
      <c r="D5126" t="s">
        <v>1511</v>
      </c>
      <c r="E5126" t="s">
        <v>933</v>
      </c>
      <c r="F5126" s="2" t="str">
        <f>HYPERLINK("http://www.otzar.org/book.asp?197708","בין המשפתים")</f>
        <v>בין המשפתים</v>
      </c>
    </row>
    <row r="5127" spans="1:6" x14ac:dyDescent="0.2">
      <c r="A5127" t="s">
        <v>9475</v>
      </c>
      <c r="B5127" t="s">
        <v>9476</v>
      </c>
      <c r="C5127" t="s">
        <v>129</v>
      </c>
      <c r="D5127" t="s">
        <v>14</v>
      </c>
      <c r="E5127" t="s">
        <v>144</v>
      </c>
      <c r="F5127" s="2" t="str">
        <f>HYPERLINK("http://www.otzar.org/book.asp?152441","בין המשפתים - שמעתא דתגרי לוד")</f>
        <v>בין המשפתים - שמעתא דתגרי לוד</v>
      </c>
    </row>
    <row r="5128" spans="1:6" x14ac:dyDescent="0.2">
      <c r="A5128" t="s">
        <v>9477</v>
      </c>
      <c r="B5128" t="s">
        <v>2396</v>
      </c>
      <c r="C5128" t="s">
        <v>20</v>
      </c>
      <c r="D5128" t="s">
        <v>1076</v>
      </c>
      <c r="E5128" t="s">
        <v>144</v>
      </c>
      <c r="F5128" s="2" t="str">
        <f>HYPERLINK("http://www.otzar.org/book.asp?22817","בין הפרקים")</f>
        <v>בין הפרקים</v>
      </c>
    </row>
    <row r="5129" spans="1:6" x14ac:dyDescent="0.2">
      <c r="A5129" t="s">
        <v>9478</v>
      </c>
      <c r="B5129" t="s">
        <v>9479</v>
      </c>
      <c r="C5129" t="s">
        <v>427</v>
      </c>
      <c r="D5129" t="s">
        <v>14</v>
      </c>
      <c r="E5129" t="s">
        <v>158</v>
      </c>
      <c r="F5129" s="2" t="str">
        <f>HYPERLINK("http://www.otzar.org/book.asp?150565","בין השיטין של תורה")</f>
        <v>בין השיטין של תורה</v>
      </c>
    </row>
    <row r="5130" spans="1:6" x14ac:dyDescent="0.2">
      <c r="A5130" t="s">
        <v>9480</v>
      </c>
      <c r="B5130" t="s">
        <v>9481</v>
      </c>
      <c r="C5130" t="s">
        <v>133</v>
      </c>
      <c r="D5130" t="s">
        <v>1356</v>
      </c>
      <c r="E5130" t="s">
        <v>1164</v>
      </c>
      <c r="F5130" s="2" t="str">
        <f>HYPERLINK("http://www.otzar.org/book.asp?625876","בין השמשות דר""ת וזמן הדלקת נרות חנוכה")</f>
        <v>בין השמשות דר"ת וזמן הדלקת נרות חנוכה</v>
      </c>
    </row>
    <row r="5131" spans="1:6" x14ac:dyDescent="0.2">
      <c r="A5131" t="s">
        <v>9482</v>
      </c>
      <c r="B5131" t="s">
        <v>9483</v>
      </c>
      <c r="C5131" t="s">
        <v>2543</v>
      </c>
      <c r="D5131" t="s">
        <v>9484</v>
      </c>
      <c r="E5131" t="s">
        <v>104</v>
      </c>
      <c r="F5131" s="2" t="str">
        <f>HYPERLINK("http://www.otzar.org/book.asp?300402","בין השמשות")</f>
        <v>בין השמשות</v>
      </c>
    </row>
    <row r="5132" spans="1:6" x14ac:dyDescent="0.2">
      <c r="A5132" t="s">
        <v>9485</v>
      </c>
      <c r="B5132" t="s">
        <v>9486</v>
      </c>
      <c r="C5132" t="s">
        <v>151</v>
      </c>
      <c r="D5132" t="s">
        <v>367</v>
      </c>
      <c r="F5132" s="2" t="str">
        <f>HYPERLINK("http://www.otzar.org/book.asp?611701","בין השמשות - מאמרים ומכתבים")</f>
        <v>בין השמשות - מאמרים ומכתבים</v>
      </c>
    </row>
    <row r="5133" spans="1:6" x14ac:dyDescent="0.2">
      <c r="A5133" t="s">
        <v>9482</v>
      </c>
      <c r="B5133" t="s">
        <v>5501</v>
      </c>
      <c r="C5133" t="s">
        <v>609</v>
      </c>
      <c r="D5133" t="s">
        <v>27</v>
      </c>
      <c r="E5133" t="s">
        <v>104</v>
      </c>
      <c r="F5133" s="2" t="str">
        <f>HYPERLINK("http://www.otzar.org/book.asp?12737","בין השמשות")</f>
        <v>בין השמשות</v>
      </c>
    </row>
    <row r="5134" spans="1:6" x14ac:dyDescent="0.2">
      <c r="A5134" t="s">
        <v>9487</v>
      </c>
      <c r="B5134" t="s">
        <v>9488</v>
      </c>
      <c r="C5134" t="s">
        <v>87</v>
      </c>
      <c r="D5134" t="s">
        <v>260</v>
      </c>
      <c r="E5134" t="s">
        <v>119</v>
      </c>
      <c r="F5134" s="2" t="str">
        <f>HYPERLINK("http://www.otzar.org/book.asp?604328","בין זיכרון להכחשה")</f>
        <v>בין זיכרון להכחשה</v>
      </c>
    </row>
    <row r="5135" spans="1:6" x14ac:dyDescent="0.2">
      <c r="A5135" t="s">
        <v>9489</v>
      </c>
      <c r="B5135" t="s">
        <v>4980</v>
      </c>
      <c r="C5135" t="s">
        <v>1448</v>
      </c>
      <c r="D5135" t="s">
        <v>14</v>
      </c>
      <c r="E5135" t="s">
        <v>104</v>
      </c>
      <c r="F5135" s="2" t="str">
        <f>HYPERLINK("http://www.otzar.org/book.asp?172210","בין ירושלים והגולה")</f>
        <v>בין ירושלים והגולה</v>
      </c>
    </row>
    <row r="5136" spans="1:6" x14ac:dyDescent="0.2">
      <c r="A5136" t="s">
        <v>9490</v>
      </c>
      <c r="B5136" t="s">
        <v>9491</v>
      </c>
      <c r="C5136" t="s">
        <v>411</v>
      </c>
      <c r="D5136" t="s">
        <v>14</v>
      </c>
      <c r="E5136" t="s">
        <v>15</v>
      </c>
      <c r="F5136" s="2" t="str">
        <f>HYPERLINK("http://www.otzar.org/book.asp?620161","בין ישראל לנכרי - 4 כר'")</f>
        <v>בין ישראל לנכרי - 4 כר'</v>
      </c>
    </row>
    <row r="5137" spans="1:6" x14ac:dyDescent="0.2">
      <c r="A5137" t="s">
        <v>9492</v>
      </c>
      <c r="B5137" t="s">
        <v>9493</v>
      </c>
      <c r="C5137" t="s">
        <v>13</v>
      </c>
      <c r="D5137" t="s">
        <v>423</v>
      </c>
      <c r="E5137" t="s">
        <v>104</v>
      </c>
      <c r="F5137" s="2" t="str">
        <f>HYPERLINK("http://www.otzar.org/book.asp?148386","בין ישראל לעמים הבדלת")</f>
        <v>בין ישראל לעמים הבדלת</v>
      </c>
    </row>
    <row r="5138" spans="1:6" x14ac:dyDescent="0.2">
      <c r="A5138" t="s">
        <v>9494</v>
      </c>
      <c r="B5138" t="s">
        <v>9495</v>
      </c>
      <c r="C5138" t="s">
        <v>17</v>
      </c>
      <c r="D5138" t="s">
        <v>14</v>
      </c>
      <c r="E5138" t="s">
        <v>15</v>
      </c>
      <c r="F5138" s="2" t="str">
        <f>HYPERLINK("http://www.otzar.org/book.asp?24939","בין ישראל לעמים")</f>
        <v>בין ישראל לעמים</v>
      </c>
    </row>
    <row r="5139" spans="1:6" x14ac:dyDescent="0.2">
      <c r="A5139" t="s">
        <v>9494</v>
      </c>
      <c r="B5139" t="s">
        <v>9496</v>
      </c>
      <c r="C5139" t="s">
        <v>482</v>
      </c>
      <c r="D5139" t="s">
        <v>27</v>
      </c>
      <c r="E5139" t="s">
        <v>213</v>
      </c>
      <c r="F5139" s="2" t="str">
        <f>HYPERLINK("http://www.otzar.org/book.asp?11893","בין ישראל לעמים")</f>
        <v>בין ישראל לעמים</v>
      </c>
    </row>
    <row r="5140" spans="1:6" x14ac:dyDescent="0.2">
      <c r="A5140" t="s">
        <v>9497</v>
      </c>
      <c r="B5140" t="s">
        <v>9498</v>
      </c>
      <c r="C5140" t="s">
        <v>2870</v>
      </c>
      <c r="D5140" t="s">
        <v>412</v>
      </c>
      <c r="E5140" t="s">
        <v>564</v>
      </c>
      <c r="F5140" s="2" t="str">
        <f>HYPERLINK("http://www.otzar.org/book.asp?17230","בין ישראל לעמים - א ב")</f>
        <v>בין ישראל לעמים - א ב</v>
      </c>
    </row>
    <row r="5141" spans="1:6" x14ac:dyDescent="0.2">
      <c r="A5141" t="s">
        <v>9494</v>
      </c>
      <c r="B5141" t="s">
        <v>4761</v>
      </c>
      <c r="C5141" t="s">
        <v>103</v>
      </c>
      <c r="D5141" t="s">
        <v>14</v>
      </c>
      <c r="E5141" t="s">
        <v>15</v>
      </c>
      <c r="F5141" s="2" t="str">
        <f>HYPERLINK("http://www.otzar.org/book.asp?50522","בין ישראל לעמים")</f>
        <v>בין ישראל לעמים</v>
      </c>
    </row>
    <row r="5142" spans="1:6" x14ac:dyDescent="0.2">
      <c r="A5142" t="s">
        <v>9499</v>
      </c>
      <c r="B5142" t="s">
        <v>9500</v>
      </c>
      <c r="C5142" t="s">
        <v>17</v>
      </c>
      <c r="D5142" t="s">
        <v>52</v>
      </c>
      <c r="E5142" t="s">
        <v>202</v>
      </c>
      <c r="F5142" s="2" t="str">
        <f>HYPERLINK("http://www.otzar.org/book.asp?171208","בין כתלי בית המדרש - 5 כר'")</f>
        <v>בין כתלי בית המדרש - 5 כר'</v>
      </c>
    </row>
    <row r="5143" spans="1:6" x14ac:dyDescent="0.2">
      <c r="A5143" t="s">
        <v>9501</v>
      </c>
      <c r="B5143" t="s">
        <v>9502</v>
      </c>
      <c r="C5143" t="s">
        <v>143</v>
      </c>
      <c r="D5143" t="s">
        <v>216</v>
      </c>
      <c r="E5143" t="s">
        <v>733</v>
      </c>
      <c r="F5143" s="2" t="str">
        <f>HYPERLINK("http://www.otzar.org/book.asp?64131","בין עדן ותימן - ג")</f>
        <v>בין עדן ותימן - ג</v>
      </c>
    </row>
    <row r="5144" spans="1:6" x14ac:dyDescent="0.2">
      <c r="A5144" t="s">
        <v>9503</v>
      </c>
      <c r="B5144" t="s">
        <v>9504</v>
      </c>
      <c r="C5144" t="s">
        <v>454</v>
      </c>
      <c r="D5144" t="s">
        <v>52</v>
      </c>
      <c r="E5144" t="s">
        <v>246</v>
      </c>
      <c r="F5144" s="2" t="str">
        <f>HYPERLINK("http://www.otzar.org/book.asp?143113","בין פסח לעצרת")</f>
        <v>בין פסח לעצרת</v>
      </c>
    </row>
    <row r="5145" spans="1:6" x14ac:dyDescent="0.2">
      <c r="A5145" t="s">
        <v>9505</v>
      </c>
      <c r="B5145" t="s">
        <v>9506</v>
      </c>
      <c r="C5145" t="s">
        <v>114</v>
      </c>
      <c r="D5145" t="s">
        <v>52</v>
      </c>
      <c r="E5145" t="s">
        <v>104</v>
      </c>
      <c r="F5145" s="2" t="str">
        <f>HYPERLINK("http://www.otzar.org/book.asp?162551","בין תכלת לארגמן - 2 כר'")</f>
        <v>בין תכלת לארגמן - 2 כר'</v>
      </c>
    </row>
    <row r="5146" spans="1:6" x14ac:dyDescent="0.2">
      <c r="A5146" t="s">
        <v>9507</v>
      </c>
      <c r="B5146" t="s">
        <v>9508</v>
      </c>
      <c r="C5146" t="s">
        <v>356</v>
      </c>
      <c r="D5146" t="s">
        <v>27</v>
      </c>
      <c r="E5146" t="s">
        <v>158</v>
      </c>
      <c r="F5146" s="2" t="str">
        <f>HYPERLINK("http://www.otzar.org/book.asp?181733","בינה במקראות ובמפרשים - בראשית")</f>
        <v>בינה במקראות ובמפרשים - בראשית</v>
      </c>
    </row>
    <row r="5147" spans="1:6" x14ac:dyDescent="0.2">
      <c r="A5147" t="s">
        <v>9509</v>
      </c>
      <c r="B5147" t="s">
        <v>9510</v>
      </c>
      <c r="C5147" t="s">
        <v>71</v>
      </c>
      <c r="D5147" t="s">
        <v>14</v>
      </c>
      <c r="E5147" t="s">
        <v>144</v>
      </c>
      <c r="F5147" s="2" t="str">
        <f>HYPERLINK("http://www.otzar.org/book.asp?64070","בינה ודעת - 3 כר'")</f>
        <v>בינה ודעת - 3 כר'</v>
      </c>
    </row>
    <row r="5148" spans="1:6" x14ac:dyDescent="0.2">
      <c r="A5148" t="s">
        <v>9511</v>
      </c>
      <c r="B5148" t="s">
        <v>9512</v>
      </c>
      <c r="C5148" t="s">
        <v>553</v>
      </c>
      <c r="D5148" t="s">
        <v>14</v>
      </c>
      <c r="E5148" t="s">
        <v>158</v>
      </c>
      <c r="F5148" s="2" t="str">
        <f>HYPERLINK("http://www.otzar.org/book.asp?158769","בינה ולב")</f>
        <v>בינה ולב</v>
      </c>
    </row>
    <row r="5149" spans="1:6" x14ac:dyDescent="0.2">
      <c r="A5149" t="s">
        <v>9513</v>
      </c>
      <c r="B5149" t="s">
        <v>9514</v>
      </c>
      <c r="C5149" t="s">
        <v>23</v>
      </c>
      <c r="D5149" t="s">
        <v>52</v>
      </c>
      <c r="F5149" s="2" t="str">
        <f>HYPERLINK("http://www.otzar.org/book.asp?198179","בינה להשכיל")</f>
        <v>בינה להשכיל</v>
      </c>
    </row>
    <row r="5150" spans="1:6" x14ac:dyDescent="0.2">
      <c r="A5150" t="s">
        <v>9515</v>
      </c>
      <c r="B5150" t="s">
        <v>9516</v>
      </c>
      <c r="C5150" t="s">
        <v>114</v>
      </c>
      <c r="D5150" t="s">
        <v>52</v>
      </c>
      <c r="F5150" s="2" t="str">
        <f>HYPERLINK("http://www.otzar.org/book.asp?610022","בינה לעתים &lt;מהדורה חדשה&gt;")</f>
        <v>בינה לעתים &lt;מהדורה חדשה&gt;</v>
      </c>
    </row>
    <row r="5151" spans="1:6" x14ac:dyDescent="0.2">
      <c r="A5151" t="s">
        <v>9517</v>
      </c>
      <c r="B5151" t="s">
        <v>5703</v>
      </c>
      <c r="C5151" t="s">
        <v>351</v>
      </c>
      <c r="D5151" t="s">
        <v>283</v>
      </c>
      <c r="E5151" t="s">
        <v>579</v>
      </c>
      <c r="F5151" s="2" t="str">
        <f>HYPERLINK("http://www.otzar.org/book.asp?17044","בינה לעתים החדש")</f>
        <v>בינה לעתים החדש</v>
      </c>
    </row>
    <row r="5152" spans="1:6" x14ac:dyDescent="0.2">
      <c r="A5152" t="s">
        <v>9518</v>
      </c>
      <c r="B5152" t="s">
        <v>1990</v>
      </c>
      <c r="C5152" t="s">
        <v>1954</v>
      </c>
      <c r="D5152" t="s">
        <v>216</v>
      </c>
      <c r="E5152" t="s">
        <v>15</v>
      </c>
      <c r="F5152" s="2" t="str">
        <f>HYPERLINK("http://www.otzar.org/book.asp?158153","בינה לעתים - 3 כר'")</f>
        <v>בינה לעתים - 3 כר'</v>
      </c>
    </row>
    <row r="5153" spans="1:6" x14ac:dyDescent="0.2">
      <c r="A5153" t="s">
        <v>9519</v>
      </c>
      <c r="B5153" t="s">
        <v>9520</v>
      </c>
      <c r="C5153" t="s">
        <v>743</v>
      </c>
      <c r="D5153" t="s">
        <v>1023</v>
      </c>
      <c r="E5153" t="s">
        <v>219</v>
      </c>
      <c r="F5153" s="2" t="str">
        <f>HYPERLINK("http://www.otzar.org/book.asp?300398","בינה לעתים")</f>
        <v>בינה לעתים</v>
      </c>
    </row>
    <row r="5154" spans="1:6" x14ac:dyDescent="0.2">
      <c r="A5154" t="s">
        <v>9519</v>
      </c>
      <c r="B5154" t="s">
        <v>9519</v>
      </c>
      <c r="C5154" t="s">
        <v>9521</v>
      </c>
      <c r="D5154" t="s">
        <v>4352</v>
      </c>
      <c r="F5154" s="2" t="str">
        <f>HYPERLINK("http://www.otzar.org/book.asp?628253","בינה לעתים")</f>
        <v>בינה לעתים</v>
      </c>
    </row>
    <row r="5155" spans="1:6" x14ac:dyDescent="0.2">
      <c r="A5155" t="s">
        <v>9522</v>
      </c>
      <c r="B5155" t="s">
        <v>9523</v>
      </c>
      <c r="C5155" t="s">
        <v>9524</v>
      </c>
      <c r="D5155" t="s">
        <v>49</v>
      </c>
      <c r="F5155" s="2" t="str">
        <f>HYPERLINK("http://www.otzar.org/book.asp?164790","בינה לעתים - 5 כר'")</f>
        <v>בינה לעתים - 5 כר'</v>
      </c>
    </row>
    <row r="5156" spans="1:6" x14ac:dyDescent="0.2">
      <c r="A5156" t="s">
        <v>9525</v>
      </c>
      <c r="B5156" t="s">
        <v>9526</v>
      </c>
      <c r="C5156" t="s">
        <v>624</v>
      </c>
      <c r="D5156" t="s">
        <v>52</v>
      </c>
      <c r="E5156" t="s">
        <v>1157</v>
      </c>
      <c r="F5156" s="2" t="str">
        <f>HYPERLINK("http://www.otzar.org/book.asp?22888","בינה לעתים - 4 כר'")</f>
        <v>בינה לעתים - 4 כר'</v>
      </c>
    </row>
    <row r="5157" spans="1:6" x14ac:dyDescent="0.2">
      <c r="A5157" t="s">
        <v>9519</v>
      </c>
      <c r="B5157" t="s">
        <v>4480</v>
      </c>
      <c r="C5157" t="s">
        <v>356</v>
      </c>
      <c r="D5157" t="s">
        <v>14</v>
      </c>
      <c r="E5157" t="s">
        <v>9527</v>
      </c>
      <c r="F5157" s="2" t="str">
        <f>HYPERLINK("http://www.otzar.org/book.asp?13501","בינה לעתים")</f>
        <v>בינה לעתים</v>
      </c>
    </row>
    <row r="5158" spans="1:6" x14ac:dyDescent="0.2">
      <c r="A5158" t="s">
        <v>9528</v>
      </c>
      <c r="B5158" t="s">
        <v>3286</v>
      </c>
      <c r="C5158" t="s">
        <v>146</v>
      </c>
      <c r="D5158" t="s">
        <v>52</v>
      </c>
      <c r="E5158" t="s">
        <v>733</v>
      </c>
      <c r="F5158" s="2" t="str">
        <f>HYPERLINK("http://www.otzar.org/book.asp?142285","בינו שנות דור ודור")</f>
        <v>בינו שנות דור ודור</v>
      </c>
    </row>
    <row r="5159" spans="1:6" x14ac:dyDescent="0.2">
      <c r="A5159" t="s">
        <v>9528</v>
      </c>
      <c r="B5159" t="s">
        <v>107</v>
      </c>
      <c r="C5159" t="s">
        <v>1388</v>
      </c>
      <c r="D5159" t="s">
        <v>14</v>
      </c>
      <c r="E5159" t="s">
        <v>119</v>
      </c>
      <c r="F5159" s="2" t="str">
        <f>HYPERLINK("http://www.otzar.org/book.asp?84010","בינו שנות דור ודור")</f>
        <v>בינו שנות דור ודור</v>
      </c>
    </row>
    <row r="5160" spans="1:6" x14ac:dyDescent="0.2">
      <c r="A5160" t="s">
        <v>9529</v>
      </c>
      <c r="B5160" t="s">
        <v>382</v>
      </c>
      <c r="C5160" t="s">
        <v>13</v>
      </c>
      <c r="D5160" t="s">
        <v>9530</v>
      </c>
      <c r="E5160" t="s">
        <v>202</v>
      </c>
      <c r="F5160" s="2" t="str">
        <f>HYPERLINK("http://www.otzar.org/book.asp?171844","בינות")</f>
        <v>בינות</v>
      </c>
    </row>
    <row r="5161" spans="1:6" x14ac:dyDescent="0.2">
      <c r="A5161" t="s">
        <v>9531</v>
      </c>
      <c r="B5161" t="s">
        <v>9532</v>
      </c>
      <c r="C5161" t="s">
        <v>133</v>
      </c>
      <c r="D5161" t="s">
        <v>152</v>
      </c>
      <c r="E5161" t="s">
        <v>246</v>
      </c>
      <c r="F5161" s="2" t="str">
        <f>HYPERLINK("http://www.otzar.org/book.asp?608131","ביני ובין בני ישראל - 2 כר'")</f>
        <v>ביני ובין בני ישראל - 2 כר'</v>
      </c>
    </row>
    <row r="5162" spans="1:6" x14ac:dyDescent="0.2">
      <c r="A5162" t="s">
        <v>9533</v>
      </c>
      <c r="B5162" t="s">
        <v>9534</v>
      </c>
      <c r="C5162" t="s">
        <v>20</v>
      </c>
      <c r="D5162" t="s">
        <v>90</v>
      </c>
      <c r="F5162" s="2" t="str">
        <f>HYPERLINK("http://www.otzar.org/book.asp?611122","ביני לבני - 2 כר'")</f>
        <v>ביני לבני - 2 כר'</v>
      </c>
    </row>
    <row r="5163" spans="1:6" x14ac:dyDescent="0.2">
      <c r="A5163" t="s">
        <v>9535</v>
      </c>
      <c r="B5163" t="s">
        <v>9536</v>
      </c>
      <c r="C5163" t="s">
        <v>313</v>
      </c>
      <c r="D5163" t="s">
        <v>52</v>
      </c>
      <c r="E5163" t="s">
        <v>202</v>
      </c>
      <c r="F5163" s="2" t="str">
        <f>HYPERLINK("http://www.otzar.org/book.asp?626309","ביני עמודי - 2 כר'")</f>
        <v>ביני עמודי - 2 כר'</v>
      </c>
    </row>
    <row r="5164" spans="1:6" x14ac:dyDescent="0.2">
      <c r="A5164" t="s">
        <v>9537</v>
      </c>
      <c r="B5164" t="s">
        <v>9538</v>
      </c>
      <c r="C5164" t="s">
        <v>114</v>
      </c>
      <c r="D5164" t="s">
        <v>1153</v>
      </c>
      <c r="E5164" t="s">
        <v>186</v>
      </c>
      <c r="F5164" s="2" t="str">
        <f>HYPERLINK("http://www.otzar.org/book.asp?163867","ביני עמודי - שבועות")</f>
        <v>ביני עמודי - שבועות</v>
      </c>
    </row>
    <row r="5165" spans="1:6" x14ac:dyDescent="0.2">
      <c r="A5165" t="s">
        <v>9539</v>
      </c>
      <c r="B5165" t="s">
        <v>9540</v>
      </c>
      <c r="C5165" t="s">
        <v>20</v>
      </c>
      <c r="D5165" t="s">
        <v>90</v>
      </c>
      <c r="E5165" t="s">
        <v>144</v>
      </c>
      <c r="F5165" s="2" t="str">
        <f>HYPERLINK("http://www.otzar.org/book.asp?626758","ביני עמודי - עירובין")</f>
        <v>ביני עמודי - עירובין</v>
      </c>
    </row>
    <row r="5166" spans="1:6" x14ac:dyDescent="0.2">
      <c r="A5166" t="s">
        <v>9541</v>
      </c>
      <c r="B5166" t="s">
        <v>9542</v>
      </c>
      <c r="C5166" t="s">
        <v>146</v>
      </c>
      <c r="D5166" t="s">
        <v>412</v>
      </c>
      <c r="E5166" t="s">
        <v>9543</v>
      </c>
      <c r="F5166" s="2" t="str">
        <f>HYPERLINK("http://www.otzar.org/book.asp?159455","בינת אברהם - 2 כר'")</f>
        <v>בינת אברהם - 2 כר'</v>
      </c>
    </row>
    <row r="5167" spans="1:6" x14ac:dyDescent="0.2">
      <c r="A5167" t="s">
        <v>9544</v>
      </c>
      <c r="B5167" t="s">
        <v>6154</v>
      </c>
      <c r="C5167" t="s">
        <v>362</v>
      </c>
      <c r="D5167" t="s">
        <v>726</v>
      </c>
      <c r="E5167" t="s">
        <v>9545</v>
      </c>
      <c r="F5167" s="2" t="str">
        <f>HYPERLINK("http://www.otzar.org/book.asp?300400","בינת אלימלך")</f>
        <v>בינת אלימלך</v>
      </c>
    </row>
    <row r="5168" spans="1:6" x14ac:dyDescent="0.2">
      <c r="A5168" t="s">
        <v>9546</v>
      </c>
      <c r="B5168" t="s">
        <v>9547</v>
      </c>
      <c r="C5168" t="s">
        <v>114</v>
      </c>
      <c r="D5168" t="s">
        <v>14</v>
      </c>
      <c r="E5168" t="s">
        <v>172</v>
      </c>
      <c r="F5168" s="2" t="str">
        <f>HYPERLINK("http://www.otzar.org/book.asp?606418","בינת אמת - 2 כר'")</f>
        <v>בינת אמת - 2 כר'</v>
      </c>
    </row>
    <row r="5169" spans="1:6" x14ac:dyDescent="0.2">
      <c r="A5169" t="s">
        <v>9548</v>
      </c>
      <c r="B5169" t="s">
        <v>9549</v>
      </c>
      <c r="C5169" t="s">
        <v>956</v>
      </c>
      <c r="D5169" t="s">
        <v>216</v>
      </c>
      <c r="E5169" t="s">
        <v>8469</v>
      </c>
      <c r="F5169" s="2" t="str">
        <f>HYPERLINK("http://www.otzar.org/book.asp?163955","בינת אשר ותפארת מנחם")</f>
        <v>בינת אשר ותפארת מנחם</v>
      </c>
    </row>
    <row r="5170" spans="1:6" x14ac:dyDescent="0.2">
      <c r="A5170" t="s">
        <v>9550</v>
      </c>
      <c r="B5170" t="s">
        <v>9551</v>
      </c>
      <c r="C5170" t="s">
        <v>13</v>
      </c>
      <c r="D5170" t="s">
        <v>412</v>
      </c>
      <c r="E5170" t="s">
        <v>144</v>
      </c>
      <c r="F5170" s="2" t="str">
        <f>HYPERLINK("http://www.otzar.org/book.asp?603575","בינת דבר - סנהדרין פ' כה""ג ופ' בן סורר")</f>
        <v>בינת דבר - סנהדרין פ' כה"ג ופ' בן סורר</v>
      </c>
    </row>
    <row r="5171" spans="1:6" x14ac:dyDescent="0.2">
      <c r="A5171" t="s">
        <v>9552</v>
      </c>
      <c r="B5171" t="s">
        <v>9553</v>
      </c>
      <c r="C5171" t="s">
        <v>422</v>
      </c>
      <c r="D5171" t="s">
        <v>14</v>
      </c>
      <c r="E5171" t="s">
        <v>463</v>
      </c>
      <c r="F5171" s="2" t="str">
        <f>HYPERLINK("http://www.otzar.org/book.asp?84212","בינת דניאל - 8 כר'")</f>
        <v>בינת דניאל - 8 כר'</v>
      </c>
    </row>
    <row r="5172" spans="1:6" x14ac:dyDescent="0.2">
      <c r="A5172" t="s">
        <v>9554</v>
      </c>
      <c r="B5172" t="s">
        <v>9555</v>
      </c>
      <c r="C5172" t="s">
        <v>114</v>
      </c>
      <c r="D5172" t="s">
        <v>14</v>
      </c>
      <c r="E5172" t="s">
        <v>144</v>
      </c>
      <c r="F5172" s="2" t="str">
        <f>HYPERLINK("http://www.otzar.org/book.asp?630887","בינת הלב &lt;מהדורה חדשה&gt;")</f>
        <v>בינת הלב &lt;מהדורה חדשה&gt;</v>
      </c>
    </row>
    <row r="5173" spans="1:6" x14ac:dyDescent="0.2">
      <c r="A5173" t="s">
        <v>9556</v>
      </c>
      <c r="B5173" t="s">
        <v>9555</v>
      </c>
      <c r="C5173" t="s">
        <v>812</v>
      </c>
      <c r="D5173" t="s">
        <v>691</v>
      </c>
      <c r="E5173" t="s">
        <v>9557</v>
      </c>
      <c r="F5173" s="2" t="str">
        <f>HYPERLINK("http://www.otzar.org/book.asp?17698","בינת הלב")</f>
        <v>בינת הלב</v>
      </c>
    </row>
    <row r="5174" spans="1:6" x14ac:dyDescent="0.2">
      <c r="A5174" t="s">
        <v>9558</v>
      </c>
      <c r="B5174" t="s">
        <v>9558</v>
      </c>
      <c r="C5174" t="s">
        <v>189</v>
      </c>
      <c r="D5174" t="s">
        <v>14</v>
      </c>
      <c r="E5174" t="s">
        <v>213</v>
      </c>
      <c r="F5174" s="2" t="str">
        <f>HYPERLINK("http://www.otzar.org/book.asp?145575","בינת המדות")</f>
        <v>בינת המדות</v>
      </c>
    </row>
    <row r="5175" spans="1:6" x14ac:dyDescent="0.2">
      <c r="A5175" t="s">
        <v>9559</v>
      </c>
      <c r="B5175" t="s">
        <v>363</v>
      </c>
      <c r="C5175" t="s">
        <v>133</v>
      </c>
      <c r="D5175" t="s">
        <v>52</v>
      </c>
      <c r="E5175" t="s">
        <v>10</v>
      </c>
      <c r="F5175" s="2" t="str">
        <f>HYPERLINK("http://www.otzar.org/book.asp?194183","בינת המשפט - 9 כר'")</f>
        <v>בינת המשפט - 9 כר'</v>
      </c>
    </row>
    <row r="5176" spans="1:6" x14ac:dyDescent="0.2">
      <c r="A5176" t="s">
        <v>9560</v>
      </c>
      <c r="B5176" t="s">
        <v>9561</v>
      </c>
      <c r="C5176" t="s">
        <v>13</v>
      </c>
      <c r="D5176" t="s">
        <v>14</v>
      </c>
      <c r="E5176" t="s">
        <v>9562</v>
      </c>
      <c r="F5176" s="2" t="str">
        <f>HYPERLINK("http://www.otzar.org/book.asp?180954","בינת זקנים")</f>
        <v>בינת זקנים</v>
      </c>
    </row>
    <row r="5177" spans="1:6" x14ac:dyDescent="0.2">
      <c r="A5177" t="s">
        <v>9563</v>
      </c>
      <c r="B5177" t="s">
        <v>6353</v>
      </c>
      <c r="C5177" t="s">
        <v>189</v>
      </c>
      <c r="D5177" t="s">
        <v>52</v>
      </c>
      <c r="E5177" t="s">
        <v>144</v>
      </c>
      <c r="F5177" s="2" t="str">
        <f>HYPERLINK("http://www.otzar.org/book.asp?63013","בינת חיים - בבא קמא")</f>
        <v>בינת חיים - בבא קמא</v>
      </c>
    </row>
    <row r="5178" spans="1:6" x14ac:dyDescent="0.2">
      <c r="A5178" t="s">
        <v>9564</v>
      </c>
      <c r="B5178" t="s">
        <v>9565</v>
      </c>
      <c r="C5178" t="s">
        <v>366</v>
      </c>
      <c r="D5178" t="s">
        <v>216</v>
      </c>
      <c r="E5178" t="s">
        <v>15</v>
      </c>
      <c r="F5178" s="2" t="str">
        <f>HYPERLINK("http://www.otzar.org/book.asp?626734","בינת טהרה")</f>
        <v>בינת טהרה</v>
      </c>
    </row>
    <row r="5179" spans="1:6" x14ac:dyDescent="0.2">
      <c r="A5179" t="s">
        <v>9566</v>
      </c>
      <c r="B5179" t="s">
        <v>9567</v>
      </c>
      <c r="C5179" t="s">
        <v>68</v>
      </c>
      <c r="D5179" t="s">
        <v>14</v>
      </c>
      <c r="E5179" t="s">
        <v>2071</v>
      </c>
      <c r="F5179" s="2" t="str">
        <f>HYPERLINK("http://www.otzar.org/book.asp?159284","בינת יוסף")</f>
        <v>בינת יוסף</v>
      </c>
    </row>
    <row r="5180" spans="1:6" x14ac:dyDescent="0.2">
      <c r="A5180" t="s">
        <v>9568</v>
      </c>
      <c r="B5180" t="s">
        <v>5916</v>
      </c>
      <c r="C5180" t="s">
        <v>812</v>
      </c>
      <c r="D5180" t="s">
        <v>283</v>
      </c>
      <c r="E5180" t="s">
        <v>4683</v>
      </c>
      <c r="F5180" s="2" t="str">
        <f>HYPERLINK("http://www.otzar.org/book.asp?300395","בינת ישראל")</f>
        <v>בינת ישראל</v>
      </c>
    </row>
    <row r="5181" spans="1:6" x14ac:dyDescent="0.2">
      <c r="A5181" t="s">
        <v>9569</v>
      </c>
      <c r="B5181" t="s">
        <v>9570</v>
      </c>
      <c r="C5181" t="s">
        <v>506</v>
      </c>
      <c r="D5181" t="s">
        <v>5659</v>
      </c>
      <c r="E5181" t="s">
        <v>9368</v>
      </c>
      <c r="F5181" s="2" t="str">
        <f>HYPERLINK("http://www.otzar.org/book.asp?300397","בינת יששכר - 2 כר'")</f>
        <v>בינת יששכר - 2 כר'</v>
      </c>
    </row>
    <row r="5182" spans="1:6" x14ac:dyDescent="0.2">
      <c r="A5182" t="s">
        <v>9569</v>
      </c>
      <c r="B5182" t="s">
        <v>9571</v>
      </c>
      <c r="C5182" t="s">
        <v>581</v>
      </c>
      <c r="D5182" t="s">
        <v>100</v>
      </c>
      <c r="E5182" t="s">
        <v>701</v>
      </c>
      <c r="F5182" s="2" t="str">
        <f>HYPERLINK("http://www.otzar.org/book.asp?102867","בינת יששכר - 2 כר'")</f>
        <v>בינת יששכר - 2 כר'</v>
      </c>
    </row>
    <row r="5183" spans="1:6" x14ac:dyDescent="0.2">
      <c r="A5183" t="s">
        <v>9572</v>
      </c>
      <c r="B5183" t="s">
        <v>5739</v>
      </c>
      <c r="C5183" t="s">
        <v>343</v>
      </c>
      <c r="D5183" t="s">
        <v>2041</v>
      </c>
      <c r="E5183" t="s">
        <v>104</v>
      </c>
      <c r="F5183" s="2" t="str">
        <f>HYPERLINK("http://www.otzar.org/book.asp?15972","בינת מקרא")</f>
        <v>בינת מקרא</v>
      </c>
    </row>
    <row r="5184" spans="1:6" x14ac:dyDescent="0.2">
      <c r="A5184" t="s">
        <v>9573</v>
      </c>
      <c r="B5184" t="s">
        <v>8578</v>
      </c>
      <c r="C5184" t="s">
        <v>1619</v>
      </c>
      <c r="D5184" t="s">
        <v>118</v>
      </c>
      <c r="F5184" s="2" t="str">
        <f>HYPERLINK("http://www.otzar.org/book.asp?611269","בינת משה - 2 כר'")</f>
        <v>בינת משה - 2 כר'</v>
      </c>
    </row>
    <row r="5185" spans="1:6" x14ac:dyDescent="0.2">
      <c r="A5185" t="s">
        <v>9574</v>
      </c>
      <c r="B5185" t="s">
        <v>9575</v>
      </c>
      <c r="C5185" t="s">
        <v>466</v>
      </c>
      <c r="D5185" t="s">
        <v>657</v>
      </c>
      <c r="E5185" t="s">
        <v>172</v>
      </c>
      <c r="F5185" s="2" t="str">
        <f>HYPERLINK("http://www.otzar.org/book.asp?153521","בינת משפט")</f>
        <v>בינת משפט</v>
      </c>
    </row>
    <row r="5186" spans="1:6" x14ac:dyDescent="0.2">
      <c r="A5186" t="s">
        <v>9576</v>
      </c>
      <c r="B5186" t="s">
        <v>9577</v>
      </c>
      <c r="C5186" t="s">
        <v>411</v>
      </c>
      <c r="D5186" t="s">
        <v>118</v>
      </c>
      <c r="E5186" t="s">
        <v>583</v>
      </c>
      <c r="F5186" s="2" t="str">
        <f>HYPERLINK("http://www.otzar.org/book.asp?170566","בינת נבונים")</f>
        <v>בינת נבונים</v>
      </c>
    </row>
    <row r="5187" spans="1:6" x14ac:dyDescent="0.2">
      <c r="A5187" t="s">
        <v>9578</v>
      </c>
      <c r="B5187" t="s">
        <v>9579</v>
      </c>
      <c r="C5187" t="s">
        <v>8</v>
      </c>
      <c r="D5187" t="s">
        <v>225</v>
      </c>
      <c r="E5187" t="s">
        <v>144</v>
      </c>
      <c r="F5187" s="2" t="str">
        <f>HYPERLINK("http://www.otzar.org/book.asp?100199","בינת נבנים")</f>
        <v>בינת נבנים</v>
      </c>
    </row>
    <row r="5188" spans="1:6" x14ac:dyDescent="0.2">
      <c r="A5188" t="s">
        <v>9580</v>
      </c>
      <c r="B5188" t="s">
        <v>9581</v>
      </c>
      <c r="C5188" t="s">
        <v>111</v>
      </c>
      <c r="D5188" t="s">
        <v>14</v>
      </c>
      <c r="F5188" s="2" t="str">
        <f>HYPERLINK("http://www.otzar.org/book.asp?631719","בינת עתים - בין השמשות וזמני היום")</f>
        <v>בינת עתים - בין השמשות וזמני היום</v>
      </c>
    </row>
    <row r="5189" spans="1:6" x14ac:dyDescent="0.2">
      <c r="A5189" t="s">
        <v>9582</v>
      </c>
      <c r="B5189" t="s">
        <v>9583</v>
      </c>
      <c r="C5189" t="s">
        <v>411</v>
      </c>
      <c r="D5189" t="s">
        <v>14</v>
      </c>
      <c r="E5189" t="s">
        <v>15</v>
      </c>
      <c r="F5189" s="2" t="str">
        <f>HYPERLINK("http://www.otzar.org/book.asp?175584","בינת צבי - 3 כר'")</f>
        <v>בינת צבי - 3 כר'</v>
      </c>
    </row>
    <row r="5190" spans="1:6" x14ac:dyDescent="0.2">
      <c r="A5190" t="s">
        <v>9584</v>
      </c>
      <c r="B5190" t="s">
        <v>9585</v>
      </c>
      <c r="C5190" t="s">
        <v>1640</v>
      </c>
      <c r="D5190" t="s">
        <v>2362</v>
      </c>
      <c r="E5190" t="s">
        <v>144</v>
      </c>
      <c r="F5190" s="2" t="str">
        <f>HYPERLINK("http://www.otzar.org/book.asp?6713","בינת ציון")</f>
        <v>בינת ציון</v>
      </c>
    </row>
    <row r="5191" spans="1:6" x14ac:dyDescent="0.2">
      <c r="A5191" t="s">
        <v>9586</v>
      </c>
      <c r="B5191" t="s">
        <v>9587</v>
      </c>
      <c r="C5191" t="s">
        <v>51</v>
      </c>
      <c r="D5191" t="s">
        <v>14</v>
      </c>
      <c r="E5191" t="s">
        <v>144</v>
      </c>
      <c r="F5191" s="2" t="str">
        <f>HYPERLINK("http://www.otzar.org/book.asp?84213","בינת ראובן - 3 כר'")</f>
        <v>בינת ראובן - 3 כר'</v>
      </c>
    </row>
    <row r="5192" spans="1:6" x14ac:dyDescent="0.2">
      <c r="A5192" t="s">
        <v>9588</v>
      </c>
      <c r="B5192" t="s">
        <v>9565</v>
      </c>
      <c r="C5192" t="s">
        <v>133</v>
      </c>
      <c r="D5192" t="s">
        <v>216</v>
      </c>
      <c r="E5192" t="s">
        <v>130</v>
      </c>
      <c r="F5192" s="2" t="str">
        <f>HYPERLINK("http://www.otzar.org/book.asp?626735","בינת שבת")</f>
        <v>בינת שבת</v>
      </c>
    </row>
    <row r="5193" spans="1:6" x14ac:dyDescent="0.2">
      <c r="A5193" t="s">
        <v>9589</v>
      </c>
      <c r="B5193" t="s">
        <v>9590</v>
      </c>
      <c r="C5193" t="s">
        <v>244</v>
      </c>
      <c r="D5193" t="s">
        <v>14</v>
      </c>
      <c r="E5193" t="s">
        <v>474</v>
      </c>
      <c r="F5193" s="2" t="str">
        <f>HYPERLINK("http://www.otzar.org/book.asp?605959","בינת שלמה")</f>
        <v>בינת שלמה</v>
      </c>
    </row>
    <row r="5194" spans="1:6" x14ac:dyDescent="0.2">
      <c r="A5194" t="s">
        <v>9591</v>
      </c>
      <c r="B5194" t="s">
        <v>9592</v>
      </c>
      <c r="C5194" t="s">
        <v>129</v>
      </c>
      <c r="D5194" t="s">
        <v>52</v>
      </c>
      <c r="E5194" t="s">
        <v>144</v>
      </c>
      <c r="F5194" s="2" t="str">
        <f>HYPERLINK("http://www.otzar.org/book.asp?168498","בינת שמועה - 2 כר'")</f>
        <v>בינת שמועה - 2 כר'</v>
      </c>
    </row>
    <row r="5195" spans="1:6" x14ac:dyDescent="0.2">
      <c r="A5195" t="s">
        <v>9593</v>
      </c>
      <c r="B5195" t="s">
        <v>9594</v>
      </c>
      <c r="C5195" t="s">
        <v>189</v>
      </c>
      <c r="D5195" t="s">
        <v>14</v>
      </c>
      <c r="E5195" t="s">
        <v>4333</v>
      </c>
      <c r="F5195" s="2" t="str">
        <f>HYPERLINK("http://www.otzar.org/book.asp?61883","בינת שמחה - 2 כר'")</f>
        <v>בינת שמחה - 2 כר'</v>
      </c>
    </row>
    <row r="5196" spans="1:6" x14ac:dyDescent="0.2">
      <c r="A5196" t="s">
        <v>9595</v>
      </c>
      <c r="B5196" t="s">
        <v>9596</v>
      </c>
      <c r="F5196" s="2" t="str">
        <f>HYPERLINK("http://www.otzar.org/book.asp?623962","בינת תבונות")</f>
        <v>בינת תבונות</v>
      </c>
    </row>
    <row r="5197" spans="1:6" x14ac:dyDescent="0.2">
      <c r="A5197" t="s">
        <v>9597</v>
      </c>
      <c r="B5197" t="s">
        <v>9598</v>
      </c>
      <c r="C5197" t="s">
        <v>114</v>
      </c>
      <c r="D5197" t="s">
        <v>14</v>
      </c>
      <c r="E5197" t="s">
        <v>144</v>
      </c>
      <c r="F5197" s="2" t="str">
        <f>HYPERLINK("http://www.otzar.org/book.asp?160746","ביצחק יקרא")</f>
        <v>ביצחק יקרא</v>
      </c>
    </row>
    <row r="5198" spans="1:6" x14ac:dyDescent="0.2">
      <c r="A5198" t="s">
        <v>9597</v>
      </c>
      <c r="B5198" t="s">
        <v>1005</v>
      </c>
      <c r="C5198" t="s">
        <v>411</v>
      </c>
      <c r="D5198" t="s">
        <v>90</v>
      </c>
      <c r="E5198" t="s">
        <v>202</v>
      </c>
      <c r="F5198" s="2" t="str">
        <f>HYPERLINK("http://www.otzar.org/book.asp?170803","ביצחק יקרא")</f>
        <v>ביצחק יקרא</v>
      </c>
    </row>
    <row r="5199" spans="1:6" x14ac:dyDescent="0.2">
      <c r="A5199" t="s">
        <v>9599</v>
      </c>
      <c r="B5199" t="s">
        <v>9600</v>
      </c>
      <c r="C5199" t="s">
        <v>13</v>
      </c>
      <c r="D5199" t="s">
        <v>276</v>
      </c>
      <c r="F5199" s="2" t="str">
        <f>HYPERLINK("http://www.otzar.org/book.asp?194730","ביקור חולים בהלכה ובאגדה")</f>
        <v>ביקור חולים בהלכה ובאגדה</v>
      </c>
    </row>
    <row r="5200" spans="1:6" x14ac:dyDescent="0.2">
      <c r="A5200" t="s">
        <v>9601</v>
      </c>
      <c r="B5200" t="s">
        <v>9602</v>
      </c>
      <c r="C5200" t="s">
        <v>20</v>
      </c>
      <c r="D5200" t="s">
        <v>90</v>
      </c>
      <c r="E5200" t="s">
        <v>15</v>
      </c>
      <c r="F5200" s="2" t="str">
        <f>HYPERLINK("http://www.otzar.org/book.asp?159586","ביקור חולים - 2 כר'")</f>
        <v>ביקור חולים - 2 כר'</v>
      </c>
    </row>
    <row r="5201" spans="1:6" x14ac:dyDescent="0.2">
      <c r="A5201" t="s">
        <v>9603</v>
      </c>
      <c r="B5201" t="s">
        <v>5975</v>
      </c>
      <c r="C5201" t="s">
        <v>51</v>
      </c>
      <c r="D5201" t="s">
        <v>9604</v>
      </c>
      <c r="E5201" t="s">
        <v>1626</v>
      </c>
      <c r="F5201" s="2" t="str">
        <f>HYPERLINK("http://www.otzar.org/book.asp?158883","בירור בדברי הפייטן ותשובה ותפילה וצדקה -  תדפיס")</f>
        <v>בירור בדברי הפייטן ותשובה ותפילה וצדקה -  תדפיס</v>
      </c>
    </row>
    <row r="5202" spans="1:6" x14ac:dyDescent="0.2">
      <c r="A5202" t="s">
        <v>9605</v>
      </c>
      <c r="B5202" t="s">
        <v>206</v>
      </c>
      <c r="C5202" t="s">
        <v>624</v>
      </c>
      <c r="D5202" t="s">
        <v>2347</v>
      </c>
      <c r="E5202" t="s">
        <v>3567</v>
      </c>
      <c r="F5202" s="2" t="str">
        <f>HYPERLINK("http://www.otzar.org/book.asp?12173","בירור בדין השימוש בחשמל המיוצר בחילול שבת, רח""ל")</f>
        <v>בירור בדין השימוש בחשמל המיוצר בחילול שבת, רח"ל</v>
      </c>
    </row>
    <row r="5203" spans="1:6" x14ac:dyDescent="0.2">
      <c r="A5203" t="s">
        <v>9606</v>
      </c>
      <c r="B5203" t="s">
        <v>1748</v>
      </c>
      <c r="C5203" t="s">
        <v>129</v>
      </c>
      <c r="D5203" t="s">
        <v>52</v>
      </c>
      <c r="E5203" t="s">
        <v>144</v>
      </c>
      <c r="F5203" s="2" t="str">
        <f>HYPERLINK("http://www.otzar.org/book.asp?180568","בירור בטומאת כהנים")</f>
        <v>בירור בטומאת כהנים</v>
      </c>
    </row>
    <row r="5204" spans="1:6" x14ac:dyDescent="0.2">
      <c r="A5204" t="s">
        <v>9607</v>
      </c>
      <c r="B5204" t="s">
        <v>2844</v>
      </c>
      <c r="C5204" t="s">
        <v>20</v>
      </c>
      <c r="D5204" t="s">
        <v>14</v>
      </c>
      <c r="E5204" t="s">
        <v>15</v>
      </c>
      <c r="F5204" s="2" t="str">
        <f>HYPERLINK("http://www.otzar.org/book.asp?190237","בירור בענין קשר תפילין של ראש")</f>
        <v>בירור בענין קשר תפילין של ראש</v>
      </c>
    </row>
    <row r="5205" spans="1:6" x14ac:dyDescent="0.2">
      <c r="A5205" t="s">
        <v>9608</v>
      </c>
      <c r="B5205" t="s">
        <v>9609</v>
      </c>
      <c r="C5205" t="s">
        <v>17</v>
      </c>
      <c r="D5205" t="s">
        <v>412</v>
      </c>
      <c r="F5205" s="2" t="str">
        <f>HYPERLINK("http://www.otzar.org/book.asp?618833","בירור בענין שיתוף ועירוב")</f>
        <v>בירור בענין שיתוף ועירוב</v>
      </c>
    </row>
    <row r="5206" spans="1:6" x14ac:dyDescent="0.2">
      <c r="A5206" t="s">
        <v>9610</v>
      </c>
      <c r="D5206" t="s">
        <v>52</v>
      </c>
      <c r="F5206" s="2" t="str">
        <f>HYPERLINK("http://www.otzar.org/book.asp?625499","בירור דברים")</f>
        <v>בירור דברים</v>
      </c>
    </row>
    <row r="5207" spans="1:6" x14ac:dyDescent="0.2">
      <c r="A5207" t="s">
        <v>9610</v>
      </c>
      <c r="B5207" t="s">
        <v>9611</v>
      </c>
      <c r="C5207" t="s">
        <v>63</v>
      </c>
      <c r="D5207" t="s">
        <v>27</v>
      </c>
      <c r="E5207" t="s">
        <v>1157</v>
      </c>
      <c r="F5207" s="2" t="str">
        <f>HYPERLINK("http://www.otzar.org/book.asp?84393","בירור דברים")</f>
        <v>בירור דברים</v>
      </c>
    </row>
    <row r="5208" spans="1:6" x14ac:dyDescent="0.2">
      <c r="A5208" t="s">
        <v>9610</v>
      </c>
      <c r="B5208" t="s">
        <v>9612</v>
      </c>
      <c r="C5208" t="s">
        <v>767</v>
      </c>
      <c r="D5208" t="s">
        <v>14</v>
      </c>
      <c r="F5208" s="2" t="str">
        <f>HYPERLINK("http://www.otzar.org/book.asp?613387","בירור דברים")</f>
        <v>בירור דברים</v>
      </c>
    </row>
    <row r="5209" spans="1:6" x14ac:dyDescent="0.2">
      <c r="A5209" t="s">
        <v>9613</v>
      </c>
      <c r="B5209" t="s">
        <v>9614</v>
      </c>
      <c r="C5209" t="s">
        <v>411</v>
      </c>
      <c r="D5209" t="s">
        <v>14</v>
      </c>
      <c r="F5209" s="2" t="str">
        <f>HYPERLINK("http://www.otzar.org/book.asp?169666","בירור דין הפילטרים")</f>
        <v>בירור דין הפילטרים</v>
      </c>
    </row>
    <row r="5210" spans="1:6" x14ac:dyDescent="0.2">
      <c r="A5210" t="s">
        <v>9615</v>
      </c>
      <c r="B5210" t="s">
        <v>9616</v>
      </c>
      <c r="C5210" t="s">
        <v>411</v>
      </c>
      <c r="D5210" t="s">
        <v>152</v>
      </c>
      <c r="E5210" t="s">
        <v>148</v>
      </c>
      <c r="F5210" s="2" t="str">
        <f>HYPERLINK("http://www.otzar.org/book.asp?170441","בירור הטהרה")</f>
        <v>בירור הטהרה</v>
      </c>
    </row>
    <row r="5211" spans="1:6" x14ac:dyDescent="0.2">
      <c r="A5211" t="s">
        <v>9617</v>
      </c>
      <c r="B5211" t="s">
        <v>9618</v>
      </c>
      <c r="C5211" t="s">
        <v>1160</v>
      </c>
      <c r="D5211" t="s">
        <v>14</v>
      </c>
      <c r="E5211" t="s">
        <v>15</v>
      </c>
      <c r="F5211" s="2" t="str">
        <f>HYPERLINK("http://www.otzar.org/book.asp?180416","בירור הלכה בענין עדי קדושין")</f>
        <v>בירור הלכה בענין עדי קדושין</v>
      </c>
    </row>
    <row r="5212" spans="1:6" x14ac:dyDescent="0.2">
      <c r="A5212" t="s">
        <v>9619</v>
      </c>
      <c r="B5212" t="s">
        <v>9620</v>
      </c>
      <c r="C5212" t="s">
        <v>698</v>
      </c>
      <c r="D5212" t="s">
        <v>14</v>
      </c>
      <c r="E5212" t="s">
        <v>144</v>
      </c>
      <c r="F5212" s="2" t="str">
        <f>HYPERLINK("http://www.otzar.org/book.asp?300405","בירור הלכה - ביצה פרק ג'")</f>
        <v>בירור הלכה - ביצה פרק ג'</v>
      </c>
    </row>
    <row r="5213" spans="1:6" x14ac:dyDescent="0.2">
      <c r="A5213" t="s">
        <v>9621</v>
      </c>
      <c r="B5213" t="s">
        <v>9622</v>
      </c>
      <c r="C5213" t="s">
        <v>9623</v>
      </c>
      <c r="D5213" t="s">
        <v>52</v>
      </c>
      <c r="E5213" t="s">
        <v>172</v>
      </c>
      <c r="F5213" s="2" t="str">
        <f>HYPERLINK("http://www.otzar.org/book.asp?104609","בירור הלכה - 15 כר'")</f>
        <v>בירור הלכה - 15 כר'</v>
      </c>
    </row>
    <row r="5214" spans="1:6" x14ac:dyDescent="0.2">
      <c r="A5214" t="s">
        <v>9624</v>
      </c>
      <c r="B5214" t="s">
        <v>9625</v>
      </c>
      <c r="C5214" t="s">
        <v>698</v>
      </c>
      <c r="D5214" t="s">
        <v>14</v>
      </c>
      <c r="E5214" t="s">
        <v>144</v>
      </c>
      <c r="F5214" s="2" t="str">
        <f>HYPERLINK("http://www.otzar.org/book.asp?300404","בירור הלכה - ביצה פרק ב'")</f>
        <v>בירור הלכה - ביצה פרק ב'</v>
      </c>
    </row>
    <row r="5215" spans="1:6" x14ac:dyDescent="0.2">
      <c r="A5215" t="s">
        <v>9626</v>
      </c>
      <c r="B5215" t="s">
        <v>8129</v>
      </c>
      <c r="C5215" t="s">
        <v>576</v>
      </c>
      <c r="D5215" t="s">
        <v>563</v>
      </c>
      <c r="E5215" t="s">
        <v>15</v>
      </c>
      <c r="F5215" s="2" t="str">
        <f>HYPERLINK("http://www.otzar.org/book.asp?144659","בירור הלכה")</f>
        <v>בירור הלכה</v>
      </c>
    </row>
    <row r="5216" spans="1:6" x14ac:dyDescent="0.2">
      <c r="A5216" t="s">
        <v>9626</v>
      </c>
      <c r="B5216" t="s">
        <v>9627</v>
      </c>
      <c r="C5216" t="s">
        <v>438</v>
      </c>
      <c r="D5216" t="s">
        <v>9628</v>
      </c>
      <c r="E5216" t="s">
        <v>3261</v>
      </c>
      <c r="F5216" s="2" t="str">
        <f>HYPERLINK("http://www.otzar.org/book.asp?15433","בירור הלכה")</f>
        <v>בירור הלכה</v>
      </c>
    </row>
    <row r="5217" spans="1:6" x14ac:dyDescent="0.2">
      <c r="A5217" t="s">
        <v>9629</v>
      </c>
      <c r="B5217" t="s">
        <v>206</v>
      </c>
      <c r="C5217" t="s">
        <v>585</v>
      </c>
      <c r="D5217" t="s">
        <v>52</v>
      </c>
      <c r="E5217" t="s">
        <v>15</v>
      </c>
      <c r="F5217" s="2" t="str">
        <f>HYPERLINK("http://www.otzar.org/book.asp?85178","בירור הלכות בעניני תרומות ומעשרות")</f>
        <v>בירור הלכות בעניני תרומות ומעשרות</v>
      </c>
    </row>
    <row r="5218" spans="1:6" x14ac:dyDescent="0.2">
      <c r="A5218" t="s">
        <v>9630</v>
      </c>
      <c r="B5218" t="s">
        <v>206</v>
      </c>
      <c r="C5218" t="s">
        <v>151</v>
      </c>
      <c r="D5218" t="s">
        <v>52</v>
      </c>
      <c r="F5218" s="2" t="str">
        <f>HYPERLINK("http://www.otzar.org/book.asp?616472","בירור הלכות ברכת הריח")</f>
        <v>בירור הלכות ברכת הריח</v>
      </c>
    </row>
    <row r="5219" spans="1:6" x14ac:dyDescent="0.2">
      <c r="A5219" t="s">
        <v>9631</v>
      </c>
      <c r="B5219" t="s">
        <v>206</v>
      </c>
      <c r="C5219" t="s">
        <v>151</v>
      </c>
      <c r="D5219" t="s">
        <v>52</v>
      </c>
      <c r="F5219" s="2" t="str">
        <f>HYPERLINK("http://www.otzar.org/book.asp?619003","בירור הלכות הסיבה")</f>
        <v>בירור הלכות הסיבה</v>
      </c>
    </row>
    <row r="5220" spans="1:6" x14ac:dyDescent="0.2">
      <c r="A5220" t="s">
        <v>9632</v>
      </c>
      <c r="B5220" t="s">
        <v>206</v>
      </c>
      <c r="C5220" t="s">
        <v>111</v>
      </c>
      <c r="D5220" t="s">
        <v>52</v>
      </c>
      <c r="E5220" t="s">
        <v>246</v>
      </c>
      <c r="F5220" s="2" t="str">
        <f>HYPERLINK("http://www.otzar.org/book.asp?621213","בירור הלכות חנוכה")</f>
        <v>בירור הלכות חנוכה</v>
      </c>
    </row>
    <row r="5221" spans="1:6" x14ac:dyDescent="0.2">
      <c r="A5221" t="s">
        <v>9633</v>
      </c>
      <c r="B5221" t="s">
        <v>206</v>
      </c>
      <c r="C5221" t="s">
        <v>111</v>
      </c>
      <c r="D5221" t="s">
        <v>52</v>
      </c>
      <c r="F5221" s="2" t="str">
        <f>HYPERLINK("http://www.otzar.org/book.asp?619110","בירור הלכות שמן המשחה")</f>
        <v>בירור הלכות שמן המשחה</v>
      </c>
    </row>
    <row r="5222" spans="1:6" x14ac:dyDescent="0.2">
      <c r="A5222" t="s">
        <v>9634</v>
      </c>
      <c r="B5222" t="s">
        <v>9635</v>
      </c>
      <c r="C5222" t="s">
        <v>411</v>
      </c>
      <c r="D5222" t="s">
        <v>152</v>
      </c>
      <c r="E5222" t="s">
        <v>144</v>
      </c>
      <c r="F5222" s="2" t="str">
        <f>HYPERLINK("http://www.otzar.org/book.asp?173382","בירור הסוגיות - גיטין פ""א")</f>
        <v>בירור הסוגיות - גיטין פ"א</v>
      </c>
    </row>
    <row r="5223" spans="1:6" x14ac:dyDescent="0.2">
      <c r="A5223" t="s">
        <v>9636</v>
      </c>
      <c r="B5223" t="s">
        <v>9637</v>
      </c>
      <c r="C5223" t="s">
        <v>111</v>
      </c>
      <c r="D5223" t="s">
        <v>52</v>
      </c>
      <c r="E5223" t="s">
        <v>15</v>
      </c>
      <c r="F5223" s="2" t="str">
        <f>HYPERLINK("http://www.otzar.org/book.asp?620340","בירור השיטות בענין מראה אדמדם")</f>
        <v>בירור השיטות בענין מראה אדמדם</v>
      </c>
    </row>
    <row r="5224" spans="1:6" x14ac:dyDescent="0.2">
      <c r="A5224" t="s">
        <v>9638</v>
      </c>
      <c r="B5224" t="s">
        <v>9639</v>
      </c>
      <c r="C5224" t="s">
        <v>244</v>
      </c>
      <c r="D5224" t="s">
        <v>52</v>
      </c>
      <c r="F5224" s="2" t="str">
        <f>HYPERLINK("http://www.otzar.org/book.asp?607131","בירור זמנים")</f>
        <v>בירור זמנים</v>
      </c>
    </row>
    <row r="5225" spans="1:6" x14ac:dyDescent="0.2">
      <c r="A5225" t="s">
        <v>9640</v>
      </c>
      <c r="B5225" t="s">
        <v>9641</v>
      </c>
      <c r="C5225" t="s">
        <v>71</v>
      </c>
      <c r="D5225" t="s">
        <v>14</v>
      </c>
      <c r="E5225" t="s">
        <v>15</v>
      </c>
      <c r="F5225" s="2" t="str">
        <f>HYPERLINK("http://www.otzar.org/book.asp?197369","בירור להלכות יחוד ולאימוץ ילדים")</f>
        <v>בירור להלכות יחוד ולאימוץ ילדים</v>
      </c>
    </row>
    <row r="5226" spans="1:6" x14ac:dyDescent="0.2">
      <c r="A5226" t="s">
        <v>9642</v>
      </c>
      <c r="B5226" t="s">
        <v>206</v>
      </c>
      <c r="C5226" t="s">
        <v>68</v>
      </c>
      <c r="D5226" t="s">
        <v>367</v>
      </c>
      <c r="E5226" t="s">
        <v>104</v>
      </c>
      <c r="F5226" s="2" t="str">
        <f>HYPERLINK("http://www.otzar.org/book.asp?161293","בירור לענין צאה""כ ולילה בארץ ישראל")</f>
        <v>בירור לענין צאה"כ ולילה בארץ ישראל</v>
      </c>
    </row>
    <row r="5227" spans="1:6" x14ac:dyDescent="0.2">
      <c r="A5227" t="s">
        <v>9643</v>
      </c>
      <c r="B5227" t="s">
        <v>6987</v>
      </c>
      <c r="C5227" t="s">
        <v>20</v>
      </c>
      <c r="D5227" t="s">
        <v>367</v>
      </c>
      <c r="E5227" t="s">
        <v>104</v>
      </c>
      <c r="F5227" s="2" t="str">
        <f>HYPERLINK("http://www.otzar.org/book.asp?608232","בירור מכח המציאות הנראית")</f>
        <v>בירור מכח המציאות הנראית</v>
      </c>
    </row>
    <row r="5228" spans="1:6" x14ac:dyDescent="0.2">
      <c r="A5228" t="s">
        <v>9644</v>
      </c>
      <c r="B5228" t="s">
        <v>9645</v>
      </c>
      <c r="C5228" t="s">
        <v>20</v>
      </c>
      <c r="D5228" t="s">
        <v>90</v>
      </c>
      <c r="E5228" t="s">
        <v>15</v>
      </c>
      <c r="F5228" s="2" t="str">
        <f>HYPERLINK("http://www.otzar.org/book.asp?193685","בירור מקיף בענין חובת עירוב במקומות ציבוריים")</f>
        <v>בירור מקיף בענין חובת עירוב במקומות ציבוריים</v>
      </c>
    </row>
    <row r="5229" spans="1:6" x14ac:dyDescent="0.2">
      <c r="A5229" t="s">
        <v>9646</v>
      </c>
      <c r="B5229" t="s">
        <v>9647</v>
      </c>
      <c r="C5229" t="s">
        <v>411</v>
      </c>
      <c r="D5229" t="s">
        <v>14</v>
      </c>
      <c r="E5229" t="s">
        <v>202</v>
      </c>
      <c r="F5229" s="2" t="str">
        <f>HYPERLINK("http://www.otzar.org/book.asp?173471","בירורי ברכות")</f>
        <v>בירורי ברכות</v>
      </c>
    </row>
    <row r="5230" spans="1:6" x14ac:dyDescent="0.2">
      <c r="A5230" t="s">
        <v>9648</v>
      </c>
      <c r="B5230" t="s">
        <v>9649</v>
      </c>
      <c r="C5230" t="s">
        <v>133</v>
      </c>
      <c r="D5230" t="s">
        <v>14</v>
      </c>
      <c r="E5230" t="s">
        <v>15</v>
      </c>
      <c r="F5230" s="2" t="str">
        <f>HYPERLINK("http://www.otzar.org/book.asp?605653","בירורי דברים")</f>
        <v>בירורי דברים</v>
      </c>
    </row>
    <row r="5231" spans="1:6" x14ac:dyDescent="0.2">
      <c r="A5231" t="s">
        <v>9650</v>
      </c>
      <c r="B5231" t="s">
        <v>9651</v>
      </c>
      <c r="C5231" t="s">
        <v>111</v>
      </c>
      <c r="D5231" t="s">
        <v>52</v>
      </c>
      <c r="E5231" t="s">
        <v>144</v>
      </c>
      <c r="F5231" s="2" t="str">
        <f>HYPERLINK("http://www.otzar.org/book.asp?627160","בירורי החזקה")</f>
        <v>בירורי החזקה</v>
      </c>
    </row>
    <row r="5232" spans="1:6" x14ac:dyDescent="0.2">
      <c r="A5232" t="s">
        <v>9652</v>
      </c>
      <c r="B5232" t="s">
        <v>6987</v>
      </c>
      <c r="C5232" t="s">
        <v>20</v>
      </c>
      <c r="D5232" t="s">
        <v>90</v>
      </c>
      <c r="E5232" t="s">
        <v>104</v>
      </c>
      <c r="F5232" s="2" t="str">
        <f>HYPERLINK("http://www.otzar.org/book.asp?621264","בירורי הלכה במצות תכלת שבציצית")</f>
        <v>בירורי הלכה במצות תכלת שבציצית</v>
      </c>
    </row>
    <row r="5233" spans="1:6" x14ac:dyDescent="0.2">
      <c r="A5233" t="s">
        <v>9653</v>
      </c>
      <c r="B5233" t="s">
        <v>206</v>
      </c>
      <c r="C5233" t="s">
        <v>103</v>
      </c>
      <c r="D5233" t="s">
        <v>90</v>
      </c>
      <c r="E5233" t="s">
        <v>172</v>
      </c>
      <c r="F5233" s="2" t="str">
        <f>HYPERLINK("http://www.otzar.org/book.asp?161460","בירורי הלכה בענינים ביו""ד")</f>
        <v>בירורי הלכה בענינים ביו"ד</v>
      </c>
    </row>
    <row r="5234" spans="1:6" x14ac:dyDescent="0.2">
      <c r="A5234" t="s">
        <v>9654</v>
      </c>
      <c r="B5234" t="s">
        <v>9655</v>
      </c>
      <c r="E5234" t="s">
        <v>15</v>
      </c>
      <c r="F5234" s="2" t="str">
        <f>HYPERLINK("http://www.otzar.org/book.asp?622724","בירורי הלכה בשאלות מצויות בין לחש לחזרה")</f>
        <v>בירורי הלכה בשאלות מצויות בין לחש לחזרה</v>
      </c>
    </row>
    <row r="5235" spans="1:6" x14ac:dyDescent="0.2">
      <c r="A5235" t="s">
        <v>9656</v>
      </c>
      <c r="B5235" t="s">
        <v>9657</v>
      </c>
      <c r="C5235" t="s">
        <v>146</v>
      </c>
      <c r="D5235" t="s">
        <v>9658</v>
      </c>
      <c r="E5235" t="s">
        <v>2091</v>
      </c>
      <c r="F5235" s="2" t="str">
        <f>HYPERLINK("http://www.otzar.org/book.asp?60593","בירורי הלכה ומנהג")</f>
        <v>בירורי הלכה ומנהג</v>
      </c>
    </row>
    <row r="5236" spans="1:6" x14ac:dyDescent="0.2">
      <c r="A5236" t="s">
        <v>9659</v>
      </c>
      <c r="B5236" t="s">
        <v>7176</v>
      </c>
      <c r="C5236" t="s">
        <v>151</v>
      </c>
      <c r="D5236" t="s">
        <v>90</v>
      </c>
      <c r="E5236" t="s">
        <v>803</v>
      </c>
      <c r="F5236" s="2" t="str">
        <f>HYPERLINK("http://www.otzar.org/book.asp?627007","בירורי הלכה - 4 כר'")</f>
        <v>בירורי הלכה - 4 כר'</v>
      </c>
    </row>
    <row r="5237" spans="1:6" x14ac:dyDescent="0.2">
      <c r="A5237" t="s">
        <v>9660</v>
      </c>
      <c r="B5237" t="s">
        <v>9661</v>
      </c>
      <c r="C5237" t="s">
        <v>419</v>
      </c>
      <c r="D5237" t="s">
        <v>21</v>
      </c>
      <c r="E5237" t="s">
        <v>202</v>
      </c>
      <c r="F5237" s="2" t="str">
        <f>HYPERLINK("http://www.otzar.org/book.asp?600435","בירורי הלכה - 3 כר'")</f>
        <v>בירורי הלכה - 3 כר'</v>
      </c>
    </row>
    <row r="5238" spans="1:6" x14ac:dyDescent="0.2">
      <c r="A5238" t="s">
        <v>9662</v>
      </c>
      <c r="B5238" t="s">
        <v>9663</v>
      </c>
      <c r="C5238" t="s">
        <v>244</v>
      </c>
      <c r="D5238" t="s">
        <v>14</v>
      </c>
      <c r="E5238" t="s">
        <v>15</v>
      </c>
      <c r="F5238" s="2" t="str">
        <f>HYPERLINK("http://www.otzar.org/book.asp?611065","בירורי הלכה")</f>
        <v>בירורי הלכה</v>
      </c>
    </row>
    <row r="5239" spans="1:6" x14ac:dyDescent="0.2">
      <c r="A5239" t="s">
        <v>9664</v>
      </c>
      <c r="B5239" t="s">
        <v>1091</v>
      </c>
      <c r="C5239" t="s">
        <v>244</v>
      </c>
      <c r="D5239" t="s">
        <v>21</v>
      </c>
      <c r="E5239" t="s">
        <v>144</v>
      </c>
      <c r="F5239" s="2" t="str">
        <f>HYPERLINK("http://www.otzar.org/book.asp?605647","בירורי הלכה - ברכות")</f>
        <v>בירורי הלכה - ברכות</v>
      </c>
    </row>
    <row r="5240" spans="1:6" x14ac:dyDescent="0.2">
      <c r="A5240" t="s">
        <v>9665</v>
      </c>
      <c r="B5240" t="s">
        <v>9611</v>
      </c>
      <c r="C5240" t="s">
        <v>383</v>
      </c>
      <c r="D5240" t="s">
        <v>27</v>
      </c>
      <c r="E5240" t="s">
        <v>15</v>
      </c>
      <c r="F5240" s="2" t="str">
        <f>HYPERLINK("http://www.otzar.org/book.asp?619797","בירורי הלכות")</f>
        <v>בירורי הלכות</v>
      </c>
    </row>
    <row r="5241" spans="1:6" x14ac:dyDescent="0.2">
      <c r="A5241" t="s">
        <v>9665</v>
      </c>
      <c r="B5241" t="s">
        <v>9666</v>
      </c>
      <c r="C5241" t="s">
        <v>411</v>
      </c>
      <c r="D5241" t="s">
        <v>412</v>
      </c>
      <c r="E5241" t="s">
        <v>393</v>
      </c>
      <c r="F5241" s="2" t="str">
        <f>HYPERLINK("http://www.otzar.org/book.asp?173879","בירורי הלכות")</f>
        <v>בירורי הלכות</v>
      </c>
    </row>
    <row r="5242" spans="1:6" x14ac:dyDescent="0.2">
      <c r="A5242" t="s">
        <v>9665</v>
      </c>
      <c r="B5242" t="s">
        <v>9667</v>
      </c>
      <c r="C5242" t="s">
        <v>114</v>
      </c>
      <c r="D5242" t="s">
        <v>14</v>
      </c>
      <c r="E5242" t="s">
        <v>424</v>
      </c>
      <c r="F5242" s="2" t="str">
        <f>HYPERLINK("http://www.otzar.org/book.asp?161267","בירורי הלכות")</f>
        <v>בירורי הלכות</v>
      </c>
    </row>
    <row r="5243" spans="1:6" x14ac:dyDescent="0.2">
      <c r="A5243" t="s">
        <v>9668</v>
      </c>
      <c r="B5243" t="s">
        <v>9669</v>
      </c>
      <c r="C5243" t="s">
        <v>1202</v>
      </c>
      <c r="D5243" t="s">
        <v>27</v>
      </c>
      <c r="E5243" t="s">
        <v>104</v>
      </c>
      <c r="F5243" s="2" t="str">
        <f>HYPERLINK("http://www.otzar.org/book.asp?16030","בירורי המדות")</f>
        <v>בירורי המדות</v>
      </c>
    </row>
    <row r="5244" spans="1:6" x14ac:dyDescent="0.2">
      <c r="A5244" t="s">
        <v>9668</v>
      </c>
      <c r="B5244" t="s">
        <v>9670</v>
      </c>
      <c r="C5244" t="s">
        <v>752</v>
      </c>
      <c r="D5244" t="s">
        <v>8579</v>
      </c>
      <c r="E5244" t="s">
        <v>993</v>
      </c>
      <c r="F5244" s="2" t="str">
        <f>HYPERLINK("http://www.otzar.org/book.asp?103169","בירורי המדות")</f>
        <v>בירורי המדות</v>
      </c>
    </row>
    <row r="5245" spans="1:6" x14ac:dyDescent="0.2">
      <c r="A5245" t="s">
        <v>9671</v>
      </c>
      <c r="E5245" t="s">
        <v>15</v>
      </c>
      <c r="F5245" s="2" t="str">
        <f>HYPERLINK("http://www.otzar.org/book.asp?630448","בירורי השיטות - מלאכת יום טוב")</f>
        <v>בירורי השיטות - מלאכת יום טוב</v>
      </c>
    </row>
    <row r="5246" spans="1:6" x14ac:dyDescent="0.2">
      <c r="A5246" t="s">
        <v>9672</v>
      </c>
      <c r="B5246" t="s">
        <v>9673</v>
      </c>
      <c r="C5246" t="s">
        <v>168</v>
      </c>
      <c r="D5246" t="s">
        <v>52</v>
      </c>
      <c r="F5246" s="2" t="str">
        <f>HYPERLINK("http://www.otzar.org/book.asp?157954","בירורי השיטות - 4 כר'")</f>
        <v>בירורי השיטות - 4 כר'</v>
      </c>
    </row>
    <row r="5247" spans="1:6" x14ac:dyDescent="0.2">
      <c r="A5247" t="s">
        <v>9674</v>
      </c>
      <c r="B5247" t="s">
        <v>9675</v>
      </c>
      <c r="C5247" t="s">
        <v>103</v>
      </c>
      <c r="D5247" t="s">
        <v>52</v>
      </c>
      <c r="E5247" t="s">
        <v>15</v>
      </c>
      <c r="F5247" s="2" t="str">
        <f>HYPERLINK("http://www.otzar.org/book.asp?60474","בירורי חיים - 9 כר'")</f>
        <v>בירורי חיים - 9 כר'</v>
      </c>
    </row>
    <row r="5248" spans="1:6" x14ac:dyDescent="0.2">
      <c r="A5248" t="s">
        <v>9676</v>
      </c>
      <c r="B5248" t="s">
        <v>9677</v>
      </c>
      <c r="C5248" t="s">
        <v>366</v>
      </c>
      <c r="D5248" t="s">
        <v>90</v>
      </c>
      <c r="F5248" s="2" t="str">
        <f>HYPERLINK("http://www.otzar.org/book.asp?608792","בירורי יהדות לאור מחקרים גנטיים")</f>
        <v>בירורי יהדות לאור מחקרים גנטיים</v>
      </c>
    </row>
    <row r="5249" spans="1:6" x14ac:dyDescent="0.2">
      <c r="A5249" t="s">
        <v>9678</v>
      </c>
      <c r="B5249" t="s">
        <v>9679</v>
      </c>
      <c r="C5249" t="s">
        <v>114</v>
      </c>
      <c r="D5249" t="s">
        <v>147</v>
      </c>
      <c r="E5249" t="s">
        <v>144</v>
      </c>
      <c r="F5249" s="2" t="str">
        <f>HYPERLINK("http://www.otzar.org/book.asp?192784","בירורי כיצד מברכין")</f>
        <v>בירורי כיצד מברכין</v>
      </c>
    </row>
    <row r="5250" spans="1:6" x14ac:dyDescent="0.2">
      <c r="A5250" t="s">
        <v>9680</v>
      </c>
      <c r="B5250" t="s">
        <v>9681</v>
      </c>
      <c r="C5250" t="s">
        <v>313</v>
      </c>
      <c r="D5250" t="s">
        <v>14</v>
      </c>
      <c r="E5250" t="s">
        <v>1072</v>
      </c>
      <c r="F5250" s="2" t="str">
        <f>HYPERLINK("http://www.otzar.org/book.asp?52849","בירורי מועד")</f>
        <v>בירורי מועד</v>
      </c>
    </row>
    <row r="5251" spans="1:6" x14ac:dyDescent="0.2">
      <c r="A5251" t="s">
        <v>9682</v>
      </c>
      <c r="B5251" t="s">
        <v>9683</v>
      </c>
      <c r="C5251" t="s">
        <v>624</v>
      </c>
      <c r="D5251" t="s">
        <v>14</v>
      </c>
      <c r="E5251" t="s">
        <v>144</v>
      </c>
      <c r="F5251" s="2" t="str">
        <f>HYPERLINK("http://www.otzar.org/book.asp?618412","בירורי סוגיות - שנים אוחזין")</f>
        <v>בירורי סוגיות - שנים אוחזין</v>
      </c>
    </row>
    <row r="5252" spans="1:6" x14ac:dyDescent="0.2">
      <c r="A5252" t="s">
        <v>9684</v>
      </c>
      <c r="B5252" t="s">
        <v>9685</v>
      </c>
      <c r="C5252" t="s">
        <v>68</v>
      </c>
      <c r="D5252" t="s">
        <v>21</v>
      </c>
      <c r="F5252" s="2" t="str">
        <f>HYPERLINK("http://www.otzar.org/book.asp?610458","בירורי סוגיות - 7 כר'")</f>
        <v>בירורי סוגיות - 7 כר'</v>
      </c>
    </row>
    <row r="5253" spans="1:6" x14ac:dyDescent="0.2">
      <c r="A5253" t="s">
        <v>9686</v>
      </c>
      <c r="B5253" t="s">
        <v>206</v>
      </c>
      <c r="C5253" t="s">
        <v>20</v>
      </c>
      <c r="D5253" t="s">
        <v>21</v>
      </c>
      <c r="F5253" s="2" t="str">
        <f>HYPERLINK("http://www.otzar.org/book.asp?610325","בירורי סוגיות")</f>
        <v>בירורי סוגיות</v>
      </c>
    </row>
    <row r="5254" spans="1:6" x14ac:dyDescent="0.2">
      <c r="A5254" t="s">
        <v>9687</v>
      </c>
      <c r="B5254" t="s">
        <v>9688</v>
      </c>
      <c r="C5254" t="s">
        <v>20</v>
      </c>
      <c r="D5254" t="s">
        <v>367</v>
      </c>
      <c r="E5254" t="s">
        <v>172</v>
      </c>
      <c r="F5254" s="2" t="str">
        <f>HYPERLINK("http://www.otzar.org/book.asp?627409","בירורי סוגיות - 5 כר'")</f>
        <v>בירורי סוגיות - 5 כר'</v>
      </c>
    </row>
    <row r="5255" spans="1:6" x14ac:dyDescent="0.2">
      <c r="A5255" t="s">
        <v>9689</v>
      </c>
      <c r="B5255" t="s">
        <v>9690</v>
      </c>
      <c r="C5255" t="s">
        <v>244</v>
      </c>
      <c r="D5255" t="s">
        <v>21</v>
      </c>
      <c r="E5255" t="s">
        <v>144</v>
      </c>
      <c r="F5255" s="2" t="str">
        <f>HYPERLINK("http://www.otzar.org/book.asp?605247","בירורי סוגיות - 2 כר'")</f>
        <v>בירורי סוגיות - 2 כר'</v>
      </c>
    </row>
    <row r="5256" spans="1:6" x14ac:dyDescent="0.2">
      <c r="A5256" t="s">
        <v>9689</v>
      </c>
      <c r="B5256" t="s">
        <v>9691</v>
      </c>
      <c r="C5256" t="s">
        <v>189</v>
      </c>
      <c r="D5256" t="s">
        <v>52</v>
      </c>
      <c r="F5256" s="2" t="str">
        <f>HYPERLINK("http://www.otzar.org/book.asp?608140","בירורי סוגיות - 2 כר'")</f>
        <v>בירורי סוגיות - 2 כר'</v>
      </c>
    </row>
    <row r="5257" spans="1:6" x14ac:dyDescent="0.2">
      <c r="A5257" t="s">
        <v>9687</v>
      </c>
      <c r="B5257" t="s">
        <v>7144</v>
      </c>
      <c r="C5257" t="s">
        <v>523</v>
      </c>
      <c r="D5257" t="s">
        <v>52</v>
      </c>
      <c r="E5257" t="s">
        <v>144</v>
      </c>
      <c r="F5257" s="2" t="str">
        <f>HYPERLINK("http://www.otzar.org/book.asp?148967","בירורי סוגיות - 5 כר'")</f>
        <v>בירורי סוגיות - 5 כר'</v>
      </c>
    </row>
    <row r="5258" spans="1:6" x14ac:dyDescent="0.2">
      <c r="A5258" t="s">
        <v>9692</v>
      </c>
      <c r="B5258" t="s">
        <v>9693</v>
      </c>
      <c r="C5258" t="s">
        <v>244</v>
      </c>
      <c r="D5258" t="s">
        <v>152</v>
      </c>
      <c r="F5258" s="2" t="str">
        <f>HYPERLINK("http://www.otzar.org/book.asp?197946","בירורי ענינים במסכת שבת")</f>
        <v>בירורי ענינים במסכת שבת</v>
      </c>
    </row>
    <row r="5259" spans="1:6" x14ac:dyDescent="0.2">
      <c r="A5259" t="s">
        <v>9694</v>
      </c>
      <c r="B5259" t="s">
        <v>206</v>
      </c>
      <c r="C5259" t="s">
        <v>20</v>
      </c>
      <c r="D5259" t="s">
        <v>90</v>
      </c>
      <c r="F5259" s="2" t="str">
        <f>HYPERLINK("http://www.otzar.org/book.asp?198766","בירורים והלכות בדיני מוקצה")</f>
        <v>בירורים והלכות בדיני מוקצה</v>
      </c>
    </row>
    <row r="5260" spans="1:6" x14ac:dyDescent="0.2">
      <c r="A5260" t="s">
        <v>9695</v>
      </c>
      <c r="B5260" t="s">
        <v>9696</v>
      </c>
      <c r="C5260" t="s">
        <v>124</v>
      </c>
      <c r="D5260" t="s">
        <v>90</v>
      </c>
      <c r="E5260" t="s">
        <v>246</v>
      </c>
      <c r="F5260" s="2" t="str">
        <f>HYPERLINK("http://www.otzar.org/book.asp?196652","בירורים ופסקים בדיני חנוכה")</f>
        <v>בירורים ופסקים בדיני חנוכה</v>
      </c>
    </row>
    <row r="5261" spans="1:6" x14ac:dyDescent="0.2">
      <c r="A5261" t="s">
        <v>9697</v>
      </c>
      <c r="B5261" t="s">
        <v>9698</v>
      </c>
      <c r="C5261" t="s">
        <v>189</v>
      </c>
      <c r="D5261" t="s">
        <v>21</v>
      </c>
      <c r="E5261" t="s">
        <v>234</v>
      </c>
      <c r="F5261" s="2" t="str">
        <f>HYPERLINK("http://www.otzar.org/book.asp?199595","בירח האתנים")</f>
        <v>בירח האתנים</v>
      </c>
    </row>
    <row r="5262" spans="1:6" x14ac:dyDescent="0.2">
      <c r="A5262" t="s">
        <v>9699</v>
      </c>
      <c r="B5262" t="s">
        <v>9700</v>
      </c>
      <c r="C5262" t="s">
        <v>75</v>
      </c>
      <c r="D5262" t="s">
        <v>76</v>
      </c>
      <c r="E5262" t="s">
        <v>606</v>
      </c>
      <c r="F5262" s="2" t="str">
        <f>HYPERLINK("http://www.otzar.org/book.asp?100414","בירך את אברהם")</f>
        <v>בירך את אברהם</v>
      </c>
    </row>
    <row r="5263" spans="1:6" x14ac:dyDescent="0.2">
      <c r="A5263" t="s">
        <v>9701</v>
      </c>
      <c r="B5263" t="s">
        <v>9702</v>
      </c>
      <c r="C5263" t="s">
        <v>4114</v>
      </c>
      <c r="D5263" t="s">
        <v>49</v>
      </c>
      <c r="E5263" t="s">
        <v>158</v>
      </c>
      <c r="F5263" s="2" t="str">
        <f>HYPERLINK("http://www.otzar.org/book.asp?22384","בירך יצחק - 2 כר'")</f>
        <v>בירך יצחק - 2 כר'</v>
      </c>
    </row>
    <row r="5264" spans="1:6" x14ac:dyDescent="0.2">
      <c r="A5264" t="s">
        <v>9703</v>
      </c>
      <c r="B5264" t="s">
        <v>1417</v>
      </c>
      <c r="C5264" t="s">
        <v>366</v>
      </c>
      <c r="D5264" t="s">
        <v>52</v>
      </c>
      <c r="F5264" s="2" t="str">
        <f>HYPERLINK("http://www.otzar.org/book.asp?618470","בירת מגדל עוז &lt;מהדורה חדשה&gt;")</f>
        <v>בירת מגדל עוז &lt;מהדורה חדשה&gt;</v>
      </c>
    </row>
    <row r="5265" spans="1:6" x14ac:dyDescent="0.2">
      <c r="A5265" t="s">
        <v>9704</v>
      </c>
      <c r="B5265" t="s">
        <v>9705</v>
      </c>
      <c r="C5265" t="s">
        <v>8799</v>
      </c>
      <c r="D5265" t="s">
        <v>9706</v>
      </c>
      <c r="E5265" t="s">
        <v>15</v>
      </c>
      <c r="F5265" s="2" t="str">
        <f>HYPERLINK("http://www.otzar.org/book.asp?193899","בירת מגדל עז")</f>
        <v>בירת מגדל עז</v>
      </c>
    </row>
    <row r="5266" spans="1:6" x14ac:dyDescent="0.2">
      <c r="A5266" t="s">
        <v>9707</v>
      </c>
      <c r="B5266" t="s">
        <v>1417</v>
      </c>
      <c r="C5266" t="s">
        <v>1537</v>
      </c>
      <c r="D5266" t="s">
        <v>267</v>
      </c>
      <c r="E5266" t="s">
        <v>15</v>
      </c>
      <c r="F5266" s="2" t="str">
        <f>HYPERLINK("http://www.otzar.org/book.asp?154139","בירת מגדל עז - 3 כר'")</f>
        <v>בירת מגדל עז - 3 כר'</v>
      </c>
    </row>
    <row r="5267" spans="1:6" x14ac:dyDescent="0.2">
      <c r="A5267" t="s">
        <v>9708</v>
      </c>
      <c r="B5267" t="s">
        <v>8053</v>
      </c>
      <c r="C5267" t="s">
        <v>1619</v>
      </c>
      <c r="D5267" t="s">
        <v>14</v>
      </c>
      <c r="E5267" t="s">
        <v>15</v>
      </c>
      <c r="F5267" s="2" t="str">
        <f>HYPERLINK("http://www.otzar.org/book.asp?625461","בישול במערכת קיטור")</f>
        <v>בישול במערכת קיטור</v>
      </c>
    </row>
    <row r="5268" spans="1:6" x14ac:dyDescent="0.2">
      <c r="A5268" t="s">
        <v>9709</v>
      </c>
      <c r="B5268" t="s">
        <v>9710</v>
      </c>
      <c r="C5268" t="s">
        <v>1208</v>
      </c>
      <c r="D5268" t="s">
        <v>21</v>
      </c>
      <c r="E5268" t="s">
        <v>15</v>
      </c>
      <c r="F5268" s="2" t="str">
        <f>HYPERLINK("http://www.otzar.org/book.asp?630160","בישול בשבת - מדריך הלכתי מאוייר")</f>
        <v>בישול בשבת - מדריך הלכתי מאוייר</v>
      </c>
    </row>
    <row r="5269" spans="1:6" x14ac:dyDescent="0.2">
      <c r="A5269" t="s">
        <v>9711</v>
      </c>
      <c r="B5269" t="s">
        <v>9712</v>
      </c>
      <c r="C5269" t="s">
        <v>103</v>
      </c>
      <c r="D5269" t="s">
        <v>5301</v>
      </c>
      <c r="E5269" t="s">
        <v>15</v>
      </c>
      <c r="F5269" s="2" t="str">
        <f>HYPERLINK("http://www.otzar.org/book.asp?176965","בישול ישראל")</f>
        <v>בישול ישראל</v>
      </c>
    </row>
    <row r="5270" spans="1:6" x14ac:dyDescent="0.2">
      <c r="A5270" t="s">
        <v>9713</v>
      </c>
      <c r="B5270" t="s">
        <v>9714</v>
      </c>
      <c r="C5270" t="s">
        <v>176</v>
      </c>
      <c r="D5270" t="s">
        <v>14</v>
      </c>
      <c r="E5270" t="s">
        <v>674</v>
      </c>
      <c r="F5270" s="2" t="str">
        <f>HYPERLINK("http://www.otzar.org/book.asp?84769","בישורון מלך")</f>
        <v>בישורון מלך</v>
      </c>
    </row>
    <row r="5271" spans="1:6" x14ac:dyDescent="0.2">
      <c r="A5271" t="s">
        <v>9715</v>
      </c>
      <c r="B5271" t="s">
        <v>776</v>
      </c>
      <c r="C5271" t="s">
        <v>87</v>
      </c>
      <c r="D5271" t="s">
        <v>27</v>
      </c>
      <c r="E5271" t="s">
        <v>733</v>
      </c>
      <c r="F5271" s="2" t="str">
        <f>HYPERLINK("http://www.otzar.org/book.asp?179266","בישישים חכמה")</f>
        <v>בישישים חכמה</v>
      </c>
    </row>
    <row r="5272" spans="1:6" x14ac:dyDescent="0.2">
      <c r="A5272" t="s">
        <v>9716</v>
      </c>
      <c r="B5272" t="s">
        <v>7</v>
      </c>
      <c r="C5272" t="s">
        <v>609</v>
      </c>
      <c r="D5272" t="s">
        <v>1966</v>
      </c>
      <c r="E5272" t="s">
        <v>154</v>
      </c>
      <c r="F5272" s="2" t="str">
        <f>HYPERLINK("http://www.otzar.org/book.asp?28557","בית א""ב קמא")</f>
        <v>בית א"ב קמא</v>
      </c>
    </row>
    <row r="5273" spans="1:6" x14ac:dyDescent="0.2">
      <c r="A5273" t="s">
        <v>9717</v>
      </c>
      <c r="B5273" t="s">
        <v>7</v>
      </c>
      <c r="C5273" t="s">
        <v>9718</v>
      </c>
      <c r="D5273" t="s">
        <v>283</v>
      </c>
      <c r="E5273" t="s">
        <v>154</v>
      </c>
      <c r="F5273" s="2" t="str">
        <f>HYPERLINK("http://www.otzar.org/book.asp?9981","בית א""ב - 5 כר'")</f>
        <v>בית א"ב - 5 כר'</v>
      </c>
    </row>
    <row r="5274" spans="1:6" x14ac:dyDescent="0.2">
      <c r="A5274" t="s">
        <v>9719</v>
      </c>
      <c r="B5274" t="s">
        <v>9720</v>
      </c>
      <c r="C5274" t="s">
        <v>366</v>
      </c>
      <c r="D5274" t="s">
        <v>1180</v>
      </c>
      <c r="E5274" t="s">
        <v>154</v>
      </c>
      <c r="F5274" s="2" t="str">
        <f>HYPERLINK("http://www.otzar.org/book.asp?606443","בית אב""א - 4 כר'")</f>
        <v>בית אב"א - 4 כר'</v>
      </c>
    </row>
    <row r="5275" spans="1:6" x14ac:dyDescent="0.2">
      <c r="A5275" t="s">
        <v>9721</v>
      </c>
      <c r="B5275" t="s">
        <v>9722</v>
      </c>
      <c r="C5275" t="s">
        <v>411</v>
      </c>
      <c r="D5275" t="s">
        <v>152</v>
      </c>
      <c r="E5275" t="s">
        <v>172</v>
      </c>
      <c r="F5275" s="2" t="str">
        <f>HYPERLINK("http://www.otzar.org/book.asp?173981","בית אב - 2 כר'")</f>
        <v>בית אב - 2 כר'</v>
      </c>
    </row>
    <row r="5276" spans="1:6" x14ac:dyDescent="0.2">
      <c r="A5276" t="s">
        <v>9723</v>
      </c>
      <c r="B5276" t="s">
        <v>9724</v>
      </c>
      <c r="C5276" t="s">
        <v>20</v>
      </c>
      <c r="E5276" t="s">
        <v>154</v>
      </c>
      <c r="F5276" s="2" t="str">
        <f>HYPERLINK("http://www.otzar.org/book.asp?28558","בית אב""י - 5 כר'")</f>
        <v>בית אב"י - 5 כר'</v>
      </c>
    </row>
    <row r="5277" spans="1:6" x14ac:dyDescent="0.2">
      <c r="A5277" t="s">
        <v>9725</v>
      </c>
      <c r="B5277" t="s">
        <v>9726</v>
      </c>
      <c r="C5277" t="s">
        <v>940</v>
      </c>
      <c r="D5277" t="s">
        <v>646</v>
      </c>
      <c r="E5277" t="s">
        <v>1157</v>
      </c>
      <c r="F5277" s="2" t="str">
        <f>HYPERLINK("http://www.otzar.org/book.asp?84880","בית אב - 6 כר'")</f>
        <v>בית אב - 6 כר'</v>
      </c>
    </row>
    <row r="5278" spans="1:6" x14ac:dyDescent="0.2">
      <c r="A5278" t="s">
        <v>9727</v>
      </c>
      <c r="B5278" t="s">
        <v>552</v>
      </c>
      <c r="C5278" t="s">
        <v>68</v>
      </c>
      <c r="D5278" t="s">
        <v>52</v>
      </c>
      <c r="E5278" t="s">
        <v>186</v>
      </c>
      <c r="F5278" s="2" t="str">
        <f>HYPERLINK("http://www.otzar.org/book.asp?159790","בית אבא &lt;תורת אמך&gt;")</f>
        <v>בית אבא &lt;תורת אמך&gt;</v>
      </c>
    </row>
    <row r="5279" spans="1:6" x14ac:dyDescent="0.2">
      <c r="A5279" t="s">
        <v>9728</v>
      </c>
      <c r="B5279" t="s">
        <v>9729</v>
      </c>
      <c r="C5279" t="s">
        <v>286</v>
      </c>
      <c r="D5279" t="s">
        <v>267</v>
      </c>
      <c r="E5279" t="s">
        <v>144</v>
      </c>
      <c r="F5279" s="2" t="str">
        <f>HYPERLINK("http://www.otzar.org/book.asp?17545","בית אבא")</f>
        <v>בית אבא</v>
      </c>
    </row>
    <row r="5280" spans="1:6" x14ac:dyDescent="0.2">
      <c r="A5280" t="s">
        <v>9728</v>
      </c>
      <c r="B5280" t="s">
        <v>9730</v>
      </c>
      <c r="C5280" t="s">
        <v>9731</v>
      </c>
      <c r="D5280" t="s">
        <v>1117</v>
      </c>
      <c r="E5280" t="s">
        <v>154</v>
      </c>
      <c r="F5280" s="2" t="str">
        <f>HYPERLINK("http://www.otzar.org/book.asp?17273","בית אבא")</f>
        <v>בית אבא</v>
      </c>
    </row>
    <row r="5281" spans="1:6" x14ac:dyDescent="0.2">
      <c r="A5281" t="s">
        <v>9728</v>
      </c>
      <c r="B5281" t="s">
        <v>552</v>
      </c>
      <c r="C5281" t="s">
        <v>9732</v>
      </c>
      <c r="D5281" t="s">
        <v>52</v>
      </c>
      <c r="E5281" t="s">
        <v>202</v>
      </c>
      <c r="F5281" s="2" t="str">
        <f>HYPERLINK("http://www.otzar.org/book.asp?159348","בית אבא")</f>
        <v>בית אבא</v>
      </c>
    </row>
    <row r="5282" spans="1:6" x14ac:dyDescent="0.2">
      <c r="A5282" t="s">
        <v>9728</v>
      </c>
      <c r="B5282" t="s">
        <v>107</v>
      </c>
      <c r="C5282" t="s">
        <v>334</v>
      </c>
      <c r="D5282" t="s">
        <v>14</v>
      </c>
      <c r="E5282" t="s">
        <v>104</v>
      </c>
      <c r="F5282" s="2" t="str">
        <f>HYPERLINK("http://www.otzar.org/book.asp?6294","בית אבא")</f>
        <v>בית אבא</v>
      </c>
    </row>
    <row r="5283" spans="1:6" x14ac:dyDescent="0.2">
      <c r="A5283" t="s">
        <v>9733</v>
      </c>
      <c r="B5283" t="s">
        <v>9734</v>
      </c>
      <c r="C5283" t="s">
        <v>68</v>
      </c>
      <c r="D5283" t="s">
        <v>52</v>
      </c>
      <c r="E5283" t="s">
        <v>463</v>
      </c>
      <c r="F5283" s="2" t="str">
        <f>HYPERLINK("http://www.otzar.org/book.asp?617913","בית אבא, ברכת שרה")</f>
        <v>בית אבא, ברכת שרה</v>
      </c>
    </row>
    <row r="5284" spans="1:6" x14ac:dyDescent="0.2">
      <c r="A5284" t="s">
        <v>9735</v>
      </c>
      <c r="B5284" t="s">
        <v>9736</v>
      </c>
      <c r="C5284" t="s">
        <v>4051</v>
      </c>
      <c r="D5284" t="s">
        <v>283</v>
      </c>
      <c r="E5284" t="s">
        <v>84</v>
      </c>
      <c r="F5284" s="2" t="str">
        <f>HYPERLINK("http://www.otzar.org/book.asp?101949","בית אבות")</f>
        <v>בית אבות</v>
      </c>
    </row>
    <row r="5285" spans="1:6" x14ac:dyDescent="0.2">
      <c r="A5285" t="s">
        <v>9735</v>
      </c>
      <c r="B5285" t="s">
        <v>9735</v>
      </c>
      <c r="C5285" t="s">
        <v>51</v>
      </c>
      <c r="D5285" t="s">
        <v>412</v>
      </c>
      <c r="E5285" t="s">
        <v>119</v>
      </c>
      <c r="F5285" s="2" t="str">
        <f>HYPERLINK("http://www.otzar.org/book.asp?145297","בית אבות")</f>
        <v>בית אבות</v>
      </c>
    </row>
    <row r="5286" spans="1:6" x14ac:dyDescent="0.2">
      <c r="A5286" t="s">
        <v>9735</v>
      </c>
      <c r="B5286" t="s">
        <v>9737</v>
      </c>
      <c r="C5286" t="s">
        <v>1047</v>
      </c>
      <c r="D5286" t="s">
        <v>280</v>
      </c>
      <c r="E5286" t="s">
        <v>5741</v>
      </c>
      <c r="F5286" s="2" t="str">
        <f>HYPERLINK("http://www.otzar.org/book.asp?101950","בית אבות")</f>
        <v>בית אבות</v>
      </c>
    </row>
    <row r="5287" spans="1:6" x14ac:dyDescent="0.2">
      <c r="A5287" t="s">
        <v>9735</v>
      </c>
      <c r="B5287" t="s">
        <v>9738</v>
      </c>
      <c r="C5287" t="s">
        <v>5619</v>
      </c>
      <c r="D5287" t="s">
        <v>885</v>
      </c>
      <c r="E5287" t="s">
        <v>158</v>
      </c>
      <c r="F5287" s="2" t="str">
        <f>HYPERLINK("http://www.otzar.org/book.asp?300417","בית אבות")</f>
        <v>בית אבות</v>
      </c>
    </row>
    <row r="5288" spans="1:6" x14ac:dyDescent="0.2">
      <c r="A5288" t="s">
        <v>9735</v>
      </c>
      <c r="B5288" t="s">
        <v>9739</v>
      </c>
      <c r="C5288" t="s">
        <v>1570</v>
      </c>
      <c r="D5288" t="s">
        <v>14</v>
      </c>
      <c r="E5288" t="s">
        <v>234</v>
      </c>
      <c r="F5288" s="2" t="str">
        <f>HYPERLINK("http://www.otzar.org/book.asp?173208","בית אבות")</f>
        <v>בית אבות</v>
      </c>
    </row>
    <row r="5289" spans="1:6" x14ac:dyDescent="0.2">
      <c r="A5289" t="s">
        <v>9735</v>
      </c>
      <c r="B5289" t="s">
        <v>155</v>
      </c>
      <c r="C5289" t="s">
        <v>2455</v>
      </c>
      <c r="D5289" t="s">
        <v>76</v>
      </c>
      <c r="E5289" t="s">
        <v>84</v>
      </c>
      <c r="F5289" s="2" t="str">
        <f>HYPERLINK("http://www.otzar.org/book.asp?101948","בית אבות")</f>
        <v>בית אבות</v>
      </c>
    </row>
    <row r="5290" spans="1:6" x14ac:dyDescent="0.2">
      <c r="A5290" t="s">
        <v>9740</v>
      </c>
      <c r="B5290" t="s">
        <v>4398</v>
      </c>
      <c r="C5290" t="s">
        <v>533</v>
      </c>
      <c r="D5290" t="s">
        <v>216</v>
      </c>
      <c r="E5290" t="s">
        <v>2915</v>
      </c>
      <c r="F5290" s="2" t="str">
        <f>HYPERLINK("http://www.otzar.org/book.asp?63309","בית אבי")</f>
        <v>בית אבי</v>
      </c>
    </row>
    <row r="5291" spans="1:6" x14ac:dyDescent="0.2">
      <c r="A5291" t="s">
        <v>9740</v>
      </c>
      <c r="B5291" t="s">
        <v>1005</v>
      </c>
      <c r="C5291" t="s">
        <v>313</v>
      </c>
      <c r="D5291" t="s">
        <v>90</v>
      </c>
      <c r="E5291" t="s">
        <v>202</v>
      </c>
      <c r="F5291" s="2" t="str">
        <f>HYPERLINK("http://www.otzar.org/book.asp?50048","בית אבי")</f>
        <v>בית אבי</v>
      </c>
    </row>
    <row r="5292" spans="1:6" x14ac:dyDescent="0.2">
      <c r="A5292" t="s">
        <v>9741</v>
      </c>
      <c r="B5292" t="s">
        <v>9742</v>
      </c>
      <c r="C5292" t="s">
        <v>1228</v>
      </c>
      <c r="D5292" t="s">
        <v>563</v>
      </c>
      <c r="E5292" t="s">
        <v>9743</v>
      </c>
      <c r="F5292" s="2" t="str">
        <f>HYPERLINK("http://www.otzar.org/book.asp?108300","בית אביגדר")</f>
        <v>בית אביגדר</v>
      </c>
    </row>
    <row r="5293" spans="1:6" x14ac:dyDescent="0.2">
      <c r="A5293" t="s">
        <v>9744</v>
      </c>
      <c r="B5293" t="s">
        <v>9745</v>
      </c>
      <c r="C5293" t="s">
        <v>23</v>
      </c>
      <c r="D5293" t="s">
        <v>21</v>
      </c>
      <c r="E5293" t="s">
        <v>230</v>
      </c>
      <c r="F5293" s="2" t="str">
        <f>HYPERLINK("http://www.otzar.org/book.asp?610454","בית אבן יהודה")</f>
        <v>בית אבן יהודה</v>
      </c>
    </row>
    <row r="5294" spans="1:6" x14ac:dyDescent="0.2">
      <c r="A5294" t="s">
        <v>9746</v>
      </c>
      <c r="B5294" t="s">
        <v>9747</v>
      </c>
      <c r="C5294" t="s">
        <v>5912</v>
      </c>
      <c r="D5294" t="s">
        <v>9748</v>
      </c>
      <c r="E5294" t="s">
        <v>9749</v>
      </c>
      <c r="F5294" s="2" t="str">
        <f>HYPERLINK("http://www.otzar.org/book.asp?102852","בית אברהם &lt;חסר&gt;")</f>
        <v>בית אברהם &lt;חסר&gt;</v>
      </c>
    </row>
    <row r="5295" spans="1:6" x14ac:dyDescent="0.2">
      <c r="A5295" t="s">
        <v>9750</v>
      </c>
      <c r="B5295" t="s">
        <v>9751</v>
      </c>
      <c r="C5295" t="s">
        <v>411</v>
      </c>
      <c r="D5295" t="s">
        <v>52</v>
      </c>
      <c r="E5295" t="s">
        <v>104</v>
      </c>
      <c r="F5295" s="2" t="str">
        <f>HYPERLINK("http://www.otzar.org/book.asp?600317","בית אברהם &lt;מהדורה חדשה&gt;")</f>
        <v>בית אברהם &lt;מהדורה חדשה&gt;</v>
      </c>
    </row>
    <row r="5296" spans="1:6" x14ac:dyDescent="0.2">
      <c r="A5296" t="s">
        <v>9752</v>
      </c>
      <c r="B5296" t="s">
        <v>9753</v>
      </c>
      <c r="C5296" t="s">
        <v>143</v>
      </c>
      <c r="D5296" t="s">
        <v>14</v>
      </c>
      <c r="E5296" t="s">
        <v>202</v>
      </c>
      <c r="F5296" s="2" t="str">
        <f>HYPERLINK("http://www.otzar.org/book.asp?158946","בית אברהם &lt;לחידושים ועיונים בספר אבנ""ז ואג""ט&gt; - 2 כר'")</f>
        <v>בית אברהם &lt;לחידושים ועיונים בספר אבנ"ז ואג"ט&gt; - 2 כר'</v>
      </c>
    </row>
    <row r="5297" spans="1:6" x14ac:dyDescent="0.2">
      <c r="A5297" t="s">
        <v>9754</v>
      </c>
      <c r="B5297" t="s">
        <v>9755</v>
      </c>
      <c r="C5297" t="s">
        <v>129</v>
      </c>
      <c r="D5297" t="s">
        <v>9756</v>
      </c>
      <c r="E5297" t="s">
        <v>960</v>
      </c>
      <c r="F5297" s="2" t="str">
        <f>HYPERLINK("http://www.otzar.org/book.asp?160419","בית אברהם לחיים")</f>
        <v>בית אברהם לחיים</v>
      </c>
    </row>
    <row r="5298" spans="1:6" x14ac:dyDescent="0.2">
      <c r="A5298" t="s">
        <v>9757</v>
      </c>
      <c r="B5298" t="s">
        <v>489</v>
      </c>
      <c r="C5298" t="s">
        <v>23</v>
      </c>
      <c r="D5298" t="s">
        <v>367</v>
      </c>
      <c r="E5298" t="s">
        <v>202</v>
      </c>
      <c r="F5298" s="2" t="str">
        <f>HYPERLINK("http://www.otzar.org/book.asp?189821","בית אברהם משה - 2 כר'")</f>
        <v>בית אברהם משה - 2 כר'</v>
      </c>
    </row>
    <row r="5299" spans="1:6" x14ac:dyDescent="0.2">
      <c r="A5299" t="s">
        <v>9758</v>
      </c>
      <c r="B5299" t="s">
        <v>9759</v>
      </c>
      <c r="C5299" t="s">
        <v>270</v>
      </c>
      <c r="D5299" t="s">
        <v>56</v>
      </c>
      <c r="E5299" t="s">
        <v>9760</v>
      </c>
      <c r="F5299" s="2" t="str">
        <f>HYPERLINK("http://www.otzar.org/book.asp?5741","בית אברהם")</f>
        <v>בית אברהם</v>
      </c>
    </row>
    <row r="5300" spans="1:6" x14ac:dyDescent="0.2">
      <c r="A5300" t="s">
        <v>9761</v>
      </c>
      <c r="B5300" t="s">
        <v>9762</v>
      </c>
      <c r="C5300" t="s">
        <v>4462</v>
      </c>
      <c r="D5300" t="s">
        <v>280</v>
      </c>
      <c r="E5300" t="s">
        <v>154</v>
      </c>
      <c r="F5300" s="2" t="str">
        <f>HYPERLINK("http://www.otzar.org/book.asp?22387","בית אברהם - 2 כר'")</f>
        <v>בית אברהם - 2 כר'</v>
      </c>
    </row>
    <row r="5301" spans="1:6" x14ac:dyDescent="0.2">
      <c r="A5301" t="s">
        <v>9758</v>
      </c>
      <c r="B5301" t="s">
        <v>9763</v>
      </c>
      <c r="C5301" t="s">
        <v>1863</v>
      </c>
      <c r="D5301" t="s">
        <v>1490</v>
      </c>
      <c r="E5301" t="s">
        <v>579</v>
      </c>
      <c r="F5301" s="2" t="str">
        <f>HYPERLINK("http://www.otzar.org/book.asp?300418","בית אברהם")</f>
        <v>בית אברהם</v>
      </c>
    </row>
    <row r="5302" spans="1:6" x14ac:dyDescent="0.2">
      <c r="A5302" t="s">
        <v>9758</v>
      </c>
      <c r="B5302" t="s">
        <v>9764</v>
      </c>
      <c r="C5302" t="s">
        <v>1166</v>
      </c>
      <c r="D5302" t="s">
        <v>2440</v>
      </c>
      <c r="E5302" t="s">
        <v>144</v>
      </c>
      <c r="F5302" s="2" t="str">
        <f>HYPERLINK("http://www.otzar.org/book.asp?17274","בית אברהם")</f>
        <v>בית אברהם</v>
      </c>
    </row>
    <row r="5303" spans="1:6" x14ac:dyDescent="0.2">
      <c r="A5303" t="s">
        <v>9761</v>
      </c>
      <c r="B5303" t="s">
        <v>9765</v>
      </c>
      <c r="C5303" t="s">
        <v>291</v>
      </c>
      <c r="D5303" t="s">
        <v>9766</v>
      </c>
      <c r="E5303" t="s">
        <v>148</v>
      </c>
      <c r="F5303" s="2" t="str">
        <f>HYPERLINK("http://www.otzar.org/book.asp?300403","בית אברהם - 2 כר'")</f>
        <v>בית אברהם - 2 כר'</v>
      </c>
    </row>
    <row r="5304" spans="1:6" x14ac:dyDescent="0.2">
      <c r="A5304" t="s">
        <v>9758</v>
      </c>
      <c r="B5304" t="s">
        <v>9767</v>
      </c>
      <c r="C5304" t="s">
        <v>496</v>
      </c>
      <c r="D5304" t="s">
        <v>379</v>
      </c>
      <c r="E5304" t="s">
        <v>508</v>
      </c>
      <c r="F5304" s="2" t="str">
        <f>HYPERLINK("http://www.otzar.org/book.asp?102853","בית אברהם")</f>
        <v>בית אברהם</v>
      </c>
    </row>
    <row r="5305" spans="1:6" x14ac:dyDescent="0.2">
      <c r="A5305" t="s">
        <v>9758</v>
      </c>
      <c r="B5305" t="s">
        <v>9758</v>
      </c>
      <c r="C5305" t="s">
        <v>908</v>
      </c>
      <c r="D5305" t="s">
        <v>283</v>
      </c>
      <c r="E5305" t="s">
        <v>202</v>
      </c>
      <c r="F5305" s="2" t="str">
        <f>HYPERLINK("http://www.otzar.org/book.asp?17275","בית אברהם")</f>
        <v>בית אברהם</v>
      </c>
    </row>
    <row r="5306" spans="1:6" x14ac:dyDescent="0.2">
      <c r="A5306" t="s">
        <v>9768</v>
      </c>
      <c r="B5306" t="s">
        <v>9769</v>
      </c>
      <c r="C5306" t="s">
        <v>888</v>
      </c>
      <c r="D5306" t="s">
        <v>283</v>
      </c>
      <c r="E5306" t="s">
        <v>158</v>
      </c>
      <c r="F5306" s="2" t="str">
        <f>HYPERLINK("http://www.otzar.org/book.asp?300425","בית אברהם - ויקרא")</f>
        <v>בית אברהם - ויקרא</v>
      </c>
    </row>
    <row r="5307" spans="1:6" x14ac:dyDescent="0.2">
      <c r="A5307" t="s">
        <v>9770</v>
      </c>
      <c r="B5307" t="s">
        <v>9751</v>
      </c>
      <c r="C5307" t="s">
        <v>2455</v>
      </c>
      <c r="D5307" t="s">
        <v>56</v>
      </c>
      <c r="E5307" t="s">
        <v>213</v>
      </c>
      <c r="F5307" s="2" t="str">
        <f>HYPERLINK("http://www.otzar.org/book.asp?146686","בית אברהם - 6 כר'")</f>
        <v>בית אברהם - 6 כר'</v>
      </c>
    </row>
    <row r="5308" spans="1:6" x14ac:dyDescent="0.2">
      <c r="A5308" t="s">
        <v>9761</v>
      </c>
      <c r="B5308" t="s">
        <v>2401</v>
      </c>
      <c r="C5308" t="s">
        <v>1202</v>
      </c>
      <c r="D5308" t="s">
        <v>27</v>
      </c>
      <c r="E5308" t="s">
        <v>930</v>
      </c>
      <c r="F5308" s="2" t="str">
        <f>HYPERLINK("http://www.otzar.org/book.asp?22386","בית אברהם - 2 כר'")</f>
        <v>בית אברהם - 2 כר'</v>
      </c>
    </row>
    <row r="5309" spans="1:6" x14ac:dyDescent="0.2">
      <c r="A5309" t="s">
        <v>9771</v>
      </c>
      <c r="B5309" t="s">
        <v>9772</v>
      </c>
      <c r="C5309" t="s">
        <v>332</v>
      </c>
      <c r="D5309" t="s">
        <v>14</v>
      </c>
      <c r="E5309" t="s">
        <v>148</v>
      </c>
      <c r="F5309" s="2" t="str">
        <f>HYPERLINK("http://www.otzar.org/book.asp?51158","בית אברהם - ב")</f>
        <v>בית אברהם - ב</v>
      </c>
    </row>
    <row r="5310" spans="1:6" x14ac:dyDescent="0.2">
      <c r="A5310" t="s">
        <v>9758</v>
      </c>
      <c r="B5310" t="s">
        <v>9773</v>
      </c>
      <c r="C5310" t="s">
        <v>748</v>
      </c>
      <c r="D5310" t="s">
        <v>283</v>
      </c>
      <c r="E5310" t="s">
        <v>144</v>
      </c>
      <c r="F5310" s="2" t="str">
        <f>HYPERLINK("http://www.otzar.org/book.asp?104909","בית אברהם")</f>
        <v>בית אברהם</v>
      </c>
    </row>
    <row r="5311" spans="1:6" x14ac:dyDescent="0.2">
      <c r="A5311" t="s">
        <v>9774</v>
      </c>
      <c r="B5311" t="s">
        <v>9775</v>
      </c>
      <c r="C5311" t="s">
        <v>9776</v>
      </c>
      <c r="D5311" t="s">
        <v>27</v>
      </c>
      <c r="E5311" t="s">
        <v>3055</v>
      </c>
      <c r="F5311" s="2" t="str">
        <f>HYPERLINK("http://www.otzar.org/book.asp?7026","בית אברהם - 3 כר'")</f>
        <v>בית אברהם - 3 כר'</v>
      </c>
    </row>
    <row r="5312" spans="1:6" x14ac:dyDescent="0.2">
      <c r="A5312" t="s">
        <v>9761</v>
      </c>
      <c r="B5312" t="s">
        <v>6061</v>
      </c>
      <c r="C5312" t="s">
        <v>4404</v>
      </c>
      <c r="D5312" t="s">
        <v>212</v>
      </c>
      <c r="E5312" t="s">
        <v>148</v>
      </c>
      <c r="F5312" s="2" t="str">
        <f>HYPERLINK("http://www.otzar.org/book.asp?100089","בית אברהם - 2 כר'")</f>
        <v>בית אברהם - 2 כר'</v>
      </c>
    </row>
    <row r="5313" spans="1:6" x14ac:dyDescent="0.2">
      <c r="A5313" t="s">
        <v>9774</v>
      </c>
      <c r="B5313" t="s">
        <v>9777</v>
      </c>
      <c r="C5313" t="s">
        <v>23</v>
      </c>
      <c r="D5313" t="s">
        <v>806</v>
      </c>
      <c r="E5313" t="s">
        <v>144</v>
      </c>
      <c r="F5313" s="2" t="str">
        <f>HYPERLINK("http://www.otzar.org/book.asp?193213","בית אברהם - 3 כר'")</f>
        <v>בית אברהם - 3 כר'</v>
      </c>
    </row>
    <row r="5314" spans="1:6" x14ac:dyDescent="0.2">
      <c r="A5314" t="s">
        <v>9761</v>
      </c>
      <c r="B5314" t="s">
        <v>1984</v>
      </c>
      <c r="C5314" t="s">
        <v>1096</v>
      </c>
      <c r="D5314" t="s">
        <v>283</v>
      </c>
      <c r="E5314" t="s">
        <v>325</v>
      </c>
      <c r="F5314" s="2" t="str">
        <f>HYPERLINK("http://www.otzar.org/book.asp?13727","בית אברהם - 2 כר'")</f>
        <v>בית אברהם - 2 כר'</v>
      </c>
    </row>
    <row r="5315" spans="1:6" x14ac:dyDescent="0.2">
      <c r="A5315" t="s">
        <v>9758</v>
      </c>
      <c r="B5315" t="s">
        <v>552</v>
      </c>
      <c r="C5315" t="s">
        <v>146</v>
      </c>
      <c r="D5315" t="s">
        <v>52</v>
      </c>
      <c r="E5315" t="s">
        <v>202</v>
      </c>
      <c r="F5315" s="2" t="str">
        <f>HYPERLINK("http://www.otzar.org/book.asp?144501","בית אברהם")</f>
        <v>בית אברהם</v>
      </c>
    </row>
    <row r="5316" spans="1:6" x14ac:dyDescent="0.2">
      <c r="A5316" t="s">
        <v>9758</v>
      </c>
      <c r="B5316" t="s">
        <v>9778</v>
      </c>
      <c r="C5316" t="s">
        <v>523</v>
      </c>
      <c r="D5316" t="s">
        <v>14</v>
      </c>
      <c r="E5316" t="s">
        <v>148</v>
      </c>
      <c r="F5316" s="2" t="str">
        <f>HYPERLINK("http://www.otzar.org/book.asp?60168","בית אברהם")</f>
        <v>בית אברהם</v>
      </c>
    </row>
    <row r="5317" spans="1:6" x14ac:dyDescent="0.2">
      <c r="A5317" t="s">
        <v>9758</v>
      </c>
      <c r="B5317" t="s">
        <v>9779</v>
      </c>
      <c r="C5317" t="s">
        <v>395</v>
      </c>
      <c r="D5317" t="s">
        <v>283</v>
      </c>
      <c r="E5317" t="s">
        <v>9780</v>
      </c>
      <c r="F5317" s="2" t="str">
        <f>HYPERLINK("http://www.otzar.org/book.asp?300416","בית אברהם")</f>
        <v>בית אברהם</v>
      </c>
    </row>
    <row r="5318" spans="1:6" x14ac:dyDescent="0.2">
      <c r="A5318" t="s">
        <v>9781</v>
      </c>
      <c r="B5318" t="s">
        <v>1750</v>
      </c>
      <c r="C5318" t="s">
        <v>356</v>
      </c>
      <c r="D5318" t="s">
        <v>14</v>
      </c>
      <c r="E5318" t="s">
        <v>2091</v>
      </c>
      <c r="F5318" s="2" t="str">
        <f>HYPERLINK("http://www.otzar.org/book.asp?142909","בית אברהם - 5 כר'")</f>
        <v>בית אברהם - 5 כר'</v>
      </c>
    </row>
    <row r="5319" spans="1:6" x14ac:dyDescent="0.2">
      <c r="A5319" t="s">
        <v>9774</v>
      </c>
      <c r="B5319" t="s">
        <v>9782</v>
      </c>
      <c r="C5319" t="s">
        <v>9783</v>
      </c>
      <c r="D5319" t="s">
        <v>225</v>
      </c>
      <c r="E5319" t="s">
        <v>158</v>
      </c>
      <c r="F5319" s="2" t="str">
        <f>HYPERLINK("http://www.otzar.org/book.asp?300422","בית אברהם - 3 כר'")</f>
        <v>בית אברהם - 3 כר'</v>
      </c>
    </row>
    <row r="5320" spans="1:6" x14ac:dyDescent="0.2">
      <c r="A5320" t="s">
        <v>9758</v>
      </c>
      <c r="B5320" t="s">
        <v>9784</v>
      </c>
      <c r="C5320" t="s">
        <v>445</v>
      </c>
      <c r="D5320" t="s">
        <v>412</v>
      </c>
      <c r="E5320" t="s">
        <v>234</v>
      </c>
      <c r="F5320" s="2" t="str">
        <f>HYPERLINK("http://www.otzar.org/book.asp?159126","בית אברהם")</f>
        <v>בית אברהם</v>
      </c>
    </row>
    <row r="5321" spans="1:6" x14ac:dyDescent="0.2">
      <c r="A5321" t="s">
        <v>9758</v>
      </c>
      <c r="B5321" t="s">
        <v>9785</v>
      </c>
      <c r="C5321" t="s">
        <v>496</v>
      </c>
      <c r="D5321" t="s">
        <v>2313</v>
      </c>
      <c r="E5321" t="s">
        <v>474</v>
      </c>
      <c r="F5321" s="2" t="str">
        <f>HYPERLINK("http://www.otzar.org/book.asp?300426","בית אברהם")</f>
        <v>בית אברהם</v>
      </c>
    </row>
    <row r="5322" spans="1:6" x14ac:dyDescent="0.2">
      <c r="A5322" t="s">
        <v>9786</v>
      </c>
      <c r="B5322" t="s">
        <v>9787</v>
      </c>
      <c r="C5322" t="s">
        <v>146</v>
      </c>
      <c r="D5322" t="s">
        <v>412</v>
      </c>
      <c r="E5322" t="s">
        <v>158</v>
      </c>
      <c r="F5322" s="2" t="str">
        <f>HYPERLINK("http://www.otzar.org/book.asp?170550","בית אהרן &lt;חלק החידושים&gt;")</f>
        <v>בית אהרן &lt;חלק החידושים&gt;</v>
      </c>
    </row>
    <row r="5323" spans="1:6" x14ac:dyDescent="0.2">
      <c r="A5323" t="s">
        <v>9788</v>
      </c>
      <c r="B5323" t="s">
        <v>9789</v>
      </c>
      <c r="C5323" t="s">
        <v>1458</v>
      </c>
      <c r="D5323" t="s">
        <v>5211</v>
      </c>
      <c r="E5323" t="s">
        <v>9790</v>
      </c>
      <c r="F5323" s="2" t="str">
        <f>HYPERLINK("http://www.otzar.org/book.asp?173193","בית אהרן &lt;מהדורה ראשונה&gt;")</f>
        <v>בית אהרן &lt;מהדורה ראשונה&gt;</v>
      </c>
    </row>
    <row r="5324" spans="1:6" x14ac:dyDescent="0.2">
      <c r="A5324" t="s">
        <v>9791</v>
      </c>
      <c r="B5324" t="s">
        <v>9792</v>
      </c>
      <c r="C5324" t="s">
        <v>728</v>
      </c>
      <c r="D5324" t="s">
        <v>56</v>
      </c>
      <c r="E5324" t="s">
        <v>104</v>
      </c>
      <c r="F5324" s="2" t="str">
        <f>HYPERLINK("http://www.otzar.org/book.asp?8462","בית אהרן והוספת")</f>
        <v>בית אהרן והוספת</v>
      </c>
    </row>
    <row r="5325" spans="1:6" x14ac:dyDescent="0.2">
      <c r="A5325" t="s">
        <v>9793</v>
      </c>
      <c r="B5325" t="s">
        <v>1750</v>
      </c>
      <c r="C5325" t="s">
        <v>940</v>
      </c>
      <c r="D5325" t="s">
        <v>14</v>
      </c>
      <c r="E5325" t="s">
        <v>202</v>
      </c>
      <c r="F5325" s="2" t="str">
        <f>HYPERLINK("http://www.otzar.org/book.asp?106213","בית אהרן וישראל - 205 כר'")</f>
        <v>בית אהרן וישראל - 205 כר'</v>
      </c>
    </row>
    <row r="5326" spans="1:6" x14ac:dyDescent="0.2">
      <c r="A5326" t="s">
        <v>9794</v>
      </c>
      <c r="B5326" t="s">
        <v>9795</v>
      </c>
      <c r="C5326" t="s">
        <v>454</v>
      </c>
      <c r="D5326" t="s">
        <v>52</v>
      </c>
      <c r="E5326" t="s">
        <v>15</v>
      </c>
      <c r="F5326" s="2" t="str">
        <f>HYPERLINK("http://www.otzar.org/book.asp?623857","בית אהרן על הלכות חדש")</f>
        <v>בית אהרן על הלכות חדש</v>
      </c>
    </row>
    <row r="5327" spans="1:6" x14ac:dyDescent="0.2">
      <c r="A5327" t="s">
        <v>9796</v>
      </c>
      <c r="B5327" t="s">
        <v>9789</v>
      </c>
      <c r="C5327" t="s">
        <v>20</v>
      </c>
      <c r="D5327" t="s">
        <v>367</v>
      </c>
      <c r="E5327" t="s">
        <v>246</v>
      </c>
      <c r="F5327" s="2" t="str">
        <f>HYPERLINK("http://www.otzar.org/book.asp?169069","בית אהרן עם ניצוצי אור - 10 כר'")</f>
        <v>בית אהרן עם ניצוצי אור - 10 כר'</v>
      </c>
    </row>
    <row r="5328" spans="1:6" x14ac:dyDescent="0.2">
      <c r="A5328" t="s">
        <v>9797</v>
      </c>
      <c r="B5328" t="s">
        <v>9798</v>
      </c>
      <c r="C5328" t="s">
        <v>454</v>
      </c>
      <c r="D5328" t="s">
        <v>52</v>
      </c>
      <c r="E5328" t="s">
        <v>202</v>
      </c>
      <c r="F5328" s="2" t="str">
        <f>HYPERLINK("http://www.otzar.org/book.asp?157639","בית אהרן - אגרות הרמ""ה &lt;כתאב אלרסאייל&gt;")</f>
        <v>בית אהרן - אגרות הרמ"ה &lt;כתאב אלרסאייל&gt;</v>
      </c>
    </row>
    <row r="5329" spans="1:6" x14ac:dyDescent="0.2">
      <c r="A5329" t="s">
        <v>9799</v>
      </c>
      <c r="B5329" t="s">
        <v>9800</v>
      </c>
      <c r="C5329" t="s">
        <v>4404</v>
      </c>
      <c r="D5329" t="s">
        <v>5665</v>
      </c>
      <c r="E5329" t="s">
        <v>158</v>
      </c>
      <c r="F5329" s="2" t="str">
        <f>HYPERLINK("http://www.otzar.org/book.asp?21362","בית אהרן - 2 כר'")</f>
        <v>בית אהרן - 2 כר'</v>
      </c>
    </row>
    <row r="5330" spans="1:6" x14ac:dyDescent="0.2">
      <c r="A5330" t="s">
        <v>9801</v>
      </c>
      <c r="B5330" t="s">
        <v>9787</v>
      </c>
      <c r="C5330" t="s">
        <v>9802</v>
      </c>
      <c r="D5330" t="s">
        <v>2290</v>
      </c>
      <c r="E5330" t="s">
        <v>104</v>
      </c>
      <c r="F5330" s="2" t="str">
        <f>HYPERLINK("http://www.otzar.org/book.asp?104522","בית אהרן")</f>
        <v>בית אהרן</v>
      </c>
    </row>
    <row r="5331" spans="1:6" x14ac:dyDescent="0.2">
      <c r="A5331" t="s">
        <v>9801</v>
      </c>
      <c r="B5331" t="s">
        <v>9803</v>
      </c>
      <c r="C5331" t="s">
        <v>6624</v>
      </c>
      <c r="D5331" t="s">
        <v>60</v>
      </c>
      <c r="F5331" s="2" t="str">
        <f>HYPERLINK("http://www.otzar.org/book.asp?84336","בית אהרן")</f>
        <v>בית אהרן</v>
      </c>
    </row>
    <row r="5332" spans="1:6" x14ac:dyDescent="0.2">
      <c r="A5332" t="s">
        <v>9801</v>
      </c>
      <c r="B5332" t="s">
        <v>9804</v>
      </c>
      <c r="C5332" t="s">
        <v>482</v>
      </c>
      <c r="D5332" t="s">
        <v>3161</v>
      </c>
      <c r="E5332" t="s">
        <v>144</v>
      </c>
      <c r="F5332" s="2" t="str">
        <f>HYPERLINK("http://www.otzar.org/book.asp?14018","בית אהרן")</f>
        <v>בית אהרן</v>
      </c>
    </row>
    <row r="5333" spans="1:6" x14ac:dyDescent="0.2">
      <c r="A5333" t="s">
        <v>9801</v>
      </c>
      <c r="B5333" t="s">
        <v>9805</v>
      </c>
      <c r="C5333" t="s">
        <v>1535</v>
      </c>
      <c r="D5333" t="s">
        <v>225</v>
      </c>
      <c r="E5333" t="s">
        <v>9806</v>
      </c>
      <c r="F5333" s="2" t="str">
        <f>HYPERLINK("http://www.otzar.org/book.asp?17277","בית אהרן")</f>
        <v>בית אהרן</v>
      </c>
    </row>
    <row r="5334" spans="1:6" x14ac:dyDescent="0.2">
      <c r="A5334" t="s">
        <v>9801</v>
      </c>
      <c r="B5334" t="s">
        <v>9807</v>
      </c>
      <c r="C5334" t="s">
        <v>176</v>
      </c>
      <c r="D5334" t="s">
        <v>412</v>
      </c>
      <c r="E5334" t="s">
        <v>2071</v>
      </c>
      <c r="F5334" s="2" t="str">
        <f>HYPERLINK("http://www.otzar.org/book.asp?602594","בית אהרן")</f>
        <v>בית אהרן</v>
      </c>
    </row>
    <row r="5335" spans="1:6" x14ac:dyDescent="0.2">
      <c r="A5335" t="s">
        <v>9808</v>
      </c>
      <c r="B5335" t="s">
        <v>9809</v>
      </c>
      <c r="C5335" t="s">
        <v>1228</v>
      </c>
      <c r="D5335" t="s">
        <v>225</v>
      </c>
      <c r="E5335" t="s">
        <v>144</v>
      </c>
      <c r="F5335" s="2" t="str">
        <f>HYPERLINK("http://www.otzar.org/book.asp?6901","בית אהרן - 5 כר'")</f>
        <v>בית אהרן - 5 כר'</v>
      </c>
    </row>
    <row r="5336" spans="1:6" x14ac:dyDescent="0.2">
      <c r="A5336" t="s">
        <v>9801</v>
      </c>
      <c r="B5336" t="s">
        <v>9810</v>
      </c>
      <c r="C5336" t="s">
        <v>306</v>
      </c>
      <c r="D5336" t="s">
        <v>56</v>
      </c>
      <c r="E5336" t="s">
        <v>158</v>
      </c>
      <c r="F5336" s="2" t="str">
        <f>HYPERLINK("http://www.otzar.org/book.asp?24045","בית אהרן")</f>
        <v>בית אהרן</v>
      </c>
    </row>
    <row r="5337" spans="1:6" x14ac:dyDescent="0.2">
      <c r="A5337" t="s">
        <v>9811</v>
      </c>
      <c r="B5337" t="s">
        <v>9812</v>
      </c>
      <c r="C5337" t="s">
        <v>9813</v>
      </c>
      <c r="D5337" t="s">
        <v>27</v>
      </c>
      <c r="E5337" t="s">
        <v>803</v>
      </c>
      <c r="F5337" s="2" t="str">
        <f>HYPERLINK("http://www.otzar.org/book.asp?6918","בית אהרן - 10 כר'")</f>
        <v>בית אהרן - 10 כר'</v>
      </c>
    </row>
    <row r="5338" spans="1:6" x14ac:dyDescent="0.2">
      <c r="A5338" t="s">
        <v>9814</v>
      </c>
      <c r="B5338" t="s">
        <v>9815</v>
      </c>
      <c r="C5338" t="s">
        <v>438</v>
      </c>
      <c r="D5338" t="s">
        <v>412</v>
      </c>
      <c r="E5338" t="s">
        <v>3261</v>
      </c>
      <c r="F5338" s="2" t="str">
        <f>HYPERLINK("http://www.otzar.org/book.asp?7482","בית אהרן - 11 כר'")</f>
        <v>בית אהרן - 11 כר'</v>
      </c>
    </row>
    <row r="5339" spans="1:6" x14ac:dyDescent="0.2">
      <c r="A5339" t="s">
        <v>9816</v>
      </c>
      <c r="B5339" t="s">
        <v>9817</v>
      </c>
      <c r="C5339" t="s">
        <v>2605</v>
      </c>
      <c r="D5339" t="s">
        <v>280</v>
      </c>
      <c r="E5339" t="s">
        <v>9818</v>
      </c>
      <c r="F5339" s="2" t="str">
        <f>HYPERLINK("http://www.otzar.org/book.asp?100415","בית אהרן - א ב")</f>
        <v>בית אהרן - א ב</v>
      </c>
    </row>
    <row r="5340" spans="1:6" x14ac:dyDescent="0.2">
      <c r="A5340" t="s">
        <v>9801</v>
      </c>
      <c r="B5340" t="s">
        <v>9819</v>
      </c>
      <c r="C5340" t="s">
        <v>609</v>
      </c>
      <c r="D5340" t="s">
        <v>56</v>
      </c>
      <c r="E5340" t="s">
        <v>15</v>
      </c>
      <c r="F5340" s="2" t="str">
        <f>HYPERLINK("http://www.otzar.org/book.asp?141030","בית אהרן")</f>
        <v>בית אהרן</v>
      </c>
    </row>
    <row r="5341" spans="1:6" x14ac:dyDescent="0.2">
      <c r="A5341" t="s">
        <v>9801</v>
      </c>
      <c r="B5341" t="s">
        <v>9820</v>
      </c>
      <c r="C5341" t="s">
        <v>351</v>
      </c>
      <c r="D5341" t="s">
        <v>322</v>
      </c>
      <c r="E5341" t="s">
        <v>9821</v>
      </c>
      <c r="F5341" s="2" t="str">
        <f>HYPERLINK("http://www.otzar.org/book.asp?104880","בית אהרן")</f>
        <v>בית אהרן</v>
      </c>
    </row>
    <row r="5342" spans="1:6" x14ac:dyDescent="0.2">
      <c r="A5342" t="s">
        <v>9801</v>
      </c>
      <c r="B5342" t="s">
        <v>9822</v>
      </c>
      <c r="C5342" t="s">
        <v>2644</v>
      </c>
      <c r="D5342" t="s">
        <v>56</v>
      </c>
      <c r="E5342" t="s">
        <v>474</v>
      </c>
      <c r="F5342" s="2" t="str">
        <f>HYPERLINK("http://www.otzar.org/book.asp?300454","בית אהרן")</f>
        <v>בית אהרן</v>
      </c>
    </row>
    <row r="5343" spans="1:6" x14ac:dyDescent="0.2">
      <c r="A5343" t="s">
        <v>9801</v>
      </c>
      <c r="B5343" t="s">
        <v>9789</v>
      </c>
      <c r="C5343" t="s">
        <v>473</v>
      </c>
      <c r="D5343" t="s">
        <v>225</v>
      </c>
      <c r="E5343" t="s">
        <v>9823</v>
      </c>
      <c r="F5343" s="2" t="str">
        <f>HYPERLINK("http://www.otzar.org/book.asp?15675","בית אהרן")</f>
        <v>בית אהרן</v>
      </c>
    </row>
    <row r="5344" spans="1:6" x14ac:dyDescent="0.2">
      <c r="A5344" t="s">
        <v>9824</v>
      </c>
      <c r="B5344" t="s">
        <v>9825</v>
      </c>
      <c r="C5344" t="s">
        <v>1570</v>
      </c>
      <c r="D5344" t="s">
        <v>14</v>
      </c>
      <c r="E5344" t="s">
        <v>144</v>
      </c>
      <c r="F5344" s="2" t="str">
        <f>HYPERLINK("http://www.otzar.org/book.asp?142216","בית אהרן - הוריות")</f>
        <v>בית אהרן - הוריות</v>
      </c>
    </row>
    <row r="5345" spans="1:6" x14ac:dyDescent="0.2">
      <c r="A5345" t="s">
        <v>9801</v>
      </c>
      <c r="B5345" t="s">
        <v>9826</v>
      </c>
      <c r="C5345" t="s">
        <v>9827</v>
      </c>
      <c r="D5345" t="s">
        <v>1490</v>
      </c>
      <c r="E5345" t="s">
        <v>9828</v>
      </c>
      <c r="F5345" s="2" t="str">
        <f>HYPERLINK("http://www.otzar.org/book.asp?24041","בית אהרן")</f>
        <v>בית אהרן</v>
      </c>
    </row>
    <row r="5346" spans="1:6" x14ac:dyDescent="0.2">
      <c r="A5346" t="s">
        <v>9801</v>
      </c>
      <c r="B5346" t="s">
        <v>9829</v>
      </c>
      <c r="C5346" t="s">
        <v>896</v>
      </c>
      <c r="D5346" t="s">
        <v>283</v>
      </c>
      <c r="E5346" t="s">
        <v>508</v>
      </c>
      <c r="F5346" s="2" t="str">
        <f>HYPERLINK("http://www.otzar.org/book.asp?104664","בית אהרן")</f>
        <v>בית אהרן</v>
      </c>
    </row>
    <row r="5347" spans="1:6" x14ac:dyDescent="0.2">
      <c r="A5347" t="s">
        <v>9801</v>
      </c>
      <c r="B5347" t="s">
        <v>9830</v>
      </c>
      <c r="C5347" t="s">
        <v>2617</v>
      </c>
      <c r="D5347" t="s">
        <v>157</v>
      </c>
      <c r="E5347" t="s">
        <v>730</v>
      </c>
      <c r="F5347" s="2" t="str">
        <f>HYPERLINK("http://www.otzar.org/book.asp?22388","בית אהרן")</f>
        <v>בית אהרן</v>
      </c>
    </row>
    <row r="5348" spans="1:6" x14ac:dyDescent="0.2">
      <c r="A5348" t="s">
        <v>9799</v>
      </c>
      <c r="B5348" t="s">
        <v>8751</v>
      </c>
      <c r="C5348" t="s">
        <v>176</v>
      </c>
      <c r="D5348" t="s">
        <v>52</v>
      </c>
      <c r="E5348" t="s">
        <v>234</v>
      </c>
      <c r="F5348" s="2" t="str">
        <f>HYPERLINK("http://www.otzar.org/book.asp?162783","בית אהרן - 2 כר'")</f>
        <v>בית אהרן - 2 כר'</v>
      </c>
    </row>
    <row r="5349" spans="1:6" x14ac:dyDescent="0.2">
      <c r="A5349" t="s">
        <v>9801</v>
      </c>
      <c r="B5349" t="s">
        <v>9831</v>
      </c>
      <c r="C5349" t="s">
        <v>1124</v>
      </c>
      <c r="D5349" t="s">
        <v>1279</v>
      </c>
      <c r="E5349" t="s">
        <v>172</v>
      </c>
      <c r="F5349" s="2" t="str">
        <f>HYPERLINK("http://www.otzar.org/book.asp?100205","בית אהרן")</f>
        <v>בית אהרן</v>
      </c>
    </row>
    <row r="5350" spans="1:6" x14ac:dyDescent="0.2">
      <c r="A5350" t="s">
        <v>9801</v>
      </c>
      <c r="B5350" t="s">
        <v>9832</v>
      </c>
      <c r="C5350" t="s">
        <v>950</v>
      </c>
      <c r="D5350" t="s">
        <v>929</v>
      </c>
      <c r="E5350" t="s">
        <v>1028</v>
      </c>
      <c r="F5350" s="2" t="str">
        <f>HYPERLINK("http://www.otzar.org/book.asp?300420","בית אהרן")</f>
        <v>בית אהרן</v>
      </c>
    </row>
    <row r="5351" spans="1:6" x14ac:dyDescent="0.2">
      <c r="A5351" t="s">
        <v>9833</v>
      </c>
      <c r="B5351" t="s">
        <v>9834</v>
      </c>
      <c r="C5351" t="s">
        <v>9835</v>
      </c>
      <c r="D5351" t="s">
        <v>9</v>
      </c>
      <c r="E5351" t="s">
        <v>3055</v>
      </c>
      <c r="F5351" s="2" t="str">
        <f>HYPERLINK("http://www.otzar.org/book.asp?16014","בית אולפנא - 5 כר'")</f>
        <v>בית אולפנא - 5 כר'</v>
      </c>
    </row>
    <row r="5352" spans="1:6" x14ac:dyDescent="0.2">
      <c r="A5352" t="s">
        <v>9836</v>
      </c>
      <c r="B5352" t="s">
        <v>9837</v>
      </c>
      <c r="C5352" t="s">
        <v>1268</v>
      </c>
      <c r="D5352" t="s">
        <v>14</v>
      </c>
      <c r="E5352" t="s">
        <v>15</v>
      </c>
      <c r="F5352" s="2" t="str">
        <f>HYPERLINK("http://www.otzar.org/book.asp?84868","בית אוצר הארות")</f>
        <v>בית אוצר הארות</v>
      </c>
    </row>
    <row r="5353" spans="1:6" x14ac:dyDescent="0.2">
      <c r="A5353" t="s">
        <v>9838</v>
      </c>
      <c r="B5353" t="s">
        <v>9839</v>
      </c>
      <c r="C5353" t="s">
        <v>151</v>
      </c>
      <c r="D5353" t="s">
        <v>52</v>
      </c>
      <c r="E5353" t="s">
        <v>144</v>
      </c>
      <c r="F5353" s="2" t="str">
        <f>HYPERLINK("http://www.otzar.org/book.asp?629333","בית אוצר השיעורים - 5 כר'")</f>
        <v>בית אוצר השיעורים - 5 כר'</v>
      </c>
    </row>
    <row r="5354" spans="1:6" x14ac:dyDescent="0.2">
      <c r="A5354" t="s">
        <v>9840</v>
      </c>
      <c r="B5354" t="s">
        <v>9841</v>
      </c>
      <c r="C5354" t="s">
        <v>728</v>
      </c>
      <c r="D5354" t="s">
        <v>6042</v>
      </c>
      <c r="E5354" t="s">
        <v>9842</v>
      </c>
      <c r="F5354" s="2" t="str">
        <f>HYPERLINK("http://www.otzar.org/book.asp?300419","בית אורי")</f>
        <v>בית אורי</v>
      </c>
    </row>
    <row r="5355" spans="1:6" x14ac:dyDescent="0.2">
      <c r="A5355" t="s">
        <v>9843</v>
      </c>
      <c r="B5355" t="s">
        <v>9844</v>
      </c>
      <c r="C5355" t="s">
        <v>151</v>
      </c>
      <c r="D5355" t="s">
        <v>14</v>
      </c>
      <c r="E5355" t="s">
        <v>144</v>
      </c>
      <c r="F5355" s="2" t="str">
        <f>HYPERLINK("http://www.otzar.org/book.asp?621692","בית אחיו")</f>
        <v>בית אחיו</v>
      </c>
    </row>
    <row r="5356" spans="1:6" x14ac:dyDescent="0.2">
      <c r="A5356" t="s">
        <v>9845</v>
      </c>
      <c r="B5356" t="s">
        <v>9846</v>
      </c>
      <c r="C5356" t="s">
        <v>68</v>
      </c>
      <c r="D5356" t="s">
        <v>52</v>
      </c>
      <c r="E5356" t="s">
        <v>1517</v>
      </c>
      <c r="F5356" s="2" t="str">
        <f>HYPERLINK("http://www.otzar.org/book.asp?618451","בית אל וזמן בית דין")</f>
        <v>בית אל וזמן בית דין</v>
      </c>
    </row>
    <row r="5357" spans="1:6" x14ac:dyDescent="0.2">
      <c r="A5357" t="s">
        <v>6853</v>
      </c>
      <c r="B5357" t="s">
        <v>210</v>
      </c>
      <c r="C5357" t="s">
        <v>1335</v>
      </c>
      <c r="D5357" t="s">
        <v>212</v>
      </c>
      <c r="E5357" t="s">
        <v>1517</v>
      </c>
      <c r="F5357" s="2" t="str">
        <f>HYPERLINK("http://www.otzar.org/book.asp?17278","בית אל")</f>
        <v>בית אל</v>
      </c>
    </row>
    <row r="5358" spans="1:6" x14ac:dyDescent="0.2">
      <c r="A5358" t="s">
        <v>9847</v>
      </c>
      <c r="B5358" t="s">
        <v>9848</v>
      </c>
      <c r="C5358" t="s">
        <v>1458</v>
      </c>
      <c r="D5358" t="s">
        <v>267</v>
      </c>
      <c r="E5358" t="s">
        <v>424</v>
      </c>
      <c r="F5358" s="2" t="str">
        <f>HYPERLINK("http://www.otzar.org/book.asp?100207","בית אל - 2 כר'")</f>
        <v>בית אל - 2 כר'</v>
      </c>
    </row>
    <row r="5359" spans="1:6" x14ac:dyDescent="0.2">
      <c r="A5359" t="s">
        <v>9849</v>
      </c>
      <c r="B5359" t="s">
        <v>9850</v>
      </c>
      <c r="C5359" t="s">
        <v>581</v>
      </c>
      <c r="D5359" t="s">
        <v>27</v>
      </c>
      <c r="E5359" t="s">
        <v>158</v>
      </c>
      <c r="F5359" s="2" t="str">
        <f>HYPERLINK("http://www.otzar.org/book.asp?22317","בית אלהי יעקב")</f>
        <v>בית אלהי יעקב</v>
      </c>
    </row>
    <row r="5360" spans="1:6" x14ac:dyDescent="0.2">
      <c r="A5360" t="s">
        <v>9851</v>
      </c>
      <c r="B5360" t="s">
        <v>9852</v>
      </c>
      <c r="C5360" t="s">
        <v>13</v>
      </c>
      <c r="D5360" t="s">
        <v>2362</v>
      </c>
      <c r="E5360" t="s">
        <v>241</v>
      </c>
      <c r="F5360" s="2" t="str">
        <f>HYPERLINK("http://www.otzar.org/book.asp?168269","בית אלהים &lt;בית משה&gt; - 2 כר'")</f>
        <v>בית אלהים &lt;בית משה&gt; - 2 כר'</v>
      </c>
    </row>
    <row r="5361" spans="1:6" x14ac:dyDescent="0.2">
      <c r="A5361" t="s">
        <v>9853</v>
      </c>
      <c r="B5361" t="s">
        <v>1440</v>
      </c>
      <c r="C5361" t="s">
        <v>1147</v>
      </c>
      <c r="D5361" t="s">
        <v>49</v>
      </c>
      <c r="E5361" t="s">
        <v>960</v>
      </c>
      <c r="F5361" s="2" t="str">
        <f>HYPERLINK("http://www.otzar.org/book.asp?53309","בית אלהים &lt;דפו""ר&gt;")</f>
        <v>בית אלהים &lt;דפו"ר&gt;</v>
      </c>
    </row>
    <row r="5362" spans="1:6" x14ac:dyDescent="0.2">
      <c r="A5362" t="s">
        <v>9854</v>
      </c>
      <c r="B5362" t="s">
        <v>9855</v>
      </c>
      <c r="C5362" t="s">
        <v>4910</v>
      </c>
      <c r="D5362" t="s">
        <v>1023</v>
      </c>
      <c r="E5362" t="s">
        <v>399</v>
      </c>
      <c r="F5362" s="2" t="str">
        <f>HYPERLINK("http://www.otzar.org/book.asp?103170","בית אלהים")</f>
        <v>בית אלהים</v>
      </c>
    </row>
    <row r="5363" spans="1:6" x14ac:dyDescent="0.2">
      <c r="A5363" t="s">
        <v>9856</v>
      </c>
      <c r="B5363" t="s">
        <v>1440</v>
      </c>
      <c r="C5363" t="s">
        <v>752</v>
      </c>
      <c r="D5363" t="s">
        <v>283</v>
      </c>
      <c r="E5363" t="s">
        <v>9857</v>
      </c>
      <c r="F5363" s="2" t="str">
        <f>HYPERLINK("http://www.otzar.org/book.asp?6535","בית אלהים - 2 כר'")</f>
        <v>בית אלהים - 2 כר'</v>
      </c>
    </row>
    <row r="5364" spans="1:6" x14ac:dyDescent="0.2">
      <c r="A5364" t="s">
        <v>9858</v>
      </c>
      <c r="B5364" t="s">
        <v>1956</v>
      </c>
      <c r="C5364" t="s">
        <v>985</v>
      </c>
      <c r="D5364" t="s">
        <v>9</v>
      </c>
      <c r="E5364" t="s">
        <v>463</v>
      </c>
      <c r="F5364" s="2" t="str">
        <f>HYPERLINK("http://www.otzar.org/book.asp?104915","בית אליהו מרדכי")</f>
        <v>בית אליהו מרדכי</v>
      </c>
    </row>
    <row r="5365" spans="1:6" x14ac:dyDescent="0.2">
      <c r="A5365" t="s">
        <v>9859</v>
      </c>
      <c r="B5365" t="s">
        <v>1821</v>
      </c>
      <c r="C5365" t="s">
        <v>785</v>
      </c>
      <c r="D5365" t="s">
        <v>412</v>
      </c>
      <c r="F5365" s="2" t="str">
        <f>HYPERLINK("http://www.otzar.org/book.asp?616732","בית אליהו")</f>
        <v>בית אליהו</v>
      </c>
    </row>
    <row r="5366" spans="1:6" x14ac:dyDescent="0.2">
      <c r="A5366" t="s">
        <v>9860</v>
      </c>
      <c r="B5366" t="s">
        <v>9861</v>
      </c>
      <c r="C5366" t="s">
        <v>151</v>
      </c>
      <c r="D5366" t="s">
        <v>52</v>
      </c>
      <c r="E5366" t="s">
        <v>15</v>
      </c>
      <c r="F5366" s="2" t="str">
        <f>HYPERLINK("http://www.otzar.org/book.asp?628596","בית אליהו - 2 כר'")</f>
        <v>בית אליהו - 2 כר'</v>
      </c>
    </row>
    <row r="5367" spans="1:6" x14ac:dyDescent="0.2">
      <c r="A5367" t="s">
        <v>9862</v>
      </c>
      <c r="B5367" t="s">
        <v>9863</v>
      </c>
      <c r="C5367" t="s">
        <v>189</v>
      </c>
      <c r="D5367" t="s">
        <v>52</v>
      </c>
      <c r="E5367" t="s">
        <v>144</v>
      </c>
      <c r="F5367" s="2" t="str">
        <f>HYPERLINK("http://www.otzar.org/book.asp?52744","בית אליהו - 11 כר'")</f>
        <v>בית אליהו - 11 כר'</v>
      </c>
    </row>
    <row r="5368" spans="1:6" x14ac:dyDescent="0.2">
      <c r="A5368" t="s">
        <v>9864</v>
      </c>
      <c r="B5368" t="s">
        <v>9865</v>
      </c>
      <c r="C5368" t="s">
        <v>185</v>
      </c>
      <c r="D5368" t="s">
        <v>147</v>
      </c>
      <c r="E5368" t="s">
        <v>144</v>
      </c>
      <c r="F5368" s="2" t="str">
        <f>HYPERLINK("http://www.otzar.org/book.asp?629608","בית אליהו - 3 כר'")</f>
        <v>בית אליהו - 3 כר'</v>
      </c>
    </row>
    <row r="5369" spans="1:6" x14ac:dyDescent="0.2">
      <c r="A5369" t="s">
        <v>9859</v>
      </c>
      <c r="B5369" t="s">
        <v>9866</v>
      </c>
      <c r="C5369" t="s">
        <v>124</v>
      </c>
      <c r="D5369" t="s">
        <v>14</v>
      </c>
      <c r="E5369" t="s">
        <v>9867</v>
      </c>
      <c r="F5369" s="2" t="str">
        <f>HYPERLINK("http://www.otzar.org/book.asp?10743","בית אליהו")</f>
        <v>בית אליהו</v>
      </c>
    </row>
    <row r="5370" spans="1:6" x14ac:dyDescent="0.2">
      <c r="A5370" t="s">
        <v>9868</v>
      </c>
      <c r="B5370" t="s">
        <v>9869</v>
      </c>
      <c r="C5370" t="s">
        <v>896</v>
      </c>
      <c r="D5370" t="s">
        <v>283</v>
      </c>
      <c r="E5370" t="s">
        <v>10</v>
      </c>
      <c r="F5370" s="2" t="str">
        <f>HYPERLINK("http://www.otzar.org/book.asp?9436","בית אליקום - 2 כר'")</f>
        <v>בית אליקום - 2 כר'</v>
      </c>
    </row>
    <row r="5371" spans="1:6" x14ac:dyDescent="0.2">
      <c r="A5371" t="s">
        <v>9870</v>
      </c>
      <c r="B5371" t="s">
        <v>9871</v>
      </c>
      <c r="C5371" t="s">
        <v>23</v>
      </c>
      <c r="D5371" t="s">
        <v>52</v>
      </c>
      <c r="E5371" t="s">
        <v>2135</v>
      </c>
      <c r="F5371" s="2" t="str">
        <f>HYPERLINK("http://www.otzar.org/book.asp?191270","בית אלנדאף")</f>
        <v>בית אלנדאף</v>
      </c>
    </row>
    <row r="5372" spans="1:6" x14ac:dyDescent="0.2">
      <c r="A5372" t="s">
        <v>9872</v>
      </c>
      <c r="B5372" t="s">
        <v>686</v>
      </c>
      <c r="C5372" t="s">
        <v>146</v>
      </c>
      <c r="D5372" t="s">
        <v>52</v>
      </c>
      <c r="E5372" t="s">
        <v>9873</v>
      </c>
      <c r="F5372" s="2" t="str">
        <f>HYPERLINK("http://www.otzar.org/book.asp?60738","בית אלקים")</f>
        <v>בית אלקים</v>
      </c>
    </row>
    <row r="5373" spans="1:6" x14ac:dyDescent="0.2">
      <c r="A5373" t="s">
        <v>9874</v>
      </c>
      <c r="B5373" t="s">
        <v>9875</v>
      </c>
      <c r="C5373" t="s">
        <v>20</v>
      </c>
      <c r="D5373" t="s">
        <v>2347</v>
      </c>
      <c r="E5373" t="s">
        <v>741</v>
      </c>
      <c r="F5373" s="2" t="str">
        <f>HYPERLINK("http://www.otzar.org/book.asp?6795","בית אמת")</f>
        <v>בית אמת</v>
      </c>
    </row>
    <row r="5374" spans="1:6" x14ac:dyDescent="0.2">
      <c r="A5374" t="s">
        <v>9876</v>
      </c>
      <c r="B5374" t="s">
        <v>1291</v>
      </c>
      <c r="C5374" t="s">
        <v>550</v>
      </c>
      <c r="D5374" t="s">
        <v>5211</v>
      </c>
      <c r="E5374" t="s">
        <v>154</v>
      </c>
      <c r="F5374" s="2" t="str">
        <f>HYPERLINK("http://www.otzar.org/book.asp?25094","בית אפרים &lt;החדשות&gt;")</f>
        <v>בית אפרים &lt;החדשות&gt;</v>
      </c>
    </row>
    <row r="5375" spans="1:6" x14ac:dyDescent="0.2">
      <c r="A5375" t="s">
        <v>9877</v>
      </c>
      <c r="B5375" t="s">
        <v>9878</v>
      </c>
      <c r="C5375" t="s">
        <v>13</v>
      </c>
      <c r="D5375" t="s">
        <v>14</v>
      </c>
      <c r="E5375" t="s">
        <v>158</v>
      </c>
      <c r="F5375" s="2" t="str">
        <f>HYPERLINK("http://www.otzar.org/book.asp?159183","בית אפרים על התורה")</f>
        <v>בית אפרים על התורה</v>
      </c>
    </row>
    <row r="5376" spans="1:6" x14ac:dyDescent="0.2">
      <c r="A5376" t="s">
        <v>9879</v>
      </c>
      <c r="B5376" t="s">
        <v>1291</v>
      </c>
      <c r="C5376" t="s">
        <v>343</v>
      </c>
      <c r="D5376" t="s">
        <v>267</v>
      </c>
      <c r="E5376" t="s">
        <v>154</v>
      </c>
      <c r="F5376" s="2" t="str">
        <f>HYPERLINK("http://www.otzar.org/book.asp?141235","בית אפרים - 15 כר'")</f>
        <v>בית אפרים - 15 כר'</v>
      </c>
    </row>
    <row r="5377" spans="1:6" x14ac:dyDescent="0.2">
      <c r="A5377" t="s">
        <v>9880</v>
      </c>
      <c r="B5377" t="s">
        <v>9881</v>
      </c>
      <c r="C5377" t="s">
        <v>752</v>
      </c>
      <c r="D5377" t="s">
        <v>1422</v>
      </c>
      <c r="E5377" t="s">
        <v>4333</v>
      </c>
      <c r="F5377" s="2" t="str">
        <f>HYPERLINK("http://www.otzar.org/book.asp?300435","בית אפרים")</f>
        <v>בית אפרים</v>
      </c>
    </row>
    <row r="5378" spans="1:6" x14ac:dyDescent="0.2">
      <c r="A5378" t="s">
        <v>9882</v>
      </c>
      <c r="B5378" t="s">
        <v>9883</v>
      </c>
      <c r="C5378" t="s">
        <v>411</v>
      </c>
      <c r="D5378" t="s">
        <v>14</v>
      </c>
      <c r="E5378" t="s">
        <v>9884</v>
      </c>
      <c r="F5378" s="2" t="str">
        <f>HYPERLINK("http://www.otzar.org/book.asp?172887","בית ארזים &lt;מהדורה חדשה&gt; - 8 כר'")</f>
        <v>בית ארזים &lt;מהדורה חדשה&gt; - 8 כר'</v>
      </c>
    </row>
    <row r="5379" spans="1:6" x14ac:dyDescent="0.2">
      <c r="A5379" t="s">
        <v>9885</v>
      </c>
      <c r="B5379" t="s">
        <v>9886</v>
      </c>
      <c r="C5379" t="s">
        <v>748</v>
      </c>
      <c r="D5379" t="s">
        <v>4269</v>
      </c>
      <c r="E5379" t="s">
        <v>435</v>
      </c>
      <c r="F5379" s="2" t="str">
        <f>HYPERLINK("http://www.otzar.org/book.asp?300446","בית ארזים")</f>
        <v>בית ארזים</v>
      </c>
    </row>
    <row r="5380" spans="1:6" x14ac:dyDescent="0.2">
      <c r="A5380" t="s">
        <v>9887</v>
      </c>
      <c r="B5380" t="s">
        <v>9883</v>
      </c>
      <c r="C5380" t="s">
        <v>9888</v>
      </c>
      <c r="D5380" t="s">
        <v>9</v>
      </c>
      <c r="E5380" t="s">
        <v>15</v>
      </c>
      <c r="F5380" s="2" t="str">
        <f>HYPERLINK("http://www.otzar.org/book.asp?150050","בית ארזים - 8 כר'")</f>
        <v>בית ארזים - 8 כר'</v>
      </c>
    </row>
    <row r="5381" spans="1:6" x14ac:dyDescent="0.2">
      <c r="A5381" t="s">
        <v>9889</v>
      </c>
      <c r="B5381" t="s">
        <v>552</v>
      </c>
      <c r="C5381" t="s">
        <v>133</v>
      </c>
      <c r="D5381" t="s">
        <v>90</v>
      </c>
      <c r="F5381" s="2" t="str">
        <f>HYPERLINK("http://www.otzar.org/book.asp?197302","בית אריה יהודה")</f>
        <v>בית אריה יהודה</v>
      </c>
    </row>
    <row r="5382" spans="1:6" x14ac:dyDescent="0.2">
      <c r="A5382" t="s">
        <v>9890</v>
      </c>
      <c r="B5382" t="s">
        <v>9891</v>
      </c>
      <c r="C5382" t="s">
        <v>282</v>
      </c>
      <c r="D5382" t="s">
        <v>60</v>
      </c>
      <c r="E5382" t="s">
        <v>508</v>
      </c>
      <c r="F5382" s="2" t="str">
        <f>HYPERLINK("http://www.otzar.org/book.asp?100306","בית אריה")</f>
        <v>בית אריה</v>
      </c>
    </row>
    <row r="5383" spans="1:6" x14ac:dyDescent="0.2">
      <c r="A5383" t="s">
        <v>9892</v>
      </c>
      <c r="B5383" t="s">
        <v>9893</v>
      </c>
      <c r="C5383" t="s">
        <v>576</v>
      </c>
      <c r="D5383" t="s">
        <v>6503</v>
      </c>
      <c r="E5383" t="s">
        <v>230</v>
      </c>
      <c r="F5383" s="2" t="str">
        <f>HYPERLINK("http://www.otzar.org/book.asp?602462","בית אשר - 2 כר'")</f>
        <v>בית אשר - 2 כר'</v>
      </c>
    </row>
    <row r="5384" spans="1:6" x14ac:dyDescent="0.2">
      <c r="A5384" t="s">
        <v>9894</v>
      </c>
      <c r="B5384" t="s">
        <v>9895</v>
      </c>
      <c r="C5384" t="s">
        <v>8</v>
      </c>
      <c r="D5384" t="s">
        <v>9896</v>
      </c>
      <c r="E5384" t="s">
        <v>158</v>
      </c>
      <c r="F5384" s="2" t="str">
        <f>HYPERLINK("http://www.otzar.org/book.asp?24048","בית אשר")</f>
        <v>בית אשר</v>
      </c>
    </row>
    <row r="5385" spans="1:6" x14ac:dyDescent="0.2">
      <c r="A5385" t="s">
        <v>9897</v>
      </c>
      <c r="B5385" t="s">
        <v>9898</v>
      </c>
      <c r="C5385" t="s">
        <v>466</v>
      </c>
      <c r="D5385" t="s">
        <v>7277</v>
      </c>
      <c r="E5385" t="s">
        <v>674</v>
      </c>
      <c r="F5385" s="2" t="str">
        <f>HYPERLINK("http://www.otzar.org/book.asp?64205","בית גמליאל - א")</f>
        <v>בית גמליאל - א</v>
      </c>
    </row>
    <row r="5386" spans="1:6" x14ac:dyDescent="0.2">
      <c r="A5386" t="s">
        <v>9899</v>
      </c>
      <c r="B5386" t="s">
        <v>7178</v>
      </c>
      <c r="C5386" t="s">
        <v>51</v>
      </c>
      <c r="D5386" t="s">
        <v>14</v>
      </c>
      <c r="F5386" s="2" t="str">
        <f>HYPERLINK("http://www.otzar.org/book.asp?157575","בית גנזי &lt;פתחי תפלה&gt; - 2 כר'")</f>
        <v>בית גנזי &lt;פתחי תפלה&gt; - 2 כר'</v>
      </c>
    </row>
    <row r="5387" spans="1:6" x14ac:dyDescent="0.2">
      <c r="A5387" t="s">
        <v>9900</v>
      </c>
      <c r="B5387" t="s">
        <v>939</v>
      </c>
      <c r="C5387" t="s">
        <v>17</v>
      </c>
      <c r="D5387" t="s">
        <v>14</v>
      </c>
      <c r="E5387" t="s">
        <v>158</v>
      </c>
      <c r="F5387" s="2" t="str">
        <f>HYPERLINK("http://www.otzar.org/book.asp?625657","בית גנזי &lt;על התורה&gt; - ח (במדבר ב)")</f>
        <v>בית גנזי &lt;על התורה&gt; - ח (במדבר ב)</v>
      </c>
    </row>
    <row r="5388" spans="1:6" x14ac:dyDescent="0.2">
      <c r="A5388" t="s">
        <v>9901</v>
      </c>
      <c r="B5388" t="s">
        <v>9902</v>
      </c>
      <c r="C5388" t="s">
        <v>334</v>
      </c>
      <c r="D5388" t="s">
        <v>14</v>
      </c>
      <c r="E5388" t="s">
        <v>9903</v>
      </c>
      <c r="F5388" s="2" t="str">
        <f>HYPERLINK("http://www.otzar.org/book.asp?154574","בית גנזי")</f>
        <v>בית גנזי</v>
      </c>
    </row>
    <row r="5389" spans="1:6" x14ac:dyDescent="0.2">
      <c r="A5389" t="s">
        <v>9904</v>
      </c>
      <c r="B5389" t="s">
        <v>939</v>
      </c>
      <c r="C5389" t="s">
        <v>103</v>
      </c>
      <c r="D5389" t="s">
        <v>14</v>
      </c>
      <c r="E5389" t="s">
        <v>2758</v>
      </c>
      <c r="F5389" s="2" t="str">
        <f>HYPERLINK("http://www.otzar.org/book.asp?158618","בית גנזי - 2 כר'")</f>
        <v>בית גנזי - 2 כר'</v>
      </c>
    </row>
    <row r="5390" spans="1:6" x14ac:dyDescent="0.2">
      <c r="A5390" t="s">
        <v>9905</v>
      </c>
      <c r="B5390" t="s">
        <v>9906</v>
      </c>
      <c r="C5390" t="s">
        <v>454</v>
      </c>
      <c r="D5390" t="s">
        <v>14</v>
      </c>
      <c r="E5390" t="s">
        <v>15</v>
      </c>
      <c r="F5390" s="2" t="str">
        <f>HYPERLINK("http://www.otzar.org/book.asp?21972","בית דוד &lt;בית שאול&gt; - א")</f>
        <v>בית דוד &lt;בית שאול&gt; - א</v>
      </c>
    </row>
    <row r="5391" spans="1:6" x14ac:dyDescent="0.2">
      <c r="A5391" t="s">
        <v>9907</v>
      </c>
      <c r="B5391" t="s">
        <v>9908</v>
      </c>
      <c r="C5391" t="s">
        <v>383</v>
      </c>
      <c r="D5391" t="s">
        <v>9909</v>
      </c>
      <c r="E5391" t="s">
        <v>158</v>
      </c>
      <c r="F5391" s="2" t="str">
        <f>HYPERLINK("http://www.otzar.org/book.asp?165297","בית דוד ושלמה")</f>
        <v>בית דוד ושלמה</v>
      </c>
    </row>
    <row r="5392" spans="1:6" x14ac:dyDescent="0.2">
      <c r="A5392" t="s">
        <v>9907</v>
      </c>
      <c r="B5392" t="s">
        <v>9910</v>
      </c>
      <c r="C5392" t="s">
        <v>9911</v>
      </c>
      <c r="D5392" t="s">
        <v>744</v>
      </c>
      <c r="E5392" t="s">
        <v>84</v>
      </c>
      <c r="F5392" s="2" t="str">
        <f>HYPERLINK("http://www.otzar.org/book.asp?50860","בית דוד ושלמה")</f>
        <v>בית דוד ושלמה</v>
      </c>
    </row>
    <row r="5393" spans="1:6" x14ac:dyDescent="0.2">
      <c r="A5393" t="s">
        <v>9912</v>
      </c>
      <c r="B5393" t="s">
        <v>9913</v>
      </c>
      <c r="C5393" t="s">
        <v>9914</v>
      </c>
      <c r="D5393" t="s">
        <v>885</v>
      </c>
      <c r="E5393" t="s">
        <v>104</v>
      </c>
      <c r="F5393" s="2" t="str">
        <f>HYPERLINK("http://www.otzar.org/book.asp?151643","בית דוד")</f>
        <v>בית דוד</v>
      </c>
    </row>
    <row r="5394" spans="1:6" x14ac:dyDescent="0.2">
      <c r="A5394" t="s">
        <v>9912</v>
      </c>
      <c r="B5394" t="s">
        <v>9915</v>
      </c>
      <c r="C5394" t="s">
        <v>1284</v>
      </c>
      <c r="D5394" t="s">
        <v>9916</v>
      </c>
      <c r="E5394" t="s">
        <v>9917</v>
      </c>
      <c r="F5394" s="2" t="str">
        <f>HYPERLINK("http://www.otzar.org/book.asp?16012","בית דוד")</f>
        <v>בית דוד</v>
      </c>
    </row>
    <row r="5395" spans="1:6" x14ac:dyDescent="0.2">
      <c r="A5395" t="s">
        <v>9918</v>
      </c>
      <c r="B5395" t="s">
        <v>9919</v>
      </c>
      <c r="C5395" t="s">
        <v>9920</v>
      </c>
      <c r="D5395" t="s">
        <v>3627</v>
      </c>
      <c r="E5395" t="s">
        <v>172</v>
      </c>
      <c r="F5395" s="2" t="str">
        <f>HYPERLINK("http://www.otzar.org/book.asp?15320","בית דוד - 2 כר'")</f>
        <v>בית דוד - 2 כר'</v>
      </c>
    </row>
    <row r="5396" spans="1:6" x14ac:dyDescent="0.2">
      <c r="A5396" t="s">
        <v>9912</v>
      </c>
      <c r="B5396" t="s">
        <v>9921</v>
      </c>
      <c r="C5396" t="s">
        <v>1284</v>
      </c>
      <c r="D5396" t="s">
        <v>225</v>
      </c>
      <c r="E5396" t="s">
        <v>144</v>
      </c>
      <c r="F5396" s="2" t="str">
        <f>HYPERLINK("http://www.otzar.org/book.asp?161","בית דוד")</f>
        <v>בית דוד</v>
      </c>
    </row>
    <row r="5397" spans="1:6" x14ac:dyDescent="0.2">
      <c r="A5397" t="s">
        <v>9918</v>
      </c>
      <c r="B5397" t="s">
        <v>9922</v>
      </c>
      <c r="C5397" t="s">
        <v>20</v>
      </c>
      <c r="D5397" t="s">
        <v>90</v>
      </c>
      <c r="E5397" t="s">
        <v>15</v>
      </c>
      <c r="F5397" s="2" t="str">
        <f>HYPERLINK("http://www.otzar.org/book.asp?606503","בית דוד - 2 כר'")</f>
        <v>בית דוד - 2 כר'</v>
      </c>
    </row>
    <row r="5398" spans="1:6" x14ac:dyDescent="0.2">
      <c r="A5398" t="s">
        <v>9912</v>
      </c>
      <c r="B5398" t="s">
        <v>9923</v>
      </c>
      <c r="C5398" t="s">
        <v>6054</v>
      </c>
      <c r="D5398" t="s">
        <v>1566</v>
      </c>
      <c r="F5398" s="2" t="str">
        <f>HYPERLINK("http://www.otzar.org/book.asp?191706","בית דוד")</f>
        <v>בית דוד</v>
      </c>
    </row>
    <row r="5399" spans="1:6" x14ac:dyDescent="0.2">
      <c r="A5399" t="s">
        <v>9918</v>
      </c>
      <c r="B5399" t="s">
        <v>9924</v>
      </c>
      <c r="C5399" t="s">
        <v>9925</v>
      </c>
      <c r="D5399" t="s">
        <v>76</v>
      </c>
      <c r="E5399" t="s">
        <v>154</v>
      </c>
      <c r="F5399" s="2" t="str">
        <f>HYPERLINK("http://www.otzar.org/book.asp?811","בית דוד - 2 כר'")</f>
        <v>בית דוד - 2 כר'</v>
      </c>
    </row>
    <row r="5400" spans="1:6" x14ac:dyDescent="0.2">
      <c r="A5400" t="s">
        <v>9918</v>
      </c>
      <c r="B5400" t="s">
        <v>9926</v>
      </c>
      <c r="C5400" t="s">
        <v>619</v>
      </c>
      <c r="D5400" t="s">
        <v>535</v>
      </c>
      <c r="E5400" t="s">
        <v>154</v>
      </c>
      <c r="F5400" s="2" t="str">
        <f>HYPERLINK("http://www.otzar.org/book.asp?52443","בית דוד - 2 כר'")</f>
        <v>בית דוד - 2 כר'</v>
      </c>
    </row>
    <row r="5401" spans="1:6" x14ac:dyDescent="0.2">
      <c r="A5401" t="s">
        <v>9912</v>
      </c>
      <c r="B5401" t="s">
        <v>9927</v>
      </c>
      <c r="C5401" t="s">
        <v>106</v>
      </c>
      <c r="D5401" t="s">
        <v>412</v>
      </c>
      <c r="E5401" t="s">
        <v>154</v>
      </c>
      <c r="F5401" s="2" t="str">
        <f>HYPERLINK("http://www.otzar.org/book.asp?623727","בית דוד")</f>
        <v>בית דוד</v>
      </c>
    </row>
    <row r="5402" spans="1:6" x14ac:dyDescent="0.2">
      <c r="A5402" t="s">
        <v>9918</v>
      </c>
      <c r="B5402" t="s">
        <v>9928</v>
      </c>
      <c r="C5402" t="s">
        <v>103</v>
      </c>
      <c r="D5402" t="s">
        <v>412</v>
      </c>
      <c r="E5402" t="s">
        <v>803</v>
      </c>
      <c r="F5402" s="2" t="str">
        <f>HYPERLINK("http://www.otzar.org/book.asp?28286","בית דוד - 2 כר'")</f>
        <v>בית דוד - 2 כר'</v>
      </c>
    </row>
    <row r="5403" spans="1:6" x14ac:dyDescent="0.2">
      <c r="A5403" t="s">
        <v>9918</v>
      </c>
      <c r="B5403" t="s">
        <v>9929</v>
      </c>
      <c r="C5403" t="s">
        <v>23</v>
      </c>
      <c r="D5403" t="s">
        <v>14</v>
      </c>
      <c r="E5403" t="s">
        <v>144</v>
      </c>
      <c r="F5403" s="2" t="str">
        <f>HYPERLINK("http://www.otzar.org/book.asp?190102","בית דוד - 2 כר'")</f>
        <v>בית דוד - 2 כר'</v>
      </c>
    </row>
    <row r="5404" spans="1:6" x14ac:dyDescent="0.2">
      <c r="A5404" t="s">
        <v>9930</v>
      </c>
      <c r="B5404" t="s">
        <v>9931</v>
      </c>
      <c r="C5404" t="s">
        <v>51</v>
      </c>
      <c r="D5404" t="s">
        <v>14</v>
      </c>
      <c r="E5404" t="s">
        <v>148</v>
      </c>
      <c r="F5404" s="2" t="str">
        <f>HYPERLINK("http://www.otzar.org/book.asp?168105","בית דוד - 6 כר'")</f>
        <v>בית דוד - 6 כר'</v>
      </c>
    </row>
    <row r="5405" spans="1:6" x14ac:dyDescent="0.2">
      <c r="A5405" t="s">
        <v>9918</v>
      </c>
      <c r="B5405" t="s">
        <v>9932</v>
      </c>
      <c r="C5405" t="s">
        <v>1570</v>
      </c>
      <c r="D5405" t="s">
        <v>52</v>
      </c>
      <c r="E5405" t="s">
        <v>4163</v>
      </c>
      <c r="F5405" s="2" t="str">
        <f>HYPERLINK("http://www.otzar.org/book.asp?153596","בית דוד - 2 כר'")</f>
        <v>בית דוד - 2 כר'</v>
      </c>
    </row>
    <row r="5406" spans="1:6" x14ac:dyDescent="0.2">
      <c r="A5406" t="s">
        <v>9933</v>
      </c>
      <c r="B5406" t="s">
        <v>9934</v>
      </c>
      <c r="C5406" t="s">
        <v>313</v>
      </c>
      <c r="D5406" t="s">
        <v>1974</v>
      </c>
      <c r="E5406" t="s">
        <v>2153</v>
      </c>
      <c r="F5406" s="2" t="str">
        <f>HYPERLINK("http://www.otzar.org/book.asp?63727","בית דוד - 3 כר'")</f>
        <v>בית דוד - 3 כר'</v>
      </c>
    </row>
    <row r="5407" spans="1:6" x14ac:dyDescent="0.2">
      <c r="A5407" t="s">
        <v>9918</v>
      </c>
      <c r="B5407" t="s">
        <v>489</v>
      </c>
      <c r="C5407" t="s">
        <v>189</v>
      </c>
      <c r="D5407" t="s">
        <v>412</v>
      </c>
      <c r="F5407" s="2" t="str">
        <f>HYPERLINK("http://www.otzar.org/book.asp?615794","בית דוד - 2 כר'")</f>
        <v>בית דוד - 2 כר'</v>
      </c>
    </row>
    <row r="5408" spans="1:6" x14ac:dyDescent="0.2">
      <c r="A5408" t="s">
        <v>9918</v>
      </c>
      <c r="B5408" t="s">
        <v>9935</v>
      </c>
      <c r="C5408" t="s">
        <v>9936</v>
      </c>
      <c r="D5408" t="s">
        <v>1023</v>
      </c>
      <c r="E5408" t="s">
        <v>84</v>
      </c>
      <c r="F5408" s="2" t="str">
        <f>HYPERLINK("http://www.otzar.org/book.asp?1380","בית דוד - 2 כר'")</f>
        <v>בית דוד - 2 כר'</v>
      </c>
    </row>
    <row r="5409" spans="1:6" x14ac:dyDescent="0.2">
      <c r="A5409" t="s">
        <v>9918</v>
      </c>
      <c r="B5409" t="s">
        <v>9937</v>
      </c>
      <c r="C5409" t="s">
        <v>163</v>
      </c>
      <c r="D5409" t="s">
        <v>283</v>
      </c>
      <c r="E5409" t="s">
        <v>508</v>
      </c>
      <c r="F5409" s="2" t="str">
        <f>HYPERLINK("http://www.otzar.org/book.asp?141233","בית דוד - 2 כר'")</f>
        <v>בית דוד - 2 כר'</v>
      </c>
    </row>
    <row r="5410" spans="1:6" x14ac:dyDescent="0.2">
      <c r="A5410" t="s">
        <v>9918</v>
      </c>
      <c r="B5410" t="s">
        <v>9938</v>
      </c>
      <c r="C5410" t="s">
        <v>244</v>
      </c>
      <c r="D5410" t="s">
        <v>21</v>
      </c>
      <c r="E5410" t="s">
        <v>130</v>
      </c>
      <c r="F5410" s="2" t="str">
        <f>HYPERLINK("http://www.otzar.org/book.asp?630883","בית דוד - 2 כר'")</f>
        <v>בית דוד - 2 כר'</v>
      </c>
    </row>
    <row r="5411" spans="1:6" x14ac:dyDescent="0.2">
      <c r="A5411" t="s">
        <v>9918</v>
      </c>
      <c r="B5411" t="s">
        <v>6267</v>
      </c>
      <c r="C5411" t="s">
        <v>360</v>
      </c>
      <c r="D5411" t="s">
        <v>3627</v>
      </c>
      <c r="E5411" t="s">
        <v>9939</v>
      </c>
      <c r="F5411" s="2" t="str">
        <f>HYPERLINK("http://www.otzar.org/book.asp?300436","בית דוד - 2 כר'")</f>
        <v>בית דוד - 2 כר'</v>
      </c>
    </row>
    <row r="5412" spans="1:6" x14ac:dyDescent="0.2">
      <c r="A5412" t="s">
        <v>9940</v>
      </c>
      <c r="B5412" t="s">
        <v>9941</v>
      </c>
      <c r="C5412" t="s">
        <v>8882</v>
      </c>
      <c r="D5412" t="s">
        <v>726</v>
      </c>
      <c r="E5412" t="s">
        <v>158</v>
      </c>
      <c r="F5412" s="2" t="str">
        <f>HYPERLINK("http://www.otzar.org/book.asp?146727","בית דין שמואל")</f>
        <v>בית דין שמואל</v>
      </c>
    </row>
    <row r="5413" spans="1:6" x14ac:dyDescent="0.2">
      <c r="A5413" t="s">
        <v>9942</v>
      </c>
      <c r="B5413" t="s">
        <v>210</v>
      </c>
      <c r="C5413" t="s">
        <v>1278</v>
      </c>
      <c r="D5413" t="s">
        <v>1660</v>
      </c>
      <c r="E5413" t="s">
        <v>4731</v>
      </c>
      <c r="F5413" s="2" t="str">
        <f>HYPERLINK("http://www.otzar.org/book.asp?21891","בית דין")</f>
        <v>בית דין</v>
      </c>
    </row>
    <row r="5414" spans="1:6" x14ac:dyDescent="0.2">
      <c r="A5414" t="s">
        <v>9943</v>
      </c>
      <c r="B5414" t="s">
        <v>9944</v>
      </c>
      <c r="C5414" t="s">
        <v>585</v>
      </c>
      <c r="D5414" t="s">
        <v>14</v>
      </c>
      <c r="E5414" t="s">
        <v>154</v>
      </c>
      <c r="F5414" s="2" t="str">
        <f>HYPERLINK("http://www.otzar.org/book.asp?152286","בית דינו של שלמה &lt;מכון הכתב&gt;")</f>
        <v>בית דינו של שלמה &lt;מכון הכתב&gt;</v>
      </c>
    </row>
    <row r="5415" spans="1:6" x14ac:dyDescent="0.2">
      <c r="A5415" t="s">
        <v>9945</v>
      </c>
      <c r="B5415" t="s">
        <v>9944</v>
      </c>
      <c r="C5415" t="s">
        <v>9946</v>
      </c>
      <c r="D5415" t="s">
        <v>1490</v>
      </c>
      <c r="E5415" t="s">
        <v>154</v>
      </c>
      <c r="F5415" s="2" t="str">
        <f>HYPERLINK("http://www.otzar.org/book.asp?100126","בית דינו של שלמה")</f>
        <v>בית דינו של שלמה</v>
      </c>
    </row>
    <row r="5416" spans="1:6" x14ac:dyDescent="0.2">
      <c r="A5416" t="s">
        <v>9947</v>
      </c>
      <c r="B5416" t="s">
        <v>9948</v>
      </c>
      <c r="C5416" t="s">
        <v>454</v>
      </c>
      <c r="D5416" t="s">
        <v>147</v>
      </c>
      <c r="E5416" t="s">
        <v>674</v>
      </c>
      <c r="F5416" s="2" t="str">
        <f>HYPERLINK("http://www.otzar.org/book.asp?23592","בית דניאל")</f>
        <v>בית דניאל</v>
      </c>
    </row>
    <row r="5417" spans="1:6" x14ac:dyDescent="0.2">
      <c r="A5417" t="s">
        <v>9949</v>
      </c>
      <c r="B5417" t="s">
        <v>9950</v>
      </c>
      <c r="C5417" t="s">
        <v>250</v>
      </c>
      <c r="D5417" t="s">
        <v>60</v>
      </c>
      <c r="E5417" t="s">
        <v>325</v>
      </c>
      <c r="F5417" s="2" t="str">
        <f>HYPERLINK("http://www.otzar.org/book.asp?100206","בית האוצר")</f>
        <v>בית האוצר</v>
      </c>
    </row>
    <row r="5418" spans="1:6" x14ac:dyDescent="0.2">
      <c r="A5418" t="s">
        <v>9951</v>
      </c>
      <c r="B5418" t="s">
        <v>732</v>
      </c>
      <c r="C5418" t="s">
        <v>9952</v>
      </c>
      <c r="D5418" t="s">
        <v>27</v>
      </c>
      <c r="E5418" t="s">
        <v>733</v>
      </c>
      <c r="F5418" s="2" t="str">
        <f>HYPERLINK("http://www.otzar.org/book.asp?188629","בית האוצר - 2 כר'")</f>
        <v>בית האוצר - 2 כר'</v>
      </c>
    </row>
    <row r="5419" spans="1:6" x14ac:dyDescent="0.2">
      <c r="A5419" t="s">
        <v>9953</v>
      </c>
      <c r="B5419" t="s">
        <v>9954</v>
      </c>
      <c r="C5419" t="s">
        <v>5367</v>
      </c>
      <c r="D5419" t="s">
        <v>9955</v>
      </c>
      <c r="E5419" t="s">
        <v>733</v>
      </c>
      <c r="F5419" s="2" t="str">
        <f>HYPERLINK("http://www.otzar.org/book.asp?196323","בית האוצר - א")</f>
        <v>בית האוצר - א</v>
      </c>
    </row>
    <row r="5420" spans="1:6" x14ac:dyDescent="0.2">
      <c r="A5420" t="s">
        <v>9949</v>
      </c>
      <c r="B5420" t="s">
        <v>9956</v>
      </c>
      <c r="C5420" t="s">
        <v>9957</v>
      </c>
      <c r="D5420" t="s">
        <v>5209</v>
      </c>
      <c r="E5420" t="s">
        <v>564</v>
      </c>
      <c r="F5420" s="2" t="str">
        <f>HYPERLINK("http://www.otzar.org/book.asp?300406","בית האוצר")</f>
        <v>בית האוצר</v>
      </c>
    </row>
    <row r="5421" spans="1:6" x14ac:dyDescent="0.2">
      <c r="A5421" t="s">
        <v>9951</v>
      </c>
      <c r="B5421" t="s">
        <v>3493</v>
      </c>
      <c r="C5421" t="s">
        <v>9958</v>
      </c>
      <c r="D5421" t="s">
        <v>225</v>
      </c>
      <c r="E5421" t="s">
        <v>104</v>
      </c>
      <c r="F5421" s="2" t="str">
        <f>HYPERLINK("http://www.otzar.org/book.asp?11570","בית האוצר - 2 כר'")</f>
        <v>בית האוצר - 2 כר'</v>
      </c>
    </row>
    <row r="5422" spans="1:6" x14ac:dyDescent="0.2">
      <c r="A5422" t="s">
        <v>9959</v>
      </c>
      <c r="B5422" t="s">
        <v>9839</v>
      </c>
      <c r="C5422" t="s">
        <v>68</v>
      </c>
      <c r="D5422" t="s">
        <v>52</v>
      </c>
      <c r="E5422" t="s">
        <v>144</v>
      </c>
      <c r="F5422" s="2" t="str">
        <f>HYPERLINK("http://www.otzar.org/book.asp?157792","בית האוצר - 25 כר'")</f>
        <v>בית האוצר - 25 כר'</v>
      </c>
    </row>
    <row r="5423" spans="1:6" x14ac:dyDescent="0.2">
      <c r="A5423" t="s">
        <v>9960</v>
      </c>
      <c r="B5423" t="s">
        <v>210</v>
      </c>
      <c r="C5423" t="s">
        <v>1458</v>
      </c>
      <c r="D5423" t="s">
        <v>212</v>
      </c>
      <c r="E5423" t="s">
        <v>8833</v>
      </c>
      <c r="F5423" s="2" t="str">
        <f>HYPERLINK("http://www.otzar.org/book.asp?21887","בית הבחירה")</f>
        <v>בית הבחירה</v>
      </c>
    </row>
    <row r="5424" spans="1:6" x14ac:dyDescent="0.2">
      <c r="A5424" t="s">
        <v>9960</v>
      </c>
      <c r="B5424" t="s">
        <v>9961</v>
      </c>
      <c r="C5424" t="s">
        <v>1284</v>
      </c>
      <c r="D5424" t="s">
        <v>855</v>
      </c>
      <c r="E5424" t="s">
        <v>15</v>
      </c>
      <c r="F5424" s="2" t="str">
        <f>HYPERLINK("http://www.otzar.org/book.asp?300452","בית הבחירה")</f>
        <v>בית הבחירה</v>
      </c>
    </row>
    <row r="5425" spans="1:6" x14ac:dyDescent="0.2">
      <c r="A5425" t="s">
        <v>9962</v>
      </c>
      <c r="B5425" t="s">
        <v>9963</v>
      </c>
      <c r="C5425" t="s">
        <v>180</v>
      </c>
      <c r="D5425" t="s">
        <v>14</v>
      </c>
      <c r="E5425" t="s">
        <v>84</v>
      </c>
      <c r="F5425" s="2" t="str">
        <f>HYPERLINK("http://www.otzar.org/book.asp?9163","בית הבחירה - 52 כר'")</f>
        <v>בית הבחירה - 52 כר'</v>
      </c>
    </row>
    <row r="5426" spans="1:6" x14ac:dyDescent="0.2">
      <c r="A5426" t="s">
        <v>9964</v>
      </c>
      <c r="B5426" t="s">
        <v>732</v>
      </c>
      <c r="C5426" t="s">
        <v>725</v>
      </c>
      <c r="D5426" t="s">
        <v>27</v>
      </c>
      <c r="E5426" t="s">
        <v>119</v>
      </c>
      <c r="F5426" s="2" t="str">
        <f>HYPERLINK("http://www.otzar.org/book.asp?165968","בית הדפוס העברי הראשון בירושלם")</f>
        <v>בית הדפוס העברי הראשון בירושלם</v>
      </c>
    </row>
    <row r="5427" spans="1:6" x14ac:dyDescent="0.2">
      <c r="A5427" t="s">
        <v>9965</v>
      </c>
      <c r="B5427" t="s">
        <v>9966</v>
      </c>
      <c r="C5427" t="s">
        <v>68</v>
      </c>
      <c r="D5427" t="s">
        <v>486</v>
      </c>
      <c r="E5427" t="s">
        <v>2091</v>
      </c>
      <c r="F5427" s="2" t="str">
        <f>HYPERLINK("http://www.otzar.org/book.asp?162120","בית הועד - בשר בחלב, שבת")</f>
        <v>בית הועד - בשר בחלב, שבת</v>
      </c>
    </row>
    <row r="5428" spans="1:6" x14ac:dyDescent="0.2">
      <c r="A5428" t="s">
        <v>9967</v>
      </c>
      <c r="B5428" t="s">
        <v>1750</v>
      </c>
      <c r="C5428" t="s">
        <v>454</v>
      </c>
      <c r="D5428" t="s">
        <v>14</v>
      </c>
      <c r="E5428" t="s">
        <v>9968</v>
      </c>
      <c r="F5428" s="2" t="str">
        <f>HYPERLINK("http://www.otzar.org/book.asp?105650","בית הועד")</f>
        <v>בית הועד</v>
      </c>
    </row>
    <row r="5429" spans="1:6" x14ac:dyDescent="0.2">
      <c r="A5429" t="s">
        <v>9969</v>
      </c>
      <c r="B5429" t="s">
        <v>9970</v>
      </c>
      <c r="C5429" t="s">
        <v>37</v>
      </c>
      <c r="D5429" t="s">
        <v>52</v>
      </c>
      <c r="E5429" t="s">
        <v>15</v>
      </c>
      <c r="F5429" s="2" t="str">
        <f>HYPERLINK("http://www.otzar.org/book.asp?625527","בית הוראה (קיצור)")</f>
        <v>בית הוראה (קיצור)</v>
      </c>
    </row>
    <row r="5430" spans="1:6" x14ac:dyDescent="0.2">
      <c r="A5430" t="s">
        <v>9971</v>
      </c>
      <c r="B5430" t="s">
        <v>9970</v>
      </c>
      <c r="C5430" t="s">
        <v>366</v>
      </c>
      <c r="D5430" t="s">
        <v>52</v>
      </c>
      <c r="E5430" t="s">
        <v>15</v>
      </c>
      <c r="F5430" s="2" t="str">
        <f>HYPERLINK("http://www.otzar.org/book.asp?625282","בית הוראה")</f>
        <v>בית הוראה</v>
      </c>
    </row>
    <row r="5431" spans="1:6" x14ac:dyDescent="0.2">
      <c r="A5431" t="s">
        <v>9972</v>
      </c>
      <c r="B5431" t="s">
        <v>9973</v>
      </c>
      <c r="C5431" t="s">
        <v>366</v>
      </c>
      <c r="D5431" t="s">
        <v>14</v>
      </c>
      <c r="E5431" t="s">
        <v>15</v>
      </c>
      <c r="F5431" s="2" t="str">
        <f>HYPERLINK("http://www.otzar.org/book.asp?630882","בית הוראה - א")</f>
        <v>בית הוראה - א</v>
      </c>
    </row>
    <row r="5432" spans="1:6" x14ac:dyDescent="0.2">
      <c r="A5432" t="s">
        <v>9974</v>
      </c>
      <c r="B5432" t="s">
        <v>9975</v>
      </c>
      <c r="C5432" t="s">
        <v>624</v>
      </c>
      <c r="D5432" t="s">
        <v>52</v>
      </c>
      <c r="E5432" t="s">
        <v>674</v>
      </c>
      <c r="F5432" s="2" t="str">
        <f>HYPERLINK("http://www.otzar.org/book.asp?107459","בית החיים")</f>
        <v>בית החיים</v>
      </c>
    </row>
    <row r="5433" spans="1:6" x14ac:dyDescent="0.2">
      <c r="A5433" t="s">
        <v>9974</v>
      </c>
      <c r="B5433" t="s">
        <v>2161</v>
      </c>
      <c r="C5433" t="s">
        <v>9123</v>
      </c>
      <c r="D5433" t="s">
        <v>225</v>
      </c>
      <c r="F5433" s="2" t="str">
        <f>HYPERLINK("http://www.otzar.org/book.asp?169495","בית החיים")</f>
        <v>בית החיים</v>
      </c>
    </row>
    <row r="5434" spans="1:6" x14ac:dyDescent="0.2">
      <c r="A5434" t="s">
        <v>9974</v>
      </c>
      <c r="B5434" t="s">
        <v>9976</v>
      </c>
      <c r="C5434" t="s">
        <v>523</v>
      </c>
      <c r="D5434" t="s">
        <v>2798</v>
      </c>
      <c r="F5434" s="2" t="str">
        <f>HYPERLINK("http://www.otzar.org/book.asp?617031","בית החיים")</f>
        <v>בית החיים</v>
      </c>
    </row>
    <row r="5435" spans="1:6" x14ac:dyDescent="0.2">
      <c r="A5435" t="s">
        <v>9977</v>
      </c>
      <c r="B5435" t="s">
        <v>9978</v>
      </c>
      <c r="C5435" t="s">
        <v>9979</v>
      </c>
      <c r="D5435" t="s">
        <v>379</v>
      </c>
      <c r="E5435" t="s">
        <v>9980</v>
      </c>
      <c r="F5435" s="2" t="str">
        <f>HYPERLINK("http://www.otzar.org/book.asp?9454","בית היוצ""ר")</f>
        <v>בית היוצ"ר</v>
      </c>
    </row>
    <row r="5436" spans="1:6" x14ac:dyDescent="0.2">
      <c r="A5436" t="s">
        <v>9981</v>
      </c>
      <c r="B5436" t="s">
        <v>9982</v>
      </c>
      <c r="C5436" t="s">
        <v>114</v>
      </c>
      <c r="D5436" t="s">
        <v>9</v>
      </c>
      <c r="E5436" t="s">
        <v>15</v>
      </c>
      <c r="F5436" s="2" t="str">
        <f>HYPERLINK("http://www.otzar.org/book.asp?198238","בית היין")</f>
        <v>בית היין</v>
      </c>
    </row>
    <row r="5437" spans="1:6" x14ac:dyDescent="0.2">
      <c r="A5437" t="s">
        <v>9981</v>
      </c>
      <c r="B5437" t="s">
        <v>686</v>
      </c>
      <c r="C5437" t="s">
        <v>103</v>
      </c>
      <c r="D5437" t="s">
        <v>52</v>
      </c>
      <c r="E5437" t="s">
        <v>2840</v>
      </c>
      <c r="F5437" s="2" t="str">
        <f>HYPERLINK("http://www.otzar.org/book.asp?50405","בית היין")</f>
        <v>בית היין</v>
      </c>
    </row>
    <row r="5438" spans="1:6" x14ac:dyDescent="0.2">
      <c r="A5438" t="s">
        <v>9981</v>
      </c>
      <c r="B5438" t="s">
        <v>9983</v>
      </c>
      <c r="C5438" t="s">
        <v>366</v>
      </c>
      <c r="D5438" t="s">
        <v>80</v>
      </c>
      <c r="E5438" t="s">
        <v>246</v>
      </c>
      <c r="F5438" s="2" t="str">
        <f>HYPERLINK("http://www.otzar.org/book.asp?603986","בית היין")</f>
        <v>בית היין</v>
      </c>
    </row>
    <row r="5439" spans="1:6" x14ac:dyDescent="0.2">
      <c r="A5439" t="s">
        <v>9984</v>
      </c>
      <c r="B5439" t="s">
        <v>9985</v>
      </c>
      <c r="C5439" t="s">
        <v>146</v>
      </c>
      <c r="D5439" t="s">
        <v>245</v>
      </c>
      <c r="E5439" t="s">
        <v>15</v>
      </c>
      <c r="F5439" s="2" t="str">
        <f>HYPERLINK("http://www.otzar.org/book.asp?186838","בית היין - מוקצה")</f>
        <v>בית היין - מוקצה</v>
      </c>
    </row>
    <row r="5440" spans="1:6" x14ac:dyDescent="0.2">
      <c r="A5440" t="s">
        <v>9981</v>
      </c>
      <c r="B5440" t="s">
        <v>9986</v>
      </c>
      <c r="C5440" t="s">
        <v>23</v>
      </c>
      <c r="D5440" t="s">
        <v>152</v>
      </c>
      <c r="E5440" t="s">
        <v>658</v>
      </c>
      <c r="F5440" s="2" t="str">
        <f>HYPERLINK("http://www.otzar.org/book.asp?623255","בית היין")</f>
        <v>בית היין</v>
      </c>
    </row>
    <row r="5441" spans="1:6" x14ac:dyDescent="0.2">
      <c r="A5441" t="s">
        <v>9981</v>
      </c>
      <c r="B5441" t="s">
        <v>9987</v>
      </c>
      <c r="C5441" t="s">
        <v>2076</v>
      </c>
      <c r="D5441" t="s">
        <v>157</v>
      </c>
      <c r="E5441" t="s">
        <v>2840</v>
      </c>
      <c r="F5441" s="2" t="str">
        <f>HYPERLINK("http://www.otzar.org/book.asp?147090","בית היין")</f>
        <v>בית היין</v>
      </c>
    </row>
    <row r="5442" spans="1:6" x14ac:dyDescent="0.2">
      <c r="A5442" t="s">
        <v>9981</v>
      </c>
      <c r="B5442" t="s">
        <v>9988</v>
      </c>
      <c r="C5442" t="s">
        <v>189</v>
      </c>
      <c r="D5442" t="s">
        <v>52</v>
      </c>
      <c r="E5442" t="s">
        <v>148</v>
      </c>
      <c r="F5442" s="2" t="str">
        <f>HYPERLINK("http://www.otzar.org/book.asp?52266","בית היין")</f>
        <v>בית היין</v>
      </c>
    </row>
    <row r="5443" spans="1:6" x14ac:dyDescent="0.2">
      <c r="A5443" t="s">
        <v>9989</v>
      </c>
      <c r="B5443" t="s">
        <v>9990</v>
      </c>
      <c r="C5443" t="s">
        <v>5823</v>
      </c>
      <c r="D5443" t="s">
        <v>855</v>
      </c>
      <c r="E5443" t="s">
        <v>246</v>
      </c>
      <c r="F5443" s="2" t="str">
        <f>HYPERLINK("http://www.otzar.org/book.asp?189618","בית היין - 2 כר'")</f>
        <v>בית היין - 2 כר'</v>
      </c>
    </row>
    <row r="5444" spans="1:6" x14ac:dyDescent="0.2">
      <c r="A5444" t="s">
        <v>9981</v>
      </c>
      <c r="B5444" t="s">
        <v>2344</v>
      </c>
      <c r="C5444" t="s">
        <v>114</v>
      </c>
      <c r="D5444" t="s">
        <v>1180</v>
      </c>
      <c r="E5444" t="s">
        <v>104</v>
      </c>
      <c r="F5444" s="2" t="str">
        <f>HYPERLINK("http://www.otzar.org/book.asp?168257","בית היין")</f>
        <v>בית היין</v>
      </c>
    </row>
    <row r="5445" spans="1:6" x14ac:dyDescent="0.2">
      <c r="A5445" t="s">
        <v>9989</v>
      </c>
      <c r="B5445" t="s">
        <v>1222</v>
      </c>
      <c r="C5445" t="s">
        <v>20</v>
      </c>
      <c r="D5445" t="s">
        <v>14</v>
      </c>
      <c r="E5445" t="s">
        <v>144</v>
      </c>
      <c r="F5445" s="2" t="str">
        <f>HYPERLINK("http://www.otzar.org/book.asp?172571","בית היין - 2 כר'")</f>
        <v>בית היין - 2 כר'</v>
      </c>
    </row>
    <row r="5446" spans="1:6" x14ac:dyDescent="0.2">
      <c r="A5446" t="s">
        <v>9991</v>
      </c>
      <c r="B5446" t="s">
        <v>9992</v>
      </c>
      <c r="C5446" t="s">
        <v>698</v>
      </c>
      <c r="D5446" t="s">
        <v>6129</v>
      </c>
      <c r="E5446" t="s">
        <v>119</v>
      </c>
      <c r="F5446" s="2" t="str">
        <f>HYPERLINK("http://www.otzar.org/book.asp?23691","בית הילל השלם")</f>
        <v>בית הילל השלם</v>
      </c>
    </row>
    <row r="5447" spans="1:6" x14ac:dyDescent="0.2">
      <c r="A5447" t="s">
        <v>9993</v>
      </c>
      <c r="B5447" t="s">
        <v>9994</v>
      </c>
      <c r="C5447" t="s">
        <v>9995</v>
      </c>
      <c r="D5447" t="s">
        <v>1833</v>
      </c>
      <c r="E5447" t="s">
        <v>2071</v>
      </c>
      <c r="F5447" s="2" t="str">
        <f>HYPERLINK("http://www.otzar.org/book.asp?141013","בית הילל")</f>
        <v>בית הילל</v>
      </c>
    </row>
    <row r="5448" spans="1:6" x14ac:dyDescent="0.2">
      <c r="A5448" t="s">
        <v>9996</v>
      </c>
      <c r="B5448" t="s">
        <v>9997</v>
      </c>
      <c r="C5448" t="s">
        <v>9998</v>
      </c>
      <c r="D5448" t="s">
        <v>403</v>
      </c>
      <c r="E5448" t="s">
        <v>172</v>
      </c>
      <c r="F5448" s="2" t="str">
        <f>HYPERLINK("http://www.otzar.org/book.asp?6801","בית הילל - 2 כר'")</f>
        <v>בית הילל - 2 כר'</v>
      </c>
    </row>
    <row r="5449" spans="1:6" x14ac:dyDescent="0.2">
      <c r="A5449" t="s">
        <v>9999</v>
      </c>
      <c r="B5449" t="s">
        <v>10000</v>
      </c>
      <c r="C5449" t="s">
        <v>114</v>
      </c>
      <c r="D5449" t="s">
        <v>14</v>
      </c>
      <c r="E5449" t="s">
        <v>15</v>
      </c>
      <c r="F5449" s="2" t="str">
        <f>HYPERLINK("http://www.otzar.org/book.asp?182632","בית הכנסת כהלכה")</f>
        <v>בית הכנסת כהלכה</v>
      </c>
    </row>
    <row r="5450" spans="1:6" x14ac:dyDescent="0.2">
      <c r="A5450" t="s">
        <v>10001</v>
      </c>
      <c r="B5450" t="s">
        <v>10002</v>
      </c>
      <c r="C5450" t="s">
        <v>13</v>
      </c>
      <c r="D5450" t="s">
        <v>412</v>
      </c>
      <c r="F5450" s="2" t="str">
        <f>HYPERLINK("http://www.otzar.org/book.asp?83943","בית הכנסת שבבעלזא")</f>
        <v>בית הכנסת שבבעלזא</v>
      </c>
    </row>
    <row r="5451" spans="1:6" x14ac:dyDescent="0.2">
      <c r="A5451" t="s">
        <v>10003</v>
      </c>
      <c r="B5451" t="s">
        <v>10004</v>
      </c>
      <c r="C5451" t="s">
        <v>10005</v>
      </c>
      <c r="D5451" t="s">
        <v>260</v>
      </c>
      <c r="E5451" t="s">
        <v>202</v>
      </c>
      <c r="F5451" s="2" t="str">
        <f>HYPERLINK("http://www.otzar.org/book.asp?300459","בית הכנסת - 5 כר'")</f>
        <v>בית הכנסת - 5 כר'</v>
      </c>
    </row>
    <row r="5452" spans="1:6" x14ac:dyDescent="0.2">
      <c r="A5452" t="s">
        <v>10004</v>
      </c>
      <c r="B5452" t="s">
        <v>10006</v>
      </c>
      <c r="C5452" t="s">
        <v>1246</v>
      </c>
      <c r="D5452" t="s">
        <v>27</v>
      </c>
      <c r="E5452" t="s">
        <v>674</v>
      </c>
      <c r="F5452" s="2" t="str">
        <f>HYPERLINK("http://www.otzar.org/book.asp?170906","בית הכנסת")</f>
        <v>בית הכנסת</v>
      </c>
    </row>
    <row r="5453" spans="1:6" x14ac:dyDescent="0.2">
      <c r="A5453" t="s">
        <v>10007</v>
      </c>
      <c r="B5453" t="s">
        <v>210</v>
      </c>
      <c r="C5453" t="s">
        <v>103</v>
      </c>
      <c r="D5453" t="s">
        <v>14</v>
      </c>
      <c r="E5453" t="s">
        <v>1517</v>
      </c>
      <c r="F5453" s="2" t="str">
        <f>HYPERLINK("http://www.otzar.org/book.asp?152234","בית הכפרת")</f>
        <v>בית הכפרת</v>
      </c>
    </row>
    <row r="5454" spans="1:6" x14ac:dyDescent="0.2">
      <c r="A5454" t="s">
        <v>10008</v>
      </c>
      <c r="B5454" t="s">
        <v>10009</v>
      </c>
      <c r="C5454" t="s">
        <v>129</v>
      </c>
      <c r="D5454" t="s">
        <v>52</v>
      </c>
      <c r="E5454" t="s">
        <v>154</v>
      </c>
      <c r="F5454" s="2" t="str">
        <f>HYPERLINK("http://www.otzar.org/book.asp?174579","בית הלוי &lt;מהדורה חדשה&gt; - 4 כר'")</f>
        <v>בית הלוי &lt;מהדורה חדשה&gt; - 4 כר'</v>
      </c>
    </row>
    <row r="5455" spans="1:6" x14ac:dyDescent="0.2">
      <c r="A5455" t="s">
        <v>10010</v>
      </c>
      <c r="B5455" t="s">
        <v>10011</v>
      </c>
      <c r="C5455" t="s">
        <v>10012</v>
      </c>
      <c r="D5455" t="s">
        <v>544</v>
      </c>
      <c r="E5455" t="s">
        <v>10013</v>
      </c>
      <c r="F5455" s="2" t="str">
        <f>HYPERLINK("http://www.otzar.org/book.asp?19203","בית הלוי ותורת הבית")</f>
        <v>בית הלוי ותורת הבית</v>
      </c>
    </row>
    <row r="5456" spans="1:6" x14ac:dyDescent="0.2">
      <c r="A5456" t="s">
        <v>10014</v>
      </c>
      <c r="B5456" t="s">
        <v>10009</v>
      </c>
      <c r="C5456" t="s">
        <v>454</v>
      </c>
      <c r="D5456" t="s">
        <v>14</v>
      </c>
      <c r="F5456" s="2" t="str">
        <f>HYPERLINK("http://www.otzar.org/book.asp?621492","בית הלוי על מצות הבטחון")</f>
        <v>בית הלוי על מצות הבטחון</v>
      </c>
    </row>
    <row r="5457" spans="1:6" x14ac:dyDescent="0.2">
      <c r="A5457" t="s">
        <v>10015</v>
      </c>
      <c r="B5457" t="s">
        <v>10016</v>
      </c>
      <c r="C5457" t="s">
        <v>10017</v>
      </c>
      <c r="D5457" t="s">
        <v>49</v>
      </c>
      <c r="E5457" t="s">
        <v>144</v>
      </c>
      <c r="F5457" s="2" t="str">
        <f>HYPERLINK("http://www.otzar.org/book.asp?100417","בית הלוי")</f>
        <v>בית הלוי</v>
      </c>
    </row>
    <row r="5458" spans="1:6" x14ac:dyDescent="0.2">
      <c r="A5458" t="s">
        <v>10018</v>
      </c>
      <c r="B5458" t="s">
        <v>10019</v>
      </c>
      <c r="C5458" t="s">
        <v>10020</v>
      </c>
      <c r="D5458" t="s">
        <v>4227</v>
      </c>
      <c r="E5458" t="s">
        <v>8469</v>
      </c>
      <c r="F5458" s="2" t="str">
        <f>HYPERLINK("http://www.otzar.org/book.asp?149958","בית הלוי - 2 כר'")</f>
        <v>בית הלוי - 2 כר'</v>
      </c>
    </row>
    <row r="5459" spans="1:6" x14ac:dyDescent="0.2">
      <c r="A5459" t="s">
        <v>10015</v>
      </c>
      <c r="B5459" t="s">
        <v>10021</v>
      </c>
      <c r="C5459" t="s">
        <v>189</v>
      </c>
      <c r="D5459" t="s">
        <v>10022</v>
      </c>
      <c r="E5459" t="s">
        <v>158</v>
      </c>
      <c r="F5459" s="2" t="str">
        <f>HYPERLINK("http://www.otzar.org/book.asp?28631","בית הלוי")</f>
        <v>בית הלוי</v>
      </c>
    </row>
    <row r="5460" spans="1:6" x14ac:dyDescent="0.2">
      <c r="A5460" t="s">
        <v>10023</v>
      </c>
      <c r="B5460" t="s">
        <v>10024</v>
      </c>
      <c r="C5460" t="s">
        <v>111</v>
      </c>
      <c r="D5460" t="s">
        <v>90</v>
      </c>
      <c r="F5460" s="2" t="str">
        <f>HYPERLINK("http://www.otzar.org/book.asp?623101","בית הלוי - סוגיות חנוכה")</f>
        <v>בית הלוי - סוגיות חנוכה</v>
      </c>
    </row>
    <row r="5461" spans="1:6" x14ac:dyDescent="0.2">
      <c r="A5461" t="s">
        <v>10025</v>
      </c>
      <c r="B5461" t="s">
        <v>10009</v>
      </c>
      <c r="C5461" t="s">
        <v>10026</v>
      </c>
      <c r="D5461" t="s">
        <v>56</v>
      </c>
      <c r="E5461" t="s">
        <v>154</v>
      </c>
      <c r="F5461" s="2" t="str">
        <f>HYPERLINK("http://www.otzar.org/book.asp?19408","בית הלוי - 6 כר'")</f>
        <v>בית הלוי - 6 כר'</v>
      </c>
    </row>
    <row r="5462" spans="1:6" x14ac:dyDescent="0.2">
      <c r="A5462" t="s">
        <v>10027</v>
      </c>
      <c r="B5462" t="s">
        <v>10028</v>
      </c>
      <c r="C5462" t="s">
        <v>168</v>
      </c>
      <c r="D5462" t="s">
        <v>14</v>
      </c>
      <c r="E5462" t="s">
        <v>158</v>
      </c>
      <c r="F5462" s="2" t="str">
        <f>HYPERLINK("http://www.otzar.org/book.asp?196596","בית הלחמי - 5 כר'")</f>
        <v>בית הלחמי - 5 כר'</v>
      </c>
    </row>
    <row r="5463" spans="1:6" x14ac:dyDescent="0.2">
      <c r="A5463" t="s">
        <v>10029</v>
      </c>
      <c r="B5463" t="s">
        <v>10030</v>
      </c>
      <c r="C5463" t="s">
        <v>244</v>
      </c>
      <c r="D5463" t="s">
        <v>657</v>
      </c>
      <c r="E5463" t="s">
        <v>234</v>
      </c>
      <c r="F5463" s="2" t="str">
        <f>HYPERLINK("http://www.otzar.org/book.asp?600328","בית הלל &lt;מהדורה חדשה&gt;")</f>
        <v>בית הלל &lt;מהדורה חדשה&gt;</v>
      </c>
    </row>
    <row r="5464" spans="1:6" x14ac:dyDescent="0.2">
      <c r="A5464" t="s">
        <v>10031</v>
      </c>
      <c r="B5464" t="s">
        <v>10032</v>
      </c>
      <c r="C5464" t="s">
        <v>13</v>
      </c>
      <c r="D5464" t="s">
        <v>14</v>
      </c>
      <c r="E5464" t="s">
        <v>119</v>
      </c>
      <c r="F5464" s="2" t="str">
        <f>HYPERLINK("http://www.otzar.org/book.asp?174068","בית הלל - רבי הלל אונסדופר")</f>
        <v>בית הלל - רבי הלל אונסדופר</v>
      </c>
    </row>
    <row r="5465" spans="1:6" x14ac:dyDescent="0.2">
      <c r="A5465" t="s">
        <v>10033</v>
      </c>
      <c r="B5465" t="s">
        <v>10030</v>
      </c>
      <c r="C5465" t="s">
        <v>360</v>
      </c>
      <c r="D5465" t="s">
        <v>283</v>
      </c>
      <c r="E5465" t="s">
        <v>234</v>
      </c>
      <c r="F5465" s="2" t="str">
        <f>HYPERLINK("http://www.otzar.org/book.asp?300434","בית הלל - א")</f>
        <v>בית הלל - א</v>
      </c>
    </row>
    <row r="5466" spans="1:6" x14ac:dyDescent="0.2">
      <c r="A5466" t="s">
        <v>10034</v>
      </c>
      <c r="B5466" t="s">
        <v>10035</v>
      </c>
      <c r="C5466" t="s">
        <v>143</v>
      </c>
      <c r="D5466" t="s">
        <v>52</v>
      </c>
      <c r="E5466" t="s">
        <v>144</v>
      </c>
      <c r="F5466" s="2" t="str">
        <f>HYPERLINK("http://www.otzar.org/book.asp?155594","בית הלל")</f>
        <v>בית הלל</v>
      </c>
    </row>
    <row r="5467" spans="1:6" x14ac:dyDescent="0.2">
      <c r="A5467" t="s">
        <v>10034</v>
      </c>
      <c r="B5467" t="s">
        <v>10036</v>
      </c>
      <c r="C5467" t="s">
        <v>351</v>
      </c>
      <c r="D5467" t="s">
        <v>283</v>
      </c>
      <c r="E5467" t="s">
        <v>43</v>
      </c>
      <c r="F5467" s="2" t="str">
        <f>HYPERLINK("http://www.otzar.org/book.asp?181800","בית הלל")</f>
        <v>בית הלל</v>
      </c>
    </row>
    <row r="5468" spans="1:6" x14ac:dyDescent="0.2">
      <c r="A5468" t="s">
        <v>10034</v>
      </c>
      <c r="B5468" t="s">
        <v>10037</v>
      </c>
      <c r="C5468" t="s">
        <v>2543</v>
      </c>
      <c r="D5468" t="s">
        <v>225</v>
      </c>
      <c r="E5468" t="s">
        <v>144</v>
      </c>
      <c r="F5468" s="2" t="str">
        <f>HYPERLINK("http://www.otzar.org/book.asp?141111","בית הלל")</f>
        <v>בית הלל</v>
      </c>
    </row>
    <row r="5469" spans="1:6" x14ac:dyDescent="0.2">
      <c r="A5469" t="s">
        <v>10034</v>
      </c>
      <c r="B5469" t="s">
        <v>552</v>
      </c>
      <c r="C5469" t="s">
        <v>71</v>
      </c>
      <c r="D5469" t="s">
        <v>21</v>
      </c>
      <c r="E5469" t="s">
        <v>202</v>
      </c>
      <c r="F5469" s="2" t="str">
        <f>HYPERLINK("http://www.otzar.org/book.asp?193117","בית הלל")</f>
        <v>בית הלל</v>
      </c>
    </row>
    <row r="5470" spans="1:6" x14ac:dyDescent="0.2">
      <c r="A5470" t="s">
        <v>10034</v>
      </c>
      <c r="B5470" t="s">
        <v>10038</v>
      </c>
      <c r="C5470" t="s">
        <v>3840</v>
      </c>
      <c r="D5470" t="s">
        <v>260</v>
      </c>
      <c r="E5470" t="s">
        <v>2248</v>
      </c>
      <c r="F5470" s="2" t="str">
        <f>HYPERLINK("http://www.otzar.org/book.asp?13536","בית הלל")</f>
        <v>בית הלל</v>
      </c>
    </row>
    <row r="5471" spans="1:6" x14ac:dyDescent="0.2">
      <c r="A5471" t="s">
        <v>10039</v>
      </c>
      <c r="B5471" t="s">
        <v>1750</v>
      </c>
      <c r="C5471" t="s">
        <v>466</v>
      </c>
      <c r="D5471" t="s">
        <v>14</v>
      </c>
      <c r="E5471" t="s">
        <v>202</v>
      </c>
      <c r="F5471" s="2" t="str">
        <f>HYPERLINK("http://www.otzar.org/book.asp?21004","בית הלל - 52 כר'")</f>
        <v>בית הלל - 52 כר'</v>
      </c>
    </row>
    <row r="5472" spans="1:6" x14ac:dyDescent="0.2">
      <c r="A5472" t="s">
        <v>10040</v>
      </c>
      <c r="B5472" t="s">
        <v>10041</v>
      </c>
      <c r="C5472" t="s">
        <v>698</v>
      </c>
      <c r="D5472" t="s">
        <v>6129</v>
      </c>
      <c r="E5472" t="s">
        <v>84</v>
      </c>
      <c r="F5472" s="2" t="str">
        <f>HYPERLINK("http://www.otzar.org/book.asp?17282","בית המדות")</f>
        <v>בית המדות</v>
      </c>
    </row>
    <row r="5473" spans="1:6" x14ac:dyDescent="0.2">
      <c r="A5473" t="s">
        <v>10042</v>
      </c>
      <c r="B5473" t="s">
        <v>10043</v>
      </c>
      <c r="C5473" t="s">
        <v>1202</v>
      </c>
      <c r="D5473" t="s">
        <v>30</v>
      </c>
      <c r="E5473" t="s">
        <v>158</v>
      </c>
      <c r="F5473" s="2" t="str">
        <f>HYPERLINK("http://www.otzar.org/book.asp?300472","בית המדרש של שם ועבר")</f>
        <v>בית המדרש של שם ועבר</v>
      </c>
    </row>
    <row r="5474" spans="1:6" x14ac:dyDescent="0.2">
      <c r="A5474" t="s">
        <v>10044</v>
      </c>
      <c r="B5474" t="s">
        <v>10045</v>
      </c>
      <c r="C5474" t="s">
        <v>1640</v>
      </c>
      <c r="D5474" t="s">
        <v>14</v>
      </c>
      <c r="E5474" t="s">
        <v>15</v>
      </c>
      <c r="F5474" s="2" t="str">
        <f>HYPERLINK("http://www.otzar.org/book.asp?153986","בית המדרש שם ועבר")</f>
        <v>בית המדרש שם ועבר</v>
      </c>
    </row>
    <row r="5475" spans="1:6" x14ac:dyDescent="0.2">
      <c r="A5475" t="s">
        <v>10046</v>
      </c>
      <c r="B5475" t="s">
        <v>10047</v>
      </c>
      <c r="C5475" t="s">
        <v>1202</v>
      </c>
      <c r="D5475" t="s">
        <v>27</v>
      </c>
      <c r="E5475" t="s">
        <v>10048</v>
      </c>
      <c r="F5475" s="2" t="str">
        <f>HYPERLINK("http://www.otzar.org/book.asp?300462","בית המדרש")</f>
        <v>בית המדרש</v>
      </c>
    </row>
    <row r="5476" spans="1:6" x14ac:dyDescent="0.2">
      <c r="A5476" t="s">
        <v>10046</v>
      </c>
      <c r="B5476" t="s">
        <v>964</v>
      </c>
      <c r="C5476" t="s">
        <v>5823</v>
      </c>
      <c r="D5476" t="s">
        <v>225</v>
      </c>
      <c r="E5476" t="s">
        <v>144</v>
      </c>
      <c r="F5476" s="2" t="str">
        <f>HYPERLINK("http://www.otzar.org/book.asp?300449","בית המדרש")</f>
        <v>בית המדרש</v>
      </c>
    </row>
    <row r="5477" spans="1:6" x14ac:dyDescent="0.2">
      <c r="A5477" t="s">
        <v>10046</v>
      </c>
      <c r="B5477" t="s">
        <v>1750</v>
      </c>
      <c r="C5477" t="s">
        <v>20</v>
      </c>
      <c r="D5477" t="s">
        <v>52</v>
      </c>
      <c r="E5477" t="s">
        <v>202</v>
      </c>
      <c r="F5477" s="2" t="str">
        <f>HYPERLINK("http://www.otzar.org/book.asp?149064","בית המדרש")</f>
        <v>בית המדרש</v>
      </c>
    </row>
    <row r="5478" spans="1:6" x14ac:dyDescent="0.2">
      <c r="A5478" t="s">
        <v>10046</v>
      </c>
      <c r="B5478" t="s">
        <v>10049</v>
      </c>
      <c r="C5478" t="s">
        <v>462</v>
      </c>
      <c r="D5478" t="s">
        <v>10050</v>
      </c>
      <c r="E5478" t="s">
        <v>467</v>
      </c>
      <c r="F5478" s="2" t="str">
        <f>HYPERLINK("http://www.otzar.org/book.asp?300439","בית המדרש")</f>
        <v>בית המדרש</v>
      </c>
    </row>
    <row r="5479" spans="1:6" x14ac:dyDescent="0.2">
      <c r="A5479" t="s">
        <v>10051</v>
      </c>
      <c r="B5479" t="s">
        <v>10052</v>
      </c>
      <c r="C5479" t="s">
        <v>224</v>
      </c>
      <c r="D5479" t="s">
        <v>726</v>
      </c>
      <c r="E5479" t="s">
        <v>15</v>
      </c>
      <c r="F5479" s="2" t="str">
        <f>HYPERLINK("http://www.otzar.org/book.asp?17283","בית המלך")</f>
        <v>בית המלך</v>
      </c>
    </row>
    <row r="5480" spans="1:6" x14ac:dyDescent="0.2">
      <c r="A5480" t="s">
        <v>10051</v>
      </c>
      <c r="B5480" t="s">
        <v>2240</v>
      </c>
      <c r="C5480" t="s">
        <v>538</v>
      </c>
      <c r="D5480" t="s">
        <v>76</v>
      </c>
      <c r="E5480" t="s">
        <v>10053</v>
      </c>
      <c r="F5480" s="2" t="str">
        <f>HYPERLINK("http://www.otzar.org/book.asp?100173","בית המלך")</f>
        <v>בית המלך</v>
      </c>
    </row>
    <row r="5481" spans="1:6" x14ac:dyDescent="0.2">
      <c r="A5481" t="s">
        <v>10054</v>
      </c>
      <c r="B5481" t="s">
        <v>10055</v>
      </c>
      <c r="C5481" t="s">
        <v>5903</v>
      </c>
      <c r="D5481" t="s">
        <v>1117</v>
      </c>
      <c r="E5481" t="s">
        <v>158</v>
      </c>
      <c r="F5481" s="2" t="str">
        <f>HYPERLINK("http://www.otzar.org/book.asp?102591","בית המלכות")</f>
        <v>בית המלכות</v>
      </c>
    </row>
    <row r="5482" spans="1:6" x14ac:dyDescent="0.2">
      <c r="A5482" t="s">
        <v>10054</v>
      </c>
      <c r="B5482" t="s">
        <v>10056</v>
      </c>
      <c r="C5482" t="s">
        <v>103</v>
      </c>
      <c r="D5482" t="s">
        <v>1180</v>
      </c>
      <c r="F5482" s="2" t="str">
        <f>HYPERLINK("http://www.otzar.org/book.asp?199171","בית המלכות")</f>
        <v>בית המלכות</v>
      </c>
    </row>
    <row r="5483" spans="1:6" x14ac:dyDescent="0.2">
      <c r="A5483" t="s">
        <v>10057</v>
      </c>
      <c r="B5483" t="s">
        <v>10058</v>
      </c>
      <c r="C5483" t="s">
        <v>103</v>
      </c>
      <c r="D5483" t="s">
        <v>486</v>
      </c>
      <c r="E5483" t="s">
        <v>15</v>
      </c>
      <c r="F5483" s="2" t="str">
        <f>HYPERLINK("http://www.otzar.org/book.asp?53232","בית הסופר")</f>
        <v>בית הסופר</v>
      </c>
    </row>
    <row r="5484" spans="1:6" x14ac:dyDescent="0.2">
      <c r="A5484" t="s">
        <v>10059</v>
      </c>
      <c r="B5484" t="s">
        <v>10060</v>
      </c>
      <c r="C5484" t="s">
        <v>8256</v>
      </c>
      <c r="D5484" t="s">
        <v>49</v>
      </c>
      <c r="E5484" t="s">
        <v>579</v>
      </c>
      <c r="F5484" s="2" t="str">
        <f>HYPERLINK("http://www.otzar.org/book.asp?104244","בית העוזיאלי")</f>
        <v>בית העוזיאלי</v>
      </c>
    </row>
    <row r="5485" spans="1:6" x14ac:dyDescent="0.2">
      <c r="A5485" t="s">
        <v>10061</v>
      </c>
      <c r="B5485" t="s">
        <v>8735</v>
      </c>
      <c r="C5485" t="s">
        <v>106</v>
      </c>
      <c r="D5485" t="s">
        <v>14</v>
      </c>
      <c r="E5485" t="s">
        <v>733</v>
      </c>
      <c r="F5485" s="2" t="str">
        <f>HYPERLINK("http://www.otzar.org/book.asp?166786","בית העלמין של יהודי שאלוניקי")</f>
        <v>בית העלמין של יהודי שאלוניקי</v>
      </c>
    </row>
    <row r="5486" spans="1:6" x14ac:dyDescent="0.2">
      <c r="A5486" t="s">
        <v>10062</v>
      </c>
      <c r="B5486" t="s">
        <v>10063</v>
      </c>
      <c r="C5486" t="s">
        <v>1470</v>
      </c>
      <c r="D5486" t="s">
        <v>260</v>
      </c>
      <c r="E5486" t="s">
        <v>2633</v>
      </c>
      <c r="F5486" s="2" t="str">
        <f>HYPERLINK("http://www.otzar.org/book.asp?17285","בית הקברות הישן בתל-אביב")</f>
        <v>בית הקברות הישן בתל-אביב</v>
      </c>
    </row>
    <row r="5487" spans="1:6" x14ac:dyDescent="0.2">
      <c r="A5487" t="s">
        <v>10064</v>
      </c>
      <c r="B5487" t="s">
        <v>10065</v>
      </c>
      <c r="C5487" t="s">
        <v>4687</v>
      </c>
      <c r="D5487" t="s">
        <v>76</v>
      </c>
      <c r="E5487" t="s">
        <v>148</v>
      </c>
      <c r="F5487" s="2" t="str">
        <f>HYPERLINK("http://www.otzar.org/book.asp?100422","בית הראה")</f>
        <v>בית הראה</v>
      </c>
    </row>
    <row r="5488" spans="1:6" x14ac:dyDescent="0.2">
      <c r="A5488" t="s">
        <v>10066</v>
      </c>
      <c r="B5488" t="s">
        <v>10067</v>
      </c>
      <c r="C5488" t="s">
        <v>189</v>
      </c>
      <c r="D5488" t="s">
        <v>14</v>
      </c>
      <c r="E5488" t="s">
        <v>172</v>
      </c>
      <c r="F5488" s="2" t="str">
        <f>HYPERLINK("http://www.otzar.org/book.asp?173638","בית השואבה &lt;מהדורת אור ודרך&gt;")</f>
        <v>בית השואבה &lt;מהדורת אור ודרך&gt;</v>
      </c>
    </row>
    <row r="5489" spans="1:6" x14ac:dyDescent="0.2">
      <c r="A5489" t="s">
        <v>10068</v>
      </c>
      <c r="B5489" t="s">
        <v>10069</v>
      </c>
      <c r="C5489" t="s">
        <v>5721</v>
      </c>
      <c r="D5489" t="s">
        <v>212</v>
      </c>
      <c r="E5489" t="s">
        <v>24</v>
      </c>
      <c r="F5489" s="2" t="str">
        <f>HYPERLINK("http://www.otzar.org/book.asp?21886","בית השואבה - בית מועד")</f>
        <v>בית השואבה - בית מועד</v>
      </c>
    </row>
    <row r="5490" spans="1:6" x14ac:dyDescent="0.2">
      <c r="A5490" t="s">
        <v>10070</v>
      </c>
      <c r="B5490" t="s">
        <v>10067</v>
      </c>
      <c r="C5490" t="s">
        <v>523</v>
      </c>
      <c r="D5490" t="s">
        <v>118</v>
      </c>
      <c r="E5490" t="s">
        <v>130</v>
      </c>
      <c r="F5490" s="2" t="str">
        <f>HYPERLINK("http://www.otzar.org/book.asp?977","בית השואבה")</f>
        <v>בית השואבה</v>
      </c>
    </row>
    <row r="5491" spans="1:6" x14ac:dyDescent="0.2">
      <c r="A5491" t="s">
        <v>10071</v>
      </c>
      <c r="B5491" t="s">
        <v>10072</v>
      </c>
      <c r="C5491" t="s">
        <v>383</v>
      </c>
      <c r="D5491" t="s">
        <v>14</v>
      </c>
      <c r="E5491" t="s">
        <v>158</v>
      </c>
      <c r="F5491" s="2" t="str">
        <f>HYPERLINK("http://www.otzar.org/book.asp?147943","בית השואבה - קונטרסי עיר על תלה")</f>
        <v>בית השואבה - קונטרסי עיר על תלה</v>
      </c>
    </row>
    <row r="5492" spans="1:6" x14ac:dyDescent="0.2">
      <c r="A5492" t="s">
        <v>10070</v>
      </c>
      <c r="B5492" t="s">
        <v>10073</v>
      </c>
      <c r="D5492" t="s">
        <v>115</v>
      </c>
      <c r="F5492" s="2" t="str">
        <f>HYPERLINK("http://www.otzar.org/book.asp?614012","בית השואבה")</f>
        <v>בית השואבה</v>
      </c>
    </row>
    <row r="5493" spans="1:6" x14ac:dyDescent="0.2">
      <c r="A5493" t="s">
        <v>10074</v>
      </c>
      <c r="B5493" t="s">
        <v>10075</v>
      </c>
      <c r="C5493" t="s">
        <v>13</v>
      </c>
      <c r="D5493" t="s">
        <v>986</v>
      </c>
      <c r="E5493" t="s">
        <v>213</v>
      </c>
      <c r="F5493" s="2" t="str">
        <f>HYPERLINK("http://www.otzar.org/book.asp?63710","בית השואבה - 2 כר'")</f>
        <v>בית השואבה - 2 כר'</v>
      </c>
    </row>
    <row r="5494" spans="1:6" x14ac:dyDescent="0.2">
      <c r="A5494" t="s">
        <v>10076</v>
      </c>
      <c r="B5494" t="s">
        <v>10077</v>
      </c>
      <c r="C5494" t="s">
        <v>422</v>
      </c>
      <c r="D5494" t="s">
        <v>14</v>
      </c>
      <c r="F5494" s="2" t="str">
        <f>HYPERLINK("http://www.otzar.org/book.asp?163717","בית השם &lt;מסכת מדות מבוארת בתוספת תמונות&gt;")</f>
        <v>בית השם &lt;מסכת מדות מבוארת בתוספת תמונות&gt;</v>
      </c>
    </row>
    <row r="5495" spans="1:6" x14ac:dyDescent="0.2">
      <c r="A5495" t="s">
        <v>10078</v>
      </c>
      <c r="B5495" t="s">
        <v>10079</v>
      </c>
      <c r="C5495" t="s">
        <v>13</v>
      </c>
      <c r="D5495" t="s">
        <v>147</v>
      </c>
      <c r="E5495" t="s">
        <v>158</v>
      </c>
      <c r="F5495" s="2" t="str">
        <f>HYPERLINK("http://www.otzar.org/book.asp?189808","בית השם - 8 כר'")</f>
        <v>בית השם - 8 כר'</v>
      </c>
    </row>
    <row r="5496" spans="1:6" x14ac:dyDescent="0.2">
      <c r="A5496" t="s">
        <v>10080</v>
      </c>
      <c r="B5496" t="s">
        <v>10081</v>
      </c>
      <c r="C5496" t="s">
        <v>1570</v>
      </c>
      <c r="D5496" t="s">
        <v>14</v>
      </c>
      <c r="E5496" t="s">
        <v>2091</v>
      </c>
      <c r="F5496" s="2" t="str">
        <f>HYPERLINK("http://www.otzar.org/book.asp?62764","בית התלמוד - (ח) סוכה ושביעית")</f>
        <v>בית התלמוד - (ח) סוכה ושביעית</v>
      </c>
    </row>
    <row r="5497" spans="1:6" x14ac:dyDescent="0.2">
      <c r="A5497" t="s">
        <v>10082</v>
      </c>
      <c r="B5497" t="s">
        <v>10083</v>
      </c>
      <c r="C5497" t="s">
        <v>313</v>
      </c>
      <c r="D5497" t="s">
        <v>14</v>
      </c>
      <c r="E5497" t="s">
        <v>186</v>
      </c>
      <c r="F5497" s="2" t="str">
        <f>HYPERLINK("http://www.otzar.org/book.asp?195492","בית התלמוד - 4 כר'")</f>
        <v>בית התלמוד - 4 כר'</v>
      </c>
    </row>
    <row r="5498" spans="1:6" x14ac:dyDescent="0.2">
      <c r="A5498" t="s">
        <v>10084</v>
      </c>
      <c r="B5498" t="s">
        <v>10085</v>
      </c>
      <c r="C5498" t="s">
        <v>103</v>
      </c>
      <c r="D5498" t="s">
        <v>21</v>
      </c>
      <c r="E5498" t="s">
        <v>144</v>
      </c>
      <c r="F5498" s="2" t="str">
        <f>HYPERLINK("http://www.otzar.org/book.asp?195538","בית התלמוד - שיעורי רבי דב שוורצמן בעניני מלאכת הוצאה")</f>
        <v>בית התלמוד - שיעורי רבי דב שוורצמן בעניני מלאכת הוצאה</v>
      </c>
    </row>
    <row r="5499" spans="1:6" x14ac:dyDescent="0.2">
      <c r="A5499" t="s">
        <v>10086</v>
      </c>
      <c r="B5499" t="s">
        <v>10087</v>
      </c>
      <c r="C5499" t="s">
        <v>133</v>
      </c>
      <c r="D5499" t="s">
        <v>14</v>
      </c>
      <c r="E5499" t="s">
        <v>241</v>
      </c>
      <c r="F5499" s="2" t="str">
        <f>HYPERLINK("http://www.otzar.org/book.asp?175581","בית וועד")</f>
        <v>בית וועד</v>
      </c>
    </row>
    <row r="5500" spans="1:6" x14ac:dyDescent="0.2">
      <c r="A5500" t="s">
        <v>10088</v>
      </c>
      <c r="B5500" t="s">
        <v>10089</v>
      </c>
      <c r="C5500" t="s">
        <v>466</v>
      </c>
      <c r="D5500" t="s">
        <v>14</v>
      </c>
      <c r="E5500" t="s">
        <v>104</v>
      </c>
      <c r="F5500" s="2" t="str">
        <f>HYPERLINK("http://www.otzar.org/book.asp?162372","בית ומנוחה")</f>
        <v>בית ומנוחה</v>
      </c>
    </row>
    <row r="5501" spans="1:6" x14ac:dyDescent="0.2">
      <c r="A5501" t="s">
        <v>10090</v>
      </c>
      <c r="B5501" t="s">
        <v>6900</v>
      </c>
      <c r="C5501" t="s">
        <v>503</v>
      </c>
      <c r="D5501" t="s">
        <v>1117</v>
      </c>
      <c r="E5501" t="s">
        <v>5445</v>
      </c>
      <c r="F5501" s="2" t="str">
        <f>HYPERLINK("http://www.otzar.org/book.asp?100775","בית ועד לחכמים &lt;כנוס סופרים&gt;")</f>
        <v>בית ועד לחכמים &lt;כנוס סופרים&gt;</v>
      </c>
    </row>
    <row r="5502" spans="1:6" x14ac:dyDescent="0.2">
      <c r="A5502" t="s">
        <v>10091</v>
      </c>
      <c r="B5502" t="s">
        <v>10092</v>
      </c>
      <c r="C5502" t="s">
        <v>68</v>
      </c>
      <c r="D5502" t="s">
        <v>52</v>
      </c>
      <c r="E5502" t="s">
        <v>202</v>
      </c>
      <c r="F5502" s="2" t="str">
        <f>HYPERLINK("http://www.otzar.org/book.asp?162478","בית ועד לחכמים &lt;נאראל&gt; - 2 כר'")</f>
        <v>בית ועד לחכמים &lt;נאראל&gt; - 2 כר'</v>
      </c>
    </row>
    <row r="5503" spans="1:6" x14ac:dyDescent="0.2">
      <c r="A5503" t="s">
        <v>10093</v>
      </c>
      <c r="B5503" t="s">
        <v>10094</v>
      </c>
      <c r="C5503" t="s">
        <v>888</v>
      </c>
      <c r="D5503" t="s">
        <v>412</v>
      </c>
      <c r="E5503" t="s">
        <v>202</v>
      </c>
      <c r="F5503" s="2" t="str">
        <f>HYPERLINK("http://www.otzar.org/book.asp?151326","בית ועד לחכמים - 6 כר'")</f>
        <v>בית ועד לחכמים - 6 כר'</v>
      </c>
    </row>
    <row r="5504" spans="1:6" x14ac:dyDescent="0.2">
      <c r="A5504" t="s">
        <v>10095</v>
      </c>
      <c r="B5504" t="s">
        <v>10096</v>
      </c>
      <c r="C5504" t="s">
        <v>23</v>
      </c>
      <c r="D5504" t="s">
        <v>21</v>
      </c>
      <c r="E5504" t="s">
        <v>202</v>
      </c>
      <c r="F5504" s="2" t="str">
        <f>HYPERLINK("http://www.otzar.org/book.asp?192787","בית ועד לחכמים - 11 כר'")</f>
        <v>בית ועד לחכמים - 11 כר'</v>
      </c>
    </row>
    <row r="5505" spans="1:6" x14ac:dyDescent="0.2">
      <c r="A5505" t="s">
        <v>10097</v>
      </c>
      <c r="B5505" t="s">
        <v>10098</v>
      </c>
      <c r="C5505" t="s">
        <v>888</v>
      </c>
      <c r="D5505" t="s">
        <v>9</v>
      </c>
      <c r="E5505" t="s">
        <v>202</v>
      </c>
      <c r="F5505" s="2" t="str">
        <f>HYPERLINK("http://www.otzar.org/book.asp?17289","בית ועד לחכמים - 16 כר'")</f>
        <v>בית ועד לחכמים - 16 כר'</v>
      </c>
    </row>
    <row r="5506" spans="1:6" x14ac:dyDescent="0.2">
      <c r="A5506" t="s">
        <v>10099</v>
      </c>
      <c r="B5506" t="s">
        <v>10100</v>
      </c>
      <c r="C5506" t="s">
        <v>20</v>
      </c>
      <c r="D5506" t="s">
        <v>14</v>
      </c>
      <c r="E5506" t="s">
        <v>202</v>
      </c>
      <c r="F5506" s="2" t="str">
        <f>HYPERLINK("http://www.otzar.org/book.asp?628629","בית ועד לחכמים - 9 כר'")</f>
        <v>בית ועד לחכמים - 9 כר'</v>
      </c>
    </row>
    <row r="5507" spans="1:6" x14ac:dyDescent="0.2">
      <c r="A5507" t="s">
        <v>10101</v>
      </c>
      <c r="B5507" t="s">
        <v>10102</v>
      </c>
      <c r="C5507" t="s">
        <v>10103</v>
      </c>
      <c r="D5507" t="s">
        <v>563</v>
      </c>
      <c r="E5507" t="s">
        <v>202</v>
      </c>
      <c r="F5507" s="2" t="str">
        <f>HYPERLINK("http://www.otzar.org/book.asp?152199","בית ועד לחכמים - 8 כר'")</f>
        <v>בית ועד לחכמים - 8 כר'</v>
      </c>
    </row>
    <row r="5508" spans="1:6" x14ac:dyDescent="0.2">
      <c r="A5508" t="s">
        <v>10098</v>
      </c>
      <c r="B5508" t="s">
        <v>2857</v>
      </c>
      <c r="C5508" t="s">
        <v>854</v>
      </c>
      <c r="D5508" t="s">
        <v>563</v>
      </c>
      <c r="E5508" t="s">
        <v>104</v>
      </c>
      <c r="F5508" s="2" t="str">
        <f>HYPERLINK("http://www.otzar.org/book.asp?17288","בית ועד לחכמים")</f>
        <v>בית ועד לחכמים</v>
      </c>
    </row>
    <row r="5509" spans="1:6" x14ac:dyDescent="0.2">
      <c r="A5509" t="s">
        <v>10098</v>
      </c>
      <c r="B5509" t="s">
        <v>10104</v>
      </c>
      <c r="C5509" t="s">
        <v>506</v>
      </c>
      <c r="D5509" t="s">
        <v>100</v>
      </c>
      <c r="E5509" t="s">
        <v>144</v>
      </c>
      <c r="F5509" s="2" t="str">
        <f>HYPERLINK("http://www.otzar.org/book.asp?15913","בית ועד לחכמים")</f>
        <v>בית ועד לחכמים</v>
      </c>
    </row>
    <row r="5510" spans="1:6" x14ac:dyDescent="0.2">
      <c r="A5510" t="s">
        <v>10105</v>
      </c>
      <c r="B5510" t="s">
        <v>10106</v>
      </c>
      <c r="C5510" t="s">
        <v>129</v>
      </c>
      <c r="D5510" t="s">
        <v>14</v>
      </c>
      <c r="E5510" t="s">
        <v>202</v>
      </c>
      <c r="F5510" s="2" t="str">
        <f>HYPERLINK("http://www.otzar.org/book.asp?161776","בית ועד לחכמים - 2 כר'")</f>
        <v>בית ועד לחכמים - 2 כר'</v>
      </c>
    </row>
    <row r="5511" spans="1:6" x14ac:dyDescent="0.2">
      <c r="A5511" t="s">
        <v>10098</v>
      </c>
      <c r="B5511" t="s">
        <v>10107</v>
      </c>
      <c r="C5511" t="s">
        <v>395</v>
      </c>
      <c r="D5511" t="s">
        <v>379</v>
      </c>
      <c r="E5511" t="s">
        <v>158</v>
      </c>
      <c r="F5511" s="2" t="str">
        <f>HYPERLINK("http://www.otzar.org/book.asp?300641","בית ועד לחכמים")</f>
        <v>בית ועד לחכמים</v>
      </c>
    </row>
    <row r="5512" spans="1:6" x14ac:dyDescent="0.2">
      <c r="A5512" t="s">
        <v>10098</v>
      </c>
      <c r="B5512" t="s">
        <v>10108</v>
      </c>
      <c r="C5512" t="s">
        <v>496</v>
      </c>
      <c r="D5512" t="s">
        <v>10109</v>
      </c>
      <c r="E5512" t="s">
        <v>202</v>
      </c>
      <c r="F5512" s="2" t="str">
        <f>HYPERLINK("http://www.otzar.org/book.asp?17287","בית ועד לחכמים")</f>
        <v>בית ועד לחכמים</v>
      </c>
    </row>
    <row r="5513" spans="1:6" x14ac:dyDescent="0.2">
      <c r="A5513" t="s">
        <v>10110</v>
      </c>
      <c r="B5513" t="s">
        <v>5797</v>
      </c>
      <c r="C5513" t="s">
        <v>20</v>
      </c>
      <c r="D5513" t="s">
        <v>5798</v>
      </c>
      <c r="E5513" t="s">
        <v>148</v>
      </c>
      <c r="F5513" s="2" t="str">
        <f>HYPERLINK("http://www.otzar.org/book.asp?145365","בית ועד לתורה - 3 כר'")</f>
        <v>בית ועד לתורה - 3 כר'</v>
      </c>
    </row>
    <row r="5514" spans="1:6" x14ac:dyDescent="0.2">
      <c r="A5514" t="s">
        <v>10111</v>
      </c>
      <c r="B5514" t="s">
        <v>10112</v>
      </c>
      <c r="C5514" t="s">
        <v>2227</v>
      </c>
      <c r="D5514" t="s">
        <v>56</v>
      </c>
      <c r="E5514" t="s">
        <v>2463</v>
      </c>
      <c r="F5514" s="2" t="str">
        <f>HYPERLINK("http://www.otzar.org/book.asp?17286","בית ועד")</f>
        <v>בית ועד</v>
      </c>
    </row>
    <row r="5515" spans="1:6" x14ac:dyDescent="0.2">
      <c r="A5515" t="s">
        <v>10113</v>
      </c>
      <c r="B5515" t="s">
        <v>10114</v>
      </c>
      <c r="C5515" t="s">
        <v>624</v>
      </c>
      <c r="D5515" t="s">
        <v>14</v>
      </c>
      <c r="E5515" t="s">
        <v>202</v>
      </c>
      <c r="F5515" s="2" t="str">
        <f>HYPERLINK("http://www.otzar.org/book.asp?21963","בית ועד - 2 כר'")</f>
        <v>בית ועד - 2 כר'</v>
      </c>
    </row>
    <row r="5516" spans="1:6" x14ac:dyDescent="0.2">
      <c r="A5516" t="s">
        <v>10115</v>
      </c>
      <c r="B5516" t="s">
        <v>10116</v>
      </c>
      <c r="C5516" t="s">
        <v>466</v>
      </c>
      <c r="D5516" t="s">
        <v>14</v>
      </c>
      <c r="E5516" t="s">
        <v>750</v>
      </c>
      <c r="F5516" s="2" t="str">
        <f>HYPERLINK("http://www.otzar.org/book.asp?158679","בית ועד - 13 כר'")</f>
        <v>בית ועד - 13 כר'</v>
      </c>
    </row>
    <row r="5517" spans="1:6" x14ac:dyDescent="0.2">
      <c r="A5517" t="s">
        <v>10117</v>
      </c>
      <c r="B5517" t="s">
        <v>1918</v>
      </c>
      <c r="C5517" t="s">
        <v>103</v>
      </c>
      <c r="D5517" t="s">
        <v>423</v>
      </c>
      <c r="E5517" t="s">
        <v>104</v>
      </c>
      <c r="F5517" s="2" t="str">
        <f>HYPERLINK("http://www.otzar.org/book.asp?158833","בית ועד - משלי א-ו")</f>
        <v>בית ועד - משלי א-ו</v>
      </c>
    </row>
    <row r="5518" spans="1:6" x14ac:dyDescent="0.2">
      <c r="A5518" t="s">
        <v>10118</v>
      </c>
      <c r="B5518" t="s">
        <v>10119</v>
      </c>
      <c r="C5518" t="s">
        <v>10120</v>
      </c>
      <c r="D5518" t="s">
        <v>27</v>
      </c>
      <c r="E5518" t="s">
        <v>154</v>
      </c>
      <c r="F5518" s="2" t="str">
        <f>HYPERLINK("http://www.otzar.org/book.asp?101150","בית זבול - 6 כר'")</f>
        <v>בית זבול - 6 כר'</v>
      </c>
    </row>
    <row r="5519" spans="1:6" x14ac:dyDescent="0.2">
      <c r="A5519" t="s">
        <v>10121</v>
      </c>
      <c r="B5519" t="s">
        <v>3027</v>
      </c>
      <c r="C5519" t="s">
        <v>87</v>
      </c>
      <c r="D5519" t="s">
        <v>14</v>
      </c>
      <c r="F5519" s="2" t="str">
        <f>HYPERLINK("http://www.otzar.org/book.asp?152954","בית זבידה")</f>
        <v>בית זבידה</v>
      </c>
    </row>
    <row r="5520" spans="1:6" x14ac:dyDescent="0.2">
      <c r="A5520" t="s">
        <v>10122</v>
      </c>
      <c r="B5520" t="s">
        <v>732</v>
      </c>
      <c r="C5520" t="s">
        <v>506</v>
      </c>
      <c r="D5520" t="s">
        <v>14</v>
      </c>
      <c r="E5520" t="s">
        <v>119</v>
      </c>
      <c r="F5520" s="2" t="str">
        <f>HYPERLINK("http://www.otzar.org/book.asp?188630","בית זקנים וזקנות הכללי")</f>
        <v>בית זקנים וזקנות הכללי</v>
      </c>
    </row>
    <row r="5521" spans="1:6" x14ac:dyDescent="0.2">
      <c r="A5521" t="s">
        <v>10123</v>
      </c>
      <c r="B5521" t="s">
        <v>3386</v>
      </c>
      <c r="C5521" t="s">
        <v>1524</v>
      </c>
      <c r="D5521" t="s">
        <v>4364</v>
      </c>
      <c r="E5521" t="s">
        <v>154</v>
      </c>
      <c r="F5521" s="2" t="str">
        <f>HYPERLINK("http://www.otzar.org/book.asp?5527","בית חדש החדשות")</f>
        <v>בית חדש החדשות</v>
      </c>
    </row>
    <row r="5522" spans="1:6" x14ac:dyDescent="0.2">
      <c r="A5522" t="s">
        <v>10124</v>
      </c>
      <c r="B5522" t="s">
        <v>10125</v>
      </c>
      <c r="C5522" t="s">
        <v>2289</v>
      </c>
      <c r="D5522" t="s">
        <v>1516</v>
      </c>
      <c r="E5522" t="s">
        <v>246</v>
      </c>
      <c r="F5522" s="2" t="str">
        <f>HYPERLINK("http://www.otzar.org/book.asp?615514","בית חורין - 2 כר'")</f>
        <v>בית חורין - 2 כר'</v>
      </c>
    </row>
    <row r="5523" spans="1:6" x14ac:dyDescent="0.2">
      <c r="A5523" t="s">
        <v>10126</v>
      </c>
      <c r="B5523" t="s">
        <v>10127</v>
      </c>
      <c r="C5523" t="s">
        <v>51</v>
      </c>
      <c r="D5523" t="s">
        <v>52</v>
      </c>
      <c r="E5523" t="s">
        <v>241</v>
      </c>
      <c r="F5523" s="2" t="str">
        <f>HYPERLINK("http://www.otzar.org/book.asp?153850","בית חיינו - 6 כר'")</f>
        <v>בית חיינו - 6 כר'</v>
      </c>
    </row>
    <row r="5524" spans="1:6" x14ac:dyDescent="0.2">
      <c r="A5524" t="s">
        <v>10128</v>
      </c>
      <c r="B5524" t="s">
        <v>10129</v>
      </c>
      <c r="C5524" t="s">
        <v>13</v>
      </c>
      <c r="D5524" t="s">
        <v>14</v>
      </c>
      <c r="E5524" t="s">
        <v>384</v>
      </c>
      <c r="F5524" s="2" t="str">
        <f>HYPERLINK("http://www.otzar.org/book.asp?154495","בית חיינו - קובץ בעיניני ירושלים והמקדש")</f>
        <v>בית חיינו - קובץ בעיניני ירושלים והמקדש</v>
      </c>
    </row>
    <row r="5525" spans="1:6" x14ac:dyDescent="0.2">
      <c r="A5525" t="s">
        <v>10130</v>
      </c>
      <c r="B5525" t="s">
        <v>3718</v>
      </c>
      <c r="C5525" t="s">
        <v>180</v>
      </c>
      <c r="D5525" t="s">
        <v>52</v>
      </c>
      <c r="E5525" t="s">
        <v>202</v>
      </c>
      <c r="F5525" s="2" t="str">
        <f>HYPERLINK("http://www.otzar.org/book.asp?171040","בית חיינו - 3 כר'")</f>
        <v>בית חיינו - 3 כר'</v>
      </c>
    </row>
    <row r="5526" spans="1:6" x14ac:dyDescent="0.2">
      <c r="A5526" t="s">
        <v>10131</v>
      </c>
      <c r="B5526" t="s">
        <v>10132</v>
      </c>
      <c r="C5526" t="s">
        <v>23</v>
      </c>
      <c r="D5526" t="s">
        <v>52</v>
      </c>
      <c r="E5526" t="s">
        <v>104</v>
      </c>
      <c r="F5526" s="2" t="str">
        <f>HYPERLINK("http://www.otzar.org/book.asp?198738","בית חיינו")</f>
        <v>בית חיינו</v>
      </c>
    </row>
    <row r="5527" spans="1:6" x14ac:dyDescent="0.2">
      <c r="A5527" t="s">
        <v>10133</v>
      </c>
      <c r="B5527" t="s">
        <v>10055</v>
      </c>
      <c r="C5527" t="s">
        <v>5823</v>
      </c>
      <c r="D5527" t="s">
        <v>352</v>
      </c>
      <c r="E5527" t="s">
        <v>158</v>
      </c>
      <c r="F5527" s="2" t="str">
        <f>HYPERLINK("http://www.otzar.org/book.asp?24066","בית חכמה")</f>
        <v>בית חכמה</v>
      </c>
    </row>
    <row r="5528" spans="1:6" x14ac:dyDescent="0.2">
      <c r="A5528" t="s">
        <v>10134</v>
      </c>
      <c r="B5528" t="s">
        <v>941</v>
      </c>
      <c r="C5528" t="s">
        <v>114</v>
      </c>
      <c r="D5528" t="s">
        <v>14</v>
      </c>
      <c r="E5528" t="s">
        <v>15</v>
      </c>
      <c r="F5528" s="2" t="str">
        <f>HYPERLINK("http://www.otzar.org/book.asp?169388","בית חתנים - 2 כר'")</f>
        <v>בית חתנים - 2 כר'</v>
      </c>
    </row>
    <row r="5529" spans="1:6" x14ac:dyDescent="0.2">
      <c r="A5529" t="s">
        <v>10135</v>
      </c>
      <c r="B5529" t="s">
        <v>9963</v>
      </c>
      <c r="C5529" t="s">
        <v>558</v>
      </c>
      <c r="D5529" t="s">
        <v>27</v>
      </c>
      <c r="E5529" t="s">
        <v>15</v>
      </c>
      <c r="F5529" s="2" t="str">
        <f>HYPERLINK("http://www.otzar.org/book.asp?104298","בית יד")</f>
        <v>בית יד</v>
      </c>
    </row>
    <row r="5530" spans="1:6" x14ac:dyDescent="0.2">
      <c r="A5530" t="s">
        <v>10136</v>
      </c>
      <c r="B5530" t="s">
        <v>2063</v>
      </c>
      <c r="C5530" t="s">
        <v>10137</v>
      </c>
      <c r="D5530" t="s">
        <v>225</v>
      </c>
      <c r="E5530" t="s">
        <v>154</v>
      </c>
      <c r="F5530" s="2" t="str">
        <f>HYPERLINK("http://www.otzar.org/book.asp?147181","בית ידידיה - 2 כר'")</f>
        <v>בית ידידיה - 2 כר'</v>
      </c>
    </row>
    <row r="5531" spans="1:6" x14ac:dyDescent="0.2">
      <c r="A5531" t="s">
        <v>10138</v>
      </c>
      <c r="B5531" t="s">
        <v>10139</v>
      </c>
      <c r="C5531" t="s">
        <v>1310</v>
      </c>
      <c r="D5531" t="s">
        <v>1279</v>
      </c>
      <c r="E5531" t="s">
        <v>5712</v>
      </c>
      <c r="F5531" s="2" t="str">
        <f>HYPERLINK("http://www.otzar.org/book.asp?300451","בית יהודא וישראל")</f>
        <v>בית יהודא וישראל</v>
      </c>
    </row>
    <row r="5532" spans="1:6" x14ac:dyDescent="0.2">
      <c r="A5532" t="s">
        <v>10140</v>
      </c>
      <c r="B5532" t="s">
        <v>10141</v>
      </c>
      <c r="C5532" t="s">
        <v>1208</v>
      </c>
      <c r="D5532" t="s">
        <v>14</v>
      </c>
      <c r="E5532" t="s">
        <v>144</v>
      </c>
      <c r="F5532" s="2" t="str">
        <f>HYPERLINK("http://www.otzar.org/book.asp?627156","בית יהודה (חידושי מהריב""ן) - 3 כר'")</f>
        <v>בית יהודה (חידושי מהריב"ן) - 3 כר'</v>
      </c>
    </row>
    <row r="5533" spans="1:6" x14ac:dyDescent="0.2">
      <c r="A5533" t="s">
        <v>10142</v>
      </c>
      <c r="B5533" t="s">
        <v>10143</v>
      </c>
      <c r="C5533" t="s">
        <v>156</v>
      </c>
      <c r="D5533" t="s">
        <v>56</v>
      </c>
      <c r="E5533" t="s">
        <v>154</v>
      </c>
      <c r="F5533" s="2" t="str">
        <f>HYPERLINK("http://www.otzar.org/book.asp?17293","בית יהודה")</f>
        <v>בית יהודה</v>
      </c>
    </row>
    <row r="5534" spans="1:6" x14ac:dyDescent="0.2">
      <c r="A5534" t="s">
        <v>10144</v>
      </c>
      <c r="B5534" t="s">
        <v>10145</v>
      </c>
      <c r="C5534" t="s">
        <v>244</v>
      </c>
      <c r="D5534" t="s">
        <v>52</v>
      </c>
      <c r="F5534" s="2" t="str">
        <f>HYPERLINK("http://www.otzar.org/book.asp?617244","בית יהודה - 2 כר'")</f>
        <v>בית יהודה - 2 כר'</v>
      </c>
    </row>
    <row r="5535" spans="1:6" x14ac:dyDescent="0.2">
      <c r="A5535" t="s">
        <v>10142</v>
      </c>
      <c r="B5535" t="s">
        <v>10146</v>
      </c>
      <c r="C5535" t="s">
        <v>492</v>
      </c>
      <c r="D5535" t="s">
        <v>379</v>
      </c>
      <c r="E5535" t="s">
        <v>144</v>
      </c>
      <c r="F5535" s="2" t="str">
        <f>HYPERLINK("http://www.otzar.org/book.asp?300447","בית יהודה")</f>
        <v>בית יהודה</v>
      </c>
    </row>
    <row r="5536" spans="1:6" x14ac:dyDescent="0.2">
      <c r="A5536" t="s">
        <v>10147</v>
      </c>
      <c r="B5536" t="s">
        <v>2320</v>
      </c>
      <c r="C5536" t="s">
        <v>8</v>
      </c>
      <c r="D5536" t="s">
        <v>2321</v>
      </c>
      <c r="E5536" t="s">
        <v>463</v>
      </c>
      <c r="F5536" s="2" t="str">
        <f>HYPERLINK("http://www.otzar.org/book.asp?197034","בית יהודה - א")</f>
        <v>בית יהודה - א</v>
      </c>
    </row>
    <row r="5537" spans="1:6" x14ac:dyDescent="0.2">
      <c r="A5537" t="s">
        <v>10144</v>
      </c>
      <c r="B5537" t="s">
        <v>10141</v>
      </c>
      <c r="C5537" t="s">
        <v>10148</v>
      </c>
      <c r="D5537" t="s">
        <v>5665</v>
      </c>
      <c r="E5537" t="s">
        <v>144</v>
      </c>
      <c r="F5537" s="2" t="str">
        <f>HYPERLINK("http://www.otzar.org/book.asp?172695","בית יהודה - 2 כר'")</f>
        <v>בית יהודה - 2 כר'</v>
      </c>
    </row>
    <row r="5538" spans="1:6" x14ac:dyDescent="0.2">
      <c r="A5538" t="s">
        <v>10142</v>
      </c>
      <c r="B5538" t="s">
        <v>10149</v>
      </c>
      <c r="C5538" t="s">
        <v>129</v>
      </c>
      <c r="D5538" t="s">
        <v>1550</v>
      </c>
      <c r="E5538" t="s">
        <v>674</v>
      </c>
      <c r="F5538" s="2" t="str">
        <f>HYPERLINK("http://www.otzar.org/book.asp?60046","בית יהודה")</f>
        <v>בית יהודה</v>
      </c>
    </row>
    <row r="5539" spans="1:6" x14ac:dyDescent="0.2">
      <c r="A5539" t="s">
        <v>10142</v>
      </c>
      <c r="B5539" t="s">
        <v>10150</v>
      </c>
      <c r="C5539" t="s">
        <v>334</v>
      </c>
      <c r="D5539" t="s">
        <v>52</v>
      </c>
      <c r="E5539" t="s">
        <v>202</v>
      </c>
      <c r="F5539" s="2" t="str">
        <f>HYPERLINK("http://www.otzar.org/book.asp?602468","בית יהודה")</f>
        <v>בית יהודה</v>
      </c>
    </row>
    <row r="5540" spans="1:6" x14ac:dyDescent="0.2">
      <c r="A5540" t="s">
        <v>10151</v>
      </c>
      <c r="B5540" t="s">
        <v>10152</v>
      </c>
      <c r="C5540" t="s">
        <v>5991</v>
      </c>
      <c r="D5540" t="s">
        <v>1279</v>
      </c>
      <c r="E5540" t="s">
        <v>325</v>
      </c>
      <c r="F5540" s="2" t="str">
        <f>HYPERLINK("http://www.otzar.org/book.asp?17294","בית יהודה - א,ב,ג")</f>
        <v>בית יהודה - א,ב,ג</v>
      </c>
    </row>
    <row r="5541" spans="1:6" x14ac:dyDescent="0.2">
      <c r="A5541" t="s">
        <v>10144</v>
      </c>
      <c r="B5541" t="s">
        <v>1387</v>
      </c>
      <c r="C5541" t="s">
        <v>10153</v>
      </c>
      <c r="D5541" t="s">
        <v>49</v>
      </c>
      <c r="E5541" t="s">
        <v>3363</v>
      </c>
      <c r="F5541" s="2" t="str">
        <f>HYPERLINK("http://www.otzar.org/book.asp?188736","בית יהודה - 2 כר'")</f>
        <v>בית יהודה - 2 כר'</v>
      </c>
    </row>
    <row r="5542" spans="1:6" x14ac:dyDescent="0.2">
      <c r="A5542" t="s">
        <v>10142</v>
      </c>
      <c r="B5542" t="s">
        <v>10154</v>
      </c>
      <c r="C5542" t="s">
        <v>10155</v>
      </c>
      <c r="D5542" t="s">
        <v>212</v>
      </c>
      <c r="E5542" t="s">
        <v>154</v>
      </c>
      <c r="F5542" s="2" t="str">
        <f>HYPERLINK("http://www.otzar.org/book.asp?805","בית יהודה")</f>
        <v>בית יהודה</v>
      </c>
    </row>
    <row r="5543" spans="1:6" x14ac:dyDescent="0.2">
      <c r="A5543" t="s">
        <v>10142</v>
      </c>
      <c r="B5543" t="s">
        <v>10156</v>
      </c>
      <c r="C5543" t="s">
        <v>445</v>
      </c>
      <c r="D5543" t="s">
        <v>691</v>
      </c>
      <c r="E5543" t="s">
        <v>2088</v>
      </c>
      <c r="F5543" s="2" t="str">
        <f>HYPERLINK("http://www.otzar.org/book.asp?104902","בית יהודה")</f>
        <v>בית יהודה</v>
      </c>
    </row>
    <row r="5544" spans="1:6" x14ac:dyDescent="0.2">
      <c r="A5544" t="s">
        <v>10142</v>
      </c>
      <c r="B5544" t="s">
        <v>10157</v>
      </c>
      <c r="C5544" t="s">
        <v>748</v>
      </c>
      <c r="D5544" t="s">
        <v>283</v>
      </c>
      <c r="E5544" t="s">
        <v>158</v>
      </c>
      <c r="F5544" s="2" t="str">
        <f>HYPERLINK("http://www.otzar.org/book.asp?17292","בית יהודה")</f>
        <v>בית יהודה</v>
      </c>
    </row>
    <row r="5545" spans="1:6" x14ac:dyDescent="0.2">
      <c r="A5545" t="s">
        <v>10144</v>
      </c>
      <c r="B5545" t="s">
        <v>10158</v>
      </c>
      <c r="C5545" t="s">
        <v>4354</v>
      </c>
      <c r="D5545" t="s">
        <v>1538</v>
      </c>
      <c r="E5545" t="s">
        <v>10159</v>
      </c>
      <c r="F5545" s="2" t="str">
        <f>HYPERLINK("http://www.otzar.org/book.asp?300473","בית יהודה - 2 כר'")</f>
        <v>בית יהודה - 2 כר'</v>
      </c>
    </row>
    <row r="5546" spans="1:6" x14ac:dyDescent="0.2">
      <c r="A5546" t="s">
        <v>10142</v>
      </c>
      <c r="B5546" t="s">
        <v>10160</v>
      </c>
      <c r="C5546" t="s">
        <v>473</v>
      </c>
      <c r="D5546" t="s">
        <v>9</v>
      </c>
      <c r="E5546" t="s">
        <v>219</v>
      </c>
      <c r="F5546" s="2" t="str">
        <f>HYPERLINK("http://www.otzar.org/book.asp?50856","בית יהודה")</f>
        <v>בית יהודה</v>
      </c>
    </row>
    <row r="5547" spans="1:6" x14ac:dyDescent="0.2">
      <c r="A5547" t="s">
        <v>10161</v>
      </c>
      <c r="B5547" t="s">
        <v>801</v>
      </c>
      <c r="C5547" t="s">
        <v>854</v>
      </c>
      <c r="D5547" t="s">
        <v>283</v>
      </c>
      <c r="E5547" t="s">
        <v>10162</v>
      </c>
      <c r="F5547" s="2" t="str">
        <f>HYPERLINK("http://www.otzar.org/book.asp?17296","בית יהושע - 2 כר'")</f>
        <v>בית יהושע - 2 כר'</v>
      </c>
    </row>
    <row r="5548" spans="1:6" x14ac:dyDescent="0.2">
      <c r="A5548" t="s">
        <v>10163</v>
      </c>
      <c r="B5548" t="s">
        <v>10164</v>
      </c>
      <c r="C5548" t="s">
        <v>10165</v>
      </c>
      <c r="D5548" t="s">
        <v>27</v>
      </c>
      <c r="E5548" t="s">
        <v>1072</v>
      </c>
      <c r="F5548" s="2" t="str">
        <f>HYPERLINK("http://www.otzar.org/book.asp?100125","בית יוסף חדש")</f>
        <v>בית יוסף חדש</v>
      </c>
    </row>
    <row r="5549" spans="1:6" x14ac:dyDescent="0.2">
      <c r="A5549" t="s">
        <v>10166</v>
      </c>
      <c r="B5549" t="s">
        <v>10167</v>
      </c>
      <c r="C5549" t="s">
        <v>523</v>
      </c>
      <c r="D5549" t="s">
        <v>27</v>
      </c>
      <c r="E5549" t="s">
        <v>119</v>
      </c>
      <c r="F5549" s="2" t="str">
        <f>HYPERLINK("http://www.otzar.org/book.asp?151781","בית יוסף להבה - תולדות מהרי""ץ א")</f>
        <v>בית יוסף להבה - תולדות מהרי"ץ א</v>
      </c>
    </row>
    <row r="5550" spans="1:6" x14ac:dyDescent="0.2">
      <c r="A5550" t="s">
        <v>10168</v>
      </c>
      <c r="B5550" t="s">
        <v>10169</v>
      </c>
      <c r="C5550" t="s">
        <v>313</v>
      </c>
      <c r="D5550" t="s">
        <v>52</v>
      </c>
      <c r="E5550" t="s">
        <v>119</v>
      </c>
      <c r="F5550" s="2" t="str">
        <f>HYPERLINK("http://www.otzar.org/book.asp?85835","בית יוסף להבה")</f>
        <v>בית יוסף להבה</v>
      </c>
    </row>
    <row r="5551" spans="1:6" x14ac:dyDescent="0.2">
      <c r="A5551" t="s">
        <v>10170</v>
      </c>
      <c r="B5551" t="s">
        <v>10171</v>
      </c>
      <c r="C5551" t="s">
        <v>10172</v>
      </c>
      <c r="D5551" t="s">
        <v>280</v>
      </c>
      <c r="E5551" t="s">
        <v>144</v>
      </c>
      <c r="F5551" s="2" t="str">
        <f>HYPERLINK("http://www.otzar.org/book.asp?11611","בית יוסף צבי - 3 כר'")</f>
        <v>בית יוסף צבי - 3 כר'</v>
      </c>
    </row>
    <row r="5552" spans="1:6" x14ac:dyDescent="0.2">
      <c r="A5552" t="s">
        <v>10173</v>
      </c>
      <c r="B5552" t="s">
        <v>10174</v>
      </c>
      <c r="C5552" t="s">
        <v>10175</v>
      </c>
      <c r="D5552" t="s">
        <v>1100</v>
      </c>
      <c r="E5552" t="s">
        <v>144</v>
      </c>
      <c r="F5552" s="2" t="str">
        <f>HYPERLINK("http://www.otzar.org/book.asp?5607","בית יוסף - 2 כר'")</f>
        <v>בית יוסף - 2 כר'</v>
      </c>
    </row>
    <row r="5553" spans="1:6" x14ac:dyDescent="0.2">
      <c r="A5553" t="s">
        <v>10176</v>
      </c>
      <c r="B5553" t="s">
        <v>10177</v>
      </c>
      <c r="C5553" t="s">
        <v>581</v>
      </c>
      <c r="D5553" t="s">
        <v>225</v>
      </c>
      <c r="E5553" t="s">
        <v>10178</v>
      </c>
      <c r="F5553" s="2" t="str">
        <f>HYPERLINK("http://www.otzar.org/book.asp?14150","בית יחזקאל")</f>
        <v>בית יחזקאל</v>
      </c>
    </row>
    <row r="5554" spans="1:6" x14ac:dyDescent="0.2">
      <c r="A5554" t="s">
        <v>10179</v>
      </c>
      <c r="B5554" t="s">
        <v>4064</v>
      </c>
      <c r="C5554" t="s">
        <v>176</v>
      </c>
      <c r="D5554" t="s">
        <v>14</v>
      </c>
      <c r="E5554" t="s">
        <v>144</v>
      </c>
      <c r="F5554" s="2" t="str">
        <f>HYPERLINK("http://www.otzar.org/book.asp?50266","בית יחזקאל - 5 כר'")</f>
        <v>בית יחזקאל - 5 כר'</v>
      </c>
    </row>
    <row r="5555" spans="1:6" x14ac:dyDescent="0.2">
      <c r="A5555" t="s">
        <v>10180</v>
      </c>
      <c r="B5555" t="s">
        <v>10181</v>
      </c>
      <c r="C5555" t="s">
        <v>989</v>
      </c>
      <c r="D5555" t="s">
        <v>52</v>
      </c>
      <c r="E5555" t="s">
        <v>714</v>
      </c>
      <c r="F5555" s="2" t="str">
        <f>HYPERLINK("http://www.otzar.org/book.asp?22036","בית יחזקאל - 2 כר'")</f>
        <v>בית יחזקאל - 2 כר'</v>
      </c>
    </row>
    <row r="5556" spans="1:6" x14ac:dyDescent="0.2">
      <c r="A5556" t="s">
        <v>10182</v>
      </c>
      <c r="B5556" t="s">
        <v>10183</v>
      </c>
      <c r="C5556" t="s">
        <v>454</v>
      </c>
      <c r="D5556" t="s">
        <v>14</v>
      </c>
      <c r="E5556" t="s">
        <v>2338</v>
      </c>
      <c r="F5556" s="2" t="str">
        <f>HYPERLINK("http://www.otzar.org/book.asp?141986","בית יחיאל - 17 כר'")</f>
        <v>בית יחיאל - 17 כר'</v>
      </c>
    </row>
    <row r="5557" spans="1:6" x14ac:dyDescent="0.2">
      <c r="A5557" t="s">
        <v>10184</v>
      </c>
      <c r="B5557" t="s">
        <v>10185</v>
      </c>
      <c r="C5557" t="s">
        <v>103</v>
      </c>
      <c r="D5557" t="s">
        <v>412</v>
      </c>
      <c r="F5557" s="2" t="str">
        <f>HYPERLINK("http://www.otzar.org/book.asp?180903","בית יעקב &lt;מהדורה חדשה&gt; - תולדות הצדיקים")</f>
        <v>בית יעקב &lt;מהדורה חדשה&gt; - תולדות הצדיקים</v>
      </c>
    </row>
    <row r="5558" spans="1:6" x14ac:dyDescent="0.2">
      <c r="A5558" t="s">
        <v>10186</v>
      </c>
      <c r="B5558" t="s">
        <v>10187</v>
      </c>
      <c r="C5558" t="s">
        <v>37</v>
      </c>
      <c r="D5558" t="s">
        <v>3744</v>
      </c>
      <c r="F5558" s="2" t="str">
        <f>HYPERLINK("http://www.otzar.org/book.asp?610714","בית יעקב &lt;מהדורה חדשה&gt;")</f>
        <v>בית יעקב &lt;מהדורה חדשה&gt;</v>
      </c>
    </row>
    <row r="5559" spans="1:6" x14ac:dyDescent="0.2">
      <c r="A5559" t="s">
        <v>10188</v>
      </c>
      <c r="B5559" t="s">
        <v>6496</v>
      </c>
      <c r="C5559" t="s">
        <v>2465</v>
      </c>
      <c r="D5559" t="s">
        <v>10189</v>
      </c>
      <c r="E5559" t="s">
        <v>10190</v>
      </c>
      <c r="F5559" s="2" t="str">
        <f>HYPERLINK("http://www.otzar.org/book.asp?100315","בית יעקב &lt;דפו""ר&gt;")</f>
        <v>בית יעקב &lt;דפו"ר&gt;</v>
      </c>
    </row>
    <row r="5560" spans="1:6" x14ac:dyDescent="0.2">
      <c r="A5560" t="s">
        <v>10191</v>
      </c>
      <c r="B5560" t="s">
        <v>10192</v>
      </c>
      <c r="C5560" t="s">
        <v>4087</v>
      </c>
      <c r="D5560" t="s">
        <v>1833</v>
      </c>
      <c r="E5560" t="s">
        <v>158</v>
      </c>
      <c r="F5560" s="2" t="str">
        <f>HYPERLINK("http://www.otzar.org/book.asp?24073","בית יעקב אש &lt;ביאור איוב&gt;")</f>
        <v>בית יעקב אש &lt;ביאור איוב&gt;</v>
      </c>
    </row>
    <row r="5561" spans="1:6" x14ac:dyDescent="0.2">
      <c r="A5561" t="s">
        <v>10193</v>
      </c>
      <c r="B5561" t="s">
        <v>10194</v>
      </c>
      <c r="C5561" t="s">
        <v>1169</v>
      </c>
      <c r="D5561" t="s">
        <v>9</v>
      </c>
      <c r="E5561" t="s">
        <v>172</v>
      </c>
      <c r="F5561" s="2" t="str">
        <f>HYPERLINK("http://www.otzar.org/book.asp?11479","בית יעקב מחצית השקל")</f>
        <v>בית יעקב מחצית השקל</v>
      </c>
    </row>
    <row r="5562" spans="1:6" x14ac:dyDescent="0.2">
      <c r="A5562" t="s">
        <v>10195</v>
      </c>
      <c r="B5562" t="s">
        <v>10196</v>
      </c>
      <c r="C5562" t="s">
        <v>1981</v>
      </c>
      <c r="D5562" t="s">
        <v>10197</v>
      </c>
      <c r="E5562" t="s">
        <v>158</v>
      </c>
      <c r="F5562" s="2" t="str">
        <f>HYPERLINK("http://www.otzar.org/book.asp?83595","בית יעקב שנקרא מליץ ישר")</f>
        <v>בית יעקב שנקרא מליץ ישר</v>
      </c>
    </row>
    <row r="5563" spans="1:6" x14ac:dyDescent="0.2">
      <c r="A5563" t="s">
        <v>10198</v>
      </c>
      <c r="B5563" t="s">
        <v>8205</v>
      </c>
      <c r="C5563" t="s">
        <v>237</v>
      </c>
      <c r="D5563" t="s">
        <v>216</v>
      </c>
      <c r="E5563" t="s">
        <v>202</v>
      </c>
      <c r="F5563" s="2" t="str">
        <f>HYPERLINK("http://www.otzar.org/book.asp?169112","בית יעקב")</f>
        <v>בית יעקב</v>
      </c>
    </row>
    <row r="5564" spans="1:6" x14ac:dyDescent="0.2">
      <c r="A5564" t="s">
        <v>10198</v>
      </c>
      <c r="B5564" t="s">
        <v>10199</v>
      </c>
      <c r="C5564" t="s">
        <v>1954</v>
      </c>
      <c r="D5564" t="s">
        <v>216</v>
      </c>
      <c r="E5564" t="s">
        <v>15</v>
      </c>
      <c r="F5564" s="2" t="str">
        <f>HYPERLINK("http://www.otzar.org/book.asp?158150","בית יעקב")</f>
        <v>בית יעקב</v>
      </c>
    </row>
    <row r="5565" spans="1:6" x14ac:dyDescent="0.2">
      <c r="A5565" t="s">
        <v>10198</v>
      </c>
      <c r="B5565" t="s">
        <v>10198</v>
      </c>
      <c r="C5565" t="s">
        <v>985</v>
      </c>
      <c r="D5565" t="s">
        <v>27</v>
      </c>
      <c r="E5565" t="s">
        <v>202</v>
      </c>
      <c r="F5565" s="2" t="str">
        <f>HYPERLINK("http://www.otzar.org/book.asp?300610","בית יעקב")</f>
        <v>בית יעקב</v>
      </c>
    </row>
    <row r="5566" spans="1:6" x14ac:dyDescent="0.2">
      <c r="A5566" t="s">
        <v>10198</v>
      </c>
      <c r="B5566" t="s">
        <v>10200</v>
      </c>
      <c r="C5566" t="s">
        <v>5823</v>
      </c>
      <c r="D5566" t="s">
        <v>889</v>
      </c>
      <c r="E5566" t="s">
        <v>4800</v>
      </c>
      <c r="F5566" s="2" t="str">
        <f>HYPERLINK("http://www.otzar.org/book.asp?300475","בית יעקב")</f>
        <v>בית יעקב</v>
      </c>
    </row>
    <row r="5567" spans="1:6" x14ac:dyDescent="0.2">
      <c r="A5567" t="s">
        <v>10198</v>
      </c>
      <c r="B5567" t="s">
        <v>10201</v>
      </c>
      <c r="C5567" t="s">
        <v>503</v>
      </c>
      <c r="D5567" t="s">
        <v>27</v>
      </c>
      <c r="E5567" t="s">
        <v>10202</v>
      </c>
      <c r="F5567" s="2" t="str">
        <f>HYPERLINK("http://www.otzar.org/book.asp?104361","בית יעקב")</f>
        <v>בית יעקב</v>
      </c>
    </row>
    <row r="5568" spans="1:6" x14ac:dyDescent="0.2">
      <c r="A5568" t="s">
        <v>10203</v>
      </c>
      <c r="B5568" t="s">
        <v>10185</v>
      </c>
      <c r="C5568" t="s">
        <v>313</v>
      </c>
      <c r="D5568" t="s">
        <v>412</v>
      </c>
      <c r="E5568" t="s">
        <v>158</v>
      </c>
      <c r="F5568" s="2" t="str">
        <f>HYPERLINK("http://www.otzar.org/book.asp?23799","בית יעקב - 2 כר'")</f>
        <v>בית יעקב - 2 כר'</v>
      </c>
    </row>
    <row r="5569" spans="1:6" x14ac:dyDescent="0.2">
      <c r="A5569" t="s">
        <v>10198</v>
      </c>
      <c r="B5569" t="s">
        <v>5009</v>
      </c>
      <c r="C5569" t="s">
        <v>156</v>
      </c>
      <c r="D5569" t="s">
        <v>1023</v>
      </c>
      <c r="E5569" t="s">
        <v>144</v>
      </c>
      <c r="F5569" s="2" t="str">
        <f>HYPERLINK("http://www.otzar.org/book.asp?300448","בית יעקב")</f>
        <v>בית יעקב</v>
      </c>
    </row>
    <row r="5570" spans="1:6" x14ac:dyDescent="0.2">
      <c r="A5570" t="s">
        <v>10204</v>
      </c>
      <c r="B5570" t="s">
        <v>10205</v>
      </c>
      <c r="C5570" t="s">
        <v>1844</v>
      </c>
      <c r="D5570" t="s">
        <v>56</v>
      </c>
      <c r="E5570" t="s">
        <v>5712</v>
      </c>
      <c r="F5570" s="2" t="str">
        <f>HYPERLINK("http://www.otzar.org/book.asp?300476","בית יעקב - א")</f>
        <v>בית יעקב - א</v>
      </c>
    </row>
    <row r="5571" spans="1:6" x14ac:dyDescent="0.2">
      <c r="A5571" t="s">
        <v>10198</v>
      </c>
      <c r="B5571" t="s">
        <v>10206</v>
      </c>
      <c r="C5571" t="s">
        <v>10207</v>
      </c>
      <c r="D5571" t="s">
        <v>1117</v>
      </c>
      <c r="E5571" t="s">
        <v>144</v>
      </c>
      <c r="F5571" s="2" t="str">
        <f>HYPERLINK("http://www.otzar.org/book.asp?100167","בית יעקב")</f>
        <v>בית יעקב</v>
      </c>
    </row>
    <row r="5572" spans="1:6" x14ac:dyDescent="0.2">
      <c r="A5572" t="s">
        <v>10203</v>
      </c>
      <c r="B5572" t="s">
        <v>10208</v>
      </c>
      <c r="C5572" t="s">
        <v>812</v>
      </c>
      <c r="D5572" t="s">
        <v>27</v>
      </c>
      <c r="E5572" t="s">
        <v>246</v>
      </c>
      <c r="F5572" s="2" t="str">
        <f>HYPERLINK("http://www.otzar.org/book.asp?300471","בית יעקב - 2 כר'")</f>
        <v>בית יעקב - 2 כר'</v>
      </c>
    </row>
    <row r="5573" spans="1:6" x14ac:dyDescent="0.2">
      <c r="A5573" t="s">
        <v>10198</v>
      </c>
      <c r="B5573" t="s">
        <v>10209</v>
      </c>
      <c r="C5573" t="s">
        <v>2605</v>
      </c>
      <c r="D5573" t="s">
        <v>5258</v>
      </c>
      <c r="E5573" t="s">
        <v>144</v>
      </c>
      <c r="F5573" s="2" t="str">
        <f>HYPERLINK("http://www.otzar.org/book.asp?6909","בית יעקב")</f>
        <v>בית יעקב</v>
      </c>
    </row>
    <row r="5574" spans="1:6" x14ac:dyDescent="0.2">
      <c r="A5574" t="s">
        <v>10198</v>
      </c>
      <c r="B5574" t="s">
        <v>10210</v>
      </c>
      <c r="C5574" t="s">
        <v>698</v>
      </c>
      <c r="D5574" t="s">
        <v>1889</v>
      </c>
      <c r="E5574" t="s">
        <v>957</v>
      </c>
      <c r="F5574" s="2" t="str">
        <f>HYPERLINK("http://www.otzar.org/book.asp?166288","בית יעקב")</f>
        <v>בית יעקב</v>
      </c>
    </row>
    <row r="5575" spans="1:6" x14ac:dyDescent="0.2">
      <c r="A5575" t="s">
        <v>10198</v>
      </c>
      <c r="B5575" t="s">
        <v>6324</v>
      </c>
      <c r="C5575" t="s">
        <v>558</v>
      </c>
      <c r="D5575" t="s">
        <v>283</v>
      </c>
      <c r="E5575" t="s">
        <v>172</v>
      </c>
      <c r="F5575" s="2" t="str">
        <f>HYPERLINK("http://www.otzar.org/book.asp?17297","בית יעקב")</f>
        <v>בית יעקב</v>
      </c>
    </row>
    <row r="5576" spans="1:6" x14ac:dyDescent="0.2">
      <c r="A5576" t="s">
        <v>10211</v>
      </c>
      <c r="B5576" t="s">
        <v>10212</v>
      </c>
      <c r="C5576" t="s">
        <v>1619</v>
      </c>
      <c r="D5576" t="s">
        <v>21</v>
      </c>
      <c r="E5576" t="s">
        <v>8469</v>
      </c>
      <c r="F5576" s="2" t="str">
        <f>HYPERLINK("http://www.otzar.org/book.asp?604390","בית יעקב  - ב")</f>
        <v>בית יעקב  - ב</v>
      </c>
    </row>
    <row r="5577" spans="1:6" x14ac:dyDescent="0.2">
      <c r="A5577" t="s">
        <v>10198</v>
      </c>
      <c r="B5577" t="s">
        <v>10187</v>
      </c>
      <c r="C5577" t="s">
        <v>492</v>
      </c>
      <c r="D5577" t="s">
        <v>225</v>
      </c>
      <c r="E5577" t="s">
        <v>474</v>
      </c>
      <c r="F5577" s="2" t="str">
        <f>HYPERLINK("http://www.otzar.org/book.asp?102154","בית יעקב")</f>
        <v>בית יעקב</v>
      </c>
    </row>
    <row r="5578" spans="1:6" x14ac:dyDescent="0.2">
      <c r="A5578" t="s">
        <v>10203</v>
      </c>
      <c r="B5578" t="s">
        <v>5792</v>
      </c>
      <c r="C5578" t="s">
        <v>10213</v>
      </c>
      <c r="D5578" t="s">
        <v>225</v>
      </c>
      <c r="E5578" t="s">
        <v>144</v>
      </c>
      <c r="F5578" s="2" t="str">
        <f>HYPERLINK("http://www.otzar.org/book.asp?104899","בית יעקב - 2 כר'")</f>
        <v>בית יעקב - 2 כר'</v>
      </c>
    </row>
    <row r="5579" spans="1:6" x14ac:dyDescent="0.2">
      <c r="A5579" t="s">
        <v>10198</v>
      </c>
      <c r="B5579" t="s">
        <v>10214</v>
      </c>
      <c r="C5579" t="s">
        <v>10215</v>
      </c>
      <c r="D5579" t="s">
        <v>403</v>
      </c>
      <c r="E5579" t="s">
        <v>154</v>
      </c>
      <c r="F5579" s="2" t="str">
        <f>HYPERLINK("http://www.otzar.org/book.asp?10723","בית יעקב")</f>
        <v>בית יעקב</v>
      </c>
    </row>
    <row r="5580" spans="1:6" x14ac:dyDescent="0.2">
      <c r="A5580" t="s">
        <v>10198</v>
      </c>
      <c r="B5580" t="s">
        <v>10216</v>
      </c>
      <c r="C5580" t="s">
        <v>321</v>
      </c>
      <c r="D5580" t="s">
        <v>280</v>
      </c>
      <c r="E5580" t="s">
        <v>714</v>
      </c>
      <c r="F5580" s="2" t="str">
        <f>HYPERLINK("http://www.otzar.org/book.asp?107095","בית יעקב")</f>
        <v>בית יעקב</v>
      </c>
    </row>
    <row r="5581" spans="1:6" x14ac:dyDescent="0.2">
      <c r="A5581" t="s">
        <v>10217</v>
      </c>
      <c r="B5581" t="s">
        <v>10218</v>
      </c>
      <c r="C5581" t="s">
        <v>1169</v>
      </c>
      <c r="D5581" t="s">
        <v>14</v>
      </c>
      <c r="E5581" t="s">
        <v>202</v>
      </c>
      <c r="F5581" s="2" t="str">
        <f>HYPERLINK("http://www.otzar.org/book.asp?157413","בית יעקב - 164 כר'")</f>
        <v>בית יעקב - 164 כר'</v>
      </c>
    </row>
    <row r="5582" spans="1:6" x14ac:dyDescent="0.2">
      <c r="A5582" t="s">
        <v>10198</v>
      </c>
      <c r="B5582" t="s">
        <v>10219</v>
      </c>
      <c r="C5582" t="s">
        <v>4266</v>
      </c>
      <c r="D5582" t="s">
        <v>212</v>
      </c>
      <c r="E5582" t="s">
        <v>579</v>
      </c>
      <c r="F5582" s="2" t="str">
        <f>HYPERLINK("http://www.otzar.org/book.asp?12910","בית יעקב")</f>
        <v>בית יעקב</v>
      </c>
    </row>
    <row r="5583" spans="1:6" x14ac:dyDescent="0.2">
      <c r="A5583" t="s">
        <v>10198</v>
      </c>
      <c r="B5583" t="s">
        <v>10220</v>
      </c>
      <c r="C5583" t="s">
        <v>13</v>
      </c>
      <c r="D5583" t="s">
        <v>52</v>
      </c>
      <c r="E5583" t="s">
        <v>246</v>
      </c>
      <c r="F5583" s="2" t="str">
        <f>HYPERLINK("http://www.otzar.org/book.asp?164050","בית יעקב")</f>
        <v>בית יעקב</v>
      </c>
    </row>
    <row r="5584" spans="1:6" x14ac:dyDescent="0.2">
      <c r="A5584" t="s">
        <v>10198</v>
      </c>
      <c r="B5584" t="s">
        <v>9447</v>
      </c>
      <c r="C5584" t="s">
        <v>103</v>
      </c>
      <c r="D5584" t="s">
        <v>14</v>
      </c>
      <c r="E5584" t="s">
        <v>674</v>
      </c>
      <c r="F5584" s="2" t="str">
        <f>HYPERLINK("http://www.otzar.org/book.asp?50914","בית יעקב")</f>
        <v>בית יעקב</v>
      </c>
    </row>
    <row r="5585" spans="1:6" x14ac:dyDescent="0.2">
      <c r="A5585" t="s">
        <v>10198</v>
      </c>
      <c r="B5585" t="s">
        <v>6496</v>
      </c>
      <c r="C5585" t="s">
        <v>843</v>
      </c>
      <c r="D5585" t="s">
        <v>27</v>
      </c>
      <c r="E5585" t="s">
        <v>933</v>
      </c>
      <c r="F5585" s="2" t="str">
        <f>HYPERLINK("http://www.otzar.org/book.asp?286","בית יעקב")</f>
        <v>בית יעקב</v>
      </c>
    </row>
    <row r="5586" spans="1:6" x14ac:dyDescent="0.2">
      <c r="A5586" t="s">
        <v>10221</v>
      </c>
      <c r="B5586" t="s">
        <v>10222</v>
      </c>
      <c r="C5586" t="s">
        <v>10223</v>
      </c>
      <c r="D5586" t="s">
        <v>283</v>
      </c>
      <c r="E5586" t="s">
        <v>158</v>
      </c>
      <c r="F5586" s="2" t="str">
        <f>HYPERLINK("http://www.otzar.org/book.asp?15786","בית יעקב - 4 כר'")</f>
        <v>בית יעקב - 4 כר'</v>
      </c>
    </row>
    <row r="5587" spans="1:6" x14ac:dyDescent="0.2">
      <c r="A5587" t="s">
        <v>10198</v>
      </c>
      <c r="B5587" t="s">
        <v>441</v>
      </c>
      <c r="C5587" t="s">
        <v>547</v>
      </c>
      <c r="D5587" t="s">
        <v>9</v>
      </c>
      <c r="E5587" t="s">
        <v>4561</v>
      </c>
      <c r="F5587" s="2" t="str">
        <f>HYPERLINK("http://www.otzar.org/book.asp?14015","בית יעקב")</f>
        <v>בית יעקב</v>
      </c>
    </row>
    <row r="5588" spans="1:6" x14ac:dyDescent="0.2">
      <c r="A5588" t="s">
        <v>10198</v>
      </c>
      <c r="B5588" t="s">
        <v>10224</v>
      </c>
      <c r="C5588" t="s">
        <v>454</v>
      </c>
      <c r="D5588" t="s">
        <v>52</v>
      </c>
      <c r="E5588" t="s">
        <v>10225</v>
      </c>
      <c r="F5588" s="2" t="str">
        <f>HYPERLINK("http://www.otzar.org/book.asp?107207","בית יעקב")</f>
        <v>בית יעקב</v>
      </c>
    </row>
    <row r="5589" spans="1:6" x14ac:dyDescent="0.2">
      <c r="A5589" t="s">
        <v>10226</v>
      </c>
      <c r="B5589" t="s">
        <v>10227</v>
      </c>
      <c r="C5589" t="s">
        <v>10228</v>
      </c>
      <c r="D5589" t="s">
        <v>9</v>
      </c>
      <c r="E5589" t="s">
        <v>104</v>
      </c>
      <c r="F5589" s="2" t="str">
        <f>HYPERLINK("http://www.otzar.org/book.asp?50853","בית יעקב - 3 כר'")</f>
        <v>בית יעקב - 3 כר'</v>
      </c>
    </row>
    <row r="5590" spans="1:6" x14ac:dyDescent="0.2">
      <c r="A5590" t="s">
        <v>10198</v>
      </c>
      <c r="B5590" t="s">
        <v>10229</v>
      </c>
      <c r="C5590" t="s">
        <v>429</v>
      </c>
      <c r="D5590" t="s">
        <v>1538</v>
      </c>
      <c r="E5590" t="s">
        <v>104</v>
      </c>
      <c r="F5590" s="2" t="str">
        <f>HYPERLINK("http://www.otzar.org/book.asp?168060","בית יעקב")</f>
        <v>בית יעקב</v>
      </c>
    </row>
    <row r="5591" spans="1:6" x14ac:dyDescent="0.2">
      <c r="A5591" t="s">
        <v>10230</v>
      </c>
      <c r="B5591" t="s">
        <v>2232</v>
      </c>
      <c r="C5591" t="s">
        <v>10231</v>
      </c>
      <c r="D5591" t="s">
        <v>1365</v>
      </c>
      <c r="E5591" t="s">
        <v>158</v>
      </c>
      <c r="F5591" s="2" t="str">
        <f>HYPERLINK("http://www.otzar.org/book.asp?626442","בית יעקב - וזאת ליהודה")</f>
        <v>בית יעקב - וזאת ליהודה</v>
      </c>
    </row>
    <row r="5592" spans="1:6" x14ac:dyDescent="0.2">
      <c r="A5592" t="s">
        <v>10198</v>
      </c>
      <c r="B5592" t="s">
        <v>6821</v>
      </c>
      <c r="C5592" t="s">
        <v>5903</v>
      </c>
      <c r="D5592" t="s">
        <v>283</v>
      </c>
      <c r="E5592" t="s">
        <v>463</v>
      </c>
      <c r="F5592" s="2" t="str">
        <f>HYPERLINK("http://www.otzar.org/book.asp?487","בית יעקב")</f>
        <v>בית יעקב</v>
      </c>
    </row>
    <row r="5593" spans="1:6" x14ac:dyDescent="0.2">
      <c r="A5593" t="s">
        <v>10203</v>
      </c>
      <c r="B5593" t="s">
        <v>10232</v>
      </c>
      <c r="C5593" t="s">
        <v>558</v>
      </c>
      <c r="D5593" t="s">
        <v>344</v>
      </c>
      <c r="E5593" t="s">
        <v>154</v>
      </c>
      <c r="F5593" s="2" t="str">
        <f>HYPERLINK("http://www.otzar.org/book.asp?63915","בית יעקב - 2 כר'")</f>
        <v>בית יעקב - 2 כר'</v>
      </c>
    </row>
    <row r="5594" spans="1:6" x14ac:dyDescent="0.2">
      <c r="A5594" t="s">
        <v>10233</v>
      </c>
      <c r="B5594" t="s">
        <v>10234</v>
      </c>
      <c r="C5594" t="s">
        <v>609</v>
      </c>
      <c r="D5594" t="s">
        <v>5659</v>
      </c>
      <c r="E5594" t="s">
        <v>559</v>
      </c>
      <c r="F5594" s="2" t="str">
        <f>HYPERLINK("http://www.otzar.org/book.asp?102886","בית יער")</f>
        <v>בית יער</v>
      </c>
    </row>
    <row r="5595" spans="1:6" x14ac:dyDescent="0.2">
      <c r="A5595" t="s">
        <v>10235</v>
      </c>
      <c r="B5595" t="s">
        <v>10236</v>
      </c>
      <c r="C5595" t="s">
        <v>143</v>
      </c>
      <c r="D5595" t="s">
        <v>14</v>
      </c>
      <c r="F5595" s="2" t="str">
        <f>HYPERLINK("http://www.otzar.org/book.asp?600346","בית יצחק הלוי - 3 כר'")</f>
        <v>בית יצחק הלוי - 3 כר'</v>
      </c>
    </row>
    <row r="5596" spans="1:6" x14ac:dyDescent="0.2">
      <c r="A5596" t="s">
        <v>10237</v>
      </c>
      <c r="B5596" t="s">
        <v>10238</v>
      </c>
      <c r="C5596" t="s">
        <v>146</v>
      </c>
      <c r="D5596" t="s">
        <v>14</v>
      </c>
      <c r="E5596" t="s">
        <v>144</v>
      </c>
      <c r="F5596" s="2" t="str">
        <f>HYPERLINK("http://www.otzar.org/book.asp?28207","בית יצחק - 11 כר'")</f>
        <v>בית יצחק - 11 כר'</v>
      </c>
    </row>
    <row r="5597" spans="1:6" x14ac:dyDescent="0.2">
      <c r="A5597" t="s">
        <v>10239</v>
      </c>
      <c r="B5597" t="s">
        <v>5614</v>
      </c>
      <c r="C5597" t="s">
        <v>550</v>
      </c>
      <c r="D5597" t="s">
        <v>56</v>
      </c>
      <c r="E5597" t="s">
        <v>234</v>
      </c>
      <c r="F5597" s="2" t="str">
        <f>HYPERLINK("http://www.otzar.org/book.asp?104752","בית יצחק - 3 כר'")</f>
        <v>בית יצחק - 3 כר'</v>
      </c>
    </row>
    <row r="5598" spans="1:6" x14ac:dyDescent="0.2">
      <c r="A5598" t="s">
        <v>10239</v>
      </c>
      <c r="B5598" t="s">
        <v>10240</v>
      </c>
      <c r="C5598" t="s">
        <v>748</v>
      </c>
      <c r="D5598" t="s">
        <v>379</v>
      </c>
      <c r="E5598" t="s">
        <v>144</v>
      </c>
      <c r="F5598" s="2" t="str">
        <f>HYPERLINK("http://www.otzar.org/book.asp?6710","בית יצחק - 3 כר'")</f>
        <v>בית יצחק - 3 כר'</v>
      </c>
    </row>
    <row r="5599" spans="1:6" x14ac:dyDescent="0.2">
      <c r="A5599" t="s">
        <v>10241</v>
      </c>
      <c r="B5599" t="s">
        <v>10242</v>
      </c>
      <c r="C5599" t="s">
        <v>422</v>
      </c>
      <c r="D5599" t="s">
        <v>412</v>
      </c>
      <c r="E5599" t="s">
        <v>158</v>
      </c>
      <c r="F5599" s="2" t="str">
        <f>HYPERLINK("http://www.otzar.org/book.asp?161795","בית יצחק - 2 כר'")</f>
        <v>בית יצחק - 2 כר'</v>
      </c>
    </row>
    <row r="5600" spans="1:6" x14ac:dyDescent="0.2">
      <c r="A5600" t="s">
        <v>10243</v>
      </c>
      <c r="B5600" t="s">
        <v>3522</v>
      </c>
      <c r="C5600" t="s">
        <v>8375</v>
      </c>
      <c r="D5600" t="s">
        <v>9748</v>
      </c>
      <c r="E5600" t="s">
        <v>144</v>
      </c>
      <c r="F5600" s="2" t="str">
        <f>HYPERLINK("http://www.otzar.org/book.asp?100317","בית יצחק - 4 כר'")</f>
        <v>בית יצחק - 4 כר'</v>
      </c>
    </row>
    <row r="5601" spans="1:6" x14ac:dyDescent="0.2">
      <c r="A5601" t="s">
        <v>10243</v>
      </c>
      <c r="B5601" t="s">
        <v>2245</v>
      </c>
      <c r="C5601" t="s">
        <v>5308</v>
      </c>
      <c r="D5601" t="s">
        <v>8370</v>
      </c>
      <c r="E5601" t="s">
        <v>148</v>
      </c>
      <c r="F5601" s="2" t="str">
        <f>HYPERLINK("http://www.otzar.org/book.asp?166895","בית יצחק - 4 כר'")</f>
        <v>בית יצחק - 4 כר'</v>
      </c>
    </row>
    <row r="5602" spans="1:6" x14ac:dyDescent="0.2">
      <c r="A5602" t="s">
        <v>10244</v>
      </c>
      <c r="B5602" t="s">
        <v>10245</v>
      </c>
      <c r="C5602" t="s">
        <v>106</v>
      </c>
      <c r="D5602" t="s">
        <v>14</v>
      </c>
      <c r="E5602" t="s">
        <v>10246</v>
      </c>
      <c r="F5602" s="2" t="str">
        <f>HYPERLINK("http://www.otzar.org/book.asp?156696","בית יצחק")</f>
        <v>בית יצחק</v>
      </c>
    </row>
    <row r="5603" spans="1:6" x14ac:dyDescent="0.2">
      <c r="A5603" t="s">
        <v>10247</v>
      </c>
      <c r="B5603" t="s">
        <v>10248</v>
      </c>
      <c r="C5603" t="s">
        <v>1062</v>
      </c>
      <c r="D5603" t="s">
        <v>412</v>
      </c>
      <c r="E5603" t="s">
        <v>202</v>
      </c>
      <c r="F5603" s="2" t="str">
        <f>HYPERLINK("http://www.otzar.org/book.asp?170686","בית יצחק - 50 כר'")</f>
        <v>בית יצחק - 50 כר'</v>
      </c>
    </row>
    <row r="5604" spans="1:6" x14ac:dyDescent="0.2">
      <c r="A5604" t="s">
        <v>10244</v>
      </c>
      <c r="B5604" t="s">
        <v>10249</v>
      </c>
      <c r="E5604" t="s">
        <v>15</v>
      </c>
      <c r="F5604" s="2" t="str">
        <f>HYPERLINK("http://www.otzar.org/book.asp?192316","בית יצחק")</f>
        <v>בית יצחק</v>
      </c>
    </row>
    <row r="5605" spans="1:6" x14ac:dyDescent="0.2">
      <c r="A5605" t="s">
        <v>10244</v>
      </c>
      <c r="B5605" t="s">
        <v>10250</v>
      </c>
      <c r="C5605" t="s">
        <v>581</v>
      </c>
      <c r="D5605" t="s">
        <v>699</v>
      </c>
      <c r="E5605" t="s">
        <v>930</v>
      </c>
      <c r="F5605" s="2" t="str">
        <f>HYPERLINK("http://www.otzar.org/book.asp?17298","בית יצחק")</f>
        <v>בית יצחק</v>
      </c>
    </row>
    <row r="5606" spans="1:6" x14ac:dyDescent="0.2">
      <c r="A5606" t="s">
        <v>10244</v>
      </c>
      <c r="B5606" t="s">
        <v>10251</v>
      </c>
      <c r="C5606" t="s">
        <v>20</v>
      </c>
      <c r="D5606" t="s">
        <v>90</v>
      </c>
      <c r="E5606" t="s">
        <v>119</v>
      </c>
      <c r="F5606" s="2" t="str">
        <f>HYPERLINK("http://www.otzar.org/book.asp?144580","בית יצחק")</f>
        <v>בית יצחק</v>
      </c>
    </row>
    <row r="5607" spans="1:6" x14ac:dyDescent="0.2">
      <c r="A5607" t="s">
        <v>10252</v>
      </c>
      <c r="B5607" t="s">
        <v>10253</v>
      </c>
      <c r="C5607" t="s">
        <v>445</v>
      </c>
      <c r="D5607" t="s">
        <v>27</v>
      </c>
      <c r="E5607" t="s">
        <v>7477</v>
      </c>
      <c r="F5607" s="2" t="str">
        <f>HYPERLINK("http://www.otzar.org/book.asp?102887","בית יצחק - על התורה")</f>
        <v>בית יצחק - על התורה</v>
      </c>
    </row>
    <row r="5608" spans="1:6" x14ac:dyDescent="0.2">
      <c r="A5608" t="s">
        <v>10254</v>
      </c>
      <c r="B5608" t="s">
        <v>10255</v>
      </c>
      <c r="C5608" t="s">
        <v>10256</v>
      </c>
      <c r="D5608" t="s">
        <v>855</v>
      </c>
      <c r="E5608" t="s">
        <v>154</v>
      </c>
      <c r="F5608" s="2" t="str">
        <f>HYPERLINK("http://www.otzar.org/book.asp?22110","בית יצחק - 9 כר'")</f>
        <v>בית יצחק - 9 כר'</v>
      </c>
    </row>
    <row r="5609" spans="1:6" x14ac:dyDescent="0.2">
      <c r="A5609" t="s">
        <v>10257</v>
      </c>
      <c r="B5609" t="s">
        <v>4737</v>
      </c>
      <c r="C5609" t="s">
        <v>79</v>
      </c>
      <c r="D5609" t="s">
        <v>27</v>
      </c>
      <c r="E5609" t="s">
        <v>10</v>
      </c>
      <c r="F5609" s="2" t="str">
        <f>HYPERLINK("http://www.otzar.org/book.asp?23360","בית ירוחם")</f>
        <v>בית ירוחם</v>
      </c>
    </row>
    <row r="5610" spans="1:6" x14ac:dyDescent="0.2">
      <c r="A5610" t="s">
        <v>10258</v>
      </c>
      <c r="B5610" t="s">
        <v>10259</v>
      </c>
      <c r="C5610" t="s">
        <v>454</v>
      </c>
      <c r="D5610" t="s">
        <v>14</v>
      </c>
      <c r="E5610" t="s">
        <v>144</v>
      </c>
      <c r="F5610" s="2" t="str">
        <f>HYPERLINK("http://www.otzar.org/book.asp?142943","בית ישורון - ב""מ")</f>
        <v>בית ישורון - ב"מ</v>
      </c>
    </row>
    <row r="5611" spans="1:6" x14ac:dyDescent="0.2">
      <c r="A5611" t="s">
        <v>10260</v>
      </c>
      <c r="B5611" t="s">
        <v>10261</v>
      </c>
      <c r="C5611" t="s">
        <v>244</v>
      </c>
      <c r="D5611" t="s">
        <v>21</v>
      </c>
      <c r="E5611" t="s">
        <v>15</v>
      </c>
      <c r="F5611" s="2" t="str">
        <f>HYPERLINK("http://www.otzar.org/book.asp?192802","בית ישחק &lt;מהדורה חדשה&gt;")</f>
        <v>בית ישחק &lt;מהדורה חדשה&gt;</v>
      </c>
    </row>
    <row r="5612" spans="1:6" x14ac:dyDescent="0.2">
      <c r="A5612" t="s">
        <v>10262</v>
      </c>
      <c r="B5612" t="s">
        <v>10261</v>
      </c>
      <c r="C5612" t="s">
        <v>4266</v>
      </c>
      <c r="D5612" t="s">
        <v>76</v>
      </c>
      <c r="E5612" t="s">
        <v>15</v>
      </c>
      <c r="F5612" s="2" t="str">
        <f>HYPERLINK("http://www.otzar.org/book.asp?17299","בית ישחק")</f>
        <v>בית ישחק</v>
      </c>
    </row>
    <row r="5613" spans="1:6" x14ac:dyDescent="0.2">
      <c r="A5613" t="s">
        <v>10263</v>
      </c>
      <c r="B5613" t="s">
        <v>10264</v>
      </c>
      <c r="C5613" t="s">
        <v>151</v>
      </c>
      <c r="D5613" t="s">
        <v>10265</v>
      </c>
      <c r="E5613" t="s">
        <v>241</v>
      </c>
      <c r="F5613" s="2" t="str">
        <f>HYPERLINK("http://www.otzar.org/book.asp?630881","בית ישי - חלק פירות האילן")</f>
        <v>בית ישי - חלק פירות האילן</v>
      </c>
    </row>
    <row r="5614" spans="1:6" x14ac:dyDescent="0.2">
      <c r="A5614" t="s">
        <v>10266</v>
      </c>
      <c r="B5614" t="s">
        <v>10267</v>
      </c>
      <c r="C5614" t="s">
        <v>103</v>
      </c>
      <c r="D5614" t="s">
        <v>14</v>
      </c>
      <c r="E5614" t="s">
        <v>234</v>
      </c>
      <c r="F5614" s="2" t="str">
        <f>HYPERLINK("http://www.otzar.org/book.asp?25908","בית ישי - 2 כר'")</f>
        <v>בית ישי - 2 כר'</v>
      </c>
    </row>
    <row r="5615" spans="1:6" x14ac:dyDescent="0.2">
      <c r="A5615" t="s">
        <v>10268</v>
      </c>
      <c r="B5615" t="s">
        <v>1137</v>
      </c>
      <c r="C5615" t="s">
        <v>10269</v>
      </c>
      <c r="D5615" t="s">
        <v>49</v>
      </c>
      <c r="E5615" t="s">
        <v>1211</v>
      </c>
      <c r="F5615" s="2" t="str">
        <f>HYPERLINK("http://www.otzar.org/book.asp?16573","בית ישראל &lt;עין יעקב&gt; - ב")</f>
        <v>בית ישראל &lt;עין יעקב&gt; - ב</v>
      </c>
    </row>
    <row r="5616" spans="1:6" x14ac:dyDescent="0.2">
      <c r="A5616" t="s">
        <v>10270</v>
      </c>
      <c r="B5616" t="s">
        <v>1371</v>
      </c>
      <c r="C5616" t="s">
        <v>23</v>
      </c>
      <c r="D5616" t="s">
        <v>14</v>
      </c>
      <c r="E5616" t="s">
        <v>2071</v>
      </c>
      <c r="F5616" s="2" t="str">
        <f>HYPERLINK("http://www.otzar.org/book.asp?188974","בית ישראל &lt;מהדורת הצבי והצדק&gt;")</f>
        <v>בית ישראל &lt;מהדורת הצבי והצדק&gt;</v>
      </c>
    </row>
    <row r="5617" spans="1:6" x14ac:dyDescent="0.2">
      <c r="A5617" t="s">
        <v>10271</v>
      </c>
      <c r="B5617" t="s">
        <v>10272</v>
      </c>
      <c r="C5617" t="s">
        <v>20</v>
      </c>
      <c r="D5617" t="s">
        <v>90</v>
      </c>
      <c r="E5617" t="s">
        <v>234</v>
      </c>
      <c r="F5617" s="2" t="str">
        <f>HYPERLINK("http://www.otzar.org/book.asp?188458","בית ישראל &lt;מהדורה חדשה&gt; א")</f>
        <v>בית ישראל &lt;מהדורה חדשה&gt; א</v>
      </c>
    </row>
    <row r="5618" spans="1:6" x14ac:dyDescent="0.2">
      <c r="A5618" t="s">
        <v>10273</v>
      </c>
      <c r="B5618" t="s">
        <v>10272</v>
      </c>
      <c r="C5618" t="s">
        <v>20</v>
      </c>
      <c r="D5618" t="s">
        <v>90</v>
      </c>
      <c r="E5618" t="s">
        <v>234</v>
      </c>
      <c r="F5618" s="2" t="str">
        <f>HYPERLINK("http://www.otzar.org/book.asp?191242","בית ישראל &lt;מהדורה חדשה&gt; ב, ג")</f>
        <v>בית ישראל &lt;מהדורה חדשה&gt; ב, ג</v>
      </c>
    </row>
    <row r="5619" spans="1:6" x14ac:dyDescent="0.2">
      <c r="A5619" t="s">
        <v>10274</v>
      </c>
      <c r="B5619" t="s">
        <v>10174</v>
      </c>
      <c r="C5619" t="s">
        <v>189</v>
      </c>
      <c r="D5619" t="s">
        <v>14</v>
      </c>
      <c r="E5619" t="s">
        <v>144</v>
      </c>
      <c r="F5619" s="2" t="str">
        <f>HYPERLINK("http://www.otzar.org/book.asp?141804","בית ישראל &lt;מהדורה חדשה&gt; - ברכות")</f>
        <v>בית ישראל &lt;מהדורה חדשה&gt; - ברכות</v>
      </c>
    </row>
    <row r="5620" spans="1:6" x14ac:dyDescent="0.2">
      <c r="A5620" t="s">
        <v>10275</v>
      </c>
      <c r="B5620" t="s">
        <v>10276</v>
      </c>
      <c r="C5620" t="s">
        <v>767</v>
      </c>
      <c r="D5620" t="s">
        <v>14</v>
      </c>
      <c r="E5620" t="s">
        <v>148</v>
      </c>
      <c r="F5620" s="2" t="str">
        <f>HYPERLINK("http://www.otzar.org/book.asp?15314","בית ישראל (טור - חושן משפט)")</f>
        <v>בית ישראל (טור - חושן משפט)</v>
      </c>
    </row>
    <row r="5621" spans="1:6" x14ac:dyDescent="0.2">
      <c r="A5621" t="s">
        <v>10277</v>
      </c>
      <c r="B5621" t="s">
        <v>10278</v>
      </c>
      <c r="C5621" t="s">
        <v>10279</v>
      </c>
      <c r="D5621" t="s">
        <v>27</v>
      </c>
      <c r="E5621" t="s">
        <v>733</v>
      </c>
      <c r="F5621" s="2" t="str">
        <f>HYPERLINK("http://www.otzar.org/book.asp?84202","בית ישראל בפולין - 2 כר'")</f>
        <v>בית ישראל בפולין - 2 כר'</v>
      </c>
    </row>
    <row r="5622" spans="1:6" x14ac:dyDescent="0.2">
      <c r="A5622" t="s">
        <v>10280</v>
      </c>
      <c r="B5622" t="s">
        <v>10281</v>
      </c>
      <c r="C5622" t="s">
        <v>68</v>
      </c>
      <c r="D5622" t="s">
        <v>14</v>
      </c>
      <c r="E5622" t="s">
        <v>2071</v>
      </c>
      <c r="F5622" s="2" t="str">
        <f>HYPERLINK("http://www.otzar.org/book.asp?621194","בית ישראל השלם - ו (ליקוטי נביאים וכתובים) - פניני ישראל")</f>
        <v>בית ישראל השלם - ו (ליקוטי נביאים וכתובים) - פניני ישראל</v>
      </c>
    </row>
    <row r="5623" spans="1:6" x14ac:dyDescent="0.2">
      <c r="A5623" t="s">
        <v>10282</v>
      </c>
      <c r="B5623" t="s">
        <v>10283</v>
      </c>
      <c r="C5623" t="s">
        <v>1619</v>
      </c>
      <c r="D5623" t="s">
        <v>14</v>
      </c>
      <c r="E5623" t="s">
        <v>1185</v>
      </c>
      <c r="F5623" s="2" t="str">
        <f>HYPERLINK("http://www.otzar.org/book.asp?7201","בית ישראל השלם - 7 כר'")</f>
        <v>בית ישראל השלם - 7 כר'</v>
      </c>
    </row>
    <row r="5624" spans="1:6" x14ac:dyDescent="0.2">
      <c r="A5624" t="s">
        <v>10284</v>
      </c>
      <c r="B5624" t="s">
        <v>5364</v>
      </c>
      <c r="C5624" t="s">
        <v>23</v>
      </c>
      <c r="D5624" t="s">
        <v>90</v>
      </c>
      <c r="E5624" t="s">
        <v>2418</v>
      </c>
      <c r="F5624" s="2" t="str">
        <f>HYPERLINK("http://www.otzar.org/book.asp?621399","בית ישראל להבה - ממרן הבית ישראל")</f>
        <v>בית ישראל להבה - ממרן הבית ישראל</v>
      </c>
    </row>
    <row r="5625" spans="1:6" x14ac:dyDescent="0.2">
      <c r="A5625" t="s">
        <v>10285</v>
      </c>
      <c r="B5625" t="s">
        <v>10283</v>
      </c>
      <c r="C5625" t="s">
        <v>438</v>
      </c>
      <c r="D5625" t="s">
        <v>14</v>
      </c>
      <c r="E5625" t="s">
        <v>7477</v>
      </c>
      <c r="F5625" s="2" t="str">
        <f>HYPERLINK("http://www.otzar.org/book.asp?5277","בית ישראל קמא - א")</f>
        <v>בית ישראל קמא - א</v>
      </c>
    </row>
    <row r="5626" spans="1:6" x14ac:dyDescent="0.2">
      <c r="A5626" t="s">
        <v>10286</v>
      </c>
      <c r="B5626" t="s">
        <v>10283</v>
      </c>
      <c r="C5626" t="s">
        <v>1160</v>
      </c>
      <c r="D5626" t="s">
        <v>14</v>
      </c>
      <c r="E5626" t="s">
        <v>435</v>
      </c>
      <c r="F5626" s="2" t="str">
        <f>HYPERLINK("http://www.otzar.org/book.asp?10260","בית ישראל תליתאה - 3 כר'")</f>
        <v>בית ישראל תליתאה - 3 כר'</v>
      </c>
    </row>
    <row r="5627" spans="1:6" x14ac:dyDescent="0.2">
      <c r="A5627" t="s">
        <v>10287</v>
      </c>
      <c r="B5627" t="s">
        <v>10283</v>
      </c>
      <c r="C5627" t="s">
        <v>180</v>
      </c>
      <c r="D5627" t="s">
        <v>14</v>
      </c>
      <c r="E5627" t="s">
        <v>4683</v>
      </c>
      <c r="F5627" s="2" t="str">
        <f>HYPERLINK("http://www.otzar.org/book.asp?7200","בית ישראל תנינא - 2 כר'")</f>
        <v>בית ישראל תנינא - 2 כר'</v>
      </c>
    </row>
    <row r="5628" spans="1:6" x14ac:dyDescent="0.2">
      <c r="A5628" t="s">
        <v>10288</v>
      </c>
      <c r="B5628" t="s">
        <v>1371</v>
      </c>
      <c r="C5628" t="s">
        <v>282</v>
      </c>
      <c r="D5628" t="s">
        <v>267</v>
      </c>
      <c r="E5628" t="s">
        <v>1185</v>
      </c>
      <c r="F5628" s="2" t="str">
        <f>HYPERLINK("http://www.otzar.org/book.asp?16013","בית ישראל - 2 כר'")</f>
        <v>בית ישראל - 2 כר'</v>
      </c>
    </row>
    <row r="5629" spans="1:6" x14ac:dyDescent="0.2">
      <c r="A5629" t="s">
        <v>10288</v>
      </c>
      <c r="B5629" t="s">
        <v>10289</v>
      </c>
      <c r="C5629" t="s">
        <v>649</v>
      </c>
      <c r="D5629" t="s">
        <v>995</v>
      </c>
      <c r="E5629" t="s">
        <v>241</v>
      </c>
      <c r="F5629" s="2" t="str">
        <f>HYPERLINK("http://www.otzar.org/book.asp?300464","בית ישראל - 2 כר'")</f>
        <v>בית ישראל - 2 כר'</v>
      </c>
    </row>
    <row r="5630" spans="1:6" x14ac:dyDescent="0.2">
      <c r="A5630" t="s">
        <v>10289</v>
      </c>
      <c r="B5630" t="s">
        <v>10272</v>
      </c>
      <c r="C5630" t="s">
        <v>10290</v>
      </c>
      <c r="D5630" t="s">
        <v>1490</v>
      </c>
      <c r="E5630" t="s">
        <v>234</v>
      </c>
      <c r="F5630" s="2" t="str">
        <f>HYPERLINK("http://www.otzar.org/book.asp?21491","בית ישראל")</f>
        <v>בית ישראל</v>
      </c>
    </row>
    <row r="5631" spans="1:6" x14ac:dyDescent="0.2">
      <c r="A5631" t="s">
        <v>10289</v>
      </c>
      <c r="B5631" t="s">
        <v>206</v>
      </c>
      <c r="C5631" t="s">
        <v>20</v>
      </c>
      <c r="D5631" t="s">
        <v>90</v>
      </c>
      <c r="F5631" s="2" t="str">
        <f>HYPERLINK("http://www.otzar.org/book.asp?197507","בית ישראל")</f>
        <v>בית ישראל</v>
      </c>
    </row>
    <row r="5632" spans="1:6" x14ac:dyDescent="0.2">
      <c r="A5632" t="s">
        <v>10291</v>
      </c>
      <c r="B5632" t="s">
        <v>10292</v>
      </c>
      <c r="C5632" t="s">
        <v>10293</v>
      </c>
      <c r="D5632" t="s">
        <v>661</v>
      </c>
      <c r="E5632" t="s">
        <v>154</v>
      </c>
      <c r="F5632" s="2" t="str">
        <f>HYPERLINK("http://www.otzar.org/book.asp?300441","בית ישראל - 7 כר'")</f>
        <v>בית ישראל - 7 כר'</v>
      </c>
    </row>
    <row r="5633" spans="1:6" x14ac:dyDescent="0.2">
      <c r="A5633" t="s">
        <v>10289</v>
      </c>
      <c r="B5633" t="s">
        <v>6452</v>
      </c>
      <c r="C5633" t="s">
        <v>482</v>
      </c>
      <c r="D5633" t="s">
        <v>260</v>
      </c>
      <c r="E5633" t="s">
        <v>1185</v>
      </c>
      <c r="F5633" s="2" t="str">
        <f>HYPERLINK("http://www.otzar.org/book.asp?300640","בית ישראל")</f>
        <v>בית ישראל</v>
      </c>
    </row>
    <row r="5634" spans="1:6" x14ac:dyDescent="0.2">
      <c r="A5634" t="s">
        <v>10289</v>
      </c>
      <c r="B5634" t="s">
        <v>10294</v>
      </c>
      <c r="C5634" t="s">
        <v>594</v>
      </c>
      <c r="D5634" t="s">
        <v>267</v>
      </c>
      <c r="E5634" t="s">
        <v>241</v>
      </c>
      <c r="F5634" s="2" t="str">
        <f>HYPERLINK("http://www.otzar.org/book.asp?168764","בית ישראל")</f>
        <v>בית ישראל</v>
      </c>
    </row>
    <row r="5635" spans="1:6" x14ac:dyDescent="0.2">
      <c r="A5635" t="s">
        <v>10295</v>
      </c>
      <c r="B5635" t="s">
        <v>10174</v>
      </c>
      <c r="C5635" t="s">
        <v>576</v>
      </c>
      <c r="D5635" t="s">
        <v>1100</v>
      </c>
      <c r="E5635" t="s">
        <v>144</v>
      </c>
      <c r="F5635" s="2" t="str">
        <f>HYPERLINK("http://www.otzar.org/book.asp?19155","בית ישראל - ברכות")</f>
        <v>בית ישראל - ברכות</v>
      </c>
    </row>
    <row r="5636" spans="1:6" x14ac:dyDescent="0.2">
      <c r="A5636" t="s">
        <v>10296</v>
      </c>
      <c r="B5636" t="s">
        <v>4049</v>
      </c>
      <c r="C5636" t="s">
        <v>1124</v>
      </c>
      <c r="D5636" t="s">
        <v>283</v>
      </c>
      <c r="E5636" t="s">
        <v>144</v>
      </c>
      <c r="F5636" s="2" t="str">
        <f>HYPERLINK("http://www.otzar.org/book.asp?6914","בית ישראל - 4 כר'")</f>
        <v>בית ישראל - 4 כר'</v>
      </c>
    </row>
    <row r="5637" spans="1:6" x14ac:dyDescent="0.2">
      <c r="A5637" t="s">
        <v>10297</v>
      </c>
      <c r="B5637" t="s">
        <v>10298</v>
      </c>
      <c r="C5637" t="s">
        <v>111</v>
      </c>
      <c r="D5637" t="s">
        <v>14</v>
      </c>
      <c r="E5637" t="s">
        <v>144</v>
      </c>
      <c r="F5637" s="2" t="str">
        <f>HYPERLINK("http://www.otzar.org/book.asp?627551","בית ישראל - פסחים, יומא, ר""ה, מגילה, מו""ק, מנחות")</f>
        <v>בית ישראל - פסחים, יומא, ר"ה, מגילה, מו"ק, מנחות</v>
      </c>
    </row>
    <row r="5638" spans="1:6" x14ac:dyDescent="0.2">
      <c r="A5638" t="s">
        <v>10289</v>
      </c>
      <c r="B5638" t="s">
        <v>10299</v>
      </c>
      <c r="C5638" t="s">
        <v>1166</v>
      </c>
      <c r="D5638" t="s">
        <v>225</v>
      </c>
      <c r="E5638" t="s">
        <v>140</v>
      </c>
      <c r="F5638" s="2" t="str">
        <f>HYPERLINK("http://www.otzar.org/book.asp?8003","בית ישראל")</f>
        <v>בית ישראל</v>
      </c>
    </row>
    <row r="5639" spans="1:6" x14ac:dyDescent="0.2">
      <c r="A5639" t="s">
        <v>10289</v>
      </c>
      <c r="B5639" t="s">
        <v>10300</v>
      </c>
      <c r="C5639" t="s">
        <v>1166</v>
      </c>
      <c r="D5639" t="s">
        <v>6840</v>
      </c>
      <c r="E5639" t="s">
        <v>10301</v>
      </c>
      <c r="F5639" s="2" t="str">
        <f>HYPERLINK("http://www.otzar.org/book.asp?300444","בית ישראל")</f>
        <v>בית ישראל</v>
      </c>
    </row>
    <row r="5640" spans="1:6" x14ac:dyDescent="0.2">
      <c r="A5640" t="s">
        <v>10289</v>
      </c>
      <c r="B5640" t="s">
        <v>10302</v>
      </c>
      <c r="C5640" t="s">
        <v>10303</v>
      </c>
      <c r="D5640" t="s">
        <v>3208</v>
      </c>
      <c r="F5640" s="2" t="str">
        <f>HYPERLINK("http://www.otzar.org/book.asp?612897","בית ישראל")</f>
        <v>בית ישראל</v>
      </c>
    </row>
    <row r="5641" spans="1:6" x14ac:dyDescent="0.2">
      <c r="A5641" t="s">
        <v>10288</v>
      </c>
      <c r="B5641" t="s">
        <v>1978</v>
      </c>
      <c r="C5641" t="s">
        <v>506</v>
      </c>
      <c r="D5641" t="s">
        <v>225</v>
      </c>
      <c r="E5641" t="s">
        <v>241</v>
      </c>
      <c r="F5641" s="2" t="str">
        <f>HYPERLINK("http://www.otzar.org/book.asp?15957","בית ישראל - 2 כר'")</f>
        <v>בית ישראל - 2 כר'</v>
      </c>
    </row>
    <row r="5642" spans="1:6" x14ac:dyDescent="0.2">
      <c r="A5642" t="s">
        <v>10289</v>
      </c>
      <c r="B5642" t="s">
        <v>10304</v>
      </c>
      <c r="C5642" t="s">
        <v>10305</v>
      </c>
      <c r="D5642" t="s">
        <v>60</v>
      </c>
      <c r="E5642" t="s">
        <v>154</v>
      </c>
      <c r="F5642" s="2" t="str">
        <f>HYPERLINK("http://www.otzar.org/book.asp?100175","בית ישראל")</f>
        <v>בית ישראל</v>
      </c>
    </row>
    <row r="5643" spans="1:6" x14ac:dyDescent="0.2">
      <c r="A5643" t="s">
        <v>10289</v>
      </c>
      <c r="B5643" t="s">
        <v>10306</v>
      </c>
      <c r="C5643" t="s">
        <v>26</v>
      </c>
      <c r="D5643" t="s">
        <v>52</v>
      </c>
      <c r="F5643" s="2" t="str">
        <f>HYPERLINK("http://www.otzar.org/book.asp?610965","בית ישראל")</f>
        <v>בית ישראל</v>
      </c>
    </row>
    <row r="5644" spans="1:6" x14ac:dyDescent="0.2">
      <c r="A5644" t="s">
        <v>10288</v>
      </c>
      <c r="B5644" t="s">
        <v>10307</v>
      </c>
      <c r="C5644" t="s">
        <v>482</v>
      </c>
      <c r="D5644" t="s">
        <v>5108</v>
      </c>
      <c r="E5644" t="s">
        <v>154</v>
      </c>
      <c r="F5644" s="2" t="str">
        <f>HYPERLINK("http://www.otzar.org/book.asp?23422","בית ישראל - 2 כר'")</f>
        <v>בית ישראל - 2 כר'</v>
      </c>
    </row>
    <row r="5645" spans="1:6" x14ac:dyDescent="0.2">
      <c r="A5645" t="s">
        <v>10289</v>
      </c>
      <c r="B5645" t="s">
        <v>10308</v>
      </c>
      <c r="C5645" t="s">
        <v>888</v>
      </c>
      <c r="D5645" t="s">
        <v>10309</v>
      </c>
      <c r="E5645" t="s">
        <v>5712</v>
      </c>
      <c r="F5645" s="2" t="str">
        <f>HYPERLINK("http://www.otzar.org/book.asp?300443","בית ישראל")</f>
        <v>בית ישראל</v>
      </c>
    </row>
    <row r="5646" spans="1:6" x14ac:dyDescent="0.2">
      <c r="A5646" t="s">
        <v>10288</v>
      </c>
      <c r="B5646" t="s">
        <v>10310</v>
      </c>
      <c r="C5646" t="s">
        <v>482</v>
      </c>
      <c r="D5646" t="s">
        <v>14</v>
      </c>
      <c r="E5646" t="s">
        <v>15</v>
      </c>
      <c r="F5646" s="2" t="str">
        <f>HYPERLINK("http://www.otzar.org/book.asp?623349","בית ישראל - 2 כר'")</f>
        <v>בית ישראל - 2 כר'</v>
      </c>
    </row>
    <row r="5647" spans="1:6" x14ac:dyDescent="0.2">
      <c r="A5647" t="s">
        <v>10311</v>
      </c>
      <c r="B5647" t="s">
        <v>489</v>
      </c>
      <c r="C5647" t="s">
        <v>17</v>
      </c>
      <c r="D5647" t="s">
        <v>52</v>
      </c>
      <c r="E5647" t="s">
        <v>2091</v>
      </c>
      <c r="F5647" s="2" t="str">
        <f>HYPERLINK("http://www.otzar.org/book.asp?144954","בית ישראל - הלכות יום טוב")</f>
        <v>בית ישראל - הלכות יום טוב</v>
      </c>
    </row>
    <row r="5648" spans="1:6" x14ac:dyDescent="0.2">
      <c r="A5648" t="s">
        <v>10289</v>
      </c>
      <c r="B5648" t="s">
        <v>10312</v>
      </c>
      <c r="C5648" t="s">
        <v>462</v>
      </c>
      <c r="D5648" t="s">
        <v>56</v>
      </c>
      <c r="E5648" t="s">
        <v>10313</v>
      </c>
      <c r="F5648" s="2" t="str">
        <f>HYPERLINK("http://www.otzar.org/book.asp?17300","בית ישראל")</f>
        <v>בית ישראל</v>
      </c>
    </row>
    <row r="5649" spans="1:6" x14ac:dyDescent="0.2">
      <c r="A5649" t="s">
        <v>10289</v>
      </c>
      <c r="B5649" t="s">
        <v>10314</v>
      </c>
      <c r="C5649" t="s">
        <v>99</v>
      </c>
      <c r="D5649" t="s">
        <v>56</v>
      </c>
      <c r="E5649" t="s">
        <v>803</v>
      </c>
      <c r="F5649" s="2" t="str">
        <f>HYPERLINK("http://www.otzar.org/book.asp?6849","בית ישראל")</f>
        <v>בית ישראל</v>
      </c>
    </row>
    <row r="5650" spans="1:6" x14ac:dyDescent="0.2">
      <c r="A5650" t="s">
        <v>10288</v>
      </c>
      <c r="B5650" t="s">
        <v>10158</v>
      </c>
      <c r="C5650" t="s">
        <v>189</v>
      </c>
      <c r="D5650" t="s">
        <v>14</v>
      </c>
      <c r="E5650" t="s">
        <v>158</v>
      </c>
      <c r="F5650" s="2" t="str">
        <f>HYPERLINK("http://www.otzar.org/book.asp?142788","בית ישראל - 2 כר'")</f>
        <v>בית ישראל - 2 כר'</v>
      </c>
    </row>
    <row r="5651" spans="1:6" x14ac:dyDescent="0.2">
      <c r="A5651" t="s">
        <v>10289</v>
      </c>
      <c r="B5651" t="s">
        <v>10315</v>
      </c>
      <c r="C5651" t="s">
        <v>1679</v>
      </c>
      <c r="D5651" t="s">
        <v>280</v>
      </c>
      <c r="E5651" t="s">
        <v>10316</v>
      </c>
      <c r="F5651" s="2" t="str">
        <f>HYPERLINK("http://www.otzar.org/book.asp?8173","בית ישראל")</f>
        <v>בית ישראל</v>
      </c>
    </row>
    <row r="5652" spans="1:6" x14ac:dyDescent="0.2">
      <c r="A5652" t="s">
        <v>10317</v>
      </c>
      <c r="B5652" t="s">
        <v>10318</v>
      </c>
      <c r="C5652" t="s">
        <v>151</v>
      </c>
      <c r="D5652" t="s">
        <v>90</v>
      </c>
      <c r="E5652" t="s">
        <v>15</v>
      </c>
      <c r="F5652" s="2" t="str">
        <f>HYPERLINK("http://www.otzar.org/book.asp?611661","בית יששכר - 2 כר'")</f>
        <v>בית יששכר - 2 כר'</v>
      </c>
    </row>
    <row r="5653" spans="1:6" x14ac:dyDescent="0.2">
      <c r="A5653" t="s">
        <v>10319</v>
      </c>
      <c r="B5653" t="s">
        <v>10320</v>
      </c>
      <c r="C5653" t="s">
        <v>103</v>
      </c>
      <c r="D5653" t="s">
        <v>14</v>
      </c>
      <c r="E5653" t="s">
        <v>15</v>
      </c>
      <c r="F5653" s="2" t="str">
        <f>HYPERLINK("http://www.otzar.org/book.asp?83736","בית כנסת כהלכה")</f>
        <v>בית כנסת כהלכה</v>
      </c>
    </row>
    <row r="5654" spans="1:6" x14ac:dyDescent="0.2">
      <c r="A5654" t="s">
        <v>10321</v>
      </c>
      <c r="B5654" t="s">
        <v>10322</v>
      </c>
      <c r="C5654" t="s">
        <v>752</v>
      </c>
      <c r="D5654" t="s">
        <v>283</v>
      </c>
      <c r="E5654" t="s">
        <v>786</v>
      </c>
      <c r="F5654" s="2" t="str">
        <f>HYPERLINK("http://www.otzar.org/book.asp?101951","בית לאבות - 2 כר'")</f>
        <v>בית לאבות - 2 כר'</v>
      </c>
    </row>
    <row r="5655" spans="1:6" x14ac:dyDescent="0.2">
      <c r="A5655" t="s">
        <v>10323</v>
      </c>
      <c r="B5655" t="s">
        <v>10324</v>
      </c>
      <c r="C5655" t="s">
        <v>2076</v>
      </c>
      <c r="D5655" t="s">
        <v>283</v>
      </c>
      <c r="E5655" t="s">
        <v>10325</v>
      </c>
      <c r="F5655" s="2" t="str">
        <f>HYPERLINK("http://www.otzar.org/book.asp?17302","בית לוי")</f>
        <v>בית לוי</v>
      </c>
    </row>
    <row r="5656" spans="1:6" x14ac:dyDescent="0.2">
      <c r="A5656" t="s">
        <v>10326</v>
      </c>
      <c r="B5656" t="s">
        <v>10327</v>
      </c>
      <c r="C5656" t="s">
        <v>1335</v>
      </c>
      <c r="D5656" t="s">
        <v>855</v>
      </c>
      <c r="E5656" t="s">
        <v>144</v>
      </c>
      <c r="F5656" s="2" t="str">
        <f>HYPERLINK("http://www.otzar.org/book.asp?6776","בית לוי - 2 כר'")</f>
        <v>בית לוי - 2 כר'</v>
      </c>
    </row>
    <row r="5657" spans="1:6" x14ac:dyDescent="0.2">
      <c r="A5657" t="s">
        <v>10323</v>
      </c>
      <c r="B5657" t="s">
        <v>10328</v>
      </c>
      <c r="C5657" t="s">
        <v>5709</v>
      </c>
      <c r="D5657" t="s">
        <v>60</v>
      </c>
      <c r="E5657" t="s">
        <v>144</v>
      </c>
      <c r="F5657" s="2" t="str">
        <f>HYPERLINK("http://www.otzar.org/book.asp?5684","בית לוי")</f>
        <v>בית לוי</v>
      </c>
    </row>
    <row r="5658" spans="1:6" x14ac:dyDescent="0.2">
      <c r="A5658" t="s">
        <v>10323</v>
      </c>
      <c r="B5658" t="s">
        <v>10329</v>
      </c>
      <c r="C5658" t="s">
        <v>146</v>
      </c>
      <c r="D5658" t="s">
        <v>90</v>
      </c>
      <c r="E5658" t="s">
        <v>1072</v>
      </c>
      <c r="F5658" s="2" t="str">
        <f>HYPERLINK("http://www.otzar.org/book.asp?50050","בית לוי")</f>
        <v>בית לוי</v>
      </c>
    </row>
    <row r="5659" spans="1:6" x14ac:dyDescent="0.2">
      <c r="A5659" t="s">
        <v>10323</v>
      </c>
      <c r="B5659" t="s">
        <v>10330</v>
      </c>
      <c r="C5659" t="s">
        <v>728</v>
      </c>
      <c r="D5659" t="s">
        <v>344</v>
      </c>
      <c r="E5659" t="s">
        <v>148</v>
      </c>
      <c r="F5659" s="2" t="str">
        <f>HYPERLINK("http://www.otzar.org/book.asp?149970","בית לוי")</f>
        <v>בית לוי</v>
      </c>
    </row>
    <row r="5660" spans="1:6" x14ac:dyDescent="0.2">
      <c r="A5660" t="s">
        <v>10323</v>
      </c>
      <c r="B5660" t="s">
        <v>10331</v>
      </c>
      <c r="C5660" t="s">
        <v>1166</v>
      </c>
      <c r="D5660" t="s">
        <v>56</v>
      </c>
      <c r="E5660" t="s">
        <v>154</v>
      </c>
      <c r="F5660" s="2" t="str">
        <f>HYPERLINK("http://www.otzar.org/book.asp?10708","בית לוי")</f>
        <v>בית לוי</v>
      </c>
    </row>
    <row r="5661" spans="1:6" x14ac:dyDescent="0.2">
      <c r="A5661" t="s">
        <v>10332</v>
      </c>
      <c r="B5661" t="s">
        <v>10333</v>
      </c>
      <c r="C5661" t="s">
        <v>538</v>
      </c>
      <c r="D5661" t="s">
        <v>4227</v>
      </c>
      <c r="E5661" t="s">
        <v>172</v>
      </c>
      <c r="F5661" s="2" t="str">
        <f>HYPERLINK("http://www.otzar.org/book.asp?100318","בית לחם יהודא")</f>
        <v>בית לחם יהודא</v>
      </c>
    </row>
    <row r="5662" spans="1:6" x14ac:dyDescent="0.2">
      <c r="A5662" t="s">
        <v>10334</v>
      </c>
      <c r="B5662" t="s">
        <v>10143</v>
      </c>
      <c r="C5662" t="s">
        <v>2644</v>
      </c>
      <c r="D5662" t="s">
        <v>56</v>
      </c>
      <c r="E5662" t="s">
        <v>508</v>
      </c>
      <c r="F5662" s="2" t="str">
        <f>HYPERLINK("http://www.otzar.org/book.asp?100319","בית לחם יהודה")</f>
        <v>בית לחם יהודה</v>
      </c>
    </row>
    <row r="5663" spans="1:6" x14ac:dyDescent="0.2">
      <c r="A5663" t="s">
        <v>10335</v>
      </c>
      <c r="B5663" t="s">
        <v>10336</v>
      </c>
      <c r="C5663" t="s">
        <v>313</v>
      </c>
      <c r="D5663" t="s">
        <v>14</v>
      </c>
      <c r="E5663" t="s">
        <v>144</v>
      </c>
      <c r="F5663" s="2" t="str">
        <f>HYPERLINK("http://www.otzar.org/book.asp?23297","בית לחם יהודה - 9 כר'")</f>
        <v>בית לחם יהודה - 9 כר'</v>
      </c>
    </row>
    <row r="5664" spans="1:6" x14ac:dyDescent="0.2">
      <c r="A5664" t="s">
        <v>10334</v>
      </c>
      <c r="B5664" t="s">
        <v>1387</v>
      </c>
      <c r="C5664" t="s">
        <v>10337</v>
      </c>
      <c r="D5664" t="s">
        <v>49</v>
      </c>
      <c r="E5664" t="s">
        <v>64</v>
      </c>
      <c r="F5664" s="2" t="str">
        <f>HYPERLINK("http://www.otzar.org/book.asp?104524","בית לחם יהודה")</f>
        <v>בית לחם יהודה</v>
      </c>
    </row>
    <row r="5665" spans="1:6" x14ac:dyDescent="0.2">
      <c r="A5665" t="s">
        <v>10338</v>
      </c>
      <c r="B5665" t="s">
        <v>1800</v>
      </c>
      <c r="C5665" t="s">
        <v>10339</v>
      </c>
      <c r="D5665" t="s">
        <v>27</v>
      </c>
      <c r="E5665" t="s">
        <v>399</v>
      </c>
      <c r="F5665" s="2" t="str">
        <f>HYPERLINK("http://www.otzar.org/book.asp?533","בית לחם יהודה - 2 כר'")</f>
        <v>בית לחם יהודה - 2 כר'</v>
      </c>
    </row>
    <row r="5666" spans="1:6" x14ac:dyDescent="0.2">
      <c r="A5666" t="s">
        <v>10340</v>
      </c>
      <c r="B5666" t="s">
        <v>10341</v>
      </c>
      <c r="C5666" t="s">
        <v>908</v>
      </c>
      <c r="D5666" t="s">
        <v>9896</v>
      </c>
      <c r="E5666" t="s">
        <v>15</v>
      </c>
      <c r="F5666" s="2" t="str">
        <f>HYPERLINK("http://www.otzar.org/book.asp?180067","בית לחם יהודי")</f>
        <v>בית לחם יהודי</v>
      </c>
    </row>
    <row r="5667" spans="1:6" x14ac:dyDescent="0.2">
      <c r="A5667" t="s">
        <v>10342</v>
      </c>
      <c r="B5667" t="s">
        <v>10343</v>
      </c>
      <c r="C5667" t="s">
        <v>160</v>
      </c>
      <c r="D5667" t="s">
        <v>3208</v>
      </c>
      <c r="E5667" t="s">
        <v>119</v>
      </c>
      <c r="F5667" s="2" t="str">
        <f>HYPERLINK("http://www.otzar.org/book.asp?613891","בית ליליינטהאל בירושלם")</f>
        <v>בית ליליינטהאל בירושלם</v>
      </c>
    </row>
    <row r="5668" spans="1:6" x14ac:dyDescent="0.2">
      <c r="A5668" t="s">
        <v>10344</v>
      </c>
      <c r="B5668" t="s">
        <v>10345</v>
      </c>
      <c r="C5668" t="s">
        <v>20</v>
      </c>
      <c r="D5668" t="s">
        <v>10346</v>
      </c>
      <c r="E5668" t="s">
        <v>15</v>
      </c>
      <c r="F5668" s="2" t="str">
        <f>HYPERLINK("http://www.otzar.org/book.asp?630859","בית לשמי")</f>
        <v>בית לשמי</v>
      </c>
    </row>
    <row r="5669" spans="1:6" x14ac:dyDescent="0.2">
      <c r="A5669" t="s">
        <v>10347</v>
      </c>
      <c r="B5669" t="s">
        <v>4027</v>
      </c>
      <c r="C5669" t="s">
        <v>1535</v>
      </c>
      <c r="D5669" t="s">
        <v>947</v>
      </c>
      <c r="E5669" t="s">
        <v>202</v>
      </c>
      <c r="F5669" s="2" t="str">
        <f>HYPERLINK("http://www.otzar.org/book.asp?17303","בית מאיר - א")</f>
        <v>בית מאיר - א</v>
      </c>
    </row>
    <row r="5670" spans="1:6" x14ac:dyDescent="0.2">
      <c r="A5670" t="s">
        <v>10348</v>
      </c>
      <c r="B5670" t="s">
        <v>4358</v>
      </c>
      <c r="C5670" t="s">
        <v>68</v>
      </c>
      <c r="D5670" t="s">
        <v>14</v>
      </c>
      <c r="E5670" t="s">
        <v>246</v>
      </c>
      <c r="F5670" s="2" t="str">
        <f>HYPERLINK("http://www.otzar.org/book.asp?180159","בית מאיר - 2 כר'")</f>
        <v>בית מאיר - 2 כר'</v>
      </c>
    </row>
    <row r="5671" spans="1:6" x14ac:dyDescent="0.2">
      <c r="A5671" t="s">
        <v>4027</v>
      </c>
      <c r="B5671" t="s">
        <v>10349</v>
      </c>
      <c r="E5671" t="s">
        <v>10350</v>
      </c>
      <c r="F5671" s="2" t="str">
        <f>HYPERLINK("http://www.otzar.org/book.asp?628198","בית מאיר")</f>
        <v>בית מאיר</v>
      </c>
    </row>
    <row r="5672" spans="1:6" x14ac:dyDescent="0.2">
      <c r="A5672" t="s">
        <v>4027</v>
      </c>
      <c r="B5672" t="s">
        <v>10351</v>
      </c>
      <c r="C5672" t="s">
        <v>17</v>
      </c>
      <c r="D5672" t="s">
        <v>486</v>
      </c>
      <c r="E5672" t="s">
        <v>579</v>
      </c>
      <c r="F5672" s="2" t="str">
        <f>HYPERLINK("http://www.otzar.org/book.asp?25717","בית מאיר")</f>
        <v>בית מאיר</v>
      </c>
    </row>
    <row r="5673" spans="1:6" x14ac:dyDescent="0.2">
      <c r="A5673" t="s">
        <v>10352</v>
      </c>
      <c r="B5673" t="s">
        <v>3292</v>
      </c>
      <c r="C5673" t="s">
        <v>4144</v>
      </c>
      <c r="D5673" t="s">
        <v>9</v>
      </c>
      <c r="E5673" t="s">
        <v>234</v>
      </c>
      <c r="F5673" s="2" t="str">
        <f>HYPERLINK("http://www.otzar.org/book.asp?16974","בית מאיר - 3 כר'")</f>
        <v>בית מאיר - 3 כר'</v>
      </c>
    </row>
    <row r="5674" spans="1:6" x14ac:dyDescent="0.2">
      <c r="A5674" t="s">
        <v>10353</v>
      </c>
      <c r="B5674" t="s">
        <v>10354</v>
      </c>
      <c r="C5674" t="s">
        <v>8375</v>
      </c>
      <c r="D5674" t="s">
        <v>267</v>
      </c>
      <c r="E5674" t="s">
        <v>172</v>
      </c>
      <c r="F5674" s="2" t="str">
        <f>HYPERLINK("http://www.otzar.org/book.asp?166904","בית מאיר - 9 כר'")</f>
        <v>בית מאיר - 9 כר'</v>
      </c>
    </row>
    <row r="5675" spans="1:6" x14ac:dyDescent="0.2">
      <c r="A5675" t="s">
        <v>10347</v>
      </c>
      <c r="B5675" t="s">
        <v>10355</v>
      </c>
      <c r="C5675" t="s">
        <v>558</v>
      </c>
      <c r="D5675" t="s">
        <v>446</v>
      </c>
      <c r="E5675" t="s">
        <v>158</v>
      </c>
      <c r="F5675" s="2" t="str">
        <f>HYPERLINK("http://www.otzar.org/book.asp?300468","בית מאיר - א")</f>
        <v>בית מאיר - א</v>
      </c>
    </row>
    <row r="5676" spans="1:6" x14ac:dyDescent="0.2">
      <c r="A5676" t="s">
        <v>10356</v>
      </c>
      <c r="B5676" t="s">
        <v>1493</v>
      </c>
      <c r="C5676" t="s">
        <v>75</v>
      </c>
      <c r="D5676" t="s">
        <v>516</v>
      </c>
      <c r="E5676" t="s">
        <v>241</v>
      </c>
      <c r="F5676" s="2" t="str">
        <f>HYPERLINK("http://www.otzar.org/book.asp?23647","בית מדות - 2 כר'")</f>
        <v>בית מדות - 2 כר'</v>
      </c>
    </row>
    <row r="5677" spans="1:6" x14ac:dyDescent="0.2">
      <c r="A5677" t="s">
        <v>10357</v>
      </c>
      <c r="B5677" t="s">
        <v>10358</v>
      </c>
      <c r="C5677" t="s">
        <v>10359</v>
      </c>
      <c r="D5677" t="s">
        <v>1490</v>
      </c>
      <c r="E5677" t="s">
        <v>564</v>
      </c>
      <c r="F5677" s="2" t="str">
        <f>HYPERLINK("http://www.otzar.org/book.asp?188444","בית מדות")</f>
        <v>בית מדות</v>
      </c>
    </row>
    <row r="5678" spans="1:6" x14ac:dyDescent="0.2">
      <c r="A5678" t="s">
        <v>10360</v>
      </c>
      <c r="B5678" t="s">
        <v>10361</v>
      </c>
      <c r="C5678" t="s">
        <v>568</v>
      </c>
      <c r="D5678" t="s">
        <v>56</v>
      </c>
      <c r="E5678" t="s">
        <v>234</v>
      </c>
      <c r="F5678" s="2" t="str">
        <f>HYPERLINK("http://www.otzar.org/book.asp?300440","בית מדרש &lt;עם בית בנימין&gt;")</f>
        <v>בית מדרש &lt;עם בית בנימין&gt;</v>
      </c>
    </row>
    <row r="5679" spans="1:6" x14ac:dyDescent="0.2">
      <c r="A5679" t="s">
        <v>10362</v>
      </c>
      <c r="B5679" t="s">
        <v>10363</v>
      </c>
      <c r="D5679" t="s">
        <v>1156</v>
      </c>
      <c r="E5679" t="s">
        <v>202</v>
      </c>
      <c r="F5679" s="2" t="str">
        <f>HYPERLINK("http://www.otzar.org/book.asp?622360","בית מדרש גבוה לכהנים - א - יב")</f>
        <v>בית מדרש גבוה לכהנים - א - יב</v>
      </c>
    </row>
    <row r="5680" spans="1:6" x14ac:dyDescent="0.2">
      <c r="A5680" t="s">
        <v>10364</v>
      </c>
      <c r="B5680" t="s">
        <v>10365</v>
      </c>
      <c r="C5680" t="s">
        <v>427</v>
      </c>
      <c r="D5680" t="s">
        <v>52</v>
      </c>
      <c r="E5680" t="s">
        <v>144</v>
      </c>
      <c r="F5680" s="2" t="str">
        <f>HYPERLINK("http://www.otzar.org/book.asp?180555","בית מדרש לגבוה להוראה בית יהושע")</f>
        <v>בית מדרש לגבוה להוראה בית יהושע</v>
      </c>
    </row>
    <row r="5681" spans="1:6" x14ac:dyDescent="0.2">
      <c r="A5681" t="s">
        <v>10366</v>
      </c>
      <c r="B5681" t="s">
        <v>2401</v>
      </c>
      <c r="C5681" t="s">
        <v>1228</v>
      </c>
      <c r="D5681" t="s">
        <v>27</v>
      </c>
      <c r="E5681" t="s">
        <v>234</v>
      </c>
      <c r="F5681" s="2" t="str">
        <f>HYPERLINK("http://www.otzar.org/book.asp?15953","בית מדרש שמואל")</f>
        <v>בית מדרש שמואל</v>
      </c>
    </row>
    <row r="5682" spans="1:6" x14ac:dyDescent="0.2">
      <c r="A5682" t="s">
        <v>10367</v>
      </c>
      <c r="B5682" t="s">
        <v>5780</v>
      </c>
      <c r="C5682" t="s">
        <v>698</v>
      </c>
      <c r="D5682" t="s">
        <v>260</v>
      </c>
      <c r="E5682" t="s">
        <v>202</v>
      </c>
      <c r="F5682" s="2" t="str">
        <f>HYPERLINK("http://www.otzar.org/book.asp?300465","בית מדרש")</f>
        <v>בית מדרש</v>
      </c>
    </row>
    <row r="5683" spans="1:6" x14ac:dyDescent="0.2">
      <c r="A5683" t="s">
        <v>10368</v>
      </c>
      <c r="B5683" t="s">
        <v>10369</v>
      </c>
      <c r="C5683" t="s">
        <v>26</v>
      </c>
      <c r="D5683" t="s">
        <v>14</v>
      </c>
      <c r="E5683" t="s">
        <v>733</v>
      </c>
      <c r="F5683" s="2" t="str">
        <f>HYPERLINK("http://www.otzar.org/book.asp?171065","בית מדרשו של רבי יעקב בירב בצפת")</f>
        <v>בית מדרשו של רבי יעקב בירב בצפת</v>
      </c>
    </row>
    <row r="5684" spans="1:6" x14ac:dyDescent="0.2">
      <c r="A5684" t="s">
        <v>10370</v>
      </c>
      <c r="B5684" t="s">
        <v>10371</v>
      </c>
      <c r="C5684" t="s">
        <v>2644</v>
      </c>
      <c r="D5684" t="s">
        <v>4650</v>
      </c>
      <c r="E5684" t="s">
        <v>144</v>
      </c>
      <c r="F5684" s="2" t="str">
        <f>HYPERLINK("http://www.otzar.org/book.asp?625978","בית מהרא""י")</f>
        <v>בית מהרא"י</v>
      </c>
    </row>
    <row r="5685" spans="1:6" x14ac:dyDescent="0.2">
      <c r="A5685" t="s">
        <v>10372</v>
      </c>
      <c r="B5685" t="s">
        <v>10261</v>
      </c>
      <c r="C5685" t="s">
        <v>422</v>
      </c>
      <c r="D5685" t="s">
        <v>10373</v>
      </c>
      <c r="E5685" t="s">
        <v>144</v>
      </c>
      <c r="F5685" s="2" t="str">
        <f>HYPERLINK("http://www.otzar.org/book.asp?607434","בית מועד &lt;מהדורה חדשה&gt;")</f>
        <v>בית מועד &lt;מהדורה חדשה&gt;</v>
      </c>
    </row>
    <row r="5686" spans="1:6" x14ac:dyDescent="0.2">
      <c r="A5686" t="s">
        <v>10374</v>
      </c>
      <c r="B5686" t="s">
        <v>10261</v>
      </c>
      <c r="C5686" t="s">
        <v>6052</v>
      </c>
      <c r="D5686" t="s">
        <v>76</v>
      </c>
      <c r="E5686" t="s">
        <v>4260</v>
      </c>
      <c r="F5686" s="2" t="str">
        <f>HYPERLINK("http://www.otzar.org/book.asp?17305","בית מועד")</f>
        <v>בית מועד</v>
      </c>
    </row>
    <row r="5687" spans="1:6" x14ac:dyDescent="0.2">
      <c r="A5687" t="s">
        <v>10374</v>
      </c>
      <c r="B5687" t="s">
        <v>405</v>
      </c>
      <c r="C5687" t="s">
        <v>114</v>
      </c>
      <c r="D5687" t="s">
        <v>21</v>
      </c>
      <c r="E5687" t="s">
        <v>399</v>
      </c>
      <c r="F5687" s="2" t="str">
        <f>HYPERLINK("http://www.otzar.org/book.asp?197991","בית מועד")</f>
        <v>בית מועד</v>
      </c>
    </row>
    <row r="5688" spans="1:6" x14ac:dyDescent="0.2">
      <c r="A5688" t="s">
        <v>10375</v>
      </c>
      <c r="B5688" t="s">
        <v>3981</v>
      </c>
      <c r="C5688" t="s">
        <v>20</v>
      </c>
      <c r="D5688" t="s">
        <v>14</v>
      </c>
      <c r="E5688" t="s">
        <v>1072</v>
      </c>
      <c r="F5688" s="2" t="str">
        <f>HYPERLINK("http://www.otzar.org/book.asp?52184","בית מועד - שער התורה")</f>
        <v>בית מועד - שער התורה</v>
      </c>
    </row>
    <row r="5689" spans="1:6" x14ac:dyDescent="0.2">
      <c r="A5689" t="s">
        <v>10376</v>
      </c>
      <c r="B5689" t="s">
        <v>4579</v>
      </c>
      <c r="C5689" t="s">
        <v>313</v>
      </c>
      <c r="D5689" t="s">
        <v>52</v>
      </c>
      <c r="E5689" t="s">
        <v>674</v>
      </c>
      <c r="F5689" s="2" t="str">
        <f>HYPERLINK("http://www.otzar.org/book.asp?160292","בית מועד - 2 כר'")</f>
        <v>בית מועד - 2 כר'</v>
      </c>
    </row>
    <row r="5690" spans="1:6" x14ac:dyDescent="0.2">
      <c r="A5690" t="s">
        <v>10374</v>
      </c>
      <c r="B5690" t="s">
        <v>10377</v>
      </c>
      <c r="C5690" t="s">
        <v>9168</v>
      </c>
      <c r="D5690" t="s">
        <v>49</v>
      </c>
      <c r="E5690" t="s">
        <v>467</v>
      </c>
      <c r="F5690" s="2" t="str">
        <f>HYPERLINK("http://www.otzar.org/book.asp?22392","בית מועד")</f>
        <v>בית מועד</v>
      </c>
    </row>
    <row r="5691" spans="1:6" x14ac:dyDescent="0.2">
      <c r="A5691" t="s">
        <v>10376</v>
      </c>
      <c r="B5691" t="s">
        <v>10378</v>
      </c>
      <c r="C5691" t="s">
        <v>2870</v>
      </c>
      <c r="D5691" t="s">
        <v>56</v>
      </c>
      <c r="E5691" t="s">
        <v>234</v>
      </c>
      <c r="F5691" s="2" t="str">
        <f>HYPERLINK("http://www.otzar.org/book.asp?182188","בית מועד - 2 כר'")</f>
        <v>בית מועד - 2 כר'</v>
      </c>
    </row>
    <row r="5692" spans="1:6" x14ac:dyDescent="0.2">
      <c r="A5692" t="s">
        <v>10379</v>
      </c>
      <c r="B5692" t="s">
        <v>10380</v>
      </c>
      <c r="C5692" t="s">
        <v>244</v>
      </c>
      <c r="D5692" t="s">
        <v>367</v>
      </c>
      <c r="E5692" t="s">
        <v>15</v>
      </c>
      <c r="F5692" s="2" t="str">
        <f>HYPERLINK("http://www.otzar.org/book.asp?606476","בית מלא - 3 כר'")</f>
        <v>בית מלא - 3 כר'</v>
      </c>
    </row>
    <row r="5693" spans="1:6" x14ac:dyDescent="0.2">
      <c r="A5693" t="s">
        <v>10381</v>
      </c>
      <c r="B5693" t="s">
        <v>1308</v>
      </c>
      <c r="C5693" t="s">
        <v>635</v>
      </c>
      <c r="D5693" t="s">
        <v>212</v>
      </c>
      <c r="E5693" t="s">
        <v>219</v>
      </c>
      <c r="F5693" s="2" t="str">
        <f>HYPERLINK("http://www.otzar.org/book.asp?145116","בית מנוחה")</f>
        <v>בית מנוחה</v>
      </c>
    </row>
    <row r="5694" spans="1:6" x14ac:dyDescent="0.2">
      <c r="A5694" t="s">
        <v>10381</v>
      </c>
      <c r="B5694" t="s">
        <v>10069</v>
      </c>
      <c r="C5694" t="s">
        <v>429</v>
      </c>
      <c r="D5694" t="s">
        <v>212</v>
      </c>
      <c r="E5694" t="s">
        <v>24</v>
      </c>
      <c r="F5694" s="2" t="str">
        <f>HYPERLINK("http://www.otzar.org/book.asp?21884","בית מנוחה")</f>
        <v>בית מנוחה</v>
      </c>
    </row>
    <row r="5695" spans="1:6" x14ac:dyDescent="0.2">
      <c r="A5695" t="s">
        <v>10382</v>
      </c>
      <c r="B5695" t="s">
        <v>10383</v>
      </c>
      <c r="C5695" t="s">
        <v>282</v>
      </c>
      <c r="D5695" t="s">
        <v>327</v>
      </c>
      <c r="E5695" t="s">
        <v>144</v>
      </c>
      <c r="F5695" s="2" t="str">
        <f>HYPERLINK("http://www.otzar.org/book.asp?100420","בית מנחם")</f>
        <v>בית מנחם</v>
      </c>
    </row>
    <row r="5696" spans="1:6" x14ac:dyDescent="0.2">
      <c r="A5696" t="s">
        <v>10384</v>
      </c>
      <c r="B5696" t="s">
        <v>10385</v>
      </c>
      <c r="D5696" t="s">
        <v>260</v>
      </c>
      <c r="E5696" t="s">
        <v>104</v>
      </c>
      <c r="F5696" s="2" t="str">
        <f>HYPERLINK("http://www.otzar.org/book.asp?602421","בית מסחר ספרים זוהר - קטלוג")</f>
        <v>בית מסחר ספרים זוהר - קטלוג</v>
      </c>
    </row>
    <row r="5697" spans="1:6" x14ac:dyDescent="0.2">
      <c r="A5697" t="s">
        <v>10386</v>
      </c>
      <c r="B5697" t="s">
        <v>10387</v>
      </c>
      <c r="C5697" t="s">
        <v>79</v>
      </c>
      <c r="D5697" t="s">
        <v>412</v>
      </c>
      <c r="E5697" t="s">
        <v>104</v>
      </c>
      <c r="F5697" s="2" t="str">
        <f>HYPERLINK("http://www.otzar.org/book.asp?21699","בית מקדש וקרבנות")</f>
        <v>בית מקדש וקרבנות</v>
      </c>
    </row>
    <row r="5698" spans="1:6" x14ac:dyDescent="0.2">
      <c r="A5698" t="s">
        <v>10388</v>
      </c>
      <c r="B5698" t="s">
        <v>10389</v>
      </c>
      <c r="C5698" t="s">
        <v>37</v>
      </c>
      <c r="D5698" t="s">
        <v>2909</v>
      </c>
      <c r="F5698" s="2" t="str">
        <f>HYPERLINK("http://www.otzar.org/book.asp?605594","בית מקדש מעט")</f>
        <v>בית מקדש מעט</v>
      </c>
    </row>
    <row r="5699" spans="1:6" x14ac:dyDescent="0.2">
      <c r="A5699" t="s">
        <v>10390</v>
      </c>
      <c r="B5699" t="s">
        <v>10391</v>
      </c>
      <c r="C5699" t="s">
        <v>37</v>
      </c>
      <c r="D5699" t="s">
        <v>90</v>
      </c>
      <c r="E5699" t="s">
        <v>144</v>
      </c>
      <c r="F5699" s="2" t="str">
        <f>HYPERLINK("http://www.otzar.org/book.asp?193280","בית מרדכי")</f>
        <v>בית מרדכי</v>
      </c>
    </row>
    <row r="5700" spans="1:6" x14ac:dyDescent="0.2">
      <c r="A5700" t="s">
        <v>10390</v>
      </c>
      <c r="B5700" t="s">
        <v>10392</v>
      </c>
      <c r="C5700" t="s">
        <v>619</v>
      </c>
      <c r="D5700" t="s">
        <v>10393</v>
      </c>
      <c r="E5700" t="s">
        <v>172</v>
      </c>
      <c r="F5700" s="2" t="str">
        <f>HYPERLINK("http://www.otzar.org/book.asp?17307","בית מרדכי")</f>
        <v>בית מרדכי</v>
      </c>
    </row>
    <row r="5701" spans="1:6" x14ac:dyDescent="0.2">
      <c r="A5701" t="s">
        <v>10390</v>
      </c>
      <c r="B5701" t="s">
        <v>10394</v>
      </c>
      <c r="C5701" t="s">
        <v>1663</v>
      </c>
      <c r="D5701" t="s">
        <v>27</v>
      </c>
      <c r="E5701" t="s">
        <v>10395</v>
      </c>
      <c r="F5701" s="2" t="str">
        <f>HYPERLINK("http://www.otzar.org/book.asp?300458","בית מרדכי")</f>
        <v>בית מרדכי</v>
      </c>
    </row>
    <row r="5702" spans="1:6" x14ac:dyDescent="0.2">
      <c r="A5702" t="s">
        <v>10390</v>
      </c>
      <c r="B5702" t="s">
        <v>10396</v>
      </c>
      <c r="C5702" t="s">
        <v>728</v>
      </c>
      <c r="D5702" t="s">
        <v>283</v>
      </c>
      <c r="E5702" t="s">
        <v>10397</v>
      </c>
      <c r="F5702" s="2" t="str">
        <f>HYPERLINK("http://www.otzar.org/book.asp?300477","בית מרדכי")</f>
        <v>בית מרדכי</v>
      </c>
    </row>
    <row r="5703" spans="1:6" x14ac:dyDescent="0.2">
      <c r="A5703" t="s">
        <v>10390</v>
      </c>
      <c r="B5703" t="s">
        <v>10398</v>
      </c>
      <c r="C5703" t="s">
        <v>919</v>
      </c>
      <c r="D5703" t="s">
        <v>14</v>
      </c>
      <c r="E5703" t="s">
        <v>10399</v>
      </c>
      <c r="F5703" s="2" t="str">
        <f>HYPERLINK("http://www.otzar.org/book.asp?7243","בית מרדכי")</f>
        <v>בית מרדכי</v>
      </c>
    </row>
    <row r="5704" spans="1:6" x14ac:dyDescent="0.2">
      <c r="A5704" t="s">
        <v>10390</v>
      </c>
      <c r="B5704" t="s">
        <v>10400</v>
      </c>
      <c r="C5704" t="s">
        <v>146</v>
      </c>
      <c r="D5704" t="s">
        <v>52</v>
      </c>
      <c r="E5704" t="s">
        <v>104</v>
      </c>
      <c r="F5704" s="2" t="str">
        <f>HYPERLINK("http://www.otzar.org/book.asp?160552","בית מרדכי")</f>
        <v>בית מרדכי</v>
      </c>
    </row>
    <row r="5705" spans="1:6" x14ac:dyDescent="0.2">
      <c r="A5705" t="s">
        <v>10401</v>
      </c>
      <c r="B5705" t="s">
        <v>10402</v>
      </c>
      <c r="C5705" t="s">
        <v>63</v>
      </c>
      <c r="D5705" t="s">
        <v>14</v>
      </c>
      <c r="E5705" t="s">
        <v>733</v>
      </c>
      <c r="F5705" s="2" t="str">
        <f>HYPERLINK("http://www.otzar.org/book.asp?143054","בית מרדכי - 2 כר'")</f>
        <v>בית מרדכי - 2 כר'</v>
      </c>
    </row>
    <row r="5706" spans="1:6" x14ac:dyDescent="0.2">
      <c r="A5706" t="s">
        <v>10401</v>
      </c>
      <c r="B5706" t="s">
        <v>9405</v>
      </c>
      <c r="C5706" t="s">
        <v>10403</v>
      </c>
      <c r="D5706" t="s">
        <v>10404</v>
      </c>
      <c r="E5706" t="s">
        <v>435</v>
      </c>
      <c r="F5706" s="2" t="str">
        <f>HYPERLINK("http://www.otzar.org/book.asp?13717","בית מרדכי - 2 כר'")</f>
        <v>בית מרדכי - 2 כר'</v>
      </c>
    </row>
    <row r="5707" spans="1:6" x14ac:dyDescent="0.2">
      <c r="A5707" t="s">
        <v>10390</v>
      </c>
      <c r="B5707" t="s">
        <v>10405</v>
      </c>
      <c r="C5707" t="s">
        <v>224</v>
      </c>
      <c r="D5707" t="s">
        <v>100</v>
      </c>
      <c r="E5707" t="s">
        <v>154</v>
      </c>
      <c r="F5707" s="2" t="str">
        <f>HYPERLINK("http://www.otzar.org/book.asp?17306","בית מרדכי")</f>
        <v>בית מרדכי</v>
      </c>
    </row>
    <row r="5708" spans="1:6" x14ac:dyDescent="0.2">
      <c r="A5708" t="s">
        <v>10390</v>
      </c>
      <c r="B5708" t="s">
        <v>10406</v>
      </c>
      <c r="C5708" t="s">
        <v>940</v>
      </c>
      <c r="D5708" t="s">
        <v>52</v>
      </c>
      <c r="F5708" s="2" t="str">
        <f>HYPERLINK("http://www.otzar.org/book.asp?609597","בית מרדכי")</f>
        <v>בית מרדכי</v>
      </c>
    </row>
    <row r="5709" spans="1:6" x14ac:dyDescent="0.2">
      <c r="A5709" t="s">
        <v>10407</v>
      </c>
      <c r="B5709" t="s">
        <v>5703</v>
      </c>
      <c r="C5709" t="s">
        <v>10408</v>
      </c>
      <c r="D5709" t="s">
        <v>283</v>
      </c>
      <c r="E5709" t="s">
        <v>144</v>
      </c>
      <c r="F5709" s="2" t="str">
        <f>HYPERLINK("http://www.otzar.org/book.asp?300432","בית משה חיים - א, ב")</f>
        <v>בית משה חיים - א, ב</v>
      </c>
    </row>
    <row r="5710" spans="1:6" x14ac:dyDescent="0.2">
      <c r="A5710" t="s">
        <v>10409</v>
      </c>
      <c r="B5710" t="s">
        <v>10410</v>
      </c>
      <c r="C5710" t="s">
        <v>1721</v>
      </c>
      <c r="D5710" t="s">
        <v>5258</v>
      </c>
      <c r="E5710" t="s">
        <v>172</v>
      </c>
      <c r="F5710" s="2" t="str">
        <f>HYPERLINK("http://www.otzar.org/book.asp?100320","בית משה")</f>
        <v>בית משה</v>
      </c>
    </row>
    <row r="5711" spans="1:6" x14ac:dyDescent="0.2">
      <c r="A5711" t="s">
        <v>10409</v>
      </c>
      <c r="B5711" t="s">
        <v>10411</v>
      </c>
      <c r="C5711" t="s">
        <v>366</v>
      </c>
      <c r="D5711" t="s">
        <v>21</v>
      </c>
      <c r="E5711" t="s">
        <v>154</v>
      </c>
      <c r="F5711" s="2" t="str">
        <f>HYPERLINK("http://www.otzar.org/book.asp?622256","בית משה")</f>
        <v>בית משה</v>
      </c>
    </row>
    <row r="5712" spans="1:6" x14ac:dyDescent="0.2">
      <c r="A5712" t="s">
        <v>10412</v>
      </c>
      <c r="B5712" t="s">
        <v>10413</v>
      </c>
      <c r="C5712" t="s">
        <v>1228</v>
      </c>
      <c r="D5712" t="s">
        <v>225</v>
      </c>
      <c r="E5712" t="s">
        <v>10414</v>
      </c>
      <c r="F5712" s="2" t="str">
        <f>HYPERLINK("http://www.otzar.org/book.asp?100174","בית משולם")</f>
        <v>בית משולם</v>
      </c>
    </row>
    <row r="5713" spans="1:6" x14ac:dyDescent="0.2">
      <c r="A5713" t="s">
        <v>10415</v>
      </c>
      <c r="B5713" t="s">
        <v>10416</v>
      </c>
      <c r="D5713" t="s">
        <v>273</v>
      </c>
      <c r="E5713" t="s">
        <v>393</v>
      </c>
      <c r="F5713" s="2" t="str">
        <f>HYPERLINK("http://www.otzar.org/book.asp?607713","בית משיח - 2 כר'")</f>
        <v>בית משיח - 2 כר'</v>
      </c>
    </row>
    <row r="5714" spans="1:6" x14ac:dyDescent="0.2">
      <c r="A5714" t="s">
        <v>10417</v>
      </c>
      <c r="B5714" t="s">
        <v>10418</v>
      </c>
      <c r="C5714" t="s">
        <v>37</v>
      </c>
      <c r="D5714" t="s">
        <v>14</v>
      </c>
      <c r="E5714" t="s">
        <v>144</v>
      </c>
      <c r="F5714" s="2" t="str">
        <f>HYPERLINK("http://www.otzar.org/book.asp?182482","בית מתתיהו - 3 כר'")</f>
        <v>בית מתתיהו - 3 כר'</v>
      </c>
    </row>
    <row r="5715" spans="1:6" x14ac:dyDescent="0.2">
      <c r="A5715" t="s">
        <v>10419</v>
      </c>
      <c r="B5715" t="s">
        <v>10420</v>
      </c>
      <c r="C5715" t="s">
        <v>114</v>
      </c>
      <c r="D5715" t="s">
        <v>14</v>
      </c>
      <c r="E5715" t="s">
        <v>144</v>
      </c>
      <c r="F5715" s="2" t="str">
        <f>HYPERLINK("http://www.otzar.org/book.asp?159356","בית מתתיהו - 8 כר'")</f>
        <v>בית מתתיהו - 8 כר'</v>
      </c>
    </row>
    <row r="5716" spans="1:6" x14ac:dyDescent="0.2">
      <c r="A5716" t="s">
        <v>10421</v>
      </c>
      <c r="B5716" t="s">
        <v>3522</v>
      </c>
      <c r="C5716" t="s">
        <v>114</v>
      </c>
      <c r="D5716" t="s">
        <v>14</v>
      </c>
      <c r="E5716" t="s">
        <v>15</v>
      </c>
      <c r="F5716" s="2" t="str">
        <f>HYPERLINK("http://www.otzar.org/book.asp?180557","בית נאמן &lt;מהדורה חדשה&gt;")</f>
        <v>בית נאמן &lt;מהדורה חדשה&gt;</v>
      </c>
    </row>
    <row r="5717" spans="1:6" x14ac:dyDescent="0.2">
      <c r="A5717" t="s">
        <v>10422</v>
      </c>
      <c r="B5717" t="s">
        <v>10423</v>
      </c>
      <c r="C5717" t="s">
        <v>581</v>
      </c>
      <c r="D5717" t="s">
        <v>691</v>
      </c>
      <c r="E5717" t="s">
        <v>1336</v>
      </c>
      <c r="F5717" s="2" t="str">
        <f>HYPERLINK("http://www.otzar.org/book.asp?17308","בית נאמן")</f>
        <v>בית נאמן</v>
      </c>
    </row>
    <row r="5718" spans="1:6" x14ac:dyDescent="0.2">
      <c r="A5718" t="s">
        <v>10422</v>
      </c>
      <c r="B5718" t="s">
        <v>10424</v>
      </c>
      <c r="C5718" t="s">
        <v>10425</v>
      </c>
      <c r="D5718" t="s">
        <v>49</v>
      </c>
      <c r="E5718" t="s">
        <v>234</v>
      </c>
      <c r="F5718" s="2" t="str">
        <f>HYPERLINK("http://www.otzar.org/book.asp?149942","בית נאמן")</f>
        <v>בית נאמן</v>
      </c>
    </row>
    <row r="5719" spans="1:6" x14ac:dyDescent="0.2">
      <c r="A5719" t="s">
        <v>10426</v>
      </c>
      <c r="B5719" t="s">
        <v>10427</v>
      </c>
      <c r="C5719" t="s">
        <v>1811</v>
      </c>
      <c r="D5719" t="s">
        <v>14</v>
      </c>
      <c r="E5719" t="s">
        <v>104</v>
      </c>
      <c r="F5719" s="2" t="str">
        <f>HYPERLINK("http://www.otzar.org/book.asp?85173","בית נאמן - 2 כר'")</f>
        <v>בית נאמן - 2 כר'</v>
      </c>
    </row>
    <row r="5720" spans="1:6" x14ac:dyDescent="0.2">
      <c r="A5720" t="s">
        <v>10422</v>
      </c>
      <c r="B5720" t="s">
        <v>3522</v>
      </c>
      <c r="C5720" t="s">
        <v>728</v>
      </c>
      <c r="D5720" t="s">
        <v>283</v>
      </c>
      <c r="E5720" t="s">
        <v>803</v>
      </c>
      <c r="F5720" s="2" t="str">
        <f>HYPERLINK("http://www.otzar.org/book.asp?300076","בית נאמן")</f>
        <v>בית נאמן</v>
      </c>
    </row>
    <row r="5721" spans="1:6" x14ac:dyDescent="0.2">
      <c r="A5721" t="s">
        <v>10428</v>
      </c>
      <c r="B5721" t="s">
        <v>7686</v>
      </c>
      <c r="C5721" t="s">
        <v>23</v>
      </c>
      <c r="D5721" t="s">
        <v>52</v>
      </c>
      <c r="F5721" s="2" t="str">
        <f>HYPERLINK("http://www.otzar.org/book.asp?609248","בית נאמן - א")</f>
        <v>בית נאמן - א</v>
      </c>
    </row>
    <row r="5722" spans="1:6" x14ac:dyDescent="0.2">
      <c r="A5722" t="s">
        <v>10422</v>
      </c>
      <c r="B5722" t="s">
        <v>10429</v>
      </c>
      <c r="C5722" t="s">
        <v>2543</v>
      </c>
      <c r="D5722" t="s">
        <v>756</v>
      </c>
      <c r="E5722" t="s">
        <v>791</v>
      </c>
      <c r="F5722" s="2" t="str">
        <f>HYPERLINK("http://www.otzar.org/book.asp?17309","בית נאמן")</f>
        <v>בית נאמן</v>
      </c>
    </row>
    <row r="5723" spans="1:6" x14ac:dyDescent="0.2">
      <c r="A5723" t="s">
        <v>10430</v>
      </c>
      <c r="B5723" t="s">
        <v>10431</v>
      </c>
      <c r="C5723" t="s">
        <v>956</v>
      </c>
      <c r="D5723" t="s">
        <v>14</v>
      </c>
      <c r="E5723" t="s">
        <v>241</v>
      </c>
      <c r="F5723" s="2" t="str">
        <f>HYPERLINK("http://www.otzar.org/book.asp?178929","בית נחום, בית מרדכי")</f>
        <v>בית נחום, בית מרדכי</v>
      </c>
    </row>
    <row r="5724" spans="1:6" x14ac:dyDescent="0.2">
      <c r="A5724" t="s">
        <v>10432</v>
      </c>
      <c r="B5724" t="s">
        <v>10433</v>
      </c>
      <c r="C5724" t="s">
        <v>422</v>
      </c>
      <c r="D5724" t="s">
        <v>90</v>
      </c>
      <c r="E5724" t="s">
        <v>674</v>
      </c>
      <c r="F5724" s="2" t="str">
        <f>HYPERLINK("http://www.otzar.org/book.asp?64244","בית נחם יה")</f>
        <v>בית נחם יה</v>
      </c>
    </row>
    <row r="5725" spans="1:6" x14ac:dyDescent="0.2">
      <c r="A5725" t="s">
        <v>10434</v>
      </c>
      <c r="B5725" t="s">
        <v>10435</v>
      </c>
      <c r="C5725" t="s">
        <v>4705</v>
      </c>
      <c r="D5725" t="s">
        <v>322</v>
      </c>
      <c r="E5725" t="s">
        <v>2775</v>
      </c>
      <c r="F5725" s="2" t="str">
        <f>HYPERLINK("http://www.otzar.org/book.asp?102601","בית נכות ההלכות (תורתן של ראשונים) א-ב")</f>
        <v>בית נכות ההלכות (תורתן של ראשונים) א-ב</v>
      </c>
    </row>
    <row r="5726" spans="1:6" x14ac:dyDescent="0.2">
      <c r="A5726" t="s">
        <v>10436</v>
      </c>
      <c r="B5726" t="s">
        <v>10437</v>
      </c>
      <c r="C5726" t="s">
        <v>1096</v>
      </c>
      <c r="D5726" t="s">
        <v>661</v>
      </c>
      <c r="E5726" t="s">
        <v>10438</v>
      </c>
      <c r="F5726" s="2" t="str">
        <f>HYPERLINK("http://www.otzar.org/book.asp?9435","בית נפתלי - 2 כר'")</f>
        <v>בית נפתלי - 2 כר'</v>
      </c>
    </row>
    <row r="5727" spans="1:6" x14ac:dyDescent="0.2">
      <c r="A5727" t="s">
        <v>10439</v>
      </c>
      <c r="B5727" t="s">
        <v>10440</v>
      </c>
      <c r="C5727" t="s">
        <v>163</v>
      </c>
      <c r="D5727" t="s">
        <v>1459</v>
      </c>
      <c r="E5727" t="s">
        <v>803</v>
      </c>
      <c r="F5727" s="2" t="str">
        <f>HYPERLINK("http://www.otzar.org/book.asp?103482","בית נתן")</f>
        <v>בית נתן</v>
      </c>
    </row>
    <row r="5728" spans="1:6" x14ac:dyDescent="0.2">
      <c r="A5728" t="s">
        <v>10441</v>
      </c>
      <c r="B5728" t="s">
        <v>10442</v>
      </c>
      <c r="C5728" t="s">
        <v>313</v>
      </c>
      <c r="D5728" t="s">
        <v>14</v>
      </c>
      <c r="E5728" t="s">
        <v>1174</v>
      </c>
      <c r="F5728" s="2" t="str">
        <f>HYPERLINK("http://www.otzar.org/book.asp?162449","בית סופריהם - 25 כר'")</f>
        <v>בית סופריהם - 25 כר'</v>
      </c>
    </row>
    <row r="5729" spans="1:6" x14ac:dyDescent="0.2">
      <c r="A5729" t="s">
        <v>10443</v>
      </c>
      <c r="B5729" t="s">
        <v>10444</v>
      </c>
      <c r="C5729" t="s">
        <v>176</v>
      </c>
      <c r="D5729" t="s">
        <v>14</v>
      </c>
      <c r="E5729" t="s">
        <v>1174</v>
      </c>
      <c r="F5729" s="2" t="str">
        <f>HYPERLINK("http://www.otzar.org/book.asp?162443","בית סופרים - 7 כר'")</f>
        <v>בית סופרים - 7 כר'</v>
      </c>
    </row>
    <row r="5730" spans="1:6" x14ac:dyDescent="0.2">
      <c r="A5730" t="s">
        <v>10445</v>
      </c>
      <c r="B5730" t="s">
        <v>10446</v>
      </c>
      <c r="C5730" t="s">
        <v>1169</v>
      </c>
      <c r="D5730" t="s">
        <v>27</v>
      </c>
      <c r="E5730" t="s">
        <v>733</v>
      </c>
      <c r="F5730" s="2" t="str">
        <f>HYPERLINK("http://www.otzar.org/book.asp?150549","בית ספינקה")</f>
        <v>בית ספינקה</v>
      </c>
    </row>
    <row r="5731" spans="1:6" x14ac:dyDescent="0.2">
      <c r="A5731" t="s">
        <v>10447</v>
      </c>
      <c r="B5731" t="s">
        <v>10448</v>
      </c>
      <c r="C5731" t="s">
        <v>114</v>
      </c>
      <c r="D5731" t="s">
        <v>52</v>
      </c>
      <c r="E5731" t="s">
        <v>202</v>
      </c>
      <c r="F5731" s="2" t="str">
        <f>HYPERLINK("http://www.otzar.org/book.asp?625549","בית עבר - 2 כר'")</f>
        <v>בית עבר - 2 כר'</v>
      </c>
    </row>
    <row r="5732" spans="1:6" x14ac:dyDescent="0.2">
      <c r="A5732" t="s">
        <v>10449</v>
      </c>
      <c r="B5732" t="s">
        <v>10450</v>
      </c>
      <c r="C5732" t="s">
        <v>114</v>
      </c>
      <c r="D5732" t="s">
        <v>14</v>
      </c>
      <c r="E5732" t="s">
        <v>15</v>
      </c>
      <c r="F5732" s="2" t="str">
        <f>HYPERLINK("http://www.otzar.org/book.asp?167799","בית עובד - הלכות תפילין &lt;הערות ומקורות&gt;")</f>
        <v>בית עובד - הלכות תפילין &lt;הערות ומקורות&gt;</v>
      </c>
    </row>
    <row r="5733" spans="1:6" x14ac:dyDescent="0.2">
      <c r="A5733" t="s">
        <v>10451</v>
      </c>
      <c r="B5733" t="s">
        <v>10069</v>
      </c>
      <c r="C5733" t="s">
        <v>649</v>
      </c>
      <c r="D5733" t="s">
        <v>212</v>
      </c>
      <c r="E5733" t="s">
        <v>24</v>
      </c>
      <c r="F5733" s="2" t="str">
        <f>HYPERLINK("http://www.otzar.org/book.asp?21885","בית עובד")</f>
        <v>בית עובד</v>
      </c>
    </row>
    <row r="5734" spans="1:6" x14ac:dyDescent="0.2">
      <c r="A5734" t="s">
        <v>10451</v>
      </c>
      <c r="B5734" t="s">
        <v>10452</v>
      </c>
      <c r="C5734" t="s">
        <v>75</v>
      </c>
      <c r="D5734" t="s">
        <v>212</v>
      </c>
      <c r="E5734" t="s">
        <v>219</v>
      </c>
      <c r="F5734" s="2" t="str">
        <f>HYPERLINK("http://www.otzar.org/book.asp?169801","בית עובד")</f>
        <v>בית עובד</v>
      </c>
    </row>
    <row r="5735" spans="1:6" x14ac:dyDescent="0.2">
      <c r="A5735" t="s">
        <v>10453</v>
      </c>
      <c r="B5735" t="s">
        <v>3522</v>
      </c>
      <c r="C5735" t="s">
        <v>1047</v>
      </c>
      <c r="D5735" t="s">
        <v>283</v>
      </c>
      <c r="E5735" t="s">
        <v>399</v>
      </c>
      <c r="F5735" s="2" t="str">
        <f>HYPERLINK("http://www.otzar.org/book.asp?15956","בית עולמים")</f>
        <v>בית עולמים</v>
      </c>
    </row>
    <row r="5736" spans="1:6" x14ac:dyDescent="0.2">
      <c r="A5736" t="s">
        <v>10454</v>
      </c>
      <c r="B5736" t="s">
        <v>10435</v>
      </c>
      <c r="C5736" t="s">
        <v>10455</v>
      </c>
      <c r="D5736" t="s">
        <v>322</v>
      </c>
      <c r="E5736" t="s">
        <v>43</v>
      </c>
      <c r="F5736" s="2" t="str">
        <f>HYPERLINK("http://www.otzar.org/book.asp?8784","בית עקד האגדות")</f>
        <v>בית עקד האגדות</v>
      </c>
    </row>
    <row r="5737" spans="1:6" x14ac:dyDescent="0.2">
      <c r="A5737" t="s">
        <v>10456</v>
      </c>
      <c r="B5737" t="s">
        <v>2991</v>
      </c>
      <c r="C5737" t="s">
        <v>356</v>
      </c>
      <c r="D5737" t="s">
        <v>139</v>
      </c>
      <c r="E5737" t="s">
        <v>104</v>
      </c>
      <c r="F5737" s="2" t="str">
        <f>HYPERLINK("http://www.otzar.org/book.asp?175842","בית עקד ספרים החדש - 5 כר'")</f>
        <v>בית עקד ספרים החדש - 5 כר'</v>
      </c>
    </row>
    <row r="5738" spans="1:6" x14ac:dyDescent="0.2">
      <c r="A5738" t="s">
        <v>10457</v>
      </c>
      <c r="B5738" t="s">
        <v>10458</v>
      </c>
      <c r="C5738" t="s">
        <v>10459</v>
      </c>
      <c r="D5738" t="s">
        <v>260</v>
      </c>
      <c r="E5738" t="s">
        <v>104</v>
      </c>
      <c r="F5738" s="2" t="str">
        <f>HYPERLINK("http://www.otzar.org/book.asp?196459","בית עקד ספרים - 4 כר'")</f>
        <v>בית עקד ספרים - 4 כר'</v>
      </c>
    </row>
    <row r="5739" spans="1:6" x14ac:dyDescent="0.2">
      <c r="A5739" t="s">
        <v>10460</v>
      </c>
      <c r="B5739" t="s">
        <v>10461</v>
      </c>
      <c r="C5739" t="s">
        <v>2644</v>
      </c>
      <c r="D5739" t="s">
        <v>27</v>
      </c>
      <c r="E5739" t="s">
        <v>564</v>
      </c>
      <c r="F5739" s="2" t="str">
        <f>HYPERLINK("http://www.otzar.org/book.asp?300429","בית פגא")</f>
        <v>בית פגא</v>
      </c>
    </row>
    <row r="5740" spans="1:6" x14ac:dyDescent="0.2">
      <c r="A5740" t="s">
        <v>10462</v>
      </c>
      <c r="B5740" t="s">
        <v>10463</v>
      </c>
      <c r="C5740" t="s">
        <v>438</v>
      </c>
      <c r="D5740" t="s">
        <v>646</v>
      </c>
      <c r="E5740" t="s">
        <v>158</v>
      </c>
      <c r="F5740" s="2" t="str">
        <f>HYPERLINK("http://www.otzar.org/book.asp?176800","בית פינחס &lt;תורה&gt; - א")</f>
        <v>בית פינחס &lt;תורה&gt; - א</v>
      </c>
    </row>
    <row r="5741" spans="1:6" x14ac:dyDescent="0.2">
      <c r="A5741" t="s">
        <v>10464</v>
      </c>
      <c r="B5741" t="s">
        <v>10465</v>
      </c>
      <c r="C5741" t="s">
        <v>10466</v>
      </c>
      <c r="D5741" t="s">
        <v>379</v>
      </c>
      <c r="E5741" t="s">
        <v>144</v>
      </c>
      <c r="F5741" s="2" t="str">
        <f>HYPERLINK("http://www.otzar.org/book.asp?13725","בית פינחס - 2 כר'")</f>
        <v>בית פינחס - 2 כר'</v>
      </c>
    </row>
    <row r="5742" spans="1:6" x14ac:dyDescent="0.2">
      <c r="A5742" t="s">
        <v>10464</v>
      </c>
      <c r="B5742" t="s">
        <v>10463</v>
      </c>
      <c r="C5742" t="s">
        <v>438</v>
      </c>
      <c r="D5742" t="s">
        <v>646</v>
      </c>
      <c r="E5742" t="s">
        <v>144</v>
      </c>
      <c r="F5742" s="2" t="str">
        <f>HYPERLINK("http://www.otzar.org/book.asp?9348","בית פינחס - 2 כר'")</f>
        <v>בית פינחס - 2 כר'</v>
      </c>
    </row>
    <row r="5743" spans="1:6" x14ac:dyDescent="0.2">
      <c r="A5743" t="s">
        <v>10467</v>
      </c>
      <c r="B5743" t="s">
        <v>10468</v>
      </c>
      <c r="C5743" t="s">
        <v>151</v>
      </c>
      <c r="D5743" t="s">
        <v>152</v>
      </c>
      <c r="E5743" t="s">
        <v>186</v>
      </c>
      <c r="F5743" s="2" t="str">
        <f>HYPERLINK("http://www.otzar.org/book.asp?622012","בית פנחס")</f>
        <v>בית פנחס</v>
      </c>
    </row>
    <row r="5744" spans="1:6" x14ac:dyDescent="0.2">
      <c r="A5744" t="s">
        <v>10467</v>
      </c>
      <c r="B5744" t="s">
        <v>10469</v>
      </c>
      <c r="C5744" t="s">
        <v>496</v>
      </c>
      <c r="D5744" t="s">
        <v>225</v>
      </c>
      <c r="E5744" t="s">
        <v>144</v>
      </c>
      <c r="F5744" s="2" t="str">
        <f>HYPERLINK("http://www.otzar.org/book.asp?5074","בית פנחס")</f>
        <v>בית פנחס</v>
      </c>
    </row>
    <row r="5745" spans="1:6" x14ac:dyDescent="0.2">
      <c r="A5745" t="s">
        <v>10467</v>
      </c>
      <c r="B5745" t="s">
        <v>824</v>
      </c>
      <c r="C5745" t="s">
        <v>427</v>
      </c>
      <c r="D5745" t="s">
        <v>115</v>
      </c>
      <c r="E5745" t="s">
        <v>435</v>
      </c>
      <c r="F5745" s="2" t="str">
        <f>HYPERLINK("http://www.otzar.org/book.asp?176826","בית פנחס")</f>
        <v>בית פנחס</v>
      </c>
    </row>
    <row r="5746" spans="1:6" x14ac:dyDescent="0.2">
      <c r="A5746" t="s">
        <v>10467</v>
      </c>
      <c r="B5746" t="s">
        <v>10470</v>
      </c>
      <c r="C5746" t="s">
        <v>99</v>
      </c>
      <c r="D5746" t="s">
        <v>691</v>
      </c>
      <c r="E5746" t="s">
        <v>140</v>
      </c>
      <c r="F5746" s="2" t="str">
        <f>HYPERLINK("http://www.otzar.org/book.asp?200324","בית פנחס")</f>
        <v>בית פנחס</v>
      </c>
    </row>
    <row r="5747" spans="1:6" x14ac:dyDescent="0.2">
      <c r="A5747" t="s">
        <v>10471</v>
      </c>
      <c r="B5747" t="s">
        <v>10472</v>
      </c>
      <c r="C5747" t="s">
        <v>2306</v>
      </c>
      <c r="D5747" t="s">
        <v>60</v>
      </c>
      <c r="E5747" t="s">
        <v>10473</v>
      </c>
      <c r="F5747" s="2" t="str">
        <f>HYPERLINK("http://www.otzar.org/book.asp?146701","בית פרץ")</f>
        <v>בית פרץ</v>
      </c>
    </row>
    <row r="5748" spans="1:6" x14ac:dyDescent="0.2">
      <c r="A5748" t="s">
        <v>10474</v>
      </c>
      <c r="B5748" t="s">
        <v>10475</v>
      </c>
      <c r="C5748" t="s">
        <v>51</v>
      </c>
      <c r="D5748" t="s">
        <v>14</v>
      </c>
      <c r="E5748" t="s">
        <v>10476</v>
      </c>
      <c r="F5748" s="2" t="str">
        <f>HYPERLINK("http://www.otzar.org/book.asp?168209","בית פרץ - בני משה - שם משה")</f>
        <v>בית פרץ - בני משה - שם משה</v>
      </c>
    </row>
    <row r="5749" spans="1:6" x14ac:dyDescent="0.2">
      <c r="A5749" t="s">
        <v>10471</v>
      </c>
      <c r="B5749" t="s">
        <v>10477</v>
      </c>
      <c r="C5749" t="s">
        <v>1679</v>
      </c>
      <c r="D5749" t="s">
        <v>4352</v>
      </c>
      <c r="E5749" t="s">
        <v>144</v>
      </c>
      <c r="F5749" s="2" t="str">
        <f>HYPERLINK("http://www.otzar.org/book.asp?9217","בית פרץ")</f>
        <v>בית פרץ</v>
      </c>
    </row>
    <row r="5750" spans="1:6" x14ac:dyDescent="0.2">
      <c r="A5750" t="s">
        <v>10478</v>
      </c>
      <c r="B5750" t="s">
        <v>2516</v>
      </c>
      <c r="C5750" t="s">
        <v>10479</v>
      </c>
      <c r="D5750" t="s">
        <v>10480</v>
      </c>
      <c r="F5750" s="2" t="str">
        <f>HYPERLINK("http://www.otzar.org/book.asp?608917","בית צדיק")</f>
        <v>בית צדיק</v>
      </c>
    </row>
    <row r="5751" spans="1:6" x14ac:dyDescent="0.2">
      <c r="A5751" t="s">
        <v>10481</v>
      </c>
      <c r="B5751" t="s">
        <v>10056</v>
      </c>
      <c r="C5751" t="s">
        <v>17</v>
      </c>
      <c r="D5751" t="s">
        <v>412</v>
      </c>
      <c r="E5751" t="s">
        <v>10482</v>
      </c>
      <c r="F5751" s="2" t="str">
        <f>HYPERLINK("http://www.otzar.org/book.asp?198683","בית צדיקים (באבוב)")</f>
        <v>בית צדיקים (באבוב)</v>
      </c>
    </row>
    <row r="5752" spans="1:6" x14ac:dyDescent="0.2">
      <c r="A5752" t="s">
        <v>10483</v>
      </c>
      <c r="B5752" t="s">
        <v>10056</v>
      </c>
      <c r="C5752" t="s">
        <v>103</v>
      </c>
      <c r="D5752" t="s">
        <v>412</v>
      </c>
      <c r="E5752" t="s">
        <v>104</v>
      </c>
      <c r="F5752" s="2" t="str">
        <f>HYPERLINK("http://www.otzar.org/book.asp?199296","בית צדיקים יעמוד - 3 כר'")</f>
        <v>בית צדיקים יעמוד - 3 כר'</v>
      </c>
    </row>
    <row r="5753" spans="1:6" x14ac:dyDescent="0.2">
      <c r="A5753" t="s">
        <v>10484</v>
      </c>
      <c r="B5753" t="s">
        <v>10485</v>
      </c>
      <c r="C5753" t="s">
        <v>2874</v>
      </c>
      <c r="D5753" t="s">
        <v>1422</v>
      </c>
      <c r="E5753" t="s">
        <v>140</v>
      </c>
      <c r="F5753" s="2" t="str">
        <f>HYPERLINK("http://www.otzar.org/book.asp?15962","בית צדיקים")</f>
        <v>בית צדיקים</v>
      </c>
    </row>
    <row r="5754" spans="1:6" x14ac:dyDescent="0.2">
      <c r="A5754" t="s">
        <v>10486</v>
      </c>
      <c r="B5754" t="s">
        <v>10487</v>
      </c>
      <c r="C5754" t="s">
        <v>20</v>
      </c>
      <c r="D5754" t="s">
        <v>90</v>
      </c>
      <c r="E5754" t="s">
        <v>144</v>
      </c>
      <c r="F5754" s="2" t="str">
        <f>HYPERLINK("http://www.otzar.org/book.asp?51162","בית ציון")</f>
        <v>בית ציון</v>
      </c>
    </row>
    <row r="5755" spans="1:6" x14ac:dyDescent="0.2">
      <c r="A5755" t="s">
        <v>10488</v>
      </c>
      <c r="B5755" t="s">
        <v>10489</v>
      </c>
      <c r="C5755" t="s">
        <v>10490</v>
      </c>
      <c r="D5755" t="s">
        <v>4269</v>
      </c>
      <c r="E5755" t="s">
        <v>1211</v>
      </c>
      <c r="F5755" s="2" t="str">
        <f>HYPERLINK("http://www.otzar.org/book.asp?105291","בית ציון - 3 כר'")</f>
        <v>בית ציון - 3 כר'</v>
      </c>
    </row>
    <row r="5756" spans="1:6" x14ac:dyDescent="0.2">
      <c r="A5756" t="s">
        <v>10491</v>
      </c>
      <c r="B5756" t="s">
        <v>10492</v>
      </c>
      <c r="C5756" t="s">
        <v>1650</v>
      </c>
      <c r="D5756" t="s">
        <v>9</v>
      </c>
      <c r="E5756" t="s">
        <v>15</v>
      </c>
      <c r="F5756" s="2" t="str">
        <f>HYPERLINK("http://www.otzar.org/book.asp?141218","בית ציון - 2 כר'")</f>
        <v>בית ציון - 2 כר'</v>
      </c>
    </row>
    <row r="5757" spans="1:6" x14ac:dyDescent="0.2">
      <c r="A5757" t="s">
        <v>10493</v>
      </c>
      <c r="B5757" t="s">
        <v>10494</v>
      </c>
      <c r="C5757" t="s">
        <v>454</v>
      </c>
      <c r="D5757" t="s">
        <v>657</v>
      </c>
      <c r="E5757" t="s">
        <v>4333</v>
      </c>
      <c r="F5757" s="2" t="str">
        <f>HYPERLINK("http://www.otzar.org/book.asp?50036","בית קדשנו ותפארתנו - 2 כר'")</f>
        <v>בית קדשנו ותפארתנו - 2 כר'</v>
      </c>
    </row>
    <row r="5758" spans="1:6" x14ac:dyDescent="0.2">
      <c r="A5758" t="s">
        <v>10495</v>
      </c>
      <c r="B5758" t="s">
        <v>9479</v>
      </c>
      <c r="C5758" t="s">
        <v>1640</v>
      </c>
      <c r="D5758" t="s">
        <v>14</v>
      </c>
      <c r="E5758" t="s">
        <v>119</v>
      </c>
      <c r="F5758" s="2" t="str">
        <f>HYPERLINK("http://www.otzar.org/book.asp?144471","בית קומרנא")</f>
        <v>בית קומרנא</v>
      </c>
    </row>
    <row r="5759" spans="1:6" x14ac:dyDescent="0.2">
      <c r="A5759" t="s">
        <v>10496</v>
      </c>
      <c r="B5759" t="s">
        <v>10446</v>
      </c>
      <c r="C5759" t="s">
        <v>1169</v>
      </c>
      <c r="D5759" t="s">
        <v>27</v>
      </c>
      <c r="E5759" t="s">
        <v>226</v>
      </c>
      <c r="F5759" s="2" t="str">
        <f>HYPERLINK("http://www.otzar.org/book.asp?8241","בית קוצק - 4 כר'")</f>
        <v>בית קוצק - 4 כר'</v>
      </c>
    </row>
    <row r="5760" spans="1:6" x14ac:dyDescent="0.2">
      <c r="A5760" t="s">
        <v>10497</v>
      </c>
      <c r="B5760" t="s">
        <v>10498</v>
      </c>
      <c r="C5760" t="s">
        <v>366</v>
      </c>
      <c r="D5760" t="s">
        <v>90</v>
      </c>
      <c r="F5760" s="2" t="str">
        <f>HYPERLINK("http://www.otzar.org/book.asp?610059","בית קטן")</f>
        <v>בית קטן</v>
      </c>
    </row>
    <row r="5761" spans="1:6" x14ac:dyDescent="0.2">
      <c r="A5761" t="s">
        <v>10499</v>
      </c>
      <c r="B5761" t="s">
        <v>10500</v>
      </c>
      <c r="C5761" t="s">
        <v>51</v>
      </c>
      <c r="D5761" t="s">
        <v>52</v>
      </c>
      <c r="E5761" t="s">
        <v>714</v>
      </c>
      <c r="F5761" s="2" t="str">
        <f>HYPERLINK("http://www.otzar.org/book.asp?165924","בית קלם - 4 כר'")</f>
        <v>בית קלם - 4 כר'</v>
      </c>
    </row>
    <row r="5762" spans="1:6" x14ac:dyDescent="0.2">
      <c r="A5762" t="s">
        <v>10501</v>
      </c>
      <c r="B5762" t="s">
        <v>10502</v>
      </c>
      <c r="C5762" t="s">
        <v>151</v>
      </c>
      <c r="D5762" t="s">
        <v>52</v>
      </c>
      <c r="F5762" s="2" t="str">
        <f>HYPERLINK("http://www.otzar.org/book.asp?613599","בית קעלם - 2 כר'")</f>
        <v>בית קעלם - 2 כר'</v>
      </c>
    </row>
    <row r="5763" spans="1:6" x14ac:dyDescent="0.2">
      <c r="A5763" t="s">
        <v>10503</v>
      </c>
      <c r="B5763" t="s">
        <v>10504</v>
      </c>
      <c r="C5763" t="s">
        <v>1268</v>
      </c>
      <c r="D5763" t="s">
        <v>216</v>
      </c>
      <c r="E5763" t="s">
        <v>226</v>
      </c>
      <c r="F5763" s="2" t="str">
        <f>HYPERLINK("http://www.otzar.org/book.asp?83797","בית קרלין סטולין")</f>
        <v>בית קרלין סטולין</v>
      </c>
    </row>
    <row r="5764" spans="1:6" x14ac:dyDescent="0.2">
      <c r="A5764" t="s">
        <v>10505</v>
      </c>
      <c r="B5764" t="s">
        <v>10505</v>
      </c>
      <c r="C5764" t="s">
        <v>20</v>
      </c>
      <c r="D5764" t="s">
        <v>90</v>
      </c>
      <c r="E5764" t="s">
        <v>140</v>
      </c>
      <c r="F5764" s="2" t="str">
        <f>HYPERLINK("http://www.otzar.org/book.asp?193090","בית קרעטשניף")</f>
        <v>בית קרעטשניף</v>
      </c>
    </row>
    <row r="5765" spans="1:6" x14ac:dyDescent="0.2">
      <c r="A5765" t="s">
        <v>10506</v>
      </c>
      <c r="B5765" t="s">
        <v>10507</v>
      </c>
      <c r="C5765" t="s">
        <v>103</v>
      </c>
      <c r="D5765" t="s">
        <v>14</v>
      </c>
      <c r="E5765" t="s">
        <v>154</v>
      </c>
      <c r="F5765" s="2" t="str">
        <f>HYPERLINK("http://www.otzar.org/book.asp?50240","בית ראובן - 3 כר'")</f>
        <v>בית ראובן - 3 כר'</v>
      </c>
    </row>
    <row r="5766" spans="1:6" x14ac:dyDescent="0.2">
      <c r="A5766" t="s">
        <v>10508</v>
      </c>
      <c r="B5766" t="s">
        <v>10509</v>
      </c>
      <c r="C5766" t="s">
        <v>37</v>
      </c>
      <c r="D5766" t="s">
        <v>14</v>
      </c>
      <c r="E5766" t="s">
        <v>393</v>
      </c>
      <c r="F5766" s="2" t="str">
        <f>HYPERLINK("http://www.otzar.org/book.asp?189098","בית רבי &lt;מהדורה חדשה&gt;")</f>
        <v>בית רבי &lt;מהדורה חדשה&gt;</v>
      </c>
    </row>
    <row r="5767" spans="1:6" x14ac:dyDescent="0.2">
      <c r="A5767" t="s">
        <v>10510</v>
      </c>
      <c r="B5767" t="s">
        <v>10509</v>
      </c>
      <c r="C5767" t="s">
        <v>854</v>
      </c>
      <c r="D5767" t="s">
        <v>4269</v>
      </c>
      <c r="E5767" t="s">
        <v>10511</v>
      </c>
      <c r="F5767" s="2" t="str">
        <f>HYPERLINK("http://www.otzar.org/book.asp?637","בית רבי")</f>
        <v>בית רבי</v>
      </c>
    </row>
    <row r="5768" spans="1:6" x14ac:dyDescent="0.2">
      <c r="A5768" t="s">
        <v>10512</v>
      </c>
      <c r="B5768" t="s">
        <v>1733</v>
      </c>
      <c r="C5768" t="s">
        <v>553</v>
      </c>
      <c r="D5768" t="s">
        <v>52</v>
      </c>
      <c r="E5768" t="s">
        <v>119</v>
      </c>
      <c r="F5768" s="2" t="str">
        <f>HYPERLINK("http://www.otzar.org/book.asp?60752","בית רוז'ין")</f>
        <v>בית רוז'ין</v>
      </c>
    </row>
    <row r="5769" spans="1:6" x14ac:dyDescent="0.2">
      <c r="A5769" t="s">
        <v>10513</v>
      </c>
      <c r="B5769" t="s">
        <v>2688</v>
      </c>
      <c r="C5769" t="s">
        <v>383</v>
      </c>
      <c r="D5769" t="s">
        <v>412</v>
      </c>
      <c r="E5769" t="s">
        <v>674</v>
      </c>
      <c r="F5769" s="2" t="str">
        <f>HYPERLINK("http://www.otzar.org/book.asp?142504","בית רחל (משנה הלכות) &lt;טקסט&gt;")</f>
        <v>בית רחל (משנה הלכות) &lt;טקסט&gt;</v>
      </c>
    </row>
    <row r="5770" spans="1:6" x14ac:dyDescent="0.2">
      <c r="A5770" t="s">
        <v>10514</v>
      </c>
      <c r="B5770" t="s">
        <v>2688</v>
      </c>
      <c r="C5770" t="s">
        <v>383</v>
      </c>
      <c r="D5770" t="s">
        <v>412</v>
      </c>
      <c r="E5770" t="s">
        <v>674</v>
      </c>
      <c r="F5770" s="2" t="str">
        <f>HYPERLINK("http://www.otzar.org/book.asp?21615","בית רחל (משנה הלכות)")</f>
        <v>בית רחל (משנה הלכות)</v>
      </c>
    </row>
    <row r="5771" spans="1:6" x14ac:dyDescent="0.2">
      <c r="A5771" t="s">
        <v>10515</v>
      </c>
      <c r="B5771" t="s">
        <v>7914</v>
      </c>
      <c r="C5771" t="s">
        <v>133</v>
      </c>
      <c r="D5771" t="s">
        <v>14</v>
      </c>
      <c r="E5771" t="s">
        <v>1880</v>
      </c>
      <c r="F5771" s="2" t="str">
        <f>HYPERLINK("http://www.otzar.org/book.asp?622098","בית רחמים - 2 כר'")</f>
        <v>בית רחמים - 2 כר'</v>
      </c>
    </row>
    <row r="5772" spans="1:6" x14ac:dyDescent="0.2">
      <c r="A5772" t="s">
        <v>10516</v>
      </c>
      <c r="B5772" t="s">
        <v>10517</v>
      </c>
      <c r="C5772" t="s">
        <v>462</v>
      </c>
      <c r="D5772" t="s">
        <v>27</v>
      </c>
      <c r="E5772" t="s">
        <v>2509</v>
      </c>
      <c r="F5772" s="2" t="str">
        <f>HYPERLINK("http://www.otzar.org/book.asp?100177","בית רידב""ז")</f>
        <v>בית רידב"ז</v>
      </c>
    </row>
    <row r="5773" spans="1:6" x14ac:dyDescent="0.2">
      <c r="A5773" t="s">
        <v>10518</v>
      </c>
      <c r="B5773" t="s">
        <v>10519</v>
      </c>
      <c r="C5773" t="s">
        <v>748</v>
      </c>
      <c r="D5773" t="s">
        <v>283</v>
      </c>
      <c r="E5773" t="s">
        <v>10</v>
      </c>
      <c r="F5773" s="2" t="str">
        <f>HYPERLINK("http://www.otzar.org/book.asp?141220","בית שאול")</f>
        <v>בית שאול</v>
      </c>
    </row>
    <row r="5774" spans="1:6" x14ac:dyDescent="0.2">
      <c r="A5774" t="s">
        <v>10520</v>
      </c>
      <c r="B5774" t="s">
        <v>10521</v>
      </c>
      <c r="C5774" t="s">
        <v>114</v>
      </c>
      <c r="D5774" t="s">
        <v>152</v>
      </c>
      <c r="E5774" t="s">
        <v>241</v>
      </c>
      <c r="F5774" s="2" t="str">
        <f>HYPERLINK("http://www.otzar.org/book.asp?181903","בית של עושר וכבוד")</f>
        <v>בית של עושר וכבוד</v>
      </c>
    </row>
    <row r="5775" spans="1:6" x14ac:dyDescent="0.2">
      <c r="A5775" t="s">
        <v>10522</v>
      </c>
      <c r="B5775" t="s">
        <v>10523</v>
      </c>
      <c r="C5775" t="s">
        <v>37</v>
      </c>
      <c r="D5775" t="s">
        <v>21</v>
      </c>
      <c r="F5775" s="2" t="str">
        <f>HYPERLINK("http://www.otzar.org/book.asp?603153","בית של תורה")</f>
        <v>בית של תורה</v>
      </c>
    </row>
    <row r="5776" spans="1:6" x14ac:dyDescent="0.2">
      <c r="A5776" t="s">
        <v>10524</v>
      </c>
      <c r="B5776" t="s">
        <v>10525</v>
      </c>
      <c r="C5776" t="s">
        <v>79</v>
      </c>
      <c r="D5776" t="s">
        <v>27</v>
      </c>
      <c r="E5776" t="s">
        <v>1185</v>
      </c>
      <c r="F5776" s="2" t="str">
        <f>HYPERLINK("http://www.otzar.org/book.asp?5446","בית שלום")</f>
        <v>בית שלום</v>
      </c>
    </row>
    <row r="5777" spans="1:6" x14ac:dyDescent="0.2">
      <c r="A5777" t="s">
        <v>10524</v>
      </c>
      <c r="B5777" t="s">
        <v>10526</v>
      </c>
      <c r="C5777" t="s">
        <v>26</v>
      </c>
      <c r="D5777" t="s">
        <v>412</v>
      </c>
      <c r="F5777" s="2" t="str">
        <f>HYPERLINK("http://www.otzar.org/book.asp?616031","בית שלום")</f>
        <v>בית שלום</v>
      </c>
    </row>
    <row r="5778" spans="1:6" x14ac:dyDescent="0.2">
      <c r="A5778" t="s">
        <v>10524</v>
      </c>
      <c r="B5778" t="s">
        <v>10527</v>
      </c>
      <c r="C5778" t="s">
        <v>13</v>
      </c>
      <c r="D5778" t="s">
        <v>646</v>
      </c>
      <c r="E5778" t="s">
        <v>199</v>
      </c>
      <c r="F5778" s="2" t="str">
        <f>HYPERLINK("http://www.otzar.org/book.asp?155417","בית שלום")</f>
        <v>בית שלום</v>
      </c>
    </row>
    <row r="5779" spans="1:6" x14ac:dyDescent="0.2">
      <c r="A5779" t="s">
        <v>10528</v>
      </c>
      <c r="B5779" t="s">
        <v>10529</v>
      </c>
      <c r="C5779" t="s">
        <v>189</v>
      </c>
      <c r="D5779" t="s">
        <v>412</v>
      </c>
      <c r="E5779" t="s">
        <v>226</v>
      </c>
      <c r="F5779" s="2" t="str">
        <f>HYPERLINK("http://www.otzar.org/book.asp?173049","בית שלמה &lt;שושלת מונקאטש&gt;")</f>
        <v>בית שלמה &lt;שושלת מונקאטש&gt;</v>
      </c>
    </row>
    <row r="5780" spans="1:6" x14ac:dyDescent="0.2">
      <c r="A5780" t="s">
        <v>10530</v>
      </c>
      <c r="B5780" t="s">
        <v>10531</v>
      </c>
      <c r="C5780" t="s">
        <v>366</v>
      </c>
      <c r="D5780" t="s">
        <v>14</v>
      </c>
      <c r="E5780" t="s">
        <v>154</v>
      </c>
      <c r="F5780" s="2" t="str">
        <f>HYPERLINK("http://www.otzar.org/book.asp?606238","בית שלמה &lt;מהדורה חדשה&gt; - 10 כר'")</f>
        <v>בית שלמה &lt;מהדורה חדשה&gt; - 10 כר'</v>
      </c>
    </row>
    <row r="5781" spans="1:6" x14ac:dyDescent="0.2">
      <c r="A5781" t="s">
        <v>10532</v>
      </c>
      <c r="B5781" t="s">
        <v>10533</v>
      </c>
      <c r="C5781" t="s">
        <v>617</v>
      </c>
      <c r="D5781" t="s">
        <v>56</v>
      </c>
      <c r="E5781" t="s">
        <v>714</v>
      </c>
      <c r="F5781" s="2" t="str">
        <f>HYPERLINK("http://www.otzar.org/book.asp?300411","בית שלמה")</f>
        <v>בית שלמה</v>
      </c>
    </row>
    <row r="5782" spans="1:6" x14ac:dyDescent="0.2">
      <c r="A5782" t="s">
        <v>10534</v>
      </c>
      <c r="B5782" t="s">
        <v>10535</v>
      </c>
      <c r="C5782" t="s">
        <v>3635</v>
      </c>
      <c r="D5782" t="s">
        <v>60</v>
      </c>
      <c r="E5782" t="s">
        <v>1847</v>
      </c>
      <c r="F5782" s="2" t="str">
        <f>HYPERLINK("http://www.otzar.org/book.asp?17311","בית שלמה - 2 כר'")</f>
        <v>בית שלמה - 2 כר'</v>
      </c>
    </row>
    <row r="5783" spans="1:6" x14ac:dyDescent="0.2">
      <c r="A5783" t="s">
        <v>10534</v>
      </c>
      <c r="B5783" t="s">
        <v>10536</v>
      </c>
      <c r="C5783" t="s">
        <v>99</v>
      </c>
      <c r="D5783" t="s">
        <v>27</v>
      </c>
      <c r="E5783" t="s">
        <v>234</v>
      </c>
      <c r="F5783" s="2" t="str">
        <f>HYPERLINK("http://www.otzar.org/book.asp?102602","בית שלמה - 2 כר'")</f>
        <v>בית שלמה - 2 כר'</v>
      </c>
    </row>
    <row r="5784" spans="1:6" x14ac:dyDescent="0.2">
      <c r="A5784" t="s">
        <v>10532</v>
      </c>
      <c r="B5784" t="s">
        <v>10537</v>
      </c>
      <c r="C5784" t="s">
        <v>10538</v>
      </c>
      <c r="D5784" t="s">
        <v>76</v>
      </c>
      <c r="E5784" t="s">
        <v>154</v>
      </c>
      <c r="F5784" s="2" t="str">
        <f>HYPERLINK("http://www.otzar.org/book.asp?100423","בית שלמה")</f>
        <v>בית שלמה</v>
      </c>
    </row>
    <row r="5785" spans="1:6" x14ac:dyDescent="0.2">
      <c r="A5785" t="s">
        <v>10539</v>
      </c>
      <c r="B5785" t="s">
        <v>10529</v>
      </c>
      <c r="C5785" t="s">
        <v>506</v>
      </c>
      <c r="D5785" t="s">
        <v>10540</v>
      </c>
      <c r="E5785" t="s">
        <v>226</v>
      </c>
      <c r="F5785" s="2" t="str">
        <f>HYPERLINK("http://www.otzar.org/book.asp?15963","בית שלמה - 3 כר'")</f>
        <v>בית שלמה - 3 כר'</v>
      </c>
    </row>
    <row r="5786" spans="1:6" x14ac:dyDescent="0.2">
      <c r="A5786" t="s">
        <v>10541</v>
      </c>
      <c r="B5786" t="s">
        <v>10531</v>
      </c>
      <c r="C5786" t="s">
        <v>422</v>
      </c>
      <c r="D5786" t="s">
        <v>14</v>
      </c>
      <c r="E5786" t="s">
        <v>10</v>
      </c>
      <c r="F5786" s="2" t="str">
        <f>HYPERLINK("http://www.otzar.org/book.asp?158134","בית שלמה - 6 כר'")</f>
        <v>בית שלמה - 6 כר'</v>
      </c>
    </row>
    <row r="5787" spans="1:6" x14ac:dyDescent="0.2">
      <c r="A5787" t="s">
        <v>10542</v>
      </c>
      <c r="B5787" t="s">
        <v>10543</v>
      </c>
      <c r="C5787" t="s">
        <v>1096</v>
      </c>
      <c r="D5787" t="s">
        <v>27</v>
      </c>
      <c r="E5787" t="s">
        <v>15</v>
      </c>
      <c r="F5787" s="2" t="str">
        <f>HYPERLINK("http://www.otzar.org/book.asp?8806","בית שלמה - 4 כר'")</f>
        <v>בית שלמה - 4 כר'</v>
      </c>
    </row>
    <row r="5788" spans="1:6" x14ac:dyDescent="0.2">
      <c r="A5788" t="s">
        <v>10532</v>
      </c>
      <c r="B5788" t="s">
        <v>10544</v>
      </c>
      <c r="C5788" t="s">
        <v>8</v>
      </c>
      <c r="D5788" t="s">
        <v>3293</v>
      </c>
      <c r="E5788" t="s">
        <v>435</v>
      </c>
      <c r="F5788" s="2" t="str">
        <f>HYPERLINK("http://www.otzar.org/book.asp?172285","בית שלמה")</f>
        <v>בית שלמה</v>
      </c>
    </row>
    <row r="5789" spans="1:6" x14ac:dyDescent="0.2">
      <c r="A5789" t="s">
        <v>10532</v>
      </c>
      <c r="B5789" t="s">
        <v>10545</v>
      </c>
      <c r="C5789" t="s">
        <v>37</v>
      </c>
      <c r="D5789" t="s">
        <v>90</v>
      </c>
      <c r="E5789" t="s">
        <v>325</v>
      </c>
      <c r="F5789" s="2" t="str">
        <f>HYPERLINK("http://www.otzar.org/book.asp?181011","בית שלמה")</f>
        <v>בית שלמה</v>
      </c>
    </row>
    <row r="5790" spans="1:6" x14ac:dyDescent="0.2">
      <c r="A5790" t="s">
        <v>10534</v>
      </c>
      <c r="B5790" t="s">
        <v>10546</v>
      </c>
      <c r="C5790" t="s">
        <v>438</v>
      </c>
      <c r="D5790" t="s">
        <v>14</v>
      </c>
      <c r="E5790" t="s">
        <v>786</v>
      </c>
      <c r="F5790" s="2" t="str">
        <f>HYPERLINK("http://www.otzar.org/book.asp?13685","בית שלמה - 2 כר'")</f>
        <v>בית שלמה - 2 כר'</v>
      </c>
    </row>
    <row r="5791" spans="1:6" x14ac:dyDescent="0.2">
      <c r="A5791" t="s">
        <v>10547</v>
      </c>
      <c r="B5791" t="s">
        <v>10548</v>
      </c>
      <c r="C5791" t="s">
        <v>51</v>
      </c>
      <c r="D5791" t="s">
        <v>14</v>
      </c>
      <c r="E5791" t="s">
        <v>803</v>
      </c>
      <c r="F5791" s="2" t="str">
        <f>HYPERLINK("http://www.otzar.org/book.asp?62923","בית שמ""ש")</f>
        <v>בית שמ"ש</v>
      </c>
    </row>
    <row r="5792" spans="1:6" x14ac:dyDescent="0.2">
      <c r="A5792" t="s">
        <v>10549</v>
      </c>
      <c r="B5792" t="s">
        <v>10550</v>
      </c>
      <c r="C5792" t="s">
        <v>547</v>
      </c>
      <c r="D5792" t="s">
        <v>1117</v>
      </c>
      <c r="E5792" t="s">
        <v>144</v>
      </c>
      <c r="F5792" s="2" t="str">
        <f>HYPERLINK("http://www.otzar.org/book.asp?300433","בית שמאי")</f>
        <v>בית שמאי</v>
      </c>
    </row>
    <row r="5793" spans="1:6" x14ac:dyDescent="0.2">
      <c r="A5793" t="s">
        <v>10551</v>
      </c>
      <c r="B5793" t="s">
        <v>10552</v>
      </c>
      <c r="C5793" t="s">
        <v>533</v>
      </c>
      <c r="D5793" t="s">
        <v>52</v>
      </c>
      <c r="E5793" t="s">
        <v>144</v>
      </c>
      <c r="F5793" s="2" t="str">
        <f>HYPERLINK("http://www.otzar.org/book.asp?84839","בית שמאי - 2 כר'")</f>
        <v>בית שמאי - 2 כר'</v>
      </c>
    </row>
    <row r="5794" spans="1:6" x14ac:dyDescent="0.2">
      <c r="A5794" t="s">
        <v>10553</v>
      </c>
      <c r="B5794" t="s">
        <v>10554</v>
      </c>
      <c r="C5794" t="s">
        <v>411</v>
      </c>
      <c r="D5794" t="s">
        <v>646</v>
      </c>
      <c r="E5794" t="s">
        <v>1684</v>
      </c>
      <c r="F5794" s="2" t="str">
        <f>HYPERLINK("http://www.otzar.org/book.asp?183313","בית שמואל אחרון תניינא")</f>
        <v>בית שמואל אחרון תניינא</v>
      </c>
    </row>
    <row r="5795" spans="1:6" x14ac:dyDescent="0.2">
      <c r="A5795" t="s">
        <v>10555</v>
      </c>
      <c r="B5795" t="s">
        <v>10554</v>
      </c>
      <c r="C5795" t="s">
        <v>10556</v>
      </c>
      <c r="D5795" t="s">
        <v>10557</v>
      </c>
      <c r="E5795" t="s">
        <v>158</v>
      </c>
      <c r="F5795" s="2" t="str">
        <f>HYPERLINK("http://www.otzar.org/book.asp?624705","בית שמואל אחרון - 6 כר'")</f>
        <v>בית שמואל אחרון - 6 כר'</v>
      </c>
    </row>
    <row r="5796" spans="1:6" x14ac:dyDescent="0.2">
      <c r="A5796" t="s">
        <v>10558</v>
      </c>
      <c r="B5796" t="s">
        <v>10559</v>
      </c>
      <c r="C5796" t="s">
        <v>68</v>
      </c>
      <c r="D5796" t="s">
        <v>118</v>
      </c>
      <c r="E5796" t="s">
        <v>104</v>
      </c>
      <c r="F5796" s="2" t="str">
        <f>HYPERLINK("http://www.otzar.org/book.asp?172970","בית שמואל הקטן - 2 כר'")</f>
        <v>בית שמואל הקטן - 2 כר'</v>
      </c>
    </row>
    <row r="5797" spans="1:6" x14ac:dyDescent="0.2">
      <c r="A5797" t="s">
        <v>10560</v>
      </c>
      <c r="B5797" t="s">
        <v>10561</v>
      </c>
      <c r="C5797" t="s">
        <v>985</v>
      </c>
      <c r="D5797" t="s">
        <v>27</v>
      </c>
      <c r="E5797" t="s">
        <v>1211</v>
      </c>
      <c r="F5797" s="2" t="str">
        <f>HYPERLINK("http://www.otzar.org/book.asp?300428","בית שמואל ודוד")</f>
        <v>בית שמואל ודוד</v>
      </c>
    </row>
    <row r="5798" spans="1:6" x14ac:dyDescent="0.2">
      <c r="A5798" t="s">
        <v>10562</v>
      </c>
      <c r="B5798" t="s">
        <v>1750</v>
      </c>
      <c r="C5798" t="s">
        <v>20</v>
      </c>
      <c r="D5798" t="s">
        <v>52</v>
      </c>
      <c r="E5798" t="s">
        <v>10563</v>
      </c>
      <c r="F5798" s="2" t="str">
        <f>HYPERLINK("http://www.otzar.org/book.asp?149736","בית שמואל יצחק")</f>
        <v>בית שמואל יצחק</v>
      </c>
    </row>
    <row r="5799" spans="1:6" x14ac:dyDescent="0.2">
      <c r="A5799" t="s">
        <v>10564</v>
      </c>
      <c r="B5799" t="s">
        <v>10564</v>
      </c>
      <c r="C5799" t="s">
        <v>10565</v>
      </c>
      <c r="D5799" t="s">
        <v>2968</v>
      </c>
      <c r="E5799" t="s">
        <v>202</v>
      </c>
      <c r="F5799" s="2" t="str">
        <f>HYPERLINK("http://www.otzar.org/book.asp?300430","בית שמואל")</f>
        <v>בית שמואל</v>
      </c>
    </row>
    <row r="5800" spans="1:6" x14ac:dyDescent="0.2">
      <c r="A5800" t="s">
        <v>10566</v>
      </c>
      <c r="B5800" t="s">
        <v>10567</v>
      </c>
      <c r="C5800" t="s">
        <v>17</v>
      </c>
      <c r="D5800" t="s">
        <v>1180</v>
      </c>
      <c r="E5800" t="s">
        <v>144</v>
      </c>
      <c r="F5800" s="2" t="str">
        <f>HYPERLINK("http://www.otzar.org/book.asp?163299","בית שמואל - 2 כר'")</f>
        <v>בית שמואל - 2 כר'</v>
      </c>
    </row>
    <row r="5801" spans="1:6" x14ac:dyDescent="0.2">
      <c r="A5801" t="s">
        <v>10566</v>
      </c>
      <c r="B5801" t="s">
        <v>10568</v>
      </c>
      <c r="C5801" t="s">
        <v>1062</v>
      </c>
      <c r="D5801" t="s">
        <v>9</v>
      </c>
      <c r="E5801" t="s">
        <v>15</v>
      </c>
      <c r="F5801" s="2" t="str">
        <f>HYPERLINK("http://www.otzar.org/book.asp?50852","בית שמואל - 2 כר'")</f>
        <v>בית שמואל - 2 כר'</v>
      </c>
    </row>
    <row r="5802" spans="1:6" x14ac:dyDescent="0.2">
      <c r="A5802" t="s">
        <v>10564</v>
      </c>
      <c r="B5802" t="s">
        <v>10569</v>
      </c>
      <c r="C5802" t="s">
        <v>492</v>
      </c>
      <c r="D5802" t="s">
        <v>4269</v>
      </c>
      <c r="E5802" t="s">
        <v>3798</v>
      </c>
      <c r="F5802" s="2" t="str">
        <f>HYPERLINK("http://www.otzar.org/book.asp?300431","בית שמואל")</f>
        <v>בית שמואל</v>
      </c>
    </row>
    <row r="5803" spans="1:6" x14ac:dyDescent="0.2">
      <c r="A5803" t="s">
        <v>10566</v>
      </c>
      <c r="B5803" t="s">
        <v>10570</v>
      </c>
      <c r="C5803" t="s">
        <v>9911</v>
      </c>
      <c r="D5803" t="s">
        <v>403</v>
      </c>
      <c r="E5803" t="s">
        <v>172</v>
      </c>
      <c r="F5803" s="2" t="str">
        <f>HYPERLINK("http://www.otzar.org/book.asp?100322","בית שמואל - 2 כר'")</f>
        <v>בית שמואל - 2 כר'</v>
      </c>
    </row>
    <row r="5804" spans="1:6" x14ac:dyDescent="0.2">
      <c r="A5804" t="s">
        <v>10564</v>
      </c>
      <c r="B5804" t="s">
        <v>10571</v>
      </c>
      <c r="C5804" t="s">
        <v>10572</v>
      </c>
      <c r="D5804" t="s">
        <v>60</v>
      </c>
      <c r="E5804" t="s">
        <v>158</v>
      </c>
      <c r="F5804" s="2" t="str">
        <f>HYPERLINK("http://www.otzar.org/book.asp?15713","בית שמואל")</f>
        <v>בית שמואל</v>
      </c>
    </row>
    <row r="5805" spans="1:6" x14ac:dyDescent="0.2">
      <c r="A5805" t="s">
        <v>10564</v>
      </c>
      <c r="B5805" t="s">
        <v>10573</v>
      </c>
      <c r="C5805" t="s">
        <v>356</v>
      </c>
      <c r="D5805" t="s">
        <v>1356</v>
      </c>
      <c r="E5805" t="s">
        <v>5392</v>
      </c>
      <c r="F5805" s="2" t="str">
        <f>HYPERLINK("http://www.otzar.org/book.asp?605964","בית שמואל")</f>
        <v>בית שמואל</v>
      </c>
    </row>
    <row r="5806" spans="1:6" x14ac:dyDescent="0.2">
      <c r="A5806" t="s">
        <v>10574</v>
      </c>
      <c r="B5806" t="s">
        <v>10575</v>
      </c>
      <c r="C5806" t="s">
        <v>390</v>
      </c>
      <c r="D5806" t="s">
        <v>14</v>
      </c>
      <c r="E5806" t="s">
        <v>130</v>
      </c>
      <c r="F5806" s="2" t="str">
        <f>HYPERLINK("http://www.otzar.org/book.asp?981","בית שמחה")</f>
        <v>בית שמחה</v>
      </c>
    </row>
    <row r="5807" spans="1:6" x14ac:dyDescent="0.2">
      <c r="A5807" t="s">
        <v>10576</v>
      </c>
      <c r="B5807" t="s">
        <v>10577</v>
      </c>
      <c r="C5807" t="s">
        <v>146</v>
      </c>
      <c r="D5807" t="s">
        <v>412</v>
      </c>
      <c r="E5807" t="s">
        <v>3055</v>
      </c>
      <c r="F5807" s="2" t="str">
        <f>HYPERLINK("http://www.otzar.org/book.asp?171325","בית שמחה - 2 כר'")</f>
        <v>בית שמחה - 2 כר'</v>
      </c>
    </row>
    <row r="5808" spans="1:6" x14ac:dyDescent="0.2">
      <c r="A5808" t="s">
        <v>10578</v>
      </c>
      <c r="B5808" t="s">
        <v>10579</v>
      </c>
      <c r="C5808" t="s">
        <v>5709</v>
      </c>
      <c r="D5808" t="s">
        <v>4703</v>
      </c>
      <c r="E5808" t="s">
        <v>960</v>
      </c>
      <c r="F5808" s="2" t="str">
        <f>HYPERLINK("http://www.otzar.org/book.asp?64044","בית שמעון שלמה")</f>
        <v>בית שמעון שלמה</v>
      </c>
    </row>
    <row r="5809" spans="1:6" x14ac:dyDescent="0.2">
      <c r="A5809" t="s">
        <v>10580</v>
      </c>
      <c r="B5809" t="s">
        <v>513</v>
      </c>
      <c r="C5809" t="s">
        <v>1619</v>
      </c>
      <c r="D5809" t="s">
        <v>646</v>
      </c>
      <c r="E5809" t="s">
        <v>399</v>
      </c>
      <c r="F5809" s="2" t="str">
        <f>HYPERLINK("http://www.otzar.org/book.asp?156071","בית שער הכונות &lt;אור פשוט&gt; - 2 כר'")</f>
        <v>בית שער הכונות &lt;אור פשוט&gt; - 2 כר'</v>
      </c>
    </row>
    <row r="5810" spans="1:6" x14ac:dyDescent="0.2">
      <c r="A5810" t="s">
        <v>10581</v>
      </c>
      <c r="B5810" t="s">
        <v>10582</v>
      </c>
      <c r="C5810" t="s">
        <v>151</v>
      </c>
      <c r="D5810" t="s">
        <v>14</v>
      </c>
      <c r="F5810" s="2" t="str">
        <f>HYPERLINK("http://www.otzar.org/book.asp?617954","בית שער")</f>
        <v>בית שער</v>
      </c>
    </row>
    <row r="5811" spans="1:6" x14ac:dyDescent="0.2">
      <c r="A5811" t="s">
        <v>10583</v>
      </c>
      <c r="B5811" t="s">
        <v>10584</v>
      </c>
      <c r="C5811" t="s">
        <v>13</v>
      </c>
      <c r="D5811" t="s">
        <v>14</v>
      </c>
      <c r="E5811" t="s">
        <v>154</v>
      </c>
      <c r="F5811" s="2" t="str">
        <f>HYPERLINK("http://www.otzar.org/book.asp?142505","בית שערים &lt;טקסט&gt;")</f>
        <v>בית שערים &lt;טקסט&gt;</v>
      </c>
    </row>
    <row r="5812" spans="1:6" x14ac:dyDescent="0.2">
      <c r="A5812" t="s">
        <v>10585</v>
      </c>
      <c r="B5812" t="s">
        <v>10584</v>
      </c>
      <c r="C5812" t="s">
        <v>496</v>
      </c>
      <c r="D5812" t="s">
        <v>379</v>
      </c>
      <c r="E5812" t="s">
        <v>154</v>
      </c>
      <c r="F5812" s="2" t="str">
        <f>HYPERLINK("http://www.otzar.org/book.asp?10013","בית שערים - 4 כר'")</f>
        <v>בית שערים - 4 כר'</v>
      </c>
    </row>
    <row r="5813" spans="1:6" x14ac:dyDescent="0.2">
      <c r="A5813" t="s">
        <v>10586</v>
      </c>
      <c r="B5813" t="s">
        <v>10587</v>
      </c>
      <c r="C5813" t="s">
        <v>114</v>
      </c>
      <c r="D5813" t="s">
        <v>10588</v>
      </c>
      <c r="E5813" t="s">
        <v>202</v>
      </c>
      <c r="F5813" s="2" t="str">
        <f>HYPERLINK("http://www.otzar.org/book.asp?162542","בית שערים - 3 כר'")</f>
        <v>בית שערים - 3 כר'</v>
      </c>
    </row>
    <row r="5814" spans="1:6" x14ac:dyDescent="0.2">
      <c r="A5814" t="s">
        <v>10589</v>
      </c>
      <c r="B5814" t="s">
        <v>10590</v>
      </c>
      <c r="C5814" t="s">
        <v>133</v>
      </c>
      <c r="D5814" t="s">
        <v>14</v>
      </c>
      <c r="E5814" t="s">
        <v>144</v>
      </c>
      <c r="F5814" s="2" t="str">
        <f>HYPERLINK("http://www.otzar.org/book.asp?176118","בית שרגא - 11 כר'")</f>
        <v>בית שרגא - 11 כר'</v>
      </c>
    </row>
    <row r="5815" spans="1:6" x14ac:dyDescent="0.2">
      <c r="A5815" t="s">
        <v>10591</v>
      </c>
      <c r="B5815" t="s">
        <v>2361</v>
      </c>
      <c r="C5815" t="s">
        <v>1640</v>
      </c>
      <c r="D5815" t="s">
        <v>412</v>
      </c>
      <c r="E5815" t="s">
        <v>104</v>
      </c>
      <c r="F5815" s="2" t="str">
        <f>HYPERLINK("http://www.otzar.org/book.asp?15611","בית שרגא")</f>
        <v>בית שרגא</v>
      </c>
    </row>
    <row r="5816" spans="1:6" x14ac:dyDescent="0.2">
      <c r="A5816" t="s">
        <v>10592</v>
      </c>
      <c r="B5816" t="s">
        <v>10592</v>
      </c>
      <c r="C5816" t="s">
        <v>619</v>
      </c>
      <c r="D5816" t="s">
        <v>14</v>
      </c>
      <c r="E5816" t="s">
        <v>202</v>
      </c>
      <c r="F5816" s="2" t="str">
        <f>HYPERLINK("http://www.otzar.org/book.asp?19169","בית תלמוד")</f>
        <v>בית תלמוד</v>
      </c>
    </row>
    <row r="5817" spans="1:6" x14ac:dyDescent="0.2">
      <c r="A5817" t="s">
        <v>10592</v>
      </c>
      <c r="B5817" t="s">
        <v>10593</v>
      </c>
      <c r="C5817" t="s">
        <v>3246</v>
      </c>
      <c r="D5817" t="s">
        <v>56</v>
      </c>
      <c r="E5817" t="s">
        <v>84</v>
      </c>
      <c r="F5817" s="2" t="str">
        <f>HYPERLINK("http://www.otzar.org/book.asp?104897","בית תלמוד")</f>
        <v>בית תלמוד</v>
      </c>
    </row>
    <row r="5818" spans="1:6" x14ac:dyDescent="0.2">
      <c r="A5818" t="s">
        <v>10594</v>
      </c>
      <c r="B5818" t="s">
        <v>4431</v>
      </c>
      <c r="C5818" t="s">
        <v>244</v>
      </c>
      <c r="D5818" t="s">
        <v>21</v>
      </c>
      <c r="E5818" t="s">
        <v>219</v>
      </c>
      <c r="F5818" s="2" t="str">
        <f>HYPERLINK("http://www.otzar.org/book.asp?193839","בית תפילה &lt;מהדורה חדשה&gt;")</f>
        <v>בית תפילה &lt;מהדורה חדשה&gt;</v>
      </c>
    </row>
    <row r="5819" spans="1:6" x14ac:dyDescent="0.2">
      <c r="A5819" t="s">
        <v>10595</v>
      </c>
      <c r="B5819" t="s">
        <v>10596</v>
      </c>
      <c r="C5819" t="s">
        <v>383</v>
      </c>
      <c r="D5819" t="s">
        <v>2458</v>
      </c>
      <c r="F5819" s="2" t="str">
        <f>HYPERLINK("http://www.otzar.org/book.asp?610653","בית תפילה")</f>
        <v>בית תפילה</v>
      </c>
    </row>
    <row r="5820" spans="1:6" x14ac:dyDescent="0.2">
      <c r="A5820" t="s">
        <v>10597</v>
      </c>
      <c r="B5820" t="s">
        <v>1291</v>
      </c>
      <c r="C5820" t="s">
        <v>454</v>
      </c>
      <c r="D5820" t="s">
        <v>14</v>
      </c>
      <c r="E5820" t="s">
        <v>241</v>
      </c>
      <c r="F5820" s="2" t="str">
        <f>HYPERLINK("http://www.otzar.org/book.asp?163194","בית תפלה &lt;מהדורה חדשה&gt;")</f>
        <v>בית תפלה &lt;מהדורה חדשה&gt;</v>
      </c>
    </row>
    <row r="5821" spans="1:6" x14ac:dyDescent="0.2">
      <c r="A5821" t="s">
        <v>10597</v>
      </c>
      <c r="B5821" t="s">
        <v>4431</v>
      </c>
      <c r="C5821" t="s">
        <v>533</v>
      </c>
      <c r="D5821" t="s">
        <v>14</v>
      </c>
      <c r="F5821" s="2" t="str">
        <f>HYPERLINK("http://www.otzar.org/book.asp?173871","בית תפלה &lt;מהדורה חדשה&gt;")</f>
        <v>בית תפלה &lt;מהדורה חדשה&gt;</v>
      </c>
    </row>
    <row r="5822" spans="1:6" x14ac:dyDescent="0.2">
      <c r="A5822" t="s">
        <v>10598</v>
      </c>
      <c r="B5822" t="s">
        <v>10599</v>
      </c>
      <c r="C5822" t="s">
        <v>1124</v>
      </c>
      <c r="D5822" t="s">
        <v>535</v>
      </c>
      <c r="E5822" t="s">
        <v>219</v>
      </c>
      <c r="F5822" s="2" t="str">
        <f>HYPERLINK("http://www.otzar.org/book.asp?154479","בית תפלה יקרא")</f>
        <v>בית תפלה יקרא</v>
      </c>
    </row>
    <row r="5823" spans="1:6" x14ac:dyDescent="0.2">
      <c r="A5823" t="s">
        <v>10600</v>
      </c>
      <c r="B5823" t="s">
        <v>10601</v>
      </c>
      <c r="C5823" t="s">
        <v>506</v>
      </c>
      <c r="D5823" t="s">
        <v>691</v>
      </c>
      <c r="E5823" t="s">
        <v>1517</v>
      </c>
      <c r="F5823" s="2" t="str">
        <f>HYPERLINK("http://www.otzar.org/book.asp?17314","בית תפלה למשה")</f>
        <v>בית תפלה למשה</v>
      </c>
    </row>
    <row r="5824" spans="1:6" x14ac:dyDescent="0.2">
      <c r="A5824" t="s">
        <v>10602</v>
      </c>
      <c r="B5824" t="s">
        <v>10603</v>
      </c>
      <c r="C5824" t="s">
        <v>10604</v>
      </c>
      <c r="D5824" t="s">
        <v>76</v>
      </c>
      <c r="E5824" t="s">
        <v>219</v>
      </c>
      <c r="F5824" s="2" t="str">
        <f>HYPERLINK("http://www.otzar.org/book.asp?83983","בית תפלה")</f>
        <v>בית תפלה</v>
      </c>
    </row>
    <row r="5825" spans="1:6" x14ac:dyDescent="0.2">
      <c r="A5825" t="s">
        <v>10602</v>
      </c>
      <c r="B5825" t="s">
        <v>6235</v>
      </c>
      <c r="C5825" t="s">
        <v>10605</v>
      </c>
      <c r="D5825" t="s">
        <v>947</v>
      </c>
      <c r="E5825" t="s">
        <v>1517</v>
      </c>
      <c r="F5825" s="2" t="str">
        <f>HYPERLINK("http://www.otzar.org/book.asp?300427","בית תפלה")</f>
        <v>בית תפלה</v>
      </c>
    </row>
    <row r="5826" spans="1:6" x14ac:dyDescent="0.2">
      <c r="A5826" t="s">
        <v>10602</v>
      </c>
      <c r="B5826" t="s">
        <v>1291</v>
      </c>
      <c r="C5826" t="s">
        <v>854</v>
      </c>
      <c r="D5826" t="s">
        <v>27</v>
      </c>
      <c r="E5826" t="s">
        <v>241</v>
      </c>
      <c r="F5826" s="2" t="str">
        <f>HYPERLINK("http://www.otzar.org/book.asp?13122","בית תפלה")</f>
        <v>בית תפלה</v>
      </c>
    </row>
    <row r="5827" spans="1:6" x14ac:dyDescent="0.2">
      <c r="A5827" t="s">
        <v>10602</v>
      </c>
      <c r="B5827" t="s">
        <v>4431</v>
      </c>
      <c r="C5827" t="s">
        <v>800</v>
      </c>
      <c r="D5827" t="s">
        <v>10606</v>
      </c>
      <c r="E5827" t="s">
        <v>960</v>
      </c>
      <c r="F5827" s="2" t="str">
        <f>HYPERLINK("http://www.otzar.org/book.asp?300474","בית תפלה")</f>
        <v>בית תפלה</v>
      </c>
    </row>
    <row r="5828" spans="1:6" x14ac:dyDescent="0.2">
      <c r="A5828" t="s">
        <v>10602</v>
      </c>
      <c r="B5828" t="s">
        <v>10607</v>
      </c>
      <c r="C5828" t="s">
        <v>10608</v>
      </c>
      <c r="D5828" t="s">
        <v>1023</v>
      </c>
      <c r="F5828" s="2" t="str">
        <f>HYPERLINK("http://www.otzar.org/book.asp?164877","בית תפלה")</f>
        <v>בית תפלה</v>
      </c>
    </row>
    <row r="5829" spans="1:6" x14ac:dyDescent="0.2">
      <c r="A5829" t="s">
        <v>10609</v>
      </c>
      <c r="B5829" t="s">
        <v>10610</v>
      </c>
      <c r="C5829" t="s">
        <v>8450</v>
      </c>
      <c r="D5829" t="s">
        <v>1490</v>
      </c>
      <c r="F5829" s="2" t="str">
        <f>HYPERLINK("http://www.otzar.org/book.asp?614553","בית תפלה - 3 כר'")</f>
        <v>בית תפלה - 3 כר'</v>
      </c>
    </row>
    <row r="5830" spans="1:6" x14ac:dyDescent="0.2">
      <c r="A5830" t="s">
        <v>10611</v>
      </c>
      <c r="B5830" t="s">
        <v>10612</v>
      </c>
      <c r="C5830" t="s">
        <v>366</v>
      </c>
      <c r="D5830" t="s">
        <v>90</v>
      </c>
      <c r="E5830" t="s">
        <v>230</v>
      </c>
      <c r="F5830" s="2" t="str">
        <f>HYPERLINK("http://www.otzar.org/book.asp?621823","ביתה יוסף - 2 כר'")</f>
        <v>ביתה יוסף - 2 כר'</v>
      </c>
    </row>
    <row r="5831" spans="1:6" x14ac:dyDescent="0.2">
      <c r="A5831" t="s">
        <v>10613</v>
      </c>
      <c r="B5831" t="s">
        <v>10614</v>
      </c>
      <c r="C5831" t="s">
        <v>129</v>
      </c>
      <c r="D5831" t="s">
        <v>115</v>
      </c>
      <c r="E5831" t="s">
        <v>140</v>
      </c>
      <c r="F5831" s="2" t="str">
        <f>HYPERLINK("http://www.otzar.org/book.asp?195613","ביתו נאוה קודש (זכרונות והנהגות של הרה""ק מהר""א מבעלזא זצלה""ה) - 7 כר'")</f>
        <v>ביתו נאוה קודש (זכרונות והנהגות של הרה"ק מהר"א מבעלזא זצלה"ה) - 7 כר'</v>
      </c>
    </row>
    <row r="5832" spans="1:6" x14ac:dyDescent="0.2">
      <c r="A5832" t="s">
        <v>10615</v>
      </c>
      <c r="B5832" t="s">
        <v>10614</v>
      </c>
      <c r="C5832" t="s">
        <v>51</v>
      </c>
      <c r="D5832" t="s">
        <v>115</v>
      </c>
      <c r="E5832" t="s">
        <v>226</v>
      </c>
      <c r="F5832" s="2" t="str">
        <f>HYPERLINK("http://www.otzar.org/book.asp?195612","ביתו נאוה קודש - דער רב זכרונו לברכה")</f>
        <v>ביתו נאוה קודש - דער רב זכרונו לברכה</v>
      </c>
    </row>
    <row r="5833" spans="1:6" x14ac:dyDescent="0.2">
      <c r="A5833" t="s">
        <v>10616</v>
      </c>
      <c r="B5833" t="s">
        <v>10617</v>
      </c>
      <c r="C5833" t="s">
        <v>111</v>
      </c>
      <c r="D5833" t="s">
        <v>2285</v>
      </c>
      <c r="E5833" t="s">
        <v>15</v>
      </c>
      <c r="F5833" s="2" t="str">
        <f>HYPERLINK("http://www.otzar.org/book.asp?631194","ביתך ושעריך - מזוזה")</f>
        <v>ביתך ושעריך - מזוזה</v>
      </c>
    </row>
    <row r="5834" spans="1:6" x14ac:dyDescent="0.2">
      <c r="A5834" t="s">
        <v>10618</v>
      </c>
      <c r="B5834" t="s">
        <v>10619</v>
      </c>
      <c r="C5834" t="s">
        <v>422</v>
      </c>
      <c r="D5834" t="s">
        <v>139</v>
      </c>
      <c r="E5834" t="s">
        <v>104</v>
      </c>
      <c r="F5834" s="2" t="str">
        <f>HYPERLINK("http://www.otzar.org/book.asp?160826","ביתך שלום")</f>
        <v>ביתך שלום</v>
      </c>
    </row>
    <row r="5835" spans="1:6" x14ac:dyDescent="0.2">
      <c r="A5835" t="s">
        <v>10620</v>
      </c>
      <c r="B5835" t="s">
        <v>10621</v>
      </c>
      <c r="C5835">
        <v>1993</v>
      </c>
      <c r="D5835" t="s">
        <v>14</v>
      </c>
      <c r="E5835" t="s">
        <v>3798</v>
      </c>
      <c r="F5835" s="2" t="str">
        <f>HYPERLINK("http://www.otzar.org/book.asp?602665","בך אתפאר")</f>
        <v>בך אתפאר</v>
      </c>
    </row>
    <row r="5836" spans="1:6" x14ac:dyDescent="0.2">
      <c r="A5836" t="s">
        <v>10620</v>
      </c>
      <c r="B5836" t="s">
        <v>10622</v>
      </c>
      <c r="C5836" t="s">
        <v>366</v>
      </c>
      <c r="D5836" t="s">
        <v>147</v>
      </c>
      <c r="F5836" s="2" t="str">
        <f>HYPERLINK("http://www.otzar.org/book.asp?607165","בך אתפאר")</f>
        <v>בך אתפאר</v>
      </c>
    </row>
    <row r="5837" spans="1:6" x14ac:dyDescent="0.2">
      <c r="A5837" t="s">
        <v>10620</v>
      </c>
      <c r="B5837" t="s">
        <v>10623</v>
      </c>
      <c r="C5837" t="s">
        <v>23</v>
      </c>
      <c r="D5837" t="s">
        <v>3436</v>
      </c>
      <c r="E5837" t="s">
        <v>241</v>
      </c>
      <c r="F5837" s="2" t="str">
        <f>HYPERLINK("http://www.otzar.org/book.asp?193245","בך אתפאר")</f>
        <v>בך אתפאר</v>
      </c>
    </row>
    <row r="5838" spans="1:6" x14ac:dyDescent="0.2">
      <c r="A5838" t="s">
        <v>10624</v>
      </c>
      <c r="B5838" t="s">
        <v>1893</v>
      </c>
      <c r="C5838" t="s">
        <v>244</v>
      </c>
      <c r="D5838" t="s">
        <v>21</v>
      </c>
      <c r="E5838" t="s">
        <v>15</v>
      </c>
      <c r="F5838" s="2" t="str">
        <f>HYPERLINK("http://www.otzar.org/book.asp?197846","בך יברך ישראל &lt;פסקי הגרי""ש אלישיב&gt;")</f>
        <v>בך יברך ישראל &lt;פסקי הגרי"ש אלישיב&gt;</v>
      </c>
    </row>
    <row r="5839" spans="1:6" x14ac:dyDescent="0.2">
      <c r="A5839" t="s">
        <v>10625</v>
      </c>
      <c r="B5839" t="s">
        <v>10626</v>
      </c>
      <c r="C5839" t="s">
        <v>1228</v>
      </c>
      <c r="D5839" t="s">
        <v>855</v>
      </c>
      <c r="E5839" t="s">
        <v>230</v>
      </c>
      <c r="F5839" s="2" t="str">
        <f>HYPERLINK("http://www.otzar.org/book.asp?173629","בך יברך ישראל &lt;מהדורת שפתי צדיקים&gt;")</f>
        <v>בך יברך ישראל &lt;מהדורת שפתי צדיקים&gt;</v>
      </c>
    </row>
    <row r="5840" spans="1:6" x14ac:dyDescent="0.2">
      <c r="A5840" t="s">
        <v>10627</v>
      </c>
      <c r="B5840" t="s">
        <v>10626</v>
      </c>
      <c r="C5840" t="s">
        <v>1228</v>
      </c>
      <c r="D5840" t="s">
        <v>855</v>
      </c>
      <c r="E5840" t="s">
        <v>474</v>
      </c>
      <c r="F5840" s="2" t="str">
        <f>HYPERLINK("http://www.otzar.org/book.asp?50859","בך יברך ישראל")</f>
        <v>בך יברך ישראל</v>
      </c>
    </row>
    <row r="5841" spans="1:6" x14ac:dyDescent="0.2">
      <c r="A5841" t="s">
        <v>10627</v>
      </c>
      <c r="B5841" t="s">
        <v>10628</v>
      </c>
      <c r="C5841" t="s">
        <v>176</v>
      </c>
      <c r="D5841" t="s">
        <v>14</v>
      </c>
      <c r="E5841" t="s">
        <v>104</v>
      </c>
      <c r="F5841" s="2" t="str">
        <f>HYPERLINK("http://www.otzar.org/book.asp?165149","בך יברך ישראל")</f>
        <v>בך יברך ישראל</v>
      </c>
    </row>
    <row r="5842" spans="1:6" x14ac:dyDescent="0.2">
      <c r="A5842" t="s">
        <v>10629</v>
      </c>
      <c r="B5842" t="s">
        <v>10630</v>
      </c>
      <c r="C5842" t="s">
        <v>2543</v>
      </c>
      <c r="D5842" t="s">
        <v>563</v>
      </c>
      <c r="E5842" t="s">
        <v>15</v>
      </c>
      <c r="F5842" s="2" t="str">
        <f>HYPERLINK("http://www.otzar.org/book.asp?300410","בכור אדם")</f>
        <v>בכור אדם</v>
      </c>
    </row>
    <row r="5843" spans="1:6" x14ac:dyDescent="0.2">
      <c r="A5843" t="s">
        <v>10631</v>
      </c>
      <c r="B5843" t="s">
        <v>2804</v>
      </c>
      <c r="C5843" t="s">
        <v>1047</v>
      </c>
      <c r="D5843" t="s">
        <v>27</v>
      </c>
      <c r="E5843" t="s">
        <v>144</v>
      </c>
      <c r="F5843" s="2" t="str">
        <f>HYPERLINK("http://www.otzar.org/book.asp?157","בכור דל")</f>
        <v>בכור דל</v>
      </c>
    </row>
    <row r="5844" spans="1:6" x14ac:dyDescent="0.2">
      <c r="A5844" t="s">
        <v>10632</v>
      </c>
      <c r="B5844" t="s">
        <v>10633</v>
      </c>
      <c r="C5844" t="s">
        <v>1570</v>
      </c>
      <c r="D5844" t="s">
        <v>21</v>
      </c>
      <c r="E5844" t="s">
        <v>579</v>
      </c>
      <c r="F5844" s="2" t="str">
        <f>HYPERLINK("http://www.otzar.org/book.asp?197742","בכור יעקב")</f>
        <v>בכור יעקב</v>
      </c>
    </row>
    <row r="5845" spans="1:6" x14ac:dyDescent="0.2">
      <c r="A5845" t="s">
        <v>10634</v>
      </c>
      <c r="B5845" t="s">
        <v>10635</v>
      </c>
      <c r="C5845" t="s">
        <v>313</v>
      </c>
      <c r="D5845" t="s">
        <v>14</v>
      </c>
      <c r="E5845" t="s">
        <v>10636</v>
      </c>
      <c r="F5845" s="2" t="str">
        <f>HYPERLINK("http://www.otzar.org/book.asp?51169","בכור יעקב - 2 כר'")</f>
        <v>בכור יעקב - 2 כר'</v>
      </c>
    </row>
    <row r="5846" spans="1:6" x14ac:dyDescent="0.2">
      <c r="A5846" t="s">
        <v>10637</v>
      </c>
      <c r="B5846" t="s">
        <v>10638</v>
      </c>
      <c r="C5846" t="s">
        <v>151</v>
      </c>
      <c r="D5846" t="s">
        <v>52</v>
      </c>
      <c r="E5846" t="s">
        <v>144</v>
      </c>
      <c r="F5846" s="2" t="str">
        <f>HYPERLINK("http://www.otzar.org/book.asp?612133","בכור שאול - 6 כר'")</f>
        <v>בכור שאול - 6 כר'</v>
      </c>
    </row>
    <row r="5847" spans="1:6" x14ac:dyDescent="0.2">
      <c r="A5847" t="s">
        <v>10639</v>
      </c>
      <c r="B5847" t="s">
        <v>10640</v>
      </c>
      <c r="C5847" t="s">
        <v>71</v>
      </c>
      <c r="D5847" t="s">
        <v>14</v>
      </c>
      <c r="E5847" t="s">
        <v>4586</v>
      </c>
      <c r="F5847" s="2" t="str">
        <f>HYPERLINK("http://www.otzar.org/book.asp?174016","בכור שור על הש""ס")</f>
        <v>בכור שור על הש"ס</v>
      </c>
    </row>
    <row r="5848" spans="1:6" x14ac:dyDescent="0.2">
      <c r="A5848" t="s">
        <v>10641</v>
      </c>
      <c r="B5848" t="s">
        <v>10642</v>
      </c>
      <c r="C5848" t="s">
        <v>266</v>
      </c>
      <c r="D5848" t="s">
        <v>267</v>
      </c>
      <c r="E5848" t="s">
        <v>158</v>
      </c>
      <c r="F5848" s="2" t="str">
        <f>HYPERLINK("http://www.otzar.org/book.asp?300421","בכור שור")</f>
        <v>בכור שור</v>
      </c>
    </row>
    <row r="5849" spans="1:6" x14ac:dyDescent="0.2">
      <c r="A5849" t="s">
        <v>10643</v>
      </c>
      <c r="B5849" t="s">
        <v>10644</v>
      </c>
      <c r="C5849" t="s">
        <v>334</v>
      </c>
      <c r="D5849" t="s">
        <v>412</v>
      </c>
      <c r="E5849" t="s">
        <v>84</v>
      </c>
      <c r="F5849" s="2" t="str">
        <f>HYPERLINK("http://www.otzar.org/book.asp?193681","בכורי אבא")</f>
        <v>בכורי אבא</v>
      </c>
    </row>
    <row r="5850" spans="1:6" x14ac:dyDescent="0.2">
      <c r="A5850" t="s">
        <v>10645</v>
      </c>
      <c r="B5850" t="s">
        <v>2137</v>
      </c>
      <c r="C5850" t="s">
        <v>266</v>
      </c>
      <c r="D5850" t="s">
        <v>267</v>
      </c>
      <c r="E5850" t="s">
        <v>158</v>
      </c>
      <c r="F5850" s="2" t="str">
        <f>HYPERLINK("http://www.otzar.org/book.asp?16006","בכורי אביב")</f>
        <v>בכורי אביב</v>
      </c>
    </row>
    <row r="5851" spans="1:6" x14ac:dyDescent="0.2">
      <c r="A5851" t="s">
        <v>10645</v>
      </c>
      <c r="B5851" t="s">
        <v>10646</v>
      </c>
      <c r="C5851" t="s">
        <v>777</v>
      </c>
      <c r="D5851" t="s">
        <v>3293</v>
      </c>
      <c r="E5851" t="s">
        <v>144</v>
      </c>
      <c r="F5851" s="2" t="str">
        <f>HYPERLINK("http://www.otzar.org/book.asp?19170","בכורי אביב")</f>
        <v>בכורי אביב</v>
      </c>
    </row>
    <row r="5852" spans="1:6" x14ac:dyDescent="0.2">
      <c r="A5852" t="s">
        <v>10647</v>
      </c>
      <c r="B5852" t="s">
        <v>10648</v>
      </c>
      <c r="C5852" t="s">
        <v>366</v>
      </c>
      <c r="D5852" t="s">
        <v>27</v>
      </c>
      <c r="E5852" t="s">
        <v>15</v>
      </c>
      <c r="F5852" s="2" t="str">
        <f>HYPERLINK("http://www.otzar.org/book.asp?608557","בכורי אברהם &lt;מהדו""ח&gt;")</f>
        <v>בכורי אברהם &lt;מהדו"ח&gt;</v>
      </c>
    </row>
    <row r="5853" spans="1:6" x14ac:dyDescent="0.2">
      <c r="A5853" t="s">
        <v>10649</v>
      </c>
      <c r="B5853" t="s">
        <v>10648</v>
      </c>
      <c r="C5853" t="s">
        <v>748</v>
      </c>
      <c r="D5853" t="s">
        <v>283</v>
      </c>
      <c r="E5853" t="s">
        <v>154</v>
      </c>
      <c r="F5853" s="2" t="str">
        <f>HYPERLINK("http://www.otzar.org/book.asp?300165","בכורי אברהם - 2 כר'")</f>
        <v>בכורי אברהם - 2 כר'</v>
      </c>
    </row>
    <row r="5854" spans="1:6" x14ac:dyDescent="0.2">
      <c r="A5854" t="s">
        <v>10650</v>
      </c>
      <c r="B5854" t="s">
        <v>10651</v>
      </c>
      <c r="C5854" t="s">
        <v>438</v>
      </c>
      <c r="D5854" t="s">
        <v>118</v>
      </c>
      <c r="E5854" t="s">
        <v>606</v>
      </c>
      <c r="F5854" s="2" t="str">
        <f>HYPERLINK("http://www.otzar.org/book.asp?12885","בכורי אליהו")</f>
        <v>בכורי אליהו</v>
      </c>
    </row>
    <row r="5855" spans="1:6" x14ac:dyDescent="0.2">
      <c r="A5855" t="s">
        <v>10652</v>
      </c>
      <c r="B5855" t="s">
        <v>10653</v>
      </c>
      <c r="C5855" t="s">
        <v>767</v>
      </c>
      <c r="D5855" t="s">
        <v>52</v>
      </c>
      <c r="F5855" s="2" t="str">
        <f>HYPERLINK("http://www.otzar.org/book.asp?157174","בכורי אשר")</f>
        <v>בכורי אשר</v>
      </c>
    </row>
    <row r="5856" spans="1:6" x14ac:dyDescent="0.2">
      <c r="A5856" t="s">
        <v>10654</v>
      </c>
      <c r="B5856" t="s">
        <v>10655</v>
      </c>
      <c r="C5856" t="s">
        <v>17</v>
      </c>
      <c r="D5856" t="s">
        <v>852</v>
      </c>
      <c r="E5856" t="s">
        <v>15</v>
      </c>
      <c r="F5856" s="2" t="str">
        <f>HYPERLINK("http://www.otzar.org/book.asp?621854","בכורי גשן - 4 כר'")</f>
        <v>בכורי גשן - 4 כר'</v>
      </c>
    </row>
    <row r="5857" spans="1:6" x14ac:dyDescent="0.2">
      <c r="A5857" t="s">
        <v>10656</v>
      </c>
      <c r="B5857" t="s">
        <v>10657</v>
      </c>
      <c r="C5857" t="s">
        <v>23</v>
      </c>
      <c r="D5857" t="s">
        <v>80</v>
      </c>
      <c r="E5857" t="s">
        <v>144</v>
      </c>
      <c r="F5857" s="2" t="str">
        <f>HYPERLINK("http://www.otzar.org/book.asp?600078","בכורי דוד")</f>
        <v>בכורי דוד</v>
      </c>
    </row>
    <row r="5858" spans="1:6" x14ac:dyDescent="0.2">
      <c r="A5858" t="s">
        <v>10658</v>
      </c>
      <c r="B5858" t="s">
        <v>10659</v>
      </c>
      <c r="C5858" t="s">
        <v>2617</v>
      </c>
      <c r="D5858" t="s">
        <v>283</v>
      </c>
      <c r="E5858" t="s">
        <v>104</v>
      </c>
      <c r="F5858" s="2" t="str">
        <f>HYPERLINK("http://www.otzar.org/book.asp?141998","בכורי הלמודיות")</f>
        <v>בכורי הלמודיות</v>
      </c>
    </row>
    <row r="5859" spans="1:6" x14ac:dyDescent="0.2">
      <c r="A5859" t="s">
        <v>10660</v>
      </c>
      <c r="B5859" t="s">
        <v>10661</v>
      </c>
      <c r="C5859" t="s">
        <v>523</v>
      </c>
      <c r="D5859" t="s">
        <v>14</v>
      </c>
      <c r="E5859" t="s">
        <v>144</v>
      </c>
      <c r="F5859" s="2" t="str">
        <f>HYPERLINK("http://www.otzar.org/book.asp?624651","בכורי חיל - כתובות")</f>
        <v>בכורי חיל - כתובות</v>
      </c>
    </row>
    <row r="5860" spans="1:6" x14ac:dyDescent="0.2">
      <c r="A5860" t="s">
        <v>10662</v>
      </c>
      <c r="B5860" t="s">
        <v>10663</v>
      </c>
      <c r="C5860" t="s">
        <v>13</v>
      </c>
      <c r="D5860" t="s">
        <v>52</v>
      </c>
      <c r="E5860" t="s">
        <v>144</v>
      </c>
      <c r="F5860" s="2" t="str">
        <f>HYPERLINK("http://www.otzar.org/book.asp?61806","בכורי יאה")</f>
        <v>בכורי יאה</v>
      </c>
    </row>
    <row r="5861" spans="1:6" x14ac:dyDescent="0.2">
      <c r="A5861" t="s">
        <v>10664</v>
      </c>
      <c r="B5861" t="s">
        <v>10665</v>
      </c>
      <c r="C5861" t="s">
        <v>13</v>
      </c>
      <c r="D5861" t="s">
        <v>14</v>
      </c>
      <c r="E5861" t="s">
        <v>508</v>
      </c>
      <c r="F5861" s="2" t="str">
        <f>HYPERLINK("http://www.otzar.org/book.asp?142506","בכורי יהודה &lt;טקסט&gt;")</f>
        <v>בכורי יהודה &lt;טקסט&gt;</v>
      </c>
    </row>
    <row r="5862" spans="1:6" x14ac:dyDescent="0.2">
      <c r="A5862" t="s">
        <v>10666</v>
      </c>
      <c r="B5862" t="s">
        <v>10665</v>
      </c>
      <c r="C5862" t="s">
        <v>10667</v>
      </c>
      <c r="D5862" t="s">
        <v>10668</v>
      </c>
      <c r="E5862" t="s">
        <v>508</v>
      </c>
      <c r="F5862" s="2" t="str">
        <f>HYPERLINK("http://www.otzar.org/book.asp?105293","בכורי יהודה - 2 כר'")</f>
        <v>בכורי יהודה - 2 כר'</v>
      </c>
    </row>
    <row r="5863" spans="1:6" x14ac:dyDescent="0.2">
      <c r="A5863" t="s">
        <v>10669</v>
      </c>
      <c r="B5863" t="s">
        <v>10670</v>
      </c>
      <c r="C5863" t="s">
        <v>20</v>
      </c>
      <c r="D5863" t="s">
        <v>412</v>
      </c>
      <c r="E5863" t="s">
        <v>144</v>
      </c>
      <c r="F5863" s="2" t="str">
        <f>HYPERLINK("http://www.otzar.org/book.asp?161855","בכורי יהודה - 4 כר'")</f>
        <v>בכורי יהודה - 4 כר'</v>
      </c>
    </row>
    <row r="5864" spans="1:6" x14ac:dyDescent="0.2">
      <c r="A5864" t="s">
        <v>10671</v>
      </c>
      <c r="B5864" t="s">
        <v>10672</v>
      </c>
      <c r="C5864" t="s">
        <v>23</v>
      </c>
      <c r="D5864" t="s">
        <v>152</v>
      </c>
      <c r="E5864" t="s">
        <v>508</v>
      </c>
      <c r="F5864" s="2" t="str">
        <f>HYPERLINK("http://www.otzar.org/book.asp?192214","בכורי יוסף &lt;מהדורה חדשה&gt;")</f>
        <v>בכורי יוסף &lt;מהדורה חדשה&gt;</v>
      </c>
    </row>
    <row r="5865" spans="1:6" x14ac:dyDescent="0.2">
      <c r="A5865" t="s">
        <v>10673</v>
      </c>
      <c r="B5865" t="s">
        <v>10672</v>
      </c>
      <c r="C5865" t="s">
        <v>594</v>
      </c>
      <c r="D5865" t="s">
        <v>56</v>
      </c>
      <c r="E5865" t="s">
        <v>325</v>
      </c>
      <c r="F5865" s="2" t="str">
        <f>HYPERLINK("http://www.otzar.org/book.asp?6848","בכורי יוסף")</f>
        <v>בכורי יוסף</v>
      </c>
    </row>
    <row r="5866" spans="1:6" x14ac:dyDescent="0.2">
      <c r="A5866" t="s">
        <v>10674</v>
      </c>
      <c r="B5866" t="s">
        <v>10675</v>
      </c>
      <c r="C5866" t="s">
        <v>71</v>
      </c>
      <c r="D5866" t="s">
        <v>14</v>
      </c>
      <c r="E5866" t="s">
        <v>202</v>
      </c>
      <c r="F5866" s="2" t="str">
        <f>HYPERLINK("http://www.otzar.org/book.asp?143879","בכורי יוסף - ב")</f>
        <v>בכורי יוסף - ב</v>
      </c>
    </row>
    <row r="5867" spans="1:6" x14ac:dyDescent="0.2">
      <c r="A5867" t="s">
        <v>10676</v>
      </c>
      <c r="B5867" t="s">
        <v>2216</v>
      </c>
      <c r="C5867" t="s">
        <v>10677</v>
      </c>
      <c r="D5867" t="s">
        <v>27</v>
      </c>
      <c r="E5867" t="s">
        <v>10678</v>
      </c>
      <c r="F5867" s="2" t="str">
        <f>HYPERLINK("http://www.otzar.org/book.asp?142783","בכורי יעקב (מהדורה חדשה עם תוספות)")</f>
        <v>בכורי יעקב (מהדורה חדשה עם תוספות)</v>
      </c>
    </row>
    <row r="5868" spans="1:6" x14ac:dyDescent="0.2">
      <c r="A5868" t="s">
        <v>10679</v>
      </c>
      <c r="B5868" t="s">
        <v>10680</v>
      </c>
      <c r="C5868" t="s">
        <v>624</v>
      </c>
      <c r="D5868" t="s">
        <v>14</v>
      </c>
      <c r="E5868" t="s">
        <v>148</v>
      </c>
      <c r="F5868" s="2" t="str">
        <f>HYPERLINK("http://www.otzar.org/book.asp?26437","בכורי יעקב")</f>
        <v>בכורי יעקב</v>
      </c>
    </row>
    <row r="5869" spans="1:6" x14ac:dyDescent="0.2">
      <c r="A5869" t="s">
        <v>10679</v>
      </c>
      <c r="B5869" t="s">
        <v>2216</v>
      </c>
      <c r="C5869" t="s">
        <v>1284</v>
      </c>
      <c r="D5869" t="s">
        <v>27</v>
      </c>
      <c r="E5869" t="s">
        <v>172</v>
      </c>
      <c r="F5869" s="2" t="str">
        <f>HYPERLINK("http://www.otzar.org/book.asp?13788","בכורי יעקב")</f>
        <v>בכורי יעקב</v>
      </c>
    </row>
    <row r="5870" spans="1:6" x14ac:dyDescent="0.2">
      <c r="A5870" t="s">
        <v>10679</v>
      </c>
      <c r="B5870" t="s">
        <v>10681</v>
      </c>
      <c r="C5870" t="s">
        <v>1096</v>
      </c>
      <c r="D5870" t="s">
        <v>563</v>
      </c>
      <c r="E5870" t="s">
        <v>234</v>
      </c>
      <c r="F5870" s="2" t="str">
        <f>HYPERLINK("http://www.otzar.org/book.asp?171480","בכורי יעקב")</f>
        <v>בכורי יעקב</v>
      </c>
    </row>
    <row r="5871" spans="1:6" x14ac:dyDescent="0.2">
      <c r="A5871" t="s">
        <v>10682</v>
      </c>
      <c r="B5871" t="s">
        <v>1155</v>
      </c>
      <c r="C5871" t="s">
        <v>523</v>
      </c>
      <c r="D5871" t="s">
        <v>1156</v>
      </c>
      <c r="E5871" t="s">
        <v>803</v>
      </c>
      <c r="F5871" s="2" t="str">
        <f>HYPERLINK("http://www.otzar.org/book.asp?157532","בכורי יצחק")</f>
        <v>בכורי יצחק</v>
      </c>
    </row>
    <row r="5872" spans="1:6" x14ac:dyDescent="0.2">
      <c r="A5872" t="s">
        <v>10683</v>
      </c>
      <c r="B5872" t="s">
        <v>10684</v>
      </c>
      <c r="C5872" t="s">
        <v>1706</v>
      </c>
      <c r="D5872" t="s">
        <v>56</v>
      </c>
      <c r="E5872" t="s">
        <v>234</v>
      </c>
      <c r="F5872" s="2" t="str">
        <f>HYPERLINK("http://www.otzar.org/book.asp?300498","בכורי ישראל")</f>
        <v>בכורי ישראל</v>
      </c>
    </row>
    <row r="5873" spans="1:6" x14ac:dyDescent="0.2">
      <c r="A5873" t="s">
        <v>10685</v>
      </c>
      <c r="B5873" t="s">
        <v>10686</v>
      </c>
      <c r="C5873" t="s">
        <v>462</v>
      </c>
      <c r="D5873" t="s">
        <v>225</v>
      </c>
      <c r="E5873" t="s">
        <v>10687</v>
      </c>
      <c r="F5873" s="2" t="str">
        <f>HYPERLINK("http://www.otzar.org/book.asp?16626","בכורי נפתלי")</f>
        <v>בכורי נפתלי</v>
      </c>
    </row>
    <row r="5874" spans="1:6" x14ac:dyDescent="0.2">
      <c r="A5874" t="s">
        <v>10688</v>
      </c>
      <c r="B5874" t="s">
        <v>10689</v>
      </c>
      <c r="C5874" t="s">
        <v>466</v>
      </c>
      <c r="D5874" t="s">
        <v>52</v>
      </c>
      <c r="E5874" t="s">
        <v>15</v>
      </c>
      <c r="F5874" s="2" t="str">
        <f>HYPERLINK("http://www.otzar.org/book.asp?161727","בכורי סופרים")</f>
        <v>בכורי סופרים</v>
      </c>
    </row>
    <row r="5875" spans="1:6" x14ac:dyDescent="0.2">
      <c r="A5875" t="s">
        <v>10690</v>
      </c>
      <c r="B5875" t="s">
        <v>10691</v>
      </c>
      <c r="C5875" t="s">
        <v>506</v>
      </c>
      <c r="D5875" t="s">
        <v>995</v>
      </c>
      <c r="E5875" t="s">
        <v>1262</v>
      </c>
      <c r="F5875" s="2" t="str">
        <f>HYPERLINK("http://www.otzar.org/book.asp?106378","בכורי ציון וענבי ציון")</f>
        <v>בכורי ציון וענבי ציון</v>
      </c>
    </row>
    <row r="5876" spans="1:6" x14ac:dyDescent="0.2">
      <c r="A5876" t="s">
        <v>10692</v>
      </c>
      <c r="B5876" t="s">
        <v>5967</v>
      </c>
      <c r="C5876" t="s">
        <v>888</v>
      </c>
      <c r="D5876" t="s">
        <v>27</v>
      </c>
      <c r="E5876" t="s">
        <v>104</v>
      </c>
      <c r="F5876" s="2" t="str">
        <f>HYPERLINK("http://www.otzar.org/book.asp?17316","בכורי ציון")</f>
        <v>בכורי ציון</v>
      </c>
    </row>
    <row r="5877" spans="1:6" x14ac:dyDescent="0.2">
      <c r="A5877" t="s">
        <v>10692</v>
      </c>
      <c r="B5877" t="s">
        <v>1750</v>
      </c>
      <c r="C5877" t="s">
        <v>442</v>
      </c>
      <c r="D5877" t="s">
        <v>27</v>
      </c>
      <c r="E5877" t="s">
        <v>202</v>
      </c>
      <c r="F5877" s="2" t="str">
        <f>HYPERLINK("http://www.otzar.org/book.asp?171477","בכורי ציון")</f>
        <v>בכורי ציון</v>
      </c>
    </row>
    <row r="5878" spans="1:6" x14ac:dyDescent="0.2">
      <c r="A5878" t="s">
        <v>10693</v>
      </c>
      <c r="B5878" t="s">
        <v>9423</v>
      </c>
      <c r="C5878" t="s">
        <v>1208</v>
      </c>
      <c r="D5878" t="s">
        <v>412</v>
      </c>
      <c r="E5878" t="s">
        <v>144</v>
      </c>
      <c r="F5878" s="2" t="str">
        <f>HYPERLINK("http://www.otzar.org/book.asp?163512","בכורי ראובן - 2 כר'")</f>
        <v>בכורי ראובן - 2 כר'</v>
      </c>
    </row>
    <row r="5879" spans="1:6" x14ac:dyDescent="0.2">
      <c r="A5879" t="s">
        <v>10694</v>
      </c>
      <c r="B5879" t="s">
        <v>10695</v>
      </c>
      <c r="C5879" t="s">
        <v>1058</v>
      </c>
      <c r="D5879" t="s">
        <v>56</v>
      </c>
      <c r="E5879" t="s">
        <v>10696</v>
      </c>
      <c r="F5879" s="2" t="str">
        <f>HYPERLINK("http://www.otzar.org/book.asp?300499","בכורי ראש")</f>
        <v>בכורי ראש</v>
      </c>
    </row>
    <row r="5880" spans="1:6" x14ac:dyDescent="0.2">
      <c r="A5880" t="s">
        <v>10697</v>
      </c>
      <c r="B5880" t="s">
        <v>10698</v>
      </c>
      <c r="C5880" t="s">
        <v>99</v>
      </c>
      <c r="D5880" t="s">
        <v>8316</v>
      </c>
      <c r="E5880" t="s">
        <v>144</v>
      </c>
      <c r="F5880" s="2" t="str">
        <f>HYPERLINK("http://www.otzar.org/book.asp?19381","בכורי ראשית")</f>
        <v>בכורי ראשית</v>
      </c>
    </row>
    <row r="5881" spans="1:6" x14ac:dyDescent="0.2">
      <c r="A5881" t="s">
        <v>10699</v>
      </c>
      <c r="B5881" t="s">
        <v>10700</v>
      </c>
      <c r="C5881" t="s">
        <v>919</v>
      </c>
      <c r="D5881" t="s">
        <v>216</v>
      </c>
      <c r="E5881" t="s">
        <v>144</v>
      </c>
      <c r="F5881" s="2" t="str">
        <f>HYPERLINK("http://www.otzar.org/book.asp?5475","בכורי רש")</f>
        <v>בכורי רש</v>
      </c>
    </row>
    <row r="5882" spans="1:6" x14ac:dyDescent="0.2">
      <c r="A5882" t="s">
        <v>10701</v>
      </c>
      <c r="B5882" t="s">
        <v>10702</v>
      </c>
      <c r="C5882" t="s">
        <v>576</v>
      </c>
      <c r="D5882" t="s">
        <v>283</v>
      </c>
      <c r="E5882" t="s">
        <v>154</v>
      </c>
      <c r="F5882" s="2" t="str">
        <f>HYPERLINK("http://www.otzar.org/book.asp?24087","בכורי שחר")</f>
        <v>בכורי שחר</v>
      </c>
    </row>
    <row r="5883" spans="1:6" x14ac:dyDescent="0.2">
      <c r="A5883" t="s">
        <v>10703</v>
      </c>
      <c r="B5883" t="s">
        <v>510</v>
      </c>
      <c r="C5883" t="s">
        <v>775</v>
      </c>
      <c r="D5883" t="s">
        <v>512</v>
      </c>
      <c r="E5883" t="s">
        <v>3785</v>
      </c>
      <c r="F5883" s="2" t="str">
        <f>HYPERLINK("http://www.otzar.org/book.asp?53248","בכורי שי")</f>
        <v>בכורי שי</v>
      </c>
    </row>
    <row r="5884" spans="1:6" x14ac:dyDescent="0.2">
      <c r="A5884" t="s">
        <v>10704</v>
      </c>
      <c r="B5884" t="s">
        <v>10705</v>
      </c>
      <c r="C5884" t="s">
        <v>68</v>
      </c>
      <c r="D5884" t="s">
        <v>52</v>
      </c>
      <c r="E5884" t="s">
        <v>144</v>
      </c>
      <c r="F5884" s="2" t="str">
        <f>HYPERLINK("http://www.otzar.org/book.asp?156702","בכורי שלום")</f>
        <v>בכורי שלום</v>
      </c>
    </row>
    <row r="5885" spans="1:6" x14ac:dyDescent="0.2">
      <c r="A5885" t="s">
        <v>10706</v>
      </c>
      <c r="B5885" t="s">
        <v>10707</v>
      </c>
      <c r="C5885" t="s">
        <v>1208</v>
      </c>
      <c r="D5885" t="s">
        <v>52</v>
      </c>
      <c r="E5885" t="s">
        <v>144</v>
      </c>
      <c r="F5885" s="2" t="str">
        <f>HYPERLINK("http://www.otzar.org/book.asp?153742","בכורי שלמה - בכורות")</f>
        <v>בכורי שלמה - בכורות</v>
      </c>
    </row>
    <row r="5886" spans="1:6" x14ac:dyDescent="0.2">
      <c r="A5886" t="s">
        <v>10708</v>
      </c>
      <c r="B5886" t="s">
        <v>10709</v>
      </c>
      <c r="C5886" t="s">
        <v>10710</v>
      </c>
      <c r="D5886" t="s">
        <v>225</v>
      </c>
      <c r="E5886" t="s">
        <v>10711</v>
      </c>
      <c r="F5886" s="2" t="str">
        <f>HYPERLINK("http://www.otzar.org/book.asp?10937","בכורי שלמה - 2 כר'")</f>
        <v>בכורי שלמה - 2 כר'</v>
      </c>
    </row>
    <row r="5887" spans="1:6" x14ac:dyDescent="0.2">
      <c r="A5887" t="s">
        <v>10712</v>
      </c>
      <c r="B5887" t="s">
        <v>686</v>
      </c>
      <c r="C5887" t="s">
        <v>422</v>
      </c>
      <c r="D5887" t="s">
        <v>52</v>
      </c>
      <c r="E5887" t="s">
        <v>246</v>
      </c>
      <c r="F5887" s="2" t="str">
        <f>HYPERLINK("http://www.otzar.org/book.asp?172430","בכורים לה'")</f>
        <v>בכורים לה'</v>
      </c>
    </row>
    <row r="5888" spans="1:6" x14ac:dyDescent="0.2">
      <c r="A5888" t="s">
        <v>10713</v>
      </c>
      <c r="B5888" t="s">
        <v>10714</v>
      </c>
      <c r="C5888" t="s">
        <v>10715</v>
      </c>
      <c r="D5888" t="s">
        <v>535</v>
      </c>
      <c r="E5888" t="s">
        <v>384</v>
      </c>
      <c r="F5888" s="2" t="str">
        <f>HYPERLINK("http://www.otzar.org/book.asp?104277","בכורים - תרכ""ה")</f>
        <v>בכורים - תרכ"ה</v>
      </c>
    </row>
    <row r="5889" spans="1:6" x14ac:dyDescent="0.2">
      <c r="A5889" t="s">
        <v>10716</v>
      </c>
      <c r="B5889" t="s">
        <v>10717</v>
      </c>
      <c r="C5889" t="s">
        <v>3205</v>
      </c>
      <c r="D5889" t="s">
        <v>260</v>
      </c>
      <c r="E5889" t="s">
        <v>202</v>
      </c>
      <c r="F5889" s="2" t="str">
        <f>HYPERLINK("http://www.otzar.org/book.asp?618487","בכורים - 12 כר'")</f>
        <v>בכורים - 12 כר'</v>
      </c>
    </row>
    <row r="5890" spans="1:6" x14ac:dyDescent="0.2">
      <c r="A5890" t="s">
        <v>10718</v>
      </c>
      <c r="B5890" t="s">
        <v>1005</v>
      </c>
      <c r="C5890" t="s">
        <v>244</v>
      </c>
      <c r="D5890" t="s">
        <v>90</v>
      </c>
      <c r="F5890" s="2" t="str">
        <f>HYPERLINK("http://www.otzar.org/book.asp?610436","בכושרות")</f>
        <v>בכושרות</v>
      </c>
    </row>
    <row r="5891" spans="1:6" x14ac:dyDescent="0.2">
      <c r="A5891" t="s">
        <v>10719</v>
      </c>
      <c r="B5891" t="s">
        <v>10720</v>
      </c>
      <c r="C5891" t="s">
        <v>75</v>
      </c>
      <c r="D5891" t="s">
        <v>283</v>
      </c>
      <c r="E5891" t="s">
        <v>234</v>
      </c>
      <c r="F5891" s="2" t="str">
        <f>HYPERLINK("http://www.otzar.org/book.asp?167525","בכי מסתרים")</f>
        <v>בכי מסתרים</v>
      </c>
    </row>
    <row r="5892" spans="1:6" x14ac:dyDescent="0.2">
      <c r="A5892" t="s">
        <v>10721</v>
      </c>
      <c r="B5892" t="s">
        <v>3733</v>
      </c>
      <c r="C5892" t="s">
        <v>5334</v>
      </c>
      <c r="D5892" t="s">
        <v>1023</v>
      </c>
      <c r="E5892" t="s">
        <v>119</v>
      </c>
      <c r="F5892" s="2" t="str">
        <f>HYPERLINK("http://www.otzar.org/book.asp?145450","בכי נהרות")</f>
        <v>בכי נהרות</v>
      </c>
    </row>
    <row r="5893" spans="1:6" x14ac:dyDescent="0.2">
      <c r="A5893" t="s">
        <v>10722</v>
      </c>
      <c r="B5893" t="s">
        <v>10723</v>
      </c>
      <c r="C5893" t="s">
        <v>581</v>
      </c>
      <c r="D5893" t="s">
        <v>947</v>
      </c>
      <c r="E5893" t="s">
        <v>4738</v>
      </c>
      <c r="F5893" s="2" t="str">
        <f>HYPERLINK("http://www.otzar.org/book.asp?300491","בכל דרכיך דעהו")</f>
        <v>בכל דרכיך דעהו</v>
      </c>
    </row>
    <row r="5894" spans="1:6" x14ac:dyDescent="0.2">
      <c r="A5894" t="s">
        <v>10724</v>
      </c>
      <c r="B5894" t="s">
        <v>1275</v>
      </c>
      <c r="C5894" t="s">
        <v>244</v>
      </c>
      <c r="D5894" t="s">
        <v>52</v>
      </c>
      <c r="E5894" t="s">
        <v>4333</v>
      </c>
      <c r="F5894" s="2" t="str">
        <f>HYPERLINK("http://www.otzar.org/book.asp?607217","בכל יום יהיו בעינך כחדשים")</f>
        <v>בכל יום יהיו בעינך כחדשים</v>
      </c>
    </row>
    <row r="5895" spans="1:6" x14ac:dyDescent="0.2">
      <c r="A5895" t="s">
        <v>10725</v>
      </c>
      <c r="B5895" t="s">
        <v>10726</v>
      </c>
      <c r="C5895" t="s">
        <v>103</v>
      </c>
      <c r="D5895" t="s">
        <v>14</v>
      </c>
      <c r="F5895" s="2" t="str">
        <f>HYPERLINK("http://www.otzar.org/book.asp?52623","בכל נפשך")</f>
        <v>בכל נפשך</v>
      </c>
    </row>
    <row r="5896" spans="1:6" x14ac:dyDescent="0.2">
      <c r="A5896" t="s">
        <v>10727</v>
      </c>
      <c r="B5896" t="s">
        <v>10728</v>
      </c>
      <c r="E5896" t="s">
        <v>119</v>
      </c>
      <c r="F5896" s="2" t="str">
        <f>HYPERLINK("http://www.otzar.org/book.asp?611101","בכל נפשך - תולדות רבי נתן צבי פינקל")</f>
        <v>בכל נפשך - תולדות רבי נתן צבי פינקל</v>
      </c>
    </row>
    <row r="5897" spans="1:6" x14ac:dyDescent="0.2">
      <c r="A5897" t="s">
        <v>10729</v>
      </c>
      <c r="B5897" t="s">
        <v>10730</v>
      </c>
      <c r="C5897" t="s">
        <v>523</v>
      </c>
      <c r="D5897" t="s">
        <v>118</v>
      </c>
      <c r="E5897" t="s">
        <v>119</v>
      </c>
      <c r="F5897" s="2" t="str">
        <f>HYPERLINK("http://www.otzar.org/book.asp?15136","בכף הקלע")</f>
        <v>בכף הקלע</v>
      </c>
    </row>
    <row r="5898" spans="1:6" x14ac:dyDescent="0.2">
      <c r="A5898" t="s">
        <v>10731</v>
      </c>
      <c r="B5898" t="s">
        <v>10732</v>
      </c>
      <c r="C5898" t="s">
        <v>189</v>
      </c>
      <c r="D5898" t="s">
        <v>14</v>
      </c>
      <c r="E5898" t="s">
        <v>15</v>
      </c>
      <c r="F5898" s="2" t="str">
        <f>HYPERLINK("http://www.otzar.org/book.asp?26696","בכרי ישראל - 2 כר'")</f>
        <v>בכרי ישראל - 2 כר'</v>
      </c>
    </row>
    <row r="5899" spans="1:6" x14ac:dyDescent="0.2">
      <c r="A5899" t="s">
        <v>10733</v>
      </c>
      <c r="B5899" t="s">
        <v>10734</v>
      </c>
      <c r="C5899" t="s">
        <v>68</v>
      </c>
      <c r="D5899" t="s">
        <v>52</v>
      </c>
      <c r="E5899" t="s">
        <v>154</v>
      </c>
      <c r="F5899" s="2" t="str">
        <f>HYPERLINK("http://www.otzar.org/book.asp?163207","בכרמי יהודא")</f>
        <v>בכרמי יהודא</v>
      </c>
    </row>
    <row r="5900" spans="1:6" x14ac:dyDescent="0.2">
      <c r="A5900" t="s">
        <v>10735</v>
      </c>
      <c r="B5900" t="s">
        <v>2082</v>
      </c>
      <c r="C5900" t="s">
        <v>146</v>
      </c>
      <c r="D5900" t="s">
        <v>14</v>
      </c>
      <c r="E5900" t="s">
        <v>399</v>
      </c>
      <c r="F5900" s="2" t="str">
        <f>HYPERLINK("http://www.otzar.org/book.asp?26738","בכתבי האר""י")</f>
        <v>בכתבי האר"י</v>
      </c>
    </row>
    <row r="5901" spans="1:6" x14ac:dyDescent="0.2">
      <c r="A5901" t="s">
        <v>10736</v>
      </c>
      <c r="B5901" t="s">
        <v>7666</v>
      </c>
      <c r="C5901" t="s">
        <v>411</v>
      </c>
      <c r="D5901" t="s">
        <v>423</v>
      </c>
      <c r="E5901" t="s">
        <v>2840</v>
      </c>
      <c r="F5901" s="2" t="str">
        <f>HYPERLINK("http://www.otzar.org/book.asp?167896","בכתם פז")</f>
        <v>בכתם פז</v>
      </c>
    </row>
    <row r="5902" spans="1:6" x14ac:dyDescent="0.2">
      <c r="A5902" t="s">
        <v>10737</v>
      </c>
      <c r="B5902" t="s">
        <v>4629</v>
      </c>
      <c r="C5902" t="s">
        <v>422</v>
      </c>
      <c r="D5902" t="s">
        <v>21</v>
      </c>
      <c r="E5902" t="s">
        <v>15</v>
      </c>
      <c r="F5902" s="2" t="str">
        <f>HYPERLINK("http://www.otzar.org/book.asp?603978","בל תקיף")</f>
        <v>בל תקיף</v>
      </c>
    </row>
    <row r="5903" spans="1:6" x14ac:dyDescent="0.2">
      <c r="A5903" t="s">
        <v>10738</v>
      </c>
      <c r="B5903" t="s">
        <v>686</v>
      </c>
      <c r="C5903" t="s">
        <v>422</v>
      </c>
      <c r="D5903" t="s">
        <v>52</v>
      </c>
      <c r="E5903" t="s">
        <v>104</v>
      </c>
      <c r="F5903" s="2" t="str">
        <f>HYPERLINK("http://www.otzar.org/book.asp?84404","בלב ימים")</f>
        <v>בלב ימים</v>
      </c>
    </row>
    <row r="5904" spans="1:6" x14ac:dyDescent="0.2">
      <c r="A5904" t="s">
        <v>10739</v>
      </c>
      <c r="B5904" t="s">
        <v>206</v>
      </c>
      <c r="C5904" t="s">
        <v>103</v>
      </c>
      <c r="D5904" t="s">
        <v>14</v>
      </c>
      <c r="E5904" t="s">
        <v>241</v>
      </c>
      <c r="F5904" s="2" t="str">
        <f>HYPERLINK("http://www.otzar.org/book.asp?21372","בלבבי משכן אבנה - 46 כר'")</f>
        <v>בלבבי משכן אבנה - 46 כר'</v>
      </c>
    </row>
    <row r="5905" spans="1:6" x14ac:dyDescent="0.2">
      <c r="A5905" t="s">
        <v>10740</v>
      </c>
      <c r="B5905" t="s">
        <v>10741</v>
      </c>
      <c r="C5905" t="s">
        <v>68</v>
      </c>
      <c r="D5905" t="s">
        <v>152</v>
      </c>
      <c r="E5905" t="s">
        <v>140</v>
      </c>
      <c r="F5905" s="2" t="str">
        <f>HYPERLINK("http://www.otzar.org/book.asp?156156","בלבנון ישגה")</f>
        <v>בלבנון ישגה</v>
      </c>
    </row>
    <row r="5906" spans="1:6" x14ac:dyDescent="0.2">
      <c r="A5906" t="s">
        <v>10742</v>
      </c>
      <c r="B5906" t="s">
        <v>10743</v>
      </c>
      <c r="C5906" t="s">
        <v>244</v>
      </c>
      <c r="D5906" t="s">
        <v>14</v>
      </c>
      <c r="F5906" s="2" t="str">
        <f>HYPERLINK("http://www.otzar.org/book.asp?632021","בלבנת הספיר")</f>
        <v>בלבנת הספיר</v>
      </c>
    </row>
    <row r="5907" spans="1:6" x14ac:dyDescent="0.2">
      <c r="A5907" t="s">
        <v>10744</v>
      </c>
      <c r="B5907" t="s">
        <v>10745</v>
      </c>
      <c r="C5907" t="s">
        <v>111</v>
      </c>
      <c r="D5907" t="s">
        <v>52</v>
      </c>
      <c r="E5907" t="s">
        <v>104</v>
      </c>
      <c r="F5907" s="2" t="str">
        <f>HYPERLINK("http://www.otzar.org/book.asp?626258","בלבת אש - 2 כר'")</f>
        <v>בלבת אש - 2 כר'</v>
      </c>
    </row>
    <row r="5908" spans="1:6" x14ac:dyDescent="0.2">
      <c r="A5908" t="s">
        <v>10744</v>
      </c>
      <c r="B5908" t="s">
        <v>3554</v>
      </c>
      <c r="C5908" t="s">
        <v>168</v>
      </c>
      <c r="D5908" t="s">
        <v>216</v>
      </c>
      <c r="E5908" t="s">
        <v>119</v>
      </c>
      <c r="F5908" s="2" t="str">
        <f>HYPERLINK("http://www.otzar.org/book.asp?188808","בלבת אש - 2 כר'")</f>
        <v>בלבת אש - 2 כר'</v>
      </c>
    </row>
    <row r="5909" spans="1:6" x14ac:dyDescent="0.2">
      <c r="A5909" t="s">
        <v>10746</v>
      </c>
      <c r="B5909" t="s">
        <v>6452</v>
      </c>
      <c r="C5909" t="s">
        <v>1062</v>
      </c>
      <c r="D5909" t="s">
        <v>260</v>
      </c>
      <c r="E5909" t="s">
        <v>226</v>
      </c>
      <c r="F5909" s="2" t="str">
        <f>HYPERLINK("http://www.otzar.org/book.asp?144583","בלז")</f>
        <v>בלז</v>
      </c>
    </row>
    <row r="5910" spans="1:6" x14ac:dyDescent="0.2">
      <c r="A5910" t="s">
        <v>10747</v>
      </c>
      <c r="B5910" t="s">
        <v>1387</v>
      </c>
      <c r="C5910" t="s">
        <v>8032</v>
      </c>
      <c r="D5910" t="s">
        <v>49</v>
      </c>
      <c r="E5910" t="s">
        <v>104</v>
      </c>
      <c r="F5910" s="2" t="str">
        <f>HYPERLINK("http://www.otzar.org/book.asp?146850","בליל חמיץ")</f>
        <v>בליל חמיץ</v>
      </c>
    </row>
    <row r="5911" spans="1:6" x14ac:dyDescent="0.2">
      <c r="A5911" t="s">
        <v>10748</v>
      </c>
      <c r="B5911" t="s">
        <v>7485</v>
      </c>
      <c r="C5911" t="s">
        <v>51</v>
      </c>
      <c r="D5911" t="s">
        <v>14</v>
      </c>
      <c r="E5911" t="s">
        <v>130</v>
      </c>
      <c r="F5911" s="2" t="str">
        <f>HYPERLINK("http://www.otzar.org/book.asp?64000","בלילה ההוא")</f>
        <v>בלילה ההוא</v>
      </c>
    </row>
    <row r="5912" spans="1:6" x14ac:dyDescent="0.2">
      <c r="A5912" t="s">
        <v>10749</v>
      </c>
      <c r="B5912" t="s">
        <v>10750</v>
      </c>
      <c r="C5912" t="s">
        <v>189</v>
      </c>
      <c r="D5912" t="s">
        <v>1180</v>
      </c>
      <c r="E5912" t="s">
        <v>246</v>
      </c>
      <c r="F5912" s="2" t="str">
        <f>HYPERLINK("http://www.otzar.org/book.asp?51448","בלילה שירה עמי")</f>
        <v>בלילה שירה עמי</v>
      </c>
    </row>
    <row r="5913" spans="1:6" x14ac:dyDescent="0.2">
      <c r="A5913" t="s">
        <v>10751</v>
      </c>
      <c r="B5913" t="s">
        <v>1750</v>
      </c>
      <c r="C5913" t="s">
        <v>313</v>
      </c>
      <c r="D5913" t="s">
        <v>4665</v>
      </c>
      <c r="E5913" t="s">
        <v>202</v>
      </c>
      <c r="F5913" s="2" t="str">
        <f>HYPERLINK("http://www.otzar.org/book.asp?182612","בלכתך בדרך - 8 כר'")</f>
        <v>בלכתך בדרך - 8 כר'</v>
      </c>
    </row>
    <row r="5914" spans="1:6" x14ac:dyDescent="0.2">
      <c r="A5914" t="s">
        <v>10752</v>
      </c>
      <c r="B5914" t="s">
        <v>3113</v>
      </c>
      <c r="C5914" t="s">
        <v>908</v>
      </c>
      <c r="D5914" t="s">
        <v>10753</v>
      </c>
      <c r="E5914" t="s">
        <v>1262</v>
      </c>
      <c r="F5914" s="2" t="str">
        <f>HYPERLINK("http://www.otzar.org/book.asp?17318","בלשוני מלה")</f>
        <v>בלשוני מלה</v>
      </c>
    </row>
    <row r="5915" spans="1:6" x14ac:dyDescent="0.2">
      <c r="A5915" t="s">
        <v>10754</v>
      </c>
      <c r="B5915" t="s">
        <v>686</v>
      </c>
      <c r="C5915" t="s">
        <v>454</v>
      </c>
      <c r="D5915" t="s">
        <v>52</v>
      </c>
      <c r="E5915" t="s">
        <v>104</v>
      </c>
      <c r="F5915" s="2" t="str">
        <f>HYPERLINK("http://www.otzar.org/book.asp?61402","בם חייתני")</f>
        <v>בם חייתני</v>
      </c>
    </row>
    <row r="5916" spans="1:6" x14ac:dyDescent="0.2">
      <c r="A5916" t="s">
        <v>10755</v>
      </c>
      <c r="B5916" t="s">
        <v>9294</v>
      </c>
      <c r="C5916" t="s">
        <v>313</v>
      </c>
      <c r="D5916" t="s">
        <v>52</v>
      </c>
      <c r="E5916" t="s">
        <v>144</v>
      </c>
      <c r="F5916" s="2" t="str">
        <f>HYPERLINK("http://www.otzar.org/book.asp?159404","בם חייתני - נדה")</f>
        <v>בם חייתני - נדה</v>
      </c>
    </row>
    <row r="5917" spans="1:6" x14ac:dyDescent="0.2">
      <c r="A5917" t="s">
        <v>10756</v>
      </c>
      <c r="B5917" t="s">
        <v>10757</v>
      </c>
      <c r="C5917" t="s">
        <v>133</v>
      </c>
      <c r="D5917" t="s">
        <v>152</v>
      </c>
      <c r="E5917" t="s">
        <v>246</v>
      </c>
      <c r="F5917" s="2" t="str">
        <f>HYPERLINK("http://www.otzar.org/book.asp?180476","בם חייתני - 5 כר'")</f>
        <v>בם חייתני - 5 כר'</v>
      </c>
    </row>
    <row r="5918" spans="1:6" x14ac:dyDescent="0.2">
      <c r="A5918" t="s">
        <v>10758</v>
      </c>
      <c r="B5918" t="s">
        <v>10759</v>
      </c>
      <c r="C5918" t="s">
        <v>1160</v>
      </c>
      <c r="D5918" t="s">
        <v>14</v>
      </c>
      <c r="E5918" t="s">
        <v>104</v>
      </c>
      <c r="F5918" s="2" t="str">
        <f>HYPERLINK("http://www.otzar.org/book.asp?12648","במאבק נגד ניתוחי מתים")</f>
        <v>במאבק נגד ניתוחי מתים</v>
      </c>
    </row>
    <row r="5919" spans="1:6" x14ac:dyDescent="0.2">
      <c r="A5919" t="s">
        <v>10760</v>
      </c>
      <c r="B5919" t="s">
        <v>10761</v>
      </c>
      <c r="C5919" t="s">
        <v>146</v>
      </c>
      <c r="D5919" t="s">
        <v>14</v>
      </c>
      <c r="E5919" t="s">
        <v>15</v>
      </c>
      <c r="F5919" s="2" t="str">
        <f>HYPERLINK("http://www.otzar.org/book.asp?170393","במאזני צדק")</f>
        <v>במאזני צדק</v>
      </c>
    </row>
    <row r="5920" spans="1:6" x14ac:dyDescent="0.2">
      <c r="A5920" t="s">
        <v>10762</v>
      </c>
      <c r="B5920" t="s">
        <v>10763</v>
      </c>
      <c r="E5920" t="s">
        <v>234</v>
      </c>
      <c r="F5920" s="2" t="str">
        <f>HYPERLINK("http://www.otzar.org/book.asp?628019","במאי זכיין")</f>
        <v>במאי זכיין</v>
      </c>
    </row>
    <row r="5921" spans="1:6" x14ac:dyDescent="0.2">
      <c r="A5921" t="s">
        <v>10764</v>
      </c>
      <c r="B5921" t="s">
        <v>10765</v>
      </c>
      <c r="C5921" t="s">
        <v>37</v>
      </c>
      <c r="D5921" t="s">
        <v>118</v>
      </c>
      <c r="E5921" t="s">
        <v>154</v>
      </c>
      <c r="F5921" s="2" t="str">
        <f>HYPERLINK("http://www.otzar.org/book.asp?191133","במדבר אלינה")</f>
        <v>במדבר אלינה</v>
      </c>
    </row>
    <row r="5922" spans="1:6" x14ac:dyDescent="0.2">
      <c r="A5922" t="s">
        <v>10766</v>
      </c>
      <c r="B5922" t="s">
        <v>10767</v>
      </c>
      <c r="C5922" t="s">
        <v>13</v>
      </c>
      <c r="D5922" t="s">
        <v>52</v>
      </c>
      <c r="E5922" t="s">
        <v>10768</v>
      </c>
      <c r="F5922" s="2" t="str">
        <f>HYPERLINK("http://www.otzar.org/book.asp?154034","במדבר יהודה")</f>
        <v>במדבר יהודה</v>
      </c>
    </row>
    <row r="5923" spans="1:6" x14ac:dyDescent="0.2">
      <c r="A5923" t="s">
        <v>10769</v>
      </c>
      <c r="B5923" t="s">
        <v>10770</v>
      </c>
      <c r="C5923" t="s">
        <v>576</v>
      </c>
      <c r="D5923" t="s">
        <v>9</v>
      </c>
      <c r="E5923" t="s">
        <v>8570</v>
      </c>
      <c r="F5923" s="2" t="str">
        <f>HYPERLINK("http://www.otzar.org/book.asp?300572","במועדו")</f>
        <v>במועדו</v>
      </c>
    </row>
    <row r="5924" spans="1:6" x14ac:dyDescent="0.2">
      <c r="A5924" t="s">
        <v>10771</v>
      </c>
      <c r="B5924" t="s">
        <v>2692</v>
      </c>
      <c r="C5924" t="s">
        <v>13</v>
      </c>
      <c r="D5924" t="s">
        <v>216</v>
      </c>
      <c r="E5924" t="s">
        <v>15</v>
      </c>
      <c r="F5924" s="2" t="str">
        <f>HYPERLINK("http://www.otzar.org/book.asp?625825","במותר לו")</f>
        <v>במותר לו</v>
      </c>
    </row>
    <row r="5925" spans="1:6" x14ac:dyDescent="0.2">
      <c r="A5925" t="s">
        <v>10772</v>
      </c>
      <c r="B5925" t="s">
        <v>10773</v>
      </c>
      <c r="C5925" t="s">
        <v>411</v>
      </c>
      <c r="D5925" t="s">
        <v>147</v>
      </c>
      <c r="E5925" t="s">
        <v>154</v>
      </c>
      <c r="F5925" s="2" t="str">
        <f>HYPERLINK("http://www.otzar.org/book.asp?175585","במחוקק משענתם - 2 כר'")</f>
        <v>במחוקק משענתם - 2 כר'</v>
      </c>
    </row>
    <row r="5926" spans="1:6" x14ac:dyDescent="0.2">
      <c r="A5926" t="s">
        <v>10774</v>
      </c>
      <c r="B5926" t="s">
        <v>5078</v>
      </c>
      <c r="C5926" t="s">
        <v>143</v>
      </c>
      <c r="D5926" t="s">
        <v>52</v>
      </c>
      <c r="E5926" t="s">
        <v>733</v>
      </c>
      <c r="F5926" s="2" t="str">
        <f>HYPERLINK("http://www.otzar.org/book.asp?143461","במחיצת החזון איש - 2 כר'")</f>
        <v>במחיצת החזון איש - 2 כר'</v>
      </c>
    </row>
    <row r="5927" spans="1:6" x14ac:dyDescent="0.2">
      <c r="A5927" t="s">
        <v>10775</v>
      </c>
      <c r="B5927" t="s">
        <v>10776</v>
      </c>
      <c r="C5927" t="s">
        <v>151</v>
      </c>
      <c r="D5927" t="s">
        <v>14</v>
      </c>
      <c r="E5927" t="s">
        <v>119</v>
      </c>
      <c r="F5927" s="2" t="str">
        <f>HYPERLINK("http://www.otzar.org/book.asp?613692","במחיצת זקני")</f>
        <v>במחיצת זקני</v>
      </c>
    </row>
    <row r="5928" spans="1:6" x14ac:dyDescent="0.2">
      <c r="A5928" t="s">
        <v>10777</v>
      </c>
      <c r="B5928" t="s">
        <v>10778</v>
      </c>
      <c r="C5928" t="s">
        <v>111</v>
      </c>
      <c r="D5928" t="s">
        <v>2196</v>
      </c>
      <c r="E5928" t="s">
        <v>15</v>
      </c>
      <c r="F5928" s="2" t="str">
        <f>HYPERLINK("http://www.otzar.org/book.asp?630433","במחיצת חכמי ישראל")</f>
        <v>במחיצת חכמי ישראל</v>
      </c>
    </row>
    <row r="5929" spans="1:6" x14ac:dyDescent="0.2">
      <c r="A5929" t="s">
        <v>10779</v>
      </c>
      <c r="B5929" t="s">
        <v>10780</v>
      </c>
      <c r="C5929" t="s">
        <v>103</v>
      </c>
      <c r="D5929" t="s">
        <v>14</v>
      </c>
      <c r="E5929" t="s">
        <v>3567</v>
      </c>
      <c r="F5929" s="2" t="str">
        <f>HYPERLINK("http://www.otzar.org/book.asp?148923","במחיצת רבינו &lt;רבי יעקב קמינצקי&gt;")</f>
        <v>במחיצת רבינו &lt;רבי יעקב קמינצקי&gt;</v>
      </c>
    </row>
    <row r="5930" spans="1:6" x14ac:dyDescent="0.2">
      <c r="A5930" t="s">
        <v>10781</v>
      </c>
      <c r="B5930" t="s">
        <v>10782</v>
      </c>
      <c r="C5930" t="s">
        <v>129</v>
      </c>
      <c r="D5930" t="s">
        <v>14</v>
      </c>
      <c r="E5930" t="s">
        <v>119</v>
      </c>
      <c r="F5930" s="2" t="str">
        <f>HYPERLINK("http://www.otzar.org/book.asp?181465","במחיצתם של גדולי התורה - 2 כר'")</f>
        <v>במחיצתם של גדולי התורה - 2 כר'</v>
      </c>
    </row>
    <row r="5931" spans="1:6" x14ac:dyDescent="0.2">
      <c r="A5931" t="s">
        <v>10783</v>
      </c>
      <c r="B5931" t="s">
        <v>206</v>
      </c>
      <c r="C5931" t="s">
        <v>366</v>
      </c>
      <c r="D5931" t="s">
        <v>80</v>
      </c>
      <c r="F5931" s="2" t="str">
        <f>HYPERLINK("http://www.otzar.org/book.asp?609965","במחשבה שניה")</f>
        <v>במחשבה שניה</v>
      </c>
    </row>
    <row r="5932" spans="1:6" x14ac:dyDescent="0.2">
      <c r="A5932" t="s">
        <v>10784</v>
      </c>
      <c r="B5932" t="s">
        <v>10785</v>
      </c>
      <c r="C5932" t="s">
        <v>68</v>
      </c>
      <c r="D5932" t="s">
        <v>52</v>
      </c>
      <c r="E5932" t="s">
        <v>241</v>
      </c>
      <c r="F5932" s="2" t="str">
        <f>HYPERLINK("http://www.otzar.org/book.asp?159556","במי התורה - 2 כר'")</f>
        <v>במי התורה - 2 כר'</v>
      </c>
    </row>
    <row r="5933" spans="1:6" x14ac:dyDescent="0.2">
      <c r="A5933" t="s">
        <v>10786</v>
      </c>
      <c r="B5933" t="s">
        <v>1602</v>
      </c>
      <c r="C5933" t="s">
        <v>189</v>
      </c>
      <c r="D5933" t="s">
        <v>14</v>
      </c>
      <c r="E5933" t="s">
        <v>241</v>
      </c>
      <c r="F5933" s="2" t="str">
        <f>HYPERLINK("http://www.otzar.org/book.asp?151115","במים עזים נתיבה")</f>
        <v>במים עזים נתיבה</v>
      </c>
    </row>
    <row r="5934" spans="1:6" x14ac:dyDescent="0.2">
      <c r="A5934" t="s">
        <v>10787</v>
      </c>
      <c r="B5934" t="s">
        <v>7620</v>
      </c>
      <c r="C5934" t="s">
        <v>176</v>
      </c>
      <c r="D5934" t="s">
        <v>52</v>
      </c>
      <c r="E5934" t="s">
        <v>241</v>
      </c>
      <c r="F5934" s="2" t="str">
        <f>HYPERLINK("http://www.otzar.org/book.asp?23160","במסילה העולה")</f>
        <v>במסילה העולה</v>
      </c>
    </row>
    <row r="5935" spans="1:6" x14ac:dyDescent="0.2">
      <c r="A5935" t="s">
        <v>10788</v>
      </c>
      <c r="B5935" t="s">
        <v>10789</v>
      </c>
      <c r="C5935" t="s">
        <v>23</v>
      </c>
      <c r="D5935" t="s">
        <v>10790</v>
      </c>
      <c r="E5935" t="s">
        <v>144</v>
      </c>
      <c r="F5935" s="2" t="str">
        <f>HYPERLINK("http://www.otzar.org/book.asp?196156","במסילה העולה - קידושין")</f>
        <v>במסילה העולה - קידושין</v>
      </c>
    </row>
    <row r="5936" spans="1:6" x14ac:dyDescent="0.2">
      <c r="A5936" t="s">
        <v>10791</v>
      </c>
      <c r="B5936" t="s">
        <v>2074</v>
      </c>
      <c r="C5936" t="s">
        <v>189</v>
      </c>
      <c r="D5936" t="s">
        <v>14</v>
      </c>
      <c r="E5936" t="s">
        <v>241</v>
      </c>
      <c r="F5936" s="2" t="str">
        <f>HYPERLINK("http://www.otzar.org/book.asp?150529","במסילה נעלה &lt;ביאור באנגלית למסילת ישרים&gt; - 5 כר'")</f>
        <v>במסילה נעלה &lt;ביאור באנגלית למסילת ישרים&gt; - 5 כר'</v>
      </c>
    </row>
    <row r="5937" spans="1:6" x14ac:dyDescent="0.2">
      <c r="A5937" t="s">
        <v>10792</v>
      </c>
      <c r="B5937" t="s">
        <v>10793</v>
      </c>
      <c r="C5937" t="s">
        <v>151</v>
      </c>
      <c r="D5937" t="s">
        <v>90</v>
      </c>
      <c r="F5937" s="2" t="str">
        <f>HYPERLINK("http://www.otzar.org/book.asp?631856","במסילה נעלה")</f>
        <v>במסילה נעלה</v>
      </c>
    </row>
    <row r="5938" spans="1:6" x14ac:dyDescent="0.2">
      <c r="A5938" t="s">
        <v>10794</v>
      </c>
      <c r="B5938" t="s">
        <v>10795</v>
      </c>
      <c r="C5938" t="s">
        <v>37</v>
      </c>
      <c r="D5938" t="s">
        <v>21</v>
      </c>
      <c r="E5938" t="s">
        <v>158</v>
      </c>
      <c r="F5938" s="2" t="str">
        <f>HYPERLINK("http://www.otzar.org/book.asp?192378","במסילה נעלה - 2 כר'")</f>
        <v>במסילה נעלה - 2 כר'</v>
      </c>
    </row>
    <row r="5939" spans="1:6" x14ac:dyDescent="0.2">
      <c r="A5939" t="s">
        <v>10792</v>
      </c>
      <c r="B5939" t="s">
        <v>7485</v>
      </c>
      <c r="C5939" t="s">
        <v>189</v>
      </c>
      <c r="D5939" t="s">
        <v>14</v>
      </c>
      <c r="E5939" t="s">
        <v>241</v>
      </c>
      <c r="F5939" s="2" t="str">
        <f>HYPERLINK("http://www.otzar.org/book.asp?64004","במסילה נעלה")</f>
        <v>במסילה נעלה</v>
      </c>
    </row>
    <row r="5940" spans="1:6" x14ac:dyDescent="0.2">
      <c r="A5940" t="s">
        <v>10792</v>
      </c>
      <c r="B5940" t="s">
        <v>2866</v>
      </c>
      <c r="C5940" t="s">
        <v>244</v>
      </c>
      <c r="D5940" t="s">
        <v>2867</v>
      </c>
      <c r="E5940" t="s">
        <v>241</v>
      </c>
      <c r="F5940" s="2" t="str">
        <f>HYPERLINK("http://www.otzar.org/book.asp?600326","במסילה נעלה")</f>
        <v>במסילה נעלה</v>
      </c>
    </row>
    <row r="5941" spans="1:6" x14ac:dyDescent="0.2">
      <c r="A5941" t="s">
        <v>10796</v>
      </c>
      <c r="B5941" t="s">
        <v>10797</v>
      </c>
      <c r="C5941" t="s">
        <v>37</v>
      </c>
      <c r="D5941" t="s">
        <v>1156</v>
      </c>
      <c r="E5941" t="s">
        <v>130</v>
      </c>
      <c r="F5941" s="2" t="str">
        <f>HYPERLINK("http://www.otzar.org/book.asp?612688","במסילות החיים - 3 כר'")</f>
        <v>במסילות החיים - 3 כר'</v>
      </c>
    </row>
    <row r="5942" spans="1:6" x14ac:dyDescent="0.2">
      <c r="A5942" t="s">
        <v>10798</v>
      </c>
      <c r="B5942" t="s">
        <v>10799</v>
      </c>
      <c r="C5942" t="s">
        <v>244</v>
      </c>
      <c r="D5942" t="s">
        <v>52</v>
      </c>
      <c r="F5942" s="2" t="str">
        <f>HYPERLINK("http://www.otzar.org/book.asp?197934","במעגלי החיים")</f>
        <v>במעגלי החיים</v>
      </c>
    </row>
    <row r="5943" spans="1:6" x14ac:dyDescent="0.2">
      <c r="A5943" t="s">
        <v>10800</v>
      </c>
      <c r="B5943" t="s">
        <v>10799</v>
      </c>
      <c r="C5943" t="s">
        <v>244</v>
      </c>
      <c r="D5943" t="s">
        <v>52</v>
      </c>
      <c r="F5943" s="2" t="str">
        <f>HYPERLINK("http://www.otzar.org/book.asp?197935","במעגלי השנה")</f>
        <v>במעגלי השנה</v>
      </c>
    </row>
    <row r="5944" spans="1:6" x14ac:dyDescent="0.2">
      <c r="A5944" t="s">
        <v>10801</v>
      </c>
      <c r="B5944" t="s">
        <v>10802</v>
      </c>
      <c r="C5944" t="s">
        <v>313</v>
      </c>
      <c r="D5944" t="s">
        <v>780</v>
      </c>
      <c r="E5944" t="s">
        <v>158</v>
      </c>
      <c r="F5944" s="2" t="str">
        <f>HYPERLINK("http://www.otzar.org/book.asp?149934","במעגלי יושר - בראשית")</f>
        <v>במעגלי יושר - בראשית</v>
      </c>
    </row>
    <row r="5945" spans="1:6" x14ac:dyDescent="0.2">
      <c r="A5945" t="s">
        <v>10803</v>
      </c>
      <c r="B5945" t="s">
        <v>10804</v>
      </c>
      <c r="C5945" t="s">
        <v>151</v>
      </c>
      <c r="D5945" t="s">
        <v>14</v>
      </c>
      <c r="E5945" t="s">
        <v>246</v>
      </c>
      <c r="F5945" s="2" t="str">
        <f>HYPERLINK("http://www.otzar.org/book.asp?623569","במעגלי ישר - 2 כר'")</f>
        <v>במעגלי ישר - 2 כר'</v>
      </c>
    </row>
    <row r="5946" spans="1:6" x14ac:dyDescent="0.2">
      <c r="A5946" t="s">
        <v>10805</v>
      </c>
      <c r="B5946" t="s">
        <v>686</v>
      </c>
      <c r="C5946" t="s">
        <v>129</v>
      </c>
      <c r="D5946" t="s">
        <v>52</v>
      </c>
      <c r="E5946" t="s">
        <v>234</v>
      </c>
      <c r="F5946" s="2" t="str">
        <f>HYPERLINK("http://www.otzar.org/book.asp?148852","במעגלי צדק")</f>
        <v>במעגלי צדק</v>
      </c>
    </row>
    <row r="5947" spans="1:6" x14ac:dyDescent="0.2">
      <c r="A5947" t="s">
        <v>10805</v>
      </c>
      <c r="B5947" t="s">
        <v>10806</v>
      </c>
      <c r="C5947" t="s">
        <v>103</v>
      </c>
      <c r="D5947" t="s">
        <v>412</v>
      </c>
      <c r="E5947" t="s">
        <v>15</v>
      </c>
      <c r="F5947" s="2" t="str">
        <f>HYPERLINK("http://www.otzar.org/book.asp?173610","במעגלי צדק")</f>
        <v>במעגלי צדק</v>
      </c>
    </row>
    <row r="5948" spans="1:6" x14ac:dyDescent="0.2">
      <c r="A5948" t="s">
        <v>10807</v>
      </c>
      <c r="B5948" t="s">
        <v>1363</v>
      </c>
      <c r="C5948" t="s">
        <v>63</v>
      </c>
      <c r="D5948" t="s">
        <v>52</v>
      </c>
      <c r="E5948" t="s">
        <v>4172</v>
      </c>
      <c r="F5948" s="2" t="str">
        <f>HYPERLINK("http://www.otzar.org/book.asp?102914","במעגלי שנה - 4 כר'")</f>
        <v>במעגלי שנה - 4 כר'</v>
      </c>
    </row>
    <row r="5949" spans="1:6" x14ac:dyDescent="0.2">
      <c r="A5949" t="s">
        <v>10808</v>
      </c>
      <c r="B5949" t="s">
        <v>10809</v>
      </c>
      <c r="C5949" t="s">
        <v>68</v>
      </c>
      <c r="D5949" t="s">
        <v>14</v>
      </c>
      <c r="E5949" t="s">
        <v>144</v>
      </c>
      <c r="F5949" s="2" t="str">
        <f>HYPERLINK("http://www.otzar.org/book.asp?158696","במעונות אריות - כתובות")</f>
        <v>במעונות אריות - כתובות</v>
      </c>
    </row>
    <row r="5950" spans="1:6" x14ac:dyDescent="0.2">
      <c r="A5950" t="s">
        <v>10810</v>
      </c>
      <c r="B5950" t="s">
        <v>206</v>
      </c>
      <c r="C5950" t="s">
        <v>20</v>
      </c>
      <c r="D5950" t="s">
        <v>90</v>
      </c>
      <c r="E5950" t="s">
        <v>241</v>
      </c>
      <c r="F5950" s="2" t="str">
        <f>HYPERLINK("http://www.otzar.org/book.asp?629871","במעלות היראה")</f>
        <v>במעלות היראה</v>
      </c>
    </row>
    <row r="5951" spans="1:6" x14ac:dyDescent="0.2">
      <c r="A5951" t="s">
        <v>10811</v>
      </c>
      <c r="B5951" t="s">
        <v>10812</v>
      </c>
      <c r="C5951" t="s">
        <v>1619</v>
      </c>
      <c r="D5951" t="s">
        <v>216</v>
      </c>
      <c r="E5951" t="s">
        <v>241</v>
      </c>
      <c r="F5951" s="2" t="str">
        <f>HYPERLINK("http://www.otzar.org/book.asp?171350","במעלות התפילה")</f>
        <v>במעלות התפילה</v>
      </c>
    </row>
    <row r="5952" spans="1:6" x14ac:dyDescent="0.2">
      <c r="A5952" t="s">
        <v>10813</v>
      </c>
      <c r="B5952" t="s">
        <v>1557</v>
      </c>
      <c r="C5952" t="s">
        <v>20</v>
      </c>
      <c r="D5952" t="s">
        <v>90</v>
      </c>
      <c r="E5952" t="s">
        <v>15</v>
      </c>
      <c r="F5952" s="2" t="str">
        <f>HYPERLINK("http://www.otzar.org/book.asp?610309","במצוותיו חפץ מאוד")</f>
        <v>במצוותיו חפץ מאוד</v>
      </c>
    </row>
    <row r="5953" spans="1:6" x14ac:dyDescent="0.2">
      <c r="A5953" t="s">
        <v>10814</v>
      </c>
      <c r="B5953" t="s">
        <v>10815</v>
      </c>
      <c r="C5953" t="s">
        <v>23</v>
      </c>
      <c r="D5953" t="s">
        <v>367</v>
      </c>
      <c r="E5953" t="s">
        <v>15</v>
      </c>
      <c r="F5953" s="2" t="str">
        <f>HYPERLINK("http://www.otzar.org/book.asp?615918","במצות שבת גרוסה")</f>
        <v>במצות שבת גרוסה</v>
      </c>
    </row>
    <row r="5954" spans="1:6" x14ac:dyDescent="0.2">
      <c r="A5954" t="s">
        <v>10816</v>
      </c>
      <c r="B5954" t="s">
        <v>10817</v>
      </c>
      <c r="C5954" t="s">
        <v>129</v>
      </c>
      <c r="D5954" t="s">
        <v>412</v>
      </c>
      <c r="E5954" t="s">
        <v>4163</v>
      </c>
      <c r="F5954" s="2" t="str">
        <f>HYPERLINK("http://www.otzar.org/book.asp?83937","במצות שבת גרוסה - ה")</f>
        <v>במצות שבת גרוסה - ה</v>
      </c>
    </row>
    <row r="5955" spans="1:6" x14ac:dyDescent="0.2">
      <c r="A5955" t="s">
        <v>10818</v>
      </c>
      <c r="B5955" t="s">
        <v>10819</v>
      </c>
      <c r="C5955" t="s">
        <v>383</v>
      </c>
      <c r="D5955" t="s">
        <v>14</v>
      </c>
      <c r="E5955" t="s">
        <v>241</v>
      </c>
      <c r="F5955" s="2" t="str">
        <f>HYPERLINK("http://www.otzar.org/book.asp?52968","במצותיו חפץ מאד")</f>
        <v>במצותיו חפץ מאד</v>
      </c>
    </row>
    <row r="5956" spans="1:6" x14ac:dyDescent="0.2">
      <c r="A5956" t="s">
        <v>10820</v>
      </c>
      <c r="B5956" t="s">
        <v>4402</v>
      </c>
      <c r="C5956" t="s">
        <v>146</v>
      </c>
      <c r="D5956" t="s">
        <v>14</v>
      </c>
      <c r="E5956" t="s">
        <v>15</v>
      </c>
      <c r="F5956" s="2" t="str">
        <f>HYPERLINK("http://www.otzar.org/book.asp?166985","במקהלות ברכו - בעניני ברכות")</f>
        <v>במקהלות ברכו - בעניני ברכות</v>
      </c>
    </row>
    <row r="5957" spans="1:6" x14ac:dyDescent="0.2">
      <c r="A5957" t="s">
        <v>10821</v>
      </c>
      <c r="B5957" t="s">
        <v>10822</v>
      </c>
      <c r="C5957" t="s">
        <v>1954</v>
      </c>
      <c r="D5957" t="s">
        <v>260</v>
      </c>
      <c r="E5957" t="s">
        <v>1164</v>
      </c>
      <c r="F5957" s="2" t="str">
        <f>HYPERLINK("http://www.otzar.org/book.asp?188846","במרצפת המזלות")</f>
        <v>במרצפת המזלות</v>
      </c>
    </row>
    <row r="5958" spans="1:6" x14ac:dyDescent="0.2">
      <c r="A5958" t="s">
        <v>10823</v>
      </c>
      <c r="B5958" t="s">
        <v>10824</v>
      </c>
      <c r="C5958" t="s">
        <v>133</v>
      </c>
      <c r="D5958" t="s">
        <v>52</v>
      </c>
      <c r="E5958" t="s">
        <v>144</v>
      </c>
      <c r="F5958" s="2" t="str">
        <f>HYPERLINK("http://www.otzar.org/book.asp?620328","במשמרת הפסח - 4 כר'")</f>
        <v>במשמרת הפסח - 4 כר'</v>
      </c>
    </row>
    <row r="5959" spans="1:6" x14ac:dyDescent="0.2">
      <c r="A5959" t="s">
        <v>10825</v>
      </c>
      <c r="B5959" t="s">
        <v>10824</v>
      </c>
      <c r="C5959" t="s">
        <v>422</v>
      </c>
      <c r="D5959" t="s">
        <v>52</v>
      </c>
      <c r="E5959" t="s">
        <v>104</v>
      </c>
      <c r="F5959" s="2" t="str">
        <f>HYPERLINK("http://www.otzar.org/book.asp?608477","במשמרת הקודש")</f>
        <v>במשמרת הקודש</v>
      </c>
    </row>
    <row r="5960" spans="1:6" x14ac:dyDescent="0.2">
      <c r="A5960" t="s">
        <v>10826</v>
      </c>
      <c r="B5960" t="s">
        <v>10827</v>
      </c>
      <c r="C5960" t="s">
        <v>767</v>
      </c>
      <c r="D5960" t="s">
        <v>21</v>
      </c>
      <c r="E5960" t="s">
        <v>384</v>
      </c>
      <c r="F5960" s="2" t="str">
        <f>HYPERLINK("http://www.otzar.org/book.asp?603061","במשנת הגאון")</f>
        <v>במשנת הגאון</v>
      </c>
    </row>
    <row r="5961" spans="1:6" x14ac:dyDescent="0.2">
      <c r="A5961" t="s">
        <v>10828</v>
      </c>
      <c r="B5961" t="s">
        <v>10829</v>
      </c>
      <c r="C5961" t="s">
        <v>23</v>
      </c>
      <c r="E5961" t="s">
        <v>5392</v>
      </c>
      <c r="F5961" s="2" t="str">
        <f>HYPERLINK("http://www.otzar.org/book.asp?600792","במשנת הפרשה - 2 כר'")</f>
        <v>במשנת הפרשה - 2 כר'</v>
      </c>
    </row>
    <row r="5962" spans="1:6" x14ac:dyDescent="0.2">
      <c r="A5962" t="s">
        <v>10830</v>
      </c>
      <c r="B5962" t="s">
        <v>10831</v>
      </c>
      <c r="C5962" t="s">
        <v>37</v>
      </c>
      <c r="D5962" t="s">
        <v>147</v>
      </c>
      <c r="E5962" t="s">
        <v>158</v>
      </c>
      <c r="F5962" s="2" t="str">
        <f>HYPERLINK("http://www.otzar.org/book.asp?199682","במשנת רש""י")</f>
        <v>במשנת רש"י</v>
      </c>
    </row>
    <row r="5963" spans="1:6" x14ac:dyDescent="0.2">
      <c r="A5963" t="s">
        <v>10832</v>
      </c>
      <c r="B5963" t="s">
        <v>10833</v>
      </c>
      <c r="C5963" t="s">
        <v>20</v>
      </c>
      <c r="D5963" t="s">
        <v>90</v>
      </c>
      <c r="E5963" t="s">
        <v>8079</v>
      </c>
      <c r="F5963" s="2" t="str">
        <f>HYPERLINK("http://www.otzar.org/book.asp?193283","במשנתו של רע""א - חנוכה")</f>
        <v>במשנתו של רע"א - חנוכה</v>
      </c>
    </row>
    <row r="5964" spans="1:6" x14ac:dyDescent="0.2">
      <c r="A5964" t="s">
        <v>10834</v>
      </c>
      <c r="B5964" t="s">
        <v>10835</v>
      </c>
      <c r="E5964" t="s">
        <v>104</v>
      </c>
      <c r="F5964" s="2" t="str">
        <f>HYPERLINK("http://www.otzar.org/book.asp?624601","במשעול הכרם - דרכי לימוד וקנין תורה")</f>
        <v>במשעול הכרם - דרכי לימוד וקנין תורה</v>
      </c>
    </row>
    <row r="5965" spans="1:6" x14ac:dyDescent="0.2">
      <c r="A5965" t="s">
        <v>10836</v>
      </c>
      <c r="B5965" t="s">
        <v>10837</v>
      </c>
      <c r="C5965" t="s">
        <v>366</v>
      </c>
      <c r="D5965" t="s">
        <v>52</v>
      </c>
      <c r="E5965" t="s">
        <v>241</v>
      </c>
      <c r="F5965" s="2" t="str">
        <f>HYPERLINK("http://www.otzar.org/book.asp?621635","במשעול הכרמים - 2 כר'")</f>
        <v>במשעול הכרמים - 2 כר'</v>
      </c>
    </row>
    <row r="5966" spans="1:6" x14ac:dyDescent="0.2">
      <c r="A5966" t="s">
        <v>10838</v>
      </c>
      <c r="B5966" t="s">
        <v>686</v>
      </c>
      <c r="C5966" t="s">
        <v>151</v>
      </c>
      <c r="D5966" t="s">
        <v>52</v>
      </c>
      <c r="E5966" t="s">
        <v>246</v>
      </c>
      <c r="F5966" s="2" t="str">
        <f>HYPERLINK("http://www.otzar.org/book.asp?621705","במשפט האורים")</f>
        <v>במשפט האורים</v>
      </c>
    </row>
    <row r="5967" spans="1:6" x14ac:dyDescent="0.2">
      <c r="A5967" t="s">
        <v>10839</v>
      </c>
      <c r="B5967" t="s">
        <v>10840</v>
      </c>
      <c r="C5967" t="s">
        <v>1592</v>
      </c>
      <c r="D5967" t="s">
        <v>42</v>
      </c>
      <c r="E5967" t="s">
        <v>158</v>
      </c>
      <c r="F5967" s="2" t="str">
        <f>HYPERLINK("http://www.otzar.org/book.asp?200075","במת יחיד")</f>
        <v>במת יחיד</v>
      </c>
    </row>
    <row r="5968" spans="1:6" x14ac:dyDescent="0.2">
      <c r="A5968" t="s">
        <v>10841</v>
      </c>
      <c r="B5968" t="s">
        <v>1750</v>
      </c>
      <c r="C5968" t="s">
        <v>133</v>
      </c>
      <c r="D5968" t="s">
        <v>14</v>
      </c>
      <c r="E5968" t="s">
        <v>186</v>
      </c>
      <c r="F5968" s="2" t="str">
        <f>HYPERLINK("http://www.otzar.org/book.asp?198621","במת ציבור")</f>
        <v>במת ציבור</v>
      </c>
    </row>
    <row r="5969" spans="1:6" x14ac:dyDescent="0.2">
      <c r="A5969" t="s">
        <v>10842</v>
      </c>
      <c r="B5969" t="s">
        <v>10843</v>
      </c>
      <c r="C5969" t="s">
        <v>454</v>
      </c>
      <c r="D5969" t="s">
        <v>52</v>
      </c>
      <c r="E5969" t="s">
        <v>144</v>
      </c>
      <c r="F5969" s="2" t="str">
        <f>HYPERLINK("http://www.otzar.org/book.asp?163965","במתי ים - יבמות")</f>
        <v>במתי ים - יבמות</v>
      </c>
    </row>
    <row r="5970" spans="1:6" x14ac:dyDescent="0.2">
      <c r="A5970" t="s">
        <v>10844</v>
      </c>
      <c r="B5970" t="s">
        <v>10845</v>
      </c>
      <c r="C5970" t="s">
        <v>114</v>
      </c>
      <c r="D5970" t="s">
        <v>412</v>
      </c>
      <c r="E5970" t="s">
        <v>241</v>
      </c>
      <c r="F5970" s="2" t="str">
        <f>HYPERLINK("http://www.otzar.org/book.asp?163622","בן אברהם &lt;בית מוסר - שער משיח&gt;")</f>
        <v>בן אברהם &lt;בית מוסר - שער משיח&gt;</v>
      </c>
    </row>
    <row r="5971" spans="1:6" x14ac:dyDescent="0.2">
      <c r="A5971" t="s">
        <v>10846</v>
      </c>
      <c r="B5971" t="s">
        <v>10845</v>
      </c>
      <c r="C5971" t="s">
        <v>438</v>
      </c>
      <c r="D5971" t="s">
        <v>14</v>
      </c>
      <c r="E5971" t="s">
        <v>158</v>
      </c>
      <c r="F5971" s="2" t="str">
        <f>HYPERLINK("http://www.otzar.org/book.asp?84866","בן אברהם על התורה")</f>
        <v>בן אברהם על התורה</v>
      </c>
    </row>
    <row r="5972" spans="1:6" x14ac:dyDescent="0.2">
      <c r="A5972" t="s">
        <v>10847</v>
      </c>
      <c r="B5972" t="s">
        <v>10848</v>
      </c>
      <c r="C5972" t="s">
        <v>4705</v>
      </c>
      <c r="D5972" t="s">
        <v>212</v>
      </c>
      <c r="E5972" t="s">
        <v>154</v>
      </c>
      <c r="F5972" s="2" t="str">
        <f>HYPERLINK("http://www.otzar.org/book.asp?22228","בן אברהם - 2 כר'")</f>
        <v>בן אברהם - 2 כר'</v>
      </c>
    </row>
    <row r="5973" spans="1:6" x14ac:dyDescent="0.2">
      <c r="A5973" t="s">
        <v>10849</v>
      </c>
      <c r="B5973" t="s">
        <v>10850</v>
      </c>
      <c r="C5973" t="s">
        <v>2271</v>
      </c>
      <c r="D5973" t="s">
        <v>76</v>
      </c>
      <c r="E5973" t="s">
        <v>10851</v>
      </c>
      <c r="F5973" s="2" t="str">
        <f>HYPERLINK("http://www.otzar.org/book.asp?24088","בן אברהם")</f>
        <v>בן אברהם</v>
      </c>
    </row>
    <row r="5974" spans="1:6" x14ac:dyDescent="0.2">
      <c r="A5974" t="s">
        <v>10852</v>
      </c>
      <c r="B5974" t="s">
        <v>10845</v>
      </c>
      <c r="C5974" t="s">
        <v>37</v>
      </c>
      <c r="D5974" t="s">
        <v>412</v>
      </c>
      <c r="E5974" t="s">
        <v>158</v>
      </c>
      <c r="F5974" s="2" t="str">
        <f>HYPERLINK("http://www.otzar.org/book.asp?179541","בן אברהם - 5 כר'")</f>
        <v>בן אברהם - 5 כר'</v>
      </c>
    </row>
    <row r="5975" spans="1:6" x14ac:dyDescent="0.2">
      <c r="A5975" t="s">
        <v>10849</v>
      </c>
      <c r="B5975" t="s">
        <v>8774</v>
      </c>
      <c r="C5975" t="s">
        <v>1124</v>
      </c>
      <c r="D5975" t="s">
        <v>157</v>
      </c>
      <c r="E5975" t="s">
        <v>234</v>
      </c>
      <c r="F5975" s="2" t="str">
        <f>HYPERLINK("http://www.otzar.org/book.asp?15678","בן אברהם")</f>
        <v>בן אברהם</v>
      </c>
    </row>
    <row r="5976" spans="1:6" x14ac:dyDescent="0.2">
      <c r="A5976" t="s">
        <v>10853</v>
      </c>
      <c r="B5976" t="s">
        <v>10854</v>
      </c>
      <c r="C5976" t="s">
        <v>10855</v>
      </c>
      <c r="D5976" t="s">
        <v>2209</v>
      </c>
      <c r="E5976" t="s">
        <v>158</v>
      </c>
      <c r="F5976" s="2" t="str">
        <f>HYPERLINK("http://www.otzar.org/book.asp?24089","בן אהרן")</f>
        <v>בן אהרן</v>
      </c>
    </row>
    <row r="5977" spans="1:6" x14ac:dyDescent="0.2">
      <c r="A5977" t="s">
        <v>10853</v>
      </c>
      <c r="B5977" t="s">
        <v>10856</v>
      </c>
      <c r="C5977" t="s">
        <v>785</v>
      </c>
      <c r="D5977" t="s">
        <v>52</v>
      </c>
      <c r="E5977" t="s">
        <v>2071</v>
      </c>
      <c r="F5977" s="2" t="str">
        <f>HYPERLINK("http://www.otzar.org/book.asp?161221","בן אהרן")</f>
        <v>בן אהרן</v>
      </c>
    </row>
    <row r="5978" spans="1:6" x14ac:dyDescent="0.2">
      <c r="A5978" t="s">
        <v>10857</v>
      </c>
      <c r="B5978" t="s">
        <v>10858</v>
      </c>
      <c r="C5978" t="s">
        <v>10859</v>
      </c>
      <c r="D5978" t="s">
        <v>60</v>
      </c>
      <c r="E5978" t="s">
        <v>674</v>
      </c>
      <c r="F5978" s="2" t="str">
        <f>HYPERLINK("http://www.otzar.org/book.asp?83769","בן אוני")</f>
        <v>בן אוני</v>
      </c>
    </row>
    <row r="5979" spans="1:6" x14ac:dyDescent="0.2">
      <c r="A5979" t="s">
        <v>10857</v>
      </c>
      <c r="B5979" t="s">
        <v>10860</v>
      </c>
      <c r="C5979" t="s">
        <v>1885</v>
      </c>
      <c r="D5979" t="s">
        <v>56</v>
      </c>
      <c r="E5979" t="s">
        <v>158</v>
      </c>
      <c r="F5979" s="2" t="str">
        <f>HYPERLINK("http://www.otzar.org/book.asp?105994","בן אוני")</f>
        <v>בן אוני</v>
      </c>
    </row>
    <row r="5980" spans="1:6" x14ac:dyDescent="0.2">
      <c r="A5980" t="s">
        <v>10861</v>
      </c>
      <c r="B5980" t="s">
        <v>10862</v>
      </c>
      <c r="C5980" t="s">
        <v>8476</v>
      </c>
      <c r="D5980" t="s">
        <v>60</v>
      </c>
      <c r="E5980" t="s">
        <v>158</v>
      </c>
      <c r="F5980" s="2" t="str">
        <f>HYPERLINK("http://www.otzar.org/book.asp?108488","בן אורי")</f>
        <v>בן אורי</v>
      </c>
    </row>
    <row r="5981" spans="1:6" x14ac:dyDescent="0.2">
      <c r="A5981" t="s">
        <v>10861</v>
      </c>
      <c r="B5981" t="s">
        <v>10863</v>
      </c>
      <c r="C5981" t="s">
        <v>568</v>
      </c>
      <c r="D5981" t="s">
        <v>1459</v>
      </c>
      <c r="E5981" t="s">
        <v>144</v>
      </c>
      <c r="F5981" s="2" t="str">
        <f>HYPERLINK("http://www.otzar.org/book.asp?181992","בן אורי")</f>
        <v>בן אורי</v>
      </c>
    </row>
    <row r="5982" spans="1:6" x14ac:dyDescent="0.2">
      <c r="A5982" t="s">
        <v>10864</v>
      </c>
      <c r="B5982" t="s">
        <v>10865</v>
      </c>
      <c r="C5982" t="s">
        <v>124</v>
      </c>
      <c r="D5982" t="s">
        <v>14</v>
      </c>
      <c r="E5982" t="s">
        <v>1211</v>
      </c>
      <c r="F5982" s="2" t="str">
        <f>HYPERLINK("http://www.otzar.org/book.asp?161864","בן אחיסמך")</f>
        <v>בן אחיסמך</v>
      </c>
    </row>
    <row r="5983" spans="1:6" x14ac:dyDescent="0.2">
      <c r="A5983" t="s">
        <v>10866</v>
      </c>
      <c r="B5983" t="s">
        <v>10867</v>
      </c>
      <c r="C5983" t="s">
        <v>151</v>
      </c>
      <c r="D5983" t="s">
        <v>14</v>
      </c>
      <c r="E5983" t="s">
        <v>15</v>
      </c>
      <c r="F5983" s="2" t="str">
        <f>HYPERLINK("http://www.otzar.org/book.asp?629231","בן איש חי &lt;אבן חי - 4 כר'")</f>
        <v>בן איש חי &lt;אבן חי - 4 כר'</v>
      </c>
    </row>
    <row r="5984" spans="1:6" x14ac:dyDescent="0.2">
      <c r="A5984" t="s">
        <v>10868</v>
      </c>
      <c r="B5984" t="s">
        <v>599</v>
      </c>
      <c r="C5984" t="s">
        <v>168</v>
      </c>
      <c r="D5984" t="s">
        <v>14</v>
      </c>
      <c r="E5984" t="s">
        <v>2135</v>
      </c>
      <c r="F5984" s="2" t="str">
        <f>HYPERLINK("http://www.otzar.org/book.asp?25841","בן איש חי &lt;מאורות יוסף, אמרות חיים&gt; - 2 כר'")</f>
        <v>בן איש חי &lt;מאורות יוסף, אמרות חיים&gt; - 2 כר'</v>
      </c>
    </row>
    <row r="5985" spans="1:6" x14ac:dyDescent="0.2">
      <c r="A5985" t="s">
        <v>10869</v>
      </c>
      <c r="B5985" t="s">
        <v>10870</v>
      </c>
      <c r="C5985" t="s">
        <v>20</v>
      </c>
      <c r="D5985" t="s">
        <v>90</v>
      </c>
      <c r="F5985" s="2" t="str">
        <f>HYPERLINK("http://www.otzar.org/book.asp?603266","בן איש חי הלכות פורים ע""פ תכלת מרדכי")</f>
        <v>בן איש חי הלכות פורים ע"פ תכלת מרדכי</v>
      </c>
    </row>
    <row r="5986" spans="1:6" x14ac:dyDescent="0.2">
      <c r="A5986" t="s">
        <v>10871</v>
      </c>
      <c r="B5986" t="s">
        <v>599</v>
      </c>
      <c r="C5986" t="s">
        <v>146</v>
      </c>
      <c r="D5986" t="s">
        <v>14</v>
      </c>
      <c r="E5986" t="s">
        <v>15</v>
      </c>
      <c r="F5986" s="2" t="str">
        <f>HYPERLINK("http://www.otzar.org/book.asp?148928","בן איש חי המקוצר - 2 כר'")</f>
        <v>בן איש חי המקוצר - 2 כר'</v>
      </c>
    </row>
    <row r="5987" spans="1:6" x14ac:dyDescent="0.2">
      <c r="A5987" t="s">
        <v>10872</v>
      </c>
      <c r="B5987" t="s">
        <v>599</v>
      </c>
      <c r="C5987" t="s">
        <v>189</v>
      </c>
      <c r="D5987" t="s">
        <v>52</v>
      </c>
      <c r="E5987" t="s">
        <v>15</v>
      </c>
      <c r="F5987" s="2" t="str">
        <f>HYPERLINK("http://www.otzar.org/book.asp?51120","בן איש חי המשולב עם עוד יוסף חי - 3 כר'")</f>
        <v>בן איש חי המשולב עם עוד יוסף חי - 3 כר'</v>
      </c>
    </row>
    <row r="5988" spans="1:6" x14ac:dyDescent="0.2">
      <c r="A5988" t="s">
        <v>10873</v>
      </c>
      <c r="B5988" t="s">
        <v>10874</v>
      </c>
      <c r="C5988" t="s">
        <v>185</v>
      </c>
      <c r="D5988" t="s">
        <v>152</v>
      </c>
      <c r="E5988" t="s">
        <v>15</v>
      </c>
      <c r="F5988" s="2" t="str">
        <f>HYPERLINK("http://www.otzar.org/book.asp?631195","בן איש חי וקיים - מועדים")</f>
        <v>בן איש חי וקיים - מועדים</v>
      </c>
    </row>
    <row r="5989" spans="1:6" x14ac:dyDescent="0.2">
      <c r="A5989" t="s">
        <v>10875</v>
      </c>
      <c r="B5989" t="s">
        <v>599</v>
      </c>
      <c r="C5989" t="s">
        <v>1619</v>
      </c>
      <c r="D5989" t="s">
        <v>14</v>
      </c>
      <c r="E5989" t="s">
        <v>4940</v>
      </c>
      <c r="F5989" s="2" t="str">
        <f>HYPERLINK("http://www.otzar.org/book.asp?543","בן איש חי - 5 כר'")</f>
        <v>בן איש חי - 5 כר'</v>
      </c>
    </row>
    <row r="5990" spans="1:6" x14ac:dyDescent="0.2">
      <c r="A5990" t="s">
        <v>10876</v>
      </c>
      <c r="B5990" t="s">
        <v>599</v>
      </c>
      <c r="C5990" t="s">
        <v>10877</v>
      </c>
      <c r="D5990" t="s">
        <v>27</v>
      </c>
      <c r="E5990" t="s">
        <v>234</v>
      </c>
      <c r="F5990" s="2" t="str">
        <f>HYPERLINK("http://www.otzar.org/book.asp?9793","בן איש חיל - 3 כר'")</f>
        <v>בן איש חיל - 3 כר'</v>
      </c>
    </row>
    <row r="5991" spans="1:6" x14ac:dyDescent="0.2">
      <c r="A5991" t="s">
        <v>10878</v>
      </c>
      <c r="B5991" t="s">
        <v>10879</v>
      </c>
      <c r="C5991" t="s">
        <v>624</v>
      </c>
      <c r="D5991" t="s">
        <v>1511</v>
      </c>
      <c r="E5991" t="s">
        <v>15</v>
      </c>
      <c r="F5991" s="2" t="str">
        <f>HYPERLINK("http://www.otzar.org/book.asp?62884","בן איש ימיני")</f>
        <v>בן איש ימיני</v>
      </c>
    </row>
    <row r="5992" spans="1:6" x14ac:dyDescent="0.2">
      <c r="A5992" t="s">
        <v>10880</v>
      </c>
      <c r="B5992" t="s">
        <v>10881</v>
      </c>
      <c r="C5992" t="s">
        <v>1524</v>
      </c>
      <c r="D5992" t="s">
        <v>2303</v>
      </c>
      <c r="E5992" t="s">
        <v>158</v>
      </c>
      <c r="F5992" s="2" t="str">
        <f>HYPERLINK("http://www.otzar.org/book.asp?151121","בן אמונים")</f>
        <v>בן אמונים</v>
      </c>
    </row>
    <row r="5993" spans="1:6" x14ac:dyDescent="0.2">
      <c r="A5993" t="s">
        <v>10882</v>
      </c>
      <c r="B5993" t="s">
        <v>9328</v>
      </c>
      <c r="C5993" t="s">
        <v>37</v>
      </c>
      <c r="D5993" t="s">
        <v>52</v>
      </c>
      <c r="F5993" s="2" t="str">
        <f>HYPERLINK("http://www.otzar.org/book.asp?183183","בן אמתך - מגילת רות")</f>
        <v>בן אמתך - מגילת רות</v>
      </c>
    </row>
    <row r="5994" spans="1:6" x14ac:dyDescent="0.2">
      <c r="A5994" t="s">
        <v>10883</v>
      </c>
      <c r="B5994" t="s">
        <v>10884</v>
      </c>
      <c r="C5994" t="s">
        <v>10885</v>
      </c>
      <c r="D5994" t="s">
        <v>283</v>
      </c>
      <c r="E5994" t="s">
        <v>158</v>
      </c>
      <c r="F5994" s="2" t="str">
        <f>HYPERLINK("http://www.otzar.org/book.asp?300575","בן אסף המזכיר")</f>
        <v>בן אסף המזכיר</v>
      </c>
    </row>
    <row r="5995" spans="1:6" x14ac:dyDescent="0.2">
      <c r="A5995" t="s">
        <v>10886</v>
      </c>
      <c r="B5995" t="s">
        <v>10887</v>
      </c>
      <c r="C5995" t="s">
        <v>2970</v>
      </c>
      <c r="D5995" t="s">
        <v>42</v>
      </c>
      <c r="E5995" t="s">
        <v>219</v>
      </c>
      <c r="F5995" s="2" t="str">
        <f>HYPERLINK("http://www.otzar.org/book.asp?300573","בן אשר")</f>
        <v>בן אשר</v>
      </c>
    </row>
    <row r="5996" spans="1:6" x14ac:dyDescent="0.2">
      <c r="A5996" t="s">
        <v>10886</v>
      </c>
      <c r="B5996" t="s">
        <v>10888</v>
      </c>
      <c r="C5996" t="s">
        <v>23</v>
      </c>
      <c r="D5996" t="s">
        <v>1156</v>
      </c>
      <c r="E5996" t="s">
        <v>2135</v>
      </c>
      <c r="F5996" s="2" t="str">
        <f>HYPERLINK("http://www.otzar.org/book.asp?612094","בן אשר")</f>
        <v>בן אשר</v>
      </c>
    </row>
    <row r="5997" spans="1:6" x14ac:dyDescent="0.2">
      <c r="A5997" t="s">
        <v>10889</v>
      </c>
      <c r="B5997" t="s">
        <v>10890</v>
      </c>
      <c r="C5997" t="s">
        <v>617</v>
      </c>
      <c r="D5997" t="s">
        <v>212</v>
      </c>
      <c r="E5997" t="s">
        <v>674</v>
      </c>
      <c r="F5997" s="2" t="str">
        <f>HYPERLINK("http://www.otzar.org/book.asp?300576","בן בגימט' אליהו")</f>
        <v>בן בגימט' אליהו</v>
      </c>
    </row>
    <row r="5998" spans="1:6" x14ac:dyDescent="0.2">
      <c r="A5998" t="s">
        <v>10891</v>
      </c>
      <c r="B5998" t="s">
        <v>10892</v>
      </c>
      <c r="C5998" t="s">
        <v>3690</v>
      </c>
      <c r="D5998" t="s">
        <v>56</v>
      </c>
      <c r="E5998" t="s">
        <v>10893</v>
      </c>
      <c r="F5998" s="2" t="str">
        <f>HYPERLINK("http://www.otzar.org/book.asp?300574","בן בזי")</f>
        <v>בן בזי</v>
      </c>
    </row>
    <row r="5999" spans="1:6" x14ac:dyDescent="0.2">
      <c r="A5999" t="s">
        <v>10894</v>
      </c>
      <c r="B5999" t="s">
        <v>4236</v>
      </c>
      <c r="C5999" t="s">
        <v>492</v>
      </c>
      <c r="D5999" t="s">
        <v>855</v>
      </c>
      <c r="E5999" t="s">
        <v>104</v>
      </c>
      <c r="F5999" s="2" t="str">
        <f>HYPERLINK("http://www.otzar.org/book.asp?62069","בן ביתי - 4 כר'")</f>
        <v>בן ביתי - 4 כר'</v>
      </c>
    </row>
    <row r="6000" spans="1:6" x14ac:dyDescent="0.2">
      <c r="A6000" t="s">
        <v>10895</v>
      </c>
      <c r="B6000" t="s">
        <v>10896</v>
      </c>
      <c r="C6000" t="s">
        <v>68</v>
      </c>
      <c r="D6000" t="s">
        <v>90</v>
      </c>
      <c r="E6000" t="s">
        <v>2071</v>
      </c>
      <c r="F6000" s="2" t="str">
        <f>HYPERLINK("http://www.otzar.org/book.asp?196137","בן גרני &lt;מהדורה חדשה&gt; - 2 כר'")</f>
        <v>בן גרני &lt;מהדורה חדשה&gt; - 2 כר'</v>
      </c>
    </row>
    <row r="6001" spans="1:6" x14ac:dyDescent="0.2">
      <c r="A6001" t="s">
        <v>10897</v>
      </c>
      <c r="B6001" t="s">
        <v>10896</v>
      </c>
      <c r="C6001" t="s">
        <v>1535</v>
      </c>
      <c r="D6001" t="s">
        <v>10898</v>
      </c>
      <c r="F6001" s="2" t="str">
        <f>HYPERLINK("http://www.otzar.org/book.asp?156260","בן גרני")</f>
        <v>בן גרני</v>
      </c>
    </row>
    <row r="6002" spans="1:6" x14ac:dyDescent="0.2">
      <c r="A6002" t="s">
        <v>10897</v>
      </c>
      <c r="B6002" t="s">
        <v>10899</v>
      </c>
      <c r="C6002" t="s">
        <v>270</v>
      </c>
      <c r="D6002" t="s">
        <v>1023</v>
      </c>
      <c r="E6002" t="s">
        <v>10900</v>
      </c>
      <c r="F6002" s="2" t="str">
        <f>HYPERLINK("http://www.otzar.org/book.asp?102895","בן גרני")</f>
        <v>בן גרני</v>
      </c>
    </row>
    <row r="6003" spans="1:6" x14ac:dyDescent="0.2">
      <c r="A6003" t="s">
        <v>10901</v>
      </c>
      <c r="B6003" t="s">
        <v>10902</v>
      </c>
      <c r="C6003" t="s">
        <v>624</v>
      </c>
      <c r="D6003" t="s">
        <v>14</v>
      </c>
      <c r="E6003" t="s">
        <v>463</v>
      </c>
      <c r="F6003" s="2" t="str">
        <f>HYPERLINK("http://www.otzar.org/book.asp?152218","בן דוד &lt;מכון הכתב&gt;")</f>
        <v>בן דוד &lt;מכון הכתב&gt;</v>
      </c>
    </row>
    <row r="6004" spans="1:6" x14ac:dyDescent="0.2">
      <c r="A6004" t="s">
        <v>10903</v>
      </c>
      <c r="B6004" t="s">
        <v>10902</v>
      </c>
      <c r="C6004" t="s">
        <v>609</v>
      </c>
      <c r="D6004" t="s">
        <v>27</v>
      </c>
      <c r="E6004" t="s">
        <v>158</v>
      </c>
      <c r="F6004" s="2" t="str">
        <f>HYPERLINK("http://www.otzar.org/book.asp?84096","בן דוד")</f>
        <v>בן דוד</v>
      </c>
    </row>
    <row r="6005" spans="1:6" x14ac:dyDescent="0.2">
      <c r="A6005" t="s">
        <v>10903</v>
      </c>
      <c r="B6005" t="s">
        <v>10904</v>
      </c>
      <c r="C6005" t="s">
        <v>8476</v>
      </c>
      <c r="D6005" t="s">
        <v>1023</v>
      </c>
      <c r="E6005" t="s">
        <v>399</v>
      </c>
      <c r="F6005" s="2" t="str">
        <f>HYPERLINK("http://www.otzar.org/book.asp?63877","בן דוד")</f>
        <v>בן דוד</v>
      </c>
    </row>
    <row r="6006" spans="1:6" x14ac:dyDescent="0.2">
      <c r="A6006" t="s">
        <v>10905</v>
      </c>
      <c r="B6006" t="s">
        <v>10906</v>
      </c>
      <c r="C6006" t="s">
        <v>10907</v>
      </c>
      <c r="D6006" t="s">
        <v>10908</v>
      </c>
      <c r="E6006" t="s">
        <v>158</v>
      </c>
      <c r="F6006" s="2" t="str">
        <f>HYPERLINK("http://www.otzar.org/book.asp?191402","בן דעת")</f>
        <v>בן דעת</v>
      </c>
    </row>
    <row r="6007" spans="1:6" x14ac:dyDescent="0.2">
      <c r="A6007" t="s">
        <v>10909</v>
      </c>
      <c r="B6007" t="s">
        <v>10910</v>
      </c>
      <c r="C6007" t="s">
        <v>2455</v>
      </c>
      <c r="D6007" t="s">
        <v>212</v>
      </c>
      <c r="E6007" t="s">
        <v>474</v>
      </c>
      <c r="F6007" s="2" t="str">
        <f>HYPERLINK("http://www.otzar.org/book.asp?15671","בן הא הא")</f>
        <v>בן הא הא</v>
      </c>
    </row>
    <row r="6008" spans="1:6" x14ac:dyDescent="0.2">
      <c r="A6008" t="s">
        <v>10911</v>
      </c>
      <c r="B6008" t="s">
        <v>10912</v>
      </c>
      <c r="C6008" t="s">
        <v>1096</v>
      </c>
      <c r="D6008" t="s">
        <v>283</v>
      </c>
      <c r="E6008" t="s">
        <v>508</v>
      </c>
      <c r="F6008" s="2" t="str">
        <f>HYPERLINK("http://www.otzar.org/book.asp?17321","בן הימין")</f>
        <v>בן הימין</v>
      </c>
    </row>
    <row r="6009" spans="1:6" x14ac:dyDescent="0.2">
      <c r="A6009" t="s">
        <v>10913</v>
      </c>
      <c r="B6009" t="s">
        <v>10914</v>
      </c>
      <c r="C6009" t="s">
        <v>151</v>
      </c>
      <c r="D6009" t="s">
        <v>367</v>
      </c>
      <c r="E6009" t="s">
        <v>241</v>
      </c>
      <c r="F6009" s="2" t="str">
        <f>HYPERLINK("http://www.otzar.org/book.asp?612200","בן המלך והנזיר &lt;מהדורה חדשה&gt;")</f>
        <v>בן המלך והנזיר &lt;מהדורה חדשה&gt;</v>
      </c>
    </row>
    <row r="6010" spans="1:6" x14ac:dyDescent="0.2">
      <c r="A6010" t="s">
        <v>10915</v>
      </c>
      <c r="B6010" t="s">
        <v>10914</v>
      </c>
      <c r="C6010" t="s">
        <v>37</v>
      </c>
      <c r="D6010" t="s">
        <v>3560</v>
      </c>
      <c r="E6010" t="s">
        <v>104</v>
      </c>
      <c r="F6010" s="2" t="str">
        <f>HYPERLINK("http://www.otzar.org/book.asp?190719","בן המלך והנזיר &lt;מהדורה מעובדת&gt;")</f>
        <v>בן המלך והנזיר &lt;מהדורה מעובדת&gt;</v>
      </c>
    </row>
    <row r="6011" spans="1:6" x14ac:dyDescent="0.2">
      <c r="A6011" t="s">
        <v>10916</v>
      </c>
      <c r="B6011" t="s">
        <v>10914</v>
      </c>
      <c r="C6011" t="s">
        <v>10917</v>
      </c>
      <c r="D6011" t="s">
        <v>1490</v>
      </c>
      <c r="E6011" t="s">
        <v>104</v>
      </c>
      <c r="F6011" s="2" t="str">
        <f>HYPERLINK("http://www.otzar.org/book.asp?191435","בן המלך והנזיר - 4 כר'")</f>
        <v>בן המלך והנזיר - 4 כר'</v>
      </c>
    </row>
    <row r="6012" spans="1:6" x14ac:dyDescent="0.2">
      <c r="A6012" t="s">
        <v>10918</v>
      </c>
      <c r="B6012" t="s">
        <v>10919</v>
      </c>
      <c r="C6012" t="s">
        <v>940</v>
      </c>
      <c r="D6012" t="s">
        <v>21</v>
      </c>
      <c r="E6012" t="s">
        <v>119</v>
      </c>
      <c r="F6012" s="2" t="str">
        <f>HYPERLINK("http://www.otzar.org/book.asp?191381","בן העליה")</f>
        <v>בן העליה</v>
      </c>
    </row>
    <row r="6013" spans="1:6" x14ac:dyDescent="0.2">
      <c r="A6013" t="s">
        <v>10920</v>
      </c>
      <c r="B6013" t="s">
        <v>10921</v>
      </c>
      <c r="C6013" t="s">
        <v>1458</v>
      </c>
      <c r="D6013" t="s">
        <v>157</v>
      </c>
      <c r="E6013" t="s">
        <v>15</v>
      </c>
      <c r="F6013" s="2" t="str">
        <f>HYPERLINK("http://www.otzar.org/book.asp?100181","בן הרמה")</f>
        <v>בן הרמה</v>
      </c>
    </row>
    <row r="6014" spans="1:6" x14ac:dyDescent="0.2">
      <c r="A6014" t="s">
        <v>10922</v>
      </c>
      <c r="B6014" t="s">
        <v>10923</v>
      </c>
      <c r="C6014" t="s">
        <v>462</v>
      </c>
      <c r="D6014" t="s">
        <v>661</v>
      </c>
      <c r="E6014" t="s">
        <v>10924</v>
      </c>
      <c r="F6014" s="2" t="str">
        <f>HYPERLINK("http://www.otzar.org/book.asp?300634","בן זכאי")</f>
        <v>בן זכאי</v>
      </c>
    </row>
    <row r="6015" spans="1:6" x14ac:dyDescent="0.2">
      <c r="A6015" t="s">
        <v>10925</v>
      </c>
      <c r="B6015" t="s">
        <v>10926</v>
      </c>
      <c r="C6015" t="s">
        <v>1940</v>
      </c>
      <c r="D6015" t="s">
        <v>212</v>
      </c>
      <c r="E6015" t="s">
        <v>948</v>
      </c>
      <c r="F6015" s="2" t="str">
        <f>HYPERLINK("http://www.otzar.org/book.asp?100424","בן זקונים")</f>
        <v>בן זקונים</v>
      </c>
    </row>
    <row r="6016" spans="1:6" x14ac:dyDescent="0.2">
      <c r="A6016" t="s">
        <v>10927</v>
      </c>
      <c r="B6016" t="s">
        <v>10928</v>
      </c>
      <c r="C6016" t="s">
        <v>466</v>
      </c>
      <c r="D6016" t="s">
        <v>52</v>
      </c>
      <c r="E6016" t="s">
        <v>144</v>
      </c>
      <c r="F6016" s="2" t="str">
        <f>HYPERLINK("http://www.otzar.org/book.asp?60612","בן חיל - בבא מציעא")</f>
        <v>בן חיל - בבא מציעא</v>
      </c>
    </row>
    <row r="6017" spans="1:6" x14ac:dyDescent="0.2">
      <c r="A6017" t="s">
        <v>10929</v>
      </c>
      <c r="B6017" t="s">
        <v>10930</v>
      </c>
      <c r="C6017" t="s">
        <v>111</v>
      </c>
      <c r="D6017" t="s">
        <v>14</v>
      </c>
      <c r="E6017" t="s">
        <v>15</v>
      </c>
      <c r="F6017" s="2" t="str">
        <f>HYPERLINK("http://www.otzar.org/book.asp?629839","בן חכם - הלכות כבוד אב ואם")</f>
        <v>בן חכם - הלכות כבוד אב ואם</v>
      </c>
    </row>
    <row r="6018" spans="1:6" x14ac:dyDescent="0.2">
      <c r="A6018" t="s">
        <v>10931</v>
      </c>
      <c r="B6018" t="s">
        <v>10932</v>
      </c>
      <c r="C6018" t="s">
        <v>492</v>
      </c>
      <c r="D6018" t="s">
        <v>855</v>
      </c>
      <c r="E6018" t="s">
        <v>144</v>
      </c>
      <c r="F6018" s="2" t="str">
        <f>HYPERLINK("http://www.otzar.org/book.asp?100425","בן חלד")</f>
        <v>בן חלד</v>
      </c>
    </row>
    <row r="6019" spans="1:6" x14ac:dyDescent="0.2">
      <c r="A6019" t="s">
        <v>10933</v>
      </c>
      <c r="B6019" t="s">
        <v>10934</v>
      </c>
      <c r="C6019" t="s">
        <v>13</v>
      </c>
      <c r="D6019" t="s">
        <v>412</v>
      </c>
      <c r="E6019" t="s">
        <v>158</v>
      </c>
      <c r="F6019" s="2" t="str">
        <f>HYPERLINK("http://www.otzar.org/book.asp?163415","בן חמש למקרא - נח")</f>
        <v>בן חמש למקרא - נח</v>
      </c>
    </row>
    <row r="6020" spans="1:6" x14ac:dyDescent="0.2">
      <c r="A6020" t="s">
        <v>10935</v>
      </c>
      <c r="B6020" t="s">
        <v>10936</v>
      </c>
      <c r="C6020" t="s">
        <v>99</v>
      </c>
      <c r="D6020" t="s">
        <v>27</v>
      </c>
      <c r="E6020" t="s">
        <v>474</v>
      </c>
      <c r="F6020" s="2" t="str">
        <f>HYPERLINK("http://www.otzar.org/book.asp?15966","בן יאיר - 2 כר'")</f>
        <v>בן יאיר - 2 כר'</v>
      </c>
    </row>
    <row r="6021" spans="1:6" x14ac:dyDescent="0.2">
      <c r="A6021" t="s">
        <v>10937</v>
      </c>
      <c r="B6021" t="s">
        <v>10921</v>
      </c>
      <c r="C6021" t="s">
        <v>635</v>
      </c>
      <c r="D6021" t="s">
        <v>157</v>
      </c>
      <c r="E6021" t="s">
        <v>474</v>
      </c>
      <c r="F6021" s="2" t="str">
        <f>HYPERLINK("http://www.otzar.org/book.asp?24090","בן יאיר")</f>
        <v>בן יאיר</v>
      </c>
    </row>
    <row r="6022" spans="1:6" x14ac:dyDescent="0.2">
      <c r="A6022" t="s">
        <v>10938</v>
      </c>
      <c r="B6022" t="s">
        <v>5988</v>
      </c>
      <c r="C6022" t="s">
        <v>1519</v>
      </c>
      <c r="D6022" t="s">
        <v>76</v>
      </c>
      <c r="E6022" t="s">
        <v>15</v>
      </c>
      <c r="F6022" s="2" t="str">
        <f>HYPERLINK("http://www.otzar.org/book.asp?17322","בן ידיד")</f>
        <v>בן ידיד</v>
      </c>
    </row>
    <row r="6023" spans="1:6" x14ac:dyDescent="0.2">
      <c r="A6023" t="s">
        <v>10939</v>
      </c>
      <c r="B6023" t="s">
        <v>10940</v>
      </c>
      <c r="C6023" t="s">
        <v>594</v>
      </c>
      <c r="D6023" t="s">
        <v>1422</v>
      </c>
      <c r="E6023" t="s">
        <v>154</v>
      </c>
      <c r="F6023" s="2" t="str">
        <f>HYPERLINK("http://www.otzar.org/book.asp?100325","בן יהודה")</f>
        <v>בן יהודה</v>
      </c>
    </row>
    <row r="6024" spans="1:6" x14ac:dyDescent="0.2">
      <c r="A6024" t="s">
        <v>10939</v>
      </c>
      <c r="B6024" t="s">
        <v>4999</v>
      </c>
      <c r="C6024" t="s">
        <v>1374</v>
      </c>
      <c r="D6024" t="s">
        <v>27</v>
      </c>
      <c r="E6024" t="s">
        <v>435</v>
      </c>
      <c r="F6024" s="2" t="str">
        <f>HYPERLINK("http://www.otzar.org/book.asp?7371","בן יהודה")</f>
        <v>בן יהודה</v>
      </c>
    </row>
    <row r="6025" spans="1:6" x14ac:dyDescent="0.2">
      <c r="A6025" t="s">
        <v>10941</v>
      </c>
      <c r="B6025" t="s">
        <v>599</v>
      </c>
      <c r="C6025" t="s">
        <v>10942</v>
      </c>
      <c r="D6025" t="s">
        <v>27</v>
      </c>
      <c r="E6025" t="s">
        <v>10943</v>
      </c>
      <c r="F6025" s="2" t="str">
        <f>HYPERLINK("http://www.otzar.org/book.asp?498","בן יהוידע - 5 כר'")</f>
        <v>בן יהוידע - 5 כר'</v>
      </c>
    </row>
    <row r="6026" spans="1:6" x14ac:dyDescent="0.2">
      <c r="A6026" t="s">
        <v>10944</v>
      </c>
      <c r="B6026" t="s">
        <v>10945</v>
      </c>
      <c r="C6026" t="s">
        <v>3695</v>
      </c>
      <c r="D6026" t="s">
        <v>535</v>
      </c>
      <c r="E6026" t="s">
        <v>10946</v>
      </c>
      <c r="F6026" s="2" t="str">
        <f>HYPERLINK("http://www.otzar.org/book.asp?14226","בן יוחאי")</f>
        <v>בן יוחאי</v>
      </c>
    </row>
    <row r="6027" spans="1:6" x14ac:dyDescent="0.2">
      <c r="A6027" t="s">
        <v>10947</v>
      </c>
      <c r="B6027" t="s">
        <v>4814</v>
      </c>
      <c r="C6027" t="s">
        <v>51</v>
      </c>
      <c r="D6027" t="s">
        <v>14</v>
      </c>
      <c r="E6027" t="s">
        <v>104</v>
      </c>
      <c r="F6027" s="2" t="str">
        <f>HYPERLINK("http://www.otzar.org/book.asp?182819","בן יוסף ליוסף - לזהות מחברו של יוצר קדום (תדפיס)")</f>
        <v>בן יוסף ליוסף - לזהות מחברו של יוצר קדום (תדפיס)</v>
      </c>
    </row>
    <row r="6028" spans="1:6" x14ac:dyDescent="0.2">
      <c r="A6028" t="s">
        <v>10948</v>
      </c>
      <c r="B6028" t="s">
        <v>10949</v>
      </c>
      <c r="C6028" t="s">
        <v>99</v>
      </c>
      <c r="D6028" t="s">
        <v>30</v>
      </c>
      <c r="E6028" t="s">
        <v>158</v>
      </c>
      <c r="F6028" s="2" t="str">
        <f>HYPERLINK("http://www.otzar.org/book.asp?300582","בן יוסף")</f>
        <v>בן יוסף</v>
      </c>
    </row>
    <row r="6029" spans="1:6" x14ac:dyDescent="0.2">
      <c r="A6029" t="s">
        <v>10950</v>
      </c>
      <c r="B6029" t="s">
        <v>10951</v>
      </c>
      <c r="C6029" t="s">
        <v>79</v>
      </c>
      <c r="D6029" t="s">
        <v>27</v>
      </c>
      <c r="E6029" t="s">
        <v>119</v>
      </c>
      <c r="F6029" s="2" t="str">
        <f>HYPERLINK("http://www.otzar.org/book.asp?5333","בן יכבד אב")</f>
        <v>בן יכבד אב</v>
      </c>
    </row>
    <row r="6030" spans="1:6" x14ac:dyDescent="0.2">
      <c r="A6030" t="s">
        <v>10952</v>
      </c>
      <c r="B6030" t="s">
        <v>10953</v>
      </c>
      <c r="C6030" t="s">
        <v>362</v>
      </c>
      <c r="D6030" t="s">
        <v>225</v>
      </c>
      <c r="E6030" t="s">
        <v>10954</v>
      </c>
      <c r="F6030" s="2" t="str">
        <f>HYPERLINK("http://www.otzar.org/book.asp?15674","בן יכבד אב - א - ב")</f>
        <v>בן יכבד אב - א - ב</v>
      </c>
    </row>
    <row r="6031" spans="1:6" x14ac:dyDescent="0.2">
      <c r="A6031" t="s">
        <v>10955</v>
      </c>
      <c r="B6031" t="s">
        <v>9187</v>
      </c>
      <c r="C6031" t="s">
        <v>189</v>
      </c>
      <c r="D6031" t="s">
        <v>52</v>
      </c>
      <c r="E6031" t="s">
        <v>144</v>
      </c>
      <c r="F6031" s="2" t="str">
        <f>HYPERLINK("http://www.otzar.org/book.asp?50308","בן יכבד אב - 2 כר'")</f>
        <v>בן יכבד אב - 2 כר'</v>
      </c>
    </row>
    <row r="6032" spans="1:6" x14ac:dyDescent="0.2">
      <c r="A6032" t="s">
        <v>10950</v>
      </c>
      <c r="B6032" t="s">
        <v>107</v>
      </c>
      <c r="C6032" t="s">
        <v>1448</v>
      </c>
      <c r="D6032" t="s">
        <v>14</v>
      </c>
      <c r="E6032" t="s">
        <v>15</v>
      </c>
      <c r="F6032" s="2" t="str">
        <f>HYPERLINK("http://www.otzar.org/book.asp?6081","בן יכבד אב")</f>
        <v>בן יכבד אב</v>
      </c>
    </row>
    <row r="6033" spans="1:6" x14ac:dyDescent="0.2">
      <c r="A6033" t="s">
        <v>10956</v>
      </c>
      <c r="B6033" t="s">
        <v>10957</v>
      </c>
      <c r="C6033" t="s">
        <v>1885</v>
      </c>
      <c r="D6033" t="s">
        <v>76</v>
      </c>
      <c r="E6033" t="s">
        <v>10958</v>
      </c>
      <c r="F6033" s="2" t="str">
        <f>HYPERLINK("http://www.otzar.org/book.asp?104654","בן ימין - 2 כר'")</f>
        <v>בן ימין - 2 כר'</v>
      </c>
    </row>
    <row r="6034" spans="1:6" x14ac:dyDescent="0.2">
      <c r="A6034" t="s">
        <v>10959</v>
      </c>
      <c r="B6034" t="s">
        <v>10960</v>
      </c>
      <c r="C6034" t="s">
        <v>3816</v>
      </c>
      <c r="D6034" t="s">
        <v>1459</v>
      </c>
      <c r="E6034" t="s">
        <v>579</v>
      </c>
      <c r="F6034" s="2" t="str">
        <f>HYPERLINK("http://www.otzar.org/book.asp?107347","בן ימיני")</f>
        <v>בן ימיני</v>
      </c>
    </row>
    <row r="6035" spans="1:6" x14ac:dyDescent="0.2">
      <c r="A6035" t="s">
        <v>10961</v>
      </c>
      <c r="B6035" t="s">
        <v>10962</v>
      </c>
      <c r="C6035" t="s">
        <v>5308</v>
      </c>
      <c r="D6035" t="s">
        <v>1459</v>
      </c>
      <c r="E6035" t="s">
        <v>104</v>
      </c>
      <c r="F6035" s="2" t="str">
        <f>HYPERLINK("http://www.otzar.org/book.asp?300584","בן ישי")</f>
        <v>בן ישי</v>
      </c>
    </row>
    <row r="6036" spans="1:6" x14ac:dyDescent="0.2">
      <c r="A6036" t="s">
        <v>10963</v>
      </c>
      <c r="B6036" t="s">
        <v>10964</v>
      </c>
      <c r="C6036" t="s">
        <v>168</v>
      </c>
      <c r="D6036" t="s">
        <v>14</v>
      </c>
      <c r="E6036" t="s">
        <v>158</v>
      </c>
      <c r="F6036" s="2" t="str">
        <f>HYPERLINK("http://www.otzar.org/book.asp?155934","בן ישכר - 9 כר'")</f>
        <v>בן ישכר - 9 כר'</v>
      </c>
    </row>
    <row r="6037" spans="1:6" x14ac:dyDescent="0.2">
      <c r="A6037" t="s">
        <v>10965</v>
      </c>
      <c r="B6037" t="s">
        <v>10966</v>
      </c>
      <c r="C6037" t="s">
        <v>17</v>
      </c>
      <c r="D6037" t="s">
        <v>52</v>
      </c>
      <c r="E6037" t="s">
        <v>158</v>
      </c>
      <c r="F6037" s="2" t="str">
        <f>HYPERLINK("http://www.otzar.org/book.asp?62118","בן לאשרי ברכה משולשת - 3 כר'")</f>
        <v>בן לאשרי ברכה משולשת - 3 כר'</v>
      </c>
    </row>
    <row r="6038" spans="1:6" x14ac:dyDescent="0.2">
      <c r="A6038" t="s">
        <v>10967</v>
      </c>
      <c r="B6038" t="s">
        <v>10968</v>
      </c>
      <c r="C6038" t="s">
        <v>466</v>
      </c>
      <c r="D6038" t="s">
        <v>52</v>
      </c>
      <c r="E6038" t="s">
        <v>144</v>
      </c>
      <c r="F6038" s="2" t="str">
        <f>HYPERLINK("http://www.otzar.org/book.asp?165789","בן לוי")</f>
        <v>בן לוי</v>
      </c>
    </row>
    <row r="6039" spans="1:6" x14ac:dyDescent="0.2">
      <c r="A6039" t="s">
        <v>10967</v>
      </c>
      <c r="B6039" t="s">
        <v>10969</v>
      </c>
      <c r="C6039" t="s">
        <v>4758</v>
      </c>
      <c r="D6039" t="s">
        <v>27</v>
      </c>
      <c r="E6039" t="s">
        <v>5935</v>
      </c>
      <c r="F6039" s="2" t="str">
        <f>HYPERLINK("http://www.otzar.org/book.asp?147178","בן לוי")</f>
        <v>בן לוי</v>
      </c>
    </row>
    <row r="6040" spans="1:6" x14ac:dyDescent="0.2">
      <c r="A6040" t="s">
        <v>10970</v>
      </c>
      <c r="B6040" t="s">
        <v>10971</v>
      </c>
      <c r="C6040" t="s">
        <v>6443</v>
      </c>
      <c r="D6040" t="s">
        <v>27</v>
      </c>
      <c r="E6040" t="s">
        <v>15</v>
      </c>
      <c r="F6040" s="2" t="str">
        <f>HYPERLINK("http://www.otzar.org/book.asp?300633","בן מאיר")</f>
        <v>בן מאיר</v>
      </c>
    </row>
    <row r="6041" spans="1:6" x14ac:dyDescent="0.2">
      <c r="A6041" t="s">
        <v>10972</v>
      </c>
      <c r="B6041" t="s">
        <v>10973</v>
      </c>
      <c r="C6041" t="s">
        <v>1284</v>
      </c>
      <c r="D6041" t="s">
        <v>14</v>
      </c>
      <c r="E6041" t="s">
        <v>463</v>
      </c>
      <c r="F6041" s="2" t="str">
        <f>HYPERLINK("http://www.otzar.org/book.asp?200675","בן מכבד אב")</f>
        <v>בן מכבד אב</v>
      </c>
    </row>
    <row r="6042" spans="1:6" x14ac:dyDescent="0.2">
      <c r="A6042" t="s">
        <v>10974</v>
      </c>
      <c r="B6042" t="s">
        <v>3371</v>
      </c>
      <c r="C6042" t="s">
        <v>37</v>
      </c>
      <c r="D6042" t="s">
        <v>14</v>
      </c>
      <c r="E6042" t="s">
        <v>241</v>
      </c>
      <c r="F6042" s="2" t="str">
        <f>HYPERLINK("http://www.otzar.org/book.asp?180963","בן מלך - 29 כר'")</f>
        <v>בן מלך - 29 כר'</v>
      </c>
    </row>
    <row r="6043" spans="1:6" x14ac:dyDescent="0.2">
      <c r="A6043" t="s">
        <v>10975</v>
      </c>
      <c r="B6043" t="s">
        <v>10976</v>
      </c>
      <c r="C6043" t="s">
        <v>785</v>
      </c>
      <c r="D6043" t="s">
        <v>412</v>
      </c>
      <c r="F6043" s="2" t="str">
        <f>HYPERLINK("http://www.otzar.org/book.asp?600433","בן משכיל")</f>
        <v>בן משכיל</v>
      </c>
    </row>
    <row r="6044" spans="1:6" x14ac:dyDescent="0.2">
      <c r="A6044" t="s">
        <v>10977</v>
      </c>
      <c r="B6044" t="s">
        <v>10978</v>
      </c>
      <c r="C6044" t="s">
        <v>5257</v>
      </c>
      <c r="D6044" t="s">
        <v>76</v>
      </c>
      <c r="E6044" t="s">
        <v>144</v>
      </c>
      <c r="F6044" s="2" t="str">
        <f>HYPERLINK("http://www.otzar.org/book.asp?101681","בן משק")</f>
        <v>בן משק</v>
      </c>
    </row>
    <row r="6045" spans="1:6" x14ac:dyDescent="0.2">
      <c r="A6045" t="s">
        <v>10979</v>
      </c>
      <c r="B6045" t="s">
        <v>10980</v>
      </c>
      <c r="C6045" t="s">
        <v>20</v>
      </c>
      <c r="D6045" t="s">
        <v>90</v>
      </c>
      <c r="F6045" s="2" t="str">
        <f>HYPERLINK("http://www.otzar.org/book.asp?610569","בן נחום - שבת")</f>
        <v>בן נחום - שבת</v>
      </c>
    </row>
    <row r="6046" spans="1:6" x14ac:dyDescent="0.2">
      <c r="A6046" t="s">
        <v>10981</v>
      </c>
      <c r="B6046" t="s">
        <v>10982</v>
      </c>
      <c r="C6046" t="s">
        <v>9310</v>
      </c>
      <c r="D6046" t="s">
        <v>1490</v>
      </c>
      <c r="E6046" t="s">
        <v>3387</v>
      </c>
      <c r="F6046" s="2" t="str">
        <f>HYPERLINK("http://www.otzar.org/book.asp?146860","בן סירא עם מעשיות שבתלמוד")</f>
        <v>בן סירא עם מעשיות שבתלמוד</v>
      </c>
    </row>
    <row r="6047" spans="1:6" x14ac:dyDescent="0.2">
      <c r="A6047" t="s">
        <v>10983</v>
      </c>
      <c r="B6047" t="s">
        <v>10984</v>
      </c>
      <c r="C6047" t="s">
        <v>908</v>
      </c>
      <c r="D6047" t="s">
        <v>10985</v>
      </c>
      <c r="E6047" t="s">
        <v>559</v>
      </c>
      <c r="F6047" s="2" t="str">
        <f>HYPERLINK("http://www.otzar.org/book.asp?9611","בן עוזיאל")</f>
        <v>בן עוזיאל</v>
      </c>
    </row>
    <row r="6048" spans="1:6" x14ac:dyDescent="0.2">
      <c r="A6048" t="s">
        <v>10986</v>
      </c>
      <c r="B6048" t="s">
        <v>10987</v>
      </c>
      <c r="C6048" t="s">
        <v>4404</v>
      </c>
      <c r="D6048" t="s">
        <v>76</v>
      </c>
      <c r="E6048" t="s">
        <v>474</v>
      </c>
      <c r="F6048" s="2" t="str">
        <f>HYPERLINK("http://www.otzar.org/book.asp?17323","בן פדהצור")</f>
        <v>בן פדהצור</v>
      </c>
    </row>
    <row r="6049" spans="1:6" x14ac:dyDescent="0.2">
      <c r="A6049" t="s">
        <v>10988</v>
      </c>
      <c r="B6049" t="s">
        <v>10989</v>
      </c>
      <c r="C6049" t="s">
        <v>114</v>
      </c>
      <c r="D6049" t="s">
        <v>21</v>
      </c>
      <c r="E6049" t="s">
        <v>158</v>
      </c>
      <c r="F6049" s="2" t="str">
        <f>HYPERLINK("http://www.otzar.org/book.asp?191878","בן פורת יוסף &lt;מהדורה חדשה&gt; - 2 כר'")</f>
        <v>בן פורת יוסף &lt;מהדורה חדשה&gt; - 2 כר'</v>
      </c>
    </row>
    <row r="6050" spans="1:6" x14ac:dyDescent="0.2">
      <c r="A6050" t="s">
        <v>10990</v>
      </c>
      <c r="B6050" t="s">
        <v>10991</v>
      </c>
      <c r="C6050" t="s">
        <v>23</v>
      </c>
      <c r="D6050" t="s">
        <v>14</v>
      </c>
      <c r="F6050" s="2" t="str">
        <f>HYPERLINK("http://www.otzar.org/book.asp?609564","בן פורת יוסף &lt;תולדות יצחק&gt;")</f>
        <v>בן פורת יוסף &lt;תולדות יצחק&gt;</v>
      </c>
    </row>
    <row r="6051" spans="1:6" x14ac:dyDescent="0.2">
      <c r="A6051" t="s">
        <v>10992</v>
      </c>
      <c r="B6051" t="s">
        <v>10993</v>
      </c>
      <c r="C6051" t="s">
        <v>10994</v>
      </c>
      <c r="D6051" t="s">
        <v>1889</v>
      </c>
      <c r="E6051" t="s">
        <v>474</v>
      </c>
      <c r="F6051" s="2" t="str">
        <f>HYPERLINK("http://www.otzar.org/book.asp?102898","בן פורת יוסף")</f>
        <v>בן פורת יוסף</v>
      </c>
    </row>
    <row r="6052" spans="1:6" x14ac:dyDescent="0.2">
      <c r="A6052" t="s">
        <v>10995</v>
      </c>
      <c r="B6052" t="s">
        <v>10989</v>
      </c>
      <c r="C6052" t="s">
        <v>1219</v>
      </c>
      <c r="D6052" t="s">
        <v>4364</v>
      </c>
      <c r="E6052" t="s">
        <v>140</v>
      </c>
      <c r="F6052" s="2" t="str">
        <f>HYPERLINK("http://www.otzar.org/book.asp?53312","בן פורת יוסף - 5 כר'")</f>
        <v>בן פורת יוסף - 5 כר'</v>
      </c>
    </row>
    <row r="6053" spans="1:6" x14ac:dyDescent="0.2">
      <c r="A6053" t="s">
        <v>10992</v>
      </c>
      <c r="B6053" t="s">
        <v>552</v>
      </c>
      <c r="C6053" t="s">
        <v>20</v>
      </c>
      <c r="D6053" t="s">
        <v>20</v>
      </c>
      <c r="E6053" t="s">
        <v>202</v>
      </c>
      <c r="F6053" s="2" t="str">
        <f>HYPERLINK("http://www.otzar.org/book.asp?85689","בן פורת יוסף")</f>
        <v>בן פורת יוסף</v>
      </c>
    </row>
    <row r="6054" spans="1:6" x14ac:dyDescent="0.2">
      <c r="A6054" t="s">
        <v>10992</v>
      </c>
      <c r="B6054" t="s">
        <v>10996</v>
      </c>
      <c r="C6054" t="s">
        <v>1659</v>
      </c>
      <c r="D6054" t="s">
        <v>76</v>
      </c>
      <c r="E6054" t="s">
        <v>15</v>
      </c>
      <c r="F6054" s="2" t="str">
        <f>HYPERLINK("http://www.otzar.org/book.asp?151698","בן פורת יוסף")</f>
        <v>בן פורת יוסף</v>
      </c>
    </row>
    <row r="6055" spans="1:6" x14ac:dyDescent="0.2">
      <c r="A6055" t="s">
        <v>10992</v>
      </c>
      <c r="B6055" t="s">
        <v>10997</v>
      </c>
      <c r="C6055" t="s">
        <v>767</v>
      </c>
      <c r="D6055" t="s">
        <v>52</v>
      </c>
      <c r="E6055" t="s">
        <v>119</v>
      </c>
      <c r="F6055" s="2" t="str">
        <f>HYPERLINK("http://www.otzar.org/book.asp?158747","בן פורת יוסף")</f>
        <v>בן פורת יוסף</v>
      </c>
    </row>
    <row r="6056" spans="1:6" x14ac:dyDescent="0.2">
      <c r="A6056" t="s">
        <v>10992</v>
      </c>
      <c r="B6056" t="s">
        <v>10998</v>
      </c>
      <c r="C6056" t="s">
        <v>585</v>
      </c>
      <c r="D6056" t="s">
        <v>14</v>
      </c>
      <c r="E6056" t="s">
        <v>733</v>
      </c>
      <c r="F6056" s="2" t="str">
        <f>HYPERLINK("http://www.otzar.org/book.asp?149918","בן פורת יוסף")</f>
        <v>בן פורת יוסף</v>
      </c>
    </row>
    <row r="6057" spans="1:6" x14ac:dyDescent="0.2">
      <c r="A6057" t="s">
        <v>10999</v>
      </c>
      <c r="B6057" t="s">
        <v>3493</v>
      </c>
      <c r="C6057" t="s">
        <v>9783</v>
      </c>
      <c r="D6057" t="s">
        <v>225</v>
      </c>
      <c r="E6057" t="s">
        <v>154</v>
      </c>
      <c r="F6057" s="2" t="str">
        <f>HYPERLINK("http://www.otzar.org/book.asp?102865","בן פורת - 2 כר'")</f>
        <v>בן פורת - 2 כר'</v>
      </c>
    </row>
    <row r="6058" spans="1:6" x14ac:dyDescent="0.2">
      <c r="A6058" t="s">
        <v>11000</v>
      </c>
      <c r="B6058" t="s">
        <v>11001</v>
      </c>
      <c r="C6058" t="s">
        <v>1494</v>
      </c>
      <c r="D6058" t="s">
        <v>2303</v>
      </c>
      <c r="E6058" t="s">
        <v>158</v>
      </c>
      <c r="F6058" s="2" t="str">
        <f>HYPERLINK("http://www.otzar.org/book.asp?102899","בן פרת יוסף")</f>
        <v>בן פרת יוסף</v>
      </c>
    </row>
    <row r="6059" spans="1:6" x14ac:dyDescent="0.2">
      <c r="A6059" t="s">
        <v>11002</v>
      </c>
      <c r="B6059" t="s">
        <v>11003</v>
      </c>
      <c r="C6059" t="s">
        <v>11004</v>
      </c>
      <c r="D6059" t="s">
        <v>11005</v>
      </c>
      <c r="E6059" t="s">
        <v>674</v>
      </c>
      <c r="F6059" s="2" t="str">
        <f>HYPERLINK("http://www.otzar.org/book.asp?196861","בן פרת יוסף - 2 כר'")</f>
        <v>בן פרת יוסף - 2 כר'</v>
      </c>
    </row>
    <row r="6060" spans="1:6" x14ac:dyDescent="0.2">
      <c r="A6060" t="s">
        <v>11006</v>
      </c>
      <c r="B6060" t="s">
        <v>11007</v>
      </c>
      <c r="C6060" t="s">
        <v>334</v>
      </c>
      <c r="D6060" t="s">
        <v>14</v>
      </c>
      <c r="E6060" t="s">
        <v>508</v>
      </c>
      <c r="F6060" s="2" t="str">
        <f>HYPERLINK("http://www.otzar.org/book.asp?144694","בן ציון")</f>
        <v>בן ציון</v>
      </c>
    </row>
    <row r="6061" spans="1:6" x14ac:dyDescent="0.2">
      <c r="A6061" t="s">
        <v>11006</v>
      </c>
      <c r="B6061" t="s">
        <v>11008</v>
      </c>
      <c r="C6061" t="s">
        <v>4287</v>
      </c>
      <c r="D6061" t="s">
        <v>1023</v>
      </c>
      <c r="E6061" t="s">
        <v>213</v>
      </c>
      <c r="F6061" s="2" t="str">
        <f>HYPERLINK("http://www.otzar.org/book.asp?17324","בן ציון")</f>
        <v>בן ציון</v>
      </c>
    </row>
    <row r="6062" spans="1:6" x14ac:dyDescent="0.2">
      <c r="A6062" t="s">
        <v>11009</v>
      </c>
      <c r="B6062" t="s">
        <v>11010</v>
      </c>
      <c r="C6062" t="s">
        <v>466</v>
      </c>
      <c r="D6062" t="s">
        <v>14</v>
      </c>
      <c r="E6062" t="s">
        <v>130</v>
      </c>
      <c r="F6062" s="2" t="str">
        <f>HYPERLINK("http://www.otzar.org/book.asp?155930","בן ראם")</f>
        <v>בן ראם</v>
      </c>
    </row>
    <row r="6063" spans="1:6" x14ac:dyDescent="0.2">
      <c r="A6063" t="s">
        <v>11011</v>
      </c>
      <c r="B6063" t="s">
        <v>11012</v>
      </c>
      <c r="C6063" t="s">
        <v>492</v>
      </c>
      <c r="D6063" t="s">
        <v>11013</v>
      </c>
      <c r="E6063" t="s">
        <v>15</v>
      </c>
      <c r="F6063" s="2" t="str">
        <f>HYPERLINK("http://www.otzar.org/book.asp?22396","בן שלמה")</f>
        <v>בן שלמה</v>
      </c>
    </row>
    <row r="6064" spans="1:6" x14ac:dyDescent="0.2">
      <c r="A6064" t="s">
        <v>11014</v>
      </c>
      <c r="B6064" t="s">
        <v>11015</v>
      </c>
      <c r="C6064" t="s">
        <v>767</v>
      </c>
      <c r="D6064" t="s">
        <v>14</v>
      </c>
      <c r="E6064" t="s">
        <v>234</v>
      </c>
      <c r="F6064" s="2" t="str">
        <f>HYPERLINK("http://www.otzar.org/book.asp?171601","בן שלש עשרה למצוות")</f>
        <v>בן שלש עשרה למצוות</v>
      </c>
    </row>
    <row r="6065" spans="1:6" x14ac:dyDescent="0.2">
      <c r="A6065" t="s">
        <v>11016</v>
      </c>
      <c r="B6065" t="s">
        <v>11017</v>
      </c>
      <c r="C6065" t="s">
        <v>1859</v>
      </c>
      <c r="D6065" t="s">
        <v>1411</v>
      </c>
      <c r="E6065" t="s">
        <v>1262</v>
      </c>
      <c r="F6065" s="2" t="str">
        <f>HYPERLINK("http://www.otzar.org/book.asp?104247","בן שמואל")</f>
        <v>בן שמואל</v>
      </c>
    </row>
    <row r="6066" spans="1:6" x14ac:dyDescent="0.2">
      <c r="A6066" t="s">
        <v>11018</v>
      </c>
      <c r="B6066" t="s">
        <v>11019</v>
      </c>
      <c r="C6066" t="s">
        <v>442</v>
      </c>
      <c r="D6066" t="s">
        <v>14</v>
      </c>
      <c r="E6066" t="s">
        <v>674</v>
      </c>
      <c r="F6066" s="2" t="str">
        <f>HYPERLINK("http://www.otzar.org/book.asp?163091","בן שמונה עשרה לחופה")</f>
        <v>בן שמונה עשרה לחופה</v>
      </c>
    </row>
    <row r="6067" spans="1:6" x14ac:dyDescent="0.2">
      <c r="A6067" t="s">
        <v>11020</v>
      </c>
      <c r="B6067" t="s">
        <v>11021</v>
      </c>
      <c r="C6067" t="s">
        <v>20</v>
      </c>
      <c r="D6067" t="s">
        <v>412</v>
      </c>
      <c r="E6067" t="s">
        <v>202</v>
      </c>
      <c r="F6067" s="2" t="str">
        <f>HYPERLINK("http://www.otzar.org/book.asp?620623","בן שמונים לגבורות")</f>
        <v>בן שמונים לגבורות</v>
      </c>
    </row>
    <row r="6068" spans="1:6" x14ac:dyDescent="0.2">
      <c r="A6068" t="s">
        <v>11022</v>
      </c>
      <c r="B6068" t="s">
        <v>107</v>
      </c>
      <c r="C6068" t="s">
        <v>332</v>
      </c>
      <c r="D6068" t="s">
        <v>14</v>
      </c>
      <c r="E6068" t="s">
        <v>241</v>
      </c>
      <c r="F6068" s="2" t="str">
        <f>HYPERLINK("http://www.otzar.org/book.asp?164055","בן תורה וישיבה")</f>
        <v>בן תורה וישיבה</v>
      </c>
    </row>
    <row r="6069" spans="1:6" x14ac:dyDescent="0.2">
      <c r="A6069" t="s">
        <v>11023</v>
      </c>
      <c r="B6069" t="s">
        <v>3768</v>
      </c>
      <c r="C6069" t="s">
        <v>313</v>
      </c>
      <c r="D6069" t="s">
        <v>80</v>
      </c>
      <c r="E6069" t="s">
        <v>213</v>
      </c>
      <c r="F6069" s="2" t="str">
        <f>HYPERLINK("http://www.otzar.org/book.asp?196791","בן תורה מהותו והשקפתו")</f>
        <v>בן תורה מהותו והשקפתו</v>
      </c>
    </row>
    <row r="6070" spans="1:6" x14ac:dyDescent="0.2">
      <c r="A6070" t="s">
        <v>11024</v>
      </c>
      <c r="B6070" t="s">
        <v>11025</v>
      </c>
      <c r="C6070" t="s">
        <v>334</v>
      </c>
      <c r="D6070" t="s">
        <v>14</v>
      </c>
      <c r="E6070" t="s">
        <v>714</v>
      </c>
      <c r="F6070" s="2" t="str">
        <f>HYPERLINK("http://www.otzar.org/book.asp?63601","בנאות דשא - 2 כר'")</f>
        <v>בנאות דשא - 2 כר'</v>
      </c>
    </row>
    <row r="6071" spans="1:6" x14ac:dyDescent="0.2">
      <c r="A6071" t="s">
        <v>11026</v>
      </c>
      <c r="B6071" t="s">
        <v>206</v>
      </c>
      <c r="C6071" t="s">
        <v>383</v>
      </c>
      <c r="D6071" t="s">
        <v>52</v>
      </c>
      <c r="E6071" t="s">
        <v>144</v>
      </c>
      <c r="F6071" s="2" t="str">
        <f>HYPERLINK("http://www.otzar.org/book.asp?61203","בנאות דשא")</f>
        <v>בנאות דשא</v>
      </c>
    </row>
    <row r="6072" spans="1:6" x14ac:dyDescent="0.2">
      <c r="A6072" t="s">
        <v>11027</v>
      </c>
      <c r="B6072" t="s">
        <v>11028</v>
      </c>
      <c r="C6072" t="s">
        <v>20</v>
      </c>
      <c r="D6072" t="s">
        <v>90</v>
      </c>
      <c r="E6072" t="s">
        <v>158</v>
      </c>
      <c r="F6072" s="2" t="str">
        <f>HYPERLINK("http://www.otzar.org/book.asp?618455","בנאות דשא - 4 כר'")</f>
        <v>בנאות דשא - 4 כר'</v>
      </c>
    </row>
    <row r="6073" spans="1:6" x14ac:dyDescent="0.2">
      <c r="A6073" t="s">
        <v>11026</v>
      </c>
      <c r="B6073" t="s">
        <v>11029</v>
      </c>
      <c r="C6073" t="s">
        <v>20</v>
      </c>
      <c r="D6073" t="s">
        <v>90</v>
      </c>
      <c r="F6073" s="2" t="str">
        <f>HYPERLINK("http://www.otzar.org/book.asp?614489","בנאות דשא")</f>
        <v>בנאות דשא</v>
      </c>
    </row>
    <row r="6074" spans="1:6" x14ac:dyDescent="0.2">
      <c r="A6074" t="s">
        <v>11030</v>
      </c>
      <c r="B6074" t="s">
        <v>11031</v>
      </c>
      <c r="C6074" t="s">
        <v>143</v>
      </c>
      <c r="D6074" t="s">
        <v>423</v>
      </c>
      <c r="E6074" t="s">
        <v>230</v>
      </c>
      <c r="F6074" s="2" t="str">
        <f>HYPERLINK("http://www.otzar.org/book.asp?163860","בנבכי התורה")</f>
        <v>בנבכי התורה</v>
      </c>
    </row>
    <row r="6075" spans="1:6" x14ac:dyDescent="0.2">
      <c r="A6075" t="s">
        <v>11032</v>
      </c>
      <c r="B6075" t="s">
        <v>8100</v>
      </c>
      <c r="C6075" t="s">
        <v>103</v>
      </c>
      <c r="D6075" t="s">
        <v>367</v>
      </c>
      <c r="E6075" t="s">
        <v>1211</v>
      </c>
      <c r="F6075" s="2" t="str">
        <f>HYPERLINK("http://www.otzar.org/book.asp?51555","בנה ביתך כבתחילה")</f>
        <v>בנה ביתך כבתחילה</v>
      </c>
    </row>
    <row r="6076" spans="1:6" x14ac:dyDescent="0.2">
      <c r="A6076" t="s">
        <v>11033</v>
      </c>
      <c r="B6076" t="s">
        <v>11034</v>
      </c>
      <c r="C6076" t="s">
        <v>624</v>
      </c>
      <c r="D6076" t="s">
        <v>14</v>
      </c>
      <c r="E6076" t="s">
        <v>15</v>
      </c>
      <c r="F6076" s="2" t="str">
        <f>HYPERLINK("http://www.otzar.org/book.asp?623283","בנה ביתך כהלכה")</f>
        <v>בנה ביתך כהלכה</v>
      </c>
    </row>
    <row r="6077" spans="1:6" x14ac:dyDescent="0.2">
      <c r="A6077" t="s">
        <v>11035</v>
      </c>
      <c r="B6077" t="s">
        <v>11036</v>
      </c>
      <c r="C6077" t="s">
        <v>366</v>
      </c>
      <c r="D6077" t="s">
        <v>412</v>
      </c>
      <c r="E6077" t="s">
        <v>15</v>
      </c>
      <c r="F6077" s="2" t="str">
        <f>HYPERLINK("http://www.otzar.org/book.asp?611015","בנה ביתך")</f>
        <v>בנה ביתך</v>
      </c>
    </row>
    <row r="6078" spans="1:6" x14ac:dyDescent="0.2">
      <c r="A6078" t="s">
        <v>11037</v>
      </c>
      <c r="B6078" t="s">
        <v>11038</v>
      </c>
      <c r="C6078" t="s">
        <v>20</v>
      </c>
      <c r="D6078" t="s">
        <v>21</v>
      </c>
      <c r="E6078" t="s">
        <v>15</v>
      </c>
      <c r="F6078" s="2" t="str">
        <f>HYPERLINK("http://www.otzar.org/book.asp?191474","בנוהג שבעולם")</f>
        <v>בנוהג שבעולם</v>
      </c>
    </row>
    <row r="6079" spans="1:6" x14ac:dyDescent="0.2">
      <c r="A6079" t="s">
        <v>11039</v>
      </c>
      <c r="B6079" t="s">
        <v>11040</v>
      </c>
      <c r="C6079" t="s">
        <v>23</v>
      </c>
      <c r="D6079" t="s">
        <v>276</v>
      </c>
      <c r="E6079" t="s">
        <v>172</v>
      </c>
      <c r="F6079" s="2" t="str">
        <f>HYPERLINK("http://www.otzar.org/book.asp?193083","בנוי לתלפיות")</f>
        <v>בנוי לתלפיות</v>
      </c>
    </row>
    <row r="6080" spans="1:6" x14ac:dyDescent="0.2">
      <c r="A6080" t="s">
        <v>11041</v>
      </c>
      <c r="B6080" t="s">
        <v>11042</v>
      </c>
      <c r="C6080" t="s">
        <v>2243</v>
      </c>
      <c r="D6080" t="s">
        <v>267</v>
      </c>
      <c r="E6080" t="s">
        <v>84</v>
      </c>
      <c r="F6080" s="2" t="str">
        <f>HYPERLINK("http://www.otzar.org/book.asp?300593","בנוית ברמה - 3 כר'")</f>
        <v>בנוית ברמה - 3 כר'</v>
      </c>
    </row>
    <row r="6081" spans="1:6" x14ac:dyDescent="0.2">
      <c r="A6081" t="s">
        <v>11043</v>
      </c>
      <c r="B6081" t="s">
        <v>1602</v>
      </c>
      <c r="C6081" t="s">
        <v>366</v>
      </c>
      <c r="D6081" t="s">
        <v>14</v>
      </c>
      <c r="E6081" t="s">
        <v>241</v>
      </c>
      <c r="F6081" s="2" t="str">
        <f>HYPERLINK("http://www.otzar.org/book.asp?618695","בנות עליה")</f>
        <v>בנות עליה</v>
      </c>
    </row>
    <row r="6082" spans="1:6" x14ac:dyDescent="0.2">
      <c r="A6082" t="s">
        <v>11044</v>
      </c>
      <c r="B6082" t="s">
        <v>732</v>
      </c>
      <c r="C6082" t="s">
        <v>11045</v>
      </c>
      <c r="D6082" t="s">
        <v>27</v>
      </c>
      <c r="E6082" t="s">
        <v>202</v>
      </c>
      <c r="F6082" s="2" t="str">
        <f>HYPERLINK("http://www.otzar.org/book.asp?188631","בנות ציון וירושלם - 2 כר'")</f>
        <v>בנות ציון וירושלם - 2 כר'</v>
      </c>
    </row>
    <row r="6083" spans="1:6" x14ac:dyDescent="0.2">
      <c r="A6083" t="s">
        <v>11046</v>
      </c>
      <c r="B6083" t="s">
        <v>11047</v>
      </c>
      <c r="C6083" t="s">
        <v>244</v>
      </c>
      <c r="D6083" t="s">
        <v>4549</v>
      </c>
      <c r="E6083" t="s">
        <v>15</v>
      </c>
      <c r="F6083" s="2" t="str">
        <f>HYPERLINK("http://www.otzar.org/book.asp?629343","בני אברהם א")</f>
        <v>בני אברהם א</v>
      </c>
    </row>
    <row r="6084" spans="1:6" x14ac:dyDescent="0.2">
      <c r="A6084" t="s">
        <v>11048</v>
      </c>
      <c r="B6084" t="s">
        <v>11047</v>
      </c>
      <c r="C6084" t="s">
        <v>185</v>
      </c>
      <c r="D6084" t="s">
        <v>4549</v>
      </c>
      <c r="E6084" t="s">
        <v>15</v>
      </c>
      <c r="F6084" s="2" t="str">
        <f>HYPERLINK("http://www.otzar.org/book.asp?629344","בני אברהם ב")</f>
        <v>בני אברהם ב</v>
      </c>
    </row>
    <row r="6085" spans="1:6" x14ac:dyDescent="0.2">
      <c r="A6085" t="s">
        <v>11049</v>
      </c>
      <c r="B6085" t="s">
        <v>11047</v>
      </c>
      <c r="C6085" t="s">
        <v>185</v>
      </c>
      <c r="D6085" t="s">
        <v>4549</v>
      </c>
      <c r="E6085" t="s">
        <v>15</v>
      </c>
      <c r="F6085" s="2" t="str">
        <f>HYPERLINK("http://www.otzar.org/book.asp?629345","בני אברהם - הלכות הכנה משבת לחול")</f>
        <v>בני אברהם - הלכות הכנה משבת לחול</v>
      </c>
    </row>
    <row r="6086" spans="1:6" x14ac:dyDescent="0.2">
      <c r="A6086" t="s">
        <v>11050</v>
      </c>
      <c r="B6086" t="s">
        <v>11051</v>
      </c>
      <c r="C6086" t="s">
        <v>1228</v>
      </c>
      <c r="D6086" t="s">
        <v>27</v>
      </c>
      <c r="E6086" t="s">
        <v>241</v>
      </c>
      <c r="F6086" s="2" t="str">
        <f>HYPERLINK("http://www.otzar.org/book.asp?300578","בני אברהם")</f>
        <v>בני אברהם</v>
      </c>
    </row>
    <row r="6087" spans="1:6" x14ac:dyDescent="0.2">
      <c r="A6087" t="s">
        <v>11050</v>
      </c>
      <c r="B6087" t="s">
        <v>11052</v>
      </c>
      <c r="C6087" t="s">
        <v>7384</v>
      </c>
      <c r="D6087" t="s">
        <v>1490</v>
      </c>
      <c r="E6087" t="s">
        <v>4561</v>
      </c>
      <c r="F6087" s="2" t="str">
        <f>HYPERLINK("http://www.otzar.org/book.asp?100391","בני אברהם")</f>
        <v>בני אברהם</v>
      </c>
    </row>
    <row r="6088" spans="1:6" x14ac:dyDescent="0.2">
      <c r="A6088" t="s">
        <v>11050</v>
      </c>
      <c r="B6088" t="s">
        <v>11053</v>
      </c>
      <c r="C6088" t="s">
        <v>2105</v>
      </c>
      <c r="D6088" t="s">
        <v>1117</v>
      </c>
      <c r="E6088" t="s">
        <v>435</v>
      </c>
      <c r="F6088" s="2" t="str">
        <f>HYPERLINK("http://www.otzar.org/book.asp?17326","בני אברהם")</f>
        <v>בני אברהם</v>
      </c>
    </row>
    <row r="6089" spans="1:6" x14ac:dyDescent="0.2">
      <c r="A6089" t="s">
        <v>11050</v>
      </c>
      <c r="B6089" t="s">
        <v>11054</v>
      </c>
      <c r="C6089" t="s">
        <v>68</v>
      </c>
      <c r="D6089" t="s">
        <v>52</v>
      </c>
      <c r="E6089" t="s">
        <v>158</v>
      </c>
      <c r="F6089" s="2" t="str">
        <f>HYPERLINK("http://www.otzar.org/book.asp?156415","בני אברהם")</f>
        <v>בני אברהם</v>
      </c>
    </row>
    <row r="6090" spans="1:6" x14ac:dyDescent="0.2">
      <c r="A6090" t="s">
        <v>11055</v>
      </c>
      <c r="B6090" t="s">
        <v>1990</v>
      </c>
      <c r="C6090" t="s">
        <v>915</v>
      </c>
      <c r="D6090" t="s">
        <v>1992</v>
      </c>
      <c r="E6090" t="s">
        <v>10</v>
      </c>
      <c r="F6090" s="2" t="str">
        <f>HYPERLINK("http://www.otzar.org/book.asp?8943","בני אהובה")</f>
        <v>בני אהובה</v>
      </c>
    </row>
    <row r="6091" spans="1:6" x14ac:dyDescent="0.2">
      <c r="A6091" t="s">
        <v>11056</v>
      </c>
      <c r="B6091" t="s">
        <v>6759</v>
      </c>
      <c r="C6091" t="s">
        <v>462</v>
      </c>
      <c r="D6091" t="s">
        <v>1801</v>
      </c>
      <c r="E6091" t="s">
        <v>399</v>
      </c>
      <c r="F6091" s="2" t="str">
        <f>HYPERLINK("http://www.otzar.org/book.asp?163186","בני אהרן עם הגהות הרב יהודה פתייא ז""ל")</f>
        <v>בני אהרן עם הגהות הרב יהודה פתייא ז"ל</v>
      </c>
    </row>
    <row r="6092" spans="1:6" x14ac:dyDescent="0.2">
      <c r="A6092" t="s">
        <v>11057</v>
      </c>
      <c r="B6092" t="s">
        <v>6759</v>
      </c>
      <c r="C6092" t="s">
        <v>462</v>
      </c>
      <c r="D6092" t="s">
        <v>1801</v>
      </c>
      <c r="E6092" t="s">
        <v>11058</v>
      </c>
      <c r="F6092" s="2" t="str">
        <f>HYPERLINK("http://www.otzar.org/book.asp?5971","בני אהרן")</f>
        <v>בני אהרן</v>
      </c>
    </row>
    <row r="6093" spans="1:6" x14ac:dyDescent="0.2">
      <c r="A6093" t="s">
        <v>11057</v>
      </c>
      <c r="B6093" t="s">
        <v>11059</v>
      </c>
      <c r="C6093" t="s">
        <v>854</v>
      </c>
      <c r="D6093" t="s">
        <v>56</v>
      </c>
      <c r="E6093" t="s">
        <v>154</v>
      </c>
      <c r="F6093" s="2" t="str">
        <f>HYPERLINK("http://www.otzar.org/book.asp?17327","בני אהרן")</f>
        <v>בני אהרן</v>
      </c>
    </row>
    <row r="6094" spans="1:6" x14ac:dyDescent="0.2">
      <c r="A6094" t="s">
        <v>11057</v>
      </c>
      <c r="B6094" t="s">
        <v>11060</v>
      </c>
      <c r="C6094" t="s">
        <v>1768</v>
      </c>
      <c r="D6094" t="s">
        <v>157</v>
      </c>
      <c r="E6094" t="s">
        <v>10</v>
      </c>
      <c r="F6094" s="2" t="str">
        <f>HYPERLINK("http://www.otzar.org/book.asp?141306","בני אהרן")</f>
        <v>בני אהרן</v>
      </c>
    </row>
    <row r="6095" spans="1:6" x14ac:dyDescent="0.2">
      <c r="A6095" t="s">
        <v>11057</v>
      </c>
      <c r="B6095" t="s">
        <v>11061</v>
      </c>
      <c r="C6095" t="s">
        <v>160</v>
      </c>
      <c r="D6095" t="s">
        <v>260</v>
      </c>
      <c r="E6095" t="s">
        <v>158</v>
      </c>
      <c r="F6095" s="2" t="str">
        <f>HYPERLINK("http://www.otzar.org/book.asp?623620","בני אהרן")</f>
        <v>בני אהרן</v>
      </c>
    </row>
    <row r="6096" spans="1:6" x14ac:dyDescent="0.2">
      <c r="A6096" t="s">
        <v>11062</v>
      </c>
      <c r="B6096" t="s">
        <v>453</v>
      </c>
      <c r="C6096" t="s">
        <v>366</v>
      </c>
      <c r="D6096" t="s">
        <v>52</v>
      </c>
      <c r="E6096" t="s">
        <v>15</v>
      </c>
      <c r="F6096" s="2" t="str">
        <f>HYPERLINK("http://www.otzar.org/book.asp?617235","בני איש")</f>
        <v>בני איש</v>
      </c>
    </row>
    <row r="6097" spans="1:6" x14ac:dyDescent="0.2">
      <c r="A6097" t="s">
        <v>11063</v>
      </c>
      <c r="B6097" t="s">
        <v>8235</v>
      </c>
      <c r="C6097" t="s">
        <v>151</v>
      </c>
      <c r="D6097" t="s">
        <v>52</v>
      </c>
      <c r="E6097" t="s">
        <v>15</v>
      </c>
      <c r="F6097" s="2" t="str">
        <f>HYPERLINK("http://www.otzar.org/book.asp?621768","בני אמונים")</f>
        <v>בני אמונים</v>
      </c>
    </row>
    <row r="6098" spans="1:6" x14ac:dyDescent="0.2">
      <c r="A6098" t="s">
        <v>11064</v>
      </c>
      <c r="B6098" t="s">
        <v>11063</v>
      </c>
      <c r="C6098" t="s">
        <v>20</v>
      </c>
      <c r="D6098" t="s">
        <v>52</v>
      </c>
      <c r="E6098" t="s">
        <v>10482</v>
      </c>
      <c r="F6098" s="2" t="str">
        <f>HYPERLINK("http://www.otzar.org/book.asp?22927","בני אמונים - א")</f>
        <v>בני אמונים - א</v>
      </c>
    </row>
    <row r="6099" spans="1:6" x14ac:dyDescent="0.2">
      <c r="A6099" t="s">
        <v>11065</v>
      </c>
      <c r="B6099" t="s">
        <v>11066</v>
      </c>
      <c r="C6099" t="s">
        <v>13</v>
      </c>
      <c r="D6099" t="s">
        <v>14</v>
      </c>
      <c r="E6099" t="s">
        <v>234</v>
      </c>
      <c r="F6099" s="2" t="str">
        <f>HYPERLINK("http://www.otzar.org/book.asp?606262","בני אתה - בר מצוה")</f>
        <v>בני אתה - בר מצוה</v>
      </c>
    </row>
    <row r="6100" spans="1:6" x14ac:dyDescent="0.2">
      <c r="A6100" t="s">
        <v>11067</v>
      </c>
      <c r="B6100" t="s">
        <v>11068</v>
      </c>
      <c r="C6100" t="s">
        <v>775</v>
      </c>
      <c r="D6100" t="s">
        <v>486</v>
      </c>
      <c r="E6100" t="s">
        <v>3055</v>
      </c>
      <c r="F6100" s="2" t="str">
        <f>HYPERLINK("http://www.otzar.org/book.asp?142140","בני בינה - סדר הדלקת נרות חנוכה בנוסח רבוה""ק לבית פיטסבורג")</f>
        <v>בני בינה - סדר הדלקת נרות חנוכה בנוסח רבוה"ק לבית פיטסבורג</v>
      </c>
    </row>
    <row r="6101" spans="1:6" x14ac:dyDescent="0.2">
      <c r="A6101" t="s">
        <v>11069</v>
      </c>
      <c r="B6101" t="s">
        <v>11070</v>
      </c>
      <c r="C6101" t="s">
        <v>1619</v>
      </c>
      <c r="D6101" t="s">
        <v>14</v>
      </c>
      <c r="E6101" t="s">
        <v>119</v>
      </c>
      <c r="F6101" s="2" t="str">
        <f>HYPERLINK("http://www.otzar.org/book.asp?170407","בני בינה")</f>
        <v>בני בינה</v>
      </c>
    </row>
    <row r="6102" spans="1:6" x14ac:dyDescent="0.2">
      <c r="A6102" t="s">
        <v>11071</v>
      </c>
      <c r="B6102" t="s">
        <v>11072</v>
      </c>
      <c r="C6102" t="s">
        <v>466</v>
      </c>
      <c r="D6102" t="s">
        <v>412</v>
      </c>
      <c r="E6102" t="s">
        <v>2840</v>
      </c>
      <c r="F6102" s="2" t="str">
        <f>HYPERLINK("http://www.otzar.org/book.asp?156847","בני בכורי ישראל")</f>
        <v>בני בכורי ישראל</v>
      </c>
    </row>
    <row r="6103" spans="1:6" x14ac:dyDescent="0.2">
      <c r="A6103" t="s">
        <v>11071</v>
      </c>
      <c r="B6103" t="s">
        <v>3727</v>
      </c>
      <c r="C6103" t="s">
        <v>13</v>
      </c>
      <c r="D6103" t="s">
        <v>52</v>
      </c>
      <c r="E6103" t="s">
        <v>2840</v>
      </c>
      <c r="F6103" s="2" t="str">
        <f>HYPERLINK("http://www.otzar.org/book.asp?85656","בני בכורי ישראל")</f>
        <v>בני בכורי ישראל</v>
      </c>
    </row>
    <row r="6104" spans="1:6" x14ac:dyDescent="0.2">
      <c r="A6104" t="s">
        <v>11071</v>
      </c>
      <c r="B6104" t="s">
        <v>11073</v>
      </c>
      <c r="C6104" t="s">
        <v>151</v>
      </c>
      <c r="D6104" t="s">
        <v>412</v>
      </c>
      <c r="E6104" t="s">
        <v>246</v>
      </c>
      <c r="F6104" s="2" t="str">
        <f>HYPERLINK("http://www.otzar.org/book.asp?627630","בני בכורי ישראל")</f>
        <v>בני בכורי ישראל</v>
      </c>
    </row>
    <row r="6105" spans="1:6" x14ac:dyDescent="0.2">
      <c r="A6105" t="s">
        <v>11074</v>
      </c>
      <c r="B6105" t="s">
        <v>4854</v>
      </c>
      <c r="C6105" t="s">
        <v>20</v>
      </c>
      <c r="D6105" t="s">
        <v>367</v>
      </c>
      <c r="E6105" t="s">
        <v>246</v>
      </c>
      <c r="F6105" s="2" t="str">
        <f>HYPERLINK("http://www.otzar.org/book.asp?626261","בני בכורי ישראל - 2 כר'")</f>
        <v>בני בכורי ישראל - 2 כר'</v>
      </c>
    </row>
    <row r="6106" spans="1:6" x14ac:dyDescent="0.2">
      <c r="A6106" t="s">
        <v>11075</v>
      </c>
      <c r="B6106" t="s">
        <v>11076</v>
      </c>
      <c r="C6106" t="s">
        <v>114</v>
      </c>
      <c r="D6106" t="s">
        <v>412</v>
      </c>
      <c r="E6106" t="s">
        <v>144</v>
      </c>
      <c r="F6106" s="2" t="str">
        <f>HYPERLINK("http://www.otzar.org/book.asp?179542","בני בנימין - ערבי פסחים")</f>
        <v>בני בנימין - ערבי פסחים</v>
      </c>
    </row>
    <row r="6107" spans="1:6" x14ac:dyDescent="0.2">
      <c r="A6107" t="s">
        <v>11077</v>
      </c>
      <c r="B6107" t="s">
        <v>11078</v>
      </c>
      <c r="C6107" t="s">
        <v>51</v>
      </c>
      <c r="D6107" t="s">
        <v>7857</v>
      </c>
      <c r="E6107" t="s">
        <v>11079</v>
      </c>
      <c r="F6107" s="2" t="str">
        <f>HYPERLINK("http://www.otzar.org/book.asp?51149","בני בנימין")</f>
        <v>בני בנימין</v>
      </c>
    </row>
    <row r="6108" spans="1:6" x14ac:dyDescent="0.2">
      <c r="A6108" t="s">
        <v>11077</v>
      </c>
      <c r="B6108" t="s">
        <v>11080</v>
      </c>
      <c r="C6108" t="s">
        <v>767</v>
      </c>
      <c r="D6108" t="s">
        <v>14</v>
      </c>
      <c r="E6108" t="s">
        <v>15</v>
      </c>
      <c r="F6108" s="2" t="str">
        <f>HYPERLINK("http://www.otzar.org/book.asp?25983","בני בנימין")</f>
        <v>בני בנימין</v>
      </c>
    </row>
    <row r="6109" spans="1:6" x14ac:dyDescent="0.2">
      <c r="A6109" t="s">
        <v>11081</v>
      </c>
      <c r="B6109" t="s">
        <v>11082</v>
      </c>
      <c r="C6109" t="s">
        <v>103</v>
      </c>
      <c r="D6109" t="s">
        <v>90</v>
      </c>
      <c r="E6109" t="s">
        <v>84</v>
      </c>
      <c r="F6109" s="2" t="str">
        <f>HYPERLINK("http://www.otzar.org/book.asp?617336","בני בנימין - פרקי אבות")</f>
        <v>בני בנימין - פרקי אבות</v>
      </c>
    </row>
    <row r="6110" spans="1:6" x14ac:dyDescent="0.2">
      <c r="A6110" t="s">
        <v>11077</v>
      </c>
      <c r="B6110" t="s">
        <v>11083</v>
      </c>
      <c r="C6110" t="s">
        <v>617</v>
      </c>
      <c r="D6110" t="s">
        <v>855</v>
      </c>
      <c r="E6110" t="s">
        <v>11084</v>
      </c>
      <c r="F6110" s="2" t="str">
        <f>HYPERLINK("http://www.otzar.org/book.asp?7251","בני בנימין")</f>
        <v>בני בנימין</v>
      </c>
    </row>
    <row r="6111" spans="1:6" x14ac:dyDescent="0.2">
      <c r="A6111" t="s">
        <v>11085</v>
      </c>
      <c r="B6111" t="s">
        <v>11086</v>
      </c>
      <c r="C6111" t="s">
        <v>1124</v>
      </c>
      <c r="D6111" t="s">
        <v>27</v>
      </c>
      <c r="E6111" t="s">
        <v>154</v>
      </c>
      <c r="F6111" s="2" t="str">
        <f>HYPERLINK("http://www.otzar.org/book.asp?14160","בני בנימן וקרב אי""ש")</f>
        <v>בני בנימן וקרב אי"ש</v>
      </c>
    </row>
    <row r="6112" spans="1:6" x14ac:dyDescent="0.2">
      <c r="A6112" t="s">
        <v>11087</v>
      </c>
      <c r="B6112" t="s">
        <v>11088</v>
      </c>
      <c r="C6112" t="s">
        <v>433</v>
      </c>
      <c r="D6112" t="s">
        <v>260</v>
      </c>
      <c r="E6112" t="s">
        <v>202</v>
      </c>
      <c r="F6112" s="2" t="str">
        <f>HYPERLINK("http://www.otzar.org/book.asp?153932","בני ברק בת כ""ה")</f>
        <v>בני ברק בת כ"ה</v>
      </c>
    </row>
    <row r="6113" spans="1:6" x14ac:dyDescent="0.2">
      <c r="A6113" t="s">
        <v>52</v>
      </c>
      <c r="B6113" t="s">
        <v>686</v>
      </c>
      <c r="C6113" t="s">
        <v>366</v>
      </c>
      <c r="D6113" t="s">
        <v>80</v>
      </c>
      <c r="E6113" t="s">
        <v>1164</v>
      </c>
      <c r="F6113" s="2" t="str">
        <f>HYPERLINK("http://www.otzar.org/book.asp?606759","בני ברק")</f>
        <v>בני ברק</v>
      </c>
    </row>
    <row r="6114" spans="1:6" x14ac:dyDescent="0.2">
      <c r="A6114" t="s">
        <v>11089</v>
      </c>
      <c r="B6114" t="s">
        <v>11090</v>
      </c>
      <c r="C6114" t="s">
        <v>442</v>
      </c>
      <c r="D6114" t="s">
        <v>52</v>
      </c>
      <c r="E6114" t="s">
        <v>733</v>
      </c>
      <c r="F6114" s="2" t="str">
        <f>HYPERLINK("http://www.otzar.org/book.asp?148734","בני ברק - עיר ואם בישראל")</f>
        <v>בני ברק - עיר ואם בישראל</v>
      </c>
    </row>
    <row r="6115" spans="1:6" x14ac:dyDescent="0.2">
      <c r="A6115" t="s">
        <v>11091</v>
      </c>
      <c r="B6115" t="s">
        <v>11092</v>
      </c>
      <c r="C6115" t="s">
        <v>547</v>
      </c>
      <c r="D6115" t="s">
        <v>10393</v>
      </c>
      <c r="E6115" t="s">
        <v>325</v>
      </c>
      <c r="F6115" s="2" t="str">
        <f>HYPERLINK("http://www.otzar.org/book.asp?300581","בני גרשון - 2 כר'")</f>
        <v>בני גרשון - 2 כר'</v>
      </c>
    </row>
    <row r="6116" spans="1:6" x14ac:dyDescent="0.2">
      <c r="A6116" t="s">
        <v>11093</v>
      </c>
      <c r="B6116" t="s">
        <v>11094</v>
      </c>
      <c r="C6116" t="s">
        <v>4348</v>
      </c>
      <c r="D6116" t="s">
        <v>1490</v>
      </c>
      <c r="E6116" t="s">
        <v>606</v>
      </c>
      <c r="F6116" s="2" t="str">
        <f>HYPERLINK("http://www.otzar.org/book.asp?100182","בני דוד")</f>
        <v>בני דוד</v>
      </c>
    </row>
    <row r="6117" spans="1:6" x14ac:dyDescent="0.2">
      <c r="A6117" t="s">
        <v>11095</v>
      </c>
      <c r="B6117" t="s">
        <v>905</v>
      </c>
      <c r="C6117" t="s">
        <v>523</v>
      </c>
      <c r="D6117" t="s">
        <v>14</v>
      </c>
      <c r="E6117" t="s">
        <v>119</v>
      </c>
      <c r="F6117" s="2" t="str">
        <f>HYPERLINK("http://www.otzar.org/book.asp?63181","בני האומה - קהילות פורטוגל והאיים")</f>
        <v>בני האומה - קהילות פורטוגל והאיים</v>
      </c>
    </row>
    <row r="6118" spans="1:6" x14ac:dyDescent="0.2">
      <c r="A6118" t="s">
        <v>11096</v>
      </c>
      <c r="B6118" t="s">
        <v>11097</v>
      </c>
      <c r="C6118" t="s">
        <v>20</v>
      </c>
      <c r="D6118" t="s">
        <v>11098</v>
      </c>
      <c r="E6118" t="s">
        <v>202</v>
      </c>
      <c r="F6118" s="2" t="str">
        <f>HYPERLINK("http://www.otzar.org/book.asp?606441","בני היכלא - 2 כר'")</f>
        <v>בני היכלא - 2 כר'</v>
      </c>
    </row>
    <row r="6119" spans="1:6" x14ac:dyDescent="0.2">
      <c r="A6119" t="s">
        <v>11096</v>
      </c>
      <c r="B6119" t="s">
        <v>11099</v>
      </c>
      <c r="C6119" t="s">
        <v>23</v>
      </c>
      <c r="D6119" t="s">
        <v>90</v>
      </c>
      <c r="E6119" t="s">
        <v>202</v>
      </c>
      <c r="F6119" s="2" t="str">
        <f>HYPERLINK("http://www.otzar.org/book.asp?607960","בני היכלא - 2 כר'")</f>
        <v>בני היכלא - 2 כר'</v>
      </c>
    </row>
    <row r="6120" spans="1:6" x14ac:dyDescent="0.2">
      <c r="A6120" t="s">
        <v>11100</v>
      </c>
      <c r="B6120" t="s">
        <v>3299</v>
      </c>
      <c r="C6120" t="s">
        <v>129</v>
      </c>
      <c r="D6120" t="s">
        <v>412</v>
      </c>
      <c r="E6120" t="s">
        <v>104</v>
      </c>
      <c r="F6120" s="2" t="str">
        <f>HYPERLINK("http://www.otzar.org/book.asp?173634","בני הנעורים")</f>
        <v>בני הנעורים</v>
      </c>
    </row>
    <row r="6121" spans="1:6" x14ac:dyDescent="0.2">
      <c r="A6121" t="s">
        <v>11101</v>
      </c>
      <c r="B6121" t="s">
        <v>820</v>
      </c>
      <c r="C6121" t="s">
        <v>103</v>
      </c>
      <c r="D6121" t="s">
        <v>14</v>
      </c>
      <c r="E6121" t="s">
        <v>579</v>
      </c>
      <c r="F6121" s="2" t="str">
        <f>HYPERLINK("http://www.otzar.org/book.asp?23275","בני חביבי - 2 כר'")</f>
        <v>בני חביבי - 2 כר'</v>
      </c>
    </row>
    <row r="6122" spans="1:6" x14ac:dyDescent="0.2">
      <c r="A6122" t="s">
        <v>11102</v>
      </c>
      <c r="B6122" t="s">
        <v>11103</v>
      </c>
      <c r="C6122" t="s">
        <v>63</v>
      </c>
      <c r="D6122" t="s">
        <v>11104</v>
      </c>
      <c r="E6122" t="s">
        <v>5778</v>
      </c>
      <c r="F6122" s="2" t="str">
        <f>HYPERLINK("http://www.otzar.org/book.asp?162198","בני חי &lt;הוצאה חדשה&gt;")</f>
        <v>בני חי &lt;הוצאה חדשה&gt;</v>
      </c>
    </row>
    <row r="6123" spans="1:6" x14ac:dyDescent="0.2">
      <c r="A6123" t="s">
        <v>11105</v>
      </c>
      <c r="B6123" t="s">
        <v>11103</v>
      </c>
      <c r="C6123" t="s">
        <v>63</v>
      </c>
      <c r="D6123" t="s">
        <v>11104</v>
      </c>
      <c r="E6123" t="s">
        <v>5778</v>
      </c>
      <c r="F6123" s="2" t="str">
        <f>HYPERLINK("http://www.otzar.org/book.asp?162206","בני חי - א")</f>
        <v>בני חי - א</v>
      </c>
    </row>
    <row r="6124" spans="1:6" x14ac:dyDescent="0.2">
      <c r="A6124" t="s">
        <v>11106</v>
      </c>
      <c r="B6124" t="s">
        <v>11107</v>
      </c>
      <c r="C6124" t="s">
        <v>5619</v>
      </c>
      <c r="D6124" t="s">
        <v>1490</v>
      </c>
      <c r="E6124" t="s">
        <v>325</v>
      </c>
      <c r="F6124" s="2" t="str">
        <f>HYPERLINK("http://www.otzar.org/book.asp?100390","בני חיי")</f>
        <v>בני חיי</v>
      </c>
    </row>
    <row r="6125" spans="1:6" x14ac:dyDescent="0.2">
      <c r="A6125" t="s">
        <v>11108</v>
      </c>
      <c r="B6125" t="s">
        <v>11109</v>
      </c>
      <c r="C6125" t="s">
        <v>129</v>
      </c>
      <c r="D6125" t="s">
        <v>14</v>
      </c>
      <c r="E6125" t="s">
        <v>11110</v>
      </c>
      <c r="F6125" s="2" t="str">
        <f>HYPERLINK("http://www.otzar.org/book.asp?142815","בני חיי - מנחה בלולה")</f>
        <v>בני חיי - מנחה בלולה</v>
      </c>
    </row>
    <row r="6126" spans="1:6" x14ac:dyDescent="0.2">
      <c r="A6126" t="s">
        <v>11111</v>
      </c>
      <c r="B6126" t="s">
        <v>4640</v>
      </c>
      <c r="C6126" t="s">
        <v>133</v>
      </c>
      <c r="D6126" t="s">
        <v>52</v>
      </c>
      <c r="E6126" t="s">
        <v>104</v>
      </c>
      <c r="F6126" s="2" t="str">
        <f>HYPERLINK("http://www.otzar.org/book.asp?612707","בני חיל - 3 כר'")</f>
        <v>בני חיל - 3 כר'</v>
      </c>
    </row>
    <row r="6127" spans="1:6" x14ac:dyDescent="0.2">
      <c r="A6127" t="s">
        <v>11112</v>
      </c>
      <c r="B6127" t="s">
        <v>11113</v>
      </c>
      <c r="C6127" t="s">
        <v>143</v>
      </c>
      <c r="D6127" t="s">
        <v>14</v>
      </c>
      <c r="E6127" t="s">
        <v>144</v>
      </c>
      <c r="F6127" s="2" t="str">
        <f>HYPERLINK("http://www.otzar.org/book.asp?179837","בני חיל - 4 כר'")</f>
        <v>בני חיל - 4 כר'</v>
      </c>
    </row>
    <row r="6128" spans="1:6" x14ac:dyDescent="0.2">
      <c r="A6128" t="s">
        <v>11114</v>
      </c>
      <c r="B6128" t="s">
        <v>1750</v>
      </c>
      <c r="C6128" t="s">
        <v>111</v>
      </c>
      <c r="D6128" t="s">
        <v>152</v>
      </c>
      <c r="E6128" t="s">
        <v>202</v>
      </c>
      <c r="F6128" s="2" t="str">
        <f>HYPERLINK("http://www.otzar.org/book.asp?625431","בני חיל")</f>
        <v>בני חיל</v>
      </c>
    </row>
    <row r="6129" spans="1:6" x14ac:dyDescent="0.2">
      <c r="A6129" t="s">
        <v>11115</v>
      </c>
      <c r="B6129" t="s">
        <v>10154</v>
      </c>
      <c r="C6129" t="s">
        <v>4687</v>
      </c>
      <c r="D6129" t="s">
        <v>212</v>
      </c>
      <c r="E6129" t="s">
        <v>10</v>
      </c>
      <c r="F6129" s="2" t="str">
        <f>HYPERLINK("http://www.otzar.org/book.asp?155605","בני יהודה (לחם יהודה - בית יהודה)")</f>
        <v>בני יהודה (לחם יהודה - בית יהודה)</v>
      </c>
    </row>
    <row r="6130" spans="1:6" x14ac:dyDescent="0.2">
      <c r="A6130" t="s">
        <v>11116</v>
      </c>
      <c r="B6130" t="s">
        <v>11117</v>
      </c>
      <c r="C6130" t="s">
        <v>189</v>
      </c>
      <c r="D6130" t="s">
        <v>14</v>
      </c>
      <c r="E6130" t="s">
        <v>4455</v>
      </c>
      <c r="F6130" s="2" t="str">
        <f>HYPERLINK("http://www.otzar.org/book.asp?61619","בני יהודה - 4 כר'")</f>
        <v>בני יהודה - 4 כר'</v>
      </c>
    </row>
    <row r="6131" spans="1:6" x14ac:dyDescent="0.2">
      <c r="A6131" t="s">
        <v>11118</v>
      </c>
      <c r="B6131" t="s">
        <v>11119</v>
      </c>
      <c r="C6131" t="s">
        <v>37</v>
      </c>
      <c r="D6131" t="s">
        <v>14</v>
      </c>
      <c r="E6131" t="s">
        <v>8785</v>
      </c>
      <c r="F6131" s="2" t="str">
        <f>HYPERLINK("http://www.otzar.org/book.asp?180040","בני יהודה - חמדת אריה")</f>
        <v>בני יהודה - חמדת אריה</v>
      </c>
    </row>
    <row r="6132" spans="1:6" x14ac:dyDescent="0.2">
      <c r="A6132" t="s">
        <v>11120</v>
      </c>
      <c r="B6132" t="s">
        <v>10154</v>
      </c>
      <c r="C6132" t="s">
        <v>4687</v>
      </c>
      <c r="D6132" t="s">
        <v>212</v>
      </c>
      <c r="E6132" t="s">
        <v>474</v>
      </c>
      <c r="F6132" s="2" t="str">
        <f>HYPERLINK("http://www.otzar.org/book.asp?28313","בני יהודה - (חלק ממנו)")</f>
        <v>בני יהודה - (חלק ממנו)</v>
      </c>
    </row>
    <row r="6133" spans="1:6" x14ac:dyDescent="0.2">
      <c r="A6133" t="s">
        <v>11121</v>
      </c>
      <c r="B6133" t="s">
        <v>11122</v>
      </c>
      <c r="C6133" t="s">
        <v>244</v>
      </c>
      <c r="D6133" t="s">
        <v>4519</v>
      </c>
      <c r="E6133" t="s">
        <v>144</v>
      </c>
      <c r="F6133" s="2" t="str">
        <f>HYPERLINK("http://www.otzar.org/book.asp?624672","בני יהוידע")</f>
        <v>בני יהוידע</v>
      </c>
    </row>
    <row r="6134" spans="1:6" x14ac:dyDescent="0.2">
      <c r="A6134" t="s">
        <v>11123</v>
      </c>
      <c r="B6134" t="s">
        <v>11124</v>
      </c>
      <c r="C6134" t="s">
        <v>189</v>
      </c>
      <c r="D6134" t="s">
        <v>14</v>
      </c>
      <c r="E6134" t="s">
        <v>148</v>
      </c>
      <c r="F6134" s="2" t="str">
        <f>HYPERLINK("http://www.otzar.org/book.asp?154636","בני יונה &lt;מהדורה חדשה&gt; - יובל שי")</f>
        <v>בני יונה &lt;מהדורה חדשה&gt; - יובל שי</v>
      </c>
    </row>
    <row r="6135" spans="1:6" x14ac:dyDescent="0.2">
      <c r="A6135" t="s">
        <v>11125</v>
      </c>
      <c r="B6135" t="s">
        <v>11126</v>
      </c>
      <c r="C6135" t="s">
        <v>11127</v>
      </c>
      <c r="D6135" t="s">
        <v>744</v>
      </c>
      <c r="E6135" t="s">
        <v>15</v>
      </c>
      <c r="F6135" s="2" t="str">
        <f>HYPERLINK("http://www.otzar.org/book.asp?8616","בני יונה")</f>
        <v>בני יונה</v>
      </c>
    </row>
    <row r="6136" spans="1:6" x14ac:dyDescent="0.2">
      <c r="A6136" t="s">
        <v>11128</v>
      </c>
      <c r="B6136" t="s">
        <v>11129</v>
      </c>
      <c r="C6136" t="s">
        <v>1940</v>
      </c>
      <c r="D6136" t="s">
        <v>212</v>
      </c>
      <c r="E6136" t="s">
        <v>11130</v>
      </c>
      <c r="F6136" s="2" t="str">
        <f>HYPERLINK("http://www.otzar.org/book.asp?100184","בני יוסף")</f>
        <v>בני יוסף</v>
      </c>
    </row>
    <row r="6137" spans="1:6" x14ac:dyDescent="0.2">
      <c r="A6137" t="s">
        <v>11128</v>
      </c>
      <c r="B6137" t="s">
        <v>11131</v>
      </c>
      <c r="C6137" t="s">
        <v>10538</v>
      </c>
      <c r="D6137" t="s">
        <v>76</v>
      </c>
      <c r="E6137" t="s">
        <v>474</v>
      </c>
      <c r="F6137" s="2" t="str">
        <f>HYPERLINK("http://www.otzar.org/book.asp?17328","בני יוסף")</f>
        <v>בני יוסף</v>
      </c>
    </row>
    <row r="6138" spans="1:6" x14ac:dyDescent="0.2">
      <c r="A6138" t="s">
        <v>11128</v>
      </c>
      <c r="B6138" t="s">
        <v>11132</v>
      </c>
      <c r="C6138" t="s">
        <v>752</v>
      </c>
      <c r="D6138" t="s">
        <v>11133</v>
      </c>
      <c r="E6138" t="s">
        <v>84</v>
      </c>
      <c r="F6138" s="2" t="str">
        <f>HYPERLINK("http://www.otzar.org/book.asp?300500","בני יוסף")</f>
        <v>בני יוסף</v>
      </c>
    </row>
    <row r="6139" spans="1:6" x14ac:dyDescent="0.2">
      <c r="A6139" t="s">
        <v>11128</v>
      </c>
      <c r="B6139" t="s">
        <v>11134</v>
      </c>
      <c r="C6139" t="s">
        <v>351</v>
      </c>
      <c r="D6139" t="s">
        <v>14</v>
      </c>
      <c r="E6139" t="s">
        <v>154</v>
      </c>
      <c r="F6139" s="2" t="str">
        <f>HYPERLINK("http://www.otzar.org/book.asp?849","בני יוסף")</f>
        <v>בני יוסף</v>
      </c>
    </row>
    <row r="6140" spans="1:6" x14ac:dyDescent="0.2">
      <c r="A6140" t="s">
        <v>11128</v>
      </c>
      <c r="B6140" t="s">
        <v>11083</v>
      </c>
      <c r="C6140" t="s">
        <v>5903</v>
      </c>
      <c r="D6140" t="s">
        <v>855</v>
      </c>
      <c r="E6140" t="s">
        <v>158</v>
      </c>
      <c r="F6140" s="2" t="str">
        <f>HYPERLINK("http://www.otzar.org/book.asp?7250","בני יוסף")</f>
        <v>בני יוסף</v>
      </c>
    </row>
    <row r="6141" spans="1:6" x14ac:dyDescent="0.2">
      <c r="A6141" t="s">
        <v>11135</v>
      </c>
      <c r="B6141" t="s">
        <v>11136</v>
      </c>
      <c r="C6141" t="s">
        <v>908</v>
      </c>
      <c r="D6141" t="s">
        <v>1889</v>
      </c>
      <c r="E6141" t="s">
        <v>241</v>
      </c>
      <c r="F6141" s="2" t="str">
        <f>HYPERLINK("http://www.otzar.org/book.asp?300565","בני יעקב - א")</f>
        <v>בני יעקב - א</v>
      </c>
    </row>
    <row r="6142" spans="1:6" x14ac:dyDescent="0.2">
      <c r="A6142" t="s">
        <v>11137</v>
      </c>
      <c r="B6142" t="s">
        <v>11138</v>
      </c>
      <c r="C6142" t="s">
        <v>313</v>
      </c>
      <c r="D6142" t="s">
        <v>14</v>
      </c>
      <c r="E6142" t="s">
        <v>148</v>
      </c>
      <c r="F6142" s="2" t="str">
        <f>HYPERLINK("http://www.otzar.org/book.asp?50185","בני יעקב - 4 כר'")</f>
        <v>בני יעקב - 4 כר'</v>
      </c>
    </row>
    <row r="6143" spans="1:6" x14ac:dyDescent="0.2">
      <c r="A6143" t="s">
        <v>11139</v>
      </c>
      <c r="B6143" t="s">
        <v>11140</v>
      </c>
      <c r="C6143" t="s">
        <v>884</v>
      </c>
      <c r="D6143" t="s">
        <v>1490</v>
      </c>
      <c r="E6143" t="s">
        <v>952</v>
      </c>
      <c r="F6143" s="2" t="str">
        <f>HYPERLINK("http://www.otzar.org/book.asp?100185","בני יעקב")</f>
        <v>בני יעקב</v>
      </c>
    </row>
    <row r="6144" spans="1:6" x14ac:dyDescent="0.2">
      <c r="A6144" t="s">
        <v>11141</v>
      </c>
      <c r="B6144" t="s">
        <v>11142</v>
      </c>
      <c r="C6144" t="s">
        <v>4538</v>
      </c>
      <c r="D6144" t="s">
        <v>76</v>
      </c>
      <c r="E6144" t="s">
        <v>11143</v>
      </c>
      <c r="F6144" s="2" t="str">
        <f>HYPERLINK("http://www.otzar.org/book.asp?17329","בני יצחק")</f>
        <v>בני יצחק</v>
      </c>
    </row>
    <row r="6145" spans="1:6" x14ac:dyDescent="0.2">
      <c r="A6145" t="s">
        <v>11144</v>
      </c>
      <c r="B6145" t="s">
        <v>11145</v>
      </c>
      <c r="C6145" t="s">
        <v>503</v>
      </c>
      <c r="D6145" t="s">
        <v>27</v>
      </c>
      <c r="F6145" s="2" t="str">
        <f>HYPERLINK("http://www.otzar.org/book.asp?151544","בני ישחק")</f>
        <v>בני ישחק</v>
      </c>
    </row>
    <row r="6146" spans="1:6" x14ac:dyDescent="0.2">
      <c r="A6146" t="s">
        <v>11146</v>
      </c>
      <c r="B6146" t="s">
        <v>11147</v>
      </c>
      <c r="C6146" t="s">
        <v>438</v>
      </c>
      <c r="D6146" t="s">
        <v>14</v>
      </c>
      <c r="E6146" t="s">
        <v>733</v>
      </c>
      <c r="F6146" s="2" t="str">
        <f>HYPERLINK("http://www.otzar.org/book.asp?163265","בני ישראל - ב (מסמכים וסיכומים)")</f>
        <v>בני ישראל - ב (מסמכים וסיכומים)</v>
      </c>
    </row>
    <row r="6147" spans="1:6" x14ac:dyDescent="0.2">
      <c r="A6147" t="s">
        <v>11148</v>
      </c>
      <c r="B6147" t="s">
        <v>11149</v>
      </c>
      <c r="C6147" t="s">
        <v>419</v>
      </c>
      <c r="D6147" t="s">
        <v>412</v>
      </c>
      <c r="E6147" t="s">
        <v>144</v>
      </c>
      <c r="F6147" s="2" t="str">
        <f>HYPERLINK("http://www.otzar.org/book.asp?64017","בני ישראל")</f>
        <v>בני ישראל</v>
      </c>
    </row>
    <row r="6148" spans="1:6" x14ac:dyDescent="0.2">
      <c r="A6148" t="s">
        <v>11150</v>
      </c>
      <c r="B6148" t="s">
        <v>1264</v>
      </c>
      <c r="C6148" t="s">
        <v>129</v>
      </c>
      <c r="D6148" t="s">
        <v>14</v>
      </c>
      <c r="E6148" t="s">
        <v>3055</v>
      </c>
      <c r="F6148" s="2" t="str">
        <f>HYPERLINK("http://www.otzar.org/book.asp?159577","בני יששכר &lt;מהדורה חדשה מנוקדת&gt; - 2 כר'")</f>
        <v>בני יששכר &lt;מהדורה חדשה מנוקדת&gt; - 2 כר'</v>
      </c>
    </row>
    <row r="6149" spans="1:6" x14ac:dyDescent="0.2">
      <c r="A6149" t="s">
        <v>11151</v>
      </c>
      <c r="B6149" t="s">
        <v>1264</v>
      </c>
      <c r="C6149" t="s">
        <v>13</v>
      </c>
      <c r="D6149" t="s">
        <v>52</v>
      </c>
      <c r="E6149" t="s">
        <v>230</v>
      </c>
      <c r="F6149" s="2" t="str">
        <f>HYPERLINK("http://www.otzar.org/book.asp?188986","בני יששכר &lt;מהדורת מכון בני שלשים&gt; - 2 כר'")</f>
        <v>בני יששכר &lt;מהדורת מכון בני שלשים&gt; - 2 כר'</v>
      </c>
    </row>
    <row r="6150" spans="1:6" x14ac:dyDescent="0.2">
      <c r="A6150" t="s">
        <v>11152</v>
      </c>
      <c r="B6150" t="s">
        <v>1264</v>
      </c>
      <c r="C6150" t="s">
        <v>189</v>
      </c>
      <c r="D6150" t="s">
        <v>52</v>
      </c>
      <c r="E6150" t="s">
        <v>6078</v>
      </c>
      <c r="F6150" s="2" t="str">
        <f>HYPERLINK("http://www.otzar.org/book.asp?50045","בני יששכר &lt;עם ביאור הצבי והצדק&gt; - 5 כר'")</f>
        <v>בני יששכר &lt;עם ביאור הצבי והצדק&gt; - 5 כר'</v>
      </c>
    </row>
    <row r="6151" spans="1:6" x14ac:dyDescent="0.2">
      <c r="A6151" t="s">
        <v>11153</v>
      </c>
      <c r="B6151" t="s">
        <v>1264</v>
      </c>
      <c r="C6151" t="s">
        <v>37</v>
      </c>
      <c r="D6151" t="s">
        <v>646</v>
      </c>
      <c r="E6151" t="s">
        <v>140</v>
      </c>
      <c r="F6151" s="2" t="str">
        <f>HYPERLINK("http://www.otzar.org/book.asp?606164","בני יששכר &lt;עם ביאור יודעי בינה&gt; - 6 כר'")</f>
        <v>בני יששכר &lt;עם ביאור יודעי בינה&gt; - 6 כר'</v>
      </c>
    </row>
    <row r="6152" spans="1:6" x14ac:dyDescent="0.2">
      <c r="A6152" t="s">
        <v>11154</v>
      </c>
      <c r="B6152" t="s">
        <v>1264</v>
      </c>
      <c r="C6152" t="s">
        <v>4374</v>
      </c>
      <c r="D6152" t="s">
        <v>5258</v>
      </c>
      <c r="F6152" s="2" t="str">
        <f>HYPERLINK("http://www.otzar.org/book.asp?170203","בני יששכר מאמר שבתות ד' ור""ח &lt;דפו""ר&gt;")</f>
        <v>בני יששכר מאמר שבתות ד' ור"ח &lt;דפו"ר&gt;</v>
      </c>
    </row>
    <row r="6153" spans="1:6" x14ac:dyDescent="0.2">
      <c r="A6153" t="s">
        <v>11155</v>
      </c>
      <c r="B6153" t="s">
        <v>1264</v>
      </c>
      <c r="C6153" t="s">
        <v>985</v>
      </c>
      <c r="D6153" t="s">
        <v>412</v>
      </c>
      <c r="E6153" t="s">
        <v>140</v>
      </c>
      <c r="F6153" s="2" t="str">
        <f>HYPERLINK("http://www.otzar.org/book.asp?105852","בני יששכר - 3 כר'")</f>
        <v>בני יששכר - 3 כר'</v>
      </c>
    </row>
    <row r="6154" spans="1:6" x14ac:dyDescent="0.2">
      <c r="A6154" t="s">
        <v>11156</v>
      </c>
      <c r="B6154" t="s">
        <v>11157</v>
      </c>
      <c r="C6154" t="s">
        <v>2644</v>
      </c>
      <c r="D6154" t="s">
        <v>889</v>
      </c>
      <c r="E6154" t="s">
        <v>564</v>
      </c>
      <c r="F6154" s="2" t="str">
        <f>HYPERLINK("http://www.otzar.org/book.asp?300591","בני לוי")</f>
        <v>בני לוי</v>
      </c>
    </row>
    <row r="6155" spans="1:6" x14ac:dyDescent="0.2">
      <c r="A6155" t="s">
        <v>11156</v>
      </c>
      <c r="B6155" t="s">
        <v>11158</v>
      </c>
      <c r="C6155" t="s">
        <v>1177</v>
      </c>
      <c r="D6155" t="s">
        <v>56</v>
      </c>
      <c r="E6155" t="s">
        <v>396</v>
      </c>
      <c r="F6155" s="2" t="str">
        <f>HYPERLINK("http://www.otzar.org/book.asp?19285","בני לוי")</f>
        <v>בני לוי</v>
      </c>
    </row>
    <row r="6156" spans="1:6" x14ac:dyDescent="0.2">
      <c r="A6156" t="s">
        <v>11159</v>
      </c>
      <c r="B6156" t="s">
        <v>10458</v>
      </c>
      <c r="C6156" t="s">
        <v>1228</v>
      </c>
      <c r="D6156" t="s">
        <v>322</v>
      </c>
      <c r="E6156" t="s">
        <v>733</v>
      </c>
      <c r="F6156" s="2" t="str">
        <f>HYPERLINK("http://www.otzar.org/book.asp?17330","בני לנדא למשפחותם")</f>
        <v>בני לנדא למשפחותם</v>
      </c>
    </row>
    <row r="6157" spans="1:6" x14ac:dyDescent="0.2">
      <c r="A6157" t="s">
        <v>11160</v>
      </c>
      <c r="B6157" t="s">
        <v>11161</v>
      </c>
      <c r="C6157" t="s">
        <v>473</v>
      </c>
      <c r="D6157" t="s">
        <v>27</v>
      </c>
      <c r="E6157" t="s">
        <v>234</v>
      </c>
      <c r="F6157" s="2" t="str">
        <f>HYPERLINK("http://www.otzar.org/book.asp?300586","בני מאיר")</f>
        <v>בני מאיר</v>
      </c>
    </row>
    <row r="6158" spans="1:6" x14ac:dyDescent="0.2">
      <c r="A6158" t="s">
        <v>11162</v>
      </c>
      <c r="B6158" t="s">
        <v>7861</v>
      </c>
      <c r="C6158" t="s">
        <v>1811</v>
      </c>
      <c r="D6158" t="s">
        <v>216</v>
      </c>
      <c r="E6158" t="s">
        <v>3773</v>
      </c>
      <c r="F6158" s="2" t="str">
        <f>HYPERLINK("http://www.otzar.org/book.asp?10343","בני מחשבה טובה")</f>
        <v>בני מחשבה טובה</v>
      </c>
    </row>
    <row r="6159" spans="1:6" x14ac:dyDescent="0.2">
      <c r="A6159" t="s">
        <v>11163</v>
      </c>
      <c r="B6159" t="s">
        <v>905</v>
      </c>
      <c r="C6159" t="s">
        <v>785</v>
      </c>
      <c r="D6159" t="s">
        <v>14</v>
      </c>
      <c r="E6159" t="s">
        <v>119</v>
      </c>
      <c r="F6159" s="2" t="str">
        <f>HYPERLINK("http://www.otzar.org/book.asp?63177","בני מלכים &lt;הספר העברי במרוקו&gt;")</f>
        <v>בני מלכים &lt;הספר העברי במרוקו&gt;</v>
      </c>
    </row>
    <row r="6160" spans="1:6" x14ac:dyDescent="0.2">
      <c r="A6160" t="s">
        <v>11164</v>
      </c>
      <c r="B6160" t="s">
        <v>1600</v>
      </c>
      <c r="C6160" t="s">
        <v>129</v>
      </c>
      <c r="D6160" t="s">
        <v>14</v>
      </c>
      <c r="E6160" t="s">
        <v>15</v>
      </c>
      <c r="F6160" s="2" t="str">
        <f>HYPERLINK("http://www.otzar.org/book.asp?60067","בני מרוקו והלכותיהם")</f>
        <v>בני מרוקו והלכותיהם</v>
      </c>
    </row>
    <row r="6161" spans="1:6" x14ac:dyDescent="0.2">
      <c r="A6161" t="s">
        <v>11165</v>
      </c>
      <c r="B6161" t="s">
        <v>11166</v>
      </c>
      <c r="C6161" t="s">
        <v>133</v>
      </c>
      <c r="D6161" t="s">
        <v>14</v>
      </c>
      <c r="E6161" t="s">
        <v>15</v>
      </c>
      <c r="F6161" s="2" t="str">
        <f>HYPERLINK("http://www.otzar.org/book.asp?173211","בני משה &lt;מהדורה חדשה&gt;")</f>
        <v>בני משה &lt;מהדורה חדשה&gt;</v>
      </c>
    </row>
    <row r="6162" spans="1:6" x14ac:dyDescent="0.2">
      <c r="A6162" t="s">
        <v>11167</v>
      </c>
      <c r="B6162" t="s">
        <v>11168</v>
      </c>
      <c r="C6162" t="s">
        <v>2644</v>
      </c>
      <c r="D6162" t="s">
        <v>27</v>
      </c>
      <c r="E6162" t="s">
        <v>11169</v>
      </c>
      <c r="F6162" s="2" t="str">
        <f>HYPERLINK("http://www.otzar.org/book.asp?102900","בני משה")</f>
        <v>בני משה</v>
      </c>
    </row>
    <row r="6163" spans="1:6" x14ac:dyDescent="0.2">
      <c r="A6163" t="s">
        <v>11167</v>
      </c>
      <c r="B6163" t="s">
        <v>11170</v>
      </c>
      <c r="C6163" t="s">
        <v>419</v>
      </c>
      <c r="D6163" t="s">
        <v>14</v>
      </c>
      <c r="E6163" t="s">
        <v>325</v>
      </c>
      <c r="F6163" s="2" t="str">
        <f>HYPERLINK("http://www.otzar.org/book.asp?166649","בני משה")</f>
        <v>בני משה</v>
      </c>
    </row>
    <row r="6164" spans="1:6" x14ac:dyDescent="0.2">
      <c r="A6164" t="s">
        <v>11167</v>
      </c>
      <c r="B6164" t="s">
        <v>11166</v>
      </c>
      <c r="C6164" t="s">
        <v>538</v>
      </c>
      <c r="D6164" t="s">
        <v>212</v>
      </c>
      <c r="E6164" t="s">
        <v>15</v>
      </c>
      <c r="F6164" s="2" t="str">
        <f>HYPERLINK("http://www.otzar.org/book.asp?17331","בני משה")</f>
        <v>בני משה</v>
      </c>
    </row>
    <row r="6165" spans="1:6" x14ac:dyDescent="0.2">
      <c r="A6165" t="s">
        <v>11167</v>
      </c>
      <c r="B6165" t="s">
        <v>11171</v>
      </c>
      <c r="C6165" t="s">
        <v>11172</v>
      </c>
      <c r="D6165" t="s">
        <v>1490</v>
      </c>
      <c r="E6165" t="s">
        <v>154</v>
      </c>
      <c r="F6165" s="2" t="str">
        <f>HYPERLINK("http://www.otzar.org/book.asp?100186","בני משה")</f>
        <v>בני משה</v>
      </c>
    </row>
    <row r="6166" spans="1:6" x14ac:dyDescent="0.2">
      <c r="A6166" t="s">
        <v>11173</v>
      </c>
      <c r="B6166" t="s">
        <v>9881</v>
      </c>
      <c r="C6166" t="s">
        <v>1058</v>
      </c>
      <c r="D6166" t="s">
        <v>1422</v>
      </c>
      <c r="E6166" t="s">
        <v>435</v>
      </c>
      <c r="F6166" s="2" t="str">
        <f>HYPERLINK("http://www.otzar.org/book.asp?11131","בני נפתלי")</f>
        <v>בני נפתלי</v>
      </c>
    </row>
    <row r="6167" spans="1:6" x14ac:dyDescent="0.2">
      <c r="A6167" t="s">
        <v>11174</v>
      </c>
      <c r="B6167" t="s">
        <v>11175</v>
      </c>
      <c r="C6167" t="s">
        <v>366</v>
      </c>
      <c r="D6167" t="s">
        <v>646</v>
      </c>
      <c r="E6167" t="s">
        <v>119</v>
      </c>
      <c r="F6167" s="2" t="str">
        <f>HYPERLINK("http://www.otzar.org/book.asp?613865","בני סופרי המלך")</f>
        <v>בני סופרי המלך</v>
      </c>
    </row>
    <row r="6168" spans="1:6" x14ac:dyDescent="0.2">
      <c r="A6168" t="s">
        <v>11176</v>
      </c>
      <c r="B6168" t="s">
        <v>11177</v>
      </c>
      <c r="C6168" t="s">
        <v>1150</v>
      </c>
      <c r="D6168" t="s">
        <v>212</v>
      </c>
      <c r="E6168" t="s">
        <v>803</v>
      </c>
      <c r="F6168" s="2" t="str">
        <f>HYPERLINK("http://www.otzar.org/book.asp?618494","בני סמיכי")</f>
        <v>בני סמיכי</v>
      </c>
    </row>
    <row r="6169" spans="1:6" x14ac:dyDescent="0.2">
      <c r="A6169" t="s">
        <v>11178</v>
      </c>
      <c r="B6169" t="s">
        <v>1750</v>
      </c>
      <c r="C6169" t="s">
        <v>466</v>
      </c>
      <c r="D6169" t="s">
        <v>147</v>
      </c>
      <c r="E6169" t="s">
        <v>202</v>
      </c>
      <c r="F6169" s="2" t="str">
        <f>HYPERLINK("http://www.otzar.org/book.asp?160936","בני עד - א")</f>
        <v>בני עד - א</v>
      </c>
    </row>
    <row r="6170" spans="1:6" x14ac:dyDescent="0.2">
      <c r="A6170" t="s">
        <v>11179</v>
      </c>
      <c r="B6170" t="s">
        <v>11180</v>
      </c>
      <c r="C6170" t="s">
        <v>114</v>
      </c>
      <c r="D6170" t="s">
        <v>14</v>
      </c>
      <c r="E6170" t="s">
        <v>104</v>
      </c>
      <c r="F6170" s="2" t="str">
        <f>HYPERLINK("http://www.otzar.org/book.asp?170509","בני עליה חפצים בחיים")</f>
        <v>בני עליה חפצים בחיים</v>
      </c>
    </row>
    <row r="6171" spans="1:6" x14ac:dyDescent="0.2">
      <c r="A6171" t="s">
        <v>11181</v>
      </c>
      <c r="B6171" t="s">
        <v>1602</v>
      </c>
      <c r="C6171" t="s">
        <v>366</v>
      </c>
      <c r="D6171" t="s">
        <v>14</v>
      </c>
      <c r="E6171" t="s">
        <v>241</v>
      </c>
      <c r="F6171" s="2" t="str">
        <f>HYPERLINK("http://www.otzar.org/book.asp?618696","בני עליה")</f>
        <v>בני עליה</v>
      </c>
    </row>
    <row r="6172" spans="1:6" x14ac:dyDescent="0.2">
      <c r="A6172" t="s">
        <v>11182</v>
      </c>
      <c r="B6172" t="s">
        <v>3949</v>
      </c>
      <c r="C6172" t="s">
        <v>427</v>
      </c>
      <c r="D6172" t="s">
        <v>14</v>
      </c>
      <c r="E6172" t="s">
        <v>104</v>
      </c>
      <c r="F6172" s="2" t="str">
        <f>HYPERLINK("http://www.otzar.org/book.asp?191241","בני עמי")</f>
        <v>בני עמי</v>
      </c>
    </row>
    <row r="6173" spans="1:6" x14ac:dyDescent="0.2">
      <c r="A6173" t="s">
        <v>11183</v>
      </c>
      <c r="B6173" t="s">
        <v>11184</v>
      </c>
      <c r="C6173" t="s">
        <v>71</v>
      </c>
      <c r="D6173" t="s">
        <v>52</v>
      </c>
      <c r="E6173" t="s">
        <v>130</v>
      </c>
      <c r="F6173" s="2" t="str">
        <f>HYPERLINK("http://www.otzar.org/book.asp?157811","בני פרזים ומוקפים - 2 כר'")</f>
        <v>בני פרזים ומוקפים - 2 כר'</v>
      </c>
    </row>
    <row r="6174" spans="1:6" x14ac:dyDescent="0.2">
      <c r="A6174" t="s">
        <v>11185</v>
      </c>
      <c r="B6174" t="s">
        <v>11186</v>
      </c>
      <c r="C6174" t="s">
        <v>103</v>
      </c>
      <c r="D6174" t="s">
        <v>216</v>
      </c>
      <c r="E6174" t="s">
        <v>172</v>
      </c>
      <c r="F6174" s="2" t="str">
        <f>HYPERLINK("http://www.otzar.org/book.asp?178937","בני ציון &lt;מהדורה חדשה&gt;")</f>
        <v>בני ציון &lt;מהדורה חדשה&gt;</v>
      </c>
    </row>
    <row r="6175" spans="1:6" x14ac:dyDescent="0.2">
      <c r="A6175" t="s">
        <v>11187</v>
      </c>
      <c r="B6175" t="s">
        <v>3113</v>
      </c>
      <c r="C6175" t="s">
        <v>1062</v>
      </c>
      <c r="D6175" t="s">
        <v>9</v>
      </c>
      <c r="E6175" t="s">
        <v>154</v>
      </c>
      <c r="F6175" s="2" t="str">
        <f>HYPERLINK("http://www.otzar.org/book.asp?102864","בני ציון")</f>
        <v>בני ציון</v>
      </c>
    </row>
    <row r="6176" spans="1:6" x14ac:dyDescent="0.2">
      <c r="A6176" t="s">
        <v>11187</v>
      </c>
      <c r="B6176" t="s">
        <v>11188</v>
      </c>
      <c r="C6176" t="s">
        <v>767</v>
      </c>
      <c r="D6176" t="s">
        <v>14</v>
      </c>
      <c r="E6176" t="s">
        <v>202</v>
      </c>
      <c r="F6176" s="2" t="str">
        <f>HYPERLINK("http://www.otzar.org/book.asp?172216","בני ציון")</f>
        <v>בני ציון</v>
      </c>
    </row>
    <row r="6177" spans="1:6" x14ac:dyDescent="0.2">
      <c r="A6177" t="s">
        <v>11189</v>
      </c>
      <c r="B6177" t="s">
        <v>11190</v>
      </c>
      <c r="C6177" t="s">
        <v>985</v>
      </c>
      <c r="D6177" t="s">
        <v>14</v>
      </c>
      <c r="E6177" t="s">
        <v>172</v>
      </c>
      <c r="F6177" s="2" t="str">
        <f>HYPERLINK("http://www.otzar.org/book.asp?605018","בני ציון - 6 כר'")</f>
        <v>בני ציון - 6 כר'</v>
      </c>
    </row>
    <row r="6178" spans="1:6" x14ac:dyDescent="0.2">
      <c r="A6178" t="s">
        <v>11187</v>
      </c>
      <c r="B6178" t="s">
        <v>11186</v>
      </c>
      <c r="C6178" t="s">
        <v>462</v>
      </c>
      <c r="D6178" t="s">
        <v>56</v>
      </c>
      <c r="E6178" t="s">
        <v>172</v>
      </c>
      <c r="F6178" s="2" t="str">
        <f>HYPERLINK("http://www.otzar.org/book.asp?15764","בני ציון")</f>
        <v>בני ציון</v>
      </c>
    </row>
    <row r="6179" spans="1:6" x14ac:dyDescent="0.2">
      <c r="A6179" t="s">
        <v>11187</v>
      </c>
      <c r="B6179" t="s">
        <v>11191</v>
      </c>
      <c r="C6179" t="s">
        <v>23</v>
      </c>
      <c r="D6179" t="s">
        <v>80</v>
      </c>
      <c r="E6179" t="s">
        <v>474</v>
      </c>
      <c r="F6179" s="2" t="str">
        <f>HYPERLINK("http://www.otzar.org/book.asp?191804","בני ציון")</f>
        <v>בני ציון</v>
      </c>
    </row>
    <row r="6180" spans="1:6" x14ac:dyDescent="0.2">
      <c r="A6180" t="s">
        <v>11192</v>
      </c>
      <c r="B6180" t="s">
        <v>1750</v>
      </c>
      <c r="C6180" t="s">
        <v>176</v>
      </c>
      <c r="D6180" t="s">
        <v>14</v>
      </c>
      <c r="F6180" s="2" t="str">
        <f>HYPERLINK("http://www.otzar.org/book.asp?625845","בני ציון - א")</f>
        <v>בני ציון - א</v>
      </c>
    </row>
    <row r="6181" spans="1:6" x14ac:dyDescent="0.2">
      <c r="A6181" t="s">
        <v>11193</v>
      </c>
      <c r="B6181" t="s">
        <v>11194</v>
      </c>
      <c r="C6181" t="s">
        <v>2017</v>
      </c>
      <c r="D6181" t="s">
        <v>27</v>
      </c>
      <c r="E6181" t="s">
        <v>154</v>
      </c>
      <c r="F6181" s="2" t="str">
        <f>HYPERLINK("http://www.otzar.org/book.asp?13809","בני ציון - 3 כר'")</f>
        <v>בני ציון - 3 כר'</v>
      </c>
    </row>
    <row r="6182" spans="1:6" x14ac:dyDescent="0.2">
      <c r="A6182" t="s">
        <v>11195</v>
      </c>
      <c r="B6182" t="s">
        <v>11196</v>
      </c>
      <c r="C6182" t="s">
        <v>20</v>
      </c>
      <c r="D6182" t="s">
        <v>52</v>
      </c>
      <c r="E6182" t="s">
        <v>872</v>
      </c>
      <c r="F6182" s="2" t="str">
        <f>HYPERLINK("http://www.otzar.org/book.asp?63850","בני ראם &lt;מחידושי הגר""א גנחובסקי&gt;")</f>
        <v>בני ראם &lt;מחידושי הגר"א גנחובסקי&gt;</v>
      </c>
    </row>
    <row r="6183" spans="1:6" x14ac:dyDescent="0.2">
      <c r="A6183" t="s">
        <v>11197</v>
      </c>
      <c r="B6183" t="s">
        <v>11198</v>
      </c>
      <c r="C6183" t="s">
        <v>492</v>
      </c>
      <c r="D6183" t="s">
        <v>225</v>
      </c>
      <c r="E6183" t="s">
        <v>158</v>
      </c>
      <c r="F6183" s="2" t="str">
        <f>HYPERLINK("http://www.otzar.org/book.asp?15964","בני רשף - א-ב")</f>
        <v>בני רשף - א-ב</v>
      </c>
    </row>
    <row r="6184" spans="1:6" x14ac:dyDescent="0.2">
      <c r="A6184" t="s">
        <v>11199</v>
      </c>
      <c r="B6184" t="s">
        <v>11200</v>
      </c>
      <c r="C6184" t="s">
        <v>17</v>
      </c>
      <c r="D6184" t="s">
        <v>2798</v>
      </c>
      <c r="E6184" t="s">
        <v>11201</v>
      </c>
      <c r="F6184" s="2" t="str">
        <f>HYPERLINK("http://www.otzar.org/book.asp?173135","בני שלמה - 3 כר'")</f>
        <v>בני שלמה - 3 כר'</v>
      </c>
    </row>
    <row r="6185" spans="1:6" x14ac:dyDescent="0.2">
      <c r="A6185" t="s">
        <v>11202</v>
      </c>
      <c r="B6185" t="s">
        <v>686</v>
      </c>
      <c r="C6185" t="s">
        <v>454</v>
      </c>
      <c r="D6185" t="s">
        <v>52</v>
      </c>
      <c r="E6185" t="s">
        <v>104</v>
      </c>
      <c r="F6185" s="2" t="str">
        <f>HYPERLINK("http://www.otzar.org/book.asp?153341","בני שלמה")</f>
        <v>בני שלמה</v>
      </c>
    </row>
    <row r="6186" spans="1:6" x14ac:dyDescent="0.2">
      <c r="A6186" t="s">
        <v>11203</v>
      </c>
      <c r="B6186" t="s">
        <v>11204</v>
      </c>
      <c r="C6186" t="s">
        <v>454</v>
      </c>
      <c r="D6186" t="s">
        <v>367</v>
      </c>
      <c r="E6186" t="s">
        <v>158</v>
      </c>
      <c r="F6186" s="2" t="str">
        <f>HYPERLINK("http://www.otzar.org/book.asp?171109","בני שלמה - משלי")</f>
        <v>בני שלמה - משלי</v>
      </c>
    </row>
    <row r="6187" spans="1:6" x14ac:dyDescent="0.2">
      <c r="A6187" t="s">
        <v>11205</v>
      </c>
      <c r="B6187" t="s">
        <v>11206</v>
      </c>
      <c r="C6187" t="s">
        <v>103</v>
      </c>
      <c r="D6187" t="s">
        <v>52</v>
      </c>
      <c r="E6187" t="s">
        <v>234</v>
      </c>
      <c r="F6187" s="2" t="str">
        <f>HYPERLINK("http://www.otzar.org/book.asp?21839","בני שלשים - 3 כר'")</f>
        <v>בני שלשים - 3 כר'</v>
      </c>
    </row>
    <row r="6188" spans="1:6" x14ac:dyDescent="0.2">
      <c r="A6188" t="s">
        <v>11207</v>
      </c>
      <c r="B6188" t="s">
        <v>11208</v>
      </c>
      <c r="C6188" t="s">
        <v>11209</v>
      </c>
      <c r="D6188" t="s">
        <v>76</v>
      </c>
      <c r="E6188" t="s">
        <v>345</v>
      </c>
      <c r="F6188" s="2" t="str">
        <f>HYPERLINK("http://www.otzar.org/book.asp?141307","בני שמואל - 3 כר'")</f>
        <v>בני שמואל - 3 כר'</v>
      </c>
    </row>
    <row r="6189" spans="1:6" x14ac:dyDescent="0.2">
      <c r="A6189" t="s">
        <v>11210</v>
      </c>
      <c r="B6189" t="s">
        <v>11211</v>
      </c>
      <c r="C6189" t="s">
        <v>8890</v>
      </c>
      <c r="D6189" t="s">
        <v>60</v>
      </c>
      <c r="E6189" t="s">
        <v>158</v>
      </c>
      <c r="F6189" s="2" t="str">
        <f>HYPERLINK("http://www.otzar.org/book.asp?15726","בני שמואל")</f>
        <v>בני שמואל</v>
      </c>
    </row>
    <row r="6190" spans="1:6" x14ac:dyDescent="0.2">
      <c r="A6190" t="s">
        <v>11210</v>
      </c>
      <c r="B6190" t="s">
        <v>11212</v>
      </c>
      <c r="C6190" t="s">
        <v>2306</v>
      </c>
      <c r="D6190" t="s">
        <v>212</v>
      </c>
      <c r="E6190" t="s">
        <v>11213</v>
      </c>
      <c r="F6190" s="2" t="str">
        <f>HYPERLINK("http://www.otzar.org/book.asp?100426","בני שמואל")</f>
        <v>בני שמואל</v>
      </c>
    </row>
    <row r="6191" spans="1:6" x14ac:dyDescent="0.2">
      <c r="A6191" t="s">
        <v>11214</v>
      </c>
      <c r="B6191" t="s">
        <v>1600</v>
      </c>
      <c r="C6191" t="s">
        <v>129</v>
      </c>
      <c r="D6191" t="s">
        <v>14</v>
      </c>
      <c r="E6191" t="s">
        <v>104</v>
      </c>
      <c r="F6191" s="2" t="str">
        <f>HYPERLINK("http://www.otzar.org/book.asp?53629","בני תימן והלכותיהם")</f>
        <v>בני תימן והלכותיהם</v>
      </c>
    </row>
    <row r="6192" spans="1:6" x14ac:dyDescent="0.2">
      <c r="A6192" t="s">
        <v>11215</v>
      </c>
      <c r="B6192" t="s">
        <v>11216</v>
      </c>
      <c r="C6192" t="s">
        <v>395</v>
      </c>
      <c r="D6192" t="s">
        <v>379</v>
      </c>
      <c r="E6192" t="s">
        <v>144</v>
      </c>
      <c r="F6192" s="2" t="str">
        <f>HYPERLINK("http://www.otzar.org/book.asp?300588","בני""ן אה""ל מועד")</f>
        <v>בני"ן אה"ל מועד</v>
      </c>
    </row>
    <row r="6193" spans="1:6" x14ac:dyDescent="0.2">
      <c r="A6193" t="s">
        <v>11217</v>
      </c>
      <c r="B6193" t="s">
        <v>11218</v>
      </c>
      <c r="C6193" t="s">
        <v>360</v>
      </c>
      <c r="D6193" t="s">
        <v>27</v>
      </c>
      <c r="E6193" t="s">
        <v>3755</v>
      </c>
      <c r="F6193" s="2" t="str">
        <f>HYPERLINK("http://www.otzar.org/book.asp?6025","בניהו בן יהוידע")</f>
        <v>בניהו בן יהוידע</v>
      </c>
    </row>
    <row r="6194" spans="1:6" x14ac:dyDescent="0.2">
      <c r="A6194" t="s">
        <v>11219</v>
      </c>
      <c r="B6194" t="s">
        <v>206</v>
      </c>
      <c r="C6194" t="s">
        <v>146</v>
      </c>
      <c r="D6194" t="s">
        <v>14</v>
      </c>
      <c r="E6194" t="s">
        <v>104</v>
      </c>
      <c r="F6194" s="2" t="str">
        <f>HYPERLINK("http://www.otzar.org/book.asp?612160","בניך כשתילי זיתים")</f>
        <v>בניך כשתילי זיתים</v>
      </c>
    </row>
    <row r="6195" spans="1:6" x14ac:dyDescent="0.2">
      <c r="A6195" t="s">
        <v>11220</v>
      </c>
      <c r="B6195" t="s">
        <v>11221</v>
      </c>
      <c r="C6195" t="s">
        <v>13</v>
      </c>
      <c r="D6195" t="s">
        <v>14</v>
      </c>
      <c r="E6195" t="s">
        <v>241</v>
      </c>
      <c r="F6195" s="2" t="str">
        <f>HYPERLINK("http://www.otzar.org/book.asp?199928","בניך לימודי ה'")</f>
        <v>בניך לימודי ה'</v>
      </c>
    </row>
    <row r="6196" spans="1:6" x14ac:dyDescent="0.2">
      <c r="A6196" t="s">
        <v>11222</v>
      </c>
      <c r="B6196" t="s">
        <v>686</v>
      </c>
      <c r="C6196" t="s">
        <v>114</v>
      </c>
      <c r="D6196" t="s">
        <v>52</v>
      </c>
      <c r="E6196" t="s">
        <v>674</v>
      </c>
      <c r="F6196" s="2" t="str">
        <f>HYPERLINK("http://www.otzar.org/book.asp?165087","בניך למודי ה'")</f>
        <v>בניך למודי ה'</v>
      </c>
    </row>
    <row r="6197" spans="1:6" x14ac:dyDescent="0.2">
      <c r="A6197" t="s">
        <v>11223</v>
      </c>
      <c r="B6197" t="s">
        <v>11224</v>
      </c>
      <c r="C6197" t="s">
        <v>103</v>
      </c>
      <c r="D6197" t="s">
        <v>2125</v>
      </c>
      <c r="E6197" t="s">
        <v>4738</v>
      </c>
      <c r="F6197" s="2" t="str">
        <f>HYPERLINK("http://www.otzar.org/book.asp?200709","בנים חביבים")</f>
        <v>בנים חביבים</v>
      </c>
    </row>
    <row r="6198" spans="1:6" x14ac:dyDescent="0.2">
      <c r="A6198" t="s">
        <v>11225</v>
      </c>
      <c r="B6198" t="s">
        <v>10750</v>
      </c>
      <c r="C6198" t="s">
        <v>51</v>
      </c>
      <c r="D6198" t="s">
        <v>1180</v>
      </c>
      <c r="E6198" t="s">
        <v>11226</v>
      </c>
      <c r="F6198" s="2" t="str">
        <f>HYPERLINK("http://www.otzar.org/book.asp?51447","בנים למקום")</f>
        <v>בנים למקום</v>
      </c>
    </row>
    <row r="6199" spans="1:6" x14ac:dyDescent="0.2">
      <c r="A6199" t="s">
        <v>11227</v>
      </c>
      <c r="B6199" t="s">
        <v>7608</v>
      </c>
      <c r="C6199" t="s">
        <v>23</v>
      </c>
      <c r="D6199" t="s">
        <v>412</v>
      </c>
      <c r="E6199" t="s">
        <v>84</v>
      </c>
      <c r="F6199" s="2" t="str">
        <f>HYPERLINK("http://www.otzar.org/book.asp?193470","בנים על אבות - 2 כר'")</f>
        <v>בנים על אבות - 2 כר'</v>
      </c>
    </row>
    <row r="6200" spans="1:6" x14ac:dyDescent="0.2">
      <c r="A6200" t="s">
        <v>11228</v>
      </c>
      <c r="B6200" t="s">
        <v>11229</v>
      </c>
      <c r="C6200" t="s">
        <v>37</v>
      </c>
      <c r="D6200" t="s">
        <v>90</v>
      </c>
      <c r="E6200" t="s">
        <v>199</v>
      </c>
      <c r="F6200" s="2" t="str">
        <f>HYPERLINK("http://www.otzar.org/book.asp?620134","בנימין הצדיק - רבי בנימין בצרי")</f>
        <v>בנימין הצדיק - רבי בנימין בצרי</v>
      </c>
    </row>
    <row r="6201" spans="1:6" x14ac:dyDescent="0.2">
      <c r="A6201" t="s">
        <v>11230</v>
      </c>
      <c r="B6201" t="s">
        <v>11231</v>
      </c>
      <c r="C6201" t="s">
        <v>11232</v>
      </c>
      <c r="D6201" t="s">
        <v>49</v>
      </c>
      <c r="F6201" s="2" t="str">
        <f>HYPERLINK("http://www.otzar.org/book.asp?174655","בנימין זאב &lt;דפו""ר&gt; - 2 כר'")</f>
        <v>בנימין זאב &lt;דפו"ר&gt; - 2 כר'</v>
      </c>
    </row>
    <row r="6202" spans="1:6" x14ac:dyDescent="0.2">
      <c r="A6202" t="s">
        <v>11233</v>
      </c>
      <c r="B6202" t="s">
        <v>11234</v>
      </c>
      <c r="C6202" t="s">
        <v>11235</v>
      </c>
      <c r="D6202" t="s">
        <v>855</v>
      </c>
      <c r="E6202" t="s">
        <v>463</v>
      </c>
      <c r="F6202" s="2" t="str">
        <f>HYPERLINK("http://www.otzar.org/book.asp?300590","בנימין זאב אחרון - 3 כר'")</f>
        <v>בנימין זאב אחרון - 3 כר'</v>
      </c>
    </row>
    <row r="6203" spans="1:6" x14ac:dyDescent="0.2">
      <c r="A6203" t="s">
        <v>11236</v>
      </c>
      <c r="B6203" t="s">
        <v>11231</v>
      </c>
      <c r="C6203" t="s">
        <v>1169</v>
      </c>
      <c r="D6203" t="s">
        <v>27</v>
      </c>
      <c r="E6203" t="s">
        <v>154</v>
      </c>
      <c r="F6203" s="2" t="str">
        <f>HYPERLINK("http://www.otzar.org/book.asp?147784","בנימין זאב - 3 כר'")</f>
        <v>בנימין זאב - 3 כר'</v>
      </c>
    </row>
    <row r="6204" spans="1:6" x14ac:dyDescent="0.2">
      <c r="A6204" t="s">
        <v>11237</v>
      </c>
      <c r="B6204" t="s">
        <v>11238</v>
      </c>
      <c r="C6204" t="s">
        <v>332</v>
      </c>
      <c r="D6204" t="s">
        <v>260</v>
      </c>
      <c r="F6204" s="2" t="str">
        <f>HYPERLINK("http://www.otzar.org/book.asp?198434","בנימין צעיר")</f>
        <v>בנימין צעיר</v>
      </c>
    </row>
    <row r="6205" spans="1:6" x14ac:dyDescent="0.2">
      <c r="A6205" t="s">
        <v>11239</v>
      </c>
      <c r="B6205" t="s">
        <v>11240</v>
      </c>
      <c r="C6205" t="s">
        <v>51</v>
      </c>
      <c r="D6205" t="s">
        <v>14</v>
      </c>
      <c r="E6205" t="s">
        <v>158</v>
      </c>
      <c r="F6205" s="2" t="str">
        <f>HYPERLINK("http://www.otzar.org/book.asp?22106","בנין אב &lt;שיחות ומאמרים&gt; - 3 כר'")</f>
        <v>בנין אב &lt;שיחות ומאמרים&gt; - 3 כר'</v>
      </c>
    </row>
    <row r="6206" spans="1:6" x14ac:dyDescent="0.2">
      <c r="A6206" t="s">
        <v>11241</v>
      </c>
      <c r="B6206" t="s">
        <v>11240</v>
      </c>
      <c r="C6206" t="s">
        <v>51</v>
      </c>
      <c r="D6206" t="s">
        <v>14</v>
      </c>
      <c r="E6206" t="s">
        <v>154</v>
      </c>
      <c r="F6206" s="2" t="str">
        <f>HYPERLINK("http://www.otzar.org/book.asp?22102","בנין אב &lt;תשובות ומחקרים&gt; - 6 כר'")</f>
        <v>בנין אב &lt;תשובות ומחקרים&gt; - 6 כר'</v>
      </c>
    </row>
    <row r="6207" spans="1:6" x14ac:dyDescent="0.2">
      <c r="A6207" t="s">
        <v>11242</v>
      </c>
      <c r="B6207" t="s">
        <v>11240</v>
      </c>
      <c r="C6207" t="s">
        <v>37</v>
      </c>
      <c r="D6207" t="s">
        <v>21</v>
      </c>
      <c r="E6207" t="s">
        <v>154</v>
      </c>
      <c r="F6207" s="2" t="str">
        <f>HYPERLINK("http://www.otzar.org/book.asp?191835","בנין אב - 2 כר'")</f>
        <v>בנין אב - 2 כר'</v>
      </c>
    </row>
    <row r="6208" spans="1:6" x14ac:dyDescent="0.2">
      <c r="A6208" t="s">
        <v>11243</v>
      </c>
      <c r="B6208" t="s">
        <v>4112</v>
      </c>
      <c r="C6208" t="s">
        <v>422</v>
      </c>
      <c r="D6208" t="s">
        <v>52</v>
      </c>
      <c r="E6208" t="s">
        <v>234</v>
      </c>
      <c r="F6208" s="2" t="str">
        <f>HYPERLINK("http://www.otzar.org/book.asp?610691","בנין אב")</f>
        <v>בנין אב</v>
      </c>
    </row>
    <row r="6209" spans="1:6" x14ac:dyDescent="0.2">
      <c r="A6209" t="s">
        <v>11243</v>
      </c>
      <c r="B6209" t="s">
        <v>11244</v>
      </c>
      <c r="C6209" t="s">
        <v>168</v>
      </c>
      <c r="D6209" t="s">
        <v>412</v>
      </c>
      <c r="E6209" t="s">
        <v>144</v>
      </c>
      <c r="F6209" s="2" t="str">
        <f>HYPERLINK("http://www.otzar.org/book.asp?196599","בנין אב")</f>
        <v>בנין אב</v>
      </c>
    </row>
    <row r="6210" spans="1:6" x14ac:dyDescent="0.2">
      <c r="A6210" t="s">
        <v>11245</v>
      </c>
      <c r="B6210" t="s">
        <v>11246</v>
      </c>
      <c r="C6210" t="s">
        <v>51</v>
      </c>
      <c r="D6210" t="s">
        <v>14</v>
      </c>
      <c r="E6210" t="s">
        <v>15</v>
      </c>
      <c r="F6210" s="2" t="str">
        <f>HYPERLINK("http://www.otzar.org/book.asp?106168","בנין אדם")</f>
        <v>בנין אדם</v>
      </c>
    </row>
    <row r="6211" spans="1:6" x14ac:dyDescent="0.2">
      <c r="A6211" t="s">
        <v>11247</v>
      </c>
      <c r="B6211" t="s">
        <v>1838</v>
      </c>
      <c r="C6211" t="s">
        <v>20</v>
      </c>
      <c r="D6211" t="s">
        <v>14</v>
      </c>
      <c r="E6211" t="s">
        <v>144</v>
      </c>
      <c r="F6211" s="2" t="str">
        <f>HYPERLINK("http://www.otzar.org/book.asp?608081","בנין אליהו - 12 כר'")</f>
        <v>בנין אליהו - 12 כר'</v>
      </c>
    </row>
    <row r="6212" spans="1:6" x14ac:dyDescent="0.2">
      <c r="A6212" t="s">
        <v>11248</v>
      </c>
      <c r="B6212" t="s">
        <v>11249</v>
      </c>
      <c r="C6212" t="s">
        <v>143</v>
      </c>
      <c r="D6212" t="s">
        <v>14</v>
      </c>
      <c r="E6212" t="s">
        <v>11250</v>
      </c>
      <c r="F6212" s="2" t="str">
        <f>HYPERLINK("http://www.otzar.org/book.asp?9639","בנין אפרים - א")</f>
        <v>בנין אפרים - א</v>
      </c>
    </row>
    <row r="6213" spans="1:6" x14ac:dyDescent="0.2">
      <c r="A6213" t="s">
        <v>11251</v>
      </c>
      <c r="B6213" t="s">
        <v>9342</v>
      </c>
      <c r="C6213" t="s">
        <v>466</v>
      </c>
      <c r="D6213" t="s">
        <v>52</v>
      </c>
      <c r="E6213" t="s">
        <v>104</v>
      </c>
      <c r="F6213" s="2" t="str">
        <f>HYPERLINK("http://www.otzar.org/book.asp?23446","בנין אפרים")</f>
        <v>בנין אפרים</v>
      </c>
    </row>
    <row r="6214" spans="1:6" x14ac:dyDescent="0.2">
      <c r="A6214" t="s">
        <v>11252</v>
      </c>
      <c r="B6214" t="s">
        <v>11253</v>
      </c>
      <c r="C6214" t="s">
        <v>553</v>
      </c>
      <c r="D6214" t="s">
        <v>14</v>
      </c>
      <c r="E6214" t="s">
        <v>399</v>
      </c>
      <c r="F6214" s="2" t="str">
        <f>HYPERLINK("http://www.otzar.org/book.asp?146988","בנין אריאל")</f>
        <v>בנין אריאל</v>
      </c>
    </row>
    <row r="6215" spans="1:6" x14ac:dyDescent="0.2">
      <c r="A6215" t="s">
        <v>11252</v>
      </c>
      <c r="B6215" t="s">
        <v>11254</v>
      </c>
      <c r="C6215" t="s">
        <v>189</v>
      </c>
      <c r="D6215" t="s">
        <v>14</v>
      </c>
      <c r="E6215" t="s">
        <v>172</v>
      </c>
      <c r="F6215" s="2" t="str">
        <f>HYPERLINK("http://www.otzar.org/book.asp?144039","בנין אריאל")</f>
        <v>בנין אריאל</v>
      </c>
    </row>
    <row r="6216" spans="1:6" x14ac:dyDescent="0.2">
      <c r="A6216" t="s">
        <v>11252</v>
      </c>
      <c r="B6216" t="s">
        <v>11255</v>
      </c>
      <c r="C6216" t="s">
        <v>356</v>
      </c>
      <c r="D6216" t="s">
        <v>14</v>
      </c>
      <c r="E6216" t="s">
        <v>104</v>
      </c>
      <c r="F6216" s="2" t="str">
        <f>HYPERLINK("http://www.otzar.org/book.asp?21702","בנין אריאל")</f>
        <v>בנין אריאל</v>
      </c>
    </row>
    <row r="6217" spans="1:6" x14ac:dyDescent="0.2">
      <c r="A6217" t="s">
        <v>11252</v>
      </c>
      <c r="B6217" t="s">
        <v>686</v>
      </c>
      <c r="C6217" t="s">
        <v>37</v>
      </c>
      <c r="D6217" t="s">
        <v>52</v>
      </c>
      <c r="E6217" t="s">
        <v>104</v>
      </c>
      <c r="F6217" s="2" t="str">
        <f>HYPERLINK("http://www.otzar.org/book.asp?182752","בנין אריאל")</f>
        <v>בנין אריאל</v>
      </c>
    </row>
    <row r="6218" spans="1:6" x14ac:dyDescent="0.2">
      <c r="A6218" t="s">
        <v>11252</v>
      </c>
      <c r="B6218" t="s">
        <v>11256</v>
      </c>
      <c r="C6218" t="s">
        <v>151</v>
      </c>
      <c r="D6218" t="s">
        <v>14</v>
      </c>
      <c r="F6218" s="2" t="str">
        <f>HYPERLINK("http://www.otzar.org/book.asp?614467","בנין אריאל")</f>
        <v>בנין אריאל</v>
      </c>
    </row>
    <row r="6219" spans="1:6" x14ac:dyDescent="0.2">
      <c r="A6219" t="s">
        <v>11252</v>
      </c>
      <c r="B6219" t="s">
        <v>11257</v>
      </c>
      <c r="C6219" t="s">
        <v>2076</v>
      </c>
      <c r="D6219" t="s">
        <v>535</v>
      </c>
      <c r="E6219" t="s">
        <v>104</v>
      </c>
      <c r="F6219" s="2" t="str">
        <f>HYPERLINK("http://www.otzar.org/book.asp?169703","בנין אריאל")</f>
        <v>בנין אריאל</v>
      </c>
    </row>
    <row r="6220" spans="1:6" x14ac:dyDescent="0.2">
      <c r="A6220" t="s">
        <v>11258</v>
      </c>
      <c r="B6220" t="s">
        <v>11259</v>
      </c>
      <c r="C6220" t="s">
        <v>1228</v>
      </c>
      <c r="D6220" t="s">
        <v>1117</v>
      </c>
      <c r="E6220" t="s">
        <v>230</v>
      </c>
      <c r="F6220" s="2" t="str">
        <f>HYPERLINK("http://www.otzar.org/book.asp?181568","בנין אריאל - 6 כר'")</f>
        <v>בנין אריאל - 6 כר'</v>
      </c>
    </row>
    <row r="6221" spans="1:6" x14ac:dyDescent="0.2">
      <c r="A6221" t="s">
        <v>11252</v>
      </c>
      <c r="B6221" t="s">
        <v>11260</v>
      </c>
      <c r="C6221" t="s">
        <v>422</v>
      </c>
      <c r="D6221" t="s">
        <v>2375</v>
      </c>
      <c r="E6221" t="s">
        <v>202</v>
      </c>
      <c r="F6221" s="2" t="str">
        <f>HYPERLINK("http://www.otzar.org/book.asp?172957","בנין אריאל")</f>
        <v>בנין אריאל</v>
      </c>
    </row>
    <row r="6222" spans="1:6" x14ac:dyDescent="0.2">
      <c r="A6222" t="s">
        <v>11261</v>
      </c>
      <c r="B6222" t="s">
        <v>11262</v>
      </c>
      <c r="C6222" t="s">
        <v>114</v>
      </c>
      <c r="D6222" t="s">
        <v>14</v>
      </c>
      <c r="E6222" t="s">
        <v>144</v>
      </c>
      <c r="F6222" s="2" t="str">
        <f>HYPERLINK("http://www.otzar.org/book.asp?173468","בנין אריאל - 2 כר'")</f>
        <v>בנין אריאל - 2 כר'</v>
      </c>
    </row>
    <row r="6223" spans="1:6" x14ac:dyDescent="0.2">
      <c r="A6223" t="s">
        <v>11261</v>
      </c>
      <c r="B6223" t="s">
        <v>11263</v>
      </c>
      <c r="C6223" t="s">
        <v>114</v>
      </c>
      <c r="D6223" t="s">
        <v>147</v>
      </c>
      <c r="E6223" t="s">
        <v>172</v>
      </c>
      <c r="F6223" s="2" t="str">
        <f>HYPERLINK("http://www.otzar.org/book.asp?606054","בנין אריאל - 2 כר'")</f>
        <v>בנין אריאל - 2 כר'</v>
      </c>
    </row>
    <row r="6224" spans="1:6" x14ac:dyDescent="0.2">
      <c r="A6224" t="s">
        <v>11264</v>
      </c>
      <c r="B6224" t="s">
        <v>11265</v>
      </c>
      <c r="C6224" t="s">
        <v>189</v>
      </c>
      <c r="D6224" t="s">
        <v>14</v>
      </c>
      <c r="E6224" t="s">
        <v>15</v>
      </c>
      <c r="F6224" s="2" t="str">
        <f>HYPERLINK("http://www.otzar.org/book.asp?23442","בנין בית נאמן")</f>
        <v>בנין בית נאמן</v>
      </c>
    </row>
    <row r="6225" spans="1:6" x14ac:dyDescent="0.2">
      <c r="A6225" t="s">
        <v>11266</v>
      </c>
      <c r="B6225" t="s">
        <v>11267</v>
      </c>
      <c r="C6225" t="s">
        <v>422</v>
      </c>
      <c r="D6225" t="s">
        <v>412</v>
      </c>
      <c r="E6225" t="s">
        <v>11268</v>
      </c>
      <c r="F6225" s="2" t="str">
        <f>HYPERLINK("http://www.otzar.org/book.asp?172648","בנין דוד  &lt;תורה - סוגיות הש""ס&gt;")</f>
        <v>בנין דוד  &lt;תורה - סוגיות הש"ס&gt;</v>
      </c>
    </row>
    <row r="6226" spans="1:6" x14ac:dyDescent="0.2">
      <c r="A6226" t="s">
        <v>11269</v>
      </c>
      <c r="B6226" t="s">
        <v>11270</v>
      </c>
      <c r="C6226" t="s">
        <v>51</v>
      </c>
      <c r="D6226" t="s">
        <v>52</v>
      </c>
      <c r="E6226" t="s">
        <v>6300</v>
      </c>
      <c r="F6226" s="2" t="str">
        <f>HYPERLINK("http://www.otzar.org/book.asp?144940","בנין דוד &lt;דרשות&gt;")</f>
        <v>בנין דוד &lt;דרשות&gt;</v>
      </c>
    </row>
    <row r="6227" spans="1:6" x14ac:dyDescent="0.2">
      <c r="A6227" t="s">
        <v>11271</v>
      </c>
      <c r="B6227" t="s">
        <v>11272</v>
      </c>
      <c r="C6227" t="s">
        <v>1047</v>
      </c>
      <c r="D6227" t="s">
        <v>56</v>
      </c>
      <c r="E6227" t="s">
        <v>158</v>
      </c>
      <c r="F6227" s="2" t="str">
        <f>HYPERLINK("http://www.otzar.org/book.asp?17334","בנין דוד")</f>
        <v>בנין דוד</v>
      </c>
    </row>
    <row r="6228" spans="1:6" x14ac:dyDescent="0.2">
      <c r="A6228" t="s">
        <v>11273</v>
      </c>
      <c r="B6228" t="s">
        <v>11270</v>
      </c>
      <c r="C6228" t="s">
        <v>767</v>
      </c>
      <c r="D6228" t="s">
        <v>52</v>
      </c>
      <c r="E6228" t="s">
        <v>10711</v>
      </c>
      <c r="F6228" s="2" t="str">
        <f>HYPERLINK("http://www.otzar.org/book.asp?9584","בנין דוד - 4 כר'")</f>
        <v>בנין דוד - 4 כר'</v>
      </c>
    </row>
    <row r="6229" spans="1:6" x14ac:dyDescent="0.2">
      <c r="A6229" t="s">
        <v>11271</v>
      </c>
      <c r="B6229" t="s">
        <v>11274</v>
      </c>
      <c r="C6229" t="s">
        <v>114</v>
      </c>
      <c r="D6229" t="s">
        <v>52</v>
      </c>
      <c r="E6229" t="s">
        <v>144</v>
      </c>
      <c r="F6229" s="2" t="str">
        <f>HYPERLINK("http://www.otzar.org/book.asp?192759","בנין דוד")</f>
        <v>בנין דוד</v>
      </c>
    </row>
    <row r="6230" spans="1:6" x14ac:dyDescent="0.2">
      <c r="A6230" t="s">
        <v>11275</v>
      </c>
      <c r="B6230" t="s">
        <v>1926</v>
      </c>
      <c r="C6230" t="s">
        <v>1166</v>
      </c>
      <c r="D6230" t="s">
        <v>283</v>
      </c>
      <c r="E6230" t="s">
        <v>474</v>
      </c>
      <c r="F6230" s="2" t="str">
        <f>HYPERLINK("http://www.otzar.org/book.asp?102512","בנין דוד - מגילת איכה ומדרשי חז""ל")</f>
        <v>בנין דוד - מגילת איכה ומדרשי חז"ל</v>
      </c>
    </row>
    <row r="6231" spans="1:6" x14ac:dyDescent="0.2">
      <c r="A6231" t="s">
        <v>11276</v>
      </c>
      <c r="B6231" t="s">
        <v>11267</v>
      </c>
      <c r="C6231" t="s">
        <v>777</v>
      </c>
      <c r="D6231" t="s">
        <v>2710</v>
      </c>
      <c r="E6231" t="s">
        <v>140</v>
      </c>
      <c r="F6231" s="2" t="str">
        <f>HYPERLINK("http://www.otzar.org/book.asp?7428","בנין דוד - 2 כר'")</f>
        <v>בנין דוד - 2 כר'</v>
      </c>
    </row>
    <row r="6232" spans="1:6" x14ac:dyDescent="0.2">
      <c r="A6232" t="s">
        <v>11277</v>
      </c>
      <c r="B6232" t="s">
        <v>11278</v>
      </c>
      <c r="C6232" t="s">
        <v>133</v>
      </c>
      <c r="D6232" t="s">
        <v>152</v>
      </c>
      <c r="E6232" t="s">
        <v>84</v>
      </c>
      <c r="F6232" s="2" t="str">
        <f>HYPERLINK("http://www.otzar.org/book.asp?173983","בנין דעת - מכשירין")</f>
        <v>בנין דעת - מכשירין</v>
      </c>
    </row>
    <row r="6233" spans="1:6" x14ac:dyDescent="0.2">
      <c r="A6233" t="s">
        <v>11279</v>
      </c>
      <c r="B6233" t="s">
        <v>11280</v>
      </c>
      <c r="C6233" t="s">
        <v>725</v>
      </c>
      <c r="D6233" t="s">
        <v>216</v>
      </c>
      <c r="E6233" t="s">
        <v>733</v>
      </c>
      <c r="F6233" s="2" t="str">
        <f>HYPERLINK("http://www.otzar.org/book.asp?196535","בנין הארץ - ב")</f>
        <v>בנין הארץ - ב</v>
      </c>
    </row>
    <row r="6234" spans="1:6" x14ac:dyDescent="0.2">
      <c r="A6234" t="s">
        <v>11281</v>
      </c>
      <c r="B6234" t="s">
        <v>11282</v>
      </c>
      <c r="C6234" t="s">
        <v>9946</v>
      </c>
      <c r="D6234" t="s">
        <v>60</v>
      </c>
      <c r="E6234" t="s">
        <v>104</v>
      </c>
      <c r="F6234" s="2" t="str">
        <f>HYPERLINK("http://www.otzar.org/book.asp?141999","בנין הבית")</f>
        <v>בנין הבית</v>
      </c>
    </row>
    <row r="6235" spans="1:6" x14ac:dyDescent="0.2">
      <c r="A6235" t="s">
        <v>11281</v>
      </c>
      <c r="B6235" t="s">
        <v>11283</v>
      </c>
      <c r="C6235" t="s">
        <v>146</v>
      </c>
      <c r="D6235" t="s">
        <v>14</v>
      </c>
      <c r="E6235" t="s">
        <v>15</v>
      </c>
      <c r="F6235" s="2" t="str">
        <f>HYPERLINK("http://www.otzar.org/book.asp?174230","בנין הבית")</f>
        <v>בנין הבית</v>
      </c>
    </row>
    <row r="6236" spans="1:6" x14ac:dyDescent="0.2">
      <c r="A6236" t="s">
        <v>11284</v>
      </c>
      <c r="B6236" t="s">
        <v>1245</v>
      </c>
      <c r="C6236" t="s">
        <v>777</v>
      </c>
      <c r="D6236" t="s">
        <v>412</v>
      </c>
      <c r="E6236" t="s">
        <v>15</v>
      </c>
      <c r="F6236" s="2" t="str">
        <f>HYPERLINK("http://www.otzar.org/book.asp?10469","בנין הלכה")</f>
        <v>בנין הלכה</v>
      </c>
    </row>
    <row r="6237" spans="1:6" x14ac:dyDescent="0.2">
      <c r="A6237" t="s">
        <v>11285</v>
      </c>
      <c r="B6237" t="s">
        <v>11286</v>
      </c>
      <c r="C6237" t="s">
        <v>20</v>
      </c>
      <c r="D6237" t="s">
        <v>11287</v>
      </c>
      <c r="F6237" s="2" t="str">
        <f>HYPERLINK("http://www.otzar.org/book.asp?616830","בנין המשפט - 2 כר'")</f>
        <v>בנין המשפט - 2 כר'</v>
      </c>
    </row>
    <row r="6238" spans="1:6" x14ac:dyDescent="0.2">
      <c r="A6238" t="s">
        <v>11288</v>
      </c>
      <c r="B6238" t="s">
        <v>11289</v>
      </c>
      <c r="C6238" t="s">
        <v>812</v>
      </c>
      <c r="D6238" t="s">
        <v>260</v>
      </c>
      <c r="E6238" t="s">
        <v>104</v>
      </c>
      <c r="F6238" s="2" t="str">
        <f>HYPERLINK("http://www.otzar.org/book.asp?183083","בנין הריא""ל")</f>
        <v>בנין הריא"ל</v>
      </c>
    </row>
    <row r="6239" spans="1:6" x14ac:dyDescent="0.2">
      <c r="A6239" t="s">
        <v>11290</v>
      </c>
      <c r="B6239" t="s">
        <v>4448</v>
      </c>
      <c r="C6239" t="s">
        <v>23</v>
      </c>
      <c r="D6239" t="s">
        <v>14</v>
      </c>
      <c r="E6239" t="s">
        <v>246</v>
      </c>
      <c r="F6239" s="2" t="str">
        <f>HYPERLINK("http://www.otzar.org/book.asp?605679","בנין ותיקון - בין המצרים")</f>
        <v>בנין ותיקון - בין המצרים</v>
      </c>
    </row>
    <row r="6240" spans="1:6" x14ac:dyDescent="0.2">
      <c r="A6240" t="s">
        <v>11291</v>
      </c>
      <c r="B6240" t="s">
        <v>11292</v>
      </c>
      <c r="C6240" t="s">
        <v>492</v>
      </c>
      <c r="D6240" t="s">
        <v>283</v>
      </c>
      <c r="E6240" t="s">
        <v>957</v>
      </c>
      <c r="F6240" s="2" t="str">
        <f>HYPERLINK("http://www.otzar.org/book.asp?300607","בנין זקנים - א")</f>
        <v>בנין זקנים - א</v>
      </c>
    </row>
    <row r="6241" spans="1:6" x14ac:dyDescent="0.2">
      <c r="A6241" t="s">
        <v>11293</v>
      </c>
      <c r="B6241" t="s">
        <v>11294</v>
      </c>
      <c r="C6241" t="s">
        <v>111</v>
      </c>
      <c r="D6241" t="s">
        <v>14</v>
      </c>
      <c r="F6241" s="2" t="str">
        <f>HYPERLINK("http://www.otzar.org/book.asp?629891","בנין חיים - 3 כר'")</f>
        <v>בנין חיים - 3 כר'</v>
      </c>
    </row>
    <row r="6242" spans="1:6" x14ac:dyDescent="0.2">
      <c r="A6242" t="s">
        <v>11295</v>
      </c>
      <c r="B6242" t="s">
        <v>11296</v>
      </c>
      <c r="C6242" t="s">
        <v>748</v>
      </c>
      <c r="D6242" t="s">
        <v>283</v>
      </c>
      <c r="E6242" t="s">
        <v>2391</v>
      </c>
      <c r="F6242" s="2" t="str">
        <f>HYPERLINK("http://www.otzar.org/book.asp?17335","בנין יהושע")</f>
        <v>בנין יהושע</v>
      </c>
    </row>
    <row r="6243" spans="1:6" x14ac:dyDescent="0.2">
      <c r="A6243" t="s">
        <v>11295</v>
      </c>
      <c r="B6243" t="s">
        <v>11297</v>
      </c>
      <c r="C6243" t="s">
        <v>11298</v>
      </c>
      <c r="D6243" t="s">
        <v>4703</v>
      </c>
      <c r="E6243" t="s">
        <v>43</v>
      </c>
      <c r="F6243" s="2" t="str">
        <f>HYPERLINK("http://www.otzar.org/book.asp?300594","בנין יהושע")</f>
        <v>בנין יהושע</v>
      </c>
    </row>
    <row r="6244" spans="1:6" x14ac:dyDescent="0.2">
      <c r="A6244" t="s">
        <v>11295</v>
      </c>
      <c r="B6244" t="s">
        <v>11299</v>
      </c>
      <c r="C6244" t="s">
        <v>111</v>
      </c>
      <c r="D6244" t="s">
        <v>646</v>
      </c>
      <c r="E6244" t="s">
        <v>230</v>
      </c>
      <c r="F6244" s="2" t="str">
        <f>HYPERLINK("http://www.otzar.org/book.asp?625522","בנין יהושע")</f>
        <v>בנין יהושע</v>
      </c>
    </row>
    <row r="6245" spans="1:6" x14ac:dyDescent="0.2">
      <c r="A6245" t="s">
        <v>11300</v>
      </c>
      <c r="B6245" t="s">
        <v>11301</v>
      </c>
      <c r="C6245" t="s">
        <v>956</v>
      </c>
      <c r="D6245" t="s">
        <v>14</v>
      </c>
      <c r="E6245" t="s">
        <v>314</v>
      </c>
      <c r="F6245" s="2" t="str">
        <f>HYPERLINK("http://www.otzar.org/book.asp?103221","בנין יוסף")</f>
        <v>בנין יוסף</v>
      </c>
    </row>
    <row r="6246" spans="1:6" x14ac:dyDescent="0.2">
      <c r="A6246" t="s">
        <v>11300</v>
      </c>
      <c r="B6246" t="s">
        <v>11302</v>
      </c>
      <c r="C6246" t="s">
        <v>445</v>
      </c>
      <c r="D6246" t="s">
        <v>225</v>
      </c>
      <c r="E6246" t="s">
        <v>234</v>
      </c>
      <c r="F6246" s="2" t="str">
        <f>HYPERLINK("http://www.otzar.org/book.asp?24108","בנין יוסף")</f>
        <v>בנין יוסף</v>
      </c>
    </row>
    <row r="6247" spans="1:6" x14ac:dyDescent="0.2">
      <c r="A6247" t="s">
        <v>11303</v>
      </c>
      <c r="B6247" t="s">
        <v>11304</v>
      </c>
      <c r="C6247" t="s">
        <v>568</v>
      </c>
      <c r="D6247" t="s">
        <v>283</v>
      </c>
      <c r="E6247" t="s">
        <v>144</v>
      </c>
      <c r="F6247" s="2" t="str">
        <f>HYPERLINK("http://www.otzar.org/book.asp?100389","בנין יחזקאל - 2 כר'")</f>
        <v>בנין יחזקאל - 2 כר'</v>
      </c>
    </row>
    <row r="6248" spans="1:6" x14ac:dyDescent="0.2">
      <c r="A6248" t="s">
        <v>11303</v>
      </c>
      <c r="B6248" t="s">
        <v>11305</v>
      </c>
      <c r="C6248" t="s">
        <v>506</v>
      </c>
      <c r="D6248" t="s">
        <v>691</v>
      </c>
      <c r="E6248" t="s">
        <v>2775</v>
      </c>
      <c r="F6248" s="2" t="str">
        <f>HYPERLINK("http://www.otzar.org/book.asp?9397","בנין יחזקאל - 2 כר'")</f>
        <v>בנין יחזקאל - 2 כר'</v>
      </c>
    </row>
    <row r="6249" spans="1:6" x14ac:dyDescent="0.2">
      <c r="A6249" t="s">
        <v>11306</v>
      </c>
      <c r="B6249" t="s">
        <v>11307</v>
      </c>
      <c r="C6249" t="s">
        <v>133</v>
      </c>
      <c r="D6249" t="s">
        <v>14</v>
      </c>
      <c r="E6249" t="s">
        <v>2088</v>
      </c>
      <c r="F6249" s="2" t="str">
        <f>HYPERLINK("http://www.otzar.org/book.asp?175976","בנין יחיאל - בבא קמא")</f>
        <v>בנין יחיאל - בבא קמא</v>
      </c>
    </row>
    <row r="6250" spans="1:6" x14ac:dyDescent="0.2">
      <c r="A6250" t="s">
        <v>11308</v>
      </c>
      <c r="B6250" t="s">
        <v>11309</v>
      </c>
      <c r="C6250" t="s">
        <v>189</v>
      </c>
      <c r="D6250" t="s">
        <v>367</v>
      </c>
      <c r="E6250" t="s">
        <v>148</v>
      </c>
      <c r="F6250" s="2" t="str">
        <f>HYPERLINK("http://www.otzar.org/book.asp?148197","בנין יעקב - 4 כר'")</f>
        <v>בנין יעקב - 4 כר'</v>
      </c>
    </row>
    <row r="6251" spans="1:6" x14ac:dyDescent="0.2">
      <c r="A6251" t="s">
        <v>11310</v>
      </c>
      <c r="B6251" t="s">
        <v>11311</v>
      </c>
      <c r="C6251" t="s">
        <v>133</v>
      </c>
      <c r="D6251" t="s">
        <v>14</v>
      </c>
      <c r="E6251" t="s">
        <v>1157</v>
      </c>
      <c r="F6251" s="2" t="str">
        <f>HYPERLINK("http://www.otzar.org/book.asp?604443","בנין ירושלים")</f>
        <v>בנין ירושלים</v>
      </c>
    </row>
    <row r="6252" spans="1:6" x14ac:dyDescent="0.2">
      <c r="A6252" t="s">
        <v>11310</v>
      </c>
      <c r="B6252" t="s">
        <v>11312</v>
      </c>
      <c r="C6252" t="s">
        <v>1844</v>
      </c>
      <c r="D6252" t="s">
        <v>283</v>
      </c>
      <c r="E6252" t="s">
        <v>1097</v>
      </c>
      <c r="F6252" s="2" t="str">
        <f>HYPERLINK("http://www.otzar.org/book.asp?425","בנין ירושלים")</f>
        <v>בנין ירושלים</v>
      </c>
    </row>
    <row r="6253" spans="1:6" x14ac:dyDescent="0.2">
      <c r="A6253" t="s">
        <v>11313</v>
      </c>
      <c r="B6253" t="s">
        <v>11314</v>
      </c>
      <c r="C6253" t="s">
        <v>1374</v>
      </c>
      <c r="D6253" t="s">
        <v>726</v>
      </c>
      <c r="E6253" t="s">
        <v>154</v>
      </c>
      <c r="F6253" s="2" t="str">
        <f>HYPERLINK("http://www.otzar.org/book.asp?17336","בנין מנחם")</f>
        <v>בנין מנחם</v>
      </c>
    </row>
    <row r="6254" spans="1:6" x14ac:dyDescent="0.2">
      <c r="A6254" t="s">
        <v>11315</v>
      </c>
      <c r="B6254" t="s">
        <v>11316</v>
      </c>
      <c r="C6254" t="s">
        <v>51</v>
      </c>
      <c r="D6254" t="s">
        <v>52</v>
      </c>
      <c r="E6254" t="s">
        <v>144</v>
      </c>
      <c r="F6254" s="2" t="str">
        <f>HYPERLINK("http://www.otzar.org/book.asp?153744","בנין מרדכי - 6 כר'")</f>
        <v>בנין מרדכי - 6 כר'</v>
      </c>
    </row>
    <row r="6255" spans="1:6" x14ac:dyDescent="0.2">
      <c r="A6255" t="s">
        <v>11317</v>
      </c>
      <c r="B6255" t="s">
        <v>11318</v>
      </c>
      <c r="C6255" t="s">
        <v>13</v>
      </c>
      <c r="D6255" t="s">
        <v>646</v>
      </c>
      <c r="E6255" t="s">
        <v>230</v>
      </c>
      <c r="F6255" s="2" t="str">
        <f>HYPERLINK("http://www.otzar.org/book.asp?177154","בנין משה - 2 כר'")</f>
        <v>בנין משה - 2 כר'</v>
      </c>
    </row>
    <row r="6256" spans="1:6" x14ac:dyDescent="0.2">
      <c r="A6256" t="s">
        <v>11319</v>
      </c>
      <c r="B6256" t="s">
        <v>11320</v>
      </c>
      <c r="C6256" t="s">
        <v>366</v>
      </c>
      <c r="D6256" t="s">
        <v>14</v>
      </c>
      <c r="E6256" t="s">
        <v>1211</v>
      </c>
      <c r="F6256" s="2" t="str">
        <f>HYPERLINK("http://www.otzar.org/book.asp?621292","בנין נחום")</f>
        <v>בנין נחום</v>
      </c>
    </row>
    <row r="6257" spans="1:6" x14ac:dyDescent="0.2">
      <c r="A6257" t="s">
        <v>11321</v>
      </c>
      <c r="B6257" t="s">
        <v>11322</v>
      </c>
      <c r="C6257" t="s">
        <v>334</v>
      </c>
      <c r="D6257" t="s">
        <v>52</v>
      </c>
      <c r="E6257" t="s">
        <v>674</v>
      </c>
      <c r="F6257" s="2" t="str">
        <f>HYPERLINK("http://www.otzar.org/book.asp?149089","בנין עדי עד - 3 כר'")</f>
        <v>בנין עדי עד - 3 כר'</v>
      </c>
    </row>
    <row r="6258" spans="1:6" x14ac:dyDescent="0.2">
      <c r="A6258" t="s">
        <v>11323</v>
      </c>
      <c r="B6258" t="s">
        <v>11324</v>
      </c>
      <c r="C6258" t="s">
        <v>17</v>
      </c>
      <c r="D6258" t="s">
        <v>216</v>
      </c>
      <c r="E6258" t="s">
        <v>104</v>
      </c>
      <c r="F6258" s="2" t="str">
        <f>HYPERLINK("http://www.otzar.org/book.asp?61257","בנין עדי עד")</f>
        <v>בנין עדי עד</v>
      </c>
    </row>
    <row r="6259" spans="1:6" x14ac:dyDescent="0.2">
      <c r="A6259" t="s">
        <v>11323</v>
      </c>
      <c r="B6259" t="s">
        <v>107</v>
      </c>
      <c r="C6259" t="s">
        <v>20</v>
      </c>
      <c r="D6259" t="s">
        <v>14</v>
      </c>
      <c r="E6259" t="s">
        <v>104</v>
      </c>
      <c r="F6259" s="2" t="str">
        <f>HYPERLINK("http://www.otzar.org/book.asp?156169","בנין עדי עד")</f>
        <v>בנין עדי עד</v>
      </c>
    </row>
    <row r="6260" spans="1:6" x14ac:dyDescent="0.2">
      <c r="A6260" t="s">
        <v>11325</v>
      </c>
      <c r="B6260" t="s">
        <v>3522</v>
      </c>
      <c r="C6260" t="s">
        <v>422</v>
      </c>
      <c r="D6260" t="s">
        <v>14</v>
      </c>
      <c r="E6260" t="s">
        <v>154</v>
      </c>
      <c r="F6260" s="2" t="str">
        <f>HYPERLINK("http://www.otzar.org/book.asp?180563","בנין עולם &lt;מהדורה חדשה&gt; - או""ח, יו""ד")</f>
        <v>בנין עולם &lt;מהדורה חדשה&gt; - או"ח, יו"ד</v>
      </c>
    </row>
    <row r="6261" spans="1:6" x14ac:dyDescent="0.2">
      <c r="A6261" t="s">
        <v>11326</v>
      </c>
      <c r="B6261" t="s">
        <v>11327</v>
      </c>
      <c r="C6261" t="s">
        <v>1811</v>
      </c>
      <c r="D6261" t="s">
        <v>14</v>
      </c>
      <c r="E6261" t="s">
        <v>213</v>
      </c>
      <c r="F6261" s="2" t="str">
        <f>HYPERLINK("http://www.otzar.org/book.asp?10405","בנין עולם - 2 כר'")</f>
        <v>בנין עולם - 2 כר'</v>
      </c>
    </row>
    <row r="6262" spans="1:6" x14ac:dyDescent="0.2">
      <c r="A6262" t="s">
        <v>11328</v>
      </c>
      <c r="B6262" t="s">
        <v>3522</v>
      </c>
      <c r="C6262" t="s">
        <v>11329</v>
      </c>
      <c r="D6262" t="s">
        <v>283</v>
      </c>
      <c r="E6262" t="s">
        <v>154</v>
      </c>
      <c r="F6262" s="2" t="str">
        <f>HYPERLINK("http://www.otzar.org/book.asp?100387","בנין עולם - 3 כר'")</f>
        <v>בנין עולם - 3 כר'</v>
      </c>
    </row>
    <row r="6263" spans="1:6" x14ac:dyDescent="0.2">
      <c r="A6263" t="s">
        <v>11330</v>
      </c>
      <c r="B6263" t="s">
        <v>2020</v>
      </c>
      <c r="C6263" t="s">
        <v>581</v>
      </c>
      <c r="D6263" t="s">
        <v>11331</v>
      </c>
      <c r="E6263" t="s">
        <v>158</v>
      </c>
      <c r="F6263" s="2" t="str">
        <f>HYPERLINK("http://www.otzar.org/book.asp?149262","בנין עולמים")</f>
        <v>בנין עולמים</v>
      </c>
    </row>
    <row r="6264" spans="1:6" x14ac:dyDescent="0.2">
      <c r="A6264" t="s">
        <v>11332</v>
      </c>
      <c r="B6264" t="s">
        <v>11333</v>
      </c>
      <c r="C6264" t="s">
        <v>11334</v>
      </c>
      <c r="D6264" t="s">
        <v>3627</v>
      </c>
      <c r="E6264" t="s">
        <v>154</v>
      </c>
      <c r="F6264" s="2" t="str">
        <f>HYPERLINK("http://www.otzar.org/book.asp?102858","בנין צבי - 3 כר'")</f>
        <v>בנין צבי - 3 כר'</v>
      </c>
    </row>
    <row r="6265" spans="1:6" x14ac:dyDescent="0.2">
      <c r="A6265" t="s">
        <v>11335</v>
      </c>
      <c r="B6265" t="s">
        <v>11336</v>
      </c>
      <c r="C6265" t="s">
        <v>11337</v>
      </c>
      <c r="D6265" t="s">
        <v>14</v>
      </c>
      <c r="E6265" t="s">
        <v>202</v>
      </c>
      <c r="F6265" s="2" t="str">
        <f>HYPERLINK("http://www.otzar.org/book.asp?158277","בנין ציון - 1-21")</f>
        <v>בנין ציון - 1-21</v>
      </c>
    </row>
    <row r="6266" spans="1:6" x14ac:dyDescent="0.2">
      <c r="A6266" t="s">
        <v>11338</v>
      </c>
      <c r="B6266" t="s">
        <v>11339</v>
      </c>
      <c r="C6266" t="s">
        <v>313</v>
      </c>
      <c r="D6266" t="s">
        <v>14</v>
      </c>
      <c r="E6266" t="s">
        <v>144</v>
      </c>
      <c r="F6266" s="2" t="str">
        <f>HYPERLINK("http://www.otzar.org/book.asp?158513","בנין ציון")</f>
        <v>בנין ציון</v>
      </c>
    </row>
    <row r="6267" spans="1:6" x14ac:dyDescent="0.2">
      <c r="A6267" t="s">
        <v>11338</v>
      </c>
      <c r="B6267" t="s">
        <v>8609</v>
      </c>
      <c r="C6267" t="s">
        <v>17</v>
      </c>
      <c r="D6267" t="s">
        <v>14</v>
      </c>
      <c r="E6267" t="s">
        <v>399</v>
      </c>
      <c r="F6267" s="2" t="str">
        <f>HYPERLINK("http://www.otzar.org/book.asp?142431","בנין ציון")</f>
        <v>בנין ציון</v>
      </c>
    </row>
    <row r="6268" spans="1:6" x14ac:dyDescent="0.2">
      <c r="A6268" t="s">
        <v>11340</v>
      </c>
      <c r="B6268" t="s">
        <v>11341</v>
      </c>
      <c r="C6268" t="s">
        <v>547</v>
      </c>
      <c r="D6268" t="s">
        <v>610</v>
      </c>
      <c r="E6268" t="s">
        <v>588</v>
      </c>
      <c r="F6268" s="2" t="str">
        <f>HYPERLINK("http://www.otzar.org/book.asp?24113","בנין ציון - 2 כר'")</f>
        <v>בנין ציון - 2 כר'</v>
      </c>
    </row>
    <row r="6269" spans="1:6" x14ac:dyDescent="0.2">
      <c r="A6269" t="s">
        <v>11342</v>
      </c>
      <c r="B6269" t="s">
        <v>10680</v>
      </c>
      <c r="C6269" t="s">
        <v>11343</v>
      </c>
      <c r="D6269" t="s">
        <v>11344</v>
      </c>
      <c r="E6269" t="s">
        <v>154</v>
      </c>
      <c r="F6269" s="2" t="str">
        <f>HYPERLINK("http://www.otzar.org/book.asp?6061","בנין ציון, ובנין ציון החדשות")</f>
        <v>בנין ציון, ובנין ציון החדשות</v>
      </c>
    </row>
    <row r="6270" spans="1:6" x14ac:dyDescent="0.2">
      <c r="A6270" t="s">
        <v>11345</v>
      </c>
      <c r="B6270" t="s">
        <v>11346</v>
      </c>
      <c r="C6270" t="s">
        <v>189</v>
      </c>
      <c r="D6270" t="s">
        <v>14</v>
      </c>
      <c r="E6270" t="s">
        <v>11347</v>
      </c>
      <c r="F6270" s="2" t="str">
        <f>HYPERLINK("http://www.otzar.org/book.asp?52936","בנין שאול")</f>
        <v>בנין שאול</v>
      </c>
    </row>
    <row r="6271" spans="1:6" x14ac:dyDescent="0.2">
      <c r="A6271" t="s">
        <v>11348</v>
      </c>
      <c r="B6271" t="s">
        <v>11349</v>
      </c>
      <c r="C6271" t="s">
        <v>13</v>
      </c>
      <c r="D6271" t="s">
        <v>14</v>
      </c>
      <c r="E6271" t="s">
        <v>130</v>
      </c>
      <c r="F6271" s="2" t="str">
        <f>HYPERLINK("http://www.otzar.org/book.asp?153489","בנין שבת - א - ב")</f>
        <v>בנין שבת - א - ב</v>
      </c>
    </row>
    <row r="6272" spans="1:6" x14ac:dyDescent="0.2">
      <c r="A6272" t="s">
        <v>11350</v>
      </c>
      <c r="B6272" t="s">
        <v>1293</v>
      </c>
      <c r="C6272" t="s">
        <v>1058</v>
      </c>
      <c r="D6272" t="s">
        <v>56</v>
      </c>
      <c r="E6272" t="s">
        <v>154</v>
      </c>
      <c r="F6272" s="2" t="str">
        <f>HYPERLINK("http://www.otzar.org/book.asp?1015","בנין של שמחה")</f>
        <v>בנין של שמחה</v>
      </c>
    </row>
    <row r="6273" spans="1:6" x14ac:dyDescent="0.2">
      <c r="A6273" t="s">
        <v>11350</v>
      </c>
      <c r="B6273" t="s">
        <v>11351</v>
      </c>
      <c r="C6273" t="s">
        <v>767</v>
      </c>
      <c r="D6273" t="s">
        <v>14</v>
      </c>
      <c r="E6273" t="s">
        <v>3518</v>
      </c>
      <c r="F6273" s="2" t="str">
        <f>HYPERLINK("http://www.otzar.org/book.asp?167454","בנין של שמחה")</f>
        <v>בנין של שמחה</v>
      </c>
    </row>
    <row r="6274" spans="1:6" x14ac:dyDescent="0.2">
      <c r="A6274" t="s">
        <v>11350</v>
      </c>
      <c r="B6274" t="s">
        <v>1750</v>
      </c>
      <c r="C6274" t="s">
        <v>103</v>
      </c>
      <c r="D6274" t="s">
        <v>14</v>
      </c>
      <c r="E6274" t="s">
        <v>186</v>
      </c>
      <c r="F6274" s="2" t="str">
        <f>HYPERLINK("http://www.otzar.org/book.asp?50055","בנין של שמחה")</f>
        <v>בנין של שמחה</v>
      </c>
    </row>
    <row r="6275" spans="1:6" x14ac:dyDescent="0.2">
      <c r="A6275" t="s">
        <v>11352</v>
      </c>
      <c r="B6275" t="s">
        <v>11353</v>
      </c>
      <c r="C6275" t="s">
        <v>5903</v>
      </c>
      <c r="D6275" t="s">
        <v>56</v>
      </c>
      <c r="E6275" t="s">
        <v>144</v>
      </c>
      <c r="F6275" s="2" t="str">
        <f>HYPERLINK("http://www.otzar.org/book.asp?100386","בנין שלום")</f>
        <v>בנין שלום</v>
      </c>
    </row>
    <row r="6276" spans="1:6" x14ac:dyDescent="0.2">
      <c r="A6276" t="s">
        <v>11354</v>
      </c>
      <c r="B6276" t="s">
        <v>11355</v>
      </c>
      <c r="C6276" t="s">
        <v>68</v>
      </c>
      <c r="D6276" t="s">
        <v>412</v>
      </c>
      <c r="E6276" t="s">
        <v>172</v>
      </c>
      <c r="F6276" s="2" t="str">
        <f>HYPERLINK("http://www.otzar.org/book.asp?159449","בנין שלום - 7 כר'")</f>
        <v>בנין שלום - 7 כר'</v>
      </c>
    </row>
    <row r="6277" spans="1:6" x14ac:dyDescent="0.2">
      <c r="A6277" t="s">
        <v>11356</v>
      </c>
      <c r="B6277" t="s">
        <v>11357</v>
      </c>
      <c r="C6277" t="s">
        <v>189</v>
      </c>
      <c r="D6277" t="s">
        <v>14</v>
      </c>
      <c r="E6277" t="s">
        <v>241</v>
      </c>
      <c r="F6277" s="2" t="str">
        <f>HYPERLINK("http://www.otzar.org/book.asp?50591","בנין שלם")</f>
        <v>בנין שלם</v>
      </c>
    </row>
    <row r="6278" spans="1:6" x14ac:dyDescent="0.2">
      <c r="A6278" t="s">
        <v>11358</v>
      </c>
      <c r="B6278" t="s">
        <v>11359</v>
      </c>
      <c r="C6278" t="s">
        <v>244</v>
      </c>
      <c r="D6278" t="s">
        <v>14</v>
      </c>
      <c r="E6278" t="s">
        <v>1433</v>
      </c>
      <c r="F6278" s="2" t="str">
        <f>HYPERLINK("http://www.otzar.org/book.asp?608689","בנין שלם - 7 כר'")</f>
        <v>בנין שלם - 7 כר'</v>
      </c>
    </row>
    <row r="6279" spans="1:6" x14ac:dyDescent="0.2">
      <c r="A6279" t="s">
        <v>11360</v>
      </c>
      <c r="B6279" t="s">
        <v>11361</v>
      </c>
      <c r="C6279" t="s">
        <v>523</v>
      </c>
      <c r="D6279" t="s">
        <v>52</v>
      </c>
      <c r="E6279" t="s">
        <v>144</v>
      </c>
      <c r="F6279" s="2" t="str">
        <f>HYPERLINK("http://www.otzar.org/book.asp?85675","בנין שלם - נזיר")</f>
        <v>בנין שלם - נזיר</v>
      </c>
    </row>
    <row r="6280" spans="1:6" x14ac:dyDescent="0.2">
      <c r="A6280" t="s">
        <v>11362</v>
      </c>
      <c r="B6280" t="s">
        <v>11363</v>
      </c>
      <c r="C6280" t="s">
        <v>51</v>
      </c>
      <c r="D6280" t="s">
        <v>1156</v>
      </c>
      <c r="E6280" t="s">
        <v>172</v>
      </c>
      <c r="F6280" s="2" t="str">
        <f>HYPERLINK("http://www.otzar.org/book.asp?63986","בנין שלם - 4 כר'")</f>
        <v>בנין שלם - 4 כר'</v>
      </c>
    </row>
    <row r="6281" spans="1:6" x14ac:dyDescent="0.2">
      <c r="A6281" t="s">
        <v>11364</v>
      </c>
      <c r="B6281" t="s">
        <v>11365</v>
      </c>
      <c r="C6281" t="s">
        <v>114</v>
      </c>
      <c r="D6281" t="s">
        <v>90</v>
      </c>
      <c r="E6281" t="s">
        <v>144</v>
      </c>
      <c r="F6281" s="2" t="str">
        <f>HYPERLINK("http://www.otzar.org/book.asp?611148","בנין שלם - יבמות")</f>
        <v>בנין שלם - יבמות</v>
      </c>
    </row>
    <row r="6282" spans="1:6" x14ac:dyDescent="0.2">
      <c r="A6282" t="s">
        <v>11366</v>
      </c>
      <c r="B6282" t="s">
        <v>11367</v>
      </c>
      <c r="C6282" t="s">
        <v>383</v>
      </c>
      <c r="D6282" t="s">
        <v>14</v>
      </c>
      <c r="E6282" t="s">
        <v>11368</v>
      </c>
      <c r="F6282" s="2" t="str">
        <f>HYPERLINK("http://www.otzar.org/book.asp?619957","בנין שלמה &lt;מהדורה חדשה&gt; - 2 כר'")</f>
        <v>בנין שלמה &lt;מהדורה חדשה&gt; - 2 כר'</v>
      </c>
    </row>
    <row r="6283" spans="1:6" x14ac:dyDescent="0.2">
      <c r="A6283" t="s">
        <v>11369</v>
      </c>
      <c r="B6283" t="s">
        <v>11367</v>
      </c>
      <c r="C6283" t="s">
        <v>151</v>
      </c>
      <c r="D6283" t="s">
        <v>14</v>
      </c>
      <c r="E6283" t="s">
        <v>15</v>
      </c>
      <c r="F6283" s="2" t="str">
        <f>HYPERLINK("http://www.otzar.org/book.asp?628720","בנין שלמה &lt;מהדורה מחודשת&gt; - ב")</f>
        <v>בנין שלמה &lt;מהדורה מחודשת&gt; - ב</v>
      </c>
    </row>
    <row r="6284" spans="1:6" x14ac:dyDescent="0.2">
      <c r="A6284" t="s">
        <v>11370</v>
      </c>
      <c r="B6284" t="s">
        <v>11371</v>
      </c>
      <c r="C6284" t="s">
        <v>189</v>
      </c>
      <c r="D6284" t="s">
        <v>14</v>
      </c>
      <c r="E6284" t="s">
        <v>15</v>
      </c>
      <c r="F6284" s="2" t="str">
        <f>HYPERLINK("http://www.otzar.org/book.asp?148026","בנין שלמה ואהל רחל")</f>
        <v>בנין שלמה ואהל רחל</v>
      </c>
    </row>
    <row r="6285" spans="1:6" x14ac:dyDescent="0.2">
      <c r="A6285" t="s">
        <v>11372</v>
      </c>
      <c r="B6285" t="s">
        <v>11373</v>
      </c>
      <c r="C6285" t="s">
        <v>433</v>
      </c>
      <c r="D6285" t="s">
        <v>260</v>
      </c>
      <c r="E6285" t="s">
        <v>463</v>
      </c>
      <c r="F6285" s="2" t="str">
        <f>HYPERLINK("http://www.otzar.org/book.asp?7196","בנין שלמה")</f>
        <v>בנין שלמה</v>
      </c>
    </row>
    <row r="6286" spans="1:6" x14ac:dyDescent="0.2">
      <c r="A6286" t="s">
        <v>11372</v>
      </c>
      <c r="B6286" t="s">
        <v>11374</v>
      </c>
      <c r="C6286" t="s">
        <v>462</v>
      </c>
      <c r="D6286" t="s">
        <v>2440</v>
      </c>
      <c r="E6286" t="s">
        <v>930</v>
      </c>
      <c r="F6286" s="2" t="str">
        <f>HYPERLINK("http://www.otzar.org/book.asp?143395","בנין שלמה")</f>
        <v>בנין שלמה</v>
      </c>
    </row>
    <row r="6287" spans="1:6" x14ac:dyDescent="0.2">
      <c r="A6287" t="s">
        <v>11372</v>
      </c>
      <c r="B6287" t="s">
        <v>11375</v>
      </c>
      <c r="C6287" t="s">
        <v>8294</v>
      </c>
      <c r="D6287" t="s">
        <v>6042</v>
      </c>
      <c r="E6287" t="s">
        <v>104</v>
      </c>
      <c r="F6287" s="2" t="str">
        <f>HYPERLINK("http://www.otzar.org/book.asp?53313","בנין שלמה")</f>
        <v>בנין שלמה</v>
      </c>
    </row>
    <row r="6288" spans="1:6" x14ac:dyDescent="0.2">
      <c r="A6288" t="s">
        <v>11376</v>
      </c>
      <c r="B6288" t="s">
        <v>11367</v>
      </c>
      <c r="C6288" t="s">
        <v>1047</v>
      </c>
      <c r="D6288" t="s">
        <v>56</v>
      </c>
      <c r="E6288" t="s">
        <v>4561</v>
      </c>
      <c r="F6288" s="2" t="str">
        <f>HYPERLINK("http://www.otzar.org/book.asp?880","בנין שלמה - 2 כר'")</f>
        <v>בנין שלמה - 2 כר'</v>
      </c>
    </row>
    <row r="6289" spans="1:6" x14ac:dyDescent="0.2">
      <c r="A6289" t="s">
        <v>11376</v>
      </c>
      <c r="B6289" t="s">
        <v>10485</v>
      </c>
      <c r="C6289" t="s">
        <v>5903</v>
      </c>
      <c r="D6289" t="s">
        <v>855</v>
      </c>
      <c r="E6289" t="s">
        <v>84</v>
      </c>
      <c r="F6289" s="2" t="str">
        <f>HYPERLINK("http://www.otzar.org/book.asp?23842","בנין שלמה - 2 כר'")</f>
        <v>בנין שלמה - 2 כר'</v>
      </c>
    </row>
    <row r="6290" spans="1:6" x14ac:dyDescent="0.2">
      <c r="A6290" t="s">
        <v>11377</v>
      </c>
      <c r="B6290" t="s">
        <v>11378</v>
      </c>
      <c r="C6290" t="s">
        <v>775</v>
      </c>
      <c r="D6290" t="s">
        <v>14</v>
      </c>
      <c r="E6290" t="s">
        <v>144</v>
      </c>
      <c r="F6290" s="2" t="str">
        <f>HYPERLINK("http://www.otzar.org/book.asp?169306","בנין שלמה - 6 כר'")</f>
        <v>בנין שלמה - 6 כר'</v>
      </c>
    </row>
    <row r="6291" spans="1:6" x14ac:dyDescent="0.2">
      <c r="A6291" t="s">
        <v>11372</v>
      </c>
      <c r="B6291" t="s">
        <v>11379</v>
      </c>
      <c r="C6291" t="s">
        <v>23</v>
      </c>
      <c r="D6291" t="s">
        <v>90</v>
      </c>
      <c r="E6291" t="s">
        <v>158</v>
      </c>
      <c r="F6291" s="2" t="str">
        <f>HYPERLINK("http://www.otzar.org/book.asp?192907","בנין שלמה")</f>
        <v>בנין שלמה</v>
      </c>
    </row>
    <row r="6292" spans="1:6" x14ac:dyDescent="0.2">
      <c r="A6292" t="s">
        <v>11372</v>
      </c>
      <c r="B6292" t="s">
        <v>11380</v>
      </c>
      <c r="C6292" t="s">
        <v>286</v>
      </c>
      <c r="D6292" t="s">
        <v>610</v>
      </c>
      <c r="E6292" t="s">
        <v>11381</v>
      </c>
      <c r="F6292" s="2" t="str">
        <f>HYPERLINK("http://www.otzar.org/book.asp?6711","בנין שלמה")</f>
        <v>בנין שלמה</v>
      </c>
    </row>
    <row r="6293" spans="1:6" x14ac:dyDescent="0.2">
      <c r="A6293" t="s">
        <v>11372</v>
      </c>
      <c r="B6293" t="s">
        <v>11371</v>
      </c>
      <c r="C6293" t="s">
        <v>189</v>
      </c>
      <c r="D6293" t="s">
        <v>14</v>
      </c>
      <c r="E6293" t="s">
        <v>144</v>
      </c>
      <c r="F6293" s="2" t="str">
        <f>HYPERLINK("http://www.otzar.org/book.asp?23558","בנין שלמה")</f>
        <v>בנין שלמה</v>
      </c>
    </row>
    <row r="6294" spans="1:6" x14ac:dyDescent="0.2">
      <c r="A6294" t="s">
        <v>11372</v>
      </c>
      <c r="B6294" t="s">
        <v>11382</v>
      </c>
      <c r="C6294" t="s">
        <v>11383</v>
      </c>
      <c r="D6294" t="s">
        <v>544</v>
      </c>
      <c r="E6294" t="s">
        <v>474</v>
      </c>
      <c r="F6294" s="2" t="str">
        <f>HYPERLINK("http://www.otzar.org/book.asp?141014","בנין שלמה")</f>
        <v>בנין שלמה</v>
      </c>
    </row>
    <row r="6295" spans="1:6" x14ac:dyDescent="0.2">
      <c r="A6295" t="s">
        <v>11372</v>
      </c>
      <c r="B6295" t="s">
        <v>11384</v>
      </c>
      <c r="C6295" t="s">
        <v>266</v>
      </c>
      <c r="D6295" t="s">
        <v>7342</v>
      </c>
      <c r="E6295" t="s">
        <v>154</v>
      </c>
      <c r="F6295" s="2" t="str">
        <f>HYPERLINK("http://www.otzar.org/book.asp?100427","בנין שלמה")</f>
        <v>בנין שלמה</v>
      </c>
    </row>
    <row r="6296" spans="1:6" x14ac:dyDescent="0.2">
      <c r="A6296" t="s">
        <v>11385</v>
      </c>
      <c r="B6296" t="s">
        <v>11386</v>
      </c>
      <c r="C6296" t="s">
        <v>185</v>
      </c>
      <c r="D6296" t="s">
        <v>14</v>
      </c>
      <c r="E6296" t="s">
        <v>172</v>
      </c>
      <c r="F6296" s="2" t="str">
        <f>HYPERLINK("http://www.otzar.org/book.asp?629633","בנין שמואל - אהע""ז")</f>
        <v>בנין שמואל - אהע"ז</v>
      </c>
    </row>
    <row r="6297" spans="1:6" x14ac:dyDescent="0.2">
      <c r="A6297" t="s">
        <v>11387</v>
      </c>
      <c r="B6297" t="s">
        <v>11388</v>
      </c>
      <c r="C6297" t="s">
        <v>1284</v>
      </c>
      <c r="D6297" t="s">
        <v>855</v>
      </c>
      <c r="E6297" t="s">
        <v>399</v>
      </c>
      <c r="F6297" s="2" t="str">
        <f>HYPERLINK("http://www.otzar.org/book.asp?15958","בנין שמואל")</f>
        <v>בנין שמואל</v>
      </c>
    </row>
    <row r="6298" spans="1:6" x14ac:dyDescent="0.2">
      <c r="A6298" t="s">
        <v>11389</v>
      </c>
      <c r="B6298" t="s">
        <v>11390</v>
      </c>
      <c r="C6298" t="s">
        <v>411</v>
      </c>
      <c r="D6298" t="s">
        <v>7277</v>
      </c>
      <c r="E6298" t="s">
        <v>15</v>
      </c>
      <c r="F6298" s="2" t="str">
        <f>HYPERLINK("http://www.otzar.org/book.asp?626618","בנינו כנטיעים - 2 כר'")</f>
        <v>בנינו כנטיעים - 2 כר'</v>
      </c>
    </row>
    <row r="6299" spans="1:6" x14ac:dyDescent="0.2">
      <c r="A6299" t="s">
        <v>11391</v>
      </c>
      <c r="B6299" t="s">
        <v>11392</v>
      </c>
      <c r="C6299" t="s">
        <v>13</v>
      </c>
      <c r="D6299" t="s">
        <v>14</v>
      </c>
      <c r="E6299" t="s">
        <v>213</v>
      </c>
      <c r="F6299" s="2" t="str">
        <f>HYPERLINK("http://www.otzar.org/book.asp?142792","בנינו של עולם")</f>
        <v>בנינו של עולם</v>
      </c>
    </row>
    <row r="6300" spans="1:6" x14ac:dyDescent="0.2">
      <c r="A6300" t="s">
        <v>11391</v>
      </c>
      <c r="B6300" t="s">
        <v>11393</v>
      </c>
      <c r="C6300" t="s">
        <v>68</v>
      </c>
      <c r="D6300" t="s">
        <v>14</v>
      </c>
      <c r="E6300" t="s">
        <v>15</v>
      </c>
      <c r="F6300" s="2" t="str">
        <f>HYPERLINK("http://www.otzar.org/book.asp?159473","בנינו של עולם")</f>
        <v>בנינו של עולם</v>
      </c>
    </row>
    <row r="6301" spans="1:6" x14ac:dyDescent="0.2">
      <c r="A6301" t="s">
        <v>11394</v>
      </c>
      <c r="B6301" t="s">
        <v>11395</v>
      </c>
      <c r="C6301" t="s">
        <v>244</v>
      </c>
      <c r="D6301" t="s">
        <v>21</v>
      </c>
      <c r="E6301" t="s">
        <v>15</v>
      </c>
      <c r="F6301" s="2" t="str">
        <f>HYPERLINK("http://www.otzar.org/book.asp?601488","בנית בית כנסת כהלכה")</f>
        <v>בנית בית כנסת כהלכה</v>
      </c>
    </row>
    <row r="6302" spans="1:6" x14ac:dyDescent="0.2">
      <c r="A6302" t="s">
        <v>11396</v>
      </c>
      <c r="B6302" t="s">
        <v>11397</v>
      </c>
      <c r="C6302" t="s">
        <v>411</v>
      </c>
      <c r="D6302" t="s">
        <v>115</v>
      </c>
      <c r="E6302" t="s">
        <v>104</v>
      </c>
      <c r="F6302" s="2" t="str">
        <f>HYPERLINK("http://www.otzar.org/book.asp?199425","בנית הבית")</f>
        <v>בנית הבית</v>
      </c>
    </row>
    <row r="6303" spans="1:6" x14ac:dyDescent="0.2">
      <c r="A6303" t="s">
        <v>11398</v>
      </c>
      <c r="B6303" t="s">
        <v>11399</v>
      </c>
      <c r="C6303" t="s">
        <v>71</v>
      </c>
      <c r="D6303" t="s">
        <v>14</v>
      </c>
      <c r="E6303" t="s">
        <v>234</v>
      </c>
      <c r="F6303" s="2" t="str">
        <f>HYPERLINK("http://www.otzar.org/book.asp?189006","בנסוע הארון")</f>
        <v>בנסוע הארון</v>
      </c>
    </row>
    <row r="6304" spans="1:6" x14ac:dyDescent="0.2">
      <c r="A6304" t="s">
        <v>11400</v>
      </c>
      <c r="B6304" t="s">
        <v>11401</v>
      </c>
      <c r="C6304" t="s">
        <v>843</v>
      </c>
      <c r="D6304" t="s">
        <v>27</v>
      </c>
      <c r="E6304" t="s">
        <v>930</v>
      </c>
      <c r="F6304" s="2" t="str">
        <f>HYPERLINK("http://www.otzar.org/book.asp?144186","בנערינו ובזקנינו")</f>
        <v>בנערינו ובזקנינו</v>
      </c>
    </row>
    <row r="6305" spans="1:6" x14ac:dyDescent="0.2">
      <c r="A6305" t="s">
        <v>11402</v>
      </c>
      <c r="B6305" t="s">
        <v>11403</v>
      </c>
      <c r="C6305" t="s">
        <v>496</v>
      </c>
      <c r="D6305" t="s">
        <v>11404</v>
      </c>
      <c r="E6305" t="s">
        <v>241</v>
      </c>
      <c r="F6305" s="2" t="str">
        <f>HYPERLINK("http://www.otzar.org/book.asp?300603","בנפלאותיך אשיחה")</f>
        <v>בנפלאותיך אשיחה</v>
      </c>
    </row>
    <row r="6306" spans="1:6" x14ac:dyDescent="0.2">
      <c r="A6306" t="s">
        <v>11405</v>
      </c>
      <c r="B6306" t="s">
        <v>11406</v>
      </c>
      <c r="C6306" t="s">
        <v>411</v>
      </c>
      <c r="D6306" t="s">
        <v>90</v>
      </c>
      <c r="E6306" t="s">
        <v>144</v>
      </c>
      <c r="F6306" s="2" t="str">
        <f>HYPERLINK("http://www.otzar.org/book.asp?629664","בנפש האגדה")</f>
        <v>בנפש האגדה</v>
      </c>
    </row>
    <row r="6307" spans="1:6" x14ac:dyDescent="0.2">
      <c r="A6307" t="s">
        <v>11407</v>
      </c>
      <c r="B6307" t="s">
        <v>7108</v>
      </c>
      <c r="C6307" t="s">
        <v>523</v>
      </c>
      <c r="D6307" t="s">
        <v>216</v>
      </c>
      <c r="E6307" t="s">
        <v>241</v>
      </c>
      <c r="F6307" s="2" t="str">
        <f>HYPERLINK("http://www.otzar.org/book.asp?620249","בנפתולי הזמן")</f>
        <v>בנפתולי הזמן</v>
      </c>
    </row>
    <row r="6308" spans="1:6" x14ac:dyDescent="0.2">
      <c r="A6308" t="s">
        <v>11408</v>
      </c>
      <c r="B6308" t="s">
        <v>11409</v>
      </c>
      <c r="C6308" t="s">
        <v>553</v>
      </c>
      <c r="D6308" t="s">
        <v>14</v>
      </c>
      <c r="E6308" t="s">
        <v>104</v>
      </c>
      <c r="F6308" s="2" t="str">
        <f>HYPERLINK("http://www.otzar.org/book.asp?189435","בנפתולי הימים")</f>
        <v>בנפתולי הימים</v>
      </c>
    </row>
    <row r="6309" spans="1:6" x14ac:dyDescent="0.2">
      <c r="A6309" t="s">
        <v>11410</v>
      </c>
      <c r="B6309" t="s">
        <v>11411</v>
      </c>
      <c r="C6309" t="s">
        <v>454</v>
      </c>
      <c r="D6309" t="s">
        <v>1974</v>
      </c>
      <c r="E6309" t="s">
        <v>2596</v>
      </c>
      <c r="F6309" s="2" t="str">
        <f>HYPERLINK("http://www.otzar.org/book.asp?143053","בנתיב החלב - 6 כר'")</f>
        <v>בנתיב החלב - 6 כר'</v>
      </c>
    </row>
    <row r="6310" spans="1:6" x14ac:dyDescent="0.2">
      <c r="A6310" t="s">
        <v>11412</v>
      </c>
      <c r="B6310" t="s">
        <v>552</v>
      </c>
      <c r="C6310" t="s">
        <v>785</v>
      </c>
      <c r="D6310" t="s">
        <v>1356</v>
      </c>
      <c r="E6310" t="s">
        <v>202</v>
      </c>
      <c r="F6310" s="2" t="str">
        <f>HYPERLINK("http://www.otzar.org/book.asp?15053","בנתיב החסד")</f>
        <v>בנתיב החסד</v>
      </c>
    </row>
    <row r="6311" spans="1:6" x14ac:dyDescent="0.2">
      <c r="A6311" t="s">
        <v>11413</v>
      </c>
      <c r="B6311" t="s">
        <v>11414</v>
      </c>
      <c r="C6311" t="s">
        <v>13</v>
      </c>
      <c r="D6311" t="s">
        <v>52</v>
      </c>
      <c r="E6311" t="s">
        <v>104</v>
      </c>
      <c r="F6311" s="2" t="str">
        <f>HYPERLINK("http://www.otzar.org/book.asp?625961","בנתיבות האיש - 2 כר'")</f>
        <v>בנתיבות האיש - 2 כר'</v>
      </c>
    </row>
    <row r="6312" spans="1:6" x14ac:dyDescent="0.2">
      <c r="A6312" t="s">
        <v>11415</v>
      </c>
      <c r="B6312" t="s">
        <v>7829</v>
      </c>
      <c r="C6312" t="s">
        <v>422</v>
      </c>
      <c r="D6312" t="s">
        <v>90</v>
      </c>
      <c r="E6312" t="s">
        <v>241</v>
      </c>
      <c r="F6312" s="2" t="str">
        <f>HYPERLINK("http://www.otzar.org/book.asp?148194","בנתיבות האמונה - 2 כר'")</f>
        <v>בנתיבות האמונה - 2 כר'</v>
      </c>
    </row>
    <row r="6313" spans="1:6" x14ac:dyDescent="0.2">
      <c r="A6313" t="s">
        <v>11416</v>
      </c>
      <c r="B6313" t="s">
        <v>11417</v>
      </c>
      <c r="C6313" t="s">
        <v>422</v>
      </c>
      <c r="D6313" t="s">
        <v>52</v>
      </c>
      <c r="F6313" s="2" t="str">
        <f>HYPERLINK("http://www.otzar.org/book.asp?156886","בנתיבות ההוראה - 13 כר'")</f>
        <v>בנתיבות ההוראה - 13 כר'</v>
      </c>
    </row>
    <row r="6314" spans="1:6" x14ac:dyDescent="0.2">
      <c r="A6314" t="s">
        <v>11418</v>
      </c>
      <c r="B6314" t="s">
        <v>11419</v>
      </c>
      <c r="C6314" t="s">
        <v>523</v>
      </c>
      <c r="D6314" t="s">
        <v>21</v>
      </c>
      <c r="E6314" t="s">
        <v>2596</v>
      </c>
      <c r="F6314" s="2" t="str">
        <f>HYPERLINK("http://www.otzar.org/book.asp?191493","בנתיבות ההלכה  &lt;כשרות&gt; - ב  ג'לטין")</f>
        <v>בנתיבות ההלכה  &lt;כשרות&gt; - ב  ג'לטין</v>
      </c>
    </row>
    <row r="6315" spans="1:6" x14ac:dyDescent="0.2">
      <c r="A6315" t="s">
        <v>11420</v>
      </c>
      <c r="B6315" t="s">
        <v>11421</v>
      </c>
      <c r="C6315" t="s">
        <v>523</v>
      </c>
      <c r="D6315" t="s">
        <v>21</v>
      </c>
      <c r="F6315" s="2" t="str">
        <f>HYPERLINK("http://www.otzar.org/book.asp?610945","בנתיבות ההלכה &lt;כשרות&gt; - 2 כר'")</f>
        <v>בנתיבות ההלכה &lt;כשרות&gt; - 2 כר'</v>
      </c>
    </row>
    <row r="6316" spans="1:6" x14ac:dyDescent="0.2">
      <c r="A6316" t="s">
        <v>11422</v>
      </c>
      <c r="B6316" t="s">
        <v>11421</v>
      </c>
      <c r="C6316" t="s">
        <v>176</v>
      </c>
      <c r="D6316" t="s">
        <v>21</v>
      </c>
      <c r="F6316" s="2" t="str">
        <f>HYPERLINK("http://www.otzar.org/book.asp?610973","בנתיבות ההלכה &lt;שבת&gt; - א  יין קידוש")</f>
        <v>בנתיבות ההלכה &lt;שבת&gt; - א  יין קידוש</v>
      </c>
    </row>
    <row r="6317" spans="1:6" x14ac:dyDescent="0.2">
      <c r="A6317" t="s">
        <v>11423</v>
      </c>
      <c r="B6317" t="s">
        <v>11424</v>
      </c>
      <c r="C6317" t="s">
        <v>13</v>
      </c>
      <c r="D6317" t="s">
        <v>14</v>
      </c>
      <c r="E6317" t="s">
        <v>202</v>
      </c>
      <c r="F6317" s="2" t="str">
        <f>HYPERLINK("http://www.otzar.org/book.asp?179601","בנתיבות ההלכה - 49 כר'")</f>
        <v>בנתיבות ההלכה - 49 כר'</v>
      </c>
    </row>
    <row r="6318" spans="1:6" x14ac:dyDescent="0.2">
      <c r="A6318" t="s">
        <v>11425</v>
      </c>
      <c r="B6318" t="s">
        <v>11426</v>
      </c>
      <c r="C6318" t="s">
        <v>1954</v>
      </c>
      <c r="D6318" t="s">
        <v>27</v>
      </c>
      <c r="E6318" t="s">
        <v>213</v>
      </c>
      <c r="F6318" s="2" t="str">
        <f>HYPERLINK("http://www.otzar.org/book.asp?15406","בנתיבות הזמן והנצח")</f>
        <v>בנתיבות הזמן והנצח</v>
      </c>
    </row>
    <row r="6319" spans="1:6" x14ac:dyDescent="0.2">
      <c r="A6319" t="s">
        <v>11427</v>
      </c>
      <c r="B6319" t="s">
        <v>3416</v>
      </c>
      <c r="C6319" t="s">
        <v>1388</v>
      </c>
      <c r="D6319" t="s">
        <v>14</v>
      </c>
      <c r="E6319" t="s">
        <v>64</v>
      </c>
      <c r="F6319" s="2" t="str">
        <f>HYPERLINK("http://www.otzar.org/book.asp?200038","בנתיבות המדרש")</f>
        <v>בנתיבות המדרש</v>
      </c>
    </row>
    <row r="6320" spans="1:6" x14ac:dyDescent="0.2">
      <c r="A6320" t="s">
        <v>11428</v>
      </c>
      <c r="B6320" t="s">
        <v>9318</v>
      </c>
      <c r="C6320" t="s">
        <v>23</v>
      </c>
      <c r="D6320" t="s">
        <v>21</v>
      </c>
      <c r="E6320" t="s">
        <v>246</v>
      </c>
      <c r="F6320" s="2" t="str">
        <f>HYPERLINK("http://www.otzar.org/book.asp?192308","בנתיבות המועדים")</f>
        <v>בנתיבות המועדים</v>
      </c>
    </row>
    <row r="6321" spans="1:6" x14ac:dyDescent="0.2">
      <c r="A6321" t="s">
        <v>11429</v>
      </c>
      <c r="B6321" t="s">
        <v>11430</v>
      </c>
      <c r="C6321" t="s">
        <v>146</v>
      </c>
      <c r="D6321" t="s">
        <v>52</v>
      </c>
      <c r="E6321" t="s">
        <v>202</v>
      </c>
      <c r="F6321" s="2" t="str">
        <f>HYPERLINK("http://www.otzar.org/book.asp?52714","בנתיבות המשפט")</f>
        <v>בנתיבות המשפט</v>
      </c>
    </row>
    <row r="6322" spans="1:6" x14ac:dyDescent="0.2">
      <c r="A6322" t="s">
        <v>11431</v>
      </c>
      <c r="B6322" t="s">
        <v>11432</v>
      </c>
      <c r="C6322" t="s">
        <v>189</v>
      </c>
      <c r="D6322" t="s">
        <v>14</v>
      </c>
      <c r="E6322" t="s">
        <v>2091</v>
      </c>
      <c r="F6322" s="2" t="str">
        <f>HYPERLINK("http://www.otzar.org/book.asp?144807","בנתיבות העיון - 9 כר'")</f>
        <v>בנתיבות העיון - 9 כר'</v>
      </c>
    </row>
    <row r="6323" spans="1:6" x14ac:dyDescent="0.2">
      <c r="A6323" t="s">
        <v>11433</v>
      </c>
      <c r="B6323" t="s">
        <v>11434</v>
      </c>
      <c r="C6323" t="s">
        <v>20</v>
      </c>
      <c r="D6323" t="s">
        <v>52</v>
      </c>
      <c r="E6323" t="s">
        <v>202</v>
      </c>
      <c r="F6323" s="2" t="str">
        <f>HYPERLINK("http://www.otzar.org/book.asp?625651","בנתיבות התלמוד - ב")</f>
        <v>בנתיבות התלמוד - ב</v>
      </c>
    </row>
    <row r="6324" spans="1:6" x14ac:dyDescent="0.2">
      <c r="A6324" t="s">
        <v>11435</v>
      </c>
      <c r="B6324" t="s">
        <v>11436</v>
      </c>
      <c r="C6324" t="s">
        <v>313</v>
      </c>
      <c r="D6324" t="s">
        <v>11437</v>
      </c>
      <c r="E6324" t="s">
        <v>733</v>
      </c>
      <c r="F6324" s="2" t="str">
        <f>HYPERLINK("http://www.otzar.org/book.asp?603221","בנתיבות התלמוד - תנאים")</f>
        <v>בנתיבות התלמוד - תנאים</v>
      </c>
    </row>
    <row r="6325" spans="1:6" x14ac:dyDescent="0.2">
      <c r="A6325" t="s">
        <v>11438</v>
      </c>
      <c r="B6325" t="s">
        <v>11439</v>
      </c>
      <c r="C6325" t="s">
        <v>454</v>
      </c>
      <c r="D6325" t="s">
        <v>412</v>
      </c>
      <c r="E6325" t="s">
        <v>15</v>
      </c>
      <c r="F6325" s="2" t="str">
        <f>HYPERLINK("http://www.otzar.org/book.asp?107366","בנתיבות התפילה")</f>
        <v>בנתיבות התפילה</v>
      </c>
    </row>
    <row r="6326" spans="1:6" x14ac:dyDescent="0.2">
      <c r="A6326" t="s">
        <v>11440</v>
      </c>
      <c r="B6326" t="s">
        <v>11441</v>
      </c>
      <c r="C6326" t="s">
        <v>411</v>
      </c>
      <c r="D6326" t="s">
        <v>21</v>
      </c>
      <c r="E6326" t="s">
        <v>144</v>
      </c>
      <c r="F6326" s="2" t="str">
        <f>HYPERLINK("http://www.otzar.org/book.asp?610189","בנתיבות חכמה - סוכה פ""א")</f>
        <v>בנתיבות חכמה - סוכה פ"א</v>
      </c>
    </row>
    <row r="6327" spans="1:6" x14ac:dyDescent="0.2">
      <c r="A6327" t="s">
        <v>11442</v>
      </c>
      <c r="B6327" t="s">
        <v>489</v>
      </c>
      <c r="C6327" t="s">
        <v>919</v>
      </c>
      <c r="D6327" t="s">
        <v>115</v>
      </c>
      <c r="E6327" t="s">
        <v>186</v>
      </c>
      <c r="F6327" s="2" t="str">
        <f>HYPERLINK("http://www.otzar.org/book.asp?105295","בנתיבות ים - 18 כר'")</f>
        <v>בנתיבות ים - 18 כר'</v>
      </c>
    </row>
    <row r="6328" spans="1:6" x14ac:dyDescent="0.2">
      <c r="A6328" t="s">
        <v>11443</v>
      </c>
      <c r="B6328" t="s">
        <v>107</v>
      </c>
      <c r="C6328" t="s">
        <v>366</v>
      </c>
      <c r="D6328" t="s">
        <v>14</v>
      </c>
      <c r="E6328" t="s">
        <v>104</v>
      </c>
      <c r="F6328" s="2" t="str">
        <f>HYPERLINK("http://www.otzar.org/book.asp?622158","בנתיבות רחוקים")</f>
        <v>בנתיבות רחוקים</v>
      </c>
    </row>
    <row r="6329" spans="1:6" x14ac:dyDescent="0.2">
      <c r="A6329" t="s">
        <v>11444</v>
      </c>
      <c r="B6329" t="s">
        <v>5498</v>
      </c>
      <c r="C6329" t="s">
        <v>334</v>
      </c>
      <c r="D6329" t="s">
        <v>52</v>
      </c>
      <c r="E6329" t="s">
        <v>750</v>
      </c>
      <c r="F6329" s="2" t="str">
        <f>HYPERLINK("http://www.otzar.org/book.asp?63691","בנתיבות שבים - אל המקורות")</f>
        <v>בנתיבות שבים - אל המקורות</v>
      </c>
    </row>
    <row r="6330" spans="1:6" x14ac:dyDescent="0.2">
      <c r="A6330" t="s">
        <v>11445</v>
      </c>
      <c r="B6330" t="s">
        <v>11446</v>
      </c>
      <c r="C6330" t="s">
        <v>20</v>
      </c>
      <c r="D6330" t="s">
        <v>90</v>
      </c>
      <c r="E6330" t="s">
        <v>104</v>
      </c>
      <c r="F6330" s="2" t="str">
        <f>HYPERLINK("http://www.otzar.org/book.asp?605438","בנתיבותיך פולין")</f>
        <v>בנתיבותיך פולין</v>
      </c>
    </row>
    <row r="6331" spans="1:6" x14ac:dyDescent="0.2">
      <c r="A6331" t="s">
        <v>11447</v>
      </c>
      <c r="B6331" t="s">
        <v>1402</v>
      </c>
      <c r="C6331" t="s">
        <v>103</v>
      </c>
      <c r="D6331" t="s">
        <v>52</v>
      </c>
      <c r="E6331" t="s">
        <v>84</v>
      </c>
      <c r="F6331" s="2" t="str">
        <f>HYPERLINK("http://www.otzar.org/book.asp?157867","בנתיבי אבות על מסכת אבות")</f>
        <v>בנתיבי אבות על מסכת אבות</v>
      </c>
    </row>
    <row r="6332" spans="1:6" x14ac:dyDescent="0.2">
      <c r="A6332" t="s">
        <v>11448</v>
      </c>
      <c r="B6332" t="s">
        <v>11449</v>
      </c>
      <c r="C6332" t="s">
        <v>17</v>
      </c>
      <c r="D6332" t="s">
        <v>412</v>
      </c>
      <c r="E6332" t="s">
        <v>104</v>
      </c>
      <c r="F6332" s="2" t="str">
        <f>HYPERLINK("http://www.otzar.org/book.asp?606514","בנתיבי אשכנז")</f>
        <v>בנתיבי אשכנז</v>
      </c>
    </row>
    <row r="6333" spans="1:6" x14ac:dyDescent="0.2">
      <c r="A6333" t="s">
        <v>11450</v>
      </c>
      <c r="B6333" t="s">
        <v>11451</v>
      </c>
      <c r="C6333" t="s">
        <v>114</v>
      </c>
      <c r="D6333" t="s">
        <v>2798</v>
      </c>
      <c r="F6333" s="2" t="str">
        <f>HYPERLINK("http://www.otzar.org/book.asp?609078","בנתיבי המהר""ל - ביאור ע""ס תפארת ישראל")</f>
        <v>בנתיבי המהר"ל - ביאור ע"ס תפארת ישראל</v>
      </c>
    </row>
    <row r="6334" spans="1:6" x14ac:dyDescent="0.2">
      <c r="A6334" t="s">
        <v>11452</v>
      </c>
      <c r="B6334" t="s">
        <v>11453</v>
      </c>
      <c r="C6334" t="s">
        <v>332</v>
      </c>
      <c r="D6334" t="s">
        <v>216</v>
      </c>
      <c r="E6334" t="s">
        <v>202</v>
      </c>
      <c r="F6334" s="2" t="str">
        <f>HYPERLINK("http://www.otzar.org/book.asp?180482","בנתיבי חסד ואמת - 4 כר'")</f>
        <v>בנתיבי חסד ואמת - 4 כר'</v>
      </c>
    </row>
    <row r="6335" spans="1:6" x14ac:dyDescent="0.2">
      <c r="A6335" t="s">
        <v>11454</v>
      </c>
      <c r="B6335" t="s">
        <v>11455</v>
      </c>
      <c r="C6335" t="s">
        <v>1619</v>
      </c>
      <c r="D6335" t="s">
        <v>14</v>
      </c>
      <c r="E6335" t="s">
        <v>140</v>
      </c>
      <c r="F6335" s="2" t="str">
        <f>HYPERLINK("http://www.otzar.org/book.asp?172312","בנתיבי חסידות איזביצא -ראדזין")</f>
        <v>בנתיבי חסידות איזביצא -ראדזין</v>
      </c>
    </row>
    <row r="6336" spans="1:6" x14ac:dyDescent="0.2">
      <c r="A6336" t="s">
        <v>11456</v>
      </c>
      <c r="B6336" t="s">
        <v>11457</v>
      </c>
      <c r="C6336" t="s">
        <v>1570</v>
      </c>
      <c r="D6336" t="s">
        <v>52</v>
      </c>
      <c r="E6336" t="s">
        <v>140</v>
      </c>
      <c r="F6336" s="2" t="str">
        <f>HYPERLINK("http://www.otzar.org/book.asp?604322","בנתיבי חסידות פולין")</f>
        <v>בנתיבי חסידות פולין</v>
      </c>
    </row>
    <row r="6337" spans="1:6" x14ac:dyDescent="0.2">
      <c r="A6337" t="s">
        <v>11458</v>
      </c>
      <c r="B6337" t="s">
        <v>206</v>
      </c>
      <c r="C6337" t="s">
        <v>20</v>
      </c>
      <c r="D6337" t="s">
        <v>90</v>
      </c>
      <c r="E6337" t="s">
        <v>104</v>
      </c>
      <c r="F6337" s="2" t="str">
        <f>HYPERLINK("http://www.otzar.org/book.asp?173262","בנתיבי מלכות - 2 כר'")</f>
        <v>בנתיבי מלכות - 2 כר'</v>
      </c>
    </row>
    <row r="6338" spans="1:6" x14ac:dyDescent="0.2">
      <c r="A6338" t="s">
        <v>11459</v>
      </c>
      <c r="B6338" t="s">
        <v>11460</v>
      </c>
      <c r="C6338" t="s">
        <v>71</v>
      </c>
      <c r="D6338" t="s">
        <v>52</v>
      </c>
      <c r="E6338" t="s">
        <v>119</v>
      </c>
      <c r="F6338" s="2" t="str">
        <f>HYPERLINK("http://www.otzar.org/book.asp?163776","בסוד ישרים ועדה")</f>
        <v>בסוד ישרים ועדה</v>
      </c>
    </row>
    <row r="6339" spans="1:6" x14ac:dyDescent="0.2">
      <c r="A6339" t="s">
        <v>11461</v>
      </c>
      <c r="B6339" t="s">
        <v>11462</v>
      </c>
      <c r="C6339" t="s">
        <v>176</v>
      </c>
      <c r="D6339" t="s">
        <v>52</v>
      </c>
      <c r="E6339" t="s">
        <v>241</v>
      </c>
      <c r="F6339" s="2" t="str">
        <f>HYPERLINK("http://www.otzar.org/book.asp?107329","בסוד ישרים - 5 כר'")</f>
        <v>בסוד ישרים - 5 כר'</v>
      </c>
    </row>
    <row r="6340" spans="1:6" x14ac:dyDescent="0.2">
      <c r="A6340" t="s">
        <v>11463</v>
      </c>
      <c r="B6340" t="s">
        <v>11464</v>
      </c>
      <c r="C6340" t="s">
        <v>51</v>
      </c>
      <c r="D6340" t="s">
        <v>21</v>
      </c>
      <c r="F6340" s="2" t="str">
        <f>HYPERLINK("http://www.otzar.org/book.asp?191690","בסוד ישרים")</f>
        <v>בסוד ישרים</v>
      </c>
    </row>
    <row r="6341" spans="1:6" x14ac:dyDescent="0.2">
      <c r="A6341" t="s">
        <v>11465</v>
      </c>
      <c r="B6341" t="s">
        <v>11466</v>
      </c>
      <c r="C6341" t="s">
        <v>411</v>
      </c>
      <c r="D6341" t="s">
        <v>14</v>
      </c>
      <c r="E6341" t="s">
        <v>158</v>
      </c>
      <c r="F6341" s="2" t="str">
        <f>HYPERLINK("http://www.otzar.org/book.asp?165990","בסוד נביאך - יונה")</f>
        <v>בסוד נביאך - יונה</v>
      </c>
    </row>
    <row r="6342" spans="1:6" x14ac:dyDescent="0.2">
      <c r="A6342" t="s">
        <v>11467</v>
      </c>
      <c r="B6342" t="s">
        <v>5867</v>
      </c>
      <c r="C6342" t="s">
        <v>143</v>
      </c>
      <c r="D6342" t="s">
        <v>52</v>
      </c>
      <c r="E6342" t="s">
        <v>104</v>
      </c>
      <c r="F6342" s="2" t="str">
        <f>HYPERLINK("http://www.otzar.org/book.asp?153875","בסוד עבדיך - 10 כר'")</f>
        <v>בסוד עבדיך - 10 כר'</v>
      </c>
    </row>
    <row r="6343" spans="1:6" x14ac:dyDescent="0.2">
      <c r="A6343" t="s">
        <v>11468</v>
      </c>
      <c r="B6343" t="s">
        <v>11469</v>
      </c>
      <c r="D6343" t="s">
        <v>21</v>
      </c>
      <c r="E6343" t="s">
        <v>158</v>
      </c>
      <c r="F6343" s="2" t="str">
        <f>HYPERLINK("http://www.otzar.org/book.asp?605019","בסוד שיח התורה")</f>
        <v>בסוד שיח התורה</v>
      </c>
    </row>
    <row r="6344" spans="1:6" x14ac:dyDescent="0.2">
      <c r="A6344" t="s">
        <v>11470</v>
      </c>
      <c r="B6344" t="s">
        <v>11471</v>
      </c>
      <c r="C6344" t="s">
        <v>624</v>
      </c>
      <c r="D6344" t="s">
        <v>11472</v>
      </c>
      <c r="E6344" t="s">
        <v>130</v>
      </c>
      <c r="F6344" s="2" t="str">
        <f>HYPERLINK("http://www.otzar.org/book.asp?162804","בסוכת תשבו - הלכות ישיבה בסוכה")</f>
        <v>בסוכת תשבו - הלכות ישיבה בסוכה</v>
      </c>
    </row>
    <row r="6345" spans="1:6" x14ac:dyDescent="0.2">
      <c r="A6345" t="s">
        <v>11473</v>
      </c>
      <c r="B6345" t="s">
        <v>3554</v>
      </c>
      <c r="C6345" t="s">
        <v>1448</v>
      </c>
      <c r="D6345" t="s">
        <v>52</v>
      </c>
      <c r="E6345" t="s">
        <v>119</v>
      </c>
      <c r="F6345" s="2" t="str">
        <f>HYPERLINK("http://www.otzar.org/book.asp?143526","בסופה ובסערה")</f>
        <v>בסופה ובסערה</v>
      </c>
    </row>
    <row r="6346" spans="1:6" x14ac:dyDescent="0.2">
      <c r="A6346" t="s">
        <v>11474</v>
      </c>
      <c r="B6346" t="s">
        <v>4485</v>
      </c>
      <c r="C6346" t="s">
        <v>13</v>
      </c>
      <c r="D6346" t="s">
        <v>52</v>
      </c>
      <c r="E6346" t="s">
        <v>3055</v>
      </c>
      <c r="F6346" s="2" t="str">
        <f>HYPERLINK("http://www.otzar.org/book.asp?157802","בספר חיים - אלול תשרי")</f>
        <v>בספר חיים - אלול תשרי</v>
      </c>
    </row>
    <row r="6347" spans="1:6" x14ac:dyDescent="0.2">
      <c r="A6347" t="s">
        <v>11475</v>
      </c>
      <c r="B6347" t="s">
        <v>11476</v>
      </c>
      <c r="C6347" t="s">
        <v>785</v>
      </c>
      <c r="D6347" t="s">
        <v>14</v>
      </c>
      <c r="E6347" t="s">
        <v>119</v>
      </c>
      <c r="F6347" s="2" t="str">
        <f>HYPERLINK("http://www.otzar.org/book.asp?189995","בסתר המדרגה")</f>
        <v>בסתר המדרגה</v>
      </c>
    </row>
    <row r="6348" spans="1:6" x14ac:dyDescent="0.2">
      <c r="A6348" t="s">
        <v>11475</v>
      </c>
      <c r="B6348" t="s">
        <v>11477</v>
      </c>
      <c r="C6348" t="s">
        <v>133</v>
      </c>
      <c r="D6348" t="s">
        <v>52</v>
      </c>
      <c r="E6348" t="s">
        <v>202</v>
      </c>
      <c r="F6348" s="2" t="str">
        <f>HYPERLINK("http://www.otzar.org/book.asp?614383","בסתר המדרגה")</f>
        <v>בסתר המדרגה</v>
      </c>
    </row>
    <row r="6349" spans="1:6" x14ac:dyDescent="0.2">
      <c r="A6349" t="s">
        <v>11475</v>
      </c>
      <c r="B6349" t="s">
        <v>11478</v>
      </c>
      <c r="C6349" t="s">
        <v>68</v>
      </c>
      <c r="D6349" t="s">
        <v>52</v>
      </c>
      <c r="F6349" s="2" t="str">
        <f>HYPERLINK("http://www.otzar.org/book.asp?613992","בסתר המדרגה")</f>
        <v>בסתר המדרגה</v>
      </c>
    </row>
    <row r="6350" spans="1:6" x14ac:dyDescent="0.2">
      <c r="A6350" t="s">
        <v>11479</v>
      </c>
      <c r="B6350" t="s">
        <v>11480</v>
      </c>
      <c r="C6350" t="s">
        <v>17</v>
      </c>
      <c r="D6350" t="s">
        <v>14</v>
      </c>
      <c r="E6350" t="s">
        <v>5935</v>
      </c>
      <c r="F6350" s="2" t="str">
        <f>HYPERLINK("http://www.otzar.org/book.asp?200706","בעבודתו ינחלוה")</f>
        <v>בעבודתו ינחלוה</v>
      </c>
    </row>
    <row r="6351" spans="1:6" x14ac:dyDescent="0.2">
      <c r="A6351" t="s">
        <v>11481</v>
      </c>
      <c r="B6351" t="s">
        <v>11482</v>
      </c>
      <c r="C6351" t="s">
        <v>523</v>
      </c>
      <c r="D6351" t="s">
        <v>90</v>
      </c>
      <c r="F6351" s="2" t="str">
        <f>HYPERLINK("http://www.otzar.org/book.asp?189764","בעול המצוות")</f>
        <v>בעול המצוות</v>
      </c>
    </row>
    <row r="6352" spans="1:6" x14ac:dyDescent="0.2">
      <c r="A6352" t="s">
        <v>11483</v>
      </c>
      <c r="B6352" t="s">
        <v>11484</v>
      </c>
      <c r="C6352" t="s">
        <v>1388</v>
      </c>
      <c r="D6352" t="s">
        <v>14</v>
      </c>
      <c r="E6352" t="s">
        <v>154</v>
      </c>
      <c r="F6352" s="2" t="str">
        <f>HYPERLINK("http://www.otzar.org/book.asp?152223","בעי חיי - 5 כר'")</f>
        <v>בעי חיי - 5 כר'</v>
      </c>
    </row>
    <row r="6353" spans="1:6" x14ac:dyDescent="0.2">
      <c r="A6353" t="s">
        <v>11485</v>
      </c>
      <c r="B6353" t="s">
        <v>11486</v>
      </c>
      <c r="C6353" t="s">
        <v>1619</v>
      </c>
      <c r="D6353" t="s">
        <v>52</v>
      </c>
      <c r="E6353" t="s">
        <v>81</v>
      </c>
      <c r="F6353" s="2" t="str">
        <f>HYPERLINK("http://www.otzar.org/book.asp?14685","בעיות הזמן")</f>
        <v>בעיות הזמן</v>
      </c>
    </row>
    <row r="6354" spans="1:6" x14ac:dyDescent="0.2">
      <c r="A6354" t="s">
        <v>11487</v>
      </c>
      <c r="B6354" t="s">
        <v>4606</v>
      </c>
      <c r="C6354" t="s">
        <v>427</v>
      </c>
      <c r="D6354" t="s">
        <v>14</v>
      </c>
      <c r="E6354" t="s">
        <v>714</v>
      </c>
      <c r="F6354" s="2" t="str">
        <f>HYPERLINK("http://www.otzar.org/book.asp?105298","בעיות הזמן - 2 כר'")</f>
        <v>בעיות הזמן - 2 כר'</v>
      </c>
    </row>
    <row r="6355" spans="1:6" x14ac:dyDescent="0.2">
      <c r="A6355" t="s">
        <v>11488</v>
      </c>
      <c r="B6355" t="s">
        <v>11489</v>
      </c>
      <c r="C6355" t="s">
        <v>3205</v>
      </c>
      <c r="D6355" t="s">
        <v>27</v>
      </c>
      <c r="E6355" t="s">
        <v>733</v>
      </c>
      <c r="F6355" s="2" t="str">
        <f>HYPERLINK("http://www.otzar.org/book.asp?149412","בעיות החינוך")</f>
        <v>בעיות החינוך</v>
      </c>
    </row>
    <row r="6356" spans="1:6" x14ac:dyDescent="0.2">
      <c r="A6356" t="s">
        <v>11490</v>
      </c>
      <c r="B6356" t="s">
        <v>11491</v>
      </c>
      <c r="C6356" t="s">
        <v>114</v>
      </c>
      <c r="D6356" t="s">
        <v>6853</v>
      </c>
      <c r="E6356" t="s">
        <v>104</v>
      </c>
      <c r="F6356" s="2" t="str">
        <f>HYPERLINK("http://www.otzar.org/book.asp?195178","בעין טובה - 2 כר'")</f>
        <v>בעין טובה - 2 כר'</v>
      </c>
    </row>
    <row r="6357" spans="1:6" x14ac:dyDescent="0.2">
      <c r="A6357" t="s">
        <v>11492</v>
      </c>
      <c r="B6357" t="s">
        <v>11493</v>
      </c>
      <c r="C6357" t="s">
        <v>523</v>
      </c>
      <c r="D6357" t="s">
        <v>52</v>
      </c>
      <c r="E6357" t="s">
        <v>213</v>
      </c>
      <c r="F6357" s="2" t="str">
        <f>HYPERLINK("http://www.otzar.org/book.asp?603964","בעין יהודית - 5 כר'")</f>
        <v>בעין יהודית - 5 כר'</v>
      </c>
    </row>
    <row r="6358" spans="1:6" x14ac:dyDescent="0.2">
      <c r="A6358" t="s">
        <v>11494</v>
      </c>
      <c r="B6358" t="s">
        <v>5753</v>
      </c>
      <c r="C6358" t="s">
        <v>124</v>
      </c>
      <c r="D6358" t="s">
        <v>14</v>
      </c>
      <c r="E6358" t="s">
        <v>674</v>
      </c>
      <c r="F6358" s="2" t="str">
        <f>HYPERLINK("http://www.otzar.org/book.asp?12644","בעית הכהנים בבתי חולים")</f>
        <v>בעית הכהנים בבתי חולים</v>
      </c>
    </row>
    <row r="6359" spans="1:6" x14ac:dyDescent="0.2">
      <c r="A6359" t="s">
        <v>11495</v>
      </c>
      <c r="B6359" t="s">
        <v>11496</v>
      </c>
      <c r="C6359" t="s">
        <v>168</v>
      </c>
      <c r="D6359" t="s">
        <v>14</v>
      </c>
      <c r="E6359" t="s">
        <v>15</v>
      </c>
      <c r="F6359" s="2" t="str">
        <f>HYPERLINK("http://www.otzar.org/book.asp?15263","בעית הנשירה לאור ההלכה")</f>
        <v>בעית הנשירה לאור ההלכה</v>
      </c>
    </row>
    <row r="6360" spans="1:6" x14ac:dyDescent="0.2">
      <c r="A6360" t="s">
        <v>11497</v>
      </c>
      <c r="B6360" t="s">
        <v>10997</v>
      </c>
      <c r="C6360" t="s">
        <v>533</v>
      </c>
      <c r="D6360" t="s">
        <v>52</v>
      </c>
      <c r="E6360" t="s">
        <v>226</v>
      </c>
      <c r="F6360" s="2" t="str">
        <f>HYPERLINK("http://www.otzar.org/book.asp?158758","בעל דמשק אליעזר")</f>
        <v>בעל דמשק אליעזר</v>
      </c>
    </row>
    <row r="6361" spans="1:6" x14ac:dyDescent="0.2">
      <c r="A6361" t="s">
        <v>11498</v>
      </c>
      <c r="B6361" t="s">
        <v>11499</v>
      </c>
      <c r="C6361" t="s">
        <v>767</v>
      </c>
      <c r="D6361" t="s">
        <v>14</v>
      </c>
      <c r="E6361" t="s">
        <v>158</v>
      </c>
      <c r="F6361" s="2" t="str">
        <f>HYPERLINK("http://www.otzar.org/book.asp?63031","בעל הטורים &lt;עטרות אד""ר&gt; - 2 כר'")</f>
        <v>בעל הטורים &lt;עטרות אד"ר&gt; - 2 כר'</v>
      </c>
    </row>
    <row r="6362" spans="1:6" x14ac:dyDescent="0.2">
      <c r="A6362" t="s">
        <v>11500</v>
      </c>
      <c r="B6362" t="s">
        <v>11501</v>
      </c>
      <c r="C6362" t="s">
        <v>250</v>
      </c>
      <c r="D6362" t="s">
        <v>744</v>
      </c>
      <c r="E6362" t="s">
        <v>15</v>
      </c>
      <c r="F6362" s="2" t="str">
        <f>HYPERLINK("http://www.otzar.org/book.asp?104295","בעל הנפש - 2 כר'")</f>
        <v>בעל הנפש - 2 כר'</v>
      </c>
    </row>
    <row r="6363" spans="1:6" x14ac:dyDescent="0.2">
      <c r="A6363" t="s">
        <v>11502</v>
      </c>
      <c r="B6363" t="s">
        <v>11503</v>
      </c>
      <c r="C6363" t="s">
        <v>143</v>
      </c>
      <c r="D6363" t="s">
        <v>423</v>
      </c>
      <c r="E6363" t="s">
        <v>2135</v>
      </c>
      <c r="F6363" s="2" t="str">
        <f>HYPERLINK("http://www.otzar.org/book.asp?155255","בעל הקריאה")</f>
        <v>בעל הקריאה</v>
      </c>
    </row>
    <row r="6364" spans="1:6" x14ac:dyDescent="0.2">
      <c r="A6364" t="s">
        <v>11504</v>
      </c>
      <c r="B6364" t="s">
        <v>11505</v>
      </c>
      <c r="C6364" t="s">
        <v>576</v>
      </c>
      <c r="D6364" t="s">
        <v>9</v>
      </c>
      <c r="E6364" t="s">
        <v>241</v>
      </c>
      <c r="F6364" s="2" t="str">
        <f>HYPERLINK("http://www.otzar.org/book.asp?300605","בעל השדה")</f>
        <v>בעל השדה</v>
      </c>
    </row>
    <row r="6365" spans="1:6" x14ac:dyDescent="0.2">
      <c r="A6365" t="s">
        <v>11506</v>
      </c>
      <c r="B6365" t="s">
        <v>11507</v>
      </c>
      <c r="C6365" t="s">
        <v>79</v>
      </c>
      <c r="D6365" t="s">
        <v>1654</v>
      </c>
      <c r="E6365" t="s">
        <v>5398</v>
      </c>
      <c r="F6365" s="2" t="str">
        <f>HYPERLINK("http://www.otzar.org/book.asp?194928","בעל השם ממיכלשטדט")</f>
        <v>בעל השם ממיכלשטדט</v>
      </c>
    </row>
    <row r="6366" spans="1:6" x14ac:dyDescent="0.2">
      <c r="A6366" t="s">
        <v>11508</v>
      </c>
      <c r="B6366" t="s">
        <v>11509</v>
      </c>
      <c r="C6366" t="s">
        <v>11510</v>
      </c>
      <c r="D6366" t="s">
        <v>11511</v>
      </c>
      <c r="E6366" t="s">
        <v>10</v>
      </c>
      <c r="F6366" s="2" t="str">
        <f>HYPERLINK("http://www.otzar.org/book.asp?171523","בעל פה - 3 כר'")</f>
        <v>בעל פה - 3 כר'</v>
      </c>
    </row>
    <row r="6367" spans="1:6" x14ac:dyDescent="0.2">
      <c r="A6367" t="s">
        <v>11512</v>
      </c>
      <c r="B6367" t="s">
        <v>11513</v>
      </c>
      <c r="C6367" t="s">
        <v>466</v>
      </c>
      <c r="D6367" t="s">
        <v>14</v>
      </c>
      <c r="E6367" t="s">
        <v>158</v>
      </c>
      <c r="F6367" s="2" t="str">
        <f>HYPERLINK("http://www.otzar.org/book.asp?157660","בעל שם טוב  &lt;מהדורה חדשה&gt; - 2 כר'")</f>
        <v>בעל שם טוב  &lt;מהדורה חדשה&gt; - 2 כר'</v>
      </c>
    </row>
    <row r="6368" spans="1:6" x14ac:dyDescent="0.2">
      <c r="A6368" t="s">
        <v>11514</v>
      </c>
      <c r="B6368" t="s">
        <v>11515</v>
      </c>
      <c r="C6368" t="s">
        <v>11516</v>
      </c>
      <c r="D6368" t="s">
        <v>11517</v>
      </c>
      <c r="E6368" t="s">
        <v>226</v>
      </c>
      <c r="F6368" s="2" t="str">
        <f>HYPERLINK("http://www.otzar.org/book.asp?165346","בעל שם טוב")</f>
        <v>בעל שם טוב</v>
      </c>
    </row>
    <row r="6369" spans="1:6" x14ac:dyDescent="0.2">
      <c r="A6369" t="s">
        <v>11518</v>
      </c>
      <c r="B6369" t="s">
        <v>11519</v>
      </c>
      <c r="C6369" t="s">
        <v>956</v>
      </c>
      <c r="D6369" t="s">
        <v>14</v>
      </c>
      <c r="E6369" t="s">
        <v>8029</v>
      </c>
      <c r="F6369" s="2" t="str">
        <f>HYPERLINK("http://www.otzar.org/book.asp?164280","בעל שם טוב  - נ""ך ואגדות הש""ס")</f>
        <v>בעל שם טוב  - נ"ך ואגדות הש"ס</v>
      </c>
    </row>
    <row r="6370" spans="1:6" x14ac:dyDescent="0.2">
      <c r="A6370" t="s">
        <v>11520</v>
      </c>
      <c r="B6370" t="s">
        <v>3286</v>
      </c>
      <c r="C6370" t="s">
        <v>919</v>
      </c>
      <c r="D6370" t="s">
        <v>90</v>
      </c>
      <c r="E6370" t="s">
        <v>119</v>
      </c>
      <c r="F6370" s="2" t="str">
        <f>HYPERLINK("http://www.otzar.org/book.asp?618752","בעל תפארת ישראל וצואתו")</f>
        <v>בעל תפארת ישראל וצואתו</v>
      </c>
    </row>
    <row r="6371" spans="1:6" x14ac:dyDescent="0.2">
      <c r="A6371" t="s">
        <v>11521</v>
      </c>
      <c r="B6371" t="s">
        <v>11522</v>
      </c>
      <c r="C6371" t="s">
        <v>1535</v>
      </c>
      <c r="D6371" t="s">
        <v>216</v>
      </c>
      <c r="E6371" t="s">
        <v>241</v>
      </c>
      <c r="F6371" s="2" t="str">
        <f>HYPERLINK("http://www.otzar.org/book.asp?167927","בעל תשובה")</f>
        <v>בעל תשובה</v>
      </c>
    </row>
    <row r="6372" spans="1:6" x14ac:dyDescent="0.2">
      <c r="A6372" t="s">
        <v>11523</v>
      </c>
      <c r="B6372" t="s">
        <v>11524</v>
      </c>
      <c r="C6372" t="s">
        <v>20</v>
      </c>
      <c r="D6372" t="s">
        <v>52</v>
      </c>
      <c r="E6372" t="s">
        <v>104</v>
      </c>
      <c r="F6372" s="2" t="str">
        <f>HYPERLINK("http://www.otzar.org/book.asp?602455","בעלות המנחה &lt;ע""ס מנחת חינוך&gt; - 6 כר'")</f>
        <v>בעלות המנחה &lt;ע"ס מנחת חינוך&gt; - 6 כר'</v>
      </c>
    </row>
    <row r="6373" spans="1:6" x14ac:dyDescent="0.2">
      <c r="A6373" t="s">
        <v>11525</v>
      </c>
      <c r="B6373" t="s">
        <v>11526</v>
      </c>
      <c r="C6373" t="s">
        <v>133</v>
      </c>
      <c r="D6373" t="s">
        <v>90</v>
      </c>
      <c r="E6373" t="s">
        <v>202</v>
      </c>
      <c r="F6373" s="2" t="str">
        <f>HYPERLINK("http://www.otzar.org/book.asp?195454","בעלי אסופות - 3 כר'")</f>
        <v>בעלי אסופות - 3 כר'</v>
      </c>
    </row>
    <row r="6374" spans="1:6" x14ac:dyDescent="0.2">
      <c r="A6374" t="s">
        <v>11527</v>
      </c>
      <c r="B6374" t="s">
        <v>11528</v>
      </c>
      <c r="C6374" t="s">
        <v>422</v>
      </c>
      <c r="D6374" t="s">
        <v>21</v>
      </c>
      <c r="F6374" s="2" t="str">
        <f>HYPERLINK("http://www.otzar.org/book.asp?196582","בעלי אסופות - סנהדרין")</f>
        <v>בעלי אסופות - סנהדרין</v>
      </c>
    </row>
    <row r="6375" spans="1:6" x14ac:dyDescent="0.2">
      <c r="A6375" t="s">
        <v>11529</v>
      </c>
      <c r="B6375" t="s">
        <v>11530</v>
      </c>
      <c r="C6375" t="s">
        <v>176</v>
      </c>
      <c r="D6375" t="s">
        <v>14</v>
      </c>
      <c r="E6375" t="s">
        <v>202</v>
      </c>
      <c r="F6375" s="2" t="str">
        <f>HYPERLINK("http://www.otzar.org/book.asp?169016","בעלי אסופות")</f>
        <v>בעלי אסופות</v>
      </c>
    </row>
    <row r="6376" spans="1:6" x14ac:dyDescent="0.2">
      <c r="A6376" t="s">
        <v>11531</v>
      </c>
      <c r="B6376" t="s">
        <v>1895</v>
      </c>
      <c r="C6376" t="s">
        <v>603</v>
      </c>
      <c r="D6376" t="s">
        <v>56</v>
      </c>
      <c r="E6376" t="s">
        <v>158</v>
      </c>
      <c r="F6376" s="2" t="str">
        <f>HYPERLINK("http://www.otzar.org/book.asp?7256","בעלי ברית אברם")</f>
        <v>בעלי ברית אברם</v>
      </c>
    </row>
    <row r="6377" spans="1:6" x14ac:dyDescent="0.2">
      <c r="A6377" t="s">
        <v>11532</v>
      </c>
      <c r="B6377" t="s">
        <v>11501</v>
      </c>
      <c r="C6377" t="s">
        <v>11533</v>
      </c>
      <c r="D6377" t="s">
        <v>10557</v>
      </c>
      <c r="E6377" t="s">
        <v>15</v>
      </c>
      <c r="F6377" s="2" t="str">
        <f>HYPERLINK("http://www.otzar.org/book.asp?617936","בעלי הנפש &lt;השגות הרז""ה&gt;")</f>
        <v>בעלי הנפש &lt;השגות הרז"ה&gt;</v>
      </c>
    </row>
    <row r="6378" spans="1:6" x14ac:dyDescent="0.2">
      <c r="A6378" t="s">
        <v>11534</v>
      </c>
      <c r="B6378" t="s">
        <v>11501</v>
      </c>
      <c r="C6378" t="s">
        <v>114</v>
      </c>
      <c r="D6378" t="s">
        <v>52</v>
      </c>
      <c r="F6378" s="2" t="str">
        <f>HYPERLINK("http://www.otzar.org/book.asp?600392","בעלי הנפש &lt;מהדורת הרב בוקוולד&gt;")</f>
        <v>בעלי הנפש &lt;מהדורת הרב בוקוולד&gt;</v>
      </c>
    </row>
    <row r="6379" spans="1:6" x14ac:dyDescent="0.2">
      <c r="A6379" t="s">
        <v>11535</v>
      </c>
      <c r="B6379" t="s">
        <v>11501</v>
      </c>
      <c r="C6379" t="s">
        <v>20</v>
      </c>
      <c r="D6379" t="s">
        <v>14</v>
      </c>
      <c r="E6379" t="s">
        <v>15</v>
      </c>
      <c r="F6379" s="2" t="str">
        <f>HYPERLINK("http://www.otzar.org/book.asp?13412","בעלי הנפש - 3 כר'")</f>
        <v>בעלי הנפש - 3 כר'</v>
      </c>
    </row>
    <row r="6380" spans="1:6" x14ac:dyDescent="0.2">
      <c r="A6380" t="s">
        <v>11536</v>
      </c>
      <c r="B6380" t="s">
        <v>11537</v>
      </c>
      <c r="C6380" t="s">
        <v>1124</v>
      </c>
      <c r="D6380" t="s">
        <v>283</v>
      </c>
      <c r="E6380" t="s">
        <v>158</v>
      </c>
      <c r="F6380" s="2" t="str">
        <f>HYPERLINK("http://www.otzar.org/book.asp?11762","בעלי התוספות - 2 כר'")</f>
        <v>בעלי התוספות - 2 כר'</v>
      </c>
    </row>
    <row r="6381" spans="1:6" x14ac:dyDescent="0.2">
      <c r="A6381" t="s">
        <v>11538</v>
      </c>
      <c r="B6381" t="s">
        <v>11539</v>
      </c>
      <c r="C6381" t="s">
        <v>624</v>
      </c>
      <c r="D6381" t="s">
        <v>21</v>
      </c>
      <c r="F6381" s="2" t="str">
        <f>HYPERLINK("http://www.otzar.org/book.asp?613287","בעלי התוספות - א")</f>
        <v>בעלי התוספות - א</v>
      </c>
    </row>
    <row r="6382" spans="1:6" x14ac:dyDescent="0.2">
      <c r="A6382" t="s">
        <v>11540</v>
      </c>
      <c r="B6382" t="s">
        <v>8185</v>
      </c>
      <c r="C6382" t="s">
        <v>523</v>
      </c>
      <c r="D6382" t="s">
        <v>14</v>
      </c>
      <c r="F6382" s="2" t="str">
        <f>HYPERLINK("http://www.otzar.org/book.asp?621795","בעלי שם")</f>
        <v>בעלי שם</v>
      </c>
    </row>
    <row r="6383" spans="1:6" x14ac:dyDescent="0.2">
      <c r="A6383" t="s">
        <v>11541</v>
      </c>
      <c r="B6383" t="s">
        <v>11542</v>
      </c>
      <c r="C6383" t="s">
        <v>427</v>
      </c>
      <c r="D6383" t="s">
        <v>14</v>
      </c>
      <c r="E6383" t="s">
        <v>213</v>
      </c>
      <c r="F6383" s="2" t="str">
        <f>HYPERLINK("http://www.otzar.org/book.asp?179740","בעלי תשובה")</f>
        <v>בעלי תשובה</v>
      </c>
    </row>
    <row r="6384" spans="1:6" x14ac:dyDescent="0.2">
      <c r="A6384" t="s">
        <v>11543</v>
      </c>
      <c r="B6384" t="s">
        <v>6022</v>
      </c>
      <c r="C6384" t="s">
        <v>422</v>
      </c>
      <c r="D6384" t="s">
        <v>52</v>
      </c>
      <c r="E6384" t="s">
        <v>11544</v>
      </c>
      <c r="F6384" s="2" t="str">
        <f>HYPERLINK("http://www.otzar.org/book.asp?173078","בעליל לארץ")</f>
        <v>בעליל לארץ</v>
      </c>
    </row>
    <row r="6385" spans="1:6" x14ac:dyDescent="0.2">
      <c r="A6385" t="s">
        <v>11545</v>
      </c>
      <c r="B6385" t="s">
        <v>7879</v>
      </c>
      <c r="C6385" t="s">
        <v>37</v>
      </c>
      <c r="D6385" t="s">
        <v>52</v>
      </c>
      <c r="E6385" t="s">
        <v>144</v>
      </c>
      <c r="F6385" s="2" t="str">
        <f>HYPERLINK("http://www.otzar.org/book.asp?192785","בעמק סוכות - עמ""ס סוכה, נזיר")</f>
        <v>בעמק סוכות - עמ"ס סוכה, נזיר</v>
      </c>
    </row>
    <row r="6386" spans="1:6" x14ac:dyDescent="0.2">
      <c r="A6386" t="s">
        <v>11546</v>
      </c>
      <c r="B6386" t="s">
        <v>9179</v>
      </c>
      <c r="C6386" t="s">
        <v>20</v>
      </c>
      <c r="D6386" t="s">
        <v>52</v>
      </c>
      <c r="E6386" t="s">
        <v>674</v>
      </c>
      <c r="F6386" s="2" t="str">
        <f>HYPERLINK("http://www.otzar.org/book.asp?620420","בענייני מצוה הבאה בעבירה")</f>
        <v>בענייני מצוה הבאה בעבירה</v>
      </c>
    </row>
    <row r="6387" spans="1:6" x14ac:dyDescent="0.2">
      <c r="A6387" t="s">
        <v>11547</v>
      </c>
      <c r="B6387" t="s">
        <v>2082</v>
      </c>
      <c r="C6387" t="s">
        <v>20</v>
      </c>
      <c r="D6387" t="s">
        <v>90</v>
      </c>
      <c r="E6387" t="s">
        <v>15</v>
      </c>
      <c r="F6387" s="2" t="str">
        <f>HYPERLINK("http://www.otzar.org/book.asp?626082","בענין האיסור לעלות להר הבית בזמן הזה")</f>
        <v>בענין האיסור לעלות להר הבית בזמן הזה</v>
      </c>
    </row>
    <row r="6388" spans="1:6" x14ac:dyDescent="0.2">
      <c r="A6388" t="s">
        <v>11548</v>
      </c>
      <c r="B6388" t="s">
        <v>11549</v>
      </c>
      <c r="C6388" t="s">
        <v>114</v>
      </c>
      <c r="D6388" t="s">
        <v>14</v>
      </c>
      <c r="E6388" t="s">
        <v>15</v>
      </c>
      <c r="F6388" s="2" t="str">
        <f>HYPERLINK("http://www.otzar.org/book.asp?172293","בענין המתארח אצל מי שכליו בלועים מאיסור")</f>
        <v>בענין המתארח אצל מי שכליו בלועים מאיסור</v>
      </c>
    </row>
    <row r="6389" spans="1:6" x14ac:dyDescent="0.2">
      <c r="A6389" t="s">
        <v>11550</v>
      </c>
      <c r="B6389" t="s">
        <v>11551</v>
      </c>
      <c r="C6389" t="s">
        <v>383</v>
      </c>
      <c r="D6389" t="s">
        <v>90</v>
      </c>
      <c r="F6389" s="2" t="str">
        <f>HYPERLINK("http://www.otzar.org/book.asp?613212","בענין הרדיו")</f>
        <v>בענין הרדיו</v>
      </c>
    </row>
    <row r="6390" spans="1:6" x14ac:dyDescent="0.2">
      <c r="A6390" t="s">
        <v>11552</v>
      </c>
      <c r="B6390" t="s">
        <v>11553</v>
      </c>
      <c r="C6390" t="s">
        <v>466</v>
      </c>
      <c r="D6390" t="s">
        <v>52</v>
      </c>
      <c r="E6390" t="s">
        <v>15</v>
      </c>
      <c r="F6390" s="2" t="str">
        <f>HYPERLINK("http://www.otzar.org/book.asp?143080","בענין זהירות מלשה""ר בעתון")</f>
        <v>בענין זהירות מלשה"ר בעתון</v>
      </c>
    </row>
    <row r="6391" spans="1:6" x14ac:dyDescent="0.2">
      <c r="A6391" t="s">
        <v>11554</v>
      </c>
      <c r="B6391" t="s">
        <v>11555</v>
      </c>
      <c r="C6391" t="s">
        <v>20</v>
      </c>
      <c r="D6391" t="s">
        <v>118</v>
      </c>
      <c r="E6391" t="s">
        <v>621</v>
      </c>
      <c r="F6391" s="2" t="str">
        <f>HYPERLINK("http://www.otzar.org/book.asp?13081","בענין ספר תורה של הגר""א ז""ל")</f>
        <v>בענין ספר תורה של הגר"א ז"ל</v>
      </c>
    </row>
    <row r="6392" spans="1:6" x14ac:dyDescent="0.2">
      <c r="A6392" t="s">
        <v>11556</v>
      </c>
      <c r="B6392" t="s">
        <v>11557</v>
      </c>
      <c r="C6392" t="s">
        <v>63</v>
      </c>
      <c r="D6392" t="s">
        <v>14</v>
      </c>
      <c r="E6392" t="s">
        <v>15</v>
      </c>
      <c r="F6392" s="2" t="str">
        <f>HYPERLINK("http://www.otzar.org/book.asp?623614","בענין קשר תפילין של ראש בצורת דל""ת")</f>
        <v>בענין קשר תפילין של ראש בצורת דל"ת</v>
      </c>
    </row>
    <row r="6393" spans="1:6" x14ac:dyDescent="0.2">
      <c r="A6393" t="s">
        <v>11558</v>
      </c>
      <c r="B6393" t="s">
        <v>206</v>
      </c>
      <c r="C6393" t="s">
        <v>37</v>
      </c>
      <c r="D6393" t="s">
        <v>14</v>
      </c>
      <c r="E6393" t="s">
        <v>158</v>
      </c>
      <c r="F6393" s="2" t="str">
        <f>HYPERLINK("http://www.otzar.org/book.asp?176667","בעניני הפרשה - בראשית")</f>
        <v>בעניני הפרשה - בראשית</v>
      </c>
    </row>
    <row r="6394" spans="1:6" x14ac:dyDescent="0.2">
      <c r="A6394" t="s">
        <v>11559</v>
      </c>
      <c r="B6394" t="s">
        <v>11560</v>
      </c>
      <c r="C6394" t="s">
        <v>454</v>
      </c>
      <c r="D6394" t="s">
        <v>14</v>
      </c>
      <c r="E6394" t="s">
        <v>144</v>
      </c>
      <c r="F6394" s="2" t="str">
        <f>HYPERLINK("http://www.otzar.org/book.asp?613874","בעניני קינוי סתירה והשקה")</f>
        <v>בעניני קינוי סתירה והשקה</v>
      </c>
    </row>
    <row r="6395" spans="1:6" x14ac:dyDescent="0.2">
      <c r="A6395" t="s">
        <v>11561</v>
      </c>
      <c r="B6395" t="s">
        <v>11562</v>
      </c>
      <c r="C6395" t="s">
        <v>133</v>
      </c>
      <c r="D6395" t="s">
        <v>152</v>
      </c>
      <c r="E6395" t="s">
        <v>241</v>
      </c>
      <c r="F6395" s="2" t="str">
        <f>HYPERLINK("http://www.otzar.org/book.asp?179698","בעצתך תנחני - 2 כר'")</f>
        <v>בעצתך תנחני - 2 כר'</v>
      </c>
    </row>
    <row r="6396" spans="1:6" x14ac:dyDescent="0.2">
      <c r="A6396" t="s">
        <v>11563</v>
      </c>
      <c r="B6396" t="s">
        <v>11564</v>
      </c>
      <c r="C6396" t="s">
        <v>71</v>
      </c>
      <c r="D6396" t="s">
        <v>14</v>
      </c>
      <c r="E6396" t="s">
        <v>241</v>
      </c>
      <c r="F6396" s="2" t="str">
        <f>HYPERLINK("http://www.otzar.org/book.asp?188440","בעקבות בית אבא - ב &lt;מכתבי הגרש""ז&gt;")</f>
        <v>בעקבות בית אבא - ב &lt;מכתבי הגרש"ז&gt;</v>
      </c>
    </row>
    <row r="6397" spans="1:6" x14ac:dyDescent="0.2">
      <c r="A6397" t="s">
        <v>11565</v>
      </c>
      <c r="B6397" t="s">
        <v>11566</v>
      </c>
      <c r="C6397" t="s">
        <v>624</v>
      </c>
      <c r="D6397" t="s">
        <v>14</v>
      </c>
      <c r="E6397" t="s">
        <v>213</v>
      </c>
      <c r="F6397" s="2" t="str">
        <f>HYPERLINK("http://www.otzar.org/book.asp?160303","בעקבות בית אבא - ה")</f>
        <v>בעקבות בית אבא - ה</v>
      </c>
    </row>
    <row r="6398" spans="1:6" x14ac:dyDescent="0.2">
      <c r="A6398" t="s">
        <v>11567</v>
      </c>
      <c r="B6398" t="s">
        <v>11568</v>
      </c>
      <c r="C6398" t="s">
        <v>17</v>
      </c>
      <c r="D6398" t="s">
        <v>14</v>
      </c>
      <c r="E6398" t="s">
        <v>241</v>
      </c>
      <c r="F6398" s="2" t="str">
        <f>HYPERLINK("http://www.otzar.org/book.asp?17054","בעקבות דרך ה'")</f>
        <v>בעקבות דרך ה'</v>
      </c>
    </row>
    <row r="6399" spans="1:6" x14ac:dyDescent="0.2">
      <c r="A6399" t="s">
        <v>11569</v>
      </c>
      <c r="B6399" t="s">
        <v>11570</v>
      </c>
      <c r="C6399" t="s">
        <v>114</v>
      </c>
      <c r="D6399" t="s">
        <v>11571</v>
      </c>
      <c r="E6399" t="s">
        <v>15</v>
      </c>
      <c r="F6399" s="2" t="str">
        <f>HYPERLINK("http://www.otzar.org/book.asp?606471","בעקבות המחבר")</f>
        <v>בעקבות המחבר</v>
      </c>
    </row>
    <row r="6400" spans="1:6" x14ac:dyDescent="0.2">
      <c r="A6400" t="s">
        <v>11572</v>
      </c>
      <c r="B6400" t="s">
        <v>11573</v>
      </c>
      <c r="C6400" t="s">
        <v>419</v>
      </c>
      <c r="D6400" t="s">
        <v>14</v>
      </c>
      <c r="E6400" t="s">
        <v>733</v>
      </c>
      <c r="F6400" s="2" t="str">
        <f>HYPERLINK("http://www.otzar.org/book.asp?615100","בעקבות המנורה")</f>
        <v>בעקבות המנורה</v>
      </c>
    </row>
    <row r="6401" spans="1:6" x14ac:dyDescent="0.2">
      <c r="A6401" t="s">
        <v>11574</v>
      </c>
      <c r="B6401" t="s">
        <v>107</v>
      </c>
      <c r="C6401" t="s">
        <v>20</v>
      </c>
      <c r="D6401" t="s">
        <v>14</v>
      </c>
      <c r="E6401" t="s">
        <v>119</v>
      </c>
      <c r="F6401" s="2" t="str">
        <f>HYPERLINK("http://www.otzar.org/book.asp?164068","בעקבות הסתלקות זקן המקובלים רבי יצחק כדורי")</f>
        <v>בעקבות הסתלקות זקן המקובלים רבי יצחק כדורי</v>
      </c>
    </row>
    <row r="6402" spans="1:6" x14ac:dyDescent="0.2">
      <c r="A6402" t="s">
        <v>11575</v>
      </c>
      <c r="B6402" t="s">
        <v>11576</v>
      </c>
      <c r="C6402" t="s">
        <v>609</v>
      </c>
      <c r="D6402" t="s">
        <v>9</v>
      </c>
      <c r="E6402" t="s">
        <v>4333</v>
      </c>
      <c r="F6402" s="2" t="str">
        <f>HYPERLINK("http://www.otzar.org/book.asp?17339","בעקבות הפסגה - א")</f>
        <v>בעקבות הפסגה - א</v>
      </c>
    </row>
    <row r="6403" spans="1:6" x14ac:dyDescent="0.2">
      <c r="A6403" t="s">
        <v>11577</v>
      </c>
      <c r="B6403" t="s">
        <v>11568</v>
      </c>
      <c r="C6403" t="s">
        <v>51</v>
      </c>
      <c r="D6403" t="s">
        <v>14</v>
      </c>
      <c r="E6403" t="s">
        <v>3798</v>
      </c>
      <c r="F6403" s="2" t="str">
        <f>HYPERLINK("http://www.otzar.org/book.asp?16922","בעקבות מועדי ה'")</f>
        <v>בעקבות מועדי ה'</v>
      </c>
    </row>
    <row r="6404" spans="1:6" x14ac:dyDescent="0.2">
      <c r="A6404" t="s">
        <v>11578</v>
      </c>
      <c r="B6404" t="s">
        <v>107</v>
      </c>
      <c r="C6404" t="s">
        <v>20</v>
      </c>
      <c r="D6404" t="s">
        <v>14</v>
      </c>
      <c r="E6404" t="s">
        <v>1164</v>
      </c>
      <c r="F6404" s="2" t="str">
        <f>HYPERLINK("http://www.otzar.org/book.asp?625802","בעקבות מרן - 10 כר'")</f>
        <v>בעקבות מרן - 10 כר'</v>
      </c>
    </row>
    <row r="6405" spans="1:6" x14ac:dyDescent="0.2">
      <c r="A6405" t="s">
        <v>11579</v>
      </c>
      <c r="B6405" t="s">
        <v>11580</v>
      </c>
      <c r="C6405" t="s">
        <v>1208</v>
      </c>
      <c r="D6405" t="s">
        <v>52</v>
      </c>
      <c r="E6405" t="s">
        <v>158</v>
      </c>
      <c r="F6405" s="2" t="str">
        <f>HYPERLINK("http://www.otzar.org/book.asp?149721","בעקבות משה - 2 כר'")</f>
        <v>בעקבות משה - 2 כר'</v>
      </c>
    </row>
    <row r="6406" spans="1:6" x14ac:dyDescent="0.2">
      <c r="A6406" t="s">
        <v>11581</v>
      </c>
      <c r="B6406" t="s">
        <v>4980</v>
      </c>
      <c r="C6406" t="s">
        <v>533</v>
      </c>
      <c r="D6406" t="s">
        <v>14</v>
      </c>
      <c r="E6406" t="s">
        <v>733</v>
      </c>
      <c r="F6406" s="2" t="str">
        <f>HYPERLINK("http://www.otzar.org/book.asp?612558","בעקבות רבותינו - 4 כר'")</f>
        <v>בעקבות רבותינו - 4 כר'</v>
      </c>
    </row>
    <row r="6407" spans="1:6" x14ac:dyDescent="0.2">
      <c r="A6407" t="s">
        <v>11582</v>
      </c>
      <c r="B6407" t="s">
        <v>11570</v>
      </c>
      <c r="C6407" t="s">
        <v>20</v>
      </c>
      <c r="D6407" t="s">
        <v>11571</v>
      </c>
      <c r="F6407" s="2" t="str">
        <f>HYPERLINK("http://www.otzar.org/book.asp?606607","בעקבות רש""י - 11 כר'")</f>
        <v>בעקבות רש"י - 11 כר'</v>
      </c>
    </row>
    <row r="6408" spans="1:6" x14ac:dyDescent="0.2">
      <c r="A6408" t="s">
        <v>11583</v>
      </c>
      <c r="B6408" t="s">
        <v>3768</v>
      </c>
      <c r="D6408" t="s">
        <v>411</v>
      </c>
      <c r="E6408" t="s">
        <v>1103</v>
      </c>
      <c r="F6408" s="2" t="str">
        <f>HYPERLINK("http://www.otzar.org/book.asp?170462","בעקבי אליעזר")</f>
        <v>בעקבי אליעזר</v>
      </c>
    </row>
    <row r="6409" spans="1:6" x14ac:dyDescent="0.2">
      <c r="A6409" t="s">
        <v>11584</v>
      </c>
      <c r="B6409" t="s">
        <v>11585</v>
      </c>
      <c r="C6409" t="s">
        <v>23</v>
      </c>
      <c r="D6409" t="s">
        <v>8245</v>
      </c>
      <c r="E6409" t="s">
        <v>158</v>
      </c>
      <c r="F6409" s="2" t="str">
        <f>HYPERLINK("http://www.otzar.org/book.asp?628634","בעקבי הכתובים - איוב")</f>
        <v>בעקבי הכתובים - איוב</v>
      </c>
    </row>
    <row r="6410" spans="1:6" x14ac:dyDescent="0.2">
      <c r="A6410" t="s">
        <v>11586</v>
      </c>
      <c r="B6410" t="s">
        <v>11585</v>
      </c>
      <c r="C6410" t="s">
        <v>20</v>
      </c>
      <c r="D6410" t="s">
        <v>52</v>
      </c>
      <c r="E6410" t="s">
        <v>158</v>
      </c>
      <c r="F6410" s="2" t="str">
        <f>HYPERLINK("http://www.otzar.org/book.asp?624904","בעקבי המגילות - רות")</f>
        <v>בעקבי המגילות - רות</v>
      </c>
    </row>
    <row r="6411" spans="1:6" x14ac:dyDescent="0.2">
      <c r="A6411" t="s">
        <v>11587</v>
      </c>
      <c r="B6411" t="s">
        <v>11585</v>
      </c>
      <c r="C6411" t="s">
        <v>111</v>
      </c>
      <c r="D6411" t="s">
        <v>52</v>
      </c>
      <c r="E6411" t="s">
        <v>246</v>
      </c>
      <c r="F6411" s="2" t="str">
        <f>HYPERLINK("http://www.otzar.org/book.asp?629348","בעקבי המועדים")</f>
        <v>בעקבי המועדים</v>
      </c>
    </row>
    <row r="6412" spans="1:6" x14ac:dyDescent="0.2">
      <c r="A6412" t="s">
        <v>11587</v>
      </c>
      <c r="B6412" t="s">
        <v>11588</v>
      </c>
      <c r="C6412" t="s">
        <v>411</v>
      </c>
      <c r="D6412" t="s">
        <v>52</v>
      </c>
      <c r="E6412" t="s">
        <v>130</v>
      </c>
      <c r="F6412" s="2" t="str">
        <f>HYPERLINK("http://www.otzar.org/book.asp?165488","בעקבי המועדים")</f>
        <v>בעקבי המועדים</v>
      </c>
    </row>
    <row r="6413" spans="1:6" x14ac:dyDescent="0.2">
      <c r="A6413" t="s">
        <v>11589</v>
      </c>
      <c r="B6413" t="s">
        <v>11590</v>
      </c>
      <c r="C6413" t="s">
        <v>37</v>
      </c>
      <c r="D6413" t="s">
        <v>52</v>
      </c>
      <c r="F6413" s="2" t="str">
        <f>HYPERLINK("http://www.otzar.org/book.asp?197081","בעקבי המלך")</f>
        <v>בעקבי המלך</v>
      </c>
    </row>
    <row r="6414" spans="1:6" x14ac:dyDescent="0.2">
      <c r="A6414" t="s">
        <v>11591</v>
      </c>
      <c r="B6414" t="s">
        <v>5480</v>
      </c>
      <c r="C6414" t="s">
        <v>523</v>
      </c>
      <c r="D6414" t="s">
        <v>90</v>
      </c>
      <c r="E6414" t="s">
        <v>1517</v>
      </c>
      <c r="F6414" s="2" t="str">
        <f>HYPERLINK("http://www.otzar.org/book.asp?63602","בעקבי הצאן &lt;חד גדיא המבואר&gt;")</f>
        <v>בעקבי הצאן &lt;חד גדיא המבואר&gt;</v>
      </c>
    </row>
    <row r="6415" spans="1:6" x14ac:dyDescent="0.2">
      <c r="A6415" t="s">
        <v>11592</v>
      </c>
      <c r="B6415" t="s">
        <v>11593</v>
      </c>
      <c r="C6415" t="s">
        <v>133</v>
      </c>
      <c r="D6415" t="s">
        <v>4549</v>
      </c>
      <c r="E6415" t="s">
        <v>158</v>
      </c>
      <c r="F6415" s="2" t="str">
        <f>HYPERLINK("http://www.otzar.org/book.asp?631866","בעקבי הצאן - 2 כר'")</f>
        <v>בעקבי הצאן - 2 כר'</v>
      </c>
    </row>
    <row r="6416" spans="1:6" x14ac:dyDescent="0.2">
      <c r="A6416" t="s">
        <v>11594</v>
      </c>
      <c r="B6416" t="s">
        <v>5634</v>
      </c>
      <c r="C6416" t="s">
        <v>114</v>
      </c>
      <c r="D6416" t="s">
        <v>52</v>
      </c>
      <c r="E6416" t="s">
        <v>104</v>
      </c>
      <c r="F6416" s="2" t="str">
        <f>HYPERLINK("http://www.otzar.org/book.asp?165057","בעקבי הצאן")</f>
        <v>בעקבי הצאן</v>
      </c>
    </row>
    <row r="6417" spans="1:6" x14ac:dyDescent="0.2">
      <c r="A6417" t="s">
        <v>11594</v>
      </c>
      <c r="B6417" t="s">
        <v>7735</v>
      </c>
      <c r="C6417" t="s">
        <v>71</v>
      </c>
      <c r="D6417" t="s">
        <v>14</v>
      </c>
      <c r="E6417" t="s">
        <v>15</v>
      </c>
      <c r="F6417" s="2" t="str">
        <f>HYPERLINK("http://www.otzar.org/book.asp?64098","בעקבי הצאן")</f>
        <v>בעקבי הצאן</v>
      </c>
    </row>
    <row r="6418" spans="1:6" x14ac:dyDescent="0.2">
      <c r="A6418" t="s">
        <v>11595</v>
      </c>
      <c r="B6418" t="s">
        <v>11596</v>
      </c>
      <c r="C6418" t="s">
        <v>411</v>
      </c>
      <c r="D6418" t="s">
        <v>14</v>
      </c>
      <c r="E6418" t="s">
        <v>144</v>
      </c>
      <c r="F6418" s="2" t="str">
        <f>HYPERLINK("http://www.otzar.org/book.asp?173384","בעקבי יוסף")</f>
        <v>בעקבי יוסף</v>
      </c>
    </row>
    <row r="6419" spans="1:6" x14ac:dyDescent="0.2">
      <c r="A6419" t="s">
        <v>11597</v>
      </c>
      <c r="B6419" t="s">
        <v>11598</v>
      </c>
      <c r="C6419" t="s">
        <v>189</v>
      </c>
      <c r="D6419" t="s">
        <v>14</v>
      </c>
      <c r="F6419" s="2" t="str">
        <f>HYPERLINK("http://www.otzar.org/book.asp?156268","בעקבי יעקב")</f>
        <v>בעקבי יעקב</v>
      </c>
    </row>
    <row r="6420" spans="1:6" x14ac:dyDescent="0.2">
      <c r="A6420" t="s">
        <v>11599</v>
      </c>
      <c r="B6420" t="s">
        <v>11585</v>
      </c>
      <c r="C6420" t="s">
        <v>189</v>
      </c>
      <c r="D6420" t="s">
        <v>52</v>
      </c>
      <c r="E6420" t="s">
        <v>463</v>
      </c>
      <c r="F6420" s="2" t="str">
        <f>HYPERLINK("http://www.otzar.org/book.asp?51966","בעקבי מנחת חינוך - 2 כר'")</f>
        <v>בעקבי מנחת חינוך - 2 כר'</v>
      </c>
    </row>
    <row r="6421" spans="1:6" x14ac:dyDescent="0.2">
      <c r="A6421" t="s">
        <v>11600</v>
      </c>
      <c r="B6421" t="s">
        <v>11585</v>
      </c>
      <c r="C6421" t="s">
        <v>244</v>
      </c>
      <c r="D6421" t="s">
        <v>21</v>
      </c>
      <c r="F6421" s="2" t="str">
        <f>HYPERLINK("http://www.otzar.org/book.asp?605115","בעקבי נזיקין")</f>
        <v>בעקבי נזיקין</v>
      </c>
    </row>
    <row r="6422" spans="1:6" x14ac:dyDescent="0.2">
      <c r="A6422" t="s">
        <v>11601</v>
      </c>
      <c r="B6422" t="s">
        <v>11602</v>
      </c>
      <c r="C6422" t="s">
        <v>356</v>
      </c>
      <c r="D6422" t="s">
        <v>412</v>
      </c>
      <c r="E6422" t="s">
        <v>158</v>
      </c>
      <c r="F6422" s="2" t="str">
        <f>HYPERLINK("http://www.otzar.org/book.asp?608096","בעקבי פרשיות")</f>
        <v>בעקבי פרשיות</v>
      </c>
    </row>
    <row r="6423" spans="1:6" x14ac:dyDescent="0.2">
      <c r="A6423" t="s">
        <v>11603</v>
      </c>
      <c r="B6423" t="s">
        <v>11585</v>
      </c>
      <c r="C6423" t="s">
        <v>244</v>
      </c>
      <c r="D6423" t="s">
        <v>8245</v>
      </c>
      <c r="F6423" s="2" t="str">
        <f>HYPERLINK("http://www.otzar.org/book.asp?609502","בעקבי תודה - 3 כר'")</f>
        <v>בעקבי תודה - 3 כר'</v>
      </c>
    </row>
    <row r="6424" spans="1:6" x14ac:dyDescent="0.2">
      <c r="A6424" t="s">
        <v>11604</v>
      </c>
      <c r="B6424" t="s">
        <v>11585</v>
      </c>
      <c r="C6424" t="s">
        <v>37</v>
      </c>
      <c r="D6424" t="s">
        <v>8245</v>
      </c>
      <c r="F6424" s="2" t="str">
        <f>HYPERLINK("http://www.otzar.org/book.asp?605173","בעקבי תלמוד")</f>
        <v>בעקבי תלמוד</v>
      </c>
    </row>
    <row r="6425" spans="1:6" x14ac:dyDescent="0.2">
      <c r="A6425" t="s">
        <v>11605</v>
      </c>
      <c r="B6425" t="s">
        <v>6445</v>
      </c>
      <c r="C6425" t="s">
        <v>87</v>
      </c>
      <c r="D6425" t="s">
        <v>52</v>
      </c>
      <c r="E6425" t="s">
        <v>15</v>
      </c>
      <c r="F6425" s="2" t="str">
        <f>HYPERLINK("http://www.otzar.org/book.asp?625170","בערתי הקדש")</f>
        <v>בערתי הקדש</v>
      </c>
    </row>
    <row r="6426" spans="1:6" x14ac:dyDescent="0.2">
      <c r="A6426" t="s">
        <v>11606</v>
      </c>
      <c r="B6426" t="s">
        <v>1728</v>
      </c>
      <c r="C6426" t="s">
        <v>454</v>
      </c>
      <c r="D6426" t="s">
        <v>852</v>
      </c>
      <c r="E6426" t="s">
        <v>741</v>
      </c>
      <c r="F6426" s="2" t="str">
        <f>HYPERLINK("http://www.otzar.org/book.asp?628542","בעתה אחישנה")</f>
        <v>בעתה אחישנה</v>
      </c>
    </row>
    <row r="6427" spans="1:6" x14ac:dyDescent="0.2">
      <c r="A6427" t="s">
        <v>11607</v>
      </c>
      <c r="B6427" t="s">
        <v>5830</v>
      </c>
      <c r="C6427" t="s">
        <v>20</v>
      </c>
      <c r="D6427" t="s">
        <v>90</v>
      </c>
      <c r="E6427" t="s">
        <v>158</v>
      </c>
      <c r="F6427" s="2" t="str">
        <f>HYPERLINK("http://www.otzar.org/book.asp?601021","בפאתי הבית")</f>
        <v>בפאתי הבית</v>
      </c>
    </row>
    <row r="6428" spans="1:6" x14ac:dyDescent="0.2">
      <c r="A6428" t="s">
        <v>11608</v>
      </c>
      <c r="B6428" t="s">
        <v>11609</v>
      </c>
      <c r="C6428" t="s">
        <v>103</v>
      </c>
      <c r="D6428" t="s">
        <v>486</v>
      </c>
      <c r="E6428" t="s">
        <v>733</v>
      </c>
      <c r="F6428" s="2" t="str">
        <f>HYPERLINK("http://www.otzar.org/book.asp?189844","בפי ישרים")</f>
        <v>בפי ישרים</v>
      </c>
    </row>
    <row r="6429" spans="1:6" x14ac:dyDescent="0.2">
      <c r="A6429" t="s">
        <v>11610</v>
      </c>
      <c r="B6429" t="s">
        <v>3900</v>
      </c>
      <c r="C6429" t="s">
        <v>940</v>
      </c>
      <c r="D6429" t="s">
        <v>14</v>
      </c>
      <c r="E6429" t="s">
        <v>246</v>
      </c>
      <c r="F6429" s="2" t="str">
        <f>HYPERLINK("http://www.otzar.org/book.asp?173429","בפי ישרים - הגדה של פסח")</f>
        <v>בפי ישרים - הגדה של פסח</v>
      </c>
    </row>
    <row r="6430" spans="1:6" x14ac:dyDescent="0.2">
      <c r="A6430" t="s">
        <v>11608</v>
      </c>
      <c r="B6430" t="s">
        <v>416</v>
      </c>
      <c r="C6430" t="s">
        <v>23</v>
      </c>
      <c r="D6430" t="s">
        <v>14</v>
      </c>
      <c r="E6430" t="s">
        <v>158</v>
      </c>
      <c r="F6430" s="2" t="str">
        <f>HYPERLINK("http://www.otzar.org/book.asp?183095","בפי ישרים")</f>
        <v>בפי ישרים</v>
      </c>
    </row>
    <row r="6431" spans="1:6" x14ac:dyDescent="0.2">
      <c r="A6431" t="s">
        <v>11608</v>
      </c>
      <c r="B6431" t="s">
        <v>11611</v>
      </c>
      <c r="C6431" t="s">
        <v>133</v>
      </c>
      <c r="D6431" t="s">
        <v>412</v>
      </c>
      <c r="E6431" t="s">
        <v>234</v>
      </c>
      <c r="F6431" s="2" t="str">
        <f>HYPERLINK("http://www.otzar.org/book.asp?177031","בפי ישרים")</f>
        <v>בפי ישרים</v>
      </c>
    </row>
    <row r="6432" spans="1:6" x14ac:dyDescent="0.2">
      <c r="A6432" t="s">
        <v>11612</v>
      </c>
      <c r="B6432" t="s">
        <v>11175</v>
      </c>
      <c r="C6432" t="s">
        <v>1208</v>
      </c>
      <c r="D6432" t="s">
        <v>646</v>
      </c>
      <c r="E6432" t="s">
        <v>202</v>
      </c>
      <c r="F6432" s="2" t="str">
        <f>HYPERLINK("http://www.otzar.org/book.asp?619482","בפי רבים אהללה")</f>
        <v>בפי רבים אהללה</v>
      </c>
    </row>
    <row r="6433" spans="1:6" x14ac:dyDescent="0.2">
      <c r="A6433" t="s">
        <v>11613</v>
      </c>
      <c r="B6433" t="s">
        <v>11614</v>
      </c>
      <c r="C6433" t="s">
        <v>71</v>
      </c>
      <c r="D6433" t="s">
        <v>423</v>
      </c>
      <c r="E6433" t="s">
        <v>186</v>
      </c>
      <c r="F6433" s="2" t="str">
        <f>HYPERLINK("http://www.otzar.org/book.asp?162384","בפלפול התלמידים")</f>
        <v>בפלפול התלמידים</v>
      </c>
    </row>
    <row r="6434" spans="1:6" x14ac:dyDescent="0.2">
      <c r="A6434" t="s">
        <v>11615</v>
      </c>
      <c r="B6434" t="s">
        <v>5506</v>
      </c>
      <c r="C6434" t="s">
        <v>523</v>
      </c>
      <c r="D6434" t="s">
        <v>14</v>
      </c>
      <c r="E6434" t="s">
        <v>241</v>
      </c>
      <c r="F6434" s="2" t="str">
        <f>HYPERLINK("http://www.otzar.org/book.asp?155022","בפקודה אלוקית")</f>
        <v>בפקודה אלוקית</v>
      </c>
    </row>
    <row r="6435" spans="1:6" x14ac:dyDescent="0.2">
      <c r="A6435" t="s">
        <v>11616</v>
      </c>
      <c r="B6435" t="s">
        <v>11617</v>
      </c>
      <c r="C6435" t="s">
        <v>103</v>
      </c>
      <c r="D6435" t="s">
        <v>412</v>
      </c>
      <c r="E6435" t="s">
        <v>241</v>
      </c>
      <c r="F6435" s="2" t="str">
        <f>HYPERLINK("http://www.otzar.org/book.asp?170769","בפקודיך אשיחה - 3 כר'")</f>
        <v>בפקודיך אשיחה - 3 כר'</v>
      </c>
    </row>
    <row r="6436" spans="1:6" x14ac:dyDescent="0.2">
      <c r="A6436" t="s">
        <v>11618</v>
      </c>
      <c r="B6436" t="s">
        <v>11619</v>
      </c>
      <c r="C6436" t="s">
        <v>332</v>
      </c>
      <c r="D6436" t="s">
        <v>14</v>
      </c>
      <c r="E6436" t="s">
        <v>2071</v>
      </c>
      <c r="F6436" s="2" t="str">
        <f>HYPERLINK("http://www.otzar.org/book.asp?161610","בפקודיך אשיחה")</f>
        <v>בפקודיך אשיחה</v>
      </c>
    </row>
    <row r="6437" spans="1:6" x14ac:dyDescent="0.2">
      <c r="A6437" t="s">
        <v>11620</v>
      </c>
      <c r="B6437" t="s">
        <v>11621</v>
      </c>
      <c r="C6437" t="s">
        <v>103</v>
      </c>
      <c r="D6437" t="s">
        <v>14</v>
      </c>
      <c r="E6437" t="s">
        <v>241</v>
      </c>
      <c r="F6437" s="2" t="str">
        <f>HYPERLINK("http://www.otzar.org/book.asp?188925","בפתחי עולם")</f>
        <v>בפתחי עולם</v>
      </c>
    </row>
    <row r="6438" spans="1:6" x14ac:dyDescent="0.2">
      <c r="A6438" t="s">
        <v>11622</v>
      </c>
      <c r="B6438" t="s">
        <v>11623</v>
      </c>
      <c r="C6438" t="s">
        <v>20</v>
      </c>
      <c r="D6438" t="s">
        <v>20</v>
      </c>
      <c r="E6438" t="s">
        <v>202</v>
      </c>
      <c r="F6438" s="2" t="str">
        <f>HYPERLINK("http://www.otzar.org/book.asp?21989","בצאת השנה")</f>
        <v>בצאת השנה</v>
      </c>
    </row>
    <row r="6439" spans="1:6" x14ac:dyDescent="0.2">
      <c r="A6439" t="s">
        <v>11624</v>
      </c>
      <c r="B6439" t="s">
        <v>11625</v>
      </c>
      <c r="C6439" t="s">
        <v>143</v>
      </c>
      <c r="D6439" t="s">
        <v>11626</v>
      </c>
      <c r="E6439" t="s">
        <v>11627</v>
      </c>
      <c r="F6439" s="2" t="str">
        <f>HYPERLINK("http://www.otzar.org/book.asp?627001","בצאת שנה")</f>
        <v>בצאת שנה</v>
      </c>
    </row>
    <row r="6440" spans="1:6" x14ac:dyDescent="0.2">
      <c r="A6440" t="s">
        <v>11628</v>
      </c>
      <c r="B6440" t="s">
        <v>11629</v>
      </c>
      <c r="C6440" t="s">
        <v>313</v>
      </c>
      <c r="D6440" t="s">
        <v>52</v>
      </c>
      <c r="E6440" t="s">
        <v>172</v>
      </c>
      <c r="F6440" s="2" t="str">
        <f>HYPERLINK("http://www.otzar.org/book.asp?615609","בצדק ובמשפט")</f>
        <v>בצדק ובמשפט</v>
      </c>
    </row>
    <row r="6441" spans="1:6" x14ac:dyDescent="0.2">
      <c r="A6441" t="s">
        <v>11630</v>
      </c>
      <c r="B6441" t="s">
        <v>11631</v>
      </c>
      <c r="C6441" t="s">
        <v>68</v>
      </c>
      <c r="D6441" t="s">
        <v>5130</v>
      </c>
      <c r="E6441" t="s">
        <v>15</v>
      </c>
      <c r="F6441" s="2" t="str">
        <f>HYPERLINK("http://www.otzar.org/book.asp?627130","בצדק תשפוט")</f>
        <v>בצדק תשפוט</v>
      </c>
    </row>
    <row r="6442" spans="1:6" x14ac:dyDescent="0.2">
      <c r="A6442" t="s">
        <v>11632</v>
      </c>
      <c r="B6442" t="s">
        <v>11633</v>
      </c>
      <c r="C6442" t="s">
        <v>2644</v>
      </c>
      <c r="D6442" t="s">
        <v>6974</v>
      </c>
      <c r="E6442" t="s">
        <v>104</v>
      </c>
      <c r="F6442" s="2" t="str">
        <f>HYPERLINK("http://www.otzar.org/book.asp?16969","בצדקה תכונני רחקי מעשק")</f>
        <v>בצדקה תכונני רחקי מעשק</v>
      </c>
    </row>
    <row r="6443" spans="1:6" x14ac:dyDescent="0.2">
      <c r="A6443" t="s">
        <v>11634</v>
      </c>
      <c r="B6443" t="s">
        <v>6603</v>
      </c>
      <c r="C6443" t="s">
        <v>422</v>
      </c>
      <c r="D6443" t="s">
        <v>2375</v>
      </c>
      <c r="E6443" t="s">
        <v>140</v>
      </c>
      <c r="F6443" s="2" t="str">
        <f>HYPERLINK("http://www.otzar.org/book.asp?183430","בצור ירום - 9 כר'")</f>
        <v>בצור ירום - 9 כר'</v>
      </c>
    </row>
    <row r="6444" spans="1:6" x14ac:dyDescent="0.2">
      <c r="A6444" t="s">
        <v>11635</v>
      </c>
      <c r="B6444" t="s">
        <v>206</v>
      </c>
      <c r="C6444" t="s">
        <v>244</v>
      </c>
      <c r="D6444" t="s">
        <v>20</v>
      </c>
      <c r="F6444" s="2" t="str">
        <f>HYPERLINK("http://www.otzar.org/book.asp?197904","בצידי המסילה")</f>
        <v>בצידי המסילה</v>
      </c>
    </row>
    <row r="6445" spans="1:6" x14ac:dyDescent="0.2">
      <c r="A6445" t="s">
        <v>11636</v>
      </c>
      <c r="B6445" t="s">
        <v>9179</v>
      </c>
      <c r="C6445" t="s">
        <v>20</v>
      </c>
      <c r="D6445" t="s">
        <v>52</v>
      </c>
      <c r="E6445" t="s">
        <v>104</v>
      </c>
      <c r="F6445" s="2" t="str">
        <f>HYPERLINK("http://www.otzar.org/book.asp?623702","בצילם חימדתי")</f>
        <v>בצילם חימדתי</v>
      </c>
    </row>
    <row r="6446" spans="1:6" x14ac:dyDescent="0.2">
      <c r="A6446" t="s">
        <v>11637</v>
      </c>
      <c r="B6446" t="s">
        <v>11638</v>
      </c>
      <c r="C6446" t="s">
        <v>124</v>
      </c>
      <c r="D6446" t="s">
        <v>216</v>
      </c>
      <c r="E6446" t="s">
        <v>119</v>
      </c>
      <c r="F6446" s="2" t="str">
        <f>HYPERLINK("http://www.otzar.org/book.asp?15562","בצילן של מלכויות")</f>
        <v>בצילן של מלכויות</v>
      </c>
    </row>
    <row r="6447" spans="1:6" x14ac:dyDescent="0.2">
      <c r="A6447" t="s">
        <v>11639</v>
      </c>
      <c r="B6447" t="s">
        <v>8315</v>
      </c>
      <c r="C6447" t="s">
        <v>1058</v>
      </c>
      <c r="D6447" t="s">
        <v>1422</v>
      </c>
      <c r="E6447" t="s">
        <v>144</v>
      </c>
      <c r="F6447" s="2" t="str">
        <f>HYPERLINK("http://www.otzar.org/book.asp?17340","בציר אליעזר")</f>
        <v>בציר אליעזר</v>
      </c>
    </row>
    <row r="6448" spans="1:6" x14ac:dyDescent="0.2">
      <c r="A6448" t="s">
        <v>11640</v>
      </c>
      <c r="B6448" t="s">
        <v>11641</v>
      </c>
      <c r="C6448" t="s">
        <v>146</v>
      </c>
      <c r="D6448" t="s">
        <v>52</v>
      </c>
      <c r="E6448" t="s">
        <v>144</v>
      </c>
      <c r="F6448" s="2" t="str">
        <f>HYPERLINK("http://www.otzar.org/book.asp?157808","בציר יצחק - 2 כר'")</f>
        <v>בציר יצחק - 2 כר'</v>
      </c>
    </row>
    <row r="6449" spans="1:6" x14ac:dyDescent="0.2">
      <c r="A6449" t="s">
        <v>11642</v>
      </c>
      <c r="B6449" t="s">
        <v>686</v>
      </c>
      <c r="C6449" t="s">
        <v>13</v>
      </c>
      <c r="D6449" t="s">
        <v>52</v>
      </c>
      <c r="E6449" t="s">
        <v>104</v>
      </c>
      <c r="F6449" s="2" t="str">
        <f>HYPERLINK("http://www.otzar.org/book.asp?61946","בצל החכמה")</f>
        <v>בצל החכמה</v>
      </c>
    </row>
    <row r="6450" spans="1:6" x14ac:dyDescent="0.2">
      <c r="A6450" t="s">
        <v>11643</v>
      </c>
      <c r="B6450" t="s">
        <v>2576</v>
      </c>
      <c r="C6450" t="s">
        <v>775</v>
      </c>
      <c r="D6450" t="s">
        <v>27</v>
      </c>
      <c r="E6450" t="s">
        <v>154</v>
      </c>
      <c r="F6450" s="2" t="str">
        <f>HYPERLINK("http://www.otzar.org/book.asp?52444","בצל החכמה - 6 כר'")</f>
        <v>בצל החכמה - 6 כר'</v>
      </c>
    </row>
    <row r="6451" spans="1:6" x14ac:dyDescent="0.2">
      <c r="A6451" t="s">
        <v>11644</v>
      </c>
      <c r="B6451" t="s">
        <v>11645</v>
      </c>
      <c r="C6451" t="s">
        <v>129</v>
      </c>
      <c r="D6451" t="s">
        <v>14</v>
      </c>
      <c r="E6451" t="s">
        <v>11646</v>
      </c>
      <c r="F6451" s="2" t="str">
        <f>HYPERLINK("http://www.otzar.org/book.asp?154246","בצל הקודש")</f>
        <v>בצל הקודש</v>
      </c>
    </row>
    <row r="6452" spans="1:6" x14ac:dyDescent="0.2">
      <c r="A6452" t="s">
        <v>11647</v>
      </c>
      <c r="B6452" t="s">
        <v>11648</v>
      </c>
      <c r="C6452" t="s">
        <v>68</v>
      </c>
      <c r="D6452" t="s">
        <v>14</v>
      </c>
      <c r="F6452" s="2" t="str">
        <f>HYPERLINK("http://www.otzar.org/book.asp?632049","בצל חמדה - 2 כר'")</f>
        <v>בצל חמדה - 2 כר'</v>
      </c>
    </row>
    <row r="6453" spans="1:6" x14ac:dyDescent="0.2">
      <c r="A6453" t="s">
        <v>11649</v>
      </c>
      <c r="B6453" t="s">
        <v>686</v>
      </c>
      <c r="C6453" t="s">
        <v>411</v>
      </c>
      <c r="D6453" t="s">
        <v>52</v>
      </c>
      <c r="E6453" t="s">
        <v>579</v>
      </c>
      <c r="F6453" s="2" t="str">
        <f>HYPERLINK("http://www.otzar.org/book.asp?165399","בצל כנפיך")</f>
        <v>בצל כנפיך</v>
      </c>
    </row>
    <row r="6454" spans="1:6" x14ac:dyDescent="0.2">
      <c r="A6454" t="s">
        <v>11650</v>
      </c>
      <c r="B6454" t="s">
        <v>11651</v>
      </c>
      <c r="C6454" t="s">
        <v>20</v>
      </c>
      <c r="D6454" t="s">
        <v>11652</v>
      </c>
      <c r="E6454" t="s">
        <v>144</v>
      </c>
      <c r="F6454" s="2" t="str">
        <f>HYPERLINK("http://www.otzar.org/book.asp?624686","בצל מקדש - 2 כר'")</f>
        <v>בצל מקדש - 2 כר'</v>
      </c>
    </row>
    <row r="6455" spans="1:6" x14ac:dyDescent="0.2">
      <c r="A6455" t="s">
        <v>11653</v>
      </c>
      <c r="B6455" t="s">
        <v>11654</v>
      </c>
      <c r="C6455" t="s">
        <v>366</v>
      </c>
      <c r="D6455" t="s">
        <v>80</v>
      </c>
      <c r="E6455" t="s">
        <v>144</v>
      </c>
      <c r="F6455" s="2" t="str">
        <f>HYPERLINK("http://www.otzar.org/book.asp?610328","בצל משכיות הכסף - ברכות")</f>
        <v>בצל משכיות הכסף - ברכות</v>
      </c>
    </row>
    <row r="6456" spans="1:6" x14ac:dyDescent="0.2">
      <c r="A6456" t="s">
        <v>11655</v>
      </c>
      <c r="B6456" t="s">
        <v>11656</v>
      </c>
      <c r="C6456" t="s">
        <v>51</v>
      </c>
      <c r="D6456" t="s">
        <v>14</v>
      </c>
      <c r="E6456" t="s">
        <v>140</v>
      </c>
      <c r="F6456" s="2" t="str">
        <f>HYPERLINK("http://www.otzar.org/book.asp?84764","בצל צדיקים")</f>
        <v>בצל צדיקים</v>
      </c>
    </row>
    <row r="6457" spans="1:6" x14ac:dyDescent="0.2">
      <c r="A6457" t="s">
        <v>11657</v>
      </c>
      <c r="B6457" t="s">
        <v>11658</v>
      </c>
      <c r="D6457" t="s">
        <v>11659</v>
      </c>
      <c r="E6457" t="s">
        <v>202</v>
      </c>
      <c r="F6457" s="2" t="str">
        <f>HYPERLINK("http://www.otzar.org/book.asp?626407","בצל תומר - ב")</f>
        <v>בצל תומר - ב</v>
      </c>
    </row>
    <row r="6458" spans="1:6" x14ac:dyDescent="0.2">
      <c r="A6458" t="s">
        <v>11660</v>
      </c>
      <c r="B6458" t="s">
        <v>686</v>
      </c>
      <c r="C6458" t="s">
        <v>422</v>
      </c>
      <c r="D6458" t="s">
        <v>52</v>
      </c>
      <c r="E6458" t="s">
        <v>467</v>
      </c>
      <c r="F6458" s="2" t="str">
        <f>HYPERLINK("http://www.otzar.org/book.asp?148229","בצלו חמדתי")</f>
        <v>בצלו חמדתי</v>
      </c>
    </row>
    <row r="6459" spans="1:6" x14ac:dyDescent="0.2">
      <c r="A6459" t="s">
        <v>11661</v>
      </c>
      <c r="B6459" t="s">
        <v>11662</v>
      </c>
      <c r="C6459" t="s">
        <v>313</v>
      </c>
      <c r="D6459" t="s">
        <v>14</v>
      </c>
      <c r="E6459" t="s">
        <v>119</v>
      </c>
      <c r="F6459" s="2" t="str">
        <f>HYPERLINK("http://www.otzar.org/book.asp?611315","בצלו חמדתי - על הגאון מטשעבין")</f>
        <v>בצלו חמדתי - על הגאון מטשעבין</v>
      </c>
    </row>
    <row r="6460" spans="1:6" x14ac:dyDescent="0.2">
      <c r="A6460" t="s">
        <v>11663</v>
      </c>
      <c r="B6460" t="s">
        <v>11664</v>
      </c>
      <c r="C6460" t="s">
        <v>129</v>
      </c>
      <c r="D6460" t="s">
        <v>1205</v>
      </c>
      <c r="E6460" t="s">
        <v>144</v>
      </c>
      <c r="F6460" s="2" t="str">
        <f>HYPERLINK("http://www.otzar.org/book.asp?600875","בצלצלי שמע - זבחים")</f>
        <v>בצלצלי שמע - זבחים</v>
      </c>
    </row>
    <row r="6461" spans="1:6" x14ac:dyDescent="0.2">
      <c r="A6461" t="s">
        <v>11665</v>
      </c>
      <c r="B6461" t="s">
        <v>11666</v>
      </c>
      <c r="C6461" t="s">
        <v>20</v>
      </c>
      <c r="D6461" t="s">
        <v>52</v>
      </c>
      <c r="E6461" t="s">
        <v>15</v>
      </c>
      <c r="F6461" s="2" t="str">
        <f>HYPERLINK("http://www.otzar.org/book.asp?620458","בצר במדבר")</f>
        <v>בצר במדבר</v>
      </c>
    </row>
    <row r="6462" spans="1:6" x14ac:dyDescent="0.2">
      <c r="A6462" t="s">
        <v>11667</v>
      </c>
      <c r="B6462" t="s">
        <v>5618</v>
      </c>
      <c r="C6462" t="s">
        <v>1208</v>
      </c>
      <c r="D6462" t="s">
        <v>14</v>
      </c>
      <c r="E6462" t="s">
        <v>234</v>
      </c>
      <c r="F6462" s="2" t="str">
        <f>HYPERLINK("http://www.otzar.org/book.asp?84937","בצרור החיים")</f>
        <v>בצרור החיים</v>
      </c>
    </row>
    <row r="6463" spans="1:6" x14ac:dyDescent="0.2">
      <c r="A6463" t="s">
        <v>11668</v>
      </c>
      <c r="B6463" t="s">
        <v>11669</v>
      </c>
      <c r="C6463" t="s">
        <v>332</v>
      </c>
      <c r="D6463" t="s">
        <v>1646</v>
      </c>
      <c r="E6463" t="s">
        <v>119</v>
      </c>
      <c r="F6463" s="2" t="str">
        <f>HYPERLINK("http://www.otzar.org/book.asp?155040","בקדושה ובגבורה - 2 כר'")</f>
        <v>בקדושה ובגבורה - 2 כר'</v>
      </c>
    </row>
    <row r="6464" spans="1:6" x14ac:dyDescent="0.2">
      <c r="A6464" t="s">
        <v>11670</v>
      </c>
      <c r="B6464" t="s">
        <v>3520</v>
      </c>
      <c r="C6464" t="s">
        <v>129</v>
      </c>
      <c r="D6464" t="s">
        <v>14</v>
      </c>
      <c r="E6464" t="s">
        <v>119</v>
      </c>
      <c r="F6464" s="2" t="str">
        <f>HYPERLINK("http://www.otzar.org/book.asp?144048","בקדושתו של אהרן - 2 כר'")</f>
        <v>בקדושתו של אהרן - 2 כר'</v>
      </c>
    </row>
    <row r="6465" spans="1:6" x14ac:dyDescent="0.2">
      <c r="A6465" t="s">
        <v>11671</v>
      </c>
      <c r="B6465" t="s">
        <v>1312</v>
      </c>
      <c r="C6465" t="s">
        <v>244</v>
      </c>
      <c r="D6465" t="s">
        <v>14</v>
      </c>
      <c r="E6465" t="s">
        <v>741</v>
      </c>
      <c r="F6465" s="2" t="str">
        <f>HYPERLINK("http://www.otzar.org/book.asp?611113","בקודש חזיתיך - 3 כר'")</f>
        <v>בקודש חזיתיך - 3 כר'</v>
      </c>
    </row>
    <row r="6466" spans="1:6" x14ac:dyDescent="0.2">
      <c r="A6466" t="s">
        <v>11672</v>
      </c>
      <c r="B6466" t="s">
        <v>11673</v>
      </c>
      <c r="C6466" t="s">
        <v>767</v>
      </c>
      <c r="D6466" t="s">
        <v>52</v>
      </c>
      <c r="E6466" t="s">
        <v>119</v>
      </c>
      <c r="F6466" s="2" t="str">
        <f>HYPERLINK("http://www.otzar.org/book.asp?183260","בקודש חזיתך")</f>
        <v>בקודש חזיתך</v>
      </c>
    </row>
    <row r="6467" spans="1:6" x14ac:dyDescent="0.2">
      <c r="A6467" t="s">
        <v>11674</v>
      </c>
      <c r="B6467" t="s">
        <v>11675</v>
      </c>
      <c r="C6467" t="s">
        <v>103</v>
      </c>
      <c r="D6467" t="s">
        <v>14</v>
      </c>
      <c r="E6467" t="s">
        <v>15</v>
      </c>
      <c r="F6467" s="2" t="str">
        <f>HYPERLINK("http://www.otzar.org/book.asp?22486","בקול שופר")</f>
        <v>בקול שופר</v>
      </c>
    </row>
    <row r="6468" spans="1:6" x14ac:dyDescent="0.2">
      <c r="A6468" t="s">
        <v>11676</v>
      </c>
      <c r="B6468" t="s">
        <v>4398</v>
      </c>
      <c r="C6468" t="s">
        <v>13</v>
      </c>
      <c r="D6468" t="s">
        <v>216</v>
      </c>
      <c r="E6468" t="s">
        <v>144</v>
      </c>
      <c r="F6468" s="2" t="str">
        <f>HYPERLINK("http://www.otzar.org/book.asp?148446","בקול שמחה - פסחים")</f>
        <v>בקול שמחה - פסחים</v>
      </c>
    </row>
    <row r="6469" spans="1:6" x14ac:dyDescent="0.2">
      <c r="A6469" t="s">
        <v>11677</v>
      </c>
      <c r="B6469" t="s">
        <v>11678</v>
      </c>
      <c r="C6469" t="s">
        <v>1310</v>
      </c>
      <c r="D6469" t="s">
        <v>11679</v>
      </c>
      <c r="E6469" t="s">
        <v>24</v>
      </c>
      <c r="F6469" s="2" t="str">
        <f>HYPERLINK("http://www.otzar.org/book.asp?628252","בקור חולים מעבר יבק וספר החיים")</f>
        <v>בקור חולים מעבר יבק וספר החיים</v>
      </c>
    </row>
    <row r="6470" spans="1:6" x14ac:dyDescent="0.2">
      <c r="A6470" t="s">
        <v>11680</v>
      </c>
      <c r="B6470" t="s">
        <v>11681</v>
      </c>
      <c r="C6470" t="s">
        <v>20</v>
      </c>
      <c r="D6470" t="s">
        <v>152</v>
      </c>
      <c r="F6470" s="2" t="str">
        <f>HYPERLINK("http://www.otzar.org/book.asp?197483","בקוראי שמו - סת""ם")</f>
        <v>בקוראי שמו - סת"ם</v>
      </c>
    </row>
    <row r="6471" spans="1:6" x14ac:dyDescent="0.2">
      <c r="A6471" t="s">
        <v>11682</v>
      </c>
      <c r="B6471" t="s">
        <v>552</v>
      </c>
      <c r="C6471" t="s">
        <v>68</v>
      </c>
      <c r="D6471" t="s">
        <v>657</v>
      </c>
      <c r="E6471" t="s">
        <v>11683</v>
      </c>
      <c r="F6471" s="2" t="str">
        <f>HYPERLINK("http://www.otzar.org/book.asp?158582","בקוראי שמו")</f>
        <v>בקוראי שמו</v>
      </c>
    </row>
    <row r="6472" spans="1:6" x14ac:dyDescent="0.2">
      <c r="A6472" t="s">
        <v>11684</v>
      </c>
      <c r="B6472" t="s">
        <v>732</v>
      </c>
      <c r="C6472" t="s">
        <v>224</v>
      </c>
      <c r="D6472" t="s">
        <v>27</v>
      </c>
      <c r="E6472" t="s">
        <v>733</v>
      </c>
      <c r="F6472" s="2" t="str">
        <f>HYPERLINK("http://www.otzar.org/book.asp?188633","בקורי נסיכי אנגליה בירושלם")</f>
        <v>בקורי נסיכי אנגליה בירושלם</v>
      </c>
    </row>
    <row r="6473" spans="1:6" x14ac:dyDescent="0.2">
      <c r="A6473" t="s">
        <v>11685</v>
      </c>
      <c r="B6473" t="s">
        <v>7987</v>
      </c>
      <c r="C6473" t="s">
        <v>1811</v>
      </c>
      <c r="D6473" t="s">
        <v>14</v>
      </c>
      <c r="E6473" t="s">
        <v>119</v>
      </c>
      <c r="F6473" s="2" t="str">
        <f>HYPERLINK("http://www.otzar.org/book.asp?15527","בקורת ומסה - אישים וספרים")</f>
        <v>בקורת ומסה - אישים וספרים</v>
      </c>
    </row>
    <row r="6474" spans="1:6" x14ac:dyDescent="0.2">
      <c r="A6474" t="s">
        <v>11686</v>
      </c>
      <c r="B6474" t="s">
        <v>11687</v>
      </c>
      <c r="C6474" t="s">
        <v>3106</v>
      </c>
      <c r="D6474" t="s">
        <v>412</v>
      </c>
      <c r="E6474" t="s">
        <v>104</v>
      </c>
      <c r="F6474" s="2" t="str">
        <f>HYPERLINK("http://www.otzar.org/book.asp?626445","בקורת תהיה")</f>
        <v>בקורת תהיה</v>
      </c>
    </row>
    <row r="6475" spans="1:6" x14ac:dyDescent="0.2">
      <c r="A6475" t="s">
        <v>11688</v>
      </c>
      <c r="B6475" t="s">
        <v>11689</v>
      </c>
      <c r="C6475" t="s">
        <v>454</v>
      </c>
      <c r="D6475" t="s">
        <v>90</v>
      </c>
      <c r="E6475" t="s">
        <v>158</v>
      </c>
      <c r="F6475" s="2" t="str">
        <f>HYPERLINK("http://www.otzar.org/book.asp?618452","בקיאות התורה")</f>
        <v>בקיאות התורה</v>
      </c>
    </row>
    <row r="6476" spans="1:6" x14ac:dyDescent="0.2">
      <c r="A6476" t="s">
        <v>11690</v>
      </c>
      <c r="B6476" t="s">
        <v>11691</v>
      </c>
      <c r="C6476" t="s">
        <v>111</v>
      </c>
      <c r="D6476" t="s">
        <v>14</v>
      </c>
      <c r="E6476" t="s">
        <v>144</v>
      </c>
      <c r="F6476" s="2" t="str">
        <f>HYPERLINK("http://www.otzar.org/book.asp?631124","בקיאות כהלכה - 6 כר'")</f>
        <v>בקיאות כהלכה - 6 כר'</v>
      </c>
    </row>
    <row r="6477" spans="1:6" x14ac:dyDescent="0.2">
      <c r="A6477" t="s">
        <v>11692</v>
      </c>
      <c r="B6477" t="s">
        <v>1750</v>
      </c>
      <c r="C6477" t="s">
        <v>244</v>
      </c>
      <c r="D6477" t="s">
        <v>80</v>
      </c>
      <c r="E6477" t="s">
        <v>202</v>
      </c>
      <c r="F6477" s="2" t="str">
        <f>HYPERLINK("http://www.otzar.org/book.asp?608451","בקנה אחד - 5 כר'")</f>
        <v>בקנה אחד - 5 כר'</v>
      </c>
    </row>
    <row r="6478" spans="1:6" x14ac:dyDescent="0.2">
      <c r="A6478" t="s">
        <v>11693</v>
      </c>
      <c r="B6478" t="s">
        <v>11694</v>
      </c>
      <c r="C6478" t="s">
        <v>360</v>
      </c>
      <c r="D6478" t="s">
        <v>27</v>
      </c>
      <c r="E6478" t="s">
        <v>7760</v>
      </c>
      <c r="F6478" s="2" t="str">
        <f>HYPERLINK("http://www.otzar.org/book.asp?104846","בקע לגלגלת")</f>
        <v>בקע לגלגלת</v>
      </c>
    </row>
    <row r="6479" spans="1:6" x14ac:dyDescent="0.2">
      <c r="A6479" t="s">
        <v>11695</v>
      </c>
      <c r="B6479" t="s">
        <v>11696</v>
      </c>
      <c r="C6479" t="s">
        <v>5903</v>
      </c>
      <c r="D6479" t="s">
        <v>11697</v>
      </c>
      <c r="E6479" t="s">
        <v>219</v>
      </c>
      <c r="F6479" s="2" t="str">
        <f>HYPERLINK("http://www.otzar.org/book.asp?168774","בקר יזרח - 2 כר'")</f>
        <v>בקר יזרח - 2 כר'</v>
      </c>
    </row>
    <row r="6480" spans="1:6" x14ac:dyDescent="0.2">
      <c r="A6480" t="s">
        <v>11698</v>
      </c>
      <c r="B6480" t="s">
        <v>1275</v>
      </c>
      <c r="C6480" t="s">
        <v>111</v>
      </c>
      <c r="D6480" t="s">
        <v>52</v>
      </c>
      <c r="E6480" t="s">
        <v>104</v>
      </c>
      <c r="F6480" s="2" t="str">
        <f>HYPERLINK("http://www.otzar.org/book.asp?626232","בקראי שמו - 2 כר'")</f>
        <v>בקראי שמו - 2 כר'</v>
      </c>
    </row>
    <row r="6481" spans="1:6" x14ac:dyDescent="0.2">
      <c r="A6481" t="s">
        <v>11698</v>
      </c>
      <c r="B6481" t="s">
        <v>11699</v>
      </c>
      <c r="C6481" t="s">
        <v>13</v>
      </c>
      <c r="D6481" t="s">
        <v>14</v>
      </c>
      <c r="E6481" t="s">
        <v>158</v>
      </c>
      <c r="F6481" s="2" t="str">
        <f>HYPERLINK("http://www.otzar.org/book.asp?150875","בקראי שמו - 2 כר'")</f>
        <v>בקראי שמו - 2 כר'</v>
      </c>
    </row>
    <row r="6482" spans="1:6" x14ac:dyDescent="0.2">
      <c r="A6482" t="s">
        <v>11700</v>
      </c>
      <c r="B6482" t="s">
        <v>7201</v>
      </c>
      <c r="C6482" t="s">
        <v>20</v>
      </c>
      <c r="D6482" t="s">
        <v>657</v>
      </c>
      <c r="E6482" t="s">
        <v>144</v>
      </c>
      <c r="F6482" s="2" t="str">
        <f>HYPERLINK("http://www.otzar.org/book.asp?165040","בקראי שמו - כתיבת סת""ם")</f>
        <v>בקראי שמו - כתיבת סת"ם</v>
      </c>
    </row>
    <row r="6483" spans="1:6" x14ac:dyDescent="0.2">
      <c r="A6483" t="s">
        <v>11701</v>
      </c>
      <c r="B6483" t="s">
        <v>11702</v>
      </c>
      <c r="C6483" t="s">
        <v>785</v>
      </c>
      <c r="D6483" t="s">
        <v>14</v>
      </c>
      <c r="F6483" s="2" t="str">
        <f>HYPERLINK("http://www.otzar.org/book.asp?611165","בקרב חסידים")</f>
        <v>בקרב חסידים</v>
      </c>
    </row>
    <row r="6484" spans="1:6" x14ac:dyDescent="0.2">
      <c r="A6484" t="s">
        <v>11703</v>
      </c>
      <c r="B6484" t="s">
        <v>11704</v>
      </c>
      <c r="C6484" t="s">
        <v>2458</v>
      </c>
      <c r="E6484" t="s">
        <v>158</v>
      </c>
      <c r="F6484" s="2" t="str">
        <f>HYPERLINK("http://www.otzar.org/book.asp?194918","בקרבך קדוש - ב")</f>
        <v>בקרבך קדוש - ב</v>
      </c>
    </row>
    <row r="6485" spans="1:6" x14ac:dyDescent="0.2">
      <c r="A6485" t="s">
        <v>11705</v>
      </c>
      <c r="B6485" t="s">
        <v>11669</v>
      </c>
      <c r="C6485" t="s">
        <v>189</v>
      </c>
      <c r="D6485" t="s">
        <v>14</v>
      </c>
      <c r="E6485" t="s">
        <v>119</v>
      </c>
      <c r="F6485" s="2" t="str">
        <f>HYPERLINK("http://www.otzar.org/book.asp?155038","בקרובי אקדש")</f>
        <v>בקרובי אקדש</v>
      </c>
    </row>
    <row r="6486" spans="1:6" x14ac:dyDescent="0.2">
      <c r="A6486" t="s">
        <v>11705</v>
      </c>
      <c r="B6486" t="s">
        <v>1005</v>
      </c>
      <c r="C6486" t="s">
        <v>20</v>
      </c>
      <c r="D6486" t="s">
        <v>90</v>
      </c>
      <c r="E6486" t="s">
        <v>202</v>
      </c>
      <c r="F6486" s="2" t="str">
        <f>HYPERLINK("http://www.otzar.org/book.asp?193095","בקרובי אקדש")</f>
        <v>בקרובי אקדש</v>
      </c>
    </row>
    <row r="6487" spans="1:6" x14ac:dyDescent="0.2">
      <c r="A6487" t="s">
        <v>11706</v>
      </c>
      <c r="B6487" t="s">
        <v>11707</v>
      </c>
      <c r="C6487" t="s">
        <v>129</v>
      </c>
      <c r="D6487" t="s">
        <v>14</v>
      </c>
      <c r="F6487" s="2" t="str">
        <f>HYPERLINK("http://www.otzar.org/book.asp?610753","בקרן היובל")</f>
        <v>בקרן היובל</v>
      </c>
    </row>
    <row r="6488" spans="1:6" x14ac:dyDescent="0.2">
      <c r="A6488" t="s">
        <v>11708</v>
      </c>
      <c r="B6488" t="s">
        <v>11709</v>
      </c>
      <c r="C6488" t="s">
        <v>189</v>
      </c>
      <c r="D6488" t="s">
        <v>14</v>
      </c>
      <c r="E6488" t="s">
        <v>144</v>
      </c>
      <c r="F6488" s="2" t="str">
        <f>HYPERLINK("http://www.otzar.org/book.asp?152740","בקש שלום ורדפהו")</f>
        <v>בקש שלום ורדפהו</v>
      </c>
    </row>
    <row r="6489" spans="1:6" x14ac:dyDescent="0.2">
      <c r="A6489" t="s">
        <v>11710</v>
      </c>
      <c r="B6489" t="s">
        <v>11711</v>
      </c>
      <c r="C6489" t="s">
        <v>103</v>
      </c>
      <c r="D6489" t="s">
        <v>14</v>
      </c>
      <c r="E6489" t="s">
        <v>2091</v>
      </c>
      <c r="F6489" s="2" t="str">
        <f>HYPERLINK("http://www.otzar.org/book.asp?171099","בקש שלום")</f>
        <v>בקש שלום</v>
      </c>
    </row>
    <row r="6490" spans="1:6" x14ac:dyDescent="0.2">
      <c r="A6490" t="s">
        <v>11712</v>
      </c>
      <c r="B6490" t="s">
        <v>8085</v>
      </c>
      <c r="C6490" t="s">
        <v>547</v>
      </c>
      <c r="D6490" t="s">
        <v>6974</v>
      </c>
      <c r="E6490" t="s">
        <v>154</v>
      </c>
      <c r="F6490" s="2" t="str">
        <f>HYPERLINK("http://www.otzar.org/book.asp?102857","בקש שלמה")</f>
        <v>בקש שלמה</v>
      </c>
    </row>
    <row r="6491" spans="1:6" x14ac:dyDescent="0.2">
      <c r="A6491" t="s">
        <v>11713</v>
      </c>
      <c r="B6491" t="s">
        <v>11714</v>
      </c>
      <c r="C6491" t="s">
        <v>11715</v>
      </c>
      <c r="D6491" t="s">
        <v>729</v>
      </c>
      <c r="F6491" s="2" t="str">
        <f>HYPERLINK("http://www.otzar.org/book.asp?64060","בקשה &lt;גזירות פולין, רייסין, אוקריינא&gt;")</f>
        <v>בקשה &lt;גזירות פולין, רייסין, אוקריינא&gt;</v>
      </c>
    </row>
    <row r="6492" spans="1:6" x14ac:dyDescent="0.2">
      <c r="A6492" t="s">
        <v>11716</v>
      </c>
      <c r="B6492" t="s">
        <v>599</v>
      </c>
      <c r="C6492" t="s">
        <v>3840</v>
      </c>
      <c r="D6492" t="s">
        <v>27</v>
      </c>
      <c r="E6492" t="s">
        <v>219</v>
      </c>
      <c r="F6492" s="2" t="str">
        <f>HYPERLINK("http://www.otzar.org/book.asp?25158","בקשה לאומרה על קבר אדונינו דוד המלך ע""ה")</f>
        <v>בקשה לאומרה על קבר אדונינו דוד המלך ע"ה</v>
      </c>
    </row>
    <row r="6493" spans="1:6" x14ac:dyDescent="0.2">
      <c r="A6493" t="s">
        <v>11717</v>
      </c>
      <c r="B6493" t="s">
        <v>11714</v>
      </c>
      <c r="C6493" t="s">
        <v>1135</v>
      </c>
      <c r="D6493" t="s">
        <v>1516</v>
      </c>
      <c r="E6493" t="s">
        <v>219</v>
      </c>
      <c r="F6493" s="2" t="str">
        <f>HYPERLINK("http://www.otzar.org/book.asp?64068","בקשה")</f>
        <v>בקשה</v>
      </c>
    </row>
    <row r="6494" spans="1:6" x14ac:dyDescent="0.2">
      <c r="A6494" t="s">
        <v>11718</v>
      </c>
      <c r="B6494" t="s">
        <v>11704</v>
      </c>
      <c r="C6494" t="s">
        <v>20</v>
      </c>
      <c r="D6494" t="s">
        <v>3161</v>
      </c>
      <c r="E6494" t="s">
        <v>234</v>
      </c>
      <c r="F6494" s="2" t="str">
        <f>HYPERLINK("http://www.otzar.org/book.asp?602627","בקשו פני")</f>
        <v>בקשו פני</v>
      </c>
    </row>
    <row r="6495" spans="1:6" x14ac:dyDescent="0.2">
      <c r="A6495" t="s">
        <v>11719</v>
      </c>
      <c r="B6495" t="s">
        <v>11720</v>
      </c>
      <c r="C6495" t="s">
        <v>189</v>
      </c>
      <c r="D6495" t="s">
        <v>1550</v>
      </c>
      <c r="E6495" t="s">
        <v>15</v>
      </c>
      <c r="F6495" s="2" t="str">
        <f>HYPERLINK("http://www.otzar.org/book.asp?603213","בקשות בשבת")</f>
        <v>בקשות בשבת</v>
      </c>
    </row>
    <row r="6496" spans="1:6" x14ac:dyDescent="0.2">
      <c r="A6496" t="s">
        <v>11721</v>
      </c>
      <c r="B6496" t="s">
        <v>11722</v>
      </c>
      <c r="C6496" t="s">
        <v>11723</v>
      </c>
      <c r="D6496" t="s">
        <v>49</v>
      </c>
      <c r="F6496" s="2" t="str">
        <f>HYPERLINK("http://www.otzar.org/book.asp?164952","בקשות ווידויים כפי הזמן")</f>
        <v>בקשות ווידויים כפי הזמן</v>
      </c>
    </row>
    <row r="6497" spans="1:6" x14ac:dyDescent="0.2">
      <c r="A6497" t="s">
        <v>11724</v>
      </c>
      <c r="B6497" t="s">
        <v>11725</v>
      </c>
      <c r="C6497" t="s">
        <v>1166</v>
      </c>
      <c r="D6497" t="s">
        <v>11726</v>
      </c>
      <c r="E6497" t="s">
        <v>219</v>
      </c>
      <c r="F6497" s="2" t="str">
        <f>HYPERLINK("http://www.otzar.org/book.asp?153064","בקשות של שבת")</f>
        <v>בקשות של שבת</v>
      </c>
    </row>
    <row r="6498" spans="1:6" x14ac:dyDescent="0.2">
      <c r="A6498" t="s">
        <v>11727</v>
      </c>
      <c r="B6498" t="s">
        <v>11728</v>
      </c>
      <c r="C6498" t="s">
        <v>576</v>
      </c>
      <c r="D6498" t="s">
        <v>11729</v>
      </c>
      <c r="E6498" t="s">
        <v>104</v>
      </c>
      <c r="F6498" s="2" t="str">
        <f>HYPERLINK("http://www.otzar.org/book.asp?104966","בקשת הלמדין")</f>
        <v>בקשת הלמדין</v>
      </c>
    </row>
    <row r="6499" spans="1:6" x14ac:dyDescent="0.2">
      <c r="A6499" t="s">
        <v>11730</v>
      </c>
      <c r="B6499" t="s">
        <v>2353</v>
      </c>
      <c r="C6499" t="s">
        <v>17</v>
      </c>
      <c r="D6499" t="s">
        <v>52</v>
      </c>
      <c r="E6499" t="s">
        <v>15</v>
      </c>
      <c r="F6499" s="2" t="str">
        <f>HYPERLINK("http://www.otzar.org/book.asp?158762","בר גיבול")</f>
        <v>בר גיבול</v>
      </c>
    </row>
    <row r="6500" spans="1:6" x14ac:dyDescent="0.2">
      <c r="A6500" t="s">
        <v>11731</v>
      </c>
      <c r="B6500" t="s">
        <v>11732</v>
      </c>
      <c r="C6500" t="s">
        <v>362</v>
      </c>
      <c r="D6500" t="s">
        <v>27</v>
      </c>
      <c r="F6500" s="2" t="str">
        <f>HYPERLINK("http://www.otzar.org/book.asp?189634","בר ולחם")</f>
        <v>בר ולחם</v>
      </c>
    </row>
    <row r="6501" spans="1:6" x14ac:dyDescent="0.2">
      <c r="A6501" t="s">
        <v>11733</v>
      </c>
      <c r="B6501" t="s">
        <v>11734</v>
      </c>
      <c r="C6501" t="s">
        <v>20</v>
      </c>
      <c r="D6501" t="s">
        <v>52</v>
      </c>
      <c r="E6501" t="s">
        <v>1517</v>
      </c>
      <c r="F6501" s="2" t="str">
        <f>HYPERLINK("http://www.otzar.org/book.asp?600425","בר יוחאי המפורש")</f>
        <v>בר יוחאי המפורש</v>
      </c>
    </row>
    <row r="6502" spans="1:6" x14ac:dyDescent="0.2">
      <c r="A6502" t="s">
        <v>11735</v>
      </c>
      <c r="B6502" t="s">
        <v>11736</v>
      </c>
      <c r="C6502" t="s">
        <v>23</v>
      </c>
      <c r="D6502" t="s">
        <v>14</v>
      </c>
      <c r="E6502" t="s">
        <v>4779</v>
      </c>
      <c r="F6502" s="2" t="str">
        <f>HYPERLINK("http://www.otzar.org/book.asp?627279","בר יוסף")</f>
        <v>בר יוסף</v>
      </c>
    </row>
    <row r="6503" spans="1:6" x14ac:dyDescent="0.2">
      <c r="A6503" t="s">
        <v>11737</v>
      </c>
      <c r="B6503" t="s">
        <v>11737</v>
      </c>
      <c r="C6503" t="s">
        <v>176</v>
      </c>
      <c r="D6503" t="s">
        <v>14</v>
      </c>
      <c r="E6503" t="s">
        <v>960</v>
      </c>
      <c r="F6503" s="2" t="str">
        <f>HYPERLINK("http://www.otzar.org/book.asp?6524","בר לבב")</f>
        <v>בר לבב</v>
      </c>
    </row>
    <row r="6504" spans="1:6" x14ac:dyDescent="0.2">
      <c r="A6504" t="s">
        <v>11738</v>
      </c>
      <c r="B6504" t="s">
        <v>11739</v>
      </c>
      <c r="C6504" t="s">
        <v>496</v>
      </c>
      <c r="D6504" t="s">
        <v>379</v>
      </c>
      <c r="E6504" t="s">
        <v>154</v>
      </c>
      <c r="F6504" s="2" t="str">
        <f>HYPERLINK("http://www.otzar.org/book.asp?173074","בר ליואי &lt;מהדורא תנינא&gt;")</f>
        <v>בר ליואי &lt;מהדורא תנינא&gt;</v>
      </c>
    </row>
    <row r="6505" spans="1:6" x14ac:dyDescent="0.2">
      <c r="A6505" t="s">
        <v>11740</v>
      </c>
      <c r="B6505" t="s">
        <v>11739</v>
      </c>
      <c r="C6505" t="s">
        <v>11741</v>
      </c>
      <c r="D6505" t="s">
        <v>267</v>
      </c>
      <c r="E6505" t="s">
        <v>154</v>
      </c>
      <c r="F6505" s="2" t="str">
        <f>HYPERLINK("http://www.otzar.org/book.asp?173075","בר ליואי - 2 כר'")</f>
        <v>בר ליואי - 2 כר'</v>
      </c>
    </row>
    <row r="6506" spans="1:6" x14ac:dyDescent="0.2">
      <c r="A6506" t="s">
        <v>11742</v>
      </c>
      <c r="B6506" t="s">
        <v>11743</v>
      </c>
      <c r="C6506" t="s">
        <v>609</v>
      </c>
      <c r="D6506" t="s">
        <v>9</v>
      </c>
      <c r="E6506" t="s">
        <v>674</v>
      </c>
      <c r="F6506" s="2" t="str">
        <f>HYPERLINK("http://www.otzar.org/book.asp?17342","בר מצוה")</f>
        <v>בר מצוה</v>
      </c>
    </row>
    <row r="6507" spans="1:6" x14ac:dyDescent="0.2">
      <c r="A6507" t="s">
        <v>11744</v>
      </c>
      <c r="B6507" t="s">
        <v>2396</v>
      </c>
      <c r="C6507" t="s">
        <v>244</v>
      </c>
      <c r="D6507" t="s">
        <v>1076</v>
      </c>
      <c r="F6507" s="2" t="str">
        <f>HYPERLINK("http://www.otzar.org/book.asp?617275","בר נפחא - בפסוקי התורה")</f>
        <v>בר נפחא - בפסוקי התורה</v>
      </c>
    </row>
    <row r="6508" spans="1:6" x14ac:dyDescent="0.2">
      <c r="A6508" t="s">
        <v>11745</v>
      </c>
      <c r="B6508" t="s">
        <v>11746</v>
      </c>
      <c r="C6508" t="s">
        <v>624</v>
      </c>
      <c r="D6508" t="s">
        <v>412</v>
      </c>
      <c r="E6508" t="s">
        <v>2071</v>
      </c>
      <c r="F6508" s="2" t="str">
        <f>HYPERLINK("http://www.otzar.org/book.asp?163726","בר פחתי")</f>
        <v>בר פחתי</v>
      </c>
    </row>
    <row r="6509" spans="1:6" x14ac:dyDescent="0.2">
      <c r="A6509" t="s">
        <v>11747</v>
      </c>
      <c r="B6509" t="s">
        <v>11748</v>
      </c>
      <c r="C6509" t="s">
        <v>360</v>
      </c>
      <c r="D6509" t="s">
        <v>27</v>
      </c>
      <c r="E6509" t="s">
        <v>24</v>
      </c>
      <c r="F6509" s="2" t="str">
        <f>HYPERLINK("http://www.otzar.org/book.asp?11699","ברא מזכה אבא")</f>
        <v>ברא מזכה אבא</v>
      </c>
    </row>
    <row r="6510" spans="1:6" x14ac:dyDescent="0.2">
      <c r="A6510" t="s">
        <v>11749</v>
      </c>
      <c r="B6510" t="s">
        <v>11750</v>
      </c>
      <c r="C6510" t="s">
        <v>433</v>
      </c>
      <c r="D6510" t="s">
        <v>260</v>
      </c>
      <c r="E6510" t="s">
        <v>104</v>
      </c>
      <c r="F6510" s="2" t="str">
        <f>HYPERLINK("http://www.otzar.org/book.asp?15148","בראי הדורות")</f>
        <v>בראי הדורות</v>
      </c>
    </row>
    <row r="6511" spans="1:6" x14ac:dyDescent="0.2">
      <c r="A6511" t="s">
        <v>11751</v>
      </c>
      <c r="B6511" t="s">
        <v>1681</v>
      </c>
      <c r="C6511" t="s">
        <v>17</v>
      </c>
      <c r="D6511" t="s">
        <v>52</v>
      </c>
      <c r="E6511" t="s">
        <v>15</v>
      </c>
      <c r="F6511" s="2" t="str">
        <f>HYPERLINK("http://www.otzar.org/book.asp?618457","בראשית ברא")</f>
        <v>בראשית ברא</v>
      </c>
    </row>
    <row r="6512" spans="1:6" x14ac:dyDescent="0.2">
      <c r="A6512" t="s">
        <v>11752</v>
      </c>
      <c r="B6512" t="s">
        <v>11753</v>
      </c>
      <c r="C6512" t="s">
        <v>114</v>
      </c>
      <c r="D6512" t="s">
        <v>1076</v>
      </c>
      <c r="E6512" t="s">
        <v>104</v>
      </c>
      <c r="F6512" s="2" t="str">
        <f>HYPERLINK("http://www.otzar.org/book.asp?165191","ברב יועץ")</f>
        <v>ברב יועץ</v>
      </c>
    </row>
    <row r="6513" spans="1:6" x14ac:dyDescent="0.2">
      <c r="A6513" t="s">
        <v>11754</v>
      </c>
      <c r="B6513" t="s">
        <v>11755</v>
      </c>
      <c r="C6513" t="s">
        <v>313</v>
      </c>
      <c r="D6513" t="s">
        <v>14</v>
      </c>
      <c r="E6513" t="s">
        <v>202</v>
      </c>
      <c r="F6513" s="2" t="str">
        <f>HYPERLINK("http://www.otzar.org/book.asp?22175","ברה כחמה")</f>
        <v>ברה כחמה</v>
      </c>
    </row>
    <row r="6514" spans="1:6" x14ac:dyDescent="0.2">
      <c r="A6514" t="s">
        <v>11756</v>
      </c>
      <c r="B6514" t="s">
        <v>11757</v>
      </c>
      <c r="C6514" t="s">
        <v>244</v>
      </c>
      <c r="D6514" t="s">
        <v>14</v>
      </c>
      <c r="E6514" t="s">
        <v>10</v>
      </c>
      <c r="F6514" s="2" t="str">
        <f>HYPERLINK("http://www.otzar.org/book.asp?622639","ברוך אומר - 4 כר'")</f>
        <v>ברוך אומר - 4 כר'</v>
      </c>
    </row>
    <row r="6515" spans="1:6" x14ac:dyDescent="0.2">
      <c r="A6515" t="s">
        <v>11758</v>
      </c>
      <c r="B6515" t="s">
        <v>8907</v>
      </c>
      <c r="C6515" t="s">
        <v>23</v>
      </c>
      <c r="D6515" t="s">
        <v>20</v>
      </c>
      <c r="F6515" s="2" t="str">
        <f>HYPERLINK("http://www.otzar.org/book.asp?606263","ברוך אשר נתן")</f>
        <v>ברוך אשר נתן</v>
      </c>
    </row>
    <row r="6516" spans="1:6" x14ac:dyDescent="0.2">
      <c r="A6516" t="s">
        <v>11759</v>
      </c>
      <c r="B6516" t="s">
        <v>11760</v>
      </c>
      <c r="C6516" t="s">
        <v>23</v>
      </c>
      <c r="D6516" t="s">
        <v>5172</v>
      </c>
      <c r="E6516" t="s">
        <v>104</v>
      </c>
      <c r="F6516" s="2" t="str">
        <f>HYPERLINK("http://www.otzar.org/book.asp?625640","ברוך אתה")</f>
        <v>ברוך אתה</v>
      </c>
    </row>
    <row r="6517" spans="1:6" x14ac:dyDescent="0.2">
      <c r="A6517" t="s">
        <v>11761</v>
      </c>
      <c r="B6517" t="s">
        <v>4977</v>
      </c>
      <c r="C6517" t="s">
        <v>20</v>
      </c>
      <c r="D6517" t="s">
        <v>14</v>
      </c>
      <c r="E6517" t="s">
        <v>1262</v>
      </c>
      <c r="F6517" s="2" t="str">
        <f>HYPERLINK("http://www.otzar.org/book.asp?153422","ברוך ה' יום יום")</f>
        <v>ברוך ה' יום יום</v>
      </c>
    </row>
    <row r="6518" spans="1:6" x14ac:dyDescent="0.2">
      <c r="A6518" t="s">
        <v>11762</v>
      </c>
      <c r="B6518" t="s">
        <v>11763</v>
      </c>
      <c r="C6518" t="s">
        <v>411</v>
      </c>
      <c r="D6518" t="s">
        <v>1840</v>
      </c>
      <c r="F6518" s="2" t="str">
        <f>HYPERLINK("http://www.otzar.org/book.asp?178960","ברוך הוא וברוך שמו")</f>
        <v>ברוך הוא וברוך שמו</v>
      </c>
    </row>
    <row r="6519" spans="1:6" x14ac:dyDescent="0.2">
      <c r="A6519" t="s">
        <v>11764</v>
      </c>
      <c r="B6519" t="s">
        <v>686</v>
      </c>
      <c r="C6519" t="s">
        <v>411</v>
      </c>
      <c r="D6519" t="s">
        <v>52</v>
      </c>
      <c r="E6519" t="s">
        <v>104</v>
      </c>
      <c r="F6519" s="2" t="str">
        <f>HYPERLINK("http://www.otzar.org/book.asp?189261","ברוך המקום")</f>
        <v>ברוך המקום</v>
      </c>
    </row>
    <row r="6520" spans="1:6" x14ac:dyDescent="0.2">
      <c r="A6520" t="s">
        <v>11765</v>
      </c>
      <c r="B6520" t="s">
        <v>11766</v>
      </c>
      <c r="C6520" t="s">
        <v>1268</v>
      </c>
      <c r="D6520" t="s">
        <v>52</v>
      </c>
      <c r="F6520" s="2" t="str">
        <f>HYPERLINK("http://www.otzar.org/book.asp?615340","ברוך השלחן - 3 כר'")</f>
        <v>ברוך השלחן - 3 כר'</v>
      </c>
    </row>
    <row r="6521" spans="1:6" x14ac:dyDescent="0.2">
      <c r="A6521" t="s">
        <v>11767</v>
      </c>
      <c r="B6521" t="s">
        <v>11768</v>
      </c>
      <c r="C6521" t="s">
        <v>360</v>
      </c>
      <c r="D6521" t="s">
        <v>11769</v>
      </c>
      <c r="E6521" t="s">
        <v>508</v>
      </c>
      <c r="F6521" s="2" t="str">
        <f>HYPERLINK("http://www.otzar.org/book.asp?17343","ברוך השם - א-ב")</f>
        <v>ברוך השם - א-ב</v>
      </c>
    </row>
    <row r="6522" spans="1:6" x14ac:dyDescent="0.2">
      <c r="A6522" t="s">
        <v>11770</v>
      </c>
      <c r="B6522" t="s">
        <v>11771</v>
      </c>
      <c r="C6522" t="s">
        <v>411</v>
      </c>
      <c r="D6522" t="s">
        <v>14</v>
      </c>
      <c r="E6522" t="s">
        <v>104</v>
      </c>
      <c r="F6522" s="2" t="str">
        <f>HYPERLINK("http://www.otzar.org/book.asp?171419","ברוך ומקודש")</f>
        <v>ברוך ומקודש</v>
      </c>
    </row>
    <row r="6523" spans="1:6" x14ac:dyDescent="0.2">
      <c r="A6523" t="s">
        <v>11772</v>
      </c>
      <c r="B6523" t="s">
        <v>11773</v>
      </c>
      <c r="C6523" t="s">
        <v>411</v>
      </c>
      <c r="D6523" t="s">
        <v>14</v>
      </c>
      <c r="F6523" s="2" t="str">
        <f>HYPERLINK("http://www.otzar.org/book.asp?610455","ברוך טעם &lt;מהדורה חדשה&gt; - 3 כר'")</f>
        <v>ברוך טעם &lt;מהדורה חדשה&gt; - 3 כר'</v>
      </c>
    </row>
    <row r="6524" spans="1:6" x14ac:dyDescent="0.2">
      <c r="A6524" t="s">
        <v>11774</v>
      </c>
      <c r="B6524" t="s">
        <v>11773</v>
      </c>
      <c r="C6524" t="s">
        <v>1437</v>
      </c>
      <c r="D6524" t="s">
        <v>1117</v>
      </c>
      <c r="E6524" t="s">
        <v>144</v>
      </c>
      <c r="F6524" s="2" t="str">
        <f>HYPERLINK("http://www.otzar.org/book.asp?15364","ברוך טעם")</f>
        <v>ברוך טעם</v>
      </c>
    </row>
    <row r="6525" spans="1:6" x14ac:dyDescent="0.2">
      <c r="A6525" t="s">
        <v>11775</v>
      </c>
      <c r="B6525" t="s">
        <v>4857</v>
      </c>
      <c r="C6525" t="s">
        <v>11776</v>
      </c>
      <c r="D6525" t="s">
        <v>60</v>
      </c>
      <c r="E6525" t="s">
        <v>158</v>
      </c>
      <c r="F6525" s="2" t="str">
        <f>HYPERLINK("http://www.otzar.org/book.asp?108271","ברוך מבנים אשר")</f>
        <v>ברוך מבנים אשר</v>
      </c>
    </row>
    <row r="6526" spans="1:6" x14ac:dyDescent="0.2">
      <c r="A6526" t="s">
        <v>11775</v>
      </c>
      <c r="B6526" t="s">
        <v>552</v>
      </c>
      <c r="C6526" t="s">
        <v>1208</v>
      </c>
      <c r="D6526" t="s">
        <v>14</v>
      </c>
      <c r="E6526" t="s">
        <v>202</v>
      </c>
      <c r="F6526" s="2" t="str">
        <f>HYPERLINK("http://www.otzar.org/book.asp?24959","ברוך מבנים אשר")</f>
        <v>ברוך מבנים אשר</v>
      </c>
    </row>
    <row r="6527" spans="1:6" x14ac:dyDescent="0.2">
      <c r="A6527" t="s">
        <v>11777</v>
      </c>
      <c r="B6527" t="s">
        <v>11778</v>
      </c>
      <c r="C6527" t="s">
        <v>20</v>
      </c>
      <c r="D6527" t="s">
        <v>2652</v>
      </c>
      <c r="E6527" t="s">
        <v>674</v>
      </c>
      <c r="F6527" s="2" t="str">
        <f>HYPERLINK("http://www.otzar.org/book.asp?192908","ברוך מבנים אשר - ג")</f>
        <v>ברוך מבנים אשר - ג</v>
      </c>
    </row>
    <row r="6528" spans="1:6" x14ac:dyDescent="0.2">
      <c r="A6528" t="s">
        <v>11779</v>
      </c>
      <c r="B6528" t="s">
        <v>9765</v>
      </c>
      <c r="C6528" t="s">
        <v>550</v>
      </c>
      <c r="D6528" t="s">
        <v>56</v>
      </c>
      <c r="E6528" t="s">
        <v>11780</v>
      </c>
      <c r="F6528" s="2" t="str">
        <f>HYPERLINK("http://www.otzar.org/book.asp?300597","ברוך מבנים")</f>
        <v>ברוך מבנים</v>
      </c>
    </row>
    <row r="6529" spans="1:6" x14ac:dyDescent="0.2">
      <c r="A6529" t="s">
        <v>11779</v>
      </c>
      <c r="B6529" t="s">
        <v>11781</v>
      </c>
      <c r="C6529" t="s">
        <v>492</v>
      </c>
      <c r="D6529" t="s">
        <v>27</v>
      </c>
      <c r="E6529" t="s">
        <v>158</v>
      </c>
      <c r="F6529" s="2" t="str">
        <f>HYPERLINK("http://www.otzar.org/book.asp?17344","ברוך מבנים")</f>
        <v>ברוך מבנים</v>
      </c>
    </row>
    <row r="6530" spans="1:6" x14ac:dyDescent="0.2">
      <c r="A6530" t="s">
        <v>11779</v>
      </c>
      <c r="B6530" t="s">
        <v>11782</v>
      </c>
      <c r="C6530" t="s">
        <v>1418</v>
      </c>
      <c r="D6530" t="s">
        <v>157</v>
      </c>
      <c r="E6530" t="s">
        <v>5712</v>
      </c>
      <c r="F6530" s="2" t="str">
        <f>HYPERLINK("http://www.otzar.org/book.asp?22398","ברוך מבנים")</f>
        <v>ברוך מבנים</v>
      </c>
    </row>
    <row r="6531" spans="1:6" x14ac:dyDescent="0.2">
      <c r="A6531" t="s">
        <v>11783</v>
      </c>
      <c r="B6531" t="s">
        <v>11784</v>
      </c>
      <c r="C6531" t="s">
        <v>11785</v>
      </c>
      <c r="D6531" t="s">
        <v>267</v>
      </c>
      <c r="E6531" t="s">
        <v>144</v>
      </c>
      <c r="F6531" s="2" t="str">
        <f>HYPERLINK("http://www.otzar.org/book.asp?20983","ברוך מרדכי - 2 כר'")</f>
        <v>ברוך מרדכי - 2 כר'</v>
      </c>
    </row>
    <row r="6532" spans="1:6" x14ac:dyDescent="0.2">
      <c r="A6532" t="s">
        <v>11786</v>
      </c>
      <c r="B6532" t="s">
        <v>11787</v>
      </c>
      <c r="C6532" t="s">
        <v>20</v>
      </c>
      <c r="D6532" t="s">
        <v>52</v>
      </c>
      <c r="E6532" t="s">
        <v>158</v>
      </c>
      <c r="F6532" s="2" t="str">
        <f>HYPERLINK("http://www.otzar.org/book.asp?63791","ברוך מרדכי - 5 כר'")</f>
        <v>ברוך מרדכי - 5 כר'</v>
      </c>
    </row>
    <row r="6533" spans="1:6" x14ac:dyDescent="0.2">
      <c r="A6533" t="s">
        <v>11788</v>
      </c>
      <c r="B6533" t="s">
        <v>11789</v>
      </c>
      <c r="C6533" t="s">
        <v>68</v>
      </c>
      <c r="D6533" t="s">
        <v>14</v>
      </c>
      <c r="E6533" t="s">
        <v>11790</v>
      </c>
      <c r="F6533" s="2" t="str">
        <f>HYPERLINK("http://www.otzar.org/book.asp?176806","ברוך מרדכי")</f>
        <v>ברוך מרדכי</v>
      </c>
    </row>
    <row r="6534" spans="1:6" x14ac:dyDescent="0.2">
      <c r="A6534" t="s">
        <v>11791</v>
      </c>
      <c r="B6534" t="s">
        <v>11792</v>
      </c>
      <c r="C6534" t="s">
        <v>224</v>
      </c>
      <c r="D6534" t="s">
        <v>100</v>
      </c>
      <c r="E6534" t="s">
        <v>213</v>
      </c>
      <c r="F6534" s="2" t="str">
        <f>HYPERLINK("http://www.otzar.org/book.asp?17353","ברוך מתיר אסורים")</f>
        <v>ברוך מתיר אסורים</v>
      </c>
    </row>
    <row r="6535" spans="1:6" x14ac:dyDescent="0.2">
      <c r="A6535" t="s">
        <v>11793</v>
      </c>
      <c r="B6535" t="s">
        <v>11794</v>
      </c>
      <c r="C6535" t="s">
        <v>1619</v>
      </c>
      <c r="D6535" t="s">
        <v>412</v>
      </c>
      <c r="E6535" t="s">
        <v>172</v>
      </c>
      <c r="F6535" s="2" t="str">
        <f>HYPERLINK("http://www.otzar.org/book.asp?162839","ברוך צורי - 2 כר'")</f>
        <v>ברוך צורי - 2 כר'</v>
      </c>
    </row>
    <row r="6536" spans="1:6" x14ac:dyDescent="0.2">
      <c r="A6536" t="s">
        <v>11795</v>
      </c>
      <c r="B6536" t="s">
        <v>11796</v>
      </c>
      <c r="C6536" t="s">
        <v>538</v>
      </c>
      <c r="D6536" t="s">
        <v>544</v>
      </c>
      <c r="E6536" t="s">
        <v>15</v>
      </c>
      <c r="F6536" s="2" t="str">
        <f>HYPERLINK("http://www.otzar.org/book.asp?166862","ברוך שאמר - 2 כר'")</f>
        <v>ברוך שאמר - 2 כר'</v>
      </c>
    </row>
    <row r="6537" spans="1:6" x14ac:dyDescent="0.2">
      <c r="A6537" t="s">
        <v>11797</v>
      </c>
      <c r="B6537" t="s">
        <v>11798</v>
      </c>
      <c r="C6537" t="s">
        <v>1640</v>
      </c>
      <c r="D6537" t="s">
        <v>216</v>
      </c>
      <c r="E6537" t="s">
        <v>246</v>
      </c>
      <c r="F6537" s="2" t="str">
        <f>HYPERLINK("http://www.otzar.org/book.asp?9923","ברוך שאמר - 3 כר'")</f>
        <v>ברוך שאמר - 3 כר'</v>
      </c>
    </row>
    <row r="6538" spans="1:6" x14ac:dyDescent="0.2">
      <c r="A6538" t="s">
        <v>11799</v>
      </c>
      <c r="B6538" t="s">
        <v>11800</v>
      </c>
      <c r="C6538" t="s">
        <v>989</v>
      </c>
      <c r="D6538" t="s">
        <v>14</v>
      </c>
      <c r="E6538" t="s">
        <v>15</v>
      </c>
      <c r="F6538" s="2" t="str">
        <f>HYPERLINK("http://www.otzar.org/book.asp?177191","ברוך שאמר - תקון תפלין - כתרי אותיות תפלין - אלפא ביתא")</f>
        <v>ברוך שאמר - תקון תפלין - כתרי אותיות תפלין - אלפא ביתא</v>
      </c>
    </row>
    <row r="6539" spans="1:6" x14ac:dyDescent="0.2">
      <c r="A6539" t="s">
        <v>11795</v>
      </c>
      <c r="B6539" t="s">
        <v>11801</v>
      </c>
      <c r="C6539" t="s">
        <v>111</v>
      </c>
      <c r="D6539" t="s">
        <v>229</v>
      </c>
      <c r="E6539" t="s">
        <v>158</v>
      </c>
      <c r="F6539" s="2" t="str">
        <f>HYPERLINK("http://www.otzar.org/book.asp?630210","ברוך שאמר - 2 כר'")</f>
        <v>ברוך שאמר - 2 כר'</v>
      </c>
    </row>
    <row r="6540" spans="1:6" x14ac:dyDescent="0.2">
      <c r="A6540" t="s">
        <v>11795</v>
      </c>
      <c r="B6540" t="s">
        <v>11802</v>
      </c>
      <c r="C6540" t="s">
        <v>1228</v>
      </c>
      <c r="D6540" t="s">
        <v>225</v>
      </c>
      <c r="E6540" t="s">
        <v>11803</v>
      </c>
      <c r="F6540" s="2" t="str">
        <f>HYPERLINK("http://www.otzar.org/book.asp?5613","ברוך שאמר - 2 כר'")</f>
        <v>ברוך שאמר - 2 כר'</v>
      </c>
    </row>
    <row r="6541" spans="1:6" x14ac:dyDescent="0.2">
      <c r="A6541" t="s">
        <v>11795</v>
      </c>
      <c r="B6541" t="s">
        <v>11757</v>
      </c>
      <c r="C6541" t="s">
        <v>1208</v>
      </c>
      <c r="D6541" t="s">
        <v>14</v>
      </c>
      <c r="E6541" t="s">
        <v>15</v>
      </c>
      <c r="F6541" s="2" t="str">
        <f>HYPERLINK("http://www.otzar.org/book.asp?16418","ברוך שאמר - 2 כר'")</f>
        <v>ברוך שאמר - 2 כר'</v>
      </c>
    </row>
    <row r="6542" spans="1:6" x14ac:dyDescent="0.2">
      <c r="A6542" t="s">
        <v>11804</v>
      </c>
      <c r="B6542" t="s">
        <v>8098</v>
      </c>
      <c r="C6542" t="s">
        <v>114</v>
      </c>
      <c r="D6542" t="s">
        <v>52</v>
      </c>
      <c r="E6542" t="s">
        <v>158</v>
      </c>
      <c r="F6542" s="2" t="str">
        <f>HYPERLINK("http://www.otzar.org/book.asp?165112","ברוך שנתן תורה")</f>
        <v>ברוך שנתן תורה</v>
      </c>
    </row>
    <row r="6543" spans="1:6" x14ac:dyDescent="0.2">
      <c r="A6543" t="s">
        <v>11804</v>
      </c>
      <c r="B6543" t="s">
        <v>11805</v>
      </c>
      <c r="C6543" t="s">
        <v>244</v>
      </c>
      <c r="D6543" t="s">
        <v>412</v>
      </c>
      <c r="F6543" s="2" t="str">
        <f>HYPERLINK("http://www.otzar.org/book.asp?602136","ברוך שנתן תורה")</f>
        <v>ברוך שנתן תורה</v>
      </c>
    </row>
    <row r="6544" spans="1:6" x14ac:dyDescent="0.2">
      <c r="A6544" t="s">
        <v>11806</v>
      </c>
      <c r="B6544" t="s">
        <v>206</v>
      </c>
      <c r="C6544" t="s">
        <v>114</v>
      </c>
      <c r="D6544" t="s">
        <v>152</v>
      </c>
      <c r="E6544" t="s">
        <v>241</v>
      </c>
      <c r="F6544" s="2" t="str">
        <f>HYPERLINK("http://www.otzar.org/book.asp?165976","ברומו של אדם")</f>
        <v>ברומו של אדם</v>
      </c>
    </row>
    <row r="6545" spans="1:6" x14ac:dyDescent="0.2">
      <c r="A6545" t="s">
        <v>11807</v>
      </c>
      <c r="B6545" t="s">
        <v>4640</v>
      </c>
      <c r="C6545" t="s">
        <v>51</v>
      </c>
      <c r="D6545" t="s">
        <v>52</v>
      </c>
      <c r="E6545" t="s">
        <v>714</v>
      </c>
      <c r="F6545" s="2" t="str">
        <f>HYPERLINK("http://www.otzar.org/book.asp?50744","ברומו של עולם")</f>
        <v>ברומו של עולם</v>
      </c>
    </row>
    <row r="6546" spans="1:6" x14ac:dyDescent="0.2">
      <c r="A6546" t="s">
        <v>11807</v>
      </c>
      <c r="B6546" t="s">
        <v>1602</v>
      </c>
      <c r="C6546" t="s">
        <v>68</v>
      </c>
      <c r="D6546" t="s">
        <v>14</v>
      </c>
      <c r="E6546" t="s">
        <v>241</v>
      </c>
      <c r="F6546" s="2" t="str">
        <f>HYPERLINK("http://www.otzar.org/book.asp?155894","ברומו של עולם")</f>
        <v>ברומו של עולם</v>
      </c>
    </row>
    <row r="6547" spans="1:6" x14ac:dyDescent="0.2">
      <c r="A6547" t="s">
        <v>11807</v>
      </c>
      <c r="B6547" t="s">
        <v>7405</v>
      </c>
      <c r="C6547" t="s">
        <v>189</v>
      </c>
      <c r="D6547" t="s">
        <v>14</v>
      </c>
      <c r="E6547" t="s">
        <v>714</v>
      </c>
      <c r="F6547" s="2" t="str">
        <f>HYPERLINK("http://www.otzar.org/book.asp?50353","ברומו של עולם")</f>
        <v>ברומו של עולם</v>
      </c>
    </row>
    <row r="6548" spans="1:6" x14ac:dyDescent="0.2">
      <c r="A6548" t="s">
        <v>11807</v>
      </c>
      <c r="B6548" t="s">
        <v>11808</v>
      </c>
      <c r="C6548" t="s">
        <v>20</v>
      </c>
      <c r="E6548" t="s">
        <v>241</v>
      </c>
      <c r="F6548" s="2" t="str">
        <f>HYPERLINK("http://www.otzar.org/book.asp?84426","ברומו של עולם")</f>
        <v>ברומו של עולם</v>
      </c>
    </row>
    <row r="6549" spans="1:6" x14ac:dyDescent="0.2">
      <c r="A6549" t="s">
        <v>11809</v>
      </c>
      <c r="B6549" t="s">
        <v>11810</v>
      </c>
      <c r="C6549" t="s">
        <v>1619</v>
      </c>
      <c r="D6549" t="s">
        <v>14</v>
      </c>
      <c r="F6549" s="2" t="str">
        <f>HYPERLINK("http://www.otzar.org/book.asp?610736","ברור הלכה בענין חולי המצוי בזמנינו בריאות של עוף")</f>
        <v>ברור הלכה בענין חולי המצוי בזמנינו בריאות של עוף</v>
      </c>
    </row>
    <row r="6550" spans="1:6" x14ac:dyDescent="0.2">
      <c r="A6550" t="s">
        <v>11811</v>
      </c>
      <c r="B6550" t="s">
        <v>11812</v>
      </c>
      <c r="C6550" t="s">
        <v>146</v>
      </c>
      <c r="D6550" t="s">
        <v>423</v>
      </c>
      <c r="E6550" t="s">
        <v>148</v>
      </c>
      <c r="F6550" s="2" t="str">
        <f>HYPERLINK("http://www.otzar.org/book.asp?151027","ברורי הלכות - 2 כר'")</f>
        <v>ברורי הלכות - 2 כר'</v>
      </c>
    </row>
    <row r="6551" spans="1:6" x14ac:dyDescent="0.2">
      <c r="A6551" t="s">
        <v>11813</v>
      </c>
      <c r="B6551" t="s">
        <v>11814</v>
      </c>
      <c r="C6551" t="s">
        <v>129</v>
      </c>
      <c r="D6551" t="s">
        <v>412</v>
      </c>
      <c r="E6551" t="s">
        <v>674</v>
      </c>
      <c r="F6551" s="2" t="str">
        <f>HYPERLINK("http://www.otzar.org/book.asp?176966","ברורי המדות &lt;מהדורה חדשה&gt;")</f>
        <v>ברורי המדות &lt;מהדורה חדשה&gt;</v>
      </c>
    </row>
    <row r="6552" spans="1:6" x14ac:dyDescent="0.2">
      <c r="A6552" t="s">
        <v>11815</v>
      </c>
      <c r="B6552" t="s">
        <v>11816</v>
      </c>
      <c r="C6552" t="s">
        <v>442</v>
      </c>
      <c r="D6552" t="s">
        <v>9</v>
      </c>
      <c r="E6552" t="s">
        <v>3261</v>
      </c>
      <c r="F6552" s="2" t="str">
        <f>HYPERLINK("http://www.otzar.org/book.asp?12707","ברורי המדות והשיעורין - 2 כר'")</f>
        <v>ברורי המדות והשיעורין - 2 כר'</v>
      </c>
    </row>
    <row r="6553" spans="1:6" x14ac:dyDescent="0.2">
      <c r="A6553" t="s">
        <v>11817</v>
      </c>
      <c r="B6553" t="s">
        <v>11818</v>
      </c>
      <c r="C6553" t="s">
        <v>11819</v>
      </c>
      <c r="D6553" t="s">
        <v>27</v>
      </c>
      <c r="E6553" t="s">
        <v>104</v>
      </c>
      <c r="F6553" s="2" t="str">
        <f>HYPERLINK("http://www.otzar.org/book.asp?10428","ברורי המדות - 3 כר'")</f>
        <v>ברורי המדות - 3 כר'</v>
      </c>
    </row>
    <row r="6554" spans="1:6" x14ac:dyDescent="0.2">
      <c r="A6554" t="s">
        <v>11820</v>
      </c>
      <c r="B6554" t="s">
        <v>11814</v>
      </c>
      <c r="C6554" t="s">
        <v>11821</v>
      </c>
      <c r="D6554" t="s">
        <v>744</v>
      </c>
      <c r="E6554" t="s">
        <v>674</v>
      </c>
      <c r="F6554" s="2" t="str">
        <f>HYPERLINK("http://www.otzar.org/book.asp?100430","ברורי המדות")</f>
        <v>ברורי המדות</v>
      </c>
    </row>
    <row r="6555" spans="1:6" x14ac:dyDescent="0.2">
      <c r="A6555" t="s">
        <v>11822</v>
      </c>
      <c r="B6555" t="s">
        <v>11823</v>
      </c>
      <c r="C6555" t="s">
        <v>189</v>
      </c>
      <c r="D6555" t="s">
        <v>152</v>
      </c>
      <c r="F6555" s="2" t="str">
        <f>HYPERLINK("http://www.otzar.org/book.asp?156534","ברורי משנה")</f>
        <v>ברורי משנה</v>
      </c>
    </row>
    <row r="6556" spans="1:6" x14ac:dyDescent="0.2">
      <c r="A6556" t="s">
        <v>11824</v>
      </c>
      <c r="B6556" t="s">
        <v>11825</v>
      </c>
      <c r="C6556" t="s">
        <v>244</v>
      </c>
      <c r="D6556" t="s">
        <v>152</v>
      </c>
      <c r="E6556" t="s">
        <v>144</v>
      </c>
      <c r="F6556" s="2" t="str">
        <f>HYPERLINK("http://www.otzar.org/book.asp?199892","ברורי שמעתתא - 4 כר'")</f>
        <v>ברורי שמעתתא - 4 כר'</v>
      </c>
    </row>
    <row r="6557" spans="1:6" x14ac:dyDescent="0.2">
      <c r="A6557" t="s">
        <v>11826</v>
      </c>
      <c r="B6557" t="s">
        <v>11827</v>
      </c>
      <c r="C6557" t="s">
        <v>20</v>
      </c>
      <c r="D6557" t="s">
        <v>90</v>
      </c>
      <c r="E6557" t="s">
        <v>674</v>
      </c>
      <c r="F6557" s="2" t="str">
        <f>HYPERLINK("http://www.otzar.org/book.asp?180441","ברורים בגדרי מנהגי העדות השונות")</f>
        <v>ברורים בגדרי מנהגי העדות השונות</v>
      </c>
    </row>
    <row r="6558" spans="1:6" x14ac:dyDescent="0.2">
      <c r="A6558" t="s">
        <v>11828</v>
      </c>
      <c r="B6558" t="s">
        <v>11829</v>
      </c>
      <c r="C6558" t="s">
        <v>2008</v>
      </c>
      <c r="D6558" t="s">
        <v>27</v>
      </c>
      <c r="E6558" t="s">
        <v>15</v>
      </c>
      <c r="F6558" s="2" t="str">
        <f>HYPERLINK("http://www.otzar.org/book.asp?149036","ברורים ברמב""ם")</f>
        <v>ברורים ברמב"ם</v>
      </c>
    </row>
    <row r="6559" spans="1:6" x14ac:dyDescent="0.2">
      <c r="A6559" t="s">
        <v>11830</v>
      </c>
      <c r="B6559" t="s">
        <v>11831</v>
      </c>
      <c r="C6559" t="s">
        <v>20</v>
      </c>
      <c r="D6559" t="s">
        <v>52</v>
      </c>
      <c r="E6559" t="s">
        <v>104</v>
      </c>
      <c r="F6559" s="2" t="str">
        <f>HYPERLINK("http://www.otzar.org/book.asp?162438","ברורים והערות בדבר השימוש בשפה העברית")</f>
        <v>ברורים והערות בדבר השימוש בשפה העברית</v>
      </c>
    </row>
    <row r="6560" spans="1:6" x14ac:dyDescent="0.2">
      <c r="A6560" t="s">
        <v>11832</v>
      </c>
      <c r="B6560" t="s">
        <v>7854</v>
      </c>
      <c r="C6560" t="s">
        <v>422</v>
      </c>
      <c r="D6560" t="s">
        <v>14</v>
      </c>
      <c r="E6560" t="s">
        <v>104</v>
      </c>
      <c r="F6560" s="2" t="str">
        <f>HYPERLINK("http://www.otzar.org/book.asp?165072","בריאות ורפואה")</f>
        <v>בריאות ורפואה</v>
      </c>
    </row>
    <row r="6561" spans="1:6" x14ac:dyDescent="0.2">
      <c r="A6561" t="s">
        <v>11833</v>
      </c>
      <c r="B6561" t="s">
        <v>11834</v>
      </c>
      <c r="C6561" t="s">
        <v>244</v>
      </c>
      <c r="D6561" t="s">
        <v>152</v>
      </c>
      <c r="F6561" s="2" t="str">
        <f>HYPERLINK("http://www.otzar.org/book.asp?197309","בריאטריה בהלכה")</f>
        <v>בריאטריה בהלכה</v>
      </c>
    </row>
    <row r="6562" spans="1:6" x14ac:dyDescent="0.2">
      <c r="A6562" t="s">
        <v>11835</v>
      </c>
      <c r="B6562" t="s">
        <v>498</v>
      </c>
      <c r="C6562" t="s">
        <v>111</v>
      </c>
      <c r="D6562" t="s">
        <v>152</v>
      </c>
      <c r="E6562" t="s">
        <v>158</v>
      </c>
      <c r="F6562" s="2" t="str">
        <f>HYPERLINK("http://www.otzar.org/book.asp?622285","בריח התיכון - 3 כר'")</f>
        <v>בריח התיכון - 3 כר'</v>
      </c>
    </row>
    <row r="6563" spans="1:6" x14ac:dyDescent="0.2">
      <c r="A6563" t="s">
        <v>11836</v>
      </c>
      <c r="B6563" t="s">
        <v>11837</v>
      </c>
      <c r="C6563" t="s">
        <v>454</v>
      </c>
      <c r="D6563" t="s">
        <v>721</v>
      </c>
      <c r="E6563" t="s">
        <v>154</v>
      </c>
      <c r="F6563" s="2" t="str">
        <f>HYPERLINK("http://www.otzar.org/book.asp?600075","בריח התיכון - 2 כר'")</f>
        <v>בריח התיכון - 2 כר'</v>
      </c>
    </row>
    <row r="6564" spans="1:6" x14ac:dyDescent="0.2">
      <c r="A6564" t="s">
        <v>11838</v>
      </c>
      <c r="B6564" t="s">
        <v>11839</v>
      </c>
      <c r="C6564" t="s">
        <v>1284</v>
      </c>
      <c r="D6564" t="s">
        <v>27</v>
      </c>
      <c r="E6564" t="s">
        <v>674</v>
      </c>
      <c r="F6564" s="2" t="str">
        <f>HYPERLINK("http://www.otzar.org/book.asp?149376","בריח התיכון")</f>
        <v>בריח התיכון</v>
      </c>
    </row>
    <row r="6565" spans="1:6" x14ac:dyDescent="0.2">
      <c r="A6565" t="s">
        <v>11835</v>
      </c>
      <c r="B6565" t="s">
        <v>11840</v>
      </c>
      <c r="C6565" t="s">
        <v>111</v>
      </c>
      <c r="D6565" t="s">
        <v>14</v>
      </c>
      <c r="F6565" s="2" t="str">
        <f>HYPERLINK("http://www.otzar.org/book.asp?622579","בריח התיכון - 3 כר'")</f>
        <v>בריח התיכון - 3 כר'</v>
      </c>
    </row>
    <row r="6566" spans="1:6" x14ac:dyDescent="0.2">
      <c r="A6566" t="s">
        <v>11841</v>
      </c>
      <c r="B6566" t="s">
        <v>6235</v>
      </c>
      <c r="C6566" t="s">
        <v>496</v>
      </c>
      <c r="D6566" t="s">
        <v>225</v>
      </c>
      <c r="E6566" t="s">
        <v>241</v>
      </c>
      <c r="F6566" s="2" t="str">
        <f>HYPERLINK("http://www.otzar.org/book.asp?159971","בריחי זהב")</f>
        <v>בריחי זהב</v>
      </c>
    </row>
    <row r="6567" spans="1:6" x14ac:dyDescent="0.2">
      <c r="A6567" t="s">
        <v>11842</v>
      </c>
      <c r="B6567" t="s">
        <v>11843</v>
      </c>
      <c r="C6567" t="s">
        <v>20</v>
      </c>
      <c r="D6567" t="s">
        <v>3161</v>
      </c>
      <c r="F6567" s="2" t="str">
        <f>HYPERLINK("http://www.otzar.org/book.asp?604535","בריחי שעריך")</f>
        <v>בריחי שעריך</v>
      </c>
    </row>
    <row r="6568" spans="1:6" x14ac:dyDescent="0.2">
      <c r="A6568" t="s">
        <v>11844</v>
      </c>
      <c r="B6568" t="s">
        <v>7604</v>
      </c>
      <c r="C6568" t="s">
        <v>466</v>
      </c>
      <c r="D6568" t="s">
        <v>52</v>
      </c>
      <c r="E6568" t="s">
        <v>64</v>
      </c>
      <c r="F6568" s="2" t="str">
        <f>HYPERLINK("http://www.otzar.org/book.asp?106408","ברייתא דמלאכת המשכן &lt;טעם ודעת&gt;")</f>
        <v>ברייתא דמלאכת המשכן &lt;טעם ודעת&gt;</v>
      </c>
    </row>
    <row r="6569" spans="1:6" x14ac:dyDescent="0.2">
      <c r="A6569" t="s">
        <v>11845</v>
      </c>
      <c r="B6569" t="s">
        <v>11846</v>
      </c>
      <c r="C6569" t="s">
        <v>482</v>
      </c>
      <c r="D6569" t="s">
        <v>14</v>
      </c>
      <c r="E6569" t="s">
        <v>43</v>
      </c>
      <c r="F6569" s="2" t="str">
        <f>HYPERLINK("http://www.otzar.org/book.asp?8748","ברייתא דמלאכת המשכן - 2 כר'")</f>
        <v>ברייתא דמלאכת המשכן - 2 כר'</v>
      </c>
    </row>
    <row r="6570" spans="1:6" x14ac:dyDescent="0.2">
      <c r="A6570" t="s">
        <v>11847</v>
      </c>
      <c r="B6570" t="s">
        <v>11848</v>
      </c>
      <c r="C6570" t="s">
        <v>20</v>
      </c>
      <c r="D6570" t="s">
        <v>90</v>
      </c>
      <c r="E6570" t="s">
        <v>399</v>
      </c>
      <c r="F6570" s="2" t="str">
        <f>HYPERLINK("http://www.otzar.org/book.asp?182921","ברייתא דמסכת אצילות &lt;ליקוטים יקרים&gt;")</f>
        <v>ברייתא דמסכת אצילות &lt;ליקוטים יקרים&gt;</v>
      </c>
    </row>
    <row r="6571" spans="1:6" x14ac:dyDescent="0.2">
      <c r="A6571" t="s">
        <v>11849</v>
      </c>
      <c r="B6571" t="s">
        <v>11850</v>
      </c>
      <c r="C6571" t="s">
        <v>946</v>
      </c>
      <c r="D6571" t="s">
        <v>56</v>
      </c>
      <c r="E6571" t="s">
        <v>11851</v>
      </c>
      <c r="F6571" s="2" t="str">
        <f>HYPERLINK("http://www.otzar.org/book.asp?200008","ברייתא דשלש עשרה מידות")</f>
        <v>ברייתא דשלש עשרה מידות</v>
      </c>
    </row>
    <row r="6572" spans="1:6" x14ac:dyDescent="0.2">
      <c r="A6572" t="s">
        <v>11852</v>
      </c>
      <c r="B6572" t="s">
        <v>11853</v>
      </c>
      <c r="C6572" t="s">
        <v>946</v>
      </c>
      <c r="D6572" t="s">
        <v>56</v>
      </c>
      <c r="E6572" t="s">
        <v>3736</v>
      </c>
      <c r="F6572" s="2" t="str">
        <f>HYPERLINK("http://www.otzar.org/book.asp?200009","ברייתא דשלשים ושתים מדות")</f>
        <v>ברייתא דשלשים ושתים מדות</v>
      </c>
    </row>
    <row r="6573" spans="1:6" x14ac:dyDescent="0.2">
      <c r="A6573" t="s">
        <v>11854</v>
      </c>
      <c r="B6573" t="s">
        <v>11855</v>
      </c>
      <c r="C6573" t="s">
        <v>619</v>
      </c>
      <c r="D6573" t="s">
        <v>27</v>
      </c>
      <c r="E6573" t="s">
        <v>64</v>
      </c>
      <c r="F6573" s="2" t="str">
        <f>HYPERLINK("http://www.otzar.org/book.asp?13075","ברייתא דשמואל הקטן &lt;שבילי המאורות, תפארת צבי&gt;")</f>
        <v>ברייתא דשמואל הקטן &lt;שבילי המאורות, תפארת צבי&gt;</v>
      </c>
    </row>
    <row r="6574" spans="1:6" x14ac:dyDescent="0.2">
      <c r="A6574" t="s">
        <v>11856</v>
      </c>
      <c r="B6574" t="s">
        <v>3724</v>
      </c>
      <c r="C6574" t="s">
        <v>854</v>
      </c>
      <c r="D6574" t="s">
        <v>225</v>
      </c>
      <c r="E6574" t="s">
        <v>64</v>
      </c>
      <c r="F6574" s="2" t="str">
        <f>HYPERLINK("http://www.otzar.org/book.asp?8663","ברייתא דשמואל הקטן &lt;שבילי המאורות&gt;")</f>
        <v>ברייתא דשמואל הקטן &lt;שבילי המאורות&gt;</v>
      </c>
    </row>
    <row r="6575" spans="1:6" x14ac:dyDescent="0.2">
      <c r="A6575" t="s">
        <v>11857</v>
      </c>
      <c r="B6575" t="s">
        <v>11857</v>
      </c>
      <c r="C6575" t="s">
        <v>2617</v>
      </c>
      <c r="D6575" t="s">
        <v>6042</v>
      </c>
      <c r="E6575" t="s">
        <v>43</v>
      </c>
      <c r="F6575" s="2" t="str">
        <f>HYPERLINK("http://www.otzar.org/book.asp?107096","ברייתא דשמואל הקטן")</f>
        <v>ברייתא דשמואל הקטן</v>
      </c>
    </row>
    <row r="6576" spans="1:6" x14ac:dyDescent="0.2">
      <c r="A6576" t="s">
        <v>11858</v>
      </c>
      <c r="B6576" t="s">
        <v>11857</v>
      </c>
      <c r="C6576" t="s">
        <v>946</v>
      </c>
      <c r="D6576" t="s">
        <v>56</v>
      </c>
      <c r="E6576" t="s">
        <v>64</v>
      </c>
      <c r="F6576" s="2" t="str">
        <f>HYPERLINK("http://www.otzar.org/book.asp?14619","ברייתא דשמואל ירחינאה")</f>
        <v>ברייתא דשמואל ירחינאה</v>
      </c>
    </row>
    <row r="6577" spans="1:6" x14ac:dyDescent="0.2">
      <c r="A6577" t="s">
        <v>11859</v>
      </c>
      <c r="B6577" t="s">
        <v>11860</v>
      </c>
      <c r="C6577" t="s">
        <v>1718</v>
      </c>
      <c r="D6577" t="s">
        <v>283</v>
      </c>
      <c r="E6577" t="s">
        <v>64</v>
      </c>
      <c r="F6577" s="2" t="str">
        <f>HYPERLINK("http://www.otzar.org/book.asp?100434","ברייתא מעשה תורה - 2 כר'")</f>
        <v>ברייתא מעשה תורה - 2 כר'</v>
      </c>
    </row>
    <row r="6578" spans="1:6" x14ac:dyDescent="0.2">
      <c r="A6578" t="s">
        <v>11861</v>
      </c>
      <c r="B6578" t="s">
        <v>1557</v>
      </c>
      <c r="C6578" t="s">
        <v>366</v>
      </c>
      <c r="D6578" t="s">
        <v>152</v>
      </c>
      <c r="F6578" s="2" t="str">
        <f>HYPERLINK("http://www.otzar.org/book.asp?610311","בריך שמיה")</f>
        <v>בריך שמיה</v>
      </c>
    </row>
    <row r="6579" spans="1:6" x14ac:dyDescent="0.2">
      <c r="A6579" t="s">
        <v>11862</v>
      </c>
      <c r="B6579" t="s">
        <v>9405</v>
      </c>
      <c r="C6579" t="s">
        <v>919</v>
      </c>
      <c r="D6579" t="s">
        <v>412</v>
      </c>
      <c r="E6579" t="s">
        <v>15</v>
      </c>
      <c r="F6579" s="2" t="str">
        <f>HYPERLINK("http://www.otzar.org/book.asp?26015","בריכת המלך")</f>
        <v>בריכת המלך</v>
      </c>
    </row>
    <row r="6580" spans="1:6" x14ac:dyDescent="0.2">
      <c r="A6580" t="s">
        <v>11863</v>
      </c>
      <c r="B6580" t="s">
        <v>9405</v>
      </c>
      <c r="C6580" t="s">
        <v>1663</v>
      </c>
      <c r="D6580" t="s">
        <v>9</v>
      </c>
      <c r="E6580" t="s">
        <v>144</v>
      </c>
      <c r="F6580" s="2" t="str">
        <f>HYPERLINK("http://www.otzar.org/book.asp?9605","בריכת ירושלים")</f>
        <v>בריכת ירושלים</v>
      </c>
    </row>
    <row r="6581" spans="1:6" x14ac:dyDescent="0.2">
      <c r="A6581" t="s">
        <v>11864</v>
      </c>
      <c r="B6581" t="s">
        <v>11865</v>
      </c>
      <c r="C6581" t="s">
        <v>114</v>
      </c>
      <c r="D6581" t="s">
        <v>486</v>
      </c>
      <c r="E6581" t="s">
        <v>158</v>
      </c>
      <c r="F6581" s="2" t="str">
        <f>HYPERLINK("http://www.otzar.org/book.asp?173278","ברית אבות &lt;מהדורה חדשה&gt; - חלק הדרושים")</f>
        <v>ברית אבות &lt;מהדורה חדשה&gt; - חלק הדרושים</v>
      </c>
    </row>
    <row r="6582" spans="1:6" x14ac:dyDescent="0.2">
      <c r="A6582" t="s">
        <v>11866</v>
      </c>
      <c r="B6582" t="s">
        <v>11867</v>
      </c>
      <c r="C6582" t="s">
        <v>103</v>
      </c>
      <c r="D6582" t="s">
        <v>14</v>
      </c>
      <c r="E6582" t="s">
        <v>219</v>
      </c>
      <c r="F6582" s="2" t="str">
        <f>HYPERLINK("http://www.otzar.org/book.asp?172102","ברית אבות בסערת אליהו")</f>
        <v>ברית אבות בסערת אליהו</v>
      </c>
    </row>
    <row r="6583" spans="1:6" x14ac:dyDescent="0.2">
      <c r="A6583" t="s">
        <v>11868</v>
      </c>
      <c r="B6583" t="s">
        <v>3900</v>
      </c>
      <c r="C6583" t="s">
        <v>37</v>
      </c>
      <c r="D6583" t="s">
        <v>152</v>
      </c>
      <c r="E6583" t="s">
        <v>84</v>
      </c>
      <c r="F6583" s="2" t="str">
        <f>HYPERLINK("http://www.otzar.org/book.asp?189203","ברית אבות על פרקי אבות")</f>
        <v>ברית אבות על פרקי אבות</v>
      </c>
    </row>
    <row r="6584" spans="1:6" x14ac:dyDescent="0.2">
      <c r="A6584" t="s">
        <v>11869</v>
      </c>
      <c r="B6584" t="s">
        <v>3900</v>
      </c>
      <c r="C6584" t="s">
        <v>176</v>
      </c>
      <c r="D6584" t="s">
        <v>52</v>
      </c>
      <c r="E6584" t="s">
        <v>84</v>
      </c>
      <c r="F6584" s="2" t="str">
        <f>HYPERLINK("http://www.otzar.org/book.asp?26811","ברית אבות")</f>
        <v>ברית אבות</v>
      </c>
    </row>
    <row r="6585" spans="1:6" x14ac:dyDescent="0.2">
      <c r="A6585" t="s">
        <v>11869</v>
      </c>
      <c r="B6585" t="s">
        <v>11870</v>
      </c>
      <c r="C6585" t="s">
        <v>313</v>
      </c>
      <c r="D6585" t="s">
        <v>52</v>
      </c>
      <c r="E6585" t="s">
        <v>2840</v>
      </c>
      <c r="F6585" s="2" t="str">
        <f>HYPERLINK("http://www.otzar.org/book.asp?147975","ברית אבות")</f>
        <v>ברית אבות</v>
      </c>
    </row>
    <row r="6586" spans="1:6" x14ac:dyDescent="0.2">
      <c r="A6586" t="s">
        <v>11869</v>
      </c>
      <c r="B6586" t="s">
        <v>11865</v>
      </c>
      <c r="C6586" t="s">
        <v>75</v>
      </c>
      <c r="D6586" t="s">
        <v>212</v>
      </c>
      <c r="E6586" t="s">
        <v>11871</v>
      </c>
      <c r="F6586" s="2" t="str">
        <f>HYPERLINK("http://www.otzar.org/book.asp?17354","ברית אבות")</f>
        <v>ברית אבות</v>
      </c>
    </row>
    <row r="6587" spans="1:6" x14ac:dyDescent="0.2">
      <c r="A6587" t="s">
        <v>11869</v>
      </c>
      <c r="B6587" t="s">
        <v>2220</v>
      </c>
      <c r="C6587" t="s">
        <v>1537</v>
      </c>
      <c r="D6587" t="s">
        <v>9091</v>
      </c>
      <c r="E6587" t="s">
        <v>246</v>
      </c>
      <c r="F6587" s="2" t="str">
        <f>HYPERLINK("http://www.otzar.org/book.asp?149653","ברית אבות")</f>
        <v>ברית אבות</v>
      </c>
    </row>
    <row r="6588" spans="1:6" x14ac:dyDescent="0.2">
      <c r="A6588" t="s">
        <v>11869</v>
      </c>
      <c r="B6588" t="s">
        <v>11872</v>
      </c>
      <c r="C6588" t="s">
        <v>1418</v>
      </c>
      <c r="D6588" t="s">
        <v>283</v>
      </c>
      <c r="E6588" t="s">
        <v>246</v>
      </c>
      <c r="F6588" s="2" t="str">
        <f>HYPERLINK("http://www.otzar.org/book.asp?104761","ברית אבות")</f>
        <v>ברית אבות</v>
      </c>
    </row>
    <row r="6589" spans="1:6" x14ac:dyDescent="0.2">
      <c r="A6589" t="s">
        <v>11873</v>
      </c>
      <c r="B6589" t="s">
        <v>11874</v>
      </c>
      <c r="C6589" t="s">
        <v>129</v>
      </c>
      <c r="D6589" t="s">
        <v>412</v>
      </c>
      <c r="E6589" t="s">
        <v>674</v>
      </c>
      <c r="F6589" s="2" t="str">
        <f>HYPERLINK("http://www.otzar.org/book.asp?146345","ברית אברהם הכהן על מגדל עז לרבינו היעב""ץ - 2 כר'")</f>
        <v>ברית אברהם הכהן על מגדל עז לרבינו היעב"ץ - 2 כר'</v>
      </c>
    </row>
    <row r="6590" spans="1:6" x14ac:dyDescent="0.2">
      <c r="A6590" t="s">
        <v>11875</v>
      </c>
      <c r="B6590" t="s">
        <v>11876</v>
      </c>
      <c r="C6590" t="s">
        <v>156</v>
      </c>
      <c r="D6590" t="s">
        <v>283</v>
      </c>
      <c r="E6590" t="s">
        <v>158</v>
      </c>
      <c r="F6590" s="2" t="str">
        <f>HYPERLINK("http://www.otzar.org/book.asp?24122","ברית אברהם")</f>
        <v>ברית אברהם</v>
      </c>
    </row>
    <row r="6591" spans="1:6" x14ac:dyDescent="0.2">
      <c r="A6591" t="s">
        <v>11875</v>
      </c>
      <c r="B6591" t="s">
        <v>11877</v>
      </c>
      <c r="C6591" t="s">
        <v>156</v>
      </c>
      <c r="D6591" t="s">
        <v>6042</v>
      </c>
      <c r="E6591" t="s">
        <v>24</v>
      </c>
      <c r="F6591" s="2" t="str">
        <f>HYPERLINK("http://www.otzar.org/book.asp?107046","ברית אברהם")</f>
        <v>ברית אברהם</v>
      </c>
    </row>
    <row r="6592" spans="1:6" x14ac:dyDescent="0.2">
      <c r="A6592" t="s">
        <v>11875</v>
      </c>
      <c r="B6592" t="s">
        <v>11878</v>
      </c>
      <c r="C6592" t="s">
        <v>429</v>
      </c>
      <c r="D6592" t="s">
        <v>283</v>
      </c>
      <c r="E6592" t="s">
        <v>15</v>
      </c>
      <c r="F6592" s="2" t="str">
        <f>HYPERLINK("http://www.otzar.org/book.asp?83980","ברית אברהם")</f>
        <v>ברית אברהם</v>
      </c>
    </row>
    <row r="6593" spans="1:6" x14ac:dyDescent="0.2">
      <c r="A6593" t="s">
        <v>11875</v>
      </c>
      <c r="B6593" t="s">
        <v>11879</v>
      </c>
      <c r="C6593" t="s">
        <v>1494</v>
      </c>
      <c r="D6593" t="s">
        <v>76</v>
      </c>
      <c r="E6593" t="s">
        <v>6134</v>
      </c>
      <c r="F6593" s="2" t="str">
        <f>HYPERLINK("http://www.otzar.org/book.asp?141152","ברית אברהם")</f>
        <v>ברית אברהם</v>
      </c>
    </row>
    <row r="6594" spans="1:6" x14ac:dyDescent="0.2">
      <c r="A6594" t="s">
        <v>11875</v>
      </c>
      <c r="B6594" t="s">
        <v>11880</v>
      </c>
      <c r="C6594" t="s">
        <v>503</v>
      </c>
      <c r="D6594" t="s">
        <v>283</v>
      </c>
      <c r="E6594" t="s">
        <v>684</v>
      </c>
      <c r="F6594" s="2" t="str">
        <f>HYPERLINK("http://www.otzar.org/book.asp?17357","ברית אברהם")</f>
        <v>ברית אברהם</v>
      </c>
    </row>
    <row r="6595" spans="1:6" x14ac:dyDescent="0.2">
      <c r="A6595" t="s">
        <v>11875</v>
      </c>
      <c r="B6595" t="s">
        <v>11881</v>
      </c>
      <c r="C6595" t="s">
        <v>1991</v>
      </c>
      <c r="D6595" t="s">
        <v>212</v>
      </c>
      <c r="E6595" t="s">
        <v>234</v>
      </c>
      <c r="F6595" s="2" t="str">
        <f>HYPERLINK("http://www.otzar.org/book.asp?17358","ברית אברהם")</f>
        <v>ברית אברהם</v>
      </c>
    </row>
    <row r="6596" spans="1:6" x14ac:dyDescent="0.2">
      <c r="A6596" t="s">
        <v>11882</v>
      </c>
      <c r="B6596" t="s">
        <v>6016</v>
      </c>
      <c r="C6596" t="s">
        <v>523</v>
      </c>
      <c r="D6596" t="s">
        <v>14</v>
      </c>
      <c r="E6596" t="s">
        <v>154</v>
      </c>
      <c r="F6596" s="2" t="str">
        <f>HYPERLINK("http://www.otzar.org/book.asp?26790","ברית אברהם - 5 כר'")</f>
        <v>ברית אברהם - 5 כר'</v>
      </c>
    </row>
    <row r="6597" spans="1:6" x14ac:dyDescent="0.2">
      <c r="A6597" t="s">
        <v>11883</v>
      </c>
      <c r="B6597" t="s">
        <v>11884</v>
      </c>
      <c r="C6597" t="s">
        <v>1706</v>
      </c>
      <c r="D6597" t="s">
        <v>379</v>
      </c>
      <c r="E6597" t="s">
        <v>564</v>
      </c>
      <c r="F6597" s="2" t="str">
        <f>HYPERLINK("http://www.otzar.org/book.asp?50875","ברית אברהם - 3 כר'")</f>
        <v>ברית אברהם - 3 כר'</v>
      </c>
    </row>
    <row r="6598" spans="1:6" x14ac:dyDescent="0.2">
      <c r="A6598" t="s">
        <v>11885</v>
      </c>
      <c r="B6598" t="s">
        <v>9772</v>
      </c>
      <c r="C6598" t="s">
        <v>3840</v>
      </c>
      <c r="D6598" t="s">
        <v>7894</v>
      </c>
      <c r="E6598" t="s">
        <v>621</v>
      </c>
      <c r="F6598" s="2" t="str">
        <f>HYPERLINK("http://www.otzar.org/book.asp?300595","ברית אברהם - א")</f>
        <v>ברית אברהם - א</v>
      </c>
    </row>
    <row r="6599" spans="1:6" x14ac:dyDescent="0.2">
      <c r="A6599" t="s">
        <v>11875</v>
      </c>
      <c r="B6599" t="s">
        <v>11886</v>
      </c>
      <c r="C6599" t="s">
        <v>189</v>
      </c>
      <c r="D6599" t="s">
        <v>486</v>
      </c>
      <c r="E6599" t="s">
        <v>246</v>
      </c>
      <c r="F6599" s="2" t="str">
        <f>HYPERLINK("http://www.otzar.org/book.asp?25754","ברית אברהם")</f>
        <v>ברית אברהם</v>
      </c>
    </row>
    <row r="6600" spans="1:6" x14ac:dyDescent="0.2">
      <c r="A6600" t="s">
        <v>11875</v>
      </c>
      <c r="B6600" t="s">
        <v>11887</v>
      </c>
      <c r="C6600" t="s">
        <v>1096</v>
      </c>
      <c r="D6600" t="s">
        <v>225</v>
      </c>
      <c r="E6600" t="s">
        <v>158</v>
      </c>
      <c r="F6600" s="2" t="str">
        <f>HYPERLINK("http://www.otzar.org/book.asp?102519","ברית אברהם")</f>
        <v>ברית אברהם</v>
      </c>
    </row>
    <row r="6601" spans="1:6" x14ac:dyDescent="0.2">
      <c r="A6601" t="s">
        <v>11875</v>
      </c>
      <c r="B6601" t="s">
        <v>11888</v>
      </c>
      <c r="C6601" t="s">
        <v>8820</v>
      </c>
      <c r="D6601" t="s">
        <v>4539</v>
      </c>
      <c r="E6601" t="s">
        <v>104</v>
      </c>
      <c r="F6601" s="2" t="str">
        <f>HYPERLINK("http://www.otzar.org/book.asp?62167","ברית אברהם")</f>
        <v>ברית אברהם</v>
      </c>
    </row>
    <row r="6602" spans="1:6" x14ac:dyDescent="0.2">
      <c r="A6602" t="s">
        <v>11875</v>
      </c>
      <c r="B6602" t="s">
        <v>11889</v>
      </c>
      <c r="C6602" t="s">
        <v>523</v>
      </c>
      <c r="D6602" t="s">
        <v>14</v>
      </c>
      <c r="E6602" t="s">
        <v>202</v>
      </c>
      <c r="F6602" s="2" t="str">
        <f>HYPERLINK("http://www.otzar.org/book.asp?168642","ברית אברהם")</f>
        <v>ברית אברהם</v>
      </c>
    </row>
    <row r="6603" spans="1:6" x14ac:dyDescent="0.2">
      <c r="A6603" t="s">
        <v>11883</v>
      </c>
      <c r="B6603" t="s">
        <v>11890</v>
      </c>
      <c r="C6603" t="s">
        <v>915</v>
      </c>
      <c r="D6603" t="s">
        <v>403</v>
      </c>
      <c r="E6603" t="s">
        <v>154</v>
      </c>
      <c r="F6603" s="2" t="str">
        <f>HYPERLINK("http://www.otzar.org/book.asp?100382","ברית אברהם - 3 כר'")</f>
        <v>ברית אברהם - 3 כר'</v>
      </c>
    </row>
    <row r="6604" spans="1:6" x14ac:dyDescent="0.2">
      <c r="A6604" t="s">
        <v>11875</v>
      </c>
      <c r="B6604" t="s">
        <v>11891</v>
      </c>
      <c r="C6604" t="s">
        <v>11383</v>
      </c>
      <c r="D6604" t="s">
        <v>1023</v>
      </c>
      <c r="E6604" t="s">
        <v>241</v>
      </c>
      <c r="F6604" s="2" t="str">
        <f>HYPERLINK("http://www.otzar.org/book.asp?22399","ברית אברהם")</f>
        <v>ברית אברהם</v>
      </c>
    </row>
    <row r="6605" spans="1:6" x14ac:dyDescent="0.2">
      <c r="A6605" t="s">
        <v>11892</v>
      </c>
      <c r="B6605" t="s">
        <v>11893</v>
      </c>
      <c r="C6605" t="s">
        <v>454</v>
      </c>
      <c r="D6605" t="s">
        <v>412</v>
      </c>
      <c r="E6605" t="s">
        <v>158</v>
      </c>
      <c r="F6605" s="2" t="str">
        <f>HYPERLINK("http://www.otzar.org/book.asp?172597","ברית אברם &lt;מהדורה חדשה&gt; - 2 כר'")</f>
        <v>ברית אברם &lt;מהדורה חדשה&gt; - 2 כר'</v>
      </c>
    </row>
    <row r="6606" spans="1:6" x14ac:dyDescent="0.2">
      <c r="A6606" t="s">
        <v>11894</v>
      </c>
      <c r="B6606" t="s">
        <v>11893</v>
      </c>
      <c r="C6606" t="s">
        <v>1458</v>
      </c>
      <c r="D6606" t="s">
        <v>5211</v>
      </c>
      <c r="E6606" t="s">
        <v>474</v>
      </c>
      <c r="F6606" s="2" t="str">
        <f>HYPERLINK("http://www.otzar.org/book.asp?7021","ברית אברם - 2 כר'")</f>
        <v>ברית אברם - 2 כר'</v>
      </c>
    </row>
    <row r="6607" spans="1:6" x14ac:dyDescent="0.2">
      <c r="A6607" t="s">
        <v>11895</v>
      </c>
      <c r="B6607" t="s">
        <v>11896</v>
      </c>
      <c r="C6607" t="s">
        <v>189</v>
      </c>
      <c r="D6607" t="s">
        <v>14</v>
      </c>
      <c r="E6607" t="s">
        <v>144</v>
      </c>
      <c r="F6607" s="2" t="str">
        <f>HYPERLINK("http://www.otzar.org/book.asp?22673","ברית איתנים - הוצאה")</f>
        <v>ברית איתנים - הוצאה</v>
      </c>
    </row>
    <row r="6608" spans="1:6" x14ac:dyDescent="0.2">
      <c r="A6608" t="s">
        <v>11897</v>
      </c>
      <c r="B6608" t="s">
        <v>11898</v>
      </c>
      <c r="C6608" t="s">
        <v>51</v>
      </c>
      <c r="D6608" t="s">
        <v>423</v>
      </c>
      <c r="E6608" t="s">
        <v>234</v>
      </c>
      <c r="F6608" s="2" t="str">
        <f>HYPERLINK("http://www.otzar.org/book.asp?616093","ברית איתנים")</f>
        <v>ברית איתנים</v>
      </c>
    </row>
    <row r="6609" spans="1:6" x14ac:dyDescent="0.2">
      <c r="A6609" t="s">
        <v>11899</v>
      </c>
      <c r="B6609" t="s">
        <v>7552</v>
      </c>
      <c r="C6609" t="s">
        <v>585</v>
      </c>
      <c r="D6609" t="s">
        <v>7553</v>
      </c>
      <c r="E6609" t="s">
        <v>10316</v>
      </c>
      <c r="F6609" s="2" t="str">
        <f>HYPERLINK("http://www.otzar.org/book.asp?617970","ברית אליהו")</f>
        <v>ברית אליהו</v>
      </c>
    </row>
    <row r="6610" spans="1:6" x14ac:dyDescent="0.2">
      <c r="A6610" t="s">
        <v>11899</v>
      </c>
      <c r="B6610" t="s">
        <v>11900</v>
      </c>
      <c r="C6610" t="s">
        <v>8</v>
      </c>
      <c r="D6610" t="s">
        <v>56</v>
      </c>
      <c r="E6610" t="s">
        <v>11901</v>
      </c>
      <c r="F6610" s="2" t="str">
        <f>HYPERLINK("http://www.otzar.org/book.asp?170905","ברית אליהו")</f>
        <v>ברית אליהו</v>
      </c>
    </row>
    <row r="6611" spans="1:6" x14ac:dyDescent="0.2">
      <c r="A6611" t="s">
        <v>11902</v>
      </c>
      <c r="B6611" t="s">
        <v>11903</v>
      </c>
      <c r="C6611" t="s">
        <v>20</v>
      </c>
      <c r="D6611" t="s">
        <v>52</v>
      </c>
      <c r="E6611" t="s">
        <v>234</v>
      </c>
      <c r="F6611" s="2" t="str">
        <f>HYPERLINK("http://www.otzar.org/book.asp?60615","ברית אמת")</f>
        <v>ברית אמת</v>
      </c>
    </row>
    <row r="6612" spans="1:6" x14ac:dyDescent="0.2">
      <c r="A6612" t="s">
        <v>11904</v>
      </c>
      <c r="B6612" t="s">
        <v>2839</v>
      </c>
      <c r="C6612" t="s">
        <v>454</v>
      </c>
      <c r="D6612" t="s">
        <v>52</v>
      </c>
      <c r="F6612" s="2" t="str">
        <f>HYPERLINK("http://www.otzar.org/book.asp?156048","ברית אפרים")</f>
        <v>ברית אפרים</v>
      </c>
    </row>
    <row r="6613" spans="1:6" x14ac:dyDescent="0.2">
      <c r="A6613" t="s">
        <v>11905</v>
      </c>
      <c r="B6613" t="s">
        <v>11906</v>
      </c>
      <c r="C6613" t="s">
        <v>454</v>
      </c>
      <c r="D6613" t="s">
        <v>52</v>
      </c>
      <c r="E6613" t="s">
        <v>15</v>
      </c>
      <c r="F6613" s="2" t="str">
        <f>HYPERLINK("http://www.otzar.org/book.asp?143685","ברית אש")</f>
        <v>ברית אש</v>
      </c>
    </row>
    <row r="6614" spans="1:6" x14ac:dyDescent="0.2">
      <c r="A6614" t="s">
        <v>11907</v>
      </c>
      <c r="B6614" t="s">
        <v>11908</v>
      </c>
      <c r="C6614" t="s">
        <v>146</v>
      </c>
      <c r="D6614" t="s">
        <v>14</v>
      </c>
      <c r="F6614" s="2" t="str">
        <f>HYPERLINK("http://www.otzar.org/book.asp?157552","ברית בנימין")</f>
        <v>ברית בנימין</v>
      </c>
    </row>
    <row r="6615" spans="1:6" x14ac:dyDescent="0.2">
      <c r="A6615" t="s">
        <v>11909</v>
      </c>
      <c r="B6615" t="s">
        <v>11910</v>
      </c>
      <c r="C6615" t="s">
        <v>585</v>
      </c>
      <c r="D6615" t="s">
        <v>14</v>
      </c>
      <c r="E6615" t="s">
        <v>148</v>
      </c>
      <c r="F6615" s="2" t="str">
        <f>HYPERLINK("http://www.otzar.org/book.asp?623526","ברית דוד")</f>
        <v>ברית דוד</v>
      </c>
    </row>
    <row r="6616" spans="1:6" x14ac:dyDescent="0.2">
      <c r="A6616" t="s">
        <v>11911</v>
      </c>
      <c r="B6616" t="s">
        <v>11912</v>
      </c>
      <c r="C6616" t="s">
        <v>71</v>
      </c>
      <c r="D6616" t="s">
        <v>14</v>
      </c>
      <c r="E6616" t="s">
        <v>1211</v>
      </c>
      <c r="F6616" s="2" t="str">
        <f>HYPERLINK("http://www.otzar.org/book.asp?108343","ברית הלוי השלם &lt;שבט הלוי&gt;")</f>
        <v>ברית הלוי השלם &lt;שבט הלוי&gt;</v>
      </c>
    </row>
    <row r="6617" spans="1:6" x14ac:dyDescent="0.2">
      <c r="A6617" t="s">
        <v>11913</v>
      </c>
      <c r="B6617" t="s">
        <v>11914</v>
      </c>
      <c r="C6617" t="s">
        <v>6050</v>
      </c>
      <c r="D6617" t="s">
        <v>726</v>
      </c>
      <c r="E6617" t="s">
        <v>674</v>
      </c>
      <c r="F6617" s="2" t="str">
        <f>HYPERLINK("http://www.otzar.org/book.asp?146617","ברית הלוי")</f>
        <v>ברית הלוי</v>
      </c>
    </row>
    <row r="6618" spans="1:6" x14ac:dyDescent="0.2">
      <c r="A6618" t="s">
        <v>11913</v>
      </c>
      <c r="B6618" t="s">
        <v>5241</v>
      </c>
      <c r="C6618" t="s">
        <v>2617</v>
      </c>
      <c r="D6618" t="s">
        <v>1279</v>
      </c>
      <c r="E6618" t="s">
        <v>11915</v>
      </c>
      <c r="F6618" s="2" t="str">
        <f>HYPERLINK("http://www.otzar.org/book.asp?15970","ברית הלוי")</f>
        <v>ברית הלוי</v>
      </c>
    </row>
    <row r="6619" spans="1:6" x14ac:dyDescent="0.2">
      <c r="A6619" t="s">
        <v>11916</v>
      </c>
      <c r="B6619" t="s">
        <v>11912</v>
      </c>
      <c r="C6619" t="s">
        <v>11917</v>
      </c>
      <c r="D6619" t="s">
        <v>27</v>
      </c>
      <c r="E6619" t="s">
        <v>144</v>
      </c>
      <c r="F6619" s="2" t="str">
        <f>HYPERLINK("http://www.otzar.org/book.asp?104650","ברית הלוי - א")</f>
        <v>ברית הלוי - א</v>
      </c>
    </row>
    <row r="6620" spans="1:6" x14ac:dyDescent="0.2">
      <c r="A6620" t="s">
        <v>11918</v>
      </c>
      <c r="B6620" t="s">
        <v>11919</v>
      </c>
      <c r="C6620" t="s">
        <v>68</v>
      </c>
      <c r="D6620" t="s">
        <v>14</v>
      </c>
      <c r="F6620" s="2" t="str">
        <f>HYPERLINK("http://www.otzar.org/book.asp?605775","ברית הלוי - 2 כר'")</f>
        <v>ברית הלוי - 2 כר'</v>
      </c>
    </row>
    <row r="6621" spans="1:6" x14ac:dyDescent="0.2">
      <c r="A6621" t="s">
        <v>11918</v>
      </c>
      <c r="B6621" t="s">
        <v>11920</v>
      </c>
      <c r="C6621" t="s">
        <v>129</v>
      </c>
      <c r="D6621" t="s">
        <v>486</v>
      </c>
      <c r="E6621" t="s">
        <v>154</v>
      </c>
      <c r="F6621" s="2" t="str">
        <f>HYPERLINK("http://www.otzar.org/book.asp?53255","ברית הלוי - 2 כר'")</f>
        <v>ברית הלוי - 2 כר'</v>
      </c>
    </row>
    <row r="6622" spans="1:6" x14ac:dyDescent="0.2">
      <c r="A6622" t="s">
        <v>11921</v>
      </c>
      <c r="B6622" t="s">
        <v>11922</v>
      </c>
      <c r="C6622" t="s">
        <v>313</v>
      </c>
      <c r="D6622" t="s">
        <v>14</v>
      </c>
      <c r="E6622" t="s">
        <v>158</v>
      </c>
      <c r="F6622" s="2" t="str">
        <f>HYPERLINK("http://www.otzar.org/book.asp?158018","ברית הלוי - קהלת")</f>
        <v>ברית הלוי - קהלת</v>
      </c>
    </row>
    <row r="6623" spans="1:6" x14ac:dyDescent="0.2">
      <c r="A6623" t="s">
        <v>11923</v>
      </c>
      <c r="B6623" t="s">
        <v>11923</v>
      </c>
      <c r="C6623" t="s">
        <v>442</v>
      </c>
      <c r="D6623" t="s">
        <v>14</v>
      </c>
      <c r="E6623" t="s">
        <v>4172</v>
      </c>
      <c r="F6623" s="2" t="str">
        <f>HYPERLINK("http://www.otzar.org/book.asp?626455","ברית השבת")</f>
        <v>ברית השבת</v>
      </c>
    </row>
    <row r="6624" spans="1:6" x14ac:dyDescent="0.2">
      <c r="A6624" t="s">
        <v>11924</v>
      </c>
      <c r="B6624" t="s">
        <v>11925</v>
      </c>
      <c r="C6624" t="s">
        <v>114</v>
      </c>
      <c r="D6624" t="s">
        <v>52</v>
      </c>
      <c r="E6624" t="s">
        <v>172</v>
      </c>
      <c r="F6624" s="2" t="str">
        <f>HYPERLINK("http://www.otzar.org/book.asp?165139","ברית ותורה - 2 כר'")</f>
        <v>ברית ותורה - 2 כר'</v>
      </c>
    </row>
    <row r="6625" spans="1:6" x14ac:dyDescent="0.2">
      <c r="A6625" t="s">
        <v>11926</v>
      </c>
      <c r="B6625" t="s">
        <v>11927</v>
      </c>
      <c r="C6625" t="s">
        <v>129</v>
      </c>
      <c r="D6625" t="s">
        <v>14</v>
      </c>
      <c r="E6625" t="s">
        <v>234</v>
      </c>
      <c r="F6625" s="2" t="str">
        <f>HYPERLINK("http://www.otzar.org/book.asp?60232","ברית ותורה")</f>
        <v>ברית ותורה</v>
      </c>
    </row>
    <row r="6626" spans="1:6" x14ac:dyDescent="0.2">
      <c r="A6626" t="s">
        <v>11926</v>
      </c>
      <c r="B6626" t="s">
        <v>2530</v>
      </c>
      <c r="C6626" t="s">
        <v>624</v>
      </c>
      <c r="D6626" t="s">
        <v>14</v>
      </c>
      <c r="E6626" t="s">
        <v>1776</v>
      </c>
      <c r="F6626" s="2" t="str">
        <f>HYPERLINK("http://www.otzar.org/book.asp?618947","ברית ותורה")</f>
        <v>ברית ותורה</v>
      </c>
    </row>
    <row r="6627" spans="1:6" x14ac:dyDescent="0.2">
      <c r="A6627" t="s">
        <v>11928</v>
      </c>
      <c r="B6627" t="s">
        <v>1681</v>
      </c>
      <c r="C6627" t="s">
        <v>422</v>
      </c>
      <c r="D6627" t="s">
        <v>52</v>
      </c>
      <c r="E6627" t="s">
        <v>158</v>
      </c>
      <c r="F6627" s="2" t="str">
        <f>HYPERLINK("http://www.otzar.org/book.asp?166058","ברית זו תורה")</f>
        <v>ברית זו תורה</v>
      </c>
    </row>
    <row r="6628" spans="1:6" x14ac:dyDescent="0.2">
      <c r="A6628" t="s">
        <v>11929</v>
      </c>
      <c r="B6628" t="s">
        <v>11930</v>
      </c>
      <c r="C6628" t="s">
        <v>23</v>
      </c>
      <c r="D6628" t="s">
        <v>21</v>
      </c>
      <c r="F6628" s="2" t="str">
        <f>HYPERLINK("http://www.otzar.org/book.asp?610259","ברית חיים")</f>
        <v>ברית חיים</v>
      </c>
    </row>
    <row r="6629" spans="1:6" x14ac:dyDescent="0.2">
      <c r="A6629" t="s">
        <v>11931</v>
      </c>
      <c r="B6629" t="s">
        <v>11932</v>
      </c>
      <c r="C6629" t="s">
        <v>334</v>
      </c>
      <c r="D6629" t="s">
        <v>14</v>
      </c>
      <c r="E6629" t="s">
        <v>15</v>
      </c>
      <c r="F6629" s="2" t="str">
        <f>HYPERLINK("http://www.otzar.org/book.asp?53214","ברית יהודה - 2 כר'")</f>
        <v>ברית יהודה - 2 כר'</v>
      </c>
    </row>
    <row r="6630" spans="1:6" x14ac:dyDescent="0.2">
      <c r="A6630" t="s">
        <v>11933</v>
      </c>
      <c r="B6630" t="s">
        <v>11934</v>
      </c>
      <c r="C6630" t="s">
        <v>313</v>
      </c>
      <c r="D6630" t="s">
        <v>14</v>
      </c>
      <c r="E6630" t="s">
        <v>803</v>
      </c>
      <c r="F6630" s="2" t="str">
        <f>HYPERLINK("http://www.otzar.org/book.asp?163667","ברית יהושע")</f>
        <v>ברית יהושע</v>
      </c>
    </row>
    <row r="6631" spans="1:6" x14ac:dyDescent="0.2">
      <c r="A6631" t="s">
        <v>11935</v>
      </c>
      <c r="B6631" t="s">
        <v>11936</v>
      </c>
      <c r="C6631" t="s">
        <v>20</v>
      </c>
      <c r="D6631" t="s">
        <v>14</v>
      </c>
      <c r="E6631" t="s">
        <v>10</v>
      </c>
      <c r="F6631" s="2" t="str">
        <f>HYPERLINK("http://www.otzar.org/book.asp?148203","ברית יוסף")</f>
        <v>ברית יוסף</v>
      </c>
    </row>
    <row r="6632" spans="1:6" x14ac:dyDescent="0.2">
      <c r="A6632" t="s">
        <v>11935</v>
      </c>
      <c r="B6632" t="s">
        <v>11937</v>
      </c>
      <c r="C6632" t="s">
        <v>547</v>
      </c>
      <c r="D6632" t="s">
        <v>691</v>
      </c>
      <c r="E6632" t="s">
        <v>15</v>
      </c>
      <c r="F6632" s="2" t="str">
        <f>HYPERLINK("http://www.otzar.org/book.asp?53746","ברית יוסף")</f>
        <v>ברית יוסף</v>
      </c>
    </row>
    <row r="6633" spans="1:6" x14ac:dyDescent="0.2">
      <c r="A6633" t="s">
        <v>11938</v>
      </c>
      <c r="B6633" t="s">
        <v>10396</v>
      </c>
      <c r="C6633" t="s">
        <v>11939</v>
      </c>
      <c r="D6633" t="s">
        <v>283</v>
      </c>
      <c r="E6633" t="s">
        <v>154</v>
      </c>
      <c r="F6633" s="2" t="str">
        <f>HYPERLINK("http://www.otzar.org/book.asp?100381","ברית יעקב - 2 כר'")</f>
        <v>ברית יעקב - 2 כר'</v>
      </c>
    </row>
    <row r="6634" spans="1:6" x14ac:dyDescent="0.2">
      <c r="A6634" t="s">
        <v>11940</v>
      </c>
      <c r="B6634" t="s">
        <v>11941</v>
      </c>
      <c r="C6634" t="s">
        <v>23</v>
      </c>
      <c r="D6634" t="s">
        <v>367</v>
      </c>
      <c r="E6634" t="s">
        <v>144</v>
      </c>
      <c r="F6634" s="2" t="str">
        <f>HYPERLINK("http://www.otzar.org/book.asp?618771","ברית יעקב - בבא מציעא")</f>
        <v>ברית יעקב - בבא מציעא</v>
      </c>
    </row>
    <row r="6635" spans="1:6" x14ac:dyDescent="0.2">
      <c r="A6635" t="s">
        <v>11942</v>
      </c>
      <c r="B6635" t="s">
        <v>3166</v>
      </c>
      <c r="C6635" t="s">
        <v>168</v>
      </c>
      <c r="D6635" t="s">
        <v>14</v>
      </c>
      <c r="E6635" t="s">
        <v>104</v>
      </c>
      <c r="F6635" s="2" t="str">
        <f>HYPERLINK("http://www.otzar.org/book.asp?200280","ברית יעקב")</f>
        <v>ברית יעקב</v>
      </c>
    </row>
    <row r="6636" spans="1:6" x14ac:dyDescent="0.2">
      <c r="A6636" t="s">
        <v>11942</v>
      </c>
      <c r="B6636" t="s">
        <v>11943</v>
      </c>
      <c r="C6636" t="s">
        <v>3635</v>
      </c>
      <c r="D6636" t="s">
        <v>212</v>
      </c>
      <c r="E6636" t="s">
        <v>435</v>
      </c>
      <c r="F6636" s="2" t="str">
        <f>HYPERLINK("http://www.otzar.org/book.asp?15744","ברית יעקב")</f>
        <v>ברית יעקב</v>
      </c>
    </row>
    <row r="6637" spans="1:6" x14ac:dyDescent="0.2">
      <c r="A6637" t="s">
        <v>11944</v>
      </c>
      <c r="B6637" t="s">
        <v>11945</v>
      </c>
      <c r="C6637" t="s">
        <v>4144</v>
      </c>
      <c r="D6637" t="s">
        <v>56</v>
      </c>
      <c r="E6637" t="s">
        <v>15</v>
      </c>
      <c r="F6637" s="2" t="str">
        <f>HYPERLINK("http://www.otzar.org/book.asp?17359","ברית יצחק בן אברהם")</f>
        <v>ברית יצחק בן אברהם</v>
      </c>
    </row>
    <row r="6638" spans="1:6" x14ac:dyDescent="0.2">
      <c r="A6638" t="s">
        <v>11946</v>
      </c>
      <c r="B6638" t="s">
        <v>11947</v>
      </c>
      <c r="C6638" t="s">
        <v>854</v>
      </c>
      <c r="D6638" t="s">
        <v>56</v>
      </c>
      <c r="E6638" t="s">
        <v>144</v>
      </c>
      <c r="F6638" s="2" t="str">
        <f>HYPERLINK("http://www.otzar.org/book.asp?101252","ברית יצחק")</f>
        <v>ברית יצחק</v>
      </c>
    </row>
    <row r="6639" spans="1:6" x14ac:dyDescent="0.2">
      <c r="A6639" t="s">
        <v>11946</v>
      </c>
      <c r="B6639" t="s">
        <v>686</v>
      </c>
      <c r="C6639" t="s">
        <v>23</v>
      </c>
      <c r="D6639" t="s">
        <v>52</v>
      </c>
      <c r="E6639" t="s">
        <v>234</v>
      </c>
      <c r="F6639" s="2" t="str">
        <f>HYPERLINK("http://www.otzar.org/book.asp?182757","ברית יצחק")</f>
        <v>ברית יצחק</v>
      </c>
    </row>
    <row r="6640" spans="1:6" x14ac:dyDescent="0.2">
      <c r="A6640" t="s">
        <v>11948</v>
      </c>
      <c r="B6640" t="s">
        <v>11949</v>
      </c>
      <c r="C6640" t="s">
        <v>71</v>
      </c>
      <c r="D6640" t="s">
        <v>52</v>
      </c>
      <c r="E6640" t="s">
        <v>15</v>
      </c>
      <c r="F6640" s="2" t="str">
        <f>HYPERLINK("http://www.otzar.org/book.asp?28147","ברית יצחק - 2 כר'")</f>
        <v>ברית יצחק - 2 כר'</v>
      </c>
    </row>
    <row r="6641" spans="1:6" x14ac:dyDescent="0.2">
      <c r="A6641" t="s">
        <v>11946</v>
      </c>
      <c r="B6641" t="s">
        <v>3522</v>
      </c>
      <c r="C6641" t="s">
        <v>429</v>
      </c>
      <c r="D6641" t="s">
        <v>307</v>
      </c>
      <c r="E6641" t="s">
        <v>11950</v>
      </c>
      <c r="F6641" s="2" t="str">
        <f>HYPERLINK("http://www.otzar.org/book.asp?15959","ברית יצחק")</f>
        <v>ברית יצחק</v>
      </c>
    </row>
    <row r="6642" spans="1:6" x14ac:dyDescent="0.2">
      <c r="A6642" t="s">
        <v>11946</v>
      </c>
      <c r="B6642" t="s">
        <v>11951</v>
      </c>
      <c r="C6642" t="s">
        <v>576</v>
      </c>
      <c r="D6642" t="s">
        <v>1889</v>
      </c>
      <c r="E6642" t="s">
        <v>714</v>
      </c>
      <c r="F6642" s="2" t="str">
        <f>HYPERLINK("http://www.otzar.org/book.asp?166290","ברית יצחק")</f>
        <v>ברית יצחק</v>
      </c>
    </row>
    <row r="6643" spans="1:6" x14ac:dyDescent="0.2">
      <c r="A6643" t="s">
        <v>11946</v>
      </c>
      <c r="B6643" t="s">
        <v>3166</v>
      </c>
      <c r="C6643" t="s">
        <v>422</v>
      </c>
      <c r="D6643" t="s">
        <v>14</v>
      </c>
      <c r="E6643" t="s">
        <v>158</v>
      </c>
      <c r="F6643" s="2" t="str">
        <f>HYPERLINK("http://www.otzar.org/book.asp?182542","ברית יצחק")</f>
        <v>ברית יצחק</v>
      </c>
    </row>
    <row r="6644" spans="1:6" x14ac:dyDescent="0.2">
      <c r="A6644" t="s">
        <v>11946</v>
      </c>
      <c r="B6644" t="s">
        <v>11952</v>
      </c>
      <c r="C6644" t="s">
        <v>10408</v>
      </c>
      <c r="D6644" t="s">
        <v>9</v>
      </c>
      <c r="E6644" t="s">
        <v>1776</v>
      </c>
      <c r="F6644" s="2" t="str">
        <f>HYPERLINK("http://www.otzar.org/book.asp?300596","ברית יצחק")</f>
        <v>ברית יצחק</v>
      </c>
    </row>
    <row r="6645" spans="1:6" x14ac:dyDescent="0.2">
      <c r="A6645" t="s">
        <v>11946</v>
      </c>
      <c r="B6645" t="s">
        <v>11953</v>
      </c>
      <c r="C6645" t="s">
        <v>3475</v>
      </c>
      <c r="D6645" t="s">
        <v>1023</v>
      </c>
      <c r="E6645" t="s">
        <v>219</v>
      </c>
      <c r="F6645" s="2" t="str">
        <f>HYPERLINK("http://www.otzar.org/book.asp?168095","ברית יצחק")</f>
        <v>ברית יצחק</v>
      </c>
    </row>
    <row r="6646" spans="1:6" x14ac:dyDescent="0.2">
      <c r="A6646" t="s">
        <v>11946</v>
      </c>
      <c r="B6646" t="s">
        <v>11954</v>
      </c>
      <c r="C6646" t="s">
        <v>1150</v>
      </c>
      <c r="D6646" t="s">
        <v>1023</v>
      </c>
      <c r="E6646" t="s">
        <v>219</v>
      </c>
      <c r="F6646" s="2" t="str">
        <f>HYPERLINK("http://www.otzar.org/book.asp?104935","ברית יצחק")</f>
        <v>ברית יצחק</v>
      </c>
    </row>
    <row r="6647" spans="1:6" x14ac:dyDescent="0.2">
      <c r="A6647" t="s">
        <v>11946</v>
      </c>
      <c r="B6647" t="s">
        <v>11955</v>
      </c>
      <c r="C6647" t="s">
        <v>950</v>
      </c>
      <c r="D6647" t="s">
        <v>535</v>
      </c>
      <c r="E6647" t="s">
        <v>219</v>
      </c>
      <c r="F6647" s="2" t="str">
        <f>HYPERLINK("http://www.otzar.org/book.asp?10633","ברית יצחק")</f>
        <v>ברית יצחק</v>
      </c>
    </row>
    <row r="6648" spans="1:6" x14ac:dyDescent="0.2">
      <c r="A6648" t="s">
        <v>11956</v>
      </c>
      <c r="B6648" t="s">
        <v>11051</v>
      </c>
      <c r="C6648" t="s">
        <v>775</v>
      </c>
      <c r="D6648" t="s">
        <v>52</v>
      </c>
      <c r="E6648" t="s">
        <v>674</v>
      </c>
      <c r="F6648" s="2" t="str">
        <f>HYPERLINK("http://www.otzar.org/book.asp?51123","ברית כהונה השלם - 2 כר'")</f>
        <v>ברית כהונה השלם - 2 כר'</v>
      </c>
    </row>
    <row r="6649" spans="1:6" x14ac:dyDescent="0.2">
      <c r="A6649" t="s">
        <v>11957</v>
      </c>
      <c r="B6649" t="s">
        <v>11051</v>
      </c>
      <c r="C6649" t="s">
        <v>11958</v>
      </c>
      <c r="D6649" t="s">
        <v>1889</v>
      </c>
      <c r="E6649" t="s">
        <v>15</v>
      </c>
      <c r="F6649" s="2" t="str">
        <f>HYPERLINK("http://www.otzar.org/book.asp?144841","ברית כהונה - 4 כר'")</f>
        <v>ברית כהונה - 4 כר'</v>
      </c>
    </row>
    <row r="6650" spans="1:6" x14ac:dyDescent="0.2">
      <c r="A6650" t="s">
        <v>11959</v>
      </c>
      <c r="B6650" t="s">
        <v>11960</v>
      </c>
      <c r="C6650" t="s">
        <v>129</v>
      </c>
      <c r="D6650" t="s">
        <v>14</v>
      </c>
      <c r="E6650" t="s">
        <v>399</v>
      </c>
      <c r="F6650" s="2" t="str">
        <f>HYPERLINK("http://www.otzar.org/book.asp?180198","ברית כהנת עולם &lt;שער שמעון - שבחי כהונה&gt;")</f>
        <v>ברית כהנת עולם &lt;שער שמעון - שבחי כהונה&gt;</v>
      </c>
    </row>
    <row r="6651" spans="1:6" x14ac:dyDescent="0.2">
      <c r="A6651" t="s">
        <v>11961</v>
      </c>
      <c r="B6651" t="s">
        <v>11962</v>
      </c>
      <c r="C6651" t="s">
        <v>11963</v>
      </c>
      <c r="D6651" t="s">
        <v>267</v>
      </c>
      <c r="E6651" t="s">
        <v>399</v>
      </c>
      <c r="F6651" s="2" t="str">
        <f>HYPERLINK("http://www.otzar.org/book.asp?100152","ברית כהנת עולם - 4 כר'")</f>
        <v>ברית כהנת עולם - 4 כר'</v>
      </c>
    </row>
    <row r="6652" spans="1:6" x14ac:dyDescent="0.2">
      <c r="A6652" t="s">
        <v>11964</v>
      </c>
      <c r="B6652" t="s">
        <v>11965</v>
      </c>
      <c r="C6652" t="s">
        <v>143</v>
      </c>
      <c r="D6652" t="s">
        <v>412</v>
      </c>
      <c r="E6652" t="s">
        <v>15</v>
      </c>
      <c r="F6652" s="2" t="str">
        <f>HYPERLINK("http://www.otzar.org/book.asp?25873","ברית כרותה לשפתים")</f>
        <v>ברית כרותה לשפתים</v>
      </c>
    </row>
    <row r="6653" spans="1:6" x14ac:dyDescent="0.2">
      <c r="A6653" t="s">
        <v>11966</v>
      </c>
      <c r="B6653" t="s">
        <v>931</v>
      </c>
      <c r="C6653" t="s">
        <v>180</v>
      </c>
      <c r="D6653" t="s">
        <v>52</v>
      </c>
      <c r="E6653" t="s">
        <v>144</v>
      </c>
      <c r="F6653" s="2" t="str">
        <f>HYPERLINK("http://www.otzar.org/book.asp?28310","ברית כרותה")</f>
        <v>ברית כרותה</v>
      </c>
    </row>
    <row r="6654" spans="1:6" x14ac:dyDescent="0.2">
      <c r="A6654" t="s">
        <v>11967</v>
      </c>
      <c r="B6654" t="s">
        <v>7017</v>
      </c>
      <c r="C6654" t="s">
        <v>356</v>
      </c>
      <c r="D6654" t="s">
        <v>14</v>
      </c>
      <c r="E6654" t="s">
        <v>15</v>
      </c>
      <c r="F6654" s="2" t="str">
        <f>HYPERLINK("http://www.otzar.org/book.asp?143757","ברית מילה - היבטים הלכתיים ורפואיים")</f>
        <v>ברית מילה - היבטים הלכתיים ורפואיים</v>
      </c>
    </row>
    <row r="6655" spans="1:6" x14ac:dyDescent="0.2">
      <c r="A6655" t="s">
        <v>11968</v>
      </c>
      <c r="B6655" t="s">
        <v>6783</v>
      </c>
      <c r="C6655" t="s">
        <v>422</v>
      </c>
      <c r="D6655" t="s">
        <v>14</v>
      </c>
      <c r="E6655" t="s">
        <v>148</v>
      </c>
      <c r="F6655" s="2" t="str">
        <f>HYPERLINK("http://www.otzar.org/book.asp?155879","ברית מלח &lt;מהדורה חדשה&gt;")</f>
        <v>ברית מלח &lt;מהדורה חדשה&gt;</v>
      </c>
    </row>
    <row r="6656" spans="1:6" x14ac:dyDescent="0.2">
      <c r="A6656" t="s">
        <v>11969</v>
      </c>
      <c r="B6656" t="s">
        <v>6783</v>
      </c>
      <c r="C6656" t="s">
        <v>5826</v>
      </c>
      <c r="D6656" t="s">
        <v>1992</v>
      </c>
      <c r="E6656" t="s">
        <v>15</v>
      </c>
      <c r="F6656" s="2" t="str">
        <f>HYPERLINK("http://www.otzar.org/book.asp?15318","ברית מלח")</f>
        <v>ברית מלח</v>
      </c>
    </row>
    <row r="6657" spans="1:6" x14ac:dyDescent="0.2">
      <c r="A6657" t="s">
        <v>11970</v>
      </c>
      <c r="B6657" t="s">
        <v>3484</v>
      </c>
      <c r="C6657" t="s">
        <v>1169</v>
      </c>
      <c r="D6657" t="s">
        <v>563</v>
      </c>
      <c r="E6657" t="s">
        <v>15</v>
      </c>
      <c r="F6657" s="2" t="str">
        <f>HYPERLINK("http://www.otzar.org/book.asp?7467","ברית מלח - 2 כר'")</f>
        <v>ברית מלח - 2 כר'</v>
      </c>
    </row>
    <row r="6658" spans="1:6" x14ac:dyDescent="0.2">
      <c r="A6658" t="s">
        <v>11969</v>
      </c>
      <c r="B6658" t="s">
        <v>489</v>
      </c>
      <c r="C6658" t="s">
        <v>20</v>
      </c>
      <c r="D6658" t="s">
        <v>147</v>
      </c>
      <c r="E6658" t="s">
        <v>202</v>
      </c>
      <c r="F6658" s="2" t="str">
        <f>HYPERLINK("http://www.otzar.org/book.asp?158189","ברית מלח")</f>
        <v>ברית מלח</v>
      </c>
    </row>
    <row r="6659" spans="1:6" x14ac:dyDescent="0.2">
      <c r="A6659" t="s">
        <v>11969</v>
      </c>
      <c r="B6659" t="s">
        <v>11971</v>
      </c>
      <c r="C6659" t="s">
        <v>2543</v>
      </c>
      <c r="D6659" t="s">
        <v>56</v>
      </c>
      <c r="E6659" t="s">
        <v>730</v>
      </c>
      <c r="F6659" s="2" t="str">
        <f>HYPERLINK("http://www.otzar.org/book.asp?17361","ברית מלח")</f>
        <v>ברית מלח</v>
      </c>
    </row>
    <row r="6660" spans="1:6" x14ac:dyDescent="0.2">
      <c r="A6660" t="s">
        <v>11972</v>
      </c>
      <c r="B6660" t="s">
        <v>11973</v>
      </c>
      <c r="C6660" t="s">
        <v>11974</v>
      </c>
      <c r="D6660" t="s">
        <v>1023</v>
      </c>
      <c r="E6660" t="s">
        <v>399</v>
      </c>
      <c r="F6660" s="2" t="str">
        <f>HYPERLINK("http://www.otzar.org/book.asp?53314","ברית מנוחה - 3 כר'")</f>
        <v>ברית מנוחה - 3 כר'</v>
      </c>
    </row>
    <row r="6661" spans="1:6" x14ac:dyDescent="0.2">
      <c r="A6661" t="s">
        <v>11975</v>
      </c>
      <c r="B6661" t="s">
        <v>11976</v>
      </c>
      <c r="C6661" t="s">
        <v>366</v>
      </c>
      <c r="D6661" t="s">
        <v>412</v>
      </c>
      <c r="E6661" t="s">
        <v>148</v>
      </c>
      <c r="F6661" s="2" t="str">
        <f>HYPERLINK("http://www.otzar.org/book.asp?627477","ברית מרדכי")</f>
        <v>ברית מרדכי</v>
      </c>
    </row>
    <row r="6662" spans="1:6" x14ac:dyDescent="0.2">
      <c r="A6662" t="s">
        <v>11977</v>
      </c>
      <c r="B6662" t="s">
        <v>11978</v>
      </c>
      <c r="C6662" t="s">
        <v>17</v>
      </c>
      <c r="D6662" t="s">
        <v>118</v>
      </c>
      <c r="E6662" t="s">
        <v>213</v>
      </c>
      <c r="F6662" s="2" t="str">
        <f>HYPERLINK("http://www.otzar.org/book.asp?164299","ברית עולם &lt;מהדורה חדשה&gt;")</f>
        <v>ברית עולם &lt;מהדורה חדשה&gt;</v>
      </c>
    </row>
    <row r="6663" spans="1:6" x14ac:dyDescent="0.2">
      <c r="A6663" t="s">
        <v>11979</v>
      </c>
      <c r="B6663" t="s">
        <v>11980</v>
      </c>
      <c r="C6663" t="s">
        <v>1885</v>
      </c>
      <c r="D6663" t="s">
        <v>283</v>
      </c>
      <c r="E6663" t="s">
        <v>154</v>
      </c>
      <c r="F6663" s="2" t="str">
        <f>HYPERLINK("http://www.otzar.org/book.asp?100380","ברית עולם (שו""ת)")</f>
        <v>ברית עולם (שו"ת)</v>
      </c>
    </row>
    <row r="6664" spans="1:6" x14ac:dyDescent="0.2">
      <c r="A6664" t="s">
        <v>11981</v>
      </c>
      <c r="B6664" t="s">
        <v>10164</v>
      </c>
      <c r="C6664" t="s">
        <v>5823</v>
      </c>
      <c r="D6664" t="s">
        <v>27</v>
      </c>
      <c r="E6664" t="s">
        <v>241</v>
      </c>
      <c r="F6664" s="2" t="str">
        <f>HYPERLINK("http://www.otzar.org/book.asp?17439","ברית עולם האחרון")</f>
        <v>ברית עולם האחרון</v>
      </c>
    </row>
    <row r="6665" spans="1:6" x14ac:dyDescent="0.2">
      <c r="A6665" t="s">
        <v>11982</v>
      </c>
      <c r="B6665" t="s">
        <v>11983</v>
      </c>
      <c r="C6665" t="s">
        <v>63</v>
      </c>
      <c r="D6665" t="s">
        <v>14</v>
      </c>
      <c r="E6665" t="s">
        <v>219</v>
      </c>
      <c r="F6665" s="2" t="str">
        <f>HYPERLINK("http://www.otzar.org/book.asp?5336","ברית עולם השלם - 2 כר'")</f>
        <v>ברית עולם השלם - 2 כר'</v>
      </c>
    </row>
    <row r="6666" spans="1:6" x14ac:dyDescent="0.2">
      <c r="A6666" t="s">
        <v>11984</v>
      </c>
      <c r="B6666" t="s">
        <v>10164</v>
      </c>
      <c r="C6666" t="s">
        <v>351</v>
      </c>
      <c r="D6666" t="s">
        <v>27</v>
      </c>
      <c r="E6666" t="s">
        <v>241</v>
      </c>
      <c r="F6666" s="2" t="str">
        <f>HYPERLINK("http://www.otzar.org/book.asp?102905","ברית עולם קמא")</f>
        <v>ברית עולם קמא</v>
      </c>
    </row>
    <row r="6667" spans="1:6" x14ac:dyDescent="0.2">
      <c r="A6667" t="s">
        <v>11985</v>
      </c>
      <c r="B6667" t="s">
        <v>1308</v>
      </c>
      <c r="C6667" t="s">
        <v>956</v>
      </c>
      <c r="D6667" t="s">
        <v>14</v>
      </c>
      <c r="E6667" t="s">
        <v>219</v>
      </c>
      <c r="F6667" s="2" t="str">
        <f>HYPERLINK("http://www.otzar.org/book.asp?5302","ברית עולם")</f>
        <v>ברית עולם</v>
      </c>
    </row>
    <row r="6668" spans="1:6" x14ac:dyDescent="0.2">
      <c r="A6668" t="s">
        <v>11985</v>
      </c>
      <c r="B6668" t="s">
        <v>11986</v>
      </c>
      <c r="C6668" t="s">
        <v>433</v>
      </c>
      <c r="D6668" t="s">
        <v>9</v>
      </c>
      <c r="E6668" t="s">
        <v>674</v>
      </c>
      <c r="F6668" s="2" t="str">
        <f>HYPERLINK("http://www.otzar.org/book.asp?12200","ברית עולם")</f>
        <v>ברית עולם</v>
      </c>
    </row>
    <row r="6669" spans="1:6" x14ac:dyDescent="0.2">
      <c r="A6669" t="s">
        <v>11987</v>
      </c>
      <c r="B6669" t="s">
        <v>4211</v>
      </c>
      <c r="C6669" t="s">
        <v>176</v>
      </c>
      <c r="D6669" t="s">
        <v>14</v>
      </c>
      <c r="E6669" t="s">
        <v>1847</v>
      </c>
      <c r="F6669" s="2" t="str">
        <f>HYPERLINK("http://www.otzar.org/book.asp?50090","ברית עולם - 2 כר'")</f>
        <v>ברית עולם - 2 כר'</v>
      </c>
    </row>
    <row r="6670" spans="1:6" x14ac:dyDescent="0.2">
      <c r="A6670" t="s">
        <v>11988</v>
      </c>
      <c r="B6670" t="s">
        <v>4886</v>
      </c>
      <c r="C6670" t="s">
        <v>1570</v>
      </c>
      <c r="D6670" t="s">
        <v>52</v>
      </c>
      <c r="F6670" s="2" t="str">
        <f>HYPERLINK("http://www.otzar.org/book.asp?108478","ברית עולם - 4 כר'")</f>
        <v>ברית עולם - 4 כר'</v>
      </c>
    </row>
    <row r="6671" spans="1:6" x14ac:dyDescent="0.2">
      <c r="A6671" t="s">
        <v>11985</v>
      </c>
      <c r="B6671" t="s">
        <v>6987</v>
      </c>
      <c r="C6671" t="s">
        <v>20</v>
      </c>
      <c r="D6671" t="s">
        <v>90</v>
      </c>
      <c r="E6671" t="s">
        <v>24</v>
      </c>
      <c r="F6671" s="2" t="str">
        <f>HYPERLINK("http://www.otzar.org/book.asp?176163","ברית עולם")</f>
        <v>ברית עולם</v>
      </c>
    </row>
    <row r="6672" spans="1:6" x14ac:dyDescent="0.2">
      <c r="A6672" t="s">
        <v>11989</v>
      </c>
      <c r="B6672" t="s">
        <v>11834</v>
      </c>
      <c r="C6672" t="s">
        <v>23</v>
      </c>
      <c r="D6672" t="s">
        <v>152</v>
      </c>
      <c r="F6672" s="2" t="str">
        <f>HYPERLINK("http://www.otzar.org/book.asp?197310","ברית קודש")</f>
        <v>ברית קודש</v>
      </c>
    </row>
    <row r="6673" spans="1:6" x14ac:dyDescent="0.2">
      <c r="A6673" t="s">
        <v>11989</v>
      </c>
      <c r="B6673" t="s">
        <v>11990</v>
      </c>
      <c r="C6673" t="s">
        <v>244</v>
      </c>
      <c r="D6673" t="s">
        <v>14</v>
      </c>
      <c r="E6673" t="s">
        <v>15</v>
      </c>
      <c r="F6673" s="2" t="str">
        <f>HYPERLINK("http://www.otzar.org/book.asp?600734","ברית קודש")</f>
        <v>ברית קודש</v>
      </c>
    </row>
    <row r="6674" spans="1:6" x14ac:dyDescent="0.2">
      <c r="A6674" t="s">
        <v>11991</v>
      </c>
      <c r="B6674" t="s">
        <v>11992</v>
      </c>
      <c r="C6674" t="s">
        <v>3103</v>
      </c>
      <c r="D6674" t="s">
        <v>2295</v>
      </c>
      <c r="E6674" t="s">
        <v>15</v>
      </c>
      <c r="F6674" s="2" t="str">
        <f>HYPERLINK("http://www.otzar.org/book.asp?17362","ברית שלום")</f>
        <v>ברית שלום</v>
      </c>
    </row>
    <row r="6675" spans="1:6" x14ac:dyDescent="0.2">
      <c r="A6675" t="s">
        <v>11993</v>
      </c>
      <c r="B6675" t="s">
        <v>11994</v>
      </c>
      <c r="C6675" t="s">
        <v>146</v>
      </c>
      <c r="D6675" t="s">
        <v>14</v>
      </c>
      <c r="E6675" t="s">
        <v>154</v>
      </c>
      <c r="F6675" s="2" t="str">
        <f>HYPERLINK("http://www.otzar.org/book.asp?63088","ברית שלום - 3 כר'")</f>
        <v>ברית שלום - 3 כר'</v>
      </c>
    </row>
    <row r="6676" spans="1:6" x14ac:dyDescent="0.2">
      <c r="A6676" t="s">
        <v>11991</v>
      </c>
      <c r="B6676" t="s">
        <v>11995</v>
      </c>
      <c r="C6676" t="s">
        <v>454</v>
      </c>
      <c r="D6676" t="s">
        <v>486</v>
      </c>
      <c r="E6676" t="s">
        <v>15</v>
      </c>
      <c r="F6676" s="2" t="str">
        <f>HYPERLINK("http://www.otzar.org/book.asp?155345","ברית שלום")</f>
        <v>ברית שלום</v>
      </c>
    </row>
    <row r="6677" spans="1:6" x14ac:dyDescent="0.2">
      <c r="A6677" t="s">
        <v>11991</v>
      </c>
      <c r="B6677" t="s">
        <v>11996</v>
      </c>
      <c r="C6677" t="s">
        <v>224</v>
      </c>
      <c r="D6677" t="s">
        <v>1889</v>
      </c>
      <c r="E6677" t="s">
        <v>15</v>
      </c>
      <c r="F6677" s="2" t="str">
        <f>HYPERLINK("http://www.otzar.org/book.asp?155341","ברית שלום")</f>
        <v>ברית שלום</v>
      </c>
    </row>
    <row r="6678" spans="1:6" x14ac:dyDescent="0.2">
      <c r="A6678" t="s">
        <v>11997</v>
      </c>
      <c r="B6678" t="s">
        <v>11998</v>
      </c>
      <c r="C6678" t="s">
        <v>946</v>
      </c>
      <c r="D6678" t="s">
        <v>2313</v>
      </c>
      <c r="E6678" t="s">
        <v>230</v>
      </c>
      <c r="F6678" s="2" t="str">
        <f>HYPERLINK("http://www.otzar.org/book.asp?172276","ברית שלום - 4 כר'")</f>
        <v>ברית שלום - 4 כר'</v>
      </c>
    </row>
    <row r="6679" spans="1:6" x14ac:dyDescent="0.2">
      <c r="A6679" t="s">
        <v>11991</v>
      </c>
      <c r="B6679" t="s">
        <v>489</v>
      </c>
      <c r="C6679" t="s">
        <v>37</v>
      </c>
      <c r="D6679" t="s">
        <v>14</v>
      </c>
      <c r="E6679" t="s">
        <v>202</v>
      </c>
      <c r="F6679" s="2" t="str">
        <f>HYPERLINK("http://www.otzar.org/book.asp?180982","ברית שלום")</f>
        <v>ברית שלום</v>
      </c>
    </row>
    <row r="6680" spans="1:6" x14ac:dyDescent="0.2">
      <c r="A6680" t="s">
        <v>11999</v>
      </c>
      <c r="B6680" t="s">
        <v>12000</v>
      </c>
      <c r="C6680" t="s">
        <v>151</v>
      </c>
      <c r="D6680" t="s">
        <v>4549</v>
      </c>
      <c r="E6680" t="s">
        <v>325</v>
      </c>
      <c r="F6680" s="2" t="str">
        <f>HYPERLINK("http://www.otzar.org/book.asp?623359","ברית שלש עשרה")</f>
        <v>ברית שלש עשרה</v>
      </c>
    </row>
    <row r="6681" spans="1:6" x14ac:dyDescent="0.2">
      <c r="A6681" t="s">
        <v>12001</v>
      </c>
      <c r="B6681" t="s">
        <v>12002</v>
      </c>
      <c r="C6681" t="s">
        <v>37</v>
      </c>
      <c r="D6681" t="s">
        <v>412</v>
      </c>
      <c r="E6681" t="s">
        <v>15</v>
      </c>
      <c r="F6681" s="2" t="str">
        <f>HYPERLINK("http://www.otzar.org/book.asp?190242","בריתו של אברהם - 2 כר'")</f>
        <v>בריתו של אברהם - 2 כר'</v>
      </c>
    </row>
    <row r="6682" spans="1:6" x14ac:dyDescent="0.2">
      <c r="A6682" t="s">
        <v>12003</v>
      </c>
      <c r="B6682" t="s">
        <v>3286</v>
      </c>
      <c r="C6682" t="s">
        <v>956</v>
      </c>
      <c r="D6682" t="s">
        <v>52</v>
      </c>
      <c r="E6682" t="s">
        <v>148</v>
      </c>
      <c r="F6682" s="2" t="str">
        <f>HYPERLINK("http://www.otzar.org/book.asp?163378","בריתי יעקב")</f>
        <v>בריתי יעקב</v>
      </c>
    </row>
    <row r="6683" spans="1:6" x14ac:dyDescent="0.2">
      <c r="A6683" t="s">
        <v>12004</v>
      </c>
      <c r="B6683" t="s">
        <v>12005</v>
      </c>
      <c r="C6683" t="s">
        <v>129</v>
      </c>
      <c r="D6683" t="s">
        <v>52</v>
      </c>
      <c r="E6683" t="s">
        <v>474</v>
      </c>
      <c r="F6683" s="2" t="str">
        <f>HYPERLINK("http://www.otzar.org/book.asp?151197","בריתי יעקב - 2 כר'")</f>
        <v>בריתי יעקב - 2 כר'</v>
      </c>
    </row>
    <row r="6684" spans="1:6" x14ac:dyDescent="0.2">
      <c r="A6684" t="s">
        <v>12006</v>
      </c>
      <c r="B6684" t="s">
        <v>9338</v>
      </c>
      <c r="C6684" t="s">
        <v>111</v>
      </c>
      <c r="D6684" t="s">
        <v>52</v>
      </c>
      <c r="E6684" t="s">
        <v>130</v>
      </c>
      <c r="F6684" s="2" t="str">
        <f>HYPERLINK("http://www.otzar.org/book.asp?630055","בריתי יצחק - 2 כר'")</f>
        <v>בריתי יצחק - 2 כר'</v>
      </c>
    </row>
    <row r="6685" spans="1:6" x14ac:dyDescent="0.2">
      <c r="A6685" t="s">
        <v>12007</v>
      </c>
      <c r="B6685" t="s">
        <v>12008</v>
      </c>
      <c r="C6685" t="s">
        <v>23</v>
      </c>
      <c r="D6685" t="s">
        <v>21</v>
      </c>
      <c r="F6685" s="2" t="str">
        <f>HYPERLINK("http://www.otzar.org/book.asp?605637","בריתי שלום")</f>
        <v>בריתי שלום</v>
      </c>
    </row>
    <row r="6686" spans="1:6" x14ac:dyDescent="0.2">
      <c r="A6686" t="s">
        <v>12009</v>
      </c>
      <c r="B6686" t="s">
        <v>12010</v>
      </c>
      <c r="C6686" t="s">
        <v>114</v>
      </c>
      <c r="D6686" t="s">
        <v>52</v>
      </c>
      <c r="E6686" t="s">
        <v>12011</v>
      </c>
      <c r="F6686" s="2" t="str">
        <f>HYPERLINK("http://www.otzar.org/book.asp?160318","בריתי שלום - 2 כר'")</f>
        <v>בריתי שלום - 2 כר'</v>
      </c>
    </row>
    <row r="6687" spans="1:6" x14ac:dyDescent="0.2">
      <c r="A6687" t="s">
        <v>12012</v>
      </c>
      <c r="B6687" t="s">
        <v>2908</v>
      </c>
      <c r="C6687" t="s">
        <v>366</v>
      </c>
      <c r="D6687" t="s">
        <v>2909</v>
      </c>
      <c r="F6687" s="2" t="str">
        <f>HYPERLINK("http://www.otzar.org/book.asp?603931","בריתי שלום - 4 כר'")</f>
        <v>בריתי שלום - 4 כר'</v>
      </c>
    </row>
    <row r="6688" spans="1:6" x14ac:dyDescent="0.2">
      <c r="A6688" t="s">
        <v>12013</v>
      </c>
      <c r="B6688" t="s">
        <v>5632</v>
      </c>
      <c r="C6688" t="s">
        <v>114</v>
      </c>
      <c r="D6688" t="s">
        <v>90</v>
      </c>
      <c r="E6688" t="s">
        <v>130</v>
      </c>
      <c r="F6688" s="2" t="str">
        <f>HYPERLINK("http://www.otzar.org/book.asp?175983","בריתך ינצורו")</f>
        <v>בריתך ינצורו</v>
      </c>
    </row>
    <row r="6689" spans="1:6" x14ac:dyDescent="0.2">
      <c r="A6689" t="s">
        <v>12014</v>
      </c>
      <c r="D6689" t="s">
        <v>7648</v>
      </c>
      <c r="F6689" s="2" t="str">
        <f>HYPERLINK("http://www.otzar.org/book.asp?615654","ברך אברהם")</f>
        <v>ברך אברהם</v>
      </c>
    </row>
    <row r="6690" spans="1:6" x14ac:dyDescent="0.2">
      <c r="A6690" t="s">
        <v>12015</v>
      </c>
      <c r="B6690" t="s">
        <v>1046</v>
      </c>
      <c r="C6690" t="s">
        <v>802</v>
      </c>
      <c r="D6690" t="s">
        <v>76</v>
      </c>
      <c r="E6690" t="s">
        <v>158</v>
      </c>
      <c r="F6690" s="2" t="str">
        <f>HYPERLINK("http://www.otzar.org/book.asp?102874","ברך את אברהם")</f>
        <v>ברך את אברהם</v>
      </c>
    </row>
    <row r="6691" spans="1:6" x14ac:dyDescent="0.2">
      <c r="A6691" t="s">
        <v>12015</v>
      </c>
      <c r="B6691" t="s">
        <v>3651</v>
      </c>
      <c r="C6691" t="s">
        <v>114</v>
      </c>
      <c r="D6691" t="s">
        <v>14</v>
      </c>
      <c r="E6691" t="s">
        <v>158</v>
      </c>
      <c r="F6691" s="2" t="str">
        <f>HYPERLINK("http://www.otzar.org/book.asp?180467","ברך את אברהם")</f>
        <v>ברך את אברהם</v>
      </c>
    </row>
    <row r="6692" spans="1:6" x14ac:dyDescent="0.2">
      <c r="A6692" t="s">
        <v>12016</v>
      </c>
      <c r="B6692" t="s">
        <v>12017</v>
      </c>
      <c r="C6692" t="s">
        <v>585</v>
      </c>
      <c r="D6692" t="s">
        <v>646</v>
      </c>
      <c r="E6692" t="s">
        <v>104</v>
      </c>
      <c r="F6692" s="2" t="str">
        <f>HYPERLINK("http://www.otzar.org/book.asp?158206","ברך ה' חילו")</f>
        <v>ברך ה' חילו</v>
      </c>
    </row>
    <row r="6693" spans="1:6" x14ac:dyDescent="0.2">
      <c r="A6693" t="s">
        <v>12018</v>
      </c>
      <c r="B6693" t="s">
        <v>12019</v>
      </c>
      <c r="C6693" t="s">
        <v>11127</v>
      </c>
      <c r="D6693" t="s">
        <v>76</v>
      </c>
      <c r="E6693" t="s">
        <v>154</v>
      </c>
      <c r="F6693" s="2" t="str">
        <f>HYPERLINK("http://www.otzar.org/book.asp?22400","ברך יצחק")</f>
        <v>ברך יצחק</v>
      </c>
    </row>
    <row r="6694" spans="1:6" x14ac:dyDescent="0.2">
      <c r="A6694" t="s">
        <v>12020</v>
      </c>
      <c r="B6694" t="s">
        <v>686</v>
      </c>
      <c r="C6694" t="s">
        <v>133</v>
      </c>
      <c r="D6694" t="s">
        <v>52</v>
      </c>
      <c r="E6694" t="s">
        <v>104</v>
      </c>
      <c r="F6694" s="2" t="str">
        <f>HYPERLINK("http://www.otzar.org/book.asp?175966","ברך לקחתי")</f>
        <v>ברך לקחתי</v>
      </c>
    </row>
    <row r="6695" spans="1:6" x14ac:dyDescent="0.2">
      <c r="A6695" t="s">
        <v>12021</v>
      </c>
      <c r="B6695" t="s">
        <v>12022</v>
      </c>
      <c r="C6695" t="s">
        <v>5257</v>
      </c>
      <c r="D6695" t="s">
        <v>76</v>
      </c>
      <c r="E6695" t="s">
        <v>144</v>
      </c>
      <c r="F6695" s="2" t="str">
        <f>HYPERLINK("http://www.otzar.org/book.asp?148129","ברך משה")</f>
        <v>ברך משה</v>
      </c>
    </row>
    <row r="6696" spans="1:6" x14ac:dyDescent="0.2">
      <c r="A6696" t="s">
        <v>12021</v>
      </c>
      <c r="B6696" t="s">
        <v>12023</v>
      </c>
      <c r="C6696" t="s">
        <v>12024</v>
      </c>
      <c r="D6696" t="s">
        <v>212</v>
      </c>
      <c r="E6696" t="s">
        <v>345</v>
      </c>
      <c r="F6696" s="2" t="str">
        <f>HYPERLINK("http://www.otzar.org/book.asp?17363","ברך משה")</f>
        <v>ברך משה</v>
      </c>
    </row>
    <row r="6697" spans="1:6" x14ac:dyDescent="0.2">
      <c r="A6697" t="s">
        <v>12025</v>
      </c>
      <c r="B6697" t="s">
        <v>12026</v>
      </c>
      <c r="C6697" t="s">
        <v>129</v>
      </c>
      <c r="D6697" t="s">
        <v>412</v>
      </c>
      <c r="E6697" t="s">
        <v>158</v>
      </c>
      <c r="F6697" s="2" t="str">
        <f>HYPERLINK("http://www.otzar.org/book.asp?155864","ברך משה - 10 כר'")</f>
        <v>ברך משה - 10 כר'</v>
      </c>
    </row>
    <row r="6698" spans="1:6" x14ac:dyDescent="0.2">
      <c r="A6698" t="s">
        <v>12021</v>
      </c>
      <c r="B6698" t="s">
        <v>12027</v>
      </c>
      <c r="C6698" t="s">
        <v>411</v>
      </c>
      <c r="D6698" t="s">
        <v>52</v>
      </c>
      <c r="E6698" t="s">
        <v>144</v>
      </c>
      <c r="F6698" s="2" t="str">
        <f>HYPERLINK("http://www.otzar.org/book.asp?173667","ברך משה")</f>
        <v>ברך משה</v>
      </c>
    </row>
    <row r="6699" spans="1:6" x14ac:dyDescent="0.2">
      <c r="A6699" t="s">
        <v>12021</v>
      </c>
      <c r="B6699" t="s">
        <v>12028</v>
      </c>
      <c r="C6699" t="s">
        <v>523</v>
      </c>
      <c r="D6699" t="s">
        <v>52</v>
      </c>
      <c r="E6699" t="s">
        <v>144</v>
      </c>
      <c r="F6699" s="2" t="str">
        <f>HYPERLINK("http://www.otzar.org/book.asp?143463","ברך משה")</f>
        <v>ברך משה</v>
      </c>
    </row>
    <row r="6700" spans="1:6" x14ac:dyDescent="0.2">
      <c r="A6700" t="s">
        <v>12029</v>
      </c>
      <c r="B6700" t="s">
        <v>12030</v>
      </c>
      <c r="C6700" t="s">
        <v>466</v>
      </c>
      <c r="D6700" t="s">
        <v>14</v>
      </c>
      <c r="E6700" t="s">
        <v>15</v>
      </c>
      <c r="F6700" s="2" t="str">
        <f>HYPERLINK("http://www.otzar.org/book.asp?158377","ברכה אחרונה")</f>
        <v>ברכה אחרונה</v>
      </c>
    </row>
    <row r="6701" spans="1:6" x14ac:dyDescent="0.2">
      <c r="A6701" t="s">
        <v>12029</v>
      </c>
      <c r="B6701" t="s">
        <v>12031</v>
      </c>
      <c r="C6701" t="s">
        <v>1954</v>
      </c>
      <c r="D6701" t="s">
        <v>52</v>
      </c>
      <c r="E6701" t="s">
        <v>15</v>
      </c>
      <c r="F6701" s="2" t="str">
        <f>HYPERLINK("http://www.otzar.org/book.asp?145139","ברכה אחרונה")</f>
        <v>ברכה אחרונה</v>
      </c>
    </row>
    <row r="6702" spans="1:6" x14ac:dyDescent="0.2">
      <c r="A6702" t="s">
        <v>12032</v>
      </c>
      <c r="B6702" t="s">
        <v>12033</v>
      </c>
      <c r="C6702" t="s">
        <v>270</v>
      </c>
      <c r="D6702" t="s">
        <v>267</v>
      </c>
      <c r="E6702" t="s">
        <v>786</v>
      </c>
      <c r="F6702" s="2" t="str">
        <f>HYPERLINK("http://www.otzar.org/book.asp?51674","ברכה המשולשת - &lt;מקור הברכה&gt;")</f>
        <v>ברכה המשולשת - &lt;מקור הברכה&gt;</v>
      </c>
    </row>
    <row r="6703" spans="1:6" x14ac:dyDescent="0.2">
      <c r="A6703" t="s">
        <v>12034</v>
      </c>
      <c r="B6703" t="s">
        <v>12035</v>
      </c>
      <c r="C6703" t="s">
        <v>12036</v>
      </c>
      <c r="D6703" t="s">
        <v>267</v>
      </c>
      <c r="F6703" s="2" t="str">
        <f>HYPERLINK("http://www.otzar.org/book.asp?151504","ברכה והצלחה")</f>
        <v>ברכה והצלחה</v>
      </c>
    </row>
    <row r="6704" spans="1:6" x14ac:dyDescent="0.2">
      <c r="A6704" t="s">
        <v>12037</v>
      </c>
      <c r="B6704" t="s">
        <v>12038</v>
      </c>
      <c r="C6704" t="s">
        <v>1650</v>
      </c>
      <c r="D6704" t="s">
        <v>12039</v>
      </c>
      <c r="E6704" t="s">
        <v>219</v>
      </c>
      <c r="F6704" s="2" t="str">
        <f>HYPERLINK("http://www.otzar.org/book.asp?196025","ברכה וישועה")</f>
        <v>ברכה וישועה</v>
      </c>
    </row>
    <row r="6705" spans="1:6" x14ac:dyDescent="0.2">
      <c r="A6705" t="s">
        <v>12040</v>
      </c>
      <c r="B6705" t="s">
        <v>11996</v>
      </c>
      <c r="C6705" t="s">
        <v>454</v>
      </c>
      <c r="D6705" t="s">
        <v>486</v>
      </c>
      <c r="E6705" t="s">
        <v>241</v>
      </c>
      <c r="F6705" s="2" t="str">
        <f>HYPERLINK("http://www.otzar.org/book.asp?155690","ברכה ושלום - 2 כר'")</f>
        <v>ברכה ושלום - 2 כר'</v>
      </c>
    </row>
    <row r="6706" spans="1:6" x14ac:dyDescent="0.2">
      <c r="A6706" t="s">
        <v>12041</v>
      </c>
      <c r="B6706" t="s">
        <v>12042</v>
      </c>
      <c r="C6706" t="s">
        <v>313</v>
      </c>
      <c r="D6706" t="s">
        <v>52</v>
      </c>
      <c r="E6706" t="s">
        <v>15</v>
      </c>
      <c r="F6706" s="2" t="str">
        <f>HYPERLINK("http://www.otzar.org/book.asp?149750","ברכה כהלכה - 2 כר'")</f>
        <v>ברכה כהלכה - 2 כר'</v>
      </c>
    </row>
    <row r="6707" spans="1:6" x14ac:dyDescent="0.2">
      <c r="A6707" t="s">
        <v>12043</v>
      </c>
      <c r="B6707" t="s">
        <v>12044</v>
      </c>
      <c r="C6707" t="s">
        <v>23</v>
      </c>
      <c r="D6707" t="s">
        <v>486</v>
      </c>
      <c r="E6707" t="s">
        <v>148</v>
      </c>
      <c r="F6707" s="2" t="str">
        <f>HYPERLINK("http://www.otzar.org/book.asp?194055","ברכה כהלכתה")</f>
        <v>ברכה כהלכתה</v>
      </c>
    </row>
    <row r="6708" spans="1:6" x14ac:dyDescent="0.2">
      <c r="A6708" t="s">
        <v>12045</v>
      </c>
      <c r="B6708" t="s">
        <v>7108</v>
      </c>
      <c r="C6708" t="s">
        <v>13</v>
      </c>
      <c r="D6708" t="s">
        <v>14</v>
      </c>
      <c r="E6708" t="s">
        <v>2091</v>
      </c>
      <c r="F6708" s="2" t="str">
        <f>HYPERLINK("http://www.otzar.org/book.asp?63808","ברכה לאברהם")</f>
        <v>ברכה לאברהם</v>
      </c>
    </row>
    <row r="6709" spans="1:6" x14ac:dyDescent="0.2">
      <c r="A6709" t="s">
        <v>12046</v>
      </c>
      <c r="B6709" t="s">
        <v>12047</v>
      </c>
      <c r="C6709" t="s">
        <v>482</v>
      </c>
      <c r="D6709" t="s">
        <v>27</v>
      </c>
      <c r="E6709" t="s">
        <v>15</v>
      </c>
      <c r="F6709" s="2" t="str">
        <f>HYPERLINK("http://www.otzar.org/book.asp?5449","ברכה לחיים")</f>
        <v>ברכה לחיים</v>
      </c>
    </row>
    <row r="6710" spans="1:6" x14ac:dyDescent="0.2">
      <c r="A6710" t="s">
        <v>12048</v>
      </c>
      <c r="B6710" t="s">
        <v>12049</v>
      </c>
      <c r="C6710" t="s">
        <v>111</v>
      </c>
      <c r="D6710" t="s">
        <v>90</v>
      </c>
      <c r="E6710" t="s">
        <v>144</v>
      </c>
      <c r="F6710" s="2" t="str">
        <f>HYPERLINK("http://www.otzar.org/book.asp?630299","ברכה לישראל - מסכת שבועות")</f>
        <v>ברכה לישראל - מסכת שבועות</v>
      </c>
    </row>
    <row r="6711" spans="1:6" x14ac:dyDescent="0.2">
      <c r="A6711" t="s">
        <v>12050</v>
      </c>
      <c r="B6711" t="s">
        <v>12051</v>
      </c>
      <c r="C6711" t="s">
        <v>619</v>
      </c>
      <c r="D6711" t="s">
        <v>12052</v>
      </c>
      <c r="E6711" t="s">
        <v>15</v>
      </c>
      <c r="F6711" s="2" t="str">
        <f>HYPERLINK("http://www.otzar.org/book.asp?188672","ברכה לישראל")</f>
        <v>ברכה לישראל</v>
      </c>
    </row>
    <row r="6712" spans="1:6" x14ac:dyDescent="0.2">
      <c r="A6712" t="s">
        <v>12053</v>
      </c>
      <c r="B6712" t="s">
        <v>12054</v>
      </c>
      <c r="C6712" t="s">
        <v>1246</v>
      </c>
      <c r="D6712" t="s">
        <v>3293</v>
      </c>
      <c r="E6712" t="s">
        <v>202</v>
      </c>
      <c r="F6712" s="2" t="str">
        <f>HYPERLINK("http://www.otzar.org/book.asp?17364","ברכה למנחם")</f>
        <v>ברכה למנחם</v>
      </c>
    </row>
    <row r="6713" spans="1:6" x14ac:dyDescent="0.2">
      <c r="A6713" t="s">
        <v>12055</v>
      </c>
      <c r="B6713" t="s">
        <v>4617</v>
      </c>
      <c r="C6713" t="s">
        <v>550</v>
      </c>
      <c r="D6713" t="s">
        <v>283</v>
      </c>
      <c r="E6713" t="s">
        <v>2533</v>
      </c>
      <c r="F6713" s="2" t="str">
        <f>HYPERLINK("http://www.otzar.org/book.asp?300598","ברכה לראש")</f>
        <v>ברכה לראש</v>
      </c>
    </row>
    <row r="6714" spans="1:6" x14ac:dyDescent="0.2">
      <c r="A6714" t="s">
        <v>12056</v>
      </c>
      <c r="B6714" t="s">
        <v>12057</v>
      </c>
      <c r="C6714" t="s">
        <v>286</v>
      </c>
      <c r="D6714" t="s">
        <v>6238</v>
      </c>
      <c r="E6714" t="s">
        <v>3516</v>
      </c>
      <c r="F6714" s="2" t="str">
        <f>HYPERLINK("http://www.otzar.org/book.asp?300606","ברכה מעין שלש")</f>
        <v>ברכה מעין שלש</v>
      </c>
    </row>
    <row r="6715" spans="1:6" x14ac:dyDescent="0.2">
      <c r="A6715" t="s">
        <v>12058</v>
      </c>
      <c r="B6715" t="s">
        <v>12059</v>
      </c>
      <c r="C6715" t="s">
        <v>854</v>
      </c>
      <c r="D6715" t="s">
        <v>1419</v>
      </c>
      <c r="E6715" t="s">
        <v>154</v>
      </c>
      <c r="F6715" s="2" t="str">
        <f>HYPERLINK("http://www.otzar.org/book.asp?101689","ברכה מציון - 2 כר'")</f>
        <v>ברכה מציון - 2 כר'</v>
      </c>
    </row>
    <row r="6716" spans="1:6" x14ac:dyDescent="0.2">
      <c r="A6716" t="s">
        <v>12060</v>
      </c>
      <c r="B6716" t="s">
        <v>12061</v>
      </c>
      <c r="C6716" t="s">
        <v>224</v>
      </c>
      <c r="D6716" t="s">
        <v>691</v>
      </c>
      <c r="E6716" t="s">
        <v>104</v>
      </c>
      <c r="F6716" s="2" t="str">
        <f>HYPERLINK("http://www.otzar.org/book.asp?104839","ברכה משולשת")</f>
        <v>ברכה משולשת</v>
      </c>
    </row>
    <row r="6717" spans="1:6" x14ac:dyDescent="0.2">
      <c r="A6717" t="s">
        <v>12060</v>
      </c>
      <c r="B6717" t="s">
        <v>2137</v>
      </c>
      <c r="C6717" t="s">
        <v>351</v>
      </c>
      <c r="D6717" t="s">
        <v>1422</v>
      </c>
      <c r="E6717" t="s">
        <v>4738</v>
      </c>
      <c r="F6717" s="2" t="str">
        <f>HYPERLINK("http://www.otzar.org/book.asp?108278","ברכה משולשת")</f>
        <v>ברכה משולשת</v>
      </c>
    </row>
    <row r="6718" spans="1:6" x14ac:dyDescent="0.2">
      <c r="A6718" t="s">
        <v>12060</v>
      </c>
      <c r="B6718" t="s">
        <v>12062</v>
      </c>
      <c r="C6718" t="s">
        <v>1169</v>
      </c>
      <c r="D6718" t="s">
        <v>563</v>
      </c>
      <c r="E6718" t="s">
        <v>230</v>
      </c>
      <c r="F6718" s="2" t="str">
        <f>HYPERLINK("http://www.otzar.org/book.asp?165942","ברכה משולשת")</f>
        <v>ברכה משולשת</v>
      </c>
    </row>
    <row r="6719" spans="1:6" x14ac:dyDescent="0.2">
      <c r="A6719" t="s">
        <v>12060</v>
      </c>
      <c r="B6719" t="s">
        <v>3035</v>
      </c>
      <c r="C6719" t="s">
        <v>725</v>
      </c>
      <c r="D6719" t="s">
        <v>9224</v>
      </c>
      <c r="E6719" t="s">
        <v>733</v>
      </c>
      <c r="F6719" s="2" t="str">
        <f>HYPERLINK("http://www.otzar.org/book.asp?23709","ברכה משולשת")</f>
        <v>ברכה משולשת</v>
      </c>
    </row>
    <row r="6720" spans="1:6" x14ac:dyDescent="0.2">
      <c r="A6720" t="s">
        <v>12060</v>
      </c>
      <c r="B6720" t="s">
        <v>758</v>
      </c>
      <c r="C6720" t="s">
        <v>462</v>
      </c>
      <c r="D6720" t="s">
        <v>4269</v>
      </c>
      <c r="E6720" t="s">
        <v>674</v>
      </c>
      <c r="F6720" s="2" t="str">
        <f>HYPERLINK("http://www.otzar.org/book.asp?17365","ברכה משולשת")</f>
        <v>ברכה משולשת</v>
      </c>
    </row>
    <row r="6721" spans="1:6" x14ac:dyDescent="0.2">
      <c r="A6721" t="s">
        <v>12060</v>
      </c>
      <c r="B6721" t="s">
        <v>1264</v>
      </c>
      <c r="C6721" t="s">
        <v>748</v>
      </c>
      <c r="D6721" t="s">
        <v>855</v>
      </c>
      <c r="E6721" t="s">
        <v>12063</v>
      </c>
      <c r="F6721" s="2" t="str">
        <f>HYPERLINK("http://www.otzar.org/book.asp?9345","ברכה משולשת")</f>
        <v>ברכה משולשת</v>
      </c>
    </row>
    <row r="6722" spans="1:6" x14ac:dyDescent="0.2">
      <c r="A6722" t="s">
        <v>12064</v>
      </c>
      <c r="B6722" t="s">
        <v>12060</v>
      </c>
      <c r="C6722" t="s">
        <v>553</v>
      </c>
      <c r="D6722" t="s">
        <v>14</v>
      </c>
      <c r="E6722" t="s">
        <v>144</v>
      </c>
      <c r="F6722" s="2" t="str">
        <f>HYPERLINK("http://www.otzar.org/book.asp?153407","ברכה משלשת על מסכת ברכות &lt;סדר חדש&gt;")</f>
        <v>ברכה משלשת על מסכת ברכות &lt;סדר חדש&gt;</v>
      </c>
    </row>
    <row r="6723" spans="1:6" x14ac:dyDescent="0.2">
      <c r="A6723" t="s">
        <v>12065</v>
      </c>
      <c r="B6723" t="s">
        <v>12060</v>
      </c>
      <c r="C6723" t="s">
        <v>2617</v>
      </c>
      <c r="D6723" t="s">
        <v>283</v>
      </c>
      <c r="E6723" t="s">
        <v>2088</v>
      </c>
      <c r="F6723" s="2" t="str">
        <f>HYPERLINK("http://www.otzar.org/book.asp?5178","ברכה משלשת על מסכת ברכות")</f>
        <v>ברכה משלשת על מסכת ברכות</v>
      </c>
    </row>
    <row r="6724" spans="1:6" x14ac:dyDescent="0.2">
      <c r="A6724" t="s">
        <v>12066</v>
      </c>
      <c r="B6724" t="s">
        <v>12067</v>
      </c>
      <c r="C6724" t="s">
        <v>1374</v>
      </c>
      <c r="D6724" t="s">
        <v>287</v>
      </c>
      <c r="E6724" t="s">
        <v>1235</v>
      </c>
      <c r="F6724" s="2" t="str">
        <f>HYPERLINK("http://www.otzar.org/book.asp?21958","ברכה משלשת")</f>
        <v>ברכה משלשת</v>
      </c>
    </row>
    <row r="6725" spans="1:6" x14ac:dyDescent="0.2">
      <c r="A6725" t="s">
        <v>12068</v>
      </c>
      <c r="B6725" t="s">
        <v>12069</v>
      </c>
      <c r="C6725" t="s">
        <v>624</v>
      </c>
      <c r="D6725" t="s">
        <v>52</v>
      </c>
      <c r="E6725" t="s">
        <v>219</v>
      </c>
      <c r="F6725" s="2" t="str">
        <f>HYPERLINK("http://www.otzar.org/book.asp?61572","ברכה נאמנה - ביאורים על נוסח ""אני מאמין""")</f>
        <v>ברכה נאמנה - ביאורים על נוסח "אני מאמין"</v>
      </c>
    </row>
    <row r="6726" spans="1:6" x14ac:dyDescent="0.2">
      <c r="A6726" t="s">
        <v>12070</v>
      </c>
      <c r="B6726" t="s">
        <v>12071</v>
      </c>
      <c r="C6726" t="s">
        <v>37</v>
      </c>
      <c r="D6726" t="s">
        <v>2375</v>
      </c>
      <c r="F6726" s="2" t="str">
        <f>HYPERLINK("http://www.otzar.org/book.asp?618834","ברכה נאמנה")</f>
        <v>ברכה נאמנה</v>
      </c>
    </row>
    <row r="6727" spans="1:6" x14ac:dyDescent="0.2">
      <c r="A6727" t="s">
        <v>12072</v>
      </c>
      <c r="B6727" t="s">
        <v>9730</v>
      </c>
      <c r="C6727" t="s">
        <v>506</v>
      </c>
      <c r="D6727" t="s">
        <v>1117</v>
      </c>
      <c r="E6727" t="s">
        <v>140</v>
      </c>
      <c r="F6727" s="2" t="str">
        <f>HYPERLINK("http://www.otzar.org/book.asp?7608","ברכה שלמה")</f>
        <v>ברכה שלמה</v>
      </c>
    </row>
    <row r="6728" spans="1:6" x14ac:dyDescent="0.2">
      <c r="A6728" t="s">
        <v>12072</v>
      </c>
      <c r="B6728" t="s">
        <v>12073</v>
      </c>
      <c r="C6728" t="s">
        <v>411</v>
      </c>
      <c r="D6728" t="s">
        <v>14</v>
      </c>
      <c r="F6728" s="2" t="str">
        <f>HYPERLINK("http://www.otzar.org/book.asp?85856","ברכה שלמה")</f>
        <v>ברכה שלמה</v>
      </c>
    </row>
    <row r="6729" spans="1:6" x14ac:dyDescent="0.2">
      <c r="A6729" t="s">
        <v>12074</v>
      </c>
      <c r="B6729" t="s">
        <v>12075</v>
      </c>
      <c r="C6729" t="s">
        <v>244</v>
      </c>
      <c r="D6729" t="s">
        <v>152</v>
      </c>
      <c r="E6729" t="s">
        <v>144</v>
      </c>
      <c r="F6729" s="2" t="str">
        <f>HYPERLINK("http://www.otzar.org/book.asp?629485","ברכו שמו")</f>
        <v>ברכו שמו</v>
      </c>
    </row>
    <row r="6730" spans="1:6" x14ac:dyDescent="0.2">
      <c r="A6730" t="s">
        <v>12076</v>
      </c>
      <c r="B6730" t="s">
        <v>12077</v>
      </c>
      <c r="C6730" t="s">
        <v>176</v>
      </c>
      <c r="D6730" t="s">
        <v>14</v>
      </c>
      <c r="E6730" t="s">
        <v>2071</v>
      </c>
      <c r="F6730" s="2" t="str">
        <f>HYPERLINK("http://www.otzar.org/book.asp?146428","ברכות אבי")</f>
        <v>ברכות אבי</v>
      </c>
    </row>
    <row r="6731" spans="1:6" x14ac:dyDescent="0.2">
      <c r="A6731" t="s">
        <v>12078</v>
      </c>
      <c r="B6731" t="s">
        <v>12079</v>
      </c>
      <c r="C6731" t="s">
        <v>244</v>
      </c>
      <c r="D6731" t="s">
        <v>14</v>
      </c>
      <c r="F6731" s="2" t="str">
        <f>HYPERLINK("http://www.otzar.org/book.asp?609616","ברכות אברך")</f>
        <v>ברכות אברך</v>
      </c>
    </row>
    <row r="6732" spans="1:6" x14ac:dyDescent="0.2">
      <c r="A6732" t="s">
        <v>12080</v>
      </c>
      <c r="B6732" t="s">
        <v>12081</v>
      </c>
      <c r="C6732" t="s">
        <v>244</v>
      </c>
      <c r="D6732" t="s">
        <v>14</v>
      </c>
      <c r="E6732" t="s">
        <v>144</v>
      </c>
      <c r="F6732" s="2" t="str">
        <f>HYPERLINK("http://www.otzar.org/book.asp?622125","ברכות איש - ברכות")</f>
        <v>ברכות איש - ברכות</v>
      </c>
    </row>
    <row r="6733" spans="1:6" x14ac:dyDescent="0.2">
      <c r="A6733" t="s">
        <v>12082</v>
      </c>
      <c r="B6733" t="s">
        <v>12083</v>
      </c>
      <c r="C6733" t="s">
        <v>366</v>
      </c>
      <c r="D6733" t="s">
        <v>14</v>
      </c>
      <c r="F6733" s="2" t="str">
        <f>HYPERLINK("http://www.otzar.org/book.asp?622775","ברכות בחשבון - 2 כר'")</f>
        <v>ברכות בחשבון - 2 כר'</v>
      </c>
    </row>
    <row r="6734" spans="1:6" x14ac:dyDescent="0.2">
      <c r="A6734" t="s">
        <v>12084</v>
      </c>
      <c r="B6734" t="s">
        <v>12085</v>
      </c>
      <c r="C6734" t="s">
        <v>454</v>
      </c>
      <c r="D6734" t="s">
        <v>1550</v>
      </c>
      <c r="E6734" t="s">
        <v>241</v>
      </c>
      <c r="F6734" s="2" t="str">
        <f>HYPERLINK("http://www.otzar.org/book.asp?83749","ברכות בחשבון")</f>
        <v>ברכות בחשבון</v>
      </c>
    </row>
    <row r="6735" spans="1:6" x14ac:dyDescent="0.2">
      <c r="A6735" t="s">
        <v>12086</v>
      </c>
      <c r="B6735" t="s">
        <v>12087</v>
      </c>
      <c r="C6735" t="s">
        <v>12088</v>
      </c>
      <c r="D6735" t="s">
        <v>27</v>
      </c>
      <c r="E6735" t="s">
        <v>12089</v>
      </c>
      <c r="F6735" s="2" t="str">
        <f>HYPERLINK("http://www.otzar.org/book.asp?106840","ברכות ברכה אחרונה על המחיה")</f>
        <v>ברכות ברכה אחרונה על המחיה</v>
      </c>
    </row>
    <row r="6736" spans="1:6" x14ac:dyDescent="0.2">
      <c r="A6736" t="s">
        <v>12090</v>
      </c>
      <c r="B6736" t="s">
        <v>12091</v>
      </c>
      <c r="E6736" t="s">
        <v>144</v>
      </c>
      <c r="F6736" s="2" t="str">
        <f>HYPERLINK("http://www.otzar.org/book.asp?627732","ברכות הורי - ברכות")</f>
        <v>ברכות הורי - ברכות</v>
      </c>
    </row>
    <row r="6737" spans="1:6" x14ac:dyDescent="0.2">
      <c r="A6737" t="s">
        <v>12092</v>
      </c>
      <c r="B6737" t="s">
        <v>6333</v>
      </c>
      <c r="C6737" t="s">
        <v>334</v>
      </c>
      <c r="D6737" t="s">
        <v>52</v>
      </c>
      <c r="E6737" t="s">
        <v>15</v>
      </c>
      <c r="F6737" s="2" t="str">
        <f>HYPERLINK("http://www.otzar.org/book.asp?191722","ברכות החיים")</f>
        <v>ברכות החיים</v>
      </c>
    </row>
    <row r="6738" spans="1:6" x14ac:dyDescent="0.2">
      <c r="A6738" t="s">
        <v>12092</v>
      </c>
      <c r="B6738" t="s">
        <v>6335</v>
      </c>
      <c r="C6738" t="s">
        <v>1448</v>
      </c>
      <c r="D6738" t="s">
        <v>14</v>
      </c>
      <c r="E6738" t="s">
        <v>24</v>
      </c>
      <c r="F6738" s="2" t="str">
        <f>HYPERLINK("http://www.otzar.org/book.asp?144638","ברכות החיים")</f>
        <v>ברכות החיים</v>
      </c>
    </row>
    <row r="6739" spans="1:6" x14ac:dyDescent="0.2">
      <c r="A6739" t="s">
        <v>12093</v>
      </c>
      <c r="B6739" t="s">
        <v>12094</v>
      </c>
      <c r="C6739" t="s">
        <v>383</v>
      </c>
      <c r="D6739" t="s">
        <v>486</v>
      </c>
      <c r="E6739" t="s">
        <v>674</v>
      </c>
      <c r="F6739" s="2" t="str">
        <f>HYPERLINK("http://www.otzar.org/book.asp?53236","ברכות המצוות כתיקונן")</f>
        <v>ברכות המצוות כתיקונן</v>
      </c>
    </row>
    <row r="6740" spans="1:6" x14ac:dyDescent="0.2">
      <c r="A6740" t="s">
        <v>12095</v>
      </c>
      <c r="B6740" t="s">
        <v>12096</v>
      </c>
      <c r="C6740" t="s">
        <v>454</v>
      </c>
      <c r="D6740" t="s">
        <v>412</v>
      </c>
      <c r="E6740" t="s">
        <v>246</v>
      </c>
      <c r="F6740" s="2" t="str">
        <f>HYPERLINK("http://www.otzar.org/book.asp?23899","ברכות הפסח")</f>
        <v>ברכות הפסח</v>
      </c>
    </row>
    <row r="6741" spans="1:6" x14ac:dyDescent="0.2">
      <c r="A6741" t="s">
        <v>12097</v>
      </c>
      <c r="B6741" t="s">
        <v>12098</v>
      </c>
      <c r="C6741" t="s">
        <v>129</v>
      </c>
      <c r="D6741" t="s">
        <v>52</v>
      </c>
      <c r="E6741" t="s">
        <v>219</v>
      </c>
      <c r="F6741" s="2" t="str">
        <f>HYPERLINK("http://www.otzar.org/book.asp?85430","ברכות התפילה")</f>
        <v>ברכות התפילה</v>
      </c>
    </row>
    <row r="6742" spans="1:6" x14ac:dyDescent="0.2">
      <c r="A6742" t="s">
        <v>12099</v>
      </c>
      <c r="B6742" t="s">
        <v>6428</v>
      </c>
      <c r="C6742" t="s">
        <v>422</v>
      </c>
      <c r="D6742" t="s">
        <v>412</v>
      </c>
      <c r="E6742" t="s">
        <v>24</v>
      </c>
      <c r="F6742" s="2" t="str">
        <f>HYPERLINK("http://www.otzar.org/book.asp?174671","ברכות והודאות")</f>
        <v>ברכות והודאות</v>
      </c>
    </row>
    <row r="6743" spans="1:6" x14ac:dyDescent="0.2">
      <c r="A6743" t="s">
        <v>12099</v>
      </c>
      <c r="B6743" t="s">
        <v>12100</v>
      </c>
      <c r="C6743" t="s">
        <v>12101</v>
      </c>
      <c r="D6743" t="s">
        <v>6214</v>
      </c>
      <c r="E6743" t="s">
        <v>714</v>
      </c>
      <c r="F6743" s="2" t="str">
        <f>HYPERLINK("http://www.otzar.org/book.asp?625982","ברכות והודאות")</f>
        <v>ברכות והודאות</v>
      </c>
    </row>
    <row r="6744" spans="1:6" x14ac:dyDescent="0.2">
      <c r="A6744" t="s">
        <v>12102</v>
      </c>
      <c r="B6744" t="s">
        <v>12103</v>
      </c>
      <c r="C6744" t="s">
        <v>332</v>
      </c>
      <c r="D6744" t="s">
        <v>14</v>
      </c>
      <c r="E6744" t="s">
        <v>144</v>
      </c>
      <c r="F6744" s="2" t="str">
        <f>HYPERLINK("http://www.otzar.org/book.asp?163040","ברכות חיים")</f>
        <v>ברכות חיים</v>
      </c>
    </row>
    <row r="6745" spans="1:6" x14ac:dyDescent="0.2">
      <c r="A6745" t="s">
        <v>12102</v>
      </c>
      <c r="B6745" t="s">
        <v>12104</v>
      </c>
      <c r="C6745" t="s">
        <v>5823</v>
      </c>
      <c r="D6745" t="s">
        <v>4269</v>
      </c>
      <c r="E6745" t="s">
        <v>3261</v>
      </c>
      <c r="F6745" s="2" t="str">
        <f>HYPERLINK("http://www.otzar.org/book.asp?479","ברכות חיים")</f>
        <v>ברכות חיים</v>
      </c>
    </row>
    <row r="6746" spans="1:6" x14ac:dyDescent="0.2">
      <c r="A6746" t="s">
        <v>12105</v>
      </c>
      <c r="B6746" t="s">
        <v>12106</v>
      </c>
      <c r="C6746" t="s">
        <v>422</v>
      </c>
      <c r="D6746" t="s">
        <v>14</v>
      </c>
      <c r="E6746" t="s">
        <v>130</v>
      </c>
      <c r="F6746" s="2" t="str">
        <f>HYPERLINK("http://www.otzar.org/book.asp?62680","ברכות טוב")</f>
        <v>ברכות טוב</v>
      </c>
    </row>
    <row r="6747" spans="1:6" x14ac:dyDescent="0.2">
      <c r="A6747" t="s">
        <v>12107</v>
      </c>
      <c r="B6747" t="s">
        <v>9540</v>
      </c>
      <c r="C6747" t="s">
        <v>20</v>
      </c>
      <c r="D6747" t="s">
        <v>90</v>
      </c>
      <c r="E6747" t="s">
        <v>144</v>
      </c>
      <c r="F6747" s="2" t="str">
        <f>HYPERLINK("http://www.otzar.org/book.asp?626759","ברכות יעטה")</f>
        <v>ברכות יעטה</v>
      </c>
    </row>
    <row r="6748" spans="1:6" x14ac:dyDescent="0.2">
      <c r="A6748" t="s">
        <v>12108</v>
      </c>
      <c r="B6748" t="s">
        <v>12109</v>
      </c>
      <c r="C6748" t="s">
        <v>176</v>
      </c>
      <c r="D6748" t="s">
        <v>14</v>
      </c>
      <c r="E6748" t="s">
        <v>144</v>
      </c>
      <c r="F6748" s="2" t="str">
        <f>HYPERLINK("http://www.otzar.org/book.asp?179711","ברכות יצחק - ברכות")</f>
        <v>ברכות יצחק - ברכות</v>
      </c>
    </row>
    <row r="6749" spans="1:6" x14ac:dyDescent="0.2">
      <c r="A6749" t="s">
        <v>12110</v>
      </c>
      <c r="B6749" t="s">
        <v>4050</v>
      </c>
      <c r="C6749" t="s">
        <v>12111</v>
      </c>
      <c r="D6749" t="s">
        <v>225</v>
      </c>
      <c r="E6749" t="s">
        <v>148</v>
      </c>
      <c r="F6749" s="2" t="str">
        <f>HYPERLINK("http://www.otzar.org/book.asp?16033","ברכות ישראל")</f>
        <v>ברכות ישראל</v>
      </c>
    </row>
    <row r="6750" spans="1:6" x14ac:dyDescent="0.2">
      <c r="A6750" t="s">
        <v>12112</v>
      </c>
      <c r="B6750" t="s">
        <v>12113</v>
      </c>
      <c r="C6750" t="s">
        <v>313</v>
      </c>
      <c r="D6750" t="s">
        <v>14</v>
      </c>
      <c r="E6750" t="s">
        <v>144</v>
      </c>
      <c r="F6750" s="2" t="str">
        <f>HYPERLINK("http://www.otzar.org/book.asp?50557","ברכות ישרון")</f>
        <v>ברכות ישרון</v>
      </c>
    </row>
    <row r="6751" spans="1:6" x14ac:dyDescent="0.2">
      <c r="A6751" t="s">
        <v>12114</v>
      </c>
      <c r="B6751" t="s">
        <v>12115</v>
      </c>
      <c r="C6751" t="s">
        <v>445</v>
      </c>
      <c r="D6751" t="s">
        <v>307</v>
      </c>
      <c r="E6751" t="s">
        <v>140</v>
      </c>
      <c r="F6751" s="2" t="str">
        <f>HYPERLINK("http://www.otzar.org/book.asp?10629","ברכות לעד")</f>
        <v>ברכות לעד</v>
      </c>
    </row>
    <row r="6752" spans="1:6" x14ac:dyDescent="0.2">
      <c r="A6752" t="s">
        <v>12116</v>
      </c>
      <c r="B6752" t="s">
        <v>12117</v>
      </c>
      <c r="C6752" t="s">
        <v>775</v>
      </c>
      <c r="D6752" t="s">
        <v>52</v>
      </c>
      <c r="E6752" t="s">
        <v>15</v>
      </c>
      <c r="F6752" s="2" t="str">
        <f>HYPERLINK("http://www.otzar.org/book.asp?60665","ברכות לראש צדיק")</f>
        <v>ברכות לראש צדיק</v>
      </c>
    </row>
    <row r="6753" spans="1:6" x14ac:dyDescent="0.2">
      <c r="A6753" t="s">
        <v>12118</v>
      </c>
      <c r="B6753" t="s">
        <v>12119</v>
      </c>
      <c r="C6753" t="s">
        <v>23</v>
      </c>
      <c r="D6753" t="s">
        <v>2189</v>
      </c>
      <c r="F6753" s="2" t="str">
        <f>HYPERLINK("http://www.otzar.org/book.asp?619927","ברכות מים &lt;מהדורה חדשה&gt;")</f>
        <v>ברכות מים &lt;מהדורה חדשה&gt;</v>
      </c>
    </row>
    <row r="6754" spans="1:6" x14ac:dyDescent="0.2">
      <c r="A6754" t="s">
        <v>12120</v>
      </c>
      <c r="B6754" t="s">
        <v>12119</v>
      </c>
      <c r="C6754" t="s">
        <v>11383</v>
      </c>
      <c r="D6754" t="s">
        <v>76</v>
      </c>
      <c r="E6754" t="s">
        <v>15</v>
      </c>
      <c r="F6754" s="2" t="str">
        <f>HYPERLINK("http://www.otzar.org/book.asp?104082","ברכות מים")</f>
        <v>ברכות מים</v>
      </c>
    </row>
    <row r="6755" spans="1:6" x14ac:dyDescent="0.2">
      <c r="A6755" t="s">
        <v>12121</v>
      </c>
      <c r="B6755" t="s">
        <v>12122</v>
      </c>
      <c r="C6755" t="s">
        <v>550</v>
      </c>
      <c r="D6755" t="s">
        <v>56</v>
      </c>
      <c r="E6755" t="s">
        <v>219</v>
      </c>
      <c r="F6755" s="2" t="str">
        <f>HYPERLINK("http://www.otzar.org/book.asp?50873","ברכות מנחם")</f>
        <v>ברכות מנחם</v>
      </c>
    </row>
    <row r="6756" spans="1:6" x14ac:dyDescent="0.2">
      <c r="A6756" t="s">
        <v>12123</v>
      </c>
      <c r="B6756" t="s">
        <v>12124</v>
      </c>
      <c r="C6756" t="s">
        <v>20</v>
      </c>
      <c r="D6756" t="s">
        <v>90</v>
      </c>
      <c r="E6756" t="s">
        <v>219</v>
      </c>
      <c r="F6756" s="2" t="str">
        <f>HYPERLINK("http://www.otzar.org/book.asp?169738","ברכות מעין שלוש ומעין ארבע")</f>
        <v>ברכות מעין שלוש ומעין ארבע</v>
      </c>
    </row>
    <row r="6757" spans="1:6" x14ac:dyDescent="0.2">
      <c r="A6757" t="s">
        <v>12125</v>
      </c>
      <c r="B6757" t="s">
        <v>12126</v>
      </c>
      <c r="C6757" t="s">
        <v>454</v>
      </c>
      <c r="D6757" t="s">
        <v>152</v>
      </c>
      <c r="E6757" t="s">
        <v>144</v>
      </c>
      <c r="F6757" s="2" t="str">
        <f>HYPERLINK("http://www.otzar.org/book.asp?28157","ברכות משה - 2 כר'")</f>
        <v>ברכות משה - 2 כר'</v>
      </c>
    </row>
    <row r="6758" spans="1:6" x14ac:dyDescent="0.2">
      <c r="A6758" t="s">
        <v>12127</v>
      </c>
      <c r="B6758" t="s">
        <v>12128</v>
      </c>
      <c r="C6758" t="s">
        <v>180</v>
      </c>
      <c r="D6758" t="s">
        <v>14</v>
      </c>
      <c r="E6758" t="s">
        <v>158</v>
      </c>
      <c r="F6758" s="2" t="str">
        <f>HYPERLINK("http://www.otzar.org/book.asp?105299","ברכות משה - 3 כר'")</f>
        <v>ברכות משה - 3 כר'</v>
      </c>
    </row>
    <row r="6759" spans="1:6" x14ac:dyDescent="0.2">
      <c r="A6759" t="s">
        <v>12129</v>
      </c>
      <c r="B6759" t="s">
        <v>12130</v>
      </c>
      <c r="C6759" t="s">
        <v>71</v>
      </c>
      <c r="D6759" t="s">
        <v>52</v>
      </c>
      <c r="E6759" t="s">
        <v>2533</v>
      </c>
      <c r="F6759" s="2" t="str">
        <f>HYPERLINK("http://www.otzar.org/book.asp?196602","ברכות ראש - 2 כר'")</f>
        <v>ברכות ראש - 2 כר'</v>
      </c>
    </row>
    <row r="6760" spans="1:6" x14ac:dyDescent="0.2">
      <c r="A6760" t="s">
        <v>12131</v>
      </c>
      <c r="B6760" t="s">
        <v>12132</v>
      </c>
      <c r="C6760" t="s">
        <v>1268</v>
      </c>
      <c r="D6760" t="s">
        <v>14</v>
      </c>
      <c r="E6760" t="s">
        <v>230</v>
      </c>
      <c r="F6760" s="2" t="str">
        <f>HYPERLINK("http://www.otzar.org/book.asp?165425","ברכות שמואל")</f>
        <v>ברכות שמואל</v>
      </c>
    </row>
    <row r="6761" spans="1:6" x14ac:dyDescent="0.2">
      <c r="A6761" t="s">
        <v>12133</v>
      </c>
      <c r="B6761" t="s">
        <v>12038</v>
      </c>
      <c r="C6761" t="s">
        <v>3106</v>
      </c>
      <c r="D6761" t="s">
        <v>27</v>
      </c>
      <c r="E6761" t="s">
        <v>24</v>
      </c>
      <c r="F6761" s="2" t="str">
        <f>HYPERLINK("http://www.otzar.org/book.asp?148743","ברכות שמים מעל")</f>
        <v>ברכות שמים מעל</v>
      </c>
    </row>
    <row r="6762" spans="1:6" x14ac:dyDescent="0.2">
      <c r="A6762" t="s">
        <v>12134</v>
      </c>
      <c r="B6762" t="s">
        <v>12135</v>
      </c>
      <c r="C6762" t="s">
        <v>422</v>
      </c>
      <c r="D6762" t="s">
        <v>412</v>
      </c>
      <c r="E6762" t="s">
        <v>144</v>
      </c>
      <c r="F6762" s="2" t="str">
        <f>HYPERLINK("http://www.otzar.org/book.asp?167682","ברכות שמים - 9 כר'")</f>
        <v>ברכות שמים - 9 כר'</v>
      </c>
    </row>
    <row r="6763" spans="1:6" x14ac:dyDescent="0.2">
      <c r="A6763" t="s">
        <v>12136</v>
      </c>
      <c r="B6763" t="s">
        <v>12038</v>
      </c>
      <c r="C6763" t="s">
        <v>160</v>
      </c>
      <c r="D6763" t="s">
        <v>27</v>
      </c>
      <c r="E6763" t="s">
        <v>104</v>
      </c>
      <c r="F6763" s="2" t="str">
        <f>HYPERLINK("http://www.otzar.org/book.asp?25865","ברכות שמים - 3 כר'")</f>
        <v>ברכות שמים - 3 כר'</v>
      </c>
    </row>
    <row r="6764" spans="1:6" x14ac:dyDescent="0.2">
      <c r="A6764" t="s">
        <v>12137</v>
      </c>
      <c r="B6764" t="s">
        <v>1308</v>
      </c>
      <c r="C6764" t="s">
        <v>800</v>
      </c>
      <c r="D6764" t="s">
        <v>535</v>
      </c>
      <c r="E6764" t="s">
        <v>172</v>
      </c>
      <c r="F6764" s="2" t="str">
        <f>HYPERLINK("http://www.otzar.org/book.asp?108438","ברכי יוסף - 13 כר'")</f>
        <v>ברכי יוסף - 13 כר'</v>
      </c>
    </row>
    <row r="6765" spans="1:6" x14ac:dyDescent="0.2">
      <c r="A6765" t="s">
        <v>12138</v>
      </c>
      <c r="B6765" t="s">
        <v>3166</v>
      </c>
      <c r="C6765" t="s">
        <v>143</v>
      </c>
      <c r="D6765" t="s">
        <v>14</v>
      </c>
      <c r="E6765" t="s">
        <v>104</v>
      </c>
      <c r="F6765" s="2" t="str">
        <f>HYPERLINK("http://www.otzar.org/book.asp?200284","ברכי נפשי - א ב")</f>
        <v>ברכי נפשי - א ב</v>
      </c>
    </row>
    <row r="6766" spans="1:6" x14ac:dyDescent="0.2">
      <c r="A6766" t="s">
        <v>12139</v>
      </c>
      <c r="B6766" t="s">
        <v>8405</v>
      </c>
      <c r="C6766" t="s">
        <v>506</v>
      </c>
      <c r="D6766" t="s">
        <v>30</v>
      </c>
      <c r="E6766" t="s">
        <v>158</v>
      </c>
      <c r="F6766" s="2" t="str">
        <f>HYPERLINK("http://www.otzar.org/book.asp?147983","ברכי נפשי")</f>
        <v>ברכי נפשי</v>
      </c>
    </row>
    <row r="6767" spans="1:6" x14ac:dyDescent="0.2">
      <c r="A6767" t="s">
        <v>12140</v>
      </c>
      <c r="B6767" t="s">
        <v>7232</v>
      </c>
      <c r="C6767" t="s">
        <v>411</v>
      </c>
      <c r="D6767" t="s">
        <v>152</v>
      </c>
      <c r="E6767" t="s">
        <v>15</v>
      </c>
      <c r="F6767" s="2" t="str">
        <f>HYPERLINK("http://www.otzar.org/book.asp?622691","ברכת אב - 4 כר'")</f>
        <v>ברכת אב - 4 כר'</v>
      </c>
    </row>
    <row r="6768" spans="1:6" x14ac:dyDescent="0.2">
      <c r="A6768" t="s">
        <v>12141</v>
      </c>
      <c r="B6768" t="s">
        <v>12142</v>
      </c>
      <c r="C6768" t="s">
        <v>23</v>
      </c>
      <c r="D6768" t="s">
        <v>12143</v>
      </c>
      <c r="E6768" t="s">
        <v>144</v>
      </c>
      <c r="F6768" s="2" t="str">
        <f>HYPERLINK("http://www.otzar.org/book.asp?186839","ברכת אב - כיצד מברכין")</f>
        <v>ברכת אב - כיצד מברכין</v>
      </c>
    </row>
    <row r="6769" spans="1:6" x14ac:dyDescent="0.2">
      <c r="A6769" t="s">
        <v>12144</v>
      </c>
      <c r="B6769" t="s">
        <v>12145</v>
      </c>
      <c r="C6769" t="s">
        <v>466</v>
      </c>
      <c r="D6769" t="s">
        <v>52</v>
      </c>
      <c r="E6769" t="s">
        <v>158</v>
      </c>
      <c r="F6769" s="2" t="str">
        <f>HYPERLINK("http://www.otzar.org/book.asp?164003","ברכת אב")</f>
        <v>ברכת אב</v>
      </c>
    </row>
    <row r="6770" spans="1:6" x14ac:dyDescent="0.2">
      <c r="A6770" t="s">
        <v>12146</v>
      </c>
      <c r="B6770" t="s">
        <v>552</v>
      </c>
      <c r="C6770" t="s">
        <v>13</v>
      </c>
      <c r="D6770" t="s">
        <v>14</v>
      </c>
      <c r="E6770" t="s">
        <v>202</v>
      </c>
      <c r="F6770" s="2" t="str">
        <f>HYPERLINK("http://www.otzar.org/book.asp?159070","ברכת אבא יעקב")</f>
        <v>ברכת אבא יעקב</v>
      </c>
    </row>
    <row r="6771" spans="1:6" x14ac:dyDescent="0.2">
      <c r="A6771" t="s">
        <v>12147</v>
      </c>
      <c r="B6771" t="s">
        <v>12148</v>
      </c>
      <c r="C6771" t="s">
        <v>950</v>
      </c>
      <c r="D6771" t="s">
        <v>212</v>
      </c>
      <c r="E6771" t="s">
        <v>84</v>
      </c>
      <c r="F6771" s="2" t="str">
        <f>HYPERLINK("http://www.otzar.org/book.asp?172478","ברכת אבות")</f>
        <v>ברכת אבות</v>
      </c>
    </row>
    <row r="6772" spans="1:6" x14ac:dyDescent="0.2">
      <c r="A6772" t="s">
        <v>12147</v>
      </c>
      <c r="B6772" t="s">
        <v>12149</v>
      </c>
      <c r="C6772" t="s">
        <v>775</v>
      </c>
      <c r="D6772" t="s">
        <v>14</v>
      </c>
      <c r="E6772" t="s">
        <v>674</v>
      </c>
      <c r="F6772" s="2" t="str">
        <f>HYPERLINK("http://www.otzar.org/book.asp?50208","ברכת אבות")</f>
        <v>ברכת אבות</v>
      </c>
    </row>
    <row r="6773" spans="1:6" x14ac:dyDescent="0.2">
      <c r="A6773" t="s">
        <v>12147</v>
      </c>
      <c r="B6773" t="s">
        <v>12150</v>
      </c>
      <c r="C6773" t="s">
        <v>609</v>
      </c>
      <c r="D6773" t="s">
        <v>27</v>
      </c>
      <c r="E6773" t="s">
        <v>219</v>
      </c>
      <c r="F6773" s="2" t="str">
        <f>HYPERLINK("http://www.otzar.org/book.asp?12983","ברכת אבות")</f>
        <v>ברכת אבות</v>
      </c>
    </row>
    <row r="6774" spans="1:6" x14ac:dyDescent="0.2">
      <c r="A6774" t="s">
        <v>12151</v>
      </c>
      <c r="B6774" t="s">
        <v>12152</v>
      </c>
      <c r="C6774" t="s">
        <v>366</v>
      </c>
      <c r="D6774" t="s">
        <v>152</v>
      </c>
      <c r="F6774" s="2" t="str">
        <f>HYPERLINK("http://www.otzar.org/book.asp?604908","ברכת אבי - 7 כר'")</f>
        <v>ברכת אבי - 7 כר'</v>
      </c>
    </row>
    <row r="6775" spans="1:6" x14ac:dyDescent="0.2">
      <c r="A6775" t="s">
        <v>12153</v>
      </c>
      <c r="B6775" t="s">
        <v>12154</v>
      </c>
      <c r="C6775" t="s">
        <v>189</v>
      </c>
      <c r="D6775" t="s">
        <v>14</v>
      </c>
      <c r="E6775" t="s">
        <v>15</v>
      </c>
      <c r="F6775" s="2" t="str">
        <f>HYPERLINK("http://www.otzar.org/book.asp?142157","ברכת אביב - 2 כר'")</f>
        <v>ברכת אביב - 2 כר'</v>
      </c>
    </row>
    <row r="6776" spans="1:6" x14ac:dyDescent="0.2">
      <c r="A6776" t="s">
        <v>12155</v>
      </c>
      <c r="B6776" t="s">
        <v>7920</v>
      </c>
      <c r="C6776" t="s">
        <v>767</v>
      </c>
      <c r="D6776" t="s">
        <v>14</v>
      </c>
      <c r="E6776" t="s">
        <v>144</v>
      </c>
      <c r="F6776" s="2" t="str">
        <f>HYPERLINK("http://www.otzar.org/book.asp?154295","ברכת אביגדר")</f>
        <v>ברכת אביגדר</v>
      </c>
    </row>
    <row r="6777" spans="1:6" x14ac:dyDescent="0.2">
      <c r="A6777" t="s">
        <v>12156</v>
      </c>
      <c r="B6777" t="s">
        <v>1909</v>
      </c>
      <c r="C6777" t="s">
        <v>68</v>
      </c>
      <c r="D6777" t="s">
        <v>486</v>
      </c>
      <c r="E6777" t="s">
        <v>158</v>
      </c>
      <c r="F6777" s="2" t="str">
        <f>HYPERLINK("http://www.otzar.org/book.asp?157511","ברכת אברהם &lt;עה""ת&gt; - 5 כר'")</f>
        <v>ברכת אברהם &lt;עה"ת&gt; - 5 כר'</v>
      </c>
    </row>
    <row r="6778" spans="1:6" x14ac:dyDescent="0.2">
      <c r="A6778" t="s">
        <v>12157</v>
      </c>
      <c r="B6778" t="s">
        <v>12158</v>
      </c>
      <c r="C6778" t="s">
        <v>17</v>
      </c>
      <c r="D6778" t="s">
        <v>14</v>
      </c>
      <c r="E6778" t="s">
        <v>3798</v>
      </c>
      <c r="F6778" s="2" t="str">
        <f>HYPERLINK("http://www.otzar.org/book.asp?106968","ברכת אברהם &lt;מאמרים והדרכות&gt; - 3 כר'")</f>
        <v>ברכת אברהם &lt;מאמרים והדרכות&gt; - 3 כר'</v>
      </c>
    </row>
    <row r="6779" spans="1:6" x14ac:dyDescent="0.2">
      <c r="A6779" t="s">
        <v>12159</v>
      </c>
      <c r="B6779" t="s">
        <v>12160</v>
      </c>
      <c r="C6779" t="s">
        <v>17</v>
      </c>
      <c r="D6779" t="s">
        <v>14</v>
      </c>
      <c r="E6779" t="s">
        <v>158</v>
      </c>
      <c r="F6779" s="2" t="str">
        <f>HYPERLINK("http://www.otzar.org/book.asp?156844","ברכת אברהם &lt;מהדורת הררי קדם&gt;")</f>
        <v>ברכת אברהם &lt;מהדורת הררי קדם&gt;</v>
      </c>
    </row>
    <row r="6780" spans="1:6" x14ac:dyDescent="0.2">
      <c r="A6780" t="s">
        <v>12161</v>
      </c>
      <c r="B6780" t="s">
        <v>12162</v>
      </c>
      <c r="C6780" t="s">
        <v>189</v>
      </c>
      <c r="D6780" t="s">
        <v>52</v>
      </c>
      <c r="E6780" t="s">
        <v>930</v>
      </c>
      <c r="F6780" s="2" t="str">
        <f>HYPERLINK("http://www.otzar.org/book.asp?25695","ברכת אברהם &lt;קרן ישעי&gt;")</f>
        <v>ברכת אברהם &lt;קרן ישעי&gt;</v>
      </c>
    </row>
    <row r="6781" spans="1:6" x14ac:dyDescent="0.2">
      <c r="A6781" t="s">
        <v>12163</v>
      </c>
      <c r="B6781" t="s">
        <v>12164</v>
      </c>
      <c r="C6781" t="s">
        <v>334</v>
      </c>
      <c r="D6781" t="s">
        <v>12165</v>
      </c>
      <c r="E6781" t="s">
        <v>154</v>
      </c>
      <c r="F6781" s="2" t="str">
        <f>HYPERLINK("http://www.otzar.org/book.asp?172727","ברכת אברהם ב")</f>
        <v>ברכת אברהם ב</v>
      </c>
    </row>
    <row r="6782" spans="1:6" x14ac:dyDescent="0.2">
      <c r="A6782" t="s">
        <v>12166</v>
      </c>
      <c r="B6782" t="s">
        <v>2043</v>
      </c>
      <c r="C6782" t="s">
        <v>12167</v>
      </c>
      <c r="D6782" t="s">
        <v>744</v>
      </c>
      <c r="E6782" t="s">
        <v>234</v>
      </c>
      <c r="F6782" s="2" t="str">
        <f>HYPERLINK("http://www.otzar.org/book.asp?147238","ברכת אברהם וקריאותיו &lt;דרוש נחמד&gt;")</f>
        <v>ברכת אברהם וקריאותיו &lt;דרוש נחמד&gt;</v>
      </c>
    </row>
    <row r="6783" spans="1:6" x14ac:dyDescent="0.2">
      <c r="A6783" t="s">
        <v>12168</v>
      </c>
      <c r="B6783" t="s">
        <v>12169</v>
      </c>
      <c r="C6783" t="s">
        <v>1535</v>
      </c>
      <c r="D6783" t="s">
        <v>2293</v>
      </c>
      <c r="E6783" t="s">
        <v>2071</v>
      </c>
      <c r="F6783" s="2" t="str">
        <f>HYPERLINK("http://www.otzar.org/book.asp?154084","ברכת אברהם יצחק")</f>
        <v>ברכת אברהם יצחק</v>
      </c>
    </row>
    <row r="6784" spans="1:6" x14ac:dyDescent="0.2">
      <c r="A6784" t="s">
        <v>12170</v>
      </c>
      <c r="E6784" t="s">
        <v>154</v>
      </c>
      <c r="F6784" s="2" t="str">
        <f>HYPERLINK("http://www.otzar.org/book.asp?160779","ברכת אברהם כתב יד")</f>
        <v>ברכת אברהם כתב יד</v>
      </c>
    </row>
    <row r="6785" spans="1:6" x14ac:dyDescent="0.2">
      <c r="A6785" t="s">
        <v>12171</v>
      </c>
      <c r="B6785" t="s">
        <v>12172</v>
      </c>
      <c r="C6785" t="s">
        <v>313</v>
      </c>
      <c r="D6785" t="s">
        <v>367</v>
      </c>
      <c r="E6785" t="s">
        <v>15</v>
      </c>
      <c r="F6785" s="2" t="str">
        <f>HYPERLINK("http://www.otzar.org/book.asp?191500","ברכת אברהם")</f>
        <v>ברכת אברהם</v>
      </c>
    </row>
    <row r="6786" spans="1:6" x14ac:dyDescent="0.2">
      <c r="A6786" t="s">
        <v>12171</v>
      </c>
      <c r="B6786" t="s">
        <v>531</v>
      </c>
      <c r="C6786" t="s">
        <v>503</v>
      </c>
      <c r="D6786" t="s">
        <v>322</v>
      </c>
      <c r="E6786" t="s">
        <v>158</v>
      </c>
      <c r="F6786" s="2" t="str">
        <f>HYPERLINK("http://www.otzar.org/book.asp?15937","ברכת אברהם")</f>
        <v>ברכת אברהם</v>
      </c>
    </row>
    <row r="6787" spans="1:6" x14ac:dyDescent="0.2">
      <c r="A6787" t="s">
        <v>12171</v>
      </c>
      <c r="B6787" t="s">
        <v>12173</v>
      </c>
      <c r="C6787" t="s">
        <v>600</v>
      </c>
      <c r="D6787" t="s">
        <v>283</v>
      </c>
      <c r="E6787" t="s">
        <v>12174</v>
      </c>
      <c r="F6787" s="2" t="str">
        <f>HYPERLINK("http://www.otzar.org/book.asp?7190","ברכת אברהם")</f>
        <v>ברכת אברהם</v>
      </c>
    </row>
    <row r="6788" spans="1:6" x14ac:dyDescent="0.2">
      <c r="A6788" t="s">
        <v>12171</v>
      </c>
      <c r="B6788" t="s">
        <v>12175</v>
      </c>
      <c r="C6788" t="s">
        <v>10859</v>
      </c>
      <c r="D6788" t="s">
        <v>60</v>
      </c>
      <c r="E6788" t="s">
        <v>158</v>
      </c>
      <c r="F6788" s="2" t="str">
        <f>HYPERLINK("http://www.otzar.org/book.asp?146851","ברכת אברהם")</f>
        <v>ברכת אברהם</v>
      </c>
    </row>
    <row r="6789" spans="1:6" x14ac:dyDescent="0.2">
      <c r="A6789" t="s">
        <v>12171</v>
      </c>
      <c r="B6789" t="s">
        <v>12176</v>
      </c>
      <c r="C6789" t="s">
        <v>800</v>
      </c>
      <c r="D6789" t="s">
        <v>516</v>
      </c>
      <c r="E6789" t="s">
        <v>154</v>
      </c>
      <c r="F6789" s="2" t="str">
        <f>HYPERLINK("http://www.otzar.org/book.asp?6072","ברכת אברהם")</f>
        <v>ברכת אברהם</v>
      </c>
    </row>
    <row r="6790" spans="1:6" x14ac:dyDescent="0.2">
      <c r="A6790" t="s">
        <v>12177</v>
      </c>
      <c r="B6790" t="s">
        <v>1909</v>
      </c>
      <c r="C6790" t="s">
        <v>129</v>
      </c>
      <c r="D6790" t="s">
        <v>486</v>
      </c>
      <c r="E6790" t="s">
        <v>246</v>
      </c>
      <c r="F6790" s="2" t="str">
        <f>HYPERLINK("http://www.otzar.org/book.asp?157510","ברכת אברהם - 8 כר'")</f>
        <v>ברכת אברהם - 8 כר'</v>
      </c>
    </row>
    <row r="6791" spans="1:6" x14ac:dyDescent="0.2">
      <c r="A6791" t="s">
        <v>12178</v>
      </c>
      <c r="B6791" t="s">
        <v>12158</v>
      </c>
      <c r="C6791" t="s">
        <v>553</v>
      </c>
      <c r="D6791" t="s">
        <v>14</v>
      </c>
      <c r="E6791" t="s">
        <v>144</v>
      </c>
      <c r="F6791" s="2" t="str">
        <f>HYPERLINK("http://www.otzar.org/book.asp?106972","ברכת אברהם - 21 כר'")</f>
        <v>ברכת אברהם - 21 כר'</v>
      </c>
    </row>
    <row r="6792" spans="1:6" x14ac:dyDescent="0.2">
      <c r="A6792" t="s">
        <v>12171</v>
      </c>
      <c r="B6792" t="s">
        <v>11880</v>
      </c>
      <c r="C6792" t="s">
        <v>12179</v>
      </c>
      <c r="D6792" t="s">
        <v>5209</v>
      </c>
      <c r="E6792" t="s">
        <v>5712</v>
      </c>
      <c r="F6792" s="2" t="str">
        <f>HYPERLINK("http://www.otzar.org/book.asp?300604","ברכת אברהם")</f>
        <v>ברכת אברהם</v>
      </c>
    </row>
    <row r="6793" spans="1:6" x14ac:dyDescent="0.2">
      <c r="A6793" t="s">
        <v>12171</v>
      </c>
      <c r="B6793" t="s">
        <v>12180</v>
      </c>
      <c r="C6793" t="s">
        <v>854</v>
      </c>
      <c r="D6793" t="s">
        <v>27</v>
      </c>
      <c r="E6793" t="s">
        <v>6975</v>
      </c>
      <c r="F6793" s="2" t="str">
        <f>HYPERLINK("http://www.otzar.org/book.asp?102908","ברכת אברהם")</f>
        <v>ברכת אברהם</v>
      </c>
    </row>
    <row r="6794" spans="1:6" x14ac:dyDescent="0.2">
      <c r="A6794" t="s">
        <v>12171</v>
      </c>
      <c r="B6794" t="s">
        <v>12181</v>
      </c>
      <c r="C6794" t="s">
        <v>10215</v>
      </c>
      <c r="D6794" t="s">
        <v>49</v>
      </c>
      <c r="E6794" t="s">
        <v>158</v>
      </c>
      <c r="F6794" s="2" t="str">
        <f>HYPERLINK("http://www.otzar.org/book.asp?15939","ברכת אברהם")</f>
        <v>ברכת אברהם</v>
      </c>
    </row>
    <row r="6795" spans="1:6" x14ac:dyDescent="0.2">
      <c r="A6795" t="s">
        <v>12182</v>
      </c>
      <c r="B6795" t="s">
        <v>12183</v>
      </c>
      <c r="C6795" t="s">
        <v>12184</v>
      </c>
      <c r="D6795" t="s">
        <v>56</v>
      </c>
      <c r="E6795" t="s">
        <v>154</v>
      </c>
      <c r="F6795" s="2" t="str">
        <f>HYPERLINK("http://www.otzar.org/book.asp?17367","ברכת אברהם - 3 כר'")</f>
        <v>ברכת אברהם - 3 כר'</v>
      </c>
    </row>
    <row r="6796" spans="1:6" x14ac:dyDescent="0.2">
      <c r="A6796" t="s">
        <v>12185</v>
      </c>
      <c r="B6796" t="s">
        <v>12186</v>
      </c>
      <c r="C6796" t="s">
        <v>133</v>
      </c>
      <c r="D6796" t="s">
        <v>14</v>
      </c>
      <c r="E6796" t="s">
        <v>803</v>
      </c>
      <c r="F6796" s="2" t="str">
        <f>HYPERLINK("http://www.otzar.org/book.asp?199857","ברכת אברהם - ביאורי סוגיות")</f>
        <v>ברכת אברהם - ביאורי סוגיות</v>
      </c>
    </row>
    <row r="6797" spans="1:6" x14ac:dyDescent="0.2">
      <c r="A6797" t="s">
        <v>12171</v>
      </c>
      <c r="B6797" t="s">
        <v>12171</v>
      </c>
      <c r="C6797" t="s">
        <v>2284</v>
      </c>
      <c r="D6797" t="s">
        <v>14</v>
      </c>
      <c r="E6797" t="s">
        <v>202</v>
      </c>
      <c r="F6797" s="2" t="str">
        <f>HYPERLINK("http://www.otzar.org/book.asp?26802","ברכת אברהם")</f>
        <v>ברכת אברהם</v>
      </c>
    </row>
    <row r="6798" spans="1:6" x14ac:dyDescent="0.2">
      <c r="A6798" t="s">
        <v>12171</v>
      </c>
      <c r="B6798" t="s">
        <v>12187</v>
      </c>
      <c r="C6798" t="s">
        <v>888</v>
      </c>
      <c r="D6798" t="s">
        <v>280</v>
      </c>
      <c r="E6798" t="s">
        <v>12188</v>
      </c>
      <c r="F6798" s="2" t="str">
        <f>HYPERLINK("http://www.otzar.org/book.asp?14808","ברכת אברהם")</f>
        <v>ברכת אברהם</v>
      </c>
    </row>
    <row r="6799" spans="1:6" x14ac:dyDescent="0.2">
      <c r="A6799" t="s">
        <v>12171</v>
      </c>
      <c r="B6799" t="s">
        <v>12189</v>
      </c>
      <c r="C6799" t="s">
        <v>111</v>
      </c>
      <c r="D6799" t="s">
        <v>90</v>
      </c>
      <c r="E6799" t="s">
        <v>803</v>
      </c>
      <c r="F6799" s="2" t="str">
        <f>HYPERLINK("http://www.otzar.org/book.asp?621890","ברכת אברהם")</f>
        <v>ברכת אברהם</v>
      </c>
    </row>
    <row r="6800" spans="1:6" x14ac:dyDescent="0.2">
      <c r="A6800" t="s">
        <v>12171</v>
      </c>
      <c r="B6800" t="s">
        <v>12190</v>
      </c>
      <c r="C6800" t="s">
        <v>433</v>
      </c>
      <c r="D6800" t="s">
        <v>27</v>
      </c>
      <c r="E6800" t="s">
        <v>15</v>
      </c>
      <c r="F6800" s="2" t="str">
        <f>HYPERLINK("http://www.otzar.org/book.asp?154132","ברכת אברהם")</f>
        <v>ברכת אברהם</v>
      </c>
    </row>
    <row r="6801" spans="1:6" x14ac:dyDescent="0.2">
      <c r="A6801" t="s">
        <v>12191</v>
      </c>
      <c r="B6801" t="s">
        <v>9772</v>
      </c>
      <c r="C6801" t="s">
        <v>1374</v>
      </c>
      <c r="D6801" t="s">
        <v>1889</v>
      </c>
      <c r="E6801" t="s">
        <v>144</v>
      </c>
      <c r="F6801" s="2" t="str">
        <f>HYPERLINK("http://www.otzar.org/book.asp?104649","ברכת אברהם - ברכות")</f>
        <v>ברכת אברהם - ברכות</v>
      </c>
    </row>
    <row r="6802" spans="1:6" x14ac:dyDescent="0.2">
      <c r="A6802" t="s">
        <v>12171</v>
      </c>
      <c r="B6802" t="s">
        <v>12160</v>
      </c>
      <c r="C6802" t="s">
        <v>362</v>
      </c>
      <c r="D6802" t="s">
        <v>379</v>
      </c>
      <c r="E6802" t="s">
        <v>158</v>
      </c>
      <c r="F6802" s="2" t="str">
        <f>HYPERLINK("http://www.otzar.org/book.asp?300639","ברכת אברהם")</f>
        <v>ברכת אברהם</v>
      </c>
    </row>
    <row r="6803" spans="1:6" x14ac:dyDescent="0.2">
      <c r="A6803" t="s">
        <v>12171</v>
      </c>
      <c r="B6803" t="s">
        <v>6053</v>
      </c>
      <c r="C6803" t="s">
        <v>429</v>
      </c>
      <c r="D6803" t="s">
        <v>6238</v>
      </c>
      <c r="E6803" t="s">
        <v>15</v>
      </c>
      <c r="F6803" s="2" t="str">
        <f>HYPERLINK("http://www.otzar.org/book.asp?300638","ברכת אברהם")</f>
        <v>ברכת אברהם</v>
      </c>
    </row>
    <row r="6804" spans="1:6" x14ac:dyDescent="0.2">
      <c r="A6804" t="s">
        <v>12192</v>
      </c>
      <c r="B6804" t="s">
        <v>12193</v>
      </c>
      <c r="C6804" t="s">
        <v>533</v>
      </c>
      <c r="D6804" t="s">
        <v>52</v>
      </c>
      <c r="E6804" t="s">
        <v>12194</v>
      </c>
      <c r="F6804" s="2" t="str">
        <f>HYPERLINK("http://www.otzar.org/book.asp?106592","ברכת אברהם - א")</f>
        <v>ברכת אברהם - א</v>
      </c>
    </row>
    <row r="6805" spans="1:6" x14ac:dyDescent="0.2">
      <c r="A6805" t="s">
        <v>12195</v>
      </c>
      <c r="B6805" t="s">
        <v>12196</v>
      </c>
      <c r="C6805" t="s">
        <v>5242</v>
      </c>
      <c r="D6805" t="s">
        <v>49</v>
      </c>
      <c r="F6805" s="2" t="str">
        <f>HYPERLINK("http://www.otzar.org/book.asp?619145","ברכת אברהם - 4 כר'")</f>
        <v>ברכת אברהם - 4 כר'</v>
      </c>
    </row>
    <row r="6806" spans="1:6" x14ac:dyDescent="0.2">
      <c r="A6806" t="s">
        <v>12171</v>
      </c>
      <c r="B6806" t="s">
        <v>12197</v>
      </c>
      <c r="C6806" t="s">
        <v>600</v>
      </c>
      <c r="D6806" t="s">
        <v>267</v>
      </c>
      <c r="E6806" t="s">
        <v>154</v>
      </c>
      <c r="F6806" s="2" t="str">
        <f>HYPERLINK("http://www.otzar.org/book.asp?17366","ברכת אברהם")</f>
        <v>ברכת אברהם</v>
      </c>
    </row>
    <row r="6807" spans="1:6" x14ac:dyDescent="0.2">
      <c r="A6807" t="s">
        <v>12171</v>
      </c>
      <c r="B6807" t="s">
        <v>12198</v>
      </c>
      <c r="C6807" t="s">
        <v>956</v>
      </c>
      <c r="D6807" t="s">
        <v>14</v>
      </c>
      <c r="E6807" t="s">
        <v>104</v>
      </c>
      <c r="F6807" s="2" t="str">
        <f>HYPERLINK("http://www.otzar.org/book.asp?172179","ברכת אברהם")</f>
        <v>ברכת אברהם</v>
      </c>
    </row>
    <row r="6808" spans="1:6" x14ac:dyDescent="0.2">
      <c r="A6808" t="s">
        <v>12171</v>
      </c>
      <c r="B6808" t="s">
        <v>12199</v>
      </c>
      <c r="C6808" t="s">
        <v>1535</v>
      </c>
      <c r="D6808" t="s">
        <v>12200</v>
      </c>
      <c r="F6808" s="2" t="str">
        <f>HYPERLINK("http://www.otzar.org/book.asp?611346","ברכת אברהם")</f>
        <v>ברכת אברהם</v>
      </c>
    </row>
    <row r="6809" spans="1:6" x14ac:dyDescent="0.2">
      <c r="A6809" t="s">
        <v>12201</v>
      </c>
      <c r="B6809" t="s">
        <v>12202</v>
      </c>
      <c r="C6809" t="s">
        <v>956</v>
      </c>
      <c r="D6809" t="s">
        <v>14</v>
      </c>
      <c r="E6809" t="s">
        <v>144</v>
      </c>
      <c r="F6809" s="2" t="str">
        <f>HYPERLINK("http://www.otzar.org/book.asp?60368","ברכת אברהם - 5 כר'")</f>
        <v>ברכת אברהם - 5 כר'</v>
      </c>
    </row>
    <row r="6810" spans="1:6" x14ac:dyDescent="0.2">
      <c r="A6810" t="s">
        <v>12171</v>
      </c>
      <c r="B6810" t="s">
        <v>12203</v>
      </c>
      <c r="C6810" t="s">
        <v>3695</v>
      </c>
      <c r="D6810" t="s">
        <v>283</v>
      </c>
      <c r="E6810" t="s">
        <v>158</v>
      </c>
      <c r="F6810" s="2" t="str">
        <f>HYPERLINK("http://www.otzar.org/book.asp?300608","ברכת אברהם")</f>
        <v>ברכת אברהם</v>
      </c>
    </row>
    <row r="6811" spans="1:6" x14ac:dyDescent="0.2">
      <c r="A6811" t="s">
        <v>12171</v>
      </c>
      <c r="B6811" t="s">
        <v>12204</v>
      </c>
      <c r="C6811" t="s">
        <v>286</v>
      </c>
      <c r="D6811" t="s">
        <v>8024</v>
      </c>
      <c r="E6811" t="s">
        <v>463</v>
      </c>
      <c r="F6811" s="2" t="str">
        <f>HYPERLINK("http://www.otzar.org/book.asp?9268","ברכת אברהם")</f>
        <v>ברכת אברהם</v>
      </c>
    </row>
    <row r="6812" spans="1:6" x14ac:dyDescent="0.2">
      <c r="A6812" t="s">
        <v>12205</v>
      </c>
      <c r="B6812" t="s">
        <v>12206</v>
      </c>
      <c r="C6812" t="s">
        <v>129</v>
      </c>
      <c r="D6812" t="s">
        <v>245</v>
      </c>
      <c r="E6812" t="s">
        <v>786</v>
      </c>
      <c r="F6812" s="2" t="str">
        <f>HYPERLINK("http://www.otzar.org/book.asp?165421","ברכת אברהם - הוריות, נדה, זבים")</f>
        <v>ברכת אברהם - הוריות, נדה, זבים</v>
      </c>
    </row>
    <row r="6813" spans="1:6" x14ac:dyDescent="0.2">
      <c r="A6813" t="s">
        <v>12171</v>
      </c>
      <c r="B6813" t="s">
        <v>12207</v>
      </c>
      <c r="C6813" t="s">
        <v>1885</v>
      </c>
      <c r="D6813" t="s">
        <v>283</v>
      </c>
      <c r="E6813" t="s">
        <v>463</v>
      </c>
      <c r="F6813" s="2" t="str">
        <f>HYPERLINK("http://www.otzar.org/book.asp?9260","ברכת אברהם")</f>
        <v>ברכת אברהם</v>
      </c>
    </row>
    <row r="6814" spans="1:6" x14ac:dyDescent="0.2">
      <c r="A6814" t="s">
        <v>12171</v>
      </c>
      <c r="B6814" t="s">
        <v>12208</v>
      </c>
      <c r="C6814" t="s">
        <v>286</v>
      </c>
      <c r="D6814" t="s">
        <v>8939</v>
      </c>
      <c r="E6814" t="s">
        <v>463</v>
      </c>
      <c r="F6814" s="2" t="str">
        <f>HYPERLINK("http://www.otzar.org/book.asp?7247","ברכת אברהם")</f>
        <v>ברכת אברהם</v>
      </c>
    </row>
    <row r="6815" spans="1:6" x14ac:dyDescent="0.2">
      <c r="A6815" t="s">
        <v>12209</v>
      </c>
      <c r="B6815" t="s">
        <v>12210</v>
      </c>
      <c r="C6815" t="s">
        <v>17</v>
      </c>
      <c r="D6815" t="s">
        <v>14</v>
      </c>
      <c r="E6815" t="s">
        <v>15</v>
      </c>
      <c r="F6815" s="2" t="str">
        <f>HYPERLINK("http://www.otzar.org/book.asp?178901","ברכת אהרן - א")</f>
        <v>ברכת אהרן - א</v>
      </c>
    </row>
    <row r="6816" spans="1:6" x14ac:dyDescent="0.2">
      <c r="A6816" t="s">
        <v>12211</v>
      </c>
      <c r="B6816" t="s">
        <v>206</v>
      </c>
      <c r="C6816" t="s">
        <v>37</v>
      </c>
      <c r="D6816" t="s">
        <v>1156</v>
      </c>
      <c r="F6816" s="2" t="str">
        <f>HYPERLINK("http://www.otzar.org/book.asp?609552","ברכת אהרן")</f>
        <v>ברכת אהרן</v>
      </c>
    </row>
    <row r="6817" spans="1:6" x14ac:dyDescent="0.2">
      <c r="A6817" t="s">
        <v>12212</v>
      </c>
      <c r="B6817" t="s">
        <v>12213</v>
      </c>
      <c r="C6817" t="s">
        <v>989</v>
      </c>
      <c r="D6817" t="s">
        <v>14</v>
      </c>
      <c r="E6817" t="s">
        <v>741</v>
      </c>
      <c r="F6817" s="2" t="str">
        <f>HYPERLINK("http://www.otzar.org/book.asp?154449","ברכת אהרן - פרח מטה אהרן")</f>
        <v>ברכת אהרן - פרח מטה אהרן</v>
      </c>
    </row>
    <row r="6818" spans="1:6" x14ac:dyDescent="0.2">
      <c r="A6818" t="s">
        <v>12211</v>
      </c>
      <c r="B6818" t="s">
        <v>789</v>
      </c>
      <c r="C6818" t="s">
        <v>1166</v>
      </c>
      <c r="D6818" t="s">
        <v>2181</v>
      </c>
      <c r="E6818" t="s">
        <v>144</v>
      </c>
      <c r="F6818" s="2" t="str">
        <f>HYPERLINK("http://www.otzar.org/book.asp?28375","ברכת אהרן")</f>
        <v>ברכת אהרן</v>
      </c>
    </row>
    <row r="6819" spans="1:6" x14ac:dyDescent="0.2">
      <c r="A6819" t="s">
        <v>12214</v>
      </c>
      <c r="B6819" t="s">
        <v>7887</v>
      </c>
      <c r="C6819" t="s">
        <v>3739</v>
      </c>
      <c r="D6819" t="s">
        <v>7888</v>
      </c>
      <c r="E6819" t="s">
        <v>144</v>
      </c>
      <c r="F6819" s="2" t="str">
        <f>HYPERLINK("http://www.otzar.org/book.asp?603829","ברכת אהרן - 2 כר'")</f>
        <v>ברכת אהרן - 2 כר'</v>
      </c>
    </row>
    <row r="6820" spans="1:6" x14ac:dyDescent="0.2">
      <c r="A6820" t="s">
        <v>12215</v>
      </c>
      <c r="B6820" t="s">
        <v>12216</v>
      </c>
      <c r="C6820" t="s">
        <v>103</v>
      </c>
      <c r="D6820" t="s">
        <v>14</v>
      </c>
      <c r="E6820" t="s">
        <v>803</v>
      </c>
      <c r="F6820" s="2" t="str">
        <f>HYPERLINK("http://www.otzar.org/book.asp?50623","ברכת אהרן - 6 כר'")</f>
        <v>ברכת אהרן - 6 כר'</v>
      </c>
    </row>
    <row r="6821" spans="1:6" x14ac:dyDescent="0.2">
      <c r="A6821" t="s">
        <v>12217</v>
      </c>
      <c r="B6821" t="s">
        <v>12218</v>
      </c>
      <c r="C6821" t="s">
        <v>37</v>
      </c>
      <c r="D6821" t="s">
        <v>52</v>
      </c>
      <c r="E6821" t="s">
        <v>803</v>
      </c>
      <c r="F6821" s="2" t="str">
        <f>HYPERLINK("http://www.otzar.org/book.asp?182516","ברכת אהרן - סוכה")</f>
        <v>ברכת אהרן - סוכה</v>
      </c>
    </row>
    <row r="6822" spans="1:6" x14ac:dyDescent="0.2">
      <c r="A6822" t="s">
        <v>12219</v>
      </c>
      <c r="B6822" t="s">
        <v>12220</v>
      </c>
      <c r="C6822" t="s">
        <v>366</v>
      </c>
      <c r="D6822" t="s">
        <v>12221</v>
      </c>
      <c r="F6822" s="2" t="str">
        <f>HYPERLINK("http://www.otzar.org/book.asp?622093","ברכת אוריאל")</f>
        <v>ברכת אוריאל</v>
      </c>
    </row>
    <row r="6823" spans="1:6" x14ac:dyDescent="0.2">
      <c r="A6823" t="s">
        <v>12219</v>
      </c>
      <c r="B6823" t="s">
        <v>12222</v>
      </c>
      <c r="C6823" t="s">
        <v>466</v>
      </c>
      <c r="D6823" t="s">
        <v>14</v>
      </c>
      <c r="E6823" t="s">
        <v>144</v>
      </c>
      <c r="F6823" s="2" t="str">
        <f>HYPERLINK("http://www.otzar.org/book.asp?50146","ברכת אוריאל")</f>
        <v>ברכת אוריאל</v>
      </c>
    </row>
    <row r="6824" spans="1:6" x14ac:dyDescent="0.2">
      <c r="A6824" t="s">
        <v>12223</v>
      </c>
      <c r="B6824" t="s">
        <v>12224</v>
      </c>
      <c r="C6824" t="s">
        <v>523</v>
      </c>
      <c r="D6824" t="s">
        <v>52</v>
      </c>
      <c r="E6824" t="s">
        <v>246</v>
      </c>
      <c r="F6824" s="2" t="str">
        <f>HYPERLINK("http://www.otzar.org/book.asp?603694","ברכת איש")</f>
        <v>ברכת איש</v>
      </c>
    </row>
    <row r="6825" spans="1:6" x14ac:dyDescent="0.2">
      <c r="A6825" t="s">
        <v>12225</v>
      </c>
      <c r="B6825" t="s">
        <v>2443</v>
      </c>
      <c r="C6825" t="s">
        <v>23</v>
      </c>
      <c r="D6825" t="s">
        <v>52</v>
      </c>
      <c r="E6825" t="s">
        <v>15</v>
      </c>
      <c r="F6825" s="2" t="str">
        <f>HYPERLINK("http://www.otzar.org/book.asp?600664","ברכת איש - ברכת הלבנה")</f>
        <v>ברכת איש - ברכת הלבנה</v>
      </c>
    </row>
    <row r="6826" spans="1:6" x14ac:dyDescent="0.2">
      <c r="A6826" t="s">
        <v>12226</v>
      </c>
      <c r="B6826" t="s">
        <v>12227</v>
      </c>
      <c r="C6826" t="s">
        <v>411</v>
      </c>
      <c r="D6826" t="s">
        <v>412</v>
      </c>
      <c r="E6826" t="s">
        <v>158</v>
      </c>
      <c r="F6826" s="2" t="str">
        <f>HYPERLINK("http://www.otzar.org/book.asp?172519","ברכת איש - 2 כר'")</f>
        <v>ברכת איש - 2 כר'</v>
      </c>
    </row>
    <row r="6827" spans="1:6" x14ac:dyDescent="0.2">
      <c r="A6827" t="s">
        <v>12228</v>
      </c>
      <c r="B6827" t="s">
        <v>2443</v>
      </c>
      <c r="C6827" t="s">
        <v>129</v>
      </c>
      <c r="D6827" t="s">
        <v>52</v>
      </c>
      <c r="E6827" t="s">
        <v>15</v>
      </c>
      <c r="F6827" s="2" t="str">
        <f>HYPERLINK("http://www.otzar.org/book.asp?60479","ברכת איתן - 3 כר'")</f>
        <v>ברכת איתן - 3 כר'</v>
      </c>
    </row>
    <row r="6828" spans="1:6" x14ac:dyDescent="0.2">
      <c r="A6828" t="s">
        <v>12229</v>
      </c>
      <c r="B6828" t="s">
        <v>12230</v>
      </c>
      <c r="C6828" t="s">
        <v>20</v>
      </c>
      <c r="D6828" t="s">
        <v>852</v>
      </c>
      <c r="E6828" t="s">
        <v>144</v>
      </c>
      <c r="F6828" s="2" t="str">
        <f>HYPERLINK("http://www.otzar.org/book.asp?614712","ברכת אלחנן - ברכות")</f>
        <v>ברכת אלחנן - ברכות</v>
      </c>
    </row>
    <row r="6829" spans="1:6" x14ac:dyDescent="0.2">
      <c r="A6829" t="s">
        <v>12231</v>
      </c>
      <c r="B6829" t="s">
        <v>12232</v>
      </c>
      <c r="C6829" t="s">
        <v>37</v>
      </c>
      <c r="D6829" t="s">
        <v>21</v>
      </c>
      <c r="E6829" t="s">
        <v>158</v>
      </c>
      <c r="F6829" s="2" t="str">
        <f>HYPERLINK("http://www.otzar.org/book.asp?196455","ברכת אליהו &lt;מהדורה חדשה&gt; - 2 כר'")</f>
        <v>ברכת אליהו &lt;מהדורה חדשה&gt; - 2 כר'</v>
      </c>
    </row>
    <row r="6830" spans="1:6" x14ac:dyDescent="0.2">
      <c r="A6830" t="s">
        <v>12233</v>
      </c>
      <c r="B6830" t="s">
        <v>12234</v>
      </c>
      <c r="C6830" t="s">
        <v>41</v>
      </c>
      <c r="D6830" t="s">
        <v>12235</v>
      </c>
      <c r="E6830" t="s">
        <v>144</v>
      </c>
      <c r="F6830" s="2" t="str">
        <f>HYPERLINK("http://www.otzar.org/book.asp?9416","ברכת אליהו")</f>
        <v>ברכת אליהו</v>
      </c>
    </row>
    <row r="6831" spans="1:6" x14ac:dyDescent="0.2">
      <c r="A6831" t="s">
        <v>12233</v>
      </c>
      <c r="B6831" t="s">
        <v>12232</v>
      </c>
      <c r="C6831" t="s">
        <v>725</v>
      </c>
      <c r="D6831" t="s">
        <v>1889</v>
      </c>
      <c r="E6831" t="s">
        <v>12236</v>
      </c>
      <c r="F6831" s="2" t="str">
        <f>HYPERLINK("http://www.otzar.org/book.asp?102909","ברכת אליהו")</f>
        <v>ברכת אליהו</v>
      </c>
    </row>
    <row r="6832" spans="1:6" x14ac:dyDescent="0.2">
      <c r="A6832" t="s">
        <v>12233</v>
      </c>
      <c r="B6832" t="s">
        <v>12237</v>
      </c>
      <c r="C6832" t="s">
        <v>1940</v>
      </c>
      <c r="D6832" t="s">
        <v>212</v>
      </c>
      <c r="E6832" t="s">
        <v>1880</v>
      </c>
      <c r="F6832" s="2" t="str">
        <f>HYPERLINK("http://www.otzar.org/book.asp?17368","ברכת אליהו")</f>
        <v>ברכת אליהו</v>
      </c>
    </row>
    <row r="6833" spans="1:6" x14ac:dyDescent="0.2">
      <c r="A6833" t="s">
        <v>12233</v>
      </c>
      <c r="B6833" t="s">
        <v>12238</v>
      </c>
      <c r="C6833" t="s">
        <v>1062</v>
      </c>
      <c r="D6833" t="s">
        <v>12239</v>
      </c>
      <c r="E6833" t="s">
        <v>104</v>
      </c>
      <c r="F6833" s="2" t="str">
        <f>HYPERLINK("http://www.otzar.org/book.asp?102910","ברכת אליהו")</f>
        <v>ברכת אליהו</v>
      </c>
    </row>
    <row r="6834" spans="1:6" x14ac:dyDescent="0.2">
      <c r="A6834" t="s">
        <v>12233</v>
      </c>
      <c r="B6834" t="s">
        <v>12240</v>
      </c>
      <c r="C6834" t="s">
        <v>63</v>
      </c>
      <c r="D6834" t="s">
        <v>14</v>
      </c>
      <c r="E6834" t="s">
        <v>399</v>
      </c>
      <c r="F6834" s="2" t="str">
        <f>HYPERLINK("http://www.otzar.org/book.asp?615864","ברכת אליהו")</f>
        <v>ברכת אליהו</v>
      </c>
    </row>
    <row r="6835" spans="1:6" x14ac:dyDescent="0.2">
      <c r="A6835" t="s">
        <v>12241</v>
      </c>
      <c r="B6835" t="s">
        <v>12242</v>
      </c>
      <c r="C6835" t="s">
        <v>129</v>
      </c>
      <c r="D6835" t="s">
        <v>14</v>
      </c>
      <c r="E6835" t="s">
        <v>158</v>
      </c>
      <c r="F6835" s="2" t="str">
        <f>HYPERLINK("http://www.otzar.org/book.asp?60237","ברכת אליהו - 3 כר'")</f>
        <v>ברכת אליהו - 3 כר'</v>
      </c>
    </row>
    <row r="6836" spans="1:6" x14ac:dyDescent="0.2">
      <c r="A6836" t="s">
        <v>12233</v>
      </c>
      <c r="B6836" t="s">
        <v>12243</v>
      </c>
      <c r="C6836" t="s">
        <v>103</v>
      </c>
      <c r="D6836" t="s">
        <v>412</v>
      </c>
      <c r="E6836" t="s">
        <v>12244</v>
      </c>
      <c r="F6836" s="2" t="str">
        <f>HYPERLINK("http://www.otzar.org/book.asp?154306","ברכת אליהו")</f>
        <v>ברכת אליהו</v>
      </c>
    </row>
    <row r="6837" spans="1:6" x14ac:dyDescent="0.2">
      <c r="A6837" t="s">
        <v>12233</v>
      </c>
      <c r="B6837" t="s">
        <v>5579</v>
      </c>
      <c r="C6837" t="s">
        <v>313</v>
      </c>
      <c r="D6837" t="s">
        <v>21</v>
      </c>
      <c r="E6837" t="s">
        <v>2840</v>
      </c>
      <c r="F6837" s="2" t="str">
        <f>HYPERLINK("http://www.otzar.org/book.asp?195750","ברכת אליהו")</f>
        <v>ברכת אליהו</v>
      </c>
    </row>
    <row r="6838" spans="1:6" x14ac:dyDescent="0.2">
      <c r="A6838" t="s">
        <v>12241</v>
      </c>
      <c r="B6838" t="s">
        <v>12245</v>
      </c>
      <c r="C6838" t="s">
        <v>68</v>
      </c>
      <c r="D6838" t="s">
        <v>147</v>
      </c>
      <c r="E6838" t="s">
        <v>325</v>
      </c>
      <c r="F6838" s="2" t="str">
        <f>HYPERLINK("http://www.otzar.org/book.asp?158048","ברכת אליהו - 3 כר'")</f>
        <v>ברכת אליהו - 3 כר'</v>
      </c>
    </row>
    <row r="6839" spans="1:6" x14ac:dyDescent="0.2">
      <c r="A6839" t="s">
        <v>12246</v>
      </c>
      <c r="B6839" t="s">
        <v>12247</v>
      </c>
      <c r="C6839" t="s">
        <v>366</v>
      </c>
      <c r="D6839" t="s">
        <v>14</v>
      </c>
      <c r="F6839" s="2" t="str">
        <f>HYPERLINK("http://www.otzar.org/book.asp?608848","ברכת אליעזר")</f>
        <v>ברכת אליעזר</v>
      </c>
    </row>
    <row r="6840" spans="1:6" x14ac:dyDescent="0.2">
      <c r="A6840" t="s">
        <v>12248</v>
      </c>
      <c r="B6840" t="s">
        <v>12249</v>
      </c>
      <c r="C6840" t="s">
        <v>244</v>
      </c>
      <c r="D6840" t="s">
        <v>52</v>
      </c>
      <c r="F6840" s="2" t="str">
        <f>HYPERLINK("http://www.otzar.org/book.asp?618860","ברכת אלישע - 6 כר'")</f>
        <v>ברכת אלישע - 6 כר'</v>
      </c>
    </row>
    <row r="6841" spans="1:6" x14ac:dyDescent="0.2">
      <c r="A6841" t="s">
        <v>12250</v>
      </c>
      <c r="B6841" t="s">
        <v>12251</v>
      </c>
      <c r="C6841" t="s">
        <v>111</v>
      </c>
      <c r="D6841" t="s">
        <v>412</v>
      </c>
      <c r="F6841" s="2" t="str">
        <f>HYPERLINK("http://www.otzar.org/book.asp?622364","ברכת אלעזר - 5 כר'")</f>
        <v>ברכת אלעזר - 5 כר'</v>
      </c>
    </row>
    <row r="6842" spans="1:6" x14ac:dyDescent="0.2">
      <c r="A6842" t="s">
        <v>12252</v>
      </c>
      <c r="B6842" t="s">
        <v>12253</v>
      </c>
      <c r="C6842" t="s">
        <v>168</v>
      </c>
      <c r="D6842" t="s">
        <v>118</v>
      </c>
      <c r="E6842" t="s">
        <v>3785</v>
      </c>
      <c r="F6842" s="2" t="str">
        <f>HYPERLINK("http://www.otzar.org/book.asp?153782","ברכת אמונה")</f>
        <v>ברכת אמונה</v>
      </c>
    </row>
    <row r="6843" spans="1:6" x14ac:dyDescent="0.2">
      <c r="A6843" t="s">
        <v>12254</v>
      </c>
      <c r="B6843" t="s">
        <v>12255</v>
      </c>
      <c r="C6843" t="s">
        <v>6054</v>
      </c>
      <c r="D6843" t="s">
        <v>14</v>
      </c>
      <c r="E6843" t="s">
        <v>148</v>
      </c>
      <c r="F6843" s="2" t="str">
        <f>HYPERLINK("http://www.otzar.org/book.asp?149169","ברכת אפרים (על שו""ע הלכות נדה)")</f>
        <v>ברכת אפרים (על שו"ע הלכות נדה)</v>
      </c>
    </row>
    <row r="6844" spans="1:6" x14ac:dyDescent="0.2">
      <c r="A6844" t="s">
        <v>12256</v>
      </c>
      <c r="B6844" t="s">
        <v>12257</v>
      </c>
      <c r="C6844" t="s">
        <v>71</v>
      </c>
      <c r="D6844" t="s">
        <v>14</v>
      </c>
      <c r="E6844" t="s">
        <v>154</v>
      </c>
      <c r="F6844" s="2" t="str">
        <f>HYPERLINK("http://www.otzar.org/book.asp?50946","ברכת אפרים - א")</f>
        <v>ברכת אפרים - א</v>
      </c>
    </row>
    <row r="6845" spans="1:6" x14ac:dyDescent="0.2">
      <c r="A6845" t="s">
        <v>12258</v>
      </c>
      <c r="B6845" t="s">
        <v>12259</v>
      </c>
      <c r="C6845" t="s">
        <v>313</v>
      </c>
      <c r="D6845" t="s">
        <v>14</v>
      </c>
      <c r="E6845" t="s">
        <v>144</v>
      </c>
      <c r="F6845" s="2" t="str">
        <f>HYPERLINK("http://www.otzar.org/book.asp?152661","ברכת אפרים - ברכות")</f>
        <v>ברכת אפרים - ברכות</v>
      </c>
    </row>
    <row r="6846" spans="1:6" x14ac:dyDescent="0.2">
      <c r="A6846" t="s">
        <v>12260</v>
      </c>
      <c r="B6846" t="s">
        <v>12261</v>
      </c>
      <c r="C6846" t="s">
        <v>1448</v>
      </c>
      <c r="D6846" t="s">
        <v>646</v>
      </c>
      <c r="E6846" t="s">
        <v>104</v>
      </c>
      <c r="F6846" s="2" t="str">
        <f>HYPERLINK("http://www.otzar.org/book.asp?63295","ברכת אפרים")</f>
        <v>ברכת אפרים</v>
      </c>
    </row>
    <row r="6847" spans="1:6" x14ac:dyDescent="0.2">
      <c r="A6847" t="s">
        <v>12262</v>
      </c>
      <c r="B6847" t="s">
        <v>12263</v>
      </c>
      <c r="C6847" t="s">
        <v>366</v>
      </c>
      <c r="D6847" t="s">
        <v>21</v>
      </c>
      <c r="E6847" t="s">
        <v>84</v>
      </c>
      <c r="F6847" s="2" t="str">
        <f>HYPERLINK("http://www.otzar.org/book.asp?606889","ברכת ארי")</f>
        <v>ברכת ארי</v>
      </c>
    </row>
    <row r="6848" spans="1:6" x14ac:dyDescent="0.2">
      <c r="A6848" t="s">
        <v>12264</v>
      </c>
      <c r="B6848" t="s">
        <v>12265</v>
      </c>
      <c r="C6848" t="s">
        <v>12266</v>
      </c>
      <c r="D6848" t="s">
        <v>27</v>
      </c>
      <c r="E6848" t="s">
        <v>15</v>
      </c>
      <c r="F6848" s="2" t="str">
        <f>HYPERLINK("http://www.otzar.org/book.asp?144596","ברכת אריאל - 2 כר'")</f>
        <v>ברכת אריאל - 2 כר'</v>
      </c>
    </row>
    <row r="6849" spans="1:6" x14ac:dyDescent="0.2">
      <c r="A6849" t="s">
        <v>12267</v>
      </c>
      <c r="B6849" t="s">
        <v>489</v>
      </c>
      <c r="C6849" t="s">
        <v>411</v>
      </c>
      <c r="D6849" t="s">
        <v>147</v>
      </c>
      <c r="E6849" t="s">
        <v>202</v>
      </c>
      <c r="F6849" s="2" t="str">
        <f>HYPERLINK("http://www.otzar.org/book.asp?167897","ברכת אריה")</f>
        <v>ברכת אריה</v>
      </c>
    </row>
    <row r="6850" spans="1:6" x14ac:dyDescent="0.2">
      <c r="A6850" t="s">
        <v>12268</v>
      </c>
      <c r="B6850" t="s">
        <v>12269</v>
      </c>
      <c r="C6850" t="s">
        <v>68</v>
      </c>
      <c r="D6850" t="s">
        <v>14</v>
      </c>
      <c r="E6850" t="s">
        <v>158</v>
      </c>
      <c r="F6850" s="2" t="str">
        <f>HYPERLINK("http://www.otzar.org/book.asp?181023","ברכת אשר &lt;על החומש&gt; - 6 כר'")</f>
        <v>ברכת אשר &lt;על החומש&gt; - 6 כר'</v>
      </c>
    </row>
    <row r="6851" spans="1:6" x14ac:dyDescent="0.2">
      <c r="A6851" t="s">
        <v>12270</v>
      </c>
      <c r="B6851" t="s">
        <v>4014</v>
      </c>
      <c r="C6851" t="s">
        <v>454</v>
      </c>
      <c r="D6851" t="s">
        <v>21</v>
      </c>
      <c r="E6851" t="s">
        <v>202</v>
      </c>
      <c r="F6851" s="2" t="str">
        <f>HYPERLINK("http://www.otzar.org/book.asp?606983","ברכת אשר")</f>
        <v>ברכת אשר</v>
      </c>
    </row>
    <row r="6852" spans="1:6" x14ac:dyDescent="0.2">
      <c r="A6852" t="s">
        <v>12270</v>
      </c>
      <c r="B6852" t="s">
        <v>12271</v>
      </c>
      <c r="C6852" t="s">
        <v>168</v>
      </c>
      <c r="D6852" t="s">
        <v>412</v>
      </c>
      <c r="E6852" t="s">
        <v>144</v>
      </c>
      <c r="F6852" s="2" t="str">
        <f>HYPERLINK("http://www.otzar.org/book.asp?606356","ברכת אשר")</f>
        <v>ברכת אשר</v>
      </c>
    </row>
    <row r="6853" spans="1:6" x14ac:dyDescent="0.2">
      <c r="A6853" t="s">
        <v>12272</v>
      </c>
      <c r="B6853" t="s">
        <v>11397</v>
      </c>
      <c r="C6853" t="s">
        <v>87</v>
      </c>
      <c r="D6853" t="s">
        <v>14</v>
      </c>
      <c r="E6853" t="s">
        <v>2596</v>
      </c>
      <c r="F6853" s="2" t="str">
        <f>HYPERLINK("http://www.otzar.org/book.asp?13167","ברכת בנים")</f>
        <v>ברכת בנים</v>
      </c>
    </row>
    <row r="6854" spans="1:6" x14ac:dyDescent="0.2">
      <c r="A6854" t="s">
        <v>12273</v>
      </c>
      <c r="B6854" t="s">
        <v>12274</v>
      </c>
      <c r="C6854" t="s">
        <v>103</v>
      </c>
      <c r="D6854" t="s">
        <v>367</v>
      </c>
      <c r="E6854" t="s">
        <v>144</v>
      </c>
      <c r="F6854" s="2" t="str">
        <f>HYPERLINK("http://www.otzar.org/book.asp?159618","ברכת בנימין - ברכות")</f>
        <v>ברכת בנימין - ברכות</v>
      </c>
    </row>
    <row r="6855" spans="1:6" x14ac:dyDescent="0.2">
      <c r="A6855" t="s">
        <v>12275</v>
      </c>
      <c r="B6855" t="s">
        <v>12276</v>
      </c>
      <c r="C6855" t="s">
        <v>71</v>
      </c>
      <c r="D6855" t="s">
        <v>486</v>
      </c>
      <c r="E6855" t="s">
        <v>144</v>
      </c>
      <c r="F6855" s="2" t="str">
        <f>HYPERLINK("http://www.otzar.org/book.asp?193120","ברכת בצלאל - ב")</f>
        <v>ברכת בצלאל - ב</v>
      </c>
    </row>
    <row r="6856" spans="1:6" x14ac:dyDescent="0.2">
      <c r="A6856" t="s">
        <v>12277</v>
      </c>
      <c r="B6856" t="s">
        <v>7831</v>
      </c>
      <c r="C6856" t="s">
        <v>68</v>
      </c>
      <c r="D6856" t="s">
        <v>14</v>
      </c>
      <c r="E6856" t="s">
        <v>158</v>
      </c>
      <c r="F6856" s="2" t="str">
        <f>HYPERLINK("http://www.otzar.org/book.asp?616153","ברכת ברוך")</f>
        <v>ברכת ברוך</v>
      </c>
    </row>
    <row r="6857" spans="1:6" x14ac:dyDescent="0.2">
      <c r="A6857" t="s">
        <v>12278</v>
      </c>
      <c r="B6857" t="s">
        <v>12279</v>
      </c>
      <c r="C6857" t="s">
        <v>146</v>
      </c>
      <c r="D6857" t="s">
        <v>2196</v>
      </c>
      <c r="F6857" s="2" t="str">
        <f>HYPERLINK("http://www.otzar.org/book.asp?157563","ברכת גבריאל")</f>
        <v>ברכת גבריאל</v>
      </c>
    </row>
    <row r="6858" spans="1:6" x14ac:dyDescent="0.2">
      <c r="A6858" t="s">
        <v>12278</v>
      </c>
      <c r="B6858" t="s">
        <v>12280</v>
      </c>
      <c r="C6858" t="s">
        <v>20</v>
      </c>
      <c r="D6858" t="s">
        <v>412</v>
      </c>
      <c r="E6858" t="s">
        <v>15</v>
      </c>
      <c r="F6858" s="2" t="str">
        <f>HYPERLINK("http://www.otzar.org/book.asp?170852","ברכת גבריאל")</f>
        <v>ברכת גבריאל</v>
      </c>
    </row>
    <row r="6859" spans="1:6" x14ac:dyDescent="0.2">
      <c r="A6859" t="s">
        <v>12281</v>
      </c>
      <c r="B6859" t="s">
        <v>12282</v>
      </c>
      <c r="C6859" t="s">
        <v>51</v>
      </c>
      <c r="D6859" t="s">
        <v>52</v>
      </c>
      <c r="F6859" s="2" t="str">
        <f>HYPERLINK("http://www.otzar.org/book.asp?619651","ברכת דבש")</f>
        <v>ברכת דבש</v>
      </c>
    </row>
    <row r="6860" spans="1:6" x14ac:dyDescent="0.2">
      <c r="A6860" t="s">
        <v>12283</v>
      </c>
      <c r="B6860" t="s">
        <v>12284</v>
      </c>
      <c r="C6860" t="s">
        <v>111</v>
      </c>
      <c r="D6860" t="s">
        <v>14</v>
      </c>
      <c r="E6860" t="s">
        <v>158</v>
      </c>
      <c r="F6860" s="2" t="str">
        <f>HYPERLINK("http://www.otzar.org/book.asp?628590","ברכת דוד - 4 כר'")</f>
        <v>ברכת דוד - 4 כר'</v>
      </c>
    </row>
    <row r="6861" spans="1:6" x14ac:dyDescent="0.2">
      <c r="A6861" t="s">
        <v>12285</v>
      </c>
      <c r="B6861" t="s">
        <v>6053</v>
      </c>
      <c r="C6861" t="s">
        <v>5163</v>
      </c>
      <c r="D6861" t="s">
        <v>1279</v>
      </c>
      <c r="E6861" t="s">
        <v>158</v>
      </c>
      <c r="F6861" s="2" t="str">
        <f>HYPERLINK("http://www.otzar.org/book.asp?104429","ברכת דוד")</f>
        <v>ברכת דוד</v>
      </c>
    </row>
    <row r="6862" spans="1:6" x14ac:dyDescent="0.2">
      <c r="A6862" t="s">
        <v>12286</v>
      </c>
      <c r="B6862" t="s">
        <v>12287</v>
      </c>
      <c r="C6862" t="s">
        <v>146</v>
      </c>
      <c r="D6862" t="s">
        <v>152</v>
      </c>
      <c r="E6862" t="s">
        <v>172</v>
      </c>
      <c r="F6862" s="2" t="str">
        <f>HYPERLINK("http://www.otzar.org/book.asp?166139","ברכת דוד - 5 כר'")</f>
        <v>ברכת דוד - 5 כר'</v>
      </c>
    </row>
    <row r="6863" spans="1:6" x14ac:dyDescent="0.2">
      <c r="A6863" t="s">
        <v>12285</v>
      </c>
      <c r="B6863" t="s">
        <v>12288</v>
      </c>
      <c r="C6863" t="s">
        <v>75</v>
      </c>
      <c r="D6863" t="s">
        <v>1419</v>
      </c>
      <c r="E6863" t="s">
        <v>474</v>
      </c>
      <c r="F6863" s="2" t="str">
        <f>HYPERLINK("http://www.otzar.org/book.asp?153538","ברכת דוד")</f>
        <v>ברכת דוד</v>
      </c>
    </row>
    <row r="6864" spans="1:6" x14ac:dyDescent="0.2">
      <c r="A6864" t="s">
        <v>12289</v>
      </c>
      <c r="B6864" t="s">
        <v>12290</v>
      </c>
      <c r="C6864" t="s">
        <v>51</v>
      </c>
      <c r="D6864" t="s">
        <v>412</v>
      </c>
      <c r="E6864" t="s">
        <v>144</v>
      </c>
      <c r="F6864" s="2" t="str">
        <f>HYPERLINK("http://www.otzar.org/book.asp?158532","ברכת דוד - 2 כר'")</f>
        <v>ברכת דוד - 2 כר'</v>
      </c>
    </row>
    <row r="6865" spans="1:6" x14ac:dyDescent="0.2">
      <c r="A6865" t="s">
        <v>12283</v>
      </c>
      <c r="B6865" t="s">
        <v>12291</v>
      </c>
      <c r="C6865" t="s">
        <v>624</v>
      </c>
      <c r="D6865" t="s">
        <v>52</v>
      </c>
      <c r="E6865" t="s">
        <v>24</v>
      </c>
      <c r="F6865" s="2" t="str">
        <f>HYPERLINK("http://www.otzar.org/book.asp?107235","ברכת דוד - 4 כר'")</f>
        <v>ברכת דוד - 4 כר'</v>
      </c>
    </row>
    <row r="6866" spans="1:6" x14ac:dyDescent="0.2">
      <c r="A6866" t="s">
        <v>12285</v>
      </c>
      <c r="B6866" t="s">
        <v>12292</v>
      </c>
      <c r="C6866" t="s">
        <v>23</v>
      </c>
      <c r="D6866" t="s">
        <v>4665</v>
      </c>
      <c r="F6866" s="2" t="str">
        <f>HYPERLINK("http://www.otzar.org/book.asp?606174","ברכת דוד")</f>
        <v>ברכת דוד</v>
      </c>
    </row>
    <row r="6867" spans="1:6" x14ac:dyDescent="0.2">
      <c r="A6867" t="s">
        <v>12285</v>
      </c>
      <c r="B6867" t="s">
        <v>1750</v>
      </c>
      <c r="C6867" t="s">
        <v>87</v>
      </c>
      <c r="D6867" t="s">
        <v>14</v>
      </c>
      <c r="E6867" t="s">
        <v>12293</v>
      </c>
      <c r="F6867" s="2" t="str">
        <f>HYPERLINK("http://www.otzar.org/book.asp?13293","ברכת דוד")</f>
        <v>ברכת דוד</v>
      </c>
    </row>
    <row r="6868" spans="1:6" x14ac:dyDescent="0.2">
      <c r="A6868" t="s">
        <v>12285</v>
      </c>
      <c r="B6868" t="s">
        <v>12294</v>
      </c>
      <c r="C6868" t="s">
        <v>896</v>
      </c>
      <c r="D6868" t="s">
        <v>855</v>
      </c>
      <c r="E6868" t="s">
        <v>144</v>
      </c>
      <c r="F6868" s="2" t="str">
        <f>HYPERLINK("http://www.otzar.org/book.asp?17370","ברכת דוד")</f>
        <v>ברכת דוד</v>
      </c>
    </row>
    <row r="6869" spans="1:6" x14ac:dyDescent="0.2">
      <c r="A6869" t="s">
        <v>12295</v>
      </c>
      <c r="B6869" t="s">
        <v>12296</v>
      </c>
      <c r="C6869" t="s">
        <v>37</v>
      </c>
      <c r="D6869" t="s">
        <v>14</v>
      </c>
      <c r="E6869" t="s">
        <v>1211</v>
      </c>
      <c r="F6869" s="2" t="str">
        <f>HYPERLINK("http://www.otzar.org/book.asp?180768","ברכת דניאל")</f>
        <v>ברכת דניאל</v>
      </c>
    </row>
    <row r="6870" spans="1:6" x14ac:dyDescent="0.2">
      <c r="A6870" t="s">
        <v>12297</v>
      </c>
      <c r="B6870" t="s">
        <v>686</v>
      </c>
      <c r="C6870" t="s">
        <v>87</v>
      </c>
      <c r="D6870" t="s">
        <v>52</v>
      </c>
      <c r="E6870" t="s">
        <v>15</v>
      </c>
      <c r="F6870" s="2" t="str">
        <f>HYPERLINK("http://www.otzar.org/book.asp?179880","ברכת ה'")</f>
        <v>ברכת ה'</v>
      </c>
    </row>
    <row r="6871" spans="1:6" x14ac:dyDescent="0.2">
      <c r="A6871" t="s">
        <v>12297</v>
      </c>
      <c r="B6871" t="s">
        <v>12298</v>
      </c>
      <c r="C6871" t="s">
        <v>482</v>
      </c>
      <c r="D6871" t="s">
        <v>12299</v>
      </c>
      <c r="E6871" t="s">
        <v>15</v>
      </c>
      <c r="F6871" s="2" t="str">
        <f>HYPERLINK("http://www.otzar.org/book.asp?196330","ברכת ה'")</f>
        <v>ברכת ה'</v>
      </c>
    </row>
    <row r="6872" spans="1:6" x14ac:dyDescent="0.2">
      <c r="A6872" t="s">
        <v>12300</v>
      </c>
      <c r="B6872" t="s">
        <v>12301</v>
      </c>
      <c r="C6872" t="s">
        <v>1228</v>
      </c>
      <c r="D6872" t="s">
        <v>27</v>
      </c>
      <c r="E6872" t="s">
        <v>144</v>
      </c>
      <c r="F6872" s="2" t="str">
        <f>HYPERLINK("http://www.otzar.org/book.asp?5601","ברכת ה' - 4 כר'")</f>
        <v>ברכת ה' - 4 כר'</v>
      </c>
    </row>
    <row r="6873" spans="1:6" x14ac:dyDescent="0.2">
      <c r="A6873" t="s">
        <v>12302</v>
      </c>
      <c r="B6873" t="s">
        <v>12303</v>
      </c>
      <c r="C6873" t="s">
        <v>313</v>
      </c>
      <c r="D6873" t="s">
        <v>52</v>
      </c>
      <c r="E6873" t="s">
        <v>15</v>
      </c>
      <c r="F6873" s="2" t="str">
        <f>HYPERLINK("http://www.otzar.org/book.asp?22772","ברכת ה' - 5 כר'")</f>
        <v>ברכת ה' - 5 כר'</v>
      </c>
    </row>
    <row r="6874" spans="1:6" x14ac:dyDescent="0.2">
      <c r="A6874" t="s">
        <v>12304</v>
      </c>
      <c r="B6874" t="s">
        <v>12305</v>
      </c>
      <c r="C6874" t="s">
        <v>466</v>
      </c>
      <c r="D6874" t="s">
        <v>52</v>
      </c>
      <c r="E6874" t="s">
        <v>12306</v>
      </c>
      <c r="F6874" s="2" t="str">
        <f>HYPERLINK("http://www.otzar.org/book.asp?52273","ברכת האהל - אהלות")</f>
        <v>ברכת האהל - אהלות</v>
      </c>
    </row>
    <row r="6875" spans="1:6" x14ac:dyDescent="0.2">
      <c r="A6875" t="s">
        <v>12307</v>
      </c>
      <c r="B6875" t="s">
        <v>12308</v>
      </c>
      <c r="C6875" t="s">
        <v>454</v>
      </c>
      <c r="D6875" t="s">
        <v>52</v>
      </c>
      <c r="E6875" t="s">
        <v>15</v>
      </c>
      <c r="F6875" s="2" t="str">
        <f>HYPERLINK("http://www.otzar.org/book.asp?28083","ברכת האורח")</f>
        <v>ברכת האורח</v>
      </c>
    </row>
    <row r="6876" spans="1:6" x14ac:dyDescent="0.2">
      <c r="A6876" t="s">
        <v>12309</v>
      </c>
      <c r="B6876" t="s">
        <v>11311</v>
      </c>
      <c r="C6876" t="s">
        <v>51</v>
      </c>
      <c r="D6876" t="s">
        <v>14</v>
      </c>
      <c r="E6876" t="s">
        <v>144</v>
      </c>
      <c r="F6876" s="2" t="str">
        <f>HYPERLINK("http://www.otzar.org/book.asp?22553","ברכת האורים")</f>
        <v>ברכת האורים</v>
      </c>
    </row>
    <row r="6877" spans="1:6" x14ac:dyDescent="0.2">
      <c r="A6877" t="s">
        <v>12310</v>
      </c>
      <c r="B6877" t="s">
        <v>12311</v>
      </c>
      <c r="C6877" t="s">
        <v>244</v>
      </c>
      <c r="F6877" s="2" t="str">
        <f>HYPERLINK("http://www.otzar.org/book.asp?605249","ברכת האילנות")</f>
        <v>ברכת האילנות</v>
      </c>
    </row>
    <row r="6878" spans="1:6" x14ac:dyDescent="0.2">
      <c r="A6878" t="s">
        <v>12310</v>
      </c>
      <c r="B6878" t="s">
        <v>12038</v>
      </c>
      <c r="C6878" t="s">
        <v>547</v>
      </c>
      <c r="D6878" t="s">
        <v>889</v>
      </c>
      <c r="E6878" t="s">
        <v>24</v>
      </c>
      <c r="F6878" s="2" t="str">
        <f>HYPERLINK("http://www.otzar.org/book.asp?21693","ברכת האילנות")</f>
        <v>ברכת האילנות</v>
      </c>
    </row>
    <row r="6879" spans="1:6" x14ac:dyDescent="0.2">
      <c r="A6879" t="s">
        <v>12312</v>
      </c>
      <c r="B6879" t="s">
        <v>12313</v>
      </c>
      <c r="C6879" t="s">
        <v>2644</v>
      </c>
      <c r="D6879" t="s">
        <v>27</v>
      </c>
      <c r="E6879" t="s">
        <v>674</v>
      </c>
      <c r="F6879" s="2" t="str">
        <f>HYPERLINK("http://www.otzar.org/book.asp?11450","ברכת הארץ")</f>
        <v>ברכת הארץ</v>
      </c>
    </row>
    <row r="6880" spans="1:6" x14ac:dyDescent="0.2">
      <c r="A6880" t="s">
        <v>12314</v>
      </c>
      <c r="B6880" t="s">
        <v>12315</v>
      </c>
      <c r="C6880" t="s">
        <v>908</v>
      </c>
      <c r="D6880" t="s">
        <v>8827</v>
      </c>
      <c r="E6880" t="s">
        <v>1211</v>
      </c>
      <c r="F6880" s="2" t="str">
        <f>HYPERLINK("http://www.otzar.org/book.asp?195501","ברכת הארץ - 2 כר'")</f>
        <v>ברכת הארץ - 2 כר'</v>
      </c>
    </row>
    <row r="6881" spans="1:6" x14ac:dyDescent="0.2">
      <c r="A6881" t="s">
        <v>12312</v>
      </c>
      <c r="B6881" t="s">
        <v>12316</v>
      </c>
      <c r="C6881" t="s">
        <v>523</v>
      </c>
      <c r="D6881" t="s">
        <v>14</v>
      </c>
      <c r="E6881" t="s">
        <v>15</v>
      </c>
      <c r="F6881" s="2" t="str">
        <f>HYPERLINK("http://www.otzar.org/book.asp?179807","ברכת הארץ")</f>
        <v>ברכת הארץ</v>
      </c>
    </row>
    <row r="6882" spans="1:6" x14ac:dyDescent="0.2">
      <c r="A6882" t="s">
        <v>12317</v>
      </c>
      <c r="B6882" t="s">
        <v>12318</v>
      </c>
      <c r="C6882" t="s">
        <v>176</v>
      </c>
      <c r="D6882" t="s">
        <v>216</v>
      </c>
      <c r="E6882" t="s">
        <v>15</v>
      </c>
      <c r="F6882" s="2" t="str">
        <f>HYPERLINK("http://www.otzar.org/book.asp?172341","ברכת הבית &lt;מהדורה חדשה&gt; - 2 כר'")</f>
        <v>ברכת הבית &lt;מהדורה חדשה&gt; - 2 כר'</v>
      </c>
    </row>
    <row r="6883" spans="1:6" x14ac:dyDescent="0.2">
      <c r="A6883" t="s">
        <v>12319</v>
      </c>
      <c r="B6883" t="s">
        <v>12318</v>
      </c>
      <c r="C6883" t="s">
        <v>617</v>
      </c>
      <c r="D6883" t="s">
        <v>756</v>
      </c>
      <c r="E6883" t="s">
        <v>15</v>
      </c>
      <c r="F6883" s="2" t="str">
        <f>HYPERLINK("http://www.otzar.org/book.asp?172867","ברכת הבית - 2 כר'")</f>
        <v>ברכת הבית - 2 כר'</v>
      </c>
    </row>
    <row r="6884" spans="1:6" x14ac:dyDescent="0.2">
      <c r="A6884" t="s">
        <v>12320</v>
      </c>
      <c r="B6884" t="s">
        <v>12321</v>
      </c>
      <c r="C6884" t="s">
        <v>624</v>
      </c>
      <c r="D6884" t="s">
        <v>412</v>
      </c>
      <c r="E6884" t="s">
        <v>84</v>
      </c>
      <c r="F6884" s="2" t="str">
        <f>HYPERLINK("http://www.otzar.org/book.asp?190878","ברכת הבית - חלה")</f>
        <v>ברכת הבית - חלה</v>
      </c>
    </row>
    <row r="6885" spans="1:6" x14ac:dyDescent="0.2">
      <c r="A6885" t="s">
        <v>12322</v>
      </c>
      <c r="B6885" t="s">
        <v>686</v>
      </c>
      <c r="C6885" t="s">
        <v>624</v>
      </c>
      <c r="D6885" t="s">
        <v>52</v>
      </c>
      <c r="E6885" t="s">
        <v>104</v>
      </c>
      <c r="F6885" s="2" t="str">
        <f>HYPERLINK("http://www.otzar.org/book.asp?189716","ברכת הורי")</f>
        <v>ברכת הורי</v>
      </c>
    </row>
    <row r="6886" spans="1:6" x14ac:dyDescent="0.2">
      <c r="A6886" t="s">
        <v>12323</v>
      </c>
      <c r="B6886" t="s">
        <v>5944</v>
      </c>
      <c r="C6886" t="s">
        <v>10572</v>
      </c>
      <c r="D6886" t="s">
        <v>280</v>
      </c>
      <c r="E6886" t="s">
        <v>803</v>
      </c>
      <c r="F6886" s="2" t="str">
        <f>HYPERLINK("http://www.otzar.org/book.asp?182083","ברכת הזבח &lt;עומר מן - 2 כר'")</f>
        <v>ברכת הזבח &lt;עומר מן - 2 כר'</v>
      </c>
    </row>
    <row r="6887" spans="1:6" x14ac:dyDescent="0.2">
      <c r="A6887" t="s">
        <v>12324</v>
      </c>
      <c r="B6887" t="s">
        <v>5944</v>
      </c>
      <c r="C6887" t="s">
        <v>12325</v>
      </c>
      <c r="D6887" t="s">
        <v>1023</v>
      </c>
      <c r="E6887" t="s">
        <v>9368</v>
      </c>
      <c r="F6887" s="2" t="str">
        <f>HYPERLINK("http://www.otzar.org/book.asp?167557","ברכת הזבח")</f>
        <v>ברכת הזבח</v>
      </c>
    </row>
    <row r="6888" spans="1:6" x14ac:dyDescent="0.2">
      <c r="A6888" t="s">
        <v>12326</v>
      </c>
      <c r="B6888" t="s">
        <v>12327</v>
      </c>
      <c r="C6888" t="s">
        <v>68</v>
      </c>
      <c r="D6888" t="s">
        <v>14</v>
      </c>
      <c r="E6888" t="s">
        <v>15</v>
      </c>
      <c r="F6888" s="2" t="str">
        <f>HYPERLINK("http://www.otzar.org/book.asp?172063","ברכת הזמן")</f>
        <v>ברכת הזמן</v>
      </c>
    </row>
    <row r="6889" spans="1:6" x14ac:dyDescent="0.2">
      <c r="A6889" t="s">
        <v>12328</v>
      </c>
      <c r="B6889" t="s">
        <v>12329</v>
      </c>
      <c r="C6889" t="s">
        <v>4858</v>
      </c>
      <c r="D6889" t="s">
        <v>6801</v>
      </c>
      <c r="E6889" t="s">
        <v>15</v>
      </c>
      <c r="F6889" s="2" t="str">
        <f>HYPERLINK("http://www.otzar.org/book.asp?146866","ברכת החדש")</f>
        <v>ברכת החדש</v>
      </c>
    </row>
    <row r="6890" spans="1:6" x14ac:dyDescent="0.2">
      <c r="A6890" t="s">
        <v>12330</v>
      </c>
      <c r="B6890" t="s">
        <v>9258</v>
      </c>
      <c r="C6890" t="s">
        <v>129</v>
      </c>
      <c r="D6890" t="s">
        <v>367</v>
      </c>
      <c r="E6890" t="s">
        <v>172</v>
      </c>
      <c r="F6890" s="2" t="str">
        <f>HYPERLINK("http://www.otzar.org/book.asp?608264","ברכת החיים")</f>
        <v>ברכת החיים</v>
      </c>
    </row>
    <row r="6891" spans="1:6" x14ac:dyDescent="0.2">
      <c r="A6891" t="s">
        <v>12331</v>
      </c>
      <c r="B6891" t="s">
        <v>9202</v>
      </c>
      <c r="C6891" t="s">
        <v>129</v>
      </c>
      <c r="D6891" t="s">
        <v>367</v>
      </c>
      <c r="E6891" t="s">
        <v>768</v>
      </c>
      <c r="F6891" s="2" t="str">
        <f>HYPERLINK("http://www.otzar.org/book.asp?166025","ברכת החיים - 2 כר'")</f>
        <v>ברכת החיים - 2 כר'</v>
      </c>
    </row>
    <row r="6892" spans="1:6" x14ac:dyDescent="0.2">
      <c r="A6892" t="s">
        <v>12332</v>
      </c>
      <c r="B6892" t="s">
        <v>12333</v>
      </c>
      <c r="C6892" t="s">
        <v>1268</v>
      </c>
      <c r="D6892" t="s">
        <v>14</v>
      </c>
      <c r="F6892" s="2" t="str">
        <f>HYPERLINK("http://www.otzar.org/book.asp?613386","ברכת החמה &lt;ספינקא&gt;")</f>
        <v>ברכת החמה &lt;ספינקא&gt;</v>
      </c>
    </row>
    <row r="6893" spans="1:6" x14ac:dyDescent="0.2">
      <c r="A6893" t="s">
        <v>12334</v>
      </c>
      <c r="B6893" t="s">
        <v>1750</v>
      </c>
      <c r="C6893" t="s">
        <v>422</v>
      </c>
      <c r="D6893" t="s">
        <v>14</v>
      </c>
      <c r="E6893" t="s">
        <v>24</v>
      </c>
      <c r="F6893" s="2" t="str">
        <f>HYPERLINK("http://www.otzar.org/book.asp?168403","ברכת החמה בהלכה ובאגדה")</f>
        <v>ברכת החמה בהלכה ובאגדה</v>
      </c>
    </row>
    <row r="6894" spans="1:6" x14ac:dyDescent="0.2">
      <c r="A6894" t="s">
        <v>12335</v>
      </c>
      <c r="B6894" t="s">
        <v>12336</v>
      </c>
      <c r="C6894" t="s">
        <v>68</v>
      </c>
      <c r="D6894" t="s">
        <v>412</v>
      </c>
      <c r="E6894" t="s">
        <v>24</v>
      </c>
      <c r="F6894" s="2" t="str">
        <f>HYPERLINK("http://www.otzar.org/book.asp?173226","ברכת החמה בתקופתה")</f>
        <v>ברכת החמה בתקופתה</v>
      </c>
    </row>
    <row r="6895" spans="1:6" x14ac:dyDescent="0.2">
      <c r="A6895" t="s">
        <v>12337</v>
      </c>
      <c r="B6895" t="s">
        <v>12337</v>
      </c>
      <c r="C6895" t="s">
        <v>20</v>
      </c>
      <c r="D6895" t="s">
        <v>52</v>
      </c>
      <c r="E6895" t="s">
        <v>15</v>
      </c>
      <c r="F6895" s="2" t="str">
        <f>HYPERLINK("http://www.otzar.org/book.asp?149920","ברכת החמה והלכותיה")</f>
        <v>ברכת החמה והלכותיה</v>
      </c>
    </row>
    <row r="6896" spans="1:6" x14ac:dyDescent="0.2">
      <c r="A6896" t="s">
        <v>12337</v>
      </c>
      <c r="B6896" t="s">
        <v>12338</v>
      </c>
      <c r="C6896" t="s">
        <v>422</v>
      </c>
      <c r="D6896" t="s">
        <v>14</v>
      </c>
      <c r="E6896" t="s">
        <v>24</v>
      </c>
      <c r="F6896" s="2" t="str">
        <f>HYPERLINK("http://www.otzar.org/book.asp?160989","ברכת החמה והלכותיה")</f>
        <v>ברכת החמה והלכותיה</v>
      </c>
    </row>
    <row r="6897" spans="1:6" x14ac:dyDescent="0.2">
      <c r="A6897" t="s">
        <v>12337</v>
      </c>
      <c r="B6897" t="s">
        <v>12339</v>
      </c>
      <c r="C6897" t="s">
        <v>422</v>
      </c>
      <c r="D6897" t="s">
        <v>1156</v>
      </c>
      <c r="E6897" t="s">
        <v>4731</v>
      </c>
      <c r="F6897" s="2" t="str">
        <f>HYPERLINK("http://www.otzar.org/book.asp?163392","ברכת החמה והלכותיה")</f>
        <v>ברכת החמה והלכותיה</v>
      </c>
    </row>
    <row r="6898" spans="1:6" x14ac:dyDescent="0.2">
      <c r="A6898" t="s">
        <v>12340</v>
      </c>
      <c r="B6898" t="s">
        <v>4980</v>
      </c>
      <c r="C6898" t="s">
        <v>68</v>
      </c>
      <c r="D6898" t="s">
        <v>14</v>
      </c>
      <c r="E6898" t="s">
        <v>219</v>
      </c>
      <c r="F6898" s="2" t="str">
        <f>HYPERLINK("http://www.otzar.org/book.asp?154016","ברכת החמה כהלכתה &lt;מהדורה חדשה&gt;")</f>
        <v>ברכת החמה כהלכתה &lt;מהדורה חדשה&gt;</v>
      </c>
    </row>
    <row r="6899" spans="1:6" x14ac:dyDescent="0.2">
      <c r="A6899" t="s">
        <v>12341</v>
      </c>
      <c r="B6899" t="s">
        <v>4980</v>
      </c>
      <c r="C6899" t="s">
        <v>1268</v>
      </c>
      <c r="D6899" t="s">
        <v>14</v>
      </c>
      <c r="E6899" t="s">
        <v>15</v>
      </c>
      <c r="F6899" s="2" t="str">
        <f>HYPERLINK("http://www.otzar.org/book.asp?149825","ברכת החמה כהלכתה")</f>
        <v>ברכת החמה כהלכתה</v>
      </c>
    </row>
    <row r="6900" spans="1:6" x14ac:dyDescent="0.2">
      <c r="A6900" t="s">
        <v>12342</v>
      </c>
      <c r="B6900" t="s">
        <v>12343</v>
      </c>
      <c r="C6900" t="s">
        <v>748</v>
      </c>
      <c r="D6900" t="s">
        <v>12344</v>
      </c>
      <c r="F6900" s="2" t="str">
        <f>HYPERLINK("http://www.otzar.org/book.asp?170184","ברכת החמה כמנהג וירציללי")</f>
        <v>ברכת החמה כמנהג וירציללי</v>
      </c>
    </row>
    <row r="6901" spans="1:6" x14ac:dyDescent="0.2">
      <c r="A6901" t="s">
        <v>12345</v>
      </c>
      <c r="B6901" t="s">
        <v>12346</v>
      </c>
      <c r="C6901" t="s">
        <v>422</v>
      </c>
      <c r="D6901" t="s">
        <v>14</v>
      </c>
      <c r="E6901" t="s">
        <v>219</v>
      </c>
      <c r="F6901" s="2" t="str">
        <f>HYPERLINK("http://www.otzar.org/book.asp?160994","ברכת החמה נוסחתה ומנהגיה")</f>
        <v>ברכת החמה נוסחתה ומנהגיה</v>
      </c>
    </row>
    <row r="6902" spans="1:6" x14ac:dyDescent="0.2">
      <c r="A6902" t="s">
        <v>12333</v>
      </c>
      <c r="B6902" t="s">
        <v>12347</v>
      </c>
      <c r="C6902" t="s">
        <v>422</v>
      </c>
      <c r="D6902" t="s">
        <v>14</v>
      </c>
      <c r="E6902" t="s">
        <v>24</v>
      </c>
      <c r="F6902" s="2" t="str">
        <f>HYPERLINK("http://www.otzar.org/book.asp?160991","ברכת החמה")</f>
        <v>ברכת החמה</v>
      </c>
    </row>
    <row r="6903" spans="1:6" x14ac:dyDescent="0.2">
      <c r="A6903" t="s">
        <v>12333</v>
      </c>
      <c r="B6903" t="s">
        <v>12348</v>
      </c>
      <c r="C6903" t="s">
        <v>581</v>
      </c>
      <c r="D6903" t="s">
        <v>2313</v>
      </c>
      <c r="E6903" t="s">
        <v>219</v>
      </c>
      <c r="F6903" s="2" t="str">
        <f>HYPERLINK("http://www.otzar.org/book.asp?13499","ברכת החמה")</f>
        <v>ברכת החמה</v>
      </c>
    </row>
    <row r="6904" spans="1:6" x14ac:dyDescent="0.2">
      <c r="A6904" t="s">
        <v>12349</v>
      </c>
      <c r="B6904" t="s">
        <v>7870</v>
      </c>
      <c r="C6904" t="s">
        <v>422</v>
      </c>
      <c r="D6904" t="s">
        <v>412</v>
      </c>
      <c r="E6904" t="s">
        <v>24</v>
      </c>
      <c r="F6904" s="2" t="str">
        <f>HYPERLINK("http://www.otzar.org/book.asp?176098","ברכת החמה - אור החמה")</f>
        <v>ברכת החמה - אור החמה</v>
      </c>
    </row>
    <row r="6905" spans="1:6" x14ac:dyDescent="0.2">
      <c r="A6905" t="s">
        <v>12333</v>
      </c>
      <c r="B6905" t="s">
        <v>12350</v>
      </c>
      <c r="C6905" t="s">
        <v>12351</v>
      </c>
      <c r="D6905" t="s">
        <v>90</v>
      </c>
      <c r="F6905" s="2" t="str">
        <f>HYPERLINK("http://www.otzar.org/book.asp?618046","ברכת החמה")</f>
        <v>ברכת החמה</v>
      </c>
    </row>
    <row r="6906" spans="1:6" x14ac:dyDescent="0.2">
      <c r="A6906" t="s">
        <v>12333</v>
      </c>
      <c r="B6906" t="s">
        <v>12343</v>
      </c>
      <c r="C6906" t="s">
        <v>748</v>
      </c>
      <c r="D6906" t="s">
        <v>27</v>
      </c>
      <c r="F6906" s="2" t="str">
        <f>HYPERLINK("http://www.otzar.org/book.asp?170190","ברכת החמה")</f>
        <v>ברכת החמה</v>
      </c>
    </row>
    <row r="6907" spans="1:6" x14ac:dyDescent="0.2">
      <c r="A6907" t="s">
        <v>12333</v>
      </c>
      <c r="B6907" t="s">
        <v>12352</v>
      </c>
      <c r="C6907" t="s">
        <v>1062</v>
      </c>
      <c r="D6907" t="s">
        <v>1889</v>
      </c>
      <c r="E6907" t="s">
        <v>219</v>
      </c>
      <c r="F6907" s="2" t="str">
        <f>HYPERLINK("http://www.otzar.org/book.asp?21697","ברכת החמה")</f>
        <v>ברכת החמה</v>
      </c>
    </row>
    <row r="6908" spans="1:6" x14ac:dyDescent="0.2">
      <c r="A6908" t="s">
        <v>12353</v>
      </c>
      <c r="B6908" t="s">
        <v>12354</v>
      </c>
      <c r="C6908" t="s">
        <v>3106</v>
      </c>
      <c r="D6908" t="s">
        <v>27</v>
      </c>
      <c r="E6908" t="s">
        <v>219</v>
      </c>
      <c r="F6908" s="2" t="str">
        <f>HYPERLINK("http://www.otzar.org/book.asp?13498","ברכת החמה - 4 כר'")</f>
        <v>ברכת החמה - 4 כר'</v>
      </c>
    </row>
    <row r="6909" spans="1:6" x14ac:dyDescent="0.2">
      <c r="A6909" t="s">
        <v>12355</v>
      </c>
      <c r="B6909" t="s">
        <v>4606</v>
      </c>
      <c r="C6909" t="s">
        <v>1268</v>
      </c>
      <c r="D6909" t="s">
        <v>52</v>
      </c>
      <c r="E6909" t="s">
        <v>15</v>
      </c>
      <c r="F6909" s="2" t="str">
        <f>HYPERLINK("http://www.otzar.org/book.asp?144453","ברכת החמה, ערב פסח שחל בשבת, פורים שחל בשבת")</f>
        <v>ברכת החמה, ערב פסח שחל בשבת, פורים שחל בשבת</v>
      </c>
    </row>
    <row r="6910" spans="1:6" x14ac:dyDescent="0.2">
      <c r="A6910" t="s">
        <v>12356</v>
      </c>
      <c r="B6910" t="s">
        <v>686</v>
      </c>
      <c r="C6910" t="s">
        <v>189</v>
      </c>
      <c r="D6910" t="s">
        <v>52</v>
      </c>
      <c r="E6910" t="s">
        <v>165</v>
      </c>
      <c r="F6910" s="2" t="str">
        <f>HYPERLINK("http://www.otzar.org/book.asp?60731","ברכת הטנא")</f>
        <v>ברכת הטנא</v>
      </c>
    </row>
    <row r="6911" spans="1:6" x14ac:dyDescent="0.2">
      <c r="A6911" t="s">
        <v>12357</v>
      </c>
      <c r="B6911" t="s">
        <v>12358</v>
      </c>
      <c r="C6911" t="s">
        <v>411</v>
      </c>
      <c r="D6911" t="s">
        <v>14</v>
      </c>
      <c r="E6911" t="s">
        <v>24</v>
      </c>
      <c r="F6911" s="2" t="str">
        <f>HYPERLINK("http://www.otzar.org/book.asp?175979","ברכת הלבנה")</f>
        <v>ברכת הלבנה</v>
      </c>
    </row>
    <row r="6912" spans="1:6" x14ac:dyDescent="0.2">
      <c r="A6912" t="s">
        <v>12359</v>
      </c>
      <c r="B6912" t="s">
        <v>9457</v>
      </c>
      <c r="C6912" t="s">
        <v>129</v>
      </c>
      <c r="D6912" t="s">
        <v>6283</v>
      </c>
      <c r="E6912" t="s">
        <v>15</v>
      </c>
      <c r="F6912" s="2" t="str">
        <f>HYPERLINK("http://www.otzar.org/book.asp?153700","ברכת הלוי")</f>
        <v>ברכת הלוי</v>
      </c>
    </row>
    <row r="6913" spans="1:6" x14ac:dyDescent="0.2">
      <c r="A6913" t="s">
        <v>12360</v>
      </c>
      <c r="B6913" t="s">
        <v>12361</v>
      </c>
      <c r="C6913" t="s">
        <v>151</v>
      </c>
      <c r="D6913" t="s">
        <v>4338</v>
      </c>
      <c r="F6913" s="2" t="str">
        <f>HYPERLINK("http://www.otzar.org/book.asp?609986","ברכת הלחם")</f>
        <v>ברכת הלחם</v>
      </c>
    </row>
    <row r="6914" spans="1:6" x14ac:dyDescent="0.2">
      <c r="A6914" t="s">
        <v>12362</v>
      </c>
      <c r="B6914" t="s">
        <v>4259</v>
      </c>
      <c r="C6914" t="s">
        <v>624</v>
      </c>
      <c r="D6914" t="s">
        <v>486</v>
      </c>
      <c r="E6914" t="s">
        <v>230</v>
      </c>
      <c r="F6914" s="2" t="str">
        <f>HYPERLINK("http://www.otzar.org/book.asp?52740","ברכת הלל - 2 כר'")</f>
        <v>ברכת הלל - 2 כר'</v>
      </c>
    </row>
    <row r="6915" spans="1:6" x14ac:dyDescent="0.2">
      <c r="A6915" t="s">
        <v>12363</v>
      </c>
      <c r="B6915" t="s">
        <v>12364</v>
      </c>
      <c r="C6915" t="s">
        <v>454</v>
      </c>
      <c r="D6915" t="s">
        <v>152</v>
      </c>
      <c r="E6915" t="s">
        <v>144</v>
      </c>
      <c r="F6915" s="2" t="str">
        <f>HYPERLINK("http://www.otzar.org/book.asp?50207","ברכת המדבר - ברכות")</f>
        <v>ברכת המדבר - ברכות</v>
      </c>
    </row>
    <row r="6916" spans="1:6" x14ac:dyDescent="0.2">
      <c r="A6916" t="s">
        <v>12365</v>
      </c>
      <c r="B6916" t="s">
        <v>12366</v>
      </c>
      <c r="C6916" t="s">
        <v>422</v>
      </c>
      <c r="D6916" t="s">
        <v>52</v>
      </c>
      <c r="E6916" t="s">
        <v>219</v>
      </c>
      <c r="F6916" s="2" t="str">
        <f>HYPERLINK("http://www.otzar.org/book.asp?619451","ברכת המזון  &lt;ביאורי הגר""ח קנייבסקי&gt; - 2 כר'")</f>
        <v>ברכת המזון  &lt;ביאורי הגר"ח קנייבסקי&gt; - 2 כר'</v>
      </c>
    </row>
    <row r="6917" spans="1:6" x14ac:dyDescent="0.2">
      <c r="A6917" t="s">
        <v>12367</v>
      </c>
      <c r="B6917" t="s">
        <v>5253</v>
      </c>
      <c r="C6917" t="s">
        <v>68</v>
      </c>
      <c r="D6917" t="s">
        <v>486</v>
      </c>
      <c r="E6917" t="s">
        <v>219</v>
      </c>
      <c r="F6917" s="2" t="str">
        <f>HYPERLINK("http://www.otzar.org/book.asp?166585","ברכת המזון &lt;פניני מהרא""ל&gt;")</f>
        <v>ברכת המזון &lt;פניני מהרא"ל&gt;</v>
      </c>
    </row>
    <row r="6918" spans="1:6" x14ac:dyDescent="0.2">
      <c r="A6918" t="s">
        <v>12368</v>
      </c>
      <c r="B6918" t="s">
        <v>9316</v>
      </c>
      <c r="C6918" t="s">
        <v>37</v>
      </c>
      <c r="D6918" t="s">
        <v>152</v>
      </c>
      <c r="E6918" t="s">
        <v>213</v>
      </c>
      <c r="F6918" s="2" t="str">
        <f>HYPERLINK("http://www.otzar.org/book.asp?190046","ברכת המזון במחיצת החפץ חיים")</f>
        <v>ברכת המזון במחיצת החפץ חיים</v>
      </c>
    </row>
    <row r="6919" spans="1:6" x14ac:dyDescent="0.2">
      <c r="A6919" t="s">
        <v>12369</v>
      </c>
      <c r="B6919" t="s">
        <v>12370</v>
      </c>
      <c r="C6919" t="s">
        <v>133</v>
      </c>
      <c r="D6919" t="s">
        <v>147</v>
      </c>
      <c r="E6919" t="s">
        <v>24</v>
      </c>
      <c r="F6919" s="2" t="str">
        <f>HYPERLINK("http://www.otzar.org/book.asp?174649","ברכת המזון המבואר")</f>
        <v>ברכת המזון המבואר</v>
      </c>
    </row>
    <row r="6920" spans="1:6" x14ac:dyDescent="0.2">
      <c r="A6920" t="s">
        <v>12371</v>
      </c>
      <c r="B6920" t="s">
        <v>12372</v>
      </c>
      <c r="C6920" t="s">
        <v>9159</v>
      </c>
      <c r="D6920" t="s">
        <v>4539</v>
      </c>
      <c r="E6920" t="s">
        <v>219</v>
      </c>
      <c r="F6920" s="2" t="str">
        <f>HYPERLINK("http://www.otzar.org/book.asp?143000","ברכת המזון וזמירות (צילום פראג רע""ה)")</f>
        <v>ברכת המזון וזמירות (צילום פראג רע"ה)</v>
      </c>
    </row>
    <row r="6921" spans="1:6" x14ac:dyDescent="0.2">
      <c r="A6921" t="s">
        <v>12373</v>
      </c>
      <c r="B6921" t="s">
        <v>12374</v>
      </c>
      <c r="C6921" t="s">
        <v>1666</v>
      </c>
      <c r="D6921" t="s">
        <v>1117</v>
      </c>
      <c r="F6921" s="2" t="str">
        <f>HYPERLINK("http://www.otzar.org/book.asp?62175","ברכת המזון וזמירות ופירושיהם")</f>
        <v>ברכת המזון וזמירות ופירושיהם</v>
      </c>
    </row>
    <row r="6922" spans="1:6" x14ac:dyDescent="0.2">
      <c r="A6922" t="s">
        <v>12375</v>
      </c>
      <c r="B6922" t="s">
        <v>12374</v>
      </c>
      <c r="C6922" t="s">
        <v>8222</v>
      </c>
      <c r="D6922" t="s">
        <v>4539</v>
      </c>
      <c r="E6922" t="s">
        <v>219</v>
      </c>
      <c r="F6922" s="2" t="str">
        <f>HYPERLINK("http://www.otzar.org/book.asp?147266","ברכת המזון וזמירות")</f>
        <v>ברכת המזון וזמירות</v>
      </c>
    </row>
    <row r="6923" spans="1:6" x14ac:dyDescent="0.2">
      <c r="A6923" t="s">
        <v>12376</v>
      </c>
      <c r="B6923" t="s">
        <v>12377</v>
      </c>
      <c r="C6923" t="s">
        <v>523</v>
      </c>
      <c r="D6923" t="s">
        <v>14</v>
      </c>
      <c r="E6923" t="s">
        <v>219</v>
      </c>
      <c r="F6923" s="2" t="str">
        <f>HYPERLINK("http://www.otzar.org/book.asp?178926","ברכת המזון ונוסחה")</f>
        <v>ברכת המזון ונוסחה</v>
      </c>
    </row>
    <row r="6924" spans="1:6" x14ac:dyDescent="0.2">
      <c r="A6924" t="s">
        <v>12378</v>
      </c>
      <c r="B6924" t="s">
        <v>12379</v>
      </c>
      <c r="C6924" t="s">
        <v>12380</v>
      </c>
      <c r="D6924" t="s">
        <v>52</v>
      </c>
      <c r="E6924" t="s">
        <v>219</v>
      </c>
      <c r="F6924" s="2" t="str">
        <f>HYPERLINK("http://www.otzar.org/book.asp?171587","ברכת המזון ושבע ברכות &lt;שפע ברכה&gt;")</f>
        <v>ברכת המזון ושבע ברכות &lt;שפע ברכה&gt;</v>
      </c>
    </row>
    <row r="6925" spans="1:6" x14ac:dyDescent="0.2">
      <c r="A6925" t="s">
        <v>12381</v>
      </c>
      <c r="B6925" t="s">
        <v>12382</v>
      </c>
      <c r="C6925" t="s">
        <v>313</v>
      </c>
      <c r="D6925" t="s">
        <v>14</v>
      </c>
      <c r="E6925" t="s">
        <v>219</v>
      </c>
      <c r="F6925" s="2" t="str">
        <f>HYPERLINK("http://www.otzar.org/book.asp?163511","ברכת המזון ושבע ברכות עם לקט פירושים")</f>
        <v>ברכת המזון ושבע ברכות עם לקט פירושים</v>
      </c>
    </row>
    <row r="6926" spans="1:6" x14ac:dyDescent="0.2">
      <c r="A6926" t="s">
        <v>12383</v>
      </c>
      <c r="B6926" t="s">
        <v>12383</v>
      </c>
      <c r="C6926" t="s">
        <v>12384</v>
      </c>
      <c r="D6926" t="s">
        <v>12385</v>
      </c>
      <c r="E6926" t="s">
        <v>219</v>
      </c>
      <c r="F6926" s="2" t="str">
        <f>HYPERLINK("http://www.otzar.org/book.asp?600030","ברכת המזון ושבע ברכות")</f>
        <v>ברכת המזון ושבע ברכות</v>
      </c>
    </row>
    <row r="6927" spans="1:6" x14ac:dyDescent="0.2">
      <c r="A6927" t="s">
        <v>12386</v>
      </c>
      <c r="B6927" t="s">
        <v>3759</v>
      </c>
      <c r="C6927" t="s">
        <v>20</v>
      </c>
      <c r="D6927" t="s">
        <v>2798</v>
      </c>
      <c r="F6927" s="2" t="str">
        <f>HYPERLINK("http://www.otzar.org/book.asp?613369","ברכת המזון עם ביאור ופירוש")</f>
        <v>ברכת המזון עם ביאור ופירוש</v>
      </c>
    </row>
    <row r="6928" spans="1:6" x14ac:dyDescent="0.2">
      <c r="A6928" t="s">
        <v>12387</v>
      </c>
      <c r="B6928" t="s">
        <v>12388</v>
      </c>
      <c r="C6928" t="s">
        <v>37</v>
      </c>
      <c r="D6928" t="s">
        <v>367</v>
      </c>
      <c r="F6928" s="2" t="str">
        <f>HYPERLINK("http://www.otzar.org/book.asp?179596","ברכת המזון עם מדריך הברכות")</f>
        <v>ברכת המזון עם מדריך הברכות</v>
      </c>
    </row>
    <row r="6929" spans="1:6" x14ac:dyDescent="0.2">
      <c r="A6929" t="s">
        <v>12389</v>
      </c>
      <c r="B6929" t="s">
        <v>12390</v>
      </c>
      <c r="C6929" t="s">
        <v>20</v>
      </c>
      <c r="D6929" t="s">
        <v>90</v>
      </c>
      <c r="E6929" t="s">
        <v>219</v>
      </c>
      <c r="F6929" s="2" t="str">
        <f>HYPERLINK("http://www.otzar.org/book.asp?627197","ברכת המזון עם פירוש הריקאנאטי")</f>
        <v>ברכת המזון עם פירוש הריקאנאטי</v>
      </c>
    </row>
    <row r="6930" spans="1:6" x14ac:dyDescent="0.2">
      <c r="A6930" t="s">
        <v>12391</v>
      </c>
      <c r="B6930" t="s">
        <v>6829</v>
      </c>
      <c r="C6930" t="s">
        <v>12392</v>
      </c>
      <c r="D6930" t="s">
        <v>1769</v>
      </c>
      <c r="F6930" s="2" t="str">
        <f>HYPERLINK("http://www.otzar.org/book.asp?170313","ברכת המזון עם פירוש - 2 כר'")</f>
        <v>ברכת המזון עם פירוש - 2 כר'</v>
      </c>
    </row>
    <row r="6931" spans="1:6" x14ac:dyDescent="0.2">
      <c r="A6931" t="s">
        <v>12393</v>
      </c>
      <c r="B6931" t="s">
        <v>10448</v>
      </c>
      <c r="C6931" t="s">
        <v>111</v>
      </c>
      <c r="D6931" t="s">
        <v>2375</v>
      </c>
      <c r="E6931" t="s">
        <v>219</v>
      </c>
      <c r="F6931" s="2" t="str">
        <f>HYPERLINK("http://www.otzar.org/book.asp?625552","ברכת המזון")</f>
        <v>ברכת המזון</v>
      </c>
    </row>
    <row r="6932" spans="1:6" x14ac:dyDescent="0.2">
      <c r="A6932" t="s">
        <v>12393</v>
      </c>
      <c r="B6932" t="s">
        <v>12394</v>
      </c>
      <c r="C6932" t="s">
        <v>7162</v>
      </c>
      <c r="D6932" t="s">
        <v>1023</v>
      </c>
      <c r="E6932" t="s">
        <v>219</v>
      </c>
      <c r="F6932" s="2" t="str">
        <f>HYPERLINK("http://www.otzar.org/book.asp?181132","ברכת המזון")</f>
        <v>ברכת המזון</v>
      </c>
    </row>
    <row r="6933" spans="1:6" x14ac:dyDescent="0.2">
      <c r="A6933" t="s">
        <v>12395</v>
      </c>
      <c r="B6933" t="s">
        <v>12396</v>
      </c>
      <c r="C6933" t="s">
        <v>75</v>
      </c>
      <c r="D6933" t="s">
        <v>535</v>
      </c>
      <c r="E6933" t="s">
        <v>15</v>
      </c>
      <c r="F6933" s="2" t="str">
        <f>HYPERLINK("http://www.otzar.org/book.asp?100312","ברכת המים")</f>
        <v>ברכת המים</v>
      </c>
    </row>
    <row r="6934" spans="1:6" x14ac:dyDescent="0.2">
      <c r="A6934" t="s">
        <v>12397</v>
      </c>
      <c r="B6934" t="s">
        <v>12398</v>
      </c>
      <c r="C6934" t="s">
        <v>411</v>
      </c>
      <c r="D6934" t="s">
        <v>14</v>
      </c>
      <c r="E6934" t="s">
        <v>9368</v>
      </c>
      <c r="F6934" s="2" t="str">
        <f>HYPERLINK("http://www.otzar.org/book.asp?168163","ברכת המלך")</f>
        <v>ברכת המלך</v>
      </c>
    </row>
    <row r="6935" spans="1:6" x14ac:dyDescent="0.2">
      <c r="A6935" t="s">
        <v>12399</v>
      </c>
      <c r="B6935" t="s">
        <v>2688</v>
      </c>
      <c r="C6935" t="s">
        <v>13</v>
      </c>
      <c r="D6935" t="s">
        <v>14</v>
      </c>
      <c r="E6935" t="s">
        <v>674</v>
      </c>
      <c r="F6935" s="2" t="str">
        <f>HYPERLINK("http://www.otzar.org/book.asp?142507","ברכת המשנה &lt;טקסט&gt;")</f>
        <v>ברכת המשנה &lt;טקסט&gt;</v>
      </c>
    </row>
    <row r="6936" spans="1:6" x14ac:dyDescent="0.2">
      <c r="A6936" t="s">
        <v>12400</v>
      </c>
      <c r="B6936" t="s">
        <v>2688</v>
      </c>
      <c r="C6936" t="s">
        <v>767</v>
      </c>
      <c r="D6936" t="s">
        <v>412</v>
      </c>
      <c r="E6936" t="s">
        <v>674</v>
      </c>
      <c r="F6936" s="2" t="str">
        <f>HYPERLINK("http://www.otzar.org/book.asp?21617","ברכת המשנה")</f>
        <v>ברכת המשנה</v>
      </c>
    </row>
    <row r="6937" spans="1:6" x14ac:dyDescent="0.2">
      <c r="A6937" t="s">
        <v>12401</v>
      </c>
      <c r="B6937" t="s">
        <v>1091</v>
      </c>
      <c r="C6937" t="s">
        <v>785</v>
      </c>
      <c r="D6937" t="s">
        <v>14</v>
      </c>
      <c r="E6937" t="s">
        <v>15</v>
      </c>
      <c r="F6937" s="2" t="str">
        <f>HYPERLINK("http://www.otzar.org/book.asp?26722","ברכת הנהנין")</f>
        <v>ברכת הנהנין</v>
      </c>
    </row>
    <row r="6938" spans="1:6" x14ac:dyDescent="0.2">
      <c r="A6938" t="s">
        <v>12402</v>
      </c>
      <c r="B6938" t="s">
        <v>12403</v>
      </c>
      <c r="C6938" t="s">
        <v>422</v>
      </c>
      <c r="D6938" t="s">
        <v>14</v>
      </c>
      <c r="E6938" t="s">
        <v>104</v>
      </c>
      <c r="F6938" s="2" t="str">
        <f>HYPERLINK("http://www.otzar.org/book.asp?148302","ברכת הנישואין")</f>
        <v>ברכת הנישואין</v>
      </c>
    </row>
    <row r="6939" spans="1:6" x14ac:dyDescent="0.2">
      <c r="A6939" t="s">
        <v>12404</v>
      </c>
      <c r="B6939" t="s">
        <v>1956</v>
      </c>
      <c r="C6939" t="s">
        <v>725</v>
      </c>
      <c r="D6939" t="s">
        <v>412</v>
      </c>
      <c r="E6939" t="s">
        <v>15</v>
      </c>
      <c r="F6939" s="2" t="str">
        <f>HYPERLINK("http://www.otzar.org/book.asp?176928","ברכת הנפשות")</f>
        <v>ברכת הנפשות</v>
      </c>
    </row>
    <row r="6940" spans="1:6" x14ac:dyDescent="0.2">
      <c r="A6940" t="s">
        <v>12405</v>
      </c>
      <c r="B6940" t="s">
        <v>9258</v>
      </c>
      <c r="C6940" t="s">
        <v>146</v>
      </c>
      <c r="D6940" t="s">
        <v>367</v>
      </c>
      <c r="E6940" t="s">
        <v>148</v>
      </c>
      <c r="F6940" s="2" t="str">
        <f>HYPERLINK("http://www.otzar.org/book.asp?608262","ברכת הפירות")</f>
        <v>ברכת הפירות</v>
      </c>
    </row>
    <row r="6941" spans="1:6" x14ac:dyDescent="0.2">
      <c r="A6941" t="s">
        <v>12406</v>
      </c>
      <c r="B6941" t="s">
        <v>12407</v>
      </c>
      <c r="C6941" t="s">
        <v>51</v>
      </c>
      <c r="D6941" t="s">
        <v>14</v>
      </c>
      <c r="E6941" t="s">
        <v>144</v>
      </c>
      <c r="F6941" s="2" t="str">
        <f>HYPERLINK("http://www.otzar.org/book.asp?23544","ברכת הפסח &lt;שדה שמואל&gt; - פסחים, ר""ה")</f>
        <v>ברכת הפסח &lt;שדה שמואל&gt; - פסחים, ר"ה</v>
      </c>
    </row>
    <row r="6942" spans="1:6" x14ac:dyDescent="0.2">
      <c r="A6942" t="s">
        <v>12408</v>
      </c>
      <c r="B6942" t="s">
        <v>10463</v>
      </c>
      <c r="C6942" t="s">
        <v>3205</v>
      </c>
      <c r="D6942" t="s">
        <v>563</v>
      </c>
      <c r="E6942" t="s">
        <v>130</v>
      </c>
      <c r="F6942" s="2" t="str">
        <f>HYPERLINK("http://www.otzar.org/book.asp?176904","ברכת הפסח")</f>
        <v>ברכת הפסח</v>
      </c>
    </row>
    <row r="6943" spans="1:6" x14ac:dyDescent="0.2">
      <c r="A6943" t="s">
        <v>12409</v>
      </c>
      <c r="B6943" t="s">
        <v>10619</v>
      </c>
      <c r="C6943" t="s">
        <v>51</v>
      </c>
      <c r="D6943" t="s">
        <v>139</v>
      </c>
      <c r="E6943" t="s">
        <v>241</v>
      </c>
      <c r="F6943" s="2" t="str">
        <f>HYPERLINK("http://www.otzar.org/book.asp?160823","ברכת הפרנסה")</f>
        <v>ברכת הפרנסה</v>
      </c>
    </row>
    <row r="6944" spans="1:6" x14ac:dyDescent="0.2">
      <c r="A6944" t="s">
        <v>12410</v>
      </c>
      <c r="B6944" t="s">
        <v>12305</v>
      </c>
      <c r="C6944" t="s">
        <v>129</v>
      </c>
      <c r="D6944" t="s">
        <v>52</v>
      </c>
      <c r="E6944" t="s">
        <v>144</v>
      </c>
      <c r="F6944" s="2" t="str">
        <f>HYPERLINK("http://www.otzar.org/book.asp?52275","ברכת הקודש - תמורה")</f>
        <v>ברכת הקודש - תמורה</v>
      </c>
    </row>
    <row r="6945" spans="1:6" x14ac:dyDescent="0.2">
      <c r="A6945" t="s">
        <v>12411</v>
      </c>
      <c r="B6945" t="s">
        <v>206</v>
      </c>
      <c r="C6945" t="s">
        <v>103</v>
      </c>
      <c r="D6945" t="s">
        <v>52</v>
      </c>
      <c r="E6945" t="s">
        <v>15</v>
      </c>
      <c r="F6945" s="2" t="str">
        <f>HYPERLINK("http://www.otzar.org/book.asp?158885","ברכת הריח")</f>
        <v>ברכת הריח</v>
      </c>
    </row>
    <row r="6946" spans="1:6" x14ac:dyDescent="0.2">
      <c r="A6946" t="s">
        <v>12412</v>
      </c>
      <c r="B6946" t="s">
        <v>12413</v>
      </c>
      <c r="C6946" t="s">
        <v>422</v>
      </c>
      <c r="D6946" t="s">
        <v>14</v>
      </c>
      <c r="E6946" t="s">
        <v>474</v>
      </c>
      <c r="F6946" s="2" t="str">
        <f>HYPERLINK("http://www.otzar.org/book.asp?85462","ברכת השבח")</f>
        <v>ברכת השבח</v>
      </c>
    </row>
    <row r="6947" spans="1:6" x14ac:dyDescent="0.2">
      <c r="A6947" t="s">
        <v>12414</v>
      </c>
      <c r="B6947" t="s">
        <v>905</v>
      </c>
      <c r="C6947" t="s">
        <v>146</v>
      </c>
      <c r="D6947" t="s">
        <v>14</v>
      </c>
      <c r="E6947" t="s">
        <v>158</v>
      </c>
      <c r="F6947" s="2" t="str">
        <f>HYPERLINK("http://www.otzar.org/book.asp?148068","ברכת השבטים")</f>
        <v>ברכת השבטים</v>
      </c>
    </row>
    <row r="6948" spans="1:6" x14ac:dyDescent="0.2">
      <c r="A6948" t="s">
        <v>12415</v>
      </c>
      <c r="B6948" t="s">
        <v>12416</v>
      </c>
      <c r="C6948" t="s">
        <v>244</v>
      </c>
      <c r="D6948" t="s">
        <v>3406</v>
      </c>
      <c r="E6948" t="s">
        <v>130</v>
      </c>
      <c r="F6948" s="2" t="str">
        <f>HYPERLINK("http://www.otzar.org/book.asp?625422","ברכת השבת - ד")</f>
        <v>ברכת השבת - ד</v>
      </c>
    </row>
    <row r="6949" spans="1:6" x14ac:dyDescent="0.2">
      <c r="A6949" t="s">
        <v>12417</v>
      </c>
      <c r="B6949" t="s">
        <v>12418</v>
      </c>
      <c r="C6949" t="s">
        <v>422</v>
      </c>
      <c r="D6949" t="s">
        <v>14</v>
      </c>
      <c r="E6949" t="s">
        <v>12419</v>
      </c>
      <c r="F6949" s="2" t="str">
        <f>HYPERLINK("http://www.otzar.org/book.asp?85470","ברכת השבת - 3 כר'")</f>
        <v>ברכת השבת - 3 כר'</v>
      </c>
    </row>
    <row r="6950" spans="1:6" x14ac:dyDescent="0.2">
      <c r="A6950" t="s">
        <v>12420</v>
      </c>
      <c r="B6950" t="s">
        <v>12421</v>
      </c>
      <c r="C6950" t="s">
        <v>129</v>
      </c>
      <c r="D6950" t="s">
        <v>412</v>
      </c>
      <c r="E6950" t="s">
        <v>872</v>
      </c>
      <c r="F6950" s="2" t="str">
        <f>HYPERLINK("http://www.otzar.org/book.asp?149766","ברכת השבת")</f>
        <v>ברכת השבת</v>
      </c>
    </row>
    <row r="6951" spans="1:6" x14ac:dyDescent="0.2">
      <c r="A6951" t="s">
        <v>12422</v>
      </c>
      <c r="B6951" t="s">
        <v>12423</v>
      </c>
      <c r="C6951" t="s">
        <v>129</v>
      </c>
      <c r="D6951" t="s">
        <v>14</v>
      </c>
      <c r="E6951" t="s">
        <v>144</v>
      </c>
      <c r="F6951" s="2" t="str">
        <f>HYPERLINK("http://www.otzar.org/book.asp?84416","ברכת השחר")</f>
        <v>ברכת השחר</v>
      </c>
    </row>
    <row r="6952" spans="1:6" x14ac:dyDescent="0.2">
      <c r="A6952" t="s">
        <v>12424</v>
      </c>
      <c r="B6952" t="s">
        <v>5253</v>
      </c>
      <c r="C6952" t="s">
        <v>454</v>
      </c>
      <c r="D6952" t="s">
        <v>486</v>
      </c>
      <c r="E6952" t="s">
        <v>246</v>
      </c>
      <c r="F6952" s="2" t="str">
        <f>HYPERLINK("http://www.otzar.org/book.asp?142039","ברכת השיר (על הגדה של פסח)")</f>
        <v>ברכת השיר (על הגדה של פסח)</v>
      </c>
    </row>
    <row r="6953" spans="1:6" x14ac:dyDescent="0.2">
      <c r="A6953" t="s">
        <v>12425</v>
      </c>
      <c r="B6953" t="s">
        <v>12426</v>
      </c>
      <c r="C6953" t="s">
        <v>71</v>
      </c>
      <c r="D6953" t="s">
        <v>657</v>
      </c>
      <c r="E6953" t="s">
        <v>15</v>
      </c>
      <c r="F6953" s="2" t="str">
        <f>HYPERLINK("http://www.otzar.org/book.asp?62836","ברכת השיר והשבח - 2 כר'")</f>
        <v>ברכת השיר והשבח - 2 כר'</v>
      </c>
    </row>
    <row r="6954" spans="1:6" x14ac:dyDescent="0.2">
      <c r="A6954" t="s">
        <v>12427</v>
      </c>
      <c r="B6954" t="s">
        <v>8159</v>
      </c>
      <c r="C6954" t="s">
        <v>114</v>
      </c>
      <c r="D6954" t="s">
        <v>52</v>
      </c>
      <c r="F6954" s="2" t="str">
        <f>HYPERLINK("http://www.otzar.org/book.asp?85903","ברכת השלחן")</f>
        <v>ברכת השלחן</v>
      </c>
    </row>
    <row r="6955" spans="1:6" x14ac:dyDescent="0.2">
      <c r="A6955" t="s">
        <v>12428</v>
      </c>
      <c r="B6955" t="s">
        <v>3629</v>
      </c>
      <c r="C6955" t="s">
        <v>143</v>
      </c>
      <c r="D6955" t="s">
        <v>14</v>
      </c>
      <c r="E6955" t="s">
        <v>15</v>
      </c>
      <c r="F6955" s="2" t="str">
        <f>HYPERLINK("http://www.otzar.org/book.asp?161840","ברכת השם")</f>
        <v>ברכת השם</v>
      </c>
    </row>
    <row r="6956" spans="1:6" x14ac:dyDescent="0.2">
      <c r="A6956" t="s">
        <v>12428</v>
      </c>
      <c r="B6956" t="s">
        <v>12429</v>
      </c>
      <c r="C6956" t="s">
        <v>51</v>
      </c>
      <c r="D6956" t="s">
        <v>14</v>
      </c>
      <c r="E6956" t="s">
        <v>15</v>
      </c>
      <c r="F6956" s="2" t="str">
        <f>HYPERLINK("http://www.otzar.org/book.asp?25797","ברכת השם")</f>
        <v>ברכת השם</v>
      </c>
    </row>
    <row r="6957" spans="1:6" x14ac:dyDescent="0.2">
      <c r="A6957" t="s">
        <v>12430</v>
      </c>
      <c r="B6957" t="s">
        <v>1750</v>
      </c>
      <c r="C6957" t="s">
        <v>13</v>
      </c>
      <c r="D6957" t="s">
        <v>90</v>
      </c>
      <c r="E6957" t="s">
        <v>202</v>
      </c>
      <c r="F6957" s="2" t="str">
        <f>HYPERLINK("http://www.otzar.org/book.asp?61002","ברכת השנים")</f>
        <v>ברכת השנים</v>
      </c>
    </row>
    <row r="6958" spans="1:6" x14ac:dyDescent="0.2">
      <c r="A6958" t="s">
        <v>12431</v>
      </c>
      <c r="B6958" t="s">
        <v>12432</v>
      </c>
      <c r="C6958" t="s">
        <v>313</v>
      </c>
      <c r="D6958" t="s">
        <v>52</v>
      </c>
      <c r="E6958" t="s">
        <v>144</v>
      </c>
      <c r="F6958" s="2" t="str">
        <f>HYPERLINK("http://www.otzar.org/book.asp?63737","ברכת התורה - 3 כר'")</f>
        <v>ברכת התורה - 3 כר'</v>
      </c>
    </row>
    <row r="6959" spans="1:6" x14ac:dyDescent="0.2">
      <c r="A6959" t="s">
        <v>12433</v>
      </c>
      <c r="B6959" t="s">
        <v>12433</v>
      </c>
      <c r="C6959" t="s">
        <v>17</v>
      </c>
      <c r="D6959" t="s">
        <v>1731</v>
      </c>
      <c r="E6959" t="s">
        <v>24</v>
      </c>
      <c r="F6959" s="2" t="str">
        <f>HYPERLINK("http://www.otzar.org/book.asp?106756","ברכת התורה")</f>
        <v>ברכת התורה</v>
      </c>
    </row>
    <row r="6960" spans="1:6" x14ac:dyDescent="0.2">
      <c r="A6960" t="s">
        <v>12433</v>
      </c>
      <c r="B6960" t="s">
        <v>10726</v>
      </c>
      <c r="C6960" t="s">
        <v>13</v>
      </c>
      <c r="D6960" t="s">
        <v>14</v>
      </c>
      <c r="E6960" t="s">
        <v>15</v>
      </c>
      <c r="F6960" s="2" t="str">
        <f>HYPERLINK("http://www.otzar.org/book.asp?62874","ברכת התורה")</f>
        <v>ברכת התורה</v>
      </c>
    </row>
    <row r="6961" spans="1:6" x14ac:dyDescent="0.2">
      <c r="A6961" t="s">
        <v>12434</v>
      </c>
      <c r="B6961" t="s">
        <v>12435</v>
      </c>
      <c r="C6961" t="s">
        <v>68</v>
      </c>
      <c r="D6961" t="s">
        <v>14</v>
      </c>
      <c r="E6961" t="s">
        <v>148</v>
      </c>
      <c r="F6961" s="2" t="str">
        <f>HYPERLINK("http://www.otzar.org/book.asp?160050","ברכת התורה - 2 כר'")</f>
        <v>ברכת התורה - 2 כר'</v>
      </c>
    </row>
    <row r="6962" spans="1:6" x14ac:dyDescent="0.2">
      <c r="A6962" t="s">
        <v>12433</v>
      </c>
      <c r="B6962" t="s">
        <v>12436</v>
      </c>
      <c r="C6962" t="s">
        <v>454</v>
      </c>
      <c r="D6962" t="s">
        <v>21</v>
      </c>
      <c r="E6962" t="s">
        <v>158</v>
      </c>
      <c r="F6962" s="2" t="str">
        <f>HYPERLINK("http://www.otzar.org/book.asp?623725","ברכת התורה")</f>
        <v>ברכת התורה</v>
      </c>
    </row>
    <row r="6963" spans="1:6" x14ac:dyDescent="0.2">
      <c r="A6963" t="s">
        <v>12437</v>
      </c>
      <c r="B6963" t="s">
        <v>12438</v>
      </c>
      <c r="C6963" t="s">
        <v>523</v>
      </c>
      <c r="D6963" t="s">
        <v>52</v>
      </c>
      <c r="E6963" t="s">
        <v>15</v>
      </c>
      <c r="F6963" s="2" t="str">
        <f>HYPERLINK("http://www.otzar.org/book.asp?159185","ברכת התפילין")</f>
        <v>ברכת התפילין</v>
      </c>
    </row>
    <row r="6964" spans="1:6" x14ac:dyDescent="0.2">
      <c r="A6964" t="s">
        <v>12439</v>
      </c>
      <c r="B6964" t="s">
        <v>12440</v>
      </c>
      <c r="C6964" t="s">
        <v>3690</v>
      </c>
      <c r="D6964" t="s">
        <v>726</v>
      </c>
      <c r="E6964" t="s">
        <v>12441</v>
      </c>
      <c r="F6964" s="2" t="str">
        <f>HYPERLINK("http://www.otzar.org/book.asp?12896","ברכת חיים &lt;עם ליקוטי שושנים&gt;")</f>
        <v>ברכת חיים &lt;עם ליקוטי שושנים&gt;</v>
      </c>
    </row>
    <row r="6965" spans="1:6" x14ac:dyDescent="0.2">
      <c r="A6965" t="s">
        <v>12442</v>
      </c>
      <c r="B6965" t="s">
        <v>12443</v>
      </c>
      <c r="C6965" t="s">
        <v>1885</v>
      </c>
      <c r="D6965" t="s">
        <v>726</v>
      </c>
      <c r="E6965" t="s">
        <v>154</v>
      </c>
      <c r="F6965" s="2" t="str">
        <f>HYPERLINK("http://www.otzar.org/book.asp?100378","ברכת חיים &lt;שו""ת&gt;")</f>
        <v>ברכת חיים &lt;שו"ת&gt;</v>
      </c>
    </row>
    <row r="6966" spans="1:6" x14ac:dyDescent="0.2">
      <c r="A6966" t="s">
        <v>12444</v>
      </c>
      <c r="B6966" t="s">
        <v>12445</v>
      </c>
      <c r="C6966" t="s">
        <v>1166</v>
      </c>
      <c r="D6966" t="s">
        <v>283</v>
      </c>
      <c r="F6966" s="2" t="str">
        <f>HYPERLINK("http://www.otzar.org/book.asp?28340","ברכת חיים")</f>
        <v>ברכת חיים</v>
      </c>
    </row>
    <row r="6967" spans="1:6" x14ac:dyDescent="0.2">
      <c r="A6967" t="s">
        <v>12446</v>
      </c>
      <c r="B6967" t="s">
        <v>12440</v>
      </c>
      <c r="C6967" t="s">
        <v>3690</v>
      </c>
      <c r="D6967" t="s">
        <v>726</v>
      </c>
      <c r="E6967" t="s">
        <v>12447</v>
      </c>
      <c r="F6967" s="2" t="str">
        <f>HYPERLINK("http://www.otzar.org/book.asp?7465","ברכת חיים - 2 כר'")</f>
        <v>ברכת חיים - 2 כר'</v>
      </c>
    </row>
    <row r="6968" spans="1:6" x14ac:dyDescent="0.2">
      <c r="A6968" t="s">
        <v>12444</v>
      </c>
      <c r="B6968" t="s">
        <v>12448</v>
      </c>
      <c r="C6968" t="s">
        <v>422</v>
      </c>
      <c r="D6968" t="s">
        <v>412</v>
      </c>
      <c r="E6968" t="s">
        <v>10</v>
      </c>
      <c r="F6968" s="2" t="str">
        <f>HYPERLINK("http://www.otzar.org/book.asp?166239","ברכת חיים")</f>
        <v>ברכת חיים</v>
      </c>
    </row>
    <row r="6969" spans="1:6" x14ac:dyDescent="0.2">
      <c r="A6969" t="s">
        <v>12446</v>
      </c>
      <c r="B6969" t="s">
        <v>12449</v>
      </c>
      <c r="C6969" t="s">
        <v>1954</v>
      </c>
      <c r="D6969" t="s">
        <v>9</v>
      </c>
      <c r="E6969" t="s">
        <v>12450</v>
      </c>
      <c r="F6969" s="2" t="str">
        <f>HYPERLINK("http://www.otzar.org/book.asp?13800","ברכת חיים - 2 כר'")</f>
        <v>ברכת חיים - 2 כר'</v>
      </c>
    </row>
    <row r="6970" spans="1:6" x14ac:dyDescent="0.2">
      <c r="A6970" t="s">
        <v>12444</v>
      </c>
      <c r="B6970" t="s">
        <v>12451</v>
      </c>
      <c r="C6970" t="s">
        <v>189</v>
      </c>
      <c r="D6970" t="s">
        <v>90</v>
      </c>
      <c r="E6970" t="s">
        <v>144</v>
      </c>
      <c r="F6970" s="2" t="str">
        <f>HYPERLINK("http://www.otzar.org/book.asp?63761","ברכת חיים")</f>
        <v>ברכת חיים</v>
      </c>
    </row>
    <row r="6971" spans="1:6" x14ac:dyDescent="0.2">
      <c r="A6971" t="s">
        <v>12444</v>
      </c>
      <c r="B6971" t="s">
        <v>12452</v>
      </c>
      <c r="C6971" t="s">
        <v>503</v>
      </c>
      <c r="D6971" t="s">
        <v>283</v>
      </c>
      <c r="E6971" t="s">
        <v>3736</v>
      </c>
      <c r="F6971" s="2" t="str">
        <f>HYPERLINK("http://www.otzar.org/book.asp?22402","ברכת חיים")</f>
        <v>ברכת חיים</v>
      </c>
    </row>
    <row r="6972" spans="1:6" x14ac:dyDescent="0.2">
      <c r="A6972" t="s">
        <v>12444</v>
      </c>
      <c r="B6972" t="s">
        <v>12453</v>
      </c>
      <c r="C6972" t="s">
        <v>37</v>
      </c>
      <c r="D6972" t="s">
        <v>20</v>
      </c>
      <c r="E6972" t="s">
        <v>144</v>
      </c>
      <c r="F6972" s="2" t="str">
        <f>HYPERLINK("http://www.otzar.org/book.asp?195971","ברכת חיים")</f>
        <v>ברכת חיים</v>
      </c>
    </row>
    <row r="6973" spans="1:6" x14ac:dyDescent="0.2">
      <c r="A6973" t="s">
        <v>12454</v>
      </c>
      <c r="B6973" t="s">
        <v>12455</v>
      </c>
      <c r="C6973" t="s">
        <v>454</v>
      </c>
      <c r="D6973" t="s">
        <v>14</v>
      </c>
      <c r="E6973" t="s">
        <v>144</v>
      </c>
      <c r="F6973" s="2" t="str">
        <f>HYPERLINK("http://www.otzar.org/book.asp?177238","ברכת חיים - סוכה")</f>
        <v>ברכת חיים - סוכה</v>
      </c>
    </row>
    <row r="6974" spans="1:6" x14ac:dyDescent="0.2">
      <c r="A6974" t="s">
        <v>12446</v>
      </c>
      <c r="B6974" t="s">
        <v>3133</v>
      </c>
      <c r="C6974" t="s">
        <v>989</v>
      </c>
      <c r="D6974" t="s">
        <v>216</v>
      </c>
      <c r="E6974" t="s">
        <v>246</v>
      </c>
      <c r="F6974" s="2" t="str">
        <f>HYPERLINK("http://www.otzar.org/book.asp?106961","ברכת חיים - 2 כר'")</f>
        <v>ברכת חיים - 2 כר'</v>
      </c>
    </row>
    <row r="6975" spans="1:6" x14ac:dyDescent="0.2">
      <c r="A6975" t="s">
        <v>12456</v>
      </c>
      <c r="B6975" t="s">
        <v>12457</v>
      </c>
      <c r="C6975" t="s">
        <v>244</v>
      </c>
      <c r="D6975" t="s">
        <v>21</v>
      </c>
      <c r="E6975" t="s">
        <v>144</v>
      </c>
      <c r="F6975" s="2" t="str">
        <f>HYPERLINK("http://www.otzar.org/book.asp?603468","ברכת חיים - 32 כר'")</f>
        <v>ברכת חיים - 32 כר'</v>
      </c>
    </row>
    <row r="6976" spans="1:6" x14ac:dyDescent="0.2">
      <c r="A6976" t="s">
        <v>12458</v>
      </c>
      <c r="B6976" t="s">
        <v>12459</v>
      </c>
      <c r="C6976" t="s">
        <v>111</v>
      </c>
      <c r="D6976" t="s">
        <v>52</v>
      </c>
      <c r="E6976" t="s">
        <v>15</v>
      </c>
      <c r="F6976" s="2" t="str">
        <f>HYPERLINK("http://www.otzar.org/book.asp?629888","ברכת חלה")</f>
        <v>ברכת חלה</v>
      </c>
    </row>
    <row r="6977" spans="1:6" x14ac:dyDescent="0.2">
      <c r="A6977" t="s">
        <v>12460</v>
      </c>
      <c r="B6977" t="s">
        <v>11696</v>
      </c>
      <c r="C6977" t="s">
        <v>1524</v>
      </c>
      <c r="D6977" t="s">
        <v>212</v>
      </c>
      <c r="F6977" s="2" t="str">
        <f>HYPERLINK("http://www.otzar.org/book.asp?170258","ברכת חמה")</f>
        <v>ברכת חמה</v>
      </c>
    </row>
    <row r="6978" spans="1:6" x14ac:dyDescent="0.2">
      <c r="A6978" t="s">
        <v>12460</v>
      </c>
      <c r="B6978" t="s">
        <v>12350</v>
      </c>
      <c r="C6978" t="s">
        <v>12351</v>
      </c>
      <c r="D6978" t="s">
        <v>4241</v>
      </c>
      <c r="F6978" s="2" t="str">
        <f>HYPERLINK("http://www.otzar.org/book.asp?170254","ברכת חמה")</f>
        <v>ברכת חמה</v>
      </c>
    </row>
    <row r="6979" spans="1:6" x14ac:dyDescent="0.2">
      <c r="A6979" t="s">
        <v>12461</v>
      </c>
      <c r="B6979" t="s">
        <v>776</v>
      </c>
      <c r="C6979" t="s">
        <v>433</v>
      </c>
      <c r="D6979" t="s">
        <v>27</v>
      </c>
      <c r="E6979" t="s">
        <v>104</v>
      </c>
      <c r="F6979" s="2" t="str">
        <f>HYPERLINK("http://www.otzar.org/book.asp?146790","ברכת חן")</f>
        <v>ברכת חן</v>
      </c>
    </row>
    <row r="6980" spans="1:6" x14ac:dyDescent="0.2">
      <c r="A6980" t="s">
        <v>12462</v>
      </c>
      <c r="B6980" t="s">
        <v>12463</v>
      </c>
      <c r="C6980" t="s">
        <v>940</v>
      </c>
      <c r="D6980" t="s">
        <v>412</v>
      </c>
      <c r="E6980" t="s">
        <v>144</v>
      </c>
      <c r="F6980" s="2" t="str">
        <f>HYPERLINK("http://www.otzar.org/book.asp?172652","ברכת חן - 4 כר'")</f>
        <v>ברכת חן - 4 כר'</v>
      </c>
    </row>
    <row r="6981" spans="1:6" x14ac:dyDescent="0.2">
      <c r="A6981" t="s">
        <v>12464</v>
      </c>
      <c r="B6981" t="s">
        <v>12465</v>
      </c>
      <c r="C6981" t="s">
        <v>383</v>
      </c>
      <c r="D6981" t="s">
        <v>134</v>
      </c>
      <c r="E6981" t="s">
        <v>508</v>
      </c>
      <c r="F6981" s="2" t="str">
        <f>HYPERLINK("http://www.otzar.org/book.asp?196053","ברכת חנוך - 2 כר'")</f>
        <v>ברכת חנוך - 2 כר'</v>
      </c>
    </row>
    <row r="6982" spans="1:6" x14ac:dyDescent="0.2">
      <c r="A6982" t="s">
        <v>12466</v>
      </c>
      <c r="B6982" t="s">
        <v>12416</v>
      </c>
      <c r="C6982" t="s">
        <v>23</v>
      </c>
      <c r="D6982" t="s">
        <v>3406</v>
      </c>
      <c r="E6982" t="s">
        <v>15</v>
      </c>
      <c r="F6982" s="2" t="str">
        <f>HYPERLINK("http://www.otzar.org/book.asp?625408","ברכת חתניך - ג")</f>
        <v>ברכת חתניך - ג</v>
      </c>
    </row>
    <row r="6983" spans="1:6" x14ac:dyDescent="0.2">
      <c r="A6983" t="s">
        <v>12467</v>
      </c>
      <c r="B6983" t="s">
        <v>9635</v>
      </c>
      <c r="C6983" t="s">
        <v>411</v>
      </c>
      <c r="D6983" t="s">
        <v>152</v>
      </c>
      <c r="E6983" t="s">
        <v>144</v>
      </c>
      <c r="F6983" s="2" t="str">
        <f>HYPERLINK("http://www.otzar.org/book.asp?173389","ברכת חתנים")</f>
        <v>ברכת חתנים</v>
      </c>
    </row>
    <row r="6984" spans="1:6" x14ac:dyDescent="0.2">
      <c r="A6984" t="s">
        <v>12467</v>
      </c>
      <c r="B6984" t="s">
        <v>12303</v>
      </c>
      <c r="C6984" t="s">
        <v>71</v>
      </c>
      <c r="D6984" t="s">
        <v>52</v>
      </c>
      <c r="E6984" t="s">
        <v>15</v>
      </c>
      <c r="F6984" s="2" t="str">
        <f>HYPERLINK("http://www.otzar.org/book.asp?160606","ברכת חתנים")</f>
        <v>ברכת חתנים</v>
      </c>
    </row>
    <row r="6985" spans="1:6" x14ac:dyDescent="0.2">
      <c r="A6985" t="s">
        <v>12467</v>
      </c>
      <c r="B6985" t="s">
        <v>12468</v>
      </c>
      <c r="C6985" t="s">
        <v>17</v>
      </c>
      <c r="D6985" t="s">
        <v>14</v>
      </c>
      <c r="E6985" t="s">
        <v>104</v>
      </c>
      <c r="F6985" s="2" t="str">
        <f>HYPERLINK("http://www.otzar.org/book.asp?189911","ברכת חתנים")</f>
        <v>ברכת חתנים</v>
      </c>
    </row>
    <row r="6986" spans="1:6" x14ac:dyDescent="0.2">
      <c r="A6986" t="s">
        <v>12469</v>
      </c>
      <c r="B6986" t="s">
        <v>12470</v>
      </c>
      <c r="C6986" t="s">
        <v>411</v>
      </c>
      <c r="D6986" t="s">
        <v>52</v>
      </c>
      <c r="E6986" t="s">
        <v>1626</v>
      </c>
      <c r="F6986" s="2" t="str">
        <f>HYPERLINK("http://www.otzar.org/book.asp?171466","ברכת חתנים - חמשה קולות")</f>
        <v>ברכת חתנים - חמשה קולות</v>
      </c>
    </row>
    <row r="6987" spans="1:6" x14ac:dyDescent="0.2">
      <c r="A6987" t="s">
        <v>12471</v>
      </c>
      <c r="B6987" t="s">
        <v>12472</v>
      </c>
      <c r="C6987" t="s">
        <v>103</v>
      </c>
      <c r="D6987" t="s">
        <v>52</v>
      </c>
      <c r="E6987" t="s">
        <v>1626</v>
      </c>
      <c r="F6987" s="2" t="str">
        <f>HYPERLINK("http://www.otzar.org/book.asp?171592","ברכת חתנים - ברכה משולשת")</f>
        <v>ברכת חתנים - ברכה משולשת</v>
      </c>
    </row>
    <row r="6988" spans="1:6" x14ac:dyDescent="0.2">
      <c r="A6988" t="s">
        <v>12467</v>
      </c>
      <c r="B6988" t="s">
        <v>12473</v>
      </c>
      <c r="C6988" t="s">
        <v>244</v>
      </c>
      <c r="D6988" t="s">
        <v>14</v>
      </c>
      <c r="E6988" t="s">
        <v>144</v>
      </c>
      <c r="F6988" s="2" t="str">
        <f>HYPERLINK("http://www.otzar.org/book.asp?625532","ברכת חתנים")</f>
        <v>ברכת חתנים</v>
      </c>
    </row>
    <row r="6989" spans="1:6" x14ac:dyDescent="0.2">
      <c r="A6989" t="s">
        <v>12474</v>
      </c>
      <c r="B6989" t="s">
        <v>12475</v>
      </c>
      <c r="C6989" t="s">
        <v>812</v>
      </c>
      <c r="D6989" t="s">
        <v>691</v>
      </c>
      <c r="E6989" t="s">
        <v>1880</v>
      </c>
      <c r="F6989" s="2" t="str">
        <f>HYPERLINK("http://www.otzar.org/book.asp?153548","ברכת טוב")</f>
        <v>ברכת טוב</v>
      </c>
    </row>
    <row r="6990" spans="1:6" x14ac:dyDescent="0.2">
      <c r="A6990" t="s">
        <v>12474</v>
      </c>
      <c r="B6990" t="s">
        <v>11714</v>
      </c>
      <c r="C6990" t="s">
        <v>8764</v>
      </c>
      <c r="D6990" t="s">
        <v>49</v>
      </c>
      <c r="E6990" t="s">
        <v>12476</v>
      </c>
      <c r="F6990" s="2" t="str">
        <f>HYPERLINK("http://www.otzar.org/book.asp?104337","ברכת טוב")</f>
        <v>ברכת טוב</v>
      </c>
    </row>
    <row r="6991" spans="1:6" x14ac:dyDescent="0.2">
      <c r="A6991" t="s">
        <v>12477</v>
      </c>
      <c r="B6991" t="s">
        <v>2564</v>
      </c>
      <c r="C6991" t="s">
        <v>189</v>
      </c>
      <c r="D6991" t="s">
        <v>52</v>
      </c>
      <c r="E6991" t="s">
        <v>144</v>
      </c>
      <c r="F6991" s="2" t="str">
        <f>HYPERLINK("http://www.otzar.org/book.asp?84570","ברכת טוביה")</f>
        <v>ברכת טוביה</v>
      </c>
    </row>
    <row r="6992" spans="1:6" x14ac:dyDescent="0.2">
      <c r="A6992" t="s">
        <v>12478</v>
      </c>
      <c r="B6992" t="s">
        <v>12479</v>
      </c>
      <c r="C6992" t="s">
        <v>466</v>
      </c>
      <c r="D6992" t="s">
        <v>1356</v>
      </c>
      <c r="F6992" s="2" t="str">
        <f>HYPERLINK("http://www.otzar.org/book.asp?615181","ברכת יד""י")</f>
        <v>ברכת יד"י</v>
      </c>
    </row>
    <row r="6993" spans="1:6" x14ac:dyDescent="0.2">
      <c r="A6993" t="s">
        <v>12480</v>
      </c>
      <c r="B6993" t="s">
        <v>12481</v>
      </c>
      <c r="C6993" t="s">
        <v>189</v>
      </c>
      <c r="D6993" t="s">
        <v>14</v>
      </c>
      <c r="E6993" t="s">
        <v>154</v>
      </c>
      <c r="F6993" s="2" t="str">
        <f>HYPERLINK("http://www.otzar.org/book.asp?28897","ברכת יהודה &lt;שו""ת&gt; - 7 כר'")</f>
        <v>ברכת יהודה &lt;שו"ת&gt; - 7 כר'</v>
      </c>
    </row>
    <row r="6994" spans="1:6" x14ac:dyDescent="0.2">
      <c r="A6994" t="s">
        <v>12482</v>
      </c>
      <c r="B6994" t="s">
        <v>12483</v>
      </c>
      <c r="C6994" t="s">
        <v>23</v>
      </c>
      <c r="D6994" t="s">
        <v>412</v>
      </c>
      <c r="F6994" s="2" t="str">
        <f>HYPERLINK("http://www.otzar.org/book.asp?197663","ברכת יהודה - 2 כר'")</f>
        <v>ברכת יהודה - 2 כר'</v>
      </c>
    </row>
    <row r="6995" spans="1:6" x14ac:dyDescent="0.2">
      <c r="A6995" t="s">
        <v>12484</v>
      </c>
      <c r="B6995" t="s">
        <v>12485</v>
      </c>
      <c r="C6995" t="s">
        <v>366</v>
      </c>
      <c r="D6995" t="s">
        <v>152</v>
      </c>
      <c r="E6995" t="s">
        <v>144</v>
      </c>
      <c r="F6995" s="2" t="str">
        <f>HYPERLINK("http://www.otzar.org/book.asp?611708","ברכת יהודה")</f>
        <v>ברכת יהודה</v>
      </c>
    </row>
    <row r="6996" spans="1:6" x14ac:dyDescent="0.2">
      <c r="A6996" t="s">
        <v>12486</v>
      </c>
      <c r="B6996" t="s">
        <v>12487</v>
      </c>
      <c r="C6996" t="s">
        <v>146</v>
      </c>
      <c r="D6996" t="s">
        <v>486</v>
      </c>
      <c r="E6996" t="s">
        <v>144</v>
      </c>
      <c r="F6996" s="2" t="str">
        <f>HYPERLINK("http://www.otzar.org/book.asp?51936","ברכת יהודה - 11 כר'")</f>
        <v>ברכת יהודה - 11 כר'</v>
      </c>
    </row>
    <row r="6997" spans="1:6" x14ac:dyDescent="0.2">
      <c r="A6997" t="s">
        <v>12488</v>
      </c>
      <c r="B6997" t="s">
        <v>1990</v>
      </c>
      <c r="C6997" t="s">
        <v>854</v>
      </c>
      <c r="D6997" t="s">
        <v>283</v>
      </c>
      <c r="F6997" s="2" t="str">
        <f>HYPERLINK("http://www.otzar.org/book.asp?169545","ברכת יהונתן - 2 כר'")</f>
        <v>ברכת יהונתן - 2 כר'</v>
      </c>
    </row>
    <row r="6998" spans="1:6" x14ac:dyDescent="0.2">
      <c r="A6998" t="s">
        <v>12489</v>
      </c>
      <c r="B6998" t="s">
        <v>12490</v>
      </c>
      <c r="C6998" t="s">
        <v>777</v>
      </c>
      <c r="D6998" t="s">
        <v>30</v>
      </c>
      <c r="E6998" t="s">
        <v>144</v>
      </c>
      <c r="F6998" s="2" t="str">
        <f>HYPERLINK("http://www.otzar.org/book.asp?300599","ברכת יהושע - א")</f>
        <v>ברכת יהושע - א</v>
      </c>
    </row>
    <row r="6999" spans="1:6" x14ac:dyDescent="0.2">
      <c r="A6999" t="s">
        <v>12491</v>
      </c>
      <c r="B6999" t="s">
        <v>1763</v>
      </c>
      <c r="C6999" t="s">
        <v>332</v>
      </c>
      <c r="D6999" t="s">
        <v>14</v>
      </c>
      <c r="E6999" t="s">
        <v>144</v>
      </c>
      <c r="F6999" s="2" t="str">
        <f>HYPERLINK("http://www.otzar.org/book.asp?5606","ברכת יו""ט")</f>
        <v>ברכת יו"ט</v>
      </c>
    </row>
    <row r="7000" spans="1:6" x14ac:dyDescent="0.2">
      <c r="A7000" t="s">
        <v>12492</v>
      </c>
      <c r="B7000" t="s">
        <v>11645</v>
      </c>
      <c r="C7000" t="s">
        <v>775</v>
      </c>
      <c r="D7000" t="s">
        <v>52</v>
      </c>
      <c r="E7000" t="s">
        <v>15</v>
      </c>
      <c r="F7000" s="2" t="str">
        <f>HYPERLINK("http://www.otzar.org/book.asp?85413","ברכת יום טוב")</f>
        <v>ברכת יום טוב</v>
      </c>
    </row>
    <row r="7001" spans="1:6" x14ac:dyDescent="0.2">
      <c r="A7001" t="s">
        <v>12493</v>
      </c>
      <c r="B7001" t="s">
        <v>12494</v>
      </c>
      <c r="C7001" t="s">
        <v>7422</v>
      </c>
      <c r="D7001" t="s">
        <v>60</v>
      </c>
      <c r="E7001" t="s">
        <v>463</v>
      </c>
      <c r="F7001" s="2" t="str">
        <f>HYPERLINK("http://www.otzar.org/book.asp?9216","ברכת יוסף ואליהו רבא")</f>
        <v>ברכת יוסף ואליהו רבא</v>
      </c>
    </row>
    <row r="7002" spans="1:6" x14ac:dyDescent="0.2">
      <c r="A7002" t="s">
        <v>12495</v>
      </c>
      <c r="B7002" t="s">
        <v>12496</v>
      </c>
      <c r="C7002" t="s">
        <v>422</v>
      </c>
      <c r="D7002" t="s">
        <v>1840</v>
      </c>
      <c r="E7002" t="s">
        <v>5186</v>
      </c>
      <c r="F7002" s="2" t="str">
        <f>HYPERLINK("http://www.otzar.org/book.asp?166944","ברכת יוסף על התורה")</f>
        <v>ברכת יוסף על התורה</v>
      </c>
    </row>
    <row r="7003" spans="1:6" x14ac:dyDescent="0.2">
      <c r="A7003" t="s">
        <v>12497</v>
      </c>
      <c r="B7003" t="s">
        <v>12498</v>
      </c>
      <c r="C7003" t="s">
        <v>5991</v>
      </c>
      <c r="D7003" t="s">
        <v>76</v>
      </c>
      <c r="F7003" s="2" t="str">
        <f>HYPERLINK("http://www.otzar.org/book.asp?170138","ברכת יוסף - לב יאושע")</f>
        <v>ברכת יוסף - לב יאושע</v>
      </c>
    </row>
    <row r="7004" spans="1:6" x14ac:dyDescent="0.2">
      <c r="A7004" t="s">
        <v>12499</v>
      </c>
      <c r="B7004" t="s">
        <v>12500</v>
      </c>
      <c r="C7004" t="s">
        <v>5991</v>
      </c>
      <c r="D7004" t="s">
        <v>76</v>
      </c>
      <c r="E7004" t="s">
        <v>399</v>
      </c>
      <c r="F7004" s="2" t="str">
        <f>HYPERLINK("http://www.otzar.org/book.asp?12909","ברכת יוסף")</f>
        <v>ברכת יוסף</v>
      </c>
    </row>
    <row r="7005" spans="1:6" x14ac:dyDescent="0.2">
      <c r="A7005" t="s">
        <v>12501</v>
      </c>
      <c r="B7005" t="s">
        <v>12502</v>
      </c>
      <c r="C7005" t="s">
        <v>13</v>
      </c>
      <c r="D7005" t="s">
        <v>7974</v>
      </c>
      <c r="E7005" t="s">
        <v>234</v>
      </c>
      <c r="F7005" s="2" t="str">
        <f>HYPERLINK("http://www.otzar.org/book.asp?168197","ברכת יוסף - 3 כר'")</f>
        <v>ברכת יוסף - 3 כר'</v>
      </c>
    </row>
    <row r="7006" spans="1:6" x14ac:dyDescent="0.2">
      <c r="A7006" t="s">
        <v>12503</v>
      </c>
      <c r="B7006" t="s">
        <v>12504</v>
      </c>
      <c r="C7006" t="s">
        <v>133</v>
      </c>
      <c r="D7006" t="s">
        <v>276</v>
      </c>
      <c r="E7006" t="s">
        <v>144</v>
      </c>
      <c r="F7006" s="2" t="str">
        <f>HYPERLINK("http://www.otzar.org/book.asp?190764","ברכת יוסף - 2 כר'")</f>
        <v>ברכת יוסף - 2 כר'</v>
      </c>
    </row>
    <row r="7007" spans="1:6" x14ac:dyDescent="0.2">
      <c r="A7007" t="s">
        <v>12499</v>
      </c>
      <c r="B7007" t="s">
        <v>278</v>
      </c>
      <c r="C7007" t="s">
        <v>2488</v>
      </c>
      <c r="D7007" t="s">
        <v>4703</v>
      </c>
      <c r="E7007" t="s">
        <v>579</v>
      </c>
      <c r="F7007" s="2" t="str">
        <f>HYPERLINK("http://www.otzar.org/book.asp?142492","ברכת יוסף")</f>
        <v>ברכת יוסף</v>
      </c>
    </row>
    <row r="7008" spans="1:6" x14ac:dyDescent="0.2">
      <c r="A7008" t="s">
        <v>12501</v>
      </c>
      <c r="B7008" t="s">
        <v>2844</v>
      </c>
      <c r="C7008" t="s">
        <v>20</v>
      </c>
      <c r="D7008" t="s">
        <v>14</v>
      </c>
      <c r="F7008" s="2" t="str">
        <f>HYPERLINK("http://www.otzar.org/book.asp?609509","ברכת יוסף - 3 כר'")</f>
        <v>ברכת יוסף - 3 כר'</v>
      </c>
    </row>
    <row r="7009" spans="1:6" x14ac:dyDescent="0.2">
      <c r="A7009" t="s">
        <v>12499</v>
      </c>
      <c r="B7009" t="s">
        <v>12505</v>
      </c>
      <c r="C7009" t="s">
        <v>1437</v>
      </c>
      <c r="D7009" t="s">
        <v>283</v>
      </c>
      <c r="E7009" t="s">
        <v>246</v>
      </c>
      <c r="F7009" s="2" t="str">
        <f>HYPERLINK("http://www.otzar.org/book.asp?17372","ברכת יוסף")</f>
        <v>ברכת יוסף</v>
      </c>
    </row>
    <row r="7010" spans="1:6" x14ac:dyDescent="0.2">
      <c r="A7010" t="s">
        <v>12503</v>
      </c>
      <c r="B7010" t="s">
        <v>12506</v>
      </c>
      <c r="C7010" t="s">
        <v>422</v>
      </c>
      <c r="D7010" t="s">
        <v>14</v>
      </c>
      <c r="E7010" t="s">
        <v>148</v>
      </c>
      <c r="F7010" s="2" t="str">
        <f>HYPERLINK("http://www.otzar.org/book.asp?156839","ברכת יוסף - 2 כר'")</f>
        <v>ברכת יוסף - 2 כר'</v>
      </c>
    </row>
    <row r="7011" spans="1:6" x14ac:dyDescent="0.2">
      <c r="A7011" t="s">
        <v>12499</v>
      </c>
      <c r="B7011" t="s">
        <v>12507</v>
      </c>
      <c r="C7011" t="s">
        <v>2105</v>
      </c>
      <c r="D7011" t="s">
        <v>9</v>
      </c>
      <c r="E7011" t="s">
        <v>834</v>
      </c>
      <c r="F7011" s="2" t="str">
        <f>HYPERLINK("http://www.otzar.org/book.asp?50869","ברכת יוסף")</f>
        <v>ברכת יוסף</v>
      </c>
    </row>
    <row r="7012" spans="1:6" x14ac:dyDescent="0.2">
      <c r="A7012" t="s">
        <v>12501</v>
      </c>
      <c r="B7012" t="s">
        <v>12508</v>
      </c>
      <c r="C7012" t="s">
        <v>12509</v>
      </c>
      <c r="D7012" t="s">
        <v>27</v>
      </c>
      <c r="E7012" t="s">
        <v>15</v>
      </c>
      <c r="F7012" s="2" t="str">
        <f>HYPERLINK("http://www.otzar.org/book.asp?924","ברכת יוסף - 3 כר'")</f>
        <v>ברכת יוסף - 3 כר'</v>
      </c>
    </row>
    <row r="7013" spans="1:6" x14ac:dyDescent="0.2">
      <c r="A7013" t="s">
        <v>12499</v>
      </c>
      <c r="B7013" t="s">
        <v>12510</v>
      </c>
      <c r="C7013" t="s">
        <v>1058</v>
      </c>
      <c r="D7013" t="s">
        <v>267</v>
      </c>
      <c r="E7013" t="s">
        <v>154</v>
      </c>
      <c r="F7013" s="2" t="str">
        <f>HYPERLINK("http://www.otzar.org/book.asp?884","ברכת יוסף")</f>
        <v>ברכת יוסף</v>
      </c>
    </row>
    <row r="7014" spans="1:6" x14ac:dyDescent="0.2">
      <c r="A7014" t="s">
        <v>12499</v>
      </c>
      <c r="B7014" t="s">
        <v>12511</v>
      </c>
      <c r="C7014" t="s">
        <v>143</v>
      </c>
      <c r="D7014" t="s">
        <v>14</v>
      </c>
      <c r="E7014" t="s">
        <v>1211</v>
      </c>
      <c r="F7014" s="2" t="str">
        <f>HYPERLINK("http://www.otzar.org/book.asp?157928","ברכת יוסף")</f>
        <v>ברכת יוסף</v>
      </c>
    </row>
    <row r="7015" spans="1:6" x14ac:dyDescent="0.2">
      <c r="A7015" t="s">
        <v>12499</v>
      </c>
      <c r="B7015" t="s">
        <v>12512</v>
      </c>
      <c r="C7015" t="s">
        <v>533</v>
      </c>
      <c r="D7015" t="s">
        <v>52</v>
      </c>
      <c r="E7015" t="s">
        <v>3387</v>
      </c>
      <c r="F7015" s="2" t="str">
        <f>HYPERLINK("http://www.otzar.org/book.asp?6905","ברכת יוסף")</f>
        <v>ברכת יוסף</v>
      </c>
    </row>
    <row r="7016" spans="1:6" x14ac:dyDescent="0.2">
      <c r="A7016" t="s">
        <v>12499</v>
      </c>
      <c r="B7016" t="s">
        <v>12513</v>
      </c>
      <c r="C7016" t="s">
        <v>103</v>
      </c>
      <c r="D7016" t="s">
        <v>486</v>
      </c>
      <c r="E7016" t="s">
        <v>15</v>
      </c>
      <c r="F7016" s="2" t="str">
        <f>HYPERLINK("http://www.otzar.org/book.asp?159487","ברכת יוסף")</f>
        <v>ברכת יוסף</v>
      </c>
    </row>
    <row r="7017" spans="1:6" x14ac:dyDescent="0.2">
      <c r="A7017" t="s">
        <v>12514</v>
      </c>
      <c r="B7017" t="s">
        <v>1091</v>
      </c>
      <c r="C7017" t="s">
        <v>13</v>
      </c>
      <c r="D7017" t="s">
        <v>14</v>
      </c>
      <c r="E7017" t="s">
        <v>15</v>
      </c>
      <c r="F7017" s="2" t="str">
        <f>HYPERLINK("http://www.otzar.org/book.asp?146492","ברכת ים")</f>
        <v>ברכת ים</v>
      </c>
    </row>
    <row r="7018" spans="1:6" x14ac:dyDescent="0.2">
      <c r="A7018" t="s">
        <v>12515</v>
      </c>
      <c r="B7018" t="s">
        <v>1066</v>
      </c>
      <c r="C7018" t="s">
        <v>553</v>
      </c>
      <c r="D7018" t="s">
        <v>412</v>
      </c>
      <c r="E7018" t="s">
        <v>467</v>
      </c>
      <c r="F7018" s="2" t="str">
        <f>HYPERLINK("http://www.otzar.org/book.asp?150716","ברכת יעבץ - 4 כר'")</f>
        <v>ברכת יעבץ - 4 כר'</v>
      </c>
    </row>
    <row r="7019" spans="1:6" x14ac:dyDescent="0.2">
      <c r="A7019" t="s">
        <v>12516</v>
      </c>
      <c r="B7019" t="s">
        <v>12517</v>
      </c>
      <c r="C7019" t="s">
        <v>37</v>
      </c>
      <c r="D7019" t="s">
        <v>412</v>
      </c>
      <c r="E7019" t="s">
        <v>158</v>
      </c>
      <c r="F7019" s="2" t="str">
        <f>HYPERLINK("http://www.otzar.org/book.asp?199387","ברכת יעקב &lt;מהדורה חדשה&gt;")</f>
        <v>ברכת יעקב &lt;מהדורה חדשה&gt;</v>
      </c>
    </row>
    <row r="7020" spans="1:6" x14ac:dyDescent="0.2">
      <c r="A7020" t="s">
        <v>12518</v>
      </c>
      <c r="B7020" t="s">
        <v>12519</v>
      </c>
      <c r="C7020" t="s">
        <v>189</v>
      </c>
      <c r="D7020" t="s">
        <v>52</v>
      </c>
      <c r="E7020" t="s">
        <v>172</v>
      </c>
      <c r="F7020" s="2" t="str">
        <f>HYPERLINK("http://www.otzar.org/book.asp?164036","ברכת יעקב")</f>
        <v>ברכת יעקב</v>
      </c>
    </row>
    <row r="7021" spans="1:6" x14ac:dyDescent="0.2">
      <c r="A7021" t="s">
        <v>12518</v>
      </c>
      <c r="B7021" t="s">
        <v>11932</v>
      </c>
      <c r="C7021" t="s">
        <v>23</v>
      </c>
      <c r="D7021" t="s">
        <v>21</v>
      </c>
      <c r="E7021" t="s">
        <v>15</v>
      </c>
      <c r="F7021" s="2" t="str">
        <f>HYPERLINK("http://www.otzar.org/book.asp?190331","ברכת יעקב")</f>
        <v>ברכת יעקב</v>
      </c>
    </row>
    <row r="7022" spans="1:6" x14ac:dyDescent="0.2">
      <c r="A7022" t="s">
        <v>12518</v>
      </c>
      <c r="B7022" t="s">
        <v>12520</v>
      </c>
      <c r="C7022" t="s">
        <v>103</v>
      </c>
      <c r="D7022" t="s">
        <v>14</v>
      </c>
      <c r="E7022" t="s">
        <v>144</v>
      </c>
      <c r="F7022" s="2" t="str">
        <f>HYPERLINK("http://www.otzar.org/book.asp?52211","ברכת יעקב")</f>
        <v>ברכת יעקב</v>
      </c>
    </row>
    <row r="7023" spans="1:6" x14ac:dyDescent="0.2">
      <c r="A7023" t="s">
        <v>12521</v>
      </c>
      <c r="B7023" t="s">
        <v>12522</v>
      </c>
      <c r="C7023" t="s">
        <v>366</v>
      </c>
      <c r="D7023" t="s">
        <v>412</v>
      </c>
      <c r="F7023" s="2" t="str">
        <f>HYPERLINK("http://www.otzar.org/book.asp?605262","ברכת יעקב - מכירת יוסף")</f>
        <v>ברכת יעקב - מכירת יוסף</v>
      </c>
    </row>
    <row r="7024" spans="1:6" x14ac:dyDescent="0.2">
      <c r="A7024" t="s">
        <v>12518</v>
      </c>
      <c r="B7024" t="s">
        <v>686</v>
      </c>
      <c r="C7024" t="s">
        <v>411</v>
      </c>
      <c r="D7024" t="s">
        <v>52</v>
      </c>
      <c r="E7024" t="s">
        <v>104</v>
      </c>
      <c r="F7024" s="2" t="str">
        <f>HYPERLINK("http://www.otzar.org/book.asp?165398","ברכת יעקב")</f>
        <v>ברכת יעקב</v>
      </c>
    </row>
    <row r="7025" spans="1:6" x14ac:dyDescent="0.2">
      <c r="A7025" t="s">
        <v>12518</v>
      </c>
      <c r="B7025" t="s">
        <v>12523</v>
      </c>
      <c r="C7025" t="s">
        <v>1177</v>
      </c>
      <c r="D7025" t="s">
        <v>267</v>
      </c>
      <c r="E7025" t="s">
        <v>154</v>
      </c>
      <c r="F7025" s="2" t="str">
        <f>HYPERLINK("http://www.otzar.org/book.asp?17375","ברכת יעקב")</f>
        <v>ברכת יעקב</v>
      </c>
    </row>
    <row r="7026" spans="1:6" x14ac:dyDescent="0.2">
      <c r="A7026" t="s">
        <v>12524</v>
      </c>
      <c r="B7026" t="s">
        <v>12525</v>
      </c>
      <c r="C7026" t="s">
        <v>5334</v>
      </c>
      <c r="D7026" t="s">
        <v>267</v>
      </c>
      <c r="E7026" t="s">
        <v>172</v>
      </c>
      <c r="F7026" s="2" t="str">
        <f>HYPERLINK("http://www.otzar.org/book.asp?104081","ברכת יעקב - חשן משפט")</f>
        <v>ברכת יעקב - חשן משפט</v>
      </c>
    </row>
    <row r="7027" spans="1:6" x14ac:dyDescent="0.2">
      <c r="A7027" t="s">
        <v>12526</v>
      </c>
      <c r="B7027" t="s">
        <v>12527</v>
      </c>
      <c r="C7027" t="s">
        <v>151</v>
      </c>
      <c r="D7027" t="s">
        <v>90</v>
      </c>
      <c r="E7027" t="s">
        <v>144</v>
      </c>
      <c r="F7027" s="2" t="str">
        <f>HYPERLINK("http://www.otzar.org/book.asp?625969","ברכת יעקב - ברכות")</f>
        <v>ברכת יעקב - ברכות</v>
      </c>
    </row>
    <row r="7028" spans="1:6" x14ac:dyDescent="0.2">
      <c r="A7028" t="s">
        <v>12528</v>
      </c>
      <c r="B7028" t="s">
        <v>12529</v>
      </c>
      <c r="C7028" t="s">
        <v>466</v>
      </c>
      <c r="D7028" t="s">
        <v>14</v>
      </c>
      <c r="E7028" t="s">
        <v>9368</v>
      </c>
      <c r="F7028" s="2" t="str">
        <f>HYPERLINK("http://www.otzar.org/book.asp?149669","ברכת יעקב - יבמות, כתובות, קדושין, בבא קמא")</f>
        <v>ברכת יעקב - יבמות, כתובות, קדושין, בבא קמא</v>
      </c>
    </row>
    <row r="7029" spans="1:6" x14ac:dyDescent="0.2">
      <c r="A7029" t="s">
        <v>12530</v>
      </c>
      <c r="B7029" t="s">
        <v>12531</v>
      </c>
      <c r="C7029" t="s">
        <v>151</v>
      </c>
      <c r="D7029" t="s">
        <v>52</v>
      </c>
      <c r="E7029" t="s">
        <v>15</v>
      </c>
      <c r="F7029" s="2" t="str">
        <f>HYPERLINK("http://www.otzar.org/book.asp?625847","ברכת יעקב - 2 כר'")</f>
        <v>ברכת יעקב - 2 כר'</v>
      </c>
    </row>
    <row r="7030" spans="1:6" x14ac:dyDescent="0.2">
      <c r="A7030" t="s">
        <v>12518</v>
      </c>
      <c r="B7030" t="s">
        <v>3166</v>
      </c>
      <c r="C7030" t="s">
        <v>143</v>
      </c>
      <c r="D7030" t="s">
        <v>14</v>
      </c>
      <c r="E7030" t="s">
        <v>15</v>
      </c>
      <c r="F7030" s="2" t="str">
        <f>HYPERLINK("http://www.otzar.org/book.asp?200371","ברכת יעקב")</f>
        <v>ברכת יעקב</v>
      </c>
    </row>
    <row r="7031" spans="1:6" x14ac:dyDescent="0.2">
      <c r="A7031" t="s">
        <v>12530</v>
      </c>
      <c r="B7031" t="s">
        <v>12532</v>
      </c>
      <c r="C7031" t="s">
        <v>1570</v>
      </c>
      <c r="D7031" t="s">
        <v>12533</v>
      </c>
      <c r="F7031" s="2" t="str">
        <f>HYPERLINK("http://www.otzar.org/book.asp?620602","ברכת יעקב - 2 כר'")</f>
        <v>ברכת יעקב - 2 כר'</v>
      </c>
    </row>
    <row r="7032" spans="1:6" x14ac:dyDescent="0.2">
      <c r="A7032" t="s">
        <v>12534</v>
      </c>
      <c r="B7032" t="s">
        <v>12535</v>
      </c>
      <c r="C7032" t="s">
        <v>103</v>
      </c>
      <c r="D7032" t="s">
        <v>52</v>
      </c>
      <c r="E7032" t="s">
        <v>158</v>
      </c>
      <c r="F7032" s="2" t="str">
        <f>HYPERLINK("http://www.otzar.org/book.asp?147908","ברכת יעקב - עטרת יעקב")</f>
        <v>ברכת יעקב - עטרת יעקב</v>
      </c>
    </row>
    <row r="7033" spans="1:6" x14ac:dyDescent="0.2">
      <c r="A7033" t="s">
        <v>12518</v>
      </c>
      <c r="B7033" t="s">
        <v>12536</v>
      </c>
      <c r="C7033" t="s">
        <v>4380</v>
      </c>
      <c r="D7033" t="s">
        <v>726</v>
      </c>
      <c r="E7033" t="s">
        <v>15</v>
      </c>
      <c r="F7033" s="2" t="str">
        <f>HYPERLINK("http://www.otzar.org/book.asp?148760","ברכת יעקב")</f>
        <v>ברכת יעקב</v>
      </c>
    </row>
    <row r="7034" spans="1:6" x14ac:dyDescent="0.2">
      <c r="A7034" t="s">
        <v>12537</v>
      </c>
      <c r="B7034" t="s">
        <v>12538</v>
      </c>
      <c r="C7034" t="s">
        <v>454</v>
      </c>
      <c r="D7034" t="s">
        <v>486</v>
      </c>
      <c r="E7034" t="s">
        <v>144</v>
      </c>
      <c r="F7034" s="2" t="str">
        <f>HYPERLINK("http://www.otzar.org/book.asp?53680","ברכת יצחק - 3 כר'")</f>
        <v>ברכת יצחק - 3 כר'</v>
      </c>
    </row>
    <row r="7035" spans="1:6" x14ac:dyDescent="0.2">
      <c r="A7035" t="s">
        <v>12539</v>
      </c>
      <c r="B7035" t="s">
        <v>11947</v>
      </c>
      <c r="C7035" t="s">
        <v>5903</v>
      </c>
      <c r="D7035" t="s">
        <v>56</v>
      </c>
      <c r="E7035" t="s">
        <v>2391</v>
      </c>
      <c r="F7035" s="2" t="str">
        <f>HYPERLINK("http://www.otzar.org/book.asp?104830","ברכת יצחק")</f>
        <v>ברכת יצחק</v>
      </c>
    </row>
    <row r="7036" spans="1:6" x14ac:dyDescent="0.2">
      <c r="A7036" t="s">
        <v>12539</v>
      </c>
      <c r="B7036" t="s">
        <v>4728</v>
      </c>
      <c r="C7036" t="s">
        <v>466</v>
      </c>
      <c r="D7036" t="s">
        <v>14</v>
      </c>
      <c r="E7036" t="s">
        <v>399</v>
      </c>
      <c r="F7036" s="2" t="str">
        <f>HYPERLINK("http://www.otzar.org/book.asp?156585","ברכת יצחק")</f>
        <v>ברכת יצחק</v>
      </c>
    </row>
    <row r="7037" spans="1:6" x14ac:dyDescent="0.2">
      <c r="A7037" t="s">
        <v>12539</v>
      </c>
      <c r="B7037" t="s">
        <v>3900</v>
      </c>
      <c r="C7037" t="s">
        <v>767</v>
      </c>
      <c r="D7037" t="s">
        <v>14</v>
      </c>
      <c r="E7037" t="s">
        <v>144</v>
      </c>
      <c r="F7037" s="2" t="str">
        <f>HYPERLINK("http://www.otzar.org/book.asp?189198","ברכת יצחק")</f>
        <v>ברכת יצחק</v>
      </c>
    </row>
    <row r="7038" spans="1:6" x14ac:dyDescent="0.2">
      <c r="A7038" t="s">
        <v>12540</v>
      </c>
      <c r="B7038" t="s">
        <v>6476</v>
      </c>
      <c r="C7038" t="s">
        <v>20</v>
      </c>
      <c r="D7038" t="s">
        <v>14</v>
      </c>
      <c r="E7038" t="s">
        <v>148</v>
      </c>
      <c r="F7038" s="2" t="str">
        <f>HYPERLINK("http://www.otzar.org/book.asp?152508","ברכת יצחק - 21 כר'")</f>
        <v>ברכת יצחק - 21 כר'</v>
      </c>
    </row>
    <row r="7039" spans="1:6" x14ac:dyDescent="0.2">
      <c r="A7039" t="s">
        <v>12541</v>
      </c>
      <c r="B7039" t="s">
        <v>12542</v>
      </c>
      <c r="C7039" t="s">
        <v>1811</v>
      </c>
      <c r="D7039" t="s">
        <v>90</v>
      </c>
      <c r="E7039" t="s">
        <v>144</v>
      </c>
      <c r="F7039" s="2" t="str">
        <f>HYPERLINK("http://www.otzar.org/book.asp?11582","ברכת יצחק - 2 כר'")</f>
        <v>ברכת יצחק - 2 כר'</v>
      </c>
    </row>
    <row r="7040" spans="1:6" x14ac:dyDescent="0.2">
      <c r="A7040" t="s">
        <v>12543</v>
      </c>
      <c r="B7040" t="s">
        <v>12544</v>
      </c>
      <c r="C7040" t="s">
        <v>63</v>
      </c>
      <c r="D7040" t="s">
        <v>412</v>
      </c>
      <c r="E7040" t="s">
        <v>144</v>
      </c>
      <c r="F7040" s="2" t="str">
        <f>HYPERLINK("http://www.otzar.org/book.asp?85401","ברכת יצחק - 8 כר'")</f>
        <v>ברכת יצחק - 8 כר'</v>
      </c>
    </row>
    <row r="7041" spans="1:6" x14ac:dyDescent="0.2">
      <c r="A7041" t="s">
        <v>12545</v>
      </c>
      <c r="B7041" t="s">
        <v>12546</v>
      </c>
      <c r="C7041" t="s">
        <v>1954</v>
      </c>
      <c r="D7041" t="s">
        <v>9</v>
      </c>
      <c r="E7041" t="s">
        <v>5712</v>
      </c>
      <c r="F7041" s="2" t="str">
        <f>HYPERLINK("http://www.otzar.org/book.asp?50868","ברכת יצחק - ב")</f>
        <v>ברכת יצחק - ב</v>
      </c>
    </row>
    <row r="7042" spans="1:6" x14ac:dyDescent="0.2">
      <c r="A7042" t="s">
        <v>12539</v>
      </c>
      <c r="B7042" t="s">
        <v>12449</v>
      </c>
      <c r="C7042" t="s">
        <v>1202</v>
      </c>
      <c r="D7042" t="s">
        <v>535</v>
      </c>
      <c r="E7042" t="s">
        <v>154</v>
      </c>
      <c r="F7042" s="2" t="str">
        <f>HYPERLINK("http://www.otzar.org/book.asp?19160","ברכת יצחק")</f>
        <v>ברכת יצחק</v>
      </c>
    </row>
    <row r="7043" spans="1:6" x14ac:dyDescent="0.2">
      <c r="A7043" t="s">
        <v>12541</v>
      </c>
      <c r="B7043" t="s">
        <v>12547</v>
      </c>
      <c r="C7043" t="s">
        <v>985</v>
      </c>
      <c r="D7043" t="s">
        <v>27</v>
      </c>
      <c r="E7043" t="s">
        <v>158</v>
      </c>
      <c r="F7043" s="2" t="str">
        <f>HYPERLINK("http://www.otzar.org/book.asp?15940","ברכת יצחק - 2 כר'")</f>
        <v>ברכת יצחק - 2 כר'</v>
      </c>
    </row>
    <row r="7044" spans="1:6" x14ac:dyDescent="0.2">
      <c r="A7044" t="s">
        <v>12548</v>
      </c>
      <c r="B7044" t="s">
        <v>12549</v>
      </c>
      <c r="C7044" t="s">
        <v>919</v>
      </c>
      <c r="D7044" t="s">
        <v>52</v>
      </c>
      <c r="E7044" t="s">
        <v>144</v>
      </c>
      <c r="F7044" s="2" t="str">
        <f>HYPERLINK("http://www.otzar.org/book.asp?26809","ברכת יצחק - 16 כר'")</f>
        <v>ברכת יצחק - 16 כר'</v>
      </c>
    </row>
    <row r="7045" spans="1:6" x14ac:dyDescent="0.2">
      <c r="A7045" t="s">
        <v>12537</v>
      </c>
      <c r="B7045" t="s">
        <v>12550</v>
      </c>
      <c r="C7045" t="s">
        <v>366</v>
      </c>
      <c r="D7045" t="s">
        <v>14</v>
      </c>
      <c r="F7045" s="2" t="str">
        <f>HYPERLINK("http://www.otzar.org/book.asp?603479","ברכת יצחק - 3 כר'")</f>
        <v>ברכת יצחק - 3 כר'</v>
      </c>
    </row>
    <row r="7046" spans="1:6" x14ac:dyDescent="0.2">
      <c r="A7046" t="s">
        <v>12551</v>
      </c>
      <c r="B7046" t="s">
        <v>12552</v>
      </c>
      <c r="C7046" t="s">
        <v>168</v>
      </c>
      <c r="D7046" t="s">
        <v>52</v>
      </c>
      <c r="E7046" t="s">
        <v>158</v>
      </c>
      <c r="F7046" s="2" t="str">
        <f>HYPERLINK("http://www.otzar.org/book.asp?7159","ברכת יצחק - 5 כר'")</f>
        <v>ברכת יצחק - 5 כר'</v>
      </c>
    </row>
    <row r="7047" spans="1:6" x14ac:dyDescent="0.2">
      <c r="A7047" t="s">
        <v>12539</v>
      </c>
      <c r="B7047" t="s">
        <v>12553</v>
      </c>
      <c r="C7047" t="s">
        <v>176</v>
      </c>
      <c r="D7047" t="s">
        <v>14</v>
      </c>
      <c r="E7047" t="s">
        <v>2091</v>
      </c>
      <c r="F7047" s="2" t="str">
        <f>HYPERLINK("http://www.otzar.org/book.asp?151976","ברכת יצחק")</f>
        <v>ברכת יצחק</v>
      </c>
    </row>
    <row r="7048" spans="1:6" x14ac:dyDescent="0.2">
      <c r="A7048" t="s">
        <v>12539</v>
      </c>
      <c r="B7048" t="s">
        <v>12554</v>
      </c>
      <c r="C7048" t="s">
        <v>433</v>
      </c>
      <c r="D7048" t="s">
        <v>27</v>
      </c>
      <c r="E7048" t="s">
        <v>12555</v>
      </c>
      <c r="F7048" s="2" t="str">
        <f>HYPERLINK("http://www.otzar.org/book.asp?17376","ברכת יצחק")</f>
        <v>ברכת יצחק</v>
      </c>
    </row>
    <row r="7049" spans="1:6" x14ac:dyDescent="0.2">
      <c r="A7049" t="s">
        <v>12539</v>
      </c>
      <c r="B7049" t="s">
        <v>12556</v>
      </c>
      <c r="C7049" t="s">
        <v>581</v>
      </c>
      <c r="D7049" t="s">
        <v>8555</v>
      </c>
      <c r="E7049" t="s">
        <v>474</v>
      </c>
      <c r="F7049" s="2" t="str">
        <f>HYPERLINK("http://www.otzar.org/book.asp?7132","ברכת יצחק")</f>
        <v>ברכת יצחק</v>
      </c>
    </row>
    <row r="7050" spans="1:6" x14ac:dyDescent="0.2">
      <c r="A7050" t="s">
        <v>12539</v>
      </c>
      <c r="B7050" t="s">
        <v>12557</v>
      </c>
      <c r="C7050" t="s">
        <v>87</v>
      </c>
      <c r="D7050" t="s">
        <v>412</v>
      </c>
      <c r="E7050" t="s">
        <v>158</v>
      </c>
      <c r="F7050" s="2" t="str">
        <f>HYPERLINK("http://www.otzar.org/book.asp?151691","ברכת יצחק")</f>
        <v>ברכת יצחק</v>
      </c>
    </row>
    <row r="7051" spans="1:6" x14ac:dyDescent="0.2">
      <c r="A7051" t="s">
        <v>12558</v>
      </c>
      <c r="B7051" t="s">
        <v>6486</v>
      </c>
      <c r="C7051" t="s">
        <v>785</v>
      </c>
      <c r="D7051" t="s">
        <v>412</v>
      </c>
      <c r="E7051" t="s">
        <v>579</v>
      </c>
      <c r="F7051" s="2" t="str">
        <f>HYPERLINK("http://www.otzar.org/book.asp?153751","ברכת ישורון - ויכתב דוד")</f>
        <v>ברכת ישורון - ויכתב דוד</v>
      </c>
    </row>
    <row r="7052" spans="1:6" x14ac:dyDescent="0.2">
      <c r="A7052" t="s">
        <v>12559</v>
      </c>
      <c r="B7052" t="s">
        <v>5732</v>
      </c>
      <c r="C7052" t="s">
        <v>748</v>
      </c>
      <c r="D7052" t="s">
        <v>6238</v>
      </c>
      <c r="E7052" t="s">
        <v>15</v>
      </c>
      <c r="F7052" s="2" t="str">
        <f>HYPERLINK("http://www.otzar.org/book.asp?85192","ברכת ישראל")</f>
        <v>ברכת ישראל</v>
      </c>
    </row>
    <row r="7053" spans="1:6" x14ac:dyDescent="0.2">
      <c r="A7053" t="s">
        <v>12559</v>
      </c>
      <c r="B7053" t="s">
        <v>12560</v>
      </c>
      <c r="C7053" t="s">
        <v>454</v>
      </c>
      <c r="D7053" t="s">
        <v>52</v>
      </c>
      <c r="E7053" t="s">
        <v>219</v>
      </c>
      <c r="F7053" s="2" t="str">
        <f>HYPERLINK("http://www.otzar.org/book.asp?62624","ברכת ישראל")</f>
        <v>ברכת ישראל</v>
      </c>
    </row>
    <row r="7054" spans="1:6" x14ac:dyDescent="0.2">
      <c r="A7054" t="s">
        <v>12559</v>
      </c>
      <c r="B7054" t="s">
        <v>12561</v>
      </c>
      <c r="C7054" t="s">
        <v>23</v>
      </c>
      <c r="D7054" t="s">
        <v>52</v>
      </c>
      <c r="E7054" t="s">
        <v>15</v>
      </c>
      <c r="F7054" s="2" t="str">
        <f>HYPERLINK("http://www.otzar.org/book.asp?199521","ברכת ישראל")</f>
        <v>ברכת ישראל</v>
      </c>
    </row>
    <row r="7055" spans="1:6" x14ac:dyDescent="0.2">
      <c r="A7055" t="s">
        <v>12559</v>
      </c>
      <c r="B7055" t="s">
        <v>12562</v>
      </c>
      <c r="C7055" t="s">
        <v>728</v>
      </c>
      <c r="D7055" t="s">
        <v>283</v>
      </c>
      <c r="E7055" t="s">
        <v>144</v>
      </c>
      <c r="F7055" s="2" t="str">
        <f>HYPERLINK("http://www.otzar.org/book.asp?28393","ברכת ישראל")</f>
        <v>ברכת ישראל</v>
      </c>
    </row>
    <row r="7056" spans="1:6" x14ac:dyDescent="0.2">
      <c r="A7056" t="s">
        <v>12559</v>
      </c>
      <c r="B7056" t="s">
        <v>489</v>
      </c>
      <c r="C7056" t="s">
        <v>114</v>
      </c>
      <c r="D7056" t="s">
        <v>147</v>
      </c>
      <c r="E7056" t="s">
        <v>202</v>
      </c>
      <c r="F7056" s="2" t="str">
        <f>HYPERLINK("http://www.otzar.org/book.asp?163393","ברכת ישראל")</f>
        <v>ברכת ישראל</v>
      </c>
    </row>
    <row r="7057" spans="1:6" x14ac:dyDescent="0.2">
      <c r="A7057" t="s">
        <v>12563</v>
      </c>
      <c r="B7057" t="s">
        <v>1750</v>
      </c>
      <c r="C7057" t="s">
        <v>129</v>
      </c>
      <c r="D7057" t="s">
        <v>14</v>
      </c>
      <c r="E7057" t="s">
        <v>202</v>
      </c>
      <c r="F7057" s="2" t="str">
        <f>HYPERLINK("http://www.otzar.org/book.asp?197588","ברכת ישראל - 3 כר'")</f>
        <v>ברכת ישראל - 3 כר'</v>
      </c>
    </row>
    <row r="7058" spans="1:6" x14ac:dyDescent="0.2">
      <c r="A7058" t="s">
        <v>12559</v>
      </c>
      <c r="B7058" t="s">
        <v>12564</v>
      </c>
      <c r="C7058" t="s">
        <v>37</v>
      </c>
      <c r="D7058" t="s">
        <v>2285</v>
      </c>
      <c r="F7058" s="2" t="str">
        <f>HYPERLINK("http://www.otzar.org/book.asp?198041","ברכת ישראל")</f>
        <v>ברכת ישראל</v>
      </c>
    </row>
    <row r="7059" spans="1:6" x14ac:dyDescent="0.2">
      <c r="A7059" t="s">
        <v>12565</v>
      </c>
      <c r="B7059" t="s">
        <v>12566</v>
      </c>
      <c r="C7059" t="s">
        <v>20</v>
      </c>
      <c r="D7059" t="s">
        <v>90</v>
      </c>
      <c r="E7059" t="s">
        <v>219</v>
      </c>
      <c r="F7059" s="2" t="str">
        <f>HYPERLINK("http://www.otzar.org/book.asp?168655","ברכת כבוד")</f>
        <v>ברכת כבוד</v>
      </c>
    </row>
    <row r="7060" spans="1:6" x14ac:dyDescent="0.2">
      <c r="A7060" t="s">
        <v>12567</v>
      </c>
      <c r="B7060" t="s">
        <v>12568</v>
      </c>
      <c r="C7060" t="s">
        <v>20</v>
      </c>
      <c r="D7060" t="s">
        <v>7116</v>
      </c>
      <c r="E7060" t="s">
        <v>246</v>
      </c>
      <c r="F7060" s="2" t="str">
        <f>HYPERLINK("http://www.otzar.org/book.asp?199361","ברכת כהן באהבה - 2 כר'")</f>
        <v>ברכת כהן באהבה - 2 כר'</v>
      </c>
    </row>
    <row r="7061" spans="1:6" x14ac:dyDescent="0.2">
      <c r="A7061" t="s">
        <v>12569</v>
      </c>
      <c r="B7061" t="s">
        <v>12570</v>
      </c>
      <c r="C7061" t="s">
        <v>13</v>
      </c>
      <c r="D7061" t="s">
        <v>14</v>
      </c>
      <c r="E7061" t="s">
        <v>158</v>
      </c>
      <c r="F7061" s="2" t="str">
        <f>HYPERLINK("http://www.otzar.org/book.asp?144533","ברכת כהן - 7 כר'")</f>
        <v>ברכת כהן - 7 כר'</v>
      </c>
    </row>
    <row r="7062" spans="1:6" x14ac:dyDescent="0.2">
      <c r="A7062" t="s">
        <v>12571</v>
      </c>
      <c r="B7062" t="s">
        <v>12572</v>
      </c>
      <c r="C7062" t="s">
        <v>624</v>
      </c>
      <c r="D7062" t="s">
        <v>14</v>
      </c>
      <c r="E7062" t="s">
        <v>15</v>
      </c>
      <c r="F7062" s="2" t="str">
        <f>HYPERLINK("http://www.otzar.org/book.asp?145384","ברכת כהן - על מלאכות שבת")</f>
        <v>ברכת כהן - על מלאכות שבת</v>
      </c>
    </row>
    <row r="7063" spans="1:6" x14ac:dyDescent="0.2">
      <c r="A7063" t="s">
        <v>12573</v>
      </c>
      <c r="B7063" t="s">
        <v>12574</v>
      </c>
      <c r="C7063" t="s">
        <v>111</v>
      </c>
      <c r="D7063" t="s">
        <v>4549</v>
      </c>
      <c r="E7063" t="s">
        <v>144</v>
      </c>
      <c r="F7063" s="2" t="str">
        <f>HYPERLINK("http://www.otzar.org/book.asp?629729","ברכת כהן")</f>
        <v>ברכת כהן</v>
      </c>
    </row>
    <row r="7064" spans="1:6" x14ac:dyDescent="0.2">
      <c r="A7064" t="s">
        <v>12573</v>
      </c>
      <c r="B7064" t="s">
        <v>12575</v>
      </c>
      <c r="C7064" t="s">
        <v>462</v>
      </c>
      <c r="D7064" t="s">
        <v>225</v>
      </c>
      <c r="E7064" t="s">
        <v>508</v>
      </c>
      <c r="F7064" s="2" t="str">
        <f>HYPERLINK("http://www.otzar.org/book.asp?100393","ברכת כהן")</f>
        <v>ברכת כהן</v>
      </c>
    </row>
    <row r="7065" spans="1:6" x14ac:dyDescent="0.2">
      <c r="A7065" t="s">
        <v>12576</v>
      </c>
      <c r="B7065" t="s">
        <v>204</v>
      </c>
      <c r="C7065" t="s">
        <v>244</v>
      </c>
      <c r="D7065" t="s">
        <v>14</v>
      </c>
      <c r="F7065" s="2" t="str">
        <f>HYPERLINK("http://www.otzar.org/book.asp?619370","ברכת כהנים באהבה")</f>
        <v>ברכת כהנים באהבה</v>
      </c>
    </row>
    <row r="7066" spans="1:6" x14ac:dyDescent="0.2">
      <c r="A7066" t="s">
        <v>12577</v>
      </c>
      <c r="B7066" t="s">
        <v>12578</v>
      </c>
      <c r="C7066" t="s">
        <v>1737</v>
      </c>
      <c r="D7066" t="s">
        <v>1023</v>
      </c>
      <c r="E7066" t="s">
        <v>158</v>
      </c>
      <c r="F7066" s="2" t="str">
        <f>HYPERLINK("http://www.otzar.org/book.asp?15911","ברכת כהנים")</f>
        <v>ברכת כהנים</v>
      </c>
    </row>
    <row r="7067" spans="1:6" x14ac:dyDescent="0.2">
      <c r="A7067" t="s">
        <v>12577</v>
      </c>
      <c r="B7067" t="s">
        <v>12438</v>
      </c>
      <c r="C7067" t="s">
        <v>143</v>
      </c>
      <c r="D7067" t="s">
        <v>14</v>
      </c>
      <c r="E7067" t="s">
        <v>15</v>
      </c>
      <c r="F7067" s="2" t="str">
        <f>HYPERLINK("http://www.otzar.org/book.asp?159178","ברכת כהנים")</f>
        <v>ברכת כהנים</v>
      </c>
    </row>
    <row r="7068" spans="1:6" x14ac:dyDescent="0.2">
      <c r="A7068" t="s">
        <v>12577</v>
      </c>
      <c r="B7068" t="s">
        <v>12579</v>
      </c>
      <c r="C7068" t="s">
        <v>725</v>
      </c>
      <c r="D7068" t="s">
        <v>12580</v>
      </c>
      <c r="E7068" t="s">
        <v>140</v>
      </c>
      <c r="F7068" s="2" t="str">
        <f>HYPERLINK("http://www.otzar.org/book.asp?188619","ברכת כהנים")</f>
        <v>ברכת כהנים</v>
      </c>
    </row>
    <row r="7069" spans="1:6" x14ac:dyDescent="0.2">
      <c r="A7069" t="s">
        <v>12581</v>
      </c>
      <c r="B7069" t="s">
        <v>12582</v>
      </c>
      <c r="C7069" t="s">
        <v>454</v>
      </c>
      <c r="D7069" t="s">
        <v>118</v>
      </c>
      <c r="E7069" t="s">
        <v>573</v>
      </c>
      <c r="F7069" s="2" t="str">
        <f>HYPERLINK("http://www.otzar.org/book.asp?108227","ברכת מאיר &lt;מוסר&gt; - 2 כר'")</f>
        <v>ברכת מאיר &lt;מוסר&gt; - 2 כר'</v>
      </c>
    </row>
    <row r="7070" spans="1:6" x14ac:dyDescent="0.2">
      <c r="A7070" t="s">
        <v>12583</v>
      </c>
      <c r="B7070" t="s">
        <v>12582</v>
      </c>
      <c r="C7070" t="s">
        <v>454</v>
      </c>
      <c r="D7070" t="s">
        <v>118</v>
      </c>
      <c r="E7070" t="s">
        <v>241</v>
      </c>
      <c r="F7070" s="2" t="str">
        <f>HYPERLINK("http://www.otzar.org/book.asp?108226","ברכת מאיר &lt;שיחות מוסר&gt; - וידעת והשבות")</f>
        <v>ברכת מאיר &lt;שיחות מוסר&gt; - וידעת והשבות</v>
      </c>
    </row>
    <row r="7071" spans="1:6" x14ac:dyDescent="0.2">
      <c r="A7071" t="s">
        <v>12584</v>
      </c>
      <c r="B7071" t="s">
        <v>12585</v>
      </c>
      <c r="C7071" t="s">
        <v>37</v>
      </c>
      <c r="D7071" t="s">
        <v>14</v>
      </c>
      <c r="E7071" t="s">
        <v>399</v>
      </c>
      <c r="F7071" s="2" t="str">
        <f>HYPERLINK("http://www.otzar.org/book.asp?181766","ברכת מאיר - 2 כר'")</f>
        <v>ברכת מאיר - 2 כר'</v>
      </c>
    </row>
    <row r="7072" spans="1:6" x14ac:dyDescent="0.2">
      <c r="A7072" t="s">
        <v>12586</v>
      </c>
      <c r="B7072" t="s">
        <v>12582</v>
      </c>
      <c r="C7072" t="s">
        <v>244</v>
      </c>
      <c r="D7072" t="s">
        <v>52</v>
      </c>
      <c r="F7072" s="2" t="str">
        <f>HYPERLINK("http://www.otzar.org/book.asp?601415","ברכת מאיר - יבמות")</f>
        <v>ברכת מאיר - יבמות</v>
      </c>
    </row>
    <row r="7073" spans="1:6" x14ac:dyDescent="0.2">
      <c r="A7073" t="s">
        <v>12587</v>
      </c>
      <c r="B7073" t="s">
        <v>12588</v>
      </c>
      <c r="C7073" t="s">
        <v>146</v>
      </c>
      <c r="D7073" t="s">
        <v>14</v>
      </c>
      <c r="E7073" t="s">
        <v>144</v>
      </c>
      <c r="F7073" s="2" t="str">
        <f>HYPERLINK("http://www.otzar.org/book.asp?142149","ברכת מאיר")</f>
        <v>ברכת מאיר</v>
      </c>
    </row>
    <row r="7074" spans="1:6" x14ac:dyDescent="0.2">
      <c r="A7074" t="s">
        <v>12587</v>
      </c>
      <c r="B7074" t="s">
        <v>12589</v>
      </c>
      <c r="C7074" t="s">
        <v>419</v>
      </c>
      <c r="D7074" t="s">
        <v>14</v>
      </c>
      <c r="E7074" t="s">
        <v>144</v>
      </c>
      <c r="F7074" s="2" t="str">
        <f>HYPERLINK("http://www.otzar.org/book.asp?165390","ברכת מאיר")</f>
        <v>ברכת מאיר</v>
      </c>
    </row>
    <row r="7075" spans="1:6" x14ac:dyDescent="0.2">
      <c r="A7075" t="s">
        <v>12590</v>
      </c>
      <c r="B7075" t="s">
        <v>12591</v>
      </c>
      <c r="C7075" t="s">
        <v>20</v>
      </c>
      <c r="D7075" t="s">
        <v>152</v>
      </c>
      <c r="E7075" t="s">
        <v>172</v>
      </c>
      <c r="F7075" s="2" t="str">
        <f>HYPERLINK("http://www.otzar.org/book.asp?189134","ברכת מאיר - ברכות הנהנין")</f>
        <v>ברכת מאיר - ברכות הנהנין</v>
      </c>
    </row>
    <row r="7076" spans="1:6" x14ac:dyDescent="0.2">
      <c r="A7076" t="s">
        <v>12592</v>
      </c>
      <c r="B7076" t="s">
        <v>155</v>
      </c>
      <c r="C7076" t="s">
        <v>12593</v>
      </c>
      <c r="D7076" t="s">
        <v>157</v>
      </c>
      <c r="E7076" t="s">
        <v>2879</v>
      </c>
      <c r="F7076" s="2" t="str">
        <f>HYPERLINK("http://www.otzar.org/book.asp?15742","ברכת מועדיך לחיים - 2 כר'")</f>
        <v>ברכת מועדיך לחיים - 2 כר'</v>
      </c>
    </row>
    <row r="7077" spans="1:6" x14ac:dyDescent="0.2">
      <c r="A7077" t="s">
        <v>12594</v>
      </c>
      <c r="B7077" t="s">
        <v>686</v>
      </c>
      <c r="C7077" t="s">
        <v>51</v>
      </c>
      <c r="D7077" t="s">
        <v>52</v>
      </c>
      <c r="E7077" t="s">
        <v>467</v>
      </c>
      <c r="F7077" s="2" t="str">
        <f>HYPERLINK("http://www.otzar.org/book.asp?50400","ברכת מועדיך")</f>
        <v>ברכת מועדיך</v>
      </c>
    </row>
    <row r="7078" spans="1:6" x14ac:dyDescent="0.2">
      <c r="A7078" t="s">
        <v>12595</v>
      </c>
      <c r="B7078" t="s">
        <v>12596</v>
      </c>
      <c r="C7078" t="s">
        <v>454</v>
      </c>
      <c r="D7078" t="s">
        <v>14</v>
      </c>
      <c r="E7078" t="s">
        <v>246</v>
      </c>
      <c r="F7078" s="2" t="str">
        <f>HYPERLINK("http://www.otzar.org/book.asp?61731","ברכת מועדיך - 3 כר'")</f>
        <v>ברכת מועדיך - 3 כר'</v>
      </c>
    </row>
    <row r="7079" spans="1:6" x14ac:dyDescent="0.2">
      <c r="A7079" t="s">
        <v>12595</v>
      </c>
      <c r="B7079" t="s">
        <v>12597</v>
      </c>
      <c r="C7079" t="s">
        <v>51</v>
      </c>
      <c r="D7079" t="s">
        <v>14</v>
      </c>
      <c r="E7079" t="s">
        <v>130</v>
      </c>
      <c r="F7079" s="2" t="str">
        <f>HYPERLINK("http://www.otzar.org/book.asp?50466","ברכת מועדיך - 3 כר'")</f>
        <v>ברכת מועדיך - 3 כר'</v>
      </c>
    </row>
    <row r="7080" spans="1:6" x14ac:dyDescent="0.2">
      <c r="A7080" t="s">
        <v>12598</v>
      </c>
      <c r="B7080" t="s">
        <v>12599</v>
      </c>
      <c r="C7080" t="s">
        <v>160</v>
      </c>
      <c r="D7080" t="s">
        <v>27</v>
      </c>
      <c r="E7080" t="s">
        <v>246</v>
      </c>
      <c r="F7080" s="2" t="str">
        <f>HYPERLINK("http://www.otzar.org/book.asp?24143","ברכת מועדים")</f>
        <v>ברכת מועדים</v>
      </c>
    </row>
    <row r="7081" spans="1:6" x14ac:dyDescent="0.2">
      <c r="A7081" t="s">
        <v>12600</v>
      </c>
      <c r="B7081" t="s">
        <v>552</v>
      </c>
      <c r="C7081" t="s">
        <v>129</v>
      </c>
      <c r="D7081" t="s">
        <v>5678</v>
      </c>
      <c r="E7081" t="s">
        <v>186</v>
      </c>
      <c r="F7081" s="2" t="str">
        <f>HYPERLINK("http://www.otzar.org/book.asp?173512","ברכת מנחם - ברכות")</f>
        <v>ברכת מנחם - ברכות</v>
      </c>
    </row>
    <row r="7082" spans="1:6" x14ac:dyDescent="0.2">
      <c r="A7082" t="s">
        <v>12601</v>
      </c>
      <c r="B7082" t="s">
        <v>12602</v>
      </c>
      <c r="C7082" t="s">
        <v>383</v>
      </c>
      <c r="D7082" t="s">
        <v>52</v>
      </c>
      <c r="E7082" t="s">
        <v>144</v>
      </c>
      <c r="F7082" s="2" t="str">
        <f>HYPERLINK("http://www.otzar.org/book.asp?144619","ברכת מנחם - 2 כר'")</f>
        <v>ברכת מנחם - 2 כר'</v>
      </c>
    </row>
    <row r="7083" spans="1:6" x14ac:dyDescent="0.2">
      <c r="A7083" t="s">
        <v>12603</v>
      </c>
      <c r="B7083" t="s">
        <v>2074</v>
      </c>
      <c r="C7083" t="s">
        <v>411</v>
      </c>
      <c r="D7083" t="s">
        <v>14</v>
      </c>
      <c r="E7083" t="s">
        <v>130</v>
      </c>
      <c r="F7083" s="2" t="str">
        <f>HYPERLINK("http://www.otzar.org/book.asp?179855","ברכת מעין שבע בליל פסח שחל בשבת")</f>
        <v>ברכת מעין שבע בליל פסח שחל בשבת</v>
      </c>
    </row>
    <row r="7084" spans="1:6" x14ac:dyDescent="0.2">
      <c r="A7084" t="s">
        <v>12604</v>
      </c>
      <c r="B7084" t="s">
        <v>12416</v>
      </c>
      <c r="C7084" t="s">
        <v>20</v>
      </c>
      <c r="D7084" t="s">
        <v>3406</v>
      </c>
      <c r="E7084" t="s">
        <v>15</v>
      </c>
      <c r="F7084" s="2" t="str">
        <f>HYPERLINK("http://www.otzar.org/book.asp?625421","ברכת מצותיך - ג")</f>
        <v>ברכת מצותיך - ג</v>
      </c>
    </row>
    <row r="7085" spans="1:6" x14ac:dyDescent="0.2">
      <c r="A7085" t="s">
        <v>12605</v>
      </c>
      <c r="B7085" t="s">
        <v>12606</v>
      </c>
      <c r="C7085" t="s">
        <v>466</v>
      </c>
      <c r="D7085" t="s">
        <v>14</v>
      </c>
      <c r="E7085" t="s">
        <v>573</v>
      </c>
      <c r="F7085" s="2" t="str">
        <f>HYPERLINK("http://www.otzar.org/book.asp?16484","ברכת מרדכי &lt;מוסר&gt; - 5 כר'")</f>
        <v>ברכת מרדכי &lt;מוסר&gt; - 5 כר'</v>
      </c>
    </row>
    <row r="7086" spans="1:6" x14ac:dyDescent="0.2">
      <c r="A7086" t="s">
        <v>12607</v>
      </c>
      <c r="B7086" t="s">
        <v>12606</v>
      </c>
      <c r="C7086" t="s">
        <v>146</v>
      </c>
      <c r="D7086" t="s">
        <v>14</v>
      </c>
      <c r="E7086" t="s">
        <v>2135</v>
      </c>
      <c r="F7086" s="2" t="str">
        <f>HYPERLINK("http://www.otzar.org/book.asp?26421","ברכת מרדכי השלם &lt;עה""ת&gt; - 5 כר'")</f>
        <v>ברכת מרדכי השלם &lt;עה"ת&gt; - 5 כר'</v>
      </c>
    </row>
    <row r="7087" spans="1:6" x14ac:dyDescent="0.2">
      <c r="A7087" t="s">
        <v>12608</v>
      </c>
      <c r="B7087" t="s">
        <v>12606</v>
      </c>
      <c r="C7087" t="s">
        <v>454</v>
      </c>
      <c r="D7087" t="s">
        <v>14</v>
      </c>
      <c r="E7087" t="s">
        <v>144</v>
      </c>
      <c r="F7087" s="2" t="str">
        <f>HYPERLINK("http://www.otzar.org/book.asp?108401","ברכת מרדכי - 14 כר'")</f>
        <v>ברכת מרדכי - 14 כר'</v>
      </c>
    </row>
    <row r="7088" spans="1:6" x14ac:dyDescent="0.2">
      <c r="A7088" t="s">
        <v>12609</v>
      </c>
      <c r="B7088" t="s">
        <v>12610</v>
      </c>
      <c r="C7088" t="s">
        <v>473</v>
      </c>
      <c r="D7088" t="s">
        <v>225</v>
      </c>
      <c r="E7088" t="s">
        <v>144</v>
      </c>
      <c r="F7088" s="2" t="str">
        <f>HYPERLINK("http://www.otzar.org/book.asp?17377","ברכת מרדכי")</f>
        <v>ברכת מרדכי</v>
      </c>
    </row>
    <row r="7089" spans="1:6" x14ac:dyDescent="0.2">
      <c r="A7089" t="s">
        <v>12611</v>
      </c>
      <c r="B7089" t="s">
        <v>10824</v>
      </c>
      <c r="C7089" t="s">
        <v>411</v>
      </c>
      <c r="D7089" t="s">
        <v>52</v>
      </c>
      <c r="E7089" t="s">
        <v>104</v>
      </c>
      <c r="F7089" s="2" t="str">
        <f>HYPERLINK("http://www.otzar.org/book.asp?608472","ברכת מרדכי - 4 כר'")</f>
        <v>ברכת מרדכי - 4 כר'</v>
      </c>
    </row>
    <row r="7090" spans="1:6" x14ac:dyDescent="0.2">
      <c r="A7090" t="s">
        <v>12612</v>
      </c>
      <c r="B7090" t="s">
        <v>12613</v>
      </c>
      <c r="C7090" t="s">
        <v>129</v>
      </c>
      <c r="D7090" t="s">
        <v>5421</v>
      </c>
      <c r="E7090" t="s">
        <v>15</v>
      </c>
      <c r="F7090" s="2" t="str">
        <f>HYPERLINK("http://www.otzar.org/book.asp?149928","ברכת משה")</f>
        <v>ברכת משה</v>
      </c>
    </row>
    <row r="7091" spans="1:6" x14ac:dyDescent="0.2">
      <c r="A7091" t="s">
        <v>12612</v>
      </c>
      <c r="B7091" t="s">
        <v>12614</v>
      </c>
      <c r="C7091" t="s">
        <v>151</v>
      </c>
      <c r="D7091" t="s">
        <v>52</v>
      </c>
      <c r="E7091" t="s">
        <v>1185</v>
      </c>
      <c r="F7091" s="2" t="str">
        <f>HYPERLINK("http://www.otzar.org/book.asp?613181","ברכת משה")</f>
        <v>ברכת משה</v>
      </c>
    </row>
    <row r="7092" spans="1:6" x14ac:dyDescent="0.2">
      <c r="A7092" t="s">
        <v>12615</v>
      </c>
      <c r="B7092" t="s">
        <v>12616</v>
      </c>
      <c r="C7092" t="s">
        <v>103</v>
      </c>
      <c r="D7092" t="s">
        <v>14</v>
      </c>
      <c r="E7092" t="s">
        <v>803</v>
      </c>
      <c r="F7092" s="2" t="str">
        <f>HYPERLINK("http://www.otzar.org/book.asp?50443","ברכת משה - 2 כר'")</f>
        <v>ברכת משה - 2 כר'</v>
      </c>
    </row>
    <row r="7093" spans="1:6" x14ac:dyDescent="0.2">
      <c r="A7093" t="s">
        <v>12612</v>
      </c>
      <c r="B7093" t="s">
        <v>12617</v>
      </c>
      <c r="C7093" t="s">
        <v>454</v>
      </c>
      <c r="D7093" t="s">
        <v>1356</v>
      </c>
      <c r="E7093" t="s">
        <v>12618</v>
      </c>
      <c r="F7093" s="2" t="str">
        <f>HYPERLINK("http://www.otzar.org/book.asp?63717","ברכת משה")</f>
        <v>ברכת משה</v>
      </c>
    </row>
    <row r="7094" spans="1:6" x14ac:dyDescent="0.2">
      <c r="A7094" t="s">
        <v>12612</v>
      </c>
      <c r="B7094" t="s">
        <v>12619</v>
      </c>
      <c r="C7094" t="s">
        <v>2644</v>
      </c>
      <c r="D7094" t="s">
        <v>56</v>
      </c>
      <c r="E7094" t="s">
        <v>15</v>
      </c>
      <c r="F7094" s="2" t="str">
        <f>HYPERLINK("http://www.otzar.org/book.asp?25597","ברכת משה")</f>
        <v>ברכת משה</v>
      </c>
    </row>
    <row r="7095" spans="1:6" x14ac:dyDescent="0.2">
      <c r="A7095" t="s">
        <v>12612</v>
      </c>
      <c r="B7095" t="s">
        <v>8584</v>
      </c>
      <c r="C7095" t="s">
        <v>896</v>
      </c>
      <c r="D7095" t="s">
        <v>267</v>
      </c>
      <c r="E7095" t="s">
        <v>901</v>
      </c>
      <c r="F7095" s="2" t="str">
        <f>HYPERLINK("http://www.otzar.org/book.asp?100440","ברכת משה")</f>
        <v>ברכת משה</v>
      </c>
    </row>
    <row r="7096" spans="1:6" x14ac:dyDescent="0.2">
      <c r="A7096" t="s">
        <v>12620</v>
      </c>
      <c r="B7096" t="s">
        <v>12621</v>
      </c>
      <c r="C7096" t="s">
        <v>129</v>
      </c>
      <c r="D7096" t="s">
        <v>115</v>
      </c>
      <c r="E7096" t="s">
        <v>186</v>
      </c>
      <c r="F7096" s="2" t="str">
        <f>HYPERLINK("http://www.otzar.org/book.asp?157847","ברכת משה - גיטין")</f>
        <v>ברכת משה - גיטין</v>
      </c>
    </row>
    <row r="7097" spans="1:6" x14ac:dyDescent="0.2">
      <c r="A7097" t="s">
        <v>12612</v>
      </c>
      <c r="B7097" t="s">
        <v>12622</v>
      </c>
      <c r="C7097" t="s">
        <v>940</v>
      </c>
      <c r="D7097" t="s">
        <v>14</v>
      </c>
      <c r="E7097" t="s">
        <v>2418</v>
      </c>
      <c r="F7097" s="2" t="str">
        <f>HYPERLINK("http://www.otzar.org/book.asp?153735","ברכת משה")</f>
        <v>ברכת משה</v>
      </c>
    </row>
    <row r="7098" spans="1:6" x14ac:dyDescent="0.2">
      <c r="A7098" t="s">
        <v>12615</v>
      </c>
      <c r="B7098" t="s">
        <v>12623</v>
      </c>
      <c r="C7098" t="s">
        <v>366</v>
      </c>
      <c r="D7098" t="s">
        <v>1974</v>
      </c>
      <c r="E7098" t="s">
        <v>148</v>
      </c>
      <c r="F7098" s="2" t="str">
        <f>HYPERLINK("http://www.otzar.org/book.asp?629354","ברכת משה - 2 כר'")</f>
        <v>ברכת משה - 2 כר'</v>
      </c>
    </row>
    <row r="7099" spans="1:6" x14ac:dyDescent="0.2">
      <c r="A7099" t="s">
        <v>12612</v>
      </c>
      <c r="B7099" t="s">
        <v>12624</v>
      </c>
      <c r="C7099" t="s">
        <v>103</v>
      </c>
      <c r="D7099" t="s">
        <v>14</v>
      </c>
      <c r="E7099" t="s">
        <v>144</v>
      </c>
      <c r="F7099" s="2" t="str">
        <f>HYPERLINK("http://www.otzar.org/book.asp?610758","ברכת משה")</f>
        <v>ברכת משה</v>
      </c>
    </row>
    <row r="7100" spans="1:6" x14ac:dyDescent="0.2">
      <c r="A7100" t="s">
        <v>12612</v>
      </c>
      <c r="B7100" t="s">
        <v>12625</v>
      </c>
      <c r="C7100" t="s">
        <v>360</v>
      </c>
      <c r="D7100" t="s">
        <v>661</v>
      </c>
      <c r="E7100" t="s">
        <v>144</v>
      </c>
      <c r="F7100" s="2" t="str">
        <f>HYPERLINK("http://www.otzar.org/book.asp?17378","ברכת משה")</f>
        <v>ברכת משה</v>
      </c>
    </row>
    <row r="7101" spans="1:6" x14ac:dyDescent="0.2">
      <c r="A7101" t="s">
        <v>12626</v>
      </c>
      <c r="B7101" t="s">
        <v>12627</v>
      </c>
      <c r="C7101" t="s">
        <v>366</v>
      </c>
      <c r="D7101" t="s">
        <v>14</v>
      </c>
      <c r="E7101" t="s">
        <v>144</v>
      </c>
      <c r="F7101" s="2" t="str">
        <f>HYPERLINK("http://www.otzar.org/book.asp?614399","ברכת משה - 5 כר'")</f>
        <v>ברכת משה - 5 כר'</v>
      </c>
    </row>
    <row r="7102" spans="1:6" x14ac:dyDescent="0.2">
      <c r="A7102" t="s">
        <v>12612</v>
      </c>
      <c r="B7102" t="s">
        <v>12628</v>
      </c>
      <c r="C7102" t="s">
        <v>189</v>
      </c>
      <c r="D7102" t="s">
        <v>52</v>
      </c>
      <c r="E7102" t="s">
        <v>674</v>
      </c>
      <c r="F7102" s="2" t="str">
        <f>HYPERLINK("http://www.otzar.org/book.asp?600037","ברכת משה")</f>
        <v>ברכת משה</v>
      </c>
    </row>
    <row r="7103" spans="1:6" x14ac:dyDescent="0.2">
      <c r="A7103" t="s">
        <v>12612</v>
      </c>
      <c r="B7103" t="s">
        <v>12629</v>
      </c>
      <c r="C7103" t="s">
        <v>282</v>
      </c>
      <c r="D7103" t="s">
        <v>280</v>
      </c>
      <c r="E7103" t="s">
        <v>15</v>
      </c>
      <c r="F7103" s="2" t="str">
        <f>HYPERLINK("http://www.otzar.org/book.asp?21793","ברכת משה")</f>
        <v>ברכת משה</v>
      </c>
    </row>
    <row r="7104" spans="1:6" x14ac:dyDescent="0.2">
      <c r="A7104" t="s">
        <v>12615</v>
      </c>
      <c r="B7104" t="s">
        <v>12630</v>
      </c>
      <c r="C7104" t="s">
        <v>63</v>
      </c>
      <c r="D7104" t="s">
        <v>14</v>
      </c>
      <c r="E7104" t="s">
        <v>154</v>
      </c>
      <c r="F7104" s="2" t="str">
        <f>HYPERLINK("http://www.otzar.org/book.asp?9395","ברכת משה - 2 כר'")</f>
        <v>ברכת משה - 2 כר'</v>
      </c>
    </row>
    <row r="7105" spans="1:6" x14ac:dyDescent="0.2">
      <c r="A7105" t="s">
        <v>12612</v>
      </c>
      <c r="B7105" t="s">
        <v>12631</v>
      </c>
      <c r="C7105" t="s">
        <v>496</v>
      </c>
      <c r="D7105" t="s">
        <v>225</v>
      </c>
      <c r="E7105" t="s">
        <v>158</v>
      </c>
      <c r="F7105" s="2" t="str">
        <f>HYPERLINK("http://www.otzar.org/book.asp?102911","ברכת משה")</f>
        <v>ברכת משה</v>
      </c>
    </row>
    <row r="7106" spans="1:6" x14ac:dyDescent="0.2">
      <c r="A7106" t="s">
        <v>12632</v>
      </c>
      <c r="B7106" t="s">
        <v>12633</v>
      </c>
      <c r="C7106" t="s">
        <v>244</v>
      </c>
      <c r="D7106" t="s">
        <v>1273</v>
      </c>
      <c r="E7106" t="s">
        <v>144</v>
      </c>
      <c r="F7106" s="2" t="str">
        <f>HYPERLINK("http://www.otzar.org/book.asp?199759","ברכת נחמן - 2 כר'")</f>
        <v>ברכת נחמן - 2 כר'</v>
      </c>
    </row>
    <row r="7107" spans="1:6" x14ac:dyDescent="0.2">
      <c r="A7107" t="s">
        <v>12634</v>
      </c>
      <c r="B7107" t="s">
        <v>8609</v>
      </c>
      <c r="C7107" t="s">
        <v>68</v>
      </c>
      <c r="D7107" t="s">
        <v>14</v>
      </c>
      <c r="E7107" t="s">
        <v>234</v>
      </c>
      <c r="F7107" s="2" t="str">
        <f>HYPERLINK("http://www.otzar.org/book.asp?150705","ברכת נישואין")</f>
        <v>ברכת נישואין</v>
      </c>
    </row>
    <row r="7108" spans="1:6" x14ac:dyDescent="0.2">
      <c r="A7108" t="s">
        <v>12635</v>
      </c>
      <c r="B7108" t="s">
        <v>12636</v>
      </c>
      <c r="C7108" t="s">
        <v>87</v>
      </c>
      <c r="D7108" t="s">
        <v>52</v>
      </c>
      <c r="E7108" t="s">
        <v>15</v>
      </c>
      <c r="F7108" s="2" t="str">
        <f>HYPERLINK("http://www.otzar.org/book.asp?50897","ברכת נסים")</f>
        <v>ברכת נסים</v>
      </c>
    </row>
    <row r="7109" spans="1:6" x14ac:dyDescent="0.2">
      <c r="A7109" t="s">
        <v>12637</v>
      </c>
      <c r="B7109" t="s">
        <v>12638</v>
      </c>
      <c r="C7109" t="s">
        <v>383</v>
      </c>
      <c r="D7109" t="s">
        <v>14</v>
      </c>
      <c r="E7109" t="s">
        <v>15</v>
      </c>
      <c r="F7109" s="2" t="str">
        <f>HYPERLINK("http://www.otzar.org/book.asp?615638","ברכת נפתלי - א")</f>
        <v>ברכת נפתלי - א</v>
      </c>
    </row>
    <row r="7110" spans="1:6" x14ac:dyDescent="0.2">
      <c r="A7110" t="s">
        <v>12639</v>
      </c>
      <c r="B7110" t="s">
        <v>12640</v>
      </c>
      <c r="C7110" t="s">
        <v>151</v>
      </c>
      <c r="D7110" t="s">
        <v>52</v>
      </c>
      <c r="F7110" s="2" t="str">
        <f>HYPERLINK("http://www.otzar.org/book.asp?610019","ברכת נתן - שבת א, פרק יוה""כ, מזוזה")</f>
        <v>ברכת נתן - שבת א, פרק יוה"כ, מזוזה</v>
      </c>
    </row>
    <row r="7111" spans="1:6" x14ac:dyDescent="0.2">
      <c r="A7111" t="s">
        <v>12641</v>
      </c>
      <c r="B7111" t="s">
        <v>12642</v>
      </c>
      <c r="C7111" t="s">
        <v>20</v>
      </c>
      <c r="D7111" t="s">
        <v>4519</v>
      </c>
      <c r="E7111" t="s">
        <v>202</v>
      </c>
      <c r="F7111" s="2" t="str">
        <f>HYPERLINK("http://www.otzar.org/book.asp?624674","ברכת עמנואל")</f>
        <v>ברכת עמנואל</v>
      </c>
    </row>
    <row r="7112" spans="1:6" x14ac:dyDescent="0.2">
      <c r="A7112" t="s">
        <v>12643</v>
      </c>
      <c r="B7112" t="s">
        <v>12644</v>
      </c>
      <c r="C7112" t="s">
        <v>189</v>
      </c>
      <c r="D7112" t="s">
        <v>14</v>
      </c>
      <c r="E7112" t="s">
        <v>144</v>
      </c>
      <c r="F7112" s="2" t="str">
        <f>HYPERLINK("http://www.otzar.org/book.asp?619290","ברכת ערב")</f>
        <v>ברכת ערב</v>
      </c>
    </row>
    <row r="7113" spans="1:6" x14ac:dyDescent="0.2">
      <c r="A7113" t="s">
        <v>12645</v>
      </c>
      <c r="B7113" t="s">
        <v>12646</v>
      </c>
      <c r="C7113" t="s">
        <v>411</v>
      </c>
      <c r="D7113" t="s">
        <v>14</v>
      </c>
      <c r="E7113" t="s">
        <v>144</v>
      </c>
      <c r="F7113" s="2" t="str">
        <f>HYPERLINK("http://www.otzar.org/book.asp?169555","ברכת פינחס")</f>
        <v>ברכת פינחס</v>
      </c>
    </row>
    <row r="7114" spans="1:6" x14ac:dyDescent="0.2">
      <c r="A7114" t="s">
        <v>12647</v>
      </c>
      <c r="B7114" t="s">
        <v>12648</v>
      </c>
      <c r="C7114" t="s">
        <v>87</v>
      </c>
      <c r="D7114" t="s">
        <v>14</v>
      </c>
      <c r="E7114" t="s">
        <v>3818</v>
      </c>
      <c r="F7114" s="2" t="str">
        <f>HYPERLINK("http://www.otzar.org/book.asp?85747","ברכת פנחס")</f>
        <v>ברכת פנחס</v>
      </c>
    </row>
    <row r="7115" spans="1:6" x14ac:dyDescent="0.2">
      <c r="A7115" t="s">
        <v>12649</v>
      </c>
      <c r="B7115" t="s">
        <v>12650</v>
      </c>
      <c r="C7115" t="s">
        <v>103</v>
      </c>
      <c r="D7115" t="s">
        <v>14</v>
      </c>
      <c r="E7115" t="s">
        <v>2071</v>
      </c>
      <c r="F7115" s="2" t="str">
        <f>HYPERLINK("http://www.otzar.org/book.asp?22641","ברכת פסח")</f>
        <v>ברכת פסח</v>
      </c>
    </row>
    <row r="7116" spans="1:6" x14ac:dyDescent="0.2">
      <c r="A7116" t="s">
        <v>12651</v>
      </c>
      <c r="B7116" t="s">
        <v>5355</v>
      </c>
      <c r="C7116" t="s">
        <v>775</v>
      </c>
      <c r="D7116" t="s">
        <v>52</v>
      </c>
      <c r="E7116" t="s">
        <v>579</v>
      </c>
      <c r="F7116" s="2" t="str">
        <f>HYPERLINK("http://www.otzar.org/book.asp?28023","ברכת פרץ")</f>
        <v>ברכת פרץ</v>
      </c>
    </row>
    <row r="7117" spans="1:6" x14ac:dyDescent="0.2">
      <c r="A7117" t="s">
        <v>12652</v>
      </c>
      <c r="B7117" t="s">
        <v>12653</v>
      </c>
      <c r="C7117" t="s">
        <v>422</v>
      </c>
      <c r="D7117" t="s">
        <v>486</v>
      </c>
      <c r="E7117" t="s">
        <v>144</v>
      </c>
      <c r="F7117" s="2" t="str">
        <f>HYPERLINK("http://www.otzar.org/book.asp?148944","ברכת צבי מאיר - 2 כר'")</f>
        <v>ברכת צבי מאיר - 2 כר'</v>
      </c>
    </row>
    <row r="7118" spans="1:6" x14ac:dyDescent="0.2">
      <c r="A7118" t="s">
        <v>12654</v>
      </c>
      <c r="B7118" t="s">
        <v>12655</v>
      </c>
      <c r="C7118" t="s">
        <v>411</v>
      </c>
      <c r="D7118" t="s">
        <v>14</v>
      </c>
      <c r="E7118" t="s">
        <v>803</v>
      </c>
      <c r="F7118" s="2" t="str">
        <f>HYPERLINK("http://www.otzar.org/book.asp?173305","ברכת צבי")</f>
        <v>ברכת צבי</v>
      </c>
    </row>
    <row r="7119" spans="1:6" x14ac:dyDescent="0.2">
      <c r="A7119" t="s">
        <v>12656</v>
      </c>
      <c r="B7119" t="s">
        <v>12657</v>
      </c>
      <c r="C7119" t="s">
        <v>244</v>
      </c>
      <c r="D7119" t="s">
        <v>52</v>
      </c>
      <c r="E7119" t="s">
        <v>144</v>
      </c>
      <c r="F7119" s="2" t="str">
        <f>HYPERLINK("http://www.otzar.org/book.asp?629284","ברכת צבי - 8 כר'")</f>
        <v>ברכת צבי - 8 כר'</v>
      </c>
    </row>
    <row r="7120" spans="1:6" x14ac:dyDescent="0.2">
      <c r="A7120" t="s">
        <v>12658</v>
      </c>
      <c r="B7120" t="s">
        <v>12659</v>
      </c>
      <c r="C7120" t="s">
        <v>37</v>
      </c>
      <c r="D7120" t="s">
        <v>14</v>
      </c>
      <c r="E7120" t="s">
        <v>158</v>
      </c>
      <c r="F7120" s="2" t="str">
        <f>HYPERLINK("http://www.otzar.org/book.asp?611593","ברכת צבי - בראשית, שמות")</f>
        <v>ברכת צבי - בראשית, שמות</v>
      </c>
    </row>
    <row r="7121" spans="1:6" x14ac:dyDescent="0.2">
      <c r="A7121" t="s">
        <v>12660</v>
      </c>
      <c r="B7121" t="s">
        <v>12661</v>
      </c>
      <c r="C7121" t="s">
        <v>411</v>
      </c>
      <c r="D7121" t="s">
        <v>14</v>
      </c>
      <c r="E7121" t="s">
        <v>786</v>
      </c>
      <c r="F7121" s="2" t="str">
        <f>HYPERLINK("http://www.otzar.org/book.asp?169402","ברכת ציון - 12 כר'")</f>
        <v>ברכת ציון - 12 כר'</v>
      </c>
    </row>
    <row r="7122" spans="1:6" x14ac:dyDescent="0.2">
      <c r="A7122" t="s">
        <v>12662</v>
      </c>
      <c r="B7122" t="s">
        <v>12663</v>
      </c>
      <c r="C7122" t="s">
        <v>20</v>
      </c>
      <c r="D7122" t="s">
        <v>90</v>
      </c>
      <c r="E7122" t="s">
        <v>144</v>
      </c>
      <c r="F7122" s="2" t="str">
        <f>HYPERLINK("http://www.otzar.org/book.asp?166152","ברכת ציון")</f>
        <v>ברכת ציון</v>
      </c>
    </row>
    <row r="7123" spans="1:6" x14ac:dyDescent="0.2">
      <c r="A7123" t="s">
        <v>12664</v>
      </c>
      <c r="B7123" t="s">
        <v>12665</v>
      </c>
      <c r="C7123" t="s">
        <v>946</v>
      </c>
      <c r="D7123" t="s">
        <v>6742</v>
      </c>
      <c r="E7123" t="s">
        <v>219</v>
      </c>
      <c r="F7123" s="2" t="str">
        <f>HYPERLINK("http://www.otzar.org/book.asp?13300","ברכת קדוש החמה")</f>
        <v>ברכת קדוש החמה</v>
      </c>
    </row>
    <row r="7124" spans="1:6" x14ac:dyDescent="0.2">
      <c r="A7124" t="s">
        <v>12666</v>
      </c>
      <c r="B7124" t="s">
        <v>12667</v>
      </c>
      <c r="C7124" t="s">
        <v>3106</v>
      </c>
      <c r="D7124" t="s">
        <v>646</v>
      </c>
      <c r="E7124" t="s">
        <v>219</v>
      </c>
      <c r="F7124" s="2" t="str">
        <f>HYPERLINK("http://www.otzar.org/book.asp?13492","ברכת קידוש החמה")</f>
        <v>ברכת קידוש החמה</v>
      </c>
    </row>
    <row r="7125" spans="1:6" x14ac:dyDescent="0.2">
      <c r="A7125" t="s">
        <v>12668</v>
      </c>
      <c r="B7125" t="s">
        <v>12669</v>
      </c>
      <c r="C7125" t="s">
        <v>466</v>
      </c>
      <c r="D7125" t="s">
        <v>367</v>
      </c>
      <c r="E7125" t="s">
        <v>15</v>
      </c>
      <c r="F7125" s="2" t="str">
        <f>HYPERLINK("http://www.otzar.org/book.asp?22742","ברכת ר""ש - 2 כר'")</f>
        <v>ברכת ר"ש - 2 כר'</v>
      </c>
    </row>
    <row r="7126" spans="1:6" x14ac:dyDescent="0.2">
      <c r="A7126" t="s">
        <v>12670</v>
      </c>
      <c r="B7126" t="s">
        <v>12671</v>
      </c>
      <c r="C7126" t="s">
        <v>785</v>
      </c>
      <c r="D7126" t="s">
        <v>14</v>
      </c>
      <c r="E7126" t="s">
        <v>158</v>
      </c>
      <c r="F7126" s="2" t="str">
        <f>HYPERLINK("http://www.otzar.org/book.asp?51976","ברכת ראובן שלמה &lt;דרשות על התורה&gt; - 6 כר'")</f>
        <v>ברכת ראובן שלמה &lt;דרשות על התורה&gt; - 6 כר'</v>
      </c>
    </row>
    <row r="7127" spans="1:6" x14ac:dyDescent="0.2">
      <c r="A7127" t="s">
        <v>12672</v>
      </c>
      <c r="B7127" t="s">
        <v>12671</v>
      </c>
      <c r="C7127" t="s">
        <v>454</v>
      </c>
      <c r="D7127" t="s">
        <v>14</v>
      </c>
      <c r="E7127" t="s">
        <v>144</v>
      </c>
      <c r="F7127" s="2" t="str">
        <f>HYPERLINK("http://www.otzar.org/book.asp?51975","ברכת ראובן שלמה &lt;חידושים ובאורים&gt; - 13 כר'")</f>
        <v>ברכת ראובן שלמה &lt;חידושים ובאורים&gt; - 13 כר'</v>
      </c>
    </row>
    <row r="7128" spans="1:6" x14ac:dyDescent="0.2">
      <c r="A7128" t="s">
        <v>12673</v>
      </c>
      <c r="B7128" t="s">
        <v>12671</v>
      </c>
      <c r="C7128" t="s">
        <v>189</v>
      </c>
      <c r="D7128" t="s">
        <v>14</v>
      </c>
      <c r="E7128" t="s">
        <v>154</v>
      </c>
      <c r="F7128" s="2" t="str">
        <f>HYPERLINK("http://www.otzar.org/book.asp?51879","ברכת ראובן שלמה &lt;שו""ת&gt; - 11 כר'")</f>
        <v>ברכת ראובן שלמה &lt;שו"ת&gt; - 11 כר'</v>
      </c>
    </row>
    <row r="7129" spans="1:6" x14ac:dyDescent="0.2">
      <c r="A7129" t="s">
        <v>12674</v>
      </c>
      <c r="B7129" t="s">
        <v>12675</v>
      </c>
      <c r="C7129" t="s">
        <v>114</v>
      </c>
      <c r="D7129" t="s">
        <v>245</v>
      </c>
      <c r="F7129" s="2" t="str">
        <f>HYPERLINK("http://www.otzar.org/book.asp?610629","ברכת ראובן - מוקצה")</f>
        <v>ברכת ראובן - מוקצה</v>
      </c>
    </row>
    <row r="7130" spans="1:6" x14ac:dyDescent="0.2">
      <c r="A7130" t="s">
        <v>12676</v>
      </c>
      <c r="B7130" t="s">
        <v>7579</v>
      </c>
      <c r="C7130" t="s">
        <v>3690</v>
      </c>
      <c r="D7130" t="s">
        <v>225</v>
      </c>
      <c r="E7130" t="s">
        <v>144</v>
      </c>
      <c r="F7130" s="2" t="str">
        <f>HYPERLINK("http://www.otzar.org/book.asp?209","ברכת ראש - 2 כר'")</f>
        <v>ברכת ראש - 2 כר'</v>
      </c>
    </row>
    <row r="7131" spans="1:6" x14ac:dyDescent="0.2">
      <c r="A7131" t="s">
        <v>12677</v>
      </c>
      <c r="B7131" t="s">
        <v>12678</v>
      </c>
      <c r="C7131" t="s">
        <v>51</v>
      </c>
      <c r="D7131" t="s">
        <v>52</v>
      </c>
      <c r="E7131" t="s">
        <v>1103</v>
      </c>
      <c r="F7131" s="2" t="str">
        <f>HYPERLINK("http://www.otzar.org/book.asp?143172","ברכת רחל")</f>
        <v>ברכת רחל</v>
      </c>
    </row>
    <row r="7132" spans="1:6" x14ac:dyDescent="0.2">
      <c r="A7132" t="s">
        <v>12679</v>
      </c>
      <c r="B7132" t="s">
        <v>12680</v>
      </c>
      <c r="C7132" t="s">
        <v>103</v>
      </c>
      <c r="D7132" t="s">
        <v>14</v>
      </c>
      <c r="E7132" t="s">
        <v>3798</v>
      </c>
      <c r="F7132" s="2" t="str">
        <f>HYPERLINK("http://www.otzar.org/book.asp?24483","ברכת רם אמרי דעת")</f>
        <v>ברכת רם אמרי דעת</v>
      </c>
    </row>
    <row r="7133" spans="1:6" x14ac:dyDescent="0.2">
      <c r="A7133" t="s">
        <v>12681</v>
      </c>
      <c r="B7133" t="s">
        <v>12680</v>
      </c>
      <c r="C7133" t="s">
        <v>1208</v>
      </c>
      <c r="D7133" t="s">
        <v>14</v>
      </c>
      <c r="E7133" t="s">
        <v>144</v>
      </c>
      <c r="F7133" s="2" t="str">
        <f>HYPERLINK("http://www.otzar.org/book.asp?50200","ברכת רם - 5 כר'")</f>
        <v>ברכת רם - 5 כר'</v>
      </c>
    </row>
    <row r="7134" spans="1:6" x14ac:dyDescent="0.2">
      <c r="A7134" t="s">
        <v>12682</v>
      </c>
      <c r="B7134" t="s">
        <v>12683</v>
      </c>
      <c r="C7134" t="s">
        <v>114</v>
      </c>
      <c r="D7134" t="s">
        <v>90</v>
      </c>
      <c r="E7134" t="s">
        <v>144</v>
      </c>
      <c r="F7134" s="2" t="str">
        <f>HYPERLINK("http://www.otzar.org/book.asp?176245","ברכת רפאל")</f>
        <v>ברכת רפאל</v>
      </c>
    </row>
    <row r="7135" spans="1:6" x14ac:dyDescent="0.2">
      <c r="A7135" t="s">
        <v>12682</v>
      </c>
      <c r="B7135" t="s">
        <v>552</v>
      </c>
      <c r="C7135" t="s">
        <v>411</v>
      </c>
      <c r="D7135" t="s">
        <v>134</v>
      </c>
      <c r="F7135" s="2" t="str">
        <f>HYPERLINK("http://www.otzar.org/book.asp?621406","ברכת רפאל")</f>
        <v>ברכת רפאל</v>
      </c>
    </row>
    <row r="7136" spans="1:6" x14ac:dyDescent="0.2">
      <c r="A7136" t="s">
        <v>12684</v>
      </c>
      <c r="B7136" t="s">
        <v>12685</v>
      </c>
      <c r="C7136" t="s">
        <v>1388</v>
      </c>
      <c r="D7136" t="s">
        <v>14</v>
      </c>
      <c r="E7136" t="s">
        <v>130</v>
      </c>
      <c r="F7136" s="2" t="str">
        <f>HYPERLINK("http://www.otzar.org/book.asp?50324","ברכת רפאל - 5 כר'")</f>
        <v>ברכת רפאל - 5 כר'</v>
      </c>
    </row>
    <row r="7137" spans="1:6" x14ac:dyDescent="0.2">
      <c r="A7137" t="s">
        <v>12686</v>
      </c>
      <c r="B7137" t="s">
        <v>12687</v>
      </c>
      <c r="C7137" t="s">
        <v>1047</v>
      </c>
      <c r="D7137" t="s">
        <v>267</v>
      </c>
      <c r="E7137" t="s">
        <v>154</v>
      </c>
      <c r="F7137" s="2" t="str">
        <f>HYPERLINK("http://www.otzar.org/book.asp?11068","ברכת רצ""ה")</f>
        <v>ברכת רצ"ה</v>
      </c>
    </row>
    <row r="7138" spans="1:6" x14ac:dyDescent="0.2">
      <c r="A7138" t="s">
        <v>12688</v>
      </c>
      <c r="B7138" t="s">
        <v>12689</v>
      </c>
      <c r="C7138" t="s">
        <v>20</v>
      </c>
      <c r="D7138" t="s">
        <v>412</v>
      </c>
      <c r="E7138" t="s">
        <v>144</v>
      </c>
      <c r="F7138" s="2" t="str">
        <f>HYPERLINK("http://www.otzar.org/book.asp?161457","ברכת רצה")</f>
        <v>ברכת רצה</v>
      </c>
    </row>
    <row r="7139" spans="1:6" x14ac:dyDescent="0.2">
      <c r="A7139" t="s">
        <v>12690</v>
      </c>
      <c r="B7139" t="s">
        <v>2063</v>
      </c>
      <c r="C7139" t="s">
        <v>2105</v>
      </c>
      <c r="D7139" t="s">
        <v>3293</v>
      </c>
      <c r="E7139" t="s">
        <v>144</v>
      </c>
      <c r="F7139" s="2" t="str">
        <f>HYPERLINK("http://www.otzar.org/book.asp?103075","ברכת שאול")</f>
        <v>ברכת שאול</v>
      </c>
    </row>
    <row r="7140" spans="1:6" x14ac:dyDescent="0.2">
      <c r="A7140" t="s">
        <v>12691</v>
      </c>
      <c r="B7140" t="s">
        <v>12692</v>
      </c>
      <c r="C7140" t="s">
        <v>23</v>
      </c>
      <c r="D7140" t="s">
        <v>52</v>
      </c>
      <c r="F7140" s="2" t="str">
        <f>HYPERLINK("http://www.otzar.org/book.asp?613633","ברכת שי - 15 כר'")</f>
        <v>ברכת שי - 15 כר'</v>
      </c>
    </row>
    <row r="7141" spans="1:6" x14ac:dyDescent="0.2">
      <c r="A7141" t="s">
        <v>12693</v>
      </c>
      <c r="B7141" t="s">
        <v>12694</v>
      </c>
      <c r="C7141" t="s">
        <v>624</v>
      </c>
      <c r="D7141" t="s">
        <v>14</v>
      </c>
      <c r="E7141" t="s">
        <v>241</v>
      </c>
      <c r="F7141" s="2" t="str">
        <f>HYPERLINK("http://www.otzar.org/book.asp?144154","ברכת שלום &lt;מאמרים&gt; - 4 כר'")</f>
        <v>ברכת שלום &lt;מאמרים&gt; - 4 כר'</v>
      </c>
    </row>
    <row r="7142" spans="1:6" x14ac:dyDescent="0.2">
      <c r="A7142" t="s">
        <v>12695</v>
      </c>
      <c r="B7142" t="s">
        <v>12694</v>
      </c>
      <c r="C7142" t="s">
        <v>129</v>
      </c>
      <c r="D7142" t="s">
        <v>52</v>
      </c>
      <c r="E7142" t="s">
        <v>158</v>
      </c>
      <c r="F7142" s="2" t="str">
        <f>HYPERLINK("http://www.otzar.org/book.asp?85064","ברכת שלום &lt;על התורה&gt;")</f>
        <v>ברכת שלום &lt;על התורה&gt;</v>
      </c>
    </row>
    <row r="7143" spans="1:6" x14ac:dyDescent="0.2">
      <c r="A7143" t="s">
        <v>12696</v>
      </c>
      <c r="B7143" t="s">
        <v>12694</v>
      </c>
      <c r="C7143" t="s">
        <v>454</v>
      </c>
      <c r="D7143" t="s">
        <v>52</v>
      </c>
      <c r="E7143" t="s">
        <v>241</v>
      </c>
      <c r="F7143" s="2" t="str">
        <f>HYPERLINK("http://www.otzar.org/book.asp?166157","ברכת שלום &lt;שמעתי&gt;")</f>
        <v>ברכת שלום &lt;שמעתי&gt;</v>
      </c>
    </row>
    <row r="7144" spans="1:6" x14ac:dyDescent="0.2">
      <c r="A7144" t="s">
        <v>12697</v>
      </c>
      <c r="B7144" t="s">
        <v>12698</v>
      </c>
      <c r="C7144" t="s">
        <v>68</v>
      </c>
      <c r="D7144" t="s">
        <v>14</v>
      </c>
      <c r="E7144" t="s">
        <v>158</v>
      </c>
      <c r="F7144" s="2" t="str">
        <f>HYPERLINK("http://www.otzar.org/book.asp?159780","ברכת שלום &lt;על התורה&gt; - בראשית")</f>
        <v>ברכת שלום &lt;על התורה&gt; - בראשית</v>
      </c>
    </row>
    <row r="7145" spans="1:6" x14ac:dyDescent="0.2">
      <c r="A7145" t="s">
        <v>12699</v>
      </c>
      <c r="B7145" t="s">
        <v>12700</v>
      </c>
      <c r="C7145" t="s">
        <v>1047</v>
      </c>
      <c r="D7145" t="s">
        <v>283</v>
      </c>
      <c r="E7145" t="s">
        <v>154</v>
      </c>
      <c r="F7145" s="2" t="str">
        <f>HYPERLINK("http://www.otzar.org/book.asp?17379","ברכת שלום")</f>
        <v>ברכת שלום</v>
      </c>
    </row>
    <row r="7146" spans="1:6" x14ac:dyDescent="0.2">
      <c r="A7146" t="s">
        <v>12701</v>
      </c>
      <c r="B7146" t="s">
        <v>12698</v>
      </c>
      <c r="C7146" t="s">
        <v>71</v>
      </c>
      <c r="D7146" t="s">
        <v>14</v>
      </c>
      <c r="E7146" t="s">
        <v>144</v>
      </c>
      <c r="F7146" s="2" t="str">
        <f>HYPERLINK("http://www.otzar.org/book.asp?50621","ברכת שלום - 7 כר'")</f>
        <v>ברכת שלום - 7 כר'</v>
      </c>
    </row>
    <row r="7147" spans="1:6" x14ac:dyDescent="0.2">
      <c r="A7147" t="s">
        <v>12699</v>
      </c>
      <c r="B7147" t="s">
        <v>12702</v>
      </c>
      <c r="C7147" t="s">
        <v>1609</v>
      </c>
      <c r="D7147" t="s">
        <v>563</v>
      </c>
      <c r="E7147" t="s">
        <v>975</v>
      </c>
      <c r="F7147" s="2" t="str">
        <f>HYPERLINK("http://www.otzar.org/book.asp?107119","ברכת שלום")</f>
        <v>ברכת שלום</v>
      </c>
    </row>
    <row r="7148" spans="1:6" x14ac:dyDescent="0.2">
      <c r="A7148" t="s">
        <v>12699</v>
      </c>
      <c r="B7148" t="s">
        <v>12703</v>
      </c>
      <c r="E7148" t="s">
        <v>158</v>
      </c>
      <c r="F7148" s="2" t="str">
        <f>HYPERLINK("http://www.otzar.org/book.asp?628023","ברכת שלום")</f>
        <v>ברכת שלום</v>
      </c>
    </row>
    <row r="7149" spans="1:6" x14ac:dyDescent="0.2">
      <c r="A7149" t="s">
        <v>12699</v>
      </c>
      <c r="B7149" t="s">
        <v>12704</v>
      </c>
      <c r="C7149" t="s">
        <v>547</v>
      </c>
      <c r="D7149" t="s">
        <v>1432</v>
      </c>
      <c r="E7149" t="s">
        <v>10</v>
      </c>
      <c r="F7149" s="2" t="str">
        <f>HYPERLINK("http://www.otzar.org/book.asp?22403","ברכת שלום")</f>
        <v>ברכת שלום</v>
      </c>
    </row>
    <row r="7150" spans="1:6" x14ac:dyDescent="0.2">
      <c r="A7150" t="s">
        <v>12705</v>
      </c>
      <c r="B7150" t="s">
        <v>12706</v>
      </c>
      <c r="E7150" t="s">
        <v>15</v>
      </c>
      <c r="F7150" s="2" t="str">
        <f>HYPERLINK("http://www.otzar.org/book.asp?622687","ברכת שלמה אורחות לשון")</f>
        <v>ברכת שלמה אורחות לשון</v>
      </c>
    </row>
    <row r="7151" spans="1:6" x14ac:dyDescent="0.2">
      <c r="A7151" t="s">
        <v>12707</v>
      </c>
      <c r="B7151" t="s">
        <v>410</v>
      </c>
      <c r="C7151" t="s">
        <v>313</v>
      </c>
      <c r="D7151" t="s">
        <v>412</v>
      </c>
      <c r="E7151" t="s">
        <v>508</v>
      </c>
      <c r="F7151" s="2" t="str">
        <f>HYPERLINK("http://www.otzar.org/book.asp?145592","ברכת שלמה")</f>
        <v>ברכת שלמה</v>
      </c>
    </row>
    <row r="7152" spans="1:6" x14ac:dyDescent="0.2">
      <c r="A7152" t="s">
        <v>12707</v>
      </c>
      <c r="B7152" t="s">
        <v>12708</v>
      </c>
      <c r="C7152" t="s">
        <v>111</v>
      </c>
      <c r="D7152" t="s">
        <v>152</v>
      </c>
      <c r="E7152" t="s">
        <v>130</v>
      </c>
      <c r="F7152" s="2" t="str">
        <f>HYPERLINK("http://www.otzar.org/book.asp?629355","ברכת שלמה")</f>
        <v>ברכת שלמה</v>
      </c>
    </row>
    <row r="7153" spans="1:6" x14ac:dyDescent="0.2">
      <c r="A7153" t="s">
        <v>12707</v>
      </c>
      <c r="B7153" t="s">
        <v>12709</v>
      </c>
      <c r="C7153" t="s">
        <v>422</v>
      </c>
      <c r="D7153" t="s">
        <v>14</v>
      </c>
      <c r="E7153" t="s">
        <v>148</v>
      </c>
      <c r="F7153" s="2" t="str">
        <f>HYPERLINK("http://www.otzar.org/book.asp?85452","ברכת שלמה")</f>
        <v>ברכת שלמה</v>
      </c>
    </row>
    <row r="7154" spans="1:6" x14ac:dyDescent="0.2">
      <c r="A7154" t="s">
        <v>12710</v>
      </c>
      <c r="B7154" t="s">
        <v>998</v>
      </c>
      <c r="C7154" t="s">
        <v>37</v>
      </c>
      <c r="D7154" t="s">
        <v>14</v>
      </c>
      <c r="E7154" t="s">
        <v>15</v>
      </c>
      <c r="F7154" s="2" t="str">
        <f>HYPERLINK("http://www.otzar.org/book.asp?180781","ברכת שלמה - ב")</f>
        <v>ברכת שלמה - ב</v>
      </c>
    </row>
    <row r="7155" spans="1:6" x14ac:dyDescent="0.2">
      <c r="A7155" t="s">
        <v>12711</v>
      </c>
      <c r="B7155" t="s">
        <v>206</v>
      </c>
      <c r="C7155" t="s">
        <v>114</v>
      </c>
      <c r="D7155" t="s">
        <v>152</v>
      </c>
      <c r="E7155" t="s">
        <v>144</v>
      </c>
      <c r="F7155" s="2" t="str">
        <f>HYPERLINK("http://www.otzar.org/book.asp?167471","ברכת שלמה - ברכות")</f>
        <v>ברכת שלמה - ברכות</v>
      </c>
    </row>
    <row r="7156" spans="1:6" x14ac:dyDescent="0.2">
      <c r="A7156" t="s">
        <v>12712</v>
      </c>
      <c r="B7156" t="s">
        <v>12713</v>
      </c>
      <c r="C7156" t="s">
        <v>585</v>
      </c>
      <c r="D7156" t="s">
        <v>52</v>
      </c>
      <c r="E7156" t="s">
        <v>172</v>
      </c>
      <c r="F7156" s="2" t="str">
        <f>HYPERLINK("http://www.otzar.org/book.asp?143127","ברכת שלמה - 6 כר'")</f>
        <v>ברכת שלמה - 6 כר'</v>
      </c>
    </row>
    <row r="7157" spans="1:6" x14ac:dyDescent="0.2">
      <c r="A7157" t="s">
        <v>12707</v>
      </c>
      <c r="B7157" t="s">
        <v>12714</v>
      </c>
      <c r="C7157" t="s">
        <v>360</v>
      </c>
      <c r="D7157" t="s">
        <v>225</v>
      </c>
      <c r="E7157" t="s">
        <v>803</v>
      </c>
      <c r="F7157" s="2" t="str">
        <f>HYPERLINK("http://www.otzar.org/book.asp?24148","ברכת שלמה")</f>
        <v>ברכת שלמה</v>
      </c>
    </row>
    <row r="7158" spans="1:6" x14ac:dyDescent="0.2">
      <c r="A7158" t="s">
        <v>12715</v>
      </c>
      <c r="B7158" t="s">
        <v>12716</v>
      </c>
      <c r="C7158" t="s">
        <v>411</v>
      </c>
      <c r="D7158" t="s">
        <v>412</v>
      </c>
      <c r="E7158" t="s">
        <v>186</v>
      </c>
      <c r="F7158" s="2" t="str">
        <f>HYPERLINK("http://www.otzar.org/book.asp?167828","ברכת שלמה - גיטין")</f>
        <v>ברכת שלמה - גיטין</v>
      </c>
    </row>
    <row r="7159" spans="1:6" x14ac:dyDescent="0.2">
      <c r="A7159" t="s">
        <v>12717</v>
      </c>
      <c r="B7159" t="s">
        <v>12718</v>
      </c>
      <c r="C7159" t="s">
        <v>111</v>
      </c>
      <c r="D7159" t="s">
        <v>152</v>
      </c>
      <c r="E7159" t="s">
        <v>172</v>
      </c>
      <c r="F7159" s="2" t="str">
        <f>HYPERLINK("http://www.otzar.org/book.asp?626726","ברכת שלמה - 4 כר'")</f>
        <v>ברכת שלמה - 4 כר'</v>
      </c>
    </row>
    <row r="7160" spans="1:6" x14ac:dyDescent="0.2">
      <c r="A7160" t="s">
        <v>12719</v>
      </c>
      <c r="B7160" t="s">
        <v>12720</v>
      </c>
      <c r="C7160" t="s">
        <v>332</v>
      </c>
      <c r="D7160" t="s">
        <v>412</v>
      </c>
      <c r="E7160" t="s">
        <v>384</v>
      </c>
      <c r="F7160" s="2" t="str">
        <f>HYPERLINK("http://www.otzar.org/book.asp?60696","ברכת שלמה - כתר תורה")</f>
        <v>ברכת שלמה - כתר תורה</v>
      </c>
    </row>
    <row r="7161" spans="1:6" x14ac:dyDescent="0.2">
      <c r="A7161" t="s">
        <v>12721</v>
      </c>
      <c r="B7161" t="s">
        <v>12722</v>
      </c>
      <c r="C7161" t="s">
        <v>17</v>
      </c>
      <c r="D7161" t="s">
        <v>14</v>
      </c>
      <c r="E7161" t="s">
        <v>674</v>
      </c>
      <c r="F7161" s="2" t="str">
        <f>HYPERLINK("http://www.otzar.org/book.asp?50926","ברכת שם - הל' זימון")</f>
        <v>ברכת שם - הל' זימון</v>
      </c>
    </row>
    <row r="7162" spans="1:6" x14ac:dyDescent="0.2">
      <c r="A7162" t="s">
        <v>12723</v>
      </c>
      <c r="B7162" t="s">
        <v>12724</v>
      </c>
      <c r="C7162" t="s">
        <v>151</v>
      </c>
      <c r="D7162" t="s">
        <v>90</v>
      </c>
      <c r="E7162" t="s">
        <v>158</v>
      </c>
      <c r="F7162" s="2" t="str">
        <f>HYPERLINK("http://www.otzar.org/book.asp?616328","ברכת שמואל - על התורה")</f>
        <v>ברכת שמואל - על התורה</v>
      </c>
    </row>
    <row r="7163" spans="1:6" x14ac:dyDescent="0.2">
      <c r="A7163" t="s">
        <v>12725</v>
      </c>
      <c r="B7163" t="s">
        <v>12726</v>
      </c>
      <c r="C7163" t="s">
        <v>114</v>
      </c>
      <c r="D7163" t="s">
        <v>14</v>
      </c>
      <c r="E7163" t="s">
        <v>803</v>
      </c>
      <c r="F7163" s="2" t="str">
        <f>HYPERLINK("http://www.otzar.org/book.asp?169461","ברכת שמואל - 2 כר'")</f>
        <v>ברכת שמואל - 2 כר'</v>
      </c>
    </row>
    <row r="7164" spans="1:6" x14ac:dyDescent="0.2">
      <c r="A7164" t="s">
        <v>12727</v>
      </c>
      <c r="B7164" t="s">
        <v>12728</v>
      </c>
      <c r="C7164" t="s">
        <v>37</v>
      </c>
      <c r="D7164" t="s">
        <v>21</v>
      </c>
      <c r="F7164" s="2" t="str">
        <f>HYPERLINK("http://www.otzar.org/book.asp?194686","ברכת שמואל")</f>
        <v>ברכת שמואל</v>
      </c>
    </row>
    <row r="7165" spans="1:6" x14ac:dyDescent="0.2">
      <c r="A7165" t="s">
        <v>12727</v>
      </c>
      <c r="B7165" t="s">
        <v>5944</v>
      </c>
      <c r="C7165" t="s">
        <v>12729</v>
      </c>
      <c r="D7165" t="s">
        <v>322</v>
      </c>
      <c r="E7165" t="s">
        <v>158</v>
      </c>
      <c r="F7165" s="2" t="str">
        <f>HYPERLINK("http://www.otzar.org/book.asp?15743","ברכת שמואל")</f>
        <v>ברכת שמואל</v>
      </c>
    </row>
    <row r="7166" spans="1:6" x14ac:dyDescent="0.2">
      <c r="A7166" t="s">
        <v>12730</v>
      </c>
      <c r="B7166" t="s">
        <v>12731</v>
      </c>
      <c r="C7166" t="s">
        <v>51</v>
      </c>
      <c r="D7166" t="s">
        <v>52</v>
      </c>
      <c r="E7166" t="s">
        <v>144</v>
      </c>
      <c r="F7166" s="2" t="str">
        <f>HYPERLINK("http://www.otzar.org/book.asp?50365","ברכת שמחה - 3 כר'")</f>
        <v>ברכת שמחה - 3 כר'</v>
      </c>
    </row>
    <row r="7167" spans="1:6" x14ac:dyDescent="0.2">
      <c r="A7167" t="s">
        <v>12732</v>
      </c>
      <c r="B7167" t="s">
        <v>12733</v>
      </c>
      <c r="C7167" t="s">
        <v>785</v>
      </c>
      <c r="D7167" t="s">
        <v>14</v>
      </c>
      <c r="E7167" t="s">
        <v>15</v>
      </c>
      <c r="F7167" s="2" t="str">
        <f>HYPERLINK("http://www.otzar.org/book.asp?62031","ברכת שמים")</f>
        <v>ברכת שמים</v>
      </c>
    </row>
    <row r="7168" spans="1:6" x14ac:dyDescent="0.2">
      <c r="A7168" t="s">
        <v>12734</v>
      </c>
      <c r="B7168" t="s">
        <v>12735</v>
      </c>
      <c r="C7168" t="s">
        <v>23</v>
      </c>
      <c r="D7168" t="s">
        <v>657</v>
      </c>
      <c r="E7168" t="s">
        <v>144</v>
      </c>
      <c r="F7168" s="2" t="str">
        <f>HYPERLINK("http://www.otzar.org/book.asp?194138","ברכת שמעון")</f>
        <v>ברכת שמעון</v>
      </c>
    </row>
    <row r="7169" spans="1:6" x14ac:dyDescent="0.2">
      <c r="A7169" t="s">
        <v>12736</v>
      </c>
      <c r="B7169" t="s">
        <v>12737</v>
      </c>
      <c r="C7169" t="s">
        <v>37</v>
      </c>
      <c r="D7169" t="s">
        <v>3069</v>
      </c>
      <c r="E7169" t="s">
        <v>154</v>
      </c>
      <c r="F7169" s="2" t="str">
        <f>HYPERLINK("http://www.otzar.org/book.asp?192856","ברכת שמעון - שו""ת")</f>
        <v>ברכת שמעון - שו"ת</v>
      </c>
    </row>
    <row r="7170" spans="1:6" x14ac:dyDescent="0.2">
      <c r="A7170" t="s">
        <v>12738</v>
      </c>
      <c r="B7170" t="s">
        <v>12739</v>
      </c>
      <c r="C7170" t="s">
        <v>767</v>
      </c>
      <c r="D7170" t="s">
        <v>52</v>
      </c>
      <c r="E7170" t="s">
        <v>144</v>
      </c>
      <c r="F7170" s="2" t="str">
        <f>HYPERLINK("http://www.otzar.org/book.asp?162108","ברכת שמעון - 4 כר'")</f>
        <v>ברכת שמעון - 4 כר'</v>
      </c>
    </row>
    <row r="7171" spans="1:6" x14ac:dyDescent="0.2">
      <c r="A7171" t="s">
        <v>12740</v>
      </c>
      <c r="B7171" t="s">
        <v>12741</v>
      </c>
      <c r="C7171" t="s">
        <v>585</v>
      </c>
      <c r="D7171" t="s">
        <v>14</v>
      </c>
      <c r="E7171" t="s">
        <v>144</v>
      </c>
      <c r="F7171" s="2" t="str">
        <f>HYPERLINK("http://www.otzar.org/book.asp?6695","ברכת שמעון - 7 כר'")</f>
        <v>ברכת שמעון - 7 כר'</v>
      </c>
    </row>
    <row r="7172" spans="1:6" x14ac:dyDescent="0.2">
      <c r="A7172" t="s">
        <v>12742</v>
      </c>
      <c r="B7172" t="s">
        <v>12743</v>
      </c>
      <c r="C7172" t="s">
        <v>71</v>
      </c>
      <c r="D7172" t="s">
        <v>52</v>
      </c>
      <c r="E7172" t="s">
        <v>1211</v>
      </c>
      <c r="F7172" s="2" t="str">
        <f>HYPERLINK("http://www.otzar.org/book.asp?154366","ברכת שרגא")</f>
        <v>ברכת שרגא</v>
      </c>
    </row>
    <row r="7173" spans="1:6" x14ac:dyDescent="0.2">
      <c r="A7173" t="s">
        <v>12744</v>
      </c>
      <c r="B7173" t="s">
        <v>12745</v>
      </c>
      <c r="C7173" t="s">
        <v>151</v>
      </c>
      <c r="D7173" t="s">
        <v>152</v>
      </c>
      <c r="E7173" t="s">
        <v>144</v>
      </c>
      <c r="F7173" s="2" t="str">
        <f>HYPERLINK("http://www.otzar.org/book.asp?617398","ברכת שרגא - עירובין")</f>
        <v>ברכת שרגא - עירובין</v>
      </c>
    </row>
    <row r="7174" spans="1:6" x14ac:dyDescent="0.2">
      <c r="A7174" t="s">
        <v>12746</v>
      </c>
      <c r="B7174" t="s">
        <v>12747</v>
      </c>
      <c r="C7174" t="s">
        <v>37</v>
      </c>
      <c r="D7174" t="s">
        <v>12748</v>
      </c>
      <c r="E7174" t="s">
        <v>15</v>
      </c>
      <c r="F7174" s="2" t="str">
        <f>HYPERLINK("http://www.otzar.org/book.asp?186840","ברכתא דשירתא")</f>
        <v>ברכתא דשירתא</v>
      </c>
    </row>
    <row r="7175" spans="1:6" x14ac:dyDescent="0.2">
      <c r="A7175" t="s">
        <v>12749</v>
      </c>
      <c r="B7175" t="s">
        <v>12750</v>
      </c>
      <c r="C7175" t="s">
        <v>411</v>
      </c>
      <c r="D7175" t="s">
        <v>14</v>
      </c>
      <c r="E7175" t="s">
        <v>144</v>
      </c>
      <c r="F7175" s="2" t="str">
        <f>HYPERLINK("http://www.otzar.org/book.asp?169788","ברכתא ושירתא")</f>
        <v>ברכתא ושירתא</v>
      </c>
    </row>
    <row r="7176" spans="1:6" x14ac:dyDescent="0.2">
      <c r="A7176" t="s">
        <v>12751</v>
      </c>
      <c r="B7176" t="s">
        <v>12124</v>
      </c>
      <c r="C7176" t="s">
        <v>46</v>
      </c>
      <c r="D7176" t="s">
        <v>27</v>
      </c>
      <c r="E7176" t="s">
        <v>219</v>
      </c>
      <c r="F7176" s="2" t="str">
        <f>HYPERLINK("http://www.otzar.org/book.asp?14628","ברן יחד")</f>
        <v>ברן יחד</v>
      </c>
    </row>
    <row r="7177" spans="1:6" x14ac:dyDescent="0.2">
      <c r="A7177" t="s">
        <v>12752</v>
      </c>
      <c r="B7177" t="s">
        <v>12753</v>
      </c>
      <c r="C7177" t="s">
        <v>12754</v>
      </c>
      <c r="D7177" t="s">
        <v>4539</v>
      </c>
      <c r="F7177" s="2" t="str">
        <f>HYPERLINK("http://www.otzar.org/book.asp?147345","ברנט שפיגל")</f>
        <v>ברנט שפיגל</v>
      </c>
    </row>
    <row r="7178" spans="1:6" x14ac:dyDescent="0.2">
      <c r="A7178" t="s">
        <v>12755</v>
      </c>
      <c r="B7178" t="s">
        <v>12756</v>
      </c>
      <c r="C7178" t="s">
        <v>103</v>
      </c>
      <c r="D7178" t="s">
        <v>14</v>
      </c>
      <c r="E7178" t="s">
        <v>140</v>
      </c>
      <c r="F7178" s="2" t="str">
        <f>HYPERLINK("http://www.otzar.org/book.asp?63812","ברסלב מאחורי הפרגוד")</f>
        <v>ברסלב מאחורי הפרגוד</v>
      </c>
    </row>
    <row r="7179" spans="1:6" x14ac:dyDescent="0.2">
      <c r="A7179" t="s">
        <v>12757</v>
      </c>
      <c r="B7179" t="s">
        <v>12758</v>
      </c>
      <c r="C7179" t="s">
        <v>313</v>
      </c>
      <c r="D7179" t="s">
        <v>21</v>
      </c>
      <c r="E7179" t="s">
        <v>140</v>
      </c>
      <c r="F7179" s="2" t="str">
        <f>HYPERLINK("http://www.otzar.org/book.asp?191062","ברסלב - 17 כר'")</f>
        <v>ברסלב - 17 כר'</v>
      </c>
    </row>
    <row r="7180" spans="1:6" x14ac:dyDescent="0.2">
      <c r="A7180" t="s">
        <v>12759</v>
      </c>
      <c r="B7180" t="s">
        <v>1821</v>
      </c>
      <c r="C7180" t="s">
        <v>2617</v>
      </c>
      <c r="D7180" t="s">
        <v>56</v>
      </c>
      <c r="E7180" t="s">
        <v>158</v>
      </c>
      <c r="F7180" s="2" t="str">
        <f>HYPERLINK("http://www.otzar.org/book.asp?27028","ברק השחר")</f>
        <v>ברק השחר</v>
      </c>
    </row>
    <row r="7181" spans="1:6" x14ac:dyDescent="0.2">
      <c r="A7181" t="s">
        <v>12760</v>
      </c>
      <c r="B7181" t="s">
        <v>11505</v>
      </c>
      <c r="C7181" t="s">
        <v>1374</v>
      </c>
      <c r="D7181" t="s">
        <v>9</v>
      </c>
      <c r="E7181" t="s">
        <v>1438</v>
      </c>
      <c r="F7181" s="2" t="str">
        <f>HYPERLINK("http://www.otzar.org/book.asp?16015","ברתא דמלכא")</f>
        <v>ברתא דמלכא</v>
      </c>
    </row>
    <row r="7182" spans="1:6" x14ac:dyDescent="0.2">
      <c r="A7182" t="s">
        <v>12761</v>
      </c>
      <c r="B7182" t="s">
        <v>12762</v>
      </c>
      <c r="C7182" t="s">
        <v>244</v>
      </c>
      <c r="D7182" t="s">
        <v>245</v>
      </c>
      <c r="E7182" t="s">
        <v>144</v>
      </c>
      <c r="F7182" s="2" t="str">
        <f>HYPERLINK("http://www.otzar.org/book.asp?623387","בשביל ישראל")</f>
        <v>בשביל ישראל</v>
      </c>
    </row>
    <row r="7183" spans="1:6" x14ac:dyDescent="0.2">
      <c r="A7183" t="s">
        <v>12763</v>
      </c>
      <c r="B7183" t="s">
        <v>12764</v>
      </c>
      <c r="C7183" t="s">
        <v>68</v>
      </c>
      <c r="D7183" t="s">
        <v>90</v>
      </c>
      <c r="E7183" t="s">
        <v>219</v>
      </c>
      <c r="F7183" s="2" t="str">
        <f>HYPERLINK("http://www.otzar.org/book.asp?155627","בשביל שתתעשר")</f>
        <v>בשביל שתתעשר</v>
      </c>
    </row>
    <row r="7184" spans="1:6" x14ac:dyDescent="0.2">
      <c r="A7184" t="s">
        <v>12765</v>
      </c>
      <c r="B7184" t="s">
        <v>12766</v>
      </c>
      <c r="C7184" t="s">
        <v>71</v>
      </c>
      <c r="D7184" t="s">
        <v>52</v>
      </c>
      <c r="E7184" t="s">
        <v>119</v>
      </c>
      <c r="F7184" s="2" t="str">
        <f>HYPERLINK("http://www.otzar.org/book.asp?156891","בשבילי אהרן")</f>
        <v>בשבילי אהרן</v>
      </c>
    </row>
    <row r="7185" spans="1:6" x14ac:dyDescent="0.2">
      <c r="A7185" t="s">
        <v>12767</v>
      </c>
      <c r="B7185" t="s">
        <v>12768</v>
      </c>
      <c r="C7185" t="s">
        <v>624</v>
      </c>
      <c r="D7185" t="s">
        <v>139</v>
      </c>
      <c r="E7185" t="s">
        <v>15</v>
      </c>
      <c r="F7185" s="2" t="str">
        <f>HYPERLINK("http://www.otzar.org/book.asp?143858","בשבילי אורייתא - 30 כר'")</f>
        <v>בשבילי אורייתא - 30 כר'</v>
      </c>
    </row>
    <row r="7186" spans="1:6" x14ac:dyDescent="0.2">
      <c r="A7186" t="s">
        <v>12769</v>
      </c>
      <c r="B7186" t="s">
        <v>12770</v>
      </c>
      <c r="C7186" t="s">
        <v>383</v>
      </c>
      <c r="D7186" t="s">
        <v>412</v>
      </c>
      <c r="E7186" t="s">
        <v>2533</v>
      </c>
      <c r="F7186" s="2" t="str">
        <f>HYPERLINK("http://www.otzar.org/book.asp?188484","בשבילי הבבלי והירושלמי")</f>
        <v>בשבילי הבבלי והירושלמי</v>
      </c>
    </row>
    <row r="7187" spans="1:6" x14ac:dyDescent="0.2">
      <c r="A7187" t="s">
        <v>12771</v>
      </c>
      <c r="B7187" t="s">
        <v>3259</v>
      </c>
      <c r="C7187" t="s">
        <v>767</v>
      </c>
      <c r="D7187" t="s">
        <v>14</v>
      </c>
      <c r="E7187" t="s">
        <v>246</v>
      </c>
      <c r="F7187" s="2" t="str">
        <f>HYPERLINK("http://www.otzar.org/book.asp?149474","בשבילי ההלכה")</f>
        <v>בשבילי ההלכה</v>
      </c>
    </row>
    <row r="7188" spans="1:6" x14ac:dyDescent="0.2">
      <c r="A7188" t="s">
        <v>12772</v>
      </c>
      <c r="B7188" t="s">
        <v>107</v>
      </c>
      <c r="C7188" t="s">
        <v>523</v>
      </c>
      <c r="D7188" t="s">
        <v>14</v>
      </c>
      <c r="E7188" t="s">
        <v>104</v>
      </c>
      <c r="F7188" s="2" t="str">
        <f>HYPERLINK("http://www.otzar.org/book.asp?84433","בשבילי החינוך וההוראה")</f>
        <v>בשבילי החינוך וההוראה</v>
      </c>
    </row>
    <row r="7189" spans="1:6" x14ac:dyDescent="0.2">
      <c r="A7189" t="s">
        <v>12773</v>
      </c>
      <c r="B7189" t="s">
        <v>12774</v>
      </c>
      <c r="C7189" t="s">
        <v>114</v>
      </c>
      <c r="D7189" t="s">
        <v>90</v>
      </c>
      <c r="E7189" t="s">
        <v>148</v>
      </c>
      <c r="F7189" s="2" t="str">
        <f>HYPERLINK("http://www.otzar.org/book.asp?183036","בשבילי הלכה - 4 כר'")</f>
        <v>בשבילי הלכה - 4 כר'</v>
      </c>
    </row>
    <row r="7190" spans="1:6" x14ac:dyDescent="0.2">
      <c r="A7190" t="s">
        <v>12775</v>
      </c>
      <c r="B7190" t="s">
        <v>3259</v>
      </c>
      <c r="C7190" t="s">
        <v>71</v>
      </c>
      <c r="D7190" t="s">
        <v>14</v>
      </c>
      <c r="E7190" t="s">
        <v>674</v>
      </c>
      <c r="F7190" s="2" t="str">
        <f>HYPERLINK("http://www.otzar.org/book.asp?150706","בשבילי המנהג - 5 כר'")</f>
        <v>בשבילי המנהג - 5 כר'</v>
      </c>
    </row>
    <row r="7191" spans="1:6" x14ac:dyDescent="0.2">
      <c r="A7191" t="s">
        <v>12776</v>
      </c>
      <c r="B7191" t="s">
        <v>12253</v>
      </c>
      <c r="C7191" t="s">
        <v>427</v>
      </c>
      <c r="D7191" t="s">
        <v>1974</v>
      </c>
      <c r="F7191" s="2" t="str">
        <f>HYPERLINK("http://www.otzar.org/book.asp?154526","בשבילי הנצח - 3 כר'")</f>
        <v>בשבילי הנצח - 3 כר'</v>
      </c>
    </row>
    <row r="7192" spans="1:6" x14ac:dyDescent="0.2">
      <c r="A7192" t="s">
        <v>12777</v>
      </c>
      <c r="B7192" t="s">
        <v>12778</v>
      </c>
      <c r="C7192" t="s">
        <v>51</v>
      </c>
      <c r="D7192" t="s">
        <v>14</v>
      </c>
      <c r="E7192" t="s">
        <v>158</v>
      </c>
      <c r="F7192" s="2" t="str">
        <f>HYPERLINK("http://www.otzar.org/book.asp?149499","בשבילי הפרשה")</f>
        <v>בשבילי הפרשה</v>
      </c>
    </row>
    <row r="7193" spans="1:6" x14ac:dyDescent="0.2">
      <c r="A7193" t="s">
        <v>12779</v>
      </c>
      <c r="B7193" t="s">
        <v>12780</v>
      </c>
      <c r="C7193" t="s">
        <v>68</v>
      </c>
      <c r="D7193" t="s">
        <v>2798</v>
      </c>
      <c r="E7193" t="s">
        <v>158</v>
      </c>
      <c r="F7193" s="2" t="str">
        <f>HYPERLINK("http://www.otzar.org/book.asp?609071","בשבילי הפרשה - 3 כר'")</f>
        <v>בשבילי הפרשה - 3 כר'</v>
      </c>
    </row>
    <row r="7194" spans="1:6" x14ac:dyDescent="0.2">
      <c r="A7194" t="s">
        <v>12781</v>
      </c>
      <c r="B7194" t="s">
        <v>1750</v>
      </c>
      <c r="C7194" t="s">
        <v>334</v>
      </c>
      <c r="D7194" t="s">
        <v>423</v>
      </c>
      <c r="E7194" t="s">
        <v>202</v>
      </c>
      <c r="F7194" s="2" t="str">
        <f>HYPERLINK("http://www.otzar.org/book.asp?26004","בשבילי הרפואה - 9 כר'")</f>
        <v>בשבילי הרפואה - 9 כר'</v>
      </c>
    </row>
    <row r="7195" spans="1:6" x14ac:dyDescent="0.2">
      <c r="A7195" t="s">
        <v>12782</v>
      </c>
      <c r="B7195" t="s">
        <v>12768</v>
      </c>
      <c r="C7195" t="s">
        <v>454</v>
      </c>
      <c r="D7195" t="s">
        <v>139</v>
      </c>
      <c r="E7195" t="s">
        <v>246</v>
      </c>
      <c r="F7195" s="2" t="str">
        <f>HYPERLINK("http://www.otzar.org/book.asp?197179","בשבילי השמחה")</f>
        <v>בשבילי השמחה</v>
      </c>
    </row>
    <row r="7196" spans="1:6" x14ac:dyDescent="0.2">
      <c r="A7196" t="s">
        <v>12783</v>
      </c>
      <c r="B7196" t="s">
        <v>12784</v>
      </c>
      <c r="C7196" t="s">
        <v>17</v>
      </c>
      <c r="D7196" t="s">
        <v>52</v>
      </c>
      <c r="E7196" t="s">
        <v>119</v>
      </c>
      <c r="F7196" s="2" t="str">
        <f>HYPERLINK("http://www.otzar.org/book.asp?162728","בשבילי ראדין")</f>
        <v>בשבילי ראדין</v>
      </c>
    </row>
    <row r="7197" spans="1:6" x14ac:dyDescent="0.2">
      <c r="A7197" t="s">
        <v>12785</v>
      </c>
      <c r="B7197" t="s">
        <v>12786</v>
      </c>
      <c r="C7197" t="s">
        <v>419</v>
      </c>
      <c r="D7197" t="s">
        <v>216</v>
      </c>
      <c r="E7197" t="s">
        <v>733</v>
      </c>
      <c r="F7197" s="2" t="str">
        <f>HYPERLINK("http://www.otzar.org/book.asp?64328","בשבילי תימן")</f>
        <v>בשבילי תימן</v>
      </c>
    </row>
    <row r="7198" spans="1:6" x14ac:dyDescent="0.2">
      <c r="A7198" t="s">
        <v>12787</v>
      </c>
      <c r="B7198" t="s">
        <v>12788</v>
      </c>
      <c r="C7198" t="s">
        <v>111</v>
      </c>
      <c r="D7198" t="s">
        <v>90</v>
      </c>
      <c r="E7198" t="s">
        <v>104</v>
      </c>
      <c r="F7198" s="2" t="str">
        <f>HYPERLINK("http://www.otzar.org/book.asp?625220","בשבעים נפש")</f>
        <v>בשבעים נפש</v>
      </c>
    </row>
    <row r="7199" spans="1:6" x14ac:dyDescent="0.2">
      <c r="A7199" t="s">
        <v>12789</v>
      </c>
      <c r="B7199" t="s">
        <v>12790</v>
      </c>
      <c r="C7199" t="s">
        <v>133</v>
      </c>
      <c r="D7199" t="s">
        <v>245</v>
      </c>
      <c r="E7199" t="s">
        <v>144</v>
      </c>
      <c r="F7199" s="2" t="str">
        <f>HYPERLINK("http://www.otzar.org/book.asp?172918","בשדה אליהו")</f>
        <v>בשדה אליהו</v>
      </c>
    </row>
    <row r="7200" spans="1:6" x14ac:dyDescent="0.2">
      <c r="A7200" t="s">
        <v>12791</v>
      </c>
      <c r="B7200" t="s">
        <v>1402</v>
      </c>
      <c r="C7200" t="s">
        <v>71</v>
      </c>
      <c r="D7200" t="s">
        <v>52</v>
      </c>
      <c r="E7200" t="s">
        <v>104</v>
      </c>
      <c r="F7200" s="2" t="str">
        <f>HYPERLINK("http://www.otzar.org/book.asp?60162","בשדה אפרים")</f>
        <v>בשדה אפרים</v>
      </c>
    </row>
    <row r="7201" spans="1:6" x14ac:dyDescent="0.2">
      <c r="A7201" t="s">
        <v>12792</v>
      </c>
      <c r="B7201" t="s">
        <v>12793</v>
      </c>
      <c r="C7201" t="s">
        <v>553</v>
      </c>
      <c r="D7201" t="s">
        <v>52</v>
      </c>
      <c r="E7201" t="s">
        <v>104</v>
      </c>
      <c r="F7201" s="2" t="str">
        <f>HYPERLINK("http://www.otzar.org/book.asp?180538","בשדה הספר התורני - 2 כר'")</f>
        <v>בשדה הספר התורני - 2 כר'</v>
      </c>
    </row>
    <row r="7202" spans="1:6" x14ac:dyDescent="0.2">
      <c r="A7202" t="s">
        <v>12794</v>
      </c>
      <c r="B7202" t="s">
        <v>12795</v>
      </c>
      <c r="C7202" t="s">
        <v>23</v>
      </c>
      <c r="D7202" t="s">
        <v>21</v>
      </c>
      <c r="F7202" s="2" t="str">
        <f>HYPERLINK("http://www.otzar.org/book.asp?195425","בשדה הראי""ה")</f>
        <v>בשדה הראי"ה</v>
      </c>
    </row>
    <row r="7203" spans="1:6" x14ac:dyDescent="0.2">
      <c r="A7203" t="s">
        <v>12796</v>
      </c>
      <c r="B7203" t="s">
        <v>107</v>
      </c>
      <c r="C7203" t="s">
        <v>20</v>
      </c>
      <c r="D7203" t="s">
        <v>14</v>
      </c>
      <c r="E7203" t="s">
        <v>104</v>
      </c>
      <c r="F7203" s="2" t="str">
        <f>HYPERLINK("http://www.otzar.org/book.asp?625801","בשוב ה' ציון היינו כחולמים")</f>
        <v>בשוב ה' ציון היינו כחולמים</v>
      </c>
    </row>
    <row r="7204" spans="1:6" x14ac:dyDescent="0.2">
      <c r="A7204" t="s">
        <v>12797</v>
      </c>
      <c r="B7204" t="s">
        <v>12798</v>
      </c>
      <c r="C7204" t="s">
        <v>46</v>
      </c>
      <c r="D7204" t="s">
        <v>27</v>
      </c>
      <c r="E7204" t="s">
        <v>3083</v>
      </c>
      <c r="F7204" s="2" t="str">
        <f>HYPERLINK("http://www.otzar.org/book.asp?149628","בשובי לירושלם")</f>
        <v>בשובי לירושלם</v>
      </c>
    </row>
    <row r="7205" spans="1:6" x14ac:dyDescent="0.2">
      <c r="A7205" t="s">
        <v>12799</v>
      </c>
      <c r="B7205" t="s">
        <v>10448</v>
      </c>
      <c r="C7205" t="s">
        <v>133</v>
      </c>
      <c r="D7205" t="s">
        <v>2375</v>
      </c>
      <c r="E7205" t="s">
        <v>154</v>
      </c>
      <c r="F7205" s="2" t="str">
        <f>HYPERLINK("http://www.otzar.org/book.asp?625553","בשובך לציון - 3 כר'")</f>
        <v>בשובך לציון - 3 כר'</v>
      </c>
    </row>
    <row r="7206" spans="1:6" x14ac:dyDescent="0.2">
      <c r="A7206" t="s">
        <v>12800</v>
      </c>
      <c r="B7206" t="s">
        <v>12801</v>
      </c>
      <c r="C7206" t="s">
        <v>1160</v>
      </c>
      <c r="D7206" t="s">
        <v>14</v>
      </c>
      <c r="E7206" t="s">
        <v>2533</v>
      </c>
      <c r="F7206" s="2" t="str">
        <f>HYPERLINK("http://www.otzar.org/book.asp?14615","בשולי גליוני")</f>
        <v>בשולי גליוני</v>
      </c>
    </row>
    <row r="7207" spans="1:6" x14ac:dyDescent="0.2">
      <c r="A7207" t="s">
        <v>12802</v>
      </c>
      <c r="B7207" t="s">
        <v>12803</v>
      </c>
      <c r="C7207" t="s">
        <v>8</v>
      </c>
      <c r="D7207" t="s">
        <v>691</v>
      </c>
      <c r="E7207" t="s">
        <v>741</v>
      </c>
      <c r="F7207" s="2" t="str">
        <f>HYPERLINK("http://www.otzar.org/book.asp?11910","בשורות טובות")</f>
        <v>בשורות טובות</v>
      </c>
    </row>
    <row r="7208" spans="1:6" x14ac:dyDescent="0.2">
      <c r="A7208" t="s">
        <v>12804</v>
      </c>
      <c r="B7208" t="s">
        <v>1112</v>
      </c>
      <c r="C7208" t="s">
        <v>1096</v>
      </c>
      <c r="D7208" t="s">
        <v>1117</v>
      </c>
      <c r="E7208" t="s">
        <v>158</v>
      </c>
      <c r="F7208" s="2" t="str">
        <f>HYPERLINK("http://www.otzar.org/book.asp?10150","בשורת אליהו")</f>
        <v>בשורת אליהו</v>
      </c>
    </row>
    <row r="7209" spans="1:6" x14ac:dyDescent="0.2">
      <c r="A7209" t="s">
        <v>12805</v>
      </c>
      <c r="B7209" t="s">
        <v>12806</v>
      </c>
      <c r="C7209" t="s">
        <v>13</v>
      </c>
      <c r="D7209" t="s">
        <v>14</v>
      </c>
      <c r="F7209" s="2" t="str">
        <f>HYPERLINK("http://www.otzar.org/book.asp?197132","בשכבך ובקומך")</f>
        <v>בשכבך ובקומך</v>
      </c>
    </row>
    <row r="7210" spans="1:6" x14ac:dyDescent="0.2">
      <c r="A7210" t="s">
        <v>12805</v>
      </c>
      <c r="B7210" t="s">
        <v>12807</v>
      </c>
      <c r="C7210" t="s">
        <v>23</v>
      </c>
      <c r="D7210" t="s">
        <v>1156</v>
      </c>
      <c r="F7210" s="2" t="str">
        <f>HYPERLINK("http://www.otzar.org/book.asp?194063","בשכבך ובקומך")</f>
        <v>בשכבך ובקומך</v>
      </c>
    </row>
    <row r="7211" spans="1:6" x14ac:dyDescent="0.2">
      <c r="A7211" t="s">
        <v>12808</v>
      </c>
      <c r="B7211" t="s">
        <v>12809</v>
      </c>
      <c r="C7211" t="s">
        <v>553</v>
      </c>
      <c r="D7211" t="s">
        <v>14</v>
      </c>
      <c r="E7211" t="s">
        <v>119</v>
      </c>
      <c r="F7211" s="2" t="str">
        <f>HYPERLINK("http://www.otzar.org/book.asp?171438","בשליחות ירושלים")</f>
        <v>בשליחות ירושלים</v>
      </c>
    </row>
    <row r="7212" spans="1:6" x14ac:dyDescent="0.2">
      <c r="A7212" t="s">
        <v>12810</v>
      </c>
      <c r="C7212" t="s">
        <v>366</v>
      </c>
      <c r="D7212" t="s">
        <v>14</v>
      </c>
      <c r="F7212" s="2" t="str">
        <f>HYPERLINK("http://www.otzar.org/book.asp?616329","בשליטתם ותרבותם")</f>
        <v>בשליטתם ותרבותם</v>
      </c>
    </row>
    <row r="7213" spans="1:6" x14ac:dyDescent="0.2">
      <c r="A7213" t="s">
        <v>12811</v>
      </c>
      <c r="B7213" t="s">
        <v>12812</v>
      </c>
      <c r="C7213" t="s">
        <v>37</v>
      </c>
      <c r="D7213" t="s">
        <v>14</v>
      </c>
      <c r="F7213" s="2" t="str">
        <f>HYPERLINK("http://www.otzar.org/book.asp?197218","בשלם סוכו")</f>
        <v>בשלם סוכו</v>
      </c>
    </row>
    <row r="7214" spans="1:6" x14ac:dyDescent="0.2">
      <c r="A7214" t="s">
        <v>12811</v>
      </c>
      <c r="B7214" t="s">
        <v>12073</v>
      </c>
      <c r="C7214" t="s">
        <v>103</v>
      </c>
      <c r="D7214" t="s">
        <v>14</v>
      </c>
      <c r="F7214" s="2" t="str">
        <f>HYPERLINK("http://www.otzar.org/book.asp?154068","בשלם סוכו")</f>
        <v>בשלם סוכו</v>
      </c>
    </row>
    <row r="7215" spans="1:6" x14ac:dyDescent="0.2">
      <c r="A7215" t="s">
        <v>12813</v>
      </c>
      <c r="B7215" t="s">
        <v>5579</v>
      </c>
      <c r="C7215" t="s">
        <v>454</v>
      </c>
      <c r="D7215" t="s">
        <v>14</v>
      </c>
      <c r="E7215" t="s">
        <v>957</v>
      </c>
      <c r="F7215" s="2" t="str">
        <f>HYPERLINK("http://www.otzar.org/book.asp?50121","בשלשלת הכהנים")</f>
        <v>בשלשלת הכהנים</v>
      </c>
    </row>
    <row r="7216" spans="1:6" x14ac:dyDescent="0.2">
      <c r="A7216" t="s">
        <v>12814</v>
      </c>
      <c r="B7216" t="s">
        <v>12815</v>
      </c>
      <c r="C7216" t="s">
        <v>23</v>
      </c>
      <c r="D7216" t="s">
        <v>90</v>
      </c>
      <c r="E7216" t="s">
        <v>246</v>
      </c>
      <c r="F7216" s="2" t="str">
        <f>HYPERLINK("http://www.otzar.org/book.asp?629786","בשם אומרם - 4 כר'")</f>
        <v>בשם אומרם - 4 כר'</v>
      </c>
    </row>
    <row r="7217" spans="1:6" x14ac:dyDescent="0.2">
      <c r="A7217" t="s">
        <v>12816</v>
      </c>
      <c r="B7217" t="s">
        <v>12817</v>
      </c>
      <c r="C7217" t="s">
        <v>20</v>
      </c>
      <c r="D7217" t="s">
        <v>118</v>
      </c>
      <c r="E7217" t="s">
        <v>158</v>
      </c>
      <c r="F7217" s="2" t="str">
        <f>HYPERLINK("http://www.otzar.org/book.asp?166339","בשם אמרו לקט - 12 כר'")</f>
        <v>בשם אמרו לקט - 12 כר'</v>
      </c>
    </row>
    <row r="7218" spans="1:6" x14ac:dyDescent="0.2">
      <c r="A7218" t="s">
        <v>12818</v>
      </c>
      <c r="B7218" t="s">
        <v>12819</v>
      </c>
      <c r="C7218" t="s">
        <v>146</v>
      </c>
      <c r="D7218" t="s">
        <v>14</v>
      </c>
      <c r="E7218" t="s">
        <v>158</v>
      </c>
      <c r="F7218" s="2" t="str">
        <f>HYPERLINK("http://www.otzar.org/book.asp?173706","בשם אמרו - 3 כר'")</f>
        <v>בשם אמרו - 3 כר'</v>
      </c>
    </row>
    <row r="7219" spans="1:6" x14ac:dyDescent="0.2">
      <c r="A7219" t="s">
        <v>12820</v>
      </c>
      <c r="B7219" t="s">
        <v>12821</v>
      </c>
      <c r="C7219" t="s">
        <v>313</v>
      </c>
      <c r="D7219" t="s">
        <v>14</v>
      </c>
      <c r="E7219" t="s">
        <v>104</v>
      </c>
      <c r="F7219" s="2" t="str">
        <f>HYPERLINK("http://www.otzar.org/book.asp?198417","בשם אמרם")</f>
        <v>בשם אמרם</v>
      </c>
    </row>
    <row r="7220" spans="1:6" x14ac:dyDescent="0.2">
      <c r="A7220" t="s">
        <v>12822</v>
      </c>
      <c r="B7220" t="s">
        <v>12823</v>
      </c>
      <c r="C7220" t="s">
        <v>20</v>
      </c>
      <c r="D7220" t="s">
        <v>90</v>
      </c>
      <c r="E7220" t="s">
        <v>84</v>
      </c>
      <c r="F7220" s="2" t="str">
        <f>HYPERLINK("http://www.otzar.org/book.asp?164979","בשם בצלאל &lt;מהדורה חדשה&gt;")</f>
        <v>בשם בצלאל &lt;מהדורה חדשה&gt;</v>
      </c>
    </row>
    <row r="7221" spans="1:6" x14ac:dyDescent="0.2">
      <c r="A7221" t="s">
        <v>12824</v>
      </c>
      <c r="B7221" t="s">
        <v>12823</v>
      </c>
      <c r="C7221" t="s">
        <v>2302</v>
      </c>
      <c r="D7221" t="s">
        <v>2290</v>
      </c>
      <c r="E7221" t="s">
        <v>84</v>
      </c>
      <c r="F7221" s="2" t="str">
        <f>HYPERLINK("http://www.otzar.org/book.asp?17381","בשם בצלאל")</f>
        <v>בשם בצלאל</v>
      </c>
    </row>
    <row r="7222" spans="1:6" x14ac:dyDescent="0.2">
      <c r="A7222" t="s">
        <v>12824</v>
      </c>
      <c r="B7222" t="s">
        <v>12825</v>
      </c>
      <c r="C7222" t="s">
        <v>919</v>
      </c>
      <c r="D7222" t="s">
        <v>216</v>
      </c>
      <c r="E7222" t="s">
        <v>1108</v>
      </c>
      <c r="F7222" s="2" t="str">
        <f>HYPERLINK("http://www.otzar.org/book.asp?153709","בשם בצלאל")</f>
        <v>בשם בצלאל</v>
      </c>
    </row>
    <row r="7223" spans="1:6" x14ac:dyDescent="0.2">
      <c r="A7223" t="s">
        <v>12826</v>
      </c>
      <c r="B7223" t="s">
        <v>12827</v>
      </c>
      <c r="C7223" t="s">
        <v>133</v>
      </c>
      <c r="D7223" t="s">
        <v>4919</v>
      </c>
      <c r="E7223" t="s">
        <v>463</v>
      </c>
      <c r="F7223" s="2" t="str">
        <f>HYPERLINK("http://www.otzar.org/book.asp?623551","בשם מרדכי")</f>
        <v>בשם מרדכי</v>
      </c>
    </row>
    <row r="7224" spans="1:6" x14ac:dyDescent="0.2">
      <c r="A7224" t="s">
        <v>12826</v>
      </c>
      <c r="B7224" t="s">
        <v>12828</v>
      </c>
      <c r="C7224" t="s">
        <v>189</v>
      </c>
      <c r="D7224" t="s">
        <v>14</v>
      </c>
      <c r="E7224" t="s">
        <v>9828</v>
      </c>
      <c r="F7224" s="2" t="str">
        <f>HYPERLINK("http://www.otzar.org/book.asp?61831","בשם מרדכי")</f>
        <v>בשם מרדכי</v>
      </c>
    </row>
    <row r="7225" spans="1:6" x14ac:dyDescent="0.2">
      <c r="A7225" t="s">
        <v>12829</v>
      </c>
      <c r="B7225" t="s">
        <v>12830</v>
      </c>
      <c r="C7225" t="s">
        <v>1666</v>
      </c>
      <c r="D7225" t="s">
        <v>49</v>
      </c>
      <c r="E7225" t="s">
        <v>104</v>
      </c>
      <c r="F7225" s="2" t="str">
        <f>HYPERLINK("http://www.otzar.org/book.asp?146935","בשם קדמון")</f>
        <v>בשם קדמון</v>
      </c>
    </row>
    <row r="7226" spans="1:6" x14ac:dyDescent="0.2">
      <c r="A7226" t="s">
        <v>12831</v>
      </c>
      <c r="B7226" t="s">
        <v>2082</v>
      </c>
      <c r="C7226" t="s">
        <v>146</v>
      </c>
      <c r="D7226" t="s">
        <v>14</v>
      </c>
      <c r="E7226" t="s">
        <v>399</v>
      </c>
      <c r="F7226" s="2" t="str">
        <f>HYPERLINK("http://www.otzar.org/book.asp?26739","בשמות הקודש")</f>
        <v>בשמות הקודש</v>
      </c>
    </row>
    <row r="7227" spans="1:6" x14ac:dyDescent="0.2">
      <c r="A7227" t="s">
        <v>12832</v>
      </c>
      <c r="B7227" t="s">
        <v>12833</v>
      </c>
      <c r="C7227" t="s">
        <v>71</v>
      </c>
      <c r="D7227" t="s">
        <v>14</v>
      </c>
      <c r="E7227" t="s">
        <v>241</v>
      </c>
      <c r="F7227" s="2" t="str">
        <f>HYPERLINK("http://www.otzar.org/book.asp?6309","בשמחה ובטוב לבב א")</f>
        <v>בשמחה ובטוב לבב א</v>
      </c>
    </row>
    <row r="7228" spans="1:6" x14ac:dyDescent="0.2">
      <c r="A7228" t="s">
        <v>12834</v>
      </c>
      <c r="B7228" t="s">
        <v>12833</v>
      </c>
      <c r="C7228" t="s">
        <v>68</v>
      </c>
      <c r="D7228" t="s">
        <v>14</v>
      </c>
      <c r="E7228" t="s">
        <v>213</v>
      </c>
      <c r="F7228" s="2" t="str">
        <f>HYPERLINK("http://www.otzar.org/book.asp?176339","בשמחה ובטוב לבב - ב")</f>
        <v>בשמחה ובטוב לבב - ב</v>
      </c>
    </row>
    <row r="7229" spans="1:6" x14ac:dyDescent="0.2">
      <c r="A7229" t="s">
        <v>12835</v>
      </c>
      <c r="B7229" t="s">
        <v>4398</v>
      </c>
      <c r="C7229" t="s">
        <v>103</v>
      </c>
      <c r="D7229" t="s">
        <v>216</v>
      </c>
      <c r="E7229" t="s">
        <v>158</v>
      </c>
      <c r="F7229" s="2" t="str">
        <f>HYPERLINK("http://www.otzar.org/book.asp?148447","בשמחה תצאו - במדבר")</f>
        <v>בשמחה תצאו - במדבר</v>
      </c>
    </row>
    <row r="7230" spans="1:6" x14ac:dyDescent="0.2">
      <c r="A7230" t="s">
        <v>12836</v>
      </c>
      <c r="B7230" t="s">
        <v>4398</v>
      </c>
      <c r="C7230" t="s">
        <v>51</v>
      </c>
      <c r="D7230" t="s">
        <v>216</v>
      </c>
      <c r="E7230" t="s">
        <v>158</v>
      </c>
      <c r="F7230" s="2" t="str">
        <f>HYPERLINK("http://www.otzar.org/book.asp?148442","בשמחת לבו - שמות")</f>
        <v>בשמחת לבו - שמות</v>
      </c>
    </row>
    <row r="7231" spans="1:6" x14ac:dyDescent="0.2">
      <c r="A7231" t="s">
        <v>12837</v>
      </c>
      <c r="B7231" t="s">
        <v>12838</v>
      </c>
      <c r="C7231" t="s">
        <v>332</v>
      </c>
      <c r="D7231" t="s">
        <v>52</v>
      </c>
      <c r="E7231" t="s">
        <v>579</v>
      </c>
      <c r="F7231" s="2" t="str">
        <f>HYPERLINK("http://www.otzar.org/book.asp?84858","בשמים ממעל")</f>
        <v>בשמים ממעל</v>
      </c>
    </row>
    <row r="7232" spans="1:6" x14ac:dyDescent="0.2">
      <c r="A7232" t="s">
        <v>12839</v>
      </c>
      <c r="B7232" t="s">
        <v>12840</v>
      </c>
      <c r="C7232" t="s">
        <v>1940</v>
      </c>
      <c r="D7232" t="s">
        <v>280</v>
      </c>
      <c r="E7232" t="s">
        <v>791</v>
      </c>
      <c r="F7232" s="2" t="str">
        <f>HYPERLINK("http://www.otzar.org/book.asp?11060","בשמים ראש &lt;ריח בשמים&gt; - 2 כר'")</f>
        <v>בשמים ראש &lt;ריח בשמים&gt; - 2 כר'</v>
      </c>
    </row>
    <row r="7233" spans="1:6" x14ac:dyDescent="0.2">
      <c r="A7233" t="s">
        <v>12841</v>
      </c>
      <c r="B7233" t="s">
        <v>12842</v>
      </c>
      <c r="C7233" t="s">
        <v>1940</v>
      </c>
      <c r="D7233" t="s">
        <v>280</v>
      </c>
      <c r="F7233" s="2" t="str">
        <f>HYPERLINK("http://www.otzar.org/book.asp?164893","בשמים ראש &lt;עם הגהות רא""ב קלוגר ורצ""ה חיות בכת""י&gt;")</f>
        <v>בשמים ראש &lt;עם הגהות רא"ב קלוגר ורצ"ה חיות בכת"י&gt;</v>
      </c>
    </row>
    <row r="7234" spans="1:6" x14ac:dyDescent="0.2">
      <c r="A7234" t="s">
        <v>12843</v>
      </c>
      <c r="B7234" t="s">
        <v>12844</v>
      </c>
      <c r="C7234" t="s">
        <v>1458</v>
      </c>
      <c r="D7234" t="s">
        <v>267</v>
      </c>
      <c r="E7234" t="s">
        <v>154</v>
      </c>
      <c r="F7234" s="2" t="str">
        <f>HYPERLINK("http://www.otzar.org/book.asp?24151","בשמים ראש")</f>
        <v>בשמים ראש</v>
      </c>
    </row>
    <row r="7235" spans="1:6" x14ac:dyDescent="0.2">
      <c r="A7235" t="s">
        <v>12845</v>
      </c>
      <c r="B7235" t="s">
        <v>12846</v>
      </c>
      <c r="C7235" t="s">
        <v>775</v>
      </c>
      <c r="D7235" t="s">
        <v>14</v>
      </c>
      <c r="E7235" t="s">
        <v>202</v>
      </c>
      <c r="F7235" s="2" t="str">
        <f>HYPERLINK("http://www.otzar.org/book.asp?164257","בשמן רענן - 2 כר'")</f>
        <v>בשמן רענן - 2 כר'</v>
      </c>
    </row>
    <row r="7236" spans="1:6" x14ac:dyDescent="0.2">
      <c r="A7236" t="s">
        <v>12847</v>
      </c>
      <c r="B7236" t="s">
        <v>2082</v>
      </c>
      <c r="C7236" t="s">
        <v>20</v>
      </c>
      <c r="D7236" t="s">
        <v>90</v>
      </c>
      <c r="E7236" t="s">
        <v>399</v>
      </c>
      <c r="F7236" s="2" t="str">
        <f>HYPERLINK("http://www.otzar.org/book.asp?52213","בשער הכוונות - 2 כר'")</f>
        <v>בשער הכוונות - 2 כר'</v>
      </c>
    </row>
    <row r="7237" spans="1:6" x14ac:dyDescent="0.2">
      <c r="A7237" t="s">
        <v>12848</v>
      </c>
      <c r="B7237" t="s">
        <v>2688</v>
      </c>
      <c r="C7237" t="s">
        <v>411</v>
      </c>
      <c r="D7237" t="s">
        <v>21</v>
      </c>
      <c r="E7237" t="s">
        <v>1507</v>
      </c>
      <c r="F7237" s="2" t="str">
        <f>HYPERLINK("http://www.otzar.org/book.asp?600200","בשער המלך")</f>
        <v>בשער המלך</v>
      </c>
    </row>
    <row r="7238" spans="1:6" x14ac:dyDescent="0.2">
      <c r="A7238" t="s">
        <v>12848</v>
      </c>
      <c r="B7238" t="s">
        <v>7604</v>
      </c>
      <c r="C7238" t="s">
        <v>1663</v>
      </c>
      <c r="D7238" t="s">
        <v>260</v>
      </c>
      <c r="E7238" t="s">
        <v>12849</v>
      </c>
      <c r="F7238" s="2" t="str">
        <f>HYPERLINK("http://www.otzar.org/book.asp?19177","בשער המלך")</f>
        <v>בשער המלך</v>
      </c>
    </row>
    <row r="7239" spans="1:6" x14ac:dyDescent="0.2">
      <c r="A7239" t="s">
        <v>12850</v>
      </c>
      <c r="B7239" t="s">
        <v>2959</v>
      </c>
      <c r="C7239" t="s">
        <v>114</v>
      </c>
      <c r="D7239" t="s">
        <v>52</v>
      </c>
      <c r="E7239" t="s">
        <v>15</v>
      </c>
      <c r="F7239" s="2" t="str">
        <f>HYPERLINK("http://www.otzar.org/book.asp?167899","בשערי המלך - 3 כר'")</f>
        <v>בשערי המלך - 3 כר'</v>
      </c>
    </row>
    <row r="7240" spans="1:6" x14ac:dyDescent="0.2">
      <c r="A7240" t="s">
        <v>12851</v>
      </c>
      <c r="B7240" t="s">
        <v>5755</v>
      </c>
      <c r="C7240" t="s">
        <v>129</v>
      </c>
      <c r="D7240" t="s">
        <v>14</v>
      </c>
      <c r="E7240" t="s">
        <v>241</v>
      </c>
      <c r="F7240" s="2" t="str">
        <f>HYPERLINK("http://www.otzar.org/book.asp?181339","בשערי התשובה")</f>
        <v>בשערי התשובה</v>
      </c>
    </row>
    <row r="7241" spans="1:6" x14ac:dyDescent="0.2">
      <c r="A7241" t="s">
        <v>12852</v>
      </c>
      <c r="B7241" t="s">
        <v>12853</v>
      </c>
      <c r="C7241" t="s">
        <v>427</v>
      </c>
      <c r="D7241" t="s">
        <v>14</v>
      </c>
      <c r="E7241" t="s">
        <v>733</v>
      </c>
      <c r="F7241" s="2" t="str">
        <f>HYPERLINK("http://www.otzar.org/book.asp?15576","בשערי ירושלים")</f>
        <v>בשערי ירושלים</v>
      </c>
    </row>
    <row r="7242" spans="1:6" x14ac:dyDescent="0.2">
      <c r="A7242" t="s">
        <v>12854</v>
      </c>
      <c r="B7242" t="s">
        <v>5479</v>
      </c>
      <c r="C7242" t="s">
        <v>37</v>
      </c>
      <c r="D7242" t="s">
        <v>14</v>
      </c>
      <c r="F7242" s="2" t="str">
        <f>HYPERLINK("http://www.otzar.org/book.asp?606168","בשערי ישכר - 7 כר'")</f>
        <v>בשערי ישכר - 7 כר'</v>
      </c>
    </row>
    <row r="7243" spans="1:6" x14ac:dyDescent="0.2">
      <c r="A7243" t="s">
        <v>12855</v>
      </c>
      <c r="B7243" t="s">
        <v>12856</v>
      </c>
      <c r="C7243" t="s">
        <v>1619</v>
      </c>
      <c r="D7243" t="s">
        <v>14</v>
      </c>
      <c r="F7243" s="2" t="str">
        <f>HYPERLINK("http://www.otzar.org/book.asp?630406","בשערי תורה (ללימוד ועיון עצמי) - 2 כר'")</f>
        <v>בשערי תורה (ללימוד ועיון עצמי) - 2 כר'</v>
      </c>
    </row>
    <row r="7244" spans="1:6" x14ac:dyDescent="0.2">
      <c r="A7244" t="s">
        <v>12857</v>
      </c>
      <c r="B7244" t="s">
        <v>12856</v>
      </c>
      <c r="C7244" t="s">
        <v>20</v>
      </c>
      <c r="D7244" t="s">
        <v>14</v>
      </c>
      <c r="E7244" t="s">
        <v>202</v>
      </c>
      <c r="F7244" s="2" t="str">
        <f>HYPERLINK("http://www.otzar.org/book.asp?195038","בשערי תורה - 6 כר'")</f>
        <v>בשערי תורה - 6 כר'</v>
      </c>
    </row>
    <row r="7245" spans="1:6" x14ac:dyDescent="0.2">
      <c r="A7245" t="s">
        <v>12858</v>
      </c>
      <c r="B7245" t="s">
        <v>732</v>
      </c>
      <c r="C7245" t="s">
        <v>576</v>
      </c>
      <c r="D7245" t="s">
        <v>27</v>
      </c>
      <c r="E7245" t="s">
        <v>104</v>
      </c>
      <c r="F7245" s="2" t="str">
        <f>HYPERLINK("http://www.otzar.org/book.asp?160502","בשעריך ירושלים - 3 כר'")</f>
        <v>בשעריך ירושלים - 3 כר'</v>
      </c>
    </row>
    <row r="7246" spans="1:6" x14ac:dyDescent="0.2">
      <c r="A7246" t="s">
        <v>12859</v>
      </c>
      <c r="B7246" t="s">
        <v>12860</v>
      </c>
      <c r="C7246" t="s">
        <v>237</v>
      </c>
      <c r="D7246" t="s">
        <v>27</v>
      </c>
      <c r="E7246" t="s">
        <v>733</v>
      </c>
      <c r="F7246" s="2" t="str">
        <f>HYPERLINK("http://www.otzar.org/book.asp?106447","בשעריך ירושלם")</f>
        <v>בשעריך ירושלם</v>
      </c>
    </row>
    <row r="7247" spans="1:6" x14ac:dyDescent="0.2">
      <c r="A7247" t="s">
        <v>12859</v>
      </c>
      <c r="B7247" t="s">
        <v>12861</v>
      </c>
      <c r="C7247" t="s">
        <v>1954</v>
      </c>
      <c r="D7247" t="s">
        <v>27</v>
      </c>
      <c r="E7247" t="s">
        <v>583</v>
      </c>
      <c r="F7247" s="2" t="str">
        <f>HYPERLINK("http://www.otzar.org/book.asp?15502","בשעריך ירושלם")</f>
        <v>בשעריך ירושלם</v>
      </c>
    </row>
    <row r="7248" spans="1:6" x14ac:dyDescent="0.2">
      <c r="A7248" t="s">
        <v>12862</v>
      </c>
      <c r="B7248" t="s">
        <v>12863</v>
      </c>
      <c r="C7248" t="s">
        <v>427</v>
      </c>
      <c r="D7248" t="s">
        <v>21</v>
      </c>
      <c r="E7248" t="s">
        <v>202</v>
      </c>
      <c r="F7248" s="2" t="str">
        <f>HYPERLINK("http://www.otzar.org/book.asp?196198","בשעריך - 9 כר'")</f>
        <v>בשעריך - 9 כר'</v>
      </c>
    </row>
    <row r="7249" spans="1:6" x14ac:dyDescent="0.2">
      <c r="A7249" t="s">
        <v>12864</v>
      </c>
      <c r="B7249" t="s">
        <v>12865</v>
      </c>
      <c r="F7249" s="2" t="str">
        <f>HYPERLINK("http://www.otzar.org/book.asp?622141","בשפתי רחש")</f>
        <v>בשפתי רחש</v>
      </c>
    </row>
    <row r="7250" spans="1:6" x14ac:dyDescent="0.2">
      <c r="A7250" t="s">
        <v>12866</v>
      </c>
      <c r="B7250" t="s">
        <v>12867</v>
      </c>
      <c r="C7250" t="s">
        <v>411</v>
      </c>
      <c r="D7250" t="s">
        <v>14</v>
      </c>
      <c r="E7250" t="s">
        <v>15</v>
      </c>
      <c r="F7250" s="2" t="str">
        <f>HYPERLINK("http://www.otzar.org/book.asp?606450","בשר בחלב - עיקרי הדינים")</f>
        <v>בשר בחלב - עיקרי הדינים</v>
      </c>
    </row>
    <row r="7251" spans="1:6" x14ac:dyDescent="0.2">
      <c r="A7251" t="s">
        <v>12868</v>
      </c>
      <c r="B7251" t="s">
        <v>9710</v>
      </c>
      <c r="C7251" t="s">
        <v>1208</v>
      </c>
      <c r="D7251" t="s">
        <v>21</v>
      </c>
      <c r="E7251" t="s">
        <v>15</v>
      </c>
      <c r="F7251" s="2" t="str">
        <f>HYPERLINK("http://www.otzar.org/book.asp?630159","בשר בחלב - מדריך הלכתי מאוייר")</f>
        <v>בשר בחלב - מדריך הלכתי מאוייר</v>
      </c>
    </row>
    <row r="7252" spans="1:6" x14ac:dyDescent="0.2">
      <c r="A7252" t="s">
        <v>12869</v>
      </c>
      <c r="B7252" t="s">
        <v>12870</v>
      </c>
      <c r="C7252" t="s">
        <v>360</v>
      </c>
      <c r="D7252" t="s">
        <v>2599</v>
      </c>
      <c r="E7252" t="s">
        <v>674</v>
      </c>
      <c r="F7252" s="2" t="str">
        <f>HYPERLINK("http://www.otzar.org/book.asp?104297","בשר על גבי גחלים")</f>
        <v>בשר על גבי גחלים</v>
      </c>
    </row>
    <row r="7253" spans="1:6" x14ac:dyDescent="0.2">
      <c r="A7253" t="s">
        <v>12871</v>
      </c>
      <c r="B7253" t="s">
        <v>12872</v>
      </c>
      <c r="C7253" t="s">
        <v>7422</v>
      </c>
      <c r="D7253" t="s">
        <v>280</v>
      </c>
      <c r="E7253" t="s">
        <v>803</v>
      </c>
      <c r="F7253" s="2" t="str">
        <f>HYPERLINK("http://www.otzar.org/book.asp?50870","בשרתי צדק")</f>
        <v>בשרתי צדק</v>
      </c>
    </row>
    <row r="7254" spans="1:6" x14ac:dyDescent="0.2">
      <c r="A7254" t="s">
        <v>12871</v>
      </c>
      <c r="B7254" t="s">
        <v>12873</v>
      </c>
      <c r="C7254" t="s">
        <v>5148</v>
      </c>
      <c r="D7254" t="s">
        <v>1023</v>
      </c>
      <c r="E7254" t="s">
        <v>158</v>
      </c>
      <c r="F7254" s="2" t="str">
        <f>HYPERLINK("http://www.otzar.org/book.asp?15952","בשרתי צדק")</f>
        <v>בשרתי צדק</v>
      </c>
    </row>
    <row r="7255" spans="1:6" x14ac:dyDescent="0.2">
      <c r="A7255" t="s">
        <v>12874</v>
      </c>
      <c r="B7255" t="s">
        <v>10912</v>
      </c>
      <c r="C7255" t="s">
        <v>473</v>
      </c>
      <c r="D7255" t="s">
        <v>283</v>
      </c>
      <c r="E7255" t="s">
        <v>154</v>
      </c>
      <c r="F7255" s="2" t="str">
        <f>HYPERLINK("http://www.otzar.org/book.asp?17382","בת דינא")</f>
        <v>בת דינא</v>
      </c>
    </row>
    <row r="7256" spans="1:6" x14ac:dyDescent="0.2">
      <c r="A7256" t="s">
        <v>12875</v>
      </c>
      <c r="B7256" t="s">
        <v>8977</v>
      </c>
      <c r="C7256" t="s">
        <v>482</v>
      </c>
      <c r="D7256" t="s">
        <v>260</v>
      </c>
      <c r="E7256" t="s">
        <v>104</v>
      </c>
      <c r="F7256" s="2" t="str">
        <f>HYPERLINK("http://www.otzar.org/book.asp?156818","בת הש""ך - במועד הנכון")</f>
        <v>בת הש"ך - במועד הנכון</v>
      </c>
    </row>
    <row r="7257" spans="1:6" x14ac:dyDescent="0.2">
      <c r="A7257" t="s">
        <v>12876</v>
      </c>
      <c r="B7257" t="s">
        <v>12877</v>
      </c>
      <c r="C7257" t="s">
        <v>908</v>
      </c>
      <c r="D7257" t="s">
        <v>27</v>
      </c>
      <c r="E7257" t="s">
        <v>15</v>
      </c>
      <c r="F7257" s="2" t="str">
        <f>HYPERLINK("http://www.otzar.org/book.asp?173186","בת ישראל הכשרה")</f>
        <v>בת ישראל הכשרה</v>
      </c>
    </row>
    <row r="7258" spans="1:6" x14ac:dyDescent="0.2">
      <c r="A7258" t="s">
        <v>12878</v>
      </c>
      <c r="B7258" t="s">
        <v>107</v>
      </c>
      <c r="C7258" t="s">
        <v>1208</v>
      </c>
      <c r="D7258" t="s">
        <v>14</v>
      </c>
      <c r="E7258" t="s">
        <v>15</v>
      </c>
      <c r="F7258" s="2" t="str">
        <f>HYPERLINK("http://www.otzar.org/book.asp?84006","בת ישראל")</f>
        <v>בת ישראל</v>
      </c>
    </row>
    <row r="7259" spans="1:6" x14ac:dyDescent="0.2">
      <c r="A7259" t="s">
        <v>12879</v>
      </c>
      <c r="B7259" t="s">
        <v>12880</v>
      </c>
      <c r="C7259" t="s">
        <v>133</v>
      </c>
      <c r="D7259" t="s">
        <v>14</v>
      </c>
      <c r="E7259" t="s">
        <v>144</v>
      </c>
      <c r="F7259" s="2" t="str">
        <f>HYPERLINK("http://www.otzar.org/book.asp?171366","בת כהן")</f>
        <v>בת כהן</v>
      </c>
    </row>
    <row r="7260" spans="1:6" x14ac:dyDescent="0.2">
      <c r="A7260" t="s">
        <v>12881</v>
      </c>
      <c r="B7260" t="s">
        <v>12882</v>
      </c>
      <c r="C7260" t="s">
        <v>1706</v>
      </c>
      <c r="D7260" t="s">
        <v>991</v>
      </c>
      <c r="E7260" t="s">
        <v>399</v>
      </c>
      <c r="F7260" s="2" t="str">
        <f>HYPERLINK("http://www.otzar.org/book.asp?21892","בת מלך - 2 כר'")</f>
        <v>בת מלך - 2 כר'</v>
      </c>
    </row>
    <row r="7261" spans="1:6" x14ac:dyDescent="0.2">
      <c r="A7261" t="s">
        <v>12883</v>
      </c>
      <c r="B7261" t="s">
        <v>12884</v>
      </c>
      <c r="C7261" t="s">
        <v>2870</v>
      </c>
      <c r="D7261" t="s">
        <v>27</v>
      </c>
      <c r="E7261" t="s">
        <v>15</v>
      </c>
      <c r="F7261" s="2" t="str">
        <f>HYPERLINK("http://www.otzar.org/book.asp?24153","בת נעות המרדות - 2 כר'")</f>
        <v>בת נעות המרדות - 2 כר'</v>
      </c>
    </row>
    <row r="7262" spans="1:6" x14ac:dyDescent="0.2">
      <c r="A7262" t="s">
        <v>12885</v>
      </c>
      <c r="B7262" t="s">
        <v>12886</v>
      </c>
      <c r="C7262" t="s">
        <v>17</v>
      </c>
      <c r="D7262" t="s">
        <v>27</v>
      </c>
      <c r="E7262" t="s">
        <v>7731</v>
      </c>
      <c r="F7262" s="2" t="str">
        <f>HYPERLINK("http://www.otzar.org/book.asp?157653","בת עין &lt;מהדורה חדשה&gt;")</f>
        <v>בת עין &lt;מהדורה חדשה&gt;</v>
      </c>
    </row>
    <row r="7263" spans="1:6" x14ac:dyDescent="0.2">
      <c r="A7263" t="s">
        <v>12887</v>
      </c>
      <c r="B7263" t="s">
        <v>12886</v>
      </c>
      <c r="C7263" t="s">
        <v>1169</v>
      </c>
      <c r="D7263" t="s">
        <v>27</v>
      </c>
      <c r="E7263" t="s">
        <v>12888</v>
      </c>
      <c r="F7263" s="2" t="str">
        <f>HYPERLINK("http://www.otzar.org/book.asp?7249","בת עין - 2 כר'")</f>
        <v>בת עין - 2 כר'</v>
      </c>
    </row>
    <row r="7264" spans="1:6" x14ac:dyDescent="0.2">
      <c r="A7264" t="s">
        <v>12889</v>
      </c>
      <c r="B7264" t="s">
        <v>12890</v>
      </c>
      <c r="C7264" t="s">
        <v>1166</v>
      </c>
      <c r="D7264" t="s">
        <v>11404</v>
      </c>
      <c r="F7264" s="2" t="str">
        <f>HYPERLINK("http://www.otzar.org/book.asp?84122","בת עין")</f>
        <v>בת עין</v>
      </c>
    </row>
    <row r="7265" spans="1:6" x14ac:dyDescent="0.2">
      <c r="A7265" t="s">
        <v>12891</v>
      </c>
      <c r="B7265" t="s">
        <v>12892</v>
      </c>
      <c r="C7265" t="s">
        <v>1177</v>
      </c>
      <c r="D7265" t="s">
        <v>267</v>
      </c>
      <c r="E7265" t="s">
        <v>901</v>
      </c>
      <c r="F7265" s="2" t="str">
        <f>HYPERLINK("http://www.otzar.org/book.asp?1043","בת עיני - 2 כר'")</f>
        <v>בת עיני - 2 כר'</v>
      </c>
    </row>
    <row r="7266" spans="1:6" x14ac:dyDescent="0.2">
      <c r="A7266" t="s">
        <v>12893</v>
      </c>
      <c r="B7266" t="s">
        <v>2851</v>
      </c>
      <c r="C7266" t="s">
        <v>160</v>
      </c>
      <c r="D7266" t="s">
        <v>260</v>
      </c>
      <c r="E7266" t="s">
        <v>15</v>
      </c>
      <c r="F7266" s="2" t="str">
        <f>HYPERLINK("http://www.otzar.org/book.asp?12964","בת עמי")</f>
        <v>בת עמי</v>
      </c>
    </row>
    <row r="7267" spans="1:6" x14ac:dyDescent="0.2">
      <c r="A7267" t="s">
        <v>12894</v>
      </c>
      <c r="B7267" t="s">
        <v>12895</v>
      </c>
      <c r="C7267" t="s">
        <v>1246</v>
      </c>
      <c r="D7267" t="s">
        <v>1889</v>
      </c>
      <c r="E7267" t="s">
        <v>12896</v>
      </c>
      <c r="F7267" s="2" t="str">
        <f>HYPERLINK("http://www.otzar.org/book.asp?84951","בת רבים")</f>
        <v>בת רבים</v>
      </c>
    </row>
    <row r="7268" spans="1:6" x14ac:dyDescent="0.2">
      <c r="A7268" t="s">
        <v>12897</v>
      </c>
      <c r="B7268" t="s">
        <v>12898</v>
      </c>
      <c r="C7268" t="s">
        <v>143</v>
      </c>
      <c r="D7268" t="s">
        <v>14</v>
      </c>
      <c r="E7268" t="s">
        <v>219</v>
      </c>
      <c r="F7268" s="2" t="str">
        <f>HYPERLINK("http://www.otzar.org/book.asp?177214","בתודה ושיר")</f>
        <v>בתודה ושיר</v>
      </c>
    </row>
    <row r="7269" spans="1:6" x14ac:dyDescent="0.2">
      <c r="A7269" t="s">
        <v>12899</v>
      </c>
      <c r="B7269" t="s">
        <v>12900</v>
      </c>
      <c r="C7269" t="s">
        <v>244</v>
      </c>
      <c r="D7269" t="s">
        <v>90</v>
      </c>
      <c r="E7269" t="s">
        <v>104</v>
      </c>
      <c r="F7269" s="2" t="str">
        <f>HYPERLINK("http://www.otzar.org/book.asp?615381","בתוך ביתה")</f>
        <v>בתוך ביתה</v>
      </c>
    </row>
    <row r="7270" spans="1:6" x14ac:dyDescent="0.2">
      <c r="A7270" t="s">
        <v>12901</v>
      </c>
      <c r="B7270" t="s">
        <v>12902</v>
      </c>
      <c r="C7270" t="s">
        <v>2874</v>
      </c>
      <c r="D7270" t="s">
        <v>974</v>
      </c>
      <c r="E7270" t="s">
        <v>234</v>
      </c>
      <c r="F7270" s="2" t="str">
        <f>HYPERLINK("http://www.otzar.org/book.asp?102918","בתוך הגולה")</f>
        <v>בתוך הגולה</v>
      </c>
    </row>
    <row r="7271" spans="1:6" x14ac:dyDescent="0.2">
      <c r="A7271" t="s">
        <v>12903</v>
      </c>
      <c r="B7271" t="s">
        <v>12904</v>
      </c>
      <c r="C7271" t="s">
        <v>12905</v>
      </c>
      <c r="D7271" t="s">
        <v>27</v>
      </c>
      <c r="E7271" t="s">
        <v>119</v>
      </c>
      <c r="F7271" s="2" t="str">
        <f>HYPERLINK("http://www.otzar.org/book.asp?15530","בתוך החומות")</f>
        <v>בתוך החומות</v>
      </c>
    </row>
    <row r="7272" spans="1:6" x14ac:dyDescent="0.2">
      <c r="A7272" t="s">
        <v>12906</v>
      </c>
      <c r="B7272" t="s">
        <v>12907</v>
      </c>
      <c r="C7272" t="s">
        <v>356</v>
      </c>
      <c r="D7272" t="s">
        <v>12908</v>
      </c>
      <c r="E7272" t="s">
        <v>144</v>
      </c>
      <c r="F7272" s="2" t="str">
        <f>HYPERLINK("http://www.otzar.org/book.asp?166154","בתוך עמי - א")</f>
        <v>בתוך עמי - א</v>
      </c>
    </row>
    <row r="7273" spans="1:6" x14ac:dyDescent="0.2">
      <c r="A7273" t="s">
        <v>12909</v>
      </c>
      <c r="B7273" t="s">
        <v>1750</v>
      </c>
      <c r="C7273" t="s">
        <v>20</v>
      </c>
      <c r="D7273" t="s">
        <v>118</v>
      </c>
      <c r="E7273" t="s">
        <v>384</v>
      </c>
      <c r="F7273" s="2" t="str">
        <f>HYPERLINK("http://www.otzar.org/book.asp?15051","בתוככי ירושלים")</f>
        <v>בתוככי ירושלים</v>
      </c>
    </row>
    <row r="7274" spans="1:6" x14ac:dyDescent="0.2">
      <c r="A7274" t="s">
        <v>12910</v>
      </c>
      <c r="B7274" t="s">
        <v>12911</v>
      </c>
      <c r="C7274" t="s">
        <v>6784</v>
      </c>
      <c r="D7274" t="s">
        <v>744</v>
      </c>
      <c r="E7274" t="s">
        <v>219</v>
      </c>
      <c r="F7274" s="2" t="str">
        <f>HYPERLINK("http://www.otzar.org/book.asp?168136","בתולת בת יהודה")</f>
        <v>בתולת בת יהודה</v>
      </c>
    </row>
    <row r="7275" spans="1:6" x14ac:dyDescent="0.2">
      <c r="A7275" t="s">
        <v>12912</v>
      </c>
      <c r="B7275" t="s">
        <v>5634</v>
      </c>
      <c r="C7275" t="s">
        <v>51</v>
      </c>
      <c r="D7275" t="s">
        <v>52</v>
      </c>
      <c r="E7275" t="s">
        <v>104</v>
      </c>
      <c r="F7275" s="2" t="str">
        <f>HYPERLINK("http://www.otzar.org/book.asp?61896","בתורת ד' חפצו")</f>
        <v>בתורת ד' חפצו</v>
      </c>
    </row>
    <row r="7276" spans="1:6" x14ac:dyDescent="0.2">
      <c r="A7276" t="s">
        <v>12913</v>
      </c>
      <c r="B7276" t="s">
        <v>12914</v>
      </c>
      <c r="C7276" t="s">
        <v>20</v>
      </c>
      <c r="D7276" t="s">
        <v>273</v>
      </c>
      <c r="F7276" s="2" t="str">
        <f>HYPERLINK("http://www.otzar.org/book.asp?614792","בתורתו יהגה - חג השבועות")</f>
        <v>בתורתו יהגה - חג השבועות</v>
      </c>
    </row>
    <row r="7277" spans="1:6" x14ac:dyDescent="0.2">
      <c r="A7277" t="s">
        <v>12915</v>
      </c>
      <c r="B7277" t="s">
        <v>12916</v>
      </c>
      <c r="C7277" t="s">
        <v>244</v>
      </c>
      <c r="D7277" t="s">
        <v>14</v>
      </c>
      <c r="F7277" s="2" t="str">
        <f>HYPERLINK("http://www.otzar.org/book.asp?610226","בתורתו יהגה - 4 כר'")</f>
        <v>בתורתו יהגה - 4 כר'</v>
      </c>
    </row>
    <row r="7278" spans="1:6" x14ac:dyDescent="0.2">
      <c r="A7278" t="s">
        <v>12917</v>
      </c>
      <c r="B7278" t="s">
        <v>12918</v>
      </c>
      <c r="C7278" t="s">
        <v>20</v>
      </c>
      <c r="D7278" t="s">
        <v>14</v>
      </c>
      <c r="E7278" t="s">
        <v>4022</v>
      </c>
      <c r="F7278" s="2" t="str">
        <f>HYPERLINK("http://www.otzar.org/book.asp?180794","בתורתו - חנוכה")</f>
        <v>בתורתו - חנוכה</v>
      </c>
    </row>
    <row r="7279" spans="1:6" x14ac:dyDescent="0.2">
      <c r="A7279" t="s">
        <v>12919</v>
      </c>
      <c r="B7279" t="s">
        <v>12920</v>
      </c>
      <c r="C7279" t="s">
        <v>23</v>
      </c>
      <c r="D7279" t="s">
        <v>14</v>
      </c>
      <c r="F7279" s="2" t="str">
        <f>HYPERLINK("http://www.otzar.org/book.asp?198622","בתחבולות תעשה לך מלחמה")</f>
        <v>בתחבולות תעשה לך מלחמה</v>
      </c>
    </row>
    <row r="7280" spans="1:6" x14ac:dyDescent="0.2">
      <c r="A7280" t="s">
        <v>12921</v>
      </c>
      <c r="B7280" t="s">
        <v>9924</v>
      </c>
      <c r="C7280" t="s">
        <v>17</v>
      </c>
      <c r="D7280" t="s">
        <v>1180</v>
      </c>
      <c r="E7280" t="s">
        <v>84</v>
      </c>
      <c r="F7280" s="2" t="str">
        <f>HYPERLINK("http://www.otzar.org/book.asp?179521","בתי אבות &lt;מהדורה חדשה&gt;")</f>
        <v>בתי אבות &lt;מהדורה חדשה&gt;</v>
      </c>
    </row>
    <row r="7281" spans="1:6" x14ac:dyDescent="0.2">
      <c r="A7281" t="s">
        <v>12922</v>
      </c>
      <c r="B7281" t="s">
        <v>9924</v>
      </c>
      <c r="C7281" t="s">
        <v>2140</v>
      </c>
      <c r="D7281" t="s">
        <v>76</v>
      </c>
      <c r="E7281" t="s">
        <v>84</v>
      </c>
      <c r="F7281" s="2" t="str">
        <f>HYPERLINK("http://www.otzar.org/book.asp?141223","בתי אבות")</f>
        <v>בתי אבות</v>
      </c>
    </row>
    <row r="7282" spans="1:6" x14ac:dyDescent="0.2">
      <c r="A7282" t="s">
        <v>12922</v>
      </c>
      <c r="B7282" t="s">
        <v>12923</v>
      </c>
      <c r="C7282" t="s">
        <v>1640</v>
      </c>
      <c r="D7282" t="s">
        <v>14</v>
      </c>
      <c r="E7282" t="s">
        <v>733</v>
      </c>
      <c r="F7282" s="2" t="str">
        <f>HYPERLINK("http://www.otzar.org/book.asp?60669","בתי אבות")</f>
        <v>בתי אבות</v>
      </c>
    </row>
    <row r="7283" spans="1:6" x14ac:dyDescent="0.2">
      <c r="A7283" t="s">
        <v>12924</v>
      </c>
      <c r="B7283" t="s">
        <v>12925</v>
      </c>
      <c r="C7283" t="s">
        <v>624</v>
      </c>
      <c r="D7283" t="s">
        <v>14</v>
      </c>
      <c r="E7283" t="s">
        <v>733</v>
      </c>
      <c r="F7283" s="2" t="str">
        <f>HYPERLINK("http://www.otzar.org/book.asp?175866","בתי הכנסת בצנעא בירת תימן")</f>
        <v>בתי הכנסת בצנעא בירת תימן</v>
      </c>
    </row>
    <row r="7284" spans="1:6" x14ac:dyDescent="0.2">
      <c r="A7284" t="s">
        <v>12926</v>
      </c>
      <c r="B7284" t="s">
        <v>1457</v>
      </c>
      <c r="C7284" t="s">
        <v>433</v>
      </c>
      <c r="D7284" t="s">
        <v>260</v>
      </c>
      <c r="E7284" t="s">
        <v>104</v>
      </c>
      <c r="F7284" s="2" t="str">
        <f>HYPERLINK("http://www.otzar.org/book.asp?13467","בתי הנהגת גוף הבריא")</f>
        <v>בתי הנהגת גוף הבריא</v>
      </c>
    </row>
    <row r="7285" spans="1:6" x14ac:dyDescent="0.2">
      <c r="A7285" t="s">
        <v>12927</v>
      </c>
      <c r="B7285" t="s">
        <v>12928</v>
      </c>
      <c r="C7285" t="s">
        <v>189</v>
      </c>
      <c r="D7285" t="s">
        <v>245</v>
      </c>
      <c r="F7285" s="2" t="str">
        <f>HYPERLINK("http://www.otzar.org/book.asp?169590","בתי כהונה &lt;רמב""ם&gt;")</f>
        <v>בתי כהונה &lt;רמב"ם&gt;</v>
      </c>
    </row>
    <row r="7286" spans="1:6" x14ac:dyDescent="0.2">
      <c r="A7286" t="s">
        <v>12929</v>
      </c>
      <c r="B7286" t="s">
        <v>9510</v>
      </c>
      <c r="C7286" t="s">
        <v>133</v>
      </c>
      <c r="D7286" t="s">
        <v>14</v>
      </c>
      <c r="E7286" t="s">
        <v>130</v>
      </c>
      <c r="F7286" s="2" t="str">
        <f>HYPERLINK("http://www.otzar.org/book.asp?171969","בתי כהונה - חנוכה")</f>
        <v>בתי כהונה - חנוכה</v>
      </c>
    </row>
    <row r="7287" spans="1:6" x14ac:dyDescent="0.2">
      <c r="A7287" t="s">
        <v>12930</v>
      </c>
      <c r="B7287" t="s">
        <v>12931</v>
      </c>
      <c r="C7287" t="s">
        <v>594</v>
      </c>
      <c r="D7287" t="s">
        <v>56</v>
      </c>
      <c r="E7287" t="s">
        <v>43</v>
      </c>
      <c r="F7287" s="2" t="str">
        <f>HYPERLINK("http://www.otzar.org/book.asp?103297","בתי כהונה")</f>
        <v>בתי כהונה</v>
      </c>
    </row>
    <row r="7288" spans="1:6" x14ac:dyDescent="0.2">
      <c r="A7288" t="s">
        <v>12932</v>
      </c>
      <c r="B7288" t="s">
        <v>12928</v>
      </c>
      <c r="C7288" t="s">
        <v>12933</v>
      </c>
      <c r="D7288" t="s">
        <v>157</v>
      </c>
      <c r="E7288" t="s">
        <v>154</v>
      </c>
      <c r="F7288" s="2" t="str">
        <f>HYPERLINK("http://www.otzar.org/book.asp?10715","בתי כהונה - 4 כר'")</f>
        <v>בתי כהונה - 4 כר'</v>
      </c>
    </row>
    <row r="7289" spans="1:6" x14ac:dyDescent="0.2">
      <c r="A7289" t="s">
        <v>12934</v>
      </c>
      <c r="B7289" t="s">
        <v>12935</v>
      </c>
      <c r="C7289" t="s">
        <v>17</v>
      </c>
      <c r="D7289" t="s">
        <v>12936</v>
      </c>
      <c r="E7289" t="s">
        <v>733</v>
      </c>
      <c r="F7289" s="2" t="str">
        <f>HYPERLINK("http://www.otzar.org/book.asp?176717","בתי כנסיות בבבל")</f>
        <v>בתי כנסיות בבבל</v>
      </c>
    </row>
    <row r="7290" spans="1:6" x14ac:dyDescent="0.2">
      <c r="A7290" t="s">
        <v>12937</v>
      </c>
      <c r="B7290" t="s">
        <v>12938</v>
      </c>
      <c r="C7290" t="s">
        <v>1519</v>
      </c>
      <c r="D7290" t="s">
        <v>76</v>
      </c>
      <c r="E7290" t="s">
        <v>172</v>
      </c>
      <c r="F7290" s="2" t="str">
        <f>HYPERLINK("http://www.otzar.org/book.asp?100862","בתי כנסיות - א")</f>
        <v>בתי כנסיות - א</v>
      </c>
    </row>
    <row r="7291" spans="1:6" x14ac:dyDescent="0.2">
      <c r="A7291" t="s">
        <v>12939</v>
      </c>
      <c r="B7291" t="s">
        <v>12940</v>
      </c>
      <c r="C7291" t="s">
        <v>1062</v>
      </c>
      <c r="D7291" t="s">
        <v>14</v>
      </c>
      <c r="E7291" t="s">
        <v>43</v>
      </c>
      <c r="F7291" s="2" t="str">
        <f>HYPERLINK("http://www.otzar.org/book.asp?83661","בתי מדרשות - 2 כר'")</f>
        <v>בתי מדרשות - 2 כר'</v>
      </c>
    </row>
    <row r="7292" spans="1:6" x14ac:dyDescent="0.2">
      <c r="A7292" t="s">
        <v>12941</v>
      </c>
      <c r="B7292" t="s">
        <v>12942</v>
      </c>
      <c r="C7292" t="s">
        <v>111</v>
      </c>
      <c r="D7292" t="s">
        <v>6283</v>
      </c>
      <c r="E7292" t="s">
        <v>144</v>
      </c>
      <c r="F7292" s="2" t="str">
        <f>HYPERLINK("http://www.otzar.org/book.asp?630137","בתי משה - ברכות")</f>
        <v>בתי משה - ברכות</v>
      </c>
    </row>
    <row r="7293" spans="1:6" x14ac:dyDescent="0.2">
      <c r="A7293" t="s">
        <v>12943</v>
      </c>
      <c r="B7293" t="s">
        <v>12944</v>
      </c>
      <c r="C7293" t="s">
        <v>244</v>
      </c>
      <c r="D7293" t="s">
        <v>90</v>
      </c>
      <c r="F7293" s="2" t="str">
        <f>HYPERLINK("http://www.otzar.org/book.asp?602955","בתי נפש - 2 כר'")</f>
        <v>בתי נפש - 2 כר'</v>
      </c>
    </row>
    <row r="7294" spans="1:6" x14ac:dyDescent="0.2">
      <c r="A7294" t="s">
        <v>12945</v>
      </c>
      <c r="B7294" t="s">
        <v>12946</v>
      </c>
      <c r="C7294" t="s">
        <v>3695</v>
      </c>
      <c r="D7294" t="s">
        <v>535</v>
      </c>
      <c r="E7294" t="s">
        <v>234</v>
      </c>
      <c r="F7294" s="2" t="str">
        <f>HYPERLINK("http://www.otzar.org/book.asp?15954","בתי נפש")</f>
        <v>בתי נפש</v>
      </c>
    </row>
    <row r="7295" spans="1:6" x14ac:dyDescent="0.2">
      <c r="A7295" t="s">
        <v>12947</v>
      </c>
      <c r="B7295" t="s">
        <v>12948</v>
      </c>
      <c r="C7295" t="s">
        <v>168</v>
      </c>
      <c r="D7295" t="s">
        <v>21</v>
      </c>
      <c r="E7295" t="s">
        <v>733</v>
      </c>
      <c r="F7295" s="2" t="str">
        <f>HYPERLINK("http://www.otzar.org/book.asp?195949","בתים ומוסדות יהודיים ברובע המוסלמי")</f>
        <v>בתים ומוסדות יהודיים ברובע המוסלמי</v>
      </c>
    </row>
    <row r="7296" spans="1:6" x14ac:dyDescent="0.2">
      <c r="A7296" t="s">
        <v>12949</v>
      </c>
      <c r="B7296" t="s">
        <v>12950</v>
      </c>
      <c r="C7296" t="s">
        <v>17</v>
      </c>
      <c r="D7296" t="s">
        <v>52</v>
      </c>
      <c r="E7296" t="s">
        <v>144</v>
      </c>
      <c r="F7296" s="2" t="str">
        <f>HYPERLINK("http://www.otzar.org/book.asp?168318","בתים לבדים")</f>
        <v>בתים לבדים</v>
      </c>
    </row>
    <row r="7297" spans="1:6" x14ac:dyDescent="0.2">
      <c r="A7297" t="s">
        <v>12951</v>
      </c>
      <c r="B7297" t="s">
        <v>12952</v>
      </c>
      <c r="C7297" t="s">
        <v>366</v>
      </c>
      <c r="D7297" t="s">
        <v>52</v>
      </c>
      <c r="F7297" s="2" t="str">
        <f>HYPERLINK("http://www.otzar.org/book.asp?618736","בתים לבדים - 2 כר'")</f>
        <v>בתים לבדים - 2 כר'</v>
      </c>
    </row>
    <row r="7298" spans="1:6" x14ac:dyDescent="0.2">
      <c r="A7298" t="s">
        <v>12953</v>
      </c>
      <c r="B7298" t="s">
        <v>12954</v>
      </c>
      <c r="C7298" t="s">
        <v>5257</v>
      </c>
      <c r="D7298" t="s">
        <v>544</v>
      </c>
      <c r="E7298" t="s">
        <v>144</v>
      </c>
      <c r="F7298" s="2" t="str">
        <f>HYPERLINK("http://www.otzar.org/book.asp?100441","בתים לבריחים")</f>
        <v>בתים לבריחים</v>
      </c>
    </row>
    <row r="7299" spans="1:6" x14ac:dyDescent="0.2">
      <c r="A7299" t="s">
        <v>12955</v>
      </c>
      <c r="B7299" t="s">
        <v>12956</v>
      </c>
      <c r="C7299" t="s">
        <v>989</v>
      </c>
      <c r="D7299" t="s">
        <v>14</v>
      </c>
      <c r="F7299" s="2" t="str">
        <f>HYPERLINK("http://www.otzar.org/book.asp?614651","בתלאות תימן וירושלים")</f>
        <v>בתלאות תימן וירושלים</v>
      </c>
    </row>
    <row r="7300" spans="1:6" x14ac:dyDescent="0.2">
      <c r="A7300" t="s">
        <v>12957</v>
      </c>
      <c r="B7300" t="s">
        <v>3880</v>
      </c>
      <c r="C7300" t="s">
        <v>37</v>
      </c>
      <c r="D7300" t="s">
        <v>21</v>
      </c>
      <c r="E7300" t="s">
        <v>12958</v>
      </c>
      <c r="F7300" s="2" t="str">
        <f>HYPERLINK("http://www.otzar.org/book.asp?196078","בתעצומות עוזך - אור השנים (קטעים)")</f>
        <v>בתעצומות עוזך - אור השנים (קטעים)</v>
      </c>
    </row>
    <row r="7301" spans="1:6" x14ac:dyDescent="0.2">
      <c r="A7301" t="s">
        <v>12959</v>
      </c>
      <c r="B7301" t="s">
        <v>12960</v>
      </c>
      <c r="C7301" t="s">
        <v>390</v>
      </c>
      <c r="D7301" t="s">
        <v>14</v>
      </c>
      <c r="E7301" t="s">
        <v>733</v>
      </c>
      <c r="F7301" s="2" t="str">
        <f>HYPERLINK("http://www.otzar.org/book.asp?143420","בתפוצות הגולה")</f>
        <v>בתפוצות הגולה</v>
      </c>
    </row>
    <row r="7302" spans="1:6" x14ac:dyDescent="0.2">
      <c r="A7302" t="s">
        <v>12961</v>
      </c>
      <c r="B7302" t="s">
        <v>12962</v>
      </c>
      <c r="C7302" t="s">
        <v>71</v>
      </c>
      <c r="D7302" t="s">
        <v>14</v>
      </c>
      <c r="E7302" t="s">
        <v>246</v>
      </c>
      <c r="F7302" s="2" t="str">
        <f>HYPERLINK("http://www.otzar.org/book.asp?169279","ג""ל פנינים")</f>
        <v>ג"ל פנינים</v>
      </c>
    </row>
    <row r="7303" spans="1:6" x14ac:dyDescent="0.2">
      <c r="A7303" t="s">
        <v>12963</v>
      </c>
      <c r="B7303" t="s">
        <v>12964</v>
      </c>
      <c r="C7303" t="s">
        <v>20</v>
      </c>
      <c r="D7303" t="s">
        <v>14</v>
      </c>
      <c r="E7303" t="s">
        <v>119</v>
      </c>
      <c r="F7303" s="2" t="str">
        <f>HYPERLINK("http://www.otzar.org/book.asp?163151","ג'רבה יהודית")</f>
        <v>ג'רבה יהודית</v>
      </c>
    </row>
    <row r="7304" spans="1:6" x14ac:dyDescent="0.2">
      <c r="A7304" t="s">
        <v>12965</v>
      </c>
      <c r="B7304" t="s">
        <v>12966</v>
      </c>
      <c r="C7304" t="s">
        <v>1650</v>
      </c>
      <c r="D7304" t="s">
        <v>12967</v>
      </c>
      <c r="E7304" t="s">
        <v>104</v>
      </c>
      <c r="F7304" s="2" t="str">
        <f>HYPERLINK("http://www.otzar.org/book.asp?196369","גאוגרפיה מצוירת של ארץ ישראל")</f>
        <v>גאוגרפיה מצוירת של ארץ ישראל</v>
      </c>
    </row>
    <row r="7305" spans="1:6" x14ac:dyDescent="0.2">
      <c r="A7305" t="s">
        <v>12968</v>
      </c>
      <c r="B7305" t="s">
        <v>12969</v>
      </c>
      <c r="C7305" t="s">
        <v>649</v>
      </c>
      <c r="D7305" t="s">
        <v>995</v>
      </c>
      <c r="E7305" t="s">
        <v>104</v>
      </c>
      <c r="F7305" s="2" t="str">
        <f>HYPERLINK("http://www.otzar.org/book.asp?197611","גאוגרפיה קצרה של ארץ ישראל")</f>
        <v>גאוגרפיה קצרה של ארץ ישראל</v>
      </c>
    </row>
    <row r="7306" spans="1:6" x14ac:dyDescent="0.2">
      <c r="A7306" t="s">
        <v>12970</v>
      </c>
      <c r="B7306" t="s">
        <v>12971</v>
      </c>
      <c r="C7306" t="s">
        <v>111</v>
      </c>
      <c r="D7306" t="s">
        <v>14</v>
      </c>
      <c r="E7306" t="s">
        <v>733</v>
      </c>
      <c r="F7306" s="2" t="str">
        <f>HYPERLINK("http://www.otzar.org/book.asp?628636","גאולה ושכנותיה")</f>
        <v>גאולה ושכנותיה</v>
      </c>
    </row>
    <row r="7307" spans="1:6" x14ac:dyDescent="0.2">
      <c r="A7307" t="s">
        <v>12972</v>
      </c>
      <c r="B7307" t="s">
        <v>12973</v>
      </c>
      <c r="C7307" t="s">
        <v>10715</v>
      </c>
      <c r="D7307" t="s">
        <v>212</v>
      </c>
      <c r="E7307" t="s">
        <v>130</v>
      </c>
      <c r="F7307" s="2" t="str">
        <f>HYPERLINK("http://www.otzar.org/book.asp?60632","גאולת ה'")</f>
        <v>גאולת ה'</v>
      </c>
    </row>
    <row r="7308" spans="1:6" x14ac:dyDescent="0.2">
      <c r="A7308" t="s">
        <v>12974</v>
      </c>
      <c r="B7308" t="s">
        <v>12975</v>
      </c>
      <c r="C7308" t="s">
        <v>12976</v>
      </c>
      <c r="D7308" t="s">
        <v>744</v>
      </c>
      <c r="E7308" t="s">
        <v>158</v>
      </c>
      <c r="F7308" s="2" t="str">
        <f>HYPERLINK("http://www.otzar.org/book.asp?141043","גאולת הגר")</f>
        <v>גאולת הגר</v>
      </c>
    </row>
    <row r="7309" spans="1:6" x14ac:dyDescent="0.2">
      <c r="A7309" t="s">
        <v>12977</v>
      </c>
      <c r="B7309" t="s">
        <v>12978</v>
      </c>
      <c r="C7309" t="s">
        <v>585</v>
      </c>
      <c r="D7309" t="s">
        <v>14</v>
      </c>
      <c r="E7309" t="s">
        <v>1211</v>
      </c>
      <c r="F7309" s="2" t="str">
        <f>HYPERLINK("http://www.otzar.org/book.asp?159984","גאולת הצבי - 2 כר'")</f>
        <v>גאולת הצבי - 2 כר'</v>
      </c>
    </row>
    <row r="7310" spans="1:6" x14ac:dyDescent="0.2">
      <c r="A7310" t="s">
        <v>12979</v>
      </c>
      <c r="B7310" t="s">
        <v>12062</v>
      </c>
      <c r="C7310" t="s">
        <v>26</v>
      </c>
      <c r="D7310" t="s">
        <v>646</v>
      </c>
      <c r="E7310" t="s">
        <v>104</v>
      </c>
      <c r="F7310" s="2" t="str">
        <f>HYPERLINK("http://www.otzar.org/book.asp?188997","גאולת וישועת ישראל")</f>
        <v>גאולת וישועת ישראל</v>
      </c>
    </row>
    <row r="7311" spans="1:6" x14ac:dyDescent="0.2">
      <c r="A7311" t="s">
        <v>12980</v>
      </c>
      <c r="B7311" t="s">
        <v>4728</v>
      </c>
      <c r="C7311" t="s">
        <v>422</v>
      </c>
      <c r="D7311" t="s">
        <v>14</v>
      </c>
      <c r="E7311" t="s">
        <v>399</v>
      </c>
      <c r="F7311" s="2" t="str">
        <f>HYPERLINK("http://www.otzar.org/book.asp?156580","גאולת יצחק - 2 כר'")</f>
        <v>גאולת יצחק - 2 כר'</v>
      </c>
    </row>
    <row r="7312" spans="1:6" x14ac:dyDescent="0.2">
      <c r="A7312" t="s">
        <v>12981</v>
      </c>
      <c r="B7312" t="s">
        <v>12982</v>
      </c>
      <c r="C7312" t="s">
        <v>1166</v>
      </c>
      <c r="D7312" t="s">
        <v>225</v>
      </c>
      <c r="E7312" t="s">
        <v>12983</v>
      </c>
      <c r="F7312" s="2" t="str">
        <f>HYPERLINK("http://www.otzar.org/book.asp?300393","גאולת ישראל השלם")</f>
        <v>גאולת ישראל השלם</v>
      </c>
    </row>
    <row r="7313" spans="1:6" x14ac:dyDescent="0.2">
      <c r="A7313" t="s">
        <v>12984</v>
      </c>
      <c r="B7313" t="s">
        <v>12985</v>
      </c>
      <c r="C7313" t="s">
        <v>79</v>
      </c>
      <c r="D7313" t="s">
        <v>563</v>
      </c>
      <c r="F7313" s="2" t="str">
        <f>HYPERLINK("http://www.otzar.org/book.asp?615636","גאולת ישראל - 3 כר'")</f>
        <v>גאולת ישראל - 3 כר'</v>
      </c>
    </row>
    <row r="7314" spans="1:6" x14ac:dyDescent="0.2">
      <c r="A7314" t="s">
        <v>12986</v>
      </c>
      <c r="B7314" t="s">
        <v>12987</v>
      </c>
      <c r="C7314" t="s">
        <v>55</v>
      </c>
      <c r="D7314" t="s">
        <v>1008</v>
      </c>
      <c r="E7314" t="s">
        <v>246</v>
      </c>
      <c r="F7314" s="2" t="str">
        <f>HYPERLINK("http://www.otzar.org/book.asp?10764","גאולת ישראל")</f>
        <v>גאולת ישראל</v>
      </c>
    </row>
    <row r="7315" spans="1:6" x14ac:dyDescent="0.2">
      <c r="A7315" t="s">
        <v>12986</v>
      </c>
      <c r="B7315" t="s">
        <v>12988</v>
      </c>
      <c r="C7315" t="s">
        <v>1663</v>
      </c>
      <c r="D7315" t="s">
        <v>260</v>
      </c>
      <c r="E7315" t="s">
        <v>246</v>
      </c>
      <c r="F7315" s="2" t="str">
        <f>HYPERLINK("http://www.otzar.org/book.asp?104794","גאולת ישראל")</f>
        <v>גאולת ישראל</v>
      </c>
    </row>
    <row r="7316" spans="1:6" x14ac:dyDescent="0.2">
      <c r="A7316" t="s">
        <v>12986</v>
      </c>
      <c r="B7316" t="s">
        <v>4049</v>
      </c>
      <c r="C7316" t="s">
        <v>989</v>
      </c>
      <c r="D7316" t="s">
        <v>14</v>
      </c>
      <c r="E7316" t="s">
        <v>213</v>
      </c>
      <c r="F7316" s="2" t="str">
        <f>HYPERLINK("http://www.otzar.org/book.asp?102919","גאולת ישראל")</f>
        <v>גאולת ישראל</v>
      </c>
    </row>
    <row r="7317" spans="1:6" x14ac:dyDescent="0.2">
      <c r="A7317" t="s">
        <v>12986</v>
      </c>
      <c r="B7317" t="s">
        <v>12982</v>
      </c>
      <c r="C7317" t="s">
        <v>462</v>
      </c>
      <c r="D7317" t="s">
        <v>283</v>
      </c>
      <c r="E7317" t="s">
        <v>12983</v>
      </c>
      <c r="F7317" s="2" t="str">
        <f>HYPERLINK("http://www.otzar.org/book.asp?300396","גאולת ישראל")</f>
        <v>גאולת ישראל</v>
      </c>
    </row>
    <row r="7318" spans="1:6" x14ac:dyDescent="0.2">
      <c r="A7318" t="s">
        <v>12989</v>
      </c>
      <c r="B7318" t="s">
        <v>4945</v>
      </c>
      <c r="C7318" t="s">
        <v>427</v>
      </c>
      <c r="D7318" t="s">
        <v>118</v>
      </c>
      <c r="F7318" s="2" t="str">
        <f>HYPERLINK("http://www.otzar.org/book.asp?613804","גאולת ישראל - 2 כר'")</f>
        <v>גאולת ישראל - 2 כר'</v>
      </c>
    </row>
    <row r="7319" spans="1:6" x14ac:dyDescent="0.2">
      <c r="A7319" t="s">
        <v>12990</v>
      </c>
      <c r="B7319" t="s">
        <v>12991</v>
      </c>
      <c r="C7319" t="s">
        <v>4240</v>
      </c>
      <c r="D7319" t="s">
        <v>2041</v>
      </c>
      <c r="E7319" t="s">
        <v>246</v>
      </c>
      <c r="F7319" s="2" t="str">
        <f>HYPERLINK("http://www.otzar.org/book.asp?51321","גאולת עולם")</f>
        <v>גאולת עולם</v>
      </c>
    </row>
    <row r="7320" spans="1:6" x14ac:dyDescent="0.2">
      <c r="A7320" t="s">
        <v>12992</v>
      </c>
      <c r="B7320" t="s">
        <v>686</v>
      </c>
      <c r="C7320" t="s">
        <v>129</v>
      </c>
      <c r="D7320" t="s">
        <v>52</v>
      </c>
      <c r="E7320" t="s">
        <v>104</v>
      </c>
      <c r="F7320" s="2" t="str">
        <f>HYPERLINK("http://www.otzar.org/book.asp?61453","גאולת ציון")</f>
        <v>גאולת ציון</v>
      </c>
    </row>
    <row r="7321" spans="1:6" x14ac:dyDescent="0.2">
      <c r="A7321" t="s">
        <v>12993</v>
      </c>
      <c r="B7321" t="s">
        <v>12994</v>
      </c>
      <c r="C7321" t="s">
        <v>1844</v>
      </c>
      <c r="D7321" t="s">
        <v>5209</v>
      </c>
      <c r="E7321" t="s">
        <v>144</v>
      </c>
      <c r="F7321" s="2" t="str">
        <f>HYPERLINK("http://www.otzar.org/book.asp?12931","גאון אברהם")</f>
        <v>גאון אברהם</v>
      </c>
    </row>
    <row r="7322" spans="1:6" x14ac:dyDescent="0.2">
      <c r="A7322" t="s">
        <v>12995</v>
      </c>
      <c r="B7322" t="s">
        <v>12996</v>
      </c>
      <c r="C7322" t="s">
        <v>466</v>
      </c>
      <c r="D7322" t="s">
        <v>14</v>
      </c>
      <c r="E7322" t="s">
        <v>119</v>
      </c>
      <c r="F7322" s="2" t="str">
        <f>HYPERLINK("http://www.otzar.org/book.asp?22163","גאון בתורה ובמידות &lt;ישראלי שאול&gt;")</f>
        <v>גאון בתורה ובמידות &lt;ישראלי שאול&gt;</v>
      </c>
    </row>
    <row r="7323" spans="1:6" x14ac:dyDescent="0.2">
      <c r="A7323" t="s">
        <v>12997</v>
      </c>
      <c r="B7323" t="s">
        <v>3243</v>
      </c>
      <c r="C7323" t="s">
        <v>946</v>
      </c>
      <c r="D7323" t="s">
        <v>27</v>
      </c>
      <c r="E7323" t="s">
        <v>1880</v>
      </c>
      <c r="F7323" s="2" t="str">
        <f>HYPERLINK("http://www.otzar.org/book.asp?100836","גאון הגאונים")</f>
        <v>גאון הגאונים</v>
      </c>
    </row>
    <row r="7324" spans="1:6" x14ac:dyDescent="0.2">
      <c r="A7324" t="s">
        <v>12998</v>
      </c>
      <c r="B7324" t="s">
        <v>7203</v>
      </c>
      <c r="C7324" t="s">
        <v>20</v>
      </c>
      <c r="D7324" t="s">
        <v>14</v>
      </c>
      <c r="E7324" t="s">
        <v>119</v>
      </c>
      <c r="F7324" s="2" t="str">
        <f>HYPERLINK("http://www.otzar.org/book.asp?627930","גאון התורה - פרקים בתולדות רבי אליהו חזן")</f>
        <v>גאון התורה - פרקים בתולדות רבי אליהו חזן</v>
      </c>
    </row>
    <row r="7325" spans="1:6" x14ac:dyDescent="0.2">
      <c r="A7325" t="s">
        <v>12999</v>
      </c>
      <c r="B7325" t="s">
        <v>13000</v>
      </c>
      <c r="C7325" t="s">
        <v>956</v>
      </c>
      <c r="D7325" t="s">
        <v>216</v>
      </c>
      <c r="E7325" t="s">
        <v>13001</v>
      </c>
      <c r="F7325" s="2" t="str">
        <f>HYPERLINK("http://www.otzar.org/book.asp?11603","גאון יעקב")</f>
        <v>גאון יעקב</v>
      </c>
    </row>
    <row r="7326" spans="1:6" x14ac:dyDescent="0.2">
      <c r="A7326" t="s">
        <v>13002</v>
      </c>
      <c r="B7326" t="s">
        <v>13003</v>
      </c>
      <c r="C7326" t="s">
        <v>390</v>
      </c>
      <c r="D7326" t="s">
        <v>216</v>
      </c>
      <c r="E7326" t="s">
        <v>144</v>
      </c>
      <c r="F7326" s="2" t="str">
        <f>HYPERLINK("http://www.otzar.org/book.asp?176591","גאון יעקב - 2 כר'")</f>
        <v>גאון יעקב - 2 כר'</v>
      </c>
    </row>
    <row r="7327" spans="1:6" x14ac:dyDescent="0.2">
      <c r="A7327" t="s">
        <v>12999</v>
      </c>
      <c r="B7327" t="s">
        <v>13004</v>
      </c>
      <c r="C7327" t="s">
        <v>3106</v>
      </c>
      <c r="D7327" t="s">
        <v>260</v>
      </c>
      <c r="E7327" t="s">
        <v>144</v>
      </c>
      <c r="F7327" s="2" t="str">
        <f>HYPERLINK("http://www.otzar.org/book.asp?603381","גאון יעקב")</f>
        <v>גאון יעקב</v>
      </c>
    </row>
    <row r="7328" spans="1:6" x14ac:dyDescent="0.2">
      <c r="A7328" t="s">
        <v>13005</v>
      </c>
      <c r="B7328" t="s">
        <v>13006</v>
      </c>
      <c r="C7328" t="s">
        <v>558</v>
      </c>
      <c r="D7328" t="s">
        <v>582</v>
      </c>
      <c r="E7328" t="s">
        <v>119</v>
      </c>
      <c r="F7328" s="2" t="str">
        <f>HYPERLINK("http://www.otzar.org/book.asp?10210","גאון יצחק")</f>
        <v>גאון יצחק</v>
      </c>
    </row>
    <row r="7329" spans="1:6" x14ac:dyDescent="0.2">
      <c r="A7329" t="s">
        <v>13007</v>
      </c>
      <c r="B7329" t="s">
        <v>13008</v>
      </c>
      <c r="C7329" t="s">
        <v>366</v>
      </c>
      <c r="D7329" t="s">
        <v>1632</v>
      </c>
      <c r="F7329" s="2" t="str">
        <f>HYPERLINK("http://www.otzar.org/book.asp?603527","גאון ישראל וקדושו - 3 כר'")</f>
        <v>גאון ישראל וקדושו - 3 כר'</v>
      </c>
    </row>
    <row r="7330" spans="1:6" x14ac:dyDescent="0.2">
      <c r="A7330" t="s">
        <v>13009</v>
      </c>
      <c r="B7330" t="s">
        <v>13010</v>
      </c>
      <c r="C7330" t="s">
        <v>13011</v>
      </c>
      <c r="D7330" t="s">
        <v>744</v>
      </c>
      <c r="E7330" t="s">
        <v>508</v>
      </c>
      <c r="F7330" s="2" t="str">
        <f>HYPERLINK("http://www.otzar.org/book.asp?100860","גאון צבי")</f>
        <v>גאון צבי</v>
      </c>
    </row>
    <row r="7331" spans="1:6" x14ac:dyDescent="0.2">
      <c r="A7331" t="s">
        <v>13012</v>
      </c>
      <c r="B7331" t="s">
        <v>13013</v>
      </c>
      <c r="C7331" t="s">
        <v>1166</v>
      </c>
      <c r="D7331" t="s">
        <v>855</v>
      </c>
      <c r="E7331" t="s">
        <v>508</v>
      </c>
      <c r="F7331" s="2" t="str">
        <f>HYPERLINK("http://www.otzar.org/book.asp?14029","גאון צבי - 2 כר'")</f>
        <v>גאון צבי - 2 כר'</v>
      </c>
    </row>
    <row r="7332" spans="1:6" x14ac:dyDescent="0.2">
      <c r="A7332" t="s">
        <v>13014</v>
      </c>
      <c r="B7332" t="s">
        <v>13015</v>
      </c>
      <c r="C7332" t="s">
        <v>2076</v>
      </c>
      <c r="D7332" t="s">
        <v>283</v>
      </c>
      <c r="E7332" t="s">
        <v>144</v>
      </c>
      <c r="F7332" s="2" t="str">
        <f>HYPERLINK("http://www.otzar.org/book.asp?181","גאון צבי - 4 כר'")</f>
        <v>גאון צבי - 4 כר'</v>
      </c>
    </row>
    <row r="7333" spans="1:6" x14ac:dyDescent="0.2">
      <c r="A7333" t="s">
        <v>13016</v>
      </c>
      <c r="B7333" t="s">
        <v>13017</v>
      </c>
      <c r="C7333" t="s">
        <v>20</v>
      </c>
      <c r="D7333" t="s">
        <v>412</v>
      </c>
      <c r="E7333" t="s">
        <v>226</v>
      </c>
      <c r="F7333" s="2" t="str">
        <f>HYPERLINK("http://www.otzar.org/book.asp?199870","גאון, יעקב, גדול ביהודה, חזון ישעיהו")</f>
        <v>גאון, יעקב, גדול ביהודה, חזון ישעיהו</v>
      </c>
    </row>
    <row r="7334" spans="1:6" x14ac:dyDescent="0.2">
      <c r="A7334" t="s">
        <v>13018</v>
      </c>
      <c r="B7334" t="s">
        <v>13019</v>
      </c>
      <c r="C7334" t="s">
        <v>37</v>
      </c>
      <c r="D7334" t="s">
        <v>147</v>
      </c>
      <c r="F7334" s="2" t="str">
        <f>HYPERLINK("http://www.otzar.org/book.asp?177202","גאוני משפחת אביחצירא - 4 כר'")</f>
        <v>גאוני משפחת אביחצירא - 4 כר'</v>
      </c>
    </row>
    <row r="7335" spans="1:6" x14ac:dyDescent="0.2">
      <c r="A7335" t="s">
        <v>13020</v>
      </c>
      <c r="B7335" t="s">
        <v>3554</v>
      </c>
      <c r="C7335" t="s">
        <v>533</v>
      </c>
      <c r="D7335" t="s">
        <v>52</v>
      </c>
      <c r="E7335" t="s">
        <v>119</v>
      </c>
      <c r="F7335" s="2" t="str">
        <f>HYPERLINK("http://www.otzar.org/book.asp?144122","גאוני פולין האחרונים")</f>
        <v>גאוני פולין האחרונים</v>
      </c>
    </row>
    <row r="7336" spans="1:6" x14ac:dyDescent="0.2">
      <c r="A7336" t="s">
        <v>13021</v>
      </c>
      <c r="B7336" t="s">
        <v>13022</v>
      </c>
      <c r="C7336" t="s">
        <v>496</v>
      </c>
      <c r="D7336" t="s">
        <v>986</v>
      </c>
      <c r="E7336" t="s">
        <v>13023</v>
      </c>
      <c r="F7336" s="2" t="str">
        <f>HYPERLINK("http://www.otzar.org/book.asp?106859","גאוניקה &lt;GEONICA&gt; - 2 כר'")</f>
        <v>גאוניקה &lt;GEONICA&gt; - 2 כר'</v>
      </c>
    </row>
    <row r="7337" spans="1:6" x14ac:dyDescent="0.2">
      <c r="A7337" t="s">
        <v>13024</v>
      </c>
      <c r="B7337" t="s">
        <v>13025</v>
      </c>
      <c r="C7337" t="s">
        <v>114</v>
      </c>
      <c r="D7337" t="s">
        <v>14</v>
      </c>
      <c r="E7337" t="s">
        <v>4779</v>
      </c>
      <c r="F7337" s="2" t="str">
        <f>HYPERLINK("http://www.otzar.org/book.asp?165569","גאל ישראל")</f>
        <v>גאל ישראל</v>
      </c>
    </row>
    <row r="7338" spans="1:6" x14ac:dyDescent="0.2">
      <c r="A7338" t="s">
        <v>13026</v>
      </c>
      <c r="B7338" t="s">
        <v>338</v>
      </c>
      <c r="C7338" t="s">
        <v>411</v>
      </c>
      <c r="D7338" t="s">
        <v>14</v>
      </c>
      <c r="E7338" t="s">
        <v>219</v>
      </c>
      <c r="F7338" s="2" t="str">
        <f>HYPERLINK("http://www.otzar.org/book.asp?182452","גבול אלמנה - סדר תיקון אלמנה")</f>
        <v>גבול אלמנה - סדר תיקון אלמנה</v>
      </c>
    </row>
    <row r="7339" spans="1:6" x14ac:dyDescent="0.2">
      <c r="A7339" t="s">
        <v>13027</v>
      </c>
      <c r="B7339" t="s">
        <v>9881</v>
      </c>
      <c r="C7339" t="s">
        <v>1124</v>
      </c>
      <c r="D7339" t="s">
        <v>379</v>
      </c>
      <c r="E7339" t="s">
        <v>234</v>
      </c>
      <c r="F7339" s="2" t="str">
        <f>HYPERLINK("http://www.otzar.org/book.asp?11132","גבול בני נפתלי")</f>
        <v>גבול בני נפתלי</v>
      </c>
    </row>
    <row r="7340" spans="1:6" x14ac:dyDescent="0.2">
      <c r="A7340" t="s">
        <v>13028</v>
      </c>
      <c r="B7340" t="s">
        <v>93</v>
      </c>
      <c r="C7340" t="s">
        <v>20</v>
      </c>
      <c r="D7340" t="s">
        <v>90</v>
      </c>
      <c r="F7340" s="2" t="str">
        <f>HYPERLINK("http://www.otzar.org/book.asp?610286","גבול בנימין &lt;מהדורה חדשה&gt; - 2 כר'")</f>
        <v>גבול בנימין &lt;מהדורה חדשה&gt; - 2 כר'</v>
      </c>
    </row>
    <row r="7341" spans="1:6" x14ac:dyDescent="0.2">
      <c r="A7341" t="s">
        <v>13029</v>
      </c>
      <c r="B7341" t="s">
        <v>13030</v>
      </c>
      <c r="C7341" t="s">
        <v>37</v>
      </c>
      <c r="D7341" t="s">
        <v>2196</v>
      </c>
      <c r="E7341" t="s">
        <v>144</v>
      </c>
      <c r="F7341" s="2" t="str">
        <f>HYPERLINK("http://www.otzar.org/book.asp?603832","גבול בנימין")</f>
        <v>גבול בנימין</v>
      </c>
    </row>
    <row r="7342" spans="1:6" x14ac:dyDescent="0.2">
      <c r="A7342" t="s">
        <v>13029</v>
      </c>
      <c r="B7342" t="s">
        <v>93</v>
      </c>
      <c r="C7342" t="s">
        <v>8890</v>
      </c>
      <c r="D7342" t="s">
        <v>1023</v>
      </c>
      <c r="E7342" t="s">
        <v>474</v>
      </c>
      <c r="F7342" s="2" t="str">
        <f>HYPERLINK("http://www.otzar.org/book.asp?15774","גבול בנימין")</f>
        <v>גבול בנימין</v>
      </c>
    </row>
    <row r="7343" spans="1:6" x14ac:dyDescent="0.2">
      <c r="A7343" t="s">
        <v>13029</v>
      </c>
      <c r="B7343" t="s">
        <v>13031</v>
      </c>
      <c r="C7343" t="s">
        <v>1954</v>
      </c>
      <c r="D7343" t="s">
        <v>6974</v>
      </c>
      <c r="E7343" t="s">
        <v>154</v>
      </c>
      <c r="F7343" s="2" t="str">
        <f>HYPERLINK("http://www.otzar.org/book.asp?102766","גבול בנימין")</f>
        <v>גבול בנימין</v>
      </c>
    </row>
    <row r="7344" spans="1:6" x14ac:dyDescent="0.2">
      <c r="A7344" t="s">
        <v>13032</v>
      </c>
      <c r="B7344" t="s">
        <v>13033</v>
      </c>
      <c r="C7344" t="s">
        <v>2455</v>
      </c>
      <c r="D7344" t="s">
        <v>76</v>
      </c>
      <c r="E7344" t="s">
        <v>144</v>
      </c>
      <c r="F7344" s="2" t="str">
        <f>HYPERLINK("http://www.otzar.org/book.asp?60207","גבול יאודה - 2 כר'")</f>
        <v>גבול יאודה - 2 כר'</v>
      </c>
    </row>
    <row r="7345" spans="1:6" x14ac:dyDescent="0.2">
      <c r="A7345" t="s">
        <v>13034</v>
      </c>
      <c r="B7345" t="s">
        <v>13035</v>
      </c>
      <c r="C7345" t="s">
        <v>558</v>
      </c>
      <c r="D7345" t="s">
        <v>11404</v>
      </c>
      <c r="E7345" t="s">
        <v>154</v>
      </c>
      <c r="F7345" s="2" t="str">
        <f>HYPERLINK("http://www.otzar.org/book.asp?145213","גבול יהודה - 2 כר'")</f>
        <v>גבול יהודה - 2 כר'</v>
      </c>
    </row>
    <row r="7346" spans="1:6" x14ac:dyDescent="0.2">
      <c r="A7346" t="s">
        <v>13036</v>
      </c>
      <c r="B7346" t="s">
        <v>3115</v>
      </c>
      <c r="C7346" t="s">
        <v>940</v>
      </c>
      <c r="D7346" t="s">
        <v>412</v>
      </c>
      <c r="E7346" t="s">
        <v>104</v>
      </c>
      <c r="F7346" s="2" t="str">
        <f>HYPERLINK("http://www.otzar.org/book.asp?176705","גבול יעבץ - קונטרסים וסוגיות")</f>
        <v>גבול יעבץ - קונטרסים וסוגיות</v>
      </c>
    </row>
    <row r="7347" spans="1:6" x14ac:dyDescent="0.2">
      <c r="A7347" t="s">
        <v>13037</v>
      </c>
      <c r="B7347" t="s">
        <v>13038</v>
      </c>
      <c r="C7347" t="s">
        <v>1096</v>
      </c>
      <c r="D7347" t="s">
        <v>322</v>
      </c>
      <c r="E7347" t="s">
        <v>588</v>
      </c>
      <c r="F7347" s="2" t="str">
        <f>HYPERLINK("http://www.otzar.org/book.asp?17386","גבול מנשה")</f>
        <v>גבול מנשה</v>
      </c>
    </row>
    <row r="7348" spans="1:6" x14ac:dyDescent="0.2">
      <c r="A7348" t="s">
        <v>13039</v>
      </c>
      <c r="B7348" t="s">
        <v>8146</v>
      </c>
      <c r="C7348" t="s">
        <v>411</v>
      </c>
      <c r="D7348" t="s">
        <v>52</v>
      </c>
      <c r="F7348" s="2" t="str">
        <f>HYPERLINK("http://www.otzar.org/book.asp?169646","גבול עולם - עירובין")</f>
        <v>גבול עולם - עירובין</v>
      </c>
    </row>
    <row r="7349" spans="1:6" x14ac:dyDescent="0.2">
      <c r="A7349" t="s">
        <v>13040</v>
      </c>
      <c r="B7349" t="s">
        <v>13041</v>
      </c>
      <c r="C7349" t="s">
        <v>888</v>
      </c>
      <c r="D7349" t="s">
        <v>27</v>
      </c>
      <c r="E7349" t="s">
        <v>104</v>
      </c>
      <c r="F7349" s="2" t="str">
        <f>HYPERLINK("http://www.otzar.org/book.asp?17387","גבול עולם")</f>
        <v>גבול עולם</v>
      </c>
    </row>
    <row r="7350" spans="1:6" x14ac:dyDescent="0.2">
      <c r="A7350" t="s">
        <v>13040</v>
      </c>
      <c r="B7350" t="s">
        <v>5797</v>
      </c>
      <c r="C7350" t="s">
        <v>146</v>
      </c>
      <c r="D7350" t="s">
        <v>5798</v>
      </c>
      <c r="E7350" t="s">
        <v>15</v>
      </c>
      <c r="F7350" s="2" t="str">
        <f>HYPERLINK("http://www.otzar.org/book.asp?145364","גבול עולם")</f>
        <v>גבול עולם</v>
      </c>
    </row>
    <row r="7351" spans="1:6" x14ac:dyDescent="0.2">
      <c r="A7351" t="s">
        <v>13042</v>
      </c>
      <c r="B7351" t="s">
        <v>13043</v>
      </c>
      <c r="C7351" t="s">
        <v>411</v>
      </c>
      <c r="D7351" t="s">
        <v>134</v>
      </c>
      <c r="E7351" t="s">
        <v>144</v>
      </c>
      <c r="F7351" s="2" t="str">
        <f>HYPERLINK("http://www.otzar.org/book.asp?173011","גבול ראשונים")</f>
        <v>גבול ראשונים</v>
      </c>
    </row>
    <row r="7352" spans="1:6" x14ac:dyDescent="0.2">
      <c r="A7352" t="s">
        <v>13042</v>
      </c>
      <c r="B7352" t="s">
        <v>13044</v>
      </c>
      <c r="C7352" t="s">
        <v>1663</v>
      </c>
      <c r="D7352" t="s">
        <v>27</v>
      </c>
      <c r="E7352" t="s">
        <v>674</v>
      </c>
      <c r="F7352" s="2" t="str">
        <f>HYPERLINK("http://www.otzar.org/book.asp?5257","גבול ראשונים")</f>
        <v>גבול ראשונים</v>
      </c>
    </row>
    <row r="7353" spans="1:6" x14ac:dyDescent="0.2">
      <c r="A7353" t="s">
        <v>13045</v>
      </c>
      <c r="B7353" t="s">
        <v>9425</v>
      </c>
      <c r="C7353" t="s">
        <v>37</v>
      </c>
      <c r="D7353" t="s">
        <v>9426</v>
      </c>
      <c r="F7353" s="2" t="str">
        <f>HYPERLINK("http://www.otzar.org/book.asp?609904","גבולות השדה")</f>
        <v>גבולות השדה</v>
      </c>
    </row>
    <row r="7354" spans="1:6" x14ac:dyDescent="0.2">
      <c r="A7354" t="s">
        <v>13046</v>
      </c>
      <c r="B7354" t="s">
        <v>13047</v>
      </c>
      <c r="C7354" t="s">
        <v>1096</v>
      </c>
      <c r="D7354" t="s">
        <v>56</v>
      </c>
      <c r="E7354" t="s">
        <v>104</v>
      </c>
      <c r="F7354" s="2" t="str">
        <f>HYPERLINK("http://www.otzar.org/book.asp?149664","גבולי ציון")</f>
        <v>גבולי ציון</v>
      </c>
    </row>
    <row r="7355" spans="1:6" x14ac:dyDescent="0.2">
      <c r="A7355" t="s">
        <v>13048</v>
      </c>
      <c r="B7355" t="s">
        <v>13049</v>
      </c>
      <c r="C7355" t="s">
        <v>37</v>
      </c>
      <c r="D7355" t="s">
        <v>412</v>
      </c>
      <c r="E7355" t="s">
        <v>463</v>
      </c>
      <c r="F7355" s="2" t="str">
        <f>HYPERLINK("http://www.otzar.org/book.asp?176498","גבולת בנימין &lt;מהדורה חדשה&gt;")</f>
        <v>גבולת בנימין &lt;מהדורה חדשה&gt;</v>
      </c>
    </row>
    <row r="7356" spans="1:6" x14ac:dyDescent="0.2">
      <c r="A7356" t="s">
        <v>13050</v>
      </c>
      <c r="B7356" t="s">
        <v>13049</v>
      </c>
      <c r="C7356" t="s">
        <v>11383</v>
      </c>
      <c r="D7356" t="s">
        <v>267</v>
      </c>
      <c r="E7356" t="s">
        <v>975</v>
      </c>
      <c r="F7356" s="2" t="str">
        <f>HYPERLINK("http://www.otzar.org/book.asp?104474","גבולת בנימין")</f>
        <v>גבולת בנימין</v>
      </c>
    </row>
    <row r="7357" spans="1:6" x14ac:dyDescent="0.2">
      <c r="A7357" t="s">
        <v>13051</v>
      </c>
      <c r="B7357" t="s">
        <v>13052</v>
      </c>
      <c r="C7357" t="s">
        <v>133</v>
      </c>
      <c r="D7357" t="s">
        <v>9</v>
      </c>
      <c r="E7357" t="s">
        <v>154</v>
      </c>
      <c r="F7357" s="2" t="str">
        <f>HYPERLINK("http://www.otzar.org/book.asp?180914","גבורות אליהו")</f>
        <v>גבורות אליהו</v>
      </c>
    </row>
    <row r="7358" spans="1:6" x14ac:dyDescent="0.2">
      <c r="A7358" t="s">
        <v>13053</v>
      </c>
      <c r="B7358" t="s">
        <v>13054</v>
      </c>
      <c r="D7358" t="s">
        <v>245</v>
      </c>
      <c r="F7358" s="2" t="str">
        <f>HYPERLINK("http://www.otzar.org/book.asp?623030","גבורות ארי &lt;מהדורה חדשה&gt; - 3 כר'")</f>
        <v>גבורות ארי &lt;מהדורה חדשה&gt; - 3 כר'</v>
      </c>
    </row>
    <row r="7359" spans="1:6" x14ac:dyDescent="0.2">
      <c r="A7359" t="s">
        <v>13055</v>
      </c>
      <c r="B7359" t="s">
        <v>13054</v>
      </c>
      <c r="C7359" t="s">
        <v>13056</v>
      </c>
      <c r="D7359" t="s">
        <v>13057</v>
      </c>
      <c r="E7359" t="s">
        <v>144</v>
      </c>
      <c r="F7359" s="2" t="str">
        <f>HYPERLINK("http://www.otzar.org/book.asp?144688","גבורות ארי &lt;עם באר משה&gt; - תענית")</f>
        <v>גבורות ארי &lt;עם באר משה&gt; - תענית</v>
      </c>
    </row>
    <row r="7360" spans="1:6" x14ac:dyDescent="0.2">
      <c r="A7360" t="s">
        <v>13058</v>
      </c>
      <c r="B7360" t="s">
        <v>13054</v>
      </c>
      <c r="C7360" t="s">
        <v>2543</v>
      </c>
      <c r="D7360" t="s">
        <v>225</v>
      </c>
      <c r="E7360" t="s">
        <v>2088</v>
      </c>
      <c r="F7360" s="2" t="str">
        <f>HYPERLINK("http://www.otzar.org/book.asp?108454","גבורות ארי - 2 כר'")</f>
        <v>גבורות ארי - 2 כר'</v>
      </c>
    </row>
    <row r="7361" spans="1:6" x14ac:dyDescent="0.2">
      <c r="A7361" t="s">
        <v>13059</v>
      </c>
      <c r="B7361" t="s">
        <v>7435</v>
      </c>
      <c r="C7361" t="s">
        <v>600</v>
      </c>
      <c r="D7361" t="s">
        <v>267</v>
      </c>
      <c r="E7361" t="s">
        <v>474</v>
      </c>
      <c r="F7361" s="2" t="str">
        <f>HYPERLINK("http://www.otzar.org/book.asp?6505","גבורות אריה")</f>
        <v>גבורות אריה</v>
      </c>
    </row>
    <row r="7362" spans="1:6" x14ac:dyDescent="0.2">
      <c r="A7362" t="s">
        <v>13060</v>
      </c>
      <c r="B7362" t="s">
        <v>3941</v>
      </c>
      <c r="C7362" t="s">
        <v>1477</v>
      </c>
      <c r="D7362" t="s">
        <v>1117</v>
      </c>
      <c r="E7362" t="s">
        <v>241</v>
      </c>
      <c r="F7362" s="2" t="str">
        <f>HYPERLINK("http://www.otzar.org/book.asp?53315","גבורות ה' &lt;דפו""ר&gt;")</f>
        <v>גבורות ה' &lt;דפו"ר&gt;</v>
      </c>
    </row>
    <row r="7363" spans="1:6" x14ac:dyDescent="0.2">
      <c r="A7363" t="s">
        <v>13061</v>
      </c>
      <c r="B7363" t="s">
        <v>3923</v>
      </c>
      <c r="C7363" t="s">
        <v>1124</v>
      </c>
      <c r="D7363" t="s">
        <v>726</v>
      </c>
      <c r="E7363" t="s">
        <v>241</v>
      </c>
      <c r="F7363" s="2" t="str">
        <f>HYPERLINK("http://www.otzar.org/book.asp?5331","גבורות ה' - 5 כר'")</f>
        <v>גבורות ה' - 5 כר'</v>
      </c>
    </row>
    <row r="7364" spans="1:6" x14ac:dyDescent="0.2">
      <c r="A7364" t="s">
        <v>13062</v>
      </c>
      <c r="B7364" t="s">
        <v>13063</v>
      </c>
      <c r="C7364" t="s">
        <v>600</v>
      </c>
      <c r="D7364" t="s">
        <v>56</v>
      </c>
      <c r="E7364" t="s">
        <v>119</v>
      </c>
      <c r="F7364" s="2" t="str">
        <f>HYPERLINK("http://www.otzar.org/book.asp?153607","גבורות הארי - 2 כר'")</f>
        <v>גבורות הארי - 2 כר'</v>
      </c>
    </row>
    <row r="7365" spans="1:6" x14ac:dyDescent="0.2">
      <c r="A7365" t="s">
        <v>13064</v>
      </c>
      <c r="B7365" t="s">
        <v>13065</v>
      </c>
      <c r="C7365" t="s">
        <v>129</v>
      </c>
      <c r="D7365" t="s">
        <v>52</v>
      </c>
      <c r="E7365" t="s">
        <v>226</v>
      </c>
      <c r="F7365" s="2" t="str">
        <f>HYPERLINK("http://www.otzar.org/book.asp?153377","גבורות הארי")</f>
        <v>גבורות הארי</v>
      </c>
    </row>
    <row r="7366" spans="1:6" x14ac:dyDescent="0.2">
      <c r="A7366" t="s">
        <v>13066</v>
      </c>
      <c r="B7366" t="s">
        <v>13067</v>
      </c>
      <c r="C7366" t="s">
        <v>114</v>
      </c>
      <c r="D7366" t="s">
        <v>14</v>
      </c>
      <c r="E7366" t="s">
        <v>15</v>
      </c>
      <c r="F7366" s="2" t="str">
        <f>HYPERLINK("http://www.otzar.org/book.asp?171903","גבורות יצחק על הרמב""ם - הלכות ק""ש")</f>
        <v>גבורות יצחק על הרמב"ם - הלכות ק"ש</v>
      </c>
    </row>
    <row r="7367" spans="1:6" x14ac:dyDescent="0.2">
      <c r="A7367" t="s">
        <v>13068</v>
      </c>
      <c r="B7367" t="s">
        <v>13069</v>
      </c>
      <c r="C7367" t="s">
        <v>20</v>
      </c>
      <c r="D7367" t="s">
        <v>14</v>
      </c>
      <c r="E7367" t="s">
        <v>202</v>
      </c>
      <c r="F7367" s="2" t="str">
        <f>HYPERLINK("http://www.otzar.org/book.asp?625645","גבורות יצחק")</f>
        <v>גבורות יצחק</v>
      </c>
    </row>
    <row r="7368" spans="1:6" x14ac:dyDescent="0.2">
      <c r="A7368" t="s">
        <v>13070</v>
      </c>
      <c r="B7368" t="s">
        <v>13071</v>
      </c>
      <c r="C7368" t="s">
        <v>143</v>
      </c>
      <c r="D7368" t="s">
        <v>14</v>
      </c>
      <c r="E7368" t="s">
        <v>6587</v>
      </c>
      <c r="F7368" s="2" t="str">
        <f>HYPERLINK("http://www.otzar.org/book.asp?144861","גבורות יצחק - 3 כר'")</f>
        <v>גבורות יצחק - 3 כר'</v>
      </c>
    </row>
    <row r="7369" spans="1:6" x14ac:dyDescent="0.2">
      <c r="A7369" t="s">
        <v>13072</v>
      </c>
      <c r="B7369" t="s">
        <v>13073</v>
      </c>
      <c r="C7369" t="s">
        <v>366</v>
      </c>
      <c r="D7369" t="s">
        <v>14</v>
      </c>
      <c r="E7369" t="s">
        <v>104</v>
      </c>
      <c r="F7369" s="2" t="str">
        <f>HYPERLINK("http://www.otzar.org/book.asp?607514","גבורות ישעיהו")</f>
        <v>גבורות ישעיהו</v>
      </c>
    </row>
    <row r="7370" spans="1:6" x14ac:dyDescent="0.2">
      <c r="A7370" t="s">
        <v>13074</v>
      </c>
      <c r="B7370" t="s">
        <v>13075</v>
      </c>
      <c r="C7370" t="s">
        <v>71</v>
      </c>
      <c r="D7370" t="s">
        <v>21</v>
      </c>
      <c r="E7370" t="s">
        <v>144</v>
      </c>
      <c r="F7370" s="2" t="str">
        <f>HYPERLINK("http://www.otzar.org/book.asp?195471","גבורות משה")</f>
        <v>גבורות משה</v>
      </c>
    </row>
    <row r="7371" spans="1:6" x14ac:dyDescent="0.2">
      <c r="A7371" t="s">
        <v>13076</v>
      </c>
      <c r="B7371" t="s">
        <v>1390</v>
      </c>
      <c r="C7371" t="s">
        <v>454</v>
      </c>
      <c r="D7371" t="s">
        <v>14</v>
      </c>
      <c r="E7371" t="s">
        <v>399</v>
      </c>
      <c r="F7371" s="2" t="str">
        <f>HYPERLINK("http://www.otzar.org/book.asp?623474","גבורות רמח""ל")</f>
        <v>גבורות רמח"ל</v>
      </c>
    </row>
    <row r="7372" spans="1:6" x14ac:dyDescent="0.2">
      <c r="A7372" t="s">
        <v>13077</v>
      </c>
      <c r="B7372" t="s">
        <v>1750</v>
      </c>
      <c r="C7372" t="s">
        <v>244</v>
      </c>
      <c r="D7372" t="s">
        <v>21</v>
      </c>
      <c r="E7372" t="s">
        <v>202</v>
      </c>
      <c r="F7372" s="2" t="str">
        <f>HYPERLINK("http://www.otzar.org/book.asp?600279","גבורות שלושים")</f>
        <v>גבורות שלושים</v>
      </c>
    </row>
    <row r="7373" spans="1:6" x14ac:dyDescent="0.2">
      <c r="A7373" t="s">
        <v>13078</v>
      </c>
      <c r="B7373" t="s">
        <v>305</v>
      </c>
      <c r="C7373" t="s">
        <v>854</v>
      </c>
      <c r="D7373" t="s">
        <v>267</v>
      </c>
      <c r="E7373" t="s">
        <v>104</v>
      </c>
      <c r="F7373" s="2" t="str">
        <f>HYPERLINK("http://www.otzar.org/book.asp?300315","גבורות שלמה")</f>
        <v>גבורות שלמה</v>
      </c>
    </row>
    <row r="7374" spans="1:6" x14ac:dyDescent="0.2">
      <c r="A7374" t="s">
        <v>13079</v>
      </c>
      <c r="B7374" t="s">
        <v>13080</v>
      </c>
      <c r="C7374" t="s">
        <v>454</v>
      </c>
      <c r="D7374" t="s">
        <v>412</v>
      </c>
      <c r="E7374" t="s">
        <v>741</v>
      </c>
      <c r="F7374" s="2" t="str">
        <f>HYPERLINK("http://www.otzar.org/book.asp?159459","גבורות שמונים")</f>
        <v>גבורות שמונים</v>
      </c>
    </row>
    <row r="7375" spans="1:6" x14ac:dyDescent="0.2">
      <c r="A7375" t="s">
        <v>13081</v>
      </c>
      <c r="B7375" t="s">
        <v>3493</v>
      </c>
      <c r="C7375" t="s">
        <v>547</v>
      </c>
      <c r="D7375" t="s">
        <v>2295</v>
      </c>
      <c r="E7375" t="s">
        <v>144</v>
      </c>
      <c r="F7375" s="2" t="str">
        <f>HYPERLINK("http://www.otzar.org/book.asp?6851","גבורות שמונים - 2 כר'")</f>
        <v>גבורות שמונים - 2 כר'</v>
      </c>
    </row>
    <row r="7376" spans="1:6" x14ac:dyDescent="0.2">
      <c r="A7376" t="s">
        <v>13081</v>
      </c>
      <c r="B7376" t="s">
        <v>1750</v>
      </c>
      <c r="C7376" t="s">
        <v>411</v>
      </c>
      <c r="D7376" t="s">
        <v>14</v>
      </c>
      <c r="E7376" t="s">
        <v>202</v>
      </c>
      <c r="F7376" s="2" t="str">
        <f>HYPERLINK("http://www.otzar.org/book.asp?171236","גבורות שמונים - 2 כר'")</f>
        <v>גבורות שמונים - 2 כר'</v>
      </c>
    </row>
    <row r="7377" spans="1:6" x14ac:dyDescent="0.2">
      <c r="A7377" t="s">
        <v>13082</v>
      </c>
      <c r="B7377" t="s">
        <v>13083</v>
      </c>
      <c r="C7377" t="s">
        <v>3205</v>
      </c>
      <c r="D7377" t="s">
        <v>260</v>
      </c>
      <c r="F7377" s="2" t="str">
        <f>HYPERLINK("http://www.otzar.org/book.asp?189014","גבורות")</f>
        <v>גבורות</v>
      </c>
    </row>
    <row r="7378" spans="1:6" x14ac:dyDescent="0.2">
      <c r="A7378" t="s">
        <v>13084</v>
      </c>
      <c r="B7378" t="s">
        <v>12291</v>
      </c>
      <c r="C7378" t="s">
        <v>68</v>
      </c>
      <c r="D7378" t="s">
        <v>52</v>
      </c>
      <c r="E7378" t="s">
        <v>119</v>
      </c>
      <c r="F7378" s="2" t="str">
        <f>HYPERLINK("http://www.otzar.org/book.asp?158173","גבורי החי""ל - 2 כר'")</f>
        <v>גבורי החי"ל - 2 כר'</v>
      </c>
    </row>
    <row r="7379" spans="1:6" x14ac:dyDescent="0.2">
      <c r="A7379" t="s">
        <v>13085</v>
      </c>
      <c r="B7379" t="s">
        <v>13086</v>
      </c>
      <c r="C7379" t="s">
        <v>1047</v>
      </c>
      <c r="D7379" t="s">
        <v>855</v>
      </c>
      <c r="E7379" t="s">
        <v>5712</v>
      </c>
      <c r="F7379" s="2" t="str">
        <f>HYPERLINK("http://www.otzar.org/book.asp?300316","גבורי ישראל")</f>
        <v>גבורי ישראל</v>
      </c>
    </row>
    <row r="7380" spans="1:6" x14ac:dyDescent="0.2">
      <c r="A7380" t="s">
        <v>13087</v>
      </c>
      <c r="B7380" t="s">
        <v>13087</v>
      </c>
      <c r="C7380" t="s">
        <v>87</v>
      </c>
      <c r="D7380" t="s">
        <v>4508</v>
      </c>
      <c r="E7380" t="s">
        <v>3567</v>
      </c>
      <c r="F7380" s="2" t="str">
        <f>HYPERLINK("http://www.otzar.org/book.asp?12242","גבורי כח עושי דברו")</f>
        <v>גבורי כח עושי דברו</v>
      </c>
    </row>
    <row r="7381" spans="1:6" x14ac:dyDescent="0.2">
      <c r="A7381" t="s">
        <v>13088</v>
      </c>
      <c r="B7381" t="s">
        <v>13089</v>
      </c>
      <c r="C7381" t="s">
        <v>23</v>
      </c>
      <c r="D7381" t="s">
        <v>1974</v>
      </c>
      <c r="E7381" t="s">
        <v>15</v>
      </c>
      <c r="F7381" s="2" t="str">
        <f>HYPERLINK("http://www.otzar.org/book.asp?193731","גבורי כח")</f>
        <v>גבורי כח</v>
      </c>
    </row>
    <row r="7382" spans="1:6" x14ac:dyDescent="0.2">
      <c r="A7382" t="s">
        <v>13090</v>
      </c>
      <c r="B7382" t="s">
        <v>13091</v>
      </c>
      <c r="C7382" t="s">
        <v>4705</v>
      </c>
      <c r="D7382" t="s">
        <v>283</v>
      </c>
      <c r="E7382" t="s">
        <v>345</v>
      </c>
      <c r="F7382" s="2" t="str">
        <f>HYPERLINK("http://www.otzar.org/book.asp?343","גבורת אנשים - 2 כר'")</f>
        <v>גבורת אנשים - 2 כר'</v>
      </c>
    </row>
    <row r="7383" spans="1:6" x14ac:dyDescent="0.2">
      <c r="A7383" t="s">
        <v>13092</v>
      </c>
      <c r="B7383" t="s">
        <v>686</v>
      </c>
      <c r="C7383" t="s">
        <v>133</v>
      </c>
      <c r="D7383" t="s">
        <v>52</v>
      </c>
      <c r="E7383" t="s">
        <v>104</v>
      </c>
      <c r="F7383" s="2" t="str">
        <f>HYPERLINK("http://www.otzar.org/book.asp?172200","גבורת ארי")</f>
        <v>גבורת ארי</v>
      </c>
    </row>
    <row r="7384" spans="1:6" x14ac:dyDescent="0.2">
      <c r="A7384" t="s">
        <v>13092</v>
      </c>
      <c r="B7384" t="s">
        <v>3759</v>
      </c>
      <c r="C7384" t="s">
        <v>547</v>
      </c>
      <c r="D7384" t="s">
        <v>1279</v>
      </c>
      <c r="E7384" t="s">
        <v>741</v>
      </c>
      <c r="F7384" s="2" t="str">
        <f>HYPERLINK("http://www.otzar.org/book.asp?17388","גבורת ארי")</f>
        <v>גבורת ארי</v>
      </c>
    </row>
    <row r="7385" spans="1:6" x14ac:dyDescent="0.2">
      <c r="A7385" t="s">
        <v>13093</v>
      </c>
      <c r="B7385" t="s">
        <v>13094</v>
      </c>
      <c r="C7385" t="s">
        <v>185</v>
      </c>
      <c r="D7385" t="s">
        <v>657</v>
      </c>
      <c r="E7385" t="s">
        <v>144</v>
      </c>
      <c r="F7385" s="2" t="str">
        <f>HYPERLINK("http://www.otzar.org/book.asp?629552","גבורת אריאל - זבחים")</f>
        <v>גבורת אריאל - זבחים</v>
      </c>
    </row>
    <row r="7386" spans="1:6" x14ac:dyDescent="0.2">
      <c r="A7386" t="s">
        <v>13095</v>
      </c>
      <c r="B7386" t="s">
        <v>13096</v>
      </c>
      <c r="C7386" t="s">
        <v>619</v>
      </c>
      <c r="D7386" t="s">
        <v>1966</v>
      </c>
      <c r="E7386" t="s">
        <v>158</v>
      </c>
      <c r="F7386" s="2" t="str">
        <f>HYPERLINK("http://www.otzar.org/book.asp?300319","גבורת אריה - 4 כר'")</f>
        <v>גבורת אריה - 4 כר'</v>
      </c>
    </row>
    <row r="7387" spans="1:6" x14ac:dyDescent="0.2">
      <c r="A7387" t="s">
        <v>13097</v>
      </c>
      <c r="B7387" t="s">
        <v>13098</v>
      </c>
      <c r="C7387" t="s">
        <v>422</v>
      </c>
      <c r="D7387" t="s">
        <v>14</v>
      </c>
      <c r="E7387" t="s">
        <v>144</v>
      </c>
      <c r="F7387" s="2" t="str">
        <f>HYPERLINK("http://www.otzar.org/book.asp?148884","גבורת גבריאל")</f>
        <v>גבורת גבריאל</v>
      </c>
    </row>
    <row r="7388" spans="1:6" x14ac:dyDescent="0.2">
      <c r="A7388" t="s">
        <v>13099</v>
      </c>
      <c r="B7388" t="s">
        <v>2074</v>
      </c>
      <c r="C7388" t="s">
        <v>114</v>
      </c>
      <c r="D7388" t="s">
        <v>14</v>
      </c>
      <c r="E7388" t="s">
        <v>12896</v>
      </c>
      <c r="F7388" s="2" t="str">
        <f>HYPERLINK("http://www.otzar.org/book.asp?186735","גבורת האר""י")</f>
        <v>גבורת האר"י</v>
      </c>
    </row>
    <row r="7389" spans="1:6" x14ac:dyDescent="0.2">
      <c r="A7389" t="s">
        <v>13100</v>
      </c>
      <c r="B7389" t="s">
        <v>13101</v>
      </c>
      <c r="C7389" t="s">
        <v>146</v>
      </c>
      <c r="D7389" t="s">
        <v>14</v>
      </c>
      <c r="E7389" t="s">
        <v>933</v>
      </c>
      <c r="F7389" s="2" t="str">
        <f>HYPERLINK("http://www.otzar.org/book.asp?172306","גבורת התורה - 3 כר'")</f>
        <v>גבורת התורה - 3 כר'</v>
      </c>
    </row>
    <row r="7390" spans="1:6" x14ac:dyDescent="0.2">
      <c r="A7390" t="s">
        <v>13102</v>
      </c>
      <c r="B7390" t="s">
        <v>10734</v>
      </c>
      <c r="C7390" t="s">
        <v>68</v>
      </c>
      <c r="D7390" t="s">
        <v>52</v>
      </c>
      <c r="E7390" t="s">
        <v>148</v>
      </c>
      <c r="F7390" s="2" t="str">
        <f>HYPERLINK("http://www.otzar.org/book.asp?180241","גבורת יהודה - 2 כר'")</f>
        <v>גבורת יהודה - 2 כר'</v>
      </c>
    </row>
    <row r="7391" spans="1:6" x14ac:dyDescent="0.2">
      <c r="A7391" t="s">
        <v>13103</v>
      </c>
      <c r="B7391" t="s">
        <v>1990</v>
      </c>
      <c r="C7391" t="s">
        <v>492</v>
      </c>
      <c r="D7391" t="s">
        <v>2295</v>
      </c>
      <c r="E7391" t="s">
        <v>13104</v>
      </c>
      <c r="F7391" s="2" t="str">
        <f>HYPERLINK("http://www.otzar.org/book.asp?16317","גבורת יהונתן")</f>
        <v>גבורת יהונתן</v>
      </c>
    </row>
    <row r="7392" spans="1:6" x14ac:dyDescent="0.2">
      <c r="A7392" t="s">
        <v>13105</v>
      </c>
      <c r="B7392" t="s">
        <v>13106</v>
      </c>
      <c r="C7392" t="s">
        <v>103</v>
      </c>
      <c r="D7392" t="s">
        <v>52</v>
      </c>
      <c r="E7392" t="s">
        <v>202</v>
      </c>
      <c r="F7392" s="2" t="str">
        <f>HYPERLINK("http://www.otzar.org/book.asp?148791","גבורת יעקב &lt;קובץ&gt;")</f>
        <v>גבורת יעקב &lt;קובץ&gt;</v>
      </c>
    </row>
    <row r="7393" spans="1:6" x14ac:dyDescent="0.2">
      <c r="A7393" t="s">
        <v>13107</v>
      </c>
      <c r="B7393" t="s">
        <v>9372</v>
      </c>
      <c r="C7393" t="s">
        <v>176</v>
      </c>
      <c r="D7393" t="s">
        <v>14</v>
      </c>
      <c r="E7393" t="s">
        <v>158</v>
      </c>
      <c r="F7393" s="2" t="str">
        <f>HYPERLINK("http://www.otzar.org/book.asp?60617","גבורת יעקב")</f>
        <v>גבורת יעקב</v>
      </c>
    </row>
    <row r="7394" spans="1:6" x14ac:dyDescent="0.2">
      <c r="A7394" t="s">
        <v>13108</v>
      </c>
      <c r="B7394" t="s">
        <v>13067</v>
      </c>
      <c r="C7394" t="s">
        <v>624</v>
      </c>
      <c r="D7394" t="s">
        <v>14</v>
      </c>
      <c r="E7394" t="s">
        <v>158</v>
      </c>
      <c r="F7394" s="2" t="str">
        <f>HYPERLINK("http://www.otzar.org/book.asp?106676","גבורת יצחק &lt;על התורה&gt; - 2 כר'")</f>
        <v>גבורת יצחק &lt;על התורה&gt; - 2 כר'</v>
      </c>
    </row>
    <row r="7395" spans="1:6" x14ac:dyDescent="0.2">
      <c r="A7395" t="s">
        <v>13109</v>
      </c>
      <c r="B7395" t="s">
        <v>13110</v>
      </c>
      <c r="C7395" t="s">
        <v>87</v>
      </c>
      <c r="D7395" t="s">
        <v>115</v>
      </c>
      <c r="E7395" t="s">
        <v>202</v>
      </c>
      <c r="F7395" s="2" t="str">
        <f>HYPERLINK("http://www.otzar.org/book.asp?149926","גבורת יצחק")</f>
        <v>גבורת יצחק</v>
      </c>
    </row>
    <row r="7396" spans="1:6" x14ac:dyDescent="0.2">
      <c r="A7396" t="s">
        <v>13111</v>
      </c>
      <c r="B7396" t="s">
        <v>13067</v>
      </c>
      <c r="C7396" t="s">
        <v>454</v>
      </c>
      <c r="D7396" t="s">
        <v>14</v>
      </c>
      <c r="E7396" t="s">
        <v>84</v>
      </c>
      <c r="F7396" s="2" t="str">
        <f>HYPERLINK("http://www.otzar.org/book.asp?106675","גבורת יצחק - 26 כר'")</f>
        <v>גבורת יצחק - 26 כר'</v>
      </c>
    </row>
    <row r="7397" spans="1:6" x14ac:dyDescent="0.2">
      <c r="A7397" t="s">
        <v>13112</v>
      </c>
      <c r="B7397" t="s">
        <v>13113</v>
      </c>
      <c r="C7397" t="s">
        <v>454</v>
      </c>
      <c r="D7397" t="s">
        <v>52</v>
      </c>
      <c r="E7397" t="s">
        <v>144</v>
      </c>
      <c r="F7397" s="2" t="str">
        <f>HYPERLINK("http://www.otzar.org/book.asp?156389","גבורת לב")</f>
        <v>גבורת לב</v>
      </c>
    </row>
    <row r="7398" spans="1:6" x14ac:dyDescent="0.2">
      <c r="A7398" t="s">
        <v>13114</v>
      </c>
      <c r="B7398" t="s">
        <v>13115</v>
      </c>
      <c r="C7398" t="s">
        <v>3205</v>
      </c>
      <c r="D7398" t="s">
        <v>563</v>
      </c>
      <c r="E7398" t="s">
        <v>786</v>
      </c>
      <c r="F7398" s="2" t="str">
        <f>HYPERLINK("http://www.otzar.org/book.asp?179123","גבורת משה אהרן")</f>
        <v>גבורת משה אהרן</v>
      </c>
    </row>
    <row r="7399" spans="1:6" x14ac:dyDescent="0.2">
      <c r="A7399" t="s">
        <v>13116</v>
      </c>
      <c r="B7399" t="s">
        <v>13117</v>
      </c>
      <c r="C7399" t="s">
        <v>68</v>
      </c>
      <c r="D7399" t="s">
        <v>229</v>
      </c>
      <c r="E7399" t="s">
        <v>803</v>
      </c>
      <c r="F7399" s="2" t="str">
        <f>HYPERLINK("http://www.otzar.org/book.asp?156499","גבורת משה - 3 כר'")</f>
        <v>גבורת משה - 3 כר'</v>
      </c>
    </row>
    <row r="7400" spans="1:6" x14ac:dyDescent="0.2">
      <c r="A7400" t="s">
        <v>13118</v>
      </c>
      <c r="B7400" t="s">
        <v>13119</v>
      </c>
      <c r="C7400" t="s">
        <v>985</v>
      </c>
      <c r="D7400" t="s">
        <v>3208</v>
      </c>
      <c r="E7400" t="s">
        <v>119</v>
      </c>
      <c r="F7400" s="2" t="str">
        <f>HYPERLINK("http://www.otzar.org/book.asp?191748","גבורת ראשונים")</f>
        <v>גבורת ראשונים</v>
      </c>
    </row>
    <row r="7401" spans="1:6" x14ac:dyDescent="0.2">
      <c r="A7401" t="s">
        <v>13120</v>
      </c>
      <c r="B7401" t="s">
        <v>13121</v>
      </c>
      <c r="C7401" t="s">
        <v>1811</v>
      </c>
      <c r="D7401" t="s">
        <v>14</v>
      </c>
      <c r="E7401" t="s">
        <v>2071</v>
      </c>
      <c r="F7401" s="2" t="str">
        <f>HYPERLINK("http://www.otzar.org/book.asp?17457","גבורת שמשון - 2 כר'")</f>
        <v>גבורת שמשון - 2 כר'</v>
      </c>
    </row>
    <row r="7402" spans="1:6" x14ac:dyDescent="0.2">
      <c r="A7402" t="s">
        <v>13122</v>
      </c>
      <c r="B7402" t="s">
        <v>13123</v>
      </c>
      <c r="C7402" t="s">
        <v>366</v>
      </c>
      <c r="D7402" t="s">
        <v>412</v>
      </c>
      <c r="F7402" s="2" t="str">
        <f>HYPERLINK("http://www.otzar.org/book.asp?616219","גביע הכסף - 2 כר'")</f>
        <v>גביע הכסף - 2 כר'</v>
      </c>
    </row>
    <row r="7403" spans="1:6" x14ac:dyDescent="0.2">
      <c r="A7403" t="s">
        <v>13124</v>
      </c>
      <c r="B7403" t="s">
        <v>13125</v>
      </c>
      <c r="C7403" t="s">
        <v>466</v>
      </c>
      <c r="D7403" t="s">
        <v>14</v>
      </c>
      <c r="F7403" s="2" t="str">
        <f>HYPERLINK("http://www.otzar.org/book.asp?630757","גביע הכסף - 5 כר'")</f>
        <v>גביע הכסף - 5 כר'</v>
      </c>
    </row>
    <row r="7404" spans="1:6" x14ac:dyDescent="0.2">
      <c r="A7404" t="s">
        <v>13126</v>
      </c>
      <c r="B7404" t="s">
        <v>13127</v>
      </c>
      <c r="C7404" t="s">
        <v>23</v>
      </c>
      <c r="D7404" t="s">
        <v>52</v>
      </c>
      <c r="E7404" t="s">
        <v>158</v>
      </c>
      <c r="F7404" s="2" t="str">
        <f>HYPERLINK("http://www.otzar.org/book.asp?196542","גביעי גביע הכסף &lt;מהדורה חדשה&gt;")</f>
        <v>גביעי גביע הכסף &lt;מהדורה חדשה&gt;</v>
      </c>
    </row>
    <row r="7405" spans="1:6" x14ac:dyDescent="0.2">
      <c r="A7405" t="s">
        <v>13128</v>
      </c>
      <c r="B7405" t="s">
        <v>13127</v>
      </c>
      <c r="C7405" t="s">
        <v>5823</v>
      </c>
      <c r="D7405" t="s">
        <v>283</v>
      </c>
      <c r="E7405" t="s">
        <v>2098</v>
      </c>
      <c r="F7405" s="2" t="str">
        <f>HYPERLINK("http://www.otzar.org/book.asp?15840","גביעי גביע הכסף")</f>
        <v>גביעי גביע הכסף</v>
      </c>
    </row>
    <row r="7406" spans="1:6" x14ac:dyDescent="0.2">
      <c r="A7406" t="s">
        <v>13129</v>
      </c>
      <c r="B7406" t="s">
        <v>13130</v>
      </c>
      <c r="C7406" t="s">
        <v>466</v>
      </c>
      <c r="D7406" t="s">
        <v>14</v>
      </c>
      <c r="E7406" t="s">
        <v>104</v>
      </c>
      <c r="F7406" s="2" t="str">
        <f>HYPERLINK("http://www.otzar.org/book.asp?144408","גביעי זהב")</f>
        <v>גביעי זהב</v>
      </c>
    </row>
    <row r="7407" spans="1:6" x14ac:dyDescent="0.2">
      <c r="A7407" t="s">
        <v>13131</v>
      </c>
      <c r="B7407" t="s">
        <v>13132</v>
      </c>
      <c r="C7407" t="s">
        <v>5823</v>
      </c>
      <c r="D7407" t="s">
        <v>56</v>
      </c>
      <c r="E7407" t="s">
        <v>10</v>
      </c>
      <c r="F7407" s="2" t="str">
        <f>HYPERLINK("http://www.otzar.org/book.asp?10752","גבעות עולם")</f>
        <v>גבעות עולם</v>
      </c>
    </row>
    <row r="7408" spans="1:6" x14ac:dyDescent="0.2">
      <c r="A7408" t="s">
        <v>13131</v>
      </c>
      <c r="B7408" t="s">
        <v>13133</v>
      </c>
      <c r="C7408" t="s">
        <v>5334</v>
      </c>
      <c r="D7408" t="s">
        <v>76</v>
      </c>
      <c r="E7408" t="s">
        <v>158</v>
      </c>
      <c r="F7408" s="2" t="str">
        <f>HYPERLINK("http://www.otzar.org/book.asp?7451","גבעות עולם")</f>
        <v>גבעות עולם</v>
      </c>
    </row>
    <row r="7409" spans="1:6" x14ac:dyDescent="0.2">
      <c r="A7409" t="s">
        <v>13134</v>
      </c>
      <c r="B7409" t="s">
        <v>13135</v>
      </c>
      <c r="C7409" t="s">
        <v>20</v>
      </c>
      <c r="D7409" t="s">
        <v>52</v>
      </c>
      <c r="E7409" t="s">
        <v>933</v>
      </c>
      <c r="F7409" s="2" t="str">
        <f>HYPERLINK("http://www.otzar.org/book.asp?83763","גבעות עולם - 5 כר'")</f>
        <v>גבעות עולם - 5 כר'</v>
      </c>
    </row>
    <row r="7410" spans="1:6" x14ac:dyDescent="0.2">
      <c r="A7410" t="s">
        <v>13136</v>
      </c>
      <c r="B7410" t="s">
        <v>13137</v>
      </c>
      <c r="C7410" t="s">
        <v>13138</v>
      </c>
      <c r="D7410" t="s">
        <v>726</v>
      </c>
      <c r="E7410" t="s">
        <v>148</v>
      </c>
      <c r="F7410" s="2" t="str">
        <f>HYPERLINK("http://www.otzar.org/book.asp?147850","גבעת בנימין")</f>
        <v>גבעת בנימין</v>
      </c>
    </row>
    <row r="7411" spans="1:6" x14ac:dyDescent="0.2">
      <c r="A7411" t="s">
        <v>13136</v>
      </c>
      <c r="B7411" t="s">
        <v>5614</v>
      </c>
      <c r="C7411" t="s">
        <v>1885</v>
      </c>
      <c r="D7411" t="s">
        <v>4269</v>
      </c>
      <c r="E7411" t="s">
        <v>234</v>
      </c>
      <c r="F7411" s="2" t="str">
        <f>HYPERLINK("http://www.otzar.org/book.asp?200659","גבעת בנימין")</f>
        <v>גבעת בנימין</v>
      </c>
    </row>
    <row r="7412" spans="1:6" x14ac:dyDescent="0.2">
      <c r="A7412" t="s">
        <v>13136</v>
      </c>
      <c r="B7412" t="s">
        <v>13139</v>
      </c>
      <c r="C7412" t="s">
        <v>23</v>
      </c>
      <c r="D7412" t="s">
        <v>2375</v>
      </c>
      <c r="E7412" t="s">
        <v>15</v>
      </c>
      <c r="F7412" s="2" t="str">
        <f>HYPERLINK("http://www.otzar.org/book.asp?191601","גבעת בנימין")</f>
        <v>גבעת בנימין</v>
      </c>
    </row>
    <row r="7413" spans="1:6" x14ac:dyDescent="0.2">
      <c r="A7413" t="s">
        <v>13140</v>
      </c>
      <c r="B7413" t="s">
        <v>13141</v>
      </c>
      <c r="C7413" t="s">
        <v>725</v>
      </c>
      <c r="D7413" t="s">
        <v>726</v>
      </c>
      <c r="E7413" t="s">
        <v>154</v>
      </c>
      <c r="F7413" s="2" t="str">
        <f>HYPERLINK("http://www.otzar.org/book.asp?11057","גבעת הלבונה")</f>
        <v>גבעת הלבונה</v>
      </c>
    </row>
    <row r="7414" spans="1:6" x14ac:dyDescent="0.2">
      <c r="A7414" t="s">
        <v>13142</v>
      </c>
      <c r="B7414" t="s">
        <v>13143</v>
      </c>
      <c r="C7414" t="s">
        <v>244</v>
      </c>
      <c r="D7414" t="s">
        <v>80</v>
      </c>
      <c r="E7414" t="s">
        <v>144</v>
      </c>
      <c r="F7414" s="2" t="str">
        <f>HYPERLINK("http://www.otzar.org/book.asp?601413","גבעת הלבונה - סוטה")</f>
        <v>גבעת הלבונה - סוטה</v>
      </c>
    </row>
    <row r="7415" spans="1:6" x14ac:dyDescent="0.2">
      <c r="A7415" t="s">
        <v>13144</v>
      </c>
      <c r="B7415" t="s">
        <v>13145</v>
      </c>
      <c r="C7415" t="s">
        <v>5277</v>
      </c>
      <c r="D7415" t="s">
        <v>744</v>
      </c>
      <c r="F7415" s="2" t="str">
        <f>HYPERLINK("http://www.otzar.org/book.asp?619204","גבעת המורה - 2 כר'")</f>
        <v>גבעת המורה - 2 כר'</v>
      </c>
    </row>
    <row r="7416" spans="1:6" x14ac:dyDescent="0.2">
      <c r="A7416" t="s">
        <v>13146</v>
      </c>
      <c r="B7416" t="s">
        <v>13147</v>
      </c>
      <c r="C7416" t="s">
        <v>23</v>
      </c>
      <c r="D7416" t="s">
        <v>14</v>
      </c>
      <c r="F7416" s="2" t="str">
        <f>HYPERLINK("http://www.otzar.org/book.asp?621896","גבעת יוסף")</f>
        <v>גבעת יוסף</v>
      </c>
    </row>
    <row r="7417" spans="1:6" x14ac:dyDescent="0.2">
      <c r="A7417" t="s">
        <v>13148</v>
      </c>
      <c r="B7417" t="s">
        <v>13149</v>
      </c>
      <c r="C7417" t="s">
        <v>946</v>
      </c>
      <c r="D7417" t="s">
        <v>100</v>
      </c>
      <c r="E7417" t="s">
        <v>4779</v>
      </c>
      <c r="F7417" s="2" t="str">
        <f>HYPERLINK("http://www.otzar.org/book.asp?14126","גבעת פינחס - 2 כר'")</f>
        <v>גבעת פינחס - 2 כר'</v>
      </c>
    </row>
    <row r="7418" spans="1:6" x14ac:dyDescent="0.2">
      <c r="A7418" t="s">
        <v>13150</v>
      </c>
      <c r="B7418" t="s">
        <v>13151</v>
      </c>
      <c r="C7418" t="s">
        <v>1284</v>
      </c>
      <c r="D7418" t="s">
        <v>225</v>
      </c>
      <c r="E7418" t="s">
        <v>2098</v>
      </c>
      <c r="F7418" s="2" t="str">
        <f>HYPERLINK("http://www.otzar.org/book.asp?300317","גבעת פינחס")</f>
        <v>גבעת פינחס</v>
      </c>
    </row>
    <row r="7419" spans="1:6" x14ac:dyDescent="0.2">
      <c r="A7419" t="s">
        <v>13150</v>
      </c>
      <c r="B7419" t="s">
        <v>13152</v>
      </c>
      <c r="C7419" t="s">
        <v>581</v>
      </c>
      <c r="D7419" t="s">
        <v>13153</v>
      </c>
      <c r="E7419" t="s">
        <v>234</v>
      </c>
      <c r="F7419" s="2" t="str">
        <f>HYPERLINK("http://www.otzar.org/book.asp?300360","גבעת פינחס")</f>
        <v>גבעת פינחס</v>
      </c>
    </row>
    <row r="7420" spans="1:6" x14ac:dyDescent="0.2">
      <c r="A7420" t="s">
        <v>13154</v>
      </c>
      <c r="B7420" t="s">
        <v>13155</v>
      </c>
      <c r="C7420" t="s">
        <v>224</v>
      </c>
      <c r="D7420" t="s">
        <v>379</v>
      </c>
      <c r="E7420" t="s">
        <v>13156</v>
      </c>
      <c r="F7420" s="2" t="str">
        <f>HYPERLINK("http://www.otzar.org/book.asp?17389","גבעת פנחס")</f>
        <v>גבעת פנחס</v>
      </c>
    </row>
    <row r="7421" spans="1:6" x14ac:dyDescent="0.2">
      <c r="A7421" t="s">
        <v>13154</v>
      </c>
      <c r="B7421" t="s">
        <v>13157</v>
      </c>
      <c r="C7421" t="s">
        <v>390</v>
      </c>
      <c r="D7421" t="s">
        <v>14</v>
      </c>
      <c r="E7421" t="s">
        <v>144</v>
      </c>
      <c r="F7421" s="2" t="str">
        <f>HYPERLINK("http://www.otzar.org/book.asp?11878","גבעת פנחס")</f>
        <v>גבעת פנחס</v>
      </c>
    </row>
    <row r="7422" spans="1:6" x14ac:dyDescent="0.2">
      <c r="A7422" t="s">
        <v>13158</v>
      </c>
      <c r="B7422" t="s">
        <v>13159</v>
      </c>
      <c r="C7422" t="s">
        <v>422</v>
      </c>
      <c r="D7422" t="s">
        <v>21</v>
      </c>
      <c r="E7422" t="s">
        <v>202</v>
      </c>
      <c r="F7422" s="2" t="str">
        <f>HYPERLINK("http://www.otzar.org/book.asp?605690","גבעת פנחס - נדה")</f>
        <v>גבעת פנחס - נדה</v>
      </c>
    </row>
    <row r="7423" spans="1:6" x14ac:dyDescent="0.2">
      <c r="A7423" t="s">
        <v>13160</v>
      </c>
      <c r="B7423" t="s">
        <v>13149</v>
      </c>
      <c r="C7423" t="s">
        <v>1163</v>
      </c>
      <c r="D7423" t="s">
        <v>1163</v>
      </c>
      <c r="E7423" t="s">
        <v>172</v>
      </c>
      <c r="F7423" s="2" t="str">
        <f>HYPERLINK("http://www.otzar.org/book.asp?167672","גבעת פנחס - 8 כר'")</f>
        <v>גבעת פנחס - 8 כר'</v>
      </c>
    </row>
    <row r="7424" spans="1:6" x14ac:dyDescent="0.2">
      <c r="A7424" t="s">
        <v>13154</v>
      </c>
      <c r="B7424" t="s">
        <v>13161</v>
      </c>
      <c r="C7424" t="s">
        <v>946</v>
      </c>
      <c r="D7424" t="s">
        <v>1719</v>
      </c>
      <c r="E7424" t="s">
        <v>234</v>
      </c>
      <c r="F7424" s="2" t="str">
        <f>HYPERLINK("http://www.otzar.org/book.asp?300320","גבעת פנחס")</f>
        <v>גבעת פנחס</v>
      </c>
    </row>
    <row r="7425" spans="1:6" x14ac:dyDescent="0.2">
      <c r="A7425" t="s">
        <v>13162</v>
      </c>
      <c r="B7425" t="s">
        <v>13163</v>
      </c>
      <c r="C7425" t="s">
        <v>896</v>
      </c>
      <c r="D7425" t="s">
        <v>8579</v>
      </c>
      <c r="E7425" t="s">
        <v>8786</v>
      </c>
      <c r="F7425" s="2" t="str">
        <f>HYPERLINK("http://www.otzar.org/book.asp?890","גבעת פנחס - 2 כר'")</f>
        <v>גבעת פנחס - 2 כר'</v>
      </c>
    </row>
    <row r="7426" spans="1:6" x14ac:dyDescent="0.2">
      <c r="A7426" t="s">
        <v>13162</v>
      </c>
      <c r="B7426" t="s">
        <v>13164</v>
      </c>
      <c r="C7426" t="s">
        <v>473</v>
      </c>
      <c r="D7426" t="s">
        <v>56</v>
      </c>
      <c r="E7426" t="s">
        <v>234</v>
      </c>
      <c r="F7426" s="2" t="str">
        <f>HYPERLINK("http://www.otzar.org/book.asp?188620","גבעת פנחס - 2 כר'")</f>
        <v>גבעת פנחס - 2 כר'</v>
      </c>
    </row>
    <row r="7427" spans="1:6" x14ac:dyDescent="0.2">
      <c r="A7427" t="s">
        <v>13165</v>
      </c>
      <c r="B7427" t="s">
        <v>13166</v>
      </c>
      <c r="C7427" t="s">
        <v>3840</v>
      </c>
      <c r="D7427" t="s">
        <v>9</v>
      </c>
      <c r="E7427" t="s">
        <v>165</v>
      </c>
      <c r="F7427" s="2" t="str">
        <f>HYPERLINK("http://www.otzar.org/book.asp?51328","גבעת פנחס - 3 כר'")</f>
        <v>גבעת פנחס - 3 כר'</v>
      </c>
    </row>
    <row r="7428" spans="1:6" x14ac:dyDescent="0.2">
      <c r="A7428" t="s">
        <v>13154</v>
      </c>
      <c r="B7428" t="s">
        <v>13167</v>
      </c>
      <c r="C7428" t="s">
        <v>99</v>
      </c>
      <c r="D7428" t="s">
        <v>9896</v>
      </c>
      <c r="E7428" t="s">
        <v>15</v>
      </c>
      <c r="F7428" s="2" t="str">
        <f>HYPERLINK("http://www.otzar.org/book.asp?300361","גבעת פנחס")</f>
        <v>גבעת פנחס</v>
      </c>
    </row>
    <row r="7429" spans="1:6" x14ac:dyDescent="0.2">
      <c r="A7429" t="s">
        <v>13168</v>
      </c>
      <c r="B7429" t="s">
        <v>13169</v>
      </c>
      <c r="C7429" t="s">
        <v>133</v>
      </c>
      <c r="D7429" t="s">
        <v>412</v>
      </c>
      <c r="E7429" t="s">
        <v>144</v>
      </c>
      <c r="F7429" s="2" t="str">
        <f>HYPERLINK("http://www.otzar.org/book.asp?175708","גבעת שאול - 2 כר'")</f>
        <v>גבעת שאול - 2 כר'</v>
      </c>
    </row>
    <row r="7430" spans="1:6" x14ac:dyDescent="0.2">
      <c r="A7430" t="s">
        <v>13170</v>
      </c>
      <c r="B7430" t="s">
        <v>98</v>
      </c>
      <c r="C7430" t="s">
        <v>908</v>
      </c>
      <c r="D7430" t="s">
        <v>13171</v>
      </c>
      <c r="E7430" t="s">
        <v>246</v>
      </c>
      <c r="F7430" s="2" t="str">
        <f>HYPERLINK("http://www.otzar.org/book.asp?176738","גבעת שאול")</f>
        <v>גבעת שאול</v>
      </c>
    </row>
    <row r="7431" spans="1:6" x14ac:dyDescent="0.2">
      <c r="A7431" t="s">
        <v>13170</v>
      </c>
      <c r="B7431" t="s">
        <v>13172</v>
      </c>
      <c r="C7431" t="s">
        <v>617</v>
      </c>
      <c r="D7431" t="s">
        <v>1459</v>
      </c>
      <c r="E7431" t="s">
        <v>733</v>
      </c>
      <c r="F7431" s="2" t="str">
        <f>HYPERLINK("http://www.otzar.org/book.asp?108447","גבעת שאול")</f>
        <v>גבעת שאול</v>
      </c>
    </row>
    <row r="7432" spans="1:6" x14ac:dyDescent="0.2">
      <c r="A7432" t="s">
        <v>13170</v>
      </c>
      <c r="B7432" t="s">
        <v>4638</v>
      </c>
      <c r="C7432" t="s">
        <v>454</v>
      </c>
      <c r="D7432" t="s">
        <v>14</v>
      </c>
      <c r="E7432" t="s">
        <v>154</v>
      </c>
      <c r="F7432" s="2" t="str">
        <f>HYPERLINK("http://www.otzar.org/book.asp?151216","גבעת שאול")</f>
        <v>גבעת שאול</v>
      </c>
    </row>
    <row r="7433" spans="1:6" x14ac:dyDescent="0.2">
      <c r="A7433" t="s">
        <v>13170</v>
      </c>
      <c r="B7433" t="s">
        <v>13173</v>
      </c>
      <c r="C7433" t="s">
        <v>286</v>
      </c>
      <c r="D7433" t="s">
        <v>2293</v>
      </c>
      <c r="E7433" t="s">
        <v>104</v>
      </c>
      <c r="F7433" s="2" t="str">
        <f>HYPERLINK("http://www.otzar.org/book.asp?175405","גבעת שאול")</f>
        <v>גבעת שאול</v>
      </c>
    </row>
    <row r="7434" spans="1:6" x14ac:dyDescent="0.2">
      <c r="A7434" t="s">
        <v>13170</v>
      </c>
      <c r="B7434" t="s">
        <v>13174</v>
      </c>
      <c r="C7434" t="s">
        <v>4404</v>
      </c>
      <c r="D7434" t="s">
        <v>1023</v>
      </c>
      <c r="E7434" t="s">
        <v>559</v>
      </c>
      <c r="F7434" s="2" t="str">
        <f>HYPERLINK("http://www.otzar.org/book.asp?300362","גבעת שאול")</f>
        <v>גבעת שאול</v>
      </c>
    </row>
    <row r="7435" spans="1:6" x14ac:dyDescent="0.2">
      <c r="A7435" t="s">
        <v>13170</v>
      </c>
      <c r="B7435" t="s">
        <v>13175</v>
      </c>
      <c r="C7435" t="s">
        <v>854</v>
      </c>
      <c r="D7435" t="s">
        <v>283</v>
      </c>
      <c r="E7435" t="s">
        <v>4940</v>
      </c>
      <c r="F7435" s="2" t="str">
        <f>HYPERLINK("http://www.otzar.org/book.asp?15943","גבעת שאול")</f>
        <v>גבעת שאול</v>
      </c>
    </row>
    <row r="7436" spans="1:6" x14ac:dyDescent="0.2">
      <c r="A7436" t="s">
        <v>13170</v>
      </c>
      <c r="B7436" t="s">
        <v>13176</v>
      </c>
      <c r="C7436" t="s">
        <v>1228</v>
      </c>
      <c r="D7436" t="s">
        <v>13177</v>
      </c>
      <c r="E7436" t="s">
        <v>158</v>
      </c>
      <c r="F7436" s="2" t="str">
        <f>HYPERLINK("http://www.otzar.org/book.asp?196319","גבעת שאול")</f>
        <v>גבעת שאול</v>
      </c>
    </row>
    <row r="7437" spans="1:6" x14ac:dyDescent="0.2">
      <c r="A7437" t="s">
        <v>13170</v>
      </c>
      <c r="B7437" t="s">
        <v>10593</v>
      </c>
      <c r="C7437" t="s">
        <v>5903</v>
      </c>
      <c r="D7437" t="s">
        <v>283</v>
      </c>
      <c r="E7437" t="s">
        <v>219</v>
      </c>
      <c r="F7437" s="2" t="str">
        <f>HYPERLINK("http://www.otzar.org/book.asp?156493","גבעת שאול")</f>
        <v>גבעת שאול</v>
      </c>
    </row>
    <row r="7438" spans="1:6" x14ac:dyDescent="0.2">
      <c r="A7438" t="s">
        <v>13170</v>
      </c>
      <c r="B7438" t="s">
        <v>5112</v>
      </c>
      <c r="C7438" t="s">
        <v>1458</v>
      </c>
      <c r="D7438" t="s">
        <v>267</v>
      </c>
      <c r="E7438" t="s">
        <v>234</v>
      </c>
      <c r="F7438" s="2" t="str">
        <f>HYPERLINK("http://www.otzar.org/book.asp?16611","גבעת שאול")</f>
        <v>גבעת שאול</v>
      </c>
    </row>
    <row r="7439" spans="1:6" x14ac:dyDescent="0.2">
      <c r="A7439" t="s">
        <v>13168</v>
      </c>
      <c r="B7439" t="s">
        <v>13178</v>
      </c>
      <c r="C7439" t="s">
        <v>6895</v>
      </c>
      <c r="D7439" t="s">
        <v>60</v>
      </c>
      <c r="E7439" t="s">
        <v>154</v>
      </c>
      <c r="F7439" s="2" t="str">
        <f>HYPERLINK("http://www.otzar.org/book.asp?102768","גבעת שאול - 2 כר'")</f>
        <v>גבעת שאול - 2 כר'</v>
      </c>
    </row>
    <row r="7440" spans="1:6" x14ac:dyDescent="0.2">
      <c r="A7440" t="s">
        <v>13179</v>
      </c>
      <c r="B7440" t="s">
        <v>9434</v>
      </c>
      <c r="C7440" t="s">
        <v>68</v>
      </c>
      <c r="D7440" t="s">
        <v>14</v>
      </c>
      <c r="F7440" s="2" t="str">
        <f>HYPERLINK("http://www.otzar.org/book.asp?162794","גדול בישראל - 2 כר'")</f>
        <v>גדול בישראל - 2 כר'</v>
      </c>
    </row>
    <row r="7441" spans="1:6" x14ac:dyDescent="0.2">
      <c r="A7441" t="s">
        <v>13180</v>
      </c>
      <c r="B7441" t="s">
        <v>13181</v>
      </c>
      <c r="C7441" t="s">
        <v>5823</v>
      </c>
      <c r="D7441" t="s">
        <v>6201</v>
      </c>
      <c r="E7441" t="s">
        <v>104</v>
      </c>
      <c r="F7441" s="2" t="str">
        <f>HYPERLINK("http://www.otzar.org/book.asp?188622","גדול בנים")</f>
        <v>גדול בנים</v>
      </c>
    </row>
    <row r="7442" spans="1:6" x14ac:dyDescent="0.2">
      <c r="A7442" t="s">
        <v>13182</v>
      </c>
      <c r="B7442" t="s">
        <v>1093</v>
      </c>
      <c r="C7442" t="s">
        <v>71</v>
      </c>
      <c r="D7442" t="s">
        <v>14</v>
      </c>
      <c r="F7442" s="2" t="str">
        <f>HYPERLINK("http://www.otzar.org/book.asp?612686","גדול המצווה ועושה - בר מצוה")</f>
        <v>גדול המצווה ועושה - בר מצוה</v>
      </c>
    </row>
    <row r="7443" spans="1:6" x14ac:dyDescent="0.2">
      <c r="A7443" t="s">
        <v>13183</v>
      </c>
      <c r="B7443" t="s">
        <v>13184</v>
      </c>
      <c r="C7443" t="s">
        <v>23</v>
      </c>
      <c r="D7443" t="s">
        <v>90</v>
      </c>
      <c r="E7443" t="s">
        <v>15</v>
      </c>
      <c r="F7443" s="2" t="str">
        <f>HYPERLINK("http://www.otzar.org/book.asp?191776","גדול המצווה")</f>
        <v>גדול המצווה</v>
      </c>
    </row>
    <row r="7444" spans="1:6" x14ac:dyDescent="0.2">
      <c r="A7444" t="s">
        <v>13185</v>
      </c>
      <c r="B7444" t="s">
        <v>13186</v>
      </c>
      <c r="C7444" t="s">
        <v>244</v>
      </c>
      <c r="D7444" t="s">
        <v>13187</v>
      </c>
      <c r="E7444" t="s">
        <v>234</v>
      </c>
      <c r="F7444" s="2" t="str">
        <f>HYPERLINK("http://www.otzar.org/book.asp?600405","גדולה התשובה")</f>
        <v>גדולה התשובה</v>
      </c>
    </row>
    <row r="7445" spans="1:6" x14ac:dyDescent="0.2">
      <c r="A7445" t="s">
        <v>13188</v>
      </c>
      <c r="B7445" t="s">
        <v>107</v>
      </c>
      <c r="C7445" t="s">
        <v>785</v>
      </c>
      <c r="D7445" t="s">
        <v>14</v>
      </c>
      <c r="E7445" t="s">
        <v>714</v>
      </c>
      <c r="F7445" s="2" t="str">
        <f>HYPERLINK("http://www.otzar.org/book.asp?164065","גדולה מלאכה")</f>
        <v>גדולה מלאכה</v>
      </c>
    </row>
    <row r="7446" spans="1:6" x14ac:dyDescent="0.2">
      <c r="A7446" t="s">
        <v>13189</v>
      </c>
      <c r="B7446" t="s">
        <v>3166</v>
      </c>
      <c r="C7446" t="s">
        <v>87</v>
      </c>
      <c r="D7446" t="s">
        <v>14</v>
      </c>
      <c r="E7446" t="s">
        <v>15</v>
      </c>
      <c r="F7446" s="2" t="str">
        <f>HYPERLINK("http://www.otzar.org/book.asp?200382","גדולה תשובה - א")</f>
        <v>גדולה תשובה - א</v>
      </c>
    </row>
    <row r="7447" spans="1:6" x14ac:dyDescent="0.2">
      <c r="A7447" t="s">
        <v>13190</v>
      </c>
      <c r="B7447" t="s">
        <v>7330</v>
      </c>
      <c r="C7447" t="s">
        <v>106</v>
      </c>
      <c r="D7447" t="s">
        <v>14</v>
      </c>
      <c r="E7447" t="s">
        <v>583</v>
      </c>
      <c r="F7447" s="2" t="str">
        <f>HYPERLINK("http://www.otzar.org/book.asp?154522","גדולי ארץ ישראל")</f>
        <v>גדולי ארץ ישראל</v>
      </c>
    </row>
    <row r="7448" spans="1:6" x14ac:dyDescent="0.2">
      <c r="A7448" t="s">
        <v>13191</v>
      </c>
      <c r="B7448" t="s">
        <v>13192</v>
      </c>
      <c r="C7448" t="s">
        <v>87</v>
      </c>
      <c r="D7448" t="s">
        <v>52</v>
      </c>
      <c r="E7448" t="s">
        <v>13193</v>
      </c>
      <c r="F7448" s="2" t="str">
        <f>HYPERLINK("http://www.otzar.org/book.asp?143213","גדולי הדורות על משמר מנהג אשכנז")</f>
        <v>גדולי הדורות על משמר מנהג אשכנז</v>
      </c>
    </row>
    <row r="7449" spans="1:6" x14ac:dyDescent="0.2">
      <c r="A7449" t="s">
        <v>13194</v>
      </c>
      <c r="B7449" t="s">
        <v>1091</v>
      </c>
      <c r="C7449" t="s">
        <v>767</v>
      </c>
      <c r="D7449" t="s">
        <v>14</v>
      </c>
      <c r="E7449" t="s">
        <v>119</v>
      </c>
      <c r="F7449" s="2" t="str">
        <f>HYPERLINK("http://www.otzar.org/book.asp?157528","גדולי הדורות - 3 כר'")</f>
        <v>גדולי הדורות - 3 כר'</v>
      </c>
    </row>
    <row r="7450" spans="1:6" x14ac:dyDescent="0.2">
      <c r="A7450" t="s">
        <v>13195</v>
      </c>
      <c r="B7450" t="s">
        <v>13196</v>
      </c>
      <c r="C7450" t="s">
        <v>1208</v>
      </c>
      <c r="D7450" t="s">
        <v>14</v>
      </c>
      <c r="E7450" t="s">
        <v>144</v>
      </c>
      <c r="F7450" s="2" t="str">
        <f>HYPERLINK("http://www.otzar.org/book.asp?605962","גדולי הראשונים - סוכה")</f>
        <v>גדולי הראשונים - סוכה</v>
      </c>
    </row>
    <row r="7451" spans="1:6" x14ac:dyDescent="0.2">
      <c r="A7451" t="s">
        <v>13197</v>
      </c>
      <c r="B7451" t="s">
        <v>1733</v>
      </c>
      <c r="C7451" t="s">
        <v>1570</v>
      </c>
      <c r="D7451" t="s">
        <v>52</v>
      </c>
      <c r="E7451" t="s">
        <v>119</v>
      </c>
      <c r="F7451" s="2" t="str">
        <f>HYPERLINK("http://www.otzar.org/book.asp?60711","גדולי חסידי בעלז - 2 כר'")</f>
        <v>גדולי חסידי בעלז - 2 כר'</v>
      </c>
    </row>
    <row r="7452" spans="1:6" x14ac:dyDescent="0.2">
      <c r="A7452" t="s">
        <v>13198</v>
      </c>
      <c r="B7452" t="s">
        <v>13199</v>
      </c>
      <c r="C7452" t="s">
        <v>146</v>
      </c>
      <c r="D7452" t="s">
        <v>412</v>
      </c>
      <c r="E7452" t="s">
        <v>226</v>
      </c>
      <c r="F7452" s="2" t="str">
        <f>HYPERLINK("http://www.otzar.org/book.asp?183046","גדולי חסידי מונקאטש")</f>
        <v>גדולי חסידי מונקאטש</v>
      </c>
    </row>
    <row r="7453" spans="1:6" x14ac:dyDescent="0.2">
      <c r="A7453" t="s">
        <v>13200</v>
      </c>
      <c r="B7453" t="s">
        <v>206</v>
      </c>
      <c r="C7453" t="s">
        <v>244</v>
      </c>
      <c r="D7453" t="s">
        <v>367</v>
      </c>
      <c r="F7453" s="2" t="str">
        <f>HYPERLINK("http://www.otzar.org/book.asp?611626","גדולי ישראל בביתם")</f>
        <v>גדולי ישראל בביתם</v>
      </c>
    </row>
    <row r="7454" spans="1:6" x14ac:dyDescent="0.2">
      <c r="A7454" t="s">
        <v>13201</v>
      </c>
      <c r="B7454" t="s">
        <v>1733</v>
      </c>
      <c r="C7454" t="s">
        <v>63</v>
      </c>
      <c r="D7454" t="s">
        <v>52</v>
      </c>
      <c r="E7454" t="s">
        <v>119</v>
      </c>
      <c r="F7454" s="2" t="str">
        <f>HYPERLINK("http://www.otzar.org/book.asp?158028","גדולי ישראל בילדותם - 2 כר'")</f>
        <v>גדולי ישראל בילדותם - 2 כר'</v>
      </c>
    </row>
    <row r="7455" spans="1:6" x14ac:dyDescent="0.2">
      <c r="A7455" t="s">
        <v>13202</v>
      </c>
      <c r="B7455" t="s">
        <v>11522</v>
      </c>
      <c r="C7455" t="s">
        <v>106</v>
      </c>
      <c r="D7455" t="s">
        <v>260</v>
      </c>
      <c r="E7455" t="s">
        <v>119</v>
      </c>
      <c r="F7455" s="2" t="str">
        <f>HYPERLINK("http://www.otzar.org/book.asp?605023","גדולי ישראל בשחרותם")</f>
        <v>גדולי ישראל בשחרותם</v>
      </c>
    </row>
    <row r="7456" spans="1:6" x14ac:dyDescent="0.2">
      <c r="A7456" t="s">
        <v>13203</v>
      </c>
      <c r="B7456" t="s">
        <v>2325</v>
      </c>
      <c r="C7456" t="s">
        <v>13204</v>
      </c>
      <c r="D7456" t="s">
        <v>52</v>
      </c>
      <c r="E7456" t="s">
        <v>733</v>
      </c>
      <c r="F7456" s="2" t="str">
        <f>HYPERLINK("http://www.otzar.org/book.asp?157478","גדולי ישראל בתימן")</f>
        <v>גדולי ישראל בתימן</v>
      </c>
    </row>
    <row r="7457" spans="1:6" x14ac:dyDescent="0.2">
      <c r="A7457" t="s">
        <v>13205</v>
      </c>
      <c r="B7457" t="s">
        <v>13206</v>
      </c>
      <c r="C7457" t="s">
        <v>68</v>
      </c>
      <c r="D7457" t="s">
        <v>367</v>
      </c>
      <c r="E7457" t="s">
        <v>1438</v>
      </c>
      <c r="F7457" s="2" t="str">
        <f>HYPERLINK("http://www.otzar.org/book.asp?608233","גדולי ישראל והזוהר")</f>
        <v>גדולי ישראל והזוהר</v>
      </c>
    </row>
    <row r="7458" spans="1:6" x14ac:dyDescent="0.2">
      <c r="A7458" t="s">
        <v>13207</v>
      </c>
      <c r="B7458" t="s">
        <v>13208</v>
      </c>
      <c r="C7458" t="s">
        <v>989</v>
      </c>
      <c r="D7458" t="s">
        <v>216</v>
      </c>
      <c r="E7458" t="s">
        <v>119</v>
      </c>
      <c r="F7458" s="2" t="str">
        <f>HYPERLINK("http://www.otzar.org/book.asp?156777","גדולי ישראל מקדשי שביעי")</f>
        <v>גדולי ישראל מקדשי שביעי</v>
      </c>
    </row>
    <row r="7459" spans="1:6" x14ac:dyDescent="0.2">
      <c r="A7459" t="s">
        <v>13209</v>
      </c>
      <c r="B7459" t="s">
        <v>13210</v>
      </c>
      <c r="E7459" t="s">
        <v>104</v>
      </c>
      <c r="F7459" s="2" t="str">
        <f>HYPERLINK("http://www.otzar.org/book.asp?193670","גדולי ישראל קוראים לך")</f>
        <v>גדולי ישראל קוראים לך</v>
      </c>
    </row>
    <row r="7460" spans="1:6" x14ac:dyDescent="0.2">
      <c r="A7460" t="s">
        <v>13211</v>
      </c>
      <c r="B7460" t="s">
        <v>13212</v>
      </c>
      <c r="C7460" t="s">
        <v>538</v>
      </c>
      <c r="D7460" t="s">
        <v>1495</v>
      </c>
      <c r="E7460" t="s">
        <v>43</v>
      </c>
      <c r="F7460" s="2" t="str">
        <f>HYPERLINK("http://www.otzar.org/book.asp?101437","גדולי צבי רבא")</f>
        <v>גדולי צבי רבא</v>
      </c>
    </row>
    <row r="7461" spans="1:6" x14ac:dyDescent="0.2">
      <c r="A7461" t="s">
        <v>13213</v>
      </c>
      <c r="B7461" t="s">
        <v>9611</v>
      </c>
      <c r="C7461" t="s">
        <v>427</v>
      </c>
      <c r="D7461" t="s">
        <v>14</v>
      </c>
      <c r="E7461" t="s">
        <v>15</v>
      </c>
      <c r="F7461" s="2" t="str">
        <f>HYPERLINK("http://www.otzar.org/book.asp?171086","גדולי קש בשביעית")</f>
        <v>גדולי קש בשביעית</v>
      </c>
    </row>
    <row r="7462" spans="1:6" x14ac:dyDescent="0.2">
      <c r="A7462" t="s">
        <v>13214</v>
      </c>
      <c r="B7462" t="s">
        <v>13215</v>
      </c>
      <c r="C7462" t="s">
        <v>940</v>
      </c>
      <c r="D7462" t="s">
        <v>14</v>
      </c>
      <c r="F7462" s="2" t="str">
        <f>HYPERLINK("http://www.otzar.org/book.asp?190748","גדולי רבני טונסיה ולוב")</f>
        <v>גדולי רבני טונסיה ולוב</v>
      </c>
    </row>
    <row r="7463" spans="1:6" x14ac:dyDescent="0.2">
      <c r="A7463" t="s">
        <v>13216</v>
      </c>
      <c r="B7463" t="s">
        <v>13217</v>
      </c>
      <c r="C7463" t="s">
        <v>1268</v>
      </c>
      <c r="D7463" t="s">
        <v>14</v>
      </c>
      <c r="E7463" t="s">
        <v>119</v>
      </c>
      <c r="F7463" s="2" t="str">
        <f>HYPERLINK("http://www.otzar.org/book.asp?163721","גדולי רבני מארוקו ואלגיריה")</f>
        <v>גדולי רבני מארוקו ואלגיריה</v>
      </c>
    </row>
    <row r="7464" spans="1:6" x14ac:dyDescent="0.2">
      <c r="A7464" t="s">
        <v>13218</v>
      </c>
      <c r="B7464" t="s">
        <v>13219</v>
      </c>
      <c r="C7464" t="s">
        <v>176</v>
      </c>
      <c r="D7464" t="s">
        <v>14</v>
      </c>
      <c r="E7464" t="s">
        <v>119</v>
      </c>
      <c r="F7464" s="2" t="str">
        <f>HYPERLINK("http://www.otzar.org/book.asp?84975","גדולי רבני סוריה והלבנון")</f>
        <v>גדולי רבני סוריה והלבנון</v>
      </c>
    </row>
    <row r="7465" spans="1:6" x14ac:dyDescent="0.2">
      <c r="A7465" t="s">
        <v>13220</v>
      </c>
      <c r="B7465" t="s">
        <v>13221</v>
      </c>
      <c r="C7465" t="s">
        <v>785</v>
      </c>
      <c r="D7465" t="s">
        <v>14</v>
      </c>
      <c r="E7465" t="s">
        <v>104</v>
      </c>
      <c r="F7465" s="2" t="str">
        <f>HYPERLINK("http://www.otzar.org/book.asp?189894","גדולי רבני תימן")</f>
        <v>גדולי רבני תימן</v>
      </c>
    </row>
    <row r="7466" spans="1:6" x14ac:dyDescent="0.2">
      <c r="A7466" t="s">
        <v>13222</v>
      </c>
      <c r="B7466" t="s">
        <v>13223</v>
      </c>
      <c r="C7466" t="s">
        <v>473</v>
      </c>
      <c r="D7466" t="s">
        <v>2295</v>
      </c>
      <c r="E7466" t="s">
        <v>104</v>
      </c>
      <c r="F7466" s="2" t="str">
        <f>HYPERLINK("http://www.otzar.org/book.asp?51316","גדולים מעשה ה")</f>
        <v>גדולים מעשה ה</v>
      </c>
    </row>
    <row r="7467" spans="1:6" x14ac:dyDescent="0.2">
      <c r="A7467" t="s">
        <v>13224</v>
      </c>
      <c r="B7467" t="s">
        <v>13225</v>
      </c>
      <c r="C7467" t="s">
        <v>985</v>
      </c>
      <c r="D7467" t="s">
        <v>27</v>
      </c>
      <c r="E7467" t="s">
        <v>140</v>
      </c>
      <c r="F7467" s="2" t="str">
        <f>HYPERLINK("http://www.otzar.org/book.asp?10536","גדולים מעשה צדיקים")</f>
        <v>גדולים מעשה צדיקים</v>
      </c>
    </row>
    <row r="7468" spans="1:6" x14ac:dyDescent="0.2">
      <c r="A7468" t="s">
        <v>13226</v>
      </c>
      <c r="B7468" t="s">
        <v>13227</v>
      </c>
      <c r="C7468" t="s">
        <v>20</v>
      </c>
      <c r="D7468" t="s">
        <v>14</v>
      </c>
      <c r="E7468" t="s">
        <v>202</v>
      </c>
      <c r="F7468" s="2" t="str">
        <f>HYPERLINK("http://www.otzar.org/book.asp?625359","גדולים מעשי חייא")</f>
        <v>גדולים מעשי חייא</v>
      </c>
    </row>
    <row r="7469" spans="1:6" x14ac:dyDescent="0.2">
      <c r="A7469" t="s">
        <v>13228</v>
      </c>
      <c r="B7469" t="s">
        <v>13229</v>
      </c>
      <c r="C7469" t="s">
        <v>619</v>
      </c>
      <c r="D7469" t="s">
        <v>13230</v>
      </c>
      <c r="E7469" t="s">
        <v>119</v>
      </c>
      <c r="F7469" s="2" t="str">
        <f>HYPERLINK("http://www.otzar.org/book.asp?24166","גדולים צדיקים")</f>
        <v>גדולים צדיקים</v>
      </c>
    </row>
    <row r="7470" spans="1:6" x14ac:dyDescent="0.2">
      <c r="A7470" t="s">
        <v>13228</v>
      </c>
      <c r="B7470" t="s">
        <v>13231</v>
      </c>
      <c r="C7470" t="s">
        <v>585</v>
      </c>
      <c r="D7470" t="s">
        <v>14</v>
      </c>
      <c r="E7470" t="s">
        <v>104</v>
      </c>
      <c r="F7470" s="2" t="str">
        <f>HYPERLINK("http://www.otzar.org/book.asp?154807","גדולים צדיקים")</f>
        <v>גדולים צדיקים</v>
      </c>
    </row>
    <row r="7471" spans="1:6" x14ac:dyDescent="0.2">
      <c r="A7471" t="s">
        <v>13232</v>
      </c>
      <c r="B7471" t="s">
        <v>13233</v>
      </c>
      <c r="C7471" t="s">
        <v>8</v>
      </c>
      <c r="D7471" t="s">
        <v>691</v>
      </c>
      <c r="E7471" t="s">
        <v>975</v>
      </c>
      <c r="F7471" s="2" t="str">
        <f>HYPERLINK("http://www.otzar.org/book.asp?300355","גדולת אברהם")</f>
        <v>גדולת אברהם</v>
      </c>
    </row>
    <row r="7472" spans="1:6" x14ac:dyDescent="0.2">
      <c r="A7472" t="s">
        <v>13234</v>
      </c>
      <c r="B7472" t="s">
        <v>13235</v>
      </c>
      <c r="C7472" t="s">
        <v>151</v>
      </c>
      <c r="D7472" t="s">
        <v>646</v>
      </c>
      <c r="E7472" t="s">
        <v>119</v>
      </c>
      <c r="F7472" s="2" t="str">
        <f>HYPERLINK("http://www.otzar.org/book.asp?623508","גדולת גדליהו")</f>
        <v>גדולת גדליהו</v>
      </c>
    </row>
    <row r="7473" spans="1:6" x14ac:dyDescent="0.2">
      <c r="A7473" t="s">
        <v>13236</v>
      </c>
      <c r="B7473" t="s">
        <v>206</v>
      </c>
      <c r="C7473" t="s">
        <v>547</v>
      </c>
      <c r="D7473" t="s">
        <v>2968</v>
      </c>
      <c r="E7473" t="s">
        <v>119</v>
      </c>
      <c r="F7473" s="2" t="str">
        <f>HYPERLINK("http://www.otzar.org/book.asp?153631","גדולת החתם סופר")</f>
        <v>גדולת החתם סופר</v>
      </c>
    </row>
    <row r="7474" spans="1:6" x14ac:dyDescent="0.2">
      <c r="A7474" t="s">
        <v>13237</v>
      </c>
      <c r="B7474" t="s">
        <v>13238</v>
      </c>
      <c r="C7474" t="s">
        <v>624</v>
      </c>
      <c r="D7474" t="s">
        <v>52</v>
      </c>
      <c r="E7474" t="s">
        <v>733</v>
      </c>
      <c r="F7474" s="2" t="str">
        <f>HYPERLINK("http://www.otzar.org/book.asp?179240","גדולת הצדיקים")</f>
        <v>גדולת הצדיקים</v>
      </c>
    </row>
    <row r="7475" spans="1:6" x14ac:dyDescent="0.2">
      <c r="A7475" t="s">
        <v>13239</v>
      </c>
      <c r="B7475" t="s">
        <v>13240</v>
      </c>
      <c r="C7475" t="s">
        <v>980</v>
      </c>
      <c r="D7475" t="s">
        <v>225</v>
      </c>
      <c r="E7475" t="s">
        <v>13241</v>
      </c>
      <c r="F7475" s="2" t="str">
        <f>HYPERLINK("http://www.otzar.org/book.asp?644","גדולת יהונתן - 2 כר'")</f>
        <v>גדולת יהונתן - 2 כר'</v>
      </c>
    </row>
    <row r="7476" spans="1:6" x14ac:dyDescent="0.2">
      <c r="A7476" t="s">
        <v>13242</v>
      </c>
      <c r="B7476" t="s">
        <v>3768</v>
      </c>
      <c r="C7476" t="s">
        <v>20</v>
      </c>
      <c r="D7476" t="s">
        <v>14</v>
      </c>
      <c r="E7476" t="s">
        <v>119</v>
      </c>
      <c r="F7476" s="2" t="str">
        <f>HYPERLINK("http://www.otzar.org/book.asp?169058","גדולת יהושע")</f>
        <v>גדולת יהושע</v>
      </c>
    </row>
    <row r="7477" spans="1:6" x14ac:dyDescent="0.2">
      <c r="A7477" t="s">
        <v>13242</v>
      </c>
      <c r="B7477" t="s">
        <v>13243</v>
      </c>
      <c r="C7477" t="s">
        <v>940</v>
      </c>
      <c r="D7477" t="s">
        <v>412</v>
      </c>
      <c r="E7477" t="s">
        <v>104</v>
      </c>
      <c r="F7477" s="2" t="str">
        <f>HYPERLINK("http://www.otzar.org/book.asp?628238","גדולת יהושע")</f>
        <v>גדולת יהושע</v>
      </c>
    </row>
    <row r="7478" spans="1:6" x14ac:dyDescent="0.2">
      <c r="A7478" t="s">
        <v>13244</v>
      </c>
      <c r="B7478" t="s">
        <v>13245</v>
      </c>
      <c r="C7478" t="s">
        <v>558</v>
      </c>
      <c r="D7478" t="s">
        <v>1913</v>
      </c>
      <c r="F7478" s="2" t="str">
        <f>HYPERLINK("http://www.otzar.org/book.asp?604150","גדולת יוסף")</f>
        <v>גדולת יוסף</v>
      </c>
    </row>
    <row r="7479" spans="1:6" x14ac:dyDescent="0.2">
      <c r="A7479" t="s">
        <v>13246</v>
      </c>
      <c r="B7479" t="s">
        <v>13247</v>
      </c>
      <c r="C7479" t="s">
        <v>13248</v>
      </c>
      <c r="D7479" t="s">
        <v>756</v>
      </c>
      <c r="E7479" t="s">
        <v>140</v>
      </c>
      <c r="F7479" s="2" t="str">
        <f>HYPERLINK("http://www.otzar.org/book.asp?106149","גדולת מרדכי &lt;קדושת ישראל&gt;")</f>
        <v>גדולת מרדכי &lt;קדושת ישראל&gt;</v>
      </c>
    </row>
    <row r="7480" spans="1:6" x14ac:dyDescent="0.2">
      <c r="A7480" t="s">
        <v>13249</v>
      </c>
      <c r="B7480" t="s">
        <v>13250</v>
      </c>
      <c r="C7480" t="s">
        <v>143</v>
      </c>
      <c r="D7480" t="s">
        <v>14</v>
      </c>
      <c r="E7480" t="s">
        <v>933</v>
      </c>
      <c r="F7480" s="2" t="str">
        <f>HYPERLINK("http://www.otzar.org/book.asp?8630","גדולת מרדכי ואגודת אזוב - 3 כר'")</f>
        <v>גדולת מרדכי ואגודת אזוב - 3 כר'</v>
      </c>
    </row>
    <row r="7481" spans="1:6" x14ac:dyDescent="0.2">
      <c r="A7481" t="s">
        <v>13251</v>
      </c>
      <c r="B7481" t="s">
        <v>13238</v>
      </c>
      <c r="C7481" t="s">
        <v>13252</v>
      </c>
      <c r="D7481" t="s">
        <v>283</v>
      </c>
      <c r="E7481" t="s">
        <v>140</v>
      </c>
      <c r="F7481" s="2" t="str">
        <f>HYPERLINK("http://www.otzar.org/book.asp?200325","גדולת מרדכי וגדולת הצדיקים - א-ב")</f>
        <v>גדולת מרדכי וגדולת הצדיקים - א-ב</v>
      </c>
    </row>
    <row r="7482" spans="1:6" x14ac:dyDescent="0.2">
      <c r="A7482" t="s">
        <v>13253</v>
      </c>
      <c r="B7482" t="s">
        <v>12077</v>
      </c>
      <c r="D7482" t="s">
        <v>14</v>
      </c>
      <c r="E7482" t="s">
        <v>158</v>
      </c>
      <c r="F7482" s="2" t="str">
        <f>HYPERLINK("http://www.otzar.org/book.asp?605851","גדולת מרדכי מדרש אבי - 2 כר'")</f>
        <v>גדולת מרדכי מדרש אבי - 2 כר'</v>
      </c>
    </row>
    <row r="7483" spans="1:6" x14ac:dyDescent="0.2">
      <c r="A7483" t="s">
        <v>13254</v>
      </c>
      <c r="B7483" t="s">
        <v>13255</v>
      </c>
      <c r="C7483" t="s">
        <v>51</v>
      </c>
      <c r="D7483" t="s">
        <v>52</v>
      </c>
      <c r="E7483" t="s">
        <v>154</v>
      </c>
      <c r="F7483" s="2" t="str">
        <f>HYPERLINK("http://www.otzar.org/book.asp?199466","גדולת מרדכי - ג - זרע ברוך")</f>
        <v>גדולת מרדכי - ג - זרע ברוך</v>
      </c>
    </row>
    <row r="7484" spans="1:6" x14ac:dyDescent="0.2">
      <c r="A7484" t="s">
        <v>13256</v>
      </c>
      <c r="B7484" t="s">
        <v>13257</v>
      </c>
      <c r="C7484" t="s">
        <v>124</v>
      </c>
      <c r="D7484" t="s">
        <v>14</v>
      </c>
      <c r="E7484" t="s">
        <v>13258</v>
      </c>
      <c r="F7484" s="2" t="str">
        <f>HYPERLINK("http://www.otzar.org/book.asp?85262","גדולת מרדכי - 3 כר'")</f>
        <v>גדולת מרדכי - 3 כר'</v>
      </c>
    </row>
    <row r="7485" spans="1:6" x14ac:dyDescent="0.2">
      <c r="A7485" t="s">
        <v>13259</v>
      </c>
      <c r="B7485" t="s">
        <v>13260</v>
      </c>
      <c r="C7485" t="s">
        <v>20</v>
      </c>
      <c r="D7485" t="s">
        <v>90</v>
      </c>
      <c r="F7485" s="2" t="str">
        <f>HYPERLINK("http://www.otzar.org/book.asp?611014","גדולת מרדכי")</f>
        <v>גדולת מרדכי</v>
      </c>
    </row>
    <row r="7486" spans="1:6" x14ac:dyDescent="0.2">
      <c r="A7486" t="s">
        <v>13261</v>
      </c>
      <c r="B7486" t="s">
        <v>13262</v>
      </c>
      <c r="C7486" t="s">
        <v>812</v>
      </c>
      <c r="D7486" t="s">
        <v>2968</v>
      </c>
      <c r="E7486" t="s">
        <v>226</v>
      </c>
      <c r="F7486" s="2" t="str">
        <f>HYPERLINK("http://www.otzar.org/book.asp?149806","גדולת מרדכי - 2 כר'")</f>
        <v>גדולת מרדכי - 2 כר'</v>
      </c>
    </row>
    <row r="7487" spans="1:6" x14ac:dyDescent="0.2">
      <c r="A7487" t="s">
        <v>13259</v>
      </c>
      <c r="B7487" t="s">
        <v>4320</v>
      </c>
      <c r="C7487" t="s">
        <v>454</v>
      </c>
      <c r="D7487" t="s">
        <v>412</v>
      </c>
      <c r="E7487" t="s">
        <v>158</v>
      </c>
      <c r="F7487" s="2" t="str">
        <f>HYPERLINK("http://www.otzar.org/book.asp?145188","גדולת מרדכי")</f>
        <v>גדולת מרדכי</v>
      </c>
    </row>
    <row r="7488" spans="1:6" x14ac:dyDescent="0.2">
      <c r="A7488" t="s">
        <v>13263</v>
      </c>
      <c r="B7488" t="s">
        <v>13264</v>
      </c>
      <c r="C7488" t="s">
        <v>919</v>
      </c>
      <c r="D7488" t="s">
        <v>14</v>
      </c>
      <c r="E7488" t="s">
        <v>4494</v>
      </c>
      <c r="F7488" s="2" t="str">
        <f>HYPERLINK("http://www.otzar.org/book.asp?6820","גדולת מרדכי - דרושים")</f>
        <v>גדולת מרדכי - דרושים</v>
      </c>
    </row>
    <row r="7489" spans="1:6" x14ac:dyDescent="0.2">
      <c r="A7489" t="s">
        <v>13259</v>
      </c>
      <c r="B7489" t="s">
        <v>552</v>
      </c>
      <c r="C7489" t="s">
        <v>68</v>
      </c>
      <c r="D7489" t="s">
        <v>52</v>
      </c>
      <c r="E7489" t="s">
        <v>5392</v>
      </c>
      <c r="F7489" s="2" t="str">
        <f>HYPERLINK("http://www.otzar.org/book.asp?153734","גדולת מרדכי")</f>
        <v>גדולת מרדכי</v>
      </c>
    </row>
    <row r="7490" spans="1:6" x14ac:dyDescent="0.2">
      <c r="A7490" t="s">
        <v>13259</v>
      </c>
      <c r="B7490" t="s">
        <v>13265</v>
      </c>
      <c r="C7490" t="s">
        <v>332</v>
      </c>
      <c r="D7490" t="s">
        <v>52</v>
      </c>
      <c r="E7490" t="s">
        <v>933</v>
      </c>
      <c r="F7490" s="2" t="str">
        <f>HYPERLINK("http://www.otzar.org/book.asp?156128","גדולת מרדכי")</f>
        <v>גדולת מרדכי</v>
      </c>
    </row>
    <row r="7491" spans="1:6" x14ac:dyDescent="0.2">
      <c r="A7491" t="s">
        <v>13259</v>
      </c>
      <c r="B7491" t="s">
        <v>13266</v>
      </c>
      <c r="C7491" t="s">
        <v>1335</v>
      </c>
      <c r="D7491" t="s">
        <v>56</v>
      </c>
      <c r="E7491" t="s">
        <v>154</v>
      </c>
      <c r="F7491" s="2" t="str">
        <f>HYPERLINK("http://www.otzar.org/book.asp?17391","גדולת מרדכי")</f>
        <v>גדולת מרדכי</v>
      </c>
    </row>
    <row r="7492" spans="1:6" x14ac:dyDescent="0.2">
      <c r="A7492" t="s">
        <v>13259</v>
      </c>
      <c r="B7492" t="s">
        <v>13267</v>
      </c>
      <c r="C7492" t="s">
        <v>2644</v>
      </c>
      <c r="D7492" t="s">
        <v>2293</v>
      </c>
      <c r="E7492" t="s">
        <v>573</v>
      </c>
      <c r="F7492" s="2" t="str">
        <f>HYPERLINK("http://www.otzar.org/book.asp?51317","גדולת מרדכי")</f>
        <v>גדולת מרדכי</v>
      </c>
    </row>
    <row r="7493" spans="1:6" x14ac:dyDescent="0.2">
      <c r="A7493" t="s">
        <v>13268</v>
      </c>
      <c r="B7493" t="s">
        <v>13268</v>
      </c>
      <c r="C7493" t="s">
        <v>1721</v>
      </c>
      <c r="D7493" t="s">
        <v>76</v>
      </c>
      <c r="F7493" s="2" t="str">
        <f>HYPERLINK("http://www.otzar.org/book.asp?164929","גדולת משה")</f>
        <v>גדולת משה</v>
      </c>
    </row>
    <row r="7494" spans="1:6" x14ac:dyDescent="0.2">
      <c r="A7494" t="s">
        <v>13269</v>
      </c>
      <c r="B7494" t="s">
        <v>13270</v>
      </c>
      <c r="C7494" t="s">
        <v>466</v>
      </c>
      <c r="D7494" t="s">
        <v>412</v>
      </c>
      <c r="E7494" t="s">
        <v>226</v>
      </c>
      <c r="F7494" s="2" t="str">
        <f>HYPERLINK("http://www.otzar.org/book.asp?63217","גדולת פנחס - א")</f>
        <v>גדולת פנחס - א</v>
      </c>
    </row>
    <row r="7495" spans="1:6" x14ac:dyDescent="0.2">
      <c r="A7495" t="s">
        <v>13271</v>
      </c>
      <c r="B7495" t="s">
        <v>13272</v>
      </c>
      <c r="C7495" t="s">
        <v>1169</v>
      </c>
      <c r="D7495" t="s">
        <v>27</v>
      </c>
      <c r="E7495" t="s">
        <v>140</v>
      </c>
      <c r="F7495" s="2" t="str">
        <f>HYPERLINK("http://www.otzar.org/book.asp?144174","גדולת רבינו ישראל בעל שם טוב")</f>
        <v>גדולת רבינו ישראל בעל שם טוב</v>
      </c>
    </row>
    <row r="7496" spans="1:6" x14ac:dyDescent="0.2">
      <c r="A7496" t="s">
        <v>13273</v>
      </c>
      <c r="B7496" t="s">
        <v>13274</v>
      </c>
      <c r="C7496" t="s">
        <v>163</v>
      </c>
      <c r="D7496" t="s">
        <v>563</v>
      </c>
      <c r="E7496" t="s">
        <v>119</v>
      </c>
      <c r="F7496" s="2" t="str">
        <f>HYPERLINK("http://www.otzar.org/book.asp?188740","גדולת שאול - 2 כר'")</f>
        <v>גדולת שאול - 2 כר'</v>
      </c>
    </row>
    <row r="7497" spans="1:6" x14ac:dyDescent="0.2">
      <c r="A7497" t="s">
        <v>13275</v>
      </c>
      <c r="B7497" t="s">
        <v>9141</v>
      </c>
      <c r="C7497" t="s">
        <v>146</v>
      </c>
      <c r="D7497" t="s">
        <v>14</v>
      </c>
      <c r="E7497" t="s">
        <v>467</v>
      </c>
      <c r="F7497" s="2" t="str">
        <f>HYPERLINK("http://www.otzar.org/book.asp?145286","גדולתך אספר")</f>
        <v>גדולתך אספר</v>
      </c>
    </row>
    <row r="7498" spans="1:6" x14ac:dyDescent="0.2">
      <c r="A7498" t="s">
        <v>13276</v>
      </c>
      <c r="B7498" t="s">
        <v>13277</v>
      </c>
      <c r="C7498" t="s">
        <v>4059</v>
      </c>
      <c r="D7498" t="s">
        <v>42</v>
      </c>
      <c r="F7498" s="2" t="str">
        <f>HYPERLINK("http://www.otzar.org/book.asp?149961","גדי מקולס")</f>
        <v>גדי מקולס</v>
      </c>
    </row>
    <row r="7499" spans="1:6" x14ac:dyDescent="0.2">
      <c r="A7499" t="s">
        <v>13278</v>
      </c>
      <c r="B7499" t="s">
        <v>8229</v>
      </c>
      <c r="C7499" t="s">
        <v>624</v>
      </c>
      <c r="D7499" t="s">
        <v>14</v>
      </c>
      <c r="E7499" t="s">
        <v>803</v>
      </c>
      <c r="F7499" s="2" t="str">
        <f>HYPERLINK("http://www.otzar.org/book.asp?169148","גדלו לה' אתי")</f>
        <v>גדלו לה' אתי</v>
      </c>
    </row>
    <row r="7500" spans="1:6" x14ac:dyDescent="0.2">
      <c r="A7500" t="s">
        <v>13279</v>
      </c>
      <c r="B7500" t="s">
        <v>10427</v>
      </c>
      <c r="C7500" t="s">
        <v>143</v>
      </c>
      <c r="D7500" t="s">
        <v>412</v>
      </c>
      <c r="E7500" t="s">
        <v>241</v>
      </c>
      <c r="F7500" s="2" t="str">
        <f>HYPERLINK("http://www.otzar.org/book.asp?162410","גדלות האדם")</f>
        <v>גדלות האדם</v>
      </c>
    </row>
    <row r="7501" spans="1:6" x14ac:dyDescent="0.2">
      <c r="A7501" t="s">
        <v>13280</v>
      </c>
      <c r="B7501" t="s">
        <v>107</v>
      </c>
      <c r="C7501" t="s">
        <v>366</v>
      </c>
      <c r="D7501" t="s">
        <v>14</v>
      </c>
      <c r="E7501" t="s">
        <v>241</v>
      </c>
      <c r="F7501" s="2" t="str">
        <f>HYPERLINK("http://www.otzar.org/book.asp?625783","גדלות האדם - 2 כר'")</f>
        <v>גדלות האדם - 2 כר'</v>
      </c>
    </row>
    <row r="7502" spans="1:6" x14ac:dyDescent="0.2">
      <c r="A7502" t="s">
        <v>13281</v>
      </c>
      <c r="B7502" t="s">
        <v>4640</v>
      </c>
      <c r="C7502" t="s">
        <v>366</v>
      </c>
      <c r="D7502" t="s">
        <v>52</v>
      </c>
      <c r="F7502" s="2" t="str">
        <f>HYPERLINK("http://www.otzar.org/book.asp?617829","גדלות הקדמונים")</f>
        <v>גדלות הקדמונים</v>
      </c>
    </row>
    <row r="7503" spans="1:6" x14ac:dyDescent="0.2">
      <c r="A7503" t="s">
        <v>13282</v>
      </c>
      <c r="B7503" t="s">
        <v>206</v>
      </c>
      <c r="C7503" t="s">
        <v>114</v>
      </c>
      <c r="D7503" t="s">
        <v>14</v>
      </c>
      <c r="E7503" t="s">
        <v>241</v>
      </c>
      <c r="F7503" s="2" t="str">
        <f>HYPERLINK("http://www.otzar.org/book.asp?192821","גדלות - 2 כר'")</f>
        <v>גדלות - 2 כר'</v>
      </c>
    </row>
    <row r="7504" spans="1:6" x14ac:dyDescent="0.2">
      <c r="A7504" t="s">
        <v>13283</v>
      </c>
      <c r="B7504" t="s">
        <v>13284</v>
      </c>
      <c r="C7504" t="s">
        <v>411</v>
      </c>
      <c r="D7504" t="s">
        <v>21</v>
      </c>
      <c r="E7504" t="s">
        <v>234</v>
      </c>
      <c r="F7504" s="2" t="str">
        <f>HYPERLINK("http://www.otzar.org/book.asp?602062","גדלת מרדכי - הספדים")</f>
        <v>גדלת מרדכי - הספדים</v>
      </c>
    </row>
    <row r="7505" spans="1:6" x14ac:dyDescent="0.2">
      <c r="A7505" t="s">
        <v>13285</v>
      </c>
      <c r="B7505" t="s">
        <v>13286</v>
      </c>
      <c r="C7505" t="s">
        <v>1718</v>
      </c>
      <c r="D7505" t="s">
        <v>283</v>
      </c>
      <c r="E7505" t="s">
        <v>158</v>
      </c>
      <c r="F7505" s="2" t="str">
        <f>HYPERLINK("http://www.otzar.org/book.asp?159824","גדלת מרדכי - 5 כר'")</f>
        <v>גדלת מרדכי - 5 כר'</v>
      </c>
    </row>
    <row r="7506" spans="1:6" x14ac:dyDescent="0.2">
      <c r="A7506" t="s">
        <v>13287</v>
      </c>
      <c r="B7506" t="s">
        <v>1978</v>
      </c>
      <c r="C7506" t="s">
        <v>20</v>
      </c>
      <c r="D7506" t="s">
        <v>90</v>
      </c>
      <c r="E7506" t="s">
        <v>5935</v>
      </c>
      <c r="F7506" s="2" t="str">
        <f>HYPERLINK("http://www.otzar.org/book.asp?154095","גדר עולם - 4 כר'")</f>
        <v>גדר עולם - 4 כר'</v>
      </c>
    </row>
    <row r="7507" spans="1:6" x14ac:dyDescent="0.2">
      <c r="A7507" t="s">
        <v>13288</v>
      </c>
      <c r="B7507" t="s">
        <v>13289</v>
      </c>
      <c r="C7507" t="s">
        <v>129</v>
      </c>
      <c r="D7507" t="s">
        <v>118</v>
      </c>
      <c r="E7507" t="s">
        <v>803</v>
      </c>
      <c r="F7507" s="2" t="str">
        <f>HYPERLINK("http://www.otzar.org/book.asp?162114","גדרות מים")</f>
        <v>גדרות מים</v>
      </c>
    </row>
    <row r="7508" spans="1:6" x14ac:dyDescent="0.2">
      <c r="A7508" t="s">
        <v>13290</v>
      </c>
      <c r="B7508" t="s">
        <v>13291</v>
      </c>
      <c r="C7508" t="s">
        <v>313</v>
      </c>
      <c r="D7508" t="s">
        <v>21</v>
      </c>
      <c r="E7508" t="s">
        <v>246</v>
      </c>
      <c r="F7508" s="2" t="str">
        <f>HYPERLINK("http://www.otzar.org/book.asp?600109","גדרי המועדים")</f>
        <v>גדרי המועדים</v>
      </c>
    </row>
    <row r="7509" spans="1:6" x14ac:dyDescent="0.2">
      <c r="A7509" t="s">
        <v>13292</v>
      </c>
      <c r="B7509" t="s">
        <v>13293</v>
      </c>
      <c r="C7509" t="s">
        <v>17</v>
      </c>
      <c r="D7509" t="s">
        <v>21</v>
      </c>
      <c r="E7509" t="s">
        <v>246</v>
      </c>
      <c r="F7509" s="2" t="str">
        <f>HYPERLINK("http://www.otzar.org/book.asp?600258","גדרי השבת")</f>
        <v>גדרי השבת</v>
      </c>
    </row>
    <row r="7510" spans="1:6" x14ac:dyDescent="0.2">
      <c r="A7510" t="s">
        <v>13294</v>
      </c>
      <c r="B7510" t="s">
        <v>13295</v>
      </c>
      <c r="C7510" t="s">
        <v>1169</v>
      </c>
      <c r="D7510" t="s">
        <v>216</v>
      </c>
      <c r="E7510" t="s">
        <v>15</v>
      </c>
      <c r="F7510" s="2" t="str">
        <f>HYPERLINK("http://www.otzar.org/book.asp?170659","גדרי חצי שיעור")</f>
        <v>גדרי חצי שיעור</v>
      </c>
    </row>
    <row r="7511" spans="1:6" x14ac:dyDescent="0.2">
      <c r="A7511" t="s">
        <v>13296</v>
      </c>
      <c r="B7511" t="s">
        <v>13297</v>
      </c>
      <c r="C7511" t="s">
        <v>151</v>
      </c>
      <c r="D7511" t="s">
        <v>21</v>
      </c>
      <c r="F7511" s="2" t="str">
        <f>HYPERLINK("http://www.otzar.org/book.asp?622191","גדרי יחוד")</f>
        <v>גדרי יחוד</v>
      </c>
    </row>
    <row r="7512" spans="1:6" x14ac:dyDescent="0.2">
      <c r="A7512" t="s">
        <v>13298</v>
      </c>
      <c r="B7512" t="s">
        <v>13299</v>
      </c>
      <c r="C7512" t="s">
        <v>103</v>
      </c>
      <c r="D7512" t="s">
        <v>115</v>
      </c>
      <c r="E7512" t="s">
        <v>148</v>
      </c>
      <c r="F7512" s="2" t="str">
        <f>HYPERLINK("http://www.otzar.org/book.asp?61697","גדרי משפט")</f>
        <v>גדרי משפט</v>
      </c>
    </row>
    <row r="7513" spans="1:6" x14ac:dyDescent="0.2">
      <c r="A7513" t="s">
        <v>13300</v>
      </c>
      <c r="B7513" t="s">
        <v>13301</v>
      </c>
      <c r="C7513" t="s">
        <v>99</v>
      </c>
      <c r="D7513" t="s">
        <v>1889</v>
      </c>
      <c r="E7513" t="s">
        <v>246</v>
      </c>
      <c r="F7513" s="2" t="str">
        <f>HYPERLINK("http://www.otzar.org/book.asp?51322","גואלי חי")</f>
        <v>גואלי חי</v>
      </c>
    </row>
    <row r="7514" spans="1:6" x14ac:dyDescent="0.2">
      <c r="A7514" t="s">
        <v>13302</v>
      </c>
      <c r="B7514" t="s">
        <v>13303</v>
      </c>
      <c r="C7514" t="s">
        <v>767</v>
      </c>
      <c r="D7514" t="s">
        <v>14</v>
      </c>
      <c r="E7514" t="s">
        <v>1164</v>
      </c>
      <c r="F7514" s="2" t="str">
        <f>HYPERLINK("http://www.otzar.org/book.asp?146770","גואלנו ה'")</f>
        <v>גואלנו ה'</v>
      </c>
    </row>
    <row r="7515" spans="1:6" x14ac:dyDescent="0.2">
      <c r="A7515" t="s">
        <v>13304</v>
      </c>
      <c r="B7515" t="s">
        <v>13305</v>
      </c>
      <c r="C7515" t="s">
        <v>20</v>
      </c>
      <c r="D7515" t="s">
        <v>118</v>
      </c>
      <c r="E7515" t="s">
        <v>241</v>
      </c>
      <c r="F7515" s="2" t="str">
        <f>HYPERLINK("http://www.otzar.org/book.asp?106164","גודל חיוב לימוד ספרי יראה")</f>
        <v>גודל חיוב לימוד ספרי יראה</v>
      </c>
    </row>
    <row r="7516" spans="1:6" x14ac:dyDescent="0.2">
      <c r="A7516" t="s">
        <v>13306</v>
      </c>
      <c r="B7516" t="s">
        <v>13307</v>
      </c>
      <c r="C7516" t="s">
        <v>888</v>
      </c>
      <c r="D7516" t="s">
        <v>27</v>
      </c>
      <c r="E7516" t="s">
        <v>219</v>
      </c>
      <c r="F7516" s="2" t="str">
        <f>HYPERLINK("http://www.otzar.org/book.asp?28880","גודל תלפיות")</f>
        <v>גודל תלפיות</v>
      </c>
    </row>
    <row r="7517" spans="1:6" x14ac:dyDescent="0.2">
      <c r="A7517" t="s">
        <v>13308</v>
      </c>
      <c r="B7517" t="s">
        <v>13309</v>
      </c>
      <c r="C7517" t="s">
        <v>168</v>
      </c>
      <c r="D7517" t="s">
        <v>52</v>
      </c>
      <c r="E7517" t="s">
        <v>15</v>
      </c>
      <c r="F7517" s="2" t="str">
        <f>HYPERLINK("http://www.otzar.org/book.asp?148299","גוילי אפרים")</f>
        <v>גוילי אפרים</v>
      </c>
    </row>
    <row r="7518" spans="1:6" x14ac:dyDescent="0.2">
      <c r="A7518" t="s">
        <v>13310</v>
      </c>
      <c r="B7518" t="s">
        <v>13311</v>
      </c>
      <c r="C7518" t="s">
        <v>1811</v>
      </c>
      <c r="D7518" t="s">
        <v>14</v>
      </c>
      <c r="E7518" t="s">
        <v>750</v>
      </c>
      <c r="F7518" s="2" t="str">
        <f>HYPERLINK("http://www.otzar.org/book.asp?154600","גוילי אש")</f>
        <v>גוילי אש</v>
      </c>
    </row>
    <row r="7519" spans="1:6" x14ac:dyDescent="0.2">
      <c r="A7519" t="s">
        <v>13312</v>
      </c>
      <c r="B7519" t="s">
        <v>13313</v>
      </c>
      <c r="C7519" t="s">
        <v>37</v>
      </c>
      <c r="D7519" t="s">
        <v>14</v>
      </c>
      <c r="E7519" t="s">
        <v>104</v>
      </c>
      <c r="F7519" s="2" t="str">
        <f>HYPERLINK("http://www.otzar.org/book.asp?183301","גוילי קודש")</f>
        <v>גוילי קודש</v>
      </c>
    </row>
    <row r="7520" spans="1:6" x14ac:dyDescent="0.2">
      <c r="A7520" t="s">
        <v>13314</v>
      </c>
      <c r="B7520" t="s">
        <v>13315</v>
      </c>
      <c r="C7520" t="s">
        <v>176</v>
      </c>
      <c r="D7520" t="s">
        <v>52</v>
      </c>
      <c r="E7520" t="s">
        <v>1211</v>
      </c>
      <c r="F7520" s="2" t="str">
        <f>HYPERLINK("http://www.otzar.org/book.asp?176709","גוילין ניצולין")</f>
        <v>גוילין ניצולין</v>
      </c>
    </row>
    <row r="7521" spans="1:6" x14ac:dyDescent="0.2">
      <c r="A7521" t="s">
        <v>13316</v>
      </c>
      <c r="B7521" t="s">
        <v>5112</v>
      </c>
      <c r="C7521" t="s">
        <v>12036</v>
      </c>
      <c r="D7521" t="s">
        <v>13317</v>
      </c>
      <c r="E7521" t="s">
        <v>234</v>
      </c>
      <c r="F7521" s="2" t="str">
        <f>HYPERLINK("http://www.otzar.org/book.asp?191432","גויעת ארי")</f>
        <v>גויעת ארי</v>
      </c>
    </row>
    <row r="7522" spans="1:6" x14ac:dyDescent="0.2">
      <c r="A7522" t="s">
        <v>13318</v>
      </c>
      <c r="B7522" t="s">
        <v>13319</v>
      </c>
      <c r="C7522" t="s">
        <v>1414</v>
      </c>
      <c r="D7522" t="s">
        <v>6785</v>
      </c>
      <c r="E7522" t="s">
        <v>263</v>
      </c>
      <c r="F7522" s="2" t="str">
        <f>HYPERLINK("http://www.otzar.org/book.asp?300358","גויעת שמואל")</f>
        <v>גויעת שמואל</v>
      </c>
    </row>
    <row r="7523" spans="1:6" x14ac:dyDescent="0.2">
      <c r="A7523" t="s">
        <v>13320</v>
      </c>
      <c r="B7523" t="s">
        <v>13321</v>
      </c>
      <c r="C7523" t="s">
        <v>2236</v>
      </c>
      <c r="D7523" t="s">
        <v>157</v>
      </c>
      <c r="E7523" t="s">
        <v>1438</v>
      </c>
      <c r="F7523" s="2" t="str">
        <f>HYPERLINK("http://www.otzar.org/book.asp?17396","גולל אור")</f>
        <v>גולל אור</v>
      </c>
    </row>
    <row r="7524" spans="1:6" x14ac:dyDescent="0.2">
      <c r="A7524" t="s">
        <v>13322</v>
      </c>
      <c r="B7524" t="s">
        <v>13323</v>
      </c>
      <c r="C7524" t="s">
        <v>1284</v>
      </c>
      <c r="D7524" t="s">
        <v>283</v>
      </c>
      <c r="E7524" t="s">
        <v>13324</v>
      </c>
      <c r="F7524" s="2" t="str">
        <f>HYPERLINK("http://www.otzar.org/book.asp?19480","גולת כלב")</f>
        <v>גולת כלב</v>
      </c>
    </row>
    <row r="7525" spans="1:6" x14ac:dyDescent="0.2">
      <c r="A7525" t="s">
        <v>13325</v>
      </c>
      <c r="B7525" t="s">
        <v>4116</v>
      </c>
      <c r="C7525" t="s">
        <v>2269</v>
      </c>
      <c r="D7525" t="s">
        <v>403</v>
      </c>
      <c r="E7525" t="s">
        <v>144</v>
      </c>
      <c r="F7525" s="2" t="str">
        <f>HYPERLINK("http://www.otzar.org/book.asp?100835","גולת תחתיות")</f>
        <v>גולת תחתיות</v>
      </c>
    </row>
    <row r="7526" spans="1:6" x14ac:dyDescent="0.2">
      <c r="A7526" t="s">
        <v>13326</v>
      </c>
      <c r="B7526" t="s">
        <v>107</v>
      </c>
      <c r="C7526" t="s">
        <v>20</v>
      </c>
      <c r="D7526" t="s">
        <v>14</v>
      </c>
      <c r="E7526" t="s">
        <v>13327</v>
      </c>
      <c r="F7526" s="2" t="str">
        <f>HYPERLINK("http://www.otzar.org/book.asp?6372","גוף ונשמה")</f>
        <v>גוף ונשמה</v>
      </c>
    </row>
    <row r="7527" spans="1:6" x14ac:dyDescent="0.2">
      <c r="A7527" t="s">
        <v>13328</v>
      </c>
      <c r="B7527" t="s">
        <v>1728</v>
      </c>
      <c r="C7527" t="s">
        <v>129</v>
      </c>
      <c r="D7527" t="s">
        <v>273</v>
      </c>
      <c r="E7527" t="s">
        <v>140</v>
      </c>
      <c r="F7527" s="2" t="str">
        <f>HYPERLINK("http://www.otzar.org/book.asp?628546","גוף נפש ונשמה")</f>
        <v>גוף נפש ונשמה</v>
      </c>
    </row>
    <row r="7528" spans="1:6" x14ac:dyDescent="0.2">
      <c r="A7528" t="s">
        <v>13329</v>
      </c>
      <c r="B7528" t="s">
        <v>13330</v>
      </c>
      <c r="C7528" t="s">
        <v>919</v>
      </c>
      <c r="D7528" t="s">
        <v>216</v>
      </c>
      <c r="F7528" s="2" t="str">
        <f>HYPERLINK("http://www.otzar.org/book.asp?169575","גופו של גט - 2 כר'")</f>
        <v>גופו של גט - 2 כר'</v>
      </c>
    </row>
    <row r="7529" spans="1:6" x14ac:dyDescent="0.2">
      <c r="A7529" t="s">
        <v>13331</v>
      </c>
      <c r="B7529" t="s">
        <v>13332</v>
      </c>
      <c r="C7529" t="s">
        <v>146</v>
      </c>
      <c r="D7529" t="s">
        <v>14</v>
      </c>
      <c r="E7529" t="s">
        <v>104</v>
      </c>
      <c r="F7529" s="2" t="str">
        <f>HYPERLINK("http://www.otzar.org/book.asp?159023","גופי הלכות &lt;מהדורה חדשה&gt;")</f>
        <v>גופי הלכות &lt;מהדורה חדשה&gt;</v>
      </c>
    </row>
    <row r="7530" spans="1:6" x14ac:dyDescent="0.2">
      <c r="A7530" t="s">
        <v>13333</v>
      </c>
      <c r="B7530" t="s">
        <v>13332</v>
      </c>
      <c r="C7530" t="s">
        <v>7193</v>
      </c>
      <c r="D7530" t="s">
        <v>157</v>
      </c>
      <c r="E7530" t="s">
        <v>1211</v>
      </c>
      <c r="F7530" s="2" t="str">
        <f>HYPERLINK("http://www.otzar.org/book.asp?11081","גופי הלכות")</f>
        <v>גופי הלכות</v>
      </c>
    </row>
    <row r="7531" spans="1:6" x14ac:dyDescent="0.2">
      <c r="A7531" t="s">
        <v>13334</v>
      </c>
      <c r="B7531" t="s">
        <v>13335</v>
      </c>
      <c r="C7531" t="s">
        <v>1448</v>
      </c>
      <c r="D7531" t="s">
        <v>13336</v>
      </c>
      <c r="E7531" t="s">
        <v>15</v>
      </c>
      <c r="F7531" s="2" t="str">
        <f>HYPERLINK("http://www.otzar.org/book.asp?615931","גופי הלכות - 2 כר'")</f>
        <v>גופי הלכות - 2 כר'</v>
      </c>
    </row>
    <row r="7532" spans="1:6" x14ac:dyDescent="0.2">
      <c r="A7532" t="s">
        <v>13333</v>
      </c>
      <c r="B7532" t="s">
        <v>13337</v>
      </c>
      <c r="C7532" t="s">
        <v>4240</v>
      </c>
      <c r="D7532" t="s">
        <v>283</v>
      </c>
      <c r="E7532" t="s">
        <v>144</v>
      </c>
      <c r="F7532" s="2" t="str">
        <f>HYPERLINK("http://www.otzar.org/book.asp?104831","גופי הלכות")</f>
        <v>גופי הלכות</v>
      </c>
    </row>
    <row r="7533" spans="1:6" x14ac:dyDescent="0.2">
      <c r="A7533" t="s">
        <v>13338</v>
      </c>
      <c r="B7533" t="s">
        <v>13339</v>
      </c>
      <c r="C7533" t="s">
        <v>111</v>
      </c>
      <c r="D7533" t="s">
        <v>90</v>
      </c>
      <c r="F7533" s="2" t="str">
        <f>HYPERLINK("http://www.otzar.org/book.asp?621924","גופי הלכות - קנים")</f>
        <v>גופי הלכות - קנים</v>
      </c>
    </row>
    <row r="7534" spans="1:6" x14ac:dyDescent="0.2">
      <c r="A7534" t="s">
        <v>13333</v>
      </c>
      <c r="B7534" t="s">
        <v>11890</v>
      </c>
      <c r="C7534" t="s">
        <v>360</v>
      </c>
      <c r="D7534" t="s">
        <v>947</v>
      </c>
      <c r="E7534" t="s">
        <v>144</v>
      </c>
      <c r="F7534" s="2" t="str">
        <f>HYPERLINK("http://www.otzar.org/book.asp?17397","גופי הלכות")</f>
        <v>גופי הלכות</v>
      </c>
    </row>
    <row r="7535" spans="1:6" x14ac:dyDescent="0.2">
      <c r="A7535" t="s">
        <v>13333</v>
      </c>
      <c r="B7535" t="s">
        <v>13340</v>
      </c>
      <c r="C7535" t="s">
        <v>5903</v>
      </c>
      <c r="D7535" t="s">
        <v>56</v>
      </c>
      <c r="E7535" t="s">
        <v>84</v>
      </c>
      <c r="F7535" s="2" t="str">
        <f>HYPERLINK("http://www.otzar.org/book.asp?24169","גופי הלכות")</f>
        <v>גופי הלכות</v>
      </c>
    </row>
    <row r="7536" spans="1:6" x14ac:dyDescent="0.2">
      <c r="A7536" t="s">
        <v>13341</v>
      </c>
      <c r="B7536" t="s">
        <v>3923</v>
      </c>
      <c r="C7536" t="s">
        <v>1448</v>
      </c>
      <c r="D7536" t="s">
        <v>118</v>
      </c>
      <c r="E7536" t="s">
        <v>158</v>
      </c>
      <c r="F7536" s="2" t="str">
        <f>HYPERLINK("http://www.otzar.org/book.asp?23383","גור אריה  &lt;עה""ת&gt; - 5 כר'")</f>
        <v>גור אריה  &lt;עה"ת&gt; - 5 כר'</v>
      </c>
    </row>
    <row r="7537" spans="1:6" x14ac:dyDescent="0.2">
      <c r="A7537" t="s">
        <v>13342</v>
      </c>
      <c r="B7537" t="s">
        <v>5256</v>
      </c>
      <c r="C7537" t="s">
        <v>5308</v>
      </c>
      <c r="D7537" t="s">
        <v>60</v>
      </c>
      <c r="E7537" t="s">
        <v>154</v>
      </c>
      <c r="F7537" s="2" t="str">
        <f>HYPERLINK("http://www.otzar.org/book.asp?100864","גור אריה יהודא - 2 כר'")</f>
        <v>גור אריה יהודא - 2 כר'</v>
      </c>
    </row>
    <row r="7538" spans="1:6" x14ac:dyDescent="0.2">
      <c r="A7538" t="s">
        <v>13343</v>
      </c>
      <c r="B7538" t="s">
        <v>13344</v>
      </c>
      <c r="E7538" t="s">
        <v>15</v>
      </c>
      <c r="F7538" s="2" t="str">
        <f>HYPERLINK("http://www.otzar.org/book.asp?624588","גור אריה יהודה")</f>
        <v>גור אריה יהודה</v>
      </c>
    </row>
    <row r="7539" spans="1:6" x14ac:dyDescent="0.2">
      <c r="A7539" t="s">
        <v>13345</v>
      </c>
      <c r="B7539" t="s">
        <v>13346</v>
      </c>
      <c r="C7539" t="s">
        <v>506</v>
      </c>
      <c r="D7539" t="s">
        <v>283</v>
      </c>
      <c r="E7539" t="s">
        <v>13347</v>
      </c>
      <c r="F7539" s="2" t="str">
        <f>HYPERLINK("http://www.otzar.org/book.asp?104657","גור אריה יהודה - 3 כר'")</f>
        <v>גור אריה יהודה - 3 כר'</v>
      </c>
    </row>
    <row r="7540" spans="1:6" x14ac:dyDescent="0.2">
      <c r="A7540" t="s">
        <v>13348</v>
      </c>
      <c r="B7540" t="s">
        <v>13349</v>
      </c>
      <c r="C7540" t="s">
        <v>402</v>
      </c>
      <c r="D7540" t="s">
        <v>1023</v>
      </c>
      <c r="E7540" t="s">
        <v>2135</v>
      </c>
      <c r="F7540" s="2" t="str">
        <f>HYPERLINK("http://www.otzar.org/book.asp?15745","גור אריה")</f>
        <v>גור אריה</v>
      </c>
    </row>
    <row r="7541" spans="1:6" x14ac:dyDescent="0.2">
      <c r="A7541" t="s">
        <v>13350</v>
      </c>
      <c r="B7541" t="s">
        <v>3923</v>
      </c>
      <c r="C7541" t="s">
        <v>1570</v>
      </c>
      <c r="D7541" t="s">
        <v>118</v>
      </c>
      <c r="F7541" s="2" t="str">
        <f>HYPERLINK("http://www.otzar.org/book.asp?600389","גור אריה  - שבת, עירובין, פסחים")</f>
        <v>גור אריה  - שבת, עירובין, פסחים</v>
      </c>
    </row>
    <row r="7542" spans="1:6" x14ac:dyDescent="0.2">
      <c r="A7542" t="s">
        <v>13348</v>
      </c>
      <c r="B7542" t="s">
        <v>13351</v>
      </c>
      <c r="C7542" t="s">
        <v>321</v>
      </c>
      <c r="D7542" t="s">
        <v>212</v>
      </c>
      <c r="E7542" t="s">
        <v>13352</v>
      </c>
      <c r="F7542" s="2" t="str">
        <f>HYPERLINK("http://www.otzar.org/book.asp?104656","גור אריה")</f>
        <v>גור אריה</v>
      </c>
    </row>
    <row r="7543" spans="1:6" x14ac:dyDescent="0.2">
      <c r="A7543" t="s">
        <v>13353</v>
      </c>
      <c r="B7543" t="s">
        <v>5253</v>
      </c>
      <c r="C7543" t="s">
        <v>2008</v>
      </c>
      <c r="D7543" t="s">
        <v>13354</v>
      </c>
      <c r="E7543" t="s">
        <v>144</v>
      </c>
      <c r="F7543" s="2" t="str">
        <f>HYPERLINK("http://www.otzar.org/book.asp?6842","גור אריה - 2 כר'")</f>
        <v>גור אריה - 2 כר'</v>
      </c>
    </row>
    <row r="7544" spans="1:6" x14ac:dyDescent="0.2">
      <c r="A7544" t="s">
        <v>13355</v>
      </c>
      <c r="B7544" t="s">
        <v>13356</v>
      </c>
      <c r="C7544" t="s">
        <v>124</v>
      </c>
      <c r="D7544" t="s">
        <v>412</v>
      </c>
      <c r="E7544" t="s">
        <v>144</v>
      </c>
      <c r="F7544" s="2" t="str">
        <f>HYPERLINK("http://www.otzar.org/book.asp?198301","גור אריה, משמרת הקודש - קידושין")</f>
        <v>גור אריה, משמרת הקודש - קידושין</v>
      </c>
    </row>
    <row r="7545" spans="1:6" x14ac:dyDescent="0.2">
      <c r="A7545" t="s">
        <v>13357</v>
      </c>
      <c r="B7545" t="s">
        <v>13358</v>
      </c>
      <c r="C7545" t="s">
        <v>473</v>
      </c>
      <c r="D7545" t="s">
        <v>9</v>
      </c>
      <c r="E7545" t="s">
        <v>474</v>
      </c>
      <c r="F7545" s="2" t="str">
        <f>HYPERLINK("http://www.otzar.org/book.asp?300354","גורל גדליהו")</f>
        <v>גורל גדליהו</v>
      </c>
    </row>
    <row r="7546" spans="1:6" x14ac:dyDescent="0.2">
      <c r="A7546" t="s">
        <v>13359</v>
      </c>
      <c r="B7546" t="s">
        <v>13360</v>
      </c>
      <c r="C7546" t="s">
        <v>4462</v>
      </c>
      <c r="D7546" t="s">
        <v>60</v>
      </c>
      <c r="E7546" t="s">
        <v>158</v>
      </c>
      <c r="F7546" s="2" t="str">
        <f>HYPERLINK("http://www.otzar.org/book.asp?151557","גורל יהושע")</f>
        <v>גורל יהושע</v>
      </c>
    </row>
    <row r="7547" spans="1:6" x14ac:dyDescent="0.2">
      <c r="A7547" t="s">
        <v>13361</v>
      </c>
      <c r="B7547" t="s">
        <v>13362</v>
      </c>
      <c r="C7547" t="s">
        <v>888</v>
      </c>
      <c r="D7547" t="s">
        <v>283</v>
      </c>
      <c r="E7547" t="s">
        <v>104</v>
      </c>
      <c r="F7547" s="2" t="str">
        <f>HYPERLINK("http://www.otzar.org/book.asp?300357","גורל לה'")</f>
        <v>גורל לה'</v>
      </c>
    </row>
    <row r="7548" spans="1:6" x14ac:dyDescent="0.2">
      <c r="A7548" t="s">
        <v>13363</v>
      </c>
      <c r="B7548" t="s">
        <v>4991</v>
      </c>
      <c r="C7548" t="s">
        <v>454</v>
      </c>
      <c r="D7548" t="s">
        <v>14</v>
      </c>
      <c r="E7548" t="s">
        <v>241</v>
      </c>
      <c r="F7548" s="2" t="str">
        <f>HYPERLINK("http://www.otzar.org/book.asp?166013","גורמי היסורים")</f>
        <v>גורמי היסורים</v>
      </c>
    </row>
    <row r="7549" spans="1:6" x14ac:dyDescent="0.2">
      <c r="A7549" t="s">
        <v>13364</v>
      </c>
      <c r="B7549" t="s">
        <v>13365</v>
      </c>
      <c r="C7549" t="s">
        <v>5912</v>
      </c>
      <c r="D7549" t="s">
        <v>283</v>
      </c>
      <c r="E7549" t="s">
        <v>241</v>
      </c>
      <c r="F7549" s="2" t="str">
        <f>HYPERLINK("http://www.otzar.org/book.asp?15908","גורן אטד")</f>
        <v>גורן אטד</v>
      </c>
    </row>
    <row r="7550" spans="1:6" x14ac:dyDescent="0.2">
      <c r="A7550" t="s">
        <v>13366</v>
      </c>
      <c r="B7550" t="s">
        <v>13367</v>
      </c>
      <c r="C7550" t="s">
        <v>1718</v>
      </c>
      <c r="D7550" t="s">
        <v>661</v>
      </c>
      <c r="E7550" t="s">
        <v>154</v>
      </c>
      <c r="F7550" s="2" t="str">
        <f>HYPERLINK("http://www.otzar.org/book.asp?10943","גורן דוד - 2 כר'")</f>
        <v>גורן דוד - 2 כר'</v>
      </c>
    </row>
    <row r="7551" spans="1:6" x14ac:dyDescent="0.2">
      <c r="A7551" t="s">
        <v>13368</v>
      </c>
      <c r="B7551" t="s">
        <v>13369</v>
      </c>
      <c r="C7551" t="s">
        <v>133</v>
      </c>
      <c r="D7551" t="s">
        <v>52</v>
      </c>
      <c r="E7551" t="s">
        <v>119</v>
      </c>
      <c r="F7551" s="2" t="str">
        <f>HYPERLINK("http://www.otzar.org/book.asp?172944","גורן האטד - &lt;אודות הגר""א גנחובסקי&gt;")</f>
        <v>גורן האטד - &lt;אודות הגר"א גנחובסקי&gt;</v>
      </c>
    </row>
    <row r="7552" spans="1:6" x14ac:dyDescent="0.2">
      <c r="A7552" t="s">
        <v>13370</v>
      </c>
      <c r="B7552" t="s">
        <v>4925</v>
      </c>
      <c r="C7552" t="s">
        <v>13371</v>
      </c>
      <c r="D7552" t="s">
        <v>13372</v>
      </c>
      <c r="F7552" s="2" t="str">
        <f>HYPERLINK("http://www.otzar.org/book.asp?170331","גורן נכון - 2 כר'")</f>
        <v>גורן נכון - 2 כר'</v>
      </c>
    </row>
    <row r="7553" spans="1:6" x14ac:dyDescent="0.2">
      <c r="A7553" t="s">
        <v>13373</v>
      </c>
      <c r="B7553" t="s">
        <v>13374</v>
      </c>
      <c r="C7553" t="s">
        <v>568</v>
      </c>
      <c r="D7553" t="s">
        <v>212</v>
      </c>
      <c r="E7553" t="s">
        <v>803</v>
      </c>
      <c r="F7553" s="2" t="str">
        <f>HYPERLINK("http://www.otzar.org/book.asp?17399","גושפנקא דמלכא")</f>
        <v>גושפנקא דמלכא</v>
      </c>
    </row>
    <row r="7554" spans="1:6" x14ac:dyDescent="0.2">
      <c r="A7554" t="s">
        <v>13375</v>
      </c>
      <c r="B7554" t="s">
        <v>13376</v>
      </c>
      <c r="C7554" t="s">
        <v>103</v>
      </c>
      <c r="D7554" t="s">
        <v>14</v>
      </c>
      <c r="E7554" t="s">
        <v>15</v>
      </c>
      <c r="F7554" s="2" t="str">
        <f>HYPERLINK("http://www.otzar.org/book.asp?26702","גז צאנך - מתנת חלקו")</f>
        <v>גז צאנך - מתנת חלקו</v>
      </c>
    </row>
    <row r="7555" spans="1:6" x14ac:dyDescent="0.2">
      <c r="A7555" t="s">
        <v>13377</v>
      </c>
      <c r="B7555" t="s">
        <v>13378</v>
      </c>
      <c r="C7555" t="s">
        <v>985</v>
      </c>
      <c r="D7555" t="s">
        <v>27</v>
      </c>
      <c r="F7555" s="2" t="str">
        <f>HYPERLINK("http://www.otzar.org/book.asp?152988","גזירות אשכנז וצרפת")</f>
        <v>גזירות אשכנז וצרפת</v>
      </c>
    </row>
    <row r="7556" spans="1:6" x14ac:dyDescent="0.2">
      <c r="A7556" t="s">
        <v>13379</v>
      </c>
      <c r="B7556" t="s">
        <v>206</v>
      </c>
      <c r="C7556" t="s">
        <v>286</v>
      </c>
      <c r="D7556" t="s">
        <v>1566</v>
      </c>
      <c r="E7556" t="s">
        <v>119</v>
      </c>
      <c r="F7556" s="2" t="str">
        <f>HYPERLINK("http://www.otzar.org/book.asp?163508","גזירות ת""ח ות""ט")</f>
        <v>גזירות ת"ח ות"ט</v>
      </c>
    </row>
    <row r="7557" spans="1:6" x14ac:dyDescent="0.2">
      <c r="A7557" t="s">
        <v>13380</v>
      </c>
      <c r="B7557" t="s">
        <v>13381</v>
      </c>
      <c r="C7557" t="s">
        <v>1477</v>
      </c>
      <c r="D7557" t="s">
        <v>1117</v>
      </c>
      <c r="E7557" t="s">
        <v>733</v>
      </c>
      <c r="F7557" s="2" t="str">
        <f>HYPERLINK("http://www.otzar.org/book.asp?146603","גזירת איסטרייך וק""ק ווינה")</f>
        <v>גזירת איסטרייך וק"ק ווינה</v>
      </c>
    </row>
    <row r="7558" spans="1:6" x14ac:dyDescent="0.2">
      <c r="A7558" t="s">
        <v>13382</v>
      </c>
      <c r="B7558" t="s">
        <v>10069</v>
      </c>
      <c r="C7558" t="s">
        <v>20</v>
      </c>
      <c r="D7558" t="s">
        <v>14</v>
      </c>
      <c r="E7558" t="s">
        <v>104</v>
      </c>
      <c r="F7558" s="2" t="str">
        <f>HYPERLINK("http://www.otzar.org/book.asp?104523","גזע ישי")</f>
        <v>גזע ישי</v>
      </c>
    </row>
    <row r="7559" spans="1:6" x14ac:dyDescent="0.2">
      <c r="A7559" t="s">
        <v>13383</v>
      </c>
      <c r="B7559" t="s">
        <v>13384</v>
      </c>
      <c r="C7559" t="s">
        <v>5163</v>
      </c>
      <c r="D7559" t="s">
        <v>56</v>
      </c>
      <c r="E7559" t="s">
        <v>5580</v>
      </c>
      <c r="F7559" s="2" t="str">
        <f>HYPERLINK("http://www.otzar.org/book.asp?83612","גזע ישישים")</f>
        <v>גזע ישישים</v>
      </c>
    </row>
    <row r="7560" spans="1:6" x14ac:dyDescent="0.2">
      <c r="A7560" t="s">
        <v>13385</v>
      </c>
      <c r="B7560" t="s">
        <v>6452</v>
      </c>
      <c r="C7560" t="s">
        <v>3840</v>
      </c>
      <c r="D7560" t="s">
        <v>260</v>
      </c>
      <c r="E7560" t="s">
        <v>119</v>
      </c>
      <c r="F7560" s="2" t="str">
        <f>HYPERLINK("http://www.otzar.org/book.asp?17400","גזע קודש")</f>
        <v>גזע קודש</v>
      </c>
    </row>
    <row r="7561" spans="1:6" x14ac:dyDescent="0.2">
      <c r="A7561" t="s">
        <v>13386</v>
      </c>
      <c r="B7561" t="s">
        <v>13387</v>
      </c>
      <c r="C7561" t="s">
        <v>1228</v>
      </c>
      <c r="D7561" t="s">
        <v>1279</v>
      </c>
      <c r="E7561" t="s">
        <v>104</v>
      </c>
      <c r="F7561" s="2" t="str">
        <f>HYPERLINK("http://www.otzar.org/book.asp?199501","גזע תרשישים")</f>
        <v>גזע תרשישים</v>
      </c>
    </row>
    <row r="7562" spans="1:6" x14ac:dyDescent="0.2">
      <c r="A7562" t="s">
        <v>13388</v>
      </c>
      <c r="B7562" t="s">
        <v>13389</v>
      </c>
      <c r="C7562" t="s">
        <v>433</v>
      </c>
      <c r="D7562" t="s">
        <v>27</v>
      </c>
      <c r="E7562" t="s">
        <v>119</v>
      </c>
      <c r="F7562" s="2" t="str">
        <f>HYPERLINK("http://www.otzar.org/book.asp?300612","גזרות ת""ח-ת""ט")</f>
        <v>גזרות ת"ח-ת"ט</v>
      </c>
    </row>
    <row r="7563" spans="1:6" x14ac:dyDescent="0.2">
      <c r="A7563" t="s">
        <v>13390</v>
      </c>
      <c r="B7563" t="s">
        <v>13391</v>
      </c>
      <c r="C7563" t="s">
        <v>462</v>
      </c>
      <c r="D7563" t="s">
        <v>283</v>
      </c>
      <c r="E7563" t="s">
        <v>130</v>
      </c>
      <c r="F7563" s="2" t="str">
        <f>HYPERLINK("http://www.otzar.org/book.asp?17402","גחלי אש - א ב")</f>
        <v>גחלי אש - א ב</v>
      </c>
    </row>
    <row r="7564" spans="1:6" x14ac:dyDescent="0.2">
      <c r="A7564" t="s">
        <v>13392</v>
      </c>
      <c r="B7564" t="s">
        <v>13393</v>
      </c>
      <c r="C7564" t="s">
        <v>1388</v>
      </c>
      <c r="D7564" t="s">
        <v>14</v>
      </c>
      <c r="E7564" t="s">
        <v>583</v>
      </c>
      <c r="F7564" s="2" t="str">
        <f>HYPERLINK("http://www.otzar.org/book.asp?6870","גחלי אש - 2 כר'")</f>
        <v>גחלי אש - 2 כר'</v>
      </c>
    </row>
    <row r="7565" spans="1:6" x14ac:dyDescent="0.2">
      <c r="A7565" t="s">
        <v>13394</v>
      </c>
      <c r="B7565" t="s">
        <v>13395</v>
      </c>
      <c r="C7565" t="s">
        <v>576</v>
      </c>
      <c r="D7565" t="s">
        <v>9224</v>
      </c>
      <c r="E7565" t="s">
        <v>241</v>
      </c>
      <c r="F7565" s="2" t="str">
        <f>HYPERLINK("http://www.otzar.org/book.asp?300637","גחלי אש")</f>
        <v>גחלי אש</v>
      </c>
    </row>
    <row r="7566" spans="1:6" x14ac:dyDescent="0.2">
      <c r="A7566" t="s">
        <v>13394</v>
      </c>
      <c r="B7566" t="s">
        <v>3292</v>
      </c>
      <c r="C7566" t="s">
        <v>506</v>
      </c>
      <c r="D7566" t="s">
        <v>3293</v>
      </c>
      <c r="E7566" t="s">
        <v>234</v>
      </c>
      <c r="F7566" s="2" t="str">
        <f>HYPERLINK("http://www.otzar.org/book.asp?300613","גחלי אש")</f>
        <v>גחלי אש</v>
      </c>
    </row>
    <row r="7567" spans="1:6" x14ac:dyDescent="0.2">
      <c r="A7567" t="s">
        <v>13394</v>
      </c>
      <c r="B7567" t="s">
        <v>13396</v>
      </c>
      <c r="C7567" t="s">
        <v>244</v>
      </c>
      <c r="D7567" t="s">
        <v>52</v>
      </c>
      <c r="F7567" s="2" t="str">
        <f>HYPERLINK("http://www.otzar.org/book.asp?621354","גחלי אש")</f>
        <v>גחלי אש</v>
      </c>
    </row>
    <row r="7568" spans="1:6" x14ac:dyDescent="0.2">
      <c r="A7568" t="s">
        <v>13397</v>
      </c>
      <c r="B7568" t="s">
        <v>3306</v>
      </c>
      <c r="C7568" t="s">
        <v>51</v>
      </c>
      <c r="D7568" t="s">
        <v>14</v>
      </c>
      <c r="E7568" t="s">
        <v>399</v>
      </c>
      <c r="F7568" s="2" t="str">
        <f>HYPERLINK("http://www.otzar.org/book.asp?149010","גט השמות")</f>
        <v>גט השמות</v>
      </c>
    </row>
    <row r="7569" spans="1:6" x14ac:dyDescent="0.2">
      <c r="A7569" t="s">
        <v>13398</v>
      </c>
      <c r="B7569" t="s">
        <v>13399</v>
      </c>
      <c r="C7569" t="s">
        <v>619</v>
      </c>
      <c r="D7569" t="s">
        <v>691</v>
      </c>
      <c r="E7569" t="s">
        <v>15</v>
      </c>
      <c r="F7569" s="2" t="str">
        <f>HYPERLINK("http://www.otzar.org/book.asp?14003","גט מסודר")</f>
        <v>גט מסודר</v>
      </c>
    </row>
    <row r="7570" spans="1:6" x14ac:dyDescent="0.2">
      <c r="A7570" t="s">
        <v>13400</v>
      </c>
      <c r="B7570" t="s">
        <v>2688</v>
      </c>
      <c r="C7570" t="s">
        <v>87</v>
      </c>
      <c r="D7570" t="s">
        <v>412</v>
      </c>
      <c r="E7570" t="s">
        <v>15</v>
      </c>
      <c r="F7570" s="2" t="str">
        <f>HYPERLINK("http://www.otzar.org/book.asp?21621","גט מעושה בערכאות &lt;משנה הלכות&gt;")</f>
        <v>גט מעושה בערכאות &lt;משנה הלכות&gt;</v>
      </c>
    </row>
    <row r="7571" spans="1:6" x14ac:dyDescent="0.2">
      <c r="A7571" t="s">
        <v>13401</v>
      </c>
      <c r="B7571" t="s">
        <v>5590</v>
      </c>
      <c r="C7571" t="s">
        <v>454</v>
      </c>
      <c r="D7571" t="s">
        <v>14</v>
      </c>
      <c r="E7571" t="s">
        <v>803</v>
      </c>
      <c r="F7571" s="2" t="str">
        <f>HYPERLINK("http://www.otzar.org/book.asp?61678","גט מעושה")</f>
        <v>גט מעושה</v>
      </c>
    </row>
    <row r="7572" spans="1:6" x14ac:dyDescent="0.2">
      <c r="A7572" t="s">
        <v>13402</v>
      </c>
      <c r="B7572" t="s">
        <v>13403</v>
      </c>
      <c r="C7572" t="s">
        <v>624</v>
      </c>
      <c r="D7572" t="s">
        <v>14</v>
      </c>
      <c r="E7572" t="s">
        <v>15</v>
      </c>
      <c r="F7572" s="2" t="str">
        <f>HYPERLINK("http://www.otzar.org/book.asp?156485","גט מקושר &lt;מהדורה חדשה&gt;")</f>
        <v>גט מקושר &lt;מהדורה חדשה&gt;</v>
      </c>
    </row>
    <row r="7573" spans="1:6" x14ac:dyDescent="0.2">
      <c r="A7573" t="s">
        <v>13404</v>
      </c>
      <c r="B7573" t="s">
        <v>13405</v>
      </c>
      <c r="C7573" t="s">
        <v>244</v>
      </c>
      <c r="D7573" t="s">
        <v>21</v>
      </c>
      <c r="E7573" t="s">
        <v>172</v>
      </c>
      <c r="F7573" s="2" t="str">
        <f>HYPERLINK("http://www.otzar.org/book.asp?604490","גט מקושר &lt;מהדורת משנת הגט&gt;")</f>
        <v>גט מקושר &lt;מהדורת משנת הגט&gt;</v>
      </c>
    </row>
    <row r="7574" spans="1:6" x14ac:dyDescent="0.2">
      <c r="A7574" t="s">
        <v>13406</v>
      </c>
      <c r="B7574" t="s">
        <v>5253</v>
      </c>
      <c r="C7574" t="s">
        <v>37</v>
      </c>
      <c r="D7574" t="s">
        <v>486</v>
      </c>
      <c r="F7574" s="2" t="str">
        <f>HYPERLINK("http://www.otzar.org/book.asp?606482","גט מקושר וטיב גיטין &lt;מהדורה חדשה&gt; - 2 כר'")</f>
        <v>גט מקושר וטיב גיטין &lt;מהדורה חדשה&gt; - 2 כר'</v>
      </c>
    </row>
    <row r="7575" spans="1:6" x14ac:dyDescent="0.2">
      <c r="A7575" t="s">
        <v>13407</v>
      </c>
      <c r="B7575" t="s">
        <v>5253</v>
      </c>
      <c r="C7575" t="s">
        <v>619</v>
      </c>
      <c r="D7575" t="s">
        <v>283</v>
      </c>
      <c r="E7575" t="s">
        <v>15</v>
      </c>
      <c r="F7575" s="2" t="str">
        <f>HYPERLINK("http://www.otzar.org/book.asp?5746","גט מקושר וטיב גיטין")</f>
        <v>גט מקושר וטיב גיטין</v>
      </c>
    </row>
    <row r="7576" spans="1:6" x14ac:dyDescent="0.2">
      <c r="A7576" t="s">
        <v>13408</v>
      </c>
      <c r="B7576" t="s">
        <v>13405</v>
      </c>
      <c r="C7576" t="s">
        <v>2289</v>
      </c>
      <c r="D7576" t="s">
        <v>1490</v>
      </c>
      <c r="E7576" t="s">
        <v>15</v>
      </c>
      <c r="F7576" s="2" t="str">
        <f>HYPERLINK("http://www.otzar.org/book.asp?100394","גט מקושר")</f>
        <v>גט מקושר</v>
      </c>
    </row>
    <row r="7577" spans="1:6" x14ac:dyDescent="0.2">
      <c r="A7577" t="s">
        <v>13408</v>
      </c>
      <c r="B7577" t="s">
        <v>13409</v>
      </c>
      <c r="C7577" t="s">
        <v>1524</v>
      </c>
      <c r="D7577" t="s">
        <v>212</v>
      </c>
      <c r="E7577" t="s">
        <v>803</v>
      </c>
      <c r="F7577" s="2" t="str">
        <f>HYPERLINK("http://www.otzar.org/book.asp?17403","גט מקושר")</f>
        <v>גט מקושר</v>
      </c>
    </row>
    <row r="7578" spans="1:6" x14ac:dyDescent="0.2">
      <c r="A7578" t="s">
        <v>13410</v>
      </c>
      <c r="B7578" t="s">
        <v>13411</v>
      </c>
      <c r="C7578" t="s">
        <v>5140</v>
      </c>
      <c r="D7578" t="s">
        <v>60</v>
      </c>
      <c r="E7578" t="s">
        <v>148</v>
      </c>
      <c r="F7578" s="2" t="str">
        <f>HYPERLINK("http://www.otzar.org/book.asp?100869","גט פשוט - 3 כר'")</f>
        <v>גט פשוט - 3 כר'</v>
      </c>
    </row>
    <row r="7579" spans="1:6" x14ac:dyDescent="0.2">
      <c r="A7579" t="s">
        <v>13412</v>
      </c>
      <c r="B7579" t="s">
        <v>13413</v>
      </c>
      <c r="C7579" t="s">
        <v>156</v>
      </c>
      <c r="D7579" t="s">
        <v>13414</v>
      </c>
      <c r="E7579" t="s">
        <v>213</v>
      </c>
      <c r="F7579" s="2" t="str">
        <f>HYPERLINK("http://www.otzar.org/book.asp?145444","גיא חזיון")</f>
        <v>גיא חזיון</v>
      </c>
    </row>
    <row r="7580" spans="1:6" x14ac:dyDescent="0.2">
      <c r="A7580" t="s">
        <v>13415</v>
      </c>
      <c r="B7580" t="s">
        <v>11912</v>
      </c>
      <c r="C7580" t="s">
        <v>812</v>
      </c>
      <c r="D7580" t="s">
        <v>27</v>
      </c>
      <c r="E7580" t="s">
        <v>104</v>
      </c>
      <c r="F7580" s="2" t="str">
        <f>HYPERLINK("http://www.otzar.org/book.asp?143018","גיא חזיון - 2 כר'")</f>
        <v>גיא חזיון - 2 כר'</v>
      </c>
    </row>
    <row r="7581" spans="1:6" x14ac:dyDescent="0.2">
      <c r="A7581" t="s">
        <v>13415</v>
      </c>
      <c r="B7581" t="s">
        <v>10104</v>
      </c>
      <c r="C7581" t="s">
        <v>13416</v>
      </c>
      <c r="D7581" t="s">
        <v>100</v>
      </c>
      <c r="E7581" t="s">
        <v>241</v>
      </c>
      <c r="F7581" s="2" t="str">
        <f>HYPERLINK("http://www.otzar.org/book.asp?15906","גיא חזיון - 2 כר'")</f>
        <v>גיא חזיון - 2 כר'</v>
      </c>
    </row>
    <row r="7582" spans="1:6" x14ac:dyDescent="0.2">
      <c r="A7582" t="s">
        <v>13417</v>
      </c>
      <c r="B7582" t="s">
        <v>13418</v>
      </c>
      <c r="C7582" t="s">
        <v>576</v>
      </c>
      <c r="D7582" t="s">
        <v>1100</v>
      </c>
      <c r="E7582" t="s">
        <v>158</v>
      </c>
      <c r="F7582" s="2" t="str">
        <f>HYPERLINK("http://www.otzar.org/book.asp?300615","גיא חזיון - בראשית")</f>
        <v>גיא חזיון - בראשית</v>
      </c>
    </row>
    <row r="7583" spans="1:6" x14ac:dyDescent="0.2">
      <c r="A7583" t="s">
        <v>13412</v>
      </c>
      <c r="B7583" t="s">
        <v>5608</v>
      </c>
      <c r="C7583" t="s">
        <v>609</v>
      </c>
      <c r="D7583" t="s">
        <v>13419</v>
      </c>
      <c r="E7583" t="s">
        <v>234</v>
      </c>
      <c r="F7583" s="2" t="str">
        <f>HYPERLINK("http://www.otzar.org/book.asp?15907","גיא חזיון")</f>
        <v>גיא חזיון</v>
      </c>
    </row>
    <row r="7584" spans="1:6" x14ac:dyDescent="0.2">
      <c r="A7584" t="s">
        <v>13412</v>
      </c>
      <c r="B7584" t="s">
        <v>13420</v>
      </c>
      <c r="C7584" t="s">
        <v>438</v>
      </c>
      <c r="D7584" t="s">
        <v>216</v>
      </c>
      <c r="E7584" t="s">
        <v>2569</v>
      </c>
      <c r="F7584" s="2" t="str">
        <f>HYPERLINK("http://www.otzar.org/book.asp?7529","גיא חזיון")</f>
        <v>גיא חזיון</v>
      </c>
    </row>
    <row r="7585" spans="1:6" x14ac:dyDescent="0.2">
      <c r="A7585" t="s">
        <v>13421</v>
      </c>
      <c r="B7585" t="s">
        <v>13422</v>
      </c>
      <c r="C7585" t="s">
        <v>244</v>
      </c>
      <c r="D7585" t="s">
        <v>52</v>
      </c>
      <c r="E7585" t="s">
        <v>588</v>
      </c>
      <c r="F7585" s="2" t="str">
        <f>HYPERLINK("http://www.otzar.org/book.asp?600107","גיא ינשא - 2 כר'")</f>
        <v>גיא ינשא - 2 כר'</v>
      </c>
    </row>
    <row r="7586" spans="1:6" x14ac:dyDescent="0.2">
      <c r="A7586" t="s">
        <v>13423</v>
      </c>
      <c r="B7586" t="s">
        <v>13424</v>
      </c>
      <c r="C7586" t="s">
        <v>553</v>
      </c>
      <c r="D7586" t="s">
        <v>52</v>
      </c>
      <c r="E7586" t="s">
        <v>148</v>
      </c>
      <c r="F7586" s="2" t="str">
        <f>HYPERLINK("http://www.otzar.org/book.asp?5005","גיא מלח")</f>
        <v>גיא מלח</v>
      </c>
    </row>
    <row r="7587" spans="1:6" x14ac:dyDescent="0.2">
      <c r="A7587" t="s">
        <v>13425</v>
      </c>
      <c r="B7587" t="s">
        <v>13426</v>
      </c>
      <c r="C7587" t="s">
        <v>133</v>
      </c>
      <c r="D7587" t="s">
        <v>14</v>
      </c>
      <c r="E7587" t="s">
        <v>172</v>
      </c>
      <c r="F7587" s="2" t="str">
        <f>HYPERLINK("http://www.otzar.org/book.asp?171707","גיבור חיל - 4 כר'")</f>
        <v>גיבור חיל - 4 כר'</v>
      </c>
    </row>
    <row r="7588" spans="1:6" x14ac:dyDescent="0.2">
      <c r="A7588" t="s">
        <v>13427</v>
      </c>
      <c r="B7588" t="s">
        <v>206</v>
      </c>
      <c r="C7588" t="s">
        <v>20</v>
      </c>
      <c r="D7588" t="s">
        <v>90</v>
      </c>
      <c r="F7588" s="2" t="str">
        <f>HYPERLINK("http://www.otzar.org/book.asp?616053","גיבור כארי")</f>
        <v>גיבור כארי</v>
      </c>
    </row>
    <row r="7589" spans="1:6" x14ac:dyDescent="0.2">
      <c r="A7589" t="s">
        <v>13428</v>
      </c>
      <c r="B7589" t="s">
        <v>13429</v>
      </c>
      <c r="C7589" t="s">
        <v>244</v>
      </c>
      <c r="D7589" t="s">
        <v>12936</v>
      </c>
      <c r="E7589" t="s">
        <v>202</v>
      </c>
      <c r="F7589" s="2" t="str">
        <f>HYPERLINK("http://www.otzar.org/book.asp?626183","גיבורי כח")</f>
        <v>גיבורי כח</v>
      </c>
    </row>
    <row r="7590" spans="1:6" x14ac:dyDescent="0.2">
      <c r="A7590" t="s">
        <v>13430</v>
      </c>
      <c r="B7590" t="s">
        <v>13431</v>
      </c>
      <c r="C7590" t="s">
        <v>956</v>
      </c>
      <c r="D7590" t="s">
        <v>52</v>
      </c>
      <c r="E7590" t="s">
        <v>148</v>
      </c>
      <c r="F7590" s="2" t="str">
        <f>HYPERLINK("http://www.otzar.org/book.asp?84943","גידולי אהרן")</f>
        <v>גידולי אהרן</v>
      </c>
    </row>
    <row r="7591" spans="1:6" x14ac:dyDescent="0.2">
      <c r="A7591" t="s">
        <v>13432</v>
      </c>
      <c r="B7591" t="s">
        <v>9866</v>
      </c>
      <c r="C7591" t="s">
        <v>124</v>
      </c>
      <c r="D7591" t="s">
        <v>14</v>
      </c>
      <c r="E7591" t="s">
        <v>144</v>
      </c>
      <c r="F7591" s="2" t="str">
        <f>HYPERLINK("http://www.otzar.org/book.asp?10748","גידולי אליהו")</f>
        <v>גידולי אליהו</v>
      </c>
    </row>
    <row r="7592" spans="1:6" x14ac:dyDescent="0.2">
      <c r="A7592" t="s">
        <v>13433</v>
      </c>
      <c r="B7592" t="s">
        <v>13434</v>
      </c>
      <c r="C7592" t="s">
        <v>482</v>
      </c>
      <c r="D7592" t="s">
        <v>118</v>
      </c>
      <c r="E7592" t="s">
        <v>144</v>
      </c>
      <c r="F7592" s="2" t="str">
        <f>HYPERLINK("http://www.otzar.org/book.asp?300363","גידולי הקדש")</f>
        <v>גידולי הקדש</v>
      </c>
    </row>
    <row r="7593" spans="1:6" x14ac:dyDescent="0.2">
      <c r="A7593" t="s">
        <v>13435</v>
      </c>
      <c r="B7593" t="s">
        <v>13436</v>
      </c>
      <c r="C7593" t="s">
        <v>482</v>
      </c>
      <c r="D7593" t="s">
        <v>216</v>
      </c>
      <c r="E7593" t="s">
        <v>144</v>
      </c>
      <c r="F7593" s="2" t="str">
        <f>HYPERLINK("http://www.otzar.org/book.asp?163372","גידולי הקדש - 2 כר'")</f>
        <v>גידולי הקדש - 2 כר'</v>
      </c>
    </row>
    <row r="7594" spans="1:6" x14ac:dyDescent="0.2">
      <c r="A7594" t="s">
        <v>13437</v>
      </c>
      <c r="B7594" t="s">
        <v>13438</v>
      </c>
      <c r="C7594" t="s">
        <v>466</v>
      </c>
      <c r="D7594" t="s">
        <v>52</v>
      </c>
      <c r="E7594" t="s">
        <v>15</v>
      </c>
      <c r="F7594" s="2" t="str">
        <f>HYPERLINK("http://www.otzar.org/book.asp?50473","גידולי חדש")</f>
        <v>גידולי חדש</v>
      </c>
    </row>
    <row r="7595" spans="1:6" x14ac:dyDescent="0.2">
      <c r="A7595" t="s">
        <v>13439</v>
      </c>
      <c r="B7595" t="s">
        <v>13440</v>
      </c>
      <c r="C7595" t="s">
        <v>5163</v>
      </c>
      <c r="D7595" t="s">
        <v>2303</v>
      </c>
      <c r="E7595" t="s">
        <v>10</v>
      </c>
      <c r="F7595" s="2" t="str">
        <f>HYPERLINK("http://www.otzar.org/book.asp?8422","גידולי טהרה")</f>
        <v>גידולי טהרה</v>
      </c>
    </row>
    <row r="7596" spans="1:6" x14ac:dyDescent="0.2">
      <c r="A7596" t="s">
        <v>13441</v>
      </c>
      <c r="B7596" t="s">
        <v>13442</v>
      </c>
      <c r="C7596" t="s">
        <v>114</v>
      </c>
      <c r="D7596" t="s">
        <v>115</v>
      </c>
      <c r="E7596" t="s">
        <v>130</v>
      </c>
      <c r="F7596" s="2" t="str">
        <f>HYPERLINK("http://www.otzar.org/book.asp?160134","גידולי משה")</f>
        <v>גידולי משה</v>
      </c>
    </row>
    <row r="7597" spans="1:6" x14ac:dyDescent="0.2">
      <c r="A7597" t="s">
        <v>13443</v>
      </c>
      <c r="B7597" t="s">
        <v>13444</v>
      </c>
      <c r="C7597" t="s">
        <v>143</v>
      </c>
      <c r="D7597" t="s">
        <v>52</v>
      </c>
      <c r="E7597" t="s">
        <v>144</v>
      </c>
      <c r="F7597" s="2" t="str">
        <f>HYPERLINK("http://www.otzar.org/book.asp?164978","גידולי שלום - יבמות")</f>
        <v>גידולי שלום - יבמות</v>
      </c>
    </row>
    <row r="7598" spans="1:6" x14ac:dyDescent="0.2">
      <c r="A7598" t="s">
        <v>13445</v>
      </c>
      <c r="B7598" t="s">
        <v>13446</v>
      </c>
      <c r="C7598" t="s">
        <v>51</v>
      </c>
      <c r="D7598" t="s">
        <v>14</v>
      </c>
      <c r="E7598" t="s">
        <v>144</v>
      </c>
      <c r="F7598" s="2" t="str">
        <f>HYPERLINK("http://www.otzar.org/book.asp?52872","גידולי שמואל &lt;מהדורה חדשה&gt; - 5 כר'")</f>
        <v>גידולי שמואל &lt;מהדורה חדשה&gt; - 5 כר'</v>
      </c>
    </row>
    <row r="7599" spans="1:6" x14ac:dyDescent="0.2">
      <c r="A7599" t="s">
        <v>13447</v>
      </c>
      <c r="B7599" t="s">
        <v>13446</v>
      </c>
      <c r="C7599" t="s">
        <v>466</v>
      </c>
      <c r="D7599" t="s">
        <v>14</v>
      </c>
      <c r="E7599" t="s">
        <v>144</v>
      </c>
      <c r="F7599" s="2" t="str">
        <f>HYPERLINK("http://www.otzar.org/book.asp?60422","גידולי שמואל &lt;מהדרוה חדשה&gt; - ב""ק")</f>
        <v>גידולי שמואל &lt;מהדרוה חדשה&gt; - ב"ק</v>
      </c>
    </row>
    <row r="7600" spans="1:6" x14ac:dyDescent="0.2">
      <c r="A7600" t="s">
        <v>13448</v>
      </c>
      <c r="B7600" t="s">
        <v>13449</v>
      </c>
      <c r="C7600" t="s">
        <v>1619</v>
      </c>
      <c r="D7600" t="s">
        <v>14</v>
      </c>
      <c r="E7600" t="s">
        <v>104</v>
      </c>
      <c r="F7600" s="2" t="str">
        <f>HYPERLINK("http://www.otzar.org/book.asp?12647","גיזת הזהב של מחקר הגויות")</f>
        <v>גיזת הזהב של מחקר הגויות</v>
      </c>
    </row>
    <row r="7601" spans="1:6" x14ac:dyDescent="0.2">
      <c r="A7601" t="s">
        <v>13450</v>
      </c>
      <c r="B7601" t="s">
        <v>2965</v>
      </c>
      <c r="C7601" t="s">
        <v>1160</v>
      </c>
      <c r="D7601" t="s">
        <v>2531</v>
      </c>
      <c r="E7601" t="s">
        <v>4738</v>
      </c>
      <c r="F7601" s="2" t="str">
        <f>HYPERLINK("http://www.otzar.org/book.asp?22581","גייסטיקע שטראלן")</f>
        <v>גייסטיקע שטראלן</v>
      </c>
    </row>
    <row r="7602" spans="1:6" x14ac:dyDescent="0.2">
      <c r="A7602" t="s">
        <v>13451</v>
      </c>
      <c r="B7602" t="s">
        <v>13452</v>
      </c>
      <c r="C7602" t="s">
        <v>313</v>
      </c>
      <c r="D7602" t="s">
        <v>412</v>
      </c>
      <c r="E7602" t="s">
        <v>234</v>
      </c>
      <c r="F7602" s="2" t="str">
        <f>HYPERLINK("http://www.otzar.org/book.asp?151653","גיל אהרן &lt;נקי כפים ובר מצוה&gt;")</f>
        <v>גיל אהרן &lt;נקי כפים ובר מצוה&gt;</v>
      </c>
    </row>
    <row r="7603" spans="1:6" x14ac:dyDescent="0.2">
      <c r="A7603" t="s">
        <v>13453</v>
      </c>
      <c r="B7603" t="s">
        <v>13454</v>
      </c>
      <c r="C7603" t="s">
        <v>106</v>
      </c>
      <c r="D7603" t="s">
        <v>1076</v>
      </c>
      <c r="E7603" t="s">
        <v>219</v>
      </c>
      <c r="F7603" s="2" t="str">
        <f>HYPERLINK("http://www.otzar.org/book.asp?198430","גילה ורנה")</f>
        <v>גילה ורנה</v>
      </c>
    </row>
    <row r="7604" spans="1:6" x14ac:dyDescent="0.2">
      <c r="A7604" t="s">
        <v>13455</v>
      </c>
      <c r="B7604" t="s">
        <v>4988</v>
      </c>
      <c r="C7604" t="s">
        <v>1208</v>
      </c>
      <c r="D7604" t="s">
        <v>52</v>
      </c>
      <c r="F7604" s="2" t="str">
        <f>HYPERLINK("http://www.otzar.org/book.asp?153410","גילו ברעדה")</f>
        <v>גילו ברעדה</v>
      </c>
    </row>
    <row r="7605" spans="1:6" x14ac:dyDescent="0.2">
      <c r="A7605" t="s">
        <v>13456</v>
      </c>
      <c r="B7605" t="s">
        <v>206</v>
      </c>
      <c r="C7605" t="s">
        <v>20</v>
      </c>
      <c r="D7605" t="s">
        <v>14</v>
      </c>
      <c r="F7605" s="2" t="str">
        <f>HYPERLINK("http://www.otzar.org/book.asp?608392","גילוי אליהו")</f>
        <v>גילוי אליהו</v>
      </c>
    </row>
    <row r="7606" spans="1:6" x14ac:dyDescent="0.2">
      <c r="A7606" t="s">
        <v>13457</v>
      </c>
      <c r="B7606" t="s">
        <v>13458</v>
      </c>
      <c r="C7606" t="s">
        <v>20</v>
      </c>
      <c r="D7606" t="s">
        <v>90</v>
      </c>
      <c r="F7606" s="2" t="str">
        <f>HYPERLINK("http://www.otzar.org/book.asp?618462","גילוי האור הגנוז לישראל - ה")</f>
        <v>גילוי האור הגנוז לישראל - ה</v>
      </c>
    </row>
    <row r="7607" spans="1:6" x14ac:dyDescent="0.2">
      <c r="A7607" t="s">
        <v>13459</v>
      </c>
      <c r="B7607" t="s">
        <v>107</v>
      </c>
      <c r="C7607" t="s">
        <v>454</v>
      </c>
      <c r="D7607" t="s">
        <v>14</v>
      </c>
      <c r="E7607" t="s">
        <v>579</v>
      </c>
      <c r="F7607" s="2" t="str">
        <f>HYPERLINK("http://www.otzar.org/book.asp?164074","גילויי רזי התקופה בתורה")</f>
        <v>גילויי רזי התקופה בתורה</v>
      </c>
    </row>
    <row r="7608" spans="1:6" x14ac:dyDescent="0.2">
      <c r="A7608" t="s">
        <v>13460</v>
      </c>
      <c r="B7608" t="s">
        <v>13461</v>
      </c>
      <c r="C7608" t="s">
        <v>1535</v>
      </c>
      <c r="D7608" t="s">
        <v>1996</v>
      </c>
      <c r="E7608" t="s">
        <v>674</v>
      </c>
      <c r="F7608" s="2" t="str">
        <f>HYPERLINK("http://www.otzar.org/book.asp?300614","גילת הזהב")</f>
        <v>גילת הזהב</v>
      </c>
    </row>
    <row r="7609" spans="1:6" x14ac:dyDescent="0.2">
      <c r="A7609" t="s">
        <v>13462</v>
      </c>
      <c r="B7609" t="s">
        <v>13463</v>
      </c>
      <c r="C7609" t="s">
        <v>1388</v>
      </c>
      <c r="D7609" t="s">
        <v>852</v>
      </c>
      <c r="E7609" t="s">
        <v>13464</v>
      </c>
      <c r="F7609" s="2" t="str">
        <f>HYPERLINK("http://www.otzar.org/book.asp?22776","גילת מאיר")</f>
        <v>גילת מאיר</v>
      </c>
    </row>
    <row r="7610" spans="1:6" x14ac:dyDescent="0.2">
      <c r="A7610" t="s">
        <v>13465</v>
      </c>
      <c r="B7610" t="s">
        <v>13466</v>
      </c>
      <c r="C7610" t="s">
        <v>576</v>
      </c>
      <c r="D7610" t="s">
        <v>225</v>
      </c>
      <c r="E7610" t="s">
        <v>144</v>
      </c>
      <c r="F7610" s="2" t="str">
        <f>HYPERLINK("http://www.otzar.org/book.asp?182198","גילת שלום")</f>
        <v>גילת שלום</v>
      </c>
    </row>
    <row r="7611" spans="1:6" x14ac:dyDescent="0.2">
      <c r="A7611" t="s">
        <v>13467</v>
      </c>
      <c r="B7611" t="s">
        <v>13468</v>
      </c>
      <c r="C7611" t="s">
        <v>1246</v>
      </c>
      <c r="D7611" t="s">
        <v>27</v>
      </c>
      <c r="E7611" t="s">
        <v>104</v>
      </c>
      <c r="F7611" s="2" t="str">
        <f>HYPERLINK("http://www.otzar.org/book.asp?10506","גימטריא ונוטריקון")</f>
        <v>גימטריא ונוטריקון</v>
      </c>
    </row>
    <row r="7612" spans="1:6" x14ac:dyDescent="0.2">
      <c r="A7612" t="s">
        <v>13469</v>
      </c>
      <c r="B7612" t="s">
        <v>13470</v>
      </c>
      <c r="C7612" t="s">
        <v>1448</v>
      </c>
      <c r="D7612" t="s">
        <v>14</v>
      </c>
      <c r="E7612" t="s">
        <v>104</v>
      </c>
      <c r="F7612" s="2" t="str">
        <f>HYPERLINK("http://www.otzar.org/book.asp?174528","גימטריא")</f>
        <v>גימטריא</v>
      </c>
    </row>
    <row r="7613" spans="1:6" x14ac:dyDescent="0.2">
      <c r="A7613" t="s">
        <v>13471</v>
      </c>
      <c r="B7613" t="s">
        <v>3367</v>
      </c>
      <c r="C7613" t="s">
        <v>411</v>
      </c>
      <c r="D7613" t="s">
        <v>52</v>
      </c>
      <c r="E7613" t="s">
        <v>11780</v>
      </c>
      <c r="F7613" s="2" t="str">
        <f>HYPERLINK("http://www.otzar.org/book.asp?167853","גימטריאות הדר התורה")</f>
        <v>גימטריאות הדר התורה</v>
      </c>
    </row>
    <row r="7614" spans="1:6" x14ac:dyDescent="0.2">
      <c r="A7614" t="s">
        <v>13472</v>
      </c>
      <c r="B7614" t="s">
        <v>13473</v>
      </c>
      <c r="C7614" t="s">
        <v>698</v>
      </c>
      <c r="D7614" t="s">
        <v>27</v>
      </c>
      <c r="E7614" t="s">
        <v>104</v>
      </c>
      <c r="F7614" s="2" t="str">
        <f>HYPERLINK("http://www.otzar.org/book.asp?300611","גימטריאות פרפראות לחכמה")</f>
        <v>גימטריאות פרפראות לחכמה</v>
      </c>
    </row>
    <row r="7615" spans="1:6" x14ac:dyDescent="0.2">
      <c r="A7615" t="s">
        <v>13474</v>
      </c>
      <c r="B7615" t="s">
        <v>13475</v>
      </c>
      <c r="C7615" t="s">
        <v>767</v>
      </c>
      <c r="D7615" t="s">
        <v>412</v>
      </c>
      <c r="E7615" t="s">
        <v>104</v>
      </c>
      <c r="F7615" s="2" t="str">
        <f>HYPERLINK("http://www.otzar.org/book.asp?155463","גימטריאות")</f>
        <v>גימטריאות</v>
      </c>
    </row>
    <row r="7616" spans="1:6" x14ac:dyDescent="0.2">
      <c r="A7616" t="s">
        <v>13476</v>
      </c>
      <c r="B7616" t="s">
        <v>5011</v>
      </c>
      <c r="C7616" t="s">
        <v>111</v>
      </c>
      <c r="D7616" t="s">
        <v>52</v>
      </c>
      <c r="F7616" s="2" t="str">
        <f>HYPERLINK("http://www.otzar.org/book.asp?629841","גינת אגוז - 5 כר'")</f>
        <v>גינת אגוז - 5 כר'</v>
      </c>
    </row>
    <row r="7617" spans="1:6" x14ac:dyDescent="0.2">
      <c r="A7617" t="s">
        <v>13477</v>
      </c>
      <c r="B7617" t="s">
        <v>13478</v>
      </c>
      <c r="C7617" t="s">
        <v>103</v>
      </c>
      <c r="D7617" t="s">
        <v>486</v>
      </c>
      <c r="E7617" t="s">
        <v>1880</v>
      </c>
      <c r="F7617" s="2" t="str">
        <f>HYPERLINK("http://www.otzar.org/book.asp?53252","גינת אגוז - 2 כר'")</f>
        <v>גינת אגוז - 2 כר'</v>
      </c>
    </row>
    <row r="7618" spans="1:6" x14ac:dyDescent="0.2">
      <c r="A7618" t="s">
        <v>13479</v>
      </c>
      <c r="B7618" t="s">
        <v>13480</v>
      </c>
      <c r="C7618" t="s">
        <v>133</v>
      </c>
      <c r="D7618" t="s">
        <v>52</v>
      </c>
      <c r="E7618" t="s">
        <v>230</v>
      </c>
      <c r="F7618" s="2" t="str">
        <f>HYPERLINK("http://www.otzar.org/book.asp?182947","גינת אגוז")</f>
        <v>גינת אגוז</v>
      </c>
    </row>
    <row r="7619" spans="1:6" x14ac:dyDescent="0.2">
      <c r="A7619" t="s">
        <v>13479</v>
      </c>
      <c r="B7619" t="s">
        <v>7735</v>
      </c>
      <c r="C7619" t="s">
        <v>129</v>
      </c>
      <c r="D7619" t="s">
        <v>412</v>
      </c>
      <c r="E7619" t="s">
        <v>933</v>
      </c>
      <c r="F7619" s="2" t="str">
        <f>HYPERLINK("http://www.otzar.org/book.asp?64099","גינת אגוז")</f>
        <v>גינת אגוז</v>
      </c>
    </row>
    <row r="7620" spans="1:6" x14ac:dyDescent="0.2">
      <c r="A7620" t="s">
        <v>13481</v>
      </c>
      <c r="B7620" t="s">
        <v>1361</v>
      </c>
      <c r="C7620" t="s">
        <v>2289</v>
      </c>
      <c r="D7620" t="s">
        <v>2290</v>
      </c>
      <c r="E7620" t="s">
        <v>1211</v>
      </c>
      <c r="F7620" s="2" t="str">
        <f>HYPERLINK("http://www.otzar.org/book.asp?200082","גינת וורדים")</f>
        <v>גינת וורדים</v>
      </c>
    </row>
    <row r="7621" spans="1:6" x14ac:dyDescent="0.2">
      <c r="A7621" t="s">
        <v>13482</v>
      </c>
      <c r="B7621" t="s">
        <v>13483</v>
      </c>
      <c r="C7621" t="s">
        <v>13</v>
      </c>
      <c r="D7621" t="s">
        <v>14</v>
      </c>
      <c r="E7621" t="s">
        <v>154</v>
      </c>
      <c r="F7621" s="2" t="str">
        <f>HYPERLINK("http://www.otzar.org/book.asp?64088","גינת ורדים - 4 כר'")</f>
        <v>גינת ורדים - 4 כר'</v>
      </c>
    </row>
    <row r="7622" spans="1:6" x14ac:dyDescent="0.2">
      <c r="A7622" t="s">
        <v>13484</v>
      </c>
      <c r="B7622" t="s">
        <v>13485</v>
      </c>
      <c r="C7622" t="s">
        <v>129</v>
      </c>
      <c r="D7622" t="s">
        <v>412</v>
      </c>
      <c r="E7622" t="s">
        <v>202</v>
      </c>
      <c r="F7622" s="2" t="str">
        <f>HYPERLINK("http://www.otzar.org/book.asp?147560","גינת ורדים - 22 כר'")</f>
        <v>גינת ורדים - 22 כר'</v>
      </c>
    </row>
    <row r="7623" spans="1:6" x14ac:dyDescent="0.2">
      <c r="A7623" t="s">
        <v>13486</v>
      </c>
      <c r="B7623" t="s">
        <v>13487</v>
      </c>
      <c r="C7623" t="s">
        <v>23</v>
      </c>
      <c r="D7623" t="s">
        <v>52</v>
      </c>
      <c r="E7623" t="s">
        <v>13488</v>
      </c>
      <c r="F7623" s="2" t="str">
        <f>HYPERLINK("http://www.otzar.org/book.asp?193885","גינת נוי")</f>
        <v>גינת נוי</v>
      </c>
    </row>
    <row r="7624" spans="1:6" x14ac:dyDescent="0.2">
      <c r="A7624" t="s">
        <v>13489</v>
      </c>
      <c r="B7624" t="s">
        <v>5470</v>
      </c>
      <c r="C7624" t="s">
        <v>244</v>
      </c>
      <c r="D7624" t="s">
        <v>118</v>
      </c>
      <c r="E7624" t="s">
        <v>130</v>
      </c>
      <c r="F7624" s="2" t="str">
        <f>HYPERLINK("http://www.otzar.org/book.asp?601516","גינת ראובן - 41 כר'")</f>
        <v>גינת ראובן - 41 כר'</v>
      </c>
    </row>
    <row r="7625" spans="1:6" x14ac:dyDescent="0.2">
      <c r="A7625" t="s">
        <v>13490</v>
      </c>
      <c r="B7625" t="s">
        <v>107</v>
      </c>
      <c r="C7625" t="s">
        <v>20</v>
      </c>
      <c r="D7625" t="s">
        <v>14</v>
      </c>
      <c r="E7625" t="s">
        <v>104</v>
      </c>
      <c r="F7625" s="2" t="str">
        <f>HYPERLINK("http://www.otzar.org/book.asp?164071","גירוש יהודים מבתיהם בארץ ישראל")</f>
        <v>גירוש יהודים מבתיהם בארץ ישראל</v>
      </c>
    </row>
    <row r="7626" spans="1:6" x14ac:dyDescent="0.2">
      <c r="A7626" t="s">
        <v>13491</v>
      </c>
      <c r="B7626" t="s">
        <v>13492</v>
      </c>
      <c r="C7626" t="s">
        <v>20</v>
      </c>
      <c r="D7626" t="s">
        <v>14</v>
      </c>
      <c r="E7626" t="s">
        <v>15</v>
      </c>
      <c r="F7626" s="2" t="str">
        <f>HYPERLINK("http://www.otzar.org/book.asp?628074","גירושי שוטה")</f>
        <v>גירושי שוטה</v>
      </c>
    </row>
    <row r="7627" spans="1:6" x14ac:dyDescent="0.2">
      <c r="A7627" t="s">
        <v>13493</v>
      </c>
      <c r="B7627" t="s">
        <v>13438</v>
      </c>
      <c r="C7627" t="s">
        <v>103</v>
      </c>
      <c r="D7627" t="s">
        <v>52</v>
      </c>
      <c r="E7627" t="s">
        <v>15</v>
      </c>
      <c r="F7627" s="2" t="str">
        <f>HYPERLINK("http://www.otzar.org/book.asp?50730","גירות כהלכתה")</f>
        <v>גירות כהלכתה</v>
      </c>
    </row>
    <row r="7628" spans="1:6" x14ac:dyDescent="0.2">
      <c r="A7628" t="s">
        <v>13494</v>
      </c>
      <c r="B7628" t="s">
        <v>11528</v>
      </c>
      <c r="C7628" t="s">
        <v>68</v>
      </c>
      <c r="D7628" t="s">
        <v>14</v>
      </c>
      <c r="F7628" s="2" t="str">
        <f>HYPERLINK("http://www.otzar.org/book.asp?197940","גירי דיליה - ב""ב")</f>
        <v>גירי דיליה - ב"ב</v>
      </c>
    </row>
    <row r="7629" spans="1:6" x14ac:dyDescent="0.2">
      <c r="A7629" t="s">
        <v>13495</v>
      </c>
      <c r="B7629" t="s">
        <v>13496</v>
      </c>
      <c r="C7629" t="s">
        <v>462</v>
      </c>
      <c r="D7629" t="s">
        <v>225</v>
      </c>
      <c r="E7629" t="s">
        <v>12419</v>
      </c>
      <c r="F7629" s="2" t="str">
        <f>HYPERLINK("http://www.otzar.org/book.asp?182197","גירסא דינוקא אלימלך")</f>
        <v>גירסא דינוקא אלימלך</v>
      </c>
    </row>
    <row r="7630" spans="1:6" x14ac:dyDescent="0.2">
      <c r="A7630" t="s">
        <v>13497</v>
      </c>
      <c r="B7630" t="s">
        <v>13498</v>
      </c>
      <c r="C7630" t="s">
        <v>523</v>
      </c>
      <c r="D7630" t="s">
        <v>2458</v>
      </c>
      <c r="E7630" t="s">
        <v>104</v>
      </c>
      <c r="F7630" s="2" t="str">
        <f>HYPERLINK("http://www.otzar.org/book.asp?148969","גירסא דינקותא")</f>
        <v>גירסא דינקותא</v>
      </c>
    </row>
    <row r="7631" spans="1:6" x14ac:dyDescent="0.2">
      <c r="A7631" t="s">
        <v>13497</v>
      </c>
      <c r="B7631" t="s">
        <v>13499</v>
      </c>
      <c r="C7631" t="s">
        <v>1470</v>
      </c>
      <c r="D7631" t="s">
        <v>1081</v>
      </c>
      <c r="F7631" s="2" t="str">
        <f>HYPERLINK("http://www.otzar.org/book.asp?182337","גירסא דינקותא")</f>
        <v>גירסא דינקותא</v>
      </c>
    </row>
    <row r="7632" spans="1:6" x14ac:dyDescent="0.2">
      <c r="A7632" t="s">
        <v>13500</v>
      </c>
      <c r="B7632" t="s">
        <v>1007</v>
      </c>
      <c r="C7632" t="s">
        <v>550</v>
      </c>
      <c r="D7632" t="s">
        <v>1008</v>
      </c>
      <c r="E7632" t="s">
        <v>435</v>
      </c>
      <c r="F7632" s="2" t="str">
        <f>HYPERLINK("http://www.otzar.org/book.asp?100834","גל נעול")</f>
        <v>גל נעול</v>
      </c>
    </row>
    <row r="7633" spans="1:6" x14ac:dyDescent="0.2">
      <c r="A7633" t="s">
        <v>13501</v>
      </c>
      <c r="B7633" t="s">
        <v>686</v>
      </c>
      <c r="C7633" t="s">
        <v>114</v>
      </c>
      <c r="D7633" t="s">
        <v>52</v>
      </c>
      <c r="E7633" t="s">
        <v>246</v>
      </c>
      <c r="F7633" s="2" t="str">
        <f>HYPERLINK("http://www.otzar.org/book.asp?165393","גל עיני")</f>
        <v>גל עיני</v>
      </c>
    </row>
    <row r="7634" spans="1:6" x14ac:dyDescent="0.2">
      <c r="A7634" t="s">
        <v>13502</v>
      </c>
      <c r="B7634" t="s">
        <v>13503</v>
      </c>
      <c r="C7634" t="s">
        <v>133</v>
      </c>
      <c r="D7634" t="s">
        <v>52</v>
      </c>
      <c r="F7634" s="2" t="str">
        <f>HYPERLINK("http://www.otzar.org/book.asp?611710","גל עיני - נדה")</f>
        <v>גל עיני - נדה</v>
      </c>
    </row>
    <row r="7635" spans="1:6" x14ac:dyDescent="0.2">
      <c r="A7635" t="s">
        <v>13504</v>
      </c>
      <c r="B7635" t="s">
        <v>13505</v>
      </c>
      <c r="C7635" t="s">
        <v>68</v>
      </c>
      <c r="D7635" t="s">
        <v>367</v>
      </c>
      <c r="E7635" t="s">
        <v>158</v>
      </c>
      <c r="F7635" s="2" t="str">
        <f>HYPERLINK("http://www.otzar.org/book.asp?157414","גל עיני - 2 כר'")</f>
        <v>גל עיני - 2 כר'</v>
      </c>
    </row>
    <row r="7636" spans="1:6" x14ac:dyDescent="0.2">
      <c r="A7636" t="s">
        <v>13506</v>
      </c>
      <c r="B7636" t="s">
        <v>13507</v>
      </c>
      <c r="C7636" t="s">
        <v>9307</v>
      </c>
      <c r="D7636" t="s">
        <v>1490</v>
      </c>
      <c r="E7636" t="s">
        <v>158</v>
      </c>
      <c r="F7636" s="2" t="str">
        <f>HYPERLINK("http://www.otzar.org/book.asp?22404","גל של אגוזים")</f>
        <v>גל של אגוזים</v>
      </c>
    </row>
    <row r="7637" spans="1:6" x14ac:dyDescent="0.2">
      <c r="A7637" t="s">
        <v>13508</v>
      </c>
      <c r="B7637" t="s">
        <v>13509</v>
      </c>
      <c r="C7637" t="s">
        <v>785</v>
      </c>
      <c r="D7637" t="s">
        <v>52</v>
      </c>
      <c r="F7637" s="2" t="str">
        <f>HYPERLINK("http://www.otzar.org/book.asp?181710","גלאט - 26 כר'")</f>
        <v>גלאט - 26 כר'</v>
      </c>
    </row>
    <row r="7638" spans="1:6" x14ac:dyDescent="0.2">
      <c r="A7638" t="s">
        <v>13510</v>
      </c>
      <c r="B7638" t="s">
        <v>13511</v>
      </c>
      <c r="C7638" t="s">
        <v>411</v>
      </c>
      <c r="D7638" t="s">
        <v>14</v>
      </c>
      <c r="F7638" s="2" t="str">
        <f>HYPERLINK("http://www.otzar.org/book.asp?182453","גלגולי הנשמות - גלגל צדק")</f>
        <v>גלגולי הנשמות - גלגל צדק</v>
      </c>
    </row>
    <row r="7639" spans="1:6" x14ac:dyDescent="0.2">
      <c r="A7639" t="s">
        <v>13512</v>
      </c>
      <c r="B7639" t="s">
        <v>6040</v>
      </c>
      <c r="C7639" t="s">
        <v>151</v>
      </c>
      <c r="D7639" t="s">
        <v>367</v>
      </c>
      <c r="F7639" s="2" t="str">
        <f>HYPERLINK("http://www.otzar.org/book.asp?609976","גלגולי נשמות &lt;מהדורה חדשה&gt;")</f>
        <v>גלגולי נשמות &lt;מהדורה חדשה&gt;</v>
      </c>
    </row>
    <row r="7640" spans="1:6" x14ac:dyDescent="0.2">
      <c r="A7640" t="s">
        <v>13513</v>
      </c>
      <c r="B7640" t="s">
        <v>6040</v>
      </c>
      <c r="C7640" t="s">
        <v>13514</v>
      </c>
      <c r="D7640" t="s">
        <v>744</v>
      </c>
      <c r="E7640" t="s">
        <v>1438</v>
      </c>
      <c r="F7640" s="2" t="str">
        <f>HYPERLINK("http://www.otzar.org/book.asp?53317","גלגולי נשמות - 3 כר'")</f>
        <v>גלגולי נשמות - 3 כר'</v>
      </c>
    </row>
    <row r="7641" spans="1:6" x14ac:dyDescent="0.2">
      <c r="A7641" t="s">
        <v>13515</v>
      </c>
      <c r="B7641" t="s">
        <v>13516</v>
      </c>
      <c r="C7641" t="s">
        <v>37</v>
      </c>
      <c r="E7641" t="s">
        <v>104</v>
      </c>
      <c r="F7641" s="2" t="str">
        <f>HYPERLINK("http://www.otzar.org/book.asp?623706","גלגל המזלות")</f>
        <v>גלגל המזלות</v>
      </c>
    </row>
    <row r="7642" spans="1:6" x14ac:dyDescent="0.2">
      <c r="A7642" t="s">
        <v>13517</v>
      </c>
      <c r="B7642" t="s">
        <v>13518</v>
      </c>
      <c r="C7642" t="s">
        <v>411</v>
      </c>
      <c r="D7642" t="s">
        <v>52</v>
      </c>
      <c r="E7642" t="s">
        <v>241</v>
      </c>
      <c r="F7642" s="2" t="str">
        <f>HYPERLINK("http://www.otzar.org/book.asp?188773","גלגל העין - שמירת העיניים")</f>
        <v>גלגל העין - שמירת העיניים</v>
      </c>
    </row>
    <row r="7643" spans="1:6" x14ac:dyDescent="0.2">
      <c r="A7643" t="s">
        <v>13519</v>
      </c>
      <c r="B7643" t="s">
        <v>13520</v>
      </c>
      <c r="C7643" t="s">
        <v>176</v>
      </c>
      <c r="D7643" t="s">
        <v>14</v>
      </c>
      <c r="E7643" t="s">
        <v>213</v>
      </c>
      <c r="F7643" s="2" t="str">
        <f>HYPERLINK("http://www.otzar.org/book.asp?52344","גלגלי המרכבה")</f>
        <v>גלגלי המרכבה</v>
      </c>
    </row>
    <row r="7644" spans="1:6" x14ac:dyDescent="0.2">
      <c r="A7644" t="s">
        <v>13521</v>
      </c>
      <c r="B7644" t="s">
        <v>13522</v>
      </c>
      <c r="C7644" t="s">
        <v>189</v>
      </c>
      <c r="D7644" t="s">
        <v>14</v>
      </c>
      <c r="F7644" s="2" t="str">
        <f>HYPERLINK("http://www.otzar.org/book.asp?612024","גלה כבוד מישראל")</f>
        <v>גלה כבוד מישראל</v>
      </c>
    </row>
    <row r="7645" spans="1:6" x14ac:dyDescent="0.2">
      <c r="A7645" t="s">
        <v>13521</v>
      </c>
      <c r="B7645" t="s">
        <v>13523</v>
      </c>
      <c r="C7645" t="s">
        <v>103</v>
      </c>
      <c r="D7645" t="s">
        <v>367</v>
      </c>
      <c r="F7645" s="2" t="str">
        <f>HYPERLINK("http://www.otzar.org/book.asp?616997","גלה כבוד מישראל")</f>
        <v>גלה כבוד מישראל</v>
      </c>
    </row>
    <row r="7646" spans="1:6" x14ac:dyDescent="0.2">
      <c r="A7646" t="s">
        <v>13521</v>
      </c>
      <c r="B7646" t="s">
        <v>5634</v>
      </c>
      <c r="C7646" t="s">
        <v>129</v>
      </c>
      <c r="D7646" t="s">
        <v>52</v>
      </c>
      <c r="E7646" t="s">
        <v>213</v>
      </c>
      <c r="F7646" s="2" t="str">
        <f>HYPERLINK("http://www.otzar.org/book.asp?145314","גלה כבוד מישראל")</f>
        <v>גלה כבוד מישראל</v>
      </c>
    </row>
    <row r="7647" spans="1:6" x14ac:dyDescent="0.2">
      <c r="A7647" t="s">
        <v>13524</v>
      </c>
      <c r="B7647" t="s">
        <v>13525</v>
      </c>
      <c r="C7647" t="s">
        <v>68</v>
      </c>
      <c r="D7647" t="s">
        <v>52</v>
      </c>
      <c r="E7647" t="s">
        <v>1164</v>
      </c>
      <c r="F7647" s="2" t="str">
        <f>HYPERLINK("http://www.otzar.org/book.asp?164086","גלויות ישראל")</f>
        <v>גלויות ישראל</v>
      </c>
    </row>
    <row r="7648" spans="1:6" x14ac:dyDescent="0.2">
      <c r="A7648" t="s">
        <v>13526</v>
      </c>
      <c r="B7648" t="s">
        <v>13527</v>
      </c>
      <c r="C7648" t="s">
        <v>940</v>
      </c>
      <c r="D7648" t="s">
        <v>14</v>
      </c>
      <c r="E7648" t="s">
        <v>119</v>
      </c>
      <c r="F7648" s="2" t="str">
        <f>HYPERLINK("http://www.otzar.org/book.asp?15520","גלויות סנהדרין")</f>
        <v>גלויות סנהדרין</v>
      </c>
    </row>
    <row r="7649" spans="1:6" x14ac:dyDescent="0.2">
      <c r="A7649" t="s">
        <v>13528</v>
      </c>
      <c r="B7649" t="s">
        <v>3462</v>
      </c>
      <c r="C7649" t="s">
        <v>17</v>
      </c>
      <c r="D7649" t="s">
        <v>52</v>
      </c>
      <c r="E7649" t="s">
        <v>213</v>
      </c>
      <c r="F7649" s="2" t="str">
        <f>HYPERLINK("http://www.otzar.org/book.asp?61411","גלות השכינה")</f>
        <v>גלות השכינה</v>
      </c>
    </row>
    <row r="7650" spans="1:6" x14ac:dyDescent="0.2">
      <c r="A7650" t="s">
        <v>13529</v>
      </c>
      <c r="B7650" t="s">
        <v>13530</v>
      </c>
      <c r="C7650" t="s">
        <v>1202</v>
      </c>
      <c r="D7650" t="s">
        <v>21</v>
      </c>
      <c r="E7650" t="s">
        <v>104</v>
      </c>
      <c r="F7650" s="2" t="str">
        <f>HYPERLINK("http://www.otzar.org/book.asp?197600","גלות וגאולה")</f>
        <v>גלות וגאולה</v>
      </c>
    </row>
    <row r="7651" spans="1:6" x14ac:dyDescent="0.2">
      <c r="A7651" t="s">
        <v>13531</v>
      </c>
      <c r="B7651" t="s">
        <v>1387</v>
      </c>
      <c r="C7651" t="s">
        <v>13532</v>
      </c>
      <c r="D7651" t="s">
        <v>13533</v>
      </c>
      <c r="F7651" s="2" t="str">
        <f>HYPERLINK("http://www.otzar.org/book.asp?164773","גלות יהודה")</f>
        <v>גלות יהודה</v>
      </c>
    </row>
    <row r="7652" spans="1:6" x14ac:dyDescent="0.2">
      <c r="A7652" t="s">
        <v>13534</v>
      </c>
      <c r="B7652" t="s">
        <v>7696</v>
      </c>
      <c r="C7652" t="s">
        <v>20</v>
      </c>
      <c r="D7652" t="s">
        <v>90</v>
      </c>
      <c r="F7652" s="2" t="str">
        <f>HYPERLINK("http://www.otzar.org/book.asp?619288","גלות ישמעאל")</f>
        <v>גלות ישמעאל</v>
      </c>
    </row>
    <row r="7653" spans="1:6" x14ac:dyDescent="0.2">
      <c r="A7653" t="s">
        <v>13535</v>
      </c>
      <c r="B7653" t="s">
        <v>13536</v>
      </c>
      <c r="C7653" t="s">
        <v>411</v>
      </c>
      <c r="D7653" t="s">
        <v>14</v>
      </c>
      <c r="E7653" t="s">
        <v>84</v>
      </c>
      <c r="F7653" s="2" t="str">
        <f>HYPERLINK("http://www.otzar.org/book.asp?177120","גלות עליות &lt;מהדורה חדשה&gt;")</f>
        <v>גלות עליות &lt;מהדורה חדשה&gt;</v>
      </c>
    </row>
    <row r="7654" spans="1:6" x14ac:dyDescent="0.2">
      <c r="A7654" t="s">
        <v>13537</v>
      </c>
      <c r="B7654" t="s">
        <v>13536</v>
      </c>
      <c r="C7654" t="s">
        <v>395</v>
      </c>
      <c r="D7654" t="s">
        <v>283</v>
      </c>
      <c r="E7654" t="s">
        <v>13538</v>
      </c>
      <c r="F7654" s="2" t="str">
        <f>HYPERLINK("http://www.otzar.org/book.asp?9333","גלות עליות")</f>
        <v>גלות עליות</v>
      </c>
    </row>
    <row r="7655" spans="1:6" x14ac:dyDescent="0.2">
      <c r="A7655" t="s">
        <v>13539</v>
      </c>
      <c r="B7655" t="s">
        <v>3768</v>
      </c>
      <c r="C7655" t="s">
        <v>454</v>
      </c>
      <c r="D7655" t="s">
        <v>14</v>
      </c>
      <c r="E7655" t="s">
        <v>144</v>
      </c>
      <c r="F7655" s="2" t="str">
        <f>HYPERLINK("http://www.otzar.org/book.asp?150720","גלי הים - קידושין")</f>
        <v>גלי הים - קידושין</v>
      </c>
    </row>
    <row r="7656" spans="1:6" x14ac:dyDescent="0.2">
      <c r="A7656" t="s">
        <v>13540</v>
      </c>
      <c r="B7656" t="s">
        <v>13541</v>
      </c>
      <c r="C7656" t="s">
        <v>411</v>
      </c>
      <c r="D7656" t="s">
        <v>14</v>
      </c>
      <c r="E7656" t="s">
        <v>399</v>
      </c>
      <c r="F7656" s="2" t="str">
        <f>HYPERLINK("http://www.otzar.org/book.asp?170100","גלי הים - א")</f>
        <v>גלי הים - א</v>
      </c>
    </row>
    <row r="7657" spans="1:6" x14ac:dyDescent="0.2">
      <c r="A7657" t="s">
        <v>13542</v>
      </c>
      <c r="B7657" t="s">
        <v>2074</v>
      </c>
      <c r="C7657" t="s">
        <v>1208</v>
      </c>
      <c r="D7657" t="s">
        <v>14</v>
      </c>
      <c r="E7657" t="s">
        <v>399</v>
      </c>
      <c r="F7657" s="2" t="str">
        <f>HYPERLINK("http://www.otzar.org/book.asp?150431","גלי הים")</f>
        <v>גלי הים</v>
      </c>
    </row>
    <row r="7658" spans="1:6" x14ac:dyDescent="0.2">
      <c r="A7658" t="s">
        <v>13543</v>
      </c>
      <c r="B7658" t="s">
        <v>13544</v>
      </c>
      <c r="C7658" t="s">
        <v>17</v>
      </c>
      <c r="D7658" t="s">
        <v>14</v>
      </c>
      <c r="E7658" t="s">
        <v>144</v>
      </c>
      <c r="F7658" s="2" t="str">
        <f>HYPERLINK("http://www.otzar.org/book.asp?142964","גלי הים - 38 כר'")</f>
        <v>גלי הים - 38 כר'</v>
      </c>
    </row>
    <row r="7659" spans="1:6" x14ac:dyDescent="0.2">
      <c r="A7659" t="s">
        <v>13545</v>
      </c>
      <c r="B7659" t="s">
        <v>13546</v>
      </c>
      <c r="C7659" t="s">
        <v>133</v>
      </c>
      <c r="D7659" t="s">
        <v>21</v>
      </c>
      <c r="E7659" t="s">
        <v>158</v>
      </c>
      <c r="F7659" s="2" t="str">
        <f>HYPERLINK("http://www.otzar.org/book.asp?196672","גלי הים - תורה")</f>
        <v>גלי הים - תורה</v>
      </c>
    </row>
    <row r="7660" spans="1:6" x14ac:dyDescent="0.2">
      <c r="A7660" t="s">
        <v>13547</v>
      </c>
      <c r="B7660" t="s">
        <v>13548</v>
      </c>
      <c r="C7660" t="s">
        <v>558</v>
      </c>
      <c r="D7660" t="s">
        <v>225</v>
      </c>
      <c r="E7660" t="s">
        <v>154</v>
      </c>
      <c r="F7660" s="2" t="str">
        <f>HYPERLINK("http://www.otzar.org/book.asp?604537","גלי ים")</f>
        <v>גלי ים</v>
      </c>
    </row>
    <row r="7661" spans="1:6" x14ac:dyDescent="0.2">
      <c r="A7661" t="s">
        <v>13549</v>
      </c>
      <c r="B7661" t="s">
        <v>7693</v>
      </c>
      <c r="C7661" t="s">
        <v>68</v>
      </c>
      <c r="D7661" t="s">
        <v>14</v>
      </c>
      <c r="E7661" t="s">
        <v>399</v>
      </c>
      <c r="F7661" s="2" t="str">
        <f>HYPERLINK("http://www.otzar.org/book.asp?171648","גלי עמיקתא")</f>
        <v>גלי עמיקתא</v>
      </c>
    </row>
    <row r="7662" spans="1:6" x14ac:dyDescent="0.2">
      <c r="A7662" t="s">
        <v>13550</v>
      </c>
      <c r="B7662" t="s">
        <v>13551</v>
      </c>
      <c r="C7662" t="s">
        <v>5163</v>
      </c>
      <c r="D7662" t="s">
        <v>56</v>
      </c>
      <c r="E7662" t="s">
        <v>930</v>
      </c>
      <c r="F7662" s="2" t="str">
        <f>HYPERLINK("http://www.otzar.org/book.asp?100868","גליא מסכת - 2 כר'")</f>
        <v>גליא מסכת - 2 כר'</v>
      </c>
    </row>
    <row r="7663" spans="1:6" x14ac:dyDescent="0.2">
      <c r="A7663" t="s">
        <v>13552</v>
      </c>
      <c r="B7663" t="s">
        <v>13553</v>
      </c>
      <c r="C7663" t="s">
        <v>630</v>
      </c>
      <c r="D7663" t="s">
        <v>13554</v>
      </c>
      <c r="E7663" t="s">
        <v>399</v>
      </c>
      <c r="F7663" s="2" t="str">
        <f>HYPERLINK("http://www.otzar.org/book.asp?9255","גליא רזא - 2 כר'")</f>
        <v>גליא רזא - 2 כר'</v>
      </c>
    </row>
    <row r="7664" spans="1:6" x14ac:dyDescent="0.2">
      <c r="A7664" t="s">
        <v>13555</v>
      </c>
      <c r="B7664" t="s">
        <v>13556</v>
      </c>
      <c r="C7664" t="s">
        <v>151</v>
      </c>
      <c r="D7664" t="s">
        <v>152</v>
      </c>
      <c r="F7664" s="2" t="str">
        <f>HYPERLINK("http://www.otzar.org/book.asp?611711","גליון אוצר הלכות - ראש השנה")</f>
        <v>גליון אוצר הלכות - ראש השנה</v>
      </c>
    </row>
    <row r="7665" spans="1:6" x14ac:dyDescent="0.2">
      <c r="A7665" t="s">
        <v>13557</v>
      </c>
      <c r="B7665" t="s">
        <v>3053</v>
      </c>
      <c r="C7665" t="s">
        <v>366</v>
      </c>
      <c r="D7665" t="s">
        <v>21</v>
      </c>
      <c r="F7665" s="2" t="str">
        <f>HYPERLINK("http://www.otzar.org/book.asp?621942","גליון אוצר הפוסקים - 1-13")</f>
        <v>גליון אוצר הפוסקים - 1-13</v>
      </c>
    </row>
    <row r="7666" spans="1:6" x14ac:dyDescent="0.2">
      <c r="A7666" t="s">
        <v>13558</v>
      </c>
      <c r="B7666" t="s">
        <v>13559</v>
      </c>
      <c r="C7666" t="s">
        <v>189</v>
      </c>
      <c r="D7666" t="s">
        <v>52</v>
      </c>
      <c r="E7666" t="s">
        <v>104</v>
      </c>
      <c r="F7666" s="2" t="str">
        <f>HYPERLINK("http://www.otzar.org/book.asp?623792","גליון אר""ץ זבת חל'ב - 9-14")</f>
        <v>גליון אר"ץ זבת חל'ב - 9-14</v>
      </c>
    </row>
    <row r="7667" spans="1:6" x14ac:dyDescent="0.2">
      <c r="A7667" t="s">
        <v>13560</v>
      </c>
      <c r="B7667" t="s">
        <v>13561</v>
      </c>
      <c r="C7667" t="s">
        <v>454</v>
      </c>
      <c r="D7667" t="s">
        <v>2125</v>
      </c>
      <c r="E7667" t="s">
        <v>144</v>
      </c>
      <c r="F7667" s="2" t="str">
        <f>HYPERLINK("http://www.otzar.org/book.asp?53724","גליון ארי")</f>
        <v>גליון ארי</v>
      </c>
    </row>
    <row r="7668" spans="1:6" x14ac:dyDescent="0.2">
      <c r="A7668" t="s">
        <v>13562</v>
      </c>
      <c r="B7668" t="s">
        <v>2872</v>
      </c>
      <c r="C7668" t="s">
        <v>244</v>
      </c>
      <c r="D7668" t="s">
        <v>52</v>
      </c>
      <c r="E7668" t="s">
        <v>1626</v>
      </c>
      <c r="F7668" s="2" t="str">
        <f>HYPERLINK("http://www.otzar.org/book.asp?607483","גליון ביאור פרשת התמיד")</f>
        <v>גליון ביאור פרשת התמיד</v>
      </c>
    </row>
    <row r="7669" spans="1:6" x14ac:dyDescent="0.2">
      <c r="A7669" t="s">
        <v>13563</v>
      </c>
      <c r="B7669" t="s">
        <v>9611</v>
      </c>
      <c r="C7669" t="s">
        <v>1160</v>
      </c>
      <c r="D7669" t="s">
        <v>14</v>
      </c>
      <c r="F7669" s="2" t="str">
        <f>HYPERLINK("http://www.otzar.org/book.asp?613379","גליון בעניני הלכות עירובין ואימוץ ילדים")</f>
        <v>גליון בעניני הלכות עירובין ואימוץ ילדים</v>
      </c>
    </row>
    <row r="7670" spans="1:6" x14ac:dyDescent="0.2">
      <c r="A7670" t="s">
        <v>13564</v>
      </c>
      <c r="B7670" t="s">
        <v>13565</v>
      </c>
      <c r="C7670" t="s">
        <v>13566</v>
      </c>
      <c r="D7670" t="s">
        <v>90</v>
      </c>
      <c r="F7670" s="2" t="str">
        <f>HYPERLINK("http://www.otzar.org/book.asp?617827","גליון הוגי תורה - 2 כר'")</f>
        <v>גליון הוגי תורה - 2 כר'</v>
      </c>
    </row>
    <row r="7671" spans="1:6" x14ac:dyDescent="0.2">
      <c r="A7671" t="s">
        <v>13567</v>
      </c>
      <c r="B7671" t="s">
        <v>1385</v>
      </c>
      <c r="C7671" t="s">
        <v>1268</v>
      </c>
      <c r="D7671" t="s">
        <v>646</v>
      </c>
      <c r="E7671" t="s">
        <v>1097</v>
      </c>
      <c r="F7671" s="2" t="str">
        <f>HYPERLINK("http://www.otzar.org/book.asp?158204","גליון הירושלמי מהגאון רעק""א")</f>
        <v>גליון הירושלמי מהגאון רעק"א</v>
      </c>
    </row>
    <row r="7672" spans="1:6" x14ac:dyDescent="0.2">
      <c r="A7672" t="s">
        <v>13568</v>
      </c>
      <c r="B7672" t="s">
        <v>13569</v>
      </c>
      <c r="C7672" t="s">
        <v>129</v>
      </c>
      <c r="D7672" t="s">
        <v>367</v>
      </c>
      <c r="E7672" t="s">
        <v>144</v>
      </c>
      <c r="F7672" s="2" t="str">
        <f>HYPERLINK("http://www.otzar.org/book.asp?60196","גליון הש""ס המבואר - ברכות")</f>
        <v>גליון הש"ס המבואר - ברכות</v>
      </c>
    </row>
    <row r="7673" spans="1:6" x14ac:dyDescent="0.2">
      <c r="A7673" t="s">
        <v>13570</v>
      </c>
      <c r="B7673" t="s">
        <v>13571</v>
      </c>
      <c r="C7673" t="s">
        <v>334</v>
      </c>
      <c r="D7673" t="s">
        <v>412</v>
      </c>
      <c r="E7673" t="s">
        <v>144</v>
      </c>
      <c r="F7673" s="2" t="str">
        <f>HYPERLINK("http://www.otzar.org/book.asp?61663","גליון התוספות - שבת")</f>
        <v>גליון התוספות - שבת</v>
      </c>
    </row>
    <row r="7674" spans="1:6" x14ac:dyDescent="0.2">
      <c r="A7674" t="s">
        <v>13572</v>
      </c>
      <c r="B7674" t="s">
        <v>13573</v>
      </c>
      <c r="C7674" t="s">
        <v>617</v>
      </c>
      <c r="D7674" t="s">
        <v>283</v>
      </c>
      <c r="E7674" t="s">
        <v>13574</v>
      </c>
      <c r="F7674" s="2" t="str">
        <f>HYPERLINK("http://www.otzar.org/book.asp?19467","גליון מהרי""ל")</f>
        <v>גליון מהרי"ל</v>
      </c>
    </row>
    <row r="7675" spans="1:6" x14ac:dyDescent="0.2">
      <c r="A7675" t="s">
        <v>13575</v>
      </c>
      <c r="B7675" t="s">
        <v>13576</v>
      </c>
      <c r="C7675" t="s">
        <v>533</v>
      </c>
      <c r="D7675" t="s">
        <v>14</v>
      </c>
      <c r="E7675" t="s">
        <v>9557</v>
      </c>
      <c r="F7675" s="2" t="str">
        <f>HYPERLINK("http://www.otzar.org/book.asp?6839","גליון מהרש""א - 2 כר'")</f>
        <v>גליון מהרש"א - 2 כר'</v>
      </c>
    </row>
    <row r="7676" spans="1:6" x14ac:dyDescent="0.2">
      <c r="A7676" t="s">
        <v>13577</v>
      </c>
      <c r="B7676" t="s">
        <v>13578</v>
      </c>
      <c r="C7676" t="s">
        <v>17</v>
      </c>
      <c r="D7676" t="s">
        <v>14</v>
      </c>
      <c r="E7676" t="s">
        <v>604</v>
      </c>
      <c r="F7676" s="2" t="str">
        <f>HYPERLINK("http://www.otzar.org/book.asp?106900","גליון רבינו ישראל מברונא")</f>
        <v>גליון רבינו ישראל מברונא</v>
      </c>
    </row>
    <row r="7677" spans="1:6" x14ac:dyDescent="0.2">
      <c r="A7677" t="s">
        <v>13579</v>
      </c>
      <c r="B7677" t="s">
        <v>2872</v>
      </c>
      <c r="C7677" t="s">
        <v>244</v>
      </c>
      <c r="D7677" t="s">
        <v>52</v>
      </c>
      <c r="E7677" t="s">
        <v>104</v>
      </c>
      <c r="F7677" s="2" t="str">
        <f>HYPERLINK("http://www.otzar.org/book.asp?607509","גליון רגלי מבשר")</f>
        <v>גליון רגלי מבשר</v>
      </c>
    </row>
    <row r="7678" spans="1:6" x14ac:dyDescent="0.2">
      <c r="A7678" t="s">
        <v>13580</v>
      </c>
      <c r="B7678" t="s">
        <v>7942</v>
      </c>
      <c r="C7678" t="s">
        <v>185</v>
      </c>
      <c r="D7678" t="s">
        <v>2798</v>
      </c>
      <c r="E7678" t="s">
        <v>246</v>
      </c>
      <c r="F7678" s="2" t="str">
        <f>HYPERLINK("http://www.otzar.org/book.asp?631486","גליון שו""ת יגדיל תורה - 2 כר'")</f>
        <v>גליון שו"ת יגדיל תורה - 2 כר'</v>
      </c>
    </row>
    <row r="7679" spans="1:6" x14ac:dyDescent="0.2">
      <c r="A7679" t="s">
        <v>13581</v>
      </c>
      <c r="B7679" t="s">
        <v>13582</v>
      </c>
      <c r="C7679" t="s">
        <v>356</v>
      </c>
      <c r="D7679" t="s">
        <v>412</v>
      </c>
      <c r="E7679" t="s">
        <v>144</v>
      </c>
      <c r="F7679" s="2" t="str">
        <f>HYPERLINK("http://www.otzar.org/book.asp?62366","גליון תוספות טוך - 3 כר'")</f>
        <v>גליון תוספות טוך - 3 כר'</v>
      </c>
    </row>
    <row r="7680" spans="1:6" x14ac:dyDescent="0.2">
      <c r="A7680" t="s">
        <v>13583</v>
      </c>
      <c r="B7680" t="s">
        <v>2872</v>
      </c>
      <c r="C7680" t="s">
        <v>411</v>
      </c>
      <c r="D7680" t="s">
        <v>52</v>
      </c>
      <c r="F7680" s="2" t="str">
        <f>HYPERLINK("http://www.otzar.org/book.asp?606509","גליון תורת הקרבנות - 58 כר'")</f>
        <v>גליון תורת הקרבנות - 58 כר'</v>
      </c>
    </row>
    <row r="7681" spans="1:6" x14ac:dyDescent="0.2">
      <c r="A7681" t="s">
        <v>13584</v>
      </c>
      <c r="B7681" t="s">
        <v>861</v>
      </c>
      <c r="C7681" t="s">
        <v>176</v>
      </c>
      <c r="D7681" t="s">
        <v>14</v>
      </c>
      <c r="E7681" t="s">
        <v>424</v>
      </c>
      <c r="F7681" s="2" t="str">
        <f>HYPERLINK("http://www.otzar.org/book.asp?170400","גליונות אבני נזר על הרמב""ם")</f>
        <v>גליונות אבני נזר על הרמב"ם</v>
      </c>
    </row>
    <row r="7682" spans="1:6" x14ac:dyDescent="0.2">
      <c r="A7682" t="s">
        <v>13585</v>
      </c>
      <c r="B7682" t="s">
        <v>13586</v>
      </c>
      <c r="E7682" t="s">
        <v>104</v>
      </c>
      <c r="F7682" s="2" t="str">
        <f>HYPERLINK("http://www.otzar.org/book.asp?630850","גליונות אמור ואמרת - הלכות טהרת כהנים")</f>
        <v>גליונות אמור ואמרת - הלכות טהרת כהנים</v>
      </c>
    </row>
    <row r="7683" spans="1:6" x14ac:dyDescent="0.2">
      <c r="A7683" t="s">
        <v>13587</v>
      </c>
      <c r="B7683" t="s">
        <v>11773</v>
      </c>
      <c r="C7683" t="s">
        <v>454</v>
      </c>
      <c r="D7683" t="s">
        <v>14</v>
      </c>
      <c r="E7683" t="s">
        <v>837</v>
      </c>
      <c r="F7683" s="2" t="str">
        <f>HYPERLINK("http://www.otzar.org/book.asp?149495","גליונות ברוך טעם - 2 כר'")</f>
        <v>גליונות ברוך טעם - 2 כר'</v>
      </c>
    </row>
    <row r="7684" spans="1:6" x14ac:dyDescent="0.2">
      <c r="A7684" t="s">
        <v>13588</v>
      </c>
      <c r="B7684" t="s">
        <v>4690</v>
      </c>
      <c r="C7684" t="s">
        <v>13589</v>
      </c>
      <c r="D7684" t="s">
        <v>14</v>
      </c>
      <c r="E7684" t="s">
        <v>241</v>
      </c>
      <c r="F7684" s="2" t="str">
        <f>HYPERLINK("http://www.otzar.org/book.asp?606706","גליונות דרך ה' - 2 כר'")</f>
        <v>גליונות דרך ה' - 2 כר'</v>
      </c>
    </row>
    <row r="7685" spans="1:6" x14ac:dyDescent="0.2">
      <c r="A7685" t="s">
        <v>13590</v>
      </c>
      <c r="B7685" t="s">
        <v>13591</v>
      </c>
      <c r="C7685" t="s">
        <v>151</v>
      </c>
      <c r="D7685" t="s">
        <v>90</v>
      </c>
      <c r="E7685" t="s">
        <v>158</v>
      </c>
      <c r="F7685" s="2" t="str">
        <f>HYPERLINK("http://www.otzar.org/book.asp?612703","גליונות זרע שמשון")</f>
        <v>גליונות זרע שמשון</v>
      </c>
    </row>
    <row r="7686" spans="1:6" x14ac:dyDescent="0.2">
      <c r="A7686" t="s">
        <v>13592</v>
      </c>
      <c r="E7686" t="s">
        <v>104</v>
      </c>
      <c r="F7686" s="2" t="str">
        <f>HYPERLINK("http://www.otzar.org/book.asp?606492","גליונות חיים טובים - 2 כר'")</f>
        <v>גליונות חיים טובים - 2 כר'</v>
      </c>
    </row>
    <row r="7687" spans="1:6" x14ac:dyDescent="0.2">
      <c r="A7687" t="s">
        <v>13593</v>
      </c>
      <c r="B7687" t="s">
        <v>13594</v>
      </c>
      <c r="C7687" t="s">
        <v>1208</v>
      </c>
      <c r="D7687" t="s">
        <v>14</v>
      </c>
      <c r="F7687" s="2" t="str">
        <f>HYPERLINK("http://www.otzar.org/book.asp?617516","גליונות לשם שבו ואחלמה")</f>
        <v>גליונות לשם שבו ואחלמה</v>
      </c>
    </row>
    <row r="7688" spans="1:6" x14ac:dyDescent="0.2">
      <c r="A7688" t="s">
        <v>13595</v>
      </c>
      <c r="B7688" t="s">
        <v>13596</v>
      </c>
      <c r="C7688" t="s">
        <v>624</v>
      </c>
      <c r="D7688" t="s">
        <v>14</v>
      </c>
      <c r="E7688" t="s">
        <v>13597</v>
      </c>
      <c r="F7688" s="2" t="str">
        <f>HYPERLINK("http://www.otzar.org/book.asp?106205","גליונות מהרש""ם")</f>
        <v>גליונות מהרש"ם</v>
      </c>
    </row>
    <row r="7689" spans="1:6" x14ac:dyDescent="0.2">
      <c r="A7689" t="s">
        <v>13598</v>
      </c>
      <c r="B7689" t="s">
        <v>13599</v>
      </c>
      <c r="C7689" t="s">
        <v>20</v>
      </c>
      <c r="D7689" t="s">
        <v>152</v>
      </c>
      <c r="E7689" t="s">
        <v>172</v>
      </c>
      <c r="F7689" s="2" t="str">
        <f>HYPERLINK("http://www.otzar.org/book.asp?156125","גליונות מוהר""י - 2 כר'")</f>
        <v>גליונות מוהר"י - 2 כר'</v>
      </c>
    </row>
    <row r="7690" spans="1:6" x14ac:dyDescent="0.2">
      <c r="A7690" t="s">
        <v>13600</v>
      </c>
      <c r="B7690" t="s">
        <v>206</v>
      </c>
      <c r="C7690" t="s">
        <v>151</v>
      </c>
      <c r="D7690" t="s">
        <v>90</v>
      </c>
      <c r="E7690" t="s">
        <v>246</v>
      </c>
      <c r="F7690" s="2" t="str">
        <f>HYPERLINK("http://www.otzar.org/book.asp?627048","גליונות מסכת פורים")</f>
        <v>גליונות מסכת פורים</v>
      </c>
    </row>
    <row r="7691" spans="1:6" x14ac:dyDescent="0.2">
      <c r="A7691" t="s">
        <v>13601</v>
      </c>
      <c r="B7691" t="s">
        <v>3053</v>
      </c>
      <c r="C7691" t="s">
        <v>13602</v>
      </c>
      <c r="D7691" t="s">
        <v>21</v>
      </c>
      <c r="F7691" s="2" t="str">
        <f>HYPERLINK("http://www.otzar.org/book.asp?621953","גליונות מרכז ההוראה - א-יב")</f>
        <v>גליונות מרכז ההוראה - א-יב</v>
      </c>
    </row>
    <row r="7692" spans="1:6" x14ac:dyDescent="0.2">
      <c r="A7692" t="s">
        <v>13603</v>
      </c>
      <c r="B7692" t="s">
        <v>13604</v>
      </c>
      <c r="C7692" t="s">
        <v>411</v>
      </c>
      <c r="F7692" s="2" t="str">
        <f>HYPERLINK("http://www.otzar.org/book.asp?608861","גליונות משמרת איתמר - 2 כר'")</f>
        <v>גליונות משמרת איתמר - 2 כר'</v>
      </c>
    </row>
    <row r="7693" spans="1:6" x14ac:dyDescent="0.2">
      <c r="A7693" t="s">
        <v>13605</v>
      </c>
      <c r="B7693" t="s">
        <v>13591</v>
      </c>
      <c r="C7693" t="s">
        <v>37</v>
      </c>
      <c r="D7693" t="s">
        <v>90</v>
      </c>
      <c r="F7693" s="2" t="str">
        <f>HYPERLINK("http://www.otzar.org/book.asp?199163","גליונות נפלאות שמשון - 2 כר'")</f>
        <v>גליונות נפלאות שמשון - 2 כר'</v>
      </c>
    </row>
    <row r="7694" spans="1:6" x14ac:dyDescent="0.2">
      <c r="A7694" t="s">
        <v>13606</v>
      </c>
      <c r="B7694" t="s">
        <v>13607</v>
      </c>
      <c r="C7694" t="s">
        <v>151</v>
      </c>
      <c r="D7694" t="s">
        <v>90</v>
      </c>
      <c r="E7694" t="s">
        <v>750</v>
      </c>
      <c r="F7694" s="2" t="str">
        <f>HYPERLINK("http://www.otzar.org/book.asp?630365","גליונות נפש החיים - 2 כר'")</f>
        <v>גליונות נפש החיים - 2 כר'</v>
      </c>
    </row>
    <row r="7695" spans="1:6" x14ac:dyDescent="0.2">
      <c r="A7695" t="s">
        <v>13608</v>
      </c>
      <c r="B7695" t="s">
        <v>1750</v>
      </c>
      <c r="C7695" t="s">
        <v>185</v>
      </c>
      <c r="D7695" t="s">
        <v>90</v>
      </c>
      <c r="F7695" s="2" t="str">
        <f>HYPERLINK("http://www.otzar.org/book.asp?630729","גליונות עומק הפשט - 6 כר'")</f>
        <v>גליונות עומק הפשט - 6 כר'</v>
      </c>
    </row>
    <row r="7696" spans="1:6" x14ac:dyDescent="0.2">
      <c r="A7696" t="s">
        <v>13609</v>
      </c>
      <c r="B7696" t="s">
        <v>13610</v>
      </c>
      <c r="C7696" t="s">
        <v>523</v>
      </c>
      <c r="D7696" t="s">
        <v>14</v>
      </c>
      <c r="E7696" t="s">
        <v>158</v>
      </c>
      <c r="F7696" s="2" t="str">
        <f>HYPERLINK("http://www.otzar.org/book.asp?626081","גליונות עזר לשיעורים בנביא - ירמיהו")</f>
        <v>גליונות עזר לשיעורים בנביא - ירמיהו</v>
      </c>
    </row>
    <row r="7697" spans="1:6" x14ac:dyDescent="0.2">
      <c r="A7697" t="s">
        <v>13611</v>
      </c>
      <c r="B7697" t="s">
        <v>13612</v>
      </c>
      <c r="C7697" t="s">
        <v>523</v>
      </c>
      <c r="D7697" t="s">
        <v>14</v>
      </c>
      <c r="E7697" t="s">
        <v>158</v>
      </c>
      <c r="F7697" s="2" t="str">
        <f>HYPERLINK("http://www.otzar.org/book.asp?181665","גליונות עזר לשיעורים בנביא - 3 כר'")</f>
        <v>גליונות עזר לשיעורים בנביא - 3 כר'</v>
      </c>
    </row>
    <row r="7698" spans="1:6" x14ac:dyDescent="0.2">
      <c r="A7698" t="s">
        <v>13613</v>
      </c>
      <c r="B7698" t="s">
        <v>13614</v>
      </c>
      <c r="E7698" t="s">
        <v>5392</v>
      </c>
      <c r="F7698" s="2" t="str">
        <f>HYPERLINK("http://www.otzar.org/book.asp?630783","גליונות צוף התורה - 2 כר'")</f>
        <v>גליונות צוף התורה - 2 כר'</v>
      </c>
    </row>
    <row r="7699" spans="1:6" x14ac:dyDescent="0.2">
      <c r="A7699" t="s">
        <v>13615</v>
      </c>
      <c r="B7699" t="s">
        <v>5355</v>
      </c>
      <c r="C7699" t="s">
        <v>143</v>
      </c>
      <c r="D7699" t="s">
        <v>52</v>
      </c>
      <c r="E7699" t="s">
        <v>13616</v>
      </c>
      <c r="F7699" s="2" t="str">
        <f>HYPERLINK("http://www.otzar.org/book.asp?28124","גליונות קהלות יעקב על הש""ס")</f>
        <v>גליונות קהלות יעקב על הש"ס</v>
      </c>
    </row>
    <row r="7700" spans="1:6" x14ac:dyDescent="0.2">
      <c r="A7700" t="s">
        <v>13617</v>
      </c>
      <c r="B7700" t="s">
        <v>1385</v>
      </c>
      <c r="C7700" t="s">
        <v>454</v>
      </c>
      <c r="D7700" t="s">
        <v>14</v>
      </c>
      <c r="E7700" t="s">
        <v>674</v>
      </c>
      <c r="F7700" s="2" t="str">
        <f>HYPERLINK("http://www.otzar.org/book.asp?149497","גליונות רבי עקיבא איגר על אליה רבא")</f>
        <v>גליונות רבי עקיבא איגר על אליה רבא</v>
      </c>
    </row>
    <row r="7701" spans="1:6" x14ac:dyDescent="0.2">
      <c r="A7701" t="s">
        <v>13618</v>
      </c>
      <c r="B7701" t="s">
        <v>13618</v>
      </c>
      <c r="C7701" t="s">
        <v>151</v>
      </c>
      <c r="D7701" t="s">
        <v>14</v>
      </c>
      <c r="F7701" s="2" t="str">
        <f>HYPERLINK("http://www.otzar.org/book.asp?618866","גליונות שמעתא עמיקתא")</f>
        <v>גליונות שמעתא עמיקתא</v>
      </c>
    </row>
    <row r="7702" spans="1:6" x14ac:dyDescent="0.2">
      <c r="A7702" t="s">
        <v>13619</v>
      </c>
      <c r="B7702" t="s">
        <v>4730</v>
      </c>
      <c r="C7702" t="s">
        <v>114</v>
      </c>
      <c r="D7702" t="s">
        <v>115</v>
      </c>
      <c r="E7702" t="s">
        <v>144</v>
      </c>
      <c r="F7702" s="2" t="str">
        <f>HYPERLINK("http://www.otzar.org/book.asp?165466","גליוני אפרים - 2 כר'")</f>
        <v>גליוני אפרים - 2 כר'</v>
      </c>
    </row>
    <row r="7703" spans="1:6" x14ac:dyDescent="0.2">
      <c r="A7703" t="s">
        <v>13620</v>
      </c>
      <c r="B7703" t="s">
        <v>13621</v>
      </c>
      <c r="C7703" t="s">
        <v>114</v>
      </c>
      <c r="D7703" t="s">
        <v>1646</v>
      </c>
      <c r="E7703" t="s">
        <v>144</v>
      </c>
      <c r="F7703" s="2" t="str">
        <f>HYPERLINK("http://www.otzar.org/book.asp?165066","גליוני הגר""ש - 2 כר'")</f>
        <v>גליוני הגר"ש - 2 כר'</v>
      </c>
    </row>
    <row r="7704" spans="1:6" x14ac:dyDescent="0.2">
      <c r="A7704" t="s">
        <v>13622</v>
      </c>
      <c r="B7704" t="s">
        <v>13623</v>
      </c>
      <c r="C7704" t="s">
        <v>68</v>
      </c>
      <c r="D7704" t="s">
        <v>412</v>
      </c>
      <c r="E7704" t="s">
        <v>202</v>
      </c>
      <c r="F7704" s="2" t="str">
        <f>HYPERLINK("http://www.otzar.org/book.asp?176049","גליוני הוראה כהלכה")</f>
        <v>גליוני הוראה כהלכה</v>
      </c>
    </row>
    <row r="7705" spans="1:6" x14ac:dyDescent="0.2">
      <c r="A7705" t="s">
        <v>13624</v>
      </c>
      <c r="B7705" t="s">
        <v>13625</v>
      </c>
      <c r="C7705" t="s">
        <v>785</v>
      </c>
      <c r="D7705" t="s">
        <v>14</v>
      </c>
      <c r="E7705" t="s">
        <v>730</v>
      </c>
      <c r="F7705" s="2" t="str">
        <f>HYPERLINK("http://www.otzar.org/book.asp?8639","גליוני הפלתי")</f>
        <v>גליוני הפלתי</v>
      </c>
    </row>
    <row r="7706" spans="1:6" x14ac:dyDescent="0.2">
      <c r="A7706" t="s">
        <v>13626</v>
      </c>
      <c r="B7706" t="s">
        <v>3493</v>
      </c>
      <c r="C7706" t="s">
        <v>581</v>
      </c>
      <c r="D7706" t="s">
        <v>535</v>
      </c>
      <c r="E7706" t="s">
        <v>13627</v>
      </c>
      <c r="F7706" s="2" t="str">
        <f>HYPERLINK("http://www.otzar.org/book.asp?6668","גליוני הש""ס - 2 כר'")</f>
        <v>גליוני הש"ס - 2 כר'</v>
      </c>
    </row>
    <row r="7707" spans="1:6" x14ac:dyDescent="0.2">
      <c r="A7707" t="s">
        <v>13628</v>
      </c>
      <c r="B7707" t="s">
        <v>6420</v>
      </c>
      <c r="C7707" t="s">
        <v>989</v>
      </c>
      <c r="D7707" t="s">
        <v>14</v>
      </c>
      <c r="E7707" t="s">
        <v>13629</v>
      </c>
      <c r="F7707" s="2" t="str">
        <f>HYPERLINK("http://www.otzar.org/book.asp?9336","גליוני יואל")</f>
        <v>גליוני יואל</v>
      </c>
    </row>
    <row r="7708" spans="1:6" x14ac:dyDescent="0.2">
      <c r="A7708" t="s">
        <v>13630</v>
      </c>
      <c r="B7708" t="s">
        <v>13631</v>
      </c>
      <c r="C7708" t="s">
        <v>785</v>
      </c>
      <c r="D7708" t="s">
        <v>13632</v>
      </c>
      <c r="E7708" t="s">
        <v>13633</v>
      </c>
      <c r="F7708" s="2" t="str">
        <f>HYPERLINK("http://www.otzar.org/book.asp?180758","גליוני ישרון")</f>
        <v>גליוני ישרון</v>
      </c>
    </row>
    <row r="7709" spans="1:6" x14ac:dyDescent="0.2">
      <c r="A7709" t="s">
        <v>13634</v>
      </c>
      <c r="B7709" t="s">
        <v>13599</v>
      </c>
      <c r="C7709" t="s">
        <v>143</v>
      </c>
      <c r="D7709" t="s">
        <v>646</v>
      </c>
      <c r="E7709" t="s">
        <v>579</v>
      </c>
      <c r="F7709" s="2" t="str">
        <f>HYPERLINK("http://www.otzar.org/book.asp?164288","גליוני מהר""י על חתם סופר עה""ת")</f>
        <v>גליוני מהר"י על חתם סופר עה"ת</v>
      </c>
    </row>
    <row r="7710" spans="1:6" x14ac:dyDescent="0.2">
      <c r="A7710" t="s">
        <v>13635</v>
      </c>
      <c r="B7710" t="s">
        <v>13599</v>
      </c>
      <c r="C7710" t="s">
        <v>17</v>
      </c>
      <c r="D7710" t="s">
        <v>14</v>
      </c>
      <c r="E7710" t="s">
        <v>579</v>
      </c>
      <c r="F7710" s="2" t="str">
        <f>HYPERLINK("http://www.otzar.org/book.asp?159182","גליוני מהר""י")</f>
        <v>גליוני מהר"י</v>
      </c>
    </row>
    <row r="7711" spans="1:6" x14ac:dyDescent="0.2">
      <c r="A7711" t="s">
        <v>13636</v>
      </c>
      <c r="B7711" t="s">
        <v>13599</v>
      </c>
      <c r="C7711" t="s">
        <v>143</v>
      </c>
      <c r="D7711" t="s">
        <v>14</v>
      </c>
      <c r="E7711" t="s">
        <v>15</v>
      </c>
      <c r="F7711" s="2" t="str">
        <f>HYPERLINK("http://www.otzar.org/book.asp?176799","גליוני מוהר""י - ס""ת")</f>
        <v>גליוני מוהר"י - ס"ת</v>
      </c>
    </row>
    <row r="7712" spans="1:6" x14ac:dyDescent="0.2">
      <c r="A7712" t="s">
        <v>13637</v>
      </c>
      <c r="B7712" t="s">
        <v>13638</v>
      </c>
      <c r="C7712" t="s">
        <v>383</v>
      </c>
      <c r="D7712" t="s">
        <v>646</v>
      </c>
      <c r="E7712" t="s">
        <v>144</v>
      </c>
      <c r="F7712" s="2" t="str">
        <f>HYPERLINK("http://www.otzar.org/book.asp?161753","גליוני מנחת חן - 4 כר'")</f>
        <v>גליוני מנחת חן - 4 כר'</v>
      </c>
    </row>
    <row r="7713" spans="1:6" x14ac:dyDescent="0.2">
      <c r="A7713" t="s">
        <v>13639</v>
      </c>
      <c r="B7713" t="s">
        <v>13640</v>
      </c>
      <c r="C7713" t="s">
        <v>496</v>
      </c>
      <c r="D7713" t="s">
        <v>9</v>
      </c>
      <c r="E7713" t="s">
        <v>13641</v>
      </c>
      <c r="F7713" s="2" t="str">
        <f>HYPERLINK("http://www.otzar.org/book.asp?17404","גליוני קדש")</f>
        <v>גליוני קדש</v>
      </c>
    </row>
    <row r="7714" spans="1:6" x14ac:dyDescent="0.2">
      <c r="A7714" t="s">
        <v>13642</v>
      </c>
      <c r="B7714" t="s">
        <v>9215</v>
      </c>
      <c r="C7714" t="s">
        <v>129</v>
      </c>
      <c r="D7714" t="s">
        <v>6133</v>
      </c>
      <c r="E7714" t="s">
        <v>144</v>
      </c>
      <c r="F7714" s="2" t="str">
        <f>HYPERLINK("http://www.otzar.org/book.asp?172474","גליוני שיעורים - 2 כר'")</f>
        <v>גליוני שיעורים - 2 כר'</v>
      </c>
    </row>
    <row r="7715" spans="1:6" x14ac:dyDescent="0.2">
      <c r="A7715" t="s">
        <v>13643</v>
      </c>
      <c r="B7715" t="s">
        <v>776</v>
      </c>
      <c r="C7715" t="s">
        <v>433</v>
      </c>
      <c r="D7715" t="s">
        <v>27</v>
      </c>
      <c r="E7715" t="s">
        <v>104</v>
      </c>
      <c r="F7715" s="2" t="str">
        <f>HYPERLINK("http://www.otzar.org/book.asp?146791","גלילות חן")</f>
        <v>גלילות חן</v>
      </c>
    </row>
    <row r="7716" spans="1:6" x14ac:dyDescent="0.2">
      <c r="A7716" t="s">
        <v>13644</v>
      </c>
      <c r="B7716" t="s">
        <v>686</v>
      </c>
      <c r="C7716" t="s">
        <v>17</v>
      </c>
      <c r="D7716" t="s">
        <v>52</v>
      </c>
      <c r="E7716" t="s">
        <v>674</v>
      </c>
      <c r="F7716" s="2" t="str">
        <f>HYPERLINK("http://www.otzar.org/book.asp?165207","גלילי זהב")</f>
        <v>גלילי זהב</v>
      </c>
    </row>
    <row r="7717" spans="1:6" x14ac:dyDescent="0.2">
      <c r="A7717" t="s">
        <v>13644</v>
      </c>
      <c r="B7717" t="s">
        <v>1779</v>
      </c>
      <c r="C7717" t="s">
        <v>4462</v>
      </c>
      <c r="D7717" t="s">
        <v>60</v>
      </c>
      <c r="E7717" t="s">
        <v>158</v>
      </c>
      <c r="F7717" s="2" t="str">
        <f>HYPERLINK("http://www.otzar.org/book.asp?151667","גלילי זהב")</f>
        <v>גלילי זהב</v>
      </c>
    </row>
    <row r="7718" spans="1:6" x14ac:dyDescent="0.2">
      <c r="A7718" t="s">
        <v>13645</v>
      </c>
      <c r="B7718" t="s">
        <v>13646</v>
      </c>
      <c r="C7718" t="s">
        <v>224</v>
      </c>
      <c r="D7718" t="s">
        <v>1966</v>
      </c>
      <c r="E7718" t="s">
        <v>579</v>
      </c>
      <c r="F7718" s="2" t="str">
        <f>HYPERLINK("http://www.otzar.org/book.asp?102923","גלילי זהב - 2 כר'")</f>
        <v>גלילי זהב - 2 כר'</v>
      </c>
    </row>
    <row r="7719" spans="1:6" x14ac:dyDescent="0.2">
      <c r="A7719" t="s">
        <v>13647</v>
      </c>
      <c r="B7719" t="s">
        <v>13648</v>
      </c>
      <c r="C7719" t="s">
        <v>800</v>
      </c>
      <c r="D7719" t="s">
        <v>56</v>
      </c>
      <c r="E7719" t="s">
        <v>13649</v>
      </c>
      <c r="F7719" s="2" t="str">
        <f>HYPERLINK("http://www.otzar.org/book.asp?147167","גלילי כסף")</f>
        <v>גלילי כסף</v>
      </c>
    </row>
    <row r="7720" spans="1:6" x14ac:dyDescent="0.2">
      <c r="A7720" t="s">
        <v>13650</v>
      </c>
      <c r="B7720" t="s">
        <v>13651</v>
      </c>
      <c r="C7720" t="s">
        <v>1062</v>
      </c>
      <c r="D7720" t="s">
        <v>412</v>
      </c>
      <c r="F7720" s="2" t="str">
        <f>HYPERLINK("http://www.otzar.org/book.asp?197458","גליקל האמעל")</f>
        <v>גליקל האמעל</v>
      </c>
    </row>
    <row r="7721" spans="1:6" x14ac:dyDescent="0.2">
      <c r="A7721" t="s">
        <v>13652</v>
      </c>
      <c r="B7721" t="s">
        <v>776</v>
      </c>
      <c r="C7721" t="s">
        <v>442</v>
      </c>
      <c r="D7721" t="s">
        <v>27</v>
      </c>
      <c r="E7721" t="s">
        <v>104</v>
      </c>
      <c r="F7721" s="2" t="str">
        <f>HYPERLINK("http://www.otzar.org/book.asp?179211","גלת חן")</f>
        <v>גלת חן</v>
      </c>
    </row>
    <row r="7722" spans="1:6" x14ac:dyDescent="0.2">
      <c r="A7722" t="s">
        <v>13653</v>
      </c>
      <c r="B7722" t="s">
        <v>13654</v>
      </c>
      <c r="C7722" t="s">
        <v>51</v>
      </c>
      <c r="D7722" t="s">
        <v>14</v>
      </c>
      <c r="E7722" t="s">
        <v>2695</v>
      </c>
      <c r="F7722" s="2" t="str">
        <f>HYPERLINK("http://www.otzar.org/book.asp?85500","גלת מים")</f>
        <v>גלת מים</v>
      </c>
    </row>
    <row r="7723" spans="1:6" x14ac:dyDescent="0.2">
      <c r="A7723" t="s">
        <v>13655</v>
      </c>
      <c r="B7723" t="s">
        <v>13656</v>
      </c>
      <c r="C7723" t="s">
        <v>466</v>
      </c>
      <c r="D7723" t="s">
        <v>13657</v>
      </c>
      <c r="E7723" t="s">
        <v>202</v>
      </c>
      <c r="F7723" s="2" t="str">
        <f>HYPERLINK("http://www.otzar.org/book.asp?605043","גלת - ז")</f>
        <v>גלת - ז</v>
      </c>
    </row>
    <row r="7724" spans="1:6" x14ac:dyDescent="0.2">
      <c r="A7724" t="s">
        <v>13658</v>
      </c>
      <c r="B7724" t="s">
        <v>13659</v>
      </c>
      <c r="C7724" t="s">
        <v>506</v>
      </c>
      <c r="D7724" t="s">
        <v>5615</v>
      </c>
      <c r="E7724" t="s">
        <v>435</v>
      </c>
      <c r="F7724" s="2" t="str">
        <f>HYPERLINK("http://www.otzar.org/book.asp?102875","גם אלה דברי דוד")</f>
        <v>גם אלה דברי דוד</v>
      </c>
    </row>
    <row r="7725" spans="1:6" x14ac:dyDescent="0.2">
      <c r="A7725" t="s">
        <v>13660</v>
      </c>
      <c r="B7725" t="s">
        <v>4437</v>
      </c>
      <c r="C7725" t="s">
        <v>17</v>
      </c>
      <c r="D7725" t="s">
        <v>52</v>
      </c>
      <c r="E7725" t="s">
        <v>154</v>
      </c>
      <c r="F7725" s="2" t="str">
        <f>HYPERLINK("http://www.otzar.org/book.asp?23005","גם אני אודך - 99 כר'")</f>
        <v>גם אני אודך - 99 כר'</v>
      </c>
    </row>
    <row r="7726" spans="1:6" x14ac:dyDescent="0.2">
      <c r="A7726" t="s">
        <v>13661</v>
      </c>
      <c r="B7726" t="s">
        <v>13662</v>
      </c>
      <c r="C7726" t="s">
        <v>37</v>
      </c>
      <c r="D7726" t="s">
        <v>152</v>
      </c>
      <c r="E7726" t="s">
        <v>241</v>
      </c>
      <c r="F7726" s="2" t="str">
        <f>HYPERLINK("http://www.otzar.org/book.asp?182437","גם זו לטובה")</f>
        <v>גם זו לטובה</v>
      </c>
    </row>
    <row r="7727" spans="1:6" x14ac:dyDescent="0.2">
      <c r="A7727" t="s">
        <v>13661</v>
      </c>
      <c r="B7727" t="s">
        <v>12596</v>
      </c>
      <c r="C7727" t="s">
        <v>454</v>
      </c>
      <c r="D7727" t="s">
        <v>14</v>
      </c>
      <c r="E7727" t="s">
        <v>241</v>
      </c>
      <c r="F7727" s="2" t="str">
        <f>HYPERLINK("http://www.otzar.org/book.asp?84374","גם זו לטובה")</f>
        <v>גם זו לטובה</v>
      </c>
    </row>
    <row r="7728" spans="1:6" x14ac:dyDescent="0.2">
      <c r="A7728" t="s">
        <v>13661</v>
      </c>
      <c r="B7728" t="s">
        <v>13663</v>
      </c>
      <c r="C7728" t="s">
        <v>454</v>
      </c>
      <c r="D7728" t="s">
        <v>52</v>
      </c>
      <c r="F7728" s="2" t="str">
        <f>HYPERLINK("http://www.otzar.org/book.asp?156157","גם זו לטובה")</f>
        <v>גם זו לטובה</v>
      </c>
    </row>
    <row r="7729" spans="1:6" x14ac:dyDescent="0.2">
      <c r="A7729" t="s">
        <v>13664</v>
      </c>
      <c r="B7729" t="s">
        <v>123</v>
      </c>
      <c r="C7729" t="s">
        <v>20</v>
      </c>
      <c r="D7729" t="s">
        <v>14</v>
      </c>
      <c r="E7729" t="s">
        <v>213</v>
      </c>
      <c r="F7729" s="2" t="str">
        <f>HYPERLINK("http://www.otzar.org/book.asp?165389","גם זו לטובה - כבוד חכמים")</f>
        <v>גם זו לטובה - כבוד חכמים</v>
      </c>
    </row>
    <row r="7730" spans="1:6" x14ac:dyDescent="0.2">
      <c r="A7730" t="s">
        <v>13665</v>
      </c>
      <c r="B7730" t="s">
        <v>13666</v>
      </c>
      <c r="C7730" t="s">
        <v>4059</v>
      </c>
      <c r="D7730" t="s">
        <v>1023</v>
      </c>
      <c r="F7730" s="2" t="str">
        <f>HYPERLINK("http://www.otzar.org/book.asp?152405","גמול עתליה")</f>
        <v>גמול עתליה</v>
      </c>
    </row>
    <row r="7731" spans="1:6" x14ac:dyDescent="0.2">
      <c r="A7731" t="s">
        <v>13667</v>
      </c>
      <c r="B7731" t="s">
        <v>206</v>
      </c>
      <c r="C7731" t="s">
        <v>20</v>
      </c>
      <c r="D7731" t="s">
        <v>90</v>
      </c>
      <c r="E7731" t="s">
        <v>144</v>
      </c>
      <c r="F7731" s="2" t="str">
        <f>HYPERLINK("http://www.otzar.org/book.asp?621660","גמרא בקלות - 18 כר'")</f>
        <v>גמרא בקלות - 18 כר'</v>
      </c>
    </row>
    <row r="7732" spans="1:6" x14ac:dyDescent="0.2">
      <c r="A7732" t="s">
        <v>13668</v>
      </c>
      <c r="B7732" t="s">
        <v>13669</v>
      </c>
      <c r="C7732" t="s">
        <v>466</v>
      </c>
      <c r="D7732" t="s">
        <v>486</v>
      </c>
      <c r="E7732" t="s">
        <v>144</v>
      </c>
      <c r="F7732" s="2" t="str">
        <f>HYPERLINK("http://www.otzar.org/book.asp?193004","גמרא ברורה - פרק השואל")</f>
        <v>גמרא ברורה - פרק השואל</v>
      </c>
    </row>
    <row r="7733" spans="1:6" x14ac:dyDescent="0.2">
      <c r="A7733" t="s">
        <v>13670</v>
      </c>
      <c r="B7733" t="s">
        <v>13671</v>
      </c>
      <c r="C7733" t="s">
        <v>2644</v>
      </c>
      <c r="D7733" t="s">
        <v>56</v>
      </c>
      <c r="E7733" t="s">
        <v>144</v>
      </c>
      <c r="F7733" s="2" t="str">
        <f>HYPERLINK("http://www.otzar.org/book.asp?9662","גמרא למתחילים")</f>
        <v>גמרא למתחילים</v>
      </c>
    </row>
    <row r="7734" spans="1:6" x14ac:dyDescent="0.2">
      <c r="A7734" t="s">
        <v>13672</v>
      </c>
      <c r="B7734" t="s">
        <v>13673</v>
      </c>
      <c r="C7734" t="s">
        <v>20</v>
      </c>
      <c r="D7734" t="s">
        <v>115</v>
      </c>
      <c r="E7734" t="s">
        <v>144</v>
      </c>
      <c r="F7734" s="2" t="str">
        <f>HYPERLINK("http://www.otzar.org/book.asp?613107","גמרא נוחה - 37 כר'")</f>
        <v>גמרא נוחה - 37 כר'</v>
      </c>
    </row>
    <row r="7735" spans="1:6" x14ac:dyDescent="0.2">
      <c r="A7735" t="s">
        <v>13674</v>
      </c>
      <c r="B7735" t="s">
        <v>13675</v>
      </c>
      <c r="C7735" t="s">
        <v>37</v>
      </c>
      <c r="D7735" t="s">
        <v>13676</v>
      </c>
      <c r="E7735" t="s">
        <v>1097</v>
      </c>
      <c r="F7735" s="2" t="str">
        <f>HYPERLINK("http://www.otzar.org/book.asp?622232","גמרא סדורה &lt;ירושלמי&gt; - שקלים")</f>
        <v>גמרא סדורה &lt;ירושלמי&gt; - שקלים</v>
      </c>
    </row>
    <row r="7736" spans="1:6" x14ac:dyDescent="0.2">
      <c r="A7736" t="s">
        <v>13677</v>
      </c>
      <c r="B7736" t="s">
        <v>13678</v>
      </c>
      <c r="C7736" t="s">
        <v>13679</v>
      </c>
      <c r="D7736" t="s">
        <v>27</v>
      </c>
      <c r="E7736" t="s">
        <v>2088</v>
      </c>
      <c r="F7736" s="2" t="str">
        <f>HYPERLINK("http://www.otzar.org/book.asp?8778","גמרא שלמה מסכת פסחים - 2 כר'")</f>
        <v>גמרא שלמה מסכת פסחים - 2 כר'</v>
      </c>
    </row>
    <row r="7737" spans="1:6" x14ac:dyDescent="0.2">
      <c r="A7737" t="s">
        <v>13680</v>
      </c>
      <c r="B7737" t="s">
        <v>13681</v>
      </c>
      <c r="C7737" t="s">
        <v>13</v>
      </c>
      <c r="D7737" t="s">
        <v>21</v>
      </c>
      <c r="E7737" t="s">
        <v>144</v>
      </c>
      <c r="F7737" s="2" t="str">
        <f>HYPERLINK("http://www.otzar.org/book.asp?195480","גן ברכות - ברכות")</f>
        <v>גן ברכות - ברכות</v>
      </c>
    </row>
    <row r="7738" spans="1:6" x14ac:dyDescent="0.2">
      <c r="A7738" t="s">
        <v>13682</v>
      </c>
      <c r="B7738" t="s">
        <v>13683</v>
      </c>
      <c r="C7738" t="s">
        <v>362</v>
      </c>
      <c r="D7738" t="s">
        <v>225</v>
      </c>
      <c r="E7738" t="s">
        <v>158</v>
      </c>
      <c r="F7738" s="2" t="str">
        <f>HYPERLINK("http://www.otzar.org/book.asp?141104","גן בשמים &lt;על שיר השירים&gt;")</f>
        <v>גן בשמים &lt;על שיר השירים&gt;</v>
      </c>
    </row>
    <row r="7739" spans="1:6" x14ac:dyDescent="0.2">
      <c r="A7739" t="s">
        <v>13684</v>
      </c>
      <c r="B7739" t="s">
        <v>6267</v>
      </c>
      <c r="C7739" t="s">
        <v>1470</v>
      </c>
      <c r="D7739" t="s">
        <v>379</v>
      </c>
      <c r="F7739" s="2" t="str">
        <f>HYPERLINK("http://www.otzar.org/book.asp?174337","גן דוד")</f>
        <v>גן דוד</v>
      </c>
    </row>
    <row r="7740" spans="1:6" x14ac:dyDescent="0.2">
      <c r="A7740" t="s">
        <v>13685</v>
      </c>
      <c r="B7740" t="s">
        <v>13686</v>
      </c>
      <c r="C7740" t="s">
        <v>609</v>
      </c>
      <c r="D7740" t="s">
        <v>1769</v>
      </c>
      <c r="E7740" t="s">
        <v>140</v>
      </c>
      <c r="F7740" s="2" t="str">
        <f>HYPERLINK("http://www.otzar.org/book.asp?106199","גן הדסים")</f>
        <v>גן הדסים</v>
      </c>
    </row>
    <row r="7741" spans="1:6" x14ac:dyDescent="0.2">
      <c r="A7741" t="s">
        <v>13685</v>
      </c>
      <c r="B7741" t="s">
        <v>686</v>
      </c>
      <c r="C7741" t="s">
        <v>13</v>
      </c>
      <c r="D7741" t="s">
        <v>52</v>
      </c>
      <c r="E7741" t="s">
        <v>234</v>
      </c>
      <c r="F7741" s="2" t="str">
        <f>HYPERLINK("http://www.otzar.org/book.asp?61489","גן הדסים")</f>
        <v>גן הדסים</v>
      </c>
    </row>
    <row r="7742" spans="1:6" x14ac:dyDescent="0.2">
      <c r="A7742" t="s">
        <v>13685</v>
      </c>
      <c r="B7742" t="s">
        <v>5892</v>
      </c>
      <c r="C7742" t="s">
        <v>445</v>
      </c>
      <c r="D7742" t="s">
        <v>4269</v>
      </c>
      <c r="E7742" t="s">
        <v>241</v>
      </c>
      <c r="F7742" s="2" t="str">
        <f>HYPERLINK("http://www.otzar.org/book.asp?17405","גן הדסים")</f>
        <v>גן הדסים</v>
      </c>
    </row>
    <row r="7743" spans="1:6" x14ac:dyDescent="0.2">
      <c r="A7743" t="s">
        <v>13687</v>
      </c>
      <c r="B7743" t="s">
        <v>13688</v>
      </c>
      <c r="C7743" t="s">
        <v>17</v>
      </c>
      <c r="D7743" t="s">
        <v>1076</v>
      </c>
      <c r="E7743" t="s">
        <v>10</v>
      </c>
      <c r="F7743" s="2" t="str">
        <f>HYPERLINK("http://www.otzar.org/book.asp?153350","גן המלך &lt;שער הגן&gt;")</f>
        <v>גן המלך &lt;שער הגן&gt;</v>
      </c>
    </row>
    <row r="7744" spans="1:6" x14ac:dyDescent="0.2">
      <c r="A7744" t="s">
        <v>13689</v>
      </c>
      <c r="B7744" t="s">
        <v>13483</v>
      </c>
      <c r="C7744" t="s">
        <v>13</v>
      </c>
      <c r="D7744" t="s">
        <v>14</v>
      </c>
      <c r="E7744" t="s">
        <v>15</v>
      </c>
      <c r="F7744" s="2" t="str">
        <f>HYPERLINK("http://www.otzar.org/book.asp?64092","גן המלך &lt;מהדורת ישמח לב&gt;")</f>
        <v>גן המלך &lt;מהדורת ישמח לב&gt;</v>
      </c>
    </row>
    <row r="7745" spans="1:6" x14ac:dyDescent="0.2">
      <c r="A7745" t="s">
        <v>13690</v>
      </c>
      <c r="B7745" t="s">
        <v>13691</v>
      </c>
      <c r="C7745" t="s">
        <v>13692</v>
      </c>
      <c r="D7745" t="s">
        <v>27</v>
      </c>
      <c r="E7745" t="s">
        <v>219</v>
      </c>
      <c r="F7745" s="2" t="str">
        <f>HYPERLINK("http://www.otzar.org/book.asp?152917","גן המשלים והחידות - 3 כר'")</f>
        <v>גן המשלים והחידות - 3 כר'</v>
      </c>
    </row>
    <row r="7746" spans="1:6" x14ac:dyDescent="0.2">
      <c r="A7746" t="s">
        <v>13693</v>
      </c>
      <c r="B7746" t="s">
        <v>13694</v>
      </c>
      <c r="C7746" t="s">
        <v>146</v>
      </c>
      <c r="D7746" t="s">
        <v>14</v>
      </c>
      <c r="E7746" t="s">
        <v>140</v>
      </c>
      <c r="F7746" s="2" t="str">
        <f>HYPERLINK("http://www.otzar.org/book.asp?182257","גן הנשמות")</f>
        <v>גן הנשמות</v>
      </c>
    </row>
    <row r="7747" spans="1:6" x14ac:dyDescent="0.2">
      <c r="A7747" t="s">
        <v>13695</v>
      </c>
      <c r="B7747" t="s">
        <v>13696</v>
      </c>
      <c r="C7747" t="s">
        <v>17</v>
      </c>
      <c r="D7747" t="s">
        <v>5421</v>
      </c>
      <c r="E7747" t="s">
        <v>241</v>
      </c>
      <c r="F7747" s="2" t="str">
        <f>HYPERLINK("http://www.otzar.org/book.asp?149871","גן השכלים &lt;בסתאן אלעקול&gt; - 2 כר'")</f>
        <v>גן השכלים &lt;בסתאן אלעקול&gt; - 2 כר'</v>
      </c>
    </row>
    <row r="7748" spans="1:6" x14ac:dyDescent="0.2">
      <c r="A7748" t="s">
        <v>13697</v>
      </c>
      <c r="B7748" t="s">
        <v>1750</v>
      </c>
      <c r="C7748" t="s">
        <v>176</v>
      </c>
      <c r="D7748" t="s">
        <v>412</v>
      </c>
      <c r="E7748" t="s">
        <v>13698</v>
      </c>
      <c r="F7748" s="2" t="str">
        <f>HYPERLINK("http://www.otzar.org/book.asp?84970","גן ורדים")</f>
        <v>גן ורדים</v>
      </c>
    </row>
    <row r="7749" spans="1:6" x14ac:dyDescent="0.2">
      <c r="A7749" t="s">
        <v>13699</v>
      </c>
      <c r="B7749" t="s">
        <v>13700</v>
      </c>
      <c r="C7749" t="s">
        <v>473</v>
      </c>
      <c r="D7749" t="s">
        <v>283</v>
      </c>
      <c r="E7749" t="s">
        <v>3798</v>
      </c>
      <c r="F7749" s="2" t="str">
        <f>HYPERLINK("http://www.otzar.org/book.asp?300631","גן חיים")</f>
        <v>גן חיים</v>
      </c>
    </row>
    <row r="7750" spans="1:6" x14ac:dyDescent="0.2">
      <c r="A7750" t="s">
        <v>13699</v>
      </c>
      <c r="B7750" t="s">
        <v>13701</v>
      </c>
      <c r="C7750" t="s">
        <v>13702</v>
      </c>
      <c r="D7750" t="s">
        <v>947</v>
      </c>
      <c r="E7750" t="s">
        <v>148</v>
      </c>
      <c r="F7750" s="2" t="str">
        <f>HYPERLINK("http://www.otzar.org/book.asp?17406","גן חיים")</f>
        <v>גן חיים</v>
      </c>
    </row>
    <row r="7751" spans="1:6" x14ac:dyDescent="0.2">
      <c r="A7751" t="s">
        <v>13703</v>
      </c>
      <c r="B7751" t="s">
        <v>13704</v>
      </c>
      <c r="C7751" t="s">
        <v>5991</v>
      </c>
      <c r="D7751" t="s">
        <v>1008</v>
      </c>
      <c r="E7751" t="s">
        <v>399</v>
      </c>
      <c r="F7751" s="2" t="str">
        <f>HYPERLINK("http://www.otzar.org/book.asp?104363","גן יה")</f>
        <v>גן יה</v>
      </c>
    </row>
    <row r="7752" spans="1:6" x14ac:dyDescent="0.2">
      <c r="A7752" t="s">
        <v>13705</v>
      </c>
      <c r="B7752" t="s">
        <v>13706</v>
      </c>
      <c r="C7752" t="s">
        <v>3690</v>
      </c>
      <c r="D7752" t="s">
        <v>283</v>
      </c>
      <c r="E7752" t="s">
        <v>463</v>
      </c>
      <c r="F7752" s="2" t="str">
        <f>HYPERLINK("http://www.otzar.org/book.asp?17407","גן יוסף עדן דוד")</f>
        <v>גן יוסף עדן דוד</v>
      </c>
    </row>
    <row r="7753" spans="1:6" x14ac:dyDescent="0.2">
      <c r="A7753" t="s">
        <v>13707</v>
      </c>
      <c r="B7753" t="s">
        <v>13708</v>
      </c>
      <c r="C7753" t="s">
        <v>114</v>
      </c>
      <c r="D7753" t="s">
        <v>52</v>
      </c>
      <c r="F7753" s="2" t="str">
        <f>HYPERLINK("http://www.otzar.org/book.asp?618083","גן יוסף - פרי יוסף - לקט יוסף")</f>
        <v>גן יוסף - פרי יוסף - לקט יוסף</v>
      </c>
    </row>
    <row r="7754" spans="1:6" x14ac:dyDescent="0.2">
      <c r="A7754" t="s">
        <v>13709</v>
      </c>
      <c r="B7754" t="s">
        <v>13710</v>
      </c>
      <c r="C7754" t="s">
        <v>313</v>
      </c>
      <c r="D7754" t="s">
        <v>14</v>
      </c>
      <c r="E7754" t="s">
        <v>2775</v>
      </c>
      <c r="F7754" s="2" t="str">
        <f>HYPERLINK("http://www.otzar.org/book.asp?51117","גן יעקב")</f>
        <v>גן יעקב</v>
      </c>
    </row>
    <row r="7755" spans="1:6" x14ac:dyDescent="0.2">
      <c r="A7755" t="s">
        <v>13709</v>
      </c>
      <c r="B7755" t="s">
        <v>10635</v>
      </c>
      <c r="C7755" t="s">
        <v>13711</v>
      </c>
      <c r="D7755" t="s">
        <v>13712</v>
      </c>
      <c r="F7755" s="2" t="str">
        <f>HYPERLINK("http://www.otzar.org/book.asp?629586","גן יעקב")</f>
        <v>גן יעקב</v>
      </c>
    </row>
    <row r="7756" spans="1:6" x14ac:dyDescent="0.2">
      <c r="A7756" t="s">
        <v>13713</v>
      </c>
      <c r="B7756" t="s">
        <v>13714</v>
      </c>
      <c r="C7756" t="s">
        <v>114</v>
      </c>
      <c r="D7756" t="s">
        <v>412</v>
      </c>
      <c r="F7756" s="2" t="str">
        <f>HYPERLINK("http://www.otzar.org/book.asp?169771","גן יצחק")</f>
        <v>גן יצחק</v>
      </c>
    </row>
    <row r="7757" spans="1:6" x14ac:dyDescent="0.2">
      <c r="A7757" t="s">
        <v>13715</v>
      </c>
      <c r="B7757" t="s">
        <v>13716</v>
      </c>
      <c r="C7757" t="s">
        <v>506</v>
      </c>
      <c r="D7757" t="s">
        <v>27</v>
      </c>
      <c r="E7757" t="s">
        <v>1626</v>
      </c>
      <c r="F7757" s="2" t="str">
        <f>HYPERLINK("http://www.otzar.org/book.asp?180411","גן ירושלים - 2 כר'")</f>
        <v>גן ירושלים - 2 כר'</v>
      </c>
    </row>
    <row r="7758" spans="1:6" x14ac:dyDescent="0.2">
      <c r="A7758" t="s">
        <v>13717</v>
      </c>
      <c r="B7758" t="s">
        <v>5407</v>
      </c>
      <c r="C7758" t="s">
        <v>1096</v>
      </c>
      <c r="D7758" t="s">
        <v>27</v>
      </c>
      <c r="E7758" t="s">
        <v>241</v>
      </c>
      <c r="F7758" s="2" t="str">
        <f>HYPERLINK("http://www.otzar.org/book.asp?14279","גן ירושלם - 2 כר'")</f>
        <v>גן ירושלם - 2 כר'</v>
      </c>
    </row>
    <row r="7759" spans="1:6" x14ac:dyDescent="0.2">
      <c r="A7759" t="s">
        <v>13718</v>
      </c>
      <c r="B7759" t="s">
        <v>2004</v>
      </c>
      <c r="C7759" t="s">
        <v>106</v>
      </c>
      <c r="D7759" t="s">
        <v>216</v>
      </c>
      <c r="E7759" t="s">
        <v>158</v>
      </c>
      <c r="F7759" s="2" t="str">
        <f>HYPERLINK("http://www.otzar.org/book.asp?154363","גן ישראל")</f>
        <v>גן ישראל</v>
      </c>
    </row>
    <row r="7760" spans="1:6" x14ac:dyDescent="0.2">
      <c r="A7760" t="s">
        <v>13719</v>
      </c>
      <c r="B7760" t="s">
        <v>686</v>
      </c>
      <c r="C7760" t="s">
        <v>411</v>
      </c>
      <c r="D7760" t="s">
        <v>52</v>
      </c>
      <c r="E7760" t="s">
        <v>104</v>
      </c>
      <c r="F7760" s="2" t="str">
        <f>HYPERLINK("http://www.otzar.org/book.asp?169089","גן מלכים")</f>
        <v>גן מלכים</v>
      </c>
    </row>
    <row r="7761" spans="1:6" x14ac:dyDescent="0.2">
      <c r="A7761" t="s">
        <v>13720</v>
      </c>
      <c r="B7761" t="s">
        <v>13721</v>
      </c>
      <c r="C7761" t="s">
        <v>103</v>
      </c>
      <c r="D7761" t="s">
        <v>486</v>
      </c>
      <c r="E7761" t="s">
        <v>148</v>
      </c>
      <c r="F7761" s="2" t="str">
        <f>HYPERLINK("http://www.otzar.org/book.asp?161873","גן נאה - 2 כר'")</f>
        <v>גן נאה - 2 כר'</v>
      </c>
    </row>
    <row r="7762" spans="1:6" x14ac:dyDescent="0.2">
      <c r="A7762" t="s">
        <v>13722</v>
      </c>
      <c r="B7762" t="s">
        <v>13723</v>
      </c>
      <c r="C7762" t="s">
        <v>13724</v>
      </c>
      <c r="D7762" t="s">
        <v>7059</v>
      </c>
      <c r="E7762" t="s">
        <v>172</v>
      </c>
      <c r="F7762" s="2" t="str">
        <f>HYPERLINK("http://www.otzar.org/book.asp?83766","גן נטע")</f>
        <v>גן נטע</v>
      </c>
    </row>
    <row r="7763" spans="1:6" x14ac:dyDescent="0.2">
      <c r="A7763" t="s">
        <v>13725</v>
      </c>
      <c r="B7763" t="s">
        <v>3306</v>
      </c>
      <c r="C7763" t="s">
        <v>313</v>
      </c>
      <c r="D7763" t="s">
        <v>14</v>
      </c>
      <c r="E7763" t="s">
        <v>399</v>
      </c>
      <c r="F7763" s="2" t="str">
        <f>HYPERLINK("http://www.otzar.org/book.asp?149003","גן נעול")</f>
        <v>גן נעול</v>
      </c>
    </row>
    <row r="7764" spans="1:6" x14ac:dyDescent="0.2">
      <c r="A7764" t="s">
        <v>13726</v>
      </c>
      <c r="B7764" t="s">
        <v>13727</v>
      </c>
      <c r="C7764" t="s">
        <v>422</v>
      </c>
      <c r="D7764" t="s">
        <v>90</v>
      </c>
      <c r="E7764" t="s">
        <v>158</v>
      </c>
      <c r="F7764" s="2" t="str">
        <f>HYPERLINK("http://www.otzar.org/book.asp?603831","גן נעול - 4 כר'")</f>
        <v>גן נעול - 4 כר'</v>
      </c>
    </row>
    <row r="7765" spans="1:6" x14ac:dyDescent="0.2">
      <c r="A7765" t="s">
        <v>13725</v>
      </c>
      <c r="B7765" t="s">
        <v>13728</v>
      </c>
      <c r="C7765" t="s">
        <v>1310</v>
      </c>
      <c r="D7765" t="s">
        <v>76</v>
      </c>
      <c r="E7765" t="s">
        <v>6130</v>
      </c>
      <c r="F7765" s="2" t="str">
        <f>HYPERLINK("http://www.otzar.org/book.asp?300632","גן נעול")</f>
        <v>גן נעול</v>
      </c>
    </row>
    <row r="7766" spans="1:6" x14ac:dyDescent="0.2">
      <c r="A7766" t="s">
        <v>13725</v>
      </c>
      <c r="B7766" t="s">
        <v>13729</v>
      </c>
      <c r="C7766" t="s">
        <v>603</v>
      </c>
      <c r="D7766" t="s">
        <v>56</v>
      </c>
      <c r="E7766" t="s">
        <v>1211</v>
      </c>
      <c r="F7766" s="2" t="str">
        <f>HYPERLINK("http://www.otzar.org/book.asp?100867","גן נעול")</f>
        <v>גן נעול</v>
      </c>
    </row>
    <row r="7767" spans="1:6" x14ac:dyDescent="0.2">
      <c r="A7767" t="s">
        <v>13726</v>
      </c>
      <c r="B7767" t="s">
        <v>13730</v>
      </c>
      <c r="C7767" t="s">
        <v>366</v>
      </c>
      <c r="D7767" t="s">
        <v>216</v>
      </c>
      <c r="E7767" t="s">
        <v>15</v>
      </c>
      <c r="F7767" s="2" t="str">
        <f>HYPERLINK("http://www.otzar.org/book.asp?618690","גן נעול - 4 כר'")</f>
        <v>גן נעול - 4 כר'</v>
      </c>
    </row>
    <row r="7768" spans="1:6" x14ac:dyDescent="0.2">
      <c r="A7768" t="s">
        <v>13731</v>
      </c>
      <c r="B7768" t="s">
        <v>107</v>
      </c>
      <c r="C7768" t="s">
        <v>103</v>
      </c>
      <c r="D7768" t="s">
        <v>14</v>
      </c>
      <c r="E7768" t="s">
        <v>241</v>
      </c>
      <c r="F7768" s="2" t="str">
        <f>HYPERLINK("http://www.otzar.org/book.asp?84470","גן עדן וגיהנום")</f>
        <v>גן עדן וגיהנום</v>
      </c>
    </row>
    <row r="7769" spans="1:6" x14ac:dyDescent="0.2">
      <c r="A7769" t="s">
        <v>13732</v>
      </c>
      <c r="B7769" t="s">
        <v>13733</v>
      </c>
      <c r="C7769" t="s">
        <v>594</v>
      </c>
      <c r="D7769" t="s">
        <v>56</v>
      </c>
      <c r="E7769" t="s">
        <v>158</v>
      </c>
      <c r="F7769" s="2" t="str">
        <f>HYPERLINK("http://www.otzar.org/book.asp?24175","גן צבי")</f>
        <v>גן צבי</v>
      </c>
    </row>
    <row r="7770" spans="1:6" x14ac:dyDescent="0.2">
      <c r="A7770" t="s">
        <v>13734</v>
      </c>
      <c r="B7770" t="s">
        <v>13735</v>
      </c>
      <c r="C7770" t="s">
        <v>360</v>
      </c>
      <c r="D7770" t="s">
        <v>691</v>
      </c>
      <c r="E7770" t="s">
        <v>172</v>
      </c>
      <c r="F7770" s="2" t="str">
        <f>HYPERLINK("http://www.otzar.org/book.asp?105992","גן רוה")</f>
        <v>גן רוה</v>
      </c>
    </row>
    <row r="7771" spans="1:6" x14ac:dyDescent="0.2">
      <c r="A7771" t="s">
        <v>13734</v>
      </c>
      <c r="B7771" t="s">
        <v>13736</v>
      </c>
      <c r="C7771" t="s">
        <v>8</v>
      </c>
      <c r="D7771" t="s">
        <v>947</v>
      </c>
      <c r="E7771" t="s">
        <v>957</v>
      </c>
      <c r="F7771" s="2" t="str">
        <f>HYPERLINK("http://www.otzar.org/book.asp?102922","גן רוה")</f>
        <v>גן רוה</v>
      </c>
    </row>
    <row r="7772" spans="1:6" x14ac:dyDescent="0.2">
      <c r="A7772" t="s">
        <v>13737</v>
      </c>
      <c r="B7772" t="s">
        <v>13738</v>
      </c>
      <c r="C7772" t="s">
        <v>383</v>
      </c>
      <c r="D7772" t="s">
        <v>14</v>
      </c>
      <c r="E7772" t="s">
        <v>15</v>
      </c>
      <c r="F7772" s="2" t="str">
        <f>HYPERLINK("http://www.otzar.org/book.asp?143549","גן שושנים - 3 כר'")</f>
        <v>גן שושנים - 3 כר'</v>
      </c>
    </row>
    <row r="7773" spans="1:6" x14ac:dyDescent="0.2">
      <c r="A7773" t="s">
        <v>13739</v>
      </c>
      <c r="B7773" t="s">
        <v>13740</v>
      </c>
      <c r="C7773" t="s">
        <v>1663</v>
      </c>
      <c r="D7773" t="s">
        <v>27</v>
      </c>
      <c r="E7773" t="s">
        <v>202</v>
      </c>
      <c r="F7773" s="2" t="str">
        <f>HYPERLINK("http://www.otzar.org/book.asp?15030","גן שמואל")</f>
        <v>גן שמואל</v>
      </c>
    </row>
    <row r="7774" spans="1:6" x14ac:dyDescent="0.2">
      <c r="A7774" t="s">
        <v>13741</v>
      </c>
      <c r="B7774" t="s">
        <v>13742</v>
      </c>
      <c r="C7774" t="s">
        <v>46</v>
      </c>
      <c r="D7774" t="s">
        <v>986</v>
      </c>
      <c r="E7774" t="s">
        <v>158</v>
      </c>
      <c r="F7774" s="2" t="str">
        <f>HYPERLINK("http://www.otzar.org/book.asp?51314","גן שמואל - 2 כר'")</f>
        <v>גן שמואל - 2 כר'</v>
      </c>
    </row>
    <row r="7775" spans="1:6" x14ac:dyDescent="0.2">
      <c r="A7775" t="s">
        <v>13743</v>
      </c>
      <c r="B7775" t="s">
        <v>5239</v>
      </c>
      <c r="C7775" t="s">
        <v>189</v>
      </c>
      <c r="D7775" t="s">
        <v>14</v>
      </c>
      <c r="E7775" t="s">
        <v>158</v>
      </c>
      <c r="F7775" s="2" t="str">
        <f>HYPERLINK("http://www.otzar.org/book.asp?171334","גנא דפלפלי")</f>
        <v>גנא דפלפלי</v>
      </c>
    </row>
    <row r="7776" spans="1:6" x14ac:dyDescent="0.2">
      <c r="A7776" t="s">
        <v>13744</v>
      </c>
      <c r="B7776" t="s">
        <v>13745</v>
      </c>
      <c r="C7776" t="s">
        <v>422</v>
      </c>
      <c r="D7776" t="s">
        <v>14</v>
      </c>
      <c r="E7776" t="s">
        <v>158</v>
      </c>
      <c r="F7776" s="2" t="str">
        <f>HYPERLINK("http://www.otzar.org/book.asp?148000","גנוזות הפרשה")</f>
        <v>גנוזות הפרשה</v>
      </c>
    </row>
    <row r="7777" spans="1:6" x14ac:dyDescent="0.2">
      <c r="A7777" t="s">
        <v>13746</v>
      </c>
      <c r="B7777" t="s">
        <v>13747</v>
      </c>
      <c r="C7777" t="s">
        <v>23</v>
      </c>
      <c r="E7777" t="s">
        <v>674</v>
      </c>
      <c r="F7777" s="2" t="str">
        <f>HYPERLINK("http://www.otzar.org/book.asp?195963","גנוזות ותשובות מחכמי תימן")</f>
        <v>גנוזות ותשובות מחכמי תימן</v>
      </c>
    </row>
    <row r="7778" spans="1:6" x14ac:dyDescent="0.2">
      <c r="A7778" t="s">
        <v>13748</v>
      </c>
      <c r="B7778" t="s">
        <v>13749</v>
      </c>
      <c r="C7778" t="s">
        <v>124</v>
      </c>
      <c r="D7778" t="s">
        <v>14</v>
      </c>
      <c r="E7778" t="s">
        <v>104</v>
      </c>
      <c r="F7778" s="2" t="str">
        <f>HYPERLINK("http://www.otzar.org/book.asp?153651","גנוזות ספרים")</f>
        <v>גנוזות ספרים</v>
      </c>
    </row>
    <row r="7779" spans="1:6" x14ac:dyDescent="0.2">
      <c r="A7779" t="s">
        <v>13750</v>
      </c>
      <c r="B7779" t="s">
        <v>2908</v>
      </c>
      <c r="C7779" t="s">
        <v>37</v>
      </c>
      <c r="D7779" t="s">
        <v>2909</v>
      </c>
      <c r="F7779" s="2" t="str">
        <f>HYPERLINK("http://www.otzar.org/book.asp?194843","גנוזות קדמונים - 2 כר'")</f>
        <v>גנוזות קדמונים - 2 כר'</v>
      </c>
    </row>
    <row r="7780" spans="1:6" x14ac:dyDescent="0.2">
      <c r="A7780" t="s">
        <v>13751</v>
      </c>
      <c r="B7780" t="s">
        <v>13752</v>
      </c>
      <c r="C7780" t="s">
        <v>1388</v>
      </c>
      <c r="D7780" t="s">
        <v>14</v>
      </c>
      <c r="E7780" t="s">
        <v>202</v>
      </c>
      <c r="F7780" s="2" t="str">
        <f>HYPERLINK("http://www.otzar.org/book.asp?11189","גנוזות - 3 כר'")</f>
        <v>גנוזות - 3 כר'</v>
      </c>
    </row>
    <row r="7781" spans="1:6" x14ac:dyDescent="0.2">
      <c r="A7781" t="s">
        <v>13753</v>
      </c>
      <c r="B7781" t="s">
        <v>13754</v>
      </c>
      <c r="C7781" t="s">
        <v>13755</v>
      </c>
      <c r="D7781" t="s">
        <v>9</v>
      </c>
      <c r="E7781" t="s">
        <v>12306</v>
      </c>
      <c r="F7781" s="2" t="str">
        <f>HYPERLINK("http://www.otzar.org/book.asp?100395","גנון והציל - 2 כר'")</f>
        <v>גנון והציל - 2 כר'</v>
      </c>
    </row>
    <row r="7782" spans="1:6" x14ac:dyDescent="0.2">
      <c r="A7782" t="s">
        <v>13756</v>
      </c>
      <c r="B7782" t="s">
        <v>13757</v>
      </c>
      <c r="C7782" t="s">
        <v>146</v>
      </c>
      <c r="D7782" t="s">
        <v>14</v>
      </c>
      <c r="E7782" t="s">
        <v>104</v>
      </c>
      <c r="F7782" s="2" t="str">
        <f>HYPERLINK("http://www.otzar.org/book.asp?155039","גנזי אבות - ישועות מלכו, נפש חיה")</f>
        <v>גנזי אבות - ישועות מלכו, נפש חיה</v>
      </c>
    </row>
    <row r="7783" spans="1:6" x14ac:dyDescent="0.2">
      <c r="A7783" t="s">
        <v>13758</v>
      </c>
      <c r="B7783" t="s">
        <v>13759</v>
      </c>
      <c r="C7783" t="s">
        <v>422</v>
      </c>
      <c r="D7783" t="s">
        <v>14</v>
      </c>
      <c r="E7783" t="s">
        <v>130</v>
      </c>
      <c r="F7783" s="2" t="str">
        <f>HYPERLINK("http://www.otzar.org/book.asp?161771","גנזי אברהם")</f>
        <v>גנזי אברהם</v>
      </c>
    </row>
    <row r="7784" spans="1:6" x14ac:dyDescent="0.2">
      <c r="A7784" t="s">
        <v>13760</v>
      </c>
      <c r="B7784" t="s">
        <v>3606</v>
      </c>
      <c r="C7784" t="s">
        <v>23</v>
      </c>
      <c r="D7784" t="s">
        <v>412</v>
      </c>
      <c r="E7784" t="s">
        <v>2509</v>
      </c>
      <c r="F7784" s="2" t="str">
        <f>HYPERLINK("http://www.otzar.org/book.asp?195199","גנזי אור")</f>
        <v>גנזי אור</v>
      </c>
    </row>
    <row r="7785" spans="1:6" x14ac:dyDescent="0.2">
      <c r="A7785" t="s">
        <v>13761</v>
      </c>
      <c r="B7785" t="s">
        <v>6154</v>
      </c>
      <c r="C7785" t="s">
        <v>2543</v>
      </c>
      <c r="D7785" t="s">
        <v>726</v>
      </c>
      <c r="E7785" t="s">
        <v>5778</v>
      </c>
      <c r="F7785" s="2" t="str">
        <f>HYPERLINK("http://www.otzar.org/book.asp?182196","גנזי אלימלך")</f>
        <v>גנזי אלימלך</v>
      </c>
    </row>
    <row r="7786" spans="1:6" x14ac:dyDescent="0.2">
      <c r="A7786" t="s">
        <v>13762</v>
      </c>
      <c r="B7786" t="s">
        <v>13274</v>
      </c>
      <c r="C7786" t="s">
        <v>13763</v>
      </c>
      <c r="D7786" t="s">
        <v>563</v>
      </c>
      <c r="E7786" t="s">
        <v>219</v>
      </c>
      <c r="F7786" s="2" t="str">
        <f>HYPERLINK("http://www.otzar.org/book.asp?151562","גנזי אקספרד")</f>
        <v>גנזי אקספרד</v>
      </c>
    </row>
    <row r="7787" spans="1:6" x14ac:dyDescent="0.2">
      <c r="A7787" t="s">
        <v>13764</v>
      </c>
      <c r="B7787" t="s">
        <v>7693</v>
      </c>
      <c r="C7787" t="s">
        <v>51</v>
      </c>
      <c r="D7787" t="s">
        <v>14</v>
      </c>
      <c r="E7787" t="s">
        <v>399</v>
      </c>
      <c r="F7787" s="2" t="str">
        <f>HYPERLINK("http://www.otzar.org/book.asp?628224","גנזי ארמוני")</f>
        <v>גנזי ארמוני</v>
      </c>
    </row>
    <row r="7788" spans="1:6" x14ac:dyDescent="0.2">
      <c r="A7788" t="s">
        <v>13765</v>
      </c>
      <c r="B7788" t="s">
        <v>13766</v>
      </c>
      <c r="C7788" t="s">
        <v>383</v>
      </c>
      <c r="D7788" t="s">
        <v>6133</v>
      </c>
      <c r="E7788" t="s">
        <v>399</v>
      </c>
      <c r="F7788" s="2" t="str">
        <f>HYPERLINK("http://www.otzar.org/book.asp?168224","גנזי ברכה")</f>
        <v>גנזי ברכה</v>
      </c>
    </row>
    <row r="7789" spans="1:6" x14ac:dyDescent="0.2">
      <c r="A7789" t="s">
        <v>13765</v>
      </c>
      <c r="B7789" t="s">
        <v>13767</v>
      </c>
      <c r="C7789" t="s">
        <v>111</v>
      </c>
      <c r="D7789" t="s">
        <v>367</v>
      </c>
      <c r="E7789" t="s">
        <v>172</v>
      </c>
      <c r="F7789" s="2" t="str">
        <f>HYPERLINK("http://www.otzar.org/book.asp?631537","גנזי ברכה")</f>
        <v>גנזי ברכה</v>
      </c>
    </row>
    <row r="7790" spans="1:6" x14ac:dyDescent="0.2">
      <c r="A7790" t="s">
        <v>13765</v>
      </c>
      <c r="B7790" t="s">
        <v>257</v>
      </c>
      <c r="C7790" t="s">
        <v>366</v>
      </c>
      <c r="D7790" t="s">
        <v>367</v>
      </c>
      <c r="F7790" s="2" t="str">
        <f>HYPERLINK("http://www.otzar.org/book.asp?603528","גנזי ברכה")</f>
        <v>גנזי ברכה</v>
      </c>
    </row>
    <row r="7791" spans="1:6" x14ac:dyDescent="0.2">
      <c r="A7791" t="s">
        <v>13765</v>
      </c>
      <c r="B7791" t="s">
        <v>5377</v>
      </c>
      <c r="C7791" t="s">
        <v>17</v>
      </c>
      <c r="D7791" t="s">
        <v>14</v>
      </c>
      <c r="E7791" t="s">
        <v>803</v>
      </c>
      <c r="F7791" s="2" t="str">
        <f>HYPERLINK("http://www.otzar.org/book.asp?148710","גנזי ברכה")</f>
        <v>גנזי ברכה</v>
      </c>
    </row>
    <row r="7792" spans="1:6" x14ac:dyDescent="0.2">
      <c r="A7792" t="s">
        <v>13768</v>
      </c>
      <c r="B7792" t="s">
        <v>13769</v>
      </c>
      <c r="C7792" t="s">
        <v>20</v>
      </c>
      <c r="D7792" t="s">
        <v>14</v>
      </c>
      <c r="E7792" t="s">
        <v>84</v>
      </c>
      <c r="F7792" s="2" t="str">
        <f>HYPERLINK("http://www.otzar.org/book.asp?153573","גנזי בשמים - 2 כר'")</f>
        <v>גנזי בשמים - 2 כר'</v>
      </c>
    </row>
    <row r="7793" spans="1:6" x14ac:dyDescent="0.2">
      <c r="A7793" t="s">
        <v>13770</v>
      </c>
      <c r="B7793" t="s">
        <v>13771</v>
      </c>
      <c r="C7793" t="s">
        <v>176</v>
      </c>
      <c r="D7793" t="s">
        <v>14</v>
      </c>
      <c r="E7793" t="s">
        <v>144</v>
      </c>
      <c r="F7793" s="2" t="str">
        <f>HYPERLINK("http://www.otzar.org/book.asp?161061","גנזי הגאונים - 2 כר'")</f>
        <v>גנזי הגאונים - 2 כר'</v>
      </c>
    </row>
    <row r="7794" spans="1:6" x14ac:dyDescent="0.2">
      <c r="A7794" t="s">
        <v>13772</v>
      </c>
      <c r="B7794" t="s">
        <v>13773</v>
      </c>
      <c r="C7794" t="s">
        <v>244</v>
      </c>
      <c r="D7794" t="s">
        <v>14</v>
      </c>
      <c r="F7794" s="2" t="str">
        <f>HYPERLINK("http://www.otzar.org/book.asp?197516","גנזי היר""א - א")</f>
        <v>גנזי היר"א - א</v>
      </c>
    </row>
    <row r="7795" spans="1:6" x14ac:dyDescent="0.2">
      <c r="A7795" t="s">
        <v>13774</v>
      </c>
      <c r="B7795" t="s">
        <v>239</v>
      </c>
      <c r="C7795" t="s">
        <v>129</v>
      </c>
      <c r="D7795" t="s">
        <v>2375</v>
      </c>
      <c r="E7795" t="s">
        <v>104</v>
      </c>
      <c r="F7795" s="2" t="str">
        <f>HYPERLINK("http://www.otzar.org/book.asp?144830","גנזי המלך - 4 כר'")</f>
        <v>גנזי המלך - 4 כר'</v>
      </c>
    </row>
    <row r="7796" spans="1:6" x14ac:dyDescent="0.2">
      <c r="A7796" t="s">
        <v>13775</v>
      </c>
      <c r="B7796" t="s">
        <v>239</v>
      </c>
      <c r="C7796" t="s">
        <v>20</v>
      </c>
      <c r="D7796" t="s">
        <v>240</v>
      </c>
      <c r="F7796" s="2" t="str">
        <f>HYPERLINK("http://www.otzar.org/book.asp?604593","גנזי המלך&lt;המבואר&gt;")</f>
        <v>גנזי המלך&lt;המבואר&gt;</v>
      </c>
    </row>
    <row r="7797" spans="1:6" x14ac:dyDescent="0.2">
      <c r="A7797" t="s">
        <v>13776</v>
      </c>
      <c r="B7797" t="s">
        <v>1763</v>
      </c>
      <c r="C7797" t="s">
        <v>356</v>
      </c>
      <c r="D7797" t="s">
        <v>14</v>
      </c>
      <c r="E7797" t="s">
        <v>803</v>
      </c>
      <c r="F7797" s="2" t="str">
        <f>HYPERLINK("http://www.otzar.org/book.asp?5733","גנזי המלך")</f>
        <v>גנזי המלך</v>
      </c>
    </row>
    <row r="7798" spans="1:6" x14ac:dyDescent="0.2">
      <c r="A7798" t="s">
        <v>13776</v>
      </c>
      <c r="B7798" t="s">
        <v>13777</v>
      </c>
      <c r="C7798" t="s">
        <v>244</v>
      </c>
      <c r="D7798" t="s">
        <v>486</v>
      </c>
      <c r="E7798" t="s">
        <v>158</v>
      </c>
      <c r="F7798" s="2" t="str">
        <f>HYPERLINK("http://www.otzar.org/book.asp?195627","גנזי המלך")</f>
        <v>גנזי המלך</v>
      </c>
    </row>
    <row r="7799" spans="1:6" x14ac:dyDescent="0.2">
      <c r="A7799" t="s">
        <v>13778</v>
      </c>
      <c r="B7799" t="s">
        <v>13779</v>
      </c>
      <c r="C7799" t="s">
        <v>79</v>
      </c>
      <c r="D7799" t="s">
        <v>14</v>
      </c>
      <c r="E7799" t="s">
        <v>43</v>
      </c>
      <c r="F7799" s="2" t="str">
        <f>HYPERLINK("http://www.otzar.org/book.asp?23514","גנזי הספרי")</f>
        <v>גנזי הספרי</v>
      </c>
    </row>
    <row r="7800" spans="1:6" x14ac:dyDescent="0.2">
      <c r="A7800" t="s">
        <v>13780</v>
      </c>
      <c r="B7800" t="s">
        <v>8242</v>
      </c>
      <c r="C7800" t="s">
        <v>51</v>
      </c>
      <c r="D7800" t="s">
        <v>14</v>
      </c>
      <c r="E7800" t="s">
        <v>15</v>
      </c>
      <c r="F7800" s="2" t="str">
        <f>HYPERLINK("http://www.otzar.org/book.asp?23256","גנזי הקודש")</f>
        <v>גנזי הקודש</v>
      </c>
    </row>
    <row r="7801" spans="1:6" x14ac:dyDescent="0.2">
      <c r="A7801" t="s">
        <v>13781</v>
      </c>
      <c r="B7801" t="s">
        <v>7334</v>
      </c>
      <c r="C7801" t="s">
        <v>244</v>
      </c>
      <c r="D7801" t="s">
        <v>27</v>
      </c>
      <c r="F7801" s="2" t="str">
        <f>HYPERLINK("http://www.otzar.org/book.asp?199438","גנזי הרב פירירה - א")</f>
        <v>גנזי הרב פירירה - א</v>
      </c>
    </row>
    <row r="7802" spans="1:6" x14ac:dyDescent="0.2">
      <c r="A7802" t="s">
        <v>13782</v>
      </c>
      <c r="B7802" t="s">
        <v>13783</v>
      </c>
      <c r="C7802" t="s">
        <v>777</v>
      </c>
      <c r="D7802" t="s">
        <v>9</v>
      </c>
      <c r="E7802" t="s">
        <v>154</v>
      </c>
      <c r="F7802" s="2" t="str">
        <f>HYPERLINK("http://www.otzar.org/book.asp?28564","גנזי חיים - 2 כר'")</f>
        <v>גנזי חיים - 2 כר'</v>
      </c>
    </row>
    <row r="7803" spans="1:6" x14ac:dyDescent="0.2">
      <c r="A7803" t="s">
        <v>13784</v>
      </c>
      <c r="B7803" t="s">
        <v>155</v>
      </c>
      <c r="C7803" t="s">
        <v>594</v>
      </c>
      <c r="D7803" t="s">
        <v>157</v>
      </c>
      <c r="E7803" t="s">
        <v>674</v>
      </c>
      <c r="F7803" s="2" t="str">
        <f>HYPERLINK("http://www.otzar.org/book.asp?8109","גנזי חיים")</f>
        <v>גנזי חיים</v>
      </c>
    </row>
    <row r="7804" spans="1:6" x14ac:dyDescent="0.2">
      <c r="A7804" t="s">
        <v>13782</v>
      </c>
      <c r="B7804" t="s">
        <v>690</v>
      </c>
      <c r="C7804" t="s">
        <v>775</v>
      </c>
      <c r="D7804" t="s">
        <v>14</v>
      </c>
      <c r="E7804" t="s">
        <v>172</v>
      </c>
      <c r="F7804" s="2" t="str">
        <f>HYPERLINK("http://www.otzar.org/book.asp?152732","גנזי חיים - 2 כר'")</f>
        <v>גנזי חיים - 2 כר'</v>
      </c>
    </row>
    <row r="7805" spans="1:6" x14ac:dyDescent="0.2">
      <c r="A7805" t="s">
        <v>13785</v>
      </c>
      <c r="B7805" t="s">
        <v>13786</v>
      </c>
      <c r="C7805" t="s">
        <v>133</v>
      </c>
      <c r="D7805" t="s">
        <v>412</v>
      </c>
      <c r="E7805" t="s">
        <v>144</v>
      </c>
      <c r="F7805" s="2" t="str">
        <f>HYPERLINK("http://www.otzar.org/book.asp?174642","גנזי יבמות, נדרים")</f>
        <v>גנזי יבמות, נדרים</v>
      </c>
    </row>
    <row r="7806" spans="1:6" x14ac:dyDescent="0.2">
      <c r="A7806" t="s">
        <v>13787</v>
      </c>
      <c r="B7806" t="s">
        <v>13788</v>
      </c>
      <c r="C7806" t="s">
        <v>71</v>
      </c>
      <c r="D7806" t="s">
        <v>412</v>
      </c>
      <c r="E7806" t="s">
        <v>13789</v>
      </c>
      <c r="F7806" s="2" t="str">
        <f>HYPERLINK("http://www.otzar.org/book.asp?180071","גנזי יהודה")</f>
        <v>גנזי יהודה</v>
      </c>
    </row>
    <row r="7807" spans="1:6" x14ac:dyDescent="0.2">
      <c r="A7807" t="s">
        <v>13790</v>
      </c>
      <c r="B7807" t="s">
        <v>13791</v>
      </c>
      <c r="C7807" t="s">
        <v>1437</v>
      </c>
      <c r="D7807" t="s">
        <v>379</v>
      </c>
      <c r="E7807" t="s">
        <v>172</v>
      </c>
      <c r="F7807" s="2" t="str">
        <f>HYPERLINK("http://www.otzar.org/book.asp?101194","גנזי יוסף &lt;על פתיחה כוללת לפמ""ג&gt;")</f>
        <v>גנזי יוסף &lt;על פתיחה כוללת לפמ"ג&gt;</v>
      </c>
    </row>
    <row r="7808" spans="1:6" x14ac:dyDescent="0.2">
      <c r="A7808" t="s">
        <v>13792</v>
      </c>
      <c r="B7808" t="s">
        <v>13793</v>
      </c>
      <c r="C7808" t="s">
        <v>1535</v>
      </c>
      <c r="D7808" t="s">
        <v>691</v>
      </c>
      <c r="E7808" t="s">
        <v>2088</v>
      </c>
      <c r="F7808" s="2" t="str">
        <f>HYPERLINK("http://www.otzar.org/book.asp?147848","גנזי יוסף")</f>
        <v>גנזי יוסף</v>
      </c>
    </row>
    <row r="7809" spans="1:6" x14ac:dyDescent="0.2">
      <c r="A7809" t="s">
        <v>13794</v>
      </c>
      <c r="B7809" t="s">
        <v>13795</v>
      </c>
      <c r="C7809" t="s">
        <v>4266</v>
      </c>
      <c r="D7809" t="s">
        <v>267</v>
      </c>
      <c r="E7809" t="s">
        <v>5712</v>
      </c>
      <c r="F7809" s="2" t="str">
        <f>HYPERLINK("http://www.otzar.org/book.asp?104150","גנזי יוסף - 3 כר'")</f>
        <v>גנזי יוסף - 3 כר'</v>
      </c>
    </row>
    <row r="7810" spans="1:6" x14ac:dyDescent="0.2">
      <c r="A7810" t="s">
        <v>13792</v>
      </c>
      <c r="B7810" t="s">
        <v>285</v>
      </c>
      <c r="C7810" t="s">
        <v>547</v>
      </c>
      <c r="D7810" t="s">
        <v>2940</v>
      </c>
      <c r="E7810" t="s">
        <v>508</v>
      </c>
      <c r="F7810" s="2" t="str">
        <f>HYPERLINK("http://www.otzar.org/book.asp?176668","גנזי יוסף")</f>
        <v>גנזי יוסף</v>
      </c>
    </row>
    <row r="7811" spans="1:6" x14ac:dyDescent="0.2">
      <c r="A7811" t="s">
        <v>13796</v>
      </c>
      <c r="B7811" t="s">
        <v>13797</v>
      </c>
      <c r="C7811" t="s">
        <v>585</v>
      </c>
      <c r="D7811" t="s">
        <v>14</v>
      </c>
      <c r="E7811" t="s">
        <v>213</v>
      </c>
      <c r="F7811" s="2" t="str">
        <f>HYPERLINK("http://www.otzar.org/book.asp?104965","גנזי יוסף - 2 כר'")</f>
        <v>גנזי יוסף - 2 כר'</v>
      </c>
    </row>
    <row r="7812" spans="1:6" x14ac:dyDescent="0.2">
      <c r="A7812" t="s">
        <v>13798</v>
      </c>
      <c r="B7812" t="s">
        <v>13799</v>
      </c>
      <c r="C7812" t="s">
        <v>383</v>
      </c>
      <c r="D7812" t="s">
        <v>14</v>
      </c>
      <c r="E7812" t="s">
        <v>104</v>
      </c>
      <c r="F7812" s="2" t="str">
        <f>HYPERLINK("http://www.otzar.org/book.asp?83659","גנזי ירושלים - 2 כר'")</f>
        <v>גנזי ירושלים - 2 כר'</v>
      </c>
    </row>
    <row r="7813" spans="1:6" x14ac:dyDescent="0.2">
      <c r="A7813" t="s">
        <v>13800</v>
      </c>
      <c r="B7813" t="s">
        <v>3243</v>
      </c>
      <c r="C7813" t="s">
        <v>9979</v>
      </c>
      <c r="D7813" t="s">
        <v>27</v>
      </c>
      <c r="E7813" t="s">
        <v>202</v>
      </c>
      <c r="F7813" s="2" t="str">
        <f>HYPERLINK("http://www.otzar.org/book.asp?104299","גנזי ירושלים - &lt;מהדורה ישנה&gt;")</f>
        <v>גנזי ירושלים - &lt;מהדורה ישנה&gt;</v>
      </c>
    </row>
    <row r="7814" spans="1:6" x14ac:dyDescent="0.2">
      <c r="A7814" t="s">
        <v>13801</v>
      </c>
      <c r="B7814" t="s">
        <v>13802</v>
      </c>
      <c r="C7814" t="s">
        <v>13803</v>
      </c>
      <c r="D7814" t="s">
        <v>516</v>
      </c>
      <c r="E7814" t="s">
        <v>104</v>
      </c>
      <c r="F7814" s="2" t="str">
        <f>HYPERLINK("http://www.otzar.org/book.asp?151457","גנזי ישראל בס""ט פיטורבורג - 2 כר'")</f>
        <v>גנזי ישראל בס"ט פיטורבורג - 2 כר'</v>
      </c>
    </row>
    <row r="7815" spans="1:6" x14ac:dyDescent="0.2">
      <c r="A7815" t="s">
        <v>13804</v>
      </c>
      <c r="B7815" t="s">
        <v>13805</v>
      </c>
      <c r="C7815" t="s">
        <v>168</v>
      </c>
      <c r="D7815" t="s">
        <v>14</v>
      </c>
      <c r="F7815" s="2" t="str">
        <f>HYPERLINK("http://www.otzar.org/book.asp?153165","גנזי ישראל")</f>
        <v>גנזי ישראל</v>
      </c>
    </row>
    <row r="7816" spans="1:6" x14ac:dyDescent="0.2">
      <c r="A7816" t="s">
        <v>13806</v>
      </c>
      <c r="B7816" t="s">
        <v>13807</v>
      </c>
      <c r="C7816" t="s">
        <v>1640</v>
      </c>
      <c r="D7816" t="s">
        <v>412</v>
      </c>
      <c r="E7816" t="s">
        <v>2418</v>
      </c>
      <c r="F7816" s="2" t="str">
        <f>HYPERLINK("http://www.otzar.org/book.asp?158941","גנזי ישראל - 7 כר'")</f>
        <v>גנזי ישראל - 7 כר'</v>
      </c>
    </row>
    <row r="7817" spans="1:6" x14ac:dyDescent="0.2">
      <c r="A7817" t="s">
        <v>13808</v>
      </c>
      <c r="B7817" t="s">
        <v>13808</v>
      </c>
      <c r="C7817" t="s">
        <v>26</v>
      </c>
      <c r="D7817" t="s">
        <v>14</v>
      </c>
      <c r="E7817" t="s">
        <v>733</v>
      </c>
      <c r="F7817" s="2" t="str">
        <f>HYPERLINK("http://www.otzar.org/book.asp?144215","גנזי כתבים")</f>
        <v>גנזי כתבים</v>
      </c>
    </row>
    <row r="7818" spans="1:6" x14ac:dyDescent="0.2">
      <c r="A7818" t="s">
        <v>13809</v>
      </c>
      <c r="B7818" t="s">
        <v>13810</v>
      </c>
      <c r="C7818" t="s">
        <v>940</v>
      </c>
      <c r="D7818" t="s">
        <v>14</v>
      </c>
      <c r="E7818" t="s">
        <v>13811</v>
      </c>
      <c r="F7818" s="2" t="str">
        <f>HYPERLINK("http://www.otzar.org/book.asp?13514","גנזי מועדים &lt;זכרון לר' אלכסנדר דינקל&gt;")</f>
        <v>גנזי מועדים &lt;זכרון לר' אלכסנדר דינקל&gt;</v>
      </c>
    </row>
    <row r="7819" spans="1:6" x14ac:dyDescent="0.2">
      <c r="A7819" t="s">
        <v>13812</v>
      </c>
      <c r="B7819" t="s">
        <v>13813</v>
      </c>
      <c r="C7819" t="s">
        <v>748</v>
      </c>
      <c r="D7819" t="s">
        <v>13814</v>
      </c>
      <c r="E7819" t="s">
        <v>15</v>
      </c>
      <c r="F7819" s="2" t="str">
        <f>HYPERLINK("http://www.otzar.org/book.asp?6326","גנזי מצרים")</f>
        <v>גנזי מצרים</v>
      </c>
    </row>
    <row r="7820" spans="1:6" x14ac:dyDescent="0.2">
      <c r="A7820" t="s">
        <v>13815</v>
      </c>
      <c r="B7820" t="s">
        <v>13816</v>
      </c>
      <c r="C7820" t="s">
        <v>1650</v>
      </c>
      <c r="D7820" t="s">
        <v>9</v>
      </c>
      <c r="E7820" t="s">
        <v>463</v>
      </c>
      <c r="F7820" s="2" t="str">
        <f>HYPERLINK("http://www.otzar.org/book.asp?51324","גנזי מרגליות")</f>
        <v>גנזי מרגליות</v>
      </c>
    </row>
    <row r="7821" spans="1:6" x14ac:dyDescent="0.2">
      <c r="A7821" t="s">
        <v>13817</v>
      </c>
      <c r="B7821" t="s">
        <v>13817</v>
      </c>
      <c r="C7821" t="s">
        <v>13818</v>
      </c>
      <c r="D7821" t="s">
        <v>13819</v>
      </c>
      <c r="E7821" t="s">
        <v>13820</v>
      </c>
      <c r="F7821" s="2" t="str">
        <f>HYPERLINK("http://www.otzar.org/book.asp?16808","גנזי נסתרות")</f>
        <v>גנזי נסתרות</v>
      </c>
    </row>
    <row r="7822" spans="1:6" x14ac:dyDescent="0.2">
      <c r="A7822" t="s">
        <v>13821</v>
      </c>
      <c r="B7822" t="s">
        <v>13822</v>
      </c>
      <c r="C7822" t="s">
        <v>13823</v>
      </c>
      <c r="D7822" t="s">
        <v>13824</v>
      </c>
      <c r="E7822" t="s">
        <v>15</v>
      </c>
      <c r="F7822" s="2" t="str">
        <f>HYPERLINK("http://www.otzar.org/book.asp?179128","גנזי פרקי משנה תורה טהרה")</f>
        <v>גנזי פרקי משנה תורה טהרה</v>
      </c>
    </row>
    <row r="7823" spans="1:6" x14ac:dyDescent="0.2">
      <c r="A7823" t="s">
        <v>13825</v>
      </c>
      <c r="B7823" t="s">
        <v>13826</v>
      </c>
      <c r="C7823" t="s">
        <v>51</v>
      </c>
      <c r="D7823" t="s">
        <v>14</v>
      </c>
      <c r="E7823" t="s">
        <v>140</v>
      </c>
      <c r="F7823" s="2" t="str">
        <f>HYPERLINK("http://www.otzar.org/book.asp?626563","גנזי צדיקים")</f>
        <v>גנזי צדיקים</v>
      </c>
    </row>
    <row r="7824" spans="1:6" x14ac:dyDescent="0.2">
      <c r="A7824" t="s">
        <v>13827</v>
      </c>
      <c r="B7824" t="s">
        <v>13828</v>
      </c>
      <c r="C7824" t="s">
        <v>13829</v>
      </c>
      <c r="D7824" t="s">
        <v>1651</v>
      </c>
      <c r="E7824" t="s">
        <v>13830</v>
      </c>
      <c r="F7824" s="2" t="str">
        <f>HYPERLINK("http://www.otzar.org/book.asp?10432","גנזי קדם - 6 כר'")</f>
        <v>גנזי קדם - 6 כר'</v>
      </c>
    </row>
    <row r="7825" spans="1:6" x14ac:dyDescent="0.2">
      <c r="A7825" t="s">
        <v>13831</v>
      </c>
      <c r="B7825" t="s">
        <v>1750</v>
      </c>
      <c r="C7825" t="s">
        <v>313</v>
      </c>
      <c r="D7825" t="s">
        <v>486</v>
      </c>
      <c r="E7825" t="s">
        <v>202</v>
      </c>
      <c r="F7825" s="2" t="str">
        <f>HYPERLINK("http://www.otzar.org/book.asp?108433","גנזי קודש מוהרנ""ג - א")</f>
        <v>גנזי קודש מוהרנ"ג - א</v>
      </c>
    </row>
    <row r="7826" spans="1:6" x14ac:dyDescent="0.2">
      <c r="A7826" t="s">
        <v>13832</v>
      </c>
      <c r="B7826" t="s">
        <v>13833</v>
      </c>
      <c r="C7826" t="s">
        <v>237</v>
      </c>
      <c r="D7826" t="s">
        <v>974</v>
      </c>
      <c r="E7826" t="s">
        <v>13834</v>
      </c>
      <c r="F7826" s="2" t="str">
        <f>HYPERLINK("http://www.otzar.org/book.asp?104301","גנזי קויפמן - א")</f>
        <v>גנזי קויפמן - א</v>
      </c>
    </row>
    <row r="7827" spans="1:6" x14ac:dyDescent="0.2">
      <c r="A7827" t="s">
        <v>13835</v>
      </c>
      <c r="B7827" t="s">
        <v>13836</v>
      </c>
      <c r="C7827" t="s">
        <v>313</v>
      </c>
      <c r="D7827" t="s">
        <v>13837</v>
      </c>
      <c r="E7827" t="s">
        <v>144</v>
      </c>
      <c r="F7827" s="2" t="str">
        <f>HYPERLINK("http://www.otzar.org/book.asp?601355","גנזי ראש השנה")</f>
        <v>גנזי ראש השנה</v>
      </c>
    </row>
    <row r="7828" spans="1:6" x14ac:dyDescent="0.2">
      <c r="A7828" t="s">
        <v>13838</v>
      </c>
      <c r="B7828" t="s">
        <v>13839</v>
      </c>
      <c r="C7828" t="s">
        <v>1160</v>
      </c>
      <c r="D7828" t="s">
        <v>14</v>
      </c>
      <c r="E7828" t="s">
        <v>144</v>
      </c>
      <c r="F7828" s="2" t="str">
        <f>HYPERLINK("http://www.otzar.org/book.asp?106045","גנזי ראשונים - 3 כר'")</f>
        <v>גנזי ראשונים - 3 כר'</v>
      </c>
    </row>
    <row r="7829" spans="1:6" x14ac:dyDescent="0.2">
      <c r="A7829" t="s">
        <v>13840</v>
      </c>
      <c r="B7829" t="s">
        <v>13841</v>
      </c>
      <c r="C7829" t="s">
        <v>37</v>
      </c>
      <c r="D7829" t="s">
        <v>14</v>
      </c>
      <c r="E7829" t="s">
        <v>13842</v>
      </c>
      <c r="F7829" s="2" t="str">
        <f>HYPERLINK("http://www.otzar.org/book.asp?181010","גנזי רבי נחום")</f>
        <v>גנזי רבי נחום</v>
      </c>
    </row>
    <row r="7830" spans="1:6" x14ac:dyDescent="0.2">
      <c r="A7830" t="s">
        <v>13843</v>
      </c>
      <c r="B7830" t="s">
        <v>1385</v>
      </c>
      <c r="C7830" t="s">
        <v>63</v>
      </c>
      <c r="D7830" t="s">
        <v>14</v>
      </c>
      <c r="E7830" t="s">
        <v>508</v>
      </c>
      <c r="F7830" s="2" t="str">
        <f>HYPERLINK("http://www.otzar.org/book.asp?9555","גנזי רבי עקיבא איגר")</f>
        <v>גנזי רבי עקיבא איגר</v>
      </c>
    </row>
    <row r="7831" spans="1:6" x14ac:dyDescent="0.2">
      <c r="A7831" t="s">
        <v>13844</v>
      </c>
      <c r="B7831" t="s">
        <v>1390</v>
      </c>
      <c r="C7831" t="s">
        <v>1388</v>
      </c>
      <c r="D7831" t="s">
        <v>52</v>
      </c>
      <c r="E7831" t="s">
        <v>399</v>
      </c>
      <c r="F7831" s="2" t="str">
        <f>HYPERLINK("http://www.otzar.org/book.asp?22937","גנזי רמח""ל")</f>
        <v>גנזי רמח"ל</v>
      </c>
    </row>
    <row r="7832" spans="1:6" x14ac:dyDescent="0.2">
      <c r="A7832" t="s">
        <v>13845</v>
      </c>
      <c r="B7832" t="s">
        <v>1750</v>
      </c>
      <c r="C7832" t="s">
        <v>17</v>
      </c>
      <c r="D7832" t="s">
        <v>14</v>
      </c>
      <c r="E7832" t="s">
        <v>15</v>
      </c>
      <c r="F7832" s="2" t="str">
        <f>HYPERLINK("http://www.otzar.org/book.asp?157160","גנזי שביעית")</f>
        <v>גנזי שביעית</v>
      </c>
    </row>
    <row r="7833" spans="1:6" x14ac:dyDescent="0.2">
      <c r="A7833" t="s">
        <v>13846</v>
      </c>
      <c r="B7833" t="s">
        <v>13847</v>
      </c>
      <c r="C7833" t="s">
        <v>422</v>
      </c>
      <c r="D7833" t="s">
        <v>14</v>
      </c>
      <c r="E7833" t="s">
        <v>148</v>
      </c>
      <c r="F7833" s="2" t="str">
        <f>HYPERLINK("http://www.otzar.org/book.asp?148885","גנזי שבת - מתנה טובה")</f>
        <v>גנזי שבת - מתנה טובה</v>
      </c>
    </row>
    <row r="7834" spans="1:6" x14ac:dyDescent="0.2">
      <c r="A7834" t="s">
        <v>13848</v>
      </c>
      <c r="B7834" t="s">
        <v>13849</v>
      </c>
      <c r="C7834" t="s">
        <v>1374</v>
      </c>
      <c r="D7834" t="s">
        <v>9</v>
      </c>
      <c r="E7834" t="s">
        <v>219</v>
      </c>
      <c r="F7834" s="2" t="str">
        <f>HYPERLINK("http://www.otzar.org/book.asp?167498","גנזי שירה ופיוט")</f>
        <v>גנזי שירה ופיוט</v>
      </c>
    </row>
    <row r="7835" spans="1:6" x14ac:dyDescent="0.2">
      <c r="A7835" t="s">
        <v>13850</v>
      </c>
      <c r="B7835" t="s">
        <v>13851</v>
      </c>
      <c r="C7835" t="s">
        <v>3906</v>
      </c>
      <c r="D7835" t="s">
        <v>9</v>
      </c>
      <c r="F7835" s="2" t="str">
        <f>HYPERLINK("http://www.otzar.org/book.asp?601352","גנזי שכטר - 3 כר'")</f>
        <v>גנזי שכטר - 3 כר'</v>
      </c>
    </row>
    <row r="7836" spans="1:6" x14ac:dyDescent="0.2">
      <c r="A7836" t="s">
        <v>13852</v>
      </c>
      <c r="B7836" t="s">
        <v>13853</v>
      </c>
      <c r="C7836" t="s">
        <v>111</v>
      </c>
      <c r="D7836" t="s">
        <v>2375</v>
      </c>
      <c r="E7836" t="s">
        <v>579</v>
      </c>
      <c r="F7836" s="2" t="str">
        <f>HYPERLINK("http://www.otzar.org/book.asp?626267","גנזי שלום")</f>
        <v>גנזי שלום</v>
      </c>
    </row>
    <row r="7837" spans="1:6" x14ac:dyDescent="0.2">
      <c r="A7837" t="s">
        <v>13852</v>
      </c>
      <c r="B7837" t="s">
        <v>13854</v>
      </c>
      <c r="C7837" t="s">
        <v>4144</v>
      </c>
      <c r="D7837" t="s">
        <v>889</v>
      </c>
      <c r="E7837" t="s">
        <v>13855</v>
      </c>
      <c r="F7837" s="2" t="str">
        <f>HYPERLINK("http://www.otzar.org/book.asp?24393","גנזי שלום")</f>
        <v>גנזי שלום</v>
      </c>
    </row>
    <row r="7838" spans="1:6" x14ac:dyDescent="0.2">
      <c r="A7838" t="s">
        <v>13856</v>
      </c>
      <c r="B7838" t="s">
        <v>13857</v>
      </c>
      <c r="C7838" t="s">
        <v>454</v>
      </c>
      <c r="D7838" t="s">
        <v>52</v>
      </c>
      <c r="E7838" t="s">
        <v>583</v>
      </c>
      <c r="F7838" s="2" t="str">
        <f>HYPERLINK("http://www.otzar.org/book.asp?25850","גנזי שערי ציון")</f>
        <v>גנזי שערי ציון</v>
      </c>
    </row>
    <row r="7839" spans="1:6" x14ac:dyDescent="0.2">
      <c r="A7839" t="s">
        <v>13858</v>
      </c>
      <c r="B7839" t="s">
        <v>2109</v>
      </c>
      <c r="C7839" t="s">
        <v>2284</v>
      </c>
      <c r="D7839" t="s">
        <v>14</v>
      </c>
      <c r="E7839" t="s">
        <v>144</v>
      </c>
      <c r="F7839" s="2" t="str">
        <f>HYPERLINK("http://www.otzar.org/book.asp?24901","גנזי תורת רבותינו - מעילה")</f>
        <v>גנזי תורת רבותינו - מעילה</v>
      </c>
    </row>
    <row r="7840" spans="1:6" x14ac:dyDescent="0.2">
      <c r="A7840" t="s">
        <v>13859</v>
      </c>
      <c r="B7840" t="s">
        <v>13860</v>
      </c>
      <c r="C7840" t="s">
        <v>124</v>
      </c>
      <c r="D7840" t="s">
        <v>14</v>
      </c>
      <c r="E7840" t="s">
        <v>144</v>
      </c>
      <c r="F7840" s="2" t="str">
        <f>HYPERLINK("http://www.otzar.org/book.asp?191310","גנזי תלמוד בבלי - 2 כר'")</f>
        <v>גנזי תלמוד בבלי - 2 כר'</v>
      </c>
    </row>
    <row r="7841" spans="1:6" x14ac:dyDescent="0.2">
      <c r="A7841" t="s">
        <v>13861</v>
      </c>
      <c r="B7841" t="s">
        <v>13862</v>
      </c>
      <c r="C7841" t="s">
        <v>37</v>
      </c>
      <c r="D7841" t="s">
        <v>412</v>
      </c>
      <c r="F7841" s="2" t="str">
        <f>HYPERLINK("http://www.otzar.org/book.asp?198455","גניבה וגזילה")</f>
        <v>גניבה וגזילה</v>
      </c>
    </row>
    <row r="7842" spans="1:6" x14ac:dyDescent="0.2">
      <c r="A7842" t="s">
        <v>13863</v>
      </c>
      <c r="B7842" t="s">
        <v>10638</v>
      </c>
      <c r="C7842" t="s">
        <v>244</v>
      </c>
      <c r="D7842" t="s">
        <v>52</v>
      </c>
      <c r="E7842" t="s">
        <v>15</v>
      </c>
      <c r="F7842" s="2" t="str">
        <f>HYPERLINK("http://www.otzar.org/book.asp?600236","גניזת קודש")</f>
        <v>גניזת קודש</v>
      </c>
    </row>
    <row r="7843" spans="1:6" x14ac:dyDescent="0.2">
      <c r="A7843" t="s">
        <v>13864</v>
      </c>
      <c r="B7843" t="s">
        <v>13865</v>
      </c>
      <c r="C7843" t="s">
        <v>411</v>
      </c>
      <c r="D7843" t="s">
        <v>412</v>
      </c>
      <c r="E7843" t="s">
        <v>975</v>
      </c>
      <c r="F7843" s="2" t="str">
        <f>HYPERLINK("http://www.otzar.org/book.asp?170865","גנת אגוז &lt;מהדורה חדשה&gt;")</f>
        <v>גנת אגוז &lt;מהדורה חדשה&gt;</v>
      </c>
    </row>
    <row r="7844" spans="1:6" x14ac:dyDescent="0.2">
      <c r="A7844" t="s">
        <v>13866</v>
      </c>
      <c r="B7844" t="s">
        <v>13681</v>
      </c>
      <c r="C7844" t="s">
        <v>23</v>
      </c>
      <c r="D7844" t="s">
        <v>21</v>
      </c>
      <c r="E7844" t="s">
        <v>230</v>
      </c>
      <c r="F7844" s="2" t="str">
        <f>HYPERLINK("http://www.otzar.org/book.asp?195490","גנת אגוז")</f>
        <v>גנת אגוז</v>
      </c>
    </row>
    <row r="7845" spans="1:6" x14ac:dyDescent="0.2">
      <c r="A7845" t="s">
        <v>13867</v>
      </c>
      <c r="B7845" t="s">
        <v>13868</v>
      </c>
      <c r="C7845" t="s">
        <v>785</v>
      </c>
      <c r="D7845" t="s">
        <v>14</v>
      </c>
      <c r="E7845" t="s">
        <v>399</v>
      </c>
      <c r="F7845" s="2" t="str">
        <f>HYPERLINK("http://www.otzar.org/book.asp?84738","גנת אגוז - 4 כר'")</f>
        <v>גנת אגוז - 4 כר'</v>
      </c>
    </row>
    <row r="7846" spans="1:6" x14ac:dyDescent="0.2">
      <c r="A7846" t="s">
        <v>13866</v>
      </c>
      <c r="B7846" t="s">
        <v>13869</v>
      </c>
      <c r="C7846" t="s">
        <v>395</v>
      </c>
      <c r="D7846" t="s">
        <v>280</v>
      </c>
      <c r="E7846" t="s">
        <v>234</v>
      </c>
      <c r="F7846" s="2" t="str">
        <f>HYPERLINK("http://www.otzar.org/book.asp?102924","גנת אגוז")</f>
        <v>גנת אגוז</v>
      </c>
    </row>
    <row r="7847" spans="1:6" x14ac:dyDescent="0.2">
      <c r="A7847" t="s">
        <v>13870</v>
      </c>
      <c r="B7847" t="s">
        <v>6154</v>
      </c>
      <c r="C7847" t="s">
        <v>619</v>
      </c>
      <c r="D7847" t="s">
        <v>27</v>
      </c>
      <c r="E7847" t="s">
        <v>144</v>
      </c>
      <c r="F7847" s="2" t="str">
        <f>HYPERLINK("http://www.otzar.org/book.asp?176865","גנת אלימלך - ב")</f>
        <v>גנת אלימלך - ב</v>
      </c>
    </row>
    <row r="7848" spans="1:6" x14ac:dyDescent="0.2">
      <c r="A7848" t="s">
        <v>13871</v>
      </c>
      <c r="B7848" t="s">
        <v>13872</v>
      </c>
      <c r="C7848" t="s">
        <v>5823</v>
      </c>
      <c r="D7848" t="s">
        <v>283</v>
      </c>
      <c r="E7848" t="s">
        <v>10190</v>
      </c>
      <c r="F7848" s="2" t="str">
        <f>HYPERLINK("http://www.otzar.org/book.asp?10638","גנת ביתן")</f>
        <v>גנת ביתן</v>
      </c>
    </row>
    <row r="7849" spans="1:6" x14ac:dyDescent="0.2">
      <c r="A7849" t="s">
        <v>13871</v>
      </c>
      <c r="B7849" t="s">
        <v>13873</v>
      </c>
      <c r="C7849" t="s">
        <v>624</v>
      </c>
      <c r="D7849" t="s">
        <v>721</v>
      </c>
      <c r="E7849" t="s">
        <v>104</v>
      </c>
      <c r="F7849" s="2" t="str">
        <f>HYPERLINK("http://www.otzar.org/book.asp?174462","גנת ביתן")</f>
        <v>גנת ביתן</v>
      </c>
    </row>
    <row r="7850" spans="1:6" x14ac:dyDescent="0.2">
      <c r="A7850" t="s">
        <v>13874</v>
      </c>
      <c r="B7850" t="s">
        <v>13875</v>
      </c>
      <c r="C7850" t="s">
        <v>442</v>
      </c>
      <c r="D7850" t="s">
        <v>646</v>
      </c>
      <c r="F7850" s="2" t="str">
        <f>HYPERLINK("http://www.otzar.org/book.asp?615709","גנת הביתן")</f>
        <v>גנת הביתן</v>
      </c>
    </row>
    <row r="7851" spans="1:6" x14ac:dyDescent="0.2">
      <c r="A7851" t="s">
        <v>13876</v>
      </c>
      <c r="B7851" t="s">
        <v>1361</v>
      </c>
      <c r="C7851" t="s">
        <v>503</v>
      </c>
      <c r="D7851" t="s">
        <v>225</v>
      </c>
      <c r="E7851" t="s">
        <v>1211</v>
      </c>
      <c r="F7851" s="2" t="str">
        <f>HYPERLINK("http://www.otzar.org/book.asp?11083","גנת וורדים")</f>
        <v>גנת וורדים</v>
      </c>
    </row>
    <row r="7852" spans="1:6" x14ac:dyDescent="0.2">
      <c r="A7852" t="s">
        <v>13877</v>
      </c>
      <c r="B7852" t="s">
        <v>13483</v>
      </c>
      <c r="C7852" t="s">
        <v>13878</v>
      </c>
      <c r="D7852" t="s">
        <v>1490</v>
      </c>
      <c r="E7852" t="s">
        <v>154</v>
      </c>
      <c r="F7852" s="2" t="str">
        <f>HYPERLINK("http://www.otzar.org/book.asp?813","גנת ורדים - 2 כר'")</f>
        <v>גנת ורדים - 2 כר'</v>
      </c>
    </row>
    <row r="7853" spans="1:6" x14ac:dyDescent="0.2">
      <c r="A7853" t="s">
        <v>13879</v>
      </c>
      <c r="B7853" t="s">
        <v>13872</v>
      </c>
      <c r="C7853" t="s">
        <v>473</v>
      </c>
      <c r="D7853" t="s">
        <v>691</v>
      </c>
      <c r="E7853" t="s">
        <v>234</v>
      </c>
      <c r="F7853" s="2" t="str">
        <f>HYPERLINK("http://www.otzar.org/book.asp?10639","גנת חמד")</f>
        <v>גנת חמד</v>
      </c>
    </row>
    <row r="7854" spans="1:6" x14ac:dyDescent="0.2">
      <c r="A7854" t="s">
        <v>13880</v>
      </c>
      <c r="B7854" t="s">
        <v>13881</v>
      </c>
      <c r="C7854" t="s">
        <v>20</v>
      </c>
      <c r="D7854" t="s">
        <v>14</v>
      </c>
      <c r="E7854" t="s">
        <v>241</v>
      </c>
      <c r="F7854" s="2" t="str">
        <f>HYPERLINK("http://www.otzar.org/book.asp?629908","גנת ישראל - 2 כר'")</f>
        <v>גנת ישראל - 2 כר'</v>
      </c>
    </row>
    <row r="7855" spans="1:6" x14ac:dyDescent="0.2">
      <c r="A7855" t="s">
        <v>13882</v>
      </c>
      <c r="B7855" t="s">
        <v>13883</v>
      </c>
      <c r="C7855" t="s">
        <v>1246</v>
      </c>
      <c r="D7855" t="s">
        <v>412</v>
      </c>
      <c r="E7855" t="s">
        <v>158</v>
      </c>
      <c r="F7855" s="2" t="str">
        <f>HYPERLINK("http://www.otzar.org/book.asp?196493","געדאנק און חכמה")</f>
        <v>געדאנק און חכמה</v>
      </c>
    </row>
    <row r="7856" spans="1:6" x14ac:dyDescent="0.2">
      <c r="A7856" t="s">
        <v>13884</v>
      </c>
      <c r="B7856" t="s">
        <v>13885</v>
      </c>
      <c r="C7856" t="s">
        <v>2008</v>
      </c>
      <c r="D7856" t="s">
        <v>8647</v>
      </c>
      <c r="F7856" s="2" t="str">
        <f>HYPERLINK("http://www.otzar.org/book.asp?196474","געזונד אויף די עלטערע יאהרען")</f>
        <v>געזונד אויף די עלטערע יאהרען</v>
      </c>
    </row>
    <row r="7857" spans="1:6" x14ac:dyDescent="0.2">
      <c r="A7857" t="s">
        <v>13886</v>
      </c>
      <c r="B7857" t="s">
        <v>13886</v>
      </c>
      <c r="C7857" t="s">
        <v>402</v>
      </c>
      <c r="D7857" t="s">
        <v>13887</v>
      </c>
      <c r="F7857" s="2" t="str">
        <f>HYPERLINK("http://www.otzar.org/book.asp?163384","געלד אונט קיין געלד")</f>
        <v>געלד אונט קיין געלד</v>
      </c>
    </row>
    <row r="7858" spans="1:6" x14ac:dyDescent="0.2">
      <c r="A7858" t="s">
        <v>13888</v>
      </c>
      <c r="B7858" t="s">
        <v>13889</v>
      </c>
      <c r="C7858" t="s">
        <v>20</v>
      </c>
      <c r="D7858" t="s">
        <v>412</v>
      </c>
      <c r="E7858" t="s">
        <v>230</v>
      </c>
      <c r="F7858" s="2" t="str">
        <f>HYPERLINK("http://www.otzar.org/book.asp?199744","געקליבענע פערל - ב")</f>
        <v>געקליבענע פערל - ב</v>
      </c>
    </row>
    <row r="7859" spans="1:6" x14ac:dyDescent="0.2">
      <c r="A7859" t="s">
        <v>13890</v>
      </c>
      <c r="B7859" t="s">
        <v>13891</v>
      </c>
      <c r="C7859" t="s">
        <v>3840</v>
      </c>
      <c r="D7859" t="s">
        <v>2362</v>
      </c>
      <c r="E7859" t="s">
        <v>104</v>
      </c>
      <c r="F7859" s="2" t="str">
        <f>HYPERLINK("http://www.otzar.org/book.asp?174560","געקליבענע שריפטן")</f>
        <v>געקליבענע שריפטן</v>
      </c>
    </row>
    <row r="7860" spans="1:6" x14ac:dyDescent="0.2">
      <c r="A7860" t="s">
        <v>13892</v>
      </c>
      <c r="B7860" t="s">
        <v>13893</v>
      </c>
      <c r="C7860" t="s">
        <v>332</v>
      </c>
      <c r="D7860" t="s">
        <v>412</v>
      </c>
      <c r="F7860" s="2" t="str">
        <f>HYPERLINK("http://www.otzar.org/book.asp?155251","געשטאלטן און געשעענישען")</f>
        <v>געשטאלטן און געשעענישען</v>
      </c>
    </row>
    <row r="7861" spans="1:6" x14ac:dyDescent="0.2">
      <c r="A7861" t="s">
        <v>13894</v>
      </c>
      <c r="B7861" t="s">
        <v>13895</v>
      </c>
      <c r="C7861" t="s">
        <v>462</v>
      </c>
      <c r="D7861" t="s">
        <v>307</v>
      </c>
      <c r="F7861" s="2" t="str">
        <f>HYPERLINK("http://www.otzar.org/book.asp?196027","געשיכטע דער יודען אין פוילען")</f>
        <v>געשיכטע דער יודען אין פוילען</v>
      </c>
    </row>
    <row r="7862" spans="1:6" x14ac:dyDescent="0.2">
      <c r="A7862" t="s">
        <v>13896</v>
      </c>
      <c r="B7862" t="s">
        <v>13897</v>
      </c>
      <c r="C7862" t="s">
        <v>558</v>
      </c>
      <c r="D7862" t="s">
        <v>1913</v>
      </c>
      <c r="E7862" t="s">
        <v>15</v>
      </c>
      <c r="F7862" s="2" t="str">
        <f>HYPERLINK("http://www.otzar.org/book.asp?140808","געשלעכטליכע רייניגונג (טבילה)")</f>
        <v>געשלעכטליכע רייניגונג (טבילה)</v>
      </c>
    </row>
    <row r="7863" spans="1:6" x14ac:dyDescent="0.2">
      <c r="A7863" t="s">
        <v>13898</v>
      </c>
      <c r="B7863" t="s">
        <v>13899</v>
      </c>
      <c r="C7863" t="s">
        <v>4592</v>
      </c>
      <c r="D7863" t="s">
        <v>8555</v>
      </c>
      <c r="E7863" t="s">
        <v>84</v>
      </c>
      <c r="F7863" s="2" t="str">
        <f>HYPERLINK("http://www.otzar.org/book.asp?6847","גפי אש - 4 כר'")</f>
        <v>גפי אש - 4 כר'</v>
      </c>
    </row>
    <row r="7864" spans="1:6" x14ac:dyDescent="0.2">
      <c r="A7864" t="s">
        <v>13900</v>
      </c>
      <c r="B7864" t="s">
        <v>13901</v>
      </c>
      <c r="C7864" t="s">
        <v>114</v>
      </c>
      <c r="D7864" t="s">
        <v>14</v>
      </c>
      <c r="E7864" t="s">
        <v>1103</v>
      </c>
      <c r="F7864" s="2" t="str">
        <f>HYPERLINK("http://www.otzar.org/book.asp?623561","גפן בעצי היער")</f>
        <v>גפן בעצי היער</v>
      </c>
    </row>
    <row r="7865" spans="1:6" x14ac:dyDescent="0.2">
      <c r="A7865" t="s">
        <v>13902</v>
      </c>
      <c r="B7865" t="s">
        <v>13903</v>
      </c>
      <c r="C7865" t="s">
        <v>10538</v>
      </c>
      <c r="D7865" t="s">
        <v>2461</v>
      </c>
      <c r="E7865" t="s">
        <v>213</v>
      </c>
      <c r="F7865" s="2" t="str">
        <f>HYPERLINK("http://www.otzar.org/book.asp?147003","גפן יחידית")</f>
        <v>גפן יחידית</v>
      </c>
    </row>
    <row r="7866" spans="1:6" x14ac:dyDescent="0.2">
      <c r="A7866" t="s">
        <v>13904</v>
      </c>
      <c r="B7866" t="s">
        <v>2004</v>
      </c>
      <c r="C7866" t="s">
        <v>106</v>
      </c>
      <c r="D7866" t="s">
        <v>216</v>
      </c>
      <c r="E7866" t="s">
        <v>234</v>
      </c>
      <c r="F7866" s="2" t="str">
        <f>HYPERLINK("http://www.otzar.org/book.asp?154362","גפן ישראל")</f>
        <v>גפן ישראל</v>
      </c>
    </row>
    <row r="7867" spans="1:6" x14ac:dyDescent="0.2">
      <c r="A7867" t="s">
        <v>13904</v>
      </c>
      <c r="B7867" t="s">
        <v>13905</v>
      </c>
      <c r="C7867" t="s">
        <v>111</v>
      </c>
      <c r="D7867" t="s">
        <v>52</v>
      </c>
      <c r="E7867" t="s">
        <v>930</v>
      </c>
      <c r="F7867" s="2" t="str">
        <f>HYPERLINK("http://www.otzar.org/book.asp?623264","גפן ישראל")</f>
        <v>גפן ישראל</v>
      </c>
    </row>
    <row r="7868" spans="1:6" x14ac:dyDescent="0.2">
      <c r="A7868" t="s">
        <v>13906</v>
      </c>
      <c r="B7868" t="s">
        <v>13907</v>
      </c>
      <c r="C7868" t="s">
        <v>1706</v>
      </c>
      <c r="D7868" t="s">
        <v>283</v>
      </c>
      <c r="E7868" t="s">
        <v>246</v>
      </c>
      <c r="F7868" s="2" t="str">
        <f>HYPERLINK("http://www.otzar.org/book.asp?51319","גפן ממצרים")</f>
        <v>גפן ממצרים</v>
      </c>
    </row>
    <row r="7869" spans="1:6" x14ac:dyDescent="0.2">
      <c r="A7869" t="s">
        <v>13908</v>
      </c>
      <c r="B7869" t="s">
        <v>13909</v>
      </c>
      <c r="C7869" t="s">
        <v>2644</v>
      </c>
      <c r="D7869" t="s">
        <v>27</v>
      </c>
      <c r="E7869" t="s">
        <v>144</v>
      </c>
      <c r="F7869" s="2" t="str">
        <f>HYPERLINK("http://www.otzar.org/book.asp?5879","גפן פוריה")</f>
        <v>גפן פוריה</v>
      </c>
    </row>
    <row r="7870" spans="1:6" x14ac:dyDescent="0.2">
      <c r="A7870" t="s">
        <v>13910</v>
      </c>
      <c r="B7870" t="s">
        <v>13911</v>
      </c>
      <c r="C7870" t="s">
        <v>20</v>
      </c>
      <c r="D7870" t="s">
        <v>4665</v>
      </c>
      <c r="E7870" t="s">
        <v>15</v>
      </c>
      <c r="F7870" s="2" t="str">
        <f>HYPERLINK("http://www.otzar.org/book.asp?605364","גר המתגייר - 4 כר'")</f>
        <v>גר המתגייר - 4 כר'</v>
      </c>
    </row>
    <row r="7871" spans="1:6" x14ac:dyDescent="0.2">
      <c r="A7871" t="s">
        <v>13912</v>
      </c>
      <c r="B7871" t="s">
        <v>13913</v>
      </c>
      <c r="C7871" t="s">
        <v>68</v>
      </c>
      <c r="D7871" t="s">
        <v>486</v>
      </c>
      <c r="E7871" t="s">
        <v>246</v>
      </c>
      <c r="F7871" s="2" t="str">
        <f>HYPERLINK("http://www.otzar.org/book.asp?168994","גראמען לפורים")</f>
        <v>גראמען לפורים</v>
      </c>
    </row>
    <row r="7872" spans="1:6" x14ac:dyDescent="0.2">
      <c r="A7872" t="s">
        <v>13914</v>
      </c>
      <c r="B7872" t="s">
        <v>8270</v>
      </c>
      <c r="C7872" t="s">
        <v>13915</v>
      </c>
      <c r="D7872" t="s">
        <v>1356</v>
      </c>
      <c r="E7872" t="s">
        <v>154</v>
      </c>
      <c r="F7872" s="2" t="str">
        <f>HYPERLINK("http://www.otzar.org/book.asp?149163","גרגרים בראש אמיר")</f>
        <v>גרגרים בראש אמיר</v>
      </c>
    </row>
    <row r="7873" spans="1:6" x14ac:dyDescent="0.2">
      <c r="A7873" t="s">
        <v>13916</v>
      </c>
      <c r="B7873" t="s">
        <v>13917</v>
      </c>
      <c r="C7873" t="s">
        <v>13</v>
      </c>
      <c r="D7873" t="s">
        <v>14</v>
      </c>
      <c r="E7873" t="s">
        <v>15</v>
      </c>
      <c r="F7873" s="2" t="str">
        <f>HYPERLINK("http://www.otzar.org/book.asp?63092","גרות וגרים בהלכה ובהגות")</f>
        <v>גרות וגרים בהלכה ובהגות</v>
      </c>
    </row>
    <row r="7874" spans="1:6" x14ac:dyDescent="0.2">
      <c r="A7874" t="s">
        <v>13918</v>
      </c>
      <c r="B7874" t="s">
        <v>4084</v>
      </c>
      <c r="C7874" t="s">
        <v>133</v>
      </c>
      <c r="D7874" t="s">
        <v>1974</v>
      </c>
      <c r="E7874" t="s">
        <v>172</v>
      </c>
      <c r="F7874" s="2" t="str">
        <f>HYPERLINK("http://www.otzar.org/book.asp?179841","גרי הצדק")</f>
        <v>גרי הצדק</v>
      </c>
    </row>
    <row r="7875" spans="1:6" x14ac:dyDescent="0.2">
      <c r="A7875" t="s">
        <v>13918</v>
      </c>
      <c r="B7875" t="s">
        <v>13919</v>
      </c>
      <c r="C7875" t="s">
        <v>1640</v>
      </c>
      <c r="D7875" t="s">
        <v>14</v>
      </c>
      <c r="E7875" t="s">
        <v>104</v>
      </c>
      <c r="F7875" s="2" t="str">
        <f>HYPERLINK("http://www.otzar.org/book.asp?193664","גרי הצדק")</f>
        <v>גרי הצדק</v>
      </c>
    </row>
    <row r="7876" spans="1:6" x14ac:dyDescent="0.2">
      <c r="A7876" t="s">
        <v>13920</v>
      </c>
      <c r="B7876" t="s">
        <v>316</v>
      </c>
      <c r="C7876" t="s">
        <v>20</v>
      </c>
      <c r="D7876" t="s">
        <v>21</v>
      </c>
      <c r="E7876" t="s">
        <v>15</v>
      </c>
      <c r="F7876" s="2" t="str">
        <f>HYPERLINK("http://www.otzar.org/book.asp?620712","גרים גרורים")</f>
        <v>גרים גרורים</v>
      </c>
    </row>
    <row r="7877" spans="1:6" x14ac:dyDescent="0.2">
      <c r="A7877" t="s">
        <v>13921</v>
      </c>
      <c r="B7877" t="s">
        <v>13922</v>
      </c>
      <c r="C7877" t="s">
        <v>1650</v>
      </c>
      <c r="D7877" t="s">
        <v>535</v>
      </c>
      <c r="E7877" t="s">
        <v>119</v>
      </c>
      <c r="F7877" s="2" t="str">
        <f>HYPERLINK("http://www.otzar.org/book.asp?100458","גרם המעלות - 2 כר'")</f>
        <v>גרם המעלות - 2 כר'</v>
      </c>
    </row>
    <row r="7878" spans="1:6" x14ac:dyDescent="0.2">
      <c r="A7878" t="s">
        <v>13923</v>
      </c>
      <c r="B7878" t="s">
        <v>8053</v>
      </c>
      <c r="C7878" t="s">
        <v>427</v>
      </c>
      <c r="D7878" t="s">
        <v>14</v>
      </c>
      <c r="E7878" t="s">
        <v>15</v>
      </c>
      <c r="F7878" s="2" t="str">
        <f>HYPERLINK("http://www.otzar.org/book.asp?625458","גרם מלאכה בשבת באמצעות אור ורוח")</f>
        <v>גרם מלאכה בשבת באמצעות אור ורוח</v>
      </c>
    </row>
    <row r="7879" spans="1:6" x14ac:dyDescent="0.2">
      <c r="A7879" t="s">
        <v>13924</v>
      </c>
      <c r="B7879" t="s">
        <v>13925</v>
      </c>
      <c r="C7879" t="s">
        <v>558</v>
      </c>
      <c r="D7879" t="s">
        <v>9</v>
      </c>
      <c r="E7879" t="s">
        <v>564</v>
      </c>
      <c r="F7879" s="2" t="str">
        <f>HYPERLINK("http://www.otzar.org/book.asp?51320","גרן שלמה")</f>
        <v>גרן שלמה</v>
      </c>
    </row>
    <row r="7880" spans="1:6" x14ac:dyDescent="0.2">
      <c r="A7880" t="s">
        <v>13926</v>
      </c>
      <c r="B7880" t="s">
        <v>13927</v>
      </c>
      <c r="C7880" t="s">
        <v>492</v>
      </c>
      <c r="D7880" t="s">
        <v>756</v>
      </c>
      <c r="E7880" t="s">
        <v>158</v>
      </c>
      <c r="F7880" s="2" t="str">
        <f>HYPERLINK("http://www.otzar.org/book.asp?24177","גרסא דינקתא")</f>
        <v>גרסא דינקתא</v>
      </c>
    </row>
    <row r="7881" spans="1:6" x14ac:dyDescent="0.2">
      <c r="A7881" t="s">
        <v>13928</v>
      </c>
      <c r="B7881" t="s">
        <v>13929</v>
      </c>
      <c r="C7881" t="s">
        <v>133</v>
      </c>
      <c r="D7881" t="s">
        <v>27</v>
      </c>
      <c r="E7881" t="s">
        <v>960</v>
      </c>
      <c r="F7881" s="2" t="str">
        <f>HYPERLINK("http://www.otzar.org/book.asp?604312","גרסה נפשי")</f>
        <v>גרסה נפשי</v>
      </c>
    </row>
    <row r="7882" spans="1:6" x14ac:dyDescent="0.2">
      <c r="A7882" t="s">
        <v>13930</v>
      </c>
      <c r="B7882" t="s">
        <v>2999</v>
      </c>
      <c r="C7882" t="s">
        <v>244</v>
      </c>
      <c r="D7882" t="s">
        <v>21</v>
      </c>
      <c r="E7882" t="s">
        <v>15</v>
      </c>
      <c r="F7882" s="2" t="str">
        <f>HYPERLINK("http://www.otzar.org/book.asp?604491","גרש ירחים &lt;מהדורת משנת הגט&gt;")</f>
        <v>גרש ירחים &lt;מהדורת משנת הגט&gt;</v>
      </c>
    </row>
    <row r="7883" spans="1:6" x14ac:dyDescent="0.2">
      <c r="A7883" t="s">
        <v>13931</v>
      </c>
      <c r="B7883" t="s">
        <v>5253</v>
      </c>
      <c r="C7883" t="s">
        <v>68</v>
      </c>
      <c r="D7883" t="s">
        <v>486</v>
      </c>
      <c r="E7883" t="s">
        <v>144</v>
      </c>
      <c r="F7883" s="2" t="str">
        <f>HYPERLINK("http://www.otzar.org/book.asp?166575","גרש ירחים &lt;מהדורה חדשה&gt; - 3 כר'")</f>
        <v>גרש ירחים &lt;מהדורה חדשה&gt; - 3 כר'</v>
      </c>
    </row>
    <row r="7884" spans="1:6" x14ac:dyDescent="0.2">
      <c r="A7884" t="s">
        <v>13932</v>
      </c>
      <c r="B7884" t="s">
        <v>2999</v>
      </c>
      <c r="C7884" t="s">
        <v>785</v>
      </c>
      <c r="D7884" t="s">
        <v>14</v>
      </c>
      <c r="E7884" t="s">
        <v>15</v>
      </c>
      <c r="F7884" s="2" t="str">
        <f>HYPERLINK("http://www.otzar.org/book.asp?148014","גרש ירחים")</f>
        <v>גרש ירחים</v>
      </c>
    </row>
    <row r="7885" spans="1:6" x14ac:dyDescent="0.2">
      <c r="A7885" t="s">
        <v>13933</v>
      </c>
      <c r="B7885" t="s">
        <v>5253</v>
      </c>
      <c r="C7885" t="s">
        <v>1096</v>
      </c>
      <c r="D7885" t="s">
        <v>225</v>
      </c>
      <c r="E7885" t="s">
        <v>144</v>
      </c>
      <c r="F7885" s="2" t="str">
        <f>HYPERLINK("http://www.otzar.org/book.asp?5745","גרש ירחים - 2 כר'")</f>
        <v>גרש ירחים - 2 כר'</v>
      </c>
    </row>
    <row r="7886" spans="1:6" x14ac:dyDescent="0.2">
      <c r="A7886" t="s">
        <v>13934</v>
      </c>
      <c r="B7886" t="s">
        <v>7973</v>
      </c>
      <c r="C7886" t="s">
        <v>20</v>
      </c>
      <c r="D7886" t="s">
        <v>2375</v>
      </c>
      <c r="E7886" t="s">
        <v>15</v>
      </c>
      <c r="F7886" s="2" t="str">
        <f>HYPERLINK("http://www.otzar.org/book.asp?626436","גרש כרמל - שמחת כהן")</f>
        <v>גרש כרמל - שמחת כהן</v>
      </c>
    </row>
    <row r="7887" spans="1:6" x14ac:dyDescent="0.2">
      <c r="A7887" t="s">
        <v>13935</v>
      </c>
      <c r="B7887" t="s">
        <v>13936</v>
      </c>
      <c r="C7887" t="s">
        <v>68</v>
      </c>
      <c r="D7887" t="s">
        <v>21</v>
      </c>
      <c r="E7887" t="s">
        <v>104</v>
      </c>
      <c r="F7887" s="2" t="str">
        <f>HYPERLINK("http://www.otzar.org/book.asp?184135","גשם ורוח")</f>
        <v>גשם ורוח</v>
      </c>
    </row>
    <row r="7888" spans="1:6" x14ac:dyDescent="0.2">
      <c r="A7888" t="s">
        <v>13937</v>
      </c>
      <c r="B7888" t="s">
        <v>11798</v>
      </c>
      <c r="C7888" t="s">
        <v>547</v>
      </c>
      <c r="D7888" t="s">
        <v>4934</v>
      </c>
      <c r="E7888" t="s">
        <v>158</v>
      </c>
      <c r="F7888" s="2" t="str">
        <f>HYPERLINK("http://www.otzar.org/book.asp?51325","גשמי ברכה")</f>
        <v>גשמי ברכה</v>
      </c>
    </row>
    <row r="7889" spans="1:6" x14ac:dyDescent="0.2">
      <c r="A7889" t="s">
        <v>13938</v>
      </c>
      <c r="B7889" t="s">
        <v>107</v>
      </c>
      <c r="C7889" t="s">
        <v>313</v>
      </c>
      <c r="D7889" t="s">
        <v>14</v>
      </c>
      <c r="E7889" t="s">
        <v>241</v>
      </c>
      <c r="F7889" s="2" t="str">
        <f>HYPERLINK("http://www.otzar.org/book.asp?6643","גשמיות ורוחניות")</f>
        <v>גשמיות ורוחניות</v>
      </c>
    </row>
    <row r="7890" spans="1:6" x14ac:dyDescent="0.2">
      <c r="A7890" t="s">
        <v>13939</v>
      </c>
      <c r="B7890" t="s">
        <v>5501</v>
      </c>
      <c r="C7890" t="s">
        <v>13940</v>
      </c>
      <c r="D7890" t="s">
        <v>14</v>
      </c>
      <c r="E7890" t="s">
        <v>15</v>
      </c>
      <c r="F7890" s="2" t="str">
        <f>HYPERLINK("http://www.otzar.org/book.asp?167620","גשר החיים - 3 כר'")</f>
        <v>גשר החיים - 3 כר'</v>
      </c>
    </row>
    <row r="7891" spans="1:6" x14ac:dyDescent="0.2">
      <c r="A7891" t="s">
        <v>13941</v>
      </c>
      <c r="B7891" t="s">
        <v>13942</v>
      </c>
      <c r="C7891" t="s">
        <v>523</v>
      </c>
      <c r="D7891" t="s">
        <v>52</v>
      </c>
      <c r="E7891" t="s">
        <v>15</v>
      </c>
      <c r="F7891" s="2" t="str">
        <f>HYPERLINK("http://www.otzar.org/book.asp?85396","גשר יהושע")</f>
        <v>גשר יהושע</v>
      </c>
    </row>
    <row r="7892" spans="1:6" x14ac:dyDescent="0.2">
      <c r="A7892" t="s">
        <v>13943</v>
      </c>
      <c r="B7892" t="s">
        <v>3276</v>
      </c>
      <c r="C7892" t="s">
        <v>427</v>
      </c>
      <c r="D7892" t="s">
        <v>52</v>
      </c>
      <c r="F7892" s="2" t="str">
        <f>HYPERLINK("http://www.otzar.org/book.asp?156187","גשר צר - 2 כר'")</f>
        <v>גשר צר - 2 כר'</v>
      </c>
    </row>
    <row r="7893" spans="1:6" x14ac:dyDescent="0.2">
      <c r="A7893" t="s">
        <v>13944</v>
      </c>
      <c r="B7893" t="s">
        <v>552</v>
      </c>
      <c r="C7893" t="s">
        <v>427</v>
      </c>
      <c r="D7893" t="s">
        <v>14</v>
      </c>
      <c r="E7893" t="s">
        <v>202</v>
      </c>
      <c r="F7893" s="2" t="str">
        <f>HYPERLINK("http://www.otzar.org/book.asp?143899","ד""ר פלק שלזינגר זצ""ל - קובץ הערכות")</f>
        <v>ד"ר פלק שלזינגר זצ"ל - קובץ הערכות</v>
      </c>
    </row>
    <row r="7894" spans="1:6" x14ac:dyDescent="0.2">
      <c r="A7894" t="s">
        <v>13945</v>
      </c>
      <c r="B7894" t="s">
        <v>13946</v>
      </c>
      <c r="C7894" t="s">
        <v>1663</v>
      </c>
      <c r="D7894" t="s">
        <v>3161</v>
      </c>
      <c r="E7894" t="s">
        <v>4683</v>
      </c>
      <c r="F7894" s="2" t="str">
        <f>HYPERLINK("http://www.otzar.org/book.asp?11931","ד""ת משה וישראל")</f>
        <v>ד"ת משה וישראל</v>
      </c>
    </row>
    <row r="7895" spans="1:6" x14ac:dyDescent="0.2">
      <c r="A7895" t="s">
        <v>13947</v>
      </c>
      <c r="B7895" t="s">
        <v>13948</v>
      </c>
      <c r="D7895" t="s">
        <v>52</v>
      </c>
      <c r="F7895" s="2" t="str">
        <f>HYPERLINK("http://www.otzar.org/book.asp?612018","ד' אמות של רבי")</f>
        <v>ד' אמות של רבי</v>
      </c>
    </row>
    <row r="7896" spans="1:6" x14ac:dyDescent="0.2">
      <c r="A7896" t="s">
        <v>13949</v>
      </c>
      <c r="B7896" t="s">
        <v>11296</v>
      </c>
      <c r="C7896" t="s">
        <v>1535</v>
      </c>
      <c r="D7896" t="s">
        <v>27</v>
      </c>
      <c r="E7896" t="s">
        <v>13950</v>
      </c>
      <c r="F7896" s="2" t="str">
        <f>HYPERLINK("http://www.otzar.org/book.asp?15991","דא גזירת אורייתא")</f>
        <v>דא גזירת אורייתא</v>
      </c>
    </row>
    <row r="7897" spans="1:6" x14ac:dyDescent="0.2">
      <c r="A7897" t="s">
        <v>13951</v>
      </c>
      <c r="B7897" t="s">
        <v>13952</v>
      </c>
      <c r="C7897" t="s">
        <v>482</v>
      </c>
      <c r="D7897" t="s">
        <v>9</v>
      </c>
      <c r="F7897" s="2" t="str">
        <f>HYPERLINK("http://www.otzar.org/book.asp?621279","דאס אידישע ווארט - 64 כר'")</f>
        <v>דאס אידישע ווארט - 64 כר'</v>
      </c>
    </row>
    <row r="7898" spans="1:6" x14ac:dyDescent="0.2">
      <c r="A7898" t="s">
        <v>13953</v>
      </c>
      <c r="B7898" t="s">
        <v>13954</v>
      </c>
      <c r="C7898" t="s">
        <v>390</v>
      </c>
      <c r="D7898" t="s">
        <v>412</v>
      </c>
      <c r="E7898" t="s">
        <v>246</v>
      </c>
      <c r="F7898" s="2" t="str">
        <f>HYPERLINK("http://www.otzar.org/book.asp?196486","דאס אידישע יאר")</f>
        <v>דאס אידישע יאר</v>
      </c>
    </row>
    <row r="7899" spans="1:6" x14ac:dyDescent="0.2">
      <c r="A7899" t="s">
        <v>13955</v>
      </c>
      <c r="B7899" t="s">
        <v>13956</v>
      </c>
      <c r="E7899" t="s">
        <v>202</v>
      </c>
      <c r="F7899" s="2" t="str">
        <f>HYPERLINK("http://www.otzar.org/book.asp?625310","דאס אידישע ליכט (תש""מ) - 6 כר'")</f>
        <v>דאס אידישע ליכט (תש"מ) - 6 כר'</v>
      </c>
    </row>
    <row r="7900" spans="1:6" x14ac:dyDescent="0.2">
      <c r="A7900" t="s">
        <v>13957</v>
      </c>
      <c r="B7900" t="s">
        <v>13956</v>
      </c>
      <c r="C7900" t="s">
        <v>180</v>
      </c>
      <c r="D7900" t="s">
        <v>21</v>
      </c>
      <c r="F7900" s="2" t="str">
        <f>HYPERLINK("http://www.otzar.org/book.asp?619976","דאס אידישע ליכט - 48 כר'")</f>
        <v>דאס אידישע ליכט - 48 כר'</v>
      </c>
    </row>
    <row r="7901" spans="1:6" x14ac:dyDescent="0.2">
      <c r="A7901" t="s">
        <v>13958</v>
      </c>
      <c r="B7901" t="s">
        <v>13959</v>
      </c>
      <c r="C7901" t="s">
        <v>492</v>
      </c>
      <c r="D7901" t="s">
        <v>1566</v>
      </c>
      <c r="E7901" t="s">
        <v>104</v>
      </c>
      <c r="F7901" s="2" t="str">
        <f>HYPERLINK("http://www.otzar.org/book.asp?161178","דאס בית המקדש מצב ירושלים")</f>
        <v>דאס בית המקדש מצב ירושלים</v>
      </c>
    </row>
    <row r="7902" spans="1:6" x14ac:dyDescent="0.2">
      <c r="A7902" t="s">
        <v>13960</v>
      </c>
      <c r="B7902" t="s">
        <v>13961</v>
      </c>
      <c r="C7902">
        <v>1933</v>
      </c>
      <c r="D7902" t="s">
        <v>412</v>
      </c>
      <c r="E7902" t="s">
        <v>246</v>
      </c>
      <c r="F7902" s="2" t="str">
        <f>HYPERLINK("http://www.otzar.org/book.asp?189009","דאס יום טוב בוך")</f>
        <v>דאס יום טוב בוך</v>
      </c>
    </row>
    <row r="7903" spans="1:6" x14ac:dyDescent="0.2">
      <c r="A7903" t="s">
        <v>13962</v>
      </c>
      <c r="B7903" t="s">
        <v>13963</v>
      </c>
      <c r="C7903" t="s">
        <v>160</v>
      </c>
      <c r="D7903" t="s">
        <v>412</v>
      </c>
      <c r="F7903" s="2" t="str">
        <f>HYPERLINK("http://www.otzar.org/book.asp?618448","דאס לעבען און שאפען פון חפץ חיים - 4 כר'")</f>
        <v>דאס לעבען און שאפען פון חפץ חיים - 4 כר'</v>
      </c>
    </row>
    <row r="7904" spans="1:6" x14ac:dyDescent="0.2">
      <c r="A7904" t="s">
        <v>13964</v>
      </c>
      <c r="B7904" t="s">
        <v>13965</v>
      </c>
      <c r="C7904" t="s">
        <v>20</v>
      </c>
      <c r="D7904" t="s">
        <v>412</v>
      </c>
      <c r="F7904" s="2" t="str">
        <f>HYPERLINK("http://www.otzar.org/book.asp?196291","דאס קול פון בלוט")</f>
        <v>דאס קול פון בלוט</v>
      </c>
    </row>
    <row r="7905" spans="1:6" x14ac:dyDescent="0.2">
      <c r="A7905" t="s">
        <v>13966</v>
      </c>
      <c r="B7905" t="s">
        <v>13967</v>
      </c>
      <c r="C7905" t="s">
        <v>13</v>
      </c>
      <c r="D7905" t="s">
        <v>21</v>
      </c>
      <c r="E7905" t="s">
        <v>241</v>
      </c>
      <c r="F7905" s="2" t="str">
        <f>HYPERLINK("http://www.otzar.org/book.asp?628750","דבור ומחשבה &lt;הכוזרי&gt;")</f>
        <v>דבור ומחשבה &lt;הכוזרי&gt;</v>
      </c>
    </row>
    <row r="7906" spans="1:6" x14ac:dyDescent="0.2">
      <c r="A7906" t="s">
        <v>13968</v>
      </c>
      <c r="B7906" t="s">
        <v>13967</v>
      </c>
      <c r="C7906" t="s">
        <v>411</v>
      </c>
      <c r="D7906" t="s">
        <v>21</v>
      </c>
      <c r="E7906" t="s">
        <v>241</v>
      </c>
      <c r="F7906" s="2" t="str">
        <f>HYPERLINK("http://www.otzar.org/book.asp?199835","דבור ומחשבה &lt;העיקרים&gt; - 2 כר'")</f>
        <v>דבור ומחשבה &lt;העיקרים&gt; - 2 כר'</v>
      </c>
    </row>
    <row r="7907" spans="1:6" x14ac:dyDescent="0.2">
      <c r="A7907" t="s">
        <v>13969</v>
      </c>
      <c r="B7907" t="s">
        <v>13967</v>
      </c>
      <c r="C7907" t="s">
        <v>103</v>
      </c>
      <c r="D7907" t="s">
        <v>21</v>
      </c>
      <c r="E7907" t="s">
        <v>241</v>
      </c>
      <c r="F7907" s="2" t="str">
        <f>HYPERLINK("http://www.otzar.org/book.asp?199695","דבור ומחשבה &lt;חובות הלבבות&gt;")</f>
        <v>דבור ומחשבה &lt;חובות הלבבות&gt;</v>
      </c>
    </row>
    <row r="7908" spans="1:6" x14ac:dyDescent="0.2">
      <c r="A7908" t="s">
        <v>13970</v>
      </c>
      <c r="B7908" t="s">
        <v>13967</v>
      </c>
      <c r="C7908" t="s">
        <v>20</v>
      </c>
      <c r="D7908" t="s">
        <v>21</v>
      </c>
      <c r="E7908" t="s">
        <v>241</v>
      </c>
      <c r="F7908" s="2" t="str">
        <f>HYPERLINK("http://www.otzar.org/book.asp?199641","דבור ומחשבה &lt;מורה נבוכים&gt; - 2 כר'")</f>
        <v>דבור ומחשבה &lt;מורה נבוכים&gt; - 2 כר'</v>
      </c>
    </row>
    <row r="7909" spans="1:6" x14ac:dyDescent="0.2">
      <c r="A7909" t="s">
        <v>13971</v>
      </c>
      <c r="B7909" t="s">
        <v>2311</v>
      </c>
      <c r="C7909" t="s">
        <v>1535</v>
      </c>
      <c r="D7909" t="s">
        <v>2313</v>
      </c>
      <c r="E7909" t="s">
        <v>10</v>
      </c>
      <c r="F7909" s="2" t="str">
        <f>HYPERLINK("http://www.otzar.org/book.asp?1010","דבורי אמת")</f>
        <v>דבורי אמת</v>
      </c>
    </row>
    <row r="7910" spans="1:6" x14ac:dyDescent="0.2">
      <c r="A7910" t="s">
        <v>13972</v>
      </c>
      <c r="B7910" t="s">
        <v>2885</v>
      </c>
      <c r="C7910" t="s">
        <v>133</v>
      </c>
      <c r="D7910" t="s">
        <v>14</v>
      </c>
      <c r="F7910" s="2" t="str">
        <f>HYPERLINK("http://www.otzar.org/book.asp?189952","דבורי מוהרא""ש - 2 כר'")</f>
        <v>דבורי מוהרא"ש - 2 כר'</v>
      </c>
    </row>
    <row r="7911" spans="1:6" x14ac:dyDescent="0.2">
      <c r="A7911" t="s">
        <v>13973</v>
      </c>
      <c r="B7911" t="s">
        <v>13974</v>
      </c>
      <c r="C7911" t="s">
        <v>313</v>
      </c>
      <c r="D7911" t="s">
        <v>52</v>
      </c>
      <c r="E7911" t="s">
        <v>13975</v>
      </c>
      <c r="F7911" s="2" t="str">
        <f>HYPERLINK("http://www.otzar.org/book.asp?179239","דביר אהרן - 2 כר'")</f>
        <v>דביר אהרן - 2 כר'</v>
      </c>
    </row>
    <row r="7912" spans="1:6" x14ac:dyDescent="0.2">
      <c r="A7912" t="s">
        <v>13976</v>
      </c>
      <c r="B7912" t="s">
        <v>13977</v>
      </c>
      <c r="C7912" t="s">
        <v>1535</v>
      </c>
      <c r="D7912" t="s">
        <v>974</v>
      </c>
      <c r="E7912" t="s">
        <v>234</v>
      </c>
      <c r="F7912" s="2" t="str">
        <f>HYPERLINK("http://www.otzar.org/book.asp?22321","דביר הבית")</f>
        <v>דביר הבית</v>
      </c>
    </row>
    <row r="7913" spans="1:6" x14ac:dyDescent="0.2">
      <c r="A7913" t="s">
        <v>13978</v>
      </c>
      <c r="B7913" t="s">
        <v>776</v>
      </c>
      <c r="C7913" t="s">
        <v>13979</v>
      </c>
      <c r="D7913" t="s">
        <v>3208</v>
      </c>
      <c r="E7913" t="s">
        <v>158</v>
      </c>
      <c r="F7913" s="2" t="str">
        <f>HYPERLINK("http://www.otzar.org/book.asp?619902","דביר הגן")</f>
        <v>דביר הגן</v>
      </c>
    </row>
    <row r="7914" spans="1:6" x14ac:dyDescent="0.2">
      <c r="A7914" t="s">
        <v>13980</v>
      </c>
      <c r="B7914" t="s">
        <v>13981</v>
      </c>
      <c r="C7914" t="s">
        <v>51</v>
      </c>
      <c r="D7914" t="s">
        <v>14</v>
      </c>
      <c r="E7914" t="s">
        <v>3567</v>
      </c>
      <c r="F7914" s="2" t="str">
        <f>HYPERLINK("http://www.otzar.org/book.asp?23894","דביר המוצנע - הגרש""ב שניאורסון זצ""ל")</f>
        <v>דביר המוצנע - הגרש"ב שניאורסון זצ"ל</v>
      </c>
    </row>
    <row r="7915" spans="1:6" x14ac:dyDescent="0.2">
      <c r="A7915" t="s">
        <v>13982</v>
      </c>
      <c r="B7915" t="s">
        <v>13983</v>
      </c>
      <c r="C7915" t="s">
        <v>366</v>
      </c>
      <c r="D7915" t="s">
        <v>52</v>
      </c>
      <c r="E7915" t="s">
        <v>246</v>
      </c>
      <c r="F7915" s="2" t="str">
        <f>HYPERLINK("http://www.otzar.org/book.asp?608240","דביר הקודש - 10 כר'")</f>
        <v>דביר הקודש - 10 כר'</v>
      </c>
    </row>
    <row r="7916" spans="1:6" x14ac:dyDescent="0.2">
      <c r="A7916" t="s">
        <v>13984</v>
      </c>
      <c r="B7916" t="s">
        <v>13985</v>
      </c>
      <c r="C7916" t="s">
        <v>37</v>
      </c>
      <c r="D7916" t="s">
        <v>14</v>
      </c>
      <c r="E7916" t="s">
        <v>158</v>
      </c>
      <c r="F7916" s="2" t="str">
        <f>HYPERLINK("http://www.otzar.org/book.asp?190177","דביר קדשו - 7 כר'")</f>
        <v>דביר קדשו - 7 כר'</v>
      </c>
    </row>
    <row r="7917" spans="1:6" x14ac:dyDescent="0.2">
      <c r="A7917" t="s">
        <v>13986</v>
      </c>
      <c r="B7917" t="s">
        <v>13987</v>
      </c>
      <c r="C7917" t="s">
        <v>244</v>
      </c>
      <c r="D7917" t="s">
        <v>14</v>
      </c>
      <c r="F7917" s="2" t="str">
        <f>HYPERLINK("http://www.otzar.org/book.asp?604717","דביר קודש")</f>
        <v>דביר קודש</v>
      </c>
    </row>
    <row r="7918" spans="1:6" x14ac:dyDescent="0.2">
      <c r="A7918" t="s">
        <v>13988</v>
      </c>
      <c r="B7918" t="s">
        <v>13989</v>
      </c>
      <c r="C7918" t="s">
        <v>2271</v>
      </c>
      <c r="D7918" t="s">
        <v>212</v>
      </c>
      <c r="E7918" t="s">
        <v>158</v>
      </c>
      <c r="F7918" s="2" t="str">
        <f>HYPERLINK("http://www.otzar.org/book.asp?171295","דבק טוב - 2 כר'")</f>
        <v>דבק טוב - 2 כר'</v>
      </c>
    </row>
    <row r="7919" spans="1:6" x14ac:dyDescent="0.2">
      <c r="A7919" t="s">
        <v>13990</v>
      </c>
      <c r="B7919" t="s">
        <v>4606</v>
      </c>
      <c r="C7919" t="s">
        <v>146</v>
      </c>
      <c r="D7919" t="s">
        <v>14</v>
      </c>
      <c r="E7919" t="s">
        <v>674</v>
      </c>
      <c r="F7919" s="2" t="str">
        <f>HYPERLINK("http://www.otzar.org/book.asp?61526","דבק טוב - דינים והנהגות בענין נישואין")</f>
        <v>דבק טוב - דינים והנהגות בענין נישואין</v>
      </c>
    </row>
    <row r="7920" spans="1:6" x14ac:dyDescent="0.2">
      <c r="A7920" t="s">
        <v>13991</v>
      </c>
      <c r="B7920" t="s">
        <v>210</v>
      </c>
      <c r="C7920" t="s">
        <v>603</v>
      </c>
      <c r="D7920" t="s">
        <v>212</v>
      </c>
      <c r="E7920" t="s">
        <v>104</v>
      </c>
      <c r="F7920" s="2" t="str">
        <f>HYPERLINK("http://www.otzar.org/book.asp?171296","דבק מא""ח")</f>
        <v>דבק מא"ח</v>
      </c>
    </row>
    <row r="7921" spans="1:6" x14ac:dyDescent="0.2">
      <c r="A7921" t="s">
        <v>13992</v>
      </c>
      <c r="B7921" t="s">
        <v>13993</v>
      </c>
      <c r="C7921" t="s">
        <v>6062</v>
      </c>
      <c r="D7921" t="s">
        <v>280</v>
      </c>
      <c r="E7921" t="s">
        <v>2088</v>
      </c>
      <c r="F7921" s="2" t="str">
        <f>HYPERLINK("http://www.otzar.org/book.asp?151511","דבק מאח")</f>
        <v>דבק מאח</v>
      </c>
    </row>
    <row r="7922" spans="1:6" x14ac:dyDescent="0.2">
      <c r="A7922" t="s">
        <v>13994</v>
      </c>
      <c r="B7922" t="s">
        <v>13995</v>
      </c>
      <c r="C7922" t="s">
        <v>366</v>
      </c>
      <c r="D7922" t="s">
        <v>52</v>
      </c>
      <c r="E7922" t="s">
        <v>241</v>
      </c>
      <c r="F7922" s="2" t="str">
        <f>HYPERLINK("http://www.otzar.org/book.asp?630454","דבקה נפשי אחריך - 2 כר'")</f>
        <v>דבקה נפשי אחריך - 2 כר'</v>
      </c>
    </row>
    <row r="7923" spans="1:6" x14ac:dyDescent="0.2">
      <c r="A7923" t="s">
        <v>13996</v>
      </c>
      <c r="B7923" t="s">
        <v>206</v>
      </c>
      <c r="C7923" t="s">
        <v>624</v>
      </c>
      <c r="D7923" t="s">
        <v>14</v>
      </c>
      <c r="E7923" t="s">
        <v>246</v>
      </c>
      <c r="F7923" s="2" t="str">
        <f>HYPERLINK("http://www.otzar.org/book.asp?6304","דבקנו במצוותיך")</f>
        <v>דבקנו במצוותיך</v>
      </c>
    </row>
    <row r="7924" spans="1:6" x14ac:dyDescent="0.2">
      <c r="A7924" t="s">
        <v>13997</v>
      </c>
      <c r="B7924" t="s">
        <v>13998</v>
      </c>
      <c r="C7924" t="s">
        <v>244</v>
      </c>
      <c r="D7924" t="s">
        <v>2652</v>
      </c>
      <c r="E7924" t="s">
        <v>13999</v>
      </c>
      <c r="F7924" s="2" t="str">
        <f>HYPERLINK("http://www.otzar.org/book.asp?604015","דבר אברהם - ברית מילה")</f>
        <v>דבר אברהם - ברית מילה</v>
      </c>
    </row>
    <row r="7925" spans="1:6" x14ac:dyDescent="0.2">
      <c r="A7925" t="s">
        <v>14000</v>
      </c>
      <c r="B7925" t="s">
        <v>14001</v>
      </c>
      <c r="C7925" t="s">
        <v>888</v>
      </c>
      <c r="D7925" t="s">
        <v>56</v>
      </c>
      <c r="E7925" t="s">
        <v>158</v>
      </c>
      <c r="F7925" s="2" t="str">
        <f>HYPERLINK("http://www.otzar.org/book.asp?182195","דבר אברהם - בראשית")</f>
        <v>דבר אברהם - בראשית</v>
      </c>
    </row>
    <row r="7926" spans="1:6" x14ac:dyDescent="0.2">
      <c r="A7926" t="s">
        <v>14002</v>
      </c>
      <c r="B7926" t="s">
        <v>14003</v>
      </c>
      <c r="C7926" t="s">
        <v>14004</v>
      </c>
      <c r="D7926" t="s">
        <v>283</v>
      </c>
      <c r="E7926" t="s">
        <v>508</v>
      </c>
      <c r="F7926" s="2" t="str">
        <f>HYPERLINK("http://www.otzar.org/book.asp?865","דבר אברהם - 6 כר'")</f>
        <v>דבר אברהם - 6 כר'</v>
      </c>
    </row>
    <row r="7927" spans="1:6" x14ac:dyDescent="0.2">
      <c r="A7927" t="s">
        <v>14005</v>
      </c>
      <c r="B7927" t="s">
        <v>14006</v>
      </c>
      <c r="C7927" t="s">
        <v>767</v>
      </c>
      <c r="D7927" t="s">
        <v>52</v>
      </c>
      <c r="E7927" t="s">
        <v>933</v>
      </c>
      <c r="F7927" s="2" t="str">
        <f>HYPERLINK("http://www.otzar.org/book.asp?60263","דבר אהרן - 2 כר'")</f>
        <v>דבר אהרן - 2 כר'</v>
      </c>
    </row>
    <row r="7928" spans="1:6" x14ac:dyDescent="0.2">
      <c r="A7928" t="s">
        <v>14007</v>
      </c>
      <c r="B7928" t="s">
        <v>1821</v>
      </c>
      <c r="C7928" t="s">
        <v>1458</v>
      </c>
      <c r="D7928" t="s">
        <v>56</v>
      </c>
      <c r="E7928" t="s">
        <v>957</v>
      </c>
      <c r="F7928" s="2" t="str">
        <f>HYPERLINK("http://www.otzar.org/book.asp?16025","דבר אליהו")</f>
        <v>דבר אליהו</v>
      </c>
    </row>
    <row r="7929" spans="1:6" x14ac:dyDescent="0.2">
      <c r="A7929" t="s">
        <v>14007</v>
      </c>
      <c r="B7929" t="s">
        <v>4941</v>
      </c>
      <c r="C7929" t="s">
        <v>503</v>
      </c>
      <c r="D7929" t="s">
        <v>283</v>
      </c>
      <c r="E7929" t="s">
        <v>930</v>
      </c>
      <c r="F7929" s="2" t="str">
        <f>HYPERLINK("http://www.otzar.org/book.asp?100873","דבר אליהו")</f>
        <v>דבר אליהו</v>
      </c>
    </row>
    <row r="7930" spans="1:6" x14ac:dyDescent="0.2">
      <c r="A7930" t="s">
        <v>14008</v>
      </c>
      <c r="B7930" t="s">
        <v>2438</v>
      </c>
      <c r="C7930" t="s">
        <v>14009</v>
      </c>
      <c r="D7930" t="s">
        <v>260</v>
      </c>
      <c r="E7930" t="s">
        <v>158</v>
      </c>
      <c r="F7930" s="2" t="str">
        <f>HYPERLINK("http://www.otzar.org/book.asp?102926","דבר אליהו - 3 כר'")</f>
        <v>דבר אליהו - 3 כר'</v>
      </c>
    </row>
    <row r="7931" spans="1:6" x14ac:dyDescent="0.2">
      <c r="A7931" t="s">
        <v>14007</v>
      </c>
      <c r="B7931" t="s">
        <v>394</v>
      </c>
      <c r="C7931" t="s">
        <v>3246</v>
      </c>
      <c r="D7931" t="s">
        <v>726</v>
      </c>
      <c r="E7931" t="s">
        <v>154</v>
      </c>
      <c r="F7931" s="2" t="str">
        <f>HYPERLINK("http://www.otzar.org/book.asp?10765","דבר אליהו")</f>
        <v>דבר אליהו</v>
      </c>
    </row>
    <row r="7932" spans="1:6" x14ac:dyDescent="0.2">
      <c r="A7932" t="s">
        <v>14010</v>
      </c>
      <c r="B7932" t="s">
        <v>14011</v>
      </c>
      <c r="C7932" t="s">
        <v>775</v>
      </c>
      <c r="D7932" t="s">
        <v>27</v>
      </c>
      <c r="E7932" t="s">
        <v>803</v>
      </c>
      <c r="F7932" s="2" t="str">
        <f>HYPERLINK("http://www.otzar.org/book.asp?141766","דבר אליעזר - 2 כר'")</f>
        <v>דבר אליעזר - 2 כר'</v>
      </c>
    </row>
    <row r="7933" spans="1:6" x14ac:dyDescent="0.2">
      <c r="A7933" t="s">
        <v>14012</v>
      </c>
      <c r="B7933" t="s">
        <v>7681</v>
      </c>
      <c r="C7933" t="s">
        <v>445</v>
      </c>
      <c r="D7933" t="s">
        <v>27</v>
      </c>
      <c r="E7933" t="s">
        <v>234</v>
      </c>
      <c r="F7933" s="2" t="str">
        <f>HYPERLINK("http://www.otzar.org/book.asp?920","דבר אליעזר")</f>
        <v>דבר אליעזר</v>
      </c>
    </row>
    <row r="7934" spans="1:6" x14ac:dyDescent="0.2">
      <c r="A7934" t="s">
        <v>14013</v>
      </c>
      <c r="B7934" t="s">
        <v>14014</v>
      </c>
      <c r="C7934" t="s">
        <v>624</v>
      </c>
      <c r="D7934" t="s">
        <v>4338</v>
      </c>
      <c r="E7934" t="s">
        <v>230</v>
      </c>
      <c r="F7934" s="2" t="str">
        <f>HYPERLINK("http://www.otzar.org/book.asp?610205","דבר אלעזר")</f>
        <v>דבר אלעזר</v>
      </c>
    </row>
    <row r="7935" spans="1:6" x14ac:dyDescent="0.2">
      <c r="A7935" t="s">
        <v>14015</v>
      </c>
      <c r="B7935" t="s">
        <v>14016</v>
      </c>
      <c r="C7935" t="s">
        <v>624</v>
      </c>
      <c r="D7935" t="s">
        <v>90</v>
      </c>
      <c r="E7935" t="s">
        <v>104</v>
      </c>
      <c r="F7935" s="2" t="str">
        <f>HYPERLINK("http://www.otzar.org/book.asp?190980","דבר אמת")</f>
        <v>דבר אמת</v>
      </c>
    </row>
    <row r="7936" spans="1:6" x14ac:dyDescent="0.2">
      <c r="A7936" t="s">
        <v>14015</v>
      </c>
      <c r="B7936" t="s">
        <v>14017</v>
      </c>
      <c r="C7936" t="s">
        <v>1062</v>
      </c>
      <c r="D7936" t="s">
        <v>7458</v>
      </c>
      <c r="E7936" t="s">
        <v>588</v>
      </c>
      <c r="F7936" s="2" t="str">
        <f>HYPERLINK("http://www.otzar.org/book.asp?102769","דבר אמת")</f>
        <v>דבר אמת</v>
      </c>
    </row>
    <row r="7937" spans="1:6" x14ac:dyDescent="0.2">
      <c r="A7937" t="s">
        <v>14015</v>
      </c>
      <c r="B7937" t="s">
        <v>7381</v>
      </c>
      <c r="C7937" t="s">
        <v>306</v>
      </c>
      <c r="D7937" t="s">
        <v>76</v>
      </c>
      <c r="E7937" t="s">
        <v>15</v>
      </c>
      <c r="F7937" s="2" t="str">
        <f>HYPERLINK("http://www.otzar.org/book.asp?17413","דבר אמת")</f>
        <v>דבר אמת</v>
      </c>
    </row>
    <row r="7938" spans="1:6" x14ac:dyDescent="0.2">
      <c r="A7938" t="s">
        <v>14018</v>
      </c>
      <c r="B7938" t="s">
        <v>489</v>
      </c>
      <c r="C7938" t="s">
        <v>87</v>
      </c>
      <c r="D7938" t="s">
        <v>14</v>
      </c>
      <c r="E7938" t="s">
        <v>202</v>
      </c>
      <c r="F7938" s="2" t="str">
        <f>HYPERLINK("http://www.otzar.org/book.asp?143082","דבר אמת - 5 כר'")</f>
        <v>דבר אמת - 5 כר'</v>
      </c>
    </row>
    <row r="7939" spans="1:6" x14ac:dyDescent="0.2">
      <c r="A7939" t="s">
        <v>14015</v>
      </c>
      <c r="B7939" t="s">
        <v>14019</v>
      </c>
      <c r="C7939" t="s">
        <v>1166</v>
      </c>
      <c r="D7939" t="s">
        <v>11404</v>
      </c>
      <c r="E7939" t="s">
        <v>154</v>
      </c>
      <c r="F7939" s="2" t="str">
        <f>HYPERLINK("http://www.otzar.org/book.asp?17409","דבר אמת")</f>
        <v>דבר אמת</v>
      </c>
    </row>
    <row r="7940" spans="1:6" x14ac:dyDescent="0.2">
      <c r="A7940" t="s">
        <v>14020</v>
      </c>
      <c r="B7940" t="s">
        <v>14021</v>
      </c>
      <c r="C7940" t="s">
        <v>728</v>
      </c>
      <c r="D7940" t="s">
        <v>283</v>
      </c>
      <c r="E7940" t="s">
        <v>158</v>
      </c>
      <c r="F7940" s="2" t="str">
        <f>HYPERLINK("http://www.otzar.org/book.asp?24183","דבר אסתר")</f>
        <v>דבר אסתר</v>
      </c>
    </row>
    <row r="7941" spans="1:6" x14ac:dyDescent="0.2">
      <c r="A7941" t="s">
        <v>14022</v>
      </c>
      <c r="B7941" t="s">
        <v>3944</v>
      </c>
      <c r="C7941" t="s">
        <v>3246</v>
      </c>
      <c r="D7941" t="s">
        <v>27</v>
      </c>
      <c r="E7941" t="s">
        <v>588</v>
      </c>
      <c r="F7941" s="2" t="str">
        <f>HYPERLINK("http://www.otzar.org/book.asp?24184","דבר אפרים")</f>
        <v>דבר אפרים</v>
      </c>
    </row>
    <row r="7942" spans="1:6" x14ac:dyDescent="0.2">
      <c r="A7942" t="s">
        <v>14023</v>
      </c>
      <c r="B7942" t="s">
        <v>107</v>
      </c>
      <c r="C7942" t="s">
        <v>20</v>
      </c>
      <c r="D7942" t="s">
        <v>14</v>
      </c>
      <c r="E7942" t="s">
        <v>104</v>
      </c>
      <c r="F7942" s="2" t="str">
        <f>HYPERLINK("http://www.otzar.org/book.asp?625804","דבר בעתו אבלות החורבן")</f>
        <v>דבר בעתו אבלות החורבן</v>
      </c>
    </row>
    <row r="7943" spans="1:6" x14ac:dyDescent="0.2">
      <c r="A7943" t="s">
        <v>14024</v>
      </c>
      <c r="B7943" t="s">
        <v>14025</v>
      </c>
      <c r="C7943" t="s">
        <v>14026</v>
      </c>
      <c r="D7943" t="s">
        <v>3963</v>
      </c>
      <c r="F7943" s="2" t="str">
        <f>HYPERLINK("http://www.otzar.org/book.asp?164902","דבר בעתו מה טוב")</f>
        <v>דבר בעתו מה טוב</v>
      </c>
    </row>
    <row r="7944" spans="1:6" x14ac:dyDescent="0.2">
      <c r="A7944" t="s">
        <v>14027</v>
      </c>
      <c r="B7944" t="s">
        <v>5613</v>
      </c>
      <c r="C7944" t="s">
        <v>1047</v>
      </c>
      <c r="D7944" t="s">
        <v>27</v>
      </c>
      <c r="E7944" t="s">
        <v>15</v>
      </c>
      <c r="F7944" s="2" t="str">
        <f>HYPERLINK("http://www.otzar.org/book.asp?147849","דבר בעתו")</f>
        <v>דבר בעתו</v>
      </c>
    </row>
    <row r="7945" spans="1:6" x14ac:dyDescent="0.2">
      <c r="A7945" t="s">
        <v>14028</v>
      </c>
      <c r="B7945" t="s">
        <v>14029</v>
      </c>
      <c r="C7945" t="s">
        <v>266</v>
      </c>
      <c r="D7945" t="s">
        <v>56</v>
      </c>
      <c r="E7945" t="s">
        <v>435</v>
      </c>
      <c r="F7945" s="2" t="str">
        <f>HYPERLINK("http://www.otzar.org/book.asp?24185","דבר בעתו - א,ב")</f>
        <v>דבר בעתו - א,ב</v>
      </c>
    </row>
    <row r="7946" spans="1:6" x14ac:dyDescent="0.2">
      <c r="A7946" t="s">
        <v>14027</v>
      </c>
      <c r="B7946" t="s">
        <v>14030</v>
      </c>
      <c r="C7946" t="s">
        <v>946</v>
      </c>
      <c r="D7946" t="s">
        <v>986</v>
      </c>
      <c r="E7946" t="s">
        <v>564</v>
      </c>
      <c r="F7946" s="2" t="str">
        <f>HYPERLINK("http://www.otzar.org/book.asp?51043","דבר בעתו")</f>
        <v>דבר בעתו</v>
      </c>
    </row>
    <row r="7947" spans="1:6" x14ac:dyDescent="0.2">
      <c r="A7947" t="s">
        <v>14027</v>
      </c>
      <c r="B7947" t="s">
        <v>14031</v>
      </c>
      <c r="C7947" t="s">
        <v>1202</v>
      </c>
      <c r="D7947" t="s">
        <v>3293</v>
      </c>
      <c r="E7947" t="s">
        <v>9356</v>
      </c>
      <c r="F7947" s="2" t="str">
        <f>HYPERLINK("http://www.otzar.org/book.asp?106879","דבר בעתו")</f>
        <v>דבר בעתו</v>
      </c>
    </row>
    <row r="7948" spans="1:6" x14ac:dyDescent="0.2">
      <c r="A7948" t="s">
        <v>14032</v>
      </c>
      <c r="B7948" t="s">
        <v>14033</v>
      </c>
      <c r="C7948" t="s">
        <v>725</v>
      </c>
      <c r="D7948" t="s">
        <v>14034</v>
      </c>
      <c r="E7948" t="s">
        <v>144</v>
      </c>
      <c r="F7948" s="2" t="str">
        <f>HYPERLINK("http://www.otzar.org/book.asp?624794","דבר בעתו - א")</f>
        <v>דבר בעתו - א</v>
      </c>
    </row>
    <row r="7949" spans="1:6" x14ac:dyDescent="0.2">
      <c r="A7949" t="s">
        <v>14027</v>
      </c>
      <c r="B7949" t="s">
        <v>14035</v>
      </c>
      <c r="C7949" t="s">
        <v>14036</v>
      </c>
      <c r="D7949" t="s">
        <v>14037</v>
      </c>
      <c r="E7949" t="s">
        <v>564</v>
      </c>
      <c r="F7949" s="2" t="str">
        <f>HYPERLINK("http://www.otzar.org/book.asp?51044","דבר בעתו")</f>
        <v>דבר בעתו</v>
      </c>
    </row>
    <row r="7950" spans="1:6" x14ac:dyDescent="0.2">
      <c r="A7950" t="s">
        <v>14027</v>
      </c>
      <c r="B7950" t="s">
        <v>1978</v>
      </c>
      <c r="C7950" t="s">
        <v>1437</v>
      </c>
      <c r="D7950" t="s">
        <v>283</v>
      </c>
      <c r="E7950" t="s">
        <v>241</v>
      </c>
      <c r="F7950" s="2" t="str">
        <f>HYPERLINK("http://www.otzar.org/book.asp?23679","דבר בעתו")</f>
        <v>דבר בעתו</v>
      </c>
    </row>
    <row r="7951" spans="1:6" x14ac:dyDescent="0.2">
      <c r="A7951" t="s">
        <v>14027</v>
      </c>
      <c r="B7951" t="s">
        <v>14038</v>
      </c>
      <c r="C7951" t="s">
        <v>1335</v>
      </c>
      <c r="D7951" t="s">
        <v>56</v>
      </c>
      <c r="E7951" t="s">
        <v>104</v>
      </c>
      <c r="F7951" s="2" t="str">
        <f>HYPERLINK("http://www.otzar.org/book.asp?189592","דבר בעתו")</f>
        <v>דבר בעתו</v>
      </c>
    </row>
    <row r="7952" spans="1:6" x14ac:dyDescent="0.2">
      <c r="A7952" t="s">
        <v>14027</v>
      </c>
      <c r="B7952" t="s">
        <v>14039</v>
      </c>
      <c r="C7952" t="s">
        <v>160</v>
      </c>
      <c r="D7952" t="s">
        <v>9</v>
      </c>
      <c r="E7952" t="s">
        <v>154</v>
      </c>
      <c r="F7952" s="2" t="str">
        <f>HYPERLINK("http://www.otzar.org/book.asp?28566","דבר בעתו")</f>
        <v>דבר בעתו</v>
      </c>
    </row>
    <row r="7953" spans="1:6" x14ac:dyDescent="0.2">
      <c r="A7953" t="s">
        <v>14027</v>
      </c>
      <c r="B7953" t="s">
        <v>14040</v>
      </c>
      <c r="C7953" t="s">
        <v>843</v>
      </c>
      <c r="D7953" t="s">
        <v>9</v>
      </c>
      <c r="E7953" t="s">
        <v>241</v>
      </c>
      <c r="F7953" s="2" t="str">
        <f>HYPERLINK("http://www.otzar.org/book.asp?150545","דבר בעתו")</f>
        <v>דבר בעתו</v>
      </c>
    </row>
    <row r="7954" spans="1:6" x14ac:dyDescent="0.2">
      <c r="A7954" t="s">
        <v>14027</v>
      </c>
      <c r="B7954" t="s">
        <v>14041</v>
      </c>
      <c r="C7954" t="s">
        <v>17</v>
      </c>
      <c r="D7954" t="s">
        <v>12936</v>
      </c>
      <c r="E7954" t="s">
        <v>165</v>
      </c>
      <c r="F7954" s="2" t="str">
        <f>HYPERLINK("http://www.otzar.org/book.asp?142814","דבר בעתו")</f>
        <v>דבר בעתו</v>
      </c>
    </row>
    <row r="7955" spans="1:6" x14ac:dyDescent="0.2">
      <c r="A7955" t="s">
        <v>14027</v>
      </c>
      <c r="B7955" t="s">
        <v>14042</v>
      </c>
      <c r="C7955" t="s">
        <v>1047</v>
      </c>
      <c r="D7955" t="s">
        <v>267</v>
      </c>
      <c r="E7955" t="s">
        <v>325</v>
      </c>
      <c r="F7955" s="2" t="str">
        <f>HYPERLINK("http://www.otzar.org/book.asp?64058","דבר בעתו")</f>
        <v>דבר בעתו</v>
      </c>
    </row>
    <row r="7956" spans="1:6" x14ac:dyDescent="0.2">
      <c r="A7956" t="s">
        <v>14027</v>
      </c>
      <c r="B7956" t="s">
        <v>14043</v>
      </c>
      <c r="C7956" t="s">
        <v>2132</v>
      </c>
      <c r="D7956" t="s">
        <v>412</v>
      </c>
      <c r="E7956" t="s">
        <v>15</v>
      </c>
      <c r="F7956" s="2" t="str">
        <f>HYPERLINK("http://www.otzar.org/book.asp?172612","דבר בעתו")</f>
        <v>דבר בעתו</v>
      </c>
    </row>
    <row r="7957" spans="1:6" x14ac:dyDescent="0.2">
      <c r="A7957" t="s">
        <v>14027</v>
      </c>
      <c r="B7957" t="s">
        <v>14044</v>
      </c>
      <c r="C7957" t="s">
        <v>1096</v>
      </c>
      <c r="D7957" t="s">
        <v>225</v>
      </c>
      <c r="E7957" t="s">
        <v>435</v>
      </c>
      <c r="F7957" s="2" t="str">
        <f>HYPERLINK("http://www.otzar.org/book.asp?160257","דבר בעתו")</f>
        <v>דבר בעתו</v>
      </c>
    </row>
    <row r="7958" spans="1:6" x14ac:dyDescent="0.2">
      <c r="A7958" t="s">
        <v>14045</v>
      </c>
      <c r="B7958" t="s">
        <v>14046</v>
      </c>
      <c r="C7958" t="s">
        <v>87</v>
      </c>
      <c r="D7958" t="s">
        <v>216</v>
      </c>
      <c r="E7958" t="s">
        <v>186</v>
      </c>
      <c r="F7958" s="2" t="str">
        <f>HYPERLINK("http://www.otzar.org/book.asp?159163","דבר בעתו - גיטין")</f>
        <v>דבר בעתו - גיטין</v>
      </c>
    </row>
    <row r="7959" spans="1:6" x14ac:dyDescent="0.2">
      <c r="A7959" t="s">
        <v>14047</v>
      </c>
      <c r="B7959" t="s">
        <v>14048</v>
      </c>
      <c r="C7959" t="s">
        <v>63</v>
      </c>
      <c r="D7959" t="s">
        <v>27</v>
      </c>
      <c r="E7959" t="s">
        <v>803</v>
      </c>
      <c r="F7959" s="2" t="str">
        <f>HYPERLINK("http://www.otzar.org/book.asp?152610","דבר בעתו - 2 כר'")</f>
        <v>דבר בעתו - 2 כר'</v>
      </c>
    </row>
    <row r="7960" spans="1:6" x14ac:dyDescent="0.2">
      <c r="A7960" t="s">
        <v>14049</v>
      </c>
      <c r="B7960" t="s">
        <v>107</v>
      </c>
      <c r="C7960" t="s">
        <v>17</v>
      </c>
      <c r="D7960" t="s">
        <v>14</v>
      </c>
      <c r="E7960" t="s">
        <v>246</v>
      </c>
      <c r="F7960" s="2" t="str">
        <f>HYPERLINK("http://www.otzar.org/book.asp?6355","דבר בעתו - 8 כר'")</f>
        <v>דבר בעתו - 8 כר'</v>
      </c>
    </row>
    <row r="7961" spans="1:6" x14ac:dyDescent="0.2">
      <c r="A7961" t="s">
        <v>14050</v>
      </c>
      <c r="B7961" t="s">
        <v>6832</v>
      </c>
      <c r="C7961" t="s">
        <v>14051</v>
      </c>
      <c r="D7961" t="s">
        <v>212</v>
      </c>
      <c r="E7961" t="s">
        <v>6300</v>
      </c>
      <c r="F7961" s="2" t="str">
        <f>HYPERLINK("http://www.otzar.org/book.asp?28851","דבר בעתו - 3 כר'")</f>
        <v>דבר בעתו - 3 כר'</v>
      </c>
    </row>
    <row r="7962" spans="1:6" x14ac:dyDescent="0.2">
      <c r="A7962" t="s">
        <v>14052</v>
      </c>
      <c r="B7962" t="s">
        <v>14053</v>
      </c>
      <c r="C7962" t="s">
        <v>68</v>
      </c>
      <c r="D7962" t="s">
        <v>14</v>
      </c>
      <c r="E7962" t="s">
        <v>10</v>
      </c>
      <c r="F7962" s="2" t="str">
        <f>HYPERLINK("http://www.otzar.org/book.asp?160556","דבר ה זו הלכה - תפילין ובר מצוה")</f>
        <v>דבר ה זו הלכה - תפילין ובר מצוה</v>
      </c>
    </row>
    <row r="7963" spans="1:6" x14ac:dyDescent="0.2">
      <c r="A7963" t="s">
        <v>14054</v>
      </c>
      <c r="B7963" t="s">
        <v>7334</v>
      </c>
      <c r="C7963" t="s">
        <v>266</v>
      </c>
      <c r="D7963" t="s">
        <v>27</v>
      </c>
      <c r="F7963" s="2" t="str">
        <f>HYPERLINK("http://www.otzar.org/book.asp?174314","דבר ה' מירושלים")</f>
        <v>דבר ה' מירושלים</v>
      </c>
    </row>
    <row r="7964" spans="1:6" x14ac:dyDescent="0.2">
      <c r="A7964" t="s">
        <v>14055</v>
      </c>
      <c r="B7964" t="s">
        <v>686</v>
      </c>
      <c r="C7964" t="s">
        <v>133</v>
      </c>
      <c r="D7964" t="s">
        <v>52</v>
      </c>
      <c r="E7964" t="s">
        <v>234</v>
      </c>
      <c r="F7964" s="2" t="str">
        <f>HYPERLINK("http://www.otzar.org/book.asp?172203","דבר ה' - זר זהב סביב")</f>
        <v>דבר ה' - זר זהב סביב</v>
      </c>
    </row>
    <row r="7965" spans="1:6" x14ac:dyDescent="0.2">
      <c r="A7965" t="s">
        <v>14056</v>
      </c>
      <c r="B7965" t="s">
        <v>14057</v>
      </c>
      <c r="C7965" t="s">
        <v>422</v>
      </c>
      <c r="D7965" t="s">
        <v>2375</v>
      </c>
      <c r="E7965" t="s">
        <v>15</v>
      </c>
      <c r="F7965" s="2" t="str">
        <f>HYPERLINK("http://www.otzar.org/book.asp?164974","דבר ה'")</f>
        <v>דבר ה'</v>
      </c>
    </row>
    <row r="7966" spans="1:6" x14ac:dyDescent="0.2">
      <c r="A7966" t="s">
        <v>14058</v>
      </c>
      <c r="B7966" t="s">
        <v>206</v>
      </c>
      <c r="C7966" t="s">
        <v>114</v>
      </c>
      <c r="D7966" t="s">
        <v>14</v>
      </c>
      <c r="E7966" t="s">
        <v>714</v>
      </c>
      <c r="F7966" s="2" t="str">
        <f>HYPERLINK("http://www.otzar.org/book.asp?161830","דבר ההלכה")</f>
        <v>דבר ההלכה</v>
      </c>
    </row>
    <row r="7967" spans="1:6" x14ac:dyDescent="0.2">
      <c r="A7967" t="s">
        <v>14059</v>
      </c>
      <c r="B7967" t="s">
        <v>14060</v>
      </c>
      <c r="C7967" t="s">
        <v>334</v>
      </c>
      <c r="D7967" t="s">
        <v>412</v>
      </c>
      <c r="E7967" t="s">
        <v>202</v>
      </c>
      <c r="F7967" s="2" t="str">
        <f>HYPERLINK("http://www.otzar.org/book.asp?152000","דבר ההתאחדות - 50 כר'")</f>
        <v>דבר ההתאחדות - 50 כר'</v>
      </c>
    </row>
    <row r="7968" spans="1:6" x14ac:dyDescent="0.2">
      <c r="A7968" t="s">
        <v>14061</v>
      </c>
      <c r="B7968" t="s">
        <v>14062</v>
      </c>
      <c r="C7968" t="s">
        <v>146</v>
      </c>
      <c r="D7968" t="s">
        <v>14</v>
      </c>
      <c r="E7968" t="s">
        <v>15</v>
      </c>
      <c r="F7968" s="2" t="str">
        <f>HYPERLINK("http://www.otzar.org/book.asp?154239","דבר היחוד")</f>
        <v>דבר היחוד</v>
      </c>
    </row>
    <row r="7969" spans="1:6" x14ac:dyDescent="0.2">
      <c r="A7969" t="s">
        <v>14061</v>
      </c>
      <c r="B7969" t="s">
        <v>14063</v>
      </c>
      <c r="C7969" t="s">
        <v>23</v>
      </c>
      <c r="D7969" t="s">
        <v>21</v>
      </c>
      <c r="E7969" t="s">
        <v>15</v>
      </c>
      <c r="F7969" s="2" t="str">
        <f>HYPERLINK("http://www.otzar.org/book.asp?196098","דבר היחוד")</f>
        <v>דבר היחוד</v>
      </c>
    </row>
    <row r="7970" spans="1:6" x14ac:dyDescent="0.2">
      <c r="A7970" t="s">
        <v>14064</v>
      </c>
      <c r="B7970" t="s">
        <v>14065</v>
      </c>
      <c r="C7970" t="s">
        <v>366</v>
      </c>
      <c r="D7970" t="s">
        <v>367</v>
      </c>
      <c r="E7970" t="s">
        <v>172</v>
      </c>
      <c r="F7970" s="2" t="str">
        <f>HYPERLINK("http://www.otzar.org/book.asp?628202","דבר הכהן")</f>
        <v>דבר הכהן</v>
      </c>
    </row>
    <row r="7971" spans="1:6" x14ac:dyDescent="0.2">
      <c r="A7971" t="s">
        <v>14064</v>
      </c>
      <c r="B7971" t="s">
        <v>14066</v>
      </c>
      <c r="C7971" t="s">
        <v>37</v>
      </c>
      <c r="D7971" t="s">
        <v>367</v>
      </c>
      <c r="E7971" t="s">
        <v>15</v>
      </c>
      <c r="F7971" s="2" t="str">
        <f>HYPERLINK("http://www.otzar.org/book.asp?198577","דבר הכהן")</f>
        <v>דבר הכהן</v>
      </c>
    </row>
    <row r="7972" spans="1:6" x14ac:dyDescent="0.2">
      <c r="A7972" t="s">
        <v>14067</v>
      </c>
      <c r="B7972" t="s">
        <v>14068</v>
      </c>
      <c r="C7972" t="s">
        <v>2617</v>
      </c>
      <c r="D7972" t="s">
        <v>1279</v>
      </c>
      <c r="E7972" t="s">
        <v>15</v>
      </c>
      <c r="F7972" s="2" t="str">
        <f>HYPERLINK("http://www.otzar.org/book.asp?24187","דבר הלכה")</f>
        <v>דבר הלכה</v>
      </c>
    </row>
    <row r="7973" spans="1:6" x14ac:dyDescent="0.2">
      <c r="A7973" t="s">
        <v>14067</v>
      </c>
      <c r="B7973" t="s">
        <v>3108</v>
      </c>
      <c r="C7973" t="s">
        <v>1374</v>
      </c>
      <c r="D7973" t="s">
        <v>9</v>
      </c>
      <c r="E7973" t="s">
        <v>104</v>
      </c>
      <c r="F7973" s="2" t="str">
        <f>HYPERLINK("http://www.otzar.org/book.asp?17417","דבר הלכה")</f>
        <v>דבר הלכה</v>
      </c>
    </row>
    <row r="7974" spans="1:6" x14ac:dyDescent="0.2">
      <c r="A7974" t="s">
        <v>14069</v>
      </c>
      <c r="B7974" t="s">
        <v>14070</v>
      </c>
      <c r="C7974" t="s">
        <v>334</v>
      </c>
      <c r="D7974" t="s">
        <v>412</v>
      </c>
      <c r="E7974" t="s">
        <v>172</v>
      </c>
      <c r="F7974" s="2" t="str">
        <f>HYPERLINK("http://www.otzar.org/book.asp?621759","דבר הלכה - הלכות נדה סימן קפג")</f>
        <v>דבר הלכה - הלכות נדה סימן קפג</v>
      </c>
    </row>
    <row r="7975" spans="1:6" x14ac:dyDescent="0.2">
      <c r="A7975" t="s">
        <v>14067</v>
      </c>
      <c r="B7975" t="s">
        <v>14071</v>
      </c>
      <c r="C7975" t="s">
        <v>748</v>
      </c>
      <c r="D7975" t="s">
        <v>4269</v>
      </c>
      <c r="E7975" t="s">
        <v>154</v>
      </c>
      <c r="F7975" s="2" t="str">
        <f>HYPERLINK("http://www.otzar.org/book.asp?22406","דבר הלכה")</f>
        <v>דבר הלכה</v>
      </c>
    </row>
    <row r="7976" spans="1:6" x14ac:dyDescent="0.2">
      <c r="A7976" t="s">
        <v>14072</v>
      </c>
      <c r="B7976" t="s">
        <v>394</v>
      </c>
      <c r="C7976" t="s">
        <v>1650</v>
      </c>
      <c r="D7976" t="s">
        <v>726</v>
      </c>
      <c r="E7976" t="s">
        <v>15</v>
      </c>
      <c r="F7976" s="2" t="str">
        <f>HYPERLINK("http://www.otzar.org/book.asp?17416","דבר הלכה - 2 כר'")</f>
        <v>דבר הלכה - 2 כר'</v>
      </c>
    </row>
    <row r="7977" spans="1:6" x14ac:dyDescent="0.2">
      <c r="A7977" t="s">
        <v>14073</v>
      </c>
      <c r="B7977" t="s">
        <v>98</v>
      </c>
      <c r="C7977" t="s">
        <v>224</v>
      </c>
      <c r="D7977" t="s">
        <v>8939</v>
      </c>
      <c r="E7977" t="s">
        <v>467</v>
      </c>
      <c r="F7977" s="2" t="str">
        <f>HYPERLINK("http://www.otzar.org/book.asp?144629","דבר המלוכה - 2 כר'")</f>
        <v>דבר המלוכה - 2 כר'</v>
      </c>
    </row>
    <row r="7978" spans="1:6" x14ac:dyDescent="0.2">
      <c r="A7978" t="s">
        <v>14074</v>
      </c>
      <c r="B7978" t="s">
        <v>14075</v>
      </c>
      <c r="C7978" t="s">
        <v>14076</v>
      </c>
      <c r="D7978" t="s">
        <v>212</v>
      </c>
      <c r="E7978" t="s">
        <v>104</v>
      </c>
      <c r="F7978" s="2" t="str">
        <f>HYPERLINK("http://www.otzar.org/book.asp?100399","דבר המלך - 2 כר'")</f>
        <v>דבר המלך - 2 כר'</v>
      </c>
    </row>
    <row r="7979" spans="1:6" x14ac:dyDescent="0.2">
      <c r="A7979" t="s">
        <v>14077</v>
      </c>
      <c r="B7979" t="s">
        <v>4112</v>
      </c>
      <c r="C7979" t="s">
        <v>114</v>
      </c>
      <c r="D7979" t="s">
        <v>52</v>
      </c>
      <c r="F7979" s="2" t="str">
        <f>HYPERLINK("http://www.otzar.org/book.asp?610693","דבר המלך - מגילת אסתר")</f>
        <v>דבר המלך - מגילת אסתר</v>
      </c>
    </row>
    <row r="7980" spans="1:6" x14ac:dyDescent="0.2">
      <c r="A7980" t="s">
        <v>14078</v>
      </c>
      <c r="B7980" t="s">
        <v>4645</v>
      </c>
      <c r="C7980" t="s">
        <v>20</v>
      </c>
      <c r="D7980" t="s">
        <v>90</v>
      </c>
      <c r="E7980" t="s">
        <v>3489</v>
      </c>
      <c r="F7980" s="2" t="str">
        <f>HYPERLINK("http://www.otzar.org/book.asp?160940","דבר המלך - עטרת תפארת")</f>
        <v>דבר המלך - עטרת תפארת</v>
      </c>
    </row>
    <row r="7981" spans="1:6" x14ac:dyDescent="0.2">
      <c r="A7981" t="s">
        <v>14079</v>
      </c>
      <c r="B7981" t="s">
        <v>14080</v>
      </c>
      <c r="C7981" t="s">
        <v>438</v>
      </c>
      <c r="D7981" t="s">
        <v>14</v>
      </c>
      <c r="E7981" t="s">
        <v>15</v>
      </c>
      <c r="F7981" s="2" t="str">
        <f>HYPERLINK("http://www.otzar.org/book.asp?64361","דבר המלך - 5 כר'")</f>
        <v>דבר המלך - 5 כר'</v>
      </c>
    </row>
    <row r="7982" spans="1:6" x14ac:dyDescent="0.2">
      <c r="A7982" t="s">
        <v>14081</v>
      </c>
      <c r="B7982" t="s">
        <v>1264</v>
      </c>
      <c r="C7982" t="s">
        <v>189</v>
      </c>
      <c r="D7982" t="s">
        <v>14</v>
      </c>
      <c r="E7982" t="s">
        <v>158</v>
      </c>
      <c r="F7982" s="2" t="str">
        <f>HYPERLINK("http://www.otzar.org/book.asp?172669","דבר המלך - אסתר")</f>
        <v>דבר המלך - אסתר</v>
      </c>
    </row>
    <row r="7983" spans="1:6" x14ac:dyDescent="0.2">
      <c r="A7983" t="s">
        <v>14082</v>
      </c>
      <c r="B7983" t="s">
        <v>3625</v>
      </c>
      <c r="C7983" t="s">
        <v>1535</v>
      </c>
      <c r="D7983" t="s">
        <v>974</v>
      </c>
      <c r="E7983" t="s">
        <v>158</v>
      </c>
      <c r="F7983" s="2" t="str">
        <f>HYPERLINK("http://www.otzar.org/book.asp?5484","דבר המלכה")</f>
        <v>דבר המלכה</v>
      </c>
    </row>
    <row r="7984" spans="1:6" x14ac:dyDescent="0.2">
      <c r="A7984" t="s">
        <v>14083</v>
      </c>
      <c r="B7984" t="s">
        <v>9496</v>
      </c>
      <c r="C7984" t="s">
        <v>1640</v>
      </c>
      <c r="D7984" t="s">
        <v>216</v>
      </c>
      <c r="E7984" t="s">
        <v>15</v>
      </c>
      <c r="F7984" s="2" t="str">
        <f>HYPERLINK("http://www.otzar.org/book.asp?105305","דבר המשפט - 3 כר'")</f>
        <v>דבר המשפט - 3 כר'</v>
      </c>
    </row>
    <row r="7985" spans="1:6" x14ac:dyDescent="0.2">
      <c r="A7985" t="s">
        <v>14084</v>
      </c>
      <c r="B7985" t="s">
        <v>5611</v>
      </c>
      <c r="C7985" t="s">
        <v>506</v>
      </c>
      <c r="D7985" t="s">
        <v>1889</v>
      </c>
      <c r="E7985" t="s">
        <v>930</v>
      </c>
      <c r="F7985" s="2" t="str">
        <f>HYPERLINK("http://www.otzar.org/book.asp?9203","דבר המשפט")</f>
        <v>דבר המשפט</v>
      </c>
    </row>
    <row r="7986" spans="1:6" x14ac:dyDescent="0.2">
      <c r="A7986" t="s">
        <v>14084</v>
      </c>
      <c r="B7986" t="s">
        <v>7381</v>
      </c>
      <c r="C7986" t="s">
        <v>14085</v>
      </c>
      <c r="D7986" t="s">
        <v>157</v>
      </c>
      <c r="E7986" t="s">
        <v>14086</v>
      </c>
      <c r="F7986" s="2" t="str">
        <f>HYPERLINK("http://www.otzar.org/book.asp?100401","דבר המשפט")</f>
        <v>דבר המשפט</v>
      </c>
    </row>
    <row r="7987" spans="1:6" x14ac:dyDescent="0.2">
      <c r="A7987" t="s">
        <v>14087</v>
      </c>
      <c r="B7987" t="s">
        <v>14088</v>
      </c>
      <c r="C7987" t="s">
        <v>146</v>
      </c>
      <c r="D7987" t="s">
        <v>52</v>
      </c>
      <c r="E7987" t="s">
        <v>14089</v>
      </c>
      <c r="F7987" s="2" t="str">
        <f>HYPERLINK("http://www.otzar.org/book.asp?159425","דבר הנשמע")</f>
        <v>דבר הנשמע</v>
      </c>
    </row>
    <row r="7988" spans="1:6" x14ac:dyDescent="0.2">
      <c r="A7988" t="s">
        <v>14090</v>
      </c>
      <c r="B7988" t="s">
        <v>1303</v>
      </c>
      <c r="C7988" t="s">
        <v>411</v>
      </c>
      <c r="D7988" t="s">
        <v>14</v>
      </c>
      <c r="E7988" t="s">
        <v>158</v>
      </c>
      <c r="F7988" s="2" t="str">
        <f>HYPERLINK("http://www.otzar.org/book.asp?175960","דבר העמק &lt;מהדורה חדשה&gt;")</f>
        <v>דבר העמק &lt;מהדורה חדשה&gt;</v>
      </c>
    </row>
    <row r="7989" spans="1:6" x14ac:dyDescent="0.2">
      <c r="A7989" t="s">
        <v>14091</v>
      </c>
      <c r="B7989" t="s">
        <v>1303</v>
      </c>
      <c r="C7989" t="s">
        <v>1208</v>
      </c>
      <c r="D7989" t="s">
        <v>14</v>
      </c>
      <c r="E7989" t="s">
        <v>158</v>
      </c>
      <c r="F7989" s="2" t="str">
        <f>HYPERLINK("http://www.otzar.org/book.asp?142219","דבר העמק")</f>
        <v>דבר העמק</v>
      </c>
    </row>
    <row r="7990" spans="1:6" x14ac:dyDescent="0.2">
      <c r="A7990" t="s">
        <v>14092</v>
      </c>
      <c r="B7990" t="s">
        <v>14093</v>
      </c>
      <c r="C7990" t="s">
        <v>1609</v>
      </c>
      <c r="D7990" t="s">
        <v>1889</v>
      </c>
      <c r="F7990" s="2" t="str">
        <f>HYPERLINK("http://www.otzar.org/book.asp?174324","דבר השוה")</f>
        <v>דבר השוה</v>
      </c>
    </row>
    <row r="7991" spans="1:6" x14ac:dyDescent="0.2">
      <c r="A7991" t="s">
        <v>14094</v>
      </c>
      <c r="B7991" t="s">
        <v>14095</v>
      </c>
      <c r="C7991" t="s">
        <v>1047</v>
      </c>
      <c r="D7991" t="s">
        <v>27</v>
      </c>
      <c r="E7991" t="s">
        <v>15</v>
      </c>
      <c r="F7991" s="2" t="str">
        <f>HYPERLINK("http://www.otzar.org/book.asp?147841","דבר השמטה")</f>
        <v>דבר השמטה</v>
      </c>
    </row>
    <row r="7992" spans="1:6" x14ac:dyDescent="0.2">
      <c r="A7992" t="s">
        <v>14096</v>
      </c>
      <c r="B7992" t="s">
        <v>14097</v>
      </c>
      <c r="C7992" t="s">
        <v>17</v>
      </c>
      <c r="D7992" t="s">
        <v>486</v>
      </c>
      <c r="E7992" t="s">
        <v>84</v>
      </c>
      <c r="F7992" s="2" t="str">
        <f>HYPERLINK("http://www.otzar.org/book.asp?161820","דבר השמיטה &lt;מהדורה חדשה&gt;")</f>
        <v>דבר השמיטה &lt;מהדורה חדשה&gt;</v>
      </c>
    </row>
    <row r="7993" spans="1:6" x14ac:dyDescent="0.2">
      <c r="A7993" t="s">
        <v>14098</v>
      </c>
      <c r="B7993" t="s">
        <v>14099</v>
      </c>
      <c r="C7993" t="s">
        <v>585</v>
      </c>
      <c r="D7993" t="s">
        <v>14</v>
      </c>
      <c r="E7993" t="s">
        <v>202</v>
      </c>
      <c r="F7993" s="2" t="str">
        <f>HYPERLINK("http://www.otzar.org/book.asp?171837","דבר השמיטה - כה")</f>
        <v>דבר השמיטה - כה</v>
      </c>
    </row>
    <row r="7994" spans="1:6" x14ac:dyDescent="0.2">
      <c r="A7994" t="s">
        <v>14100</v>
      </c>
      <c r="B7994" t="s">
        <v>14101</v>
      </c>
      <c r="C7994" t="s">
        <v>23</v>
      </c>
      <c r="D7994" t="s">
        <v>52</v>
      </c>
      <c r="E7994" t="s">
        <v>15</v>
      </c>
      <c r="F7994" s="2" t="str">
        <f>HYPERLINK("http://www.otzar.org/book.asp?193172","דבר השמיטה")</f>
        <v>דבר השמיטה</v>
      </c>
    </row>
    <row r="7995" spans="1:6" x14ac:dyDescent="0.2">
      <c r="A7995" t="s">
        <v>14100</v>
      </c>
      <c r="B7995" t="s">
        <v>14102</v>
      </c>
      <c r="C7995" t="s">
        <v>14103</v>
      </c>
      <c r="D7995" t="s">
        <v>10373</v>
      </c>
      <c r="E7995" t="s">
        <v>15</v>
      </c>
      <c r="F7995" s="2" t="str">
        <f>HYPERLINK("http://www.otzar.org/book.asp?625362","דבר השמיטה")</f>
        <v>דבר השמיטה</v>
      </c>
    </row>
    <row r="7996" spans="1:6" x14ac:dyDescent="0.2">
      <c r="A7996" t="s">
        <v>14100</v>
      </c>
      <c r="B7996" t="s">
        <v>14063</v>
      </c>
      <c r="C7996" t="s">
        <v>23</v>
      </c>
      <c r="D7996" t="s">
        <v>14</v>
      </c>
      <c r="E7996" t="s">
        <v>15</v>
      </c>
      <c r="F7996" s="2" t="str">
        <f>HYPERLINK("http://www.otzar.org/book.asp?190084","דבר השמיטה")</f>
        <v>דבר השמיטה</v>
      </c>
    </row>
    <row r="7997" spans="1:6" x14ac:dyDescent="0.2">
      <c r="A7997" t="s">
        <v>14100</v>
      </c>
      <c r="B7997" t="s">
        <v>12303</v>
      </c>
      <c r="C7997" t="s">
        <v>553</v>
      </c>
      <c r="D7997" t="s">
        <v>52</v>
      </c>
      <c r="E7997" t="s">
        <v>15</v>
      </c>
      <c r="F7997" s="2" t="str">
        <f>HYPERLINK("http://www.otzar.org/book.asp?22771","דבר השמיטה")</f>
        <v>דבר השמיטה</v>
      </c>
    </row>
    <row r="7998" spans="1:6" x14ac:dyDescent="0.2">
      <c r="A7998" t="s">
        <v>14100</v>
      </c>
      <c r="B7998" t="s">
        <v>14097</v>
      </c>
      <c r="C7998" t="s">
        <v>20</v>
      </c>
      <c r="D7998" t="s">
        <v>14</v>
      </c>
      <c r="E7998" t="s">
        <v>84</v>
      </c>
      <c r="F7998" s="2" t="str">
        <f>HYPERLINK("http://www.otzar.org/book.asp?17071","דבר השמיטה")</f>
        <v>דבר השמיטה</v>
      </c>
    </row>
    <row r="7999" spans="1:6" x14ac:dyDescent="0.2">
      <c r="A7999" t="s">
        <v>14104</v>
      </c>
      <c r="B7999" t="s">
        <v>14105</v>
      </c>
      <c r="C7999" t="s">
        <v>438</v>
      </c>
      <c r="D7999" t="s">
        <v>90</v>
      </c>
      <c r="E7999" t="s">
        <v>241</v>
      </c>
      <c r="F7999" s="2" t="str">
        <f>HYPERLINK("http://www.otzar.org/book.asp?28983","דבר התורה")</f>
        <v>דבר התורה</v>
      </c>
    </row>
    <row r="8000" spans="1:6" x14ac:dyDescent="0.2">
      <c r="A8000" t="s">
        <v>14104</v>
      </c>
      <c r="B8000" t="s">
        <v>3374</v>
      </c>
      <c r="C8000" t="s">
        <v>438</v>
      </c>
      <c r="D8000" t="s">
        <v>423</v>
      </c>
      <c r="E8000" t="s">
        <v>241</v>
      </c>
      <c r="F8000" s="2" t="str">
        <f>HYPERLINK("http://www.otzar.org/book.asp?180322","דבר התורה")</f>
        <v>דבר התורה</v>
      </c>
    </row>
    <row r="8001" spans="1:6" x14ac:dyDescent="0.2">
      <c r="A8001" t="s">
        <v>14104</v>
      </c>
      <c r="B8001" t="s">
        <v>14106</v>
      </c>
      <c r="C8001" t="s">
        <v>87</v>
      </c>
      <c r="D8001" t="s">
        <v>6151</v>
      </c>
      <c r="E8001" t="s">
        <v>213</v>
      </c>
      <c r="F8001" s="2" t="str">
        <f>HYPERLINK("http://www.otzar.org/book.asp?165375","דבר התורה")</f>
        <v>דבר התורה</v>
      </c>
    </row>
    <row r="8002" spans="1:6" x14ac:dyDescent="0.2">
      <c r="A8002" t="s">
        <v>14107</v>
      </c>
      <c r="B8002" t="s">
        <v>14106</v>
      </c>
      <c r="C8002" t="s">
        <v>523</v>
      </c>
      <c r="D8002" t="s">
        <v>6151</v>
      </c>
      <c r="E8002" t="s">
        <v>241</v>
      </c>
      <c r="F8002" s="2" t="str">
        <f>HYPERLINK("http://www.otzar.org/book.asp?165373","דבר התפילה")</f>
        <v>דבר התפילה</v>
      </c>
    </row>
    <row r="8003" spans="1:6" x14ac:dyDescent="0.2">
      <c r="A8003" t="s">
        <v>14108</v>
      </c>
      <c r="B8003" t="s">
        <v>14106</v>
      </c>
      <c r="C8003" t="s">
        <v>523</v>
      </c>
      <c r="D8003" t="s">
        <v>14</v>
      </c>
      <c r="E8003" t="s">
        <v>241</v>
      </c>
      <c r="F8003" s="2" t="str">
        <f>HYPERLINK("http://www.otzar.org/book.asp?165372","דבר התשובה")</f>
        <v>דבר התשובה</v>
      </c>
    </row>
    <row r="8004" spans="1:6" x14ac:dyDescent="0.2">
      <c r="A8004" t="s">
        <v>14109</v>
      </c>
      <c r="B8004" t="s">
        <v>14110</v>
      </c>
      <c r="C8004" t="s">
        <v>411</v>
      </c>
      <c r="D8004" t="s">
        <v>52</v>
      </c>
      <c r="E8004" t="s">
        <v>241</v>
      </c>
      <c r="F8004" s="2" t="str">
        <f>HYPERLINK("http://www.otzar.org/book.asp?167151","דבר זה רבינו הגדול אמרו")</f>
        <v>דבר זה רבינו הגדול אמרו</v>
      </c>
    </row>
    <row r="8005" spans="1:6" x14ac:dyDescent="0.2">
      <c r="A8005" t="s">
        <v>14111</v>
      </c>
      <c r="B8005" t="s">
        <v>14112</v>
      </c>
      <c r="C8005" t="s">
        <v>422</v>
      </c>
      <c r="D8005" t="s">
        <v>52</v>
      </c>
      <c r="E8005" t="s">
        <v>1185</v>
      </c>
      <c r="F8005" s="2" t="str">
        <f>HYPERLINK("http://www.otzar.org/book.asp?84616","דבר חיים - 2 כר'")</f>
        <v>דבר חיים - 2 כר'</v>
      </c>
    </row>
    <row r="8006" spans="1:6" x14ac:dyDescent="0.2">
      <c r="A8006" t="s">
        <v>14113</v>
      </c>
      <c r="B8006" t="s">
        <v>14114</v>
      </c>
      <c r="C8006" t="s">
        <v>802</v>
      </c>
      <c r="D8006" t="s">
        <v>9091</v>
      </c>
      <c r="E8006" t="s">
        <v>154</v>
      </c>
      <c r="F8006" s="2" t="str">
        <f>HYPERLINK("http://www.otzar.org/book.asp?180358","דבר חיים")</f>
        <v>דבר חיים</v>
      </c>
    </row>
    <row r="8007" spans="1:6" x14ac:dyDescent="0.2">
      <c r="A8007" t="s">
        <v>14113</v>
      </c>
      <c r="B8007" t="s">
        <v>14115</v>
      </c>
      <c r="C8007" t="s">
        <v>26</v>
      </c>
      <c r="D8007" t="s">
        <v>412</v>
      </c>
      <c r="E8007" t="s">
        <v>144</v>
      </c>
      <c r="F8007" s="2" t="str">
        <f>HYPERLINK("http://www.otzar.org/book.asp?177125","דבר חיים")</f>
        <v>דבר חיים</v>
      </c>
    </row>
    <row r="8008" spans="1:6" x14ac:dyDescent="0.2">
      <c r="A8008" t="s">
        <v>14116</v>
      </c>
      <c r="B8008" t="s">
        <v>4776</v>
      </c>
      <c r="C8008" t="s">
        <v>244</v>
      </c>
      <c r="D8008" t="s">
        <v>52</v>
      </c>
      <c r="E8008" t="s">
        <v>144</v>
      </c>
      <c r="F8008" s="2" t="str">
        <f>HYPERLINK("http://www.otzar.org/book.asp?629153","דבר חיים -יומא")</f>
        <v>דבר חיים -יומא</v>
      </c>
    </row>
    <row r="8009" spans="1:6" x14ac:dyDescent="0.2">
      <c r="A8009" t="s">
        <v>14117</v>
      </c>
      <c r="B8009" t="s">
        <v>14118</v>
      </c>
      <c r="C8009" t="s">
        <v>37</v>
      </c>
      <c r="D8009" t="s">
        <v>21</v>
      </c>
      <c r="E8009" t="s">
        <v>15</v>
      </c>
      <c r="F8009" s="2" t="str">
        <f>HYPERLINK("http://www.otzar.org/book.asp?600104","דבר חריף")</f>
        <v>דבר חריף</v>
      </c>
    </row>
    <row r="8010" spans="1:6" x14ac:dyDescent="0.2">
      <c r="A8010" t="s">
        <v>14119</v>
      </c>
      <c r="B8010" t="s">
        <v>14120</v>
      </c>
      <c r="C8010" t="s">
        <v>2488</v>
      </c>
      <c r="D8010" t="s">
        <v>744</v>
      </c>
      <c r="E8010" t="s">
        <v>104</v>
      </c>
      <c r="F8010" s="2" t="str">
        <f>HYPERLINK("http://www.otzar.org/book.asp?22407","דבר טוב")</f>
        <v>דבר טוב</v>
      </c>
    </row>
    <row r="8011" spans="1:6" x14ac:dyDescent="0.2">
      <c r="A8011" t="s">
        <v>14119</v>
      </c>
      <c r="B8011" t="s">
        <v>2929</v>
      </c>
      <c r="C8011" t="s">
        <v>114</v>
      </c>
      <c r="D8011" t="s">
        <v>412</v>
      </c>
      <c r="F8011" s="2" t="str">
        <f>HYPERLINK("http://www.otzar.org/book.asp?606139","דבר טוב")</f>
        <v>דבר טוב</v>
      </c>
    </row>
    <row r="8012" spans="1:6" x14ac:dyDescent="0.2">
      <c r="A8012" t="s">
        <v>14119</v>
      </c>
      <c r="B8012" t="s">
        <v>14121</v>
      </c>
      <c r="C8012" t="s">
        <v>473</v>
      </c>
      <c r="D8012" t="s">
        <v>27</v>
      </c>
      <c r="E8012" t="s">
        <v>234</v>
      </c>
      <c r="F8012" s="2" t="str">
        <f>HYPERLINK("http://www.otzar.org/book.asp?22408","דבר טוב")</f>
        <v>דבר טוב</v>
      </c>
    </row>
    <row r="8013" spans="1:6" x14ac:dyDescent="0.2">
      <c r="A8013" t="s">
        <v>14122</v>
      </c>
      <c r="B8013" t="s">
        <v>14123</v>
      </c>
      <c r="C8013" t="s">
        <v>17</v>
      </c>
      <c r="D8013" t="s">
        <v>14</v>
      </c>
      <c r="E8013" t="s">
        <v>2135</v>
      </c>
      <c r="F8013" s="2" t="str">
        <f>HYPERLINK("http://www.otzar.org/book.asp?163305","דבר טוב - הפך בה")</f>
        <v>דבר טוב - הפך בה</v>
      </c>
    </row>
    <row r="8014" spans="1:6" x14ac:dyDescent="0.2">
      <c r="A8014" t="s">
        <v>14124</v>
      </c>
      <c r="B8014" t="s">
        <v>14125</v>
      </c>
      <c r="C8014" t="s">
        <v>23</v>
      </c>
      <c r="D8014" t="s">
        <v>21</v>
      </c>
      <c r="E8014" t="s">
        <v>154</v>
      </c>
      <c r="F8014" s="2" t="str">
        <f>HYPERLINK("http://www.otzar.org/book.asp?605167","דבר יהודה")</f>
        <v>דבר יהודה</v>
      </c>
    </row>
    <row r="8015" spans="1:6" x14ac:dyDescent="0.2">
      <c r="A8015" t="s">
        <v>14126</v>
      </c>
      <c r="B8015" t="s">
        <v>14127</v>
      </c>
      <c r="C8015" t="s">
        <v>244</v>
      </c>
      <c r="D8015" t="s">
        <v>21</v>
      </c>
      <c r="E8015" t="s">
        <v>144</v>
      </c>
      <c r="F8015" s="2" t="str">
        <f>HYPERLINK("http://www.otzar.org/book.asp?605675","דבר יהונתן - סוטה ערכין")</f>
        <v>דבר יהונתן - סוטה ערכין</v>
      </c>
    </row>
    <row r="8016" spans="1:6" x14ac:dyDescent="0.2">
      <c r="A8016" t="s">
        <v>14128</v>
      </c>
      <c r="B8016" t="s">
        <v>14129</v>
      </c>
      <c r="C8016" t="s">
        <v>989</v>
      </c>
      <c r="D8016" t="s">
        <v>14</v>
      </c>
      <c r="E8016" t="s">
        <v>154</v>
      </c>
      <c r="F8016" s="2" t="str">
        <f>HYPERLINK("http://www.otzar.org/book.asp?102770","דבר יהושע - 8 כר'")</f>
        <v>דבר יהושע - 8 כר'</v>
      </c>
    </row>
    <row r="8017" spans="1:6" x14ac:dyDescent="0.2">
      <c r="A8017" t="s">
        <v>14130</v>
      </c>
      <c r="B8017" t="s">
        <v>14131</v>
      </c>
      <c r="C8017" t="s">
        <v>1640</v>
      </c>
      <c r="D8017" t="s">
        <v>412</v>
      </c>
      <c r="E8017" t="s">
        <v>219</v>
      </c>
      <c r="F8017" s="2" t="str">
        <f>HYPERLINK("http://www.otzar.org/book.asp?106479","דבר יום ביומו")</f>
        <v>דבר יום ביומו</v>
      </c>
    </row>
    <row r="8018" spans="1:6" x14ac:dyDescent="0.2">
      <c r="A8018" t="s">
        <v>14130</v>
      </c>
      <c r="B8018" t="s">
        <v>14132</v>
      </c>
      <c r="C8018" t="s">
        <v>146</v>
      </c>
      <c r="D8018" t="s">
        <v>80</v>
      </c>
      <c r="E8018" t="s">
        <v>15</v>
      </c>
      <c r="F8018" s="2" t="str">
        <f>HYPERLINK("http://www.otzar.org/book.asp?196741","דבר יום ביומו")</f>
        <v>דבר יום ביומו</v>
      </c>
    </row>
    <row r="8019" spans="1:6" x14ac:dyDescent="0.2">
      <c r="A8019" t="s">
        <v>14130</v>
      </c>
      <c r="B8019" t="s">
        <v>14133</v>
      </c>
      <c r="C8019" t="s">
        <v>14134</v>
      </c>
      <c r="D8019" t="s">
        <v>855</v>
      </c>
      <c r="E8019" t="s">
        <v>14135</v>
      </c>
      <c r="F8019" s="2" t="str">
        <f>HYPERLINK("http://www.otzar.org/book.asp?100833","דבר יום ביומו")</f>
        <v>דבר יום ביומו</v>
      </c>
    </row>
    <row r="8020" spans="1:6" x14ac:dyDescent="0.2">
      <c r="A8020" t="s">
        <v>14136</v>
      </c>
      <c r="B8020" t="s">
        <v>14137</v>
      </c>
      <c r="C8020" t="s">
        <v>5163</v>
      </c>
      <c r="D8020" t="s">
        <v>76</v>
      </c>
      <c r="E8020" t="s">
        <v>234</v>
      </c>
      <c r="F8020" s="2" t="str">
        <f>HYPERLINK("http://www.otzar.org/book.asp?182194","דבר יוסף")</f>
        <v>דבר יוסף</v>
      </c>
    </row>
    <row r="8021" spans="1:6" x14ac:dyDescent="0.2">
      <c r="A8021" t="s">
        <v>14136</v>
      </c>
      <c r="B8021" t="s">
        <v>4320</v>
      </c>
      <c r="C8021" t="s">
        <v>585</v>
      </c>
      <c r="D8021" t="s">
        <v>412</v>
      </c>
      <c r="E8021" t="s">
        <v>144</v>
      </c>
      <c r="F8021" s="2" t="str">
        <f>HYPERLINK("http://www.otzar.org/book.asp?145192","דבר יוסף")</f>
        <v>דבר יוסף</v>
      </c>
    </row>
    <row r="8022" spans="1:6" x14ac:dyDescent="0.2">
      <c r="A8022" t="s">
        <v>14136</v>
      </c>
      <c r="B8022" t="s">
        <v>14138</v>
      </c>
      <c r="C8022" t="s">
        <v>111</v>
      </c>
      <c r="D8022" t="s">
        <v>14</v>
      </c>
      <c r="E8022" t="s">
        <v>144</v>
      </c>
      <c r="F8022" s="2" t="str">
        <f>HYPERLINK("http://www.otzar.org/book.asp?625960","דבר יוסף")</f>
        <v>דבר יוסף</v>
      </c>
    </row>
    <row r="8023" spans="1:6" x14ac:dyDescent="0.2">
      <c r="A8023" t="s">
        <v>14136</v>
      </c>
      <c r="B8023" t="s">
        <v>14139</v>
      </c>
      <c r="C8023" t="s">
        <v>553</v>
      </c>
      <c r="D8023" t="s">
        <v>14</v>
      </c>
      <c r="E8023" t="s">
        <v>2071</v>
      </c>
      <c r="F8023" s="2" t="str">
        <f>HYPERLINK("http://www.otzar.org/book.asp?173081","דבר יוסף")</f>
        <v>דבר יוסף</v>
      </c>
    </row>
    <row r="8024" spans="1:6" x14ac:dyDescent="0.2">
      <c r="A8024" t="s">
        <v>14140</v>
      </c>
      <c r="B8024" t="s">
        <v>14141</v>
      </c>
      <c r="C8024" t="s">
        <v>1650</v>
      </c>
      <c r="D8024" t="s">
        <v>14142</v>
      </c>
      <c r="E8024" t="s">
        <v>930</v>
      </c>
      <c r="F8024" s="2" t="str">
        <f>HYPERLINK("http://www.otzar.org/book.asp?51238","דבר יחזקאל")</f>
        <v>דבר יחזקאל</v>
      </c>
    </row>
    <row r="8025" spans="1:6" x14ac:dyDescent="0.2">
      <c r="A8025" t="s">
        <v>14143</v>
      </c>
      <c r="B8025" t="s">
        <v>14144</v>
      </c>
      <c r="C8025" t="s">
        <v>114</v>
      </c>
      <c r="D8025" t="s">
        <v>14</v>
      </c>
      <c r="E8025" t="s">
        <v>144</v>
      </c>
      <c r="F8025" s="2" t="str">
        <f>HYPERLINK("http://www.otzar.org/book.asp?85814","דבר יעקב - 13 כר'")</f>
        <v>דבר יעקב - 13 כר'</v>
      </c>
    </row>
    <row r="8026" spans="1:6" x14ac:dyDescent="0.2">
      <c r="A8026" t="s">
        <v>14145</v>
      </c>
      <c r="B8026" t="s">
        <v>14146</v>
      </c>
      <c r="C8026" t="s">
        <v>1619</v>
      </c>
      <c r="D8026" t="s">
        <v>21</v>
      </c>
      <c r="E8026" t="s">
        <v>119</v>
      </c>
      <c r="F8026" s="2" t="str">
        <f>HYPERLINK("http://www.otzar.org/book.asp?606833","דבר ירושלם")</f>
        <v>דבר ירושלם</v>
      </c>
    </row>
    <row r="8027" spans="1:6" x14ac:dyDescent="0.2">
      <c r="A8027" t="s">
        <v>14147</v>
      </c>
      <c r="B8027" t="s">
        <v>14148</v>
      </c>
      <c r="C8027" t="s">
        <v>3017</v>
      </c>
      <c r="D8027" t="s">
        <v>2295</v>
      </c>
      <c r="E8027" t="s">
        <v>435</v>
      </c>
      <c r="F8027" s="2" t="str">
        <f>HYPERLINK("http://www.otzar.org/book.asp?102879","דבר ישרים - 4 כר'")</f>
        <v>דבר ישרים - 4 כר'</v>
      </c>
    </row>
    <row r="8028" spans="1:6" x14ac:dyDescent="0.2">
      <c r="A8028" t="s">
        <v>14149</v>
      </c>
      <c r="B8028" t="s">
        <v>14150</v>
      </c>
      <c r="C8028" t="s">
        <v>37</v>
      </c>
      <c r="D8028" t="s">
        <v>90</v>
      </c>
      <c r="E8028" t="s">
        <v>1185</v>
      </c>
      <c r="F8028" s="2" t="str">
        <f>HYPERLINK("http://www.otzar.org/book.asp?176577","דבר כי שומע עבדך")</f>
        <v>דבר כי שומע עבדך</v>
      </c>
    </row>
    <row r="8029" spans="1:6" x14ac:dyDescent="0.2">
      <c r="A8029" t="s">
        <v>14151</v>
      </c>
      <c r="B8029" t="s">
        <v>14152</v>
      </c>
      <c r="C8029" t="s">
        <v>237</v>
      </c>
      <c r="D8029" t="s">
        <v>27</v>
      </c>
      <c r="E8029" t="s">
        <v>733</v>
      </c>
      <c r="F8029" s="2" t="str">
        <f>HYPERLINK("http://www.otzar.org/book.asp?189859","דבר לועידת המזרחי")</f>
        <v>דבר לועידת המזרחי</v>
      </c>
    </row>
    <row r="8030" spans="1:6" x14ac:dyDescent="0.2">
      <c r="A8030" t="s">
        <v>14153</v>
      </c>
      <c r="B8030" t="s">
        <v>4375</v>
      </c>
      <c r="C8030" t="s">
        <v>946</v>
      </c>
      <c r="D8030" t="s">
        <v>3293</v>
      </c>
      <c r="E8030" t="s">
        <v>1262</v>
      </c>
      <c r="F8030" s="2" t="str">
        <f>HYPERLINK("http://www.otzar.org/book.asp?51237","דבר ליעקב")</f>
        <v>דבר ליעקב</v>
      </c>
    </row>
    <row r="8031" spans="1:6" x14ac:dyDescent="0.2">
      <c r="A8031" t="s">
        <v>14154</v>
      </c>
      <c r="B8031" t="s">
        <v>14155</v>
      </c>
      <c r="C8031" t="s">
        <v>20</v>
      </c>
      <c r="D8031" t="s">
        <v>21</v>
      </c>
      <c r="E8031" t="s">
        <v>8079</v>
      </c>
      <c r="F8031" s="2" t="str">
        <f>HYPERLINK("http://www.otzar.org/book.asp?193084","דבר למועד - הל' פסח וספה""ע")</f>
        <v>דבר למועד - הל' פסח וספה"ע</v>
      </c>
    </row>
    <row r="8032" spans="1:6" x14ac:dyDescent="0.2">
      <c r="A8032" t="s">
        <v>14156</v>
      </c>
      <c r="B8032" t="s">
        <v>14157</v>
      </c>
      <c r="C8032" t="s">
        <v>366</v>
      </c>
      <c r="D8032" t="s">
        <v>147</v>
      </c>
      <c r="E8032" t="s">
        <v>246</v>
      </c>
      <c r="F8032" s="2" t="str">
        <f>HYPERLINK("http://www.otzar.org/book.asp?615517","דבר למועד")</f>
        <v>דבר למועד</v>
      </c>
    </row>
    <row r="8033" spans="1:6" x14ac:dyDescent="0.2">
      <c r="A8033" t="s">
        <v>14158</v>
      </c>
      <c r="B8033" t="s">
        <v>9187</v>
      </c>
      <c r="C8033" t="s">
        <v>553</v>
      </c>
      <c r="D8033" t="s">
        <v>52</v>
      </c>
      <c r="E8033" t="s">
        <v>148</v>
      </c>
      <c r="F8033" s="2" t="str">
        <f>HYPERLINK("http://www.otzar.org/book.asp?50313","דבר למשפט - מכירה")</f>
        <v>דבר למשפט - מכירה</v>
      </c>
    </row>
    <row r="8034" spans="1:6" x14ac:dyDescent="0.2">
      <c r="A8034" t="s">
        <v>14159</v>
      </c>
      <c r="B8034" t="s">
        <v>14160</v>
      </c>
      <c r="C8034" t="s">
        <v>445</v>
      </c>
      <c r="D8034" t="s">
        <v>1117</v>
      </c>
      <c r="E8034" t="s">
        <v>144</v>
      </c>
      <c r="F8034" s="2" t="str">
        <f>HYPERLINK("http://www.otzar.org/book.asp?104878","דבר מאיר")</f>
        <v>דבר מאיר</v>
      </c>
    </row>
    <row r="8035" spans="1:6" x14ac:dyDescent="0.2">
      <c r="A8035" t="s">
        <v>14161</v>
      </c>
      <c r="B8035" t="s">
        <v>14161</v>
      </c>
      <c r="C8035" t="s">
        <v>438</v>
      </c>
      <c r="D8035" t="s">
        <v>14</v>
      </c>
      <c r="E8035" t="s">
        <v>84</v>
      </c>
      <c r="F8035" s="2" t="str">
        <f>HYPERLINK("http://www.otzar.org/book.asp?12399","דבר מירושלים")</f>
        <v>דבר מירושלים</v>
      </c>
    </row>
    <row r="8036" spans="1:6" x14ac:dyDescent="0.2">
      <c r="A8036" t="s">
        <v>14162</v>
      </c>
      <c r="B8036" t="s">
        <v>14163</v>
      </c>
      <c r="C8036" t="s">
        <v>503</v>
      </c>
      <c r="D8036" t="s">
        <v>283</v>
      </c>
      <c r="E8036" t="s">
        <v>674</v>
      </c>
      <c r="F8036" s="2" t="str">
        <f>HYPERLINK("http://www.otzar.org/book.asp?22474","דבר מצוה")</f>
        <v>דבר מצוה</v>
      </c>
    </row>
    <row r="8037" spans="1:6" x14ac:dyDescent="0.2">
      <c r="A8037" t="s">
        <v>14164</v>
      </c>
      <c r="B8037" t="s">
        <v>14165</v>
      </c>
      <c r="C8037" t="s">
        <v>313</v>
      </c>
      <c r="D8037" t="s">
        <v>14</v>
      </c>
      <c r="F8037" s="2" t="str">
        <f>HYPERLINK("http://www.otzar.org/book.asp?609034","דבר מקרא")</f>
        <v>דבר מקרא</v>
      </c>
    </row>
    <row r="8038" spans="1:6" x14ac:dyDescent="0.2">
      <c r="A8038" t="s">
        <v>14166</v>
      </c>
      <c r="B8038" t="s">
        <v>14167</v>
      </c>
      <c r="C8038" t="s">
        <v>422</v>
      </c>
      <c r="D8038" t="s">
        <v>14</v>
      </c>
      <c r="E8038" t="s">
        <v>424</v>
      </c>
      <c r="F8038" s="2" t="str">
        <f>HYPERLINK("http://www.otzar.org/book.asp?85769","דבר מרדכי")</f>
        <v>דבר מרדכי</v>
      </c>
    </row>
    <row r="8039" spans="1:6" x14ac:dyDescent="0.2">
      <c r="A8039" t="s">
        <v>14168</v>
      </c>
      <c r="B8039" t="s">
        <v>14169</v>
      </c>
      <c r="C8039" t="s">
        <v>14170</v>
      </c>
      <c r="D8039" t="s">
        <v>76</v>
      </c>
      <c r="E8039" t="s">
        <v>154</v>
      </c>
      <c r="F8039" s="2" t="str">
        <f>HYPERLINK("http://www.otzar.org/book.asp?800","דבר משה - 3 כר'")</f>
        <v>דבר משה - 3 כר'</v>
      </c>
    </row>
    <row r="8040" spans="1:6" x14ac:dyDescent="0.2">
      <c r="A8040" t="s">
        <v>14171</v>
      </c>
      <c r="B8040" t="s">
        <v>14172</v>
      </c>
      <c r="C8040" t="s">
        <v>785</v>
      </c>
      <c r="D8040" t="s">
        <v>14</v>
      </c>
      <c r="E8040" t="s">
        <v>84</v>
      </c>
      <c r="F8040" s="2" t="str">
        <f>HYPERLINK("http://www.otzar.org/book.asp?22848","דבר משה - 19 כר'")</f>
        <v>דבר משה - 19 כר'</v>
      </c>
    </row>
    <row r="8041" spans="1:6" x14ac:dyDescent="0.2">
      <c r="A8041" t="s">
        <v>14173</v>
      </c>
      <c r="B8041" t="s">
        <v>2654</v>
      </c>
      <c r="C8041" t="s">
        <v>1844</v>
      </c>
      <c r="D8041" t="s">
        <v>267</v>
      </c>
      <c r="E8041" t="s">
        <v>154</v>
      </c>
      <c r="F8041" s="2" t="str">
        <f>HYPERLINK("http://www.otzar.org/book.asp?100872","דבר משה - 2 כר'")</f>
        <v>דבר משה - 2 כר'</v>
      </c>
    </row>
    <row r="8042" spans="1:6" x14ac:dyDescent="0.2">
      <c r="A8042" t="s">
        <v>14174</v>
      </c>
      <c r="B8042" t="s">
        <v>14175</v>
      </c>
      <c r="C8042" t="s">
        <v>13</v>
      </c>
      <c r="D8042" t="s">
        <v>52</v>
      </c>
      <c r="E8042" t="s">
        <v>172</v>
      </c>
      <c r="F8042" s="2" t="str">
        <f>HYPERLINK("http://www.otzar.org/book.asp?62116","דבר משולם - 3 כר'")</f>
        <v>דבר משולם - 3 כר'</v>
      </c>
    </row>
    <row r="8043" spans="1:6" x14ac:dyDescent="0.2">
      <c r="A8043" t="s">
        <v>14176</v>
      </c>
      <c r="B8043" t="s">
        <v>14177</v>
      </c>
      <c r="C8043" t="s">
        <v>51</v>
      </c>
      <c r="D8043" t="s">
        <v>14</v>
      </c>
      <c r="E8043" t="s">
        <v>148</v>
      </c>
      <c r="F8043" s="2" t="str">
        <f>HYPERLINK("http://www.otzar.org/book.asp?62883","דבר משנה")</f>
        <v>דבר משנה</v>
      </c>
    </row>
    <row r="8044" spans="1:6" x14ac:dyDescent="0.2">
      <c r="A8044" t="s">
        <v>14178</v>
      </c>
      <c r="B8044" t="s">
        <v>10750</v>
      </c>
      <c r="C8044" t="s">
        <v>17</v>
      </c>
      <c r="D8044" t="s">
        <v>1180</v>
      </c>
      <c r="E8044" t="s">
        <v>2840</v>
      </c>
      <c r="F8044" s="2" t="str">
        <f>HYPERLINK("http://www.otzar.org/book.asp?50314","דבר נאה ומתקבל")</f>
        <v>דבר נאה ומתקבל</v>
      </c>
    </row>
    <row r="8045" spans="1:6" x14ac:dyDescent="0.2">
      <c r="A8045" t="s">
        <v>14179</v>
      </c>
      <c r="B8045" t="s">
        <v>14180</v>
      </c>
      <c r="C8045" t="s">
        <v>1284</v>
      </c>
      <c r="D8045" t="s">
        <v>14</v>
      </c>
      <c r="E8045" t="s">
        <v>2054</v>
      </c>
      <c r="F8045" s="2" t="str">
        <f>HYPERLINK("http://www.otzar.org/book.asp?626423","דבר נאה")</f>
        <v>דבר נאה</v>
      </c>
    </row>
    <row r="8046" spans="1:6" x14ac:dyDescent="0.2">
      <c r="A8046" t="s">
        <v>14179</v>
      </c>
      <c r="B8046" t="s">
        <v>14181</v>
      </c>
      <c r="C8046" t="s">
        <v>6054</v>
      </c>
      <c r="D8046" t="s">
        <v>14182</v>
      </c>
      <c r="E8046" t="s">
        <v>144</v>
      </c>
      <c r="F8046" s="2" t="str">
        <f>HYPERLINK("http://www.otzar.org/book.asp?192245","דבר נאה")</f>
        <v>דבר נאה</v>
      </c>
    </row>
    <row r="8047" spans="1:6" x14ac:dyDescent="0.2">
      <c r="A8047" t="s">
        <v>14183</v>
      </c>
      <c r="B8047" t="s">
        <v>14184</v>
      </c>
      <c r="C8047" t="s">
        <v>63</v>
      </c>
      <c r="D8047" t="s">
        <v>14</v>
      </c>
      <c r="E8047" t="s">
        <v>3567</v>
      </c>
      <c r="F8047" s="2" t="str">
        <f>HYPERLINK("http://www.otzar.org/book.asp?8924","דבר סיני - 2 כר'")</f>
        <v>דבר סיני - 2 כר'</v>
      </c>
    </row>
    <row r="8048" spans="1:6" x14ac:dyDescent="0.2">
      <c r="A8048" t="s">
        <v>14185</v>
      </c>
      <c r="B8048" t="s">
        <v>8815</v>
      </c>
      <c r="C8048" t="s">
        <v>129</v>
      </c>
      <c r="D8048" t="s">
        <v>14</v>
      </c>
      <c r="E8048" t="s">
        <v>786</v>
      </c>
      <c r="F8048" s="2" t="str">
        <f>HYPERLINK("http://www.otzar.org/book.asp?52661","דבר סיני - 5 כר'")</f>
        <v>דבר סיני - 5 כר'</v>
      </c>
    </row>
    <row r="8049" spans="1:6" x14ac:dyDescent="0.2">
      <c r="A8049" t="s">
        <v>14186</v>
      </c>
      <c r="B8049" t="s">
        <v>11333</v>
      </c>
      <c r="C8049" t="s">
        <v>13</v>
      </c>
      <c r="D8049" t="s">
        <v>412</v>
      </c>
      <c r="E8049" t="s">
        <v>104</v>
      </c>
      <c r="F8049" s="2" t="str">
        <f>HYPERLINK("http://www.otzar.org/book.asp?172650","דבר צבי - 2 כר'")</f>
        <v>דבר צבי - 2 כר'</v>
      </c>
    </row>
    <row r="8050" spans="1:6" x14ac:dyDescent="0.2">
      <c r="A8050" t="s">
        <v>14187</v>
      </c>
      <c r="B8050" t="s">
        <v>14188</v>
      </c>
      <c r="C8050" t="s">
        <v>103</v>
      </c>
      <c r="D8050" t="s">
        <v>14</v>
      </c>
      <c r="E8050" t="s">
        <v>4779</v>
      </c>
      <c r="F8050" s="2" t="str">
        <f>HYPERLINK("http://www.otzar.org/book.asp?22743","דבר ציון")</f>
        <v>דבר ציון</v>
      </c>
    </row>
    <row r="8051" spans="1:6" x14ac:dyDescent="0.2">
      <c r="A8051" t="s">
        <v>14189</v>
      </c>
      <c r="B8051" t="s">
        <v>14190</v>
      </c>
      <c r="C8051" t="s">
        <v>103</v>
      </c>
      <c r="D8051" t="s">
        <v>14</v>
      </c>
      <c r="E8051" t="s">
        <v>144</v>
      </c>
      <c r="F8051" s="2" t="str">
        <f>HYPERLINK("http://www.otzar.org/book.asp?60994","דבר רפאל")</f>
        <v>דבר רפאל</v>
      </c>
    </row>
    <row r="8052" spans="1:6" x14ac:dyDescent="0.2">
      <c r="A8052" t="s">
        <v>14191</v>
      </c>
      <c r="B8052" t="s">
        <v>14192</v>
      </c>
      <c r="C8052" t="s">
        <v>143</v>
      </c>
      <c r="D8052" t="s">
        <v>27</v>
      </c>
      <c r="E8052" t="s">
        <v>154</v>
      </c>
      <c r="F8052" s="2" t="str">
        <f>HYPERLINK("http://www.otzar.org/book.asp?152377","דבר שאול &lt;מכון הכתב&gt;")</f>
        <v>דבר שאול &lt;מכון הכתב&gt;</v>
      </c>
    </row>
    <row r="8053" spans="1:6" x14ac:dyDescent="0.2">
      <c r="A8053" t="s">
        <v>14193</v>
      </c>
      <c r="B8053" t="s">
        <v>14194</v>
      </c>
      <c r="C8053" t="s">
        <v>23</v>
      </c>
      <c r="D8053" t="s">
        <v>52</v>
      </c>
      <c r="E8053" t="s">
        <v>3489</v>
      </c>
      <c r="F8053" s="2" t="str">
        <f>HYPERLINK("http://www.otzar.org/book.asp?600241","דבר שאול - 5 כר'")</f>
        <v>דבר שאול - 5 כר'</v>
      </c>
    </row>
    <row r="8054" spans="1:6" x14ac:dyDescent="0.2">
      <c r="A8054" t="s">
        <v>14195</v>
      </c>
      <c r="B8054" t="s">
        <v>14196</v>
      </c>
      <c r="C8054" t="s">
        <v>533</v>
      </c>
      <c r="D8054" t="s">
        <v>14</v>
      </c>
      <c r="E8054" t="s">
        <v>15</v>
      </c>
      <c r="F8054" s="2" t="str">
        <f>HYPERLINK("http://www.otzar.org/book.asp?50178","דבר שבמנין - 2 כר'")</f>
        <v>דבר שבמנין - 2 כר'</v>
      </c>
    </row>
    <row r="8055" spans="1:6" x14ac:dyDescent="0.2">
      <c r="A8055" t="s">
        <v>14197</v>
      </c>
      <c r="B8055" t="s">
        <v>14198</v>
      </c>
      <c r="C8055" t="s">
        <v>5154</v>
      </c>
      <c r="D8055" t="s">
        <v>5665</v>
      </c>
      <c r="F8055" s="2" t="str">
        <f>HYPERLINK("http://www.otzar.org/book.asp?170146","דבר שבקדושה - 3 כר'")</f>
        <v>דבר שבקדושה - 3 כר'</v>
      </c>
    </row>
    <row r="8056" spans="1:6" x14ac:dyDescent="0.2">
      <c r="A8056" t="s">
        <v>14199</v>
      </c>
      <c r="B8056" t="s">
        <v>14200</v>
      </c>
      <c r="C8056" t="s">
        <v>103</v>
      </c>
      <c r="D8056" t="s">
        <v>14</v>
      </c>
      <c r="E8056" t="s">
        <v>144</v>
      </c>
      <c r="F8056" s="2" t="str">
        <f>HYPERLINK("http://www.otzar.org/book.asp?24937","דבר שלום - 13 כר'")</f>
        <v>דבר שלום - 13 כר'</v>
      </c>
    </row>
    <row r="8057" spans="1:6" x14ac:dyDescent="0.2">
      <c r="A8057" t="s">
        <v>14201</v>
      </c>
      <c r="B8057" t="s">
        <v>3292</v>
      </c>
      <c r="C8057" t="s">
        <v>581</v>
      </c>
      <c r="D8057" t="s">
        <v>14202</v>
      </c>
      <c r="E8057" t="s">
        <v>234</v>
      </c>
      <c r="F8057" s="2" t="str">
        <f>HYPERLINK("http://www.otzar.org/book.asp?108215","דבר שלום")</f>
        <v>דבר שלום</v>
      </c>
    </row>
    <row r="8058" spans="1:6" x14ac:dyDescent="0.2">
      <c r="A8058" t="s">
        <v>14203</v>
      </c>
      <c r="B8058" t="s">
        <v>14204</v>
      </c>
      <c r="C8058" t="s">
        <v>619</v>
      </c>
      <c r="D8058" t="s">
        <v>260</v>
      </c>
      <c r="E8058" t="s">
        <v>14205</v>
      </c>
      <c r="F8058" s="2" t="str">
        <f>HYPERLINK("http://www.otzar.org/book.asp?102929","דבר שלמה")</f>
        <v>דבר שלמה</v>
      </c>
    </row>
    <row r="8059" spans="1:6" x14ac:dyDescent="0.2">
      <c r="A8059" t="s">
        <v>14206</v>
      </c>
      <c r="B8059" t="s">
        <v>14207</v>
      </c>
      <c r="C8059" t="s">
        <v>51</v>
      </c>
      <c r="D8059" t="s">
        <v>14</v>
      </c>
      <c r="E8059" t="s">
        <v>144</v>
      </c>
      <c r="F8059" s="2" t="str">
        <f>HYPERLINK("http://www.otzar.org/book.asp?83726","דבר שלמה - 2 כר'")</f>
        <v>דבר שלמה - 2 כר'</v>
      </c>
    </row>
    <row r="8060" spans="1:6" x14ac:dyDescent="0.2">
      <c r="A8060" t="s">
        <v>14206</v>
      </c>
      <c r="B8060" t="s">
        <v>14208</v>
      </c>
      <c r="C8060" t="s">
        <v>411</v>
      </c>
      <c r="D8060" t="s">
        <v>52</v>
      </c>
      <c r="F8060" s="2" t="str">
        <f>HYPERLINK("http://www.otzar.org/book.asp?169765","דבר שלמה - 2 כר'")</f>
        <v>דבר שלמה - 2 כר'</v>
      </c>
    </row>
    <row r="8061" spans="1:6" x14ac:dyDescent="0.2">
      <c r="A8061" t="s">
        <v>14203</v>
      </c>
      <c r="B8061" t="s">
        <v>12739</v>
      </c>
      <c r="C8061" t="s">
        <v>71</v>
      </c>
      <c r="D8061" t="s">
        <v>52</v>
      </c>
      <c r="E8061" t="s">
        <v>158</v>
      </c>
      <c r="F8061" s="2" t="str">
        <f>HYPERLINK("http://www.otzar.org/book.asp?163862","דבר שלמה")</f>
        <v>דבר שלמה</v>
      </c>
    </row>
    <row r="8062" spans="1:6" x14ac:dyDescent="0.2">
      <c r="A8062" t="s">
        <v>14209</v>
      </c>
      <c r="B8062" t="s">
        <v>14210</v>
      </c>
      <c r="C8062" t="s">
        <v>4053</v>
      </c>
      <c r="D8062" t="s">
        <v>49</v>
      </c>
      <c r="E8062" t="s">
        <v>2509</v>
      </c>
      <c r="F8062" s="2" t="str">
        <f>HYPERLINK("http://www.otzar.org/book.asp?798","דבר שמואל")</f>
        <v>דבר שמואל</v>
      </c>
    </row>
    <row r="8063" spans="1:6" x14ac:dyDescent="0.2">
      <c r="A8063" t="s">
        <v>14211</v>
      </c>
      <c r="B8063" t="s">
        <v>14212</v>
      </c>
      <c r="C8063" t="s">
        <v>454</v>
      </c>
      <c r="D8063" t="s">
        <v>14</v>
      </c>
      <c r="E8063" t="s">
        <v>144</v>
      </c>
      <c r="F8063" s="2" t="str">
        <f>HYPERLINK("http://www.otzar.org/book.asp?158779","דבר שמואל - 4 כר'")</f>
        <v>דבר שמואל - 4 כר'</v>
      </c>
    </row>
    <row r="8064" spans="1:6" x14ac:dyDescent="0.2">
      <c r="A8064" t="s">
        <v>14209</v>
      </c>
      <c r="B8064" t="s">
        <v>14213</v>
      </c>
      <c r="C8064" t="s">
        <v>2870</v>
      </c>
      <c r="D8064" t="s">
        <v>3293</v>
      </c>
      <c r="E8064" t="s">
        <v>234</v>
      </c>
      <c r="F8064" s="2" t="str">
        <f>HYPERLINK("http://www.otzar.org/book.asp?16003","דבר שמואל")</f>
        <v>דבר שמואל</v>
      </c>
    </row>
    <row r="8065" spans="1:6" x14ac:dyDescent="0.2">
      <c r="A8065" t="s">
        <v>14209</v>
      </c>
      <c r="B8065" t="s">
        <v>14214</v>
      </c>
      <c r="C8065" t="s">
        <v>1019</v>
      </c>
      <c r="D8065" t="s">
        <v>610</v>
      </c>
      <c r="E8065" t="s">
        <v>104</v>
      </c>
      <c r="F8065" s="2" t="str">
        <f>HYPERLINK("http://www.otzar.org/book.asp?188567","דבר שמואל")</f>
        <v>דבר שמואל</v>
      </c>
    </row>
    <row r="8066" spans="1:6" x14ac:dyDescent="0.2">
      <c r="A8066" t="s">
        <v>14209</v>
      </c>
      <c r="B8066" t="s">
        <v>14215</v>
      </c>
      <c r="C8066" t="s">
        <v>14216</v>
      </c>
      <c r="D8066" t="s">
        <v>49</v>
      </c>
      <c r="E8066" t="s">
        <v>158</v>
      </c>
      <c r="F8066" s="2" t="str">
        <f>HYPERLINK("http://www.otzar.org/book.asp?141069","דבר שמואל")</f>
        <v>דבר שמואל</v>
      </c>
    </row>
    <row r="8067" spans="1:6" x14ac:dyDescent="0.2">
      <c r="A8067" t="s">
        <v>14209</v>
      </c>
      <c r="B8067" t="s">
        <v>14217</v>
      </c>
      <c r="C8067" t="s">
        <v>20</v>
      </c>
      <c r="D8067" t="s">
        <v>9</v>
      </c>
      <c r="E8067" t="s">
        <v>154</v>
      </c>
      <c r="F8067" s="2" t="str">
        <f>HYPERLINK("http://www.otzar.org/book.asp?176835","דבר שמואל")</f>
        <v>דבר שמואל</v>
      </c>
    </row>
    <row r="8068" spans="1:6" x14ac:dyDescent="0.2">
      <c r="A8068" t="s">
        <v>14209</v>
      </c>
      <c r="B8068" t="s">
        <v>14218</v>
      </c>
      <c r="C8068" t="s">
        <v>1166</v>
      </c>
      <c r="D8068" t="s">
        <v>283</v>
      </c>
      <c r="E8068" t="s">
        <v>158</v>
      </c>
      <c r="F8068" s="2" t="str">
        <f>HYPERLINK("http://www.otzar.org/book.asp?188674","דבר שמואל")</f>
        <v>דבר שמואל</v>
      </c>
    </row>
    <row r="8069" spans="1:6" x14ac:dyDescent="0.2">
      <c r="A8069" t="s">
        <v>14209</v>
      </c>
      <c r="B8069" t="s">
        <v>14219</v>
      </c>
      <c r="C8069" t="s">
        <v>1721</v>
      </c>
      <c r="D8069" t="s">
        <v>327</v>
      </c>
      <c r="E8069" t="s">
        <v>234</v>
      </c>
      <c r="F8069" s="2" t="str">
        <f>HYPERLINK("http://www.otzar.org/book.asp?102930","דבר שמואל")</f>
        <v>דבר שמואל</v>
      </c>
    </row>
    <row r="8070" spans="1:6" x14ac:dyDescent="0.2">
      <c r="A8070" t="s">
        <v>14220</v>
      </c>
      <c r="B8070" t="s">
        <v>14221</v>
      </c>
      <c r="C8070" t="s">
        <v>13</v>
      </c>
      <c r="D8070" t="s">
        <v>52</v>
      </c>
      <c r="E8070" t="s">
        <v>674</v>
      </c>
      <c r="F8070" s="2" t="str">
        <f>HYPERLINK("http://www.otzar.org/book.asp?171927","דבר שמואל - 2 כר'")</f>
        <v>דבר שמואל - 2 כר'</v>
      </c>
    </row>
    <row r="8071" spans="1:6" x14ac:dyDescent="0.2">
      <c r="A8071" t="s">
        <v>14209</v>
      </c>
      <c r="B8071" t="s">
        <v>14222</v>
      </c>
      <c r="C8071" t="s">
        <v>1470</v>
      </c>
      <c r="D8071" t="s">
        <v>6974</v>
      </c>
      <c r="E8071" t="s">
        <v>154</v>
      </c>
      <c r="F8071" s="2" t="str">
        <f>HYPERLINK("http://www.otzar.org/book.asp?26537","דבר שמואל")</f>
        <v>דבר שמואל</v>
      </c>
    </row>
    <row r="8072" spans="1:6" x14ac:dyDescent="0.2">
      <c r="A8072" t="s">
        <v>14209</v>
      </c>
      <c r="B8072" t="s">
        <v>14223</v>
      </c>
      <c r="C8072" t="s">
        <v>151</v>
      </c>
      <c r="D8072" t="s">
        <v>20</v>
      </c>
      <c r="F8072" s="2" t="str">
        <f>HYPERLINK("http://www.otzar.org/book.asp?616216","דבר שמואל")</f>
        <v>דבר שמואל</v>
      </c>
    </row>
    <row r="8073" spans="1:6" x14ac:dyDescent="0.2">
      <c r="A8073" t="s">
        <v>14224</v>
      </c>
      <c r="B8073" t="s">
        <v>14225</v>
      </c>
      <c r="C8073" t="s">
        <v>1663</v>
      </c>
      <c r="D8073" t="s">
        <v>80</v>
      </c>
      <c r="E8073" t="s">
        <v>1072</v>
      </c>
      <c r="F8073" s="2" t="str">
        <f>HYPERLINK("http://www.otzar.org/book.asp?13708","דבר שמועה")</f>
        <v>דבר שמועה</v>
      </c>
    </row>
    <row r="8074" spans="1:6" x14ac:dyDescent="0.2">
      <c r="A8074" t="s">
        <v>14226</v>
      </c>
      <c r="B8074" t="s">
        <v>4174</v>
      </c>
      <c r="C8074" t="s">
        <v>114</v>
      </c>
      <c r="D8074" t="s">
        <v>14</v>
      </c>
      <c r="F8074" s="2" t="str">
        <f>HYPERLINK("http://www.otzar.org/book.asp?622936","דבר תורה לשלחן שבת - תשע""א")</f>
        <v>דבר תורה לשלחן שבת - תשע"א</v>
      </c>
    </row>
    <row r="8075" spans="1:6" x14ac:dyDescent="0.2">
      <c r="A8075" t="s">
        <v>14227</v>
      </c>
      <c r="B8075" t="s">
        <v>3384</v>
      </c>
      <c r="C8075" t="s">
        <v>68</v>
      </c>
      <c r="D8075" t="s">
        <v>14</v>
      </c>
      <c r="E8075" t="s">
        <v>2135</v>
      </c>
      <c r="F8075" s="2" t="str">
        <f>HYPERLINK("http://www.otzar.org/book.asp?159679","דבר תורה על השלחן")</f>
        <v>דבר תורה על השלחן</v>
      </c>
    </row>
    <row r="8076" spans="1:6" x14ac:dyDescent="0.2">
      <c r="A8076" t="s">
        <v>14228</v>
      </c>
      <c r="B8076" t="s">
        <v>410</v>
      </c>
      <c r="C8076" t="s">
        <v>146</v>
      </c>
      <c r="D8076" t="s">
        <v>412</v>
      </c>
      <c r="E8076" t="s">
        <v>158</v>
      </c>
      <c r="F8076" s="2" t="str">
        <f>HYPERLINK("http://www.otzar.org/book.asp?145595","דבר תורה - 2 כר'")</f>
        <v>דבר תורה - 2 כר'</v>
      </c>
    </row>
    <row r="8077" spans="1:6" x14ac:dyDescent="0.2">
      <c r="A8077" t="s">
        <v>14229</v>
      </c>
      <c r="B8077" t="s">
        <v>14230</v>
      </c>
      <c r="C8077" t="s">
        <v>244</v>
      </c>
      <c r="D8077" t="s">
        <v>216</v>
      </c>
      <c r="E8077" t="s">
        <v>1164</v>
      </c>
      <c r="F8077" s="2" t="str">
        <f>HYPERLINK("http://www.otzar.org/book.asp?626749","דברו על לב ירושלים")</f>
        <v>דברו על לב ירושלים</v>
      </c>
    </row>
    <row r="8078" spans="1:6" x14ac:dyDescent="0.2">
      <c r="A8078" t="s">
        <v>14229</v>
      </c>
      <c r="B8078" t="s">
        <v>4977</v>
      </c>
      <c r="C8078" t="s">
        <v>20</v>
      </c>
      <c r="D8078" t="s">
        <v>14</v>
      </c>
      <c r="E8078" t="s">
        <v>104</v>
      </c>
      <c r="F8078" s="2" t="str">
        <f>HYPERLINK("http://www.otzar.org/book.asp?153418","דברו על לב ירושלים")</f>
        <v>דברו על לב ירושלים</v>
      </c>
    </row>
    <row r="8079" spans="1:6" x14ac:dyDescent="0.2">
      <c r="A8079" t="s">
        <v>14231</v>
      </c>
      <c r="B8079" t="s">
        <v>3113</v>
      </c>
      <c r="C8079" t="s">
        <v>8</v>
      </c>
      <c r="D8079" t="s">
        <v>9</v>
      </c>
      <c r="E8079" t="s">
        <v>234</v>
      </c>
      <c r="F8079" s="2" t="str">
        <f>HYPERLINK("http://www.otzar.org/book.asp?51045","דברו על לב")</f>
        <v>דברו על לב</v>
      </c>
    </row>
    <row r="8080" spans="1:6" x14ac:dyDescent="0.2">
      <c r="A8080" t="s">
        <v>14232</v>
      </c>
      <c r="B8080" t="s">
        <v>14233</v>
      </c>
      <c r="C8080" t="s">
        <v>422</v>
      </c>
      <c r="D8080" t="s">
        <v>14</v>
      </c>
      <c r="E8080" t="s">
        <v>144</v>
      </c>
      <c r="F8080" s="2" t="str">
        <f>HYPERLINK("http://www.otzar.org/book.asp?85619","דברות אברהם - 2 כר'")</f>
        <v>דברות אברהם - 2 כר'</v>
      </c>
    </row>
    <row r="8081" spans="1:6" x14ac:dyDescent="0.2">
      <c r="A8081" t="s">
        <v>14232</v>
      </c>
      <c r="B8081" t="s">
        <v>14234</v>
      </c>
      <c r="C8081" t="s">
        <v>17</v>
      </c>
      <c r="D8081" t="s">
        <v>52</v>
      </c>
      <c r="E8081" t="s">
        <v>144</v>
      </c>
      <c r="F8081" s="2" t="str">
        <f>HYPERLINK("http://www.otzar.org/book.asp?63648","דברות אברהם - 2 כר'")</f>
        <v>דברות אברהם - 2 כר'</v>
      </c>
    </row>
    <row r="8082" spans="1:6" x14ac:dyDescent="0.2">
      <c r="A8082" t="s">
        <v>14232</v>
      </c>
      <c r="B8082" t="s">
        <v>12426</v>
      </c>
      <c r="C8082" t="s">
        <v>585</v>
      </c>
      <c r="D8082" t="s">
        <v>52</v>
      </c>
      <c r="E8082" t="s">
        <v>144</v>
      </c>
      <c r="F8082" s="2" t="str">
        <f>HYPERLINK("http://www.otzar.org/book.asp?63782","דברות אברהם - 2 כר'")</f>
        <v>דברות אברהם - 2 כר'</v>
      </c>
    </row>
    <row r="8083" spans="1:6" x14ac:dyDescent="0.2">
      <c r="A8083" t="s">
        <v>14235</v>
      </c>
      <c r="B8083" t="s">
        <v>14236</v>
      </c>
      <c r="C8083" t="s">
        <v>244</v>
      </c>
      <c r="D8083" t="s">
        <v>21</v>
      </c>
      <c r="E8083" t="s">
        <v>144</v>
      </c>
      <c r="F8083" s="2" t="str">
        <f>HYPERLINK("http://www.otzar.org/book.asp?600937","דברות אהרן - סוכה")</f>
        <v>דברות אהרן - סוכה</v>
      </c>
    </row>
    <row r="8084" spans="1:6" x14ac:dyDescent="0.2">
      <c r="A8084" t="s">
        <v>14237</v>
      </c>
      <c r="B8084" t="s">
        <v>14238</v>
      </c>
      <c r="C8084" t="s">
        <v>989</v>
      </c>
      <c r="D8084" t="s">
        <v>14</v>
      </c>
      <c r="E8084" t="s">
        <v>144</v>
      </c>
      <c r="F8084" s="2" t="str">
        <f>HYPERLINK("http://www.otzar.org/book.asp?61101","דברות אליהו - 10 כר'")</f>
        <v>דברות אליהו - 10 כר'</v>
      </c>
    </row>
    <row r="8085" spans="1:6" x14ac:dyDescent="0.2">
      <c r="A8085" t="s">
        <v>14239</v>
      </c>
      <c r="B8085" t="s">
        <v>1838</v>
      </c>
      <c r="C8085" t="s">
        <v>114</v>
      </c>
      <c r="D8085" t="s">
        <v>14</v>
      </c>
      <c r="F8085" s="2" t="str">
        <f>HYPERLINK("http://www.otzar.org/book.asp?194242","דברות אליהו - 3 כר'")</f>
        <v>דברות אליהו - 3 כר'</v>
      </c>
    </row>
    <row r="8086" spans="1:6" x14ac:dyDescent="0.2">
      <c r="A8086" t="s">
        <v>14240</v>
      </c>
      <c r="B8086" t="s">
        <v>14241</v>
      </c>
      <c r="C8086" t="s">
        <v>313</v>
      </c>
      <c r="D8086" t="s">
        <v>14</v>
      </c>
      <c r="E8086" t="s">
        <v>158</v>
      </c>
      <c r="F8086" s="2" t="str">
        <f>HYPERLINK("http://www.otzar.org/book.asp?51258","דברות אליהו - 2 כר'")</f>
        <v>דברות אליהו - 2 כר'</v>
      </c>
    </row>
    <row r="8087" spans="1:6" x14ac:dyDescent="0.2">
      <c r="A8087" t="s">
        <v>14242</v>
      </c>
      <c r="B8087" t="s">
        <v>14243</v>
      </c>
      <c r="C8087" t="s">
        <v>411</v>
      </c>
      <c r="D8087" t="s">
        <v>52</v>
      </c>
      <c r="F8087" s="2" t="str">
        <f>HYPERLINK("http://www.otzar.org/book.asp?165447","דברות אליעזר")</f>
        <v>דברות אליעזר</v>
      </c>
    </row>
    <row r="8088" spans="1:6" x14ac:dyDescent="0.2">
      <c r="A8088" t="s">
        <v>14244</v>
      </c>
      <c r="B8088" t="s">
        <v>14245</v>
      </c>
      <c r="C8088" t="s">
        <v>313</v>
      </c>
      <c r="D8088" t="s">
        <v>52</v>
      </c>
      <c r="E8088" t="s">
        <v>144</v>
      </c>
      <c r="F8088" s="2" t="str">
        <f>HYPERLINK("http://www.otzar.org/book.asp?151225","דברות אריאל - 6 כר'")</f>
        <v>דברות אריאל - 6 כר'</v>
      </c>
    </row>
    <row r="8089" spans="1:6" x14ac:dyDescent="0.2">
      <c r="A8089" t="s">
        <v>14246</v>
      </c>
      <c r="B8089" t="s">
        <v>14247</v>
      </c>
      <c r="C8089" t="s">
        <v>244</v>
      </c>
      <c r="D8089" t="s">
        <v>90</v>
      </c>
      <c r="E8089" t="s">
        <v>144</v>
      </c>
      <c r="F8089" s="2" t="str">
        <f>HYPERLINK("http://www.otzar.org/book.asp?620418","דברות אש - נדרים")</f>
        <v>דברות אש - נדרים</v>
      </c>
    </row>
    <row r="8090" spans="1:6" x14ac:dyDescent="0.2">
      <c r="A8090" t="s">
        <v>14248</v>
      </c>
      <c r="B8090" t="s">
        <v>14249</v>
      </c>
      <c r="C8090" t="s">
        <v>51</v>
      </c>
      <c r="D8090" t="s">
        <v>52</v>
      </c>
      <c r="E8090" t="s">
        <v>84</v>
      </c>
      <c r="F8090" s="2" t="str">
        <f>HYPERLINK("http://www.otzar.org/book.asp?152267","דברות אש - אהלות א")</f>
        <v>דברות אש - אהלות א</v>
      </c>
    </row>
    <row r="8091" spans="1:6" x14ac:dyDescent="0.2">
      <c r="A8091" t="s">
        <v>14250</v>
      </c>
      <c r="B8091" t="s">
        <v>14251</v>
      </c>
      <c r="C8091" t="s">
        <v>366</v>
      </c>
      <c r="D8091" t="s">
        <v>52</v>
      </c>
      <c r="E8091" t="s">
        <v>158</v>
      </c>
      <c r="F8091" s="2" t="str">
        <f>HYPERLINK("http://www.otzar.org/book.asp?613927","דברות אש - 4 כר'")</f>
        <v>דברות אש - 4 כר'</v>
      </c>
    </row>
    <row r="8092" spans="1:6" x14ac:dyDescent="0.2">
      <c r="A8092" t="s">
        <v>14252</v>
      </c>
      <c r="B8092" t="s">
        <v>14253</v>
      </c>
      <c r="C8092" t="s">
        <v>775</v>
      </c>
      <c r="D8092" t="s">
        <v>14</v>
      </c>
      <c r="E8092" t="s">
        <v>4779</v>
      </c>
      <c r="F8092" s="2" t="str">
        <f>HYPERLINK("http://www.otzar.org/book.asp?61827","דברות חיים - 2 כר'")</f>
        <v>דברות חיים - 2 כר'</v>
      </c>
    </row>
    <row r="8093" spans="1:6" x14ac:dyDescent="0.2">
      <c r="A8093" t="s">
        <v>14252</v>
      </c>
      <c r="B8093" t="s">
        <v>14254</v>
      </c>
      <c r="C8093" t="s">
        <v>176</v>
      </c>
      <c r="D8093" t="s">
        <v>1076</v>
      </c>
      <c r="F8093" s="2" t="str">
        <f>HYPERLINK("http://www.otzar.org/book.asp?622462","דברות חיים - 2 כר'")</f>
        <v>דברות חיים - 2 כר'</v>
      </c>
    </row>
    <row r="8094" spans="1:6" x14ac:dyDescent="0.2">
      <c r="A8094" t="s">
        <v>14255</v>
      </c>
      <c r="B8094" t="s">
        <v>14256</v>
      </c>
      <c r="C8094" t="s">
        <v>23</v>
      </c>
      <c r="D8094" t="s">
        <v>14</v>
      </c>
      <c r="E8094" t="s">
        <v>14257</v>
      </c>
      <c r="F8094" s="2" t="str">
        <f>HYPERLINK("http://www.otzar.org/book.asp?196636","דברות חיים - בית שמחת עולם")</f>
        <v>דברות חיים - בית שמחת עולם</v>
      </c>
    </row>
    <row r="8095" spans="1:6" x14ac:dyDescent="0.2">
      <c r="A8095" t="s">
        <v>14258</v>
      </c>
      <c r="B8095" t="s">
        <v>14259</v>
      </c>
      <c r="C8095" t="s">
        <v>23</v>
      </c>
      <c r="D8095" t="s">
        <v>152</v>
      </c>
      <c r="E8095" t="s">
        <v>15</v>
      </c>
      <c r="F8095" s="2" t="str">
        <f>HYPERLINK("http://www.otzar.org/book.asp?197234","דברות טהרה")</f>
        <v>דברות טהרה</v>
      </c>
    </row>
    <row r="8096" spans="1:6" x14ac:dyDescent="0.2">
      <c r="A8096" t="s">
        <v>14260</v>
      </c>
      <c r="B8096" t="s">
        <v>14261</v>
      </c>
      <c r="C8096" t="s">
        <v>13</v>
      </c>
      <c r="D8096" t="s">
        <v>14</v>
      </c>
      <c r="E8096" t="s">
        <v>144</v>
      </c>
      <c r="F8096" s="2" t="str">
        <f>HYPERLINK("http://www.otzar.org/book.asp?161272","דברות יוסף - 3 כר'")</f>
        <v>דברות יוסף - 3 כר'</v>
      </c>
    </row>
    <row r="8097" spans="1:6" x14ac:dyDescent="0.2">
      <c r="A8097" t="s">
        <v>14262</v>
      </c>
      <c r="B8097" t="s">
        <v>14263</v>
      </c>
      <c r="C8097" t="s">
        <v>313</v>
      </c>
      <c r="D8097" t="s">
        <v>52</v>
      </c>
      <c r="E8097" t="s">
        <v>588</v>
      </c>
      <c r="F8097" s="2" t="str">
        <f>HYPERLINK("http://www.otzar.org/book.asp?22565","דברות יעקב - 5 כר'")</f>
        <v>דברות יעקב - 5 כר'</v>
      </c>
    </row>
    <row r="8098" spans="1:6" x14ac:dyDescent="0.2">
      <c r="A8098" t="s">
        <v>14264</v>
      </c>
      <c r="B8098" t="s">
        <v>14265</v>
      </c>
      <c r="C8098" t="s">
        <v>37</v>
      </c>
      <c r="D8098" t="s">
        <v>14</v>
      </c>
      <c r="E8098" t="s">
        <v>15</v>
      </c>
      <c r="F8098" s="2" t="str">
        <f>HYPERLINK("http://www.otzar.org/book.asp?182618","דברות מנחם - 2 כר'")</f>
        <v>דברות מנחם - 2 כר'</v>
      </c>
    </row>
    <row r="8099" spans="1:6" x14ac:dyDescent="0.2">
      <c r="A8099" t="s">
        <v>14266</v>
      </c>
      <c r="B8099" t="s">
        <v>14267</v>
      </c>
      <c r="C8099" t="s">
        <v>37</v>
      </c>
      <c r="D8099" t="s">
        <v>152</v>
      </c>
      <c r="E8099" t="s">
        <v>15</v>
      </c>
      <c r="F8099" s="2" t="str">
        <f>HYPERLINK("http://www.otzar.org/book.asp?188543","דברות מרדכי - 3 כר'")</f>
        <v>דברות מרדכי - 3 כר'</v>
      </c>
    </row>
    <row r="8100" spans="1:6" x14ac:dyDescent="0.2">
      <c r="A8100" t="s">
        <v>14268</v>
      </c>
      <c r="B8100" t="s">
        <v>14269</v>
      </c>
      <c r="C8100" t="s">
        <v>422</v>
      </c>
      <c r="D8100" t="s">
        <v>52</v>
      </c>
      <c r="E8100" t="s">
        <v>154</v>
      </c>
      <c r="F8100" s="2" t="str">
        <f>HYPERLINK("http://www.otzar.org/book.asp?63995","דברות משה - 2 כר'")</f>
        <v>דברות משה - 2 כר'</v>
      </c>
    </row>
    <row r="8101" spans="1:6" x14ac:dyDescent="0.2">
      <c r="A8101" t="s">
        <v>14270</v>
      </c>
      <c r="B8101" t="s">
        <v>1358</v>
      </c>
      <c r="C8101" t="s">
        <v>87</v>
      </c>
      <c r="D8101" t="s">
        <v>9</v>
      </c>
      <c r="E8101" t="s">
        <v>144</v>
      </c>
      <c r="F8101" s="2" t="str">
        <f>HYPERLINK("http://www.otzar.org/book.asp?21529","דברות משה - 23 כר'")</f>
        <v>דברות משה - 23 כר'</v>
      </c>
    </row>
    <row r="8102" spans="1:6" x14ac:dyDescent="0.2">
      <c r="A8102" t="s">
        <v>14271</v>
      </c>
      <c r="B8102" t="s">
        <v>14272</v>
      </c>
      <c r="C8102" t="s">
        <v>51</v>
      </c>
      <c r="D8102" t="s">
        <v>14</v>
      </c>
      <c r="E8102" t="s">
        <v>4455</v>
      </c>
      <c r="F8102" s="2" t="str">
        <f>HYPERLINK("http://www.otzar.org/book.asp?23181","דברות צבי - 26 כר'")</f>
        <v>דברות צבי - 26 כר'</v>
      </c>
    </row>
    <row r="8103" spans="1:6" x14ac:dyDescent="0.2">
      <c r="A8103" t="s">
        <v>14273</v>
      </c>
      <c r="B8103" t="s">
        <v>9360</v>
      </c>
      <c r="C8103" t="s">
        <v>103</v>
      </c>
      <c r="D8103" t="s">
        <v>52</v>
      </c>
      <c r="E8103" t="s">
        <v>1103</v>
      </c>
      <c r="F8103" s="2" t="str">
        <f>HYPERLINK("http://www.otzar.org/book.asp?166327","דברי אבי""ב &lt;מהדורה חדשה&gt;")</f>
        <v>דברי אבי"ב &lt;מהדורה חדשה&gt;</v>
      </c>
    </row>
    <row r="8104" spans="1:6" x14ac:dyDescent="0.2">
      <c r="A8104" t="s">
        <v>14274</v>
      </c>
      <c r="B8104" t="s">
        <v>9360</v>
      </c>
      <c r="C8104" t="s">
        <v>581</v>
      </c>
      <c r="D8104" t="s">
        <v>283</v>
      </c>
      <c r="E8104" t="s">
        <v>14275</v>
      </c>
      <c r="F8104" s="2" t="str">
        <f>HYPERLINK("http://www.otzar.org/book.asp?10106","דברי אבי""ב")</f>
        <v>דברי אבי"ב</v>
      </c>
    </row>
    <row r="8105" spans="1:6" x14ac:dyDescent="0.2">
      <c r="A8105" t="s">
        <v>14276</v>
      </c>
      <c r="B8105" t="s">
        <v>14277</v>
      </c>
      <c r="C8105" t="s">
        <v>624</v>
      </c>
      <c r="D8105" t="s">
        <v>52</v>
      </c>
      <c r="E8105" t="s">
        <v>2071</v>
      </c>
      <c r="F8105" s="2" t="str">
        <f>HYPERLINK("http://www.otzar.org/book.asp?158740","דברי אברהם &lt;מהדורה חדשה&gt; - 2 כר'")</f>
        <v>דברי אברהם &lt;מהדורה חדשה&gt; - 2 כר'</v>
      </c>
    </row>
    <row r="8106" spans="1:6" x14ac:dyDescent="0.2">
      <c r="A8106" t="s">
        <v>14278</v>
      </c>
      <c r="B8106" t="s">
        <v>14279</v>
      </c>
      <c r="C8106" t="s">
        <v>2543</v>
      </c>
      <c r="D8106" t="s">
        <v>2313</v>
      </c>
      <c r="E8106" t="s">
        <v>14280</v>
      </c>
      <c r="F8106" s="2" t="str">
        <f>HYPERLINK("http://www.otzar.org/book.asp?102931","דברי אברהם")</f>
        <v>דברי אברהם</v>
      </c>
    </row>
    <row r="8107" spans="1:6" x14ac:dyDescent="0.2">
      <c r="A8107" t="s">
        <v>14281</v>
      </c>
      <c r="B8107" t="s">
        <v>6053</v>
      </c>
      <c r="C8107" t="s">
        <v>14282</v>
      </c>
      <c r="D8107" t="s">
        <v>855</v>
      </c>
      <c r="E8107" t="s">
        <v>674</v>
      </c>
      <c r="F8107" s="2" t="str">
        <f>HYPERLINK("http://www.otzar.org/book.asp?51199","דברי אברהם - 2 כר'")</f>
        <v>דברי אברהם - 2 כר'</v>
      </c>
    </row>
    <row r="8108" spans="1:6" x14ac:dyDescent="0.2">
      <c r="A8108" t="s">
        <v>14278</v>
      </c>
      <c r="B8108" t="s">
        <v>6545</v>
      </c>
      <c r="C8108" t="s">
        <v>390</v>
      </c>
      <c r="D8108" t="s">
        <v>14283</v>
      </c>
      <c r="E8108" t="s">
        <v>154</v>
      </c>
      <c r="F8108" s="2" t="str">
        <f>HYPERLINK("http://www.otzar.org/book.asp?10939","דברי אברהם")</f>
        <v>דברי אברהם</v>
      </c>
    </row>
    <row r="8109" spans="1:6" x14ac:dyDescent="0.2">
      <c r="A8109" t="s">
        <v>14284</v>
      </c>
      <c r="B8109" t="s">
        <v>14285</v>
      </c>
      <c r="C8109" t="s">
        <v>14286</v>
      </c>
      <c r="D8109" t="s">
        <v>225</v>
      </c>
      <c r="E8109" t="s">
        <v>957</v>
      </c>
      <c r="F8109" s="2" t="str">
        <f>HYPERLINK("http://www.otzar.org/book.asp?102933","דברי אברהם - 5 כר'")</f>
        <v>דברי אברהם - 5 כר'</v>
      </c>
    </row>
    <row r="8110" spans="1:6" x14ac:dyDescent="0.2">
      <c r="A8110" t="s">
        <v>14278</v>
      </c>
      <c r="B8110" t="s">
        <v>14287</v>
      </c>
      <c r="C8110" t="s">
        <v>1166</v>
      </c>
      <c r="D8110" t="s">
        <v>283</v>
      </c>
      <c r="E8110" t="s">
        <v>508</v>
      </c>
      <c r="F8110" s="2" t="str">
        <f>HYPERLINK("http://www.otzar.org/book.asp?100792","דברי אברהם")</f>
        <v>דברי אברהם</v>
      </c>
    </row>
    <row r="8111" spans="1:6" x14ac:dyDescent="0.2">
      <c r="A8111" t="s">
        <v>14288</v>
      </c>
      <c r="B8111" t="s">
        <v>1059</v>
      </c>
      <c r="C8111" t="s">
        <v>26</v>
      </c>
      <c r="D8111" t="s">
        <v>14</v>
      </c>
      <c r="E8111" t="s">
        <v>803</v>
      </c>
      <c r="F8111" s="2" t="str">
        <f>HYPERLINK("http://www.otzar.org/book.asp?60074","דברי אברהם - 4 כר'")</f>
        <v>דברי אברהם - 4 כר'</v>
      </c>
    </row>
    <row r="8112" spans="1:6" x14ac:dyDescent="0.2">
      <c r="A8112" t="s">
        <v>14278</v>
      </c>
      <c r="B8112" t="s">
        <v>12208</v>
      </c>
      <c r="C8112" t="s">
        <v>14289</v>
      </c>
      <c r="D8112" t="s">
        <v>8024</v>
      </c>
      <c r="E8112" t="s">
        <v>1880</v>
      </c>
      <c r="F8112" s="2" t="str">
        <f>HYPERLINK("http://www.otzar.org/book.asp?173090","דברי אברהם")</f>
        <v>דברי אברהם</v>
      </c>
    </row>
    <row r="8113" spans="1:6" x14ac:dyDescent="0.2">
      <c r="A8113" t="s">
        <v>14290</v>
      </c>
      <c r="B8113" t="s">
        <v>14291</v>
      </c>
      <c r="C8113" t="s">
        <v>68</v>
      </c>
      <c r="D8113" t="s">
        <v>90</v>
      </c>
      <c r="F8113" s="2" t="str">
        <f>HYPERLINK("http://www.otzar.org/book.asp?153467","דברי אגדה ומוסר")</f>
        <v>דברי אגדה ומוסר</v>
      </c>
    </row>
    <row r="8114" spans="1:6" x14ac:dyDescent="0.2">
      <c r="A8114" t="s">
        <v>14292</v>
      </c>
      <c r="B8114" t="s">
        <v>14293</v>
      </c>
      <c r="C8114" t="s">
        <v>189</v>
      </c>
      <c r="D8114" t="s">
        <v>14</v>
      </c>
      <c r="F8114" s="2" t="str">
        <f>HYPERLINK("http://www.otzar.org/book.asp?611339","דברי אגדה")</f>
        <v>דברי אגדה</v>
      </c>
    </row>
    <row r="8115" spans="1:6" x14ac:dyDescent="0.2">
      <c r="A8115" t="s">
        <v>14292</v>
      </c>
      <c r="B8115" t="s">
        <v>14294</v>
      </c>
      <c r="C8115" t="s">
        <v>558</v>
      </c>
      <c r="D8115" t="s">
        <v>27</v>
      </c>
      <c r="E8115" t="s">
        <v>957</v>
      </c>
      <c r="F8115" s="2" t="str">
        <f>HYPERLINK("http://www.otzar.org/book.asp?7115","דברי אגדה")</f>
        <v>דברי אגדה</v>
      </c>
    </row>
    <row r="8116" spans="1:6" x14ac:dyDescent="0.2">
      <c r="A8116" t="s">
        <v>14295</v>
      </c>
      <c r="B8116" t="s">
        <v>14296</v>
      </c>
      <c r="C8116" t="s">
        <v>630</v>
      </c>
      <c r="D8116" t="s">
        <v>14297</v>
      </c>
      <c r="E8116" t="s">
        <v>10</v>
      </c>
      <c r="F8116" s="2" t="str">
        <f>HYPERLINK("http://www.otzar.org/book.asp?24189","דברי אגרת")</f>
        <v>דברי אגרת</v>
      </c>
    </row>
    <row r="8117" spans="1:6" x14ac:dyDescent="0.2">
      <c r="A8117" t="s">
        <v>14298</v>
      </c>
      <c r="B8117" t="s">
        <v>14299</v>
      </c>
      <c r="C8117" t="s">
        <v>1268</v>
      </c>
      <c r="D8117" t="s">
        <v>14</v>
      </c>
      <c r="E8117" t="s">
        <v>154</v>
      </c>
      <c r="F8117" s="2" t="str">
        <f>HYPERLINK("http://www.otzar.org/book.asp?149143","דברי אהרן")</f>
        <v>דברי אהרן</v>
      </c>
    </row>
    <row r="8118" spans="1:6" x14ac:dyDescent="0.2">
      <c r="A8118" t="s">
        <v>14298</v>
      </c>
      <c r="B8118" t="s">
        <v>14300</v>
      </c>
      <c r="C8118" t="s">
        <v>79</v>
      </c>
      <c r="D8118" t="s">
        <v>27</v>
      </c>
      <c r="E8118" t="s">
        <v>144</v>
      </c>
      <c r="F8118" s="2" t="str">
        <f>HYPERLINK("http://www.otzar.org/book.asp?9588","דברי אהרן")</f>
        <v>דברי אהרן</v>
      </c>
    </row>
    <row r="8119" spans="1:6" x14ac:dyDescent="0.2">
      <c r="A8119" t="s">
        <v>14301</v>
      </c>
      <c r="B8119" t="s">
        <v>11072</v>
      </c>
      <c r="C8119" t="s">
        <v>17</v>
      </c>
      <c r="D8119" t="s">
        <v>14</v>
      </c>
      <c r="F8119" s="2" t="str">
        <f>HYPERLINK("http://www.otzar.org/book.asp?156850","דברי אור - 4 כר'")</f>
        <v>דברי אור - 4 כר'</v>
      </c>
    </row>
    <row r="8120" spans="1:6" x14ac:dyDescent="0.2">
      <c r="A8120" t="s">
        <v>14302</v>
      </c>
      <c r="B8120" t="s">
        <v>14303</v>
      </c>
      <c r="C8120" t="s">
        <v>523</v>
      </c>
      <c r="D8120" t="s">
        <v>14</v>
      </c>
      <c r="E8120" t="s">
        <v>474</v>
      </c>
      <c r="F8120" s="2" t="str">
        <f>HYPERLINK("http://www.otzar.org/book.asp?144006","דברי אי""ש - 2 כר'")</f>
        <v>דברי אי"ש - 2 כר'</v>
      </c>
    </row>
    <row r="8121" spans="1:6" x14ac:dyDescent="0.2">
      <c r="A8121" t="s">
        <v>14304</v>
      </c>
      <c r="B8121" t="s">
        <v>14305</v>
      </c>
      <c r="C8121" t="s">
        <v>1640</v>
      </c>
      <c r="D8121" t="s">
        <v>412</v>
      </c>
      <c r="E8121" t="s">
        <v>15</v>
      </c>
      <c r="F8121" s="2" t="str">
        <f>HYPERLINK("http://www.otzar.org/book.asp?104080","דברי אליהו &lt;על הרמב""ם&gt; - 5 כר'")</f>
        <v>דברי אליהו &lt;על הרמב"ם&gt; - 5 כר'</v>
      </c>
    </row>
    <row r="8122" spans="1:6" x14ac:dyDescent="0.2">
      <c r="A8122" t="s">
        <v>14306</v>
      </c>
      <c r="B8122" t="s">
        <v>1956</v>
      </c>
      <c r="C8122" t="s">
        <v>237</v>
      </c>
      <c r="D8122" t="s">
        <v>9</v>
      </c>
      <c r="E8122" t="s">
        <v>241</v>
      </c>
      <c r="F8122" s="2" t="str">
        <f>HYPERLINK("http://www.otzar.org/book.asp?51214","דברי אליהו מרדכי")</f>
        <v>דברי אליהו מרדכי</v>
      </c>
    </row>
    <row r="8123" spans="1:6" x14ac:dyDescent="0.2">
      <c r="A8123" t="s">
        <v>14307</v>
      </c>
      <c r="B8123" t="s">
        <v>1821</v>
      </c>
      <c r="C8123" t="s">
        <v>609</v>
      </c>
      <c r="D8123" t="s">
        <v>56</v>
      </c>
      <c r="E8123" t="s">
        <v>11780</v>
      </c>
      <c r="F8123" s="2" t="str">
        <f>HYPERLINK("http://www.otzar.org/book.asp?14439","דברי אליהו")</f>
        <v>דברי אליהו</v>
      </c>
    </row>
    <row r="8124" spans="1:6" x14ac:dyDescent="0.2">
      <c r="A8124" t="s">
        <v>14308</v>
      </c>
      <c r="B8124" t="s">
        <v>14309</v>
      </c>
      <c r="C8124" t="s">
        <v>20</v>
      </c>
      <c r="D8124" t="s">
        <v>1646</v>
      </c>
      <c r="E8124" t="s">
        <v>463</v>
      </c>
      <c r="F8124" s="2" t="str">
        <f>HYPERLINK("http://www.otzar.org/book.asp?51920","דברי אליהו - 2 כר'")</f>
        <v>דברי אליהו - 2 כר'</v>
      </c>
    </row>
    <row r="8125" spans="1:6" x14ac:dyDescent="0.2">
      <c r="A8125" t="s">
        <v>14307</v>
      </c>
      <c r="B8125" t="s">
        <v>14310</v>
      </c>
      <c r="C8125" t="s">
        <v>23</v>
      </c>
      <c r="D8125" t="s">
        <v>1076</v>
      </c>
      <c r="F8125" s="2" t="str">
        <f>HYPERLINK("http://www.otzar.org/book.asp?617538","דברי אליהו")</f>
        <v>דברי אליהו</v>
      </c>
    </row>
    <row r="8126" spans="1:6" x14ac:dyDescent="0.2">
      <c r="A8126" t="s">
        <v>14308</v>
      </c>
      <c r="B8126" t="s">
        <v>14311</v>
      </c>
      <c r="C8126" t="s">
        <v>360</v>
      </c>
      <c r="D8126" t="s">
        <v>56</v>
      </c>
      <c r="E8126" t="s">
        <v>474</v>
      </c>
      <c r="F8126" s="2" t="str">
        <f>HYPERLINK("http://www.otzar.org/book.asp?624766","דברי אליהו - 2 כר'")</f>
        <v>דברי אליהו - 2 כר'</v>
      </c>
    </row>
    <row r="8127" spans="1:6" x14ac:dyDescent="0.2">
      <c r="A8127" t="s">
        <v>14312</v>
      </c>
      <c r="B8127" t="s">
        <v>14305</v>
      </c>
      <c r="C8127" t="s">
        <v>146</v>
      </c>
      <c r="D8127" t="s">
        <v>14</v>
      </c>
      <c r="E8127" t="s">
        <v>144</v>
      </c>
      <c r="F8127" s="2" t="str">
        <f>HYPERLINK("http://www.otzar.org/book.asp?60053","דברי אליהו - 7 כר'")</f>
        <v>דברי אליהו - 7 כר'</v>
      </c>
    </row>
    <row r="8128" spans="1:6" x14ac:dyDescent="0.2">
      <c r="A8128" t="s">
        <v>14307</v>
      </c>
      <c r="B8128" t="s">
        <v>14313</v>
      </c>
      <c r="C8128" t="s">
        <v>313</v>
      </c>
      <c r="D8128" t="s">
        <v>2196</v>
      </c>
      <c r="E8128" t="s">
        <v>2071</v>
      </c>
      <c r="F8128" s="2" t="str">
        <f>HYPERLINK("http://www.otzar.org/book.asp?159262","דברי אליהו")</f>
        <v>דברי אליהו</v>
      </c>
    </row>
    <row r="8129" spans="1:6" x14ac:dyDescent="0.2">
      <c r="A8129" t="s">
        <v>14314</v>
      </c>
      <c r="B8129" t="s">
        <v>14315</v>
      </c>
      <c r="C8129" t="s">
        <v>244</v>
      </c>
      <c r="D8129" t="s">
        <v>14</v>
      </c>
      <c r="E8129" t="s">
        <v>202</v>
      </c>
      <c r="F8129" s="2" t="str">
        <f>HYPERLINK("http://www.otzar.org/book.asp?627155","דברי אליהו - ו")</f>
        <v>דברי אליהו - ו</v>
      </c>
    </row>
    <row r="8130" spans="1:6" x14ac:dyDescent="0.2">
      <c r="A8130" t="s">
        <v>14307</v>
      </c>
      <c r="B8130" t="s">
        <v>14316</v>
      </c>
      <c r="C8130" t="s">
        <v>4705</v>
      </c>
      <c r="D8130" t="s">
        <v>1117</v>
      </c>
      <c r="E8130" t="s">
        <v>9557</v>
      </c>
      <c r="F8130" s="2" t="str">
        <f>HYPERLINK("http://www.otzar.org/book.asp?104032","דברי אליהו")</f>
        <v>דברי אליהו</v>
      </c>
    </row>
    <row r="8131" spans="1:6" x14ac:dyDescent="0.2">
      <c r="A8131" t="s">
        <v>14317</v>
      </c>
      <c r="B8131" t="s">
        <v>14318</v>
      </c>
      <c r="C8131" t="s">
        <v>114</v>
      </c>
      <c r="D8131" t="s">
        <v>423</v>
      </c>
      <c r="E8131" t="s">
        <v>144</v>
      </c>
      <c r="F8131" s="2" t="str">
        <f>HYPERLINK("http://www.otzar.org/book.asp?621656","דברי אליהו - 14 כר'")</f>
        <v>דברי אליהו - 14 כר'</v>
      </c>
    </row>
    <row r="8132" spans="1:6" x14ac:dyDescent="0.2">
      <c r="A8132" t="s">
        <v>14319</v>
      </c>
      <c r="B8132" t="s">
        <v>6155</v>
      </c>
      <c r="C8132" t="s">
        <v>9957</v>
      </c>
      <c r="D8132" t="s">
        <v>283</v>
      </c>
      <c r="E8132" t="s">
        <v>1185</v>
      </c>
      <c r="F8132" s="2" t="str">
        <f>HYPERLINK("http://www.otzar.org/book.asp?15768","דברי אלימלך - א ב")</f>
        <v>דברי אלימלך - א ב</v>
      </c>
    </row>
    <row r="8133" spans="1:6" x14ac:dyDescent="0.2">
      <c r="A8133" t="s">
        <v>14320</v>
      </c>
      <c r="B8133" t="s">
        <v>14321</v>
      </c>
      <c r="C8133" t="s">
        <v>366</v>
      </c>
      <c r="D8133" t="s">
        <v>2373</v>
      </c>
      <c r="E8133" t="s">
        <v>158</v>
      </c>
      <c r="F8133" s="2" t="str">
        <f>HYPERLINK("http://www.otzar.org/book.asp?609749","דברי אליעזר - 3 כר'")</f>
        <v>דברי אליעזר - 3 כר'</v>
      </c>
    </row>
    <row r="8134" spans="1:6" x14ac:dyDescent="0.2">
      <c r="A8134" t="s">
        <v>14322</v>
      </c>
      <c r="B8134" t="s">
        <v>14323</v>
      </c>
      <c r="C8134" t="s">
        <v>360</v>
      </c>
      <c r="D8134" t="s">
        <v>9</v>
      </c>
      <c r="E8134" t="s">
        <v>234</v>
      </c>
      <c r="F8134" s="2" t="str">
        <f>HYPERLINK("http://www.otzar.org/book.asp?102934","דברי אליעזר")</f>
        <v>דברי אליעזר</v>
      </c>
    </row>
    <row r="8135" spans="1:6" x14ac:dyDescent="0.2">
      <c r="A8135" t="s">
        <v>14324</v>
      </c>
      <c r="B8135" t="s">
        <v>14325</v>
      </c>
      <c r="C8135" t="s">
        <v>1268</v>
      </c>
      <c r="D8135" t="s">
        <v>14</v>
      </c>
      <c r="E8135" t="s">
        <v>158</v>
      </c>
      <c r="F8135" s="2" t="str">
        <f>HYPERLINK("http://www.otzar.org/book.asp?9576","דברי אליעזר - א")</f>
        <v>דברי אליעזר - א</v>
      </c>
    </row>
    <row r="8136" spans="1:6" x14ac:dyDescent="0.2">
      <c r="A8136" t="s">
        <v>14326</v>
      </c>
      <c r="B8136" t="s">
        <v>14327</v>
      </c>
      <c r="C8136" t="s">
        <v>888</v>
      </c>
      <c r="D8136" t="s">
        <v>56</v>
      </c>
      <c r="E8136" t="s">
        <v>172</v>
      </c>
      <c r="F8136" s="2" t="str">
        <f>HYPERLINK("http://www.otzar.org/book.asp?17419","דברי אליעזר - 2 כר'")</f>
        <v>דברי אליעזר - 2 כר'</v>
      </c>
    </row>
    <row r="8137" spans="1:6" x14ac:dyDescent="0.2">
      <c r="A8137" t="s">
        <v>14326</v>
      </c>
      <c r="B8137" t="s">
        <v>14328</v>
      </c>
      <c r="C8137" t="s">
        <v>180</v>
      </c>
      <c r="D8137" t="s">
        <v>14</v>
      </c>
      <c r="E8137" t="s">
        <v>144</v>
      </c>
      <c r="F8137" s="2" t="str">
        <f>HYPERLINK("http://www.otzar.org/book.asp?150490","דברי אליעזר - 2 כר'")</f>
        <v>דברי אליעזר - 2 כר'</v>
      </c>
    </row>
    <row r="8138" spans="1:6" x14ac:dyDescent="0.2">
      <c r="A8138" t="s">
        <v>14326</v>
      </c>
      <c r="B8138" t="s">
        <v>14329</v>
      </c>
      <c r="C8138" t="s">
        <v>14330</v>
      </c>
      <c r="D8138" t="s">
        <v>14331</v>
      </c>
      <c r="F8138" s="2" t="str">
        <f>HYPERLINK("http://www.otzar.org/book.asp?21791","דברי אליעזר - 2 כר'")</f>
        <v>דברי אליעזר - 2 כר'</v>
      </c>
    </row>
    <row r="8139" spans="1:6" x14ac:dyDescent="0.2">
      <c r="A8139" t="s">
        <v>14332</v>
      </c>
      <c r="B8139" t="s">
        <v>2861</v>
      </c>
      <c r="C8139" t="s">
        <v>422</v>
      </c>
      <c r="D8139" t="s">
        <v>52</v>
      </c>
      <c r="E8139" t="s">
        <v>158</v>
      </c>
      <c r="F8139" s="2" t="str">
        <f>HYPERLINK("http://www.otzar.org/book.asp?84668","דברי אלקים חיים - 13 כר'")</f>
        <v>דברי אלקים חיים - 13 כר'</v>
      </c>
    </row>
    <row r="8140" spans="1:6" x14ac:dyDescent="0.2">
      <c r="A8140" t="s">
        <v>14333</v>
      </c>
      <c r="B8140" t="s">
        <v>1295</v>
      </c>
      <c r="C8140" t="s">
        <v>20</v>
      </c>
      <c r="D8140" t="s">
        <v>412</v>
      </c>
      <c r="E8140" t="s">
        <v>158</v>
      </c>
      <c r="F8140" s="2" t="str">
        <f>HYPERLINK("http://www.otzar.org/book.asp?159719","דברי אמונה השלם - 2 כר'")</f>
        <v>דברי אמונה השלם - 2 כר'</v>
      </c>
    </row>
    <row r="8141" spans="1:6" x14ac:dyDescent="0.2">
      <c r="A8141" t="s">
        <v>14334</v>
      </c>
      <c r="B8141" t="s">
        <v>14335</v>
      </c>
      <c r="C8141" t="s">
        <v>14336</v>
      </c>
      <c r="D8141" t="s">
        <v>10557</v>
      </c>
      <c r="E8141" t="s">
        <v>144</v>
      </c>
      <c r="F8141" s="2" t="str">
        <f>HYPERLINK("http://www.otzar.org/book.asp?620651","דברי אמונה")</f>
        <v>דברי אמונה</v>
      </c>
    </row>
    <row r="8142" spans="1:6" x14ac:dyDescent="0.2">
      <c r="A8142" t="s">
        <v>14337</v>
      </c>
      <c r="B8142" t="s">
        <v>14338</v>
      </c>
      <c r="C8142" t="s">
        <v>37</v>
      </c>
      <c r="D8142" t="s">
        <v>14</v>
      </c>
      <c r="E8142" t="s">
        <v>84</v>
      </c>
      <c r="F8142" s="2" t="str">
        <f>HYPERLINK("http://www.otzar.org/book.asp?190231","דברי אמונה - 4 כר'")</f>
        <v>דברי אמונה - 4 כר'</v>
      </c>
    </row>
    <row r="8143" spans="1:6" x14ac:dyDescent="0.2">
      <c r="A8143" t="s">
        <v>14339</v>
      </c>
      <c r="B8143" t="s">
        <v>1295</v>
      </c>
      <c r="C8143" t="s">
        <v>1160</v>
      </c>
      <c r="D8143" t="s">
        <v>14</v>
      </c>
      <c r="E8143" t="s">
        <v>241</v>
      </c>
      <c r="F8143" s="2" t="str">
        <f>HYPERLINK("http://www.otzar.org/book.asp?151173","דברי אמונה - 5 כר'")</f>
        <v>דברי אמונה - 5 כר'</v>
      </c>
    </row>
    <row r="8144" spans="1:6" x14ac:dyDescent="0.2">
      <c r="A8144" t="s">
        <v>14340</v>
      </c>
      <c r="B8144" t="s">
        <v>14341</v>
      </c>
      <c r="C8144" t="s">
        <v>23</v>
      </c>
      <c r="D8144" t="s">
        <v>646</v>
      </c>
      <c r="E8144" t="s">
        <v>14342</v>
      </c>
      <c r="F8144" s="2" t="str">
        <f>HYPERLINK("http://www.otzar.org/book.asp?191245","דברי אמת &lt;מהדורה חדשה&gt; - ילקוט דברי אמת")</f>
        <v>דברי אמת &lt;מהדורה חדשה&gt; - ילקוט דברי אמת</v>
      </c>
    </row>
    <row r="8145" spans="1:6" x14ac:dyDescent="0.2">
      <c r="A8145" t="s">
        <v>14343</v>
      </c>
      <c r="B8145" t="s">
        <v>1417</v>
      </c>
      <c r="C8145" t="s">
        <v>279</v>
      </c>
      <c r="D8145" t="s">
        <v>42</v>
      </c>
      <c r="E8145" t="s">
        <v>674</v>
      </c>
      <c r="F8145" s="2" t="str">
        <f>HYPERLINK("http://www.otzar.org/book.asp?146878","דברי אמת ומשפט שלום")</f>
        <v>דברי אמת ומשפט שלום</v>
      </c>
    </row>
    <row r="8146" spans="1:6" x14ac:dyDescent="0.2">
      <c r="A8146" t="s">
        <v>14344</v>
      </c>
      <c r="B8146" t="s">
        <v>14345</v>
      </c>
      <c r="C8146" t="s">
        <v>1166</v>
      </c>
      <c r="D8146" t="s">
        <v>1467</v>
      </c>
      <c r="E8146" t="s">
        <v>104</v>
      </c>
      <c r="F8146" s="2" t="str">
        <f>HYPERLINK("http://www.otzar.org/book.asp?173396","דברי אמת וצדק")</f>
        <v>דברי אמת וצדק</v>
      </c>
    </row>
    <row r="8147" spans="1:6" x14ac:dyDescent="0.2">
      <c r="A8147" t="s">
        <v>14346</v>
      </c>
      <c r="B8147" t="s">
        <v>14347</v>
      </c>
      <c r="C8147" t="s">
        <v>360</v>
      </c>
      <c r="D8147" t="s">
        <v>2276</v>
      </c>
      <c r="E8147" t="s">
        <v>930</v>
      </c>
      <c r="F8147" s="2" t="str">
        <f>HYPERLINK("http://www.otzar.org/book.asp?22322","דברי אמת")</f>
        <v>דברי אמת</v>
      </c>
    </row>
    <row r="8148" spans="1:6" x14ac:dyDescent="0.2">
      <c r="A8148" t="s">
        <v>14348</v>
      </c>
      <c r="B8148" t="s">
        <v>7235</v>
      </c>
      <c r="C8148" t="s">
        <v>111</v>
      </c>
      <c r="D8148" t="s">
        <v>52</v>
      </c>
      <c r="E8148" t="s">
        <v>474</v>
      </c>
      <c r="F8148" s="2" t="str">
        <f>HYPERLINK("http://www.otzar.org/book.asp?620506","דברי אמת - מבקש ה' -להבות אש-מקדש ה'")</f>
        <v>דברי אמת - מבקש ה' -להבות אש-מקדש ה'</v>
      </c>
    </row>
    <row r="8149" spans="1:6" x14ac:dyDescent="0.2">
      <c r="A8149" t="s">
        <v>14349</v>
      </c>
      <c r="B8149" t="s">
        <v>718</v>
      </c>
      <c r="C8149" t="s">
        <v>8375</v>
      </c>
      <c r="D8149" t="s">
        <v>9748</v>
      </c>
      <c r="F8149" s="2" t="str">
        <f>HYPERLINK("http://www.otzar.org/book.asp?164933","דברי אמת - 4 כר'")</f>
        <v>דברי אמת - 4 כר'</v>
      </c>
    </row>
    <row r="8150" spans="1:6" x14ac:dyDescent="0.2">
      <c r="A8150" t="s">
        <v>14350</v>
      </c>
      <c r="B8150" t="s">
        <v>14351</v>
      </c>
      <c r="C8150" t="s">
        <v>14352</v>
      </c>
      <c r="D8150" t="s">
        <v>14353</v>
      </c>
      <c r="E8150" t="s">
        <v>154</v>
      </c>
      <c r="F8150" s="2" t="str">
        <f>HYPERLINK("http://www.otzar.org/book.asp?197063","דברי אמת - 2 כר'")</f>
        <v>דברי אמת - 2 כר'</v>
      </c>
    </row>
    <row r="8151" spans="1:6" x14ac:dyDescent="0.2">
      <c r="A8151" t="s">
        <v>14350</v>
      </c>
      <c r="B8151" t="s">
        <v>747</v>
      </c>
      <c r="C8151" t="s">
        <v>445</v>
      </c>
      <c r="D8151" t="s">
        <v>56</v>
      </c>
      <c r="E8151" t="s">
        <v>241</v>
      </c>
      <c r="F8151" s="2" t="str">
        <f>HYPERLINK("http://www.otzar.org/book.asp?16005","דברי אמת - 2 כר'")</f>
        <v>דברי אמת - 2 כר'</v>
      </c>
    </row>
    <row r="8152" spans="1:6" x14ac:dyDescent="0.2">
      <c r="A8152" t="s">
        <v>14354</v>
      </c>
      <c r="B8152" t="s">
        <v>14355</v>
      </c>
      <c r="C8152" t="s">
        <v>17</v>
      </c>
      <c r="D8152" t="s">
        <v>14</v>
      </c>
      <c r="E8152" t="s">
        <v>130</v>
      </c>
      <c r="F8152" s="2" t="str">
        <f>HYPERLINK("http://www.otzar.org/book.asp?197286","דברי אסף")</f>
        <v>דברי אסף</v>
      </c>
    </row>
    <row r="8153" spans="1:6" x14ac:dyDescent="0.2">
      <c r="A8153" t="s">
        <v>14356</v>
      </c>
      <c r="B8153" t="s">
        <v>7435</v>
      </c>
      <c r="C8153" t="s">
        <v>2617</v>
      </c>
      <c r="D8153" t="s">
        <v>60</v>
      </c>
      <c r="E8153" t="s">
        <v>2915</v>
      </c>
      <c r="F8153" s="2" t="str">
        <f>HYPERLINK("http://www.otzar.org/book.asp?15986","דברי אסתר")</f>
        <v>דברי אסתר</v>
      </c>
    </row>
    <row r="8154" spans="1:6" x14ac:dyDescent="0.2">
      <c r="A8154" t="s">
        <v>14357</v>
      </c>
      <c r="B8154" t="s">
        <v>686</v>
      </c>
      <c r="C8154" t="s">
        <v>244</v>
      </c>
      <c r="D8154" t="s">
        <v>80</v>
      </c>
      <c r="E8154" t="s">
        <v>158</v>
      </c>
      <c r="F8154" s="2" t="str">
        <f>HYPERLINK("http://www.otzar.org/book.asp?606755","דברי אסתר - פינחס - מטות")</f>
        <v>דברי אסתר - פינחס - מטות</v>
      </c>
    </row>
    <row r="8155" spans="1:6" x14ac:dyDescent="0.2">
      <c r="A8155" t="s">
        <v>14356</v>
      </c>
      <c r="B8155" t="s">
        <v>4789</v>
      </c>
      <c r="C8155" t="s">
        <v>14358</v>
      </c>
      <c r="D8155" t="s">
        <v>4791</v>
      </c>
      <c r="E8155" t="s">
        <v>230</v>
      </c>
      <c r="F8155" s="2" t="str">
        <f>HYPERLINK("http://www.otzar.org/book.asp?151676","דברי אסתר")</f>
        <v>דברי אסתר</v>
      </c>
    </row>
    <row r="8156" spans="1:6" x14ac:dyDescent="0.2">
      <c r="A8156" t="s">
        <v>14359</v>
      </c>
      <c r="B8156" t="s">
        <v>14360</v>
      </c>
      <c r="C8156" t="s">
        <v>533</v>
      </c>
      <c r="D8156" t="s">
        <v>412</v>
      </c>
      <c r="E8156" t="s">
        <v>154</v>
      </c>
      <c r="F8156" s="2" t="str">
        <f>HYPERLINK("http://www.otzar.org/book.asp?179659","דברי אפרים אליעזר")</f>
        <v>דברי אפרים אליעזר</v>
      </c>
    </row>
    <row r="8157" spans="1:6" x14ac:dyDescent="0.2">
      <c r="A8157" t="s">
        <v>14361</v>
      </c>
      <c r="B8157" t="s">
        <v>14362</v>
      </c>
      <c r="C8157" t="s">
        <v>237</v>
      </c>
      <c r="D8157" t="s">
        <v>9</v>
      </c>
      <c r="E8157" t="s">
        <v>10711</v>
      </c>
      <c r="F8157" s="2" t="str">
        <f>HYPERLINK("http://www.otzar.org/book.asp?13690","דברי אפרים")</f>
        <v>דברי אפרים</v>
      </c>
    </row>
    <row r="8158" spans="1:6" x14ac:dyDescent="0.2">
      <c r="A8158" t="s">
        <v>14363</v>
      </c>
      <c r="B8158" t="s">
        <v>14364</v>
      </c>
      <c r="C8158" t="s">
        <v>244</v>
      </c>
      <c r="D8158" t="s">
        <v>80</v>
      </c>
      <c r="E8158" t="s">
        <v>786</v>
      </c>
      <c r="F8158" s="2" t="str">
        <f>HYPERLINK("http://www.otzar.org/book.asp?601099","דברי אפרים - 3 כר'")</f>
        <v>דברי אפרים - 3 כר'</v>
      </c>
    </row>
    <row r="8159" spans="1:6" x14ac:dyDescent="0.2">
      <c r="A8159" t="s">
        <v>14361</v>
      </c>
      <c r="B8159" t="s">
        <v>14365</v>
      </c>
      <c r="C8159" t="s">
        <v>68</v>
      </c>
      <c r="D8159" t="s">
        <v>52</v>
      </c>
      <c r="E8159" t="s">
        <v>158</v>
      </c>
      <c r="F8159" s="2" t="str">
        <f>HYPERLINK("http://www.otzar.org/book.asp?175368","דברי אפרים")</f>
        <v>דברי אפרים</v>
      </c>
    </row>
    <row r="8160" spans="1:6" x14ac:dyDescent="0.2">
      <c r="A8160" t="s">
        <v>14366</v>
      </c>
      <c r="B8160" t="s">
        <v>14367</v>
      </c>
      <c r="C8160" t="s">
        <v>266</v>
      </c>
      <c r="D8160" t="s">
        <v>56</v>
      </c>
      <c r="E8160" t="s">
        <v>241</v>
      </c>
      <c r="F8160" s="2" t="str">
        <f>HYPERLINK("http://www.otzar.org/book.asp?189530","דברי אריה - 2 כר'")</f>
        <v>דברי אריה - 2 כר'</v>
      </c>
    </row>
    <row r="8161" spans="1:6" x14ac:dyDescent="0.2">
      <c r="A8161" t="s">
        <v>14368</v>
      </c>
      <c r="B8161" t="s">
        <v>14369</v>
      </c>
      <c r="C8161" t="s">
        <v>106</v>
      </c>
      <c r="D8161" t="s">
        <v>216</v>
      </c>
      <c r="F8161" s="2" t="str">
        <f>HYPERLINK("http://www.otzar.org/book.asp?621695","דברי אריה")</f>
        <v>דברי אריה</v>
      </c>
    </row>
    <row r="8162" spans="1:6" x14ac:dyDescent="0.2">
      <c r="A8162" t="s">
        <v>14368</v>
      </c>
      <c r="B8162" t="s">
        <v>14370</v>
      </c>
      <c r="C8162" t="s">
        <v>445</v>
      </c>
      <c r="D8162" t="s">
        <v>283</v>
      </c>
      <c r="E8162" t="s">
        <v>993</v>
      </c>
      <c r="F8162" s="2" t="str">
        <f>HYPERLINK("http://www.otzar.org/book.asp?149203","דברי אריה")</f>
        <v>דברי אריה</v>
      </c>
    </row>
    <row r="8163" spans="1:6" x14ac:dyDescent="0.2">
      <c r="A8163" t="s">
        <v>14371</v>
      </c>
      <c r="B8163" t="s">
        <v>9549</v>
      </c>
      <c r="C8163" t="s">
        <v>1169</v>
      </c>
      <c r="D8163" t="s">
        <v>14372</v>
      </c>
      <c r="E8163" t="s">
        <v>2098</v>
      </c>
      <c r="F8163" s="2" t="str">
        <f>HYPERLINK("http://www.otzar.org/book.asp?619954","דברי אשר")</f>
        <v>דברי אשר</v>
      </c>
    </row>
    <row r="8164" spans="1:6" x14ac:dyDescent="0.2">
      <c r="A8164" t="s">
        <v>14373</v>
      </c>
      <c r="B8164" t="s">
        <v>12198</v>
      </c>
      <c r="C8164" t="s">
        <v>1169</v>
      </c>
      <c r="D8164" t="s">
        <v>5050</v>
      </c>
      <c r="E8164" t="s">
        <v>226</v>
      </c>
      <c r="F8164" s="2" t="str">
        <f>HYPERLINK("http://www.otzar.org/book.asp?14273","דברי בוצינא קדישא ועמידא דנהורא")</f>
        <v>דברי בוצינא קדישא ועמידא דנהורא</v>
      </c>
    </row>
    <row r="8165" spans="1:6" x14ac:dyDescent="0.2">
      <c r="A8165" t="s">
        <v>14374</v>
      </c>
      <c r="B8165" t="s">
        <v>14375</v>
      </c>
      <c r="C8165" t="s">
        <v>989</v>
      </c>
      <c r="D8165" t="s">
        <v>216</v>
      </c>
      <c r="E8165" t="s">
        <v>579</v>
      </c>
      <c r="F8165" s="2" t="str">
        <f>HYPERLINK("http://www.otzar.org/book.asp?166447","דברי בינה ומוסר")</f>
        <v>דברי בינה ומוסר</v>
      </c>
    </row>
    <row r="8166" spans="1:6" x14ac:dyDescent="0.2">
      <c r="A8166" t="s">
        <v>14376</v>
      </c>
      <c r="B8166" t="s">
        <v>14377</v>
      </c>
      <c r="C8166" t="s">
        <v>429</v>
      </c>
      <c r="D8166" t="s">
        <v>283</v>
      </c>
      <c r="E8166" t="s">
        <v>325</v>
      </c>
      <c r="F8166" s="2" t="str">
        <f>HYPERLINK("http://www.otzar.org/book.asp?107398","דברי בינה - 2 כר'")</f>
        <v>דברי בינה - 2 כר'</v>
      </c>
    </row>
    <row r="8167" spans="1:6" x14ac:dyDescent="0.2">
      <c r="A8167" t="s">
        <v>14378</v>
      </c>
      <c r="B8167" t="s">
        <v>14379</v>
      </c>
      <c r="C8167" t="s">
        <v>1535</v>
      </c>
      <c r="D8167" t="s">
        <v>726</v>
      </c>
      <c r="E8167" t="s">
        <v>246</v>
      </c>
      <c r="F8167" s="2" t="str">
        <f>HYPERLINK("http://www.otzar.org/book.asp?171853","דברי בינה - 5 כר'")</f>
        <v>דברי בינה - 5 כר'</v>
      </c>
    </row>
    <row r="8168" spans="1:6" x14ac:dyDescent="0.2">
      <c r="A8168" t="s">
        <v>14380</v>
      </c>
      <c r="B8168" t="s">
        <v>14381</v>
      </c>
      <c r="C8168" t="s">
        <v>68</v>
      </c>
      <c r="D8168" t="s">
        <v>52</v>
      </c>
      <c r="E8168" t="s">
        <v>14382</v>
      </c>
      <c r="F8168" s="2" t="str">
        <f>HYPERLINK("http://www.otzar.org/book.asp?170821","דברי בן עמרם - 2 כר'")</f>
        <v>דברי בן עמרם - 2 כר'</v>
      </c>
    </row>
    <row r="8169" spans="1:6" x14ac:dyDescent="0.2">
      <c r="A8169" t="s">
        <v>14383</v>
      </c>
      <c r="B8169" t="s">
        <v>7876</v>
      </c>
      <c r="C8169" t="s">
        <v>843</v>
      </c>
      <c r="D8169" t="s">
        <v>27</v>
      </c>
      <c r="E8169" t="s">
        <v>2054</v>
      </c>
      <c r="F8169" s="2" t="str">
        <f>HYPERLINK("http://www.otzar.org/book.asp?148537","דברי בן שלמה - 2 כר'")</f>
        <v>דברי בן שלמה - 2 כר'</v>
      </c>
    </row>
    <row r="8170" spans="1:6" x14ac:dyDescent="0.2">
      <c r="A8170" t="s">
        <v>14384</v>
      </c>
      <c r="B8170" t="s">
        <v>14385</v>
      </c>
      <c r="C8170" t="s">
        <v>176</v>
      </c>
      <c r="D8170" t="s">
        <v>14</v>
      </c>
      <c r="E8170" t="s">
        <v>154</v>
      </c>
      <c r="F8170" s="2" t="str">
        <f>HYPERLINK("http://www.otzar.org/book.asp?28860","דברי בניהו - 32 כר'")</f>
        <v>דברי בניהו - 32 כר'</v>
      </c>
    </row>
    <row r="8171" spans="1:6" x14ac:dyDescent="0.2">
      <c r="A8171" t="s">
        <v>14386</v>
      </c>
      <c r="B8171" t="s">
        <v>14387</v>
      </c>
      <c r="C8171" t="s">
        <v>146</v>
      </c>
      <c r="D8171" t="s">
        <v>52</v>
      </c>
      <c r="E8171" t="s">
        <v>144</v>
      </c>
      <c r="F8171" s="2" t="str">
        <f>HYPERLINK("http://www.otzar.org/book.asp?28224","דברי ברוך על הש""ס - א")</f>
        <v>דברי ברוך על הש"ס - א</v>
      </c>
    </row>
    <row r="8172" spans="1:6" x14ac:dyDescent="0.2">
      <c r="A8172" t="s">
        <v>14388</v>
      </c>
      <c r="B8172" t="s">
        <v>6252</v>
      </c>
      <c r="C8172" t="s">
        <v>360</v>
      </c>
      <c r="D8172" t="s">
        <v>267</v>
      </c>
      <c r="E8172" t="s">
        <v>84</v>
      </c>
      <c r="F8172" s="2" t="str">
        <f>HYPERLINK("http://www.otzar.org/book.asp?23372","דברי ברוך")</f>
        <v>דברי ברוך</v>
      </c>
    </row>
    <row r="8173" spans="1:6" x14ac:dyDescent="0.2">
      <c r="A8173" t="s">
        <v>14389</v>
      </c>
      <c r="B8173" t="s">
        <v>14387</v>
      </c>
      <c r="C8173" t="s">
        <v>20</v>
      </c>
      <c r="D8173" t="s">
        <v>52</v>
      </c>
      <c r="E8173" t="s">
        <v>579</v>
      </c>
      <c r="F8173" s="2" t="str">
        <f>HYPERLINK("http://www.otzar.org/book.asp?63993","דברי ברוך - 2 כר'")</f>
        <v>דברי ברוך - 2 כר'</v>
      </c>
    </row>
    <row r="8174" spans="1:6" x14ac:dyDescent="0.2">
      <c r="A8174" t="s">
        <v>14390</v>
      </c>
      <c r="B8174" t="s">
        <v>14391</v>
      </c>
      <c r="C8174" t="s">
        <v>13</v>
      </c>
      <c r="D8174" t="s">
        <v>52</v>
      </c>
      <c r="E8174" t="s">
        <v>144</v>
      </c>
      <c r="F8174" s="2" t="str">
        <f>HYPERLINK("http://www.otzar.org/book.asp?159440","דברי ברוך - הוצאה")</f>
        <v>דברי ברוך - הוצאה</v>
      </c>
    </row>
    <row r="8175" spans="1:6" x14ac:dyDescent="0.2">
      <c r="A8175" t="s">
        <v>14392</v>
      </c>
      <c r="B8175" t="s">
        <v>14393</v>
      </c>
      <c r="C8175" t="s">
        <v>20</v>
      </c>
      <c r="D8175" t="s">
        <v>90</v>
      </c>
      <c r="F8175" s="2" t="str">
        <f>HYPERLINK("http://www.otzar.org/book.asp?619000","דברי ברכה ומועד")</f>
        <v>דברי ברכה ומועד</v>
      </c>
    </row>
    <row r="8176" spans="1:6" x14ac:dyDescent="0.2">
      <c r="A8176" t="s">
        <v>14394</v>
      </c>
      <c r="B8176" t="s">
        <v>14395</v>
      </c>
      <c r="C8176" t="s">
        <v>103</v>
      </c>
      <c r="D8176" t="s">
        <v>245</v>
      </c>
      <c r="F8176" s="2" t="str">
        <f>HYPERLINK("http://www.otzar.org/book.asp?609050","דברי ברכה - 2 כר'")</f>
        <v>דברי ברכה - 2 כר'</v>
      </c>
    </row>
    <row r="8177" spans="1:6" x14ac:dyDescent="0.2">
      <c r="A8177" t="s">
        <v>14396</v>
      </c>
      <c r="B8177" t="s">
        <v>14397</v>
      </c>
      <c r="C8177" t="s">
        <v>111</v>
      </c>
      <c r="E8177" t="s">
        <v>154</v>
      </c>
      <c r="F8177" s="2" t="str">
        <f>HYPERLINK("http://www.otzar.org/book.asp?625420","דברי ברק")</f>
        <v>דברי ברק</v>
      </c>
    </row>
    <row r="8178" spans="1:6" x14ac:dyDescent="0.2">
      <c r="A8178" t="s">
        <v>14398</v>
      </c>
      <c r="B8178" t="s">
        <v>14399</v>
      </c>
      <c r="C8178" t="s">
        <v>360</v>
      </c>
      <c r="D8178" t="s">
        <v>756</v>
      </c>
      <c r="E8178" t="s">
        <v>837</v>
      </c>
      <c r="F8178" s="2" t="str">
        <f>HYPERLINK("http://www.otzar.org/book.asp?100857","דברי גאונים")</f>
        <v>דברי גאונים</v>
      </c>
    </row>
    <row r="8179" spans="1:6" x14ac:dyDescent="0.2">
      <c r="A8179" t="s">
        <v>14398</v>
      </c>
      <c r="B8179" t="s">
        <v>7473</v>
      </c>
      <c r="C8179" t="s">
        <v>492</v>
      </c>
      <c r="D8179" t="s">
        <v>352</v>
      </c>
      <c r="E8179" t="s">
        <v>158</v>
      </c>
      <c r="F8179" s="2" t="str">
        <f>HYPERLINK("http://www.otzar.org/book.asp?151652","דברי גאונים")</f>
        <v>דברי גאונים</v>
      </c>
    </row>
    <row r="8180" spans="1:6" x14ac:dyDescent="0.2">
      <c r="A8180" t="s">
        <v>14400</v>
      </c>
      <c r="B8180" t="s">
        <v>10177</v>
      </c>
      <c r="C8180" t="s">
        <v>1374</v>
      </c>
      <c r="D8180" t="s">
        <v>225</v>
      </c>
      <c r="E8180" t="s">
        <v>463</v>
      </c>
      <c r="F8180" s="2" t="str">
        <f>HYPERLINK("http://www.otzar.org/book.asp?21364","דברי גדולים &lt;שביל הישר, מילי דאבות, חמדה טובה&gt;")</f>
        <v>דברי גדולים &lt;שביל הישר, מילי דאבות, חמדה טובה&gt;</v>
      </c>
    </row>
    <row r="8181" spans="1:6" x14ac:dyDescent="0.2">
      <c r="A8181" t="s">
        <v>14401</v>
      </c>
      <c r="B8181" t="s">
        <v>14402</v>
      </c>
      <c r="C8181" t="s">
        <v>3246</v>
      </c>
      <c r="D8181" t="s">
        <v>592</v>
      </c>
      <c r="E8181" t="s">
        <v>144</v>
      </c>
      <c r="F8181" s="2" t="str">
        <f>HYPERLINK("http://www.otzar.org/book.asp?192221","דברי גדלי'")</f>
        <v>דברי גדלי'</v>
      </c>
    </row>
    <row r="8182" spans="1:6" x14ac:dyDescent="0.2">
      <c r="A8182" t="s">
        <v>14403</v>
      </c>
      <c r="B8182" t="s">
        <v>14404</v>
      </c>
      <c r="C8182" t="s">
        <v>362</v>
      </c>
      <c r="D8182" t="s">
        <v>563</v>
      </c>
      <c r="E8182" t="s">
        <v>234</v>
      </c>
      <c r="F8182" s="2" t="str">
        <f>HYPERLINK("http://www.otzar.org/book.asp?106940","דברי דבש")</f>
        <v>דברי דבש</v>
      </c>
    </row>
    <row r="8183" spans="1:6" x14ac:dyDescent="0.2">
      <c r="A8183" t="s">
        <v>14405</v>
      </c>
      <c r="B8183" t="s">
        <v>14406</v>
      </c>
      <c r="C8183" t="s">
        <v>422</v>
      </c>
      <c r="D8183" t="s">
        <v>412</v>
      </c>
      <c r="E8183" t="s">
        <v>158</v>
      </c>
      <c r="F8183" s="2" t="str">
        <f>HYPERLINK("http://www.otzar.org/book.asp?180980","דברי דוד &lt;מהדורה חדשה&gt; - 3 כר'")</f>
        <v>דברי דוד &lt;מהדורה חדשה&gt; - 3 כר'</v>
      </c>
    </row>
    <row r="8184" spans="1:6" x14ac:dyDescent="0.2">
      <c r="A8184" t="s">
        <v>14407</v>
      </c>
      <c r="B8184" t="s">
        <v>14408</v>
      </c>
      <c r="C8184" t="s">
        <v>79</v>
      </c>
      <c r="D8184" t="s">
        <v>563</v>
      </c>
      <c r="E8184" t="s">
        <v>104</v>
      </c>
      <c r="F8184" s="2" t="str">
        <f>HYPERLINK("http://www.otzar.org/book.asp?169758","דברי דוד צוואה")</f>
        <v>דברי דוד צוואה</v>
      </c>
    </row>
    <row r="8185" spans="1:6" x14ac:dyDescent="0.2">
      <c r="A8185" t="s">
        <v>14409</v>
      </c>
      <c r="B8185" t="s">
        <v>14410</v>
      </c>
      <c r="C8185" t="s">
        <v>454</v>
      </c>
      <c r="D8185" t="s">
        <v>152</v>
      </c>
      <c r="E8185" t="s">
        <v>144</v>
      </c>
      <c r="F8185" s="2" t="str">
        <f>HYPERLINK("http://www.otzar.org/book.asp?160929","דברי דוד")</f>
        <v>דברי דוד</v>
      </c>
    </row>
    <row r="8186" spans="1:6" x14ac:dyDescent="0.2">
      <c r="A8186" t="s">
        <v>14411</v>
      </c>
      <c r="B8186" t="s">
        <v>14412</v>
      </c>
      <c r="C8186" t="s">
        <v>383</v>
      </c>
      <c r="D8186" t="s">
        <v>14</v>
      </c>
      <c r="F8186" s="2" t="str">
        <f>HYPERLINK("http://www.otzar.org/book.asp?613981","דברי דוד - 6 כר'")</f>
        <v>דברי דוד - 6 כר'</v>
      </c>
    </row>
    <row r="8187" spans="1:6" x14ac:dyDescent="0.2">
      <c r="A8187" t="s">
        <v>14413</v>
      </c>
      <c r="B8187" t="s">
        <v>14414</v>
      </c>
      <c r="C8187" t="s">
        <v>1535</v>
      </c>
      <c r="D8187" t="s">
        <v>225</v>
      </c>
      <c r="E8187" t="s">
        <v>158</v>
      </c>
      <c r="F8187" s="2" t="str">
        <f>HYPERLINK("http://www.otzar.org/book.asp?151700","דברי דוד - 5 כר'")</f>
        <v>דברי דוד - 5 כר'</v>
      </c>
    </row>
    <row r="8188" spans="1:6" x14ac:dyDescent="0.2">
      <c r="A8188" t="s">
        <v>14415</v>
      </c>
      <c r="B8188" t="s">
        <v>8602</v>
      </c>
      <c r="C8188" t="s">
        <v>445</v>
      </c>
      <c r="D8188" t="s">
        <v>225</v>
      </c>
      <c r="E8188" t="s">
        <v>241</v>
      </c>
      <c r="F8188" s="2" t="str">
        <f>HYPERLINK("http://www.otzar.org/book.asp?100777","דברי דוד - 2 כר'")</f>
        <v>דברי דוד - 2 כר'</v>
      </c>
    </row>
    <row r="8189" spans="1:6" x14ac:dyDescent="0.2">
      <c r="A8189" t="s">
        <v>14413</v>
      </c>
      <c r="B8189" t="s">
        <v>14416</v>
      </c>
      <c r="C8189" t="s">
        <v>4705</v>
      </c>
      <c r="D8189" t="s">
        <v>283</v>
      </c>
      <c r="E8189" t="s">
        <v>158</v>
      </c>
      <c r="F8189" s="2" t="str">
        <f>HYPERLINK("http://www.otzar.org/book.asp?15988","דברי דוד - 5 כר'")</f>
        <v>דברי דוד - 5 כר'</v>
      </c>
    </row>
    <row r="8190" spans="1:6" x14ac:dyDescent="0.2">
      <c r="A8190" t="s">
        <v>14417</v>
      </c>
      <c r="B8190" t="s">
        <v>14406</v>
      </c>
      <c r="C8190" t="s">
        <v>313</v>
      </c>
      <c r="D8190" t="s">
        <v>52</v>
      </c>
      <c r="E8190" t="s">
        <v>14418</v>
      </c>
      <c r="F8190" s="2" t="str">
        <f>HYPERLINK("http://www.otzar.org/book.asp?23659","דברי דוד - 3 כר'")</f>
        <v>דברי דוד - 3 כר'</v>
      </c>
    </row>
    <row r="8191" spans="1:6" x14ac:dyDescent="0.2">
      <c r="A8191" t="s">
        <v>14413</v>
      </c>
      <c r="B8191" t="s">
        <v>4761</v>
      </c>
      <c r="C8191" t="s">
        <v>624</v>
      </c>
      <c r="D8191" t="s">
        <v>1156</v>
      </c>
      <c r="E8191" t="s">
        <v>154</v>
      </c>
      <c r="F8191" s="2" t="str">
        <f>HYPERLINK("http://www.otzar.org/book.asp?50065","דברי דוד - 5 כר'")</f>
        <v>דברי דוד - 5 כר'</v>
      </c>
    </row>
    <row r="8192" spans="1:6" x14ac:dyDescent="0.2">
      <c r="A8192" t="s">
        <v>14409</v>
      </c>
      <c r="B8192" t="s">
        <v>14419</v>
      </c>
      <c r="C8192" t="s">
        <v>2008</v>
      </c>
      <c r="D8192" t="s">
        <v>1100</v>
      </c>
      <c r="E8192" t="s">
        <v>158</v>
      </c>
      <c r="F8192" s="2" t="str">
        <f>HYPERLINK("http://www.otzar.org/book.asp?24194","דברי דוד")</f>
        <v>דברי דוד</v>
      </c>
    </row>
    <row r="8193" spans="1:6" x14ac:dyDescent="0.2">
      <c r="A8193" t="s">
        <v>14409</v>
      </c>
      <c r="B8193" t="s">
        <v>14420</v>
      </c>
      <c r="C8193" t="s">
        <v>266</v>
      </c>
      <c r="D8193" t="s">
        <v>307</v>
      </c>
      <c r="E8193" t="s">
        <v>241</v>
      </c>
      <c r="F8193" s="2" t="str">
        <f>HYPERLINK("http://www.otzar.org/book.asp?146685","דברי דוד")</f>
        <v>דברי דוד</v>
      </c>
    </row>
    <row r="8194" spans="1:6" x14ac:dyDescent="0.2">
      <c r="A8194" t="s">
        <v>14409</v>
      </c>
      <c r="B8194" t="s">
        <v>14421</v>
      </c>
      <c r="C8194" t="s">
        <v>4462</v>
      </c>
      <c r="D8194" t="s">
        <v>1023</v>
      </c>
      <c r="E8194" t="s">
        <v>14422</v>
      </c>
      <c r="F8194" s="2" t="str">
        <f>HYPERLINK("http://www.otzar.org/book.asp?100831","דברי דוד")</f>
        <v>דברי דוד</v>
      </c>
    </row>
    <row r="8195" spans="1:6" x14ac:dyDescent="0.2">
      <c r="A8195" t="s">
        <v>14409</v>
      </c>
      <c r="B8195" t="s">
        <v>14423</v>
      </c>
      <c r="C8195" t="s">
        <v>3957</v>
      </c>
      <c r="D8195" t="s">
        <v>744</v>
      </c>
      <c r="E8195" t="s">
        <v>84</v>
      </c>
      <c r="F8195" s="2" t="str">
        <f>HYPERLINK("http://www.otzar.org/book.asp?51204","דברי דוד")</f>
        <v>דברי דוד</v>
      </c>
    </row>
    <row r="8196" spans="1:6" x14ac:dyDescent="0.2">
      <c r="A8196" t="s">
        <v>14424</v>
      </c>
      <c r="B8196" t="s">
        <v>14425</v>
      </c>
      <c r="C8196" t="s">
        <v>366</v>
      </c>
      <c r="D8196" t="s">
        <v>52</v>
      </c>
      <c r="E8196" t="s">
        <v>144</v>
      </c>
      <c r="F8196" s="2" t="str">
        <f>HYPERLINK("http://www.otzar.org/book.asp?623322","דברי דוד - 8 כר'")</f>
        <v>דברי דוד - 8 כר'</v>
      </c>
    </row>
    <row r="8197" spans="1:6" x14ac:dyDescent="0.2">
      <c r="A8197" t="s">
        <v>14426</v>
      </c>
      <c r="B8197" t="s">
        <v>14427</v>
      </c>
      <c r="C8197" t="s">
        <v>2644</v>
      </c>
      <c r="D8197" t="s">
        <v>14428</v>
      </c>
      <c r="E8197" t="s">
        <v>140</v>
      </c>
      <c r="F8197" s="2" t="str">
        <f>HYPERLINK("http://www.otzar.org/book.asp?625939","דברי דוד - 4 כר'")</f>
        <v>דברי דוד - 4 כר'</v>
      </c>
    </row>
    <row r="8198" spans="1:6" x14ac:dyDescent="0.2">
      <c r="A8198" t="s">
        <v>14409</v>
      </c>
      <c r="B8198" t="s">
        <v>14429</v>
      </c>
      <c r="C8198" t="s">
        <v>3840</v>
      </c>
      <c r="D8198" t="s">
        <v>1889</v>
      </c>
      <c r="E8198" t="s">
        <v>13627</v>
      </c>
      <c r="F8198" s="2" t="str">
        <f>HYPERLINK("http://www.otzar.org/book.asp?144746","דברי דוד")</f>
        <v>דברי דוד</v>
      </c>
    </row>
    <row r="8199" spans="1:6" x14ac:dyDescent="0.2">
      <c r="A8199" t="s">
        <v>14409</v>
      </c>
      <c r="B8199" t="s">
        <v>14430</v>
      </c>
      <c r="C8199" t="s">
        <v>438</v>
      </c>
      <c r="D8199" t="s">
        <v>412</v>
      </c>
      <c r="E8199" t="s">
        <v>786</v>
      </c>
      <c r="F8199" s="2" t="str">
        <f>HYPERLINK("http://www.otzar.org/book.asp?6844","דברי דוד")</f>
        <v>דברי דוד</v>
      </c>
    </row>
    <row r="8200" spans="1:6" x14ac:dyDescent="0.2">
      <c r="A8200" t="s">
        <v>14426</v>
      </c>
      <c r="B8200" t="s">
        <v>9937</v>
      </c>
      <c r="C8200" t="s">
        <v>896</v>
      </c>
      <c r="D8200" t="s">
        <v>56</v>
      </c>
      <c r="E8200" t="s">
        <v>144</v>
      </c>
      <c r="F8200" s="2" t="str">
        <f>HYPERLINK("http://www.otzar.org/book.asp?22583","דברי דוד - 4 כר'")</f>
        <v>דברי דוד - 4 כר'</v>
      </c>
    </row>
    <row r="8201" spans="1:6" x14ac:dyDescent="0.2">
      <c r="A8201" t="s">
        <v>14409</v>
      </c>
      <c r="B8201" t="s">
        <v>14431</v>
      </c>
      <c r="C8201" t="s">
        <v>1202</v>
      </c>
      <c r="D8201" t="s">
        <v>14432</v>
      </c>
      <c r="E8201" t="s">
        <v>234</v>
      </c>
      <c r="F8201" s="2" t="str">
        <f>HYPERLINK("http://www.otzar.org/book.asp?196860","דברי דוד")</f>
        <v>דברי דוד</v>
      </c>
    </row>
    <row r="8202" spans="1:6" x14ac:dyDescent="0.2">
      <c r="A8202" t="s">
        <v>14433</v>
      </c>
      <c r="B8202" t="s">
        <v>14434</v>
      </c>
      <c r="C8202" t="s">
        <v>1737</v>
      </c>
      <c r="D8202" t="s">
        <v>212</v>
      </c>
      <c r="E8202" t="s">
        <v>10</v>
      </c>
      <c r="F8202" s="2" t="str">
        <f>HYPERLINK("http://www.otzar.org/book.asp?100858","דברי דוד, הון יוסף")</f>
        <v>דברי דוד, הון יוסף</v>
      </c>
    </row>
    <row r="8203" spans="1:6" x14ac:dyDescent="0.2">
      <c r="A8203" t="s">
        <v>14435</v>
      </c>
      <c r="B8203" t="s">
        <v>11272</v>
      </c>
      <c r="C8203" t="s">
        <v>854</v>
      </c>
      <c r="D8203" t="s">
        <v>56</v>
      </c>
      <c r="E8203" t="s">
        <v>158</v>
      </c>
      <c r="F8203" s="2" t="str">
        <f>HYPERLINK("http://www.otzar.org/book.asp?17460","דברי דודים")</f>
        <v>דברי דודים</v>
      </c>
    </row>
    <row r="8204" spans="1:6" x14ac:dyDescent="0.2">
      <c r="A8204" t="s">
        <v>14435</v>
      </c>
      <c r="B8204" t="s">
        <v>14436</v>
      </c>
      <c r="C8204" t="s">
        <v>1885</v>
      </c>
      <c r="D8204" t="s">
        <v>267</v>
      </c>
      <c r="E8204" t="s">
        <v>14437</v>
      </c>
      <c r="F8204" s="2" t="str">
        <f>HYPERLINK("http://www.otzar.org/book.asp?14231","דברי דודים")</f>
        <v>דברי דודים</v>
      </c>
    </row>
    <row r="8205" spans="1:6" x14ac:dyDescent="0.2">
      <c r="A8205" t="s">
        <v>14438</v>
      </c>
      <c r="B8205" t="s">
        <v>14439</v>
      </c>
      <c r="C8205" t="s">
        <v>1437</v>
      </c>
      <c r="D8205" t="s">
        <v>1422</v>
      </c>
      <c r="E8205" t="s">
        <v>6635</v>
      </c>
      <c r="F8205" s="2" t="str">
        <f>HYPERLINK("http://www.otzar.org/book.asp?24197","דברי דניאל")</f>
        <v>דברי דניאל</v>
      </c>
    </row>
    <row r="8206" spans="1:6" x14ac:dyDescent="0.2">
      <c r="A8206" t="s">
        <v>14440</v>
      </c>
      <c r="B8206" t="s">
        <v>14338</v>
      </c>
      <c r="C8206" t="s">
        <v>146</v>
      </c>
      <c r="D8206" t="s">
        <v>14</v>
      </c>
      <c r="E8206" t="s">
        <v>84</v>
      </c>
      <c r="F8206" s="2" t="str">
        <f>HYPERLINK("http://www.otzar.org/book.asp?166091","דברי דעת - 10 כר'")</f>
        <v>דברי דעת - 10 כר'</v>
      </c>
    </row>
    <row r="8207" spans="1:6" x14ac:dyDescent="0.2">
      <c r="A8207" t="s">
        <v>14441</v>
      </c>
      <c r="B8207" t="s">
        <v>14442</v>
      </c>
      <c r="C8207" t="s">
        <v>146</v>
      </c>
      <c r="D8207" t="s">
        <v>412</v>
      </c>
      <c r="F8207" s="2" t="str">
        <f>HYPERLINK("http://www.otzar.org/book.asp?608995","דברי האגרת על אגרת הרמב""ן")</f>
        <v>דברי האגרת על אגרת הרמב"ן</v>
      </c>
    </row>
    <row r="8208" spans="1:6" x14ac:dyDescent="0.2">
      <c r="A8208" t="s">
        <v>14443</v>
      </c>
      <c r="B8208" t="s">
        <v>14444</v>
      </c>
      <c r="C8208" t="s">
        <v>1885</v>
      </c>
      <c r="D8208" t="s">
        <v>14445</v>
      </c>
      <c r="E8208" t="s">
        <v>733</v>
      </c>
      <c r="F8208" s="2" t="str">
        <f>HYPERLINK("http://www.otzar.org/book.asp?61772","דברי האגרת")</f>
        <v>דברי האגרת</v>
      </c>
    </row>
    <row r="8209" spans="1:6" x14ac:dyDescent="0.2">
      <c r="A8209" t="s">
        <v>14443</v>
      </c>
      <c r="B8209" t="s">
        <v>14446</v>
      </c>
      <c r="C8209" t="s">
        <v>619</v>
      </c>
      <c r="D8209" t="s">
        <v>27</v>
      </c>
      <c r="E8209" t="s">
        <v>104</v>
      </c>
      <c r="F8209" s="2" t="str">
        <f>HYPERLINK("http://www.otzar.org/book.asp?51206","דברי האגרת")</f>
        <v>דברי האגרת</v>
      </c>
    </row>
    <row r="8210" spans="1:6" x14ac:dyDescent="0.2">
      <c r="A8210" t="s">
        <v>14447</v>
      </c>
      <c r="B8210" t="s">
        <v>14448</v>
      </c>
      <c r="C8210" t="s">
        <v>20</v>
      </c>
      <c r="D8210" t="s">
        <v>1356</v>
      </c>
      <c r="E8210" t="s">
        <v>234</v>
      </c>
      <c r="F8210" s="2" t="str">
        <f>HYPERLINK("http://www.otzar.org/book.asp?23742","דברי האדמורי""ם לבית ויז'ניץ")</f>
        <v>דברי האדמורי"ם לבית ויז'ניץ</v>
      </c>
    </row>
    <row r="8211" spans="1:6" x14ac:dyDescent="0.2">
      <c r="A8211" t="s">
        <v>14449</v>
      </c>
      <c r="B8211" t="s">
        <v>14450</v>
      </c>
      <c r="C8211" t="s">
        <v>8476</v>
      </c>
      <c r="D8211" t="s">
        <v>60</v>
      </c>
      <c r="E8211" t="s">
        <v>158</v>
      </c>
      <c r="F8211" s="2" t="str">
        <f>HYPERLINK("http://www.otzar.org/book.asp?21366","דברי הברית")</f>
        <v>דברי הברית</v>
      </c>
    </row>
    <row r="8212" spans="1:6" x14ac:dyDescent="0.2">
      <c r="A8212" t="s">
        <v>14449</v>
      </c>
      <c r="B8212" t="s">
        <v>290</v>
      </c>
      <c r="C8212" t="s">
        <v>5721</v>
      </c>
      <c r="D8212" t="s">
        <v>9091</v>
      </c>
      <c r="E8212" t="s">
        <v>15</v>
      </c>
      <c r="F8212" s="2" t="str">
        <f>HYPERLINK("http://www.otzar.org/book.asp?22413","דברי הברית")</f>
        <v>דברי הברית</v>
      </c>
    </row>
    <row r="8213" spans="1:6" x14ac:dyDescent="0.2">
      <c r="A8213" t="s">
        <v>14451</v>
      </c>
      <c r="B8213" t="s">
        <v>14452</v>
      </c>
      <c r="C8213" t="s">
        <v>1166</v>
      </c>
      <c r="D8213" t="s">
        <v>1889</v>
      </c>
      <c r="E8213" t="s">
        <v>463</v>
      </c>
      <c r="F8213" s="2" t="str">
        <f>HYPERLINK("http://www.otzar.org/book.asp?21365","דברי הברית - 2 כר'")</f>
        <v>דברי הברית - 2 כר'</v>
      </c>
    </row>
    <row r="8214" spans="1:6" x14ac:dyDescent="0.2">
      <c r="A8214" t="s">
        <v>14453</v>
      </c>
      <c r="B8214" t="s">
        <v>4050</v>
      </c>
      <c r="C8214" t="s">
        <v>946</v>
      </c>
      <c r="D8214" t="s">
        <v>283</v>
      </c>
      <c r="E8214" t="s">
        <v>606</v>
      </c>
      <c r="F8214" s="2" t="str">
        <f>HYPERLINK("http://www.otzar.org/book.asp?100832","דברי הגאונים - 2 כר'")</f>
        <v>דברי הגאונים - 2 כר'</v>
      </c>
    </row>
    <row r="8215" spans="1:6" x14ac:dyDescent="0.2">
      <c r="A8215" t="s">
        <v>14454</v>
      </c>
      <c r="B8215" t="s">
        <v>7136</v>
      </c>
      <c r="C8215" t="s">
        <v>506</v>
      </c>
      <c r="D8215" t="s">
        <v>225</v>
      </c>
      <c r="E8215" t="s">
        <v>144</v>
      </c>
      <c r="F8215" s="2" t="str">
        <f>HYPERLINK("http://www.otzar.org/book.asp?6610","דברי הגאונים")</f>
        <v>דברי הגאונים</v>
      </c>
    </row>
    <row r="8216" spans="1:6" x14ac:dyDescent="0.2">
      <c r="A8216" t="s">
        <v>14455</v>
      </c>
      <c r="B8216" t="s">
        <v>14456</v>
      </c>
      <c r="C8216" t="s">
        <v>1268</v>
      </c>
      <c r="D8216" t="s">
        <v>14</v>
      </c>
      <c r="E8216" t="s">
        <v>213</v>
      </c>
      <c r="F8216" s="2" t="str">
        <f>HYPERLINK("http://www.otzar.org/book.asp?166311","דברי הגות וראות - 2 כר'")</f>
        <v>דברי הגות וראות - 2 כר'</v>
      </c>
    </row>
    <row r="8217" spans="1:6" x14ac:dyDescent="0.2">
      <c r="A8217" t="s">
        <v>14457</v>
      </c>
      <c r="B8217" t="s">
        <v>10038</v>
      </c>
      <c r="C8217" t="s">
        <v>2294</v>
      </c>
      <c r="D8217" t="s">
        <v>100</v>
      </c>
      <c r="E8217" t="s">
        <v>172</v>
      </c>
      <c r="F8217" s="2" t="str">
        <f>HYPERLINK("http://www.otzar.org/book.asp?26021","דברי הילל - 3 כר'")</f>
        <v>דברי הילל - 3 כר'</v>
      </c>
    </row>
    <row r="8218" spans="1:6" x14ac:dyDescent="0.2">
      <c r="A8218" t="s">
        <v>14458</v>
      </c>
      <c r="B8218" t="s">
        <v>1289</v>
      </c>
      <c r="C8218" t="s">
        <v>14459</v>
      </c>
      <c r="D8218" t="s">
        <v>14460</v>
      </c>
      <c r="F8218" s="2" t="str">
        <f>HYPERLINK("http://www.otzar.org/book.asp?621202","דברי הימים למלכי צרפת ומלכי בית אוטומאן התוגר")</f>
        <v>דברי הימים למלכי צרפת ומלכי בית אוטומאן התוגר</v>
      </c>
    </row>
    <row r="8219" spans="1:6" x14ac:dyDescent="0.2">
      <c r="A8219" t="s">
        <v>14461</v>
      </c>
      <c r="B8219" t="s">
        <v>14462</v>
      </c>
      <c r="C8219" t="s">
        <v>1519</v>
      </c>
      <c r="D8219" t="s">
        <v>344</v>
      </c>
      <c r="E8219" t="s">
        <v>158</v>
      </c>
      <c r="F8219" s="2" t="str">
        <f>HYPERLINK("http://www.otzar.org/book.asp?605319","דברי הימים עם תרגום רב יוסף")</f>
        <v>דברי הימים עם תרגום רב יוסף</v>
      </c>
    </row>
    <row r="8220" spans="1:6" x14ac:dyDescent="0.2">
      <c r="A8220" t="s">
        <v>14463</v>
      </c>
      <c r="B8220" t="s">
        <v>14464</v>
      </c>
      <c r="C8220" t="s">
        <v>14465</v>
      </c>
      <c r="D8220" t="s">
        <v>5727</v>
      </c>
      <c r="E8220" t="s">
        <v>14466</v>
      </c>
      <c r="F8220" s="2" t="str">
        <f>HYPERLINK("http://www.otzar.org/book.asp?141094","דברי הימים של משה רבינו")</f>
        <v>דברי הימים של משה רבינו</v>
      </c>
    </row>
    <row r="8221" spans="1:6" x14ac:dyDescent="0.2">
      <c r="A8221" t="s">
        <v>14463</v>
      </c>
      <c r="B8221" t="s">
        <v>14467</v>
      </c>
      <c r="C8221" t="s">
        <v>748</v>
      </c>
      <c r="D8221" t="s">
        <v>1117</v>
      </c>
      <c r="E8221" t="s">
        <v>43</v>
      </c>
      <c r="F8221" s="2" t="str">
        <f>HYPERLINK("http://www.otzar.org/book.asp?51207","דברי הימים של משה רבינו")</f>
        <v>דברי הימים של משה רבינו</v>
      </c>
    </row>
    <row r="8222" spans="1:6" x14ac:dyDescent="0.2">
      <c r="A8222" t="s">
        <v>14468</v>
      </c>
      <c r="B8222" t="s">
        <v>14469</v>
      </c>
      <c r="C8222" t="s">
        <v>523</v>
      </c>
      <c r="D8222" t="s">
        <v>216</v>
      </c>
      <c r="E8222" t="s">
        <v>119</v>
      </c>
      <c r="F8222" s="2" t="str">
        <f>HYPERLINK("http://www.otzar.org/book.asp?84101","דברי הימים של פאס")</f>
        <v>דברי הימים של פאס</v>
      </c>
    </row>
    <row r="8223" spans="1:6" x14ac:dyDescent="0.2">
      <c r="A8223" t="s">
        <v>14470</v>
      </c>
      <c r="B8223" t="s">
        <v>1289</v>
      </c>
      <c r="C8223" t="s">
        <v>1036</v>
      </c>
      <c r="D8223" t="s">
        <v>1279</v>
      </c>
      <c r="E8223" t="s">
        <v>119</v>
      </c>
      <c r="F8223" s="2" t="str">
        <f>HYPERLINK("http://www.otzar.org/book.asp?14637","דברי הימים - 2 כר'")</f>
        <v>דברי הימים - 2 כר'</v>
      </c>
    </row>
    <row r="8224" spans="1:6" x14ac:dyDescent="0.2">
      <c r="A8224" t="s">
        <v>14471</v>
      </c>
      <c r="B8224" t="s">
        <v>14472</v>
      </c>
      <c r="C8224" t="s">
        <v>224</v>
      </c>
      <c r="D8224" t="s">
        <v>27</v>
      </c>
      <c r="E8224" t="s">
        <v>508</v>
      </c>
      <c r="F8224" s="2" t="str">
        <f>HYPERLINK("http://www.otzar.org/book.asp?179592","דברי הלכה ומשנת מנחם")</f>
        <v>דברי הלכה ומשנת מנחם</v>
      </c>
    </row>
    <row r="8225" spans="1:6" x14ac:dyDescent="0.2">
      <c r="A8225" t="s">
        <v>14473</v>
      </c>
      <c r="B8225" t="s">
        <v>6311</v>
      </c>
      <c r="C8225" t="s">
        <v>37</v>
      </c>
      <c r="D8225" t="s">
        <v>152</v>
      </c>
      <c r="E8225" t="s">
        <v>172</v>
      </c>
      <c r="F8225" s="2" t="str">
        <f>HYPERLINK("http://www.otzar.org/book.asp?176574","דברי הלכה")</f>
        <v>דברי הלכה</v>
      </c>
    </row>
    <row r="8226" spans="1:6" x14ac:dyDescent="0.2">
      <c r="A8226" t="s">
        <v>14473</v>
      </c>
      <c r="B8226" t="s">
        <v>14063</v>
      </c>
      <c r="C8226" t="s">
        <v>20</v>
      </c>
      <c r="D8226" t="s">
        <v>14</v>
      </c>
      <c r="E8226" t="s">
        <v>148</v>
      </c>
      <c r="F8226" s="2" t="str">
        <f>HYPERLINK("http://www.otzar.org/book.asp?84248","דברי הלכה")</f>
        <v>דברי הלכה</v>
      </c>
    </row>
    <row r="8227" spans="1:6" x14ac:dyDescent="0.2">
      <c r="A8227" t="s">
        <v>14474</v>
      </c>
      <c r="B8227" t="s">
        <v>14475</v>
      </c>
      <c r="C8227" t="s">
        <v>422</v>
      </c>
      <c r="D8227" t="s">
        <v>14</v>
      </c>
      <c r="E8227" t="s">
        <v>148</v>
      </c>
      <c r="F8227" s="2" t="str">
        <f>HYPERLINK("http://www.otzar.org/book.asp?152650","דברי הלכה - 2 כר'")</f>
        <v>דברי הלכה - 2 כר'</v>
      </c>
    </row>
    <row r="8228" spans="1:6" x14ac:dyDescent="0.2">
      <c r="A8228" t="s">
        <v>14476</v>
      </c>
      <c r="B8228" t="s">
        <v>14477</v>
      </c>
      <c r="C8228" t="s">
        <v>14478</v>
      </c>
      <c r="D8228" t="s">
        <v>225</v>
      </c>
      <c r="E8228" t="s">
        <v>154</v>
      </c>
      <c r="F8228" s="2" t="str">
        <f>HYPERLINK("http://www.otzar.org/book.asp?102772","דברי הלל - 2 כר'")</f>
        <v>דברי הלל - 2 כר'</v>
      </c>
    </row>
    <row r="8229" spans="1:6" x14ac:dyDescent="0.2">
      <c r="A8229" t="s">
        <v>14479</v>
      </c>
      <c r="B8229" t="s">
        <v>14480</v>
      </c>
      <c r="C8229" t="s">
        <v>244</v>
      </c>
      <c r="D8229" t="s">
        <v>90</v>
      </c>
      <c r="E8229" t="s">
        <v>15</v>
      </c>
      <c r="F8229" s="2" t="str">
        <f>HYPERLINK("http://www.otzar.org/book.asp?601336","דברי המצוות")</f>
        <v>דברי המצוות</v>
      </c>
    </row>
    <row r="8230" spans="1:6" x14ac:dyDescent="0.2">
      <c r="A8230" t="s">
        <v>14481</v>
      </c>
      <c r="B8230" t="s">
        <v>1445</v>
      </c>
      <c r="C8230" t="s">
        <v>244</v>
      </c>
      <c r="D8230" t="s">
        <v>52</v>
      </c>
      <c r="F8230" s="2" t="str">
        <f>HYPERLINK("http://www.otzar.org/book.asp?611221","דברי הנסים")</f>
        <v>דברי הנסים</v>
      </c>
    </row>
    <row r="8231" spans="1:6" x14ac:dyDescent="0.2">
      <c r="A8231" t="s">
        <v>14482</v>
      </c>
      <c r="B8231" t="s">
        <v>14483</v>
      </c>
      <c r="C8231" t="s">
        <v>224</v>
      </c>
      <c r="D8231" t="s">
        <v>683</v>
      </c>
      <c r="E8231" t="s">
        <v>234</v>
      </c>
      <c r="F8231" s="2" t="str">
        <f>HYPERLINK("http://www.otzar.org/book.asp?145201","דברי הספד ותנחומי אבלים")</f>
        <v>דברי הספד ותנחומי אבלים</v>
      </c>
    </row>
    <row r="8232" spans="1:6" x14ac:dyDescent="0.2">
      <c r="A8232" t="s">
        <v>14484</v>
      </c>
      <c r="B8232" t="s">
        <v>3111</v>
      </c>
      <c r="C8232" t="s">
        <v>37</v>
      </c>
      <c r="D8232" t="s">
        <v>14</v>
      </c>
      <c r="E8232" t="s">
        <v>130</v>
      </c>
      <c r="F8232" s="2" t="str">
        <f>HYPERLINK("http://www.otzar.org/book.asp?190087","דברי הפורים האלה")</f>
        <v>דברי הפורים האלה</v>
      </c>
    </row>
    <row r="8233" spans="1:6" x14ac:dyDescent="0.2">
      <c r="A8233" t="s">
        <v>14485</v>
      </c>
      <c r="B8233" t="s">
        <v>14486</v>
      </c>
      <c r="C8233" t="s">
        <v>543</v>
      </c>
      <c r="D8233" t="s">
        <v>1833</v>
      </c>
      <c r="E8233" t="s">
        <v>158</v>
      </c>
      <c r="F8233" s="2" t="str">
        <f>HYPERLINK("http://www.otzar.org/book.asp?189605","דברי הפורים")</f>
        <v>דברי הפורים</v>
      </c>
    </row>
    <row r="8234" spans="1:6" x14ac:dyDescent="0.2">
      <c r="A8234" t="s">
        <v>14485</v>
      </c>
      <c r="B8234" t="s">
        <v>14487</v>
      </c>
      <c r="C8234" t="s">
        <v>23</v>
      </c>
      <c r="D8234" t="s">
        <v>2375</v>
      </c>
      <c r="E8234" t="s">
        <v>130</v>
      </c>
      <c r="F8234" s="2" t="str">
        <f>HYPERLINK("http://www.otzar.org/book.asp?625556","דברי הפורים")</f>
        <v>דברי הפורים</v>
      </c>
    </row>
    <row r="8235" spans="1:6" x14ac:dyDescent="0.2">
      <c r="A8235" t="s">
        <v>14488</v>
      </c>
      <c r="B8235" t="s">
        <v>1639</v>
      </c>
      <c r="C8235" t="s">
        <v>37</v>
      </c>
      <c r="D8235" t="s">
        <v>27</v>
      </c>
      <c r="F8235" s="2" t="str">
        <f>HYPERLINK("http://www.otzar.org/book.asp?611321","דברי הפורים - דברי יחזקאל שרגא")</f>
        <v>דברי הפורים - דברי יחזקאל שרגא</v>
      </c>
    </row>
    <row r="8236" spans="1:6" x14ac:dyDescent="0.2">
      <c r="A8236" t="s">
        <v>14485</v>
      </c>
      <c r="B8236" t="s">
        <v>14489</v>
      </c>
      <c r="C8236" t="s">
        <v>523</v>
      </c>
      <c r="D8236" t="s">
        <v>412</v>
      </c>
      <c r="E8236" t="s">
        <v>11368</v>
      </c>
      <c r="F8236" s="2" t="str">
        <f>HYPERLINK("http://www.otzar.org/book.asp?152868","דברי הפורים")</f>
        <v>דברי הפורים</v>
      </c>
    </row>
    <row r="8237" spans="1:6" x14ac:dyDescent="0.2">
      <c r="A8237" t="s">
        <v>14490</v>
      </c>
      <c r="B8237" t="s">
        <v>14491</v>
      </c>
      <c r="C8237" t="s">
        <v>17</v>
      </c>
      <c r="D8237" t="s">
        <v>52</v>
      </c>
      <c r="E8237" t="s">
        <v>144</v>
      </c>
      <c r="F8237" s="2" t="str">
        <f>HYPERLINK("http://www.otzar.org/book.asp?108341","דברי הרב - 4 כר'")</f>
        <v>דברי הרב - 4 כר'</v>
      </c>
    </row>
    <row r="8238" spans="1:6" x14ac:dyDescent="0.2">
      <c r="A8238" t="s">
        <v>14492</v>
      </c>
      <c r="B8238" t="s">
        <v>14493</v>
      </c>
      <c r="C8238" t="s">
        <v>133</v>
      </c>
      <c r="D8238" t="s">
        <v>14</v>
      </c>
      <c r="E8238" t="s">
        <v>2840</v>
      </c>
      <c r="F8238" s="2" t="str">
        <f>HYPERLINK("http://www.otzar.org/book.asp?171888","דברי הרב")</f>
        <v>דברי הרב</v>
      </c>
    </row>
    <row r="8239" spans="1:6" x14ac:dyDescent="0.2">
      <c r="A8239" t="s">
        <v>14494</v>
      </c>
      <c r="B8239" t="s">
        <v>14495</v>
      </c>
      <c r="C8239" t="s">
        <v>496</v>
      </c>
      <c r="E8239" t="s">
        <v>158</v>
      </c>
      <c r="F8239" s="2" t="str">
        <f>HYPERLINK("http://www.otzar.org/book.asp?619420","דברי הרי""ם - א")</f>
        <v>דברי הרי"ם - א</v>
      </c>
    </row>
    <row r="8240" spans="1:6" x14ac:dyDescent="0.2">
      <c r="A8240" t="s">
        <v>14496</v>
      </c>
      <c r="B8240" t="s">
        <v>14497</v>
      </c>
      <c r="C8240" t="s">
        <v>462</v>
      </c>
      <c r="D8240" t="s">
        <v>9</v>
      </c>
      <c r="E8240" t="s">
        <v>144</v>
      </c>
      <c r="F8240" s="2" t="str">
        <f>HYPERLINK("http://www.otzar.org/book.asp?28569","דברי הריבות - 2 כר'")</f>
        <v>דברי הריבות - 2 כר'</v>
      </c>
    </row>
    <row r="8241" spans="1:6" x14ac:dyDescent="0.2">
      <c r="A8241" t="s">
        <v>14498</v>
      </c>
      <c r="B8241" t="s">
        <v>14499</v>
      </c>
      <c r="C8241" t="s">
        <v>11974</v>
      </c>
      <c r="D8241" t="s">
        <v>729</v>
      </c>
      <c r="E8241" t="s">
        <v>733</v>
      </c>
      <c r="F8241" s="2" t="str">
        <f>HYPERLINK("http://www.otzar.org/book.asp?147221","דברי השירה הזאת")</f>
        <v>דברי השירה הזאת</v>
      </c>
    </row>
    <row r="8242" spans="1:6" x14ac:dyDescent="0.2">
      <c r="A8242" t="s">
        <v>14500</v>
      </c>
      <c r="B8242" t="s">
        <v>14501</v>
      </c>
      <c r="C8242" t="s">
        <v>603</v>
      </c>
      <c r="D8242" t="s">
        <v>283</v>
      </c>
      <c r="E8242" t="s">
        <v>241</v>
      </c>
      <c r="F8242" s="2" t="str">
        <f>HYPERLINK("http://www.otzar.org/book.asp?10373","דברי השכל")</f>
        <v>דברי השכל</v>
      </c>
    </row>
    <row r="8243" spans="1:6" x14ac:dyDescent="0.2">
      <c r="A8243" t="s">
        <v>14502</v>
      </c>
      <c r="B8243" t="s">
        <v>14503</v>
      </c>
      <c r="C8243" t="s">
        <v>728</v>
      </c>
      <c r="D8243" t="s">
        <v>283</v>
      </c>
      <c r="E8243" t="s">
        <v>172</v>
      </c>
      <c r="F8243" s="2" t="str">
        <f>HYPERLINK("http://www.otzar.org/book.asp?100855","דברי התורה")</f>
        <v>דברי התורה</v>
      </c>
    </row>
    <row r="8244" spans="1:6" x14ac:dyDescent="0.2">
      <c r="A8244" t="s">
        <v>14504</v>
      </c>
      <c r="B8244" t="s">
        <v>14505</v>
      </c>
      <c r="C8244" t="s">
        <v>422</v>
      </c>
      <c r="D8244" t="s">
        <v>14</v>
      </c>
      <c r="E8244" t="s">
        <v>15</v>
      </c>
      <c r="F8244" s="2" t="str">
        <f>HYPERLINK("http://www.otzar.org/book.asp?63059","דברי התנאים")</f>
        <v>דברי התנאים</v>
      </c>
    </row>
    <row r="8245" spans="1:6" x14ac:dyDescent="0.2">
      <c r="A8245" t="s">
        <v>14506</v>
      </c>
      <c r="B8245" t="s">
        <v>14507</v>
      </c>
      <c r="C8245" t="s">
        <v>3957</v>
      </c>
      <c r="D8245" t="s">
        <v>744</v>
      </c>
      <c r="E8245" t="s">
        <v>463</v>
      </c>
      <c r="F8245" s="2" t="str">
        <f>HYPERLINK("http://www.otzar.org/book.asp?108362","דברי התענוגים")</f>
        <v>דברי התענוגים</v>
      </c>
    </row>
    <row r="8246" spans="1:6" x14ac:dyDescent="0.2">
      <c r="A8246" t="s">
        <v>14508</v>
      </c>
      <c r="B8246" t="s">
        <v>14509</v>
      </c>
      <c r="C8246" t="s">
        <v>14510</v>
      </c>
      <c r="D8246" t="s">
        <v>3627</v>
      </c>
      <c r="E8246" t="s">
        <v>15</v>
      </c>
      <c r="F8246" s="2" t="str">
        <f>HYPERLINK("http://www.otzar.org/book.asp?105310","דברי זאב - 17 כר'")</f>
        <v>דברי זאב - 17 כר'</v>
      </c>
    </row>
    <row r="8247" spans="1:6" x14ac:dyDescent="0.2">
      <c r="A8247" t="s">
        <v>14511</v>
      </c>
      <c r="B8247" t="s">
        <v>14512</v>
      </c>
      <c r="C8247" t="s">
        <v>2644</v>
      </c>
      <c r="D8247" t="s">
        <v>1566</v>
      </c>
      <c r="E8247" t="s">
        <v>148</v>
      </c>
      <c r="F8247" s="2" t="str">
        <f>HYPERLINK("http://www.otzar.org/book.asp?51231","דברי זבח")</f>
        <v>דברי זבח</v>
      </c>
    </row>
    <row r="8248" spans="1:6" x14ac:dyDescent="0.2">
      <c r="A8248" t="s">
        <v>14513</v>
      </c>
      <c r="B8248" t="s">
        <v>14514</v>
      </c>
      <c r="C8248" t="s">
        <v>547</v>
      </c>
      <c r="D8248" t="s">
        <v>27</v>
      </c>
      <c r="E8248" t="s">
        <v>10</v>
      </c>
      <c r="F8248" s="2" t="str">
        <f>HYPERLINK("http://www.otzar.org/book.asp?17462","דברי זי""ו")</f>
        <v>דברי זי"ו</v>
      </c>
    </row>
    <row r="8249" spans="1:6" x14ac:dyDescent="0.2">
      <c r="A8249" t="s">
        <v>14515</v>
      </c>
      <c r="B8249" t="s">
        <v>14516</v>
      </c>
      <c r="C8249" t="s">
        <v>1374</v>
      </c>
      <c r="D8249" t="s">
        <v>855</v>
      </c>
      <c r="E8249" t="s">
        <v>119</v>
      </c>
      <c r="F8249" s="2" t="str">
        <f>HYPERLINK("http://www.otzar.org/book.asp?188743","דברי זכרון")</f>
        <v>דברי זכרון</v>
      </c>
    </row>
    <row r="8250" spans="1:6" x14ac:dyDescent="0.2">
      <c r="A8250" t="s">
        <v>14515</v>
      </c>
      <c r="B8250" t="s">
        <v>14517</v>
      </c>
      <c r="C8250" t="s">
        <v>14518</v>
      </c>
      <c r="D8250" t="s">
        <v>1023</v>
      </c>
      <c r="E8250" t="s">
        <v>714</v>
      </c>
      <c r="F8250" s="2" t="str">
        <f>HYPERLINK("http://www.otzar.org/book.asp?7291","דברי זכרון")</f>
        <v>דברי זכרון</v>
      </c>
    </row>
    <row r="8251" spans="1:6" x14ac:dyDescent="0.2">
      <c r="A8251" t="s">
        <v>14519</v>
      </c>
      <c r="B8251" t="s">
        <v>14520</v>
      </c>
      <c r="C8251" t="s">
        <v>224</v>
      </c>
      <c r="D8251" t="s">
        <v>27</v>
      </c>
      <c r="E8251" t="s">
        <v>154</v>
      </c>
      <c r="F8251" s="2" t="str">
        <f>HYPERLINK("http://www.otzar.org/book.asp?24385","דברי חזקיהו - 2 כר'")</f>
        <v>דברי חזקיהו - 2 כר'</v>
      </c>
    </row>
    <row r="8252" spans="1:6" x14ac:dyDescent="0.2">
      <c r="A8252" t="s">
        <v>14521</v>
      </c>
      <c r="B8252" t="s">
        <v>14522</v>
      </c>
      <c r="C8252" t="s">
        <v>698</v>
      </c>
      <c r="D8252" t="s">
        <v>9</v>
      </c>
      <c r="E8252" t="s">
        <v>14523</v>
      </c>
      <c r="F8252" s="2" t="str">
        <f>HYPERLINK("http://www.otzar.org/book.asp?9356","דברי חי""בה")</f>
        <v>דברי חי"בה</v>
      </c>
    </row>
    <row r="8253" spans="1:6" x14ac:dyDescent="0.2">
      <c r="A8253" t="s">
        <v>14524</v>
      </c>
      <c r="B8253" t="s">
        <v>1275</v>
      </c>
      <c r="C8253" t="s">
        <v>189</v>
      </c>
      <c r="D8253" t="s">
        <v>14</v>
      </c>
      <c r="E8253" t="s">
        <v>104</v>
      </c>
      <c r="F8253" s="2" t="str">
        <f>HYPERLINK("http://www.otzar.org/book.asp?171940","דברי חיזוק והתעוררות")</f>
        <v>דברי חיזוק והתעוררות</v>
      </c>
    </row>
    <row r="8254" spans="1:6" x14ac:dyDescent="0.2">
      <c r="A8254" t="s">
        <v>14524</v>
      </c>
      <c r="B8254" t="s">
        <v>14525</v>
      </c>
      <c r="C8254" t="s">
        <v>114</v>
      </c>
      <c r="D8254" t="s">
        <v>152</v>
      </c>
      <c r="E8254" t="s">
        <v>241</v>
      </c>
      <c r="F8254" s="2" t="str">
        <f>HYPERLINK("http://www.otzar.org/book.asp?160113","דברי חיזוק והתעוררות")</f>
        <v>דברי חיזוק והתעוררות</v>
      </c>
    </row>
    <row r="8255" spans="1:6" x14ac:dyDescent="0.2">
      <c r="A8255" t="s">
        <v>14526</v>
      </c>
      <c r="B8255" t="s">
        <v>8270</v>
      </c>
      <c r="C8255" t="s">
        <v>1570</v>
      </c>
      <c r="D8255" t="s">
        <v>14</v>
      </c>
      <c r="E8255" t="s">
        <v>213</v>
      </c>
      <c r="F8255" s="2" t="str">
        <f>HYPERLINK("http://www.otzar.org/book.asp?180444","דברי חיזוק לבני תורה")</f>
        <v>דברי חיזוק לבני תורה</v>
      </c>
    </row>
    <row r="8256" spans="1:6" x14ac:dyDescent="0.2">
      <c r="A8256" t="s">
        <v>14527</v>
      </c>
      <c r="B8256" t="s">
        <v>14528</v>
      </c>
      <c r="C8256" t="s">
        <v>244</v>
      </c>
      <c r="D8256" t="s">
        <v>1273</v>
      </c>
      <c r="E8256" t="s">
        <v>158</v>
      </c>
      <c r="F8256" s="2" t="str">
        <f>HYPERLINK("http://www.otzar.org/book.asp?603586","דברי חיים  &lt;מהדורה חדשה&gt; - 5 כר'")</f>
        <v>דברי חיים  &lt;מהדורה חדשה&gt; - 5 כר'</v>
      </c>
    </row>
    <row r="8257" spans="1:6" x14ac:dyDescent="0.2">
      <c r="A8257" t="s">
        <v>14529</v>
      </c>
      <c r="B8257" t="s">
        <v>14530</v>
      </c>
      <c r="C8257" t="s">
        <v>23</v>
      </c>
      <c r="D8257" t="s">
        <v>1273</v>
      </c>
      <c r="E8257" t="s">
        <v>172</v>
      </c>
      <c r="F8257" s="2" t="str">
        <f>HYPERLINK("http://www.otzar.org/book.asp?190875","דברי חיים &lt;מהדורת מכון משנת ר""א&gt; - 2 כר'")</f>
        <v>דברי חיים &lt;מהדורת מכון משנת ר"א&gt; - 2 כר'</v>
      </c>
    </row>
    <row r="8258" spans="1:6" x14ac:dyDescent="0.2">
      <c r="A8258" t="s">
        <v>14531</v>
      </c>
      <c r="B8258" t="s">
        <v>4485</v>
      </c>
      <c r="C8258" t="s">
        <v>20</v>
      </c>
      <c r="D8258" t="s">
        <v>423</v>
      </c>
      <c r="E8258" t="s">
        <v>5712</v>
      </c>
      <c r="F8258" s="2" t="str">
        <f>HYPERLINK("http://www.otzar.org/book.asp?150865","דברי חיים &lt;עם פירוש נצרף לחיים&gt; - בבא מציעא")</f>
        <v>דברי חיים &lt;עם פירוש נצרף לחיים&gt; - בבא מציעא</v>
      </c>
    </row>
    <row r="8259" spans="1:6" x14ac:dyDescent="0.2">
      <c r="A8259" t="s">
        <v>14532</v>
      </c>
      <c r="B8259" t="s">
        <v>4485</v>
      </c>
      <c r="C8259" t="s">
        <v>46</v>
      </c>
      <c r="D8259" t="s">
        <v>9</v>
      </c>
      <c r="E8259" t="s">
        <v>154</v>
      </c>
      <c r="F8259" s="2" t="str">
        <f>HYPERLINK("http://www.otzar.org/book.asp?9942","דברי חיים &lt;שו""ת&gt; - 2 כר'")</f>
        <v>דברי חיים &lt;שו"ת&gt; - 2 כר'</v>
      </c>
    </row>
    <row r="8260" spans="1:6" x14ac:dyDescent="0.2">
      <c r="A8260" t="s">
        <v>14533</v>
      </c>
      <c r="B8260" t="s">
        <v>4485</v>
      </c>
      <c r="C8260" t="s">
        <v>51</v>
      </c>
      <c r="D8260" t="s">
        <v>9</v>
      </c>
      <c r="E8260" t="s">
        <v>154</v>
      </c>
      <c r="F8260" s="2" t="str">
        <f>HYPERLINK("http://www.otzar.org/book.asp?168286","דברי חיים (שו""ת) &lt;מהדורה חדשה&gt; - 3 כר'")</f>
        <v>דברי חיים (שו"ת) &lt;מהדורה חדשה&gt; - 3 כר'</v>
      </c>
    </row>
    <row r="8261" spans="1:6" x14ac:dyDescent="0.2">
      <c r="A8261" t="s">
        <v>14534</v>
      </c>
      <c r="B8261" t="s">
        <v>4485</v>
      </c>
      <c r="C8261" t="s">
        <v>244</v>
      </c>
      <c r="D8261" t="s">
        <v>52</v>
      </c>
      <c r="F8261" s="2" t="str">
        <f>HYPERLINK("http://www.otzar.org/book.asp?631849","דברי חיים (שו""ת) &lt;עם הערות והוספות&gt; - 3 כר'")</f>
        <v>דברי חיים (שו"ת) &lt;עם הערות והוספות&gt; - 3 כר'</v>
      </c>
    </row>
    <row r="8262" spans="1:6" x14ac:dyDescent="0.2">
      <c r="A8262" t="s">
        <v>14535</v>
      </c>
      <c r="B8262" t="s">
        <v>14536</v>
      </c>
      <c r="C8262" t="s">
        <v>168</v>
      </c>
      <c r="D8262" t="s">
        <v>412</v>
      </c>
      <c r="F8262" s="2" t="str">
        <f>HYPERLINK("http://www.otzar.org/book.asp?617596","דברי חיים דוב - 6 כר'")</f>
        <v>דברי חיים דוב - 6 כר'</v>
      </c>
    </row>
    <row r="8263" spans="1:6" x14ac:dyDescent="0.2">
      <c r="A8263" t="s">
        <v>14537</v>
      </c>
      <c r="B8263" t="s">
        <v>4485</v>
      </c>
      <c r="C8263" t="s">
        <v>129</v>
      </c>
      <c r="D8263" t="s">
        <v>52</v>
      </c>
      <c r="E8263" t="s">
        <v>154</v>
      </c>
      <c r="F8263" s="2" t="str">
        <f>HYPERLINK("http://www.otzar.org/book.asp?157803","דברי חיים השלם &lt;מתוך מהדורה עתידית&gt;")</f>
        <v>דברי חיים השלם &lt;מתוך מהדורה עתידית&gt;</v>
      </c>
    </row>
    <row r="8264" spans="1:6" x14ac:dyDescent="0.2">
      <c r="A8264" t="s">
        <v>14538</v>
      </c>
      <c r="B8264" t="s">
        <v>14539</v>
      </c>
      <c r="C8264" t="s">
        <v>466</v>
      </c>
      <c r="D8264" t="s">
        <v>412</v>
      </c>
      <c r="E8264" t="s">
        <v>1296</v>
      </c>
      <c r="F8264" s="2" t="str">
        <f>HYPERLINK("http://www.otzar.org/book.asp?144520","דברי חיים ואמת")</f>
        <v>דברי חיים ואמת</v>
      </c>
    </row>
    <row r="8265" spans="1:6" x14ac:dyDescent="0.2">
      <c r="A8265" t="s">
        <v>14540</v>
      </c>
      <c r="B8265" t="s">
        <v>14530</v>
      </c>
      <c r="C8265" t="s">
        <v>14541</v>
      </c>
      <c r="D8265" t="s">
        <v>327</v>
      </c>
      <c r="E8265" t="s">
        <v>148</v>
      </c>
      <c r="F8265" s="2" t="str">
        <f>HYPERLINK("http://www.otzar.org/book.asp?100793","דברי חיים")</f>
        <v>דברי חיים</v>
      </c>
    </row>
    <row r="8266" spans="1:6" x14ac:dyDescent="0.2">
      <c r="A8266" t="s">
        <v>14540</v>
      </c>
      <c r="B8266" t="s">
        <v>14542</v>
      </c>
      <c r="C8266" t="s">
        <v>5823</v>
      </c>
      <c r="D8266" t="s">
        <v>56</v>
      </c>
      <c r="E8266" t="s">
        <v>435</v>
      </c>
      <c r="F8266" s="2" t="str">
        <f>HYPERLINK("http://www.otzar.org/book.asp?107399","דברי חיים")</f>
        <v>דברי חיים</v>
      </c>
    </row>
    <row r="8267" spans="1:6" x14ac:dyDescent="0.2">
      <c r="A8267" t="s">
        <v>14540</v>
      </c>
      <c r="B8267" t="s">
        <v>10648</v>
      </c>
      <c r="C8267" t="s">
        <v>20</v>
      </c>
      <c r="D8267" t="s">
        <v>14</v>
      </c>
      <c r="E8267" t="s">
        <v>15</v>
      </c>
      <c r="F8267" s="2" t="str">
        <f>HYPERLINK("http://www.otzar.org/book.asp?25088","דברי חיים")</f>
        <v>דברי חיים</v>
      </c>
    </row>
    <row r="8268" spans="1:6" x14ac:dyDescent="0.2">
      <c r="A8268" t="s">
        <v>14540</v>
      </c>
      <c r="B8268" t="s">
        <v>14543</v>
      </c>
      <c r="C8268" t="s">
        <v>888</v>
      </c>
      <c r="D8268" t="s">
        <v>283</v>
      </c>
      <c r="E8268" t="s">
        <v>325</v>
      </c>
      <c r="F8268" s="2" t="str">
        <f>HYPERLINK("http://www.otzar.org/book.asp?17463","דברי חיים")</f>
        <v>דברי חיים</v>
      </c>
    </row>
    <row r="8269" spans="1:6" x14ac:dyDescent="0.2">
      <c r="A8269" t="s">
        <v>14544</v>
      </c>
      <c r="B8269" t="s">
        <v>4485</v>
      </c>
      <c r="C8269" t="s">
        <v>46</v>
      </c>
      <c r="D8269" t="s">
        <v>9</v>
      </c>
      <c r="E8269" t="s">
        <v>4683</v>
      </c>
      <c r="F8269" s="2" t="str">
        <f>HYPERLINK("http://www.otzar.org/book.asp?196076","דברי חיים - 7 כר'")</f>
        <v>דברי חיים - 7 כר'</v>
      </c>
    </row>
    <row r="8270" spans="1:6" x14ac:dyDescent="0.2">
      <c r="A8270" t="s">
        <v>14540</v>
      </c>
      <c r="B8270" t="s">
        <v>14545</v>
      </c>
      <c r="C8270" t="s">
        <v>438</v>
      </c>
      <c r="D8270" t="s">
        <v>14546</v>
      </c>
      <c r="E8270" t="s">
        <v>241</v>
      </c>
      <c r="F8270" s="2" t="str">
        <f>HYPERLINK("http://www.otzar.org/book.asp?161955","דברי חיים")</f>
        <v>דברי חיים</v>
      </c>
    </row>
    <row r="8271" spans="1:6" x14ac:dyDescent="0.2">
      <c r="A8271" t="s">
        <v>14540</v>
      </c>
      <c r="B8271" t="s">
        <v>14547</v>
      </c>
      <c r="C8271" t="s">
        <v>1202</v>
      </c>
      <c r="D8271" t="s">
        <v>14548</v>
      </c>
      <c r="E8271" t="s">
        <v>741</v>
      </c>
      <c r="F8271" s="2" t="str">
        <f>HYPERLINK("http://www.otzar.org/book.asp?189493","דברי חיים")</f>
        <v>דברי חיים</v>
      </c>
    </row>
    <row r="8272" spans="1:6" x14ac:dyDescent="0.2">
      <c r="A8272" t="s">
        <v>14540</v>
      </c>
      <c r="B8272" t="s">
        <v>14549</v>
      </c>
      <c r="C8272" t="s">
        <v>14550</v>
      </c>
      <c r="D8272" t="s">
        <v>7342</v>
      </c>
      <c r="E8272" t="s">
        <v>930</v>
      </c>
      <c r="F8272" s="2" t="str">
        <f>HYPERLINK("http://www.otzar.org/book.asp?100838","דברי חיים")</f>
        <v>דברי חיים</v>
      </c>
    </row>
    <row r="8273" spans="1:6" x14ac:dyDescent="0.2">
      <c r="A8273" t="s">
        <v>14540</v>
      </c>
      <c r="B8273" t="s">
        <v>8973</v>
      </c>
      <c r="C8273" t="s">
        <v>1047</v>
      </c>
      <c r="D8273" t="s">
        <v>56</v>
      </c>
      <c r="E8273" t="s">
        <v>14551</v>
      </c>
      <c r="F8273" s="2" t="str">
        <f>HYPERLINK("http://www.otzar.org/book.asp?180747","דברי חיים")</f>
        <v>דברי חיים</v>
      </c>
    </row>
    <row r="8274" spans="1:6" x14ac:dyDescent="0.2">
      <c r="A8274" t="s">
        <v>14540</v>
      </c>
      <c r="B8274" t="s">
        <v>7140</v>
      </c>
      <c r="C8274" t="s">
        <v>1284</v>
      </c>
      <c r="D8274" t="s">
        <v>379</v>
      </c>
      <c r="E8274" t="s">
        <v>158</v>
      </c>
      <c r="F8274" s="2" t="str">
        <f>HYPERLINK("http://www.otzar.org/book.asp?24201","דברי חיים")</f>
        <v>דברי חיים</v>
      </c>
    </row>
    <row r="8275" spans="1:6" x14ac:dyDescent="0.2">
      <c r="A8275" t="s">
        <v>14540</v>
      </c>
      <c r="B8275" t="s">
        <v>14552</v>
      </c>
      <c r="C8275" t="s">
        <v>492</v>
      </c>
      <c r="D8275" t="s">
        <v>267</v>
      </c>
      <c r="E8275" t="s">
        <v>158</v>
      </c>
      <c r="F8275" s="2" t="str">
        <f>HYPERLINK("http://www.otzar.org/book.asp?24202","דברי חיים")</f>
        <v>דברי חיים</v>
      </c>
    </row>
    <row r="8276" spans="1:6" x14ac:dyDescent="0.2">
      <c r="A8276" t="s">
        <v>14540</v>
      </c>
      <c r="B8276" t="s">
        <v>8412</v>
      </c>
      <c r="C8276" t="s">
        <v>888</v>
      </c>
      <c r="D8276" t="s">
        <v>225</v>
      </c>
      <c r="E8276" t="s">
        <v>14553</v>
      </c>
      <c r="F8276" s="2" t="str">
        <f>HYPERLINK("http://www.otzar.org/book.asp?17465","דברי חיים")</f>
        <v>דברי חיים</v>
      </c>
    </row>
    <row r="8277" spans="1:6" x14ac:dyDescent="0.2">
      <c r="A8277" t="s">
        <v>14540</v>
      </c>
      <c r="B8277" t="s">
        <v>14554</v>
      </c>
      <c r="C8277" t="s">
        <v>767</v>
      </c>
      <c r="D8277" t="s">
        <v>14</v>
      </c>
      <c r="E8277" t="s">
        <v>154</v>
      </c>
      <c r="F8277" s="2" t="str">
        <f>HYPERLINK("http://www.otzar.org/book.asp?189698","דברי חיים")</f>
        <v>דברי חיים</v>
      </c>
    </row>
    <row r="8278" spans="1:6" x14ac:dyDescent="0.2">
      <c r="A8278" t="s">
        <v>14555</v>
      </c>
      <c r="B8278" t="s">
        <v>14528</v>
      </c>
      <c r="C8278" t="s">
        <v>635</v>
      </c>
      <c r="D8278" t="s">
        <v>56</v>
      </c>
      <c r="E8278" t="s">
        <v>158</v>
      </c>
      <c r="F8278" s="2" t="str">
        <f>HYPERLINK("http://www.otzar.org/book.asp?189529","דברי חיים - 5 כר'")</f>
        <v>דברי חיים - 5 כר'</v>
      </c>
    </row>
    <row r="8279" spans="1:6" x14ac:dyDescent="0.2">
      <c r="A8279" t="s">
        <v>14540</v>
      </c>
      <c r="B8279" t="s">
        <v>3691</v>
      </c>
      <c r="C8279" t="s">
        <v>1036</v>
      </c>
      <c r="D8279" t="s">
        <v>322</v>
      </c>
      <c r="E8279" t="s">
        <v>474</v>
      </c>
      <c r="F8279" s="2" t="str">
        <f>HYPERLINK("http://www.otzar.org/book.asp?102935","דברי חיים")</f>
        <v>דברי חיים</v>
      </c>
    </row>
    <row r="8280" spans="1:6" x14ac:dyDescent="0.2">
      <c r="A8280" t="s">
        <v>14540</v>
      </c>
      <c r="B8280" t="s">
        <v>14556</v>
      </c>
      <c r="C8280" t="s">
        <v>286</v>
      </c>
      <c r="D8280" t="s">
        <v>12052</v>
      </c>
      <c r="E8280" t="s">
        <v>144</v>
      </c>
      <c r="F8280" s="2" t="str">
        <f>HYPERLINK("http://www.otzar.org/book.asp?24205","דברי חיים")</f>
        <v>דברי חיים</v>
      </c>
    </row>
    <row r="8281" spans="1:6" x14ac:dyDescent="0.2">
      <c r="A8281" t="s">
        <v>14557</v>
      </c>
      <c r="B8281" t="s">
        <v>14558</v>
      </c>
      <c r="C8281" t="s">
        <v>17</v>
      </c>
      <c r="D8281" t="s">
        <v>14</v>
      </c>
      <c r="E8281" t="s">
        <v>424</v>
      </c>
      <c r="F8281" s="2" t="str">
        <f>HYPERLINK("http://www.otzar.org/book.asp?50722","דברי חיל")</f>
        <v>דברי חיל</v>
      </c>
    </row>
    <row r="8282" spans="1:6" x14ac:dyDescent="0.2">
      <c r="A8282" t="s">
        <v>14559</v>
      </c>
      <c r="B8282" t="s">
        <v>14560</v>
      </c>
      <c r="C8282" t="s">
        <v>17</v>
      </c>
      <c r="D8282" t="s">
        <v>14</v>
      </c>
      <c r="E8282" t="s">
        <v>104</v>
      </c>
      <c r="F8282" s="2" t="str">
        <f>HYPERLINK("http://www.otzar.org/book.asp?23487","דברי חכמים &lt;ישועת דוד&gt;")</f>
        <v>דברי חכמים &lt;ישועת דוד&gt;</v>
      </c>
    </row>
    <row r="8283" spans="1:6" x14ac:dyDescent="0.2">
      <c r="A8283" t="s">
        <v>14561</v>
      </c>
      <c r="B8283" t="s">
        <v>4854</v>
      </c>
      <c r="C8283" t="s">
        <v>20</v>
      </c>
      <c r="D8283" t="s">
        <v>367</v>
      </c>
      <c r="F8283" s="2" t="str">
        <f>HYPERLINK("http://www.otzar.org/book.asp?605459","דברי חכמים בנחת - 2 כר'")</f>
        <v>דברי חכמים בנחת - 2 כר'</v>
      </c>
    </row>
    <row r="8284" spans="1:6" x14ac:dyDescent="0.2">
      <c r="A8284" t="s">
        <v>14562</v>
      </c>
      <c r="B8284" t="s">
        <v>1777</v>
      </c>
      <c r="C8284" t="s">
        <v>6784</v>
      </c>
      <c r="D8284" t="s">
        <v>283</v>
      </c>
      <c r="E8284" t="s">
        <v>104</v>
      </c>
      <c r="F8284" s="2" t="str">
        <f>HYPERLINK("http://www.otzar.org/book.asp?53318","דברי חכמים וחידותם  (ועלים לתרופה לרמב""ן)")</f>
        <v>דברי חכמים וחידותם  (ועלים לתרופה לרמב"ן)</v>
      </c>
    </row>
    <row r="8285" spans="1:6" x14ac:dyDescent="0.2">
      <c r="A8285" t="s">
        <v>14563</v>
      </c>
      <c r="B8285" t="s">
        <v>1777</v>
      </c>
      <c r="C8285" t="s">
        <v>2076</v>
      </c>
      <c r="D8285" t="s">
        <v>726</v>
      </c>
      <c r="E8285" t="s">
        <v>588</v>
      </c>
      <c r="F8285" s="2" t="str">
        <f>HYPERLINK("http://www.otzar.org/book.asp?149655","דברי חכמים וחידותם - 3 כר'")</f>
        <v>דברי חכמים וחידותם - 3 כר'</v>
      </c>
    </row>
    <row r="8286" spans="1:6" x14ac:dyDescent="0.2">
      <c r="A8286" t="s">
        <v>14563</v>
      </c>
      <c r="B8286" t="s">
        <v>5620</v>
      </c>
      <c r="C8286" t="s">
        <v>5903</v>
      </c>
      <c r="D8286" t="s">
        <v>1459</v>
      </c>
      <c r="E8286" t="s">
        <v>104</v>
      </c>
      <c r="F8286" s="2" t="str">
        <f>HYPERLINK("http://www.otzar.org/book.asp?168081","דברי חכמים וחידותם - 3 כר'")</f>
        <v>דברי חכמים וחידותם - 3 כר'</v>
      </c>
    </row>
    <row r="8287" spans="1:6" x14ac:dyDescent="0.2">
      <c r="A8287" t="s">
        <v>14564</v>
      </c>
      <c r="B8287" t="s">
        <v>14565</v>
      </c>
      <c r="C8287" t="s">
        <v>1679</v>
      </c>
      <c r="D8287" t="s">
        <v>2461</v>
      </c>
      <c r="F8287" s="2" t="str">
        <f>HYPERLINK("http://www.otzar.org/book.asp?150168","דברי חכמים וחידותם")</f>
        <v>דברי חכמים וחידותם</v>
      </c>
    </row>
    <row r="8288" spans="1:6" x14ac:dyDescent="0.2">
      <c r="A8288" t="s">
        <v>14564</v>
      </c>
      <c r="B8288" t="s">
        <v>14566</v>
      </c>
      <c r="C8288" t="s">
        <v>5257</v>
      </c>
      <c r="D8288" t="s">
        <v>7163</v>
      </c>
      <c r="E8288" t="s">
        <v>144</v>
      </c>
      <c r="F8288" s="2" t="str">
        <f>HYPERLINK("http://www.otzar.org/book.asp?104320","דברי חכמים וחידותם")</f>
        <v>דברי חכמים וחידותם</v>
      </c>
    </row>
    <row r="8289" spans="1:6" x14ac:dyDescent="0.2">
      <c r="A8289" t="s">
        <v>14567</v>
      </c>
      <c r="B8289" t="s">
        <v>5622</v>
      </c>
      <c r="C8289" t="s">
        <v>558</v>
      </c>
      <c r="D8289" t="s">
        <v>691</v>
      </c>
      <c r="E8289" t="s">
        <v>15</v>
      </c>
      <c r="F8289" s="2" t="str">
        <f>HYPERLINK("http://www.otzar.org/book.asp?100794","דברי חכמים וחידתם")</f>
        <v>דברי חכמים וחידתם</v>
      </c>
    </row>
    <row r="8290" spans="1:6" x14ac:dyDescent="0.2">
      <c r="A8290" t="s">
        <v>14568</v>
      </c>
      <c r="B8290" t="s">
        <v>14569</v>
      </c>
      <c r="C8290" t="s">
        <v>20</v>
      </c>
      <c r="D8290" t="s">
        <v>90</v>
      </c>
      <c r="E8290" t="s">
        <v>246</v>
      </c>
      <c r="F8290" s="2" t="str">
        <f>HYPERLINK("http://www.otzar.org/book.asp?190956","דברי חכמים - ל""ג בעומר")</f>
        <v>דברי חכמים - ל"ג בעומר</v>
      </c>
    </row>
    <row r="8291" spans="1:6" x14ac:dyDescent="0.2">
      <c r="A8291" t="s">
        <v>14570</v>
      </c>
      <c r="B8291" t="s">
        <v>14571</v>
      </c>
      <c r="C8291" t="s">
        <v>7364</v>
      </c>
      <c r="D8291" t="s">
        <v>60</v>
      </c>
      <c r="E8291" t="s">
        <v>104</v>
      </c>
      <c r="F8291" s="2" t="str">
        <f>HYPERLINK("http://www.otzar.org/book.asp?145165","דברי חכמים")</f>
        <v>דברי חכמים</v>
      </c>
    </row>
    <row r="8292" spans="1:6" x14ac:dyDescent="0.2">
      <c r="A8292" t="s">
        <v>14570</v>
      </c>
      <c r="B8292" t="s">
        <v>14572</v>
      </c>
      <c r="C8292" t="s">
        <v>1619</v>
      </c>
      <c r="D8292" t="s">
        <v>14</v>
      </c>
      <c r="E8292" t="s">
        <v>154</v>
      </c>
      <c r="F8292" s="2" t="str">
        <f>HYPERLINK("http://www.otzar.org/book.asp?144251","דברי חכמים")</f>
        <v>דברי חכמים</v>
      </c>
    </row>
    <row r="8293" spans="1:6" x14ac:dyDescent="0.2">
      <c r="A8293" t="s">
        <v>14570</v>
      </c>
      <c r="B8293" t="s">
        <v>14573</v>
      </c>
      <c r="C8293" t="s">
        <v>1844</v>
      </c>
      <c r="D8293" t="s">
        <v>1459</v>
      </c>
      <c r="E8293" t="s">
        <v>144</v>
      </c>
      <c r="F8293" s="2" t="str">
        <f>HYPERLINK("http://www.otzar.org/book.asp?104895","דברי חכמים")</f>
        <v>דברי חכמים</v>
      </c>
    </row>
    <row r="8294" spans="1:6" x14ac:dyDescent="0.2">
      <c r="A8294" t="s">
        <v>14570</v>
      </c>
      <c r="B8294" t="s">
        <v>10047</v>
      </c>
      <c r="C8294" t="s">
        <v>2105</v>
      </c>
      <c r="D8294" t="s">
        <v>27</v>
      </c>
      <c r="E8294" t="s">
        <v>104</v>
      </c>
      <c r="F8294" s="2" t="str">
        <f>HYPERLINK("http://www.otzar.org/book.asp?189526","דברי חכמים")</f>
        <v>דברי חכמים</v>
      </c>
    </row>
    <row r="8295" spans="1:6" x14ac:dyDescent="0.2">
      <c r="A8295" t="s">
        <v>14570</v>
      </c>
      <c r="B8295" t="s">
        <v>14574</v>
      </c>
      <c r="C8295" t="s">
        <v>1124</v>
      </c>
      <c r="D8295" t="s">
        <v>283</v>
      </c>
      <c r="E8295" t="s">
        <v>674</v>
      </c>
      <c r="F8295" s="2" t="str">
        <f>HYPERLINK("http://www.otzar.org/book.asp?28574","דברי חכמים")</f>
        <v>דברי חכמים</v>
      </c>
    </row>
    <row r="8296" spans="1:6" x14ac:dyDescent="0.2">
      <c r="A8296" t="s">
        <v>14570</v>
      </c>
      <c r="B8296" t="s">
        <v>14525</v>
      </c>
      <c r="C8296" t="s">
        <v>114</v>
      </c>
      <c r="D8296" t="s">
        <v>21</v>
      </c>
      <c r="E8296" t="s">
        <v>241</v>
      </c>
      <c r="F8296" s="2" t="str">
        <f>HYPERLINK("http://www.otzar.org/book.asp?608219","דברי חכמים")</f>
        <v>דברי חכמים</v>
      </c>
    </row>
    <row r="8297" spans="1:6" x14ac:dyDescent="0.2">
      <c r="A8297" t="s">
        <v>14570</v>
      </c>
      <c r="B8297" t="s">
        <v>14575</v>
      </c>
      <c r="C8297" t="s">
        <v>4538</v>
      </c>
      <c r="D8297" t="s">
        <v>60</v>
      </c>
      <c r="E8297" t="s">
        <v>4683</v>
      </c>
      <c r="F8297" s="2" t="str">
        <f>HYPERLINK("http://www.otzar.org/book.asp?141015","דברי חכמים")</f>
        <v>דברי חכמים</v>
      </c>
    </row>
    <row r="8298" spans="1:6" x14ac:dyDescent="0.2">
      <c r="A8298" t="s">
        <v>14576</v>
      </c>
      <c r="B8298" t="s">
        <v>5550</v>
      </c>
      <c r="C8298" t="s">
        <v>124</v>
      </c>
      <c r="D8298" t="s">
        <v>14</v>
      </c>
      <c r="E8298" t="s">
        <v>14577</v>
      </c>
      <c r="F8298" s="2" t="str">
        <f>HYPERLINK("http://www.otzar.org/book.asp?8520","דברי חכמים - 2 כר'")</f>
        <v>דברי חכמים - 2 כר'</v>
      </c>
    </row>
    <row r="8299" spans="1:6" x14ac:dyDescent="0.2">
      <c r="A8299" t="s">
        <v>14576</v>
      </c>
      <c r="B8299" t="s">
        <v>14578</v>
      </c>
      <c r="C8299" t="s">
        <v>1448</v>
      </c>
      <c r="D8299" t="s">
        <v>216</v>
      </c>
      <c r="E8299" t="s">
        <v>213</v>
      </c>
      <c r="F8299" s="2" t="str">
        <f>HYPERLINK("http://www.otzar.org/book.asp?63806","דברי חכמים - 2 כר'")</f>
        <v>דברי חכמים - 2 כר'</v>
      </c>
    </row>
    <row r="8300" spans="1:6" x14ac:dyDescent="0.2">
      <c r="A8300" t="s">
        <v>14579</v>
      </c>
      <c r="B8300" t="s">
        <v>14580</v>
      </c>
      <c r="C8300" t="s">
        <v>189</v>
      </c>
      <c r="D8300" t="s">
        <v>14</v>
      </c>
      <c r="E8300" t="s">
        <v>172</v>
      </c>
      <c r="F8300" s="2" t="str">
        <f>HYPERLINK("http://www.otzar.org/book.asp?176812","דברי חכמים - 3 כר'")</f>
        <v>דברי חכמים - 3 כר'</v>
      </c>
    </row>
    <row r="8301" spans="1:6" x14ac:dyDescent="0.2">
      <c r="A8301" t="s">
        <v>14581</v>
      </c>
      <c r="B8301" t="s">
        <v>14582</v>
      </c>
      <c r="C8301" t="s">
        <v>422</v>
      </c>
      <c r="D8301" t="s">
        <v>3859</v>
      </c>
      <c r="F8301" s="2" t="str">
        <f>HYPERLINK("http://www.otzar.org/book.asp?605930","דברי חכמים - ציצית")</f>
        <v>דברי חכמים - ציצית</v>
      </c>
    </row>
    <row r="8302" spans="1:6" x14ac:dyDescent="0.2">
      <c r="A8302" t="s">
        <v>14570</v>
      </c>
      <c r="B8302" t="s">
        <v>14583</v>
      </c>
      <c r="C8302" t="s">
        <v>3690</v>
      </c>
      <c r="D8302" t="s">
        <v>1419</v>
      </c>
      <c r="E8302" t="s">
        <v>1626</v>
      </c>
      <c r="F8302" s="2" t="str">
        <f>HYPERLINK("http://www.otzar.org/book.asp?189527","דברי חכמים")</f>
        <v>דברי חכמים</v>
      </c>
    </row>
    <row r="8303" spans="1:6" x14ac:dyDescent="0.2">
      <c r="A8303" t="s">
        <v>14570</v>
      </c>
      <c r="B8303" t="s">
        <v>14584</v>
      </c>
      <c r="C8303" t="s">
        <v>2550</v>
      </c>
      <c r="D8303" t="s">
        <v>13354</v>
      </c>
      <c r="E8303" t="s">
        <v>579</v>
      </c>
      <c r="F8303" s="2" t="str">
        <f>HYPERLINK("http://www.otzar.org/book.asp?102936","דברי חכמים")</f>
        <v>דברי חכמים</v>
      </c>
    </row>
    <row r="8304" spans="1:6" x14ac:dyDescent="0.2">
      <c r="A8304" t="s">
        <v>14585</v>
      </c>
      <c r="B8304" t="s">
        <v>107</v>
      </c>
      <c r="C8304" t="s">
        <v>466</v>
      </c>
      <c r="D8304" t="s">
        <v>14</v>
      </c>
      <c r="E8304" t="s">
        <v>104</v>
      </c>
      <c r="F8304" s="2" t="str">
        <f>HYPERLINK("http://www.otzar.org/book.asp?6296","דברי חלומות")</f>
        <v>דברי חלומות</v>
      </c>
    </row>
    <row r="8305" spans="1:6" x14ac:dyDescent="0.2">
      <c r="A8305" t="s">
        <v>14586</v>
      </c>
      <c r="B8305" t="s">
        <v>776</v>
      </c>
      <c r="C8305" t="s">
        <v>46</v>
      </c>
      <c r="D8305" t="s">
        <v>27</v>
      </c>
      <c r="E8305" t="s">
        <v>104</v>
      </c>
      <c r="F8305" s="2" t="str">
        <f>HYPERLINK("http://www.otzar.org/book.asp?179212","דברי חן")</f>
        <v>דברי חן</v>
      </c>
    </row>
    <row r="8306" spans="1:6" x14ac:dyDescent="0.2">
      <c r="A8306" t="s">
        <v>14586</v>
      </c>
      <c r="B8306" t="s">
        <v>14587</v>
      </c>
      <c r="C8306" t="s">
        <v>2644</v>
      </c>
      <c r="D8306" t="s">
        <v>225</v>
      </c>
      <c r="E8306" t="s">
        <v>154</v>
      </c>
      <c r="F8306" s="2" t="str">
        <f>HYPERLINK("http://www.otzar.org/book.asp?102774","דברי חן")</f>
        <v>דברי חן</v>
      </c>
    </row>
    <row r="8307" spans="1:6" x14ac:dyDescent="0.2">
      <c r="A8307" t="s">
        <v>14586</v>
      </c>
      <c r="B8307" t="s">
        <v>3292</v>
      </c>
      <c r="C8307" t="s">
        <v>581</v>
      </c>
      <c r="D8307" t="s">
        <v>14202</v>
      </c>
      <c r="E8307" t="s">
        <v>234</v>
      </c>
      <c r="F8307" s="2" t="str">
        <f>HYPERLINK("http://www.otzar.org/book.asp?108216","דברי חן")</f>
        <v>דברי חן</v>
      </c>
    </row>
    <row r="8308" spans="1:6" x14ac:dyDescent="0.2">
      <c r="A8308" t="s">
        <v>14586</v>
      </c>
      <c r="B8308" t="s">
        <v>14588</v>
      </c>
      <c r="C8308" t="s">
        <v>362</v>
      </c>
      <c r="D8308" t="s">
        <v>6214</v>
      </c>
      <c r="F8308" s="2" t="str">
        <f>HYPERLINK("http://www.otzar.org/book.asp?197404","דברי חן")</f>
        <v>דברי חן</v>
      </c>
    </row>
    <row r="8309" spans="1:6" x14ac:dyDescent="0.2">
      <c r="A8309" t="s">
        <v>14589</v>
      </c>
      <c r="B8309" t="s">
        <v>14590</v>
      </c>
      <c r="C8309" t="s">
        <v>419</v>
      </c>
      <c r="D8309" t="s">
        <v>14591</v>
      </c>
      <c r="E8309" t="s">
        <v>119</v>
      </c>
      <c r="F8309" s="2" t="str">
        <f>HYPERLINK("http://www.otzar.org/book.asp?603813","דברי חנה השלם")</f>
        <v>דברי חנה השלם</v>
      </c>
    </row>
    <row r="8310" spans="1:6" x14ac:dyDescent="0.2">
      <c r="A8310" t="s">
        <v>14592</v>
      </c>
      <c r="B8310" t="s">
        <v>14593</v>
      </c>
      <c r="C8310" t="s">
        <v>1062</v>
      </c>
      <c r="D8310" t="s">
        <v>9</v>
      </c>
      <c r="E8310" t="s">
        <v>2054</v>
      </c>
      <c r="F8310" s="2" t="str">
        <f>HYPERLINK("http://www.otzar.org/book.asp?285","דברי חנה")</f>
        <v>דברי חנה</v>
      </c>
    </row>
    <row r="8311" spans="1:6" x14ac:dyDescent="0.2">
      <c r="A8311" t="s">
        <v>14594</v>
      </c>
      <c r="B8311" t="s">
        <v>14595</v>
      </c>
      <c r="C8311" t="s">
        <v>503</v>
      </c>
      <c r="D8311" t="s">
        <v>267</v>
      </c>
      <c r="E8311" t="s">
        <v>684</v>
      </c>
      <c r="F8311" s="2" t="str">
        <f>HYPERLINK("http://www.otzar.org/book.asp?51198","דברי חנוך ושאול בן הלוי")</f>
        <v>דברי חנוך ושאול בן הלוי</v>
      </c>
    </row>
    <row r="8312" spans="1:6" x14ac:dyDescent="0.2">
      <c r="A8312" t="s">
        <v>14596</v>
      </c>
      <c r="B8312" t="s">
        <v>14558</v>
      </c>
      <c r="C8312" t="s">
        <v>383</v>
      </c>
      <c r="D8312" t="s">
        <v>14</v>
      </c>
      <c r="E8312" t="s">
        <v>15</v>
      </c>
      <c r="F8312" s="2" t="str">
        <f>HYPERLINK("http://www.otzar.org/book.asp?50299","דברי חנינא - 4 כר'")</f>
        <v>דברי חנינא - 4 כר'</v>
      </c>
    </row>
    <row r="8313" spans="1:6" x14ac:dyDescent="0.2">
      <c r="A8313" t="s">
        <v>14597</v>
      </c>
      <c r="B8313" t="s">
        <v>14598</v>
      </c>
      <c r="C8313" t="s">
        <v>1844</v>
      </c>
      <c r="D8313" t="s">
        <v>56</v>
      </c>
      <c r="E8313" t="s">
        <v>158</v>
      </c>
      <c r="F8313" s="2" t="str">
        <f>HYPERLINK("http://www.otzar.org/book.asp?24208","דברי חפץ &lt;קהלת&gt;")</f>
        <v>דברי חפץ &lt;קהלת&gt;</v>
      </c>
    </row>
    <row r="8314" spans="1:6" x14ac:dyDescent="0.2">
      <c r="A8314" t="s">
        <v>14599</v>
      </c>
      <c r="B8314" t="s">
        <v>13274</v>
      </c>
      <c r="C8314" t="s">
        <v>291</v>
      </c>
      <c r="D8314" t="s">
        <v>563</v>
      </c>
      <c r="E8314" t="s">
        <v>1626</v>
      </c>
      <c r="F8314" s="2" t="str">
        <f>HYPERLINK("http://www.otzar.org/book.asp?188575","דברי חפץ")</f>
        <v>דברי חפץ</v>
      </c>
    </row>
    <row r="8315" spans="1:6" x14ac:dyDescent="0.2">
      <c r="A8315" t="s">
        <v>14599</v>
      </c>
      <c r="B8315" t="s">
        <v>14600</v>
      </c>
      <c r="C8315" t="s">
        <v>6448</v>
      </c>
      <c r="D8315" t="s">
        <v>76</v>
      </c>
      <c r="E8315" t="s">
        <v>234</v>
      </c>
      <c r="F8315" s="2" t="str">
        <f>HYPERLINK("http://www.otzar.org/book.asp?102876","דברי חפץ")</f>
        <v>דברי חפץ</v>
      </c>
    </row>
    <row r="8316" spans="1:6" x14ac:dyDescent="0.2">
      <c r="A8316" t="s">
        <v>14601</v>
      </c>
      <c r="B8316" t="s">
        <v>14602</v>
      </c>
      <c r="C8316" t="s">
        <v>1885</v>
      </c>
      <c r="D8316" t="s">
        <v>283</v>
      </c>
      <c r="E8316" t="s">
        <v>234</v>
      </c>
      <c r="F8316" s="2" t="str">
        <f>HYPERLINK("http://www.otzar.org/book.asp?25495","דברי חפץ - א-ב")</f>
        <v>דברי חפץ - א-ב</v>
      </c>
    </row>
    <row r="8317" spans="1:6" x14ac:dyDescent="0.2">
      <c r="A8317" t="s">
        <v>14603</v>
      </c>
      <c r="B8317" t="s">
        <v>14604</v>
      </c>
      <c r="C8317" t="s">
        <v>13</v>
      </c>
      <c r="D8317" t="s">
        <v>14605</v>
      </c>
      <c r="E8317" t="s">
        <v>246</v>
      </c>
      <c r="F8317" s="2" t="str">
        <f>HYPERLINK("http://www.otzar.org/book.asp?629111","דברי חפץ - זמן מתן תורתנו")</f>
        <v>דברי חפץ - זמן מתן תורתנו</v>
      </c>
    </row>
    <row r="8318" spans="1:6" x14ac:dyDescent="0.2">
      <c r="A8318" t="s">
        <v>14599</v>
      </c>
      <c r="B8318" t="s">
        <v>14606</v>
      </c>
      <c r="C8318" t="s">
        <v>129</v>
      </c>
      <c r="D8318" t="s">
        <v>90</v>
      </c>
      <c r="E8318" t="s">
        <v>325</v>
      </c>
      <c r="F8318" s="2" t="str">
        <f>HYPERLINK("http://www.otzar.org/book.asp?166242","דברי חפץ")</f>
        <v>דברי חפץ</v>
      </c>
    </row>
    <row r="8319" spans="1:6" x14ac:dyDescent="0.2">
      <c r="A8319" t="s">
        <v>14607</v>
      </c>
      <c r="B8319" t="s">
        <v>14608</v>
      </c>
      <c r="C8319" t="s">
        <v>114</v>
      </c>
      <c r="D8319" t="s">
        <v>14</v>
      </c>
      <c r="E8319" t="s">
        <v>1211</v>
      </c>
      <c r="F8319" s="2" t="str">
        <f>HYPERLINK("http://www.otzar.org/book.asp?162172","דברי חפץ - 2 כר'")</f>
        <v>דברי חפץ - 2 כר'</v>
      </c>
    </row>
    <row r="8320" spans="1:6" x14ac:dyDescent="0.2">
      <c r="A8320" t="s">
        <v>14599</v>
      </c>
      <c r="B8320" t="s">
        <v>14609</v>
      </c>
      <c r="C8320" t="s">
        <v>482</v>
      </c>
      <c r="D8320" t="s">
        <v>14</v>
      </c>
      <c r="E8320" t="s">
        <v>2071</v>
      </c>
      <c r="F8320" s="2" t="str">
        <f>HYPERLINK("http://www.otzar.org/book.asp?60361","דברי חפץ")</f>
        <v>דברי חפץ</v>
      </c>
    </row>
    <row r="8321" spans="1:6" x14ac:dyDescent="0.2">
      <c r="A8321" t="s">
        <v>14610</v>
      </c>
      <c r="B8321" t="s">
        <v>14611</v>
      </c>
      <c r="C8321" t="s">
        <v>244</v>
      </c>
      <c r="D8321" t="s">
        <v>1156</v>
      </c>
      <c r="E8321" t="s">
        <v>154</v>
      </c>
      <c r="F8321" s="2" t="str">
        <f>HYPERLINK("http://www.otzar.org/book.asp?621693","דברי חפץ - א")</f>
        <v>דברי חפץ - א</v>
      </c>
    </row>
    <row r="8322" spans="1:6" x14ac:dyDescent="0.2">
      <c r="A8322" t="s">
        <v>14612</v>
      </c>
      <c r="B8322" t="s">
        <v>14613</v>
      </c>
      <c r="C8322" t="s">
        <v>37</v>
      </c>
      <c r="D8322" t="s">
        <v>52</v>
      </c>
      <c r="E8322" t="s">
        <v>202</v>
      </c>
      <c r="F8322" s="2" t="str">
        <f>HYPERLINK("http://www.otzar.org/book.asp?180473","דברי חפץ - 13 כר'")</f>
        <v>דברי חפץ - 13 כר'</v>
      </c>
    </row>
    <row r="8323" spans="1:6" x14ac:dyDescent="0.2">
      <c r="A8323" t="s">
        <v>14599</v>
      </c>
      <c r="B8323" t="s">
        <v>14614</v>
      </c>
      <c r="C8323" t="s">
        <v>482</v>
      </c>
      <c r="D8323" t="s">
        <v>216</v>
      </c>
      <c r="E8323" t="s">
        <v>325</v>
      </c>
      <c r="F8323" s="2" t="str">
        <f>HYPERLINK("http://www.otzar.org/book.asp?143373","דברי חפץ")</f>
        <v>דברי חפץ</v>
      </c>
    </row>
    <row r="8324" spans="1:6" x14ac:dyDescent="0.2">
      <c r="A8324" t="s">
        <v>14615</v>
      </c>
      <c r="B8324" t="s">
        <v>14616</v>
      </c>
      <c r="C8324" t="s">
        <v>462</v>
      </c>
      <c r="D8324" t="s">
        <v>9</v>
      </c>
      <c r="E8324" t="s">
        <v>234</v>
      </c>
      <c r="F8324" s="2" t="str">
        <f>HYPERLINK("http://www.otzar.org/book.asp?180748","דברי חשב")</f>
        <v>דברי חשב</v>
      </c>
    </row>
    <row r="8325" spans="1:6" x14ac:dyDescent="0.2">
      <c r="A8325" t="s">
        <v>14617</v>
      </c>
      <c r="B8325" t="s">
        <v>14618</v>
      </c>
      <c r="C8325" t="s">
        <v>244</v>
      </c>
      <c r="D8325" t="s">
        <v>21</v>
      </c>
      <c r="E8325" t="s">
        <v>10</v>
      </c>
      <c r="F8325" s="2" t="str">
        <f>HYPERLINK("http://www.otzar.org/book.asp?196703","דברי טביא")</f>
        <v>דברי טביא</v>
      </c>
    </row>
    <row r="8326" spans="1:6" x14ac:dyDescent="0.2">
      <c r="A8326" t="s">
        <v>14619</v>
      </c>
      <c r="B8326" t="s">
        <v>14620</v>
      </c>
      <c r="C8326" t="s">
        <v>366</v>
      </c>
      <c r="D8326" t="s">
        <v>52</v>
      </c>
      <c r="F8326" s="2" t="str">
        <f>HYPERLINK("http://www.otzar.org/book.asp?603675","דברי טובה &lt;שער הפסוקים&gt; - בראשית")</f>
        <v>דברי טובה &lt;שער הפסוקים&gt; - בראשית</v>
      </c>
    </row>
    <row r="8327" spans="1:6" x14ac:dyDescent="0.2">
      <c r="A8327" t="s">
        <v>14621</v>
      </c>
      <c r="B8327" t="s">
        <v>14620</v>
      </c>
      <c r="C8327" t="s">
        <v>37</v>
      </c>
      <c r="D8327" t="s">
        <v>52</v>
      </c>
      <c r="E8327" t="s">
        <v>158</v>
      </c>
      <c r="F8327" s="2" t="str">
        <f>HYPERLINK("http://www.otzar.org/book.asp?180767","דברי טובה - 18 כר'")</f>
        <v>דברי טובה - 18 כר'</v>
      </c>
    </row>
    <row r="8328" spans="1:6" x14ac:dyDescent="0.2">
      <c r="A8328" t="s">
        <v>14622</v>
      </c>
      <c r="B8328" t="s">
        <v>14623</v>
      </c>
      <c r="C8328" t="s">
        <v>2644</v>
      </c>
      <c r="D8328" t="s">
        <v>283</v>
      </c>
      <c r="E8328" t="s">
        <v>508</v>
      </c>
      <c r="F8328" s="2" t="str">
        <f>HYPERLINK("http://www.otzar.org/book.asp?100795","דברי טעם")</f>
        <v>דברי טעם</v>
      </c>
    </row>
    <row r="8329" spans="1:6" x14ac:dyDescent="0.2">
      <c r="A8329" t="s">
        <v>14624</v>
      </c>
      <c r="B8329" t="s">
        <v>14625</v>
      </c>
      <c r="C8329" t="s">
        <v>14626</v>
      </c>
      <c r="D8329" t="s">
        <v>280</v>
      </c>
      <c r="E8329" t="s">
        <v>158</v>
      </c>
      <c r="F8329" s="2" t="str">
        <f>HYPERLINK("http://www.otzar.org/book.asp?102937","דברי יא""ר - 2 כר'")</f>
        <v>דברי יא"ר - 2 כר'</v>
      </c>
    </row>
    <row r="8330" spans="1:6" x14ac:dyDescent="0.2">
      <c r="A8330" t="s">
        <v>14627</v>
      </c>
      <c r="B8330" t="s">
        <v>1791</v>
      </c>
      <c r="C8330" t="s">
        <v>71</v>
      </c>
      <c r="D8330" t="s">
        <v>14</v>
      </c>
      <c r="E8330" t="s">
        <v>474</v>
      </c>
      <c r="F8330" s="2" t="str">
        <f>HYPERLINK("http://www.otzar.org/book.asp?106027","דברי יאיר")</f>
        <v>דברי יאיר</v>
      </c>
    </row>
    <row r="8331" spans="1:6" x14ac:dyDescent="0.2">
      <c r="A8331" t="s">
        <v>14627</v>
      </c>
      <c r="B8331" t="s">
        <v>14628</v>
      </c>
      <c r="C8331" t="s">
        <v>10572</v>
      </c>
      <c r="D8331" t="s">
        <v>4703</v>
      </c>
      <c r="E8331" t="s">
        <v>158</v>
      </c>
      <c r="F8331" s="2" t="str">
        <f>HYPERLINK("http://www.otzar.org/book.asp?22414","דברי יאיר")</f>
        <v>דברי יאיר</v>
      </c>
    </row>
    <row r="8332" spans="1:6" x14ac:dyDescent="0.2">
      <c r="A8332" t="s">
        <v>14629</v>
      </c>
      <c r="B8332" t="s">
        <v>6661</v>
      </c>
      <c r="C8332" t="s">
        <v>114</v>
      </c>
      <c r="D8332" t="s">
        <v>486</v>
      </c>
      <c r="F8332" s="2" t="str">
        <f>HYPERLINK("http://www.otzar.org/book.asp?611892","דברי יאשיהו לבב ימים - בין פסח לעצרת")</f>
        <v>דברי יאשיהו לבב ימים - בין פסח לעצרת</v>
      </c>
    </row>
    <row r="8333" spans="1:6" x14ac:dyDescent="0.2">
      <c r="A8333" t="s">
        <v>14630</v>
      </c>
      <c r="B8333" t="s">
        <v>6661</v>
      </c>
      <c r="C8333" t="s">
        <v>114</v>
      </c>
      <c r="D8333" t="s">
        <v>52</v>
      </c>
      <c r="E8333" t="s">
        <v>104</v>
      </c>
      <c r="F8333" s="2" t="str">
        <f>HYPERLINK("http://www.otzar.org/book.asp?161044","דברי יאשיהו - טוב עין")</f>
        <v>דברי יאשיהו - טוב עין</v>
      </c>
    </row>
    <row r="8334" spans="1:6" x14ac:dyDescent="0.2">
      <c r="A8334" t="s">
        <v>14631</v>
      </c>
      <c r="B8334" t="s">
        <v>14632</v>
      </c>
      <c r="C8334" t="s">
        <v>17</v>
      </c>
      <c r="D8334" t="s">
        <v>52</v>
      </c>
      <c r="E8334" t="s">
        <v>957</v>
      </c>
      <c r="F8334" s="2" t="str">
        <f>HYPERLINK("http://www.otzar.org/book.asp?50675","דברי ידידיה - בראשית, שיר השירים")</f>
        <v>דברי ידידיה - בראשית, שיר השירים</v>
      </c>
    </row>
    <row r="8335" spans="1:6" x14ac:dyDescent="0.2">
      <c r="A8335" t="s">
        <v>14633</v>
      </c>
      <c r="B8335" t="s">
        <v>14634</v>
      </c>
      <c r="C8335" t="s">
        <v>3573</v>
      </c>
      <c r="D8335" t="s">
        <v>60</v>
      </c>
      <c r="E8335" t="s">
        <v>84</v>
      </c>
      <c r="F8335" s="2" t="str">
        <f>HYPERLINK("http://www.otzar.org/book.asp?51380","דברי יהודא")</f>
        <v>דברי יהודא</v>
      </c>
    </row>
    <row r="8336" spans="1:6" x14ac:dyDescent="0.2">
      <c r="A8336" t="s">
        <v>14635</v>
      </c>
      <c r="B8336" t="s">
        <v>14636</v>
      </c>
      <c r="C8336" t="s">
        <v>356</v>
      </c>
      <c r="D8336" t="s">
        <v>14</v>
      </c>
      <c r="E8336" t="s">
        <v>158</v>
      </c>
      <c r="F8336" s="2" t="str">
        <f>HYPERLINK("http://www.otzar.org/book.asp?179769","דברי יהודה וקול יהודה - 2 כר'")</f>
        <v>דברי יהודה וקול יהודה - 2 כר'</v>
      </c>
    </row>
    <row r="8337" spans="1:6" x14ac:dyDescent="0.2">
      <c r="A8337" t="s">
        <v>14637</v>
      </c>
      <c r="B8337" t="s">
        <v>14638</v>
      </c>
      <c r="C8337" t="s">
        <v>2644</v>
      </c>
      <c r="D8337" t="s">
        <v>283</v>
      </c>
      <c r="E8337" t="s">
        <v>154</v>
      </c>
      <c r="F8337" s="2" t="str">
        <f>HYPERLINK("http://www.otzar.org/book.asp?100796","דברי יהודה")</f>
        <v>דברי יהודה</v>
      </c>
    </row>
    <row r="8338" spans="1:6" x14ac:dyDescent="0.2">
      <c r="A8338" t="s">
        <v>14639</v>
      </c>
      <c r="B8338" t="s">
        <v>14640</v>
      </c>
      <c r="C8338" t="s">
        <v>445</v>
      </c>
      <c r="D8338" t="s">
        <v>9</v>
      </c>
      <c r="E8338" t="s">
        <v>2915</v>
      </c>
      <c r="F8338" s="2" t="str">
        <f>HYPERLINK("http://www.otzar.org/book.asp?51227","דברי יהודה - 3 כר'")</f>
        <v>דברי יהודה - 3 כר'</v>
      </c>
    </row>
    <row r="8339" spans="1:6" x14ac:dyDescent="0.2">
      <c r="A8339" t="s">
        <v>14641</v>
      </c>
      <c r="B8339" t="s">
        <v>9130</v>
      </c>
      <c r="C8339" t="s">
        <v>37</v>
      </c>
      <c r="D8339" t="s">
        <v>52</v>
      </c>
      <c r="E8339" t="s">
        <v>219</v>
      </c>
      <c r="F8339" s="2" t="str">
        <f>HYPERLINK("http://www.otzar.org/book.asp?623794","דברי יהודה - 4 כר'")</f>
        <v>דברי יהודה - 4 כר'</v>
      </c>
    </row>
    <row r="8340" spans="1:6" x14ac:dyDescent="0.2">
      <c r="A8340" t="s">
        <v>14637</v>
      </c>
      <c r="B8340" t="s">
        <v>14642</v>
      </c>
      <c r="C8340" t="s">
        <v>1418</v>
      </c>
      <c r="D8340" t="s">
        <v>535</v>
      </c>
      <c r="E8340" t="s">
        <v>435</v>
      </c>
      <c r="F8340" s="2" t="str">
        <f>HYPERLINK("http://www.otzar.org/book.asp?152942","דברי יהודה")</f>
        <v>דברי יהודה</v>
      </c>
    </row>
    <row r="8341" spans="1:6" x14ac:dyDescent="0.2">
      <c r="A8341" t="s">
        <v>14643</v>
      </c>
      <c r="B8341" t="s">
        <v>14636</v>
      </c>
      <c r="C8341" t="s">
        <v>356</v>
      </c>
      <c r="D8341" t="s">
        <v>14</v>
      </c>
      <c r="E8341" t="s">
        <v>158</v>
      </c>
      <c r="F8341" s="2" t="str">
        <f>HYPERLINK("http://www.otzar.org/book.asp?189711","דברי יהודה, קול יהודה")</f>
        <v>דברי יהודה, קול יהודה</v>
      </c>
    </row>
    <row r="8342" spans="1:6" x14ac:dyDescent="0.2">
      <c r="A8342" t="s">
        <v>14644</v>
      </c>
      <c r="B8342" t="s">
        <v>1990</v>
      </c>
      <c r="C8342" t="s">
        <v>3205</v>
      </c>
      <c r="D8342" t="s">
        <v>14</v>
      </c>
      <c r="E8342" t="s">
        <v>230</v>
      </c>
      <c r="F8342" s="2" t="str">
        <f>HYPERLINK("http://www.otzar.org/book.asp?611089","דברי יהונתן - 3 כר'")</f>
        <v>דברי יהונתן - 3 כר'</v>
      </c>
    </row>
    <row r="8343" spans="1:6" x14ac:dyDescent="0.2">
      <c r="A8343" t="s">
        <v>14645</v>
      </c>
      <c r="B8343" t="s">
        <v>14646</v>
      </c>
      <c r="C8343" t="s">
        <v>1470</v>
      </c>
      <c r="D8343" t="s">
        <v>5659</v>
      </c>
      <c r="E8343" t="s">
        <v>158</v>
      </c>
      <c r="F8343" s="2" t="str">
        <f>HYPERLINK("http://www.otzar.org/book.asp?161164","דברי יהושיע")</f>
        <v>דברי יהושיע</v>
      </c>
    </row>
    <row r="8344" spans="1:6" x14ac:dyDescent="0.2">
      <c r="A8344" t="s">
        <v>14647</v>
      </c>
      <c r="B8344" t="s">
        <v>14648</v>
      </c>
      <c r="C8344" t="s">
        <v>767</v>
      </c>
      <c r="D8344" t="s">
        <v>14</v>
      </c>
      <c r="E8344" t="s">
        <v>144</v>
      </c>
      <c r="F8344" s="2" t="str">
        <f>HYPERLINK("http://www.otzar.org/book.asp?159280","דברי יהושע דוד - מנחות")</f>
        <v>דברי יהושע דוד - מנחות</v>
      </c>
    </row>
    <row r="8345" spans="1:6" x14ac:dyDescent="0.2">
      <c r="A8345" t="s">
        <v>14649</v>
      </c>
      <c r="B8345" t="s">
        <v>2184</v>
      </c>
      <c r="C8345" t="s">
        <v>1166</v>
      </c>
      <c r="D8345" t="s">
        <v>56</v>
      </c>
      <c r="E8345" t="s">
        <v>213</v>
      </c>
      <c r="F8345" s="2" t="str">
        <f>HYPERLINK("http://www.otzar.org/book.asp?6118","דברי יהושע - 4 כר'")</f>
        <v>דברי יהושע - 4 כר'</v>
      </c>
    </row>
    <row r="8346" spans="1:6" x14ac:dyDescent="0.2">
      <c r="A8346" t="s">
        <v>14650</v>
      </c>
      <c r="B8346" t="s">
        <v>14651</v>
      </c>
      <c r="C8346" t="s">
        <v>13</v>
      </c>
      <c r="D8346" t="s">
        <v>14</v>
      </c>
      <c r="E8346" t="s">
        <v>3516</v>
      </c>
      <c r="F8346" s="2" t="str">
        <f>HYPERLINK("http://www.otzar.org/book.asp?62858","דברי יהושע - 2 כר'")</f>
        <v>דברי יהושע - 2 כר'</v>
      </c>
    </row>
    <row r="8347" spans="1:6" x14ac:dyDescent="0.2">
      <c r="A8347" t="s">
        <v>14652</v>
      </c>
      <c r="B8347" t="s">
        <v>14653</v>
      </c>
      <c r="C8347" t="s">
        <v>63</v>
      </c>
      <c r="D8347" t="s">
        <v>412</v>
      </c>
      <c r="E8347" t="s">
        <v>901</v>
      </c>
      <c r="F8347" s="2" t="str">
        <f>HYPERLINK("http://www.otzar.org/book.asp?283","דברי יהושע")</f>
        <v>דברי יהושע</v>
      </c>
    </row>
    <row r="8348" spans="1:6" x14ac:dyDescent="0.2">
      <c r="A8348" t="s">
        <v>14652</v>
      </c>
      <c r="B8348" t="s">
        <v>14654</v>
      </c>
      <c r="C8348" t="s">
        <v>14655</v>
      </c>
      <c r="D8348" t="s">
        <v>4269</v>
      </c>
      <c r="E8348" t="s">
        <v>1185</v>
      </c>
      <c r="F8348" s="2" t="str">
        <f>HYPERLINK("http://www.otzar.org/book.asp?10104","דברי יהושע")</f>
        <v>דברי יהושע</v>
      </c>
    </row>
    <row r="8349" spans="1:6" x14ac:dyDescent="0.2">
      <c r="A8349" t="s">
        <v>14652</v>
      </c>
      <c r="B8349" t="s">
        <v>801</v>
      </c>
      <c r="C8349" t="s">
        <v>854</v>
      </c>
      <c r="D8349" t="s">
        <v>283</v>
      </c>
      <c r="E8349" t="s">
        <v>474</v>
      </c>
      <c r="F8349" s="2" t="str">
        <f>HYPERLINK("http://www.otzar.org/book.asp?17579","דברי יהושע")</f>
        <v>דברי יהושע</v>
      </c>
    </row>
    <row r="8350" spans="1:6" x14ac:dyDescent="0.2">
      <c r="A8350" t="s">
        <v>14656</v>
      </c>
      <c r="B8350" t="s">
        <v>14657</v>
      </c>
      <c r="C8350" t="s">
        <v>103</v>
      </c>
      <c r="D8350" t="s">
        <v>52</v>
      </c>
      <c r="E8350" t="s">
        <v>144</v>
      </c>
      <c r="F8350" s="2" t="str">
        <f>HYPERLINK("http://www.otzar.org/book.asp?156880","דברי יהושע - 6 כר'")</f>
        <v>דברי יהושע - 6 כר'</v>
      </c>
    </row>
    <row r="8351" spans="1:6" x14ac:dyDescent="0.2">
      <c r="A8351" t="s">
        <v>14652</v>
      </c>
      <c r="B8351" t="s">
        <v>14658</v>
      </c>
      <c r="E8351" t="s">
        <v>213</v>
      </c>
      <c r="F8351" s="2" t="str">
        <f>HYPERLINK("http://www.otzar.org/book.asp?627842","דברי יהושע")</f>
        <v>דברי יהושע</v>
      </c>
    </row>
    <row r="8352" spans="1:6" x14ac:dyDescent="0.2">
      <c r="A8352" t="s">
        <v>14659</v>
      </c>
      <c r="B8352" t="s">
        <v>14660</v>
      </c>
      <c r="C8352" t="s">
        <v>23</v>
      </c>
      <c r="D8352" t="s">
        <v>90</v>
      </c>
      <c r="F8352" s="2" t="str">
        <f>HYPERLINK("http://www.otzar.org/book.asp?621617","דברי יהושע - 3 כר'")</f>
        <v>דברי יהושע - 3 כר'</v>
      </c>
    </row>
    <row r="8353" spans="1:6" x14ac:dyDescent="0.2">
      <c r="A8353" t="s">
        <v>14661</v>
      </c>
      <c r="B8353" t="s">
        <v>14662</v>
      </c>
      <c r="C8353" t="s">
        <v>146</v>
      </c>
      <c r="D8353" t="s">
        <v>1180</v>
      </c>
      <c r="E8353" t="s">
        <v>158</v>
      </c>
      <c r="F8353" s="2" t="str">
        <f>HYPERLINK("http://www.otzar.org/book.asp?170742","דברי יואל &lt;תורה - 5 כר'")</f>
        <v>דברי יואל &lt;תורה - 5 כר'</v>
      </c>
    </row>
    <row r="8354" spans="1:6" x14ac:dyDescent="0.2">
      <c r="A8354" t="s">
        <v>14663</v>
      </c>
      <c r="B8354" t="s">
        <v>14662</v>
      </c>
      <c r="C8354" t="s">
        <v>189</v>
      </c>
      <c r="D8354" t="s">
        <v>1180</v>
      </c>
      <c r="E8354" t="s">
        <v>158</v>
      </c>
      <c r="F8354" s="2" t="str">
        <f>HYPERLINK("http://www.otzar.org/book.asp?170733","דברי יואל &lt;תורה&gt; - 9 כר'")</f>
        <v>דברי יואל &lt;תורה&gt; - 9 כר'</v>
      </c>
    </row>
    <row r="8355" spans="1:6" x14ac:dyDescent="0.2">
      <c r="A8355" t="s">
        <v>14664</v>
      </c>
      <c r="B8355" t="s">
        <v>14662</v>
      </c>
      <c r="C8355" t="s">
        <v>940</v>
      </c>
      <c r="D8355" t="s">
        <v>14</v>
      </c>
      <c r="E8355" t="s">
        <v>3055</v>
      </c>
      <c r="F8355" s="2" t="str">
        <f>HYPERLINK("http://www.otzar.org/book.asp?615639","דברי יואל - 20 כר'")</f>
        <v>דברי יואל - 20 כר'</v>
      </c>
    </row>
    <row r="8356" spans="1:6" x14ac:dyDescent="0.2">
      <c r="A8356" t="s">
        <v>14665</v>
      </c>
      <c r="B8356" t="s">
        <v>14666</v>
      </c>
      <c r="C8356" t="s">
        <v>51</v>
      </c>
      <c r="D8356" t="s">
        <v>412</v>
      </c>
      <c r="E8356" t="s">
        <v>474</v>
      </c>
      <c r="F8356" s="2" t="str">
        <f>HYPERLINK("http://www.otzar.org/book.asp?162325","דברי יונה - 2 כר'")</f>
        <v>דברי יונה - 2 כר'</v>
      </c>
    </row>
    <row r="8357" spans="1:6" x14ac:dyDescent="0.2">
      <c r="A8357" t="s">
        <v>14667</v>
      </c>
      <c r="B8357" t="s">
        <v>14668</v>
      </c>
      <c r="C8357" t="s">
        <v>366</v>
      </c>
      <c r="D8357" t="s">
        <v>21</v>
      </c>
      <c r="E8357" t="s">
        <v>158</v>
      </c>
      <c r="F8357" s="2" t="str">
        <f>HYPERLINK("http://www.otzar.org/book.asp?608229","דברי יונתן - קהלת")</f>
        <v>דברי יונתן - קהלת</v>
      </c>
    </row>
    <row r="8358" spans="1:6" x14ac:dyDescent="0.2">
      <c r="A8358" t="s">
        <v>14669</v>
      </c>
      <c r="B8358" t="s">
        <v>14670</v>
      </c>
      <c r="C8358" t="s">
        <v>1863</v>
      </c>
      <c r="D8358" t="s">
        <v>212</v>
      </c>
      <c r="F8358" s="2" t="str">
        <f>HYPERLINK("http://www.otzar.org/book.asp?612050","דברי יוסף")</f>
        <v>דברי יוסף</v>
      </c>
    </row>
    <row r="8359" spans="1:6" x14ac:dyDescent="0.2">
      <c r="A8359" t="s">
        <v>14669</v>
      </c>
      <c r="B8359" t="s">
        <v>14671</v>
      </c>
      <c r="C8359" t="s">
        <v>956</v>
      </c>
      <c r="D8359" t="s">
        <v>27</v>
      </c>
      <c r="E8359" t="s">
        <v>154</v>
      </c>
      <c r="F8359" s="2" t="str">
        <f>HYPERLINK("http://www.otzar.org/book.asp?177163","דברי יוסף")</f>
        <v>דברי יוסף</v>
      </c>
    </row>
    <row r="8360" spans="1:6" x14ac:dyDescent="0.2">
      <c r="A8360" t="s">
        <v>14672</v>
      </c>
      <c r="B8360" t="s">
        <v>14673</v>
      </c>
      <c r="C8360" t="s">
        <v>87</v>
      </c>
      <c r="D8360" t="s">
        <v>14</v>
      </c>
      <c r="E8360" t="s">
        <v>803</v>
      </c>
      <c r="F8360" s="2" t="str">
        <f>HYPERLINK("http://www.otzar.org/book.asp?160036","דברי יוסף - 2 כר'")</f>
        <v>דברי יוסף - 2 כר'</v>
      </c>
    </row>
    <row r="8361" spans="1:6" x14ac:dyDescent="0.2">
      <c r="A8361" t="s">
        <v>14669</v>
      </c>
      <c r="B8361" t="s">
        <v>7799</v>
      </c>
      <c r="C8361" t="s">
        <v>1954</v>
      </c>
      <c r="D8361" t="s">
        <v>412</v>
      </c>
      <c r="E8361" t="s">
        <v>508</v>
      </c>
      <c r="F8361" s="2" t="str">
        <f>HYPERLINK("http://www.otzar.org/book.asp?6876","דברי יוסף")</f>
        <v>דברי יוסף</v>
      </c>
    </row>
    <row r="8362" spans="1:6" x14ac:dyDescent="0.2">
      <c r="A8362" t="s">
        <v>14669</v>
      </c>
      <c r="B8362" t="s">
        <v>14674</v>
      </c>
      <c r="C8362" t="s">
        <v>785</v>
      </c>
      <c r="D8362" t="s">
        <v>14</v>
      </c>
      <c r="E8362" t="s">
        <v>104</v>
      </c>
      <c r="F8362" s="2" t="str">
        <f>HYPERLINK("http://www.otzar.org/book.asp?623785","דברי יוסף")</f>
        <v>דברי יוסף</v>
      </c>
    </row>
    <row r="8363" spans="1:6" x14ac:dyDescent="0.2">
      <c r="A8363" t="s">
        <v>14669</v>
      </c>
      <c r="B8363" t="s">
        <v>14675</v>
      </c>
      <c r="C8363" t="s">
        <v>103</v>
      </c>
      <c r="D8363" t="s">
        <v>412</v>
      </c>
      <c r="E8363" t="s">
        <v>4683</v>
      </c>
      <c r="F8363" s="2" t="str">
        <f>HYPERLINK("http://www.otzar.org/book.asp?159277","דברי יוסף")</f>
        <v>דברי יוסף</v>
      </c>
    </row>
    <row r="8364" spans="1:6" x14ac:dyDescent="0.2">
      <c r="A8364" t="s">
        <v>14669</v>
      </c>
      <c r="B8364" t="s">
        <v>14676</v>
      </c>
      <c r="C8364" t="s">
        <v>2672</v>
      </c>
      <c r="D8364" t="s">
        <v>49</v>
      </c>
      <c r="E8364" t="s">
        <v>234</v>
      </c>
      <c r="F8364" s="2" t="str">
        <f>HYPERLINK("http://www.otzar.org/book.asp?149988","דברי יוסף")</f>
        <v>דברי יוסף</v>
      </c>
    </row>
    <row r="8365" spans="1:6" x14ac:dyDescent="0.2">
      <c r="A8365" t="s">
        <v>14669</v>
      </c>
      <c r="B8365" t="s">
        <v>14677</v>
      </c>
      <c r="C8365" t="s">
        <v>17</v>
      </c>
      <c r="D8365" t="s">
        <v>14</v>
      </c>
      <c r="E8365" t="s">
        <v>15</v>
      </c>
      <c r="F8365" s="2" t="str">
        <f>HYPERLINK("http://www.otzar.org/book.asp?53627","דברי יוסף")</f>
        <v>דברי יוסף</v>
      </c>
    </row>
    <row r="8366" spans="1:6" x14ac:dyDescent="0.2">
      <c r="A8366" t="s">
        <v>14669</v>
      </c>
      <c r="B8366" t="s">
        <v>14678</v>
      </c>
      <c r="C8366" t="s">
        <v>553</v>
      </c>
      <c r="D8366" t="s">
        <v>52</v>
      </c>
      <c r="E8366" t="s">
        <v>104</v>
      </c>
      <c r="F8366" s="2" t="str">
        <f>HYPERLINK("http://www.otzar.org/book.asp?164969","דברי יוסף")</f>
        <v>דברי יוסף</v>
      </c>
    </row>
    <row r="8367" spans="1:6" x14ac:dyDescent="0.2">
      <c r="A8367" t="s">
        <v>14679</v>
      </c>
      <c r="B8367" t="s">
        <v>14680</v>
      </c>
      <c r="C8367" t="s">
        <v>624</v>
      </c>
      <c r="D8367" t="s">
        <v>14</v>
      </c>
      <c r="E8367" t="s">
        <v>148</v>
      </c>
      <c r="F8367" s="2" t="str">
        <f>HYPERLINK("http://www.otzar.org/book.asp?25989","דברי יוסף - 4 כר'")</f>
        <v>דברי יוסף - 4 כר'</v>
      </c>
    </row>
    <row r="8368" spans="1:6" x14ac:dyDescent="0.2">
      <c r="A8368" t="s">
        <v>14669</v>
      </c>
      <c r="B8368" t="s">
        <v>14681</v>
      </c>
      <c r="C8368" t="s">
        <v>919</v>
      </c>
      <c r="D8368" t="s">
        <v>216</v>
      </c>
      <c r="E8368" t="s">
        <v>920</v>
      </c>
      <c r="F8368" s="2" t="str">
        <f>HYPERLINK("http://www.otzar.org/book.asp?60087","דברי יוסף")</f>
        <v>דברי יוסף</v>
      </c>
    </row>
    <row r="8369" spans="1:6" x14ac:dyDescent="0.2">
      <c r="A8369" t="s">
        <v>14669</v>
      </c>
      <c r="B8369" t="s">
        <v>14682</v>
      </c>
      <c r="C8369" t="s">
        <v>20</v>
      </c>
      <c r="D8369" t="s">
        <v>367</v>
      </c>
      <c r="E8369" t="s">
        <v>130</v>
      </c>
      <c r="F8369" s="2" t="str">
        <f>HYPERLINK("http://www.otzar.org/book.asp?606454","דברי יוסף")</f>
        <v>דברי יוסף</v>
      </c>
    </row>
    <row r="8370" spans="1:6" x14ac:dyDescent="0.2">
      <c r="A8370" t="s">
        <v>14683</v>
      </c>
      <c r="B8370" t="s">
        <v>14684</v>
      </c>
      <c r="C8370" t="s">
        <v>419</v>
      </c>
      <c r="D8370" t="s">
        <v>115</v>
      </c>
      <c r="E8370" t="s">
        <v>158</v>
      </c>
      <c r="F8370" s="2" t="str">
        <f>HYPERLINK("http://www.otzar.org/book.asp?161924","דברי יוסף - בראשית שמות")</f>
        <v>דברי יוסף - בראשית שמות</v>
      </c>
    </row>
    <row r="8371" spans="1:6" x14ac:dyDescent="0.2">
      <c r="A8371" t="s">
        <v>14672</v>
      </c>
      <c r="B8371" t="s">
        <v>14685</v>
      </c>
      <c r="C8371" t="s">
        <v>71</v>
      </c>
      <c r="D8371" t="s">
        <v>1180</v>
      </c>
      <c r="E8371" t="s">
        <v>158</v>
      </c>
      <c r="F8371" s="2" t="str">
        <f>HYPERLINK("http://www.otzar.org/book.asp?163951","דברי יוסף - 2 כר'")</f>
        <v>דברי יוסף - 2 כר'</v>
      </c>
    </row>
    <row r="8372" spans="1:6" x14ac:dyDescent="0.2">
      <c r="A8372" t="s">
        <v>14679</v>
      </c>
      <c r="B8372" t="s">
        <v>14686</v>
      </c>
      <c r="C8372" t="s">
        <v>12905</v>
      </c>
      <c r="D8372" t="s">
        <v>9</v>
      </c>
      <c r="E8372" t="s">
        <v>10711</v>
      </c>
      <c r="F8372" s="2" t="str">
        <f>HYPERLINK("http://www.otzar.org/book.asp?104896","דברי יוסף - 4 כר'")</f>
        <v>דברי יוסף - 4 כר'</v>
      </c>
    </row>
    <row r="8373" spans="1:6" x14ac:dyDescent="0.2">
      <c r="A8373" t="s">
        <v>14672</v>
      </c>
      <c r="B8373" t="s">
        <v>2050</v>
      </c>
      <c r="C8373" t="s">
        <v>1374</v>
      </c>
      <c r="D8373" t="s">
        <v>267</v>
      </c>
      <c r="E8373" t="s">
        <v>230</v>
      </c>
      <c r="F8373" s="2" t="str">
        <f>HYPERLINK("http://www.otzar.org/book.asp?10791","דברי יוסף - 2 כר'")</f>
        <v>דברי יוסף - 2 כר'</v>
      </c>
    </row>
    <row r="8374" spans="1:6" x14ac:dyDescent="0.2">
      <c r="A8374" t="s">
        <v>14679</v>
      </c>
      <c r="B8374" t="s">
        <v>14687</v>
      </c>
      <c r="C8374" t="s">
        <v>14688</v>
      </c>
      <c r="D8374" t="s">
        <v>6238</v>
      </c>
      <c r="E8374" t="s">
        <v>172</v>
      </c>
      <c r="F8374" s="2" t="str">
        <f>HYPERLINK("http://www.otzar.org/book.asp?15336","דברי יוסף - 4 כר'")</f>
        <v>דברי יוסף - 4 כר'</v>
      </c>
    </row>
    <row r="8375" spans="1:6" x14ac:dyDescent="0.2">
      <c r="A8375" t="s">
        <v>14689</v>
      </c>
      <c r="B8375" t="s">
        <v>12853</v>
      </c>
      <c r="C8375" t="s">
        <v>14690</v>
      </c>
      <c r="D8375" t="s">
        <v>27</v>
      </c>
      <c r="E8375" t="s">
        <v>104</v>
      </c>
      <c r="F8375" s="2" t="str">
        <f>HYPERLINK("http://www.otzar.org/book.asp?13458","דברי יוסף - 3 כר'")</f>
        <v>דברי יוסף - 3 כר'</v>
      </c>
    </row>
    <row r="8376" spans="1:6" x14ac:dyDescent="0.2">
      <c r="A8376" t="s">
        <v>14669</v>
      </c>
      <c r="B8376" t="s">
        <v>14691</v>
      </c>
      <c r="C8376" t="s">
        <v>68</v>
      </c>
      <c r="D8376" t="s">
        <v>14</v>
      </c>
      <c r="E8376" t="s">
        <v>14692</v>
      </c>
      <c r="F8376" s="2" t="str">
        <f>HYPERLINK("http://www.otzar.org/book.asp?155415","דברי יוסף")</f>
        <v>דברי יוסף</v>
      </c>
    </row>
    <row r="8377" spans="1:6" x14ac:dyDescent="0.2">
      <c r="A8377" t="s">
        <v>14693</v>
      </c>
      <c r="B8377" t="s">
        <v>14694</v>
      </c>
      <c r="C8377" t="s">
        <v>390</v>
      </c>
      <c r="D8377" t="s">
        <v>14</v>
      </c>
      <c r="E8377" t="s">
        <v>14695</v>
      </c>
      <c r="F8377" s="2" t="str">
        <f>HYPERLINK("http://www.otzar.org/book.asp?6793","דברי יוסף, ויצבור יוסף, יד יוסף")</f>
        <v>דברי יוסף, ויצבור יוסף, יד יוסף</v>
      </c>
    </row>
    <row r="8378" spans="1:6" x14ac:dyDescent="0.2">
      <c r="A8378" t="s">
        <v>14696</v>
      </c>
      <c r="B8378" t="s">
        <v>3900</v>
      </c>
      <c r="C8378" t="s">
        <v>1811</v>
      </c>
      <c r="D8378" t="s">
        <v>14</v>
      </c>
      <c r="E8378" t="s">
        <v>144</v>
      </c>
      <c r="F8378" s="2" t="str">
        <f>HYPERLINK("http://www.otzar.org/book.asp?26857","דברי יושר - 2 כר'")</f>
        <v>דברי יושר - 2 כר'</v>
      </c>
    </row>
    <row r="8379" spans="1:6" x14ac:dyDescent="0.2">
      <c r="A8379" t="s">
        <v>14697</v>
      </c>
      <c r="B8379" t="s">
        <v>14698</v>
      </c>
      <c r="C8379" t="s">
        <v>124</v>
      </c>
      <c r="D8379" t="s">
        <v>14</v>
      </c>
      <c r="E8379" t="s">
        <v>3489</v>
      </c>
      <c r="F8379" s="2" t="str">
        <f>HYPERLINK("http://www.otzar.org/book.asp?105315","דברי יושר - 3 כר'")</f>
        <v>דברי יושר - 3 כר'</v>
      </c>
    </row>
    <row r="8380" spans="1:6" x14ac:dyDescent="0.2">
      <c r="A8380" t="s">
        <v>14699</v>
      </c>
      <c r="B8380" t="s">
        <v>14700</v>
      </c>
      <c r="C8380" t="s">
        <v>133</v>
      </c>
      <c r="D8380" t="s">
        <v>52</v>
      </c>
      <c r="F8380" s="2" t="str">
        <f>HYPERLINK("http://www.otzar.org/book.asp?619613","דברי יחזקאל  &lt;מהדורה חדשה -קונטרס אחרון&gt;")</f>
        <v>דברי יחזקאל  &lt;מהדורה חדשה -קונטרס אחרון&gt;</v>
      </c>
    </row>
    <row r="8381" spans="1:6" x14ac:dyDescent="0.2">
      <c r="A8381" t="s">
        <v>14701</v>
      </c>
      <c r="B8381" t="s">
        <v>1639</v>
      </c>
      <c r="C8381" t="s">
        <v>63</v>
      </c>
      <c r="D8381" t="s">
        <v>27</v>
      </c>
      <c r="F8381" s="2" t="str">
        <f>HYPERLINK("http://www.otzar.org/book.asp?613415","דברי יחזקאל שרגא &lt;הלכות שמיטה&gt;")</f>
        <v>דברי יחזקאל שרגא &lt;הלכות שמיטה&gt;</v>
      </c>
    </row>
    <row r="8382" spans="1:6" x14ac:dyDescent="0.2">
      <c r="A8382" t="s">
        <v>14702</v>
      </c>
      <c r="B8382" t="s">
        <v>1639</v>
      </c>
      <c r="C8382" t="s">
        <v>1954</v>
      </c>
      <c r="D8382" t="s">
        <v>27</v>
      </c>
      <c r="E8382" t="s">
        <v>3567</v>
      </c>
      <c r="F8382" s="2" t="str">
        <f>HYPERLINK("http://www.otzar.org/book.asp?11735","דברי יחזקאל שרגא &lt;הלכות תרומות ומעשרות&gt;")</f>
        <v>דברי יחזקאל שרגא &lt;הלכות תרומות ומעשרות&gt;</v>
      </c>
    </row>
    <row r="8383" spans="1:6" x14ac:dyDescent="0.2">
      <c r="A8383" t="s">
        <v>14703</v>
      </c>
      <c r="B8383" t="s">
        <v>1639</v>
      </c>
      <c r="C8383" t="s">
        <v>1954</v>
      </c>
      <c r="D8383" t="s">
        <v>27</v>
      </c>
      <c r="E8383" t="s">
        <v>14704</v>
      </c>
      <c r="F8383" s="2" t="str">
        <f>HYPERLINK("http://www.otzar.org/book.asp?832","דברי יחזקאל שרגא - 5 כר'")</f>
        <v>דברי יחזקאל שרגא - 5 כר'</v>
      </c>
    </row>
    <row r="8384" spans="1:6" x14ac:dyDescent="0.2">
      <c r="A8384" t="s">
        <v>14705</v>
      </c>
      <c r="B8384" t="s">
        <v>1639</v>
      </c>
      <c r="C8384" t="s">
        <v>189</v>
      </c>
      <c r="D8384" t="s">
        <v>27</v>
      </c>
      <c r="E8384" t="s">
        <v>6767</v>
      </c>
      <c r="F8384" s="2" t="str">
        <f>HYPERLINK("http://www.otzar.org/book.asp?84673","דברי יחזקאל שרגא, תליתא &lt;תורה מועדים&gt;")</f>
        <v>דברי יחזקאל שרגא, תליתא &lt;תורה מועדים&gt;</v>
      </c>
    </row>
    <row r="8385" spans="1:6" x14ac:dyDescent="0.2">
      <c r="A8385" t="s">
        <v>14706</v>
      </c>
      <c r="B8385" t="s">
        <v>14700</v>
      </c>
      <c r="C8385" t="s">
        <v>224</v>
      </c>
      <c r="D8385" t="s">
        <v>10393</v>
      </c>
      <c r="E8385" t="s">
        <v>144</v>
      </c>
      <c r="F8385" s="2" t="str">
        <f>HYPERLINK("http://www.otzar.org/book.asp?16413","דברי יחזקאל - 3 כר'")</f>
        <v>דברי יחזקאל - 3 כר'</v>
      </c>
    </row>
    <row r="8386" spans="1:6" x14ac:dyDescent="0.2">
      <c r="A8386" t="s">
        <v>14707</v>
      </c>
      <c r="B8386" t="s">
        <v>6452</v>
      </c>
      <c r="C8386" t="s">
        <v>581</v>
      </c>
      <c r="D8386" t="s">
        <v>30</v>
      </c>
      <c r="E8386" t="s">
        <v>2879</v>
      </c>
      <c r="F8386" s="2" t="str">
        <f>HYPERLINK("http://www.otzar.org/book.asp?16034","דברי יחזקאל")</f>
        <v>דברי יחזקאל</v>
      </c>
    </row>
    <row r="8387" spans="1:6" x14ac:dyDescent="0.2">
      <c r="A8387" t="s">
        <v>14708</v>
      </c>
      <c r="B8387" t="s">
        <v>14709</v>
      </c>
      <c r="C8387" t="s">
        <v>466</v>
      </c>
      <c r="D8387" t="s">
        <v>2458</v>
      </c>
      <c r="E8387" t="s">
        <v>14710</v>
      </c>
      <c r="F8387" s="2" t="str">
        <f>HYPERLINK("http://www.otzar.org/book.asp?145559","דברי יחזקאל - 2 כר'")</f>
        <v>דברי יחזקאל - 2 כר'</v>
      </c>
    </row>
    <row r="8388" spans="1:6" x14ac:dyDescent="0.2">
      <c r="A8388" t="s">
        <v>14707</v>
      </c>
      <c r="B8388" t="s">
        <v>14711</v>
      </c>
      <c r="C8388" t="s">
        <v>14712</v>
      </c>
      <c r="D8388" t="s">
        <v>1365</v>
      </c>
      <c r="F8388" s="2" t="str">
        <f>HYPERLINK("http://www.otzar.org/book.asp?620611","דברי יחזקאל")</f>
        <v>דברי יחזקאל</v>
      </c>
    </row>
    <row r="8389" spans="1:6" x14ac:dyDescent="0.2">
      <c r="A8389" t="s">
        <v>14707</v>
      </c>
      <c r="B8389" t="s">
        <v>14713</v>
      </c>
      <c r="C8389" t="s">
        <v>940</v>
      </c>
      <c r="D8389" t="s">
        <v>14</v>
      </c>
      <c r="E8389" t="s">
        <v>14714</v>
      </c>
      <c r="F8389" s="2" t="str">
        <f>HYPERLINK("http://www.otzar.org/book.asp?7473","דברי יחזקאל")</f>
        <v>דברי יחזקאל</v>
      </c>
    </row>
    <row r="8390" spans="1:6" x14ac:dyDescent="0.2">
      <c r="A8390" t="s">
        <v>14715</v>
      </c>
      <c r="B8390" t="s">
        <v>3158</v>
      </c>
      <c r="C8390" t="s">
        <v>37</v>
      </c>
      <c r="D8390" t="s">
        <v>14</v>
      </c>
      <c r="E8390" t="s">
        <v>14089</v>
      </c>
      <c r="F8390" s="2" t="str">
        <f>HYPERLINK("http://www.otzar.org/book.asp?182310","דברי יחיאל")</f>
        <v>דברי יחיאל</v>
      </c>
    </row>
    <row r="8391" spans="1:6" x14ac:dyDescent="0.2">
      <c r="A8391" t="s">
        <v>14716</v>
      </c>
      <c r="B8391" t="s">
        <v>3166</v>
      </c>
      <c r="C8391" t="s">
        <v>244</v>
      </c>
      <c r="D8391" t="s">
        <v>21</v>
      </c>
      <c r="F8391" s="2" t="str">
        <f>HYPERLINK("http://www.otzar.org/book.asp?602137","דברי יעקב חיים - 2 כר'")</f>
        <v>דברי יעקב חיים - 2 כר'</v>
      </c>
    </row>
    <row r="8392" spans="1:6" x14ac:dyDescent="0.2">
      <c r="A8392" t="s">
        <v>14717</v>
      </c>
      <c r="C8392" t="s">
        <v>23</v>
      </c>
      <c r="D8392" t="s">
        <v>90</v>
      </c>
      <c r="E8392" t="s">
        <v>15</v>
      </c>
      <c r="F8392" s="2" t="str">
        <f>HYPERLINK("http://www.otzar.org/book.asp?630876","דברי יעקב - שביעית")</f>
        <v>דברי יעקב - שביעית</v>
      </c>
    </row>
    <row r="8393" spans="1:6" x14ac:dyDescent="0.2">
      <c r="A8393" t="s">
        <v>14718</v>
      </c>
      <c r="B8393" t="s">
        <v>6461</v>
      </c>
      <c r="C8393" t="s">
        <v>1535</v>
      </c>
      <c r="D8393" t="s">
        <v>225</v>
      </c>
      <c r="E8393" t="s">
        <v>144</v>
      </c>
      <c r="F8393" s="2" t="str">
        <f>HYPERLINK("http://www.otzar.org/book.asp?17470","דברי יעקב")</f>
        <v>דברי יעקב</v>
      </c>
    </row>
    <row r="8394" spans="1:6" x14ac:dyDescent="0.2">
      <c r="A8394" t="s">
        <v>14719</v>
      </c>
      <c r="B8394" t="s">
        <v>14720</v>
      </c>
      <c r="C8394" t="s">
        <v>13</v>
      </c>
      <c r="D8394" t="s">
        <v>152</v>
      </c>
      <c r="E8394" t="s">
        <v>144</v>
      </c>
      <c r="F8394" s="2" t="str">
        <f>HYPERLINK("http://www.otzar.org/book.asp?61067","דברי יעקב - 2 כר'")</f>
        <v>דברי יעקב - 2 כר'</v>
      </c>
    </row>
    <row r="8395" spans="1:6" x14ac:dyDescent="0.2">
      <c r="A8395" t="s">
        <v>14721</v>
      </c>
      <c r="B8395" t="s">
        <v>14722</v>
      </c>
      <c r="C8395" t="s">
        <v>1811</v>
      </c>
      <c r="D8395" t="s">
        <v>412</v>
      </c>
      <c r="E8395" t="s">
        <v>144</v>
      </c>
      <c r="F8395" s="2" t="str">
        <f>HYPERLINK("http://www.otzar.org/book.asp?155818","דברי יעקב - 3 כר'")</f>
        <v>דברי יעקב - 3 כר'</v>
      </c>
    </row>
    <row r="8396" spans="1:6" x14ac:dyDescent="0.2">
      <c r="A8396" t="s">
        <v>14723</v>
      </c>
      <c r="B8396" t="s">
        <v>2082</v>
      </c>
      <c r="C8396" t="s">
        <v>20</v>
      </c>
      <c r="D8396" t="s">
        <v>14</v>
      </c>
      <c r="E8396" t="s">
        <v>595</v>
      </c>
      <c r="F8396" s="2" t="str">
        <f>HYPERLINK("http://www.otzar.org/book.asp?171665","דברי יעקב - 46 כר'")</f>
        <v>דברי יעקב - 46 כר'</v>
      </c>
    </row>
    <row r="8397" spans="1:6" x14ac:dyDescent="0.2">
      <c r="A8397" t="s">
        <v>14718</v>
      </c>
      <c r="B8397" t="s">
        <v>14724</v>
      </c>
      <c r="C8397" t="s">
        <v>619</v>
      </c>
      <c r="D8397" t="s">
        <v>14725</v>
      </c>
      <c r="E8397" t="s">
        <v>4586</v>
      </c>
      <c r="F8397" s="2" t="str">
        <f>HYPERLINK("http://www.otzar.org/book.asp?63455","דברי יעקב")</f>
        <v>דברי יעקב</v>
      </c>
    </row>
    <row r="8398" spans="1:6" x14ac:dyDescent="0.2">
      <c r="A8398" t="s">
        <v>14719</v>
      </c>
      <c r="B8398" t="s">
        <v>14726</v>
      </c>
      <c r="C8398" t="s">
        <v>728</v>
      </c>
      <c r="D8398" t="s">
        <v>6238</v>
      </c>
      <c r="E8398" t="s">
        <v>154</v>
      </c>
      <c r="F8398" s="2" t="str">
        <f>HYPERLINK("http://www.otzar.org/book.asp?100798","דברי יעקב - 2 כר'")</f>
        <v>דברי יעקב - 2 כר'</v>
      </c>
    </row>
    <row r="8399" spans="1:6" x14ac:dyDescent="0.2">
      <c r="A8399" t="s">
        <v>14727</v>
      </c>
      <c r="B8399" t="s">
        <v>14728</v>
      </c>
      <c r="C8399" t="s">
        <v>1535</v>
      </c>
      <c r="D8399" t="s">
        <v>9</v>
      </c>
      <c r="E8399" t="s">
        <v>234</v>
      </c>
      <c r="F8399" s="2" t="str">
        <f>HYPERLINK("http://www.otzar.org/book.asp?51230","דברי יצחק - 2 כר'")</f>
        <v>דברי יצחק - 2 כר'</v>
      </c>
    </row>
    <row r="8400" spans="1:6" x14ac:dyDescent="0.2">
      <c r="A8400" t="s">
        <v>14729</v>
      </c>
      <c r="B8400" t="s">
        <v>10240</v>
      </c>
      <c r="C8400" t="s">
        <v>1284</v>
      </c>
      <c r="D8400" t="s">
        <v>379</v>
      </c>
      <c r="E8400" t="s">
        <v>140</v>
      </c>
      <c r="F8400" s="2" t="str">
        <f>HYPERLINK("http://www.otzar.org/book.asp?10377","דברי יצחק")</f>
        <v>דברי יצחק</v>
      </c>
    </row>
    <row r="8401" spans="1:6" x14ac:dyDescent="0.2">
      <c r="A8401" t="s">
        <v>14729</v>
      </c>
      <c r="B8401" t="s">
        <v>14730</v>
      </c>
      <c r="C8401" t="s">
        <v>2008</v>
      </c>
      <c r="D8401" t="s">
        <v>2009</v>
      </c>
      <c r="E8401" t="s">
        <v>154</v>
      </c>
      <c r="F8401" s="2" t="str">
        <f>HYPERLINK("http://www.otzar.org/book.asp?17471","דברי יצחק")</f>
        <v>דברי יצחק</v>
      </c>
    </row>
    <row r="8402" spans="1:6" x14ac:dyDescent="0.2">
      <c r="A8402" t="s">
        <v>14729</v>
      </c>
      <c r="B8402" t="s">
        <v>14731</v>
      </c>
      <c r="C8402" t="s">
        <v>106</v>
      </c>
      <c r="D8402" t="s">
        <v>14</v>
      </c>
      <c r="E8402" t="s">
        <v>4160</v>
      </c>
      <c r="F8402" s="2" t="str">
        <f>HYPERLINK("http://www.otzar.org/book.asp?171658","דברי יצחק")</f>
        <v>דברי יצחק</v>
      </c>
    </row>
    <row r="8403" spans="1:6" x14ac:dyDescent="0.2">
      <c r="A8403" t="s">
        <v>14729</v>
      </c>
      <c r="B8403" t="s">
        <v>14501</v>
      </c>
      <c r="C8403" t="s">
        <v>1418</v>
      </c>
      <c r="D8403" t="s">
        <v>56</v>
      </c>
      <c r="E8403" t="s">
        <v>172</v>
      </c>
      <c r="F8403" s="2" t="str">
        <f>HYPERLINK("http://www.otzar.org/book.asp?102087","דברי יצחק")</f>
        <v>דברי יצחק</v>
      </c>
    </row>
    <row r="8404" spans="1:6" x14ac:dyDescent="0.2">
      <c r="A8404" t="s">
        <v>14729</v>
      </c>
      <c r="B8404" t="s">
        <v>14732</v>
      </c>
      <c r="C8404" t="s">
        <v>13</v>
      </c>
      <c r="D8404" t="s">
        <v>14</v>
      </c>
      <c r="E8404" t="s">
        <v>14733</v>
      </c>
      <c r="F8404" s="2" t="str">
        <f>HYPERLINK("http://www.otzar.org/book.asp?62374","דברי יצחק")</f>
        <v>דברי יצחק</v>
      </c>
    </row>
    <row r="8405" spans="1:6" x14ac:dyDescent="0.2">
      <c r="A8405" t="s">
        <v>14734</v>
      </c>
      <c r="B8405" t="s">
        <v>14735</v>
      </c>
      <c r="C8405" t="s">
        <v>244</v>
      </c>
      <c r="D8405" t="s">
        <v>14</v>
      </c>
      <c r="E8405" t="s">
        <v>158</v>
      </c>
      <c r="F8405" s="2" t="str">
        <f>HYPERLINK("http://www.otzar.org/book.asp?616930","דברי יצחק - על התורה")</f>
        <v>דברי יצחק - על התורה</v>
      </c>
    </row>
    <row r="8406" spans="1:6" x14ac:dyDescent="0.2">
      <c r="A8406" t="s">
        <v>14736</v>
      </c>
      <c r="B8406" t="s">
        <v>14737</v>
      </c>
      <c r="C8406" t="s">
        <v>1202</v>
      </c>
      <c r="D8406" t="s">
        <v>974</v>
      </c>
      <c r="E8406" t="s">
        <v>2915</v>
      </c>
      <c r="F8406" s="2" t="str">
        <f>HYPERLINK("http://www.otzar.org/book.asp?51211","דברי יצחק - 3 כר'")</f>
        <v>דברי יצחק - 3 כר'</v>
      </c>
    </row>
    <row r="8407" spans="1:6" x14ac:dyDescent="0.2">
      <c r="A8407" t="s">
        <v>14729</v>
      </c>
      <c r="B8407" t="s">
        <v>14738</v>
      </c>
      <c r="C8407" t="s">
        <v>445</v>
      </c>
      <c r="D8407" t="s">
        <v>225</v>
      </c>
      <c r="E8407" t="s">
        <v>234</v>
      </c>
      <c r="F8407" s="2" t="str">
        <f>HYPERLINK("http://www.otzar.org/book.asp?24217","דברי יצחק")</f>
        <v>דברי יצחק</v>
      </c>
    </row>
    <row r="8408" spans="1:6" x14ac:dyDescent="0.2">
      <c r="A8408" t="s">
        <v>14739</v>
      </c>
      <c r="B8408" t="s">
        <v>3374</v>
      </c>
      <c r="C8408" t="s">
        <v>767</v>
      </c>
      <c r="D8408" t="s">
        <v>423</v>
      </c>
      <c r="E8408" t="s">
        <v>154</v>
      </c>
      <c r="F8408" s="2" t="str">
        <f>HYPERLINK("http://www.otzar.org/book.asp?28185","דברי יציב - 7 כר'")</f>
        <v>דברי יציב - 7 כר'</v>
      </c>
    </row>
    <row r="8409" spans="1:6" x14ac:dyDescent="0.2">
      <c r="A8409" t="s">
        <v>14740</v>
      </c>
      <c r="B8409" t="s">
        <v>14741</v>
      </c>
      <c r="C8409" t="s">
        <v>37</v>
      </c>
      <c r="D8409" t="s">
        <v>14</v>
      </c>
      <c r="E8409" t="s">
        <v>2572</v>
      </c>
      <c r="F8409" s="2" t="str">
        <f>HYPERLINK("http://www.otzar.org/book.asp?621894","דברי יקותיאל")</f>
        <v>דברי יקותיאל</v>
      </c>
    </row>
    <row r="8410" spans="1:6" x14ac:dyDescent="0.2">
      <c r="A8410" t="s">
        <v>14742</v>
      </c>
      <c r="B8410" t="s">
        <v>4737</v>
      </c>
      <c r="C8410" t="s">
        <v>1535</v>
      </c>
      <c r="D8410" t="s">
        <v>691</v>
      </c>
      <c r="E8410" t="s">
        <v>325</v>
      </c>
      <c r="F8410" s="2" t="str">
        <f>HYPERLINK("http://www.otzar.org/book.asp?104088","דברי ירוחם")</f>
        <v>דברי ירוחם</v>
      </c>
    </row>
    <row r="8411" spans="1:6" x14ac:dyDescent="0.2">
      <c r="A8411" t="s">
        <v>14743</v>
      </c>
      <c r="B8411" t="s">
        <v>14744</v>
      </c>
      <c r="C8411" t="s">
        <v>14745</v>
      </c>
      <c r="D8411" t="s">
        <v>56</v>
      </c>
      <c r="E8411" t="s">
        <v>158</v>
      </c>
      <c r="F8411" s="2" t="str">
        <f>HYPERLINK("http://www.otzar.org/book.asp?21339","דברי ירמיהו על התורה - 2 כר'")</f>
        <v>דברי ירמיהו על התורה - 2 כר'</v>
      </c>
    </row>
    <row r="8412" spans="1:6" x14ac:dyDescent="0.2">
      <c r="A8412" t="s">
        <v>14746</v>
      </c>
      <c r="B8412" t="s">
        <v>7065</v>
      </c>
      <c r="C8412" t="s">
        <v>908</v>
      </c>
      <c r="D8412" t="s">
        <v>1966</v>
      </c>
      <c r="E8412" t="s">
        <v>234</v>
      </c>
      <c r="F8412" s="2" t="str">
        <f>HYPERLINK("http://www.otzar.org/book.asp?24219","דברי ירמיהו - 6 כר'")</f>
        <v>דברי ירמיהו - 6 כר'</v>
      </c>
    </row>
    <row r="8413" spans="1:6" x14ac:dyDescent="0.2">
      <c r="A8413" t="s">
        <v>14747</v>
      </c>
      <c r="B8413" t="s">
        <v>14744</v>
      </c>
      <c r="C8413" t="s">
        <v>14745</v>
      </c>
      <c r="D8413" t="s">
        <v>56</v>
      </c>
      <c r="E8413" t="s">
        <v>234</v>
      </c>
      <c r="F8413" s="2" t="str">
        <f>HYPERLINK("http://www.otzar.org/book.asp?7481","דברי ירמיהו - דרושים")</f>
        <v>דברי ירמיהו - דרושים</v>
      </c>
    </row>
    <row r="8414" spans="1:6" x14ac:dyDescent="0.2">
      <c r="A8414" t="s">
        <v>14748</v>
      </c>
      <c r="B8414" t="s">
        <v>14749</v>
      </c>
      <c r="C8414" t="s">
        <v>466</v>
      </c>
      <c r="D8414" t="s">
        <v>118</v>
      </c>
      <c r="E8414" t="s">
        <v>241</v>
      </c>
      <c r="F8414" s="2" t="str">
        <f>HYPERLINK("http://www.otzar.org/book.asp?162034","דברי ישועה ונחמה")</f>
        <v>דברי ישועה ונחמה</v>
      </c>
    </row>
    <row r="8415" spans="1:6" x14ac:dyDescent="0.2">
      <c r="A8415" t="s">
        <v>14750</v>
      </c>
      <c r="B8415" t="s">
        <v>14751</v>
      </c>
      <c r="C8415" t="s">
        <v>180</v>
      </c>
      <c r="D8415" t="s">
        <v>14</v>
      </c>
      <c r="E8415" t="s">
        <v>1185</v>
      </c>
      <c r="F8415" s="2" t="str">
        <f>HYPERLINK("http://www.otzar.org/book.asp?10364","דברי ישכר דוב")</f>
        <v>דברי ישכר דוב</v>
      </c>
    </row>
    <row r="8416" spans="1:6" x14ac:dyDescent="0.2">
      <c r="A8416" t="s">
        <v>14752</v>
      </c>
      <c r="B8416" t="s">
        <v>14753</v>
      </c>
      <c r="C8416" t="s">
        <v>581</v>
      </c>
      <c r="D8416" t="s">
        <v>1117</v>
      </c>
      <c r="E8416" t="s">
        <v>144</v>
      </c>
      <c r="F8416" s="2" t="str">
        <f>HYPERLINK("http://www.otzar.org/book.asp?6875","דברי ישכר")</f>
        <v>דברי ישכר</v>
      </c>
    </row>
    <row r="8417" spans="1:6" x14ac:dyDescent="0.2">
      <c r="A8417" t="s">
        <v>14754</v>
      </c>
      <c r="B8417" t="s">
        <v>14755</v>
      </c>
      <c r="C8417" t="s">
        <v>51</v>
      </c>
      <c r="D8417" t="s">
        <v>9530</v>
      </c>
      <c r="E8417" t="s">
        <v>1185</v>
      </c>
      <c r="F8417" s="2" t="str">
        <f>HYPERLINK("http://www.otzar.org/book.asp?625661","דברי ישכר - 2 כר'")</f>
        <v>דברי ישכר - 2 כר'</v>
      </c>
    </row>
    <row r="8418" spans="1:6" x14ac:dyDescent="0.2">
      <c r="A8418" t="s">
        <v>14756</v>
      </c>
      <c r="B8418" t="s">
        <v>14757</v>
      </c>
      <c r="C8418" t="s">
        <v>99</v>
      </c>
      <c r="D8418" t="s">
        <v>225</v>
      </c>
      <c r="E8418" t="s">
        <v>154</v>
      </c>
      <c r="F8418" s="2" t="str">
        <f>HYPERLINK("http://www.otzar.org/book.asp?24220","דברי ישעיה - 2 כר'")</f>
        <v>דברי ישעיה - 2 כר'</v>
      </c>
    </row>
    <row r="8419" spans="1:6" x14ac:dyDescent="0.2">
      <c r="A8419" t="s">
        <v>14758</v>
      </c>
      <c r="B8419" t="s">
        <v>14759</v>
      </c>
      <c r="C8419" t="s">
        <v>1954</v>
      </c>
      <c r="D8419" t="s">
        <v>27</v>
      </c>
      <c r="E8419" t="s">
        <v>5580</v>
      </c>
      <c r="F8419" s="2" t="str">
        <f>HYPERLINK("http://www.otzar.org/book.asp?6784","דברי ישעיהו")</f>
        <v>דברי ישעיהו</v>
      </c>
    </row>
    <row r="8420" spans="1:6" x14ac:dyDescent="0.2">
      <c r="A8420" t="s">
        <v>14758</v>
      </c>
      <c r="B8420" t="s">
        <v>14760</v>
      </c>
      <c r="C8420" t="s">
        <v>1160</v>
      </c>
      <c r="D8420" t="s">
        <v>14</v>
      </c>
      <c r="E8420" t="s">
        <v>10711</v>
      </c>
      <c r="F8420" s="2" t="str">
        <f>HYPERLINK("http://www.otzar.org/book.asp?105822","דברי ישעיהו")</f>
        <v>דברי ישעיהו</v>
      </c>
    </row>
    <row r="8421" spans="1:6" x14ac:dyDescent="0.2">
      <c r="A8421" t="s">
        <v>14761</v>
      </c>
      <c r="B8421" t="s">
        <v>14762</v>
      </c>
      <c r="C8421" t="s">
        <v>1448</v>
      </c>
      <c r="D8421" t="s">
        <v>118</v>
      </c>
      <c r="E8421" t="s">
        <v>154</v>
      </c>
      <c r="F8421" s="2" t="str">
        <f>HYPERLINK("http://www.otzar.org/book.asp?10930","דברי ישראל - 3 כר'")</f>
        <v>דברי ישראל - 3 כר'</v>
      </c>
    </row>
    <row r="8422" spans="1:6" x14ac:dyDescent="0.2">
      <c r="A8422" t="s">
        <v>14763</v>
      </c>
      <c r="B8422" t="s">
        <v>14764</v>
      </c>
      <c r="C8422" t="s">
        <v>1535</v>
      </c>
      <c r="D8422" t="s">
        <v>9</v>
      </c>
      <c r="E8422" t="s">
        <v>140</v>
      </c>
      <c r="F8422" s="2" t="str">
        <f>HYPERLINK("http://www.otzar.org/book.asp?10400","דברי ישראל - 4 כר'")</f>
        <v>דברי ישראל - 4 כר'</v>
      </c>
    </row>
    <row r="8423" spans="1:6" x14ac:dyDescent="0.2">
      <c r="A8423" t="s">
        <v>14765</v>
      </c>
      <c r="B8423" t="s">
        <v>14766</v>
      </c>
      <c r="C8423" t="s">
        <v>1609</v>
      </c>
      <c r="D8423" t="s">
        <v>412</v>
      </c>
      <c r="E8423" t="s">
        <v>2071</v>
      </c>
      <c r="F8423" s="2" t="str">
        <f>HYPERLINK("http://www.otzar.org/book.asp?51208","דברי ישראל")</f>
        <v>דברי ישראל</v>
      </c>
    </row>
    <row r="8424" spans="1:6" x14ac:dyDescent="0.2">
      <c r="A8424" t="s">
        <v>14767</v>
      </c>
      <c r="B8424" t="s">
        <v>14768</v>
      </c>
      <c r="C8424" t="s">
        <v>1437</v>
      </c>
      <c r="D8424" t="s">
        <v>267</v>
      </c>
      <c r="E8424" t="s">
        <v>10190</v>
      </c>
      <c r="F8424" s="2" t="str">
        <f>HYPERLINK("http://www.otzar.org/book.asp?51228","דברי יששכר")</f>
        <v>דברי יששכר</v>
      </c>
    </row>
    <row r="8425" spans="1:6" x14ac:dyDescent="0.2">
      <c r="A8425" t="s">
        <v>14767</v>
      </c>
      <c r="B8425" t="s">
        <v>14769</v>
      </c>
      <c r="C8425" t="s">
        <v>445</v>
      </c>
      <c r="D8425" t="s">
        <v>225</v>
      </c>
      <c r="E8425" t="s">
        <v>154</v>
      </c>
      <c r="F8425" s="2" t="str">
        <f>HYPERLINK("http://www.otzar.org/book.asp?100797","דברי יששכר")</f>
        <v>דברי יששכר</v>
      </c>
    </row>
    <row r="8426" spans="1:6" x14ac:dyDescent="0.2">
      <c r="A8426" t="s">
        <v>14770</v>
      </c>
      <c r="B8426" t="s">
        <v>14771</v>
      </c>
      <c r="C8426" t="s">
        <v>20</v>
      </c>
      <c r="D8426" t="s">
        <v>486</v>
      </c>
      <c r="F8426" s="2" t="str">
        <f>HYPERLINK("http://www.otzar.org/book.asp?610385","דברי כבושין &lt;מתוך חרדים&gt; - אור צדיקים -אגרות קודש")</f>
        <v>דברי כבושין &lt;מתוך חרדים&gt; - אור צדיקים -אגרות קודש</v>
      </c>
    </row>
    <row r="8427" spans="1:6" x14ac:dyDescent="0.2">
      <c r="A8427" t="s">
        <v>14772</v>
      </c>
      <c r="B8427" t="s">
        <v>14773</v>
      </c>
      <c r="C8427" t="s">
        <v>1494</v>
      </c>
      <c r="D8427" t="s">
        <v>267</v>
      </c>
      <c r="E8427" t="s">
        <v>564</v>
      </c>
      <c r="F8427" s="2" t="str">
        <f>HYPERLINK("http://www.otzar.org/book.asp?149183","דברי כבושין")</f>
        <v>דברי כבושין</v>
      </c>
    </row>
    <row r="8428" spans="1:6" x14ac:dyDescent="0.2">
      <c r="A8428" t="s">
        <v>14774</v>
      </c>
      <c r="B8428" t="s">
        <v>14775</v>
      </c>
      <c r="C8428" t="s">
        <v>79</v>
      </c>
      <c r="D8428" t="s">
        <v>27</v>
      </c>
      <c r="E8428" t="s">
        <v>803</v>
      </c>
      <c r="F8428" s="2" t="str">
        <f>HYPERLINK("http://www.otzar.org/book.asp?11553","דברי לוי - 3 כר'")</f>
        <v>דברי לוי - 3 כר'</v>
      </c>
    </row>
    <row r="8429" spans="1:6" x14ac:dyDescent="0.2">
      <c r="A8429" t="s">
        <v>14776</v>
      </c>
      <c r="B8429" t="s">
        <v>14777</v>
      </c>
      <c r="C8429" t="s">
        <v>1374</v>
      </c>
      <c r="D8429" t="s">
        <v>14778</v>
      </c>
      <c r="E8429" t="s">
        <v>674</v>
      </c>
      <c r="F8429" s="2" t="str">
        <f>HYPERLINK("http://www.otzar.org/book.asp?51212","דברי לוי")</f>
        <v>דברי לוי</v>
      </c>
    </row>
    <row r="8430" spans="1:6" x14ac:dyDescent="0.2">
      <c r="A8430" t="s">
        <v>14779</v>
      </c>
      <c r="B8430" t="s">
        <v>14780</v>
      </c>
      <c r="C8430" t="s">
        <v>496</v>
      </c>
      <c r="D8430" t="s">
        <v>2313</v>
      </c>
      <c r="E8430" t="s">
        <v>1185</v>
      </c>
      <c r="F8430" s="2" t="str">
        <f>HYPERLINK("http://www.otzar.org/book.asp?10544","דברי מאיר - 3 כר'")</f>
        <v>דברי מאיר - 3 כר'</v>
      </c>
    </row>
    <row r="8431" spans="1:6" x14ac:dyDescent="0.2">
      <c r="A8431" t="s">
        <v>14781</v>
      </c>
      <c r="B8431" t="s">
        <v>14782</v>
      </c>
      <c r="C8431" t="s">
        <v>585</v>
      </c>
      <c r="D8431" t="s">
        <v>14</v>
      </c>
      <c r="E8431" t="s">
        <v>2088</v>
      </c>
      <c r="F8431" s="2" t="str">
        <f>HYPERLINK("http://www.otzar.org/book.asp?84801","דברי מאיר - 2 כר'")</f>
        <v>דברי מאיר - 2 כר'</v>
      </c>
    </row>
    <row r="8432" spans="1:6" x14ac:dyDescent="0.2">
      <c r="A8432" t="s">
        <v>14783</v>
      </c>
      <c r="B8432" t="s">
        <v>14784</v>
      </c>
      <c r="C8432" t="s">
        <v>114</v>
      </c>
      <c r="D8432" t="s">
        <v>14</v>
      </c>
      <c r="E8432" t="s">
        <v>130</v>
      </c>
      <c r="F8432" s="2" t="str">
        <f>HYPERLINK("http://www.otzar.org/book.asp?617939","דברי מאיר")</f>
        <v>דברי מאיר</v>
      </c>
    </row>
    <row r="8433" spans="1:6" x14ac:dyDescent="0.2">
      <c r="A8433" t="s">
        <v>14785</v>
      </c>
      <c r="B8433" t="s">
        <v>12589</v>
      </c>
      <c r="C8433" t="s">
        <v>785</v>
      </c>
      <c r="D8433" t="s">
        <v>2285</v>
      </c>
      <c r="E8433" t="s">
        <v>144</v>
      </c>
      <c r="F8433" s="2" t="str">
        <f>HYPERLINK("http://www.otzar.org/book.asp?165187","דברי מאיר - א")</f>
        <v>דברי מאיר - א</v>
      </c>
    </row>
    <row r="8434" spans="1:6" x14ac:dyDescent="0.2">
      <c r="A8434" t="s">
        <v>14785</v>
      </c>
      <c r="B8434" t="s">
        <v>14786</v>
      </c>
      <c r="C8434" t="s">
        <v>1160</v>
      </c>
      <c r="D8434" t="s">
        <v>216</v>
      </c>
      <c r="E8434" t="s">
        <v>14787</v>
      </c>
      <c r="F8434" s="2" t="str">
        <f>HYPERLINK("http://www.otzar.org/book.asp?10740","דברי מאיר - א")</f>
        <v>דברי מאיר - א</v>
      </c>
    </row>
    <row r="8435" spans="1:6" x14ac:dyDescent="0.2">
      <c r="A8435" t="s">
        <v>14783</v>
      </c>
      <c r="B8435" t="s">
        <v>14788</v>
      </c>
      <c r="C8435" t="s">
        <v>1481</v>
      </c>
      <c r="D8435" t="s">
        <v>744</v>
      </c>
      <c r="E8435" t="s">
        <v>144</v>
      </c>
      <c r="F8435" s="2" t="str">
        <f>HYPERLINK("http://www.otzar.org/book.asp?17474","דברי מאיר")</f>
        <v>דברי מאיר</v>
      </c>
    </row>
    <row r="8436" spans="1:6" x14ac:dyDescent="0.2">
      <c r="A8436" t="s">
        <v>14789</v>
      </c>
      <c r="B8436" t="s">
        <v>14790</v>
      </c>
      <c r="C8436" t="s">
        <v>8</v>
      </c>
      <c r="D8436" t="s">
        <v>535</v>
      </c>
      <c r="E8436" t="s">
        <v>2071</v>
      </c>
      <c r="F8436" s="2" t="str">
        <f>HYPERLINK("http://www.otzar.org/book.asp?51213","דברי מהר""ז")</f>
        <v>דברי מהר"ז</v>
      </c>
    </row>
    <row r="8437" spans="1:6" x14ac:dyDescent="0.2">
      <c r="A8437" t="s">
        <v>14791</v>
      </c>
      <c r="B8437" t="s">
        <v>14792</v>
      </c>
      <c r="C8437" t="s">
        <v>1535</v>
      </c>
      <c r="D8437" t="s">
        <v>14793</v>
      </c>
      <c r="E8437" t="s">
        <v>158</v>
      </c>
      <c r="F8437" s="2" t="str">
        <f>HYPERLINK("http://www.otzar.org/book.asp?23673","דברי מהרי""א - 2 כר'")</f>
        <v>דברי מהרי"א - 2 כר'</v>
      </c>
    </row>
    <row r="8438" spans="1:6" x14ac:dyDescent="0.2">
      <c r="A8438" t="s">
        <v>14794</v>
      </c>
      <c r="B8438" t="s">
        <v>14795</v>
      </c>
      <c r="C8438" t="s">
        <v>313</v>
      </c>
      <c r="D8438" t="s">
        <v>52</v>
      </c>
      <c r="E8438" t="s">
        <v>1072</v>
      </c>
      <c r="F8438" s="2" t="str">
        <f>HYPERLINK("http://www.otzar.org/book.asp?26844","דברי מוסר - 3 כר'")</f>
        <v>דברי מוסר - 3 כר'</v>
      </c>
    </row>
    <row r="8439" spans="1:6" x14ac:dyDescent="0.2">
      <c r="A8439" t="s">
        <v>14796</v>
      </c>
      <c r="B8439" t="s">
        <v>2861</v>
      </c>
      <c r="C8439" t="s">
        <v>20</v>
      </c>
      <c r="D8439" t="s">
        <v>52</v>
      </c>
      <c r="E8439" t="s">
        <v>2010</v>
      </c>
      <c r="F8439" s="2" t="str">
        <f>HYPERLINK("http://www.otzar.org/book.asp?146486","דברי מוסר - 2 כר'")</f>
        <v>דברי מוסר - 2 כר'</v>
      </c>
    </row>
    <row r="8440" spans="1:6" x14ac:dyDescent="0.2">
      <c r="A8440" t="s">
        <v>14794</v>
      </c>
      <c r="B8440" t="s">
        <v>14797</v>
      </c>
      <c r="C8440" t="s">
        <v>422</v>
      </c>
      <c r="D8440" t="s">
        <v>8564</v>
      </c>
      <c r="E8440" t="s">
        <v>241</v>
      </c>
      <c r="F8440" s="2" t="str">
        <f>HYPERLINK("http://www.otzar.org/book.asp?197245","דברי מוסר - 3 כר'")</f>
        <v>דברי מוסר - 3 כר'</v>
      </c>
    </row>
    <row r="8441" spans="1:6" x14ac:dyDescent="0.2">
      <c r="A8441" t="s">
        <v>14798</v>
      </c>
      <c r="B8441" t="s">
        <v>14799</v>
      </c>
      <c r="C8441" t="s">
        <v>313</v>
      </c>
      <c r="D8441" t="s">
        <v>14</v>
      </c>
      <c r="E8441" t="s">
        <v>3798</v>
      </c>
      <c r="F8441" s="2" t="str">
        <f>HYPERLINK("http://www.otzar.org/book.asp?22100","דברי מועד - 3 כר'")</f>
        <v>דברי מועד - 3 כר'</v>
      </c>
    </row>
    <row r="8442" spans="1:6" x14ac:dyDescent="0.2">
      <c r="A8442" t="s">
        <v>14800</v>
      </c>
      <c r="B8442" t="s">
        <v>14801</v>
      </c>
      <c r="C8442" t="s">
        <v>1388</v>
      </c>
      <c r="D8442" t="s">
        <v>52</v>
      </c>
      <c r="E8442" t="s">
        <v>14802</v>
      </c>
      <c r="F8442" s="2" t="str">
        <f>HYPERLINK("http://www.otzar.org/book.asp?61141","דברי מחוקק - 7 כר'")</f>
        <v>דברי מחוקק - 7 כר'</v>
      </c>
    </row>
    <row r="8443" spans="1:6" x14ac:dyDescent="0.2">
      <c r="A8443" t="s">
        <v>14803</v>
      </c>
      <c r="B8443" t="s">
        <v>14804</v>
      </c>
      <c r="C8443" t="s">
        <v>422</v>
      </c>
      <c r="D8443" t="s">
        <v>14805</v>
      </c>
      <c r="E8443" t="s">
        <v>144</v>
      </c>
      <c r="F8443" s="2" t="str">
        <f>HYPERLINK("http://www.otzar.org/book.asp?189901","דברי מיכאל - 4 כר'")</f>
        <v>דברי מיכאל - 4 כר'</v>
      </c>
    </row>
    <row r="8444" spans="1:6" x14ac:dyDescent="0.2">
      <c r="A8444" t="s">
        <v>14806</v>
      </c>
      <c r="B8444" t="s">
        <v>14807</v>
      </c>
      <c r="C8444" t="s">
        <v>2543</v>
      </c>
      <c r="D8444" t="s">
        <v>225</v>
      </c>
      <c r="E8444" t="s">
        <v>144</v>
      </c>
      <c r="F8444" s="2" t="str">
        <f>HYPERLINK("http://www.otzar.org/book.asp?17475","דברי מיעקב")</f>
        <v>דברי מיעקב</v>
      </c>
    </row>
    <row r="8445" spans="1:6" x14ac:dyDescent="0.2">
      <c r="A8445" t="s">
        <v>14808</v>
      </c>
      <c r="B8445" t="s">
        <v>14809</v>
      </c>
      <c r="C8445" t="s">
        <v>3690</v>
      </c>
      <c r="D8445" t="s">
        <v>56</v>
      </c>
      <c r="E8445" t="s">
        <v>154</v>
      </c>
      <c r="F8445" s="2" t="str">
        <f>HYPERLINK("http://www.otzar.org/book.asp?10636","דברי מלכיאל - 8 כר'")</f>
        <v>דברי מלכיאל - 8 כר'</v>
      </c>
    </row>
    <row r="8446" spans="1:6" x14ac:dyDescent="0.2">
      <c r="A8446" t="s">
        <v>14810</v>
      </c>
      <c r="B8446" t="s">
        <v>14811</v>
      </c>
      <c r="C8446" t="s">
        <v>224</v>
      </c>
      <c r="D8446" t="s">
        <v>12052</v>
      </c>
      <c r="E8446" t="s">
        <v>158</v>
      </c>
      <c r="F8446" s="2" t="str">
        <f>HYPERLINK("http://www.otzar.org/book.asp?144252","דברי מנחם")</f>
        <v>דברי מנחם</v>
      </c>
    </row>
    <row r="8447" spans="1:6" x14ac:dyDescent="0.2">
      <c r="A8447" t="s">
        <v>14812</v>
      </c>
      <c r="B8447" t="s">
        <v>14813</v>
      </c>
      <c r="C8447" t="s">
        <v>624</v>
      </c>
      <c r="D8447" t="s">
        <v>14</v>
      </c>
      <c r="E8447" t="s">
        <v>1262</v>
      </c>
      <c r="F8447" s="2" t="str">
        <f>HYPERLINK("http://www.otzar.org/book.asp?61591","דברי מנחם - וקורות רבני משפחת דמשק")</f>
        <v>דברי מנחם - וקורות רבני משפחת דמשק</v>
      </c>
    </row>
    <row r="8448" spans="1:6" x14ac:dyDescent="0.2">
      <c r="A8448" t="s">
        <v>14810</v>
      </c>
      <c r="B8448" t="s">
        <v>14814</v>
      </c>
      <c r="C8448" t="s">
        <v>843</v>
      </c>
      <c r="D8448" t="s">
        <v>27</v>
      </c>
      <c r="E8448" t="s">
        <v>1185</v>
      </c>
      <c r="F8448" s="2" t="str">
        <f>HYPERLINK("http://www.otzar.org/book.asp?102939","דברי מנחם")</f>
        <v>דברי מנחם</v>
      </c>
    </row>
    <row r="8449" spans="1:6" x14ac:dyDescent="0.2">
      <c r="A8449" t="s">
        <v>14810</v>
      </c>
      <c r="B8449" t="s">
        <v>14815</v>
      </c>
      <c r="C8449" t="s">
        <v>129</v>
      </c>
      <c r="D8449" t="s">
        <v>14816</v>
      </c>
      <c r="E8449" t="s">
        <v>15</v>
      </c>
      <c r="F8449" s="2" t="str">
        <f>HYPERLINK("http://www.otzar.org/book.asp?603195","דברי מנחם")</f>
        <v>דברי מנחם</v>
      </c>
    </row>
    <row r="8450" spans="1:6" x14ac:dyDescent="0.2">
      <c r="A8450" t="s">
        <v>14817</v>
      </c>
      <c r="B8450" t="s">
        <v>9096</v>
      </c>
      <c r="C8450" t="s">
        <v>356</v>
      </c>
      <c r="D8450" t="s">
        <v>14</v>
      </c>
      <c r="E8450" t="s">
        <v>172</v>
      </c>
      <c r="F8450" s="2" t="str">
        <f>HYPERLINK("http://www.otzar.org/book.asp?150116","דברי מנחם - 4 כר'")</f>
        <v>דברי מנחם - 4 כר'</v>
      </c>
    </row>
    <row r="8451" spans="1:6" x14ac:dyDescent="0.2">
      <c r="A8451" t="s">
        <v>14818</v>
      </c>
      <c r="B8451" t="s">
        <v>7381</v>
      </c>
      <c r="C8451" t="s">
        <v>14819</v>
      </c>
      <c r="D8451" t="s">
        <v>76</v>
      </c>
      <c r="E8451" t="s">
        <v>15</v>
      </c>
      <c r="F8451" s="2" t="str">
        <f>HYPERLINK("http://www.otzar.org/book.asp?104085","דברי מנחם - 2 כר'")</f>
        <v>דברי מנחם - 2 כר'</v>
      </c>
    </row>
    <row r="8452" spans="1:6" x14ac:dyDescent="0.2">
      <c r="A8452" t="s">
        <v>14818</v>
      </c>
      <c r="B8452" t="s">
        <v>5227</v>
      </c>
      <c r="C8452" t="s">
        <v>168</v>
      </c>
      <c r="D8452" t="s">
        <v>412</v>
      </c>
      <c r="E8452" t="s">
        <v>1185</v>
      </c>
      <c r="F8452" s="2" t="str">
        <f>HYPERLINK("http://www.otzar.org/book.asp?84706","דברי מנחם - 2 כר'")</f>
        <v>דברי מנחם - 2 כר'</v>
      </c>
    </row>
    <row r="8453" spans="1:6" x14ac:dyDescent="0.2">
      <c r="A8453" t="s">
        <v>14810</v>
      </c>
      <c r="B8453" t="s">
        <v>14820</v>
      </c>
      <c r="C8453" t="s">
        <v>1166</v>
      </c>
      <c r="D8453" t="s">
        <v>1117</v>
      </c>
      <c r="F8453" s="2" t="str">
        <f>HYPERLINK("http://www.otzar.org/book.asp?155234","דברי מנחם")</f>
        <v>דברי מנחם</v>
      </c>
    </row>
    <row r="8454" spans="1:6" x14ac:dyDescent="0.2">
      <c r="A8454" t="s">
        <v>14810</v>
      </c>
      <c r="B8454" t="s">
        <v>14821</v>
      </c>
      <c r="C8454" t="s">
        <v>286</v>
      </c>
      <c r="D8454" t="s">
        <v>14822</v>
      </c>
      <c r="E8454" t="s">
        <v>158</v>
      </c>
      <c r="F8454" s="2" t="str">
        <f>HYPERLINK("http://www.otzar.org/book.asp?24224","דברי מנחם")</f>
        <v>דברי מנחם</v>
      </c>
    </row>
    <row r="8455" spans="1:6" x14ac:dyDescent="0.2">
      <c r="A8455" t="s">
        <v>14810</v>
      </c>
      <c r="B8455" t="s">
        <v>14823</v>
      </c>
      <c r="C8455" t="s">
        <v>360</v>
      </c>
      <c r="D8455" t="s">
        <v>2440</v>
      </c>
      <c r="E8455" t="s">
        <v>234</v>
      </c>
      <c r="F8455" s="2" t="str">
        <f>HYPERLINK("http://www.otzar.org/book.asp?51215","דברי מנחם")</f>
        <v>דברי מנחם</v>
      </c>
    </row>
    <row r="8456" spans="1:6" x14ac:dyDescent="0.2">
      <c r="A8456" t="s">
        <v>14810</v>
      </c>
      <c r="B8456" t="s">
        <v>14296</v>
      </c>
      <c r="C8456" t="s">
        <v>538</v>
      </c>
      <c r="D8456" t="s">
        <v>7163</v>
      </c>
      <c r="E8456" t="s">
        <v>154</v>
      </c>
      <c r="F8456" s="2" t="str">
        <f>HYPERLINK("http://www.otzar.org/book.asp?102779","דברי מנחם")</f>
        <v>דברי מנחם</v>
      </c>
    </row>
    <row r="8457" spans="1:6" x14ac:dyDescent="0.2">
      <c r="A8457" t="s">
        <v>14824</v>
      </c>
      <c r="B8457" t="s">
        <v>14825</v>
      </c>
      <c r="C8457" t="s">
        <v>68</v>
      </c>
      <c r="D8457" t="s">
        <v>118</v>
      </c>
      <c r="E8457" t="s">
        <v>993</v>
      </c>
      <c r="F8457" s="2" t="str">
        <f>HYPERLINK("http://www.otzar.org/book.asp?168225","דברי מרדכי &lt;מהדורה חדשה&gt;")</f>
        <v>דברי מרדכי &lt;מהדורה חדשה&gt;</v>
      </c>
    </row>
    <row r="8458" spans="1:6" x14ac:dyDescent="0.2">
      <c r="A8458" t="s">
        <v>14826</v>
      </c>
      <c r="B8458" t="s">
        <v>14827</v>
      </c>
      <c r="C8458" t="s">
        <v>68</v>
      </c>
      <c r="D8458" t="s">
        <v>14</v>
      </c>
      <c r="E8458" t="s">
        <v>158</v>
      </c>
      <c r="F8458" s="2" t="str">
        <f>HYPERLINK("http://www.otzar.org/book.asp?160062","דברי מרדכי - 7 כר'")</f>
        <v>דברי מרדכי - 7 כר'</v>
      </c>
    </row>
    <row r="8459" spans="1:6" x14ac:dyDescent="0.2">
      <c r="A8459" t="s">
        <v>14828</v>
      </c>
      <c r="B8459" t="s">
        <v>14829</v>
      </c>
      <c r="C8459" t="s">
        <v>160</v>
      </c>
      <c r="D8459" t="s">
        <v>14830</v>
      </c>
      <c r="E8459" t="s">
        <v>154</v>
      </c>
      <c r="F8459" s="2" t="str">
        <f>HYPERLINK("http://www.otzar.org/book.asp?168878","דברי מרדכי")</f>
        <v>דברי מרדכי</v>
      </c>
    </row>
    <row r="8460" spans="1:6" x14ac:dyDescent="0.2">
      <c r="A8460" t="s">
        <v>14831</v>
      </c>
      <c r="B8460" t="s">
        <v>14832</v>
      </c>
      <c r="C8460" t="s">
        <v>800</v>
      </c>
      <c r="D8460" t="s">
        <v>212</v>
      </c>
      <c r="E8460" t="s">
        <v>930</v>
      </c>
      <c r="F8460" s="2" t="str">
        <f>HYPERLINK("http://www.otzar.org/book.asp?24225","דברי מרדכי - גדולת מרדכי")</f>
        <v>דברי מרדכי - גדולת מרדכי</v>
      </c>
    </row>
    <row r="8461" spans="1:6" x14ac:dyDescent="0.2">
      <c r="A8461" t="s">
        <v>14828</v>
      </c>
      <c r="B8461" t="s">
        <v>14833</v>
      </c>
      <c r="C8461" t="s">
        <v>1160</v>
      </c>
      <c r="D8461" t="s">
        <v>14</v>
      </c>
      <c r="E8461" t="s">
        <v>15</v>
      </c>
      <c r="F8461" s="2" t="str">
        <f>HYPERLINK("http://www.otzar.org/book.asp?145063","דברי מרדכי")</f>
        <v>דברי מרדכי</v>
      </c>
    </row>
    <row r="8462" spans="1:6" x14ac:dyDescent="0.2">
      <c r="A8462" t="s">
        <v>14828</v>
      </c>
      <c r="B8462" t="s">
        <v>10394</v>
      </c>
      <c r="C8462" t="s">
        <v>26</v>
      </c>
      <c r="D8462" t="s">
        <v>14</v>
      </c>
      <c r="E8462" t="s">
        <v>14834</v>
      </c>
      <c r="F8462" s="2" t="str">
        <f>HYPERLINK("http://www.otzar.org/book.asp?149390","דברי מרדכי")</f>
        <v>דברי מרדכי</v>
      </c>
    </row>
    <row r="8463" spans="1:6" x14ac:dyDescent="0.2">
      <c r="A8463" t="s">
        <v>14835</v>
      </c>
      <c r="B8463" t="s">
        <v>14836</v>
      </c>
      <c r="C8463" t="s">
        <v>767</v>
      </c>
      <c r="D8463" t="s">
        <v>412</v>
      </c>
      <c r="E8463" t="s">
        <v>144</v>
      </c>
      <c r="F8463" s="2" t="str">
        <f>HYPERLINK("http://www.otzar.org/book.asp?160728","דברי מרדכי - 2 כר'")</f>
        <v>דברי מרדכי - 2 כר'</v>
      </c>
    </row>
    <row r="8464" spans="1:6" x14ac:dyDescent="0.2">
      <c r="A8464" t="s">
        <v>14828</v>
      </c>
      <c r="B8464" t="s">
        <v>14837</v>
      </c>
      <c r="C8464" t="s">
        <v>1458</v>
      </c>
      <c r="D8464" t="s">
        <v>535</v>
      </c>
      <c r="E8464" t="s">
        <v>158</v>
      </c>
      <c r="F8464" s="2" t="str">
        <f>HYPERLINK("http://www.otzar.org/book.asp?102940","דברי מרדכי")</f>
        <v>דברי מרדכי</v>
      </c>
    </row>
    <row r="8465" spans="1:6" x14ac:dyDescent="0.2">
      <c r="A8465" t="s">
        <v>14828</v>
      </c>
      <c r="B8465" t="s">
        <v>14838</v>
      </c>
      <c r="C8465" t="s">
        <v>111</v>
      </c>
      <c r="D8465" t="s">
        <v>14</v>
      </c>
      <c r="E8465" t="s">
        <v>158</v>
      </c>
      <c r="F8465" s="2" t="str">
        <f>HYPERLINK("http://www.otzar.org/book.asp?628676","דברי מרדכי")</f>
        <v>דברי מרדכי</v>
      </c>
    </row>
    <row r="8466" spans="1:6" x14ac:dyDescent="0.2">
      <c r="A8466" t="s">
        <v>14828</v>
      </c>
      <c r="B8466" t="s">
        <v>14839</v>
      </c>
      <c r="C8466" t="s">
        <v>6062</v>
      </c>
      <c r="D8466" t="s">
        <v>212</v>
      </c>
      <c r="E8466" t="s">
        <v>172</v>
      </c>
      <c r="F8466" s="2" t="str">
        <f>HYPERLINK("http://www.otzar.org/book.asp?8622","דברי מרדכי")</f>
        <v>דברי מרדכי</v>
      </c>
    </row>
    <row r="8467" spans="1:6" x14ac:dyDescent="0.2">
      <c r="A8467" t="s">
        <v>14828</v>
      </c>
      <c r="B8467" t="s">
        <v>14840</v>
      </c>
      <c r="C8467" t="s">
        <v>1885</v>
      </c>
      <c r="D8467" t="s">
        <v>379</v>
      </c>
      <c r="E8467" t="s">
        <v>154</v>
      </c>
      <c r="F8467" s="2" t="str">
        <f>HYPERLINK("http://www.otzar.org/book.asp?17477","דברי מרדכי")</f>
        <v>דברי מרדכי</v>
      </c>
    </row>
    <row r="8468" spans="1:6" x14ac:dyDescent="0.2">
      <c r="A8468" t="s">
        <v>14828</v>
      </c>
      <c r="B8468" t="s">
        <v>10400</v>
      </c>
      <c r="C8468" t="s">
        <v>146</v>
      </c>
      <c r="D8468" t="s">
        <v>52</v>
      </c>
      <c r="E8468" t="s">
        <v>14089</v>
      </c>
      <c r="F8468" s="2" t="str">
        <f>HYPERLINK("http://www.otzar.org/book.asp?160168","דברי מרדכי")</f>
        <v>דברי מרדכי</v>
      </c>
    </row>
    <row r="8469" spans="1:6" x14ac:dyDescent="0.2">
      <c r="A8469" t="s">
        <v>14828</v>
      </c>
      <c r="B8469" t="s">
        <v>14841</v>
      </c>
      <c r="C8469" t="s">
        <v>482</v>
      </c>
      <c r="D8469" t="s">
        <v>27</v>
      </c>
      <c r="E8469" t="s">
        <v>144</v>
      </c>
      <c r="F8469" s="2" t="str">
        <f>HYPERLINK("http://www.otzar.org/book.asp?19469","דברי מרדכי")</f>
        <v>דברי מרדכי</v>
      </c>
    </row>
    <row r="8470" spans="1:6" x14ac:dyDescent="0.2">
      <c r="A8470" t="s">
        <v>14842</v>
      </c>
      <c r="B8470" t="s">
        <v>14843</v>
      </c>
      <c r="C8470" t="s">
        <v>176</v>
      </c>
      <c r="D8470" t="s">
        <v>52</v>
      </c>
      <c r="E8470" t="s">
        <v>144</v>
      </c>
      <c r="F8470" s="2" t="str">
        <f>HYPERLINK("http://www.otzar.org/book.asp?24904","דברי מרדכי - 6 כר'")</f>
        <v>דברי מרדכי - 6 כר'</v>
      </c>
    </row>
    <row r="8471" spans="1:6" x14ac:dyDescent="0.2">
      <c r="A8471" t="s">
        <v>14835</v>
      </c>
      <c r="B8471" t="s">
        <v>14825</v>
      </c>
      <c r="C8471" t="s">
        <v>14844</v>
      </c>
      <c r="D8471" t="s">
        <v>1889</v>
      </c>
      <c r="E8471" t="s">
        <v>158</v>
      </c>
      <c r="F8471" s="2" t="str">
        <f>HYPERLINK("http://www.otzar.org/book.asp?85252","דברי מרדכי - 2 כר'")</f>
        <v>דברי מרדכי - 2 כר'</v>
      </c>
    </row>
    <row r="8472" spans="1:6" x14ac:dyDescent="0.2">
      <c r="A8472" t="s">
        <v>14835</v>
      </c>
      <c r="B8472" t="s">
        <v>14845</v>
      </c>
      <c r="C8472" t="s">
        <v>2874</v>
      </c>
      <c r="D8472" t="s">
        <v>9</v>
      </c>
      <c r="E8472" t="s">
        <v>467</v>
      </c>
      <c r="F8472" s="2" t="str">
        <f>HYPERLINK("http://www.otzar.org/book.asp?51217","דברי מרדכי - 2 כר'")</f>
        <v>דברי מרדכי - 2 כר'</v>
      </c>
    </row>
    <row r="8473" spans="1:6" x14ac:dyDescent="0.2">
      <c r="A8473" t="s">
        <v>14846</v>
      </c>
      <c r="B8473" t="s">
        <v>8554</v>
      </c>
      <c r="C8473" t="s">
        <v>17</v>
      </c>
      <c r="D8473" t="s">
        <v>118</v>
      </c>
      <c r="E8473" t="s">
        <v>14847</v>
      </c>
      <c r="F8473" s="2" t="str">
        <f>HYPERLINK("http://www.otzar.org/book.asp?63816","דברי מרדכי - ב")</f>
        <v>דברי מרדכי - ב</v>
      </c>
    </row>
    <row r="8474" spans="1:6" x14ac:dyDescent="0.2">
      <c r="A8474" t="s">
        <v>14828</v>
      </c>
      <c r="B8474" t="s">
        <v>14848</v>
      </c>
      <c r="C8474" t="s">
        <v>1310</v>
      </c>
      <c r="D8474" t="s">
        <v>283</v>
      </c>
      <c r="E8474" t="s">
        <v>8786</v>
      </c>
      <c r="F8474" s="2" t="str">
        <f>HYPERLINK("http://www.otzar.org/book.asp?100840","דברי מרדכי")</f>
        <v>דברי מרדכי</v>
      </c>
    </row>
    <row r="8475" spans="1:6" x14ac:dyDescent="0.2">
      <c r="A8475" t="s">
        <v>14828</v>
      </c>
      <c r="B8475" t="s">
        <v>14849</v>
      </c>
      <c r="C8475" t="s">
        <v>482</v>
      </c>
      <c r="D8475" t="s">
        <v>9</v>
      </c>
      <c r="E8475" t="s">
        <v>144</v>
      </c>
      <c r="F8475" s="2" t="str">
        <f>HYPERLINK("http://www.otzar.org/book.asp?51216","דברי מרדכי")</f>
        <v>דברי מרדכי</v>
      </c>
    </row>
    <row r="8476" spans="1:6" x14ac:dyDescent="0.2">
      <c r="A8476" t="s">
        <v>14828</v>
      </c>
      <c r="B8476" t="s">
        <v>14850</v>
      </c>
      <c r="C8476" t="s">
        <v>8375</v>
      </c>
      <c r="D8476" t="s">
        <v>76</v>
      </c>
      <c r="E8476" t="s">
        <v>325</v>
      </c>
      <c r="F8476" s="2" t="str">
        <f>HYPERLINK("http://www.otzar.org/book.asp?100841","דברי מרדכי")</f>
        <v>דברי מרדכי</v>
      </c>
    </row>
    <row r="8477" spans="1:6" x14ac:dyDescent="0.2">
      <c r="A8477" t="s">
        <v>14851</v>
      </c>
      <c r="B8477" t="s">
        <v>6730</v>
      </c>
      <c r="C8477" t="s">
        <v>13</v>
      </c>
      <c r="D8477" t="s">
        <v>52</v>
      </c>
      <c r="E8477" t="s">
        <v>119</v>
      </c>
      <c r="F8477" s="2" t="str">
        <f>HYPERLINK("http://www.otzar.org/book.asp?179751","דברי משה &lt;גליוני מהר""י - שופריה דמשה&gt;")</f>
        <v>דברי משה &lt;גליוני מהר"י - שופריה דמשה&gt;</v>
      </c>
    </row>
    <row r="8478" spans="1:6" x14ac:dyDescent="0.2">
      <c r="A8478" t="s">
        <v>14852</v>
      </c>
      <c r="B8478" t="s">
        <v>6730</v>
      </c>
      <c r="D8478" t="s">
        <v>52</v>
      </c>
      <c r="E8478" t="s">
        <v>4940</v>
      </c>
      <c r="F8478" s="2" t="str">
        <f>HYPERLINK("http://www.otzar.org/book.asp?179752","דברי משה &lt;שופריה דמשה&gt;")</f>
        <v>דברי משה &lt;שופריה דמשה&gt;</v>
      </c>
    </row>
    <row r="8479" spans="1:6" x14ac:dyDescent="0.2">
      <c r="A8479" t="s">
        <v>14853</v>
      </c>
      <c r="E8479" t="s">
        <v>674</v>
      </c>
      <c r="F8479" s="2" t="str">
        <f>HYPERLINK("http://www.otzar.org/book.asp?630369","דברי משה")</f>
        <v>דברי משה</v>
      </c>
    </row>
    <row r="8480" spans="1:6" x14ac:dyDescent="0.2">
      <c r="A8480" t="s">
        <v>14853</v>
      </c>
      <c r="B8480" t="s">
        <v>14854</v>
      </c>
      <c r="C8480" t="s">
        <v>5903</v>
      </c>
      <c r="D8480" t="s">
        <v>157</v>
      </c>
      <c r="E8480" t="s">
        <v>2840</v>
      </c>
      <c r="F8480" s="2" t="str">
        <f>HYPERLINK("http://www.otzar.org/book.asp?17478","דברי משה")</f>
        <v>דברי משה</v>
      </c>
    </row>
    <row r="8481" spans="1:6" x14ac:dyDescent="0.2">
      <c r="A8481" t="s">
        <v>14853</v>
      </c>
      <c r="B8481" t="s">
        <v>14855</v>
      </c>
      <c r="C8481" t="s">
        <v>1124</v>
      </c>
      <c r="D8481" t="s">
        <v>267</v>
      </c>
      <c r="E8481" t="s">
        <v>345</v>
      </c>
      <c r="F8481" s="2" t="str">
        <f>HYPERLINK("http://www.otzar.org/book.asp?84123","דברי משה")</f>
        <v>דברי משה</v>
      </c>
    </row>
    <row r="8482" spans="1:6" x14ac:dyDescent="0.2">
      <c r="A8482" t="s">
        <v>14853</v>
      </c>
      <c r="B8482" t="s">
        <v>14856</v>
      </c>
      <c r="C8482" t="s">
        <v>558</v>
      </c>
      <c r="D8482" t="s">
        <v>283</v>
      </c>
      <c r="E8482" t="s">
        <v>15</v>
      </c>
      <c r="F8482" s="2" t="str">
        <f>HYPERLINK("http://www.otzar.org/book.asp?17479","דברי משה")</f>
        <v>דברי משה</v>
      </c>
    </row>
    <row r="8483" spans="1:6" x14ac:dyDescent="0.2">
      <c r="A8483" t="s">
        <v>14853</v>
      </c>
      <c r="B8483" t="s">
        <v>14857</v>
      </c>
      <c r="C8483" t="s">
        <v>160</v>
      </c>
      <c r="D8483" t="s">
        <v>14830</v>
      </c>
      <c r="E8483" t="s">
        <v>154</v>
      </c>
      <c r="F8483" s="2" t="str">
        <f>HYPERLINK("http://www.otzar.org/book.asp?168877","דברי משה")</f>
        <v>דברי משה</v>
      </c>
    </row>
    <row r="8484" spans="1:6" x14ac:dyDescent="0.2">
      <c r="A8484" t="s">
        <v>14858</v>
      </c>
      <c r="B8484" t="s">
        <v>14859</v>
      </c>
      <c r="C8484" t="s">
        <v>160</v>
      </c>
      <c r="D8484" t="s">
        <v>9</v>
      </c>
      <c r="F8484" s="2" t="str">
        <f>HYPERLINK("http://www.otzar.org/book.asp?182997","דברי משה - 3 כר'")</f>
        <v>דברי משה - 3 כר'</v>
      </c>
    </row>
    <row r="8485" spans="1:6" x14ac:dyDescent="0.2">
      <c r="A8485" t="s">
        <v>14853</v>
      </c>
      <c r="B8485" t="s">
        <v>14860</v>
      </c>
      <c r="C8485" t="s">
        <v>523</v>
      </c>
      <c r="D8485" t="s">
        <v>14</v>
      </c>
      <c r="E8485" t="s">
        <v>154</v>
      </c>
      <c r="F8485" s="2" t="str">
        <f>HYPERLINK("http://www.otzar.org/book.asp?28872","דברי משה")</f>
        <v>דברי משה</v>
      </c>
    </row>
    <row r="8486" spans="1:6" x14ac:dyDescent="0.2">
      <c r="A8486" t="s">
        <v>14853</v>
      </c>
      <c r="B8486" t="s">
        <v>14861</v>
      </c>
      <c r="C8486" t="s">
        <v>1335</v>
      </c>
      <c r="D8486" t="s">
        <v>56</v>
      </c>
      <c r="E8486" t="s">
        <v>396</v>
      </c>
      <c r="F8486" s="2" t="str">
        <f>HYPERLINK("http://www.otzar.org/book.asp?101177","דברי משה")</f>
        <v>דברי משה</v>
      </c>
    </row>
    <row r="8487" spans="1:6" x14ac:dyDescent="0.2">
      <c r="A8487" t="s">
        <v>14853</v>
      </c>
      <c r="B8487" t="s">
        <v>14862</v>
      </c>
      <c r="C8487" t="s">
        <v>619</v>
      </c>
      <c r="D8487" t="s">
        <v>283</v>
      </c>
      <c r="E8487" t="s">
        <v>158</v>
      </c>
      <c r="F8487" s="2" t="str">
        <f>HYPERLINK("http://www.otzar.org/book.asp?17481","דברי משה")</f>
        <v>דברי משה</v>
      </c>
    </row>
    <row r="8488" spans="1:6" x14ac:dyDescent="0.2">
      <c r="A8488" t="s">
        <v>14853</v>
      </c>
      <c r="B8488" t="s">
        <v>14863</v>
      </c>
      <c r="C8488" t="s">
        <v>454</v>
      </c>
      <c r="D8488" t="s">
        <v>14</v>
      </c>
      <c r="E8488" t="s">
        <v>154</v>
      </c>
      <c r="F8488" s="2" t="str">
        <f>HYPERLINK("http://www.otzar.org/book.asp?22710","דברי משה")</f>
        <v>דברי משה</v>
      </c>
    </row>
    <row r="8489" spans="1:6" x14ac:dyDescent="0.2">
      <c r="A8489" t="s">
        <v>14853</v>
      </c>
      <c r="B8489" t="s">
        <v>1320</v>
      </c>
      <c r="C8489" t="s">
        <v>896</v>
      </c>
      <c r="D8489" t="s">
        <v>283</v>
      </c>
      <c r="E8489" t="s">
        <v>733</v>
      </c>
      <c r="F8489" s="2" t="str">
        <f>HYPERLINK("http://www.otzar.org/book.asp?15983","דברי משה")</f>
        <v>דברי משה</v>
      </c>
    </row>
    <row r="8490" spans="1:6" x14ac:dyDescent="0.2">
      <c r="A8490" t="s">
        <v>14853</v>
      </c>
      <c r="B8490" t="s">
        <v>14864</v>
      </c>
      <c r="C8490" t="s">
        <v>748</v>
      </c>
      <c r="D8490" t="s">
        <v>56</v>
      </c>
      <c r="E8490" t="s">
        <v>84</v>
      </c>
      <c r="F8490" s="2" t="str">
        <f>HYPERLINK("http://www.otzar.org/book.asp?148136","דברי משה")</f>
        <v>דברי משה</v>
      </c>
    </row>
    <row r="8491" spans="1:6" x14ac:dyDescent="0.2">
      <c r="A8491" t="s">
        <v>14853</v>
      </c>
      <c r="B8491" t="s">
        <v>14865</v>
      </c>
      <c r="C8491" t="s">
        <v>1284</v>
      </c>
      <c r="D8491" t="s">
        <v>56</v>
      </c>
      <c r="E8491" t="s">
        <v>144</v>
      </c>
      <c r="F8491" s="2" t="str">
        <f>HYPERLINK("http://www.otzar.org/book.asp?61773","דברי משה")</f>
        <v>דברי משה</v>
      </c>
    </row>
    <row r="8492" spans="1:6" x14ac:dyDescent="0.2">
      <c r="A8492" t="s">
        <v>14853</v>
      </c>
      <c r="B8492" t="s">
        <v>14866</v>
      </c>
      <c r="C8492" t="s">
        <v>619</v>
      </c>
      <c r="D8492" t="s">
        <v>691</v>
      </c>
      <c r="E8492" t="s">
        <v>3518</v>
      </c>
      <c r="F8492" s="2" t="str">
        <f>HYPERLINK("http://www.otzar.org/book.asp?141129","דברי משה")</f>
        <v>דברי משה</v>
      </c>
    </row>
    <row r="8493" spans="1:6" x14ac:dyDescent="0.2">
      <c r="A8493" t="s">
        <v>14853</v>
      </c>
      <c r="B8493" t="s">
        <v>14867</v>
      </c>
      <c r="C8493" t="s">
        <v>3475</v>
      </c>
      <c r="D8493" t="s">
        <v>212</v>
      </c>
      <c r="E8493" t="s">
        <v>158</v>
      </c>
      <c r="F8493" s="2" t="str">
        <f>HYPERLINK("http://www.otzar.org/book.asp?17483","דברי משה")</f>
        <v>דברי משה</v>
      </c>
    </row>
    <row r="8494" spans="1:6" x14ac:dyDescent="0.2">
      <c r="A8494" t="s">
        <v>14853</v>
      </c>
      <c r="B8494" t="s">
        <v>14868</v>
      </c>
      <c r="C8494" t="s">
        <v>492</v>
      </c>
      <c r="D8494" t="s">
        <v>379</v>
      </c>
      <c r="E8494" t="s">
        <v>10013</v>
      </c>
      <c r="F8494" s="2" t="str">
        <f>HYPERLINK("http://www.otzar.org/book.asp?24228","דברי משה")</f>
        <v>דברי משה</v>
      </c>
    </row>
    <row r="8495" spans="1:6" x14ac:dyDescent="0.2">
      <c r="A8495" t="s">
        <v>14858</v>
      </c>
      <c r="B8495" t="s">
        <v>14869</v>
      </c>
      <c r="C8495" t="s">
        <v>14870</v>
      </c>
      <c r="D8495" t="s">
        <v>283</v>
      </c>
      <c r="E8495" t="s">
        <v>43</v>
      </c>
      <c r="F8495" s="2" t="str">
        <f>HYPERLINK("http://www.otzar.org/book.asp?22415","דברי משה - 3 כר'")</f>
        <v>דברי משה - 3 כר'</v>
      </c>
    </row>
    <row r="8496" spans="1:6" x14ac:dyDescent="0.2">
      <c r="A8496" t="s">
        <v>14853</v>
      </c>
      <c r="B8496" t="s">
        <v>14871</v>
      </c>
      <c r="C8496" t="s">
        <v>46</v>
      </c>
      <c r="D8496" t="s">
        <v>27</v>
      </c>
      <c r="E8496" t="s">
        <v>15</v>
      </c>
      <c r="F8496" s="2" t="str">
        <f>HYPERLINK("http://www.otzar.org/book.asp?17482","דברי משה")</f>
        <v>דברי משה</v>
      </c>
    </row>
    <row r="8497" spans="1:6" x14ac:dyDescent="0.2">
      <c r="A8497" t="s">
        <v>14853</v>
      </c>
      <c r="B8497" t="s">
        <v>14872</v>
      </c>
      <c r="C8497" t="s">
        <v>2870</v>
      </c>
      <c r="D8497" t="s">
        <v>283</v>
      </c>
      <c r="E8497" t="s">
        <v>2071</v>
      </c>
      <c r="F8497" s="2" t="str">
        <f>HYPERLINK("http://www.otzar.org/book.asp?141082","דברי משה")</f>
        <v>דברי משה</v>
      </c>
    </row>
    <row r="8498" spans="1:6" x14ac:dyDescent="0.2">
      <c r="A8498" t="s">
        <v>14853</v>
      </c>
      <c r="B8498" t="s">
        <v>14873</v>
      </c>
      <c r="C8498" t="s">
        <v>151</v>
      </c>
      <c r="D8498" t="s">
        <v>14</v>
      </c>
      <c r="E8498" t="s">
        <v>144</v>
      </c>
      <c r="F8498" s="2" t="str">
        <f>HYPERLINK("http://www.otzar.org/book.asp?624826","דברי משה")</f>
        <v>דברי משה</v>
      </c>
    </row>
    <row r="8499" spans="1:6" x14ac:dyDescent="0.2">
      <c r="A8499" t="s">
        <v>14853</v>
      </c>
      <c r="B8499" t="s">
        <v>14874</v>
      </c>
      <c r="C8499" t="s">
        <v>3246</v>
      </c>
      <c r="D8499" t="s">
        <v>9</v>
      </c>
      <c r="E8499" t="s">
        <v>119</v>
      </c>
      <c r="F8499" s="2" t="str">
        <f>HYPERLINK("http://www.otzar.org/book.asp?51219","דברי משה")</f>
        <v>דברי משה</v>
      </c>
    </row>
    <row r="8500" spans="1:6" x14ac:dyDescent="0.2">
      <c r="A8500" t="s">
        <v>14853</v>
      </c>
      <c r="B8500" t="s">
        <v>6730</v>
      </c>
      <c r="C8500" t="s">
        <v>550</v>
      </c>
      <c r="D8500" t="s">
        <v>60</v>
      </c>
      <c r="E8500" t="s">
        <v>158</v>
      </c>
      <c r="F8500" s="2" t="str">
        <f>HYPERLINK("http://www.otzar.org/book.asp?181918","דברי משה")</f>
        <v>דברי משה</v>
      </c>
    </row>
    <row r="8501" spans="1:6" x14ac:dyDescent="0.2">
      <c r="A8501" t="s">
        <v>14875</v>
      </c>
      <c r="B8501" t="s">
        <v>14876</v>
      </c>
      <c r="C8501" t="s">
        <v>151</v>
      </c>
      <c r="D8501" t="s">
        <v>152</v>
      </c>
      <c r="F8501" s="2" t="str">
        <f>HYPERLINK("http://www.otzar.org/book.asp?617659","דברי משיב - 2 כר'")</f>
        <v>דברי משיב - 2 כר'</v>
      </c>
    </row>
    <row r="8502" spans="1:6" x14ac:dyDescent="0.2">
      <c r="A8502" t="s">
        <v>14877</v>
      </c>
      <c r="B8502" t="s">
        <v>14878</v>
      </c>
      <c r="C8502" t="s">
        <v>133</v>
      </c>
      <c r="D8502" t="s">
        <v>245</v>
      </c>
      <c r="E8502" t="s">
        <v>172</v>
      </c>
      <c r="F8502" s="2" t="str">
        <f>HYPERLINK("http://www.otzar.org/book.asp?172641","דברי משפט &lt;מהדורת מכון משנת ר""א&gt; - 2 כר'")</f>
        <v>דברי משפט &lt;מהדורת מכון משנת ר"א&gt; - 2 כר'</v>
      </c>
    </row>
    <row r="8503" spans="1:6" x14ac:dyDescent="0.2">
      <c r="A8503" t="s">
        <v>14879</v>
      </c>
      <c r="B8503" t="s">
        <v>14878</v>
      </c>
      <c r="C8503" t="s">
        <v>5140</v>
      </c>
      <c r="D8503" t="s">
        <v>327</v>
      </c>
      <c r="E8503" t="s">
        <v>172</v>
      </c>
      <c r="F8503" s="2" t="str">
        <f>HYPERLINK("http://www.otzar.org/book.asp?100804","דברי משפט")</f>
        <v>דברי משפט</v>
      </c>
    </row>
    <row r="8504" spans="1:6" x14ac:dyDescent="0.2">
      <c r="A8504" t="s">
        <v>14879</v>
      </c>
      <c r="B8504" t="s">
        <v>14880</v>
      </c>
      <c r="C8504" t="s">
        <v>600</v>
      </c>
      <c r="D8504" t="s">
        <v>27</v>
      </c>
      <c r="E8504" t="s">
        <v>119</v>
      </c>
      <c r="F8504" s="2" t="str">
        <f>HYPERLINK("http://www.otzar.org/book.asp?28460","דברי משפט")</f>
        <v>דברי משפט</v>
      </c>
    </row>
    <row r="8505" spans="1:6" x14ac:dyDescent="0.2">
      <c r="A8505" t="s">
        <v>14881</v>
      </c>
      <c r="B8505" t="s">
        <v>14882</v>
      </c>
      <c r="C8505" t="s">
        <v>20</v>
      </c>
      <c r="D8505" t="s">
        <v>216</v>
      </c>
      <c r="E8505" t="s">
        <v>15</v>
      </c>
      <c r="F8505" s="2" t="str">
        <f>HYPERLINK("http://www.otzar.org/book.asp?150130","דברי משפט - 2 כר'")</f>
        <v>דברי משפט - 2 כר'</v>
      </c>
    </row>
    <row r="8506" spans="1:6" x14ac:dyDescent="0.2">
      <c r="A8506" t="s">
        <v>14883</v>
      </c>
      <c r="B8506" t="s">
        <v>14884</v>
      </c>
      <c r="C8506" t="s">
        <v>1609</v>
      </c>
      <c r="D8506" t="s">
        <v>9</v>
      </c>
      <c r="E8506" t="s">
        <v>119</v>
      </c>
      <c r="F8506" s="2" t="str">
        <f>HYPERLINK("http://www.otzar.org/book.asp?176842","דברי מתתיהו ובית דוד")</f>
        <v>דברי מתתיהו ובית דוד</v>
      </c>
    </row>
    <row r="8507" spans="1:6" x14ac:dyDescent="0.2">
      <c r="A8507" t="s">
        <v>14885</v>
      </c>
      <c r="B8507" t="s">
        <v>14886</v>
      </c>
      <c r="C8507" t="s">
        <v>13514</v>
      </c>
      <c r="D8507" t="s">
        <v>1023</v>
      </c>
      <c r="E8507" t="s">
        <v>325</v>
      </c>
      <c r="F8507" s="2" t="str">
        <f>HYPERLINK("http://www.otzar.org/book.asp?151515","דברי נב""א")</f>
        <v>דברי נב"א</v>
      </c>
    </row>
    <row r="8508" spans="1:6" x14ac:dyDescent="0.2">
      <c r="A8508" t="s">
        <v>14887</v>
      </c>
      <c r="B8508" t="s">
        <v>9577</v>
      </c>
      <c r="C8508" t="s">
        <v>20</v>
      </c>
      <c r="D8508" t="s">
        <v>115</v>
      </c>
      <c r="E8508" t="s">
        <v>158</v>
      </c>
      <c r="F8508" s="2" t="str">
        <f>HYPERLINK("http://www.otzar.org/book.asp?170563","דברי נבונים - 3 כר'")</f>
        <v>דברי נבונים - 3 כר'</v>
      </c>
    </row>
    <row r="8509" spans="1:6" x14ac:dyDescent="0.2">
      <c r="A8509" t="s">
        <v>14888</v>
      </c>
      <c r="B8509" t="s">
        <v>14889</v>
      </c>
      <c r="C8509" t="s">
        <v>14890</v>
      </c>
      <c r="D8509" t="s">
        <v>283</v>
      </c>
      <c r="E8509" t="s">
        <v>158</v>
      </c>
      <c r="F8509" s="2" t="str">
        <f>HYPERLINK("http://www.otzar.org/book.asp?15977","דברי נגידים - 2 כר'")</f>
        <v>דברי נגידים - 2 כר'</v>
      </c>
    </row>
    <row r="8510" spans="1:6" x14ac:dyDescent="0.2">
      <c r="A8510" t="s">
        <v>14891</v>
      </c>
      <c r="B8510" t="s">
        <v>14891</v>
      </c>
      <c r="C8510" t="s">
        <v>5903</v>
      </c>
      <c r="D8510" t="s">
        <v>283</v>
      </c>
      <c r="E8510" t="s">
        <v>14892</v>
      </c>
      <c r="F8510" s="2" t="str">
        <f>HYPERLINK("http://www.otzar.org/book.asp?16928","דברי נועם")</f>
        <v>דברי נועם</v>
      </c>
    </row>
    <row r="8511" spans="1:6" x14ac:dyDescent="0.2">
      <c r="A8511" t="s">
        <v>14893</v>
      </c>
      <c r="B8511" t="s">
        <v>6614</v>
      </c>
      <c r="C8511" t="s">
        <v>151</v>
      </c>
      <c r="D8511" t="s">
        <v>14</v>
      </c>
      <c r="E8511" t="s">
        <v>158</v>
      </c>
      <c r="F8511" s="2" t="str">
        <f>HYPERLINK("http://www.otzar.org/book.asp?620992","דברי נועם - 5 כר'")</f>
        <v>דברי נועם - 5 כר'</v>
      </c>
    </row>
    <row r="8512" spans="1:6" x14ac:dyDescent="0.2">
      <c r="A8512" t="s">
        <v>14891</v>
      </c>
      <c r="B8512" t="s">
        <v>14894</v>
      </c>
      <c r="C8512" t="s">
        <v>3205</v>
      </c>
      <c r="D8512" t="s">
        <v>27</v>
      </c>
      <c r="E8512" t="s">
        <v>1028</v>
      </c>
      <c r="F8512" s="2" t="str">
        <f>HYPERLINK("http://www.otzar.org/book.asp?174601","דברי נועם")</f>
        <v>דברי נועם</v>
      </c>
    </row>
    <row r="8513" spans="1:6" x14ac:dyDescent="0.2">
      <c r="A8513" t="s">
        <v>14891</v>
      </c>
      <c r="B8513" t="s">
        <v>1750</v>
      </c>
      <c r="C8513" t="s">
        <v>946</v>
      </c>
      <c r="D8513" t="s">
        <v>14895</v>
      </c>
      <c r="E8513" t="s">
        <v>202</v>
      </c>
      <c r="F8513" s="2" t="str">
        <f>HYPERLINK("http://www.otzar.org/book.asp?168750","דברי נועם")</f>
        <v>דברי נועם</v>
      </c>
    </row>
    <row r="8514" spans="1:6" x14ac:dyDescent="0.2">
      <c r="A8514" t="s">
        <v>14896</v>
      </c>
      <c r="B8514" t="s">
        <v>14897</v>
      </c>
      <c r="C8514" t="s">
        <v>23</v>
      </c>
      <c r="D8514" t="s">
        <v>14</v>
      </c>
      <c r="F8514" s="2" t="str">
        <f>HYPERLINK("http://www.otzar.org/book.asp?198351","דברי נחום - 2 כר'")</f>
        <v>דברי נחום - 2 כר'</v>
      </c>
    </row>
    <row r="8515" spans="1:6" x14ac:dyDescent="0.2">
      <c r="A8515" t="s">
        <v>14898</v>
      </c>
      <c r="B8515" t="s">
        <v>14899</v>
      </c>
      <c r="C8515" t="s">
        <v>313</v>
      </c>
      <c r="D8515" t="s">
        <v>14</v>
      </c>
      <c r="E8515" t="s">
        <v>14900</v>
      </c>
      <c r="F8515" s="2" t="str">
        <f>HYPERLINK("http://www.otzar.org/book.asp?144561","דברי נחום")</f>
        <v>דברי נחום</v>
      </c>
    </row>
    <row r="8516" spans="1:6" x14ac:dyDescent="0.2">
      <c r="A8516" t="s">
        <v>14901</v>
      </c>
      <c r="B8516" t="s">
        <v>14902</v>
      </c>
      <c r="C8516" t="s">
        <v>14903</v>
      </c>
      <c r="D8516" t="s">
        <v>56</v>
      </c>
      <c r="E8516" t="s">
        <v>154</v>
      </c>
      <c r="F8516" s="2" t="str">
        <f>HYPERLINK("http://www.otzar.org/book.asp?100839","דברי נחמיה - 3 כר'")</f>
        <v>דברי נחמיה - 3 כר'</v>
      </c>
    </row>
    <row r="8517" spans="1:6" x14ac:dyDescent="0.2">
      <c r="A8517" t="s">
        <v>14904</v>
      </c>
      <c r="B8517" t="s">
        <v>10433</v>
      </c>
      <c r="C8517" t="s">
        <v>189</v>
      </c>
      <c r="D8517" t="s">
        <v>90</v>
      </c>
      <c r="E8517" t="s">
        <v>579</v>
      </c>
      <c r="F8517" s="2" t="str">
        <f>HYPERLINK("http://www.otzar.org/book.asp?64214","דברי נחמיה - 2 כר'")</f>
        <v>דברי נחמיה - 2 כר'</v>
      </c>
    </row>
    <row r="8518" spans="1:6" x14ac:dyDescent="0.2">
      <c r="A8518" t="s">
        <v>14905</v>
      </c>
      <c r="B8518" t="s">
        <v>14906</v>
      </c>
      <c r="C8518" t="s">
        <v>1535</v>
      </c>
      <c r="D8518" t="s">
        <v>56</v>
      </c>
      <c r="E8518" t="s">
        <v>158</v>
      </c>
      <c r="F8518" s="2" t="str">
        <f>HYPERLINK("http://www.otzar.org/book.asp?24231","דברי נחמיה")</f>
        <v>דברי נחמיה</v>
      </c>
    </row>
    <row r="8519" spans="1:6" x14ac:dyDescent="0.2">
      <c r="A8519" t="s">
        <v>14907</v>
      </c>
      <c r="B8519" t="s">
        <v>14908</v>
      </c>
      <c r="C8519" t="s">
        <v>20</v>
      </c>
      <c r="D8519" t="s">
        <v>90</v>
      </c>
      <c r="E8519" t="s">
        <v>158</v>
      </c>
      <c r="F8519" s="2" t="str">
        <f>HYPERLINK("http://www.otzar.org/book.asp?189769","דברי נעם")</f>
        <v>דברי נעם</v>
      </c>
    </row>
    <row r="8520" spans="1:6" x14ac:dyDescent="0.2">
      <c r="A8520" t="s">
        <v>14909</v>
      </c>
      <c r="B8520" t="s">
        <v>14910</v>
      </c>
      <c r="C8520" t="s">
        <v>956</v>
      </c>
      <c r="D8520" t="s">
        <v>118</v>
      </c>
      <c r="E8520" t="s">
        <v>14911</v>
      </c>
      <c r="F8520" s="2" t="str">
        <f>HYPERLINK("http://www.otzar.org/book.asp?8243","דברי נפתלי")</f>
        <v>דברי נפתלי</v>
      </c>
    </row>
    <row r="8521" spans="1:6" x14ac:dyDescent="0.2">
      <c r="A8521" t="s">
        <v>14909</v>
      </c>
      <c r="B8521" t="s">
        <v>14912</v>
      </c>
      <c r="C8521" t="s">
        <v>619</v>
      </c>
      <c r="D8521" t="s">
        <v>14913</v>
      </c>
      <c r="E8521" t="s">
        <v>148</v>
      </c>
      <c r="F8521" s="2" t="str">
        <f>HYPERLINK("http://www.otzar.org/book.asp?51222","דברי נפתלי")</f>
        <v>דברי נפתלי</v>
      </c>
    </row>
    <row r="8522" spans="1:6" x14ac:dyDescent="0.2">
      <c r="A8522" t="s">
        <v>14914</v>
      </c>
      <c r="B8522" t="s">
        <v>14915</v>
      </c>
      <c r="C8522" t="s">
        <v>176</v>
      </c>
      <c r="D8522" t="s">
        <v>14</v>
      </c>
      <c r="E8522" t="s">
        <v>8469</v>
      </c>
      <c r="F8522" s="2" t="str">
        <f>HYPERLINK("http://www.otzar.org/book.asp?60777","דברי נפתלי - 3 כר'")</f>
        <v>דברי נפתלי - 3 כר'</v>
      </c>
    </row>
    <row r="8523" spans="1:6" x14ac:dyDescent="0.2">
      <c r="A8523" t="s">
        <v>14916</v>
      </c>
      <c r="B8523" t="s">
        <v>14917</v>
      </c>
      <c r="C8523" t="s">
        <v>356</v>
      </c>
      <c r="D8523" t="s">
        <v>412</v>
      </c>
      <c r="F8523" s="2" t="str">
        <f>HYPERLINK("http://www.otzar.org/book.asp?614545","דברי נתן")</f>
        <v>דברי נתן</v>
      </c>
    </row>
    <row r="8524" spans="1:6" x14ac:dyDescent="0.2">
      <c r="A8524" t="s">
        <v>14918</v>
      </c>
      <c r="B8524" t="s">
        <v>2993</v>
      </c>
      <c r="C8524" t="s">
        <v>454</v>
      </c>
      <c r="D8524" t="s">
        <v>14919</v>
      </c>
      <c r="E8524" t="s">
        <v>213</v>
      </c>
      <c r="F8524" s="2" t="str">
        <f>HYPERLINK("http://www.otzar.org/book.asp?84177","דברי סופרים וספר הזכרונות &lt;מהדורת הר ברכה&gt;")</f>
        <v>דברי סופרים וספר הזכרונות &lt;מהדורת הר ברכה&gt;</v>
      </c>
    </row>
    <row r="8525" spans="1:6" x14ac:dyDescent="0.2">
      <c r="A8525" t="s">
        <v>14920</v>
      </c>
      <c r="B8525" t="s">
        <v>14921</v>
      </c>
      <c r="C8525" t="s">
        <v>1570</v>
      </c>
      <c r="D8525" t="s">
        <v>14</v>
      </c>
      <c r="E8525" t="s">
        <v>104</v>
      </c>
      <c r="F8525" s="2" t="str">
        <f>HYPERLINK("http://www.otzar.org/book.asp?162417","דברי סופרים")</f>
        <v>דברי סופרים</v>
      </c>
    </row>
    <row r="8526" spans="1:6" x14ac:dyDescent="0.2">
      <c r="A8526" t="s">
        <v>14922</v>
      </c>
      <c r="B8526" t="s">
        <v>14923</v>
      </c>
      <c r="C8526" t="s">
        <v>17</v>
      </c>
      <c r="D8526" t="s">
        <v>14</v>
      </c>
      <c r="E8526" t="s">
        <v>148</v>
      </c>
      <c r="F8526" s="2" t="str">
        <f>HYPERLINK("http://www.otzar.org/book.asp?168658","דברי סופרים - 15 כר'")</f>
        <v>דברי סופרים - 15 כר'</v>
      </c>
    </row>
    <row r="8527" spans="1:6" x14ac:dyDescent="0.2">
      <c r="A8527" t="s">
        <v>14920</v>
      </c>
      <c r="B8527" t="s">
        <v>14924</v>
      </c>
      <c r="C8527" t="s">
        <v>585</v>
      </c>
      <c r="D8527" t="s">
        <v>14</v>
      </c>
      <c r="E8527" t="s">
        <v>154</v>
      </c>
      <c r="F8527" s="2" t="str">
        <f>HYPERLINK("http://www.otzar.org/book.asp?8840","דברי סופרים")</f>
        <v>דברי סופרים</v>
      </c>
    </row>
    <row r="8528" spans="1:6" x14ac:dyDescent="0.2">
      <c r="A8528" t="s">
        <v>14925</v>
      </c>
      <c r="B8528" t="s">
        <v>14926</v>
      </c>
      <c r="C8528" t="s">
        <v>14927</v>
      </c>
      <c r="D8528" t="s">
        <v>27</v>
      </c>
      <c r="E8528" t="s">
        <v>1211</v>
      </c>
      <c r="F8528" s="2" t="str">
        <f>HYPERLINK("http://www.otzar.org/book.asp?104916","דברי סופרים - 3 כר'")</f>
        <v>דברי סופרים - 3 כר'</v>
      </c>
    </row>
    <row r="8529" spans="1:6" x14ac:dyDescent="0.2">
      <c r="A8529" t="s">
        <v>14928</v>
      </c>
      <c r="B8529" t="s">
        <v>14580</v>
      </c>
      <c r="C8529" t="s">
        <v>37</v>
      </c>
      <c r="D8529" t="s">
        <v>1156</v>
      </c>
      <c r="E8529" t="s">
        <v>144</v>
      </c>
      <c r="F8529" s="2" t="str">
        <f>HYPERLINK("http://www.otzar.org/book.asp?179651","דברי סופרים - 2 כר'")</f>
        <v>דברי סופרים - 2 כר'</v>
      </c>
    </row>
    <row r="8530" spans="1:6" x14ac:dyDescent="0.2">
      <c r="A8530" t="s">
        <v>14925</v>
      </c>
      <c r="B8530" t="s">
        <v>489</v>
      </c>
      <c r="C8530" t="s">
        <v>87</v>
      </c>
      <c r="D8530" t="s">
        <v>52</v>
      </c>
      <c r="E8530" t="s">
        <v>202</v>
      </c>
      <c r="F8530" s="2" t="str">
        <f>HYPERLINK("http://www.otzar.org/book.asp?142953","דברי סופרים - 3 כר'")</f>
        <v>דברי סופרים - 3 כר'</v>
      </c>
    </row>
    <row r="8531" spans="1:6" x14ac:dyDescent="0.2">
      <c r="A8531" t="s">
        <v>14920</v>
      </c>
      <c r="B8531" t="s">
        <v>2993</v>
      </c>
      <c r="C8531" t="s">
        <v>1954</v>
      </c>
      <c r="D8531" t="s">
        <v>80</v>
      </c>
      <c r="E8531" t="s">
        <v>140</v>
      </c>
      <c r="F8531" s="2" t="str">
        <f>HYPERLINK("http://www.otzar.org/book.asp?11655","דברי סופרים")</f>
        <v>דברי סופרים</v>
      </c>
    </row>
    <row r="8532" spans="1:6" x14ac:dyDescent="0.2">
      <c r="A8532" t="s">
        <v>14920</v>
      </c>
      <c r="B8532" t="s">
        <v>14929</v>
      </c>
      <c r="C8532" t="s">
        <v>558</v>
      </c>
      <c r="D8532" t="s">
        <v>56</v>
      </c>
      <c r="E8532" t="s">
        <v>15</v>
      </c>
      <c r="F8532" s="2" t="str">
        <f>HYPERLINK("http://www.otzar.org/book.asp?11630","דברי סופרים")</f>
        <v>דברי סופרים</v>
      </c>
    </row>
    <row r="8533" spans="1:6" x14ac:dyDescent="0.2">
      <c r="A8533" t="s">
        <v>14930</v>
      </c>
      <c r="B8533" t="s">
        <v>14931</v>
      </c>
      <c r="C8533" t="s">
        <v>1062</v>
      </c>
      <c r="D8533" t="s">
        <v>260</v>
      </c>
      <c r="E8533" t="s">
        <v>104</v>
      </c>
      <c r="F8533" s="2" t="str">
        <f>HYPERLINK("http://www.otzar.org/book.asp?84995","דברי ספר")</f>
        <v>דברי ספר</v>
      </c>
    </row>
    <row r="8534" spans="1:6" x14ac:dyDescent="0.2">
      <c r="A8534" t="s">
        <v>14932</v>
      </c>
      <c r="B8534" t="s">
        <v>14933</v>
      </c>
      <c r="C8534" t="s">
        <v>411</v>
      </c>
      <c r="D8534" t="s">
        <v>14</v>
      </c>
      <c r="E8534" t="s">
        <v>144</v>
      </c>
      <c r="F8534" s="2" t="str">
        <f>HYPERLINK("http://www.otzar.org/book.asp?629883","דברי עז - 2 כר'")</f>
        <v>דברי עז - 2 כר'</v>
      </c>
    </row>
    <row r="8535" spans="1:6" x14ac:dyDescent="0.2">
      <c r="A8535" t="s">
        <v>14934</v>
      </c>
      <c r="B8535" t="s">
        <v>14935</v>
      </c>
      <c r="C8535" t="s">
        <v>585</v>
      </c>
      <c r="D8535" t="s">
        <v>486</v>
      </c>
      <c r="E8535" t="s">
        <v>579</v>
      </c>
      <c r="F8535" s="2" t="str">
        <f>HYPERLINK("http://www.otzar.org/book.asp?179466","דברי עמוס")</f>
        <v>דברי עמוס</v>
      </c>
    </row>
    <row r="8536" spans="1:6" x14ac:dyDescent="0.2">
      <c r="A8536" t="s">
        <v>14934</v>
      </c>
      <c r="B8536" t="s">
        <v>14936</v>
      </c>
      <c r="C8536" t="s">
        <v>767</v>
      </c>
      <c r="D8536" t="s">
        <v>1550</v>
      </c>
      <c r="E8536" t="s">
        <v>148</v>
      </c>
      <c r="F8536" s="2" t="str">
        <f>HYPERLINK("http://www.otzar.org/book.asp?158584","דברי עמוס")</f>
        <v>דברי עמוס</v>
      </c>
    </row>
    <row r="8537" spans="1:6" x14ac:dyDescent="0.2">
      <c r="A8537" t="s">
        <v>14937</v>
      </c>
      <c r="B8537" t="s">
        <v>14938</v>
      </c>
      <c r="C8537" t="s">
        <v>114</v>
      </c>
      <c r="D8537" t="s">
        <v>21</v>
      </c>
      <c r="F8537" s="2" t="str">
        <f>HYPERLINK("http://www.otzar.org/book.asp?194054","דברי עני")</f>
        <v>דברי עני</v>
      </c>
    </row>
    <row r="8538" spans="1:6" x14ac:dyDescent="0.2">
      <c r="A8538" t="s">
        <v>14939</v>
      </c>
      <c r="B8538" t="s">
        <v>14940</v>
      </c>
      <c r="C8538" t="s">
        <v>422</v>
      </c>
      <c r="D8538" t="s">
        <v>14</v>
      </c>
      <c r="E8538" t="s">
        <v>154</v>
      </c>
      <c r="F8538" s="2" t="str">
        <f>HYPERLINK("http://www.otzar.org/book.asp?150885","דברי פינחס - 2 כר'")</f>
        <v>דברי פינחס - 2 כר'</v>
      </c>
    </row>
    <row r="8539" spans="1:6" x14ac:dyDescent="0.2">
      <c r="A8539" t="s">
        <v>14941</v>
      </c>
      <c r="B8539" t="s">
        <v>14942</v>
      </c>
      <c r="C8539" t="s">
        <v>547</v>
      </c>
      <c r="D8539" t="s">
        <v>283</v>
      </c>
      <c r="E8539" t="s">
        <v>144</v>
      </c>
      <c r="F8539" s="2" t="str">
        <f>HYPERLINK("http://www.otzar.org/book.asp?22416","דברי פנחס")</f>
        <v>דברי פנחס</v>
      </c>
    </row>
    <row r="8540" spans="1:6" x14ac:dyDescent="0.2">
      <c r="A8540" t="s">
        <v>14943</v>
      </c>
      <c r="B8540" t="s">
        <v>14944</v>
      </c>
      <c r="C8540" t="s">
        <v>454</v>
      </c>
      <c r="D8540" t="s">
        <v>14</v>
      </c>
      <c r="E8540" t="s">
        <v>2135</v>
      </c>
      <c r="F8540" s="2" t="str">
        <f>HYPERLINK("http://www.otzar.org/book.asp?52980","דברי פנחס - 4 כר'")</f>
        <v>דברי פנחס - 4 כר'</v>
      </c>
    </row>
    <row r="8541" spans="1:6" x14ac:dyDescent="0.2">
      <c r="A8541" t="s">
        <v>14941</v>
      </c>
      <c r="B8541" t="s">
        <v>14945</v>
      </c>
      <c r="C8541" t="s">
        <v>558</v>
      </c>
      <c r="D8541" t="s">
        <v>14946</v>
      </c>
      <c r="E8541" t="s">
        <v>154</v>
      </c>
      <c r="F8541" s="2" t="str">
        <f>HYPERLINK("http://www.otzar.org/book.asp?51223","דברי פנחס")</f>
        <v>דברי פנחס</v>
      </c>
    </row>
    <row r="8542" spans="1:6" x14ac:dyDescent="0.2">
      <c r="A8542" t="s">
        <v>14947</v>
      </c>
      <c r="B8542" t="s">
        <v>14948</v>
      </c>
      <c r="C8542" t="s">
        <v>1036</v>
      </c>
      <c r="D8542" t="s">
        <v>1459</v>
      </c>
      <c r="E8542" t="s">
        <v>234</v>
      </c>
      <c r="F8542" s="2" t="str">
        <f>HYPERLINK("http://www.otzar.org/book.asp?102941","דברי פני אריה")</f>
        <v>דברי פני אריה</v>
      </c>
    </row>
    <row r="8543" spans="1:6" x14ac:dyDescent="0.2">
      <c r="A8543" t="s">
        <v>14949</v>
      </c>
      <c r="B8543" t="s">
        <v>14950</v>
      </c>
      <c r="C8543" t="s">
        <v>176</v>
      </c>
      <c r="D8543" t="s">
        <v>412</v>
      </c>
      <c r="E8543" t="s">
        <v>975</v>
      </c>
      <c r="F8543" s="2" t="str">
        <f>HYPERLINK("http://www.otzar.org/book.asp?159454","דברי פתחיה")</f>
        <v>דברי פתחיה</v>
      </c>
    </row>
    <row r="8544" spans="1:6" x14ac:dyDescent="0.2">
      <c r="A8544" t="s">
        <v>14951</v>
      </c>
      <c r="B8544" t="s">
        <v>14662</v>
      </c>
      <c r="C8544" t="s">
        <v>1811</v>
      </c>
      <c r="D8544" t="s">
        <v>14</v>
      </c>
      <c r="E8544" t="s">
        <v>741</v>
      </c>
      <c r="F8544" s="2" t="str">
        <f>HYPERLINK("http://www.otzar.org/book.asp?154024","דברי פתיחה")</f>
        <v>דברי פתיחה</v>
      </c>
    </row>
    <row r="8545" spans="1:6" x14ac:dyDescent="0.2">
      <c r="A8545" t="s">
        <v>14952</v>
      </c>
      <c r="B8545" t="s">
        <v>14953</v>
      </c>
      <c r="C8545" t="s">
        <v>619</v>
      </c>
      <c r="D8545" t="s">
        <v>14954</v>
      </c>
      <c r="E8545" t="s">
        <v>84</v>
      </c>
      <c r="F8545" s="2" t="str">
        <f>HYPERLINK("http://www.otzar.org/book.asp?61205","דברי צבי")</f>
        <v>דברי צבי</v>
      </c>
    </row>
    <row r="8546" spans="1:6" x14ac:dyDescent="0.2">
      <c r="A8546" t="s">
        <v>14955</v>
      </c>
      <c r="B8546" t="s">
        <v>14956</v>
      </c>
      <c r="C8546" t="s">
        <v>114</v>
      </c>
      <c r="D8546" t="s">
        <v>412</v>
      </c>
      <c r="E8546" t="s">
        <v>144</v>
      </c>
      <c r="F8546" s="2" t="str">
        <f>HYPERLINK("http://www.otzar.org/book.asp?619741","דברי צבי - עירובין")</f>
        <v>דברי צבי - עירובין</v>
      </c>
    </row>
    <row r="8547" spans="1:6" x14ac:dyDescent="0.2">
      <c r="A8547" t="s">
        <v>14952</v>
      </c>
      <c r="B8547" t="s">
        <v>14957</v>
      </c>
      <c r="C8547" t="s">
        <v>351</v>
      </c>
      <c r="D8547" t="s">
        <v>56</v>
      </c>
      <c r="E8547" t="s">
        <v>172</v>
      </c>
      <c r="F8547" s="2" t="str">
        <f>HYPERLINK("http://www.otzar.org/book.asp?8590","דברי צבי")</f>
        <v>דברי צבי</v>
      </c>
    </row>
    <row r="8548" spans="1:6" x14ac:dyDescent="0.2">
      <c r="A8548" t="s">
        <v>14958</v>
      </c>
      <c r="B8548" t="s">
        <v>14959</v>
      </c>
      <c r="C8548" t="s">
        <v>14960</v>
      </c>
      <c r="D8548" t="s">
        <v>756</v>
      </c>
      <c r="E8548" t="s">
        <v>674</v>
      </c>
      <c r="F8548" s="2" t="str">
        <f>HYPERLINK("http://www.otzar.org/book.asp?102942","דברי צדיקים")</f>
        <v>דברי צדיקים</v>
      </c>
    </row>
    <row r="8549" spans="1:6" x14ac:dyDescent="0.2">
      <c r="A8549" t="s">
        <v>14961</v>
      </c>
      <c r="B8549" t="s">
        <v>14962</v>
      </c>
      <c r="C8549" t="s">
        <v>103</v>
      </c>
      <c r="D8549" t="s">
        <v>412</v>
      </c>
      <c r="E8549" t="s">
        <v>1185</v>
      </c>
      <c r="F8549" s="2" t="str">
        <f>HYPERLINK("http://www.otzar.org/book.asp?160853","דברי צדיקים - אמרי קודש - שלשה עדרי צאן")</f>
        <v>דברי צדיקים - אמרי קודש - שלשה עדרי צאן</v>
      </c>
    </row>
    <row r="8550" spans="1:6" x14ac:dyDescent="0.2">
      <c r="A8550" t="s">
        <v>14963</v>
      </c>
      <c r="B8550" t="s">
        <v>14964</v>
      </c>
      <c r="C8550" t="s">
        <v>5163</v>
      </c>
      <c r="D8550" t="s">
        <v>5258</v>
      </c>
      <c r="E8550" t="s">
        <v>158</v>
      </c>
      <c r="F8550" s="2" t="str">
        <f>HYPERLINK("http://www.otzar.org/book.asp?107293","דברי צדיקים - 3 כר'")</f>
        <v>דברי צדיקים - 3 כר'</v>
      </c>
    </row>
    <row r="8551" spans="1:6" x14ac:dyDescent="0.2">
      <c r="A8551" t="s">
        <v>14965</v>
      </c>
      <c r="B8551" t="s">
        <v>14966</v>
      </c>
      <c r="C8551" t="s">
        <v>619</v>
      </c>
      <c r="D8551" t="s">
        <v>27</v>
      </c>
      <c r="E8551" t="s">
        <v>14967</v>
      </c>
      <c r="F8551" s="2" t="str">
        <f>HYPERLINK("http://www.otzar.org/book.asp?16027","דברי צדק")</f>
        <v>דברי צדק</v>
      </c>
    </row>
    <row r="8552" spans="1:6" x14ac:dyDescent="0.2">
      <c r="A8552" t="s">
        <v>14965</v>
      </c>
      <c r="B8552" t="s">
        <v>14968</v>
      </c>
      <c r="C8552" t="s">
        <v>433</v>
      </c>
      <c r="D8552" t="s">
        <v>27</v>
      </c>
      <c r="F8552" s="2" t="str">
        <f>HYPERLINK("http://www.otzar.org/book.asp?152979","דברי צדק")</f>
        <v>דברי צדק</v>
      </c>
    </row>
    <row r="8553" spans="1:6" x14ac:dyDescent="0.2">
      <c r="A8553" t="s">
        <v>14969</v>
      </c>
      <c r="B8553" t="s">
        <v>2802</v>
      </c>
      <c r="C8553" t="s">
        <v>767</v>
      </c>
      <c r="D8553" t="s">
        <v>14970</v>
      </c>
      <c r="E8553" t="s">
        <v>4260</v>
      </c>
      <c r="F8553" s="2" t="str">
        <f>HYPERLINK("http://www.otzar.org/book.asp?51984","דברי ציון ויהודה - 2 כר'")</f>
        <v>דברי ציון ויהודה - 2 כר'</v>
      </c>
    </row>
    <row r="8554" spans="1:6" x14ac:dyDescent="0.2">
      <c r="A8554" t="s">
        <v>14971</v>
      </c>
      <c r="B8554" t="s">
        <v>14972</v>
      </c>
      <c r="C8554" t="s">
        <v>619</v>
      </c>
      <c r="D8554" t="s">
        <v>9</v>
      </c>
      <c r="E8554" t="s">
        <v>241</v>
      </c>
      <c r="F8554" s="2" t="str">
        <f>HYPERLINK("http://www.otzar.org/book.asp?51226","דברי ציון")</f>
        <v>דברי ציון</v>
      </c>
    </row>
    <row r="8555" spans="1:6" x14ac:dyDescent="0.2">
      <c r="A8555" t="s">
        <v>14973</v>
      </c>
      <c r="B8555" t="s">
        <v>11839</v>
      </c>
      <c r="C8555" t="s">
        <v>14974</v>
      </c>
      <c r="D8555" t="s">
        <v>27</v>
      </c>
      <c r="F8555" s="2" t="str">
        <f>HYPERLINK("http://www.otzar.org/book.asp?152948","דברי קהלת - 2 כר'")</f>
        <v>דברי קהלת - 2 כר'</v>
      </c>
    </row>
    <row r="8556" spans="1:6" x14ac:dyDescent="0.2">
      <c r="A8556" t="s">
        <v>14975</v>
      </c>
      <c r="B8556" t="s">
        <v>14976</v>
      </c>
      <c r="C8556" t="s">
        <v>75</v>
      </c>
      <c r="D8556" t="s">
        <v>322</v>
      </c>
      <c r="E8556" t="s">
        <v>24</v>
      </c>
      <c r="F8556" s="2" t="str">
        <f>HYPERLINK("http://www.otzar.org/book.asp?28283","דברי קהלת")</f>
        <v>דברי קהלת</v>
      </c>
    </row>
    <row r="8557" spans="1:6" x14ac:dyDescent="0.2">
      <c r="A8557" t="s">
        <v>14975</v>
      </c>
      <c r="B8557" t="s">
        <v>14977</v>
      </c>
      <c r="C8557" t="s">
        <v>1524</v>
      </c>
      <c r="D8557" t="s">
        <v>1495</v>
      </c>
      <c r="E8557" t="s">
        <v>4260</v>
      </c>
      <c r="F8557" s="2" t="str">
        <f>HYPERLINK("http://www.otzar.org/book.asp?15984","דברי קהלת")</f>
        <v>דברי קהלת</v>
      </c>
    </row>
    <row r="8558" spans="1:6" x14ac:dyDescent="0.2">
      <c r="A8558" t="s">
        <v>14978</v>
      </c>
      <c r="B8558" t="s">
        <v>14446</v>
      </c>
      <c r="C8558" t="s">
        <v>14979</v>
      </c>
      <c r="D8558" t="s">
        <v>27</v>
      </c>
      <c r="E8558" t="s">
        <v>140</v>
      </c>
      <c r="F8558" s="2" t="str">
        <f>HYPERLINK("http://www.otzar.org/book.asp?17489","דברי קודש")</f>
        <v>דברי קודש</v>
      </c>
    </row>
    <row r="8559" spans="1:6" x14ac:dyDescent="0.2">
      <c r="A8559" t="s">
        <v>14980</v>
      </c>
      <c r="B8559" t="s">
        <v>14981</v>
      </c>
      <c r="C8559" t="s">
        <v>2271</v>
      </c>
      <c r="D8559" t="s">
        <v>535</v>
      </c>
      <c r="E8559" t="s">
        <v>144</v>
      </c>
      <c r="F8559" s="2" t="str">
        <f>HYPERLINK("http://www.otzar.org/book.asp?104877","דברי ר""ש")</f>
        <v>דברי ר"ש</v>
      </c>
    </row>
    <row r="8560" spans="1:6" x14ac:dyDescent="0.2">
      <c r="A8560" t="s">
        <v>14982</v>
      </c>
      <c r="B8560" t="s">
        <v>14983</v>
      </c>
      <c r="C8560" t="s">
        <v>2488</v>
      </c>
      <c r="D8560" t="s">
        <v>4364</v>
      </c>
      <c r="E8560" t="s">
        <v>508</v>
      </c>
      <c r="F8560" s="2" t="str">
        <f>HYPERLINK("http://www.otzar.org/book.asp?100803","דברי רב משלם")</f>
        <v>דברי רב משלם</v>
      </c>
    </row>
    <row r="8561" spans="1:6" x14ac:dyDescent="0.2">
      <c r="A8561" t="s">
        <v>14984</v>
      </c>
      <c r="B8561" t="s">
        <v>14985</v>
      </c>
      <c r="C8561" t="s">
        <v>20</v>
      </c>
      <c r="D8561" t="s">
        <v>412</v>
      </c>
      <c r="E8561" t="s">
        <v>104</v>
      </c>
      <c r="F8561" s="2" t="str">
        <f>HYPERLINK("http://www.otzar.org/book.asp?623915","דברי רבותינו")</f>
        <v>דברי רבותינו</v>
      </c>
    </row>
    <row r="8562" spans="1:6" x14ac:dyDescent="0.2">
      <c r="A8562" t="s">
        <v>14986</v>
      </c>
      <c r="B8562" t="s">
        <v>14987</v>
      </c>
      <c r="C8562" t="s">
        <v>383</v>
      </c>
      <c r="D8562" t="s">
        <v>14</v>
      </c>
      <c r="E8562" t="s">
        <v>158</v>
      </c>
      <c r="F8562" s="2" t="str">
        <f>HYPERLINK("http://www.otzar.org/book.asp?619296","דברי רבי חי")</f>
        <v>דברי רבי חי</v>
      </c>
    </row>
    <row r="8563" spans="1:6" x14ac:dyDescent="0.2">
      <c r="A8563" t="s">
        <v>14988</v>
      </c>
      <c r="B8563" t="s">
        <v>14983</v>
      </c>
      <c r="C8563" t="s">
        <v>87</v>
      </c>
      <c r="D8563" t="s">
        <v>412</v>
      </c>
      <c r="E8563" t="s">
        <v>930</v>
      </c>
      <c r="F8563" s="2" t="str">
        <f>HYPERLINK("http://www.otzar.org/book.asp?84898","דברי רבינו משולם")</f>
        <v>דברי רבינו משולם</v>
      </c>
    </row>
    <row r="8564" spans="1:6" x14ac:dyDescent="0.2">
      <c r="A8564" t="s">
        <v>14989</v>
      </c>
      <c r="B8564" t="s">
        <v>6713</v>
      </c>
      <c r="C8564" t="s">
        <v>624</v>
      </c>
      <c r="D8564" t="s">
        <v>486</v>
      </c>
      <c r="E8564" t="s">
        <v>144</v>
      </c>
      <c r="F8564" s="2" t="str">
        <f>HYPERLINK("http://www.otzar.org/book.asp?52766","דברי רבינו שפטיה - דברי יהודה זרחיה")</f>
        <v>דברי רבינו שפטיה - דברי יהודה זרחיה</v>
      </c>
    </row>
    <row r="8565" spans="1:6" x14ac:dyDescent="0.2">
      <c r="A8565" t="s">
        <v>14990</v>
      </c>
      <c r="B8565" t="s">
        <v>14991</v>
      </c>
      <c r="C8565" t="s">
        <v>1096</v>
      </c>
      <c r="D8565" t="s">
        <v>283</v>
      </c>
      <c r="E8565" t="s">
        <v>15</v>
      </c>
      <c r="F8565" s="2" t="str">
        <f>HYPERLINK("http://www.otzar.org/book.asp?169718","דברי רבית")</f>
        <v>דברי רבית</v>
      </c>
    </row>
    <row r="8566" spans="1:6" x14ac:dyDescent="0.2">
      <c r="A8566" t="s">
        <v>14992</v>
      </c>
      <c r="B8566" t="s">
        <v>14993</v>
      </c>
      <c r="C8566" t="s">
        <v>1169</v>
      </c>
      <c r="D8566" t="s">
        <v>412</v>
      </c>
      <c r="E8566" t="s">
        <v>144</v>
      </c>
      <c r="F8566" s="2" t="str">
        <f>HYPERLINK("http://www.otzar.org/book.asp?144880","דברי רגש")</f>
        <v>דברי רגש</v>
      </c>
    </row>
    <row r="8567" spans="1:6" x14ac:dyDescent="0.2">
      <c r="A8567" t="s">
        <v>14994</v>
      </c>
      <c r="B8567" t="s">
        <v>14995</v>
      </c>
      <c r="C8567" t="s">
        <v>8</v>
      </c>
      <c r="D8567" t="s">
        <v>283</v>
      </c>
      <c r="E8567" t="s">
        <v>10687</v>
      </c>
      <c r="F8567" s="2" t="str">
        <f>HYPERLINK("http://www.otzar.org/book.asp?100829","דברי רד""ך")</f>
        <v>דברי רד"ך</v>
      </c>
    </row>
    <row r="8568" spans="1:6" x14ac:dyDescent="0.2">
      <c r="A8568" t="s">
        <v>14996</v>
      </c>
      <c r="B8568" t="s">
        <v>14997</v>
      </c>
      <c r="C8568" t="s">
        <v>332</v>
      </c>
      <c r="D8568" t="s">
        <v>14998</v>
      </c>
      <c r="E8568" t="s">
        <v>144</v>
      </c>
      <c r="F8568" s="2" t="str">
        <f>HYPERLINK("http://www.otzar.org/book.asp?174059","דברי רחמים - 8 כר'")</f>
        <v>דברי רחמים - 8 כר'</v>
      </c>
    </row>
    <row r="8569" spans="1:6" x14ac:dyDescent="0.2">
      <c r="A8569" t="s">
        <v>14999</v>
      </c>
      <c r="B8569" t="s">
        <v>15000</v>
      </c>
      <c r="C8569" t="s">
        <v>4202</v>
      </c>
      <c r="D8569" t="s">
        <v>49</v>
      </c>
      <c r="E8569" t="s">
        <v>154</v>
      </c>
      <c r="F8569" s="2" t="str">
        <f>HYPERLINK("http://www.otzar.org/book.asp?10933","דברי ריבות")</f>
        <v>דברי ריבות</v>
      </c>
    </row>
    <row r="8570" spans="1:6" x14ac:dyDescent="0.2">
      <c r="A8570" t="s">
        <v>15001</v>
      </c>
      <c r="B8570" t="s">
        <v>15002</v>
      </c>
      <c r="C8570" t="s">
        <v>1388</v>
      </c>
      <c r="D8570" t="s">
        <v>1180</v>
      </c>
      <c r="E8570" t="s">
        <v>154</v>
      </c>
      <c r="F8570" s="2" t="str">
        <f>HYPERLINK("http://www.otzar.org/book.asp?10936","דברי רננה")</f>
        <v>דברי רננה</v>
      </c>
    </row>
    <row r="8571" spans="1:6" x14ac:dyDescent="0.2">
      <c r="A8571" t="s">
        <v>15003</v>
      </c>
      <c r="B8571" t="s">
        <v>15004</v>
      </c>
      <c r="C8571" t="s">
        <v>454</v>
      </c>
      <c r="D8571" t="s">
        <v>21</v>
      </c>
      <c r="E8571" t="s">
        <v>1148</v>
      </c>
      <c r="F8571" s="2" t="str">
        <f>HYPERLINK("http://www.otzar.org/book.asp?195628","דברי רפאל")</f>
        <v>דברי רפאל</v>
      </c>
    </row>
    <row r="8572" spans="1:6" x14ac:dyDescent="0.2">
      <c r="A8572" t="s">
        <v>15005</v>
      </c>
      <c r="B8572" t="s">
        <v>6073</v>
      </c>
      <c r="C8572" t="s">
        <v>1335</v>
      </c>
      <c r="D8572" t="s">
        <v>267</v>
      </c>
      <c r="E8572" t="s">
        <v>148</v>
      </c>
      <c r="F8572" s="2" t="str">
        <f>HYPERLINK("http://www.otzar.org/book.asp?154741","דברי שאול &lt;עדות ביוסף&gt; - 2 כר'")</f>
        <v>דברי שאול &lt;עדות ביוסף&gt; - 2 כר'</v>
      </c>
    </row>
    <row r="8573" spans="1:6" x14ac:dyDescent="0.2">
      <c r="A8573" t="s">
        <v>15006</v>
      </c>
      <c r="B8573" t="s">
        <v>6073</v>
      </c>
      <c r="C8573" t="s">
        <v>1458</v>
      </c>
      <c r="D8573" t="s">
        <v>267</v>
      </c>
      <c r="E8573" t="s">
        <v>158</v>
      </c>
      <c r="F8573" s="2" t="str">
        <f>HYPERLINK("http://www.otzar.org/book.asp?612388","דברי שאול &lt;עה""ת&gt; - 4 כר'")</f>
        <v>דברי שאול &lt;עה"ת&gt; - 4 כר'</v>
      </c>
    </row>
    <row r="8574" spans="1:6" x14ac:dyDescent="0.2">
      <c r="A8574" t="s">
        <v>15007</v>
      </c>
      <c r="B8574" t="s">
        <v>15008</v>
      </c>
      <c r="C8574" t="s">
        <v>20</v>
      </c>
      <c r="D8574" t="s">
        <v>90</v>
      </c>
      <c r="E8574" t="s">
        <v>158</v>
      </c>
      <c r="F8574" s="2" t="str">
        <f>HYPERLINK("http://www.otzar.org/book.asp?193208","דברי שאול")</f>
        <v>דברי שאול</v>
      </c>
    </row>
    <row r="8575" spans="1:6" x14ac:dyDescent="0.2">
      <c r="A8575" t="s">
        <v>15009</v>
      </c>
      <c r="B8575" t="s">
        <v>6073</v>
      </c>
      <c r="C8575" t="s">
        <v>3106</v>
      </c>
      <c r="D8575" t="s">
        <v>9</v>
      </c>
      <c r="E8575" t="s">
        <v>158</v>
      </c>
      <c r="F8575" s="2" t="str">
        <f>HYPERLINK("http://www.otzar.org/book.asp?177233","דברי שאול - 7 כר'")</f>
        <v>דברי שאול - 7 כר'</v>
      </c>
    </row>
    <row r="8576" spans="1:6" x14ac:dyDescent="0.2">
      <c r="A8576" t="s">
        <v>15007</v>
      </c>
      <c r="B8576" t="s">
        <v>15010</v>
      </c>
      <c r="C8576" t="s">
        <v>1228</v>
      </c>
      <c r="D8576" t="s">
        <v>1117</v>
      </c>
      <c r="E8576" t="s">
        <v>573</v>
      </c>
      <c r="F8576" s="2" t="str">
        <f>HYPERLINK("http://www.otzar.org/book.asp?16028","דברי שאול")</f>
        <v>דברי שאול</v>
      </c>
    </row>
    <row r="8577" spans="1:6" x14ac:dyDescent="0.2">
      <c r="A8577" t="s">
        <v>15011</v>
      </c>
      <c r="B8577" t="s">
        <v>4445</v>
      </c>
      <c r="C8577" t="s">
        <v>20</v>
      </c>
      <c r="D8577" t="s">
        <v>90</v>
      </c>
      <c r="E8577" t="s">
        <v>15</v>
      </c>
      <c r="F8577" s="2" t="str">
        <f>HYPERLINK("http://www.otzar.org/book.asp?608038","דברי שב""ח - 12 כר'")</f>
        <v>דברי שב"ח - 12 כר'</v>
      </c>
    </row>
    <row r="8578" spans="1:6" x14ac:dyDescent="0.2">
      <c r="A8578" t="s">
        <v>15012</v>
      </c>
      <c r="B8578" t="s">
        <v>15013</v>
      </c>
      <c r="C8578" t="s">
        <v>23</v>
      </c>
      <c r="D8578" t="s">
        <v>7116</v>
      </c>
      <c r="E8578" t="s">
        <v>172</v>
      </c>
      <c r="F8578" s="2" t="str">
        <f>HYPERLINK("http://www.otzar.org/book.asp?629644","דברי שבח - ברכת הגומל")</f>
        <v>דברי שבח - ברכת הגומל</v>
      </c>
    </row>
    <row r="8579" spans="1:6" x14ac:dyDescent="0.2">
      <c r="A8579" t="s">
        <v>15014</v>
      </c>
      <c r="B8579" t="s">
        <v>15015</v>
      </c>
      <c r="C8579" t="s">
        <v>111</v>
      </c>
      <c r="D8579" t="s">
        <v>486</v>
      </c>
      <c r="E8579" t="s">
        <v>130</v>
      </c>
      <c r="F8579" s="2" t="str">
        <f>HYPERLINK("http://www.otzar.org/book.asp?630875","דברי שבת")</f>
        <v>דברי שבת</v>
      </c>
    </row>
    <row r="8580" spans="1:6" x14ac:dyDescent="0.2">
      <c r="A8580" t="s">
        <v>15016</v>
      </c>
      <c r="B8580" t="s">
        <v>2283</v>
      </c>
      <c r="C8580" t="s">
        <v>1208</v>
      </c>
      <c r="D8580" t="s">
        <v>52</v>
      </c>
      <c r="F8580" s="2" t="str">
        <f>HYPERLINK("http://www.otzar.org/book.asp?616263","דברי שי")</f>
        <v>דברי שי</v>
      </c>
    </row>
    <row r="8581" spans="1:6" x14ac:dyDescent="0.2">
      <c r="A8581" t="s">
        <v>15017</v>
      </c>
      <c r="B8581" t="s">
        <v>7604</v>
      </c>
      <c r="C8581" t="s">
        <v>133</v>
      </c>
      <c r="D8581" t="s">
        <v>52</v>
      </c>
      <c r="E8581" t="s">
        <v>15</v>
      </c>
      <c r="F8581" s="2" t="str">
        <f>HYPERLINK("http://www.otzar.org/book.asp?625434","דברי שי""ח - 8 כר'")</f>
        <v>דברי שי"ח - 8 כר'</v>
      </c>
    </row>
    <row r="8582" spans="1:6" x14ac:dyDescent="0.2">
      <c r="A8582" t="s">
        <v>15018</v>
      </c>
      <c r="B8582" t="s">
        <v>15019</v>
      </c>
      <c r="C8582" t="s">
        <v>581</v>
      </c>
      <c r="D8582" t="s">
        <v>9896</v>
      </c>
      <c r="E8582" t="s">
        <v>586</v>
      </c>
      <c r="F8582" s="2" t="str">
        <f>HYPERLINK("http://www.otzar.org/book.asp?173094","דברי שי""ר - 2 כר'")</f>
        <v>דברי שי"ר - 2 כר'</v>
      </c>
    </row>
    <row r="8583" spans="1:6" x14ac:dyDescent="0.2">
      <c r="A8583" t="s">
        <v>15020</v>
      </c>
      <c r="B8583" t="s">
        <v>15021</v>
      </c>
      <c r="C8583" t="s">
        <v>767</v>
      </c>
      <c r="D8583" t="s">
        <v>115</v>
      </c>
      <c r="E8583" t="s">
        <v>144</v>
      </c>
      <c r="F8583" s="2" t="str">
        <f>HYPERLINK("http://www.otzar.org/book.asp?60570","דברי שיר - 2 כר'")</f>
        <v>דברי שיר - 2 כר'</v>
      </c>
    </row>
    <row r="8584" spans="1:6" x14ac:dyDescent="0.2">
      <c r="A8584" t="s">
        <v>15020</v>
      </c>
      <c r="B8584" t="s">
        <v>15022</v>
      </c>
      <c r="C8584" t="s">
        <v>114</v>
      </c>
      <c r="D8584" t="s">
        <v>152</v>
      </c>
      <c r="E8584" t="s">
        <v>154</v>
      </c>
      <c r="F8584" s="2" t="str">
        <f>HYPERLINK("http://www.otzar.org/book.asp?607101","דברי שיר - 2 כר'")</f>
        <v>דברי שיר - 2 כר'</v>
      </c>
    </row>
    <row r="8585" spans="1:6" x14ac:dyDescent="0.2">
      <c r="A8585" t="s">
        <v>15023</v>
      </c>
      <c r="B8585" t="s">
        <v>15024</v>
      </c>
      <c r="C8585" t="s">
        <v>1169</v>
      </c>
      <c r="D8585" t="s">
        <v>563</v>
      </c>
      <c r="E8585" t="s">
        <v>15025</v>
      </c>
      <c r="F8585" s="2" t="str">
        <f>HYPERLINK("http://www.otzar.org/book.asp?13680","דברי שיר")</f>
        <v>דברי שיר</v>
      </c>
    </row>
    <row r="8586" spans="1:6" x14ac:dyDescent="0.2">
      <c r="A8586" t="s">
        <v>15026</v>
      </c>
      <c r="B8586" t="s">
        <v>15027</v>
      </c>
      <c r="C8586" t="s">
        <v>23</v>
      </c>
      <c r="D8586" t="s">
        <v>90</v>
      </c>
      <c r="E8586" t="s">
        <v>158</v>
      </c>
      <c r="F8586" s="2" t="str">
        <f>HYPERLINK("http://www.otzar.org/book.asp?611355","דברי שיר - תהילים")</f>
        <v>דברי שיר - תהילים</v>
      </c>
    </row>
    <row r="8587" spans="1:6" x14ac:dyDescent="0.2">
      <c r="A8587" t="s">
        <v>15028</v>
      </c>
      <c r="B8587" t="s">
        <v>2667</v>
      </c>
      <c r="C8587" t="s">
        <v>1208</v>
      </c>
      <c r="D8587" t="s">
        <v>245</v>
      </c>
      <c r="F8587" s="2" t="str">
        <f>HYPERLINK("http://www.otzar.org/book.asp?615303","דברי שירה - 8 כר'")</f>
        <v>דברי שירה - 8 כר'</v>
      </c>
    </row>
    <row r="8588" spans="1:6" x14ac:dyDescent="0.2">
      <c r="A8588" t="s">
        <v>15029</v>
      </c>
      <c r="B8588" t="s">
        <v>15000</v>
      </c>
      <c r="C8588" t="s">
        <v>15030</v>
      </c>
      <c r="D8588" t="s">
        <v>76</v>
      </c>
      <c r="E8588" t="s">
        <v>234</v>
      </c>
      <c r="F8588" s="2" t="str">
        <f>HYPERLINK("http://www.otzar.org/book.asp?53319","דברי שלום &lt;דפו""ר&gt; - 2 כר'")</f>
        <v>דברי שלום &lt;דפו"ר&gt; - 2 כר'</v>
      </c>
    </row>
    <row r="8589" spans="1:6" x14ac:dyDescent="0.2">
      <c r="A8589" t="s">
        <v>15031</v>
      </c>
      <c r="B8589" t="s">
        <v>15032</v>
      </c>
      <c r="C8589" t="s">
        <v>133</v>
      </c>
      <c r="D8589" t="s">
        <v>27</v>
      </c>
      <c r="E8589" t="s">
        <v>2418</v>
      </c>
      <c r="F8589" s="2" t="str">
        <f>HYPERLINK("http://www.otzar.org/book.asp?611306","דברי שלום &lt;מהדורה חדשה&gt;")</f>
        <v>דברי שלום &lt;מהדורה חדשה&gt;</v>
      </c>
    </row>
    <row r="8590" spans="1:6" x14ac:dyDescent="0.2">
      <c r="A8590" t="s">
        <v>15031</v>
      </c>
      <c r="B8590" t="s">
        <v>15033</v>
      </c>
      <c r="C8590" t="s">
        <v>37</v>
      </c>
      <c r="D8590" t="s">
        <v>412</v>
      </c>
      <c r="E8590" t="s">
        <v>2071</v>
      </c>
      <c r="F8590" s="2" t="str">
        <f>HYPERLINK("http://www.otzar.org/book.asp?179544","דברי שלום &lt;מהדורה חדשה&gt;")</f>
        <v>דברי שלום &lt;מהדורה חדשה&gt;</v>
      </c>
    </row>
    <row r="8591" spans="1:6" x14ac:dyDescent="0.2">
      <c r="A8591" t="s">
        <v>15034</v>
      </c>
      <c r="B8591" t="s">
        <v>15035</v>
      </c>
      <c r="C8591" t="s">
        <v>23</v>
      </c>
      <c r="D8591" t="s">
        <v>27</v>
      </c>
      <c r="E8591" t="s">
        <v>399</v>
      </c>
      <c r="F8591" s="2" t="str">
        <f>HYPERLINK("http://www.otzar.org/book.asp?196166","דברי שלום &lt;מהדורה חדשה&gt; - 2 כר'")</f>
        <v>דברי שלום &lt;מהדורה חדשה&gt; - 2 כר'</v>
      </c>
    </row>
    <row r="8592" spans="1:6" x14ac:dyDescent="0.2">
      <c r="A8592" t="s">
        <v>15036</v>
      </c>
      <c r="B8592" t="s">
        <v>15037</v>
      </c>
      <c r="C8592" t="s">
        <v>146</v>
      </c>
      <c r="D8592" t="s">
        <v>90</v>
      </c>
      <c r="E8592" t="s">
        <v>158</v>
      </c>
      <c r="F8592" s="2" t="str">
        <f>HYPERLINK("http://www.otzar.org/book.asp?172837","דברי שלום ואמת - מגילת אסתר")</f>
        <v>דברי שלום ואמת - מגילת אסתר</v>
      </c>
    </row>
    <row r="8593" spans="1:6" x14ac:dyDescent="0.2">
      <c r="A8593" t="s">
        <v>15038</v>
      </c>
      <c r="B8593" t="s">
        <v>11283</v>
      </c>
      <c r="C8593" t="s">
        <v>244</v>
      </c>
      <c r="D8593" t="s">
        <v>14</v>
      </c>
      <c r="E8593" t="s">
        <v>2758</v>
      </c>
      <c r="F8593" s="2" t="str">
        <f>HYPERLINK("http://www.otzar.org/book.asp?603246","דברי שלום ואמת - פורים")</f>
        <v>דברי שלום ואמת - פורים</v>
      </c>
    </row>
    <row r="8594" spans="1:6" x14ac:dyDescent="0.2">
      <c r="A8594" t="s">
        <v>15039</v>
      </c>
      <c r="B8594" t="s">
        <v>15040</v>
      </c>
      <c r="C8594" t="s">
        <v>279</v>
      </c>
      <c r="D8594" t="s">
        <v>646</v>
      </c>
      <c r="E8594" t="s">
        <v>15</v>
      </c>
      <c r="F8594" s="2" t="str">
        <f>HYPERLINK("http://www.otzar.org/book.asp?181983","דברי שלום ואמת")</f>
        <v>דברי שלום ואמת</v>
      </c>
    </row>
    <row r="8595" spans="1:6" x14ac:dyDescent="0.2">
      <c r="A8595" t="s">
        <v>15039</v>
      </c>
      <c r="B8595" t="s">
        <v>15041</v>
      </c>
      <c r="C8595" t="s">
        <v>17</v>
      </c>
      <c r="D8595" t="s">
        <v>118</v>
      </c>
      <c r="E8595" t="s">
        <v>5935</v>
      </c>
      <c r="F8595" s="2" t="str">
        <f>HYPERLINK("http://www.otzar.org/book.asp?16419","דברי שלום ואמת")</f>
        <v>דברי שלום ואמת</v>
      </c>
    </row>
    <row r="8596" spans="1:6" x14ac:dyDescent="0.2">
      <c r="A8596" t="s">
        <v>15042</v>
      </c>
      <c r="B8596" t="s">
        <v>15043</v>
      </c>
      <c r="C8596" t="s">
        <v>454</v>
      </c>
      <c r="D8596" t="s">
        <v>21</v>
      </c>
      <c r="E8596" t="s">
        <v>15</v>
      </c>
      <c r="F8596" s="2" t="str">
        <f>HYPERLINK("http://www.otzar.org/book.asp?199778","דברי שלום ואמת - 4 כר'")</f>
        <v>דברי שלום ואמת - 4 כר'</v>
      </c>
    </row>
    <row r="8597" spans="1:6" x14ac:dyDescent="0.2">
      <c r="A8597" t="s">
        <v>15039</v>
      </c>
      <c r="B8597" t="s">
        <v>15044</v>
      </c>
      <c r="C8597" t="s">
        <v>946</v>
      </c>
      <c r="D8597" t="s">
        <v>5961</v>
      </c>
      <c r="E8597" t="s">
        <v>241</v>
      </c>
      <c r="F8597" s="2" t="str">
        <f>HYPERLINK("http://www.otzar.org/book.asp?149614","דברי שלום ואמת")</f>
        <v>דברי שלום ואמת</v>
      </c>
    </row>
    <row r="8598" spans="1:6" x14ac:dyDescent="0.2">
      <c r="A8598" t="s">
        <v>15039</v>
      </c>
      <c r="B8598" t="s">
        <v>15045</v>
      </c>
      <c r="C8598" t="s">
        <v>503</v>
      </c>
      <c r="D8598" t="s">
        <v>283</v>
      </c>
      <c r="E8598" t="s">
        <v>119</v>
      </c>
      <c r="F8598" s="2" t="str">
        <f>HYPERLINK("http://www.otzar.org/book.asp?171508","דברי שלום ואמת")</f>
        <v>דברי שלום ואמת</v>
      </c>
    </row>
    <row r="8599" spans="1:6" x14ac:dyDescent="0.2">
      <c r="A8599" t="s">
        <v>15039</v>
      </c>
      <c r="B8599" t="s">
        <v>12242</v>
      </c>
      <c r="C8599" t="s">
        <v>244</v>
      </c>
      <c r="D8599" t="s">
        <v>14</v>
      </c>
      <c r="E8599" t="s">
        <v>130</v>
      </c>
      <c r="F8599" s="2" t="str">
        <f>HYPERLINK("http://www.otzar.org/book.asp?198745","דברי שלום ואמת")</f>
        <v>דברי שלום ואמת</v>
      </c>
    </row>
    <row r="8600" spans="1:6" x14ac:dyDescent="0.2">
      <c r="A8600" t="s">
        <v>15039</v>
      </c>
      <c r="B8600" t="s">
        <v>15046</v>
      </c>
      <c r="C8600" t="s">
        <v>111</v>
      </c>
      <c r="E8600" t="s">
        <v>158</v>
      </c>
      <c r="F8600" s="2" t="str">
        <f>HYPERLINK("http://www.otzar.org/book.asp?621433","דברי שלום ואמת")</f>
        <v>דברי שלום ואמת</v>
      </c>
    </row>
    <row r="8601" spans="1:6" x14ac:dyDescent="0.2">
      <c r="A8601" t="s">
        <v>15039</v>
      </c>
      <c r="B8601" t="s">
        <v>15047</v>
      </c>
      <c r="C8601" t="s">
        <v>649</v>
      </c>
      <c r="D8601" t="s">
        <v>6042</v>
      </c>
      <c r="E8601" t="s">
        <v>15</v>
      </c>
      <c r="F8601" s="2" t="str">
        <f>HYPERLINK("http://www.otzar.org/book.asp?28578","דברי שלום ואמת")</f>
        <v>דברי שלום ואמת</v>
      </c>
    </row>
    <row r="8602" spans="1:6" x14ac:dyDescent="0.2">
      <c r="A8602" t="s">
        <v>15039</v>
      </c>
      <c r="B8602" t="s">
        <v>15048</v>
      </c>
      <c r="C8602" t="s">
        <v>266</v>
      </c>
      <c r="D8602" t="s">
        <v>56</v>
      </c>
      <c r="E8602" t="s">
        <v>15049</v>
      </c>
      <c r="F8602" s="2" t="str">
        <f>HYPERLINK("http://www.otzar.org/book.asp?17490","דברי שלום ואמת")</f>
        <v>דברי שלום ואמת</v>
      </c>
    </row>
    <row r="8603" spans="1:6" x14ac:dyDescent="0.2">
      <c r="A8603" t="s">
        <v>15050</v>
      </c>
      <c r="B8603" t="s">
        <v>552</v>
      </c>
      <c r="C8603" t="s">
        <v>523</v>
      </c>
      <c r="D8603" t="s">
        <v>14</v>
      </c>
      <c r="E8603" t="s">
        <v>202</v>
      </c>
      <c r="F8603" s="2" t="str">
        <f>HYPERLINK("http://www.otzar.org/book.asp?61950","דברי שלום חכמים")</f>
        <v>דברי שלום חכמים</v>
      </c>
    </row>
    <row r="8604" spans="1:6" x14ac:dyDescent="0.2">
      <c r="A8604" t="s">
        <v>15051</v>
      </c>
      <c r="B8604" t="s">
        <v>15052</v>
      </c>
      <c r="C8604" t="s">
        <v>106</v>
      </c>
      <c r="D8604" t="s">
        <v>14</v>
      </c>
      <c r="E8604" t="s">
        <v>957</v>
      </c>
      <c r="F8604" s="2" t="str">
        <f>HYPERLINK("http://www.otzar.org/book.asp?181318","דברי שלום")</f>
        <v>דברי שלום</v>
      </c>
    </row>
    <row r="8605" spans="1:6" x14ac:dyDescent="0.2">
      <c r="A8605" t="s">
        <v>15053</v>
      </c>
      <c r="B8605" t="s">
        <v>15000</v>
      </c>
      <c r="C8605" t="s">
        <v>15054</v>
      </c>
      <c r="D8605" t="s">
        <v>76</v>
      </c>
      <c r="F8605" s="2" t="str">
        <f>HYPERLINK("http://www.otzar.org/book.asp?164741","דברי שלום - 3 כר'")</f>
        <v>דברי שלום - 3 כר'</v>
      </c>
    </row>
    <row r="8606" spans="1:6" x14ac:dyDescent="0.2">
      <c r="A8606" t="s">
        <v>15051</v>
      </c>
      <c r="B8606" t="s">
        <v>15055</v>
      </c>
      <c r="C8606" t="s">
        <v>2550</v>
      </c>
      <c r="D8606" t="s">
        <v>3293</v>
      </c>
      <c r="E8606" t="s">
        <v>15056</v>
      </c>
      <c r="F8606" s="2" t="str">
        <f>HYPERLINK("http://www.otzar.org/book.asp?100827","דברי שלום")</f>
        <v>דברי שלום</v>
      </c>
    </row>
    <row r="8607" spans="1:6" x14ac:dyDescent="0.2">
      <c r="A8607" t="s">
        <v>15051</v>
      </c>
      <c r="B8607" t="s">
        <v>15057</v>
      </c>
      <c r="C8607" t="s">
        <v>143</v>
      </c>
      <c r="D8607" t="s">
        <v>90</v>
      </c>
      <c r="E8607" t="s">
        <v>104</v>
      </c>
      <c r="F8607" s="2" t="str">
        <f>HYPERLINK("http://www.otzar.org/book.asp?64262","דברי שלום")</f>
        <v>דברי שלום</v>
      </c>
    </row>
    <row r="8608" spans="1:6" x14ac:dyDescent="0.2">
      <c r="A8608" t="s">
        <v>15051</v>
      </c>
      <c r="B8608" t="s">
        <v>206</v>
      </c>
      <c r="C8608" t="s">
        <v>422</v>
      </c>
      <c r="D8608" t="s">
        <v>52</v>
      </c>
      <c r="E8608" t="s">
        <v>104</v>
      </c>
      <c r="F8608" s="2" t="str">
        <f>HYPERLINK("http://www.otzar.org/book.asp?167769","דברי שלום")</f>
        <v>דברי שלום</v>
      </c>
    </row>
    <row r="8609" spans="1:6" x14ac:dyDescent="0.2">
      <c r="A8609" t="s">
        <v>15058</v>
      </c>
      <c r="B8609" t="s">
        <v>15059</v>
      </c>
      <c r="C8609" t="s">
        <v>286</v>
      </c>
      <c r="D8609" t="s">
        <v>1966</v>
      </c>
      <c r="E8609" t="s">
        <v>158</v>
      </c>
      <c r="F8609" s="2" t="str">
        <f>HYPERLINK("http://www.otzar.org/book.asp?10155","דברי שלום - בראשית שמות")</f>
        <v>דברי שלום - בראשית שמות</v>
      </c>
    </row>
    <row r="8610" spans="1:6" x14ac:dyDescent="0.2">
      <c r="A8610" t="s">
        <v>15051</v>
      </c>
      <c r="B8610" t="s">
        <v>15032</v>
      </c>
      <c r="C8610" t="s">
        <v>1246</v>
      </c>
      <c r="D8610" t="s">
        <v>27</v>
      </c>
      <c r="E8610" t="s">
        <v>15060</v>
      </c>
      <c r="F8610" s="2" t="str">
        <f>HYPERLINK("http://www.otzar.org/book.asp?164283","דברי שלום")</f>
        <v>דברי שלום</v>
      </c>
    </row>
    <row r="8611" spans="1:6" x14ac:dyDescent="0.2">
      <c r="A8611" t="s">
        <v>15061</v>
      </c>
      <c r="B8611" t="s">
        <v>15062</v>
      </c>
      <c r="C8611" t="s">
        <v>15063</v>
      </c>
      <c r="D8611" t="s">
        <v>563</v>
      </c>
      <c r="E8611" t="s">
        <v>15064</v>
      </c>
      <c r="F8611" s="2" t="str">
        <f>HYPERLINK("http://www.otzar.org/book.asp?19345","דברי שלום - 2 כר'")</f>
        <v>דברי שלום - 2 כר'</v>
      </c>
    </row>
    <row r="8612" spans="1:6" x14ac:dyDescent="0.2">
      <c r="A8612" t="s">
        <v>15065</v>
      </c>
      <c r="B8612" t="s">
        <v>3462</v>
      </c>
      <c r="C8612" t="s">
        <v>1208</v>
      </c>
      <c r="D8612" t="s">
        <v>52</v>
      </c>
      <c r="E8612" t="s">
        <v>144</v>
      </c>
      <c r="F8612" s="2" t="str">
        <f>HYPERLINK("http://www.otzar.org/book.asp?144399","דברי שלום - 9 כר'")</f>
        <v>דברי שלום - 9 כר'</v>
      </c>
    </row>
    <row r="8613" spans="1:6" x14ac:dyDescent="0.2">
      <c r="A8613" t="s">
        <v>15051</v>
      </c>
      <c r="B8613" t="s">
        <v>15066</v>
      </c>
      <c r="C8613" t="s">
        <v>581</v>
      </c>
      <c r="D8613" t="s">
        <v>974</v>
      </c>
      <c r="E8613" t="s">
        <v>5935</v>
      </c>
      <c r="F8613" s="2" t="str">
        <f>HYPERLINK("http://www.otzar.org/book.asp?149139","דברי שלום")</f>
        <v>דברי שלום</v>
      </c>
    </row>
    <row r="8614" spans="1:6" x14ac:dyDescent="0.2">
      <c r="A8614" t="s">
        <v>15067</v>
      </c>
      <c r="B8614" t="s">
        <v>15068</v>
      </c>
      <c r="C8614" t="s">
        <v>523</v>
      </c>
      <c r="D8614" t="s">
        <v>14</v>
      </c>
      <c r="E8614" t="s">
        <v>154</v>
      </c>
      <c r="F8614" s="2" t="str">
        <f>HYPERLINK("http://www.otzar.org/book.asp?22713","דברי שלום - 12 כר'")</f>
        <v>דברי שלום - 12 כר'</v>
      </c>
    </row>
    <row r="8615" spans="1:6" x14ac:dyDescent="0.2">
      <c r="A8615" t="s">
        <v>15051</v>
      </c>
      <c r="B8615" t="s">
        <v>15069</v>
      </c>
      <c r="C8615" t="s">
        <v>46</v>
      </c>
      <c r="D8615" t="s">
        <v>14830</v>
      </c>
      <c r="E8615" t="s">
        <v>508</v>
      </c>
      <c r="F8615" s="2" t="str">
        <f>HYPERLINK("http://www.otzar.org/book.asp?28577","דברי שלום")</f>
        <v>דברי שלום</v>
      </c>
    </row>
    <row r="8616" spans="1:6" x14ac:dyDescent="0.2">
      <c r="A8616" t="s">
        <v>15070</v>
      </c>
      <c r="B8616" t="s">
        <v>15071</v>
      </c>
      <c r="C8616" t="s">
        <v>466</v>
      </c>
      <c r="D8616" t="s">
        <v>1153</v>
      </c>
      <c r="E8616" t="s">
        <v>8854</v>
      </c>
      <c r="F8616" s="2" t="str">
        <f>HYPERLINK("http://www.otzar.org/book.asp?51576","דברי שלום - 19 כר'")</f>
        <v>דברי שלום - 19 כר'</v>
      </c>
    </row>
    <row r="8617" spans="1:6" x14ac:dyDescent="0.2">
      <c r="A8617" t="s">
        <v>15051</v>
      </c>
      <c r="B8617" t="s">
        <v>5648</v>
      </c>
      <c r="C8617" t="s">
        <v>1047</v>
      </c>
      <c r="D8617" t="s">
        <v>283</v>
      </c>
      <c r="E8617" t="s">
        <v>43</v>
      </c>
      <c r="F8617" s="2" t="str">
        <f>HYPERLINK("http://www.otzar.org/book.asp?151341","דברי שלום")</f>
        <v>דברי שלום</v>
      </c>
    </row>
    <row r="8618" spans="1:6" x14ac:dyDescent="0.2">
      <c r="A8618" t="s">
        <v>15051</v>
      </c>
      <c r="B8618" t="s">
        <v>15033</v>
      </c>
      <c r="C8618" t="s">
        <v>4705</v>
      </c>
      <c r="D8618" t="s">
        <v>56</v>
      </c>
      <c r="E8618" t="s">
        <v>2071</v>
      </c>
      <c r="F8618" s="2" t="str">
        <f>HYPERLINK("http://www.otzar.org/book.asp?60384","דברי שלום")</f>
        <v>דברי שלום</v>
      </c>
    </row>
    <row r="8619" spans="1:6" x14ac:dyDescent="0.2">
      <c r="A8619" t="s">
        <v>15072</v>
      </c>
      <c r="B8619" t="s">
        <v>15073</v>
      </c>
      <c r="C8619" t="s">
        <v>180</v>
      </c>
      <c r="D8619" t="s">
        <v>412</v>
      </c>
      <c r="E8619" t="s">
        <v>559</v>
      </c>
      <c r="F8619" s="2" t="str">
        <f>HYPERLINK("http://www.otzar.org/book.asp?13801","דברי שלום - 7 כר'")</f>
        <v>דברי שלום - 7 כר'</v>
      </c>
    </row>
    <row r="8620" spans="1:6" x14ac:dyDescent="0.2">
      <c r="A8620" t="s">
        <v>15051</v>
      </c>
      <c r="B8620" t="s">
        <v>15035</v>
      </c>
      <c r="C8620" t="s">
        <v>2076</v>
      </c>
      <c r="D8620" t="s">
        <v>27</v>
      </c>
      <c r="E8620" t="s">
        <v>1438</v>
      </c>
      <c r="F8620" s="2" t="str">
        <f>HYPERLINK("http://www.otzar.org/book.asp?15756","דברי שלום")</f>
        <v>דברי שלום</v>
      </c>
    </row>
    <row r="8621" spans="1:6" x14ac:dyDescent="0.2">
      <c r="A8621" t="s">
        <v>15074</v>
      </c>
      <c r="B8621" t="s">
        <v>15075</v>
      </c>
      <c r="C8621" t="s">
        <v>20</v>
      </c>
      <c r="D8621" t="s">
        <v>14</v>
      </c>
      <c r="F8621" s="2" t="str">
        <f>HYPERLINK("http://www.otzar.org/book.asp?617996","דברי שלום, חמרא חיי")</f>
        <v>דברי שלום, חמרא חיי</v>
      </c>
    </row>
    <row r="8622" spans="1:6" x14ac:dyDescent="0.2">
      <c r="A8622" t="s">
        <v>15076</v>
      </c>
      <c r="B8622" t="s">
        <v>410</v>
      </c>
      <c r="C8622" t="s">
        <v>767</v>
      </c>
      <c r="D8622" t="s">
        <v>412</v>
      </c>
      <c r="E8622" t="s">
        <v>144</v>
      </c>
      <c r="F8622" s="2" t="str">
        <f>HYPERLINK("http://www.otzar.org/book.asp?145593","דברי שלמה")</f>
        <v>דברי שלמה</v>
      </c>
    </row>
    <row r="8623" spans="1:6" x14ac:dyDescent="0.2">
      <c r="A8623" t="s">
        <v>15077</v>
      </c>
      <c r="B8623" t="s">
        <v>15078</v>
      </c>
      <c r="C8623" t="s">
        <v>129</v>
      </c>
      <c r="D8623" t="s">
        <v>152</v>
      </c>
      <c r="E8623" t="s">
        <v>172</v>
      </c>
      <c r="F8623" s="2" t="str">
        <f>HYPERLINK("http://www.otzar.org/book.asp?161520","דברי שלמה - א")</f>
        <v>דברי שלמה - א</v>
      </c>
    </row>
    <row r="8624" spans="1:6" x14ac:dyDescent="0.2">
      <c r="A8624" t="s">
        <v>15079</v>
      </c>
      <c r="B8624" t="s">
        <v>15080</v>
      </c>
      <c r="C8624" t="s">
        <v>1208</v>
      </c>
      <c r="D8624" t="s">
        <v>412</v>
      </c>
      <c r="E8624" t="s">
        <v>15</v>
      </c>
      <c r="F8624" s="2" t="str">
        <f>HYPERLINK("http://www.otzar.org/book.asp?194948","דברי שלמה - 4 כר'")</f>
        <v>דברי שלמה - 4 כר'</v>
      </c>
    </row>
    <row r="8625" spans="1:6" x14ac:dyDescent="0.2">
      <c r="A8625" t="s">
        <v>15076</v>
      </c>
      <c r="B8625" t="s">
        <v>15081</v>
      </c>
      <c r="C8625" t="s">
        <v>79</v>
      </c>
      <c r="D8625" t="s">
        <v>9</v>
      </c>
      <c r="E8625" t="s">
        <v>920</v>
      </c>
      <c r="F8625" s="2" t="str">
        <f>HYPERLINK("http://www.otzar.org/book.asp?104876","דברי שלמה")</f>
        <v>דברי שלמה</v>
      </c>
    </row>
    <row r="8626" spans="1:6" x14ac:dyDescent="0.2">
      <c r="A8626" t="s">
        <v>15076</v>
      </c>
      <c r="B8626" t="s">
        <v>15082</v>
      </c>
      <c r="C8626" t="s">
        <v>176</v>
      </c>
      <c r="D8626" t="s">
        <v>14</v>
      </c>
      <c r="E8626" t="s">
        <v>144</v>
      </c>
      <c r="F8626" s="2" t="str">
        <f>HYPERLINK("http://www.otzar.org/book.asp?108318","דברי שלמה")</f>
        <v>דברי שלמה</v>
      </c>
    </row>
    <row r="8627" spans="1:6" x14ac:dyDescent="0.2">
      <c r="A8627" t="s">
        <v>15076</v>
      </c>
      <c r="B8627" t="s">
        <v>15083</v>
      </c>
      <c r="C8627" t="s">
        <v>14216</v>
      </c>
      <c r="D8627" t="s">
        <v>49</v>
      </c>
      <c r="E8627" t="s">
        <v>474</v>
      </c>
      <c r="F8627" s="2" t="str">
        <f>HYPERLINK("http://www.otzar.org/book.asp?102878","דברי שלמה")</f>
        <v>דברי שלמה</v>
      </c>
    </row>
    <row r="8628" spans="1:6" x14ac:dyDescent="0.2">
      <c r="A8628" t="s">
        <v>15076</v>
      </c>
      <c r="B8628" t="s">
        <v>15084</v>
      </c>
      <c r="C8628" t="s">
        <v>17</v>
      </c>
      <c r="D8628" t="s">
        <v>14</v>
      </c>
      <c r="E8628" t="s">
        <v>148</v>
      </c>
      <c r="F8628" s="2" t="str">
        <f>HYPERLINK("http://www.otzar.org/book.asp?26361","דברי שלמה")</f>
        <v>דברי שלמה</v>
      </c>
    </row>
    <row r="8629" spans="1:6" x14ac:dyDescent="0.2">
      <c r="A8629" t="s">
        <v>15085</v>
      </c>
      <c r="B8629" t="s">
        <v>15086</v>
      </c>
      <c r="C8629" t="s">
        <v>360</v>
      </c>
      <c r="D8629" t="s">
        <v>9</v>
      </c>
      <c r="E8629" t="s">
        <v>15087</v>
      </c>
      <c r="F8629" s="2" t="str">
        <f>HYPERLINK("http://www.otzar.org/book.asp?51225","דברי שלמה - 2 כר'")</f>
        <v>דברי שלמה - 2 כר'</v>
      </c>
    </row>
    <row r="8630" spans="1:6" x14ac:dyDescent="0.2">
      <c r="A8630" t="s">
        <v>15085</v>
      </c>
      <c r="B8630" t="s">
        <v>15088</v>
      </c>
      <c r="C8630" t="s">
        <v>15089</v>
      </c>
      <c r="D8630" t="s">
        <v>756</v>
      </c>
      <c r="E8630" t="s">
        <v>158</v>
      </c>
      <c r="F8630" s="2" t="str">
        <f>HYPERLINK("http://www.otzar.org/book.asp?28424","דברי שלמה - 2 כר'")</f>
        <v>דברי שלמה - 2 כר'</v>
      </c>
    </row>
    <row r="8631" spans="1:6" x14ac:dyDescent="0.2">
      <c r="A8631" t="s">
        <v>15076</v>
      </c>
      <c r="B8631" t="s">
        <v>15090</v>
      </c>
      <c r="C8631" t="s">
        <v>286</v>
      </c>
      <c r="D8631" t="s">
        <v>56</v>
      </c>
      <c r="E8631" t="s">
        <v>104</v>
      </c>
      <c r="F8631" s="2" t="str">
        <f>HYPERLINK("http://www.otzar.org/book.asp?188751","דברי שלמה")</f>
        <v>דברי שלמה</v>
      </c>
    </row>
    <row r="8632" spans="1:6" x14ac:dyDescent="0.2">
      <c r="A8632" t="s">
        <v>15091</v>
      </c>
      <c r="B8632" t="s">
        <v>15092</v>
      </c>
      <c r="C8632" t="s">
        <v>390</v>
      </c>
      <c r="D8632" t="s">
        <v>14</v>
      </c>
      <c r="E8632" t="s">
        <v>140</v>
      </c>
      <c r="F8632" s="2" t="str">
        <f>HYPERLINK("http://www.otzar.org/book.asp?14357","דברי שלמה - מועדים")</f>
        <v>דברי שלמה - מועדים</v>
      </c>
    </row>
    <row r="8633" spans="1:6" x14ac:dyDescent="0.2">
      <c r="A8633" t="s">
        <v>15076</v>
      </c>
      <c r="B8633" t="s">
        <v>15093</v>
      </c>
      <c r="C8633" t="s">
        <v>462</v>
      </c>
      <c r="D8633" t="s">
        <v>283</v>
      </c>
      <c r="E8633" t="s">
        <v>158</v>
      </c>
      <c r="F8633" s="2" t="str">
        <f>HYPERLINK("http://www.otzar.org/book.asp?24235","דברי שלמה")</f>
        <v>דברי שלמה</v>
      </c>
    </row>
    <row r="8634" spans="1:6" x14ac:dyDescent="0.2">
      <c r="A8634" t="s">
        <v>15076</v>
      </c>
      <c r="B8634" t="s">
        <v>15094</v>
      </c>
      <c r="C8634" t="s">
        <v>266</v>
      </c>
      <c r="D8634" t="s">
        <v>283</v>
      </c>
      <c r="E8634" t="s">
        <v>463</v>
      </c>
      <c r="F8634" s="2" t="str">
        <f>HYPERLINK("http://www.otzar.org/book.asp?10864","דברי שלמה")</f>
        <v>דברי שלמה</v>
      </c>
    </row>
    <row r="8635" spans="1:6" x14ac:dyDescent="0.2">
      <c r="A8635" t="s">
        <v>15085</v>
      </c>
      <c r="B8635" t="s">
        <v>7589</v>
      </c>
      <c r="C8635" t="s">
        <v>15095</v>
      </c>
      <c r="D8635" t="s">
        <v>27</v>
      </c>
      <c r="E8635" t="s">
        <v>714</v>
      </c>
      <c r="F8635" s="2" t="str">
        <f>HYPERLINK("http://www.otzar.org/book.asp?964","דברי שלמה - 2 כר'")</f>
        <v>דברי שלמה - 2 כר'</v>
      </c>
    </row>
    <row r="8636" spans="1:6" x14ac:dyDescent="0.2">
      <c r="A8636" t="s">
        <v>15076</v>
      </c>
      <c r="B8636" t="s">
        <v>15096</v>
      </c>
      <c r="C8636" t="s">
        <v>176</v>
      </c>
      <c r="D8636" t="s">
        <v>52</v>
      </c>
      <c r="E8636" t="s">
        <v>144</v>
      </c>
      <c r="F8636" s="2" t="str">
        <f>HYPERLINK("http://www.otzar.org/book.asp?175867","דברי שלמה")</f>
        <v>דברי שלמה</v>
      </c>
    </row>
    <row r="8637" spans="1:6" x14ac:dyDescent="0.2">
      <c r="A8637" t="s">
        <v>15085</v>
      </c>
      <c r="B8637" t="s">
        <v>15097</v>
      </c>
      <c r="C8637" t="s">
        <v>15098</v>
      </c>
      <c r="D8637" t="s">
        <v>283</v>
      </c>
      <c r="E8637" t="s">
        <v>144</v>
      </c>
      <c r="F8637" s="2" t="str">
        <f>HYPERLINK("http://www.otzar.org/book.asp?23767","דברי שלמה - 2 כר'")</f>
        <v>דברי שלמה - 2 כר'</v>
      </c>
    </row>
    <row r="8638" spans="1:6" x14ac:dyDescent="0.2">
      <c r="A8638" t="s">
        <v>15076</v>
      </c>
      <c r="B8638" t="s">
        <v>15099</v>
      </c>
      <c r="C8638" t="s">
        <v>15100</v>
      </c>
      <c r="D8638" t="s">
        <v>2290</v>
      </c>
      <c r="E8638" t="s">
        <v>158</v>
      </c>
      <c r="F8638" s="2" t="str">
        <f>HYPERLINK("http://www.otzar.org/book.asp?15755","דברי שלמה")</f>
        <v>דברי שלמה</v>
      </c>
    </row>
    <row r="8639" spans="1:6" x14ac:dyDescent="0.2">
      <c r="A8639" t="s">
        <v>15079</v>
      </c>
      <c r="B8639" t="s">
        <v>15101</v>
      </c>
      <c r="C8639" t="s">
        <v>313</v>
      </c>
      <c r="D8639" t="s">
        <v>412</v>
      </c>
      <c r="E8639" t="s">
        <v>154</v>
      </c>
      <c r="F8639" s="2" t="str">
        <f>HYPERLINK("http://www.otzar.org/book.asp?85518","דברי שלמה - 4 כר'")</f>
        <v>דברי שלמה - 4 כר'</v>
      </c>
    </row>
    <row r="8640" spans="1:6" x14ac:dyDescent="0.2">
      <c r="A8640" t="s">
        <v>15102</v>
      </c>
      <c r="B8640" t="s">
        <v>15103</v>
      </c>
      <c r="C8640" t="s">
        <v>71</v>
      </c>
      <c r="D8640" t="s">
        <v>721</v>
      </c>
      <c r="E8640" t="s">
        <v>3818</v>
      </c>
      <c r="F8640" s="2" t="str">
        <f>HYPERLINK("http://www.otzar.org/book.asp?174500","דברי שמואל &lt;מהדורה חדשה&gt;")</f>
        <v>דברי שמואל &lt;מהדורה חדשה&gt;</v>
      </c>
    </row>
    <row r="8641" spans="1:6" x14ac:dyDescent="0.2">
      <c r="A8641" t="s">
        <v>15104</v>
      </c>
      <c r="B8641" t="s">
        <v>15105</v>
      </c>
      <c r="C8641" t="s">
        <v>5544</v>
      </c>
      <c r="D8641" t="s">
        <v>1411</v>
      </c>
      <c r="E8641" t="s">
        <v>733</v>
      </c>
      <c r="F8641" s="2" t="str">
        <f>HYPERLINK("http://www.otzar.org/book.asp?146597","דברי שמואל הקטן")</f>
        <v>דברי שמואל הקטן</v>
      </c>
    </row>
    <row r="8642" spans="1:6" x14ac:dyDescent="0.2">
      <c r="A8642" t="s">
        <v>15106</v>
      </c>
      <c r="B8642" t="s">
        <v>15107</v>
      </c>
      <c r="C8642" t="s">
        <v>698</v>
      </c>
      <c r="D8642" t="s">
        <v>260</v>
      </c>
      <c r="E8642" t="s">
        <v>15</v>
      </c>
      <c r="F8642" s="2" t="str">
        <f>HYPERLINK("http://www.otzar.org/book.asp?165941","דברי שמואל")</f>
        <v>דברי שמואל</v>
      </c>
    </row>
    <row r="8643" spans="1:6" x14ac:dyDescent="0.2">
      <c r="A8643" t="s">
        <v>15106</v>
      </c>
      <c r="B8643" t="s">
        <v>15108</v>
      </c>
      <c r="C8643" t="s">
        <v>3690</v>
      </c>
      <c r="D8643" t="s">
        <v>76</v>
      </c>
      <c r="E8643" t="s">
        <v>154</v>
      </c>
      <c r="F8643" s="2" t="str">
        <f>HYPERLINK("http://www.otzar.org/book.asp?17493","דברי שמואל")</f>
        <v>דברי שמואל</v>
      </c>
    </row>
    <row r="8644" spans="1:6" x14ac:dyDescent="0.2">
      <c r="A8644" t="s">
        <v>15109</v>
      </c>
      <c r="B8644" t="s">
        <v>15110</v>
      </c>
      <c r="C8644" t="s">
        <v>1058</v>
      </c>
      <c r="D8644" t="s">
        <v>1279</v>
      </c>
      <c r="E8644" t="s">
        <v>15111</v>
      </c>
      <c r="F8644" s="2" t="str">
        <f>HYPERLINK("http://www.otzar.org/book.asp?16542","דברי שמואל - 2 כר'")</f>
        <v>דברי שמואל - 2 כר'</v>
      </c>
    </row>
    <row r="8645" spans="1:6" x14ac:dyDescent="0.2">
      <c r="A8645" t="s">
        <v>15106</v>
      </c>
      <c r="B8645" t="s">
        <v>6297</v>
      </c>
      <c r="C8645" t="s">
        <v>1047</v>
      </c>
      <c r="D8645" t="s">
        <v>1117</v>
      </c>
      <c r="E8645" t="s">
        <v>1211</v>
      </c>
      <c r="F8645" s="2" t="str">
        <f>HYPERLINK("http://www.otzar.org/book.asp?17492","דברי שמואל")</f>
        <v>דברי שמואל</v>
      </c>
    </row>
    <row r="8646" spans="1:6" x14ac:dyDescent="0.2">
      <c r="A8646" t="s">
        <v>15112</v>
      </c>
      <c r="B8646" t="s">
        <v>11386</v>
      </c>
      <c r="C8646" t="s">
        <v>146</v>
      </c>
      <c r="D8646" t="s">
        <v>14</v>
      </c>
      <c r="E8646" t="s">
        <v>130</v>
      </c>
      <c r="F8646" s="2" t="str">
        <f>HYPERLINK("http://www.otzar.org/book.asp?169453","דברי שמואל - 4 כר'")</f>
        <v>דברי שמואל - 4 כר'</v>
      </c>
    </row>
    <row r="8647" spans="1:6" x14ac:dyDescent="0.2">
      <c r="A8647" t="s">
        <v>15106</v>
      </c>
      <c r="B8647" t="s">
        <v>15113</v>
      </c>
      <c r="C8647" t="s">
        <v>15114</v>
      </c>
      <c r="D8647" t="s">
        <v>947</v>
      </c>
      <c r="E8647" t="s">
        <v>144</v>
      </c>
      <c r="F8647" s="2" t="str">
        <f>HYPERLINK("http://www.otzar.org/book.asp?22418","דברי שמואל")</f>
        <v>דברי שמואל</v>
      </c>
    </row>
    <row r="8648" spans="1:6" x14ac:dyDescent="0.2">
      <c r="A8648" t="s">
        <v>15106</v>
      </c>
      <c r="B8648" t="s">
        <v>15115</v>
      </c>
      <c r="C8648" t="s">
        <v>492</v>
      </c>
      <c r="D8648" t="s">
        <v>267</v>
      </c>
      <c r="E8648" t="s">
        <v>154</v>
      </c>
      <c r="F8648" s="2" t="str">
        <f>HYPERLINK("http://www.otzar.org/book.asp?189603","דברי שמואל")</f>
        <v>דברי שמואל</v>
      </c>
    </row>
    <row r="8649" spans="1:6" x14ac:dyDescent="0.2">
      <c r="A8649" t="s">
        <v>15116</v>
      </c>
      <c r="B8649" t="s">
        <v>15117</v>
      </c>
      <c r="E8649" t="s">
        <v>172</v>
      </c>
      <c r="F8649" s="2" t="str">
        <f>HYPERLINK("http://www.otzar.org/book.asp?622587","דברי שמואל - ברכת התורה")</f>
        <v>דברי שמואל - ברכת התורה</v>
      </c>
    </row>
    <row r="8650" spans="1:6" x14ac:dyDescent="0.2">
      <c r="A8650" t="s">
        <v>15106</v>
      </c>
      <c r="B8650" t="s">
        <v>15118</v>
      </c>
      <c r="C8650" t="s">
        <v>133</v>
      </c>
      <c r="D8650" t="s">
        <v>14</v>
      </c>
      <c r="E8650" t="s">
        <v>158</v>
      </c>
      <c r="F8650" s="2" t="str">
        <f>HYPERLINK("http://www.otzar.org/book.asp?175436","דברי שמואל")</f>
        <v>דברי שמואל</v>
      </c>
    </row>
    <row r="8651" spans="1:6" x14ac:dyDescent="0.2">
      <c r="A8651" t="s">
        <v>15106</v>
      </c>
      <c r="B8651" t="s">
        <v>15103</v>
      </c>
      <c r="C8651" t="s">
        <v>15119</v>
      </c>
      <c r="D8651" t="s">
        <v>1023</v>
      </c>
      <c r="E8651" t="s">
        <v>2088</v>
      </c>
      <c r="F8651" s="2" t="str">
        <f>HYPERLINK("http://www.otzar.org/book.asp?22417","דברי שמואל")</f>
        <v>דברי שמואל</v>
      </c>
    </row>
    <row r="8652" spans="1:6" x14ac:dyDescent="0.2">
      <c r="A8652" t="s">
        <v>15120</v>
      </c>
      <c r="B8652" t="s">
        <v>15121</v>
      </c>
      <c r="C8652" t="s">
        <v>383</v>
      </c>
      <c r="D8652" t="s">
        <v>14</v>
      </c>
      <c r="E8652" t="s">
        <v>172</v>
      </c>
      <c r="F8652" s="2" t="str">
        <f>HYPERLINK("http://www.otzar.org/book.asp?164357","דברי שמואל - 5 כר'")</f>
        <v>דברי שמואל - 5 כר'</v>
      </c>
    </row>
    <row r="8653" spans="1:6" x14ac:dyDescent="0.2">
      <c r="A8653" t="s">
        <v>15106</v>
      </c>
      <c r="B8653" t="s">
        <v>15122</v>
      </c>
      <c r="C8653" t="s">
        <v>506</v>
      </c>
      <c r="D8653" t="s">
        <v>56</v>
      </c>
      <c r="E8653" t="s">
        <v>241</v>
      </c>
      <c r="F8653" s="2" t="str">
        <f>HYPERLINK("http://www.otzar.org/book.asp?149168","דברי שמואל")</f>
        <v>דברי שמואל</v>
      </c>
    </row>
    <row r="8654" spans="1:6" x14ac:dyDescent="0.2">
      <c r="A8654" t="s">
        <v>15106</v>
      </c>
      <c r="B8654" t="s">
        <v>167</v>
      </c>
      <c r="D8654" t="s">
        <v>21</v>
      </c>
      <c r="E8654" t="s">
        <v>158</v>
      </c>
      <c r="F8654" s="2" t="str">
        <f>HYPERLINK("http://www.otzar.org/book.asp?191618","דברי שמואל")</f>
        <v>דברי שמואל</v>
      </c>
    </row>
    <row r="8655" spans="1:6" x14ac:dyDescent="0.2">
      <c r="A8655" t="s">
        <v>15106</v>
      </c>
      <c r="B8655" t="s">
        <v>15123</v>
      </c>
      <c r="C8655" t="s">
        <v>10290</v>
      </c>
      <c r="D8655" t="s">
        <v>1023</v>
      </c>
      <c r="E8655" t="s">
        <v>158</v>
      </c>
      <c r="F8655" s="2" t="str">
        <f>HYPERLINK("http://www.otzar.org/book.asp?24236","דברי שמואל")</f>
        <v>דברי שמואל</v>
      </c>
    </row>
    <row r="8656" spans="1:6" x14ac:dyDescent="0.2">
      <c r="A8656" t="s">
        <v>15124</v>
      </c>
      <c r="B8656" t="s">
        <v>15125</v>
      </c>
      <c r="C8656" t="s">
        <v>1663</v>
      </c>
      <c r="D8656" t="s">
        <v>9</v>
      </c>
      <c r="E8656" t="s">
        <v>3638</v>
      </c>
      <c r="F8656" s="2" t="str">
        <f>HYPERLINK("http://www.otzar.org/book.asp?14303","דברי שמחה")</f>
        <v>דברי שמחה</v>
      </c>
    </row>
    <row r="8657" spans="1:6" x14ac:dyDescent="0.2">
      <c r="A8657" t="s">
        <v>15126</v>
      </c>
      <c r="B8657" t="s">
        <v>4398</v>
      </c>
      <c r="C8657" t="s">
        <v>20</v>
      </c>
      <c r="D8657" t="s">
        <v>216</v>
      </c>
      <c r="F8657" s="2" t="str">
        <f>HYPERLINK("http://www.otzar.org/book.asp?616322","דברי שמחה - דברים")</f>
        <v>דברי שמחה - דברים</v>
      </c>
    </row>
    <row r="8658" spans="1:6" x14ac:dyDescent="0.2">
      <c r="A8658" t="s">
        <v>15127</v>
      </c>
      <c r="B8658" t="s">
        <v>15128</v>
      </c>
      <c r="C8658" t="s">
        <v>1374</v>
      </c>
      <c r="D8658" t="s">
        <v>15129</v>
      </c>
      <c r="E8658" t="s">
        <v>1684</v>
      </c>
      <c r="F8658" s="2" t="str">
        <f>HYPERLINK("http://www.otzar.org/book.asp?102946","דברי שמעיה")</f>
        <v>דברי שמעיה</v>
      </c>
    </row>
    <row r="8659" spans="1:6" x14ac:dyDescent="0.2">
      <c r="A8659" t="s">
        <v>15130</v>
      </c>
      <c r="B8659" t="s">
        <v>15131</v>
      </c>
      <c r="C8659" t="s">
        <v>244</v>
      </c>
      <c r="F8659" s="2" t="str">
        <f>HYPERLINK("http://www.otzar.org/book.asp?610183","דברי שמריהו יצחק")</f>
        <v>דברי שמריהו יצחק</v>
      </c>
    </row>
    <row r="8660" spans="1:6" x14ac:dyDescent="0.2">
      <c r="A8660" t="s">
        <v>15132</v>
      </c>
      <c r="B8660" t="s">
        <v>7980</v>
      </c>
      <c r="C8660" t="s">
        <v>168</v>
      </c>
      <c r="D8660" t="s">
        <v>412</v>
      </c>
      <c r="E8660" t="s">
        <v>158</v>
      </c>
      <c r="F8660" s="2" t="str">
        <f>HYPERLINK("http://www.otzar.org/book.asp?161534","דברי שערי חיים &lt;מכת""י&gt; - 4 כר'")</f>
        <v>דברי שערי חיים &lt;מכת"י&gt; - 4 כר'</v>
      </c>
    </row>
    <row r="8661" spans="1:6" x14ac:dyDescent="0.2">
      <c r="A8661" t="s">
        <v>15133</v>
      </c>
      <c r="B8661" t="s">
        <v>7980</v>
      </c>
      <c r="C8661" t="s">
        <v>395</v>
      </c>
      <c r="D8661" t="s">
        <v>379</v>
      </c>
      <c r="E8661" t="s">
        <v>158</v>
      </c>
      <c r="F8661" s="2" t="str">
        <f>HYPERLINK("http://www.otzar.org/book.asp?144414","דברי שערי חיים")</f>
        <v>דברי שערי חיים</v>
      </c>
    </row>
    <row r="8662" spans="1:6" x14ac:dyDescent="0.2">
      <c r="A8662" t="s">
        <v>15134</v>
      </c>
      <c r="B8662" t="s">
        <v>15135</v>
      </c>
      <c r="C8662" t="s">
        <v>20</v>
      </c>
      <c r="D8662" t="s">
        <v>52</v>
      </c>
      <c r="E8662" t="s">
        <v>148</v>
      </c>
      <c r="F8662" s="2" t="str">
        <f>HYPERLINK("http://www.otzar.org/book.asp?172588","דברי שפר - ריבית")</f>
        <v>דברי שפר - ריבית</v>
      </c>
    </row>
    <row r="8663" spans="1:6" x14ac:dyDescent="0.2">
      <c r="A8663" t="s">
        <v>15136</v>
      </c>
      <c r="B8663" t="s">
        <v>9187</v>
      </c>
      <c r="C8663" t="s">
        <v>146</v>
      </c>
      <c r="D8663" t="s">
        <v>52</v>
      </c>
      <c r="E8663" t="s">
        <v>144</v>
      </c>
      <c r="F8663" s="2" t="str">
        <f>HYPERLINK("http://www.otzar.org/book.asp?50306","דברי שר - 3 כר'")</f>
        <v>דברי שר - 3 כר'</v>
      </c>
    </row>
    <row r="8664" spans="1:6" x14ac:dyDescent="0.2">
      <c r="A8664" t="s">
        <v>15137</v>
      </c>
      <c r="B8664" t="s">
        <v>14799</v>
      </c>
      <c r="C8664" t="s">
        <v>51</v>
      </c>
      <c r="D8664" t="s">
        <v>14</v>
      </c>
      <c r="E8664" t="s">
        <v>3107</v>
      </c>
      <c r="F8664" s="2" t="str">
        <f>HYPERLINK("http://www.otzar.org/book.asp?22099","דברי תורה &lt;פרקי הגר וישמעאל&gt; - בראשית")</f>
        <v>דברי תורה &lt;פרקי הגר וישמעאל&gt; - בראשית</v>
      </c>
    </row>
    <row r="8665" spans="1:6" x14ac:dyDescent="0.2">
      <c r="A8665" t="s">
        <v>15138</v>
      </c>
      <c r="B8665" t="s">
        <v>15139</v>
      </c>
      <c r="C8665" t="s">
        <v>3840</v>
      </c>
      <c r="D8665" t="s">
        <v>15140</v>
      </c>
      <c r="F8665" s="2" t="str">
        <f>HYPERLINK("http://www.otzar.org/book.asp?620903","דברי תורה בעניני הלכות דעות וחובות הלבבות")</f>
        <v>דברי תורה בעניני הלכות דעות וחובות הלבבות</v>
      </c>
    </row>
    <row r="8666" spans="1:6" x14ac:dyDescent="0.2">
      <c r="A8666" t="s">
        <v>15141</v>
      </c>
      <c r="B8666" t="s">
        <v>15142</v>
      </c>
      <c r="C8666" t="s">
        <v>454</v>
      </c>
      <c r="D8666" t="s">
        <v>367</v>
      </c>
      <c r="F8666" s="2" t="str">
        <f>HYPERLINK("http://www.otzar.org/book.asp?613176","דברי תורה וסיפורי נפלאות מהסבא קדישא מקאזמיר")</f>
        <v>דברי תורה וסיפורי נפלאות מהסבא קדישא מקאזמיר</v>
      </c>
    </row>
    <row r="8667" spans="1:6" x14ac:dyDescent="0.2">
      <c r="A8667" t="s">
        <v>15143</v>
      </c>
      <c r="B8667" t="s">
        <v>15144</v>
      </c>
      <c r="C8667" t="s">
        <v>576</v>
      </c>
      <c r="D8667" t="s">
        <v>756</v>
      </c>
      <c r="E8667" t="s">
        <v>741</v>
      </c>
      <c r="F8667" s="2" t="str">
        <f>HYPERLINK("http://www.otzar.org/book.asp?161112","דברי תורה ושיחת חולין")</f>
        <v>דברי תורה ושיחת חולין</v>
      </c>
    </row>
    <row r="8668" spans="1:6" x14ac:dyDescent="0.2">
      <c r="A8668" t="s">
        <v>15145</v>
      </c>
      <c r="B8668" t="s">
        <v>15146</v>
      </c>
      <c r="C8668" t="s">
        <v>71</v>
      </c>
      <c r="D8668" t="s">
        <v>52</v>
      </c>
      <c r="E8668" t="s">
        <v>791</v>
      </c>
      <c r="F8668" s="2" t="str">
        <f>HYPERLINK("http://www.otzar.org/book.asp?107246","דברי תורה ותולדות")</f>
        <v>דברי תורה ותולדות</v>
      </c>
    </row>
    <row r="8669" spans="1:6" x14ac:dyDescent="0.2">
      <c r="A8669" t="s">
        <v>15147</v>
      </c>
      <c r="B8669" t="s">
        <v>15148</v>
      </c>
      <c r="C8669" t="s">
        <v>71</v>
      </c>
      <c r="D8669" t="s">
        <v>14</v>
      </c>
      <c r="E8669" t="s">
        <v>158</v>
      </c>
      <c r="F8669" s="2" t="str">
        <f>HYPERLINK("http://www.otzar.org/book.asp?627516","דברי תורה מהרבנית מיכלא איטא רבינוביץ")</f>
        <v>דברי תורה מהרבנית מיכלא איטא רבינוביץ</v>
      </c>
    </row>
    <row r="8670" spans="1:6" x14ac:dyDescent="0.2">
      <c r="A8670" t="s">
        <v>15149</v>
      </c>
      <c r="B8670" t="s">
        <v>15150</v>
      </c>
      <c r="C8670" t="s">
        <v>17</v>
      </c>
      <c r="D8670" t="s">
        <v>14</v>
      </c>
      <c r="E8670" t="s">
        <v>104</v>
      </c>
      <c r="F8670" s="2" t="str">
        <f>HYPERLINK("http://www.otzar.org/book.asp?62064","דברי תורה מכ""ק אדמו""ר מקאמרנא")</f>
        <v>דברי תורה מכ"ק אדמו"ר מקאמרנא</v>
      </c>
    </row>
    <row r="8671" spans="1:6" x14ac:dyDescent="0.2">
      <c r="A8671" t="s">
        <v>15151</v>
      </c>
      <c r="B8671" t="s">
        <v>1331</v>
      </c>
      <c r="C8671" t="s">
        <v>71</v>
      </c>
      <c r="D8671" t="s">
        <v>14</v>
      </c>
      <c r="E8671" t="s">
        <v>140</v>
      </c>
      <c r="F8671" s="2" t="str">
        <f>HYPERLINK("http://www.otzar.org/book.asp?163102","דברי תורה מכ""ק אדמו""ר שליט""א")</f>
        <v>דברי תורה מכ"ק אדמו"ר שליט"א</v>
      </c>
    </row>
    <row r="8672" spans="1:6" x14ac:dyDescent="0.2">
      <c r="A8672" t="s">
        <v>15152</v>
      </c>
      <c r="B8672" t="s">
        <v>2500</v>
      </c>
      <c r="C8672" t="s">
        <v>13</v>
      </c>
      <c r="D8672" t="s">
        <v>367</v>
      </c>
      <c r="E8672" t="s">
        <v>144</v>
      </c>
      <c r="F8672" s="2" t="str">
        <f>HYPERLINK("http://www.otzar.org/book.asp?63248","דברי תורה - 2 כר'")</f>
        <v>דברי תורה - 2 כר'</v>
      </c>
    </row>
    <row r="8673" spans="1:6" x14ac:dyDescent="0.2">
      <c r="A8673" t="s">
        <v>15153</v>
      </c>
      <c r="B8673" t="s">
        <v>15154</v>
      </c>
      <c r="C8673" t="s">
        <v>3840</v>
      </c>
      <c r="D8673" t="s">
        <v>9</v>
      </c>
      <c r="E8673" t="s">
        <v>241</v>
      </c>
      <c r="F8673" s="2" t="str">
        <f>HYPERLINK("http://www.otzar.org/book.asp?102950","דברי תורה")</f>
        <v>דברי תורה</v>
      </c>
    </row>
    <row r="8674" spans="1:6" x14ac:dyDescent="0.2">
      <c r="A8674" t="s">
        <v>15155</v>
      </c>
      <c r="B8674" t="s">
        <v>2002</v>
      </c>
      <c r="C8674" t="s">
        <v>600</v>
      </c>
      <c r="D8674" t="s">
        <v>267</v>
      </c>
      <c r="E8674" t="s">
        <v>140</v>
      </c>
      <c r="F8674" s="2" t="str">
        <f>HYPERLINK("http://www.otzar.org/book.asp?10543","דברי תורה - 3 כר'")</f>
        <v>דברי תורה - 3 כר'</v>
      </c>
    </row>
    <row r="8675" spans="1:6" x14ac:dyDescent="0.2">
      <c r="A8675" t="s">
        <v>15156</v>
      </c>
      <c r="B8675" t="s">
        <v>15157</v>
      </c>
      <c r="C8675" t="s">
        <v>103</v>
      </c>
      <c r="D8675" t="s">
        <v>14</v>
      </c>
      <c r="E8675" t="s">
        <v>15</v>
      </c>
      <c r="F8675" s="2" t="str">
        <f>HYPERLINK("http://www.otzar.org/book.asp?25891","דברי תורה - מקואות")</f>
        <v>דברי תורה - מקואות</v>
      </c>
    </row>
    <row r="8676" spans="1:6" x14ac:dyDescent="0.2">
      <c r="A8676" t="s">
        <v>15158</v>
      </c>
      <c r="B8676" t="s">
        <v>2082</v>
      </c>
      <c r="C8676" t="s">
        <v>87</v>
      </c>
      <c r="D8676" t="s">
        <v>14</v>
      </c>
      <c r="E8676" t="s">
        <v>803</v>
      </c>
      <c r="F8676" s="2" t="str">
        <f>HYPERLINK("http://www.otzar.org/book.asp?173426","דברי תורה - חולין")</f>
        <v>דברי תורה - חולין</v>
      </c>
    </row>
    <row r="8677" spans="1:6" x14ac:dyDescent="0.2">
      <c r="A8677" t="s">
        <v>15153</v>
      </c>
      <c r="B8677" t="s">
        <v>15159</v>
      </c>
      <c r="C8677" t="s">
        <v>55</v>
      </c>
      <c r="D8677" t="s">
        <v>1279</v>
      </c>
      <c r="E8677" t="s">
        <v>2088</v>
      </c>
      <c r="F8677" s="2" t="str">
        <f>HYPERLINK("http://www.otzar.org/book.asp?173197","דברי תורה")</f>
        <v>דברי תורה</v>
      </c>
    </row>
    <row r="8678" spans="1:6" x14ac:dyDescent="0.2">
      <c r="A8678" t="s">
        <v>15153</v>
      </c>
      <c r="B8678" t="s">
        <v>15160</v>
      </c>
      <c r="C8678" t="s">
        <v>20</v>
      </c>
      <c r="D8678" t="s">
        <v>90</v>
      </c>
      <c r="E8678" t="s">
        <v>1072</v>
      </c>
      <c r="F8678" s="2" t="str">
        <f>HYPERLINK("http://www.otzar.org/book.asp?193244","דברי תורה")</f>
        <v>דברי תורה</v>
      </c>
    </row>
    <row r="8679" spans="1:6" x14ac:dyDescent="0.2">
      <c r="A8679" t="s">
        <v>15153</v>
      </c>
      <c r="B8679" t="s">
        <v>15161</v>
      </c>
      <c r="C8679" t="s">
        <v>366</v>
      </c>
      <c r="D8679" t="s">
        <v>52</v>
      </c>
      <c r="F8679" s="2" t="str">
        <f>HYPERLINK("http://www.otzar.org/book.asp?617216","דברי תורה")</f>
        <v>דברי תורה</v>
      </c>
    </row>
    <row r="8680" spans="1:6" x14ac:dyDescent="0.2">
      <c r="A8680" t="s">
        <v>15152</v>
      </c>
      <c r="B8680" t="s">
        <v>14446</v>
      </c>
      <c r="C8680" t="s">
        <v>624</v>
      </c>
      <c r="D8680" t="s">
        <v>14</v>
      </c>
      <c r="E8680" t="s">
        <v>140</v>
      </c>
      <c r="F8680" s="2" t="str">
        <f>HYPERLINK("http://www.otzar.org/book.asp?17030","דברי תורה - 2 כר'")</f>
        <v>דברי תורה - 2 כר'</v>
      </c>
    </row>
    <row r="8681" spans="1:6" x14ac:dyDescent="0.2">
      <c r="A8681" t="s">
        <v>15162</v>
      </c>
      <c r="B8681" t="s">
        <v>15163</v>
      </c>
      <c r="C8681" t="s">
        <v>15164</v>
      </c>
      <c r="D8681" t="s">
        <v>27</v>
      </c>
      <c r="E8681" t="s">
        <v>952</v>
      </c>
      <c r="F8681" s="2" t="str">
        <f>HYPERLINK("http://www.otzar.org/book.asp?12970","דברי תלמוד - 2 כר'")</f>
        <v>דברי תלמוד - 2 כר'</v>
      </c>
    </row>
    <row r="8682" spans="1:6" x14ac:dyDescent="0.2">
      <c r="A8682" t="s">
        <v>15165</v>
      </c>
      <c r="B8682" t="s">
        <v>5218</v>
      </c>
      <c r="C8682" t="s">
        <v>124</v>
      </c>
      <c r="D8682" t="s">
        <v>14</v>
      </c>
      <c r="E8682" t="s">
        <v>674</v>
      </c>
      <c r="F8682" s="2" t="str">
        <f>HYPERLINK("http://www.otzar.org/book.asp?153442","דברי תפלה")</f>
        <v>דברי תפלה</v>
      </c>
    </row>
    <row r="8683" spans="1:6" x14ac:dyDescent="0.2">
      <c r="A8683" t="s">
        <v>15166</v>
      </c>
      <c r="B8683" t="s">
        <v>15167</v>
      </c>
      <c r="C8683" t="s">
        <v>1663</v>
      </c>
      <c r="D8683" t="s">
        <v>21</v>
      </c>
      <c r="E8683" t="s">
        <v>104</v>
      </c>
      <c r="F8683" s="2" t="str">
        <f>HYPERLINK("http://www.otzar.org/book.asp?195980","דבריהם זכרונם")</f>
        <v>דבריהם זכרונם</v>
      </c>
    </row>
    <row r="8684" spans="1:6" x14ac:dyDescent="0.2">
      <c r="A8684" t="s">
        <v>15166</v>
      </c>
      <c r="B8684" t="s">
        <v>15166</v>
      </c>
      <c r="C8684" t="s">
        <v>334</v>
      </c>
      <c r="D8684" t="s">
        <v>14</v>
      </c>
      <c r="E8684" t="s">
        <v>384</v>
      </c>
      <c r="F8684" s="2" t="str">
        <f>HYPERLINK("http://www.otzar.org/book.asp?26022","דבריהם זכרונם")</f>
        <v>דבריהם זכרונם</v>
      </c>
    </row>
    <row r="8685" spans="1:6" x14ac:dyDescent="0.2">
      <c r="A8685" t="s">
        <v>15168</v>
      </c>
      <c r="B8685" t="s">
        <v>15169</v>
      </c>
      <c r="C8685" t="s">
        <v>767</v>
      </c>
      <c r="D8685" t="s">
        <v>14</v>
      </c>
      <c r="E8685" t="s">
        <v>559</v>
      </c>
      <c r="F8685" s="2" t="str">
        <f>HYPERLINK("http://www.otzar.org/book.asp?51553","דבריך יאיר - 6 כר'")</f>
        <v>דבריך יאיר - 6 כר'</v>
      </c>
    </row>
    <row r="8686" spans="1:6" x14ac:dyDescent="0.2">
      <c r="A8686" t="s">
        <v>15170</v>
      </c>
      <c r="B8686" t="s">
        <v>1308</v>
      </c>
      <c r="C8686" t="s">
        <v>11298</v>
      </c>
      <c r="D8686" t="s">
        <v>212</v>
      </c>
      <c r="E8686" t="s">
        <v>435</v>
      </c>
      <c r="F8686" s="2" t="str">
        <f>HYPERLINK("http://www.otzar.org/book.asp?104420","דברים אחדים &lt;אחורי תרעא&gt;")</f>
        <v>דברים אחדים &lt;אחורי תרעא&gt;</v>
      </c>
    </row>
    <row r="8687" spans="1:6" x14ac:dyDescent="0.2">
      <c r="A8687" t="s">
        <v>15171</v>
      </c>
      <c r="B8687" t="s">
        <v>15172</v>
      </c>
      <c r="C8687" t="s">
        <v>888</v>
      </c>
      <c r="D8687" t="s">
        <v>5615</v>
      </c>
      <c r="E8687" t="s">
        <v>104</v>
      </c>
      <c r="F8687" s="2" t="str">
        <f>HYPERLINK("http://www.otzar.org/book.asp?53320","דברים אחדים בדבר בית הספרים שבירושלים")</f>
        <v>דברים אחדים בדבר בית הספרים שבירושלים</v>
      </c>
    </row>
    <row r="8688" spans="1:6" x14ac:dyDescent="0.2">
      <c r="A8688" t="s">
        <v>15173</v>
      </c>
      <c r="B8688" t="s">
        <v>1308</v>
      </c>
      <c r="C8688" t="s">
        <v>11298</v>
      </c>
      <c r="D8688" t="s">
        <v>1660</v>
      </c>
      <c r="E8688" t="s">
        <v>234</v>
      </c>
      <c r="F8688" s="2" t="str">
        <f>HYPERLINK("http://www.otzar.org/book.asp?189333","דברים אחדים - 3 כר'")</f>
        <v>דברים אחדים - 3 כר'</v>
      </c>
    </row>
    <row r="8689" spans="1:6" x14ac:dyDescent="0.2">
      <c r="A8689" t="s">
        <v>15174</v>
      </c>
      <c r="B8689" t="s">
        <v>15175</v>
      </c>
      <c r="C8689" t="s">
        <v>291</v>
      </c>
      <c r="D8689" t="s">
        <v>15176</v>
      </c>
      <c r="E8689" t="s">
        <v>144</v>
      </c>
      <c r="F8689" s="2" t="str">
        <f>HYPERLINK("http://www.otzar.org/book.asp?5724","דברים אחדים")</f>
        <v>דברים אחדים</v>
      </c>
    </row>
    <row r="8690" spans="1:6" x14ac:dyDescent="0.2">
      <c r="A8690" t="s">
        <v>15177</v>
      </c>
      <c r="B8690" t="s">
        <v>15178</v>
      </c>
      <c r="C8690" t="s">
        <v>114</v>
      </c>
      <c r="D8690" t="s">
        <v>3283</v>
      </c>
      <c r="E8690" t="s">
        <v>9780</v>
      </c>
      <c r="F8690" s="2" t="str">
        <f>HYPERLINK("http://www.otzar.org/book.asp?163223","דברים אחדים - ברייתא דמלאכת המשכן, קינים")</f>
        <v>דברים אחדים - ברייתא דמלאכת המשכן, קינים</v>
      </c>
    </row>
    <row r="8691" spans="1:6" x14ac:dyDescent="0.2">
      <c r="A8691" t="s">
        <v>15174</v>
      </c>
      <c r="B8691" t="s">
        <v>394</v>
      </c>
      <c r="C8691" t="s">
        <v>11819</v>
      </c>
      <c r="D8691" t="s">
        <v>27</v>
      </c>
      <c r="E8691" t="s">
        <v>144</v>
      </c>
      <c r="F8691" s="2" t="str">
        <f>HYPERLINK("http://www.otzar.org/book.asp?17495","דברים אחדים")</f>
        <v>דברים אחדים</v>
      </c>
    </row>
    <row r="8692" spans="1:6" x14ac:dyDescent="0.2">
      <c r="A8692" t="s">
        <v>15179</v>
      </c>
      <c r="B8692" t="s">
        <v>14569</v>
      </c>
      <c r="C8692" t="s">
        <v>20</v>
      </c>
      <c r="D8692" t="s">
        <v>90</v>
      </c>
      <c r="F8692" s="2" t="str">
        <f>HYPERLINK("http://www.otzar.org/book.asp?190948","דברים בעתם - 3 כר'")</f>
        <v>דברים בעתם - 3 כר'</v>
      </c>
    </row>
    <row r="8693" spans="1:6" x14ac:dyDescent="0.2">
      <c r="A8693" t="s">
        <v>15180</v>
      </c>
      <c r="B8693" t="s">
        <v>3759</v>
      </c>
      <c r="D8693" t="s">
        <v>216</v>
      </c>
      <c r="E8693" t="s">
        <v>474</v>
      </c>
      <c r="F8693" s="2" t="str">
        <f>HYPERLINK("http://www.otzar.org/book.asp?605028","דברים בעתם")</f>
        <v>דברים בעתם</v>
      </c>
    </row>
    <row r="8694" spans="1:6" x14ac:dyDescent="0.2">
      <c r="A8694" t="s">
        <v>15180</v>
      </c>
      <c r="B8694" t="s">
        <v>15181</v>
      </c>
      <c r="C8694" t="s">
        <v>533</v>
      </c>
      <c r="D8694" t="s">
        <v>14</v>
      </c>
      <c r="E8694" t="s">
        <v>104</v>
      </c>
      <c r="F8694" s="2" t="str">
        <f>HYPERLINK("http://www.otzar.org/book.asp?179053","דברים בעתם")</f>
        <v>דברים בעתם</v>
      </c>
    </row>
    <row r="8695" spans="1:6" x14ac:dyDescent="0.2">
      <c r="A8695" t="s">
        <v>15182</v>
      </c>
      <c r="B8695" t="s">
        <v>3768</v>
      </c>
      <c r="C8695" t="s">
        <v>20</v>
      </c>
      <c r="D8695" t="s">
        <v>90</v>
      </c>
      <c r="E8695" t="s">
        <v>6975</v>
      </c>
      <c r="F8695" s="2" t="str">
        <f>HYPERLINK("http://www.otzar.org/book.asp?141784","דברים המועילים לעילוי נשמת הנפטרים")</f>
        <v>דברים המועילים לעילוי נשמת הנפטרים</v>
      </c>
    </row>
    <row r="8696" spans="1:6" x14ac:dyDescent="0.2">
      <c r="A8696" t="s">
        <v>15183</v>
      </c>
      <c r="B8696" t="s">
        <v>15184</v>
      </c>
      <c r="C8696" t="s">
        <v>767</v>
      </c>
      <c r="D8696" t="s">
        <v>14</v>
      </c>
      <c r="E8696" t="s">
        <v>144</v>
      </c>
      <c r="F8696" s="2" t="str">
        <f>HYPERLINK("http://www.otzar.org/book.asp?171839","דברים חדים - בבא קמא")</f>
        <v>דברים חדים - בבא קמא</v>
      </c>
    </row>
    <row r="8697" spans="1:6" x14ac:dyDescent="0.2">
      <c r="A8697" t="s">
        <v>15185</v>
      </c>
      <c r="B8697" t="s">
        <v>15186</v>
      </c>
      <c r="C8697" t="s">
        <v>6778</v>
      </c>
      <c r="D8697" t="s">
        <v>49</v>
      </c>
      <c r="F8697" s="2" t="str">
        <f>HYPERLINK("http://www.otzar.org/book.asp?182356","דברים טובים - פירוש מגילת קהלת")</f>
        <v>דברים טובים - פירוש מגילת קהלת</v>
      </c>
    </row>
    <row r="8698" spans="1:6" x14ac:dyDescent="0.2">
      <c r="A8698" t="s">
        <v>15187</v>
      </c>
      <c r="B8698" t="s">
        <v>7136</v>
      </c>
      <c r="C8698" t="s">
        <v>1228</v>
      </c>
      <c r="D8698" t="s">
        <v>225</v>
      </c>
      <c r="E8698" t="s">
        <v>140</v>
      </c>
      <c r="F8698" s="2" t="str">
        <f>HYPERLINK("http://www.otzar.org/book.asp?17496","דברים יקרים")</f>
        <v>דברים יקרים</v>
      </c>
    </row>
    <row r="8699" spans="1:6" x14ac:dyDescent="0.2">
      <c r="A8699" t="s">
        <v>15188</v>
      </c>
      <c r="B8699" t="s">
        <v>15189</v>
      </c>
      <c r="C8699" t="s">
        <v>168</v>
      </c>
      <c r="D8699" t="s">
        <v>52</v>
      </c>
      <c r="E8699" t="s">
        <v>202</v>
      </c>
      <c r="F8699" s="2" t="str">
        <f>HYPERLINK("http://www.otzar.org/book.asp?624919","דברים כהוויתן")</f>
        <v>דברים כהוויתן</v>
      </c>
    </row>
    <row r="8700" spans="1:6" x14ac:dyDescent="0.2">
      <c r="A8700" t="s">
        <v>15190</v>
      </c>
      <c r="B8700" t="s">
        <v>15191</v>
      </c>
      <c r="C8700" t="s">
        <v>619</v>
      </c>
      <c r="D8700" t="s">
        <v>699</v>
      </c>
      <c r="E8700" t="s">
        <v>2071</v>
      </c>
      <c r="F8700" s="2" t="str">
        <f>HYPERLINK("http://www.otzar.org/book.asp?51194","דברים ככתבם")</f>
        <v>דברים ככתבם</v>
      </c>
    </row>
    <row r="8701" spans="1:6" x14ac:dyDescent="0.2">
      <c r="A8701" t="s">
        <v>15192</v>
      </c>
      <c r="B8701" t="s">
        <v>206</v>
      </c>
      <c r="C8701" t="s">
        <v>20</v>
      </c>
      <c r="D8701" t="s">
        <v>90</v>
      </c>
      <c r="E8701" t="s">
        <v>15193</v>
      </c>
      <c r="F8701" s="2" t="str">
        <f>HYPERLINK("http://www.otzar.org/book.asp?614791","דברים לזכרו של מוהר""ר יצחק כדורי זצוק""ל")</f>
        <v>דברים לזכרו של מוהר"ר יצחק כדורי זצוק"ל</v>
      </c>
    </row>
    <row r="8702" spans="1:6" x14ac:dyDescent="0.2">
      <c r="A8702" t="s">
        <v>15194</v>
      </c>
      <c r="B8702" t="s">
        <v>15195</v>
      </c>
      <c r="E8702" t="s">
        <v>1262</v>
      </c>
      <c r="F8702" s="2" t="str">
        <f>HYPERLINK("http://www.otzar.org/book.asp?620503","דברים לזכרו של מורנו ורבנו הגאון הרב ד""ר יחיאל יעקב וינברג זצ""ל")</f>
        <v>דברים לזכרו של מורנו ורבנו הגאון הרב ד"ר יחיאל יעקב וינברג זצ"ל</v>
      </c>
    </row>
    <row r="8703" spans="1:6" x14ac:dyDescent="0.2">
      <c r="A8703" t="s">
        <v>15196</v>
      </c>
      <c r="B8703" t="s">
        <v>15196</v>
      </c>
      <c r="C8703" t="s">
        <v>854</v>
      </c>
      <c r="D8703" t="s">
        <v>6459</v>
      </c>
      <c r="E8703" t="s">
        <v>15197</v>
      </c>
      <c r="F8703" s="2" t="str">
        <f>HYPERLINK("http://www.otzar.org/book.asp?14496","דברים נחמדים")</f>
        <v>דברים נחמדים</v>
      </c>
    </row>
    <row r="8704" spans="1:6" x14ac:dyDescent="0.2">
      <c r="A8704" t="s">
        <v>15196</v>
      </c>
      <c r="B8704" t="s">
        <v>6671</v>
      </c>
      <c r="C8704" t="s">
        <v>1036</v>
      </c>
      <c r="D8704" t="s">
        <v>1538</v>
      </c>
      <c r="E8704" t="s">
        <v>140</v>
      </c>
      <c r="F8704" s="2" t="str">
        <f>HYPERLINK("http://www.otzar.org/book.asp?102264","דברים נחמדים")</f>
        <v>דברים נחמדים</v>
      </c>
    </row>
    <row r="8705" spans="1:6" x14ac:dyDescent="0.2">
      <c r="A8705" t="s">
        <v>15198</v>
      </c>
      <c r="B8705" t="s">
        <v>1264</v>
      </c>
      <c r="C8705" t="s">
        <v>843</v>
      </c>
      <c r="D8705" t="s">
        <v>14</v>
      </c>
      <c r="E8705" t="s">
        <v>6587</v>
      </c>
      <c r="F8705" s="2" t="str">
        <f>HYPERLINK("http://www.otzar.org/book.asp?52452","דברים נחמדים - 2 כר'")</f>
        <v>דברים נחמדים - 2 כר'</v>
      </c>
    </row>
    <row r="8706" spans="1:6" x14ac:dyDescent="0.2">
      <c r="A8706" t="s">
        <v>15199</v>
      </c>
      <c r="B8706" t="s">
        <v>15200</v>
      </c>
      <c r="C8706" t="s">
        <v>103</v>
      </c>
      <c r="D8706" t="s">
        <v>14</v>
      </c>
      <c r="E8706" t="s">
        <v>2533</v>
      </c>
      <c r="F8706" s="2" t="str">
        <f>HYPERLINK("http://www.otzar.org/book.asp?61597","דברים נכוחים - 2 כר'")</f>
        <v>דברים נכוחים - 2 כר'</v>
      </c>
    </row>
    <row r="8707" spans="1:6" x14ac:dyDescent="0.2">
      <c r="A8707" t="s">
        <v>15201</v>
      </c>
      <c r="B8707" t="s">
        <v>15202</v>
      </c>
      <c r="C8707" t="s">
        <v>1364</v>
      </c>
      <c r="D8707" t="s">
        <v>283</v>
      </c>
      <c r="E8707" t="s">
        <v>15203</v>
      </c>
      <c r="F8707" s="2" t="str">
        <f>HYPERLINK("http://www.otzar.org/book.asp?151538","דברים נעימים")</f>
        <v>דברים נעימים</v>
      </c>
    </row>
    <row r="8708" spans="1:6" x14ac:dyDescent="0.2">
      <c r="A8708" t="s">
        <v>15204</v>
      </c>
      <c r="B8708" t="s">
        <v>6987</v>
      </c>
      <c r="C8708" t="s">
        <v>13</v>
      </c>
      <c r="D8708" t="s">
        <v>14</v>
      </c>
      <c r="E8708" t="s">
        <v>15</v>
      </c>
      <c r="F8708" s="2" t="str">
        <f>HYPERLINK("http://www.otzar.org/book.asp?61630","דברים נפלאים על שבת קדשנו")</f>
        <v>דברים נפלאים על שבת קדשנו</v>
      </c>
    </row>
    <row r="8709" spans="1:6" x14ac:dyDescent="0.2">
      <c r="A8709" t="s">
        <v>15205</v>
      </c>
      <c r="B8709" t="s">
        <v>15206</v>
      </c>
      <c r="C8709" t="s">
        <v>1096</v>
      </c>
      <c r="D8709" t="s">
        <v>267</v>
      </c>
      <c r="E8709" t="s">
        <v>158</v>
      </c>
      <c r="F8709" s="2" t="str">
        <f>HYPERLINK("http://www.otzar.org/book.asp?24240","דברים נפלאים")</f>
        <v>דברים נפלאים</v>
      </c>
    </row>
    <row r="8710" spans="1:6" x14ac:dyDescent="0.2">
      <c r="A8710" t="s">
        <v>15207</v>
      </c>
      <c r="B8710" t="s">
        <v>15208</v>
      </c>
      <c r="C8710" t="s">
        <v>15209</v>
      </c>
      <c r="D8710" t="s">
        <v>379</v>
      </c>
      <c r="E8710" t="s">
        <v>140</v>
      </c>
      <c r="F8710" s="2" t="str">
        <f>HYPERLINK("http://www.otzar.org/book.asp?100004","דברים ערבים - א ב")</f>
        <v>דברים ערבים - א ב</v>
      </c>
    </row>
    <row r="8711" spans="1:6" x14ac:dyDescent="0.2">
      <c r="A8711" t="s">
        <v>15210</v>
      </c>
      <c r="B8711" t="s">
        <v>5364</v>
      </c>
      <c r="C8711" t="s">
        <v>366</v>
      </c>
      <c r="D8711" t="s">
        <v>90</v>
      </c>
      <c r="F8711" s="2" t="str">
        <f>HYPERLINK("http://www.otzar.org/book.asp?613649","דברים ערבים - 3 כר'")</f>
        <v>דברים ערבים - 3 כר'</v>
      </c>
    </row>
    <row r="8712" spans="1:6" x14ac:dyDescent="0.2">
      <c r="A8712" t="s">
        <v>15211</v>
      </c>
      <c r="B8712" t="s">
        <v>15212</v>
      </c>
      <c r="C8712" t="s">
        <v>15213</v>
      </c>
      <c r="D8712" t="s">
        <v>1037</v>
      </c>
      <c r="E8712" t="s">
        <v>213</v>
      </c>
      <c r="F8712" s="2" t="str">
        <f>HYPERLINK("http://www.otzar.org/book.asp?51193","דברים עתיקים - 2 כר'")</f>
        <v>דברים עתיקים - 2 כר'</v>
      </c>
    </row>
    <row r="8713" spans="1:6" x14ac:dyDescent="0.2">
      <c r="A8713" t="s">
        <v>15214</v>
      </c>
      <c r="B8713" t="s">
        <v>15215</v>
      </c>
      <c r="C8713" t="s">
        <v>189</v>
      </c>
      <c r="D8713" t="s">
        <v>7468</v>
      </c>
      <c r="E8713" t="s">
        <v>15</v>
      </c>
      <c r="F8713" s="2" t="str">
        <f>HYPERLINK("http://www.otzar.org/book.asp?199468","דברים שיש להם שיעור")</f>
        <v>דברים שיש להם שיעור</v>
      </c>
    </row>
    <row r="8714" spans="1:6" x14ac:dyDescent="0.2">
      <c r="A8714" t="s">
        <v>15216</v>
      </c>
      <c r="B8714" t="s">
        <v>12900</v>
      </c>
      <c r="C8714" t="s">
        <v>151</v>
      </c>
      <c r="D8714" t="s">
        <v>90</v>
      </c>
      <c r="E8714" t="s">
        <v>104</v>
      </c>
      <c r="F8714" s="2" t="str">
        <f>HYPERLINK("http://www.otzar.org/book.asp?615382","דברים של טעם")</f>
        <v>דברים של טעם</v>
      </c>
    </row>
    <row r="8715" spans="1:6" x14ac:dyDescent="0.2">
      <c r="A8715" t="s">
        <v>15217</v>
      </c>
      <c r="B8715" t="s">
        <v>1222</v>
      </c>
      <c r="C8715" t="s">
        <v>20</v>
      </c>
      <c r="D8715" t="s">
        <v>90</v>
      </c>
      <c r="E8715" t="s">
        <v>144</v>
      </c>
      <c r="F8715" s="2" t="str">
        <f>HYPERLINK("http://www.otzar.org/book.asp?631571","דברים שנאמרו על מסכת בבא קמא")</f>
        <v>דברים שנאמרו על מסכת בבא קמא</v>
      </c>
    </row>
    <row r="8716" spans="1:6" x14ac:dyDescent="0.2">
      <c r="A8716" t="s">
        <v>15218</v>
      </c>
      <c r="B8716" t="s">
        <v>15219</v>
      </c>
      <c r="C8716" t="s">
        <v>23</v>
      </c>
      <c r="D8716" t="s">
        <v>52</v>
      </c>
      <c r="E8716" t="s">
        <v>158</v>
      </c>
      <c r="F8716" s="2" t="str">
        <f>HYPERLINK("http://www.otzar.org/book.asp?628009","דברך נצב בשמים")</f>
        <v>דברך נצב בשמים</v>
      </c>
    </row>
    <row r="8717" spans="1:6" x14ac:dyDescent="0.2">
      <c r="A8717" t="s">
        <v>15220</v>
      </c>
      <c r="B8717" t="s">
        <v>15221</v>
      </c>
      <c r="C8717" t="s">
        <v>189</v>
      </c>
      <c r="D8717" t="s">
        <v>14</v>
      </c>
      <c r="E8717" t="s">
        <v>803</v>
      </c>
      <c r="F8717" s="2" t="str">
        <f>HYPERLINK("http://www.otzar.org/book.asp?51938","דברת שבועה - 2 כר'")</f>
        <v>דברת שבועה - 2 כר'</v>
      </c>
    </row>
    <row r="8718" spans="1:6" x14ac:dyDescent="0.2">
      <c r="A8718" t="s">
        <v>15222</v>
      </c>
      <c r="B8718" t="s">
        <v>15223</v>
      </c>
      <c r="C8718" t="s">
        <v>114</v>
      </c>
      <c r="D8718" t="s">
        <v>367</v>
      </c>
      <c r="E8718" t="s">
        <v>158</v>
      </c>
      <c r="F8718" s="2" t="str">
        <f>HYPERLINK("http://www.otzar.org/book.asp?166044","דברת שלמה &lt;הוצאה חדשה&gt;")</f>
        <v>דברת שלמה &lt;הוצאה חדשה&gt;</v>
      </c>
    </row>
    <row r="8719" spans="1:6" x14ac:dyDescent="0.2">
      <c r="A8719" t="s">
        <v>15224</v>
      </c>
      <c r="B8719" t="s">
        <v>15223</v>
      </c>
      <c r="C8719" t="s">
        <v>1246</v>
      </c>
      <c r="D8719" t="s">
        <v>14</v>
      </c>
      <c r="F8719" s="2" t="str">
        <f>HYPERLINK("http://www.otzar.org/book.asp?619408","דברת שלמה - 2 כר'")</f>
        <v>דברת שלמה - 2 כר'</v>
      </c>
    </row>
    <row r="8720" spans="1:6" x14ac:dyDescent="0.2">
      <c r="A8720" t="s">
        <v>15225</v>
      </c>
      <c r="B8720" t="s">
        <v>15226</v>
      </c>
      <c r="C8720" t="s">
        <v>160</v>
      </c>
      <c r="D8720" t="s">
        <v>27</v>
      </c>
      <c r="E8720" t="s">
        <v>154</v>
      </c>
      <c r="F8720" s="2" t="str">
        <f>HYPERLINK("http://www.otzar.org/book.asp?17498","דברתי דברי")</f>
        <v>דברתי דברי</v>
      </c>
    </row>
    <row r="8721" spans="1:6" x14ac:dyDescent="0.2">
      <c r="A8721" t="s">
        <v>15227</v>
      </c>
      <c r="B8721" t="s">
        <v>15228</v>
      </c>
      <c r="C8721" t="s">
        <v>496</v>
      </c>
      <c r="D8721" t="s">
        <v>691</v>
      </c>
      <c r="F8721" s="2" t="str">
        <f>HYPERLINK("http://www.otzar.org/book.asp?22121","דבש השדה")</f>
        <v>דבש השדה</v>
      </c>
    </row>
    <row r="8722" spans="1:6" x14ac:dyDescent="0.2">
      <c r="A8722" t="s">
        <v>15229</v>
      </c>
      <c r="B8722" t="s">
        <v>15230</v>
      </c>
      <c r="C8722" t="s">
        <v>23</v>
      </c>
      <c r="D8722" t="s">
        <v>1156</v>
      </c>
      <c r="E8722" t="s">
        <v>345</v>
      </c>
      <c r="F8722" s="2" t="str">
        <f>HYPERLINK("http://www.otzar.org/book.asp?611780","דבש וחלב")</f>
        <v>דבש וחלב</v>
      </c>
    </row>
    <row r="8723" spans="1:6" x14ac:dyDescent="0.2">
      <c r="A8723" t="s">
        <v>15229</v>
      </c>
      <c r="B8723" t="s">
        <v>15231</v>
      </c>
      <c r="C8723" t="s">
        <v>146</v>
      </c>
      <c r="D8723" t="s">
        <v>52</v>
      </c>
      <c r="E8723" t="s">
        <v>144</v>
      </c>
      <c r="F8723" s="2" t="str">
        <f>HYPERLINK("http://www.otzar.org/book.asp?61449","דבש וחלב")</f>
        <v>דבש וחלב</v>
      </c>
    </row>
    <row r="8724" spans="1:6" x14ac:dyDescent="0.2">
      <c r="A8724" t="s">
        <v>15229</v>
      </c>
      <c r="B8724" t="s">
        <v>15232</v>
      </c>
      <c r="C8724" t="s">
        <v>360</v>
      </c>
      <c r="D8724" t="s">
        <v>1117</v>
      </c>
      <c r="E8724" t="s">
        <v>158</v>
      </c>
      <c r="F8724" s="2" t="str">
        <f>HYPERLINK("http://www.otzar.org/book.asp?24241","דבש וחלב")</f>
        <v>דבש וחלב</v>
      </c>
    </row>
    <row r="8725" spans="1:6" x14ac:dyDescent="0.2">
      <c r="A8725" t="s">
        <v>15233</v>
      </c>
      <c r="B8725" t="s">
        <v>1308</v>
      </c>
      <c r="C8725" t="s">
        <v>26</v>
      </c>
      <c r="D8725" t="s">
        <v>412</v>
      </c>
      <c r="E8725" t="s">
        <v>1438</v>
      </c>
      <c r="F8725" s="2" t="str">
        <f>HYPERLINK("http://www.otzar.org/book.asp?10474","דבש לפי - 3 כר'")</f>
        <v>דבש לפי - 3 כר'</v>
      </c>
    </row>
    <row r="8726" spans="1:6" x14ac:dyDescent="0.2">
      <c r="A8726" t="s">
        <v>15234</v>
      </c>
      <c r="B8726" t="s">
        <v>15235</v>
      </c>
      <c r="C8726" t="s">
        <v>146</v>
      </c>
      <c r="D8726" t="s">
        <v>412</v>
      </c>
      <c r="E8726" t="s">
        <v>15236</v>
      </c>
      <c r="F8726" s="2" t="str">
        <f>HYPERLINK("http://www.otzar.org/book.asp?155471","דבש לפי")</f>
        <v>דבש לפי</v>
      </c>
    </row>
    <row r="8727" spans="1:6" x14ac:dyDescent="0.2">
      <c r="A8727" t="s">
        <v>15237</v>
      </c>
      <c r="B8727" t="s">
        <v>1308</v>
      </c>
      <c r="C8727" t="s">
        <v>2243</v>
      </c>
      <c r="D8727" t="s">
        <v>212</v>
      </c>
      <c r="F8727" s="2" t="str">
        <f>HYPERLINK("http://www.otzar.org/book.asp?164838","דבש לפי, פה אחד")</f>
        <v>דבש לפי, פה אחד</v>
      </c>
    </row>
    <row r="8728" spans="1:6" x14ac:dyDescent="0.2">
      <c r="A8728" t="s">
        <v>15238</v>
      </c>
      <c r="B8728" t="s">
        <v>15239</v>
      </c>
      <c r="C8728" t="s">
        <v>775</v>
      </c>
      <c r="D8728" t="s">
        <v>412</v>
      </c>
      <c r="E8728" t="s">
        <v>148</v>
      </c>
      <c r="F8728" s="2" t="str">
        <f>HYPERLINK("http://www.otzar.org/book.asp?152575","דבש מסלע - 3 כר'")</f>
        <v>דבש מסלע - 3 כר'</v>
      </c>
    </row>
    <row r="8729" spans="1:6" x14ac:dyDescent="0.2">
      <c r="A8729" t="s">
        <v>15240</v>
      </c>
      <c r="B8729" t="s">
        <v>15241</v>
      </c>
      <c r="C8729" t="s">
        <v>1437</v>
      </c>
      <c r="D8729" t="s">
        <v>4269</v>
      </c>
      <c r="E8729" t="s">
        <v>84</v>
      </c>
      <c r="F8729" s="2" t="str">
        <f>HYPERLINK("http://www.otzar.org/book.asp?51195","דבש מסלע")</f>
        <v>דבש מסלע</v>
      </c>
    </row>
    <row r="8730" spans="1:6" x14ac:dyDescent="0.2">
      <c r="A8730" t="s">
        <v>15238</v>
      </c>
      <c r="B8730" t="s">
        <v>15242</v>
      </c>
      <c r="C8730" t="s">
        <v>68</v>
      </c>
      <c r="D8730" t="s">
        <v>52</v>
      </c>
      <c r="E8730" t="s">
        <v>803</v>
      </c>
      <c r="F8730" s="2" t="str">
        <f>HYPERLINK("http://www.otzar.org/book.asp?157262","דבש מסלע - 3 כר'")</f>
        <v>דבש מסלע - 3 כר'</v>
      </c>
    </row>
    <row r="8731" spans="1:6" x14ac:dyDescent="0.2">
      <c r="A8731" t="s">
        <v>15243</v>
      </c>
      <c r="B8731" t="s">
        <v>15244</v>
      </c>
      <c r="C8731" t="s">
        <v>151</v>
      </c>
      <c r="D8731" t="s">
        <v>412</v>
      </c>
      <c r="F8731" s="2" t="str">
        <f>HYPERLINK("http://www.otzar.org/book.asp?608822","דבש צבי")</f>
        <v>דבש צבי</v>
      </c>
    </row>
    <row r="8732" spans="1:6" x14ac:dyDescent="0.2">
      <c r="A8732" t="s">
        <v>15245</v>
      </c>
      <c r="B8732" t="s">
        <v>15246</v>
      </c>
      <c r="C8732" t="s">
        <v>748</v>
      </c>
      <c r="D8732" t="s">
        <v>283</v>
      </c>
      <c r="E8732" t="s">
        <v>15247</v>
      </c>
      <c r="F8732" s="2" t="str">
        <f>HYPERLINK("http://www.otzar.org/book.asp?108302","דבש תמר")</f>
        <v>דבש תמר</v>
      </c>
    </row>
    <row r="8733" spans="1:6" x14ac:dyDescent="0.2">
      <c r="A8733" t="s">
        <v>15248</v>
      </c>
      <c r="B8733" t="s">
        <v>15249</v>
      </c>
      <c r="C8733" t="s">
        <v>176</v>
      </c>
      <c r="D8733" t="s">
        <v>412</v>
      </c>
      <c r="E8733" t="s">
        <v>1174</v>
      </c>
      <c r="F8733" s="2" t="str">
        <f>HYPERLINK("http://www.otzar.org/book.asp?624660","דבש תמרים")</f>
        <v>דבש תמרים</v>
      </c>
    </row>
    <row r="8734" spans="1:6" x14ac:dyDescent="0.2">
      <c r="A8734" t="s">
        <v>15250</v>
      </c>
      <c r="B8734" t="s">
        <v>15251</v>
      </c>
      <c r="C8734" t="s">
        <v>244</v>
      </c>
      <c r="D8734" t="s">
        <v>21</v>
      </c>
      <c r="E8734" t="s">
        <v>104</v>
      </c>
      <c r="F8734" s="2" t="str">
        <f>HYPERLINK("http://www.otzar.org/book.asp?196794","דבש תמרים - 2 כר'")</f>
        <v>דבש תמרים - 2 כר'</v>
      </c>
    </row>
    <row r="8735" spans="1:6" x14ac:dyDescent="0.2">
      <c r="A8735" t="s">
        <v>15252</v>
      </c>
      <c r="B8735" t="s">
        <v>15253</v>
      </c>
      <c r="C8735" t="s">
        <v>244</v>
      </c>
      <c r="D8735" t="s">
        <v>90</v>
      </c>
      <c r="E8735" t="s">
        <v>213</v>
      </c>
      <c r="F8735" s="2" t="str">
        <f>HYPERLINK("http://www.otzar.org/book.asp?604937","דג חי או דג נט")</f>
        <v>דג חי או דג נט</v>
      </c>
    </row>
    <row r="8736" spans="1:6" x14ac:dyDescent="0.2">
      <c r="A8736" t="s">
        <v>15254</v>
      </c>
      <c r="B8736" t="s">
        <v>15255</v>
      </c>
      <c r="C8736" t="s">
        <v>360</v>
      </c>
      <c r="D8736" t="s">
        <v>56</v>
      </c>
      <c r="E8736" t="s">
        <v>158</v>
      </c>
      <c r="F8736" s="2" t="str">
        <f>HYPERLINK("http://www.otzar.org/book.asp?182202","דגול מרבבה על שיר השירים")</f>
        <v>דגול מרבבה על שיר השירים</v>
      </c>
    </row>
    <row r="8737" spans="1:6" x14ac:dyDescent="0.2">
      <c r="A8737" t="s">
        <v>15256</v>
      </c>
      <c r="B8737" t="s">
        <v>15257</v>
      </c>
      <c r="C8737" t="s">
        <v>1778</v>
      </c>
      <c r="D8737" t="s">
        <v>1490</v>
      </c>
      <c r="E8737" t="s">
        <v>158</v>
      </c>
      <c r="F8737" s="2" t="str">
        <f>HYPERLINK("http://www.otzar.org/book.asp?24243","דגול מרבבה")</f>
        <v>דגול מרבבה</v>
      </c>
    </row>
    <row r="8738" spans="1:6" x14ac:dyDescent="0.2">
      <c r="A8738" t="s">
        <v>15258</v>
      </c>
      <c r="B8738" t="s">
        <v>15259</v>
      </c>
      <c r="C8738" t="s">
        <v>543</v>
      </c>
      <c r="D8738" t="s">
        <v>744</v>
      </c>
      <c r="E8738" t="s">
        <v>172</v>
      </c>
      <c r="F8738" s="2" t="str">
        <f>HYPERLINK("http://www.otzar.org/book.asp?104252","דגול מרבבה - 2 כר'")</f>
        <v>דגול מרבבה - 2 כר'</v>
      </c>
    </row>
    <row r="8739" spans="1:6" x14ac:dyDescent="0.2">
      <c r="A8739" t="s">
        <v>15260</v>
      </c>
      <c r="B8739" t="s">
        <v>15261</v>
      </c>
      <c r="C8739" t="s">
        <v>15262</v>
      </c>
      <c r="D8739" t="s">
        <v>49</v>
      </c>
      <c r="E8739" t="s">
        <v>104</v>
      </c>
      <c r="F8739" s="2" t="str">
        <f>HYPERLINK("http://www.otzar.org/book.asp?146938","דגל אהבה")</f>
        <v>דגל אהבה</v>
      </c>
    </row>
    <row r="8740" spans="1:6" x14ac:dyDescent="0.2">
      <c r="A8740" t="s">
        <v>15263</v>
      </c>
      <c r="B8740" t="s">
        <v>15264</v>
      </c>
      <c r="C8740" t="s">
        <v>462</v>
      </c>
      <c r="D8740" t="s">
        <v>756</v>
      </c>
      <c r="E8740" t="s">
        <v>508</v>
      </c>
      <c r="F8740" s="2" t="str">
        <f>HYPERLINK("http://www.otzar.org/book.asp?17499","דגל אפרים - 2 כר'")</f>
        <v>דגל אפרים - 2 כר'</v>
      </c>
    </row>
    <row r="8741" spans="1:6" x14ac:dyDescent="0.2">
      <c r="A8741" t="s">
        <v>15265</v>
      </c>
      <c r="B8741" t="s">
        <v>15266</v>
      </c>
      <c r="C8741" t="s">
        <v>103</v>
      </c>
      <c r="D8741" t="s">
        <v>14</v>
      </c>
      <c r="E8741" t="s">
        <v>230</v>
      </c>
      <c r="F8741" s="2" t="str">
        <f>HYPERLINK("http://www.otzar.org/book.asp?159068","דגל המוסר")</f>
        <v>דגל המוסר</v>
      </c>
    </row>
    <row r="8742" spans="1:6" x14ac:dyDescent="0.2">
      <c r="A8742" t="s">
        <v>15267</v>
      </c>
      <c r="B8742" t="s">
        <v>382</v>
      </c>
      <c r="C8742" t="s">
        <v>946</v>
      </c>
      <c r="D8742" t="s">
        <v>7648</v>
      </c>
      <c r="E8742" t="s">
        <v>202</v>
      </c>
      <c r="F8742" s="2" t="str">
        <f>HYPERLINK("http://www.otzar.org/book.asp?167199","דגל הצעירים - 4 כר'")</f>
        <v>דגל הצעירים - 4 כר'</v>
      </c>
    </row>
    <row r="8743" spans="1:6" x14ac:dyDescent="0.2">
      <c r="A8743" t="s">
        <v>15268</v>
      </c>
      <c r="B8743" t="s">
        <v>15269</v>
      </c>
      <c r="C8743" t="s">
        <v>99</v>
      </c>
      <c r="D8743" t="s">
        <v>15270</v>
      </c>
      <c r="E8743" t="s">
        <v>186</v>
      </c>
      <c r="F8743" s="2" t="str">
        <f>HYPERLINK("http://www.otzar.org/book.asp?167168","דגל הרבנים - 4 כר'")</f>
        <v>דגל הרבנים - 4 כר'</v>
      </c>
    </row>
    <row r="8744" spans="1:6" x14ac:dyDescent="0.2">
      <c r="A8744" t="s">
        <v>15271</v>
      </c>
      <c r="B8744" t="s">
        <v>15272</v>
      </c>
      <c r="C8744" t="s">
        <v>649</v>
      </c>
      <c r="D8744" t="s">
        <v>15273</v>
      </c>
      <c r="E8744" t="s">
        <v>202</v>
      </c>
      <c r="F8744" s="2" t="str">
        <f>HYPERLINK("http://www.otzar.org/book.asp?167267","דגל התורה &lt;וישווא&gt; - 18 כר'")</f>
        <v>דגל התורה &lt;וישווא&gt; - 18 כר'</v>
      </c>
    </row>
    <row r="8745" spans="1:6" x14ac:dyDescent="0.2">
      <c r="A8745" t="s">
        <v>15274</v>
      </c>
      <c r="B8745" t="s">
        <v>15275</v>
      </c>
      <c r="C8745" t="s">
        <v>15276</v>
      </c>
      <c r="D8745" t="s">
        <v>307</v>
      </c>
      <c r="E8745" t="s">
        <v>202</v>
      </c>
      <c r="F8745" s="2" t="str">
        <f>HYPERLINK("http://www.otzar.org/book.asp?100828","דגל התורה תרפ""א - תרפ""ב")</f>
        <v>דגל התורה תרפ"א - תרפ"ב</v>
      </c>
    </row>
    <row r="8746" spans="1:6" x14ac:dyDescent="0.2">
      <c r="A8746" t="s">
        <v>15277</v>
      </c>
      <c r="B8746" t="s">
        <v>15275</v>
      </c>
      <c r="C8746" t="s">
        <v>422</v>
      </c>
      <c r="D8746" t="s">
        <v>14</v>
      </c>
      <c r="E8746" t="s">
        <v>202</v>
      </c>
      <c r="F8746" s="2" t="str">
        <f>HYPERLINK("http://www.otzar.org/book.asp?150195","דגל התורה")</f>
        <v>דגל התורה</v>
      </c>
    </row>
    <row r="8747" spans="1:6" x14ac:dyDescent="0.2">
      <c r="A8747" t="s">
        <v>15278</v>
      </c>
      <c r="B8747" t="s">
        <v>15279</v>
      </c>
      <c r="C8747" t="s">
        <v>160</v>
      </c>
      <c r="D8747" t="s">
        <v>27</v>
      </c>
      <c r="E8747" t="s">
        <v>15280</v>
      </c>
      <c r="F8747" s="2" t="str">
        <f>HYPERLINK("http://www.otzar.org/book.asp?143396","דגל יהודה")</f>
        <v>דגל יהודה</v>
      </c>
    </row>
    <row r="8748" spans="1:6" x14ac:dyDescent="0.2">
      <c r="A8748" t="s">
        <v>15278</v>
      </c>
      <c r="B8748" t="s">
        <v>14640</v>
      </c>
      <c r="C8748" t="s">
        <v>473</v>
      </c>
      <c r="D8748" t="s">
        <v>9</v>
      </c>
      <c r="E8748" t="s">
        <v>6587</v>
      </c>
      <c r="F8748" s="2" t="str">
        <f>HYPERLINK("http://www.otzar.org/book.asp?51185","דגל יהודה")</f>
        <v>דגל יהודה</v>
      </c>
    </row>
    <row r="8749" spans="1:6" x14ac:dyDescent="0.2">
      <c r="A8749" t="s">
        <v>15278</v>
      </c>
      <c r="B8749" t="s">
        <v>15281</v>
      </c>
      <c r="C8749" t="s">
        <v>180</v>
      </c>
      <c r="D8749" t="s">
        <v>216</v>
      </c>
      <c r="E8749" t="s">
        <v>435</v>
      </c>
      <c r="F8749" s="2" t="str">
        <f>HYPERLINK("http://www.otzar.org/book.asp?7370","דגל יהודה")</f>
        <v>דגל יהודה</v>
      </c>
    </row>
    <row r="8750" spans="1:6" x14ac:dyDescent="0.2">
      <c r="A8750" t="s">
        <v>15278</v>
      </c>
      <c r="B8750" t="s">
        <v>15282</v>
      </c>
      <c r="C8750" t="s">
        <v>812</v>
      </c>
      <c r="D8750" t="s">
        <v>225</v>
      </c>
      <c r="E8750" t="s">
        <v>9245</v>
      </c>
      <c r="F8750" s="2" t="str">
        <f>HYPERLINK("http://www.otzar.org/book.asp?275","דגל יהודה")</f>
        <v>דגל יהודה</v>
      </c>
    </row>
    <row r="8751" spans="1:6" x14ac:dyDescent="0.2">
      <c r="A8751" t="s">
        <v>15283</v>
      </c>
      <c r="B8751" t="s">
        <v>15284</v>
      </c>
      <c r="C8751" t="s">
        <v>237</v>
      </c>
      <c r="D8751" t="s">
        <v>15285</v>
      </c>
      <c r="E8751" t="s">
        <v>1072</v>
      </c>
      <c r="F8751" s="2" t="str">
        <f>HYPERLINK("http://www.otzar.org/book.asp?146809","דגל יוסף")</f>
        <v>דגל יוסף</v>
      </c>
    </row>
    <row r="8752" spans="1:6" x14ac:dyDescent="0.2">
      <c r="A8752" t="s">
        <v>15286</v>
      </c>
      <c r="B8752" t="s">
        <v>1750</v>
      </c>
      <c r="C8752" t="s">
        <v>87</v>
      </c>
      <c r="D8752" t="s">
        <v>14</v>
      </c>
      <c r="E8752" t="s">
        <v>202</v>
      </c>
      <c r="F8752" s="2" t="str">
        <f>HYPERLINK("http://www.otzar.org/book.asp?173299","דגל ירושלים - 5 כר'")</f>
        <v>דגל ירושלים - 5 כר'</v>
      </c>
    </row>
    <row r="8753" spans="1:6" x14ac:dyDescent="0.2">
      <c r="A8753" t="s">
        <v>15287</v>
      </c>
      <c r="B8753" t="s">
        <v>5501</v>
      </c>
      <c r="C8753" t="s">
        <v>2832</v>
      </c>
      <c r="D8753" t="s">
        <v>27</v>
      </c>
      <c r="E8753" t="s">
        <v>15</v>
      </c>
      <c r="F8753" s="2" t="str">
        <f>HYPERLINK("http://www.otzar.org/book.asp?166866","דגל ישראל")</f>
        <v>דגל ישראל</v>
      </c>
    </row>
    <row r="8754" spans="1:6" x14ac:dyDescent="0.2">
      <c r="A8754" t="s">
        <v>15288</v>
      </c>
      <c r="B8754" t="s">
        <v>15289</v>
      </c>
      <c r="C8754" t="s">
        <v>68</v>
      </c>
      <c r="D8754" t="s">
        <v>15290</v>
      </c>
      <c r="E8754" t="s">
        <v>2071</v>
      </c>
      <c r="F8754" s="2" t="str">
        <f>HYPERLINK("http://www.otzar.org/book.asp?159528","דגל מחנה אפרים &lt;מהדורה חדשה&gt;")</f>
        <v>דגל מחנה אפרים &lt;מהדורה חדשה&gt;</v>
      </c>
    </row>
    <row r="8755" spans="1:6" x14ac:dyDescent="0.2">
      <c r="A8755" t="s">
        <v>15291</v>
      </c>
      <c r="B8755" t="s">
        <v>15289</v>
      </c>
      <c r="C8755" t="s">
        <v>114</v>
      </c>
      <c r="D8755" t="s">
        <v>14</v>
      </c>
      <c r="E8755" t="s">
        <v>158</v>
      </c>
      <c r="F8755" s="2" t="str">
        <f>HYPERLINK("http://www.otzar.org/book.asp?175369","דגל מחנה אפרים &lt;מהדורת ספרי אוה""ח&gt;")</f>
        <v>דגל מחנה אפרים &lt;מהדורת ספרי אוה"ח&gt;</v>
      </c>
    </row>
    <row r="8756" spans="1:6" x14ac:dyDescent="0.2">
      <c r="A8756" t="s">
        <v>15292</v>
      </c>
      <c r="B8756" t="s">
        <v>15293</v>
      </c>
      <c r="C8756" t="s">
        <v>2132</v>
      </c>
      <c r="D8756" t="s">
        <v>27</v>
      </c>
      <c r="E8756" t="s">
        <v>154</v>
      </c>
      <c r="F8756" s="2" t="str">
        <f>HYPERLINK("http://www.otzar.org/book.asp?152376","דגל מחנה אפרים &lt;מכון הכתב&gt;")</f>
        <v>דגל מחנה אפרים &lt;מכון הכתב&gt;</v>
      </c>
    </row>
    <row r="8757" spans="1:6" x14ac:dyDescent="0.2">
      <c r="A8757" t="s">
        <v>15294</v>
      </c>
      <c r="B8757" t="s">
        <v>15289</v>
      </c>
      <c r="C8757" t="s">
        <v>777</v>
      </c>
      <c r="D8757" t="s">
        <v>100</v>
      </c>
      <c r="E8757" t="s">
        <v>158</v>
      </c>
      <c r="F8757" s="2" t="str">
        <f>HYPERLINK("http://www.otzar.org/book.asp?52451","דגל מחנה אפרים - 4 כר'")</f>
        <v>דגל מחנה אפרים - 4 כר'</v>
      </c>
    </row>
    <row r="8758" spans="1:6" x14ac:dyDescent="0.2">
      <c r="A8758" t="s">
        <v>15295</v>
      </c>
      <c r="B8758" t="s">
        <v>15293</v>
      </c>
      <c r="C8758" t="s">
        <v>854</v>
      </c>
      <c r="D8758" t="s">
        <v>27</v>
      </c>
      <c r="E8758" t="s">
        <v>15296</v>
      </c>
      <c r="F8758" s="2" t="str">
        <f>HYPERLINK("http://www.otzar.org/book.asp?6818","דגל מחנה אפרים")</f>
        <v>דגל מחנה אפרים</v>
      </c>
    </row>
    <row r="8759" spans="1:6" x14ac:dyDescent="0.2">
      <c r="A8759" t="s">
        <v>15297</v>
      </c>
      <c r="B8759" t="s">
        <v>15298</v>
      </c>
      <c r="C8759" t="s">
        <v>1160</v>
      </c>
      <c r="D8759" t="s">
        <v>412</v>
      </c>
      <c r="F8759" s="2" t="str">
        <f>HYPERLINK("http://www.otzar.org/book.asp?620590","דגל מחנה אפרים - 2 כר'")</f>
        <v>דגל מחנה אפרים - 2 כר'</v>
      </c>
    </row>
    <row r="8760" spans="1:6" x14ac:dyDescent="0.2">
      <c r="A8760" t="s">
        <v>15299</v>
      </c>
      <c r="B8760" t="s">
        <v>15300</v>
      </c>
      <c r="C8760" t="s">
        <v>411</v>
      </c>
      <c r="D8760" t="s">
        <v>27</v>
      </c>
      <c r="E8760" t="s">
        <v>15301</v>
      </c>
      <c r="F8760" s="2" t="str">
        <f>HYPERLINK("http://www.otzar.org/book.asp?171244","דגל מחנה יהודה &lt;מהדורה חדשה&gt;")</f>
        <v>דגל מחנה יהודה &lt;מהדורה חדשה&gt;</v>
      </c>
    </row>
    <row r="8761" spans="1:6" x14ac:dyDescent="0.2">
      <c r="A8761" t="s">
        <v>15302</v>
      </c>
      <c r="B8761" t="s">
        <v>15300</v>
      </c>
      <c r="C8761" t="s">
        <v>843</v>
      </c>
      <c r="D8761" t="s">
        <v>27</v>
      </c>
      <c r="E8761" t="s">
        <v>140</v>
      </c>
      <c r="F8761" s="2" t="str">
        <f>HYPERLINK("http://www.otzar.org/book.asp?153619","דגל מחנה יהודה")</f>
        <v>דגל מחנה יהודה</v>
      </c>
    </row>
    <row r="8762" spans="1:6" x14ac:dyDescent="0.2">
      <c r="A8762" t="s">
        <v>15302</v>
      </c>
      <c r="B8762" t="s">
        <v>8129</v>
      </c>
      <c r="C8762" t="s">
        <v>946</v>
      </c>
      <c r="D8762" t="s">
        <v>563</v>
      </c>
      <c r="E8762" t="s">
        <v>104</v>
      </c>
      <c r="F8762" s="2" t="str">
        <f>HYPERLINK("http://www.otzar.org/book.asp?102949","דגל מחנה יהודה")</f>
        <v>דגל מחנה יהודה</v>
      </c>
    </row>
    <row r="8763" spans="1:6" x14ac:dyDescent="0.2">
      <c r="A8763" t="s">
        <v>15303</v>
      </c>
      <c r="B8763" t="s">
        <v>15304</v>
      </c>
      <c r="C8763" t="s">
        <v>503</v>
      </c>
      <c r="D8763" t="s">
        <v>1538</v>
      </c>
      <c r="E8763" t="s">
        <v>104</v>
      </c>
      <c r="F8763" s="2" t="str">
        <f>HYPERLINK("http://www.otzar.org/book.asp?100007","דגל מחנה ראובן")</f>
        <v>דגל מחנה ראובן</v>
      </c>
    </row>
    <row r="8764" spans="1:6" x14ac:dyDescent="0.2">
      <c r="A8764" t="s">
        <v>15303</v>
      </c>
      <c r="B8764" t="s">
        <v>15305</v>
      </c>
      <c r="C8764" t="s">
        <v>411</v>
      </c>
      <c r="D8764" t="s">
        <v>52</v>
      </c>
      <c r="F8764" s="2" t="str">
        <f>HYPERLINK("http://www.otzar.org/book.asp?166970","דגל מחנה ראובן")</f>
        <v>דגל מחנה ראובן</v>
      </c>
    </row>
    <row r="8765" spans="1:6" x14ac:dyDescent="0.2">
      <c r="A8765" t="s">
        <v>15303</v>
      </c>
      <c r="B8765" t="s">
        <v>15306</v>
      </c>
      <c r="C8765" t="s">
        <v>189</v>
      </c>
      <c r="D8765" t="s">
        <v>5130</v>
      </c>
      <c r="E8765" t="s">
        <v>202</v>
      </c>
      <c r="F8765" s="2" t="str">
        <f>HYPERLINK("http://www.otzar.org/book.asp?619873","דגל מחנה ראובן")</f>
        <v>דגל מחנה ראובן</v>
      </c>
    </row>
    <row r="8766" spans="1:6" x14ac:dyDescent="0.2">
      <c r="A8766" t="s">
        <v>15307</v>
      </c>
      <c r="B8766" t="s">
        <v>13038</v>
      </c>
      <c r="C8766" t="s">
        <v>5903</v>
      </c>
      <c r="D8766" t="s">
        <v>280</v>
      </c>
      <c r="E8766" t="s">
        <v>104</v>
      </c>
      <c r="F8766" s="2" t="str">
        <f>HYPERLINK("http://www.otzar.org/book.asp?24245","דגל מנשה")</f>
        <v>דגל מנשה</v>
      </c>
    </row>
    <row r="8767" spans="1:6" x14ac:dyDescent="0.2">
      <c r="A8767" t="s">
        <v>15308</v>
      </c>
      <c r="B8767" t="s">
        <v>15309</v>
      </c>
      <c r="C8767" t="s">
        <v>442</v>
      </c>
      <c r="D8767" t="s">
        <v>563</v>
      </c>
      <c r="E8767" t="s">
        <v>957</v>
      </c>
      <c r="F8767" s="2" t="str">
        <f>HYPERLINK("http://www.otzar.org/book.asp?22419","דגל מנשה - 2 כר'")</f>
        <v>דגל מנשה - 2 כר'</v>
      </c>
    </row>
    <row r="8768" spans="1:6" x14ac:dyDescent="0.2">
      <c r="A8768" t="s">
        <v>15310</v>
      </c>
      <c r="B8768" t="s">
        <v>15311</v>
      </c>
      <c r="C8768" t="s">
        <v>1609</v>
      </c>
      <c r="D8768" t="s">
        <v>9</v>
      </c>
      <c r="E8768" t="s">
        <v>202</v>
      </c>
      <c r="F8768" s="2" t="str">
        <f>HYPERLINK("http://www.otzar.org/book.asp?51184","דגל נפתלי")</f>
        <v>דגל נפתלי</v>
      </c>
    </row>
    <row r="8769" spans="1:6" x14ac:dyDescent="0.2">
      <c r="A8769" t="s">
        <v>15312</v>
      </c>
      <c r="B8769" t="s">
        <v>15313</v>
      </c>
      <c r="C8769" t="s">
        <v>15314</v>
      </c>
      <c r="D8769" t="s">
        <v>283</v>
      </c>
      <c r="E8769" t="s">
        <v>154</v>
      </c>
      <c r="F8769" s="2" t="str">
        <f>HYPERLINK("http://www.otzar.org/book.asp?102780","דגל ראובן - 4 כר'")</f>
        <v>דגל ראובן - 4 כר'</v>
      </c>
    </row>
    <row r="8770" spans="1:6" x14ac:dyDescent="0.2">
      <c r="A8770" t="s">
        <v>15315</v>
      </c>
      <c r="B8770" t="s">
        <v>15316</v>
      </c>
      <c r="C8770" t="s">
        <v>383</v>
      </c>
      <c r="D8770" t="s">
        <v>14</v>
      </c>
      <c r="E8770" t="s">
        <v>144</v>
      </c>
      <c r="F8770" s="2" t="str">
        <f>HYPERLINK("http://www.otzar.org/book.asp?162092","דגל שמעון")</f>
        <v>דגל שמעון</v>
      </c>
    </row>
    <row r="8771" spans="1:6" x14ac:dyDescent="0.2">
      <c r="A8771" t="s">
        <v>15317</v>
      </c>
      <c r="B8771" t="s">
        <v>1750</v>
      </c>
      <c r="C8771" t="s">
        <v>114</v>
      </c>
      <c r="D8771" t="s">
        <v>147</v>
      </c>
      <c r="E8771" t="s">
        <v>202</v>
      </c>
      <c r="F8771" s="2" t="str">
        <f>HYPERLINK("http://www.otzar.org/book.asp?172839","דגלה של תורה - 2 כר'")</f>
        <v>דגלה של תורה - 2 כר'</v>
      </c>
    </row>
    <row r="8772" spans="1:6" x14ac:dyDescent="0.2">
      <c r="A8772" t="s">
        <v>15318</v>
      </c>
      <c r="B8772" t="s">
        <v>8183</v>
      </c>
      <c r="C8772" t="s">
        <v>442</v>
      </c>
      <c r="D8772" t="s">
        <v>27</v>
      </c>
      <c r="E8772" t="s">
        <v>104</v>
      </c>
      <c r="F8772" s="2" t="str">
        <f>HYPERLINK("http://www.otzar.org/book.asp?175413","דגלי המדפיסים העבריים")</f>
        <v>דגלי המדפיסים העבריים</v>
      </c>
    </row>
    <row r="8773" spans="1:6" x14ac:dyDescent="0.2">
      <c r="A8773" t="s">
        <v>15319</v>
      </c>
      <c r="B8773" t="s">
        <v>14638</v>
      </c>
      <c r="C8773" t="s">
        <v>2644</v>
      </c>
      <c r="D8773" t="s">
        <v>283</v>
      </c>
      <c r="E8773" t="s">
        <v>2879</v>
      </c>
      <c r="F8773" s="2" t="str">
        <f>HYPERLINK("http://www.otzar.org/book.asp?100008","דגלי יהודה")</f>
        <v>דגלי יהודה</v>
      </c>
    </row>
    <row r="8774" spans="1:6" x14ac:dyDescent="0.2">
      <c r="A8774" t="s">
        <v>15320</v>
      </c>
      <c r="B8774" t="s">
        <v>15321</v>
      </c>
      <c r="C8774" t="s">
        <v>124</v>
      </c>
      <c r="D8774" t="s">
        <v>216</v>
      </c>
      <c r="F8774" s="2" t="str">
        <f>HYPERLINK("http://www.otzar.org/book.asp?198823","דגלנו - 124 כר'")</f>
        <v>דגלנו - 124 כר'</v>
      </c>
    </row>
    <row r="8775" spans="1:6" x14ac:dyDescent="0.2">
      <c r="A8775" t="s">
        <v>15322</v>
      </c>
      <c r="B8775" t="s">
        <v>15323</v>
      </c>
      <c r="C8775" t="s">
        <v>1650</v>
      </c>
      <c r="D8775" t="s">
        <v>15324</v>
      </c>
      <c r="E8775" t="s">
        <v>202</v>
      </c>
      <c r="F8775" s="2" t="str">
        <f>HYPERLINK("http://www.otzar.org/book.asp?174215","דגלנו - 9 כר'")</f>
        <v>דגלנו - 9 כר'</v>
      </c>
    </row>
    <row r="8776" spans="1:6" x14ac:dyDescent="0.2">
      <c r="A8776" t="s">
        <v>15325</v>
      </c>
      <c r="B8776" t="s">
        <v>15326</v>
      </c>
      <c r="C8776" t="s">
        <v>15327</v>
      </c>
      <c r="D8776" t="s">
        <v>225</v>
      </c>
      <c r="E8776" t="s">
        <v>144</v>
      </c>
      <c r="F8776" s="2" t="str">
        <f>HYPERLINK("http://www.otzar.org/book.asp?9278","דגן בחורים")</f>
        <v>דגן בחורים</v>
      </c>
    </row>
    <row r="8777" spans="1:6" x14ac:dyDescent="0.2">
      <c r="A8777" t="s">
        <v>15328</v>
      </c>
      <c r="B8777" t="s">
        <v>10177</v>
      </c>
      <c r="C8777" t="s">
        <v>362</v>
      </c>
      <c r="D8777" t="s">
        <v>225</v>
      </c>
      <c r="E8777" t="s">
        <v>144</v>
      </c>
      <c r="F8777" s="2" t="str">
        <f>HYPERLINK("http://www.otzar.org/book.asp?16319","דגן שמים")</f>
        <v>דגן שמים</v>
      </c>
    </row>
    <row r="8778" spans="1:6" x14ac:dyDescent="0.2">
      <c r="A8778" t="s">
        <v>15328</v>
      </c>
      <c r="B8778" t="s">
        <v>15329</v>
      </c>
      <c r="C8778" t="s">
        <v>23</v>
      </c>
      <c r="D8778" t="s">
        <v>52</v>
      </c>
      <c r="E8778" t="s">
        <v>104</v>
      </c>
      <c r="F8778" s="2" t="str">
        <f>HYPERLINK("http://www.otzar.org/book.asp?602762","דגן שמים")</f>
        <v>דגן שמים</v>
      </c>
    </row>
    <row r="8779" spans="1:6" x14ac:dyDescent="0.2">
      <c r="A8779" t="s">
        <v>15330</v>
      </c>
      <c r="B8779" t="s">
        <v>107</v>
      </c>
      <c r="C8779" t="s">
        <v>523</v>
      </c>
      <c r="D8779" t="s">
        <v>14</v>
      </c>
      <c r="E8779" t="s">
        <v>104</v>
      </c>
      <c r="F8779" s="2" t="str">
        <f>HYPERLINK("http://www.otzar.org/book.asp?84036","דגת הים")</f>
        <v>דגת הים</v>
      </c>
    </row>
    <row r="8780" spans="1:6" x14ac:dyDescent="0.2">
      <c r="A8780" t="s">
        <v>15331</v>
      </c>
      <c r="B8780" t="s">
        <v>15332</v>
      </c>
      <c r="C8780" t="s">
        <v>1208</v>
      </c>
      <c r="D8780" t="s">
        <v>412</v>
      </c>
      <c r="E8780" t="s">
        <v>3567</v>
      </c>
      <c r="F8780" s="2" t="str">
        <f>HYPERLINK("http://www.otzar.org/book.asp?171550","דו יובלין, שבת שבתון, פרח שושנה אדומה")</f>
        <v>דו יובלין, שבת שבתון, פרח שושנה אדומה</v>
      </c>
    </row>
    <row r="8781" spans="1:6" x14ac:dyDescent="0.2">
      <c r="A8781" t="s">
        <v>15333</v>
      </c>
      <c r="B8781" t="s">
        <v>4445</v>
      </c>
      <c r="C8781" t="s">
        <v>20</v>
      </c>
      <c r="D8781" t="s">
        <v>90</v>
      </c>
      <c r="E8781" t="s">
        <v>213</v>
      </c>
      <c r="F8781" s="2" t="str">
        <f>HYPERLINK("http://www.otzar.org/book.asp?60392","דו שיח")</f>
        <v>דו שיח</v>
      </c>
    </row>
    <row r="8782" spans="1:6" x14ac:dyDescent="0.2">
      <c r="A8782" t="s">
        <v>15334</v>
      </c>
      <c r="B8782" t="s">
        <v>15335</v>
      </c>
      <c r="C8782" t="s">
        <v>767</v>
      </c>
      <c r="D8782" t="s">
        <v>14</v>
      </c>
      <c r="E8782" t="s">
        <v>467</v>
      </c>
      <c r="F8782" s="2" t="str">
        <f>HYPERLINK("http://www.otzar.org/book.asp?62762","דובב מישרים")</f>
        <v>דובב מישרים</v>
      </c>
    </row>
    <row r="8783" spans="1:6" x14ac:dyDescent="0.2">
      <c r="A8783" t="s">
        <v>15336</v>
      </c>
      <c r="B8783" t="s">
        <v>15337</v>
      </c>
      <c r="C8783" t="s">
        <v>114</v>
      </c>
      <c r="D8783" t="s">
        <v>27</v>
      </c>
      <c r="F8783" s="2" t="str">
        <f>HYPERLINK("http://www.otzar.org/book.asp?163798","דובב מישרים - 5 כר'")</f>
        <v>דובב מישרים - 5 כר'</v>
      </c>
    </row>
    <row r="8784" spans="1:6" x14ac:dyDescent="0.2">
      <c r="A8784" t="s">
        <v>15338</v>
      </c>
      <c r="B8784" t="s">
        <v>552</v>
      </c>
      <c r="C8784" t="s">
        <v>20</v>
      </c>
      <c r="D8784" t="s">
        <v>14</v>
      </c>
      <c r="E8784" t="s">
        <v>202</v>
      </c>
      <c r="F8784" s="2" t="str">
        <f>HYPERLINK("http://www.otzar.org/book.asp?15027","דובב שפתי ישנים [אטינגר]")</f>
        <v>דובב שפתי ישנים [אטינגר]</v>
      </c>
    </row>
    <row r="8785" spans="1:6" x14ac:dyDescent="0.2">
      <c r="A8785" t="s">
        <v>15339</v>
      </c>
      <c r="B8785" t="s">
        <v>15340</v>
      </c>
      <c r="C8785" t="s">
        <v>8</v>
      </c>
      <c r="D8785" t="s">
        <v>27</v>
      </c>
      <c r="E8785" t="s">
        <v>234</v>
      </c>
      <c r="F8785" s="2" t="str">
        <f>HYPERLINK("http://www.otzar.org/book.asp?167566","דובב שפתי ישנים")</f>
        <v>דובב שפתי ישנים</v>
      </c>
    </row>
    <row r="8786" spans="1:6" x14ac:dyDescent="0.2">
      <c r="A8786" t="s">
        <v>15341</v>
      </c>
      <c r="B8786" t="s">
        <v>15342</v>
      </c>
      <c r="C8786" t="s">
        <v>15343</v>
      </c>
      <c r="D8786" t="s">
        <v>9</v>
      </c>
      <c r="E8786" t="s">
        <v>104</v>
      </c>
      <c r="F8786" s="2" t="str">
        <f>HYPERLINK("http://www.otzar.org/book.asp?178997","דובב שפתי ישנים - ג")</f>
        <v>דובב שפתי ישנים - ג</v>
      </c>
    </row>
    <row r="8787" spans="1:6" x14ac:dyDescent="0.2">
      <c r="A8787" t="s">
        <v>15339</v>
      </c>
      <c r="B8787" t="s">
        <v>15344</v>
      </c>
      <c r="C8787" t="s">
        <v>15345</v>
      </c>
      <c r="D8787" t="s">
        <v>157</v>
      </c>
      <c r="E8787" t="s">
        <v>15346</v>
      </c>
      <c r="F8787" s="2" t="str">
        <f>HYPERLINK("http://www.otzar.org/book.asp?102951","דובב שפתי ישנים")</f>
        <v>דובב שפתי ישנים</v>
      </c>
    </row>
    <row r="8788" spans="1:6" x14ac:dyDescent="0.2">
      <c r="A8788" t="s">
        <v>15339</v>
      </c>
      <c r="B8788" t="s">
        <v>15347</v>
      </c>
      <c r="C8788" t="s">
        <v>609</v>
      </c>
      <c r="D8788" t="s">
        <v>15348</v>
      </c>
      <c r="E8788" t="s">
        <v>11780</v>
      </c>
      <c r="F8788" s="2" t="str">
        <f>HYPERLINK("http://www.otzar.org/book.asp?189381","דובב שפתי ישנים")</f>
        <v>דובב שפתי ישנים</v>
      </c>
    </row>
    <row r="8789" spans="1:6" x14ac:dyDescent="0.2">
      <c r="A8789" t="s">
        <v>15349</v>
      </c>
      <c r="B8789" t="s">
        <v>15350</v>
      </c>
      <c r="C8789" t="s">
        <v>492</v>
      </c>
      <c r="D8789" t="s">
        <v>27</v>
      </c>
      <c r="E8789" t="s">
        <v>234</v>
      </c>
      <c r="F8789" s="2" t="str">
        <f>HYPERLINK("http://www.otzar.org/book.asp?166884","דובב שפתי ישנים - חלק ג")</f>
        <v>דובב שפתי ישנים - חלק ג</v>
      </c>
    </row>
    <row r="8790" spans="1:6" x14ac:dyDescent="0.2">
      <c r="A8790" t="s">
        <v>15351</v>
      </c>
      <c r="B8790" t="s">
        <v>15352</v>
      </c>
      <c r="C8790" t="s">
        <v>20</v>
      </c>
      <c r="D8790" t="s">
        <v>90</v>
      </c>
      <c r="E8790" t="s">
        <v>1211</v>
      </c>
      <c r="F8790" s="2" t="str">
        <f>HYPERLINK("http://www.otzar.org/book.asp?603154","דובב שפתי ישנים - 2 כר'")</f>
        <v>דובב שפתי ישנים - 2 כר'</v>
      </c>
    </row>
    <row r="8791" spans="1:6" x14ac:dyDescent="0.2">
      <c r="A8791" t="s">
        <v>15339</v>
      </c>
      <c r="B8791" t="s">
        <v>15353</v>
      </c>
      <c r="C8791" t="s">
        <v>496</v>
      </c>
      <c r="D8791" t="s">
        <v>15354</v>
      </c>
      <c r="E8791" t="s">
        <v>144</v>
      </c>
      <c r="F8791" s="2" t="str">
        <f>HYPERLINK("http://www.otzar.org/book.asp?9409","דובב שפתי ישנים")</f>
        <v>דובב שפתי ישנים</v>
      </c>
    </row>
    <row r="8792" spans="1:6" x14ac:dyDescent="0.2">
      <c r="A8792" t="s">
        <v>15355</v>
      </c>
      <c r="B8792" t="s">
        <v>15356</v>
      </c>
      <c r="C8792" t="s">
        <v>466</v>
      </c>
      <c r="D8792" t="s">
        <v>14</v>
      </c>
      <c r="E8792" t="s">
        <v>219</v>
      </c>
      <c r="F8792" s="2" t="str">
        <f>HYPERLINK("http://www.otzar.org/book.asp?163067","דובב שפתי ישנים - רבן גמליאל דיבנה")</f>
        <v>דובב שפתי ישנים - רבן גמליאל דיבנה</v>
      </c>
    </row>
    <row r="8793" spans="1:6" x14ac:dyDescent="0.2">
      <c r="A8793" t="s">
        <v>15339</v>
      </c>
      <c r="B8793" t="s">
        <v>5272</v>
      </c>
      <c r="C8793" t="s">
        <v>600</v>
      </c>
      <c r="D8793" t="s">
        <v>283</v>
      </c>
      <c r="E8793" t="s">
        <v>119</v>
      </c>
      <c r="F8793" s="2" t="str">
        <f>HYPERLINK("http://www.otzar.org/book.asp?17501","דובב שפתי ישנים")</f>
        <v>דובב שפתי ישנים</v>
      </c>
    </row>
    <row r="8794" spans="1:6" x14ac:dyDescent="0.2">
      <c r="A8794" t="s">
        <v>15339</v>
      </c>
      <c r="B8794" t="s">
        <v>15357</v>
      </c>
      <c r="C8794" t="s">
        <v>843</v>
      </c>
      <c r="D8794" t="s">
        <v>27</v>
      </c>
      <c r="E8794" t="s">
        <v>104</v>
      </c>
      <c r="F8794" s="2" t="str">
        <f>HYPERLINK("http://www.otzar.org/book.asp?172959","דובב שפתי ישנים")</f>
        <v>דובב שפתי ישנים</v>
      </c>
    </row>
    <row r="8795" spans="1:6" x14ac:dyDescent="0.2">
      <c r="A8795" t="s">
        <v>15358</v>
      </c>
      <c r="B8795" t="s">
        <v>15359</v>
      </c>
      <c r="C8795" t="s">
        <v>1448</v>
      </c>
      <c r="D8795" t="s">
        <v>412</v>
      </c>
      <c r="E8795" t="s">
        <v>144</v>
      </c>
      <c r="F8795" s="2" t="str">
        <f>HYPERLINK("http://www.otzar.org/book.asp?62640","דובבות יעקב - סנהדרין")</f>
        <v>דובבות יעקב - סנהדרין</v>
      </c>
    </row>
    <row r="8796" spans="1:6" x14ac:dyDescent="0.2">
      <c r="A8796" t="s">
        <v>15360</v>
      </c>
      <c r="B8796" t="s">
        <v>15361</v>
      </c>
      <c r="C8796" t="s">
        <v>553</v>
      </c>
      <c r="D8796" t="s">
        <v>14</v>
      </c>
      <c r="E8796" t="s">
        <v>144</v>
      </c>
      <c r="F8796" s="2" t="str">
        <f>HYPERLINK("http://www.otzar.org/book.asp?63609","דובבות יעקב - 2 כר'")</f>
        <v>דובבות יעקב - 2 כר'</v>
      </c>
    </row>
    <row r="8797" spans="1:6" x14ac:dyDescent="0.2">
      <c r="A8797" t="s">
        <v>15362</v>
      </c>
      <c r="B8797" t="s">
        <v>15363</v>
      </c>
      <c r="C8797" t="s">
        <v>2132</v>
      </c>
      <c r="D8797" t="s">
        <v>412</v>
      </c>
      <c r="E8797" t="s">
        <v>144</v>
      </c>
      <c r="F8797" s="2" t="str">
        <f>HYPERLINK("http://www.otzar.org/book.asp?150514","דובבות יעקב - קדושין")</f>
        <v>דובבות יעקב - קדושין</v>
      </c>
    </row>
    <row r="8798" spans="1:6" x14ac:dyDescent="0.2">
      <c r="A8798" t="s">
        <v>15364</v>
      </c>
      <c r="B8798" t="s">
        <v>15365</v>
      </c>
      <c r="C8798" t="s">
        <v>445</v>
      </c>
      <c r="D8798" t="s">
        <v>283</v>
      </c>
      <c r="E8798" t="s">
        <v>119</v>
      </c>
      <c r="F8798" s="2" t="str">
        <f>HYPERLINK("http://www.otzar.org/book.asp?571","דובנא רבתי")</f>
        <v>דובנא רבתי</v>
      </c>
    </row>
    <row r="8799" spans="1:6" x14ac:dyDescent="0.2">
      <c r="A8799" t="s">
        <v>15366</v>
      </c>
      <c r="B8799" t="s">
        <v>15367</v>
      </c>
      <c r="C8799" t="s">
        <v>466</v>
      </c>
      <c r="D8799" t="s">
        <v>14</v>
      </c>
      <c r="E8799" t="s">
        <v>463</v>
      </c>
      <c r="F8799" s="2" t="str">
        <f>HYPERLINK("http://www.otzar.org/book.asp?23898","דובר ישרים - 5 כר'")</f>
        <v>דובר ישרים - 5 כר'</v>
      </c>
    </row>
    <row r="8800" spans="1:6" x14ac:dyDescent="0.2">
      <c r="A8800" t="s">
        <v>15368</v>
      </c>
      <c r="B8800" t="s">
        <v>4554</v>
      </c>
      <c r="C8800" t="s">
        <v>133</v>
      </c>
      <c r="D8800" t="s">
        <v>27</v>
      </c>
      <c r="E8800" t="s">
        <v>158</v>
      </c>
      <c r="F8800" s="2" t="str">
        <f>HYPERLINK("http://www.otzar.org/book.asp?188910","דובר ישרים - 3 כר'")</f>
        <v>דובר ישרים - 3 כר'</v>
      </c>
    </row>
    <row r="8801" spans="1:6" x14ac:dyDescent="0.2">
      <c r="A8801" t="s">
        <v>15369</v>
      </c>
      <c r="B8801" t="s">
        <v>206</v>
      </c>
      <c r="C8801" t="s">
        <v>146</v>
      </c>
      <c r="D8801" t="s">
        <v>52</v>
      </c>
      <c r="E8801" t="s">
        <v>345</v>
      </c>
      <c r="F8801" s="2" t="str">
        <f>HYPERLINK("http://www.otzar.org/book.asp?154812","דובר מישרים")</f>
        <v>דובר מישרים</v>
      </c>
    </row>
    <row r="8802" spans="1:6" x14ac:dyDescent="0.2">
      <c r="A8802" t="s">
        <v>15369</v>
      </c>
      <c r="B8802" t="s">
        <v>15370</v>
      </c>
      <c r="C8802" t="s">
        <v>908</v>
      </c>
      <c r="D8802" t="s">
        <v>10393</v>
      </c>
      <c r="E8802" t="s">
        <v>564</v>
      </c>
      <c r="F8802" s="2" t="str">
        <f>HYPERLINK("http://www.otzar.org/book.asp?300493","דובר מישרים")</f>
        <v>דובר מישרים</v>
      </c>
    </row>
    <row r="8803" spans="1:6" x14ac:dyDescent="0.2">
      <c r="A8803" t="s">
        <v>15369</v>
      </c>
      <c r="B8803" t="s">
        <v>1504</v>
      </c>
      <c r="C8803" t="s">
        <v>1954</v>
      </c>
      <c r="D8803" t="s">
        <v>27</v>
      </c>
      <c r="E8803" t="s">
        <v>104</v>
      </c>
      <c r="F8803" s="2" t="str">
        <f>HYPERLINK("http://www.otzar.org/book.asp?12813","דובר מישרים")</f>
        <v>דובר מישרים</v>
      </c>
    </row>
    <row r="8804" spans="1:6" x14ac:dyDescent="0.2">
      <c r="A8804" t="s">
        <v>15369</v>
      </c>
      <c r="B8804" t="s">
        <v>15371</v>
      </c>
      <c r="C8804" t="s">
        <v>1737</v>
      </c>
      <c r="D8804" t="s">
        <v>76</v>
      </c>
      <c r="E8804" t="s">
        <v>2840</v>
      </c>
      <c r="F8804" s="2" t="str">
        <f>HYPERLINK("http://www.otzar.org/book.asp?108303","דובר מישרים")</f>
        <v>דובר מישרים</v>
      </c>
    </row>
    <row r="8805" spans="1:6" x14ac:dyDescent="0.2">
      <c r="A8805" t="s">
        <v>15372</v>
      </c>
      <c r="B8805" t="s">
        <v>14188</v>
      </c>
      <c r="C8805" t="s">
        <v>422</v>
      </c>
      <c r="D8805" t="s">
        <v>14</v>
      </c>
      <c r="E8805" t="s">
        <v>172</v>
      </c>
      <c r="F8805" s="2" t="str">
        <f>HYPERLINK("http://www.otzar.org/book.asp?153120","דובר מציון - 2 כר'")</f>
        <v>דובר מציון - 2 כר'</v>
      </c>
    </row>
    <row r="8806" spans="1:6" x14ac:dyDescent="0.2">
      <c r="A8806" t="s">
        <v>15373</v>
      </c>
      <c r="B8806" t="s">
        <v>15374</v>
      </c>
      <c r="C8806" t="s">
        <v>5991</v>
      </c>
      <c r="D8806" t="s">
        <v>1279</v>
      </c>
      <c r="E8806" t="s">
        <v>1211</v>
      </c>
      <c r="F8806" s="2" t="str">
        <f>HYPERLINK("http://www.otzar.org/book.asp?189344","דובר משרים")</f>
        <v>דובר משרים</v>
      </c>
    </row>
    <row r="8807" spans="1:6" x14ac:dyDescent="0.2">
      <c r="A8807" t="s">
        <v>15375</v>
      </c>
      <c r="B8807" t="s">
        <v>2993</v>
      </c>
      <c r="C8807" t="s">
        <v>13</v>
      </c>
      <c r="D8807" t="s">
        <v>14919</v>
      </c>
      <c r="E8807" t="s">
        <v>993</v>
      </c>
      <c r="F8807" s="2" t="str">
        <f>HYPERLINK("http://www.otzar.org/book.asp?84178","דובר צדק  &lt;מהדורת הר ברכה&gt;")</f>
        <v>דובר צדק  &lt;מהדורת הר ברכה&gt;</v>
      </c>
    </row>
    <row r="8808" spans="1:6" x14ac:dyDescent="0.2">
      <c r="A8808" t="s">
        <v>15376</v>
      </c>
      <c r="B8808" t="s">
        <v>2993</v>
      </c>
      <c r="C8808" t="s">
        <v>360</v>
      </c>
      <c r="D8808" t="s">
        <v>225</v>
      </c>
      <c r="E8808" t="s">
        <v>140</v>
      </c>
      <c r="F8808" s="2" t="str">
        <f>HYPERLINK("http://www.otzar.org/book.asp?100009","דובר צדק")</f>
        <v>דובר צדק</v>
      </c>
    </row>
    <row r="8809" spans="1:6" x14ac:dyDescent="0.2">
      <c r="A8809" t="s">
        <v>15377</v>
      </c>
      <c r="B8809" t="s">
        <v>15378</v>
      </c>
      <c r="C8809" t="s">
        <v>1811</v>
      </c>
      <c r="D8809" t="s">
        <v>52</v>
      </c>
      <c r="E8809" t="s">
        <v>154</v>
      </c>
      <c r="F8809" s="2" t="str">
        <f>HYPERLINK("http://www.otzar.org/book.asp?10757","דובר שלום - 3 כר'")</f>
        <v>דובר שלום - 3 כר'</v>
      </c>
    </row>
    <row r="8810" spans="1:6" x14ac:dyDescent="0.2">
      <c r="A8810" t="s">
        <v>15379</v>
      </c>
      <c r="B8810" t="s">
        <v>15380</v>
      </c>
      <c r="C8810" t="s">
        <v>2617</v>
      </c>
      <c r="D8810" t="s">
        <v>283</v>
      </c>
      <c r="E8810" t="s">
        <v>219</v>
      </c>
      <c r="F8810" s="2" t="str">
        <f>HYPERLINK("http://www.otzar.org/book.asp?53321","דובר שלום")</f>
        <v>דובר שלום</v>
      </c>
    </row>
    <row r="8811" spans="1:6" x14ac:dyDescent="0.2">
      <c r="A8811" t="s">
        <v>15381</v>
      </c>
      <c r="B8811" t="s">
        <v>2108</v>
      </c>
      <c r="C8811" t="s">
        <v>445</v>
      </c>
      <c r="D8811" t="s">
        <v>855</v>
      </c>
      <c r="E8811" t="s">
        <v>104</v>
      </c>
      <c r="F8811" s="2" t="str">
        <f>HYPERLINK("http://www.otzar.org/book.asp?23687","דובר שלום - 2 כר'")</f>
        <v>דובר שלום - 2 כר'</v>
      </c>
    </row>
    <row r="8812" spans="1:6" x14ac:dyDescent="0.2">
      <c r="A8812" t="s">
        <v>15379</v>
      </c>
      <c r="B8812" t="s">
        <v>11831</v>
      </c>
      <c r="C8812" t="s">
        <v>106</v>
      </c>
      <c r="D8812" t="s">
        <v>52</v>
      </c>
      <c r="E8812" t="s">
        <v>15</v>
      </c>
      <c r="F8812" s="2" t="str">
        <f>HYPERLINK("http://www.otzar.org/book.asp?142487","דובר שלום")</f>
        <v>דובר שלום</v>
      </c>
    </row>
    <row r="8813" spans="1:6" x14ac:dyDescent="0.2">
      <c r="A8813" t="s">
        <v>15379</v>
      </c>
      <c r="B8813" t="s">
        <v>15382</v>
      </c>
      <c r="C8813" t="s">
        <v>445</v>
      </c>
      <c r="D8813" t="s">
        <v>225</v>
      </c>
      <c r="E8813" t="s">
        <v>213</v>
      </c>
      <c r="F8813" s="2" t="str">
        <f>HYPERLINK("http://www.otzar.org/book.asp?174249","דובר שלום")</f>
        <v>דובר שלום</v>
      </c>
    </row>
    <row r="8814" spans="1:6" x14ac:dyDescent="0.2">
      <c r="A8814" t="s">
        <v>15383</v>
      </c>
      <c r="B8814" t="s">
        <v>15384</v>
      </c>
      <c r="C8814" t="s">
        <v>13</v>
      </c>
      <c r="D8814" t="s">
        <v>412</v>
      </c>
      <c r="E8814" t="s">
        <v>15</v>
      </c>
      <c r="F8814" s="2" t="str">
        <f>HYPERLINK("http://www.otzar.org/book.asp?186849","דובר שלום - תלמוד תורה")</f>
        <v>דובר שלום - תלמוד תורה</v>
      </c>
    </row>
    <row r="8815" spans="1:6" x14ac:dyDescent="0.2">
      <c r="A8815" t="s">
        <v>15385</v>
      </c>
      <c r="B8815" t="s">
        <v>15386</v>
      </c>
      <c r="C8815" t="s">
        <v>1619</v>
      </c>
      <c r="D8815" t="s">
        <v>118</v>
      </c>
      <c r="E8815" t="s">
        <v>119</v>
      </c>
      <c r="F8815" s="2" t="str">
        <f>HYPERLINK("http://www.otzar.org/book.asp?600027","דוברזין - יזכור בלעלטלעך")</f>
        <v>דוברזין - יזכור בלעלטלעך</v>
      </c>
    </row>
    <row r="8816" spans="1:6" x14ac:dyDescent="0.2">
      <c r="A8816" t="s">
        <v>15387</v>
      </c>
      <c r="B8816" t="s">
        <v>1750</v>
      </c>
      <c r="C8816" t="s">
        <v>189</v>
      </c>
      <c r="D8816" t="s">
        <v>52</v>
      </c>
      <c r="E8816" t="s">
        <v>2248</v>
      </c>
      <c r="F8816" s="2" t="str">
        <f>HYPERLINK("http://www.otzar.org/book.asp?61406","דובשנה של תורה")</f>
        <v>דובשנה של תורה</v>
      </c>
    </row>
    <row r="8817" spans="1:6" x14ac:dyDescent="0.2">
      <c r="A8817" t="s">
        <v>15388</v>
      </c>
      <c r="B8817" t="s">
        <v>15389</v>
      </c>
      <c r="C8817" t="s">
        <v>8799</v>
      </c>
      <c r="D8817" t="s">
        <v>76</v>
      </c>
      <c r="E8817" t="s">
        <v>84</v>
      </c>
      <c r="F8817" s="2" t="str">
        <f>HYPERLINK("http://www.otzar.org/book.asp?16621","דוד במצודה")</f>
        <v>דוד במצודה</v>
      </c>
    </row>
    <row r="8818" spans="1:6" x14ac:dyDescent="0.2">
      <c r="A8818" t="s">
        <v>15390</v>
      </c>
      <c r="B8818" t="s">
        <v>15391</v>
      </c>
      <c r="C8818" t="s">
        <v>71</v>
      </c>
      <c r="D8818" t="s">
        <v>21</v>
      </c>
      <c r="E8818" t="s">
        <v>104</v>
      </c>
      <c r="F8818" s="2" t="str">
        <f>HYPERLINK("http://www.otzar.org/book.asp?191324","דוד המלך")</f>
        <v>דוד המלך</v>
      </c>
    </row>
    <row r="8819" spans="1:6" x14ac:dyDescent="0.2">
      <c r="A8819" t="s">
        <v>15392</v>
      </c>
      <c r="B8819" t="s">
        <v>107</v>
      </c>
      <c r="C8819" t="s">
        <v>366</v>
      </c>
      <c r="D8819" t="s">
        <v>14</v>
      </c>
      <c r="E8819" t="s">
        <v>104</v>
      </c>
      <c r="F8819" s="2" t="str">
        <f>HYPERLINK("http://www.otzar.org/book.asp?625793","דוד מלך ישראל חי וקיים")</f>
        <v>דוד מלך ישראל חי וקיים</v>
      </c>
    </row>
    <row r="8820" spans="1:6" x14ac:dyDescent="0.2">
      <c r="A8820" t="s">
        <v>15393</v>
      </c>
      <c r="B8820" t="s">
        <v>15394</v>
      </c>
      <c r="C8820" t="s">
        <v>51</v>
      </c>
      <c r="D8820" t="s">
        <v>657</v>
      </c>
      <c r="E8820" t="s">
        <v>144</v>
      </c>
      <c r="F8820" s="2" t="str">
        <f>HYPERLINK("http://www.otzar.org/book.asp?61948","דודאי אליהו - 2 כר'")</f>
        <v>דודאי אליהו - 2 כר'</v>
      </c>
    </row>
    <row r="8821" spans="1:6" x14ac:dyDescent="0.2">
      <c r="A8821" t="s">
        <v>15395</v>
      </c>
      <c r="B8821" t="s">
        <v>15396</v>
      </c>
      <c r="C8821" t="s">
        <v>609</v>
      </c>
      <c r="D8821" t="s">
        <v>100</v>
      </c>
      <c r="E8821" t="s">
        <v>8786</v>
      </c>
      <c r="F8821" s="2" t="str">
        <f>HYPERLINK("http://www.otzar.org/book.asp?100802","דודאי השדה")</f>
        <v>דודאי השדה</v>
      </c>
    </row>
    <row r="8822" spans="1:6" x14ac:dyDescent="0.2">
      <c r="A8822" t="s">
        <v>15395</v>
      </c>
      <c r="B8822" t="s">
        <v>15397</v>
      </c>
      <c r="C8822" t="s">
        <v>71</v>
      </c>
      <c r="D8822" t="s">
        <v>412</v>
      </c>
      <c r="E8822" t="s">
        <v>1211</v>
      </c>
      <c r="F8822" s="2" t="str">
        <f>HYPERLINK("http://www.otzar.org/book.asp?85166","דודאי השדה")</f>
        <v>דודאי השדה</v>
      </c>
    </row>
    <row r="8823" spans="1:6" x14ac:dyDescent="0.2">
      <c r="A8823" t="s">
        <v>15398</v>
      </c>
      <c r="B8823" t="s">
        <v>15399</v>
      </c>
      <c r="C8823" t="s">
        <v>68</v>
      </c>
      <c r="D8823" t="s">
        <v>15400</v>
      </c>
      <c r="E8823" t="s">
        <v>158</v>
      </c>
      <c r="F8823" s="2" t="str">
        <f>HYPERLINK("http://www.otzar.org/book.asp?603838","דודאי יעקב")</f>
        <v>דודאי יעקב</v>
      </c>
    </row>
    <row r="8824" spans="1:6" x14ac:dyDescent="0.2">
      <c r="A8824" t="s">
        <v>15401</v>
      </c>
      <c r="B8824" t="s">
        <v>15402</v>
      </c>
      <c r="C8824" t="s">
        <v>454</v>
      </c>
      <c r="D8824" t="s">
        <v>412</v>
      </c>
      <c r="E8824" t="s">
        <v>158</v>
      </c>
      <c r="F8824" s="2" t="str">
        <f>HYPERLINK("http://www.otzar.org/book.asp?52701","דודאי ישראל")</f>
        <v>דודאי ישראל</v>
      </c>
    </row>
    <row r="8825" spans="1:6" x14ac:dyDescent="0.2">
      <c r="A8825" t="s">
        <v>15403</v>
      </c>
      <c r="B8825" t="s">
        <v>15404</v>
      </c>
      <c r="C8825" t="s">
        <v>15405</v>
      </c>
      <c r="D8825" t="s">
        <v>327</v>
      </c>
      <c r="E8825" t="s">
        <v>158</v>
      </c>
      <c r="F8825" s="2" t="str">
        <f>HYPERLINK("http://www.otzar.org/book.asp?165174","דודאי מהרא""י")</f>
        <v>דודאי מהרא"י</v>
      </c>
    </row>
    <row r="8826" spans="1:6" x14ac:dyDescent="0.2">
      <c r="A8826" t="s">
        <v>15406</v>
      </c>
      <c r="B8826" t="s">
        <v>15407</v>
      </c>
      <c r="C8826" t="s">
        <v>168</v>
      </c>
      <c r="D8826" t="s">
        <v>52</v>
      </c>
      <c r="E8826" t="s">
        <v>144</v>
      </c>
      <c r="F8826" s="2" t="str">
        <f>HYPERLINK("http://www.otzar.org/book.asp?177025","דודאי משה - שעורי הגרנ""ט החדשים")</f>
        <v>דודאי משה - שעורי הגרנ"ט החדשים</v>
      </c>
    </row>
    <row r="8827" spans="1:6" x14ac:dyDescent="0.2">
      <c r="A8827" t="s">
        <v>15408</v>
      </c>
      <c r="B8827" t="s">
        <v>15313</v>
      </c>
      <c r="C8827" t="s">
        <v>506</v>
      </c>
      <c r="D8827" t="s">
        <v>225</v>
      </c>
      <c r="E8827" t="s">
        <v>158</v>
      </c>
      <c r="F8827" s="2" t="str">
        <f>HYPERLINK("http://www.otzar.org/book.asp?102953","דודאי ראובן - 2 כר'")</f>
        <v>דודאי ראובן - 2 כר'</v>
      </c>
    </row>
    <row r="8828" spans="1:6" x14ac:dyDescent="0.2">
      <c r="A8828" t="s">
        <v>15408</v>
      </c>
      <c r="B8828" t="s">
        <v>15409</v>
      </c>
      <c r="C8828" t="s">
        <v>956</v>
      </c>
      <c r="D8828" t="s">
        <v>1974</v>
      </c>
      <c r="E8828" t="s">
        <v>158</v>
      </c>
      <c r="F8828" s="2" t="str">
        <f>HYPERLINK("http://www.otzar.org/book.asp?154093","דודאי ראובן - 2 כר'")</f>
        <v>דודאי ראובן - 2 כר'</v>
      </c>
    </row>
    <row r="8829" spans="1:6" x14ac:dyDescent="0.2">
      <c r="A8829" t="s">
        <v>15410</v>
      </c>
      <c r="B8829" t="s">
        <v>15411</v>
      </c>
      <c r="C8829" t="s">
        <v>1047</v>
      </c>
      <c r="D8829" t="s">
        <v>283</v>
      </c>
      <c r="E8829" t="s">
        <v>158</v>
      </c>
      <c r="F8829" s="2" t="str">
        <f>HYPERLINK("http://www.otzar.org/book.asp?102952","דודאי ראובן")</f>
        <v>דודאי ראובן</v>
      </c>
    </row>
    <row r="8830" spans="1:6" x14ac:dyDescent="0.2">
      <c r="A8830" t="s">
        <v>15410</v>
      </c>
      <c r="B8830" t="s">
        <v>15412</v>
      </c>
      <c r="C8830" t="s">
        <v>422</v>
      </c>
      <c r="D8830" t="s">
        <v>52</v>
      </c>
      <c r="E8830" t="s">
        <v>144</v>
      </c>
      <c r="F8830" s="2" t="str">
        <f>HYPERLINK("http://www.otzar.org/book.asp?163977","דודאי ראובן")</f>
        <v>דודאי ראובן</v>
      </c>
    </row>
    <row r="8831" spans="1:6" x14ac:dyDescent="0.2">
      <c r="A8831" t="s">
        <v>15413</v>
      </c>
      <c r="B8831" t="s">
        <v>15414</v>
      </c>
      <c r="C8831" t="s">
        <v>111</v>
      </c>
      <c r="D8831" t="s">
        <v>52</v>
      </c>
      <c r="E8831" t="s">
        <v>172</v>
      </c>
      <c r="F8831" s="2" t="str">
        <f>HYPERLINK("http://www.otzar.org/book.asp?629792","דודאי שמואל - 2 כר'")</f>
        <v>דודאי שמואל - 2 כר'</v>
      </c>
    </row>
    <row r="8832" spans="1:6" x14ac:dyDescent="0.2">
      <c r="A8832" t="s">
        <v>15415</v>
      </c>
      <c r="B8832" t="s">
        <v>15416</v>
      </c>
      <c r="C8832" t="s">
        <v>146</v>
      </c>
      <c r="D8832" t="s">
        <v>14</v>
      </c>
      <c r="F8832" s="2" t="str">
        <f>HYPERLINK("http://www.otzar.org/book.asp?603516","דודאים בשדה")</f>
        <v>דודאים בשדה</v>
      </c>
    </row>
    <row r="8833" spans="1:6" x14ac:dyDescent="0.2">
      <c r="A8833" t="s">
        <v>15415</v>
      </c>
      <c r="B8833" t="s">
        <v>15417</v>
      </c>
      <c r="C8833" t="s">
        <v>748</v>
      </c>
      <c r="D8833" t="s">
        <v>1117</v>
      </c>
      <c r="E8833" t="s">
        <v>1185</v>
      </c>
      <c r="F8833" s="2" t="str">
        <f>HYPERLINK("http://www.otzar.org/book.asp?5155","דודאים בשדה")</f>
        <v>דודאים בשדה</v>
      </c>
    </row>
    <row r="8834" spans="1:6" x14ac:dyDescent="0.2">
      <c r="A8834" t="s">
        <v>15418</v>
      </c>
      <c r="B8834" t="s">
        <v>15419</v>
      </c>
      <c r="C8834" t="s">
        <v>609</v>
      </c>
      <c r="D8834" t="s">
        <v>27</v>
      </c>
      <c r="E8834" t="s">
        <v>158</v>
      </c>
      <c r="F8834" s="2" t="str">
        <f>HYPERLINK("http://www.otzar.org/book.asp?7027","דודי לצבי")</f>
        <v>דודי לצבי</v>
      </c>
    </row>
    <row r="8835" spans="1:6" x14ac:dyDescent="0.2">
      <c r="A8835" t="s">
        <v>15420</v>
      </c>
      <c r="B8835" t="s">
        <v>686</v>
      </c>
      <c r="C8835" t="s">
        <v>17</v>
      </c>
      <c r="D8835" t="s">
        <v>52</v>
      </c>
      <c r="E8835" t="s">
        <v>104</v>
      </c>
      <c r="F8835" s="2" t="str">
        <f>HYPERLINK("http://www.otzar.org/book.asp?189254","דולה ומשקה")</f>
        <v>דולה ומשקה</v>
      </c>
    </row>
    <row r="8836" spans="1:6" x14ac:dyDescent="0.2">
      <c r="A8836" t="s">
        <v>15421</v>
      </c>
      <c r="B8836" t="s">
        <v>15422</v>
      </c>
      <c r="C8836" t="s">
        <v>20</v>
      </c>
      <c r="D8836" t="s">
        <v>1550</v>
      </c>
      <c r="E8836" t="s">
        <v>165</v>
      </c>
      <c r="F8836" s="2" t="str">
        <f>HYPERLINK("http://www.otzar.org/book.asp?159504","דולה ומשקה - 3 כר'")</f>
        <v>דולה ומשקה - 3 כר'</v>
      </c>
    </row>
    <row r="8837" spans="1:6" x14ac:dyDescent="0.2">
      <c r="A8837" t="s">
        <v>15423</v>
      </c>
      <c r="B8837" t="s">
        <v>15424</v>
      </c>
      <c r="C8837" t="s">
        <v>422</v>
      </c>
      <c r="D8837" t="s">
        <v>1550</v>
      </c>
      <c r="E8837" t="s">
        <v>15425</v>
      </c>
      <c r="F8837" s="2" t="str">
        <f>HYPERLINK("http://www.otzar.org/book.asp?151052","דולה ומשקה - אלול וראש השנה")</f>
        <v>דולה ומשקה - אלול וראש השנה</v>
      </c>
    </row>
    <row r="8838" spans="1:6" x14ac:dyDescent="0.2">
      <c r="A8838" t="s">
        <v>15426</v>
      </c>
      <c r="B8838" t="s">
        <v>15427</v>
      </c>
      <c r="C8838" t="s">
        <v>133</v>
      </c>
      <c r="D8838" t="s">
        <v>1550</v>
      </c>
      <c r="E8838" t="s">
        <v>104</v>
      </c>
      <c r="F8838" s="2" t="str">
        <f>HYPERLINK("http://www.otzar.org/book.asp?170804","דולה ומשקה - 7 כר'")</f>
        <v>דולה ומשקה - 7 כר'</v>
      </c>
    </row>
    <row r="8839" spans="1:6" x14ac:dyDescent="0.2">
      <c r="A8839" t="s">
        <v>15428</v>
      </c>
      <c r="B8839" t="s">
        <v>15429</v>
      </c>
      <c r="C8839" t="s">
        <v>20</v>
      </c>
      <c r="D8839" t="s">
        <v>147</v>
      </c>
      <c r="E8839" t="s">
        <v>246</v>
      </c>
      <c r="F8839" s="2" t="str">
        <f>HYPERLINK("http://www.otzar.org/book.asp?191015","דולה ומשקה - מאמרי חנוכה")</f>
        <v>דולה ומשקה - מאמרי חנוכה</v>
      </c>
    </row>
    <row r="8840" spans="1:6" x14ac:dyDescent="0.2">
      <c r="A8840" t="s">
        <v>15420</v>
      </c>
      <c r="B8840" t="s">
        <v>15430</v>
      </c>
      <c r="C8840" t="s">
        <v>13</v>
      </c>
      <c r="D8840" t="s">
        <v>15431</v>
      </c>
      <c r="F8840" s="2" t="str">
        <f>HYPERLINK("http://www.otzar.org/book.asp?615987","דולה ומשקה")</f>
        <v>דולה ומשקה</v>
      </c>
    </row>
    <row r="8841" spans="1:6" x14ac:dyDescent="0.2">
      <c r="A8841" t="s">
        <v>15420</v>
      </c>
      <c r="B8841" t="s">
        <v>15432</v>
      </c>
      <c r="C8841" t="s">
        <v>244</v>
      </c>
      <c r="D8841" t="s">
        <v>14</v>
      </c>
      <c r="E8841" t="s">
        <v>2098</v>
      </c>
      <c r="F8841" s="2" t="str">
        <f>HYPERLINK("http://www.otzar.org/book.asp?621158","דולה ומשקה")</f>
        <v>דולה ומשקה</v>
      </c>
    </row>
    <row r="8842" spans="1:6" x14ac:dyDescent="0.2">
      <c r="A8842" t="s">
        <v>15420</v>
      </c>
      <c r="B8842" t="s">
        <v>15433</v>
      </c>
      <c r="C8842" t="s">
        <v>20</v>
      </c>
      <c r="D8842" t="s">
        <v>14</v>
      </c>
      <c r="F8842" s="2" t="str">
        <f>HYPERLINK("http://www.otzar.org/book.asp?616286","דולה ומשקה")</f>
        <v>דולה ומשקה</v>
      </c>
    </row>
    <row r="8843" spans="1:6" x14ac:dyDescent="0.2">
      <c r="A8843" t="s">
        <v>15434</v>
      </c>
      <c r="B8843" t="s">
        <v>15435</v>
      </c>
      <c r="C8843" t="s">
        <v>37</v>
      </c>
      <c r="D8843" t="s">
        <v>52</v>
      </c>
      <c r="E8843" t="s">
        <v>230</v>
      </c>
      <c r="F8843" s="2" t="str">
        <f>HYPERLINK("http://www.otzar.org/book.asp?613418","דולה ומשקה - 5 כר'")</f>
        <v>דולה ומשקה - 5 כר'</v>
      </c>
    </row>
    <row r="8844" spans="1:6" x14ac:dyDescent="0.2">
      <c r="A8844" t="s">
        <v>15420</v>
      </c>
      <c r="B8844" t="s">
        <v>15436</v>
      </c>
      <c r="C8844" t="s">
        <v>129</v>
      </c>
      <c r="D8844" t="s">
        <v>152</v>
      </c>
      <c r="F8844" s="2" t="str">
        <f>HYPERLINK("http://www.otzar.org/book.asp?622124","דולה ומשקה")</f>
        <v>דולה ומשקה</v>
      </c>
    </row>
    <row r="8845" spans="1:6" x14ac:dyDescent="0.2">
      <c r="A8845" t="s">
        <v>15437</v>
      </c>
      <c r="B8845" t="s">
        <v>9358</v>
      </c>
      <c r="C8845" t="s">
        <v>1570</v>
      </c>
      <c r="D8845" t="s">
        <v>21</v>
      </c>
      <c r="E8845" t="s">
        <v>119</v>
      </c>
      <c r="F8845" s="2" t="str">
        <f>HYPERLINK("http://www.otzar.org/book.asp?199718","דומברובאן")</f>
        <v>דומברובאן</v>
      </c>
    </row>
    <row r="8846" spans="1:6" x14ac:dyDescent="0.2">
      <c r="A8846" t="s">
        <v>15438</v>
      </c>
      <c r="B8846" t="s">
        <v>15439</v>
      </c>
      <c r="C8846" t="s">
        <v>473</v>
      </c>
      <c r="D8846" t="s">
        <v>8113</v>
      </c>
      <c r="E8846" t="s">
        <v>104</v>
      </c>
      <c r="F8846" s="2" t="str">
        <f>HYPERLINK("http://www.otzar.org/book.asp?196021","דון יוסף הנשיא")</f>
        <v>דון יוסף הנשיא</v>
      </c>
    </row>
    <row r="8847" spans="1:6" x14ac:dyDescent="0.2">
      <c r="A8847" t="s">
        <v>15440</v>
      </c>
      <c r="B8847" t="s">
        <v>15441</v>
      </c>
      <c r="C8847" t="s">
        <v>2105</v>
      </c>
      <c r="D8847" t="s">
        <v>9</v>
      </c>
      <c r="E8847" t="s">
        <v>104</v>
      </c>
      <c r="F8847" s="2" t="str">
        <f>HYPERLINK("http://www.otzar.org/book.asp?106995","דון יצחק אברבנאל")</f>
        <v>דון יצחק אברבנאל</v>
      </c>
    </row>
    <row r="8848" spans="1:6" x14ac:dyDescent="0.2">
      <c r="A8848" t="s">
        <v>15442</v>
      </c>
      <c r="B8848" t="s">
        <v>15443</v>
      </c>
      <c r="C8848" t="s">
        <v>454</v>
      </c>
      <c r="D8848" t="s">
        <v>52</v>
      </c>
      <c r="E8848" t="s">
        <v>658</v>
      </c>
      <c r="F8848" s="2" t="str">
        <f>HYPERLINK("http://www.otzar.org/book.asp?603212","דופני הסוכה")</f>
        <v>דופני הסוכה</v>
      </c>
    </row>
    <row r="8849" spans="1:6" x14ac:dyDescent="0.2">
      <c r="A8849" t="s">
        <v>15444</v>
      </c>
      <c r="B8849" t="s">
        <v>15445</v>
      </c>
      <c r="C8849" t="s">
        <v>777</v>
      </c>
      <c r="D8849" t="s">
        <v>1966</v>
      </c>
      <c r="E8849" t="s">
        <v>172</v>
      </c>
      <c r="F8849" s="2" t="str">
        <f>HYPERLINK("http://www.otzar.org/book.asp?17503","דופקי תשובה - 2 כר'")</f>
        <v>דופקי תשובה - 2 כר'</v>
      </c>
    </row>
    <row r="8850" spans="1:6" x14ac:dyDescent="0.2">
      <c r="A8850" t="s">
        <v>15446</v>
      </c>
      <c r="B8850" t="s">
        <v>15447</v>
      </c>
      <c r="C8850" t="s">
        <v>13</v>
      </c>
      <c r="D8850" t="s">
        <v>216</v>
      </c>
      <c r="E8850" t="s">
        <v>674</v>
      </c>
      <c r="F8850" s="2" t="str">
        <f>HYPERLINK("http://www.otzar.org/book.asp?625423","דור דור ודורשיו - 2 כר'")</f>
        <v>דור דור ודורשיו - 2 כר'</v>
      </c>
    </row>
    <row r="8851" spans="1:6" x14ac:dyDescent="0.2">
      <c r="A8851" t="s">
        <v>15448</v>
      </c>
      <c r="B8851" t="s">
        <v>15449</v>
      </c>
      <c r="C8851" t="s">
        <v>908</v>
      </c>
      <c r="D8851" t="s">
        <v>30</v>
      </c>
      <c r="E8851" t="s">
        <v>144</v>
      </c>
      <c r="F8851" s="2" t="str">
        <f>HYPERLINK("http://www.otzar.org/book.asp?5712","דור דורים - 2 כר'")</f>
        <v>דור דורים - 2 כר'</v>
      </c>
    </row>
    <row r="8852" spans="1:6" x14ac:dyDescent="0.2">
      <c r="A8852" t="s">
        <v>15450</v>
      </c>
      <c r="B8852" t="s">
        <v>3389</v>
      </c>
      <c r="C8852" t="s">
        <v>37</v>
      </c>
      <c r="D8852" t="s">
        <v>14</v>
      </c>
      <c r="E8852" t="s">
        <v>158</v>
      </c>
      <c r="F8852" s="2" t="str">
        <f>HYPERLINK("http://www.otzar.org/book.asp?179703","דור דעה")</f>
        <v>דור דעה</v>
      </c>
    </row>
    <row r="8853" spans="1:6" x14ac:dyDescent="0.2">
      <c r="A8853" t="s">
        <v>15451</v>
      </c>
      <c r="B8853" t="s">
        <v>5810</v>
      </c>
      <c r="C8853" t="s">
        <v>15452</v>
      </c>
      <c r="D8853" t="s">
        <v>691</v>
      </c>
      <c r="E8853" t="s">
        <v>733</v>
      </c>
      <c r="F8853" s="2" t="str">
        <f>HYPERLINK("http://www.otzar.org/book.asp?6401","דור דעה - 3 כר'")</f>
        <v>דור דעה - 3 כר'</v>
      </c>
    </row>
    <row r="8854" spans="1:6" x14ac:dyDescent="0.2">
      <c r="A8854" t="s">
        <v>15453</v>
      </c>
      <c r="B8854" t="s">
        <v>15454</v>
      </c>
      <c r="C8854" t="s">
        <v>23</v>
      </c>
      <c r="D8854" t="s">
        <v>14</v>
      </c>
      <c r="E8854" t="s">
        <v>148</v>
      </c>
      <c r="F8854" s="2" t="str">
        <f>HYPERLINK("http://www.otzar.org/book.asp?628646","דור המלקטים - 8 כר'")</f>
        <v>דור המלקטים - 8 כר'</v>
      </c>
    </row>
    <row r="8855" spans="1:6" x14ac:dyDescent="0.2">
      <c r="A8855" t="s">
        <v>15455</v>
      </c>
      <c r="B8855" t="s">
        <v>15456</v>
      </c>
      <c r="C8855" t="s">
        <v>950</v>
      </c>
      <c r="D8855" t="s">
        <v>283</v>
      </c>
      <c r="E8855" t="s">
        <v>733</v>
      </c>
      <c r="F8855" s="2" t="str">
        <f>HYPERLINK("http://www.otzar.org/book.asp?146694","דור ודור ודורשיו &lt;דורות עולמים&gt;")</f>
        <v>דור ודור ודורשיו &lt;דורות עולמים&gt;</v>
      </c>
    </row>
    <row r="8856" spans="1:6" x14ac:dyDescent="0.2">
      <c r="A8856" t="s">
        <v>15457</v>
      </c>
      <c r="B8856" t="s">
        <v>15456</v>
      </c>
      <c r="C8856" t="s">
        <v>15458</v>
      </c>
      <c r="D8856" t="s">
        <v>283</v>
      </c>
      <c r="E8856" t="s">
        <v>119</v>
      </c>
      <c r="F8856" s="2" t="str">
        <f>HYPERLINK("http://www.otzar.org/book.asp?19102","דור ודור ודורשיו")</f>
        <v>דור ודור ודורשיו</v>
      </c>
    </row>
    <row r="8857" spans="1:6" x14ac:dyDescent="0.2">
      <c r="A8857" t="s">
        <v>15459</v>
      </c>
      <c r="B8857" t="s">
        <v>15460</v>
      </c>
      <c r="C8857" t="s">
        <v>237</v>
      </c>
      <c r="D8857" t="s">
        <v>260</v>
      </c>
      <c r="E8857" t="s">
        <v>733</v>
      </c>
      <c r="F8857" s="2" t="str">
        <f>HYPERLINK("http://www.otzar.org/book.asp?179465","דור ודור ודורשיו - בינו שנות דור ודור")</f>
        <v>דור ודור ודורשיו - בינו שנות דור ודור</v>
      </c>
    </row>
    <row r="8858" spans="1:6" x14ac:dyDescent="0.2">
      <c r="A8858" t="s">
        <v>15461</v>
      </c>
      <c r="B8858" t="s">
        <v>549</v>
      </c>
      <c r="C8858" t="s">
        <v>1047</v>
      </c>
      <c r="D8858" t="s">
        <v>56</v>
      </c>
      <c r="E8858" t="s">
        <v>733</v>
      </c>
      <c r="F8858" s="2" t="str">
        <f>HYPERLINK("http://www.otzar.org/book.asp?17504","דור ודורשיו")</f>
        <v>דור ודורשיו</v>
      </c>
    </row>
    <row r="8859" spans="1:6" x14ac:dyDescent="0.2">
      <c r="A8859" t="s">
        <v>15461</v>
      </c>
      <c r="B8859" t="s">
        <v>15462</v>
      </c>
      <c r="C8859" t="s">
        <v>985</v>
      </c>
      <c r="D8859" t="s">
        <v>9</v>
      </c>
      <c r="E8859" t="s">
        <v>234</v>
      </c>
      <c r="F8859" s="2" t="str">
        <f>HYPERLINK("http://www.otzar.org/book.asp?100011","דור ודורשיו")</f>
        <v>דור ודורשיו</v>
      </c>
    </row>
    <row r="8860" spans="1:6" x14ac:dyDescent="0.2">
      <c r="A8860" t="s">
        <v>15463</v>
      </c>
      <c r="B8860" t="s">
        <v>15464</v>
      </c>
      <c r="C8860" t="s">
        <v>946</v>
      </c>
      <c r="D8860" t="s">
        <v>691</v>
      </c>
      <c r="E8860" t="s">
        <v>226</v>
      </c>
      <c r="F8860" s="2" t="str">
        <f>HYPERLINK("http://www.otzar.org/book.asp?13605","דור ישרים")</f>
        <v>דור ישרים</v>
      </c>
    </row>
    <row r="8861" spans="1:6" x14ac:dyDescent="0.2">
      <c r="A8861" t="s">
        <v>15465</v>
      </c>
      <c r="B8861" t="s">
        <v>15466</v>
      </c>
      <c r="C8861" t="s">
        <v>15467</v>
      </c>
      <c r="D8861" t="s">
        <v>225</v>
      </c>
      <c r="E8861" t="s">
        <v>241</v>
      </c>
      <c r="F8861" s="2" t="str">
        <f>HYPERLINK("http://www.otzar.org/book.asp?23537","דור ישרים - 2 כר'")</f>
        <v>דור ישרים - 2 כר'</v>
      </c>
    </row>
    <row r="8862" spans="1:6" x14ac:dyDescent="0.2">
      <c r="A8862" t="s">
        <v>15468</v>
      </c>
      <c r="B8862" t="s">
        <v>15469</v>
      </c>
      <c r="C8862" t="s">
        <v>454</v>
      </c>
      <c r="D8862" t="s">
        <v>15470</v>
      </c>
      <c r="F8862" s="2" t="str">
        <f>HYPERLINK("http://www.otzar.org/book.asp?194528","דור רביעי לרבנות באזעל")</f>
        <v>דור רביעי לרבנות באזעל</v>
      </c>
    </row>
    <row r="8863" spans="1:6" x14ac:dyDescent="0.2">
      <c r="A8863" t="s">
        <v>15471</v>
      </c>
      <c r="B8863" t="s">
        <v>3566</v>
      </c>
      <c r="C8863" t="s">
        <v>1650</v>
      </c>
      <c r="D8863" t="s">
        <v>30</v>
      </c>
      <c r="E8863" t="s">
        <v>144</v>
      </c>
      <c r="F8863" s="2" t="str">
        <f>HYPERLINK("http://www.otzar.org/book.asp?639","דור רביעי - 2 כר'")</f>
        <v>דור רביעי - 2 כר'</v>
      </c>
    </row>
    <row r="8864" spans="1:6" x14ac:dyDescent="0.2">
      <c r="A8864" t="s">
        <v>15472</v>
      </c>
      <c r="B8864" t="s">
        <v>3113</v>
      </c>
      <c r="C8864" t="s">
        <v>15473</v>
      </c>
      <c r="D8864" t="s">
        <v>15474</v>
      </c>
      <c r="E8864" t="s">
        <v>119</v>
      </c>
      <c r="F8864" s="2" t="str">
        <f>HYPERLINK("http://www.otzar.org/book.asp?151609","דור רבניו וסופריו - 5 כר'")</f>
        <v>דור רבניו וסופריו - 5 כר'</v>
      </c>
    </row>
    <row r="8865" spans="1:6" x14ac:dyDescent="0.2">
      <c r="A8865" t="s">
        <v>15475</v>
      </c>
      <c r="B8865" t="s">
        <v>15476</v>
      </c>
      <c r="C8865" t="s">
        <v>454</v>
      </c>
      <c r="D8865" t="s">
        <v>52</v>
      </c>
      <c r="E8865" t="s">
        <v>241</v>
      </c>
      <c r="F8865" s="2" t="str">
        <f>HYPERLINK("http://www.otzar.org/book.asp?160599","דור שבן דוד בא")</f>
        <v>דור שבן דוד בא</v>
      </c>
    </row>
    <row r="8866" spans="1:6" x14ac:dyDescent="0.2">
      <c r="A8866" t="s">
        <v>15477</v>
      </c>
      <c r="B8866" t="s">
        <v>14093</v>
      </c>
      <c r="C8866" t="s">
        <v>1374</v>
      </c>
      <c r="D8866" t="s">
        <v>27</v>
      </c>
      <c r="E8866" t="s">
        <v>158</v>
      </c>
      <c r="F8866" s="2" t="str">
        <f>HYPERLINK("http://www.otzar.org/book.asp?102955","דור""ש סמוכים")</f>
        <v>דור"ש סמוכים</v>
      </c>
    </row>
    <row r="8867" spans="1:6" x14ac:dyDescent="0.2">
      <c r="A8867" t="s">
        <v>15478</v>
      </c>
      <c r="B8867" t="s">
        <v>3727</v>
      </c>
      <c r="C8867" t="s">
        <v>523</v>
      </c>
      <c r="D8867" t="s">
        <v>14</v>
      </c>
      <c r="E8867" t="s">
        <v>2840</v>
      </c>
      <c r="F8867" s="2" t="str">
        <f>HYPERLINK("http://www.otzar.org/book.asp?85681","דורון דרשה")</f>
        <v>דורון דרשה</v>
      </c>
    </row>
    <row r="8868" spans="1:6" x14ac:dyDescent="0.2">
      <c r="A8868" t="s">
        <v>15479</v>
      </c>
      <c r="B8868" t="s">
        <v>15480</v>
      </c>
      <c r="C8868" t="s">
        <v>1246</v>
      </c>
      <c r="D8868" t="s">
        <v>260</v>
      </c>
      <c r="E8868" t="s">
        <v>2463</v>
      </c>
      <c r="F8868" s="2" t="str">
        <f>HYPERLINK("http://www.otzar.org/book.asp?5352","דורון לבר-מצוה")</f>
        <v>דורון לבר-מצוה</v>
      </c>
    </row>
    <row r="8869" spans="1:6" x14ac:dyDescent="0.2">
      <c r="A8869" t="s">
        <v>15481</v>
      </c>
      <c r="B8869" t="s">
        <v>3113</v>
      </c>
      <c r="C8869" t="s">
        <v>15482</v>
      </c>
      <c r="D8869" t="s">
        <v>9</v>
      </c>
      <c r="E8869" t="s">
        <v>733</v>
      </c>
      <c r="F8869" s="2" t="str">
        <f>HYPERLINK("http://www.otzar.org/book.asp?106443","דורות האחרונים - 5 כר'")</f>
        <v>דורות האחרונים - 5 כר'</v>
      </c>
    </row>
    <row r="8870" spans="1:6" x14ac:dyDescent="0.2">
      <c r="A8870" t="s">
        <v>15483</v>
      </c>
      <c r="B8870" t="s">
        <v>12950</v>
      </c>
      <c r="C8870" t="s">
        <v>15484</v>
      </c>
      <c r="D8870" t="s">
        <v>280</v>
      </c>
      <c r="E8870" t="s">
        <v>119</v>
      </c>
      <c r="F8870" s="2" t="str">
        <f>HYPERLINK("http://www.otzar.org/book.asp?11102","דורות הראשונים - 7 כר'")</f>
        <v>דורות הראשונים - 7 כר'</v>
      </c>
    </row>
    <row r="8871" spans="1:6" x14ac:dyDescent="0.2">
      <c r="A8871" t="s">
        <v>15485</v>
      </c>
      <c r="B8871" t="s">
        <v>15486</v>
      </c>
      <c r="C8871" t="s">
        <v>411</v>
      </c>
      <c r="D8871" t="s">
        <v>52</v>
      </c>
      <c r="E8871" t="s">
        <v>15487</v>
      </c>
      <c r="F8871" s="2" t="str">
        <f>HYPERLINK("http://www.otzar.org/book.asp?179645","דורות ישרים - 2 כר'")</f>
        <v>דורות ישרים - 2 כר'</v>
      </c>
    </row>
    <row r="8872" spans="1:6" x14ac:dyDescent="0.2">
      <c r="A8872" t="s">
        <v>15488</v>
      </c>
      <c r="B8872" t="s">
        <v>15489</v>
      </c>
      <c r="C8872" t="s">
        <v>180</v>
      </c>
      <c r="D8872" t="s">
        <v>216</v>
      </c>
      <c r="F8872" s="2" t="str">
        <f>HYPERLINK("http://www.otzar.org/book.asp?156070","דורות")</f>
        <v>דורות</v>
      </c>
    </row>
    <row r="8873" spans="1:6" x14ac:dyDescent="0.2">
      <c r="A8873" t="s">
        <v>15490</v>
      </c>
      <c r="B8873" t="s">
        <v>15491</v>
      </c>
      <c r="C8873" t="s">
        <v>68</v>
      </c>
      <c r="D8873" t="s">
        <v>21</v>
      </c>
      <c r="E8873" t="s">
        <v>202</v>
      </c>
      <c r="F8873" s="2" t="str">
        <f>HYPERLINK("http://www.otzar.org/book.asp?193981","דורות - 60 כר'")</f>
        <v>דורות - 60 כר'</v>
      </c>
    </row>
    <row r="8874" spans="1:6" x14ac:dyDescent="0.2">
      <c r="A8874" t="s">
        <v>15492</v>
      </c>
      <c r="B8874" t="s">
        <v>15493</v>
      </c>
      <c r="C8874" t="s">
        <v>482</v>
      </c>
      <c r="D8874" t="s">
        <v>27</v>
      </c>
      <c r="E8874" t="s">
        <v>241</v>
      </c>
      <c r="F8874" s="2" t="str">
        <f>HYPERLINK("http://www.otzar.org/book.asp?15388","דורנו מול שאלות הנצח")</f>
        <v>דורנו מול שאלות הנצח</v>
      </c>
    </row>
    <row r="8875" spans="1:6" x14ac:dyDescent="0.2">
      <c r="A8875" t="s">
        <v>15494</v>
      </c>
      <c r="B8875" t="s">
        <v>15495</v>
      </c>
      <c r="C8875" t="s">
        <v>1166</v>
      </c>
      <c r="D8875" t="s">
        <v>27</v>
      </c>
      <c r="E8875" t="s">
        <v>158</v>
      </c>
      <c r="F8875" s="2" t="str">
        <f>HYPERLINK("http://www.otzar.org/book.asp?24249","דורש בעדי")</f>
        <v>דורש בעדי</v>
      </c>
    </row>
    <row r="8876" spans="1:6" x14ac:dyDescent="0.2">
      <c r="A8876" t="s">
        <v>15496</v>
      </c>
      <c r="B8876" t="s">
        <v>239</v>
      </c>
      <c r="C8876" t="s">
        <v>20</v>
      </c>
      <c r="D8876" t="s">
        <v>240</v>
      </c>
      <c r="F8876" s="2" t="str">
        <f>HYPERLINK("http://www.otzar.org/book.asp?604604","דורש טוב &lt;המבואר&gt;")</f>
        <v>דורש טוב &lt;המבואר&gt;</v>
      </c>
    </row>
    <row r="8877" spans="1:6" x14ac:dyDescent="0.2">
      <c r="A8877" t="s">
        <v>15497</v>
      </c>
      <c r="B8877" t="s">
        <v>15498</v>
      </c>
      <c r="C8877" t="s">
        <v>523</v>
      </c>
      <c r="D8877" t="s">
        <v>14</v>
      </c>
      <c r="E8877" t="s">
        <v>15499</v>
      </c>
      <c r="F8877" s="2" t="str">
        <f>HYPERLINK("http://www.otzar.org/book.asp?61318","דורש טוב &lt;החדש&gt; - תורה ומועדים")</f>
        <v>דורש טוב &lt;החדש&gt; - תורה ומועדים</v>
      </c>
    </row>
    <row r="8878" spans="1:6" x14ac:dyDescent="0.2">
      <c r="A8878" t="s">
        <v>15500</v>
      </c>
      <c r="B8878" t="s">
        <v>15501</v>
      </c>
      <c r="C8878" t="s">
        <v>785</v>
      </c>
      <c r="D8878" t="s">
        <v>2375</v>
      </c>
      <c r="E8878" t="s">
        <v>1262</v>
      </c>
      <c r="F8878" s="2" t="str">
        <f>HYPERLINK("http://www.otzar.org/book.asp?199467","דורש טוב לעמו - וערך הכהן")</f>
        <v>דורש טוב לעמו - וערך הכהן</v>
      </c>
    </row>
    <row r="8879" spans="1:6" x14ac:dyDescent="0.2">
      <c r="A8879" t="s">
        <v>15502</v>
      </c>
      <c r="B8879" t="s">
        <v>15503</v>
      </c>
      <c r="C8879" t="s">
        <v>20</v>
      </c>
      <c r="D8879" t="s">
        <v>90</v>
      </c>
      <c r="E8879" t="s">
        <v>202</v>
      </c>
      <c r="F8879" s="2" t="str">
        <f>HYPERLINK("http://www.otzar.org/book.asp?622135","דורש טוב לעמו - רבי מרדכי לסקר")</f>
        <v>דורש טוב לעמו - רבי מרדכי לסקר</v>
      </c>
    </row>
    <row r="8880" spans="1:6" x14ac:dyDescent="0.2">
      <c r="A8880" t="s">
        <v>15504</v>
      </c>
      <c r="B8880" t="s">
        <v>7237</v>
      </c>
      <c r="C8880" t="s">
        <v>129</v>
      </c>
      <c r="D8880" t="s">
        <v>21</v>
      </c>
      <c r="F8880" s="2" t="str">
        <f>HYPERLINK("http://www.otzar.org/book.asp?602088","דורש טוב לעמו")</f>
        <v>דורש טוב לעמו</v>
      </c>
    </row>
    <row r="8881" spans="1:6" x14ac:dyDescent="0.2">
      <c r="A8881" t="s">
        <v>15505</v>
      </c>
      <c r="B8881" t="s">
        <v>15506</v>
      </c>
      <c r="C8881" t="s">
        <v>3246</v>
      </c>
      <c r="D8881" t="s">
        <v>412</v>
      </c>
      <c r="E8881" t="s">
        <v>158</v>
      </c>
      <c r="F8881" s="2" t="str">
        <f>HYPERLINK("http://www.otzar.org/book.asp?100058","דורש טוב לעמו - א (בראשית)")</f>
        <v>דורש טוב לעמו - א (בראשית)</v>
      </c>
    </row>
    <row r="8882" spans="1:6" x14ac:dyDescent="0.2">
      <c r="A8882" t="s">
        <v>15507</v>
      </c>
      <c r="B8882" t="s">
        <v>15508</v>
      </c>
      <c r="C8882" t="s">
        <v>15509</v>
      </c>
      <c r="D8882" t="s">
        <v>563</v>
      </c>
      <c r="E8882" t="s">
        <v>474</v>
      </c>
      <c r="F8882" s="2" t="str">
        <f>HYPERLINK("http://www.otzar.org/book.asp?106997","דורש טוב לעמו - 2 כר'")</f>
        <v>דורש טוב לעמו - 2 כר'</v>
      </c>
    </row>
    <row r="8883" spans="1:6" x14ac:dyDescent="0.2">
      <c r="A8883" t="s">
        <v>15504</v>
      </c>
      <c r="B8883" t="s">
        <v>255</v>
      </c>
      <c r="C8883" t="s">
        <v>189</v>
      </c>
      <c r="D8883" t="s">
        <v>14</v>
      </c>
      <c r="E8883" t="s">
        <v>3518</v>
      </c>
      <c r="F8883" s="2" t="str">
        <f>HYPERLINK("http://www.otzar.org/book.asp?152695","דורש טוב לעמו")</f>
        <v>דורש טוב לעמו</v>
      </c>
    </row>
    <row r="8884" spans="1:6" x14ac:dyDescent="0.2">
      <c r="A8884" t="s">
        <v>15510</v>
      </c>
      <c r="B8884" t="s">
        <v>239</v>
      </c>
      <c r="C8884" t="s">
        <v>129</v>
      </c>
      <c r="D8884" t="s">
        <v>2375</v>
      </c>
      <c r="E8884" t="s">
        <v>234</v>
      </c>
      <c r="F8884" s="2" t="str">
        <f>HYPERLINK("http://www.otzar.org/book.asp?144827","דורש טוב - 4 כר'")</f>
        <v>דורש טוב - 4 כר'</v>
      </c>
    </row>
    <row r="8885" spans="1:6" x14ac:dyDescent="0.2">
      <c r="A8885" t="s">
        <v>15511</v>
      </c>
      <c r="B8885" t="s">
        <v>3113</v>
      </c>
      <c r="C8885" t="s">
        <v>1650</v>
      </c>
      <c r="D8885" t="s">
        <v>699</v>
      </c>
      <c r="E8885" t="s">
        <v>234</v>
      </c>
      <c r="F8885" s="2" t="str">
        <f>HYPERLINK("http://www.otzar.org/book.asp?100057","דורש טוב")</f>
        <v>דורש טוב</v>
      </c>
    </row>
    <row r="8886" spans="1:6" x14ac:dyDescent="0.2">
      <c r="A8886" t="s">
        <v>15512</v>
      </c>
      <c r="B8886" t="s">
        <v>4560</v>
      </c>
      <c r="C8886" t="s">
        <v>445</v>
      </c>
      <c r="D8886" t="s">
        <v>225</v>
      </c>
      <c r="E8886" t="s">
        <v>158</v>
      </c>
      <c r="F8886" s="2" t="str">
        <f>HYPERLINK("http://www.otzar.org/book.asp?100056","דורש טוב - 2 כר'")</f>
        <v>דורש טוב - 2 כר'</v>
      </c>
    </row>
    <row r="8887" spans="1:6" x14ac:dyDescent="0.2">
      <c r="A8887" t="s">
        <v>15513</v>
      </c>
      <c r="B8887" t="s">
        <v>15514</v>
      </c>
      <c r="C8887" t="s">
        <v>146</v>
      </c>
      <c r="D8887" t="s">
        <v>15515</v>
      </c>
      <c r="F8887" s="2" t="str">
        <f>HYPERLINK("http://www.otzar.org/book.asp?616833","דורש טוב - ברית מילה")</f>
        <v>דורש טוב - ברית מילה</v>
      </c>
    </row>
    <row r="8888" spans="1:6" x14ac:dyDescent="0.2">
      <c r="A8888" t="s">
        <v>15511</v>
      </c>
      <c r="B8888" t="s">
        <v>15516</v>
      </c>
      <c r="C8888" t="s">
        <v>160</v>
      </c>
      <c r="D8888" t="s">
        <v>27</v>
      </c>
      <c r="E8888" t="s">
        <v>158</v>
      </c>
      <c r="F8888" s="2" t="str">
        <f>HYPERLINK("http://www.otzar.org/book.asp?158329","דורש טוב")</f>
        <v>דורש טוב</v>
      </c>
    </row>
    <row r="8889" spans="1:6" x14ac:dyDescent="0.2">
      <c r="A8889" t="s">
        <v>15512</v>
      </c>
      <c r="B8889" t="s">
        <v>5458</v>
      </c>
      <c r="C8889" t="s">
        <v>37</v>
      </c>
      <c r="D8889" t="s">
        <v>423</v>
      </c>
      <c r="F8889" s="2" t="str">
        <f>HYPERLINK("http://www.otzar.org/book.asp?194571","דורש טוב - 2 כר'")</f>
        <v>דורש טוב - 2 כר'</v>
      </c>
    </row>
    <row r="8890" spans="1:6" x14ac:dyDescent="0.2">
      <c r="A8890" t="s">
        <v>15512</v>
      </c>
      <c r="B8890" t="s">
        <v>15517</v>
      </c>
      <c r="C8890" t="s">
        <v>362</v>
      </c>
      <c r="D8890" t="s">
        <v>283</v>
      </c>
      <c r="E8890" t="s">
        <v>158</v>
      </c>
      <c r="F8890" s="2" t="str">
        <f>HYPERLINK("http://www.otzar.org/book.asp?151472","דורש טוב - 2 כר'")</f>
        <v>דורש טוב - 2 כר'</v>
      </c>
    </row>
    <row r="8891" spans="1:6" x14ac:dyDescent="0.2">
      <c r="A8891" t="s">
        <v>15511</v>
      </c>
      <c r="B8891" t="s">
        <v>3292</v>
      </c>
      <c r="C8891" t="s">
        <v>1202</v>
      </c>
      <c r="D8891" t="s">
        <v>3293</v>
      </c>
      <c r="E8891" t="s">
        <v>234</v>
      </c>
      <c r="F8891" s="2" t="str">
        <f>HYPERLINK("http://www.otzar.org/book.asp?102954","דורש טוב")</f>
        <v>דורש טוב</v>
      </c>
    </row>
    <row r="8892" spans="1:6" x14ac:dyDescent="0.2">
      <c r="A8892" t="s">
        <v>15518</v>
      </c>
      <c r="B8892" t="s">
        <v>15498</v>
      </c>
      <c r="C8892" t="s">
        <v>180</v>
      </c>
      <c r="D8892" t="s">
        <v>14</v>
      </c>
      <c r="E8892" t="s">
        <v>15519</v>
      </c>
      <c r="F8892" s="2" t="str">
        <f>HYPERLINK("http://www.otzar.org/book.asp?61316","דורש טוב - מועדים")</f>
        <v>דורש טוב - מועדים</v>
      </c>
    </row>
    <row r="8893" spans="1:6" x14ac:dyDescent="0.2">
      <c r="A8893" t="s">
        <v>15510</v>
      </c>
      <c r="B8893" t="s">
        <v>15520</v>
      </c>
      <c r="C8893" t="s">
        <v>23</v>
      </c>
      <c r="D8893" t="s">
        <v>412</v>
      </c>
      <c r="F8893" s="2" t="str">
        <f>HYPERLINK("http://www.otzar.org/book.asp?197947","דורש טוב - 4 כר'")</f>
        <v>דורש טוב - 4 כר'</v>
      </c>
    </row>
    <row r="8894" spans="1:6" x14ac:dyDescent="0.2">
      <c r="A8894" t="s">
        <v>15521</v>
      </c>
      <c r="B8894" t="s">
        <v>15522</v>
      </c>
      <c r="C8894" t="s">
        <v>1844</v>
      </c>
      <c r="D8894" t="s">
        <v>535</v>
      </c>
      <c r="E8894" t="s">
        <v>144</v>
      </c>
      <c r="F8894" s="2" t="str">
        <f>HYPERLINK("http://www.otzar.org/book.asp?22421","דורש לציון")</f>
        <v>דורש לציון</v>
      </c>
    </row>
    <row r="8895" spans="1:6" x14ac:dyDescent="0.2">
      <c r="A8895" t="s">
        <v>15523</v>
      </c>
      <c r="B8895" t="s">
        <v>15524</v>
      </c>
      <c r="C8895" t="s">
        <v>168</v>
      </c>
      <c r="D8895" t="s">
        <v>14</v>
      </c>
      <c r="E8895" t="s">
        <v>975</v>
      </c>
      <c r="F8895" s="2" t="str">
        <f>HYPERLINK("http://www.otzar.org/book.asp?176803","דורש לציון  - זכרון שלמה")</f>
        <v>דורש לציון  - זכרון שלמה</v>
      </c>
    </row>
    <row r="8896" spans="1:6" x14ac:dyDescent="0.2">
      <c r="A8896" t="s">
        <v>15521</v>
      </c>
      <c r="B8896" t="s">
        <v>5605</v>
      </c>
      <c r="C8896" t="s">
        <v>1166</v>
      </c>
      <c r="D8896" t="s">
        <v>27</v>
      </c>
      <c r="E8896" t="s">
        <v>234</v>
      </c>
      <c r="F8896" s="2" t="str">
        <f>HYPERLINK("http://www.otzar.org/book.asp?142384","דורש לציון")</f>
        <v>דורש לציון</v>
      </c>
    </row>
    <row r="8897" spans="1:6" x14ac:dyDescent="0.2">
      <c r="A8897" t="s">
        <v>15521</v>
      </c>
      <c r="B8897" t="s">
        <v>15525</v>
      </c>
      <c r="C8897" t="s">
        <v>313</v>
      </c>
      <c r="D8897" t="s">
        <v>14</v>
      </c>
      <c r="E8897" t="s">
        <v>234</v>
      </c>
      <c r="F8897" s="2" t="str">
        <f>HYPERLINK("http://www.otzar.org/book.asp?196553","דורש לציון")</f>
        <v>דורש לציון</v>
      </c>
    </row>
    <row r="8898" spans="1:6" x14ac:dyDescent="0.2">
      <c r="A8898" t="s">
        <v>15526</v>
      </c>
      <c r="B8898" t="s">
        <v>15259</v>
      </c>
      <c r="C8898" t="s">
        <v>5308</v>
      </c>
      <c r="D8898" t="s">
        <v>1576</v>
      </c>
      <c r="E8898" t="s">
        <v>234</v>
      </c>
      <c r="F8898" s="2" t="str">
        <f>HYPERLINK("http://www.otzar.org/book.asp?196852","דורש לציון - 3 כר'")</f>
        <v>דורש לציון - 3 כר'</v>
      </c>
    </row>
    <row r="8899" spans="1:6" x14ac:dyDescent="0.2">
      <c r="A8899" t="s">
        <v>15527</v>
      </c>
      <c r="B8899" t="s">
        <v>3113</v>
      </c>
      <c r="C8899" t="s">
        <v>445</v>
      </c>
      <c r="D8899" t="s">
        <v>9</v>
      </c>
      <c r="E8899" t="s">
        <v>733</v>
      </c>
      <c r="F8899" s="2" t="str">
        <f>HYPERLINK("http://www.otzar.org/book.asp?51232","דורש לשבח")</f>
        <v>דורש לשבח</v>
      </c>
    </row>
    <row r="8900" spans="1:6" x14ac:dyDescent="0.2">
      <c r="A8900" t="s">
        <v>15528</v>
      </c>
      <c r="B8900" t="s">
        <v>2663</v>
      </c>
      <c r="C8900" t="s">
        <v>523</v>
      </c>
      <c r="D8900" t="s">
        <v>14</v>
      </c>
      <c r="E8900" t="s">
        <v>202</v>
      </c>
      <c r="F8900" s="2" t="str">
        <f>HYPERLINK("http://www.otzar.org/book.asp?179760","דורש מציון")</f>
        <v>דורש מציון</v>
      </c>
    </row>
    <row r="8901" spans="1:6" x14ac:dyDescent="0.2">
      <c r="A8901" t="s">
        <v>15529</v>
      </c>
      <c r="B8901" t="s">
        <v>15530</v>
      </c>
      <c r="C8901" t="s">
        <v>71</v>
      </c>
      <c r="D8901" t="s">
        <v>52</v>
      </c>
      <c r="E8901" t="s">
        <v>144</v>
      </c>
      <c r="F8901" s="2" t="str">
        <f>HYPERLINK("http://www.otzar.org/book.asp?21685","דורש משפט - 2 כר'")</f>
        <v>דורש משפט - 2 כר'</v>
      </c>
    </row>
    <row r="8902" spans="1:6" x14ac:dyDescent="0.2">
      <c r="A8902" t="s">
        <v>15531</v>
      </c>
      <c r="B8902" t="s">
        <v>15532</v>
      </c>
      <c r="C8902" t="s">
        <v>4910</v>
      </c>
      <c r="D8902" t="s">
        <v>76</v>
      </c>
      <c r="E8902" t="s">
        <v>15</v>
      </c>
      <c r="F8902" s="2" t="str">
        <f>HYPERLINK("http://www.otzar.org/book.asp?145432","דורש משפט")</f>
        <v>דורש משפט</v>
      </c>
    </row>
    <row r="8903" spans="1:6" x14ac:dyDescent="0.2">
      <c r="A8903" t="s">
        <v>15533</v>
      </c>
      <c r="B8903" t="s">
        <v>15534</v>
      </c>
      <c r="C8903" t="s">
        <v>609</v>
      </c>
      <c r="D8903" t="s">
        <v>27</v>
      </c>
      <c r="E8903" t="s">
        <v>15535</v>
      </c>
      <c r="F8903" s="2" t="str">
        <f>HYPERLINK("http://www.otzar.org/book.asp?12099","דורש רשומות האגדה - 2 כר'")</f>
        <v>דורש רשומות האגדה - 2 כר'</v>
      </c>
    </row>
    <row r="8904" spans="1:6" x14ac:dyDescent="0.2">
      <c r="A8904" t="s">
        <v>15536</v>
      </c>
      <c r="C8904" t="s">
        <v>111</v>
      </c>
      <c r="D8904" t="s">
        <v>52</v>
      </c>
      <c r="E8904" t="s">
        <v>140</v>
      </c>
      <c r="F8904" s="2" t="str">
        <f>HYPERLINK("http://www.otzar.org/book.asp?626627","דורשי ה'")</f>
        <v>דורשי ה'</v>
      </c>
    </row>
    <row r="8905" spans="1:6" x14ac:dyDescent="0.2">
      <c r="A8905" t="s">
        <v>15536</v>
      </c>
      <c r="B8905" t="s">
        <v>15537</v>
      </c>
      <c r="C8905" t="s">
        <v>454</v>
      </c>
      <c r="D8905" t="s">
        <v>216</v>
      </c>
      <c r="E8905" t="s">
        <v>241</v>
      </c>
      <c r="F8905" s="2" t="str">
        <f>HYPERLINK("http://www.otzar.org/book.asp?625890","דורשי ה'")</f>
        <v>דורשי ה'</v>
      </c>
    </row>
    <row r="8906" spans="1:6" x14ac:dyDescent="0.2">
      <c r="A8906" t="s">
        <v>15538</v>
      </c>
      <c r="B8906" t="s">
        <v>15539</v>
      </c>
      <c r="C8906" t="s">
        <v>189</v>
      </c>
      <c r="D8906" t="s">
        <v>2468</v>
      </c>
      <c r="E8906" t="s">
        <v>104</v>
      </c>
      <c r="F8906" s="2" t="str">
        <f>HYPERLINK("http://www.otzar.org/book.asp?172065","דורשי רשומות")</f>
        <v>דורשי רשומות</v>
      </c>
    </row>
    <row r="8907" spans="1:6" x14ac:dyDescent="0.2">
      <c r="A8907" t="s">
        <v>15540</v>
      </c>
      <c r="B8907" t="s">
        <v>12338</v>
      </c>
      <c r="C8907" t="s">
        <v>244</v>
      </c>
      <c r="D8907" t="s">
        <v>14</v>
      </c>
      <c r="E8907" t="s">
        <v>202</v>
      </c>
      <c r="F8907" s="2" t="str">
        <f>HYPERLINK("http://www.otzar.org/book.asp?610881","דורשי תורה - 2 כר'")</f>
        <v>דורשי תורה - 2 כר'</v>
      </c>
    </row>
    <row r="8908" spans="1:6" x14ac:dyDescent="0.2">
      <c r="A8908" t="s">
        <v>15541</v>
      </c>
      <c r="B8908" t="s">
        <v>8563</v>
      </c>
      <c r="C8908" t="s">
        <v>775</v>
      </c>
      <c r="D8908" t="s">
        <v>8564</v>
      </c>
      <c r="E8908" t="s">
        <v>158</v>
      </c>
      <c r="F8908" s="2" t="str">
        <f>HYPERLINK("http://www.otzar.org/book.asp?22177","די באר - 8 כר'")</f>
        <v>די באר - 8 כר'</v>
      </c>
    </row>
    <row r="8909" spans="1:6" x14ac:dyDescent="0.2">
      <c r="A8909" t="s">
        <v>15542</v>
      </c>
      <c r="B8909" t="s">
        <v>15543</v>
      </c>
      <c r="C8909" t="s">
        <v>237</v>
      </c>
      <c r="D8909" t="s">
        <v>806</v>
      </c>
      <c r="E8909" t="s">
        <v>119</v>
      </c>
      <c r="F8909" s="2" t="str">
        <f>HYPERLINK("http://www.otzar.org/book.asp?106446","די ביאגראפיע פון א ווארשעווער רב [מיכלסון, צבי יחזקאל]")</f>
        <v>די ביאגראפיע פון א ווארשעווער רב [מיכלסון, צבי יחזקאל]</v>
      </c>
    </row>
    <row r="8910" spans="1:6" x14ac:dyDescent="0.2">
      <c r="A8910" t="s">
        <v>15544</v>
      </c>
      <c r="B8910" t="s">
        <v>14640</v>
      </c>
      <c r="C8910" t="s">
        <v>581</v>
      </c>
      <c r="D8910" t="s">
        <v>412</v>
      </c>
      <c r="E8910" t="s">
        <v>158</v>
      </c>
      <c r="F8910" s="2" t="str">
        <f>HYPERLINK("http://www.otzar.org/book.asp?165805","די בימה - 16 כר'")</f>
        <v>די בימה - 16 כר'</v>
      </c>
    </row>
    <row r="8911" spans="1:6" x14ac:dyDescent="0.2">
      <c r="A8911" t="s">
        <v>15545</v>
      </c>
      <c r="B8911" t="s">
        <v>15546</v>
      </c>
      <c r="D8911" t="s">
        <v>21</v>
      </c>
      <c r="E8911" t="s">
        <v>202</v>
      </c>
      <c r="F8911" s="2" t="str">
        <f>HYPERLINK("http://www.otzar.org/book.asp?192132","די ברכה אין שטוב - 231 כר'")</f>
        <v>די ברכה אין שטוב - 231 כר'</v>
      </c>
    </row>
    <row r="8912" spans="1:6" x14ac:dyDescent="0.2">
      <c r="A8912" t="s">
        <v>15547</v>
      </c>
      <c r="B8912" t="s">
        <v>15548</v>
      </c>
      <c r="C8912">
        <v>1925</v>
      </c>
      <c r="D8912" t="s">
        <v>412</v>
      </c>
      <c r="F8912" s="2" t="str">
        <f>HYPERLINK("http://www.otzar.org/book.asp?190114","די געשיכטע פון מיינע ליידען")</f>
        <v>די געשיכטע פון מיינע ליידען</v>
      </c>
    </row>
    <row r="8913" spans="1:6" x14ac:dyDescent="0.2">
      <c r="A8913" t="s">
        <v>15549</v>
      </c>
      <c r="B8913" t="s">
        <v>15550</v>
      </c>
      <c r="C8913" t="s">
        <v>785</v>
      </c>
      <c r="D8913" t="s">
        <v>412</v>
      </c>
      <c r="E8913" t="s">
        <v>104</v>
      </c>
      <c r="F8913" s="2" t="str">
        <f>HYPERLINK("http://www.otzar.org/book.asp?159915","די דריי ברידער (מעשה פליאה מג' אחים)")</f>
        <v>די דריי ברידער (מעשה פליאה מג' אחים)</v>
      </c>
    </row>
    <row r="8914" spans="1:6" x14ac:dyDescent="0.2">
      <c r="A8914" t="s">
        <v>15551</v>
      </c>
      <c r="B8914" t="s">
        <v>15552</v>
      </c>
      <c r="C8914" t="s">
        <v>433</v>
      </c>
      <c r="D8914" t="s">
        <v>6974</v>
      </c>
      <c r="E8914" t="s">
        <v>15553</v>
      </c>
      <c r="F8914" s="2" t="str">
        <f>HYPERLINK("http://www.otzar.org/book.asp?177166","די השב ואם למסורת")</f>
        <v>די השב ואם למסורת</v>
      </c>
    </row>
    <row r="8915" spans="1:6" x14ac:dyDescent="0.2">
      <c r="A8915" t="s">
        <v>15554</v>
      </c>
      <c r="B8915" t="s">
        <v>15555</v>
      </c>
      <c r="C8915" t="s">
        <v>802</v>
      </c>
      <c r="D8915" t="s">
        <v>212</v>
      </c>
      <c r="E8915" t="s">
        <v>154</v>
      </c>
      <c r="F8915" s="2" t="str">
        <f>HYPERLINK("http://www.otzar.org/book.asp?100844","די השב")</f>
        <v>די השב</v>
      </c>
    </row>
    <row r="8916" spans="1:6" x14ac:dyDescent="0.2">
      <c r="A8916" t="s">
        <v>15556</v>
      </c>
      <c r="B8916" t="s">
        <v>15557</v>
      </c>
      <c r="C8916" t="s">
        <v>360</v>
      </c>
      <c r="D8916" t="s">
        <v>307</v>
      </c>
      <c r="E8916" t="s">
        <v>104</v>
      </c>
      <c r="F8916" s="2" t="str">
        <f>HYPERLINK("http://www.otzar.org/book.asp?160513","די וואונדערליכע געשיכטע פון רבינו גרשום מאור הגולה")</f>
        <v>די וואונדערליכע געשיכטע פון רבינו גרשום מאור הגולה</v>
      </c>
    </row>
    <row r="8917" spans="1:6" x14ac:dyDescent="0.2">
      <c r="A8917" t="s">
        <v>15558</v>
      </c>
      <c r="B8917" t="s">
        <v>15559</v>
      </c>
      <c r="C8917" t="s">
        <v>20</v>
      </c>
      <c r="D8917" t="s">
        <v>14</v>
      </c>
      <c r="E8917" t="s">
        <v>104</v>
      </c>
      <c r="F8917" s="2" t="str">
        <f>HYPERLINK("http://www.otzar.org/book.asp?189755","די מלכים פון יהודה און די נביאים")</f>
        <v>די מלכים פון יהודה און די נביאים</v>
      </c>
    </row>
    <row r="8918" spans="1:6" x14ac:dyDescent="0.2">
      <c r="A8918" t="s">
        <v>15560</v>
      </c>
      <c r="B8918" t="s">
        <v>15561</v>
      </c>
      <c r="C8918" t="s">
        <v>698</v>
      </c>
      <c r="D8918" t="s">
        <v>412</v>
      </c>
      <c r="E8918" t="s">
        <v>119</v>
      </c>
      <c r="F8918" s="2" t="str">
        <f>HYPERLINK("http://www.otzar.org/book.asp?174559","די מפרשים פון דער תורה - דייטשלאנד, פולין, ליטע")</f>
        <v>די מפרשים פון דער תורה - דייטשלאנד, פולין, ליטע</v>
      </c>
    </row>
    <row r="8919" spans="1:6" x14ac:dyDescent="0.2">
      <c r="A8919" t="s">
        <v>15562</v>
      </c>
      <c r="B8919" t="s">
        <v>15563</v>
      </c>
      <c r="C8919" t="s">
        <v>160</v>
      </c>
      <c r="D8919" t="s">
        <v>412</v>
      </c>
      <c r="E8919" t="s">
        <v>158</v>
      </c>
      <c r="F8919" s="2" t="str">
        <f>HYPERLINK("http://www.otzar.org/book.asp?199984","די סדרה און הפטרה - 2 כר'")</f>
        <v>די סדרה און הפטרה - 2 כר'</v>
      </c>
    </row>
    <row r="8920" spans="1:6" x14ac:dyDescent="0.2">
      <c r="A8920" t="s">
        <v>15564</v>
      </c>
      <c r="B8920" t="s">
        <v>15565</v>
      </c>
      <c r="C8920" t="s">
        <v>1640</v>
      </c>
      <c r="D8920" t="s">
        <v>8647</v>
      </c>
      <c r="F8920" s="2" t="str">
        <f>HYPERLINK("http://www.otzar.org/book.asp?196283","די סדרה פון דער וואך - 2 כר'")</f>
        <v>די סדרה פון דער וואך - 2 כר'</v>
      </c>
    </row>
    <row r="8921" spans="1:6" x14ac:dyDescent="0.2">
      <c r="A8921" t="s">
        <v>15566</v>
      </c>
      <c r="B8921" t="s">
        <v>15567</v>
      </c>
      <c r="C8921" t="s">
        <v>908</v>
      </c>
      <c r="D8921" t="s">
        <v>412</v>
      </c>
      <c r="F8921" s="2" t="str">
        <f>HYPERLINK("http://www.otzar.org/book.asp?614541","די צוואה פון בעל שם")</f>
        <v>די צוואה פון בעל שם</v>
      </c>
    </row>
    <row r="8922" spans="1:6" x14ac:dyDescent="0.2">
      <c r="A8922" t="s">
        <v>15568</v>
      </c>
      <c r="B8922" t="s">
        <v>15569</v>
      </c>
      <c r="C8922" t="s">
        <v>1388</v>
      </c>
      <c r="D8922" t="s">
        <v>14</v>
      </c>
      <c r="E8922" t="s">
        <v>733</v>
      </c>
      <c r="F8922" s="2" t="str">
        <f>HYPERLINK("http://www.otzar.org/book.asp?174304","די רייזע קיין ירושלים")</f>
        <v>די רייזע קיין ירושלים</v>
      </c>
    </row>
    <row r="8923" spans="1:6" x14ac:dyDescent="0.2">
      <c r="A8923" t="s">
        <v>15570</v>
      </c>
      <c r="B8923" t="s">
        <v>15571</v>
      </c>
      <c r="C8923" t="s">
        <v>390</v>
      </c>
      <c r="D8923" t="s">
        <v>646</v>
      </c>
      <c r="E8923" t="s">
        <v>119</v>
      </c>
      <c r="F8923" s="2" t="str">
        <f>HYPERLINK("http://www.otzar.org/book.asp?107131","די שבחים פון רבי שמואל און רבי יודא חסיד")</f>
        <v>די שבחים פון רבי שמואל און רבי יודא חסיד</v>
      </c>
    </row>
    <row r="8924" spans="1:6" x14ac:dyDescent="0.2">
      <c r="A8924" t="s">
        <v>15572</v>
      </c>
      <c r="B8924" t="s">
        <v>15573</v>
      </c>
      <c r="C8924" t="s">
        <v>15574</v>
      </c>
      <c r="D8924" t="s">
        <v>412</v>
      </c>
      <c r="F8924" s="2" t="str">
        <f>HYPERLINK("http://www.otzar.org/book.asp?196433","די שוחטים שטימע &lt;השומר&gt; - תרצב - תרצג")</f>
        <v>די שוחטים שטימע &lt;השומר&gt; - תרצב - תרצג</v>
      </c>
    </row>
    <row r="8925" spans="1:6" x14ac:dyDescent="0.2">
      <c r="A8925" t="s">
        <v>15575</v>
      </c>
      <c r="B8925" t="s">
        <v>15576</v>
      </c>
      <c r="C8925" t="s">
        <v>466</v>
      </c>
      <c r="D8925" t="s">
        <v>1180</v>
      </c>
      <c r="F8925" s="2" t="str">
        <f>HYPERLINK("http://www.otzar.org/book.asp?612935","די שיינע פארגאנגענהייט פון מארמאראש")</f>
        <v>די שיינע פארגאנגענהייט פון מארמאראש</v>
      </c>
    </row>
    <row r="8926" spans="1:6" x14ac:dyDescent="0.2">
      <c r="A8926" t="s">
        <v>15577</v>
      </c>
      <c r="B8926" t="s">
        <v>15578</v>
      </c>
      <c r="C8926" t="s">
        <v>506</v>
      </c>
      <c r="D8926" t="s">
        <v>15579</v>
      </c>
      <c r="F8926" s="2" t="str">
        <f>HYPERLINK("http://www.otzar.org/book.asp?197616","דיא געזונדהייט""ס לעהרע (היגיענע) פיר אללע")</f>
        <v>דיא געזונדהייט"ס לעהרע (היגיענע) פיר אללע</v>
      </c>
    </row>
    <row r="8927" spans="1:6" x14ac:dyDescent="0.2">
      <c r="A8927" t="s">
        <v>15580</v>
      </c>
      <c r="B8927" t="s">
        <v>15581</v>
      </c>
      <c r="C8927" t="s">
        <v>1374</v>
      </c>
      <c r="D8927" t="s">
        <v>15582</v>
      </c>
      <c r="E8927" t="s">
        <v>463</v>
      </c>
      <c r="F8927" s="2" t="str">
        <f>HYPERLINK("http://www.otzar.org/book.asp?102957","דיבובי חן")</f>
        <v>דיבובי חן</v>
      </c>
    </row>
    <row r="8928" spans="1:6" x14ac:dyDescent="0.2">
      <c r="A8928" t="s">
        <v>15583</v>
      </c>
      <c r="B8928" t="s">
        <v>3888</v>
      </c>
      <c r="C8928" t="s">
        <v>176</v>
      </c>
      <c r="D8928" t="s">
        <v>14</v>
      </c>
      <c r="E8928" t="s">
        <v>241</v>
      </c>
      <c r="F8928" s="2" t="str">
        <f>HYPERLINK("http://www.otzar.org/book.asp?156898","דיבור בנחת")</f>
        <v>דיבור בנחת</v>
      </c>
    </row>
    <row r="8929" spans="1:6" x14ac:dyDescent="0.2">
      <c r="A8929" t="s">
        <v>15584</v>
      </c>
      <c r="B8929" t="s">
        <v>12911</v>
      </c>
      <c r="C8929" t="s">
        <v>919</v>
      </c>
      <c r="D8929" t="s">
        <v>4400</v>
      </c>
      <c r="F8929" s="2" t="str">
        <f>HYPERLINK("http://www.otzar.org/book.asp?616560","דיואן &lt;רבי יהודה הלוי - 7 כר'")</f>
        <v>דיואן &lt;רבי יהודה הלוי - 7 כר'</v>
      </c>
    </row>
    <row r="8930" spans="1:6" x14ac:dyDescent="0.2">
      <c r="A8930" t="s">
        <v>15585</v>
      </c>
      <c r="B8930" t="s">
        <v>12911</v>
      </c>
      <c r="C8930" t="s">
        <v>1096</v>
      </c>
      <c r="D8930" t="s">
        <v>280</v>
      </c>
      <c r="F8930" s="2" t="str">
        <f>HYPERLINK("http://www.otzar.org/book.asp?613787","דיואן &lt;ריה""ל - 2 כר'")</f>
        <v>דיואן &lt;ריה"ל - 2 כר'</v>
      </c>
    </row>
    <row r="8931" spans="1:6" x14ac:dyDescent="0.2">
      <c r="A8931" t="s">
        <v>15586</v>
      </c>
      <c r="B8931" t="s">
        <v>15587</v>
      </c>
      <c r="C8931" t="s">
        <v>466</v>
      </c>
      <c r="D8931" t="s">
        <v>52</v>
      </c>
      <c r="E8931" t="s">
        <v>1626</v>
      </c>
      <c r="F8931" s="2" t="str">
        <f>HYPERLINK("http://www.otzar.org/book.asp?180031","דיואן אפתחה שיר")</f>
        <v>דיואן אפתחה שיר</v>
      </c>
    </row>
    <row r="8932" spans="1:6" x14ac:dyDescent="0.2">
      <c r="A8932" t="s">
        <v>15588</v>
      </c>
      <c r="B8932" t="s">
        <v>15589</v>
      </c>
      <c r="C8932" t="s">
        <v>624</v>
      </c>
      <c r="D8932" t="s">
        <v>52</v>
      </c>
      <c r="E8932" t="s">
        <v>1626</v>
      </c>
      <c r="F8932" s="2" t="str">
        <f>HYPERLINK("http://www.otzar.org/book.asp?107444","דיואן נעימות שיר מפורש ומתורגם")</f>
        <v>דיואן נעימות שיר מפורש ומתורגם</v>
      </c>
    </row>
    <row r="8933" spans="1:6" x14ac:dyDescent="0.2">
      <c r="A8933" t="s">
        <v>15590</v>
      </c>
      <c r="B8933" t="s">
        <v>12911</v>
      </c>
      <c r="C8933" t="s">
        <v>1844</v>
      </c>
      <c r="D8933" t="s">
        <v>15591</v>
      </c>
      <c r="E8933" t="s">
        <v>1626</v>
      </c>
      <c r="F8933" s="2" t="str">
        <f>HYPERLINK("http://www.otzar.org/book.asp?121","דיואן ר' יהודה הלוי")</f>
        <v>דיואן ר' יהודה הלוי</v>
      </c>
    </row>
    <row r="8934" spans="1:6" x14ac:dyDescent="0.2">
      <c r="A8934" t="s">
        <v>15592</v>
      </c>
      <c r="B8934" t="s">
        <v>15593</v>
      </c>
      <c r="C8934" t="s">
        <v>523</v>
      </c>
      <c r="D8934" t="s">
        <v>5421</v>
      </c>
      <c r="E8934" t="s">
        <v>1626</v>
      </c>
      <c r="F8934" s="2" t="str">
        <f>HYPERLINK("http://www.otzar.org/book.asp?150183","דיואן שבח אל חי")</f>
        <v>דיואן שבח אל חי</v>
      </c>
    </row>
    <row r="8935" spans="1:6" x14ac:dyDescent="0.2">
      <c r="A8935" t="s">
        <v>15594</v>
      </c>
      <c r="B8935" t="s">
        <v>15595</v>
      </c>
      <c r="C8935" t="s">
        <v>1208</v>
      </c>
      <c r="D8935" t="s">
        <v>14</v>
      </c>
      <c r="E8935" t="s">
        <v>219</v>
      </c>
      <c r="F8935" s="2" t="str">
        <f>HYPERLINK("http://www.otzar.org/book.asp?626781","דיואן שמואל הנגיד &lt;מהדורת ירדן&gt; - 3 כר'")</f>
        <v>דיואן שמואל הנגיד &lt;מהדורת ירדן&gt; - 3 כר'</v>
      </c>
    </row>
    <row r="8936" spans="1:6" x14ac:dyDescent="0.2">
      <c r="A8936" t="s">
        <v>15596</v>
      </c>
      <c r="B8936" t="s">
        <v>15595</v>
      </c>
      <c r="C8936" t="s">
        <v>908</v>
      </c>
      <c r="D8936" t="s">
        <v>563</v>
      </c>
      <c r="E8936" t="s">
        <v>219</v>
      </c>
      <c r="F8936" s="2" t="str">
        <f>HYPERLINK("http://www.otzar.org/book.asp?159046","דיואן שמואל הנגיד - 2 כר'")</f>
        <v>דיואן שמואל הנגיד - 2 כר'</v>
      </c>
    </row>
    <row r="8937" spans="1:6" x14ac:dyDescent="0.2">
      <c r="A8937" t="s">
        <v>15597</v>
      </c>
      <c r="B8937" t="s">
        <v>531</v>
      </c>
      <c r="C8937" t="s">
        <v>896</v>
      </c>
      <c r="D8937" t="s">
        <v>280</v>
      </c>
      <c r="E8937" t="s">
        <v>219</v>
      </c>
      <c r="F8937" s="2" t="str">
        <f>HYPERLINK("http://www.otzar.org/book.asp?133","דיואן")</f>
        <v>דיואן</v>
      </c>
    </row>
    <row r="8938" spans="1:6" x14ac:dyDescent="0.2">
      <c r="A8938" t="s">
        <v>15597</v>
      </c>
      <c r="B8938" t="s">
        <v>15598</v>
      </c>
      <c r="C8938" t="s">
        <v>533</v>
      </c>
      <c r="D8938" t="s">
        <v>412</v>
      </c>
      <c r="E8938" t="s">
        <v>1626</v>
      </c>
      <c r="F8938" s="2" t="str">
        <f>HYPERLINK("http://www.otzar.org/book.asp?189637","דיואן")</f>
        <v>דיואן</v>
      </c>
    </row>
    <row r="8939" spans="1:6" x14ac:dyDescent="0.2">
      <c r="A8939" t="s">
        <v>15599</v>
      </c>
      <c r="B8939" t="s">
        <v>15600</v>
      </c>
      <c r="C8939" t="s">
        <v>224</v>
      </c>
      <c r="D8939" t="s">
        <v>27</v>
      </c>
      <c r="E8939" t="s">
        <v>1626</v>
      </c>
      <c r="F8939" s="2" t="str">
        <f>HYPERLINK("http://www.otzar.org/book.asp?134","דיואן - 2 כר'")</f>
        <v>דיואן - 2 כר'</v>
      </c>
    </row>
    <row r="8940" spans="1:6" x14ac:dyDescent="0.2">
      <c r="A8940" t="s">
        <v>15597</v>
      </c>
      <c r="B8940" t="s">
        <v>15601</v>
      </c>
      <c r="C8940" t="s">
        <v>2008</v>
      </c>
      <c r="D8940" t="s">
        <v>9</v>
      </c>
      <c r="E8940" t="s">
        <v>733</v>
      </c>
      <c r="F8940" s="2" t="str">
        <f>HYPERLINK("http://www.otzar.org/book.asp?107130","דיואן")</f>
        <v>דיואן</v>
      </c>
    </row>
    <row r="8941" spans="1:6" x14ac:dyDescent="0.2">
      <c r="A8941" t="s">
        <v>15597</v>
      </c>
      <c r="B8941" t="s">
        <v>15602</v>
      </c>
      <c r="C8941" t="s">
        <v>619</v>
      </c>
      <c r="D8941" t="s">
        <v>260</v>
      </c>
      <c r="E8941" t="s">
        <v>104</v>
      </c>
      <c r="F8941" s="2" t="str">
        <f>HYPERLINK("http://www.otzar.org/book.asp?168122","דיואן")</f>
        <v>דיואן</v>
      </c>
    </row>
    <row r="8942" spans="1:6" x14ac:dyDescent="0.2">
      <c r="A8942" t="s">
        <v>15603</v>
      </c>
      <c r="B8942" t="s">
        <v>206</v>
      </c>
      <c r="C8942" t="s">
        <v>37</v>
      </c>
      <c r="D8942" t="s">
        <v>21</v>
      </c>
      <c r="F8942" s="2" t="str">
        <f>HYPERLINK("http://www.otzar.org/book.asp?196434","דיון לכף זכות")</f>
        <v>דיון לכף זכות</v>
      </c>
    </row>
    <row r="8943" spans="1:6" x14ac:dyDescent="0.2">
      <c r="A8943" t="s">
        <v>15604</v>
      </c>
      <c r="B8943" t="s">
        <v>15605</v>
      </c>
      <c r="C8943" t="s">
        <v>20</v>
      </c>
      <c r="D8943" t="s">
        <v>90</v>
      </c>
      <c r="E8943" t="s">
        <v>15</v>
      </c>
      <c r="F8943" s="2" t="str">
        <f>HYPERLINK("http://www.otzar.org/book.asp?52922","דיוק בקריאת שמע")</f>
        <v>דיוק בקריאת שמע</v>
      </c>
    </row>
    <row r="8944" spans="1:6" x14ac:dyDescent="0.2">
      <c r="A8944" t="s">
        <v>15606</v>
      </c>
      <c r="B8944" t="s">
        <v>15607</v>
      </c>
      <c r="C8944" t="s">
        <v>313</v>
      </c>
      <c r="D8944" t="s">
        <v>852</v>
      </c>
      <c r="F8944" s="2" t="str">
        <f>HYPERLINK("http://www.otzar.org/book.asp?613986","דיוקי רש""י")</f>
        <v>דיוקי רש"י</v>
      </c>
    </row>
    <row r="8945" spans="1:6" x14ac:dyDescent="0.2">
      <c r="A8945" t="s">
        <v>15608</v>
      </c>
      <c r="B8945" t="s">
        <v>5078</v>
      </c>
      <c r="C8945" t="s">
        <v>114</v>
      </c>
      <c r="D8945" t="s">
        <v>52</v>
      </c>
      <c r="E8945" t="s">
        <v>158</v>
      </c>
      <c r="F8945" s="2" t="str">
        <f>HYPERLINK("http://www.otzar.org/book.asp?605103","דיוקים בתורה - בראשית")</f>
        <v>דיוקים בתורה - בראשית</v>
      </c>
    </row>
    <row r="8946" spans="1:6" x14ac:dyDescent="0.2">
      <c r="A8946" t="s">
        <v>15609</v>
      </c>
      <c r="B8946" t="s">
        <v>824</v>
      </c>
      <c r="C8946" t="s">
        <v>843</v>
      </c>
      <c r="D8946" t="s">
        <v>14</v>
      </c>
      <c r="E8946" t="s">
        <v>158</v>
      </c>
      <c r="F8946" s="2" t="str">
        <f>HYPERLINK("http://www.otzar.org/book.asp?176836","דיוקים על התורה - 5 כר'")</f>
        <v>דיוקים על התורה - 5 כר'</v>
      </c>
    </row>
    <row r="8947" spans="1:6" x14ac:dyDescent="0.2">
      <c r="A8947" t="s">
        <v>15610</v>
      </c>
      <c r="B8947" t="s">
        <v>824</v>
      </c>
      <c r="C8947" t="s">
        <v>553</v>
      </c>
      <c r="D8947" t="s">
        <v>721</v>
      </c>
      <c r="E8947" t="s">
        <v>158</v>
      </c>
      <c r="F8947" s="2" t="str">
        <f>HYPERLINK("http://www.otzar.org/book.asp?179764","דיוקים על ספר משלי")</f>
        <v>דיוקים על ספר משלי</v>
      </c>
    </row>
    <row r="8948" spans="1:6" x14ac:dyDescent="0.2">
      <c r="A8948" t="s">
        <v>15611</v>
      </c>
      <c r="B8948" t="s">
        <v>15612</v>
      </c>
      <c r="C8948" t="s">
        <v>20</v>
      </c>
      <c r="D8948" t="s">
        <v>90</v>
      </c>
      <c r="E8948" t="s">
        <v>202</v>
      </c>
      <c r="F8948" s="2" t="str">
        <f>HYPERLINK("http://www.otzar.org/book.asp?156699","דיוקן לדמותה של הרבנית יגל")</f>
        <v>דיוקן לדמותה של הרבנית יגל</v>
      </c>
    </row>
    <row r="8949" spans="1:6" x14ac:dyDescent="0.2">
      <c r="A8949" t="s">
        <v>15613</v>
      </c>
      <c r="B8949" t="s">
        <v>15614</v>
      </c>
      <c r="C8949" t="s">
        <v>506</v>
      </c>
      <c r="D8949" t="s">
        <v>563</v>
      </c>
      <c r="E8949" t="s">
        <v>234</v>
      </c>
      <c r="F8949" s="2" t="str">
        <f>HYPERLINK("http://www.otzar.org/book.asp?158315","דיוקנו של יעקב")</f>
        <v>דיוקנו של יעקב</v>
      </c>
    </row>
    <row r="8950" spans="1:6" x14ac:dyDescent="0.2">
      <c r="A8950" t="s">
        <v>15615</v>
      </c>
      <c r="B8950" t="s">
        <v>4735</v>
      </c>
      <c r="C8950" t="s">
        <v>146</v>
      </c>
      <c r="D8950" t="s">
        <v>14</v>
      </c>
      <c r="E8950" t="s">
        <v>579</v>
      </c>
      <c r="F8950" s="2" t="str">
        <f>HYPERLINK("http://www.otzar.org/book.asp?154322","דילוגים אקטואלים בפרשת האזינו")</f>
        <v>דילוגים אקטואלים בפרשת האזינו</v>
      </c>
    </row>
    <row r="8951" spans="1:6" x14ac:dyDescent="0.2">
      <c r="A8951" t="s">
        <v>15616</v>
      </c>
      <c r="B8951" t="s">
        <v>15617</v>
      </c>
      <c r="C8951" t="s">
        <v>103</v>
      </c>
      <c r="D8951" t="s">
        <v>14</v>
      </c>
      <c r="E8951" t="s">
        <v>15</v>
      </c>
      <c r="F8951" s="2" t="str">
        <f>HYPERLINK("http://www.otzar.org/book.asp?50248","דילמות רפואיות ופתרונן ההלכתי")</f>
        <v>דילמות רפואיות ופתרונן ההלכתי</v>
      </c>
    </row>
    <row r="8952" spans="1:6" x14ac:dyDescent="0.2">
      <c r="A8952" t="s">
        <v>15618</v>
      </c>
      <c r="B8952" t="s">
        <v>15619</v>
      </c>
      <c r="C8952" t="s">
        <v>11127</v>
      </c>
      <c r="D8952" t="s">
        <v>76</v>
      </c>
      <c r="E8952" t="s">
        <v>345</v>
      </c>
      <c r="F8952" s="2" t="str">
        <f>HYPERLINK("http://www.otzar.org/book.asp?17525","דין אמת")</f>
        <v>דין אמת</v>
      </c>
    </row>
    <row r="8953" spans="1:6" x14ac:dyDescent="0.2">
      <c r="A8953" t="s">
        <v>15620</v>
      </c>
      <c r="B8953" t="s">
        <v>15621</v>
      </c>
      <c r="C8953" t="s">
        <v>129</v>
      </c>
      <c r="D8953" t="s">
        <v>2125</v>
      </c>
      <c r="F8953" s="2" t="str">
        <f>HYPERLINK("http://www.otzar.org/book.asp?169600","דין אמת, בית מושב")</f>
        <v>דין אמת, בית מושב</v>
      </c>
    </row>
    <row r="8954" spans="1:6" x14ac:dyDescent="0.2">
      <c r="A8954" t="s">
        <v>15622</v>
      </c>
      <c r="B8954" t="s">
        <v>15623</v>
      </c>
      <c r="C8954" t="s">
        <v>129</v>
      </c>
      <c r="D8954" t="s">
        <v>52</v>
      </c>
      <c r="E8954" t="s">
        <v>15</v>
      </c>
      <c r="F8954" s="2" t="str">
        <f>HYPERLINK("http://www.otzar.org/book.asp?188929","דין ברכת הסופגניות")</f>
        <v>דין ברכת הסופגניות</v>
      </c>
    </row>
    <row r="8955" spans="1:6" x14ac:dyDescent="0.2">
      <c r="A8955" t="s">
        <v>15624</v>
      </c>
      <c r="B8955" t="s">
        <v>15625</v>
      </c>
      <c r="C8955" t="s">
        <v>411</v>
      </c>
      <c r="D8955" t="s">
        <v>2798</v>
      </c>
      <c r="E8955" t="s">
        <v>130</v>
      </c>
      <c r="F8955" s="2" t="str">
        <f>HYPERLINK("http://www.otzar.org/book.asp?189290","דין הפורים בבאר שבע")</f>
        <v>דין הפורים בבאר שבע</v>
      </c>
    </row>
    <row r="8956" spans="1:6" x14ac:dyDescent="0.2">
      <c r="A8956" t="s">
        <v>15626</v>
      </c>
      <c r="B8956" t="s">
        <v>15627</v>
      </c>
      <c r="C8956" t="s">
        <v>442</v>
      </c>
      <c r="D8956" t="s">
        <v>27</v>
      </c>
      <c r="E8956" t="s">
        <v>119</v>
      </c>
      <c r="F8956" s="2" t="str">
        <f>HYPERLINK("http://www.otzar.org/book.asp?189626","דין וחשבון כספי ומעשי של הוועד הכללי לעדת הבבלים - 2 כר'")</f>
        <v>דין וחשבון כספי ומעשי של הוועד הכללי לעדת הבבלים - 2 כר'</v>
      </c>
    </row>
    <row r="8957" spans="1:6" x14ac:dyDescent="0.2">
      <c r="A8957" t="s">
        <v>15628</v>
      </c>
      <c r="B8957" t="s">
        <v>15629</v>
      </c>
      <c r="C8957" t="s">
        <v>180</v>
      </c>
      <c r="D8957" t="s">
        <v>14</v>
      </c>
      <c r="E8957" t="s">
        <v>104</v>
      </c>
      <c r="F8957" s="2" t="str">
        <f>HYPERLINK("http://www.otzar.org/book.asp?623429","דין וחשבון מוגש לצירי הכנסיה הגדולה העולמית החמישית")</f>
        <v>דין וחשבון מוגש לצירי הכנסיה הגדולה העולמית החמישית</v>
      </c>
    </row>
    <row r="8958" spans="1:6" x14ac:dyDescent="0.2">
      <c r="A8958" t="s">
        <v>15630</v>
      </c>
      <c r="B8958" t="s">
        <v>15631</v>
      </c>
      <c r="C8958" t="s">
        <v>224</v>
      </c>
      <c r="D8958" t="s">
        <v>14</v>
      </c>
      <c r="E8958" t="s">
        <v>733</v>
      </c>
      <c r="F8958" s="2" t="str">
        <f>HYPERLINK("http://www.otzar.org/book.asp?189623","דין וחשבון על פעולות ישיבת פורת יוסף")</f>
        <v>דין וחשבון על פעולות ישיבת פורת יוסף</v>
      </c>
    </row>
    <row r="8959" spans="1:6" x14ac:dyDescent="0.2">
      <c r="A8959" t="s">
        <v>15632</v>
      </c>
      <c r="B8959" t="s">
        <v>15633</v>
      </c>
      <c r="C8959" t="s">
        <v>286</v>
      </c>
      <c r="D8959" t="s">
        <v>260</v>
      </c>
      <c r="F8959" s="2" t="str">
        <f>HYPERLINK("http://www.otzar.org/book.asp?195895","דין וחשבון שנתי")</f>
        <v>דין וחשבון שנתי</v>
      </c>
    </row>
    <row r="8960" spans="1:6" x14ac:dyDescent="0.2">
      <c r="A8960" t="s">
        <v>15634</v>
      </c>
      <c r="B8960" t="s">
        <v>15635</v>
      </c>
      <c r="C8960" t="s">
        <v>366</v>
      </c>
      <c r="D8960" t="s">
        <v>486</v>
      </c>
      <c r="F8960" s="2" t="str">
        <f>HYPERLINK("http://www.otzar.org/book.asp?615126","דין וחשבון")</f>
        <v>דין וחשבון</v>
      </c>
    </row>
    <row r="8961" spans="1:6" x14ac:dyDescent="0.2">
      <c r="A8961" t="s">
        <v>15636</v>
      </c>
      <c r="B8961" t="s">
        <v>9096</v>
      </c>
      <c r="C8961" t="s">
        <v>442</v>
      </c>
      <c r="D8961" t="s">
        <v>2061</v>
      </c>
      <c r="E8961" t="s">
        <v>15</v>
      </c>
      <c r="F8961" s="2" t="str">
        <f>HYPERLINK("http://www.otzar.org/book.asp?300401","דין מצות יבום בזמן הזה")</f>
        <v>דין מצות יבום בזמן הזה</v>
      </c>
    </row>
    <row r="8962" spans="1:6" x14ac:dyDescent="0.2">
      <c r="A8962" t="s">
        <v>15637</v>
      </c>
      <c r="B8962" t="s">
        <v>15638</v>
      </c>
      <c r="C8962" t="s">
        <v>185</v>
      </c>
      <c r="D8962" t="s">
        <v>14</v>
      </c>
      <c r="E8962" t="s">
        <v>144</v>
      </c>
      <c r="F8962" s="2" t="str">
        <f>HYPERLINK("http://www.otzar.org/book.asp?630873","דינא דבור")</f>
        <v>דינא דבור</v>
      </c>
    </row>
    <row r="8963" spans="1:6" x14ac:dyDescent="0.2">
      <c r="A8963" t="s">
        <v>15639</v>
      </c>
      <c r="B8963" t="s">
        <v>15638</v>
      </c>
      <c r="C8963" t="s">
        <v>151</v>
      </c>
      <c r="D8963" t="s">
        <v>14</v>
      </c>
      <c r="E8963" t="s">
        <v>144</v>
      </c>
      <c r="F8963" s="2" t="str">
        <f>HYPERLINK("http://www.otzar.org/book.asp?630872","דינא דגזלן")</f>
        <v>דינא דגזלן</v>
      </c>
    </row>
    <row r="8964" spans="1:6" x14ac:dyDescent="0.2">
      <c r="A8964" t="s">
        <v>15640</v>
      </c>
      <c r="B8964" t="s">
        <v>15641</v>
      </c>
      <c r="C8964" t="s">
        <v>114</v>
      </c>
      <c r="D8964" t="s">
        <v>245</v>
      </c>
      <c r="E8964" t="s">
        <v>15</v>
      </c>
      <c r="F8964" s="2" t="str">
        <f>HYPERLINK("http://www.otzar.org/book.asp?174192","דינא דגרמי &lt;מילי דגרמי&gt;")</f>
        <v>דינא דגרמי &lt;מילי דגרמי&gt;</v>
      </c>
    </row>
    <row r="8965" spans="1:6" x14ac:dyDescent="0.2">
      <c r="A8965" t="s">
        <v>15642</v>
      </c>
      <c r="B8965" t="s">
        <v>15643</v>
      </c>
      <c r="C8965" t="s">
        <v>87</v>
      </c>
      <c r="D8965" t="s">
        <v>14</v>
      </c>
      <c r="F8965" s="2" t="str">
        <f>HYPERLINK("http://www.otzar.org/book.asp?618745","דינא דגרמי עם אמרי מרדכי")</f>
        <v>דינא דגרמי עם אמרי מרדכי</v>
      </c>
    </row>
    <row r="8966" spans="1:6" x14ac:dyDescent="0.2">
      <c r="A8966" t="s">
        <v>15644</v>
      </c>
      <c r="B8966" t="s">
        <v>15645</v>
      </c>
      <c r="C8966" t="s">
        <v>767</v>
      </c>
      <c r="D8966" t="s">
        <v>52</v>
      </c>
      <c r="F8966" s="2" t="str">
        <f>HYPERLINK("http://www.otzar.org/book.asp?610801","דינא דגרמי עם פירוש ביאור המשפט")</f>
        <v>דינא דגרמי עם פירוש ביאור המשפט</v>
      </c>
    </row>
    <row r="8967" spans="1:6" x14ac:dyDescent="0.2">
      <c r="A8967" t="s">
        <v>15646</v>
      </c>
      <c r="B8967" t="s">
        <v>15647</v>
      </c>
      <c r="C8967" t="s">
        <v>189</v>
      </c>
      <c r="D8967" t="s">
        <v>657</v>
      </c>
      <c r="E8967" t="s">
        <v>144</v>
      </c>
      <c r="F8967" s="2" t="str">
        <f>HYPERLINK("http://www.otzar.org/book.asp?23217","דינא דגרמי")</f>
        <v>דינא דגרמי</v>
      </c>
    </row>
    <row r="8968" spans="1:6" x14ac:dyDescent="0.2">
      <c r="A8968" t="s">
        <v>15646</v>
      </c>
      <c r="B8968" t="s">
        <v>15648</v>
      </c>
      <c r="C8968" t="s">
        <v>244</v>
      </c>
      <c r="D8968" t="s">
        <v>52</v>
      </c>
      <c r="E8968" t="s">
        <v>144</v>
      </c>
      <c r="F8968" s="2" t="str">
        <f>HYPERLINK("http://www.otzar.org/book.asp?629522","דינא דגרמי")</f>
        <v>דינא דגרמי</v>
      </c>
    </row>
    <row r="8969" spans="1:6" x14ac:dyDescent="0.2">
      <c r="A8969" t="s">
        <v>15646</v>
      </c>
      <c r="B8969" t="s">
        <v>1552</v>
      </c>
      <c r="C8969" t="s">
        <v>15649</v>
      </c>
      <c r="D8969" t="s">
        <v>1490</v>
      </c>
      <c r="F8969" s="2" t="str">
        <f>HYPERLINK("http://www.otzar.org/book.asp?164912","דינא דגרמי")</f>
        <v>דינא דגרמי</v>
      </c>
    </row>
    <row r="8970" spans="1:6" x14ac:dyDescent="0.2">
      <c r="A8970" t="s">
        <v>15650</v>
      </c>
      <c r="B8970" t="s">
        <v>11484</v>
      </c>
      <c r="C8970" t="s">
        <v>1863</v>
      </c>
      <c r="D8970" t="s">
        <v>1490</v>
      </c>
      <c r="E8970" t="s">
        <v>104</v>
      </c>
      <c r="F8970" s="2" t="str">
        <f>HYPERLINK("http://www.otzar.org/book.asp?100842","דינא דחיי - 6 כר'")</f>
        <v>דינא דחיי - 6 כר'</v>
      </c>
    </row>
    <row r="8971" spans="1:6" x14ac:dyDescent="0.2">
      <c r="A8971" t="s">
        <v>15651</v>
      </c>
      <c r="B8971" t="s">
        <v>15652</v>
      </c>
      <c r="C8971" t="s">
        <v>106</v>
      </c>
      <c r="D8971" t="s">
        <v>14</v>
      </c>
      <c r="E8971" t="s">
        <v>674</v>
      </c>
      <c r="F8971" s="2" t="str">
        <f>HYPERLINK("http://www.otzar.org/book.asp?628650","דינא דמלכותא דינא")</f>
        <v>דינא דמלכותא דינא</v>
      </c>
    </row>
    <row r="8972" spans="1:6" x14ac:dyDescent="0.2">
      <c r="A8972" t="s">
        <v>15653</v>
      </c>
      <c r="B8972" t="s">
        <v>15654</v>
      </c>
      <c r="C8972" t="s">
        <v>366</v>
      </c>
      <c r="D8972" t="s">
        <v>14</v>
      </c>
      <c r="E8972" t="s">
        <v>15</v>
      </c>
      <c r="F8972" s="2" t="str">
        <f>HYPERLINK("http://www.otzar.org/book.asp?623396","דינא דמלכותא")</f>
        <v>דינא דמלכותא</v>
      </c>
    </row>
    <row r="8973" spans="1:6" x14ac:dyDescent="0.2">
      <c r="A8973" t="s">
        <v>15655</v>
      </c>
      <c r="B8973" t="s">
        <v>15656</v>
      </c>
      <c r="C8973" t="s">
        <v>151</v>
      </c>
      <c r="D8973" t="s">
        <v>14</v>
      </c>
      <c r="F8973" s="2" t="str">
        <f>HYPERLINK("http://www.otzar.org/book.asp?619066","דינא דספיקא")</f>
        <v>דינא דספיקא</v>
      </c>
    </row>
    <row r="8974" spans="1:6" x14ac:dyDescent="0.2">
      <c r="A8974" t="s">
        <v>15657</v>
      </c>
      <c r="B8974" t="s">
        <v>15658</v>
      </c>
      <c r="C8974" t="s">
        <v>146</v>
      </c>
      <c r="D8974" t="s">
        <v>52</v>
      </c>
      <c r="E8974" t="s">
        <v>144</v>
      </c>
      <c r="F8974" s="2" t="str">
        <f>HYPERLINK("http://www.otzar.org/book.asp?169210","דינא רפיא")</f>
        <v>דינא רפיא</v>
      </c>
    </row>
    <row r="8975" spans="1:6" x14ac:dyDescent="0.2">
      <c r="A8975" t="s">
        <v>15659</v>
      </c>
      <c r="B8975" t="s">
        <v>8048</v>
      </c>
      <c r="C8975" t="s">
        <v>129</v>
      </c>
      <c r="D8975" t="s">
        <v>721</v>
      </c>
      <c r="E8975" t="s">
        <v>15</v>
      </c>
      <c r="F8975" s="2" t="str">
        <f>HYPERLINK("http://www.otzar.org/book.asp?623839","דיני אבלות")</f>
        <v>דיני אבלות</v>
      </c>
    </row>
    <row r="8976" spans="1:6" x14ac:dyDescent="0.2">
      <c r="A8976" t="s">
        <v>15660</v>
      </c>
      <c r="B8976" t="s">
        <v>11549</v>
      </c>
      <c r="C8976" t="s">
        <v>411</v>
      </c>
      <c r="D8976" t="s">
        <v>21</v>
      </c>
      <c r="E8976" t="s">
        <v>15</v>
      </c>
      <c r="F8976" s="2" t="str">
        <f>HYPERLINK("http://www.otzar.org/book.asp?604220","דיני איטר יד")</f>
        <v>דיני איטר יד</v>
      </c>
    </row>
    <row r="8977" spans="1:6" x14ac:dyDescent="0.2">
      <c r="A8977" t="s">
        <v>15661</v>
      </c>
      <c r="B8977" t="s">
        <v>206</v>
      </c>
      <c r="C8977" t="s">
        <v>785</v>
      </c>
      <c r="D8977" t="s">
        <v>14</v>
      </c>
      <c r="E8977" t="s">
        <v>15</v>
      </c>
      <c r="F8977" s="2" t="str">
        <f>HYPERLINK("http://www.otzar.org/book.asp?85547","דיני איטר")</f>
        <v>דיני איטר</v>
      </c>
    </row>
    <row r="8978" spans="1:6" x14ac:dyDescent="0.2">
      <c r="A8978" t="s">
        <v>15661</v>
      </c>
      <c r="B8978" t="s">
        <v>15662</v>
      </c>
      <c r="C8978" t="s">
        <v>151</v>
      </c>
      <c r="D8978" t="s">
        <v>852</v>
      </c>
      <c r="F8978" s="2" t="str">
        <f>HYPERLINK("http://www.otzar.org/book.asp?615166","דיני איטר")</f>
        <v>דיני איטר</v>
      </c>
    </row>
    <row r="8979" spans="1:6" x14ac:dyDescent="0.2">
      <c r="A8979" t="s">
        <v>15663</v>
      </c>
      <c r="B8979" t="s">
        <v>15664</v>
      </c>
      <c r="C8979" t="s">
        <v>133</v>
      </c>
      <c r="D8979" t="s">
        <v>21</v>
      </c>
      <c r="E8979" t="s">
        <v>15</v>
      </c>
      <c r="F8979" s="2" t="str">
        <f>HYPERLINK("http://www.otzar.org/book.asp?600307","דיני אישות - 2 כר'")</f>
        <v>דיני אישות - 2 כר'</v>
      </c>
    </row>
    <row r="8980" spans="1:6" x14ac:dyDescent="0.2">
      <c r="A8980" t="s">
        <v>15665</v>
      </c>
      <c r="B8980" t="s">
        <v>3286</v>
      </c>
      <c r="C8980" t="s">
        <v>411</v>
      </c>
      <c r="D8980" t="s">
        <v>52</v>
      </c>
      <c r="E8980" t="s">
        <v>15</v>
      </c>
      <c r="F8980" s="2" t="str">
        <f>HYPERLINK("http://www.otzar.org/book.asp?166981","דיני ארבע תעניות ציבור הקבועים")</f>
        <v>דיני ארבע תעניות ציבור הקבועים</v>
      </c>
    </row>
    <row r="8981" spans="1:6" x14ac:dyDescent="0.2">
      <c r="A8981" t="s">
        <v>15666</v>
      </c>
      <c r="B8981" t="s">
        <v>15667</v>
      </c>
      <c r="C8981" t="s">
        <v>111</v>
      </c>
      <c r="D8981" t="s">
        <v>15668</v>
      </c>
      <c r="F8981" s="2" t="str">
        <f>HYPERLINK("http://www.otzar.org/book.asp?620741","דיני ארבעת המינים הלכה למעשה")</f>
        <v>דיני ארבעת המינים הלכה למעשה</v>
      </c>
    </row>
    <row r="8982" spans="1:6" x14ac:dyDescent="0.2">
      <c r="A8982" t="s">
        <v>15669</v>
      </c>
      <c r="B8982" t="s">
        <v>15670</v>
      </c>
      <c r="C8982" t="s">
        <v>51</v>
      </c>
      <c r="D8982" t="s">
        <v>14</v>
      </c>
      <c r="E8982" t="s">
        <v>674</v>
      </c>
      <c r="F8982" s="2" t="str">
        <f>HYPERLINK("http://www.otzar.org/book.asp?177188","דיני בוררות")</f>
        <v>דיני בוררות</v>
      </c>
    </row>
    <row r="8983" spans="1:6" x14ac:dyDescent="0.2">
      <c r="A8983" t="s">
        <v>15671</v>
      </c>
      <c r="B8983" t="s">
        <v>107</v>
      </c>
      <c r="C8983" t="s">
        <v>1388</v>
      </c>
      <c r="D8983" t="s">
        <v>14</v>
      </c>
      <c r="E8983" t="s">
        <v>15</v>
      </c>
      <c r="F8983" s="2" t="str">
        <f>HYPERLINK("http://www.otzar.org/book.asp?84017","דיני ביעור מעשרות ומצות וידוי מעשר")</f>
        <v>דיני ביעור מעשרות ומצות וידוי מעשר</v>
      </c>
    </row>
    <row r="8984" spans="1:6" x14ac:dyDescent="0.2">
      <c r="A8984" t="s">
        <v>15672</v>
      </c>
      <c r="B8984" t="s">
        <v>2530</v>
      </c>
      <c r="C8984" t="s">
        <v>775</v>
      </c>
      <c r="D8984" t="s">
        <v>412</v>
      </c>
      <c r="F8984" s="2" t="str">
        <f>HYPERLINK("http://www.otzar.org/book.asp?617864","דיני בישולי נכרים")</f>
        <v>דיני בישולי נכרים</v>
      </c>
    </row>
    <row r="8985" spans="1:6" x14ac:dyDescent="0.2">
      <c r="A8985" t="s">
        <v>15673</v>
      </c>
      <c r="B8985" t="s">
        <v>2530</v>
      </c>
      <c r="C8985" t="s">
        <v>767</v>
      </c>
      <c r="D8985" t="s">
        <v>90</v>
      </c>
      <c r="F8985" s="2" t="str">
        <f>HYPERLINK("http://www.otzar.org/book.asp?619404","דיני ברכות")</f>
        <v>דיני ברכות</v>
      </c>
    </row>
    <row r="8986" spans="1:6" x14ac:dyDescent="0.2">
      <c r="A8986" t="s">
        <v>15674</v>
      </c>
      <c r="B8986" t="s">
        <v>4574</v>
      </c>
      <c r="C8986" t="s">
        <v>11974</v>
      </c>
      <c r="D8986" t="s">
        <v>15675</v>
      </c>
      <c r="E8986" t="s">
        <v>15</v>
      </c>
      <c r="F8986" s="2" t="str">
        <f>HYPERLINK("http://www.otzar.org/book.asp?64041","דיני ברכת השחר")</f>
        <v>דיני ברכת השחר</v>
      </c>
    </row>
    <row r="8987" spans="1:6" x14ac:dyDescent="0.2">
      <c r="A8987" t="s">
        <v>15676</v>
      </c>
      <c r="C8987" t="s">
        <v>146</v>
      </c>
      <c r="E8987" t="s">
        <v>674</v>
      </c>
      <c r="F8987" s="2" t="str">
        <f>HYPERLINK("http://www.otzar.org/book.asp?605180","דיני ברכת כהנים הנוגעים לישראל")</f>
        <v>דיני ברכת כהנים הנוגעים לישראל</v>
      </c>
    </row>
    <row r="8988" spans="1:6" x14ac:dyDescent="0.2">
      <c r="A8988" t="s">
        <v>15677</v>
      </c>
      <c r="B8988" t="s">
        <v>15678</v>
      </c>
      <c r="C8988" t="s">
        <v>111</v>
      </c>
      <c r="D8988" t="s">
        <v>52</v>
      </c>
      <c r="E8988" t="s">
        <v>15</v>
      </c>
      <c r="F8988" s="2" t="str">
        <f>HYPERLINK("http://www.otzar.org/book.asp?629830","דיני בשר בחלב")</f>
        <v>דיני בשר בחלב</v>
      </c>
    </row>
    <row r="8989" spans="1:6" x14ac:dyDescent="0.2">
      <c r="A8989" t="s">
        <v>15679</v>
      </c>
      <c r="B8989" t="s">
        <v>7320</v>
      </c>
      <c r="C8989" t="s">
        <v>422</v>
      </c>
      <c r="D8989" t="s">
        <v>14</v>
      </c>
      <c r="F8989" s="2" t="str">
        <f>HYPERLINK("http://www.otzar.org/book.asp?175933","דיני דרבנן בשבת (צבעוני)")</f>
        <v>דיני דרבנן בשבת (צבעוני)</v>
      </c>
    </row>
    <row r="8990" spans="1:6" x14ac:dyDescent="0.2">
      <c r="A8990" t="s">
        <v>15680</v>
      </c>
      <c r="B8990" t="s">
        <v>15681</v>
      </c>
      <c r="C8990" t="s">
        <v>553</v>
      </c>
      <c r="D8990" t="s">
        <v>15682</v>
      </c>
      <c r="E8990" t="s">
        <v>15</v>
      </c>
      <c r="F8990" s="2" t="str">
        <f>HYPERLINK("http://www.otzar.org/book.asp?160719","דיני הביעור בשביעית ובשמינית")</f>
        <v>דיני הביעור בשביעית ובשמינית</v>
      </c>
    </row>
    <row r="8991" spans="1:6" x14ac:dyDescent="0.2">
      <c r="A8991" t="s">
        <v>15683</v>
      </c>
      <c r="B8991" t="s">
        <v>5846</v>
      </c>
      <c r="C8991" t="s">
        <v>313</v>
      </c>
      <c r="D8991" t="s">
        <v>216</v>
      </c>
      <c r="E8991" t="s">
        <v>15</v>
      </c>
      <c r="F8991" s="2" t="str">
        <f>HYPERLINK("http://www.otzar.org/book.asp?21869","דיני הגיור והגר")</f>
        <v>דיני הגיור והגר</v>
      </c>
    </row>
    <row r="8992" spans="1:6" x14ac:dyDescent="0.2">
      <c r="A8992" t="s">
        <v>15684</v>
      </c>
      <c r="B8992" t="s">
        <v>9611</v>
      </c>
      <c r="C8992" t="s">
        <v>1609</v>
      </c>
      <c r="D8992" t="s">
        <v>27</v>
      </c>
      <c r="E8992" t="s">
        <v>674</v>
      </c>
      <c r="F8992" s="2" t="str">
        <f>HYPERLINK("http://www.otzar.org/book.asp?84392","דיני הדלקת הנרות")</f>
        <v>דיני הדלקת הנרות</v>
      </c>
    </row>
    <row r="8993" spans="1:6" x14ac:dyDescent="0.2">
      <c r="A8993" t="s">
        <v>15685</v>
      </c>
      <c r="B8993" t="s">
        <v>7352</v>
      </c>
      <c r="C8993" t="s">
        <v>146</v>
      </c>
      <c r="D8993" t="s">
        <v>52</v>
      </c>
      <c r="E8993" t="s">
        <v>130</v>
      </c>
      <c r="F8993" s="2" t="str">
        <f>HYPERLINK("http://www.otzar.org/book.asp?197239","דיני הדלקת נרות חנוכה")</f>
        <v>דיני הדלקת נרות חנוכה</v>
      </c>
    </row>
    <row r="8994" spans="1:6" x14ac:dyDescent="0.2">
      <c r="A8994" t="s">
        <v>15686</v>
      </c>
      <c r="B8994" t="s">
        <v>15687</v>
      </c>
      <c r="C8994" t="s">
        <v>176</v>
      </c>
      <c r="D8994" t="s">
        <v>14</v>
      </c>
      <c r="E8994" t="s">
        <v>15</v>
      </c>
      <c r="F8994" s="2" t="str">
        <f>HYPERLINK("http://www.otzar.org/book.asp?143802","דיני החולה בשבת, ביו""ט וביוה""כ")</f>
        <v>דיני החולה בשבת, ביו"ט וביוה"כ</v>
      </c>
    </row>
    <row r="8995" spans="1:6" x14ac:dyDescent="0.2">
      <c r="A8995" t="s">
        <v>15688</v>
      </c>
      <c r="B8995" t="s">
        <v>15689</v>
      </c>
      <c r="C8995" t="s">
        <v>17</v>
      </c>
      <c r="D8995" t="s">
        <v>3069</v>
      </c>
      <c r="E8995" t="s">
        <v>15</v>
      </c>
      <c r="F8995" s="2" t="str">
        <f>HYPERLINK("http://www.otzar.org/book.asp?162161","דיני הכנת אוכל בשבת")</f>
        <v>דיני הכנת אוכל בשבת</v>
      </c>
    </row>
    <row r="8996" spans="1:6" x14ac:dyDescent="0.2">
      <c r="A8996" t="s">
        <v>15690</v>
      </c>
      <c r="B8996" t="s">
        <v>2979</v>
      </c>
      <c r="C8996" t="s">
        <v>20</v>
      </c>
      <c r="D8996" t="s">
        <v>486</v>
      </c>
      <c r="E8996" t="s">
        <v>15</v>
      </c>
      <c r="F8996" s="2" t="str">
        <f>HYPERLINK("http://www.otzar.org/book.asp?188798","דיני המטבח היהודי")</f>
        <v>דיני המטבח היהודי</v>
      </c>
    </row>
    <row r="8997" spans="1:6" x14ac:dyDescent="0.2">
      <c r="A8997" t="s">
        <v>15691</v>
      </c>
      <c r="B8997" t="s">
        <v>15692</v>
      </c>
      <c r="C8997" t="s">
        <v>466</v>
      </c>
      <c r="D8997" t="s">
        <v>14</v>
      </c>
      <c r="E8997" t="s">
        <v>15</v>
      </c>
      <c r="F8997" s="2" t="str">
        <f>HYPERLINK("http://www.otzar.org/book.asp?171840","דיני הניעור כל הלילה")</f>
        <v>דיני הניעור כל הלילה</v>
      </c>
    </row>
    <row r="8998" spans="1:6" x14ac:dyDescent="0.2">
      <c r="A8998" t="s">
        <v>15693</v>
      </c>
      <c r="B8998" t="s">
        <v>15694</v>
      </c>
      <c r="C8998" t="s">
        <v>111</v>
      </c>
      <c r="D8998" t="s">
        <v>52</v>
      </c>
      <c r="E8998" t="s">
        <v>1211</v>
      </c>
      <c r="F8998" s="2" t="str">
        <f>HYPERLINK("http://www.otzar.org/book.asp?628510","דיני הקרבת המנחה - מראי מקומות")</f>
        <v>דיני הקרבת המנחה - מראי מקומות</v>
      </c>
    </row>
    <row r="8999" spans="1:6" x14ac:dyDescent="0.2">
      <c r="A8999" t="s">
        <v>15695</v>
      </c>
      <c r="B8999" t="s">
        <v>15687</v>
      </c>
      <c r="C8999" t="s">
        <v>176</v>
      </c>
      <c r="D8999" t="s">
        <v>14</v>
      </c>
      <c r="E8999" t="s">
        <v>15</v>
      </c>
      <c r="F8999" s="2" t="str">
        <f>HYPERLINK("http://www.otzar.org/book.asp?143803","דיני הרופא בשבת וביום טוב")</f>
        <v>דיני הרופא בשבת וביום טוב</v>
      </c>
    </row>
    <row r="9000" spans="1:6" x14ac:dyDescent="0.2">
      <c r="A9000" t="s">
        <v>15696</v>
      </c>
      <c r="B9000" t="s">
        <v>15697</v>
      </c>
      <c r="D9000" t="s">
        <v>21</v>
      </c>
      <c r="F9000" s="2" t="str">
        <f>HYPERLINK("http://www.otzar.org/book.asp?194711","דיני הרחקות")</f>
        <v>דיני הרחקות</v>
      </c>
    </row>
    <row r="9001" spans="1:6" x14ac:dyDescent="0.2">
      <c r="A9001" t="s">
        <v>15698</v>
      </c>
      <c r="B9001" t="s">
        <v>4606</v>
      </c>
      <c r="C9001" t="s">
        <v>17</v>
      </c>
      <c r="D9001" t="s">
        <v>14</v>
      </c>
      <c r="E9001" t="s">
        <v>130</v>
      </c>
      <c r="F9001" s="2" t="str">
        <f>HYPERLINK("http://www.otzar.org/book.asp?61515","דיני ומנהגי פורים משולש וערב פסח שחל בשבת")</f>
        <v>דיני ומנהגי פורים משולש וערב פסח שחל בשבת</v>
      </c>
    </row>
    <row r="9002" spans="1:6" x14ac:dyDescent="0.2">
      <c r="A9002" t="s">
        <v>15699</v>
      </c>
      <c r="B9002" t="s">
        <v>10154</v>
      </c>
      <c r="C9002" t="s">
        <v>168</v>
      </c>
      <c r="D9002" t="s">
        <v>21</v>
      </c>
      <c r="E9002" t="s">
        <v>15</v>
      </c>
      <c r="F9002" s="2" t="str">
        <f>HYPERLINK("http://www.otzar.org/book.asp?195218","דיני ומנהגי ק""ק ארגי""ל")</f>
        <v>דיני ומנהגי ק"ק ארגי"ל</v>
      </c>
    </row>
    <row r="9003" spans="1:6" x14ac:dyDescent="0.2">
      <c r="A9003" t="s">
        <v>15700</v>
      </c>
      <c r="B9003" t="s">
        <v>107</v>
      </c>
      <c r="C9003" t="s">
        <v>20</v>
      </c>
      <c r="D9003" t="s">
        <v>14</v>
      </c>
      <c r="E9003" t="s">
        <v>15</v>
      </c>
      <c r="F9003" s="2" t="str">
        <f>HYPERLINK("http://www.otzar.org/book.asp?6302","דיני חג הסוכות")</f>
        <v>דיני חג הסוכות</v>
      </c>
    </row>
    <row r="9004" spans="1:6" x14ac:dyDescent="0.2">
      <c r="A9004" t="s">
        <v>15701</v>
      </c>
      <c r="B9004" t="s">
        <v>15702</v>
      </c>
      <c r="C9004" t="s">
        <v>111</v>
      </c>
      <c r="D9004" t="s">
        <v>152</v>
      </c>
      <c r="E9004" t="s">
        <v>246</v>
      </c>
      <c r="F9004" s="2" t="str">
        <f>HYPERLINK("http://www.otzar.org/book.asp?625547","דיני חג השבועות שחל ביום א'")</f>
        <v>דיני חג השבועות שחל ביום א'</v>
      </c>
    </row>
    <row r="9005" spans="1:6" x14ac:dyDescent="0.2">
      <c r="A9005" t="s">
        <v>15703</v>
      </c>
      <c r="B9005" t="s">
        <v>15704</v>
      </c>
      <c r="C9005" t="s">
        <v>1570</v>
      </c>
      <c r="D9005" t="s">
        <v>14</v>
      </c>
      <c r="F9005" s="2" t="str">
        <f>HYPERLINK("http://www.otzar.org/book.asp?612801","דיני חוזים במשפט העברי")</f>
        <v>דיני חוזים במשפט העברי</v>
      </c>
    </row>
    <row r="9006" spans="1:6" x14ac:dyDescent="0.2">
      <c r="A9006" t="s">
        <v>15705</v>
      </c>
      <c r="B9006" t="s">
        <v>15706</v>
      </c>
      <c r="C9006" t="s">
        <v>454</v>
      </c>
      <c r="D9006" t="s">
        <v>52</v>
      </c>
      <c r="E9006" t="s">
        <v>15</v>
      </c>
      <c r="F9006" s="2" t="str">
        <f>HYPERLINK("http://www.otzar.org/book.asp?60295","דיני חלת ארץ ישראל")</f>
        <v>דיני חלת ארץ ישראל</v>
      </c>
    </row>
    <row r="9007" spans="1:6" x14ac:dyDescent="0.2">
      <c r="A9007" t="s">
        <v>15707</v>
      </c>
      <c r="B9007" t="s">
        <v>15708</v>
      </c>
      <c r="C9007" t="s">
        <v>71</v>
      </c>
      <c r="D9007" t="s">
        <v>14</v>
      </c>
      <c r="E9007" t="s">
        <v>130</v>
      </c>
      <c r="F9007" s="2" t="str">
        <f>HYPERLINK("http://www.otzar.org/book.asp?626086","דיני חנוכה - ע""פ פסקי רבי מרדכי אליהו")</f>
        <v>דיני חנוכה - ע"פ פסקי רבי מרדכי אליהו</v>
      </c>
    </row>
    <row r="9008" spans="1:6" x14ac:dyDescent="0.2">
      <c r="A9008" t="s">
        <v>15709</v>
      </c>
      <c r="B9008" t="s">
        <v>206</v>
      </c>
      <c r="C9008" t="s">
        <v>767</v>
      </c>
      <c r="D9008" t="s">
        <v>5172</v>
      </c>
      <c r="E9008" t="s">
        <v>130</v>
      </c>
      <c r="F9008" s="2" t="str">
        <f>HYPERLINK("http://www.otzar.org/book.asp?163870","דיני חנוכה")</f>
        <v>דיני חנוכה</v>
      </c>
    </row>
    <row r="9009" spans="1:6" x14ac:dyDescent="0.2">
      <c r="A9009" t="s">
        <v>15709</v>
      </c>
      <c r="B9009" t="s">
        <v>15710</v>
      </c>
      <c r="C9009" t="s">
        <v>767</v>
      </c>
      <c r="D9009" t="s">
        <v>14</v>
      </c>
      <c r="E9009" t="s">
        <v>130</v>
      </c>
      <c r="F9009" s="2" t="str">
        <f>HYPERLINK("http://www.otzar.org/book.asp?169169","דיני חנוכה")</f>
        <v>דיני חנוכה</v>
      </c>
    </row>
    <row r="9010" spans="1:6" x14ac:dyDescent="0.2">
      <c r="A9010" t="s">
        <v>15711</v>
      </c>
      <c r="B9010" t="s">
        <v>15702</v>
      </c>
      <c r="C9010" t="s">
        <v>151</v>
      </c>
      <c r="D9010" t="s">
        <v>152</v>
      </c>
      <c r="E9010" t="s">
        <v>130</v>
      </c>
      <c r="F9010" s="2" t="str">
        <f>HYPERLINK("http://www.otzar.org/book.asp?608656","דיני יום הכיפורים שחל בשבת")</f>
        <v>דיני יום הכיפורים שחל בשבת</v>
      </c>
    </row>
    <row r="9011" spans="1:6" x14ac:dyDescent="0.2">
      <c r="A9011" t="s">
        <v>15712</v>
      </c>
      <c r="B9011" t="s">
        <v>3108</v>
      </c>
      <c r="C9011" t="s">
        <v>581</v>
      </c>
      <c r="D9011" t="s">
        <v>9</v>
      </c>
      <c r="E9011" t="s">
        <v>130</v>
      </c>
      <c r="F9011" s="2" t="str">
        <f>HYPERLINK("http://www.otzar.org/book.asp?21028","דיני ישראל ומנהגיו")</f>
        <v>דיני ישראל ומנהגיו</v>
      </c>
    </row>
    <row r="9012" spans="1:6" x14ac:dyDescent="0.2">
      <c r="A9012" t="s">
        <v>15713</v>
      </c>
      <c r="B9012" t="s">
        <v>6445</v>
      </c>
      <c r="C9012" t="s">
        <v>313</v>
      </c>
      <c r="D9012" t="s">
        <v>14</v>
      </c>
      <c r="E9012" t="s">
        <v>15</v>
      </c>
      <c r="F9012" s="2" t="str">
        <f>HYPERLINK("http://www.otzar.org/book.asp?17063","דיני ליל הסדר")</f>
        <v>דיני ליל הסדר</v>
      </c>
    </row>
    <row r="9013" spans="1:6" x14ac:dyDescent="0.2">
      <c r="A9013" t="s">
        <v>15714</v>
      </c>
      <c r="B9013" t="s">
        <v>1617</v>
      </c>
      <c r="C9013" t="s">
        <v>725</v>
      </c>
      <c r="D9013" t="s">
        <v>15715</v>
      </c>
      <c r="E9013" t="s">
        <v>15</v>
      </c>
      <c r="F9013" s="2" t="str">
        <f>HYPERLINK("http://www.otzar.org/book.asp?603383","דיני ממונות")</f>
        <v>דיני ממונות</v>
      </c>
    </row>
    <row r="9014" spans="1:6" x14ac:dyDescent="0.2">
      <c r="A9014" t="s">
        <v>15716</v>
      </c>
      <c r="B9014" t="s">
        <v>15664</v>
      </c>
      <c r="C9014" t="s">
        <v>775</v>
      </c>
      <c r="D9014" t="s">
        <v>14</v>
      </c>
      <c r="E9014" t="s">
        <v>15</v>
      </c>
      <c r="F9014" s="2" t="str">
        <f>HYPERLINK("http://www.otzar.org/book.asp?152298","דיני ממונות - 4 כר'")</f>
        <v>דיני ממונות - 4 כר'</v>
      </c>
    </row>
    <row r="9015" spans="1:6" x14ac:dyDescent="0.2">
      <c r="A9015" t="s">
        <v>15717</v>
      </c>
      <c r="B9015" t="s">
        <v>7320</v>
      </c>
      <c r="C9015" t="s">
        <v>23</v>
      </c>
      <c r="D9015" t="s">
        <v>14</v>
      </c>
      <c r="E9015" t="s">
        <v>15</v>
      </c>
      <c r="F9015" s="2" t="str">
        <f>HYPERLINK("http://www.otzar.org/book.asp?630588","דיני משחקים בשבת")</f>
        <v>דיני משחקים בשבת</v>
      </c>
    </row>
    <row r="9016" spans="1:6" x14ac:dyDescent="0.2">
      <c r="A9016" t="s">
        <v>15718</v>
      </c>
      <c r="B9016" t="s">
        <v>15704</v>
      </c>
      <c r="C9016" t="s">
        <v>940</v>
      </c>
      <c r="D9016" t="s">
        <v>14</v>
      </c>
      <c r="E9016" t="s">
        <v>15</v>
      </c>
      <c r="F9016" s="2" t="str">
        <f>HYPERLINK("http://www.otzar.org/book.asp?625391","דיני מתווך במשפט העברי")</f>
        <v>דיני מתווך במשפט העברי</v>
      </c>
    </row>
    <row r="9017" spans="1:6" x14ac:dyDescent="0.2">
      <c r="A9017" t="s">
        <v>15719</v>
      </c>
      <c r="B9017" t="s">
        <v>15720</v>
      </c>
      <c r="C9017" t="s">
        <v>20</v>
      </c>
      <c r="D9017" t="s">
        <v>90</v>
      </c>
      <c r="E9017" t="s">
        <v>144</v>
      </c>
      <c r="F9017" s="2" t="str">
        <f>HYPERLINK("http://www.otzar.org/book.asp?180911","דיני ספק ספיקא לש""ך &lt;דפו""ר&gt; עם ביאור שפתי ספק")</f>
        <v>דיני ספק ספיקא לש"ך &lt;דפו"ר&gt; עם ביאור שפתי ספק</v>
      </c>
    </row>
    <row r="9018" spans="1:6" x14ac:dyDescent="0.2">
      <c r="A9018" t="s">
        <v>15721</v>
      </c>
      <c r="B9018" t="s">
        <v>15722</v>
      </c>
      <c r="D9018" t="s">
        <v>21</v>
      </c>
      <c r="E9018" t="s">
        <v>15</v>
      </c>
      <c r="F9018" s="2" t="str">
        <f>HYPERLINK("http://www.otzar.org/book.asp?191268","דיני ספר תורה שנמצאה בו טעות")</f>
        <v>דיני ספר תורה שנמצאה בו טעות</v>
      </c>
    </row>
    <row r="9019" spans="1:6" x14ac:dyDescent="0.2">
      <c r="A9019" t="s">
        <v>15723</v>
      </c>
      <c r="B9019" t="s">
        <v>15724</v>
      </c>
      <c r="C9019" t="s">
        <v>133</v>
      </c>
      <c r="D9019" t="s">
        <v>486</v>
      </c>
      <c r="E9019" t="s">
        <v>15</v>
      </c>
      <c r="F9019" s="2" t="str">
        <f>HYPERLINK("http://www.otzar.org/book.asp?173421","דיני עירוב שבת בערי ובישובי ישראל")</f>
        <v>דיני עירוב שבת בערי ובישובי ישראל</v>
      </c>
    </row>
    <row r="9020" spans="1:6" x14ac:dyDescent="0.2">
      <c r="A9020" t="s">
        <v>15725</v>
      </c>
      <c r="B9020" t="s">
        <v>5517</v>
      </c>
      <c r="C9020" t="s">
        <v>87</v>
      </c>
      <c r="D9020" t="s">
        <v>14</v>
      </c>
      <c r="E9020" t="s">
        <v>246</v>
      </c>
      <c r="F9020" s="2" t="str">
        <f>HYPERLINK("http://www.otzar.org/book.asp?604396","דיני ערב פסח שחל בשבת")</f>
        <v>דיני ערב פסח שחל בשבת</v>
      </c>
    </row>
    <row r="9021" spans="1:6" x14ac:dyDescent="0.2">
      <c r="A9021" t="s">
        <v>15726</v>
      </c>
      <c r="B9021" t="s">
        <v>14827</v>
      </c>
      <c r="C9021" t="s">
        <v>87</v>
      </c>
      <c r="D9021" t="s">
        <v>14</v>
      </c>
      <c r="F9021" s="2" t="str">
        <f>HYPERLINK("http://www.otzar.org/book.asp?613218","דיני ערב פסח שחל להיות בשבת")</f>
        <v>דיני ערב פסח שחל להיות בשבת</v>
      </c>
    </row>
    <row r="9022" spans="1:6" x14ac:dyDescent="0.2">
      <c r="A9022" t="s">
        <v>15727</v>
      </c>
      <c r="C9022" t="s">
        <v>146</v>
      </c>
      <c r="D9022" t="s">
        <v>14</v>
      </c>
      <c r="F9022" s="2" t="str">
        <f>HYPERLINK("http://www.otzar.org/book.asp?612959","דיני עריכת שמחות בשבת")</f>
        <v>דיני עריכת שמחות בשבת</v>
      </c>
    </row>
    <row r="9023" spans="1:6" x14ac:dyDescent="0.2">
      <c r="A9023" t="s">
        <v>15728</v>
      </c>
      <c r="B9023" t="s">
        <v>15729</v>
      </c>
      <c r="C9023" t="s">
        <v>244</v>
      </c>
      <c r="D9023" t="s">
        <v>14</v>
      </c>
      <c r="F9023" s="2" t="str">
        <f>HYPERLINK("http://www.otzar.org/book.asp?614516","דיני פורים וארבע פרשיות")</f>
        <v>דיני פורים וארבע פרשיות</v>
      </c>
    </row>
    <row r="9024" spans="1:6" x14ac:dyDescent="0.2">
      <c r="A9024" t="s">
        <v>15730</v>
      </c>
      <c r="B9024" t="s">
        <v>15731</v>
      </c>
      <c r="C9024" t="s">
        <v>146</v>
      </c>
      <c r="D9024" t="s">
        <v>657</v>
      </c>
      <c r="E9024" t="s">
        <v>246</v>
      </c>
      <c r="F9024" s="2" t="str">
        <f>HYPERLINK("http://www.otzar.org/book.asp?180705","דיני פרוז ומוקף בן יומו")</f>
        <v>דיני פרוז ומוקף בן יומו</v>
      </c>
    </row>
    <row r="9025" spans="1:6" x14ac:dyDescent="0.2">
      <c r="A9025" t="s">
        <v>15732</v>
      </c>
      <c r="B9025" t="s">
        <v>15733</v>
      </c>
      <c r="C9025" t="s">
        <v>13</v>
      </c>
      <c r="D9025" t="s">
        <v>21</v>
      </c>
      <c r="E9025" t="s">
        <v>15</v>
      </c>
      <c r="F9025" s="2" t="str">
        <f>HYPERLINK("http://www.otzar.org/book.asp?192889","דיני פרוזבול &lt;מהדורה חדשה&gt;")</f>
        <v>דיני פרוזבול &lt;מהדורה חדשה&gt;</v>
      </c>
    </row>
    <row r="9026" spans="1:6" x14ac:dyDescent="0.2">
      <c r="A9026" t="s">
        <v>15734</v>
      </c>
      <c r="B9026" t="s">
        <v>7320</v>
      </c>
      <c r="C9026" t="s">
        <v>111</v>
      </c>
      <c r="D9026" t="s">
        <v>14</v>
      </c>
      <c r="E9026" t="s">
        <v>15</v>
      </c>
      <c r="F9026" s="2" t="str">
        <f>HYPERLINK("http://www.otzar.org/book.asp?630587","דיני ציצית")</f>
        <v>דיני ציצית</v>
      </c>
    </row>
    <row r="9027" spans="1:6" x14ac:dyDescent="0.2">
      <c r="A9027" t="s">
        <v>15735</v>
      </c>
      <c r="B9027" t="s">
        <v>15736</v>
      </c>
      <c r="C9027" t="s">
        <v>133</v>
      </c>
      <c r="D9027" t="s">
        <v>52</v>
      </c>
      <c r="E9027" t="s">
        <v>15</v>
      </c>
      <c r="F9027" s="2" t="str">
        <f>HYPERLINK("http://www.otzar.org/book.asp?176101","דיני צרירות בעופות המצויים בבית")</f>
        <v>דיני צרירות בעופות המצויים בבית</v>
      </c>
    </row>
    <row r="9028" spans="1:6" x14ac:dyDescent="0.2">
      <c r="A9028" t="s">
        <v>15737</v>
      </c>
      <c r="B9028" t="s">
        <v>15738</v>
      </c>
      <c r="C9028" t="s">
        <v>20</v>
      </c>
      <c r="D9028" t="s">
        <v>14</v>
      </c>
      <c r="E9028" t="s">
        <v>130</v>
      </c>
      <c r="F9028" s="2" t="str">
        <f>HYPERLINK("http://www.otzar.org/book.asp?180738","דיני קטניות בפסח")</f>
        <v>דיני קטניות בפסח</v>
      </c>
    </row>
    <row r="9029" spans="1:6" x14ac:dyDescent="0.2">
      <c r="A9029" t="s">
        <v>15739</v>
      </c>
      <c r="B9029" t="s">
        <v>206</v>
      </c>
      <c r="C9029" t="s">
        <v>366</v>
      </c>
      <c r="D9029" t="s">
        <v>90</v>
      </c>
      <c r="E9029" t="s">
        <v>172</v>
      </c>
      <c r="F9029" s="2" t="str">
        <f>HYPERLINK("http://www.otzar.org/book.asp?620379","דיני קידוש קונטרס ממצא חפציך")</f>
        <v>דיני קידוש קונטרס ממצא חפציך</v>
      </c>
    </row>
    <row r="9030" spans="1:6" x14ac:dyDescent="0.2">
      <c r="A9030" t="s">
        <v>15740</v>
      </c>
      <c r="B9030" t="s">
        <v>15741</v>
      </c>
      <c r="C9030" t="s">
        <v>411</v>
      </c>
      <c r="D9030" t="s">
        <v>20</v>
      </c>
      <c r="E9030" t="s">
        <v>104</v>
      </c>
      <c r="F9030" s="2" t="str">
        <f>HYPERLINK("http://www.otzar.org/book.asp?170811","דיני קרבן פסח והזאת מי חטאת")</f>
        <v>דיני קרבן פסח והזאת מי חטאת</v>
      </c>
    </row>
    <row r="9031" spans="1:6" x14ac:dyDescent="0.2">
      <c r="A9031" t="s">
        <v>15742</v>
      </c>
      <c r="B9031" t="s">
        <v>2530</v>
      </c>
      <c r="C9031" t="s">
        <v>767</v>
      </c>
      <c r="D9031" t="s">
        <v>14</v>
      </c>
      <c r="E9031" t="s">
        <v>15</v>
      </c>
      <c r="F9031" s="2" t="str">
        <f>HYPERLINK("http://www.otzar.org/book.asp?85570","דיני רבית")</f>
        <v>דיני רבית</v>
      </c>
    </row>
    <row r="9032" spans="1:6" x14ac:dyDescent="0.2">
      <c r="A9032" t="s">
        <v>15743</v>
      </c>
      <c r="B9032" t="s">
        <v>2571</v>
      </c>
      <c r="C9032" t="s">
        <v>888</v>
      </c>
      <c r="D9032" t="s">
        <v>27</v>
      </c>
      <c r="E9032" t="s">
        <v>15</v>
      </c>
      <c r="F9032" s="2" t="str">
        <f>HYPERLINK("http://www.otzar.org/book.asp?143904","דיני שביעית")</f>
        <v>דיני שביעית</v>
      </c>
    </row>
    <row r="9033" spans="1:6" x14ac:dyDescent="0.2">
      <c r="A9033" t="s">
        <v>15743</v>
      </c>
      <c r="B9033" t="s">
        <v>15744</v>
      </c>
      <c r="C9033" t="s">
        <v>20</v>
      </c>
      <c r="D9033" t="s">
        <v>14</v>
      </c>
      <c r="F9033" s="2" t="str">
        <f>HYPERLINK("http://www.otzar.org/book.asp?614412","דיני שביעית")</f>
        <v>דיני שביעית</v>
      </c>
    </row>
    <row r="9034" spans="1:6" x14ac:dyDescent="0.2">
      <c r="A9034" t="s">
        <v>15743</v>
      </c>
      <c r="B9034" t="s">
        <v>15729</v>
      </c>
      <c r="C9034" t="s">
        <v>523</v>
      </c>
      <c r="D9034" t="s">
        <v>14</v>
      </c>
      <c r="E9034" t="s">
        <v>15</v>
      </c>
      <c r="F9034" s="2" t="str">
        <f>HYPERLINK("http://www.otzar.org/book.asp?625543","דיני שביעית")</f>
        <v>דיני שביעית</v>
      </c>
    </row>
    <row r="9035" spans="1:6" x14ac:dyDescent="0.2">
      <c r="A9035" t="s">
        <v>15745</v>
      </c>
      <c r="B9035" t="s">
        <v>15746</v>
      </c>
      <c r="C9035" t="s">
        <v>114</v>
      </c>
      <c r="D9035" t="s">
        <v>52</v>
      </c>
      <c r="E9035" t="s">
        <v>15</v>
      </c>
      <c r="F9035" s="2" t="str">
        <f>HYPERLINK("http://www.otzar.org/book.asp?165065","דיני שכירות מלמד")</f>
        <v>דיני שכירות מלמד</v>
      </c>
    </row>
    <row r="9036" spans="1:6" x14ac:dyDescent="0.2">
      <c r="A9036" t="s">
        <v>15747</v>
      </c>
      <c r="B9036" t="s">
        <v>7320</v>
      </c>
      <c r="C9036" t="s">
        <v>23</v>
      </c>
      <c r="D9036" t="s">
        <v>14</v>
      </c>
      <c r="E9036" t="s">
        <v>15</v>
      </c>
      <c r="F9036" s="2" t="str">
        <f>HYPERLINK("http://www.otzar.org/book.asp?630573","דיני שלג")</f>
        <v>דיני שלג</v>
      </c>
    </row>
    <row r="9037" spans="1:6" x14ac:dyDescent="0.2">
      <c r="A9037" t="s">
        <v>15748</v>
      </c>
      <c r="B9037" t="s">
        <v>15749</v>
      </c>
      <c r="C9037" t="s">
        <v>17</v>
      </c>
      <c r="D9037" t="s">
        <v>14</v>
      </c>
      <c r="E9037" t="s">
        <v>15</v>
      </c>
      <c r="F9037" s="2" t="str">
        <f>HYPERLINK("http://www.otzar.org/book.asp?85024","דיני שמיטת כספים ופרוזבול - דבר השמיטה")</f>
        <v>דיני שמיטת כספים ופרוזבול - דבר השמיטה</v>
      </c>
    </row>
    <row r="9038" spans="1:6" x14ac:dyDescent="0.2">
      <c r="A9038" t="s">
        <v>15750</v>
      </c>
      <c r="B9038" t="s">
        <v>7320</v>
      </c>
      <c r="C9038" t="s">
        <v>422</v>
      </c>
      <c r="D9038" t="s">
        <v>14</v>
      </c>
      <c r="F9038" s="2" t="str">
        <f>HYPERLINK("http://www.otzar.org/book.asp?175947","דיני שעטנז (צבעוני)")</f>
        <v>דיני שעטנז (צבעוני)</v>
      </c>
    </row>
    <row r="9039" spans="1:6" x14ac:dyDescent="0.2">
      <c r="A9039" t="s">
        <v>15751</v>
      </c>
      <c r="B9039" t="s">
        <v>15645</v>
      </c>
      <c r="C9039" t="s">
        <v>87</v>
      </c>
      <c r="D9039" t="s">
        <v>52</v>
      </c>
      <c r="F9039" s="2" t="str">
        <f>HYPERLINK("http://www.otzar.org/book.asp?610802","דיני תפיסה להרמב""ן ז""ל עם פירוש ביאור המשפט")</f>
        <v>דיני תפיסה להרמב"ן ז"ל עם פירוש ביאור המשפט</v>
      </c>
    </row>
    <row r="9040" spans="1:6" x14ac:dyDescent="0.2">
      <c r="A9040" t="s">
        <v>15752</v>
      </c>
      <c r="B9040" t="s">
        <v>15753</v>
      </c>
      <c r="C9040" t="s">
        <v>2480</v>
      </c>
      <c r="D9040" t="s">
        <v>100</v>
      </c>
      <c r="E9040" t="s">
        <v>15</v>
      </c>
      <c r="F9040" s="2" t="str">
        <f>HYPERLINK("http://www.otzar.org/book.asp?149583","דיני תפלה")</f>
        <v>דיני תפלה</v>
      </c>
    </row>
    <row r="9041" spans="1:6" x14ac:dyDescent="0.2">
      <c r="A9041" t="s">
        <v>15754</v>
      </c>
      <c r="B9041" t="s">
        <v>15755</v>
      </c>
      <c r="C9041" t="s">
        <v>20</v>
      </c>
      <c r="D9041" t="s">
        <v>152</v>
      </c>
      <c r="E9041" t="s">
        <v>172</v>
      </c>
      <c r="F9041" s="2" t="str">
        <f>HYPERLINK("http://www.otzar.org/book.asp?626760","דיני תשלום שכר שכיר בזמנו")</f>
        <v>דיני תשלום שכר שכיר בזמנו</v>
      </c>
    </row>
    <row r="9042" spans="1:6" x14ac:dyDescent="0.2">
      <c r="A9042" t="s">
        <v>15756</v>
      </c>
      <c r="B9042" t="s">
        <v>3286</v>
      </c>
      <c r="C9042" t="s">
        <v>151</v>
      </c>
      <c r="D9042" t="s">
        <v>80</v>
      </c>
      <c r="F9042" s="2" t="str">
        <f>HYPERLINK("http://www.otzar.org/book.asp?617079","דיני תשעה באב שחל ביום א ודיני שבת שלפניו")</f>
        <v>דיני תשעה באב שחל ביום א ודיני שבת שלפניו</v>
      </c>
    </row>
    <row r="9043" spans="1:6" x14ac:dyDescent="0.2">
      <c r="A9043" t="s">
        <v>15757</v>
      </c>
      <c r="B9043" t="s">
        <v>15702</v>
      </c>
      <c r="C9043" t="s">
        <v>151</v>
      </c>
      <c r="D9043" t="s">
        <v>152</v>
      </c>
      <c r="F9043" s="2" t="str">
        <f>HYPERLINK("http://www.otzar.org/book.asp?616613","דיני תשעה באב שחל בשבת")</f>
        <v>דיני תשעה באב שחל בשבת</v>
      </c>
    </row>
    <row r="9044" spans="1:6" x14ac:dyDescent="0.2">
      <c r="A9044" t="s">
        <v>15758</v>
      </c>
      <c r="E9044" t="s">
        <v>15</v>
      </c>
      <c r="F9044" s="2" t="str">
        <f>HYPERLINK("http://www.otzar.org/book.asp?630870","דינים וביאורים - סוכה")</f>
        <v>דינים וביאורים - סוכה</v>
      </c>
    </row>
    <row r="9045" spans="1:6" x14ac:dyDescent="0.2">
      <c r="A9045" t="s">
        <v>15759</v>
      </c>
      <c r="B9045" t="s">
        <v>6445</v>
      </c>
      <c r="C9045" t="s">
        <v>114</v>
      </c>
      <c r="D9045" t="s">
        <v>52</v>
      </c>
      <c r="E9045" t="s">
        <v>15</v>
      </c>
      <c r="F9045" s="2" t="str">
        <f>HYPERLINK("http://www.otzar.org/book.asp?180200","דינים והנהגות ממרן החזון איש")</f>
        <v>דינים והנהגות ממרן החזון איש</v>
      </c>
    </row>
    <row r="9046" spans="1:6" x14ac:dyDescent="0.2">
      <c r="A9046" t="s">
        <v>15760</v>
      </c>
      <c r="B9046" t="s">
        <v>15761</v>
      </c>
      <c r="C9046" t="s">
        <v>433</v>
      </c>
      <c r="D9046" t="s">
        <v>216</v>
      </c>
      <c r="E9046" t="s">
        <v>4738</v>
      </c>
      <c r="F9046" s="2" t="str">
        <f>HYPERLINK("http://www.otzar.org/book.asp?25489","דינים וחשבונות של הקופות לגמילות חסדים בארץ - 2 כר'")</f>
        <v>דינים וחשבונות של הקופות לגמילות חסדים בארץ - 2 כר'</v>
      </c>
    </row>
    <row r="9047" spans="1:6" x14ac:dyDescent="0.2">
      <c r="A9047" t="s">
        <v>15762</v>
      </c>
      <c r="B9047" t="s">
        <v>1549</v>
      </c>
      <c r="C9047" t="s">
        <v>71</v>
      </c>
      <c r="D9047" t="s">
        <v>52</v>
      </c>
      <c r="F9047" s="2" t="str">
        <f>HYPERLINK("http://www.otzar.org/book.asp?617564","דינים ומנהגים בעניני חתן וכלה")</f>
        <v>דינים ומנהגים בעניני חתן וכלה</v>
      </c>
    </row>
    <row r="9048" spans="1:6" x14ac:dyDescent="0.2">
      <c r="A9048" t="s">
        <v>15763</v>
      </c>
      <c r="B9048" t="s">
        <v>1549</v>
      </c>
      <c r="C9048" t="s">
        <v>767</v>
      </c>
      <c r="D9048" t="s">
        <v>14</v>
      </c>
      <c r="F9048" s="2" t="str">
        <f>HYPERLINK("http://www.otzar.org/book.asp?617550","דינים ומנהגים בעניני שבע ברכות")</f>
        <v>דינים ומנהגים בעניני שבע ברכות</v>
      </c>
    </row>
    <row r="9049" spans="1:6" x14ac:dyDescent="0.2">
      <c r="A9049" t="s">
        <v>15764</v>
      </c>
      <c r="B9049" t="s">
        <v>15765</v>
      </c>
      <c r="C9049" t="s">
        <v>422</v>
      </c>
      <c r="D9049" t="s">
        <v>14</v>
      </c>
      <c r="F9049" s="2" t="str">
        <f>HYPERLINK("http://www.otzar.org/book.asp?198767","דינים ומנהגים לבית האבל")</f>
        <v>דינים ומנהגים לבית האבל</v>
      </c>
    </row>
    <row r="9050" spans="1:6" x14ac:dyDescent="0.2">
      <c r="A9050" t="s">
        <v>15764</v>
      </c>
      <c r="B9050" t="s">
        <v>8909</v>
      </c>
      <c r="C9050" t="s">
        <v>68</v>
      </c>
      <c r="D9050" t="s">
        <v>14</v>
      </c>
      <c r="E9050" t="s">
        <v>15</v>
      </c>
      <c r="F9050" s="2" t="str">
        <f>HYPERLINK("http://www.otzar.org/book.asp?172911","דינים ומנהגים לבית האבל")</f>
        <v>דינים ומנהגים לבית האבל</v>
      </c>
    </row>
    <row r="9051" spans="1:6" x14ac:dyDescent="0.2">
      <c r="A9051" t="s">
        <v>15766</v>
      </c>
      <c r="B9051" t="s">
        <v>15767</v>
      </c>
      <c r="C9051" t="s">
        <v>843</v>
      </c>
      <c r="D9051" t="s">
        <v>216</v>
      </c>
      <c r="E9051" t="s">
        <v>15</v>
      </c>
      <c r="F9051" s="2" t="str">
        <f>HYPERLINK("http://www.otzar.org/book.asp?148167","דינים לנוער ולעם")</f>
        <v>דינים לנוער ולעם</v>
      </c>
    </row>
    <row r="9052" spans="1:6" x14ac:dyDescent="0.2">
      <c r="A9052" t="s">
        <v>15768</v>
      </c>
      <c r="B9052" t="s">
        <v>206</v>
      </c>
      <c r="C9052" t="s">
        <v>20</v>
      </c>
      <c r="D9052" t="s">
        <v>152</v>
      </c>
      <c r="F9052" s="2" t="str">
        <f>HYPERLINK("http://www.otzar.org/book.asp?618606","דינים מחודשים ממשנה ברורה")</f>
        <v>דינים מחודשים ממשנה ברורה</v>
      </c>
    </row>
    <row r="9053" spans="1:6" x14ac:dyDescent="0.2">
      <c r="A9053" t="s">
        <v>15769</v>
      </c>
      <c r="B9053" t="s">
        <v>15770</v>
      </c>
      <c r="C9053" t="s">
        <v>20</v>
      </c>
      <c r="E9053" t="s">
        <v>15</v>
      </c>
      <c r="F9053" s="2" t="str">
        <f>HYPERLINK("http://www.otzar.org/book.asp?193173","דינים מצויים בהלכות ריבית")</f>
        <v>דינים מצויים בהלכות ריבית</v>
      </c>
    </row>
    <row r="9054" spans="1:6" x14ac:dyDescent="0.2">
      <c r="A9054" t="s">
        <v>15771</v>
      </c>
      <c r="B9054" t="s">
        <v>15772</v>
      </c>
      <c r="C9054" t="s">
        <v>146</v>
      </c>
      <c r="D9054" t="s">
        <v>657</v>
      </c>
      <c r="E9054" t="s">
        <v>3516</v>
      </c>
      <c r="F9054" s="2" t="str">
        <f>HYPERLINK("http://www.otzar.org/book.asp?159551","דירת ישראל - 2 כר'")</f>
        <v>דירת ישראל - 2 כר'</v>
      </c>
    </row>
    <row r="9055" spans="1:6" x14ac:dyDescent="0.2">
      <c r="A9055" t="s">
        <v>15773</v>
      </c>
      <c r="B9055" t="s">
        <v>11896</v>
      </c>
      <c r="C9055" t="s">
        <v>114</v>
      </c>
      <c r="D9055" t="s">
        <v>152</v>
      </c>
      <c r="E9055" t="s">
        <v>130</v>
      </c>
      <c r="F9055" s="2" t="str">
        <f>HYPERLINK("http://www.otzar.org/book.asp?166005","דירת עראי")</f>
        <v>דירת עראי</v>
      </c>
    </row>
    <row r="9056" spans="1:6" x14ac:dyDescent="0.2">
      <c r="A9056" t="s">
        <v>15774</v>
      </c>
      <c r="B9056" t="s">
        <v>8688</v>
      </c>
      <c r="C9056" t="s">
        <v>129</v>
      </c>
      <c r="D9056" t="s">
        <v>15775</v>
      </c>
      <c r="E9056" t="s">
        <v>84</v>
      </c>
      <c r="F9056" s="2" t="str">
        <f>HYPERLINK("http://www.otzar.org/book.asp?197370","דל באלפ""י")</f>
        <v>דל באלפ"י</v>
      </c>
    </row>
    <row r="9057" spans="1:6" x14ac:dyDescent="0.2">
      <c r="A9057" t="s">
        <v>15776</v>
      </c>
      <c r="B9057" t="s">
        <v>15777</v>
      </c>
      <c r="C9057" t="s">
        <v>946</v>
      </c>
      <c r="D9057" t="s">
        <v>9</v>
      </c>
      <c r="E9057" t="s">
        <v>234</v>
      </c>
      <c r="F9057" s="2" t="str">
        <f>HYPERLINK("http://www.otzar.org/book.asp?51541","דלותי ולי יהושיע")</f>
        <v>דלותי ולי יהושיע</v>
      </c>
    </row>
    <row r="9058" spans="1:6" x14ac:dyDescent="0.2">
      <c r="A9058" t="s">
        <v>15778</v>
      </c>
      <c r="B9058" t="s">
        <v>15779</v>
      </c>
      <c r="C9058" t="s">
        <v>244</v>
      </c>
      <c r="D9058" t="s">
        <v>21</v>
      </c>
      <c r="F9058" s="2" t="str">
        <f>HYPERLINK("http://www.otzar.org/book.asp?609173","דליות דוד - 3 כר'")</f>
        <v>דליות דוד - 3 כר'</v>
      </c>
    </row>
    <row r="9059" spans="1:6" x14ac:dyDescent="0.2">
      <c r="A9059" t="s">
        <v>15780</v>
      </c>
      <c r="B9059" t="s">
        <v>15779</v>
      </c>
      <c r="C9059" t="s">
        <v>37</v>
      </c>
      <c r="D9059" t="s">
        <v>14</v>
      </c>
      <c r="E9059" t="s">
        <v>803</v>
      </c>
      <c r="F9059" s="2" t="str">
        <f>HYPERLINK("http://www.otzar.org/book.asp?197265","דליות דוד, דליות המלך")</f>
        <v>דליות דוד, דליות המלך</v>
      </c>
    </row>
    <row r="9060" spans="1:6" x14ac:dyDescent="0.2">
      <c r="A9060" t="s">
        <v>15781</v>
      </c>
      <c r="B9060" t="s">
        <v>4064</v>
      </c>
      <c r="C9060" t="s">
        <v>106</v>
      </c>
      <c r="D9060" t="s">
        <v>14</v>
      </c>
      <c r="E9060" t="s">
        <v>241</v>
      </c>
      <c r="F9060" s="2" t="str">
        <f>HYPERLINK("http://www.otzar.org/book.asp?5831","דליות יחזקאל - 6 כר'")</f>
        <v>דליות יחזקאל - 6 כר'</v>
      </c>
    </row>
    <row r="9061" spans="1:6" x14ac:dyDescent="0.2">
      <c r="A9061" t="s">
        <v>15782</v>
      </c>
      <c r="B9061" t="s">
        <v>15783</v>
      </c>
      <c r="C9061" t="s">
        <v>20</v>
      </c>
      <c r="D9061" t="s">
        <v>14</v>
      </c>
      <c r="E9061" t="s">
        <v>158</v>
      </c>
      <c r="F9061" s="2" t="str">
        <f>HYPERLINK("http://www.otzar.org/book.asp?176809","דליות ראובן - 3 כר'")</f>
        <v>דליות ראובן - 3 כר'</v>
      </c>
    </row>
    <row r="9062" spans="1:6" x14ac:dyDescent="0.2">
      <c r="A9062" t="s">
        <v>15784</v>
      </c>
      <c r="B9062" t="s">
        <v>15785</v>
      </c>
      <c r="C9062" t="s">
        <v>129</v>
      </c>
      <c r="D9062" t="s">
        <v>52</v>
      </c>
      <c r="E9062" t="s">
        <v>144</v>
      </c>
      <c r="F9062" s="2" t="str">
        <f>HYPERLINK("http://www.otzar.org/book.asp?52781","דליית הכרם - 3 כר'")</f>
        <v>דליית הכרם - 3 כר'</v>
      </c>
    </row>
    <row r="9063" spans="1:6" x14ac:dyDescent="0.2">
      <c r="A9063" t="s">
        <v>15786</v>
      </c>
      <c r="B9063" t="s">
        <v>15787</v>
      </c>
      <c r="C9063" t="s">
        <v>624</v>
      </c>
      <c r="D9063" t="s">
        <v>3283</v>
      </c>
      <c r="E9063" t="s">
        <v>3915</v>
      </c>
      <c r="F9063" s="2" t="str">
        <f>HYPERLINK("http://www.otzar.org/book.asp?154203","דלית אמות")</f>
        <v>דלית אמות</v>
      </c>
    </row>
    <row r="9064" spans="1:6" x14ac:dyDescent="0.2">
      <c r="A9064" t="s">
        <v>15788</v>
      </c>
      <c r="B9064" t="s">
        <v>15789</v>
      </c>
      <c r="C9064" t="s">
        <v>37</v>
      </c>
      <c r="D9064" t="s">
        <v>14</v>
      </c>
      <c r="E9064" t="s">
        <v>15</v>
      </c>
      <c r="F9064" s="2" t="str">
        <f>HYPERLINK("http://www.otzar.org/book.asp?191035","דלתות שער העיר &lt;מהדורה חדשה&gt;")</f>
        <v>דלתות שער העיר &lt;מהדורה חדשה&gt;</v>
      </c>
    </row>
    <row r="9065" spans="1:6" x14ac:dyDescent="0.2">
      <c r="A9065" t="s">
        <v>15790</v>
      </c>
      <c r="B9065" t="s">
        <v>15789</v>
      </c>
      <c r="C9065" t="s">
        <v>5903</v>
      </c>
      <c r="D9065" t="s">
        <v>283</v>
      </c>
      <c r="E9065" t="s">
        <v>3567</v>
      </c>
      <c r="F9065" s="2" t="str">
        <f>HYPERLINK("http://www.otzar.org/book.asp?12410","דלתות שער העיר - 2 כר'")</f>
        <v>דלתות שער העיר - 2 כר'</v>
      </c>
    </row>
    <row r="9066" spans="1:6" x14ac:dyDescent="0.2">
      <c r="A9066" t="s">
        <v>15791</v>
      </c>
      <c r="B9066" t="s">
        <v>8441</v>
      </c>
      <c r="C9066" t="s">
        <v>15792</v>
      </c>
      <c r="D9066" t="s">
        <v>56</v>
      </c>
      <c r="E9066" t="s">
        <v>148</v>
      </c>
      <c r="F9066" s="2" t="str">
        <f>HYPERLINK("http://www.otzar.org/book.asp?24252","דלתי תשובה - 2 כר'")</f>
        <v>דלתי תשובה - 2 כר'</v>
      </c>
    </row>
    <row r="9067" spans="1:6" x14ac:dyDescent="0.2">
      <c r="A9067" t="s">
        <v>15793</v>
      </c>
      <c r="B9067" t="s">
        <v>5634</v>
      </c>
      <c r="C9067" t="s">
        <v>68</v>
      </c>
      <c r="D9067" t="s">
        <v>52</v>
      </c>
      <c r="E9067" t="s">
        <v>104</v>
      </c>
      <c r="F9067" s="2" t="str">
        <f>HYPERLINK("http://www.otzar.org/book.asp?172020","דלתיך דפקנו")</f>
        <v>דלתיך דפקנו</v>
      </c>
    </row>
    <row r="9068" spans="1:6" x14ac:dyDescent="0.2">
      <c r="A9068" t="s">
        <v>15794</v>
      </c>
      <c r="B9068" t="s">
        <v>15795</v>
      </c>
      <c r="C9068" t="s">
        <v>1721</v>
      </c>
      <c r="D9068" t="s">
        <v>1459</v>
      </c>
      <c r="E9068" t="s">
        <v>15</v>
      </c>
      <c r="F9068" s="2" t="str">
        <f>HYPERLINK("http://www.otzar.org/book.asp?17528","דלתים ובריח")</f>
        <v>דלתים ובריח</v>
      </c>
    </row>
    <row r="9069" spans="1:6" x14ac:dyDescent="0.2">
      <c r="A9069" t="s">
        <v>15796</v>
      </c>
      <c r="B9069" t="s">
        <v>5867</v>
      </c>
      <c r="C9069" t="s">
        <v>17</v>
      </c>
      <c r="D9069" t="s">
        <v>52</v>
      </c>
      <c r="E9069" t="s">
        <v>104</v>
      </c>
      <c r="F9069" s="2" t="str">
        <f>HYPERLINK("http://www.otzar.org/book.asp?189034","דלתים פתוחות")</f>
        <v>דלתים פתוחות</v>
      </c>
    </row>
    <row r="9070" spans="1:6" x14ac:dyDescent="0.2">
      <c r="A9070" t="s">
        <v>15797</v>
      </c>
      <c r="B9070" t="s">
        <v>15798</v>
      </c>
      <c r="C9070" t="s">
        <v>362</v>
      </c>
      <c r="D9070" t="s">
        <v>563</v>
      </c>
      <c r="E9070" t="s">
        <v>1336</v>
      </c>
      <c r="F9070" s="2" t="str">
        <f>HYPERLINK("http://www.otzar.org/book.asp?17529","דם ברית")</f>
        <v>דם ברית</v>
      </c>
    </row>
    <row r="9071" spans="1:6" x14ac:dyDescent="0.2">
      <c r="A9071" t="s">
        <v>15799</v>
      </c>
      <c r="B9071" t="s">
        <v>15800</v>
      </c>
      <c r="C9071" t="s">
        <v>547</v>
      </c>
      <c r="D9071" t="s">
        <v>225</v>
      </c>
      <c r="E9071" t="s">
        <v>144</v>
      </c>
      <c r="F9071" s="2" t="str">
        <f>HYPERLINK("http://www.otzar.org/book.asp?17530","דם זבחים")</f>
        <v>דם זבחים</v>
      </c>
    </row>
    <row r="9072" spans="1:6" x14ac:dyDescent="0.2">
      <c r="A9072" t="s">
        <v>15801</v>
      </c>
      <c r="B9072" t="s">
        <v>15802</v>
      </c>
      <c r="C9072" t="s">
        <v>103</v>
      </c>
      <c r="D9072" t="s">
        <v>52</v>
      </c>
      <c r="E9072" t="s">
        <v>202</v>
      </c>
      <c r="F9072" s="2" t="str">
        <f>HYPERLINK("http://www.otzar.org/book.asp?62094","דם עבדיו")</f>
        <v>דם עבדיו</v>
      </c>
    </row>
    <row r="9073" spans="1:6" x14ac:dyDescent="0.2">
      <c r="A9073" t="s">
        <v>15803</v>
      </c>
      <c r="B9073" t="s">
        <v>15804</v>
      </c>
      <c r="C9073" t="s">
        <v>313</v>
      </c>
      <c r="D9073" t="s">
        <v>14</v>
      </c>
      <c r="E9073" t="s">
        <v>144</v>
      </c>
      <c r="F9073" s="2" t="str">
        <f>HYPERLINK("http://www.otzar.org/book.asp?62878","דם ענבים - שבת")</f>
        <v>דם ענבים - שבת</v>
      </c>
    </row>
    <row r="9074" spans="1:6" x14ac:dyDescent="0.2">
      <c r="A9074" t="s">
        <v>15805</v>
      </c>
      <c r="B9074" t="s">
        <v>15806</v>
      </c>
      <c r="C9074" t="s">
        <v>313</v>
      </c>
      <c r="D9074" t="s">
        <v>14</v>
      </c>
      <c r="E9074" t="s">
        <v>158</v>
      </c>
      <c r="F9074" s="2" t="str">
        <f>HYPERLINK("http://www.otzar.org/book.asp?153728","דמויות בתנ""ך - א")</f>
        <v>דמויות בתנ"ך - א</v>
      </c>
    </row>
    <row r="9075" spans="1:6" x14ac:dyDescent="0.2">
      <c r="A9075" t="s">
        <v>15807</v>
      </c>
      <c r="B9075" t="s">
        <v>15808</v>
      </c>
      <c r="C9075" t="s">
        <v>411</v>
      </c>
      <c r="D9075" t="s">
        <v>80</v>
      </c>
      <c r="E9075" t="s">
        <v>119</v>
      </c>
      <c r="F9075" s="2" t="str">
        <f>HYPERLINK("http://www.otzar.org/book.asp?600315","דמויות הוד מאיזור וארזאזאת")</f>
        <v>דמויות הוד מאיזור וארזאזאת</v>
      </c>
    </row>
    <row r="9076" spans="1:6" x14ac:dyDescent="0.2">
      <c r="A9076" t="s">
        <v>15809</v>
      </c>
      <c r="B9076" t="s">
        <v>3554</v>
      </c>
      <c r="C9076" t="s">
        <v>20</v>
      </c>
      <c r="D9076" t="s">
        <v>52</v>
      </c>
      <c r="E9076" t="s">
        <v>733</v>
      </c>
      <c r="F9076" s="2" t="str">
        <f>HYPERLINK("http://www.otzar.org/book.asp?144133","דמויות הוד - 3 כר'")</f>
        <v>דמויות הוד - 3 כר'</v>
      </c>
    </row>
    <row r="9077" spans="1:6" x14ac:dyDescent="0.2">
      <c r="A9077" t="s">
        <v>15810</v>
      </c>
      <c r="B9077" t="s">
        <v>15811</v>
      </c>
      <c r="C9077" t="s">
        <v>390</v>
      </c>
      <c r="D9077" t="s">
        <v>14</v>
      </c>
      <c r="E9077" t="s">
        <v>733</v>
      </c>
      <c r="F9077" s="2" t="str">
        <f>HYPERLINK("http://www.otzar.org/book.asp?165303","דמויות")</f>
        <v>דמויות</v>
      </c>
    </row>
    <row r="9078" spans="1:6" x14ac:dyDescent="0.2">
      <c r="A9078" t="s">
        <v>15812</v>
      </c>
      <c r="B9078" t="s">
        <v>15813</v>
      </c>
      <c r="C9078" t="s">
        <v>23</v>
      </c>
      <c r="D9078" t="s">
        <v>147</v>
      </c>
      <c r="F9078" s="2" t="str">
        <f>HYPERLINK("http://www.otzar.org/book.asp?620164","דמות הגוף")</f>
        <v>דמות הגוף</v>
      </c>
    </row>
    <row r="9079" spans="1:6" x14ac:dyDescent="0.2">
      <c r="A9079" t="s">
        <v>15814</v>
      </c>
      <c r="B9079" t="s">
        <v>552</v>
      </c>
      <c r="C9079" t="s">
        <v>767</v>
      </c>
      <c r="D9079" t="s">
        <v>52</v>
      </c>
      <c r="E9079" t="s">
        <v>15815</v>
      </c>
      <c r="F9079" s="2" t="str">
        <f>HYPERLINK("http://www.otzar.org/book.asp?51102","דמות הכסא &lt;ר' מצליח מאזוז&gt; - 2 כר'")</f>
        <v>דמות הכסא &lt;ר' מצליח מאזוז&gt; - 2 כר'</v>
      </c>
    </row>
    <row r="9080" spans="1:6" x14ac:dyDescent="0.2">
      <c r="A9080" t="s">
        <v>15816</v>
      </c>
      <c r="B9080" t="s">
        <v>15817</v>
      </c>
      <c r="C9080" t="s">
        <v>23</v>
      </c>
      <c r="D9080" t="s">
        <v>147</v>
      </c>
      <c r="E9080" t="s">
        <v>15</v>
      </c>
      <c r="F9080" s="2" t="str">
        <f>HYPERLINK("http://www.otzar.org/book.asp?194578","דמות צורות")</f>
        <v>דמות צורות</v>
      </c>
    </row>
    <row r="9081" spans="1:6" x14ac:dyDescent="0.2">
      <c r="A9081" t="s">
        <v>15818</v>
      </c>
      <c r="B9081" t="s">
        <v>15819</v>
      </c>
      <c r="C9081" t="s">
        <v>133</v>
      </c>
      <c r="D9081" t="s">
        <v>14</v>
      </c>
      <c r="E9081" t="s">
        <v>148</v>
      </c>
      <c r="F9081" s="2" t="str">
        <f>HYPERLINK("http://www.otzar.org/book.asp?177135","דמי יוסף")</f>
        <v>דמי יוסף</v>
      </c>
    </row>
    <row r="9082" spans="1:6" x14ac:dyDescent="0.2">
      <c r="A9082" t="s">
        <v>15820</v>
      </c>
      <c r="B9082" t="s">
        <v>15821</v>
      </c>
      <c r="C9082" t="s">
        <v>146</v>
      </c>
      <c r="D9082" t="s">
        <v>412</v>
      </c>
      <c r="E9082" t="s">
        <v>15</v>
      </c>
      <c r="F9082" s="2" t="str">
        <f>HYPERLINK("http://www.otzar.org/book.asp?198295","דמיון אריה &lt;מהדורה חדשה&gt;")</f>
        <v>דמיון אריה &lt;מהדורה חדשה&gt;</v>
      </c>
    </row>
    <row r="9083" spans="1:6" x14ac:dyDescent="0.2">
      <c r="A9083" t="s">
        <v>15822</v>
      </c>
      <c r="B9083" t="s">
        <v>15821</v>
      </c>
      <c r="C9083" t="s">
        <v>10907</v>
      </c>
      <c r="D9083" t="s">
        <v>744</v>
      </c>
      <c r="E9083" t="s">
        <v>588</v>
      </c>
      <c r="F9083" s="2" t="str">
        <f>HYPERLINK("http://www.otzar.org/book.asp?147080","דמיון אריה")</f>
        <v>דמיון אריה</v>
      </c>
    </row>
    <row r="9084" spans="1:6" x14ac:dyDescent="0.2">
      <c r="A9084" t="s">
        <v>15823</v>
      </c>
      <c r="B9084" t="s">
        <v>15824</v>
      </c>
      <c r="C9084" t="s">
        <v>6784</v>
      </c>
      <c r="D9084" t="s">
        <v>15825</v>
      </c>
      <c r="F9084" s="2" t="str">
        <f>HYPERLINK("http://www.otzar.org/book.asp?164953","דמע עיני")</f>
        <v>דמע עיני</v>
      </c>
    </row>
    <row r="9085" spans="1:6" x14ac:dyDescent="0.2">
      <c r="A9085" t="s">
        <v>15826</v>
      </c>
      <c r="B9085" t="s">
        <v>14472</v>
      </c>
      <c r="C9085" t="s">
        <v>725</v>
      </c>
      <c r="D9085" t="s">
        <v>27</v>
      </c>
      <c r="E9085" t="s">
        <v>241</v>
      </c>
      <c r="F9085" s="2" t="str">
        <f>HYPERLINK("http://www.otzar.org/book.asp?179590","דמעות ונחמות מנחם וסדר הגאולה")</f>
        <v>דמעות ונחמות מנחם וסדר הגאולה</v>
      </c>
    </row>
    <row r="9086" spans="1:6" x14ac:dyDescent="0.2">
      <c r="A9086" t="s">
        <v>15827</v>
      </c>
      <c r="B9086" t="s">
        <v>15828</v>
      </c>
      <c r="C9086" t="s">
        <v>2644</v>
      </c>
      <c r="D9086" t="s">
        <v>1966</v>
      </c>
      <c r="E9086" t="s">
        <v>234</v>
      </c>
      <c r="F9086" s="2" t="str">
        <f>HYPERLINK("http://www.otzar.org/book.asp?17532","דמעות ישראל")</f>
        <v>דמעות ישראל</v>
      </c>
    </row>
    <row r="9087" spans="1:6" x14ac:dyDescent="0.2">
      <c r="A9087" t="s">
        <v>15829</v>
      </c>
      <c r="B9087" t="s">
        <v>1291</v>
      </c>
      <c r="C9087" t="s">
        <v>1096</v>
      </c>
      <c r="D9087" t="s">
        <v>267</v>
      </c>
      <c r="E9087" t="s">
        <v>15830</v>
      </c>
      <c r="F9087" s="2" t="str">
        <f>HYPERLINK("http://www.otzar.org/book.asp?100059","דמעת אפרים")</f>
        <v>דמעת אפרים</v>
      </c>
    </row>
    <row r="9088" spans="1:6" x14ac:dyDescent="0.2">
      <c r="A9088" t="s">
        <v>15831</v>
      </c>
      <c r="B9088" t="s">
        <v>5788</v>
      </c>
      <c r="C9088" t="s">
        <v>454</v>
      </c>
      <c r="D9088" t="s">
        <v>657</v>
      </c>
      <c r="E9088" t="s">
        <v>158</v>
      </c>
      <c r="F9088" s="2" t="str">
        <f>HYPERLINK("http://www.otzar.org/book.asp?161859","דמעת המלך - איכה")</f>
        <v>דמעת המלך - איכה</v>
      </c>
    </row>
    <row r="9089" spans="1:6" x14ac:dyDescent="0.2">
      <c r="A9089" t="s">
        <v>15832</v>
      </c>
      <c r="B9089" t="s">
        <v>7058</v>
      </c>
      <c r="C9089" t="s">
        <v>1208</v>
      </c>
      <c r="E9089" t="s">
        <v>219</v>
      </c>
      <c r="F9089" s="2" t="str">
        <f>HYPERLINK("http://www.otzar.org/book.asp?196172","דמעת ישראל")</f>
        <v>דמעת ישראל</v>
      </c>
    </row>
    <row r="9090" spans="1:6" x14ac:dyDescent="0.2">
      <c r="A9090" t="s">
        <v>15833</v>
      </c>
      <c r="B9090" t="s">
        <v>15834</v>
      </c>
      <c r="C9090" t="s">
        <v>20</v>
      </c>
      <c r="D9090" t="s">
        <v>412</v>
      </c>
      <c r="E9090" t="s">
        <v>158</v>
      </c>
      <c r="F9090" s="2" t="str">
        <f>HYPERLINK("http://www.otzar.org/book.asp?606364","דמשק אליעזר &lt;מהדורה חדשה&gt; - 2 כר'")</f>
        <v>דמשק אליעזר &lt;מהדורה חדשה&gt; - 2 כר'</v>
      </c>
    </row>
    <row r="9091" spans="1:6" x14ac:dyDescent="0.2">
      <c r="A9091" t="s">
        <v>15835</v>
      </c>
      <c r="B9091" t="s">
        <v>15836</v>
      </c>
      <c r="C9091" t="s">
        <v>366</v>
      </c>
      <c r="D9091" t="s">
        <v>27</v>
      </c>
      <c r="F9091" s="2" t="str">
        <f>HYPERLINK("http://www.otzar.org/book.asp?609260","דמשק אליעזר &lt;נהרות דמשק&gt;")</f>
        <v>דמשק אליעזר &lt;נהרות דמשק&gt;</v>
      </c>
    </row>
    <row r="9092" spans="1:6" x14ac:dyDescent="0.2">
      <c r="A9092" t="s">
        <v>15837</v>
      </c>
      <c r="B9092" t="s">
        <v>15838</v>
      </c>
      <c r="C9092" t="s">
        <v>1317</v>
      </c>
      <c r="D9092" t="s">
        <v>15839</v>
      </c>
      <c r="E9092" t="s">
        <v>15</v>
      </c>
      <c r="F9092" s="2" t="str">
        <f>HYPERLINK("http://www.otzar.org/book.asp?17533","דמשק אליעזר (ח""ב של השיב ר""א ושיח השדה)")</f>
        <v>דמשק אליעזר (ח"ב של השיב ר"א ושיח השדה)</v>
      </c>
    </row>
    <row r="9093" spans="1:6" x14ac:dyDescent="0.2">
      <c r="A9093" t="s">
        <v>15840</v>
      </c>
      <c r="B9093" t="s">
        <v>6775</v>
      </c>
      <c r="C9093" t="s">
        <v>2040</v>
      </c>
      <c r="D9093" t="s">
        <v>6776</v>
      </c>
      <c r="E9093" t="s">
        <v>15841</v>
      </c>
      <c r="F9093" s="2" t="str">
        <f>HYPERLINK("http://www.otzar.org/book.asp?147008","דמשק אליעזר")</f>
        <v>דמשק אליעזר</v>
      </c>
    </row>
    <row r="9094" spans="1:6" x14ac:dyDescent="0.2">
      <c r="A9094" t="s">
        <v>15842</v>
      </c>
      <c r="B9094" t="s">
        <v>15843</v>
      </c>
      <c r="C9094" t="s">
        <v>59</v>
      </c>
      <c r="D9094" t="s">
        <v>2461</v>
      </c>
      <c r="E9094" t="s">
        <v>158</v>
      </c>
      <c r="F9094" s="2" t="str">
        <f>HYPERLINK("http://www.otzar.org/book.asp?100092","דמשק אליעזר - 3 כר'")</f>
        <v>דמשק אליעזר - 3 כר'</v>
      </c>
    </row>
    <row r="9095" spans="1:6" x14ac:dyDescent="0.2">
      <c r="A9095" t="s">
        <v>15844</v>
      </c>
      <c r="B9095" t="s">
        <v>15845</v>
      </c>
      <c r="C9095" t="s">
        <v>15846</v>
      </c>
      <c r="D9095" t="s">
        <v>726</v>
      </c>
      <c r="E9095" t="s">
        <v>144</v>
      </c>
      <c r="F9095" s="2" t="str">
        <f>HYPERLINK("http://www.otzar.org/book.asp?104274","דמשק אליעזר - 4 כר'")</f>
        <v>דמשק אליעזר - 4 כר'</v>
      </c>
    </row>
    <row r="9096" spans="1:6" x14ac:dyDescent="0.2">
      <c r="A9096" t="s">
        <v>15847</v>
      </c>
      <c r="B9096" t="s">
        <v>15848</v>
      </c>
      <c r="C9096" t="s">
        <v>725</v>
      </c>
      <c r="D9096" t="s">
        <v>14</v>
      </c>
      <c r="E9096" t="s">
        <v>5995</v>
      </c>
      <c r="F9096" s="2" t="str">
        <f>HYPERLINK("http://www.otzar.org/book.asp?149038","דמשק אליעזר - 2 כר'")</f>
        <v>דמשק אליעזר - 2 כר'</v>
      </c>
    </row>
    <row r="9097" spans="1:6" x14ac:dyDescent="0.2">
      <c r="A9097" t="s">
        <v>15840</v>
      </c>
      <c r="B9097" t="s">
        <v>15849</v>
      </c>
      <c r="C9097" t="s">
        <v>51</v>
      </c>
      <c r="D9097" t="s">
        <v>412</v>
      </c>
      <c r="E9097" t="s">
        <v>15850</v>
      </c>
      <c r="F9097" s="2" t="str">
        <f>HYPERLINK("http://www.otzar.org/book.asp?160860","דמשק אליעזר")</f>
        <v>דמשק אליעזר</v>
      </c>
    </row>
    <row r="9098" spans="1:6" x14ac:dyDescent="0.2">
      <c r="A9098" t="s">
        <v>15842</v>
      </c>
      <c r="B9098" t="s">
        <v>15851</v>
      </c>
      <c r="C9098" t="s">
        <v>466</v>
      </c>
      <c r="D9098" t="s">
        <v>14</v>
      </c>
      <c r="E9098" t="s">
        <v>241</v>
      </c>
      <c r="F9098" s="2" t="str">
        <f>HYPERLINK("http://www.otzar.org/book.asp?60091","דמשק אליעזר - 3 כר'")</f>
        <v>דמשק אליעזר - 3 כר'</v>
      </c>
    </row>
    <row r="9099" spans="1:6" x14ac:dyDescent="0.2">
      <c r="A9099" t="s">
        <v>15852</v>
      </c>
      <c r="B9099" t="s">
        <v>15853</v>
      </c>
      <c r="C9099" t="s">
        <v>1418</v>
      </c>
      <c r="D9099" t="s">
        <v>56</v>
      </c>
      <c r="E9099" t="s">
        <v>172</v>
      </c>
      <c r="F9099" s="2" t="str">
        <f>HYPERLINK("http://www.otzar.org/book.asp?8158","דמשק אליעזר - א-ב")</f>
        <v>דמשק אליעזר - א-ב</v>
      </c>
    </row>
    <row r="9100" spans="1:6" x14ac:dyDescent="0.2">
      <c r="A9100" t="s">
        <v>15840</v>
      </c>
      <c r="B9100" t="s">
        <v>15838</v>
      </c>
      <c r="C9100" t="s">
        <v>11776</v>
      </c>
      <c r="D9100" t="s">
        <v>15839</v>
      </c>
      <c r="E9100" t="s">
        <v>345</v>
      </c>
      <c r="F9100" s="2" t="str">
        <f>HYPERLINK("http://www.otzar.org/book.asp?100949","דמשק אליעזר")</f>
        <v>דמשק אליעזר</v>
      </c>
    </row>
    <row r="9101" spans="1:6" x14ac:dyDescent="0.2">
      <c r="A9101" t="s">
        <v>15854</v>
      </c>
      <c r="B9101" t="s">
        <v>382</v>
      </c>
      <c r="C9101" t="s">
        <v>13</v>
      </c>
      <c r="D9101" t="s">
        <v>412</v>
      </c>
      <c r="E9101" t="s">
        <v>202</v>
      </c>
      <c r="F9101" s="2" t="str">
        <f>HYPERLINK("http://www.otzar.org/book.asp?145316","דמשק אליעזר - א")</f>
        <v>דמשק אליעזר - א</v>
      </c>
    </row>
    <row r="9102" spans="1:6" x14ac:dyDescent="0.2">
      <c r="A9102" t="s">
        <v>15855</v>
      </c>
      <c r="B9102" t="s">
        <v>14327</v>
      </c>
      <c r="C9102" t="s">
        <v>15856</v>
      </c>
      <c r="D9102" t="s">
        <v>56</v>
      </c>
      <c r="E9102" t="s">
        <v>154</v>
      </c>
      <c r="F9102" s="2" t="str">
        <f>HYPERLINK("http://www.otzar.org/book.asp?8207","דמשק אליעזר - ש""ע חושן משפט - א-ב")</f>
        <v>דמשק אליעזר - ש"ע חושן משפט - א-ב</v>
      </c>
    </row>
    <row r="9103" spans="1:6" x14ac:dyDescent="0.2">
      <c r="A9103" t="s">
        <v>15857</v>
      </c>
      <c r="B9103" t="s">
        <v>15834</v>
      </c>
      <c r="C9103" t="s">
        <v>15858</v>
      </c>
      <c r="D9103" t="s">
        <v>1422</v>
      </c>
      <c r="E9103" t="s">
        <v>12983</v>
      </c>
      <c r="F9103" s="2" t="str">
        <f>HYPERLINK("http://www.otzar.org/book.asp?102960","דמשק אליעזר - 5 כר'")</f>
        <v>דמשק אליעזר - 5 כר'</v>
      </c>
    </row>
    <row r="9104" spans="1:6" x14ac:dyDescent="0.2">
      <c r="A9104" t="s">
        <v>15859</v>
      </c>
      <c r="B9104" t="s">
        <v>4236</v>
      </c>
      <c r="C9104" t="s">
        <v>15860</v>
      </c>
      <c r="D9104" t="s">
        <v>855</v>
      </c>
      <c r="E9104" t="s">
        <v>399</v>
      </c>
      <c r="F9104" s="2" t="str">
        <f>HYPERLINK("http://www.otzar.org/book.asp?15792","דמשק אליעזר - 7 כר'")</f>
        <v>דמשק אליעזר - 7 כר'</v>
      </c>
    </row>
    <row r="9105" spans="1:6" x14ac:dyDescent="0.2">
      <c r="A9105" t="s">
        <v>15847</v>
      </c>
      <c r="B9105" t="s">
        <v>15836</v>
      </c>
      <c r="C9105" t="s">
        <v>5903</v>
      </c>
      <c r="D9105" t="s">
        <v>27</v>
      </c>
      <c r="F9105" s="2" t="str">
        <f>HYPERLINK("http://www.otzar.org/book.asp?617601","דמשק אליעזר - 2 כר'")</f>
        <v>דמשק אליעזר - 2 כר'</v>
      </c>
    </row>
    <row r="9106" spans="1:6" x14ac:dyDescent="0.2">
      <c r="A9106" t="s">
        <v>15840</v>
      </c>
      <c r="B9106" t="s">
        <v>15861</v>
      </c>
      <c r="C9106" t="s">
        <v>1228</v>
      </c>
      <c r="D9106" t="s">
        <v>225</v>
      </c>
      <c r="E9106" t="s">
        <v>154</v>
      </c>
      <c r="F9106" s="2" t="str">
        <f>HYPERLINK("http://www.otzar.org/book.asp?24255","דמשק אליעזר")</f>
        <v>דמשק אליעזר</v>
      </c>
    </row>
    <row r="9107" spans="1:6" x14ac:dyDescent="0.2">
      <c r="A9107" t="s">
        <v>15862</v>
      </c>
      <c r="B9107" t="s">
        <v>15863</v>
      </c>
      <c r="C9107" t="s">
        <v>619</v>
      </c>
      <c r="D9107" t="s">
        <v>4772</v>
      </c>
      <c r="E9107" t="s">
        <v>154</v>
      </c>
      <c r="F9107" s="2" t="str">
        <f>HYPERLINK("http://www.otzar.org/book.asp?7304","דמשק אליעזר - א (שו""ת)")</f>
        <v>דמשק אליעזר - א (שו"ת)</v>
      </c>
    </row>
    <row r="9108" spans="1:6" x14ac:dyDescent="0.2">
      <c r="A9108" t="s">
        <v>15840</v>
      </c>
      <c r="B9108" t="s">
        <v>15864</v>
      </c>
      <c r="C9108" t="s">
        <v>2543</v>
      </c>
      <c r="D9108" t="s">
        <v>56</v>
      </c>
      <c r="F9108" s="2" t="str">
        <f>HYPERLINK("http://www.otzar.org/book.asp?610489","דמשק אליעזר")</f>
        <v>דמשק אליעזר</v>
      </c>
    </row>
    <row r="9109" spans="1:6" x14ac:dyDescent="0.2">
      <c r="A9109" t="s">
        <v>15865</v>
      </c>
      <c r="B9109" t="s">
        <v>489</v>
      </c>
      <c r="C9109" t="s">
        <v>143</v>
      </c>
      <c r="D9109" t="s">
        <v>14</v>
      </c>
      <c r="E9109" t="s">
        <v>202</v>
      </c>
      <c r="F9109" s="2" t="str">
        <f>HYPERLINK("http://www.otzar.org/book.asp?85172","דמשק אליעזר - ג")</f>
        <v>דמשק אליעזר - ג</v>
      </c>
    </row>
    <row r="9110" spans="1:6" x14ac:dyDescent="0.2">
      <c r="A9110" t="s">
        <v>15866</v>
      </c>
      <c r="B9110" t="s">
        <v>15867</v>
      </c>
      <c r="C9110" t="s">
        <v>129</v>
      </c>
      <c r="D9110" t="s">
        <v>14</v>
      </c>
      <c r="E9110" t="s">
        <v>144</v>
      </c>
      <c r="F9110" s="2" t="str">
        <f>HYPERLINK("http://www.otzar.org/book.asp?53749","דמשק אליעזר - 6 כר'")</f>
        <v>דמשק אליעזר - 6 כר'</v>
      </c>
    </row>
    <row r="9111" spans="1:6" x14ac:dyDescent="0.2">
      <c r="A9111" t="s">
        <v>15840</v>
      </c>
      <c r="B9111" t="s">
        <v>15868</v>
      </c>
      <c r="C9111" t="s">
        <v>68</v>
      </c>
      <c r="D9111" t="s">
        <v>245</v>
      </c>
      <c r="E9111" t="s">
        <v>158</v>
      </c>
      <c r="F9111" s="2" t="str">
        <f>HYPERLINK("http://www.otzar.org/book.asp?155297","דמשק אליעזר")</f>
        <v>דמשק אליעזר</v>
      </c>
    </row>
    <row r="9112" spans="1:6" x14ac:dyDescent="0.2">
      <c r="A9112" t="s">
        <v>15842</v>
      </c>
      <c r="B9112" t="s">
        <v>15869</v>
      </c>
      <c r="C9112" t="s">
        <v>15870</v>
      </c>
      <c r="D9112" t="s">
        <v>885</v>
      </c>
      <c r="F9112" s="2" t="str">
        <f>HYPERLINK("http://www.otzar.org/book.asp?182099","דמשק אליעזר - 3 כר'")</f>
        <v>דמשק אליעזר - 3 כר'</v>
      </c>
    </row>
    <row r="9113" spans="1:6" x14ac:dyDescent="0.2">
      <c r="A9113" t="s">
        <v>15871</v>
      </c>
      <c r="B9113" t="s">
        <v>1750</v>
      </c>
      <c r="C9113" t="s">
        <v>103</v>
      </c>
      <c r="D9113" t="s">
        <v>412</v>
      </c>
      <c r="F9113" s="2" t="str">
        <f>HYPERLINK("http://www.otzar.org/book.asp?600386","דמתה לתמר - 3 כר'")</f>
        <v>דמתה לתמר - 3 כר'</v>
      </c>
    </row>
    <row r="9114" spans="1:6" x14ac:dyDescent="0.2">
      <c r="A9114" t="s">
        <v>15872</v>
      </c>
      <c r="B9114" t="s">
        <v>686</v>
      </c>
      <c r="C9114" t="s">
        <v>143</v>
      </c>
      <c r="D9114" t="s">
        <v>52</v>
      </c>
      <c r="E9114" t="s">
        <v>246</v>
      </c>
      <c r="F9114" s="2" t="str">
        <f>HYPERLINK("http://www.otzar.org/book.asp?191898","דן אנכי - הגדה של פסח")</f>
        <v>דן אנכי - הגדה של פסח</v>
      </c>
    </row>
    <row r="9115" spans="1:6" x14ac:dyDescent="0.2">
      <c r="A9115" t="s">
        <v>15873</v>
      </c>
      <c r="B9115" t="s">
        <v>15874</v>
      </c>
      <c r="C9115" t="s">
        <v>151</v>
      </c>
      <c r="D9115" t="s">
        <v>14</v>
      </c>
      <c r="E9115" t="s">
        <v>15</v>
      </c>
      <c r="F9115" s="2" t="str">
        <f>HYPERLINK("http://www.otzar.org/book.asp?628726","דן באהל - דיני עשיית אהל בשבת")</f>
        <v>דן באהל - דיני עשיית אהל בשבת</v>
      </c>
    </row>
    <row r="9116" spans="1:6" x14ac:dyDescent="0.2">
      <c r="A9116" t="s">
        <v>15875</v>
      </c>
      <c r="B9116" t="s">
        <v>15874</v>
      </c>
      <c r="C9116" t="s">
        <v>151</v>
      </c>
      <c r="D9116" t="s">
        <v>14</v>
      </c>
      <c r="F9116" s="2" t="str">
        <f>HYPERLINK("http://www.otzar.org/book.asp?609422","דן בפתח - פתיחת אריזות בשבת")</f>
        <v>דן בפתח - פתיחת אריזות בשבת</v>
      </c>
    </row>
    <row r="9117" spans="1:6" x14ac:dyDescent="0.2">
      <c r="A9117" t="s">
        <v>15876</v>
      </c>
      <c r="B9117" t="s">
        <v>15877</v>
      </c>
      <c r="C9117" t="s">
        <v>133</v>
      </c>
      <c r="D9117" t="s">
        <v>1153</v>
      </c>
      <c r="E9117" t="s">
        <v>5935</v>
      </c>
      <c r="F9117" s="2" t="str">
        <f>HYPERLINK("http://www.otzar.org/book.asp?171422","דן ידין עמו - 2 כר'")</f>
        <v>דן ידין עמו - 2 כר'</v>
      </c>
    </row>
    <row r="9118" spans="1:6" x14ac:dyDescent="0.2">
      <c r="A9118" t="s">
        <v>15878</v>
      </c>
      <c r="B9118" t="s">
        <v>686</v>
      </c>
      <c r="C9118" t="s">
        <v>1208</v>
      </c>
      <c r="D9118" t="s">
        <v>52</v>
      </c>
      <c r="E9118" t="s">
        <v>144</v>
      </c>
      <c r="F9118" s="2" t="str">
        <f>HYPERLINK("http://www.otzar.org/book.asp?189697","דן ידין - 7 כר'")</f>
        <v>דן ידין - 7 כר'</v>
      </c>
    </row>
    <row r="9119" spans="1:6" x14ac:dyDescent="0.2">
      <c r="A9119" t="s">
        <v>15879</v>
      </c>
      <c r="B9119" t="s">
        <v>4431</v>
      </c>
      <c r="C9119" t="s">
        <v>23</v>
      </c>
      <c r="D9119" t="s">
        <v>27</v>
      </c>
      <c r="E9119" t="s">
        <v>6635</v>
      </c>
      <c r="F9119" s="2" t="str">
        <f>HYPERLINK("http://www.otzar.org/book.asp?189158","דן ידין")</f>
        <v>דן ידין</v>
      </c>
    </row>
    <row r="9120" spans="1:6" x14ac:dyDescent="0.2">
      <c r="A9120" t="s">
        <v>15880</v>
      </c>
      <c r="B9120" t="s">
        <v>686</v>
      </c>
      <c r="C9120" t="s">
        <v>68</v>
      </c>
      <c r="D9120" t="s">
        <v>52</v>
      </c>
      <c r="E9120" t="s">
        <v>144</v>
      </c>
      <c r="F9120" s="2" t="str">
        <f>HYPERLINK("http://www.otzar.org/book.asp?172433","דן ידין, ולדן אמר - סוכה")</f>
        <v>דן ידין, ולדן אמר - סוכה</v>
      </c>
    </row>
    <row r="9121" spans="1:6" x14ac:dyDescent="0.2">
      <c r="A9121" t="s">
        <v>15881</v>
      </c>
      <c r="B9121" t="s">
        <v>15882</v>
      </c>
      <c r="C9121" t="s">
        <v>68</v>
      </c>
      <c r="D9121" t="s">
        <v>52</v>
      </c>
      <c r="E9121" t="s">
        <v>130</v>
      </c>
      <c r="F9121" s="2" t="str">
        <f>HYPERLINK("http://www.otzar.org/book.asp?156424","דן מדניאל - 2 כר'")</f>
        <v>דן מדניאל - 2 כר'</v>
      </c>
    </row>
    <row r="9122" spans="1:6" x14ac:dyDescent="0.2">
      <c r="A9122" t="s">
        <v>15883</v>
      </c>
      <c r="B9122" t="s">
        <v>14439</v>
      </c>
      <c r="C9122" t="s">
        <v>15884</v>
      </c>
      <c r="D9122" t="s">
        <v>1422</v>
      </c>
      <c r="E9122" t="s">
        <v>2088</v>
      </c>
      <c r="F9122" s="2" t="str">
        <f>HYPERLINK("http://www.otzar.org/book.asp?151482","דן מדניאל")</f>
        <v>דן מדניאל</v>
      </c>
    </row>
    <row r="9123" spans="1:6" x14ac:dyDescent="0.2">
      <c r="A9123" t="s">
        <v>15885</v>
      </c>
      <c r="B9123" t="s">
        <v>1112</v>
      </c>
      <c r="C9123" t="s">
        <v>1494</v>
      </c>
      <c r="D9123" t="s">
        <v>76</v>
      </c>
      <c r="E9123" t="s">
        <v>474</v>
      </c>
      <c r="F9123" s="2" t="str">
        <f>HYPERLINK("http://www.otzar.org/book.asp?12923","דנא פשרא")</f>
        <v>דנא פשרא</v>
      </c>
    </row>
    <row r="9124" spans="1:6" x14ac:dyDescent="0.2">
      <c r="A9124" t="s">
        <v>15886</v>
      </c>
      <c r="B9124" t="s">
        <v>4840</v>
      </c>
      <c r="C9124" t="s">
        <v>1268</v>
      </c>
      <c r="D9124" t="s">
        <v>14</v>
      </c>
      <c r="E9124" t="s">
        <v>15887</v>
      </c>
      <c r="F9124" s="2" t="str">
        <f>HYPERLINK("http://www.otzar.org/book.asp?7871","דניאל עם תרגום ופירוש רבינו סעדיה בן יוסף פיומי")</f>
        <v>דניאל עם תרגום ופירוש רבינו סעדיה בן יוסף פיומי</v>
      </c>
    </row>
    <row r="9125" spans="1:6" x14ac:dyDescent="0.2">
      <c r="A9125" t="s">
        <v>15888</v>
      </c>
      <c r="B9125" t="s">
        <v>3462</v>
      </c>
      <c r="C9125" t="s">
        <v>176</v>
      </c>
      <c r="D9125" t="s">
        <v>52</v>
      </c>
      <c r="E9125" t="s">
        <v>399</v>
      </c>
      <c r="F9125" s="2" t="str">
        <f>HYPERLINK("http://www.otzar.org/book.asp?61491","דע את אלקי אביך")</f>
        <v>דע את אלקי אביך</v>
      </c>
    </row>
    <row r="9126" spans="1:6" x14ac:dyDescent="0.2">
      <c r="A9126" t="s">
        <v>15889</v>
      </c>
      <c r="B9126" t="s">
        <v>15890</v>
      </c>
      <c r="C9126" t="s">
        <v>20</v>
      </c>
      <c r="D9126" t="s">
        <v>90</v>
      </c>
      <c r="E9126" t="s">
        <v>104</v>
      </c>
      <c r="F9126" s="2" t="str">
        <f>HYPERLINK("http://www.otzar.org/book.asp?630166","דע מה שתשיב (לגביר לעשיר לקמצן)")</f>
        <v>דע מה שתשיב (לגביר לעשיר לקמצן)</v>
      </c>
    </row>
    <row r="9127" spans="1:6" x14ac:dyDescent="0.2">
      <c r="A9127" t="s">
        <v>15891</v>
      </c>
      <c r="B9127" t="s">
        <v>15892</v>
      </c>
      <c r="C9127" t="s">
        <v>462</v>
      </c>
      <c r="D9127" t="s">
        <v>3627</v>
      </c>
      <c r="E9127" t="s">
        <v>13327</v>
      </c>
      <c r="F9127" s="2" t="str">
        <f>HYPERLINK("http://www.otzar.org/book.asp?28454","דע מה שתשיב")</f>
        <v>דע מה שתשיב</v>
      </c>
    </row>
    <row r="9128" spans="1:6" x14ac:dyDescent="0.2">
      <c r="A9128" t="s">
        <v>15891</v>
      </c>
      <c r="B9128" t="s">
        <v>4606</v>
      </c>
      <c r="C9128" t="s">
        <v>71</v>
      </c>
      <c r="D9128" t="s">
        <v>14</v>
      </c>
      <c r="E9128" t="s">
        <v>241</v>
      </c>
      <c r="F9128" s="2" t="str">
        <f>HYPERLINK("http://www.otzar.org/book.asp?50573","דע מה שתשיב")</f>
        <v>דע מה שתשיב</v>
      </c>
    </row>
    <row r="9129" spans="1:6" x14ac:dyDescent="0.2">
      <c r="A9129" t="s">
        <v>15893</v>
      </c>
      <c r="B9129" t="s">
        <v>15894</v>
      </c>
      <c r="C9129" t="s">
        <v>114</v>
      </c>
      <c r="D9129" t="s">
        <v>14</v>
      </c>
      <c r="F9129" s="2" t="str">
        <f>HYPERLINK("http://www.otzar.org/book.asp?616698","דעה את ה'")</f>
        <v>דעה את ה'</v>
      </c>
    </row>
    <row r="9130" spans="1:6" x14ac:dyDescent="0.2">
      <c r="A9130" t="s">
        <v>15895</v>
      </c>
      <c r="B9130" t="s">
        <v>15896</v>
      </c>
      <c r="C9130" t="s">
        <v>422</v>
      </c>
      <c r="D9130" t="s">
        <v>1156</v>
      </c>
      <c r="E9130" t="s">
        <v>148</v>
      </c>
      <c r="F9130" s="2" t="str">
        <f>HYPERLINK("http://www.otzar.org/book.asp?62659","דעה ברורה - 2 כר'")</f>
        <v>דעה ברורה - 2 כר'</v>
      </c>
    </row>
    <row r="9131" spans="1:6" x14ac:dyDescent="0.2">
      <c r="A9131" t="s">
        <v>15897</v>
      </c>
      <c r="B9131" t="s">
        <v>15898</v>
      </c>
      <c r="C9131" t="s">
        <v>334</v>
      </c>
      <c r="D9131" t="s">
        <v>14</v>
      </c>
      <c r="E9131" t="s">
        <v>15899</v>
      </c>
      <c r="F9131" s="2" t="str">
        <f>HYPERLINK("http://www.otzar.org/book.asp?158121","דעה והשכל - 2 כר'")</f>
        <v>דעה והשכל - 2 כר'</v>
      </c>
    </row>
    <row r="9132" spans="1:6" x14ac:dyDescent="0.2">
      <c r="A9132" t="s">
        <v>15900</v>
      </c>
      <c r="B9132" t="s">
        <v>15901</v>
      </c>
      <c r="C9132" t="s">
        <v>366</v>
      </c>
      <c r="D9132" t="s">
        <v>14</v>
      </c>
      <c r="E9132" t="s">
        <v>4567</v>
      </c>
      <c r="F9132" s="2" t="str">
        <f>HYPERLINK("http://www.otzar.org/book.asp?611703","דעה חכמה לנפשך - 7 כר'")</f>
        <v>דעה חכמה לנפשך - 7 כר'</v>
      </c>
    </row>
    <row r="9133" spans="1:6" x14ac:dyDescent="0.2">
      <c r="A9133" t="s">
        <v>15902</v>
      </c>
      <c r="B9133" t="s">
        <v>15903</v>
      </c>
      <c r="C9133" t="s">
        <v>151</v>
      </c>
      <c r="D9133" t="s">
        <v>52</v>
      </c>
      <c r="E9133" t="s">
        <v>172</v>
      </c>
      <c r="F9133" s="2" t="str">
        <f>HYPERLINK("http://www.otzar.org/book.asp?623246","דעה ערוכה")</f>
        <v>דעה ערוכה</v>
      </c>
    </row>
    <row r="9134" spans="1:6" x14ac:dyDescent="0.2">
      <c r="A9134" t="s">
        <v>15904</v>
      </c>
      <c r="B9134" t="s">
        <v>15905</v>
      </c>
      <c r="C9134" t="s">
        <v>366</v>
      </c>
      <c r="D9134" t="s">
        <v>14</v>
      </c>
      <c r="E9134" t="s">
        <v>104</v>
      </c>
      <c r="F9134" s="2" t="str">
        <f>HYPERLINK("http://www.otzar.org/book.asp?606202","דעות גדולי הפוסקים על שבועות הגלות")</f>
        <v>דעות גדולי הפוסקים על שבועות הגלות</v>
      </c>
    </row>
    <row r="9135" spans="1:6" x14ac:dyDescent="0.2">
      <c r="A9135" t="s">
        <v>15906</v>
      </c>
      <c r="C9135" t="s">
        <v>4933</v>
      </c>
      <c r="D9135" t="s">
        <v>14445</v>
      </c>
      <c r="F9135" s="2" t="str">
        <f>HYPERLINK("http://www.otzar.org/book.asp?170133","דען מוסר אונ הנהגה: ווי זיך איין מענש הלטן זול")</f>
        <v>דען מוסר אונ הנהגה: ווי זיך איין מענש הלטן זול</v>
      </c>
    </row>
    <row r="9136" spans="1:6" x14ac:dyDescent="0.2">
      <c r="A9136" t="s">
        <v>15907</v>
      </c>
      <c r="B9136" t="s">
        <v>9348</v>
      </c>
      <c r="C9136" t="s">
        <v>13</v>
      </c>
      <c r="D9136" t="s">
        <v>2468</v>
      </c>
      <c r="E9136" t="s">
        <v>104</v>
      </c>
      <c r="F9136" s="2" t="str">
        <f>HYPERLINK("http://www.otzar.org/book.asp?160076","דער אוצר פון שידוכים און שדכנות")</f>
        <v>דער אוצר פון שידוכים און שדכנות</v>
      </c>
    </row>
    <row r="9137" spans="1:6" x14ac:dyDescent="0.2">
      <c r="A9137" t="s">
        <v>15908</v>
      </c>
      <c r="B9137" t="s">
        <v>9348</v>
      </c>
      <c r="C9137" t="s">
        <v>13</v>
      </c>
      <c r="D9137" t="s">
        <v>2468</v>
      </c>
      <c r="E9137" t="s">
        <v>104</v>
      </c>
      <c r="F9137" s="2" t="str">
        <f>HYPERLINK("http://www.otzar.org/book.asp?160077","דער אוצר פון שמחת נישואין און הנהגת הבית")</f>
        <v>דער אוצר פון שמחת נישואין און הנהגת הבית</v>
      </c>
    </row>
    <row r="9138" spans="1:6" x14ac:dyDescent="0.2">
      <c r="A9138" t="s">
        <v>15909</v>
      </c>
      <c r="B9138" t="s">
        <v>15910</v>
      </c>
      <c r="C9138" t="s">
        <v>2550</v>
      </c>
      <c r="D9138" t="s">
        <v>4352</v>
      </c>
      <c r="F9138" s="2" t="str">
        <f>HYPERLINK("http://www.otzar.org/book.asp?195902","דער אידישער חורבן אין אוקריינע")</f>
        <v>דער אידישער חורבן אין אוקריינע</v>
      </c>
    </row>
    <row r="9139" spans="1:6" x14ac:dyDescent="0.2">
      <c r="A9139" t="s">
        <v>15911</v>
      </c>
      <c r="B9139" t="s">
        <v>14640</v>
      </c>
      <c r="C9139" t="s">
        <v>8</v>
      </c>
      <c r="D9139" t="s">
        <v>412</v>
      </c>
      <c r="E9139" t="s">
        <v>234</v>
      </c>
      <c r="F9139" s="2" t="str">
        <f>HYPERLINK("http://www.otzar.org/book.asp?12006","דער אידישער רעדנער")</f>
        <v>דער אידישער רעדנער</v>
      </c>
    </row>
    <row r="9140" spans="1:6" x14ac:dyDescent="0.2">
      <c r="A9140" t="s">
        <v>15912</v>
      </c>
      <c r="B9140" t="s">
        <v>15913</v>
      </c>
      <c r="C9140" t="s">
        <v>1811</v>
      </c>
      <c r="D9140" t="s">
        <v>14</v>
      </c>
      <c r="F9140" s="2" t="str">
        <f>HYPERLINK("http://www.otzar.org/book.asp?618557","דער אידישער שטראל - 468 כר'")</f>
        <v>דער אידישער שטראל - 468 כר'</v>
      </c>
    </row>
    <row r="9141" spans="1:6" x14ac:dyDescent="0.2">
      <c r="A9141" t="s">
        <v>15914</v>
      </c>
      <c r="B9141" t="s">
        <v>15915</v>
      </c>
      <c r="C9141" t="s">
        <v>698</v>
      </c>
      <c r="D9141" t="s">
        <v>2362</v>
      </c>
      <c r="F9141" s="2" t="str">
        <f>HYPERLINK("http://www.otzar.org/book.asp?624807","דער אמת -2")</f>
        <v>דער אמת -2</v>
      </c>
    </row>
    <row r="9142" spans="1:6" x14ac:dyDescent="0.2">
      <c r="A9142" t="s">
        <v>15916</v>
      </c>
      <c r="B9142" t="s">
        <v>5667</v>
      </c>
      <c r="C9142" t="s">
        <v>438</v>
      </c>
      <c r="D9142" t="s">
        <v>14</v>
      </c>
      <c r="F9142" s="2" t="str">
        <f>HYPERLINK("http://www.otzar.org/book.asp?619129","דער גריידיציער צדיק")</f>
        <v>דער גריידיציער צדיק</v>
      </c>
    </row>
    <row r="9143" spans="1:6" x14ac:dyDescent="0.2">
      <c r="A9143" t="s">
        <v>15917</v>
      </c>
      <c r="B9143" t="s">
        <v>5667</v>
      </c>
      <c r="C9143" t="s">
        <v>20</v>
      </c>
      <c r="D9143" t="s">
        <v>225</v>
      </c>
      <c r="E9143" t="s">
        <v>104</v>
      </c>
      <c r="F9143" s="2" t="str">
        <f>HYPERLINK("http://www.otzar.org/book.asp?174562","דער גריידיצער")</f>
        <v>דער גריידיצער</v>
      </c>
    </row>
    <row r="9144" spans="1:6" x14ac:dyDescent="0.2">
      <c r="A9144" t="s">
        <v>15918</v>
      </c>
      <c r="B9144" t="s">
        <v>1750</v>
      </c>
      <c r="C9144" t="s">
        <v>843</v>
      </c>
      <c r="D9144" t="s">
        <v>52</v>
      </c>
      <c r="E9144" t="s">
        <v>384</v>
      </c>
      <c r="F9144" s="2" t="str">
        <f>HYPERLINK("http://www.otzar.org/book.asp?155891","דער היילגער קוואל - 5 כר'")</f>
        <v>דער היילגער קוואל - 5 כר'</v>
      </c>
    </row>
    <row r="9145" spans="1:6" x14ac:dyDescent="0.2">
      <c r="A9145" t="s">
        <v>15919</v>
      </c>
      <c r="B9145" t="s">
        <v>8743</v>
      </c>
      <c r="C9145" t="s">
        <v>37</v>
      </c>
      <c r="D9145" t="s">
        <v>412</v>
      </c>
      <c r="F9145" s="2" t="str">
        <f>HYPERLINK("http://www.otzar.org/book.asp?613575","דער היילגער שימאניער רב - רבי שבי שעפטיל וויס")</f>
        <v>דער היילגער שימאניער רב - רבי שבי שעפטיל וויס</v>
      </c>
    </row>
    <row r="9146" spans="1:6" x14ac:dyDescent="0.2">
      <c r="A9146" t="s">
        <v>15920</v>
      </c>
      <c r="B9146" t="s">
        <v>15921</v>
      </c>
      <c r="C9146" t="s">
        <v>427</v>
      </c>
      <c r="D9146" t="s">
        <v>2531</v>
      </c>
      <c r="E9146" t="s">
        <v>158</v>
      </c>
      <c r="F9146" s="2" t="str">
        <f>HYPERLINK("http://www.otzar.org/book.asp?164994","דער היינט אין תורה - 2 כר'")</f>
        <v>דער היינט אין תורה - 2 כר'</v>
      </c>
    </row>
    <row r="9147" spans="1:6" x14ac:dyDescent="0.2">
      <c r="A9147" t="s">
        <v>15922</v>
      </c>
      <c r="B9147" t="s">
        <v>15923</v>
      </c>
      <c r="C9147" t="s">
        <v>558</v>
      </c>
      <c r="D9147" t="s">
        <v>15924</v>
      </c>
      <c r="E9147" t="s">
        <v>234</v>
      </c>
      <c r="F9147" s="2" t="str">
        <f>HYPERLINK("http://www.otzar.org/book.asp?188566","דער הספד נאך דער לאדזער רב")</f>
        <v>דער הספד נאך דער לאדזער רב</v>
      </c>
    </row>
    <row r="9148" spans="1:6" x14ac:dyDescent="0.2">
      <c r="A9148" t="s">
        <v>15925</v>
      </c>
      <c r="B9148" t="s">
        <v>15926</v>
      </c>
      <c r="C9148" t="s">
        <v>6054</v>
      </c>
      <c r="D9148" t="s">
        <v>2968</v>
      </c>
      <c r="E9148" t="s">
        <v>234</v>
      </c>
      <c r="F9148" s="2" t="str">
        <f>HYPERLINK("http://www.otzar.org/book.asp?64317","דער ווינשטאק")</f>
        <v>דער ווינשטאק</v>
      </c>
    </row>
    <row r="9149" spans="1:6" x14ac:dyDescent="0.2">
      <c r="A9149" t="s">
        <v>15927</v>
      </c>
      <c r="B9149" t="s">
        <v>15928</v>
      </c>
      <c r="C9149" t="s">
        <v>180</v>
      </c>
      <c r="D9149" t="s">
        <v>5108</v>
      </c>
      <c r="E9149" t="s">
        <v>202</v>
      </c>
      <c r="F9149" s="2" t="str">
        <f>HYPERLINK("http://www.otzar.org/book.asp?196495","דער וועג")</f>
        <v>דער וועג</v>
      </c>
    </row>
    <row r="9150" spans="1:6" x14ac:dyDescent="0.2">
      <c r="A9150" t="s">
        <v>15929</v>
      </c>
      <c r="B9150" t="s">
        <v>4980</v>
      </c>
      <c r="C9150" t="s">
        <v>20</v>
      </c>
      <c r="D9150" t="s">
        <v>14</v>
      </c>
      <c r="F9150" s="2" t="str">
        <f>HYPERLINK("http://www.otzar.org/book.asp?612461","דער זייל פון די אידישע וועלט אין די לעצעטע דורות")</f>
        <v>דער זייל פון די אידישע וועלט אין די לעצעטע דורות</v>
      </c>
    </row>
    <row r="9151" spans="1:6" x14ac:dyDescent="0.2">
      <c r="A9151" t="s">
        <v>15930</v>
      </c>
      <c r="B9151" t="s">
        <v>15931</v>
      </c>
      <c r="C9151" t="s">
        <v>286</v>
      </c>
      <c r="D9151" t="s">
        <v>15474</v>
      </c>
      <c r="F9151" s="2" t="str">
        <f>HYPERLINK("http://www.otzar.org/book.asp?182937","דער חפץ חיים - א - ג")</f>
        <v>דער חפץ חיים - א - ג</v>
      </c>
    </row>
    <row r="9152" spans="1:6" x14ac:dyDescent="0.2">
      <c r="A9152" t="s">
        <v>15932</v>
      </c>
      <c r="B9152" t="s">
        <v>15933</v>
      </c>
      <c r="C9152" t="s">
        <v>576</v>
      </c>
      <c r="D9152" t="s">
        <v>412</v>
      </c>
      <c r="F9152" s="2" t="str">
        <f>HYPERLINK("http://www.otzar.org/book.asp?149385","דער יודישער אוצר - 2 כר'")</f>
        <v>דער יודישער אוצר - 2 כר'</v>
      </c>
    </row>
    <row r="9153" spans="1:6" x14ac:dyDescent="0.2">
      <c r="A9153" t="s">
        <v>15934</v>
      </c>
      <c r="B9153" t="s">
        <v>15935</v>
      </c>
      <c r="C9153" t="s">
        <v>224</v>
      </c>
      <c r="D9153" t="s">
        <v>283</v>
      </c>
      <c r="F9153" s="2" t="str">
        <f>HYPERLINK("http://www.otzar.org/book.asp?197025","דער יודישער גארטען")</f>
        <v>דער יודישער גארטען</v>
      </c>
    </row>
    <row r="9154" spans="1:6" x14ac:dyDescent="0.2">
      <c r="A9154" t="s">
        <v>15936</v>
      </c>
      <c r="B9154" t="s">
        <v>15935</v>
      </c>
      <c r="C9154" t="s">
        <v>286</v>
      </c>
      <c r="D9154" t="s">
        <v>15937</v>
      </c>
      <c r="F9154" s="2" t="str">
        <f>HYPERLINK("http://www.otzar.org/book.asp?197026","דער יודישער ערציהער")</f>
        <v>דער יודישער ערציהער</v>
      </c>
    </row>
    <row r="9155" spans="1:6" x14ac:dyDescent="0.2">
      <c r="A9155" t="s">
        <v>15938</v>
      </c>
      <c r="B9155" t="s">
        <v>1363</v>
      </c>
      <c r="C9155" t="s">
        <v>1954</v>
      </c>
      <c r="D9155" t="s">
        <v>5108</v>
      </c>
      <c r="F9155" s="2" t="str">
        <f>HYPERLINK("http://www.otzar.org/book.asp?196476","דער ייד און זיין צייט די יידשע צערעמאניאל געזעצן")</f>
        <v>דער ייד און זיין צייט די יידשע צערעמאניאל געזעצן</v>
      </c>
    </row>
    <row r="9156" spans="1:6" x14ac:dyDescent="0.2">
      <c r="A9156" t="s">
        <v>15939</v>
      </c>
      <c r="B9156" t="s">
        <v>15940</v>
      </c>
      <c r="C9156" t="s">
        <v>1609</v>
      </c>
      <c r="D9156" t="s">
        <v>806</v>
      </c>
      <c r="E9156" t="s">
        <v>246</v>
      </c>
      <c r="F9156" s="2" t="str">
        <f>HYPERLINK("http://www.otzar.org/book.asp?160426","דער יידישער פלאם")</f>
        <v>דער יידישער פלאם</v>
      </c>
    </row>
    <row r="9157" spans="1:6" x14ac:dyDescent="0.2">
      <c r="A9157" t="s">
        <v>15941</v>
      </c>
      <c r="B9157" t="s">
        <v>15942</v>
      </c>
      <c r="C9157" t="s">
        <v>63</v>
      </c>
      <c r="D9157" t="s">
        <v>15943</v>
      </c>
      <c r="E9157" t="s">
        <v>246</v>
      </c>
      <c r="F9157" s="2" t="str">
        <f>HYPERLINK("http://www.otzar.org/book.asp?196491","דער יידישער שבת")</f>
        <v>דער יידישער שבת</v>
      </c>
    </row>
    <row r="9158" spans="1:6" x14ac:dyDescent="0.2">
      <c r="A9158" t="s">
        <v>15944</v>
      </c>
      <c r="B9158" t="s">
        <v>7215</v>
      </c>
      <c r="C9158" t="s">
        <v>189</v>
      </c>
      <c r="D9158" t="s">
        <v>14</v>
      </c>
      <c r="E9158" t="s">
        <v>119</v>
      </c>
      <c r="F9158" s="2" t="str">
        <f>HYPERLINK("http://www.otzar.org/book.asp?159570","דער ליכטיגער שיין - 3 כר'")</f>
        <v>דער ליכטיגער שיין - 3 כר'</v>
      </c>
    </row>
    <row r="9159" spans="1:6" x14ac:dyDescent="0.2">
      <c r="A9159" t="s">
        <v>15945</v>
      </c>
      <c r="B9159" t="s">
        <v>13883</v>
      </c>
      <c r="C9159" t="s">
        <v>1160</v>
      </c>
      <c r="D9159" t="s">
        <v>412</v>
      </c>
      <c r="E9159" t="s">
        <v>119</v>
      </c>
      <c r="F9159" s="2" t="str">
        <f>HYPERLINK("http://www.otzar.org/book.asp?154563","דער סאטמארער רבי")</f>
        <v>דער סאטמארער רבי</v>
      </c>
    </row>
    <row r="9160" spans="1:6" x14ac:dyDescent="0.2">
      <c r="A9160" t="s">
        <v>15946</v>
      </c>
      <c r="B9160" t="s">
        <v>15947</v>
      </c>
      <c r="C9160" t="s">
        <v>8</v>
      </c>
      <c r="D9160" t="s">
        <v>118</v>
      </c>
      <c r="E9160" t="s">
        <v>119</v>
      </c>
      <c r="F9160" s="2" t="str">
        <f>HYPERLINK("http://www.otzar.org/book.asp?179498","דער סאנזער צדיק")</f>
        <v>דער סאנזער צדיק</v>
      </c>
    </row>
    <row r="9161" spans="1:6" x14ac:dyDescent="0.2">
      <c r="A9161" t="s">
        <v>15948</v>
      </c>
      <c r="B9161" t="s">
        <v>15949</v>
      </c>
      <c r="C9161" t="s">
        <v>8</v>
      </c>
      <c r="D9161" t="s">
        <v>412</v>
      </c>
      <c r="F9161" s="2" t="str">
        <f>HYPERLINK("http://www.otzar.org/book.asp?162436","דער סך הכל")</f>
        <v>דער סך הכל</v>
      </c>
    </row>
    <row r="9162" spans="1:6" x14ac:dyDescent="0.2">
      <c r="A9162" t="s">
        <v>15950</v>
      </c>
      <c r="B9162" t="s">
        <v>10056</v>
      </c>
      <c r="C9162" t="s">
        <v>23</v>
      </c>
      <c r="D9162" t="s">
        <v>1180</v>
      </c>
      <c r="F9162" s="2" t="str">
        <f>HYPERLINK("http://www.otzar.org/book.asp?199167","דער ערשטער רב פון באבוב")</f>
        <v>דער ערשטער רב פון באבוב</v>
      </c>
    </row>
    <row r="9163" spans="1:6" x14ac:dyDescent="0.2">
      <c r="A9163" t="s">
        <v>15951</v>
      </c>
      <c r="B9163" t="s">
        <v>15952</v>
      </c>
      <c r="C9163" t="s">
        <v>2644</v>
      </c>
      <c r="D9163" t="s">
        <v>15953</v>
      </c>
      <c r="F9163" s="2" t="str">
        <f>HYPERLINK("http://www.otzar.org/book.asp?193843","דער פוטטערנער אייווען")</f>
        <v>דער פוטטערנער אייווען</v>
      </c>
    </row>
    <row r="9164" spans="1:6" x14ac:dyDescent="0.2">
      <c r="A9164" t="s">
        <v>15954</v>
      </c>
      <c r="B9164" t="s">
        <v>15955</v>
      </c>
      <c r="C9164" t="s">
        <v>422</v>
      </c>
      <c r="D9164" t="s">
        <v>412</v>
      </c>
      <c r="E9164" t="s">
        <v>119</v>
      </c>
      <c r="F9164" s="2" t="str">
        <f>HYPERLINK("http://www.otzar.org/book.asp?191807","דער פינפטלינג צוזאמעטרעף")</f>
        <v>דער פינפטלינג צוזאמעטרעף</v>
      </c>
    </row>
    <row r="9165" spans="1:6" x14ac:dyDescent="0.2">
      <c r="A9165" t="s">
        <v>15956</v>
      </c>
      <c r="B9165" t="s">
        <v>15957</v>
      </c>
      <c r="C9165" t="s">
        <v>1284</v>
      </c>
      <c r="D9165" t="s">
        <v>283</v>
      </c>
      <c r="F9165" s="2" t="str">
        <f>HYPERLINK("http://www.otzar.org/book.asp?195892","דער פלאקער - 3 כר'")</f>
        <v>דער פלאקער - 3 כר'</v>
      </c>
    </row>
    <row r="9166" spans="1:6" x14ac:dyDescent="0.2">
      <c r="A9166" t="s">
        <v>15958</v>
      </c>
      <c r="B9166" t="s">
        <v>15959</v>
      </c>
      <c r="C9166" t="s">
        <v>13</v>
      </c>
      <c r="D9166" t="s">
        <v>3436</v>
      </c>
      <c r="F9166" s="2" t="str">
        <f>HYPERLINK("http://www.otzar.org/book.asp?194027","דער קאצקער קוויטל")</f>
        <v>דער קאצקער קוויטל</v>
      </c>
    </row>
    <row r="9167" spans="1:6" x14ac:dyDescent="0.2">
      <c r="A9167" t="s">
        <v>15960</v>
      </c>
      <c r="B9167" t="s">
        <v>15961</v>
      </c>
      <c r="C9167" t="s">
        <v>812</v>
      </c>
      <c r="D9167" t="s">
        <v>14954</v>
      </c>
      <c r="E9167" t="s">
        <v>140</v>
      </c>
      <c r="F9167" s="2" t="str">
        <f>HYPERLINK("http://www.otzar.org/book.asp?11029","דער קאצקער רבי")</f>
        <v>דער קאצקער רבי</v>
      </c>
    </row>
    <row r="9168" spans="1:6" x14ac:dyDescent="0.2">
      <c r="A9168" t="s">
        <v>15962</v>
      </c>
      <c r="B9168" t="s">
        <v>10056</v>
      </c>
      <c r="C9168" t="s">
        <v>133</v>
      </c>
      <c r="D9168" t="s">
        <v>1180</v>
      </c>
      <c r="F9168" s="2" t="str">
        <f>HYPERLINK("http://www.otzar.org/book.asp?199366","דער קדושת ציון פון באבוב")</f>
        <v>דער קדושת ציון פון באבוב</v>
      </c>
    </row>
    <row r="9169" spans="1:6" x14ac:dyDescent="0.2">
      <c r="A9169" t="s">
        <v>15963</v>
      </c>
      <c r="B9169" t="s">
        <v>15964</v>
      </c>
      <c r="C9169" t="s">
        <v>79</v>
      </c>
      <c r="D9169" t="s">
        <v>90</v>
      </c>
      <c r="E9169" t="s">
        <v>158</v>
      </c>
      <c r="F9169" s="2" t="str">
        <f>HYPERLINK("http://www.otzar.org/book.asp?156989","דער תורה קוואל - 4 כר'")</f>
        <v>דער תורה קוואל - 4 כר'</v>
      </c>
    </row>
    <row r="9170" spans="1:6" x14ac:dyDescent="0.2">
      <c r="A9170" t="s">
        <v>15965</v>
      </c>
      <c r="B9170" t="s">
        <v>15965</v>
      </c>
      <c r="C9170" t="s">
        <v>5151</v>
      </c>
      <c r="D9170" t="s">
        <v>2599</v>
      </c>
      <c r="F9170" s="2" t="str">
        <f>HYPERLINK("http://www.otzar.org/book.asp?163382","דעש קדוש פון הענא זיין ליד")</f>
        <v>דעש קדוש פון הענא זיין ליד</v>
      </c>
    </row>
    <row r="9171" spans="1:6" x14ac:dyDescent="0.2">
      <c r="A9171" t="s">
        <v>15966</v>
      </c>
      <c r="B9171" t="s">
        <v>142</v>
      </c>
      <c r="C9171" t="s">
        <v>244</v>
      </c>
      <c r="D9171" t="s">
        <v>14</v>
      </c>
      <c r="F9171" s="2" t="str">
        <f>HYPERLINK("http://www.otzar.org/book.asp?198578","דעת אביעזרי")</f>
        <v>דעת אביעזרי</v>
      </c>
    </row>
    <row r="9172" spans="1:6" x14ac:dyDescent="0.2">
      <c r="A9172" t="s">
        <v>15967</v>
      </c>
      <c r="B9172" t="s">
        <v>1750</v>
      </c>
      <c r="C9172" t="s">
        <v>523</v>
      </c>
      <c r="D9172" t="s">
        <v>14</v>
      </c>
      <c r="E9172" t="s">
        <v>2338</v>
      </c>
      <c r="F9172" s="2" t="str">
        <f>HYPERLINK("http://www.otzar.org/book.asp?62030","דעת אברהם - 2 כר'")</f>
        <v>דעת אברהם - 2 כר'</v>
      </c>
    </row>
    <row r="9173" spans="1:6" x14ac:dyDescent="0.2">
      <c r="A9173" t="s">
        <v>15968</v>
      </c>
      <c r="B9173" t="s">
        <v>15969</v>
      </c>
      <c r="C9173" t="s">
        <v>23</v>
      </c>
      <c r="D9173" t="s">
        <v>52</v>
      </c>
      <c r="E9173" t="s">
        <v>148</v>
      </c>
      <c r="F9173" s="2" t="str">
        <f>HYPERLINK("http://www.otzar.org/book.asp?194216","דעת אורח - 2 כר'")</f>
        <v>דעת אורח - 2 כר'</v>
      </c>
    </row>
    <row r="9174" spans="1:6" x14ac:dyDescent="0.2">
      <c r="A9174" t="s">
        <v>15970</v>
      </c>
      <c r="B9174" t="s">
        <v>15971</v>
      </c>
      <c r="C9174" t="s">
        <v>68</v>
      </c>
      <c r="D9174" t="s">
        <v>14</v>
      </c>
      <c r="E9174" t="s">
        <v>84</v>
      </c>
      <c r="F9174" s="2" t="str">
        <f>HYPERLINK("http://www.otzar.org/book.asp?195483","דעת אליהו - זבים")</f>
        <v>דעת אליהו - זבים</v>
      </c>
    </row>
    <row r="9175" spans="1:6" x14ac:dyDescent="0.2">
      <c r="A9175" t="s">
        <v>15972</v>
      </c>
      <c r="B9175" t="s">
        <v>15973</v>
      </c>
      <c r="C9175" t="s">
        <v>103</v>
      </c>
      <c r="D9175" t="s">
        <v>216</v>
      </c>
      <c r="E9175" t="s">
        <v>588</v>
      </c>
      <c r="F9175" s="2" t="str">
        <f>HYPERLINK("http://www.otzar.org/book.asp?63825","דעת אליהו")</f>
        <v>דעת אליהו</v>
      </c>
    </row>
    <row r="9176" spans="1:6" x14ac:dyDescent="0.2">
      <c r="A9176" t="s">
        <v>15974</v>
      </c>
      <c r="B9176" t="s">
        <v>15975</v>
      </c>
      <c r="D9176" t="s">
        <v>412</v>
      </c>
      <c r="E9176" t="s">
        <v>104</v>
      </c>
      <c r="F9176" s="2" t="str">
        <f>HYPERLINK("http://www.otzar.org/book.asp?627912","דעת אליעזר")</f>
        <v>דעת אליעזר</v>
      </c>
    </row>
    <row r="9177" spans="1:6" x14ac:dyDescent="0.2">
      <c r="A9177" t="s">
        <v>15976</v>
      </c>
      <c r="B9177" t="s">
        <v>5886</v>
      </c>
      <c r="C9177" t="s">
        <v>411</v>
      </c>
      <c r="D9177" t="s">
        <v>412</v>
      </c>
      <c r="E9177" t="s">
        <v>84</v>
      </c>
      <c r="F9177" s="2" t="str">
        <f>HYPERLINK("http://www.otzar.org/book.asp?172632","דעת אליעזר - מכשירין, זבים, טבול יום, ידים, עוקצין")</f>
        <v>דעת אליעזר - מכשירין, זבים, טבול יום, ידים, עוקצין</v>
      </c>
    </row>
    <row r="9178" spans="1:6" x14ac:dyDescent="0.2">
      <c r="A9178" t="s">
        <v>15977</v>
      </c>
      <c r="B9178" t="s">
        <v>15978</v>
      </c>
      <c r="C9178" t="s">
        <v>1811</v>
      </c>
      <c r="D9178" t="s">
        <v>52</v>
      </c>
      <c r="E9178" t="s">
        <v>399</v>
      </c>
      <c r="F9178" s="2" t="str">
        <f>HYPERLINK("http://www.otzar.org/book.asp?28684","דעת אלקים")</f>
        <v>דעת אלקים</v>
      </c>
    </row>
    <row r="9179" spans="1:6" x14ac:dyDescent="0.2">
      <c r="A9179" t="s">
        <v>15977</v>
      </c>
      <c r="B9179" t="s">
        <v>15979</v>
      </c>
      <c r="C9179" t="s">
        <v>23</v>
      </c>
      <c r="D9179" t="s">
        <v>14</v>
      </c>
      <c r="E9179" t="s">
        <v>399</v>
      </c>
      <c r="F9179" s="2" t="str">
        <f>HYPERLINK("http://www.otzar.org/book.asp?191386","דעת אלקים")</f>
        <v>דעת אלקים</v>
      </c>
    </row>
    <row r="9180" spans="1:6" x14ac:dyDescent="0.2">
      <c r="A9180" t="s">
        <v>15980</v>
      </c>
      <c r="B9180" t="s">
        <v>7715</v>
      </c>
      <c r="C9180" t="s">
        <v>454</v>
      </c>
      <c r="D9180" t="s">
        <v>14</v>
      </c>
      <c r="E9180" t="s">
        <v>636</v>
      </c>
      <c r="F9180" s="2" t="str">
        <f>HYPERLINK("http://www.otzar.org/book.asp?22532","דעת אמונה")</f>
        <v>דעת אמונה</v>
      </c>
    </row>
    <row r="9181" spans="1:6" x14ac:dyDescent="0.2">
      <c r="A9181" t="s">
        <v>15981</v>
      </c>
      <c r="B9181" t="s">
        <v>2582</v>
      </c>
      <c r="C9181" t="s">
        <v>146</v>
      </c>
      <c r="D9181" t="s">
        <v>14</v>
      </c>
      <c r="E9181" t="s">
        <v>241</v>
      </c>
      <c r="F9181" s="2" t="str">
        <f>HYPERLINK("http://www.otzar.org/book.asp?157416","דעת אמונה - 3 כר'")</f>
        <v>דעת אמונה - 3 כר'</v>
      </c>
    </row>
    <row r="9182" spans="1:6" x14ac:dyDescent="0.2">
      <c r="A9182" t="s">
        <v>15982</v>
      </c>
      <c r="B9182" t="s">
        <v>15983</v>
      </c>
      <c r="C9182" t="s">
        <v>114</v>
      </c>
      <c r="D9182" t="s">
        <v>52</v>
      </c>
      <c r="E9182" t="s">
        <v>144</v>
      </c>
      <c r="F9182" s="2" t="str">
        <f>HYPERLINK("http://www.otzar.org/book.asp?168503","דעת אשר")</f>
        <v>דעת אשר</v>
      </c>
    </row>
    <row r="9183" spans="1:6" x14ac:dyDescent="0.2">
      <c r="A9183" t="s">
        <v>15984</v>
      </c>
      <c r="B9183" t="s">
        <v>15985</v>
      </c>
      <c r="C9183" t="s">
        <v>244</v>
      </c>
      <c r="D9183" t="s">
        <v>80</v>
      </c>
      <c r="E9183" t="s">
        <v>674</v>
      </c>
      <c r="F9183" s="2" t="str">
        <f>HYPERLINK("http://www.otzar.org/book.asp?601105","דעת בחכמה")</f>
        <v>דעת בחכמה</v>
      </c>
    </row>
    <row r="9184" spans="1:6" x14ac:dyDescent="0.2">
      <c r="A9184" t="s">
        <v>15986</v>
      </c>
      <c r="B9184" t="s">
        <v>15987</v>
      </c>
      <c r="C9184" t="s">
        <v>185</v>
      </c>
      <c r="D9184" t="s">
        <v>52</v>
      </c>
      <c r="E9184" t="s">
        <v>144</v>
      </c>
      <c r="F9184" s="2" t="str">
        <f>HYPERLINK("http://www.otzar.org/book.asp?630899","דעת בנימין - בבא מציעא")</f>
        <v>דעת בנימין - בבא מציעא</v>
      </c>
    </row>
    <row r="9185" spans="1:6" x14ac:dyDescent="0.2">
      <c r="A9185" t="s">
        <v>15988</v>
      </c>
      <c r="B9185" t="s">
        <v>15989</v>
      </c>
      <c r="C9185" t="s">
        <v>244</v>
      </c>
      <c r="D9185" t="s">
        <v>52</v>
      </c>
      <c r="F9185" s="2" t="str">
        <f>HYPERLINK("http://www.otzar.org/book.asp?610635","דעת ברכה - 2 כר'")</f>
        <v>דעת ברכה - 2 כר'</v>
      </c>
    </row>
    <row r="9186" spans="1:6" x14ac:dyDescent="0.2">
      <c r="A9186" t="s">
        <v>15990</v>
      </c>
      <c r="B9186" t="s">
        <v>206</v>
      </c>
      <c r="C9186" t="s">
        <v>185</v>
      </c>
      <c r="D9186" t="s">
        <v>90</v>
      </c>
      <c r="E9186" t="s">
        <v>674</v>
      </c>
      <c r="F9186" s="2" t="str">
        <f>HYPERLINK("http://www.otzar.org/book.asp?627318","דעת גדולים")</f>
        <v>דעת גדולים</v>
      </c>
    </row>
    <row r="9187" spans="1:6" x14ac:dyDescent="0.2">
      <c r="A9187" t="s">
        <v>15991</v>
      </c>
      <c r="B9187" t="s">
        <v>15992</v>
      </c>
      <c r="C9187" t="s">
        <v>13</v>
      </c>
      <c r="D9187" t="s">
        <v>90</v>
      </c>
      <c r="E9187" t="s">
        <v>399</v>
      </c>
      <c r="F9187" s="2" t="str">
        <f>HYPERLINK("http://www.otzar.org/book.asp?61760","דעת דרכיו - מבוא לתורת האר""י")</f>
        <v>דעת דרכיו - מבוא לתורת האר"י</v>
      </c>
    </row>
    <row r="9188" spans="1:6" x14ac:dyDescent="0.2">
      <c r="A9188" t="s">
        <v>15993</v>
      </c>
      <c r="B9188" t="s">
        <v>3621</v>
      </c>
      <c r="C9188" t="s">
        <v>103</v>
      </c>
      <c r="D9188" t="s">
        <v>14</v>
      </c>
      <c r="E9188" t="s">
        <v>6305</v>
      </c>
      <c r="F9188" s="2" t="str">
        <f>HYPERLINK("http://www.otzar.org/book.asp?50497","דעת ה'")</f>
        <v>דעת ה'</v>
      </c>
    </row>
    <row r="9189" spans="1:6" x14ac:dyDescent="0.2">
      <c r="A9189" t="s">
        <v>15994</v>
      </c>
      <c r="B9189" t="s">
        <v>7463</v>
      </c>
      <c r="C9189" t="s">
        <v>189</v>
      </c>
      <c r="D9189" t="s">
        <v>52</v>
      </c>
      <c r="E9189" t="s">
        <v>15</v>
      </c>
      <c r="F9189" s="2" t="str">
        <f>HYPERLINK("http://www.otzar.org/book.asp?145564","דעת החזון איש")</f>
        <v>דעת החזון איש</v>
      </c>
    </row>
    <row r="9190" spans="1:6" x14ac:dyDescent="0.2">
      <c r="A9190" t="s">
        <v>15995</v>
      </c>
      <c r="B9190" t="s">
        <v>15996</v>
      </c>
      <c r="C9190" t="s">
        <v>390</v>
      </c>
      <c r="D9190" t="s">
        <v>260</v>
      </c>
      <c r="E9190" t="s">
        <v>241</v>
      </c>
      <c r="F9190" s="2" t="str">
        <f>HYPERLINK("http://www.otzar.org/book.asp?153898","דעת החיים - אהל שרה")</f>
        <v>דעת החיים - אהל שרה</v>
      </c>
    </row>
    <row r="9191" spans="1:6" x14ac:dyDescent="0.2">
      <c r="A9191" t="s">
        <v>15997</v>
      </c>
      <c r="B9191" t="s">
        <v>15998</v>
      </c>
      <c r="C9191" t="s">
        <v>15999</v>
      </c>
      <c r="D9191" t="s">
        <v>225</v>
      </c>
      <c r="E9191" t="s">
        <v>158</v>
      </c>
      <c r="F9191" s="2" t="str">
        <f>HYPERLINK("http://www.otzar.org/book.asp?17534","דעת הישראלי - 2 כר'")</f>
        <v>דעת הישראלי - 2 כר'</v>
      </c>
    </row>
    <row r="9192" spans="1:6" x14ac:dyDescent="0.2">
      <c r="A9192" t="s">
        <v>16000</v>
      </c>
      <c r="B9192" t="s">
        <v>16001</v>
      </c>
      <c r="C9192" t="s">
        <v>422</v>
      </c>
      <c r="D9192" t="s">
        <v>14</v>
      </c>
      <c r="E9192" t="s">
        <v>172</v>
      </c>
      <c r="F9192" s="2" t="str">
        <f>HYPERLINK("http://www.otzar.org/book.asp?162019","דעת הלכה - 3 כר'")</f>
        <v>דעת הלכה - 3 כר'</v>
      </c>
    </row>
    <row r="9193" spans="1:6" x14ac:dyDescent="0.2">
      <c r="A9193" t="s">
        <v>16002</v>
      </c>
      <c r="B9193" t="s">
        <v>16003</v>
      </c>
      <c r="C9193" t="s">
        <v>427</v>
      </c>
      <c r="D9193" t="s">
        <v>14</v>
      </c>
      <c r="E9193" t="s">
        <v>15</v>
      </c>
      <c r="F9193" s="2" t="str">
        <f>HYPERLINK("http://www.otzar.org/book.asp?83746","דעת הקדושה")</f>
        <v>דעת הקדושה</v>
      </c>
    </row>
    <row r="9194" spans="1:6" x14ac:dyDescent="0.2">
      <c r="A9194" t="s">
        <v>16004</v>
      </c>
      <c r="B9194" t="s">
        <v>9096</v>
      </c>
      <c r="C9194" t="s">
        <v>2550</v>
      </c>
      <c r="D9194" t="s">
        <v>283</v>
      </c>
      <c r="E9194" t="s">
        <v>154</v>
      </c>
      <c r="F9194" s="2" t="str">
        <f>HYPERLINK("http://www.otzar.org/book.asp?28344","דעת הרבנים")</f>
        <v>דעת הרבנים</v>
      </c>
    </row>
    <row r="9195" spans="1:6" x14ac:dyDescent="0.2">
      <c r="A9195" t="s">
        <v>16004</v>
      </c>
      <c r="B9195" t="s">
        <v>16005</v>
      </c>
      <c r="C9195" t="s">
        <v>854</v>
      </c>
      <c r="D9195" t="s">
        <v>283</v>
      </c>
      <c r="E9195" t="s">
        <v>16006</v>
      </c>
      <c r="F9195" s="2" t="str">
        <f>HYPERLINK("http://www.otzar.org/book.asp?14780","דעת הרבנים")</f>
        <v>דעת הרבנים</v>
      </c>
    </row>
    <row r="9196" spans="1:6" x14ac:dyDescent="0.2">
      <c r="A9196" t="s">
        <v>16007</v>
      </c>
      <c r="B9196" t="s">
        <v>16008</v>
      </c>
      <c r="C9196" t="s">
        <v>20</v>
      </c>
      <c r="D9196" t="s">
        <v>147</v>
      </c>
      <c r="E9196" t="s">
        <v>104</v>
      </c>
      <c r="F9196" s="2" t="str">
        <f>HYPERLINK("http://www.otzar.org/book.asp?605196","דעת הרי""ד")</f>
        <v>דעת הרי"ד</v>
      </c>
    </row>
    <row r="9197" spans="1:6" x14ac:dyDescent="0.2">
      <c r="A9197" t="s">
        <v>16009</v>
      </c>
      <c r="B9197" t="s">
        <v>16010</v>
      </c>
      <c r="C9197" t="s">
        <v>111</v>
      </c>
      <c r="D9197" t="s">
        <v>14</v>
      </c>
      <c r="E9197" t="s">
        <v>3798</v>
      </c>
      <c r="F9197" s="2" t="str">
        <f>HYPERLINK("http://www.otzar.org/book.asp?627852","דעת השבת")</f>
        <v>דעת השבת</v>
      </c>
    </row>
    <row r="9198" spans="1:6" x14ac:dyDescent="0.2">
      <c r="A9198" t="s">
        <v>16011</v>
      </c>
      <c r="B9198" t="s">
        <v>206</v>
      </c>
      <c r="C9198" t="s">
        <v>366</v>
      </c>
      <c r="D9198" t="s">
        <v>14</v>
      </c>
      <c r="F9198" s="2" t="str">
        <f>HYPERLINK("http://www.otzar.org/book.asp?614487","דעת השם")</f>
        <v>דעת השם</v>
      </c>
    </row>
    <row r="9199" spans="1:6" x14ac:dyDescent="0.2">
      <c r="A9199" t="s">
        <v>16012</v>
      </c>
      <c r="B9199" t="s">
        <v>16013</v>
      </c>
      <c r="C9199" t="s">
        <v>854</v>
      </c>
      <c r="D9199" t="s">
        <v>267</v>
      </c>
      <c r="E9199" t="s">
        <v>325</v>
      </c>
      <c r="F9199" s="2" t="str">
        <f>HYPERLINK("http://www.otzar.org/book.asp?17535","דעת ומזימה")</f>
        <v>דעת ומזימה</v>
      </c>
    </row>
    <row r="9200" spans="1:6" x14ac:dyDescent="0.2">
      <c r="A9200" t="s">
        <v>16014</v>
      </c>
      <c r="B9200" t="s">
        <v>4606</v>
      </c>
      <c r="C9200" t="s">
        <v>1448</v>
      </c>
      <c r="D9200" t="s">
        <v>52</v>
      </c>
      <c r="E9200" t="s">
        <v>15</v>
      </c>
      <c r="F9200" s="2" t="str">
        <f>HYPERLINK("http://www.otzar.org/book.asp?10008","דעת ומחשבה - רמב""ם הל' דעות והל' ע""ז")</f>
        <v>דעת ומחשבה - רמב"ם הל' דעות והל' ע"ז</v>
      </c>
    </row>
    <row r="9201" spans="1:6" x14ac:dyDescent="0.2">
      <c r="A9201" t="s">
        <v>16015</v>
      </c>
      <c r="B9201" t="s">
        <v>16016</v>
      </c>
      <c r="C9201" t="s">
        <v>23</v>
      </c>
      <c r="D9201" t="s">
        <v>21</v>
      </c>
      <c r="F9201" s="2" t="str">
        <f>HYPERLINK("http://www.otzar.org/book.asp?196110","דעת וסתות")</f>
        <v>דעת וסתות</v>
      </c>
    </row>
    <row r="9202" spans="1:6" x14ac:dyDescent="0.2">
      <c r="A9202" t="s">
        <v>16017</v>
      </c>
      <c r="B9202" t="s">
        <v>599</v>
      </c>
      <c r="C9202" t="s">
        <v>360</v>
      </c>
      <c r="D9202" t="s">
        <v>27</v>
      </c>
      <c r="E9202" t="s">
        <v>399</v>
      </c>
      <c r="F9202" s="2" t="str">
        <f>HYPERLINK("http://www.otzar.org/book.asp?6189","דעת ותבונה")</f>
        <v>דעת ותבונה</v>
      </c>
    </row>
    <row r="9203" spans="1:6" x14ac:dyDescent="0.2">
      <c r="A9203" t="s">
        <v>16018</v>
      </c>
      <c r="B9203" t="s">
        <v>16019</v>
      </c>
      <c r="C9203" t="s">
        <v>411</v>
      </c>
      <c r="D9203" t="s">
        <v>14</v>
      </c>
      <c r="E9203" t="s">
        <v>84</v>
      </c>
      <c r="F9203" s="2" t="str">
        <f>HYPERLINK("http://www.otzar.org/book.asp?172183","דעת ותבונה - מכשירין")</f>
        <v>דעת ותבונה - מכשירין</v>
      </c>
    </row>
    <row r="9204" spans="1:6" x14ac:dyDescent="0.2">
      <c r="A9204" t="s">
        <v>16020</v>
      </c>
      <c r="B9204" t="s">
        <v>16021</v>
      </c>
      <c r="C9204" t="s">
        <v>68</v>
      </c>
      <c r="D9204" t="s">
        <v>115</v>
      </c>
      <c r="E9204" t="s">
        <v>1438</v>
      </c>
      <c r="F9204" s="2" t="str">
        <f>HYPERLINK("http://www.otzar.org/book.asp?196797","דעת ותורה")</f>
        <v>דעת ותורה</v>
      </c>
    </row>
    <row r="9205" spans="1:6" x14ac:dyDescent="0.2">
      <c r="A9205" t="s">
        <v>16022</v>
      </c>
      <c r="B9205" t="s">
        <v>6686</v>
      </c>
      <c r="C9205" t="s">
        <v>360</v>
      </c>
      <c r="D9205" t="s">
        <v>16023</v>
      </c>
      <c r="E9205" t="s">
        <v>2010</v>
      </c>
      <c r="F9205" s="2" t="str">
        <f>HYPERLINK("http://www.otzar.org/book.asp?100102","דעת זקנים - שיחת חולין של תלמידי חכמים")</f>
        <v>דעת זקנים - שיחת חולין של תלמידי חכמים</v>
      </c>
    </row>
    <row r="9206" spans="1:6" x14ac:dyDescent="0.2">
      <c r="A9206" t="s">
        <v>16024</v>
      </c>
      <c r="B9206" t="s">
        <v>11537</v>
      </c>
      <c r="C9206" t="s">
        <v>2488</v>
      </c>
      <c r="D9206" t="s">
        <v>212</v>
      </c>
      <c r="E9206" t="s">
        <v>158</v>
      </c>
      <c r="F9206" s="2" t="str">
        <f>HYPERLINK("http://www.otzar.org/book.asp?180762","דעת זקנים - 2 כר'")</f>
        <v>דעת זקנים - 2 כר'</v>
      </c>
    </row>
    <row r="9207" spans="1:6" x14ac:dyDescent="0.2">
      <c r="A9207" t="s">
        <v>16024</v>
      </c>
      <c r="B9207" t="s">
        <v>15969</v>
      </c>
      <c r="C9207" t="s">
        <v>114</v>
      </c>
      <c r="D9207" t="s">
        <v>52</v>
      </c>
      <c r="E9207" t="s">
        <v>144</v>
      </c>
      <c r="F9207" s="2" t="str">
        <f>HYPERLINK("http://www.otzar.org/book.asp?166232","דעת זקנים - 2 כר'")</f>
        <v>דעת זקנים - 2 כר'</v>
      </c>
    </row>
    <row r="9208" spans="1:6" x14ac:dyDescent="0.2">
      <c r="A9208" t="s">
        <v>16025</v>
      </c>
      <c r="B9208" t="s">
        <v>16026</v>
      </c>
      <c r="C9208" t="s">
        <v>366</v>
      </c>
      <c r="D9208" t="s">
        <v>52</v>
      </c>
      <c r="F9208" s="2" t="str">
        <f>HYPERLINK("http://www.otzar.org/book.asp?609055","דעת זקנים")</f>
        <v>דעת זקנים</v>
      </c>
    </row>
    <row r="9209" spans="1:6" x14ac:dyDescent="0.2">
      <c r="A9209" t="s">
        <v>16027</v>
      </c>
      <c r="B9209" t="s">
        <v>16028</v>
      </c>
      <c r="C9209" t="s">
        <v>151</v>
      </c>
      <c r="D9209" t="s">
        <v>14</v>
      </c>
      <c r="E9209" t="s">
        <v>202</v>
      </c>
      <c r="F9209" s="2" t="str">
        <f>HYPERLINK("http://www.otzar.org/book.asp?626020","דעת חדרים - 2 כר'")</f>
        <v>דעת חדרים - 2 כר'</v>
      </c>
    </row>
    <row r="9210" spans="1:6" x14ac:dyDescent="0.2">
      <c r="A9210" t="s">
        <v>16029</v>
      </c>
      <c r="B9210" t="s">
        <v>16030</v>
      </c>
      <c r="C9210" t="s">
        <v>71</v>
      </c>
      <c r="D9210" t="s">
        <v>14</v>
      </c>
      <c r="E9210" t="s">
        <v>241</v>
      </c>
      <c r="F9210" s="2" t="str">
        <f>HYPERLINK("http://www.otzar.org/book.asp?108406","דעת חיים - 2 כר'")</f>
        <v>דעת חיים - 2 כר'</v>
      </c>
    </row>
    <row r="9211" spans="1:6" x14ac:dyDescent="0.2">
      <c r="A9211" t="s">
        <v>16031</v>
      </c>
      <c r="B9211" t="s">
        <v>16032</v>
      </c>
      <c r="C9211" t="s">
        <v>624</v>
      </c>
      <c r="D9211" t="s">
        <v>1076</v>
      </c>
      <c r="E9211" t="s">
        <v>158</v>
      </c>
      <c r="F9211" s="2" t="str">
        <f>HYPERLINK("http://www.otzar.org/book.asp?161540","דעת חיים")</f>
        <v>דעת חיים</v>
      </c>
    </row>
    <row r="9212" spans="1:6" x14ac:dyDescent="0.2">
      <c r="A9212" t="s">
        <v>16031</v>
      </c>
      <c r="B9212" t="s">
        <v>16033</v>
      </c>
      <c r="C9212" t="s">
        <v>1169</v>
      </c>
      <c r="D9212" t="s">
        <v>260</v>
      </c>
      <c r="E9212" t="s">
        <v>15</v>
      </c>
      <c r="F9212" s="2" t="str">
        <f>HYPERLINK("http://www.otzar.org/book.asp?5341","דעת חיים")</f>
        <v>דעת חיים</v>
      </c>
    </row>
    <row r="9213" spans="1:6" x14ac:dyDescent="0.2">
      <c r="A9213" t="s">
        <v>16034</v>
      </c>
      <c r="B9213" t="s">
        <v>16035</v>
      </c>
      <c r="C9213" t="s">
        <v>1160</v>
      </c>
      <c r="D9213" t="s">
        <v>412</v>
      </c>
      <c r="E9213" t="s">
        <v>213</v>
      </c>
      <c r="F9213" s="2" t="str">
        <f>HYPERLINK("http://www.otzar.org/book.asp?143946","דעת חכמה ומוסר - 3 כר'")</f>
        <v>דעת חכמה ומוסר - 3 כר'</v>
      </c>
    </row>
    <row r="9214" spans="1:6" x14ac:dyDescent="0.2">
      <c r="A9214" t="s">
        <v>16036</v>
      </c>
      <c r="B9214" t="s">
        <v>16037</v>
      </c>
      <c r="C9214" t="s">
        <v>133</v>
      </c>
      <c r="D9214" t="s">
        <v>90</v>
      </c>
      <c r="E9214" t="s">
        <v>158</v>
      </c>
      <c r="F9214" s="2" t="str">
        <f>HYPERLINK("http://www.otzar.org/book.asp?630803","דעת חכמה - 4 כר'")</f>
        <v>דעת חכמה - 4 כר'</v>
      </c>
    </row>
    <row r="9215" spans="1:6" x14ac:dyDescent="0.2">
      <c r="A9215" t="s">
        <v>16038</v>
      </c>
      <c r="B9215" t="s">
        <v>16039</v>
      </c>
      <c r="C9215" t="s">
        <v>51</v>
      </c>
      <c r="D9215" t="s">
        <v>9909</v>
      </c>
      <c r="E9215" t="s">
        <v>202</v>
      </c>
      <c r="F9215" s="2" t="str">
        <f>HYPERLINK("http://www.otzar.org/book.asp?193052","דעת חכמה - 3 כר'")</f>
        <v>דעת חכמה - 3 כר'</v>
      </c>
    </row>
    <row r="9216" spans="1:6" x14ac:dyDescent="0.2">
      <c r="A9216" t="s">
        <v>16040</v>
      </c>
      <c r="B9216" t="s">
        <v>16041</v>
      </c>
      <c r="C9216" t="s">
        <v>332</v>
      </c>
      <c r="D9216" t="s">
        <v>216</v>
      </c>
      <c r="E9216" t="s">
        <v>158</v>
      </c>
      <c r="F9216" s="2" t="str">
        <f>HYPERLINK("http://www.otzar.org/book.asp?174092","דעת חכמים - 7 כר'")</f>
        <v>דעת חכמים - 7 כר'</v>
      </c>
    </row>
    <row r="9217" spans="1:6" x14ac:dyDescent="0.2">
      <c r="A9217" t="s">
        <v>16042</v>
      </c>
      <c r="B9217" t="s">
        <v>16043</v>
      </c>
      <c r="C9217" t="s">
        <v>13</v>
      </c>
      <c r="D9217" t="s">
        <v>646</v>
      </c>
      <c r="E9217" t="s">
        <v>230</v>
      </c>
      <c r="F9217" s="2" t="str">
        <f>HYPERLINK("http://www.otzar.org/book.asp?189722","דעת חן")</f>
        <v>דעת חן</v>
      </c>
    </row>
    <row r="9218" spans="1:6" x14ac:dyDescent="0.2">
      <c r="A9218" t="s">
        <v>16044</v>
      </c>
      <c r="B9218" t="s">
        <v>16045</v>
      </c>
      <c r="C9218" t="s">
        <v>244</v>
      </c>
      <c r="D9218" t="s">
        <v>21</v>
      </c>
      <c r="E9218" t="s">
        <v>2153</v>
      </c>
      <c r="F9218" s="2" t="str">
        <f>HYPERLINK("http://www.otzar.org/book.asp?600061","דעת טהרה - הלכות נדה")</f>
        <v>דעת טהרה - הלכות נדה</v>
      </c>
    </row>
    <row r="9219" spans="1:6" x14ac:dyDescent="0.2">
      <c r="A9219" t="s">
        <v>16046</v>
      </c>
      <c r="B9219" t="s">
        <v>9328</v>
      </c>
      <c r="C9219" t="s">
        <v>244</v>
      </c>
      <c r="D9219" t="s">
        <v>52</v>
      </c>
      <c r="E9219" t="s">
        <v>15</v>
      </c>
      <c r="F9219" s="2" t="str">
        <f>HYPERLINK("http://www.otzar.org/book.asp?606092","דעת טהרה")</f>
        <v>דעת טהרה</v>
      </c>
    </row>
    <row r="9220" spans="1:6" x14ac:dyDescent="0.2">
      <c r="A9220" t="s">
        <v>16047</v>
      </c>
      <c r="B9220" t="s">
        <v>16048</v>
      </c>
      <c r="C9220" t="s">
        <v>23</v>
      </c>
      <c r="D9220" t="s">
        <v>90</v>
      </c>
      <c r="E9220" t="s">
        <v>84</v>
      </c>
      <c r="F9220" s="2" t="str">
        <f>HYPERLINK("http://www.otzar.org/book.asp?191837","דעת טהרות - א")</f>
        <v>דעת טהרות - א</v>
      </c>
    </row>
    <row r="9221" spans="1:6" x14ac:dyDescent="0.2">
      <c r="A9221" t="s">
        <v>16049</v>
      </c>
      <c r="B9221" t="s">
        <v>10734</v>
      </c>
      <c r="C9221" t="s">
        <v>411</v>
      </c>
      <c r="D9221" t="s">
        <v>52</v>
      </c>
      <c r="E9221" t="s">
        <v>148</v>
      </c>
      <c r="F9221" s="2" t="str">
        <f>HYPERLINK("http://www.otzar.org/book.asp?180204","דעת יהודה")</f>
        <v>דעת יהודה</v>
      </c>
    </row>
    <row r="9222" spans="1:6" x14ac:dyDescent="0.2">
      <c r="A9222" t="s">
        <v>16050</v>
      </c>
      <c r="B9222" t="s">
        <v>1990</v>
      </c>
      <c r="C9222" t="s">
        <v>854</v>
      </c>
      <c r="D9222" t="s">
        <v>283</v>
      </c>
      <c r="F9222" s="2" t="str">
        <f>HYPERLINK("http://www.otzar.org/book.asp?100810","דעת יהונתן")</f>
        <v>דעת יהונתן</v>
      </c>
    </row>
    <row r="9223" spans="1:6" x14ac:dyDescent="0.2">
      <c r="A9223" t="s">
        <v>16051</v>
      </c>
      <c r="B9223" t="s">
        <v>16052</v>
      </c>
      <c r="C9223" t="s">
        <v>143</v>
      </c>
      <c r="D9223" t="s">
        <v>1356</v>
      </c>
      <c r="E9223" t="s">
        <v>16053</v>
      </c>
      <c r="F9223" s="2" t="str">
        <f>HYPERLINK("http://www.otzar.org/book.asp?60282","דעת יואל - 2 כר'")</f>
        <v>דעת יואל - 2 כר'</v>
      </c>
    </row>
    <row r="9224" spans="1:6" x14ac:dyDescent="0.2">
      <c r="A9224" t="s">
        <v>16054</v>
      </c>
      <c r="B9224" t="s">
        <v>16055</v>
      </c>
      <c r="C9224" t="s">
        <v>1811</v>
      </c>
      <c r="D9224" t="s">
        <v>52</v>
      </c>
      <c r="E9224" t="s">
        <v>84</v>
      </c>
      <c r="F9224" s="2" t="str">
        <f>HYPERLINK("http://www.otzar.org/book.asp?149350","דעת יוסף - 14 כר'")</f>
        <v>דעת יוסף - 14 כר'</v>
      </c>
    </row>
    <row r="9225" spans="1:6" x14ac:dyDescent="0.2">
      <c r="A9225" t="s">
        <v>16056</v>
      </c>
      <c r="B9225" t="s">
        <v>16057</v>
      </c>
      <c r="C9225" t="s">
        <v>812</v>
      </c>
      <c r="D9225" t="s">
        <v>9</v>
      </c>
      <c r="E9225" t="s">
        <v>1262</v>
      </c>
      <c r="F9225" s="2" t="str">
        <f>HYPERLINK("http://www.otzar.org/book.asp?11692","דעת יוסף")</f>
        <v>דעת יוסף</v>
      </c>
    </row>
    <row r="9226" spans="1:6" x14ac:dyDescent="0.2">
      <c r="A9226" t="s">
        <v>16058</v>
      </c>
      <c r="B9226" t="s">
        <v>489</v>
      </c>
      <c r="C9226" t="s">
        <v>523</v>
      </c>
      <c r="D9226" t="s">
        <v>486</v>
      </c>
      <c r="E9226" t="s">
        <v>186</v>
      </c>
      <c r="F9226" s="2" t="str">
        <f>HYPERLINK("http://www.otzar.org/book.asp?169132","דעת יוסף - בבא מציעא")</f>
        <v>דעת יוסף - בבא מציעא</v>
      </c>
    </row>
    <row r="9227" spans="1:6" x14ac:dyDescent="0.2">
      <c r="A9227" t="s">
        <v>16059</v>
      </c>
      <c r="B9227" t="s">
        <v>16060</v>
      </c>
      <c r="C9227" t="s">
        <v>244</v>
      </c>
      <c r="D9227" t="s">
        <v>52</v>
      </c>
      <c r="F9227" s="2" t="str">
        <f>HYPERLINK("http://www.otzar.org/book.asp?609056","דעת יושר - וסתות וכתמים")</f>
        <v>דעת יושר - וסתות וכתמים</v>
      </c>
    </row>
    <row r="9228" spans="1:6" x14ac:dyDescent="0.2">
      <c r="A9228" t="s">
        <v>16061</v>
      </c>
      <c r="B9228" t="s">
        <v>16062</v>
      </c>
      <c r="C9228" t="s">
        <v>244</v>
      </c>
      <c r="D9228" t="s">
        <v>14</v>
      </c>
      <c r="E9228" t="s">
        <v>144</v>
      </c>
      <c r="F9228" s="2" t="str">
        <f>HYPERLINK("http://www.otzar.org/book.asp?606345","דעת יחזקאל - 2 כר'")</f>
        <v>דעת יחזקאל - 2 כר'</v>
      </c>
    </row>
    <row r="9229" spans="1:6" x14ac:dyDescent="0.2">
      <c r="A9229" t="s">
        <v>16063</v>
      </c>
      <c r="B9229" t="s">
        <v>16064</v>
      </c>
      <c r="C9229" t="s">
        <v>133</v>
      </c>
      <c r="D9229" t="s">
        <v>276</v>
      </c>
      <c r="F9229" s="2" t="str">
        <f>HYPERLINK("http://www.otzar.org/book.asp?194599","דעת ישראל - 2 כר'")</f>
        <v>דעת ישראל - 2 כר'</v>
      </c>
    </row>
    <row r="9230" spans="1:6" x14ac:dyDescent="0.2">
      <c r="A9230" t="s">
        <v>16063</v>
      </c>
      <c r="B9230" t="s">
        <v>5914</v>
      </c>
      <c r="C9230" t="s">
        <v>151</v>
      </c>
      <c r="D9230" t="s">
        <v>14</v>
      </c>
      <c r="E9230" t="s">
        <v>172</v>
      </c>
      <c r="F9230" s="2" t="str">
        <f>HYPERLINK("http://www.otzar.org/book.asp?622237","דעת ישראל - 2 כר'")</f>
        <v>דעת ישראל - 2 כר'</v>
      </c>
    </row>
    <row r="9231" spans="1:6" x14ac:dyDescent="0.2">
      <c r="A9231" t="s">
        <v>16065</v>
      </c>
      <c r="B9231" t="s">
        <v>2268</v>
      </c>
      <c r="C9231" t="s">
        <v>5308</v>
      </c>
      <c r="D9231" t="s">
        <v>8370</v>
      </c>
      <c r="E9231" t="s">
        <v>957</v>
      </c>
      <c r="F9231" s="2" t="str">
        <f>HYPERLINK("http://www.otzar.org/book.asp?14072","דעת יששכר")</f>
        <v>דעת יששכר</v>
      </c>
    </row>
    <row r="9232" spans="1:6" x14ac:dyDescent="0.2">
      <c r="A9232" t="s">
        <v>16066</v>
      </c>
      <c r="B9232" t="s">
        <v>16067</v>
      </c>
      <c r="C9232" t="s">
        <v>13</v>
      </c>
      <c r="D9232" t="s">
        <v>14</v>
      </c>
      <c r="E9232" t="s">
        <v>872</v>
      </c>
      <c r="F9232" s="2" t="str">
        <f>HYPERLINK("http://www.otzar.org/book.asp?84232","דעת כהן - פסח")</f>
        <v>דעת כהן - פסח</v>
      </c>
    </row>
    <row r="9233" spans="1:6" x14ac:dyDescent="0.2">
      <c r="A9233" t="s">
        <v>16068</v>
      </c>
      <c r="B9233" t="s">
        <v>16069</v>
      </c>
      <c r="C9233" t="s">
        <v>1160</v>
      </c>
      <c r="D9233" t="s">
        <v>412</v>
      </c>
      <c r="E9233" t="s">
        <v>11803</v>
      </c>
      <c r="F9233" s="2" t="str">
        <f>HYPERLINK("http://www.otzar.org/book.asp?277","דעת כהן - א")</f>
        <v>דעת כהן - א</v>
      </c>
    </row>
    <row r="9234" spans="1:6" x14ac:dyDescent="0.2">
      <c r="A9234" t="s">
        <v>16070</v>
      </c>
      <c r="B9234" t="s">
        <v>16071</v>
      </c>
      <c r="C9234" t="s">
        <v>176</v>
      </c>
      <c r="D9234" t="s">
        <v>52</v>
      </c>
      <c r="F9234" s="2" t="str">
        <f>HYPERLINK("http://www.otzar.org/book.asp?611561","דעת כהן - 2 כר'")</f>
        <v>דעת כהן - 2 כר'</v>
      </c>
    </row>
    <row r="9235" spans="1:6" x14ac:dyDescent="0.2">
      <c r="A9235" t="s">
        <v>16072</v>
      </c>
      <c r="B9235" t="s">
        <v>16073</v>
      </c>
      <c r="C9235" t="s">
        <v>17</v>
      </c>
      <c r="D9235" t="s">
        <v>52</v>
      </c>
      <c r="E9235" t="s">
        <v>15</v>
      </c>
      <c r="F9235" s="2" t="str">
        <f>HYPERLINK("http://www.otzar.org/book.asp?200353","דעת כשרות - 11 כר'")</f>
        <v>דעת כשרות - 11 כר'</v>
      </c>
    </row>
    <row r="9236" spans="1:6" x14ac:dyDescent="0.2">
      <c r="A9236" t="s">
        <v>16074</v>
      </c>
      <c r="B9236" t="s">
        <v>13387</v>
      </c>
      <c r="C9236" t="s">
        <v>1096</v>
      </c>
      <c r="D9236" t="s">
        <v>379</v>
      </c>
      <c r="E9236" t="s">
        <v>38</v>
      </c>
      <c r="F9236" s="2" t="str">
        <f>HYPERLINK("http://www.otzar.org/book.asp?24256","דעת לנבונים")</f>
        <v>דעת לנבונים</v>
      </c>
    </row>
    <row r="9237" spans="1:6" x14ac:dyDescent="0.2">
      <c r="A9237" t="s">
        <v>16075</v>
      </c>
      <c r="B9237" t="s">
        <v>1222</v>
      </c>
      <c r="C9237" t="s">
        <v>87</v>
      </c>
      <c r="D9237" t="s">
        <v>14</v>
      </c>
      <c r="E9237" t="s">
        <v>144</v>
      </c>
      <c r="F9237" s="2" t="str">
        <f>HYPERLINK("http://www.otzar.org/book.asp?172566","דעת מזמות - מכות")</f>
        <v>דעת מזמות - מכות</v>
      </c>
    </row>
    <row r="9238" spans="1:6" x14ac:dyDescent="0.2">
      <c r="A9238" t="s">
        <v>16076</v>
      </c>
      <c r="B9238" t="s">
        <v>16077</v>
      </c>
      <c r="C9238" t="s">
        <v>785</v>
      </c>
      <c r="D9238" t="s">
        <v>21</v>
      </c>
      <c r="E9238" t="s">
        <v>158</v>
      </c>
      <c r="F9238" s="2" t="str">
        <f>HYPERLINK("http://www.otzar.org/book.asp?195881","דעת מקרא - 2 כר'")</f>
        <v>דעת מקרא - 2 כר'</v>
      </c>
    </row>
    <row r="9239" spans="1:6" x14ac:dyDescent="0.2">
      <c r="A9239" t="s">
        <v>16078</v>
      </c>
      <c r="B9239" t="s">
        <v>16079</v>
      </c>
      <c r="C9239" t="s">
        <v>16080</v>
      </c>
      <c r="D9239" t="s">
        <v>10393</v>
      </c>
      <c r="E9239" t="s">
        <v>144</v>
      </c>
      <c r="F9239" s="2" t="str">
        <f>HYPERLINK("http://www.otzar.org/book.asp?6626","דעת מרדכי - 2 כר'")</f>
        <v>דעת מרדכי - 2 כר'</v>
      </c>
    </row>
    <row r="9240" spans="1:6" x14ac:dyDescent="0.2">
      <c r="A9240" t="s">
        <v>16081</v>
      </c>
      <c r="B9240" t="s">
        <v>16082</v>
      </c>
      <c r="C9240" t="s">
        <v>366</v>
      </c>
      <c r="D9240" t="s">
        <v>21</v>
      </c>
      <c r="F9240" s="2" t="str">
        <f>HYPERLINK("http://www.otzar.org/book.asp?622049","דעת משה - מועדים")</f>
        <v>דעת משה - מועדים</v>
      </c>
    </row>
    <row r="9241" spans="1:6" x14ac:dyDescent="0.2">
      <c r="A9241" t="s">
        <v>16083</v>
      </c>
      <c r="B9241" t="s">
        <v>8578</v>
      </c>
      <c r="C9241" t="s">
        <v>1177</v>
      </c>
      <c r="D9241" t="s">
        <v>1279</v>
      </c>
      <c r="E9241" t="s">
        <v>1185</v>
      </c>
      <c r="F9241" s="2" t="str">
        <f>HYPERLINK("http://www.otzar.org/book.asp?13637","דעת משה")</f>
        <v>דעת משה</v>
      </c>
    </row>
    <row r="9242" spans="1:6" x14ac:dyDescent="0.2">
      <c r="A9242" t="s">
        <v>16084</v>
      </c>
      <c r="B9242" t="s">
        <v>16085</v>
      </c>
      <c r="C9242" t="s">
        <v>160</v>
      </c>
      <c r="D9242" t="s">
        <v>27</v>
      </c>
      <c r="E9242" t="s">
        <v>16086</v>
      </c>
      <c r="F9242" s="2" t="str">
        <f>HYPERLINK("http://www.otzar.org/book.asp?13785","דעת משה - 2 כר'")</f>
        <v>דעת משה - 2 כר'</v>
      </c>
    </row>
    <row r="9243" spans="1:6" x14ac:dyDescent="0.2">
      <c r="A9243" t="s">
        <v>16087</v>
      </c>
      <c r="B9243" t="s">
        <v>16088</v>
      </c>
      <c r="C9243" t="s">
        <v>106</v>
      </c>
      <c r="D9243" t="s">
        <v>14</v>
      </c>
      <c r="E9243" t="s">
        <v>186</v>
      </c>
      <c r="F9243" s="2" t="str">
        <f>HYPERLINK("http://www.otzar.org/book.asp?143087","דעת משה - 6 כר'")</f>
        <v>דעת משה - 6 כר'</v>
      </c>
    </row>
    <row r="9244" spans="1:6" x14ac:dyDescent="0.2">
      <c r="A9244" t="s">
        <v>16089</v>
      </c>
      <c r="B9244" t="s">
        <v>16090</v>
      </c>
      <c r="C9244" t="s">
        <v>68</v>
      </c>
      <c r="D9244" t="s">
        <v>52</v>
      </c>
      <c r="F9244" s="2" t="str">
        <f>HYPERLINK("http://www.otzar.org/book.asp?602813","דעת משפט - 5 כר'")</f>
        <v>דעת משפט - 5 כר'</v>
      </c>
    </row>
    <row r="9245" spans="1:6" x14ac:dyDescent="0.2">
      <c r="A9245" t="s">
        <v>16091</v>
      </c>
      <c r="B9245" t="s">
        <v>16092</v>
      </c>
      <c r="C9245" t="s">
        <v>462</v>
      </c>
      <c r="D9245" t="s">
        <v>6551</v>
      </c>
      <c r="E9245" t="s">
        <v>144</v>
      </c>
      <c r="F9245" s="2" t="str">
        <f>HYPERLINK("http://www.otzar.org/book.asp?17536","דעת נבונים")</f>
        <v>דעת נבונים</v>
      </c>
    </row>
    <row r="9246" spans="1:6" x14ac:dyDescent="0.2">
      <c r="A9246" t="s">
        <v>16093</v>
      </c>
      <c r="B9246" t="s">
        <v>7604</v>
      </c>
      <c r="C9246" t="s">
        <v>422</v>
      </c>
      <c r="D9246" t="s">
        <v>52</v>
      </c>
      <c r="E9246" t="s">
        <v>10</v>
      </c>
      <c r="F9246" s="2" t="str">
        <f>HYPERLINK("http://www.otzar.org/book.asp?168788","דעת נוטה - 3 כר'")</f>
        <v>דעת נוטה - 3 כר'</v>
      </c>
    </row>
    <row r="9247" spans="1:6" x14ac:dyDescent="0.2">
      <c r="A9247" t="s">
        <v>16094</v>
      </c>
      <c r="B9247" t="s">
        <v>16095</v>
      </c>
      <c r="C9247" t="s">
        <v>506</v>
      </c>
      <c r="D9247" t="s">
        <v>5659</v>
      </c>
      <c r="E9247" t="s">
        <v>234</v>
      </c>
      <c r="F9247" s="2" t="str">
        <f>HYPERLINK("http://www.otzar.org/book.asp?176887","דעת סופר - 3 כר'")</f>
        <v>דעת סופר - 3 כר'</v>
      </c>
    </row>
    <row r="9248" spans="1:6" x14ac:dyDescent="0.2">
      <c r="A9248" t="s">
        <v>16096</v>
      </c>
      <c r="B9248" t="s">
        <v>16097</v>
      </c>
      <c r="C9248" t="s">
        <v>26</v>
      </c>
      <c r="D9248" t="s">
        <v>14</v>
      </c>
      <c r="E9248" t="s">
        <v>474</v>
      </c>
      <c r="F9248" s="2" t="str">
        <f>HYPERLINK("http://www.otzar.org/book.asp?10102","דעת סופר - 4 כר'")</f>
        <v>דעת סופר - 4 כר'</v>
      </c>
    </row>
    <row r="9249" spans="1:6" x14ac:dyDescent="0.2">
      <c r="A9249" t="s">
        <v>16098</v>
      </c>
      <c r="B9249" t="s">
        <v>16099</v>
      </c>
      <c r="C9249" t="s">
        <v>168</v>
      </c>
      <c r="D9249" t="s">
        <v>14</v>
      </c>
      <c r="F9249" s="2" t="str">
        <f>HYPERLINK("http://www.otzar.org/book.asp?613080","דעת סופרים - הפטרות ב")</f>
        <v>דעת סופרים - הפטרות ב</v>
      </c>
    </row>
    <row r="9250" spans="1:6" x14ac:dyDescent="0.2">
      <c r="A9250" t="s">
        <v>16100</v>
      </c>
      <c r="B9250" t="s">
        <v>627</v>
      </c>
      <c r="C9250" t="s">
        <v>103</v>
      </c>
      <c r="D9250" t="s">
        <v>14</v>
      </c>
      <c r="E9250" t="s">
        <v>467</v>
      </c>
      <c r="F9250" s="2" t="str">
        <f>HYPERLINK("http://www.otzar.org/book.asp?85094","דעת עתים - 4 כר'")</f>
        <v>דעת עתים - 4 כר'</v>
      </c>
    </row>
    <row r="9251" spans="1:6" x14ac:dyDescent="0.2">
      <c r="A9251" t="s">
        <v>16101</v>
      </c>
      <c r="B9251" t="s">
        <v>16102</v>
      </c>
      <c r="C9251" t="s">
        <v>133</v>
      </c>
      <c r="D9251" t="s">
        <v>90</v>
      </c>
      <c r="E9251" t="s">
        <v>15</v>
      </c>
      <c r="F9251" s="2" t="str">
        <f>HYPERLINK("http://www.otzar.org/book.asp?176256","דעת פוסקי הדור בענין שימוש בחשמל בשבת")</f>
        <v>דעת פוסקי הדור בענין שימוש בחשמל בשבת</v>
      </c>
    </row>
    <row r="9252" spans="1:6" x14ac:dyDescent="0.2">
      <c r="A9252" t="s">
        <v>16103</v>
      </c>
      <c r="B9252" t="s">
        <v>16104</v>
      </c>
      <c r="D9252" t="s">
        <v>14</v>
      </c>
      <c r="E9252" t="s">
        <v>1164</v>
      </c>
      <c r="F9252" s="2" t="str">
        <f>HYPERLINK("http://www.otzar.org/book.asp?180201","דעת קדושים &lt;שבחי הדעת&gt;")</f>
        <v>דעת קדושים &lt;שבחי הדעת&gt;</v>
      </c>
    </row>
    <row r="9253" spans="1:6" x14ac:dyDescent="0.2">
      <c r="A9253" t="s">
        <v>16105</v>
      </c>
      <c r="B9253" t="s">
        <v>6053</v>
      </c>
      <c r="C9253" t="s">
        <v>1885</v>
      </c>
      <c r="D9253" t="s">
        <v>267</v>
      </c>
      <c r="E9253" t="s">
        <v>15</v>
      </c>
      <c r="F9253" s="2" t="str">
        <f>HYPERLINK("http://www.otzar.org/book.asp?177193","דעת קדושים &lt;מקדש מעט - 3 כר'")</f>
        <v>דעת קדושים &lt;מקדש מעט - 3 כר'</v>
      </c>
    </row>
    <row r="9254" spans="1:6" x14ac:dyDescent="0.2">
      <c r="A9254" t="s">
        <v>16106</v>
      </c>
      <c r="B9254" t="s">
        <v>16107</v>
      </c>
      <c r="C9254" t="s">
        <v>775</v>
      </c>
      <c r="D9254" t="s">
        <v>52</v>
      </c>
      <c r="E9254" t="s">
        <v>234</v>
      </c>
      <c r="F9254" s="2" t="str">
        <f>HYPERLINK("http://www.otzar.org/book.asp?194951","דעת קדושים &lt;מהדורה חדשה&gt;")</f>
        <v>דעת קדושים &lt;מהדורה חדשה&gt;</v>
      </c>
    </row>
    <row r="9255" spans="1:6" x14ac:dyDescent="0.2">
      <c r="A9255" t="s">
        <v>16108</v>
      </c>
      <c r="B9255" t="s">
        <v>16109</v>
      </c>
      <c r="C9255" t="s">
        <v>10408</v>
      </c>
      <c r="D9255" t="s">
        <v>16110</v>
      </c>
      <c r="E9255" t="s">
        <v>3083</v>
      </c>
      <c r="F9255" s="2" t="str">
        <f>HYPERLINK("http://www.otzar.org/book.asp?100095","דעת קדושים")</f>
        <v>דעת קדושים</v>
      </c>
    </row>
    <row r="9256" spans="1:6" x14ac:dyDescent="0.2">
      <c r="A9256" t="s">
        <v>16111</v>
      </c>
      <c r="B9256" t="s">
        <v>16104</v>
      </c>
      <c r="C9256" t="s">
        <v>5721</v>
      </c>
      <c r="D9256" t="s">
        <v>1279</v>
      </c>
      <c r="F9256" s="2" t="str">
        <f>HYPERLINK("http://www.otzar.org/book.asp?164892","דעת קדושים - 2 כר'")</f>
        <v>דעת קדושים - 2 כר'</v>
      </c>
    </row>
    <row r="9257" spans="1:6" x14ac:dyDescent="0.2">
      <c r="A9257" t="s">
        <v>16112</v>
      </c>
      <c r="B9257" t="s">
        <v>6053</v>
      </c>
      <c r="C9257" t="s">
        <v>156</v>
      </c>
      <c r="D9257" t="s">
        <v>267</v>
      </c>
      <c r="E9257" t="s">
        <v>148</v>
      </c>
      <c r="F9257" s="2" t="str">
        <f>HYPERLINK("http://www.otzar.org/book.asp?13862","דעת קדושים - 4 כר'")</f>
        <v>דעת קדושים - 4 כר'</v>
      </c>
    </row>
    <row r="9258" spans="1:6" x14ac:dyDescent="0.2">
      <c r="A9258" t="s">
        <v>16108</v>
      </c>
      <c r="B9258" t="s">
        <v>191</v>
      </c>
      <c r="C9258" t="s">
        <v>411</v>
      </c>
      <c r="D9258" t="s">
        <v>52</v>
      </c>
      <c r="E9258" t="s">
        <v>15</v>
      </c>
      <c r="F9258" s="2" t="str">
        <f>HYPERLINK("http://www.otzar.org/book.asp?166060","דעת קדושים")</f>
        <v>דעת קדושים</v>
      </c>
    </row>
    <row r="9259" spans="1:6" x14ac:dyDescent="0.2">
      <c r="A9259" t="s">
        <v>16108</v>
      </c>
      <c r="B9259" t="s">
        <v>16107</v>
      </c>
      <c r="C9259" t="s">
        <v>1177</v>
      </c>
      <c r="D9259" t="s">
        <v>56</v>
      </c>
      <c r="E9259" t="s">
        <v>234</v>
      </c>
      <c r="F9259" s="2" t="str">
        <f>HYPERLINK("http://www.otzar.org/book.asp?5940","דעת קדושים")</f>
        <v>דעת קדושים</v>
      </c>
    </row>
    <row r="9260" spans="1:6" x14ac:dyDescent="0.2">
      <c r="A9260" t="s">
        <v>16108</v>
      </c>
      <c r="B9260" t="s">
        <v>10910</v>
      </c>
      <c r="C9260" t="s">
        <v>12024</v>
      </c>
      <c r="D9260" t="s">
        <v>212</v>
      </c>
      <c r="E9260" t="s">
        <v>104</v>
      </c>
      <c r="F9260" s="2" t="str">
        <f>HYPERLINK("http://www.otzar.org/book.asp?100779","דעת קדושים")</f>
        <v>דעת קדושים</v>
      </c>
    </row>
    <row r="9261" spans="1:6" x14ac:dyDescent="0.2">
      <c r="A9261" t="s">
        <v>16113</v>
      </c>
      <c r="B9261" t="s">
        <v>16114</v>
      </c>
      <c r="C9261" t="s">
        <v>13</v>
      </c>
      <c r="D9261" t="s">
        <v>14</v>
      </c>
      <c r="E9261" t="s">
        <v>15</v>
      </c>
      <c r="F9261" s="2" t="str">
        <f>HYPERLINK("http://www.otzar.org/book.asp?61984","דעת רבותינו בענין מכונות גילוח &lt;תפארת אדם&gt;")</f>
        <v>דעת רבותינו בענין מכונות גילוח &lt;תפארת אדם&gt;</v>
      </c>
    </row>
    <row r="9262" spans="1:6" x14ac:dyDescent="0.2">
      <c r="A9262" t="s">
        <v>16115</v>
      </c>
      <c r="B9262" t="s">
        <v>16116</v>
      </c>
      <c r="C9262" t="s">
        <v>129</v>
      </c>
      <c r="D9262" t="s">
        <v>52</v>
      </c>
      <c r="E9262" t="s">
        <v>15</v>
      </c>
      <c r="F9262" s="2" t="str">
        <f>HYPERLINK("http://www.otzar.org/book.asp?154079","דעת רבית - ב")</f>
        <v>דעת רבית - ב</v>
      </c>
    </row>
    <row r="9263" spans="1:6" x14ac:dyDescent="0.2">
      <c r="A9263" t="s">
        <v>16117</v>
      </c>
      <c r="B9263" t="s">
        <v>16118</v>
      </c>
      <c r="C9263" t="s">
        <v>51</v>
      </c>
      <c r="D9263" t="s">
        <v>486</v>
      </c>
      <c r="E9263" t="s">
        <v>148</v>
      </c>
      <c r="F9263" s="2" t="str">
        <f>HYPERLINK("http://www.otzar.org/book.asp?627550","דעת ריבית")</f>
        <v>דעת ריבית</v>
      </c>
    </row>
    <row r="9264" spans="1:6" x14ac:dyDescent="0.2">
      <c r="A9264" t="s">
        <v>16119</v>
      </c>
      <c r="B9264" t="s">
        <v>16120</v>
      </c>
      <c r="C9264" t="s">
        <v>87</v>
      </c>
      <c r="D9264" t="s">
        <v>52</v>
      </c>
      <c r="E9264" t="s">
        <v>144</v>
      </c>
      <c r="F9264" s="2" t="str">
        <f>HYPERLINK("http://www.otzar.org/book.asp?153780","דעת רפאל")</f>
        <v>דעת רפאל</v>
      </c>
    </row>
    <row r="9265" spans="1:6" x14ac:dyDescent="0.2">
      <c r="A9265" t="s">
        <v>16121</v>
      </c>
      <c r="B9265" t="s">
        <v>4645</v>
      </c>
      <c r="C9265" t="s">
        <v>777</v>
      </c>
      <c r="D9265" t="s">
        <v>260</v>
      </c>
      <c r="F9265" s="2" t="str">
        <f>HYPERLINK("http://www.otzar.org/book.asp?174405","דעת רש""י")</f>
        <v>דעת רש"י</v>
      </c>
    </row>
    <row r="9266" spans="1:6" x14ac:dyDescent="0.2">
      <c r="A9266" t="s">
        <v>16122</v>
      </c>
      <c r="B9266" t="s">
        <v>16123</v>
      </c>
      <c r="D9266" t="s">
        <v>852</v>
      </c>
      <c r="E9266" t="s">
        <v>202</v>
      </c>
      <c r="F9266" s="2" t="str">
        <f>HYPERLINK("http://www.otzar.org/book.asp?627853","דעת שבת")</f>
        <v>דעת שבת</v>
      </c>
    </row>
    <row r="9267" spans="1:6" x14ac:dyDescent="0.2">
      <c r="A9267" t="s">
        <v>16122</v>
      </c>
      <c r="B9267" t="s">
        <v>2582</v>
      </c>
      <c r="C9267" t="s">
        <v>624</v>
      </c>
      <c r="D9267" t="s">
        <v>14</v>
      </c>
      <c r="E9267" t="s">
        <v>16124</v>
      </c>
      <c r="F9267" s="2" t="str">
        <f>HYPERLINK("http://www.otzar.org/book.asp?52352","דעת שבת")</f>
        <v>דעת שבת</v>
      </c>
    </row>
    <row r="9268" spans="1:6" x14ac:dyDescent="0.2">
      <c r="A9268" t="s">
        <v>16125</v>
      </c>
      <c r="B9268" t="s">
        <v>10527</v>
      </c>
      <c r="C9268" t="s">
        <v>176</v>
      </c>
      <c r="D9268" t="s">
        <v>412</v>
      </c>
      <c r="E9268" t="s">
        <v>6479</v>
      </c>
      <c r="F9268" s="2" t="str">
        <f>HYPERLINK("http://www.otzar.org/book.asp?84042","דעת שלום")</f>
        <v>דעת שלום</v>
      </c>
    </row>
    <row r="9269" spans="1:6" x14ac:dyDescent="0.2">
      <c r="A9269" t="s">
        <v>16126</v>
      </c>
      <c r="B9269" t="s">
        <v>3579</v>
      </c>
      <c r="C9269" t="s">
        <v>785</v>
      </c>
      <c r="D9269" t="s">
        <v>412</v>
      </c>
      <c r="E9269" t="s">
        <v>43</v>
      </c>
      <c r="F9269" s="2" t="str">
        <f>HYPERLINK("http://www.otzar.org/book.asp?145185","דעת שלום - 5 כר'")</f>
        <v>דעת שלום - 5 כר'</v>
      </c>
    </row>
    <row r="9270" spans="1:6" x14ac:dyDescent="0.2">
      <c r="A9270" t="s">
        <v>16127</v>
      </c>
      <c r="B9270" t="s">
        <v>16128</v>
      </c>
      <c r="C9270" t="s">
        <v>442</v>
      </c>
      <c r="D9270" t="s">
        <v>1100</v>
      </c>
      <c r="E9270" t="s">
        <v>435</v>
      </c>
      <c r="F9270" s="2" t="str">
        <f>HYPERLINK("http://www.otzar.org/book.asp?9386","דעת שלמה")</f>
        <v>דעת שלמה</v>
      </c>
    </row>
    <row r="9271" spans="1:6" x14ac:dyDescent="0.2">
      <c r="A9271" t="s">
        <v>16129</v>
      </c>
      <c r="B9271" t="s">
        <v>16130</v>
      </c>
      <c r="C9271" t="s">
        <v>624</v>
      </c>
      <c r="D9271" t="s">
        <v>14</v>
      </c>
      <c r="E9271" t="s">
        <v>84</v>
      </c>
      <c r="F9271" s="2" t="str">
        <f>HYPERLINK("http://www.otzar.org/book.asp?159033","דעת שלמה - זבים")</f>
        <v>דעת שלמה - זבים</v>
      </c>
    </row>
    <row r="9272" spans="1:6" x14ac:dyDescent="0.2">
      <c r="A9272" t="s">
        <v>16131</v>
      </c>
      <c r="B9272" t="s">
        <v>16132</v>
      </c>
      <c r="C9272" t="s">
        <v>146</v>
      </c>
      <c r="D9272" t="s">
        <v>14</v>
      </c>
      <c r="F9272" s="2" t="str">
        <f>HYPERLINK("http://www.otzar.org/book.asp?175710","דעת שלמה - גיטין")</f>
        <v>דעת שלמה - גיטין</v>
      </c>
    </row>
    <row r="9273" spans="1:6" x14ac:dyDescent="0.2">
      <c r="A9273" t="s">
        <v>16133</v>
      </c>
      <c r="B9273" t="s">
        <v>7715</v>
      </c>
      <c r="C9273" t="s">
        <v>68</v>
      </c>
      <c r="D9273" t="s">
        <v>14</v>
      </c>
      <c r="E9273" t="s">
        <v>714</v>
      </c>
      <c r="F9273" s="2" t="str">
        <f>HYPERLINK("http://www.otzar.org/book.asp?161879","דעת שפתי - לב אמרי")</f>
        <v>דעת שפתי - לב אמרי</v>
      </c>
    </row>
    <row r="9274" spans="1:6" x14ac:dyDescent="0.2">
      <c r="A9274" t="s">
        <v>16134</v>
      </c>
      <c r="B9274" t="s">
        <v>16135</v>
      </c>
      <c r="C9274" t="s">
        <v>151</v>
      </c>
      <c r="D9274" t="s">
        <v>90</v>
      </c>
      <c r="E9274" t="s">
        <v>84</v>
      </c>
      <c r="F9274" s="2" t="str">
        <f>HYPERLINK("http://www.otzar.org/book.asp?625820","דעת שפתי")</f>
        <v>דעת שפתי</v>
      </c>
    </row>
    <row r="9275" spans="1:6" x14ac:dyDescent="0.2">
      <c r="A9275" t="s">
        <v>16136</v>
      </c>
      <c r="B9275" t="s">
        <v>16137</v>
      </c>
      <c r="C9275" t="s">
        <v>103</v>
      </c>
      <c r="D9275" t="s">
        <v>1643</v>
      </c>
      <c r="E9275" t="s">
        <v>158</v>
      </c>
      <c r="F9275" s="2" t="str">
        <f>HYPERLINK("http://www.otzar.org/book.asp?61920","דעת שרגא - 5 כר'")</f>
        <v>דעת שרגא - 5 כר'</v>
      </c>
    </row>
    <row r="9276" spans="1:6" x14ac:dyDescent="0.2">
      <c r="A9276" t="s">
        <v>16138</v>
      </c>
      <c r="B9276" t="s">
        <v>8146</v>
      </c>
      <c r="C9276" t="s">
        <v>68</v>
      </c>
      <c r="D9276" t="s">
        <v>52</v>
      </c>
      <c r="E9276" t="s">
        <v>15</v>
      </c>
      <c r="F9276" s="2" t="str">
        <f>HYPERLINK("http://www.otzar.org/book.asp?153801","דעת תבונה - נדה")</f>
        <v>דעת תבונה - נדה</v>
      </c>
    </row>
    <row r="9277" spans="1:6" x14ac:dyDescent="0.2">
      <c r="A9277" t="s">
        <v>16139</v>
      </c>
      <c r="B9277" t="s">
        <v>1390</v>
      </c>
      <c r="C9277" t="s">
        <v>17</v>
      </c>
      <c r="D9277" t="s">
        <v>14</v>
      </c>
      <c r="E9277" t="s">
        <v>399</v>
      </c>
      <c r="F9277" s="2" t="str">
        <f>HYPERLINK("http://www.otzar.org/book.asp?153715","דעת תבונות &lt;עם פירוש&gt;")</f>
        <v>דעת תבונות &lt;עם פירוש&gt;</v>
      </c>
    </row>
    <row r="9278" spans="1:6" x14ac:dyDescent="0.2">
      <c r="A9278" t="s">
        <v>16140</v>
      </c>
      <c r="B9278" t="s">
        <v>1390</v>
      </c>
      <c r="C9278" t="s">
        <v>51</v>
      </c>
      <c r="D9278" t="s">
        <v>14</v>
      </c>
      <c r="E9278" t="s">
        <v>241</v>
      </c>
      <c r="F9278" s="2" t="str">
        <f>HYPERLINK("http://www.otzar.org/book.asp?148356","דעת תבונות &lt;עם תרגום צרפתית&gt;")</f>
        <v>דעת תבונות &lt;עם תרגום צרפתית&gt;</v>
      </c>
    </row>
    <row r="9279" spans="1:6" x14ac:dyDescent="0.2">
      <c r="A9279" t="s">
        <v>16141</v>
      </c>
      <c r="B9279" t="s">
        <v>1390</v>
      </c>
      <c r="C9279" t="s">
        <v>111</v>
      </c>
      <c r="D9279" t="s">
        <v>52</v>
      </c>
      <c r="E9279" t="s">
        <v>399</v>
      </c>
      <c r="F9279" s="2" t="str">
        <f>HYPERLINK("http://www.otzar.org/book.asp?628068","דעת תבונות &lt;רב לתלמיד&gt;")</f>
        <v>דעת תבונות &lt;רב לתלמיד&gt;</v>
      </c>
    </row>
    <row r="9280" spans="1:6" x14ac:dyDescent="0.2">
      <c r="A9280" t="s">
        <v>16142</v>
      </c>
      <c r="B9280" t="s">
        <v>1390</v>
      </c>
      <c r="C9280" t="s">
        <v>624</v>
      </c>
      <c r="D9280" t="s">
        <v>52</v>
      </c>
      <c r="E9280" t="s">
        <v>399</v>
      </c>
      <c r="F9280" s="2" t="str">
        <f>HYPERLINK("http://www.otzar.org/book.asp?22936","דעת תבונות - 4 כר'")</f>
        <v>דעת תבונות - 4 כר'</v>
      </c>
    </row>
    <row r="9281" spans="1:6" x14ac:dyDescent="0.2">
      <c r="A9281" t="s">
        <v>16143</v>
      </c>
      <c r="B9281" t="s">
        <v>16144</v>
      </c>
      <c r="C9281" t="s">
        <v>111</v>
      </c>
      <c r="D9281" t="s">
        <v>52</v>
      </c>
      <c r="E9281" t="s">
        <v>583</v>
      </c>
      <c r="F9281" s="2" t="str">
        <f>HYPERLINK("http://www.otzar.org/book.asp?628651","דעת תורה והשקפה")</f>
        <v>דעת תורה והשקפה</v>
      </c>
    </row>
    <row r="9282" spans="1:6" x14ac:dyDescent="0.2">
      <c r="A9282" t="s">
        <v>16145</v>
      </c>
      <c r="C9282" t="s">
        <v>20</v>
      </c>
      <c r="D9282" t="s">
        <v>14</v>
      </c>
      <c r="E9282" t="s">
        <v>104</v>
      </c>
      <c r="F9282" s="2" t="str">
        <f>HYPERLINK("http://www.otzar.org/book.asp?623713","דעת תורה לקט פסקי דין על גיוס בנות לשרות לאומי")</f>
        <v>דעת תורה לקט פסקי דין על גיוס בנות לשרות לאומי</v>
      </c>
    </row>
    <row r="9283" spans="1:6" x14ac:dyDescent="0.2">
      <c r="A9283" t="s">
        <v>16146</v>
      </c>
      <c r="B9283" t="s">
        <v>16147</v>
      </c>
      <c r="C9283" t="s">
        <v>176</v>
      </c>
      <c r="D9283" t="s">
        <v>14</v>
      </c>
      <c r="E9283" t="s">
        <v>16148</v>
      </c>
      <c r="F9283" s="2" t="str">
        <f>HYPERLINK("http://www.otzar.org/book.asp?12978","דעת תורה - בענין כתב יד בן אשר")</f>
        <v>דעת תורה - בענין כתב יד בן אשר</v>
      </c>
    </row>
    <row r="9284" spans="1:6" x14ac:dyDescent="0.2">
      <c r="A9284" t="s">
        <v>16147</v>
      </c>
      <c r="B9284" t="s">
        <v>3374</v>
      </c>
      <c r="C9284" t="s">
        <v>20</v>
      </c>
      <c r="D9284" t="s">
        <v>16149</v>
      </c>
      <c r="E9284" t="s">
        <v>241</v>
      </c>
      <c r="F9284" s="2" t="str">
        <f>HYPERLINK("http://www.otzar.org/book.asp?180321","דעת תורה")</f>
        <v>דעת תורה</v>
      </c>
    </row>
    <row r="9285" spans="1:6" x14ac:dyDescent="0.2">
      <c r="A9285" t="s">
        <v>16150</v>
      </c>
      <c r="B9285" t="s">
        <v>16035</v>
      </c>
      <c r="C9285" t="s">
        <v>17</v>
      </c>
      <c r="D9285" t="s">
        <v>14</v>
      </c>
      <c r="E9285" t="s">
        <v>158</v>
      </c>
      <c r="F9285" s="2" t="str">
        <f>HYPERLINK("http://www.otzar.org/book.asp?143939","דעת תורה - 8 כר'")</f>
        <v>דעת תורה - 8 כר'</v>
      </c>
    </row>
    <row r="9286" spans="1:6" x14ac:dyDescent="0.2">
      <c r="A9286" t="s">
        <v>16151</v>
      </c>
      <c r="B9286" t="s">
        <v>13596</v>
      </c>
      <c r="C9286" t="s">
        <v>585</v>
      </c>
      <c r="D9286" t="s">
        <v>412</v>
      </c>
      <c r="E9286" t="s">
        <v>684</v>
      </c>
      <c r="F9286" s="2" t="str">
        <f>HYPERLINK("http://www.otzar.org/book.asp?15453","דעת תורה - 16 כר'")</f>
        <v>דעת תורה - 16 כר'</v>
      </c>
    </row>
    <row r="9287" spans="1:6" x14ac:dyDescent="0.2">
      <c r="A9287" t="s">
        <v>16152</v>
      </c>
      <c r="B9287" t="s">
        <v>7715</v>
      </c>
      <c r="C9287" t="s">
        <v>189</v>
      </c>
      <c r="D9287" t="s">
        <v>14</v>
      </c>
      <c r="E9287" t="s">
        <v>158</v>
      </c>
      <c r="F9287" s="2" t="str">
        <f>HYPERLINK("http://www.otzar.org/book.asp?50789","דעת תושיה עה""ת - 2 כר'")</f>
        <v>דעת תושיה עה"ת - 2 כר'</v>
      </c>
    </row>
    <row r="9288" spans="1:6" x14ac:dyDescent="0.2">
      <c r="A9288" t="s">
        <v>16153</v>
      </c>
      <c r="B9288" t="s">
        <v>2582</v>
      </c>
      <c r="C9288" t="s">
        <v>523</v>
      </c>
      <c r="D9288" t="s">
        <v>14</v>
      </c>
      <c r="E9288" t="s">
        <v>241</v>
      </c>
      <c r="F9288" s="2" t="str">
        <f>HYPERLINK("http://www.otzar.org/book.asp?52353","דעת תפלה")</f>
        <v>דעת תפלה</v>
      </c>
    </row>
    <row r="9289" spans="1:6" x14ac:dyDescent="0.2">
      <c r="A9289" t="s">
        <v>16154</v>
      </c>
      <c r="B9289" t="s">
        <v>8146</v>
      </c>
      <c r="C9289" t="s">
        <v>146</v>
      </c>
      <c r="D9289" t="s">
        <v>52</v>
      </c>
      <c r="E9289" t="s">
        <v>803</v>
      </c>
      <c r="F9289" s="2" t="str">
        <f>HYPERLINK("http://www.otzar.org/book.asp?151066","דעת תרבית")</f>
        <v>דעת תרבית</v>
      </c>
    </row>
    <row r="9290" spans="1:6" x14ac:dyDescent="0.2">
      <c r="A9290" t="s">
        <v>16155</v>
      </c>
      <c r="B9290" t="s">
        <v>16156</v>
      </c>
      <c r="C9290" t="s">
        <v>189</v>
      </c>
      <c r="D9290" t="s">
        <v>14</v>
      </c>
      <c r="E9290" t="s">
        <v>144</v>
      </c>
      <c r="F9290" s="2" t="str">
        <f>HYPERLINK("http://www.otzar.org/book.asp?61582","דף על הדף - 26 כר'")</f>
        <v>דף על הדף - 26 כר'</v>
      </c>
    </row>
    <row r="9291" spans="1:6" x14ac:dyDescent="0.2">
      <c r="A9291" t="s">
        <v>16157</v>
      </c>
      <c r="B9291" t="s">
        <v>16158</v>
      </c>
      <c r="C9291" t="s">
        <v>176</v>
      </c>
      <c r="D9291" t="s">
        <v>90</v>
      </c>
      <c r="F9291" s="2" t="str">
        <f>HYPERLINK("http://www.otzar.org/book.asp?615153","דף של ספינה - 5 כר'")</f>
        <v>דף של ספינה - 5 כר'</v>
      </c>
    </row>
    <row r="9292" spans="1:6" x14ac:dyDescent="0.2">
      <c r="A9292" t="s">
        <v>16159</v>
      </c>
      <c r="B9292" t="s">
        <v>5634</v>
      </c>
      <c r="C9292" t="s">
        <v>133</v>
      </c>
      <c r="D9292" t="s">
        <v>52</v>
      </c>
      <c r="E9292" t="s">
        <v>104</v>
      </c>
      <c r="F9292" s="2" t="str">
        <f>HYPERLINK("http://www.otzar.org/book.asp?172943","דף של ספינה")</f>
        <v>דף של ספינה</v>
      </c>
    </row>
    <row r="9293" spans="1:6" x14ac:dyDescent="0.2">
      <c r="A9293" t="s">
        <v>16160</v>
      </c>
      <c r="B9293" t="s">
        <v>8183</v>
      </c>
      <c r="C9293" t="s">
        <v>985</v>
      </c>
      <c r="D9293" t="s">
        <v>14</v>
      </c>
      <c r="E9293" t="s">
        <v>104</v>
      </c>
      <c r="F9293" s="2" t="str">
        <f>HYPERLINK("http://www.otzar.org/book.asp?143416","דפוסים קדומים")</f>
        <v>דפוסים קדומים</v>
      </c>
    </row>
    <row r="9294" spans="1:6" x14ac:dyDescent="0.2">
      <c r="A9294" t="s">
        <v>16161</v>
      </c>
      <c r="B9294" t="s">
        <v>1750</v>
      </c>
      <c r="C9294" t="s">
        <v>1811</v>
      </c>
      <c r="D9294" t="s">
        <v>2319</v>
      </c>
      <c r="F9294" s="2" t="str">
        <f>HYPERLINK("http://www.otzar.org/book.asp?617247","דפי הלכה להתישבות החקלאית - 2 כר'")</f>
        <v>דפי הלכה להתישבות החקלאית - 2 כר'</v>
      </c>
    </row>
    <row r="9295" spans="1:6" x14ac:dyDescent="0.2">
      <c r="A9295" t="s">
        <v>16162</v>
      </c>
      <c r="B9295" t="s">
        <v>3047</v>
      </c>
      <c r="C9295" t="s">
        <v>133</v>
      </c>
      <c r="D9295" t="s">
        <v>52</v>
      </c>
      <c r="E9295" t="s">
        <v>144</v>
      </c>
      <c r="F9295" s="2" t="str">
        <f>HYPERLINK("http://www.otzar.org/book.asp?175534","דפי עיון - 14 כר'")</f>
        <v>דפי עיון - 14 כר'</v>
      </c>
    </row>
    <row r="9296" spans="1:6" x14ac:dyDescent="0.2">
      <c r="A9296" t="s">
        <v>16163</v>
      </c>
      <c r="B9296" t="s">
        <v>1197</v>
      </c>
      <c r="C9296" t="s">
        <v>3205</v>
      </c>
      <c r="D9296" t="s">
        <v>3208</v>
      </c>
      <c r="F9296" s="2" t="str">
        <f>HYPERLINK("http://www.otzar.org/book.asp?613070","דפים ועובדות")</f>
        <v>דפים ועובדות</v>
      </c>
    </row>
    <row r="9297" spans="1:6" x14ac:dyDescent="0.2">
      <c r="A9297" t="s">
        <v>16164</v>
      </c>
      <c r="B9297" t="s">
        <v>10006</v>
      </c>
      <c r="C9297" t="s">
        <v>3106</v>
      </c>
      <c r="D9297" t="s">
        <v>27</v>
      </c>
      <c r="E9297" t="s">
        <v>246</v>
      </c>
      <c r="F9297" s="2" t="str">
        <f>HYPERLINK("http://www.otzar.org/book.asp?171867","דפים לחג השבועות")</f>
        <v>דפים לחג השבועות</v>
      </c>
    </row>
    <row r="9298" spans="1:6" x14ac:dyDescent="0.2">
      <c r="A9298" t="s">
        <v>16165</v>
      </c>
      <c r="B9298" t="s">
        <v>1821</v>
      </c>
      <c r="C9298" t="s">
        <v>725</v>
      </c>
      <c r="D9298" t="s">
        <v>947</v>
      </c>
      <c r="E9298" t="s">
        <v>104</v>
      </c>
      <c r="F9298" s="2" t="str">
        <f>HYPERLINK("http://www.otzar.org/book.asp?101242","דקדוק אליהו - 2 כר'")</f>
        <v>דקדוק אליהו - 2 כר'</v>
      </c>
    </row>
    <row r="9299" spans="1:6" x14ac:dyDescent="0.2">
      <c r="A9299" t="s">
        <v>16166</v>
      </c>
      <c r="B9299" t="s">
        <v>16167</v>
      </c>
      <c r="C9299" t="s">
        <v>940</v>
      </c>
      <c r="D9299" t="s">
        <v>412</v>
      </c>
      <c r="E9299" t="s">
        <v>1211</v>
      </c>
      <c r="F9299" s="2" t="str">
        <f>HYPERLINK("http://www.otzar.org/book.asp?601349","דקדוק הארמית הגלילית לשפת התלמוד הירושלמי והמדרשים")</f>
        <v>דקדוק הארמית הגלילית לשפת התלמוד הירושלמי והמדרשים</v>
      </c>
    </row>
    <row r="9300" spans="1:6" x14ac:dyDescent="0.2">
      <c r="A9300" t="s">
        <v>16168</v>
      </c>
      <c r="B9300" t="s">
        <v>16169</v>
      </c>
      <c r="C9300" t="s">
        <v>419</v>
      </c>
      <c r="D9300" t="s">
        <v>2798</v>
      </c>
      <c r="F9300" s="2" t="str">
        <f>HYPERLINK("http://www.otzar.org/book.asp?621143","דקדוק הארמית המקראית")</f>
        <v>דקדוק הארמית המקראית</v>
      </c>
    </row>
    <row r="9301" spans="1:6" x14ac:dyDescent="0.2">
      <c r="A9301" t="s">
        <v>16170</v>
      </c>
      <c r="B9301" t="s">
        <v>16171</v>
      </c>
      <c r="C9301" t="s">
        <v>71</v>
      </c>
      <c r="D9301" t="s">
        <v>14</v>
      </c>
      <c r="E9301" t="s">
        <v>714</v>
      </c>
      <c r="F9301" s="2" t="str">
        <f>HYPERLINK("http://www.otzar.org/book.asp?607730","דקדוק ההלכה - 2 כר'")</f>
        <v>דקדוק ההלכה - 2 כר'</v>
      </c>
    </row>
    <row r="9302" spans="1:6" x14ac:dyDescent="0.2">
      <c r="A9302" t="s">
        <v>16172</v>
      </c>
      <c r="B9302" t="s">
        <v>16173</v>
      </c>
      <c r="C9302" t="s">
        <v>99</v>
      </c>
      <c r="D9302" t="s">
        <v>4650</v>
      </c>
      <c r="E9302" t="s">
        <v>104</v>
      </c>
      <c r="F9302" s="2" t="str">
        <f>HYPERLINK("http://www.otzar.org/book.asp?604262","דקדוק הלשון ושמושה")</f>
        <v>דקדוק הלשון ושמושה</v>
      </c>
    </row>
    <row r="9303" spans="1:6" x14ac:dyDescent="0.2">
      <c r="A9303" t="s">
        <v>16174</v>
      </c>
      <c r="B9303" t="s">
        <v>16175</v>
      </c>
      <c r="C9303" t="s">
        <v>553</v>
      </c>
      <c r="D9303" t="s">
        <v>216</v>
      </c>
      <c r="F9303" s="2" t="str">
        <f>HYPERLINK("http://www.otzar.org/book.asp?608391","דקדוק לשון הקודש")</f>
        <v>דקדוק לשון הקודש</v>
      </c>
    </row>
    <row r="9304" spans="1:6" x14ac:dyDescent="0.2">
      <c r="A9304" t="s">
        <v>16176</v>
      </c>
      <c r="B9304" t="s">
        <v>1988</v>
      </c>
      <c r="C9304" t="s">
        <v>1718</v>
      </c>
      <c r="D9304" t="s">
        <v>855</v>
      </c>
      <c r="E9304" t="s">
        <v>960</v>
      </c>
      <c r="F9304" s="2" t="str">
        <f>HYPERLINK("http://www.otzar.org/book.asp?100119","דקדוקה של נפש  - בקורים")</f>
        <v>דקדוקה של נפש  - בקורים</v>
      </c>
    </row>
    <row r="9305" spans="1:6" x14ac:dyDescent="0.2">
      <c r="A9305" t="s">
        <v>16177</v>
      </c>
      <c r="B9305" t="s">
        <v>16178</v>
      </c>
      <c r="C9305" t="s">
        <v>143</v>
      </c>
      <c r="D9305" t="s">
        <v>52</v>
      </c>
      <c r="F9305" s="2" t="str">
        <f>HYPERLINK("http://www.otzar.org/book.asp?619318","דקדוקי הגר""א - 6 כר'")</f>
        <v>דקדוקי הגר"א - 6 כר'</v>
      </c>
    </row>
    <row r="9306" spans="1:6" x14ac:dyDescent="0.2">
      <c r="A9306" t="s">
        <v>16179</v>
      </c>
      <c r="B9306" t="s">
        <v>16180</v>
      </c>
      <c r="C9306" t="s">
        <v>1177</v>
      </c>
      <c r="D9306" t="s">
        <v>1037</v>
      </c>
      <c r="E9306" t="s">
        <v>158</v>
      </c>
      <c r="F9306" s="2" t="str">
        <f>HYPERLINK("http://www.otzar.org/book.asp?13591","דקדוקי הטעמים")</f>
        <v>דקדוקי הטעמים</v>
      </c>
    </row>
    <row r="9307" spans="1:6" x14ac:dyDescent="0.2">
      <c r="A9307" t="s">
        <v>16181</v>
      </c>
      <c r="B9307" t="s">
        <v>16182</v>
      </c>
      <c r="C9307" t="s">
        <v>129</v>
      </c>
      <c r="D9307" t="s">
        <v>14</v>
      </c>
      <c r="E9307" t="s">
        <v>144</v>
      </c>
      <c r="F9307" s="2" t="str">
        <f>HYPERLINK("http://www.otzar.org/book.asp?186829","דקדוקי חברים &lt;מהדורה חדשה&gt; - תענית")</f>
        <v>דקדוקי חברים &lt;מהדורה חדשה&gt; - תענית</v>
      </c>
    </row>
    <row r="9308" spans="1:6" x14ac:dyDescent="0.2">
      <c r="A9308" t="s">
        <v>16183</v>
      </c>
      <c r="B9308" t="s">
        <v>16182</v>
      </c>
      <c r="C9308" t="s">
        <v>11127</v>
      </c>
      <c r="D9308" t="s">
        <v>76</v>
      </c>
      <c r="E9308" t="s">
        <v>144</v>
      </c>
      <c r="F9308" s="2" t="str">
        <f>HYPERLINK("http://www.otzar.org/book.asp?17538","דקדוקי חברים")</f>
        <v>דקדוקי חברים</v>
      </c>
    </row>
    <row r="9309" spans="1:6" x14ac:dyDescent="0.2">
      <c r="A9309" t="s">
        <v>16184</v>
      </c>
      <c r="B9309" t="s">
        <v>16185</v>
      </c>
      <c r="C9309" t="s">
        <v>533</v>
      </c>
      <c r="D9309" t="s">
        <v>14</v>
      </c>
      <c r="E9309" t="s">
        <v>144</v>
      </c>
      <c r="F9309" s="2" t="str">
        <f>HYPERLINK("http://www.otzar.org/book.asp?62578","דקדוקי סופרים השלם - 19 כר'")</f>
        <v>דקדוקי סופרים השלם - 19 כר'</v>
      </c>
    </row>
    <row r="9310" spans="1:6" x14ac:dyDescent="0.2">
      <c r="A9310" t="s">
        <v>16186</v>
      </c>
      <c r="B9310" t="s">
        <v>16187</v>
      </c>
      <c r="C9310" t="s">
        <v>553</v>
      </c>
      <c r="D9310" t="s">
        <v>412</v>
      </c>
      <c r="E9310" t="s">
        <v>144</v>
      </c>
      <c r="F9310" s="2" t="str">
        <f>HYPERLINK("http://www.otzar.org/book.asp?61548","דקדוקי סופרים לפירש""י - שבת")</f>
        <v>דקדוקי סופרים לפירש"י - שבת</v>
      </c>
    </row>
    <row r="9311" spans="1:6" x14ac:dyDescent="0.2">
      <c r="A9311" t="s">
        <v>16188</v>
      </c>
      <c r="B9311" t="s">
        <v>16189</v>
      </c>
      <c r="C9311" t="s">
        <v>2008</v>
      </c>
      <c r="D9311" t="s">
        <v>27</v>
      </c>
      <c r="E9311" t="s">
        <v>1097</v>
      </c>
      <c r="F9311" s="2" t="str">
        <f>HYPERLINK("http://www.otzar.org/book.asp?168147","דקדוקי סופרים לתלמוד ירושלמי - ברכות")</f>
        <v>דקדוקי סופרים לתלמוד ירושלמי - ברכות</v>
      </c>
    </row>
    <row r="9312" spans="1:6" x14ac:dyDescent="0.2">
      <c r="A9312" t="s">
        <v>16190</v>
      </c>
      <c r="B9312" t="s">
        <v>16191</v>
      </c>
      <c r="C9312" t="s">
        <v>63</v>
      </c>
      <c r="D9312" t="s">
        <v>412</v>
      </c>
      <c r="E9312" t="s">
        <v>144</v>
      </c>
      <c r="F9312" s="2" t="str">
        <f>HYPERLINK("http://www.otzar.org/book.asp?158737","דקדוקי סופרים - גיטין")</f>
        <v>דקדוקי סופרים - גיטין</v>
      </c>
    </row>
    <row r="9313" spans="1:6" x14ac:dyDescent="0.2">
      <c r="A9313" t="s">
        <v>16192</v>
      </c>
      <c r="B9313" t="s">
        <v>16193</v>
      </c>
      <c r="C9313" t="s">
        <v>16194</v>
      </c>
      <c r="D9313" t="s">
        <v>790</v>
      </c>
      <c r="E9313" t="s">
        <v>786</v>
      </c>
      <c r="F9313" s="2" t="str">
        <f>HYPERLINK("http://www.otzar.org/book.asp?200337","דקדוקי סופרים - 13 כר'")</f>
        <v>דקדוקי סופרים - 13 כר'</v>
      </c>
    </row>
    <row r="9314" spans="1:6" x14ac:dyDescent="0.2">
      <c r="A9314" t="s">
        <v>16195</v>
      </c>
      <c r="B9314" t="s">
        <v>12117</v>
      </c>
      <c r="C9314" t="s">
        <v>1208</v>
      </c>
      <c r="D9314" t="s">
        <v>52</v>
      </c>
      <c r="E9314" t="s">
        <v>15</v>
      </c>
      <c r="F9314" s="2" t="str">
        <f>HYPERLINK("http://www.otzar.org/book.asp?23665","דקדוקי ספרים")</f>
        <v>דקדוקי ספרים</v>
      </c>
    </row>
    <row r="9315" spans="1:6" x14ac:dyDescent="0.2">
      <c r="A9315" t="s">
        <v>16196</v>
      </c>
      <c r="B9315" t="s">
        <v>8616</v>
      </c>
      <c r="C9315" t="s">
        <v>313</v>
      </c>
      <c r="D9315" t="s">
        <v>52</v>
      </c>
      <c r="E9315" t="s">
        <v>579</v>
      </c>
      <c r="F9315" s="2" t="str">
        <f>HYPERLINK("http://www.otzar.org/book.asp?60706","דקדוקי רש""י - 2 כר'")</f>
        <v>דקדוקי רש"י - 2 כר'</v>
      </c>
    </row>
    <row r="9316" spans="1:6" x14ac:dyDescent="0.2">
      <c r="A9316" t="s">
        <v>16197</v>
      </c>
      <c r="B9316" t="s">
        <v>16197</v>
      </c>
      <c r="C9316" t="s">
        <v>1725</v>
      </c>
      <c r="D9316" t="s">
        <v>13372</v>
      </c>
      <c r="E9316" t="s">
        <v>579</v>
      </c>
      <c r="F9316" s="2" t="str">
        <f>HYPERLINK("http://www.otzar.org/book.asp?60155","דקדוקי רש""י")</f>
        <v>דקדוקי רש"י</v>
      </c>
    </row>
    <row r="9317" spans="1:6" x14ac:dyDescent="0.2">
      <c r="A9317" t="s">
        <v>16198</v>
      </c>
      <c r="B9317" t="s">
        <v>16199</v>
      </c>
      <c r="C9317" t="s">
        <v>366</v>
      </c>
      <c r="D9317" t="s">
        <v>52</v>
      </c>
      <c r="F9317" s="2" t="str">
        <f>HYPERLINK("http://www.otzar.org/book.asp?621871","דקדוקי תורה")</f>
        <v>דקדוקי תורה</v>
      </c>
    </row>
    <row r="9318" spans="1:6" x14ac:dyDescent="0.2">
      <c r="A9318" t="s">
        <v>16198</v>
      </c>
      <c r="B9318" t="s">
        <v>16200</v>
      </c>
      <c r="C9318" t="s">
        <v>1202</v>
      </c>
      <c r="D9318" t="s">
        <v>225</v>
      </c>
      <c r="E9318" t="s">
        <v>158</v>
      </c>
      <c r="F9318" s="2" t="str">
        <f>HYPERLINK("http://www.otzar.org/book.asp?84140","דקדוקי תורה")</f>
        <v>דקדוקי תורה</v>
      </c>
    </row>
    <row r="9319" spans="1:6" x14ac:dyDescent="0.2">
      <c r="A9319" t="s">
        <v>16198</v>
      </c>
      <c r="B9319" t="s">
        <v>16201</v>
      </c>
      <c r="C9319" t="s">
        <v>1448</v>
      </c>
      <c r="D9319" t="s">
        <v>80</v>
      </c>
      <c r="E9319" t="s">
        <v>104</v>
      </c>
      <c r="F9319" s="2" t="str">
        <f>HYPERLINK("http://www.otzar.org/book.asp?197485","דקדוקי תורה")</f>
        <v>דקדוקי תורה</v>
      </c>
    </row>
    <row r="9320" spans="1:6" x14ac:dyDescent="0.2">
      <c r="A9320" t="s">
        <v>16202</v>
      </c>
      <c r="B9320" t="s">
        <v>16202</v>
      </c>
      <c r="C9320" t="s">
        <v>330</v>
      </c>
      <c r="D9320" t="s">
        <v>49</v>
      </c>
      <c r="E9320" t="s">
        <v>104</v>
      </c>
      <c r="F9320" s="2" t="str">
        <f>HYPERLINK("http://www.otzar.org/book.asp?189321","דקדוקים")</f>
        <v>דקדוקים</v>
      </c>
    </row>
    <row r="9321" spans="1:6" x14ac:dyDescent="0.2">
      <c r="A9321" t="s">
        <v>16203</v>
      </c>
      <c r="B9321" t="s">
        <v>686</v>
      </c>
      <c r="C9321" t="s">
        <v>133</v>
      </c>
      <c r="D9321" t="s">
        <v>52</v>
      </c>
      <c r="E9321" t="s">
        <v>104</v>
      </c>
      <c r="F9321" s="2" t="str">
        <f>HYPERLINK("http://www.otzar.org/book.asp?172201","דר וסחרת")</f>
        <v>דר וסחרת</v>
      </c>
    </row>
    <row r="9322" spans="1:6" x14ac:dyDescent="0.2">
      <c r="A9322" t="s">
        <v>16204</v>
      </c>
      <c r="B9322" t="s">
        <v>16205</v>
      </c>
      <c r="C9322" t="s">
        <v>1524</v>
      </c>
      <c r="D9322" t="s">
        <v>2303</v>
      </c>
      <c r="E9322" t="s">
        <v>14553</v>
      </c>
      <c r="F9322" s="2" t="str">
        <f>HYPERLINK("http://www.otzar.org/book.asp?100809","דרבוני זהב")</f>
        <v>דרבוני זהב</v>
      </c>
    </row>
    <row r="9323" spans="1:6" x14ac:dyDescent="0.2">
      <c r="A9323" t="s">
        <v>16206</v>
      </c>
      <c r="B9323" t="s">
        <v>3166</v>
      </c>
      <c r="C9323" t="s">
        <v>16207</v>
      </c>
      <c r="D9323" t="s">
        <v>14</v>
      </c>
      <c r="E9323" t="s">
        <v>5935</v>
      </c>
      <c r="F9323" s="2" t="str">
        <f>HYPERLINK("http://www.otzar.org/book.asp?200367","דרופתקי דאורייתא - א ב ג")</f>
        <v>דרופתקי דאורייתא - א ב ג</v>
      </c>
    </row>
    <row r="9324" spans="1:6" x14ac:dyDescent="0.2">
      <c r="A9324" t="s">
        <v>16208</v>
      </c>
      <c r="B9324" t="s">
        <v>552</v>
      </c>
      <c r="C9324" t="s">
        <v>129</v>
      </c>
      <c r="D9324" t="s">
        <v>52</v>
      </c>
      <c r="E9324" t="s">
        <v>202</v>
      </c>
      <c r="F9324" s="2" t="str">
        <f>HYPERLINK("http://www.otzar.org/book.asp?60235","דרור יקרא")</f>
        <v>דרור יקרא</v>
      </c>
    </row>
    <row r="9325" spans="1:6" x14ac:dyDescent="0.2">
      <c r="A9325" t="s">
        <v>16209</v>
      </c>
      <c r="B9325" t="s">
        <v>16210</v>
      </c>
      <c r="C9325" t="s">
        <v>390</v>
      </c>
      <c r="D9325" t="s">
        <v>27</v>
      </c>
      <c r="E9325" t="s">
        <v>234</v>
      </c>
      <c r="F9325" s="2" t="str">
        <f>HYPERLINK("http://www.otzar.org/book.asp?196312","דרוש א""י")</f>
        <v>דרוש א"י</v>
      </c>
    </row>
    <row r="9326" spans="1:6" x14ac:dyDescent="0.2">
      <c r="A9326" t="s">
        <v>16211</v>
      </c>
      <c r="B9326" t="s">
        <v>16212</v>
      </c>
      <c r="C9326" t="s">
        <v>6052</v>
      </c>
      <c r="D9326" t="s">
        <v>16213</v>
      </c>
      <c r="E9326" t="s">
        <v>234</v>
      </c>
      <c r="F9326" s="2" t="str">
        <f>HYPERLINK("http://www.otzar.org/book.asp?83605","דרוש אשר דרש ברבים לכבוד הח""ק וגמ""ח")</f>
        <v>דרוש אשר דרש ברבים לכבוד הח"ק וגמ"ח</v>
      </c>
    </row>
    <row r="9327" spans="1:6" x14ac:dyDescent="0.2">
      <c r="A9327" t="s">
        <v>16214</v>
      </c>
      <c r="B9327" t="s">
        <v>16215</v>
      </c>
      <c r="C9327" t="s">
        <v>16216</v>
      </c>
      <c r="D9327" t="s">
        <v>1490</v>
      </c>
      <c r="E9327" t="s">
        <v>2840</v>
      </c>
      <c r="F9327" s="2" t="str">
        <f>HYPERLINK("http://www.otzar.org/book.asp?62229","דרוש בהלכות פסח")</f>
        <v>דרוש בהלכות פסח</v>
      </c>
    </row>
    <row r="9328" spans="1:6" x14ac:dyDescent="0.2">
      <c r="A9328" t="s">
        <v>16217</v>
      </c>
      <c r="B9328" t="s">
        <v>3286</v>
      </c>
      <c r="C9328" t="s">
        <v>940</v>
      </c>
      <c r="D9328" t="s">
        <v>52</v>
      </c>
      <c r="E9328" t="s">
        <v>2261</v>
      </c>
      <c r="F9328" s="2" t="str">
        <f>HYPERLINK("http://www.otzar.org/book.asp?142286","דרוש דרש - ב")</f>
        <v>דרוש דרש - ב</v>
      </c>
    </row>
    <row r="9329" spans="1:6" x14ac:dyDescent="0.2">
      <c r="A9329" t="s">
        <v>16218</v>
      </c>
      <c r="B9329" t="s">
        <v>3941</v>
      </c>
      <c r="C9329" t="s">
        <v>9307</v>
      </c>
      <c r="D9329" t="s">
        <v>744</v>
      </c>
      <c r="E9329" t="s">
        <v>234</v>
      </c>
      <c r="F9329" s="2" t="str">
        <f>HYPERLINK("http://www.otzar.org/book.asp?53323","דרוש דרש")</f>
        <v>דרוש דרש</v>
      </c>
    </row>
    <row r="9330" spans="1:6" x14ac:dyDescent="0.2">
      <c r="A9330" t="s">
        <v>16219</v>
      </c>
      <c r="B9330" t="s">
        <v>16220</v>
      </c>
      <c r="C9330" t="s">
        <v>17</v>
      </c>
      <c r="D9330" t="s">
        <v>14</v>
      </c>
      <c r="E9330" t="s">
        <v>399</v>
      </c>
      <c r="F9330" s="2" t="str">
        <f>HYPERLINK("http://www.otzar.org/book.asp?145028","דרוש המלבוש והצמצום")</f>
        <v>דרוש המלבוש והצמצום</v>
      </c>
    </row>
    <row r="9331" spans="1:6" x14ac:dyDescent="0.2">
      <c r="A9331" t="s">
        <v>16221</v>
      </c>
      <c r="B9331" t="s">
        <v>16222</v>
      </c>
      <c r="C9331" t="s">
        <v>4266</v>
      </c>
      <c r="D9331" t="s">
        <v>744</v>
      </c>
      <c r="E9331" t="s">
        <v>234</v>
      </c>
      <c r="F9331" s="2" t="str">
        <f>HYPERLINK("http://www.otzar.org/book.asp?168092","דרוש הספד - על פטירת הקיסר לעאפאלד השני")</f>
        <v>דרוש הספד - על פטירת הקיסר לעאפאלד השני</v>
      </c>
    </row>
    <row r="9332" spans="1:6" x14ac:dyDescent="0.2">
      <c r="A9332" t="s">
        <v>16223</v>
      </c>
      <c r="B9332" t="s">
        <v>1385</v>
      </c>
      <c r="C9332" t="s">
        <v>2008</v>
      </c>
      <c r="D9332" t="s">
        <v>9</v>
      </c>
      <c r="E9332" t="s">
        <v>508</v>
      </c>
      <c r="F9332" s="2" t="str">
        <f>HYPERLINK("http://www.otzar.org/book.asp?105938","דרוש וחדוש רבי עקיבא איגר - 2 כר'")</f>
        <v>דרוש וחדוש רבי עקיבא איגר - 2 כר'</v>
      </c>
    </row>
    <row r="9333" spans="1:6" x14ac:dyDescent="0.2">
      <c r="A9333" t="s">
        <v>16224</v>
      </c>
      <c r="B9333" t="s">
        <v>1385</v>
      </c>
      <c r="C9333" t="s">
        <v>1954</v>
      </c>
      <c r="D9333" t="s">
        <v>986</v>
      </c>
      <c r="E9333" t="s">
        <v>435</v>
      </c>
      <c r="F9333" s="2" t="str">
        <f>HYPERLINK("http://www.otzar.org/book.asp?28852","דרוש וחדוש תנינא")</f>
        <v>דרוש וחדוש תנינא</v>
      </c>
    </row>
    <row r="9334" spans="1:6" x14ac:dyDescent="0.2">
      <c r="A9334" t="s">
        <v>16225</v>
      </c>
      <c r="B9334" t="s">
        <v>16226</v>
      </c>
      <c r="C9334" t="s">
        <v>1177</v>
      </c>
      <c r="D9334" t="s">
        <v>280</v>
      </c>
      <c r="E9334" t="s">
        <v>144</v>
      </c>
      <c r="F9334" s="2" t="str">
        <f>HYPERLINK("http://www.otzar.org/book.asp?104874","דרוש וחדוש")</f>
        <v>דרוש וחדוש</v>
      </c>
    </row>
    <row r="9335" spans="1:6" x14ac:dyDescent="0.2">
      <c r="A9335" t="s">
        <v>16225</v>
      </c>
      <c r="B9335" t="s">
        <v>16227</v>
      </c>
      <c r="C9335" t="s">
        <v>609</v>
      </c>
      <c r="D9335" t="s">
        <v>27</v>
      </c>
      <c r="E9335" t="s">
        <v>158</v>
      </c>
      <c r="F9335" s="2" t="str">
        <f>HYPERLINK("http://www.otzar.org/book.asp?5424","דרוש וחדוש")</f>
        <v>דרוש וחדוש</v>
      </c>
    </row>
    <row r="9336" spans="1:6" x14ac:dyDescent="0.2">
      <c r="A9336" t="s">
        <v>16228</v>
      </c>
      <c r="B9336" t="s">
        <v>1385</v>
      </c>
      <c r="C9336" t="s">
        <v>114</v>
      </c>
      <c r="D9336" t="s">
        <v>14</v>
      </c>
      <c r="E9336" t="s">
        <v>4586</v>
      </c>
      <c r="F9336" s="2" t="str">
        <f>HYPERLINK("http://www.otzar.org/book.asp?174680","דרוש וחידוש &lt;מהדורת ספרי אור החיים&gt;")</f>
        <v>דרוש וחידוש &lt;מהדורת ספרי אור החיים&gt;</v>
      </c>
    </row>
    <row r="9337" spans="1:6" x14ac:dyDescent="0.2">
      <c r="A9337" t="s">
        <v>16229</v>
      </c>
      <c r="B9337" t="s">
        <v>13091</v>
      </c>
      <c r="C9337" t="s">
        <v>728</v>
      </c>
      <c r="D9337" t="s">
        <v>16230</v>
      </c>
      <c r="E9337" t="s">
        <v>467</v>
      </c>
      <c r="F9337" s="2" t="str">
        <f>HYPERLINK("http://www.otzar.org/book.asp?105999","דרוש יקר מבעל השפתי כהן")</f>
        <v>דרוש יקר מבעל השפתי כהן</v>
      </c>
    </row>
    <row r="9338" spans="1:6" x14ac:dyDescent="0.2">
      <c r="A9338" t="s">
        <v>16231</v>
      </c>
      <c r="B9338" t="s">
        <v>13091</v>
      </c>
      <c r="C9338" t="s">
        <v>13</v>
      </c>
      <c r="D9338" t="s">
        <v>412</v>
      </c>
      <c r="E9338" t="s">
        <v>467</v>
      </c>
      <c r="F9338" s="2" t="str">
        <f>HYPERLINK("http://www.otzar.org/book.asp?160862","דרוש יקר מבעל שפתי כהן")</f>
        <v>דרוש יקר מבעל שפתי כהן</v>
      </c>
    </row>
    <row r="9339" spans="1:6" x14ac:dyDescent="0.2">
      <c r="A9339" t="s">
        <v>16232</v>
      </c>
      <c r="B9339" t="s">
        <v>4194</v>
      </c>
      <c r="C9339" t="s">
        <v>1885</v>
      </c>
      <c r="D9339" t="s">
        <v>27</v>
      </c>
      <c r="E9339" t="s">
        <v>234</v>
      </c>
      <c r="F9339" s="2" t="str">
        <f>HYPERLINK("http://www.otzar.org/book.asp?100120","דרוש כבוד התורה")</f>
        <v>דרוש כבוד התורה</v>
      </c>
    </row>
    <row r="9340" spans="1:6" x14ac:dyDescent="0.2">
      <c r="A9340" t="s">
        <v>16233</v>
      </c>
      <c r="B9340" t="s">
        <v>16234</v>
      </c>
      <c r="E9340" t="s">
        <v>246</v>
      </c>
      <c r="F9340" s="2" t="str">
        <f>HYPERLINK("http://www.otzar.org/book.asp?626026","דרוש לראש השנה")</f>
        <v>דרוש לראש השנה</v>
      </c>
    </row>
    <row r="9341" spans="1:6" x14ac:dyDescent="0.2">
      <c r="A9341" t="s">
        <v>16235</v>
      </c>
      <c r="B9341" t="s">
        <v>16236</v>
      </c>
      <c r="C9341" t="s">
        <v>71</v>
      </c>
      <c r="D9341" t="s">
        <v>412</v>
      </c>
      <c r="E9341" t="s">
        <v>234</v>
      </c>
      <c r="F9341" s="2" t="str">
        <f>HYPERLINK("http://www.otzar.org/book.asp?83619","דרוש לשבת הגדול")</f>
        <v>דרוש לשבת הגדול</v>
      </c>
    </row>
    <row r="9342" spans="1:6" x14ac:dyDescent="0.2">
      <c r="A9342" t="s">
        <v>16237</v>
      </c>
      <c r="B9342" t="s">
        <v>2322</v>
      </c>
      <c r="C9342" t="s">
        <v>3573</v>
      </c>
      <c r="D9342" t="s">
        <v>60</v>
      </c>
      <c r="E9342" t="s">
        <v>158</v>
      </c>
      <c r="F9342" s="2" t="str">
        <f>HYPERLINK("http://www.otzar.org/book.asp?62177","דרוש משה")</f>
        <v>דרוש משה</v>
      </c>
    </row>
    <row r="9343" spans="1:6" x14ac:dyDescent="0.2">
      <c r="A9343" t="s">
        <v>16238</v>
      </c>
      <c r="B9343" t="s">
        <v>16239</v>
      </c>
      <c r="C9343" t="s">
        <v>1395</v>
      </c>
      <c r="D9343" t="s">
        <v>4539</v>
      </c>
      <c r="E9343" t="s">
        <v>234</v>
      </c>
      <c r="F9343" s="2" t="str">
        <f>HYPERLINK("http://www.otzar.org/book.asp?147303","דרוש נאה ויפה לזקנים ונערים לחופתם")</f>
        <v>דרוש נאה ויפה לזקנים ונערים לחופתם</v>
      </c>
    </row>
    <row r="9344" spans="1:6" x14ac:dyDescent="0.2">
      <c r="A9344" t="s">
        <v>16240</v>
      </c>
      <c r="B9344" t="s">
        <v>3941</v>
      </c>
      <c r="C9344" t="s">
        <v>6784</v>
      </c>
      <c r="D9344" t="s">
        <v>1482</v>
      </c>
      <c r="F9344" s="2" t="str">
        <f>HYPERLINK("http://www.otzar.org/book.asp?152962","דרוש נאה - 3 כר'")</f>
        <v>דרוש נאה - 3 כר'</v>
      </c>
    </row>
    <row r="9345" spans="1:6" x14ac:dyDescent="0.2">
      <c r="A9345" t="s">
        <v>16241</v>
      </c>
      <c r="B9345" t="s">
        <v>16242</v>
      </c>
      <c r="C9345" t="s">
        <v>5154</v>
      </c>
      <c r="D9345" t="s">
        <v>885</v>
      </c>
      <c r="E9345" t="s">
        <v>435</v>
      </c>
      <c r="F9345" s="2" t="str">
        <f>HYPERLINK("http://www.otzar.org/book.asp?146936","דרוש נאה")</f>
        <v>דרוש נאה</v>
      </c>
    </row>
    <row r="9346" spans="1:6" x14ac:dyDescent="0.2">
      <c r="A9346" t="s">
        <v>16241</v>
      </c>
      <c r="B9346" t="s">
        <v>16243</v>
      </c>
      <c r="D9346" t="s">
        <v>21</v>
      </c>
      <c r="E9346" t="s">
        <v>234</v>
      </c>
      <c r="F9346" s="2" t="str">
        <f>HYPERLINK("http://www.otzar.org/book.asp?601140","דרוש נאה")</f>
        <v>דרוש נאה</v>
      </c>
    </row>
    <row r="9347" spans="1:6" x14ac:dyDescent="0.2">
      <c r="A9347" t="s">
        <v>16244</v>
      </c>
      <c r="B9347" t="s">
        <v>2043</v>
      </c>
      <c r="C9347" t="s">
        <v>12167</v>
      </c>
      <c r="D9347" t="s">
        <v>744</v>
      </c>
      <c r="E9347" t="s">
        <v>234</v>
      </c>
      <c r="F9347" s="2" t="str">
        <f>HYPERLINK("http://www.otzar.org/book.asp?147260","דרוש נחמד")</f>
        <v>דרוש נחמד</v>
      </c>
    </row>
    <row r="9348" spans="1:6" x14ac:dyDescent="0.2">
      <c r="A9348" t="s">
        <v>16245</v>
      </c>
      <c r="B9348" t="s">
        <v>3923</v>
      </c>
      <c r="C9348" t="s">
        <v>20</v>
      </c>
      <c r="D9348" t="s">
        <v>14</v>
      </c>
      <c r="E9348" t="s">
        <v>467</v>
      </c>
      <c r="F9348" s="2" t="str">
        <f>HYPERLINK("http://www.otzar.org/book.asp?6128","דרוש על התורה והמצות")</f>
        <v>דרוש על התורה והמצות</v>
      </c>
    </row>
    <row r="9349" spans="1:6" x14ac:dyDescent="0.2">
      <c r="A9349" t="s">
        <v>16246</v>
      </c>
      <c r="B9349" t="s">
        <v>3923</v>
      </c>
      <c r="C9349" t="s">
        <v>1284</v>
      </c>
      <c r="D9349" t="s">
        <v>225</v>
      </c>
      <c r="E9349" t="s">
        <v>467</v>
      </c>
      <c r="F9349" s="2" t="str">
        <f>HYPERLINK("http://www.otzar.org/book.asp?103367","דרוש על התורה ועל המצות")</f>
        <v>דרוש על התורה ועל המצות</v>
      </c>
    </row>
    <row r="9350" spans="1:6" x14ac:dyDescent="0.2">
      <c r="A9350" t="s">
        <v>16247</v>
      </c>
      <c r="B9350" t="s">
        <v>1417</v>
      </c>
      <c r="C9350" t="s">
        <v>9946</v>
      </c>
      <c r="D9350" t="s">
        <v>16248</v>
      </c>
      <c r="E9350" t="s">
        <v>234</v>
      </c>
      <c r="F9350" s="2" t="str">
        <f>HYPERLINK("http://www.otzar.org/book.asp?151528","דרוש פסח גדול - 2 כר'")</f>
        <v>דרוש פסח גדול - 2 כר'</v>
      </c>
    </row>
    <row r="9351" spans="1:6" x14ac:dyDescent="0.2">
      <c r="A9351" t="s">
        <v>16249</v>
      </c>
      <c r="B9351" t="s">
        <v>1417</v>
      </c>
      <c r="C9351" t="s">
        <v>279</v>
      </c>
      <c r="D9351" t="s">
        <v>42</v>
      </c>
      <c r="E9351" t="s">
        <v>234</v>
      </c>
      <c r="F9351" s="2" t="str">
        <f>HYPERLINK("http://www.otzar.org/book.asp?151529","דרוש שערי עזרה")</f>
        <v>דרוש שערי עזרה</v>
      </c>
    </row>
    <row r="9352" spans="1:6" x14ac:dyDescent="0.2">
      <c r="A9352" t="s">
        <v>16250</v>
      </c>
      <c r="B9352" t="s">
        <v>16251</v>
      </c>
      <c r="C9352" t="s">
        <v>1166</v>
      </c>
      <c r="D9352" t="s">
        <v>27</v>
      </c>
      <c r="E9352" t="s">
        <v>241</v>
      </c>
      <c r="F9352" s="2" t="str">
        <f>HYPERLINK("http://www.otzar.org/book.asp?7514","דרוש תמר")</f>
        <v>דרוש תמר</v>
      </c>
    </row>
    <row r="9353" spans="1:6" x14ac:dyDescent="0.2">
      <c r="A9353" t="s">
        <v>16252</v>
      </c>
      <c r="B9353" t="s">
        <v>1417</v>
      </c>
      <c r="C9353" t="s">
        <v>9946</v>
      </c>
      <c r="D9353" t="s">
        <v>16248</v>
      </c>
      <c r="E9353" t="s">
        <v>234</v>
      </c>
      <c r="F9353" s="2" t="str">
        <f>HYPERLINK("http://www.otzar.org/book.asp?151527","דרוש תפלת ישרים - 2 כר'")</f>
        <v>דרוש תפלת ישרים - 2 כר'</v>
      </c>
    </row>
    <row r="9354" spans="1:6" x14ac:dyDescent="0.2">
      <c r="A9354" t="s">
        <v>16253</v>
      </c>
      <c r="B9354" t="s">
        <v>11773</v>
      </c>
      <c r="C9354" t="s">
        <v>26</v>
      </c>
      <c r="D9354" t="s">
        <v>273</v>
      </c>
      <c r="E9354" t="s">
        <v>2879</v>
      </c>
      <c r="F9354" s="2" t="str">
        <f>HYPERLINK("http://www.otzar.org/book.asp?7391","דרושי ברוך טעם")</f>
        <v>דרושי ברוך טעם</v>
      </c>
    </row>
    <row r="9355" spans="1:6" x14ac:dyDescent="0.2">
      <c r="A9355" t="s">
        <v>16254</v>
      </c>
      <c r="B9355" t="s">
        <v>15259</v>
      </c>
      <c r="C9355" t="s">
        <v>51</v>
      </c>
      <c r="D9355" t="s">
        <v>1156</v>
      </c>
      <c r="F9355" s="2" t="str">
        <f>HYPERLINK("http://www.otzar.org/book.asp?622646","דרושי הצל""ח &lt;מהדורה חדשה&gt;")</f>
        <v>דרושי הצל"ח &lt;מהדורה חדשה&gt;</v>
      </c>
    </row>
    <row r="9356" spans="1:6" x14ac:dyDescent="0.2">
      <c r="A9356" t="s">
        <v>16255</v>
      </c>
      <c r="B9356" t="s">
        <v>15259</v>
      </c>
      <c r="C9356" t="s">
        <v>20</v>
      </c>
      <c r="D9356" t="s">
        <v>2347</v>
      </c>
      <c r="E9356" t="s">
        <v>234</v>
      </c>
      <c r="F9356" s="2" t="str">
        <f>HYPERLINK("http://www.otzar.org/book.asp?5981","דרושי הצל""ח - 2 כר'")</f>
        <v>דרושי הצל"ח - 2 כר'</v>
      </c>
    </row>
    <row r="9357" spans="1:6" x14ac:dyDescent="0.2">
      <c r="A9357" t="s">
        <v>16256</v>
      </c>
      <c r="B9357" t="s">
        <v>16257</v>
      </c>
      <c r="C9357" t="s">
        <v>2008</v>
      </c>
      <c r="D9357" t="s">
        <v>100</v>
      </c>
      <c r="E9357" t="s">
        <v>463</v>
      </c>
      <c r="F9357" s="2" t="str">
        <f>HYPERLINK("http://www.otzar.org/book.asp?166896","דרושי וחידושי הרמבא""ד")</f>
        <v>דרושי וחידושי הרמבא"ד</v>
      </c>
    </row>
    <row r="9358" spans="1:6" x14ac:dyDescent="0.2">
      <c r="A9358" t="s">
        <v>16258</v>
      </c>
      <c r="B9358" t="s">
        <v>1385</v>
      </c>
      <c r="C9358" t="s">
        <v>422</v>
      </c>
      <c r="D9358" t="s">
        <v>14</v>
      </c>
      <c r="E9358" t="s">
        <v>463</v>
      </c>
      <c r="F9358" s="2" t="str">
        <f>HYPERLINK("http://www.otzar.org/book.asp?171450","דרושי וחידושי רבי עקיבא איגר על התורה")</f>
        <v>דרושי וחידושי רבי עקיבא איגר על התורה</v>
      </c>
    </row>
    <row r="9359" spans="1:6" x14ac:dyDescent="0.2">
      <c r="A9359" t="s">
        <v>16259</v>
      </c>
      <c r="B9359" t="s">
        <v>16260</v>
      </c>
      <c r="C9359" t="s">
        <v>224</v>
      </c>
      <c r="D9359" t="s">
        <v>27</v>
      </c>
      <c r="E9359" t="s">
        <v>930</v>
      </c>
      <c r="F9359" s="2" t="str">
        <f>HYPERLINK("http://www.otzar.org/book.asp?84048","דרושי ושו""ת הרמ""ח")</f>
        <v>דרושי ושו"ת הרמ"ח</v>
      </c>
    </row>
    <row r="9360" spans="1:6" x14ac:dyDescent="0.2">
      <c r="A9360" t="s">
        <v>16261</v>
      </c>
      <c r="B9360" t="s">
        <v>15508</v>
      </c>
      <c r="C9360" t="s">
        <v>1470</v>
      </c>
      <c r="D9360" t="s">
        <v>16262</v>
      </c>
      <c r="E9360" t="s">
        <v>16263</v>
      </c>
      <c r="F9360" s="2" t="str">
        <f>HYPERLINK("http://www.otzar.org/book.asp?100099","דרושי חכמה ודעת")</f>
        <v>דרושי חכמה ודעת</v>
      </c>
    </row>
    <row r="9361" spans="1:6" x14ac:dyDescent="0.2">
      <c r="A9361" t="s">
        <v>16264</v>
      </c>
      <c r="B9361" t="s">
        <v>7992</v>
      </c>
      <c r="C9361" t="s">
        <v>362</v>
      </c>
      <c r="D9361" t="s">
        <v>855</v>
      </c>
      <c r="E9361" t="s">
        <v>399</v>
      </c>
      <c r="F9361" s="2" t="str">
        <f>HYPERLINK("http://www.otzar.org/book.asp?24264","דרושי יום יום")</f>
        <v>דרושי יום יום</v>
      </c>
    </row>
    <row r="9362" spans="1:6" x14ac:dyDescent="0.2">
      <c r="A9362" t="s">
        <v>16265</v>
      </c>
      <c r="B9362" t="s">
        <v>14711</v>
      </c>
      <c r="C9362" t="s">
        <v>7225</v>
      </c>
      <c r="D9362" t="s">
        <v>1365</v>
      </c>
      <c r="F9362" s="2" t="str">
        <f>HYPERLINK("http://www.otzar.org/book.asp?620608","דרושי יחזקאל")</f>
        <v>דרושי יחזקאל</v>
      </c>
    </row>
    <row r="9363" spans="1:6" x14ac:dyDescent="0.2">
      <c r="A9363" t="s">
        <v>16266</v>
      </c>
      <c r="B9363" t="s">
        <v>16267</v>
      </c>
      <c r="C9363" t="s">
        <v>114</v>
      </c>
      <c r="D9363" t="s">
        <v>412</v>
      </c>
      <c r="E9363" t="s">
        <v>230</v>
      </c>
      <c r="F9363" s="2" t="str">
        <f>HYPERLINK("http://www.otzar.org/book.asp?174679","דרושי מהר""י בריסק")</f>
        <v>דרושי מהר"י בריסק</v>
      </c>
    </row>
    <row r="9364" spans="1:6" x14ac:dyDescent="0.2">
      <c r="A9364" t="s">
        <v>16268</v>
      </c>
      <c r="B9364" t="s">
        <v>16269</v>
      </c>
      <c r="C9364" t="s">
        <v>68</v>
      </c>
      <c r="D9364" t="s">
        <v>412</v>
      </c>
      <c r="E9364" t="s">
        <v>158</v>
      </c>
      <c r="F9364" s="2" t="str">
        <f>HYPERLINK("http://www.otzar.org/book.asp?167437","דרושי מהר""ם בריסק - תורה")</f>
        <v>דרושי מהר"ם בריסק - תורה</v>
      </c>
    </row>
    <row r="9365" spans="1:6" x14ac:dyDescent="0.2">
      <c r="A9365" t="s">
        <v>16270</v>
      </c>
      <c r="B9365" t="s">
        <v>16271</v>
      </c>
      <c r="C9365" t="s">
        <v>13</v>
      </c>
      <c r="D9365" t="s">
        <v>412</v>
      </c>
      <c r="E9365" t="s">
        <v>2071</v>
      </c>
      <c r="F9365" s="2" t="str">
        <f>HYPERLINK("http://www.otzar.org/book.asp?174678","דרושי מהרא""ץ בריסק - 2 כר'")</f>
        <v>דרושי מהרא"ץ בריסק - 2 כר'</v>
      </c>
    </row>
    <row r="9366" spans="1:6" x14ac:dyDescent="0.2">
      <c r="A9366" t="s">
        <v>16272</v>
      </c>
      <c r="B9366" t="s">
        <v>16273</v>
      </c>
      <c r="C9366" t="s">
        <v>785</v>
      </c>
      <c r="D9366" t="s">
        <v>14</v>
      </c>
      <c r="E9366" t="s">
        <v>234</v>
      </c>
      <c r="F9366" s="2" t="str">
        <f>HYPERLINK("http://www.otzar.org/book.asp?171324","דרושי מהרש""ש סירירו - 2 כר'")</f>
        <v>דרושי מהרש"ש סירירו - 2 כר'</v>
      </c>
    </row>
    <row r="9367" spans="1:6" x14ac:dyDescent="0.2">
      <c r="A9367" t="s">
        <v>16274</v>
      </c>
      <c r="B9367" t="s">
        <v>16275</v>
      </c>
      <c r="C9367" t="s">
        <v>1650</v>
      </c>
      <c r="D9367" t="s">
        <v>9</v>
      </c>
      <c r="E9367" t="s">
        <v>474</v>
      </c>
      <c r="F9367" s="2" t="str">
        <f>HYPERLINK("http://www.otzar.org/book.asp?165909","דרושי מהרשי""ם")</f>
        <v>דרושי מהרשי"ם</v>
      </c>
    </row>
    <row r="9368" spans="1:6" x14ac:dyDescent="0.2">
      <c r="A9368" t="s">
        <v>16276</v>
      </c>
      <c r="B9368" t="s">
        <v>16277</v>
      </c>
      <c r="C9368" t="s">
        <v>395</v>
      </c>
      <c r="D9368" t="s">
        <v>855</v>
      </c>
      <c r="E9368" t="s">
        <v>234</v>
      </c>
      <c r="F9368" s="2" t="str">
        <f>HYPERLINK("http://www.otzar.org/book.asp?100105","דרושי רמ""ץ")</f>
        <v>דרושי רמ"ץ</v>
      </c>
    </row>
    <row r="9369" spans="1:6" x14ac:dyDescent="0.2">
      <c r="A9369" t="s">
        <v>16278</v>
      </c>
      <c r="B9369" t="s">
        <v>16279</v>
      </c>
      <c r="C9369" t="s">
        <v>366</v>
      </c>
      <c r="D9369" t="s">
        <v>14</v>
      </c>
      <c r="F9369" s="2" t="str">
        <f>HYPERLINK("http://www.otzar.org/book.asp?601047","דרושי שמחה")</f>
        <v>דרושי שמחה</v>
      </c>
    </row>
    <row r="9370" spans="1:6" x14ac:dyDescent="0.2">
      <c r="A9370" t="s">
        <v>16280</v>
      </c>
      <c r="B9370" t="s">
        <v>7166</v>
      </c>
      <c r="C9370" t="s">
        <v>3690</v>
      </c>
      <c r="D9370" t="s">
        <v>267</v>
      </c>
      <c r="E9370" t="s">
        <v>158</v>
      </c>
      <c r="F9370" s="2" t="str">
        <f>HYPERLINK("http://www.otzar.org/book.asp?28478","דרושים הלולים")</f>
        <v>דרושים הלולים</v>
      </c>
    </row>
    <row r="9371" spans="1:6" x14ac:dyDescent="0.2">
      <c r="A9371" t="s">
        <v>16281</v>
      </c>
      <c r="B9371" t="s">
        <v>16282</v>
      </c>
      <c r="C9371" t="s">
        <v>111</v>
      </c>
      <c r="D9371" t="s">
        <v>5172</v>
      </c>
      <c r="F9371" s="2" t="str">
        <f>HYPERLINK("http://www.otzar.org/book.asp?621435","דרושים וחידושים בענייני בר מצוה")</f>
        <v>דרושים וחידושים בענייני בר מצוה</v>
      </c>
    </row>
    <row r="9372" spans="1:6" x14ac:dyDescent="0.2">
      <c r="A9372" t="s">
        <v>16283</v>
      </c>
      <c r="B9372" t="s">
        <v>16284</v>
      </c>
      <c r="C9372" t="s">
        <v>356</v>
      </c>
      <c r="D9372" t="s">
        <v>14</v>
      </c>
      <c r="E9372" t="s">
        <v>474</v>
      </c>
      <c r="F9372" s="2" t="str">
        <f>HYPERLINK("http://www.otzar.org/book.asp?157603","דרושים ופירושים")</f>
        <v>דרושים ופירושים</v>
      </c>
    </row>
    <row r="9373" spans="1:6" x14ac:dyDescent="0.2">
      <c r="A9373" t="s">
        <v>16285</v>
      </c>
      <c r="B9373" t="s">
        <v>2999</v>
      </c>
      <c r="C9373" t="s">
        <v>390</v>
      </c>
      <c r="D9373" t="s">
        <v>14830</v>
      </c>
      <c r="E9373" t="s">
        <v>234</v>
      </c>
      <c r="F9373" s="2" t="str">
        <f>HYPERLINK("http://www.otzar.org/book.asp?196332","דרושים לבר מצוה")</f>
        <v>דרושים לבר מצוה</v>
      </c>
    </row>
    <row r="9374" spans="1:6" x14ac:dyDescent="0.2">
      <c r="A9374" t="s">
        <v>16286</v>
      </c>
      <c r="B9374" t="s">
        <v>3292</v>
      </c>
      <c r="C9374" t="s">
        <v>1535</v>
      </c>
      <c r="D9374" t="s">
        <v>14037</v>
      </c>
      <c r="E9374" t="s">
        <v>467</v>
      </c>
      <c r="F9374" s="2" t="str">
        <f>HYPERLINK("http://www.otzar.org/book.asp?51236","דרושים להגיד")</f>
        <v>דרושים להגיד</v>
      </c>
    </row>
    <row r="9375" spans="1:6" x14ac:dyDescent="0.2">
      <c r="A9375" t="s">
        <v>16287</v>
      </c>
      <c r="B9375" t="s">
        <v>6361</v>
      </c>
      <c r="C9375" t="s">
        <v>356</v>
      </c>
      <c r="D9375" t="s">
        <v>90</v>
      </c>
      <c r="E9375" t="s">
        <v>158</v>
      </c>
      <c r="F9375" s="2" t="str">
        <f>HYPERLINK("http://www.otzar.org/book.asp?154666","דרושים לחפציהם - 3 כר'")</f>
        <v>דרושים לחפציהם - 3 כר'</v>
      </c>
    </row>
    <row r="9376" spans="1:6" x14ac:dyDescent="0.2">
      <c r="A9376" t="s">
        <v>16288</v>
      </c>
      <c r="B9376" t="s">
        <v>338</v>
      </c>
      <c r="C9376" t="s">
        <v>133</v>
      </c>
      <c r="D9376" t="s">
        <v>14</v>
      </c>
      <c r="E9376" t="s">
        <v>158</v>
      </c>
      <c r="F9376" s="2" t="str">
        <f>HYPERLINK("http://www.otzar.org/book.asp?182454","דרושים לכל חפציהם - 2 כר'")</f>
        <v>דרושים לכל חפציהם - 2 כר'</v>
      </c>
    </row>
    <row r="9377" spans="1:6" x14ac:dyDescent="0.2">
      <c r="A9377" t="s">
        <v>16289</v>
      </c>
      <c r="B9377" t="s">
        <v>15380</v>
      </c>
      <c r="C9377" t="s">
        <v>16290</v>
      </c>
      <c r="D9377" t="s">
        <v>56</v>
      </c>
      <c r="E9377" t="s">
        <v>234</v>
      </c>
      <c r="F9377" s="2" t="str">
        <f>HYPERLINK("http://www.otzar.org/book.asp?83990","דרושים לכל חפציהם")</f>
        <v>דרושים לכל חפציהם</v>
      </c>
    </row>
    <row r="9378" spans="1:6" x14ac:dyDescent="0.2">
      <c r="A9378" t="s">
        <v>16289</v>
      </c>
      <c r="B9378" t="s">
        <v>16291</v>
      </c>
      <c r="C9378" t="s">
        <v>37</v>
      </c>
      <c r="D9378" t="s">
        <v>14</v>
      </c>
      <c r="E9378" t="s">
        <v>1262</v>
      </c>
      <c r="F9378" s="2" t="str">
        <f>HYPERLINK("http://www.otzar.org/book.asp?180765","דרושים לכל חפציהם")</f>
        <v>דרושים לכל חפציהם</v>
      </c>
    </row>
    <row r="9379" spans="1:6" x14ac:dyDescent="0.2">
      <c r="A9379" t="s">
        <v>16289</v>
      </c>
      <c r="B9379" t="s">
        <v>13899</v>
      </c>
      <c r="E9379" t="s">
        <v>467</v>
      </c>
      <c r="F9379" s="2" t="str">
        <f>HYPERLINK("http://www.otzar.org/book.asp?628032","דרושים לכל חפציהם")</f>
        <v>דרושים לכל חפציהם</v>
      </c>
    </row>
    <row r="9380" spans="1:6" x14ac:dyDescent="0.2">
      <c r="A9380" t="s">
        <v>16289</v>
      </c>
      <c r="B9380" t="s">
        <v>16292</v>
      </c>
      <c r="C9380" t="s">
        <v>8820</v>
      </c>
      <c r="D9380" t="s">
        <v>1117</v>
      </c>
      <c r="E9380" t="s">
        <v>234</v>
      </c>
      <c r="F9380" s="2" t="str">
        <f>HYPERLINK("http://www.otzar.org/book.asp?146599","דרושים לכל חפציהם")</f>
        <v>דרושים לכל חפציהם</v>
      </c>
    </row>
    <row r="9381" spans="1:6" x14ac:dyDescent="0.2">
      <c r="A9381" t="s">
        <v>16293</v>
      </c>
      <c r="B9381" t="s">
        <v>3941</v>
      </c>
      <c r="C9381" t="s">
        <v>3106</v>
      </c>
      <c r="D9381" t="s">
        <v>412</v>
      </c>
      <c r="E9381" t="s">
        <v>234</v>
      </c>
      <c r="F9381" s="2" t="str">
        <f>HYPERLINK("http://www.otzar.org/book.asp?619432","דרושים נאים")</f>
        <v>דרושים נאים</v>
      </c>
    </row>
    <row r="9382" spans="1:6" x14ac:dyDescent="0.2">
      <c r="A9382" t="s">
        <v>16294</v>
      </c>
      <c r="B9382" t="s">
        <v>16295</v>
      </c>
      <c r="C9382" t="s">
        <v>422</v>
      </c>
      <c r="D9382" t="s">
        <v>152</v>
      </c>
      <c r="E9382" t="s">
        <v>230</v>
      </c>
      <c r="F9382" s="2" t="str">
        <f>HYPERLINK("http://www.otzar.org/book.asp?154061","דרושים נחמדים ממהר""ם שי""ף - 2 כר'")</f>
        <v>דרושים נחמדים ממהר"ם שי"ף - 2 כר'</v>
      </c>
    </row>
    <row r="9383" spans="1:6" x14ac:dyDescent="0.2">
      <c r="A9383" t="s">
        <v>234</v>
      </c>
      <c r="B9383" t="s">
        <v>16296</v>
      </c>
      <c r="C9383" t="s">
        <v>6052</v>
      </c>
      <c r="D9383" t="s">
        <v>16297</v>
      </c>
      <c r="E9383" t="s">
        <v>467</v>
      </c>
      <c r="F9383" s="2" t="str">
        <f>HYPERLINK("http://www.otzar.org/book.asp?83604","דרושים")</f>
        <v>דרושים</v>
      </c>
    </row>
    <row r="9384" spans="1:6" x14ac:dyDescent="0.2">
      <c r="A9384" t="s">
        <v>16298</v>
      </c>
      <c r="B9384" t="s">
        <v>16299</v>
      </c>
      <c r="C9384" t="s">
        <v>8</v>
      </c>
      <c r="D9384" t="s">
        <v>412</v>
      </c>
      <c r="E9384" t="s">
        <v>119</v>
      </c>
      <c r="F9384" s="2" t="str">
        <f>HYPERLINK("http://www.otzar.org/book.asp?173413","דרייסיג דורות אידען אין פוילען")</f>
        <v>דרייסיג דורות אידען אין פוילען</v>
      </c>
    </row>
    <row r="9385" spans="1:6" x14ac:dyDescent="0.2">
      <c r="A9385" t="s">
        <v>16300</v>
      </c>
      <c r="B9385" t="s">
        <v>16301</v>
      </c>
      <c r="C9385" t="s">
        <v>111</v>
      </c>
      <c r="D9385" t="s">
        <v>152</v>
      </c>
      <c r="E9385" t="s">
        <v>158</v>
      </c>
      <c r="F9385" s="2" t="str">
        <f>HYPERLINK("http://www.otzar.org/book.asp?628652","דרישה וחקירה - 3 כר'")</f>
        <v>דרישה וחקירה - 3 כר'</v>
      </c>
    </row>
    <row r="9386" spans="1:6" x14ac:dyDescent="0.2">
      <c r="A9386" t="s">
        <v>16302</v>
      </c>
      <c r="B9386" t="s">
        <v>16303</v>
      </c>
      <c r="C9386" t="s">
        <v>496</v>
      </c>
      <c r="D9386" t="s">
        <v>225</v>
      </c>
      <c r="E9386" t="s">
        <v>144</v>
      </c>
      <c r="F9386" s="2" t="str">
        <f>HYPERLINK("http://www.otzar.org/book.asp?17541","דרישה וחקירה")</f>
        <v>דרישה וחקירה</v>
      </c>
    </row>
    <row r="9387" spans="1:6" x14ac:dyDescent="0.2">
      <c r="A9387" t="s">
        <v>16304</v>
      </c>
      <c r="B9387" t="s">
        <v>16305</v>
      </c>
      <c r="C9387" t="s">
        <v>429</v>
      </c>
      <c r="D9387" t="s">
        <v>157</v>
      </c>
      <c r="E9387" t="s">
        <v>234</v>
      </c>
      <c r="F9387" s="2" t="str">
        <f>HYPERLINK("http://www.otzar.org/book.asp?141168","דרישה מחיים")</f>
        <v>דרישה מחיים</v>
      </c>
    </row>
    <row r="9388" spans="1:6" x14ac:dyDescent="0.2">
      <c r="A9388" t="s">
        <v>16306</v>
      </c>
      <c r="B9388" t="s">
        <v>16307</v>
      </c>
      <c r="C9388" t="s">
        <v>1228</v>
      </c>
      <c r="D9388" t="s">
        <v>225</v>
      </c>
      <c r="E9388" t="s">
        <v>158</v>
      </c>
      <c r="F9388" s="2" t="str">
        <f>HYPERLINK("http://www.otzar.org/book.asp?102964","דרישות שבת")</f>
        <v>דרישות שבת</v>
      </c>
    </row>
    <row r="9389" spans="1:6" x14ac:dyDescent="0.2">
      <c r="A9389" t="s">
        <v>16308</v>
      </c>
      <c r="B9389" t="s">
        <v>16309</v>
      </c>
      <c r="C9389" t="s">
        <v>462</v>
      </c>
      <c r="D9389" t="s">
        <v>10109</v>
      </c>
      <c r="E9389" t="s">
        <v>2840</v>
      </c>
      <c r="F9389" s="2" t="str">
        <f>HYPERLINK("http://www.otzar.org/book.asp?100113","דרישת הארי")</f>
        <v>דרישת הארי</v>
      </c>
    </row>
    <row r="9390" spans="1:6" x14ac:dyDescent="0.2">
      <c r="A9390" t="s">
        <v>16310</v>
      </c>
      <c r="B9390" t="s">
        <v>16311</v>
      </c>
      <c r="C9390" t="s">
        <v>5160</v>
      </c>
      <c r="D9390" t="s">
        <v>280</v>
      </c>
      <c r="F9390" s="2" t="str">
        <f>HYPERLINK("http://www.otzar.org/book.asp?22422","דרישת הזאב")</f>
        <v>דרישת הזאב</v>
      </c>
    </row>
    <row r="9391" spans="1:6" x14ac:dyDescent="0.2">
      <c r="A9391" t="s">
        <v>16310</v>
      </c>
      <c r="B9391" t="s">
        <v>16312</v>
      </c>
      <c r="C9391" t="s">
        <v>5826</v>
      </c>
      <c r="D9391" t="s">
        <v>16313</v>
      </c>
      <c r="E9391" t="s">
        <v>16314</v>
      </c>
      <c r="F9391" s="2" t="str">
        <f>HYPERLINK("http://www.otzar.org/book.asp?146937","דרישת הזאב")</f>
        <v>דרישת הזאב</v>
      </c>
    </row>
    <row r="9392" spans="1:6" x14ac:dyDescent="0.2">
      <c r="A9392" t="s">
        <v>16310</v>
      </c>
      <c r="B9392" t="s">
        <v>14042</v>
      </c>
      <c r="C9392" t="s">
        <v>1437</v>
      </c>
      <c r="D9392" t="s">
        <v>267</v>
      </c>
      <c r="E9392" t="s">
        <v>16315</v>
      </c>
      <c r="F9392" s="2" t="str">
        <f>HYPERLINK("http://www.otzar.org/book.asp?102966","דרישת הזאב")</f>
        <v>דרישת הזאב</v>
      </c>
    </row>
    <row r="9393" spans="1:6" x14ac:dyDescent="0.2">
      <c r="A9393" t="s">
        <v>16316</v>
      </c>
      <c r="B9393" t="s">
        <v>16317</v>
      </c>
      <c r="C9393" t="s">
        <v>168</v>
      </c>
      <c r="D9393" t="s">
        <v>52</v>
      </c>
      <c r="E9393" t="s">
        <v>234</v>
      </c>
      <c r="F9393" s="2" t="str">
        <f>HYPERLINK("http://www.otzar.org/book.asp?162212","דרישת הרחמים")</f>
        <v>דרישת הרחמים</v>
      </c>
    </row>
    <row r="9394" spans="1:6" x14ac:dyDescent="0.2">
      <c r="A9394" t="s">
        <v>16318</v>
      </c>
      <c r="B9394" t="s">
        <v>16319</v>
      </c>
      <c r="C9394" t="s">
        <v>6995</v>
      </c>
      <c r="D9394" t="s">
        <v>1023</v>
      </c>
      <c r="E9394" t="s">
        <v>6300</v>
      </c>
      <c r="F9394" s="2" t="str">
        <f>HYPERLINK("http://www.otzar.org/book.asp?51191","דרישת מרדכי")</f>
        <v>דרישת מרדכי</v>
      </c>
    </row>
    <row r="9395" spans="1:6" x14ac:dyDescent="0.2">
      <c r="A9395" t="s">
        <v>16320</v>
      </c>
      <c r="B9395" t="s">
        <v>15221</v>
      </c>
      <c r="C9395" t="s">
        <v>87</v>
      </c>
      <c r="D9395" t="s">
        <v>14</v>
      </c>
      <c r="E9395" t="s">
        <v>15</v>
      </c>
      <c r="F9395" s="2" t="str">
        <f>HYPERLINK("http://www.otzar.org/book.asp?186712","דרישת פקודיך - 2 כר'")</f>
        <v>דרישת פקודיך - 2 כר'</v>
      </c>
    </row>
    <row r="9396" spans="1:6" x14ac:dyDescent="0.2">
      <c r="A9396" t="s">
        <v>16321</v>
      </c>
      <c r="B9396" t="s">
        <v>1504</v>
      </c>
      <c r="C9396" t="s">
        <v>698</v>
      </c>
      <c r="D9396" t="s">
        <v>27</v>
      </c>
      <c r="E9396" t="s">
        <v>15</v>
      </c>
      <c r="F9396" s="2" t="str">
        <f>HYPERLINK("http://www.otzar.org/book.asp?181552","דרישת צבי")</f>
        <v>דרישת צבי</v>
      </c>
    </row>
    <row r="9397" spans="1:6" x14ac:dyDescent="0.2">
      <c r="A9397" t="s">
        <v>16322</v>
      </c>
      <c r="B9397" t="s">
        <v>3367</v>
      </c>
      <c r="C9397" t="s">
        <v>146</v>
      </c>
      <c r="D9397" t="s">
        <v>52</v>
      </c>
      <c r="E9397" t="s">
        <v>579</v>
      </c>
      <c r="F9397" s="2" t="str">
        <f>HYPERLINK("http://www.otzar.org/book.asp?53626","דרישת ציון")</f>
        <v>דרישת ציון</v>
      </c>
    </row>
    <row r="9398" spans="1:6" x14ac:dyDescent="0.2">
      <c r="A9398" t="s">
        <v>16323</v>
      </c>
      <c r="B9398" t="s">
        <v>16324</v>
      </c>
      <c r="C9398" t="s">
        <v>1437</v>
      </c>
      <c r="D9398" t="s">
        <v>16325</v>
      </c>
      <c r="E9398" t="s">
        <v>84</v>
      </c>
      <c r="F9398" s="2" t="str">
        <f>HYPERLINK("http://www.otzar.org/book.asp?101960","דרך אבות - 3 כר'")</f>
        <v>דרך אבות - 3 כר'</v>
      </c>
    </row>
    <row r="9399" spans="1:6" x14ac:dyDescent="0.2">
      <c r="A9399" t="s">
        <v>16326</v>
      </c>
      <c r="B9399" t="s">
        <v>16327</v>
      </c>
      <c r="C9399" t="s">
        <v>454</v>
      </c>
      <c r="D9399" t="s">
        <v>115</v>
      </c>
      <c r="E9399" t="s">
        <v>144</v>
      </c>
      <c r="F9399" s="2" t="str">
        <f>HYPERLINK("http://www.otzar.org/book.asp?604588","דרך אבי - 2 כר'")</f>
        <v>דרך אבי - 2 כר'</v>
      </c>
    </row>
    <row r="9400" spans="1:6" x14ac:dyDescent="0.2">
      <c r="A9400" t="s">
        <v>16328</v>
      </c>
      <c r="B9400" t="s">
        <v>16329</v>
      </c>
      <c r="C9400" t="s">
        <v>16330</v>
      </c>
      <c r="D9400" t="s">
        <v>9</v>
      </c>
      <c r="E9400" t="s">
        <v>16331</v>
      </c>
      <c r="F9400" s="2" t="str">
        <f>HYPERLINK("http://www.otzar.org/book.asp?51188","דרך אברהם")</f>
        <v>דרך אברהם</v>
      </c>
    </row>
    <row r="9401" spans="1:6" x14ac:dyDescent="0.2">
      <c r="A9401" t="s">
        <v>16332</v>
      </c>
      <c r="B9401" t="s">
        <v>16333</v>
      </c>
      <c r="C9401" t="s">
        <v>37</v>
      </c>
      <c r="D9401" t="s">
        <v>21</v>
      </c>
      <c r="E9401" t="s">
        <v>15</v>
      </c>
      <c r="F9401" s="2" t="str">
        <f>HYPERLINK("http://www.otzar.org/book.asp?601419","דרך איש")</f>
        <v>דרך איש</v>
      </c>
    </row>
    <row r="9402" spans="1:6" x14ac:dyDescent="0.2">
      <c r="A9402" t="s">
        <v>16334</v>
      </c>
      <c r="B9402" t="s">
        <v>16335</v>
      </c>
      <c r="C9402" t="s">
        <v>1609</v>
      </c>
      <c r="D9402" t="s">
        <v>9</v>
      </c>
      <c r="E9402" t="s">
        <v>144</v>
      </c>
      <c r="F9402" s="2" t="str">
        <f>HYPERLINK("http://www.otzar.org/book.asp?6900","דרך איתן - 2 כר'")</f>
        <v>דרך איתן - 2 כר'</v>
      </c>
    </row>
    <row r="9403" spans="1:6" x14ac:dyDescent="0.2">
      <c r="A9403" t="s">
        <v>16336</v>
      </c>
      <c r="B9403" t="s">
        <v>16337</v>
      </c>
      <c r="C9403" t="s">
        <v>23</v>
      </c>
      <c r="D9403" t="s">
        <v>115</v>
      </c>
      <c r="F9403" s="2" t="str">
        <f>HYPERLINK("http://www.otzar.org/book.asp?194604","דרך אכילה")</f>
        <v>דרך אכילה</v>
      </c>
    </row>
    <row r="9404" spans="1:6" x14ac:dyDescent="0.2">
      <c r="A9404" t="s">
        <v>16338</v>
      </c>
      <c r="B9404" t="s">
        <v>16339</v>
      </c>
      <c r="C9404" t="s">
        <v>51</v>
      </c>
      <c r="D9404" t="s">
        <v>14</v>
      </c>
      <c r="E9404" t="s">
        <v>2495</v>
      </c>
      <c r="F9404" s="2" t="str">
        <f>HYPERLINK("http://www.otzar.org/book.asp?50397","דרך אליעזר")</f>
        <v>דרך אליעזר</v>
      </c>
    </row>
    <row r="9405" spans="1:6" x14ac:dyDescent="0.2">
      <c r="A9405" t="s">
        <v>16340</v>
      </c>
      <c r="B9405" t="s">
        <v>1720</v>
      </c>
      <c r="C9405" t="s">
        <v>244</v>
      </c>
      <c r="D9405" t="s">
        <v>14</v>
      </c>
      <c r="F9405" s="2" t="str">
        <f>HYPERLINK("http://www.otzar.org/book.asp?199202","דרך אמונה &lt;מהדורה חדשה&gt;")</f>
        <v>דרך אמונה &lt;מהדורה חדשה&gt;</v>
      </c>
    </row>
    <row r="9406" spans="1:6" x14ac:dyDescent="0.2">
      <c r="A9406" t="s">
        <v>16341</v>
      </c>
      <c r="B9406" t="s">
        <v>1281</v>
      </c>
      <c r="C9406" t="s">
        <v>180</v>
      </c>
      <c r="D9406" t="s">
        <v>90</v>
      </c>
      <c r="F9406" s="2" t="str">
        <f>HYPERLINK("http://www.otzar.org/book.asp?610768","דרך אמונה ובטחון - 2 כר'")</f>
        <v>דרך אמונה ובטחון - 2 כר'</v>
      </c>
    </row>
    <row r="9407" spans="1:6" x14ac:dyDescent="0.2">
      <c r="A9407" t="s">
        <v>16342</v>
      </c>
      <c r="B9407" t="s">
        <v>16343</v>
      </c>
      <c r="C9407" t="s">
        <v>950</v>
      </c>
      <c r="D9407" t="s">
        <v>1279</v>
      </c>
      <c r="E9407" t="s">
        <v>399</v>
      </c>
      <c r="F9407" s="2" t="str">
        <f>HYPERLINK("http://www.otzar.org/book.asp?24267","דרך אמונה - 3 כר'")</f>
        <v>דרך אמונה - 3 כר'</v>
      </c>
    </row>
    <row r="9408" spans="1:6" x14ac:dyDescent="0.2">
      <c r="A9408" t="s">
        <v>16344</v>
      </c>
      <c r="B9408" t="s">
        <v>16345</v>
      </c>
      <c r="C9408" t="s">
        <v>16346</v>
      </c>
      <c r="D9408" t="s">
        <v>16347</v>
      </c>
      <c r="F9408" s="2" t="str">
        <f>HYPERLINK("http://www.otzar.org/book.asp?152809","דרך אמונה - 2 כר'")</f>
        <v>דרך אמונה - 2 כר'</v>
      </c>
    </row>
    <row r="9409" spans="1:6" x14ac:dyDescent="0.2">
      <c r="A9409" t="s">
        <v>16344</v>
      </c>
      <c r="B9409" t="s">
        <v>16348</v>
      </c>
      <c r="C9409" t="s">
        <v>334</v>
      </c>
      <c r="D9409" t="s">
        <v>14</v>
      </c>
      <c r="F9409" s="2" t="str">
        <f>HYPERLINK("http://www.otzar.org/book.asp?615693","דרך אמונה - 2 כר'")</f>
        <v>דרך אמונה - 2 כר'</v>
      </c>
    </row>
    <row r="9410" spans="1:6" x14ac:dyDescent="0.2">
      <c r="A9410" t="s">
        <v>16344</v>
      </c>
      <c r="B9410" t="s">
        <v>16349</v>
      </c>
      <c r="C9410" t="s">
        <v>16350</v>
      </c>
      <c r="D9410" t="s">
        <v>1490</v>
      </c>
      <c r="F9410" s="2" t="str">
        <f>HYPERLINK("http://www.otzar.org/book.asp?619039","דרך אמונה - 2 כר'")</f>
        <v>דרך אמונה - 2 כר'</v>
      </c>
    </row>
    <row r="9411" spans="1:6" x14ac:dyDescent="0.2">
      <c r="A9411" t="s">
        <v>16351</v>
      </c>
      <c r="B9411" t="s">
        <v>16352</v>
      </c>
      <c r="C9411" t="s">
        <v>1208</v>
      </c>
      <c r="D9411" t="s">
        <v>14</v>
      </c>
      <c r="E9411" t="s">
        <v>148</v>
      </c>
      <c r="F9411" s="2" t="str">
        <f>HYPERLINK("http://www.otzar.org/book.asp?50205","דרך אמונה - 10 כר'")</f>
        <v>דרך אמונה - 10 כר'</v>
      </c>
    </row>
    <row r="9412" spans="1:6" x14ac:dyDescent="0.2">
      <c r="A9412" t="s">
        <v>16344</v>
      </c>
      <c r="B9412" t="s">
        <v>16353</v>
      </c>
      <c r="C9412" t="s">
        <v>473</v>
      </c>
      <c r="D9412" t="s">
        <v>6608</v>
      </c>
      <c r="E9412" t="s">
        <v>5935</v>
      </c>
      <c r="F9412" s="2" t="str">
        <f>HYPERLINK("http://www.otzar.org/book.asp?60344","דרך אמונה - 2 כר'")</f>
        <v>דרך אמונה - 2 כר'</v>
      </c>
    </row>
    <row r="9413" spans="1:6" x14ac:dyDescent="0.2">
      <c r="A9413" t="s">
        <v>16354</v>
      </c>
      <c r="B9413" t="s">
        <v>5506</v>
      </c>
      <c r="C9413" t="s">
        <v>1208</v>
      </c>
      <c r="D9413" t="s">
        <v>14</v>
      </c>
      <c r="E9413" t="s">
        <v>241</v>
      </c>
      <c r="F9413" s="2" t="str">
        <f>HYPERLINK("http://www.otzar.org/book.asp?155025","דרך אמונה")</f>
        <v>דרך אמונה</v>
      </c>
    </row>
    <row r="9414" spans="1:6" x14ac:dyDescent="0.2">
      <c r="A9414" t="s">
        <v>16354</v>
      </c>
      <c r="B9414" t="s">
        <v>15466</v>
      </c>
      <c r="C9414" t="s">
        <v>1437</v>
      </c>
      <c r="D9414" t="s">
        <v>283</v>
      </c>
      <c r="E9414" t="s">
        <v>16355</v>
      </c>
      <c r="F9414" s="2" t="str">
        <f>HYPERLINK("http://www.otzar.org/book.asp?100103","דרך אמונה")</f>
        <v>דרך אמונה</v>
      </c>
    </row>
    <row r="9415" spans="1:6" x14ac:dyDescent="0.2">
      <c r="A9415" t="s">
        <v>16354</v>
      </c>
      <c r="B9415" t="s">
        <v>1720</v>
      </c>
      <c r="C9415" t="s">
        <v>4374</v>
      </c>
      <c r="D9415" t="s">
        <v>267</v>
      </c>
      <c r="E9415" t="s">
        <v>241</v>
      </c>
      <c r="F9415" s="2" t="str">
        <f>HYPERLINK("http://www.otzar.org/book.asp?143023","דרך אמונה")</f>
        <v>דרך אמונה</v>
      </c>
    </row>
    <row r="9416" spans="1:6" x14ac:dyDescent="0.2">
      <c r="A9416" t="s">
        <v>16354</v>
      </c>
      <c r="B9416" t="s">
        <v>14042</v>
      </c>
      <c r="C9416" t="s">
        <v>395</v>
      </c>
      <c r="D9416" t="s">
        <v>267</v>
      </c>
      <c r="E9416" t="s">
        <v>6142</v>
      </c>
      <c r="F9416" s="2" t="str">
        <f>HYPERLINK("http://www.otzar.org/book.asp?64057","דרך אמונה")</f>
        <v>דרך אמונה</v>
      </c>
    </row>
    <row r="9417" spans="1:6" x14ac:dyDescent="0.2">
      <c r="A9417" t="s">
        <v>16354</v>
      </c>
      <c r="B9417" t="s">
        <v>1295</v>
      </c>
      <c r="C9417" t="s">
        <v>523</v>
      </c>
      <c r="D9417" t="s">
        <v>14</v>
      </c>
      <c r="E9417" t="s">
        <v>241</v>
      </c>
      <c r="F9417" s="2" t="str">
        <f>HYPERLINK("http://www.otzar.org/book.asp?85499","דרך אמונה")</f>
        <v>דרך אמונה</v>
      </c>
    </row>
    <row r="9418" spans="1:6" x14ac:dyDescent="0.2">
      <c r="A9418" t="s">
        <v>16356</v>
      </c>
      <c r="B9418" t="s">
        <v>7604</v>
      </c>
      <c r="C9418" t="s">
        <v>1388</v>
      </c>
      <c r="D9418" t="s">
        <v>52</v>
      </c>
      <c r="E9418" t="s">
        <v>15</v>
      </c>
      <c r="F9418" s="2" t="str">
        <f>HYPERLINK("http://www.otzar.org/book.asp?106387","דרך אמונה - 6 כר'")</f>
        <v>דרך אמונה - 6 כר'</v>
      </c>
    </row>
    <row r="9419" spans="1:6" x14ac:dyDescent="0.2">
      <c r="A9419" t="s">
        <v>16354</v>
      </c>
      <c r="B9419" t="s">
        <v>16357</v>
      </c>
      <c r="C9419" t="s">
        <v>5169</v>
      </c>
      <c r="D9419" t="s">
        <v>1482</v>
      </c>
      <c r="E9419" t="s">
        <v>241</v>
      </c>
      <c r="F9419" s="2" t="str">
        <f>HYPERLINK("http://www.otzar.org/book.asp?147268","דרך אמונה")</f>
        <v>דרך אמונה</v>
      </c>
    </row>
    <row r="9420" spans="1:6" x14ac:dyDescent="0.2">
      <c r="A9420" t="s">
        <v>16354</v>
      </c>
      <c r="B9420" t="s">
        <v>16358</v>
      </c>
      <c r="C9420" t="s">
        <v>16359</v>
      </c>
      <c r="D9420" t="s">
        <v>1538</v>
      </c>
      <c r="E9420" t="s">
        <v>158</v>
      </c>
      <c r="F9420" s="2" t="str">
        <f>HYPERLINK("http://www.otzar.org/book.asp?104476","דרך אמונה")</f>
        <v>דרך אמונה</v>
      </c>
    </row>
    <row r="9421" spans="1:6" x14ac:dyDescent="0.2">
      <c r="A9421" t="s">
        <v>16360</v>
      </c>
      <c r="B9421" t="s">
        <v>16361</v>
      </c>
      <c r="C9421" t="s">
        <v>1047</v>
      </c>
      <c r="D9421" t="s">
        <v>283</v>
      </c>
      <c r="E9421" t="s">
        <v>140</v>
      </c>
      <c r="F9421" s="2" t="str">
        <f>HYPERLINK("http://www.otzar.org/book.asp?100745","דרך אמת - 5 כר'")</f>
        <v>דרך אמת - 5 כר'</v>
      </c>
    </row>
    <row r="9422" spans="1:6" x14ac:dyDescent="0.2">
      <c r="A9422" t="s">
        <v>16362</v>
      </c>
      <c r="B9422" t="s">
        <v>4197</v>
      </c>
      <c r="C9422" t="s">
        <v>4198</v>
      </c>
      <c r="D9422" t="s">
        <v>95</v>
      </c>
      <c r="E9422" t="s">
        <v>399</v>
      </c>
      <c r="F9422" s="2" t="str">
        <f>HYPERLINK("http://www.otzar.org/book.asp?147307","דרך אמת")</f>
        <v>דרך אמת</v>
      </c>
    </row>
    <row r="9423" spans="1:6" x14ac:dyDescent="0.2">
      <c r="A9423" t="s">
        <v>16362</v>
      </c>
      <c r="B9423" t="s">
        <v>16363</v>
      </c>
      <c r="C9423" t="s">
        <v>1437</v>
      </c>
      <c r="D9423" t="s">
        <v>283</v>
      </c>
      <c r="E9423" t="s">
        <v>104</v>
      </c>
      <c r="F9423" s="2" t="str">
        <f>HYPERLINK("http://www.otzar.org/book.asp?19198","דרך אמת")</f>
        <v>דרך אמת</v>
      </c>
    </row>
    <row r="9424" spans="1:6" x14ac:dyDescent="0.2">
      <c r="A9424" t="s">
        <v>16364</v>
      </c>
      <c r="B9424" t="s">
        <v>16365</v>
      </c>
      <c r="C9424" t="s">
        <v>422</v>
      </c>
      <c r="D9424" t="s">
        <v>14</v>
      </c>
      <c r="E9424" t="s">
        <v>5935</v>
      </c>
      <c r="F9424" s="2" t="str">
        <f>HYPERLINK("http://www.otzar.org/book.asp?63987","דרך אניה")</f>
        <v>דרך אניה</v>
      </c>
    </row>
    <row r="9425" spans="1:6" x14ac:dyDescent="0.2">
      <c r="A9425" t="s">
        <v>16364</v>
      </c>
      <c r="B9425" t="s">
        <v>16366</v>
      </c>
      <c r="C9425" t="s">
        <v>6448</v>
      </c>
      <c r="D9425" t="s">
        <v>2303</v>
      </c>
      <c r="F9425" s="2" t="str">
        <f>HYPERLINK("http://www.otzar.org/book.asp?151695","דרך אניה")</f>
        <v>דרך אניה</v>
      </c>
    </row>
    <row r="9426" spans="1:6" x14ac:dyDescent="0.2">
      <c r="A9426" t="s">
        <v>16367</v>
      </c>
      <c r="B9426" t="s">
        <v>13559</v>
      </c>
      <c r="C9426" t="s">
        <v>775</v>
      </c>
      <c r="D9426" t="s">
        <v>52</v>
      </c>
      <c r="E9426" t="s">
        <v>15</v>
      </c>
      <c r="F9426" s="2" t="str">
        <f>HYPERLINK("http://www.otzar.org/book.asp?61015","דרך אר""ץ - או""ח")</f>
        <v>דרך אר"ץ - או"ח</v>
      </c>
    </row>
    <row r="9427" spans="1:6" x14ac:dyDescent="0.2">
      <c r="A9427" t="s">
        <v>16368</v>
      </c>
      <c r="B9427" t="s">
        <v>9479</v>
      </c>
      <c r="C9427" t="s">
        <v>919</v>
      </c>
      <c r="D9427" t="s">
        <v>14</v>
      </c>
      <c r="E9427" t="s">
        <v>213</v>
      </c>
      <c r="F9427" s="2" t="str">
        <f>HYPERLINK("http://www.otzar.org/book.asp?150575","דרך ארץ ונימוסים - ספר הצוואות")</f>
        <v>דרך ארץ ונימוסים - ספר הצוואות</v>
      </c>
    </row>
    <row r="9428" spans="1:6" x14ac:dyDescent="0.2">
      <c r="A9428" t="s">
        <v>16369</v>
      </c>
      <c r="B9428" t="s">
        <v>16370</v>
      </c>
      <c r="C9428" t="s">
        <v>600</v>
      </c>
      <c r="D9428" t="s">
        <v>56</v>
      </c>
      <c r="E9428" t="s">
        <v>43</v>
      </c>
      <c r="F9428" s="2" t="str">
        <f>HYPERLINK("http://www.otzar.org/book.asp?8744","דרך ארץ זוטא")</f>
        <v>דרך ארץ זוטא</v>
      </c>
    </row>
    <row r="9429" spans="1:6" x14ac:dyDescent="0.2">
      <c r="A9429" t="s">
        <v>16371</v>
      </c>
      <c r="F9429" s="2" t="str">
        <f>HYPERLINK("http://www.otzar.org/book.asp?188501","דרך בלב איש")</f>
        <v>דרך בלב איש</v>
      </c>
    </row>
    <row r="9430" spans="1:6" x14ac:dyDescent="0.2">
      <c r="A9430" t="s">
        <v>16372</v>
      </c>
      <c r="B9430" t="s">
        <v>16373</v>
      </c>
      <c r="C9430" t="s">
        <v>20</v>
      </c>
      <c r="D9430" t="s">
        <v>21</v>
      </c>
      <c r="F9430" s="2" t="str">
        <f>HYPERLINK("http://www.otzar.org/book.asp?603260","דרך בני חיל - 5 כר'")</f>
        <v>דרך בני חיל - 5 כר'</v>
      </c>
    </row>
    <row r="9431" spans="1:6" x14ac:dyDescent="0.2">
      <c r="A9431" t="s">
        <v>16374</v>
      </c>
      <c r="B9431" t="s">
        <v>16375</v>
      </c>
      <c r="C9431" t="s">
        <v>129</v>
      </c>
      <c r="D9431" t="s">
        <v>10022</v>
      </c>
      <c r="E9431" t="s">
        <v>10</v>
      </c>
      <c r="F9431" s="2" t="str">
        <f>HYPERLINK("http://www.otzar.org/book.asp?50957","דרך בת עמי - א")</f>
        <v>דרך בת עמי - א</v>
      </c>
    </row>
    <row r="9432" spans="1:6" x14ac:dyDescent="0.2">
      <c r="A9432" t="s">
        <v>16376</v>
      </c>
      <c r="B9432" t="s">
        <v>16377</v>
      </c>
      <c r="C9432" t="s">
        <v>442</v>
      </c>
      <c r="D9432" t="s">
        <v>27</v>
      </c>
      <c r="E9432" t="s">
        <v>213</v>
      </c>
      <c r="F9432" s="2" t="str">
        <f>HYPERLINK("http://www.otzar.org/book.asp?154054","דרך גאולה")</f>
        <v>דרך גאולה</v>
      </c>
    </row>
    <row r="9433" spans="1:6" x14ac:dyDescent="0.2">
      <c r="A9433" t="s">
        <v>16378</v>
      </c>
      <c r="B9433" t="s">
        <v>552</v>
      </c>
      <c r="C9433" t="s">
        <v>624</v>
      </c>
      <c r="D9433" t="s">
        <v>14</v>
      </c>
      <c r="E9433" t="s">
        <v>202</v>
      </c>
      <c r="F9433" s="2" t="str">
        <f>HYPERLINK("http://www.otzar.org/book.asp?106761","דרך דוד [הקשר]")</f>
        <v>דרך דוד [הקשר]</v>
      </c>
    </row>
    <row r="9434" spans="1:6" x14ac:dyDescent="0.2">
      <c r="A9434" t="s">
        <v>16379</v>
      </c>
      <c r="B9434" t="s">
        <v>16380</v>
      </c>
      <c r="C9434" t="s">
        <v>68</v>
      </c>
      <c r="D9434" t="s">
        <v>657</v>
      </c>
      <c r="E9434" t="s">
        <v>144</v>
      </c>
      <c r="F9434" s="2" t="str">
        <f>HYPERLINK("http://www.otzar.org/book.asp?160210","דרך דוד")</f>
        <v>דרך דוד</v>
      </c>
    </row>
    <row r="9435" spans="1:6" x14ac:dyDescent="0.2">
      <c r="A9435" t="s">
        <v>16381</v>
      </c>
      <c r="B9435" t="s">
        <v>11560</v>
      </c>
      <c r="C9435" t="s">
        <v>23</v>
      </c>
      <c r="D9435" t="s">
        <v>52</v>
      </c>
      <c r="E9435" t="s">
        <v>15</v>
      </c>
      <c r="F9435" s="2" t="str">
        <f>HYPERLINK("http://www.otzar.org/book.asp?192843","דרך דעה - 5 כר'")</f>
        <v>דרך דעה - 5 כר'</v>
      </c>
    </row>
    <row r="9436" spans="1:6" x14ac:dyDescent="0.2">
      <c r="A9436" t="s">
        <v>16382</v>
      </c>
      <c r="B9436" t="s">
        <v>16383</v>
      </c>
      <c r="C9436" t="s">
        <v>68</v>
      </c>
      <c r="D9436" t="s">
        <v>14</v>
      </c>
      <c r="E9436" t="s">
        <v>314</v>
      </c>
      <c r="F9436" s="2" t="str">
        <f>HYPERLINK("http://www.otzar.org/book.asp?180276","דרך ה'  &lt;דרך היחוד&gt;")</f>
        <v>דרך ה'  &lt;דרך היחוד&gt;</v>
      </c>
    </row>
    <row r="9437" spans="1:6" x14ac:dyDescent="0.2">
      <c r="A9437" t="s">
        <v>16384</v>
      </c>
      <c r="B9437" t="s">
        <v>1390</v>
      </c>
      <c r="C9437" t="s">
        <v>13</v>
      </c>
      <c r="D9437" t="s">
        <v>14</v>
      </c>
      <c r="E9437" t="s">
        <v>314</v>
      </c>
      <c r="F9437" s="2" t="str">
        <f>HYPERLINK("http://www.otzar.org/book.asp?63046","דרך ה' &lt;דרך לחיים מראה דרך&gt;")</f>
        <v>דרך ה' &lt;דרך לחיים מראה דרך&gt;</v>
      </c>
    </row>
    <row r="9438" spans="1:6" x14ac:dyDescent="0.2">
      <c r="A9438" t="s">
        <v>16385</v>
      </c>
      <c r="B9438" t="s">
        <v>1390</v>
      </c>
      <c r="C9438" t="s">
        <v>17</v>
      </c>
      <c r="D9438" t="s">
        <v>14</v>
      </c>
      <c r="E9438" t="s">
        <v>314</v>
      </c>
      <c r="F9438" s="2" t="str">
        <f>HYPERLINK("http://www.otzar.org/book.asp?148357","דרך ה' &lt;עם תרגום צרפתית&gt;")</f>
        <v>דרך ה' &lt;עם תרגום צרפתית&gt;</v>
      </c>
    </row>
    <row r="9439" spans="1:6" x14ac:dyDescent="0.2">
      <c r="A9439" t="s">
        <v>16386</v>
      </c>
      <c r="B9439" t="s">
        <v>16387</v>
      </c>
      <c r="C9439" t="s">
        <v>411</v>
      </c>
      <c r="D9439" t="s">
        <v>1974</v>
      </c>
      <c r="E9439" t="s">
        <v>399</v>
      </c>
      <c r="F9439" s="2" t="str">
        <f>HYPERLINK("http://www.otzar.org/book.asp?625970","דרך ה' לרמח""ל עם ביאור דרך שלמה - א")</f>
        <v>דרך ה' לרמח"ל עם ביאור דרך שלמה - א</v>
      </c>
    </row>
    <row r="9440" spans="1:6" x14ac:dyDescent="0.2">
      <c r="A9440" t="s">
        <v>16388</v>
      </c>
      <c r="B9440" t="s">
        <v>16389</v>
      </c>
      <c r="C9440" t="s">
        <v>366</v>
      </c>
      <c r="D9440" t="s">
        <v>16390</v>
      </c>
      <c r="F9440" s="2" t="str">
        <f>HYPERLINK("http://www.otzar.org/book.asp?615128","דרך ה' עם ביאור נתיבות עולם")</f>
        <v>דרך ה' עם ביאור נתיבות עולם</v>
      </c>
    </row>
    <row r="9441" spans="1:6" x14ac:dyDescent="0.2">
      <c r="A9441" t="s">
        <v>16391</v>
      </c>
      <c r="B9441" t="s">
        <v>16392</v>
      </c>
      <c r="C9441" t="s">
        <v>422</v>
      </c>
      <c r="D9441" t="s">
        <v>14</v>
      </c>
      <c r="E9441" t="s">
        <v>399</v>
      </c>
      <c r="F9441" s="2" t="str">
        <f>HYPERLINK("http://www.otzar.org/book.asp?154250","דרך ה' עם הערות וביאורים")</f>
        <v>דרך ה' עם הערות וביאורים</v>
      </c>
    </row>
    <row r="9442" spans="1:6" x14ac:dyDescent="0.2">
      <c r="A9442" t="s">
        <v>16393</v>
      </c>
      <c r="B9442" t="s">
        <v>1390</v>
      </c>
      <c r="C9442" t="s">
        <v>473</v>
      </c>
      <c r="D9442" t="s">
        <v>27</v>
      </c>
      <c r="E9442" t="s">
        <v>1463</v>
      </c>
      <c r="F9442" s="2" t="str">
        <f>HYPERLINK("http://www.otzar.org/book.asp?12817","דרך ה' - 2 כר'")</f>
        <v>דרך ה' - 2 כר'</v>
      </c>
    </row>
    <row r="9443" spans="1:6" x14ac:dyDescent="0.2">
      <c r="A9443" t="s">
        <v>16394</v>
      </c>
      <c r="B9443" t="s">
        <v>16395</v>
      </c>
      <c r="C9443" t="s">
        <v>558</v>
      </c>
      <c r="D9443" t="s">
        <v>1862</v>
      </c>
      <c r="E9443" t="s">
        <v>10</v>
      </c>
      <c r="F9443" s="2" t="str">
        <f>HYPERLINK("http://www.otzar.org/book.asp?24270","דרך האדם")</f>
        <v>דרך האדם</v>
      </c>
    </row>
    <row r="9444" spans="1:6" x14ac:dyDescent="0.2">
      <c r="A9444" t="s">
        <v>16396</v>
      </c>
      <c r="B9444" t="s">
        <v>16397</v>
      </c>
      <c r="C9444" t="s">
        <v>5823</v>
      </c>
      <c r="D9444" t="s">
        <v>283</v>
      </c>
      <c r="E9444" t="s">
        <v>140</v>
      </c>
      <c r="F9444" s="2" t="str">
        <f>HYPERLINK("http://www.otzar.org/book.asp?100101","דרך האמונה ומעשה רב")</f>
        <v>דרך האמונה ומעשה רב</v>
      </c>
    </row>
    <row r="9445" spans="1:6" x14ac:dyDescent="0.2">
      <c r="A9445" t="s">
        <v>16398</v>
      </c>
      <c r="B9445" t="s">
        <v>16399</v>
      </c>
      <c r="C9445" t="s">
        <v>189</v>
      </c>
      <c r="D9445" t="s">
        <v>486</v>
      </c>
      <c r="E9445" t="s">
        <v>4940</v>
      </c>
      <c r="F9445" s="2" t="str">
        <f>HYPERLINK("http://www.otzar.org/book.asp?165096","דרך החיים")</f>
        <v>דרך החיים</v>
      </c>
    </row>
    <row r="9446" spans="1:6" x14ac:dyDescent="0.2">
      <c r="A9446" t="s">
        <v>16398</v>
      </c>
      <c r="B9446" t="s">
        <v>3923</v>
      </c>
      <c r="C9446" t="s">
        <v>1448</v>
      </c>
      <c r="D9446" t="s">
        <v>118</v>
      </c>
      <c r="E9446" t="s">
        <v>84</v>
      </c>
      <c r="F9446" s="2" t="str">
        <f>HYPERLINK("http://www.otzar.org/book.asp?23385","דרך החיים")</f>
        <v>דרך החיים</v>
      </c>
    </row>
    <row r="9447" spans="1:6" x14ac:dyDescent="0.2">
      <c r="A9447" t="s">
        <v>16400</v>
      </c>
      <c r="B9447" t="s">
        <v>6496</v>
      </c>
      <c r="C9447" t="s">
        <v>553</v>
      </c>
      <c r="D9447" t="s">
        <v>52</v>
      </c>
      <c r="E9447" t="s">
        <v>15</v>
      </c>
      <c r="F9447" s="2" t="str">
        <f>HYPERLINK("http://www.otzar.org/book.asp?199397","דרך החיים - 4 כר'")</f>
        <v>דרך החיים - 4 כר'</v>
      </c>
    </row>
    <row r="9448" spans="1:6" x14ac:dyDescent="0.2">
      <c r="A9448" t="s">
        <v>16398</v>
      </c>
      <c r="B9448" t="s">
        <v>16401</v>
      </c>
      <c r="C9448" t="s">
        <v>8</v>
      </c>
      <c r="D9448" t="s">
        <v>3293</v>
      </c>
      <c r="E9448" t="s">
        <v>241</v>
      </c>
      <c r="F9448" s="2" t="str">
        <f>HYPERLINK("http://www.otzar.org/book.asp?51189","דרך החיים")</f>
        <v>דרך החיים</v>
      </c>
    </row>
    <row r="9449" spans="1:6" x14ac:dyDescent="0.2">
      <c r="A9449" t="s">
        <v>16402</v>
      </c>
      <c r="B9449" t="s">
        <v>16403</v>
      </c>
      <c r="C9449" t="s">
        <v>624</v>
      </c>
      <c r="D9449" t="s">
        <v>52</v>
      </c>
      <c r="E9449" t="s">
        <v>144</v>
      </c>
      <c r="F9449" s="2" t="str">
        <f>HYPERLINK("http://www.otzar.org/book.asp?63614","דרך החיים - 2 כר'")</f>
        <v>דרך החיים - 2 כר'</v>
      </c>
    </row>
    <row r="9450" spans="1:6" x14ac:dyDescent="0.2">
      <c r="A9450" t="s">
        <v>16404</v>
      </c>
      <c r="B9450" t="s">
        <v>1390</v>
      </c>
      <c r="C9450" t="s">
        <v>433</v>
      </c>
      <c r="D9450" t="s">
        <v>27</v>
      </c>
      <c r="E9450" t="s">
        <v>314</v>
      </c>
      <c r="F9450" s="2" t="str">
        <f>HYPERLINK("http://www.otzar.org/book.asp?13569","דרך החכמה")</f>
        <v>דרך החכמה</v>
      </c>
    </row>
    <row r="9451" spans="1:6" x14ac:dyDescent="0.2">
      <c r="A9451" t="s">
        <v>16405</v>
      </c>
      <c r="B9451" t="s">
        <v>16406</v>
      </c>
      <c r="C9451" t="s">
        <v>445</v>
      </c>
      <c r="D9451" t="s">
        <v>610</v>
      </c>
      <c r="E9451" t="s">
        <v>104</v>
      </c>
      <c r="F9451" s="2" t="str">
        <f>HYPERLINK("http://www.otzar.org/book.asp?14913","דרך החנוך")</f>
        <v>דרך החנוך</v>
      </c>
    </row>
    <row r="9452" spans="1:6" x14ac:dyDescent="0.2">
      <c r="A9452" t="s">
        <v>16407</v>
      </c>
      <c r="B9452" t="s">
        <v>16408</v>
      </c>
      <c r="C9452" t="s">
        <v>68</v>
      </c>
      <c r="D9452" t="s">
        <v>52</v>
      </c>
      <c r="E9452" t="s">
        <v>140</v>
      </c>
      <c r="F9452" s="2" t="str">
        <f>HYPERLINK("http://www.otzar.org/book.asp?156729","דרך החסידות")</f>
        <v>דרך החסידות</v>
      </c>
    </row>
    <row r="9453" spans="1:6" x14ac:dyDescent="0.2">
      <c r="A9453" t="s">
        <v>16407</v>
      </c>
      <c r="B9453" t="s">
        <v>3716</v>
      </c>
      <c r="C9453" t="s">
        <v>533</v>
      </c>
      <c r="D9453" t="s">
        <v>14</v>
      </c>
      <c r="E9453" t="s">
        <v>140</v>
      </c>
      <c r="F9453" s="2" t="str">
        <f>HYPERLINK("http://www.otzar.org/book.asp?150189","דרך החסידות")</f>
        <v>דרך החסידות</v>
      </c>
    </row>
    <row r="9454" spans="1:6" x14ac:dyDescent="0.2">
      <c r="A9454" t="s">
        <v>16409</v>
      </c>
      <c r="B9454" t="s">
        <v>16410</v>
      </c>
      <c r="C9454" t="s">
        <v>68</v>
      </c>
      <c r="D9454" t="s">
        <v>14</v>
      </c>
      <c r="E9454" t="s">
        <v>15</v>
      </c>
      <c r="F9454" s="2" t="str">
        <f>HYPERLINK("http://www.otzar.org/book.asp?159744","דרך הטהרה")</f>
        <v>דרך הטהרה</v>
      </c>
    </row>
    <row r="9455" spans="1:6" x14ac:dyDescent="0.2">
      <c r="A9455" t="s">
        <v>16411</v>
      </c>
      <c r="B9455" t="s">
        <v>16412</v>
      </c>
      <c r="C9455" t="s">
        <v>16413</v>
      </c>
      <c r="D9455" t="s">
        <v>16414</v>
      </c>
      <c r="E9455" t="s">
        <v>158</v>
      </c>
      <c r="F9455" s="2" t="str">
        <f>HYPERLINK("http://www.otzar.org/book.asp?605862","דרך הטוב")</f>
        <v>דרך הטוב</v>
      </c>
    </row>
    <row r="9456" spans="1:6" x14ac:dyDescent="0.2">
      <c r="A9456" t="s">
        <v>16415</v>
      </c>
      <c r="B9456" t="s">
        <v>16416</v>
      </c>
      <c r="C9456" t="s">
        <v>17</v>
      </c>
      <c r="D9456" t="s">
        <v>14</v>
      </c>
      <c r="E9456" t="s">
        <v>16417</v>
      </c>
      <c r="F9456" s="2" t="str">
        <f>HYPERLINK("http://www.otzar.org/book.asp?153614","דרך הטובה והישרה - 2 כר'")</f>
        <v>דרך הטובה והישרה - 2 כר'</v>
      </c>
    </row>
    <row r="9457" spans="1:6" x14ac:dyDescent="0.2">
      <c r="A9457" t="s">
        <v>16418</v>
      </c>
      <c r="B9457" t="s">
        <v>16419</v>
      </c>
      <c r="C9457" t="s">
        <v>15846</v>
      </c>
      <c r="D9457" t="s">
        <v>1117</v>
      </c>
      <c r="E9457" t="s">
        <v>241</v>
      </c>
      <c r="F9457" s="2" t="str">
        <f>HYPERLINK("http://www.otzar.org/book.asp?62168","דרך הישר")</f>
        <v>דרך הישר</v>
      </c>
    </row>
    <row r="9458" spans="1:6" x14ac:dyDescent="0.2">
      <c r="A9458" t="s">
        <v>16420</v>
      </c>
      <c r="B9458" t="s">
        <v>964</v>
      </c>
      <c r="C9458" t="s">
        <v>624</v>
      </c>
      <c r="D9458" t="s">
        <v>14</v>
      </c>
      <c r="E9458" t="s">
        <v>583</v>
      </c>
      <c r="F9458" s="2" t="str">
        <f>HYPERLINK("http://www.otzar.org/book.asp?17029","דרך הישרים - ספר הזכרון")</f>
        <v>דרך הישרים - ספר הזכרון</v>
      </c>
    </row>
    <row r="9459" spans="1:6" x14ac:dyDescent="0.2">
      <c r="A9459" t="s">
        <v>16421</v>
      </c>
      <c r="B9459" t="s">
        <v>16422</v>
      </c>
      <c r="C9459" t="s">
        <v>68</v>
      </c>
      <c r="D9459" t="s">
        <v>14</v>
      </c>
      <c r="E9459" t="s">
        <v>684</v>
      </c>
      <c r="F9459" s="2" t="str">
        <f>HYPERLINK("http://www.otzar.org/book.asp?606224","דרך הלכה - שערי מאיר")</f>
        <v>דרך הלכה - שערי מאיר</v>
      </c>
    </row>
    <row r="9460" spans="1:6" x14ac:dyDescent="0.2">
      <c r="A9460" t="s">
        <v>16423</v>
      </c>
      <c r="B9460" t="s">
        <v>4785</v>
      </c>
      <c r="C9460" t="s">
        <v>111</v>
      </c>
      <c r="D9460" t="s">
        <v>52</v>
      </c>
      <c r="F9460" s="2" t="str">
        <f>HYPERLINK("http://www.otzar.org/book.asp?632022","דרך המדבר")</f>
        <v>דרך המדבר</v>
      </c>
    </row>
    <row r="9461" spans="1:6" x14ac:dyDescent="0.2">
      <c r="A9461" t="s">
        <v>16424</v>
      </c>
      <c r="B9461" t="s">
        <v>16425</v>
      </c>
      <c r="C9461" t="s">
        <v>23</v>
      </c>
      <c r="D9461" t="s">
        <v>14</v>
      </c>
      <c r="E9461" t="s">
        <v>15</v>
      </c>
      <c r="F9461" s="2" t="str">
        <f>HYPERLINK("http://www.otzar.org/book.asp?192819","דרך המלך &lt;מהדורה חדשה&gt; - פירוש הארוך")</f>
        <v>דרך המלך &lt;מהדורה חדשה&gt; - פירוש הארוך</v>
      </c>
    </row>
    <row r="9462" spans="1:6" x14ac:dyDescent="0.2">
      <c r="A9462" t="s">
        <v>16426</v>
      </c>
      <c r="B9462" t="s">
        <v>16427</v>
      </c>
      <c r="C9462" t="s">
        <v>4404</v>
      </c>
      <c r="D9462" t="s">
        <v>212</v>
      </c>
      <c r="E9462" t="s">
        <v>15</v>
      </c>
      <c r="F9462" s="2" t="str">
        <f>HYPERLINK("http://www.otzar.org/book.asp?100781","דרך המלך")</f>
        <v>דרך המלך</v>
      </c>
    </row>
    <row r="9463" spans="1:6" x14ac:dyDescent="0.2">
      <c r="A9463" t="s">
        <v>16426</v>
      </c>
      <c r="B9463" t="s">
        <v>686</v>
      </c>
      <c r="C9463" t="s">
        <v>37</v>
      </c>
      <c r="D9463" t="s">
        <v>52</v>
      </c>
      <c r="F9463" s="2" t="str">
        <f>HYPERLINK("http://www.otzar.org/book.asp?182736","דרך המלך")</f>
        <v>דרך המלך</v>
      </c>
    </row>
    <row r="9464" spans="1:6" x14ac:dyDescent="0.2">
      <c r="A9464" t="s">
        <v>16426</v>
      </c>
      <c r="B9464" t="s">
        <v>16428</v>
      </c>
      <c r="C9464" t="s">
        <v>609</v>
      </c>
      <c r="D9464" t="s">
        <v>10393</v>
      </c>
      <c r="E9464" t="s">
        <v>15</v>
      </c>
      <c r="F9464" s="2" t="str">
        <f>HYPERLINK("http://www.otzar.org/book.asp?108304","דרך המלך")</f>
        <v>דרך המלך</v>
      </c>
    </row>
    <row r="9465" spans="1:6" x14ac:dyDescent="0.2">
      <c r="A9465" t="s">
        <v>16426</v>
      </c>
      <c r="B9465" t="s">
        <v>16429</v>
      </c>
      <c r="C9465" t="s">
        <v>6448</v>
      </c>
      <c r="D9465" t="s">
        <v>544</v>
      </c>
      <c r="E9465" t="s">
        <v>474</v>
      </c>
      <c r="F9465" s="2" t="str">
        <f>HYPERLINK("http://www.otzar.org/book.asp?104460","דרך המלך")</f>
        <v>דרך המלך</v>
      </c>
    </row>
    <row r="9466" spans="1:6" x14ac:dyDescent="0.2">
      <c r="A9466" t="s">
        <v>16430</v>
      </c>
      <c r="B9466" t="s">
        <v>6573</v>
      </c>
      <c r="C9466" t="s">
        <v>523</v>
      </c>
      <c r="D9466" t="s">
        <v>52</v>
      </c>
      <c r="E9466" t="s">
        <v>148</v>
      </c>
      <c r="F9466" s="2" t="str">
        <f>HYPERLINK("http://www.otzar.org/book.asp?50233","דרך המלך - 5 כר'")</f>
        <v>דרך המלך - 5 כר'</v>
      </c>
    </row>
    <row r="9467" spans="1:6" x14ac:dyDescent="0.2">
      <c r="A9467" t="s">
        <v>16426</v>
      </c>
      <c r="B9467" t="s">
        <v>16431</v>
      </c>
      <c r="C9467" t="s">
        <v>163</v>
      </c>
      <c r="D9467" t="s">
        <v>5258</v>
      </c>
      <c r="E9467" t="s">
        <v>15</v>
      </c>
      <c r="F9467" s="2" t="str">
        <f>HYPERLINK("http://www.otzar.org/book.asp?64061","דרך המלך")</f>
        <v>דרך המלך</v>
      </c>
    </row>
    <row r="9468" spans="1:6" x14ac:dyDescent="0.2">
      <c r="A9468" t="s">
        <v>16432</v>
      </c>
      <c r="B9468" t="s">
        <v>16433</v>
      </c>
      <c r="C9468" t="s">
        <v>20</v>
      </c>
      <c r="D9468" t="s">
        <v>90</v>
      </c>
      <c r="E9468" t="s">
        <v>15</v>
      </c>
      <c r="F9468" s="2" t="str">
        <f>HYPERLINK("http://www.otzar.org/book.asp?630346","דרך המלך - 3 כר'")</f>
        <v>דרך המלך - 3 כר'</v>
      </c>
    </row>
    <row r="9469" spans="1:6" x14ac:dyDescent="0.2">
      <c r="A9469" t="s">
        <v>16426</v>
      </c>
      <c r="B9469" t="s">
        <v>16434</v>
      </c>
      <c r="C9469" t="s">
        <v>3816</v>
      </c>
      <c r="D9469" t="s">
        <v>1992</v>
      </c>
      <c r="E9469" t="s">
        <v>144</v>
      </c>
      <c r="F9469" s="2" t="str">
        <f>HYPERLINK("http://www.otzar.org/book.asp?141052","דרך המלך")</f>
        <v>דרך המלך</v>
      </c>
    </row>
    <row r="9470" spans="1:6" x14ac:dyDescent="0.2">
      <c r="A9470" t="s">
        <v>16426</v>
      </c>
      <c r="B9470" t="s">
        <v>1827</v>
      </c>
      <c r="C9470" t="s">
        <v>2323</v>
      </c>
      <c r="D9470" t="s">
        <v>4703</v>
      </c>
      <c r="E9470" t="s">
        <v>399</v>
      </c>
      <c r="F9470" s="2" t="str">
        <f>HYPERLINK("http://www.otzar.org/book.asp?22423","דרך המלך")</f>
        <v>דרך המלך</v>
      </c>
    </row>
    <row r="9471" spans="1:6" x14ac:dyDescent="0.2">
      <c r="A9471" t="s">
        <v>16435</v>
      </c>
      <c r="B9471" t="s">
        <v>16425</v>
      </c>
      <c r="C9471" t="s">
        <v>16436</v>
      </c>
      <c r="D9471" t="s">
        <v>267</v>
      </c>
      <c r="E9471" t="s">
        <v>15</v>
      </c>
      <c r="F9471" s="2" t="str">
        <f>HYPERLINK("http://www.otzar.org/book.asp?100780","דרך המלך - פירוש הארוך והקצר")</f>
        <v>דרך המלך - פירוש הארוך והקצר</v>
      </c>
    </row>
    <row r="9472" spans="1:6" x14ac:dyDescent="0.2">
      <c r="A9472" t="s">
        <v>16426</v>
      </c>
      <c r="B9472" t="s">
        <v>16437</v>
      </c>
      <c r="C9472" t="s">
        <v>37</v>
      </c>
      <c r="D9472" t="s">
        <v>14</v>
      </c>
      <c r="E9472" t="s">
        <v>15</v>
      </c>
      <c r="F9472" s="2" t="str">
        <f>HYPERLINK("http://www.otzar.org/book.asp?189807","דרך המלך")</f>
        <v>דרך המלך</v>
      </c>
    </row>
    <row r="9473" spans="1:6" x14ac:dyDescent="0.2">
      <c r="A9473" t="s">
        <v>16438</v>
      </c>
      <c r="B9473" t="s">
        <v>7861</v>
      </c>
      <c r="C9473" t="s">
        <v>143</v>
      </c>
      <c r="D9473" t="s">
        <v>14</v>
      </c>
      <c r="E9473" t="s">
        <v>2614</v>
      </c>
      <c r="F9473" s="2" t="str">
        <f>HYPERLINK("http://www.otzar.org/book.asp?155299","דרך המלך - 2 כר'")</f>
        <v>דרך המלך - 2 כר'</v>
      </c>
    </row>
    <row r="9474" spans="1:6" x14ac:dyDescent="0.2">
      <c r="A9474" t="s">
        <v>16439</v>
      </c>
      <c r="B9474" t="s">
        <v>16440</v>
      </c>
      <c r="C9474" t="s">
        <v>1659</v>
      </c>
      <c r="D9474" t="s">
        <v>76</v>
      </c>
      <c r="E9474" t="s">
        <v>234</v>
      </c>
      <c r="F9474" s="2" t="str">
        <f>HYPERLINK("http://www.otzar.org/book.asp?17621","דרך הנגב")</f>
        <v>דרך הנגב</v>
      </c>
    </row>
    <row r="9475" spans="1:6" x14ac:dyDescent="0.2">
      <c r="A9475" t="s">
        <v>16441</v>
      </c>
      <c r="B9475" t="s">
        <v>16442</v>
      </c>
      <c r="C9475" t="s">
        <v>506</v>
      </c>
      <c r="D9475" t="s">
        <v>1966</v>
      </c>
      <c r="E9475" t="s">
        <v>10395</v>
      </c>
      <c r="F9475" s="2" t="str">
        <f>HYPERLINK("http://www.otzar.org/book.asp?63486","דרך הנשר ותורת אמת - 2 כר'")</f>
        <v>דרך הנשר ותורת אמת - 2 כר'</v>
      </c>
    </row>
    <row r="9476" spans="1:6" x14ac:dyDescent="0.2">
      <c r="A9476" t="s">
        <v>16443</v>
      </c>
      <c r="B9476" t="s">
        <v>546</v>
      </c>
      <c r="C9476" t="s">
        <v>1811</v>
      </c>
      <c r="D9476" t="s">
        <v>14</v>
      </c>
      <c r="E9476" t="s">
        <v>15</v>
      </c>
      <c r="F9476" s="2" t="str">
        <f>HYPERLINK("http://www.otzar.org/book.asp?52567","דרך הנשר")</f>
        <v>דרך הנשר</v>
      </c>
    </row>
    <row r="9477" spans="1:6" x14ac:dyDescent="0.2">
      <c r="A9477" t="s">
        <v>16443</v>
      </c>
      <c r="B9477" t="s">
        <v>16444</v>
      </c>
      <c r="C9477" t="s">
        <v>775</v>
      </c>
      <c r="D9477" t="s">
        <v>14</v>
      </c>
      <c r="E9477" t="s">
        <v>803</v>
      </c>
      <c r="F9477" s="2" t="str">
        <f>HYPERLINK("http://www.otzar.org/book.asp?84531","דרך הנשר")</f>
        <v>דרך הנשר</v>
      </c>
    </row>
    <row r="9478" spans="1:6" x14ac:dyDescent="0.2">
      <c r="A9478" t="s">
        <v>16445</v>
      </c>
      <c r="B9478" t="s">
        <v>5506</v>
      </c>
      <c r="C9478" t="s">
        <v>785</v>
      </c>
      <c r="D9478" t="s">
        <v>14</v>
      </c>
      <c r="E9478" t="s">
        <v>241</v>
      </c>
      <c r="F9478" s="2" t="str">
        <f>HYPERLINK("http://www.otzar.org/book.asp?155043","דרך העבודה")</f>
        <v>דרך העבודה</v>
      </c>
    </row>
    <row r="9479" spans="1:6" x14ac:dyDescent="0.2">
      <c r="A9479" t="s">
        <v>16446</v>
      </c>
      <c r="B9479" t="s">
        <v>16447</v>
      </c>
      <c r="C9479" t="s">
        <v>51</v>
      </c>
      <c r="D9479" t="s">
        <v>16149</v>
      </c>
      <c r="E9479" t="s">
        <v>104</v>
      </c>
      <c r="F9479" s="2" t="str">
        <f>HYPERLINK("http://www.otzar.org/book.asp?603620","דרך הצלה")</f>
        <v>דרך הצלה</v>
      </c>
    </row>
    <row r="9480" spans="1:6" x14ac:dyDescent="0.2">
      <c r="A9480" t="s">
        <v>16448</v>
      </c>
      <c r="B9480" t="s">
        <v>16449</v>
      </c>
      <c r="C9480" t="s">
        <v>16450</v>
      </c>
      <c r="D9480" t="s">
        <v>16451</v>
      </c>
      <c r="E9480" t="s">
        <v>733</v>
      </c>
      <c r="F9480" s="2" t="str">
        <f>HYPERLINK("http://www.otzar.org/book.asp?759","דרך הקודש")</f>
        <v>דרך הקודש</v>
      </c>
    </row>
    <row r="9481" spans="1:6" x14ac:dyDescent="0.2">
      <c r="A9481" t="s">
        <v>16448</v>
      </c>
      <c r="B9481" t="s">
        <v>16452</v>
      </c>
      <c r="C9481" t="s">
        <v>466</v>
      </c>
      <c r="D9481" t="s">
        <v>14</v>
      </c>
      <c r="E9481" t="s">
        <v>6688</v>
      </c>
      <c r="F9481" s="2" t="str">
        <f>HYPERLINK("http://www.otzar.org/book.asp?52911","דרך הקודש")</f>
        <v>דרך הקודש</v>
      </c>
    </row>
    <row r="9482" spans="1:6" x14ac:dyDescent="0.2">
      <c r="A9482" t="s">
        <v>16453</v>
      </c>
      <c r="B9482" t="s">
        <v>16454</v>
      </c>
      <c r="C9482" t="s">
        <v>111</v>
      </c>
      <c r="D9482" t="s">
        <v>52</v>
      </c>
      <c r="E9482" t="s">
        <v>144</v>
      </c>
      <c r="F9482" s="2" t="str">
        <f>HYPERLINK("http://www.otzar.org/book.asp?627205","דרך הקוצרים - 5 כר'")</f>
        <v>דרך הקוצרים - 5 כר'</v>
      </c>
    </row>
    <row r="9483" spans="1:6" x14ac:dyDescent="0.2">
      <c r="A9483" t="s">
        <v>16455</v>
      </c>
      <c r="B9483" t="s">
        <v>16456</v>
      </c>
      <c r="C9483" t="s">
        <v>37</v>
      </c>
      <c r="D9483" t="s">
        <v>52</v>
      </c>
      <c r="F9483" s="2" t="str">
        <f>HYPERLINK("http://www.otzar.org/book.asp?182440","דרך הרמב""ם")</f>
        <v>דרך הרמב"ם</v>
      </c>
    </row>
    <row r="9484" spans="1:6" x14ac:dyDescent="0.2">
      <c r="A9484" t="s">
        <v>16457</v>
      </c>
      <c r="B9484" t="s">
        <v>16458</v>
      </c>
      <c r="C9484" t="s">
        <v>114</v>
      </c>
      <c r="D9484" t="s">
        <v>1356</v>
      </c>
      <c r="F9484" s="2" t="str">
        <f>HYPERLINK("http://www.otzar.org/book.asp?197139","דרך השלחן")</f>
        <v>דרך השלחן</v>
      </c>
    </row>
    <row r="9485" spans="1:6" x14ac:dyDescent="0.2">
      <c r="A9485" t="s">
        <v>16459</v>
      </c>
      <c r="B9485" t="s">
        <v>16460</v>
      </c>
      <c r="C9485" t="s">
        <v>313</v>
      </c>
      <c r="D9485" t="s">
        <v>152</v>
      </c>
      <c r="E9485" t="s">
        <v>202</v>
      </c>
      <c r="F9485" s="2" t="str">
        <f>HYPERLINK("http://www.otzar.org/book.asp?63007","דרך התורה")</f>
        <v>דרך התורה</v>
      </c>
    </row>
    <row r="9486" spans="1:6" x14ac:dyDescent="0.2">
      <c r="A9486" t="s">
        <v>16461</v>
      </c>
      <c r="B9486" t="s">
        <v>16462</v>
      </c>
      <c r="C9486" t="s">
        <v>20</v>
      </c>
      <c r="D9486" t="s">
        <v>52</v>
      </c>
      <c r="E9486" t="s">
        <v>15</v>
      </c>
      <c r="F9486" s="2" t="str">
        <f>HYPERLINK("http://www.otzar.org/book.asp?199877","דרך התחומין - ג")</f>
        <v>דרך התחומין - ג</v>
      </c>
    </row>
    <row r="9487" spans="1:6" x14ac:dyDescent="0.2">
      <c r="A9487" t="s">
        <v>16463</v>
      </c>
      <c r="B9487" t="s">
        <v>6468</v>
      </c>
      <c r="C9487" t="s">
        <v>23</v>
      </c>
      <c r="D9487" t="s">
        <v>21</v>
      </c>
      <c r="E9487" t="s">
        <v>104</v>
      </c>
      <c r="F9487" s="2" t="str">
        <f>HYPERLINK("http://www.otzar.org/book.asp?196625","דרך התלמוד")</f>
        <v>דרך התלמוד</v>
      </c>
    </row>
    <row r="9488" spans="1:6" x14ac:dyDescent="0.2">
      <c r="A9488" t="s">
        <v>16464</v>
      </c>
      <c r="B9488" t="s">
        <v>16465</v>
      </c>
      <c r="C9488" t="s">
        <v>523</v>
      </c>
      <c r="D9488" t="s">
        <v>14</v>
      </c>
      <c r="E9488" t="s">
        <v>4656</v>
      </c>
      <c r="F9488" s="2" t="str">
        <f>HYPERLINK("http://www.otzar.org/book.asp?16497","דרך התפלה")</f>
        <v>דרך התפלה</v>
      </c>
    </row>
    <row r="9489" spans="1:6" x14ac:dyDescent="0.2">
      <c r="A9489" t="s">
        <v>16466</v>
      </c>
      <c r="B9489" t="s">
        <v>257</v>
      </c>
      <c r="C9489" t="s">
        <v>37</v>
      </c>
      <c r="D9489" t="s">
        <v>14</v>
      </c>
      <c r="E9489" t="s">
        <v>241</v>
      </c>
      <c r="F9489" s="2" t="str">
        <f>HYPERLINK("http://www.otzar.org/book.asp?190110","דרך חדשה")</f>
        <v>דרך חדשה</v>
      </c>
    </row>
    <row r="9490" spans="1:6" x14ac:dyDescent="0.2">
      <c r="A9490" t="s">
        <v>16467</v>
      </c>
      <c r="B9490" t="s">
        <v>16468</v>
      </c>
      <c r="C9490" t="s">
        <v>422</v>
      </c>
      <c r="D9490" t="s">
        <v>412</v>
      </c>
      <c r="E9490" t="s">
        <v>15</v>
      </c>
      <c r="F9490" s="2" t="str">
        <f>HYPERLINK("http://www.otzar.org/book.asp?198308","דרך חוקיך")</f>
        <v>דרך חוקיך</v>
      </c>
    </row>
    <row r="9491" spans="1:6" x14ac:dyDescent="0.2">
      <c r="A9491" t="s">
        <v>16469</v>
      </c>
      <c r="B9491" t="s">
        <v>16470</v>
      </c>
      <c r="C9491" t="s">
        <v>313</v>
      </c>
      <c r="D9491" t="s">
        <v>52</v>
      </c>
      <c r="E9491" t="s">
        <v>213</v>
      </c>
      <c r="F9491" s="2" t="str">
        <f>HYPERLINK("http://www.otzar.org/book.asp?62951","דרך חוקיך - 5 כר'")</f>
        <v>דרך חוקיך - 5 כר'</v>
      </c>
    </row>
    <row r="9492" spans="1:6" x14ac:dyDescent="0.2">
      <c r="A9492" t="s">
        <v>16471</v>
      </c>
      <c r="B9492" t="s">
        <v>16472</v>
      </c>
      <c r="C9492" t="s">
        <v>37</v>
      </c>
      <c r="D9492" t="s">
        <v>52</v>
      </c>
      <c r="E9492" t="s">
        <v>84</v>
      </c>
      <c r="F9492" s="2" t="str">
        <f>HYPERLINK("http://www.otzar.org/book.asp?629626","דרך חוקיך - אבות")</f>
        <v>דרך חוקיך - אבות</v>
      </c>
    </row>
    <row r="9493" spans="1:6" x14ac:dyDescent="0.2">
      <c r="A9493" t="s">
        <v>16473</v>
      </c>
      <c r="B9493" t="s">
        <v>16474</v>
      </c>
      <c r="C9493" t="s">
        <v>16475</v>
      </c>
      <c r="D9493" t="s">
        <v>16476</v>
      </c>
      <c r="E9493" t="s">
        <v>15</v>
      </c>
      <c r="F9493" s="2" t="str">
        <f>HYPERLINK("http://www.otzar.org/book.asp?196640","דרך חיים &lt;כולל מבוא&gt;")</f>
        <v>דרך חיים &lt;כולל מבוא&gt;</v>
      </c>
    </row>
    <row r="9494" spans="1:6" x14ac:dyDescent="0.2">
      <c r="A9494" t="s">
        <v>16477</v>
      </c>
      <c r="B9494" t="s">
        <v>3923</v>
      </c>
      <c r="C9494" t="s">
        <v>103</v>
      </c>
      <c r="D9494" t="s">
        <v>216</v>
      </c>
      <c r="E9494" t="s">
        <v>84</v>
      </c>
      <c r="F9494" s="2" t="str">
        <f>HYPERLINK("http://www.otzar.org/book.asp?144904","דרך חיים &lt;מהדורת פרדס&gt;")</f>
        <v>דרך חיים &lt;מהדורת פרדס&gt;</v>
      </c>
    </row>
    <row r="9495" spans="1:6" x14ac:dyDescent="0.2">
      <c r="A9495" t="s">
        <v>16478</v>
      </c>
      <c r="B9495" t="s">
        <v>16479</v>
      </c>
      <c r="C9495" t="s">
        <v>619</v>
      </c>
      <c r="D9495" t="s">
        <v>225</v>
      </c>
      <c r="E9495" t="s">
        <v>3516</v>
      </c>
      <c r="F9495" s="2" t="str">
        <f>HYPERLINK("http://www.otzar.org/book.asp?9090","דרך חיים &lt;שעשועי רעיונים&gt;")</f>
        <v>דרך חיים &lt;שעשועי רעיונים&gt;</v>
      </c>
    </row>
    <row r="9496" spans="1:6" x14ac:dyDescent="0.2">
      <c r="A9496" t="s">
        <v>16480</v>
      </c>
      <c r="B9496" t="s">
        <v>16481</v>
      </c>
      <c r="C9496" t="s">
        <v>16482</v>
      </c>
      <c r="D9496" t="s">
        <v>27</v>
      </c>
      <c r="E9496" t="s">
        <v>241</v>
      </c>
      <c r="F9496" s="2" t="str">
        <f>HYPERLINK("http://www.otzar.org/book.asp?153831","דרך חיים להשמחה והאמת")</f>
        <v>דרך חיים להשמחה והאמת</v>
      </c>
    </row>
    <row r="9497" spans="1:6" x14ac:dyDescent="0.2">
      <c r="A9497" t="s">
        <v>16483</v>
      </c>
      <c r="B9497" t="s">
        <v>16484</v>
      </c>
      <c r="C9497" t="s">
        <v>635</v>
      </c>
      <c r="D9497" t="s">
        <v>283</v>
      </c>
      <c r="E9497" t="s">
        <v>84</v>
      </c>
      <c r="F9497" s="2" t="str">
        <f>HYPERLINK("http://www.otzar.org/book.asp?101961","דרך חיים")</f>
        <v>דרך חיים</v>
      </c>
    </row>
    <row r="9498" spans="1:6" x14ac:dyDescent="0.2">
      <c r="A9498" t="s">
        <v>16483</v>
      </c>
      <c r="B9498" t="s">
        <v>16485</v>
      </c>
      <c r="C9498" t="s">
        <v>20</v>
      </c>
      <c r="D9498" t="s">
        <v>52</v>
      </c>
      <c r="F9498" s="2" t="str">
        <f>HYPERLINK("http://www.otzar.org/book.asp?616728","דרך חיים")</f>
        <v>דרך חיים</v>
      </c>
    </row>
    <row r="9499" spans="1:6" x14ac:dyDescent="0.2">
      <c r="A9499" t="s">
        <v>16486</v>
      </c>
      <c r="B9499" t="s">
        <v>16487</v>
      </c>
      <c r="C9499" t="s">
        <v>133</v>
      </c>
      <c r="D9499" t="s">
        <v>52</v>
      </c>
      <c r="E9499" t="s">
        <v>15</v>
      </c>
      <c r="F9499" s="2" t="str">
        <f>HYPERLINK("http://www.otzar.org/book.asp?174591","דרך חיים - 2 כר'")</f>
        <v>דרך חיים - 2 כר'</v>
      </c>
    </row>
    <row r="9500" spans="1:6" x14ac:dyDescent="0.2">
      <c r="A9500" t="s">
        <v>16483</v>
      </c>
      <c r="B9500" t="s">
        <v>16488</v>
      </c>
      <c r="C9500" t="s">
        <v>20</v>
      </c>
      <c r="D9500" t="s">
        <v>412</v>
      </c>
      <c r="E9500" t="s">
        <v>213</v>
      </c>
      <c r="F9500" s="2" t="str">
        <f>HYPERLINK("http://www.otzar.org/book.asp?172589","דרך חיים")</f>
        <v>דרך חיים</v>
      </c>
    </row>
    <row r="9501" spans="1:6" x14ac:dyDescent="0.2">
      <c r="A9501" t="s">
        <v>16486</v>
      </c>
      <c r="B9501" t="s">
        <v>4347</v>
      </c>
      <c r="C9501" t="s">
        <v>16489</v>
      </c>
      <c r="D9501" t="s">
        <v>1490</v>
      </c>
      <c r="F9501" s="2" t="str">
        <f>HYPERLINK("http://www.otzar.org/book.asp?170304","דרך חיים - 2 כר'")</f>
        <v>דרך חיים - 2 כר'</v>
      </c>
    </row>
    <row r="9502" spans="1:6" x14ac:dyDescent="0.2">
      <c r="A9502" t="s">
        <v>16483</v>
      </c>
      <c r="B9502" t="s">
        <v>16474</v>
      </c>
      <c r="C9502" t="s">
        <v>11127</v>
      </c>
      <c r="D9502" t="s">
        <v>42</v>
      </c>
      <c r="E9502" t="s">
        <v>714</v>
      </c>
      <c r="F9502" s="2" t="str">
        <f>HYPERLINK("http://www.otzar.org/book.asp?146835","דרך חיים")</f>
        <v>דרך חיים</v>
      </c>
    </row>
    <row r="9503" spans="1:6" x14ac:dyDescent="0.2">
      <c r="A9503" t="s">
        <v>16483</v>
      </c>
      <c r="B9503" t="s">
        <v>16490</v>
      </c>
      <c r="C9503" t="s">
        <v>2644</v>
      </c>
      <c r="D9503" t="s">
        <v>2313</v>
      </c>
      <c r="E9503" t="s">
        <v>241</v>
      </c>
      <c r="F9503" s="2" t="str">
        <f>HYPERLINK("http://www.otzar.org/book.asp?5517","דרך חיים")</f>
        <v>דרך חיים</v>
      </c>
    </row>
    <row r="9504" spans="1:6" x14ac:dyDescent="0.2">
      <c r="A9504" t="s">
        <v>16483</v>
      </c>
      <c r="B9504" t="s">
        <v>405</v>
      </c>
      <c r="C9504" t="s">
        <v>1208</v>
      </c>
      <c r="D9504" t="s">
        <v>52</v>
      </c>
      <c r="E9504" t="s">
        <v>399</v>
      </c>
      <c r="F9504" s="2" t="str">
        <f>HYPERLINK("http://www.otzar.org/book.asp?13257","דרך חיים")</f>
        <v>דרך חיים</v>
      </c>
    </row>
    <row r="9505" spans="1:6" x14ac:dyDescent="0.2">
      <c r="A9505" t="s">
        <v>16491</v>
      </c>
      <c r="B9505" t="s">
        <v>16492</v>
      </c>
      <c r="D9505" t="s">
        <v>412</v>
      </c>
      <c r="E9505" t="s">
        <v>158</v>
      </c>
      <c r="F9505" s="2" t="str">
        <f>HYPERLINK("http://www.otzar.org/book.asp?604354","דרך חיים - שארית יהודה, תוכחות מוסר")</f>
        <v>דרך חיים - שארית יהודה, תוכחות מוסר</v>
      </c>
    </row>
    <row r="9506" spans="1:6" x14ac:dyDescent="0.2">
      <c r="A9506" t="s">
        <v>16486</v>
      </c>
      <c r="B9506" t="s">
        <v>3923</v>
      </c>
      <c r="C9506" t="s">
        <v>16493</v>
      </c>
      <c r="D9506" t="s">
        <v>4934</v>
      </c>
      <c r="F9506" s="2" t="str">
        <f>HYPERLINK("http://www.otzar.org/book.asp?170064","דרך חיים - 2 כר'")</f>
        <v>דרך חיים - 2 כר'</v>
      </c>
    </row>
    <row r="9507" spans="1:6" x14ac:dyDescent="0.2">
      <c r="A9507" t="s">
        <v>16483</v>
      </c>
      <c r="B9507" t="s">
        <v>16494</v>
      </c>
      <c r="C9507" t="s">
        <v>630</v>
      </c>
      <c r="D9507" t="s">
        <v>16495</v>
      </c>
      <c r="E9507" t="s">
        <v>579</v>
      </c>
      <c r="F9507" s="2" t="str">
        <f>HYPERLINK("http://www.otzar.org/book.asp?168131","דרך חיים")</f>
        <v>דרך חיים</v>
      </c>
    </row>
    <row r="9508" spans="1:6" x14ac:dyDescent="0.2">
      <c r="A9508" t="s">
        <v>16486</v>
      </c>
      <c r="B9508" t="s">
        <v>16496</v>
      </c>
      <c r="C9508" t="s">
        <v>4304</v>
      </c>
      <c r="D9508" t="s">
        <v>5665</v>
      </c>
      <c r="E9508" t="s">
        <v>24</v>
      </c>
      <c r="F9508" s="2" t="str">
        <f>HYPERLINK("http://www.otzar.org/book.asp?149985","דרך חיים - 2 כר'")</f>
        <v>דרך חיים - 2 כר'</v>
      </c>
    </row>
    <row r="9509" spans="1:6" x14ac:dyDescent="0.2">
      <c r="A9509" t="s">
        <v>16483</v>
      </c>
      <c r="B9509" t="s">
        <v>4563</v>
      </c>
      <c r="C9509" t="s">
        <v>160</v>
      </c>
      <c r="D9509" t="s">
        <v>9</v>
      </c>
      <c r="E9509" t="s">
        <v>158</v>
      </c>
      <c r="F9509" s="2" t="str">
        <f>HYPERLINK("http://www.otzar.org/book.asp?100096","דרך חיים")</f>
        <v>דרך חיים</v>
      </c>
    </row>
    <row r="9510" spans="1:6" x14ac:dyDescent="0.2">
      <c r="A9510" t="s">
        <v>16483</v>
      </c>
      <c r="B9510" t="s">
        <v>16497</v>
      </c>
      <c r="C9510" t="s">
        <v>5912</v>
      </c>
      <c r="D9510" t="s">
        <v>1422</v>
      </c>
      <c r="E9510" t="s">
        <v>148</v>
      </c>
      <c r="F9510" s="2" t="str">
        <f>HYPERLINK("http://www.otzar.org/book.asp?100808","דרך חיים")</f>
        <v>דרך חיים</v>
      </c>
    </row>
    <row r="9511" spans="1:6" x14ac:dyDescent="0.2">
      <c r="A9511" t="s">
        <v>16498</v>
      </c>
      <c r="B9511" t="s">
        <v>16499</v>
      </c>
      <c r="C9511" t="s">
        <v>1706</v>
      </c>
      <c r="D9511" t="s">
        <v>283</v>
      </c>
      <c r="E9511" t="s">
        <v>172</v>
      </c>
      <c r="F9511" s="2" t="str">
        <f>HYPERLINK("http://www.otzar.org/book.asp?10869","דרך חכמה")</f>
        <v>דרך חכמה</v>
      </c>
    </row>
    <row r="9512" spans="1:6" x14ac:dyDescent="0.2">
      <c r="A9512" t="s">
        <v>16500</v>
      </c>
      <c r="B9512" t="s">
        <v>1390</v>
      </c>
      <c r="C9512" t="s">
        <v>752</v>
      </c>
      <c r="D9512" t="s">
        <v>5209</v>
      </c>
      <c r="E9512" t="s">
        <v>241</v>
      </c>
      <c r="F9512" s="2" t="str">
        <f>HYPERLINK("http://www.otzar.org/book.asp?13354","דרך חכמה - 3 כר'")</f>
        <v>דרך חכמה - 3 כר'</v>
      </c>
    </row>
    <row r="9513" spans="1:6" x14ac:dyDescent="0.2">
      <c r="A9513" t="s">
        <v>16498</v>
      </c>
      <c r="B9513" t="s">
        <v>16501</v>
      </c>
      <c r="C9513" t="s">
        <v>16502</v>
      </c>
      <c r="D9513" t="s">
        <v>16503</v>
      </c>
      <c r="F9513" s="2" t="str">
        <f>HYPERLINK("http://www.otzar.org/book.asp?626611","דרך חכמה")</f>
        <v>דרך חכמה</v>
      </c>
    </row>
    <row r="9514" spans="1:6" x14ac:dyDescent="0.2">
      <c r="A9514" t="s">
        <v>16498</v>
      </c>
      <c r="B9514" t="s">
        <v>7604</v>
      </c>
      <c r="C9514" t="s">
        <v>13</v>
      </c>
      <c r="D9514" t="s">
        <v>52</v>
      </c>
      <c r="E9514" t="s">
        <v>15</v>
      </c>
      <c r="F9514" s="2" t="str">
        <f>HYPERLINK("http://www.otzar.org/book.asp?61177","דרך חכמה")</f>
        <v>דרך חכמה</v>
      </c>
    </row>
    <row r="9515" spans="1:6" x14ac:dyDescent="0.2">
      <c r="A9515" t="s">
        <v>16504</v>
      </c>
      <c r="B9515" t="s">
        <v>16383</v>
      </c>
      <c r="C9515" t="s">
        <v>466</v>
      </c>
      <c r="D9515" t="s">
        <v>14</v>
      </c>
      <c r="E9515" t="s">
        <v>399</v>
      </c>
      <c r="F9515" s="2" t="str">
        <f>HYPERLINK("http://www.otzar.org/book.asp?83673","דרך חכמת האמת לרמח""ל")</f>
        <v>דרך חכמת האמת לרמח"ל</v>
      </c>
    </row>
    <row r="9516" spans="1:6" x14ac:dyDescent="0.2">
      <c r="A9516" t="s">
        <v>16505</v>
      </c>
      <c r="B9516" t="s">
        <v>16506</v>
      </c>
      <c r="C9516" t="s">
        <v>1124</v>
      </c>
      <c r="D9516" t="s">
        <v>267</v>
      </c>
      <c r="E9516" t="s">
        <v>140</v>
      </c>
      <c r="F9516" s="2" t="str">
        <f>HYPERLINK("http://www.otzar.org/book.asp?100115","דרך חסידים - 2 כר'")</f>
        <v>דרך חסידים - 2 כר'</v>
      </c>
    </row>
    <row r="9517" spans="1:6" x14ac:dyDescent="0.2">
      <c r="A9517" t="s">
        <v>16507</v>
      </c>
      <c r="B9517" t="s">
        <v>16508</v>
      </c>
      <c r="C9517" t="s">
        <v>395</v>
      </c>
      <c r="D9517" t="s">
        <v>2181</v>
      </c>
      <c r="E9517" t="s">
        <v>15</v>
      </c>
      <c r="F9517" s="2" t="str">
        <f>HYPERLINK("http://www.otzar.org/book.asp?17623","דרך חקיך")</f>
        <v>דרך חקיך</v>
      </c>
    </row>
    <row r="9518" spans="1:6" x14ac:dyDescent="0.2">
      <c r="A9518" t="s">
        <v>16507</v>
      </c>
      <c r="B9518" t="s">
        <v>16509</v>
      </c>
      <c r="C9518" t="s">
        <v>422</v>
      </c>
      <c r="D9518" t="s">
        <v>14</v>
      </c>
      <c r="E9518" t="s">
        <v>15</v>
      </c>
      <c r="F9518" s="2" t="str">
        <f>HYPERLINK("http://www.otzar.org/book.asp?157701","דרך חקיך")</f>
        <v>דרך חקיך</v>
      </c>
    </row>
    <row r="9519" spans="1:6" x14ac:dyDescent="0.2">
      <c r="A9519" t="s">
        <v>16510</v>
      </c>
      <c r="B9519" t="s">
        <v>206</v>
      </c>
      <c r="C9519" t="s">
        <v>20</v>
      </c>
      <c r="D9519" t="s">
        <v>90</v>
      </c>
      <c r="F9519" s="2" t="str">
        <f>HYPERLINK("http://www.otzar.org/book.asp?609566","דרך טהרה - נגעים")</f>
        <v>דרך טהרה - נגעים</v>
      </c>
    </row>
    <row r="9520" spans="1:6" x14ac:dyDescent="0.2">
      <c r="A9520" t="s">
        <v>16511</v>
      </c>
      <c r="B9520" t="s">
        <v>16512</v>
      </c>
      <c r="C9520" t="s">
        <v>1414</v>
      </c>
      <c r="D9520" t="s">
        <v>1538</v>
      </c>
      <c r="E9520" t="s">
        <v>241</v>
      </c>
      <c r="F9520" s="2" t="str">
        <f>HYPERLINK("http://www.otzar.org/book.asp?102266","דרך טוב")</f>
        <v>דרך טוב</v>
      </c>
    </row>
    <row r="9521" spans="1:6" x14ac:dyDescent="0.2">
      <c r="A9521" t="s">
        <v>16513</v>
      </c>
      <c r="B9521" t="s">
        <v>13274</v>
      </c>
      <c r="C9521" t="s">
        <v>1150</v>
      </c>
      <c r="D9521" t="s">
        <v>563</v>
      </c>
      <c r="F9521" s="2" t="str">
        <f>HYPERLINK("http://www.otzar.org/book.asp?613052","דרך טובים")</f>
        <v>דרך טובים</v>
      </c>
    </row>
    <row r="9522" spans="1:6" x14ac:dyDescent="0.2">
      <c r="A9522" t="s">
        <v>16513</v>
      </c>
      <c r="B9522" t="s">
        <v>16514</v>
      </c>
      <c r="C9522" t="s">
        <v>603</v>
      </c>
      <c r="D9522" t="s">
        <v>307</v>
      </c>
      <c r="E9522" t="s">
        <v>241</v>
      </c>
      <c r="F9522" s="2" t="str">
        <f>HYPERLINK("http://www.otzar.org/book.asp?5516","דרך טובים")</f>
        <v>דרך טובים</v>
      </c>
    </row>
    <row r="9523" spans="1:6" x14ac:dyDescent="0.2">
      <c r="A9523" t="s">
        <v>16515</v>
      </c>
      <c r="B9523" t="s">
        <v>16516</v>
      </c>
      <c r="C9523" t="s">
        <v>617</v>
      </c>
      <c r="D9523" t="s">
        <v>379</v>
      </c>
      <c r="E9523" t="s">
        <v>508</v>
      </c>
      <c r="F9523" s="2" t="str">
        <f>HYPERLINK("http://www.otzar.org/book.asp?17624","דרך יבחר")</f>
        <v>דרך יבחר</v>
      </c>
    </row>
    <row r="9524" spans="1:6" x14ac:dyDescent="0.2">
      <c r="A9524" t="s">
        <v>16517</v>
      </c>
      <c r="B9524" t="s">
        <v>16518</v>
      </c>
      <c r="C9524" t="s">
        <v>908</v>
      </c>
      <c r="D9524" t="s">
        <v>14182</v>
      </c>
      <c r="E9524" t="s">
        <v>975</v>
      </c>
      <c r="F9524" s="2" t="str">
        <f>HYPERLINK("http://www.otzar.org/book.asp?197601","דרך יהושע")</f>
        <v>דרך יהושע</v>
      </c>
    </row>
    <row r="9525" spans="1:6" x14ac:dyDescent="0.2">
      <c r="A9525" t="s">
        <v>16519</v>
      </c>
      <c r="B9525" t="s">
        <v>16520</v>
      </c>
      <c r="C9525" t="s">
        <v>71</v>
      </c>
      <c r="D9525" t="s">
        <v>3283</v>
      </c>
      <c r="E9525" t="s">
        <v>15</v>
      </c>
      <c r="F9525" s="2" t="str">
        <f>HYPERLINK("http://www.otzar.org/book.asp?50024","דרך ים")</f>
        <v>דרך ים</v>
      </c>
    </row>
    <row r="9526" spans="1:6" x14ac:dyDescent="0.2">
      <c r="A9526" t="s">
        <v>16521</v>
      </c>
      <c r="B9526" t="s">
        <v>16522</v>
      </c>
      <c r="C9526" t="s">
        <v>129</v>
      </c>
      <c r="D9526" t="s">
        <v>14</v>
      </c>
      <c r="E9526" t="s">
        <v>144</v>
      </c>
      <c r="F9526" s="2" t="str">
        <f>HYPERLINK("http://www.otzar.org/book.asp?84238","דרך ים - 15 כר'")</f>
        <v>דרך ים - 15 כר'</v>
      </c>
    </row>
    <row r="9527" spans="1:6" x14ac:dyDescent="0.2">
      <c r="A9527" t="s">
        <v>16519</v>
      </c>
      <c r="B9527" t="s">
        <v>16523</v>
      </c>
      <c r="C9527" t="s">
        <v>492</v>
      </c>
      <c r="D9527" t="s">
        <v>379</v>
      </c>
      <c r="E9527" t="s">
        <v>508</v>
      </c>
      <c r="F9527" s="2" t="str">
        <f>HYPERLINK("http://www.otzar.org/book.asp?104975","דרך ים")</f>
        <v>דרך ים</v>
      </c>
    </row>
    <row r="9528" spans="1:6" x14ac:dyDescent="0.2">
      <c r="A9528" t="s">
        <v>16524</v>
      </c>
      <c r="B9528" t="s">
        <v>16525</v>
      </c>
      <c r="C9528" t="s">
        <v>466</v>
      </c>
      <c r="D9528" t="s">
        <v>412</v>
      </c>
      <c r="E9528" t="s">
        <v>564</v>
      </c>
      <c r="F9528" s="2" t="str">
        <f>HYPERLINK("http://www.otzar.org/book.asp?180596","דרך ימה &lt;מהדורה חדשה&gt;")</f>
        <v>דרך ימה &lt;מהדורה חדשה&gt;</v>
      </c>
    </row>
    <row r="9529" spans="1:6" x14ac:dyDescent="0.2">
      <c r="A9529" t="s">
        <v>16526</v>
      </c>
      <c r="B9529" t="s">
        <v>16527</v>
      </c>
      <c r="C9529" t="s">
        <v>286</v>
      </c>
      <c r="D9529" t="s">
        <v>13171</v>
      </c>
      <c r="E9529" t="s">
        <v>467</v>
      </c>
      <c r="F9529" s="2" t="str">
        <f>HYPERLINK("http://www.otzar.org/book.asp?144628","דרך ימה, הבה תמים")</f>
        <v>דרך ימה, הבה תמים</v>
      </c>
    </row>
    <row r="9530" spans="1:6" x14ac:dyDescent="0.2">
      <c r="A9530" t="s">
        <v>16528</v>
      </c>
      <c r="B9530" t="s">
        <v>16529</v>
      </c>
      <c r="C9530" t="s">
        <v>68</v>
      </c>
      <c r="D9530" t="s">
        <v>14</v>
      </c>
      <c r="F9530" s="2" t="str">
        <f>HYPERLINK("http://www.otzar.org/book.asp?157610","דרך יעקב - תש""ע")</f>
        <v>דרך יעקב - תש"ע</v>
      </c>
    </row>
    <row r="9531" spans="1:6" x14ac:dyDescent="0.2">
      <c r="A9531" t="s">
        <v>16530</v>
      </c>
      <c r="B9531" t="s">
        <v>16531</v>
      </c>
      <c r="C9531" t="s">
        <v>16532</v>
      </c>
      <c r="D9531" t="s">
        <v>49</v>
      </c>
      <c r="E9531" t="s">
        <v>213</v>
      </c>
      <c r="F9531" s="2" t="str">
        <f>HYPERLINK("http://www.otzar.org/book.asp?146588","דרך ישר")</f>
        <v>דרך ישר</v>
      </c>
    </row>
    <row r="9532" spans="1:6" x14ac:dyDescent="0.2">
      <c r="A9532" t="s">
        <v>16530</v>
      </c>
      <c r="B9532" t="s">
        <v>4581</v>
      </c>
      <c r="C9532" t="s">
        <v>1844</v>
      </c>
      <c r="D9532" t="s">
        <v>212</v>
      </c>
      <c r="E9532" t="s">
        <v>674</v>
      </c>
      <c r="F9532" s="2" t="str">
        <f>HYPERLINK("http://www.otzar.org/book.asp?165157","דרך ישר")</f>
        <v>דרך ישר</v>
      </c>
    </row>
    <row r="9533" spans="1:6" x14ac:dyDescent="0.2">
      <c r="A9533" t="s">
        <v>16533</v>
      </c>
      <c r="B9533" t="s">
        <v>16534</v>
      </c>
      <c r="C9533" t="s">
        <v>989</v>
      </c>
      <c r="D9533" t="s">
        <v>14</v>
      </c>
      <c r="E9533" t="s">
        <v>104</v>
      </c>
      <c r="F9533" s="2" t="str">
        <f>HYPERLINK("http://www.otzar.org/book.asp?607610","דרך ישראל ברפואה")</f>
        <v>דרך ישראל ברפואה</v>
      </c>
    </row>
    <row r="9534" spans="1:6" x14ac:dyDescent="0.2">
      <c r="A9534" t="s">
        <v>16535</v>
      </c>
      <c r="B9534" t="s">
        <v>9506</v>
      </c>
      <c r="C9534" t="s">
        <v>411</v>
      </c>
      <c r="D9534" t="s">
        <v>52</v>
      </c>
      <c r="F9534" s="2" t="str">
        <f>HYPERLINK("http://www.otzar.org/book.asp?85857","דרך ישראל - 15 כר'")</f>
        <v>דרך ישראל - 15 כר'</v>
      </c>
    </row>
    <row r="9535" spans="1:6" x14ac:dyDescent="0.2">
      <c r="A9535" t="s">
        <v>16536</v>
      </c>
      <c r="B9535" t="s">
        <v>5762</v>
      </c>
      <c r="C9535" t="s">
        <v>1388</v>
      </c>
      <c r="D9535" t="s">
        <v>14</v>
      </c>
      <c r="E9535" t="s">
        <v>15</v>
      </c>
      <c r="F9535" s="2" t="str">
        <f>HYPERLINK("http://www.otzar.org/book.asp?108311","דרך ישרה")</f>
        <v>דרך ישרה</v>
      </c>
    </row>
    <row r="9536" spans="1:6" x14ac:dyDescent="0.2">
      <c r="A9536" t="s">
        <v>16537</v>
      </c>
      <c r="B9536" t="s">
        <v>16538</v>
      </c>
      <c r="C9536" t="s">
        <v>422</v>
      </c>
      <c r="D9536" t="s">
        <v>52</v>
      </c>
      <c r="E9536" t="s">
        <v>144</v>
      </c>
      <c r="F9536" s="2" t="str">
        <f>HYPERLINK("http://www.otzar.org/book.asp?168622","דרך ישרה - 28 כר'")</f>
        <v>דרך ישרה - 28 כר'</v>
      </c>
    </row>
    <row r="9537" spans="1:6" x14ac:dyDescent="0.2">
      <c r="A9537" t="s">
        <v>16536</v>
      </c>
      <c r="B9537" t="s">
        <v>16539</v>
      </c>
      <c r="C9537" t="s">
        <v>16540</v>
      </c>
      <c r="D9537" t="s">
        <v>2303</v>
      </c>
      <c r="E9537" t="s">
        <v>1438</v>
      </c>
      <c r="F9537" s="2" t="str">
        <f>HYPERLINK("http://www.otzar.org/book.asp?140978","דרך ישרה")</f>
        <v>דרך ישרה</v>
      </c>
    </row>
    <row r="9538" spans="1:6" x14ac:dyDescent="0.2">
      <c r="A9538" t="s">
        <v>16536</v>
      </c>
      <c r="B9538" t="s">
        <v>3382</v>
      </c>
      <c r="C9538" t="s">
        <v>37</v>
      </c>
      <c r="D9538" t="s">
        <v>52</v>
      </c>
      <c r="E9538" t="s">
        <v>246</v>
      </c>
      <c r="F9538" s="2" t="str">
        <f>HYPERLINK("http://www.otzar.org/book.asp?179689","דרך ישרה")</f>
        <v>דרך ישרה</v>
      </c>
    </row>
    <row r="9539" spans="1:6" x14ac:dyDescent="0.2">
      <c r="A9539" t="s">
        <v>16541</v>
      </c>
      <c r="B9539" t="s">
        <v>16542</v>
      </c>
      <c r="C9539" t="s">
        <v>1885</v>
      </c>
      <c r="D9539" t="s">
        <v>283</v>
      </c>
      <c r="E9539" t="s">
        <v>144</v>
      </c>
      <c r="F9539" s="2" t="str">
        <f>HYPERLINK("http://www.otzar.org/book.asp?189524","דרך ישרה - 2 כר'")</f>
        <v>דרך ישרה - 2 כר'</v>
      </c>
    </row>
    <row r="9540" spans="1:6" x14ac:dyDescent="0.2">
      <c r="A9540" t="s">
        <v>16543</v>
      </c>
      <c r="B9540" t="s">
        <v>16544</v>
      </c>
      <c r="C9540" t="s">
        <v>146</v>
      </c>
      <c r="D9540" t="s">
        <v>14</v>
      </c>
      <c r="E9540" t="s">
        <v>16545</v>
      </c>
      <c r="F9540" s="2" t="str">
        <f>HYPERLINK("http://www.otzar.org/book.asp?60315","דרך ישרה - 3 כר'")</f>
        <v>דרך ישרה - 3 כר'</v>
      </c>
    </row>
    <row r="9541" spans="1:6" x14ac:dyDescent="0.2">
      <c r="A9541" t="s">
        <v>16541</v>
      </c>
      <c r="B9541" t="s">
        <v>16546</v>
      </c>
      <c r="C9541" t="s">
        <v>1268</v>
      </c>
      <c r="D9541" t="s">
        <v>216</v>
      </c>
      <c r="E9541" t="s">
        <v>508</v>
      </c>
      <c r="F9541" s="2" t="str">
        <f>HYPERLINK("http://www.otzar.org/book.asp?158451","דרך ישרה - 2 כר'")</f>
        <v>דרך ישרה - 2 כר'</v>
      </c>
    </row>
    <row r="9542" spans="1:6" x14ac:dyDescent="0.2">
      <c r="A9542" t="s">
        <v>16536</v>
      </c>
      <c r="B9542" t="s">
        <v>16547</v>
      </c>
      <c r="C9542" t="s">
        <v>244</v>
      </c>
      <c r="D9542" t="s">
        <v>21</v>
      </c>
      <c r="F9542" s="2" t="str">
        <f>HYPERLINK("http://www.otzar.org/book.asp?610176","דרך ישרה")</f>
        <v>דרך ישרה</v>
      </c>
    </row>
    <row r="9543" spans="1:6" x14ac:dyDescent="0.2">
      <c r="A9543" t="s">
        <v>16541</v>
      </c>
      <c r="B9543" t="s">
        <v>16548</v>
      </c>
      <c r="C9543" t="s">
        <v>11298</v>
      </c>
      <c r="D9543" t="s">
        <v>212</v>
      </c>
      <c r="E9543" t="s">
        <v>314</v>
      </c>
      <c r="F9543" s="2" t="str">
        <f>HYPERLINK("http://www.otzar.org/book.asp?100114","דרך ישרה - 2 כר'")</f>
        <v>דרך ישרה - 2 כר'</v>
      </c>
    </row>
    <row r="9544" spans="1:6" x14ac:dyDescent="0.2">
      <c r="A9544" t="s">
        <v>16536</v>
      </c>
      <c r="B9544" t="s">
        <v>16549</v>
      </c>
      <c r="C9544" t="s">
        <v>16550</v>
      </c>
      <c r="D9544" t="s">
        <v>16551</v>
      </c>
      <c r="F9544" s="2" t="str">
        <f>HYPERLINK("http://www.otzar.org/book.asp?611730","דרך ישרה")</f>
        <v>דרך ישרה</v>
      </c>
    </row>
    <row r="9545" spans="1:6" x14ac:dyDescent="0.2">
      <c r="A9545" t="s">
        <v>16536</v>
      </c>
      <c r="B9545" t="s">
        <v>16552</v>
      </c>
      <c r="C9545" t="s">
        <v>26</v>
      </c>
      <c r="D9545" t="s">
        <v>16553</v>
      </c>
      <c r="E9545" t="s">
        <v>16554</v>
      </c>
      <c r="F9545" s="2" t="str">
        <f>HYPERLINK("http://www.otzar.org/book.asp?174608","דרך ישרה")</f>
        <v>דרך ישרה</v>
      </c>
    </row>
    <row r="9546" spans="1:6" x14ac:dyDescent="0.2">
      <c r="A9546" t="s">
        <v>16555</v>
      </c>
      <c r="B9546" t="s">
        <v>16556</v>
      </c>
      <c r="C9546" t="s">
        <v>146</v>
      </c>
      <c r="D9546" t="s">
        <v>14</v>
      </c>
      <c r="E9546" t="s">
        <v>219</v>
      </c>
      <c r="F9546" s="2" t="str">
        <f>HYPERLINK("http://www.otzar.org/book.asp?174184","דרך כוכב מיעקב")</f>
        <v>דרך כוכב מיעקב</v>
      </c>
    </row>
    <row r="9547" spans="1:6" x14ac:dyDescent="0.2">
      <c r="A9547" t="s">
        <v>16557</v>
      </c>
      <c r="B9547" t="s">
        <v>1750</v>
      </c>
      <c r="C9547" t="s">
        <v>1208</v>
      </c>
      <c r="D9547" t="s">
        <v>14</v>
      </c>
      <c r="E9547" t="s">
        <v>202</v>
      </c>
      <c r="F9547" s="2" t="str">
        <f>HYPERLINK("http://www.otzar.org/book.asp?28866","דרך כוכב מיעקב - 7 כר'")</f>
        <v>דרך כוכב מיעקב - 7 כר'</v>
      </c>
    </row>
    <row r="9548" spans="1:6" x14ac:dyDescent="0.2">
      <c r="A9548" t="s">
        <v>16558</v>
      </c>
      <c r="B9548" t="s">
        <v>16559</v>
      </c>
      <c r="C9548" t="s">
        <v>16560</v>
      </c>
      <c r="D9548" t="s">
        <v>16561</v>
      </c>
      <c r="E9548" t="s">
        <v>4779</v>
      </c>
      <c r="F9548" s="2" t="str">
        <f>HYPERLINK("http://www.otzar.org/book.asp?198674","דרך כוכב - זרע השלום - זרע יעקב")</f>
        <v>דרך כוכב - זרע השלום - זרע יעקב</v>
      </c>
    </row>
    <row r="9549" spans="1:6" x14ac:dyDescent="0.2">
      <c r="A9549" t="s">
        <v>16562</v>
      </c>
      <c r="B9549" t="s">
        <v>16563</v>
      </c>
      <c r="C9549" t="s">
        <v>176</v>
      </c>
      <c r="D9549" t="s">
        <v>52</v>
      </c>
      <c r="E9549" t="s">
        <v>202</v>
      </c>
      <c r="F9549" s="2" t="str">
        <f>HYPERLINK("http://www.otzar.org/book.asp?162024","דרך כוכב")</f>
        <v>דרך כוכב</v>
      </c>
    </row>
    <row r="9550" spans="1:6" x14ac:dyDescent="0.2">
      <c r="A9550" t="s">
        <v>16564</v>
      </c>
      <c r="B9550" t="s">
        <v>16565</v>
      </c>
      <c r="C9550" t="s">
        <v>114</v>
      </c>
      <c r="D9550" t="s">
        <v>52</v>
      </c>
      <c r="E9550" t="s">
        <v>148</v>
      </c>
      <c r="F9550" s="2" t="str">
        <f>HYPERLINK("http://www.otzar.org/book.asp?173043","דרך למלאכת הבורר")</f>
        <v>דרך למלאכת הבורר</v>
      </c>
    </row>
    <row r="9551" spans="1:6" x14ac:dyDescent="0.2">
      <c r="A9551" t="s">
        <v>16566</v>
      </c>
      <c r="B9551" t="s">
        <v>16565</v>
      </c>
      <c r="C9551" t="s">
        <v>422</v>
      </c>
      <c r="D9551" t="s">
        <v>52</v>
      </c>
      <c r="E9551" t="s">
        <v>15</v>
      </c>
      <c r="F9551" s="2" t="str">
        <f>HYPERLINK("http://www.otzar.org/book.asp?155098","דרך למלאכת הלש")</f>
        <v>דרך למלאכת הלש</v>
      </c>
    </row>
    <row r="9552" spans="1:6" x14ac:dyDescent="0.2">
      <c r="A9552" t="s">
        <v>16567</v>
      </c>
      <c r="B9552" t="s">
        <v>16568</v>
      </c>
      <c r="C9552" t="s">
        <v>2008</v>
      </c>
      <c r="D9552" t="s">
        <v>9</v>
      </c>
      <c r="E9552" t="s">
        <v>3387</v>
      </c>
      <c r="F9552" s="2" t="str">
        <f>HYPERLINK("http://www.otzar.org/book.asp?51190","דרך לתלמוד - 2 כר'")</f>
        <v>דרך לתלמוד - 2 כר'</v>
      </c>
    </row>
    <row r="9553" spans="1:6" x14ac:dyDescent="0.2">
      <c r="A9553" t="s">
        <v>16569</v>
      </c>
      <c r="B9553" t="s">
        <v>16570</v>
      </c>
      <c r="C9553" t="s">
        <v>411</v>
      </c>
      <c r="D9553" t="s">
        <v>14</v>
      </c>
      <c r="E9553" t="s">
        <v>399</v>
      </c>
      <c r="F9553" s="2" t="str">
        <f>HYPERLINK("http://www.otzar.org/book.asp?168544","דרך מבוא השמש")</f>
        <v>דרך מבוא השמש</v>
      </c>
    </row>
    <row r="9554" spans="1:6" x14ac:dyDescent="0.2">
      <c r="A9554" t="s">
        <v>16571</v>
      </c>
      <c r="B9554" t="s">
        <v>16572</v>
      </c>
      <c r="C9554" t="s">
        <v>454</v>
      </c>
      <c r="D9554" t="s">
        <v>14</v>
      </c>
      <c r="E9554" t="s">
        <v>144</v>
      </c>
      <c r="F9554" s="2" t="str">
        <f>HYPERLINK("http://www.otzar.org/book.asp?152734","דרך מיעקב - ע""ז")</f>
        <v>דרך מיעקב - ע"ז</v>
      </c>
    </row>
    <row r="9555" spans="1:6" x14ac:dyDescent="0.2">
      <c r="A9555" t="s">
        <v>16573</v>
      </c>
      <c r="B9555" t="s">
        <v>4909</v>
      </c>
      <c r="C9555" t="s">
        <v>2832</v>
      </c>
      <c r="D9555" t="s">
        <v>16574</v>
      </c>
      <c r="E9555" t="s">
        <v>219</v>
      </c>
      <c r="F9555" s="2" t="str">
        <f>HYPERLINK("http://www.otzar.org/book.asp?196335","דרך מצותיך")</f>
        <v>דרך מצותיך</v>
      </c>
    </row>
    <row r="9556" spans="1:6" x14ac:dyDescent="0.2">
      <c r="A9556" t="s">
        <v>16573</v>
      </c>
      <c r="B9556" t="s">
        <v>16575</v>
      </c>
      <c r="C9556" t="s">
        <v>114</v>
      </c>
      <c r="D9556" t="s">
        <v>21</v>
      </c>
      <c r="E9556" t="s">
        <v>674</v>
      </c>
      <c r="F9556" s="2" t="str">
        <f>HYPERLINK("http://www.otzar.org/book.asp?191037","דרך מצותיך")</f>
        <v>דרך מצותיך</v>
      </c>
    </row>
    <row r="9557" spans="1:6" x14ac:dyDescent="0.2">
      <c r="A9557" t="s">
        <v>16576</v>
      </c>
      <c r="B9557" t="s">
        <v>16577</v>
      </c>
      <c r="C9557" t="s">
        <v>151</v>
      </c>
      <c r="D9557" t="s">
        <v>152</v>
      </c>
      <c r="F9557" s="2" t="str">
        <f>HYPERLINK("http://www.otzar.org/book.asp?621231","דרך מצותיך - תדיר וקדימה במצוות")</f>
        <v>דרך מצותיך - תדיר וקדימה במצוות</v>
      </c>
    </row>
    <row r="9558" spans="1:6" x14ac:dyDescent="0.2">
      <c r="A9558" t="s">
        <v>16573</v>
      </c>
      <c r="B9558" t="s">
        <v>16578</v>
      </c>
      <c r="C9558" t="s">
        <v>600</v>
      </c>
      <c r="D9558" t="s">
        <v>283</v>
      </c>
      <c r="E9558" t="s">
        <v>104</v>
      </c>
      <c r="F9558" s="2" t="str">
        <f>HYPERLINK("http://www.otzar.org/book.asp?6444","דרך מצותיך")</f>
        <v>דרך מצותיך</v>
      </c>
    </row>
    <row r="9559" spans="1:6" x14ac:dyDescent="0.2">
      <c r="A9559" t="s">
        <v>16579</v>
      </c>
      <c r="B9559" t="s">
        <v>206</v>
      </c>
      <c r="C9559" t="s">
        <v>129</v>
      </c>
      <c r="D9559" t="s">
        <v>90</v>
      </c>
      <c r="E9559" t="s">
        <v>1211</v>
      </c>
      <c r="F9559" s="2" t="str">
        <f>HYPERLINK("http://www.otzar.org/book.asp?52925","דרך משפט")</f>
        <v>דרך משפט</v>
      </c>
    </row>
    <row r="9560" spans="1:6" x14ac:dyDescent="0.2">
      <c r="A9560" t="s">
        <v>16580</v>
      </c>
      <c r="B9560" t="s">
        <v>11560</v>
      </c>
      <c r="C9560" t="s">
        <v>20</v>
      </c>
      <c r="D9560" t="s">
        <v>52</v>
      </c>
      <c r="F9560" s="2" t="str">
        <f>HYPERLINK("http://www.otzar.org/book.asp?616478","דרך משפט - 3 כר'")</f>
        <v>דרך משפט - 3 כר'</v>
      </c>
    </row>
    <row r="9561" spans="1:6" x14ac:dyDescent="0.2">
      <c r="A9561" t="s">
        <v>16581</v>
      </c>
      <c r="B9561" t="s">
        <v>16582</v>
      </c>
      <c r="C9561" t="s">
        <v>189</v>
      </c>
      <c r="D9561" t="s">
        <v>16583</v>
      </c>
      <c r="E9561" t="s">
        <v>104</v>
      </c>
      <c r="F9561" s="2" t="str">
        <f>HYPERLINK("http://www.otzar.org/book.asp?157842","דרך נובהרדוק")</f>
        <v>דרך נובהרדוק</v>
      </c>
    </row>
    <row r="9562" spans="1:6" x14ac:dyDescent="0.2">
      <c r="A9562" t="s">
        <v>16584</v>
      </c>
      <c r="B9562" t="s">
        <v>16585</v>
      </c>
      <c r="C9562" t="s">
        <v>609</v>
      </c>
      <c r="D9562" t="s">
        <v>100</v>
      </c>
      <c r="E9562" t="s">
        <v>15</v>
      </c>
      <c r="F9562" s="2" t="str">
        <f>HYPERLINK("http://www.otzar.org/book.asp?28582","דרך נשר")</f>
        <v>דרך נשר</v>
      </c>
    </row>
    <row r="9563" spans="1:6" x14ac:dyDescent="0.2">
      <c r="A9563" t="s">
        <v>16586</v>
      </c>
      <c r="B9563" t="s">
        <v>16587</v>
      </c>
      <c r="C9563" t="s">
        <v>23</v>
      </c>
      <c r="D9563" t="s">
        <v>14</v>
      </c>
      <c r="E9563" t="s">
        <v>15</v>
      </c>
      <c r="F9563" s="2" t="str">
        <f>HYPERLINK("http://www.otzar.org/book.asp?602893","דרך נשר - 2 כר'")</f>
        <v>דרך נשר - 2 כר'</v>
      </c>
    </row>
    <row r="9564" spans="1:6" x14ac:dyDescent="0.2">
      <c r="A9564" t="s">
        <v>16584</v>
      </c>
      <c r="B9564" t="s">
        <v>13499</v>
      </c>
      <c r="C9564" t="s">
        <v>908</v>
      </c>
      <c r="D9564" t="s">
        <v>9896</v>
      </c>
      <c r="E9564" t="s">
        <v>15</v>
      </c>
      <c r="F9564" s="2" t="str">
        <f>HYPERLINK("http://www.otzar.org/book.asp?150013","דרך נשר")</f>
        <v>דרך נשר</v>
      </c>
    </row>
    <row r="9565" spans="1:6" x14ac:dyDescent="0.2">
      <c r="A9565" t="s">
        <v>16588</v>
      </c>
      <c r="B9565" t="s">
        <v>13035</v>
      </c>
      <c r="C9565" t="s">
        <v>854</v>
      </c>
      <c r="D9565" t="s">
        <v>16589</v>
      </c>
      <c r="E9565" t="s">
        <v>12089</v>
      </c>
      <c r="F9565" s="2" t="str">
        <f>HYPERLINK("http://www.otzar.org/book.asp?172751","דרך סלולה")</f>
        <v>דרך סלולה</v>
      </c>
    </row>
    <row r="9566" spans="1:6" x14ac:dyDescent="0.2">
      <c r="A9566" t="s">
        <v>16590</v>
      </c>
      <c r="B9566" t="s">
        <v>16591</v>
      </c>
      <c r="C9566" t="s">
        <v>20</v>
      </c>
      <c r="D9566" t="s">
        <v>14</v>
      </c>
      <c r="E9566" t="s">
        <v>158</v>
      </c>
      <c r="F9566" s="2" t="str">
        <f>HYPERLINK("http://www.otzar.org/book.asp?630868","דרך עדותיך")</f>
        <v>דרך עדותיך</v>
      </c>
    </row>
    <row r="9567" spans="1:6" x14ac:dyDescent="0.2">
      <c r="A9567" t="s">
        <v>16592</v>
      </c>
      <c r="B9567" t="s">
        <v>9208</v>
      </c>
      <c r="C9567" t="s">
        <v>244</v>
      </c>
      <c r="D9567" t="s">
        <v>52</v>
      </c>
      <c r="E9567" t="s">
        <v>241</v>
      </c>
      <c r="F9567" s="2" t="str">
        <f>HYPERLINK("http://www.otzar.org/book.asp?605374","דרך עליה - אגדה ומוסר")</f>
        <v>דרך עליה - אגדה ומוסר</v>
      </c>
    </row>
    <row r="9568" spans="1:6" x14ac:dyDescent="0.2">
      <c r="A9568" t="s">
        <v>16593</v>
      </c>
      <c r="B9568" t="s">
        <v>16594</v>
      </c>
      <c r="C9568" t="s">
        <v>17</v>
      </c>
      <c r="D9568" t="s">
        <v>1301</v>
      </c>
      <c r="E9568" t="s">
        <v>314</v>
      </c>
      <c r="F9568" s="2" t="str">
        <f>HYPERLINK("http://www.otzar.org/book.asp?83761","דרך עץ החיים &lt;ודברת בם&gt;")</f>
        <v>דרך עץ החיים &lt;ודברת בם&gt;</v>
      </c>
    </row>
    <row r="9569" spans="1:6" x14ac:dyDescent="0.2">
      <c r="A9569" t="s">
        <v>16595</v>
      </c>
      <c r="B9569" t="s">
        <v>16501</v>
      </c>
      <c r="C9569" t="s">
        <v>151</v>
      </c>
      <c r="D9569" t="s">
        <v>21</v>
      </c>
      <c r="F9569" s="2" t="str">
        <f>HYPERLINK("http://www.otzar.org/book.asp?621814","דרך עץ החיים והקדמת ללימוד החכמה ממהרח""ו")</f>
        <v>דרך עץ החיים והקדמת ללימוד החכמה ממהרח"ו</v>
      </c>
    </row>
    <row r="9570" spans="1:6" x14ac:dyDescent="0.2">
      <c r="A9570" t="s">
        <v>16596</v>
      </c>
      <c r="B9570" t="s">
        <v>16597</v>
      </c>
      <c r="C9570" t="s">
        <v>71</v>
      </c>
      <c r="D9570" t="s">
        <v>721</v>
      </c>
      <c r="E9570" t="s">
        <v>15</v>
      </c>
      <c r="F9570" s="2" t="str">
        <f>HYPERLINK("http://www.otzar.org/book.asp?174494","דרך עץ החיים")</f>
        <v>דרך עץ החיים</v>
      </c>
    </row>
    <row r="9571" spans="1:6" x14ac:dyDescent="0.2">
      <c r="A9571" t="s">
        <v>16596</v>
      </c>
      <c r="B9571" t="s">
        <v>16598</v>
      </c>
      <c r="C9571" t="s">
        <v>538</v>
      </c>
      <c r="D9571" t="s">
        <v>76</v>
      </c>
      <c r="E9571" t="s">
        <v>2840</v>
      </c>
      <c r="F9571" s="2" t="str">
        <f>HYPERLINK("http://www.otzar.org/book.asp?100849","דרך עץ החיים")</f>
        <v>דרך עץ החיים</v>
      </c>
    </row>
    <row r="9572" spans="1:6" x14ac:dyDescent="0.2">
      <c r="A9572" t="s">
        <v>16599</v>
      </c>
      <c r="B9572" t="s">
        <v>16600</v>
      </c>
      <c r="C9572" t="s">
        <v>133</v>
      </c>
      <c r="D9572" t="s">
        <v>90</v>
      </c>
      <c r="F9572" s="2" t="str">
        <f>HYPERLINK("http://www.otzar.org/book.asp?609263","דרך עץ החיים - עם פירוש")</f>
        <v>דרך עץ החיים - עם פירוש</v>
      </c>
    </row>
    <row r="9573" spans="1:6" x14ac:dyDescent="0.2">
      <c r="A9573" t="s">
        <v>16596</v>
      </c>
      <c r="B9573" t="s">
        <v>16501</v>
      </c>
      <c r="C9573" t="s">
        <v>99</v>
      </c>
      <c r="D9573" t="s">
        <v>16601</v>
      </c>
      <c r="F9573" s="2" t="str">
        <f>HYPERLINK("http://www.otzar.org/book.asp?615472","דרך עץ החיים")</f>
        <v>דרך עץ החיים</v>
      </c>
    </row>
    <row r="9574" spans="1:6" x14ac:dyDescent="0.2">
      <c r="A9574" t="s">
        <v>16602</v>
      </c>
      <c r="B9574" t="s">
        <v>16603</v>
      </c>
      <c r="C9574" t="s">
        <v>20</v>
      </c>
      <c r="D9574" t="s">
        <v>379</v>
      </c>
      <c r="E9574" t="s">
        <v>399</v>
      </c>
      <c r="F9574" s="2" t="str">
        <f>HYPERLINK("http://www.otzar.org/book.asp?196822","דרך פקודיך - הקדמה עם מ""מ והשוואות")</f>
        <v>דרך פקודיך - הקדמה עם מ"מ והשוואות</v>
      </c>
    </row>
    <row r="9575" spans="1:6" x14ac:dyDescent="0.2">
      <c r="A9575" t="s">
        <v>16604</v>
      </c>
      <c r="B9575" t="s">
        <v>1264</v>
      </c>
      <c r="C9575" t="s">
        <v>1954</v>
      </c>
      <c r="D9575" t="s">
        <v>27</v>
      </c>
      <c r="E9575" t="s">
        <v>16605</v>
      </c>
      <c r="F9575" s="2" t="str">
        <f>HYPERLINK("http://www.otzar.org/book.asp?11986","דרך פקודיך - 4 כר'")</f>
        <v>דרך פקודיך - 4 כר'</v>
      </c>
    </row>
    <row r="9576" spans="1:6" x14ac:dyDescent="0.2">
      <c r="A9576" t="s">
        <v>16606</v>
      </c>
      <c r="B9576" t="s">
        <v>686</v>
      </c>
      <c r="C9576" t="s">
        <v>129</v>
      </c>
      <c r="D9576" t="s">
        <v>52</v>
      </c>
      <c r="E9576" t="s">
        <v>84</v>
      </c>
      <c r="F9576" s="2" t="str">
        <f>HYPERLINK("http://www.otzar.org/book.asp?60739","דרך צדיקים")</f>
        <v>דרך צדיקים</v>
      </c>
    </row>
    <row r="9577" spans="1:6" x14ac:dyDescent="0.2">
      <c r="A9577" t="s">
        <v>16606</v>
      </c>
      <c r="B9577" t="s">
        <v>4945</v>
      </c>
      <c r="C9577" t="s">
        <v>558</v>
      </c>
      <c r="D9577" t="s">
        <v>225</v>
      </c>
      <c r="E9577" t="s">
        <v>140</v>
      </c>
      <c r="F9577" s="2" t="str">
        <f>HYPERLINK("http://www.otzar.org/book.asp?10553","דרך צדיקים")</f>
        <v>דרך צדיקים</v>
      </c>
    </row>
    <row r="9578" spans="1:6" x14ac:dyDescent="0.2">
      <c r="A9578" t="s">
        <v>16606</v>
      </c>
      <c r="B9578" t="s">
        <v>1565</v>
      </c>
      <c r="C9578" t="s">
        <v>16607</v>
      </c>
      <c r="D9578" t="s">
        <v>6214</v>
      </c>
      <c r="E9578" t="s">
        <v>213</v>
      </c>
      <c r="F9578" s="2" t="str">
        <f>HYPERLINK("http://www.otzar.org/book.asp?620386","דרך צדיקים")</f>
        <v>דרך צדיקים</v>
      </c>
    </row>
    <row r="9579" spans="1:6" x14ac:dyDescent="0.2">
      <c r="A9579" t="s">
        <v>16608</v>
      </c>
      <c r="B9579" t="s">
        <v>10487</v>
      </c>
      <c r="C9579" t="s">
        <v>129</v>
      </c>
      <c r="D9579" t="s">
        <v>90</v>
      </c>
      <c r="E9579" t="s">
        <v>684</v>
      </c>
      <c r="F9579" s="2" t="str">
        <f>HYPERLINK("http://www.otzar.org/book.asp?156409","דרך ציון")</f>
        <v>דרך ציון</v>
      </c>
    </row>
    <row r="9580" spans="1:6" x14ac:dyDescent="0.2">
      <c r="A9580" t="s">
        <v>16609</v>
      </c>
      <c r="B9580" t="s">
        <v>7629</v>
      </c>
      <c r="C9580" t="s">
        <v>133</v>
      </c>
      <c r="D9580" t="s">
        <v>14</v>
      </c>
      <c r="F9580" s="2" t="str">
        <f>HYPERLINK("http://www.otzar.org/book.asp?616133","דרך קדושים")</f>
        <v>דרך קדושים</v>
      </c>
    </row>
    <row r="9581" spans="1:6" x14ac:dyDescent="0.2">
      <c r="A9581" t="s">
        <v>16610</v>
      </c>
      <c r="B9581" t="s">
        <v>16611</v>
      </c>
      <c r="C9581" t="s">
        <v>2024</v>
      </c>
      <c r="D9581" t="s">
        <v>6042</v>
      </c>
      <c r="E9581" t="s">
        <v>104</v>
      </c>
      <c r="F9581" s="2" t="str">
        <f>HYPERLINK("http://www.otzar.org/book.asp?167610","דרך שיח")</f>
        <v>דרך שיח</v>
      </c>
    </row>
    <row r="9582" spans="1:6" x14ac:dyDescent="0.2">
      <c r="A9582" t="s">
        <v>16612</v>
      </c>
      <c r="B9582" t="s">
        <v>16613</v>
      </c>
      <c r="C9582" t="s">
        <v>103</v>
      </c>
      <c r="D9582" t="s">
        <v>52</v>
      </c>
      <c r="E9582" t="s">
        <v>1880</v>
      </c>
      <c r="F9582" s="2" t="str">
        <f>HYPERLINK("http://www.otzar.org/book.asp?28056","דרך שיחה - תשובות הגר""ח קנייבסקי שליט""א")</f>
        <v>דרך שיחה - תשובות הגר"ח קנייבסקי שליט"א</v>
      </c>
    </row>
    <row r="9583" spans="1:6" x14ac:dyDescent="0.2">
      <c r="A9583" t="s">
        <v>16614</v>
      </c>
      <c r="B9583" t="s">
        <v>15055</v>
      </c>
      <c r="C9583" t="s">
        <v>99</v>
      </c>
      <c r="D9583" t="s">
        <v>699</v>
      </c>
      <c r="E9583" t="s">
        <v>13324</v>
      </c>
      <c r="F9583" s="2" t="str">
        <f>HYPERLINK("http://www.otzar.org/book.asp?17626","דרך שלום")</f>
        <v>דרך שלום</v>
      </c>
    </row>
    <row r="9584" spans="1:6" x14ac:dyDescent="0.2">
      <c r="A9584" t="s">
        <v>16615</v>
      </c>
      <c r="B9584" t="s">
        <v>8856</v>
      </c>
      <c r="C9584" t="s">
        <v>37</v>
      </c>
      <c r="D9584" t="s">
        <v>13657</v>
      </c>
      <c r="E9584" t="s">
        <v>144</v>
      </c>
      <c r="F9584" s="2" t="str">
        <f>HYPERLINK("http://www.otzar.org/book.asp?605021","דרך שער העליון  - זבחים פרק י""ג וי""ד")</f>
        <v>דרך שער העליון  - זבחים פרק י"ג וי"ד</v>
      </c>
    </row>
    <row r="9585" spans="1:6" x14ac:dyDescent="0.2">
      <c r="A9585" t="s">
        <v>16616</v>
      </c>
      <c r="B9585" t="s">
        <v>16499</v>
      </c>
      <c r="C9585" t="s">
        <v>445</v>
      </c>
      <c r="D9585" t="s">
        <v>283</v>
      </c>
      <c r="E9585" t="s">
        <v>172</v>
      </c>
      <c r="F9585" s="2" t="str">
        <f>HYPERLINK("http://www.otzar.org/book.asp?152932","דרך תבונה")</f>
        <v>דרך תבונה</v>
      </c>
    </row>
    <row r="9586" spans="1:6" x14ac:dyDescent="0.2">
      <c r="A9586" t="s">
        <v>16617</v>
      </c>
      <c r="B9586" t="s">
        <v>16618</v>
      </c>
      <c r="C9586" t="s">
        <v>366</v>
      </c>
      <c r="D9586" t="s">
        <v>27</v>
      </c>
      <c r="F9586" s="2" t="str">
        <f>HYPERLINK("http://www.otzar.org/book.asp?619026","דרך תבונות &lt;מהדורה חדשה&gt;")</f>
        <v>דרך תבונות &lt;מהדורה חדשה&gt;</v>
      </c>
    </row>
    <row r="9587" spans="1:6" x14ac:dyDescent="0.2">
      <c r="A9587" t="s">
        <v>16619</v>
      </c>
      <c r="B9587" t="s">
        <v>1390</v>
      </c>
      <c r="C9587" t="s">
        <v>728</v>
      </c>
      <c r="D9587" t="s">
        <v>6238</v>
      </c>
      <c r="E9587" t="s">
        <v>144</v>
      </c>
      <c r="F9587" s="2" t="str">
        <f>HYPERLINK("http://www.otzar.org/book.asp?13355","דרך תבונות - 2 כר'")</f>
        <v>דרך תבונות - 2 כר'</v>
      </c>
    </row>
    <row r="9588" spans="1:6" x14ac:dyDescent="0.2">
      <c r="A9588" t="s">
        <v>16619</v>
      </c>
      <c r="B9588" t="s">
        <v>16501</v>
      </c>
      <c r="C9588" t="s">
        <v>12036</v>
      </c>
      <c r="D9588" t="s">
        <v>27</v>
      </c>
      <c r="F9588" s="2" t="str">
        <f>HYPERLINK("http://www.otzar.org/book.asp?170332","דרך תבונות - 2 כר'")</f>
        <v>דרך תבונות - 2 כר'</v>
      </c>
    </row>
    <row r="9589" spans="1:6" x14ac:dyDescent="0.2">
      <c r="A9589" t="s">
        <v>16620</v>
      </c>
      <c r="B9589" t="s">
        <v>16621</v>
      </c>
      <c r="C9589" t="s">
        <v>366</v>
      </c>
      <c r="D9589" t="s">
        <v>14</v>
      </c>
      <c r="F9589" s="2" t="str">
        <f>HYPERLINK("http://www.otzar.org/book.asp?613701","דרך תחומין")</f>
        <v>דרך תחומין</v>
      </c>
    </row>
    <row r="9590" spans="1:6" x14ac:dyDescent="0.2">
      <c r="A9590" t="s">
        <v>16622</v>
      </c>
      <c r="B9590" t="s">
        <v>16623</v>
      </c>
      <c r="C9590" t="s">
        <v>1437</v>
      </c>
      <c r="D9590" t="s">
        <v>4269</v>
      </c>
      <c r="E9590" t="s">
        <v>148</v>
      </c>
      <c r="F9590" s="2" t="str">
        <f>HYPERLINK("http://www.otzar.org/book.asp?8667","דרך תמים")</f>
        <v>דרך תמים</v>
      </c>
    </row>
    <row r="9591" spans="1:6" x14ac:dyDescent="0.2">
      <c r="A9591" t="s">
        <v>16624</v>
      </c>
      <c r="B9591" t="s">
        <v>16625</v>
      </c>
      <c r="C9591" t="s">
        <v>422</v>
      </c>
      <c r="D9591" t="s">
        <v>14</v>
      </c>
      <c r="E9591" t="s">
        <v>241</v>
      </c>
      <c r="F9591" s="2" t="str">
        <f>HYPERLINK("http://www.otzar.org/book.asp?155029","דרך תשובה")</f>
        <v>דרך תשובה</v>
      </c>
    </row>
    <row r="9592" spans="1:6" x14ac:dyDescent="0.2">
      <c r="A9592" t="s">
        <v>16626</v>
      </c>
      <c r="B9592" t="s">
        <v>16627</v>
      </c>
      <c r="C9592" t="s">
        <v>189</v>
      </c>
      <c r="D9592" t="s">
        <v>115</v>
      </c>
      <c r="E9592" t="s">
        <v>15</v>
      </c>
      <c r="F9592" s="2" t="str">
        <f>HYPERLINK("http://www.otzar.org/book.asp?157457","דרכה של אש")</f>
        <v>דרכה של אש</v>
      </c>
    </row>
    <row r="9593" spans="1:6" x14ac:dyDescent="0.2">
      <c r="A9593" t="s">
        <v>16628</v>
      </c>
      <c r="B9593" t="s">
        <v>206</v>
      </c>
      <c r="C9593" t="s">
        <v>13</v>
      </c>
      <c r="D9593" t="s">
        <v>90</v>
      </c>
      <c r="F9593" s="2" t="str">
        <f>HYPERLINK("http://www.otzar.org/book.asp?612155","דרכה של תורה - 3 כר'")</f>
        <v>דרכה של תורה - 3 כר'</v>
      </c>
    </row>
    <row r="9594" spans="1:6" x14ac:dyDescent="0.2">
      <c r="A9594" t="s">
        <v>16629</v>
      </c>
      <c r="B9594" t="s">
        <v>16630</v>
      </c>
      <c r="C9594" t="s">
        <v>2550</v>
      </c>
      <c r="D9594" t="s">
        <v>27</v>
      </c>
      <c r="E9594" t="s">
        <v>104</v>
      </c>
      <c r="F9594" s="2" t="str">
        <f>HYPERLINK("http://www.otzar.org/book.asp?14912","דרכה של תורה")</f>
        <v>דרכה של תורה</v>
      </c>
    </row>
    <row r="9595" spans="1:6" x14ac:dyDescent="0.2">
      <c r="A9595" t="s">
        <v>16629</v>
      </c>
      <c r="B9595" t="s">
        <v>16631</v>
      </c>
      <c r="C9595" t="s">
        <v>854</v>
      </c>
      <c r="D9595" t="s">
        <v>16632</v>
      </c>
      <c r="F9595" s="2" t="str">
        <f>HYPERLINK("http://www.otzar.org/book.asp?158372","דרכה של תורה")</f>
        <v>דרכה של תורה</v>
      </c>
    </row>
    <row r="9596" spans="1:6" x14ac:dyDescent="0.2">
      <c r="A9596" t="s">
        <v>16629</v>
      </c>
      <c r="B9596" t="s">
        <v>16633</v>
      </c>
      <c r="C9596" t="s">
        <v>8</v>
      </c>
      <c r="D9596" t="s">
        <v>27</v>
      </c>
      <c r="E9596" t="s">
        <v>104</v>
      </c>
      <c r="F9596" s="2" t="str">
        <f>HYPERLINK("http://www.otzar.org/book.asp?16000","דרכה של תורה")</f>
        <v>דרכה של תורה</v>
      </c>
    </row>
    <row r="9597" spans="1:6" x14ac:dyDescent="0.2">
      <c r="A9597" t="s">
        <v>16629</v>
      </c>
      <c r="B9597" t="s">
        <v>3243</v>
      </c>
      <c r="C9597" t="s">
        <v>3690</v>
      </c>
      <c r="D9597" t="s">
        <v>27</v>
      </c>
      <c r="E9597" t="s">
        <v>241</v>
      </c>
      <c r="F9597" s="2" t="str">
        <f>HYPERLINK("http://www.otzar.org/book.asp?64042","דרכה של תורה")</f>
        <v>דרכה של תורה</v>
      </c>
    </row>
    <row r="9598" spans="1:6" x14ac:dyDescent="0.2">
      <c r="A9598" t="s">
        <v>16629</v>
      </c>
      <c r="B9598" t="s">
        <v>16333</v>
      </c>
      <c r="C9598" t="s">
        <v>133</v>
      </c>
      <c r="D9598" t="s">
        <v>21</v>
      </c>
      <c r="E9598" t="s">
        <v>172</v>
      </c>
      <c r="F9598" s="2" t="str">
        <f>HYPERLINK("http://www.otzar.org/book.asp?601420","דרכה של תורה")</f>
        <v>דרכה של תורה</v>
      </c>
    </row>
    <row r="9599" spans="1:6" x14ac:dyDescent="0.2">
      <c r="A9599" t="s">
        <v>16629</v>
      </c>
      <c r="B9599" t="s">
        <v>4991</v>
      </c>
      <c r="C9599" t="s">
        <v>189</v>
      </c>
      <c r="D9599" t="s">
        <v>14</v>
      </c>
      <c r="F9599" s="2" t="str">
        <f>HYPERLINK("http://www.otzar.org/book.asp?169766","דרכה של תורה")</f>
        <v>דרכה של תורה</v>
      </c>
    </row>
    <row r="9600" spans="1:6" x14ac:dyDescent="0.2">
      <c r="A9600" t="s">
        <v>16629</v>
      </c>
      <c r="B9600" t="s">
        <v>489</v>
      </c>
      <c r="C9600" t="s">
        <v>20</v>
      </c>
      <c r="D9600" t="s">
        <v>52</v>
      </c>
      <c r="E9600" t="s">
        <v>202</v>
      </c>
      <c r="F9600" s="2" t="str">
        <f>HYPERLINK("http://www.otzar.org/book.asp?623682","דרכה של תורה")</f>
        <v>דרכה של תורה</v>
      </c>
    </row>
    <row r="9601" spans="1:6" x14ac:dyDescent="0.2">
      <c r="A9601" t="s">
        <v>16629</v>
      </c>
      <c r="B9601" t="s">
        <v>107</v>
      </c>
      <c r="C9601" t="s">
        <v>1268</v>
      </c>
      <c r="D9601" t="s">
        <v>14</v>
      </c>
      <c r="E9601" t="s">
        <v>241</v>
      </c>
      <c r="F9601" s="2" t="str">
        <f>HYPERLINK("http://www.otzar.org/book.asp?84018","דרכה של תורה")</f>
        <v>דרכה של תורה</v>
      </c>
    </row>
    <row r="9602" spans="1:6" x14ac:dyDescent="0.2">
      <c r="A9602" t="s">
        <v>16634</v>
      </c>
      <c r="B9602" t="s">
        <v>1286</v>
      </c>
      <c r="C9602" t="s">
        <v>23</v>
      </c>
      <c r="D9602" t="s">
        <v>412</v>
      </c>
      <c r="E9602" t="s">
        <v>84</v>
      </c>
      <c r="F9602" s="2" t="str">
        <f>HYPERLINK("http://www.otzar.org/book.asp?195051","דרכי אבות")</f>
        <v>דרכי אבות</v>
      </c>
    </row>
    <row r="9603" spans="1:6" x14ac:dyDescent="0.2">
      <c r="A9603" t="s">
        <v>16635</v>
      </c>
      <c r="B9603" t="s">
        <v>5394</v>
      </c>
      <c r="C9603" t="s">
        <v>68</v>
      </c>
      <c r="D9603" t="s">
        <v>14</v>
      </c>
      <c r="E9603" t="s">
        <v>84</v>
      </c>
      <c r="F9603" s="2" t="str">
        <f>HYPERLINK("http://www.otzar.org/book.asp?159741","דרכי אבות - 7 כר'")</f>
        <v>דרכי אבות - 7 כר'</v>
      </c>
    </row>
    <row r="9604" spans="1:6" x14ac:dyDescent="0.2">
      <c r="A9604" t="s">
        <v>16634</v>
      </c>
      <c r="B9604" t="s">
        <v>16636</v>
      </c>
      <c r="C9604" t="s">
        <v>13</v>
      </c>
      <c r="D9604" t="s">
        <v>90</v>
      </c>
      <c r="E9604" t="s">
        <v>84</v>
      </c>
      <c r="F9604" s="2" t="str">
        <f>HYPERLINK("http://www.otzar.org/book.asp?624867","דרכי אבות")</f>
        <v>דרכי אבות</v>
      </c>
    </row>
    <row r="9605" spans="1:6" x14ac:dyDescent="0.2">
      <c r="A9605" t="s">
        <v>16634</v>
      </c>
      <c r="B9605" t="s">
        <v>16637</v>
      </c>
      <c r="C9605" t="s">
        <v>114</v>
      </c>
      <c r="D9605" t="s">
        <v>52</v>
      </c>
      <c r="E9605" t="s">
        <v>158</v>
      </c>
      <c r="F9605" s="2" t="str">
        <f>HYPERLINK("http://www.otzar.org/book.asp?622412","דרכי אבות")</f>
        <v>דרכי אבות</v>
      </c>
    </row>
    <row r="9606" spans="1:6" x14ac:dyDescent="0.2">
      <c r="A9606" t="s">
        <v>16638</v>
      </c>
      <c r="B9606" t="s">
        <v>16639</v>
      </c>
      <c r="C9606" t="s">
        <v>160</v>
      </c>
      <c r="D9606" t="s">
        <v>14</v>
      </c>
      <c r="E9606" t="s">
        <v>144</v>
      </c>
      <c r="F9606" s="2" t="str">
        <f>HYPERLINK("http://www.otzar.org/book.asp?105344","דרכי אהרן - 6 כר'")</f>
        <v>דרכי אהרן - 6 כר'</v>
      </c>
    </row>
    <row r="9607" spans="1:6" x14ac:dyDescent="0.2">
      <c r="A9607" t="s">
        <v>16640</v>
      </c>
      <c r="B9607" t="s">
        <v>16641</v>
      </c>
      <c r="C9607" t="s">
        <v>466</v>
      </c>
      <c r="D9607" t="s">
        <v>14</v>
      </c>
      <c r="E9607" t="s">
        <v>144</v>
      </c>
      <c r="F9607" s="2" t="str">
        <f>HYPERLINK("http://www.otzar.org/book.asp?629127","דרכי אורה")</f>
        <v>דרכי אורה</v>
      </c>
    </row>
    <row r="9608" spans="1:6" x14ac:dyDescent="0.2">
      <c r="A9608" t="s">
        <v>16642</v>
      </c>
      <c r="B9608" t="s">
        <v>16643</v>
      </c>
      <c r="C9608" t="s">
        <v>1458</v>
      </c>
      <c r="D9608" t="s">
        <v>27</v>
      </c>
      <c r="E9608" t="s">
        <v>234</v>
      </c>
      <c r="F9608" s="2" t="str">
        <f>HYPERLINK("http://www.otzar.org/book.asp?24276","דרכי איש")</f>
        <v>דרכי איש</v>
      </c>
    </row>
    <row r="9609" spans="1:6" x14ac:dyDescent="0.2">
      <c r="A9609" t="s">
        <v>16642</v>
      </c>
      <c r="B9609" t="s">
        <v>16644</v>
      </c>
      <c r="C9609" t="s">
        <v>133</v>
      </c>
      <c r="D9609" t="s">
        <v>52</v>
      </c>
      <c r="F9609" s="2" t="str">
        <f>HYPERLINK("http://www.otzar.org/book.asp?603175","דרכי איש")</f>
        <v>דרכי איש</v>
      </c>
    </row>
    <row r="9610" spans="1:6" x14ac:dyDescent="0.2">
      <c r="A9610" t="s">
        <v>16645</v>
      </c>
      <c r="B9610" t="s">
        <v>16646</v>
      </c>
      <c r="C9610" t="s">
        <v>422</v>
      </c>
      <c r="D9610" t="s">
        <v>14</v>
      </c>
      <c r="E9610" t="s">
        <v>803</v>
      </c>
      <c r="F9610" s="2" t="str">
        <f>HYPERLINK("http://www.otzar.org/book.asp?157183","דרכי איש - 2 כר'")</f>
        <v>דרכי איש - 2 כר'</v>
      </c>
    </row>
    <row r="9611" spans="1:6" x14ac:dyDescent="0.2">
      <c r="A9611" t="s">
        <v>16647</v>
      </c>
      <c r="B9611" t="s">
        <v>16648</v>
      </c>
      <c r="C9611" t="s">
        <v>71</v>
      </c>
      <c r="D9611" t="s">
        <v>52</v>
      </c>
      <c r="E9611" t="s">
        <v>241</v>
      </c>
      <c r="F9611" s="2" t="str">
        <f>HYPERLINK("http://www.otzar.org/book.asp?156190","דרכי אליהו")</f>
        <v>דרכי אליהו</v>
      </c>
    </row>
    <row r="9612" spans="1:6" x14ac:dyDescent="0.2">
      <c r="A9612" t="s">
        <v>16649</v>
      </c>
      <c r="B9612" t="s">
        <v>16649</v>
      </c>
      <c r="C9612" t="s">
        <v>383</v>
      </c>
      <c r="D9612" t="s">
        <v>52</v>
      </c>
      <c r="E9612" t="s">
        <v>213</v>
      </c>
      <c r="F9612" s="2" t="str">
        <f>HYPERLINK("http://www.otzar.org/book.asp?144565","דרכי אמונה והשגחה")</f>
        <v>דרכי אמונה והשגחה</v>
      </c>
    </row>
    <row r="9613" spans="1:6" x14ac:dyDescent="0.2">
      <c r="A9613" t="s">
        <v>16650</v>
      </c>
      <c r="B9613" t="s">
        <v>16651</v>
      </c>
      <c r="C9613" t="s">
        <v>454</v>
      </c>
      <c r="D9613" t="s">
        <v>14</v>
      </c>
      <c r="E9613" t="s">
        <v>467</v>
      </c>
      <c r="F9613" s="2" t="str">
        <f>HYPERLINK("http://www.otzar.org/book.asp?52447","דרכי אמונה - 2 כר'")</f>
        <v>דרכי אמונה - 2 כר'</v>
      </c>
    </row>
    <row r="9614" spans="1:6" x14ac:dyDescent="0.2">
      <c r="A9614" t="s">
        <v>16652</v>
      </c>
      <c r="B9614" t="s">
        <v>5804</v>
      </c>
      <c r="C9614" t="s">
        <v>523</v>
      </c>
      <c r="D9614" t="s">
        <v>14</v>
      </c>
      <c r="E9614" t="s">
        <v>144</v>
      </c>
      <c r="F9614" s="2" t="str">
        <f>HYPERLINK("http://www.otzar.org/book.asp?25855","דרכי אמת - 2 כר'")</f>
        <v>דרכי אמת - 2 כר'</v>
      </c>
    </row>
    <row r="9615" spans="1:6" x14ac:dyDescent="0.2">
      <c r="A9615" t="s">
        <v>16653</v>
      </c>
      <c r="B9615" t="s">
        <v>8389</v>
      </c>
      <c r="C9615" t="s">
        <v>244</v>
      </c>
      <c r="D9615" t="s">
        <v>412</v>
      </c>
      <c r="E9615" t="s">
        <v>1517</v>
      </c>
      <c r="F9615" s="2" t="str">
        <f>HYPERLINK("http://www.otzar.org/book.asp?608129","דרכי ארץ הצבי")</f>
        <v>דרכי ארץ הצבי</v>
      </c>
    </row>
    <row r="9616" spans="1:6" x14ac:dyDescent="0.2">
      <c r="A9616" t="s">
        <v>16654</v>
      </c>
      <c r="B9616" t="s">
        <v>3292</v>
      </c>
      <c r="C9616" t="s">
        <v>649</v>
      </c>
      <c r="D9616" t="s">
        <v>3293</v>
      </c>
      <c r="E9616" t="s">
        <v>234</v>
      </c>
      <c r="F9616" s="2" t="str">
        <f>HYPERLINK("http://www.otzar.org/book.asp?51049","דרכי בקדש")</f>
        <v>דרכי בקדש</v>
      </c>
    </row>
    <row r="9617" spans="1:6" x14ac:dyDescent="0.2">
      <c r="A9617" t="s">
        <v>16655</v>
      </c>
      <c r="B9617" t="s">
        <v>12027</v>
      </c>
      <c r="C9617" t="s">
        <v>454</v>
      </c>
      <c r="D9617" t="s">
        <v>52</v>
      </c>
      <c r="E9617" t="s">
        <v>144</v>
      </c>
      <c r="F9617" s="2" t="str">
        <f>HYPERLINK("http://www.otzar.org/book.asp?608906","דרכי ברוך - 15 כר'")</f>
        <v>דרכי ברוך - 15 כר'</v>
      </c>
    </row>
    <row r="9618" spans="1:6" x14ac:dyDescent="0.2">
      <c r="A9618" t="s">
        <v>16656</v>
      </c>
      <c r="B9618" t="s">
        <v>12027</v>
      </c>
      <c r="C9618" t="s">
        <v>23</v>
      </c>
      <c r="D9618" t="s">
        <v>52</v>
      </c>
      <c r="E9618" t="s">
        <v>144</v>
      </c>
      <c r="F9618" s="2" t="str">
        <f>HYPERLINK("http://www.otzar.org/book.asp?193526","דרכי ברוך, צרופה אמרתך")</f>
        <v>דרכי ברוך, צרופה אמרתך</v>
      </c>
    </row>
    <row r="9619" spans="1:6" x14ac:dyDescent="0.2">
      <c r="A9619" t="s">
        <v>16657</v>
      </c>
      <c r="B9619" t="s">
        <v>1286</v>
      </c>
      <c r="C9619" t="s">
        <v>23</v>
      </c>
      <c r="D9619" t="s">
        <v>412</v>
      </c>
      <c r="E9619" t="s">
        <v>144</v>
      </c>
      <c r="F9619" s="2" t="str">
        <f>HYPERLINK("http://www.otzar.org/book.asp?194734","דרכי ברכות")</f>
        <v>דרכי ברכות</v>
      </c>
    </row>
    <row r="9620" spans="1:6" x14ac:dyDescent="0.2">
      <c r="A9620" t="s">
        <v>16658</v>
      </c>
      <c r="B9620" t="s">
        <v>16659</v>
      </c>
      <c r="C9620" t="s">
        <v>366</v>
      </c>
      <c r="D9620" t="s">
        <v>14</v>
      </c>
      <c r="F9620" s="2" t="str">
        <f>HYPERLINK("http://www.otzar.org/book.asp?608222","דרכי דוד - לזכרו של רבי מרדכי דוד לוין")</f>
        <v>דרכי דוד - לזכרו של רבי מרדכי דוד לוין</v>
      </c>
    </row>
    <row r="9621" spans="1:6" x14ac:dyDescent="0.2">
      <c r="A9621" t="s">
        <v>16660</v>
      </c>
      <c r="B9621" t="s">
        <v>16661</v>
      </c>
      <c r="C9621" t="s">
        <v>767</v>
      </c>
      <c r="D9621" t="s">
        <v>14</v>
      </c>
      <c r="E9621" t="s">
        <v>154</v>
      </c>
      <c r="F9621" s="2" t="str">
        <f>HYPERLINK("http://www.otzar.org/book.asp?177169","דרכי דוד")</f>
        <v>דרכי דוד</v>
      </c>
    </row>
    <row r="9622" spans="1:6" x14ac:dyDescent="0.2">
      <c r="A9622" t="s">
        <v>16662</v>
      </c>
      <c r="B9622" t="s">
        <v>16663</v>
      </c>
      <c r="C9622" t="s">
        <v>3840</v>
      </c>
      <c r="D9622" t="s">
        <v>27</v>
      </c>
      <c r="E9622" t="s">
        <v>144</v>
      </c>
      <c r="F9622" s="2" t="str">
        <f>HYPERLINK("http://www.otzar.org/book.asp?61390","דרכי דוד - 4 כר'")</f>
        <v>דרכי דוד - 4 כר'</v>
      </c>
    </row>
    <row r="9623" spans="1:6" x14ac:dyDescent="0.2">
      <c r="A9623" t="s">
        <v>16660</v>
      </c>
      <c r="B9623" t="s">
        <v>16664</v>
      </c>
      <c r="C9623" t="s">
        <v>146</v>
      </c>
      <c r="D9623" t="s">
        <v>90</v>
      </c>
      <c r="E9623" t="s">
        <v>158</v>
      </c>
      <c r="F9623" s="2" t="str">
        <f>HYPERLINK("http://www.otzar.org/book.asp?60425","דרכי דוד")</f>
        <v>דרכי דוד</v>
      </c>
    </row>
    <row r="9624" spans="1:6" x14ac:dyDescent="0.2">
      <c r="A9624" t="s">
        <v>16665</v>
      </c>
      <c r="B9624" t="s">
        <v>14421</v>
      </c>
      <c r="C9624" t="s">
        <v>16666</v>
      </c>
      <c r="D9624" t="s">
        <v>1023</v>
      </c>
      <c r="E9624" t="s">
        <v>158</v>
      </c>
      <c r="F9624" s="2" t="str">
        <f>HYPERLINK("http://www.otzar.org/book.asp?300107","דרכי דוד - 5 כר'")</f>
        <v>דרכי דוד - 5 כר'</v>
      </c>
    </row>
    <row r="9625" spans="1:6" x14ac:dyDescent="0.2">
      <c r="A9625" t="s">
        <v>16660</v>
      </c>
      <c r="B9625" t="s">
        <v>16667</v>
      </c>
      <c r="C9625" t="s">
        <v>411</v>
      </c>
      <c r="D9625" t="s">
        <v>21</v>
      </c>
      <c r="E9625" t="s">
        <v>202</v>
      </c>
      <c r="F9625" s="2" t="str">
        <f>HYPERLINK("http://www.otzar.org/book.asp?197709","דרכי דוד")</f>
        <v>דרכי דוד</v>
      </c>
    </row>
    <row r="9626" spans="1:6" x14ac:dyDescent="0.2">
      <c r="A9626" t="s">
        <v>16668</v>
      </c>
      <c r="B9626" t="s">
        <v>16669</v>
      </c>
      <c r="C9626" t="s">
        <v>419</v>
      </c>
      <c r="D9626" t="s">
        <v>14</v>
      </c>
      <c r="E9626" t="s">
        <v>144</v>
      </c>
      <c r="F9626" s="2" t="str">
        <f>HYPERLINK("http://www.otzar.org/book.asp?154124","דרכי דוד - 3 כר'")</f>
        <v>דרכי דוד - 3 כר'</v>
      </c>
    </row>
    <row r="9627" spans="1:6" x14ac:dyDescent="0.2">
      <c r="A9627" t="s">
        <v>16670</v>
      </c>
      <c r="B9627" t="s">
        <v>8609</v>
      </c>
      <c r="C9627" t="s">
        <v>23</v>
      </c>
      <c r="D9627" t="s">
        <v>14</v>
      </c>
      <c r="E9627" t="s">
        <v>104</v>
      </c>
      <c r="F9627" s="2" t="str">
        <f>HYPERLINK("http://www.otzar.org/book.asp?601324","דרכי דעת - 2 כר'")</f>
        <v>דרכי דעת - 2 כר'</v>
      </c>
    </row>
    <row r="9628" spans="1:6" x14ac:dyDescent="0.2">
      <c r="A9628" t="s">
        <v>16671</v>
      </c>
      <c r="B9628" t="s">
        <v>16672</v>
      </c>
      <c r="C9628" t="s">
        <v>802</v>
      </c>
      <c r="D9628" t="s">
        <v>10109</v>
      </c>
      <c r="E9628" t="s">
        <v>158</v>
      </c>
      <c r="F9628" s="2" t="str">
        <f>HYPERLINK("http://www.otzar.org/book.asp?17627","דרכי האמונה")</f>
        <v>דרכי האמונה</v>
      </c>
    </row>
    <row r="9629" spans="1:6" x14ac:dyDescent="0.2">
      <c r="A9629" t="s">
        <v>16673</v>
      </c>
      <c r="B9629" t="s">
        <v>16674</v>
      </c>
      <c r="C9629" t="s">
        <v>1388</v>
      </c>
      <c r="D9629" t="s">
        <v>52</v>
      </c>
      <c r="E9629" t="s">
        <v>4940</v>
      </c>
      <c r="F9629" s="2" t="str">
        <f>HYPERLINK("http://www.otzar.org/book.asp?159470","דרכי האריה")</f>
        <v>דרכי האריה</v>
      </c>
    </row>
    <row r="9630" spans="1:6" x14ac:dyDescent="0.2">
      <c r="A9630" t="s">
        <v>16675</v>
      </c>
      <c r="B9630" t="s">
        <v>16676</v>
      </c>
      <c r="E9630" t="s">
        <v>144</v>
      </c>
      <c r="F9630" s="2" t="str">
        <f>HYPERLINK("http://www.otzar.org/book.asp?13622","דרכי הגמרא - 4 כר'")</f>
        <v>דרכי הגמרא - 4 כר'</v>
      </c>
    </row>
    <row r="9631" spans="1:6" x14ac:dyDescent="0.2">
      <c r="A9631" t="s">
        <v>16677</v>
      </c>
      <c r="B9631" t="s">
        <v>16678</v>
      </c>
      <c r="C9631" t="s">
        <v>503</v>
      </c>
      <c r="D9631" t="s">
        <v>56</v>
      </c>
      <c r="E9631" t="s">
        <v>104</v>
      </c>
      <c r="F9631" s="2" t="str">
        <f>HYPERLINK("http://www.otzar.org/book.asp?100782","דרכי הוראה")</f>
        <v>דרכי הוראה</v>
      </c>
    </row>
    <row r="9632" spans="1:6" x14ac:dyDescent="0.2">
      <c r="A9632" t="s">
        <v>16677</v>
      </c>
      <c r="B9632" t="s">
        <v>1421</v>
      </c>
      <c r="C9632" t="s">
        <v>306</v>
      </c>
      <c r="D9632" t="s">
        <v>60</v>
      </c>
      <c r="F9632" s="2" t="str">
        <f>HYPERLINK("http://www.otzar.org/book.asp?62503","דרכי הוראה")</f>
        <v>דרכי הוראה</v>
      </c>
    </row>
    <row r="9633" spans="1:6" x14ac:dyDescent="0.2">
      <c r="A9633" t="s">
        <v>16679</v>
      </c>
      <c r="B9633" t="s">
        <v>1750</v>
      </c>
      <c r="C9633" t="s">
        <v>189</v>
      </c>
      <c r="D9633" t="s">
        <v>14</v>
      </c>
      <c r="E9633" t="s">
        <v>4163</v>
      </c>
      <c r="F9633" s="2" t="str">
        <f>HYPERLINK("http://www.otzar.org/book.asp?26749","דרכי הוראה - 15 כר'")</f>
        <v>דרכי הוראה - 15 כר'</v>
      </c>
    </row>
    <row r="9634" spans="1:6" x14ac:dyDescent="0.2">
      <c r="A9634" t="s">
        <v>16680</v>
      </c>
      <c r="B9634" t="s">
        <v>6302</v>
      </c>
      <c r="C9634" t="s">
        <v>146</v>
      </c>
      <c r="D9634" t="s">
        <v>52</v>
      </c>
      <c r="E9634" t="s">
        <v>104</v>
      </c>
      <c r="F9634" s="2" t="str">
        <f>HYPERLINK("http://www.otzar.org/book.asp?144318","דרכי החיים - 2 כר'")</f>
        <v>דרכי החיים - 2 כר'</v>
      </c>
    </row>
    <row r="9635" spans="1:6" x14ac:dyDescent="0.2">
      <c r="A9635" t="s">
        <v>16681</v>
      </c>
      <c r="B9635" t="s">
        <v>16682</v>
      </c>
      <c r="C9635" t="s">
        <v>576</v>
      </c>
      <c r="D9635" t="s">
        <v>691</v>
      </c>
      <c r="E9635" t="s">
        <v>10</v>
      </c>
      <c r="F9635" s="2" t="str">
        <f>HYPERLINK("http://www.otzar.org/book.asp?17628","דרכי החיים")</f>
        <v>דרכי החיים</v>
      </c>
    </row>
    <row r="9636" spans="1:6" x14ac:dyDescent="0.2">
      <c r="A9636" t="s">
        <v>16681</v>
      </c>
      <c r="B9636" t="s">
        <v>16683</v>
      </c>
      <c r="C9636" t="s">
        <v>503</v>
      </c>
      <c r="D9636" t="s">
        <v>225</v>
      </c>
      <c r="E9636" t="s">
        <v>16684</v>
      </c>
      <c r="F9636" s="2" t="str">
        <f>HYPERLINK("http://www.otzar.org/book.asp?8621","דרכי החיים")</f>
        <v>דרכי החיים</v>
      </c>
    </row>
    <row r="9637" spans="1:6" x14ac:dyDescent="0.2">
      <c r="A9637" t="s">
        <v>16685</v>
      </c>
      <c r="B9637" t="s">
        <v>16686</v>
      </c>
      <c r="C9637" t="s">
        <v>12351</v>
      </c>
      <c r="D9637" t="s">
        <v>76</v>
      </c>
      <c r="E9637" t="s">
        <v>234</v>
      </c>
      <c r="F9637" s="2" t="str">
        <f>HYPERLINK("http://www.otzar.org/book.asp?15767","דרכי הים")</f>
        <v>דרכי הים</v>
      </c>
    </row>
    <row r="9638" spans="1:6" x14ac:dyDescent="0.2">
      <c r="A9638" t="s">
        <v>16687</v>
      </c>
      <c r="B9638" t="s">
        <v>16688</v>
      </c>
      <c r="C9638" t="s">
        <v>129</v>
      </c>
      <c r="D9638" t="s">
        <v>52</v>
      </c>
      <c r="E9638" t="s">
        <v>144</v>
      </c>
      <c r="F9638" s="2" t="str">
        <f>HYPERLINK("http://www.otzar.org/book.asp?616185","דרכי הים - 2 כר'")</f>
        <v>דרכי הים - 2 כר'</v>
      </c>
    </row>
    <row r="9639" spans="1:6" x14ac:dyDescent="0.2">
      <c r="A9639" t="s">
        <v>16689</v>
      </c>
      <c r="B9639" t="s">
        <v>16690</v>
      </c>
      <c r="C9639" t="s">
        <v>445</v>
      </c>
      <c r="D9639" t="s">
        <v>1081</v>
      </c>
      <c r="E9639" t="s">
        <v>3567</v>
      </c>
      <c r="F9639" s="2" t="str">
        <f>HYPERLINK("http://www.otzar.org/book.asp?144624","דרכי הישר והטוב")</f>
        <v>דרכי הישר והטוב</v>
      </c>
    </row>
    <row r="9640" spans="1:6" x14ac:dyDescent="0.2">
      <c r="A9640" t="s">
        <v>16691</v>
      </c>
      <c r="B9640" t="s">
        <v>16692</v>
      </c>
      <c r="C9640" t="s">
        <v>20</v>
      </c>
      <c r="D9640" t="s">
        <v>14</v>
      </c>
      <c r="E9640" t="s">
        <v>15</v>
      </c>
      <c r="F9640" s="2" t="str">
        <f>HYPERLINK("http://www.otzar.org/book.asp?181787","דרכי הלכה - 2 כר'")</f>
        <v>דרכי הלכה - 2 כר'</v>
      </c>
    </row>
    <row r="9641" spans="1:6" x14ac:dyDescent="0.2">
      <c r="A9641" t="s">
        <v>16693</v>
      </c>
      <c r="B9641" t="s">
        <v>16694</v>
      </c>
      <c r="C9641" t="s">
        <v>383</v>
      </c>
      <c r="D9641" t="s">
        <v>14</v>
      </c>
      <c r="E9641" t="s">
        <v>933</v>
      </c>
      <c r="F9641" s="2" t="str">
        <f>HYPERLINK("http://www.otzar.org/book.asp?50915","דרכי הלכה - 12 כר'")</f>
        <v>דרכי הלכה - 12 כר'</v>
      </c>
    </row>
    <row r="9642" spans="1:6" x14ac:dyDescent="0.2">
      <c r="A9642" t="s">
        <v>16695</v>
      </c>
      <c r="B9642" t="s">
        <v>1286</v>
      </c>
      <c r="C9642" t="s">
        <v>23</v>
      </c>
      <c r="D9642" t="s">
        <v>412</v>
      </c>
      <c r="F9642" s="2" t="str">
        <f>HYPERLINK("http://www.otzar.org/book.asp?194735","דרכי המגילה")</f>
        <v>דרכי המגילה</v>
      </c>
    </row>
    <row r="9643" spans="1:6" x14ac:dyDescent="0.2">
      <c r="A9643" t="s">
        <v>16696</v>
      </c>
      <c r="B9643" t="s">
        <v>16697</v>
      </c>
      <c r="C9643" t="s">
        <v>23</v>
      </c>
      <c r="D9643" t="s">
        <v>152</v>
      </c>
      <c r="E9643" t="s">
        <v>158</v>
      </c>
      <c r="F9643" s="2" t="str">
        <f>HYPERLINK("http://www.otzar.org/book.asp?198477","דרכי המלוכה")</f>
        <v>דרכי המלוכה</v>
      </c>
    </row>
    <row r="9644" spans="1:6" x14ac:dyDescent="0.2">
      <c r="A9644" t="s">
        <v>16698</v>
      </c>
      <c r="B9644" t="s">
        <v>16699</v>
      </c>
      <c r="C9644" t="s">
        <v>482</v>
      </c>
      <c r="D9644" t="s">
        <v>9</v>
      </c>
      <c r="E9644" t="s">
        <v>158</v>
      </c>
      <c r="F9644" s="2" t="str">
        <f>HYPERLINK("http://www.otzar.org/book.asp?83962","דרכי המליצה בספר תהלים")</f>
        <v>דרכי המליצה בספר תהלים</v>
      </c>
    </row>
    <row r="9645" spans="1:6" x14ac:dyDescent="0.2">
      <c r="A9645" t="s">
        <v>16700</v>
      </c>
      <c r="B9645" t="s">
        <v>16701</v>
      </c>
      <c r="C9645" t="s">
        <v>103</v>
      </c>
      <c r="D9645" t="s">
        <v>52</v>
      </c>
      <c r="E9645" t="s">
        <v>148</v>
      </c>
      <c r="F9645" s="2" t="str">
        <f>HYPERLINK("http://www.otzar.org/book.asp?161240","דרכי המשפט")</f>
        <v>דרכי המשפט</v>
      </c>
    </row>
    <row r="9646" spans="1:6" x14ac:dyDescent="0.2">
      <c r="A9646" t="s">
        <v>16702</v>
      </c>
      <c r="B9646" t="s">
        <v>16703</v>
      </c>
      <c r="C9646" t="s">
        <v>4705</v>
      </c>
      <c r="D9646" t="s">
        <v>1023</v>
      </c>
      <c r="E9646" t="s">
        <v>104</v>
      </c>
      <c r="F9646" s="2" t="str">
        <f>HYPERLINK("http://www.otzar.org/book.asp?150010","דרכי הנסיגה")</f>
        <v>דרכי הנסיגה</v>
      </c>
    </row>
    <row r="9647" spans="1:6" x14ac:dyDescent="0.2">
      <c r="A9647" t="s">
        <v>16704</v>
      </c>
      <c r="B9647" t="s">
        <v>16705</v>
      </c>
      <c r="C9647" t="s">
        <v>5308</v>
      </c>
      <c r="D9647" t="s">
        <v>56</v>
      </c>
      <c r="E9647" t="s">
        <v>104</v>
      </c>
      <c r="F9647" s="2" t="str">
        <f>HYPERLINK("http://www.otzar.org/book.asp?100463","דרכי הנקוד והנגינות - 2 כר'")</f>
        <v>דרכי הנקוד והנגינות - 2 כר'</v>
      </c>
    </row>
    <row r="9648" spans="1:6" x14ac:dyDescent="0.2">
      <c r="A9648" t="s">
        <v>16706</v>
      </c>
      <c r="B9648" t="s">
        <v>16707</v>
      </c>
      <c r="C9648" t="s">
        <v>17</v>
      </c>
      <c r="D9648" t="s">
        <v>52</v>
      </c>
      <c r="E9648" t="s">
        <v>241</v>
      </c>
      <c r="F9648" s="2" t="str">
        <f>HYPERLINK("http://www.otzar.org/book.asp?168733","דרכי העבודה - 3 כר'")</f>
        <v>דרכי העבודה - 3 כר'</v>
      </c>
    </row>
    <row r="9649" spans="1:6" x14ac:dyDescent="0.2">
      <c r="A9649" t="s">
        <v>16708</v>
      </c>
      <c r="B9649" t="s">
        <v>16709</v>
      </c>
      <c r="C9649" t="s">
        <v>940</v>
      </c>
      <c r="D9649" t="s">
        <v>52</v>
      </c>
      <c r="E9649" t="s">
        <v>1211</v>
      </c>
      <c r="F9649" s="2" t="str">
        <f>HYPERLINK("http://www.otzar.org/book.asp?142920","דרכי העיון")</f>
        <v>דרכי העיון</v>
      </c>
    </row>
    <row r="9650" spans="1:6" x14ac:dyDescent="0.2">
      <c r="A9650" t="s">
        <v>16708</v>
      </c>
      <c r="B9650" t="s">
        <v>7191</v>
      </c>
      <c r="C9650" t="s">
        <v>411</v>
      </c>
      <c r="D9650" t="s">
        <v>14</v>
      </c>
      <c r="F9650" s="2" t="str">
        <f>HYPERLINK("http://www.otzar.org/book.asp?194744","דרכי העיון")</f>
        <v>דרכי העיון</v>
      </c>
    </row>
    <row r="9651" spans="1:6" x14ac:dyDescent="0.2">
      <c r="A9651" t="s">
        <v>16710</v>
      </c>
      <c r="B9651" t="s">
        <v>11254</v>
      </c>
      <c r="C9651" t="s">
        <v>13</v>
      </c>
      <c r="D9651" t="s">
        <v>5798</v>
      </c>
      <c r="E9651" t="s">
        <v>674</v>
      </c>
      <c r="F9651" s="2" t="str">
        <f>HYPERLINK("http://www.otzar.org/book.asp?199194","דרכי הפסק")</f>
        <v>דרכי הפסק</v>
      </c>
    </row>
    <row r="9652" spans="1:6" x14ac:dyDescent="0.2">
      <c r="A9652" t="s">
        <v>16711</v>
      </c>
      <c r="B9652" t="s">
        <v>5078</v>
      </c>
      <c r="C9652" t="s">
        <v>114</v>
      </c>
      <c r="D9652" t="s">
        <v>52</v>
      </c>
      <c r="E9652" t="s">
        <v>241</v>
      </c>
      <c r="F9652" s="2" t="str">
        <f>HYPERLINK("http://www.otzar.org/book.asp?605104","דרכי הקב""ה")</f>
        <v>דרכי הקב"ה</v>
      </c>
    </row>
    <row r="9653" spans="1:6" x14ac:dyDescent="0.2">
      <c r="A9653" t="s">
        <v>16712</v>
      </c>
      <c r="B9653" t="s">
        <v>16713</v>
      </c>
      <c r="C9653" t="s">
        <v>189</v>
      </c>
      <c r="D9653" t="s">
        <v>14</v>
      </c>
      <c r="E9653" t="s">
        <v>803</v>
      </c>
      <c r="F9653" s="2" t="str">
        <f>HYPERLINK("http://www.otzar.org/book.asp?616760","דרכי הקנינים")</f>
        <v>דרכי הקנינים</v>
      </c>
    </row>
    <row r="9654" spans="1:6" x14ac:dyDescent="0.2">
      <c r="A9654" t="s">
        <v>16714</v>
      </c>
      <c r="B9654" t="s">
        <v>16715</v>
      </c>
      <c r="C9654" t="s">
        <v>133</v>
      </c>
      <c r="D9654" t="s">
        <v>52</v>
      </c>
      <c r="F9654" s="2" t="str">
        <f>HYPERLINK("http://www.otzar.org/book.asp?613803","דרכי הריבית")</f>
        <v>דרכי הריבית</v>
      </c>
    </row>
    <row r="9655" spans="1:6" x14ac:dyDescent="0.2">
      <c r="A9655" t="s">
        <v>16716</v>
      </c>
      <c r="B9655" t="s">
        <v>6297</v>
      </c>
      <c r="C9655" t="s">
        <v>600</v>
      </c>
      <c r="D9655" t="s">
        <v>1279</v>
      </c>
      <c r="E9655" t="s">
        <v>1211</v>
      </c>
      <c r="F9655" s="2" t="str">
        <f>HYPERLINK("http://www.otzar.org/book.asp?17630","דרכי השינויים")</f>
        <v>דרכי השינויים</v>
      </c>
    </row>
    <row r="9656" spans="1:6" x14ac:dyDescent="0.2">
      <c r="A9656" t="s">
        <v>16717</v>
      </c>
      <c r="B9656" t="s">
        <v>16713</v>
      </c>
      <c r="C9656" t="s">
        <v>37</v>
      </c>
      <c r="D9656" t="s">
        <v>14</v>
      </c>
      <c r="E9656" t="s">
        <v>803</v>
      </c>
      <c r="F9656" s="2" t="str">
        <f>HYPERLINK("http://www.otzar.org/book.asp?616759","דרכי השכירות")</f>
        <v>דרכי השכירות</v>
      </c>
    </row>
    <row r="9657" spans="1:6" x14ac:dyDescent="0.2">
      <c r="A9657" t="s">
        <v>16718</v>
      </c>
      <c r="B9657" t="s">
        <v>16719</v>
      </c>
      <c r="C9657" t="s">
        <v>23</v>
      </c>
      <c r="D9657" t="s">
        <v>14</v>
      </c>
      <c r="E9657" t="s">
        <v>463</v>
      </c>
      <c r="F9657" s="2" t="str">
        <f>HYPERLINK("http://www.otzar.org/book.asp?197532","דרכי השלימות")</f>
        <v>דרכי השלימות</v>
      </c>
    </row>
    <row r="9658" spans="1:6" x14ac:dyDescent="0.2">
      <c r="A9658" t="s">
        <v>16720</v>
      </c>
      <c r="B9658" t="s">
        <v>16676</v>
      </c>
      <c r="C9658" t="s">
        <v>1268</v>
      </c>
      <c r="D9658" t="s">
        <v>14</v>
      </c>
      <c r="E9658" t="s">
        <v>144</v>
      </c>
      <c r="F9658" s="2" t="str">
        <f>HYPERLINK("http://www.otzar.org/book.asp?155883","דרכי התלמוד")</f>
        <v>דרכי התלמוד</v>
      </c>
    </row>
    <row r="9659" spans="1:6" x14ac:dyDescent="0.2">
      <c r="A9659" t="s">
        <v>16721</v>
      </c>
      <c r="B9659" t="s">
        <v>16722</v>
      </c>
      <c r="C9659" t="s">
        <v>111</v>
      </c>
      <c r="D9659" t="s">
        <v>14</v>
      </c>
      <c r="E9659" t="s">
        <v>213</v>
      </c>
      <c r="F9659" s="2" t="str">
        <f>HYPERLINK("http://www.otzar.org/book.asp?630779","דרכי התלמוד, תרגילנו בתורתך")</f>
        <v>דרכי התלמוד, תרגילנו בתורתך</v>
      </c>
    </row>
    <row r="9660" spans="1:6" x14ac:dyDescent="0.2">
      <c r="A9660" t="s">
        <v>16723</v>
      </c>
      <c r="B9660" t="s">
        <v>11722</v>
      </c>
      <c r="C9660" t="s">
        <v>37</v>
      </c>
      <c r="D9660" t="s">
        <v>14</v>
      </c>
      <c r="E9660" t="s">
        <v>714</v>
      </c>
      <c r="F9660" s="2" t="str">
        <f>HYPERLINK("http://www.otzar.org/book.asp?198345","דרכי התשובה")</f>
        <v>דרכי התשובה</v>
      </c>
    </row>
    <row r="9661" spans="1:6" x14ac:dyDescent="0.2">
      <c r="A9661" t="s">
        <v>16724</v>
      </c>
      <c r="B9661" t="s">
        <v>16724</v>
      </c>
      <c r="C9661" t="s">
        <v>20</v>
      </c>
      <c r="D9661" t="s">
        <v>14</v>
      </c>
      <c r="E9661" t="s">
        <v>16725</v>
      </c>
      <c r="F9661" s="2" t="str">
        <f>HYPERLINK("http://www.otzar.org/book.asp?16539","דרכי וכללי הגמרא")</f>
        <v>דרכי וכללי הגמרא</v>
      </c>
    </row>
    <row r="9662" spans="1:6" x14ac:dyDescent="0.2">
      <c r="A9662" t="s">
        <v>16726</v>
      </c>
      <c r="B9662" t="s">
        <v>16727</v>
      </c>
      <c r="C9662" t="s">
        <v>189</v>
      </c>
      <c r="D9662" t="s">
        <v>412</v>
      </c>
      <c r="E9662" t="s">
        <v>5438</v>
      </c>
      <c r="F9662" s="2" t="str">
        <f>HYPERLINK("http://www.otzar.org/book.asp?141980","דרכי זקנים")</f>
        <v>דרכי זקנים</v>
      </c>
    </row>
    <row r="9663" spans="1:6" x14ac:dyDescent="0.2">
      <c r="A9663" t="s">
        <v>16728</v>
      </c>
      <c r="B9663" t="s">
        <v>16729</v>
      </c>
      <c r="C9663" t="s">
        <v>51</v>
      </c>
      <c r="D9663" t="s">
        <v>52</v>
      </c>
      <c r="E9663" t="s">
        <v>15</v>
      </c>
      <c r="F9663" s="2" t="str">
        <f>HYPERLINK("http://www.otzar.org/book.asp?28120","דרכי חושן - 6 כר'")</f>
        <v>דרכי חושן - 6 כר'</v>
      </c>
    </row>
    <row r="9664" spans="1:6" x14ac:dyDescent="0.2">
      <c r="A9664" t="s">
        <v>16730</v>
      </c>
      <c r="B9664" t="s">
        <v>16731</v>
      </c>
      <c r="C9664" t="s">
        <v>1609</v>
      </c>
      <c r="D9664" t="s">
        <v>9</v>
      </c>
      <c r="E9664" t="s">
        <v>3915</v>
      </c>
      <c r="F9664" s="2" t="str">
        <f>HYPERLINK("http://www.otzar.org/book.asp?129","דרכי חיים ושלום - 2 כר'")</f>
        <v>דרכי חיים ושלום - 2 כר'</v>
      </c>
    </row>
    <row r="9665" spans="1:6" x14ac:dyDescent="0.2">
      <c r="A9665" t="s">
        <v>16732</v>
      </c>
      <c r="B9665" t="s">
        <v>16733</v>
      </c>
      <c r="C9665" t="s">
        <v>2550</v>
      </c>
      <c r="D9665" t="s">
        <v>974</v>
      </c>
      <c r="E9665" t="s">
        <v>144</v>
      </c>
      <c r="F9665" s="2" t="str">
        <f>HYPERLINK("http://www.otzar.org/book.asp?9367","דרכי חיים - 6 כר'")</f>
        <v>דרכי חיים - 6 כר'</v>
      </c>
    </row>
    <row r="9666" spans="1:6" x14ac:dyDescent="0.2">
      <c r="A9666" t="s">
        <v>16734</v>
      </c>
      <c r="B9666" t="s">
        <v>6033</v>
      </c>
      <c r="C9666" t="s">
        <v>956</v>
      </c>
      <c r="D9666" t="s">
        <v>14</v>
      </c>
      <c r="E9666" t="s">
        <v>957</v>
      </c>
      <c r="F9666" s="2" t="str">
        <f>HYPERLINK("http://www.otzar.org/book.asp?102969","דרכי חיים")</f>
        <v>דרכי חיים</v>
      </c>
    </row>
    <row r="9667" spans="1:6" x14ac:dyDescent="0.2">
      <c r="A9667" t="s">
        <v>16734</v>
      </c>
      <c r="B9667" t="s">
        <v>12440</v>
      </c>
      <c r="C9667" t="s">
        <v>896</v>
      </c>
      <c r="D9667" t="s">
        <v>726</v>
      </c>
      <c r="E9667" t="s">
        <v>241</v>
      </c>
      <c r="F9667" s="2" t="str">
        <f>HYPERLINK("http://www.otzar.org/book.asp?7464","דרכי חיים")</f>
        <v>דרכי חיים</v>
      </c>
    </row>
    <row r="9668" spans="1:6" x14ac:dyDescent="0.2">
      <c r="A9668" t="s">
        <v>16734</v>
      </c>
      <c r="B9668" t="s">
        <v>16735</v>
      </c>
      <c r="C9668" t="s">
        <v>649</v>
      </c>
      <c r="D9668" t="s">
        <v>27</v>
      </c>
      <c r="E9668" t="s">
        <v>91</v>
      </c>
      <c r="F9668" s="2" t="str">
        <f>HYPERLINK("http://www.otzar.org/book.asp?19172","דרכי חיים")</f>
        <v>דרכי חיים</v>
      </c>
    </row>
    <row r="9669" spans="1:6" x14ac:dyDescent="0.2">
      <c r="A9669" t="s">
        <v>16734</v>
      </c>
      <c r="B9669" t="s">
        <v>16736</v>
      </c>
      <c r="C9669" t="s">
        <v>1535</v>
      </c>
      <c r="D9669" t="s">
        <v>225</v>
      </c>
      <c r="E9669" t="s">
        <v>12089</v>
      </c>
      <c r="F9669" s="2" t="str">
        <f>HYPERLINK("http://www.otzar.org/book.asp?153758","דרכי חיים")</f>
        <v>דרכי חיים</v>
      </c>
    </row>
    <row r="9670" spans="1:6" x14ac:dyDescent="0.2">
      <c r="A9670" t="s">
        <v>16734</v>
      </c>
      <c r="B9670" t="s">
        <v>15464</v>
      </c>
      <c r="C9670" t="s">
        <v>462</v>
      </c>
      <c r="D9670" t="s">
        <v>283</v>
      </c>
      <c r="E9670" t="s">
        <v>3261</v>
      </c>
      <c r="F9670" s="2" t="str">
        <f>HYPERLINK("http://www.otzar.org/book.asp?13604","דרכי חיים")</f>
        <v>דרכי חיים</v>
      </c>
    </row>
    <row r="9671" spans="1:6" x14ac:dyDescent="0.2">
      <c r="A9671" t="s">
        <v>16734</v>
      </c>
      <c r="B9671" t="s">
        <v>16737</v>
      </c>
      <c r="C9671" t="s">
        <v>79</v>
      </c>
      <c r="D9671" t="s">
        <v>9</v>
      </c>
      <c r="E9671" t="s">
        <v>241</v>
      </c>
      <c r="F9671" s="2" t="str">
        <f>HYPERLINK("http://www.otzar.org/book.asp?168157","דרכי חיים")</f>
        <v>דרכי חיים</v>
      </c>
    </row>
    <row r="9672" spans="1:6" x14ac:dyDescent="0.2">
      <c r="A9672" t="s">
        <v>16734</v>
      </c>
      <c r="B9672" t="s">
        <v>16688</v>
      </c>
      <c r="C9672" t="s">
        <v>129</v>
      </c>
      <c r="D9672" t="s">
        <v>52</v>
      </c>
      <c r="E9672" t="s">
        <v>674</v>
      </c>
      <c r="F9672" s="2" t="str">
        <f>HYPERLINK("http://www.otzar.org/book.asp?60503","דרכי חיים")</f>
        <v>דרכי חיים</v>
      </c>
    </row>
    <row r="9673" spans="1:6" x14ac:dyDescent="0.2">
      <c r="A9673" t="s">
        <v>16734</v>
      </c>
      <c r="B9673" t="s">
        <v>16738</v>
      </c>
      <c r="C9673" t="s">
        <v>1202</v>
      </c>
      <c r="D9673" t="s">
        <v>1117</v>
      </c>
      <c r="E9673" t="s">
        <v>3567</v>
      </c>
      <c r="F9673" s="2" t="str">
        <f>HYPERLINK("http://www.otzar.org/book.asp?156172","דרכי חיים")</f>
        <v>דרכי חיים</v>
      </c>
    </row>
    <row r="9674" spans="1:6" x14ac:dyDescent="0.2">
      <c r="A9674" t="s">
        <v>16739</v>
      </c>
      <c r="B9674" t="s">
        <v>16740</v>
      </c>
      <c r="C9674" t="s">
        <v>133</v>
      </c>
      <c r="D9674" t="s">
        <v>147</v>
      </c>
      <c r="E9674" t="s">
        <v>104</v>
      </c>
      <c r="F9674" s="2" t="str">
        <f>HYPERLINK("http://www.otzar.org/book.asp?171671","דרכי חינוך להורים ומחנכים")</f>
        <v>דרכי חינוך להורים ומחנכים</v>
      </c>
    </row>
    <row r="9675" spans="1:6" x14ac:dyDescent="0.2">
      <c r="A9675" t="s">
        <v>16741</v>
      </c>
      <c r="B9675" t="s">
        <v>16742</v>
      </c>
      <c r="C9675" t="s">
        <v>244</v>
      </c>
      <c r="D9675" t="s">
        <v>1511</v>
      </c>
      <c r="E9675" t="s">
        <v>803</v>
      </c>
      <c r="F9675" s="2" t="str">
        <f>HYPERLINK("http://www.otzar.org/book.asp?601338","דרכי חכמה - עירובין")</f>
        <v>דרכי חכמה - עירובין</v>
      </c>
    </row>
    <row r="9676" spans="1:6" x14ac:dyDescent="0.2">
      <c r="A9676" t="s">
        <v>16743</v>
      </c>
      <c r="B9676" t="s">
        <v>776</v>
      </c>
      <c r="C9676" t="s">
        <v>433</v>
      </c>
      <c r="D9676" t="s">
        <v>27</v>
      </c>
      <c r="E9676" t="s">
        <v>104</v>
      </c>
      <c r="F9676" s="2" t="str">
        <f>HYPERLINK("http://www.otzar.org/book.asp?146792","דרכי חן")</f>
        <v>דרכי חן</v>
      </c>
    </row>
    <row r="9677" spans="1:6" x14ac:dyDescent="0.2">
      <c r="A9677" t="s">
        <v>16744</v>
      </c>
      <c r="B9677" t="s">
        <v>1286</v>
      </c>
      <c r="C9677" t="s">
        <v>23</v>
      </c>
      <c r="D9677" t="s">
        <v>412</v>
      </c>
      <c r="F9677" s="2" t="str">
        <f>HYPERLINK("http://www.otzar.org/book.asp?194736","דרכי חנוכה")</f>
        <v>דרכי חנוכה</v>
      </c>
    </row>
    <row r="9678" spans="1:6" x14ac:dyDescent="0.2">
      <c r="A9678" t="s">
        <v>16745</v>
      </c>
      <c r="B9678" t="s">
        <v>2031</v>
      </c>
      <c r="C9678" t="s">
        <v>71</v>
      </c>
      <c r="D9678" t="s">
        <v>14</v>
      </c>
      <c r="E9678" t="s">
        <v>674</v>
      </c>
      <c r="F9678" s="2" t="str">
        <f>HYPERLINK("http://www.otzar.org/book.asp?159286","דרכי חסד")</f>
        <v>דרכי חסד</v>
      </c>
    </row>
    <row r="9679" spans="1:6" x14ac:dyDescent="0.2">
      <c r="A9679" t="s">
        <v>16745</v>
      </c>
      <c r="B9679" t="s">
        <v>16746</v>
      </c>
      <c r="C9679" t="s">
        <v>106</v>
      </c>
      <c r="D9679" t="s">
        <v>412</v>
      </c>
      <c r="E9679" t="s">
        <v>15</v>
      </c>
      <c r="F9679" s="2" t="str">
        <f>HYPERLINK("http://www.otzar.org/book.asp?8503","דרכי חסד")</f>
        <v>דרכי חסד</v>
      </c>
    </row>
    <row r="9680" spans="1:6" x14ac:dyDescent="0.2">
      <c r="A9680" t="s">
        <v>16747</v>
      </c>
      <c r="B9680" t="s">
        <v>16748</v>
      </c>
      <c r="C9680" t="s">
        <v>23</v>
      </c>
      <c r="D9680" t="s">
        <v>14</v>
      </c>
      <c r="E9680" t="s">
        <v>104</v>
      </c>
      <c r="F9680" s="2" t="str">
        <f>HYPERLINK("http://www.otzar.org/book.asp?600099","דרכי חשבון הראיה - 2 כר'")</f>
        <v>דרכי חשבון הראיה - 2 כר'</v>
      </c>
    </row>
    <row r="9681" spans="1:6" x14ac:dyDescent="0.2">
      <c r="A9681" t="s">
        <v>16749</v>
      </c>
      <c r="B9681" t="s">
        <v>14827</v>
      </c>
      <c r="C9681" t="s">
        <v>940</v>
      </c>
      <c r="D9681" t="s">
        <v>14</v>
      </c>
      <c r="E9681" t="s">
        <v>15</v>
      </c>
      <c r="F9681" s="2" t="str">
        <f>HYPERLINK("http://www.otzar.org/book.asp?161506","דרכי טהרה")</f>
        <v>דרכי טהרה</v>
      </c>
    </row>
    <row r="9682" spans="1:6" x14ac:dyDescent="0.2">
      <c r="A9682" t="s">
        <v>16750</v>
      </c>
      <c r="B9682" t="s">
        <v>16458</v>
      </c>
      <c r="C9682" t="s">
        <v>114</v>
      </c>
      <c r="D9682" t="s">
        <v>1356</v>
      </c>
      <c r="E9682" t="s">
        <v>15</v>
      </c>
      <c r="F9682" s="2" t="str">
        <f>HYPERLINK("http://www.otzar.org/book.asp?195121","דרכי טוהר")</f>
        <v>דרכי טוהר</v>
      </c>
    </row>
    <row r="9683" spans="1:6" x14ac:dyDescent="0.2">
      <c r="A9683" t="s">
        <v>16751</v>
      </c>
      <c r="B9683" t="s">
        <v>1286</v>
      </c>
      <c r="C9683" t="s">
        <v>37</v>
      </c>
      <c r="D9683" t="s">
        <v>412</v>
      </c>
      <c r="E9683" t="s">
        <v>803</v>
      </c>
      <c r="F9683" s="2" t="str">
        <f>HYPERLINK("http://www.otzar.org/book.asp?194737","דרכי יום טוב")</f>
        <v>דרכי יום טוב</v>
      </c>
    </row>
    <row r="9684" spans="1:6" x14ac:dyDescent="0.2">
      <c r="A9684" t="s">
        <v>16752</v>
      </c>
      <c r="B9684" t="s">
        <v>7352</v>
      </c>
      <c r="C9684" t="s">
        <v>68</v>
      </c>
      <c r="D9684" t="s">
        <v>52</v>
      </c>
      <c r="E9684" t="s">
        <v>674</v>
      </c>
      <c r="F9684" s="2" t="str">
        <f>HYPERLINK("http://www.otzar.org/book.asp?197244","דרכי יוסף צבי")</f>
        <v>דרכי יוסף צבי</v>
      </c>
    </row>
    <row r="9685" spans="1:6" x14ac:dyDescent="0.2">
      <c r="A9685" t="s">
        <v>16752</v>
      </c>
      <c r="B9685" t="s">
        <v>16753</v>
      </c>
      <c r="C9685" t="s">
        <v>68</v>
      </c>
      <c r="D9685" t="s">
        <v>52</v>
      </c>
      <c r="E9685" t="s">
        <v>2091</v>
      </c>
      <c r="F9685" s="2" t="str">
        <f>HYPERLINK("http://www.otzar.org/book.asp?157890","דרכי יוסף צבי")</f>
        <v>דרכי יוסף צבי</v>
      </c>
    </row>
    <row r="9686" spans="1:6" x14ac:dyDescent="0.2">
      <c r="A9686" t="s">
        <v>16754</v>
      </c>
      <c r="B9686" t="s">
        <v>16755</v>
      </c>
      <c r="C9686" t="s">
        <v>1036</v>
      </c>
      <c r="D9686" t="s">
        <v>292</v>
      </c>
      <c r="E9686" t="s">
        <v>241</v>
      </c>
      <c r="F9686" s="2" t="str">
        <f>HYPERLINK("http://www.otzar.org/book.asp?100097","דרכי יוסף - 2 כר'")</f>
        <v>דרכי יוסף - 2 כר'</v>
      </c>
    </row>
    <row r="9687" spans="1:6" x14ac:dyDescent="0.2">
      <c r="A9687" t="s">
        <v>16754</v>
      </c>
      <c r="B9687" t="s">
        <v>16756</v>
      </c>
      <c r="C9687" t="s">
        <v>13</v>
      </c>
      <c r="D9687" t="s">
        <v>367</v>
      </c>
      <c r="E9687" t="s">
        <v>144</v>
      </c>
      <c r="F9687" s="2" t="str">
        <f>HYPERLINK("http://www.otzar.org/book.asp?161226","דרכי יוסף - 2 כר'")</f>
        <v>דרכי יוסף - 2 כר'</v>
      </c>
    </row>
    <row r="9688" spans="1:6" x14ac:dyDescent="0.2">
      <c r="A9688" t="s">
        <v>16757</v>
      </c>
      <c r="B9688" t="s">
        <v>7122</v>
      </c>
      <c r="C9688" t="s">
        <v>17</v>
      </c>
      <c r="D9688" t="s">
        <v>52</v>
      </c>
      <c r="E9688" t="s">
        <v>144</v>
      </c>
      <c r="F9688" s="2" t="str">
        <f>HYPERLINK("http://www.otzar.org/book.asp?162704","דרכי יוסף - 5 כר'")</f>
        <v>דרכי יוסף - 5 כר'</v>
      </c>
    </row>
    <row r="9689" spans="1:6" x14ac:dyDescent="0.2">
      <c r="A9689" t="s">
        <v>16758</v>
      </c>
      <c r="B9689" t="s">
        <v>16759</v>
      </c>
      <c r="D9689" t="s">
        <v>412</v>
      </c>
      <c r="E9689" t="s">
        <v>6440</v>
      </c>
      <c r="F9689" s="2" t="str">
        <f>HYPERLINK("http://www.otzar.org/book.asp?605571","דרכי יושר &lt;מהדורה חדשה&gt; - ב")</f>
        <v>דרכי יושר &lt;מהדורה חדשה&gt; - ב</v>
      </c>
    </row>
    <row r="9690" spans="1:6" x14ac:dyDescent="0.2">
      <c r="A9690" t="s">
        <v>16760</v>
      </c>
      <c r="B9690" t="s">
        <v>16759</v>
      </c>
      <c r="C9690" t="s">
        <v>752</v>
      </c>
      <c r="D9690" t="s">
        <v>855</v>
      </c>
      <c r="E9690" t="s">
        <v>144</v>
      </c>
      <c r="F9690" s="2" t="str">
        <f>HYPERLINK("http://www.otzar.org/book.asp?24607","דרכי יושר - 2 כר'")</f>
        <v>דרכי יושר - 2 כר'</v>
      </c>
    </row>
    <row r="9691" spans="1:6" x14ac:dyDescent="0.2">
      <c r="A9691" t="s">
        <v>16761</v>
      </c>
      <c r="B9691" t="s">
        <v>16762</v>
      </c>
      <c r="C9691" t="s">
        <v>940</v>
      </c>
      <c r="D9691" t="s">
        <v>52</v>
      </c>
      <c r="E9691" t="s">
        <v>2071</v>
      </c>
      <c r="F9691" s="2" t="str">
        <f>HYPERLINK("http://www.otzar.org/book.asp?153400","דרכי ים סוף")</f>
        <v>דרכי ים סוף</v>
      </c>
    </row>
    <row r="9692" spans="1:6" x14ac:dyDescent="0.2">
      <c r="A9692" t="s">
        <v>16763</v>
      </c>
      <c r="C9692" t="s">
        <v>13</v>
      </c>
      <c r="F9692" s="2" t="str">
        <f>HYPERLINK("http://www.otzar.org/book.asp?612012","דרכי יעקב - הנהגות מרן הקהילות יעקב")</f>
        <v>דרכי יעקב - הנהגות מרן הקהילות יעקב</v>
      </c>
    </row>
    <row r="9693" spans="1:6" x14ac:dyDescent="0.2">
      <c r="A9693" t="s">
        <v>16764</v>
      </c>
      <c r="B9693" t="s">
        <v>16765</v>
      </c>
      <c r="C9693" t="s">
        <v>133</v>
      </c>
      <c r="D9693" t="s">
        <v>14</v>
      </c>
      <c r="E9693" t="s">
        <v>144</v>
      </c>
      <c r="F9693" s="2" t="str">
        <f>HYPERLINK("http://www.otzar.org/book.asp?179806","דרכי יעקב - קידושין")</f>
        <v>דרכי יעקב - קידושין</v>
      </c>
    </row>
    <row r="9694" spans="1:6" x14ac:dyDescent="0.2">
      <c r="A9694" t="s">
        <v>16766</v>
      </c>
      <c r="B9694" t="s">
        <v>16767</v>
      </c>
      <c r="C9694" t="s">
        <v>146</v>
      </c>
      <c r="D9694" t="s">
        <v>9</v>
      </c>
      <c r="E9694" t="s">
        <v>234</v>
      </c>
      <c r="F9694" s="2" t="str">
        <f>HYPERLINK("http://www.otzar.org/book.asp?171197","דרכי יעקב - 2 כר'")</f>
        <v>דרכי יעקב - 2 כר'</v>
      </c>
    </row>
    <row r="9695" spans="1:6" x14ac:dyDescent="0.2">
      <c r="A9695" t="s">
        <v>16768</v>
      </c>
      <c r="B9695" t="s">
        <v>16769</v>
      </c>
      <c r="C9695" t="s">
        <v>111</v>
      </c>
      <c r="D9695" t="s">
        <v>52</v>
      </c>
      <c r="E9695" t="s">
        <v>15</v>
      </c>
      <c r="F9695" s="2" t="str">
        <f>HYPERLINK("http://www.otzar.org/book.asp?630075","דרכי יעקב - 15 כר'")</f>
        <v>דרכי יעקב - 15 כר'</v>
      </c>
    </row>
    <row r="9696" spans="1:6" x14ac:dyDescent="0.2">
      <c r="A9696" t="s">
        <v>16770</v>
      </c>
      <c r="B9696" t="s">
        <v>4737</v>
      </c>
      <c r="C9696" t="s">
        <v>1954</v>
      </c>
      <c r="D9696" t="s">
        <v>27</v>
      </c>
      <c r="E9696" t="s">
        <v>16771</v>
      </c>
      <c r="F9696" s="2" t="str">
        <f>HYPERLINK("http://www.otzar.org/book.asp?6897","דרכי ירוחם")</f>
        <v>דרכי ירוחם</v>
      </c>
    </row>
    <row r="9697" spans="1:6" x14ac:dyDescent="0.2">
      <c r="A9697" t="s">
        <v>16772</v>
      </c>
      <c r="B9697" t="s">
        <v>16773</v>
      </c>
      <c r="C9697" t="s">
        <v>523</v>
      </c>
      <c r="D9697" t="s">
        <v>14</v>
      </c>
      <c r="E9697" t="s">
        <v>230</v>
      </c>
      <c r="F9697" s="2" t="str">
        <f>HYPERLINK("http://www.otzar.org/book.asp?171200","דרכי ישראל")</f>
        <v>דרכי ישראל</v>
      </c>
    </row>
    <row r="9698" spans="1:6" x14ac:dyDescent="0.2">
      <c r="A9698" t="s">
        <v>16774</v>
      </c>
      <c r="B9698" t="s">
        <v>16775</v>
      </c>
      <c r="C9698" t="s">
        <v>244</v>
      </c>
      <c r="D9698" t="s">
        <v>14</v>
      </c>
      <c r="E9698" t="s">
        <v>241</v>
      </c>
      <c r="F9698" s="2" t="str">
        <f>HYPERLINK("http://www.otzar.org/book.asp?600145","דרכי ישרים &lt;מהדורה חדשה&gt;")</f>
        <v>דרכי ישרים &lt;מהדורה חדשה&gt;</v>
      </c>
    </row>
    <row r="9699" spans="1:6" x14ac:dyDescent="0.2">
      <c r="A9699" t="s">
        <v>16776</v>
      </c>
      <c r="B9699" t="s">
        <v>16777</v>
      </c>
      <c r="C9699" t="s">
        <v>23</v>
      </c>
      <c r="D9699" t="s">
        <v>52</v>
      </c>
      <c r="E9699" t="s">
        <v>144</v>
      </c>
      <c r="F9699" s="2" t="str">
        <f>HYPERLINK("http://www.otzar.org/book.asp?189822","דרכי ישרים - פרק איזהו נשך")</f>
        <v>דרכי ישרים - פרק איזהו נשך</v>
      </c>
    </row>
    <row r="9700" spans="1:6" x14ac:dyDescent="0.2">
      <c r="A9700" t="s">
        <v>16778</v>
      </c>
      <c r="B9700" t="s">
        <v>16775</v>
      </c>
      <c r="C9700" t="s">
        <v>1036</v>
      </c>
      <c r="D9700" t="s">
        <v>1538</v>
      </c>
      <c r="E9700" t="s">
        <v>741</v>
      </c>
      <c r="F9700" s="2" t="str">
        <f>HYPERLINK("http://www.otzar.org/book.asp?102268","דרכי ישרים - 7 כר'")</f>
        <v>דרכי ישרים - 7 כר'</v>
      </c>
    </row>
    <row r="9701" spans="1:6" x14ac:dyDescent="0.2">
      <c r="A9701" t="s">
        <v>16779</v>
      </c>
      <c r="B9701" t="s">
        <v>16780</v>
      </c>
      <c r="C9701" t="s">
        <v>37</v>
      </c>
      <c r="D9701" t="s">
        <v>52</v>
      </c>
      <c r="E9701" t="s">
        <v>144</v>
      </c>
      <c r="F9701" s="2" t="str">
        <f>HYPERLINK("http://www.otzar.org/book.asp?182825","דרכי ישרים")</f>
        <v>דרכי ישרים</v>
      </c>
    </row>
    <row r="9702" spans="1:6" x14ac:dyDescent="0.2">
      <c r="A9702" t="s">
        <v>16781</v>
      </c>
      <c r="B9702" t="s">
        <v>16782</v>
      </c>
      <c r="C9702" t="s">
        <v>422</v>
      </c>
      <c r="D9702" t="s">
        <v>21</v>
      </c>
      <c r="E9702" t="s">
        <v>144</v>
      </c>
      <c r="F9702" s="2" t="str">
        <f>HYPERLINK("http://www.otzar.org/book.asp?605033","דרכי לימוד העיון")</f>
        <v>דרכי לימוד העיון</v>
      </c>
    </row>
    <row r="9703" spans="1:6" x14ac:dyDescent="0.2">
      <c r="A9703" t="s">
        <v>16783</v>
      </c>
      <c r="B9703" t="s">
        <v>16784</v>
      </c>
      <c r="C9703" t="s">
        <v>37</v>
      </c>
      <c r="D9703" t="s">
        <v>80</v>
      </c>
      <c r="E9703" t="s">
        <v>144</v>
      </c>
      <c r="F9703" s="2" t="str">
        <f>HYPERLINK("http://www.otzar.org/book.asp?606769","דרכי לימוד - קידושין")</f>
        <v>דרכי לימוד - קידושין</v>
      </c>
    </row>
    <row r="9704" spans="1:6" x14ac:dyDescent="0.2">
      <c r="A9704" t="s">
        <v>16785</v>
      </c>
      <c r="B9704" t="s">
        <v>16786</v>
      </c>
      <c r="C9704" t="s">
        <v>4827</v>
      </c>
      <c r="D9704" t="s">
        <v>5727</v>
      </c>
      <c r="E9704" t="s">
        <v>104</v>
      </c>
      <c r="F9704" s="2" t="str">
        <f>HYPERLINK("http://www.otzar.org/book.asp?147281","דרכי לשון הקודש")</f>
        <v>דרכי לשון הקודש</v>
      </c>
    </row>
    <row r="9705" spans="1:6" x14ac:dyDescent="0.2">
      <c r="A9705" t="s">
        <v>16787</v>
      </c>
      <c r="B9705" t="s">
        <v>1005</v>
      </c>
      <c r="C9705" t="s">
        <v>114</v>
      </c>
      <c r="D9705" t="s">
        <v>21</v>
      </c>
      <c r="E9705" t="s">
        <v>202</v>
      </c>
      <c r="F9705" s="2" t="str">
        <f>HYPERLINK("http://www.otzar.org/book.asp?192972","דרכי מבשר")</f>
        <v>דרכי מבשר</v>
      </c>
    </row>
    <row r="9706" spans="1:6" x14ac:dyDescent="0.2">
      <c r="A9706" t="s">
        <v>16788</v>
      </c>
      <c r="B9706" t="s">
        <v>16789</v>
      </c>
      <c r="C9706" t="s">
        <v>3840</v>
      </c>
      <c r="D9706" t="s">
        <v>115</v>
      </c>
      <c r="E9706" t="s">
        <v>474</v>
      </c>
      <c r="F9706" s="2" t="str">
        <f>HYPERLINK("http://www.otzar.org/book.asp?158335","דרכי מוסר - 2 כר'")</f>
        <v>דרכי מוסר - 2 כר'</v>
      </c>
    </row>
    <row r="9707" spans="1:6" x14ac:dyDescent="0.2">
      <c r="A9707" t="s">
        <v>16790</v>
      </c>
      <c r="B9707" t="s">
        <v>552</v>
      </c>
      <c r="C9707" t="s">
        <v>1268</v>
      </c>
      <c r="D9707" t="s">
        <v>14</v>
      </c>
      <c r="E9707" t="s">
        <v>202</v>
      </c>
      <c r="F9707" s="2" t="str">
        <f>HYPERLINK("http://www.otzar.org/book.asp?148522","דרכי מנחם")</f>
        <v>דרכי מנחם</v>
      </c>
    </row>
    <row r="9708" spans="1:6" x14ac:dyDescent="0.2">
      <c r="A9708" t="s">
        <v>16791</v>
      </c>
      <c r="B9708" t="s">
        <v>16792</v>
      </c>
      <c r="C9708" t="s">
        <v>395</v>
      </c>
      <c r="D9708" t="s">
        <v>56</v>
      </c>
      <c r="E9708" t="s">
        <v>154</v>
      </c>
      <c r="F9708" s="2" t="str">
        <f>HYPERLINK("http://www.otzar.org/book.asp?102781","דרכי מרדכי")</f>
        <v>דרכי מרדכי</v>
      </c>
    </row>
    <row r="9709" spans="1:6" x14ac:dyDescent="0.2">
      <c r="A9709" t="s">
        <v>16791</v>
      </c>
      <c r="B9709" t="s">
        <v>16793</v>
      </c>
      <c r="C9709" t="s">
        <v>151</v>
      </c>
      <c r="D9709" t="s">
        <v>90</v>
      </c>
      <c r="E9709" t="s">
        <v>158</v>
      </c>
      <c r="F9709" s="2" t="str">
        <f>HYPERLINK("http://www.otzar.org/book.asp?627137","דרכי מרדכי")</f>
        <v>דרכי מרדכי</v>
      </c>
    </row>
    <row r="9710" spans="1:6" x14ac:dyDescent="0.2">
      <c r="A9710" t="s">
        <v>16794</v>
      </c>
      <c r="B9710" t="s">
        <v>16795</v>
      </c>
      <c r="C9710" t="s">
        <v>16796</v>
      </c>
      <c r="D9710" t="s">
        <v>5665</v>
      </c>
      <c r="E9710" t="s">
        <v>15</v>
      </c>
      <c r="F9710" s="2" t="str">
        <f>HYPERLINK("http://www.otzar.org/book.asp?17060","דרכי משה &lt;אורח מישור&gt; - יו""ד")</f>
        <v>דרכי משה &lt;אורח מישור&gt; - יו"ד</v>
      </c>
    </row>
    <row r="9711" spans="1:6" x14ac:dyDescent="0.2">
      <c r="A9711" t="s">
        <v>16797</v>
      </c>
      <c r="B9711" t="s">
        <v>12047</v>
      </c>
      <c r="C9711" t="s">
        <v>411</v>
      </c>
      <c r="D9711" t="s">
        <v>14</v>
      </c>
      <c r="E9711" t="s">
        <v>119</v>
      </c>
      <c r="F9711" s="2" t="str">
        <f>HYPERLINK("http://www.otzar.org/book.asp?186830","דרכי משה החדש &lt;מהדורה חדשה&gt; - 2 כר'")</f>
        <v>דרכי משה החדש &lt;מהדורה חדשה&gt; - 2 כר'</v>
      </c>
    </row>
    <row r="9712" spans="1:6" x14ac:dyDescent="0.2">
      <c r="A9712" t="s">
        <v>16798</v>
      </c>
      <c r="B9712" t="s">
        <v>12047</v>
      </c>
      <c r="C9712" t="s">
        <v>777</v>
      </c>
      <c r="D9712" t="s">
        <v>9224</v>
      </c>
      <c r="E9712" t="s">
        <v>119</v>
      </c>
      <c r="F9712" s="2" t="str">
        <f>HYPERLINK("http://www.otzar.org/book.asp?633","דרכי משה החדש")</f>
        <v>דרכי משה החדש</v>
      </c>
    </row>
    <row r="9713" spans="1:6" x14ac:dyDescent="0.2">
      <c r="A9713" t="s">
        <v>16799</v>
      </c>
      <c r="B9713" t="s">
        <v>16795</v>
      </c>
      <c r="C9713" t="s">
        <v>14352</v>
      </c>
      <c r="D9713" t="s">
        <v>2303</v>
      </c>
      <c r="E9713" t="s">
        <v>15</v>
      </c>
      <c r="F9713" s="2" t="str">
        <f>HYPERLINK("http://www.otzar.org/book.asp?6775","דרכי משה - או""ח")</f>
        <v>דרכי משה - או"ח</v>
      </c>
    </row>
    <row r="9714" spans="1:6" x14ac:dyDescent="0.2">
      <c r="A9714" t="s">
        <v>16800</v>
      </c>
      <c r="B9714" t="s">
        <v>16801</v>
      </c>
      <c r="C9714" t="s">
        <v>576</v>
      </c>
      <c r="D9714" t="s">
        <v>90</v>
      </c>
      <c r="F9714" s="2" t="str">
        <f>HYPERLINK("http://www.otzar.org/book.asp?620732","דרכי משה")</f>
        <v>דרכי משה</v>
      </c>
    </row>
    <row r="9715" spans="1:6" x14ac:dyDescent="0.2">
      <c r="A9715" t="s">
        <v>16800</v>
      </c>
      <c r="B9715" t="s">
        <v>11051</v>
      </c>
      <c r="C9715" t="s">
        <v>224</v>
      </c>
      <c r="D9715" t="s">
        <v>16802</v>
      </c>
      <c r="E9715" t="s">
        <v>158</v>
      </c>
      <c r="F9715" s="2" t="str">
        <f>HYPERLINK("http://www.otzar.org/book.asp?6826","דרכי משה")</f>
        <v>דרכי משה</v>
      </c>
    </row>
    <row r="9716" spans="1:6" x14ac:dyDescent="0.2">
      <c r="A9716" t="s">
        <v>16803</v>
      </c>
      <c r="B9716" t="s">
        <v>16804</v>
      </c>
      <c r="C9716" t="s">
        <v>466</v>
      </c>
      <c r="D9716" t="s">
        <v>14</v>
      </c>
      <c r="F9716" s="2" t="str">
        <f>HYPERLINK("http://www.otzar.org/book.asp?169443","דרכי משה - 4 כר'")</f>
        <v>דרכי משה - 4 כר'</v>
      </c>
    </row>
    <row r="9717" spans="1:6" x14ac:dyDescent="0.2">
      <c r="A9717" t="s">
        <v>16805</v>
      </c>
      <c r="B9717" t="s">
        <v>16806</v>
      </c>
      <c r="C9717" t="s">
        <v>71</v>
      </c>
      <c r="D9717" t="s">
        <v>14</v>
      </c>
      <c r="E9717" t="s">
        <v>144</v>
      </c>
      <c r="F9717" s="2" t="str">
        <f>HYPERLINK("http://www.otzar.org/book.asp?22712","דרכי משפט - 2 כר'")</f>
        <v>דרכי משפט - 2 כר'</v>
      </c>
    </row>
    <row r="9718" spans="1:6" x14ac:dyDescent="0.2">
      <c r="A9718" t="s">
        <v>16807</v>
      </c>
      <c r="B9718" t="s">
        <v>16808</v>
      </c>
      <c r="C9718" t="s">
        <v>422</v>
      </c>
      <c r="D9718" t="s">
        <v>52</v>
      </c>
      <c r="E9718" t="s">
        <v>15</v>
      </c>
      <c r="F9718" s="2" t="str">
        <f>HYPERLINK("http://www.otzar.org/book.asp?63698","דרכי משפט - 3 כר'")</f>
        <v>דרכי משפט - 3 כר'</v>
      </c>
    </row>
    <row r="9719" spans="1:6" x14ac:dyDescent="0.2">
      <c r="A9719" t="s">
        <v>16809</v>
      </c>
      <c r="B9719" t="s">
        <v>16810</v>
      </c>
      <c r="C9719" t="s">
        <v>133</v>
      </c>
      <c r="D9719" t="s">
        <v>52</v>
      </c>
      <c r="E9719" t="s">
        <v>463</v>
      </c>
      <c r="F9719" s="2" t="str">
        <f>HYPERLINK("http://www.otzar.org/book.asp?170879","דרכי נוחם")</f>
        <v>דרכי נוחם</v>
      </c>
    </row>
    <row r="9720" spans="1:6" x14ac:dyDescent="0.2">
      <c r="A9720" t="s">
        <v>16811</v>
      </c>
      <c r="B9720" t="s">
        <v>6333</v>
      </c>
      <c r="C9720" t="s">
        <v>767</v>
      </c>
      <c r="D9720" t="s">
        <v>52</v>
      </c>
      <c r="F9720" s="2" t="str">
        <f>HYPERLINK("http://www.otzar.org/book.asp?617944","דרכי נועם החיים - 2 כר'")</f>
        <v>דרכי נועם החיים - 2 כר'</v>
      </c>
    </row>
    <row r="9721" spans="1:6" x14ac:dyDescent="0.2">
      <c r="A9721" t="s">
        <v>16812</v>
      </c>
      <c r="B9721" t="s">
        <v>16813</v>
      </c>
      <c r="C9721" t="s">
        <v>411</v>
      </c>
      <c r="D9721" t="s">
        <v>90</v>
      </c>
      <c r="E9721" t="s">
        <v>158</v>
      </c>
      <c r="F9721" s="2" t="str">
        <f>HYPERLINK("http://www.otzar.org/book.asp?166931","דרכי נועם על התורה - 2 כר'")</f>
        <v>דרכי נועם על התורה - 2 כר'</v>
      </c>
    </row>
    <row r="9722" spans="1:6" x14ac:dyDescent="0.2">
      <c r="A9722" t="s">
        <v>16814</v>
      </c>
      <c r="B9722" t="s">
        <v>13362</v>
      </c>
      <c r="C9722" t="s">
        <v>6052</v>
      </c>
      <c r="D9722" t="s">
        <v>16815</v>
      </c>
      <c r="E9722" t="s">
        <v>104</v>
      </c>
      <c r="F9722" s="2" t="str">
        <f>HYPERLINK("http://www.otzar.org/book.asp?191398","דרכי נועם")</f>
        <v>דרכי נועם</v>
      </c>
    </row>
    <row r="9723" spans="1:6" x14ac:dyDescent="0.2">
      <c r="A9723" t="s">
        <v>16816</v>
      </c>
      <c r="B9723" t="s">
        <v>5249</v>
      </c>
      <c r="C9723" t="s">
        <v>13514</v>
      </c>
      <c r="D9723" t="s">
        <v>1023</v>
      </c>
      <c r="F9723" s="2" t="str">
        <f>HYPERLINK("http://www.otzar.org/book.asp?164865","דרכי נועם - 2 כר'")</f>
        <v>דרכי נועם - 2 כר'</v>
      </c>
    </row>
    <row r="9724" spans="1:6" x14ac:dyDescent="0.2">
      <c r="A9724" t="s">
        <v>16816</v>
      </c>
      <c r="B9724" t="s">
        <v>16817</v>
      </c>
      <c r="C9724" t="s">
        <v>1246</v>
      </c>
      <c r="D9724" t="s">
        <v>9</v>
      </c>
      <c r="E9724" t="s">
        <v>1880</v>
      </c>
      <c r="F9724" s="2" t="str">
        <f>HYPERLINK("http://www.otzar.org/book.asp?14237","דרכי נועם - 2 כר'")</f>
        <v>דרכי נועם - 2 כר'</v>
      </c>
    </row>
    <row r="9725" spans="1:6" x14ac:dyDescent="0.2">
      <c r="A9725" t="s">
        <v>16814</v>
      </c>
      <c r="B9725" t="s">
        <v>16818</v>
      </c>
      <c r="C9725" t="s">
        <v>1124</v>
      </c>
      <c r="D9725" t="s">
        <v>283</v>
      </c>
      <c r="E9725" t="s">
        <v>234</v>
      </c>
      <c r="F9725" s="2" t="str">
        <f>HYPERLINK("http://www.otzar.org/book.asp?15765","דרכי נועם")</f>
        <v>דרכי נועם</v>
      </c>
    </row>
    <row r="9726" spans="1:6" x14ac:dyDescent="0.2">
      <c r="A9726" t="s">
        <v>16814</v>
      </c>
      <c r="B9726" t="s">
        <v>4638</v>
      </c>
      <c r="C9726" t="s">
        <v>383</v>
      </c>
      <c r="D9726" t="s">
        <v>21</v>
      </c>
      <c r="F9726" s="2" t="str">
        <f>HYPERLINK("http://www.otzar.org/book.asp?615655","דרכי נועם")</f>
        <v>דרכי נועם</v>
      </c>
    </row>
    <row r="9727" spans="1:6" x14ac:dyDescent="0.2">
      <c r="A9727" t="s">
        <v>16814</v>
      </c>
      <c r="B9727" t="s">
        <v>16819</v>
      </c>
      <c r="C9727" t="s">
        <v>624</v>
      </c>
      <c r="D9727" t="s">
        <v>412</v>
      </c>
      <c r="E9727" t="s">
        <v>241</v>
      </c>
      <c r="F9727" s="2" t="str">
        <f>HYPERLINK("http://www.otzar.org/book.asp?191096","דרכי נועם")</f>
        <v>דרכי נועם</v>
      </c>
    </row>
    <row r="9728" spans="1:6" x14ac:dyDescent="0.2">
      <c r="A9728" t="s">
        <v>16814</v>
      </c>
      <c r="B9728" t="s">
        <v>5522</v>
      </c>
      <c r="C9728" t="s">
        <v>473</v>
      </c>
      <c r="D9728" t="s">
        <v>379</v>
      </c>
      <c r="E9728" t="s">
        <v>234</v>
      </c>
      <c r="F9728" s="2" t="str">
        <f>HYPERLINK("http://www.otzar.org/book.asp?166882","דרכי נועם")</f>
        <v>דרכי נועם</v>
      </c>
    </row>
    <row r="9729" spans="1:6" x14ac:dyDescent="0.2">
      <c r="A9729" t="s">
        <v>16820</v>
      </c>
      <c r="B9729" t="s">
        <v>2396</v>
      </c>
      <c r="C9729" t="s">
        <v>133</v>
      </c>
      <c r="D9729" t="s">
        <v>1076</v>
      </c>
      <c r="E9729" t="s">
        <v>144</v>
      </c>
      <c r="F9729" s="2" t="str">
        <f>HYPERLINK("http://www.otzar.org/book.asp?617321","דרכי נועם - בסוגיות הש""ס")</f>
        <v>דרכי נועם - בסוגיות הש"ס</v>
      </c>
    </row>
    <row r="9730" spans="1:6" x14ac:dyDescent="0.2">
      <c r="A9730" t="s">
        <v>16814</v>
      </c>
      <c r="B9730" t="s">
        <v>16821</v>
      </c>
      <c r="C9730" t="s">
        <v>1135</v>
      </c>
      <c r="D9730" t="s">
        <v>164</v>
      </c>
      <c r="E9730" t="s">
        <v>9092</v>
      </c>
      <c r="F9730" s="2" t="str">
        <f>HYPERLINK("http://www.otzar.org/book.asp?6417","דרכי נועם")</f>
        <v>דרכי נועם</v>
      </c>
    </row>
    <row r="9731" spans="1:6" x14ac:dyDescent="0.2">
      <c r="A9731" t="s">
        <v>16822</v>
      </c>
      <c r="B9731" t="s">
        <v>16823</v>
      </c>
      <c r="C9731" t="s">
        <v>6684</v>
      </c>
      <c r="D9731" t="s">
        <v>5477</v>
      </c>
      <c r="E9731" t="s">
        <v>15</v>
      </c>
      <c r="F9731" s="2" t="str">
        <f>HYPERLINK("http://www.otzar.org/book.asp?19343","דרכי נעם (שלחן ערוך קטן ח""ב)")</f>
        <v>דרכי נעם (שלחן ערוך קטן ח"ב)</v>
      </c>
    </row>
    <row r="9732" spans="1:6" x14ac:dyDescent="0.2">
      <c r="A9732" t="s">
        <v>16824</v>
      </c>
      <c r="B9732" t="s">
        <v>16825</v>
      </c>
      <c r="C9732" t="s">
        <v>1519</v>
      </c>
      <c r="D9732" t="s">
        <v>6801</v>
      </c>
      <c r="E9732" t="s">
        <v>104</v>
      </c>
      <c r="F9732" s="2" t="str">
        <f>HYPERLINK("http://www.otzar.org/book.asp?147582","דרכי נעם")</f>
        <v>דרכי נעם</v>
      </c>
    </row>
    <row r="9733" spans="1:6" x14ac:dyDescent="0.2">
      <c r="A9733" t="s">
        <v>16824</v>
      </c>
      <c r="B9733" t="s">
        <v>16826</v>
      </c>
      <c r="C9733" t="s">
        <v>16540</v>
      </c>
      <c r="D9733" t="s">
        <v>49</v>
      </c>
      <c r="E9733" t="s">
        <v>10</v>
      </c>
      <c r="F9733" s="2" t="str">
        <f>HYPERLINK("http://www.otzar.org/book.asp?100848","דרכי נעם")</f>
        <v>דרכי נעם</v>
      </c>
    </row>
    <row r="9734" spans="1:6" x14ac:dyDescent="0.2">
      <c r="A9734" t="s">
        <v>16824</v>
      </c>
      <c r="B9734" t="s">
        <v>16827</v>
      </c>
      <c r="C9734" t="s">
        <v>16828</v>
      </c>
      <c r="D9734" t="s">
        <v>9</v>
      </c>
      <c r="E9734" t="s">
        <v>15</v>
      </c>
      <c r="F9734" s="2" t="str">
        <f>HYPERLINK("http://www.otzar.org/book.asp?174555","דרכי נעם")</f>
        <v>דרכי נעם</v>
      </c>
    </row>
    <row r="9735" spans="1:6" x14ac:dyDescent="0.2">
      <c r="A9735" t="s">
        <v>16829</v>
      </c>
      <c r="B9735" t="s">
        <v>2002</v>
      </c>
      <c r="C9735" t="s">
        <v>1310</v>
      </c>
      <c r="D9735" t="s">
        <v>582</v>
      </c>
      <c r="F9735" s="2" t="str">
        <f>HYPERLINK("http://www.otzar.org/book.asp?620686","דרכי עולם")</f>
        <v>דרכי עולם</v>
      </c>
    </row>
    <row r="9736" spans="1:6" x14ac:dyDescent="0.2">
      <c r="A9736" t="s">
        <v>16830</v>
      </c>
      <c r="B9736" t="s">
        <v>16458</v>
      </c>
      <c r="C9736" t="s">
        <v>37</v>
      </c>
      <c r="D9736" t="s">
        <v>1356</v>
      </c>
      <c r="E9736" t="s">
        <v>15</v>
      </c>
      <c r="F9736" s="2" t="str">
        <f>HYPERLINK("http://www.otzar.org/book.asp?194738","דרכי עונג - 2 כר'")</f>
        <v>דרכי עונג - 2 כר'</v>
      </c>
    </row>
    <row r="9737" spans="1:6" x14ac:dyDescent="0.2">
      <c r="A9737" t="s">
        <v>16831</v>
      </c>
      <c r="B9737" t="s">
        <v>16832</v>
      </c>
      <c r="C9737" t="s">
        <v>114</v>
      </c>
      <c r="D9737" t="s">
        <v>2196</v>
      </c>
      <c r="E9737" t="s">
        <v>3516</v>
      </c>
      <c r="F9737" s="2" t="str">
        <f>HYPERLINK("http://www.otzar.org/book.asp?159457","דרכי עזרי - 4 כר'")</f>
        <v>דרכי עזרי - 4 כר'</v>
      </c>
    </row>
    <row r="9738" spans="1:6" x14ac:dyDescent="0.2">
      <c r="A9738" t="s">
        <v>16833</v>
      </c>
      <c r="B9738" t="s">
        <v>16713</v>
      </c>
      <c r="C9738" t="s">
        <v>114</v>
      </c>
      <c r="D9738" t="s">
        <v>14</v>
      </c>
      <c r="E9738" t="s">
        <v>803</v>
      </c>
      <c r="F9738" s="2" t="str">
        <f>HYPERLINK("http://www.otzar.org/book.asp?616758","דרכי עירובין")</f>
        <v>דרכי עירובין</v>
      </c>
    </row>
    <row r="9739" spans="1:6" x14ac:dyDescent="0.2">
      <c r="A9739" t="s">
        <v>16834</v>
      </c>
      <c r="B9739" t="s">
        <v>16835</v>
      </c>
      <c r="C9739" t="s">
        <v>313</v>
      </c>
      <c r="D9739" t="s">
        <v>14</v>
      </c>
      <c r="E9739" t="s">
        <v>172</v>
      </c>
      <c r="F9739" s="2" t="str">
        <f>HYPERLINK("http://www.otzar.org/book.asp?147824","דרכי פועלים")</f>
        <v>דרכי פועלים</v>
      </c>
    </row>
    <row r="9740" spans="1:6" x14ac:dyDescent="0.2">
      <c r="A9740" t="s">
        <v>16836</v>
      </c>
      <c r="B9740" t="s">
        <v>7552</v>
      </c>
      <c r="C9740" t="s">
        <v>51</v>
      </c>
      <c r="D9740" t="s">
        <v>7553</v>
      </c>
      <c r="F9740" s="2" t="str">
        <f>HYPERLINK("http://www.otzar.org/book.asp?620265","דרכי פלא - טלפון ופלאפון")</f>
        <v>דרכי פלא - טלפון ופלאפון</v>
      </c>
    </row>
    <row r="9741" spans="1:6" x14ac:dyDescent="0.2">
      <c r="A9741" t="s">
        <v>16837</v>
      </c>
      <c r="B9741" t="s">
        <v>16838</v>
      </c>
      <c r="C9741" t="s">
        <v>20</v>
      </c>
      <c r="D9741" t="s">
        <v>90</v>
      </c>
      <c r="E9741" t="s">
        <v>144</v>
      </c>
      <c r="F9741" s="2" t="str">
        <f>HYPERLINK("http://www.otzar.org/book.asp?609567","דרכי צבי - 6 כר'")</f>
        <v>דרכי צבי - 6 כר'</v>
      </c>
    </row>
    <row r="9742" spans="1:6" x14ac:dyDescent="0.2">
      <c r="A9742" t="s">
        <v>16839</v>
      </c>
      <c r="B9742" t="s">
        <v>16742</v>
      </c>
      <c r="C9742" t="s">
        <v>51</v>
      </c>
      <c r="D9742" t="s">
        <v>1511</v>
      </c>
      <c r="E9742" t="s">
        <v>714</v>
      </c>
      <c r="F9742" s="2" t="str">
        <f>HYPERLINK("http://www.otzar.org/book.asp?183263","דרכי צדק")</f>
        <v>דרכי צדק</v>
      </c>
    </row>
    <row r="9743" spans="1:6" x14ac:dyDescent="0.2">
      <c r="A9743" t="s">
        <v>16839</v>
      </c>
      <c r="B9743" t="s">
        <v>16840</v>
      </c>
      <c r="C9743" t="s">
        <v>13</v>
      </c>
      <c r="D9743" t="s">
        <v>412</v>
      </c>
      <c r="E9743" t="s">
        <v>234</v>
      </c>
      <c r="F9743" s="2" t="str">
        <f>HYPERLINK("http://www.otzar.org/book.asp?177156","דרכי צדק")</f>
        <v>דרכי צדק</v>
      </c>
    </row>
    <row r="9744" spans="1:6" x14ac:dyDescent="0.2">
      <c r="A9744" t="s">
        <v>16841</v>
      </c>
      <c r="B9744" t="s">
        <v>16842</v>
      </c>
      <c r="C9744" t="s">
        <v>1481</v>
      </c>
      <c r="D9744" t="s">
        <v>60</v>
      </c>
      <c r="E9744" t="s">
        <v>703</v>
      </c>
      <c r="F9744" s="2" t="str">
        <f>HYPERLINK("http://www.otzar.org/book.asp?104233","דרכי צדק - 3 כר'")</f>
        <v>דרכי צדק - 3 כר'</v>
      </c>
    </row>
    <row r="9745" spans="1:6" x14ac:dyDescent="0.2">
      <c r="A9745" t="s">
        <v>16843</v>
      </c>
      <c r="B9745" t="s">
        <v>16844</v>
      </c>
      <c r="C9745" t="s">
        <v>454</v>
      </c>
      <c r="D9745" t="s">
        <v>412</v>
      </c>
      <c r="E9745" t="s">
        <v>16845</v>
      </c>
      <c r="F9745" s="2" t="str">
        <f>HYPERLINK("http://www.otzar.org/book.asp?153749","דרכי ציון - ליקוטי אמרים")</f>
        <v>דרכי ציון - ליקוטי אמרים</v>
      </c>
    </row>
    <row r="9746" spans="1:6" x14ac:dyDescent="0.2">
      <c r="A9746" t="s">
        <v>16846</v>
      </c>
      <c r="B9746" t="s">
        <v>16847</v>
      </c>
      <c r="C9746" t="s">
        <v>649</v>
      </c>
      <c r="D9746" t="s">
        <v>6785</v>
      </c>
      <c r="E9746" t="s">
        <v>474</v>
      </c>
      <c r="F9746" s="2" t="str">
        <f>HYPERLINK("http://www.otzar.org/book.asp?24284","דרכי ציון")</f>
        <v>דרכי ציון</v>
      </c>
    </row>
    <row r="9747" spans="1:6" x14ac:dyDescent="0.2">
      <c r="A9747" t="s">
        <v>16848</v>
      </c>
      <c r="B9747" t="s">
        <v>16849</v>
      </c>
      <c r="C9747" t="s">
        <v>17</v>
      </c>
      <c r="D9747" t="s">
        <v>27</v>
      </c>
      <c r="E9747" t="s">
        <v>104</v>
      </c>
      <c r="F9747" s="2" t="str">
        <f>HYPERLINK("http://www.otzar.org/book.asp?6203","דרכי ציון - 3 כר'")</f>
        <v>דרכי ציון - 3 כר'</v>
      </c>
    </row>
    <row r="9748" spans="1:6" x14ac:dyDescent="0.2">
      <c r="A9748" t="s">
        <v>16846</v>
      </c>
      <c r="B9748" t="s">
        <v>16850</v>
      </c>
      <c r="C9748" t="s">
        <v>1625</v>
      </c>
      <c r="D9748" t="s">
        <v>16851</v>
      </c>
      <c r="E9748" t="s">
        <v>241</v>
      </c>
      <c r="F9748" s="2" t="str">
        <f>HYPERLINK("http://www.otzar.org/book.asp?62230","דרכי ציון")</f>
        <v>דרכי ציון</v>
      </c>
    </row>
    <row r="9749" spans="1:6" x14ac:dyDescent="0.2">
      <c r="A9749" t="s">
        <v>16846</v>
      </c>
      <c r="B9749" t="s">
        <v>3111</v>
      </c>
      <c r="C9749" t="s">
        <v>366</v>
      </c>
      <c r="D9749" t="s">
        <v>14</v>
      </c>
      <c r="F9749" s="2" t="str">
        <f>HYPERLINK("http://www.otzar.org/book.asp?616462","דרכי ציון")</f>
        <v>דרכי ציון</v>
      </c>
    </row>
    <row r="9750" spans="1:6" x14ac:dyDescent="0.2">
      <c r="A9750" t="s">
        <v>16852</v>
      </c>
      <c r="B9750" t="s">
        <v>13163</v>
      </c>
      <c r="C9750" t="s">
        <v>143</v>
      </c>
      <c r="D9750" t="s">
        <v>14</v>
      </c>
      <c r="E9750" t="s">
        <v>241</v>
      </c>
      <c r="F9750" s="2" t="str">
        <f>HYPERLINK("http://www.otzar.org/book.asp?166734","דרכי קנין תורה")</f>
        <v>דרכי קנין תורה</v>
      </c>
    </row>
    <row r="9751" spans="1:6" x14ac:dyDescent="0.2">
      <c r="A9751" t="s">
        <v>16853</v>
      </c>
      <c r="B9751" t="s">
        <v>16854</v>
      </c>
      <c r="C9751" t="s">
        <v>919</v>
      </c>
      <c r="D9751" t="s">
        <v>14</v>
      </c>
      <c r="E9751" t="s">
        <v>579</v>
      </c>
      <c r="F9751" s="2" t="str">
        <f>HYPERLINK("http://www.otzar.org/book.asp?25719","דרכי שלום")</f>
        <v>דרכי שלום</v>
      </c>
    </row>
    <row r="9752" spans="1:6" x14ac:dyDescent="0.2">
      <c r="A9752" t="s">
        <v>16855</v>
      </c>
      <c r="B9752" t="s">
        <v>16856</v>
      </c>
      <c r="C9752" t="s">
        <v>8736</v>
      </c>
      <c r="D9752" t="s">
        <v>535</v>
      </c>
      <c r="E9752" t="s">
        <v>930</v>
      </c>
      <c r="F9752" s="2" t="str">
        <f>HYPERLINK("http://www.otzar.org/book.asp?102785","דרכי שלום - 2 כר'")</f>
        <v>דרכי שלום - 2 כר'</v>
      </c>
    </row>
    <row r="9753" spans="1:6" x14ac:dyDescent="0.2">
      <c r="A9753" t="s">
        <v>16853</v>
      </c>
      <c r="B9753" t="s">
        <v>16857</v>
      </c>
      <c r="C9753" t="s">
        <v>250</v>
      </c>
      <c r="D9753" t="s">
        <v>76</v>
      </c>
      <c r="E9753" t="s">
        <v>579</v>
      </c>
      <c r="F9753" s="2" t="str">
        <f>HYPERLINK("http://www.otzar.org/book.asp?151506","דרכי שלום")</f>
        <v>דרכי שלום</v>
      </c>
    </row>
    <row r="9754" spans="1:6" x14ac:dyDescent="0.2">
      <c r="A9754" t="s">
        <v>16855</v>
      </c>
      <c r="B9754" t="s">
        <v>16858</v>
      </c>
      <c r="C9754" t="s">
        <v>313</v>
      </c>
      <c r="D9754" t="s">
        <v>21</v>
      </c>
      <c r="E9754" t="s">
        <v>144</v>
      </c>
      <c r="F9754" s="2" t="str">
        <f>HYPERLINK("http://www.otzar.org/book.asp?190716","דרכי שלום - 2 כר'")</f>
        <v>דרכי שלום - 2 כר'</v>
      </c>
    </row>
    <row r="9755" spans="1:6" x14ac:dyDescent="0.2">
      <c r="A9755" t="s">
        <v>16853</v>
      </c>
      <c r="B9755" t="s">
        <v>16859</v>
      </c>
      <c r="C9755" t="s">
        <v>547</v>
      </c>
      <c r="D9755" t="s">
        <v>12052</v>
      </c>
      <c r="E9755" t="s">
        <v>234</v>
      </c>
      <c r="F9755" s="2" t="str">
        <f>HYPERLINK("http://www.otzar.org/book.asp?24286","דרכי שלום")</f>
        <v>דרכי שלום</v>
      </c>
    </row>
    <row r="9756" spans="1:6" x14ac:dyDescent="0.2">
      <c r="A9756" t="s">
        <v>16860</v>
      </c>
      <c r="B9756" t="s">
        <v>552</v>
      </c>
      <c r="C9756" t="s">
        <v>466</v>
      </c>
      <c r="D9756" t="s">
        <v>90</v>
      </c>
      <c r="E9756" t="s">
        <v>202</v>
      </c>
      <c r="F9756" s="2" t="str">
        <f>HYPERLINK("http://www.otzar.org/book.asp?28230","דרכי שלום - הרה""ג רפאל שלום שאול הכהן מונק זצ""ל")</f>
        <v>דרכי שלום - הרה"ג רפאל שלום שאול הכהן מונק זצ"ל</v>
      </c>
    </row>
    <row r="9757" spans="1:6" x14ac:dyDescent="0.2">
      <c r="A9757" t="s">
        <v>16855</v>
      </c>
      <c r="B9757" t="s">
        <v>7405</v>
      </c>
      <c r="C9757" t="s">
        <v>20</v>
      </c>
      <c r="D9757" t="s">
        <v>14</v>
      </c>
      <c r="E9757" t="s">
        <v>15</v>
      </c>
      <c r="F9757" s="2" t="str">
        <f>HYPERLINK("http://www.otzar.org/book.asp?197520","דרכי שלום - 2 כר'")</f>
        <v>דרכי שלום - 2 כר'</v>
      </c>
    </row>
    <row r="9758" spans="1:6" x14ac:dyDescent="0.2">
      <c r="A9758" t="s">
        <v>16853</v>
      </c>
      <c r="B9758" t="s">
        <v>13596</v>
      </c>
      <c r="C9758" t="s">
        <v>609</v>
      </c>
      <c r="D9758" t="s">
        <v>691</v>
      </c>
      <c r="E9758" t="s">
        <v>3387</v>
      </c>
      <c r="F9758" s="2" t="str">
        <f>HYPERLINK("http://www.otzar.org/book.asp?100806","דרכי שלום")</f>
        <v>דרכי שלום</v>
      </c>
    </row>
    <row r="9759" spans="1:6" x14ac:dyDescent="0.2">
      <c r="A9759" t="s">
        <v>16861</v>
      </c>
      <c r="B9759" t="s">
        <v>16862</v>
      </c>
      <c r="C9759" t="s">
        <v>103</v>
      </c>
      <c r="D9759" t="s">
        <v>152</v>
      </c>
      <c r="E9759" t="s">
        <v>144</v>
      </c>
      <c r="F9759" s="2" t="str">
        <f>HYPERLINK("http://www.otzar.org/book.asp?152498","דרכי שלמה - בבא קמא")</f>
        <v>דרכי שלמה - בבא קמא</v>
      </c>
    </row>
    <row r="9760" spans="1:6" x14ac:dyDescent="0.2">
      <c r="A9760" t="s">
        <v>16863</v>
      </c>
      <c r="B9760" t="s">
        <v>552</v>
      </c>
      <c r="C9760" t="s">
        <v>133</v>
      </c>
      <c r="D9760" t="s">
        <v>14</v>
      </c>
      <c r="E9760" t="s">
        <v>202</v>
      </c>
      <c r="F9760" s="2" t="str">
        <f>HYPERLINK("http://www.otzar.org/book.asp?198494","דרכי שלמה")</f>
        <v>דרכי שלמה</v>
      </c>
    </row>
    <row r="9761" spans="1:6" x14ac:dyDescent="0.2">
      <c r="A9761" t="s">
        <v>16864</v>
      </c>
      <c r="B9761" t="s">
        <v>1275</v>
      </c>
      <c r="C9761" t="s">
        <v>143</v>
      </c>
      <c r="D9761" t="s">
        <v>14</v>
      </c>
      <c r="E9761" t="s">
        <v>84</v>
      </c>
      <c r="F9761" s="2" t="str">
        <f>HYPERLINK("http://www.otzar.org/book.asp?16477","דרכי שמואל - 5 כר'")</f>
        <v>דרכי שמואל - 5 כר'</v>
      </c>
    </row>
    <row r="9762" spans="1:6" x14ac:dyDescent="0.2">
      <c r="A9762" t="s">
        <v>16865</v>
      </c>
      <c r="B9762" t="s">
        <v>16866</v>
      </c>
      <c r="C9762" t="s">
        <v>356</v>
      </c>
      <c r="D9762" t="s">
        <v>412</v>
      </c>
      <c r="E9762" t="s">
        <v>16867</v>
      </c>
      <c r="F9762" s="2" t="str">
        <f>HYPERLINK("http://www.otzar.org/book.asp?176696","דרכי שמואל")</f>
        <v>דרכי שמואל</v>
      </c>
    </row>
    <row r="9763" spans="1:6" x14ac:dyDescent="0.2">
      <c r="A9763" t="s">
        <v>16868</v>
      </c>
      <c r="B9763" t="s">
        <v>16869</v>
      </c>
      <c r="C9763" t="s">
        <v>124</v>
      </c>
      <c r="D9763" t="s">
        <v>8647</v>
      </c>
      <c r="E9763" t="s">
        <v>803</v>
      </c>
      <c r="F9763" s="2" t="str">
        <f>HYPERLINK("http://www.otzar.org/book.asp?199848","דרכי שמחה")</f>
        <v>דרכי שמחה</v>
      </c>
    </row>
    <row r="9764" spans="1:6" x14ac:dyDescent="0.2">
      <c r="A9764" t="s">
        <v>16870</v>
      </c>
      <c r="B9764" t="s">
        <v>16871</v>
      </c>
      <c r="C9764" t="s">
        <v>411</v>
      </c>
      <c r="D9764" t="s">
        <v>245</v>
      </c>
      <c r="E9764" t="s">
        <v>172</v>
      </c>
      <c r="F9764" s="2" t="str">
        <f>HYPERLINK("http://www.otzar.org/book.asp?171037","דרכי תשובה &lt;מהדורה חדשה&gt; - 2 כר'")</f>
        <v>דרכי תשובה &lt;מהדורה חדשה&gt; - 2 כר'</v>
      </c>
    </row>
    <row r="9765" spans="1:6" x14ac:dyDescent="0.2">
      <c r="A9765" t="s">
        <v>16872</v>
      </c>
      <c r="B9765" t="s">
        <v>16873</v>
      </c>
      <c r="C9765" t="s">
        <v>496</v>
      </c>
      <c r="D9765" t="s">
        <v>9</v>
      </c>
      <c r="E9765" t="s">
        <v>16874</v>
      </c>
      <c r="F9765" s="2" t="str">
        <f>HYPERLINK("http://www.otzar.org/book.asp?22425","דרכי תשובה")</f>
        <v>דרכי תשובה</v>
      </c>
    </row>
    <row r="9766" spans="1:6" x14ac:dyDescent="0.2">
      <c r="A9766" t="s">
        <v>16875</v>
      </c>
      <c r="B9766" t="s">
        <v>16871</v>
      </c>
      <c r="C9766" t="s">
        <v>16876</v>
      </c>
      <c r="D9766" t="s">
        <v>56</v>
      </c>
      <c r="E9766" t="s">
        <v>148</v>
      </c>
      <c r="F9766" s="2" t="str">
        <f>HYPERLINK("http://www.otzar.org/book.asp?85326","דרכי תשובה - 7 כר'")</f>
        <v>דרכי תשובה - 7 כר'</v>
      </c>
    </row>
    <row r="9767" spans="1:6" x14ac:dyDescent="0.2">
      <c r="A9767" t="s">
        <v>16877</v>
      </c>
      <c r="B9767" t="s">
        <v>16878</v>
      </c>
      <c r="C9767" t="s">
        <v>1208</v>
      </c>
      <c r="D9767" t="s">
        <v>14</v>
      </c>
      <c r="E9767" t="s">
        <v>104</v>
      </c>
      <c r="F9767" s="2" t="str">
        <f>HYPERLINK("http://www.otzar.org/book.asp?172360","דרכי")</f>
        <v>דרכי</v>
      </c>
    </row>
    <row r="9768" spans="1:6" x14ac:dyDescent="0.2">
      <c r="A9768" t="s">
        <v>16879</v>
      </c>
      <c r="B9768" t="s">
        <v>2396</v>
      </c>
      <c r="C9768" t="s">
        <v>422</v>
      </c>
      <c r="D9768" t="s">
        <v>1076</v>
      </c>
      <c r="E9768" t="s">
        <v>158</v>
      </c>
      <c r="F9768" s="2" t="str">
        <f>HYPERLINK("http://www.otzar.org/book.asp?165290","דרכיה דרכי נועם - 2 כר'")</f>
        <v>דרכיה דרכי נועם - 2 כר'</v>
      </c>
    </row>
    <row r="9769" spans="1:6" x14ac:dyDescent="0.2">
      <c r="A9769" t="s">
        <v>16880</v>
      </c>
      <c r="B9769" t="s">
        <v>16881</v>
      </c>
      <c r="C9769" t="s">
        <v>244</v>
      </c>
      <c r="D9769" t="s">
        <v>1156</v>
      </c>
      <c r="F9769" s="2" t="str">
        <f>HYPERLINK("http://www.otzar.org/book.asp?614380","דרכיו ראיתי")</f>
        <v>דרכיו ראיתי</v>
      </c>
    </row>
    <row r="9770" spans="1:6" x14ac:dyDescent="0.2">
      <c r="A9770" t="s">
        <v>16882</v>
      </c>
      <c r="B9770" t="s">
        <v>16883</v>
      </c>
      <c r="C9770" t="s">
        <v>111</v>
      </c>
      <c r="D9770" t="s">
        <v>152</v>
      </c>
      <c r="E9770" t="s">
        <v>104</v>
      </c>
      <c r="F9770" s="2" t="str">
        <f>HYPERLINK("http://www.otzar.org/book.asp?627315","דרכים ושיטות לזכירת הלימוד")</f>
        <v>דרכים ושיטות לזכירת הלימוד</v>
      </c>
    </row>
    <row r="9771" spans="1:6" x14ac:dyDescent="0.2">
      <c r="A9771" t="s">
        <v>16884</v>
      </c>
      <c r="B9771" t="s">
        <v>16885</v>
      </c>
      <c r="C9771" t="s">
        <v>3205</v>
      </c>
      <c r="D9771" t="s">
        <v>260</v>
      </c>
      <c r="E9771" t="s">
        <v>508</v>
      </c>
      <c r="F9771" s="2" t="str">
        <f>HYPERLINK("http://www.otzar.org/book.asp?158918","דרכים למשה")</f>
        <v>דרכים למשה</v>
      </c>
    </row>
    <row r="9772" spans="1:6" x14ac:dyDescent="0.2">
      <c r="A9772" t="s">
        <v>16886</v>
      </c>
      <c r="B9772" t="s">
        <v>16887</v>
      </c>
      <c r="C9772" t="s">
        <v>129</v>
      </c>
      <c r="D9772" t="s">
        <v>14</v>
      </c>
      <c r="E9772" t="s">
        <v>158</v>
      </c>
      <c r="F9772" s="2" t="str">
        <f>HYPERLINK("http://www.otzar.org/book.asp?149785","דרכים של אש - 4 כר'")</f>
        <v>דרכים של אש - 4 כר'</v>
      </c>
    </row>
    <row r="9773" spans="1:6" x14ac:dyDescent="0.2">
      <c r="A9773" t="s">
        <v>16888</v>
      </c>
      <c r="B9773" t="s">
        <v>8642</v>
      </c>
      <c r="C9773" t="s">
        <v>129</v>
      </c>
      <c r="D9773" t="s">
        <v>52</v>
      </c>
      <c r="E9773" t="s">
        <v>104</v>
      </c>
      <c r="F9773" s="2" t="str">
        <f>HYPERLINK("http://www.otzar.org/book.asp?83707","דרכנו בחנוך")</f>
        <v>דרכנו בחנוך</v>
      </c>
    </row>
    <row r="9774" spans="1:6" x14ac:dyDescent="0.2">
      <c r="A9774" t="s">
        <v>16889</v>
      </c>
      <c r="B9774" t="s">
        <v>16890</v>
      </c>
      <c r="C9774" t="s">
        <v>23</v>
      </c>
      <c r="D9774" t="s">
        <v>1974</v>
      </c>
      <c r="E9774" t="s">
        <v>119</v>
      </c>
      <c r="F9774" s="2" t="str">
        <f>HYPERLINK("http://www.otzar.org/book.asp?189079","דרעזדען - תולדות הקהילה היהודית")</f>
        <v>דרעזדען - תולדות הקהילה היהודית</v>
      </c>
    </row>
    <row r="9775" spans="1:6" x14ac:dyDescent="0.2">
      <c r="A9775" t="s">
        <v>16891</v>
      </c>
      <c r="B9775" t="s">
        <v>9358</v>
      </c>
      <c r="C9775" t="s">
        <v>1388</v>
      </c>
      <c r="D9775" t="s">
        <v>216</v>
      </c>
      <c r="E9775" t="s">
        <v>199</v>
      </c>
      <c r="F9775" s="2" t="str">
        <f>HYPERLINK("http://www.otzar.org/book.asp?147895","דרצקה - ספר זיכרון ליהודי דרצ'קה וגלילותיה")</f>
        <v>דרצקה - ספר זיכרון ליהודי דרצ'קה וגלילותיה</v>
      </c>
    </row>
    <row r="9776" spans="1:6" x14ac:dyDescent="0.2">
      <c r="A9776" t="s">
        <v>16892</v>
      </c>
      <c r="B9776" t="s">
        <v>16893</v>
      </c>
      <c r="C9776" t="s">
        <v>71</v>
      </c>
      <c r="D9776" t="s">
        <v>14</v>
      </c>
      <c r="E9776" t="s">
        <v>1211</v>
      </c>
      <c r="F9776" s="2" t="str">
        <f>HYPERLINK("http://www.otzar.org/book.asp?105013","דרש &lt;מו""מ בענייני הילפותות&gt; - 2 כר'")</f>
        <v>דרש &lt;מו"מ בענייני הילפותות&gt; - 2 כר'</v>
      </c>
    </row>
    <row r="9777" spans="1:6" x14ac:dyDescent="0.2">
      <c r="A9777" t="s">
        <v>16894</v>
      </c>
      <c r="B9777" t="s">
        <v>7</v>
      </c>
      <c r="C9777" t="s">
        <v>16895</v>
      </c>
      <c r="D9777" t="s">
        <v>9</v>
      </c>
      <c r="E9777" t="s">
        <v>474</v>
      </c>
      <c r="F9777" s="2" t="str">
        <f>HYPERLINK("http://www.otzar.org/book.asp?51437","דרש אב - 5 כר'")</f>
        <v>דרש אב - 5 כר'</v>
      </c>
    </row>
    <row r="9778" spans="1:6" x14ac:dyDescent="0.2">
      <c r="A9778" t="s">
        <v>16896</v>
      </c>
      <c r="B9778" t="s">
        <v>16897</v>
      </c>
      <c r="C9778" t="s">
        <v>16898</v>
      </c>
      <c r="D9778" t="s">
        <v>76</v>
      </c>
      <c r="E9778" t="s">
        <v>579</v>
      </c>
      <c r="F9778" s="2" t="str">
        <f>HYPERLINK("http://www.otzar.org/book.asp?102881","דרש אברהם - 2 כר'")</f>
        <v>דרש אברהם - 2 כר'</v>
      </c>
    </row>
    <row r="9779" spans="1:6" x14ac:dyDescent="0.2">
      <c r="A9779" t="s">
        <v>16899</v>
      </c>
      <c r="B9779" t="s">
        <v>16900</v>
      </c>
      <c r="C9779" t="s">
        <v>185</v>
      </c>
      <c r="D9779" t="s">
        <v>14</v>
      </c>
      <c r="E9779" t="s">
        <v>213</v>
      </c>
      <c r="F9779" s="2" t="str">
        <f>HYPERLINK("http://www.otzar.org/book.asp?627843","דרש בחכמה")</f>
        <v>דרש בחכמה</v>
      </c>
    </row>
    <row r="9780" spans="1:6" x14ac:dyDescent="0.2">
      <c r="A9780" t="s">
        <v>16901</v>
      </c>
      <c r="B9780" t="s">
        <v>16902</v>
      </c>
      <c r="C9780" t="s">
        <v>334</v>
      </c>
      <c r="D9780" t="s">
        <v>14</v>
      </c>
      <c r="E9780" t="s">
        <v>104</v>
      </c>
      <c r="F9780" s="2" t="str">
        <f>HYPERLINK("http://www.otzar.org/book.asp?614517","דרש דרש משה")</f>
        <v>דרש דרש משה</v>
      </c>
    </row>
    <row r="9781" spans="1:6" x14ac:dyDescent="0.2">
      <c r="A9781" t="s">
        <v>16903</v>
      </c>
      <c r="B9781" t="s">
        <v>16904</v>
      </c>
      <c r="C9781" t="s">
        <v>133</v>
      </c>
      <c r="D9781" t="s">
        <v>52</v>
      </c>
      <c r="E9781" t="s">
        <v>15</v>
      </c>
      <c r="F9781" s="2" t="str">
        <f>HYPERLINK("http://www.otzar.org/book.asp?175870","דרש וחקר - 2 כר'")</f>
        <v>דרש וחקר - 2 כר'</v>
      </c>
    </row>
    <row r="9782" spans="1:6" x14ac:dyDescent="0.2">
      <c r="A9782" t="s">
        <v>16905</v>
      </c>
      <c r="B9782" t="s">
        <v>3951</v>
      </c>
      <c r="C9782" t="s">
        <v>37</v>
      </c>
      <c r="D9782" t="s">
        <v>52</v>
      </c>
      <c r="E9782" t="s">
        <v>246</v>
      </c>
      <c r="F9782" s="2" t="str">
        <f>HYPERLINK("http://www.otzar.org/book.asp?626329","דרש חיה")</f>
        <v>דרש חיה</v>
      </c>
    </row>
    <row r="9783" spans="1:6" x14ac:dyDescent="0.2">
      <c r="A9783" t="s">
        <v>16906</v>
      </c>
      <c r="B9783" t="s">
        <v>16907</v>
      </c>
      <c r="C9783" t="s">
        <v>111</v>
      </c>
      <c r="D9783" t="s">
        <v>147</v>
      </c>
      <c r="E9783" t="s">
        <v>1262</v>
      </c>
      <c r="F9783" s="2" t="str">
        <f>HYPERLINK("http://www.otzar.org/book.asp?623351","דרש יוסף")</f>
        <v>דרש יוסף</v>
      </c>
    </row>
    <row r="9784" spans="1:6" x14ac:dyDescent="0.2">
      <c r="A9784" t="s">
        <v>16908</v>
      </c>
      <c r="B9784" t="s">
        <v>16279</v>
      </c>
      <c r="C9784" t="s">
        <v>68</v>
      </c>
      <c r="D9784" t="s">
        <v>14</v>
      </c>
      <c r="F9784" s="2" t="str">
        <f>HYPERLINK("http://www.otzar.org/book.asp?85756","דרש יעקב")</f>
        <v>דרש יעקב</v>
      </c>
    </row>
    <row r="9785" spans="1:6" x14ac:dyDescent="0.2">
      <c r="A9785" t="s">
        <v>16909</v>
      </c>
      <c r="B9785" t="s">
        <v>16910</v>
      </c>
      <c r="C9785" t="s">
        <v>940</v>
      </c>
      <c r="D9785" t="s">
        <v>423</v>
      </c>
      <c r="E9785" t="s">
        <v>158</v>
      </c>
      <c r="F9785" s="2" t="str">
        <f>HYPERLINK("http://www.otzar.org/book.asp?173758","דרש משה &lt;מהדורה חדשה&gt;")</f>
        <v>דרש משה &lt;מהדורה חדשה&gt;</v>
      </c>
    </row>
    <row r="9786" spans="1:6" x14ac:dyDescent="0.2">
      <c r="A9786" t="s">
        <v>16911</v>
      </c>
      <c r="B9786" t="s">
        <v>16912</v>
      </c>
      <c r="C9786" t="s">
        <v>888</v>
      </c>
      <c r="D9786" t="s">
        <v>56</v>
      </c>
      <c r="E9786" t="s">
        <v>16913</v>
      </c>
      <c r="F9786" s="2" t="str">
        <f>HYPERLINK("http://www.otzar.org/book.asp?10372","דרש משה")</f>
        <v>דרש משה</v>
      </c>
    </row>
    <row r="9787" spans="1:6" x14ac:dyDescent="0.2">
      <c r="A9787" t="s">
        <v>16911</v>
      </c>
      <c r="B9787" t="s">
        <v>16914</v>
      </c>
      <c r="C9787" t="s">
        <v>1395</v>
      </c>
      <c r="D9787" t="s">
        <v>49</v>
      </c>
      <c r="E9787" t="s">
        <v>474</v>
      </c>
      <c r="F9787" s="2" t="str">
        <f>HYPERLINK("http://www.otzar.org/book.asp?104258","דרש משה")</f>
        <v>דרש משה</v>
      </c>
    </row>
    <row r="9788" spans="1:6" x14ac:dyDescent="0.2">
      <c r="A9788" t="s">
        <v>16915</v>
      </c>
      <c r="B9788" t="s">
        <v>16916</v>
      </c>
      <c r="C9788" t="s">
        <v>124</v>
      </c>
      <c r="D9788" t="s">
        <v>1076</v>
      </c>
      <c r="E9788" t="s">
        <v>104</v>
      </c>
      <c r="F9788" s="2" t="str">
        <f>HYPERLINK("http://www.otzar.org/book.asp?153770","דרש משה - ב")</f>
        <v>דרש משה - ב</v>
      </c>
    </row>
    <row r="9789" spans="1:6" x14ac:dyDescent="0.2">
      <c r="A9789" t="s">
        <v>16911</v>
      </c>
      <c r="B9789" t="s">
        <v>11168</v>
      </c>
      <c r="E9789" t="s">
        <v>579</v>
      </c>
      <c r="F9789" s="2" t="str">
        <f>HYPERLINK("http://www.otzar.org/book.asp?162214","דרש משה")</f>
        <v>דרש משה</v>
      </c>
    </row>
    <row r="9790" spans="1:6" x14ac:dyDescent="0.2">
      <c r="A9790" t="s">
        <v>16911</v>
      </c>
      <c r="B9790" t="s">
        <v>8588</v>
      </c>
      <c r="C9790" t="s">
        <v>87</v>
      </c>
      <c r="D9790" t="s">
        <v>721</v>
      </c>
      <c r="E9790" t="s">
        <v>2071</v>
      </c>
      <c r="F9790" s="2" t="str">
        <f>HYPERLINK("http://www.otzar.org/book.asp?149239","דרש משה")</f>
        <v>דרש משה</v>
      </c>
    </row>
    <row r="9791" spans="1:6" x14ac:dyDescent="0.2">
      <c r="A9791" t="s">
        <v>16911</v>
      </c>
      <c r="B9791" t="s">
        <v>16917</v>
      </c>
      <c r="C9791" t="s">
        <v>16493</v>
      </c>
      <c r="D9791" t="s">
        <v>1117</v>
      </c>
      <c r="E9791" t="s">
        <v>2533</v>
      </c>
      <c r="F9791" s="2" t="str">
        <f>HYPERLINK("http://www.otzar.org/book.asp?24290","דרש משה")</f>
        <v>דרש משה</v>
      </c>
    </row>
    <row r="9792" spans="1:6" x14ac:dyDescent="0.2">
      <c r="A9792" t="s">
        <v>16911</v>
      </c>
      <c r="B9792" t="s">
        <v>16910</v>
      </c>
      <c r="C9792" t="s">
        <v>752</v>
      </c>
      <c r="D9792" t="s">
        <v>267</v>
      </c>
      <c r="E9792" t="s">
        <v>158</v>
      </c>
      <c r="F9792" s="2" t="str">
        <f>HYPERLINK("http://www.otzar.org/book.asp?100111","דרש משה")</f>
        <v>דרש משה</v>
      </c>
    </row>
    <row r="9793" spans="1:6" x14ac:dyDescent="0.2">
      <c r="A9793" t="s">
        <v>16918</v>
      </c>
      <c r="B9793" t="s">
        <v>1358</v>
      </c>
      <c r="C9793" t="s">
        <v>1208</v>
      </c>
      <c r="D9793" t="s">
        <v>52</v>
      </c>
      <c r="E9793" t="s">
        <v>474</v>
      </c>
      <c r="F9793" s="2" t="str">
        <f>HYPERLINK("http://www.otzar.org/book.asp?142155","דרש משה - 2 כר'")</f>
        <v>דרש משה - 2 כר'</v>
      </c>
    </row>
    <row r="9794" spans="1:6" x14ac:dyDescent="0.2">
      <c r="A9794" t="s">
        <v>16918</v>
      </c>
      <c r="B9794" t="s">
        <v>6590</v>
      </c>
      <c r="C9794" t="s">
        <v>422</v>
      </c>
      <c r="D9794" t="s">
        <v>115</v>
      </c>
      <c r="E9794" t="s">
        <v>158</v>
      </c>
      <c r="F9794" s="2" t="str">
        <f>HYPERLINK("http://www.otzar.org/book.asp?157835","דרש משה - 2 כר'")</f>
        <v>דרש משה - 2 כר'</v>
      </c>
    </row>
    <row r="9795" spans="1:6" x14ac:dyDescent="0.2">
      <c r="A9795" t="s">
        <v>16911</v>
      </c>
      <c r="B9795" t="s">
        <v>16919</v>
      </c>
      <c r="C9795" t="s">
        <v>224</v>
      </c>
      <c r="D9795" t="s">
        <v>691</v>
      </c>
      <c r="E9795" t="s">
        <v>16920</v>
      </c>
      <c r="F9795" s="2" t="str">
        <f>HYPERLINK("http://www.otzar.org/book.asp?106958","דרש משה")</f>
        <v>דרש משה</v>
      </c>
    </row>
    <row r="9796" spans="1:6" x14ac:dyDescent="0.2">
      <c r="A9796" t="s">
        <v>16911</v>
      </c>
      <c r="B9796" t="s">
        <v>16921</v>
      </c>
      <c r="C9796" t="s">
        <v>16922</v>
      </c>
      <c r="D9796" t="s">
        <v>6214</v>
      </c>
      <c r="E9796" t="s">
        <v>241</v>
      </c>
      <c r="F9796" s="2" t="str">
        <f>HYPERLINK("http://www.otzar.org/book.asp?624606","דרש משה")</f>
        <v>דרש משה</v>
      </c>
    </row>
    <row r="9797" spans="1:6" x14ac:dyDescent="0.2">
      <c r="A9797" t="s">
        <v>16911</v>
      </c>
      <c r="B9797" t="s">
        <v>5697</v>
      </c>
      <c r="C9797" t="s">
        <v>888</v>
      </c>
      <c r="D9797" t="s">
        <v>4269</v>
      </c>
      <c r="E9797" t="s">
        <v>246</v>
      </c>
      <c r="F9797" s="2" t="str">
        <f>HYPERLINK("http://www.otzar.org/book.asp?51047","דרש משה")</f>
        <v>דרש משה</v>
      </c>
    </row>
    <row r="9798" spans="1:6" x14ac:dyDescent="0.2">
      <c r="A9798" t="s">
        <v>16923</v>
      </c>
      <c r="B9798" t="s">
        <v>7048</v>
      </c>
      <c r="C9798" t="s">
        <v>16924</v>
      </c>
      <c r="D9798" t="s">
        <v>216</v>
      </c>
      <c r="E9798" t="s">
        <v>144</v>
      </c>
      <c r="F9798" s="2" t="str">
        <f>HYPERLINK("http://www.otzar.org/book.asp?154927","דרש עולא רבה")</f>
        <v>דרש עולא רבה</v>
      </c>
    </row>
    <row r="9799" spans="1:6" x14ac:dyDescent="0.2">
      <c r="A9799" t="s">
        <v>16925</v>
      </c>
      <c r="B9799" t="s">
        <v>89</v>
      </c>
      <c r="C9799" t="s">
        <v>129</v>
      </c>
      <c r="D9799" t="s">
        <v>90</v>
      </c>
      <c r="E9799" t="s">
        <v>158</v>
      </c>
      <c r="F9799" s="2" t="str">
        <f>HYPERLINK("http://www.otzar.org/book.asp?621473","דרשה לישראל - ב")</f>
        <v>דרשה לישראל - ב</v>
      </c>
    </row>
    <row r="9800" spans="1:6" x14ac:dyDescent="0.2">
      <c r="A9800" t="s">
        <v>16926</v>
      </c>
      <c r="B9800" t="s">
        <v>16927</v>
      </c>
      <c r="C9800" t="s">
        <v>146</v>
      </c>
      <c r="D9800" t="s">
        <v>14</v>
      </c>
      <c r="E9800" t="s">
        <v>467</v>
      </c>
      <c r="F9800" s="2" t="str">
        <f>HYPERLINK("http://www.otzar.org/book.asp?165515","דרשה לפסח")</f>
        <v>דרשה לפסח</v>
      </c>
    </row>
    <row r="9801" spans="1:6" x14ac:dyDescent="0.2">
      <c r="A9801" t="s">
        <v>16928</v>
      </c>
      <c r="B9801" t="s">
        <v>16929</v>
      </c>
      <c r="C9801" t="s">
        <v>16930</v>
      </c>
      <c r="D9801" t="s">
        <v>16931</v>
      </c>
      <c r="F9801" s="2" t="str">
        <f>HYPERLINK("http://www.otzar.org/book.asp?614524","דרשה לפרשת במדבר")</f>
        <v>דרשה לפרשת במדבר</v>
      </c>
    </row>
    <row r="9802" spans="1:6" x14ac:dyDescent="0.2">
      <c r="A9802" t="s">
        <v>16932</v>
      </c>
      <c r="B9802" t="s">
        <v>11501</v>
      </c>
      <c r="C9802" t="s">
        <v>1246</v>
      </c>
      <c r="D9802" t="s">
        <v>563</v>
      </c>
      <c r="E9802" t="s">
        <v>5580</v>
      </c>
      <c r="F9802" s="2" t="str">
        <f>HYPERLINK("http://www.otzar.org/book.asp?14249","דרשה לראש השנה")</f>
        <v>דרשה לראש השנה</v>
      </c>
    </row>
    <row r="9803" spans="1:6" x14ac:dyDescent="0.2">
      <c r="A9803" t="s">
        <v>16933</v>
      </c>
      <c r="B9803" t="s">
        <v>3923</v>
      </c>
      <c r="C9803" t="s">
        <v>775</v>
      </c>
      <c r="D9803" t="s">
        <v>216</v>
      </c>
      <c r="E9803" t="s">
        <v>234</v>
      </c>
      <c r="F9803" s="2" t="str">
        <f>HYPERLINK("http://www.otzar.org/book.asp?144901","דרשה לשבת הגדול (שמ""ט) &lt;מהדורת פרדס&gt;")</f>
        <v>דרשה לשבת הגדול (שמ"ט) &lt;מהדורת פרדס&gt;</v>
      </c>
    </row>
    <row r="9804" spans="1:6" x14ac:dyDescent="0.2">
      <c r="A9804" t="s">
        <v>16934</v>
      </c>
      <c r="B9804" t="s">
        <v>8270</v>
      </c>
      <c r="C9804" t="s">
        <v>1811</v>
      </c>
      <c r="D9804" t="s">
        <v>1356</v>
      </c>
      <c r="E9804" t="s">
        <v>234</v>
      </c>
      <c r="F9804" s="2" t="str">
        <f>HYPERLINK("http://www.otzar.org/book.asp?195981","דרשה לתשובה")</f>
        <v>דרשה לתשובה</v>
      </c>
    </row>
    <row r="9805" spans="1:6" x14ac:dyDescent="0.2">
      <c r="A9805" t="s">
        <v>16935</v>
      </c>
      <c r="B9805" t="s">
        <v>16936</v>
      </c>
      <c r="C9805" t="s">
        <v>20</v>
      </c>
      <c r="D9805" t="s">
        <v>80</v>
      </c>
      <c r="E9805" t="s">
        <v>234</v>
      </c>
      <c r="F9805" s="2" t="str">
        <f>HYPERLINK("http://www.otzar.org/book.asp?195799","דרשה מאדמו""ר בעל ישועות משה זצ""ל")</f>
        <v>דרשה מאדמו"ר בעל ישועות משה זצ"ל</v>
      </c>
    </row>
    <row r="9806" spans="1:6" x14ac:dyDescent="0.2">
      <c r="A9806" t="s">
        <v>16937</v>
      </c>
      <c r="B9806" t="s">
        <v>5667</v>
      </c>
      <c r="C9806" t="s">
        <v>558</v>
      </c>
      <c r="D9806" t="s">
        <v>225</v>
      </c>
      <c r="E9806" t="s">
        <v>15</v>
      </c>
      <c r="F9806" s="2" t="str">
        <f>HYPERLINK("http://www.otzar.org/book.asp?170656","דרשה צמר ופשתים")</f>
        <v>דרשה צמר ופשתים</v>
      </c>
    </row>
    <row r="9807" spans="1:6" x14ac:dyDescent="0.2">
      <c r="A9807" t="s">
        <v>16938</v>
      </c>
      <c r="B9807" t="s">
        <v>6759</v>
      </c>
      <c r="C9807" t="s">
        <v>438</v>
      </c>
      <c r="D9807" t="s">
        <v>14</v>
      </c>
      <c r="E9807" t="s">
        <v>234</v>
      </c>
      <c r="F9807" s="2" t="str">
        <f>HYPERLINK("http://www.otzar.org/book.asp?155765","דרשה")</f>
        <v>דרשה</v>
      </c>
    </row>
    <row r="9808" spans="1:6" x14ac:dyDescent="0.2">
      <c r="A9808" t="s">
        <v>16938</v>
      </c>
      <c r="B9808" t="s">
        <v>16939</v>
      </c>
      <c r="C9808" t="s">
        <v>1921</v>
      </c>
      <c r="D9808" t="s">
        <v>16940</v>
      </c>
      <c r="E9808" t="s">
        <v>474</v>
      </c>
      <c r="F9808" s="2" t="str">
        <f>HYPERLINK("http://www.otzar.org/book.asp?148141","דרשה")</f>
        <v>דרשה</v>
      </c>
    </row>
    <row r="9809" spans="1:6" x14ac:dyDescent="0.2">
      <c r="A9809" t="s">
        <v>16938</v>
      </c>
      <c r="B9809" t="s">
        <v>7861</v>
      </c>
      <c r="C9809" t="s">
        <v>286</v>
      </c>
      <c r="D9809" t="s">
        <v>2968</v>
      </c>
      <c r="F9809" s="2" t="str">
        <f>HYPERLINK("http://www.otzar.org/book.asp?611918","דרשה")</f>
        <v>דרשה</v>
      </c>
    </row>
    <row r="9810" spans="1:6" x14ac:dyDescent="0.2">
      <c r="A9810" t="s">
        <v>16941</v>
      </c>
      <c r="B9810" t="s">
        <v>686</v>
      </c>
      <c r="C9810" t="s">
        <v>68</v>
      </c>
      <c r="D9810" t="s">
        <v>52</v>
      </c>
      <c r="E9810" t="s">
        <v>104</v>
      </c>
      <c r="F9810" s="2" t="str">
        <f>HYPERLINK("http://www.otzar.org/book.asp?189250","דרשו ה' בהמצאו")</f>
        <v>דרשו ה' בהמצאו</v>
      </c>
    </row>
    <row r="9811" spans="1:6" x14ac:dyDescent="0.2">
      <c r="A9811" t="s">
        <v>16942</v>
      </c>
      <c r="B9811" t="s">
        <v>5648</v>
      </c>
      <c r="C9811" t="s">
        <v>3690</v>
      </c>
      <c r="D9811" t="s">
        <v>283</v>
      </c>
      <c r="E9811" t="s">
        <v>508</v>
      </c>
      <c r="F9811" s="2" t="str">
        <f>HYPERLINK("http://www.otzar.org/book.asp?151342","דרשו משפט")</f>
        <v>דרשו משפט</v>
      </c>
    </row>
    <row r="9812" spans="1:6" x14ac:dyDescent="0.2">
      <c r="A9812" t="s">
        <v>16943</v>
      </c>
      <c r="B9812" t="s">
        <v>16944</v>
      </c>
      <c r="C9812" t="s">
        <v>114</v>
      </c>
      <c r="D9812" t="s">
        <v>147</v>
      </c>
      <c r="F9812" s="2" t="str">
        <f>HYPERLINK("http://www.otzar.org/book.asp?619243","דרשו ציון")</f>
        <v>דרשו ציון</v>
      </c>
    </row>
    <row r="9813" spans="1:6" x14ac:dyDescent="0.2">
      <c r="A9813" t="s">
        <v>16945</v>
      </c>
      <c r="B9813" t="s">
        <v>16946</v>
      </c>
      <c r="C9813" t="s">
        <v>114</v>
      </c>
      <c r="D9813" t="s">
        <v>14</v>
      </c>
      <c r="F9813" s="2" t="str">
        <f>HYPERLINK("http://www.otzar.org/book.asp?164815","דרשות אגרות ותולדות בעל שו""ת הרי בשמים")</f>
        <v>דרשות אגרות ותולדות בעל שו"ת הרי בשמים</v>
      </c>
    </row>
    <row r="9814" spans="1:6" x14ac:dyDescent="0.2">
      <c r="A9814" t="s">
        <v>16947</v>
      </c>
      <c r="B9814" t="s">
        <v>16948</v>
      </c>
      <c r="C9814">
        <v>1939</v>
      </c>
      <c r="D9814" t="s">
        <v>16949</v>
      </c>
      <c r="E9814" t="s">
        <v>158</v>
      </c>
      <c r="F9814" s="2" t="str">
        <f>HYPERLINK("http://www.otzar.org/book.asp?196262","דרשות אין אידיש - שמות")</f>
        <v>דרשות אין אידיש - שמות</v>
      </c>
    </row>
    <row r="9815" spans="1:6" x14ac:dyDescent="0.2">
      <c r="A9815" t="s">
        <v>16950</v>
      </c>
      <c r="B9815" t="s">
        <v>16951</v>
      </c>
      <c r="C9815" t="s">
        <v>609</v>
      </c>
      <c r="D9815" t="s">
        <v>10393</v>
      </c>
      <c r="E9815" t="s">
        <v>234</v>
      </c>
      <c r="F9815" s="2" t="str">
        <f>HYPERLINK("http://www.otzar.org/book.asp?100110","דרשות אליעזר")</f>
        <v>דרשות אליעזר</v>
      </c>
    </row>
    <row r="9816" spans="1:6" x14ac:dyDescent="0.2">
      <c r="A9816" t="s">
        <v>16952</v>
      </c>
      <c r="B9816" t="s">
        <v>9978</v>
      </c>
      <c r="C9816" t="s">
        <v>16953</v>
      </c>
      <c r="D9816" t="s">
        <v>1100</v>
      </c>
      <c r="E9816" t="s">
        <v>158</v>
      </c>
      <c r="F9816" s="2" t="str">
        <f>HYPERLINK("http://www.otzar.org/book.asp?9296","דרשות בית היוצר")</f>
        <v>דרשות בית היוצר</v>
      </c>
    </row>
    <row r="9817" spans="1:6" x14ac:dyDescent="0.2">
      <c r="A9817" t="s">
        <v>16954</v>
      </c>
      <c r="B9817" t="s">
        <v>16955</v>
      </c>
      <c r="C9817" t="s">
        <v>2271</v>
      </c>
      <c r="D9817" t="s">
        <v>2290</v>
      </c>
      <c r="E9817" t="s">
        <v>930</v>
      </c>
      <c r="F9817" s="2" t="str">
        <f>HYPERLINK("http://www.otzar.org/book.asp?15737","דרשות גבר""י - 2 כר'")</f>
        <v>דרשות גבר"י - 2 כר'</v>
      </c>
    </row>
    <row r="9818" spans="1:6" x14ac:dyDescent="0.2">
      <c r="A9818" t="s">
        <v>16956</v>
      </c>
      <c r="B9818" t="s">
        <v>13393</v>
      </c>
      <c r="C9818" t="s">
        <v>146</v>
      </c>
      <c r="D9818" t="s">
        <v>412</v>
      </c>
      <c r="E9818" t="s">
        <v>467</v>
      </c>
      <c r="F9818" s="2" t="str">
        <f>HYPERLINK("http://www.otzar.org/book.asp?150888","דרשות הושענא רבה")</f>
        <v>דרשות הושענא רבה</v>
      </c>
    </row>
    <row r="9819" spans="1:6" x14ac:dyDescent="0.2">
      <c r="A9819" t="s">
        <v>16957</v>
      </c>
      <c r="B9819" t="s">
        <v>16958</v>
      </c>
      <c r="C9819" t="s">
        <v>543</v>
      </c>
      <c r="D9819" t="s">
        <v>2303</v>
      </c>
      <c r="E9819" t="s">
        <v>234</v>
      </c>
      <c r="F9819" s="2" t="str">
        <f>HYPERLINK("http://www.otzar.org/book.asp?148147","דרשות הזאב")</f>
        <v>דרשות הזאב</v>
      </c>
    </row>
    <row r="9820" spans="1:6" x14ac:dyDescent="0.2">
      <c r="A9820" t="s">
        <v>16959</v>
      </c>
      <c r="B9820" t="s">
        <v>1303</v>
      </c>
      <c r="C9820" t="s">
        <v>523</v>
      </c>
      <c r="D9820" t="s">
        <v>14</v>
      </c>
      <c r="F9820" s="2" t="str">
        <f>HYPERLINK("http://www.otzar.org/book.asp?162675","דרשות הנצי""ב")</f>
        <v>דרשות הנצי"ב</v>
      </c>
    </row>
    <row r="9821" spans="1:6" x14ac:dyDescent="0.2">
      <c r="A9821" t="s">
        <v>16960</v>
      </c>
      <c r="B9821" t="s">
        <v>15259</v>
      </c>
      <c r="C9821" t="s">
        <v>454</v>
      </c>
      <c r="D9821" t="s">
        <v>14</v>
      </c>
      <c r="E9821" t="s">
        <v>234</v>
      </c>
      <c r="F9821" s="2" t="str">
        <f>HYPERLINK("http://www.otzar.org/book.asp?156086","דרשות הצל""ח השלם")</f>
        <v>דרשות הצל"ח השלם</v>
      </c>
    </row>
    <row r="9822" spans="1:6" x14ac:dyDescent="0.2">
      <c r="A9822" t="s">
        <v>16961</v>
      </c>
      <c r="B9822" t="s">
        <v>16962</v>
      </c>
      <c r="C9822" t="s">
        <v>51</v>
      </c>
      <c r="D9822" t="s">
        <v>147</v>
      </c>
      <c r="E9822" t="s">
        <v>165</v>
      </c>
      <c r="F9822" s="2" t="str">
        <f>HYPERLINK("http://www.otzar.org/book.asp?614895","דרשות הצל""ח - שבת שובה, הספדים")</f>
        <v>דרשות הצל"ח - שבת שובה, הספדים</v>
      </c>
    </row>
    <row r="9823" spans="1:6" x14ac:dyDescent="0.2">
      <c r="A9823" t="s">
        <v>16963</v>
      </c>
      <c r="B9823" t="s">
        <v>16964</v>
      </c>
      <c r="C9823" t="s">
        <v>767</v>
      </c>
      <c r="D9823" t="s">
        <v>52</v>
      </c>
      <c r="E9823" t="s">
        <v>16965</v>
      </c>
      <c r="F9823" s="2" t="str">
        <f>HYPERLINK("http://www.otzar.org/book.asp?60705","דרשות הר""ן - 5 כר'")</f>
        <v>דרשות הר"ן - 5 כר'</v>
      </c>
    </row>
    <row r="9824" spans="1:6" x14ac:dyDescent="0.2">
      <c r="A9824" t="s">
        <v>16966</v>
      </c>
      <c r="B9824" t="s">
        <v>2111</v>
      </c>
      <c r="C9824" t="s">
        <v>2644</v>
      </c>
      <c r="D9824" t="s">
        <v>27</v>
      </c>
      <c r="E9824" t="s">
        <v>435</v>
      </c>
      <c r="F9824" s="2" t="str">
        <f>HYPERLINK("http://www.otzar.org/book.asp?104050","דרשות הרא""ש")</f>
        <v>דרשות הרא"ש</v>
      </c>
    </row>
    <row r="9825" spans="1:6" x14ac:dyDescent="0.2">
      <c r="A9825" t="s">
        <v>16967</v>
      </c>
      <c r="B9825" t="s">
        <v>16968</v>
      </c>
      <c r="C9825" t="s">
        <v>1166</v>
      </c>
      <c r="D9825" t="s">
        <v>56</v>
      </c>
      <c r="E9825" t="s">
        <v>559</v>
      </c>
      <c r="F9825" s="2" t="str">
        <f>HYPERLINK("http://www.otzar.org/book.asp?102974","דרשות הרבי""ל")</f>
        <v>דרשות הרבי"ל</v>
      </c>
    </row>
    <row r="9826" spans="1:6" x14ac:dyDescent="0.2">
      <c r="A9826" t="s">
        <v>16969</v>
      </c>
      <c r="B9826" t="s">
        <v>16970</v>
      </c>
      <c r="C9826" t="s">
        <v>445</v>
      </c>
      <c r="D9826" t="s">
        <v>56</v>
      </c>
      <c r="E9826" t="s">
        <v>474</v>
      </c>
      <c r="F9826" s="2" t="str">
        <f>HYPERLINK("http://www.otzar.org/book.asp?155767","דרשות הרמ""ה - 2 כר'")</f>
        <v>דרשות הרמ"ה - 2 כר'</v>
      </c>
    </row>
    <row r="9827" spans="1:6" x14ac:dyDescent="0.2">
      <c r="A9827" t="s">
        <v>16971</v>
      </c>
      <c r="B9827" t="s">
        <v>14942</v>
      </c>
      <c r="C9827" t="s">
        <v>1169</v>
      </c>
      <c r="D9827" t="s">
        <v>9</v>
      </c>
      <c r="E9827" t="s">
        <v>1262</v>
      </c>
      <c r="F9827" s="2" t="str">
        <f>HYPERLINK("http://www.otzar.org/book.asp?102973","דרשות הרפ""ם")</f>
        <v>דרשות הרפ"ם</v>
      </c>
    </row>
    <row r="9828" spans="1:6" x14ac:dyDescent="0.2">
      <c r="A9828" t="s">
        <v>16972</v>
      </c>
      <c r="B9828" t="s">
        <v>16973</v>
      </c>
      <c r="C9828" t="s">
        <v>16974</v>
      </c>
      <c r="D9828" t="s">
        <v>16975</v>
      </c>
      <c r="F9828" s="2" t="str">
        <f>HYPERLINK("http://www.otzar.org/book.asp?614575","דרשות התורה - 2 כר'")</f>
        <v>דרשות התורה - 2 כר'</v>
      </c>
    </row>
    <row r="9829" spans="1:6" x14ac:dyDescent="0.2">
      <c r="A9829" t="s">
        <v>16976</v>
      </c>
      <c r="B9829" t="s">
        <v>16977</v>
      </c>
      <c r="C9829" t="s">
        <v>619</v>
      </c>
      <c r="D9829" t="s">
        <v>16978</v>
      </c>
      <c r="E9829" t="s">
        <v>11780</v>
      </c>
      <c r="F9829" s="2" t="str">
        <f>HYPERLINK("http://www.otzar.org/book.asp?102883","דרשות וחידושי רמ""ג")</f>
        <v>דרשות וחידושי רמ"ג</v>
      </c>
    </row>
    <row r="9830" spans="1:6" x14ac:dyDescent="0.2">
      <c r="A9830" t="s">
        <v>16979</v>
      </c>
      <c r="B9830" t="s">
        <v>7150</v>
      </c>
      <c r="C9830" t="s">
        <v>767</v>
      </c>
      <c r="D9830" t="s">
        <v>14</v>
      </c>
      <c r="E9830" t="s">
        <v>16980</v>
      </c>
      <c r="F9830" s="2" t="str">
        <f>HYPERLINK("http://www.otzar.org/book.asp?153294","דרשות ומאמרים לרבינו בצלאל אשכנזי")</f>
        <v>דרשות ומאמרים לרבינו בצלאל אשכנזי</v>
      </c>
    </row>
    <row r="9831" spans="1:6" x14ac:dyDescent="0.2">
      <c r="A9831" t="s">
        <v>16981</v>
      </c>
      <c r="B9831" t="s">
        <v>4285</v>
      </c>
      <c r="C9831" t="s">
        <v>383</v>
      </c>
      <c r="D9831" t="s">
        <v>14</v>
      </c>
      <c r="E9831" t="s">
        <v>2915</v>
      </c>
      <c r="F9831" s="2" t="str">
        <f>HYPERLINK("http://www.otzar.org/book.asp?152583","דרשות ומאמרים")</f>
        <v>דרשות ומאמרים</v>
      </c>
    </row>
    <row r="9832" spans="1:6" x14ac:dyDescent="0.2">
      <c r="A9832" t="s">
        <v>16982</v>
      </c>
      <c r="B9832" t="s">
        <v>1574</v>
      </c>
      <c r="C9832" t="s">
        <v>1448</v>
      </c>
      <c r="D9832" t="s">
        <v>14</v>
      </c>
      <c r="E9832" t="s">
        <v>158</v>
      </c>
      <c r="F9832" s="2" t="str">
        <f>HYPERLINK("http://www.otzar.org/book.asp?14441","דרשות ופירושי רבנו יונה גירונדי")</f>
        <v>דרשות ופירושי רבנו יונה גירונדי</v>
      </c>
    </row>
    <row r="9833" spans="1:6" x14ac:dyDescent="0.2">
      <c r="A9833" t="s">
        <v>16983</v>
      </c>
      <c r="B9833" t="s">
        <v>16984</v>
      </c>
      <c r="C9833" t="s">
        <v>20</v>
      </c>
      <c r="D9833" t="s">
        <v>52</v>
      </c>
      <c r="E9833" t="s">
        <v>104</v>
      </c>
      <c r="F9833" s="2" t="str">
        <f>HYPERLINK("http://www.otzar.org/book.asp?605135","דרשות ושיחות שבט הלוי - 3 כר'")</f>
        <v>דרשות ושיחות שבט הלוי - 3 כר'</v>
      </c>
    </row>
    <row r="9834" spans="1:6" x14ac:dyDescent="0.2">
      <c r="A9834" t="s">
        <v>16985</v>
      </c>
      <c r="B9834" t="s">
        <v>16986</v>
      </c>
      <c r="C9834" t="s">
        <v>366</v>
      </c>
      <c r="D9834" t="s">
        <v>245</v>
      </c>
      <c r="E9834" t="s">
        <v>158</v>
      </c>
      <c r="F9834" s="2" t="str">
        <f>HYPERLINK("http://www.otzar.org/book.asp?606293","דרשות חלק לוי - 2 כר'")</f>
        <v>דרשות חלק לוי - 2 כר'</v>
      </c>
    </row>
    <row r="9835" spans="1:6" x14ac:dyDescent="0.2">
      <c r="A9835" t="s">
        <v>16987</v>
      </c>
      <c r="B9835" t="s">
        <v>16988</v>
      </c>
      <c r="C9835" t="s">
        <v>37</v>
      </c>
      <c r="D9835" t="s">
        <v>412</v>
      </c>
      <c r="E9835" t="s">
        <v>467</v>
      </c>
      <c r="F9835" s="2" t="str">
        <f>HYPERLINK("http://www.otzar.org/book.asp?626565","דרשות ילקוט סופר")</f>
        <v>דרשות ילקוט סופר</v>
      </c>
    </row>
    <row r="9836" spans="1:6" x14ac:dyDescent="0.2">
      <c r="A9836" t="s">
        <v>16989</v>
      </c>
      <c r="B9836" t="s">
        <v>16990</v>
      </c>
      <c r="C9836" t="s">
        <v>2105</v>
      </c>
      <c r="D9836" t="s">
        <v>412</v>
      </c>
      <c r="E9836" t="s">
        <v>234</v>
      </c>
      <c r="F9836" s="2" t="str">
        <f>HYPERLINK("http://www.otzar.org/book.asp?188623","דרשות יצחק סאדין")</f>
        <v>דרשות יצחק סאדין</v>
      </c>
    </row>
    <row r="9837" spans="1:6" x14ac:dyDescent="0.2">
      <c r="A9837" t="s">
        <v>16991</v>
      </c>
      <c r="B9837" t="s">
        <v>16992</v>
      </c>
      <c r="C9837" t="s">
        <v>506</v>
      </c>
      <c r="D9837" t="s">
        <v>9</v>
      </c>
      <c r="E9837" t="s">
        <v>234</v>
      </c>
      <c r="F9837" s="2" t="str">
        <f>HYPERLINK("http://www.otzar.org/book.asp?181287","דרשות לבר מצוה")</f>
        <v>דרשות לבר מצוה</v>
      </c>
    </row>
    <row r="9838" spans="1:6" x14ac:dyDescent="0.2">
      <c r="A9838" t="s">
        <v>16991</v>
      </c>
      <c r="B9838" t="s">
        <v>8270</v>
      </c>
      <c r="C9838" t="s">
        <v>124</v>
      </c>
      <c r="D9838" t="s">
        <v>14</v>
      </c>
      <c r="E9838" t="s">
        <v>474</v>
      </c>
      <c r="F9838" s="2" t="str">
        <f>HYPERLINK("http://www.otzar.org/book.asp?107041","דרשות לבר מצוה")</f>
        <v>דרשות לבר מצוה</v>
      </c>
    </row>
    <row r="9839" spans="1:6" x14ac:dyDescent="0.2">
      <c r="A9839" t="s">
        <v>16993</v>
      </c>
      <c r="B9839" t="s">
        <v>12291</v>
      </c>
      <c r="C9839" t="s">
        <v>133</v>
      </c>
      <c r="D9839" t="s">
        <v>14</v>
      </c>
      <c r="E9839" t="s">
        <v>234</v>
      </c>
      <c r="F9839" s="2" t="str">
        <f>HYPERLINK("http://www.otzar.org/book.asp?171133","דרשות לבר מצוה - 2 כר'")</f>
        <v>דרשות לבר מצוה - 2 כר'</v>
      </c>
    </row>
    <row r="9840" spans="1:6" x14ac:dyDescent="0.2">
      <c r="A9840" t="s">
        <v>16994</v>
      </c>
      <c r="B9840" t="s">
        <v>578</v>
      </c>
      <c r="C9840" t="s">
        <v>124</v>
      </c>
      <c r="D9840" t="s">
        <v>412</v>
      </c>
      <c r="E9840" t="s">
        <v>16995</v>
      </c>
      <c r="F9840" s="2" t="str">
        <f>HYPERLINK("http://www.otzar.org/book.asp?163739","דרשות לחם שלמה")</f>
        <v>דרשות לחם שלמה</v>
      </c>
    </row>
    <row r="9841" spans="1:6" x14ac:dyDescent="0.2">
      <c r="A9841" t="s">
        <v>16996</v>
      </c>
      <c r="B9841" t="s">
        <v>16997</v>
      </c>
      <c r="C9841" t="s">
        <v>71</v>
      </c>
      <c r="D9841" t="s">
        <v>14</v>
      </c>
      <c r="E9841" t="s">
        <v>234</v>
      </c>
      <c r="F9841" s="2" t="str">
        <f>HYPERLINK("http://www.otzar.org/book.asp?102972","דרשות לימי הפסח")</f>
        <v>דרשות לימי הפסח</v>
      </c>
    </row>
    <row r="9842" spans="1:6" x14ac:dyDescent="0.2">
      <c r="A9842" t="s">
        <v>16998</v>
      </c>
      <c r="B9842" t="s">
        <v>16997</v>
      </c>
      <c r="C9842" t="s">
        <v>767</v>
      </c>
      <c r="D9842" t="s">
        <v>14</v>
      </c>
      <c r="E9842" t="s">
        <v>234</v>
      </c>
      <c r="F9842" s="2" t="str">
        <f>HYPERLINK("http://www.otzar.org/book.asp?102971","דרשות לימים הנוראים")</f>
        <v>דרשות לימים הנוראים</v>
      </c>
    </row>
    <row r="9843" spans="1:6" x14ac:dyDescent="0.2">
      <c r="A9843" t="s">
        <v>16999</v>
      </c>
      <c r="B9843" t="s">
        <v>17000</v>
      </c>
      <c r="C9843" t="s">
        <v>2550</v>
      </c>
      <c r="D9843" t="s">
        <v>6129</v>
      </c>
      <c r="E9843" t="s">
        <v>234</v>
      </c>
      <c r="F9843" s="2" t="str">
        <f>HYPERLINK("http://www.otzar.org/book.asp?100112","דרשות לימים נוראים ולמועדים")</f>
        <v>דרשות לימים נוראים ולמועדים</v>
      </c>
    </row>
    <row r="9844" spans="1:6" x14ac:dyDescent="0.2">
      <c r="A9844" t="s">
        <v>17001</v>
      </c>
      <c r="B9844" t="s">
        <v>5699</v>
      </c>
      <c r="C9844" t="s">
        <v>908</v>
      </c>
      <c r="D9844" t="s">
        <v>12052</v>
      </c>
      <c r="E9844" t="s">
        <v>234</v>
      </c>
      <c r="F9844" s="2" t="str">
        <f>HYPERLINK("http://www.otzar.org/book.asp?146992","דרשות לעמנו ולדתנו")</f>
        <v>דרשות לעמנו ולדתנו</v>
      </c>
    </row>
    <row r="9845" spans="1:6" x14ac:dyDescent="0.2">
      <c r="A9845" t="s">
        <v>17002</v>
      </c>
      <c r="B9845" t="s">
        <v>1091</v>
      </c>
      <c r="C9845" t="s">
        <v>411</v>
      </c>
      <c r="D9845" t="s">
        <v>14</v>
      </c>
      <c r="E9845" t="s">
        <v>474</v>
      </c>
      <c r="F9845" s="2" t="str">
        <f>HYPERLINK("http://www.otzar.org/book.asp?189187","דרשות לפרשת שבוע")</f>
        <v>דרשות לפרשת שבוע</v>
      </c>
    </row>
    <row r="9846" spans="1:6" x14ac:dyDescent="0.2">
      <c r="A9846" t="s">
        <v>17003</v>
      </c>
      <c r="B9846" t="s">
        <v>17004</v>
      </c>
      <c r="C9846" t="s">
        <v>71</v>
      </c>
      <c r="D9846" t="s">
        <v>52</v>
      </c>
      <c r="E9846" t="s">
        <v>4333</v>
      </c>
      <c r="F9846" s="2" t="str">
        <f>HYPERLINK("http://www.otzar.org/book.asp?60765","דרשות מהר""י מינץ - 2 כר'")</f>
        <v>דרשות מהר"י מינץ - 2 כר'</v>
      </c>
    </row>
    <row r="9847" spans="1:6" x14ac:dyDescent="0.2">
      <c r="A9847" t="s">
        <v>17005</v>
      </c>
      <c r="B9847" t="s">
        <v>3923</v>
      </c>
      <c r="C9847" t="s">
        <v>767</v>
      </c>
      <c r="D9847" t="s">
        <v>216</v>
      </c>
      <c r="E9847" t="s">
        <v>474</v>
      </c>
      <c r="F9847" s="2" t="str">
        <f>HYPERLINK("http://www.otzar.org/book.asp?144907","דרשות מהר""ל מפראג &lt;מהדורת פרדס&gt;")</f>
        <v>דרשות מהר"ל מפראג &lt;מהדורת פרדס&gt;</v>
      </c>
    </row>
    <row r="9848" spans="1:6" x14ac:dyDescent="0.2">
      <c r="A9848" t="s">
        <v>17006</v>
      </c>
      <c r="B9848" t="s">
        <v>3923</v>
      </c>
      <c r="C9848" t="s">
        <v>1169</v>
      </c>
      <c r="D9848" t="s">
        <v>27</v>
      </c>
      <c r="E9848" t="s">
        <v>17007</v>
      </c>
      <c r="F9848" s="2" t="str">
        <f>HYPERLINK("http://www.otzar.org/book.asp?5982","דרשות מהר""ל מפראג - 2 כר'")</f>
        <v>דרשות מהר"ל מפראג - 2 כר'</v>
      </c>
    </row>
    <row r="9849" spans="1:6" x14ac:dyDescent="0.2">
      <c r="A9849" t="s">
        <v>17008</v>
      </c>
      <c r="B9849" t="s">
        <v>16269</v>
      </c>
      <c r="C9849" t="s">
        <v>133</v>
      </c>
      <c r="D9849" t="s">
        <v>412</v>
      </c>
      <c r="E9849" t="s">
        <v>467</v>
      </c>
      <c r="F9849" s="2" t="str">
        <f>HYPERLINK("http://www.otzar.org/book.asp?174674","דרשות מהר""ם בריסק - 2 כר'")</f>
        <v>דרשות מהר"ם בריסק - 2 כר'</v>
      </c>
    </row>
    <row r="9850" spans="1:6" x14ac:dyDescent="0.2">
      <c r="A9850" t="s">
        <v>17009</v>
      </c>
      <c r="B9850" t="s">
        <v>2331</v>
      </c>
      <c r="C9850" t="s">
        <v>956</v>
      </c>
      <c r="D9850" t="s">
        <v>14</v>
      </c>
      <c r="F9850" s="2" t="str">
        <f>HYPERLINK("http://www.otzar.org/book.asp?156084","דרשות מהר""ם פארהאנד")</f>
        <v>דרשות מהר"ם פארהאנד</v>
      </c>
    </row>
    <row r="9851" spans="1:6" x14ac:dyDescent="0.2">
      <c r="A9851" t="s">
        <v>17010</v>
      </c>
      <c r="B9851" t="s">
        <v>1349</v>
      </c>
      <c r="C9851" t="s">
        <v>576</v>
      </c>
      <c r="D9851" t="s">
        <v>30</v>
      </c>
      <c r="E9851" t="s">
        <v>5580</v>
      </c>
      <c r="F9851" s="2" t="str">
        <f>HYPERLINK("http://www.otzar.org/book.asp?17635","דרשות מהר""ם שיק - 3 כר'")</f>
        <v>דרשות מהר"ם שיק - 3 כר'</v>
      </c>
    </row>
    <row r="9852" spans="1:6" x14ac:dyDescent="0.2">
      <c r="A9852" t="s">
        <v>17011</v>
      </c>
      <c r="B9852" t="s">
        <v>12631</v>
      </c>
      <c r="C9852" t="s">
        <v>492</v>
      </c>
      <c r="D9852" t="s">
        <v>225</v>
      </c>
      <c r="E9852" t="s">
        <v>930</v>
      </c>
      <c r="F9852" s="2" t="str">
        <f>HYPERLINK("http://www.otzar.org/book.asp?15732","דרשות מהר""ם")</f>
        <v>דרשות מהר"ם</v>
      </c>
    </row>
    <row r="9853" spans="1:6" x14ac:dyDescent="0.2">
      <c r="A9853" t="s">
        <v>17012</v>
      </c>
      <c r="B9853" t="s">
        <v>17013</v>
      </c>
      <c r="C9853" t="s">
        <v>1650</v>
      </c>
      <c r="D9853" t="s">
        <v>699</v>
      </c>
      <c r="E9853" t="s">
        <v>435</v>
      </c>
      <c r="F9853" s="2" t="str">
        <f>HYPERLINK("http://www.otzar.org/book.asp?51234","דרשות מהר""ש")</f>
        <v>דרשות מהר"ש</v>
      </c>
    </row>
    <row r="9854" spans="1:6" x14ac:dyDescent="0.2">
      <c r="A9854" t="s">
        <v>17014</v>
      </c>
      <c r="B9854" t="s">
        <v>5253</v>
      </c>
      <c r="C9854" t="s">
        <v>843</v>
      </c>
      <c r="D9854" t="s">
        <v>412</v>
      </c>
      <c r="E9854" t="s">
        <v>234</v>
      </c>
      <c r="F9854" s="2" t="str">
        <f>HYPERLINK("http://www.otzar.org/book.asp?100138","דרשות מהרא""ל - 4 כר'")</f>
        <v>דרשות מהרא"ל - 4 כר'</v>
      </c>
    </row>
    <row r="9855" spans="1:6" x14ac:dyDescent="0.2">
      <c r="A9855" t="s">
        <v>17015</v>
      </c>
      <c r="B9855" t="s">
        <v>6446</v>
      </c>
      <c r="C9855" t="s">
        <v>2550</v>
      </c>
      <c r="D9855" t="s">
        <v>6840</v>
      </c>
      <c r="E9855" t="s">
        <v>234</v>
      </c>
      <c r="F9855" s="2" t="str">
        <f>HYPERLINK("http://www.otzar.org/book.asp?102884","דרשות מהרי""ח")</f>
        <v>דרשות מהרי"ח</v>
      </c>
    </row>
    <row r="9856" spans="1:6" x14ac:dyDescent="0.2">
      <c r="A9856" t="s">
        <v>17015</v>
      </c>
      <c r="B9856" t="s">
        <v>17016</v>
      </c>
      <c r="C9856" t="s">
        <v>581</v>
      </c>
      <c r="D9856" t="s">
        <v>56</v>
      </c>
      <c r="E9856" t="s">
        <v>234</v>
      </c>
      <c r="F9856" s="2" t="str">
        <f>HYPERLINK("http://www.otzar.org/book.asp?100164","דרשות מהרי""ח")</f>
        <v>דרשות מהרי"ח</v>
      </c>
    </row>
    <row r="9857" spans="1:6" x14ac:dyDescent="0.2">
      <c r="A9857" t="s">
        <v>17017</v>
      </c>
      <c r="B9857" t="s">
        <v>17018</v>
      </c>
      <c r="C9857" t="s">
        <v>313</v>
      </c>
      <c r="D9857" t="s">
        <v>27</v>
      </c>
      <c r="E9857" t="s">
        <v>467</v>
      </c>
      <c r="F9857" s="2" t="str">
        <f>HYPERLINK("http://www.otzar.org/book.asp?151775","דרשות מהרי""ץ - 4 כר'")</f>
        <v>דרשות מהרי"ץ - 4 כר'</v>
      </c>
    </row>
    <row r="9858" spans="1:6" x14ac:dyDescent="0.2">
      <c r="A9858" t="s">
        <v>17019</v>
      </c>
      <c r="B9858" t="s">
        <v>17020</v>
      </c>
      <c r="C9858" t="s">
        <v>649</v>
      </c>
      <c r="D9858" t="s">
        <v>9</v>
      </c>
      <c r="E9858" t="s">
        <v>2569</v>
      </c>
      <c r="F9858" s="2" t="str">
        <f>HYPERLINK("http://www.otzar.org/book.asp?102975","דרשות מהרצה""א - 2 כר'")</f>
        <v>דרשות מהרצה"א - 2 כר'</v>
      </c>
    </row>
    <row r="9859" spans="1:6" x14ac:dyDescent="0.2">
      <c r="A9859" t="s">
        <v>17021</v>
      </c>
      <c r="B9859" t="s">
        <v>2885</v>
      </c>
      <c r="C9859" t="s">
        <v>383</v>
      </c>
      <c r="D9859" t="s">
        <v>14</v>
      </c>
      <c r="E9859" t="s">
        <v>1296</v>
      </c>
      <c r="F9859" s="2" t="str">
        <f>HYPERLINK("http://www.otzar.org/book.asp?60831","דרשות מוהרא""ש - 3 כר'")</f>
        <v>דרשות מוהרא"ש - 3 כר'</v>
      </c>
    </row>
    <row r="9860" spans="1:6" x14ac:dyDescent="0.2">
      <c r="A9860" t="s">
        <v>17022</v>
      </c>
      <c r="B9860" t="s">
        <v>17023</v>
      </c>
      <c r="C9860" t="s">
        <v>1535</v>
      </c>
      <c r="D9860" t="s">
        <v>17024</v>
      </c>
      <c r="E9860" t="s">
        <v>467</v>
      </c>
      <c r="F9860" s="2" t="str">
        <f>HYPERLINK("http://www.otzar.org/book.asp?85349","דרשות מרדכי")</f>
        <v>דרשות מרדכי</v>
      </c>
    </row>
    <row r="9861" spans="1:6" x14ac:dyDescent="0.2">
      <c r="A9861" t="s">
        <v>17025</v>
      </c>
      <c r="B9861" t="s">
        <v>5634</v>
      </c>
      <c r="C9861" t="s">
        <v>114</v>
      </c>
      <c r="D9861" t="s">
        <v>152</v>
      </c>
      <c r="E9861" t="s">
        <v>234</v>
      </c>
      <c r="F9861" s="2" t="str">
        <f>HYPERLINK("http://www.otzar.org/book.asp?165566","דרשות משמר הלוי - 2 כר'")</f>
        <v>דרשות משמר הלוי - 2 כר'</v>
      </c>
    </row>
    <row r="9862" spans="1:6" x14ac:dyDescent="0.2">
      <c r="A9862" t="s">
        <v>17026</v>
      </c>
      <c r="B9862" t="s">
        <v>17027</v>
      </c>
      <c r="C9862" t="s">
        <v>143</v>
      </c>
      <c r="D9862" t="s">
        <v>14</v>
      </c>
      <c r="E9862" t="s">
        <v>84</v>
      </c>
      <c r="F9862" s="2" t="str">
        <f>HYPERLINK("http://www.otzar.org/book.asp?144116","דרשות עזיאל - מסכת אבות")</f>
        <v>דרשות עזיאל - מסכת אבות</v>
      </c>
    </row>
    <row r="9863" spans="1:6" x14ac:dyDescent="0.2">
      <c r="A9863" t="s">
        <v>17028</v>
      </c>
      <c r="B9863" t="s">
        <v>17029</v>
      </c>
      <c r="D9863" t="s">
        <v>14591</v>
      </c>
      <c r="E9863" t="s">
        <v>84</v>
      </c>
      <c r="F9863" s="2" t="str">
        <f>HYPERLINK("http://www.otzar.org/book.asp?605863","דרשות עזרת כהנים")</f>
        <v>דרשות עזרת כהנים</v>
      </c>
    </row>
    <row r="9864" spans="1:6" x14ac:dyDescent="0.2">
      <c r="A9864" t="s">
        <v>17030</v>
      </c>
      <c r="B9864" t="s">
        <v>17031</v>
      </c>
      <c r="C9864" t="s">
        <v>17032</v>
      </c>
      <c r="D9864" t="s">
        <v>1117</v>
      </c>
      <c r="E9864" t="s">
        <v>474</v>
      </c>
      <c r="F9864" s="2" t="str">
        <f>HYPERLINK("http://www.otzar.org/book.asp?104196","דרשות על התורה")</f>
        <v>דרשות על התורה</v>
      </c>
    </row>
    <row r="9865" spans="1:6" x14ac:dyDescent="0.2">
      <c r="A9865" t="s">
        <v>17033</v>
      </c>
      <c r="B9865" t="s">
        <v>17034</v>
      </c>
      <c r="C9865" t="s">
        <v>37</v>
      </c>
      <c r="D9865" t="s">
        <v>14</v>
      </c>
      <c r="E9865" t="s">
        <v>2915</v>
      </c>
      <c r="F9865" s="2" t="str">
        <f>HYPERLINK("http://www.otzar.org/book.asp?175828","דרשות על שמות הפרשיות")</f>
        <v>דרשות על שמות הפרשיות</v>
      </c>
    </row>
    <row r="9866" spans="1:6" x14ac:dyDescent="0.2">
      <c r="A9866" t="s">
        <v>17035</v>
      </c>
      <c r="B9866" t="s">
        <v>16992</v>
      </c>
      <c r="C9866" t="s">
        <v>506</v>
      </c>
      <c r="D9866" t="s">
        <v>9</v>
      </c>
      <c r="E9866" t="s">
        <v>234</v>
      </c>
      <c r="F9866" s="2" t="str">
        <f>HYPERLINK("http://www.otzar.org/book.asp?196488","דרשות פאר אלע")</f>
        <v>דרשות פאר אלע</v>
      </c>
    </row>
    <row r="9867" spans="1:6" x14ac:dyDescent="0.2">
      <c r="A9867" t="s">
        <v>17036</v>
      </c>
      <c r="B9867" t="s">
        <v>17037</v>
      </c>
      <c r="C9867" t="s">
        <v>411</v>
      </c>
      <c r="D9867" t="s">
        <v>2798</v>
      </c>
      <c r="F9867" s="2" t="str">
        <f>HYPERLINK("http://www.otzar.org/book.asp?617868","דרשות ר' זרחיה הלוי סלדין")</f>
        <v>דרשות ר' זרחיה הלוי סלדין</v>
      </c>
    </row>
    <row r="9868" spans="1:6" x14ac:dyDescent="0.2">
      <c r="A9868" t="s">
        <v>17038</v>
      </c>
      <c r="B9868" t="s">
        <v>481</v>
      </c>
      <c r="C9868" t="s">
        <v>558</v>
      </c>
      <c r="D9868" t="s">
        <v>56</v>
      </c>
      <c r="E9868" t="s">
        <v>17039</v>
      </c>
      <c r="F9868" s="2" t="str">
        <f>HYPERLINK("http://www.otzar.org/book.asp?100107","דרשות ר' ישראל סלנטר")</f>
        <v>דרשות ר' ישראל סלנטר</v>
      </c>
    </row>
    <row r="9869" spans="1:6" x14ac:dyDescent="0.2">
      <c r="A9869" t="s">
        <v>17040</v>
      </c>
      <c r="B9869" t="s">
        <v>17031</v>
      </c>
      <c r="C9869" t="s">
        <v>17041</v>
      </c>
      <c r="D9869" t="s">
        <v>17042</v>
      </c>
      <c r="E9869" t="s">
        <v>474</v>
      </c>
      <c r="F9869" s="2" t="str">
        <f>HYPERLINK("http://www.otzar.org/book.asp?179166","דרשות רבי יהושע אבן שועיב")</f>
        <v>דרשות רבי יהושע אבן שועיב</v>
      </c>
    </row>
    <row r="9870" spans="1:6" x14ac:dyDescent="0.2">
      <c r="A9870" t="s">
        <v>17043</v>
      </c>
      <c r="B9870" t="s">
        <v>1665</v>
      </c>
      <c r="C9870" t="s">
        <v>143</v>
      </c>
      <c r="D9870" t="s">
        <v>14</v>
      </c>
      <c r="E9870" t="s">
        <v>158</v>
      </c>
      <c r="F9870" s="2" t="str">
        <f>HYPERLINK("http://www.otzar.org/book.asp?171491","דרשות רבי שמואל די אוזידא")</f>
        <v>דרשות רבי שמואל די אוזידא</v>
      </c>
    </row>
    <row r="9871" spans="1:6" x14ac:dyDescent="0.2">
      <c r="A9871" t="s">
        <v>17044</v>
      </c>
      <c r="B9871" t="s">
        <v>17045</v>
      </c>
      <c r="C9871" t="s">
        <v>20</v>
      </c>
      <c r="D9871" t="s">
        <v>90</v>
      </c>
      <c r="E9871" t="s">
        <v>234</v>
      </c>
      <c r="F9871" s="2" t="str">
        <f>HYPERLINK("http://www.otzar.org/book.asp?151291","דרשות רבינו אברהם חריף")</f>
        <v>דרשות רבינו אברהם חריף</v>
      </c>
    </row>
    <row r="9872" spans="1:6" x14ac:dyDescent="0.2">
      <c r="A9872" t="s">
        <v>17046</v>
      </c>
      <c r="B9872" t="s">
        <v>17047</v>
      </c>
      <c r="C9872" t="s">
        <v>553</v>
      </c>
      <c r="D9872" t="s">
        <v>17048</v>
      </c>
      <c r="E9872" t="s">
        <v>2879</v>
      </c>
      <c r="F9872" s="2" t="str">
        <f>HYPERLINK("http://www.otzar.org/book.asp?147897","דרשות רבנו יוסף נחמיה")</f>
        <v>דרשות רבנו יוסף נחמיה</v>
      </c>
    </row>
    <row r="9873" spans="1:6" x14ac:dyDescent="0.2">
      <c r="A9873" t="s">
        <v>17049</v>
      </c>
      <c r="B9873" t="s">
        <v>1112</v>
      </c>
      <c r="C9873" t="s">
        <v>5619</v>
      </c>
      <c r="D9873" t="s">
        <v>1490</v>
      </c>
      <c r="E9873" t="s">
        <v>467</v>
      </c>
      <c r="F9873" s="2" t="str">
        <f>HYPERLINK("http://www.otzar.org/book.asp?141070","דרשות שבט מוסר")</f>
        <v>דרשות שבט מוסר</v>
      </c>
    </row>
    <row r="9874" spans="1:6" x14ac:dyDescent="0.2">
      <c r="A9874" t="s">
        <v>17050</v>
      </c>
      <c r="B9874" t="s">
        <v>17051</v>
      </c>
      <c r="C9874" t="s">
        <v>812</v>
      </c>
      <c r="D9874" t="s">
        <v>9</v>
      </c>
      <c r="E9874" t="s">
        <v>474</v>
      </c>
      <c r="F9874" s="2" t="str">
        <f>HYPERLINK("http://www.otzar.org/book.asp?51235","דרשות שלמות - 2 כר'")</f>
        <v>דרשות שלמות - 2 כר'</v>
      </c>
    </row>
    <row r="9875" spans="1:6" x14ac:dyDescent="0.2">
      <c r="A9875" t="s">
        <v>17052</v>
      </c>
      <c r="B9875" t="s">
        <v>7980</v>
      </c>
      <c r="C9875" t="s">
        <v>168</v>
      </c>
      <c r="D9875" t="s">
        <v>14</v>
      </c>
      <c r="E9875" t="s">
        <v>234</v>
      </c>
      <c r="F9875" s="2" t="str">
        <f>HYPERLINK("http://www.otzar.org/book.asp?161480","דרשות תורת חסד")</f>
        <v>דרשות תורת חסד</v>
      </c>
    </row>
    <row r="9876" spans="1:6" x14ac:dyDescent="0.2">
      <c r="A9876" t="s">
        <v>17053</v>
      </c>
      <c r="B9876" t="s">
        <v>17054</v>
      </c>
      <c r="C9876" t="s">
        <v>68</v>
      </c>
      <c r="D9876" t="s">
        <v>1632</v>
      </c>
      <c r="E9876" t="s">
        <v>158</v>
      </c>
      <c r="F9876" s="2" t="str">
        <f>HYPERLINK("http://www.otzar.org/book.asp?199291","דרשות - 4 כר'")</f>
        <v>דרשות - 4 כר'</v>
      </c>
    </row>
    <row r="9877" spans="1:6" x14ac:dyDescent="0.2">
      <c r="A9877" t="s">
        <v>17055</v>
      </c>
      <c r="B9877" t="s">
        <v>17056</v>
      </c>
      <c r="C9877" t="s">
        <v>383</v>
      </c>
      <c r="D9877" t="s">
        <v>52</v>
      </c>
      <c r="E9877" t="s">
        <v>234</v>
      </c>
      <c r="F9877" s="2" t="str">
        <f>HYPERLINK("http://www.otzar.org/book.asp?171206","דרשות - 7 כר'")</f>
        <v>דרשות - 7 כר'</v>
      </c>
    </row>
    <row r="9878" spans="1:6" x14ac:dyDescent="0.2">
      <c r="A9878" t="s">
        <v>17057</v>
      </c>
      <c r="B9878" t="s">
        <v>17058</v>
      </c>
      <c r="C9878" t="s">
        <v>553</v>
      </c>
      <c r="D9878" t="s">
        <v>14</v>
      </c>
      <c r="E9878" t="s">
        <v>3518</v>
      </c>
      <c r="F9878" s="2" t="str">
        <f>HYPERLINK("http://www.otzar.org/book.asp?169290","דרשת הראב""ד - דרשת הרמב""ן - חידושי הרשב""ץ")</f>
        <v>דרשת הראב"ד - דרשת הרמב"ן - חידושי הרשב"ץ</v>
      </c>
    </row>
    <row r="9879" spans="1:6" x14ac:dyDescent="0.2">
      <c r="A9879" t="s">
        <v>17059</v>
      </c>
      <c r="B9879" t="s">
        <v>17060</v>
      </c>
      <c r="C9879" t="s">
        <v>1448</v>
      </c>
      <c r="D9879" t="s">
        <v>52</v>
      </c>
      <c r="E9879" t="s">
        <v>4494</v>
      </c>
      <c r="F9879" s="2" t="str">
        <f>HYPERLINK("http://www.otzar.org/book.asp?61520","דרשת הרמב""ן לראש השנה - התקיעות כהלכה ובהידור")</f>
        <v>דרשת הרמב"ן לראש השנה - התקיעות כהלכה ובהידור</v>
      </c>
    </row>
    <row r="9880" spans="1:6" x14ac:dyDescent="0.2">
      <c r="A9880" t="s">
        <v>17061</v>
      </c>
      <c r="B9880" t="s">
        <v>17062</v>
      </c>
      <c r="C9880" t="s">
        <v>114</v>
      </c>
      <c r="D9880" t="s">
        <v>14</v>
      </c>
      <c r="E9880" t="s">
        <v>158</v>
      </c>
      <c r="F9880" s="2" t="str">
        <f>HYPERLINK("http://www.otzar.org/book.asp?172492","דרשת הרמב""ן - קהלת עם פירוש חזון יואל")</f>
        <v>דרשת הרמב"ן - קהלת עם פירוש חזון יואל</v>
      </c>
    </row>
    <row r="9881" spans="1:6" x14ac:dyDescent="0.2">
      <c r="A9881" t="s">
        <v>17063</v>
      </c>
      <c r="B9881" t="s">
        <v>17064</v>
      </c>
      <c r="C9881" t="s">
        <v>366</v>
      </c>
      <c r="D9881" t="s">
        <v>152</v>
      </c>
      <c r="F9881" s="2" t="str">
        <f>HYPERLINK("http://www.otzar.org/book.asp?610882","דרשת מהר""ח &lt;כתבנו לחיים-יראת חיים&gt;")</f>
        <v>דרשת מהר"ח &lt;כתבנו לחיים-יראת חיים&gt;</v>
      </c>
    </row>
    <row r="9882" spans="1:6" x14ac:dyDescent="0.2">
      <c r="A9882" t="s">
        <v>17065</v>
      </c>
      <c r="B9882" t="s">
        <v>1465</v>
      </c>
      <c r="C9882" t="s">
        <v>390</v>
      </c>
      <c r="D9882" t="s">
        <v>14</v>
      </c>
      <c r="E9882" t="s">
        <v>234</v>
      </c>
      <c r="F9882" s="2" t="str">
        <f>HYPERLINK("http://www.otzar.org/book.asp?179741","דרשת מהר""ח - 2 כר'")</f>
        <v>דרשת מהר"ח - 2 כר'</v>
      </c>
    </row>
    <row r="9883" spans="1:6" x14ac:dyDescent="0.2">
      <c r="A9883" t="s">
        <v>17066</v>
      </c>
      <c r="B9883" t="s">
        <v>16929</v>
      </c>
      <c r="C9883" t="s">
        <v>1666</v>
      </c>
      <c r="D9883" t="s">
        <v>1117</v>
      </c>
      <c r="E9883" t="s">
        <v>234</v>
      </c>
      <c r="F9883" s="2" t="str">
        <f>HYPERLINK("http://www.otzar.org/book.asp?167051","דרשת רי""ש סופר מקראקא")</f>
        <v>דרשת רי"ש סופר מקראקא</v>
      </c>
    </row>
    <row r="9884" spans="1:6" x14ac:dyDescent="0.2">
      <c r="A9884" t="s">
        <v>17067</v>
      </c>
      <c r="B9884" t="s">
        <v>17068</v>
      </c>
      <c r="C9884" t="s">
        <v>37</v>
      </c>
      <c r="D9884" t="s">
        <v>1156</v>
      </c>
      <c r="E9884" t="s">
        <v>467</v>
      </c>
      <c r="F9884" s="2" t="str">
        <f>HYPERLINK("http://www.otzar.org/book.asp?605518","דרשת שבת הגדול")</f>
        <v>דרשת שבת הגדול</v>
      </c>
    </row>
    <row r="9885" spans="1:6" x14ac:dyDescent="0.2">
      <c r="A9885" t="s">
        <v>17069</v>
      </c>
      <c r="B9885" t="s">
        <v>17070</v>
      </c>
      <c r="C9885" t="s">
        <v>244</v>
      </c>
      <c r="D9885" t="s">
        <v>486</v>
      </c>
      <c r="E9885" t="s">
        <v>144</v>
      </c>
      <c r="F9885" s="2" t="str">
        <f>HYPERLINK("http://www.otzar.org/book.asp?603327","דשן ביתך - זבחים")</f>
        <v>דשן ביתך - זבחים</v>
      </c>
    </row>
    <row r="9886" spans="1:6" x14ac:dyDescent="0.2">
      <c r="A9886" t="s">
        <v>17071</v>
      </c>
      <c r="B9886" t="s">
        <v>17072</v>
      </c>
      <c r="C9886" t="s">
        <v>427</v>
      </c>
      <c r="D9886" t="s">
        <v>14</v>
      </c>
      <c r="E9886" t="s">
        <v>17073</v>
      </c>
      <c r="F9886" s="2" t="str">
        <f>HYPERLINK("http://www.otzar.org/book.asp?84849","דשני")</f>
        <v>דשני</v>
      </c>
    </row>
    <row r="9887" spans="1:6" x14ac:dyDescent="0.2">
      <c r="A9887" t="s">
        <v>17074</v>
      </c>
      <c r="B9887" t="s">
        <v>17075</v>
      </c>
      <c r="C9887" t="s">
        <v>624</v>
      </c>
      <c r="D9887" t="s">
        <v>14</v>
      </c>
      <c r="E9887" t="s">
        <v>564</v>
      </c>
      <c r="F9887" s="2" t="str">
        <f>HYPERLINK("http://www.otzar.org/book.asp?50109","דשנת בשמן")</f>
        <v>דשנת בשמן</v>
      </c>
    </row>
    <row r="9888" spans="1:6" x14ac:dyDescent="0.2">
      <c r="A9888" t="s">
        <v>17076</v>
      </c>
      <c r="B9888" t="s">
        <v>17077</v>
      </c>
      <c r="C9888" t="s">
        <v>383</v>
      </c>
      <c r="D9888" t="s">
        <v>14</v>
      </c>
      <c r="E9888" t="s">
        <v>10</v>
      </c>
      <c r="F9888" s="2" t="str">
        <f>HYPERLINK("http://www.otzar.org/book.asp?159301","דת אש &lt;מהדורה חדשה&gt;")</f>
        <v>דת אש &lt;מהדורה חדשה&gt;</v>
      </c>
    </row>
    <row r="9889" spans="1:6" x14ac:dyDescent="0.2">
      <c r="A9889" t="s">
        <v>17078</v>
      </c>
      <c r="B9889" t="s">
        <v>17077</v>
      </c>
      <c r="C9889" t="s">
        <v>1778</v>
      </c>
      <c r="D9889" t="s">
        <v>280</v>
      </c>
      <c r="E9889" t="s">
        <v>17079</v>
      </c>
      <c r="F9889" s="2" t="str">
        <f>HYPERLINK("http://www.otzar.org/book.asp?100807","דת אש")</f>
        <v>דת אש</v>
      </c>
    </row>
    <row r="9890" spans="1:6" x14ac:dyDescent="0.2">
      <c r="A9890" t="s">
        <v>17080</v>
      </c>
      <c r="B9890" t="s">
        <v>17081</v>
      </c>
      <c r="C9890" t="s">
        <v>176</v>
      </c>
      <c r="D9890" t="s">
        <v>14</v>
      </c>
      <c r="E9890" t="s">
        <v>15</v>
      </c>
      <c r="F9890" s="2" t="str">
        <f>HYPERLINK("http://www.otzar.org/book.asp?200707","דת הנשים")</f>
        <v>דת הנשים</v>
      </c>
    </row>
    <row r="9891" spans="1:6" x14ac:dyDescent="0.2">
      <c r="A9891" t="s">
        <v>17082</v>
      </c>
      <c r="B9891" t="s">
        <v>17083</v>
      </c>
      <c r="C9891" t="s">
        <v>1679</v>
      </c>
      <c r="D9891" t="s">
        <v>1490</v>
      </c>
      <c r="E9891" t="s">
        <v>1880</v>
      </c>
      <c r="F9891" s="2" t="str">
        <f>HYPERLINK("http://www.otzar.org/book.asp?17636","דת ודין")</f>
        <v>דת ודין</v>
      </c>
    </row>
    <row r="9892" spans="1:6" x14ac:dyDescent="0.2">
      <c r="A9892" t="s">
        <v>17084</v>
      </c>
      <c r="B9892" t="s">
        <v>4606</v>
      </c>
      <c r="C9892" t="s">
        <v>989</v>
      </c>
      <c r="D9892" t="s">
        <v>14</v>
      </c>
      <c r="E9892" t="s">
        <v>5935</v>
      </c>
      <c r="F9892" s="2" t="str">
        <f>HYPERLINK("http://www.otzar.org/book.asp?13127","דת והלכה")</f>
        <v>דת והלכה</v>
      </c>
    </row>
    <row r="9893" spans="1:6" x14ac:dyDescent="0.2">
      <c r="A9893" t="s">
        <v>17085</v>
      </c>
      <c r="B9893" t="s">
        <v>17086</v>
      </c>
      <c r="C9893" t="s">
        <v>1721</v>
      </c>
      <c r="D9893" t="s">
        <v>17087</v>
      </c>
      <c r="E9893" t="s">
        <v>15</v>
      </c>
      <c r="F9893" s="2" t="str">
        <f>HYPERLINK("http://www.otzar.org/book.asp?196325","דת יהודית בלערבי")</f>
        <v>דת יהודית בלערבי</v>
      </c>
    </row>
    <row r="9894" spans="1:6" x14ac:dyDescent="0.2">
      <c r="A9894" t="s">
        <v>17088</v>
      </c>
      <c r="B9894" t="s">
        <v>17089</v>
      </c>
      <c r="C9894" t="s">
        <v>1811</v>
      </c>
      <c r="D9894" t="s">
        <v>14</v>
      </c>
      <c r="E9894" t="s">
        <v>104</v>
      </c>
      <c r="F9894" s="2" t="str">
        <f>HYPERLINK("http://www.otzar.org/book.asp?104945","דת יהודית כהלכתה")</f>
        <v>דת יהודית כהלכתה</v>
      </c>
    </row>
    <row r="9895" spans="1:6" x14ac:dyDescent="0.2">
      <c r="A9895" t="s">
        <v>17090</v>
      </c>
      <c r="B9895" t="s">
        <v>17091</v>
      </c>
      <c r="C9895" t="s">
        <v>111</v>
      </c>
      <c r="D9895" t="s">
        <v>245</v>
      </c>
      <c r="E9895" t="s">
        <v>84</v>
      </c>
      <c r="F9895" s="2" t="str">
        <f>HYPERLINK("http://www.otzar.org/book.asp?626789","דת יהודית - חלה")</f>
        <v>דת יהודית - חלה</v>
      </c>
    </row>
    <row r="9896" spans="1:6" x14ac:dyDescent="0.2">
      <c r="A9896" t="s">
        <v>17092</v>
      </c>
      <c r="B9896" t="s">
        <v>17093</v>
      </c>
      <c r="C9896" t="s">
        <v>68</v>
      </c>
      <c r="D9896" t="s">
        <v>14</v>
      </c>
      <c r="E9896" t="s">
        <v>130</v>
      </c>
      <c r="F9896" s="2" t="str">
        <f>HYPERLINK("http://www.otzar.org/book.asp?186715","דת יומים")</f>
        <v>דת יומים</v>
      </c>
    </row>
    <row r="9897" spans="1:6" x14ac:dyDescent="0.2">
      <c r="A9897" t="s">
        <v>17094</v>
      </c>
      <c r="B9897" t="s">
        <v>17095</v>
      </c>
      <c r="C9897" t="s">
        <v>10215</v>
      </c>
      <c r="D9897" t="s">
        <v>60</v>
      </c>
      <c r="E9897" t="s">
        <v>104</v>
      </c>
      <c r="F9897" s="2" t="str">
        <f>HYPERLINK("http://www.otzar.org/book.asp?146733","דת יקותיאל")</f>
        <v>דת יקותיאל</v>
      </c>
    </row>
    <row r="9898" spans="1:6" x14ac:dyDescent="0.2">
      <c r="A9898" t="s">
        <v>17096</v>
      </c>
      <c r="B9898" t="s">
        <v>17097</v>
      </c>
      <c r="C9898" t="s">
        <v>17098</v>
      </c>
      <c r="D9898" t="s">
        <v>9</v>
      </c>
      <c r="E9898" t="s">
        <v>15</v>
      </c>
      <c r="F9898" s="2" t="str">
        <f>HYPERLINK("http://www.otzar.org/book.asp?51182","דת ישראל - 2 כר'")</f>
        <v>דת ישראל - 2 כר'</v>
      </c>
    </row>
    <row r="9899" spans="1:6" x14ac:dyDescent="0.2">
      <c r="A9899" t="s">
        <v>17099</v>
      </c>
      <c r="B9899" t="s">
        <v>17100</v>
      </c>
      <c r="C9899" t="s">
        <v>20</v>
      </c>
      <c r="D9899" t="s">
        <v>412</v>
      </c>
      <c r="E9899" t="s">
        <v>158</v>
      </c>
      <c r="F9899" s="2" t="str">
        <f>HYPERLINK("http://www.otzar.org/book.asp?166371","דת שבת")</f>
        <v>דת שבת</v>
      </c>
    </row>
    <row r="9900" spans="1:6" x14ac:dyDescent="0.2">
      <c r="A9900" t="s">
        <v>17101</v>
      </c>
      <c r="B9900" t="s">
        <v>6847</v>
      </c>
      <c r="C9900" t="s">
        <v>103</v>
      </c>
      <c r="D9900" t="s">
        <v>14</v>
      </c>
      <c r="E9900" t="s">
        <v>119</v>
      </c>
      <c r="F9900" s="2" t="str">
        <f>HYPERLINK("http://www.otzar.org/book.asp?154115","דתשרי על עמיה - טאלנא")</f>
        <v>דתשרי על עמיה - טאלנא</v>
      </c>
    </row>
    <row r="9901" spans="1:6" x14ac:dyDescent="0.2">
      <c r="A9901" t="s">
        <v>17102</v>
      </c>
      <c r="B9901" t="s">
        <v>17103</v>
      </c>
      <c r="C9901" t="s">
        <v>1160</v>
      </c>
      <c r="D9901" t="s">
        <v>14</v>
      </c>
      <c r="E9901" t="s">
        <v>104</v>
      </c>
      <c r="F9901" s="2" t="str">
        <f>HYPERLINK("http://www.otzar.org/book.asp?627014","ה""למד-וו""")</f>
        <v>ה"למד-וו"</v>
      </c>
    </row>
    <row r="9902" spans="1:6" x14ac:dyDescent="0.2">
      <c r="A9902" t="s">
        <v>17104</v>
      </c>
      <c r="B9902" t="s">
        <v>17105</v>
      </c>
      <c r="C9902" t="s">
        <v>103</v>
      </c>
      <c r="D9902" t="s">
        <v>1076</v>
      </c>
      <c r="E9902" t="s">
        <v>1174</v>
      </c>
      <c r="F9902" s="2" t="str">
        <f>HYPERLINK("http://www.otzar.org/book.asp?169053","ה' אדר בעיה""ק טבריא תובב""א")</f>
        <v>ה' אדר בעיה"ק טבריא תובב"א</v>
      </c>
    </row>
    <row r="9903" spans="1:6" x14ac:dyDescent="0.2">
      <c r="A9903" t="s">
        <v>17106</v>
      </c>
      <c r="B9903" t="s">
        <v>686</v>
      </c>
      <c r="C9903" t="s">
        <v>37</v>
      </c>
      <c r="D9903" t="s">
        <v>52</v>
      </c>
      <c r="F9903" s="2" t="str">
        <f>HYPERLINK("http://www.otzar.org/book.asp?182758","ה' אור לי")</f>
        <v>ה' אור לי</v>
      </c>
    </row>
    <row r="9904" spans="1:6" x14ac:dyDescent="0.2">
      <c r="A9904" t="s">
        <v>17107</v>
      </c>
      <c r="B9904" t="s">
        <v>686</v>
      </c>
      <c r="C9904" t="s">
        <v>466</v>
      </c>
      <c r="D9904" t="s">
        <v>52</v>
      </c>
      <c r="E9904" t="s">
        <v>104</v>
      </c>
      <c r="F9904" s="2" t="str">
        <f>HYPERLINK("http://www.otzar.org/book.asp?179879","ה' אורי וישעי")</f>
        <v>ה' אורי וישעי</v>
      </c>
    </row>
    <row r="9905" spans="1:6" x14ac:dyDescent="0.2">
      <c r="A9905" t="s">
        <v>17108</v>
      </c>
      <c r="B9905" t="s">
        <v>686</v>
      </c>
      <c r="C9905" t="s">
        <v>13</v>
      </c>
      <c r="D9905" t="s">
        <v>52</v>
      </c>
      <c r="E9905" t="s">
        <v>158</v>
      </c>
      <c r="F9905" s="2" t="str">
        <f>HYPERLINK("http://www.otzar.org/book.asp?61443","ה' נסי")</f>
        <v>ה' נסי</v>
      </c>
    </row>
    <row r="9906" spans="1:6" x14ac:dyDescent="0.2">
      <c r="A9906" t="s">
        <v>17108</v>
      </c>
      <c r="B9906" t="s">
        <v>17109</v>
      </c>
      <c r="C9906" t="s">
        <v>244</v>
      </c>
      <c r="D9906" t="s">
        <v>52</v>
      </c>
      <c r="F9906" s="2" t="str">
        <f>HYPERLINK("http://www.otzar.org/book.asp?608770","ה' נסי")</f>
        <v>ה' נסי</v>
      </c>
    </row>
    <row r="9907" spans="1:6" x14ac:dyDescent="0.2">
      <c r="A9907" t="s">
        <v>17110</v>
      </c>
      <c r="B9907" t="s">
        <v>17111</v>
      </c>
      <c r="C9907" t="s">
        <v>146</v>
      </c>
      <c r="D9907" t="s">
        <v>657</v>
      </c>
      <c r="E9907" t="s">
        <v>15</v>
      </c>
      <c r="F9907" s="2" t="str">
        <f>HYPERLINK("http://www.otzar.org/book.asp?142026","ה' עזרי - 24 כר'")</f>
        <v>ה' עזרי - 24 כר'</v>
      </c>
    </row>
    <row r="9908" spans="1:6" x14ac:dyDescent="0.2">
      <c r="A9908" t="s">
        <v>17112</v>
      </c>
      <c r="B9908" t="s">
        <v>12694</v>
      </c>
      <c r="C9908" t="s">
        <v>129</v>
      </c>
      <c r="D9908" t="s">
        <v>14</v>
      </c>
      <c r="E9908" t="s">
        <v>314</v>
      </c>
      <c r="F9908" s="2" t="str">
        <f>HYPERLINK("http://www.otzar.org/book.asp?144152","ה' שמעתי שמעך - 2 כר'")</f>
        <v>ה' שמעתי שמעך - 2 כר'</v>
      </c>
    </row>
    <row r="9909" spans="1:6" x14ac:dyDescent="0.2">
      <c r="A9909" t="s">
        <v>17113</v>
      </c>
      <c r="B9909" t="s">
        <v>17114</v>
      </c>
      <c r="C9909" t="s">
        <v>114</v>
      </c>
      <c r="D9909" t="s">
        <v>52</v>
      </c>
      <c r="E9909" t="s">
        <v>104</v>
      </c>
      <c r="F9909" s="2" t="str">
        <f>HYPERLINK("http://www.otzar.org/book.asp?192217","ה' שערים")</f>
        <v>ה' שערים</v>
      </c>
    </row>
    <row r="9910" spans="1:6" x14ac:dyDescent="0.2">
      <c r="A9910" t="s">
        <v>17115</v>
      </c>
      <c r="B9910" t="s">
        <v>17116</v>
      </c>
      <c r="C9910" t="s">
        <v>244</v>
      </c>
      <c r="E9910" t="s">
        <v>246</v>
      </c>
      <c r="F9910" s="2" t="str">
        <f>HYPERLINK("http://www.otzar.org/book.asp?625211","הא לחמא עניא")</f>
        <v>הא לחמא עניא</v>
      </c>
    </row>
    <row r="9911" spans="1:6" x14ac:dyDescent="0.2">
      <c r="A9911" t="s">
        <v>17117</v>
      </c>
      <c r="B9911" t="s">
        <v>17118</v>
      </c>
      <c r="C9911" t="s">
        <v>20</v>
      </c>
      <c r="D9911" t="s">
        <v>14</v>
      </c>
      <c r="E9911" t="s">
        <v>119</v>
      </c>
      <c r="F9911" s="2" t="str">
        <f>HYPERLINK("http://www.otzar.org/book.asp?179840","האבא מסלבודקה - הגה""צ רבי חיים זאב פינקל")</f>
        <v>האבא מסלבודקה - הגה"צ רבי חיים זאב פינקל</v>
      </c>
    </row>
    <row r="9912" spans="1:6" x14ac:dyDescent="0.2">
      <c r="A9912" t="s">
        <v>17119</v>
      </c>
      <c r="B9912" t="s">
        <v>17120</v>
      </c>
      <c r="C9912" t="s">
        <v>366</v>
      </c>
      <c r="D9912" t="s">
        <v>14</v>
      </c>
      <c r="E9912" t="s">
        <v>15</v>
      </c>
      <c r="F9912" s="2" t="str">
        <f>HYPERLINK("http://www.otzar.org/book.asp?623714","האבלות בהלכה ובאגדה")</f>
        <v>האבלות בהלכה ובאגדה</v>
      </c>
    </row>
    <row r="9913" spans="1:6" x14ac:dyDescent="0.2">
      <c r="A9913" t="s">
        <v>17121</v>
      </c>
      <c r="B9913" t="s">
        <v>9479</v>
      </c>
      <c r="C9913" t="s">
        <v>843</v>
      </c>
      <c r="D9913" t="s">
        <v>260</v>
      </c>
      <c r="E9913" t="s">
        <v>15</v>
      </c>
      <c r="F9913" s="2" t="str">
        <f>HYPERLINK("http://www.otzar.org/book.asp?158376","האבלות והנחומים")</f>
        <v>האבלות והנחומים</v>
      </c>
    </row>
    <row r="9914" spans="1:6" x14ac:dyDescent="0.2">
      <c r="A9914" t="s">
        <v>17122</v>
      </c>
      <c r="B9914" t="s">
        <v>17123</v>
      </c>
      <c r="C9914" t="s">
        <v>506</v>
      </c>
      <c r="D9914" t="s">
        <v>225</v>
      </c>
      <c r="E9914" t="s">
        <v>579</v>
      </c>
      <c r="F9914" s="2" t="str">
        <f>HYPERLINK("http://www.otzar.org/book.asp?300110","האבן הראשה - א")</f>
        <v>האבן הראשה - א</v>
      </c>
    </row>
    <row r="9915" spans="1:6" x14ac:dyDescent="0.2">
      <c r="A9915" t="s">
        <v>17124</v>
      </c>
      <c r="B9915" t="s">
        <v>17125</v>
      </c>
      <c r="C9915" t="s">
        <v>133</v>
      </c>
      <c r="D9915" t="s">
        <v>14</v>
      </c>
      <c r="E9915" t="s">
        <v>172</v>
      </c>
      <c r="F9915" s="2" t="str">
        <f>HYPERLINK("http://www.otzar.org/book.asp?625591","האבן והעזר - 3 כר'")</f>
        <v>האבן והעזר - 3 כר'</v>
      </c>
    </row>
    <row r="9916" spans="1:6" x14ac:dyDescent="0.2">
      <c r="A9916" t="s">
        <v>17126</v>
      </c>
      <c r="B9916" t="s">
        <v>17127</v>
      </c>
      <c r="C9916" t="s">
        <v>103</v>
      </c>
      <c r="D9916" t="s">
        <v>486</v>
      </c>
      <c r="E9916" t="s">
        <v>148</v>
      </c>
      <c r="F9916" s="2" t="str">
        <f>HYPERLINK("http://www.otzar.org/book.asp?168501","האגדה שבהלכה")</f>
        <v>האגדה שבהלכה</v>
      </c>
    </row>
    <row r="9917" spans="1:6" x14ac:dyDescent="0.2">
      <c r="A9917" t="s">
        <v>17128</v>
      </c>
      <c r="B9917" t="s">
        <v>17129</v>
      </c>
      <c r="C9917" t="s">
        <v>33</v>
      </c>
      <c r="D9917" t="s">
        <v>340</v>
      </c>
      <c r="E9917" t="s">
        <v>15</v>
      </c>
      <c r="F9917" s="2" t="str">
        <f>HYPERLINK("http://www.otzar.org/book.asp?53497","האגור &lt;דפו""ר&gt;")</f>
        <v>האגור &lt;דפו"ר&gt;</v>
      </c>
    </row>
    <row r="9918" spans="1:6" x14ac:dyDescent="0.2">
      <c r="A9918" t="s">
        <v>17130</v>
      </c>
      <c r="B9918" t="s">
        <v>17129</v>
      </c>
      <c r="C9918" t="s">
        <v>1663</v>
      </c>
      <c r="D9918" t="s">
        <v>27</v>
      </c>
      <c r="E9918" t="s">
        <v>3567</v>
      </c>
      <c r="F9918" s="2" t="str">
        <f>HYPERLINK("http://www.otzar.org/book.asp?137","האגור השלם")</f>
        <v>האגור השלם</v>
      </c>
    </row>
    <row r="9919" spans="1:6" x14ac:dyDescent="0.2">
      <c r="A9919" t="s">
        <v>17131</v>
      </c>
      <c r="B9919" t="s">
        <v>17129</v>
      </c>
      <c r="C9919" t="s">
        <v>282</v>
      </c>
      <c r="D9919" t="s">
        <v>9748</v>
      </c>
      <c r="E9919" t="s">
        <v>15</v>
      </c>
      <c r="F9919" s="2" t="str">
        <f>HYPERLINK("http://www.otzar.org/book.asp?100345","האגור - 2 כר'")</f>
        <v>האגור - 2 כר'</v>
      </c>
    </row>
    <row r="9920" spans="1:6" x14ac:dyDescent="0.2">
      <c r="A9920" t="s">
        <v>17132</v>
      </c>
      <c r="B9920" t="s">
        <v>3286</v>
      </c>
      <c r="C9920" t="s">
        <v>71</v>
      </c>
      <c r="D9920" t="s">
        <v>52</v>
      </c>
      <c r="E9920" t="s">
        <v>15</v>
      </c>
      <c r="F9920" s="2" t="str">
        <f>HYPERLINK("http://www.otzar.org/book.asp?142291","האגרת הזאת")</f>
        <v>האגרת הזאת</v>
      </c>
    </row>
    <row r="9921" spans="1:6" x14ac:dyDescent="0.2">
      <c r="A9921" t="s">
        <v>17133</v>
      </c>
      <c r="B9921" t="s">
        <v>107</v>
      </c>
      <c r="C9921" t="s">
        <v>383</v>
      </c>
      <c r="D9921" t="s">
        <v>14</v>
      </c>
      <c r="E9921" t="s">
        <v>119</v>
      </c>
      <c r="F9921" s="2" t="str">
        <f>HYPERLINK("http://www.otzar.org/book.asp?84464","האדום האדום הזה")</f>
        <v>האדום האדום הזה</v>
      </c>
    </row>
    <row r="9922" spans="1:6" x14ac:dyDescent="0.2">
      <c r="A9922" t="s">
        <v>17134</v>
      </c>
      <c r="B9922" t="s">
        <v>17135</v>
      </c>
      <c r="C9922" t="s">
        <v>103</v>
      </c>
      <c r="D9922" t="s">
        <v>14</v>
      </c>
      <c r="E9922" t="s">
        <v>1072</v>
      </c>
      <c r="F9922" s="2" t="str">
        <f>HYPERLINK("http://www.otzar.org/book.asp?142077","האדם בעולמו")</f>
        <v>האדם בעולמו</v>
      </c>
    </row>
    <row r="9923" spans="1:6" x14ac:dyDescent="0.2">
      <c r="A9923" t="s">
        <v>17136</v>
      </c>
      <c r="B9923" t="s">
        <v>17137</v>
      </c>
      <c r="C9923" t="s">
        <v>143</v>
      </c>
      <c r="D9923" t="s">
        <v>52</v>
      </c>
      <c r="F9923" s="2" t="str">
        <f>HYPERLINK("http://www.otzar.org/book.asp?157191","האדם בעולמותיו")</f>
        <v>האדם בעולמותיו</v>
      </c>
    </row>
    <row r="9924" spans="1:6" x14ac:dyDescent="0.2">
      <c r="A9924" t="s">
        <v>17138</v>
      </c>
      <c r="B9924" t="s">
        <v>5220</v>
      </c>
      <c r="C9924" t="s">
        <v>989</v>
      </c>
      <c r="D9924" t="s">
        <v>27</v>
      </c>
      <c r="F9924" s="2" t="str">
        <f>HYPERLINK("http://www.otzar.org/book.asp?620780","האדם לבדו")</f>
        <v>האדם לבדו</v>
      </c>
    </row>
    <row r="9925" spans="1:6" x14ac:dyDescent="0.2">
      <c r="A9925" t="s">
        <v>17139</v>
      </c>
      <c r="B9925" t="s">
        <v>4991</v>
      </c>
      <c r="C9925" t="s">
        <v>51</v>
      </c>
      <c r="D9925" t="s">
        <v>14</v>
      </c>
      <c r="E9925" t="s">
        <v>241</v>
      </c>
      <c r="F9925" s="2" t="str">
        <f>HYPERLINK("http://www.otzar.org/book.asp?6647","האדם נברא לעזור ולשמח לאחרים")</f>
        <v>האדם נברא לעזור ולשמח לאחרים</v>
      </c>
    </row>
    <row r="9926" spans="1:6" x14ac:dyDescent="0.2">
      <c r="A9926" t="s">
        <v>17140</v>
      </c>
      <c r="B9926" t="s">
        <v>17141</v>
      </c>
      <c r="C9926" t="s">
        <v>433</v>
      </c>
      <c r="D9926" t="s">
        <v>260</v>
      </c>
      <c r="E9926" t="s">
        <v>226</v>
      </c>
      <c r="F9926" s="2" t="str">
        <f>HYPERLINK("http://www.otzar.org/book.asp?156076","האדמו""ר האמצעי רבי דובער שניאורי")</f>
        <v>האדמו"ר האמצעי רבי דובער שניאורי</v>
      </c>
    </row>
    <row r="9927" spans="1:6" x14ac:dyDescent="0.2">
      <c r="A9927" t="s">
        <v>17142</v>
      </c>
      <c r="B9927" t="s">
        <v>17143</v>
      </c>
      <c r="C9927" t="s">
        <v>989</v>
      </c>
      <c r="D9927" t="s">
        <v>216</v>
      </c>
      <c r="E9927" t="s">
        <v>119</v>
      </c>
      <c r="F9927" s="2" t="str">
        <f>HYPERLINK("http://www.otzar.org/book.asp?158026","האדמו""ר הרופא")</f>
        <v>האדמו"ר הרופא</v>
      </c>
    </row>
    <row r="9928" spans="1:6" x14ac:dyDescent="0.2">
      <c r="A9928" t="s">
        <v>17144</v>
      </c>
      <c r="B9928" t="s">
        <v>17145</v>
      </c>
      <c r="C9928" t="s">
        <v>1448</v>
      </c>
      <c r="D9928" t="s">
        <v>118</v>
      </c>
      <c r="E9928" t="s">
        <v>119</v>
      </c>
      <c r="F9928" s="2" t="str">
        <f>HYPERLINK("http://www.otzar.org/book.asp?199434","האדמו""ר מסאטמר")</f>
        <v>האדמו"ר מסאטמר</v>
      </c>
    </row>
    <row r="9929" spans="1:6" x14ac:dyDescent="0.2">
      <c r="A9929" t="s">
        <v>17146</v>
      </c>
      <c r="B9929" t="s">
        <v>17147</v>
      </c>
      <c r="C9929" t="s">
        <v>427</v>
      </c>
      <c r="D9929" t="s">
        <v>14</v>
      </c>
      <c r="E9929" t="s">
        <v>119</v>
      </c>
      <c r="F9929" s="2" t="str">
        <f>HYPERLINK("http://www.otzar.org/book.asp?154567","האדמו""ר רבי חנוך העניך הכהן")</f>
        <v>האדמו"ר רבי חנוך העניך הכהן</v>
      </c>
    </row>
    <row r="9930" spans="1:6" x14ac:dyDescent="0.2">
      <c r="A9930" t="s">
        <v>17148</v>
      </c>
      <c r="B9930" t="s">
        <v>17149</v>
      </c>
      <c r="C9930" t="s">
        <v>20</v>
      </c>
      <c r="D9930" t="s">
        <v>52</v>
      </c>
      <c r="E9930" t="s">
        <v>226</v>
      </c>
      <c r="F9930" s="2" t="str">
        <f>HYPERLINK("http://www.otzar.org/book.asp?106101","האדמורים מאיזביצה")</f>
        <v>האדמורים מאיזביצה</v>
      </c>
    </row>
    <row r="9931" spans="1:6" x14ac:dyDescent="0.2">
      <c r="A9931" t="s">
        <v>17150</v>
      </c>
      <c r="B9931" t="s">
        <v>17151</v>
      </c>
      <c r="C9931" t="s">
        <v>2550</v>
      </c>
      <c r="D9931" t="s">
        <v>3293</v>
      </c>
      <c r="E9931" t="s">
        <v>564</v>
      </c>
      <c r="F9931" s="2" t="str">
        <f>HYPERLINK("http://www.otzar.org/book.asp?51333","האדרת והאמונה - 3 כר'")</f>
        <v>האדרת והאמונה - 3 כר'</v>
      </c>
    </row>
    <row r="9932" spans="1:6" x14ac:dyDescent="0.2">
      <c r="A9932" t="s">
        <v>17152</v>
      </c>
      <c r="B9932" t="s">
        <v>17153</v>
      </c>
      <c r="C9932" t="s">
        <v>854</v>
      </c>
      <c r="D9932" t="s">
        <v>2295</v>
      </c>
      <c r="E9932" t="s">
        <v>5186</v>
      </c>
      <c r="F9932" s="2" t="str">
        <f>HYPERLINK("http://www.otzar.org/book.asp?179001","האדרת והאמונה")</f>
        <v>האדרת והאמונה</v>
      </c>
    </row>
    <row r="9933" spans="1:6" x14ac:dyDescent="0.2">
      <c r="A9933" t="s">
        <v>17154</v>
      </c>
      <c r="B9933" t="s">
        <v>17155</v>
      </c>
      <c r="C9933" t="s">
        <v>884</v>
      </c>
      <c r="D9933" t="s">
        <v>322</v>
      </c>
      <c r="E9933" t="s">
        <v>2088</v>
      </c>
      <c r="F9933" s="2" t="str">
        <f>HYPERLINK("http://www.otzar.org/book.asp?9215","האהל עולם")</f>
        <v>האהל עולם</v>
      </c>
    </row>
    <row r="9934" spans="1:6" x14ac:dyDescent="0.2">
      <c r="A9934" t="s">
        <v>17156</v>
      </c>
      <c r="B9934" t="s">
        <v>1750</v>
      </c>
      <c r="C9934" t="s">
        <v>1246</v>
      </c>
      <c r="D9934" t="s">
        <v>27</v>
      </c>
      <c r="E9934" t="s">
        <v>202</v>
      </c>
      <c r="F9934" s="2" t="str">
        <f>HYPERLINK("http://www.otzar.org/book.asp?106780","האהל - 23 כר'")</f>
        <v>האהל - 23 כר'</v>
      </c>
    </row>
    <row r="9935" spans="1:6" x14ac:dyDescent="0.2">
      <c r="A9935" t="s">
        <v>17157</v>
      </c>
      <c r="B9935" t="s">
        <v>7052</v>
      </c>
      <c r="D9935" t="s">
        <v>21</v>
      </c>
      <c r="E9935" t="s">
        <v>119</v>
      </c>
      <c r="F9935" s="2" t="str">
        <f>HYPERLINK("http://www.otzar.org/book.asp?602745","האובדים בארץ אשור")</f>
        <v>האובדים בארץ אשור</v>
      </c>
    </row>
    <row r="9936" spans="1:6" x14ac:dyDescent="0.2">
      <c r="A9936" t="s">
        <v>17158</v>
      </c>
      <c r="B9936" t="s">
        <v>17159</v>
      </c>
      <c r="C9936" t="s">
        <v>146</v>
      </c>
      <c r="D9936" t="s">
        <v>412</v>
      </c>
      <c r="E9936" t="s">
        <v>246</v>
      </c>
      <c r="F9936" s="2" t="str">
        <f>HYPERLINK("http://www.otzar.org/book.asp?150891","האוהבים דבריה גדולה בחרו")</f>
        <v>האוהבים דבריה גדולה בחרו</v>
      </c>
    </row>
    <row r="9937" spans="1:6" x14ac:dyDescent="0.2">
      <c r="A9937" t="s">
        <v>17160</v>
      </c>
      <c r="B9937" t="s">
        <v>4814</v>
      </c>
      <c r="C9937" t="s">
        <v>624</v>
      </c>
      <c r="D9937" t="s">
        <v>14</v>
      </c>
      <c r="F9937" s="2" t="str">
        <f>HYPERLINK("http://www.otzar.org/book.asp?182810","האופן האבוד ממערכת היוצר הקלירית לשבועות (תדפיס)")</f>
        <v>האופן האבוד ממערכת היוצר הקלירית לשבועות (תדפיס)</v>
      </c>
    </row>
    <row r="9938" spans="1:6" x14ac:dyDescent="0.2">
      <c r="A9938" t="s">
        <v>17161</v>
      </c>
      <c r="B9938" t="s">
        <v>17162</v>
      </c>
      <c r="C9938" t="s">
        <v>767</v>
      </c>
      <c r="D9938" t="s">
        <v>14</v>
      </c>
      <c r="E9938" t="s">
        <v>241</v>
      </c>
      <c r="F9938" s="2" t="str">
        <f>HYPERLINK("http://www.otzar.org/book.asp?6511","האוצר האמיתי")</f>
        <v>האוצר האמיתי</v>
      </c>
    </row>
    <row r="9939" spans="1:6" x14ac:dyDescent="0.2">
      <c r="A9939" t="s">
        <v>17163</v>
      </c>
      <c r="B9939" t="s">
        <v>17164</v>
      </c>
      <c r="C9939" t="s">
        <v>576</v>
      </c>
      <c r="D9939" t="s">
        <v>283</v>
      </c>
      <c r="E9939" t="s">
        <v>104</v>
      </c>
      <c r="F9939" s="2" t="str">
        <f>HYPERLINK("http://www.otzar.org/book.asp?51352","האוצר מספורי צדיקים")</f>
        <v>האוצר מספורי צדיקים</v>
      </c>
    </row>
    <row r="9940" spans="1:6" x14ac:dyDescent="0.2">
      <c r="A9940" t="s">
        <v>17165</v>
      </c>
      <c r="B9940" t="s">
        <v>17166</v>
      </c>
      <c r="C9940" t="s">
        <v>129</v>
      </c>
      <c r="D9940" t="s">
        <v>52</v>
      </c>
      <c r="E9940" t="s">
        <v>119</v>
      </c>
      <c r="F9940" s="2" t="str">
        <f>HYPERLINK("http://www.otzar.org/book.asp?61564","האור המאיר - מסכת חייו של ר""מ שפירא מלובלין")</f>
        <v>האור המאיר - מסכת חייו של ר"מ שפירא מלובלין</v>
      </c>
    </row>
    <row r="9941" spans="1:6" x14ac:dyDescent="0.2">
      <c r="A9941" t="s">
        <v>17167</v>
      </c>
      <c r="B9941" t="s">
        <v>17168</v>
      </c>
      <c r="C9941" t="s">
        <v>523</v>
      </c>
      <c r="D9941" t="s">
        <v>14</v>
      </c>
      <c r="E9941" t="s">
        <v>186</v>
      </c>
      <c r="F9941" s="2" t="str">
        <f>HYPERLINK("http://www.otzar.org/book.asp?159720","האור")</f>
        <v>האור</v>
      </c>
    </row>
    <row r="9942" spans="1:6" x14ac:dyDescent="0.2">
      <c r="A9942" t="s">
        <v>17169</v>
      </c>
      <c r="B9942" t="s">
        <v>17169</v>
      </c>
      <c r="C9942" t="s">
        <v>3103</v>
      </c>
      <c r="D9942" t="s">
        <v>7999</v>
      </c>
      <c r="E9942" t="s">
        <v>202</v>
      </c>
      <c r="F9942" s="2" t="str">
        <f>HYPERLINK("http://www.otzar.org/book.asp?17638","האורה")</f>
        <v>האורה</v>
      </c>
    </row>
    <row r="9943" spans="1:6" x14ac:dyDescent="0.2">
      <c r="A9943" t="s">
        <v>17170</v>
      </c>
      <c r="B9943" t="s">
        <v>1604</v>
      </c>
      <c r="C9943" t="s">
        <v>775</v>
      </c>
      <c r="D9943" t="s">
        <v>14</v>
      </c>
      <c r="E9943" t="s">
        <v>241</v>
      </c>
      <c r="F9943" s="2" t="str">
        <f>HYPERLINK("http://www.otzar.org/book.asp?52631","האושר שבאמונה")</f>
        <v>האושר שבאמונה</v>
      </c>
    </row>
    <row r="9944" spans="1:6" x14ac:dyDescent="0.2">
      <c r="A9944" t="s">
        <v>17171</v>
      </c>
      <c r="B9944" t="s">
        <v>1604</v>
      </c>
      <c r="C9944" t="s">
        <v>775</v>
      </c>
      <c r="D9944" t="s">
        <v>14</v>
      </c>
      <c r="E9944" t="s">
        <v>213</v>
      </c>
      <c r="F9944" s="2" t="str">
        <f>HYPERLINK("http://www.otzar.org/book.asp?52633","האושר שבבטחון")</f>
        <v>האושר שבבטחון</v>
      </c>
    </row>
    <row r="9945" spans="1:6" x14ac:dyDescent="0.2">
      <c r="A9945" t="s">
        <v>17172</v>
      </c>
      <c r="B9945" t="s">
        <v>257</v>
      </c>
      <c r="C9945" t="s">
        <v>383</v>
      </c>
      <c r="D9945" t="s">
        <v>486</v>
      </c>
      <c r="E9945" t="s">
        <v>15</v>
      </c>
      <c r="F9945" s="2" t="str">
        <f>HYPERLINK("http://www.otzar.org/book.asp?182806","האושר שבחיי נישואין")</f>
        <v>האושר שבחיי נישואין</v>
      </c>
    </row>
    <row r="9946" spans="1:6" x14ac:dyDescent="0.2">
      <c r="A9946" t="s">
        <v>17173</v>
      </c>
      <c r="B9946" t="s">
        <v>1691</v>
      </c>
      <c r="C9946" t="s">
        <v>20</v>
      </c>
      <c r="D9946" t="s">
        <v>14</v>
      </c>
      <c r="E9946" t="s">
        <v>15</v>
      </c>
      <c r="F9946" s="2" t="str">
        <f>HYPERLINK("http://www.otzar.org/book.asp?160909","האושר שבטהרה")</f>
        <v>האושר שבטהרה</v>
      </c>
    </row>
    <row r="9947" spans="1:6" x14ac:dyDescent="0.2">
      <c r="A9947" t="s">
        <v>17174</v>
      </c>
      <c r="B9947" t="s">
        <v>17175</v>
      </c>
      <c r="C9947" t="s">
        <v>51</v>
      </c>
      <c r="D9947" t="s">
        <v>52</v>
      </c>
      <c r="E9947" t="s">
        <v>104</v>
      </c>
      <c r="F9947" s="2" t="str">
        <f>HYPERLINK("http://www.otzar.org/book.asp?24947","האושר שבנישואין - 2 כר'")</f>
        <v>האושר שבנישואין - 2 כר'</v>
      </c>
    </row>
    <row r="9948" spans="1:6" x14ac:dyDescent="0.2">
      <c r="A9948" t="s">
        <v>17176</v>
      </c>
      <c r="B9948" t="s">
        <v>1604</v>
      </c>
      <c r="C9948" t="s">
        <v>553</v>
      </c>
      <c r="D9948" t="s">
        <v>14</v>
      </c>
      <c r="E9948" t="s">
        <v>241</v>
      </c>
      <c r="F9948" s="2" t="str">
        <f>HYPERLINK("http://www.otzar.org/book.asp?606650","האושר שבתפלה")</f>
        <v>האושר שבתפלה</v>
      </c>
    </row>
    <row r="9949" spans="1:6" x14ac:dyDescent="0.2">
      <c r="A9949" t="s">
        <v>17177</v>
      </c>
      <c r="B9949" t="s">
        <v>3068</v>
      </c>
      <c r="C9949" t="s">
        <v>37</v>
      </c>
      <c r="D9949" t="s">
        <v>3069</v>
      </c>
      <c r="E9949" t="s">
        <v>104</v>
      </c>
      <c r="F9949" s="2" t="str">
        <f>HYPERLINK("http://www.otzar.org/book.asp?196426","האותיות הקדושות")</f>
        <v>האותיות הקדושות</v>
      </c>
    </row>
    <row r="9950" spans="1:6" x14ac:dyDescent="0.2">
      <c r="A9950" t="s">
        <v>17178</v>
      </c>
      <c r="B9950" t="s">
        <v>17179</v>
      </c>
      <c r="C9950" t="s">
        <v>20</v>
      </c>
      <c r="D9950" t="s">
        <v>90</v>
      </c>
      <c r="F9950" s="2" t="str">
        <f>HYPERLINK("http://www.otzar.org/book.asp?609632","האותיות התגין והנקודות")</f>
        <v>האותיות התגין והנקודות</v>
      </c>
    </row>
    <row r="9951" spans="1:6" x14ac:dyDescent="0.2">
      <c r="A9951" t="s">
        <v>17180</v>
      </c>
      <c r="B9951" t="s">
        <v>5622</v>
      </c>
      <c r="C9951" t="s">
        <v>17181</v>
      </c>
      <c r="D9951" t="s">
        <v>225</v>
      </c>
      <c r="E9951" t="s">
        <v>15</v>
      </c>
      <c r="F9951" s="2" t="str">
        <f>HYPERLINK("http://www.otzar.org/book.asp?100291","האזלא גרש - 2 כר'")</f>
        <v>האזלא גרש - 2 כר'</v>
      </c>
    </row>
    <row r="9952" spans="1:6" x14ac:dyDescent="0.2">
      <c r="A9952" t="s">
        <v>17182</v>
      </c>
      <c r="B9952" t="s">
        <v>9846</v>
      </c>
      <c r="C9952" t="s">
        <v>600</v>
      </c>
      <c r="D9952" t="s">
        <v>157</v>
      </c>
      <c r="E9952" t="s">
        <v>104</v>
      </c>
      <c r="F9952" s="2" t="str">
        <f>HYPERLINK("http://www.otzar.org/book.asp?151546","האח נפשנו")</f>
        <v>האח נפשנו</v>
      </c>
    </row>
    <row r="9953" spans="1:6" x14ac:dyDescent="0.2">
      <c r="A9953" t="s">
        <v>17183</v>
      </c>
      <c r="B9953" t="s">
        <v>1750</v>
      </c>
      <c r="C9953" t="s">
        <v>482</v>
      </c>
      <c r="D9953" t="s">
        <v>27</v>
      </c>
      <c r="F9953" s="2" t="str">
        <f>HYPERLINK("http://www.otzar.org/book.asp?180372","האחוד - 8 כר'")</f>
        <v>האחוד - 8 כר'</v>
      </c>
    </row>
    <row r="9954" spans="1:6" x14ac:dyDescent="0.2">
      <c r="A9954" t="s">
        <v>17184</v>
      </c>
      <c r="B9954" t="s">
        <v>17185</v>
      </c>
      <c r="C9954" t="s">
        <v>1208</v>
      </c>
      <c r="D9954" t="s">
        <v>14</v>
      </c>
      <c r="E9954" t="s">
        <v>733</v>
      </c>
      <c r="F9954" s="2" t="str">
        <f>HYPERLINK("http://www.otzar.org/book.asp?189024","האחים הקדושים")</f>
        <v>האחים הקדושים</v>
      </c>
    </row>
    <row r="9955" spans="1:6" x14ac:dyDescent="0.2">
      <c r="A9955" t="s">
        <v>17186</v>
      </c>
      <c r="B9955" t="s">
        <v>17187</v>
      </c>
      <c r="C9955" t="s">
        <v>940</v>
      </c>
      <c r="D9955" t="s">
        <v>14</v>
      </c>
      <c r="E9955" t="s">
        <v>733</v>
      </c>
      <c r="F9955" s="2" t="str">
        <f>HYPERLINK("http://www.otzar.org/book.asp?147833","האחים שולזינגר - הדפוס וההוצאה")</f>
        <v>האחים שולזינגר - הדפוס וההוצאה</v>
      </c>
    </row>
    <row r="9956" spans="1:6" x14ac:dyDescent="0.2">
      <c r="A9956" t="s">
        <v>17188</v>
      </c>
      <c r="C9956" t="s">
        <v>143</v>
      </c>
      <c r="D9956" t="s">
        <v>3406</v>
      </c>
      <c r="E9956" t="s">
        <v>202</v>
      </c>
      <c r="F9956" s="2" t="str">
        <f>HYPERLINK("http://www.otzar.org/book.asp?52880","האיגוד - 4 כר'")</f>
        <v>האיגוד - 4 כר'</v>
      </c>
    </row>
    <row r="9957" spans="1:6" x14ac:dyDescent="0.2">
      <c r="A9957" t="s">
        <v>17189</v>
      </c>
      <c r="B9957" t="s">
        <v>489</v>
      </c>
      <c r="C9957" t="s">
        <v>624</v>
      </c>
      <c r="D9957" t="s">
        <v>21</v>
      </c>
      <c r="E9957" t="s">
        <v>202</v>
      </c>
      <c r="F9957" s="2" t="str">
        <f>HYPERLINK("http://www.otzar.org/book.asp?191700","האידרא - א")</f>
        <v>האידרא - א</v>
      </c>
    </row>
    <row r="9958" spans="1:6" x14ac:dyDescent="0.2">
      <c r="A9958" t="s">
        <v>17190</v>
      </c>
      <c r="B9958" t="s">
        <v>1750</v>
      </c>
      <c r="C9958" t="s">
        <v>68</v>
      </c>
      <c r="D9958" t="s">
        <v>90</v>
      </c>
      <c r="E9958" t="s">
        <v>202</v>
      </c>
      <c r="F9958" s="2" t="str">
        <f>HYPERLINK("http://www.otzar.org/book.asp?195087","האיחוד בחידוד - 8 כר'")</f>
        <v>האיחוד בחידוד - 8 כר'</v>
      </c>
    </row>
    <row r="9959" spans="1:6" x14ac:dyDescent="0.2">
      <c r="A9959" t="s">
        <v>17191</v>
      </c>
      <c r="B9959" t="s">
        <v>17192</v>
      </c>
      <c r="C9959" t="s">
        <v>189</v>
      </c>
      <c r="D9959" t="s">
        <v>21</v>
      </c>
      <c r="E9959" t="s">
        <v>140</v>
      </c>
      <c r="F9959" s="2" t="str">
        <f>HYPERLINK("http://www.otzar.org/book.asp?606944","האיחוד - 5 כר'")</f>
        <v>האיחוד - 5 כר'</v>
      </c>
    </row>
    <row r="9960" spans="1:6" x14ac:dyDescent="0.2">
      <c r="A9960" t="s">
        <v>17193</v>
      </c>
      <c r="B9960" t="s">
        <v>17194</v>
      </c>
      <c r="C9960" t="s">
        <v>553</v>
      </c>
      <c r="D9960" t="s">
        <v>90</v>
      </c>
      <c r="E9960" t="s">
        <v>202</v>
      </c>
      <c r="F9960" s="2" t="str">
        <f>HYPERLINK("http://www.otzar.org/book.asp?143634","האיחוד - 4 כר'")</f>
        <v>האיחוד - 4 כר'</v>
      </c>
    </row>
    <row r="9961" spans="1:6" x14ac:dyDescent="0.2">
      <c r="A9961" t="s">
        <v>17195</v>
      </c>
      <c r="B9961" t="s">
        <v>17196</v>
      </c>
      <c r="C9961" t="s">
        <v>151</v>
      </c>
      <c r="D9961" t="s">
        <v>14</v>
      </c>
      <c r="E9961" t="s">
        <v>15</v>
      </c>
      <c r="F9961" s="2" t="str">
        <f>HYPERLINK("http://www.otzar.org/book.asp?630867","האייפון בהלכה")</f>
        <v>האייפון בהלכה</v>
      </c>
    </row>
    <row r="9962" spans="1:6" x14ac:dyDescent="0.2">
      <c r="A9962" t="s">
        <v>17197</v>
      </c>
      <c r="B9962" t="s">
        <v>17198</v>
      </c>
      <c r="C9962" t="s">
        <v>20</v>
      </c>
      <c r="D9962" t="s">
        <v>2347</v>
      </c>
      <c r="E9962" t="s">
        <v>399</v>
      </c>
      <c r="F9962" s="2" t="str">
        <f>HYPERLINK("http://www.otzar.org/book.asp?6200","האילן הגדול")</f>
        <v>האילן הגדול</v>
      </c>
    </row>
    <row r="9963" spans="1:6" x14ac:dyDescent="0.2">
      <c r="A9963" t="s">
        <v>17199</v>
      </c>
      <c r="B9963" t="s">
        <v>17200</v>
      </c>
      <c r="C9963" t="s">
        <v>37</v>
      </c>
      <c r="D9963" t="s">
        <v>21</v>
      </c>
      <c r="E9963" t="s">
        <v>399</v>
      </c>
      <c r="F9963" s="2" t="str">
        <f>HYPERLINK("http://www.otzar.org/book.asp?603788","האילן הקדוש עם ביאור")</f>
        <v>האילן הקדוש עם ביאור</v>
      </c>
    </row>
    <row r="9964" spans="1:6" x14ac:dyDescent="0.2">
      <c r="A9964" t="s">
        <v>17201</v>
      </c>
      <c r="B9964" t="s">
        <v>382</v>
      </c>
      <c r="C9964" t="s">
        <v>411</v>
      </c>
      <c r="D9964" t="s">
        <v>52</v>
      </c>
      <c r="F9964" s="2" t="str">
        <f>HYPERLINK("http://www.otzar.org/book.asp?194066","האילן")</f>
        <v>האילן</v>
      </c>
    </row>
    <row r="9965" spans="1:6" x14ac:dyDescent="0.2">
      <c r="A9965" t="s">
        <v>17202</v>
      </c>
      <c r="B9965" t="s">
        <v>17203</v>
      </c>
      <c r="E9965" t="s">
        <v>15</v>
      </c>
      <c r="F9965" s="2" t="str">
        <f>HYPERLINK("http://www.otzar.org/book.asp?624727","האינטרנט בהלכה")</f>
        <v>האינטרנט בהלכה</v>
      </c>
    </row>
    <row r="9966" spans="1:6" x14ac:dyDescent="0.2">
      <c r="A9966" t="s">
        <v>17204</v>
      </c>
      <c r="B9966" t="s">
        <v>107</v>
      </c>
      <c r="C9966" t="s">
        <v>87</v>
      </c>
      <c r="D9966" t="s">
        <v>14</v>
      </c>
      <c r="E9966" t="s">
        <v>733</v>
      </c>
      <c r="F9966" s="2" t="str">
        <f>HYPERLINK("http://www.otzar.org/book.asp?84466","האינתיפאדה ולקחיה")</f>
        <v>האינתיפאדה ולקחיה</v>
      </c>
    </row>
    <row r="9967" spans="1:6" x14ac:dyDescent="0.2">
      <c r="A9967" t="s">
        <v>17205</v>
      </c>
      <c r="B9967" t="s">
        <v>206</v>
      </c>
      <c r="C9967" t="s">
        <v>68</v>
      </c>
      <c r="D9967" t="s">
        <v>14</v>
      </c>
      <c r="E9967" t="s">
        <v>241</v>
      </c>
      <c r="F9967" s="2" t="str">
        <f>HYPERLINK("http://www.otzar.org/book.asp?156137","האיסור החמור")</f>
        <v>האיסור החמור</v>
      </c>
    </row>
    <row r="9968" spans="1:6" x14ac:dyDescent="0.2">
      <c r="A9968" t="s">
        <v>17206</v>
      </c>
      <c r="B9968" t="s">
        <v>15041</v>
      </c>
      <c r="C9968" t="s">
        <v>129</v>
      </c>
      <c r="D9968" t="s">
        <v>14</v>
      </c>
      <c r="E9968" t="s">
        <v>733</v>
      </c>
      <c r="F9968" s="2" t="str">
        <f>HYPERLINK("http://www.otzar.org/book.asp?173788","האיר המזרח")</f>
        <v>האיר המזרח</v>
      </c>
    </row>
    <row r="9969" spans="1:6" x14ac:dyDescent="0.2">
      <c r="A9969" t="s">
        <v>17207</v>
      </c>
      <c r="B9969" t="s">
        <v>5762</v>
      </c>
      <c r="C9969" t="s">
        <v>23</v>
      </c>
      <c r="D9969" t="s">
        <v>14</v>
      </c>
      <c r="E9969" t="s">
        <v>84</v>
      </c>
      <c r="F9969" s="2" t="str">
        <f>HYPERLINK("http://www.otzar.org/book.asp?600064","האיר ממזרח - 17 כר'")</f>
        <v>האיר ממזרח - 17 כר'</v>
      </c>
    </row>
    <row r="9970" spans="1:6" x14ac:dyDescent="0.2">
      <c r="A9970" t="s">
        <v>17208</v>
      </c>
      <c r="B9970" t="s">
        <v>686</v>
      </c>
      <c r="C9970" t="s">
        <v>366</v>
      </c>
      <c r="D9970" t="s">
        <v>80</v>
      </c>
      <c r="E9970" t="s">
        <v>3798</v>
      </c>
      <c r="F9970" s="2" t="str">
        <f>HYPERLINK("http://www.otzar.org/book.asp?606753","האירה עיני")</f>
        <v>האירה עיני</v>
      </c>
    </row>
    <row r="9971" spans="1:6" x14ac:dyDescent="0.2">
      <c r="A9971" t="s">
        <v>17209</v>
      </c>
      <c r="B9971" t="s">
        <v>17210</v>
      </c>
      <c r="C9971" t="s">
        <v>133</v>
      </c>
      <c r="D9971" t="s">
        <v>52</v>
      </c>
      <c r="E9971" t="s">
        <v>674</v>
      </c>
      <c r="F9971" s="2" t="str">
        <f>HYPERLINK("http://www.otzar.org/book.asp?171214","האירוסין והנישואין השלם - 2 כר'")</f>
        <v>האירוסין והנישואין השלם - 2 כר'</v>
      </c>
    </row>
    <row r="9972" spans="1:6" x14ac:dyDescent="0.2">
      <c r="A9972" t="s">
        <v>17211</v>
      </c>
      <c r="B9972" t="s">
        <v>17212</v>
      </c>
      <c r="C9972" t="s">
        <v>51</v>
      </c>
      <c r="D9972" t="s">
        <v>52</v>
      </c>
      <c r="E9972" t="s">
        <v>199</v>
      </c>
      <c r="F9972" s="2" t="str">
        <f>HYPERLINK("http://www.otzar.org/book.asp?168372","האיש הדומה למלאך ה'")</f>
        <v>האיש הדומה למלאך ה'</v>
      </c>
    </row>
    <row r="9973" spans="1:6" x14ac:dyDescent="0.2">
      <c r="A9973" t="s">
        <v>17213</v>
      </c>
      <c r="B9973" t="s">
        <v>10759</v>
      </c>
      <c r="C9973" t="s">
        <v>180</v>
      </c>
      <c r="D9973" t="s">
        <v>216</v>
      </c>
      <c r="E9973" t="s">
        <v>119</v>
      </c>
      <c r="F9973" s="2" t="str">
        <f>HYPERLINK("http://www.otzar.org/book.asp?144194","האיש וחזונו")</f>
        <v>האיש וחזונו</v>
      </c>
    </row>
    <row r="9974" spans="1:6" x14ac:dyDescent="0.2">
      <c r="A9974" t="s">
        <v>17214</v>
      </c>
      <c r="B9974" t="s">
        <v>17215</v>
      </c>
      <c r="C9974" t="s">
        <v>1619</v>
      </c>
      <c r="D9974" t="s">
        <v>14</v>
      </c>
      <c r="E9974" t="s">
        <v>119</v>
      </c>
      <c r="F9974" s="2" t="str">
        <f>HYPERLINK("http://www.otzar.org/book.asp?160260","האיש ופעלו")</f>
        <v>האיש ופעלו</v>
      </c>
    </row>
    <row r="9975" spans="1:6" x14ac:dyDescent="0.2">
      <c r="A9975" t="s">
        <v>17216</v>
      </c>
      <c r="B9975" t="s">
        <v>17217</v>
      </c>
      <c r="C9975" t="s">
        <v>151</v>
      </c>
      <c r="D9975" t="s">
        <v>52</v>
      </c>
      <c r="E9975" t="s">
        <v>144</v>
      </c>
      <c r="F9975" s="2" t="str">
        <f>HYPERLINK("http://www.otzar.org/book.asp?628792","האיש מקדש")</f>
        <v>האיש מקדש</v>
      </c>
    </row>
    <row r="9976" spans="1:6" x14ac:dyDescent="0.2">
      <c r="A9976" t="s">
        <v>17218</v>
      </c>
      <c r="B9976" t="s">
        <v>8846</v>
      </c>
      <c r="C9976" t="s">
        <v>146</v>
      </c>
      <c r="D9976" t="s">
        <v>14</v>
      </c>
      <c r="E9976" t="s">
        <v>119</v>
      </c>
      <c r="F9976" s="2" t="str">
        <f>HYPERLINK("http://www.otzar.org/book.asp?143578","האיש על החומה - 3 כר'")</f>
        <v>האיש על החומה - 3 כר'</v>
      </c>
    </row>
    <row r="9977" spans="1:6" x14ac:dyDescent="0.2">
      <c r="A9977" t="s">
        <v>17219</v>
      </c>
      <c r="B9977" t="s">
        <v>17220</v>
      </c>
      <c r="C9977" t="s">
        <v>422</v>
      </c>
      <c r="D9977" t="s">
        <v>14</v>
      </c>
      <c r="E9977" t="s">
        <v>226</v>
      </c>
      <c r="F9977" s="2" t="str">
        <f>HYPERLINK("http://www.otzar.org/book.asp?155961","האיש על העדה - 3 כר'")</f>
        <v>האיש על העדה - 3 כר'</v>
      </c>
    </row>
    <row r="9978" spans="1:6" x14ac:dyDescent="0.2">
      <c r="A9978" t="s">
        <v>17221</v>
      </c>
      <c r="B9978" t="s">
        <v>107</v>
      </c>
      <c r="C9978" t="s">
        <v>189</v>
      </c>
      <c r="D9978" t="s">
        <v>14</v>
      </c>
      <c r="E9978" t="s">
        <v>119</v>
      </c>
      <c r="F9978" s="2" t="str">
        <f>HYPERLINK("http://www.otzar.org/book.asp?84469","האיש שהיה למגדלור")</f>
        <v>האיש שהיה למגדלור</v>
      </c>
    </row>
    <row r="9979" spans="1:6" x14ac:dyDescent="0.2">
      <c r="A9979" t="s">
        <v>17222</v>
      </c>
      <c r="B9979" t="s">
        <v>17223</v>
      </c>
      <c r="C9979" t="s">
        <v>585</v>
      </c>
      <c r="D9979" t="s">
        <v>52</v>
      </c>
      <c r="E9979" t="s">
        <v>202</v>
      </c>
      <c r="F9979" s="2" t="str">
        <f>HYPERLINK("http://www.otzar.org/book.asp?169083","האיש שלא נרתע")</f>
        <v>האיש שלא נרתע</v>
      </c>
    </row>
    <row r="9980" spans="1:6" x14ac:dyDescent="0.2">
      <c r="A9980" t="s">
        <v>17224</v>
      </c>
      <c r="B9980" t="s">
        <v>17225</v>
      </c>
      <c r="C9980" t="s">
        <v>37</v>
      </c>
      <c r="D9980" t="s">
        <v>152</v>
      </c>
      <c r="F9980" s="2" t="str">
        <f>HYPERLINK("http://www.otzar.org/book.asp?182382","האלולים קודש לה'")</f>
        <v>האלולים קודש לה'</v>
      </c>
    </row>
    <row r="9981" spans="1:6" x14ac:dyDescent="0.2">
      <c r="A9981" t="s">
        <v>17226</v>
      </c>
      <c r="B9981" t="s">
        <v>9358</v>
      </c>
      <c r="C9981" t="s">
        <v>956</v>
      </c>
      <c r="D9981" t="s">
        <v>17227</v>
      </c>
      <c r="F9981" s="2" t="str">
        <f>HYPERLINK("http://www.otzar.org/book.asp?617126","האלמין טורץ")</f>
        <v>האלמין טורץ</v>
      </c>
    </row>
    <row r="9982" spans="1:6" x14ac:dyDescent="0.2">
      <c r="A9982" t="s">
        <v>17228</v>
      </c>
      <c r="B9982" t="s">
        <v>17229</v>
      </c>
      <c r="C9982" t="s">
        <v>445</v>
      </c>
      <c r="D9982" t="s">
        <v>6551</v>
      </c>
      <c r="E9982" t="s">
        <v>1211</v>
      </c>
      <c r="F9982" s="2" t="str">
        <f>HYPERLINK("http://www.otzar.org/book.asp?9189","האלף לך שלמה")</f>
        <v>האלף לך שלמה</v>
      </c>
    </row>
    <row r="9983" spans="1:6" x14ac:dyDescent="0.2">
      <c r="A9983" t="s">
        <v>17230</v>
      </c>
      <c r="B9983" t="s">
        <v>305</v>
      </c>
      <c r="C9983" t="s">
        <v>433</v>
      </c>
      <c r="D9983" t="s">
        <v>9</v>
      </c>
      <c r="E9983" t="s">
        <v>154</v>
      </c>
      <c r="F9983" s="2" t="str">
        <f>HYPERLINK("http://www.otzar.org/book.asp?6094","האלף לך שלמה - 4 כר'")</f>
        <v>האלף לך שלמה - 4 כר'</v>
      </c>
    </row>
    <row r="9984" spans="1:6" x14ac:dyDescent="0.2">
      <c r="A9984" t="s">
        <v>17231</v>
      </c>
      <c r="B9984" t="s">
        <v>17232</v>
      </c>
      <c r="C9984" t="s">
        <v>20</v>
      </c>
      <c r="D9984" t="s">
        <v>118</v>
      </c>
      <c r="E9984" t="s">
        <v>104</v>
      </c>
      <c r="F9984" s="2" t="str">
        <f>HYPERLINK("http://www.otzar.org/book.asp?192230","האם כתב רבי משה מלונדון תוספות על הרי""ף?")</f>
        <v>האם כתב רבי משה מלונדון תוספות על הרי"ף?</v>
      </c>
    </row>
    <row r="9985" spans="1:6" x14ac:dyDescent="0.2">
      <c r="A9985" t="s">
        <v>17233</v>
      </c>
      <c r="B9985" t="s">
        <v>5975</v>
      </c>
      <c r="C9985" t="s">
        <v>124</v>
      </c>
      <c r="D9985" t="s">
        <v>14</v>
      </c>
      <c r="E9985" t="s">
        <v>104</v>
      </c>
      <c r="F9985" s="2" t="str">
        <f>HYPERLINK("http://www.otzar.org/book.asp?158876","האם לפנינו קטע חדש מאגרת הקודש?- תדפיס")</f>
        <v>האם לפנינו קטע חדש מאגרת הקודש?- תדפיס</v>
      </c>
    </row>
    <row r="9986" spans="1:6" x14ac:dyDescent="0.2">
      <c r="A9986" t="s">
        <v>17234</v>
      </c>
      <c r="B9986" t="s">
        <v>1066</v>
      </c>
      <c r="C9986" t="s">
        <v>411</v>
      </c>
      <c r="D9986" t="s">
        <v>1180</v>
      </c>
      <c r="E9986" t="s">
        <v>241</v>
      </c>
      <c r="F9986" s="2" t="str">
        <f>HYPERLINK("http://www.otzar.org/book.asp?175352","האמונה הנאמנה")</f>
        <v>האמונה הנאמנה</v>
      </c>
    </row>
    <row r="9987" spans="1:6" x14ac:dyDescent="0.2">
      <c r="A9987" t="s">
        <v>17235</v>
      </c>
      <c r="B9987" t="s">
        <v>17236</v>
      </c>
      <c r="C9987" t="s">
        <v>111</v>
      </c>
      <c r="D9987" t="s">
        <v>118</v>
      </c>
      <c r="F9987" s="2" t="str">
        <f>HYPERLINK("http://www.otzar.org/book.asp?621892","האמונה הרמה &lt;האמונה המבוארת&gt;")</f>
        <v>האמונה הרמה &lt;האמונה המבוארת&gt;</v>
      </c>
    </row>
    <row r="9988" spans="1:6" x14ac:dyDescent="0.2">
      <c r="A9988" t="s">
        <v>17237</v>
      </c>
      <c r="B9988" t="s">
        <v>17236</v>
      </c>
      <c r="C9988" t="s">
        <v>291</v>
      </c>
      <c r="D9988" t="s">
        <v>6742</v>
      </c>
      <c r="E9988" t="s">
        <v>241</v>
      </c>
      <c r="F9988" s="2" t="str">
        <f>HYPERLINK("http://www.otzar.org/book.asp?12164","האמונה הרמה")</f>
        <v>האמונה הרמה</v>
      </c>
    </row>
    <row r="9989" spans="1:6" x14ac:dyDescent="0.2">
      <c r="A9989" t="s">
        <v>17238</v>
      </c>
      <c r="B9989" t="s">
        <v>17239</v>
      </c>
      <c r="C9989" t="s">
        <v>943</v>
      </c>
      <c r="D9989" t="s">
        <v>5258</v>
      </c>
      <c r="F9989" s="2" t="str">
        <f>HYPERLINK("http://www.otzar.org/book.asp?182366","האמונה והבטחון - 3 כר'")</f>
        <v>האמונה והבטחון - 3 כר'</v>
      </c>
    </row>
    <row r="9990" spans="1:6" x14ac:dyDescent="0.2">
      <c r="A9990" t="s">
        <v>17240</v>
      </c>
      <c r="B9990" t="s">
        <v>17241</v>
      </c>
      <c r="C9990" t="s">
        <v>1246</v>
      </c>
      <c r="D9990" t="s">
        <v>3208</v>
      </c>
      <c r="E9990" t="s">
        <v>241</v>
      </c>
      <c r="F9990" s="2" t="str">
        <f>HYPERLINK("http://www.otzar.org/book.asp?624689","האמונה והבטחון")</f>
        <v>האמונה והבטחון</v>
      </c>
    </row>
    <row r="9991" spans="1:6" x14ac:dyDescent="0.2">
      <c r="A9991" t="s">
        <v>17240</v>
      </c>
      <c r="B9991" t="s">
        <v>17242</v>
      </c>
      <c r="C9991" t="s">
        <v>291</v>
      </c>
      <c r="D9991" t="s">
        <v>1008</v>
      </c>
      <c r="E9991" t="s">
        <v>213</v>
      </c>
      <c r="F9991" s="2" t="str">
        <f>HYPERLINK("http://www.otzar.org/book.asp?6398","האמונה והבטחון")</f>
        <v>האמונה והבטחון</v>
      </c>
    </row>
    <row r="9992" spans="1:6" x14ac:dyDescent="0.2">
      <c r="A9992" t="s">
        <v>17243</v>
      </c>
      <c r="B9992" t="s">
        <v>5844</v>
      </c>
      <c r="C9992" t="s">
        <v>362</v>
      </c>
      <c r="D9992" t="s">
        <v>27</v>
      </c>
      <c r="E9992" t="s">
        <v>8049</v>
      </c>
      <c r="F9992" s="2" t="str">
        <f>HYPERLINK("http://www.otzar.org/book.asp?6584","האמונה וההשגחה")</f>
        <v>האמונה וההשגחה</v>
      </c>
    </row>
    <row r="9993" spans="1:6" x14ac:dyDescent="0.2">
      <c r="A9993" t="s">
        <v>17244</v>
      </c>
      <c r="B9993" t="s">
        <v>17242</v>
      </c>
      <c r="C9993" t="s">
        <v>15405</v>
      </c>
      <c r="D9993" t="s">
        <v>1008</v>
      </c>
      <c r="E9993" t="s">
        <v>213</v>
      </c>
      <c r="F9993" s="2" t="str">
        <f>HYPERLINK("http://www.otzar.org/book.asp?15869","האמונה והחקירה")</f>
        <v>האמונה והחקירה</v>
      </c>
    </row>
    <row r="9994" spans="1:6" x14ac:dyDescent="0.2">
      <c r="A9994" t="s">
        <v>17245</v>
      </c>
      <c r="B9994" t="s">
        <v>17246</v>
      </c>
      <c r="C9994" t="s">
        <v>189</v>
      </c>
      <c r="D9994" t="s">
        <v>14</v>
      </c>
      <c r="E9994" t="s">
        <v>241</v>
      </c>
      <c r="F9994" s="2" t="str">
        <f>HYPERLINK("http://www.otzar.org/book.asp?26352","האמונה וי""ג עיקריה")</f>
        <v>האמונה וי"ג עיקריה</v>
      </c>
    </row>
    <row r="9995" spans="1:6" x14ac:dyDescent="0.2">
      <c r="A9995" t="s">
        <v>17247</v>
      </c>
      <c r="B9995" t="s">
        <v>5873</v>
      </c>
      <c r="C9995" t="s">
        <v>20</v>
      </c>
      <c r="D9995" t="s">
        <v>90</v>
      </c>
      <c r="E9995" t="s">
        <v>241</v>
      </c>
      <c r="F9995" s="2" t="str">
        <f>HYPERLINK("http://www.otzar.org/book.asp?198623","האמונה מה למעשה")</f>
        <v>האמונה מה למעשה</v>
      </c>
    </row>
    <row r="9996" spans="1:6" x14ac:dyDescent="0.2">
      <c r="A9996" t="s">
        <v>17248</v>
      </c>
      <c r="B9996" t="s">
        <v>17249</v>
      </c>
      <c r="C9996" t="s">
        <v>17250</v>
      </c>
      <c r="D9996" t="s">
        <v>21</v>
      </c>
      <c r="E9996" t="s">
        <v>202</v>
      </c>
      <c r="F9996" s="2" t="str">
        <f>HYPERLINK("http://www.otzar.org/book.asp?604431","האמונה - ג")</f>
        <v>האמונה - ג</v>
      </c>
    </row>
    <row r="9997" spans="1:6" x14ac:dyDescent="0.2">
      <c r="A9997" t="s">
        <v>17251</v>
      </c>
      <c r="B9997" t="s">
        <v>17252</v>
      </c>
      <c r="C9997" t="s">
        <v>411</v>
      </c>
      <c r="D9997" t="s">
        <v>21</v>
      </c>
      <c r="E9997" t="s">
        <v>213</v>
      </c>
      <c r="F9997" s="2" t="str">
        <f>HYPERLINK("http://www.otzar.org/book.asp?195570","האמונות והדעות &lt;עם דרך אמונה&gt; - 4 כר'")</f>
        <v>האמונות והדעות &lt;עם דרך אמונה&gt; - 4 כר'</v>
      </c>
    </row>
    <row r="9998" spans="1:6" x14ac:dyDescent="0.2">
      <c r="A9998" t="s">
        <v>17253</v>
      </c>
      <c r="B9998" t="s">
        <v>4840</v>
      </c>
      <c r="C9998" t="s">
        <v>989</v>
      </c>
      <c r="D9998" t="s">
        <v>118</v>
      </c>
      <c r="E9998" t="s">
        <v>241</v>
      </c>
      <c r="F9998" s="2" t="str">
        <f>HYPERLINK("http://www.otzar.org/book.asp?12163","האמונות והדעות &lt;מהדורת הרב קאפח&gt;")</f>
        <v>האמונות והדעות &lt;מהדורת הרב קאפח&gt;</v>
      </c>
    </row>
    <row r="9999" spans="1:6" x14ac:dyDescent="0.2">
      <c r="A9999" t="s">
        <v>17254</v>
      </c>
      <c r="B9999" t="s">
        <v>4840</v>
      </c>
      <c r="C9999" t="s">
        <v>1036</v>
      </c>
      <c r="D9999" t="s">
        <v>1037</v>
      </c>
      <c r="F9999" s="2" t="str">
        <f>HYPERLINK("http://www.otzar.org/book.asp?152814","האמונות והדעות - 4 כר'")</f>
        <v>האמונות והדעות - 4 כר'</v>
      </c>
    </row>
    <row r="10000" spans="1:6" x14ac:dyDescent="0.2">
      <c r="A10000" t="s">
        <v>17255</v>
      </c>
      <c r="B10000" t="s">
        <v>107</v>
      </c>
      <c r="C10000" t="s">
        <v>146</v>
      </c>
      <c r="D10000" t="s">
        <v>14</v>
      </c>
      <c r="E10000" t="s">
        <v>104</v>
      </c>
      <c r="F10000" s="2" t="str">
        <f>HYPERLINK("http://www.otzar.org/book.asp?84037","האמנת בני נח")</f>
        <v>האמנת בני נח</v>
      </c>
    </row>
    <row r="10001" spans="1:6" x14ac:dyDescent="0.2">
      <c r="A10001" t="s">
        <v>17256</v>
      </c>
      <c r="C10001" t="s">
        <v>20</v>
      </c>
      <c r="D10001" t="s">
        <v>90</v>
      </c>
      <c r="E10001" t="s">
        <v>226</v>
      </c>
      <c r="F10001" s="2" t="str">
        <f>HYPERLINK("http://www.otzar.org/book.asp?600207","האמרי מנחם מאלכסנדר")</f>
        <v>האמרי מנחם מאלכסנדר</v>
      </c>
    </row>
    <row r="10002" spans="1:6" x14ac:dyDescent="0.2">
      <c r="A10002" t="s">
        <v>17257</v>
      </c>
      <c r="B10002" t="s">
        <v>1973</v>
      </c>
      <c r="C10002" t="s">
        <v>71</v>
      </c>
      <c r="D10002" t="s">
        <v>1974</v>
      </c>
      <c r="E10002" t="s">
        <v>241</v>
      </c>
      <c r="F10002" s="2" t="str">
        <f>HYPERLINK("http://www.otzar.org/book.asp?189721","האמת היחידה - 2 כר'")</f>
        <v>האמת היחידה - 2 כר'</v>
      </c>
    </row>
    <row r="10003" spans="1:6" x14ac:dyDescent="0.2">
      <c r="A10003" t="s">
        <v>17258</v>
      </c>
      <c r="B10003" t="s">
        <v>5293</v>
      </c>
      <c r="C10003" t="s">
        <v>23</v>
      </c>
      <c r="D10003" t="s">
        <v>14</v>
      </c>
      <c r="F10003" s="2" t="str">
        <f>HYPERLINK("http://www.otzar.org/book.asp?614843","האמת והשלום אהבו")</f>
        <v>האמת והשלום אהבו</v>
      </c>
    </row>
    <row r="10004" spans="1:6" x14ac:dyDescent="0.2">
      <c r="A10004" t="s">
        <v>17258</v>
      </c>
      <c r="B10004" t="s">
        <v>17258</v>
      </c>
      <c r="C10004" t="s">
        <v>454</v>
      </c>
      <c r="D10004" t="s">
        <v>52</v>
      </c>
      <c r="E10004" t="s">
        <v>3567</v>
      </c>
      <c r="F10004" s="2" t="str">
        <f>HYPERLINK("http://www.otzar.org/book.asp?105247","האמת והשלום אהבו")</f>
        <v>האמת והשלום אהבו</v>
      </c>
    </row>
    <row r="10005" spans="1:6" x14ac:dyDescent="0.2">
      <c r="A10005" t="s">
        <v>17259</v>
      </c>
      <c r="B10005" t="s">
        <v>17260</v>
      </c>
      <c r="C10005" t="s">
        <v>454</v>
      </c>
      <c r="D10005" t="s">
        <v>412</v>
      </c>
      <c r="E10005" t="s">
        <v>202</v>
      </c>
      <c r="F10005" s="2" t="str">
        <f>HYPERLINK("http://www.otzar.org/book.asp?600431","האמת והשלום")</f>
        <v>האמת והשלום</v>
      </c>
    </row>
    <row r="10006" spans="1:6" x14ac:dyDescent="0.2">
      <c r="A10006" t="s">
        <v>17261</v>
      </c>
      <c r="B10006" t="s">
        <v>17262</v>
      </c>
      <c r="C10006" t="s">
        <v>334</v>
      </c>
      <c r="D10006" t="s">
        <v>52</v>
      </c>
      <c r="F10006" s="2" t="str">
        <f>HYPERLINK("http://www.otzar.org/book.asp?617856","האמת והשקר")</f>
        <v>האמת והשקר</v>
      </c>
    </row>
    <row r="10007" spans="1:6" x14ac:dyDescent="0.2">
      <c r="A10007" t="s">
        <v>17263</v>
      </c>
      <c r="B10007" t="s">
        <v>17264</v>
      </c>
      <c r="C10007" t="s">
        <v>767</v>
      </c>
      <c r="D10007" t="s">
        <v>14</v>
      </c>
      <c r="F10007" s="2" t="str">
        <f>HYPERLINK("http://www.otzar.org/book.asp?615560","האמת לאמיתו בענין איסור הבחירות")</f>
        <v>האמת לאמיתו בענין איסור הבחירות</v>
      </c>
    </row>
    <row r="10008" spans="1:6" x14ac:dyDescent="0.2">
      <c r="A10008" t="s">
        <v>17265</v>
      </c>
      <c r="B10008" t="s">
        <v>14102</v>
      </c>
      <c r="C10008" t="s">
        <v>767</v>
      </c>
      <c r="D10008" t="s">
        <v>14</v>
      </c>
      <c r="F10008" s="2" t="str">
        <f>HYPERLINK("http://www.otzar.org/book.asp?613388","האמת לאמיתו")</f>
        <v>האמת לאמיתו</v>
      </c>
    </row>
    <row r="10009" spans="1:6" x14ac:dyDescent="0.2">
      <c r="A10009" t="s">
        <v>17266</v>
      </c>
      <c r="B10009" t="s">
        <v>4445</v>
      </c>
      <c r="C10009" t="s">
        <v>20</v>
      </c>
      <c r="D10009" t="s">
        <v>14</v>
      </c>
      <c r="F10009" s="2" t="str">
        <f>HYPERLINK("http://www.otzar.org/book.asp?617157","האמת מאחורי המסך")</f>
        <v>האמת מאחורי המסך</v>
      </c>
    </row>
    <row r="10010" spans="1:6" x14ac:dyDescent="0.2">
      <c r="A10010" t="s">
        <v>17267</v>
      </c>
      <c r="B10010" t="s">
        <v>206</v>
      </c>
      <c r="C10010" t="s">
        <v>20</v>
      </c>
      <c r="D10010" t="s">
        <v>90</v>
      </c>
      <c r="E10010" t="s">
        <v>130</v>
      </c>
      <c r="F10010" s="2" t="str">
        <f>HYPERLINK("http://www.otzar.org/book.asp?198160","האמת תורה דרכה")</f>
        <v>האמת תורה דרכה</v>
      </c>
    </row>
    <row r="10011" spans="1:6" x14ac:dyDescent="0.2">
      <c r="A10011" t="s">
        <v>17268</v>
      </c>
      <c r="B10011" t="s">
        <v>17269</v>
      </c>
      <c r="C10011" t="s">
        <v>17270</v>
      </c>
      <c r="D10011" t="s">
        <v>563</v>
      </c>
      <c r="E10011" t="s">
        <v>15</v>
      </c>
      <c r="F10011" s="2" t="str">
        <f>HYPERLINK("http://www.otzar.org/book.asp?12115","האסופות &lt;חוברת א&gt;")</f>
        <v>האסופות &lt;חוברת א&gt;</v>
      </c>
    </row>
    <row r="10012" spans="1:6" x14ac:dyDescent="0.2">
      <c r="A10012" t="s">
        <v>17271</v>
      </c>
      <c r="B10012" t="s">
        <v>17269</v>
      </c>
      <c r="C10012" t="s">
        <v>17270</v>
      </c>
      <c r="D10012" t="s">
        <v>563</v>
      </c>
      <c r="E10012" t="s">
        <v>15</v>
      </c>
      <c r="F10012" s="2" t="str">
        <f>HYPERLINK("http://www.otzar.org/book.asp?169442","האסופות &lt;חוברת ב&gt;")</f>
        <v>האסופות &lt;חוברת ב&gt;</v>
      </c>
    </row>
    <row r="10013" spans="1:6" x14ac:dyDescent="0.2">
      <c r="A10013" t="s">
        <v>17272</v>
      </c>
      <c r="B10013" t="s">
        <v>17273</v>
      </c>
      <c r="C10013" t="s">
        <v>13</v>
      </c>
      <c r="D10013" t="s">
        <v>118</v>
      </c>
      <c r="E10013" t="s">
        <v>104</v>
      </c>
      <c r="F10013" s="2" t="str">
        <f>HYPERLINK("http://www.otzar.org/book.asp?64229","האסם")</f>
        <v>האסם</v>
      </c>
    </row>
    <row r="10014" spans="1:6" x14ac:dyDescent="0.2">
      <c r="A10014" t="s">
        <v>17274</v>
      </c>
      <c r="B10014" t="s">
        <v>4234</v>
      </c>
      <c r="C10014" t="s">
        <v>71</v>
      </c>
      <c r="D10014" t="s">
        <v>14</v>
      </c>
      <c r="E10014" t="s">
        <v>213</v>
      </c>
      <c r="F10014" s="2" t="str">
        <f>HYPERLINK("http://www.otzar.org/book.asp?171858","האספקלריה המאירה")</f>
        <v>האספקלריה המאירה</v>
      </c>
    </row>
    <row r="10015" spans="1:6" x14ac:dyDescent="0.2">
      <c r="A10015" t="s">
        <v>17275</v>
      </c>
      <c r="B10015" t="s">
        <v>17276</v>
      </c>
      <c r="C10015" t="s">
        <v>1135</v>
      </c>
      <c r="D10015" t="s">
        <v>5665</v>
      </c>
      <c r="E10015" t="s">
        <v>119</v>
      </c>
      <c r="F10015" s="2" t="str">
        <f>HYPERLINK("http://www.otzar.org/book.asp?146857","האף אמנם שכבר דפסתי (סכסוך המדפיסים)")</f>
        <v>האף אמנם שכבר דפסתי (סכסוך המדפיסים)</v>
      </c>
    </row>
    <row r="10016" spans="1:6" x14ac:dyDescent="0.2">
      <c r="A10016" t="s">
        <v>17277</v>
      </c>
      <c r="B10016" t="s">
        <v>17278</v>
      </c>
      <c r="C10016" t="s">
        <v>1268</v>
      </c>
      <c r="D10016" t="s">
        <v>21</v>
      </c>
      <c r="F10016" s="2" t="str">
        <f>HYPERLINK("http://www.otzar.org/book.asp?619092","האציל מטרויינבורג")</f>
        <v>האציל מטרויינבורג</v>
      </c>
    </row>
    <row r="10017" spans="1:6" x14ac:dyDescent="0.2">
      <c r="A10017" t="s">
        <v>17279</v>
      </c>
      <c r="B10017" t="s">
        <v>17280</v>
      </c>
      <c r="C10017" t="s">
        <v>411</v>
      </c>
      <c r="D10017" t="s">
        <v>90</v>
      </c>
      <c r="E10017" t="s">
        <v>10162</v>
      </c>
      <c r="F10017" s="2" t="str">
        <f>HYPERLINK("http://www.otzar.org/book.asp?624924","האר עיני - 2 כר'")</f>
        <v>האר עיני - 2 כר'</v>
      </c>
    </row>
    <row r="10018" spans="1:6" x14ac:dyDescent="0.2">
      <c r="A10018" t="s">
        <v>17281</v>
      </c>
      <c r="B10018" t="s">
        <v>7620</v>
      </c>
      <c r="C10018" t="s">
        <v>68</v>
      </c>
      <c r="D10018" t="s">
        <v>52</v>
      </c>
      <c r="E10018" t="s">
        <v>144</v>
      </c>
      <c r="F10018" s="2" t="str">
        <f>HYPERLINK("http://www.otzar.org/book.asp?173287","האר עינינו - 5 כר'")</f>
        <v>האר עינינו - 5 כר'</v>
      </c>
    </row>
    <row r="10019" spans="1:6" x14ac:dyDescent="0.2">
      <c r="A10019" t="s">
        <v>17282</v>
      </c>
      <c r="B10019" t="s">
        <v>17283</v>
      </c>
      <c r="C10019" t="s">
        <v>23</v>
      </c>
      <c r="D10019" t="s">
        <v>14</v>
      </c>
      <c r="E10019" t="s">
        <v>8854</v>
      </c>
      <c r="F10019" s="2" t="str">
        <f>HYPERLINK("http://www.otzar.org/book.asp?606632","האר""י שבחבורה")</f>
        <v>האר"י שבחבורה</v>
      </c>
    </row>
    <row r="10020" spans="1:6" x14ac:dyDescent="0.2">
      <c r="A10020" t="s">
        <v>17282</v>
      </c>
      <c r="B10020" t="s">
        <v>17284</v>
      </c>
      <c r="C10020" t="s">
        <v>68</v>
      </c>
      <c r="D10020" t="s">
        <v>646</v>
      </c>
      <c r="E10020" t="s">
        <v>226</v>
      </c>
      <c r="F10020" s="2" t="str">
        <f>HYPERLINK("http://www.otzar.org/book.asp?162796","האר""י שבחבורה")</f>
        <v>האר"י שבחבורה</v>
      </c>
    </row>
    <row r="10021" spans="1:6" x14ac:dyDescent="0.2">
      <c r="A10021" t="s">
        <v>17285</v>
      </c>
      <c r="B10021" t="s">
        <v>13091</v>
      </c>
      <c r="C10021" t="s">
        <v>843</v>
      </c>
      <c r="D10021" t="s">
        <v>14</v>
      </c>
      <c r="E10021" t="s">
        <v>15</v>
      </c>
      <c r="F10021" s="2" t="str">
        <f>HYPERLINK("http://www.otzar.org/book.asp?8111","הארוך מש""ך - 4 כר'")</f>
        <v>הארוך מש"ך - 4 כר'</v>
      </c>
    </row>
    <row r="10022" spans="1:6" x14ac:dyDescent="0.2">
      <c r="A10022" t="s">
        <v>17286</v>
      </c>
      <c r="B10022" t="s">
        <v>10638</v>
      </c>
      <c r="C10022" t="s">
        <v>23</v>
      </c>
      <c r="D10022" t="s">
        <v>52</v>
      </c>
      <c r="F10022" s="2" t="str">
        <f>HYPERLINK("http://www.otzar.org/book.asp?612141","הארות בדב""ש - 3 כר'")</f>
        <v>הארות בדב"ש - 3 כר'</v>
      </c>
    </row>
    <row r="10023" spans="1:6" x14ac:dyDescent="0.2">
      <c r="A10023" t="s">
        <v>17287</v>
      </c>
      <c r="B10023" t="s">
        <v>17288</v>
      </c>
      <c r="C10023" t="s">
        <v>313</v>
      </c>
      <c r="D10023" t="s">
        <v>14</v>
      </c>
      <c r="E10023" t="s">
        <v>241</v>
      </c>
      <c r="F10023" s="2" t="str">
        <f>HYPERLINK("http://www.otzar.org/book.asp?6278","הארות בעבודת ה' - 2 כר'")</f>
        <v>הארות בעבודת ה' - 2 כר'</v>
      </c>
    </row>
    <row r="10024" spans="1:6" x14ac:dyDescent="0.2">
      <c r="A10024" t="s">
        <v>17289</v>
      </c>
      <c r="B10024" t="s">
        <v>17290</v>
      </c>
      <c r="C10024" t="s">
        <v>1047</v>
      </c>
      <c r="D10024" t="s">
        <v>5576</v>
      </c>
      <c r="E10024" t="s">
        <v>144</v>
      </c>
      <c r="F10024" s="2" t="str">
        <f>HYPERLINK("http://www.otzar.org/book.asp?51329","הארות השמש")</f>
        <v>הארות השמש</v>
      </c>
    </row>
    <row r="10025" spans="1:6" x14ac:dyDescent="0.2">
      <c r="A10025" t="s">
        <v>17291</v>
      </c>
      <c r="B10025" t="s">
        <v>17292</v>
      </c>
      <c r="C10025" t="s">
        <v>185</v>
      </c>
      <c r="D10025" t="s">
        <v>52</v>
      </c>
      <c r="E10025" t="s">
        <v>158</v>
      </c>
      <c r="F10025" s="2" t="str">
        <f>HYPERLINK("http://www.otzar.org/book.asp?630897","הארות חיים - 2 כר'")</f>
        <v>הארות חיים - 2 כר'</v>
      </c>
    </row>
    <row r="10026" spans="1:6" x14ac:dyDescent="0.2">
      <c r="A10026" t="s">
        <v>17293</v>
      </c>
      <c r="B10026" t="s">
        <v>2396</v>
      </c>
      <c r="C10026" t="s">
        <v>313</v>
      </c>
      <c r="D10026" t="s">
        <v>1076</v>
      </c>
      <c r="E10026" t="s">
        <v>579</v>
      </c>
      <c r="F10026" s="2" t="str">
        <f>HYPERLINK("http://www.otzar.org/book.asp?22909","הארות")</f>
        <v>הארות</v>
      </c>
    </row>
    <row r="10027" spans="1:6" x14ac:dyDescent="0.2">
      <c r="A10027" t="s">
        <v>17294</v>
      </c>
      <c r="B10027" t="s">
        <v>4257</v>
      </c>
      <c r="C10027" t="s">
        <v>843</v>
      </c>
      <c r="D10027" t="s">
        <v>27</v>
      </c>
      <c r="E10027" t="s">
        <v>119</v>
      </c>
      <c r="F10027" s="2" t="str">
        <f>HYPERLINK("http://www.otzar.org/book.asp?166809","הארז מוילנא")</f>
        <v>הארז מוילנא</v>
      </c>
    </row>
    <row r="10028" spans="1:6" x14ac:dyDescent="0.2">
      <c r="A10028" t="s">
        <v>17295</v>
      </c>
      <c r="B10028" t="s">
        <v>17296</v>
      </c>
      <c r="C10028" t="s">
        <v>68</v>
      </c>
      <c r="D10028" t="s">
        <v>412</v>
      </c>
      <c r="E10028" t="s">
        <v>202</v>
      </c>
      <c r="F10028" s="2" t="str">
        <f>HYPERLINK("http://www.otzar.org/book.asp?167443","הארז שנגדע")</f>
        <v>הארז שנגדע</v>
      </c>
    </row>
    <row r="10029" spans="1:6" x14ac:dyDescent="0.2">
      <c r="A10029" t="s">
        <v>17297</v>
      </c>
      <c r="B10029" t="s">
        <v>11221</v>
      </c>
      <c r="C10029" t="s">
        <v>51</v>
      </c>
      <c r="D10029" t="s">
        <v>14</v>
      </c>
      <c r="E10029" t="s">
        <v>119</v>
      </c>
      <c r="F10029" s="2" t="str">
        <f>HYPERLINK("http://www.otzar.org/book.asp?607223","הארי במסתרים - תולדות רבי ששון מזרחי")</f>
        <v>הארי במסתרים - תולדות רבי ששון מזרחי</v>
      </c>
    </row>
    <row r="10030" spans="1:6" x14ac:dyDescent="0.2">
      <c r="A10030" t="s">
        <v>17298</v>
      </c>
      <c r="B10030" t="s">
        <v>17299</v>
      </c>
      <c r="C10030" t="s">
        <v>20</v>
      </c>
      <c r="D10030" t="s">
        <v>90</v>
      </c>
      <c r="F10030" s="2" t="str">
        <f>HYPERLINK("http://www.otzar.org/book.asp?613413","הארי הקדוש")</f>
        <v>הארי הקדוש</v>
      </c>
    </row>
    <row r="10031" spans="1:6" x14ac:dyDescent="0.2">
      <c r="A10031" t="s">
        <v>17300</v>
      </c>
      <c r="B10031" t="s">
        <v>9096</v>
      </c>
      <c r="C10031" t="s">
        <v>985</v>
      </c>
      <c r="D10031" t="s">
        <v>412</v>
      </c>
      <c r="E10031" t="s">
        <v>104</v>
      </c>
      <c r="F10031" s="2" t="str">
        <f>HYPERLINK("http://www.otzar.org/book.asp?151251","הארץ או השמש מרכז העולם")</f>
        <v>הארץ או השמש מרכז העולם</v>
      </c>
    </row>
    <row r="10032" spans="1:6" x14ac:dyDescent="0.2">
      <c r="A10032" t="s">
        <v>17301</v>
      </c>
      <c r="B10032" t="s">
        <v>17302</v>
      </c>
      <c r="C10032" t="s">
        <v>383</v>
      </c>
      <c r="D10032" t="s">
        <v>14</v>
      </c>
      <c r="F10032" s="2" t="str">
        <f>HYPERLINK("http://www.otzar.org/book.asp?148682","הארץ ומצוותיה השלם")</f>
        <v>הארץ ומצוותיה השלם</v>
      </c>
    </row>
    <row r="10033" spans="1:6" x14ac:dyDescent="0.2">
      <c r="A10033" t="s">
        <v>17303</v>
      </c>
      <c r="B10033" t="s">
        <v>17304</v>
      </c>
      <c r="C10033" t="s">
        <v>989</v>
      </c>
      <c r="D10033" t="s">
        <v>14</v>
      </c>
      <c r="F10033" s="2" t="str">
        <f>HYPERLINK("http://www.otzar.org/book.asp?616995","הארץ לגבולותיה")</f>
        <v>הארץ לגבולותיה</v>
      </c>
    </row>
    <row r="10034" spans="1:6" x14ac:dyDescent="0.2">
      <c r="A10034" t="s">
        <v>17305</v>
      </c>
      <c r="B10034" t="s">
        <v>17306</v>
      </c>
      <c r="C10034" t="s">
        <v>775</v>
      </c>
      <c r="D10034" t="s">
        <v>14</v>
      </c>
      <c r="F10034" s="2" t="str">
        <f>HYPERLINK("http://www.otzar.org/book.asp?612462","הארץ סטרונעס - 2 כר'")</f>
        <v>הארץ סטרונעס - 2 כר'</v>
      </c>
    </row>
    <row r="10035" spans="1:6" x14ac:dyDescent="0.2">
      <c r="A10035" t="s">
        <v>17307</v>
      </c>
      <c r="B10035" t="s">
        <v>17308</v>
      </c>
      <c r="C10035" t="s">
        <v>244</v>
      </c>
      <c r="D10035" t="s">
        <v>52</v>
      </c>
      <c r="E10035" t="s">
        <v>144</v>
      </c>
      <c r="F10035" s="2" t="str">
        <f>HYPERLINK("http://www.otzar.org/book.asp?601378","הארת זבחים - ב")</f>
        <v>הארת זבחים - ב</v>
      </c>
    </row>
    <row r="10036" spans="1:6" x14ac:dyDescent="0.2">
      <c r="A10036" t="s">
        <v>17309</v>
      </c>
      <c r="B10036" t="s">
        <v>17310</v>
      </c>
      <c r="C10036" t="s">
        <v>411</v>
      </c>
      <c r="D10036" t="s">
        <v>20</v>
      </c>
      <c r="E10036" t="s">
        <v>130</v>
      </c>
      <c r="F10036" s="2" t="str">
        <f>HYPERLINK("http://www.otzar.org/book.asp?172549","הארת ירוחם - 3 כר'")</f>
        <v>הארת ירוחם - 3 כר'</v>
      </c>
    </row>
    <row r="10037" spans="1:6" x14ac:dyDescent="0.2">
      <c r="A10037" t="s">
        <v>17311</v>
      </c>
      <c r="B10037" t="s">
        <v>17312</v>
      </c>
      <c r="C10037" t="s">
        <v>20</v>
      </c>
      <c r="D10037" t="s">
        <v>14</v>
      </c>
      <c r="E10037" t="s">
        <v>144</v>
      </c>
      <c r="F10037" s="2" t="str">
        <f>HYPERLINK("http://www.otzar.org/book.asp?173334","הארת סוגיות - 6 כר'")</f>
        <v>הארת סוגיות - 6 כר'</v>
      </c>
    </row>
    <row r="10038" spans="1:6" x14ac:dyDescent="0.2">
      <c r="A10038" t="s">
        <v>17313</v>
      </c>
      <c r="B10038" t="s">
        <v>12568</v>
      </c>
      <c r="C10038" t="s">
        <v>133</v>
      </c>
      <c r="D10038" t="s">
        <v>21</v>
      </c>
      <c r="E10038" t="s">
        <v>104</v>
      </c>
      <c r="F10038" s="2" t="str">
        <f>HYPERLINK("http://www.otzar.org/book.asp?199354","הארת פנים")</f>
        <v>הארת פנים</v>
      </c>
    </row>
    <row r="10039" spans="1:6" x14ac:dyDescent="0.2">
      <c r="A10039" t="s">
        <v>17314</v>
      </c>
      <c r="B10039" t="s">
        <v>774</v>
      </c>
      <c r="C10039" t="s">
        <v>1448</v>
      </c>
      <c r="D10039" t="s">
        <v>216</v>
      </c>
      <c r="E10039" t="s">
        <v>213</v>
      </c>
      <c r="F10039" s="2" t="str">
        <f>HYPERLINK("http://www.otzar.org/book.asp?15566","האשה באספקלרית היהדות - 3 כר'")</f>
        <v>האשה באספקלרית היהדות - 3 כר'</v>
      </c>
    </row>
    <row r="10040" spans="1:6" x14ac:dyDescent="0.2">
      <c r="A10040" t="s">
        <v>17315</v>
      </c>
      <c r="B10040" t="s">
        <v>11669</v>
      </c>
      <c r="C10040" t="s">
        <v>553</v>
      </c>
      <c r="D10040" t="s">
        <v>14</v>
      </c>
      <c r="E10040" t="s">
        <v>733</v>
      </c>
      <c r="F10040" s="2" t="str">
        <f>HYPERLINK("http://www.otzar.org/book.asp?155035","האשה בשואה - 5 כר'")</f>
        <v>האשה בשואה - 5 כר'</v>
      </c>
    </row>
    <row r="10041" spans="1:6" x14ac:dyDescent="0.2">
      <c r="A10041" t="s">
        <v>17316</v>
      </c>
      <c r="B10041" t="s">
        <v>1363</v>
      </c>
      <c r="D10041" t="s">
        <v>52</v>
      </c>
      <c r="E10041" t="s">
        <v>241</v>
      </c>
      <c r="F10041" s="2" t="str">
        <f>HYPERLINK("http://www.otzar.org/book.asp?188937","האשה היהודית")</f>
        <v>האשה היהודית</v>
      </c>
    </row>
    <row r="10042" spans="1:6" x14ac:dyDescent="0.2">
      <c r="A10042" t="s">
        <v>17317</v>
      </c>
      <c r="B10042" t="s">
        <v>5501</v>
      </c>
      <c r="C10042" t="s">
        <v>1208</v>
      </c>
      <c r="D10042" t="s">
        <v>14</v>
      </c>
      <c r="E10042" t="s">
        <v>241</v>
      </c>
      <c r="F10042" s="2" t="str">
        <f>HYPERLINK("http://www.otzar.org/book.asp?167882","האשה על פי תורת ישראל")</f>
        <v>האשה על פי תורת ישראל</v>
      </c>
    </row>
    <row r="10043" spans="1:6" x14ac:dyDescent="0.2">
      <c r="A10043" t="s">
        <v>17318</v>
      </c>
      <c r="B10043" t="s">
        <v>17319</v>
      </c>
      <c r="C10043" t="s">
        <v>558</v>
      </c>
      <c r="D10043" t="s">
        <v>283</v>
      </c>
      <c r="E10043" t="s">
        <v>144</v>
      </c>
      <c r="F10043" s="2" t="str">
        <f>HYPERLINK("http://www.otzar.org/book.asp?24394","האשכול")</f>
        <v>האשכול</v>
      </c>
    </row>
    <row r="10044" spans="1:6" x14ac:dyDescent="0.2">
      <c r="A10044" t="s">
        <v>17320</v>
      </c>
      <c r="B10044" t="s">
        <v>489</v>
      </c>
      <c r="C10044" t="s">
        <v>146</v>
      </c>
      <c r="D10044" t="s">
        <v>14</v>
      </c>
      <c r="F10044" s="2" t="str">
        <f>HYPERLINK("http://www.otzar.org/book.asp?199958","האשכול - 13 כר'")</f>
        <v>האשכול - 13 כר'</v>
      </c>
    </row>
    <row r="10045" spans="1:6" x14ac:dyDescent="0.2">
      <c r="A10045" t="s">
        <v>17321</v>
      </c>
      <c r="B10045" t="s">
        <v>17322</v>
      </c>
      <c r="C10045" t="s">
        <v>146</v>
      </c>
      <c r="D10045" t="s">
        <v>412</v>
      </c>
      <c r="E10045" t="s">
        <v>130</v>
      </c>
      <c r="F10045" s="2" t="str">
        <f>HYPERLINK("http://www.otzar.org/book.asp?159955","האשל ברמה קצירת חטים - 5 כר'")</f>
        <v>האשל ברמה קצירת חטים - 5 כר'</v>
      </c>
    </row>
    <row r="10046" spans="1:6" x14ac:dyDescent="0.2">
      <c r="A10046" t="s">
        <v>17323</v>
      </c>
      <c r="B10046" t="s">
        <v>17322</v>
      </c>
      <c r="C10046" t="s">
        <v>68</v>
      </c>
      <c r="D10046" t="s">
        <v>412</v>
      </c>
      <c r="E10046" t="s">
        <v>7731</v>
      </c>
      <c r="F10046" s="2" t="str">
        <f>HYPERLINK("http://www.otzar.org/book.asp?159952","האשל ברמה - 2 כר'")</f>
        <v>האשל ברמה - 2 כר'</v>
      </c>
    </row>
    <row r="10047" spans="1:6" x14ac:dyDescent="0.2">
      <c r="A10047" t="s">
        <v>17324</v>
      </c>
      <c r="B10047" t="s">
        <v>17325</v>
      </c>
      <c r="C10047" t="s">
        <v>989</v>
      </c>
      <c r="D10047" t="s">
        <v>2798</v>
      </c>
      <c r="E10047" t="s">
        <v>202</v>
      </c>
      <c r="F10047" s="2" t="str">
        <f>HYPERLINK("http://www.otzar.org/book.asp?171743","האשל - 74 כר'")</f>
        <v>האשל - 74 כר'</v>
      </c>
    </row>
    <row r="10048" spans="1:6" x14ac:dyDescent="0.2">
      <c r="A10048" t="s">
        <v>17326</v>
      </c>
      <c r="B10048" t="s">
        <v>17327</v>
      </c>
      <c r="C10048" t="s">
        <v>79</v>
      </c>
      <c r="D10048" t="s">
        <v>17328</v>
      </c>
      <c r="E10048" t="s">
        <v>5935</v>
      </c>
      <c r="F10048" s="2" t="str">
        <f>HYPERLINK("http://www.otzar.org/book.asp?21030","האשל")</f>
        <v>האשל</v>
      </c>
    </row>
    <row r="10049" spans="1:6" x14ac:dyDescent="0.2">
      <c r="A10049" t="s">
        <v>17326</v>
      </c>
      <c r="B10049" t="s">
        <v>17329</v>
      </c>
      <c r="C10049" t="s">
        <v>523</v>
      </c>
      <c r="D10049" t="s">
        <v>412</v>
      </c>
      <c r="E10049" t="s">
        <v>158</v>
      </c>
      <c r="F10049" s="2" t="str">
        <f>HYPERLINK("http://www.otzar.org/book.asp?22377","האשל")</f>
        <v>האשל</v>
      </c>
    </row>
    <row r="10050" spans="1:6" x14ac:dyDescent="0.2">
      <c r="A10050" t="s">
        <v>17330</v>
      </c>
      <c r="B10050" t="s">
        <v>17331</v>
      </c>
      <c r="C10050" t="s">
        <v>313</v>
      </c>
      <c r="D10050" t="s">
        <v>52</v>
      </c>
      <c r="E10050" t="s">
        <v>674</v>
      </c>
      <c r="F10050" s="2" t="str">
        <f>HYPERLINK("http://www.otzar.org/book.asp?107446","האתרוג התימני")</f>
        <v>האתרוג התימני</v>
      </c>
    </row>
    <row r="10051" spans="1:6" x14ac:dyDescent="0.2">
      <c r="A10051" t="s">
        <v>17332</v>
      </c>
      <c r="B10051" t="s">
        <v>17333</v>
      </c>
      <c r="C10051" t="s">
        <v>189</v>
      </c>
      <c r="D10051" t="s">
        <v>52</v>
      </c>
      <c r="E10051" t="s">
        <v>130</v>
      </c>
      <c r="F10051" s="2" t="str">
        <f>HYPERLINK("http://www.otzar.org/book.asp?28583","האתרוג שעליו דברה התורה")</f>
        <v>האתרוג שעליו דברה התורה</v>
      </c>
    </row>
    <row r="10052" spans="1:6" x14ac:dyDescent="0.2">
      <c r="A10052" t="s">
        <v>17334</v>
      </c>
      <c r="B10052" t="s">
        <v>8590</v>
      </c>
      <c r="C10052" t="s">
        <v>12024</v>
      </c>
      <c r="D10052" t="s">
        <v>16495</v>
      </c>
      <c r="E10052" t="s">
        <v>213</v>
      </c>
      <c r="F10052" s="2" t="str">
        <f>HYPERLINK("http://www.otzar.org/book.asp?149947","הבאורים דדברי קהלת")</f>
        <v>הבאורים דדברי קהלת</v>
      </c>
    </row>
    <row r="10053" spans="1:6" x14ac:dyDescent="0.2">
      <c r="A10053" t="s">
        <v>17335</v>
      </c>
      <c r="B10053" t="s">
        <v>4694</v>
      </c>
      <c r="C10053" t="s">
        <v>433</v>
      </c>
      <c r="D10053" t="s">
        <v>2201</v>
      </c>
      <c r="E10053" t="s">
        <v>202</v>
      </c>
      <c r="F10053" s="2" t="str">
        <f>HYPERLINK("http://www.otzar.org/book.asp?149052","הבאר &lt;באר יעקב&gt; - 17 כר'")</f>
        <v>הבאר &lt;באר יעקב&gt; - 17 כר'</v>
      </c>
    </row>
    <row r="10054" spans="1:6" x14ac:dyDescent="0.2">
      <c r="A10054" t="s">
        <v>17336</v>
      </c>
      <c r="B10054" t="s">
        <v>8393</v>
      </c>
      <c r="C10054" t="s">
        <v>17</v>
      </c>
      <c r="D10054" t="s">
        <v>14</v>
      </c>
      <c r="E10054" t="s">
        <v>4163</v>
      </c>
      <c r="F10054" s="2" t="str">
        <f>HYPERLINK("http://www.otzar.org/book.asp?23634","הבאר - 21 כר'")</f>
        <v>הבאר - 21 כר'</v>
      </c>
    </row>
    <row r="10055" spans="1:6" x14ac:dyDescent="0.2">
      <c r="A10055" t="s">
        <v>17337</v>
      </c>
      <c r="B10055" t="s">
        <v>17338</v>
      </c>
      <c r="C10055" t="s">
        <v>17339</v>
      </c>
      <c r="D10055" t="s">
        <v>17340</v>
      </c>
      <c r="E10055" t="s">
        <v>202</v>
      </c>
      <c r="F10055" s="2" t="str">
        <f>HYPERLINK("http://www.otzar.org/book.asp?168767","הבאר - 8 כר'")</f>
        <v>הבאר - 8 כר'</v>
      </c>
    </row>
    <row r="10056" spans="1:6" x14ac:dyDescent="0.2">
      <c r="A10056" t="s">
        <v>17341</v>
      </c>
      <c r="B10056" t="s">
        <v>17342</v>
      </c>
      <c r="C10056" t="s">
        <v>366</v>
      </c>
      <c r="D10056" t="s">
        <v>52</v>
      </c>
      <c r="E10056" t="s">
        <v>130</v>
      </c>
      <c r="F10056" s="2" t="str">
        <f>HYPERLINK("http://www.otzar.org/book.asp?605351","הבדלת מרא""ש")</f>
        <v>הבדלת מרא"ש</v>
      </c>
    </row>
    <row r="10057" spans="1:6" x14ac:dyDescent="0.2">
      <c r="A10057" t="s">
        <v>17343</v>
      </c>
      <c r="B10057" t="s">
        <v>17344</v>
      </c>
      <c r="C10057" t="s">
        <v>956</v>
      </c>
      <c r="D10057" t="s">
        <v>14</v>
      </c>
      <c r="E10057" t="s">
        <v>241</v>
      </c>
      <c r="F10057" s="2" t="str">
        <f>HYPERLINK("http://www.otzar.org/book.asp?624645","הבה נחזור למקור מחצבתנו")</f>
        <v>הבה נחזור למקור מחצבתנו</v>
      </c>
    </row>
    <row r="10058" spans="1:6" x14ac:dyDescent="0.2">
      <c r="A10058" t="s">
        <v>17345</v>
      </c>
      <c r="B10058" t="s">
        <v>17346</v>
      </c>
      <c r="C10058" t="s">
        <v>168</v>
      </c>
      <c r="D10058" t="s">
        <v>412</v>
      </c>
      <c r="E10058" t="s">
        <v>241</v>
      </c>
      <c r="F10058" s="2" t="str">
        <f>HYPERLINK("http://www.otzar.org/book.asp?19266","הבה נראה את יד השי""ת")</f>
        <v>הבה נראה את יד השי"ת</v>
      </c>
    </row>
    <row r="10059" spans="1:6" x14ac:dyDescent="0.2">
      <c r="A10059" t="s">
        <v>17347</v>
      </c>
      <c r="B10059" t="s">
        <v>17348</v>
      </c>
      <c r="C10059" t="s">
        <v>189</v>
      </c>
      <c r="D10059" t="s">
        <v>4338</v>
      </c>
      <c r="F10059" s="2" t="str">
        <f>HYPERLINK("http://www.otzar.org/book.asp?615314","הבו גודל")</f>
        <v>הבו גודל</v>
      </c>
    </row>
    <row r="10060" spans="1:6" x14ac:dyDescent="0.2">
      <c r="A10060" t="s">
        <v>17349</v>
      </c>
      <c r="B10060" t="s">
        <v>4918</v>
      </c>
      <c r="C10060" t="s">
        <v>13</v>
      </c>
      <c r="D10060" t="s">
        <v>4919</v>
      </c>
      <c r="E10060" t="s">
        <v>15</v>
      </c>
      <c r="F10060" s="2" t="str">
        <f>HYPERLINK("http://www.otzar.org/book.asp?63975","הבוחר בשמיטה - שביעית")</f>
        <v>הבוחר בשמיטה - שביעית</v>
      </c>
    </row>
    <row r="10061" spans="1:6" x14ac:dyDescent="0.2">
      <c r="A10061" t="s">
        <v>17350</v>
      </c>
      <c r="B10061" t="s">
        <v>12916</v>
      </c>
      <c r="C10061" t="s">
        <v>68</v>
      </c>
      <c r="D10061" t="s">
        <v>14</v>
      </c>
      <c r="E10061" t="s">
        <v>241</v>
      </c>
      <c r="F10061" s="2" t="str">
        <f>HYPERLINK("http://www.otzar.org/book.asp?154316","הבוטח")</f>
        <v>הבוטח</v>
      </c>
    </row>
    <row r="10062" spans="1:6" x14ac:dyDescent="0.2">
      <c r="A10062" t="s">
        <v>17351</v>
      </c>
      <c r="B10062" t="s">
        <v>17351</v>
      </c>
      <c r="C10062" t="s">
        <v>20</v>
      </c>
      <c r="D10062" t="s">
        <v>90</v>
      </c>
      <c r="E10062" t="s">
        <v>202</v>
      </c>
      <c r="F10062" s="2" t="str">
        <f>HYPERLINK("http://www.otzar.org/book.asp?168759","הבונה")</f>
        <v>הבונה</v>
      </c>
    </row>
    <row r="10063" spans="1:6" x14ac:dyDescent="0.2">
      <c r="A10063" t="s">
        <v>17352</v>
      </c>
      <c r="B10063" t="s">
        <v>17352</v>
      </c>
      <c r="C10063" t="s">
        <v>3906</v>
      </c>
      <c r="D10063" t="s">
        <v>17353</v>
      </c>
      <c r="E10063" t="s">
        <v>202</v>
      </c>
      <c r="F10063" s="2" t="str">
        <f>HYPERLINK("http://www.otzar.org/book.asp?300390","הבחור")</f>
        <v>הבחור</v>
      </c>
    </row>
    <row r="10064" spans="1:6" x14ac:dyDescent="0.2">
      <c r="A10064" t="s">
        <v>17354</v>
      </c>
      <c r="B10064" t="s">
        <v>17355</v>
      </c>
      <c r="C10064" t="s">
        <v>71</v>
      </c>
      <c r="D10064" t="s">
        <v>14</v>
      </c>
      <c r="E10064" t="s">
        <v>15</v>
      </c>
      <c r="F10064" s="2" t="str">
        <f>HYPERLINK("http://www.otzar.org/book.asp?160402","הבט לברית")</f>
        <v>הבט לברית</v>
      </c>
    </row>
    <row r="10065" spans="1:6" x14ac:dyDescent="0.2">
      <c r="A10065" t="s">
        <v>17356</v>
      </c>
      <c r="B10065" t="s">
        <v>17357</v>
      </c>
      <c r="C10065" t="s">
        <v>68</v>
      </c>
      <c r="D10065" t="s">
        <v>147</v>
      </c>
      <c r="F10065" s="2" t="str">
        <f>HYPERLINK("http://www.otzar.org/book.asp?614444","הבינה והברכה")</f>
        <v>הבינה והברכה</v>
      </c>
    </row>
    <row r="10066" spans="1:6" x14ac:dyDescent="0.2">
      <c r="A10066" t="s">
        <v>17356</v>
      </c>
      <c r="B10066" t="s">
        <v>17358</v>
      </c>
      <c r="C10066" t="s">
        <v>492</v>
      </c>
      <c r="D10066" t="s">
        <v>17359</v>
      </c>
      <c r="E10066" t="s">
        <v>241</v>
      </c>
      <c r="F10066" s="2" t="str">
        <f>HYPERLINK("http://www.otzar.org/book.asp?15976","הבינה והברכה")</f>
        <v>הבינה והברכה</v>
      </c>
    </row>
    <row r="10067" spans="1:6" x14ac:dyDescent="0.2">
      <c r="A10067" t="s">
        <v>17360</v>
      </c>
      <c r="B10067" t="s">
        <v>17361</v>
      </c>
      <c r="C10067" t="s">
        <v>13</v>
      </c>
      <c r="D10067" t="s">
        <v>16390</v>
      </c>
      <c r="E10067" t="s">
        <v>246</v>
      </c>
      <c r="F10067" s="2" t="str">
        <f>HYPERLINK("http://www.otzar.org/book.asp?161417","הבינה והברכה - 2 כר'")</f>
        <v>הבינה והברכה - 2 כר'</v>
      </c>
    </row>
    <row r="10068" spans="1:6" x14ac:dyDescent="0.2">
      <c r="A10068" t="s">
        <v>17362</v>
      </c>
      <c r="B10068" t="s">
        <v>3727</v>
      </c>
      <c r="C10068" t="s">
        <v>422</v>
      </c>
      <c r="D10068" t="s">
        <v>52</v>
      </c>
      <c r="E10068" t="s">
        <v>246</v>
      </c>
      <c r="F10068" s="2" t="str">
        <f>HYPERLINK("http://www.otzar.org/book.asp?85683","הביננו תורתך - 4 כר'")</f>
        <v>הביננו תורתך - 4 כר'</v>
      </c>
    </row>
    <row r="10069" spans="1:6" x14ac:dyDescent="0.2">
      <c r="A10069" t="s">
        <v>17363</v>
      </c>
      <c r="B10069" t="s">
        <v>8034</v>
      </c>
      <c r="C10069" t="s">
        <v>23</v>
      </c>
      <c r="D10069" t="s">
        <v>1076</v>
      </c>
      <c r="E10069" t="s">
        <v>15</v>
      </c>
      <c r="F10069" s="2" t="str">
        <f>HYPERLINK("http://www.otzar.org/book.asp?625874","הביננו")</f>
        <v>הביננו</v>
      </c>
    </row>
    <row r="10070" spans="1:6" x14ac:dyDescent="0.2">
      <c r="A10070" t="s">
        <v>17364</v>
      </c>
      <c r="B10070" t="s">
        <v>4854</v>
      </c>
      <c r="C10070" t="s">
        <v>20</v>
      </c>
      <c r="D10070" t="s">
        <v>367</v>
      </c>
      <c r="E10070" t="s">
        <v>158</v>
      </c>
      <c r="F10070" s="2" t="str">
        <f>HYPERLINK("http://www.otzar.org/book.asp?623575","הבינני ואחיה - 2 כר'")</f>
        <v>הבינני ואחיה - 2 כר'</v>
      </c>
    </row>
    <row r="10071" spans="1:6" x14ac:dyDescent="0.2">
      <c r="A10071" t="s">
        <v>17365</v>
      </c>
      <c r="B10071" t="s">
        <v>17366</v>
      </c>
      <c r="C10071" t="s">
        <v>111</v>
      </c>
      <c r="E10071" t="s">
        <v>104</v>
      </c>
      <c r="F10071" s="2" t="str">
        <f>HYPERLINK("http://www.otzar.org/book.asp?626018","הבינני ואשיחה - 2 כר'")</f>
        <v>הבינני ואשיחה - 2 כר'</v>
      </c>
    </row>
    <row r="10072" spans="1:6" x14ac:dyDescent="0.2">
      <c r="A10072" t="s">
        <v>17367</v>
      </c>
      <c r="B10072" t="s">
        <v>17368</v>
      </c>
      <c r="C10072" t="s">
        <v>20</v>
      </c>
      <c r="D10072" t="s">
        <v>14</v>
      </c>
      <c r="E10072" t="s">
        <v>230</v>
      </c>
      <c r="F10072" s="2" t="str">
        <f>HYPERLINK("http://www.otzar.org/book.asp?176340","הבינני ואשיחה")</f>
        <v>הבינני ואשיחה</v>
      </c>
    </row>
    <row r="10073" spans="1:6" x14ac:dyDescent="0.2">
      <c r="A10073" t="s">
        <v>17369</v>
      </c>
      <c r="B10073" t="s">
        <v>17370</v>
      </c>
      <c r="C10073" t="s">
        <v>244</v>
      </c>
      <c r="D10073" t="s">
        <v>52</v>
      </c>
      <c r="F10073" s="2" t="str">
        <f>HYPERLINK("http://www.otzar.org/book.asp?632052","הבית הגדול")</f>
        <v>הבית הגדול</v>
      </c>
    </row>
    <row r="10074" spans="1:6" x14ac:dyDescent="0.2">
      <c r="A10074" t="s">
        <v>17371</v>
      </c>
      <c r="B10074" t="s">
        <v>2919</v>
      </c>
      <c r="C10074" t="s">
        <v>20</v>
      </c>
      <c r="D10074" t="s">
        <v>1646</v>
      </c>
      <c r="E10074" t="s">
        <v>104</v>
      </c>
      <c r="F10074" s="2" t="str">
        <f>HYPERLINK("http://www.otzar.org/book.asp?612418","הבית היהודי בתורת רשב""י")</f>
        <v>הבית היהודי בתורת רשב"י</v>
      </c>
    </row>
    <row r="10075" spans="1:6" x14ac:dyDescent="0.2">
      <c r="A10075" t="s">
        <v>17372</v>
      </c>
      <c r="B10075" t="s">
        <v>3384</v>
      </c>
      <c r="C10075" t="s">
        <v>940</v>
      </c>
      <c r="D10075" t="s">
        <v>14</v>
      </c>
      <c r="E10075" t="s">
        <v>15</v>
      </c>
      <c r="F10075" s="2" t="str">
        <f>HYPERLINK("http://www.otzar.org/book.asp?60463","הבית היהודי - 10 כר'")</f>
        <v>הבית היהודי - 10 כר'</v>
      </c>
    </row>
    <row r="10076" spans="1:6" x14ac:dyDescent="0.2">
      <c r="A10076" t="s">
        <v>17373</v>
      </c>
      <c r="B10076" t="s">
        <v>17374</v>
      </c>
      <c r="C10076" t="s">
        <v>1177</v>
      </c>
      <c r="D10076" t="s">
        <v>27</v>
      </c>
      <c r="F10076" s="2" t="str">
        <f>HYPERLINK("http://www.otzar.org/book.asp?182167","הבכורים והראיון")</f>
        <v>הבכורים והראיון</v>
      </c>
    </row>
    <row r="10077" spans="1:6" x14ac:dyDescent="0.2">
      <c r="A10077" t="s">
        <v>17375</v>
      </c>
      <c r="B10077" t="s">
        <v>2074</v>
      </c>
      <c r="C10077" t="s">
        <v>244</v>
      </c>
      <c r="D10077" t="s">
        <v>14</v>
      </c>
      <c r="F10077" s="2" t="str">
        <f>HYPERLINK("http://www.otzar.org/book.asp?601399","הבן בחכמה - 3 כר'")</f>
        <v>הבן בחכמה - 3 כר'</v>
      </c>
    </row>
    <row r="10078" spans="1:6" x14ac:dyDescent="0.2">
      <c r="A10078" t="s">
        <v>17376</v>
      </c>
      <c r="B10078" t="s">
        <v>17377</v>
      </c>
      <c r="C10078" t="s">
        <v>13</v>
      </c>
      <c r="D10078" t="s">
        <v>14</v>
      </c>
      <c r="E10078" t="s">
        <v>14089</v>
      </c>
      <c r="F10078" s="2" t="str">
        <f>HYPERLINK("http://www.otzar.org/book.asp?158498","הבן יקיר לי אפרים")</f>
        <v>הבן יקיר לי אפרים</v>
      </c>
    </row>
    <row r="10079" spans="1:6" x14ac:dyDescent="0.2">
      <c r="A10079" t="s">
        <v>17378</v>
      </c>
      <c r="B10079" t="s">
        <v>17379</v>
      </c>
      <c r="C10079" t="s">
        <v>454</v>
      </c>
      <c r="D10079" t="s">
        <v>14</v>
      </c>
      <c r="E10079" t="s">
        <v>2071</v>
      </c>
      <c r="F10079" s="2" t="str">
        <f>HYPERLINK("http://www.otzar.org/book.asp?107234","הבן יקיר לי אפרים - 2 כר'")</f>
        <v>הבן יקיר לי אפרים - 2 כר'</v>
      </c>
    </row>
    <row r="10080" spans="1:6" x14ac:dyDescent="0.2">
      <c r="A10080" t="s">
        <v>17380</v>
      </c>
      <c r="B10080" t="s">
        <v>17381</v>
      </c>
      <c r="C10080" t="s">
        <v>103</v>
      </c>
      <c r="D10080" t="s">
        <v>21</v>
      </c>
      <c r="E10080" t="s">
        <v>1072</v>
      </c>
      <c r="F10080" s="2" t="str">
        <f>HYPERLINK("http://www.otzar.org/book.asp?197822","הבן יקיר לי")</f>
        <v>הבן יקיר לי</v>
      </c>
    </row>
    <row r="10081" spans="1:6" x14ac:dyDescent="0.2">
      <c r="A10081" t="s">
        <v>17382</v>
      </c>
      <c r="B10081" t="s">
        <v>17383</v>
      </c>
      <c r="C10081" t="s">
        <v>496</v>
      </c>
      <c r="D10081" t="s">
        <v>27</v>
      </c>
      <c r="E10081" t="s">
        <v>5445</v>
      </c>
      <c r="F10081" s="2" t="str">
        <f>HYPERLINK("http://www.otzar.org/book.asp?300587","הבניה והתכנית")</f>
        <v>הבניה והתכנית</v>
      </c>
    </row>
    <row r="10082" spans="1:6" x14ac:dyDescent="0.2">
      <c r="A10082" t="s">
        <v>17384</v>
      </c>
      <c r="B10082" t="s">
        <v>17385</v>
      </c>
      <c r="C10082" t="s">
        <v>133</v>
      </c>
      <c r="D10082" t="s">
        <v>134</v>
      </c>
      <c r="E10082" t="s">
        <v>15</v>
      </c>
      <c r="F10082" s="2" t="str">
        <f>HYPERLINK("http://www.otzar.org/book.asp?172777","הבנים תקח לך")</f>
        <v>הבנים תקח לך</v>
      </c>
    </row>
    <row r="10083" spans="1:6" x14ac:dyDescent="0.2">
      <c r="A10083" t="s">
        <v>17384</v>
      </c>
      <c r="B10083" t="s">
        <v>17386</v>
      </c>
      <c r="C10083" t="s">
        <v>189</v>
      </c>
      <c r="D10083" t="s">
        <v>14</v>
      </c>
      <c r="E10083" t="s">
        <v>172</v>
      </c>
      <c r="F10083" s="2" t="str">
        <f>HYPERLINK("http://www.otzar.org/book.asp?144961","הבנים תקח לך")</f>
        <v>הבנים תקח לך</v>
      </c>
    </row>
    <row r="10084" spans="1:6" x14ac:dyDescent="0.2">
      <c r="A10084" t="s">
        <v>17387</v>
      </c>
      <c r="B10084" t="s">
        <v>17388</v>
      </c>
      <c r="C10084" t="s">
        <v>940</v>
      </c>
      <c r="D10084" t="s">
        <v>260</v>
      </c>
      <c r="F10084" s="2" t="str">
        <f>HYPERLINK("http://www.otzar.org/book.asp?600417","הבעל שם טוב האיש ותורתו")</f>
        <v>הבעל שם טוב האיש ותורתו</v>
      </c>
    </row>
    <row r="10085" spans="1:6" x14ac:dyDescent="0.2">
      <c r="A10085" t="s">
        <v>17389</v>
      </c>
      <c r="B10085" t="s">
        <v>17390</v>
      </c>
      <c r="C10085" t="s">
        <v>3205</v>
      </c>
      <c r="D10085" t="s">
        <v>260</v>
      </c>
      <c r="E10085" t="s">
        <v>226</v>
      </c>
      <c r="F10085" s="2" t="str">
        <f>HYPERLINK("http://www.otzar.org/book.asp?179171","הבעל שם טוב")</f>
        <v>הבעל שם טוב</v>
      </c>
    </row>
    <row r="10086" spans="1:6" x14ac:dyDescent="0.2">
      <c r="A10086" t="s">
        <v>17391</v>
      </c>
      <c r="B10086" t="s">
        <v>11015</v>
      </c>
      <c r="C10086" t="s">
        <v>390</v>
      </c>
      <c r="D10086" t="s">
        <v>52</v>
      </c>
      <c r="E10086" t="s">
        <v>226</v>
      </c>
      <c r="F10086" s="2" t="str">
        <f>HYPERLINK("http://www.otzar.org/book.asp?84168","הבעש""ט ובני היכלו")</f>
        <v>הבעש"ט ובני היכלו</v>
      </c>
    </row>
    <row r="10087" spans="1:6" x14ac:dyDescent="0.2">
      <c r="A10087" t="s">
        <v>17392</v>
      </c>
      <c r="B10087" t="s">
        <v>3888</v>
      </c>
      <c r="C10087" t="s">
        <v>624</v>
      </c>
      <c r="D10087" t="s">
        <v>14</v>
      </c>
      <c r="E10087" t="s">
        <v>2840</v>
      </c>
      <c r="F10087" s="2" t="str">
        <f>HYPERLINK("http://www.otzar.org/book.asp?148888","הבר מצוה")</f>
        <v>הבר מצוה</v>
      </c>
    </row>
    <row r="10088" spans="1:6" x14ac:dyDescent="0.2">
      <c r="A10088" t="s">
        <v>17393</v>
      </c>
      <c r="B10088" t="s">
        <v>17278</v>
      </c>
      <c r="C10088" t="s">
        <v>176</v>
      </c>
      <c r="D10088" t="s">
        <v>21</v>
      </c>
      <c r="F10088" s="2" t="str">
        <f>HYPERLINK("http://www.otzar.org/book.asp?619088","הברון רוטשילד")</f>
        <v>הברון רוטשילד</v>
      </c>
    </row>
    <row r="10089" spans="1:6" x14ac:dyDescent="0.2">
      <c r="A10089" t="s">
        <v>17394</v>
      </c>
      <c r="B10089" t="s">
        <v>17395</v>
      </c>
      <c r="C10089" t="s">
        <v>356</v>
      </c>
      <c r="D10089" t="s">
        <v>412</v>
      </c>
      <c r="E10089" t="s">
        <v>15</v>
      </c>
      <c r="F10089" s="2" t="str">
        <f>HYPERLINK("http://www.otzar.org/book.asp?153818","הברי והשמא - 4 כר'")</f>
        <v>הברי והשמא - 4 כר'</v>
      </c>
    </row>
    <row r="10090" spans="1:6" x14ac:dyDescent="0.2">
      <c r="A10090" t="s">
        <v>17396</v>
      </c>
      <c r="B10090" t="s">
        <v>17397</v>
      </c>
      <c r="C10090" t="s">
        <v>728</v>
      </c>
      <c r="D10090" t="s">
        <v>27</v>
      </c>
      <c r="E10090" t="s">
        <v>119</v>
      </c>
      <c r="F10090" s="2" t="str">
        <f>HYPERLINK("http://www.otzar.org/book.asp?145307","הברית והזכרון לחברת ""אגודת מיסדי הישוב""")</f>
        <v>הברית והזכרון לחברת "אגודת מיסדי הישוב"</v>
      </c>
    </row>
    <row r="10091" spans="1:6" x14ac:dyDescent="0.2">
      <c r="A10091" t="s">
        <v>17398</v>
      </c>
      <c r="B10091" t="s">
        <v>17399</v>
      </c>
      <c r="C10091" t="s">
        <v>523</v>
      </c>
      <c r="D10091" t="s">
        <v>14</v>
      </c>
      <c r="E10091" t="s">
        <v>15</v>
      </c>
      <c r="F10091" s="2" t="str">
        <f>HYPERLINK("http://www.otzar.org/book.asp?52732","הברכה המשולשת - 2 כר'")</f>
        <v>הברכה המשולשת - 2 כר'</v>
      </c>
    </row>
    <row r="10092" spans="1:6" x14ac:dyDescent="0.2">
      <c r="A10092" t="s">
        <v>17400</v>
      </c>
      <c r="B10092" t="s">
        <v>8063</v>
      </c>
      <c r="C10092" t="s">
        <v>114</v>
      </c>
      <c r="D10092" t="s">
        <v>14</v>
      </c>
      <c r="E10092" t="s">
        <v>803</v>
      </c>
      <c r="F10092" s="2" t="str">
        <f>HYPERLINK("http://www.otzar.org/book.asp?172073","הברכה והמצוה")</f>
        <v>הברכה והמצוה</v>
      </c>
    </row>
    <row r="10093" spans="1:6" x14ac:dyDescent="0.2">
      <c r="A10093" t="s">
        <v>17401</v>
      </c>
      <c r="B10093" t="s">
        <v>12513</v>
      </c>
      <c r="C10093" t="s">
        <v>17</v>
      </c>
      <c r="D10093" t="s">
        <v>486</v>
      </c>
      <c r="E10093" t="s">
        <v>15</v>
      </c>
      <c r="F10093" s="2" t="str">
        <f>HYPERLINK("http://www.otzar.org/book.asp?159485","הברכה והשבח")</f>
        <v>הברכה והשבח</v>
      </c>
    </row>
    <row r="10094" spans="1:6" x14ac:dyDescent="0.2">
      <c r="A10094" t="s">
        <v>17402</v>
      </c>
      <c r="B10094" t="s">
        <v>17403</v>
      </c>
      <c r="C10094" t="s">
        <v>68</v>
      </c>
      <c r="D10094" t="s">
        <v>412</v>
      </c>
      <c r="E10094" t="s">
        <v>15</v>
      </c>
      <c r="F10094" s="2" t="str">
        <f>HYPERLINK("http://www.otzar.org/book.asp?162254","הברכה ומקומה - 2 כר'")</f>
        <v>הברכה ומקומה - 2 כר'</v>
      </c>
    </row>
    <row r="10095" spans="1:6" x14ac:dyDescent="0.2">
      <c r="A10095" t="s">
        <v>17404</v>
      </c>
      <c r="B10095" t="s">
        <v>489</v>
      </c>
      <c r="C10095" t="s">
        <v>422</v>
      </c>
      <c r="D10095" t="s">
        <v>14</v>
      </c>
      <c r="E10095" t="s">
        <v>393</v>
      </c>
      <c r="F10095" s="2" t="str">
        <f>HYPERLINK("http://www.otzar.org/book.asp?155311","הברכה - 8 כר'")</f>
        <v>הברכה - 8 כר'</v>
      </c>
    </row>
    <row r="10096" spans="1:6" x14ac:dyDescent="0.2">
      <c r="A10096" t="s">
        <v>17405</v>
      </c>
      <c r="B10096" t="s">
        <v>17406</v>
      </c>
      <c r="C10096" t="s">
        <v>5903</v>
      </c>
      <c r="D10096" t="s">
        <v>283</v>
      </c>
      <c r="E10096" t="s">
        <v>803</v>
      </c>
      <c r="F10096" s="2" t="str">
        <f>HYPERLINK("http://www.otzar.org/book.asp?200678","הברכי יהושע")</f>
        <v>הברכי יהושע</v>
      </c>
    </row>
    <row r="10097" spans="1:6" x14ac:dyDescent="0.2">
      <c r="A10097" t="s">
        <v>17407</v>
      </c>
      <c r="B10097" t="s">
        <v>12087</v>
      </c>
      <c r="C10097" t="s">
        <v>1246</v>
      </c>
      <c r="D10097" t="s">
        <v>27</v>
      </c>
      <c r="E10097" t="s">
        <v>104</v>
      </c>
      <c r="F10097" s="2" t="str">
        <f>HYPERLINK("http://www.otzar.org/book.asp?11725","הברת האותיות כתיקונם")</f>
        <v>הברת האותיות כתיקונם</v>
      </c>
    </row>
    <row r="10098" spans="1:6" x14ac:dyDescent="0.2">
      <c r="A10098" t="s">
        <v>17408</v>
      </c>
      <c r="B10098" t="s">
        <v>17409</v>
      </c>
      <c r="C10098" t="s">
        <v>68</v>
      </c>
      <c r="D10098" t="s">
        <v>412</v>
      </c>
      <c r="E10098" t="s">
        <v>3567</v>
      </c>
      <c r="F10098" s="2" t="str">
        <f>HYPERLINK("http://www.otzar.org/book.asp?175811","הבשם והשמן")</f>
        <v>הבשם והשמן</v>
      </c>
    </row>
    <row r="10099" spans="1:6" x14ac:dyDescent="0.2">
      <c r="A10099" t="s">
        <v>17410</v>
      </c>
      <c r="B10099" t="s">
        <v>17411</v>
      </c>
      <c r="C10099" t="s">
        <v>23</v>
      </c>
      <c r="D10099" t="s">
        <v>229</v>
      </c>
      <c r="E10099" t="s">
        <v>119</v>
      </c>
      <c r="F10099" s="2" t="str">
        <f>HYPERLINK("http://www.otzar.org/book.asp?193433","הגאון בחסד - 2 כר'")</f>
        <v>הגאון בחסד - 2 כר'</v>
      </c>
    </row>
    <row r="10100" spans="1:6" x14ac:dyDescent="0.2">
      <c r="A10100" t="s">
        <v>17412</v>
      </c>
      <c r="B10100" t="s">
        <v>11015</v>
      </c>
      <c r="C10100" t="s">
        <v>332</v>
      </c>
      <c r="D10100" t="s">
        <v>14</v>
      </c>
      <c r="E10100" t="s">
        <v>733</v>
      </c>
      <c r="F10100" s="2" t="str">
        <f>HYPERLINK("http://www.otzar.org/book.asp?85542","הגאון החסיד מוילנא")</f>
        <v>הגאון החסיד מוילנא</v>
      </c>
    </row>
    <row r="10101" spans="1:6" x14ac:dyDescent="0.2">
      <c r="A10101" t="s">
        <v>17413</v>
      </c>
      <c r="B10101" t="s">
        <v>17414</v>
      </c>
      <c r="C10101" t="s">
        <v>114</v>
      </c>
      <c r="D10101" t="s">
        <v>14</v>
      </c>
      <c r="E10101" t="s">
        <v>119</v>
      </c>
      <c r="F10101" s="2" t="str">
        <f>HYPERLINK("http://www.otzar.org/book.asp?170059","הגאון החסיד")</f>
        <v>הגאון החסיד</v>
      </c>
    </row>
    <row r="10102" spans="1:6" x14ac:dyDescent="0.2">
      <c r="A10102" t="s">
        <v>17415</v>
      </c>
      <c r="B10102" t="s">
        <v>17416</v>
      </c>
      <c r="C10102" t="s">
        <v>23</v>
      </c>
      <c r="D10102" t="s">
        <v>423</v>
      </c>
      <c r="E10102" t="s">
        <v>119</v>
      </c>
      <c r="F10102" s="2" t="str">
        <f>HYPERLINK("http://www.otzar.org/book.asp?630866","הגאון הקדוש מגוטא")</f>
        <v>הגאון הקדוש מגוטא</v>
      </c>
    </row>
    <row r="10103" spans="1:6" x14ac:dyDescent="0.2">
      <c r="A10103" t="s">
        <v>17417</v>
      </c>
      <c r="B10103" t="s">
        <v>10997</v>
      </c>
      <c r="C10103" t="s">
        <v>422</v>
      </c>
      <c r="D10103" t="s">
        <v>52</v>
      </c>
      <c r="E10103" t="s">
        <v>119</v>
      </c>
      <c r="F10103" s="2" t="str">
        <f>HYPERLINK("http://www.otzar.org/book.asp?158753","הגאון הקדוש מוישווא - 2 כר'")</f>
        <v>הגאון הקדוש מוישווא - 2 כר'</v>
      </c>
    </row>
    <row r="10104" spans="1:6" x14ac:dyDescent="0.2">
      <c r="A10104" t="s">
        <v>17418</v>
      </c>
      <c r="B10104" t="s">
        <v>3716</v>
      </c>
      <c r="C10104" t="s">
        <v>1609</v>
      </c>
      <c r="D10104" t="s">
        <v>27</v>
      </c>
      <c r="F10104" s="2" t="str">
        <f>HYPERLINK("http://www.otzar.org/book.asp?173370","הגאון הרוגאצ'ובי ותלמודו")</f>
        <v>הגאון הרוגאצ'ובי ותלמודו</v>
      </c>
    </row>
    <row r="10105" spans="1:6" x14ac:dyDescent="0.2">
      <c r="A10105" t="s">
        <v>17419</v>
      </c>
      <c r="B10105" t="s">
        <v>11015</v>
      </c>
      <c r="C10105" t="s">
        <v>1160</v>
      </c>
      <c r="D10105" t="s">
        <v>14</v>
      </c>
      <c r="E10105" t="s">
        <v>226</v>
      </c>
      <c r="F10105" s="2" t="str">
        <f>HYPERLINK("http://www.otzar.org/book.asp?155419","הגאון מטשעבין")</f>
        <v>הגאון מטשעבין</v>
      </c>
    </row>
    <row r="10106" spans="1:6" x14ac:dyDescent="0.2">
      <c r="A10106" t="s">
        <v>17420</v>
      </c>
      <c r="B10106" t="s">
        <v>13963</v>
      </c>
      <c r="C10106" t="s">
        <v>1448</v>
      </c>
      <c r="D10106" t="s">
        <v>14</v>
      </c>
      <c r="E10106" t="s">
        <v>119</v>
      </c>
      <c r="F10106" s="2" t="str">
        <f>HYPERLINK("http://www.otzar.org/book.asp?155822","הגאון מלבים - 2 כר'")</f>
        <v>הגאון מלבים - 2 כר'</v>
      </c>
    </row>
    <row r="10107" spans="1:6" x14ac:dyDescent="0.2">
      <c r="A10107" t="s">
        <v>17421</v>
      </c>
      <c r="B10107" t="s">
        <v>13208</v>
      </c>
      <c r="C10107" t="s">
        <v>956</v>
      </c>
      <c r="D10107" t="s">
        <v>216</v>
      </c>
      <c r="E10107" t="s">
        <v>119</v>
      </c>
      <c r="F10107" s="2" t="str">
        <f>HYPERLINK("http://www.otzar.org/book.asp?147834","הגאון רבי אליעזר גורדון זצ""ל")</f>
        <v>הגאון רבי אליעזר גורדון זצ"ל</v>
      </c>
    </row>
    <row r="10108" spans="1:6" x14ac:dyDescent="0.2">
      <c r="A10108" t="s">
        <v>17422</v>
      </c>
      <c r="B10108" t="s">
        <v>17423</v>
      </c>
      <c r="C10108" t="s">
        <v>79</v>
      </c>
      <c r="D10108" t="s">
        <v>260</v>
      </c>
      <c r="E10108" t="s">
        <v>119</v>
      </c>
      <c r="F10108" s="2" t="str">
        <f>HYPERLINK("http://www.otzar.org/book.asp?167496","הגאון רבי יהודה ליב צירלסון")</f>
        <v>הגאון רבי יהודה ליב צירלסון</v>
      </c>
    </row>
    <row r="10109" spans="1:6" x14ac:dyDescent="0.2">
      <c r="A10109" t="s">
        <v>17424</v>
      </c>
      <c r="B10109" t="s">
        <v>17425</v>
      </c>
      <c r="C10109" t="s">
        <v>442</v>
      </c>
      <c r="D10109" t="s">
        <v>27</v>
      </c>
      <c r="E10109" t="s">
        <v>119</v>
      </c>
      <c r="F10109" s="2" t="str">
        <f>HYPERLINK("http://www.otzar.org/book.asp?188988","הגאון רבי משה מרדכי אפשטין - 3 כר'")</f>
        <v>הגאון רבי משה מרדכי אפשטין - 3 כר'</v>
      </c>
    </row>
    <row r="10110" spans="1:6" x14ac:dyDescent="0.2">
      <c r="A10110" t="s">
        <v>17426</v>
      </c>
      <c r="B10110" t="s">
        <v>17427</v>
      </c>
      <c r="C10110" t="s">
        <v>585</v>
      </c>
      <c r="D10110" t="s">
        <v>14</v>
      </c>
      <c r="E10110" t="s">
        <v>119</v>
      </c>
      <c r="F10110" s="2" t="str">
        <f>HYPERLINK("http://www.otzar.org/book.asp?144238","הגאון שנשכח")</f>
        <v>הגאון שנשכח</v>
      </c>
    </row>
    <row r="10111" spans="1:6" x14ac:dyDescent="0.2">
      <c r="A10111" t="s">
        <v>17428</v>
      </c>
      <c r="B10111" t="s">
        <v>17429</v>
      </c>
      <c r="C10111" t="s">
        <v>23</v>
      </c>
      <c r="D10111" t="s">
        <v>14</v>
      </c>
      <c r="E10111" t="s">
        <v>104</v>
      </c>
      <c r="F10111" s="2" t="str">
        <f>HYPERLINK("http://www.otzar.org/book.asp?189865","הגבול הדרומי והערבה")</f>
        <v>הגבול הדרומי והערבה</v>
      </c>
    </row>
    <row r="10112" spans="1:6" x14ac:dyDescent="0.2">
      <c r="A10112" t="s">
        <v>17430</v>
      </c>
      <c r="B10112" t="s">
        <v>17431</v>
      </c>
      <c r="C10112" t="s">
        <v>87</v>
      </c>
      <c r="D10112" t="s">
        <v>14</v>
      </c>
      <c r="E10112" t="s">
        <v>674</v>
      </c>
      <c r="F10112" s="2" t="str">
        <f>HYPERLINK("http://www.otzar.org/book.asp?17066","הגבול הדרומי ושטח הערבה")</f>
        <v>הגבול הדרומי ושטח הערבה</v>
      </c>
    </row>
    <row r="10113" spans="1:6" x14ac:dyDescent="0.2">
      <c r="A10113" t="s">
        <v>17432</v>
      </c>
      <c r="B10113" t="s">
        <v>17433</v>
      </c>
      <c r="C10113" t="s">
        <v>23</v>
      </c>
      <c r="D10113" t="s">
        <v>52</v>
      </c>
      <c r="E10113" t="s">
        <v>246</v>
      </c>
      <c r="F10113" s="2" t="str">
        <f>HYPERLINK("http://www.otzar.org/book.asp?608444","הגדה חביבה")</f>
        <v>הגדה חביבה</v>
      </c>
    </row>
    <row r="10114" spans="1:6" x14ac:dyDescent="0.2">
      <c r="A10114" t="s">
        <v>17434</v>
      </c>
      <c r="B10114" t="s">
        <v>17435</v>
      </c>
      <c r="C10114" t="s">
        <v>802</v>
      </c>
      <c r="D10114" t="s">
        <v>9091</v>
      </c>
      <c r="E10114" t="s">
        <v>246</v>
      </c>
      <c r="F10114" s="2" t="str">
        <f>HYPERLINK("http://www.otzar.org/book.asp?149387","הגדה לליל שמורים עם פירוש אור ישרים")</f>
        <v>הגדה לליל שמורים עם פירוש אור ישרים</v>
      </c>
    </row>
    <row r="10115" spans="1:6" x14ac:dyDescent="0.2">
      <c r="A10115" t="s">
        <v>17436</v>
      </c>
      <c r="B10115" t="s">
        <v>17437</v>
      </c>
      <c r="C10115" t="s">
        <v>1096</v>
      </c>
      <c r="D10115" t="s">
        <v>17438</v>
      </c>
      <c r="E10115" t="s">
        <v>246</v>
      </c>
      <c r="F10115" s="2" t="str">
        <f>HYPERLINK("http://www.otzar.org/book.asp?52109","הגדה לליל שמורים עם פירוש תוספות בנימין")</f>
        <v>הגדה לליל שמורים עם פירוש תוספות בנימין</v>
      </c>
    </row>
    <row r="10116" spans="1:6" x14ac:dyDescent="0.2">
      <c r="A10116" t="s">
        <v>17439</v>
      </c>
      <c r="B10116" t="s">
        <v>3314</v>
      </c>
      <c r="C10116" t="s">
        <v>6054</v>
      </c>
      <c r="D10116" t="s">
        <v>6537</v>
      </c>
      <c r="E10116" t="s">
        <v>246</v>
      </c>
      <c r="F10116" s="2" t="str">
        <f>HYPERLINK("http://www.otzar.org/book.asp?173093","הגדה ללילי פסח")</f>
        <v>הגדה ללילי פסח</v>
      </c>
    </row>
    <row r="10117" spans="1:6" x14ac:dyDescent="0.2">
      <c r="A10117" t="s">
        <v>17440</v>
      </c>
      <c r="B10117" t="s">
        <v>17441</v>
      </c>
      <c r="C10117" t="s">
        <v>576</v>
      </c>
      <c r="D10117" t="s">
        <v>216</v>
      </c>
      <c r="E10117" t="s">
        <v>246</v>
      </c>
      <c r="F10117" s="2" t="str">
        <f>HYPERLINK("http://www.otzar.org/book.asp?178954","הגדה לפסח נוסח הרמב""ם")</f>
        <v>הגדה לפסח נוסח הרמב"ם</v>
      </c>
    </row>
    <row r="10118" spans="1:6" x14ac:dyDescent="0.2">
      <c r="A10118" t="s">
        <v>17442</v>
      </c>
      <c r="B10118" t="s">
        <v>17443</v>
      </c>
      <c r="C10118" t="s">
        <v>3573</v>
      </c>
      <c r="D10118" t="s">
        <v>2303</v>
      </c>
      <c r="E10118" t="s">
        <v>246</v>
      </c>
      <c r="F10118" s="2" t="str">
        <f>HYPERLINK("http://www.otzar.org/book.asp?107043","הגדה סדר של פסח &lt;פיורדא&gt;")</f>
        <v>הגדה סדר של פסח &lt;פיורדא&gt;</v>
      </c>
    </row>
    <row r="10119" spans="1:6" x14ac:dyDescent="0.2">
      <c r="A10119" t="s">
        <v>17444</v>
      </c>
      <c r="B10119" t="s">
        <v>17445</v>
      </c>
      <c r="C10119" t="s">
        <v>8678</v>
      </c>
      <c r="D10119" t="s">
        <v>5665</v>
      </c>
      <c r="E10119" t="s">
        <v>246</v>
      </c>
      <c r="F10119" s="2" t="str">
        <f>HYPERLINK("http://www.otzar.org/book.asp?107044","הגדה סדר של פסח &lt;זולצבאך&gt; עם פירוש אברבנאל")</f>
        <v>הגדה סדר של פסח &lt;זולצבאך&gt; עם פירוש אברבנאל</v>
      </c>
    </row>
    <row r="10120" spans="1:6" x14ac:dyDescent="0.2">
      <c r="A10120" t="s">
        <v>17446</v>
      </c>
      <c r="B10120" t="s">
        <v>17447</v>
      </c>
      <c r="C10120" t="s">
        <v>17448</v>
      </c>
      <c r="D10120" t="s">
        <v>2303</v>
      </c>
      <c r="E10120" t="s">
        <v>246</v>
      </c>
      <c r="F10120" s="2" t="str">
        <f>HYPERLINK("http://www.otzar.org/book.asp?143390","הגדה סדר של פסח - עם פירוש אברבנאל")</f>
        <v>הגדה סדר של פסח - עם פירוש אברבנאל</v>
      </c>
    </row>
    <row r="10121" spans="1:6" x14ac:dyDescent="0.2">
      <c r="A10121" t="s">
        <v>17446</v>
      </c>
      <c r="B10121" t="s">
        <v>17445</v>
      </c>
      <c r="C10121" t="s">
        <v>8678</v>
      </c>
      <c r="D10121" t="s">
        <v>5665</v>
      </c>
      <c r="E10121" t="s">
        <v>246</v>
      </c>
      <c r="F10121" s="2" t="str">
        <f>HYPERLINK("http://www.otzar.org/book.asp?53326","הגדה סדר של פסח - עם פירוש אברבנאל")</f>
        <v>הגדה סדר של פסח - עם פירוש אברבנאל</v>
      </c>
    </row>
    <row r="10122" spans="1:6" x14ac:dyDescent="0.2">
      <c r="A10122" t="s">
        <v>17446</v>
      </c>
      <c r="B10122" t="s">
        <v>17449</v>
      </c>
      <c r="C10122" t="s">
        <v>4087</v>
      </c>
      <c r="D10122" t="s">
        <v>2303</v>
      </c>
      <c r="E10122" t="s">
        <v>246</v>
      </c>
      <c r="F10122" s="2" t="str">
        <f>HYPERLINK("http://www.otzar.org/book.asp?53327","הגדה סדר של פסח - עם פירוש אברבנאל")</f>
        <v>הגדה סדר של פסח - עם פירוש אברבנאל</v>
      </c>
    </row>
    <row r="10123" spans="1:6" x14ac:dyDescent="0.2">
      <c r="A10123" t="s">
        <v>17450</v>
      </c>
      <c r="B10123" t="s">
        <v>3314</v>
      </c>
      <c r="C10123" t="s">
        <v>3573</v>
      </c>
      <c r="D10123" t="s">
        <v>17451</v>
      </c>
      <c r="E10123" t="s">
        <v>246</v>
      </c>
      <c r="F10123" s="2" t="str">
        <f>HYPERLINK("http://www.otzar.org/book.asp?623690","הגדה של פסח  &lt;פקסמיליות של הגדות ישנות&gt; - 10 כר'")</f>
        <v>הגדה של פסח  &lt;פקסמיליות של הגדות ישנות&gt; - 10 כר'</v>
      </c>
    </row>
    <row r="10124" spans="1:6" x14ac:dyDescent="0.2">
      <c r="A10124" t="s">
        <v>17452</v>
      </c>
      <c r="B10124" t="s">
        <v>17453</v>
      </c>
      <c r="C10124" t="s">
        <v>20</v>
      </c>
      <c r="D10124" t="s">
        <v>14</v>
      </c>
      <c r="E10124" t="s">
        <v>246</v>
      </c>
      <c r="F10124" s="2" t="str">
        <f>HYPERLINK("http://www.otzar.org/book.asp?625856","הגדה של פסח  &lt;עבדי השם&gt;")</f>
        <v>הגדה של פסח  &lt;עבדי השם&gt;</v>
      </c>
    </row>
    <row r="10125" spans="1:6" x14ac:dyDescent="0.2">
      <c r="A10125" t="s">
        <v>17454</v>
      </c>
      <c r="B10125" t="s">
        <v>17455</v>
      </c>
      <c r="C10125" t="s">
        <v>940</v>
      </c>
      <c r="D10125" t="s">
        <v>21</v>
      </c>
      <c r="E10125" t="s">
        <v>246</v>
      </c>
      <c r="F10125" s="2" t="str">
        <f>HYPERLINK("http://www.otzar.org/book.asp?603225","הגדה של פסח  בשפה כורדית זאכויית")</f>
        <v>הגדה של פסח  בשפה כורדית זאכויית</v>
      </c>
    </row>
    <row r="10126" spans="1:6" x14ac:dyDescent="0.2">
      <c r="A10126" t="s">
        <v>17456</v>
      </c>
      <c r="B10126" t="s">
        <v>17457</v>
      </c>
      <c r="C10126" t="s">
        <v>14</v>
      </c>
      <c r="D10126" t="s">
        <v>129</v>
      </c>
      <c r="E10126" t="s">
        <v>246</v>
      </c>
      <c r="F10126" s="2" t="str">
        <f>HYPERLINK("http://www.otzar.org/book.asp?610993","הגדה של פסח  המבוארת")</f>
        <v>הגדה של פסח  המבוארת</v>
      </c>
    </row>
    <row r="10127" spans="1:6" x14ac:dyDescent="0.2">
      <c r="A10127" t="s">
        <v>17458</v>
      </c>
      <c r="C10127" t="s">
        <v>151</v>
      </c>
      <c r="D10127" t="s">
        <v>90</v>
      </c>
      <c r="F10127" s="2" t="str">
        <f>HYPERLINK("http://www.otzar.org/book.asp?616428","הגדה של פסח &lt;הגדת הכוללים&gt;")</f>
        <v>הגדה של פסח &lt;הגדת הכוללים&gt;</v>
      </c>
    </row>
    <row r="10128" spans="1:6" x14ac:dyDescent="0.2">
      <c r="A10128" t="s">
        <v>17459</v>
      </c>
      <c r="C10128" t="s">
        <v>151</v>
      </c>
      <c r="D10128" t="s">
        <v>147</v>
      </c>
      <c r="E10128" t="s">
        <v>246</v>
      </c>
      <c r="F10128" s="2" t="str">
        <f>HYPERLINK("http://www.otzar.org/book.asp?622169","הגדה של פסח &lt;תורי זהב - סדר מערבי&gt;")</f>
        <v>הגדה של פסח &lt;תורי זהב - סדר מערבי&gt;</v>
      </c>
    </row>
    <row r="10129" spans="1:6" x14ac:dyDescent="0.2">
      <c r="A10129" t="s">
        <v>17460</v>
      </c>
      <c r="B10129" t="s">
        <v>17461</v>
      </c>
      <c r="C10129" t="s">
        <v>1284</v>
      </c>
      <c r="D10129" t="s">
        <v>352</v>
      </c>
      <c r="E10129" t="s">
        <v>246</v>
      </c>
      <c r="F10129" s="2" t="str">
        <f>HYPERLINK("http://www.otzar.org/book.asp?104756","הגדה של פסח &lt;אמרי אש&gt; - 2 כר'")</f>
        <v>הגדה של פסח &lt;אמרי אש&gt; - 2 כר'</v>
      </c>
    </row>
    <row r="10130" spans="1:6" x14ac:dyDescent="0.2">
      <c r="A10130" t="s">
        <v>17462</v>
      </c>
      <c r="B10130" t="s">
        <v>17463</v>
      </c>
      <c r="C10130" t="s">
        <v>313</v>
      </c>
      <c r="D10130" t="s">
        <v>486</v>
      </c>
      <c r="E10130" t="s">
        <v>246</v>
      </c>
      <c r="F10130" s="2" t="str">
        <f>HYPERLINK("http://www.otzar.org/book.asp?165054","הגדה של פסח &lt;והגדת לבנך&gt;")</f>
        <v>הגדה של פסח &lt;והגדת לבנך&gt;</v>
      </c>
    </row>
    <row r="10131" spans="1:6" x14ac:dyDescent="0.2">
      <c r="A10131" t="s">
        <v>17464</v>
      </c>
      <c r="B10131" t="s">
        <v>17465</v>
      </c>
      <c r="C10131" t="s">
        <v>395</v>
      </c>
      <c r="D10131" t="s">
        <v>8340</v>
      </c>
      <c r="E10131" t="s">
        <v>246</v>
      </c>
      <c r="F10131" s="2" t="str">
        <f>HYPERLINK("http://www.otzar.org/book.asp?106194","הגדה של פסח &lt;ברכת אברהם&gt;")</f>
        <v>הגדה של פסח &lt;ברכת אברהם&gt;</v>
      </c>
    </row>
    <row r="10132" spans="1:6" x14ac:dyDescent="0.2">
      <c r="A10132" t="s">
        <v>17466</v>
      </c>
      <c r="B10132" t="s">
        <v>17467</v>
      </c>
      <c r="C10132" t="s">
        <v>20</v>
      </c>
      <c r="D10132" t="s">
        <v>90</v>
      </c>
      <c r="E10132" t="s">
        <v>246</v>
      </c>
      <c r="F10132" s="2" t="str">
        <f>HYPERLINK("http://www.otzar.org/book.asp?600736","הגדה של פסח &lt;סיפור יציאת מצרים&gt;")</f>
        <v>הגדה של פסח &lt;סיפור יציאת מצרים&gt;</v>
      </c>
    </row>
    <row r="10133" spans="1:6" x14ac:dyDescent="0.2">
      <c r="A10133" t="s">
        <v>17468</v>
      </c>
      <c r="B10133" t="s">
        <v>17469</v>
      </c>
      <c r="C10133" t="s">
        <v>528</v>
      </c>
      <c r="D10133" t="s">
        <v>42</v>
      </c>
      <c r="E10133" t="s">
        <v>246</v>
      </c>
      <c r="F10133" s="2" t="str">
        <f>HYPERLINK("http://www.otzar.org/book.asp?141186","הגדה של פסח &lt;ענבים במדבר&gt;")</f>
        <v>הגדה של פסח &lt;ענבים במדבר&gt;</v>
      </c>
    </row>
    <row r="10134" spans="1:6" x14ac:dyDescent="0.2">
      <c r="A10134" t="s">
        <v>17470</v>
      </c>
      <c r="B10134" t="s">
        <v>17471</v>
      </c>
      <c r="C10134" t="s">
        <v>989</v>
      </c>
      <c r="D10134" t="s">
        <v>14</v>
      </c>
      <c r="E10134" t="s">
        <v>4172</v>
      </c>
      <c r="F10134" s="2" t="str">
        <f>HYPERLINK("http://www.otzar.org/book.asp?10586","הגדה של פסח &lt;אשל אברהם, יד רמה&gt;")</f>
        <v>הגדה של פסח &lt;אשל אברהם, יד רמה&gt;</v>
      </c>
    </row>
    <row r="10135" spans="1:6" x14ac:dyDescent="0.2">
      <c r="A10135" t="s">
        <v>17472</v>
      </c>
      <c r="B10135" t="s">
        <v>13638</v>
      </c>
      <c r="C10135" t="s">
        <v>17</v>
      </c>
      <c r="D10135" t="s">
        <v>412</v>
      </c>
      <c r="E10135" t="s">
        <v>246</v>
      </c>
      <c r="F10135" s="2" t="str">
        <f>HYPERLINK("http://www.otzar.org/book.asp?161779","הגדה של פסח &lt;מנחת חן&gt;")</f>
        <v>הגדה של פסח &lt;מנחת חן&gt;</v>
      </c>
    </row>
    <row r="10136" spans="1:6" x14ac:dyDescent="0.2">
      <c r="A10136" t="s">
        <v>17473</v>
      </c>
      <c r="B10136" t="s">
        <v>17474</v>
      </c>
      <c r="C10136" t="s">
        <v>20</v>
      </c>
      <c r="D10136" t="s">
        <v>2347</v>
      </c>
      <c r="E10136" t="s">
        <v>246</v>
      </c>
      <c r="F10136" s="2" t="str">
        <f>HYPERLINK("http://www.otzar.org/book.asp?105762","הגדה של פסח &lt;מטה לוי, מעשה אורג, באר יוסף&gt;")</f>
        <v>הגדה של פסח &lt;מטה לוי, מעשה אורג, באר יוסף&gt;</v>
      </c>
    </row>
    <row r="10137" spans="1:6" x14ac:dyDescent="0.2">
      <c r="A10137" t="s">
        <v>17475</v>
      </c>
      <c r="B10137" t="s">
        <v>17476</v>
      </c>
      <c r="C10137" t="s">
        <v>8375</v>
      </c>
      <c r="D10137" t="s">
        <v>56</v>
      </c>
      <c r="E10137" t="s">
        <v>246</v>
      </c>
      <c r="F10137" s="2" t="str">
        <f>HYPERLINK("http://www.otzar.org/book.asp?104749","הגדה של פסח &lt;מטה לוי, מעשה ארג&gt;")</f>
        <v>הגדה של פסח &lt;מטה לוי, מעשה ארג&gt;</v>
      </c>
    </row>
    <row r="10138" spans="1:6" x14ac:dyDescent="0.2">
      <c r="A10138" t="s">
        <v>17477</v>
      </c>
      <c r="B10138" t="s">
        <v>1275</v>
      </c>
      <c r="C10138" t="s">
        <v>366</v>
      </c>
      <c r="D10138" t="s">
        <v>14</v>
      </c>
      <c r="E10138" t="s">
        <v>246</v>
      </c>
      <c r="F10138" s="2" t="str">
        <f>HYPERLINK("http://www.otzar.org/book.asp?626272","הגדה של פסח &lt;רשפי אש&gt;")</f>
        <v>הגדה של פסח &lt;רשפי אש&gt;</v>
      </c>
    </row>
    <row r="10139" spans="1:6" x14ac:dyDescent="0.2">
      <c r="A10139" t="s">
        <v>17478</v>
      </c>
      <c r="B10139" t="s">
        <v>17479</v>
      </c>
      <c r="C10139" t="s">
        <v>433</v>
      </c>
      <c r="D10139" t="s">
        <v>412</v>
      </c>
      <c r="F10139" s="2" t="str">
        <f>HYPERLINK("http://www.otzar.org/book.asp?181994","הגדה של פסח &lt;נאות דשא&gt;")</f>
        <v>הגדה של פסח &lt;נאות דשא&gt;</v>
      </c>
    </row>
    <row r="10140" spans="1:6" x14ac:dyDescent="0.2">
      <c r="A10140" t="s">
        <v>17480</v>
      </c>
      <c r="B10140" t="s">
        <v>2467</v>
      </c>
      <c r="C10140" t="s">
        <v>114</v>
      </c>
      <c r="D10140" t="s">
        <v>2468</v>
      </c>
      <c r="E10140" t="s">
        <v>246</v>
      </c>
      <c r="F10140" s="2" t="str">
        <f>HYPERLINK("http://www.otzar.org/book.asp?606323","הגדה של פסח &lt;אהלי יעקב&gt;")</f>
        <v>הגדה של פסח &lt;אהלי יעקב&gt;</v>
      </c>
    </row>
    <row r="10141" spans="1:6" x14ac:dyDescent="0.2">
      <c r="A10141" t="s">
        <v>17481</v>
      </c>
      <c r="B10141" t="s">
        <v>8353</v>
      </c>
      <c r="C10141" t="s">
        <v>244</v>
      </c>
      <c r="D10141" t="s">
        <v>367</v>
      </c>
      <c r="F10141" s="2" t="str">
        <f>HYPERLINK("http://www.otzar.org/book.asp?198794","הגדה של פסח &lt;ועשה פסח לה'&gt;")</f>
        <v>הגדה של פסח &lt;ועשה פסח לה'&gt;</v>
      </c>
    </row>
    <row r="10142" spans="1:6" x14ac:dyDescent="0.2">
      <c r="A10142" t="s">
        <v>17482</v>
      </c>
      <c r="B10142" t="s">
        <v>1308</v>
      </c>
      <c r="C10142" t="s">
        <v>1047</v>
      </c>
      <c r="D10142" t="s">
        <v>283</v>
      </c>
      <c r="E10142" t="s">
        <v>10893</v>
      </c>
      <c r="F10142" s="2" t="str">
        <f>HYPERLINK("http://www.otzar.org/book.asp?104775","הגדה של פסח &lt;חיד""א&gt;")</f>
        <v>הגדה של פסח &lt;חיד"א&gt;</v>
      </c>
    </row>
    <row r="10143" spans="1:6" x14ac:dyDescent="0.2">
      <c r="A10143" t="s">
        <v>17483</v>
      </c>
      <c r="B10143" t="s">
        <v>10680</v>
      </c>
      <c r="C10143" t="s">
        <v>1811</v>
      </c>
      <c r="D10143" t="s">
        <v>14</v>
      </c>
      <c r="E10143" t="s">
        <v>4172</v>
      </c>
      <c r="F10143" s="2" t="str">
        <f>HYPERLINK("http://www.otzar.org/book.asp?5176","הגדה של פסח &lt;מנחת עני&gt;")</f>
        <v>הגדה של פסח &lt;מנחת עני&gt;</v>
      </c>
    </row>
    <row r="10144" spans="1:6" x14ac:dyDescent="0.2">
      <c r="A10144" t="s">
        <v>17484</v>
      </c>
      <c r="B10144" t="s">
        <v>17485</v>
      </c>
      <c r="C10144" t="s">
        <v>1166</v>
      </c>
      <c r="D10144" t="s">
        <v>283</v>
      </c>
      <c r="E10144" t="s">
        <v>246</v>
      </c>
      <c r="F10144" s="2" t="str">
        <f>HYPERLINK("http://www.otzar.org/book.asp?6318","הגדה של פסח &lt;הלכות קבועות, שבחי דמרא&gt;")</f>
        <v>הגדה של פסח &lt;הלכות קבועות, שבחי דמרא&gt;</v>
      </c>
    </row>
    <row r="10145" spans="1:6" x14ac:dyDescent="0.2">
      <c r="A10145" t="s">
        <v>17486</v>
      </c>
      <c r="B10145" t="s">
        <v>1990</v>
      </c>
      <c r="C10145" t="s">
        <v>635</v>
      </c>
      <c r="D10145" t="s">
        <v>1589</v>
      </c>
      <c r="E10145" t="s">
        <v>4022</v>
      </c>
      <c r="F10145" s="2" t="str">
        <f>HYPERLINK("http://www.otzar.org/book.asp?104997","הגדה של פסח &lt;גנזי כנסת ישראל&gt;")</f>
        <v>הגדה של פסח &lt;גנזי כנסת ישראל&gt;</v>
      </c>
    </row>
    <row r="10146" spans="1:6" x14ac:dyDescent="0.2">
      <c r="A10146" t="s">
        <v>17487</v>
      </c>
      <c r="B10146" t="s">
        <v>6885</v>
      </c>
      <c r="C10146" t="s">
        <v>1570</v>
      </c>
      <c r="D10146" t="s">
        <v>14</v>
      </c>
      <c r="E10146" t="s">
        <v>17488</v>
      </c>
      <c r="F10146" s="2" t="str">
        <f>HYPERLINK("http://www.otzar.org/book.asp?105764","הגדה של פסח &lt;מגיד דבריו ליעקב&gt; - 2 כר'")</f>
        <v>הגדה של פסח &lt;מגיד דבריו ליעקב&gt; - 2 כר'</v>
      </c>
    </row>
    <row r="10147" spans="1:6" x14ac:dyDescent="0.2">
      <c r="A10147" t="s">
        <v>17489</v>
      </c>
      <c r="B10147" t="s">
        <v>17490</v>
      </c>
      <c r="C10147" t="s">
        <v>422</v>
      </c>
      <c r="D10147" t="s">
        <v>7569</v>
      </c>
      <c r="F10147" s="2" t="str">
        <f>HYPERLINK("http://www.otzar.org/book.asp?163827","הגדה של פסח &lt;שפת אמת&gt;")</f>
        <v>הגדה של פסח &lt;שפת אמת&gt;</v>
      </c>
    </row>
    <row r="10148" spans="1:6" x14ac:dyDescent="0.2">
      <c r="A10148" t="s">
        <v>17491</v>
      </c>
      <c r="B10148" t="s">
        <v>6322</v>
      </c>
      <c r="E10148" t="s">
        <v>246</v>
      </c>
      <c r="F10148" s="2" t="str">
        <f>HYPERLINK("http://www.otzar.org/book.asp?603548","הגדה של פסח &lt;הגדת הרי""מ&gt;")</f>
        <v>הגדה של פסח &lt;הגדת הרי"מ&gt;</v>
      </c>
    </row>
    <row r="10149" spans="1:6" x14ac:dyDescent="0.2">
      <c r="A10149" t="s">
        <v>17492</v>
      </c>
      <c r="B10149" t="s">
        <v>542</v>
      </c>
      <c r="C10149" t="s">
        <v>111</v>
      </c>
      <c r="D10149" t="s">
        <v>152</v>
      </c>
      <c r="E10149" t="s">
        <v>246</v>
      </c>
      <c r="F10149" s="2" t="str">
        <f>HYPERLINK("http://www.otzar.org/book.asp?629990","הגדה של פסח &lt;שפת הים - מהדורה חדשה&gt;")</f>
        <v>הגדה של פסח &lt;שפת הים - מהדורה חדשה&gt;</v>
      </c>
    </row>
    <row r="10150" spans="1:6" x14ac:dyDescent="0.2">
      <c r="A10150" t="s">
        <v>17493</v>
      </c>
      <c r="B10150" t="s">
        <v>17494</v>
      </c>
      <c r="C10150" t="s">
        <v>87</v>
      </c>
      <c r="D10150" t="s">
        <v>5678</v>
      </c>
      <c r="E10150" t="s">
        <v>246</v>
      </c>
      <c r="F10150" s="2" t="str">
        <f>HYPERLINK("http://www.otzar.org/book.asp?623837","הגדה של פסח &lt;פירוש הגר""א - ליקוטי דודאים&gt;")</f>
        <v>הגדה של פסח &lt;פירוש הגר"א - ליקוטי דודאים&gt;</v>
      </c>
    </row>
    <row r="10151" spans="1:6" x14ac:dyDescent="0.2">
      <c r="A10151" t="s">
        <v>17495</v>
      </c>
      <c r="B10151" t="s">
        <v>17496</v>
      </c>
      <c r="C10151" t="s">
        <v>168</v>
      </c>
      <c r="D10151" t="s">
        <v>52</v>
      </c>
      <c r="E10151" t="s">
        <v>130</v>
      </c>
      <c r="F10151" s="2" t="str">
        <f>HYPERLINK("http://www.otzar.org/book.asp?11148","הגדה של פסח &lt;ראב""ן&gt;")</f>
        <v>הגדה של פסח &lt;ראב"ן&gt;</v>
      </c>
    </row>
    <row r="10152" spans="1:6" x14ac:dyDescent="0.2">
      <c r="A10152" t="s">
        <v>17497</v>
      </c>
      <c r="B10152" t="s">
        <v>13594</v>
      </c>
      <c r="C10152" t="s">
        <v>20</v>
      </c>
      <c r="D10152" t="s">
        <v>90</v>
      </c>
      <c r="E10152" t="s">
        <v>246</v>
      </c>
      <c r="F10152" s="2" t="str">
        <f>HYPERLINK("http://www.otzar.org/book.asp?165006","הגדה של פסח &lt;ליקוטי נגלות לשם שבו ואחלמה&gt;")</f>
        <v>הגדה של פסח &lt;ליקוטי נגלות לשם שבו ואחלמה&gt;</v>
      </c>
    </row>
    <row r="10153" spans="1:6" x14ac:dyDescent="0.2">
      <c r="A10153" t="s">
        <v>17498</v>
      </c>
      <c r="B10153" t="s">
        <v>11200</v>
      </c>
      <c r="C10153" t="s">
        <v>51</v>
      </c>
      <c r="D10153" t="s">
        <v>2798</v>
      </c>
      <c r="E10153" t="s">
        <v>246</v>
      </c>
      <c r="F10153" s="2" t="str">
        <f>HYPERLINK("http://www.otzar.org/book.asp?173139","הגדה של פסח &lt;בני שלמה&gt;")</f>
        <v>הגדה של פסח &lt;בני שלמה&gt;</v>
      </c>
    </row>
    <row r="10154" spans="1:6" x14ac:dyDescent="0.2">
      <c r="A10154" t="s">
        <v>17499</v>
      </c>
      <c r="B10154" t="s">
        <v>17500</v>
      </c>
      <c r="C10154" t="s">
        <v>767</v>
      </c>
      <c r="D10154" t="s">
        <v>14</v>
      </c>
      <c r="E10154" t="s">
        <v>246</v>
      </c>
      <c r="F10154" s="2" t="str">
        <f>HYPERLINK("http://www.otzar.org/book.asp?626380","הגדה של פסח &lt;ליל שמורים -מהדורה חדשה&gt;")</f>
        <v>הגדה של פסח &lt;ליל שמורים -מהדורה חדשה&gt;</v>
      </c>
    </row>
    <row r="10155" spans="1:6" x14ac:dyDescent="0.2">
      <c r="A10155" t="s">
        <v>17501</v>
      </c>
      <c r="B10155" t="s">
        <v>17502</v>
      </c>
      <c r="C10155" t="s">
        <v>506</v>
      </c>
      <c r="D10155" t="s">
        <v>56</v>
      </c>
      <c r="E10155" t="s">
        <v>246</v>
      </c>
      <c r="F10155" s="2" t="str">
        <f>HYPERLINK("http://www.otzar.org/book.asp?104745","הגדה של פסח &lt;ליל שמורים&gt;")</f>
        <v>הגדה של פסח &lt;ליל שמורים&gt;</v>
      </c>
    </row>
    <row r="10156" spans="1:6" x14ac:dyDescent="0.2">
      <c r="A10156" t="s">
        <v>17503</v>
      </c>
      <c r="B10156" t="s">
        <v>17504</v>
      </c>
      <c r="C10156" t="s">
        <v>411</v>
      </c>
      <c r="D10156" t="s">
        <v>14</v>
      </c>
      <c r="E10156" t="s">
        <v>246</v>
      </c>
      <c r="F10156" s="2" t="str">
        <f>HYPERLINK("http://www.otzar.org/book.asp?176341","הגדה של פסח &lt;נפש יהודי&gt;")</f>
        <v>הגדה של פסח &lt;נפש יהודי&gt;</v>
      </c>
    </row>
    <row r="10157" spans="1:6" x14ac:dyDescent="0.2">
      <c r="A10157" t="s">
        <v>17505</v>
      </c>
      <c r="B10157" t="s">
        <v>17506</v>
      </c>
      <c r="C10157" t="s">
        <v>244</v>
      </c>
      <c r="D10157" t="s">
        <v>21</v>
      </c>
      <c r="E10157" t="s">
        <v>246</v>
      </c>
      <c r="F10157" s="2" t="str">
        <f>HYPERLINK("http://www.otzar.org/book.asp?199956","הגדה של פסח &lt;היד החזקה&gt;")</f>
        <v>הגדה של פסח &lt;היד החזקה&gt;</v>
      </c>
    </row>
    <row r="10158" spans="1:6" x14ac:dyDescent="0.2">
      <c r="A10158" t="s">
        <v>17507</v>
      </c>
      <c r="B10158" t="s">
        <v>17508</v>
      </c>
      <c r="C10158" t="s">
        <v>114</v>
      </c>
      <c r="D10158" t="s">
        <v>14</v>
      </c>
      <c r="E10158" t="s">
        <v>246</v>
      </c>
      <c r="F10158" s="2" t="str">
        <f>HYPERLINK("http://www.otzar.org/book.asp?189016","הגדה של פסח &lt;פה סח&gt;")</f>
        <v>הגדה של פסח &lt;פה סח&gt;</v>
      </c>
    </row>
    <row r="10159" spans="1:6" x14ac:dyDescent="0.2">
      <c r="A10159" t="s">
        <v>17509</v>
      </c>
      <c r="B10159" t="s">
        <v>16488</v>
      </c>
      <c r="C10159" t="s">
        <v>176</v>
      </c>
      <c r="D10159" t="s">
        <v>14</v>
      </c>
      <c r="E10159" t="s">
        <v>246</v>
      </c>
      <c r="F10159" s="2" t="str">
        <f>HYPERLINK("http://www.otzar.org/book.asp?173639","הגדה של פסח &lt;חתן סופר&gt;")</f>
        <v>הגדה של פסח &lt;חתן סופר&gt;</v>
      </c>
    </row>
    <row r="10160" spans="1:6" x14ac:dyDescent="0.2">
      <c r="A10160" t="s">
        <v>17510</v>
      </c>
      <c r="B10160" t="s">
        <v>578</v>
      </c>
      <c r="C10160" t="s">
        <v>427</v>
      </c>
      <c r="D10160" t="s">
        <v>14</v>
      </c>
      <c r="E10160" t="s">
        <v>246</v>
      </c>
      <c r="F10160" s="2" t="str">
        <f>HYPERLINK("http://www.otzar.org/book.asp?104755","הגדה של פסח &lt;אפיקומן, מצה שלמה&gt;")</f>
        <v>הגדה של פסח &lt;אפיקומן, מצה שלמה&gt;</v>
      </c>
    </row>
    <row r="10161" spans="1:6" x14ac:dyDescent="0.2">
      <c r="A10161" t="s">
        <v>17511</v>
      </c>
      <c r="B10161" t="s">
        <v>17512</v>
      </c>
      <c r="C10161" t="s">
        <v>244</v>
      </c>
      <c r="D10161" t="s">
        <v>14</v>
      </c>
      <c r="F10161" s="2" t="str">
        <f>HYPERLINK("http://www.otzar.org/book.asp?616020","הגדה של פסח &lt;מעשי ה' החדש&gt;")</f>
        <v>הגדה של פסח &lt;מעשי ה' החדש&gt;</v>
      </c>
    </row>
    <row r="10162" spans="1:6" x14ac:dyDescent="0.2">
      <c r="A10162" t="s">
        <v>17513</v>
      </c>
      <c r="B10162" t="s">
        <v>17514</v>
      </c>
      <c r="C10162" t="s">
        <v>956</v>
      </c>
      <c r="D10162" t="s">
        <v>14</v>
      </c>
      <c r="E10162" t="s">
        <v>246</v>
      </c>
      <c r="F10162" s="2" t="str">
        <f>HYPERLINK("http://www.otzar.org/book.asp?104769","הגדה של פסח &lt;כבודה של תורה, זהב במלאתם&gt;")</f>
        <v>הגדה של פסח &lt;כבודה של תורה, זהב במלאתם&gt;</v>
      </c>
    </row>
    <row r="10163" spans="1:6" x14ac:dyDescent="0.2">
      <c r="A10163" t="s">
        <v>17501</v>
      </c>
      <c r="B10163" t="s">
        <v>17515</v>
      </c>
      <c r="C10163" t="s">
        <v>2076</v>
      </c>
      <c r="D10163" t="s">
        <v>1566</v>
      </c>
      <c r="E10163" t="s">
        <v>246</v>
      </c>
      <c r="F10163" s="2" t="str">
        <f>HYPERLINK("http://www.otzar.org/book.asp?64048","הגדה של פסח &lt;ליל שמורים&gt;")</f>
        <v>הגדה של פסח &lt;ליל שמורים&gt;</v>
      </c>
    </row>
    <row r="10164" spans="1:6" x14ac:dyDescent="0.2">
      <c r="A10164" t="s">
        <v>17516</v>
      </c>
      <c r="B10164" t="s">
        <v>17517</v>
      </c>
      <c r="C10164" t="s">
        <v>624</v>
      </c>
      <c r="D10164" t="s">
        <v>14</v>
      </c>
      <c r="F10164" s="2" t="str">
        <f>HYPERLINK("http://www.otzar.org/book.asp?182263","הגדה של פסח &lt;נחלי מגדים&gt;")</f>
        <v>הגדה של פסח &lt;נחלי מגדים&gt;</v>
      </c>
    </row>
    <row r="10165" spans="1:6" x14ac:dyDescent="0.2">
      <c r="A10165" t="s">
        <v>17518</v>
      </c>
      <c r="B10165" t="s">
        <v>17519</v>
      </c>
      <c r="C10165" t="s">
        <v>8</v>
      </c>
      <c r="D10165" t="s">
        <v>27</v>
      </c>
      <c r="E10165" t="s">
        <v>3055</v>
      </c>
      <c r="F10165" s="2" t="str">
        <f>HYPERLINK("http://www.otzar.org/book.asp?10243","הגדה של פסח &lt;אור זורח&gt; - 2 כר'")</f>
        <v>הגדה של פסח &lt;אור זורח&gt; - 2 כר'</v>
      </c>
    </row>
    <row r="10166" spans="1:6" x14ac:dyDescent="0.2">
      <c r="A10166" t="s">
        <v>17520</v>
      </c>
      <c r="B10166" t="s">
        <v>17521</v>
      </c>
      <c r="C10166" t="s">
        <v>800</v>
      </c>
      <c r="D10166" t="s">
        <v>2295</v>
      </c>
      <c r="E10166" t="s">
        <v>246</v>
      </c>
      <c r="F10166" s="2" t="str">
        <f>HYPERLINK("http://www.otzar.org/book.asp?51638","הגדה של פסח &lt;מר דרור&gt;")</f>
        <v>הגדה של פסח &lt;מר דרור&gt;</v>
      </c>
    </row>
    <row r="10167" spans="1:6" x14ac:dyDescent="0.2">
      <c r="A10167" t="s">
        <v>17522</v>
      </c>
      <c r="B10167" t="s">
        <v>17523</v>
      </c>
      <c r="C10167" t="s">
        <v>383</v>
      </c>
      <c r="D10167" t="s">
        <v>721</v>
      </c>
      <c r="E10167" t="s">
        <v>246</v>
      </c>
      <c r="F10167" s="2" t="str">
        <f>HYPERLINK("http://www.otzar.org/book.asp?175449","הגדה של פסח &lt;שלל ר""ב&gt;")</f>
        <v>הגדה של פסח &lt;שלל ר"ב&gt;</v>
      </c>
    </row>
    <row r="10168" spans="1:6" x14ac:dyDescent="0.2">
      <c r="A10168" t="s">
        <v>17524</v>
      </c>
      <c r="B10168" t="s">
        <v>12069</v>
      </c>
      <c r="C10168" t="s">
        <v>427</v>
      </c>
      <c r="D10168" t="s">
        <v>52</v>
      </c>
      <c r="E10168" t="s">
        <v>246</v>
      </c>
      <c r="F10168" s="2" t="str">
        <f>HYPERLINK("http://www.otzar.org/book.asp?61138","הגדה של פסח &lt;משנת משה&gt;")</f>
        <v>הגדה של פסח &lt;משנת משה&gt;</v>
      </c>
    </row>
    <row r="10169" spans="1:6" x14ac:dyDescent="0.2">
      <c r="A10169" t="s">
        <v>17525</v>
      </c>
      <c r="B10169" t="s">
        <v>10584</v>
      </c>
      <c r="C10169" t="s">
        <v>8</v>
      </c>
      <c r="D10169" t="s">
        <v>974</v>
      </c>
      <c r="E10169" t="s">
        <v>17526</v>
      </c>
      <c r="F10169" s="2" t="str">
        <f>HYPERLINK("http://www.otzar.org/book.asp?104776","הגדה של פסח &lt;ערבי פסחים&gt;")</f>
        <v>הגדה של פסח &lt;ערבי פסחים&gt;</v>
      </c>
    </row>
    <row r="10170" spans="1:6" x14ac:dyDescent="0.2">
      <c r="A10170" t="s">
        <v>17527</v>
      </c>
      <c r="B10170" t="s">
        <v>10584</v>
      </c>
      <c r="C10170" t="s">
        <v>8</v>
      </c>
      <c r="D10170" t="s">
        <v>974</v>
      </c>
      <c r="E10170" t="s">
        <v>246</v>
      </c>
      <c r="F10170" s="2" t="str">
        <f>HYPERLINK("http://www.otzar.org/book.asp?601252","הגדה של פסח &lt;ערבי פסחים&gt; עם תוספות")</f>
        <v>הגדה של פסח &lt;ערבי פסחים&gt; עם תוספות</v>
      </c>
    </row>
    <row r="10171" spans="1:6" x14ac:dyDescent="0.2">
      <c r="A10171" t="s">
        <v>17528</v>
      </c>
      <c r="B10171" t="s">
        <v>17529</v>
      </c>
      <c r="C10171" t="s">
        <v>68</v>
      </c>
      <c r="D10171" t="s">
        <v>14</v>
      </c>
      <c r="E10171" t="s">
        <v>246</v>
      </c>
      <c r="F10171" s="2" t="str">
        <f>HYPERLINK("http://www.otzar.org/book.asp?171453","הגדה של פסח &lt;כוס אליהו - 2 כר'")</f>
        <v>הגדה של פסח &lt;כוס אליהו - 2 כר'</v>
      </c>
    </row>
    <row r="10172" spans="1:6" x14ac:dyDescent="0.2">
      <c r="A10172" t="s">
        <v>17530</v>
      </c>
      <c r="B10172" t="s">
        <v>2308</v>
      </c>
      <c r="C10172" t="s">
        <v>775</v>
      </c>
      <c r="D10172" t="s">
        <v>14</v>
      </c>
      <c r="E10172" t="s">
        <v>130</v>
      </c>
      <c r="F10172" s="2" t="str">
        <f>HYPERLINK("http://www.otzar.org/book.asp?51288","הגדה של פסח &lt;ואמרת לבנך&gt;")</f>
        <v>הגדה של פסח &lt;ואמרת לבנך&gt;</v>
      </c>
    </row>
    <row r="10173" spans="1:6" x14ac:dyDescent="0.2">
      <c r="A10173" t="s">
        <v>17531</v>
      </c>
      <c r="B10173" t="s">
        <v>7280</v>
      </c>
      <c r="C10173" t="s">
        <v>17</v>
      </c>
      <c r="D10173" t="s">
        <v>52</v>
      </c>
      <c r="E10173" t="s">
        <v>246</v>
      </c>
      <c r="F10173" s="2" t="str">
        <f>HYPERLINK("http://www.otzar.org/book.asp?161742","הגדה של פסח &lt;הגדת שבח ושירה&gt;")</f>
        <v>הגדה של פסח &lt;הגדת שבח ושירה&gt;</v>
      </c>
    </row>
    <row r="10174" spans="1:6" x14ac:dyDescent="0.2">
      <c r="A10174" t="s">
        <v>17532</v>
      </c>
      <c r="B10174" t="s">
        <v>17533</v>
      </c>
      <c r="C10174" t="s">
        <v>547</v>
      </c>
      <c r="D10174" t="s">
        <v>379</v>
      </c>
      <c r="E10174" t="s">
        <v>4172</v>
      </c>
      <c r="F10174" s="2" t="str">
        <f>HYPERLINK("http://www.otzar.org/book.asp?104742","הגדה של פסח &lt;חלקת בנימין&gt;")</f>
        <v>הגדה של פסח &lt;חלקת בנימין&gt;</v>
      </c>
    </row>
    <row r="10175" spans="1:6" x14ac:dyDescent="0.2">
      <c r="A10175" t="s">
        <v>17534</v>
      </c>
      <c r="B10175" t="s">
        <v>17535</v>
      </c>
      <c r="C10175" t="s">
        <v>133</v>
      </c>
      <c r="D10175" t="s">
        <v>412</v>
      </c>
      <c r="F10175" s="2" t="str">
        <f>HYPERLINK("http://www.otzar.org/book.asp?616834","הגדה של פסח &lt;בצאת ישראל&gt;")</f>
        <v>הגדה של פסח &lt;בצאת ישראל&gt;</v>
      </c>
    </row>
    <row r="10176" spans="1:6" x14ac:dyDescent="0.2">
      <c r="A10176" t="s">
        <v>17536</v>
      </c>
      <c r="B10176" t="s">
        <v>7387</v>
      </c>
      <c r="C10176" t="s">
        <v>1208</v>
      </c>
      <c r="D10176" t="s">
        <v>3161</v>
      </c>
      <c r="E10176" t="s">
        <v>246</v>
      </c>
      <c r="F10176" s="2" t="str">
        <f>HYPERLINK("http://www.otzar.org/book.asp?605418","הגדה של פסח &lt;הגדת הכסף&gt;")</f>
        <v>הגדה של פסח &lt;הגדת הכסף&gt;</v>
      </c>
    </row>
    <row r="10177" spans="1:6" x14ac:dyDescent="0.2">
      <c r="A10177" t="s">
        <v>17537</v>
      </c>
      <c r="B10177" t="s">
        <v>17538</v>
      </c>
      <c r="C10177" t="s">
        <v>553</v>
      </c>
      <c r="D10177" t="s">
        <v>14</v>
      </c>
      <c r="E10177" t="s">
        <v>246</v>
      </c>
      <c r="F10177" s="2" t="str">
        <f>HYPERLINK("http://www.otzar.org/book.asp?85185","הגדה של פסח &lt;דברים נחמדים&gt;")</f>
        <v>הגדה של פסח &lt;דברים נחמדים&gt;</v>
      </c>
    </row>
    <row r="10178" spans="1:6" x14ac:dyDescent="0.2">
      <c r="A10178" t="s">
        <v>17539</v>
      </c>
      <c r="B10178" t="s">
        <v>17540</v>
      </c>
      <c r="C10178" t="s">
        <v>2105</v>
      </c>
      <c r="D10178" t="s">
        <v>9896</v>
      </c>
      <c r="E10178" t="s">
        <v>246</v>
      </c>
      <c r="F10178" s="2" t="str">
        <f>HYPERLINK("http://www.otzar.org/book.asp?149616","הגדה של פסח &lt;נחלת אבות&gt;")</f>
        <v>הגדה של פסח &lt;נחלת אבות&gt;</v>
      </c>
    </row>
    <row r="10179" spans="1:6" x14ac:dyDescent="0.2">
      <c r="A10179" t="s">
        <v>17541</v>
      </c>
      <c r="B10179" t="s">
        <v>16269</v>
      </c>
      <c r="C10179" t="s">
        <v>422</v>
      </c>
      <c r="D10179" t="s">
        <v>412</v>
      </c>
      <c r="E10179" t="s">
        <v>246</v>
      </c>
      <c r="F10179" s="2" t="str">
        <f>HYPERLINK("http://www.otzar.org/book.asp?172657","הגדה של פסח &lt;מהר""ם בריסק&gt;")</f>
        <v>הגדה של פסח &lt;מהר"ם בריסק&gt;</v>
      </c>
    </row>
    <row r="10180" spans="1:6" x14ac:dyDescent="0.2">
      <c r="A10180" t="s">
        <v>17542</v>
      </c>
      <c r="B10180" t="s">
        <v>17543</v>
      </c>
      <c r="C10180" t="s">
        <v>473</v>
      </c>
      <c r="D10180" t="s">
        <v>726</v>
      </c>
      <c r="E10180" t="s">
        <v>2418</v>
      </c>
      <c r="F10180" s="2" t="str">
        <f>HYPERLINK("http://www.otzar.org/book.asp?104771","הגדה של פסח &lt;קהלת משה&gt;")</f>
        <v>הגדה של פסח &lt;קהלת משה&gt;</v>
      </c>
    </row>
    <row r="10181" spans="1:6" x14ac:dyDescent="0.2">
      <c r="A10181" t="s">
        <v>17544</v>
      </c>
      <c r="B10181" t="s">
        <v>17545</v>
      </c>
      <c r="C10181" t="s">
        <v>1663</v>
      </c>
      <c r="D10181" t="s">
        <v>260</v>
      </c>
      <c r="E10181" t="s">
        <v>246</v>
      </c>
      <c r="F10181" s="2" t="str">
        <f>HYPERLINK("http://www.otzar.org/book.asp?23850","הגדה של פסח &lt;אמרי שפר, אמרי חיים&gt;")</f>
        <v>הגדה של פסח &lt;אמרי שפר, אמרי חיים&gt;</v>
      </c>
    </row>
    <row r="10182" spans="1:6" x14ac:dyDescent="0.2">
      <c r="A10182" t="s">
        <v>17546</v>
      </c>
      <c r="B10182" t="s">
        <v>17547</v>
      </c>
      <c r="C10182" t="s">
        <v>133</v>
      </c>
      <c r="D10182" t="s">
        <v>14</v>
      </c>
      <c r="E10182" t="s">
        <v>246</v>
      </c>
      <c r="F10182" s="2" t="str">
        <f>HYPERLINK("http://www.otzar.org/book.asp?179658","הגדה של פסח &lt;פרי אהרן&gt;")</f>
        <v>הגדה של פסח &lt;פרי אהרן&gt;</v>
      </c>
    </row>
    <row r="10183" spans="1:6" x14ac:dyDescent="0.2">
      <c r="A10183" t="s">
        <v>17548</v>
      </c>
      <c r="B10183" t="s">
        <v>17549</v>
      </c>
      <c r="C10183" t="s">
        <v>1937</v>
      </c>
      <c r="D10183" t="s">
        <v>17550</v>
      </c>
      <c r="E10183" t="s">
        <v>246</v>
      </c>
      <c r="F10183" s="2" t="str">
        <f>HYPERLINK("http://www.otzar.org/book.asp?618511","הגדה של פסח &lt;ר""י ג'יקאטליה - הגר""א&gt;")</f>
        <v>הגדה של פסח &lt;ר"י ג'יקאטליה - הגר"א&gt;</v>
      </c>
    </row>
    <row r="10184" spans="1:6" x14ac:dyDescent="0.2">
      <c r="A10184" t="s">
        <v>17551</v>
      </c>
      <c r="B10184" t="s">
        <v>17552</v>
      </c>
      <c r="C10184" t="s">
        <v>411</v>
      </c>
      <c r="D10184" t="s">
        <v>486</v>
      </c>
      <c r="E10184" t="s">
        <v>246</v>
      </c>
      <c r="F10184" s="2" t="str">
        <f>HYPERLINK("http://www.otzar.org/book.asp?189706","הגדה של פסח &lt;לאילן ריח&gt;")</f>
        <v>הגדה של פסח &lt;לאילן ריח&gt;</v>
      </c>
    </row>
    <row r="10185" spans="1:6" x14ac:dyDescent="0.2">
      <c r="A10185" t="s">
        <v>17553</v>
      </c>
      <c r="B10185" t="s">
        <v>17554</v>
      </c>
      <c r="C10185" t="s">
        <v>547</v>
      </c>
      <c r="D10185" t="s">
        <v>283</v>
      </c>
      <c r="E10185" t="s">
        <v>3055</v>
      </c>
      <c r="F10185" s="2" t="str">
        <f>HYPERLINK("http://www.otzar.org/book.asp?8298","הגדה של פסח &lt;צמח מנחם&gt;")</f>
        <v>הגדה של פסח &lt;צמח מנחם&gt;</v>
      </c>
    </row>
    <row r="10186" spans="1:6" x14ac:dyDescent="0.2">
      <c r="A10186" t="s">
        <v>17555</v>
      </c>
      <c r="B10186" t="s">
        <v>17556</v>
      </c>
      <c r="C10186" t="s">
        <v>2644</v>
      </c>
      <c r="D10186" t="s">
        <v>27</v>
      </c>
      <c r="E10186" t="s">
        <v>246</v>
      </c>
      <c r="F10186" s="2" t="str">
        <f>HYPERLINK("http://www.otzar.org/book.asp?51717","הגדה של פסח &lt;נגיד ונפיק&gt;")</f>
        <v>הגדה של פסח &lt;נגיד ונפיק&gt;</v>
      </c>
    </row>
    <row r="10187" spans="1:6" x14ac:dyDescent="0.2">
      <c r="A10187" t="s">
        <v>17557</v>
      </c>
      <c r="B10187" t="s">
        <v>8148</v>
      </c>
      <c r="C10187" t="s">
        <v>114</v>
      </c>
      <c r="D10187" t="s">
        <v>245</v>
      </c>
      <c r="E10187" t="s">
        <v>246</v>
      </c>
      <c r="F10187" s="2" t="str">
        <f>HYPERLINK("http://www.otzar.org/book.asp?199997","הגדה של פסח &lt;אמונת חנה&gt;")</f>
        <v>הגדה של פסח &lt;אמונת חנה&gt;</v>
      </c>
    </row>
    <row r="10188" spans="1:6" x14ac:dyDescent="0.2">
      <c r="A10188" t="s">
        <v>17558</v>
      </c>
      <c r="B10188" t="s">
        <v>17559</v>
      </c>
      <c r="C10188" t="s">
        <v>313</v>
      </c>
      <c r="D10188" t="s">
        <v>14</v>
      </c>
      <c r="E10188" t="s">
        <v>246</v>
      </c>
      <c r="F10188" s="2" t="str">
        <f>HYPERLINK("http://www.otzar.org/book.asp?159313","הגדה של פסח &lt;נפתלי שבע רצון ודרושים יקרים&gt;")</f>
        <v>הגדה של פסח &lt;נפתלי שבע רצון ודרושים יקרים&gt;</v>
      </c>
    </row>
    <row r="10189" spans="1:6" x14ac:dyDescent="0.2">
      <c r="A10189" t="s">
        <v>17560</v>
      </c>
      <c r="B10189" t="s">
        <v>17561</v>
      </c>
      <c r="C10189" t="s">
        <v>506</v>
      </c>
      <c r="D10189" t="s">
        <v>280</v>
      </c>
      <c r="E10189" t="s">
        <v>246</v>
      </c>
      <c r="F10189" s="2" t="str">
        <f>HYPERLINK("http://www.otzar.org/book.asp?106146","הגדה של פסח &lt;תרגום גרמנית&gt;")</f>
        <v>הגדה של פסח &lt;תרגום גרמנית&gt;</v>
      </c>
    </row>
    <row r="10190" spans="1:6" x14ac:dyDescent="0.2">
      <c r="A10190" t="s">
        <v>17562</v>
      </c>
      <c r="B10190" t="s">
        <v>17563</v>
      </c>
      <c r="C10190" t="s">
        <v>37</v>
      </c>
      <c r="D10190" t="s">
        <v>16149</v>
      </c>
      <c r="F10190" s="2" t="str">
        <f>HYPERLINK("http://www.otzar.org/book.asp?194044","הגדה של פסח &lt;פרקי מועד&gt;")</f>
        <v>הגדה של פסח &lt;פרקי מועד&gt;</v>
      </c>
    </row>
    <row r="10191" spans="1:6" x14ac:dyDescent="0.2">
      <c r="A10191" t="s">
        <v>17564</v>
      </c>
      <c r="B10191" t="s">
        <v>17565</v>
      </c>
      <c r="C10191" t="s">
        <v>411</v>
      </c>
      <c r="D10191" t="s">
        <v>152</v>
      </c>
      <c r="E10191" t="s">
        <v>246</v>
      </c>
      <c r="F10191" s="2" t="str">
        <f>HYPERLINK("http://www.otzar.org/book.asp?189204","הגדה של פסח &lt;דעת ותבונה&gt;")</f>
        <v>הגדה של פסח &lt;דעת ותבונה&gt;</v>
      </c>
    </row>
    <row r="10192" spans="1:6" x14ac:dyDescent="0.2">
      <c r="A10192" t="s">
        <v>17566</v>
      </c>
      <c r="B10192" t="s">
        <v>17567</v>
      </c>
      <c r="C10192" t="s">
        <v>17</v>
      </c>
      <c r="D10192" t="s">
        <v>152</v>
      </c>
      <c r="E10192" t="s">
        <v>246</v>
      </c>
      <c r="F10192" s="2" t="str">
        <f>HYPERLINK("http://www.otzar.org/book.asp?176922","הגדה של פסח &lt;שיח שדה&gt;")</f>
        <v>הגדה של פסח &lt;שיח שדה&gt;</v>
      </c>
    </row>
    <row r="10193" spans="1:6" x14ac:dyDescent="0.2">
      <c r="A10193" t="s">
        <v>17568</v>
      </c>
      <c r="B10193" t="s">
        <v>9769</v>
      </c>
      <c r="C10193" t="s">
        <v>1166</v>
      </c>
      <c r="D10193" t="s">
        <v>225</v>
      </c>
      <c r="E10193" t="s">
        <v>3798</v>
      </c>
      <c r="F10193" s="2" t="str">
        <f>HYPERLINK("http://www.otzar.org/book.asp?51656","הגדה של פסח &lt;מטה יששכר&gt;")</f>
        <v>הגדה של פסח &lt;מטה יששכר&gt;</v>
      </c>
    </row>
    <row r="10194" spans="1:6" x14ac:dyDescent="0.2">
      <c r="A10194" t="s">
        <v>17569</v>
      </c>
      <c r="B10194" t="s">
        <v>8098</v>
      </c>
      <c r="C10194" t="s">
        <v>114</v>
      </c>
      <c r="D10194" t="s">
        <v>52</v>
      </c>
      <c r="E10194" t="s">
        <v>246</v>
      </c>
      <c r="F10194" s="2" t="str">
        <f>HYPERLINK("http://www.otzar.org/book.asp?165113","הגדה של פסח &lt;הגדת מפרשי המקרא&gt;")</f>
        <v>הגדה של פסח &lt;הגדת מפרשי המקרא&gt;</v>
      </c>
    </row>
    <row r="10195" spans="1:6" x14ac:dyDescent="0.2">
      <c r="A10195" t="s">
        <v>17570</v>
      </c>
      <c r="B10195" t="s">
        <v>6014</v>
      </c>
      <c r="C10195" t="s">
        <v>68</v>
      </c>
      <c r="D10195" t="s">
        <v>115</v>
      </c>
      <c r="E10195" t="s">
        <v>246</v>
      </c>
      <c r="F10195" s="2" t="str">
        <f>HYPERLINK("http://www.otzar.org/book.asp?159579","הגדה של פסח &lt;שיח מאיר&gt;")</f>
        <v>הגדה של פסח &lt;שיח מאיר&gt;</v>
      </c>
    </row>
    <row r="10196" spans="1:6" x14ac:dyDescent="0.2">
      <c r="A10196" t="s">
        <v>17571</v>
      </c>
      <c r="B10196" t="s">
        <v>17572</v>
      </c>
      <c r="C10196" t="s">
        <v>37</v>
      </c>
      <c r="D10196" t="s">
        <v>14</v>
      </c>
      <c r="F10196" s="2" t="str">
        <f>HYPERLINK("http://www.otzar.org/book.asp?198354","הגדה של פסח &lt;שפת חיים&gt;")</f>
        <v>הגדה של פסח &lt;שפת חיים&gt;</v>
      </c>
    </row>
    <row r="10197" spans="1:6" x14ac:dyDescent="0.2">
      <c r="A10197" t="s">
        <v>17573</v>
      </c>
      <c r="B10197" t="s">
        <v>17574</v>
      </c>
      <c r="C10197" t="s">
        <v>189</v>
      </c>
      <c r="D10197" t="s">
        <v>52</v>
      </c>
      <c r="E10197" t="s">
        <v>246</v>
      </c>
      <c r="F10197" s="2" t="str">
        <f>HYPERLINK("http://www.otzar.org/book.asp?162310","הגדה של פסח &lt;חסדי דוד - קרן לדוד&gt;")</f>
        <v>הגדה של פסח &lt;חסדי דוד - קרן לדוד&gt;</v>
      </c>
    </row>
    <row r="10198" spans="1:6" x14ac:dyDescent="0.2">
      <c r="A10198" t="s">
        <v>17575</v>
      </c>
      <c r="B10198" t="s">
        <v>17574</v>
      </c>
      <c r="C10198" t="s">
        <v>1535</v>
      </c>
      <c r="D10198" t="s">
        <v>1966</v>
      </c>
      <c r="E10198" t="s">
        <v>246</v>
      </c>
      <c r="F10198" s="2" t="str">
        <f>HYPERLINK("http://www.otzar.org/book.asp?10786","הגדה של פסח &lt;חסדי דוד&gt;")</f>
        <v>הגדה של פסח &lt;חסדי דוד&gt;</v>
      </c>
    </row>
    <row r="10199" spans="1:6" x14ac:dyDescent="0.2">
      <c r="A10199" t="s">
        <v>17576</v>
      </c>
      <c r="B10199" t="s">
        <v>8179</v>
      </c>
      <c r="C10199" t="s">
        <v>23</v>
      </c>
      <c r="D10199" t="s">
        <v>412</v>
      </c>
      <c r="E10199" t="s">
        <v>246</v>
      </c>
      <c r="F10199" s="2" t="str">
        <f>HYPERLINK("http://www.otzar.org/book.asp?190044","הגדה של פסח &lt;ויחי יוסף&gt;")</f>
        <v>הגדה של פסח &lt;ויחי יוסף&gt;</v>
      </c>
    </row>
    <row r="10200" spans="1:6" x14ac:dyDescent="0.2">
      <c r="A10200" t="s">
        <v>17577</v>
      </c>
      <c r="B10200" t="s">
        <v>17578</v>
      </c>
      <c r="C10200" t="s">
        <v>151</v>
      </c>
      <c r="D10200" t="s">
        <v>412</v>
      </c>
      <c r="F10200" s="2" t="str">
        <f>HYPERLINK("http://www.otzar.org/book.asp?616481","הגדה של פסח &lt;אגודת אזוב&gt; - 2 כר'")</f>
        <v>הגדה של פסח &lt;אגודת אזוב&gt; - 2 כר'</v>
      </c>
    </row>
    <row r="10201" spans="1:6" x14ac:dyDescent="0.2">
      <c r="A10201" t="s">
        <v>17579</v>
      </c>
      <c r="B10201" t="s">
        <v>17409</v>
      </c>
      <c r="C10201" t="s">
        <v>649</v>
      </c>
      <c r="D10201" t="s">
        <v>4772</v>
      </c>
      <c r="E10201" t="s">
        <v>246</v>
      </c>
      <c r="F10201" s="2" t="str">
        <f>HYPERLINK("http://www.otzar.org/book.asp?104767","הגדה של פסח &lt;הלל נרצה&gt;")</f>
        <v>הגדה של פסח &lt;הלל נרצה&gt;</v>
      </c>
    </row>
    <row r="10202" spans="1:6" x14ac:dyDescent="0.2">
      <c r="A10202" t="s">
        <v>17580</v>
      </c>
      <c r="B10202" t="s">
        <v>4980</v>
      </c>
      <c r="C10202" t="s">
        <v>1570</v>
      </c>
      <c r="D10202" t="s">
        <v>14</v>
      </c>
      <c r="E10202" t="s">
        <v>246</v>
      </c>
      <c r="F10202" s="2" t="str">
        <f>HYPERLINK("http://www.otzar.org/book.asp?613262","הגדה של פסח &lt;לאבות ולבנים&gt; - 3 כר'")</f>
        <v>הגדה של פסח &lt;לאבות ולבנים&gt; - 3 כר'</v>
      </c>
    </row>
    <row r="10203" spans="1:6" x14ac:dyDescent="0.2">
      <c r="A10203" t="s">
        <v>17581</v>
      </c>
      <c r="B10203" t="s">
        <v>17582</v>
      </c>
      <c r="C10203" t="s">
        <v>600</v>
      </c>
      <c r="D10203" t="s">
        <v>283</v>
      </c>
      <c r="E10203" t="s">
        <v>246</v>
      </c>
      <c r="F10203" s="2" t="str">
        <f>HYPERLINK("http://www.otzar.org/book.asp?104751","הגדה של פסח &lt;באר יצחק&gt;")</f>
        <v>הגדה של פסח &lt;באר יצחק&gt;</v>
      </c>
    </row>
    <row r="10204" spans="1:6" x14ac:dyDescent="0.2">
      <c r="A10204" t="s">
        <v>17583</v>
      </c>
      <c r="B10204" t="s">
        <v>17584</v>
      </c>
      <c r="C10204" t="s">
        <v>767</v>
      </c>
      <c r="D10204" t="s">
        <v>52</v>
      </c>
      <c r="E10204" t="s">
        <v>246</v>
      </c>
      <c r="F10204" s="2" t="str">
        <f>HYPERLINK("http://www.otzar.org/book.asp?600541","הגדה של פסח &lt;ישמח ישראל&gt; - 2 כר'")</f>
        <v>הגדה של פסח &lt;ישמח ישראל&gt; - 2 כר'</v>
      </c>
    </row>
    <row r="10205" spans="1:6" x14ac:dyDescent="0.2">
      <c r="A10205" t="s">
        <v>17585</v>
      </c>
      <c r="B10205" t="s">
        <v>17586</v>
      </c>
      <c r="C10205" t="s">
        <v>576</v>
      </c>
      <c r="D10205" t="s">
        <v>17587</v>
      </c>
      <c r="E10205" t="s">
        <v>246</v>
      </c>
      <c r="F10205" s="2" t="str">
        <f>HYPERLINK("http://www.otzar.org/book.asp?600533","הגדה של פסח &lt;תפארת שמואל&gt;")</f>
        <v>הגדה של פסח &lt;תפארת שמואל&gt;</v>
      </c>
    </row>
    <row r="10206" spans="1:6" x14ac:dyDescent="0.2">
      <c r="A10206" t="s">
        <v>17588</v>
      </c>
      <c r="B10206" t="s">
        <v>17589</v>
      </c>
      <c r="C10206" t="s">
        <v>114</v>
      </c>
      <c r="D10206" t="s">
        <v>14</v>
      </c>
      <c r="E10206" t="s">
        <v>246</v>
      </c>
      <c r="F10206" s="2" t="str">
        <f>HYPERLINK("http://www.otzar.org/book.asp?161803","הגדה של פסח &lt;יד כהן&gt;")</f>
        <v>הגדה של פסח &lt;יד כהן&gt;</v>
      </c>
    </row>
    <row r="10207" spans="1:6" x14ac:dyDescent="0.2">
      <c r="A10207" t="s">
        <v>17590</v>
      </c>
      <c r="B10207" t="s">
        <v>17018</v>
      </c>
      <c r="C10207" t="s">
        <v>767</v>
      </c>
      <c r="D10207" t="s">
        <v>27</v>
      </c>
      <c r="E10207" t="s">
        <v>246</v>
      </c>
      <c r="F10207" s="2" t="str">
        <f>HYPERLINK("http://www.otzar.org/book.asp?151779","הגדה של פסח &lt;הגדת מהרי""ץ&gt;")</f>
        <v>הגדה של פסח &lt;הגדת מהרי"ץ&gt;</v>
      </c>
    </row>
    <row r="10208" spans="1:6" x14ac:dyDescent="0.2">
      <c r="A10208" t="s">
        <v>17591</v>
      </c>
      <c r="B10208" t="s">
        <v>1964</v>
      </c>
      <c r="C10208" t="s">
        <v>812</v>
      </c>
      <c r="D10208" t="s">
        <v>1966</v>
      </c>
      <c r="E10208" t="s">
        <v>3055</v>
      </c>
      <c r="F10208" s="2" t="str">
        <f>HYPERLINK("http://www.otzar.org/book.asp?10584","הגדה של פסח &lt;קול יהודה&gt;")</f>
        <v>הגדה של פסח &lt;קול יהודה&gt;</v>
      </c>
    </row>
    <row r="10209" spans="1:6" x14ac:dyDescent="0.2">
      <c r="A10209" t="s">
        <v>17592</v>
      </c>
      <c r="B10209" t="s">
        <v>17593</v>
      </c>
      <c r="C10209" t="s">
        <v>23</v>
      </c>
      <c r="D10209" t="s">
        <v>1974</v>
      </c>
      <c r="E10209" t="s">
        <v>246</v>
      </c>
      <c r="F10209" s="2" t="str">
        <f>HYPERLINK("http://www.otzar.org/book.asp?625835","הגדה של פסח &lt;וידבר משה&gt;")</f>
        <v>הגדה של פסח &lt;וידבר משה&gt;</v>
      </c>
    </row>
    <row r="10210" spans="1:6" x14ac:dyDescent="0.2">
      <c r="A10210" t="s">
        <v>17594</v>
      </c>
      <c r="B10210" t="s">
        <v>17595</v>
      </c>
      <c r="C10210" t="s">
        <v>111</v>
      </c>
      <c r="D10210" t="s">
        <v>14</v>
      </c>
      <c r="E10210" t="s">
        <v>246</v>
      </c>
      <c r="F10210" s="2" t="str">
        <f>HYPERLINK("http://www.otzar.org/book.asp?627554","הגדה של פסח &lt;ביד הראשונים&gt;")</f>
        <v>הגדה של פסח &lt;ביד הראשונים&gt;</v>
      </c>
    </row>
    <row r="10211" spans="1:6" x14ac:dyDescent="0.2">
      <c r="A10211" t="s">
        <v>17596</v>
      </c>
      <c r="B10211" t="s">
        <v>17597</v>
      </c>
      <c r="C10211" t="s">
        <v>635</v>
      </c>
      <c r="D10211" t="s">
        <v>56</v>
      </c>
      <c r="E10211" t="s">
        <v>246</v>
      </c>
      <c r="F10211" s="2" t="str">
        <f>HYPERLINK("http://www.otzar.org/book.asp?6315","הגדה של פסח &lt;תולדות אדם, אחרית לשלום, מנחת כהנים&gt;")</f>
        <v>הגדה של פסח &lt;תולדות אדם, אחרית לשלום, מנחת כהנים&gt;</v>
      </c>
    </row>
    <row r="10212" spans="1:6" x14ac:dyDescent="0.2">
      <c r="A10212" t="s">
        <v>17598</v>
      </c>
      <c r="B10212" t="s">
        <v>17599</v>
      </c>
      <c r="C10212" t="s">
        <v>23</v>
      </c>
      <c r="D10212" t="s">
        <v>52</v>
      </c>
      <c r="F10212" s="2" t="str">
        <f>HYPERLINK("http://www.otzar.org/book.asp?610844","הגדה של פסח &lt;מנחת ישראל&gt;")</f>
        <v>הגדה של פסח &lt;מנחת ישראל&gt;</v>
      </c>
    </row>
    <row r="10213" spans="1:6" x14ac:dyDescent="0.2">
      <c r="A10213" t="s">
        <v>17600</v>
      </c>
      <c r="B10213" t="s">
        <v>876</v>
      </c>
      <c r="C10213" t="s">
        <v>411</v>
      </c>
      <c r="D10213" t="s">
        <v>2798</v>
      </c>
      <c r="F10213" s="2" t="str">
        <f>HYPERLINK("http://www.otzar.org/book.asp?85872","הגדה של פסח &lt;אמרי יהודה&gt;")</f>
        <v>הגדה של פסח &lt;אמרי יהודה&gt;</v>
      </c>
    </row>
    <row r="10214" spans="1:6" x14ac:dyDescent="0.2">
      <c r="A10214" t="s">
        <v>17601</v>
      </c>
      <c r="B10214" t="s">
        <v>17602</v>
      </c>
      <c r="C10214" t="s">
        <v>1374</v>
      </c>
      <c r="D10214" t="s">
        <v>691</v>
      </c>
      <c r="E10214" t="s">
        <v>3055</v>
      </c>
      <c r="F10214" s="2" t="str">
        <f>HYPERLINK("http://www.otzar.org/book.asp?9938","הגדה של פסח &lt;דברי חיים&gt;")</f>
        <v>הגדה של פסח &lt;דברי חיים&gt;</v>
      </c>
    </row>
    <row r="10215" spans="1:6" x14ac:dyDescent="0.2">
      <c r="A10215" t="s">
        <v>17603</v>
      </c>
      <c r="B10215" t="s">
        <v>17604</v>
      </c>
      <c r="C10215" t="s">
        <v>37</v>
      </c>
      <c r="D10215" t="s">
        <v>152</v>
      </c>
      <c r="F10215" s="2" t="str">
        <f>HYPERLINK("http://www.otzar.org/book.asp?181904","הגדה של פסח &lt;והגדת&gt;")</f>
        <v>הגדה של פסח &lt;והגדת&gt;</v>
      </c>
    </row>
    <row r="10216" spans="1:6" x14ac:dyDescent="0.2">
      <c r="A10216" t="s">
        <v>17605</v>
      </c>
      <c r="B10216" t="s">
        <v>3314</v>
      </c>
      <c r="C10216" t="s">
        <v>438</v>
      </c>
      <c r="D10216" t="s">
        <v>52</v>
      </c>
      <c r="E10216" t="s">
        <v>246</v>
      </c>
      <c r="F10216" s="2" t="str">
        <f>HYPERLINK("http://www.otzar.org/book.asp?23873","הגדה של פסח &lt;אברבנאל, שבלי הלקט, גר""א, יעב""ץ&gt;")</f>
        <v>הגדה של פסח &lt;אברבנאל, שבלי הלקט, גר"א, יעב"ץ&gt;</v>
      </c>
    </row>
    <row r="10217" spans="1:6" x14ac:dyDescent="0.2">
      <c r="A10217" t="s">
        <v>17606</v>
      </c>
      <c r="B10217" t="s">
        <v>3314</v>
      </c>
      <c r="C10217" t="s">
        <v>244</v>
      </c>
      <c r="D10217" t="s">
        <v>14</v>
      </c>
      <c r="F10217" s="2" t="str">
        <f>HYPERLINK("http://www.otzar.org/book.asp?197973","הגדה של פסח &lt;מיר&gt;")</f>
        <v>הגדה של פסח &lt;מיר&gt;</v>
      </c>
    </row>
    <row r="10218" spans="1:6" x14ac:dyDescent="0.2">
      <c r="A10218" t="s">
        <v>17607</v>
      </c>
      <c r="B10218" t="s">
        <v>3314</v>
      </c>
      <c r="C10218" t="s">
        <v>3690</v>
      </c>
      <c r="D10218" t="s">
        <v>1660</v>
      </c>
      <c r="E10218" t="s">
        <v>246</v>
      </c>
      <c r="F10218" s="2" t="str">
        <f>HYPERLINK("http://www.otzar.org/book.asp?85188","הגדה של פסח &lt;נוסח תונס הישן&gt;")</f>
        <v>הגדה של פסח &lt;נוסח תונס הישן&gt;</v>
      </c>
    </row>
    <row r="10219" spans="1:6" x14ac:dyDescent="0.2">
      <c r="A10219" t="s">
        <v>17608</v>
      </c>
      <c r="B10219" t="s">
        <v>3314</v>
      </c>
      <c r="C10219" t="s">
        <v>1706</v>
      </c>
      <c r="D10219" t="s">
        <v>17609</v>
      </c>
      <c r="E10219" t="s">
        <v>246</v>
      </c>
      <c r="F10219" s="2" t="str">
        <f>HYPERLINK("http://www.otzar.org/book.asp?619872","הגדה של פסח &lt;עם פירושים נפלאים מגאוני וחסידי עולם&gt;")</f>
        <v>הגדה של פסח &lt;עם פירושים נפלאים מגאוני וחסידי עולם&gt;</v>
      </c>
    </row>
    <row r="10220" spans="1:6" x14ac:dyDescent="0.2">
      <c r="A10220" t="s">
        <v>17610</v>
      </c>
      <c r="B10220" t="s">
        <v>3314</v>
      </c>
      <c r="C10220" t="s">
        <v>17611</v>
      </c>
      <c r="D10220" t="s">
        <v>17612</v>
      </c>
      <c r="E10220" t="s">
        <v>246</v>
      </c>
      <c r="F10220" s="2" t="str">
        <f>HYPERLINK("http://www.otzar.org/book.asp?623701","הגדה של פסח &lt;פקסמיליות של הגדות ישנות&gt; - הגדה מתוך מחזור רומא")</f>
        <v>הגדה של פסח &lt;פקסמיליות של הגדות ישנות&gt; - הגדה מתוך מחזור רומא</v>
      </c>
    </row>
    <row r="10221" spans="1:6" x14ac:dyDescent="0.2">
      <c r="A10221" t="s">
        <v>17613</v>
      </c>
      <c r="B10221" t="s">
        <v>3314</v>
      </c>
      <c r="C10221" t="s">
        <v>17614</v>
      </c>
      <c r="D10221" t="s">
        <v>7059</v>
      </c>
      <c r="E10221" t="s">
        <v>246</v>
      </c>
      <c r="F10221" s="2" t="str">
        <f>HYPERLINK("http://www.otzar.org/book.asp?148131","הגדה של פסח &lt;פראג רפ""ז&gt;")</f>
        <v>הגדה של פסח &lt;פראג רפ"ז&gt;</v>
      </c>
    </row>
    <row r="10222" spans="1:6" x14ac:dyDescent="0.2">
      <c r="A10222" t="s">
        <v>17615</v>
      </c>
      <c r="B10222" t="s">
        <v>3314</v>
      </c>
      <c r="C10222" t="s">
        <v>1640</v>
      </c>
      <c r="D10222" t="s">
        <v>412</v>
      </c>
      <c r="E10222" t="s">
        <v>246</v>
      </c>
      <c r="F10222" s="2" t="str">
        <f>HYPERLINK("http://www.otzar.org/book.asp?104778","הגדה של פסח &lt;צילום כתב יד משנת ר""ל&gt;")</f>
        <v>הגדה של פסח &lt;צילום כתב יד משנת ר"ל&gt;</v>
      </c>
    </row>
    <row r="10223" spans="1:6" x14ac:dyDescent="0.2">
      <c r="A10223" t="s">
        <v>17616</v>
      </c>
      <c r="B10223" t="s">
        <v>3314</v>
      </c>
      <c r="F10223" s="2" t="str">
        <f>HYPERLINK("http://www.otzar.org/book.asp?613773","הגדה של פסח &lt;רל""ח פירושים&gt;")</f>
        <v>הגדה של פסח &lt;רל"ח פירושים&gt;</v>
      </c>
    </row>
    <row r="10224" spans="1:6" x14ac:dyDescent="0.2">
      <c r="A10224" t="s">
        <v>17617</v>
      </c>
      <c r="B10224" t="s">
        <v>17618</v>
      </c>
      <c r="C10224" t="s">
        <v>1844</v>
      </c>
      <c r="D10224" t="s">
        <v>212</v>
      </c>
      <c r="E10224" t="s">
        <v>246</v>
      </c>
      <c r="F10224" s="2" t="str">
        <f>HYPERLINK("http://www.otzar.org/book.asp?104779","הגדה של פסח &lt;עם פתרון בלשון ספרדי&gt;")</f>
        <v>הגדה של פסח &lt;עם פתרון בלשון ספרדי&gt;</v>
      </c>
    </row>
    <row r="10225" spans="1:6" x14ac:dyDescent="0.2">
      <c r="A10225" t="s">
        <v>17619</v>
      </c>
      <c r="B10225" t="s">
        <v>17620</v>
      </c>
      <c r="C10225" t="s">
        <v>17621</v>
      </c>
      <c r="D10225" t="s">
        <v>1023</v>
      </c>
      <c r="E10225" t="s">
        <v>246</v>
      </c>
      <c r="F10225" s="2" t="str">
        <f>HYPERLINK("http://www.otzar.org/book.asp?64063","הגדה של פסח &lt;אמשטרדם&gt;")</f>
        <v>הגדה של פסח &lt;אמשטרדם&gt;</v>
      </c>
    </row>
    <row r="10226" spans="1:6" x14ac:dyDescent="0.2">
      <c r="A10226" t="s">
        <v>17622</v>
      </c>
      <c r="B10226" t="s">
        <v>17623</v>
      </c>
      <c r="C10226" t="s">
        <v>1596</v>
      </c>
      <c r="D10226" t="s">
        <v>1023</v>
      </c>
      <c r="E10226" t="s">
        <v>246</v>
      </c>
      <c r="F10226" s="2" t="str">
        <f>HYPERLINK("http://www.otzar.org/book.asp?143379","הגדה של פסח &lt;עם פירוש אברבנאל&gt;")</f>
        <v>הגדה של פסח &lt;עם פירוש אברבנאל&gt;</v>
      </c>
    </row>
    <row r="10227" spans="1:6" x14ac:dyDescent="0.2">
      <c r="A10227" t="s">
        <v>17622</v>
      </c>
      <c r="B10227" t="s">
        <v>17624</v>
      </c>
      <c r="C10227" t="s">
        <v>5619</v>
      </c>
      <c r="D10227" t="s">
        <v>1023</v>
      </c>
      <c r="F10227" s="2" t="str">
        <f>HYPERLINK("http://www.otzar.org/book.asp?620388","הגדה של פסח &lt;עם פירוש אברבנאל&gt;")</f>
        <v>הגדה של פסח &lt;עם פירוש אברבנאל&gt;</v>
      </c>
    </row>
    <row r="10228" spans="1:6" x14ac:dyDescent="0.2">
      <c r="A10228" t="s">
        <v>17625</v>
      </c>
      <c r="B10228" t="s">
        <v>17626</v>
      </c>
      <c r="C10228" t="s">
        <v>1991</v>
      </c>
      <c r="D10228" t="s">
        <v>4088</v>
      </c>
      <c r="E10228" t="s">
        <v>246</v>
      </c>
      <c r="F10228" s="2" t="str">
        <f>HYPERLINK("http://www.otzar.org/book.asp?104764","הגדה של פסח &lt;המרבה לספר&gt;")</f>
        <v>הגדה של פסח &lt;המרבה לספר&gt;</v>
      </c>
    </row>
    <row r="10229" spans="1:6" x14ac:dyDescent="0.2">
      <c r="A10229" t="s">
        <v>17627</v>
      </c>
      <c r="B10229" t="s">
        <v>17628</v>
      </c>
      <c r="C10229" t="s">
        <v>321</v>
      </c>
      <c r="D10229" t="s">
        <v>17629</v>
      </c>
      <c r="E10229" t="s">
        <v>246</v>
      </c>
      <c r="F10229" s="2" t="str">
        <f>HYPERLINK("http://www.otzar.org/book.asp?53343","הגדה של פסח &lt;עם פירוש בלשון קוצי'ן&gt;")</f>
        <v>הגדה של פסח &lt;עם פירוש בלשון קוצי'ן&gt;</v>
      </c>
    </row>
    <row r="10230" spans="1:6" x14ac:dyDescent="0.2">
      <c r="A10230" t="s">
        <v>17630</v>
      </c>
      <c r="B10230" t="s">
        <v>17631</v>
      </c>
      <c r="C10230" t="s">
        <v>600</v>
      </c>
      <c r="D10230" t="s">
        <v>56</v>
      </c>
      <c r="E10230" t="s">
        <v>246</v>
      </c>
      <c r="F10230" s="2" t="str">
        <f>HYPERLINK("http://www.otzar.org/book.asp?52062","הגדה של פסח &lt;תהלה לדוד&gt;")</f>
        <v>הגדה של פסח &lt;תהלה לדוד&gt;</v>
      </c>
    </row>
    <row r="10231" spans="1:6" x14ac:dyDescent="0.2">
      <c r="A10231" t="s">
        <v>17632</v>
      </c>
      <c r="B10231" t="s">
        <v>17633</v>
      </c>
      <c r="C10231" t="s">
        <v>156</v>
      </c>
      <c r="D10231" t="s">
        <v>56</v>
      </c>
      <c r="E10231" t="s">
        <v>246</v>
      </c>
      <c r="F10231" s="2" t="str">
        <f>HYPERLINK("http://www.otzar.org/book.asp?23852","הגדה של פסח &lt;עשרה באורים&gt;")</f>
        <v>הגדה של פסח &lt;עשרה באורים&gt;</v>
      </c>
    </row>
    <row r="10232" spans="1:6" x14ac:dyDescent="0.2">
      <c r="A10232" t="s">
        <v>17634</v>
      </c>
      <c r="B10232" t="s">
        <v>17635</v>
      </c>
      <c r="C10232" t="s">
        <v>1844</v>
      </c>
      <c r="D10232" t="s">
        <v>283</v>
      </c>
      <c r="E10232" t="s">
        <v>246</v>
      </c>
      <c r="F10232" s="2" t="str">
        <f>HYPERLINK("http://www.otzar.org/book.asp?141187","הגדה של פסח &lt;ענפי תאנה&gt;")</f>
        <v>הגדה של פסח &lt;ענפי תאנה&gt;</v>
      </c>
    </row>
    <row r="10233" spans="1:6" x14ac:dyDescent="0.2">
      <c r="A10233" t="s">
        <v>17636</v>
      </c>
      <c r="B10233" t="s">
        <v>17637</v>
      </c>
      <c r="C10233" t="s">
        <v>1177</v>
      </c>
      <c r="D10233" t="s">
        <v>283</v>
      </c>
      <c r="E10233" t="s">
        <v>246</v>
      </c>
      <c r="F10233" s="2" t="str">
        <f>HYPERLINK("http://www.otzar.org/book.asp?51722","הגדה של פסח &lt;נאוה תהלה&gt;")</f>
        <v>הגדה של פסח &lt;נאוה תהלה&gt;</v>
      </c>
    </row>
    <row r="10234" spans="1:6" x14ac:dyDescent="0.2">
      <c r="A10234" t="s">
        <v>17638</v>
      </c>
      <c r="B10234" t="s">
        <v>17639</v>
      </c>
      <c r="C10234" t="s">
        <v>503</v>
      </c>
      <c r="D10234" t="s">
        <v>283</v>
      </c>
      <c r="E10234" t="s">
        <v>246</v>
      </c>
      <c r="F10234" s="2" t="str">
        <f>HYPERLINK("http://www.otzar.org/book.asp?143909","הגדה של פסח &lt;שער השמים&gt;")</f>
        <v>הגדה של פסח &lt;שער השמים&gt;</v>
      </c>
    </row>
    <row r="10235" spans="1:6" x14ac:dyDescent="0.2">
      <c r="A10235" t="s">
        <v>17640</v>
      </c>
      <c r="B10235" t="s">
        <v>17641</v>
      </c>
      <c r="C10235" t="s">
        <v>1437</v>
      </c>
      <c r="D10235" t="s">
        <v>283</v>
      </c>
      <c r="E10235" t="s">
        <v>130</v>
      </c>
      <c r="F10235" s="2" t="str">
        <f>HYPERLINK("http://www.otzar.org/book.asp?51774","הגדה של פסח &lt;פני משה&gt;")</f>
        <v>הגדה של פסח &lt;פני משה&gt;</v>
      </c>
    </row>
    <row r="10236" spans="1:6" x14ac:dyDescent="0.2">
      <c r="A10236" t="s">
        <v>17642</v>
      </c>
      <c r="B10236" t="s">
        <v>17643</v>
      </c>
      <c r="C10236" t="s">
        <v>462</v>
      </c>
      <c r="D10236" t="s">
        <v>267</v>
      </c>
      <c r="E10236" t="s">
        <v>246</v>
      </c>
      <c r="F10236" s="2" t="str">
        <f>HYPERLINK("http://www.otzar.org/book.asp?149567","הגדה של פסח &lt;שלחן הטהור&gt;")</f>
        <v>הגדה של פסח &lt;שלחן הטהור&gt;</v>
      </c>
    </row>
    <row r="10237" spans="1:6" x14ac:dyDescent="0.2">
      <c r="A10237" t="s">
        <v>17644</v>
      </c>
      <c r="B10237" t="s">
        <v>17645</v>
      </c>
      <c r="C10237" t="s">
        <v>1202</v>
      </c>
      <c r="D10237" t="s">
        <v>283</v>
      </c>
      <c r="E10237" t="s">
        <v>246</v>
      </c>
      <c r="F10237" s="2" t="str">
        <f>HYPERLINK("http://www.otzar.org/book.asp?51651","הגדה של פסח &lt;מטע לשם אבי&gt;")</f>
        <v>הגדה של פסח &lt;מטע לשם אבי&gt;</v>
      </c>
    </row>
    <row r="10238" spans="1:6" x14ac:dyDescent="0.2">
      <c r="A10238" t="s">
        <v>17646</v>
      </c>
      <c r="B10238" t="s">
        <v>17647</v>
      </c>
      <c r="C10238" t="s">
        <v>506</v>
      </c>
      <c r="D10238" t="s">
        <v>225</v>
      </c>
      <c r="E10238" t="s">
        <v>3055</v>
      </c>
      <c r="F10238" s="2" t="str">
        <f>HYPERLINK("http://www.otzar.org/book.asp?104791","הגדה של פסח &lt;שם משמואל&gt;")</f>
        <v>הגדה של פסח &lt;שם משמואל&gt;</v>
      </c>
    </row>
    <row r="10239" spans="1:6" x14ac:dyDescent="0.2">
      <c r="A10239" t="s">
        <v>17648</v>
      </c>
      <c r="B10239" t="s">
        <v>17649</v>
      </c>
      <c r="C10239" t="s">
        <v>1374</v>
      </c>
      <c r="D10239" t="s">
        <v>283</v>
      </c>
      <c r="E10239" t="s">
        <v>230</v>
      </c>
      <c r="F10239" s="2" t="str">
        <f>HYPERLINK("http://www.otzar.org/book.asp?15736","הגדה של פסח &lt;תפארת איש&gt;")</f>
        <v>הגדה של פסח &lt;תפארת איש&gt;</v>
      </c>
    </row>
    <row r="10240" spans="1:6" x14ac:dyDescent="0.2">
      <c r="A10240" t="s">
        <v>17650</v>
      </c>
      <c r="B10240" t="s">
        <v>17651</v>
      </c>
      <c r="C10240" t="s">
        <v>160</v>
      </c>
      <c r="D10240" t="s">
        <v>14</v>
      </c>
      <c r="E10240" t="s">
        <v>246</v>
      </c>
      <c r="F10240" s="2" t="str">
        <f>HYPERLINK("http://www.otzar.org/book.asp?23325","הגדה של פסח &lt;תהלת ישרים&gt; (תרגום ערבי)")</f>
        <v>הגדה של פסח &lt;תהלת ישרים&gt; (תרגום ערבי)</v>
      </c>
    </row>
    <row r="10241" spans="1:6" x14ac:dyDescent="0.2">
      <c r="A10241" t="s">
        <v>17652</v>
      </c>
      <c r="B10241" t="s">
        <v>17653</v>
      </c>
      <c r="C10241" t="s">
        <v>1954</v>
      </c>
      <c r="D10241" t="s">
        <v>27</v>
      </c>
      <c r="E10241" t="s">
        <v>246</v>
      </c>
      <c r="F10241" s="2" t="str">
        <f>HYPERLINK("http://www.otzar.org/book.asp?7004","הגדה של פסח &lt;שירת הגאולה&gt;")</f>
        <v>הגדה של פסח &lt;שירת הגאולה&gt;</v>
      </c>
    </row>
    <row r="10242" spans="1:6" x14ac:dyDescent="0.2">
      <c r="A10242" t="s">
        <v>17654</v>
      </c>
      <c r="B10242" t="s">
        <v>17655</v>
      </c>
      <c r="C10242" t="s">
        <v>482</v>
      </c>
      <c r="D10242" t="s">
        <v>27</v>
      </c>
      <c r="E10242" t="s">
        <v>246</v>
      </c>
      <c r="F10242" s="2" t="str">
        <f>HYPERLINK("http://www.otzar.org/book.asp?5149","הגדה של פסח &lt;חמשה עשר פירושים יקרים&gt;")</f>
        <v>הגדה של פסח &lt;חמשה עשר פירושים יקרים&gt;</v>
      </c>
    </row>
    <row r="10243" spans="1:6" x14ac:dyDescent="0.2">
      <c r="A10243" t="s">
        <v>17656</v>
      </c>
      <c r="B10243" t="s">
        <v>17657</v>
      </c>
      <c r="C10243" t="s">
        <v>843</v>
      </c>
      <c r="D10243" t="s">
        <v>17658</v>
      </c>
      <c r="E10243" t="s">
        <v>246</v>
      </c>
      <c r="F10243" s="2" t="str">
        <f>HYPERLINK("http://www.otzar.org/book.asp?5166","הגדה של פסח &lt;מאתים שלשים ושמונה פירושים&gt;")</f>
        <v>הגדה של פסח &lt;מאתים שלשים ושמונה פירושים&gt;</v>
      </c>
    </row>
    <row r="10244" spans="1:6" x14ac:dyDescent="0.2">
      <c r="A10244" t="s">
        <v>17659</v>
      </c>
      <c r="B10244" t="s">
        <v>17660</v>
      </c>
      <c r="C10244" t="s">
        <v>1169</v>
      </c>
      <c r="D10244" t="s">
        <v>27</v>
      </c>
      <c r="E10244" t="s">
        <v>3055</v>
      </c>
      <c r="F10244" s="2" t="str">
        <f>HYPERLINK("http://www.otzar.org/book.asp?107045","הגדה של פסח &lt;עם ליקוטים נחמדים מתלמידי הבעש""ט&gt;")</f>
        <v>הגדה של פסח &lt;עם ליקוטים נחמדים מתלמידי הבעש"ט&gt;</v>
      </c>
    </row>
    <row r="10245" spans="1:6" x14ac:dyDescent="0.2">
      <c r="A10245" t="s">
        <v>17661</v>
      </c>
      <c r="B10245" t="s">
        <v>17662</v>
      </c>
      <c r="C10245" t="s">
        <v>1169</v>
      </c>
      <c r="D10245" t="s">
        <v>21</v>
      </c>
      <c r="E10245" t="s">
        <v>246</v>
      </c>
      <c r="F10245" s="2" t="str">
        <f>HYPERLINK("http://www.otzar.org/book.asp?605897","הגדה של פסח &lt;לקוטים נחמדים מתלמידי הבעש""ט&gt;")</f>
        <v>הגדה של פסח &lt;לקוטים נחמדים מתלמידי הבעש"ט&gt;</v>
      </c>
    </row>
    <row r="10246" spans="1:6" x14ac:dyDescent="0.2">
      <c r="A10246" t="s">
        <v>17663</v>
      </c>
      <c r="B10246" t="s">
        <v>2861</v>
      </c>
      <c r="C10246" t="s">
        <v>129</v>
      </c>
      <c r="D10246" t="s">
        <v>52</v>
      </c>
      <c r="E10246" t="s">
        <v>246</v>
      </c>
      <c r="F10246" s="2" t="str">
        <f>HYPERLINK("http://www.otzar.org/book.asp?84370","הגדה של פסח &lt;אדמו""ר רמ""י מוויזניץ&gt;")</f>
        <v>הגדה של פסח &lt;אדמו"ר רמ"י מוויזניץ&gt;</v>
      </c>
    </row>
    <row r="10247" spans="1:6" x14ac:dyDescent="0.2">
      <c r="A10247" t="s">
        <v>17664</v>
      </c>
      <c r="B10247" t="s">
        <v>17665</v>
      </c>
      <c r="C10247" t="s">
        <v>20</v>
      </c>
      <c r="D10247" t="s">
        <v>216</v>
      </c>
      <c r="E10247" t="s">
        <v>246</v>
      </c>
      <c r="F10247" s="2" t="str">
        <f>HYPERLINK("http://www.otzar.org/book.asp?26020","הגדה של פסח &lt;גבורות ישראל, מטה משה, תפארת שלמה&gt;")</f>
        <v>הגדה של פסח &lt;גבורות ישראל, מטה משה, תפארת שלמה&gt;</v>
      </c>
    </row>
    <row r="10248" spans="1:6" x14ac:dyDescent="0.2">
      <c r="A10248" t="s">
        <v>17666</v>
      </c>
      <c r="B10248" t="s">
        <v>17665</v>
      </c>
      <c r="C10248" t="s">
        <v>5823</v>
      </c>
      <c r="D10248" t="s">
        <v>267</v>
      </c>
      <c r="E10248" t="s">
        <v>3055</v>
      </c>
      <c r="F10248" s="2" t="str">
        <f>HYPERLINK("http://www.otzar.org/book.asp?104793","הגדה של פסח &lt;גבורות ישראל, מטה משה&gt; - 2 כר'")</f>
        <v>הגדה של פסח &lt;גבורות ישראל, מטה משה&gt; - 2 כר'</v>
      </c>
    </row>
    <row r="10249" spans="1:6" x14ac:dyDescent="0.2">
      <c r="A10249" t="s">
        <v>17667</v>
      </c>
      <c r="B10249" t="s">
        <v>17668</v>
      </c>
      <c r="C10249" t="s">
        <v>51</v>
      </c>
      <c r="D10249" t="s">
        <v>412</v>
      </c>
      <c r="E10249" t="s">
        <v>246</v>
      </c>
      <c r="F10249" s="2" t="str">
        <f>HYPERLINK("http://www.otzar.org/book.asp?170854","הגדה של פסח &lt;מטה משה&gt; - אורות יהושע - ניסן")</f>
        <v>הגדה של פסח &lt;מטה משה&gt; - אורות יהושע - ניסן</v>
      </c>
    </row>
    <row r="10250" spans="1:6" x14ac:dyDescent="0.2">
      <c r="A10250" t="s">
        <v>17669</v>
      </c>
      <c r="B10250" t="s">
        <v>17670</v>
      </c>
      <c r="C10250" t="s">
        <v>17671</v>
      </c>
      <c r="D10250" t="s">
        <v>2313</v>
      </c>
      <c r="E10250" t="s">
        <v>246</v>
      </c>
      <c r="F10250" s="2" t="str">
        <f>HYPERLINK("http://www.otzar.org/book.asp?169206","הגדה של פסח &lt;מעדני מלך&gt;")</f>
        <v>הגדה של פסח &lt;מעדני מלך&gt;</v>
      </c>
    </row>
    <row r="10251" spans="1:6" x14ac:dyDescent="0.2">
      <c r="A10251" t="s">
        <v>17672</v>
      </c>
      <c r="B10251" t="s">
        <v>17673</v>
      </c>
      <c r="C10251" t="s">
        <v>609</v>
      </c>
      <c r="D10251" t="s">
        <v>691</v>
      </c>
      <c r="E10251" t="s">
        <v>17674</v>
      </c>
      <c r="F10251" s="2" t="str">
        <f>HYPERLINK("http://www.otzar.org/book.asp?104754","הגדה של פסח &lt;מטעמי יצחק, הגדת יעקב&gt;")</f>
        <v>הגדה של פסח &lt;מטעמי יצחק, הגדת יעקב&gt;</v>
      </c>
    </row>
    <row r="10252" spans="1:6" x14ac:dyDescent="0.2">
      <c r="A10252" t="s">
        <v>17675</v>
      </c>
      <c r="B10252" t="s">
        <v>17676</v>
      </c>
      <c r="C10252" t="s">
        <v>785</v>
      </c>
      <c r="D10252" t="s">
        <v>14</v>
      </c>
      <c r="E10252" t="s">
        <v>246</v>
      </c>
      <c r="F10252" s="2" t="str">
        <f>HYPERLINK("http://www.otzar.org/book.asp?625644","הגדה של פסח &lt;דברי הלוים&gt;")</f>
        <v>הגדה של פסח &lt;דברי הלוים&gt;</v>
      </c>
    </row>
    <row r="10253" spans="1:6" x14ac:dyDescent="0.2">
      <c r="A10253" t="s">
        <v>17677</v>
      </c>
      <c r="B10253" t="s">
        <v>13163</v>
      </c>
      <c r="C10253" t="s">
        <v>568</v>
      </c>
      <c r="D10253" t="s">
        <v>1722</v>
      </c>
      <c r="E10253" t="s">
        <v>246</v>
      </c>
      <c r="F10253" s="2" t="str">
        <f>HYPERLINK("http://www.otzar.org/book.asp?625609","הגדה של פסח &lt;ע""פ מבעל הפלאה&gt;")</f>
        <v>הגדה של פסח &lt;ע"פ מבעל הפלאה&gt;</v>
      </c>
    </row>
    <row r="10254" spans="1:6" x14ac:dyDescent="0.2">
      <c r="A10254" t="s">
        <v>17678</v>
      </c>
      <c r="B10254" t="s">
        <v>17679</v>
      </c>
      <c r="C10254" t="s">
        <v>568</v>
      </c>
      <c r="D10254" t="s">
        <v>267</v>
      </c>
      <c r="E10254" t="s">
        <v>246</v>
      </c>
      <c r="F10254" s="2" t="str">
        <f>HYPERLINK("http://www.otzar.org/book.asp?106195","הגדה של פסח &lt;עם פירוש מבעל הפלאה&gt;")</f>
        <v>הגדה של פסח &lt;עם פירוש מבעל הפלאה&gt;</v>
      </c>
    </row>
    <row r="10255" spans="1:6" x14ac:dyDescent="0.2">
      <c r="A10255" t="s">
        <v>17680</v>
      </c>
      <c r="B10255" t="s">
        <v>17681</v>
      </c>
      <c r="C10255" t="s">
        <v>8820</v>
      </c>
      <c r="D10255" t="s">
        <v>49</v>
      </c>
      <c r="E10255" t="s">
        <v>246</v>
      </c>
      <c r="F10255" s="2" t="str">
        <f>HYPERLINK("http://www.otzar.org/book.asp?19388","הגדה של פסח &lt;עם תרגום איטליאנו&gt;")</f>
        <v>הגדה של פסח &lt;עם תרגום איטליאנו&gt;</v>
      </c>
    </row>
    <row r="10256" spans="1:6" x14ac:dyDescent="0.2">
      <c r="A10256" t="s">
        <v>17682</v>
      </c>
      <c r="B10256" t="s">
        <v>6370</v>
      </c>
      <c r="C10256" t="s">
        <v>454</v>
      </c>
      <c r="D10256" t="s">
        <v>14</v>
      </c>
      <c r="E10256" t="s">
        <v>246</v>
      </c>
      <c r="F10256" s="2" t="str">
        <f>HYPERLINK("http://www.otzar.org/book.asp?161791","הגדה של פסח &lt;אמרי החן&gt;")</f>
        <v>הגדה של פסח &lt;אמרי החן&gt;</v>
      </c>
    </row>
    <row r="10257" spans="1:6" x14ac:dyDescent="0.2">
      <c r="A10257" t="s">
        <v>17683</v>
      </c>
      <c r="B10257" t="s">
        <v>17684</v>
      </c>
      <c r="C10257" t="s">
        <v>356</v>
      </c>
      <c r="D10257" t="s">
        <v>14</v>
      </c>
      <c r="E10257" t="s">
        <v>3055</v>
      </c>
      <c r="F10257" s="2" t="str">
        <f>HYPERLINK("http://www.otzar.org/book.asp?10762","הגדה של פסח &lt;ליקוטי יהודה&gt;")</f>
        <v>הגדה של פסח &lt;ליקוטי יהודה&gt;</v>
      </c>
    </row>
    <row r="10258" spans="1:6" x14ac:dyDescent="0.2">
      <c r="A10258" t="s">
        <v>17685</v>
      </c>
      <c r="B10258" t="s">
        <v>17686</v>
      </c>
      <c r="C10258" t="s">
        <v>800</v>
      </c>
      <c r="D10258" t="s">
        <v>56</v>
      </c>
      <c r="E10258" t="s">
        <v>130</v>
      </c>
      <c r="F10258" s="2" t="str">
        <f>HYPERLINK("http://www.otzar.org/book.asp?619689","הגדה של פסח &lt;זרע גד&gt;")</f>
        <v>הגדה של פסח &lt;זרע גד&gt;</v>
      </c>
    </row>
    <row r="10259" spans="1:6" x14ac:dyDescent="0.2">
      <c r="A10259" t="s">
        <v>17687</v>
      </c>
      <c r="B10259" t="s">
        <v>1363</v>
      </c>
      <c r="C10259" t="s">
        <v>390</v>
      </c>
      <c r="D10259" t="s">
        <v>21</v>
      </c>
      <c r="E10259" t="s">
        <v>246</v>
      </c>
      <c r="F10259" s="2" t="str">
        <f>HYPERLINK("http://www.otzar.org/book.asp?601248","הגדה של פסח &lt;נחלת השר&gt;")</f>
        <v>הגדה של פסח &lt;נחלת השר&gt;</v>
      </c>
    </row>
    <row r="10260" spans="1:6" x14ac:dyDescent="0.2">
      <c r="A10260" t="s">
        <v>17688</v>
      </c>
      <c r="B10260" t="s">
        <v>1547</v>
      </c>
      <c r="C10260" t="s">
        <v>151</v>
      </c>
      <c r="D10260" t="s">
        <v>52</v>
      </c>
      <c r="E10260" t="s">
        <v>246</v>
      </c>
      <c r="F10260" s="2" t="str">
        <f>HYPERLINK("http://www.otzar.org/book.asp?624723","הגדה של פסח &lt;פתח אליהו&gt;")</f>
        <v>הגדה של פסח &lt;פתח אליהו&gt;</v>
      </c>
    </row>
    <row r="10261" spans="1:6" x14ac:dyDescent="0.2">
      <c r="A10261" t="s">
        <v>17689</v>
      </c>
      <c r="B10261" t="s">
        <v>17690</v>
      </c>
      <c r="C10261" t="s">
        <v>156</v>
      </c>
      <c r="D10261" t="s">
        <v>283</v>
      </c>
      <c r="E10261" t="s">
        <v>246</v>
      </c>
      <c r="F10261" s="2" t="str">
        <f>HYPERLINK("http://www.otzar.org/book.asp?104381","הגדה של פסח &lt;זכרון נפלאות&gt; - 2 כר'")</f>
        <v>הגדה של פסח &lt;זכרון נפלאות&gt; - 2 כר'</v>
      </c>
    </row>
    <row r="10262" spans="1:6" x14ac:dyDescent="0.2">
      <c r="A10262" t="s">
        <v>17691</v>
      </c>
      <c r="B10262" t="s">
        <v>17692</v>
      </c>
      <c r="C10262" t="s">
        <v>454</v>
      </c>
      <c r="D10262" t="s">
        <v>21</v>
      </c>
      <c r="E10262" t="s">
        <v>246</v>
      </c>
      <c r="F10262" s="2" t="str">
        <f>HYPERLINK("http://www.otzar.org/book.asp?606934","הגדה של פסח &lt;קול דודי&gt;")</f>
        <v>הגדה של פסח &lt;קול דודי&gt;</v>
      </c>
    </row>
    <row r="10263" spans="1:6" x14ac:dyDescent="0.2">
      <c r="A10263" t="s">
        <v>17693</v>
      </c>
      <c r="B10263" t="s">
        <v>17694</v>
      </c>
      <c r="C10263" t="s">
        <v>51</v>
      </c>
      <c r="D10263" t="s">
        <v>486</v>
      </c>
      <c r="E10263" t="s">
        <v>246</v>
      </c>
      <c r="F10263" s="2" t="str">
        <f>HYPERLINK("http://www.otzar.org/book.asp?25770","הגדה של פסח &lt;ביד רמה, והגדת לבנך&gt;")</f>
        <v>הגדה של פסח &lt;ביד רמה, והגדת לבנך&gt;</v>
      </c>
    </row>
    <row r="10264" spans="1:6" x14ac:dyDescent="0.2">
      <c r="A10264" t="s">
        <v>17695</v>
      </c>
      <c r="B10264" t="s">
        <v>14487</v>
      </c>
      <c r="C10264" t="s">
        <v>20</v>
      </c>
      <c r="D10264" t="s">
        <v>2375</v>
      </c>
      <c r="E10264" t="s">
        <v>246</v>
      </c>
      <c r="F10264" s="2" t="str">
        <f>HYPERLINK("http://www.otzar.org/book.asp?625587","הגדה של פסח &lt;ויגד משה&gt;")</f>
        <v>הגדה של פסח &lt;ויגד משה&gt;</v>
      </c>
    </row>
    <row r="10265" spans="1:6" x14ac:dyDescent="0.2">
      <c r="A10265" t="s">
        <v>17696</v>
      </c>
      <c r="B10265" t="s">
        <v>17697</v>
      </c>
      <c r="C10265" t="s">
        <v>3840</v>
      </c>
      <c r="D10265" t="s">
        <v>9</v>
      </c>
      <c r="E10265" t="s">
        <v>17698</v>
      </c>
      <c r="F10265" s="2" t="str">
        <f>HYPERLINK("http://www.otzar.org/book.asp?104784","הגדה של פסח &lt;מעשי למלך&gt;")</f>
        <v>הגדה של פסח &lt;מעשי למלך&gt;</v>
      </c>
    </row>
    <row r="10266" spans="1:6" x14ac:dyDescent="0.2">
      <c r="A10266" t="s">
        <v>17699</v>
      </c>
      <c r="B10266" t="s">
        <v>17700</v>
      </c>
      <c r="C10266" t="s">
        <v>37</v>
      </c>
      <c r="D10266" t="s">
        <v>486</v>
      </c>
      <c r="E10266" t="s">
        <v>246</v>
      </c>
      <c r="F10266" s="2" t="str">
        <f>HYPERLINK("http://www.otzar.org/book.asp?161368","הגדה של פסח &lt;פניני שמעון&gt;")</f>
        <v>הגדה של פסח &lt;פניני שמעון&gt;</v>
      </c>
    </row>
    <row r="10267" spans="1:6" x14ac:dyDescent="0.2">
      <c r="A10267" t="s">
        <v>17701</v>
      </c>
      <c r="B10267" t="s">
        <v>17702</v>
      </c>
      <c r="C10267" t="s">
        <v>68</v>
      </c>
      <c r="D10267" t="s">
        <v>423</v>
      </c>
      <c r="E10267" t="s">
        <v>246</v>
      </c>
      <c r="F10267" s="2" t="str">
        <f>HYPERLINK("http://www.otzar.org/book.asp?162304","הגדה של פסח &lt;הליכות חיים&gt;")</f>
        <v>הגדה של פסח &lt;הליכות חיים&gt;</v>
      </c>
    </row>
    <row r="10268" spans="1:6" x14ac:dyDescent="0.2">
      <c r="A10268" t="s">
        <v>17703</v>
      </c>
      <c r="B10268" t="s">
        <v>17704</v>
      </c>
      <c r="C10268" t="s">
        <v>908</v>
      </c>
      <c r="D10268" t="s">
        <v>14</v>
      </c>
      <c r="F10268" s="2" t="str">
        <f>HYPERLINK("http://www.otzar.org/book.asp?189628","הגדה של פסח &lt;שמחת יום טוב&gt;")</f>
        <v>הגדה של פסח &lt;שמחת יום טוב&gt;</v>
      </c>
    </row>
    <row r="10269" spans="1:6" x14ac:dyDescent="0.2">
      <c r="A10269" t="s">
        <v>17705</v>
      </c>
      <c r="B10269" t="s">
        <v>17706</v>
      </c>
      <c r="C10269" t="s">
        <v>37</v>
      </c>
      <c r="D10269" t="s">
        <v>17707</v>
      </c>
      <c r="E10269" t="s">
        <v>246</v>
      </c>
      <c r="F10269" s="2" t="str">
        <f>HYPERLINK("http://www.otzar.org/book.asp?607201","הגדה של פסח &lt;מרבה לספר&gt; - באנגלית")</f>
        <v>הגדה של פסח &lt;מרבה לספר&gt; - באנגלית</v>
      </c>
    </row>
    <row r="10270" spans="1:6" x14ac:dyDescent="0.2">
      <c r="A10270" t="s">
        <v>17708</v>
      </c>
      <c r="B10270" t="s">
        <v>5185</v>
      </c>
      <c r="C10270" t="s">
        <v>111</v>
      </c>
      <c r="D10270" t="s">
        <v>52</v>
      </c>
      <c r="E10270" t="s">
        <v>246</v>
      </c>
      <c r="F10270" s="2" t="str">
        <f>HYPERLINK("http://www.otzar.org/book.asp?625858","הגדה של פסח &lt;איל תערוג&gt;")</f>
        <v>הגדה של פסח &lt;איל תערוג&gt;</v>
      </c>
    </row>
    <row r="10271" spans="1:6" x14ac:dyDescent="0.2">
      <c r="A10271" t="s">
        <v>17709</v>
      </c>
      <c r="B10271" t="s">
        <v>17710</v>
      </c>
      <c r="C10271" t="s">
        <v>2132</v>
      </c>
      <c r="D10271" t="s">
        <v>52</v>
      </c>
      <c r="E10271" t="s">
        <v>246</v>
      </c>
      <c r="F10271" s="2" t="str">
        <f>HYPERLINK("http://www.otzar.org/book.asp?189987","הגדה של פסח &lt;ויגד אברהם&gt;")</f>
        <v>הגדה של פסח &lt;ויגד אברהם&gt;</v>
      </c>
    </row>
    <row r="10272" spans="1:6" x14ac:dyDescent="0.2">
      <c r="A10272" t="s">
        <v>17711</v>
      </c>
      <c r="B10272" t="s">
        <v>17712</v>
      </c>
      <c r="C10272" t="s">
        <v>111</v>
      </c>
      <c r="D10272" t="s">
        <v>90</v>
      </c>
      <c r="E10272" t="s">
        <v>246</v>
      </c>
      <c r="F10272" s="2" t="str">
        <f>HYPERLINK("http://www.otzar.org/book.asp?626566","הגדה של פסח &lt;רגלי מבשר&gt;")</f>
        <v>הגדה של פסח &lt;רגלי מבשר&gt;</v>
      </c>
    </row>
    <row r="10273" spans="1:6" x14ac:dyDescent="0.2">
      <c r="A10273" t="s">
        <v>17713</v>
      </c>
      <c r="B10273" t="s">
        <v>8135</v>
      </c>
      <c r="C10273" t="s">
        <v>244</v>
      </c>
      <c r="D10273" t="s">
        <v>14</v>
      </c>
      <c r="E10273" t="s">
        <v>246</v>
      </c>
      <c r="F10273" s="2" t="str">
        <f>HYPERLINK("http://www.otzar.org/book.asp?600776","הגדה של פסח &lt;שרידי אש&gt;")</f>
        <v>הגדה של פסח &lt;שרידי אש&gt;</v>
      </c>
    </row>
    <row r="10274" spans="1:6" x14ac:dyDescent="0.2">
      <c r="A10274" t="s">
        <v>17636</v>
      </c>
      <c r="B10274" t="s">
        <v>776</v>
      </c>
      <c r="C10274" t="s">
        <v>454</v>
      </c>
      <c r="D10274" t="s">
        <v>486</v>
      </c>
      <c r="E10274" t="s">
        <v>246</v>
      </c>
      <c r="F10274" s="2" t="str">
        <f>HYPERLINK("http://www.otzar.org/book.asp?108434","הגדה של פסח &lt;נאוה תהלה&gt;")</f>
        <v>הגדה של פסח &lt;נאוה תהלה&gt;</v>
      </c>
    </row>
    <row r="10275" spans="1:6" x14ac:dyDescent="0.2">
      <c r="A10275" t="s">
        <v>17714</v>
      </c>
      <c r="B10275" t="s">
        <v>1791</v>
      </c>
      <c r="C10275" t="s">
        <v>1570</v>
      </c>
      <c r="D10275" t="s">
        <v>14</v>
      </c>
      <c r="E10275" t="s">
        <v>2758</v>
      </c>
      <c r="F10275" s="2" t="str">
        <f>HYPERLINK("http://www.otzar.org/book.asp?5237","הגדה של פסח &lt;עם שיטמ""ק מהגאונים והמקובלים&gt;")</f>
        <v>הגדה של פסח &lt;עם שיטמ"ק מהגאונים והמקובלים&gt;</v>
      </c>
    </row>
    <row r="10276" spans="1:6" x14ac:dyDescent="0.2">
      <c r="A10276" t="s">
        <v>17715</v>
      </c>
      <c r="B10276" t="s">
        <v>17716</v>
      </c>
      <c r="C10276" t="s">
        <v>180</v>
      </c>
      <c r="D10276" t="s">
        <v>14</v>
      </c>
      <c r="F10276" s="2" t="str">
        <f>HYPERLINK("http://www.otzar.org/book.asp?610941","הגדה של פסח &lt;ספינקא&gt;")</f>
        <v>הגדה של פסח &lt;ספינקא&gt;</v>
      </c>
    </row>
    <row r="10277" spans="1:6" x14ac:dyDescent="0.2">
      <c r="A10277" t="s">
        <v>17717</v>
      </c>
      <c r="B10277" t="s">
        <v>2855</v>
      </c>
      <c r="C10277" t="s">
        <v>68</v>
      </c>
      <c r="D10277" t="s">
        <v>646</v>
      </c>
      <c r="E10277" t="s">
        <v>246</v>
      </c>
      <c r="F10277" s="2" t="str">
        <f>HYPERLINK("http://www.otzar.org/book.asp?171192","הגדה של פסח &lt;אוצר דברי המפרשים&gt;")</f>
        <v>הגדה של פסח &lt;אוצר דברי המפרשים&gt;</v>
      </c>
    </row>
    <row r="10278" spans="1:6" x14ac:dyDescent="0.2">
      <c r="A10278" t="s">
        <v>17718</v>
      </c>
      <c r="B10278" t="s">
        <v>17719</v>
      </c>
      <c r="C10278" t="s">
        <v>189</v>
      </c>
      <c r="D10278" t="s">
        <v>52</v>
      </c>
      <c r="E10278" t="s">
        <v>246</v>
      </c>
      <c r="F10278" s="2" t="str">
        <f>HYPERLINK("http://www.otzar.org/book.asp?159589","הגדה של פסח &lt;מוציא אסירים&gt;")</f>
        <v>הגדה של פסח &lt;מוציא אסירים&gt;</v>
      </c>
    </row>
    <row r="10279" spans="1:6" x14ac:dyDescent="0.2">
      <c r="A10279" t="s">
        <v>17720</v>
      </c>
      <c r="B10279" t="s">
        <v>17721</v>
      </c>
      <c r="C10279" t="s">
        <v>13</v>
      </c>
      <c r="D10279" t="s">
        <v>90</v>
      </c>
      <c r="E10279" t="s">
        <v>246</v>
      </c>
      <c r="F10279" s="2" t="str">
        <f>HYPERLINK("http://www.otzar.org/book.asp?172670","הגדה של פסח &lt;ייתי ויפסח&gt;")</f>
        <v>הגדה של פסח &lt;ייתי ויפסח&gt;</v>
      </c>
    </row>
    <row r="10280" spans="1:6" x14ac:dyDescent="0.2">
      <c r="A10280" t="s">
        <v>17722</v>
      </c>
      <c r="B10280" t="s">
        <v>17723</v>
      </c>
      <c r="C10280" t="s">
        <v>523</v>
      </c>
      <c r="D10280" t="s">
        <v>245</v>
      </c>
      <c r="E10280" t="s">
        <v>246</v>
      </c>
      <c r="F10280" s="2" t="str">
        <f>HYPERLINK("http://www.otzar.org/book.asp?165429","הגדה של פסח &lt;הגדת כי ישאלך בנך - עקבי אהרן ופשר דבר&gt;")</f>
        <v>הגדה של פסח &lt;הגדת כי ישאלך בנך - עקבי אהרן ופשר דבר&gt;</v>
      </c>
    </row>
    <row r="10281" spans="1:6" x14ac:dyDescent="0.2">
      <c r="A10281" t="s">
        <v>17579</v>
      </c>
      <c r="B10281" t="s">
        <v>17724</v>
      </c>
      <c r="C10281" t="s">
        <v>146</v>
      </c>
      <c r="D10281" t="s">
        <v>14</v>
      </c>
      <c r="E10281" t="s">
        <v>246</v>
      </c>
      <c r="F10281" s="2" t="str">
        <f>HYPERLINK("http://www.otzar.org/book.asp?161778","הגדה של פסח &lt;הלל נרצה&gt;")</f>
        <v>הגדה של פסח &lt;הלל נרצה&gt;</v>
      </c>
    </row>
    <row r="10282" spans="1:6" x14ac:dyDescent="0.2">
      <c r="A10282" t="s">
        <v>17701</v>
      </c>
      <c r="B10282" t="s">
        <v>17725</v>
      </c>
      <c r="C10282" t="s">
        <v>51</v>
      </c>
      <c r="D10282" t="s">
        <v>14</v>
      </c>
      <c r="E10282" t="s">
        <v>246</v>
      </c>
      <c r="F10282" s="2" t="str">
        <f>HYPERLINK("http://www.otzar.org/book.asp?63655","הגדה של פסח &lt;הליכות חיים&gt;")</f>
        <v>הגדה של פסח &lt;הליכות חיים&gt;</v>
      </c>
    </row>
    <row r="10283" spans="1:6" x14ac:dyDescent="0.2">
      <c r="A10283" t="s">
        <v>17726</v>
      </c>
      <c r="B10283" t="s">
        <v>17727</v>
      </c>
      <c r="C10283" t="s">
        <v>23</v>
      </c>
      <c r="D10283" t="s">
        <v>412</v>
      </c>
      <c r="F10283" s="2" t="str">
        <f>HYPERLINK("http://www.otzar.org/book.asp?198321","הגדה של פסח &lt;לב אברהם&gt;")</f>
        <v>הגדה של פסח &lt;לב אברהם&gt;</v>
      </c>
    </row>
    <row r="10284" spans="1:6" x14ac:dyDescent="0.2">
      <c r="A10284" t="s">
        <v>17728</v>
      </c>
      <c r="B10284" t="s">
        <v>5137</v>
      </c>
      <c r="C10284" t="s">
        <v>1388</v>
      </c>
      <c r="D10284" t="s">
        <v>14</v>
      </c>
      <c r="E10284" t="s">
        <v>246</v>
      </c>
      <c r="F10284" s="2" t="str">
        <f>HYPERLINK("http://www.otzar.org/book.asp?176698","הגדה של פסח &lt;איי הים&gt;")</f>
        <v>הגדה של פסח &lt;איי הים&gt;</v>
      </c>
    </row>
    <row r="10285" spans="1:6" x14ac:dyDescent="0.2">
      <c r="A10285" t="s">
        <v>17729</v>
      </c>
      <c r="B10285" t="s">
        <v>3727</v>
      </c>
      <c r="C10285" t="s">
        <v>87</v>
      </c>
      <c r="D10285" t="s">
        <v>14</v>
      </c>
      <c r="E10285" t="s">
        <v>3055</v>
      </c>
      <c r="F10285" s="2" t="str">
        <f>HYPERLINK("http://www.otzar.org/book.asp?20997","הגדה של פסח &lt;שערי שפת אמת&gt;")</f>
        <v>הגדה של פסח &lt;שערי שפת אמת&gt;</v>
      </c>
    </row>
    <row r="10286" spans="1:6" x14ac:dyDescent="0.2">
      <c r="A10286" t="s">
        <v>17730</v>
      </c>
      <c r="B10286" t="s">
        <v>17731</v>
      </c>
      <c r="C10286" t="s">
        <v>151</v>
      </c>
      <c r="D10286" t="s">
        <v>14</v>
      </c>
      <c r="F10286" s="2" t="str">
        <f>HYPERLINK("http://www.otzar.org/book.asp?615633","הגדה של פסח &lt;פני המנורה&gt;")</f>
        <v>הגדה של פסח &lt;פני המנורה&gt;</v>
      </c>
    </row>
    <row r="10287" spans="1:6" x14ac:dyDescent="0.2">
      <c r="A10287" t="s">
        <v>17732</v>
      </c>
      <c r="B10287" t="s">
        <v>17733</v>
      </c>
      <c r="C10287" t="s">
        <v>20</v>
      </c>
      <c r="D10287" t="s">
        <v>90</v>
      </c>
      <c r="E10287" t="s">
        <v>246</v>
      </c>
      <c r="F10287" s="2" t="str">
        <f>HYPERLINK("http://www.otzar.org/book.asp?607632","הגדה של פסח &lt;שבעים פנים להגדה&gt;")</f>
        <v>הגדה של פסח &lt;שבעים פנים להגדה&gt;</v>
      </c>
    </row>
    <row r="10288" spans="1:6" x14ac:dyDescent="0.2">
      <c r="A10288" t="s">
        <v>17734</v>
      </c>
      <c r="B10288" t="s">
        <v>12619</v>
      </c>
      <c r="C10288" t="s">
        <v>1124</v>
      </c>
      <c r="D10288" t="s">
        <v>344</v>
      </c>
      <c r="E10288" t="s">
        <v>246</v>
      </c>
      <c r="F10288" s="2" t="str">
        <f>HYPERLINK("http://www.otzar.org/book.asp?148138","הגדה של פסח &lt;דברי אגדה, מדרש אגדה, חידושי אגדה&gt;")</f>
        <v>הגדה של פסח &lt;דברי אגדה, מדרש אגדה, חידושי אגדה&gt;</v>
      </c>
    </row>
    <row r="10289" spans="1:6" x14ac:dyDescent="0.2">
      <c r="A10289" t="s">
        <v>17735</v>
      </c>
      <c r="B10289" t="s">
        <v>17736</v>
      </c>
      <c r="C10289" t="s">
        <v>13</v>
      </c>
      <c r="D10289" t="s">
        <v>412</v>
      </c>
      <c r="F10289" s="2" t="str">
        <f>HYPERLINK("http://www.otzar.org/book.asp?161271","הגדה של פסח &lt;הגדת הגרשוני&gt;")</f>
        <v>הגדה של פסח &lt;הגדת הגרשוני&gt;</v>
      </c>
    </row>
    <row r="10290" spans="1:6" x14ac:dyDescent="0.2">
      <c r="A10290" t="s">
        <v>17737</v>
      </c>
      <c r="B10290" t="s">
        <v>17738</v>
      </c>
      <c r="C10290" t="s">
        <v>189</v>
      </c>
      <c r="D10290" t="s">
        <v>412</v>
      </c>
      <c r="E10290" t="s">
        <v>246</v>
      </c>
      <c r="F10290" s="2" t="str">
        <f>HYPERLINK("http://www.otzar.org/book.asp?171139","הגדה של פסח &lt;ישמח ישראל - תפארת שמואל&gt;")</f>
        <v>הגדה של פסח &lt;ישמח ישראל - תפארת שמואל&gt;</v>
      </c>
    </row>
    <row r="10291" spans="1:6" x14ac:dyDescent="0.2">
      <c r="A10291" t="s">
        <v>17739</v>
      </c>
      <c r="B10291" t="s">
        <v>17740</v>
      </c>
      <c r="C10291" t="s">
        <v>146</v>
      </c>
      <c r="D10291" t="s">
        <v>118</v>
      </c>
      <c r="E10291" t="s">
        <v>1164</v>
      </c>
      <c r="F10291" s="2" t="str">
        <f>HYPERLINK("http://www.otzar.org/book.asp?157453","הגדה של פסח &lt;נמוקי הרז""ה - עזר שלמה&gt;")</f>
        <v>הגדה של פסח &lt;נמוקי הרז"ה - עזר שלמה&gt;</v>
      </c>
    </row>
    <row r="10292" spans="1:6" x14ac:dyDescent="0.2">
      <c r="A10292" t="s">
        <v>17741</v>
      </c>
      <c r="B10292" t="s">
        <v>17742</v>
      </c>
      <c r="C10292" t="s">
        <v>23</v>
      </c>
      <c r="D10292" t="s">
        <v>52</v>
      </c>
      <c r="E10292" t="s">
        <v>246</v>
      </c>
      <c r="F10292" s="2" t="str">
        <f>HYPERLINK("http://www.otzar.org/book.asp?191269","הגדה של פסח &lt;מגיד שלום&gt;")</f>
        <v>הגדה של פסח &lt;מגיד שלום&gt;</v>
      </c>
    </row>
    <row r="10293" spans="1:6" x14ac:dyDescent="0.2">
      <c r="A10293" t="s">
        <v>17743</v>
      </c>
      <c r="B10293" t="s">
        <v>1748</v>
      </c>
      <c r="C10293" t="s">
        <v>366</v>
      </c>
      <c r="D10293" t="s">
        <v>52</v>
      </c>
      <c r="E10293" t="s">
        <v>246</v>
      </c>
      <c r="F10293" s="2" t="str">
        <f>HYPERLINK("http://www.otzar.org/book.asp?607592","הגדה של פסח &lt;נתיבי ההגדה&gt;")</f>
        <v>הגדה של פסח &lt;נתיבי ההגדה&gt;</v>
      </c>
    </row>
    <row r="10294" spans="1:6" x14ac:dyDescent="0.2">
      <c r="A10294" t="s">
        <v>17744</v>
      </c>
      <c r="B10294" t="s">
        <v>17745</v>
      </c>
      <c r="C10294" t="s">
        <v>3709</v>
      </c>
      <c r="D10294" t="s">
        <v>283</v>
      </c>
      <c r="E10294" t="s">
        <v>246</v>
      </c>
      <c r="F10294" s="2" t="str">
        <f>HYPERLINK("http://www.otzar.org/book.asp?23870","הגדה של פסח &lt;יד מצרים&gt; - 2 כר'")</f>
        <v>הגדה של פסח &lt;יד מצרים&gt; - 2 כר'</v>
      </c>
    </row>
    <row r="10295" spans="1:6" x14ac:dyDescent="0.2">
      <c r="A10295" t="s">
        <v>17746</v>
      </c>
      <c r="B10295" t="s">
        <v>11390</v>
      </c>
      <c r="C10295" t="s">
        <v>244</v>
      </c>
      <c r="D10295" t="s">
        <v>7277</v>
      </c>
      <c r="E10295" t="s">
        <v>246</v>
      </c>
      <c r="F10295" s="2" t="str">
        <f>HYPERLINK("http://www.otzar.org/book.asp?626621","הגדה של פסח &lt;דומה דודי לצבי&gt;")</f>
        <v>הגדה של פסח &lt;דומה דודי לצבי&gt;</v>
      </c>
    </row>
    <row r="10296" spans="1:6" x14ac:dyDescent="0.2">
      <c r="A10296" t="s">
        <v>17747</v>
      </c>
      <c r="B10296" t="s">
        <v>17748</v>
      </c>
      <c r="C10296" t="s">
        <v>111</v>
      </c>
      <c r="D10296" t="s">
        <v>139</v>
      </c>
      <c r="E10296" t="s">
        <v>246</v>
      </c>
      <c r="F10296" s="2" t="str">
        <f>HYPERLINK("http://www.otzar.org/book.asp?624713","הגדה של פסח &lt;כי ישאלך&gt;")</f>
        <v>הגדה של פסח &lt;כי ישאלך&gt;</v>
      </c>
    </row>
    <row r="10297" spans="1:6" x14ac:dyDescent="0.2">
      <c r="A10297" t="s">
        <v>17749</v>
      </c>
      <c r="B10297" t="s">
        <v>7723</v>
      </c>
      <c r="C10297" t="s">
        <v>775</v>
      </c>
      <c r="D10297" t="s">
        <v>1632</v>
      </c>
      <c r="E10297" t="s">
        <v>246</v>
      </c>
      <c r="F10297" s="2" t="str">
        <f>HYPERLINK("http://www.otzar.org/book.asp?168510","הגדה של פסח &lt;באר מים חיים&gt;")</f>
        <v>הגדה של פסח &lt;באר מים חיים&gt;</v>
      </c>
    </row>
    <row r="10298" spans="1:6" x14ac:dyDescent="0.2">
      <c r="A10298" t="s">
        <v>17750</v>
      </c>
      <c r="B10298" t="s">
        <v>17751</v>
      </c>
      <c r="C10298" t="s">
        <v>603</v>
      </c>
      <c r="D10298" t="s">
        <v>17752</v>
      </c>
      <c r="E10298" t="s">
        <v>246</v>
      </c>
      <c r="F10298" s="2" t="str">
        <f>HYPERLINK("http://www.otzar.org/book.asp?149427","הגדה של פסח &lt;מנחת אהרן, שירי מנחה&gt;")</f>
        <v>הגדה של פסח &lt;מנחת אהרן, שירי מנחה&gt;</v>
      </c>
    </row>
    <row r="10299" spans="1:6" x14ac:dyDescent="0.2">
      <c r="A10299" t="s">
        <v>17753</v>
      </c>
      <c r="B10299" t="s">
        <v>4918</v>
      </c>
      <c r="C10299" t="s">
        <v>17</v>
      </c>
      <c r="D10299" t="s">
        <v>4919</v>
      </c>
      <c r="E10299" t="s">
        <v>130</v>
      </c>
      <c r="F10299" s="2" t="str">
        <f>HYPERLINK("http://www.otzar.org/book.asp?63972","הגדה של פסח &lt;לאבות ובנים&gt;")</f>
        <v>הגדה של פסח &lt;לאבות ובנים&gt;</v>
      </c>
    </row>
    <row r="10300" spans="1:6" x14ac:dyDescent="0.2">
      <c r="A10300" t="s">
        <v>17754</v>
      </c>
      <c r="B10300" t="s">
        <v>17755</v>
      </c>
      <c r="C10300" t="s">
        <v>422</v>
      </c>
      <c r="D10300" t="s">
        <v>52</v>
      </c>
      <c r="E10300" t="s">
        <v>246</v>
      </c>
      <c r="F10300" s="2" t="str">
        <f>HYPERLINK("http://www.otzar.org/book.asp?157851","הגדה של פסח &lt;שערי הגדה&gt;")</f>
        <v>הגדה של פסח &lt;שערי הגדה&gt;</v>
      </c>
    </row>
    <row r="10301" spans="1:6" x14ac:dyDescent="0.2">
      <c r="A10301" t="s">
        <v>17756</v>
      </c>
      <c r="B10301" t="s">
        <v>10119</v>
      </c>
      <c r="C10301" t="s">
        <v>133</v>
      </c>
      <c r="D10301" t="s">
        <v>27</v>
      </c>
      <c r="E10301" t="s">
        <v>246</v>
      </c>
      <c r="F10301" s="2" t="str">
        <f>HYPERLINK("http://www.otzar.org/book.asp?173225","הגדה של פסח &lt;מי מרום&gt;")</f>
        <v>הגדה של פסח &lt;מי מרום&gt;</v>
      </c>
    </row>
    <row r="10302" spans="1:6" x14ac:dyDescent="0.2">
      <c r="A10302" t="s">
        <v>17757</v>
      </c>
      <c r="B10302" t="s">
        <v>4015</v>
      </c>
      <c r="C10302" t="s">
        <v>496</v>
      </c>
      <c r="D10302" t="s">
        <v>225</v>
      </c>
      <c r="E10302" t="s">
        <v>17758</v>
      </c>
      <c r="F10302" s="2" t="str">
        <f>HYPERLINK("http://www.otzar.org/book.asp?104781","הגדה של פסח &lt;נחלת צבי, ילקוט מנחם&gt;")</f>
        <v>הגדה של פסח &lt;נחלת צבי, ילקוט מנחם&gt;</v>
      </c>
    </row>
    <row r="10303" spans="1:6" x14ac:dyDescent="0.2">
      <c r="A10303" t="s">
        <v>17759</v>
      </c>
      <c r="B10303" t="s">
        <v>10283</v>
      </c>
      <c r="C10303" t="s">
        <v>989</v>
      </c>
      <c r="D10303" t="s">
        <v>14</v>
      </c>
      <c r="E10303" t="s">
        <v>246</v>
      </c>
      <c r="F10303" s="2" t="str">
        <f>HYPERLINK("http://www.otzar.org/book.asp?144800","הגדה של פסח &lt;בית ישראל&gt;")</f>
        <v>הגדה של פסח &lt;בית ישראל&gt;</v>
      </c>
    </row>
    <row r="10304" spans="1:6" x14ac:dyDescent="0.2">
      <c r="A10304" t="s">
        <v>17760</v>
      </c>
      <c r="B10304" t="s">
        <v>17761</v>
      </c>
      <c r="C10304" t="s">
        <v>13</v>
      </c>
      <c r="D10304" t="s">
        <v>14</v>
      </c>
      <c r="E10304" t="s">
        <v>246</v>
      </c>
      <c r="F10304" s="2" t="str">
        <f>HYPERLINK("http://www.otzar.org/book.asp?173133","הגדה של פסח &lt;אור הטוב&gt;")</f>
        <v>הגדה של פסח &lt;אור הטוב&gt;</v>
      </c>
    </row>
    <row r="10305" spans="1:6" x14ac:dyDescent="0.2">
      <c r="A10305" t="s">
        <v>17762</v>
      </c>
      <c r="B10305" t="s">
        <v>17763</v>
      </c>
      <c r="C10305" t="s">
        <v>635</v>
      </c>
      <c r="D10305" t="s">
        <v>283</v>
      </c>
      <c r="E10305" t="s">
        <v>246</v>
      </c>
      <c r="F10305" s="2" t="str">
        <f>HYPERLINK("http://www.otzar.org/book.asp?51658","הגדה של פסח &lt;מים אדירים&gt;")</f>
        <v>הגדה של פסח &lt;מים אדירים&gt;</v>
      </c>
    </row>
    <row r="10306" spans="1:6" x14ac:dyDescent="0.2">
      <c r="A10306" t="s">
        <v>17764</v>
      </c>
      <c r="B10306" t="s">
        <v>12026</v>
      </c>
      <c r="C10306" t="s">
        <v>146</v>
      </c>
      <c r="D10306" t="s">
        <v>412</v>
      </c>
      <c r="E10306" t="s">
        <v>246</v>
      </c>
      <c r="F10306" s="2" t="str">
        <f>HYPERLINK("http://www.otzar.org/book.asp?168512","הגדה של פסח &lt;ר""ש מאוסטרופלי - ברך משה&gt;")</f>
        <v>הגדה של פסח &lt;ר"ש מאוסטרופלי - ברך משה&gt;</v>
      </c>
    </row>
    <row r="10307" spans="1:6" x14ac:dyDescent="0.2">
      <c r="A10307" t="s">
        <v>17765</v>
      </c>
      <c r="B10307" t="s">
        <v>17766</v>
      </c>
      <c r="C10307" t="s">
        <v>71</v>
      </c>
      <c r="D10307" t="s">
        <v>14</v>
      </c>
      <c r="E10307" t="s">
        <v>246</v>
      </c>
      <c r="F10307" s="2" t="str">
        <f>HYPERLINK("http://www.otzar.org/book.asp?189440","הגדה של פסח &lt;תולדות אהרן&gt;")</f>
        <v>הגדה של פסח &lt;תולדות אהרן&gt;</v>
      </c>
    </row>
    <row r="10308" spans="1:6" x14ac:dyDescent="0.2">
      <c r="A10308" t="s">
        <v>17767</v>
      </c>
      <c r="B10308" t="s">
        <v>17768</v>
      </c>
      <c r="C10308" t="s">
        <v>1208</v>
      </c>
      <c r="D10308" t="s">
        <v>2504</v>
      </c>
      <c r="E10308" t="s">
        <v>246</v>
      </c>
      <c r="F10308" s="2" t="str">
        <f>HYPERLINK("http://www.otzar.org/book.asp?180878","הגדה של פסח &lt;קמחא דאבשונא&gt;")</f>
        <v>הגדה של פסח &lt;קמחא דאבשונא&gt;</v>
      </c>
    </row>
    <row r="10309" spans="1:6" x14ac:dyDescent="0.2">
      <c r="A10309" t="s">
        <v>17769</v>
      </c>
      <c r="B10309" t="s">
        <v>17770</v>
      </c>
      <c r="C10309" t="s">
        <v>160</v>
      </c>
      <c r="D10309" t="s">
        <v>412</v>
      </c>
      <c r="E10309" t="s">
        <v>246</v>
      </c>
      <c r="F10309" s="2" t="str">
        <f>HYPERLINK("http://www.otzar.org/book.asp?171356","הגדה של פסח &lt;פון אונזער אלטען אוצר&gt;")</f>
        <v>הגדה של פסח &lt;פון אונזער אלטען אוצר&gt;</v>
      </c>
    </row>
    <row r="10310" spans="1:6" x14ac:dyDescent="0.2">
      <c r="A10310" t="s">
        <v>17600</v>
      </c>
      <c r="B10310" t="s">
        <v>17771</v>
      </c>
      <c r="C10310" t="s">
        <v>23</v>
      </c>
      <c r="D10310" t="s">
        <v>14</v>
      </c>
      <c r="F10310" s="2" t="str">
        <f>HYPERLINK("http://www.otzar.org/book.asp?608755","הגדה של פסח &lt;אמרי יהודה&gt;")</f>
        <v>הגדה של פסח &lt;אמרי יהודה&gt;</v>
      </c>
    </row>
    <row r="10311" spans="1:6" x14ac:dyDescent="0.2">
      <c r="A10311" t="s">
        <v>17772</v>
      </c>
      <c r="B10311" t="s">
        <v>17773</v>
      </c>
      <c r="C10311" t="s">
        <v>17774</v>
      </c>
      <c r="D10311" t="s">
        <v>7163</v>
      </c>
      <c r="E10311" t="s">
        <v>246</v>
      </c>
      <c r="F10311" s="2" t="str">
        <f>HYPERLINK("http://www.otzar.org/book.asp?52171","הגדה של פסח &lt;זרע יהודה&gt;")</f>
        <v>הגדה של פסח &lt;זרע יהודה&gt;</v>
      </c>
    </row>
    <row r="10312" spans="1:6" x14ac:dyDescent="0.2">
      <c r="A10312" t="s">
        <v>17775</v>
      </c>
      <c r="B10312" t="s">
        <v>3923</v>
      </c>
      <c r="C10312" t="s">
        <v>1448</v>
      </c>
      <c r="D10312" t="s">
        <v>118</v>
      </c>
      <c r="E10312" t="s">
        <v>246</v>
      </c>
      <c r="F10312" s="2" t="str">
        <f>HYPERLINK("http://www.otzar.org/book.asp?23387","הגדה של פסח &lt;מהר""ל&gt;")</f>
        <v>הגדה של פסח &lt;מהר"ל&gt;</v>
      </c>
    </row>
    <row r="10313" spans="1:6" x14ac:dyDescent="0.2">
      <c r="A10313" t="s">
        <v>17776</v>
      </c>
      <c r="B10313" t="s">
        <v>17777</v>
      </c>
      <c r="C10313" t="s">
        <v>5140</v>
      </c>
      <c r="D10313" t="s">
        <v>17778</v>
      </c>
      <c r="F10313" s="2" t="str">
        <f>HYPERLINK("http://www.otzar.org/book.asp?83767","הגדה של פסח &lt;פדות יעקב&gt;")</f>
        <v>הגדה של פסח &lt;פדות יעקב&gt;</v>
      </c>
    </row>
    <row r="10314" spans="1:6" x14ac:dyDescent="0.2">
      <c r="A10314" t="s">
        <v>17779</v>
      </c>
      <c r="B10314" t="s">
        <v>8649</v>
      </c>
      <c r="C10314" t="s">
        <v>114</v>
      </c>
      <c r="D10314" t="s">
        <v>14</v>
      </c>
      <c r="F10314" s="2" t="str">
        <f>HYPERLINK("http://www.otzar.org/book.asp?610656","הגדה של פסח &lt;מילי דאבות - באר שרים&gt;")</f>
        <v>הגדה של פסח &lt;מילי דאבות - באר שרים&gt;</v>
      </c>
    </row>
    <row r="10315" spans="1:6" x14ac:dyDescent="0.2">
      <c r="A10315" t="s">
        <v>17780</v>
      </c>
      <c r="B10315" t="s">
        <v>17781</v>
      </c>
      <c r="C10315" t="s">
        <v>51</v>
      </c>
      <c r="D10315" t="s">
        <v>721</v>
      </c>
      <c r="E10315" t="s">
        <v>246</v>
      </c>
      <c r="F10315" s="2" t="str">
        <f>HYPERLINK("http://www.otzar.org/book.asp?173125","הגדה של פסח &lt;פסח אחד&gt;")</f>
        <v>הגדה של פסח &lt;פסח אחד&gt;</v>
      </c>
    </row>
    <row r="10316" spans="1:6" x14ac:dyDescent="0.2">
      <c r="A10316" t="s">
        <v>17782</v>
      </c>
      <c r="B10316" t="s">
        <v>17783</v>
      </c>
      <c r="C10316" t="s">
        <v>5721</v>
      </c>
      <c r="D10316" t="s">
        <v>17784</v>
      </c>
      <c r="E10316" t="s">
        <v>246</v>
      </c>
      <c r="F10316" s="2" t="str">
        <f>HYPERLINK("http://www.otzar.org/book.asp?163030","הגדה של פסח &lt;גאולת ישראל&gt;")</f>
        <v>הגדה של פסח &lt;גאולת ישראל&gt;</v>
      </c>
    </row>
    <row r="10317" spans="1:6" x14ac:dyDescent="0.2">
      <c r="A10317" t="s">
        <v>17785</v>
      </c>
      <c r="B10317" t="s">
        <v>17786</v>
      </c>
      <c r="C10317" t="s">
        <v>244</v>
      </c>
      <c r="D10317" t="s">
        <v>2867</v>
      </c>
      <c r="F10317" s="2" t="str">
        <f>HYPERLINK("http://www.otzar.org/book.asp?610596","הגדה של פסח &lt;אבא בם&gt;")</f>
        <v>הגדה של פסח &lt;אבא בם&gt;</v>
      </c>
    </row>
    <row r="10318" spans="1:6" x14ac:dyDescent="0.2">
      <c r="A10318" t="s">
        <v>17787</v>
      </c>
      <c r="B10318" t="s">
        <v>3834</v>
      </c>
      <c r="C10318" t="s">
        <v>244</v>
      </c>
      <c r="D10318" t="s">
        <v>21</v>
      </c>
      <c r="F10318" s="2" t="str">
        <f>HYPERLINK("http://www.otzar.org/book.asp?603160","הגדה של פסח &lt;אבני נזר&gt;")</f>
        <v>הגדה של פסח &lt;אבני נזר&gt;</v>
      </c>
    </row>
    <row r="10319" spans="1:6" x14ac:dyDescent="0.2">
      <c r="A10319" t="s">
        <v>17788</v>
      </c>
      <c r="B10319" t="s">
        <v>4399</v>
      </c>
      <c r="C10319" t="s">
        <v>356</v>
      </c>
      <c r="D10319" t="s">
        <v>646</v>
      </c>
      <c r="E10319" t="s">
        <v>246</v>
      </c>
      <c r="F10319" s="2" t="str">
        <f>HYPERLINK("http://www.otzar.org/book.asp?619751","הגדה של פסח &lt;גן רב&gt;")</f>
        <v>הגדה של פסח &lt;גן רב&gt;</v>
      </c>
    </row>
    <row r="10320" spans="1:6" x14ac:dyDescent="0.2">
      <c r="A10320" t="s">
        <v>17789</v>
      </c>
      <c r="B10320" t="s">
        <v>17790</v>
      </c>
      <c r="C10320" t="s">
        <v>17</v>
      </c>
      <c r="D10320" t="s">
        <v>2458</v>
      </c>
      <c r="E10320" t="s">
        <v>246</v>
      </c>
      <c r="F10320" s="2" t="str">
        <f>HYPERLINK("http://www.otzar.org/book.asp?148917","הגדה של פסח &lt;ישמרו דעת&gt;")</f>
        <v>הגדה של פסח &lt;ישמרו דעת&gt;</v>
      </c>
    </row>
    <row r="10321" spans="1:6" x14ac:dyDescent="0.2">
      <c r="A10321" t="s">
        <v>17791</v>
      </c>
      <c r="B10321" t="s">
        <v>17792</v>
      </c>
      <c r="C10321" t="s">
        <v>23</v>
      </c>
      <c r="D10321" t="s">
        <v>14</v>
      </c>
      <c r="E10321" t="s">
        <v>246</v>
      </c>
      <c r="F10321" s="2" t="str">
        <f>HYPERLINK("http://www.otzar.org/book.asp?607222","הגדה של פסח &lt;היושבת בגנים&gt;")</f>
        <v>הגדה של פסח &lt;היושבת בגנים&gt;</v>
      </c>
    </row>
    <row r="10322" spans="1:6" x14ac:dyDescent="0.2">
      <c r="A10322" t="s">
        <v>17793</v>
      </c>
      <c r="B10322" t="s">
        <v>12077</v>
      </c>
      <c r="C10322" t="s">
        <v>13</v>
      </c>
      <c r="D10322" t="s">
        <v>14</v>
      </c>
      <c r="E10322" t="s">
        <v>246</v>
      </c>
      <c r="F10322" s="2" t="str">
        <f>HYPERLINK("http://www.otzar.org/book.asp?146429","הגדה של פסח &lt;ספינקא&gt;  מועדי אבי")</f>
        <v>הגדה של פסח &lt;ספינקא&gt;  מועדי אבי</v>
      </c>
    </row>
    <row r="10323" spans="1:6" x14ac:dyDescent="0.2">
      <c r="A10323" t="s">
        <v>17794</v>
      </c>
      <c r="B10323" t="s">
        <v>17795</v>
      </c>
      <c r="C10323" t="s">
        <v>800</v>
      </c>
      <c r="D10323" t="s">
        <v>283</v>
      </c>
      <c r="E10323" t="s">
        <v>246</v>
      </c>
      <c r="F10323" s="2" t="str">
        <f>HYPERLINK("http://www.otzar.org/book.asp?104782","הגדה של פסח &lt;נופת צופים&gt;")</f>
        <v>הגדה של פסח &lt;נופת צופים&gt;</v>
      </c>
    </row>
    <row r="10324" spans="1:6" x14ac:dyDescent="0.2">
      <c r="A10324" t="s">
        <v>17796</v>
      </c>
      <c r="B10324" t="s">
        <v>17797</v>
      </c>
      <c r="C10324" t="s">
        <v>133</v>
      </c>
      <c r="D10324" t="s">
        <v>152</v>
      </c>
      <c r="E10324" t="s">
        <v>246</v>
      </c>
      <c r="F10324" s="2" t="str">
        <f>HYPERLINK("http://www.otzar.org/book.asp?179515","הגדה של פסח &lt;אשירה עוזך&gt;")</f>
        <v>הגדה של פסח &lt;אשירה עוזך&gt;</v>
      </c>
    </row>
    <row r="10325" spans="1:6" x14ac:dyDescent="0.2">
      <c r="A10325" t="s">
        <v>17798</v>
      </c>
      <c r="B10325" t="s">
        <v>17799</v>
      </c>
      <c r="C10325" t="s">
        <v>600</v>
      </c>
      <c r="D10325" t="s">
        <v>307</v>
      </c>
      <c r="E10325" t="s">
        <v>246</v>
      </c>
      <c r="F10325" s="2" t="str">
        <f>HYPERLINK("http://www.otzar.org/book.asp?189469","הגדה של פסח &lt;ש""ך, באור חדש, באר יצחק&gt;")</f>
        <v>הגדה של פסח &lt;ש"ך, באור חדש, באר יצחק&gt;</v>
      </c>
    </row>
    <row r="10326" spans="1:6" x14ac:dyDescent="0.2">
      <c r="A10326" t="s">
        <v>17800</v>
      </c>
      <c r="B10326" t="s">
        <v>9096</v>
      </c>
      <c r="C10326" t="s">
        <v>433</v>
      </c>
      <c r="D10326" t="s">
        <v>412</v>
      </c>
      <c r="E10326" t="s">
        <v>246</v>
      </c>
      <c r="F10326" s="2" t="str">
        <f>HYPERLINK("http://www.otzar.org/book.asp?156113","הגדה של פסח &lt;הגדת פסח ארצישראלית&gt;")</f>
        <v>הגדה של פסח &lt;הגדת פסח ארצישראלית&gt;</v>
      </c>
    </row>
    <row r="10327" spans="1:6" x14ac:dyDescent="0.2">
      <c r="A10327" t="s">
        <v>17801</v>
      </c>
      <c r="B10327" t="s">
        <v>17802</v>
      </c>
      <c r="C10327" t="s">
        <v>888</v>
      </c>
      <c r="D10327" t="s">
        <v>27</v>
      </c>
      <c r="E10327" t="s">
        <v>246</v>
      </c>
      <c r="F10327" s="2" t="str">
        <f>HYPERLINK("http://www.otzar.org/book.asp?51631","הגדה של פסח &lt;מגיד צדק&gt;")</f>
        <v>הגדה של פסח &lt;מגיד צדק&gt;</v>
      </c>
    </row>
    <row r="10328" spans="1:6" x14ac:dyDescent="0.2">
      <c r="A10328" t="s">
        <v>17803</v>
      </c>
      <c r="B10328" t="s">
        <v>17804</v>
      </c>
      <c r="C10328" t="s">
        <v>306</v>
      </c>
      <c r="D10328" t="s">
        <v>582</v>
      </c>
      <c r="E10328" t="s">
        <v>246</v>
      </c>
      <c r="F10328" s="2" t="str">
        <f>HYPERLINK("http://www.otzar.org/book.asp?21419","הגדה של פסח &lt;ראש אמנה&gt;")</f>
        <v>הגדה של פסח &lt;ראש אמנה&gt;</v>
      </c>
    </row>
    <row r="10329" spans="1:6" x14ac:dyDescent="0.2">
      <c r="A10329" t="s">
        <v>17805</v>
      </c>
      <c r="B10329" t="s">
        <v>8977</v>
      </c>
      <c r="C10329" t="s">
        <v>1448</v>
      </c>
      <c r="D10329" t="s">
        <v>52</v>
      </c>
      <c r="E10329" t="s">
        <v>16355</v>
      </c>
      <c r="F10329" s="2" t="str">
        <f>HYPERLINK("http://www.otzar.org/book.asp?107022","הגדה של פסח &lt;מאיר נתיב&gt;")</f>
        <v>הגדה של פסח &lt;מאיר נתיב&gt;</v>
      </c>
    </row>
    <row r="10330" spans="1:6" x14ac:dyDescent="0.2">
      <c r="A10330" t="s">
        <v>17806</v>
      </c>
      <c r="B10330" t="s">
        <v>4953</v>
      </c>
      <c r="C10330" t="s">
        <v>23</v>
      </c>
      <c r="D10330" t="s">
        <v>14</v>
      </c>
      <c r="F10330" s="2" t="str">
        <f>HYPERLINK("http://www.otzar.org/book.asp?614688","הגדה של פסח &lt;המבואר ברכת אהרן וילקוט המדרשים&gt;")</f>
        <v>הגדה של פסח &lt;המבואר ברכת אהרן וילקוט המדרשים&gt;</v>
      </c>
    </row>
    <row r="10331" spans="1:6" x14ac:dyDescent="0.2">
      <c r="A10331" t="s">
        <v>17807</v>
      </c>
      <c r="B10331" t="s">
        <v>17808</v>
      </c>
      <c r="C10331" t="s">
        <v>20</v>
      </c>
      <c r="D10331" t="s">
        <v>21</v>
      </c>
      <c r="F10331" s="2" t="str">
        <f>HYPERLINK("http://www.otzar.org/book.asp?198624","הגדה של פסח &lt;טעם הפסח&gt;")</f>
        <v>הגדה של פסח &lt;טעם הפסח&gt;</v>
      </c>
    </row>
    <row r="10332" spans="1:6" x14ac:dyDescent="0.2">
      <c r="A10332" t="s">
        <v>17809</v>
      </c>
      <c r="B10332" t="s">
        <v>15469</v>
      </c>
      <c r="C10332" t="s">
        <v>146</v>
      </c>
      <c r="D10332" t="s">
        <v>21</v>
      </c>
      <c r="E10332" t="s">
        <v>246</v>
      </c>
      <c r="F10332" s="2" t="str">
        <f>HYPERLINK("http://www.otzar.org/book.asp?197694","הגדה של פסח &lt;מזמור לתודה&gt; - 2 כר'")</f>
        <v>הגדה של פסח &lt;מזמור לתודה&gt; - 2 כר'</v>
      </c>
    </row>
    <row r="10333" spans="1:6" x14ac:dyDescent="0.2">
      <c r="A10333" t="s">
        <v>17810</v>
      </c>
      <c r="B10333" t="s">
        <v>17811</v>
      </c>
      <c r="C10333" t="s">
        <v>609</v>
      </c>
      <c r="D10333" t="s">
        <v>14</v>
      </c>
      <c r="E10333" t="s">
        <v>246</v>
      </c>
      <c r="F10333" s="2" t="str">
        <f>HYPERLINK("http://www.otzar.org/book.asp?174083","הגדה של פסח &lt;מלחמת ה'&gt;")</f>
        <v>הגדה של פסח &lt;מלחמת ה'&gt;</v>
      </c>
    </row>
    <row r="10334" spans="1:6" x14ac:dyDescent="0.2">
      <c r="A10334" t="s">
        <v>17812</v>
      </c>
      <c r="B10334" t="s">
        <v>6980</v>
      </c>
      <c r="C10334" t="s">
        <v>151</v>
      </c>
      <c r="D10334" t="s">
        <v>14</v>
      </c>
      <c r="E10334" t="s">
        <v>246</v>
      </c>
      <c r="F10334" s="2" t="str">
        <f>HYPERLINK("http://www.otzar.org/book.asp?629867","הגדה של פסח &lt;שירת הלויים&gt;")</f>
        <v>הגדה של פסח &lt;שירת הלויים&gt;</v>
      </c>
    </row>
    <row r="10335" spans="1:6" x14ac:dyDescent="0.2">
      <c r="A10335" t="s">
        <v>17813</v>
      </c>
      <c r="B10335" t="s">
        <v>17814</v>
      </c>
      <c r="C10335" t="s">
        <v>114</v>
      </c>
      <c r="D10335" t="s">
        <v>14</v>
      </c>
      <c r="E10335" t="s">
        <v>246</v>
      </c>
      <c r="F10335" s="2" t="str">
        <f>HYPERLINK("http://www.otzar.org/book.asp?163290","הגדה של פסח &lt;מעשה נסים - 2 כר'")</f>
        <v>הגדה של פסח &lt;מעשה נסים - 2 כר'</v>
      </c>
    </row>
    <row r="10336" spans="1:6" x14ac:dyDescent="0.2">
      <c r="A10336" t="s">
        <v>17815</v>
      </c>
      <c r="B10336" t="s">
        <v>6496</v>
      </c>
      <c r="C10336" t="s">
        <v>11821</v>
      </c>
      <c r="D10336" t="s">
        <v>60</v>
      </c>
      <c r="E10336" t="s">
        <v>246</v>
      </c>
      <c r="F10336" s="2" t="str">
        <f>HYPERLINK("http://www.otzar.org/book.asp?104787","הגדה של פסח &lt;מעשה נסים&gt; - 2 כר'")</f>
        <v>הגדה של פסח &lt;מעשה נסים&gt; - 2 כר'</v>
      </c>
    </row>
    <row r="10337" spans="1:6" x14ac:dyDescent="0.2">
      <c r="A10337" t="s">
        <v>17816</v>
      </c>
      <c r="B10337" t="s">
        <v>10222</v>
      </c>
      <c r="C10337" t="s">
        <v>1954</v>
      </c>
      <c r="D10337" t="s">
        <v>412</v>
      </c>
      <c r="E10337" t="s">
        <v>246</v>
      </c>
      <c r="F10337" s="2" t="str">
        <f>HYPERLINK("http://www.otzar.org/book.asp?618125","הגדה של פסח &lt;ספר הזמנים&gt; - 2 כר'")</f>
        <v>הגדה של פסח &lt;ספר הזמנים&gt; - 2 כר'</v>
      </c>
    </row>
    <row r="10338" spans="1:6" x14ac:dyDescent="0.2">
      <c r="A10338" t="s">
        <v>17817</v>
      </c>
      <c r="B10338" t="s">
        <v>17818</v>
      </c>
      <c r="C10338" t="s">
        <v>224</v>
      </c>
      <c r="D10338" t="s">
        <v>691</v>
      </c>
      <c r="E10338" t="s">
        <v>246</v>
      </c>
      <c r="F10338" s="2" t="str">
        <f>HYPERLINK("http://www.otzar.org/book.asp?7023","הגדה של פסח &lt;אשל ברמה&gt;")</f>
        <v>הגדה של פסח &lt;אשל ברמה&gt;</v>
      </c>
    </row>
    <row r="10339" spans="1:6" x14ac:dyDescent="0.2">
      <c r="A10339" t="s">
        <v>17819</v>
      </c>
      <c r="B10339" t="s">
        <v>17820</v>
      </c>
      <c r="C10339" t="s">
        <v>496</v>
      </c>
      <c r="D10339" t="s">
        <v>1566</v>
      </c>
      <c r="E10339" t="s">
        <v>246</v>
      </c>
      <c r="F10339" s="2" t="str">
        <f>HYPERLINK("http://www.otzar.org/book.asp?300267","הגדה של פסח &lt;אמרי אליעזר&gt;")</f>
        <v>הגדה של פסח &lt;אמרי אליעזר&gt;</v>
      </c>
    </row>
    <row r="10340" spans="1:6" x14ac:dyDescent="0.2">
      <c r="A10340" t="s">
        <v>17821</v>
      </c>
      <c r="B10340" t="s">
        <v>7660</v>
      </c>
      <c r="C10340" t="s">
        <v>1954</v>
      </c>
      <c r="D10340" t="s">
        <v>27</v>
      </c>
      <c r="E10340" t="s">
        <v>17822</v>
      </c>
      <c r="F10340" s="2" t="str">
        <f>HYPERLINK("http://www.otzar.org/book.asp?11143","הגדה של פסח &lt;אריה דבי עילאי&gt;")</f>
        <v>הגדה של פסח &lt;אריה דבי עילאי&gt;</v>
      </c>
    </row>
    <row r="10341" spans="1:6" x14ac:dyDescent="0.2">
      <c r="A10341" t="s">
        <v>17823</v>
      </c>
      <c r="B10341" t="s">
        <v>1639</v>
      </c>
      <c r="C10341" t="s">
        <v>26</v>
      </c>
      <c r="D10341" t="s">
        <v>14</v>
      </c>
      <c r="E10341" t="s">
        <v>3055</v>
      </c>
      <c r="F10341" s="2" t="str">
        <f>HYPERLINK("http://www.otzar.org/book.asp?104768","הגדה של פסח &lt;דברי יחזקאל שרגא&gt;")</f>
        <v>הגדה של פסח &lt;דברי יחזקאל שרגא&gt;</v>
      </c>
    </row>
    <row r="10342" spans="1:6" x14ac:dyDescent="0.2">
      <c r="A10342" t="s">
        <v>17824</v>
      </c>
      <c r="B10342" t="s">
        <v>17825</v>
      </c>
      <c r="C10342" t="s">
        <v>725</v>
      </c>
      <c r="D10342" t="s">
        <v>15924</v>
      </c>
      <c r="E10342" t="s">
        <v>246</v>
      </c>
      <c r="F10342" s="2" t="str">
        <f>HYPERLINK("http://www.otzar.org/book.asp?161618","הגדה של פסח &lt;ברכת אברהם - ויעש אברהם&gt;")</f>
        <v>הגדה של פסח &lt;ברכת אברהם - ויעש אברהם&gt;</v>
      </c>
    </row>
    <row r="10343" spans="1:6" x14ac:dyDescent="0.2">
      <c r="A10343" t="s">
        <v>17826</v>
      </c>
      <c r="B10343" t="s">
        <v>17827</v>
      </c>
      <c r="C10343" t="s">
        <v>725</v>
      </c>
      <c r="D10343" t="s">
        <v>947</v>
      </c>
      <c r="E10343" t="s">
        <v>3055</v>
      </c>
      <c r="F10343" s="2" t="str">
        <f>HYPERLINK("http://www.otzar.org/book.asp?104744","הגדה של פסח &lt;חסד לאברהם, עטרת זקנים&gt;")</f>
        <v>הגדה של פסח &lt;חסד לאברהם, עטרת זקנים&gt;</v>
      </c>
    </row>
    <row r="10344" spans="1:6" x14ac:dyDescent="0.2">
      <c r="A10344" t="s">
        <v>17828</v>
      </c>
      <c r="B10344" t="s">
        <v>17829</v>
      </c>
      <c r="C10344" t="s">
        <v>75</v>
      </c>
      <c r="D10344" t="s">
        <v>283</v>
      </c>
      <c r="E10344" t="s">
        <v>246</v>
      </c>
      <c r="F10344" s="2" t="str">
        <f>HYPERLINK("http://www.otzar.org/book.asp?604440","הגדה של פסח &lt;שפתי רננות&gt;")</f>
        <v>הגדה של פסח &lt;שפתי רננות&gt;</v>
      </c>
    </row>
    <row r="10345" spans="1:6" x14ac:dyDescent="0.2">
      <c r="A10345" t="s">
        <v>17830</v>
      </c>
      <c r="B10345" t="s">
        <v>17831</v>
      </c>
      <c r="C10345" t="s">
        <v>2644</v>
      </c>
      <c r="D10345" t="s">
        <v>17832</v>
      </c>
      <c r="E10345" t="s">
        <v>8411</v>
      </c>
      <c r="F10345" s="2" t="str">
        <f>HYPERLINK("http://www.otzar.org/book.asp?102573","הגדה של פסח &lt;לב שמח&gt;")</f>
        <v>הגדה של פסח &lt;לב שמח&gt;</v>
      </c>
    </row>
    <row r="10346" spans="1:6" x14ac:dyDescent="0.2">
      <c r="A10346" t="s">
        <v>17833</v>
      </c>
      <c r="B10346" t="s">
        <v>9963</v>
      </c>
      <c r="C10346" t="s">
        <v>63</v>
      </c>
      <c r="D10346" t="s">
        <v>14</v>
      </c>
      <c r="E10346" t="s">
        <v>4172</v>
      </c>
      <c r="F10346" s="2" t="str">
        <f>HYPERLINK("http://www.otzar.org/book.asp?10787","הגדה של פסח &lt;פירוש המאירי, לחמא עניא והלילא דפסחא&gt;")</f>
        <v>הגדה של פסח &lt;פירוש המאירי, לחמא עניא והלילא דפסחא&gt;</v>
      </c>
    </row>
    <row r="10347" spans="1:6" x14ac:dyDescent="0.2">
      <c r="A10347" t="s">
        <v>17834</v>
      </c>
      <c r="B10347" t="s">
        <v>17835</v>
      </c>
      <c r="C10347" t="s">
        <v>20</v>
      </c>
      <c r="D10347" t="s">
        <v>14</v>
      </c>
      <c r="F10347" s="2" t="str">
        <f>HYPERLINK("http://www.otzar.org/book.asp?616477","הגדה של פסח &lt;חירות עולם&gt;")</f>
        <v>הגדה של פסח &lt;חירות עולם&gt;</v>
      </c>
    </row>
    <row r="10348" spans="1:6" x14ac:dyDescent="0.2">
      <c r="A10348" t="s">
        <v>17836</v>
      </c>
      <c r="B10348" t="s">
        <v>17837</v>
      </c>
      <c r="C10348" t="s">
        <v>422</v>
      </c>
      <c r="D10348" t="s">
        <v>52</v>
      </c>
      <c r="E10348" t="s">
        <v>246</v>
      </c>
      <c r="F10348" s="2" t="str">
        <f>HYPERLINK("http://www.otzar.org/book.asp?160245","הגדה של פסח &lt;למען תלמד ליראה&gt;")</f>
        <v>הגדה של פסח &lt;למען תלמד ליראה&gt;</v>
      </c>
    </row>
    <row r="10349" spans="1:6" x14ac:dyDescent="0.2">
      <c r="A10349" t="s">
        <v>17838</v>
      </c>
      <c r="B10349" t="s">
        <v>17839</v>
      </c>
      <c r="C10349" t="s">
        <v>160</v>
      </c>
      <c r="D10349" t="s">
        <v>9</v>
      </c>
      <c r="E10349" t="s">
        <v>246</v>
      </c>
      <c r="F10349" s="2" t="str">
        <f>HYPERLINK("http://www.otzar.org/book.asp?104792","הגדה של פסח &lt;מגדל עדר החדש&gt;")</f>
        <v>הגדה של פסח &lt;מגדל עדר החדש&gt;</v>
      </c>
    </row>
    <row r="10350" spans="1:6" x14ac:dyDescent="0.2">
      <c r="A10350" t="s">
        <v>17840</v>
      </c>
      <c r="B10350" t="s">
        <v>17839</v>
      </c>
      <c r="C10350" t="s">
        <v>617</v>
      </c>
      <c r="D10350" t="s">
        <v>56</v>
      </c>
      <c r="E10350" t="s">
        <v>246</v>
      </c>
      <c r="F10350" s="2" t="str">
        <f>HYPERLINK("http://www.otzar.org/book.asp?104796","הגדה של פסח &lt;מגדל עדר&gt;")</f>
        <v>הגדה של פסח &lt;מגדל עדר&gt;</v>
      </c>
    </row>
    <row r="10351" spans="1:6" x14ac:dyDescent="0.2">
      <c r="A10351" t="s">
        <v>17841</v>
      </c>
      <c r="B10351" t="s">
        <v>17842</v>
      </c>
      <c r="C10351" t="s">
        <v>68</v>
      </c>
      <c r="D10351" t="s">
        <v>52</v>
      </c>
      <c r="F10351" s="2" t="str">
        <f>HYPERLINK("http://www.otzar.org/book.asp?617206","הגדה של פסח &lt;בעלזא&gt;")</f>
        <v>הגדה של פסח &lt;בעלזא&gt;</v>
      </c>
    </row>
    <row r="10352" spans="1:6" x14ac:dyDescent="0.2">
      <c r="A10352" t="s">
        <v>17843</v>
      </c>
      <c r="B10352" t="s">
        <v>17844</v>
      </c>
      <c r="C10352" t="s">
        <v>146</v>
      </c>
      <c r="D10352" t="s">
        <v>115</v>
      </c>
      <c r="E10352" t="s">
        <v>246</v>
      </c>
      <c r="F10352" s="2" t="str">
        <f>HYPERLINK("http://www.otzar.org/book.asp?159580","הגדה של פסח &lt;שואל כענין&gt;")</f>
        <v>הגדה של פסח &lt;שואל כענין&gt;</v>
      </c>
    </row>
    <row r="10353" spans="1:6" x14ac:dyDescent="0.2">
      <c r="A10353" t="s">
        <v>17845</v>
      </c>
      <c r="B10353" t="s">
        <v>17846</v>
      </c>
      <c r="C10353" t="s">
        <v>411</v>
      </c>
      <c r="D10353" t="s">
        <v>17847</v>
      </c>
      <c r="E10353" t="s">
        <v>246</v>
      </c>
      <c r="F10353" s="2" t="str">
        <f>HYPERLINK("http://www.otzar.org/book.asp?172606","הגדה של פסח &lt;אוצר הראשונים&gt;")</f>
        <v>הגדה של פסח &lt;אוצר הראשונים&gt;</v>
      </c>
    </row>
    <row r="10354" spans="1:6" x14ac:dyDescent="0.2">
      <c r="A10354" t="s">
        <v>17848</v>
      </c>
      <c r="B10354" t="s">
        <v>17849</v>
      </c>
      <c r="C10354" t="s">
        <v>496</v>
      </c>
      <c r="D10354" t="s">
        <v>27</v>
      </c>
      <c r="E10354" t="s">
        <v>246</v>
      </c>
      <c r="F10354" s="2" t="str">
        <f>HYPERLINK("http://www.otzar.org/book.asp?6319","הגדה של פסח &lt;שיח יצחק&gt;")</f>
        <v>הגדה של פסח &lt;שיח יצחק&gt;</v>
      </c>
    </row>
    <row r="10355" spans="1:6" x14ac:dyDescent="0.2">
      <c r="A10355" t="s">
        <v>17850</v>
      </c>
      <c r="B10355" t="s">
        <v>13816</v>
      </c>
      <c r="C10355" t="s">
        <v>888</v>
      </c>
      <c r="D10355" t="s">
        <v>56</v>
      </c>
      <c r="E10355" t="s">
        <v>3518</v>
      </c>
      <c r="F10355" s="2" t="str">
        <f>HYPERLINK("http://www.otzar.org/book.asp?104770","הגדה של פסח &lt;אגדת אזוב&gt;")</f>
        <v>הגדה של פסח &lt;אגדת אזוב&gt;</v>
      </c>
    </row>
    <row r="10356" spans="1:6" x14ac:dyDescent="0.2">
      <c r="A10356" t="s">
        <v>17851</v>
      </c>
      <c r="B10356" t="s">
        <v>3759</v>
      </c>
      <c r="C10356" t="s">
        <v>576</v>
      </c>
      <c r="D10356" t="s">
        <v>260</v>
      </c>
      <c r="E10356" t="s">
        <v>130</v>
      </c>
      <c r="F10356" s="2" t="str">
        <f>HYPERLINK("http://www.otzar.org/book.asp?104748","הגדה של פסח &lt;באר מרים, קהלת משה&gt; - 3 כר'")</f>
        <v>הגדה של פסח &lt;באר מרים, קהלת משה&gt; - 3 כר'</v>
      </c>
    </row>
    <row r="10357" spans="1:6" x14ac:dyDescent="0.2">
      <c r="A10357" t="s">
        <v>17852</v>
      </c>
      <c r="B10357" t="s">
        <v>17853</v>
      </c>
      <c r="C10357" t="s">
        <v>87</v>
      </c>
      <c r="D10357" t="s">
        <v>14</v>
      </c>
      <c r="E10357" t="s">
        <v>246</v>
      </c>
      <c r="F10357" s="2" t="str">
        <f>HYPERLINK("http://www.otzar.org/book.asp?630177","הגדה של פסח &lt;והגדת לבנך ביום ההוא&gt;")</f>
        <v>הגדה של פסח &lt;והגדת לבנך ביום ההוא&gt;</v>
      </c>
    </row>
    <row r="10358" spans="1:6" x14ac:dyDescent="0.2">
      <c r="A10358" t="s">
        <v>17854</v>
      </c>
      <c r="B10358" t="s">
        <v>17855</v>
      </c>
      <c r="E10358" t="s">
        <v>246</v>
      </c>
      <c r="F10358" s="2" t="str">
        <f>HYPERLINK("http://www.otzar.org/book.asp?167404","הגדה של פסח &lt;מדרש הגדה - 2 כר'")</f>
        <v>הגדה של פסח &lt;מדרש הגדה - 2 כר'</v>
      </c>
    </row>
    <row r="10359" spans="1:6" x14ac:dyDescent="0.2">
      <c r="A10359" t="s">
        <v>17856</v>
      </c>
      <c r="B10359" t="s">
        <v>3614</v>
      </c>
      <c r="C10359" t="s">
        <v>466</v>
      </c>
      <c r="D10359" t="s">
        <v>14</v>
      </c>
      <c r="F10359" s="2" t="str">
        <f>HYPERLINK("http://www.otzar.org/book.asp?182264","הגדה של פסח &lt;ע""פ מתורתו של ר""נ מברסלב&gt;")</f>
        <v>הגדה של פסח &lt;ע"פ מתורתו של ר"נ מברסלב&gt;</v>
      </c>
    </row>
    <row r="10360" spans="1:6" x14ac:dyDescent="0.2">
      <c r="A10360" t="s">
        <v>17857</v>
      </c>
      <c r="B10360" t="s">
        <v>13591</v>
      </c>
      <c r="C10360" t="s">
        <v>244</v>
      </c>
      <c r="D10360" t="s">
        <v>4223</v>
      </c>
      <c r="F10360" s="2" t="str">
        <f>HYPERLINK("http://www.otzar.org/book.asp?612542","הגדה של פסח &lt;זרע שמשון&gt;")</f>
        <v>הגדה של פסח &lt;זרע שמשון&gt;</v>
      </c>
    </row>
    <row r="10361" spans="1:6" x14ac:dyDescent="0.2">
      <c r="A10361" t="s">
        <v>17858</v>
      </c>
      <c r="B10361" t="s">
        <v>17859</v>
      </c>
      <c r="C10361" t="s">
        <v>8</v>
      </c>
      <c r="D10361" t="s">
        <v>1117</v>
      </c>
      <c r="E10361" t="s">
        <v>246</v>
      </c>
      <c r="F10361" s="2" t="str">
        <f>HYPERLINK("http://www.otzar.org/book.asp?20848","הגדה של פסח &lt;ילקוט שמעוני&gt;")</f>
        <v>הגדה של פסח &lt;ילקוט שמעוני&gt;</v>
      </c>
    </row>
    <row r="10362" spans="1:6" x14ac:dyDescent="0.2">
      <c r="A10362" t="s">
        <v>17860</v>
      </c>
      <c r="B10362" t="s">
        <v>546</v>
      </c>
      <c r="C10362" t="s">
        <v>454</v>
      </c>
      <c r="D10362" t="s">
        <v>14</v>
      </c>
      <c r="E10362" t="s">
        <v>246</v>
      </c>
      <c r="F10362" s="2" t="str">
        <f>HYPERLINK("http://www.otzar.org/book.asp?52551","הגדה של פסח &lt;שיר ציון&gt;")</f>
        <v>הגדה של פסח &lt;שיר ציון&gt;</v>
      </c>
    </row>
    <row r="10363" spans="1:6" x14ac:dyDescent="0.2">
      <c r="A10363" t="s">
        <v>17861</v>
      </c>
      <c r="B10363" t="s">
        <v>12821</v>
      </c>
      <c r="C10363" t="s">
        <v>176</v>
      </c>
      <c r="D10363" t="s">
        <v>14</v>
      </c>
      <c r="E10363" t="s">
        <v>246</v>
      </c>
      <c r="F10363" s="2" t="str">
        <f>HYPERLINK("http://www.otzar.org/book.asp?190827","הגדה של פסח &lt;שיח הגרי""ד&gt;")</f>
        <v>הגדה של פסח &lt;שיח הגרי"ד&gt;</v>
      </c>
    </row>
    <row r="10364" spans="1:6" x14ac:dyDescent="0.2">
      <c r="A10364" t="s">
        <v>17862</v>
      </c>
      <c r="B10364" t="s">
        <v>17863</v>
      </c>
      <c r="C10364" t="s">
        <v>919</v>
      </c>
      <c r="D10364" t="s">
        <v>80</v>
      </c>
      <c r="E10364" t="s">
        <v>246</v>
      </c>
      <c r="F10364" s="2" t="str">
        <f>HYPERLINK("http://www.otzar.org/book.asp?197263","הגדה של פסח &lt;קבוץ חכמים&gt;")</f>
        <v>הגדה של פסח &lt;קבוץ חכמים&gt;</v>
      </c>
    </row>
    <row r="10365" spans="1:6" x14ac:dyDescent="0.2">
      <c r="A10365" t="s">
        <v>17864</v>
      </c>
      <c r="B10365" t="s">
        <v>17865</v>
      </c>
      <c r="C10365" t="s">
        <v>143</v>
      </c>
      <c r="D10365" t="s">
        <v>21</v>
      </c>
      <c r="E10365" t="s">
        <v>246</v>
      </c>
      <c r="F10365" s="2" t="str">
        <f>HYPERLINK("http://www.otzar.org/book.asp?600445","הגדה של פסח &lt;כתב סופר&gt;")</f>
        <v>הגדה של פסח &lt;כתב סופר&gt;</v>
      </c>
    </row>
    <row r="10366" spans="1:6" x14ac:dyDescent="0.2">
      <c r="A10366" t="s">
        <v>17866</v>
      </c>
      <c r="B10366" t="s">
        <v>17865</v>
      </c>
      <c r="C10366" t="s">
        <v>3840</v>
      </c>
      <c r="D10366" t="s">
        <v>986</v>
      </c>
      <c r="E10366" t="s">
        <v>246</v>
      </c>
      <c r="F10366" s="2" t="str">
        <f>HYPERLINK("http://www.otzar.org/book.asp?60666","הגדה של פסח &lt;מסך הפסח&gt;")</f>
        <v>הגדה של פסח &lt;מסך הפסח&gt;</v>
      </c>
    </row>
    <row r="10367" spans="1:6" x14ac:dyDescent="0.2">
      <c r="A10367" t="s">
        <v>17867</v>
      </c>
      <c r="B10367" t="s">
        <v>17868</v>
      </c>
      <c r="C10367" t="s">
        <v>503</v>
      </c>
      <c r="D10367" t="s">
        <v>1459</v>
      </c>
      <c r="E10367" t="s">
        <v>246</v>
      </c>
      <c r="F10367" s="2" t="str">
        <f>HYPERLINK("http://www.otzar.org/book.asp?104741","הגדה של פסח &lt;חת""ם סופר, חתן סופר&gt;")</f>
        <v>הגדה של פסח &lt;חת"ם סופר, חתן סופר&gt;</v>
      </c>
    </row>
    <row r="10368" spans="1:6" x14ac:dyDescent="0.2">
      <c r="A10368" t="s">
        <v>17869</v>
      </c>
      <c r="B10368" t="s">
        <v>3299</v>
      </c>
      <c r="C10368" t="s">
        <v>103</v>
      </c>
      <c r="D10368" t="s">
        <v>14</v>
      </c>
      <c r="E10368" t="s">
        <v>246</v>
      </c>
      <c r="F10368" s="2" t="str">
        <f>HYPERLINK("http://www.otzar.org/book.asp?163027","הגדה של פסח &lt;חתם סופר&gt;")</f>
        <v>הגדה של פסח &lt;חתם סופר&gt;</v>
      </c>
    </row>
    <row r="10369" spans="1:6" x14ac:dyDescent="0.2">
      <c r="A10369" t="s">
        <v>17870</v>
      </c>
      <c r="B10369" t="s">
        <v>1351</v>
      </c>
      <c r="C10369" t="s">
        <v>176</v>
      </c>
      <c r="D10369" t="s">
        <v>52</v>
      </c>
      <c r="E10369" t="s">
        <v>246</v>
      </c>
      <c r="F10369" s="2" t="str">
        <f>HYPERLINK("http://www.otzar.org/book.asp?161369","הגדה של פסח &lt;מכתב סופר&gt;")</f>
        <v>הגדה של פסח &lt;מכתב סופר&gt;</v>
      </c>
    </row>
    <row r="10370" spans="1:6" x14ac:dyDescent="0.2">
      <c r="A10370" t="s">
        <v>17871</v>
      </c>
      <c r="B10370" t="s">
        <v>17872</v>
      </c>
      <c r="C10370" t="s">
        <v>176</v>
      </c>
      <c r="D10370" t="s">
        <v>21</v>
      </c>
      <c r="E10370" t="s">
        <v>246</v>
      </c>
      <c r="F10370" s="2" t="str">
        <f>HYPERLINK("http://www.otzar.org/book.asp?199469","הגדה של פסח &lt;גדולי טעלז&gt;")</f>
        <v>הגדה של פסח &lt;גדולי טעלז&gt;</v>
      </c>
    </row>
    <row r="10371" spans="1:6" x14ac:dyDescent="0.2">
      <c r="A10371" t="s">
        <v>17873</v>
      </c>
      <c r="B10371" t="s">
        <v>3292</v>
      </c>
      <c r="C10371" t="s">
        <v>445</v>
      </c>
      <c r="D10371" t="s">
        <v>17874</v>
      </c>
      <c r="E10371" t="s">
        <v>246</v>
      </c>
      <c r="F10371" s="2" t="str">
        <f>HYPERLINK("http://www.otzar.org/book.asp?626610","הגדה של פסח &lt;קרבן פסח&gt; - 2 כר'")</f>
        <v>הגדה של פסח &lt;קרבן פסח&gt; - 2 כר'</v>
      </c>
    </row>
    <row r="10372" spans="1:6" x14ac:dyDescent="0.2">
      <c r="A10372" t="s">
        <v>17875</v>
      </c>
      <c r="B10372" t="s">
        <v>17876</v>
      </c>
      <c r="C10372" t="s">
        <v>1047</v>
      </c>
      <c r="D10372" t="s">
        <v>307</v>
      </c>
      <c r="E10372" t="s">
        <v>246</v>
      </c>
      <c r="F10372" s="2" t="str">
        <f>HYPERLINK("http://www.otzar.org/book.asp?83616","הגדה של פסח &lt;פסח מעובין, מכשירי פסחא, אמרי שפר&gt;")</f>
        <v>הגדה של פסח &lt;פסח מעובין, מכשירי פסחא, אמרי שפר&gt;</v>
      </c>
    </row>
    <row r="10373" spans="1:6" x14ac:dyDescent="0.2">
      <c r="A10373" t="s">
        <v>17877</v>
      </c>
      <c r="B10373" t="s">
        <v>17878</v>
      </c>
      <c r="C10373" t="s">
        <v>244</v>
      </c>
      <c r="D10373" t="s">
        <v>14</v>
      </c>
      <c r="E10373" t="s">
        <v>246</v>
      </c>
      <c r="F10373" s="2" t="str">
        <f>HYPERLINK("http://www.otzar.org/book.asp?199203","הגדה של פסח &lt;קאמרנא&gt;")</f>
        <v>הגדה של פסח &lt;קאמרנא&gt;</v>
      </c>
    </row>
    <row r="10374" spans="1:6" x14ac:dyDescent="0.2">
      <c r="A10374" t="s">
        <v>17879</v>
      </c>
      <c r="B10374" t="s">
        <v>5139</v>
      </c>
      <c r="C10374" t="s">
        <v>71</v>
      </c>
      <c r="D10374" t="s">
        <v>14</v>
      </c>
      <c r="E10374" t="s">
        <v>246</v>
      </c>
      <c r="F10374" s="2" t="str">
        <f>HYPERLINK("http://www.otzar.org/book.asp?173776","הגדה של פסח &lt;מי מגידו&gt;")</f>
        <v>הגדה של פסח &lt;מי מגידו&gt;</v>
      </c>
    </row>
    <row r="10375" spans="1:6" x14ac:dyDescent="0.2">
      <c r="A10375" t="s">
        <v>17880</v>
      </c>
      <c r="B10375" t="s">
        <v>17881</v>
      </c>
      <c r="C10375" t="s">
        <v>2227</v>
      </c>
      <c r="D10375" t="s">
        <v>283</v>
      </c>
      <c r="E10375" t="s">
        <v>246</v>
      </c>
      <c r="F10375" s="2" t="str">
        <f>HYPERLINK("http://www.otzar.org/book.asp?52163","הגדה של פסח &lt;יראה לעינים - יראה ללבב&gt;")</f>
        <v>הגדה של פסח &lt;יראה לעינים - יראה ללבב&gt;</v>
      </c>
    </row>
    <row r="10376" spans="1:6" x14ac:dyDescent="0.2">
      <c r="A10376" t="s">
        <v>17882</v>
      </c>
      <c r="B10376" t="s">
        <v>17883</v>
      </c>
      <c r="C10376" t="s">
        <v>1418</v>
      </c>
      <c r="D10376" t="s">
        <v>283</v>
      </c>
      <c r="E10376" t="s">
        <v>130</v>
      </c>
      <c r="F10376" s="2" t="str">
        <f>HYPERLINK("http://www.otzar.org/book.asp?52079","הגדה של פסח &lt;תקות ישראל&gt;")</f>
        <v>הגדה של פסח &lt;תקות ישראל&gt;</v>
      </c>
    </row>
    <row r="10377" spans="1:6" x14ac:dyDescent="0.2">
      <c r="A10377" t="s">
        <v>17884</v>
      </c>
      <c r="B10377" t="s">
        <v>12242</v>
      </c>
      <c r="C10377" t="s">
        <v>114</v>
      </c>
      <c r="D10377" t="s">
        <v>9426</v>
      </c>
      <c r="E10377" t="s">
        <v>246</v>
      </c>
      <c r="F10377" s="2" t="str">
        <f>HYPERLINK("http://www.otzar.org/book.asp?179826","הגדה של פסח &lt;מימים ימימה&gt;")</f>
        <v>הגדה של פסח &lt;מימים ימימה&gt;</v>
      </c>
    </row>
    <row r="10378" spans="1:6" x14ac:dyDescent="0.2">
      <c r="A10378" t="s">
        <v>17885</v>
      </c>
      <c r="B10378" t="s">
        <v>17886</v>
      </c>
      <c r="C10378" t="s">
        <v>427</v>
      </c>
      <c r="D10378" t="s">
        <v>14</v>
      </c>
      <c r="E10378" t="s">
        <v>246</v>
      </c>
      <c r="F10378" s="2" t="str">
        <f>HYPERLINK("http://www.otzar.org/book.asp?180756","הגדה של פסח &lt;מטיב נגן - צפנת פענח&gt;")</f>
        <v>הגדה של פסח &lt;מטיב נגן - צפנת פענח&gt;</v>
      </c>
    </row>
    <row r="10379" spans="1:6" x14ac:dyDescent="0.2">
      <c r="A10379" t="s">
        <v>17887</v>
      </c>
      <c r="B10379" t="s">
        <v>1417</v>
      </c>
      <c r="C10379" t="s">
        <v>37</v>
      </c>
      <c r="D10379" t="s">
        <v>152</v>
      </c>
      <c r="E10379" t="s">
        <v>246</v>
      </c>
      <c r="F10379" s="2" t="str">
        <f>HYPERLINK("http://www.otzar.org/book.asp?180097","הגדה של פסח &lt;מטיב נגן&gt;")</f>
        <v>הגדה של פסח &lt;מטיב נגן&gt;</v>
      </c>
    </row>
    <row r="10380" spans="1:6" x14ac:dyDescent="0.2">
      <c r="A10380" t="s">
        <v>17888</v>
      </c>
      <c r="B10380" t="s">
        <v>17889</v>
      </c>
      <c r="C10380" t="s">
        <v>68</v>
      </c>
      <c r="D10380" t="s">
        <v>21</v>
      </c>
      <c r="E10380" t="s">
        <v>246</v>
      </c>
      <c r="F10380" s="2" t="str">
        <f>HYPERLINK("http://www.otzar.org/book.asp?602059","הגדה של פסח &lt;מדרכי ה' בגאולה&gt;")</f>
        <v>הגדה של פסח &lt;מדרכי ה' בגאולה&gt;</v>
      </c>
    </row>
    <row r="10381" spans="1:6" x14ac:dyDescent="0.2">
      <c r="A10381" t="s">
        <v>17890</v>
      </c>
      <c r="B10381" t="s">
        <v>17891</v>
      </c>
      <c r="C10381" t="s">
        <v>1718</v>
      </c>
      <c r="D10381" t="s">
        <v>307</v>
      </c>
      <c r="E10381" t="s">
        <v>246</v>
      </c>
      <c r="F10381" s="2" t="str">
        <f>HYPERLINK("http://www.otzar.org/book.asp?149594","הגדה של פסח &lt;נטפי מים&gt;")</f>
        <v>הגדה של פסח &lt;נטפי מים&gt;</v>
      </c>
    </row>
    <row r="10382" spans="1:6" x14ac:dyDescent="0.2">
      <c r="A10382" t="s">
        <v>17892</v>
      </c>
      <c r="B10382" t="s">
        <v>17893</v>
      </c>
      <c r="C10382" t="s">
        <v>68</v>
      </c>
      <c r="D10382" t="s">
        <v>20</v>
      </c>
      <c r="F10382" s="2" t="str">
        <f>HYPERLINK("http://www.otzar.org/book.asp?182934","הגדה של פסח &lt;מראה כהן&gt;")</f>
        <v>הגדה של פסח &lt;מראה כהן&gt;</v>
      </c>
    </row>
    <row r="10383" spans="1:6" x14ac:dyDescent="0.2">
      <c r="A10383" t="s">
        <v>17894</v>
      </c>
      <c r="B10383" t="s">
        <v>17895</v>
      </c>
      <c r="C10383" t="s">
        <v>1706</v>
      </c>
      <c r="D10383" t="s">
        <v>855</v>
      </c>
      <c r="E10383" t="s">
        <v>17896</v>
      </c>
      <c r="F10383" s="2" t="str">
        <f>HYPERLINK("http://www.otzar.org/book.asp?104783","הגדה של פסח &lt;מראה יחזקאל&gt;")</f>
        <v>הגדה של פסח &lt;מראה יחזקאל&gt;</v>
      </c>
    </row>
    <row r="10384" spans="1:6" x14ac:dyDescent="0.2">
      <c r="A10384" t="s">
        <v>17897</v>
      </c>
      <c r="B10384" t="s">
        <v>4431</v>
      </c>
      <c r="C10384" t="s">
        <v>37</v>
      </c>
      <c r="D10384" t="s">
        <v>27</v>
      </c>
      <c r="E10384" t="s">
        <v>246</v>
      </c>
      <c r="F10384" s="2" t="str">
        <f>HYPERLINK("http://www.otzar.org/book.asp?189159","הגדה של פסח &lt;אורות פלא&gt;")</f>
        <v>הגדה של פסח &lt;אורות פלא&gt;</v>
      </c>
    </row>
    <row r="10385" spans="1:6" x14ac:dyDescent="0.2">
      <c r="A10385" t="s">
        <v>17898</v>
      </c>
      <c r="B10385" t="s">
        <v>11722</v>
      </c>
      <c r="C10385" t="s">
        <v>1160</v>
      </c>
      <c r="D10385" t="s">
        <v>52</v>
      </c>
      <c r="E10385" t="s">
        <v>246</v>
      </c>
      <c r="F10385" s="2" t="str">
        <f>HYPERLINK("http://www.otzar.org/book.asp?161577","הגדה של פסח &lt;מדרש בחידוש, אמרי קודש&gt; - 2 כר'")</f>
        <v>הגדה של פסח &lt;מדרש בחידוש, אמרי קודש&gt; - 2 כר'</v>
      </c>
    </row>
    <row r="10386" spans="1:6" x14ac:dyDescent="0.2">
      <c r="A10386" t="s">
        <v>17899</v>
      </c>
      <c r="B10386" t="s">
        <v>11722</v>
      </c>
      <c r="C10386" t="s">
        <v>106</v>
      </c>
      <c r="D10386" t="s">
        <v>14</v>
      </c>
      <c r="E10386" t="s">
        <v>246</v>
      </c>
      <c r="F10386" s="2" t="str">
        <f>HYPERLINK("http://www.otzar.org/book.asp?10277","הגדה של פסח &lt;מדרש בחידוש&gt;")</f>
        <v>הגדה של פסח &lt;מדרש בחידוש&gt;</v>
      </c>
    </row>
    <row r="10387" spans="1:6" x14ac:dyDescent="0.2">
      <c r="A10387" t="s">
        <v>17900</v>
      </c>
      <c r="B10387" t="s">
        <v>17901</v>
      </c>
      <c r="C10387" t="s">
        <v>624</v>
      </c>
      <c r="D10387" t="s">
        <v>721</v>
      </c>
      <c r="E10387" t="s">
        <v>246</v>
      </c>
      <c r="F10387" s="2" t="str">
        <f>HYPERLINK("http://www.otzar.org/book.asp?173124","הגדה של פסח &lt;חקת הפסח&gt;")</f>
        <v>הגדה של פסח &lt;חקת הפסח&gt;</v>
      </c>
    </row>
    <row r="10388" spans="1:6" x14ac:dyDescent="0.2">
      <c r="A10388" t="s">
        <v>17902</v>
      </c>
      <c r="B10388" t="s">
        <v>12202</v>
      </c>
      <c r="C10388" t="s">
        <v>496</v>
      </c>
      <c r="D10388" t="s">
        <v>225</v>
      </c>
      <c r="E10388" t="s">
        <v>130</v>
      </c>
      <c r="F10388" s="2" t="str">
        <f>HYPERLINK("http://www.otzar.org/book.asp?51623","הגדה של פסח &lt;מחזה אברהם&gt; - 2 כר'")</f>
        <v>הגדה של פסח &lt;מחזה אברהם&gt; - 2 כר'</v>
      </c>
    </row>
    <row r="10389" spans="1:6" x14ac:dyDescent="0.2">
      <c r="A10389" t="s">
        <v>17903</v>
      </c>
      <c r="B10389" t="s">
        <v>17904</v>
      </c>
      <c r="C10389" t="s">
        <v>37</v>
      </c>
      <c r="D10389" t="s">
        <v>14</v>
      </c>
      <c r="F10389" s="2" t="str">
        <f>HYPERLINK("http://www.otzar.org/book.asp?189008","הגדה של פסח &lt;שמחת דוד&gt;")</f>
        <v>הגדה של פסח &lt;שמחת דוד&gt;</v>
      </c>
    </row>
    <row r="10390" spans="1:6" x14ac:dyDescent="0.2">
      <c r="A10390" t="s">
        <v>17905</v>
      </c>
      <c r="B10390" t="s">
        <v>6661</v>
      </c>
      <c r="C10390" t="s">
        <v>454</v>
      </c>
      <c r="D10390" t="s">
        <v>486</v>
      </c>
      <c r="E10390" t="s">
        <v>246</v>
      </c>
      <c r="F10390" s="2" t="str">
        <f>HYPERLINK("http://www.otzar.org/book.asp?159613","הגדה של פסח &lt;פרי תבואה&gt; - 2 כר'")</f>
        <v>הגדה של פסח &lt;פרי תבואה&gt; - 2 כר'</v>
      </c>
    </row>
    <row r="10391" spans="1:6" x14ac:dyDescent="0.2">
      <c r="A10391" t="s">
        <v>17906</v>
      </c>
      <c r="B10391" t="s">
        <v>6590</v>
      </c>
      <c r="C10391" t="s">
        <v>37</v>
      </c>
      <c r="D10391" t="s">
        <v>115</v>
      </c>
      <c r="E10391" t="s">
        <v>246</v>
      </c>
      <c r="F10391" s="2" t="str">
        <f>HYPERLINK("http://www.otzar.org/book.asp?606104","הגדה של פסח &lt;משפחת הרבנים פינטו- ויגד משה&gt;")</f>
        <v>הגדה של פסח &lt;משפחת הרבנים פינטו- ויגד משה&gt;</v>
      </c>
    </row>
    <row r="10392" spans="1:6" x14ac:dyDescent="0.2">
      <c r="A10392" t="s">
        <v>17907</v>
      </c>
      <c r="B10392" t="s">
        <v>17908</v>
      </c>
      <c r="C10392" t="s">
        <v>5140</v>
      </c>
      <c r="D10392" t="s">
        <v>56</v>
      </c>
      <c r="E10392" t="s">
        <v>246</v>
      </c>
      <c r="F10392" s="2" t="str">
        <f>HYPERLINK("http://www.otzar.org/book.asp?52144","הגדה של פסח &lt;יד החזקה&gt;")</f>
        <v>הגדה של פסח &lt;יד החזקה&gt;</v>
      </c>
    </row>
    <row r="10393" spans="1:6" x14ac:dyDescent="0.2">
      <c r="A10393" t="s">
        <v>17909</v>
      </c>
      <c r="B10393" t="s">
        <v>17910</v>
      </c>
      <c r="C10393" t="s">
        <v>37</v>
      </c>
      <c r="D10393" t="s">
        <v>52</v>
      </c>
      <c r="E10393" t="s">
        <v>246</v>
      </c>
      <c r="F10393" s="2" t="str">
        <f>HYPERLINK("http://www.otzar.org/book.asp?624928","הגדה של פסח &lt;בית אבא-ויגד משה&gt;")</f>
        <v>הגדה של פסח &lt;בית אבא-ויגד משה&gt;</v>
      </c>
    </row>
    <row r="10394" spans="1:6" x14ac:dyDescent="0.2">
      <c r="A10394" t="s">
        <v>17911</v>
      </c>
      <c r="B10394" t="s">
        <v>17912</v>
      </c>
      <c r="C10394" t="s">
        <v>1448</v>
      </c>
      <c r="D10394" t="s">
        <v>216</v>
      </c>
      <c r="E10394" t="s">
        <v>3516</v>
      </c>
      <c r="F10394" s="2" t="str">
        <f>HYPERLINK("http://www.otzar.org/book.asp?84938","הגדה של פסח &lt;תפוחי חיים&gt;")</f>
        <v>הגדה של פסח &lt;תפוחי חיים&gt;</v>
      </c>
    </row>
    <row r="10395" spans="1:6" x14ac:dyDescent="0.2">
      <c r="A10395" t="s">
        <v>17913</v>
      </c>
      <c r="B10395" t="s">
        <v>17914</v>
      </c>
      <c r="C10395" t="s">
        <v>129</v>
      </c>
      <c r="D10395" t="s">
        <v>27</v>
      </c>
      <c r="E10395" t="s">
        <v>246</v>
      </c>
      <c r="F10395" s="2" t="str">
        <f>HYPERLINK("http://www.otzar.org/book.asp?142000","הגדה של פסח &lt;תבלין למצוה&gt; - 2 כר'")</f>
        <v>הגדה של פסח &lt;תבלין למצוה&gt; - 2 כר'</v>
      </c>
    </row>
    <row r="10396" spans="1:6" x14ac:dyDescent="0.2">
      <c r="A10396" t="s">
        <v>17915</v>
      </c>
      <c r="B10396" t="s">
        <v>17916</v>
      </c>
      <c r="C10396" t="s">
        <v>143</v>
      </c>
      <c r="D10396" t="s">
        <v>14</v>
      </c>
      <c r="F10396" s="2" t="str">
        <f>HYPERLINK("http://www.otzar.org/book.asp?610828","הגדה של פסח &lt;אך פרי תבואה&gt;")</f>
        <v>הגדה של פסח &lt;אך פרי תבואה&gt;</v>
      </c>
    </row>
    <row r="10397" spans="1:6" x14ac:dyDescent="0.2">
      <c r="A10397" t="s">
        <v>17917</v>
      </c>
      <c r="B10397" t="s">
        <v>3520</v>
      </c>
      <c r="C10397" t="s">
        <v>114</v>
      </c>
      <c r="D10397" t="s">
        <v>14</v>
      </c>
      <c r="E10397" t="s">
        <v>246</v>
      </c>
      <c r="F10397" s="2" t="str">
        <f>HYPERLINK("http://www.otzar.org/book.asp?166469","הגדה של פסח &lt;אוצרותיהם של צדיקים&gt;")</f>
        <v>הגדה של פסח &lt;אוצרותיהם של צדיקים&gt;</v>
      </c>
    </row>
    <row r="10398" spans="1:6" x14ac:dyDescent="0.2">
      <c r="A10398" t="s">
        <v>17918</v>
      </c>
      <c r="B10398" t="s">
        <v>17919</v>
      </c>
      <c r="C10398" t="s">
        <v>244</v>
      </c>
      <c r="D10398" t="s">
        <v>80</v>
      </c>
      <c r="E10398" t="s">
        <v>246</v>
      </c>
      <c r="F10398" s="2" t="str">
        <f>HYPERLINK("http://www.otzar.org/book.asp?601165","הגדה של פסח &lt;מעין חתום&gt;")</f>
        <v>הגדה של פסח &lt;מעין חתום&gt;</v>
      </c>
    </row>
    <row r="10399" spans="1:6" x14ac:dyDescent="0.2">
      <c r="A10399" t="s">
        <v>17920</v>
      </c>
      <c r="B10399" t="s">
        <v>17921</v>
      </c>
      <c r="C10399" t="s">
        <v>366</v>
      </c>
      <c r="D10399" t="s">
        <v>80</v>
      </c>
      <c r="E10399" t="s">
        <v>246</v>
      </c>
      <c r="F10399" s="2" t="str">
        <f>HYPERLINK("http://www.otzar.org/book.asp?606886","הגדה של פסח &lt;באזני בנך&gt;")</f>
        <v>הגדה של פסח &lt;באזני בנך&gt;</v>
      </c>
    </row>
    <row r="10400" spans="1:6" x14ac:dyDescent="0.2">
      <c r="A10400" t="s">
        <v>17922</v>
      </c>
      <c r="B10400" t="s">
        <v>17923</v>
      </c>
      <c r="D10400" t="s">
        <v>412</v>
      </c>
      <c r="E10400" t="s">
        <v>246</v>
      </c>
      <c r="F10400" s="2" t="str">
        <f>HYPERLINK("http://www.otzar.org/book.asp?606298","הגדה של פסח &lt;מחט של יד&gt;")</f>
        <v>הגדה של פסח &lt;מחט של יד&gt;</v>
      </c>
    </row>
    <row r="10401" spans="1:6" x14ac:dyDescent="0.2">
      <c r="A10401" t="s">
        <v>17924</v>
      </c>
      <c r="B10401" t="s">
        <v>17925</v>
      </c>
      <c r="C10401" t="s">
        <v>767</v>
      </c>
      <c r="D10401" t="s">
        <v>52</v>
      </c>
      <c r="E10401" t="s">
        <v>1164</v>
      </c>
      <c r="F10401" s="2" t="str">
        <f>HYPERLINK("http://www.otzar.org/book.asp?107436","הגדה של פסח &lt;פרי עץ חיים&gt; - 2 כר'")</f>
        <v>הגדה של פסח &lt;פרי עץ חיים&gt; - 2 כר'</v>
      </c>
    </row>
    <row r="10402" spans="1:6" x14ac:dyDescent="0.2">
      <c r="A10402" t="s">
        <v>17926</v>
      </c>
      <c r="B10402" t="s">
        <v>17927</v>
      </c>
      <c r="C10402" t="s">
        <v>114</v>
      </c>
      <c r="D10402" t="s">
        <v>147</v>
      </c>
      <c r="E10402" t="s">
        <v>246</v>
      </c>
      <c r="F10402" s="2" t="str">
        <f>HYPERLINK("http://www.otzar.org/book.asp?161861","הגדה של פסח &lt;טעם זקנים - מאוצרות חכמי תימן&gt;")</f>
        <v>הגדה של פסח &lt;טעם זקנים - מאוצרות חכמי תימן&gt;</v>
      </c>
    </row>
    <row r="10403" spans="1:6" x14ac:dyDescent="0.2">
      <c r="A10403" t="s">
        <v>17928</v>
      </c>
      <c r="B10403" t="s">
        <v>17929</v>
      </c>
      <c r="C10403" t="s">
        <v>20</v>
      </c>
      <c r="D10403" t="s">
        <v>14</v>
      </c>
      <c r="F10403" s="2" t="str">
        <f>HYPERLINK("http://www.otzar.org/book.asp?608325","הגדה של פסח &lt;הגדת בית בלאזוב&gt;")</f>
        <v>הגדה של פסח &lt;הגדת בית בלאזוב&gt;</v>
      </c>
    </row>
    <row r="10404" spans="1:6" x14ac:dyDescent="0.2">
      <c r="A10404" t="s">
        <v>17930</v>
      </c>
      <c r="B10404" t="s">
        <v>17931</v>
      </c>
      <c r="C10404" t="s">
        <v>129</v>
      </c>
      <c r="D10404" t="s">
        <v>52</v>
      </c>
      <c r="E10404" t="s">
        <v>246</v>
      </c>
      <c r="F10404" s="2" t="str">
        <f>HYPERLINK("http://www.otzar.org/book.asp?171463","הגדה של פסח &lt;זרע יצחק&gt;")</f>
        <v>הגדה של פסח &lt;זרע יצחק&gt;</v>
      </c>
    </row>
    <row r="10405" spans="1:6" x14ac:dyDescent="0.2">
      <c r="A10405" t="s">
        <v>17932</v>
      </c>
      <c r="B10405" t="s">
        <v>17933</v>
      </c>
      <c r="C10405" t="s">
        <v>767</v>
      </c>
      <c r="E10405" t="s">
        <v>246</v>
      </c>
      <c r="F10405" s="2" t="str">
        <f>HYPERLINK("http://www.otzar.org/book.asp?600423","הגדה של פסח &lt;שיח אבות&gt;")</f>
        <v>הגדה של פסח &lt;שיח אבות&gt;</v>
      </c>
    </row>
    <row r="10406" spans="1:6" x14ac:dyDescent="0.2">
      <c r="A10406" t="s">
        <v>17934</v>
      </c>
      <c r="B10406" t="s">
        <v>17935</v>
      </c>
      <c r="C10406" t="s">
        <v>244</v>
      </c>
      <c r="D10406" t="s">
        <v>10373</v>
      </c>
      <c r="F10406" s="2" t="str">
        <f>HYPERLINK("http://www.otzar.org/book.asp?608834","הגדה של פסח &lt;אמרי חיים ואמונה - קרטשניף - סיגעט&gt;")</f>
        <v>הגדה של פסח &lt;אמרי חיים ואמונה - קרטשניף - סיגעט&gt;</v>
      </c>
    </row>
    <row r="10407" spans="1:6" x14ac:dyDescent="0.2">
      <c r="A10407" t="s">
        <v>17936</v>
      </c>
      <c r="B10407" t="s">
        <v>1159</v>
      </c>
      <c r="C10407" t="s">
        <v>168</v>
      </c>
      <c r="D10407" t="s">
        <v>216</v>
      </c>
      <c r="E10407" t="s">
        <v>246</v>
      </c>
      <c r="F10407" s="2" t="str">
        <f>HYPERLINK("http://www.otzar.org/book.asp?145041","הגדה של פסח &lt;מגיד מראשית&gt;")</f>
        <v>הגדה של פסח &lt;מגיד מראשית&gt;</v>
      </c>
    </row>
    <row r="10408" spans="1:6" x14ac:dyDescent="0.2">
      <c r="A10408" t="s">
        <v>17937</v>
      </c>
      <c r="B10408" t="s">
        <v>17938</v>
      </c>
      <c r="C10408" t="s">
        <v>366</v>
      </c>
      <c r="D10408" t="s">
        <v>90</v>
      </c>
      <c r="F10408" s="2" t="str">
        <f>HYPERLINK("http://www.otzar.org/book.asp?609628","הגדה של פסח &lt;לשנה הזאת בירושלים&gt;")</f>
        <v>הגדה של פסח &lt;לשנה הזאת בירושלים&gt;</v>
      </c>
    </row>
    <row r="10409" spans="1:6" x14ac:dyDescent="0.2">
      <c r="A10409" t="s">
        <v>17939</v>
      </c>
      <c r="B10409" t="s">
        <v>17940</v>
      </c>
      <c r="C10409" t="s">
        <v>445</v>
      </c>
      <c r="D10409" t="s">
        <v>27</v>
      </c>
      <c r="E10409" t="s">
        <v>246</v>
      </c>
      <c r="F10409" s="2" t="str">
        <f>HYPERLINK("http://www.otzar.org/book.asp?8786","הגדה של פסח &lt;ברכת השיר, מעשה נסים&gt;")</f>
        <v>הגדה של פסח &lt;ברכת השיר, מעשה נסים&gt;</v>
      </c>
    </row>
    <row r="10410" spans="1:6" x14ac:dyDescent="0.2">
      <c r="A10410" t="s">
        <v>17941</v>
      </c>
      <c r="B10410" t="s">
        <v>5253</v>
      </c>
      <c r="C10410" t="s">
        <v>286</v>
      </c>
      <c r="D10410" t="s">
        <v>283</v>
      </c>
      <c r="E10410" t="s">
        <v>246</v>
      </c>
      <c r="F10410" s="2" t="str">
        <f>HYPERLINK("http://www.otzar.org/book.asp?104795","הגדה של פסח &lt;ברכת השיר&gt; - 2 כר'")</f>
        <v>הגדה של פסח &lt;ברכת השיר&gt; - 2 כר'</v>
      </c>
    </row>
    <row r="10411" spans="1:6" x14ac:dyDescent="0.2">
      <c r="A10411" t="s">
        <v>17942</v>
      </c>
      <c r="B10411" t="s">
        <v>17431</v>
      </c>
      <c r="C10411" t="s">
        <v>17</v>
      </c>
      <c r="D10411" t="s">
        <v>14</v>
      </c>
      <c r="E10411" t="s">
        <v>246</v>
      </c>
      <c r="F10411" s="2" t="str">
        <f>HYPERLINK("http://www.otzar.org/book.asp?106674","הגדה של פסח &lt;הלכות חג בחג&gt;")</f>
        <v>הגדה של פסח &lt;הלכות חג בחג&gt;</v>
      </c>
    </row>
    <row r="10412" spans="1:6" x14ac:dyDescent="0.2">
      <c r="A10412" t="s">
        <v>17943</v>
      </c>
      <c r="B10412" t="s">
        <v>17944</v>
      </c>
      <c r="C10412" t="s">
        <v>411</v>
      </c>
      <c r="D10412" t="s">
        <v>152</v>
      </c>
      <c r="E10412" t="s">
        <v>246</v>
      </c>
      <c r="F10412" s="2" t="str">
        <f>HYPERLINK("http://www.otzar.org/book.asp?189753","הגדה של פסח &lt;לחזות בנועם&gt;")</f>
        <v>הגדה של פסח &lt;לחזות בנועם&gt;</v>
      </c>
    </row>
    <row r="10413" spans="1:6" x14ac:dyDescent="0.2">
      <c r="A10413" t="s">
        <v>17945</v>
      </c>
      <c r="B10413" t="s">
        <v>1469</v>
      </c>
      <c r="C10413" t="s">
        <v>1169</v>
      </c>
      <c r="D10413" t="s">
        <v>27</v>
      </c>
      <c r="E10413" t="s">
        <v>246</v>
      </c>
      <c r="F10413" s="2" t="str">
        <f>HYPERLINK("http://www.otzar.org/book.asp?144801","הגדה של פסח &lt;עולת ראיה&gt;")</f>
        <v>הגדה של פסח &lt;עולת ראיה&gt;</v>
      </c>
    </row>
    <row r="10414" spans="1:6" x14ac:dyDescent="0.2">
      <c r="A10414" t="s">
        <v>17946</v>
      </c>
      <c r="B10414" t="s">
        <v>17947</v>
      </c>
      <c r="C10414" t="s">
        <v>114</v>
      </c>
      <c r="D10414" t="s">
        <v>1156</v>
      </c>
      <c r="F10414" s="2" t="str">
        <f>HYPERLINK("http://www.otzar.org/book.asp?612106","הגדה של פסח &lt;הסדר הבהיר&gt;")</f>
        <v>הגדה של פסח &lt;הסדר הבהיר&gt;</v>
      </c>
    </row>
    <row r="10415" spans="1:6" x14ac:dyDescent="0.2">
      <c r="A10415" t="s">
        <v>17948</v>
      </c>
      <c r="B10415" t="s">
        <v>17949</v>
      </c>
      <c r="C10415" t="s">
        <v>23</v>
      </c>
      <c r="D10415" t="s">
        <v>412</v>
      </c>
      <c r="F10415" s="2" t="str">
        <f>HYPERLINK("http://www.otzar.org/book.asp?194029","הגדה של פסח &lt;לוית חן&gt;")</f>
        <v>הגדה של פסח &lt;לוית חן&gt;</v>
      </c>
    </row>
    <row r="10416" spans="1:6" x14ac:dyDescent="0.2">
      <c r="A10416" t="s">
        <v>17950</v>
      </c>
      <c r="B10416" t="s">
        <v>17951</v>
      </c>
      <c r="C10416" t="s">
        <v>114</v>
      </c>
      <c r="D10416" t="s">
        <v>1156</v>
      </c>
      <c r="E10416" t="s">
        <v>246</v>
      </c>
      <c r="F10416" s="2" t="str">
        <f>HYPERLINK("http://www.otzar.org/book.asp?170812","הגדה של פסח &lt;בן אשר&gt;")</f>
        <v>הגדה של פסח &lt;בן אשר&gt;</v>
      </c>
    </row>
    <row r="10417" spans="1:6" x14ac:dyDescent="0.2">
      <c r="A10417" t="s">
        <v>17952</v>
      </c>
      <c r="B10417" t="s">
        <v>2688</v>
      </c>
      <c r="C10417" t="s">
        <v>466</v>
      </c>
      <c r="D10417" t="s">
        <v>412</v>
      </c>
      <c r="E10417" t="s">
        <v>246</v>
      </c>
      <c r="F10417" s="2" t="str">
        <f>HYPERLINK("http://www.otzar.org/book.asp?21622","הגדה של פסח &lt;מגיד משנה משנה הלכות&gt;")</f>
        <v>הגדה של פסח &lt;מגיד משנה משנה הלכות&gt;</v>
      </c>
    </row>
    <row r="10418" spans="1:6" x14ac:dyDescent="0.2">
      <c r="A10418" t="s">
        <v>17953</v>
      </c>
      <c r="B10418" t="s">
        <v>17954</v>
      </c>
      <c r="C10418" t="s">
        <v>581</v>
      </c>
      <c r="D10418" t="s">
        <v>283</v>
      </c>
      <c r="E10418" t="s">
        <v>246</v>
      </c>
      <c r="F10418" s="2" t="str">
        <f>HYPERLINK("http://www.otzar.org/book.asp?5030","הגדה של פסח &lt;צוף אמרים&gt;")</f>
        <v>הגדה של פסח &lt;צוף אמרים&gt;</v>
      </c>
    </row>
    <row r="10419" spans="1:6" x14ac:dyDescent="0.2">
      <c r="A10419" t="s">
        <v>17955</v>
      </c>
      <c r="B10419" t="s">
        <v>17956</v>
      </c>
      <c r="C10419" t="s">
        <v>1844</v>
      </c>
      <c r="D10419" t="s">
        <v>283</v>
      </c>
      <c r="E10419" t="s">
        <v>246</v>
      </c>
      <c r="F10419" s="2" t="str">
        <f>HYPERLINK("http://www.otzar.org/book.asp?104441","הגדה של פסח &lt;יציאת מצרים&gt;")</f>
        <v>הגדה של פסח &lt;יציאת מצרים&gt;</v>
      </c>
    </row>
    <row r="10420" spans="1:6" x14ac:dyDescent="0.2">
      <c r="A10420" t="s">
        <v>17957</v>
      </c>
      <c r="B10420" t="s">
        <v>17958</v>
      </c>
      <c r="C10420" t="s">
        <v>366</v>
      </c>
      <c r="D10420" t="s">
        <v>412</v>
      </c>
      <c r="F10420" s="2" t="str">
        <f>HYPERLINK("http://www.otzar.org/book.asp?615894","הגדה של פסח &lt;חקי חיים&gt;")</f>
        <v>הגדה של פסח &lt;חקי חיים&gt;</v>
      </c>
    </row>
    <row r="10421" spans="1:6" x14ac:dyDescent="0.2">
      <c r="A10421" t="s">
        <v>17959</v>
      </c>
      <c r="B10421" t="s">
        <v>1328</v>
      </c>
      <c r="C10421" t="s">
        <v>133</v>
      </c>
      <c r="D10421" t="s">
        <v>52</v>
      </c>
      <c r="E10421" t="s">
        <v>246</v>
      </c>
      <c r="F10421" s="2" t="str">
        <f>HYPERLINK("http://www.otzar.org/book.asp?172824","הגדה של פסח &lt;דרך אמונה&gt;")</f>
        <v>הגדה של פסח &lt;דרך אמונה&gt;</v>
      </c>
    </row>
    <row r="10422" spans="1:6" x14ac:dyDescent="0.2">
      <c r="A10422" t="s">
        <v>17960</v>
      </c>
      <c r="B10422" t="s">
        <v>17961</v>
      </c>
      <c r="C10422" t="s">
        <v>168</v>
      </c>
      <c r="D10422" t="s">
        <v>52</v>
      </c>
      <c r="E10422" t="s">
        <v>246</v>
      </c>
      <c r="F10422" s="2" t="str">
        <f>HYPERLINK("http://www.otzar.org/book.asp?607056","הגדה של פסח &lt;אשי ישראל&gt;")</f>
        <v>הגדה של פסח &lt;אשי ישראל&gt;</v>
      </c>
    </row>
    <row r="10423" spans="1:6" x14ac:dyDescent="0.2">
      <c r="A10423" t="s">
        <v>17962</v>
      </c>
      <c r="B10423" t="s">
        <v>3704</v>
      </c>
      <c r="C10423" t="s">
        <v>103</v>
      </c>
      <c r="D10423" t="s">
        <v>14</v>
      </c>
      <c r="E10423" t="s">
        <v>872</v>
      </c>
      <c r="F10423" s="2" t="str">
        <f>HYPERLINK("http://www.otzar.org/book.asp?22733","הגדה של פסח &lt;אור החמה&gt; - 2 כר'")</f>
        <v>הגדה של פסח &lt;אור החמה&gt; - 2 כר'</v>
      </c>
    </row>
    <row r="10424" spans="1:6" x14ac:dyDescent="0.2">
      <c r="A10424" t="s">
        <v>17963</v>
      </c>
      <c r="B10424" t="s">
        <v>17964</v>
      </c>
      <c r="C10424" t="s">
        <v>13</v>
      </c>
      <c r="D10424" t="s">
        <v>14</v>
      </c>
      <c r="E10424" t="s">
        <v>246</v>
      </c>
      <c r="F10424" s="2" t="str">
        <f>HYPERLINK("http://www.otzar.org/book.asp?610604","הגדה של פסח &lt;פוניבז'&gt; - ב")</f>
        <v>הגדה של פסח &lt;פוניבז'&gt; - ב</v>
      </c>
    </row>
    <row r="10425" spans="1:6" x14ac:dyDescent="0.2">
      <c r="A10425" t="s">
        <v>17960</v>
      </c>
      <c r="B10425" t="s">
        <v>17965</v>
      </c>
      <c r="C10425" t="s">
        <v>168</v>
      </c>
      <c r="D10425" t="s">
        <v>412</v>
      </c>
      <c r="E10425" t="s">
        <v>246</v>
      </c>
      <c r="F10425" s="2" t="str">
        <f>HYPERLINK("http://www.otzar.org/book.asp?83689","הגדה של פסח &lt;אשי ישראל&gt;")</f>
        <v>הגדה של פסח &lt;אשי ישראל&gt;</v>
      </c>
    </row>
    <row r="10426" spans="1:6" x14ac:dyDescent="0.2">
      <c r="A10426" t="s">
        <v>17966</v>
      </c>
      <c r="B10426" t="s">
        <v>6486</v>
      </c>
      <c r="C10426" t="s">
        <v>237</v>
      </c>
      <c r="D10426" t="s">
        <v>986</v>
      </c>
      <c r="E10426" t="s">
        <v>130</v>
      </c>
      <c r="F10426" s="2" t="str">
        <f>HYPERLINK("http://www.otzar.org/book.asp?51456","הגדה של פסח &lt;לבנת הספיר&gt; - 2 כר'")</f>
        <v>הגדה של פסח &lt;לבנת הספיר&gt; - 2 כר'</v>
      </c>
    </row>
    <row r="10427" spans="1:6" x14ac:dyDescent="0.2">
      <c r="A10427" t="s">
        <v>17967</v>
      </c>
      <c r="B10427" t="s">
        <v>14654</v>
      </c>
      <c r="C10427" t="s">
        <v>224</v>
      </c>
      <c r="D10427" t="s">
        <v>9</v>
      </c>
      <c r="E10427" t="s">
        <v>246</v>
      </c>
      <c r="F10427" s="2" t="str">
        <f>HYPERLINK("http://www.otzar.org/book.asp?52086","הגדה של פסח &lt;תודת יהושע&gt;")</f>
        <v>הגדה של פסח &lt;תודת יהושע&gt;</v>
      </c>
    </row>
    <row r="10428" spans="1:6" x14ac:dyDescent="0.2">
      <c r="A10428" t="s">
        <v>17968</v>
      </c>
      <c r="B10428" t="s">
        <v>17969</v>
      </c>
      <c r="C10428" t="s">
        <v>2543</v>
      </c>
      <c r="D10428" t="s">
        <v>563</v>
      </c>
      <c r="E10428" t="s">
        <v>246</v>
      </c>
      <c r="F10428" s="2" t="str">
        <f>HYPERLINK("http://www.otzar.org/book.asp?52016","הגדה של פסח &lt;שבחי יעקב&gt;")</f>
        <v>הגדה של פסח &lt;שבחי יעקב&gt;</v>
      </c>
    </row>
    <row r="10429" spans="1:6" x14ac:dyDescent="0.2">
      <c r="A10429" t="s">
        <v>17970</v>
      </c>
      <c r="B10429" t="s">
        <v>17971</v>
      </c>
      <c r="C10429" t="s">
        <v>533</v>
      </c>
      <c r="D10429" t="s">
        <v>14</v>
      </c>
      <c r="E10429" t="s">
        <v>246</v>
      </c>
      <c r="F10429" s="2" t="str">
        <f>HYPERLINK("http://www.otzar.org/book.asp?63650","הגדה של פסח &lt;דברי בינה, תולדות אדם&gt;")</f>
        <v>הגדה של פסח &lt;דברי בינה, תולדות אדם&gt;</v>
      </c>
    </row>
    <row r="10430" spans="1:6" x14ac:dyDescent="0.2">
      <c r="A10430" t="s">
        <v>17972</v>
      </c>
      <c r="B10430" t="s">
        <v>10695</v>
      </c>
      <c r="C10430" t="s">
        <v>752</v>
      </c>
      <c r="D10430" t="s">
        <v>56</v>
      </c>
      <c r="E10430" t="s">
        <v>246</v>
      </c>
      <c r="F10430" s="2" t="str">
        <f>HYPERLINK("http://www.otzar.org/book.asp?51523","הגדה של פסח &lt;לקט יוסף, דודאי ראובן&gt;")</f>
        <v>הגדה של פסח &lt;לקט יוסף, דודאי ראובן&gt;</v>
      </c>
    </row>
    <row r="10431" spans="1:6" x14ac:dyDescent="0.2">
      <c r="A10431" t="s">
        <v>17973</v>
      </c>
      <c r="B10431" t="s">
        <v>17974</v>
      </c>
      <c r="C10431" t="s">
        <v>422</v>
      </c>
      <c r="D10431" t="s">
        <v>52</v>
      </c>
      <c r="F10431" s="2" t="str">
        <f>HYPERLINK("http://www.otzar.org/book.asp?194031","הגדה של פסח &lt;שבט סופרים&gt;")</f>
        <v>הגדה של פסח &lt;שבט סופרים&gt;</v>
      </c>
    </row>
    <row r="10432" spans="1:6" x14ac:dyDescent="0.2">
      <c r="A10432" t="s">
        <v>17520</v>
      </c>
      <c r="B10432" t="s">
        <v>5112</v>
      </c>
      <c r="C10432" t="s">
        <v>728</v>
      </c>
      <c r="D10432" t="s">
        <v>1117</v>
      </c>
      <c r="E10432" t="s">
        <v>246</v>
      </c>
      <c r="F10432" s="2" t="str">
        <f>HYPERLINK("http://www.otzar.org/book.asp?64022","הגדה של פסח &lt;מר דרור&gt;")</f>
        <v>הגדה של פסח &lt;מר דרור&gt;</v>
      </c>
    </row>
    <row r="10433" spans="1:6" x14ac:dyDescent="0.2">
      <c r="A10433" t="s">
        <v>17975</v>
      </c>
      <c r="B10433" t="s">
        <v>17976</v>
      </c>
      <c r="C10433" t="s">
        <v>129</v>
      </c>
      <c r="D10433" t="s">
        <v>139</v>
      </c>
      <c r="E10433" t="s">
        <v>246</v>
      </c>
      <c r="F10433" s="2" t="str">
        <f>HYPERLINK("http://www.otzar.org/book.asp?163460","הגדה של פסח &lt;שלשלת הזהב&gt;")</f>
        <v>הגדה של פסח &lt;שלשלת הזהב&gt;</v>
      </c>
    </row>
    <row r="10434" spans="1:6" x14ac:dyDescent="0.2">
      <c r="A10434" t="s">
        <v>17977</v>
      </c>
      <c r="B10434" t="s">
        <v>17978</v>
      </c>
      <c r="C10434" t="s">
        <v>1036</v>
      </c>
      <c r="D10434" t="s">
        <v>56</v>
      </c>
      <c r="E10434" t="s">
        <v>246</v>
      </c>
      <c r="F10434" s="2" t="str">
        <f>HYPERLINK("http://www.otzar.org/book.asp?52177","הגדה של פסח &lt;זכרון אברהם&gt;")</f>
        <v>הגדה של פסח &lt;זכרון אברהם&gt;</v>
      </c>
    </row>
    <row r="10435" spans="1:6" x14ac:dyDescent="0.2">
      <c r="A10435" t="s">
        <v>17979</v>
      </c>
      <c r="B10435" t="s">
        <v>17980</v>
      </c>
      <c r="C10435" t="s">
        <v>13</v>
      </c>
      <c r="D10435" t="s">
        <v>52</v>
      </c>
      <c r="E10435" t="s">
        <v>246</v>
      </c>
      <c r="F10435" s="2" t="str">
        <f>HYPERLINK("http://www.otzar.org/book.asp?84283","הגדה של פסח &lt;צפנת פענח&gt;")</f>
        <v>הגדה של פסח &lt;צפנת פענח&gt;</v>
      </c>
    </row>
    <row r="10436" spans="1:6" x14ac:dyDescent="0.2">
      <c r="A10436" t="s">
        <v>17981</v>
      </c>
      <c r="B10436" t="s">
        <v>17982</v>
      </c>
      <c r="C10436" t="s">
        <v>454</v>
      </c>
      <c r="D10436" t="s">
        <v>52</v>
      </c>
      <c r="E10436" t="s">
        <v>246</v>
      </c>
      <c r="F10436" s="2" t="str">
        <f>HYPERLINK("http://www.otzar.org/book.asp?600108","הגדה של פסח &lt;חכמי ספרד&gt;")</f>
        <v>הגדה של פסח &lt;חכמי ספרד&gt;</v>
      </c>
    </row>
    <row r="10437" spans="1:6" x14ac:dyDescent="0.2">
      <c r="A10437" t="s">
        <v>17983</v>
      </c>
      <c r="B10437" t="s">
        <v>17984</v>
      </c>
      <c r="C10437" t="s">
        <v>427</v>
      </c>
      <c r="D10437" t="s">
        <v>14</v>
      </c>
      <c r="E10437" t="s">
        <v>246</v>
      </c>
      <c r="F10437" s="2" t="str">
        <f>HYPERLINK("http://www.otzar.org/book.asp?11145","הגדה של פסח &lt;באר חיים מרדכי&gt;")</f>
        <v>הגדה של פסח &lt;באר חיים מרדכי&gt;</v>
      </c>
    </row>
    <row r="10438" spans="1:6" x14ac:dyDescent="0.2">
      <c r="A10438" t="s">
        <v>17985</v>
      </c>
      <c r="B10438" t="s">
        <v>12954</v>
      </c>
      <c r="C10438" t="s">
        <v>915</v>
      </c>
      <c r="D10438" t="s">
        <v>544</v>
      </c>
      <c r="E10438" t="s">
        <v>246</v>
      </c>
      <c r="F10438" s="2" t="str">
        <f>HYPERLINK("http://www.otzar.org/book.asp?52058","הגדה של פסח &lt;תשבי מבשר&gt;")</f>
        <v>הגדה של פסח &lt;תשבי מבשר&gt;</v>
      </c>
    </row>
    <row r="10439" spans="1:6" x14ac:dyDescent="0.2">
      <c r="A10439" t="s">
        <v>17986</v>
      </c>
      <c r="B10439" t="s">
        <v>17987</v>
      </c>
      <c r="C10439" t="s">
        <v>168</v>
      </c>
      <c r="D10439" t="s">
        <v>2458</v>
      </c>
      <c r="E10439" t="s">
        <v>246</v>
      </c>
      <c r="F10439" s="2" t="str">
        <f>HYPERLINK("http://www.otzar.org/book.asp?148918","הגדה של פסח &lt;אגדה מקובצת&gt;")</f>
        <v>הגדה של פסח &lt;אגדה מקובצת&gt;</v>
      </c>
    </row>
    <row r="10440" spans="1:6" x14ac:dyDescent="0.2">
      <c r="A10440" t="s">
        <v>17988</v>
      </c>
      <c r="B10440" t="s">
        <v>17989</v>
      </c>
      <c r="C10440" t="s">
        <v>553</v>
      </c>
      <c r="D10440" t="s">
        <v>412</v>
      </c>
      <c r="E10440" t="s">
        <v>246</v>
      </c>
      <c r="F10440" s="2" t="str">
        <f>HYPERLINK("http://www.otzar.org/book.asp?199983","הגדה של פסח &lt;קול אריה&gt;")</f>
        <v>הגדה של פסח &lt;קול אריה&gt;</v>
      </c>
    </row>
    <row r="10441" spans="1:6" x14ac:dyDescent="0.2">
      <c r="A10441" t="s">
        <v>17990</v>
      </c>
      <c r="B10441" t="s">
        <v>107</v>
      </c>
      <c r="C10441" t="s">
        <v>51</v>
      </c>
      <c r="D10441" t="s">
        <v>14</v>
      </c>
      <c r="E10441" t="s">
        <v>246</v>
      </c>
      <c r="F10441" s="2" t="str">
        <f>HYPERLINK("http://www.otzar.org/book.asp?6638","הגדה של פסח &lt;דבר ירושלים&gt;")</f>
        <v>הגדה של פסח &lt;דבר ירושלים&gt;</v>
      </c>
    </row>
    <row r="10442" spans="1:6" x14ac:dyDescent="0.2">
      <c r="A10442" t="s">
        <v>17991</v>
      </c>
      <c r="B10442" t="s">
        <v>17992</v>
      </c>
      <c r="C10442" t="s">
        <v>383</v>
      </c>
      <c r="D10442" t="s">
        <v>412</v>
      </c>
      <c r="E10442" t="s">
        <v>246</v>
      </c>
      <c r="F10442" s="2" t="str">
        <f>HYPERLINK("http://www.otzar.org/book.asp?161380","הגדה של פסח &lt;רשב""ץ, יעב""ץ, כוס ישועות&gt;")</f>
        <v>הגדה של פסח &lt;רשב"ץ, יעב"ץ, כוס ישועות&gt;</v>
      </c>
    </row>
    <row r="10443" spans="1:6" x14ac:dyDescent="0.2">
      <c r="A10443" t="s">
        <v>17993</v>
      </c>
      <c r="B10443" t="s">
        <v>1091</v>
      </c>
      <c r="C10443" t="s">
        <v>103</v>
      </c>
      <c r="D10443" t="s">
        <v>14</v>
      </c>
      <c r="E10443" t="s">
        <v>246</v>
      </c>
      <c r="F10443" s="2" t="str">
        <f>HYPERLINK("http://www.otzar.org/book.asp?163322","הגדה של פסח &lt;הגדה כפשוטה&gt;")</f>
        <v>הגדה של פסח &lt;הגדה כפשוטה&gt;</v>
      </c>
    </row>
    <row r="10444" spans="1:6" x14ac:dyDescent="0.2">
      <c r="A10444" t="s">
        <v>17994</v>
      </c>
      <c r="B10444" t="s">
        <v>13438</v>
      </c>
      <c r="C10444" t="s">
        <v>68</v>
      </c>
      <c r="D10444" t="s">
        <v>52</v>
      </c>
      <c r="E10444" t="s">
        <v>246</v>
      </c>
      <c r="F10444" s="2" t="str">
        <f>HYPERLINK("http://www.otzar.org/book.asp?156701","הגדה של פסח &lt;מאורות הראשונים - שביבי אש&gt;")</f>
        <v>הגדה של פסח &lt;מאורות הראשונים - שביבי אש&gt;</v>
      </c>
    </row>
    <row r="10445" spans="1:6" x14ac:dyDescent="0.2">
      <c r="A10445" t="s">
        <v>17995</v>
      </c>
      <c r="B10445" t="s">
        <v>1349</v>
      </c>
      <c r="C10445" t="s">
        <v>492</v>
      </c>
      <c r="D10445" t="s">
        <v>1722</v>
      </c>
      <c r="E10445" t="s">
        <v>246</v>
      </c>
      <c r="F10445" s="2" t="str">
        <f>HYPERLINK("http://www.otzar.org/book.asp?623922","הגדה של פסח &lt;מהר""ם שיק&gt;")</f>
        <v>הגדה של פסח &lt;מהר"ם שיק&gt;</v>
      </c>
    </row>
    <row r="10446" spans="1:6" x14ac:dyDescent="0.2">
      <c r="A10446" t="s">
        <v>17996</v>
      </c>
      <c r="B10446" t="s">
        <v>6991</v>
      </c>
      <c r="C10446" t="s">
        <v>51</v>
      </c>
      <c r="D10446" t="s">
        <v>14</v>
      </c>
      <c r="E10446" t="s">
        <v>246</v>
      </c>
      <c r="F10446" s="2" t="str">
        <f>HYPERLINK("http://www.otzar.org/book.asp?625508","הגדה של פסח &lt;מגיד נפלא&gt;")</f>
        <v>הגדה של פסח &lt;מגיד נפלא&gt;</v>
      </c>
    </row>
    <row r="10447" spans="1:6" x14ac:dyDescent="0.2">
      <c r="A10447" t="s">
        <v>17997</v>
      </c>
      <c r="B10447" t="s">
        <v>17998</v>
      </c>
      <c r="C10447" t="s">
        <v>466</v>
      </c>
      <c r="D10447" t="s">
        <v>14</v>
      </c>
      <c r="F10447" s="2" t="str">
        <f>HYPERLINK("http://www.otzar.org/book.asp?609614","הגדה של פסח &lt;שאל אביך ויגדך&gt;")</f>
        <v>הגדה של פסח &lt;שאל אביך ויגדך&gt;</v>
      </c>
    </row>
    <row r="10448" spans="1:6" x14ac:dyDescent="0.2">
      <c r="A10448" t="s">
        <v>17999</v>
      </c>
      <c r="B10448" t="s">
        <v>18000</v>
      </c>
      <c r="C10448" t="s">
        <v>617</v>
      </c>
      <c r="D10448" t="s">
        <v>56</v>
      </c>
      <c r="E10448" t="s">
        <v>246</v>
      </c>
      <c r="F10448" s="2" t="str">
        <f>HYPERLINK("http://www.otzar.org/book.asp?104746","הגדה של פסח &lt;חמשה עשר באורים&gt;")</f>
        <v>הגדה של פסח &lt;חמשה עשר באורים&gt;</v>
      </c>
    </row>
    <row r="10449" spans="1:6" x14ac:dyDescent="0.2">
      <c r="A10449" t="s">
        <v>18001</v>
      </c>
      <c r="B10449" t="s">
        <v>18002</v>
      </c>
      <c r="C10449" t="s">
        <v>395</v>
      </c>
      <c r="D10449" t="s">
        <v>56</v>
      </c>
      <c r="E10449" t="s">
        <v>246</v>
      </c>
      <c r="F10449" s="2" t="str">
        <f>HYPERLINK("http://www.otzar.org/book.asp?10237","הגדה של פסח &lt;מחזור ויטרי, שבלי הלקט&gt;")</f>
        <v>הגדה של פסח &lt;מחזור ויטרי, שבלי הלקט&gt;</v>
      </c>
    </row>
    <row r="10450" spans="1:6" x14ac:dyDescent="0.2">
      <c r="A10450" t="s">
        <v>18003</v>
      </c>
      <c r="B10450" t="s">
        <v>18004</v>
      </c>
      <c r="C10450" t="s">
        <v>37</v>
      </c>
      <c r="D10450" t="s">
        <v>412</v>
      </c>
      <c r="E10450" t="s">
        <v>246</v>
      </c>
      <c r="F10450" s="2" t="str">
        <f>HYPERLINK("http://www.otzar.org/book.asp?183114","הגדה של פסח &lt;מילי דשמי""א&gt;")</f>
        <v>הגדה של פסח &lt;מילי דשמי"א&gt;</v>
      </c>
    </row>
    <row r="10451" spans="1:6" x14ac:dyDescent="0.2">
      <c r="A10451" t="s">
        <v>18005</v>
      </c>
      <c r="B10451" t="s">
        <v>18006</v>
      </c>
      <c r="C10451" t="s">
        <v>20</v>
      </c>
      <c r="D10451" t="s">
        <v>721</v>
      </c>
      <c r="E10451" t="s">
        <v>246</v>
      </c>
      <c r="F10451" s="2" t="str">
        <f>HYPERLINK("http://www.otzar.org/book.asp?173126","הגדה של פסח &lt;שניים מי יודע&gt;")</f>
        <v>הגדה של פסח &lt;שניים מי יודע&gt;</v>
      </c>
    </row>
    <row r="10452" spans="1:6" x14ac:dyDescent="0.2">
      <c r="A10452" t="s">
        <v>18007</v>
      </c>
      <c r="B10452" t="s">
        <v>18008</v>
      </c>
      <c r="C10452" t="s">
        <v>11383</v>
      </c>
      <c r="D10452" t="s">
        <v>4901</v>
      </c>
      <c r="E10452" t="s">
        <v>246</v>
      </c>
      <c r="F10452" s="2" t="str">
        <f>HYPERLINK("http://www.otzar.org/book.asp?163029","הגדה של פסח &lt;באור יצחק&gt;")</f>
        <v>הגדה של פסח &lt;באור יצחק&gt;</v>
      </c>
    </row>
    <row r="10453" spans="1:6" x14ac:dyDescent="0.2">
      <c r="A10453" t="s">
        <v>18009</v>
      </c>
      <c r="B10453" t="s">
        <v>14446</v>
      </c>
      <c r="C10453" t="s">
        <v>106</v>
      </c>
      <c r="D10453" t="s">
        <v>21</v>
      </c>
      <c r="E10453" t="s">
        <v>246</v>
      </c>
      <c r="F10453" s="2" t="str">
        <f>HYPERLINK("http://www.otzar.org/book.asp?604442","הגדה של פסח &lt;מוננקאטש&gt;")</f>
        <v>הגדה של פסח &lt;מוננקאטש&gt;</v>
      </c>
    </row>
    <row r="10454" spans="1:6" x14ac:dyDescent="0.2">
      <c r="A10454" t="s">
        <v>18010</v>
      </c>
      <c r="B10454" t="s">
        <v>18011</v>
      </c>
      <c r="C10454" t="s">
        <v>812</v>
      </c>
      <c r="D10454" t="s">
        <v>379</v>
      </c>
      <c r="E10454" t="s">
        <v>3055</v>
      </c>
      <c r="F10454" s="2" t="str">
        <f>HYPERLINK("http://www.otzar.org/book.asp?10734","הגדה של פסח &lt;מאמר אגדתא דפסחא&gt;")</f>
        <v>הגדה של פסח &lt;מאמר אגדתא דפסחא&gt;</v>
      </c>
    </row>
    <row r="10455" spans="1:6" x14ac:dyDescent="0.2">
      <c r="A10455" t="s">
        <v>18012</v>
      </c>
      <c r="B10455" t="s">
        <v>18013</v>
      </c>
      <c r="C10455" t="s">
        <v>13</v>
      </c>
      <c r="D10455" t="s">
        <v>2201</v>
      </c>
      <c r="E10455" t="s">
        <v>246</v>
      </c>
      <c r="F10455" s="2" t="str">
        <f>HYPERLINK("http://www.otzar.org/book.asp?186717","הגדה של פסח &lt;באר יעקב&gt;")</f>
        <v>הגדה של פסח &lt;באר יעקב&gt;</v>
      </c>
    </row>
    <row r="10456" spans="1:6" x14ac:dyDescent="0.2">
      <c r="A10456" t="s">
        <v>18014</v>
      </c>
      <c r="B10456" t="s">
        <v>18013</v>
      </c>
      <c r="C10456" t="s">
        <v>37</v>
      </c>
      <c r="D10456" t="s">
        <v>2201</v>
      </c>
      <c r="E10456" t="s">
        <v>246</v>
      </c>
      <c r="F10456" s="2" t="str">
        <f>HYPERLINK("http://www.otzar.org/book.asp?186716","הגדה של פסח &lt;תבואות שמש&gt;")</f>
        <v>הגדה של פסח &lt;תבואות שמש&gt;</v>
      </c>
    </row>
    <row r="10457" spans="1:6" x14ac:dyDescent="0.2">
      <c r="A10457" t="s">
        <v>18015</v>
      </c>
      <c r="B10457" t="s">
        <v>1264</v>
      </c>
      <c r="C10457" t="s">
        <v>1811</v>
      </c>
      <c r="D10457" t="s">
        <v>52</v>
      </c>
      <c r="F10457" s="2" t="str">
        <f>HYPERLINK("http://www.otzar.org/book.asp?610953","הגדה של פסח &lt;בני יששכר&gt; - 2 כר'")</f>
        <v>הגדה של פסח &lt;בני יששכר&gt; - 2 כר'</v>
      </c>
    </row>
    <row r="10458" spans="1:6" x14ac:dyDescent="0.2">
      <c r="A10458" t="s">
        <v>18016</v>
      </c>
      <c r="B10458" t="s">
        <v>18017</v>
      </c>
      <c r="C10458" t="s">
        <v>473</v>
      </c>
      <c r="D10458" t="s">
        <v>379</v>
      </c>
      <c r="E10458" t="s">
        <v>3055</v>
      </c>
      <c r="F10458" s="2" t="str">
        <f>HYPERLINK("http://www.otzar.org/book.asp?104780","הגדה של פסח &lt;תפארת בנים&gt;")</f>
        <v>הגדה של פסח &lt;תפארת בנים&gt;</v>
      </c>
    </row>
    <row r="10459" spans="1:6" x14ac:dyDescent="0.2">
      <c r="A10459" t="s">
        <v>18018</v>
      </c>
      <c r="B10459" t="s">
        <v>18019</v>
      </c>
      <c r="C10459" t="s">
        <v>111</v>
      </c>
      <c r="D10459" t="s">
        <v>90</v>
      </c>
      <c r="E10459" t="s">
        <v>246</v>
      </c>
      <c r="F10459" s="2" t="str">
        <f>HYPERLINK("http://www.otzar.org/book.asp?629868","הגדה של פסח &lt;משא המועד&gt;")</f>
        <v>הגדה של פסח &lt;משא המועד&gt;</v>
      </c>
    </row>
    <row r="10460" spans="1:6" x14ac:dyDescent="0.2">
      <c r="A10460" t="s">
        <v>17630</v>
      </c>
      <c r="B10460" t="s">
        <v>7374</v>
      </c>
      <c r="C10460" t="s">
        <v>68</v>
      </c>
      <c r="D10460" t="s">
        <v>412</v>
      </c>
      <c r="E10460" t="s">
        <v>246</v>
      </c>
      <c r="F10460" s="2" t="str">
        <f>HYPERLINK("http://www.otzar.org/book.asp?166267","הגדה של פסח &lt;תהלה לדוד&gt;")</f>
        <v>הגדה של פסח &lt;תהלה לדוד&gt;</v>
      </c>
    </row>
    <row r="10461" spans="1:6" x14ac:dyDescent="0.2">
      <c r="A10461" t="s">
        <v>18020</v>
      </c>
      <c r="B10461" t="s">
        <v>18021</v>
      </c>
      <c r="C10461" t="s">
        <v>888</v>
      </c>
      <c r="D10461" t="s">
        <v>9</v>
      </c>
      <c r="E10461" t="s">
        <v>246</v>
      </c>
      <c r="F10461" s="2" t="str">
        <f>HYPERLINK("http://www.otzar.org/book.asp?141177","הגדה של פסח &lt;אגדת אליהו&gt;")</f>
        <v>הגדה של פסח &lt;אגדת אליהו&gt;</v>
      </c>
    </row>
    <row r="10462" spans="1:6" x14ac:dyDescent="0.2">
      <c r="A10462" t="s">
        <v>18022</v>
      </c>
      <c r="B10462" t="s">
        <v>5203</v>
      </c>
      <c r="C10462" t="s">
        <v>1718</v>
      </c>
      <c r="D10462" t="s">
        <v>18023</v>
      </c>
      <c r="E10462" t="s">
        <v>246</v>
      </c>
      <c r="F10462" s="2" t="str">
        <f>HYPERLINK("http://www.otzar.org/book.asp?173099","הגדה של פסח &lt;מצודת דוד וציון&gt;")</f>
        <v>הגדה של פסח &lt;מצודת דוד וציון&gt;</v>
      </c>
    </row>
    <row r="10463" spans="1:6" x14ac:dyDescent="0.2">
      <c r="A10463" t="s">
        <v>18024</v>
      </c>
      <c r="B10463" t="s">
        <v>18025</v>
      </c>
      <c r="C10463" t="s">
        <v>3690</v>
      </c>
      <c r="D10463" t="s">
        <v>307</v>
      </c>
      <c r="E10463" t="s">
        <v>246</v>
      </c>
      <c r="F10463" s="2" t="str">
        <f>HYPERLINK("http://www.otzar.org/book.asp?104758","הגדה של פסח &lt;מהרש""א&gt;")</f>
        <v>הגדה של פסח &lt;מהרש"א&gt;</v>
      </c>
    </row>
    <row r="10464" spans="1:6" x14ac:dyDescent="0.2">
      <c r="A10464" t="s">
        <v>18026</v>
      </c>
      <c r="B10464" t="s">
        <v>3314</v>
      </c>
      <c r="C10464" t="s">
        <v>523</v>
      </c>
      <c r="D10464" t="s">
        <v>14</v>
      </c>
      <c r="E10464" t="s">
        <v>246</v>
      </c>
      <c r="F10464" s="2" t="str">
        <f>HYPERLINK("http://www.otzar.org/book.asp?85663","הגדה של פסח (סקווירא)")</f>
        <v>הגדה של פסח (סקווירא)</v>
      </c>
    </row>
    <row r="10465" spans="1:6" x14ac:dyDescent="0.2">
      <c r="A10465" t="s">
        <v>18027</v>
      </c>
      <c r="B10465" t="s">
        <v>1007</v>
      </c>
      <c r="C10465" t="s">
        <v>1310</v>
      </c>
      <c r="D10465" t="s">
        <v>1008</v>
      </c>
      <c r="E10465" t="s">
        <v>246</v>
      </c>
      <c r="F10465" s="2" t="str">
        <f>HYPERLINK("http://www.otzar.org/book.asp?141175","הגדה של פסח אגדות ריב""א")</f>
        <v>הגדה של פסח אגדות ריב"א</v>
      </c>
    </row>
    <row r="10466" spans="1:6" x14ac:dyDescent="0.2">
      <c r="A10466" t="s">
        <v>18028</v>
      </c>
      <c r="B10466" t="s">
        <v>18029</v>
      </c>
      <c r="C10466" t="s">
        <v>146</v>
      </c>
      <c r="D10466" t="s">
        <v>14</v>
      </c>
      <c r="E10466" t="s">
        <v>246</v>
      </c>
      <c r="F10466" s="2" t="str">
        <f>HYPERLINK("http://www.otzar.org/book.asp?63337","הגדה של פסח אוהב ישראל")</f>
        <v>הגדה של פסח אוהב ישראל</v>
      </c>
    </row>
    <row r="10467" spans="1:6" x14ac:dyDescent="0.2">
      <c r="A10467" t="s">
        <v>18030</v>
      </c>
      <c r="B10467" t="s">
        <v>3579</v>
      </c>
      <c r="C10467" t="s">
        <v>775</v>
      </c>
      <c r="D10467" t="s">
        <v>14</v>
      </c>
      <c r="E10467" t="s">
        <v>246</v>
      </c>
      <c r="F10467" s="2" t="str">
        <f>HYPERLINK("http://www.otzar.org/book.asp?618735","הגדה של פסח אור גנוז")</f>
        <v>הגדה של פסח אור גנוז</v>
      </c>
    </row>
    <row r="10468" spans="1:6" x14ac:dyDescent="0.2">
      <c r="A10468" t="s">
        <v>18031</v>
      </c>
      <c r="B10468" t="s">
        <v>4324</v>
      </c>
      <c r="C10468" t="s">
        <v>143</v>
      </c>
      <c r="D10468" t="s">
        <v>14</v>
      </c>
      <c r="E10468" t="s">
        <v>246</v>
      </c>
      <c r="F10468" s="2" t="str">
        <f>HYPERLINK("http://www.otzar.org/book.asp?62105","הגדה של פסח אור שמח")</f>
        <v>הגדה של פסח אור שמח</v>
      </c>
    </row>
    <row r="10469" spans="1:6" x14ac:dyDescent="0.2">
      <c r="A10469" t="s">
        <v>18032</v>
      </c>
      <c r="B10469" t="s">
        <v>18033</v>
      </c>
      <c r="C10469" t="s">
        <v>13</v>
      </c>
      <c r="D10469" t="s">
        <v>14</v>
      </c>
      <c r="E10469" t="s">
        <v>246</v>
      </c>
      <c r="F10469" s="2" t="str">
        <f>HYPERLINK("http://www.otzar.org/book.asp?61166","הגדה של פסח אותו הלילה")</f>
        <v>הגדה של פסח אותו הלילה</v>
      </c>
    </row>
    <row r="10470" spans="1:6" x14ac:dyDescent="0.2">
      <c r="A10470" t="s">
        <v>18034</v>
      </c>
      <c r="B10470" t="s">
        <v>18035</v>
      </c>
      <c r="C10470" t="s">
        <v>17</v>
      </c>
      <c r="D10470" t="s">
        <v>14</v>
      </c>
      <c r="E10470" t="s">
        <v>3055</v>
      </c>
      <c r="F10470" s="2" t="str">
        <f>HYPERLINK("http://www.otzar.org/book.asp?144563","הגדה של פסח באר החסידות")</f>
        <v>הגדה של פסח באר החסידות</v>
      </c>
    </row>
    <row r="10471" spans="1:6" x14ac:dyDescent="0.2">
      <c r="A10471" t="s">
        <v>18036</v>
      </c>
      <c r="B10471" t="s">
        <v>8405</v>
      </c>
      <c r="C10471" t="s">
        <v>427</v>
      </c>
      <c r="D10471" t="s">
        <v>14</v>
      </c>
      <c r="F10471" s="2" t="str">
        <f>HYPERLINK("http://www.otzar.org/book.asp?620484","הגדה של פסח באר חיים מרדכי")</f>
        <v>הגדה של פסח באר חיים מרדכי</v>
      </c>
    </row>
    <row r="10472" spans="1:6" x14ac:dyDescent="0.2">
      <c r="A10472" t="s">
        <v>18037</v>
      </c>
      <c r="B10472" t="s">
        <v>5227</v>
      </c>
      <c r="C10472" t="s">
        <v>151</v>
      </c>
      <c r="D10472" t="s">
        <v>14</v>
      </c>
      <c r="E10472" t="s">
        <v>246</v>
      </c>
      <c r="F10472" s="2" t="str">
        <f>HYPERLINK("http://www.otzar.org/book.asp?620764","הגדה של פסח בית רימונוב - תפארת מנחם")</f>
        <v>הגדה של פסח בית רימונוב - תפארת מנחם</v>
      </c>
    </row>
    <row r="10473" spans="1:6" x14ac:dyDescent="0.2">
      <c r="A10473" t="s">
        <v>18038</v>
      </c>
      <c r="B10473" t="s">
        <v>9316</v>
      </c>
      <c r="C10473" t="s">
        <v>133</v>
      </c>
      <c r="D10473" t="s">
        <v>152</v>
      </c>
      <c r="E10473" t="s">
        <v>246</v>
      </c>
      <c r="F10473" s="2" t="str">
        <f>HYPERLINK("http://www.otzar.org/book.asp?190043","הגדה של פסח במחיצת החפץ חיים")</f>
        <v>הגדה של פסח במחיצת החפץ חיים</v>
      </c>
    </row>
    <row r="10474" spans="1:6" x14ac:dyDescent="0.2">
      <c r="A10474" t="s">
        <v>18039</v>
      </c>
      <c r="B10474" t="s">
        <v>18040</v>
      </c>
      <c r="C10474" t="s">
        <v>422</v>
      </c>
      <c r="D10474" t="s">
        <v>52</v>
      </c>
      <c r="E10474" t="s">
        <v>246</v>
      </c>
      <c r="F10474" s="2" t="str">
        <f>HYPERLINK("http://www.otzar.org/book.asp?153848","הגדה של פסח במשנתו של הרב דסלר")</f>
        <v>הגדה של פסח במשנתו של הרב דסלר</v>
      </c>
    </row>
    <row r="10475" spans="1:6" x14ac:dyDescent="0.2">
      <c r="A10475" t="s">
        <v>18041</v>
      </c>
      <c r="B10475" t="s">
        <v>18042</v>
      </c>
      <c r="C10475" t="s">
        <v>1228</v>
      </c>
      <c r="D10475" t="s">
        <v>27</v>
      </c>
      <c r="E10475" t="s">
        <v>246</v>
      </c>
      <c r="F10475" s="2" t="str">
        <f>HYPERLINK("http://www.otzar.org/book.asp?143619","הגדה של פסח בעברי וערבי עם העתקה אנגלית")</f>
        <v>הגדה של פסח בעברי וערבי עם העתקה אנגלית</v>
      </c>
    </row>
    <row r="10476" spans="1:6" x14ac:dyDescent="0.2">
      <c r="A10476" t="s">
        <v>18043</v>
      </c>
      <c r="B10476" t="s">
        <v>18043</v>
      </c>
      <c r="C10476" t="s">
        <v>20</v>
      </c>
      <c r="D10476" t="s">
        <v>4338</v>
      </c>
      <c r="E10476" t="s">
        <v>246</v>
      </c>
      <c r="F10476" s="2" t="str">
        <f>HYPERLINK("http://www.otzar.org/book.asp?606836","הגדה של פסח בתרגום אנגלית")</f>
        <v>הגדה של פסח בתרגום אנגלית</v>
      </c>
    </row>
    <row r="10477" spans="1:6" x14ac:dyDescent="0.2">
      <c r="A10477" t="s">
        <v>18044</v>
      </c>
      <c r="B10477" t="s">
        <v>18045</v>
      </c>
      <c r="C10477" t="s">
        <v>18046</v>
      </c>
      <c r="D10477" t="s">
        <v>216</v>
      </c>
      <c r="E10477" t="s">
        <v>246</v>
      </c>
      <c r="F10477" s="2" t="str">
        <f>HYPERLINK("http://www.otzar.org/book.asp?615825","הגדה של פסח גדולי ישראל")</f>
        <v>הגדה של פסח גדולי ישראל</v>
      </c>
    </row>
    <row r="10478" spans="1:6" x14ac:dyDescent="0.2">
      <c r="A10478" t="s">
        <v>18047</v>
      </c>
      <c r="B10478" t="s">
        <v>18048</v>
      </c>
      <c r="C10478" t="s">
        <v>176</v>
      </c>
      <c r="D10478" t="s">
        <v>14</v>
      </c>
      <c r="E10478" t="s">
        <v>246</v>
      </c>
      <c r="F10478" s="2" t="str">
        <f>HYPERLINK("http://www.otzar.org/book.asp?619618","הגדה של פסח הלכות ומנהגים")</f>
        <v>הגדה של פסח הלכות ומנהגים</v>
      </c>
    </row>
    <row r="10479" spans="1:6" x14ac:dyDescent="0.2">
      <c r="A10479" t="s">
        <v>18049</v>
      </c>
      <c r="B10479" t="s">
        <v>4118</v>
      </c>
      <c r="C10479" t="s">
        <v>146</v>
      </c>
      <c r="D10479" t="s">
        <v>52</v>
      </c>
      <c r="E10479" t="s">
        <v>246</v>
      </c>
      <c r="F10479" s="2" t="str">
        <f>HYPERLINK("http://www.otzar.org/book.asp?26843","הגדה של פסח המאור הגדול")</f>
        <v>הגדה של פסח המאור הגדול</v>
      </c>
    </row>
    <row r="10480" spans="1:6" x14ac:dyDescent="0.2">
      <c r="A10480" t="s">
        <v>18050</v>
      </c>
      <c r="B10480" t="s">
        <v>18051</v>
      </c>
      <c r="C10480" t="s">
        <v>23</v>
      </c>
      <c r="D10480" t="s">
        <v>52</v>
      </c>
      <c r="F10480" s="2" t="str">
        <f>HYPERLINK("http://www.otzar.org/book.asp?193389","הגדה של פסח המבוארת - א")</f>
        <v>הגדה של פסח המבוארת - א</v>
      </c>
    </row>
    <row r="10481" spans="1:6" x14ac:dyDescent="0.2">
      <c r="A10481" t="s">
        <v>18052</v>
      </c>
      <c r="B10481" t="s">
        <v>18053</v>
      </c>
      <c r="C10481" t="s">
        <v>2225</v>
      </c>
      <c r="D10481" t="s">
        <v>49</v>
      </c>
      <c r="E10481" t="s">
        <v>246</v>
      </c>
      <c r="F10481" s="2" t="str">
        <f>HYPERLINK("http://www.otzar.org/book.asp?147234","הגדה של פסח ובדיקה וביעור חמץ")</f>
        <v>הגדה של פסח ובדיקה וביעור חמץ</v>
      </c>
    </row>
    <row r="10482" spans="1:6" x14ac:dyDescent="0.2">
      <c r="A10482" t="s">
        <v>18054</v>
      </c>
      <c r="B10482" t="s">
        <v>18055</v>
      </c>
      <c r="C10482" t="s">
        <v>313</v>
      </c>
      <c r="D10482" t="s">
        <v>14</v>
      </c>
      <c r="E10482" t="s">
        <v>246</v>
      </c>
      <c r="F10482" s="2" t="str">
        <f>HYPERLINK("http://www.otzar.org/book.asp?144554","הגדה של פסח וואלאז'ין")</f>
        <v>הגדה של פסח וואלאז'ין</v>
      </c>
    </row>
    <row r="10483" spans="1:6" x14ac:dyDescent="0.2">
      <c r="A10483" t="s">
        <v>18056</v>
      </c>
      <c r="B10483" t="s">
        <v>16927</v>
      </c>
      <c r="C10483" t="s">
        <v>1388</v>
      </c>
      <c r="D10483" t="s">
        <v>14</v>
      </c>
      <c r="E10483" t="s">
        <v>230</v>
      </c>
      <c r="F10483" s="2" t="str">
        <f>HYPERLINK("http://www.otzar.org/book.asp?106051","הגדה של פסח ושיר השירים &lt;עם פירוש הרוקח&gt;")</f>
        <v>הגדה של פסח ושיר השירים &lt;עם פירוש הרוקח&gt;</v>
      </c>
    </row>
    <row r="10484" spans="1:6" x14ac:dyDescent="0.2">
      <c r="A10484" t="s">
        <v>18057</v>
      </c>
      <c r="B10484" t="s">
        <v>18058</v>
      </c>
      <c r="C10484" t="s">
        <v>114</v>
      </c>
      <c r="D10484" t="s">
        <v>52</v>
      </c>
      <c r="E10484" t="s">
        <v>246</v>
      </c>
      <c r="F10484" s="2" t="str">
        <f>HYPERLINK("http://www.otzar.org/book.asp?162048","הגדה של פסח זכרון יהודה")</f>
        <v>הגדה של פסח זכרון יהודה</v>
      </c>
    </row>
    <row r="10485" spans="1:6" x14ac:dyDescent="0.2">
      <c r="A10485" t="s">
        <v>18059</v>
      </c>
      <c r="B10485" t="s">
        <v>18060</v>
      </c>
      <c r="C10485" t="s">
        <v>624</v>
      </c>
      <c r="D10485" t="s">
        <v>14</v>
      </c>
      <c r="E10485" t="s">
        <v>246</v>
      </c>
      <c r="F10485" s="2" t="str">
        <f>HYPERLINK("http://www.otzar.org/book.asp?144557","הגדה של פסח חברון כנסת ישראל")</f>
        <v>הגדה של פסח חברון כנסת ישראל</v>
      </c>
    </row>
    <row r="10486" spans="1:6" x14ac:dyDescent="0.2">
      <c r="A10486" t="s">
        <v>18061</v>
      </c>
      <c r="B10486" t="s">
        <v>4606</v>
      </c>
      <c r="C10486" t="s">
        <v>17</v>
      </c>
      <c r="D10486" t="s">
        <v>14</v>
      </c>
      <c r="E10486" t="s">
        <v>246</v>
      </c>
      <c r="F10486" s="2" t="str">
        <f>HYPERLINK("http://www.otzar.org/book.asp?61510","הגדה של פסח טעם ודעת")</f>
        <v>הגדה של פסח טעם ודעת</v>
      </c>
    </row>
    <row r="10487" spans="1:6" x14ac:dyDescent="0.2">
      <c r="A10487" t="s">
        <v>18062</v>
      </c>
      <c r="B10487" t="s">
        <v>18063</v>
      </c>
      <c r="C10487" t="s">
        <v>51</v>
      </c>
      <c r="D10487" t="s">
        <v>14</v>
      </c>
      <c r="E10487" t="s">
        <v>246</v>
      </c>
      <c r="F10487" s="2" t="str">
        <f>HYPERLINK("http://www.otzar.org/book.asp?50980","הגדה של פסח יחל ישראל")</f>
        <v>הגדה של פסח יחל ישראל</v>
      </c>
    </row>
    <row r="10488" spans="1:6" x14ac:dyDescent="0.2">
      <c r="A10488" t="s">
        <v>18064</v>
      </c>
      <c r="B10488" t="s">
        <v>18065</v>
      </c>
      <c r="C10488" t="s">
        <v>956</v>
      </c>
      <c r="D10488" t="s">
        <v>14</v>
      </c>
      <c r="E10488" t="s">
        <v>246</v>
      </c>
      <c r="F10488" s="2" t="str">
        <f>HYPERLINK("http://www.otzar.org/book.asp?161001","הגדה של פסח ילקוט למועדים")</f>
        <v>הגדה של פסח ילקוט למועדים</v>
      </c>
    </row>
    <row r="10489" spans="1:6" x14ac:dyDescent="0.2">
      <c r="A10489" t="s">
        <v>18066</v>
      </c>
      <c r="B10489" t="s">
        <v>18067</v>
      </c>
      <c r="C10489" t="s">
        <v>4266</v>
      </c>
      <c r="D10489" t="s">
        <v>18068</v>
      </c>
      <c r="F10489" s="2" t="str">
        <f>HYPERLINK("http://www.otzar.org/book.asp?182090","הגדה של פסח כמנהג ק""ק איטאליאני")</f>
        <v>הגדה של פסח כמנהג ק"ק איטאליאני</v>
      </c>
    </row>
    <row r="10490" spans="1:6" x14ac:dyDescent="0.2">
      <c r="A10490" t="s">
        <v>18069</v>
      </c>
      <c r="B10490" t="s">
        <v>6014</v>
      </c>
      <c r="C10490" t="s">
        <v>13</v>
      </c>
      <c r="D10490" t="s">
        <v>216</v>
      </c>
      <c r="E10490" t="s">
        <v>246</v>
      </c>
      <c r="F10490" s="2" t="str">
        <f>HYPERLINK("http://www.otzar.org/book.asp?61694","הגדה של פסח לאדמור""י בית הוסיאטין")</f>
        <v>הגדה של פסח לאדמור"י בית הוסיאטין</v>
      </c>
    </row>
    <row r="10491" spans="1:6" x14ac:dyDescent="0.2">
      <c r="A10491" t="s">
        <v>18070</v>
      </c>
      <c r="B10491" t="s">
        <v>18071</v>
      </c>
      <c r="C10491" t="s">
        <v>124</v>
      </c>
      <c r="D10491" t="s">
        <v>18072</v>
      </c>
      <c r="E10491" t="s">
        <v>246</v>
      </c>
      <c r="F10491" s="2" t="str">
        <f>HYPERLINK("http://www.otzar.org/book.asp?623886","הגדה של פסח לאור ההלכה")</f>
        <v>הגדה של פסח לאור ההלכה</v>
      </c>
    </row>
    <row r="10492" spans="1:6" x14ac:dyDescent="0.2">
      <c r="A10492" t="s">
        <v>18073</v>
      </c>
      <c r="B10492" t="s">
        <v>18074</v>
      </c>
      <c r="C10492" t="s">
        <v>68</v>
      </c>
      <c r="D10492" t="s">
        <v>367</v>
      </c>
      <c r="E10492" t="s">
        <v>246</v>
      </c>
      <c r="F10492" s="2" t="str">
        <f>HYPERLINK("http://www.otzar.org/book.asp?153967","הגדה של פסח לזמן בית המקדש")</f>
        <v>הגדה של פסח לזמן בית המקדש</v>
      </c>
    </row>
    <row r="10493" spans="1:6" x14ac:dyDescent="0.2">
      <c r="A10493" t="s">
        <v>18075</v>
      </c>
      <c r="B10493" t="s">
        <v>18076</v>
      </c>
      <c r="C10493" t="s">
        <v>533</v>
      </c>
      <c r="D10493" t="s">
        <v>14</v>
      </c>
      <c r="E10493" t="s">
        <v>17488</v>
      </c>
      <c r="F10493" s="2" t="str">
        <f>HYPERLINK("http://www.otzar.org/book.asp?106061","הגדה של פסח מבית לוי &lt;בריסק&gt; - קובץ הוספות")</f>
        <v>הגדה של פסח מבית לוי &lt;בריסק&gt; - קובץ הוספות</v>
      </c>
    </row>
    <row r="10494" spans="1:6" x14ac:dyDescent="0.2">
      <c r="A10494" t="s">
        <v>18077</v>
      </c>
      <c r="B10494" t="s">
        <v>4980</v>
      </c>
      <c r="C10494" t="s">
        <v>533</v>
      </c>
      <c r="D10494" t="s">
        <v>14</v>
      </c>
      <c r="E10494" t="s">
        <v>4172</v>
      </c>
      <c r="F10494" s="2" t="str">
        <f>HYPERLINK("http://www.otzar.org/book.asp?11147","הגדה של פסח מבית לוי")</f>
        <v>הגדה של פסח מבית לוי</v>
      </c>
    </row>
    <row r="10495" spans="1:6" x14ac:dyDescent="0.2">
      <c r="A10495" t="s">
        <v>18078</v>
      </c>
      <c r="B10495" t="s">
        <v>14662</v>
      </c>
      <c r="C10495" t="s">
        <v>427</v>
      </c>
      <c r="D10495" t="s">
        <v>412</v>
      </c>
      <c r="E10495" t="s">
        <v>246</v>
      </c>
      <c r="F10495" s="2" t="str">
        <f>HYPERLINK("http://www.otzar.org/book.asp?149571","הגדה של פסח מהר""י ט""ב")</f>
        <v>הגדה של פסח מהר"י ט"ב</v>
      </c>
    </row>
    <row r="10496" spans="1:6" x14ac:dyDescent="0.2">
      <c r="A10496" t="s">
        <v>18079</v>
      </c>
      <c r="B10496" t="s">
        <v>18079</v>
      </c>
      <c r="C10496" t="s">
        <v>18080</v>
      </c>
      <c r="D10496" t="s">
        <v>412</v>
      </c>
      <c r="E10496" t="s">
        <v>246</v>
      </c>
      <c r="F10496" s="2" t="str">
        <f>HYPERLINK("http://www.otzar.org/book.asp?173424","הגדה של פסח מיט זעכציג פירושים אין עברי טייטש")</f>
        <v>הגדה של פסח מיט זעכציג פירושים אין עברי טייטש</v>
      </c>
    </row>
    <row r="10497" spans="1:6" x14ac:dyDescent="0.2">
      <c r="A10497" t="s">
        <v>18081</v>
      </c>
      <c r="B10497" t="s">
        <v>18082</v>
      </c>
      <c r="C10497" t="s">
        <v>466</v>
      </c>
      <c r="D10497" t="s">
        <v>14</v>
      </c>
      <c r="E10497" t="s">
        <v>246</v>
      </c>
      <c r="F10497" s="2" t="str">
        <f>HYPERLINK("http://www.otzar.org/book.asp?144558","הגדה של פסח מיר")</f>
        <v>הגדה של פסח מיר</v>
      </c>
    </row>
    <row r="10498" spans="1:6" x14ac:dyDescent="0.2">
      <c r="A10498" t="s">
        <v>18083</v>
      </c>
      <c r="B10498" t="s">
        <v>4953</v>
      </c>
      <c r="C10498" t="s">
        <v>20</v>
      </c>
      <c r="D10498" t="s">
        <v>14</v>
      </c>
      <c r="E10498" t="s">
        <v>246</v>
      </c>
      <c r="F10498" s="2" t="str">
        <f>HYPERLINK("http://www.otzar.org/book.asp?159379","הגדה של פסח מפורשת ומבוארת &lt;שבחו אהובים&gt;")</f>
        <v>הגדה של פסח מפורשת ומבוארת &lt;שבחו אהובים&gt;</v>
      </c>
    </row>
    <row r="10499" spans="1:6" x14ac:dyDescent="0.2">
      <c r="A10499" t="s">
        <v>18084</v>
      </c>
      <c r="B10499" t="s">
        <v>4324</v>
      </c>
      <c r="C10499" t="s">
        <v>533</v>
      </c>
      <c r="D10499" t="s">
        <v>14</v>
      </c>
      <c r="E10499" t="s">
        <v>246</v>
      </c>
      <c r="F10499" s="2" t="str">
        <f>HYPERLINK("http://www.otzar.org/book.asp?62106","הגדה של פסח משך חכמה")</f>
        <v>הגדה של פסח משך חכמה</v>
      </c>
    </row>
    <row r="10500" spans="1:6" x14ac:dyDescent="0.2">
      <c r="A10500" t="s">
        <v>18085</v>
      </c>
      <c r="B10500" t="s">
        <v>18086</v>
      </c>
      <c r="C10500" t="s">
        <v>129</v>
      </c>
      <c r="D10500" t="s">
        <v>14</v>
      </c>
      <c r="E10500" t="s">
        <v>246</v>
      </c>
      <c r="F10500" s="2" t="str">
        <f>HYPERLINK("http://www.otzar.org/book.asp?163556","הגדה של פסח משלחנם של גדולי ירושלים - 2 כר'")</f>
        <v>הגדה של פסח משלחנם של גדולי ירושלים - 2 כר'</v>
      </c>
    </row>
    <row r="10501" spans="1:6" x14ac:dyDescent="0.2">
      <c r="A10501" t="s">
        <v>18087</v>
      </c>
      <c r="B10501" t="s">
        <v>18087</v>
      </c>
      <c r="C10501" t="s">
        <v>46</v>
      </c>
      <c r="D10501" t="s">
        <v>216</v>
      </c>
      <c r="F10501" s="2" t="str">
        <f>HYPERLINK("http://www.otzar.org/book.asp?181911","הגדה של פסח נוסח הרמב""ם")</f>
        <v>הגדה של פסח נוסח הרמב"ם</v>
      </c>
    </row>
    <row r="10502" spans="1:6" x14ac:dyDescent="0.2">
      <c r="A10502" t="s">
        <v>18088</v>
      </c>
      <c r="B10502" t="s">
        <v>18089</v>
      </c>
      <c r="C10502" t="s">
        <v>103</v>
      </c>
      <c r="D10502" t="s">
        <v>8245</v>
      </c>
      <c r="E10502" t="s">
        <v>1164</v>
      </c>
      <c r="F10502" s="2" t="str">
        <f>HYPERLINK("http://www.otzar.org/book.asp?64230","הגדה של פסח נוסח יהודי תימן")</f>
        <v>הגדה של פסח נוסח יהודי תימן</v>
      </c>
    </row>
    <row r="10503" spans="1:6" x14ac:dyDescent="0.2">
      <c r="A10503" t="s">
        <v>18090</v>
      </c>
      <c r="B10503" t="s">
        <v>18091</v>
      </c>
      <c r="C10503" t="s">
        <v>244</v>
      </c>
      <c r="D10503" t="s">
        <v>14</v>
      </c>
      <c r="E10503" t="s">
        <v>246</v>
      </c>
      <c r="F10503" s="2" t="str">
        <f>HYPERLINK("http://www.otzar.org/book.asp?198225","הגדה של פסח נורא תהילות")</f>
        <v>הגדה של פסח נורא תהילות</v>
      </c>
    </row>
    <row r="10504" spans="1:6" x14ac:dyDescent="0.2">
      <c r="A10504" t="s">
        <v>18092</v>
      </c>
      <c r="B10504" t="s">
        <v>18093</v>
      </c>
      <c r="C10504" t="s">
        <v>103</v>
      </c>
      <c r="D10504" t="s">
        <v>14</v>
      </c>
      <c r="E10504" t="s">
        <v>246</v>
      </c>
      <c r="F10504" s="2" t="str">
        <f>HYPERLINK("http://www.otzar.org/book.asp?62910","הגדה של פסח נשמת כל חי")</f>
        <v>הגדה של פסח נשמת כל חי</v>
      </c>
    </row>
    <row r="10505" spans="1:6" x14ac:dyDescent="0.2">
      <c r="A10505" t="s">
        <v>18094</v>
      </c>
      <c r="B10505" t="s">
        <v>18095</v>
      </c>
      <c r="C10505" t="s">
        <v>51</v>
      </c>
      <c r="D10505" t="s">
        <v>14</v>
      </c>
      <c r="E10505" t="s">
        <v>246</v>
      </c>
      <c r="F10505" s="2" t="str">
        <f>HYPERLINK("http://www.otzar.org/book.asp?144547","הגדה של פסח סלוצק קלצק לייקווד")</f>
        <v>הגדה של פסח סלוצק קלצק לייקווד</v>
      </c>
    </row>
    <row r="10506" spans="1:6" x14ac:dyDescent="0.2">
      <c r="A10506" t="s">
        <v>18096</v>
      </c>
      <c r="B10506" t="s">
        <v>12026</v>
      </c>
      <c r="C10506" t="s">
        <v>366</v>
      </c>
      <c r="D10506" t="s">
        <v>412</v>
      </c>
      <c r="F10506" s="2" t="str">
        <f>HYPERLINK("http://www.otzar.org/book.asp?608798","הגדה של פסח ע""פ ברך משה")</f>
        <v>הגדה של פסח ע"פ ברך משה</v>
      </c>
    </row>
    <row r="10507" spans="1:6" x14ac:dyDescent="0.2">
      <c r="A10507" t="s">
        <v>18097</v>
      </c>
      <c r="B10507" t="s">
        <v>18098</v>
      </c>
      <c r="C10507" t="s">
        <v>3205</v>
      </c>
      <c r="D10507" t="s">
        <v>52</v>
      </c>
      <c r="E10507" t="s">
        <v>246</v>
      </c>
      <c r="F10507" s="2" t="str">
        <f>HYPERLINK("http://www.otzar.org/book.asp?174073","הגדה של פסח ע""פ הרשב""א")</f>
        <v>הגדה של פסח ע"פ הרשב"א</v>
      </c>
    </row>
    <row r="10508" spans="1:6" x14ac:dyDescent="0.2">
      <c r="A10508" t="s">
        <v>18099</v>
      </c>
      <c r="B10508" t="s">
        <v>18100</v>
      </c>
      <c r="C10508" t="s">
        <v>383</v>
      </c>
      <c r="D10508" t="s">
        <v>21</v>
      </c>
      <c r="F10508" s="2" t="str">
        <f>HYPERLINK("http://www.otzar.org/book.asp?191516","הגדה של פסח ע""פ וביאורים")</f>
        <v>הגדה של פסח ע"פ וביאורים</v>
      </c>
    </row>
    <row r="10509" spans="1:6" x14ac:dyDescent="0.2">
      <c r="A10509" t="s">
        <v>18101</v>
      </c>
      <c r="B10509" t="s">
        <v>4090</v>
      </c>
      <c r="C10509" t="s">
        <v>151</v>
      </c>
      <c r="D10509" t="s">
        <v>52</v>
      </c>
      <c r="F10509" s="2" t="str">
        <f>HYPERLINK("http://www.otzar.org/book.asp?622971","הגדה של פסח ע""פ זיו יהודה")</f>
        <v>הגדה של פסח ע"פ זיו יהודה</v>
      </c>
    </row>
    <row r="10510" spans="1:6" x14ac:dyDescent="0.2">
      <c r="A10510" t="s">
        <v>18102</v>
      </c>
      <c r="B10510" t="s">
        <v>18103</v>
      </c>
      <c r="C10510" t="s">
        <v>244</v>
      </c>
      <c r="D10510" t="s">
        <v>412</v>
      </c>
      <c r="E10510" t="s">
        <v>246</v>
      </c>
      <c r="F10510" s="2" t="str">
        <f>HYPERLINK("http://www.otzar.org/book.asp?622035","הגדה של פסח ע""פ מגדים חדשים &lt;מהדורה חדשה&gt;")</f>
        <v>הגדה של פסח ע"פ מגדים חדשים &lt;מהדורה חדשה&gt;</v>
      </c>
    </row>
    <row r="10511" spans="1:6" x14ac:dyDescent="0.2">
      <c r="A10511" t="s">
        <v>18104</v>
      </c>
      <c r="B10511" t="s">
        <v>18103</v>
      </c>
      <c r="C10511" t="s">
        <v>433</v>
      </c>
      <c r="D10511" t="s">
        <v>27</v>
      </c>
      <c r="E10511" t="s">
        <v>246</v>
      </c>
      <c r="F10511" s="2" t="str">
        <f>HYPERLINK("http://www.otzar.org/book.asp?105875","הגדה של פסח ע""פ מגדים חדשים")</f>
        <v>הגדה של פסח ע"פ מגדים חדשים</v>
      </c>
    </row>
    <row r="10512" spans="1:6" x14ac:dyDescent="0.2">
      <c r="A10512" t="s">
        <v>18105</v>
      </c>
      <c r="B10512" t="s">
        <v>17556</v>
      </c>
      <c r="C10512" t="s">
        <v>37</v>
      </c>
      <c r="D10512" t="s">
        <v>412</v>
      </c>
      <c r="E10512" t="s">
        <v>246</v>
      </c>
      <c r="F10512" s="2" t="str">
        <f>HYPERLINK("http://www.otzar.org/book.asp?198242","הגדה של פסח ע""פ נגיד ונפיק &lt;מהדורה חדשה&gt;")</f>
        <v>הגדה של פסח ע"פ נגיד ונפיק &lt;מהדורה חדשה&gt;</v>
      </c>
    </row>
    <row r="10513" spans="1:6" x14ac:dyDescent="0.2">
      <c r="A10513" t="s">
        <v>18106</v>
      </c>
      <c r="B10513" t="s">
        <v>18107</v>
      </c>
      <c r="C10513" t="s">
        <v>176</v>
      </c>
      <c r="D10513" t="s">
        <v>52</v>
      </c>
      <c r="E10513" t="s">
        <v>246</v>
      </c>
      <c r="F10513" s="2" t="str">
        <f>HYPERLINK("http://www.otzar.org/book.asp?147907","הגדה של פסח ע""פ עוללות יהודה")</f>
        <v>הגדה של פסח ע"פ עוללות יהודה</v>
      </c>
    </row>
    <row r="10514" spans="1:6" x14ac:dyDescent="0.2">
      <c r="A10514" t="s">
        <v>18108</v>
      </c>
      <c r="B10514" t="s">
        <v>18109</v>
      </c>
      <c r="C10514" t="s">
        <v>422</v>
      </c>
      <c r="D10514" t="s">
        <v>412</v>
      </c>
      <c r="E10514" t="s">
        <v>246</v>
      </c>
      <c r="F10514" s="2" t="str">
        <f>HYPERLINK("http://www.otzar.org/book.asp?198237","הגדה של פסח ע""פ פי המדבר &lt;מהדורה חדשה&gt;")</f>
        <v>הגדה של פסח ע"פ פי המדבר &lt;מהדורה חדשה&gt;</v>
      </c>
    </row>
    <row r="10515" spans="1:6" x14ac:dyDescent="0.2">
      <c r="A10515" t="s">
        <v>18110</v>
      </c>
      <c r="B10515" t="s">
        <v>18111</v>
      </c>
      <c r="C10515" t="s">
        <v>114</v>
      </c>
      <c r="D10515" t="s">
        <v>21</v>
      </c>
      <c r="E10515" t="s">
        <v>246</v>
      </c>
      <c r="F10515" s="2" t="str">
        <f>HYPERLINK("http://www.otzar.org/book.asp?192854","הגדה של פסח ע""פ שיח מצרים")</f>
        <v>הגדה של פסח ע"פ שיח מצרים</v>
      </c>
    </row>
    <row r="10516" spans="1:6" x14ac:dyDescent="0.2">
      <c r="A10516" t="s">
        <v>18112</v>
      </c>
      <c r="B10516" t="s">
        <v>18113</v>
      </c>
      <c r="C10516" t="s">
        <v>71</v>
      </c>
      <c r="D10516" t="s">
        <v>14</v>
      </c>
      <c r="E10516" t="s">
        <v>246</v>
      </c>
      <c r="F10516" s="2" t="str">
        <f>HYPERLINK("http://www.otzar.org/book.asp?173393","הגדה של פסח עזרת אבותינו")</f>
        <v>הגדה של פסח עזרת אבותינו</v>
      </c>
    </row>
    <row r="10517" spans="1:6" x14ac:dyDescent="0.2">
      <c r="A10517" t="s">
        <v>18114</v>
      </c>
      <c r="B10517" t="s">
        <v>18115</v>
      </c>
      <c r="C10517" t="s">
        <v>75</v>
      </c>
      <c r="D10517" t="s">
        <v>90</v>
      </c>
      <c r="E10517" t="s">
        <v>246</v>
      </c>
      <c r="F10517" s="2" t="str">
        <f>HYPERLINK("http://www.otzar.org/book.asp?51233","הגדה של פסח עם באור דובר שלום")</f>
        <v>הגדה של פסח עם באור דובר שלום</v>
      </c>
    </row>
    <row r="10518" spans="1:6" x14ac:dyDescent="0.2">
      <c r="A10518" t="s">
        <v>18116</v>
      </c>
      <c r="B10518" t="s">
        <v>18117</v>
      </c>
      <c r="C10518" t="s">
        <v>1388</v>
      </c>
      <c r="D10518" t="s">
        <v>412</v>
      </c>
      <c r="E10518" t="s">
        <v>246</v>
      </c>
      <c r="F10518" s="2" t="str">
        <f>HYPERLINK("http://www.otzar.org/book.asp?25538","הגדה של פסח עם ביאור מהולל בתשבחות")</f>
        <v>הגדה של פסח עם ביאור מהולל בתשבחות</v>
      </c>
    </row>
    <row r="10519" spans="1:6" x14ac:dyDescent="0.2">
      <c r="A10519" t="s">
        <v>18118</v>
      </c>
      <c r="B10519" t="s">
        <v>4606</v>
      </c>
      <c r="C10519" t="s">
        <v>129</v>
      </c>
      <c r="D10519" t="s">
        <v>14</v>
      </c>
      <c r="E10519" t="s">
        <v>130</v>
      </c>
      <c r="F10519" s="2" t="str">
        <f>HYPERLINK("http://www.otzar.org/book.asp?61527","הגדה של פסח עם ביאור מועדים וזמנים")</f>
        <v>הגדה של פסח עם ביאור מועדים וזמנים</v>
      </c>
    </row>
    <row r="10520" spans="1:6" x14ac:dyDescent="0.2">
      <c r="A10520" t="s">
        <v>18119</v>
      </c>
      <c r="B10520" t="s">
        <v>2950</v>
      </c>
      <c r="C10520" t="s">
        <v>189</v>
      </c>
      <c r="D10520" t="s">
        <v>14</v>
      </c>
      <c r="E10520" t="s">
        <v>246</v>
      </c>
      <c r="F10520" s="2" t="str">
        <f>HYPERLINK("http://www.otzar.org/book.asp?62591","הגדה של פסח עם ביאורים מתוך האנציקלופדיה תלמודית")</f>
        <v>הגדה של פסח עם ביאורים מתוך האנציקלופדיה תלמודית</v>
      </c>
    </row>
    <row r="10521" spans="1:6" x14ac:dyDescent="0.2">
      <c r="A10521" t="s">
        <v>18120</v>
      </c>
      <c r="B10521" t="s">
        <v>9789</v>
      </c>
      <c r="C10521" t="s">
        <v>103</v>
      </c>
      <c r="D10521" t="s">
        <v>14</v>
      </c>
      <c r="E10521" t="s">
        <v>246</v>
      </c>
      <c r="F10521" s="2" t="str">
        <f>HYPERLINK("http://www.otzar.org/book.asp?159186","הגדה של פסח עם בית אהרן")</f>
        <v>הגדה של פסח עם בית אהרן</v>
      </c>
    </row>
    <row r="10522" spans="1:6" x14ac:dyDescent="0.2">
      <c r="A10522" t="s">
        <v>18121</v>
      </c>
      <c r="B10522" t="s">
        <v>18122</v>
      </c>
      <c r="C10522" t="s">
        <v>576</v>
      </c>
      <c r="D10522" t="s">
        <v>18123</v>
      </c>
      <c r="E10522" t="s">
        <v>246</v>
      </c>
      <c r="F10522" s="2" t="str">
        <f>HYPERLINK("http://www.otzar.org/book.asp?172659","הגדה של פסח עם העתקות ופירושים בלשון הונגרית")</f>
        <v>הגדה של פסח עם העתקות ופירושים בלשון הונגרית</v>
      </c>
    </row>
    <row r="10523" spans="1:6" x14ac:dyDescent="0.2">
      <c r="A10523" t="s">
        <v>18124</v>
      </c>
      <c r="B10523" t="s">
        <v>3314</v>
      </c>
      <c r="C10523" t="s">
        <v>1844</v>
      </c>
      <c r="D10523" t="s">
        <v>4124</v>
      </c>
      <c r="E10523" t="s">
        <v>246</v>
      </c>
      <c r="F10523" s="2" t="str">
        <f>HYPERLINK("http://www.otzar.org/book.asp?85696","הגדה של פסח עם ליקוטי שושנים")</f>
        <v>הגדה של פסח עם ליקוטי שושנים</v>
      </c>
    </row>
    <row r="10524" spans="1:6" x14ac:dyDescent="0.2">
      <c r="A10524" t="s">
        <v>18125</v>
      </c>
      <c r="B10524" t="s">
        <v>18126</v>
      </c>
      <c r="C10524" t="s">
        <v>79</v>
      </c>
      <c r="D10524" t="s">
        <v>9</v>
      </c>
      <c r="E10524" t="s">
        <v>246</v>
      </c>
      <c r="F10524" s="2" t="str">
        <f>HYPERLINK("http://www.otzar.org/book.asp?51340","הגדה של פסח עם מבוא גדול והערות שונות")</f>
        <v>הגדה של פסח עם מבוא גדול והערות שונות</v>
      </c>
    </row>
    <row r="10525" spans="1:6" x14ac:dyDescent="0.2">
      <c r="A10525" t="s">
        <v>18127</v>
      </c>
      <c r="B10525" t="s">
        <v>4469</v>
      </c>
      <c r="C10525" t="s">
        <v>189</v>
      </c>
      <c r="D10525" t="s">
        <v>52</v>
      </c>
      <c r="E10525" t="s">
        <v>246</v>
      </c>
      <c r="F10525" s="2" t="str">
        <f>HYPERLINK("http://www.otzar.org/book.asp?52540","הגדה של פסח עם עיוני ההגדה")</f>
        <v>הגדה של פסח עם עיוני ההגדה</v>
      </c>
    </row>
    <row r="10526" spans="1:6" x14ac:dyDescent="0.2">
      <c r="A10526" t="s">
        <v>18128</v>
      </c>
      <c r="B10526" t="s">
        <v>15161</v>
      </c>
      <c r="C10526" t="s">
        <v>454</v>
      </c>
      <c r="D10526" t="s">
        <v>52</v>
      </c>
      <c r="E10526" t="s">
        <v>246</v>
      </c>
      <c r="F10526" s="2" t="str">
        <f>HYPERLINK("http://www.otzar.org/book.asp?144524","הגדה של פסח עם עריכת שלחן וילקוט חיים")</f>
        <v>הגדה של פסח עם עריכת שלחן וילקוט חיים</v>
      </c>
    </row>
    <row r="10527" spans="1:6" x14ac:dyDescent="0.2">
      <c r="A10527" t="s">
        <v>18129</v>
      </c>
      <c r="B10527" t="s">
        <v>2885</v>
      </c>
      <c r="C10527" t="s">
        <v>20</v>
      </c>
      <c r="D10527" t="s">
        <v>14</v>
      </c>
      <c r="E10527" t="s">
        <v>3055</v>
      </c>
      <c r="F10527" s="2" t="str">
        <f>HYPERLINK("http://www.otzar.org/book.asp?60822","הגדה של פסח עם פירוש אור זרוע")</f>
        <v>הגדה של פסח עם פירוש אור זרוע</v>
      </c>
    </row>
    <row r="10528" spans="1:6" x14ac:dyDescent="0.2">
      <c r="A10528" t="s">
        <v>18130</v>
      </c>
      <c r="B10528" t="s">
        <v>1303</v>
      </c>
      <c r="C10528" t="s">
        <v>114</v>
      </c>
      <c r="D10528" t="s">
        <v>14</v>
      </c>
      <c r="E10528" t="s">
        <v>246</v>
      </c>
      <c r="F10528" s="2" t="str">
        <f>HYPERLINK("http://www.otzar.org/book.asp?175957","הגדה של פסח עם פירוש אמרי שפר")</f>
        <v>הגדה של פסח עם פירוש אמרי שפר</v>
      </c>
    </row>
    <row r="10529" spans="1:6" x14ac:dyDescent="0.2">
      <c r="A10529" t="s">
        <v>18131</v>
      </c>
      <c r="B10529" t="s">
        <v>18132</v>
      </c>
      <c r="C10529" t="s">
        <v>812</v>
      </c>
      <c r="D10529" t="s">
        <v>18133</v>
      </c>
      <c r="E10529" t="s">
        <v>246</v>
      </c>
      <c r="F10529" s="2" t="str">
        <f>HYPERLINK("http://www.otzar.org/book.asp?141189","הגדה של פסח עם פירוש ארבעה אופני הקודש")</f>
        <v>הגדה של פסח עם פירוש ארבעה אופני הקודש</v>
      </c>
    </row>
    <row r="10530" spans="1:6" x14ac:dyDescent="0.2">
      <c r="A10530" t="s">
        <v>18134</v>
      </c>
      <c r="B10530" t="s">
        <v>18135</v>
      </c>
      <c r="C10530" t="s">
        <v>20</v>
      </c>
      <c r="D10530" t="s">
        <v>412</v>
      </c>
      <c r="E10530" t="s">
        <v>246</v>
      </c>
      <c r="F10530" s="2" t="str">
        <f>HYPERLINK("http://www.otzar.org/book.asp?606845","הגדה של פסח עם פירוש באנגלית")</f>
        <v>הגדה של פסח עם פירוש באנגלית</v>
      </c>
    </row>
    <row r="10531" spans="1:6" x14ac:dyDescent="0.2">
      <c r="A10531" t="s">
        <v>18136</v>
      </c>
      <c r="B10531" t="s">
        <v>8631</v>
      </c>
      <c r="C10531" t="s">
        <v>1535</v>
      </c>
      <c r="D10531" t="s">
        <v>379</v>
      </c>
      <c r="E10531" t="s">
        <v>246</v>
      </c>
      <c r="F10531" s="2" t="str">
        <f>HYPERLINK("http://www.otzar.org/book.asp?144980","הגדה של פסח עם פירוש באר שמואל")</f>
        <v>הגדה של פסח עם פירוש באר שמואל</v>
      </c>
    </row>
    <row r="10532" spans="1:6" x14ac:dyDescent="0.2">
      <c r="A10532" t="s">
        <v>18137</v>
      </c>
      <c r="B10532" t="s">
        <v>18138</v>
      </c>
      <c r="C10532" t="s">
        <v>473</v>
      </c>
      <c r="D10532" t="s">
        <v>283</v>
      </c>
      <c r="E10532" t="s">
        <v>246</v>
      </c>
      <c r="F10532" s="2" t="str">
        <f>HYPERLINK("http://www.otzar.org/book.asp?50866","הגדה של פסח עם פירוש בנין ירושלים")</f>
        <v>הגדה של פסח עם פירוש בנין ירושלים</v>
      </c>
    </row>
    <row r="10533" spans="1:6" x14ac:dyDescent="0.2">
      <c r="A10533" t="s">
        <v>18139</v>
      </c>
      <c r="B10533" t="s">
        <v>13049</v>
      </c>
      <c r="C10533" t="s">
        <v>103</v>
      </c>
      <c r="D10533" t="s">
        <v>412</v>
      </c>
      <c r="E10533" t="s">
        <v>246</v>
      </c>
      <c r="F10533" s="2" t="str">
        <f>HYPERLINK("http://www.otzar.org/book.asp?176497","הגדה של פסח עם פירוש גבולות בנימין")</f>
        <v>הגדה של פסח עם פירוש גבולות בנימין</v>
      </c>
    </row>
    <row r="10534" spans="1:6" x14ac:dyDescent="0.2">
      <c r="A10534" t="s">
        <v>18140</v>
      </c>
      <c r="B10534" t="s">
        <v>18141</v>
      </c>
      <c r="C10534" t="s">
        <v>2076</v>
      </c>
      <c r="D10534" t="s">
        <v>6238</v>
      </c>
      <c r="E10534" t="s">
        <v>246</v>
      </c>
      <c r="F10534" s="2" t="str">
        <f>HYPERLINK("http://www.otzar.org/book.asp?51046","הגדה של פסח עם פירוש דמשק אליעזר")</f>
        <v>הגדה של פסח עם פירוש דמשק אליעזר</v>
      </c>
    </row>
    <row r="10535" spans="1:6" x14ac:dyDescent="0.2">
      <c r="A10535" t="s">
        <v>18142</v>
      </c>
      <c r="B10535" t="s">
        <v>1821</v>
      </c>
      <c r="C10535" t="s">
        <v>523</v>
      </c>
      <c r="D10535" t="s">
        <v>14</v>
      </c>
      <c r="E10535" t="s">
        <v>246</v>
      </c>
      <c r="F10535" s="2" t="str">
        <f>HYPERLINK("http://www.otzar.org/book.asp?52943","הגדה של פסח עם פירוש הגר""א השלם")</f>
        <v>הגדה של פסח עם פירוש הגר"א השלם</v>
      </c>
    </row>
    <row r="10536" spans="1:6" x14ac:dyDescent="0.2">
      <c r="A10536" t="s">
        <v>18143</v>
      </c>
      <c r="B10536" t="s">
        <v>18144</v>
      </c>
      <c r="C10536" t="s">
        <v>334</v>
      </c>
      <c r="D10536" t="s">
        <v>14</v>
      </c>
      <c r="E10536" t="s">
        <v>246</v>
      </c>
      <c r="F10536" s="2" t="str">
        <f>HYPERLINK("http://www.otzar.org/book.asp?615808","הגדה של פסח עם פירוש המהרש""א")</f>
        <v>הגדה של פסח עם פירוש המהרש"א</v>
      </c>
    </row>
    <row r="10537" spans="1:6" x14ac:dyDescent="0.2">
      <c r="A10537" t="s">
        <v>18145</v>
      </c>
      <c r="B10537" t="s">
        <v>4967</v>
      </c>
      <c r="C10537" t="s">
        <v>13</v>
      </c>
      <c r="D10537" t="s">
        <v>14</v>
      </c>
      <c r="E10537" t="s">
        <v>246</v>
      </c>
      <c r="F10537" s="2" t="str">
        <f>HYPERLINK("http://www.otzar.org/book.asp?161262","הגדה של פסח עם פירוש השיר והשבח")</f>
        <v>הגדה של פסח עם פירוש השיר והשבח</v>
      </c>
    </row>
    <row r="10538" spans="1:6" x14ac:dyDescent="0.2">
      <c r="A10538" t="s">
        <v>18146</v>
      </c>
      <c r="B10538" t="s">
        <v>4320</v>
      </c>
      <c r="C10538" t="s">
        <v>466</v>
      </c>
      <c r="D10538" t="s">
        <v>412</v>
      </c>
      <c r="E10538" t="s">
        <v>246</v>
      </c>
      <c r="F10538" s="2" t="str">
        <f>HYPERLINK("http://www.otzar.org/book.asp?145190","הגדה של פסח עם פירוש התקדש חג")</f>
        <v>הגדה של פסח עם פירוש התקדש חג</v>
      </c>
    </row>
    <row r="10539" spans="1:6" x14ac:dyDescent="0.2">
      <c r="A10539" t="s">
        <v>18147</v>
      </c>
      <c r="B10539" t="s">
        <v>18148</v>
      </c>
      <c r="C10539" t="s">
        <v>422</v>
      </c>
      <c r="D10539" t="s">
        <v>52</v>
      </c>
      <c r="E10539" t="s">
        <v>246</v>
      </c>
      <c r="F10539" s="2" t="str">
        <f>HYPERLINK("http://www.otzar.org/book.asp?85674","הגדה של פסח עם פירוש והגדת לבנך")</f>
        <v>הגדה של פסח עם פירוש והגדת לבנך</v>
      </c>
    </row>
    <row r="10540" spans="1:6" x14ac:dyDescent="0.2">
      <c r="A10540" t="s">
        <v>18149</v>
      </c>
      <c r="B10540" t="s">
        <v>3454</v>
      </c>
      <c r="C10540" t="s">
        <v>466</v>
      </c>
      <c r="D10540" t="s">
        <v>14</v>
      </c>
      <c r="E10540" t="s">
        <v>246</v>
      </c>
      <c r="F10540" s="2" t="str">
        <f>HYPERLINK("http://www.otzar.org/book.asp?160933","הגדה של פסח עם פירוש וללוי אמר")</f>
        <v>הגדה של פסח עם פירוש וללוי אמר</v>
      </c>
    </row>
    <row r="10541" spans="1:6" x14ac:dyDescent="0.2">
      <c r="A10541" t="s">
        <v>18150</v>
      </c>
      <c r="B10541" t="s">
        <v>18151</v>
      </c>
      <c r="C10541" t="s">
        <v>422</v>
      </c>
      <c r="D10541" t="s">
        <v>52</v>
      </c>
      <c r="E10541" t="s">
        <v>246</v>
      </c>
      <c r="F10541" s="2" t="str">
        <f>HYPERLINK("http://www.otzar.org/book.asp?156393","הגדה של פסח עם פירוש חג הפסח")</f>
        <v>הגדה של פסח עם פירוש חג הפסח</v>
      </c>
    </row>
    <row r="10542" spans="1:6" x14ac:dyDescent="0.2">
      <c r="A10542" t="s">
        <v>18152</v>
      </c>
      <c r="B10542" t="s">
        <v>18153</v>
      </c>
      <c r="C10542" t="s">
        <v>79</v>
      </c>
      <c r="D10542" t="s">
        <v>5108</v>
      </c>
      <c r="E10542" t="s">
        <v>246</v>
      </c>
      <c r="F10542" s="2" t="str">
        <f>HYPERLINK("http://www.otzar.org/book.asp?51341","הגדה של פסח עם פירוש חכמה עם נחלה")</f>
        <v>הגדה של פסח עם פירוש חכמה עם נחלה</v>
      </c>
    </row>
    <row r="10543" spans="1:6" x14ac:dyDescent="0.2">
      <c r="A10543" t="s">
        <v>18154</v>
      </c>
      <c r="B10543" t="s">
        <v>12232</v>
      </c>
      <c r="C10543" t="s">
        <v>812</v>
      </c>
      <c r="D10543" t="s">
        <v>1889</v>
      </c>
      <c r="E10543" t="s">
        <v>246</v>
      </c>
      <c r="F10543" s="2" t="str">
        <f>HYPERLINK("http://www.otzar.org/book.asp?149254","הגדה של פסח עם פירוש כוס אליהו")</f>
        <v>הגדה של פסח עם פירוש כוס אליהו</v>
      </c>
    </row>
    <row r="10544" spans="1:6" x14ac:dyDescent="0.2">
      <c r="A10544" t="s">
        <v>18155</v>
      </c>
      <c r="B10544" t="s">
        <v>18156</v>
      </c>
      <c r="C10544" t="s">
        <v>1885</v>
      </c>
      <c r="D10544" t="s">
        <v>18157</v>
      </c>
      <c r="E10544" t="s">
        <v>246</v>
      </c>
      <c r="F10544" s="2" t="str">
        <f>HYPERLINK("http://www.otzar.org/book.asp?197746","הגדה של פסח עם פירוש ליל שימורים")</f>
        <v>הגדה של פסח עם פירוש ליל שימורים</v>
      </c>
    </row>
    <row r="10545" spans="1:6" x14ac:dyDescent="0.2">
      <c r="A10545" t="s">
        <v>18158</v>
      </c>
      <c r="B10545" t="s">
        <v>18159</v>
      </c>
      <c r="C10545" t="s">
        <v>411</v>
      </c>
      <c r="D10545" t="s">
        <v>14</v>
      </c>
      <c r="E10545" t="s">
        <v>246</v>
      </c>
      <c r="F10545" s="2" t="str">
        <f>HYPERLINK("http://www.otzar.org/book.asp?166932","הגדה של פסח עם פירוש מים עמוקים")</f>
        <v>הגדה של פסח עם פירוש מים עמוקים</v>
      </c>
    </row>
    <row r="10546" spans="1:6" x14ac:dyDescent="0.2">
      <c r="A10546" t="s">
        <v>18160</v>
      </c>
      <c r="B10546" t="s">
        <v>2220</v>
      </c>
      <c r="C10546" t="s">
        <v>8</v>
      </c>
      <c r="D10546" t="s">
        <v>646</v>
      </c>
      <c r="F10546" s="2" t="str">
        <f>HYPERLINK("http://www.otzar.org/book.asp?615326","הגדה של פסח עם פירוש משלי יעקב")</f>
        <v>הגדה של פסח עם פירוש משלי יעקב</v>
      </c>
    </row>
    <row r="10547" spans="1:6" x14ac:dyDescent="0.2">
      <c r="A10547" t="s">
        <v>18161</v>
      </c>
      <c r="B10547" t="s">
        <v>18162</v>
      </c>
      <c r="C10547" t="s">
        <v>946</v>
      </c>
      <c r="D10547" t="s">
        <v>756</v>
      </c>
      <c r="E10547" t="s">
        <v>246</v>
      </c>
      <c r="F10547" s="2" t="str">
        <f>HYPERLINK("http://www.otzar.org/book.asp?51732","הגדה של פסח עם פירוש נפש יהונתן")</f>
        <v>הגדה של פסח עם פירוש נפש יהונתן</v>
      </c>
    </row>
    <row r="10548" spans="1:6" x14ac:dyDescent="0.2">
      <c r="A10548" t="s">
        <v>18163</v>
      </c>
      <c r="B10548" t="s">
        <v>18164</v>
      </c>
      <c r="C10548" t="s">
        <v>7162</v>
      </c>
      <c r="D10548" t="s">
        <v>7163</v>
      </c>
      <c r="E10548" t="s">
        <v>246</v>
      </c>
      <c r="F10548" s="2" t="str">
        <f>HYPERLINK("http://www.otzar.org/book.asp?141208","הגדה של פסח עם פירוש עבודת הגפן")</f>
        <v>הגדה של פסח עם פירוש עבודת הגפן</v>
      </c>
    </row>
    <row r="10549" spans="1:6" x14ac:dyDescent="0.2">
      <c r="A10549" t="s">
        <v>18165</v>
      </c>
      <c r="B10549" t="s">
        <v>18166</v>
      </c>
      <c r="C10549" t="s">
        <v>13</v>
      </c>
      <c r="D10549" t="s">
        <v>14</v>
      </c>
      <c r="E10549" t="s">
        <v>246</v>
      </c>
      <c r="F10549" s="2" t="str">
        <f>HYPERLINK("http://www.otzar.org/book.asp?85704","הגדה של פסח עם פירוש עוללות הגפן")</f>
        <v>הגדה של פסח עם פירוש עוללות הגפן</v>
      </c>
    </row>
    <row r="10550" spans="1:6" x14ac:dyDescent="0.2">
      <c r="A10550" t="s">
        <v>18167</v>
      </c>
      <c r="B10550" t="s">
        <v>18168</v>
      </c>
      <c r="C10550" t="s">
        <v>332</v>
      </c>
      <c r="D10550" t="s">
        <v>52</v>
      </c>
      <c r="E10550" t="s">
        <v>246</v>
      </c>
      <c r="F10550" s="2" t="str">
        <f>HYPERLINK("http://www.otzar.org/book.asp?144953","הגדה של פסח עם פירוש עקידת יצחק")</f>
        <v>הגדה של פסח עם פירוש עקידת יצחק</v>
      </c>
    </row>
    <row r="10551" spans="1:6" x14ac:dyDescent="0.2">
      <c r="A10551" t="s">
        <v>18169</v>
      </c>
      <c r="B10551" t="s">
        <v>18170</v>
      </c>
      <c r="C10551" t="s">
        <v>156</v>
      </c>
      <c r="D10551" t="s">
        <v>283</v>
      </c>
      <c r="E10551" t="s">
        <v>246</v>
      </c>
      <c r="F10551" s="2" t="str">
        <f>HYPERLINK("http://www.otzar.org/book.asp?51782","הגדה של פסח עם פירוש פדיון שבוים")</f>
        <v>הגדה של פסח עם פירוש פדיון שבוים</v>
      </c>
    </row>
    <row r="10552" spans="1:6" x14ac:dyDescent="0.2">
      <c r="A10552" t="s">
        <v>18171</v>
      </c>
      <c r="B10552" t="s">
        <v>18172</v>
      </c>
      <c r="C10552" t="s">
        <v>189</v>
      </c>
      <c r="D10552" t="s">
        <v>657</v>
      </c>
      <c r="E10552" t="s">
        <v>246</v>
      </c>
      <c r="F10552" s="2" t="str">
        <f>HYPERLINK("http://www.otzar.org/book.asp?26822","הגדה של פסח עם פירוש רבינו בחיי ז""ל")</f>
        <v>הגדה של פסח עם פירוש רבינו בחיי ז"ל</v>
      </c>
    </row>
    <row r="10553" spans="1:6" x14ac:dyDescent="0.2">
      <c r="A10553" t="s">
        <v>18173</v>
      </c>
      <c r="B10553" t="s">
        <v>18174</v>
      </c>
      <c r="C10553" t="s">
        <v>812</v>
      </c>
      <c r="D10553" t="s">
        <v>1966</v>
      </c>
      <c r="E10553" t="s">
        <v>246</v>
      </c>
      <c r="F10553" s="2" t="str">
        <f>HYPERLINK("http://www.otzar.org/book.asp?52004","הגדה של פסח עם פירוש שם ישראל")</f>
        <v>הגדה של פסח עם פירוש שם ישראל</v>
      </c>
    </row>
    <row r="10554" spans="1:6" x14ac:dyDescent="0.2">
      <c r="A10554" t="s">
        <v>18175</v>
      </c>
      <c r="B10554" t="s">
        <v>18176</v>
      </c>
      <c r="C10554" t="s">
        <v>454</v>
      </c>
      <c r="D10554" t="s">
        <v>14</v>
      </c>
      <c r="E10554" t="s">
        <v>246</v>
      </c>
      <c r="F10554" s="2" t="str">
        <f>HYPERLINK("http://www.otzar.org/book.asp?52841","הגדה של פסח עם פירוש שמחת יום טוב")</f>
        <v>הגדה של פסח עם פירוש שמחת יום טוב</v>
      </c>
    </row>
    <row r="10555" spans="1:6" x14ac:dyDescent="0.2">
      <c r="A10555" t="s">
        <v>18177</v>
      </c>
      <c r="B10555" t="s">
        <v>567</v>
      </c>
      <c r="C10555" t="s">
        <v>2617</v>
      </c>
      <c r="D10555" t="s">
        <v>56</v>
      </c>
      <c r="E10555" t="s">
        <v>246</v>
      </c>
      <c r="F10555" s="2" t="str">
        <f>HYPERLINK("http://www.otzar.org/book.asp?141206","הגדה של פסח עם פירושי אבני נזר")</f>
        <v>הגדה של פסח עם פירושי אבני נזר</v>
      </c>
    </row>
    <row r="10556" spans="1:6" x14ac:dyDescent="0.2">
      <c r="A10556" t="s">
        <v>18178</v>
      </c>
      <c r="B10556" t="s">
        <v>18179</v>
      </c>
      <c r="C10556" t="s">
        <v>244</v>
      </c>
      <c r="D10556" t="s">
        <v>14</v>
      </c>
      <c r="E10556" t="s">
        <v>246</v>
      </c>
      <c r="F10556" s="2" t="str">
        <f>HYPERLINK("http://www.otzar.org/book.asp?199813","הגדה של פסח עם פירושי הראשונים")</f>
        <v>הגדה של פסח עם פירושי הראשונים</v>
      </c>
    </row>
    <row r="10557" spans="1:6" x14ac:dyDescent="0.2">
      <c r="A10557" t="s">
        <v>18180</v>
      </c>
      <c r="B10557" t="s">
        <v>18181</v>
      </c>
      <c r="C10557" t="s">
        <v>18182</v>
      </c>
      <c r="D10557" t="s">
        <v>18183</v>
      </c>
      <c r="F10557" s="2" t="str">
        <f>HYPERLINK("http://www.otzar.org/book.asp?170345","הגדה של פסח עם פירושי ר""י גקטליא היעב""ץ והגר""א")</f>
        <v>הגדה של פסח עם פירושי ר"י גקטליא היעב"ץ והגר"א</v>
      </c>
    </row>
    <row r="10558" spans="1:6" x14ac:dyDescent="0.2">
      <c r="A10558" t="s">
        <v>18184</v>
      </c>
      <c r="B10558" t="s">
        <v>18181</v>
      </c>
      <c r="C10558" t="s">
        <v>2269</v>
      </c>
      <c r="D10558" t="s">
        <v>2041</v>
      </c>
      <c r="F10558" s="2" t="str">
        <f>HYPERLINK("http://www.otzar.org/book.asp?170334","הגדה של פסח עם פירושי ר""י גקטליא והגר""א")</f>
        <v>הגדה של פסח עם פירושי ר"י גקטליא והגר"א</v>
      </c>
    </row>
    <row r="10559" spans="1:6" x14ac:dyDescent="0.2">
      <c r="A10559" t="s">
        <v>18185</v>
      </c>
      <c r="B10559" t="s">
        <v>18186</v>
      </c>
      <c r="C10559" t="s">
        <v>635</v>
      </c>
      <c r="D10559" t="s">
        <v>56</v>
      </c>
      <c r="E10559" t="s">
        <v>246</v>
      </c>
      <c r="F10559" s="2" t="str">
        <f>HYPERLINK("http://www.otzar.org/book.asp?197832","הגדה של פסח עם פירושים מגאוני וילנא")</f>
        <v>הגדה של פסח עם פירושים מגאוני וילנא</v>
      </c>
    </row>
    <row r="10560" spans="1:6" x14ac:dyDescent="0.2">
      <c r="A10560" t="s">
        <v>18187</v>
      </c>
      <c r="B10560" t="s">
        <v>12042</v>
      </c>
      <c r="C10560" t="s">
        <v>20</v>
      </c>
      <c r="D10560" t="s">
        <v>52</v>
      </c>
      <c r="E10560" t="s">
        <v>130</v>
      </c>
      <c r="F10560" s="2" t="str">
        <f>HYPERLINK("http://www.otzar.org/book.asp?149748","הגדה של פסח עם פסקי משנ""ב ובאורים")</f>
        <v>הגדה של פסח עם פסקי משנ"ב ובאורים</v>
      </c>
    </row>
    <row r="10561" spans="1:6" x14ac:dyDescent="0.2">
      <c r="A10561" t="s">
        <v>18188</v>
      </c>
      <c r="B10561" t="s">
        <v>18189</v>
      </c>
      <c r="C10561" t="s">
        <v>51</v>
      </c>
      <c r="D10561" t="s">
        <v>52</v>
      </c>
      <c r="E10561" t="s">
        <v>130</v>
      </c>
      <c r="F10561" s="2" t="str">
        <f>HYPERLINK("http://www.otzar.org/book.asp?143783","הגדה של פסח עם קיצור דיני פסח")</f>
        <v>הגדה של פסח עם קיצור דיני פסח</v>
      </c>
    </row>
    <row r="10562" spans="1:6" x14ac:dyDescent="0.2">
      <c r="A10562" t="s">
        <v>18190</v>
      </c>
      <c r="B10562" t="s">
        <v>18191</v>
      </c>
      <c r="C10562" t="s">
        <v>17</v>
      </c>
      <c r="D10562" t="s">
        <v>52</v>
      </c>
      <c r="E10562" t="s">
        <v>130</v>
      </c>
      <c r="F10562" s="2" t="str">
        <f>HYPERLINK("http://www.otzar.org/book.asp?52269","הגדה של פסח עם שיטה מקובצת")</f>
        <v>הגדה של פסח עם שיטה מקובצת</v>
      </c>
    </row>
    <row r="10563" spans="1:6" x14ac:dyDescent="0.2">
      <c r="A10563" t="s">
        <v>18192</v>
      </c>
      <c r="B10563" t="s">
        <v>7374</v>
      </c>
      <c r="C10563" t="s">
        <v>180</v>
      </c>
      <c r="D10563" t="s">
        <v>14</v>
      </c>
      <c r="E10563" t="s">
        <v>3055</v>
      </c>
      <c r="F10563" s="2" t="str">
        <f>HYPERLINK("http://www.otzar.org/book.asp?144814","הגדה של פסח עם תהלה לדוד")</f>
        <v>הגדה של פסח עם תהלה לדוד</v>
      </c>
    </row>
    <row r="10564" spans="1:6" x14ac:dyDescent="0.2">
      <c r="A10564" t="s">
        <v>18193</v>
      </c>
      <c r="B10564" t="s">
        <v>18194</v>
      </c>
      <c r="C10564" t="s">
        <v>180</v>
      </c>
      <c r="D10564" t="s">
        <v>14</v>
      </c>
      <c r="E10564" t="s">
        <v>246</v>
      </c>
      <c r="F10564" s="2" t="str">
        <f>HYPERLINK("http://www.otzar.org/book.asp?143924","הגדה של פסח עם תמונות וסיפורים חסידיים מהבעש""ט ותלמידיו זי""ע")</f>
        <v>הגדה של פסח עם תמונות וסיפורים חסידיים מהבעש"ט ותלמידיו זי"ע</v>
      </c>
    </row>
    <row r="10565" spans="1:6" x14ac:dyDescent="0.2">
      <c r="A10565" t="s">
        <v>18195</v>
      </c>
      <c r="B10565" t="s">
        <v>18196</v>
      </c>
      <c r="C10565" t="s">
        <v>1570</v>
      </c>
      <c r="D10565" t="s">
        <v>412</v>
      </c>
      <c r="E10565" t="s">
        <v>246</v>
      </c>
      <c r="F10565" s="2" t="str">
        <f>HYPERLINK("http://www.otzar.org/book.asp?604389","הגדה של פסח עם תרגום אידיש ולקט מדרשי חז""ל")</f>
        <v>הגדה של פסח עם תרגום אידיש ולקט מדרשי חז"ל</v>
      </c>
    </row>
    <row r="10566" spans="1:6" x14ac:dyDescent="0.2">
      <c r="A10566" t="s">
        <v>18197</v>
      </c>
      <c r="B10566" t="s">
        <v>18198</v>
      </c>
      <c r="C10566" t="s">
        <v>1246</v>
      </c>
      <c r="D10566" t="s">
        <v>412</v>
      </c>
      <c r="E10566" t="s">
        <v>246</v>
      </c>
      <c r="F10566" s="2" t="str">
        <f>HYPERLINK("http://www.otzar.org/book.asp?193896","הגדה של פסח עם תרגום אנגלי")</f>
        <v>הגדה של פסח עם תרגום אנגלי</v>
      </c>
    </row>
    <row r="10567" spans="1:6" x14ac:dyDescent="0.2">
      <c r="A10567" t="s">
        <v>18199</v>
      </c>
      <c r="B10567" t="s">
        <v>18200</v>
      </c>
      <c r="C10567" t="s">
        <v>313</v>
      </c>
      <c r="D10567" t="s">
        <v>14</v>
      </c>
      <c r="E10567" t="s">
        <v>130</v>
      </c>
      <c r="F10567" s="2" t="str">
        <f>HYPERLINK("http://www.otzar.org/book.asp?144088","הגדה של פסח פסח דורות")</f>
        <v>הגדה של פסח פסח דורות</v>
      </c>
    </row>
    <row r="10568" spans="1:6" x14ac:dyDescent="0.2">
      <c r="A10568" t="s">
        <v>18201</v>
      </c>
      <c r="B10568" t="s">
        <v>18202</v>
      </c>
      <c r="C10568" t="s">
        <v>103</v>
      </c>
      <c r="D10568" t="s">
        <v>14</v>
      </c>
      <c r="E10568" t="s">
        <v>246</v>
      </c>
      <c r="F10568" s="2" t="str">
        <f>HYPERLINK("http://www.otzar.org/book.asp?144559","הגדה של פסח פרעשבורג")</f>
        <v>הגדה של פסח פרעשבורג</v>
      </c>
    </row>
    <row r="10569" spans="1:6" x14ac:dyDescent="0.2">
      <c r="A10569" t="s">
        <v>18203</v>
      </c>
      <c r="B10569" t="s">
        <v>3072</v>
      </c>
      <c r="C10569" t="s">
        <v>785</v>
      </c>
      <c r="D10569" t="s">
        <v>52</v>
      </c>
      <c r="E10569" t="s">
        <v>246</v>
      </c>
      <c r="F10569" s="2" t="str">
        <f>HYPERLINK("http://www.otzar.org/book.asp?144185","הגדה של פסח פרפראות")</f>
        <v>הגדה של פסח פרפראות</v>
      </c>
    </row>
    <row r="10570" spans="1:6" x14ac:dyDescent="0.2">
      <c r="A10570" t="s">
        <v>18204</v>
      </c>
      <c r="B10570" t="s">
        <v>18205</v>
      </c>
      <c r="C10570" t="s">
        <v>129</v>
      </c>
      <c r="D10570" t="s">
        <v>14</v>
      </c>
      <c r="E10570" t="s">
        <v>246</v>
      </c>
      <c r="F10570" s="2" t="str">
        <f>HYPERLINK("http://www.otzar.org/book.asp?144546","הגדה של פסח קעלם")</f>
        <v>הגדה של פסח קעלם</v>
      </c>
    </row>
    <row r="10571" spans="1:6" x14ac:dyDescent="0.2">
      <c r="A10571" t="s">
        <v>18206</v>
      </c>
      <c r="B10571" t="s">
        <v>18207</v>
      </c>
      <c r="C10571" t="s">
        <v>1570</v>
      </c>
      <c r="D10571" t="s">
        <v>52</v>
      </c>
      <c r="E10571" t="s">
        <v>246</v>
      </c>
      <c r="F10571" s="2" t="str">
        <f>HYPERLINK("http://www.otzar.org/book.asp?173860","הגדה של פסח רבת פנינים")</f>
        <v>הגדה של פסח רבת פנינים</v>
      </c>
    </row>
    <row r="10572" spans="1:6" x14ac:dyDescent="0.2">
      <c r="A10572" t="s">
        <v>18208</v>
      </c>
      <c r="B10572" t="s">
        <v>13067</v>
      </c>
      <c r="C10572" t="s">
        <v>13</v>
      </c>
      <c r="D10572" t="s">
        <v>14</v>
      </c>
      <c r="E10572" t="s">
        <v>246</v>
      </c>
      <c r="F10572" s="2" t="str">
        <f>HYPERLINK("http://www.otzar.org/book.asp?161261","הגדה של פסח רנת יצחק")</f>
        <v>הגדה של פסח רנת יצחק</v>
      </c>
    </row>
    <row r="10573" spans="1:6" x14ac:dyDescent="0.2">
      <c r="A10573" t="s">
        <v>18209</v>
      </c>
      <c r="B10573" t="s">
        <v>18210</v>
      </c>
      <c r="C10573" t="s">
        <v>313</v>
      </c>
      <c r="D10573" t="s">
        <v>14</v>
      </c>
      <c r="F10573" s="2" t="str">
        <f>HYPERLINK("http://www.otzar.org/book.asp?182862","הגדה של פסח שי לתורה - בריסק")</f>
        <v>הגדה של פסח שי לתורה - בריסק</v>
      </c>
    </row>
    <row r="10574" spans="1:6" x14ac:dyDescent="0.2">
      <c r="A10574" t="s">
        <v>18211</v>
      </c>
      <c r="B10574" t="s">
        <v>15469</v>
      </c>
      <c r="C10574" t="s">
        <v>13</v>
      </c>
      <c r="D10574" t="s">
        <v>21</v>
      </c>
      <c r="E10574" t="s">
        <v>246</v>
      </c>
      <c r="F10574" s="2" t="str">
        <f>HYPERLINK("http://www.otzar.org/book.asp?195208","הגדה של פסח שיר מזמור לתודה")</f>
        <v>הגדה של פסח שיר מזמור לתודה</v>
      </c>
    </row>
    <row r="10575" spans="1:6" x14ac:dyDescent="0.2">
      <c r="A10575" t="s">
        <v>18212</v>
      </c>
      <c r="B10575" t="s">
        <v>18213</v>
      </c>
      <c r="C10575" t="s">
        <v>20</v>
      </c>
      <c r="D10575" t="s">
        <v>14</v>
      </c>
      <c r="E10575" t="s">
        <v>3055</v>
      </c>
      <c r="F10575" s="2" t="str">
        <f>HYPERLINK("http://www.otzar.org/book.asp?619755","הגדה של פסח שפת אמת ותפארת שלמה")</f>
        <v>הגדה של פסח שפת אמת ותפארת שלמה</v>
      </c>
    </row>
    <row r="10576" spans="1:6" x14ac:dyDescent="0.2">
      <c r="A10576" t="s">
        <v>18214</v>
      </c>
      <c r="B10576" t="s">
        <v>18215</v>
      </c>
      <c r="C10576" t="s">
        <v>103</v>
      </c>
      <c r="D10576" t="s">
        <v>14</v>
      </c>
      <c r="E10576" t="s">
        <v>246</v>
      </c>
      <c r="F10576" s="2" t="str">
        <f>HYPERLINK("http://www.otzar.org/book.asp?26780","הגדה של פסח תפארת שמשון")</f>
        <v>הגדה של פסח תפארת שמשון</v>
      </c>
    </row>
    <row r="10577" spans="1:6" x14ac:dyDescent="0.2">
      <c r="A10577" t="s">
        <v>18216</v>
      </c>
      <c r="B10577" t="s">
        <v>18217</v>
      </c>
      <c r="C10577" t="s">
        <v>20</v>
      </c>
      <c r="D10577" t="s">
        <v>18218</v>
      </c>
      <c r="E10577" t="s">
        <v>246</v>
      </c>
      <c r="F10577" s="2" t="str">
        <f>HYPERLINK("http://www.otzar.org/book.asp?606519","הגדה של פסח - והגדת לבנך")</f>
        <v>הגדה של פסח - והגדת לבנך</v>
      </c>
    </row>
    <row r="10578" spans="1:6" x14ac:dyDescent="0.2">
      <c r="A10578" t="s">
        <v>18219</v>
      </c>
      <c r="B10578" t="s">
        <v>18220</v>
      </c>
      <c r="C10578" t="s">
        <v>23</v>
      </c>
      <c r="D10578" t="s">
        <v>52</v>
      </c>
      <c r="E10578" t="s">
        <v>246</v>
      </c>
      <c r="F10578" s="2" t="str">
        <f>HYPERLINK("http://www.otzar.org/book.asp?193387","הגדה של פסח - מאמר רפאל")</f>
        <v>הגדה של פסח - מאמר רפאל</v>
      </c>
    </row>
    <row r="10579" spans="1:6" x14ac:dyDescent="0.2">
      <c r="A10579" t="s">
        <v>18221</v>
      </c>
      <c r="B10579" t="s">
        <v>18222</v>
      </c>
      <c r="C10579" t="s">
        <v>133</v>
      </c>
      <c r="D10579" t="s">
        <v>52</v>
      </c>
      <c r="E10579" t="s">
        <v>230</v>
      </c>
      <c r="F10579" s="2" t="str">
        <f>HYPERLINK("http://www.otzar.org/book.asp?615084","הגדה של פסח - ע""פ האלשיך הקדוש")</f>
        <v>הגדה של פסח - ע"פ האלשיך הקדוש</v>
      </c>
    </row>
    <row r="10580" spans="1:6" x14ac:dyDescent="0.2">
      <c r="A10580" t="s">
        <v>18223</v>
      </c>
      <c r="B10580" t="s">
        <v>18224</v>
      </c>
      <c r="C10580" t="s">
        <v>111</v>
      </c>
      <c r="D10580" t="s">
        <v>90</v>
      </c>
      <c r="E10580" t="s">
        <v>246</v>
      </c>
      <c r="F10580" s="2" t="str">
        <f>HYPERLINK("http://www.otzar.org/book.asp?625223","הגדה של פסח - שבילי ההגדה")</f>
        <v>הגדה של פסח - שבילי ההגדה</v>
      </c>
    </row>
    <row r="10581" spans="1:6" x14ac:dyDescent="0.2">
      <c r="A10581" t="s">
        <v>3314</v>
      </c>
      <c r="B10581" t="s">
        <v>18225</v>
      </c>
      <c r="C10581" t="s">
        <v>5823</v>
      </c>
      <c r="D10581" t="s">
        <v>6042</v>
      </c>
      <c r="E10581" t="s">
        <v>246</v>
      </c>
      <c r="F10581" s="2" t="str">
        <f>HYPERLINK("http://www.otzar.org/book.asp?169316","הגדה של פסח")</f>
        <v>הגדה של פסח</v>
      </c>
    </row>
    <row r="10582" spans="1:6" x14ac:dyDescent="0.2">
      <c r="A10582" t="s">
        <v>18226</v>
      </c>
      <c r="B10582" t="s">
        <v>18227</v>
      </c>
      <c r="C10582" t="s">
        <v>767</v>
      </c>
      <c r="D10582" t="s">
        <v>52</v>
      </c>
      <c r="E10582" t="s">
        <v>246</v>
      </c>
      <c r="F10582" s="2" t="str">
        <f>HYPERLINK("http://www.otzar.org/book.asp?613179","הגדה של פסח - ברכת משה")</f>
        <v>הגדה של פסח - ברכת משה</v>
      </c>
    </row>
    <row r="10583" spans="1:6" x14ac:dyDescent="0.2">
      <c r="A10583" t="s">
        <v>18228</v>
      </c>
      <c r="B10583" t="s">
        <v>18229</v>
      </c>
      <c r="C10583" t="s">
        <v>767</v>
      </c>
      <c r="D10583" t="s">
        <v>721</v>
      </c>
      <c r="E10583" t="s">
        <v>246</v>
      </c>
      <c r="F10583" s="2" t="str">
        <f>HYPERLINK("http://www.otzar.org/book.asp?174466","הגדה של פסח - מגיד לאדם")</f>
        <v>הגדה של פסח - מגיד לאדם</v>
      </c>
    </row>
    <row r="10584" spans="1:6" x14ac:dyDescent="0.2">
      <c r="A10584" t="s">
        <v>18230</v>
      </c>
      <c r="B10584" t="s">
        <v>2176</v>
      </c>
      <c r="C10584" t="s">
        <v>313</v>
      </c>
      <c r="D10584" t="s">
        <v>14</v>
      </c>
      <c r="E10584" t="s">
        <v>130</v>
      </c>
      <c r="F10584" s="2" t="str">
        <f>HYPERLINK("http://www.otzar.org/book.asp?21042","הגדה של פסח - משאת המלך")</f>
        <v>הגדה של פסח - משאת המלך</v>
      </c>
    </row>
    <row r="10585" spans="1:6" x14ac:dyDescent="0.2">
      <c r="A10585" t="s">
        <v>3314</v>
      </c>
      <c r="B10585" t="s">
        <v>18231</v>
      </c>
      <c r="C10585" t="s">
        <v>1470</v>
      </c>
      <c r="D10585" t="s">
        <v>18232</v>
      </c>
      <c r="E10585" t="s">
        <v>246</v>
      </c>
      <c r="F10585" s="2" t="str">
        <f>HYPERLINK("http://www.otzar.org/book.asp?163000","הגדה של פסח")</f>
        <v>הגדה של פסח</v>
      </c>
    </row>
    <row r="10586" spans="1:6" x14ac:dyDescent="0.2">
      <c r="A10586" t="s">
        <v>18233</v>
      </c>
      <c r="B10586" t="s">
        <v>18234</v>
      </c>
      <c r="C10586" t="s">
        <v>4087</v>
      </c>
      <c r="D10586" t="s">
        <v>1023</v>
      </c>
      <c r="E10586" t="s">
        <v>246</v>
      </c>
      <c r="F10586" s="2" t="str">
        <f>HYPERLINK("http://www.otzar.org/book.asp?53329","הגדה של פסח - עם ההלכות באידיש")</f>
        <v>הגדה של פסח - עם ההלכות באידיש</v>
      </c>
    </row>
    <row r="10587" spans="1:6" x14ac:dyDescent="0.2">
      <c r="A10587" t="s">
        <v>3314</v>
      </c>
      <c r="B10587" t="s">
        <v>18235</v>
      </c>
      <c r="C10587" t="s">
        <v>4087</v>
      </c>
      <c r="D10587" t="s">
        <v>1516</v>
      </c>
      <c r="E10587" t="s">
        <v>246</v>
      </c>
      <c r="F10587" s="2" t="str">
        <f>HYPERLINK("http://www.otzar.org/book.asp?53337","הגדה של פסח")</f>
        <v>הגדה של פסח</v>
      </c>
    </row>
    <row r="10588" spans="1:6" x14ac:dyDescent="0.2">
      <c r="A10588" t="s">
        <v>18236</v>
      </c>
      <c r="B10588" t="s">
        <v>18237</v>
      </c>
      <c r="C10588" t="s">
        <v>55</v>
      </c>
      <c r="D10588" t="s">
        <v>563</v>
      </c>
      <c r="E10588" t="s">
        <v>246</v>
      </c>
      <c r="F10588" s="2" t="str">
        <f>HYPERLINK("http://www.otzar.org/book.asp?53334","הגדה של פסח - מתורגמת ללשון אנגליה")</f>
        <v>הגדה של פסח - מתורגמת ללשון אנגליה</v>
      </c>
    </row>
    <row r="10589" spans="1:6" x14ac:dyDescent="0.2">
      <c r="A10589" t="s">
        <v>18238</v>
      </c>
      <c r="B10589" t="s">
        <v>18239</v>
      </c>
      <c r="C10589" t="s">
        <v>6052</v>
      </c>
      <c r="D10589" t="s">
        <v>212</v>
      </c>
      <c r="E10589" t="s">
        <v>246</v>
      </c>
      <c r="F10589" s="2" t="str">
        <f>HYPERLINK("http://www.otzar.org/book.asp?53335","הגדה של פסח - מתורגמת ללאדינו")</f>
        <v>הגדה של פסח - מתורגמת ללאדינו</v>
      </c>
    </row>
    <row r="10590" spans="1:6" x14ac:dyDescent="0.2">
      <c r="A10590" t="s">
        <v>18238</v>
      </c>
      <c r="B10590" t="s">
        <v>18240</v>
      </c>
      <c r="C10590" t="s">
        <v>306</v>
      </c>
      <c r="D10590" t="s">
        <v>212</v>
      </c>
      <c r="E10590" t="s">
        <v>246</v>
      </c>
      <c r="F10590" s="2" t="str">
        <f>HYPERLINK("http://www.otzar.org/book.asp?53336","הגדה של פסח - מתורגמת ללאדינו")</f>
        <v>הגדה של פסח - מתורגמת ללאדינו</v>
      </c>
    </row>
    <row r="10591" spans="1:6" x14ac:dyDescent="0.2">
      <c r="A10591" t="s">
        <v>3314</v>
      </c>
      <c r="B10591" t="s">
        <v>18241</v>
      </c>
      <c r="C10591" t="s">
        <v>649</v>
      </c>
      <c r="D10591" t="s">
        <v>303</v>
      </c>
      <c r="E10591" t="s">
        <v>246</v>
      </c>
      <c r="F10591" s="2" t="str">
        <f>HYPERLINK("http://www.otzar.org/book.asp?53347","הגדה של פסח")</f>
        <v>הגדה של פסח</v>
      </c>
    </row>
    <row r="10592" spans="1:6" x14ac:dyDescent="0.2">
      <c r="A10592" t="s">
        <v>3314</v>
      </c>
      <c r="B10592" t="s">
        <v>18242</v>
      </c>
      <c r="C10592" t="s">
        <v>581</v>
      </c>
      <c r="D10592" t="s">
        <v>280</v>
      </c>
      <c r="E10592" t="s">
        <v>1164</v>
      </c>
      <c r="F10592" s="2" t="str">
        <f>HYPERLINK("http://www.otzar.org/book.asp?104763","הגדה של פסח")</f>
        <v>הגדה של פסח</v>
      </c>
    </row>
    <row r="10593" spans="1:6" x14ac:dyDescent="0.2">
      <c r="A10593" t="s">
        <v>3314</v>
      </c>
      <c r="B10593" t="s">
        <v>18243</v>
      </c>
      <c r="C10593" t="s">
        <v>224</v>
      </c>
      <c r="D10593" t="s">
        <v>18244</v>
      </c>
      <c r="E10593" t="s">
        <v>246</v>
      </c>
      <c r="F10593" s="2" t="str">
        <f>HYPERLINK("http://www.otzar.org/book.asp?53344","הגדה של פסח")</f>
        <v>הגדה של פסח</v>
      </c>
    </row>
    <row r="10594" spans="1:6" x14ac:dyDescent="0.2">
      <c r="A10594" t="s">
        <v>18245</v>
      </c>
      <c r="B10594" t="s">
        <v>18246</v>
      </c>
      <c r="C10594" t="s">
        <v>438</v>
      </c>
      <c r="D10594" t="s">
        <v>216</v>
      </c>
      <c r="E10594" t="s">
        <v>246</v>
      </c>
      <c r="F10594" s="2" t="str">
        <f>HYPERLINK("http://www.otzar.org/book.asp?615742","הגדה של פסח - הגדת סופרים")</f>
        <v>הגדה של פסח - הגדת סופרים</v>
      </c>
    </row>
    <row r="10595" spans="1:6" x14ac:dyDescent="0.2">
      <c r="A10595" t="s">
        <v>18247</v>
      </c>
      <c r="B10595" t="s">
        <v>7678</v>
      </c>
      <c r="C10595" t="s">
        <v>454</v>
      </c>
      <c r="D10595" t="s">
        <v>52</v>
      </c>
      <c r="E10595" t="s">
        <v>246</v>
      </c>
      <c r="F10595" s="2" t="str">
        <f>HYPERLINK("http://www.otzar.org/book.asp?153376","הגדה של פסח - אריה שאג")</f>
        <v>הגדה של פסח - אריה שאג</v>
      </c>
    </row>
    <row r="10596" spans="1:6" x14ac:dyDescent="0.2">
      <c r="A10596" t="s">
        <v>18248</v>
      </c>
      <c r="B10596" t="s">
        <v>18249</v>
      </c>
      <c r="C10596" t="s">
        <v>111</v>
      </c>
      <c r="D10596" t="s">
        <v>90</v>
      </c>
      <c r="E10596" t="s">
        <v>246</v>
      </c>
      <c r="F10596" s="2" t="str">
        <f>HYPERLINK("http://www.otzar.org/book.asp?628655","הגדה של פסח - רגלי מבשר")</f>
        <v>הגדה של פסח - רגלי מבשר</v>
      </c>
    </row>
    <row r="10597" spans="1:6" x14ac:dyDescent="0.2">
      <c r="A10597" t="s">
        <v>18250</v>
      </c>
      <c r="B10597" t="s">
        <v>18251</v>
      </c>
      <c r="C10597" t="s">
        <v>68</v>
      </c>
      <c r="D10597" t="s">
        <v>90</v>
      </c>
      <c r="E10597" t="s">
        <v>246</v>
      </c>
      <c r="F10597" s="2" t="str">
        <f>HYPERLINK("http://www.otzar.org/book.asp?193720","הגדה של פסח - אב אני")</f>
        <v>הגדה של פסח - אב אני</v>
      </c>
    </row>
    <row r="10598" spans="1:6" x14ac:dyDescent="0.2">
      <c r="A10598" t="s">
        <v>18252</v>
      </c>
      <c r="B10598" t="s">
        <v>18253</v>
      </c>
      <c r="C10598" t="s">
        <v>624</v>
      </c>
      <c r="D10598" t="s">
        <v>14</v>
      </c>
      <c r="E10598" t="s">
        <v>130</v>
      </c>
      <c r="F10598" s="2" t="str">
        <f>HYPERLINK("http://www.otzar.org/book.asp?149507","הגדה של פסח - מגיד כהלכה")</f>
        <v>הגדה של פסח - מגיד כהלכה</v>
      </c>
    </row>
    <row r="10599" spans="1:6" x14ac:dyDescent="0.2">
      <c r="A10599" t="s">
        <v>18254</v>
      </c>
      <c r="B10599" t="s">
        <v>18255</v>
      </c>
      <c r="C10599" t="s">
        <v>466</v>
      </c>
      <c r="D10599" t="s">
        <v>52</v>
      </c>
      <c r="E10599" t="s">
        <v>246</v>
      </c>
      <c r="F10599" s="2" t="str">
        <f>HYPERLINK("http://www.otzar.org/book.asp?199610","הגדה של פסח&lt;הגדה יפה&gt;")</f>
        <v>הגדה של פסח&lt;הגדה יפה&gt;</v>
      </c>
    </row>
    <row r="10600" spans="1:6" x14ac:dyDescent="0.2">
      <c r="A10600" t="s">
        <v>18256</v>
      </c>
      <c r="B10600" t="s">
        <v>18257</v>
      </c>
      <c r="C10600" t="s">
        <v>37</v>
      </c>
      <c r="D10600" t="s">
        <v>14</v>
      </c>
      <c r="E10600" t="s">
        <v>246</v>
      </c>
      <c r="F10600" s="2" t="str">
        <f>HYPERLINK("http://www.otzar.org/book.asp?632055","הגדה של פסח - קול מנחם")</f>
        <v>הגדה של פסח - קול מנחם</v>
      </c>
    </row>
    <row r="10601" spans="1:6" x14ac:dyDescent="0.2">
      <c r="A10601" t="s">
        <v>18258</v>
      </c>
      <c r="B10601" t="s">
        <v>18259</v>
      </c>
      <c r="C10601" t="s">
        <v>248</v>
      </c>
      <c r="D10601" t="s">
        <v>212</v>
      </c>
      <c r="E10601" t="s">
        <v>246</v>
      </c>
      <c r="F10601" s="2" t="str">
        <f>HYPERLINK("http://www.otzar.org/book.asp?51781","הגדה של פסח - 2 כר'")</f>
        <v>הגדה של פסח - 2 כר'</v>
      </c>
    </row>
    <row r="10602" spans="1:6" x14ac:dyDescent="0.2">
      <c r="A10602" t="s">
        <v>18260</v>
      </c>
      <c r="B10602" t="s">
        <v>3923</v>
      </c>
      <c r="C10602" t="s">
        <v>366</v>
      </c>
      <c r="D10602" t="s">
        <v>21</v>
      </c>
      <c r="E10602" t="s">
        <v>246</v>
      </c>
      <c r="F10602" s="2" t="str">
        <f>HYPERLINK("http://www.otzar.org/book.asp?604822","הגדה של פסח - גבורות ה' &lt;מכון עליות אליהו&gt;")</f>
        <v>הגדה של פסח - גבורות ה' &lt;מכון עליות אליהו&gt;</v>
      </c>
    </row>
    <row r="10603" spans="1:6" x14ac:dyDescent="0.2">
      <c r="A10603" t="s">
        <v>18261</v>
      </c>
      <c r="B10603" t="s">
        <v>17792</v>
      </c>
      <c r="C10603" t="s">
        <v>111</v>
      </c>
      <c r="D10603" t="s">
        <v>14</v>
      </c>
      <c r="E10603" t="s">
        <v>246</v>
      </c>
      <c r="F10603" s="2" t="str">
        <f>HYPERLINK("http://www.otzar.org/book.asp?628657","הגדה של פסח - היושבת בגנים")</f>
        <v>הגדה של פסח - היושבת בגנים</v>
      </c>
    </row>
    <row r="10604" spans="1:6" x14ac:dyDescent="0.2">
      <c r="A10604" t="s">
        <v>18262</v>
      </c>
      <c r="B10604" t="s">
        <v>1602</v>
      </c>
      <c r="C10604" t="s">
        <v>466</v>
      </c>
      <c r="D10604" t="s">
        <v>14</v>
      </c>
      <c r="E10604" t="s">
        <v>246</v>
      </c>
      <c r="F10604" s="2" t="str">
        <f>HYPERLINK("http://www.otzar.org/book.asp?84708","הגדה של פסח - למען תספר")</f>
        <v>הגדה של פסח - למען תספר</v>
      </c>
    </row>
    <row r="10605" spans="1:6" x14ac:dyDescent="0.2">
      <c r="A10605" t="s">
        <v>18263</v>
      </c>
      <c r="B10605" t="s">
        <v>12768</v>
      </c>
      <c r="C10605" t="s">
        <v>146</v>
      </c>
      <c r="D10605" t="s">
        <v>139</v>
      </c>
      <c r="E10605" t="s">
        <v>246</v>
      </c>
      <c r="F10605" s="2" t="str">
        <f>HYPERLINK("http://www.otzar.org/book.asp?144783","הגדה של פסח - בשבילי ההגדה")</f>
        <v>הגדה של פסח - בשבילי ההגדה</v>
      </c>
    </row>
    <row r="10606" spans="1:6" x14ac:dyDescent="0.2">
      <c r="A10606" t="s">
        <v>18264</v>
      </c>
      <c r="B10606" t="s">
        <v>18265</v>
      </c>
      <c r="C10606" t="s">
        <v>624</v>
      </c>
      <c r="D10606" t="s">
        <v>721</v>
      </c>
      <c r="E10606" t="s">
        <v>246</v>
      </c>
      <c r="F10606" s="2" t="str">
        <f>HYPERLINK("http://www.otzar.org/book.asp?174451","הגדה של פסח - שפת הים")</f>
        <v>הגדה של פסח - שפת הים</v>
      </c>
    </row>
    <row r="10607" spans="1:6" x14ac:dyDescent="0.2">
      <c r="A10607" t="s">
        <v>18266</v>
      </c>
      <c r="B10607" t="s">
        <v>11760</v>
      </c>
      <c r="C10607" t="s">
        <v>37</v>
      </c>
      <c r="D10607" t="s">
        <v>5172</v>
      </c>
      <c r="F10607" s="2" t="str">
        <f>HYPERLINK("http://www.otzar.org/book.asp?193388","הגדה של פסח - והגדת")</f>
        <v>הגדה של פסח - והגדת</v>
      </c>
    </row>
    <row r="10608" spans="1:6" x14ac:dyDescent="0.2">
      <c r="A10608" t="s">
        <v>18267</v>
      </c>
      <c r="B10608" t="s">
        <v>18268</v>
      </c>
      <c r="C10608" t="s">
        <v>133</v>
      </c>
      <c r="D10608" t="s">
        <v>52</v>
      </c>
      <c r="F10608" s="2" t="str">
        <f>HYPERLINK("http://www.otzar.org/book.asp?198273","הגדה של פסח - שער בנימין")</f>
        <v>הגדה של פסח - שער בנימין</v>
      </c>
    </row>
    <row r="10609" spans="1:6" x14ac:dyDescent="0.2">
      <c r="A10609" t="s">
        <v>18269</v>
      </c>
      <c r="B10609" t="s">
        <v>10056</v>
      </c>
      <c r="C10609" t="s">
        <v>454</v>
      </c>
      <c r="D10609" t="s">
        <v>1180</v>
      </c>
      <c r="E10609" t="s">
        <v>3055</v>
      </c>
      <c r="F10609" s="2" t="str">
        <f>HYPERLINK("http://www.otzar.org/book.asp?199364","הגדה של פסח - בית צדיקים")</f>
        <v>הגדה של פסח - בית צדיקים</v>
      </c>
    </row>
    <row r="10610" spans="1:6" x14ac:dyDescent="0.2">
      <c r="A10610" t="s">
        <v>18270</v>
      </c>
      <c r="B10610" t="s">
        <v>2999</v>
      </c>
      <c r="C10610" t="s">
        <v>1163</v>
      </c>
      <c r="D10610" t="s">
        <v>1163</v>
      </c>
      <c r="E10610" t="s">
        <v>246</v>
      </c>
      <c r="F10610" s="2" t="str">
        <f>HYPERLINK("http://www.otzar.org/book.asp?193270","הגדה של פסח - ויצבור יוסף")</f>
        <v>הגדה של פסח - ויצבור יוסף</v>
      </c>
    </row>
    <row r="10611" spans="1:6" x14ac:dyDescent="0.2">
      <c r="A10611" t="s">
        <v>18271</v>
      </c>
      <c r="B10611" t="s">
        <v>18272</v>
      </c>
      <c r="C10611" t="s">
        <v>1284</v>
      </c>
      <c r="D10611" t="s">
        <v>379</v>
      </c>
      <c r="E10611" t="s">
        <v>246</v>
      </c>
      <c r="F10611" s="2" t="str">
        <f>HYPERLINK("http://www.otzar.org/book.asp?23573","הגדה של פסח - &lt;ליל התקדש חג&gt;")</f>
        <v>הגדה של פסח - &lt;ליל התקדש חג&gt;</v>
      </c>
    </row>
    <row r="10612" spans="1:6" x14ac:dyDescent="0.2">
      <c r="A10612" t="s">
        <v>3314</v>
      </c>
      <c r="B10612" t="s">
        <v>18273</v>
      </c>
      <c r="C10612" t="s">
        <v>103</v>
      </c>
      <c r="D10612" t="s">
        <v>52</v>
      </c>
      <c r="E10612" t="s">
        <v>246</v>
      </c>
      <c r="F10612" s="2" t="str">
        <f>HYPERLINK("http://www.otzar.org/book.asp?24920","הגדה של פסח")</f>
        <v>הגדה של פסח</v>
      </c>
    </row>
    <row r="10613" spans="1:6" x14ac:dyDescent="0.2">
      <c r="A10613" t="s">
        <v>18274</v>
      </c>
      <c r="B10613" t="s">
        <v>11722</v>
      </c>
      <c r="C10613" t="s">
        <v>23</v>
      </c>
      <c r="D10613" t="s">
        <v>14</v>
      </c>
      <c r="E10613" t="s">
        <v>246</v>
      </c>
      <c r="F10613" s="2" t="str">
        <f>HYPERLINK("http://www.otzar.org/book.asp?198346","הגדה של פסח - מדרש בחידוש &lt;מהדורה חדשה&gt;")</f>
        <v>הגדה של פסח - מדרש בחידוש &lt;מהדורה חדשה&gt;</v>
      </c>
    </row>
    <row r="10614" spans="1:6" x14ac:dyDescent="0.2">
      <c r="A10614" t="s">
        <v>18275</v>
      </c>
      <c r="B10614" t="s">
        <v>1923</v>
      </c>
      <c r="C10614" t="s">
        <v>244</v>
      </c>
      <c r="D10614" t="s">
        <v>13336</v>
      </c>
      <c r="E10614" t="s">
        <v>246</v>
      </c>
      <c r="F10614" s="2" t="str">
        <f>HYPERLINK("http://www.otzar.org/book.asp?198495","הגדה של פסח - מעשה ברבי אלעזר")</f>
        <v>הגדה של פסח - מעשה ברבי אלעזר</v>
      </c>
    </row>
    <row r="10615" spans="1:6" x14ac:dyDescent="0.2">
      <c r="A10615" t="s">
        <v>18276</v>
      </c>
      <c r="B10615" t="s">
        <v>18277</v>
      </c>
      <c r="C10615" t="s">
        <v>624</v>
      </c>
      <c r="D10615" t="s">
        <v>721</v>
      </c>
      <c r="E10615" t="s">
        <v>246</v>
      </c>
      <c r="F10615" s="2" t="str">
        <f>HYPERLINK("http://www.otzar.org/book.asp?174450","הגדה של פסח - שבלי הלקט")</f>
        <v>הגדה של פסח - שבלי הלקט</v>
      </c>
    </row>
    <row r="10616" spans="1:6" x14ac:dyDescent="0.2">
      <c r="A10616" t="s">
        <v>18258</v>
      </c>
      <c r="B10616" t="s">
        <v>305</v>
      </c>
      <c r="C10616" t="s">
        <v>896</v>
      </c>
      <c r="D10616" t="s">
        <v>267</v>
      </c>
      <c r="E10616" t="s">
        <v>467</v>
      </c>
      <c r="F10616" s="2" t="str">
        <f>HYPERLINK("http://www.otzar.org/book.asp?6317","הגדה של פסח - 2 כר'")</f>
        <v>הגדה של פסח - 2 כר'</v>
      </c>
    </row>
    <row r="10617" spans="1:6" x14ac:dyDescent="0.2">
      <c r="A10617" t="s">
        <v>18278</v>
      </c>
      <c r="B10617" t="s">
        <v>17964</v>
      </c>
      <c r="C10617" t="s">
        <v>767</v>
      </c>
      <c r="D10617" t="s">
        <v>14</v>
      </c>
      <c r="E10617" t="s">
        <v>246</v>
      </c>
      <c r="F10617" s="2" t="str">
        <f>HYPERLINK("http://www.otzar.org/book.asp?144555","הגדה של פסח-  &lt;פוניבז'&gt; -א")</f>
        <v>הגדה של פסח-  &lt;פוניבז'&gt; -א</v>
      </c>
    </row>
    <row r="10618" spans="1:6" x14ac:dyDescent="0.2">
      <c r="A10618" t="s">
        <v>18279</v>
      </c>
      <c r="B10618" t="s">
        <v>18280</v>
      </c>
      <c r="C10618" t="s">
        <v>422</v>
      </c>
      <c r="D10618" t="s">
        <v>14</v>
      </c>
      <c r="E10618" t="s">
        <v>246</v>
      </c>
      <c r="F10618" s="2" t="str">
        <f>HYPERLINK("http://www.otzar.org/book.asp?151174","הגדה של פסח - כנסת ישראל סלבודקה, חברון")</f>
        <v>הגדה של פסח - כנסת ישראל סלבודקה, חברון</v>
      </c>
    </row>
    <row r="10619" spans="1:6" x14ac:dyDescent="0.2">
      <c r="A10619" t="s">
        <v>18281</v>
      </c>
      <c r="B10619" t="s">
        <v>18282</v>
      </c>
      <c r="D10619" t="s">
        <v>486</v>
      </c>
      <c r="E10619" t="s">
        <v>246</v>
      </c>
      <c r="F10619" s="2" t="str">
        <f>HYPERLINK("http://www.otzar.org/book.asp?624555","הגדה של פסח - וטהר לבנו")</f>
        <v>הגדה של פסח - וטהר לבנו</v>
      </c>
    </row>
    <row r="10620" spans="1:6" x14ac:dyDescent="0.2">
      <c r="A10620" t="s">
        <v>18283</v>
      </c>
      <c r="B10620" t="s">
        <v>9096</v>
      </c>
      <c r="C10620" t="s">
        <v>1246</v>
      </c>
      <c r="D10620" t="s">
        <v>27</v>
      </c>
      <c r="E10620" t="s">
        <v>1164</v>
      </c>
      <c r="F10620" s="2" t="str">
        <f>HYPERLINK("http://www.otzar.org/book.asp?104785","הגדה שלמה")</f>
        <v>הגדה שלמה</v>
      </c>
    </row>
    <row r="10621" spans="1:6" x14ac:dyDescent="0.2">
      <c r="A10621" t="s">
        <v>18284</v>
      </c>
      <c r="B10621" t="s">
        <v>7077</v>
      </c>
      <c r="C10621" t="s">
        <v>624</v>
      </c>
      <c r="D10621" t="s">
        <v>21</v>
      </c>
      <c r="F10621" s="2" t="str">
        <f>HYPERLINK("http://www.otzar.org/book.asp?622589","הגדול בדורו")</f>
        <v>הגדול בדורו</v>
      </c>
    </row>
    <row r="10622" spans="1:6" x14ac:dyDescent="0.2">
      <c r="A10622" t="s">
        <v>18285</v>
      </c>
      <c r="B10622" t="s">
        <v>18286</v>
      </c>
      <c r="C10622" t="s">
        <v>87</v>
      </c>
      <c r="D10622" t="s">
        <v>14</v>
      </c>
      <c r="E10622" t="s">
        <v>119</v>
      </c>
      <c r="F10622" s="2" t="str">
        <f>HYPERLINK("http://www.otzar.org/book.asp?63050","הגדול ממינסק")</f>
        <v>הגדול ממינסק</v>
      </c>
    </row>
    <row r="10623" spans="1:6" x14ac:dyDescent="0.2">
      <c r="A10623" t="s">
        <v>18287</v>
      </c>
      <c r="B10623" t="s">
        <v>5470</v>
      </c>
      <c r="C10623" t="s">
        <v>20</v>
      </c>
      <c r="D10623" t="s">
        <v>412</v>
      </c>
      <c r="E10623" t="s">
        <v>4494</v>
      </c>
      <c r="F10623" s="2" t="str">
        <f>HYPERLINK("http://www.otzar.org/book.asp?173239","הגדולה והגאולה")</f>
        <v>הגדולה והגאולה</v>
      </c>
    </row>
    <row r="10624" spans="1:6" x14ac:dyDescent="0.2">
      <c r="A10624" t="s">
        <v>18288</v>
      </c>
      <c r="B10624" t="s">
        <v>18288</v>
      </c>
      <c r="C10624" t="s">
        <v>18289</v>
      </c>
      <c r="D10624" t="s">
        <v>1490</v>
      </c>
      <c r="E10624" t="s">
        <v>144</v>
      </c>
      <c r="F10624" s="2" t="str">
        <f>HYPERLINK("http://www.otzar.org/book.asp?10465","הגדות התלמוד")</f>
        <v>הגדות התלמוד</v>
      </c>
    </row>
    <row r="10625" spans="1:6" x14ac:dyDescent="0.2">
      <c r="A10625" t="s">
        <v>18290</v>
      </c>
      <c r="B10625" t="s">
        <v>18291</v>
      </c>
      <c r="C10625" t="s">
        <v>18292</v>
      </c>
      <c r="D10625" t="s">
        <v>18293</v>
      </c>
      <c r="E10625" t="s">
        <v>246</v>
      </c>
      <c r="F10625" s="2" t="str">
        <f>HYPERLINK("http://www.otzar.org/book.asp?23662","הגדות של פסח &lt;ההגדה הראשונה שנדפסה&gt;")</f>
        <v>הגדות של פסח &lt;ההגדה הראשונה שנדפסה&gt;</v>
      </c>
    </row>
    <row r="10626" spans="1:6" x14ac:dyDescent="0.2">
      <c r="A10626" t="s">
        <v>18294</v>
      </c>
      <c r="B10626" t="s">
        <v>18291</v>
      </c>
      <c r="C10626" t="s">
        <v>18292</v>
      </c>
      <c r="D10626" t="s">
        <v>18293</v>
      </c>
      <c r="F10626" s="2" t="str">
        <f>HYPERLINK("http://www.otzar.org/book.asp?53330","הגדות של פסח &lt;ואדי אלחגארה&gt;")</f>
        <v>הגדות של פסח &lt;ואדי אלחגארה&gt;</v>
      </c>
    </row>
    <row r="10627" spans="1:6" x14ac:dyDescent="0.2">
      <c r="A10627" t="s">
        <v>18295</v>
      </c>
      <c r="B10627" t="s">
        <v>18296</v>
      </c>
      <c r="C10627" t="s">
        <v>20</v>
      </c>
      <c r="D10627" t="s">
        <v>90</v>
      </c>
      <c r="E10627" t="s">
        <v>246</v>
      </c>
      <c r="F10627" s="2" t="str">
        <f>HYPERLINK("http://www.otzar.org/book.asp?175519","הגדת אליהו")</f>
        <v>הגדת אליהו</v>
      </c>
    </row>
    <row r="10628" spans="1:6" x14ac:dyDescent="0.2">
      <c r="A10628" t="s">
        <v>18297</v>
      </c>
      <c r="B10628" t="s">
        <v>18298</v>
      </c>
      <c r="C10628" t="s">
        <v>71</v>
      </c>
      <c r="D10628" t="s">
        <v>14</v>
      </c>
      <c r="E10628" t="s">
        <v>246</v>
      </c>
      <c r="F10628" s="2" t="str">
        <f>HYPERLINK("http://www.otzar.org/book.asp?162086","הגדת הגאונים והרמב""ם")</f>
        <v>הגדת הגאונים והרמב"ם</v>
      </c>
    </row>
    <row r="10629" spans="1:6" x14ac:dyDescent="0.2">
      <c r="A10629" t="s">
        <v>18299</v>
      </c>
      <c r="B10629" t="s">
        <v>15973</v>
      </c>
      <c r="C10629" t="s">
        <v>87</v>
      </c>
      <c r="D10629" t="s">
        <v>216</v>
      </c>
      <c r="E10629" t="s">
        <v>246</v>
      </c>
      <c r="F10629" s="2" t="str">
        <f>HYPERLINK("http://www.otzar.org/book.asp?620401","הגדת הישיבה")</f>
        <v>הגדת הישיבה</v>
      </c>
    </row>
    <row r="10630" spans="1:6" x14ac:dyDescent="0.2">
      <c r="A10630" t="s">
        <v>18300</v>
      </c>
      <c r="B10630" t="s">
        <v>18301</v>
      </c>
      <c r="C10630" t="s">
        <v>473</v>
      </c>
      <c r="D10630" t="s">
        <v>225</v>
      </c>
      <c r="E10630" t="s">
        <v>246</v>
      </c>
      <c r="F10630" s="2" t="str">
        <f>HYPERLINK("http://www.otzar.org/book.asp?188754","הגדת המבאר")</f>
        <v>הגדת המבאר</v>
      </c>
    </row>
    <row r="10631" spans="1:6" x14ac:dyDescent="0.2">
      <c r="A10631" t="s">
        <v>18302</v>
      </c>
      <c r="B10631" t="s">
        <v>18303</v>
      </c>
      <c r="C10631" t="s">
        <v>767</v>
      </c>
      <c r="D10631" t="s">
        <v>14</v>
      </c>
      <c r="E10631" t="s">
        <v>246</v>
      </c>
      <c r="F10631" s="2" t="str">
        <f>HYPERLINK("http://www.otzar.org/book.asp?149542","הגדת חכמי ירושלים")</f>
        <v>הגדת חכמי ירושלים</v>
      </c>
    </row>
    <row r="10632" spans="1:6" x14ac:dyDescent="0.2">
      <c r="A10632" t="s">
        <v>18304</v>
      </c>
      <c r="B10632" t="s">
        <v>18305</v>
      </c>
      <c r="C10632" t="s">
        <v>114</v>
      </c>
      <c r="D10632" t="s">
        <v>412</v>
      </c>
      <c r="E10632" t="s">
        <v>230</v>
      </c>
      <c r="F10632" s="2" t="str">
        <f>HYPERLINK("http://www.otzar.org/book.asp?179488","הגדת חכמי צפת הקדמונים - שיר השירים ע""פ מהר""ש אוזידא")</f>
        <v>הגדת חכמי צפת הקדמונים - שיר השירים ע"פ מהר"ש אוזידא</v>
      </c>
    </row>
    <row r="10633" spans="1:6" x14ac:dyDescent="0.2">
      <c r="A10633" t="s">
        <v>18306</v>
      </c>
      <c r="B10633" t="s">
        <v>8686</v>
      </c>
      <c r="C10633" t="s">
        <v>585</v>
      </c>
      <c r="D10633" t="s">
        <v>646</v>
      </c>
      <c r="E10633" t="s">
        <v>246</v>
      </c>
      <c r="F10633" s="2" t="str">
        <f>HYPERLINK("http://www.otzar.org/book.asp?165960","הגדת לחם עני לליל פסח")</f>
        <v>הגדת לחם עני לליל פסח</v>
      </c>
    </row>
    <row r="10634" spans="1:6" x14ac:dyDescent="0.2">
      <c r="A10634" t="s">
        <v>18307</v>
      </c>
      <c r="B10634" t="s">
        <v>18308</v>
      </c>
      <c r="C10634" t="s">
        <v>940</v>
      </c>
      <c r="D10634" t="s">
        <v>14</v>
      </c>
      <c r="E10634" t="s">
        <v>246</v>
      </c>
      <c r="F10634" s="2" t="str">
        <f>HYPERLINK("http://www.otzar.org/book.asp?63019","הגדת מהר""ז")</f>
        <v>הגדת מהר"ז</v>
      </c>
    </row>
    <row r="10635" spans="1:6" x14ac:dyDescent="0.2">
      <c r="A10635" t="s">
        <v>18309</v>
      </c>
      <c r="B10635" t="s">
        <v>10302</v>
      </c>
      <c r="C10635" t="s">
        <v>777</v>
      </c>
      <c r="D10635" t="s">
        <v>27</v>
      </c>
      <c r="E10635" t="s">
        <v>246</v>
      </c>
      <c r="F10635" s="2" t="str">
        <f>HYPERLINK("http://www.otzar.org/book.asp?11144","הגדת מרדכי - בית ישראל")</f>
        <v>הגדת מרדכי - בית ישראל</v>
      </c>
    </row>
    <row r="10636" spans="1:6" x14ac:dyDescent="0.2">
      <c r="A10636" t="s">
        <v>18310</v>
      </c>
      <c r="B10636" t="s">
        <v>1308</v>
      </c>
      <c r="C10636" t="s">
        <v>71</v>
      </c>
      <c r="D10636" t="s">
        <v>14</v>
      </c>
      <c r="E10636" t="s">
        <v>246</v>
      </c>
      <c r="F10636" s="2" t="str">
        <f>HYPERLINK("http://www.otzar.org/book.asp?160416","הגדת מרן החיד""א")</f>
        <v>הגדת מרן החיד"א</v>
      </c>
    </row>
    <row r="10637" spans="1:6" x14ac:dyDescent="0.2">
      <c r="A10637" t="s">
        <v>18311</v>
      </c>
      <c r="B10637" t="s">
        <v>3923</v>
      </c>
      <c r="C10637" t="s">
        <v>785</v>
      </c>
      <c r="D10637" t="s">
        <v>216</v>
      </c>
      <c r="E10637" t="s">
        <v>246</v>
      </c>
      <c r="F10637" s="2" t="str">
        <f>HYPERLINK("http://www.otzar.org/book.asp?144902","הגדת פראג (רפ""ז) &lt;מהדורת פרדס&gt;")</f>
        <v>הגדת פראג (רפ"ז) &lt;מהדורת פרדס&gt;</v>
      </c>
    </row>
    <row r="10638" spans="1:6" x14ac:dyDescent="0.2">
      <c r="A10638" t="s">
        <v>18312</v>
      </c>
      <c r="B10638" t="s">
        <v>18313</v>
      </c>
      <c r="C10638" t="s">
        <v>366</v>
      </c>
      <c r="D10638" t="s">
        <v>14</v>
      </c>
      <c r="F10638" s="2" t="str">
        <f>HYPERLINK("http://www.otzar.org/book.asp?616012","הגדת פראג")</f>
        <v>הגדת פראג</v>
      </c>
    </row>
    <row r="10639" spans="1:6" x14ac:dyDescent="0.2">
      <c r="A10639" t="s">
        <v>18314</v>
      </c>
      <c r="B10639" t="s">
        <v>18315</v>
      </c>
      <c r="C10639" t="s">
        <v>79</v>
      </c>
      <c r="D10639" t="s">
        <v>260</v>
      </c>
      <c r="E10639" t="s">
        <v>467</v>
      </c>
      <c r="F10639" s="2" t="str">
        <f>HYPERLINK("http://www.otzar.org/book.asp?51345","הגדת רב סבא")</f>
        <v>הגדת רב סבא</v>
      </c>
    </row>
    <row r="10640" spans="1:6" x14ac:dyDescent="0.2">
      <c r="A10640" t="s">
        <v>18316</v>
      </c>
      <c r="B10640" t="s">
        <v>17512</v>
      </c>
      <c r="C10640" t="s">
        <v>383</v>
      </c>
      <c r="D10640" t="s">
        <v>52</v>
      </c>
      <c r="E10640" t="s">
        <v>246</v>
      </c>
      <c r="F10640" s="2" t="str">
        <f>HYPERLINK("http://www.otzar.org/book.asp?52533","הגדת רבי אליעזר אשכנזי")</f>
        <v>הגדת רבי אליעזר אשכנזי</v>
      </c>
    </row>
    <row r="10641" spans="1:6" x14ac:dyDescent="0.2">
      <c r="A10641" t="s">
        <v>18317</v>
      </c>
      <c r="B10641" t="s">
        <v>18318</v>
      </c>
      <c r="C10641" t="s">
        <v>422</v>
      </c>
      <c r="D10641" t="s">
        <v>14</v>
      </c>
      <c r="E10641" t="s">
        <v>246</v>
      </c>
      <c r="F10641" s="2" t="str">
        <f>HYPERLINK("http://www.otzar.org/book.asp?162725","הגדת רש""י - 2 כר'")</f>
        <v>הגדת רש"י - 2 כר'</v>
      </c>
    </row>
    <row r="10642" spans="1:6" x14ac:dyDescent="0.2">
      <c r="A10642" t="s">
        <v>18319</v>
      </c>
      <c r="B10642" t="s">
        <v>18277</v>
      </c>
      <c r="C10642" t="s">
        <v>176</v>
      </c>
      <c r="D10642" t="s">
        <v>412</v>
      </c>
      <c r="E10642" t="s">
        <v>130</v>
      </c>
      <c r="F10642" s="2" t="str">
        <f>HYPERLINK("http://www.otzar.org/book.asp?149802","הגדת שבלי הלקט")</f>
        <v>הגדת שבלי הלקט</v>
      </c>
    </row>
    <row r="10643" spans="1:6" x14ac:dyDescent="0.2">
      <c r="A10643" t="s">
        <v>18320</v>
      </c>
      <c r="B10643" t="s">
        <v>18321</v>
      </c>
      <c r="C10643" t="s">
        <v>111</v>
      </c>
      <c r="D10643" t="s">
        <v>14</v>
      </c>
      <c r="E10643" t="s">
        <v>246</v>
      </c>
      <c r="F10643" s="2" t="str">
        <f>HYPERLINK("http://www.otzar.org/book.asp?630865","הגדת שמואל")</f>
        <v>הגדת שמואל</v>
      </c>
    </row>
    <row r="10644" spans="1:6" x14ac:dyDescent="0.2">
      <c r="A10644" t="s">
        <v>18322</v>
      </c>
      <c r="B10644" t="s">
        <v>8172</v>
      </c>
      <c r="C10644" t="s">
        <v>37</v>
      </c>
      <c r="D10644" t="s">
        <v>14</v>
      </c>
      <c r="E10644" t="s">
        <v>975</v>
      </c>
      <c r="F10644" s="2" t="str">
        <f>HYPERLINK("http://www.otzar.org/book.asp?614460","הגדתי היום")</f>
        <v>הגדתי היום</v>
      </c>
    </row>
    <row r="10645" spans="1:6" x14ac:dyDescent="0.2">
      <c r="A10645" t="s">
        <v>18323</v>
      </c>
      <c r="B10645" t="s">
        <v>16946</v>
      </c>
      <c r="C10645" t="s">
        <v>2644</v>
      </c>
      <c r="D10645" t="s">
        <v>2181</v>
      </c>
      <c r="E10645" t="s">
        <v>234</v>
      </c>
      <c r="F10645" s="2" t="str">
        <f>HYPERLINK("http://www.otzar.org/book.asp?162259","הגה אריה")</f>
        <v>הגה אריה</v>
      </c>
    </row>
    <row r="10646" spans="1:6" x14ac:dyDescent="0.2">
      <c r="A10646" t="s">
        <v>18324</v>
      </c>
      <c r="B10646" t="s">
        <v>18325</v>
      </c>
      <c r="C10646" t="s">
        <v>854</v>
      </c>
      <c r="D10646" t="s">
        <v>225</v>
      </c>
      <c r="E10646" t="s">
        <v>2463</v>
      </c>
      <c r="F10646" s="2" t="str">
        <f>HYPERLINK("http://www.otzar.org/book.asp?17645","הגהות אליעזר")</f>
        <v>הגהות אליעזר</v>
      </c>
    </row>
    <row r="10647" spans="1:6" x14ac:dyDescent="0.2">
      <c r="A10647" t="s">
        <v>18326</v>
      </c>
      <c r="B10647" t="s">
        <v>3386</v>
      </c>
      <c r="C10647" t="s">
        <v>3816</v>
      </c>
      <c r="D10647" t="s">
        <v>283</v>
      </c>
      <c r="E10647" t="s">
        <v>144</v>
      </c>
      <c r="F10647" s="2" t="str">
        <f>HYPERLINK("http://www.otzar.org/book.asp?62038","הגהות הב""ח")</f>
        <v>הגהות הב"ח</v>
      </c>
    </row>
    <row r="10648" spans="1:6" x14ac:dyDescent="0.2">
      <c r="A10648" t="s">
        <v>18327</v>
      </c>
      <c r="B10648" t="s">
        <v>18328</v>
      </c>
      <c r="C10648" t="s">
        <v>244</v>
      </c>
      <c r="D10648" t="s">
        <v>14919</v>
      </c>
      <c r="F10648" s="2" t="str">
        <f>HYPERLINK("http://www.otzar.org/book.asp?616548","הגהות הגר""א &lt;אור אליהו&gt; - 3 כר'")</f>
        <v>הגהות הגר"א &lt;אור אליהו&gt; - 3 כר'</v>
      </c>
    </row>
    <row r="10649" spans="1:6" x14ac:dyDescent="0.2">
      <c r="A10649" t="s">
        <v>18329</v>
      </c>
      <c r="B10649" t="s">
        <v>14446</v>
      </c>
      <c r="C10649" t="s">
        <v>1268</v>
      </c>
      <c r="D10649" t="s">
        <v>412</v>
      </c>
      <c r="E10649" t="s">
        <v>1108</v>
      </c>
      <c r="F10649" s="2" t="str">
        <f>HYPERLINK("http://www.otzar.org/book.asp?437","הגהות הירושלמי")</f>
        <v>הגהות הירושלמי</v>
      </c>
    </row>
    <row r="10650" spans="1:6" x14ac:dyDescent="0.2">
      <c r="A10650" t="s">
        <v>18330</v>
      </c>
      <c r="B10650" t="s">
        <v>18331</v>
      </c>
      <c r="C10650" t="s">
        <v>989</v>
      </c>
      <c r="D10650" t="s">
        <v>14</v>
      </c>
      <c r="E10650" t="s">
        <v>15</v>
      </c>
      <c r="F10650" s="2" t="str">
        <f>HYPERLINK("http://www.otzar.org/book.asp?389","הגהות הרמ""ך")</f>
        <v>הגהות הרמ"ך</v>
      </c>
    </row>
    <row r="10651" spans="1:6" x14ac:dyDescent="0.2">
      <c r="A10651" t="s">
        <v>18332</v>
      </c>
      <c r="B10651" t="s">
        <v>18333</v>
      </c>
      <c r="C10651" t="s">
        <v>23</v>
      </c>
      <c r="D10651" t="s">
        <v>52</v>
      </c>
      <c r="E10651" t="s">
        <v>399</v>
      </c>
      <c r="F10651" s="2" t="str">
        <f>HYPERLINK("http://www.otzar.org/book.asp?626248","הגהות וביאורים לסידור הרש""ש")</f>
        <v>הגהות וביאורים לסידור הרש"ש</v>
      </c>
    </row>
    <row r="10652" spans="1:6" x14ac:dyDescent="0.2">
      <c r="A10652" t="s">
        <v>18334</v>
      </c>
      <c r="B10652" t="s">
        <v>18335</v>
      </c>
      <c r="C10652" t="s">
        <v>454</v>
      </c>
      <c r="D10652" t="s">
        <v>14</v>
      </c>
      <c r="E10652" t="s">
        <v>43</v>
      </c>
      <c r="F10652" s="2" t="str">
        <f>HYPERLINK("http://www.otzar.org/book.asp?107316","הגהות וביאורים על פרקי דרבי אליעזר למהרז""ו")</f>
        <v>הגהות וביאורים על פרקי דרבי אליעזר למהרז"ו</v>
      </c>
    </row>
    <row r="10653" spans="1:6" x14ac:dyDescent="0.2">
      <c r="A10653" t="s">
        <v>18336</v>
      </c>
      <c r="B10653" t="s">
        <v>18337</v>
      </c>
      <c r="C10653" t="s">
        <v>950</v>
      </c>
      <c r="D10653" t="s">
        <v>27</v>
      </c>
      <c r="E10653" t="s">
        <v>424</v>
      </c>
      <c r="F10653" s="2" t="str">
        <f>HYPERLINK("http://www.otzar.org/book.asp?103329","הגהות והערות")</f>
        <v>הגהות והערות</v>
      </c>
    </row>
    <row r="10654" spans="1:6" x14ac:dyDescent="0.2">
      <c r="A10654" t="s">
        <v>18338</v>
      </c>
      <c r="B10654" t="s">
        <v>18339</v>
      </c>
      <c r="C10654" t="s">
        <v>1246</v>
      </c>
      <c r="D10654" t="s">
        <v>14</v>
      </c>
      <c r="F10654" s="2" t="str">
        <f>HYPERLINK("http://www.otzar.org/book.asp?161958","הגהות וחידושים בן אריה - שו""ע")</f>
        <v>הגהות וחידושים בן אריה - שו"ע</v>
      </c>
    </row>
    <row r="10655" spans="1:6" x14ac:dyDescent="0.2">
      <c r="A10655" t="s">
        <v>18340</v>
      </c>
      <c r="B10655" t="s">
        <v>14416</v>
      </c>
      <c r="C10655" t="s">
        <v>16450</v>
      </c>
      <c r="D10655" t="s">
        <v>18341</v>
      </c>
      <c r="F10655" s="2" t="str">
        <f>HYPERLINK("http://www.otzar.org/book.asp?164907","הגהות וחידושים מבעל המחבר טורי זהב")</f>
        <v>הגהות וחידושים מבעל המחבר טורי זהב</v>
      </c>
    </row>
    <row r="10656" spans="1:6" x14ac:dyDescent="0.2">
      <c r="A10656" t="s">
        <v>18342</v>
      </c>
      <c r="B10656" t="s">
        <v>18343</v>
      </c>
      <c r="C10656" t="s">
        <v>20</v>
      </c>
      <c r="D10656" t="s">
        <v>14</v>
      </c>
      <c r="E10656" t="s">
        <v>674</v>
      </c>
      <c r="F10656" s="2" t="str">
        <f>HYPERLINK("http://www.otzar.org/book.asp?163507","הגהות ותיקונים לקונטרס עגונות")</f>
        <v>הגהות ותיקונים לקונטרס עגונות</v>
      </c>
    </row>
    <row r="10657" spans="1:6" x14ac:dyDescent="0.2">
      <c r="A10657" t="s">
        <v>18344</v>
      </c>
      <c r="B10657" t="s">
        <v>3299</v>
      </c>
      <c r="C10657" t="s">
        <v>1169</v>
      </c>
      <c r="D10657" t="s">
        <v>9</v>
      </c>
      <c r="E10657" t="s">
        <v>144</v>
      </c>
      <c r="F10657" s="2" t="str">
        <f>HYPERLINK("http://www.otzar.org/book.asp?9406","הגהות חתם סופר")</f>
        <v>הגהות חתם סופר</v>
      </c>
    </row>
    <row r="10658" spans="1:6" x14ac:dyDescent="0.2">
      <c r="A10658" t="s">
        <v>18345</v>
      </c>
      <c r="B10658" t="s">
        <v>1821</v>
      </c>
      <c r="C10658" t="s">
        <v>1278</v>
      </c>
      <c r="D10658" t="s">
        <v>9091</v>
      </c>
      <c r="F10658" s="2" t="str">
        <f>HYPERLINK("http://www.otzar.org/book.asp?152802","הגהות ירושלמי")</f>
        <v>הגהות ירושלמי</v>
      </c>
    </row>
    <row r="10659" spans="1:6" x14ac:dyDescent="0.2">
      <c r="A10659" t="s">
        <v>18346</v>
      </c>
      <c r="B10659" t="s">
        <v>18347</v>
      </c>
      <c r="C10659" t="s">
        <v>20</v>
      </c>
      <c r="D10659" t="s">
        <v>90</v>
      </c>
      <c r="F10659" s="2" t="str">
        <f>HYPERLINK("http://www.otzar.org/book.asp?53879","הגהות כבוד מלכים &lt;לרמב""ם הל' מלכים&gt;")</f>
        <v>הגהות כבוד מלכים &lt;לרמב"ם הל' מלכים&gt;</v>
      </c>
    </row>
    <row r="10660" spans="1:6" x14ac:dyDescent="0.2">
      <c r="A10660" t="s">
        <v>18348</v>
      </c>
      <c r="B10660" t="s">
        <v>18349</v>
      </c>
      <c r="E10660" t="s">
        <v>104</v>
      </c>
      <c r="F10660" s="2" t="str">
        <f>HYPERLINK("http://www.otzar.org/book.asp?618117","הגהות לספר נחל אשכול")</f>
        <v>הגהות לספר נחל אשכול</v>
      </c>
    </row>
    <row r="10661" spans="1:6" x14ac:dyDescent="0.2">
      <c r="A10661" t="s">
        <v>18350</v>
      </c>
      <c r="B10661" t="s">
        <v>18351</v>
      </c>
      <c r="C10661" t="s">
        <v>1954</v>
      </c>
      <c r="D10661" t="s">
        <v>14</v>
      </c>
      <c r="E10661" t="s">
        <v>172</v>
      </c>
      <c r="F10661" s="2" t="str">
        <f>HYPERLINK("http://www.otzar.org/book.asp?154064","הגהות מהגאון ר' חיים צאנזר")</f>
        <v>הגהות מהגאון ר' חיים צאנזר</v>
      </c>
    </row>
    <row r="10662" spans="1:6" x14ac:dyDescent="0.2">
      <c r="A10662" t="s">
        <v>18352</v>
      </c>
      <c r="B10662" t="s">
        <v>1264</v>
      </c>
      <c r="C10662" t="s">
        <v>20</v>
      </c>
      <c r="D10662" t="s">
        <v>855</v>
      </c>
      <c r="E10662" t="s">
        <v>399</v>
      </c>
      <c r="F10662" s="2" t="str">
        <f>HYPERLINK("http://www.otzar.org/book.asp?605015","הגהות מהרצ""א השלם - הצבי והצדק")</f>
        <v>הגהות מהרצ"א השלם - הצבי והצדק</v>
      </c>
    </row>
    <row r="10663" spans="1:6" x14ac:dyDescent="0.2">
      <c r="A10663" t="s">
        <v>18353</v>
      </c>
      <c r="B10663" t="s">
        <v>1264</v>
      </c>
      <c r="C10663" t="s">
        <v>1096</v>
      </c>
      <c r="D10663" t="s">
        <v>855</v>
      </c>
      <c r="E10663" t="s">
        <v>1847</v>
      </c>
      <c r="F10663" s="2" t="str">
        <f>HYPERLINK("http://www.otzar.org/book.asp?51343","הגהות מהרצ""א")</f>
        <v>הגהות מהרצ"א</v>
      </c>
    </row>
    <row r="10664" spans="1:6" x14ac:dyDescent="0.2">
      <c r="A10664" t="s">
        <v>18354</v>
      </c>
      <c r="B10664" t="s">
        <v>13596</v>
      </c>
      <c r="C10664" t="s">
        <v>619</v>
      </c>
      <c r="D10664" t="s">
        <v>1966</v>
      </c>
      <c r="E10664" t="s">
        <v>144</v>
      </c>
      <c r="F10664" s="2" t="str">
        <f>HYPERLINK("http://www.otzar.org/book.asp?9133","הגהות מהרש""ם")</f>
        <v>הגהות מהרש"ם</v>
      </c>
    </row>
    <row r="10665" spans="1:6" x14ac:dyDescent="0.2">
      <c r="A10665" t="s">
        <v>18355</v>
      </c>
      <c r="B10665" t="s">
        <v>18356</v>
      </c>
      <c r="C10665" t="s">
        <v>390</v>
      </c>
      <c r="D10665" t="s">
        <v>52</v>
      </c>
      <c r="E10665" t="s">
        <v>463</v>
      </c>
      <c r="F10665" s="2" t="str">
        <f>HYPERLINK("http://www.otzar.org/book.asp?154234","הגהות מוהר""י קרט")</f>
        <v>הגהות מוהר"י קרט</v>
      </c>
    </row>
    <row r="10666" spans="1:6" x14ac:dyDescent="0.2">
      <c r="A10666" t="s">
        <v>18357</v>
      </c>
      <c r="B10666" t="s">
        <v>18358</v>
      </c>
      <c r="C10666" t="s">
        <v>462</v>
      </c>
      <c r="D10666" t="s">
        <v>4269</v>
      </c>
      <c r="E10666" t="s">
        <v>674</v>
      </c>
      <c r="F10666" s="2" t="str">
        <f>HYPERLINK("http://www.otzar.org/book.asp?16773","הגהות מיימוניות")</f>
        <v>הגהות מיימוניות</v>
      </c>
    </row>
    <row r="10667" spans="1:6" x14ac:dyDescent="0.2">
      <c r="A10667" t="s">
        <v>18359</v>
      </c>
      <c r="B10667" t="s">
        <v>18360</v>
      </c>
      <c r="C10667" t="s">
        <v>129</v>
      </c>
      <c r="D10667" t="s">
        <v>52</v>
      </c>
      <c r="E10667" t="s">
        <v>13999</v>
      </c>
      <c r="F10667" s="2" t="str">
        <f>HYPERLINK("http://www.otzar.org/book.asp?168214","הגהות מימוני")</f>
        <v>הגהות מימוני</v>
      </c>
    </row>
    <row r="10668" spans="1:6" x14ac:dyDescent="0.2">
      <c r="A10668" t="s">
        <v>18361</v>
      </c>
      <c r="B10668" t="s">
        <v>18362</v>
      </c>
      <c r="C10668" t="s">
        <v>609</v>
      </c>
      <c r="D10668" t="s">
        <v>1023</v>
      </c>
      <c r="E10668" t="s">
        <v>15</v>
      </c>
      <c r="F10668" s="2" t="str">
        <f>HYPERLINK("http://www.otzar.org/book.asp?108305","הגהות על משנה תורה")</f>
        <v>הגהות על משנה תורה</v>
      </c>
    </row>
    <row r="10669" spans="1:6" x14ac:dyDescent="0.2">
      <c r="A10669" t="s">
        <v>18363</v>
      </c>
      <c r="B10669" t="s">
        <v>18364</v>
      </c>
      <c r="C10669" t="s">
        <v>533</v>
      </c>
      <c r="D10669" t="s">
        <v>14</v>
      </c>
      <c r="F10669" s="2" t="str">
        <f>HYPERLINK("http://www.otzar.org/book.asp?616120","הגהות על משניות")</f>
        <v>הגהות על משניות</v>
      </c>
    </row>
    <row r="10670" spans="1:6" x14ac:dyDescent="0.2">
      <c r="A10670" t="s">
        <v>18365</v>
      </c>
      <c r="B10670" t="s">
        <v>18366</v>
      </c>
      <c r="C10670" t="s">
        <v>20</v>
      </c>
      <c r="E10670" t="s">
        <v>399</v>
      </c>
      <c r="F10670" s="2" t="str">
        <f>HYPERLINK("http://www.otzar.org/book.asp?6201","הגהות על עץ חיים ומ""ש - מהרמ""ז ומהרנ""ש")</f>
        <v>הגהות על עץ חיים ומ"ש - מהרמ"ז ומהרנ"ש</v>
      </c>
    </row>
    <row r="10671" spans="1:6" x14ac:dyDescent="0.2">
      <c r="A10671" t="s">
        <v>18367</v>
      </c>
      <c r="B10671" t="s">
        <v>9747</v>
      </c>
      <c r="C10671" t="s">
        <v>2605</v>
      </c>
      <c r="D10671" t="s">
        <v>9748</v>
      </c>
      <c r="E10671" t="s">
        <v>933</v>
      </c>
      <c r="F10671" s="2" t="str">
        <f>HYPERLINK("http://www.otzar.org/book.asp?17646","הגהות על ש""ע הרב הלכות פסח")</f>
        <v>הגהות על ש"ע הרב הלכות פסח</v>
      </c>
    </row>
    <row r="10672" spans="1:6" x14ac:dyDescent="0.2">
      <c r="A10672" t="s">
        <v>18368</v>
      </c>
      <c r="B10672" t="s">
        <v>18369</v>
      </c>
      <c r="C10672" t="s">
        <v>1954</v>
      </c>
      <c r="D10672" t="s">
        <v>14</v>
      </c>
      <c r="E10672" t="s">
        <v>172</v>
      </c>
      <c r="F10672" s="2" t="str">
        <f>HYPERLINK("http://www.otzar.org/book.asp?154066","הגהות על שו""ע אורח חיים")</f>
        <v>הגהות על שו"ע אורח חיים</v>
      </c>
    </row>
    <row r="10673" spans="1:6" x14ac:dyDescent="0.2">
      <c r="A10673" t="s">
        <v>18370</v>
      </c>
      <c r="B10673" t="s">
        <v>7150</v>
      </c>
      <c r="C10673" t="s">
        <v>1570</v>
      </c>
      <c r="D10673" t="s">
        <v>412</v>
      </c>
      <c r="E10673" t="s">
        <v>144</v>
      </c>
      <c r="F10673" s="2" t="str">
        <f>HYPERLINK("http://www.otzar.org/book.asp?62362","הגהות רבינו בצלאל אשכנזי - 2 כר'")</f>
        <v>הגהות רבינו בצלאל אשכנזי - 2 כר'</v>
      </c>
    </row>
    <row r="10674" spans="1:6" x14ac:dyDescent="0.2">
      <c r="A10674" t="s">
        <v>18371</v>
      </c>
      <c r="B10674" t="s">
        <v>1385</v>
      </c>
      <c r="C10674" t="s">
        <v>75</v>
      </c>
      <c r="D10674" t="s">
        <v>280</v>
      </c>
      <c r="E10674" t="s">
        <v>172</v>
      </c>
      <c r="F10674" s="2" t="str">
        <f>HYPERLINK("http://www.otzar.org/book.asp?169707","הגהות רבינו עקיבא איגר על שלחן ערוך אורח חיים")</f>
        <v>הגהות רבינו עקיבא איגר על שלחן ערוך אורח חיים</v>
      </c>
    </row>
    <row r="10675" spans="1:6" x14ac:dyDescent="0.2">
      <c r="A10675" t="s">
        <v>18372</v>
      </c>
      <c r="B10675" t="s">
        <v>1385</v>
      </c>
      <c r="C10675" t="s">
        <v>1058</v>
      </c>
      <c r="D10675" t="s">
        <v>18373</v>
      </c>
      <c r="E10675" t="s">
        <v>172</v>
      </c>
      <c r="F10675" s="2" t="str">
        <f>HYPERLINK("http://www.otzar.org/book.asp?169708","הגהות רבינו עקיבא איגר על שלחן ערוך חו""מ ואהע""ז")</f>
        <v>הגהות רבינו עקיבא איגר על שלחן ערוך חו"מ ואהע"ז</v>
      </c>
    </row>
    <row r="10676" spans="1:6" x14ac:dyDescent="0.2">
      <c r="A10676" t="s">
        <v>18374</v>
      </c>
      <c r="B10676" t="s">
        <v>1385</v>
      </c>
      <c r="C10676" t="s">
        <v>843</v>
      </c>
      <c r="D10676" t="s">
        <v>14</v>
      </c>
      <c r="E10676" t="s">
        <v>172</v>
      </c>
      <c r="F10676" s="2" t="str">
        <f>HYPERLINK("http://www.otzar.org/book.asp?170901","הגהות רבינו עקיבא איגר - חו""מ")</f>
        <v>הגהות רבינו עקיבא איגר - חו"מ</v>
      </c>
    </row>
    <row r="10677" spans="1:6" x14ac:dyDescent="0.2">
      <c r="A10677" t="s">
        <v>18375</v>
      </c>
      <c r="B10677" t="s">
        <v>18376</v>
      </c>
      <c r="C10677" t="s">
        <v>244</v>
      </c>
      <c r="D10677" t="s">
        <v>14</v>
      </c>
      <c r="E10677" t="s">
        <v>219</v>
      </c>
      <c r="F10677" s="2" t="str">
        <f>HYPERLINK("http://www.otzar.org/book.asp?196556","הגהות שבסידורי פראג הראשונים")</f>
        <v>הגהות שבסידורי פראג הראשונים</v>
      </c>
    </row>
    <row r="10678" spans="1:6" x14ac:dyDescent="0.2">
      <c r="A10678" t="s">
        <v>18377</v>
      </c>
      <c r="B10678" t="s">
        <v>7604</v>
      </c>
      <c r="C10678" t="s">
        <v>523</v>
      </c>
      <c r="D10678" t="s">
        <v>52</v>
      </c>
      <c r="E10678" t="s">
        <v>43</v>
      </c>
      <c r="F10678" s="2" t="str">
        <f>HYPERLINK("http://www.otzar.org/book.asp?624371","הגהות שי""ח השדה על ספר אוצר המדרשים")</f>
        <v>הגהות שי"ח השדה על ספר אוצר המדרשים</v>
      </c>
    </row>
    <row r="10679" spans="1:6" x14ac:dyDescent="0.2">
      <c r="A10679" t="s">
        <v>18378</v>
      </c>
      <c r="B10679" t="s">
        <v>18362</v>
      </c>
      <c r="C10679" t="s">
        <v>18379</v>
      </c>
      <c r="D10679" t="s">
        <v>18380</v>
      </c>
      <c r="E10679" t="s">
        <v>18381</v>
      </c>
      <c r="F10679" s="2" t="str">
        <f>HYPERLINK("http://www.otzar.org/book.asp?19387","הגהות - 6 כר'")</f>
        <v>הגהות - 6 כר'</v>
      </c>
    </row>
    <row r="10680" spans="1:6" x14ac:dyDescent="0.2">
      <c r="A10680" t="s">
        <v>18382</v>
      </c>
      <c r="B10680" t="s">
        <v>18383</v>
      </c>
      <c r="C10680" t="s">
        <v>1268</v>
      </c>
      <c r="D10680" t="s">
        <v>52</v>
      </c>
      <c r="E10680" t="s">
        <v>158</v>
      </c>
      <c r="F10680" s="2" t="str">
        <f>HYPERLINK("http://www.otzar.org/book.asp?165279","הגות בפרשיות התורה - 2 כר'")</f>
        <v>הגות בפרשיות התורה - 2 כר'</v>
      </c>
    </row>
    <row r="10681" spans="1:6" x14ac:dyDescent="0.2">
      <c r="A10681" t="s">
        <v>18384</v>
      </c>
      <c r="B10681" t="s">
        <v>3512</v>
      </c>
      <c r="C10681" t="s">
        <v>13</v>
      </c>
      <c r="D10681" t="s">
        <v>52</v>
      </c>
      <c r="E10681" t="s">
        <v>467</v>
      </c>
      <c r="F10681" s="2" t="str">
        <f>HYPERLINK("http://www.otzar.org/book.asp?152427","הגות לבי תבונות")</f>
        <v>הגות לבי תבונות</v>
      </c>
    </row>
    <row r="10682" spans="1:6" x14ac:dyDescent="0.2">
      <c r="A10682" t="s">
        <v>18385</v>
      </c>
      <c r="B10682" t="s">
        <v>18386</v>
      </c>
      <c r="C10682" t="s">
        <v>445</v>
      </c>
      <c r="D10682" t="s">
        <v>610</v>
      </c>
      <c r="E10682" t="s">
        <v>234</v>
      </c>
      <c r="F10682" s="2" t="str">
        <f>HYPERLINK("http://www.otzar.org/book.asp?189586","הגות לבי")</f>
        <v>הגות לבי</v>
      </c>
    </row>
    <row r="10683" spans="1:6" x14ac:dyDescent="0.2">
      <c r="A10683" t="s">
        <v>18387</v>
      </c>
      <c r="B10683" t="s">
        <v>18388</v>
      </c>
      <c r="C10683" t="s">
        <v>1448</v>
      </c>
      <c r="D10683" t="s">
        <v>21</v>
      </c>
      <c r="E10683" t="s">
        <v>3790</v>
      </c>
      <c r="F10683" s="2" t="str">
        <f>HYPERLINK("http://www.otzar.org/book.asp?605054","הגות- תשובה ושבים")</f>
        <v>הגות- תשובה ושבים</v>
      </c>
    </row>
    <row r="10684" spans="1:6" x14ac:dyDescent="0.2">
      <c r="A10684" t="s">
        <v>18389</v>
      </c>
      <c r="B10684" t="s">
        <v>18390</v>
      </c>
      <c r="C10684" t="s">
        <v>26</v>
      </c>
      <c r="D10684" t="s">
        <v>14</v>
      </c>
      <c r="E10684" t="s">
        <v>10</v>
      </c>
      <c r="F10684" s="2" t="str">
        <f>HYPERLINK("http://www.otzar.org/book.asp?164259","הגט מתל אביב")</f>
        <v>הגט מתל אביב</v>
      </c>
    </row>
    <row r="10685" spans="1:6" x14ac:dyDescent="0.2">
      <c r="A10685" t="s">
        <v>18391</v>
      </c>
      <c r="B10685" t="s">
        <v>9549</v>
      </c>
      <c r="C10685" t="s">
        <v>438</v>
      </c>
      <c r="D10685" t="s">
        <v>216</v>
      </c>
      <c r="E10685" t="s">
        <v>18392</v>
      </c>
      <c r="F10685" s="2" t="str">
        <f>HYPERLINK("http://www.otzar.org/book.asp?171831","הגיגי אשר")</f>
        <v>הגיגי אשר</v>
      </c>
    </row>
    <row r="10686" spans="1:6" x14ac:dyDescent="0.2">
      <c r="A10686" t="s">
        <v>18393</v>
      </c>
      <c r="B10686" t="s">
        <v>18394</v>
      </c>
      <c r="C10686" t="s">
        <v>2132</v>
      </c>
      <c r="D10686" t="s">
        <v>14</v>
      </c>
      <c r="E10686" t="s">
        <v>158</v>
      </c>
      <c r="F10686" s="2" t="str">
        <f>HYPERLINK("http://www.otzar.org/book.asp?163956","הגיגים ועיונים")</f>
        <v>הגיגים ועיונים</v>
      </c>
    </row>
    <row r="10687" spans="1:6" x14ac:dyDescent="0.2">
      <c r="A10687" t="s">
        <v>18395</v>
      </c>
      <c r="B10687" t="s">
        <v>16317</v>
      </c>
      <c r="C10687" t="s">
        <v>767</v>
      </c>
      <c r="D10687" t="s">
        <v>52</v>
      </c>
      <c r="E10687" t="s">
        <v>130</v>
      </c>
      <c r="F10687" s="2" t="str">
        <f>HYPERLINK("http://www.otzar.org/book.asp?51094","הגיד לעמו - 2 כר'")</f>
        <v>הגיד לעמו - 2 כר'</v>
      </c>
    </row>
    <row r="10688" spans="1:6" x14ac:dyDescent="0.2">
      <c r="A10688" t="s">
        <v>18396</v>
      </c>
      <c r="B10688" t="s">
        <v>18397</v>
      </c>
      <c r="C10688" t="s">
        <v>5163</v>
      </c>
      <c r="D10688" t="s">
        <v>76</v>
      </c>
      <c r="E10688" t="s">
        <v>930</v>
      </c>
      <c r="F10688" s="2" t="str">
        <f>HYPERLINK("http://www.otzar.org/book.asp?103825","הגיד מרדכי")</f>
        <v>הגיד מרדכי</v>
      </c>
    </row>
    <row r="10689" spans="1:6" x14ac:dyDescent="0.2">
      <c r="A10689" t="s">
        <v>18396</v>
      </c>
      <c r="B10689" t="s">
        <v>18398</v>
      </c>
      <c r="C10689" t="s">
        <v>334</v>
      </c>
      <c r="D10689" t="s">
        <v>14</v>
      </c>
      <c r="F10689" s="2" t="str">
        <f>HYPERLINK("http://www.otzar.org/book.asp?614652","הגיד מרדכי")</f>
        <v>הגיד מרדכי</v>
      </c>
    </row>
    <row r="10690" spans="1:6" x14ac:dyDescent="0.2">
      <c r="A10690" t="s">
        <v>18396</v>
      </c>
      <c r="B10690" t="s">
        <v>16317</v>
      </c>
      <c r="C10690" t="s">
        <v>775</v>
      </c>
      <c r="D10690" t="s">
        <v>52</v>
      </c>
      <c r="E10690" t="s">
        <v>18399</v>
      </c>
      <c r="F10690" s="2" t="str">
        <f>HYPERLINK("http://www.otzar.org/book.asp?51090","הגיד מרדכי")</f>
        <v>הגיד מרדכי</v>
      </c>
    </row>
    <row r="10691" spans="1:6" x14ac:dyDescent="0.2">
      <c r="A10691" t="s">
        <v>18400</v>
      </c>
      <c r="B10691" t="s">
        <v>18401</v>
      </c>
      <c r="F10691" s="2" t="str">
        <f>HYPERLINK("http://www.otzar.org/book.asp?620494","הגיון בסערת הימים - חייו ומשנתו של הרב יצחק אייזיק הלוי הרצוג")</f>
        <v>הגיון בסערת הימים - חייו ומשנתו של הרב יצחק אייזיק הלוי הרצוג</v>
      </c>
    </row>
    <row r="10692" spans="1:6" x14ac:dyDescent="0.2">
      <c r="A10692" t="s">
        <v>18402</v>
      </c>
      <c r="B10692" t="s">
        <v>18403</v>
      </c>
      <c r="C10692" t="s">
        <v>422</v>
      </c>
      <c r="D10692" t="s">
        <v>21</v>
      </c>
      <c r="E10692" t="s">
        <v>104</v>
      </c>
      <c r="F10692" s="2" t="str">
        <f>HYPERLINK("http://www.otzar.org/book.asp?191560","הגיון הגורל")</f>
        <v>הגיון הגורל</v>
      </c>
    </row>
    <row r="10693" spans="1:6" x14ac:dyDescent="0.2">
      <c r="A10693" t="s">
        <v>18404</v>
      </c>
      <c r="B10693" t="s">
        <v>18405</v>
      </c>
      <c r="C10693" t="s">
        <v>800</v>
      </c>
      <c r="D10693" t="s">
        <v>1037</v>
      </c>
      <c r="E10693" t="s">
        <v>241</v>
      </c>
      <c r="F10693" s="2" t="str">
        <f>HYPERLINK("http://www.otzar.org/book.asp?53","הגיון הנפש")</f>
        <v>הגיון הנפש</v>
      </c>
    </row>
    <row r="10694" spans="1:6" x14ac:dyDescent="0.2">
      <c r="A10694" t="s">
        <v>18406</v>
      </c>
      <c r="B10694" t="s">
        <v>18407</v>
      </c>
      <c r="C10694" t="s">
        <v>18408</v>
      </c>
      <c r="D10694" t="s">
        <v>18409</v>
      </c>
      <c r="E10694" t="s">
        <v>144</v>
      </c>
      <c r="F10694" s="2" t="str">
        <f>HYPERLINK("http://www.otzar.org/book.asp?624643","הגיון התלמוד")</f>
        <v>הגיון התלמוד</v>
      </c>
    </row>
    <row r="10695" spans="1:6" x14ac:dyDescent="0.2">
      <c r="A10695" t="s">
        <v>18410</v>
      </c>
      <c r="B10695" t="s">
        <v>18411</v>
      </c>
      <c r="C10695" t="s">
        <v>18412</v>
      </c>
      <c r="D10695" t="s">
        <v>18413</v>
      </c>
      <c r="E10695" t="s">
        <v>104</v>
      </c>
      <c r="F10695" s="2" t="str">
        <f>HYPERLINK("http://www.otzar.org/book.asp?620617","הגיון וצחות")</f>
        <v>הגיון וצחות</v>
      </c>
    </row>
    <row r="10696" spans="1:6" x14ac:dyDescent="0.2">
      <c r="A10696" t="s">
        <v>18414</v>
      </c>
      <c r="B10696" t="s">
        <v>236</v>
      </c>
      <c r="C10696" t="s">
        <v>438</v>
      </c>
      <c r="D10696" t="s">
        <v>2531</v>
      </c>
      <c r="E10696" t="s">
        <v>2071</v>
      </c>
      <c r="F10696" s="2" t="str">
        <f>HYPERLINK("http://www.otzar.org/book.asp?196467","הגיון יעקב")</f>
        <v>הגיון יעקב</v>
      </c>
    </row>
    <row r="10697" spans="1:6" x14ac:dyDescent="0.2">
      <c r="A10697" t="s">
        <v>18415</v>
      </c>
      <c r="B10697" t="s">
        <v>18416</v>
      </c>
      <c r="C10697" t="s">
        <v>8</v>
      </c>
      <c r="D10697" t="s">
        <v>10393</v>
      </c>
      <c r="E10697" t="s">
        <v>234</v>
      </c>
      <c r="F10697" s="2" t="str">
        <f>HYPERLINK("http://www.otzar.org/book.asp?100805","הגיון יצחק")</f>
        <v>הגיון יצחק</v>
      </c>
    </row>
    <row r="10698" spans="1:6" x14ac:dyDescent="0.2">
      <c r="A10698" t="s">
        <v>18417</v>
      </c>
      <c r="B10698" t="s">
        <v>18418</v>
      </c>
      <c r="C10698" t="s">
        <v>466</v>
      </c>
      <c r="D10698" t="s">
        <v>14</v>
      </c>
      <c r="E10698" t="s">
        <v>930</v>
      </c>
      <c r="F10698" s="2" t="str">
        <f>HYPERLINK("http://www.otzar.org/book.asp?24961","הגיון ישעיה")</f>
        <v>הגיון ישעיה</v>
      </c>
    </row>
    <row r="10699" spans="1:6" x14ac:dyDescent="0.2">
      <c r="A10699" t="s">
        <v>18419</v>
      </c>
      <c r="B10699" t="s">
        <v>2831</v>
      </c>
      <c r="C10699" t="s">
        <v>888</v>
      </c>
      <c r="D10699" t="s">
        <v>27</v>
      </c>
      <c r="F10699" s="2" t="str">
        <f>HYPERLINK("http://www.otzar.org/book.asp?182413","הגיון לב - 2 כר'")</f>
        <v>הגיון לב - 2 כר'</v>
      </c>
    </row>
    <row r="10700" spans="1:6" x14ac:dyDescent="0.2">
      <c r="A10700" t="s">
        <v>18420</v>
      </c>
      <c r="B10700" t="s">
        <v>13035</v>
      </c>
      <c r="C10700" t="s">
        <v>609</v>
      </c>
      <c r="D10700" t="s">
        <v>18421</v>
      </c>
      <c r="E10700" t="s">
        <v>234</v>
      </c>
      <c r="F10700" s="2" t="str">
        <f>HYPERLINK("http://www.otzar.org/book.asp?144834","הגיון לב")</f>
        <v>הגיון לב</v>
      </c>
    </row>
    <row r="10701" spans="1:6" x14ac:dyDescent="0.2">
      <c r="A10701" t="s">
        <v>18422</v>
      </c>
      <c r="B10701" t="s">
        <v>18423</v>
      </c>
      <c r="C10701" t="s">
        <v>454</v>
      </c>
      <c r="D10701" t="s">
        <v>52</v>
      </c>
      <c r="E10701" t="s">
        <v>5166</v>
      </c>
      <c r="F10701" s="2" t="str">
        <f>HYPERLINK("http://www.otzar.org/book.asp?161730","הגיון לב - אור המאיר")</f>
        <v>הגיון לב - אור המאיר</v>
      </c>
    </row>
    <row r="10702" spans="1:6" x14ac:dyDescent="0.2">
      <c r="A10702" t="s">
        <v>18424</v>
      </c>
      <c r="B10702" t="s">
        <v>18425</v>
      </c>
      <c r="C10702" t="s">
        <v>23</v>
      </c>
      <c r="D10702" t="s">
        <v>21</v>
      </c>
      <c r="E10702" t="s">
        <v>158</v>
      </c>
      <c r="F10702" s="2" t="str">
        <f>HYPERLINK("http://www.otzar.org/book.asp?195690","הגיון לבב")</f>
        <v>הגיון לבב</v>
      </c>
    </row>
    <row r="10703" spans="1:6" x14ac:dyDescent="0.2">
      <c r="A10703" t="s">
        <v>18426</v>
      </c>
      <c r="B10703" t="s">
        <v>18427</v>
      </c>
      <c r="C10703" t="s">
        <v>989</v>
      </c>
      <c r="D10703" t="s">
        <v>14</v>
      </c>
      <c r="E10703" t="s">
        <v>241</v>
      </c>
      <c r="F10703" s="2" t="str">
        <f>HYPERLINK("http://www.otzar.org/book.asp?10386","הגיון לבבי")</f>
        <v>הגיון לבבי</v>
      </c>
    </row>
    <row r="10704" spans="1:6" x14ac:dyDescent="0.2">
      <c r="A10704" t="s">
        <v>18428</v>
      </c>
      <c r="B10704" t="s">
        <v>18429</v>
      </c>
      <c r="C10704" t="s">
        <v>37</v>
      </c>
      <c r="D10704" t="s">
        <v>152</v>
      </c>
      <c r="F10704" s="2" t="str">
        <f>HYPERLINK("http://www.otzar.org/book.asp?197270","הגיון לבי - מוקצה")</f>
        <v>הגיון לבי - מוקצה</v>
      </c>
    </row>
    <row r="10705" spans="1:6" x14ac:dyDescent="0.2">
      <c r="A10705" t="s">
        <v>18430</v>
      </c>
      <c r="B10705" t="s">
        <v>18431</v>
      </c>
      <c r="C10705" t="s">
        <v>111</v>
      </c>
      <c r="D10705" t="s">
        <v>14</v>
      </c>
      <c r="E10705" t="s">
        <v>144</v>
      </c>
      <c r="F10705" s="2" t="str">
        <f>HYPERLINK("http://www.otzar.org/book.asp?629371","הגיון לבי")</f>
        <v>הגיון לבי</v>
      </c>
    </row>
    <row r="10706" spans="1:6" x14ac:dyDescent="0.2">
      <c r="A10706" t="s">
        <v>18432</v>
      </c>
      <c r="B10706" t="s">
        <v>3391</v>
      </c>
      <c r="C10706" t="s">
        <v>366</v>
      </c>
      <c r="D10706" t="s">
        <v>80</v>
      </c>
      <c r="E10706" t="s">
        <v>246</v>
      </c>
      <c r="F10706" s="2" t="str">
        <f>HYPERLINK("http://www.otzar.org/book.asp?615089","הגיון לבי - 7 כר'")</f>
        <v>הגיון לבי - 7 כר'</v>
      </c>
    </row>
    <row r="10707" spans="1:6" x14ac:dyDescent="0.2">
      <c r="A10707" t="s">
        <v>18433</v>
      </c>
      <c r="B10707" t="s">
        <v>18434</v>
      </c>
      <c r="C10707" t="s">
        <v>114</v>
      </c>
      <c r="D10707" t="s">
        <v>14</v>
      </c>
      <c r="E10707" t="s">
        <v>2758</v>
      </c>
      <c r="F10707" s="2" t="str">
        <f>HYPERLINK("http://www.otzar.org/book.asp?160083","הגיון לבי - 4 כר'")</f>
        <v>הגיון לבי - 4 כר'</v>
      </c>
    </row>
    <row r="10708" spans="1:6" x14ac:dyDescent="0.2">
      <c r="A10708" t="s">
        <v>18430</v>
      </c>
      <c r="B10708" t="s">
        <v>4640</v>
      </c>
      <c r="C10708" t="s">
        <v>37</v>
      </c>
      <c r="D10708" t="s">
        <v>52</v>
      </c>
      <c r="E10708" t="s">
        <v>241</v>
      </c>
      <c r="F10708" s="2" t="str">
        <f>HYPERLINK("http://www.otzar.org/book.asp?605979","הגיון לבי")</f>
        <v>הגיון לבי</v>
      </c>
    </row>
    <row r="10709" spans="1:6" x14ac:dyDescent="0.2">
      <c r="A10709" t="s">
        <v>18430</v>
      </c>
      <c r="B10709" t="s">
        <v>686</v>
      </c>
      <c r="C10709" t="s">
        <v>13</v>
      </c>
      <c r="D10709" t="s">
        <v>52</v>
      </c>
      <c r="E10709" t="s">
        <v>1262</v>
      </c>
      <c r="F10709" s="2" t="str">
        <f>HYPERLINK("http://www.otzar.org/book.asp?61187","הגיון לבי")</f>
        <v>הגיון לבי</v>
      </c>
    </row>
    <row r="10710" spans="1:6" x14ac:dyDescent="0.2">
      <c r="A10710" t="s">
        <v>18430</v>
      </c>
      <c r="B10710" t="s">
        <v>18435</v>
      </c>
      <c r="C10710" t="s">
        <v>1954</v>
      </c>
      <c r="D10710" t="s">
        <v>18436</v>
      </c>
      <c r="E10710" t="s">
        <v>234</v>
      </c>
      <c r="F10710" s="2" t="str">
        <f>HYPERLINK("http://www.otzar.org/book.asp?51372","הגיון לבי")</f>
        <v>הגיון לבי</v>
      </c>
    </row>
    <row r="10711" spans="1:6" x14ac:dyDescent="0.2">
      <c r="A10711" t="s">
        <v>18433</v>
      </c>
      <c r="B10711" t="s">
        <v>18437</v>
      </c>
      <c r="C10711" t="s">
        <v>133</v>
      </c>
      <c r="D10711" t="s">
        <v>14</v>
      </c>
      <c r="F10711" s="2" t="str">
        <f>HYPERLINK("http://www.otzar.org/book.asp?181739","הגיון לבי - 4 כר'")</f>
        <v>הגיון לבי - 4 כר'</v>
      </c>
    </row>
    <row r="10712" spans="1:6" x14ac:dyDescent="0.2">
      <c r="A10712" t="s">
        <v>18438</v>
      </c>
      <c r="B10712" t="s">
        <v>4015</v>
      </c>
      <c r="C10712" t="s">
        <v>462</v>
      </c>
      <c r="D10712" t="s">
        <v>56</v>
      </c>
      <c r="E10712" t="s">
        <v>564</v>
      </c>
      <c r="F10712" s="2" t="str">
        <f>HYPERLINK("http://www.otzar.org/book.asp?167244","הגיון לבר-מצוה")</f>
        <v>הגיון לבר-מצוה</v>
      </c>
    </row>
    <row r="10713" spans="1:6" x14ac:dyDescent="0.2">
      <c r="A10713" t="s">
        <v>18439</v>
      </c>
      <c r="B10713" t="s">
        <v>18440</v>
      </c>
      <c r="C10713" t="s">
        <v>10175</v>
      </c>
      <c r="D10713" t="s">
        <v>27</v>
      </c>
      <c r="E10713" t="s">
        <v>234</v>
      </c>
      <c r="F10713" s="2" t="str">
        <f>HYPERLINK("http://www.otzar.org/book.asp?107118","הגיון לדוד - ב")</f>
        <v>הגיון לדוד - ב</v>
      </c>
    </row>
    <row r="10714" spans="1:6" x14ac:dyDescent="0.2">
      <c r="A10714" t="s">
        <v>18441</v>
      </c>
      <c r="B10714" t="s">
        <v>18442</v>
      </c>
      <c r="C10714" t="s">
        <v>3246</v>
      </c>
      <c r="D10714" t="s">
        <v>56</v>
      </c>
      <c r="E10714" t="s">
        <v>241</v>
      </c>
      <c r="F10714" s="2" t="str">
        <f>HYPERLINK("http://www.otzar.org/book.asp?102978","הגיון משה")</f>
        <v>הגיון משה</v>
      </c>
    </row>
    <row r="10715" spans="1:6" x14ac:dyDescent="0.2">
      <c r="A10715" t="s">
        <v>18443</v>
      </c>
      <c r="B10715" t="s">
        <v>18444</v>
      </c>
      <c r="C10715" t="s">
        <v>1335</v>
      </c>
      <c r="D10715" t="s">
        <v>8340</v>
      </c>
      <c r="E10715" t="s">
        <v>104</v>
      </c>
      <c r="F10715" s="2" t="str">
        <f>HYPERLINK("http://www.otzar.org/book.asp?165173","הגיון שלמה")</f>
        <v>הגיון שלמה</v>
      </c>
    </row>
    <row r="10716" spans="1:6" x14ac:dyDescent="0.2">
      <c r="A10716" t="s">
        <v>18445</v>
      </c>
      <c r="B10716" t="s">
        <v>18446</v>
      </c>
      <c r="C10716" t="s">
        <v>18447</v>
      </c>
      <c r="D10716" t="s">
        <v>1432</v>
      </c>
      <c r="E10716" t="s">
        <v>158</v>
      </c>
      <c r="F10716" s="2" t="str">
        <f>HYPERLINK("http://www.otzar.org/book.asp?10112","הגיונות אל עמי - ב (נח-ויחי)")</f>
        <v>הגיונות אל עמי - ב (נח-ויחי)</v>
      </c>
    </row>
    <row r="10717" spans="1:6" x14ac:dyDescent="0.2">
      <c r="A10717" t="s">
        <v>18448</v>
      </c>
      <c r="B10717" t="s">
        <v>206</v>
      </c>
      <c r="C10717" t="s">
        <v>143</v>
      </c>
      <c r="D10717" t="s">
        <v>216</v>
      </c>
      <c r="E10717" t="s">
        <v>399</v>
      </c>
      <c r="F10717" s="2" t="str">
        <f>HYPERLINK("http://www.otzar.org/book.asp?161863","הגיונות דברי חכמים")</f>
        <v>הגיונות דברי חכמים</v>
      </c>
    </row>
    <row r="10718" spans="1:6" x14ac:dyDescent="0.2">
      <c r="A10718" t="s">
        <v>18449</v>
      </c>
      <c r="B10718" t="s">
        <v>18450</v>
      </c>
      <c r="C10718" t="s">
        <v>334</v>
      </c>
      <c r="D10718" t="s">
        <v>14</v>
      </c>
      <c r="E10718" t="s">
        <v>158</v>
      </c>
      <c r="F10718" s="2" t="str">
        <f>HYPERLINK("http://www.otzar.org/book.asp?21965","הגיונות הגר""י")</f>
        <v>הגיונות הגר"י</v>
      </c>
    </row>
    <row r="10719" spans="1:6" x14ac:dyDescent="0.2">
      <c r="A10719" t="s">
        <v>18451</v>
      </c>
      <c r="B10719" t="s">
        <v>18452</v>
      </c>
      <c r="C10719" t="s">
        <v>63</v>
      </c>
      <c r="D10719" t="s">
        <v>14</v>
      </c>
      <c r="E10719" t="s">
        <v>158</v>
      </c>
      <c r="F10719" s="2" t="str">
        <f>HYPERLINK("http://www.otzar.org/book.asp?158928","הגיונות הגרשוני")</f>
        <v>הגיונות הגרשוני</v>
      </c>
    </row>
    <row r="10720" spans="1:6" x14ac:dyDescent="0.2">
      <c r="A10720" t="s">
        <v>18453</v>
      </c>
      <c r="B10720" t="s">
        <v>953</v>
      </c>
      <c r="C10720" t="s">
        <v>581</v>
      </c>
      <c r="D10720" t="s">
        <v>9</v>
      </c>
      <c r="E10720" t="s">
        <v>4674</v>
      </c>
      <c r="F10720" s="2" t="str">
        <f>HYPERLINK("http://www.otzar.org/book.asp?51373","הגיונות והשתפכות הנפש")</f>
        <v>הגיונות והשתפכות הנפש</v>
      </c>
    </row>
    <row r="10721" spans="1:6" x14ac:dyDescent="0.2">
      <c r="A10721" t="s">
        <v>18454</v>
      </c>
      <c r="B10721" t="s">
        <v>14728</v>
      </c>
      <c r="C10721" t="s">
        <v>3106</v>
      </c>
      <c r="D10721" t="s">
        <v>9</v>
      </c>
      <c r="E10721" t="s">
        <v>13324</v>
      </c>
      <c r="F10721" s="2" t="str">
        <f>HYPERLINK("http://www.otzar.org/book.asp?51374","הגיונות יצחק")</f>
        <v>הגיונות יצחק</v>
      </c>
    </row>
    <row r="10722" spans="1:6" x14ac:dyDescent="0.2">
      <c r="A10722" t="s">
        <v>18455</v>
      </c>
      <c r="B10722" t="s">
        <v>18456</v>
      </c>
      <c r="C10722" t="s">
        <v>244</v>
      </c>
      <c r="E10722" t="s">
        <v>18457</v>
      </c>
      <c r="F10722" s="2" t="str">
        <f>HYPERLINK("http://www.otzar.org/book.asp?195605","הגיונות תורה")</f>
        <v>הגיונות תורה</v>
      </c>
    </row>
    <row r="10723" spans="1:6" x14ac:dyDescent="0.2">
      <c r="A10723" t="s">
        <v>18458</v>
      </c>
      <c r="B10723" t="s">
        <v>14859</v>
      </c>
      <c r="C10723" t="s">
        <v>18459</v>
      </c>
      <c r="D10723" t="s">
        <v>27</v>
      </c>
      <c r="E10723" t="s">
        <v>241</v>
      </c>
      <c r="F10723" s="2" t="str">
        <f>HYPERLINK("http://www.otzar.org/book.asp?10383","הגיונות - א ב")</f>
        <v>הגיונות - א ב</v>
      </c>
    </row>
    <row r="10724" spans="1:6" x14ac:dyDescent="0.2">
      <c r="A10724" t="s">
        <v>18460</v>
      </c>
      <c r="B10724" t="s">
        <v>3716</v>
      </c>
      <c r="C10724" t="s">
        <v>1246</v>
      </c>
      <c r="D10724" t="s">
        <v>9</v>
      </c>
      <c r="E10724" t="s">
        <v>14089</v>
      </c>
      <c r="F10724" s="2" t="str">
        <f>HYPERLINK("http://www.otzar.org/book.asp?15196","הגיונות")</f>
        <v>הגיונות</v>
      </c>
    </row>
    <row r="10725" spans="1:6" x14ac:dyDescent="0.2">
      <c r="A10725" t="s">
        <v>18461</v>
      </c>
      <c r="B10725" t="s">
        <v>18462</v>
      </c>
      <c r="C10725" t="s">
        <v>1096</v>
      </c>
      <c r="D10725" t="s">
        <v>283</v>
      </c>
      <c r="E10725" t="s">
        <v>325</v>
      </c>
      <c r="F10725" s="2" t="str">
        <f>HYPERLINK("http://www.otzar.org/book.asp?51368","הגיוני א""ב - א")</f>
        <v>הגיוני א"ב - א</v>
      </c>
    </row>
    <row r="10726" spans="1:6" x14ac:dyDescent="0.2">
      <c r="A10726" t="s">
        <v>18463</v>
      </c>
      <c r="B10726" t="s">
        <v>8129</v>
      </c>
      <c r="C10726" t="s">
        <v>482</v>
      </c>
      <c r="D10726" t="s">
        <v>646</v>
      </c>
      <c r="E10726" t="s">
        <v>84</v>
      </c>
      <c r="F10726" s="2" t="str">
        <f>HYPERLINK("http://www.otzar.org/book.asp?101962","הגיוני אבות - 2 כר'")</f>
        <v>הגיוני אבות - 2 כר'</v>
      </c>
    </row>
    <row r="10727" spans="1:6" x14ac:dyDescent="0.2">
      <c r="A10727" t="s">
        <v>18464</v>
      </c>
      <c r="B10727" t="s">
        <v>18465</v>
      </c>
      <c r="C10727" t="s">
        <v>1268</v>
      </c>
      <c r="D10727" t="s">
        <v>14</v>
      </c>
      <c r="E10727" t="s">
        <v>18466</v>
      </c>
      <c r="F10727" s="2" t="str">
        <f>HYPERLINK("http://www.otzar.org/book.asp?178898","הגיוני אהרן")</f>
        <v>הגיוני אהרן</v>
      </c>
    </row>
    <row r="10728" spans="1:6" x14ac:dyDescent="0.2">
      <c r="A10728" t="s">
        <v>18467</v>
      </c>
      <c r="B10728" t="s">
        <v>2973</v>
      </c>
      <c r="C10728" t="s">
        <v>23</v>
      </c>
      <c r="D10728" t="s">
        <v>14</v>
      </c>
      <c r="E10728" t="s">
        <v>158</v>
      </c>
      <c r="F10728" s="2" t="str">
        <f>HYPERLINK("http://www.otzar.org/book.asp?610919","הגיוני הפרשה - 5 כר'")</f>
        <v>הגיוני הפרשה - 5 כר'</v>
      </c>
    </row>
    <row r="10729" spans="1:6" x14ac:dyDescent="0.2">
      <c r="A10729" t="s">
        <v>18468</v>
      </c>
      <c r="B10729" t="s">
        <v>18469</v>
      </c>
      <c r="C10729" t="s">
        <v>547</v>
      </c>
      <c r="D10729" t="s">
        <v>9</v>
      </c>
      <c r="E10729" t="s">
        <v>474</v>
      </c>
      <c r="F10729" s="2" t="str">
        <f>HYPERLINK("http://www.otzar.org/book.asp?141942","הגיוני ושרעפי - א")</f>
        <v>הגיוני ושרעפי - א</v>
      </c>
    </row>
    <row r="10730" spans="1:6" x14ac:dyDescent="0.2">
      <c r="A10730" t="s">
        <v>18470</v>
      </c>
      <c r="B10730" t="s">
        <v>18471</v>
      </c>
      <c r="C10730" t="s">
        <v>18472</v>
      </c>
      <c r="D10730" t="s">
        <v>986</v>
      </c>
      <c r="E10730" t="s">
        <v>474</v>
      </c>
      <c r="F10730" s="2" t="str">
        <f>HYPERLINK("http://www.otzar.org/book.asp?51370","הגיוני יהודי - 5 כר'")</f>
        <v>הגיוני יהודי - 5 כר'</v>
      </c>
    </row>
    <row r="10731" spans="1:6" x14ac:dyDescent="0.2">
      <c r="A10731" t="s">
        <v>18473</v>
      </c>
      <c r="B10731" t="s">
        <v>18474</v>
      </c>
      <c r="C10731" t="s">
        <v>619</v>
      </c>
      <c r="D10731" t="s">
        <v>225</v>
      </c>
      <c r="E10731" t="s">
        <v>234</v>
      </c>
      <c r="F10731" s="2" t="str">
        <f>HYPERLINK("http://www.otzar.org/book.asp?196238","הגיוני יצחק")</f>
        <v>הגיוני יצחק</v>
      </c>
    </row>
    <row r="10732" spans="1:6" x14ac:dyDescent="0.2">
      <c r="A10732" t="s">
        <v>18475</v>
      </c>
      <c r="B10732" t="s">
        <v>18476</v>
      </c>
      <c r="C10732" t="s">
        <v>576</v>
      </c>
      <c r="D10732" t="s">
        <v>14913</v>
      </c>
      <c r="E10732" t="s">
        <v>474</v>
      </c>
      <c r="F10732" s="2" t="str">
        <f>HYPERLINK("http://www.otzar.org/book.asp?100137","הגיוני ירוחם")</f>
        <v>הגיוני ירוחם</v>
      </c>
    </row>
    <row r="10733" spans="1:6" x14ac:dyDescent="0.2">
      <c r="A10733" t="s">
        <v>18477</v>
      </c>
      <c r="B10733" t="s">
        <v>18478</v>
      </c>
      <c r="C10733" t="s">
        <v>8</v>
      </c>
      <c r="D10733" t="s">
        <v>27</v>
      </c>
      <c r="E10733" t="s">
        <v>2915</v>
      </c>
      <c r="F10733" s="2" t="str">
        <f>HYPERLINK("http://www.otzar.org/book.asp?51369","הגיוני לב")</f>
        <v>הגיוני לב</v>
      </c>
    </row>
    <row r="10734" spans="1:6" x14ac:dyDescent="0.2">
      <c r="A10734" t="s">
        <v>18479</v>
      </c>
      <c r="B10734" t="s">
        <v>6986</v>
      </c>
      <c r="C10734" t="s">
        <v>2132</v>
      </c>
      <c r="D10734" t="s">
        <v>646</v>
      </c>
      <c r="E10734" t="s">
        <v>18480</v>
      </c>
      <c r="F10734" s="2" t="str">
        <f>HYPERLINK("http://www.otzar.org/book.asp?171391","הגיוני מוהרש""ה")</f>
        <v>הגיוני מוהרש"ה</v>
      </c>
    </row>
    <row r="10735" spans="1:6" x14ac:dyDescent="0.2">
      <c r="A10735" t="s">
        <v>18481</v>
      </c>
      <c r="B10735" t="s">
        <v>15167</v>
      </c>
      <c r="C10735" t="s">
        <v>3097</v>
      </c>
      <c r="D10735" t="s">
        <v>9</v>
      </c>
      <c r="E10735" t="s">
        <v>241</v>
      </c>
      <c r="F10735" s="2" t="str">
        <f>HYPERLINK("http://www.otzar.org/book.asp?100160","הגיוני מוסר - 3 כר'")</f>
        <v>הגיוני מוסר - 3 כר'</v>
      </c>
    </row>
    <row r="10736" spans="1:6" x14ac:dyDescent="0.2">
      <c r="A10736" t="s">
        <v>18482</v>
      </c>
      <c r="B10736" t="s">
        <v>18483</v>
      </c>
      <c r="C10736" t="s">
        <v>146</v>
      </c>
      <c r="D10736" t="s">
        <v>14</v>
      </c>
      <c r="E10736" t="s">
        <v>144</v>
      </c>
      <c r="F10736" s="2" t="str">
        <f>HYPERLINK("http://www.otzar.org/book.asp?612064","הגיוני משה - 3 כר'")</f>
        <v>הגיוני משה - 3 כר'</v>
      </c>
    </row>
    <row r="10737" spans="1:6" x14ac:dyDescent="0.2">
      <c r="A10737" t="s">
        <v>18484</v>
      </c>
      <c r="B10737" t="s">
        <v>17027</v>
      </c>
      <c r="C10737" t="s">
        <v>523</v>
      </c>
      <c r="D10737" t="s">
        <v>27</v>
      </c>
      <c r="E10737" t="s">
        <v>213</v>
      </c>
      <c r="F10737" s="2" t="str">
        <f>HYPERLINK("http://www.otzar.org/book.asp?144118","הגיוני עזיאל - 4 כר'")</f>
        <v>הגיוני עזיאל - 4 כר'</v>
      </c>
    </row>
    <row r="10738" spans="1:6" x14ac:dyDescent="0.2">
      <c r="A10738" t="s">
        <v>18485</v>
      </c>
      <c r="B10738" t="s">
        <v>8129</v>
      </c>
      <c r="C10738" t="s">
        <v>1062</v>
      </c>
      <c r="D10738" t="s">
        <v>563</v>
      </c>
      <c r="E10738" t="s">
        <v>234</v>
      </c>
      <c r="F10738" s="2" t="str">
        <f>HYPERLINK("http://www.otzar.org/book.asp?144255","הגיוני צבי")</f>
        <v>הגיוני צבי</v>
      </c>
    </row>
    <row r="10739" spans="1:6" x14ac:dyDescent="0.2">
      <c r="A10739" t="s">
        <v>18486</v>
      </c>
      <c r="B10739" t="s">
        <v>18487</v>
      </c>
      <c r="C10739" t="s">
        <v>1246</v>
      </c>
      <c r="D10739" t="s">
        <v>27</v>
      </c>
      <c r="E10739" t="s">
        <v>957</v>
      </c>
      <c r="F10739" s="2" t="str">
        <f>HYPERLINK("http://www.otzar.org/book.asp?102980","הגיוני קדם")</f>
        <v>הגיוני קדם</v>
      </c>
    </row>
    <row r="10740" spans="1:6" x14ac:dyDescent="0.2">
      <c r="A10740" t="s">
        <v>18488</v>
      </c>
      <c r="B10740" t="s">
        <v>18489</v>
      </c>
      <c r="C10740" t="s">
        <v>908</v>
      </c>
      <c r="D10740" t="s">
        <v>699</v>
      </c>
      <c r="E10740" t="s">
        <v>564</v>
      </c>
      <c r="F10740" s="2" t="str">
        <f>HYPERLINK("http://www.otzar.org/book.asp?51366","הגיוני שמואל")</f>
        <v>הגיוני שמואל</v>
      </c>
    </row>
    <row r="10741" spans="1:6" x14ac:dyDescent="0.2">
      <c r="A10741" t="s">
        <v>18490</v>
      </c>
      <c r="B10741" t="s">
        <v>18491</v>
      </c>
      <c r="C10741" t="s">
        <v>68</v>
      </c>
      <c r="D10741" t="s">
        <v>2319</v>
      </c>
      <c r="E10741" t="s">
        <v>714</v>
      </c>
      <c r="F10741" s="2" t="str">
        <f>HYPERLINK("http://www.otzar.org/book.asp?171254","הגיוני תורה - 2 כר'")</f>
        <v>הגיוני תורה - 2 כר'</v>
      </c>
    </row>
    <row r="10742" spans="1:6" x14ac:dyDescent="0.2">
      <c r="A10742" t="s">
        <v>18492</v>
      </c>
      <c r="B10742" t="s">
        <v>18493</v>
      </c>
      <c r="C10742" t="s">
        <v>411</v>
      </c>
      <c r="D10742" t="s">
        <v>90</v>
      </c>
      <c r="E10742" t="s">
        <v>15</v>
      </c>
      <c r="F10742" s="2" t="str">
        <f>HYPERLINK("http://www.otzar.org/book.asp?191102","הגיור האזרחי והצהל""י")</f>
        <v>הגיור האזרחי והצהל"י</v>
      </c>
    </row>
    <row r="10743" spans="1:6" x14ac:dyDescent="0.2">
      <c r="A10743" t="s">
        <v>18494</v>
      </c>
      <c r="B10743" t="s">
        <v>7012</v>
      </c>
      <c r="C10743" t="s">
        <v>143</v>
      </c>
      <c r="D10743" t="s">
        <v>21</v>
      </c>
      <c r="E10743" t="s">
        <v>104</v>
      </c>
      <c r="F10743" s="2" t="str">
        <f>HYPERLINK("http://www.otzar.org/book.asp?198066","הגיינת הגוף והנפש")</f>
        <v>הגיינת הגוף והנפש</v>
      </c>
    </row>
    <row r="10744" spans="1:6" x14ac:dyDescent="0.2">
      <c r="A10744" t="s">
        <v>18495</v>
      </c>
      <c r="B10744" t="s">
        <v>18496</v>
      </c>
      <c r="C10744" t="s">
        <v>20</v>
      </c>
      <c r="D10744" t="s">
        <v>90</v>
      </c>
      <c r="F10744" s="2" t="str">
        <f>HYPERLINK("http://www.otzar.org/book.asp?605976","הגיע הזמן להתעורר")</f>
        <v>הגיע הזמן להתעורר</v>
      </c>
    </row>
    <row r="10745" spans="1:6" x14ac:dyDescent="0.2">
      <c r="A10745" t="s">
        <v>18497</v>
      </c>
      <c r="B10745" t="s">
        <v>18498</v>
      </c>
      <c r="C10745" t="s">
        <v>37</v>
      </c>
      <c r="D10745" t="s">
        <v>14</v>
      </c>
      <c r="F10745" s="2" t="str">
        <f>HYPERLINK("http://www.otzar.org/book.asp?613876","הגיע זמן")</f>
        <v>הגיע זמן</v>
      </c>
    </row>
    <row r="10746" spans="1:6" x14ac:dyDescent="0.2">
      <c r="A10746" t="s">
        <v>18499</v>
      </c>
      <c r="B10746" t="s">
        <v>5797</v>
      </c>
      <c r="C10746" t="s">
        <v>114</v>
      </c>
      <c r="D10746" t="s">
        <v>5798</v>
      </c>
      <c r="F10746" s="2" t="str">
        <f>HYPERLINK("http://www.otzar.org/book.asp?198367","הגישו עצמותיכם")</f>
        <v>הגישו עצמותיכם</v>
      </c>
    </row>
    <row r="10747" spans="1:6" x14ac:dyDescent="0.2">
      <c r="A10747" t="s">
        <v>18500</v>
      </c>
      <c r="B10747" t="s">
        <v>18501</v>
      </c>
      <c r="C10747" t="s">
        <v>18502</v>
      </c>
      <c r="D10747" t="s">
        <v>49</v>
      </c>
      <c r="E10747" t="s">
        <v>733</v>
      </c>
      <c r="F10747" s="2" t="str">
        <f>HYPERLINK("http://www.otzar.org/book.asp?146834","הגלות והפדות")</f>
        <v>הגלות והפדות</v>
      </c>
    </row>
    <row r="10748" spans="1:6" x14ac:dyDescent="0.2">
      <c r="A10748" t="s">
        <v>18503</v>
      </c>
      <c r="B10748" t="s">
        <v>18504</v>
      </c>
      <c r="C10748" t="s">
        <v>103</v>
      </c>
      <c r="D10748" t="s">
        <v>14</v>
      </c>
      <c r="E10748" t="s">
        <v>154</v>
      </c>
      <c r="F10748" s="2" t="str">
        <f>HYPERLINK("http://www.otzar.org/book.asp?64360","הגם שאול א-ב")</f>
        <v>הגם שאול א-ב</v>
      </c>
    </row>
    <row r="10749" spans="1:6" x14ac:dyDescent="0.2">
      <c r="A10749" t="s">
        <v>18505</v>
      </c>
      <c r="B10749" t="s">
        <v>18504</v>
      </c>
      <c r="C10749" t="s">
        <v>1169</v>
      </c>
      <c r="D10749" t="s">
        <v>7458</v>
      </c>
      <c r="E10749" t="s">
        <v>154</v>
      </c>
      <c r="F10749" s="2" t="str">
        <f>HYPERLINK("http://www.otzar.org/book.asp?153595","הגם שאול - 2 כר'")</f>
        <v>הגם שאול - 2 כר'</v>
      </c>
    </row>
    <row r="10750" spans="1:6" x14ac:dyDescent="0.2">
      <c r="A10750" t="s">
        <v>18506</v>
      </c>
      <c r="B10750" t="s">
        <v>18507</v>
      </c>
      <c r="C10750" t="s">
        <v>624</v>
      </c>
      <c r="D10750" t="s">
        <v>14</v>
      </c>
      <c r="E10750" t="s">
        <v>104</v>
      </c>
      <c r="F10750" s="2" t="str">
        <f>HYPERLINK("http://www.otzar.org/book.asp?172097","הגניזה האיטלקית")</f>
        <v>הגניזה האיטלקית</v>
      </c>
    </row>
    <row r="10751" spans="1:6" x14ac:dyDescent="0.2">
      <c r="A10751" t="s">
        <v>18508</v>
      </c>
      <c r="B10751" t="s">
        <v>13378</v>
      </c>
      <c r="C10751">
        <v>1971</v>
      </c>
      <c r="D10751" t="s">
        <v>27</v>
      </c>
      <c r="E10751" t="s">
        <v>104</v>
      </c>
      <c r="F10751" s="2" t="str">
        <f>HYPERLINK("http://www.otzar.org/book.asp?192870","הגניזה והגניזות")</f>
        <v>הגניזה והגניזות</v>
      </c>
    </row>
    <row r="10752" spans="1:6" x14ac:dyDescent="0.2">
      <c r="A10752" t="s">
        <v>18509</v>
      </c>
      <c r="B10752" t="s">
        <v>18510</v>
      </c>
      <c r="C10752" t="s">
        <v>37</v>
      </c>
      <c r="D10752" t="s">
        <v>1907</v>
      </c>
      <c r="E10752" t="s">
        <v>130</v>
      </c>
      <c r="F10752" s="2" t="str">
        <f>HYPERLINK("http://www.otzar.org/book.asp?193199","הגעלת כלים והכשרת המטבח לפסח - שיעור כזית מצה")</f>
        <v>הגעלת כלים והכשרת המטבח לפסח - שיעור כזית מצה</v>
      </c>
    </row>
    <row r="10753" spans="1:6" x14ac:dyDescent="0.2">
      <c r="A10753" t="s">
        <v>18511</v>
      </c>
      <c r="B10753" t="s">
        <v>8553</v>
      </c>
      <c r="C10753" t="s">
        <v>79</v>
      </c>
      <c r="D10753" t="s">
        <v>3208</v>
      </c>
      <c r="E10753" t="s">
        <v>119</v>
      </c>
      <c r="F10753" s="2" t="str">
        <f>HYPERLINK("http://www.otzar.org/book.asp?199588","הגר""א מווילנא")</f>
        <v>הגר"א מווילנא</v>
      </c>
    </row>
    <row r="10754" spans="1:6" x14ac:dyDescent="0.2">
      <c r="A10754" t="s">
        <v>18512</v>
      </c>
      <c r="B10754" t="s">
        <v>18513</v>
      </c>
      <c r="C10754" t="s">
        <v>1208</v>
      </c>
      <c r="D10754" t="s">
        <v>14</v>
      </c>
      <c r="E10754" t="s">
        <v>4940</v>
      </c>
      <c r="F10754" s="2" t="str">
        <f>HYPERLINK("http://www.otzar.org/book.asp?7560","הגר""ח אליפנדרי &lt;אש דת&gt;")</f>
        <v>הגר"ח אליפנדרי &lt;אש דת&gt;</v>
      </c>
    </row>
    <row r="10755" spans="1:6" x14ac:dyDescent="0.2">
      <c r="A10755" t="s">
        <v>18514</v>
      </c>
      <c r="B10755" t="s">
        <v>732</v>
      </c>
      <c r="C10755" t="s">
        <v>619</v>
      </c>
      <c r="D10755" t="s">
        <v>27</v>
      </c>
      <c r="E10755" t="s">
        <v>119</v>
      </c>
      <c r="F10755" s="2" t="str">
        <f>HYPERLINK("http://www.otzar.org/book.asp?172264","הגרים - 2 כר'")</f>
        <v>הגרים - 2 כר'</v>
      </c>
    </row>
    <row r="10756" spans="1:6" x14ac:dyDescent="0.2">
      <c r="A10756" t="s">
        <v>18515</v>
      </c>
      <c r="B10756" t="s">
        <v>3669</v>
      </c>
      <c r="C10756" t="s">
        <v>133</v>
      </c>
      <c r="D10756" t="s">
        <v>14</v>
      </c>
      <c r="E10756" t="s">
        <v>144</v>
      </c>
      <c r="F10756" s="2" t="str">
        <f>HYPERLINK("http://www.otzar.org/book.asp?628091","הגשת המנחה")</f>
        <v>הגשת המנחה</v>
      </c>
    </row>
    <row r="10757" spans="1:6" x14ac:dyDescent="0.2">
      <c r="A10757" t="s">
        <v>18516</v>
      </c>
      <c r="B10757" t="s">
        <v>1750</v>
      </c>
      <c r="C10757" t="s">
        <v>438</v>
      </c>
      <c r="D10757" t="s">
        <v>646</v>
      </c>
      <c r="E10757" t="s">
        <v>202</v>
      </c>
      <c r="F10757" s="2" t="str">
        <f>HYPERLINK("http://www.otzar.org/book.asp?149058","הד אליהו - 12 כר'")</f>
        <v>הד אליהו - 12 כר'</v>
      </c>
    </row>
    <row r="10758" spans="1:6" x14ac:dyDescent="0.2">
      <c r="A10758" t="s">
        <v>18517</v>
      </c>
      <c r="B10758" t="s">
        <v>18518</v>
      </c>
      <c r="C10758" t="s">
        <v>332</v>
      </c>
      <c r="D10758" t="s">
        <v>115</v>
      </c>
      <c r="E10758" t="s">
        <v>202</v>
      </c>
      <c r="F10758" s="2" t="str">
        <f>HYPERLINK("http://www.otzar.org/book.asp?603062","הד אם המושבות - א")</f>
        <v>הד אם המושבות - א</v>
      </c>
    </row>
    <row r="10759" spans="1:6" x14ac:dyDescent="0.2">
      <c r="A10759" t="s">
        <v>18519</v>
      </c>
      <c r="B10759" t="s">
        <v>18520</v>
      </c>
      <c r="C10759" t="s">
        <v>777</v>
      </c>
      <c r="D10759" t="s">
        <v>9</v>
      </c>
      <c r="E10759" t="s">
        <v>467</v>
      </c>
      <c r="F10759" s="2" t="str">
        <f>HYPERLINK("http://www.otzar.org/book.asp?51365","הד הזמן")</f>
        <v>הד הזמן</v>
      </c>
    </row>
    <row r="10760" spans="1:6" x14ac:dyDescent="0.2">
      <c r="A10760" t="s">
        <v>18521</v>
      </c>
      <c r="B10760" t="s">
        <v>10119</v>
      </c>
      <c r="C10760" t="s">
        <v>18522</v>
      </c>
      <c r="D10760" t="s">
        <v>592</v>
      </c>
      <c r="E10760" t="s">
        <v>104</v>
      </c>
      <c r="F10760" s="2" t="str">
        <f>HYPERLINK("http://www.otzar.org/book.asp?617518","הד החיים הישראליים")</f>
        <v>הד החיים הישראליים</v>
      </c>
    </row>
    <row r="10761" spans="1:6" x14ac:dyDescent="0.2">
      <c r="A10761" t="s">
        <v>18523</v>
      </c>
      <c r="B10761" t="s">
        <v>18524</v>
      </c>
      <c r="C10761" t="s">
        <v>777</v>
      </c>
      <c r="D10761" t="s">
        <v>14</v>
      </c>
      <c r="F10761" s="2" t="str">
        <f>HYPERLINK("http://www.otzar.org/book.asp?190787","הד המזרח - 72 כר'")</f>
        <v>הד המזרח - 72 כר'</v>
      </c>
    </row>
    <row r="10762" spans="1:6" x14ac:dyDescent="0.2">
      <c r="A10762" t="s">
        <v>18525</v>
      </c>
      <c r="B10762" t="s">
        <v>2341</v>
      </c>
      <c r="C10762" t="s">
        <v>18526</v>
      </c>
      <c r="D10762" t="s">
        <v>9</v>
      </c>
      <c r="E10762" t="s">
        <v>901</v>
      </c>
      <c r="F10762" s="2" t="str">
        <f>HYPERLINK("http://www.otzar.org/book.asp?51378","הד משה")</f>
        <v>הד משה</v>
      </c>
    </row>
    <row r="10763" spans="1:6" x14ac:dyDescent="0.2">
      <c r="A10763" t="s">
        <v>18527</v>
      </c>
      <c r="B10763" t="s">
        <v>18528</v>
      </c>
      <c r="C10763" t="s">
        <v>106</v>
      </c>
      <c r="D10763" t="s">
        <v>216</v>
      </c>
      <c r="E10763" t="s">
        <v>158</v>
      </c>
      <c r="F10763" s="2" t="str">
        <f>HYPERLINK("http://www.otzar.org/book.asp?179027","הד צבי - 4 כר'")</f>
        <v>הד צבי - 4 כר'</v>
      </c>
    </row>
    <row r="10764" spans="1:6" x14ac:dyDescent="0.2">
      <c r="A10764" t="s">
        <v>18529</v>
      </c>
      <c r="B10764" t="s">
        <v>1005</v>
      </c>
      <c r="C10764" t="s">
        <v>3840</v>
      </c>
      <c r="D10764" t="s">
        <v>27</v>
      </c>
      <c r="E10764" t="s">
        <v>202</v>
      </c>
      <c r="F10764" s="2" t="str">
        <f>HYPERLINK("http://www.otzar.org/book.asp?146990","הדביר")</f>
        <v>הדביר</v>
      </c>
    </row>
    <row r="10765" spans="1:6" x14ac:dyDescent="0.2">
      <c r="A10765" t="s">
        <v>18530</v>
      </c>
      <c r="B10765" t="s">
        <v>18531</v>
      </c>
      <c r="C10765" t="s">
        <v>919</v>
      </c>
      <c r="D10765" t="s">
        <v>14</v>
      </c>
      <c r="E10765" t="s">
        <v>15</v>
      </c>
      <c r="F10765" s="2" t="str">
        <f>HYPERLINK("http://www.otzar.org/book.asp?178930","הדברה החמישית")</f>
        <v>הדברה החמישית</v>
      </c>
    </row>
    <row r="10766" spans="1:6" x14ac:dyDescent="0.2">
      <c r="A10766" t="s">
        <v>18532</v>
      </c>
      <c r="B10766" t="s">
        <v>18533</v>
      </c>
      <c r="C10766" t="s">
        <v>176</v>
      </c>
      <c r="D10766" t="s">
        <v>412</v>
      </c>
      <c r="E10766" t="s">
        <v>15</v>
      </c>
      <c r="F10766" s="2" t="str">
        <f>HYPERLINK("http://www.otzar.org/book.asp?603794","הדברה העשירית - לא תחמוד, לא תתאווה")</f>
        <v>הדברה העשירית - לא תחמוד, לא תתאווה</v>
      </c>
    </row>
    <row r="10767" spans="1:6" x14ac:dyDescent="0.2">
      <c r="A10767" t="s">
        <v>18534</v>
      </c>
      <c r="B10767" t="s">
        <v>18535</v>
      </c>
      <c r="C10767" t="s">
        <v>2008</v>
      </c>
      <c r="D10767" t="s">
        <v>27</v>
      </c>
      <c r="E10767" t="s">
        <v>119</v>
      </c>
      <c r="F10767" s="2" t="str">
        <f>HYPERLINK("http://www.otzar.org/book.asp?154648","הדוקומנטים")</f>
        <v>הדוקומנטים</v>
      </c>
    </row>
    <row r="10768" spans="1:6" x14ac:dyDescent="0.2">
      <c r="A10768" t="s">
        <v>18536</v>
      </c>
      <c r="B10768" t="s">
        <v>18537</v>
      </c>
      <c r="C10768" t="s">
        <v>313</v>
      </c>
      <c r="D10768" t="s">
        <v>412</v>
      </c>
      <c r="E10768" t="s">
        <v>241</v>
      </c>
      <c r="F10768" s="2" t="str">
        <f>HYPERLINK("http://www.otzar.org/book.asp?150887","הדור האחרון")</f>
        <v>הדור האחרון</v>
      </c>
    </row>
    <row r="10769" spans="1:6" x14ac:dyDescent="0.2">
      <c r="A10769" t="s">
        <v>18538</v>
      </c>
      <c r="B10769" t="s">
        <v>18539</v>
      </c>
      <c r="C10769" t="s">
        <v>23</v>
      </c>
      <c r="D10769" t="s">
        <v>14</v>
      </c>
      <c r="E10769" t="s">
        <v>119</v>
      </c>
      <c r="F10769" s="2" t="str">
        <f>HYPERLINK("http://www.otzar.org/book.asp?612046","הדור השביעי - מינצברג")</f>
        <v>הדור השביעי - מינצברג</v>
      </c>
    </row>
    <row r="10770" spans="1:6" x14ac:dyDescent="0.2">
      <c r="A10770" t="s">
        <v>18540</v>
      </c>
      <c r="B10770" t="s">
        <v>206</v>
      </c>
      <c r="C10770" t="s">
        <v>151</v>
      </c>
      <c r="D10770" t="s">
        <v>90</v>
      </c>
      <c r="F10770" s="2" t="str">
        <f>HYPERLINK("http://www.otzar.org/book.asp?613435","הדור קבלוה מאהבה")</f>
        <v>הדור קבלוה מאהבה</v>
      </c>
    </row>
    <row r="10771" spans="1:6" x14ac:dyDescent="0.2">
      <c r="A10771" t="s">
        <v>18541</v>
      </c>
      <c r="B10771" t="s">
        <v>18542</v>
      </c>
      <c r="C10771" t="s">
        <v>767</v>
      </c>
      <c r="D10771" t="s">
        <v>18543</v>
      </c>
      <c r="E10771" t="s">
        <v>104</v>
      </c>
      <c r="F10771" s="2" t="str">
        <f>HYPERLINK("http://www.otzar.org/book.asp?620493","הדור -משברים ותקומה")</f>
        <v>הדור -משברים ותקומה</v>
      </c>
    </row>
    <row r="10772" spans="1:6" x14ac:dyDescent="0.2">
      <c r="A10772" t="s">
        <v>18544</v>
      </c>
      <c r="C10772" t="s">
        <v>313</v>
      </c>
      <c r="D10772" t="s">
        <v>118</v>
      </c>
      <c r="E10772" t="s">
        <v>104</v>
      </c>
      <c r="F10772" s="2" t="str">
        <f>HYPERLINK("http://www.otzar.org/book.asp?602843","הדיבוק היה או לא היה")</f>
        <v>הדיבוק היה או לא היה</v>
      </c>
    </row>
    <row r="10773" spans="1:6" x14ac:dyDescent="0.2">
      <c r="A10773" t="s">
        <v>18545</v>
      </c>
      <c r="B10773" t="s">
        <v>18546</v>
      </c>
      <c r="C10773" t="s">
        <v>17</v>
      </c>
      <c r="D10773" t="s">
        <v>14</v>
      </c>
      <c r="E10773" t="s">
        <v>104</v>
      </c>
      <c r="F10773" s="2" t="str">
        <f>HYPERLINK("http://www.otzar.org/book.asp?163090","הדיבוק מדימונה")</f>
        <v>הדיבוק מדימונה</v>
      </c>
    </row>
    <row r="10774" spans="1:6" x14ac:dyDescent="0.2">
      <c r="A10774" t="s">
        <v>18547</v>
      </c>
      <c r="B10774" t="s">
        <v>2914</v>
      </c>
      <c r="C10774" t="s">
        <v>383</v>
      </c>
      <c r="D10774" t="s">
        <v>14</v>
      </c>
      <c r="E10774" t="s">
        <v>1626</v>
      </c>
      <c r="F10774" s="2" t="str">
        <f>HYPERLINK("http://www.otzar.org/book.asp?64144","הדיואן המפורש")</f>
        <v>הדיואן המפורש</v>
      </c>
    </row>
    <row r="10775" spans="1:6" x14ac:dyDescent="0.2">
      <c r="A10775" t="s">
        <v>18548</v>
      </c>
      <c r="B10775" t="s">
        <v>4735</v>
      </c>
      <c r="C10775" t="s">
        <v>146</v>
      </c>
      <c r="D10775" t="s">
        <v>14</v>
      </c>
      <c r="E10775" t="s">
        <v>18549</v>
      </c>
      <c r="F10775" s="2" t="str">
        <f>HYPERLINK("http://www.otzar.org/book.asp?159095","הדילוגים והאור הגנוז")</f>
        <v>הדילוגים והאור הגנוז</v>
      </c>
    </row>
    <row r="10776" spans="1:6" x14ac:dyDescent="0.2">
      <c r="A10776" t="s">
        <v>18550</v>
      </c>
      <c r="B10776" t="s">
        <v>4715</v>
      </c>
      <c r="C10776" t="s">
        <v>411</v>
      </c>
      <c r="D10776" t="s">
        <v>2125</v>
      </c>
      <c r="E10776" t="s">
        <v>172</v>
      </c>
      <c r="F10776" s="2" t="str">
        <f>HYPERLINK("http://www.otzar.org/book.asp?175530","הדין ונימוקו")</f>
        <v>הדין ונימוקו</v>
      </c>
    </row>
    <row r="10777" spans="1:6" x14ac:dyDescent="0.2">
      <c r="A10777" t="s">
        <v>18551</v>
      </c>
      <c r="B10777" t="s">
        <v>206</v>
      </c>
      <c r="C10777" t="s">
        <v>111</v>
      </c>
      <c r="D10777" t="s">
        <v>147</v>
      </c>
      <c r="E10777" t="s">
        <v>130</v>
      </c>
      <c r="F10777" s="2" t="str">
        <f>HYPERLINK("http://www.otzar.org/book.asp?625385","הדלקת נר חנוכה לבחורי ישיבות")</f>
        <v>הדלקת נר חנוכה לבחורי ישיבות</v>
      </c>
    </row>
    <row r="10778" spans="1:6" x14ac:dyDescent="0.2">
      <c r="A10778" t="s">
        <v>18552</v>
      </c>
      <c r="B10778" t="s">
        <v>18553</v>
      </c>
      <c r="C10778" t="s">
        <v>103</v>
      </c>
      <c r="D10778" t="s">
        <v>563</v>
      </c>
      <c r="E10778" t="s">
        <v>246</v>
      </c>
      <c r="F10778" s="2" t="str">
        <f>HYPERLINK("http://www.otzar.org/book.asp?623901","הדלקת נר חנוכה")</f>
        <v>הדלקת נר חנוכה</v>
      </c>
    </row>
    <row r="10779" spans="1:6" x14ac:dyDescent="0.2">
      <c r="A10779" t="s">
        <v>18554</v>
      </c>
      <c r="B10779" t="s">
        <v>18555</v>
      </c>
      <c r="C10779" t="s">
        <v>23</v>
      </c>
      <c r="D10779" t="s">
        <v>21</v>
      </c>
      <c r="E10779" t="s">
        <v>246</v>
      </c>
      <c r="F10779" s="2" t="str">
        <f>HYPERLINK("http://www.otzar.org/book.asp?605519","הדלקת נרות חנוכה לבחורי ישיבות")</f>
        <v>הדלקת נרות חנוכה לבחורי ישיבות</v>
      </c>
    </row>
    <row r="10780" spans="1:6" x14ac:dyDescent="0.2">
      <c r="A10780" t="s">
        <v>18556</v>
      </c>
      <c r="B10780" t="s">
        <v>18557</v>
      </c>
      <c r="C10780" t="s">
        <v>553</v>
      </c>
      <c r="E10780" t="s">
        <v>15</v>
      </c>
      <c r="F10780" s="2" t="str">
        <f>HYPERLINK("http://www.otzar.org/book.asp?191235","הדלקת נרות שבת")</f>
        <v>הדלקת נרות שבת</v>
      </c>
    </row>
    <row r="10781" spans="1:6" x14ac:dyDescent="0.2">
      <c r="A10781" t="s">
        <v>18558</v>
      </c>
      <c r="B10781" t="s">
        <v>18559</v>
      </c>
      <c r="C10781" t="s">
        <v>843</v>
      </c>
      <c r="D10781" t="s">
        <v>27</v>
      </c>
      <c r="E10781" t="s">
        <v>202</v>
      </c>
      <c r="F10781" s="2" t="str">
        <f>HYPERLINK("http://www.otzar.org/book.asp?15058","הדם הקדוש")</f>
        <v>הדם הקדוש</v>
      </c>
    </row>
    <row r="10782" spans="1:6" x14ac:dyDescent="0.2">
      <c r="A10782" t="s">
        <v>18560</v>
      </c>
      <c r="B10782" t="s">
        <v>11925</v>
      </c>
      <c r="C10782" t="s">
        <v>411</v>
      </c>
      <c r="D10782" t="s">
        <v>52</v>
      </c>
      <c r="F10782" s="2" t="str">
        <f>HYPERLINK("http://www.otzar.org/book.asp?630401","הדסה היא אסתר")</f>
        <v>הדסה היא אסתר</v>
      </c>
    </row>
    <row r="10783" spans="1:6" x14ac:dyDescent="0.2">
      <c r="A10783" t="s">
        <v>18561</v>
      </c>
      <c r="B10783" t="s">
        <v>2630</v>
      </c>
      <c r="C10783" t="s">
        <v>20</v>
      </c>
      <c r="D10783" t="s">
        <v>21</v>
      </c>
      <c r="E10783" t="s">
        <v>104</v>
      </c>
      <c r="F10783" s="2" t="str">
        <f>HYPERLINK("http://www.otzar.org/book.asp?605285","הדעה והבירור")</f>
        <v>הדעה והבירור</v>
      </c>
    </row>
    <row r="10784" spans="1:6" x14ac:dyDescent="0.2">
      <c r="A10784" t="s">
        <v>18562</v>
      </c>
      <c r="B10784" t="s">
        <v>18563</v>
      </c>
      <c r="C10784" t="s">
        <v>151</v>
      </c>
      <c r="D10784" t="s">
        <v>14</v>
      </c>
      <c r="E10784" t="s">
        <v>1262</v>
      </c>
      <c r="F10784" s="2" t="str">
        <f>HYPERLINK("http://www.otzar.org/book.asp?627192","הדעה והדבור &lt;מהדורה חדשה&gt; - 3 כר'")</f>
        <v>הדעה והדבור &lt;מהדורה חדשה&gt; - 3 כר'</v>
      </c>
    </row>
    <row r="10785" spans="1:6" x14ac:dyDescent="0.2">
      <c r="A10785" t="s">
        <v>18564</v>
      </c>
      <c r="B10785" t="s">
        <v>18565</v>
      </c>
      <c r="C10785" t="s">
        <v>1535</v>
      </c>
      <c r="D10785" t="s">
        <v>9</v>
      </c>
      <c r="E10785" t="s">
        <v>384</v>
      </c>
      <c r="F10785" s="2" t="str">
        <f>HYPERLINK("http://www.otzar.org/book.asp?7141","הדעה והדבור")</f>
        <v>הדעה והדבור</v>
      </c>
    </row>
    <row r="10786" spans="1:6" x14ac:dyDescent="0.2">
      <c r="A10786" t="s">
        <v>18566</v>
      </c>
      <c r="B10786" t="s">
        <v>18563</v>
      </c>
      <c r="C10786" t="s">
        <v>18567</v>
      </c>
      <c r="D10786" t="s">
        <v>563</v>
      </c>
      <c r="E10786" t="s">
        <v>4333</v>
      </c>
      <c r="F10786" s="2" t="str">
        <f>HYPERLINK("http://www.otzar.org/book.asp?105359","הדעה והדבור - 3 כר'")</f>
        <v>הדעה והדבור - 3 כר'</v>
      </c>
    </row>
    <row r="10787" spans="1:6" x14ac:dyDescent="0.2">
      <c r="A10787" t="s">
        <v>18566</v>
      </c>
      <c r="B10787" t="s">
        <v>18568</v>
      </c>
      <c r="C10787" t="s">
        <v>506</v>
      </c>
      <c r="D10787" t="s">
        <v>5659</v>
      </c>
      <c r="E10787" t="s">
        <v>241</v>
      </c>
      <c r="F10787" s="2" t="str">
        <f>HYPERLINK("http://www.otzar.org/book.asp?173086","הדעה והדבור - 3 כר'")</f>
        <v>הדעה והדבור - 3 כר'</v>
      </c>
    </row>
    <row r="10788" spans="1:6" x14ac:dyDescent="0.2">
      <c r="A10788" t="s">
        <v>18569</v>
      </c>
      <c r="B10788" t="s">
        <v>18570</v>
      </c>
      <c r="C10788" t="s">
        <v>23</v>
      </c>
      <c r="D10788" t="s">
        <v>21</v>
      </c>
      <c r="F10788" s="2" t="str">
        <f>HYPERLINK("http://www.otzar.org/book.asp?610581","הדעה והדיבור")</f>
        <v>הדעה והדיבור</v>
      </c>
    </row>
    <row r="10789" spans="1:6" x14ac:dyDescent="0.2">
      <c r="A10789" t="s">
        <v>18571</v>
      </c>
      <c r="B10789" t="s">
        <v>16591</v>
      </c>
      <c r="C10789" t="s">
        <v>244</v>
      </c>
      <c r="D10789" t="s">
        <v>14</v>
      </c>
      <c r="E10789" t="s">
        <v>140</v>
      </c>
      <c r="F10789" s="2" t="str">
        <f>HYPERLINK("http://www.otzar.org/book.asp?600904","הדעה והדיבור - 381 כר'")</f>
        <v>הדעה והדיבור - 381 כר'</v>
      </c>
    </row>
    <row r="10790" spans="1:6" x14ac:dyDescent="0.2">
      <c r="A10790" t="s">
        <v>18572</v>
      </c>
      <c r="B10790" t="s">
        <v>9114</v>
      </c>
      <c r="C10790" t="s">
        <v>950</v>
      </c>
      <c r="D10790" t="s">
        <v>283</v>
      </c>
      <c r="E10790" t="s">
        <v>241</v>
      </c>
      <c r="F10790" s="2" t="str">
        <f>HYPERLINK("http://www.otzar.org/book.asp?12189","הדעות והמדות")</f>
        <v>הדעות והמדות</v>
      </c>
    </row>
    <row r="10791" spans="1:6" x14ac:dyDescent="0.2">
      <c r="A10791" t="s">
        <v>18573</v>
      </c>
      <c r="B10791" t="s">
        <v>12106</v>
      </c>
      <c r="C10791" t="s">
        <v>313</v>
      </c>
      <c r="D10791" t="s">
        <v>14</v>
      </c>
      <c r="E10791" t="s">
        <v>104</v>
      </c>
      <c r="F10791" s="2" t="str">
        <f>HYPERLINK("http://www.otzar.org/book.asp?22946","הדף היומי")</f>
        <v>הדף היומי</v>
      </c>
    </row>
    <row r="10792" spans="1:6" x14ac:dyDescent="0.2">
      <c r="A10792" t="s">
        <v>18574</v>
      </c>
      <c r="B10792" t="s">
        <v>12291</v>
      </c>
      <c r="C10792" t="s">
        <v>18575</v>
      </c>
      <c r="D10792" t="s">
        <v>52</v>
      </c>
      <c r="E10792" t="s">
        <v>104</v>
      </c>
      <c r="F10792" s="2" t="str">
        <f>HYPERLINK("http://www.otzar.org/book.asp?171130","הדף היומי - 2 כר'")</f>
        <v>הדף היומי - 2 כר'</v>
      </c>
    </row>
    <row r="10793" spans="1:6" x14ac:dyDescent="0.2">
      <c r="A10793" t="s">
        <v>18576</v>
      </c>
      <c r="B10793" t="s">
        <v>8183</v>
      </c>
      <c r="C10793" t="s">
        <v>576</v>
      </c>
      <c r="D10793" t="s">
        <v>14</v>
      </c>
      <c r="E10793" t="s">
        <v>119</v>
      </c>
      <c r="F10793" s="2" t="str">
        <f>HYPERLINK("http://www.otzar.org/book.asp?84199","הדפוס העברי בארצות  המזרח")</f>
        <v>הדפוס העברי בארצות  המזרח</v>
      </c>
    </row>
    <row r="10794" spans="1:6" x14ac:dyDescent="0.2">
      <c r="A10794" t="s">
        <v>18577</v>
      </c>
      <c r="B10794" t="s">
        <v>8183</v>
      </c>
      <c r="C10794" t="s">
        <v>160</v>
      </c>
      <c r="D10794" t="s">
        <v>14</v>
      </c>
      <c r="E10794" t="s">
        <v>119</v>
      </c>
      <c r="F10794" s="2" t="str">
        <f>HYPERLINK("http://www.otzar.org/book.asp?143412","הדפוס העברי במאהלוב ע""נ דנייסטר")</f>
        <v>הדפוס העברי במאהלוב ע"נ דנייסטר</v>
      </c>
    </row>
    <row r="10795" spans="1:6" x14ac:dyDescent="0.2">
      <c r="A10795" t="s">
        <v>18578</v>
      </c>
      <c r="B10795" t="s">
        <v>8183</v>
      </c>
      <c r="C10795" t="s">
        <v>1160</v>
      </c>
      <c r="D10795" t="s">
        <v>14</v>
      </c>
      <c r="E10795" t="s">
        <v>119</v>
      </c>
      <c r="F10795" s="2" t="str">
        <f>HYPERLINK("http://www.otzar.org/book.asp?153924","הדפוס העברי בקושטא")</f>
        <v>הדפוס העברי בקושטא</v>
      </c>
    </row>
    <row r="10796" spans="1:6" x14ac:dyDescent="0.2">
      <c r="A10796" t="s">
        <v>18579</v>
      </c>
      <c r="B10796" t="s">
        <v>8183</v>
      </c>
      <c r="C10796" t="s">
        <v>985</v>
      </c>
      <c r="D10796" t="s">
        <v>14</v>
      </c>
      <c r="E10796" t="s">
        <v>119</v>
      </c>
      <c r="F10796" s="2" t="str">
        <f>HYPERLINK("http://www.otzar.org/book.asp?143417","הדפוס העברי בשקלאוו")</f>
        <v>הדפוס העברי בשקלאוו</v>
      </c>
    </row>
    <row r="10797" spans="1:6" x14ac:dyDescent="0.2">
      <c r="A10797" t="s">
        <v>18580</v>
      </c>
      <c r="B10797" t="s">
        <v>8183</v>
      </c>
      <c r="C10797" t="s">
        <v>160</v>
      </c>
      <c r="D10797" t="s">
        <v>14</v>
      </c>
      <c r="E10797" t="s">
        <v>119</v>
      </c>
      <c r="F10797" s="2" t="str">
        <f>HYPERLINK("http://www.otzar.org/book.asp?143413","הדפוס העברי הראשון בזיטאמיר")</f>
        <v>הדפוס העברי הראשון בזיטאמיר</v>
      </c>
    </row>
    <row r="10798" spans="1:6" x14ac:dyDescent="0.2">
      <c r="A10798" t="s">
        <v>18581</v>
      </c>
      <c r="B10798" t="s">
        <v>18582</v>
      </c>
      <c r="C10798" t="s">
        <v>698</v>
      </c>
      <c r="D10798" t="s">
        <v>27</v>
      </c>
      <c r="E10798" t="s">
        <v>119</v>
      </c>
      <c r="F10798" s="2" t="str">
        <f>HYPERLINK("http://www.otzar.org/book.asp?175800","הדפוס הראשון בירושלים")</f>
        <v>הדפוס הראשון בירושלים</v>
      </c>
    </row>
    <row r="10799" spans="1:6" x14ac:dyDescent="0.2">
      <c r="A10799" t="s">
        <v>18583</v>
      </c>
      <c r="B10799" t="s">
        <v>18584</v>
      </c>
      <c r="C10799" t="s">
        <v>506</v>
      </c>
      <c r="D10799" t="s">
        <v>27</v>
      </c>
      <c r="E10799" t="s">
        <v>104</v>
      </c>
      <c r="F10799" s="2" t="str">
        <f>HYPERLINK("http://www.otzar.org/book.asp?142488","הדקדוק המקורי")</f>
        <v>הדקדוק המקורי</v>
      </c>
    </row>
    <row r="10800" spans="1:6" x14ac:dyDescent="0.2">
      <c r="A10800" t="s">
        <v>18585</v>
      </c>
      <c r="B10800" t="s">
        <v>18586</v>
      </c>
      <c r="C10800" t="s">
        <v>55</v>
      </c>
      <c r="D10800" t="s">
        <v>56</v>
      </c>
      <c r="E10800" t="s">
        <v>104</v>
      </c>
      <c r="F10800" s="2" t="str">
        <f>HYPERLINK("http://www.otzar.org/book.asp?173189","הדקדוק קטן")</f>
        <v>הדקדוק קטן</v>
      </c>
    </row>
    <row r="10801" spans="1:6" x14ac:dyDescent="0.2">
      <c r="A10801" t="s">
        <v>18587</v>
      </c>
      <c r="B10801" t="s">
        <v>18587</v>
      </c>
      <c r="C10801" t="s">
        <v>103</v>
      </c>
      <c r="D10801" t="s">
        <v>4508</v>
      </c>
      <c r="E10801" t="s">
        <v>144</v>
      </c>
      <c r="F10801" s="2" t="str">
        <f>HYPERLINK("http://www.otzar.org/book.asp?21961","הדר דינא")</f>
        <v>הדר דינא</v>
      </c>
    </row>
    <row r="10802" spans="1:6" x14ac:dyDescent="0.2">
      <c r="A10802" t="s">
        <v>18588</v>
      </c>
      <c r="B10802" t="s">
        <v>18589</v>
      </c>
      <c r="C10802" t="s">
        <v>18590</v>
      </c>
      <c r="D10802" t="s">
        <v>56</v>
      </c>
      <c r="E10802" t="s">
        <v>2840</v>
      </c>
      <c r="F10802" s="2" t="str">
        <f>HYPERLINK("http://www.otzar.org/book.asp?167010","הדר הכרמל - 2 כר'")</f>
        <v>הדר הכרמל - 2 כר'</v>
      </c>
    </row>
    <row r="10803" spans="1:6" x14ac:dyDescent="0.2">
      <c r="A10803" t="s">
        <v>18591</v>
      </c>
      <c r="B10803" t="s">
        <v>18592</v>
      </c>
      <c r="C10803" t="s">
        <v>919</v>
      </c>
      <c r="D10803" t="s">
        <v>646</v>
      </c>
      <c r="E10803" t="s">
        <v>154</v>
      </c>
      <c r="F10803" s="2" t="str">
        <f>HYPERLINK("http://www.otzar.org/book.asp?158522","הדר הכרמל - 5 כר'")</f>
        <v>הדר הכרמל - 5 כר'</v>
      </c>
    </row>
    <row r="10804" spans="1:6" x14ac:dyDescent="0.2">
      <c r="A10804" t="s">
        <v>18593</v>
      </c>
      <c r="B10804" t="s">
        <v>18594</v>
      </c>
      <c r="C10804" t="s">
        <v>244</v>
      </c>
      <c r="D10804" t="s">
        <v>52</v>
      </c>
      <c r="E10804" t="s">
        <v>130</v>
      </c>
      <c r="F10804" s="2" t="str">
        <f>HYPERLINK("http://www.otzar.org/book.asp?600681","הדר המינים")</f>
        <v>הדר המינים</v>
      </c>
    </row>
    <row r="10805" spans="1:6" x14ac:dyDescent="0.2">
      <c r="A10805" t="s">
        <v>18595</v>
      </c>
      <c r="B10805" t="s">
        <v>18596</v>
      </c>
      <c r="C10805" t="s">
        <v>103</v>
      </c>
      <c r="D10805" t="s">
        <v>367</v>
      </c>
      <c r="E10805" t="s">
        <v>15</v>
      </c>
      <c r="F10805" s="2" t="str">
        <f>HYPERLINK("http://www.otzar.org/book.asp?147852","הדר השלחן - 2 כר'")</f>
        <v>הדר השלחן - 2 כר'</v>
      </c>
    </row>
    <row r="10806" spans="1:6" x14ac:dyDescent="0.2">
      <c r="A10806" t="s">
        <v>18597</v>
      </c>
      <c r="B10806" t="s">
        <v>11537</v>
      </c>
      <c r="C10806" t="s">
        <v>6784</v>
      </c>
      <c r="D10806" t="s">
        <v>212</v>
      </c>
      <c r="E10806" t="s">
        <v>158</v>
      </c>
      <c r="F10806" s="2" t="str">
        <f>HYPERLINK("http://www.otzar.org/book.asp?484","הדר זקנים - 3 כר'")</f>
        <v>הדר זקנים - 3 כר'</v>
      </c>
    </row>
    <row r="10807" spans="1:6" x14ac:dyDescent="0.2">
      <c r="A10807" t="s">
        <v>18598</v>
      </c>
      <c r="B10807" t="s">
        <v>18599</v>
      </c>
      <c r="C10807" t="s">
        <v>419</v>
      </c>
      <c r="D10807" t="s">
        <v>90</v>
      </c>
      <c r="E10807" t="s">
        <v>18600</v>
      </c>
      <c r="F10807" s="2" t="str">
        <f>HYPERLINK("http://www.otzar.org/book.asp?148911","הדר זקנים")</f>
        <v>הדר זקנים</v>
      </c>
    </row>
    <row r="10808" spans="1:6" x14ac:dyDescent="0.2">
      <c r="A10808" t="s">
        <v>18598</v>
      </c>
      <c r="B10808" t="s">
        <v>107</v>
      </c>
      <c r="C10808" t="s">
        <v>940</v>
      </c>
      <c r="D10808" t="s">
        <v>14</v>
      </c>
      <c r="E10808" t="s">
        <v>15</v>
      </c>
      <c r="F10808" s="2" t="str">
        <f>HYPERLINK("http://www.otzar.org/book.asp?84013","הדר זקנים")</f>
        <v>הדר זקנים</v>
      </c>
    </row>
    <row r="10809" spans="1:6" x14ac:dyDescent="0.2">
      <c r="A10809" t="s">
        <v>18601</v>
      </c>
      <c r="B10809" t="s">
        <v>18602</v>
      </c>
      <c r="C10809" t="s">
        <v>624</v>
      </c>
      <c r="D10809" t="s">
        <v>486</v>
      </c>
      <c r="E10809" t="s">
        <v>144</v>
      </c>
      <c r="F10809" s="2" t="str">
        <f>HYPERLINK("http://www.otzar.org/book.asp?147933","הדר יוסף")</f>
        <v>הדר יוסף</v>
      </c>
    </row>
    <row r="10810" spans="1:6" x14ac:dyDescent="0.2">
      <c r="A10810" t="s">
        <v>18603</v>
      </c>
      <c r="B10810" t="s">
        <v>3166</v>
      </c>
      <c r="C10810" t="s">
        <v>189</v>
      </c>
      <c r="D10810" t="s">
        <v>14</v>
      </c>
      <c r="E10810" t="s">
        <v>158</v>
      </c>
      <c r="F10810" s="2" t="str">
        <f>HYPERLINK("http://www.otzar.org/book.asp?22195","הדר יעקב - 6 כר'")</f>
        <v>הדר יעקב - 6 כר'</v>
      </c>
    </row>
    <row r="10811" spans="1:6" x14ac:dyDescent="0.2">
      <c r="A10811" t="s">
        <v>18604</v>
      </c>
      <c r="B10811" t="s">
        <v>18605</v>
      </c>
      <c r="C10811" t="s">
        <v>1470</v>
      </c>
      <c r="D10811" t="s">
        <v>27</v>
      </c>
      <c r="E10811" t="s">
        <v>18606</v>
      </c>
      <c r="F10811" s="2" t="str">
        <f>HYPERLINK("http://www.otzar.org/book.asp?11891","הדר יצחק")</f>
        <v>הדר יצחק</v>
      </c>
    </row>
    <row r="10812" spans="1:6" x14ac:dyDescent="0.2">
      <c r="A10812" t="s">
        <v>18607</v>
      </c>
      <c r="B10812" t="s">
        <v>18608</v>
      </c>
      <c r="C10812" t="s">
        <v>189</v>
      </c>
      <c r="D10812" t="s">
        <v>14</v>
      </c>
      <c r="E10812" t="s">
        <v>263</v>
      </c>
      <c r="F10812" s="2" t="str">
        <f>HYPERLINK("http://www.otzar.org/book.asp?22646","הדר כבוד")</f>
        <v>הדר כבוד</v>
      </c>
    </row>
    <row r="10813" spans="1:6" x14ac:dyDescent="0.2">
      <c r="A10813" t="s">
        <v>18609</v>
      </c>
      <c r="B10813" t="s">
        <v>18610</v>
      </c>
      <c r="C10813" t="s">
        <v>244</v>
      </c>
      <c r="D10813" t="s">
        <v>367</v>
      </c>
      <c r="E10813" t="s">
        <v>15</v>
      </c>
      <c r="F10813" s="2" t="str">
        <f>HYPERLINK("http://www.otzar.org/book.asp?603116","הדר כבודו")</f>
        <v>הדר כבודו</v>
      </c>
    </row>
    <row r="10814" spans="1:6" x14ac:dyDescent="0.2">
      <c r="A10814" t="s">
        <v>18611</v>
      </c>
      <c r="B10814" t="s">
        <v>18612</v>
      </c>
      <c r="C10814" t="s">
        <v>143</v>
      </c>
      <c r="D10814" t="s">
        <v>52</v>
      </c>
      <c r="E10814" t="s">
        <v>15</v>
      </c>
      <c r="F10814" s="2" t="str">
        <f>HYPERLINK("http://www.otzar.org/book.asp?153857","הדר מזוזה")</f>
        <v>הדר מזוזה</v>
      </c>
    </row>
    <row r="10815" spans="1:6" x14ac:dyDescent="0.2">
      <c r="A10815" t="s">
        <v>18613</v>
      </c>
      <c r="B10815" t="s">
        <v>18614</v>
      </c>
      <c r="C10815" t="s">
        <v>18615</v>
      </c>
      <c r="D10815" t="s">
        <v>21</v>
      </c>
      <c r="F10815" s="2" t="str">
        <f>HYPERLINK("http://www.otzar.org/book.asp?603174","הדר מצוה")</f>
        <v>הדר מצוה</v>
      </c>
    </row>
    <row r="10816" spans="1:6" x14ac:dyDescent="0.2">
      <c r="A10816" t="s">
        <v>18616</v>
      </c>
      <c r="B10816" t="s">
        <v>18617</v>
      </c>
      <c r="C10816" t="s">
        <v>454</v>
      </c>
      <c r="D10816" t="s">
        <v>216</v>
      </c>
      <c r="F10816" s="2" t="str">
        <f>HYPERLINK("http://www.otzar.org/book.asp?616121","הדר עזר &lt;מהדורה חדשה&gt;")</f>
        <v>הדר עזר &lt;מהדורה חדשה&gt;</v>
      </c>
    </row>
    <row r="10817" spans="1:6" x14ac:dyDescent="0.2">
      <c r="A10817" t="s">
        <v>18618</v>
      </c>
      <c r="B10817" t="s">
        <v>18617</v>
      </c>
      <c r="C10817" t="s">
        <v>950</v>
      </c>
      <c r="D10817" t="s">
        <v>157</v>
      </c>
      <c r="E10817" t="s">
        <v>158</v>
      </c>
      <c r="F10817" s="2" t="str">
        <f>HYPERLINK("http://www.otzar.org/book.asp?10103","הדר עזר")</f>
        <v>הדר עזר</v>
      </c>
    </row>
    <row r="10818" spans="1:6" x14ac:dyDescent="0.2">
      <c r="A10818" t="s">
        <v>18619</v>
      </c>
      <c r="B10818" t="s">
        <v>18612</v>
      </c>
      <c r="C10818" t="s">
        <v>1208</v>
      </c>
      <c r="D10818" t="s">
        <v>52</v>
      </c>
      <c r="E10818" t="s">
        <v>15</v>
      </c>
      <c r="F10818" s="2" t="str">
        <f>HYPERLINK("http://www.otzar.org/book.asp?153856","הדר תפילין")</f>
        <v>הדר תפילין</v>
      </c>
    </row>
    <row r="10819" spans="1:6" x14ac:dyDescent="0.2">
      <c r="A10819" t="s">
        <v>18620</v>
      </c>
      <c r="B10819" t="s">
        <v>18621</v>
      </c>
      <c r="C10819" t="s">
        <v>466</v>
      </c>
      <c r="D10819" t="s">
        <v>486</v>
      </c>
      <c r="E10819" t="s">
        <v>158</v>
      </c>
      <c r="F10819" s="2" t="str">
        <f>HYPERLINK("http://www.otzar.org/book.asp?190959","הדרה של תורה - 2 כר'")</f>
        <v>הדרה של תורה - 2 כר'</v>
      </c>
    </row>
    <row r="10820" spans="1:6" x14ac:dyDescent="0.2">
      <c r="A10820" t="s">
        <v>18622</v>
      </c>
      <c r="B10820" t="s">
        <v>18623</v>
      </c>
      <c r="C10820" t="s">
        <v>843</v>
      </c>
      <c r="D10820" t="s">
        <v>412</v>
      </c>
      <c r="E10820" t="s">
        <v>202</v>
      </c>
      <c r="F10820" s="2" t="str">
        <f>HYPERLINK("http://www.otzar.org/book.asp?16446","הדרום - 68 כר'")</f>
        <v>הדרום - 68 כר'</v>
      </c>
    </row>
    <row r="10821" spans="1:6" x14ac:dyDescent="0.2">
      <c r="A10821" t="s">
        <v>18624</v>
      </c>
      <c r="B10821" t="s">
        <v>18625</v>
      </c>
      <c r="C10821" t="s">
        <v>63</v>
      </c>
      <c r="D10821" t="s">
        <v>216</v>
      </c>
      <c r="E10821" t="s">
        <v>158</v>
      </c>
      <c r="F10821" s="2" t="str">
        <f>HYPERLINK("http://www.otzar.org/book.asp?174229","הדרוש והנאום - 5 כר'")</f>
        <v>הדרוש והנאום - 5 כר'</v>
      </c>
    </row>
    <row r="10822" spans="1:6" x14ac:dyDescent="0.2">
      <c r="A10822" t="s">
        <v>18626</v>
      </c>
      <c r="B10822" t="s">
        <v>3768</v>
      </c>
      <c r="C10822" t="s">
        <v>133</v>
      </c>
      <c r="D10822" t="s">
        <v>14</v>
      </c>
      <c r="E10822" t="s">
        <v>15</v>
      </c>
      <c r="F10822" s="2" t="str">
        <f>HYPERLINK("http://www.otzar.org/book.asp?175550","הדריכני באמתך")</f>
        <v>הדריכני באמתך</v>
      </c>
    </row>
    <row r="10823" spans="1:6" x14ac:dyDescent="0.2">
      <c r="A10823" t="s">
        <v>18627</v>
      </c>
      <c r="B10823" t="s">
        <v>18628</v>
      </c>
      <c r="C10823" t="s">
        <v>454</v>
      </c>
      <c r="D10823" t="s">
        <v>21</v>
      </c>
      <c r="E10823" t="s">
        <v>241</v>
      </c>
      <c r="F10823" s="2" t="str">
        <f>HYPERLINK("http://www.otzar.org/book.asp?195833","הדרך אל האושר")</f>
        <v>הדרך אל האושר</v>
      </c>
    </row>
    <row r="10824" spans="1:6" x14ac:dyDescent="0.2">
      <c r="A10824" t="s">
        <v>18629</v>
      </c>
      <c r="B10824" t="s">
        <v>18630</v>
      </c>
      <c r="C10824" t="s">
        <v>244</v>
      </c>
      <c r="D10824" t="s">
        <v>14</v>
      </c>
      <c r="F10824" s="2" t="str">
        <f>HYPERLINK("http://www.otzar.org/book.asp?619215","הדרך אל התכלית")</f>
        <v>הדרך אל התכלית</v>
      </c>
    </row>
    <row r="10825" spans="1:6" x14ac:dyDescent="0.2">
      <c r="A10825" t="s">
        <v>18631</v>
      </c>
      <c r="B10825" t="s">
        <v>2737</v>
      </c>
      <c r="C10825" t="s">
        <v>1570</v>
      </c>
      <c r="D10825" t="s">
        <v>412</v>
      </c>
      <c r="E10825" t="s">
        <v>573</v>
      </c>
      <c r="F10825" s="2" t="str">
        <f>HYPERLINK("http://www.otzar.org/book.asp?14499","הדרך הנכונה בהוראת התנ""ך")</f>
        <v>הדרך הנכונה בהוראת התנ"ך</v>
      </c>
    </row>
    <row r="10826" spans="1:6" x14ac:dyDescent="0.2">
      <c r="A10826" t="s">
        <v>18632</v>
      </c>
      <c r="B10826" t="s">
        <v>3374</v>
      </c>
      <c r="C10826" t="s">
        <v>20</v>
      </c>
      <c r="D10826" t="s">
        <v>423</v>
      </c>
      <c r="E10826" t="s">
        <v>104</v>
      </c>
      <c r="F10826" s="2" t="str">
        <f>HYPERLINK("http://www.otzar.org/book.asp?180323","הדרך ילכו בה - 2 כר'")</f>
        <v>הדרך ילכו בה - 2 כר'</v>
      </c>
    </row>
    <row r="10827" spans="1:6" x14ac:dyDescent="0.2">
      <c r="A10827" t="s">
        <v>18633</v>
      </c>
      <c r="B10827" t="s">
        <v>10306</v>
      </c>
      <c r="C10827" t="s">
        <v>133</v>
      </c>
      <c r="D10827" t="s">
        <v>486</v>
      </c>
      <c r="F10827" s="2" t="str">
        <f>HYPERLINK("http://www.otzar.org/book.asp?189000","הדרך לקידוש השם &lt;מהדורה שניה&gt;")</f>
        <v>הדרך לקידוש השם &lt;מהדורה שניה&gt;</v>
      </c>
    </row>
    <row r="10828" spans="1:6" x14ac:dyDescent="0.2">
      <c r="A10828" t="s">
        <v>18634</v>
      </c>
      <c r="B10828" t="s">
        <v>10306</v>
      </c>
      <c r="C10828" t="s">
        <v>26</v>
      </c>
      <c r="D10828" t="s">
        <v>216</v>
      </c>
      <c r="F10828" s="2" t="str">
        <f>HYPERLINK("http://www.otzar.org/book.asp?152957","הדרך לקידוש השם")</f>
        <v>הדרך לקידוש השם</v>
      </c>
    </row>
    <row r="10829" spans="1:6" x14ac:dyDescent="0.2">
      <c r="A10829" t="s">
        <v>18635</v>
      </c>
      <c r="B10829" t="s">
        <v>4606</v>
      </c>
      <c r="C10829" t="s">
        <v>20</v>
      </c>
      <c r="D10829" t="s">
        <v>14</v>
      </c>
      <c r="E10829" t="s">
        <v>15</v>
      </c>
      <c r="F10829" s="2" t="str">
        <f>HYPERLINK("http://www.otzar.org/book.asp?144485","הדרך לתשובה &lt;רמב""ם-הלכות תשובה&gt;")</f>
        <v>הדרך לתשובה &lt;רמב"ם-הלכות תשובה&gt;</v>
      </c>
    </row>
    <row r="10830" spans="1:6" x14ac:dyDescent="0.2">
      <c r="A10830" t="s">
        <v>18636</v>
      </c>
      <c r="B10830" t="s">
        <v>3374</v>
      </c>
      <c r="C10830" t="s">
        <v>940</v>
      </c>
      <c r="D10830" t="s">
        <v>423</v>
      </c>
      <c r="E10830" t="s">
        <v>104</v>
      </c>
      <c r="F10830" s="2" t="str">
        <f>HYPERLINK("http://www.otzar.org/book.asp?180135","הדרך נלך בה")</f>
        <v>הדרך נלך בה</v>
      </c>
    </row>
    <row r="10831" spans="1:6" x14ac:dyDescent="0.2">
      <c r="A10831" t="s">
        <v>18637</v>
      </c>
      <c r="B10831" t="s">
        <v>18638</v>
      </c>
      <c r="C10831" t="s">
        <v>442</v>
      </c>
      <c r="D10831" t="s">
        <v>974</v>
      </c>
      <c r="E10831" t="s">
        <v>234</v>
      </c>
      <c r="F10831" s="2" t="str">
        <f>HYPERLINK("http://www.otzar.org/book.asp?149633","הדרך")</f>
        <v>הדרך</v>
      </c>
    </row>
    <row r="10832" spans="1:6" x14ac:dyDescent="0.2">
      <c r="A10832" t="s">
        <v>18639</v>
      </c>
      <c r="B10832" t="s">
        <v>18640</v>
      </c>
      <c r="C10832" t="s">
        <v>23</v>
      </c>
      <c r="D10832" t="s">
        <v>2201</v>
      </c>
      <c r="E10832" t="s">
        <v>241</v>
      </c>
      <c r="F10832" s="2" t="str">
        <f>HYPERLINK("http://www.otzar.org/book.asp?625593","הדרכה לבני תורה")</f>
        <v>הדרכה לבני תורה</v>
      </c>
    </row>
    <row r="10833" spans="1:6" x14ac:dyDescent="0.2">
      <c r="A10833" t="s">
        <v>18641</v>
      </c>
      <c r="B10833" t="s">
        <v>824</v>
      </c>
      <c r="C10833" t="s">
        <v>1609</v>
      </c>
      <c r="D10833" t="s">
        <v>115</v>
      </c>
      <c r="E10833" t="s">
        <v>15</v>
      </c>
      <c r="F10833" s="2" t="str">
        <f>HYPERLINK("http://www.otzar.org/book.asp?179108","הדרכה להפרשת תרומות ומעשרות")</f>
        <v>הדרכה להפרשת תרומות ומעשרות</v>
      </c>
    </row>
    <row r="10834" spans="1:6" x14ac:dyDescent="0.2">
      <c r="A10834" t="s">
        <v>18642</v>
      </c>
      <c r="B10834" t="s">
        <v>8072</v>
      </c>
      <c r="C10834" t="s">
        <v>68</v>
      </c>
      <c r="D10834" t="s">
        <v>14</v>
      </c>
      <c r="E10834" t="s">
        <v>241</v>
      </c>
      <c r="F10834" s="2" t="str">
        <f>HYPERLINK("http://www.otzar.org/book.asp?170818","הדרכה ללמוד מוסר")</f>
        <v>הדרכה ללמוד מוסר</v>
      </c>
    </row>
    <row r="10835" spans="1:6" x14ac:dyDescent="0.2">
      <c r="A10835" t="s">
        <v>18643</v>
      </c>
      <c r="B10835" t="s">
        <v>3168</v>
      </c>
      <c r="C10835" t="s">
        <v>466</v>
      </c>
      <c r="D10835" t="s">
        <v>367</v>
      </c>
      <c r="F10835" s="2" t="str">
        <f>HYPERLINK("http://www.otzar.org/book.asp?615336","הדרכה למלמדים וחינוך הבנים")</f>
        <v>הדרכה למלמדים וחינוך הבנים</v>
      </c>
    </row>
    <row r="10836" spans="1:6" x14ac:dyDescent="0.2">
      <c r="A10836" t="s">
        <v>18644</v>
      </c>
      <c r="B10836" t="s">
        <v>206</v>
      </c>
      <c r="C10836" t="s">
        <v>20</v>
      </c>
      <c r="D10836" t="s">
        <v>90</v>
      </c>
      <c r="E10836" t="s">
        <v>130</v>
      </c>
      <c r="F10836" s="2" t="str">
        <f>HYPERLINK("http://www.otzar.org/book.asp?629831","הדרכה מעשית לתקיעת שופר")</f>
        <v>הדרכה מעשית לתקיעת שופר</v>
      </c>
    </row>
    <row r="10837" spans="1:6" x14ac:dyDescent="0.2">
      <c r="A10837" t="s">
        <v>18645</v>
      </c>
      <c r="B10837" t="s">
        <v>18646</v>
      </c>
      <c r="C10837" t="s">
        <v>189</v>
      </c>
      <c r="D10837" t="s">
        <v>14</v>
      </c>
      <c r="E10837" t="s">
        <v>241</v>
      </c>
      <c r="F10837" s="2" t="str">
        <f>HYPERLINK("http://www.otzar.org/book.asp?25101","הדרכה קצרצרה לבחורים")</f>
        <v>הדרכה קצרצרה לבחורים</v>
      </c>
    </row>
    <row r="10838" spans="1:6" x14ac:dyDescent="0.2">
      <c r="A10838" t="s">
        <v>18647</v>
      </c>
      <c r="B10838" t="s">
        <v>18648</v>
      </c>
      <c r="C10838" t="s">
        <v>151</v>
      </c>
      <c r="D10838" t="s">
        <v>14</v>
      </c>
      <c r="E10838" t="s">
        <v>104</v>
      </c>
      <c r="F10838" s="2" t="str">
        <f>HYPERLINK("http://www.otzar.org/book.asp?629378","הדרכות וצוואות שפתי צדיק")</f>
        <v>הדרכות וצוואות שפתי צדיק</v>
      </c>
    </row>
    <row r="10839" spans="1:6" x14ac:dyDescent="0.2">
      <c r="A10839" t="s">
        <v>18649</v>
      </c>
      <c r="B10839" t="s">
        <v>18650</v>
      </c>
      <c r="C10839" t="s">
        <v>129</v>
      </c>
      <c r="D10839" t="s">
        <v>412</v>
      </c>
      <c r="E10839" t="s">
        <v>213</v>
      </c>
      <c r="F10839" s="2" t="str">
        <f>HYPERLINK("http://www.otzar.org/book.asp?83836","הדרכות ישרות - ענינים")</f>
        <v>הדרכות ישרות - ענינים</v>
      </c>
    </row>
    <row r="10840" spans="1:6" x14ac:dyDescent="0.2">
      <c r="A10840" t="s">
        <v>18651</v>
      </c>
      <c r="B10840" t="s">
        <v>6987</v>
      </c>
      <c r="C10840" t="s">
        <v>90</v>
      </c>
      <c r="D10840" t="s">
        <v>20</v>
      </c>
      <c r="E10840" t="s">
        <v>104</v>
      </c>
      <c r="F10840" s="2" t="str">
        <f>HYPERLINK("http://www.otzar.org/book.asp?606872","הדרן בענין דבר הבטל ע""י עצמו")</f>
        <v>הדרן בענין דבר הבטל ע"י עצמו</v>
      </c>
    </row>
    <row r="10841" spans="1:6" x14ac:dyDescent="0.2">
      <c r="A10841" t="s">
        <v>18652</v>
      </c>
      <c r="B10841" t="s">
        <v>12338</v>
      </c>
      <c r="C10841" t="s">
        <v>411</v>
      </c>
      <c r="D10841" t="s">
        <v>21</v>
      </c>
      <c r="E10841" t="s">
        <v>15</v>
      </c>
      <c r="F10841" s="2" t="str">
        <f>HYPERLINK("http://www.otzar.org/book.asp?197420","הדרן עלך בהלכה ובאגדה")</f>
        <v>הדרן עלך בהלכה ובאגדה</v>
      </c>
    </row>
    <row r="10842" spans="1:6" x14ac:dyDescent="0.2">
      <c r="A10842" t="s">
        <v>18653</v>
      </c>
      <c r="B10842" t="s">
        <v>12596</v>
      </c>
      <c r="C10842" t="s">
        <v>624</v>
      </c>
      <c r="D10842" t="s">
        <v>14</v>
      </c>
      <c r="E10842" t="s">
        <v>104</v>
      </c>
      <c r="F10842" s="2" t="str">
        <f>HYPERLINK("http://www.otzar.org/book.asp?61761","הדרן עלך")</f>
        <v>הדרן עלך</v>
      </c>
    </row>
    <row r="10843" spans="1:6" x14ac:dyDescent="0.2">
      <c r="A10843" t="s">
        <v>18653</v>
      </c>
      <c r="B10843" t="s">
        <v>14088</v>
      </c>
      <c r="C10843" t="s">
        <v>366</v>
      </c>
      <c r="D10843" t="s">
        <v>52</v>
      </c>
      <c r="F10843" s="2" t="str">
        <f>HYPERLINK("http://www.otzar.org/book.asp?607608","הדרן עלך")</f>
        <v>הדרן עלך</v>
      </c>
    </row>
    <row r="10844" spans="1:6" x14ac:dyDescent="0.2">
      <c r="A10844" t="s">
        <v>18653</v>
      </c>
      <c r="B10844" t="s">
        <v>13899</v>
      </c>
      <c r="C10844" t="s">
        <v>286</v>
      </c>
      <c r="D10844" t="s">
        <v>18654</v>
      </c>
      <c r="E10844" t="s">
        <v>234</v>
      </c>
      <c r="F10844" s="2" t="str">
        <f>HYPERLINK("http://www.otzar.org/book.asp?104821","הדרן עלך")</f>
        <v>הדרן עלך</v>
      </c>
    </row>
    <row r="10845" spans="1:6" x14ac:dyDescent="0.2">
      <c r="A10845" t="s">
        <v>18655</v>
      </c>
      <c r="B10845" t="s">
        <v>9549</v>
      </c>
      <c r="C10845" t="s">
        <v>180</v>
      </c>
      <c r="D10845" t="s">
        <v>260</v>
      </c>
      <c r="E10845" t="s">
        <v>234</v>
      </c>
      <c r="F10845" s="2" t="str">
        <f>HYPERLINK("http://www.otzar.org/book.asp?156795","הדרני אשר")</f>
        <v>הדרני אשר</v>
      </c>
    </row>
    <row r="10846" spans="1:6" x14ac:dyDescent="0.2">
      <c r="A10846" t="s">
        <v>18656</v>
      </c>
      <c r="B10846" t="s">
        <v>12568</v>
      </c>
      <c r="C10846" t="s">
        <v>20</v>
      </c>
      <c r="D10846" t="s">
        <v>21</v>
      </c>
      <c r="E10846" t="s">
        <v>234</v>
      </c>
      <c r="F10846" s="2" t="str">
        <f>HYPERLINK("http://www.otzar.org/book.asp?199355","הדרנים לש""ס")</f>
        <v>הדרנים לש"ס</v>
      </c>
    </row>
    <row r="10847" spans="1:6" x14ac:dyDescent="0.2">
      <c r="A10847" t="s">
        <v>18657</v>
      </c>
      <c r="B10847" t="s">
        <v>18658</v>
      </c>
      <c r="C10847" t="s">
        <v>454</v>
      </c>
      <c r="D10847" t="s">
        <v>52</v>
      </c>
      <c r="E10847" t="s">
        <v>104</v>
      </c>
      <c r="F10847" s="2" t="str">
        <f>HYPERLINK("http://www.otzar.org/book.asp?62973","הדרש והמדרש")</f>
        <v>הדרש והמדרש</v>
      </c>
    </row>
    <row r="10848" spans="1:6" x14ac:dyDescent="0.2">
      <c r="A10848" t="s">
        <v>18659</v>
      </c>
      <c r="B10848" t="s">
        <v>789</v>
      </c>
      <c r="C10848" t="s">
        <v>18660</v>
      </c>
      <c r="D10848" t="s">
        <v>691</v>
      </c>
      <c r="E10848" t="s">
        <v>158</v>
      </c>
      <c r="F10848" s="2" t="str">
        <f>HYPERLINK("http://www.otzar.org/book.asp?105375","הדרש והעיון - 6 כר'")</f>
        <v>הדרש והעיון - 6 כר'</v>
      </c>
    </row>
    <row r="10849" spans="1:6" x14ac:dyDescent="0.2">
      <c r="A10849" t="s">
        <v>18661</v>
      </c>
      <c r="B10849" t="s">
        <v>18662</v>
      </c>
      <c r="C10849" t="s">
        <v>1062</v>
      </c>
      <c r="D10849" t="s">
        <v>9</v>
      </c>
      <c r="E10849" t="s">
        <v>701</v>
      </c>
      <c r="F10849" s="2" t="str">
        <f>HYPERLINK("http://www.otzar.org/book.asp?51336","הדרש והרעיון")</f>
        <v>הדרש והרעיון</v>
      </c>
    </row>
    <row r="10850" spans="1:6" x14ac:dyDescent="0.2">
      <c r="A10850" t="s">
        <v>18663</v>
      </c>
      <c r="B10850" t="s">
        <v>18664</v>
      </c>
      <c r="C10850" t="s">
        <v>189</v>
      </c>
      <c r="D10850" t="s">
        <v>14</v>
      </c>
      <c r="E10850" t="s">
        <v>2088</v>
      </c>
      <c r="F10850" s="2" t="str">
        <f>HYPERLINK("http://www.otzar.org/book.asp?171227","הדרת אהרן")</f>
        <v>הדרת אהרן</v>
      </c>
    </row>
    <row r="10851" spans="1:6" x14ac:dyDescent="0.2">
      <c r="A10851" t="s">
        <v>18665</v>
      </c>
      <c r="B10851" t="s">
        <v>9866</v>
      </c>
      <c r="C10851" t="s">
        <v>124</v>
      </c>
      <c r="D10851" t="s">
        <v>14</v>
      </c>
      <c r="E10851" t="s">
        <v>144</v>
      </c>
      <c r="F10851" s="2" t="str">
        <f>HYPERLINK("http://www.otzar.org/book.asp?10747","הדרת אליהו")</f>
        <v>הדרת אליהו</v>
      </c>
    </row>
    <row r="10852" spans="1:6" x14ac:dyDescent="0.2">
      <c r="A10852" t="s">
        <v>18666</v>
      </c>
      <c r="B10852" t="s">
        <v>13295</v>
      </c>
      <c r="C10852" t="s">
        <v>989</v>
      </c>
      <c r="D10852" t="s">
        <v>216</v>
      </c>
      <c r="E10852" t="s">
        <v>234</v>
      </c>
      <c r="F10852" s="2" t="str">
        <f>HYPERLINK("http://www.otzar.org/book.asp?156773","הדרת אפרים - 2 כר'")</f>
        <v>הדרת אפרים - 2 כר'</v>
      </c>
    </row>
    <row r="10853" spans="1:6" x14ac:dyDescent="0.2">
      <c r="A10853" t="s">
        <v>18667</v>
      </c>
      <c r="B10853" t="s">
        <v>18668</v>
      </c>
      <c r="C10853" t="s">
        <v>547</v>
      </c>
      <c r="D10853" t="s">
        <v>283</v>
      </c>
      <c r="E10853" t="s">
        <v>674</v>
      </c>
      <c r="F10853" s="2" t="str">
        <f>HYPERLINK("http://www.otzar.org/book.asp?255","הדרת בנימין")</f>
        <v>הדרת בנימין</v>
      </c>
    </row>
    <row r="10854" spans="1:6" x14ac:dyDescent="0.2">
      <c r="A10854" t="s">
        <v>18669</v>
      </c>
      <c r="B10854" t="s">
        <v>5281</v>
      </c>
      <c r="C10854" t="s">
        <v>129</v>
      </c>
      <c r="D10854" t="s">
        <v>14</v>
      </c>
      <c r="E10854" t="s">
        <v>15</v>
      </c>
      <c r="F10854" s="2" t="str">
        <f>HYPERLINK("http://www.otzar.org/book.asp?149454","הדרת הארץ")</f>
        <v>הדרת הארץ</v>
      </c>
    </row>
    <row r="10855" spans="1:6" x14ac:dyDescent="0.2">
      <c r="A10855" t="s">
        <v>18670</v>
      </c>
      <c r="B10855" t="s">
        <v>18671</v>
      </c>
      <c r="C10855" t="s">
        <v>103</v>
      </c>
      <c r="D10855" t="s">
        <v>21</v>
      </c>
      <c r="E10855" t="s">
        <v>241</v>
      </c>
      <c r="F10855" s="2" t="str">
        <f>HYPERLINK("http://www.otzar.org/book.asp?606936","הדרת המלך")</f>
        <v>הדרת המלך</v>
      </c>
    </row>
    <row r="10856" spans="1:6" x14ac:dyDescent="0.2">
      <c r="A10856" t="s">
        <v>18672</v>
      </c>
      <c r="B10856" t="s">
        <v>686</v>
      </c>
      <c r="C10856" t="s">
        <v>68</v>
      </c>
      <c r="D10856" t="s">
        <v>52</v>
      </c>
      <c r="E10856" t="s">
        <v>104</v>
      </c>
      <c r="F10856" s="2" t="str">
        <f>HYPERLINK("http://www.otzar.org/book.asp?172427","הדרת זקנים")</f>
        <v>הדרת זקנים</v>
      </c>
    </row>
    <row r="10857" spans="1:6" x14ac:dyDescent="0.2">
      <c r="A10857" t="s">
        <v>18672</v>
      </c>
      <c r="B10857" t="s">
        <v>18673</v>
      </c>
      <c r="C10857" t="s">
        <v>1166</v>
      </c>
      <c r="D10857" t="s">
        <v>592</v>
      </c>
      <c r="F10857" s="2" t="str">
        <f>HYPERLINK("http://www.otzar.org/book.asp?613246","הדרת זקנים")</f>
        <v>הדרת זקנים</v>
      </c>
    </row>
    <row r="10858" spans="1:6" x14ac:dyDescent="0.2">
      <c r="A10858" t="s">
        <v>18674</v>
      </c>
      <c r="B10858" t="s">
        <v>18675</v>
      </c>
      <c r="C10858" t="s">
        <v>313</v>
      </c>
      <c r="D10858" t="s">
        <v>2285</v>
      </c>
      <c r="E10858" t="s">
        <v>144</v>
      </c>
      <c r="F10858" s="2" t="str">
        <f>HYPERLINK("http://www.otzar.org/book.asp?188864","הדרת זקנים - 3 כר'")</f>
        <v>הדרת זקנים - 3 כר'</v>
      </c>
    </row>
    <row r="10859" spans="1:6" x14ac:dyDescent="0.2">
      <c r="A10859" t="s">
        <v>18672</v>
      </c>
      <c r="B10859" t="s">
        <v>18676</v>
      </c>
      <c r="C10859" t="s">
        <v>156</v>
      </c>
      <c r="D10859" t="s">
        <v>283</v>
      </c>
      <c r="E10859" t="s">
        <v>119</v>
      </c>
      <c r="F10859" s="2" t="str">
        <f>HYPERLINK("http://www.otzar.org/book.asp?106437","הדרת זקנים")</f>
        <v>הדרת זקנים</v>
      </c>
    </row>
    <row r="10860" spans="1:6" x14ac:dyDescent="0.2">
      <c r="A10860" t="s">
        <v>18672</v>
      </c>
      <c r="B10860" t="s">
        <v>18677</v>
      </c>
      <c r="C10860" t="s">
        <v>5257</v>
      </c>
      <c r="D10860" t="s">
        <v>18678</v>
      </c>
      <c r="E10860" t="s">
        <v>933</v>
      </c>
      <c r="F10860" s="2" t="str">
        <f>HYPERLINK("http://www.otzar.org/book.asp?51339","הדרת זקנים")</f>
        <v>הדרת זקנים</v>
      </c>
    </row>
    <row r="10861" spans="1:6" x14ac:dyDescent="0.2">
      <c r="A10861" t="s">
        <v>18672</v>
      </c>
      <c r="B10861" t="s">
        <v>18679</v>
      </c>
      <c r="C10861" t="s">
        <v>286</v>
      </c>
      <c r="D10861" t="s">
        <v>212</v>
      </c>
      <c r="E10861" t="s">
        <v>3755</v>
      </c>
      <c r="F10861" s="2" t="str">
        <f>HYPERLINK("http://www.otzar.org/book.asp?11737","הדרת זקנים")</f>
        <v>הדרת זקנים</v>
      </c>
    </row>
    <row r="10862" spans="1:6" x14ac:dyDescent="0.2">
      <c r="A10862" t="s">
        <v>18680</v>
      </c>
      <c r="B10862" t="s">
        <v>18681</v>
      </c>
      <c r="C10862" t="s">
        <v>37</v>
      </c>
      <c r="D10862" t="s">
        <v>3859</v>
      </c>
      <c r="E10862" t="s">
        <v>144</v>
      </c>
      <c r="F10862" s="2" t="str">
        <f>HYPERLINK("http://www.otzar.org/book.asp?198625","הדרת חולין")</f>
        <v>הדרת חולין</v>
      </c>
    </row>
    <row r="10863" spans="1:6" x14ac:dyDescent="0.2">
      <c r="A10863" t="s">
        <v>18682</v>
      </c>
      <c r="B10863" t="s">
        <v>18683</v>
      </c>
      <c r="C10863" t="s">
        <v>725</v>
      </c>
      <c r="D10863" t="s">
        <v>27</v>
      </c>
      <c r="E10863" t="s">
        <v>2879</v>
      </c>
      <c r="F10863" s="2" t="str">
        <f>HYPERLINK("http://www.otzar.org/book.asp?5647","הדרת חיים &lt;צרור החיים&gt;")</f>
        <v>הדרת חיים &lt;צרור החיים&gt;</v>
      </c>
    </row>
    <row r="10864" spans="1:6" x14ac:dyDescent="0.2">
      <c r="A10864" t="s">
        <v>18684</v>
      </c>
      <c r="B10864" t="s">
        <v>776</v>
      </c>
      <c r="C10864" t="s">
        <v>433</v>
      </c>
      <c r="D10864" t="s">
        <v>27</v>
      </c>
      <c r="E10864" t="s">
        <v>104</v>
      </c>
      <c r="F10864" s="2" t="str">
        <f>HYPERLINK("http://www.otzar.org/book.asp?146793","הדרת חן")</f>
        <v>הדרת חן</v>
      </c>
    </row>
    <row r="10865" spans="1:6" x14ac:dyDescent="0.2">
      <c r="A10865" t="s">
        <v>18685</v>
      </c>
      <c r="B10865" t="s">
        <v>5967</v>
      </c>
      <c r="C10865" t="s">
        <v>20</v>
      </c>
      <c r="D10865" t="s">
        <v>90</v>
      </c>
      <c r="E10865" t="s">
        <v>234</v>
      </c>
      <c r="F10865" s="2" t="str">
        <f>HYPERLINK("http://www.otzar.org/book.asp?173285","הדרת יוסף צבי")</f>
        <v>הדרת יוסף צבי</v>
      </c>
    </row>
    <row r="10866" spans="1:6" x14ac:dyDescent="0.2">
      <c r="A10866" t="s">
        <v>18686</v>
      </c>
      <c r="B10866" t="s">
        <v>18687</v>
      </c>
      <c r="C10866" t="s">
        <v>777</v>
      </c>
      <c r="D10866" t="s">
        <v>9</v>
      </c>
      <c r="E10866" t="s">
        <v>930</v>
      </c>
      <c r="F10866" s="2" t="str">
        <f>HYPERLINK("http://www.otzar.org/book.asp?51338","הדרת יוסף")</f>
        <v>הדרת יוסף</v>
      </c>
    </row>
    <row r="10867" spans="1:6" x14ac:dyDescent="0.2">
      <c r="A10867" t="s">
        <v>18688</v>
      </c>
      <c r="B10867" t="s">
        <v>18689</v>
      </c>
      <c r="C10867" t="s">
        <v>13</v>
      </c>
      <c r="D10867" t="s">
        <v>52</v>
      </c>
      <c r="E10867" t="s">
        <v>144</v>
      </c>
      <c r="F10867" s="2" t="str">
        <f>HYPERLINK("http://www.otzar.org/book.asp?61838","הדרת יוסף - נזיר")</f>
        <v>הדרת יוסף - נזיר</v>
      </c>
    </row>
    <row r="10868" spans="1:6" x14ac:dyDescent="0.2">
      <c r="A10868" t="s">
        <v>18686</v>
      </c>
      <c r="B10868" t="s">
        <v>18690</v>
      </c>
      <c r="C10868" t="s">
        <v>956</v>
      </c>
      <c r="D10868" t="s">
        <v>412</v>
      </c>
      <c r="E10868" t="s">
        <v>18691</v>
      </c>
      <c r="F10868" s="2" t="str">
        <f>HYPERLINK("http://www.otzar.org/book.asp?169322","הדרת יוסף")</f>
        <v>הדרת יוסף</v>
      </c>
    </row>
    <row r="10869" spans="1:6" x14ac:dyDescent="0.2">
      <c r="A10869" t="s">
        <v>18692</v>
      </c>
      <c r="B10869" t="s">
        <v>18693</v>
      </c>
      <c r="C10869" t="s">
        <v>151</v>
      </c>
      <c r="D10869" t="s">
        <v>21</v>
      </c>
      <c r="E10869" t="s">
        <v>234</v>
      </c>
      <c r="F10869" s="2" t="str">
        <f>HYPERLINK("http://www.otzar.org/book.asp?623730","הדרת ישראל - 3 כר'")</f>
        <v>הדרת ישראל - 3 כר'</v>
      </c>
    </row>
    <row r="10870" spans="1:6" x14ac:dyDescent="0.2">
      <c r="A10870" t="s">
        <v>18694</v>
      </c>
      <c r="B10870" t="s">
        <v>4050</v>
      </c>
      <c r="C10870" t="s">
        <v>2870</v>
      </c>
      <c r="D10870" t="s">
        <v>283</v>
      </c>
      <c r="E10870" t="s">
        <v>15</v>
      </c>
      <c r="F10870" s="2" t="str">
        <f>HYPERLINK("http://www.otzar.org/book.asp?25595","הדרת ישראל")</f>
        <v>הדרת ישראל</v>
      </c>
    </row>
    <row r="10871" spans="1:6" x14ac:dyDescent="0.2">
      <c r="A10871" t="s">
        <v>18694</v>
      </c>
      <c r="B10871" t="s">
        <v>18695</v>
      </c>
      <c r="C10871" t="s">
        <v>356</v>
      </c>
      <c r="D10871" t="s">
        <v>52</v>
      </c>
      <c r="E10871" t="s">
        <v>5712</v>
      </c>
      <c r="F10871" s="2" t="str">
        <f>HYPERLINK("http://www.otzar.org/book.asp?155359","הדרת ישראל")</f>
        <v>הדרת ישראל</v>
      </c>
    </row>
    <row r="10872" spans="1:6" x14ac:dyDescent="0.2">
      <c r="A10872" t="s">
        <v>18696</v>
      </c>
      <c r="B10872" t="s">
        <v>15040</v>
      </c>
      <c r="C10872" t="s">
        <v>18697</v>
      </c>
      <c r="D10872" t="s">
        <v>1023</v>
      </c>
      <c r="E10872" t="s">
        <v>399</v>
      </c>
      <c r="F10872" s="2" t="str">
        <f>HYPERLINK("http://www.otzar.org/book.asp?100157","הדרת מלך - 2 כר'")</f>
        <v>הדרת מלך - 2 כר'</v>
      </c>
    </row>
    <row r="10873" spans="1:6" x14ac:dyDescent="0.2">
      <c r="A10873" t="s">
        <v>18698</v>
      </c>
      <c r="B10873" t="s">
        <v>686</v>
      </c>
      <c r="C10873" t="s">
        <v>767</v>
      </c>
      <c r="D10873" t="s">
        <v>52</v>
      </c>
      <c r="E10873" t="s">
        <v>104</v>
      </c>
      <c r="F10873" s="2" t="str">
        <f>HYPERLINK("http://www.otzar.org/book.asp?189717","הדרת מלך")</f>
        <v>הדרת מלך</v>
      </c>
    </row>
    <row r="10874" spans="1:6" x14ac:dyDescent="0.2">
      <c r="A10874" t="s">
        <v>18699</v>
      </c>
      <c r="B10874" t="s">
        <v>6545</v>
      </c>
      <c r="C10874" t="s">
        <v>46</v>
      </c>
      <c r="D10874" t="s">
        <v>986</v>
      </c>
      <c r="E10874" t="s">
        <v>2840</v>
      </c>
      <c r="F10874" s="2" t="str">
        <f>HYPERLINK("http://www.otzar.org/book.asp?51337","הדרת מלך - א")</f>
        <v>הדרת מלך - א</v>
      </c>
    </row>
    <row r="10875" spans="1:6" x14ac:dyDescent="0.2">
      <c r="A10875" t="s">
        <v>18699</v>
      </c>
      <c r="B10875" t="s">
        <v>7306</v>
      </c>
      <c r="C10875" t="s">
        <v>585</v>
      </c>
      <c r="D10875" t="s">
        <v>14</v>
      </c>
      <c r="E10875" t="s">
        <v>15</v>
      </c>
      <c r="F10875" s="2" t="str">
        <f>HYPERLINK("http://www.otzar.org/book.asp?16415","הדרת מלך - א")</f>
        <v>הדרת מלך - א</v>
      </c>
    </row>
    <row r="10876" spans="1:6" x14ac:dyDescent="0.2">
      <c r="A10876" t="s">
        <v>18700</v>
      </c>
      <c r="B10876" t="s">
        <v>10750</v>
      </c>
      <c r="C10876" t="s">
        <v>189</v>
      </c>
      <c r="D10876" t="s">
        <v>1180</v>
      </c>
      <c r="E10876" t="s">
        <v>658</v>
      </c>
      <c r="F10876" s="2" t="str">
        <f>HYPERLINK("http://www.otzar.org/book.asp?51457","הדרת מלך - ראש השנה")</f>
        <v>הדרת מלך - ראש השנה</v>
      </c>
    </row>
    <row r="10877" spans="1:6" x14ac:dyDescent="0.2">
      <c r="A10877" t="s">
        <v>18701</v>
      </c>
      <c r="B10877" t="s">
        <v>18702</v>
      </c>
      <c r="C10877" t="s">
        <v>1096</v>
      </c>
      <c r="D10877" t="s">
        <v>56</v>
      </c>
      <c r="E10877" t="s">
        <v>234</v>
      </c>
      <c r="F10877" s="2" t="str">
        <f>HYPERLINK("http://www.otzar.org/book.asp?23328","הדרת מרדכי - 2 כר'")</f>
        <v>הדרת מרדכי - 2 כר'</v>
      </c>
    </row>
    <row r="10878" spans="1:6" x14ac:dyDescent="0.2">
      <c r="A10878" t="s">
        <v>18703</v>
      </c>
      <c r="B10878" t="s">
        <v>441</v>
      </c>
      <c r="C10878" t="s">
        <v>1470</v>
      </c>
      <c r="D10878" t="s">
        <v>9</v>
      </c>
      <c r="E10878" t="s">
        <v>234</v>
      </c>
      <c r="F10878" s="2" t="str">
        <f>HYPERLINK("http://www.otzar.org/book.asp?100973","הדרת מרדכי")</f>
        <v>הדרת מרדכי</v>
      </c>
    </row>
    <row r="10879" spans="1:6" x14ac:dyDescent="0.2">
      <c r="A10879" t="s">
        <v>18704</v>
      </c>
      <c r="B10879" t="s">
        <v>18705</v>
      </c>
      <c r="C10879" t="s">
        <v>609</v>
      </c>
      <c r="D10879" t="s">
        <v>56</v>
      </c>
      <c r="E10879" t="s">
        <v>933</v>
      </c>
      <c r="F10879" s="2" t="str">
        <f>HYPERLINK("http://www.otzar.org/book.asp?141122","הדרת מרדכי - א")</f>
        <v>הדרת מרדכי - א</v>
      </c>
    </row>
    <row r="10880" spans="1:6" x14ac:dyDescent="0.2">
      <c r="A10880" t="s">
        <v>18706</v>
      </c>
      <c r="B10880" t="s">
        <v>18707</v>
      </c>
      <c r="C10880" t="s">
        <v>767</v>
      </c>
      <c r="D10880" t="s">
        <v>14</v>
      </c>
      <c r="E10880" t="s">
        <v>15</v>
      </c>
      <c r="F10880" s="2" t="str">
        <f>HYPERLINK("http://www.otzar.org/book.asp?63081","הדרת פנחס")</f>
        <v>הדרת פנחס</v>
      </c>
    </row>
    <row r="10881" spans="1:6" x14ac:dyDescent="0.2">
      <c r="A10881" t="s">
        <v>18708</v>
      </c>
      <c r="B10881" t="s">
        <v>15040</v>
      </c>
      <c r="C10881" t="s">
        <v>7384</v>
      </c>
      <c r="D10881" t="s">
        <v>18709</v>
      </c>
      <c r="E10881" t="s">
        <v>399</v>
      </c>
      <c r="F10881" s="2" t="str">
        <f>HYPERLINK("http://www.otzar.org/book.asp?25638","הדרת פני מלך")</f>
        <v>הדרת פני מלך</v>
      </c>
    </row>
    <row r="10882" spans="1:6" x14ac:dyDescent="0.2">
      <c r="A10882" t="s">
        <v>18710</v>
      </c>
      <c r="B10882" t="s">
        <v>18711</v>
      </c>
      <c r="C10882" t="s">
        <v>129</v>
      </c>
      <c r="D10882" t="s">
        <v>412</v>
      </c>
      <c r="E10882" t="s">
        <v>393</v>
      </c>
      <c r="F10882" s="2" t="str">
        <f>HYPERLINK("http://www.otzar.org/book.asp?141484","הדרת פנים זקן - 4 כר'")</f>
        <v>הדרת פנים זקן - 4 כר'</v>
      </c>
    </row>
    <row r="10883" spans="1:6" x14ac:dyDescent="0.2">
      <c r="A10883" t="s">
        <v>18712</v>
      </c>
      <c r="B10883" t="s">
        <v>18713</v>
      </c>
      <c r="C10883" t="s">
        <v>473</v>
      </c>
      <c r="D10883" t="s">
        <v>225</v>
      </c>
      <c r="E10883" t="s">
        <v>5580</v>
      </c>
      <c r="F10883" s="2" t="str">
        <f>HYPERLINK("http://www.otzar.org/book.asp?166812","הדרת צבי")</f>
        <v>הדרת צבי</v>
      </c>
    </row>
    <row r="10884" spans="1:6" x14ac:dyDescent="0.2">
      <c r="A10884" t="s">
        <v>18712</v>
      </c>
      <c r="B10884" t="s">
        <v>18714</v>
      </c>
      <c r="C10884" t="s">
        <v>37</v>
      </c>
      <c r="D10884" t="s">
        <v>90</v>
      </c>
      <c r="E10884" t="s">
        <v>144</v>
      </c>
      <c r="F10884" s="2" t="str">
        <f>HYPERLINK("http://www.otzar.org/book.asp?180763","הדרת צבי")</f>
        <v>הדרת צבי</v>
      </c>
    </row>
    <row r="10885" spans="1:6" x14ac:dyDescent="0.2">
      <c r="A10885" t="s">
        <v>18712</v>
      </c>
      <c r="B10885" t="s">
        <v>13387</v>
      </c>
      <c r="C10885" t="s">
        <v>496</v>
      </c>
      <c r="D10885" t="s">
        <v>756</v>
      </c>
      <c r="E10885" t="s">
        <v>733</v>
      </c>
      <c r="F10885" s="2" t="str">
        <f>HYPERLINK("http://www.otzar.org/book.asp?17652","הדרת צבי")</f>
        <v>הדרת צבי</v>
      </c>
    </row>
    <row r="10886" spans="1:6" x14ac:dyDescent="0.2">
      <c r="A10886" t="s">
        <v>18715</v>
      </c>
      <c r="B10886" t="s">
        <v>1724</v>
      </c>
      <c r="C10886" t="s">
        <v>1278</v>
      </c>
      <c r="D10886" t="s">
        <v>1538</v>
      </c>
      <c r="E10886" t="s">
        <v>18716</v>
      </c>
      <c r="F10886" s="2" t="str">
        <f>HYPERLINK("http://www.otzar.org/book.asp?103947","הדרת קדש &lt;אדם שכלי&gt;")</f>
        <v>הדרת קדש &lt;אדם שכלי&gt;</v>
      </c>
    </row>
    <row r="10887" spans="1:6" x14ac:dyDescent="0.2">
      <c r="A10887" t="s">
        <v>18717</v>
      </c>
      <c r="B10887" t="s">
        <v>7306</v>
      </c>
      <c r="C10887" t="s">
        <v>1208</v>
      </c>
      <c r="D10887" t="s">
        <v>14</v>
      </c>
      <c r="E10887" t="s">
        <v>104</v>
      </c>
      <c r="F10887" s="2" t="str">
        <f>HYPERLINK("http://www.otzar.org/book.asp?169163","הדרת קדש - 5 כר'")</f>
        <v>הדרת קדש - 5 כר'</v>
      </c>
    </row>
    <row r="10888" spans="1:6" x14ac:dyDescent="0.2">
      <c r="A10888" t="s">
        <v>18718</v>
      </c>
      <c r="B10888" t="s">
        <v>1724</v>
      </c>
      <c r="C10888" t="s">
        <v>2269</v>
      </c>
      <c r="D10888" t="s">
        <v>60</v>
      </c>
      <c r="E10888" t="s">
        <v>241</v>
      </c>
      <c r="F10888" s="2" t="str">
        <f>HYPERLINK("http://www.otzar.org/book.asp?152272","הדרת קדש")</f>
        <v>הדרת קדש</v>
      </c>
    </row>
    <row r="10889" spans="1:6" x14ac:dyDescent="0.2">
      <c r="A10889" t="s">
        <v>18719</v>
      </c>
      <c r="B10889" t="s">
        <v>18720</v>
      </c>
      <c r="C10889" t="s">
        <v>20</v>
      </c>
      <c r="D10889" t="s">
        <v>14</v>
      </c>
      <c r="E10889" t="s">
        <v>119</v>
      </c>
      <c r="F10889" s="2" t="str">
        <f>HYPERLINK("http://www.otzar.org/book.asp?190000","הדרת קודש &lt;עם הערות הגרמ""א פריינד&gt;")</f>
        <v>הדרת קודש &lt;עם הערות הגרמ"א פריינד&gt;</v>
      </c>
    </row>
    <row r="10890" spans="1:6" x14ac:dyDescent="0.2">
      <c r="A10890" t="s">
        <v>18721</v>
      </c>
      <c r="B10890" t="s">
        <v>18722</v>
      </c>
      <c r="C10890" t="s">
        <v>2644</v>
      </c>
      <c r="D10890" t="s">
        <v>18723</v>
      </c>
      <c r="E10890" t="s">
        <v>463</v>
      </c>
      <c r="F10890" s="2" t="str">
        <f>HYPERLINK("http://www.otzar.org/book.asp?149686","הדרת קודש")</f>
        <v>הדרת קודש</v>
      </c>
    </row>
    <row r="10891" spans="1:6" x14ac:dyDescent="0.2">
      <c r="A10891" t="s">
        <v>18721</v>
      </c>
      <c r="B10891" t="s">
        <v>18724</v>
      </c>
      <c r="C10891" t="s">
        <v>492</v>
      </c>
      <c r="D10891" t="s">
        <v>379</v>
      </c>
      <c r="E10891" t="s">
        <v>140</v>
      </c>
      <c r="F10891" s="2" t="str">
        <f>HYPERLINK("http://www.otzar.org/book.asp?17653","הדרת קודש")</f>
        <v>הדרת קודש</v>
      </c>
    </row>
    <row r="10892" spans="1:6" x14ac:dyDescent="0.2">
      <c r="A10892" t="s">
        <v>18725</v>
      </c>
      <c r="B10892" t="s">
        <v>18726</v>
      </c>
      <c r="C10892" t="s">
        <v>189</v>
      </c>
      <c r="D10892" t="s">
        <v>52</v>
      </c>
      <c r="E10892" t="s">
        <v>104</v>
      </c>
      <c r="F10892" s="2" t="str">
        <f>HYPERLINK("http://www.otzar.org/book.asp?60001","הדרת קודש - 3 כר'")</f>
        <v>הדרת קודש - 3 כר'</v>
      </c>
    </row>
    <row r="10893" spans="1:6" x14ac:dyDescent="0.2">
      <c r="A10893" t="s">
        <v>18721</v>
      </c>
      <c r="B10893" t="s">
        <v>18727</v>
      </c>
      <c r="C10893" t="s">
        <v>422</v>
      </c>
      <c r="D10893" t="s">
        <v>852</v>
      </c>
      <c r="E10893" t="s">
        <v>7754</v>
      </c>
      <c r="F10893" s="2" t="str">
        <f>HYPERLINK("http://www.otzar.org/book.asp?153487","הדרת קודש")</f>
        <v>הדרת קודש</v>
      </c>
    </row>
    <row r="10894" spans="1:6" x14ac:dyDescent="0.2">
      <c r="A10894" t="s">
        <v>18728</v>
      </c>
      <c r="B10894" t="s">
        <v>18729</v>
      </c>
      <c r="C10894" t="s">
        <v>3205</v>
      </c>
      <c r="D10894" t="s">
        <v>27</v>
      </c>
      <c r="E10894" t="s">
        <v>119</v>
      </c>
      <c r="F10894" s="2" t="str">
        <f>HYPERLINK("http://www.otzar.org/book.asp?149189","הדרת קודש - 2 כר'")</f>
        <v>הדרת קודש - 2 כר'</v>
      </c>
    </row>
    <row r="10895" spans="1:6" x14ac:dyDescent="0.2">
      <c r="A10895" t="s">
        <v>18721</v>
      </c>
      <c r="B10895" t="s">
        <v>18720</v>
      </c>
      <c r="C10895" t="s">
        <v>3205</v>
      </c>
      <c r="D10895" t="s">
        <v>14</v>
      </c>
      <c r="E10895" t="s">
        <v>119</v>
      </c>
      <c r="F10895" s="2" t="str">
        <f>HYPERLINK("http://www.otzar.org/book.asp?174549","הדרת קודש")</f>
        <v>הדרת קודש</v>
      </c>
    </row>
    <row r="10896" spans="1:6" x14ac:dyDescent="0.2">
      <c r="A10896" t="s">
        <v>18728</v>
      </c>
      <c r="B10896" t="s">
        <v>5281</v>
      </c>
      <c r="C10896" t="s">
        <v>51</v>
      </c>
      <c r="D10896" t="s">
        <v>14</v>
      </c>
      <c r="E10896" t="s">
        <v>15</v>
      </c>
      <c r="F10896" s="2" t="str">
        <f>HYPERLINK("http://www.otzar.org/book.asp?149458","הדרת קודש - 2 כר'")</f>
        <v>הדרת קודש - 2 כר'</v>
      </c>
    </row>
    <row r="10897" spans="1:6" x14ac:dyDescent="0.2">
      <c r="A10897" t="s">
        <v>18721</v>
      </c>
      <c r="B10897" t="s">
        <v>285</v>
      </c>
      <c r="C10897" t="s">
        <v>18730</v>
      </c>
      <c r="D10897" t="s">
        <v>2009</v>
      </c>
      <c r="E10897" t="s">
        <v>18731</v>
      </c>
      <c r="F10897" s="2" t="str">
        <f>HYPERLINK("http://www.otzar.org/book.asp?13045","הדרת קודש")</f>
        <v>הדרת קודש</v>
      </c>
    </row>
    <row r="10898" spans="1:6" x14ac:dyDescent="0.2">
      <c r="A10898" t="s">
        <v>18721</v>
      </c>
      <c r="B10898" t="s">
        <v>1724</v>
      </c>
      <c r="C10898" t="s">
        <v>445</v>
      </c>
      <c r="D10898" t="s">
        <v>283</v>
      </c>
      <c r="E10898" t="s">
        <v>3616</v>
      </c>
      <c r="F10898" s="2" t="str">
        <f>HYPERLINK("http://www.otzar.org/book.asp?100156","הדרת קודש")</f>
        <v>הדרת קודש</v>
      </c>
    </row>
    <row r="10899" spans="1:6" x14ac:dyDescent="0.2">
      <c r="A10899" t="s">
        <v>18732</v>
      </c>
      <c r="B10899" t="s">
        <v>18733</v>
      </c>
      <c r="C10899" t="s">
        <v>1954</v>
      </c>
      <c r="D10899" t="s">
        <v>9</v>
      </c>
      <c r="E10899" t="s">
        <v>8580</v>
      </c>
      <c r="F10899" s="2" t="str">
        <f>HYPERLINK("http://www.otzar.org/book.asp?51334","הדת והחיים")</f>
        <v>הדת והחיים</v>
      </c>
    </row>
    <row r="10900" spans="1:6" x14ac:dyDescent="0.2">
      <c r="A10900" t="s">
        <v>18734</v>
      </c>
      <c r="B10900" t="s">
        <v>18735</v>
      </c>
      <c r="C10900" t="s">
        <v>454</v>
      </c>
      <c r="D10900" t="s">
        <v>52</v>
      </c>
      <c r="E10900" t="s">
        <v>1157</v>
      </c>
      <c r="F10900" s="2" t="str">
        <f>HYPERLINK("http://www.otzar.org/book.asp?51103","ההגדה המדוייקת איש מצליח")</f>
        <v>ההגדה המדוייקת איש מצליח</v>
      </c>
    </row>
    <row r="10901" spans="1:6" x14ac:dyDescent="0.2">
      <c r="A10901" t="s">
        <v>18736</v>
      </c>
      <c r="B10901" t="s">
        <v>12124</v>
      </c>
      <c r="C10901" t="s">
        <v>26</v>
      </c>
      <c r="D10901" t="s">
        <v>139</v>
      </c>
      <c r="E10901" t="s">
        <v>246</v>
      </c>
      <c r="F10901" s="2" t="str">
        <f>HYPERLINK("http://www.otzar.org/book.asp?143428","ההגדה המצוירת - כתבי יד וספרי דפוס")</f>
        <v>ההגדה המצוירת - כתבי יד וספרי דפוס</v>
      </c>
    </row>
    <row r="10902" spans="1:6" x14ac:dyDescent="0.2">
      <c r="A10902" t="s">
        <v>18737</v>
      </c>
      <c r="B10902" t="s">
        <v>18738</v>
      </c>
      <c r="C10902" t="s">
        <v>5163</v>
      </c>
      <c r="D10902" t="s">
        <v>18739</v>
      </c>
      <c r="E10902" t="s">
        <v>246</v>
      </c>
      <c r="F10902" s="2" t="str">
        <f>HYPERLINK("http://www.otzar.org/book.asp?19288","ההגדה לליל שמורים")</f>
        <v>ההגדה לליל שמורים</v>
      </c>
    </row>
    <row r="10903" spans="1:6" x14ac:dyDescent="0.2">
      <c r="A10903" t="s">
        <v>18737</v>
      </c>
      <c r="B10903" t="s">
        <v>2620</v>
      </c>
      <c r="C10903" t="s">
        <v>4240</v>
      </c>
      <c r="D10903" t="s">
        <v>6801</v>
      </c>
      <c r="E10903" t="s">
        <v>246</v>
      </c>
      <c r="F10903" s="2" t="str">
        <f>HYPERLINK("http://www.otzar.org/book.asp?51346","ההגדה לליל שמורים")</f>
        <v>ההגדה לליל שמורים</v>
      </c>
    </row>
    <row r="10904" spans="1:6" x14ac:dyDescent="0.2">
      <c r="A10904" t="s">
        <v>18740</v>
      </c>
      <c r="B10904" t="s">
        <v>18741</v>
      </c>
      <c r="C10904" t="s">
        <v>176</v>
      </c>
      <c r="D10904" t="s">
        <v>14</v>
      </c>
      <c r="E10904" t="s">
        <v>234</v>
      </c>
      <c r="F10904" s="2" t="str">
        <f>HYPERLINK("http://www.otzar.org/book.asp?145088","ההדרנים על הש""ס")</f>
        <v>ההדרנים על הש"ס</v>
      </c>
    </row>
    <row r="10905" spans="1:6" x14ac:dyDescent="0.2">
      <c r="A10905" t="s">
        <v>18742</v>
      </c>
      <c r="B10905" t="s">
        <v>18570</v>
      </c>
      <c r="C10905" t="s">
        <v>23</v>
      </c>
      <c r="D10905" t="s">
        <v>21</v>
      </c>
      <c r="F10905" s="2" t="str">
        <f>HYPERLINK("http://www.otzar.org/book.asp?610577","ההוד וההדר")</f>
        <v>ההוד וההדר</v>
      </c>
    </row>
    <row r="10906" spans="1:6" x14ac:dyDescent="0.2">
      <c r="A10906" t="s">
        <v>18743</v>
      </c>
      <c r="B10906" t="s">
        <v>4606</v>
      </c>
      <c r="C10906" t="s">
        <v>1268</v>
      </c>
      <c r="D10906" t="s">
        <v>52</v>
      </c>
      <c r="E10906" t="s">
        <v>15</v>
      </c>
      <c r="F10906" s="2" t="str">
        <f>HYPERLINK("http://www.otzar.org/book.asp?619309","ההלכה במשפחה")</f>
        <v>ההלכה במשפחה</v>
      </c>
    </row>
    <row r="10907" spans="1:6" x14ac:dyDescent="0.2">
      <c r="A10907" t="s">
        <v>18744</v>
      </c>
      <c r="B10907" t="s">
        <v>18745</v>
      </c>
      <c r="C10907" t="s">
        <v>466</v>
      </c>
      <c r="D10907" t="s">
        <v>52</v>
      </c>
      <c r="E10907" t="s">
        <v>158</v>
      </c>
      <c r="F10907" s="2" t="str">
        <f>HYPERLINK("http://www.otzar.org/book.asp?619620","ההלכה שבפרשה")</f>
        <v>ההלכה שבפרשה</v>
      </c>
    </row>
    <row r="10908" spans="1:6" x14ac:dyDescent="0.2">
      <c r="A10908" t="s">
        <v>18746</v>
      </c>
      <c r="B10908" t="s">
        <v>18747</v>
      </c>
      <c r="C10908" t="s">
        <v>313</v>
      </c>
      <c r="D10908" t="s">
        <v>14</v>
      </c>
      <c r="E10908" t="s">
        <v>1164</v>
      </c>
      <c r="F10908" s="2" t="str">
        <f>HYPERLINK("http://www.otzar.org/book.asp?6205","ההלל בהקרבת קרבן פסח")</f>
        <v>ההלל בהקרבת קרבן פסח</v>
      </c>
    </row>
    <row r="10909" spans="1:6" x14ac:dyDescent="0.2">
      <c r="A10909" t="s">
        <v>18748</v>
      </c>
      <c r="B10909" t="s">
        <v>5634</v>
      </c>
      <c r="C10909" t="s">
        <v>133</v>
      </c>
      <c r="D10909" t="s">
        <v>52</v>
      </c>
      <c r="E10909" t="s">
        <v>241</v>
      </c>
      <c r="F10909" s="2" t="str">
        <f>HYPERLINK("http://www.otzar.org/book.asp?172948","ההנהגה בעת הזאת ע""פ השקפת התורה")</f>
        <v>ההנהגה בעת הזאת ע"פ השקפת התורה</v>
      </c>
    </row>
    <row r="10910" spans="1:6" x14ac:dyDescent="0.2">
      <c r="A10910" t="s">
        <v>18749</v>
      </c>
      <c r="B10910" t="s">
        <v>18750</v>
      </c>
      <c r="C10910" t="s">
        <v>13</v>
      </c>
      <c r="D10910" t="s">
        <v>52</v>
      </c>
      <c r="E10910" t="s">
        <v>15</v>
      </c>
      <c r="F10910" s="2" t="str">
        <f>HYPERLINK("http://www.otzar.org/book.asp?62972","ההנהגה בפירות שביעית")</f>
        <v>ההנהגה בפירות שביעית</v>
      </c>
    </row>
    <row r="10911" spans="1:6" x14ac:dyDescent="0.2">
      <c r="A10911" t="s">
        <v>18751</v>
      </c>
      <c r="B10911" t="s">
        <v>18752</v>
      </c>
      <c r="C10911" t="s">
        <v>989</v>
      </c>
      <c r="D10911" t="s">
        <v>14</v>
      </c>
      <c r="E10911" t="s">
        <v>15</v>
      </c>
      <c r="F10911" s="2" t="str">
        <f>HYPERLINK("http://www.otzar.org/book.asp?162282","ההפטרות של פרשת אחרי ופרשת קדושים - 2 כר'")</f>
        <v>ההפטרות של פרשת אחרי ופרשת קדושים - 2 כר'</v>
      </c>
    </row>
    <row r="10912" spans="1:6" x14ac:dyDescent="0.2">
      <c r="A10912" t="s">
        <v>18753</v>
      </c>
      <c r="B10912" t="s">
        <v>15789</v>
      </c>
      <c r="C10912" t="s">
        <v>433</v>
      </c>
      <c r="D10912" t="s">
        <v>9</v>
      </c>
      <c r="E10912" t="s">
        <v>18754</v>
      </c>
      <c r="F10912" s="2" t="str">
        <f>HYPERLINK("http://www.otzar.org/book.asp?100146","ההקדמה והפתיחה")</f>
        <v>ההקדמה והפתיחה</v>
      </c>
    </row>
    <row r="10913" spans="1:6" x14ac:dyDescent="0.2">
      <c r="A10913" t="s">
        <v>18755</v>
      </c>
      <c r="B10913" t="s">
        <v>18756</v>
      </c>
      <c r="C10913" t="s">
        <v>332</v>
      </c>
      <c r="D10913" t="s">
        <v>14</v>
      </c>
      <c r="E10913" t="s">
        <v>399</v>
      </c>
      <c r="F10913" s="2" t="str">
        <f>HYPERLINK("http://www.otzar.org/book.asp?11024","ההקדמות")</f>
        <v>ההקדמות</v>
      </c>
    </row>
    <row r="10914" spans="1:6" x14ac:dyDescent="0.2">
      <c r="A10914" t="s">
        <v>18757</v>
      </c>
      <c r="B10914" t="s">
        <v>18758</v>
      </c>
      <c r="C10914" t="s">
        <v>13</v>
      </c>
      <c r="D10914" t="s">
        <v>14</v>
      </c>
      <c r="E10914" t="s">
        <v>119</v>
      </c>
      <c r="F10914" s="2" t="str">
        <f>HYPERLINK("http://www.otzar.org/book.asp?606084","ההר הטוב הזה - תולדות רבי שלמה מן ההר")</f>
        <v>ההר הטוב הזה - תולדות רבי שלמה מן ההר</v>
      </c>
    </row>
    <row r="10915" spans="1:6" x14ac:dyDescent="0.2">
      <c r="A10915" t="s">
        <v>18759</v>
      </c>
      <c r="B10915" t="s">
        <v>18760</v>
      </c>
      <c r="C10915" t="s">
        <v>114</v>
      </c>
      <c r="D10915" t="s">
        <v>21</v>
      </c>
      <c r="E10915" t="s">
        <v>202</v>
      </c>
      <c r="F10915" s="2" t="str">
        <f>HYPERLINK("http://www.otzar.org/book.asp?195074","ההשגחה - 8 כר'")</f>
        <v>ההשגחה - 8 כר'</v>
      </c>
    </row>
    <row r="10916" spans="1:6" x14ac:dyDescent="0.2">
      <c r="A10916" t="s">
        <v>18761</v>
      </c>
      <c r="B10916" t="s">
        <v>4991</v>
      </c>
      <c r="C10916" t="s">
        <v>767</v>
      </c>
      <c r="D10916" t="s">
        <v>14</v>
      </c>
      <c r="E10916" t="s">
        <v>104</v>
      </c>
      <c r="F10916" s="2" t="str">
        <f>HYPERLINK("http://www.otzar.org/book.asp?603037","ההשגחה")</f>
        <v>ההשגחה</v>
      </c>
    </row>
    <row r="10917" spans="1:6" x14ac:dyDescent="0.2">
      <c r="A10917" t="s">
        <v>18762</v>
      </c>
      <c r="B10917" t="s">
        <v>1066</v>
      </c>
      <c r="C10917" t="s">
        <v>411</v>
      </c>
      <c r="D10917" t="s">
        <v>1180</v>
      </c>
      <c r="E10917" t="s">
        <v>15</v>
      </c>
      <c r="F10917" s="2" t="str">
        <f>HYPERLINK("http://www.otzar.org/book.asp?175353","ההשקפה הנכונה")</f>
        <v>ההשקפה הנכונה</v>
      </c>
    </row>
    <row r="10918" spans="1:6" x14ac:dyDescent="0.2">
      <c r="A10918" t="s">
        <v>18763</v>
      </c>
      <c r="B10918" t="s">
        <v>107</v>
      </c>
      <c r="C10918" t="s">
        <v>17</v>
      </c>
      <c r="D10918" t="s">
        <v>14</v>
      </c>
      <c r="E10918" t="s">
        <v>5935</v>
      </c>
      <c r="F10918" s="2" t="str">
        <f>HYPERLINK("http://www.otzar.org/book.asp?6358","ההתנהגות עם מי שאינם שומרי תורה")</f>
        <v>ההתנהגות עם מי שאינם שומרי תורה</v>
      </c>
    </row>
    <row r="10919" spans="1:6" x14ac:dyDescent="0.2">
      <c r="A10919" t="s">
        <v>18764</v>
      </c>
      <c r="B10919" t="s">
        <v>18765</v>
      </c>
      <c r="C10919" t="s">
        <v>6054</v>
      </c>
      <c r="D10919" t="s">
        <v>1651</v>
      </c>
      <c r="E10919" t="s">
        <v>119</v>
      </c>
      <c r="F10919" s="2" t="str">
        <f>HYPERLINK("http://www.otzar.org/book.asp?168142","ההתקפה")</f>
        <v>ההתקפה</v>
      </c>
    </row>
    <row r="10920" spans="1:6" x14ac:dyDescent="0.2">
      <c r="A10920" t="s">
        <v>18766</v>
      </c>
      <c r="B10920" t="s">
        <v>18767</v>
      </c>
      <c r="E10920" t="s">
        <v>154</v>
      </c>
      <c r="F10920" s="2" t="str">
        <f>HYPERLINK("http://www.otzar.org/book.asp?628021","הוא היה אומר")</f>
        <v>הוא היה אומר</v>
      </c>
    </row>
    <row r="10921" spans="1:6" x14ac:dyDescent="0.2">
      <c r="A10921" t="s">
        <v>18768</v>
      </c>
      <c r="B10921" t="s">
        <v>18769</v>
      </c>
      <c r="C10921" t="s">
        <v>13</v>
      </c>
      <c r="D10921" t="s">
        <v>367</v>
      </c>
      <c r="E10921" t="s">
        <v>246</v>
      </c>
      <c r="F10921" s="2" t="str">
        <f>HYPERLINK("http://www.otzar.org/book.asp?61505","הוא יגאל אותנו")</f>
        <v>הוא יגאל אותנו</v>
      </c>
    </row>
    <row r="10922" spans="1:6" x14ac:dyDescent="0.2">
      <c r="A10922" t="s">
        <v>18770</v>
      </c>
      <c r="B10922" t="s">
        <v>18771</v>
      </c>
      <c r="C10922" t="s">
        <v>129</v>
      </c>
      <c r="D10922" t="s">
        <v>52</v>
      </c>
      <c r="E10922" t="s">
        <v>230</v>
      </c>
      <c r="F10922" s="2" t="str">
        <f>HYPERLINK("http://www.otzar.org/book.asp?161844","הוא תהלתך - אוצרות ההלל")</f>
        <v>הוא תהלתך - אוצרות ההלל</v>
      </c>
    </row>
    <row r="10923" spans="1:6" x14ac:dyDescent="0.2">
      <c r="A10923" t="s">
        <v>18772</v>
      </c>
      <c r="B10923" t="s">
        <v>18773</v>
      </c>
      <c r="C10923" t="s">
        <v>1666</v>
      </c>
      <c r="D10923" t="s">
        <v>49</v>
      </c>
      <c r="E10923" t="s">
        <v>241</v>
      </c>
      <c r="F10923" s="2" t="str">
        <f>HYPERLINK("http://www.otzar.org/book.asp?104227","הואיל משה &lt;ספר בא גד&gt;")</f>
        <v>הואיל משה &lt;ספר בא גד&gt;</v>
      </c>
    </row>
    <row r="10924" spans="1:6" x14ac:dyDescent="0.2">
      <c r="A10924" t="s">
        <v>18774</v>
      </c>
      <c r="B10924" t="s">
        <v>18775</v>
      </c>
      <c r="C10924" t="s">
        <v>146</v>
      </c>
      <c r="D10924" t="s">
        <v>412</v>
      </c>
      <c r="E10924" t="s">
        <v>18776</v>
      </c>
      <c r="F10924" s="2" t="str">
        <f>HYPERLINK("http://www.otzar.org/book.asp?161459","הואיל משה החדש - איש נעמי")</f>
        <v>הואיל משה החדש - איש נעמי</v>
      </c>
    </row>
    <row r="10925" spans="1:6" x14ac:dyDescent="0.2">
      <c r="A10925" t="s">
        <v>18777</v>
      </c>
      <c r="B10925" t="s">
        <v>18778</v>
      </c>
      <c r="C10925" t="s">
        <v>18779</v>
      </c>
      <c r="D10925" t="s">
        <v>212</v>
      </c>
      <c r="E10925" t="s">
        <v>158</v>
      </c>
      <c r="F10925" s="2" t="str">
        <f>HYPERLINK("http://www.otzar.org/book.asp?100155","הואיל משה - 2 כר'")</f>
        <v>הואיל משה - 2 כר'</v>
      </c>
    </row>
    <row r="10926" spans="1:6" x14ac:dyDescent="0.2">
      <c r="A10926" t="s">
        <v>18780</v>
      </c>
      <c r="B10926" t="s">
        <v>18781</v>
      </c>
      <c r="C10926" t="s">
        <v>1437</v>
      </c>
      <c r="D10926" t="s">
        <v>412</v>
      </c>
      <c r="E10926" t="s">
        <v>154</v>
      </c>
      <c r="F10926" s="2" t="str">
        <f>HYPERLINK("http://www.otzar.org/book.asp?28296","הואיל משה")</f>
        <v>הואיל משה</v>
      </c>
    </row>
    <row r="10927" spans="1:6" x14ac:dyDescent="0.2">
      <c r="A10927" t="s">
        <v>18782</v>
      </c>
      <c r="B10927" t="s">
        <v>18783</v>
      </c>
      <c r="C10927" t="s">
        <v>13</v>
      </c>
      <c r="D10927" t="s">
        <v>412</v>
      </c>
      <c r="E10927" t="s">
        <v>158</v>
      </c>
      <c r="F10927" s="2" t="str">
        <f>HYPERLINK("http://www.otzar.org/book.asp?193429","הואיל משה - ד (במדבר)")</f>
        <v>הואיל משה - ד (במדבר)</v>
      </c>
    </row>
    <row r="10928" spans="1:6" x14ac:dyDescent="0.2">
      <c r="A10928" t="s">
        <v>18780</v>
      </c>
      <c r="B10928" t="s">
        <v>18784</v>
      </c>
      <c r="C10928" t="s">
        <v>5277</v>
      </c>
      <c r="D10928" t="s">
        <v>744</v>
      </c>
      <c r="E10928" t="s">
        <v>158</v>
      </c>
      <c r="F10928" s="2" t="str">
        <f>HYPERLINK("http://www.otzar.org/book.asp?83903","הואיל משה")</f>
        <v>הואיל משה</v>
      </c>
    </row>
    <row r="10929" spans="1:6" x14ac:dyDescent="0.2">
      <c r="A10929" t="s">
        <v>18785</v>
      </c>
      <c r="B10929" t="s">
        <v>18786</v>
      </c>
      <c r="C10929" t="s">
        <v>103</v>
      </c>
      <c r="D10929" t="s">
        <v>52</v>
      </c>
      <c r="E10929" t="s">
        <v>15</v>
      </c>
      <c r="F10929" s="2" t="str">
        <f>HYPERLINK("http://www.otzar.org/book.asp?149741","הואיל משה - א")</f>
        <v>הואיל משה - א</v>
      </c>
    </row>
    <row r="10930" spans="1:6" x14ac:dyDescent="0.2">
      <c r="A10930" t="s">
        <v>18787</v>
      </c>
      <c r="B10930" t="s">
        <v>18788</v>
      </c>
      <c r="C10930" t="s">
        <v>244</v>
      </c>
      <c r="D10930" t="s">
        <v>2196</v>
      </c>
      <c r="E10930" t="s">
        <v>158</v>
      </c>
      <c r="F10930" s="2" t="str">
        <f>HYPERLINK("http://www.otzar.org/book.asp?196731","הוגי שעשועות - 3 כר'")</f>
        <v>הוגי שעשועות - 3 כר'</v>
      </c>
    </row>
    <row r="10931" spans="1:6" x14ac:dyDescent="0.2">
      <c r="A10931" t="s">
        <v>18789</v>
      </c>
      <c r="B10931" t="s">
        <v>18790</v>
      </c>
      <c r="C10931" t="s">
        <v>553</v>
      </c>
      <c r="D10931" t="s">
        <v>14</v>
      </c>
      <c r="F10931" s="2" t="str">
        <f>HYPERLINK("http://www.otzar.org/book.asp?610904","הוד וגבורה - רבי יצחק שמואל פינקלר מראדושיץ")</f>
        <v>הוד וגבורה - רבי יצחק שמואל פינקלר מראדושיץ</v>
      </c>
    </row>
    <row r="10932" spans="1:6" x14ac:dyDescent="0.2">
      <c r="A10932" t="s">
        <v>18791</v>
      </c>
      <c r="B10932" t="s">
        <v>18792</v>
      </c>
      <c r="C10932" t="s">
        <v>767</v>
      </c>
      <c r="D10932" t="s">
        <v>52</v>
      </c>
      <c r="E10932" t="s">
        <v>246</v>
      </c>
      <c r="F10932" s="2" t="str">
        <f>HYPERLINK("http://www.otzar.org/book.asp?63756","הוד והדר לבשת")</f>
        <v>הוד והדר לבשת</v>
      </c>
    </row>
    <row r="10933" spans="1:6" x14ac:dyDescent="0.2">
      <c r="A10933" t="s">
        <v>18793</v>
      </c>
      <c r="B10933" t="s">
        <v>18794</v>
      </c>
      <c r="C10933" t="s">
        <v>189</v>
      </c>
      <c r="D10933" t="s">
        <v>21</v>
      </c>
      <c r="F10933" s="2" t="str">
        <f>HYPERLINK("http://www.otzar.org/book.asp?194717","הוד והדר - גליציה המזרחית")</f>
        <v>הוד והדר - גליציה המזרחית</v>
      </c>
    </row>
    <row r="10934" spans="1:6" x14ac:dyDescent="0.2">
      <c r="A10934" t="s">
        <v>18795</v>
      </c>
      <c r="B10934" t="s">
        <v>18596</v>
      </c>
      <c r="C10934" t="s">
        <v>13</v>
      </c>
      <c r="D10934" t="s">
        <v>367</v>
      </c>
      <c r="E10934" t="s">
        <v>15</v>
      </c>
      <c r="F10934" s="2" t="str">
        <f>HYPERLINK("http://www.otzar.org/book.asp?147854","הוד והדר - 5 כר'")</f>
        <v>הוד והדר - 5 כר'</v>
      </c>
    </row>
    <row r="10935" spans="1:6" x14ac:dyDescent="0.2">
      <c r="A10935" t="s">
        <v>18796</v>
      </c>
      <c r="B10935" t="s">
        <v>18797</v>
      </c>
      <c r="C10935" t="s">
        <v>411</v>
      </c>
      <c r="D10935" t="s">
        <v>412</v>
      </c>
      <c r="E10935" t="s">
        <v>154</v>
      </c>
      <c r="F10935" s="2" t="str">
        <f>HYPERLINK("http://www.otzar.org/book.asp?198283","הוד והדר")</f>
        <v>הוד והדר</v>
      </c>
    </row>
    <row r="10936" spans="1:6" x14ac:dyDescent="0.2">
      <c r="A10936" t="s">
        <v>18798</v>
      </c>
      <c r="B10936" t="s">
        <v>552</v>
      </c>
      <c r="C10936" t="s">
        <v>63</v>
      </c>
      <c r="D10936" t="s">
        <v>14</v>
      </c>
      <c r="E10936" t="s">
        <v>202</v>
      </c>
      <c r="F10936" s="2" t="str">
        <f>HYPERLINK("http://www.otzar.org/book.asp?7375","הוד יוסף [שלוש]")</f>
        <v>הוד יוסף [שלוש]</v>
      </c>
    </row>
    <row r="10937" spans="1:6" x14ac:dyDescent="0.2">
      <c r="A10937" t="s">
        <v>18799</v>
      </c>
      <c r="B10937" t="s">
        <v>18800</v>
      </c>
      <c r="C10937" t="s">
        <v>1228</v>
      </c>
      <c r="D10937" t="s">
        <v>27</v>
      </c>
      <c r="E10937" t="s">
        <v>930</v>
      </c>
      <c r="F10937" s="2" t="str">
        <f>HYPERLINK("http://www.otzar.org/book.asp?83639","הוד יוסף")</f>
        <v>הוד יוסף</v>
      </c>
    </row>
    <row r="10938" spans="1:6" x14ac:dyDescent="0.2">
      <c r="A10938" t="s">
        <v>18801</v>
      </c>
      <c r="B10938" t="s">
        <v>18802</v>
      </c>
      <c r="C10938" t="s">
        <v>244</v>
      </c>
      <c r="D10938" t="s">
        <v>21</v>
      </c>
      <c r="E10938" t="s">
        <v>15</v>
      </c>
      <c r="F10938" s="2" t="str">
        <f>HYPERLINK("http://www.otzar.org/book.asp?602080","הוד מלכות - 2 כר'")</f>
        <v>הוד מלכות - 2 כר'</v>
      </c>
    </row>
    <row r="10939" spans="1:6" x14ac:dyDescent="0.2">
      <c r="A10939" t="s">
        <v>18803</v>
      </c>
      <c r="B10939" t="s">
        <v>18804</v>
      </c>
      <c r="C10939" t="s">
        <v>553</v>
      </c>
      <c r="D10939" t="s">
        <v>52</v>
      </c>
      <c r="E10939" t="s">
        <v>803</v>
      </c>
      <c r="F10939" s="2" t="str">
        <f>HYPERLINK("http://www.otzar.org/book.asp?60077","הוד צבי")</f>
        <v>הוד צבי</v>
      </c>
    </row>
    <row r="10940" spans="1:6" x14ac:dyDescent="0.2">
      <c r="A10940" t="s">
        <v>18805</v>
      </c>
      <c r="B10940" t="s">
        <v>18806</v>
      </c>
      <c r="C10940" t="s">
        <v>13</v>
      </c>
      <c r="D10940" t="s">
        <v>52</v>
      </c>
      <c r="E10940" t="s">
        <v>18807</v>
      </c>
      <c r="F10940" s="2" t="str">
        <f>HYPERLINK("http://www.otzar.org/book.asp?84373","הוד קדומים &lt;הגה""ק מנאראל זצוק""ל&gt;")</f>
        <v>הוד קדומים &lt;הגה"ק מנאראל זצוק"ל&gt;</v>
      </c>
    </row>
    <row r="10941" spans="1:6" x14ac:dyDescent="0.2">
      <c r="A10941" t="s">
        <v>18808</v>
      </c>
      <c r="B10941" t="s">
        <v>18809</v>
      </c>
      <c r="C10941" t="s">
        <v>411</v>
      </c>
      <c r="D10941" t="s">
        <v>90</v>
      </c>
      <c r="E10941" t="s">
        <v>202</v>
      </c>
      <c r="F10941" s="2" t="str">
        <f>HYPERLINK("http://www.otzar.org/book.asp?193105","הוד רפאל")</f>
        <v>הוד רפאל</v>
      </c>
    </row>
    <row r="10942" spans="1:6" x14ac:dyDescent="0.2">
      <c r="A10942" t="s">
        <v>18810</v>
      </c>
      <c r="B10942" t="s">
        <v>9096</v>
      </c>
      <c r="C10942" t="s">
        <v>224</v>
      </c>
      <c r="D10942" t="s">
        <v>260</v>
      </c>
      <c r="E10942" t="s">
        <v>15</v>
      </c>
      <c r="F10942" s="2" t="str">
        <f>HYPERLINK("http://www.otzar.org/book.asp?154051","הוד שבקדושה")</f>
        <v>הוד שבקדושה</v>
      </c>
    </row>
    <row r="10943" spans="1:6" x14ac:dyDescent="0.2">
      <c r="A10943" t="s">
        <v>18811</v>
      </c>
      <c r="B10943" t="s">
        <v>18812</v>
      </c>
      <c r="C10943" t="s">
        <v>533</v>
      </c>
      <c r="D10943" t="s">
        <v>1646</v>
      </c>
      <c r="E10943" t="s">
        <v>158</v>
      </c>
      <c r="F10943" s="2" t="str">
        <f>HYPERLINK("http://www.otzar.org/book.asp?11718","הוד שמואל")</f>
        <v>הוד שמואל</v>
      </c>
    </row>
    <row r="10944" spans="1:6" x14ac:dyDescent="0.2">
      <c r="A10944" t="s">
        <v>18813</v>
      </c>
      <c r="B10944" t="s">
        <v>18814</v>
      </c>
      <c r="C10944" t="s">
        <v>1096</v>
      </c>
      <c r="D10944" t="s">
        <v>283</v>
      </c>
      <c r="E10944" t="s">
        <v>130</v>
      </c>
      <c r="F10944" s="2" t="str">
        <f>HYPERLINK("http://www.otzar.org/book.asp?100817","הוד תהלה")</f>
        <v>הוד תהלה</v>
      </c>
    </row>
    <row r="10945" spans="1:6" x14ac:dyDescent="0.2">
      <c r="A10945" t="s">
        <v>18815</v>
      </c>
      <c r="B10945" t="s">
        <v>1393</v>
      </c>
      <c r="C10945" t="s">
        <v>1208</v>
      </c>
      <c r="D10945" t="s">
        <v>27</v>
      </c>
      <c r="E10945" t="s">
        <v>703</v>
      </c>
      <c r="F10945" s="2" t="str">
        <f>HYPERLINK("http://www.otzar.org/book.asp?153843","הודאה לבורא עולם")</f>
        <v>הודאה לבורא עולם</v>
      </c>
    </row>
    <row r="10946" spans="1:6" x14ac:dyDescent="0.2">
      <c r="A10946" t="s">
        <v>18816</v>
      </c>
      <c r="B10946" t="s">
        <v>18817</v>
      </c>
      <c r="C10946" t="s">
        <v>550</v>
      </c>
      <c r="D10946" t="s">
        <v>6742</v>
      </c>
      <c r="F10946" s="2" t="str">
        <f>HYPERLINK("http://www.otzar.org/book.asp?164908","הודאת בעל דין")</f>
        <v>הודאת בעל דין</v>
      </c>
    </row>
    <row r="10947" spans="1:6" x14ac:dyDescent="0.2">
      <c r="A10947" t="s">
        <v>18818</v>
      </c>
      <c r="B10947" t="s">
        <v>5932</v>
      </c>
      <c r="C10947" t="s">
        <v>189</v>
      </c>
      <c r="D10947" t="s">
        <v>108</v>
      </c>
      <c r="E10947" t="s">
        <v>2596</v>
      </c>
      <c r="F10947" s="2" t="str">
        <f>HYPERLINK("http://www.otzar.org/book.asp?26120","הודאת הארץ")</f>
        <v>הודאת הארץ</v>
      </c>
    </row>
    <row r="10948" spans="1:6" x14ac:dyDescent="0.2">
      <c r="A10948" t="s">
        <v>18819</v>
      </c>
      <c r="B10948" t="s">
        <v>18820</v>
      </c>
      <c r="C10948" t="s">
        <v>133</v>
      </c>
      <c r="D10948" t="s">
        <v>52</v>
      </c>
      <c r="E10948" t="s">
        <v>246</v>
      </c>
      <c r="F10948" s="2" t="str">
        <f>HYPERLINK("http://www.otzar.org/book.asp?172952","הודאת על הנסים ופיוטי חנוכה")</f>
        <v>הודאת על הנסים ופיוטי חנוכה</v>
      </c>
    </row>
    <row r="10949" spans="1:6" x14ac:dyDescent="0.2">
      <c r="A10949" t="s">
        <v>18821</v>
      </c>
      <c r="B10949" t="s">
        <v>18822</v>
      </c>
      <c r="C10949" t="s">
        <v>185</v>
      </c>
      <c r="D10949" t="s">
        <v>90</v>
      </c>
      <c r="E10949" t="s">
        <v>144</v>
      </c>
      <c r="F10949" s="2" t="str">
        <f>HYPERLINK("http://www.otzar.org/book.asp?632833","הודאת צבי - בבא קמא, גיטין")</f>
        <v>הודאת צבי - בבא קמא, גיטין</v>
      </c>
    </row>
    <row r="10950" spans="1:6" x14ac:dyDescent="0.2">
      <c r="A10950" t="s">
        <v>18823</v>
      </c>
      <c r="B10950" t="s">
        <v>11221</v>
      </c>
      <c r="C10950" t="s">
        <v>244</v>
      </c>
      <c r="D10950" t="s">
        <v>14</v>
      </c>
      <c r="E10950" t="s">
        <v>2071</v>
      </c>
      <c r="F10950" s="2" t="str">
        <f>HYPERLINK("http://www.otzar.org/book.asp?607224","הוורט שבפרשה")</f>
        <v>הוורט שבפרשה</v>
      </c>
    </row>
    <row r="10951" spans="1:6" x14ac:dyDescent="0.2">
      <c r="A10951" t="s">
        <v>18824</v>
      </c>
      <c r="C10951" t="s">
        <v>20</v>
      </c>
      <c r="D10951" t="s">
        <v>90</v>
      </c>
      <c r="E10951" t="s">
        <v>246</v>
      </c>
      <c r="F10951" s="2" t="str">
        <f>HYPERLINK("http://www.otzar.org/book.asp?199691","הוי אריאל אריאל")</f>
        <v>הוי אריאל אריאל</v>
      </c>
    </row>
    <row r="10952" spans="1:6" x14ac:dyDescent="0.2">
      <c r="A10952" t="s">
        <v>18825</v>
      </c>
      <c r="B10952" t="s">
        <v>290</v>
      </c>
      <c r="C10952" t="s">
        <v>812</v>
      </c>
      <c r="D10952" t="s">
        <v>56</v>
      </c>
      <c r="E10952" t="s">
        <v>234</v>
      </c>
      <c r="F10952" s="2" t="str">
        <f>HYPERLINK("http://www.otzar.org/book.asp?173155","הוי אריאל")</f>
        <v>הוי אריאל</v>
      </c>
    </row>
    <row r="10953" spans="1:6" x14ac:dyDescent="0.2">
      <c r="A10953" t="s">
        <v>18826</v>
      </c>
      <c r="B10953" t="s">
        <v>16429</v>
      </c>
      <c r="C10953" t="s">
        <v>2269</v>
      </c>
      <c r="D10953" t="s">
        <v>18827</v>
      </c>
      <c r="E10953" t="s">
        <v>234</v>
      </c>
      <c r="F10953" s="2" t="str">
        <f>HYPERLINK("http://www.otzar.org/book.asp?192272","הוי שודד")</f>
        <v>הוי שודד</v>
      </c>
    </row>
    <row r="10954" spans="1:6" x14ac:dyDescent="0.2">
      <c r="A10954" t="s">
        <v>18828</v>
      </c>
      <c r="B10954" t="s">
        <v>5634</v>
      </c>
      <c r="C10954" t="s">
        <v>189</v>
      </c>
      <c r="D10954" t="s">
        <v>52</v>
      </c>
      <c r="E10954" t="s">
        <v>104</v>
      </c>
      <c r="F10954" s="2" t="str">
        <f>HYPERLINK("http://www.otzar.org/book.asp?145315","הוי שקוד ללמוד תורה")</f>
        <v>הוי שקוד ללמוד תורה</v>
      </c>
    </row>
    <row r="10955" spans="1:6" x14ac:dyDescent="0.2">
      <c r="A10955" t="s">
        <v>18829</v>
      </c>
      <c r="B10955" t="s">
        <v>18830</v>
      </c>
      <c r="C10955" t="s">
        <v>133</v>
      </c>
      <c r="D10955" t="s">
        <v>14</v>
      </c>
      <c r="E10955" t="s">
        <v>230</v>
      </c>
      <c r="F10955" s="2" t="str">
        <f>HYPERLINK("http://www.otzar.org/book.asp?607347","הויות דאביי")</f>
        <v>הויות דאביי</v>
      </c>
    </row>
    <row r="10956" spans="1:6" x14ac:dyDescent="0.2">
      <c r="A10956" t="s">
        <v>18831</v>
      </c>
      <c r="B10956" t="s">
        <v>18832</v>
      </c>
      <c r="C10956" t="s">
        <v>466</v>
      </c>
      <c r="D10956" t="s">
        <v>14</v>
      </c>
      <c r="E10956" t="s">
        <v>241</v>
      </c>
      <c r="F10956" s="2" t="str">
        <f>HYPERLINK("http://www.otzar.org/book.asp?165925","הויכוח")</f>
        <v>הויכוח</v>
      </c>
    </row>
    <row r="10957" spans="1:6" x14ac:dyDescent="0.2">
      <c r="A10957" t="s">
        <v>18833</v>
      </c>
      <c r="B10957" t="s">
        <v>107</v>
      </c>
      <c r="C10957" t="s">
        <v>143</v>
      </c>
      <c r="D10957" t="s">
        <v>14</v>
      </c>
      <c r="E10957" t="s">
        <v>714</v>
      </c>
      <c r="F10957" s="2" t="str">
        <f>HYPERLINK("http://www.otzar.org/book.asp?83846","הוכח תוכיח")</f>
        <v>הוכח תוכיח</v>
      </c>
    </row>
    <row r="10958" spans="1:6" x14ac:dyDescent="0.2">
      <c r="A10958" t="s">
        <v>18834</v>
      </c>
      <c r="B10958" t="s">
        <v>18835</v>
      </c>
      <c r="C10958" t="s">
        <v>4705</v>
      </c>
      <c r="D10958" t="s">
        <v>283</v>
      </c>
      <c r="E10958" t="s">
        <v>15</v>
      </c>
      <c r="F10958" s="2" t="str">
        <f>HYPERLINK("http://www.otzar.org/book.asp?189341","הוכשר הזבח")</f>
        <v>הוכשר הזבח</v>
      </c>
    </row>
    <row r="10959" spans="1:6" x14ac:dyDescent="0.2">
      <c r="A10959" t="s">
        <v>18836</v>
      </c>
      <c r="B10959" t="s">
        <v>18837</v>
      </c>
      <c r="C10959" t="s">
        <v>18838</v>
      </c>
      <c r="D10959" t="s">
        <v>1833</v>
      </c>
      <c r="E10959" t="s">
        <v>158</v>
      </c>
      <c r="F10959" s="2" t="str">
        <f>HYPERLINK("http://www.otzar.org/book.asp?151694","הולך בדרך תמים")</f>
        <v>הולך בדרך תמים</v>
      </c>
    </row>
    <row r="10960" spans="1:6" x14ac:dyDescent="0.2">
      <c r="A10960" t="s">
        <v>18839</v>
      </c>
      <c r="B10960" t="s">
        <v>18840</v>
      </c>
      <c r="C10960" t="s">
        <v>4374</v>
      </c>
      <c r="D10960" t="s">
        <v>212</v>
      </c>
      <c r="E10960" t="s">
        <v>2441</v>
      </c>
      <c r="F10960" s="2" t="str">
        <f>HYPERLINK("http://www.otzar.org/book.asp?28584","הולך תמים ופועל צדק - 2 כר'")</f>
        <v>הולך תמים ופועל צדק - 2 כר'</v>
      </c>
    </row>
    <row r="10961" spans="1:6" x14ac:dyDescent="0.2">
      <c r="A10961" t="s">
        <v>18841</v>
      </c>
      <c r="B10961" t="s">
        <v>18842</v>
      </c>
      <c r="C10961" t="s">
        <v>18502</v>
      </c>
      <c r="D10961" t="s">
        <v>1117</v>
      </c>
      <c r="E10961" t="s">
        <v>15</v>
      </c>
      <c r="F10961" s="2" t="str">
        <f>HYPERLINK("http://www.otzar.org/book.asp?147000","הולך תמים")</f>
        <v>הולך תמים</v>
      </c>
    </row>
    <row r="10962" spans="1:6" x14ac:dyDescent="0.2">
      <c r="A10962" t="s">
        <v>18843</v>
      </c>
      <c r="B10962" t="s">
        <v>18844</v>
      </c>
      <c r="C10962" t="s">
        <v>68</v>
      </c>
      <c r="E10962" t="s">
        <v>241</v>
      </c>
      <c r="F10962" s="2" t="str">
        <f>HYPERLINK("http://www.otzar.org/book.asp?620758","הולכי נתיבות - 2 כר'")</f>
        <v>הולכי נתיבות - 2 כר'</v>
      </c>
    </row>
    <row r="10963" spans="1:6" x14ac:dyDescent="0.2">
      <c r="A10963" t="s">
        <v>18845</v>
      </c>
      <c r="B10963" t="s">
        <v>16201</v>
      </c>
      <c r="C10963" t="s">
        <v>68</v>
      </c>
      <c r="D10963" t="s">
        <v>14</v>
      </c>
      <c r="E10963" t="s">
        <v>158</v>
      </c>
      <c r="F10963" s="2" t="str">
        <f>HYPERLINK("http://www.otzar.org/book.asp?159675","הון יקר")</f>
        <v>הון יקר</v>
      </c>
    </row>
    <row r="10964" spans="1:6" x14ac:dyDescent="0.2">
      <c r="A10964" t="s">
        <v>18846</v>
      </c>
      <c r="B10964" t="s">
        <v>1827</v>
      </c>
      <c r="C10964" t="s">
        <v>422</v>
      </c>
      <c r="D10964" t="s">
        <v>14</v>
      </c>
      <c r="E10964" t="s">
        <v>84</v>
      </c>
      <c r="F10964" s="2" t="str">
        <f>HYPERLINK("http://www.otzar.org/book.asp?173041","הון עשיר &lt;מהדורה חדשה&gt; - 2 כר'")</f>
        <v>הון עשיר &lt;מהדורה חדשה&gt; - 2 כר'</v>
      </c>
    </row>
    <row r="10965" spans="1:6" x14ac:dyDescent="0.2">
      <c r="A10965" t="s">
        <v>18847</v>
      </c>
      <c r="B10965" t="s">
        <v>1827</v>
      </c>
      <c r="C10965" t="s">
        <v>728</v>
      </c>
      <c r="D10965" t="s">
        <v>283</v>
      </c>
      <c r="E10965" t="s">
        <v>84</v>
      </c>
      <c r="F10965" s="2" t="str">
        <f>HYPERLINK("http://www.otzar.org/book.asp?100847","הון עשיר - 2 כר'")</f>
        <v>הון עשיר - 2 כר'</v>
      </c>
    </row>
    <row r="10966" spans="1:6" x14ac:dyDescent="0.2">
      <c r="A10966" t="s">
        <v>18848</v>
      </c>
      <c r="B10966" t="s">
        <v>18849</v>
      </c>
      <c r="C10966" t="s">
        <v>18850</v>
      </c>
      <c r="D10966" t="s">
        <v>76</v>
      </c>
      <c r="E10966" t="s">
        <v>158</v>
      </c>
      <c r="F10966" s="2" t="str">
        <f>HYPERLINK("http://www.otzar.org/book.asp?15772","הון רב - 2 כר'")</f>
        <v>הון רב - 2 כר'</v>
      </c>
    </row>
    <row r="10967" spans="1:6" x14ac:dyDescent="0.2">
      <c r="A10967" t="s">
        <v>18851</v>
      </c>
      <c r="B10967" t="s">
        <v>18852</v>
      </c>
      <c r="C10967" t="s">
        <v>1062</v>
      </c>
      <c r="D10967" t="s">
        <v>14</v>
      </c>
      <c r="E10967" t="s">
        <v>104</v>
      </c>
      <c r="F10967" s="2" t="str">
        <f>HYPERLINK("http://www.otzar.org/book.asp?12002","הונדערט מעשיות און משלים פון חפץ חיים")</f>
        <v>הונדערט מעשיות און משלים פון חפץ חיים</v>
      </c>
    </row>
    <row r="10968" spans="1:6" x14ac:dyDescent="0.2">
      <c r="A10968" t="s">
        <v>18853</v>
      </c>
      <c r="B10968" t="s">
        <v>18854</v>
      </c>
      <c r="C10968" t="s">
        <v>286</v>
      </c>
      <c r="D10968" t="s">
        <v>280</v>
      </c>
      <c r="E10968" t="s">
        <v>104</v>
      </c>
      <c r="F10968" s="2" t="str">
        <f>HYPERLINK("http://www.otzar.org/book.asp?104021","הוספות ותקונים לספר ראבי""ה")</f>
        <v>הוספות ותקונים לספר ראבי"ה</v>
      </c>
    </row>
    <row r="10969" spans="1:6" x14ac:dyDescent="0.2">
      <c r="A10969" t="s">
        <v>18855</v>
      </c>
      <c r="B10969" t="s">
        <v>18856</v>
      </c>
      <c r="C10969" t="s">
        <v>20</v>
      </c>
      <c r="D10969" t="s">
        <v>14</v>
      </c>
      <c r="E10969" t="s">
        <v>15</v>
      </c>
      <c r="F10969" s="2" t="str">
        <f>HYPERLINK("http://www.otzar.org/book.asp?9037","הוספות למשנה תורה להרמב""ם - 2 כר'")</f>
        <v>הוספות למשנה תורה להרמב"ם - 2 כר'</v>
      </c>
    </row>
    <row r="10970" spans="1:6" x14ac:dyDescent="0.2">
      <c r="A10970" t="s">
        <v>18857</v>
      </c>
      <c r="B10970" t="s">
        <v>1421</v>
      </c>
      <c r="C10970" t="s">
        <v>8375</v>
      </c>
      <c r="D10970" t="s">
        <v>60</v>
      </c>
      <c r="E10970" t="s">
        <v>43</v>
      </c>
      <c r="F10970" s="2" t="str">
        <f>HYPERLINK("http://www.otzar.org/book.asp?62504","הוספות לספרי")</f>
        <v>הוספות לספרי</v>
      </c>
    </row>
    <row r="10971" spans="1:6" x14ac:dyDescent="0.2">
      <c r="A10971" t="s">
        <v>18858</v>
      </c>
      <c r="B10971" t="s">
        <v>1303</v>
      </c>
      <c r="C10971" t="s">
        <v>812</v>
      </c>
      <c r="D10971" t="s">
        <v>27</v>
      </c>
      <c r="E10971" t="s">
        <v>158</v>
      </c>
      <c r="F10971" s="2" t="str">
        <f>HYPERLINK("http://www.otzar.org/book.asp?158323","הוספות לפירוש העמק דבר והרחב דבר")</f>
        <v>הוספות לפירוש העמק דבר והרחב דבר</v>
      </c>
    </row>
    <row r="10972" spans="1:6" x14ac:dyDescent="0.2">
      <c r="A10972" t="s">
        <v>18859</v>
      </c>
      <c r="B10972" t="s">
        <v>18860</v>
      </c>
      <c r="C10972" t="s">
        <v>390</v>
      </c>
      <c r="D10972" t="s">
        <v>14283</v>
      </c>
      <c r="E10972" t="s">
        <v>104</v>
      </c>
      <c r="F10972" s="2" t="str">
        <f>HYPERLINK("http://www.otzar.org/book.asp?157947","הוספות לקונטרס התשובות")</f>
        <v>הוספות לקונטרס התשובות</v>
      </c>
    </row>
    <row r="10973" spans="1:6" x14ac:dyDescent="0.2">
      <c r="A10973" t="s">
        <v>18861</v>
      </c>
      <c r="B10973" t="s">
        <v>18862</v>
      </c>
      <c r="C10973" t="s">
        <v>473</v>
      </c>
      <c r="D10973" t="s">
        <v>18863</v>
      </c>
      <c r="E10973" t="s">
        <v>15</v>
      </c>
      <c r="F10973" s="2" t="str">
        <f>HYPERLINK("http://www.otzar.org/book.asp?192295","הועד - א")</f>
        <v>הועד - א</v>
      </c>
    </row>
    <row r="10974" spans="1:6" x14ac:dyDescent="0.2">
      <c r="A10974" t="s">
        <v>18864</v>
      </c>
      <c r="B10974" t="s">
        <v>18865</v>
      </c>
      <c r="C10974" t="s">
        <v>356</v>
      </c>
      <c r="D10974" t="s">
        <v>245</v>
      </c>
      <c r="E10974" t="s">
        <v>130</v>
      </c>
      <c r="F10974" s="2" t="str">
        <f>HYPERLINK("http://www.otzar.org/book.asp?62862","הוצאה זוטא")</f>
        <v>הוצאה זוטא</v>
      </c>
    </row>
    <row r="10975" spans="1:6" x14ac:dyDescent="0.2">
      <c r="A10975" t="s">
        <v>18866</v>
      </c>
      <c r="B10975" t="s">
        <v>18867</v>
      </c>
      <c r="C10975" t="s">
        <v>20</v>
      </c>
      <c r="D10975" t="s">
        <v>4919</v>
      </c>
      <c r="F10975" s="2" t="str">
        <f>HYPERLINK("http://www.otzar.org/book.asp?616524","הוצאות משפט")</f>
        <v>הוצאות משפט</v>
      </c>
    </row>
    <row r="10976" spans="1:6" x14ac:dyDescent="0.2">
      <c r="A10976" t="s">
        <v>18868</v>
      </c>
      <c r="B10976" t="s">
        <v>15755</v>
      </c>
      <c r="C10976" t="s">
        <v>111</v>
      </c>
      <c r="D10976" t="s">
        <v>152</v>
      </c>
      <c r="E10976" t="s">
        <v>246</v>
      </c>
      <c r="F10976" s="2" t="str">
        <f>HYPERLINK("http://www.otzar.org/book.asp?626732","הוצאות שבת")</f>
        <v>הוצאות שבת</v>
      </c>
    </row>
    <row r="10977" spans="1:6" x14ac:dyDescent="0.2">
      <c r="A10977" t="s">
        <v>18869</v>
      </c>
      <c r="B10977" t="s">
        <v>18870</v>
      </c>
      <c r="C10977" t="s">
        <v>919</v>
      </c>
      <c r="D10977" t="s">
        <v>646</v>
      </c>
      <c r="F10977" s="2" t="str">
        <f>HYPERLINK("http://www.otzar.org/book.asp?183005","הוצאת בין דין צדק לונדון והמדינה - כ")</f>
        <v>הוצאת בין דין צדק לונדון והמדינה - כ</v>
      </c>
    </row>
    <row r="10978" spans="1:6" x14ac:dyDescent="0.2">
      <c r="A10978" t="s">
        <v>18871</v>
      </c>
      <c r="B10978" t="s">
        <v>18870</v>
      </c>
      <c r="C10978" t="s">
        <v>989</v>
      </c>
      <c r="D10978" t="s">
        <v>646</v>
      </c>
      <c r="E10978" t="s">
        <v>144</v>
      </c>
      <c r="F10978" s="2" t="str">
        <f>HYPERLINK("http://www.otzar.org/book.asp?181274","הוצאת בית דין צדק לונדון והמדינה - 3 כר'")</f>
        <v>הוצאת בית דין צדק לונדון והמדינה - 3 כר'</v>
      </c>
    </row>
    <row r="10979" spans="1:6" x14ac:dyDescent="0.2">
      <c r="A10979" t="s">
        <v>18872</v>
      </c>
      <c r="B10979" t="s">
        <v>8305</v>
      </c>
      <c r="C10979" t="s">
        <v>1609</v>
      </c>
      <c r="D10979" t="s">
        <v>646</v>
      </c>
      <c r="E10979" t="s">
        <v>10</v>
      </c>
      <c r="F10979" s="2" t="str">
        <f>HYPERLINK("http://www.otzar.org/book.asp?188935","הוצאת בית דין צדק לונדון והמדינה - 4 כר'")</f>
        <v>הוצאת בית דין צדק לונדון והמדינה - 4 כר'</v>
      </c>
    </row>
    <row r="10980" spans="1:6" x14ac:dyDescent="0.2">
      <c r="A10980" t="s">
        <v>18873</v>
      </c>
      <c r="B10980" t="s">
        <v>18873</v>
      </c>
      <c r="C10980" t="s">
        <v>2870</v>
      </c>
      <c r="D10980" t="s">
        <v>307</v>
      </c>
      <c r="E10980" t="s">
        <v>202</v>
      </c>
      <c r="F10980" s="2" t="str">
        <f>HYPERLINK("http://www.otzar.org/book.asp?186859","הוצאת יסודי התורה")</f>
        <v>הוצאת יסודי התורה</v>
      </c>
    </row>
    <row r="10981" spans="1:6" x14ac:dyDescent="0.2">
      <c r="A10981" t="s">
        <v>18874</v>
      </c>
      <c r="B10981" t="s">
        <v>18875</v>
      </c>
      <c r="C10981" t="s">
        <v>919</v>
      </c>
      <c r="D10981" t="s">
        <v>21</v>
      </c>
      <c r="E10981" t="s">
        <v>104</v>
      </c>
      <c r="F10981" s="2" t="str">
        <f>HYPERLINK("http://www.otzar.org/book.asp?602420","הוצאת ספרים ציון - רשימת ספרים במדעי היהדות")</f>
        <v>הוצאת ספרים ציון - רשימת ספרים במדעי היהדות</v>
      </c>
    </row>
    <row r="10982" spans="1:6" x14ac:dyDescent="0.2">
      <c r="A10982" t="s">
        <v>18876</v>
      </c>
      <c r="B10982" t="s">
        <v>776</v>
      </c>
      <c r="C10982" t="s">
        <v>160</v>
      </c>
      <c r="D10982" t="s">
        <v>27</v>
      </c>
      <c r="E10982" t="s">
        <v>241</v>
      </c>
      <c r="F10982" s="2" t="str">
        <f>HYPERLINK("http://www.otzar.org/book.asp?179213","הוצק חן")</f>
        <v>הוצק חן</v>
      </c>
    </row>
    <row r="10983" spans="1:6" x14ac:dyDescent="0.2">
      <c r="A10983" t="s">
        <v>18877</v>
      </c>
      <c r="B10983" t="s">
        <v>18878</v>
      </c>
      <c r="C10983" t="s">
        <v>244</v>
      </c>
      <c r="D10983" t="s">
        <v>52</v>
      </c>
      <c r="F10983" s="2" t="str">
        <f>HYPERLINK("http://www.otzar.org/book.asp?608777","הוראה ברורה &lt;יורה דעה&gt; - 2 כר'")</f>
        <v>הוראה ברורה &lt;יורה דעה&gt; - 2 כר'</v>
      </c>
    </row>
    <row r="10984" spans="1:6" x14ac:dyDescent="0.2">
      <c r="A10984" t="s">
        <v>18879</v>
      </c>
      <c r="B10984" t="s">
        <v>18880</v>
      </c>
      <c r="C10984" t="s">
        <v>103</v>
      </c>
      <c r="D10984" t="s">
        <v>14</v>
      </c>
      <c r="E10984" t="s">
        <v>154</v>
      </c>
      <c r="F10984" s="2" t="str">
        <f>HYPERLINK("http://www.otzar.org/book.asp?173641","הוראה דבית דין &lt;מהדורה חדשה&gt;")</f>
        <v>הוראה דבית דין &lt;מהדורה חדשה&gt;</v>
      </c>
    </row>
    <row r="10985" spans="1:6" x14ac:dyDescent="0.2">
      <c r="A10985" t="s">
        <v>18881</v>
      </c>
      <c r="B10985" t="s">
        <v>18880</v>
      </c>
      <c r="C10985" t="s">
        <v>752</v>
      </c>
      <c r="D10985" t="s">
        <v>157</v>
      </c>
      <c r="E10985" t="s">
        <v>15</v>
      </c>
      <c r="F10985" s="2" t="str">
        <f>HYPERLINK("http://www.otzar.org/book.asp?28585","הוראה דבית דין")</f>
        <v>הוראה דבית דין</v>
      </c>
    </row>
    <row r="10986" spans="1:6" x14ac:dyDescent="0.2">
      <c r="A10986" t="s">
        <v>18882</v>
      </c>
      <c r="B10986" t="s">
        <v>489</v>
      </c>
      <c r="C10986" t="s">
        <v>68</v>
      </c>
      <c r="D10986" t="s">
        <v>412</v>
      </c>
      <c r="E10986" t="s">
        <v>202</v>
      </c>
      <c r="F10986" s="2" t="str">
        <f>HYPERLINK("http://www.otzar.org/book.asp?193163","הוראה כהלכתה")</f>
        <v>הוראה כהלכתה</v>
      </c>
    </row>
    <row r="10987" spans="1:6" x14ac:dyDescent="0.2">
      <c r="A10987" t="s">
        <v>18883</v>
      </c>
      <c r="B10987" t="s">
        <v>18884</v>
      </c>
      <c r="C10987" t="s">
        <v>1640</v>
      </c>
      <c r="D10987" t="s">
        <v>52</v>
      </c>
      <c r="E10987" t="s">
        <v>15</v>
      </c>
      <c r="F10987" s="2" t="str">
        <f>HYPERLINK("http://www.otzar.org/book.asp?28882","הוראות ומנהגים - פסח")</f>
        <v>הוראות ומנהגים - פסח</v>
      </c>
    </row>
    <row r="10988" spans="1:6" x14ac:dyDescent="0.2">
      <c r="A10988" t="s">
        <v>18885</v>
      </c>
      <c r="B10988" t="s">
        <v>5967</v>
      </c>
      <c r="C10988" t="s">
        <v>496</v>
      </c>
      <c r="D10988" t="s">
        <v>27</v>
      </c>
      <c r="E10988" t="s">
        <v>3567</v>
      </c>
      <c r="F10988" s="2" t="str">
        <f>HYPERLINK("http://www.otzar.org/book.asp?19083","הוראות שעה")</f>
        <v>הוראות שעה</v>
      </c>
    </row>
    <row r="10989" spans="1:6" x14ac:dyDescent="0.2">
      <c r="A10989" t="s">
        <v>18886</v>
      </c>
      <c r="B10989" t="s">
        <v>18887</v>
      </c>
      <c r="C10989" t="s">
        <v>411</v>
      </c>
      <c r="D10989" t="s">
        <v>14</v>
      </c>
      <c r="E10989" t="s">
        <v>15</v>
      </c>
      <c r="F10989" s="2" t="str">
        <f>HYPERLINK("http://www.otzar.org/book.asp?170460","הוראת אוריאל")</f>
        <v>הוראת אוריאל</v>
      </c>
    </row>
    <row r="10990" spans="1:6" x14ac:dyDescent="0.2">
      <c r="A10990" t="s">
        <v>18888</v>
      </c>
      <c r="B10990" t="s">
        <v>18889</v>
      </c>
      <c r="C10990" t="s">
        <v>482</v>
      </c>
      <c r="D10990" t="s">
        <v>1654</v>
      </c>
      <c r="E10990" t="s">
        <v>579</v>
      </c>
      <c r="F10990" s="2" t="str">
        <f>HYPERLINK("http://www.otzar.org/book.asp?195043","הוראת התורה")</f>
        <v>הוראת התורה</v>
      </c>
    </row>
    <row r="10991" spans="1:6" x14ac:dyDescent="0.2">
      <c r="A10991" t="s">
        <v>18890</v>
      </c>
      <c r="B10991" t="s">
        <v>9322</v>
      </c>
      <c r="C10991" t="s">
        <v>4144</v>
      </c>
      <c r="D10991" t="s">
        <v>1889</v>
      </c>
      <c r="E10991" t="s">
        <v>130</v>
      </c>
      <c r="F10991" s="2" t="str">
        <f>HYPERLINK("http://www.otzar.org/book.asp?156406","הוראת זקן")</f>
        <v>הוראת זקן</v>
      </c>
    </row>
    <row r="10992" spans="1:6" x14ac:dyDescent="0.2">
      <c r="A10992" t="s">
        <v>18891</v>
      </c>
      <c r="B10992" t="s">
        <v>18892</v>
      </c>
      <c r="C10992" t="s">
        <v>20</v>
      </c>
      <c r="D10992" t="s">
        <v>139</v>
      </c>
      <c r="E10992" t="s">
        <v>399</v>
      </c>
      <c r="F10992" s="2" t="str">
        <f>HYPERLINK("http://www.otzar.org/book.asp?180249","הוראת שעה &lt;מהדורת עלי עין&gt;")</f>
        <v>הוראת שעה &lt;מהדורת עלי עין&gt;</v>
      </c>
    </row>
    <row r="10993" spans="1:6" x14ac:dyDescent="0.2">
      <c r="A10993" t="s">
        <v>18893</v>
      </c>
      <c r="B10993" t="s">
        <v>18894</v>
      </c>
      <c r="C10993" t="s">
        <v>37</v>
      </c>
      <c r="D10993" t="s">
        <v>21</v>
      </c>
      <c r="E10993" t="s">
        <v>2135</v>
      </c>
      <c r="F10993" s="2" t="str">
        <f>HYPERLINK("http://www.otzar.org/book.asp?191860","הוראת שעה")</f>
        <v>הוראת שעה</v>
      </c>
    </row>
    <row r="10994" spans="1:6" x14ac:dyDescent="0.2">
      <c r="A10994" t="s">
        <v>18893</v>
      </c>
      <c r="B10994" t="s">
        <v>18895</v>
      </c>
      <c r="C10994" t="s">
        <v>1284</v>
      </c>
      <c r="D10994" t="s">
        <v>100</v>
      </c>
      <c r="E10994" t="s">
        <v>10</v>
      </c>
      <c r="F10994" s="2" t="str">
        <f>HYPERLINK("http://www.otzar.org/book.asp?24302","הוראת שעה")</f>
        <v>הוראת שעה</v>
      </c>
    </row>
    <row r="10995" spans="1:6" x14ac:dyDescent="0.2">
      <c r="A10995" t="s">
        <v>18893</v>
      </c>
      <c r="B10995" t="s">
        <v>18896</v>
      </c>
      <c r="C10995" t="s">
        <v>343</v>
      </c>
      <c r="D10995" t="s">
        <v>76</v>
      </c>
      <c r="E10995" t="s">
        <v>399</v>
      </c>
      <c r="F10995" s="2" t="str">
        <f>HYPERLINK("http://www.otzar.org/book.asp?100960","הוראת שעה")</f>
        <v>הוראת שעה</v>
      </c>
    </row>
    <row r="10996" spans="1:6" x14ac:dyDescent="0.2">
      <c r="A10996" t="s">
        <v>18897</v>
      </c>
      <c r="B10996" t="s">
        <v>18898</v>
      </c>
      <c r="C10996" t="s">
        <v>473</v>
      </c>
      <c r="D10996" t="s">
        <v>726</v>
      </c>
      <c r="E10996" t="s">
        <v>16725</v>
      </c>
      <c r="F10996" s="2" t="str">
        <f>HYPERLINK("http://www.otzar.org/book.asp?5742","הוראת שעה - 3 כר'")</f>
        <v>הוראת שעה - 3 כר'</v>
      </c>
    </row>
    <row r="10997" spans="1:6" x14ac:dyDescent="0.2">
      <c r="A10997" t="s">
        <v>18899</v>
      </c>
      <c r="B10997" t="s">
        <v>18900</v>
      </c>
      <c r="C10997" t="s">
        <v>985</v>
      </c>
      <c r="D10997" t="s">
        <v>260</v>
      </c>
      <c r="E10997" t="s">
        <v>733</v>
      </c>
      <c r="F10997" s="2" t="str">
        <f>HYPERLINK("http://www.otzar.org/book.asp?181566","הורדוס וביתו")</f>
        <v>הורדוס וביתו</v>
      </c>
    </row>
    <row r="10998" spans="1:6" x14ac:dyDescent="0.2">
      <c r="A10998" t="s">
        <v>18901</v>
      </c>
      <c r="B10998" t="s">
        <v>18902</v>
      </c>
      <c r="C10998" t="s">
        <v>454</v>
      </c>
      <c r="D10998" t="s">
        <v>152</v>
      </c>
      <c r="E10998" t="s">
        <v>144</v>
      </c>
      <c r="F10998" s="2" t="str">
        <f>HYPERLINK("http://www.otzar.org/book.asp?166969","הורה גבר &lt;מהדורה חדשה&gt;")</f>
        <v>הורה גבר &lt;מהדורה חדשה&gt;</v>
      </c>
    </row>
    <row r="10999" spans="1:6" x14ac:dyDescent="0.2">
      <c r="A10999" t="s">
        <v>18903</v>
      </c>
      <c r="B10999" t="s">
        <v>18902</v>
      </c>
      <c r="C10999" t="s">
        <v>20</v>
      </c>
      <c r="D10999" t="s">
        <v>744</v>
      </c>
      <c r="E10999" t="s">
        <v>144</v>
      </c>
      <c r="F10999" s="2" t="str">
        <f>HYPERLINK("http://www.otzar.org/book.asp?100784","הורה גבר")</f>
        <v>הורה גבר</v>
      </c>
    </row>
    <row r="11000" spans="1:6" x14ac:dyDescent="0.2">
      <c r="A11000" t="s">
        <v>18904</v>
      </c>
      <c r="B11000" t="s">
        <v>18905</v>
      </c>
      <c r="C11000" t="s">
        <v>383</v>
      </c>
      <c r="D11000" t="s">
        <v>21</v>
      </c>
      <c r="E11000" t="s">
        <v>104</v>
      </c>
      <c r="F11000" s="2" t="str">
        <f>HYPERLINK("http://www.otzar.org/book.asp?194936","הורים כהלכה")</f>
        <v>הורים כהלכה</v>
      </c>
    </row>
    <row r="11001" spans="1:6" x14ac:dyDescent="0.2">
      <c r="A11001" t="s">
        <v>18906</v>
      </c>
      <c r="B11001" t="s">
        <v>18907</v>
      </c>
      <c r="C11001" t="s">
        <v>160</v>
      </c>
      <c r="D11001" t="s">
        <v>27</v>
      </c>
      <c r="E11001" t="s">
        <v>158</v>
      </c>
      <c r="F11001" s="2" t="str">
        <f>HYPERLINK("http://www.otzar.org/book.asp?23441","הושיע ציון")</f>
        <v>הושיע ציון</v>
      </c>
    </row>
    <row r="11002" spans="1:6" x14ac:dyDescent="0.2">
      <c r="A11002" t="s">
        <v>18908</v>
      </c>
      <c r="B11002" t="s">
        <v>18909</v>
      </c>
      <c r="C11002" t="s">
        <v>37</v>
      </c>
      <c r="D11002" t="s">
        <v>52</v>
      </c>
      <c r="E11002" t="s">
        <v>18910</v>
      </c>
      <c r="F11002" s="2" t="str">
        <f>HYPERLINK("http://www.otzar.org/book.asp?176816","הושענות המבואר &lt;נוסח עדן&gt;")</f>
        <v>הושענות המבואר &lt;נוסח עדן&gt;</v>
      </c>
    </row>
    <row r="11003" spans="1:6" x14ac:dyDescent="0.2">
      <c r="A11003" t="s">
        <v>18911</v>
      </c>
      <c r="B11003" t="s">
        <v>18912</v>
      </c>
      <c r="C11003" t="s">
        <v>1441</v>
      </c>
      <c r="D11003" t="s">
        <v>3963</v>
      </c>
      <c r="E11003" t="s">
        <v>219</v>
      </c>
      <c r="F11003" s="2" t="str">
        <f>HYPERLINK("http://www.otzar.org/book.asp?146869","הושענות לסכות עם פירוש")</f>
        <v>הושענות לסכות עם פירוש</v>
      </c>
    </row>
    <row r="11004" spans="1:6" x14ac:dyDescent="0.2">
      <c r="A11004" t="s">
        <v>18913</v>
      </c>
      <c r="B11004" t="s">
        <v>206</v>
      </c>
      <c r="C11004" t="s">
        <v>20</v>
      </c>
      <c r="D11004" t="s">
        <v>90</v>
      </c>
      <c r="F11004" s="2" t="str">
        <f>HYPERLINK("http://www.otzar.org/book.asp?605849","הזדמנות לברכת השבת ובנים גדולי ישראל")</f>
        <v>הזדמנות לברכת השבת ובנים גדולי ישראל</v>
      </c>
    </row>
    <row r="11005" spans="1:6" x14ac:dyDescent="0.2">
      <c r="A11005" t="s">
        <v>18914</v>
      </c>
      <c r="B11005" t="s">
        <v>18915</v>
      </c>
      <c r="C11005" t="s">
        <v>785</v>
      </c>
      <c r="D11005" t="s">
        <v>216</v>
      </c>
      <c r="E11005" t="s">
        <v>399</v>
      </c>
      <c r="F11005" s="2" t="str">
        <f>HYPERLINK("http://www.otzar.org/book.asp?176846","הזהר בנגלה")</f>
        <v>הזהר בנגלה</v>
      </c>
    </row>
    <row r="11006" spans="1:6" x14ac:dyDescent="0.2">
      <c r="A11006" t="s">
        <v>18916</v>
      </c>
      <c r="B11006" t="s">
        <v>18917</v>
      </c>
      <c r="C11006" t="s">
        <v>20</v>
      </c>
      <c r="D11006" t="s">
        <v>90</v>
      </c>
      <c r="E11006" t="s">
        <v>399</v>
      </c>
      <c r="F11006" s="2" t="str">
        <f>HYPERLINK("http://www.otzar.org/book.asp?171373","הזהר הקדוש עם תרגום לה""ק - 14 כר'")</f>
        <v>הזהר הקדוש עם תרגום לה"ק - 14 כר'</v>
      </c>
    </row>
    <row r="11007" spans="1:6" x14ac:dyDescent="0.2">
      <c r="A11007" t="s">
        <v>18918</v>
      </c>
      <c r="B11007" t="s">
        <v>18919</v>
      </c>
      <c r="C11007" t="s">
        <v>68</v>
      </c>
      <c r="D11007" t="s">
        <v>80</v>
      </c>
      <c r="E11007" t="s">
        <v>119</v>
      </c>
      <c r="F11007" s="2" t="str">
        <f>HYPERLINK("http://www.otzar.org/book.asp?600320","הזוהר של הצדיק")</f>
        <v>הזוהר של הצדיק</v>
      </c>
    </row>
    <row r="11008" spans="1:6" x14ac:dyDescent="0.2">
      <c r="A11008" t="s">
        <v>18920</v>
      </c>
      <c r="B11008" t="s">
        <v>8070</v>
      </c>
      <c r="C11008" t="s">
        <v>111</v>
      </c>
      <c r="D11008" t="s">
        <v>152</v>
      </c>
      <c r="E11008" t="s">
        <v>104</v>
      </c>
      <c r="F11008" s="2" t="str">
        <f>HYPERLINK("http://www.otzar.org/book.asp?630863","הזיו לך")</f>
        <v>הזיו לך</v>
      </c>
    </row>
    <row r="11009" spans="1:6" x14ac:dyDescent="0.2">
      <c r="A11009" t="s">
        <v>18921</v>
      </c>
      <c r="B11009" t="s">
        <v>18922</v>
      </c>
      <c r="C11009" t="s">
        <v>13</v>
      </c>
      <c r="D11009" t="s">
        <v>9530</v>
      </c>
      <c r="E11009" t="s">
        <v>119</v>
      </c>
      <c r="F11009" s="2" t="str">
        <f>HYPERLINK("http://www.otzar.org/book.asp?625474","הזיידע - רבי אפרים שמואל פפרמן")</f>
        <v>הזיידע - רבי אפרים שמואל פפרמן</v>
      </c>
    </row>
    <row r="11010" spans="1:6" x14ac:dyDescent="0.2">
      <c r="A11010" t="s">
        <v>18923</v>
      </c>
      <c r="B11010" t="s">
        <v>107</v>
      </c>
      <c r="C11010" t="s">
        <v>767</v>
      </c>
      <c r="D11010" t="s">
        <v>14</v>
      </c>
      <c r="E11010" t="s">
        <v>213</v>
      </c>
      <c r="F11010" s="2" t="str">
        <f>HYPERLINK("http://www.otzar.org/book.asp?148259","הזמן והעת")</f>
        <v>הזמן והעת</v>
      </c>
    </row>
    <row r="11011" spans="1:6" x14ac:dyDescent="0.2">
      <c r="A11011" t="s">
        <v>18924</v>
      </c>
      <c r="B11011" t="s">
        <v>4469</v>
      </c>
      <c r="C11011" t="s">
        <v>767</v>
      </c>
      <c r="D11011" t="s">
        <v>52</v>
      </c>
      <c r="E11011" t="s">
        <v>104</v>
      </c>
      <c r="F11011" s="2" t="str">
        <f>HYPERLINK("http://www.otzar.org/book.asp?168483","הזמנים בהלכה - 2 כר'")</f>
        <v>הזמנים בהלכה - 2 כר'</v>
      </c>
    </row>
    <row r="11012" spans="1:6" x14ac:dyDescent="0.2">
      <c r="A11012" t="s">
        <v>18925</v>
      </c>
      <c r="B11012" t="s">
        <v>18926</v>
      </c>
      <c r="C11012" t="s">
        <v>151</v>
      </c>
      <c r="D11012" t="s">
        <v>52</v>
      </c>
      <c r="E11012" t="s">
        <v>104</v>
      </c>
      <c r="F11012" s="2" t="str">
        <f>HYPERLINK("http://www.otzar.org/book.asp?621258","הזמנים להלכה ולמעשה")</f>
        <v>הזמנים להלכה ולמעשה</v>
      </c>
    </row>
    <row r="11013" spans="1:6" x14ac:dyDescent="0.2">
      <c r="A11013" t="s">
        <v>18927</v>
      </c>
      <c r="B11013" t="s">
        <v>1363</v>
      </c>
      <c r="C11013" t="s">
        <v>427</v>
      </c>
      <c r="D11013" t="s">
        <v>9</v>
      </c>
      <c r="E11013" t="s">
        <v>130</v>
      </c>
      <c r="F11013" s="2" t="str">
        <f>HYPERLINK("http://www.otzar.org/book.asp?198393","הזמנים")</f>
        <v>הזמנים</v>
      </c>
    </row>
    <row r="11014" spans="1:6" x14ac:dyDescent="0.2">
      <c r="A11014" t="s">
        <v>18928</v>
      </c>
      <c r="B11014" t="s">
        <v>1750</v>
      </c>
      <c r="C11014" t="s">
        <v>1388</v>
      </c>
      <c r="D11014" t="s">
        <v>14</v>
      </c>
      <c r="E11014" t="s">
        <v>18929</v>
      </c>
      <c r="F11014" s="2" t="str">
        <f>HYPERLINK("http://www.otzar.org/book.asp?12630","הזקנה ביהדות - א")</f>
        <v>הזקנה ביהדות - א</v>
      </c>
    </row>
    <row r="11015" spans="1:6" x14ac:dyDescent="0.2">
      <c r="A11015" t="s">
        <v>18930</v>
      </c>
      <c r="B11015" t="s">
        <v>18931</v>
      </c>
      <c r="C11015" t="s">
        <v>466</v>
      </c>
      <c r="D11015" t="s">
        <v>52</v>
      </c>
      <c r="E11015" t="s">
        <v>119</v>
      </c>
      <c r="F11015" s="2" t="str">
        <f>HYPERLINK("http://www.otzar.org/book.asp?61635","הזריחה בפאתי קדם - 3 כר'")</f>
        <v>הזריחה בפאתי קדם - 3 כר'</v>
      </c>
    </row>
    <row r="11016" spans="1:6" x14ac:dyDescent="0.2">
      <c r="A11016" t="s">
        <v>18932</v>
      </c>
      <c r="B11016" t="s">
        <v>7913</v>
      </c>
      <c r="C11016" t="s">
        <v>18933</v>
      </c>
      <c r="D11016" t="s">
        <v>1490</v>
      </c>
      <c r="F11016" s="2" t="str">
        <f>HYPERLINK("http://www.otzar.org/book.asp?53354","החבור הגדול מההלכות הנהוגות  &lt;הלכות רב אלפס&gt; - ב")</f>
        <v>החבור הגדול מההלכות הנהוגות  &lt;הלכות רב אלפס&gt; - ב</v>
      </c>
    </row>
    <row r="11017" spans="1:6" x14ac:dyDescent="0.2">
      <c r="A11017" t="s">
        <v>18934</v>
      </c>
      <c r="B11017" t="s">
        <v>7913</v>
      </c>
      <c r="C11017" t="s">
        <v>18933</v>
      </c>
      <c r="D11017" t="s">
        <v>1490</v>
      </c>
      <c r="F11017" s="2" t="str">
        <f>HYPERLINK("http://www.otzar.org/book.asp?614568","החבור הגדול מההלכות הנהוגות  &lt;רי""ף קושטא&gt; - 4 כר'")</f>
        <v>החבור הגדול מההלכות הנהוגות  &lt;רי"ף קושטא&gt; - 4 כר'</v>
      </c>
    </row>
    <row r="11018" spans="1:6" x14ac:dyDescent="0.2">
      <c r="A11018" t="s">
        <v>18935</v>
      </c>
      <c r="B11018" t="s">
        <v>7913</v>
      </c>
      <c r="C11018" t="s">
        <v>18933</v>
      </c>
      <c r="D11018" t="s">
        <v>1490</v>
      </c>
      <c r="F11018" s="2" t="str">
        <f>HYPERLINK("http://www.otzar.org/book.asp?53353","החבור הגדול מההלכות הנהוגות &lt;הלכות רב אלפס&gt; - 5 כר'")</f>
        <v>החבור הגדול מההלכות הנהוגות &lt;הלכות רב אלפס&gt; - 5 כר'</v>
      </c>
    </row>
    <row r="11019" spans="1:6" x14ac:dyDescent="0.2">
      <c r="A11019" t="s">
        <v>18936</v>
      </c>
      <c r="B11019" t="s">
        <v>8205</v>
      </c>
      <c r="C11019" t="s">
        <v>3106</v>
      </c>
      <c r="D11019" t="s">
        <v>90</v>
      </c>
      <c r="E11019" t="s">
        <v>202</v>
      </c>
      <c r="F11019" s="2" t="str">
        <f>HYPERLINK("http://www.otzar.org/book.asp?148728","החבר התורתי - א")</f>
        <v>החבר התורתי - א</v>
      </c>
    </row>
    <row r="11020" spans="1:6" x14ac:dyDescent="0.2">
      <c r="A11020" t="s">
        <v>18937</v>
      </c>
      <c r="B11020" t="s">
        <v>18938</v>
      </c>
      <c r="C11020" t="s">
        <v>775</v>
      </c>
      <c r="D11020" t="s">
        <v>14</v>
      </c>
      <c r="E11020" t="s">
        <v>241</v>
      </c>
      <c r="F11020" s="2" t="str">
        <f>HYPERLINK("http://www.otzar.org/book.asp?156022","החברה והשפעתה")</f>
        <v>החברה והשפעתה</v>
      </c>
    </row>
    <row r="11021" spans="1:6" x14ac:dyDescent="0.2">
      <c r="A11021" t="s">
        <v>18939</v>
      </c>
      <c r="B11021" t="s">
        <v>18940</v>
      </c>
      <c r="C11021" t="s">
        <v>37</v>
      </c>
      <c r="D11021" t="s">
        <v>14</v>
      </c>
      <c r="F11021" s="2" t="str">
        <f>HYPERLINK("http://www.otzar.org/book.asp?182800","החברותא")</f>
        <v>החברותא</v>
      </c>
    </row>
    <row r="11022" spans="1:6" x14ac:dyDescent="0.2">
      <c r="A11022" t="s">
        <v>18941</v>
      </c>
      <c r="B11022" t="s">
        <v>8229</v>
      </c>
      <c r="C11022" t="s">
        <v>103</v>
      </c>
      <c r="D11022" t="s">
        <v>14</v>
      </c>
      <c r="E11022" t="s">
        <v>130</v>
      </c>
      <c r="F11022" s="2" t="str">
        <f>HYPERLINK("http://www.otzar.org/book.asp?143934","החדש אשר נהפך")</f>
        <v>החדש אשר נהפך</v>
      </c>
    </row>
    <row r="11023" spans="1:6" x14ac:dyDescent="0.2">
      <c r="A11023" t="s">
        <v>18942</v>
      </c>
      <c r="B11023" t="s">
        <v>732</v>
      </c>
      <c r="C11023" t="s">
        <v>224</v>
      </c>
      <c r="D11023" t="s">
        <v>27</v>
      </c>
      <c r="E11023" t="s">
        <v>119</v>
      </c>
      <c r="F11023" s="2" t="str">
        <f>HYPERLINK("http://www.otzar.org/book.asp?188655","החובב הבונה מר משה קנטרוביץ")</f>
        <v>החובב הבונה מר משה קנטרוביץ</v>
      </c>
    </row>
    <row r="11024" spans="1:6" x14ac:dyDescent="0.2">
      <c r="A11024" t="s">
        <v>18943</v>
      </c>
      <c r="B11024" t="s">
        <v>1702</v>
      </c>
      <c r="C11024" t="s">
        <v>244</v>
      </c>
      <c r="D11024" t="s">
        <v>52</v>
      </c>
      <c r="F11024" s="2" t="str">
        <f>HYPERLINK("http://www.otzar.org/book.asp?610138","החובות של רבינו הגר""ח קנייבסקי")</f>
        <v>החובות של רבינו הגר"ח קנייבסקי</v>
      </c>
    </row>
    <row r="11025" spans="1:6" x14ac:dyDescent="0.2">
      <c r="A11025" t="s">
        <v>18944</v>
      </c>
      <c r="B11025" t="s">
        <v>5213</v>
      </c>
      <c r="C11025" t="s">
        <v>37</v>
      </c>
      <c r="D11025" t="s">
        <v>14</v>
      </c>
      <c r="F11025" s="2" t="str">
        <f>HYPERLINK("http://www.otzar.org/book.asp?191129","החודש אשר בו ישועות מקיפות")</f>
        <v>החודש אשר בו ישועות מקיפות</v>
      </c>
    </row>
    <row r="11026" spans="1:6" x14ac:dyDescent="0.2">
      <c r="A11026" t="s">
        <v>18945</v>
      </c>
      <c r="B11026" t="s">
        <v>18946</v>
      </c>
      <c r="C11026" t="s">
        <v>422</v>
      </c>
      <c r="D11026" t="s">
        <v>2468</v>
      </c>
      <c r="E11026" t="s">
        <v>18947</v>
      </c>
      <c r="F11026" s="2" t="str">
        <f>HYPERLINK("http://www.otzar.org/book.asp?150936","החודש השביעי")</f>
        <v>החודש השביעי</v>
      </c>
    </row>
    <row r="11027" spans="1:6" x14ac:dyDescent="0.2">
      <c r="A11027" t="s">
        <v>18948</v>
      </c>
      <c r="B11027" t="s">
        <v>1733</v>
      </c>
      <c r="C11027" t="s">
        <v>168</v>
      </c>
      <c r="D11027" t="s">
        <v>52</v>
      </c>
      <c r="E11027" t="s">
        <v>119</v>
      </c>
      <c r="F11027" s="2" t="str">
        <f>HYPERLINK("http://www.otzar.org/book.asp?60751","החוזה מלובלין")</f>
        <v>החוזה מלובלין</v>
      </c>
    </row>
    <row r="11028" spans="1:6" x14ac:dyDescent="0.2">
      <c r="A11028" t="s">
        <v>18949</v>
      </c>
      <c r="B11028" t="s">
        <v>1733</v>
      </c>
      <c r="C11028" t="s">
        <v>585</v>
      </c>
      <c r="D11028" t="s">
        <v>52</v>
      </c>
      <c r="E11028" t="s">
        <v>733</v>
      </c>
      <c r="F11028" s="2" t="str">
        <f>HYPERLINK("http://www.otzar.org/book.asp?60753","החוזרים בתשובה")</f>
        <v>החוזרים בתשובה</v>
      </c>
    </row>
    <row r="11029" spans="1:6" x14ac:dyDescent="0.2">
      <c r="A11029" t="s">
        <v>18950</v>
      </c>
      <c r="B11029" t="s">
        <v>10621</v>
      </c>
      <c r="C11029" t="s">
        <v>129</v>
      </c>
      <c r="D11029" t="s">
        <v>14</v>
      </c>
      <c r="F11029" s="2" t="str">
        <f>HYPERLINK("http://www.otzar.org/book.asp?610771","החוט המשולש")</f>
        <v>החוט המשולש</v>
      </c>
    </row>
    <row r="11030" spans="1:6" x14ac:dyDescent="0.2">
      <c r="A11030" t="s">
        <v>18950</v>
      </c>
      <c r="B11030" t="s">
        <v>7876</v>
      </c>
      <c r="C11030" t="s">
        <v>427</v>
      </c>
      <c r="D11030" t="s">
        <v>14</v>
      </c>
      <c r="E11030" t="s">
        <v>246</v>
      </c>
      <c r="F11030" s="2" t="str">
        <f>HYPERLINK("http://www.otzar.org/book.asp?158664","החוט המשולש")</f>
        <v>החוט המשולש</v>
      </c>
    </row>
    <row r="11031" spans="1:6" x14ac:dyDescent="0.2">
      <c r="A11031" t="s">
        <v>18951</v>
      </c>
      <c r="B11031" t="s">
        <v>1750</v>
      </c>
      <c r="C11031" t="s">
        <v>114</v>
      </c>
      <c r="D11031" t="s">
        <v>52</v>
      </c>
      <c r="E11031" t="s">
        <v>154</v>
      </c>
      <c r="F11031" s="2" t="str">
        <f>HYPERLINK("http://www.otzar.org/book.asp?168204","החוט המשולש - 7 כר'")</f>
        <v>החוט המשולש - 7 כר'</v>
      </c>
    </row>
    <row r="11032" spans="1:6" x14ac:dyDescent="0.2">
      <c r="A11032" t="s">
        <v>18950</v>
      </c>
      <c r="B11032" t="s">
        <v>18952</v>
      </c>
      <c r="C11032" t="s">
        <v>20</v>
      </c>
      <c r="D11032" t="s">
        <v>2458</v>
      </c>
      <c r="E11032" t="s">
        <v>241</v>
      </c>
      <c r="F11032" s="2" t="str">
        <f>HYPERLINK("http://www.otzar.org/book.asp?182062","החוט המשולש")</f>
        <v>החוט המשולש</v>
      </c>
    </row>
    <row r="11033" spans="1:6" x14ac:dyDescent="0.2">
      <c r="A11033" t="s">
        <v>18953</v>
      </c>
      <c r="B11033" t="s">
        <v>7017</v>
      </c>
      <c r="C11033" t="s">
        <v>20</v>
      </c>
      <c r="D11033" t="s">
        <v>14</v>
      </c>
      <c r="E11033" t="s">
        <v>674</v>
      </c>
      <c r="F11033" s="2" t="str">
        <f>HYPERLINK("http://www.otzar.org/book.asp?12643","החולה הסופני")</f>
        <v>החולה הסופני</v>
      </c>
    </row>
    <row r="11034" spans="1:6" x14ac:dyDescent="0.2">
      <c r="A11034" t="s">
        <v>18954</v>
      </c>
      <c r="B11034" t="s">
        <v>18955</v>
      </c>
      <c r="C11034" t="s">
        <v>1150</v>
      </c>
      <c r="D11034" t="s">
        <v>267</v>
      </c>
      <c r="E11034" t="s">
        <v>119</v>
      </c>
      <c r="F11034" s="2" t="str">
        <f>HYPERLINK("http://www.otzar.org/book.asp?189585","החולץ")</f>
        <v>החולץ</v>
      </c>
    </row>
    <row r="11035" spans="1:6" x14ac:dyDescent="0.2">
      <c r="A11035" t="s">
        <v>18956</v>
      </c>
      <c r="B11035" t="s">
        <v>732</v>
      </c>
      <c r="C11035" t="s">
        <v>576</v>
      </c>
      <c r="D11035" t="s">
        <v>27</v>
      </c>
      <c r="E11035" t="s">
        <v>104</v>
      </c>
      <c r="F11035" s="2" t="str">
        <f>HYPERLINK("http://www.otzar.org/book.asp?188637","החומה ושעריה")</f>
        <v>החומה ושעריה</v>
      </c>
    </row>
    <row r="11036" spans="1:6" x14ac:dyDescent="0.2">
      <c r="A11036" t="s">
        <v>18957</v>
      </c>
      <c r="B11036" t="s">
        <v>18958</v>
      </c>
      <c r="C11036" t="s">
        <v>18959</v>
      </c>
      <c r="D11036" t="s">
        <v>21</v>
      </c>
      <c r="E11036" t="s">
        <v>202</v>
      </c>
      <c r="F11036" s="2" t="str">
        <f>HYPERLINK("http://www.otzar.org/book.asp?604418","החומה - 17 כר'")</f>
        <v>החומה - 17 כר'</v>
      </c>
    </row>
    <row r="11037" spans="1:6" x14ac:dyDescent="0.2">
      <c r="A11037" t="s">
        <v>18960</v>
      </c>
      <c r="B11037" t="s">
        <v>17145</v>
      </c>
      <c r="C11037" t="s">
        <v>1811</v>
      </c>
      <c r="D11037" t="s">
        <v>14</v>
      </c>
      <c r="F11037" s="2" t="str">
        <f>HYPERLINK("http://www.otzar.org/book.asp?199273","החומר ההיסטורי בשאלות ותשובות ר' ישראל ברונא")</f>
        <v>החומר ההיסטורי בשאלות ותשובות ר' ישראל ברונא</v>
      </c>
    </row>
    <row r="11038" spans="1:6" x14ac:dyDescent="0.2">
      <c r="A11038" t="s">
        <v>18961</v>
      </c>
      <c r="B11038" t="s">
        <v>18962</v>
      </c>
      <c r="C11038" t="s">
        <v>13</v>
      </c>
      <c r="D11038" t="s">
        <v>52</v>
      </c>
      <c r="E11038" t="s">
        <v>158</v>
      </c>
      <c r="F11038" s="2" t="str">
        <f>HYPERLINK("http://www.otzar.org/book.asp?85255","החומש המדוייק &lt;ביאור איש מצליח&gt; - 5 כר'")</f>
        <v>החומש המדוייק &lt;ביאור איש מצליח&gt; - 5 כר'</v>
      </c>
    </row>
    <row r="11039" spans="1:6" x14ac:dyDescent="0.2">
      <c r="A11039" t="s">
        <v>18963</v>
      </c>
      <c r="B11039" t="s">
        <v>18962</v>
      </c>
      <c r="C11039" t="s">
        <v>51</v>
      </c>
      <c r="D11039" t="s">
        <v>52</v>
      </c>
      <c r="E11039" t="s">
        <v>158</v>
      </c>
      <c r="F11039" s="2" t="str">
        <f>HYPERLINK("http://www.otzar.org/book.asp?85225","החומש המדוייק - 5 כר'")</f>
        <v>החומש המדוייק - 5 כר'</v>
      </c>
    </row>
    <row r="11040" spans="1:6" x14ac:dyDescent="0.2">
      <c r="A11040" t="s">
        <v>18964</v>
      </c>
      <c r="B11040" t="s">
        <v>3384</v>
      </c>
      <c r="C11040" t="s">
        <v>624</v>
      </c>
      <c r="D11040" t="s">
        <v>14</v>
      </c>
      <c r="E11040" t="s">
        <v>674</v>
      </c>
      <c r="F11040" s="2" t="str">
        <f>HYPERLINK("http://www.otzar.org/book.asp?60444","החופה והנישואין - 2 כר'")</f>
        <v>החופה והנישואין - 2 כר'</v>
      </c>
    </row>
    <row r="11041" spans="1:6" x14ac:dyDescent="0.2">
      <c r="A11041" t="s">
        <v>18965</v>
      </c>
      <c r="B11041" t="s">
        <v>17125</v>
      </c>
      <c r="C11041" t="s">
        <v>23</v>
      </c>
      <c r="D11041" t="s">
        <v>14</v>
      </c>
      <c r="E11041" t="s">
        <v>172</v>
      </c>
      <c r="F11041" s="2" t="str">
        <f>HYPERLINK("http://www.otzar.org/book.asp?625490","החושן והמשפט - 5 כר'")</f>
        <v>החושן והמשפט - 5 כר'</v>
      </c>
    </row>
    <row r="11042" spans="1:6" x14ac:dyDescent="0.2">
      <c r="A11042" t="s">
        <v>18966</v>
      </c>
      <c r="B11042" t="s">
        <v>18967</v>
      </c>
      <c r="C11042" t="s">
        <v>20</v>
      </c>
      <c r="D11042" t="s">
        <v>90</v>
      </c>
      <c r="E11042" t="s">
        <v>5712</v>
      </c>
      <c r="F11042" s="2" t="str">
        <f>HYPERLINK("http://www.otzar.org/book.asp?192347","החותמת והפתילים - ברכת אליהו")</f>
        <v>החותמת והפתילים - ברכת אליהו</v>
      </c>
    </row>
    <row r="11043" spans="1:6" x14ac:dyDescent="0.2">
      <c r="A11043" t="s">
        <v>18968</v>
      </c>
      <c r="B11043" t="s">
        <v>3554</v>
      </c>
      <c r="C11043" t="s">
        <v>1388</v>
      </c>
      <c r="D11043" t="s">
        <v>52</v>
      </c>
      <c r="E11043" t="s">
        <v>119</v>
      </c>
      <c r="F11043" s="2" t="str">
        <f>HYPERLINK("http://www.otzar.org/book.asp?144131","החזון איש בדורותיו")</f>
        <v>החזון איש בדורותיו</v>
      </c>
    </row>
    <row r="11044" spans="1:6" x14ac:dyDescent="0.2">
      <c r="A11044" t="s">
        <v>18969</v>
      </c>
      <c r="B11044" t="s">
        <v>18970</v>
      </c>
      <c r="C11044" t="s">
        <v>1374</v>
      </c>
      <c r="D11044" t="s">
        <v>691</v>
      </c>
      <c r="E11044" t="s">
        <v>234</v>
      </c>
      <c r="F11044" s="2" t="str">
        <f>HYPERLINK("http://www.otzar.org/book.asp?176856","החזיון והתיקון")</f>
        <v>החזיון והתיקון</v>
      </c>
    </row>
    <row r="11045" spans="1:6" x14ac:dyDescent="0.2">
      <c r="A11045" t="s">
        <v>18971</v>
      </c>
      <c r="B11045" t="s">
        <v>5293</v>
      </c>
      <c r="C11045" t="s">
        <v>23</v>
      </c>
      <c r="D11045" t="s">
        <v>14</v>
      </c>
      <c r="F11045" s="2" t="str">
        <f>HYPERLINK("http://www.otzar.org/book.asp?614846","החזק במוסר אל תרף")</f>
        <v>החזק במוסר אל תרף</v>
      </c>
    </row>
    <row r="11046" spans="1:6" x14ac:dyDescent="0.2">
      <c r="A11046" t="s">
        <v>18972</v>
      </c>
      <c r="B11046" t="s">
        <v>18973</v>
      </c>
      <c r="C11046" t="s">
        <v>114</v>
      </c>
      <c r="D11046" t="s">
        <v>52</v>
      </c>
      <c r="E11046" t="s">
        <v>241</v>
      </c>
      <c r="F11046" s="2" t="str">
        <f>HYPERLINK("http://www.otzar.org/book.asp?162830","החזק במוסר")</f>
        <v>החזק במוסר</v>
      </c>
    </row>
    <row r="11047" spans="1:6" x14ac:dyDescent="0.2">
      <c r="A11047" t="s">
        <v>18972</v>
      </c>
      <c r="B11047" t="s">
        <v>18974</v>
      </c>
      <c r="C11047" t="s">
        <v>146</v>
      </c>
      <c r="D11047" t="s">
        <v>412</v>
      </c>
      <c r="E11047" t="s">
        <v>241</v>
      </c>
      <c r="F11047" s="2" t="str">
        <f>HYPERLINK("http://www.otzar.org/book.asp?606260","החזק במוסר")</f>
        <v>החזק במוסר</v>
      </c>
    </row>
    <row r="11048" spans="1:6" x14ac:dyDescent="0.2">
      <c r="A11048" t="s">
        <v>18972</v>
      </c>
      <c r="B11048" t="s">
        <v>107</v>
      </c>
      <c r="C11048" t="s">
        <v>51</v>
      </c>
      <c r="D11048" t="s">
        <v>14</v>
      </c>
      <c r="E11048" t="s">
        <v>241</v>
      </c>
      <c r="F11048" s="2" t="str">
        <f>HYPERLINK("http://www.otzar.org/book.asp?84439","החזק במוסר")</f>
        <v>החזק במוסר</v>
      </c>
    </row>
    <row r="11049" spans="1:6" x14ac:dyDescent="0.2">
      <c r="A11049" t="s">
        <v>18975</v>
      </c>
      <c r="B11049" t="s">
        <v>18976</v>
      </c>
      <c r="C11049" t="s">
        <v>286</v>
      </c>
      <c r="D11049" t="s">
        <v>27</v>
      </c>
      <c r="E11049" t="s">
        <v>104</v>
      </c>
      <c r="F11049" s="2" t="str">
        <f>HYPERLINK("http://www.otzar.org/book.asp?7283","החזקת התורה")</f>
        <v>החזקת התורה</v>
      </c>
    </row>
    <row r="11050" spans="1:6" x14ac:dyDescent="0.2">
      <c r="A11050" t="s">
        <v>18977</v>
      </c>
      <c r="B11050" t="s">
        <v>18978</v>
      </c>
      <c r="C11050" t="s">
        <v>843</v>
      </c>
      <c r="D11050" t="s">
        <v>27</v>
      </c>
      <c r="E11050" t="s">
        <v>119</v>
      </c>
      <c r="F11050" s="2" t="str">
        <f>HYPERLINK("http://www.otzar.org/book.asp?631","החיד""א")</f>
        <v>החיד"א</v>
      </c>
    </row>
    <row r="11051" spans="1:6" x14ac:dyDescent="0.2">
      <c r="A11051" t="s">
        <v>18979</v>
      </c>
      <c r="B11051" t="s">
        <v>9079</v>
      </c>
      <c r="C11051" t="s">
        <v>68</v>
      </c>
      <c r="D11051" t="s">
        <v>14</v>
      </c>
      <c r="E11051" t="s">
        <v>15</v>
      </c>
      <c r="F11051" s="2" t="str">
        <f>HYPERLINK("http://www.otzar.org/book.asp?154281","החיים בהלכה")</f>
        <v>החיים בהלכה</v>
      </c>
    </row>
    <row r="11052" spans="1:6" x14ac:dyDescent="0.2">
      <c r="A11052" t="s">
        <v>18980</v>
      </c>
      <c r="B11052" t="s">
        <v>3191</v>
      </c>
      <c r="C11052" t="s">
        <v>71</v>
      </c>
      <c r="D11052" t="s">
        <v>14</v>
      </c>
      <c r="E11052" t="s">
        <v>733</v>
      </c>
      <c r="F11052" s="2" t="str">
        <f>HYPERLINK("http://www.otzar.org/book.asp?23013","החיים בימי רש""י")</f>
        <v>החיים בימי רש"י</v>
      </c>
    </row>
    <row r="11053" spans="1:6" x14ac:dyDescent="0.2">
      <c r="A11053" t="s">
        <v>18981</v>
      </c>
      <c r="B11053" t="s">
        <v>18982</v>
      </c>
      <c r="C11053" t="s">
        <v>1470</v>
      </c>
      <c r="D11053" t="s">
        <v>9</v>
      </c>
      <c r="E11053" t="s">
        <v>16965</v>
      </c>
      <c r="F11053" s="2" t="str">
        <f>HYPERLINK("http://www.otzar.org/book.asp?51330","החיים והמות")</f>
        <v>החיים והמות</v>
      </c>
    </row>
    <row r="11054" spans="1:6" x14ac:dyDescent="0.2">
      <c r="A11054" t="s">
        <v>18983</v>
      </c>
      <c r="B11054" t="s">
        <v>8498</v>
      </c>
      <c r="C11054" t="s">
        <v>1202</v>
      </c>
      <c r="D11054" t="s">
        <v>412</v>
      </c>
      <c r="E11054" t="s">
        <v>234</v>
      </c>
      <c r="F11054" s="2" t="str">
        <f>HYPERLINK("http://www.otzar.org/book.asp?101256","החיים והשלום")</f>
        <v>החיים והשלום</v>
      </c>
    </row>
    <row r="11055" spans="1:6" x14ac:dyDescent="0.2">
      <c r="A11055" t="s">
        <v>18984</v>
      </c>
      <c r="B11055" t="s">
        <v>18985</v>
      </c>
      <c r="C11055" t="s">
        <v>18986</v>
      </c>
      <c r="D11055" t="s">
        <v>21</v>
      </c>
      <c r="E11055" t="s">
        <v>234</v>
      </c>
      <c r="F11055" s="2" t="str">
        <f>HYPERLINK("http://www.otzar.org/book.asp?197338","החיים והשלום - א")</f>
        <v>החיים והשלום - א</v>
      </c>
    </row>
    <row r="11056" spans="1:6" x14ac:dyDescent="0.2">
      <c r="A11056" t="s">
        <v>18983</v>
      </c>
      <c r="B11056" t="s">
        <v>18987</v>
      </c>
      <c r="C11056" t="s">
        <v>1388</v>
      </c>
      <c r="D11056" t="s">
        <v>14</v>
      </c>
      <c r="E11056" t="s">
        <v>588</v>
      </c>
      <c r="F11056" s="2" t="str">
        <f>HYPERLINK("http://www.otzar.org/book.asp?64347","החיים והשלום")</f>
        <v>החיים והשלום</v>
      </c>
    </row>
    <row r="11057" spans="1:6" x14ac:dyDescent="0.2">
      <c r="A11057" t="s">
        <v>18988</v>
      </c>
      <c r="B11057" t="s">
        <v>18989</v>
      </c>
      <c r="C11057" t="s">
        <v>466</v>
      </c>
      <c r="D11057" t="s">
        <v>14</v>
      </c>
      <c r="F11057" s="2" t="str">
        <f>HYPERLINK("http://www.otzar.org/book.asp?189727","החיים כגשר")</f>
        <v>החיים כגשר</v>
      </c>
    </row>
    <row r="11058" spans="1:6" x14ac:dyDescent="0.2">
      <c r="A11058" t="s">
        <v>18990</v>
      </c>
      <c r="B11058" t="s">
        <v>102</v>
      </c>
      <c r="C11058" t="s">
        <v>313</v>
      </c>
      <c r="D11058" t="s">
        <v>14</v>
      </c>
      <c r="E11058" t="s">
        <v>241</v>
      </c>
      <c r="F11058" s="2" t="str">
        <f>HYPERLINK("http://www.otzar.org/book.asp?157692","החיים תפקיד")</f>
        <v>החיים תפקיד</v>
      </c>
    </row>
    <row r="11059" spans="1:6" x14ac:dyDescent="0.2">
      <c r="A11059" t="s">
        <v>18991</v>
      </c>
      <c r="B11059" t="s">
        <v>382</v>
      </c>
      <c r="C11059" t="s">
        <v>1202</v>
      </c>
      <c r="D11059" t="s">
        <v>379</v>
      </c>
      <c r="E11059" t="s">
        <v>202</v>
      </c>
      <c r="F11059" s="2" t="str">
        <f>HYPERLINK("http://www.otzar.org/book.asp?142517","החיים")</f>
        <v>החיים</v>
      </c>
    </row>
    <row r="11060" spans="1:6" x14ac:dyDescent="0.2">
      <c r="A11060" t="s">
        <v>18992</v>
      </c>
      <c r="B11060" t="s">
        <v>18570</v>
      </c>
      <c r="C11060" t="s">
        <v>23</v>
      </c>
      <c r="D11060" t="s">
        <v>21</v>
      </c>
      <c r="F11060" s="2" t="str">
        <f>HYPERLINK("http://www.otzar.org/book.asp?610578","החיל והחסן")</f>
        <v>החיל והחסן</v>
      </c>
    </row>
    <row r="11061" spans="1:6" x14ac:dyDescent="0.2">
      <c r="A11061" t="s">
        <v>18993</v>
      </c>
      <c r="B11061" t="s">
        <v>18994</v>
      </c>
      <c r="C11061" t="s">
        <v>812</v>
      </c>
      <c r="D11061" t="s">
        <v>27</v>
      </c>
      <c r="E11061" t="s">
        <v>621</v>
      </c>
      <c r="F11061" s="2" t="str">
        <f>HYPERLINK("http://www.otzar.org/book.asp?144170","החילוקים שבין אנשי מזרח ובני ארץ ישראל")</f>
        <v>החילוקים שבין אנשי מזרח ובני ארץ ישראל</v>
      </c>
    </row>
    <row r="11062" spans="1:6" x14ac:dyDescent="0.2">
      <c r="A11062" t="s">
        <v>18995</v>
      </c>
      <c r="B11062" t="s">
        <v>408</v>
      </c>
      <c r="C11062" t="s">
        <v>422</v>
      </c>
      <c r="D11062" t="s">
        <v>90</v>
      </c>
      <c r="E11062" t="s">
        <v>104</v>
      </c>
      <c r="F11062" s="2" t="str">
        <f>HYPERLINK("http://www.otzar.org/book.asp?617837","החינוך באותיותיו - 2 כר'")</f>
        <v>החינוך באותיותיו - 2 כר'</v>
      </c>
    </row>
    <row r="11063" spans="1:6" x14ac:dyDescent="0.2">
      <c r="A11063" t="s">
        <v>18996</v>
      </c>
      <c r="B11063" t="s">
        <v>15767</v>
      </c>
      <c r="C11063" t="s">
        <v>956</v>
      </c>
      <c r="D11063" t="s">
        <v>216</v>
      </c>
      <c r="E11063" t="s">
        <v>104</v>
      </c>
      <c r="F11063" s="2" t="str">
        <f>HYPERLINK("http://www.otzar.org/book.asp?148162","החינוך בישראל לפי המקורות")</f>
        <v>החינוך בישראל לפי המקורות</v>
      </c>
    </row>
    <row r="11064" spans="1:6" x14ac:dyDescent="0.2">
      <c r="A11064" t="s">
        <v>18997</v>
      </c>
      <c r="B11064" t="s">
        <v>1614</v>
      </c>
      <c r="C11064" t="s">
        <v>466</v>
      </c>
      <c r="D11064" t="s">
        <v>14</v>
      </c>
      <c r="E11064" t="s">
        <v>104</v>
      </c>
      <c r="F11064" s="2" t="str">
        <f>HYPERLINK("http://www.otzar.org/book.asp?158660","החינוך החרדי - מורשת סיני בדורנו")</f>
        <v>החינוך החרדי - מורשת סיני בדורנו</v>
      </c>
    </row>
    <row r="11065" spans="1:6" x14ac:dyDescent="0.2">
      <c r="A11065" t="s">
        <v>18998</v>
      </c>
      <c r="B11065" t="s">
        <v>107</v>
      </c>
      <c r="C11065" t="s">
        <v>767</v>
      </c>
      <c r="D11065" t="s">
        <v>14</v>
      </c>
      <c r="E11065" t="s">
        <v>104</v>
      </c>
      <c r="F11065" s="2" t="str">
        <f>HYPERLINK("http://www.otzar.org/book.asp?84024","החינוך המיוחד בראי היהדות")</f>
        <v>החינוך המיוחד בראי היהדות</v>
      </c>
    </row>
    <row r="11066" spans="1:6" x14ac:dyDescent="0.2">
      <c r="A11066" t="s">
        <v>18999</v>
      </c>
      <c r="B11066" t="s">
        <v>19000</v>
      </c>
      <c r="C11066" t="s">
        <v>20</v>
      </c>
      <c r="D11066" t="s">
        <v>21</v>
      </c>
      <c r="E11066" t="s">
        <v>104</v>
      </c>
      <c r="F11066" s="2" t="str">
        <f>HYPERLINK("http://www.otzar.org/book.asp?198472","החינוך וההוראה")</f>
        <v>החינוך וההוראה</v>
      </c>
    </row>
    <row r="11067" spans="1:6" x14ac:dyDescent="0.2">
      <c r="A11067" t="s">
        <v>19001</v>
      </c>
      <c r="B11067" t="s">
        <v>19002</v>
      </c>
      <c r="C11067" t="s">
        <v>466</v>
      </c>
      <c r="D11067" t="s">
        <v>14</v>
      </c>
      <c r="E11067" t="s">
        <v>104</v>
      </c>
      <c r="F11067" s="2" t="str">
        <f>HYPERLINK("http://www.otzar.org/book.asp?177111","החינוך ציפור נפשינו")</f>
        <v>החינוך ציפור נפשינו</v>
      </c>
    </row>
    <row r="11068" spans="1:6" x14ac:dyDescent="0.2">
      <c r="A11068" t="s">
        <v>19003</v>
      </c>
      <c r="B11068" t="s">
        <v>19004</v>
      </c>
      <c r="C11068" t="s">
        <v>168</v>
      </c>
      <c r="D11068" t="s">
        <v>216</v>
      </c>
      <c r="E11068" t="s">
        <v>119</v>
      </c>
      <c r="F11068" s="2" t="str">
        <f>HYPERLINK("http://www.otzar.org/book.asp?151971","החכם המופלא - 2 כר'")</f>
        <v>החכם המופלא - 2 כר'</v>
      </c>
    </row>
    <row r="11069" spans="1:6" x14ac:dyDescent="0.2">
      <c r="A11069" t="s">
        <v>19005</v>
      </c>
      <c r="B11069" t="s">
        <v>19006</v>
      </c>
      <c r="C11069" t="s">
        <v>523</v>
      </c>
      <c r="D11069" t="s">
        <v>21</v>
      </c>
      <c r="E11069" t="s">
        <v>119</v>
      </c>
      <c r="F11069" s="2" t="str">
        <f>HYPERLINK("http://www.otzar.org/book.asp?191764","החכם מלייפציג - ר""ש הלוי הורביץ")</f>
        <v>החכם מלייפציג - ר"ש הלוי הורביץ</v>
      </c>
    </row>
    <row r="11070" spans="1:6" x14ac:dyDescent="0.2">
      <c r="A11070" t="s">
        <v>19007</v>
      </c>
      <c r="B11070" t="s">
        <v>19008</v>
      </c>
      <c r="C11070" t="s">
        <v>767</v>
      </c>
      <c r="D11070" t="s">
        <v>52</v>
      </c>
      <c r="E11070" t="s">
        <v>741</v>
      </c>
      <c r="F11070" s="2" t="str">
        <f>HYPERLINK("http://www.otzar.org/book.asp?198614","החכמה מאי""ן")</f>
        <v>החכמה מאי"ן</v>
      </c>
    </row>
    <row r="11071" spans="1:6" x14ac:dyDescent="0.2">
      <c r="A11071" t="s">
        <v>19009</v>
      </c>
      <c r="B11071" t="s">
        <v>19010</v>
      </c>
      <c r="C11071" t="s">
        <v>146</v>
      </c>
      <c r="D11071" t="s">
        <v>14</v>
      </c>
      <c r="E11071" t="s">
        <v>15</v>
      </c>
      <c r="F11071" s="2" t="str">
        <f>HYPERLINK("http://www.otzar.org/book.asp?52721","החלאקה")</f>
        <v>החלאקה</v>
      </c>
    </row>
    <row r="11072" spans="1:6" x14ac:dyDescent="0.2">
      <c r="A11072" t="s">
        <v>19011</v>
      </c>
      <c r="B11072" t="s">
        <v>19012</v>
      </c>
      <c r="C11072" t="s">
        <v>785</v>
      </c>
      <c r="D11072" t="s">
        <v>90</v>
      </c>
      <c r="E11072" t="s">
        <v>104</v>
      </c>
      <c r="F11072" s="2" t="str">
        <f>HYPERLINK("http://www.otzar.org/book.asp?64116","החלוץ מתימן")</f>
        <v>החלוץ מתימן</v>
      </c>
    </row>
    <row r="11073" spans="1:6" x14ac:dyDescent="0.2">
      <c r="A11073" t="s">
        <v>19013</v>
      </c>
      <c r="B11073" t="s">
        <v>19014</v>
      </c>
      <c r="C11073" t="s">
        <v>2105</v>
      </c>
      <c r="D11073" t="s">
        <v>21</v>
      </c>
      <c r="E11073" t="s">
        <v>104</v>
      </c>
      <c r="F11073" s="2" t="str">
        <f>HYPERLINK("http://www.otzar.org/book.asp?196001","החנוך הישראלי")</f>
        <v>החנוך הישראלי</v>
      </c>
    </row>
    <row r="11074" spans="1:6" x14ac:dyDescent="0.2">
      <c r="A11074" t="s">
        <v>19015</v>
      </c>
      <c r="B11074" t="s">
        <v>19016</v>
      </c>
      <c r="C11074" t="s">
        <v>482</v>
      </c>
      <c r="D11074" t="s">
        <v>260</v>
      </c>
      <c r="E11074" t="s">
        <v>213</v>
      </c>
      <c r="F11074" s="2" t="str">
        <f>HYPERLINK("http://www.otzar.org/book.asp?11670","החנוך לאור התקופה")</f>
        <v>החנוך לאור התקופה</v>
      </c>
    </row>
    <row r="11075" spans="1:6" x14ac:dyDescent="0.2">
      <c r="A11075" t="s">
        <v>19017</v>
      </c>
      <c r="B11075" t="s">
        <v>9268</v>
      </c>
      <c r="C11075" t="s">
        <v>20</v>
      </c>
      <c r="D11075" t="s">
        <v>147</v>
      </c>
      <c r="E11075" t="s">
        <v>158</v>
      </c>
      <c r="F11075" s="2" t="str">
        <f>HYPERLINK("http://www.otzar.org/book.asp?160353","החסד והרחמים בגנזי המלך")</f>
        <v>החסד והרחמים בגנזי המלך</v>
      </c>
    </row>
    <row r="11076" spans="1:6" x14ac:dyDescent="0.2">
      <c r="A11076" t="s">
        <v>19018</v>
      </c>
      <c r="B11076" t="s">
        <v>19019</v>
      </c>
      <c r="C11076" t="s">
        <v>785</v>
      </c>
      <c r="D11076" t="s">
        <v>14</v>
      </c>
      <c r="E11076" t="s">
        <v>140</v>
      </c>
      <c r="F11076" s="2" t="str">
        <f>HYPERLINK("http://www.otzar.org/book.asp?174633","החסידות במשנת ראשונים")</f>
        <v>החסידות במשנת ראשונים</v>
      </c>
    </row>
    <row r="11077" spans="1:6" x14ac:dyDescent="0.2">
      <c r="A11077" t="s">
        <v>19020</v>
      </c>
      <c r="B11077" t="s">
        <v>19004</v>
      </c>
      <c r="C11077" t="s">
        <v>1811</v>
      </c>
      <c r="D11077" t="s">
        <v>216</v>
      </c>
      <c r="E11077" t="s">
        <v>140</v>
      </c>
      <c r="F11077" s="2" t="str">
        <f>HYPERLINK("http://www.otzar.org/book.asp?144214","החסידות ברומניה")</f>
        <v>החסידות ברומניה</v>
      </c>
    </row>
    <row r="11078" spans="1:6" x14ac:dyDescent="0.2">
      <c r="A11078" t="s">
        <v>19021</v>
      </c>
      <c r="B11078" t="s">
        <v>19004</v>
      </c>
      <c r="C11078" t="s">
        <v>68</v>
      </c>
      <c r="D11078" t="s">
        <v>21</v>
      </c>
      <c r="E11078" t="s">
        <v>741</v>
      </c>
      <c r="F11078" s="2" t="str">
        <f>HYPERLINK("http://www.otzar.org/book.asp?191262","החסידות וארץ ישראל")</f>
        <v>החסידות וארץ ישראל</v>
      </c>
    </row>
    <row r="11079" spans="1:6" x14ac:dyDescent="0.2">
      <c r="A11079" t="s">
        <v>19022</v>
      </c>
      <c r="B11079" t="s">
        <v>19004</v>
      </c>
      <c r="C11079" t="s">
        <v>176</v>
      </c>
      <c r="D11079" t="s">
        <v>14</v>
      </c>
      <c r="E11079" t="s">
        <v>140</v>
      </c>
      <c r="F11079" s="2" t="str">
        <f>HYPERLINK("http://www.otzar.org/book.asp?149982","החסידות מדור לדור - 2 כר'")</f>
        <v>החסידות מדור לדור - 2 כר'</v>
      </c>
    </row>
    <row r="11080" spans="1:6" x14ac:dyDescent="0.2">
      <c r="A11080" t="s">
        <v>19023</v>
      </c>
      <c r="B11080" t="s">
        <v>19004</v>
      </c>
      <c r="C11080" t="s">
        <v>427</v>
      </c>
      <c r="D11080" t="s">
        <v>216</v>
      </c>
      <c r="E11080" t="s">
        <v>140</v>
      </c>
      <c r="F11080" s="2" t="str">
        <f>HYPERLINK("http://www.otzar.org/book.asp?154344","החסידות")</f>
        <v>החסידות</v>
      </c>
    </row>
    <row r="11081" spans="1:6" x14ac:dyDescent="0.2">
      <c r="A11081" t="s">
        <v>19023</v>
      </c>
      <c r="B11081" t="s">
        <v>19024</v>
      </c>
      <c r="C11081" t="s">
        <v>482</v>
      </c>
      <c r="D11081" t="s">
        <v>260</v>
      </c>
      <c r="E11081" t="s">
        <v>140</v>
      </c>
      <c r="F11081" s="2" t="str">
        <f>HYPERLINK("http://www.otzar.org/book.asp?83878","החסידות")</f>
        <v>החסידות</v>
      </c>
    </row>
    <row r="11082" spans="1:6" x14ac:dyDescent="0.2">
      <c r="A11082" t="s">
        <v>19025</v>
      </c>
      <c r="B11082" t="s">
        <v>1978</v>
      </c>
      <c r="C11082" t="s">
        <v>1811</v>
      </c>
      <c r="D11082" t="s">
        <v>14</v>
      </c>
      <c r="E11082" t="s">
        <v>714</v>
      </c>
      <c r="F11082" s="2" t="str">
        <f>HYPERLINK("http://www.otzar.org/book.asp?163025","החפץ חיים בנתיבות התפילה")</f>
        <v>החפץ חיים בנתיבות התפילה</v>
      </c>
    </row>
    <row r="11083" spans="1:6" x14ac:dyDescent="0.2">
      <c r="A11083" t="s">
        <v>19026</v>
      </c>
      <c r="B11083" t="s">
        <v>19027</v>
      </c>
      <c r="C11083" t="s">
        <v>19028</v>
      </c>
      <c r="D11083" t="s">
        <v>260</v>
      </c>
      <c r="E11083" t="s">
        <v>119</v>
      </c>
      <c r="F11083" s="2" t="str">
        <f>HYPERLINK("http://www.otzar.org/book.asp?104970","החפץ חיים חייו ופעלו - 3 כר'")</f>
        <v>החפץ חיים חייו ופעלו - 3 כר'</v>
      </c>
    </row>
    <row r="11084" spans="1:6" x14ac:dyDescent="0.2">
      <c r="A11084" t="s">
        <v>19029</v>
      </c>
      <c r="B11084" t="s">
        <v>1978</v>
      </c>
      <c r="C11084" t="s">
        <v>17</v>
      </c>
      <c r="D11084" t="s">
        <v>14</v>
      </c>
      <c r="E11084" t="s">
        <v>144</v>
      </c>
      <c r="F11084" s="2" t="str">
        <f>HYPERLINK("http://www.otzar.org/book.asp?141979","החפץ חיים על אגדות הש""ס (באנגלית)")</f>
        <v>החפץ חיים על אגדות הש"ס (באנגלית)</v>
      </c>
    </row>
    <row r="11085" spans="1:6" x14ac:dyDescent="0.2">
      <c r="A11085" t="s">
        <v>19030</v>
      </c>
      <c r="B11085" t="s">
        <v>19031</v>
      </c>
      <c r="C11085" t="s">
        <v>124</v>
      </c>
      <c r="D11085" t="s">
        <v>14</v>
      </c>
      <c r="E11085" t="s">
        <v>219</v>
      </c>
      <c r="F11085" s="2" t="str">
        <f>HYPERLINK("http://www.otzar.org/book.asp?617337","החפץ חיים על הסידור")</f>
        <v>החפץ חיים על הסידור</v>
      </c>
    </row>
    <row r="11086" spans="1:6" x14ac:dyDescent="0.2">
      <c r="A11086" t="s">
        <v>19032</v>
      </c>
      <c r="B11086" t="s">
        <v>19031</v>
      </c>
      <c r="C11086" t="s">
        <v>124</v>
      </c>
      <c r="D11086" t="s">
        <v>14</v>
      </c>
      <c r="E11086" t="s">
        <v>230</v>
      </c>
      <c r="F11086" s="2" t="str">
        <f>HYPERLINK("http://www.otzar.org/book.asp?179045","החפץ חיים על שבת ומועדים")</f>
        <v>החפץ חיים על שבת ומועדים</v>
      </c>
    </row>
    <row r="11087" spans="1:6" x14ac:dyDescent="0.2">
      <c r="A11087" t="s">
        <v>19033</v>
      </c>
      <c r="B11087" t="s">
        <v>155</v>
      </c>
      <c r="C11087" t="s">
        <v>156</v>
      </c>
      <c r="D11087" t="s">
        <v>157</v>
      </c>
      <c r="E11087" t="s">
        <v>241</v>
      </c>
      <c r="F11087" s="2" t="str">
        <f>HYPERLINK("http://www.otzar.org/book.asp?11035","החפץ חיים")</f>
        <v>החפץ חיים</v>
      </c>
    </row>
    <row r="11088" spans="1:6" x14ac:dyDescent="0.2">
      <c r="A11088" t="s">
        <v>19034</v>
      </c>
      <c r="B11088" t="s">
        <v>732</v>
      </c>
      <c r="C11088" t="s">
        <v>6054</v>
      </c>
      <c r="D11088" t="s">
        <v>27</v>
      </c>
      <c r="E11088" t="s">
        <v>199</v>
      </c>
      <c r="F11088" s="2" t="str">
        <f>HYPERLINK("http://www.otzar.org/book.asp?168913","החרש והמסגר בירושלים")</f>
        <v>החרש והמסגר בירושלים</v>
      </c>
    </row>
    <row r="11089" spans="1:6" x14ac:dyDescent="0.2">
      <c r="A11089" t="s">
        <v>19035</v>
      </c>
      <c r="B11089" t="s">
        <v>7217</v>
      </c>
      <c r="C11089" t="s">
        <v>332</v>
      </c>
      <c r="D11089" t="s">
        <v>14</v>
      </c>
      <c r="E11089" t="s">
        <v>674</v>
      </c>
      <c r="F11089" s="2" t="str">
        <f>HYPERLINK("http://www.otzar.org/book.asp?13144","החשמל בהלכה - 2 כר'")</f>
        <v>החשמל בהלכה - 2 כר'</v>
      </c>
    </row>
    <row r="11090" spans="1:6" x14ac:dyDescent="0.2">
      <c r="A11090" t="s">
        <v>19036</v>
      </c>
      <c r="B11090" t="s">
        <v>5753</v>
      </c>
      <c r="C11090" t="s">
        <v>133</v>
      </c>
      <c r="D11090" t="s">
        <v>14</v>
      </c>
      <c r="E11090" t="s">
        <v>130</v>
      </c>
      <c r="F11090" s="2" t="str">
        <f>HYPERLINK("http://www.otzar.org/book.asp?180477","החשמל בשבת")</f>
        <v>החשמל בשבת</v>
      </c>
    </row>
    <row r="11091" spans="1:6" x14ac:dyDescent="0.2">
      <c r="A11091" t="s">
        <v>19036</v>
      </c>
      <c r="B11091" t="s">
        <v>19037</v>
      </c>
      <c r="C11091" t="s">
        <v>151</v>
      </c>
      <c r="D11091" t="s">
        <v>21</v>
      </c>
      <c r="E11091" t="s">
        <v>15</v>
      </c>
      <c r="F11091" s="2" t="str">
        <f>HYPERLINK("http://www.otzar.org/book.asp?622284","החשמל בשבת")</f>
        <v>החשמל בשבת</v>
      </c>
    </row>
    <row r="11092" spans="1:6" x14ac:dyDescent="0.2">
      <c r="A11092" t="s">
        <v>19038</v>
      </c>
      <c r="B11092" t="s">
        <v>19039</v>
      </c>
      <c r="C11092" t="s">
        <v>482</v>
      </c>
      <c r="D11092" t="s">
        <v>27</v>
      </c>
      <c r="E11092" t="s">
        <v>621</v>
      </c>
      <c r="F11092" s="2" t="str">
        <f>HYPERLINK("http://www.otzar.org/book.asp?13859","החשמל לאור ההלכה")</f>
        <v>החשמל לאור ההלכה</v>
      </c>
    </row>
    <row r="11093" spans="1:6" x14ac:dyDescent="0.2">
      <c r="A11093" t="s">
        <v>19040</v>
      </c>
      <c r="B11093" t="s">
        <v>19041</v>
      </c>
      <c r="C11093" t="s">
        <v>23</v>
      </c>
      <c r="D11093" t="s">
        <v>72</v>
      </c>
      <c r="E11093" t="s">
        <v>172</v>
      </c>
      <c r="F11093" s="2" t="str">
        <f>HYPERLINK("http://www.otzar.org/book.asp?631128","החשן הבהיר - חושן משפט שלא - שלט")</f>
        <v>החשן הבהיר - חושן משפט שלא - שלט</v>
      </c>
    </row>
    <row r="11094" spans="1:6" x14ac:dyDescent="0.2">
      <c r="A11094" t="s">
        <v>19042</v>
      </c>
      <c r="B11094" t="s">
        <v>13438</v>
      </c>
      <c r="C11094" t="s">
        <v>383</v>
      </c>
      <c r="D11094" t="s">
        <v>52</v>
      </c>
      <c r="E11094" t="s">
        <v>19043</v>
      </c>
      <c r="F11094" s="2" t="str">
        <f>HYPERLINK("http://www.otzar.org/book.asp?50800","החתם סופר ובית מדרשו")</f>
        <v>החתם סופר ובית מדרשו</v>
      </c>
    </row>
    <row r="11095" spans="1:6" x14ac:dyDescent="0.2">
      <c r="A11095" t="s">
        <v>19044</v>
      </c>
      <c r="B11095" t="s">
        <v>1066</v>
      </c>
      <c r="C11095" t="s">
        <v>114</v>
      </c>
      <c r="D11095" t="s">
        <v>412</v>
      </c>
      <c r="E11095" t="s">
        <v>15</v>
      </c>
      <c r="F11095" s="2" t="str">
        <f>HYPERLINK("http://www.otzar.org/book.asp?175358","הט""ז הידוע")</f>
        <v>הט"ז הידוע</v>
      </c>
    </row>
    <row r="11096" spans="1:6" x14ac:dyDescent="0.2">
      <c r="A11096" t="s">
        <v>19045</v>
      </c>
      <c r="B11096" t="s">
        <v>1728</v>
      </c>
      <c r="C11096" t="s">
        <v>189</v>
      </c>
      <c r="D11096" t="s">
        <v>273</v>
      </c>
      <c r="E11096" t="s">
        <v>703</v>
      </c>
      <c r="F11096" s="2" t="str">
        <f>HYPERLINK("http://www.otzar.org/book.asp?628547","הטבע היהודי")</f>
        <v>הטבע היהודי</v>
      </c>
    </row>
    <row r="11097" spans="1:6" x14ac:dyDescent="0.2">
      <c r="A11097" t="s">
        <v>19046</v>
      </c>
      <c r="B11097" t="s">
        <v>19047</v>
      </c>
      <c r="C11097" t="s">
        <v>114</v>
      </c>
      <c r="D11097" t="s">
        <v>1180</v>
      </c>
      <c r="E11097" t="s">
        <v>234</v>
      </c>
      <c r="F11097" s="2" t="str">
        <f>HYPERLINK("http://www.otzar.org/book.asp?179522","הטוב והישר")</f>
        <v>הטוב והישר</v>
      </c>
    </row>
    <row r="11098" spans="1:6" x14ac:dyDescent="0.2">
      <c r="A11098" t="s">
        <v>19048</v>
      </c>
      <c r="B11098" t="s">
        <v>19049</v>
      </c>
      <c r="C11098" t="s">
        <v>1374</v>
      </c>
      <c r="D11098" t="s">
        <v>535</v>
      </c>
      <c r="E11098" t="s">
        <v>241</v>
      </c>
      <c r="F11098" s="2" t="str">
        <f>HYPERLINK("http://www.otzar.org/book.asp?143026","הטוב והתכלית")</f>
        <v>הטוב והתכלית</v>
      </c>
    </row>
    <row r="11099" spans="1:6" x14ac:dyDescent="0.2">
      <c r="A11099" t="s">
        <v>19050</v>
      </c>
      <c r="B11099" t="s">
        <v>19051</v>
      </c>
      <c r="C11099" t="s">
        <v>151</v>
      </c>
      <c r="D11099" t="s">
        <v>14</v>
      </c>
      <c r="F11099" s="2" t="str">
        <f>HYPERLINK("http://www.otzar.org/book.asp?627467","הטור המבואר - 2 כר'")</f>
        <v>הטור המבואר - 2 כר'</v>
      </c>
    </row>
    <row r="11100" spans="1:6" x14ac:dyDescent="0.2">
      <c r="A11100" t="s">
        <v>19052</v>
      </c>
      <c r="B11100" t="s">
        <v>19053</v>
      </c>
      <c r="C11100" t="s">
        <v>6054</v>
      </c>
      <c r="D11100" t="s">
        <v>7458</v>
      </c>
      <c r="E11100" t="s">
        <v>219</v>
      </c>
      <c r="F11100" s="2" t="str">
        <f>HYPERLINK("http://www.otzar.org/book.asp?170991","הטיבו נגן")</f>
        <v>הטיבו נגן</v>
      </c>
    </row>
    <row r="11101" spans="1:6" x14ac:dyDescent="0.2">
      <c r="A11101" t="s">
        <v>19054</v>
      </c>
      <c r="B11101" t="s">
        <v>15706</v>
      </c>
      <c r="C11101" t="s">
        <v>189</v>
      </c>
      <c r="D11101" t="s">
        <v>52</v>
      </c>
      <c r="E11101" t="s">
        <v>15</v>
      </c>
      <c r="F11101" s="2" t="str">
        <f>HYPERLINK("http://www.otzar.org/book.asp?60296","הטיפול בתינוק בשבת ויום טוב")</f>
        <v>הטיפול בתינוק בשבת ויום טוב</v>
      </c>
    </row>
    <row r="11102" spans="1:6" x14ac:dyDescent="0.2">
      <c r="A11102" t="s">
        <v>19055</v>
      </c>
      <c r="B11102" t="s">
        <v>19056</v>
      </c>
      <c r="C11102" t="s">
        <v>23</v>
      </c>
      <c r="D11102" t="s">
        <v>52</v>
      </c>
      <c r="E11102" t="s">
        <v>15</v>
      </c>
      <c r="F11102" s="2" t="str">
        <f>HYPERLINK("http://www.otzar.org/book.asp?630186","הטיפול בתינוקות")</f>
        <v>הטיפול בתינוקות</v>
      </c>
    </row>
    <row r="11103" spans="1:6" x14ac:dyDescent="0.2">
      <c r="A11103" t="s">
        <v>19057</v>
      </c>
      <c r="B11103" t="s">
        <v>206</v>
      </c>
      <c r="C11103" t="s">
        <v>20</v>
      </c>
      <c r="D11103" t="s">
        <v>90</v>
      </c>
      <c r="E11103" t="s">
        <v>15</v>
      </c>
      <c r="F11103" s="2" t="str">
        <f>HYPERLINK("http://www.otzar.org/book.asp?53040","הטלטול")</f>
        <v>הטלטול</v>
      </c>
    </row>
    <row r="11104" spans="1:6" x14ac:dyDescent="0.2">
      <c r="A11104" t="s">
        <v>19058</v>
      </c>
      <c r="B11104" t="s">
        <v>11221</v>
      </c>
      <c r="C11104" t="s">
        <v>244</v>
      </c>
      <c r="D11104" t="s">
        <v>21</v>
      </c>
      <c r="E11104" t="s">
        <v>104</v>
      </c>
      <c r="F11104" s="2" t="str">
        <f>HYPERLINK("http://www.otzar.org/book.asp?607225","הטעמים שבמקרא")</f>
        <v>הטעמים שבמקרא</v>
      </c>
    </row>
    <row r="11105" spans="1:6" x14ac:dyDescent="0.2">
      <c r="A11105" t="s">
        <v>19059</v>
      </c>
      <c r="B11105" t="s">
        <v>19060</v>
      </c>
      <c r="C11105" t="s">
        <v>940</v>
      </c>
      <c r="D11105" t="s">
        <v>14</v>
      </c>
      <c r="E11105" t="s">
        <v>104</v>
      </c>
      <c r="F11105" s="2" t="str">
        <f>HYPERLINK("http://www.otzar.org/book.asp?159947","הטעמת המילים הקדושות כהלכתן וכמשפטן")</f>
        <v>הטעמת המילים הקדושות כהלכתן וכמשפטן</v>
      </c>
    </row>
    <row r="11106" spans="1:6" x14ac:dyDescent="0.2">
      <c r="A11106" t="s">
        <v>19061</v>
      </c>
      <c r="B11106" t="s">
        <v>19062</v>
      </c>
      <c r="C11106" t="s">
        <v>445</v>
      </c>
      <c r="D11106" t="s">
        <v>56</v>
      </c>
      <c r="E11106" t="s">
        <v>234</v>
      </c>
      <c r="F11106" s="2" t="str">
        <f>HYPERLINK("http://www.otzar.org/book.asp?102983","הטפות לטטפת")</f>
        <v>הטפות לטטפת</v>
      </c>
    </row>
    <row r="11107" spans="1:6" x14ac:dyDescent="0.2">
      <c r="A11107" t="s">
        <v>19063</v>
      </c>
      <c r="B11107" t="s">
        <v>19064</v>
      </c>
      <c r="C11107" t="s">
        <v>20</v>
      </c>
      <c r="D11107" t="s">
        <v>90</v>
      </c>
      <c r="E11107" t="s">
        <v>15</v>
      </c>
      <c r="F11107" s="2" t="str">
        <f>HYPERLINK("http://www.otzar.org/book.asp?631090","הטפת דם ברית - א")</f>
        <v>הטפת דם ברית - א</v>
      </c>
    </row>
    <row r="11108" spans="1:6" x14ac:dyDescent="0.2">
      <c r="A11108" t="s">
        <v>19065</v>
      </c>
      <c r="B11108" t="s">
        <v>15469</v>
      </c>
      <c r="C11108" t="s">
        <v>1811</v>
      </c>
      <c r="D11108" t="s">
        <v>14</v>
      </c>
      <c r="E11108" t="s">
        <v>15</v>
      </c>
      <c r="F11108" s="2" t="str">
        <f>HYPERLINK("http://www.otzar.org/book.asp?164289","הטריפות בישראל")</f>
        <v>הטריפות בישראל</v>
      </c>
    </row>
    <row r="11109" spans="1:6" x14ac:dyDescent="0.2">
      <c r="A11109" t="s">
        <v>19066</v>
      </c>
      <c r="B11109" t="s">
        <v>19067</v>
      </c>
      <c r="C11109" t="s">
        <v>2227</v>
      </c>
      <c r="D11109" t="s">
        <v>1490</v>
      </c>
      <c r="E11109" t="s">
        <v>234</v>
      </c>
      <c r="F11109" s="2" t="str">
        <f>HYPERLINK("http://www.otzar.org/book.asp?165169","הי""א שיחתי")</f>
        <v>הי"א שיחתי</v>
      </c>
    </row>
    <row r="11110" spans="1:6" x14ac:dyDescent="0.2">
      <c r="A11110" t="s">
        <v>19068</v>
      </c>
      <c r="B11110" t="s">
        <v>19069</v>
      </c>
      <c r="C11110" t="s">
        <v>17</v>
      </c>
      <c r="D11110" t="s">
        <v>2347</v>
      </c>
      <c r="E11110" t="s">
        <v>81</v>
      </c>
      <c r="F11110" s="2" t="str">
        <f>HYPERLINK("http://www.otzar.org/book.asp?23149","היא שיחתי - 2 כר'")</f>
        <v>היא שיחתי - 2 כר'</v>
      </c>
    </row>
    <row r="11111" spans="1:6" x14ac:dyDescent="0.2">
      <c r="A11111" t="s">
        <v>19069</v>
      </c>
      <c r="B11111" t="s">
        <v>19070</v>
      </c>
      <c r="C11111" t="s">
        <v>366</v>
      </c>
      <c r="D11111" t="s">
        <v>14</v>
      </c>
      <c r="E11111" t="s">
        <v>202</v>
      </c>
      <c r="F11111" s="2" t="str">
        <f>HYPERLINK("http://www.otzar.org/book.asp?620718","היא שיחתי")</f>
        <v>היא שיחתי</v>
      </c>
    </row>
    <row r="11112" spans="1:6" x14ac:dyDescent="0.2">
      <c r="A11112" t="s">
        <v>19071</v>
      </c>
      <c r="B11112" t="s">
        <v>19072</v>
      </c>
      <c r="C11112" t="s">
        <v>176</v>
      </c>
      <c r="D11112" t="s">
        <v>52</v>
      </c>
      <c r="E11112" t="s">
        <v>104</v>
      </c>
      <c r="F11112" s="2" t="str">
        <f>HYPERLINK("http://www.otzar.org/book.asp?189015","היא תתהלל - 2 כר'")</f>
        <v>היא תתהלל - 2 כר'</v>
      </c>
    </row>
    <row r="11113" spans="1:6" x14ac:dyDescent="0.2">
      <c r="A11113" t="s">
        <v>19073</v>
      </c>
      <c r="B11113" t="s">
        <v>8895</v>
      </c>
      <c r="C11113" t="s">
        <v>37</v>
      </c>
      <c r="D11113" t="s">
        <v>14</v>
      </c>
      <c r="E11113" t="s">
        <v>104</v>
      </c>
      <c r="F11113" s="2" t="str">
        <f>HYPERLINK("http://www.otzar.org/book.asp?629885","היא תתהלל")</f>
        <v>היא תתהלל</v>
      </c>
    </row>
    <row r="11114" spans="1:6" x14ac:dyDescent="0.2">
      <c r="A11114" t="s">
        <v>19073</v>
      </c>
      <c r="B11114" t="s">
        <v>19074</v>
      </c>
      <c r="C11114" t="s">
        <v>23</v>
      </c>
      <c r="D11114" t="s">
        <v>14</v>
      </c>
      <c r="E11114" t="s">
        <v>674</v>
      </c>
      <c r="F11114" s="2" t="str">
        <f>HYPERLINK("http://www.otzar.org/book.asp?189735","היא תתהלל")</f>
        <v>היא תתהלל</v>
      </c>
    </row>
    <row r="11115" spans="1:6" x14ac:dyDescent="0.2">
      <c r="A11115" t="s">
        <v>19075</v>
      </c>
      <c r="B11115" t="s">
        <v>19076</v>
      </c>
      <c r="C11115" t="s">
        <v>106</v>
      </c>
      <c r="D11115" t="s">
        <v>14</v>
      </c>
      <c r="F11115" s="2" t="str">
        <f>HYPERLINK("http://www.otzar.org/book.asp?167762","היארצייט")</f>
        <v>היארצייט</v>
      </c>
    </row>
    <row r="11116" spans="1:6" x14ac:dyDescent="0.2">
      <c r="A11116" t="s">
        <v>19077</v>
      </c>
      <c r="B11116" t="s">
        <v>19078</v>
      </c>
      <c r="C11116" t="s">
        <v>68</v>
      </c>
      <c r="D11116" t="s">
        <v>14</v>
      </c>
      <c r="E11116" t="s">
        <v>872</v>
      </c>
      <c r="F11116" s="2" t="str">
        <f>HYPERLINK("http://www.otzar.org/book.asp?155900","היגיון השבת")</f>
        <v>היגיון השבת</v>
      </c>
    </row>
    <row r="11117" spans="1:6" x14ac:dyDescent="0.2">
      <c r="A11117" t="s">
        <v>19079</v>
      </c>
      <c r="B11117" t="s">
        <v>19080</v>
      </c>
      <c r="C11117" t="s">
        <v>5169</v>
      </c>
      <c r="D11117" t="s">
        <v>1008</v>
      </c>
      <c r="E11117" t="s">
        <v>144</v>
      </c>
      <c r="F11117" s="2" t="str">
        <f>HYPERLINK("http://www.otzar.org/book.asp?101413","היד החזקה")</f>
        <v>היד החזקה</v>
      </c>
    </row>
    <row r="11118" spans="1:6" x14ac:dyDescent="0.2">
      <c r="A11118" t="s">
        <v>19081</v>
      </c>
      <c r="B11118" t="s">
        <v>19082</v>
      </c>
      <c r="C11118" t="s">
        <v>68</v>
      </c>
      <c r="D11118" t="s">
        <v>14</v>
      </c>
      <c r="E11118" t="s">
        <v>15</v>
      </c>
      <c r="F11118" s="2" t="str">
        <f>HYPERLINK("http://www.otzar.org/book.asp?160082","הידור מצוה")</f>
        <v>הידור מצוה</v>
      </c>
    </row>
    <row r="11119" spans="1:6" x14ac:dyDescent="0.2">
      <c r="A11119" t="s">
        <v>19081</v>
      </c>
      <c r="B11119" t="s">
        <v>19083</v>
      </c>
      <c r="C11119" t="s">
        <v>635</v>
      </c>
      <c r="D11119" t="s">
        <v>56</v>
      </c>
      <c r="E11119" t="s">
        <v>930</v>
      </c>
      <c r="F11119" s="2" t="str">
        <f>HYPERLINK("http://www.otzar.org/book.asp?24305","הידור מצוה")</f>
        <v>הידור מצוה</v>
      </c>
    </row>
    <row r="11120" spans="1:6" x14ac:dyDescent="0.2">
      <c r="A11120" t="s">
        <v>19084</v>
      </c>
      <c r="B11120" t="s">
        <v>12220</v>
      </c>
      <c r="C11120" t="s">
        <v>129</v>
      </c>
      <c r="D11120" t="s">
        <v>12221</v>
      </c>
      <c r="E11120" t="s">
        <v>674</v>
      </c>
      <c r="F11120" s="2" t="str">
        <f>HYPERLINK("http://www.otzar.org/book.asp?64200","הידור עטיפת הציצית")</f>
        <v>הידור עטיפת הציצית</v>
      </c>
    </row>
    <row r="11121" spans="1:6" x14ac:dyDescent="0.2">
      <c r="A11121" t="s">
        <v>19085</v>
      </c>
      <c r="B11121" t="s">
        <v>9948</v>
      </c>
      <c r="C11121" t="s">
        <v>313</v>
      </c>
      <c r="D11121" t="s">
        <v>52</v>
      </c>
      <c r="E11121" t="s">
        <v>15</v>
      </c>
      <c r="F11121" s="2" t="str">
        <f>HYPERLINK("http://www.otzar.org/book.asp?23593","הידור פנים")</f>
        <v>הידור פנים</v>
      </c>
    </row>
    <row r="11122" spans="1:6" x14ac:dyDescent="0.2">
      <c r="A11122" t="s">
        <v>19086</v>
      </c>
      <c r="B11122" t="s">
        <v>12596</v>
      </c>
      <c r="C11122" t="s">
        <v>189</v>
      </c>
      <c r="D11122" t="s">
        <v>14</v>
      </c>
      <c r="E11122" t="s">
        <v>15</v>
      </c>
      <c r="F11122" s="2" t="str">
        <f>HYPERLINK("http://www.otzar.org/book.asp?61730","הידורי הלכה - הלכות סוכה")</f>
        <v>הידורי הלכה - הלכות סוכה</v>
      </c>
    </row>
    <row r="11123" spans="1:6" x14ac:dyDescent="0.2">
      <c r="A11123" t="s">
        <v>19087</v>
      </c>
      <c r="B11123" t="s">
        <v>12596</v>
      </c>
      <c r="C11123" t="s">
        <v>244</v>
      </c>
      <c r="D11123" t="s">
        <v>14</v>
      </c>
      <c r="E11123" t="s">
        <v>104</v>
      </c>
      <c r="F11123" s="2" t="str">
        <f>HYPERLINK("http://www.otzar.org/book.asp?600653","הידורי המידות")</f>
        <v>הידורי המידות</v>
      </c>
    </row>
    <row r="11124" spans="1:6" x14ac:dyDescent="0.2">
      <c r="A11124" t="s">
        <v>19088</v>
      </c>
      <c r="B11124" t="s">
        <v>11549</v>
      </c>
      <c r="C11124" t="s">
        <v>37</v>
      </c>
      <c r="D11124" t="s">
        <v>14</v>
      </c>
      <c r="E11124" t="s">
        <v>15</v>
      </c>
      <c r="F11124" s="2" t="str">
        <f>HYPERLINK("http://www.otzar.org/book.asp?183293","הידורי לולב")</f>
        <v>הידורי לולב</v>
      </c>
    </row>
    <row r="11125" spans="1:6" x14ac:dyDescent="0.2">
      <c r="A11125" t="s">
        <v>19089</v>
      </c>
      <c r="B11125" t="s">
        <v>3286</v>
      </c>
      <c r="C11125" t="s">
        <v>411</v>
      </c>
      <c r="D11125" t="s">
        <v>52</v>
      </c>
      <c r="E11125" t="s">
        <v>15</v>
      </c>
      <c r="F11125" s="2" t="str">
        <f>HYPERLINK("http://www.otzar.org/book.asp?174287","הידורי תפילין")</f>
        <v>הידורי תפילין</v>
      </c>
    </row>
    <row r="11126" spans="1:6" x14ac:dyDescent="0.2">
      <c r="A11126" t="s">
        <v>19090</v>
      </c>
      <c r="B11126" t="s">
        <v>19091</v>
      </c>
      <c r="C11126" t="s">
        <v>17</v>
      </c>
      <c r="D11126" t="s">
        <v>14</v>
      </c>
      <c r="E11126" t="s">
        <v>84</v>
      </c>
      <c r="F11126" s="2" t="str">
        <f>HYPERLINK("http://www.otzar.org/book.asp?84719","הידות אהרן")</f>
        <v>הידות אהרן</v>
      </c>
    </row>
    <row r="11127" spans="1:6" x14ac:dyDescent="0.2">
      <c r="A11127" t="s">
        <v>19092</v>
      </c>
      <c r="B11127" t="s">
        <v>19093</v>
      </c>
      <c r="C11127" t="s">
        <v>3205</v>
      </c>
      <c r="D11127" t="s">
        <v>260</v>
      </c>
      <c r="E11127" t="s">
        <v>104</v>
      </c>
      <c r="F11127" s="2" t="str">
        <f>HYPERLINK("http://www.otzar.org/book.asp?153067","הידרופוניקס (גדולי חצץ)")</f>
        <v>הידרופוניקס (גדולי חצץ)</v>
      </c>
    </row>
    <row r="11128" spans="1:6" x14ac:dyDescent="0.2">
      <c r="A11128" t="s">
        <v>19094</v>
      </c>
      <c r="B11128" t="s">
        <v>2674</v>
      </c>
      <c r="C11128" t="s">
        <v>244</v>
      </c>
      <c r="D11128" t="s">
        <v>3436</v>
      </c>
      <c r="F11128" s="2" t="str">
        <f>HYPERLINK("http://www.otzar.org/book.asp?194828","היה נותן בהם סימנים")</f>
        <v>היה נותן בהם סימנים</v>
      </c>
    </row>
    <row r="11129" spans="1:6" x14ac:dyDescent="0.2">
      <c r="A11129" t="s">
        <v>19095</v>
      </c>
      <c r="B11129" t="s">
        <v>19096</v>
      </c>
      <c r="C11129" t="s">
        <v>151</v>
      </c>
      <c r="D11129" t="s">
        <v>90</v>
      </c>
      <c r="E11129" t="s">
        <v>19097</v>
      </c>
      <c r="F11129" s="2" t="str">
        <f>HYPERLINK("http://www.otzar.org/book.asp?628656","היה עם פיפיות")</f>
        <v>היה עם פיפיות</v>
      </c>
    </row>
    <row r="11130" spans="1:6" x14ac:dyDescent="0.2">
      <c r="A11130" t="s">
        <v>19098</v>
      </c>
      <c r="B11130" t="s">
        <v>7048</v>
      </c>
      <c r="C11130" t="s">
        <v>13915</v>
      </c>
      <c r="D11130" t="s">
        <v>216</v>
      </c>
      <c r="E11130" t="s">
        <v>119</v>
      </c>
      <c r="F11130" s="2" t="str">
        <f>HYPERLINK("http://www.otzar.org/book.asp?155676","היהדות וחכמיה")</f>
        <v>היהדות וחכמיה</v>
      </c>
    </row>
    <row r="11131" spans="1:6" x14ac:dyDescent="0.2">
      <c r="A11131" t="s">
        <v>19099</v>
      </c>
      <c r="B11131" t="s">
        <v>107</v>
      </c>
      <c r="C11131" t="s">
        <v>454</v>
      </c>
      <c r="D11131" t="s">
        <v>14</v>
      </c>
      <c r="E11131" t="s">
        <v>119</v>
      </c>
      <c r="F11131" s="2" t="str">
        <f>HYPERLINK("http://www.otzar.org/book.asp?84481","היהדות מול בנותיה הסוררות")</f>
        <v>היהדות מול בנותיה הסוררות</v>
      </c>
    </row>
    <row r="11132" spans="1:6" x14ac:dyDescent="0.2">
      <c r="A11132" t="s">
        <v>19100</v>
      </c>
      <c r="B11132" t="s">
        <v>19101</v>
      </c>
      <c r="C11132" t="s">
        <v>68</v>
      </c>
      <c r="D11132" t="s">
        <v>14</v>
      </c>
      <c r="E11132" t="s">
        <v>19102</v>
      </c>
      <c r="F11132" s="2" t="str">
        <f>HYPERLINK("http://www.otzar.org/book.asp?162227","היהודי הקדוש על התורה ומועדים")</f>
        <v>היהודי הקדוש על התורה ומועדים</v>
      </c>
    </row>
    <row r="11133" spans="1:6" x14ac:dyDescent="0.2">
      <c r="A11133" t="s">
        <v>19103</v>
      </c>
      <c r="B11133" t="s">
        <v>4975</v>
      </c>
      <c r="C11133" t="s">
        <v>1166</v>
      </c>
      <c r="D11133" t="s">
        <v>3627</v>
      </c>
      <c r="E11133" t="s">
        <v>5860</v>
      </c>
      <c r="F11133" s="2" t="str">
        <f>HYPERLINK("http://www.otzar.org/book.asp?17657","היהודים באונגאריא")</f>
        <v>היהודים באונגאריא</v>
      </c>
    </row>
    <row r="11134" spans="1:6" x14ac:dyDescent="0.2">
      <c r="A11134" t="s">
        <v>19104</v>
      </c>
      <c r="B11134" t="s">
        <v>19105</v>
      </c>
      <c r="C11134" t="s">
        <v>1663</v>
      </c>
      <c r="D11134" t="s">
        <v>27</v>
      </c>
      <c r="E11134" t="s">
        <v>119</v>
      </c>
      <c r="F11134" s="2" t="str">
        <f>HYPERLINK("http://www.otzar.org/book.asp?15518","היהודים בהודו")</f>
        <v>היהודים בהודו</v>
      </c>
    </row>
    <row r="11135" spans="1:6" x14ac:dyDescent="0.2">
      <c r="A11135" t="s">
        <v>19106</v>
      </c>
      <c r="B11135" t="s">
        <v>19107</v>
      </c>
      <c r="C11135" t="s">
        <v>362</v>
      </c>
      <c r="D11135" t="s">
        <v>56</v>
      </c>
      <c r="E11135" t="s">
        <v>119</v>
      </c>
      <c r="F11135" s="2" t="str">
        <f>HYPERLINK("http://www.otzar.org/book.asp?168045","היהודים בכינא")</f>
        <v>היהודים בכינא</v>
      </c>
    </row>
    <row r="11136" spans="1:6" x14ac:dyDescent="0.2">
      <c r="A11136" t="s">
        <v>19108</v>
      </c>
      <c r="B11136" t="s">
        <v>19109</v>
      </c>
      <c r="C11136" t="s">
        <v>843</v>
      </c>
      <c r="D11136" t="s">
        <v>27</v>
      </c>
      <c r="E11136" t="s">
        <v>119</v>
      </c>
      <c r="F11136" s="2" t="str">
        <f>HYPERLINK("http://www.otzar.org/book.asp?15024","היהודים בסוריה")</f>
        <v>היהודים בסוריה</v>
      </c>
    </row>
    <row r="11137" spans="1:6" x14ac:dyDescent="0.2">
      <c r="A11137" t="s">
        <v>19110</v>
      </c>
      <c r="B11137" t="s">
        <v>12925</v>
      </c>
      <c r="C11137" t="s">
        <v>940</v>
      </c>
      <c r="D11137" t="s">
        <v>14</v>
      </c>
      <c r="E11137" t="s">
        <v>104</v>
      </c>
      <c r="F11137" s="2" t="str">
        <f>HYPERLINK("http://www.otzar.org/book.asp?64117","היהודים והמלך בתימן - 2 כר'")</f>
        <v>היהודים והמלך בתימן - 2 כר'</v>
      </c>
    </row>
    <row r="11138" spans="1:6" x14ac:dyDescent="0.2">
      <c r="A11138" t="s">
        <v>19111</v>
      </c>
      <c r="B11138" t="s">
        <v>8895</v>
      </c>
      <c r="C11138" t="s">
        <v>20</v>
      </c>
      <c r="D11138" t="s">
        <v>90</v>
      </c>
      <c r="E11138" t="s">
        <v>104</v>
      </c>
      <c r="F11138" s="2" t="str">
        <f>HYPERLINK("http://www.otzar.org/book.asp?627003","היהלום שבסתר")</f>
        <v>היהלום שבסתר</v>
      </c>
    </row>
    <row r="11139" spans="1:6" x14ac:dyDescent="0.2">
      <c r="A11139" t="s">
        <v>19112</v>
      </c>
      <c r="B11139" t="s">
        <v>206</v>
      </c>
      <c r="C11139" t="s">
        <v>189</v>
      </c>
      <c r="D11139" t="s">
        <v>14</v>
      </c>
      <c r="F11139" s="2" t="str">
        <f>HYPERLINK("http://www.otzar.org/book.asp?612165","היו מספרים - 2 כר'")</f>
        <v>היו מספרים - 2 כר'</v>
      </c>
    </row>
    <row r="11140" spans="1:6" x14ac:dyDescent="0.2">
      <c r="A11140" t="s">
        <v>19113</v>
      </c>
      <c r="B11140" t="s">
        <v>11656</v>
      </c>
      <c r="C11140" t="s">
        <v>68</v>
      </c>
      <c r="D11140" t="s">
        <v>6987</v>
      </c>
      <c r="E11140" t="s">
        <v>104</v>
      </c>
      <c r="F11140" s="2" t="str">
        <f>HYPERLINK("http://www.otzar.org/book.asp?159555","היום לעשותם")</f>
        <v>היום לעשותם</v>
      </c>
    </row>
    <row r="11141" spans="1:6" x14ac:dyDescent="0.2">
      <c r="A11141" t="s">
        <v>19114</v>
      </c>
      <c r="B11141" t="s">
        <v>552</v>
      </c>
      <c r="C11141" t="s">
        <v>23</v>
      </c>
      <c r="D11141" t="s">
        <v>8564</v>
      </c>
      <c r="E11141" t="s">
        <v>202</v>
      </c>
      <c r="F11141" s="2" t="str">
        <f>HYPERLINK("http://www.otzar.org/book.asp?197573","היום פנה")</f>
        <v>היום פנה</v>
      </c>
    </row>
    <row r="11142" spans="1:6" x14ac:dyDescent="0.2">
      <c r="A11142" t="s">
        <v>19115</v>
      </c>
      <c r="B11142" t="s">
        <v>5501</v>
      </c>
      <c r="C11142" t="s">
        <v>2008</v>
      </c>
      <c r="D11142" t="s">
        <v>27</v>
      </c>
      <c r="E11142" t="s">
        <v>104</v>
      </c>
      <c r="F11142" s="2" t="str">
        <f>HYPERLINK("http://www.otzar.org/book.asp?167638","היומם בכדור הארץ")</f>
        <v>היומם בכדור הארץ</v>
      </c>
    </row>
    <row r="11143" spans="1:6" x14ac:dyDescent="0.2">
      <c r="A11143" t="s">
        <v>19116</v>
      </c>
      <c r="B11143" t="s">
        <v>19116</v>
      </c>
      <c r="C11143" t="s">
        <v>114</v>
      </c>
      <c r="D11143" t="s">
        <v>367</v>
      </c>
      <c r="E11143" t="s">
        <v>104</v>
      </c>
      <c r="F11143" s="2" t="str">
        <f>HYPERLINK("http://www.otzar.org/book.asp?608223","היופי הגנוז")</f>
        <v>היופי הגנוז</v>
      </c>
    </row>
    <row r="11144" spans="1:6" x14ac:dyDescent="0.2">
      <c r="A11144" t="s">
        <v>19117</v>
      </c>
      <c r="B11144" t="s">
        <v>19118</v>
      </c>
      <c r="C11144" t="s">
        <v>576</v>
      </c>
      <c r="D11144" t="s">
        <v>855</v>
      </c>
      <c r="E11144" t="s">
        <v>119</v>
      </c>
      <c r="F11144" s="2" t="str">
        <f>HYPERLINK("http://www.otzar.org/book.asp?167518","היוצר ויצירתו")</f>
        <v>היוצר ויצירתו</v>
      </c>
    </row>
    <row r="11145" spans="1:6" x14ac:dyDescent="0.2">
      <c r="A11145" t="s">
        <v>19119</v>
      </c>
      <c r="B11145" t="s">
        <v>17125</v>
      </c>
      <c r="C11145" t="s">
        <v>37</v>
      </c>
      <c r="D11145" t="s">
        <v>14</v>
      </c>
      <c r="E11145" t="s">
        <v>172</v>
      </c>
      <c r="F11145" s="2" t="str">
        <f>HYPERLINK("http://www.otzar.org/book.asp?625514","היורה והדעה - 2 כר'")</f>
        <v>היורה והדעה - 2 כר'</v>
      </c>
    </row>
    <row r="11146" spans="1:6" x14ac:dyDescent="0.2">
      <c r="A11146" t="s">
        <v>19120</v>
      </c>
      <c r="B11146" t="s">
        <v>19121</v>
      </c>
      <c r="C11146" t="s">
        <v>129</v>
      </c>
      <c r="D11146" t="s">
        <v>90</v>
      </c>
      <c r="E11146" t="s">
        <v>148</v>
      </c>
      <c r="F11146" s="2" t="str">
        <f>HYPERLINK("http://www.otzar.org/book.asp?61163","היחוד והצניעות")</f>
        <v>היחוד והצניעות</v>
      </c>
    </row>
    <row r="11147" spans="1:6" x14ac:dyDescent="0.2">
      <c r="A11147" t="s">
        <v>19122</v>
      </c>
      <c r="B11147" t="s">
        <v>107</v>
      </c>
      <c r="C11147" t="s">
        <v>523</v>
      </c>
      <c r="D11147" t="s">
        <v>14</v>
      </c>
      <c r="E11147" t="s">
        <v>104</v>
      </c>
      <c r="F11147" s="2" t="str">
        <f>HYPERLINK("http://www.otzar.org/book.asp?84453","היחיד והחברה")</f>
        <v>היחיד והחברה</v>
      </c>
    </row>
    <row r="11148" spans="1:6" x14ac:dyDescent="0.2">
      <c r="A11148" t="s">
        <v>19123</v>
      </c>
      <c r="B11148" t="s">
        <v>19124</v>
      </c>
      <c r="C11148" t="s">
        <v>23</v>
      </c>
      <c r="D11148" t="s">
        <v>14</v>
      </c>
      <c r="E11148" t="s">
        <v>15</v>
      </c>
      <c r="F11148" s="2" t="str">
        <f>HYPERLINK("http://www.otzar.org/book.asp?198357","היחיד והלכותיו")</f>
        <v>היחיד והלכותיו</v>
      </c>
    </row>
    <row r="11149" spans="1:6" x14ac:dyDescent="0.2">
      <c r="A11149" t="s">
        <v>19125</v>
      </c>
      <c r="B11149" t="s">
        <v>5621</v>
      </c>
      <c r="C11149" t="s">
        <v>1388</v>
      </c>
      <c r="D11149" t="s">
        <v>90</v>
      </c>
      <c r="E11149" t="s">
        <v>202</v>
      </c>
      <c r="F11149" s="2" t="str">
        <f>HYPERLINK("http://www.otzar.org/book.asp?159931","היחיד")</f>
        <v>היחיד</v>
      </c>
    </row>
    <row r="11150" spans="1:6" x14ac:dyDescent="0.2">
      <c r="A11150" t="s">
        <v>19126</v>
      </c>
      <c r="B11150" t="s">
        <v>19127</v>
      </c>
      <c r="C11150" t="s">
        <v>619</v>
      </c>
      <c r="D11150" t="s">
        <v>726</v>
      </c>
      <c r="E11150" t="s">
        <v>19128</v>
      </c>
      <c r="F11150" s="2" t="str">
        <f>HYPERLINK("http://www.otzar.org/book.asp?100583","היחס מטשרנוביל ורוזין")</f>
        <v>היחס מטשרנוביל ורוזין</v>
      </c>
    </row>
    <row r="11151" spans="1:6" x14ac:dyDescent="0.2">
      <c r="A11151" t="s">
        <v>19129</v>
      </c>
      <c r="B11151" t="s">
        <v>19130</v>
      </c>
      <c r="C11151" t="s">
        <v>244</v>
      </c>
      <c r="D11151" t="s">
        <v>90</v>
      </c>
      <c r="E11151" t="s">
        <v>104</v>
      </c>
      <c r="F11151" s="2" t="str">
        <f>HYPERLINK("http://www.otzar.org/book.asp?605599","היחס שבין היקף המעגל לרוחבו")</f>
        <v>היחס שבין היקף המעגל לרוחבו</v>
      </c>
    </row>
    <row r="11152" spans="1:6" x14ac:dyDescent="0.2">
      <c r="A11152" t="s">
        <v>19131</v>
      </c>
      <c r="B11152" t="s">
        <v>19132</v>
      </c>
      <c r="C11152" t="s">
        <v>1448</v>
      </c>
      <c r="D11152" t="s">
        <v>216</v>
      </c>
      <c r="E11152" t="s">
        <v>119</v>
      </c>
      <c r="F11152" s="2" t="str">
        <f>HYPERLINK("http://www.otzar.org/book.asp?84102","היחסים שבין יהודי יוון ליהודי איטליה")</f>
        <v>היחסים שבין יהודי יוון ליהודי איטליה</v>
      </c>
    </row>
    <row r="11153" spans="1:6" x14ac:dyDescent="0.2">
      <c r="A11153" t="s">
        <v>19133</v>
      </c>
      <c r="B11153" t="s">
        <v>19134</v>
      </c>
      <c r="C11153" t="s">
        <v>37</v>
      </c>
      <c r="D11153" t="s">
        <v>3406</v>
      </c>
      <c r="E11153" t="s">
        <v>104</v>
      </c>
      <c r="F11153" s="2" t="str">
        <f>HYPERLINK("http://www.otzar.org/book.asp?195640","היטיבו נגן")</f>
        <v>היטיבו נגן</v>
      </c>
    </row>
    <row r="11154" spans="1:6" x14ac:dyDescent="0.2">
      <c r="A11154" t="s">
        <v>19133</v>
      </c>
      <c r="B11154" t="s">
        <v>11664</v>
      </c>
      <c r="C11154" t="s">
        <v>244</v>
      </c>
      <c r="D11154" t="s">
        <v>1205</v>
      </c>
      <c r="E11154" t="s">
        <v>158</v>
      </c>
      <c r="F11154" s="2" t="str">
        <f>HYPERLINK("http://www.otzar.org/book.asp?601421","היטיבו נגן")</f>
        <v>היטיבו נגן</v>
      </c>
    </row>
    <row r="11155" spans="1:6" x14ac:dyDescent="0.2">
      <c r="A11155" t="s">
        <v>19135</v>
      </c>
      <c r="B11155" t="s">
        <v>4398</v>
      </c>
      <c r="C11155" t="s">
        <v>20</v>
      </c>
      <c r="D11155" t="s">
        <v>216</v>
      </c>
      <c r="E11155" t="s">
        <v>104</v>
      </c>
      <c r="F11155" s="2" t="str">
        <f>HYPERLINK("http://www.otzar.org/book.asp?176545","היינו שמחים, ישמח ישראל")</f>
        <v>היינו שמחים, ישמח ישראל</v>
      </c>
    </row>
    <row r="11156" spans="1:6" x14ac:dyDescent="0.2">
      <c r="A11156" t="s">
        <v>19136</v>
      </c>
      <c r="B11156" t="s">
        <v>19137</v>
      </c>
      <c r="C11156" t="s">
        <v>189</v>
      </c>
      <c r="D11156" t="s">
        <v>1356</v>
      </c>
      <c r="E11156" t="s">
        <v>119</v>
      </c>
      <c r="F11156" s="2" t="str">
        <f>HYPERLINK("http://www.otzar.org/book.asp?189864","הייתי שם")</f>
        <v>הייתי שם</v>
      </c>
    </row>
    <row r="11157" spans="1:6" x14ac:dyDescent="0.2">
      <c r="A11157" t="s">
        <v>19138</v>
      </c>
      <c r="B11157" t="s">
        <v>19139</v>
      </c>
      <c r="C11157" t="s">
        <v>244</v>
      </c>
      <c r="D11157" t="s">
        <v>90</v>
      </c>
      <c r="E11157" t="s">
        <v>15</v>
      </c>
      <c r="F11157" s="2" t="str">
        <f>HYPERLINK("http://www.otzar.org/book.asp?604881","היכון לקראת אלוקיך יעקב - 3 כר'")</f>
        <v>היכון לקראת אלוקיך יעקב - 3 כר'</v>
      </c>
    </row>
    <row r="11158" spans="1:6" x14ac:dyDescent="0.2">
      <c r="A11158" t="s">
        <v>19140</v>
      </c>
      <c r="B11158" t="s">
        <v>19141</v>
      </c>
      <c r="C11158" t="s">
        <v>785</v>
      </c>
      <c r="D11158" t="s">
        <v>412</v>
      </c>
      <c r="E11158" t="s">
        <v>230</v>
      </c>
      <c r="F11158" s="2" t="str">
        <f>HYPERLINK("http://www.otzar.org/book.asp?600424","היכל אלימלך")</f>
        <v>היכל אלימלך</v>
      </c>
    </row>
    <row r="11159" spans="1:6" x14ac:dyDescent="0.2">
      <c r="A11159" t="s">
        <v>19142</v>
      </c>
      <c r="B11159" t="s">
        <v>1710</v>
      </c>
      <c r="C11159" t="s">
        <v>51</v>
      </c>
      <c r="D11159" t="s">
        <v>147</v>
      </c>
      <c r="E11159" t="s">
        <v>399</v>
      </c>
      <c r="F11159" s="2" t="str">
        <f>HYPERLINK("http://www.otzar.org/book.asp?108415","היכל אריאל")</f>
        <v>היכל אריאל</v>
      </c>
    </row>
    <row r="11160" spans="1:6" x14ac:dyDescent="0.2">
      <c r="A11160" t="s">
        <v>19143</v>
      </c>
      <c r="B11160" t="s">
        <v>3554</v>
      </c>
      <c r="C11160" t="s">
        <v>940</v>
      </c>
      <c r="D11160" t="s">
        <v>3406</v>
      </c>
      <c r="E11160" t="s">
        <v>140</v>
      </c>
      <c r="F11160" s="2" t="str">
        <f>HYPERLINK("http://www.otzar.org/book.asp?618663","היכל באבוב")</f>
        <v>היכל באבוב</v>
      </c>
    </row>
    <row r="11161" spans="1:6" x14ac:dyDescent="0.2">
      <c r="A11161" t="s">
        <v>19144</v>
      </c>
      <c r="B11161" t="s">
        <v>19145</v>
      </c>
      <c r="C11161" t="s">
        <v>6778</v>
      </c>
      <c r="D11161" t="s">
        <v>49</v>
      </c>
      <c r="F11161" s="2" t="str">
        <f>HYPERLINK("http://www.otzar.org/book.asp?147013","היכל ה' - 2 כר'")</f>
        <v>היכל ה' - 2 כר'</v>
      </c>
    </row>
    <row r="11162" spans="1:6" x14ac:dyDescent="0.2">
      <c r="A11162" t="s">
        <v>19146</v>
      </c>
      <c r="B11162" t="s">
        <v>19147</v>
      </c>
      <c r="C11162" t="s">
        <v>454</v>
      </c>
      <c r="D11162" t="s">
        <v>412</v>
      </c>
      <c r="E11162" t="s">
        <v>13698</v>
      </c>
      <c r="F11162" s="2" t="str">
        <f>HYPERLINK("http://www.otzar.org/book.asp?27565","היכל הבעש""ט - 36 כר'")</f>
        <v>היכל הבעש"ט - 36 כר'</v>
      </c>
    </row>
    <row r="11163" spans="1:6" x14ac:dyDescent="0.2">
      <c r="A11163" t="s">
        <v>19148</v>
      </c>
      <c r="B11163" t="s">
        <v>19149</v>
      </c>
      <c r="C11163" t="s">
        <v>111</v>
      </c>
      <c r="D11163" t="s">
        <v>21</v>
      </c>
      <c r="E11163" t="s">
        <v>10</v>
      </c>
      <c r="F11163" s="2" t="str">
        <f>HYPERLINK("http://www.otzar.org/book.asp?627535","היכל הוראה - 5 כר'")</f>
        <v>היכל הוראה - 5 כר'</v>
      </c>
    </row>
    <row r="11164" spans="1:6" x14ac:dyDescent="0.2">
      <c r="A11164" t="s">
        <v>19150</v>
      </c>
      <c r="B11164" t="s">
        <v>4437</v>
      </c>
      <c r="C11164" t="s">
        <v>146</v>
      </c>
      <c r="D11164" t="s">
        <v>52</v>
      </c>
      <c r="E11164" t="s">
        <v>19151</v>
      </c>
      <c r="F11164" s="2" t="str">
        <f>HYPERLINK("http://www.otzar.org/book.asp?25866","היכל הנגינה")</f>
        <v>היכל הנגינה</v>
      </c>
    </row>
    <row r="11165" spans="1:6" x14ac:dyDescent="0.2">
      <c r="A11165" t="s">
        <v>19152</v>
      </c>
      <c r="B11165" t="s">
        <v>19153</v>
      </c>
      <c r="C11165" t="s">
        <v>20</v>
      </c>
      <c r="D11165" t="s">
        <v>90</v>
      </c>
      <c r="E11165" t="s">
        <v>130</v>
      </c>
      <c r="F11165" s="2" t="str">
        <f>HYPERLINK("http://www.otzar.org/book.asp?604451","היכל הנר")</f>
        <v>היכל הנר</v>
      </c>
    </row>
    <row r="11166" spans="1:6" x14ac:dyDescent="0.2">
      <c r="A11166" t="s">
        <v>19154</v>
      </c>
      <c r="B11166" t="s">
        <v>19155</v>
      </c>
      <c r="C11166" t="s">
        <v>103</v>
      </c>
      <c r="D11166" t="s">
        <v>147</v>
      </c>
      <c r="E11166" t="s">
        <v>2862</v>
      </c>
      <c r="F11166" s="2" t="str">
        <f>HYPERLINK("http://www.otzar.org/book.asp?22948","היכל הצדיק")</f>
        <v>היכל הצדיק</v>
      </c>
    </row>
    <row r="11167" spans="1:6" x14ac:dyDescent="0.2">
      <c r="A11167" t="s">
        <v>19156</v>
      </c>
      <c r="B11167" t="s">
        <v>19157</v>
      </c>
      <c r="C11167" t="s">
        <v>1885</v>
      </c>
      <c r="D11167" t="s">
        <v>11133</v>
      </c>
      <c r="E11167" t="s">
        <v>104</v>
      </c>
      <c r="F11167" s="2" t="str">
        <f>HYPERLINK("http://www.otzar.org/book.asp?5040","היכל הקדש &lt;קונקורדנציה&gt;")</f>
        <v>היכל הקדש &lt;קונקורדנציה&gt;</v>
      </c>
    </row>
    <row r="11168" spans="1:6" x14ac:dyDescent="0.2">
      <c r="A11168" t="s">
        <v>19158</v>
      </c>
      <c r="B11168" t="s">
        <v>19159</v>
      </c>
      <c r="C11168" t="s">
        <v>4699</v>
      </c>
      <c r="D11168" t="s">
        <v>1023</v>
      </c>
      <c r="E11168" t="s">
        <v>3755</v>
      </c>
      <c r="F11168" s="2" t="str">
        <f>HYPERLINK("http://www.otzar.org/book.asp?12873","היכל הקודש - 2 כר'")</f>
        <v>היכל הקודש - 2 כר'</v>
      </c>
    </row>
    <row r="11169" spans="1:6" x14ac:dyDescent="0.2">
      <c r="A11169" t="s">
        <v>19160</v>
      </c>
      <c r="B11169" t="s">
        <v>206</v>
      </c>
      <c r="C11169" t="s">
        <v>68</v>
      </c>
      <c r="D11169" t="s">
        <v>90</v>
      </c>
      <c r="E11169" t="s">
        <v>714</v>
      </c>
      <c r="F11169" s="2" t="str">
        <f>HYPERLINK("http://www.otzar.org/book.asp?160167","היכל הקודש")</f>
        <v>היכל הקודש</v>
      </c>
    </row>
    <row r="11170" spans="1:6" x14ac:dyDescent="0.2">
      <c r="A11170" t="s">
        <v>19161</v>
      </c>
      <c r="B11170" t="s">
        <v>19162</v>
      </c>
      <c r="C11170" t="s">
        <v>13</v>
      </c>
      <c r="D11170" t="s">
        <v>14</v>
      </c>
      <c r="E11170" t="s">
        <v>4486</v>
      </c>
      <c r="F11170" s="2" t="str">
        <f>HYPERLINK("http://www.otzar.org/book.asp?84678","היכל הריב""ש &lt;ים החכמה&gt;")</f>
        <v>היכל הריב"ש &lt;ים החכמה&gt;</v>
      </c>
    </row>
    <row r="11171" spans="1:6" x14ac:dyDescent="0.2">
      <c r="A11171" t="s">
        <v>19163</v>
      </c>
      <c r="B11171" t="s">
        <v>1720</v>
      </c>
      <c r="C11171" t="s">
        <v>129</v>
      </c>
      <c r="D11171" t="s">
        <v>14</v>
      </c>
      <c r="E11171" t="s">
        <v>19164</v>
      </c>
      <c r="F11171" s="2" t="str">
        <f>HYPERLINK("http://www.otzar.org/book.asp?62057","היכל השביעית")</f>
        <v>היכל השביעית</v>
      </c>
    </row>
    <row r="11172" spans="1:6" x14ac:dyDescent="0.2">
      <c r="A11172" t="s">
        <v>19165</v>
      </c>
      <c r="B11172" t="s">
        <v>19166</v>
      </c>
      <c r="C11172" t="s">
        <v>1169</v>
      </c>
      <c r="D11172" t="s">
        <v>27</v>
      </c>
      <c r="E11172" t="s">
        <v>234</v>
      </c>
      <c r="F11172" s="2" t="str">
        <f>HYPERLINK("http://www.otzar.org/book.asp?51375","היכל השבת והמועדים")</f>
        <v>היכל השבת והמועדים</v>
      </c>
    </row>
    <row r="11173" spans="1:6" x14ac:dyDescent="0.2">
      <c r="A11173" t="s">
        <v>19167</v>
      </c>
      <c r="B11173" t="s">
        <v>19168</v>
      </c>
      <c r="C11173" t="s">
        <v>224</v>
      </c>
      <c r="D11173" t="s">
        <v>19169</v>
      </c>
      <c r="E11173" t="s">
        <v>202</v>
      </c>
      <c r="F11173" s="2" t="str">
        <f>HYPERLINK("http://www.otzar.org/book.asp?106877","היכל התורה - 2 כר'")</f>
        <v>היכל התורה - 2 כר'</v>
      </c>
    </row>
    <row r="11174" spans="1:6" x14ac:dyDescent="0.2">
      <c r="A11174" t="s">
        <v>19168</v>
      </c>
      <c r="B11174" t="s">
        <v>19170</v>
      </c>
      <c r="C11174" t="s">
        <v>332</v>
      </c>
      <c r="D11174" t="s">
        <v>8985</v>
      </c>
      <c r="E11174" t="s">
        <v>2338</v>
      </c>
      <c r="F11174" s="2" t="str">
        <f>HYPERLINK("http://www.otzar.org/book.asp?619864","היכל התורה")</f>
        <v>היכל התורה</v>
      </c>
    </row>
    <row r="11175" spans="1:6" x14ac:dyDescent="0.2">
      <c r="A11175" t="s">
        <v>19168</v>
      </c>
      <c r="B11175" t="s">
        <v>19171</v>
      </c>
      <c r="C11175" t="s">
        <v>454</v>
      </c>
      <c r="D11175" t="s">
        <v>9909</v>
      </c>
      <c r="E11175" t="s">
        <v>241</v>
      </c>
      <c r="F11175" s="2" t="str">
        <f>HYPERLINK("http://www.otzar.org/book.asp?149509","היכל התורה")</f>
        <v>היכל התורה</v>
      </c>
    </row>
    <row r="11176" spans="1:6" x14ac:dyDescent="0.2">
      <c r="A11176" t="s">
        <v>19172</v>
      </c>
      <c r="B11176" t="s">
        <v>19173</v>
      </c>
      <c r="C11176" t="s">
        <v>698</v>
      </c>
      <c r="D11176" t="s">
        <v>21</v>
      </c>
      <c r="E11176" t="s">
        <v>202</v>
      </c>
      <c r="F11176" s="2" t="str">
        <f>HYPERLINK("http://www.otzar.org/book.asp?192296","היכל התלמוד - א")</f>
        <v>היכל התלמוד - א</v>
      </c>
    </row>
    <row r="11177" spans="1:6" x14ac:dyDescent="0.2">
      <c r="A11177" t="s">
        <v>19174</v>
      </c>
      <c r="B11177" t="s">
        <v>2663</v>
      </c>
      <c r="C11177" t="s">
        <v>332</v>
      </c>
      <c r="D11177" t="s">
        <v>216</v>
      </c>
      <c r="E11177" t="s">
        <v>202</v>
      </c>
      <c r="F11177" s="2" t="str">
        <f>HYPERLINK("http://www.otzar.org/book.asp?148848","היכל התלמוד - 3 כר'")</f>
        <v>היכל התלמוד - 3 כר'</v>
      </c>
    </row>
    <row r="11178" spans="1:6" x14ac:dyDescent="0.2">
      <c r="A11178" t="s">
        <v>19175</v>
      </c>
      <c r="B11178" t="s">
        <v>3727</v>
      </c>
      <c r="C11178" t="s">
        <v>114</v>
      </c>
      <c r="D11178" t="s">
        <v>52</v>
      </c>
      <c r="E11178" t="s">
        <v>1517</v>
      </c>
      <c r="F11178" s="2" t="str">
        <f>HYPERLINK("http://www.otzar.org/book.asp?162673","היכל התפילה")</f>
        <v>היכל התפילה</v>
      </c>
    </row>
    <row r="11179" spans="1:6" x14ac:dyDescent="0.2">
      <c r="A11179" t="s">
        <v>19176</v>
      </c>
      <c r="B11179" t="s">
        <v>18531</v>
      </c>
      <c r="C11179" t="s">
        <v>390</v>
      </c>
      <c r="D11179" t="s">
        <v>52</v>
      </c>
      <c r="E11179" t="s">
        <v>241</v>
      </c>
      <c r="F11179" s="2" t="str">
        <f>HYPERLINK("http://www.otzar.org/book.asp?159229","היכל התשובה")</f>
        <v>היכל התשובה</v>
      </c>
    </row>
    <row r="11180" spans="1:6" x14ac:dyDescent="0.2">
      <c r="A11180" t="s">
        <v>19177</v>
      </c>
      <c r="B11180" t="s">
        <v>19178</v>
      </c>
      <c r="C11180" t="s">
        <v>111</v>
      </c>
      <c r="D11180" t="s">
        <v>14</v>
      </c>
      <c r="E11180" t="s">
        <v>241</v>
      </c>
      <c r="F11180" s="2" t="str">
        <f>HYPERLINK("http://www.otzar.org/book.asp?630344","היכל ושערים")</f>
        <v>היכל ושערים</v>
      </c>
    </row>
    <row r="11181" spans="1:6" x14ac:dyDescent="0.2">
      <c r="A11181" t="s">
        <v>19179</v>
      </c>
      <c r="B11181" t="s">
        <v>8353</v>
      </c>
      <c r="C11181" t="s">
        <v>244</v>
      </c>
      <c r="D11181" t="s">
        <v>367</v>
      </c>
      <c r="E11181" t="s">
        <v>38</v>
      </c>
      <c r="F11181" s="2" t="str">
        <f>HYPERLINK("http://www.otzar.org/book.asp?601452","היכל ידיד")</f>
        <v>היכל ידיד</v>
      </c>
    </row>
    <row r="11182" spans="1:6" x14ac:dyDescent="0.2">
      <c r="A11182" t="s">
        <v>19180</v>
      </c>
      <c r="B11182" t="s">
        <v>19181</v>
      </c>
      <c r="C11182" t="s">
        <v>1663</v>
      </c>
      <c r="D11182" t="s">
        <v>27</v>
      </c>
      <c r="E11182" t="s">
        <v>154</v>
      </c>
      <c r="F11182" s="2" t="str">
        <f>HYPERLINK("http://www.otzar.org/book.asp?13751","היכל יצחק - 3 כר'")</f>
        <v>היכל יצחק - 3 כר'</v>
      </c>
    </row>
    <row r="11183" spans="1:6" x14ac:dyDescent="0.2">
      <c r="A11183" t="s">
        <v>19182</v>
      </c>
      <c r="B11183" t="s">
        <v>19183</v>
      </c>
      <c r="C11183" t="s">
        <v>956</v>
      </c>
      <c r="D11183" t="s">
        <v>14</v>
      </c>
      <c r="E11183" t="s">
        <v>19184</v>
      </c>
      <c r="F11183" s="2" t="str">
        <f>HYPERLINK("http://www.otzar.org/book.asp?102984","היכל ישראל")</f>
        <v>היכל ישראל</v>
      </c>
    </row>
    <row r="11184" spans="1:6" x14ac:dyDescent="0.2">
      <c r="A11184" t="s">
        <v>19185</v>
      </c>
      <c r="B11184" t="s">
        <v>19186</v>
      </c>
      <c r="C11184" t="s">
        <v>547</v>
      </c>
      <c r="D11184" t="s">
        <v>267</v>
      </c>
      <c r="E11184" t="s">
        <v>9092</v>
      </c>
      <c r="F11184" s="2" t="str">
        <f>HYPERLINK("http://www.otzar.org/book.asp?17659","היכל כאורה")</f>
        <v>היכל כאורה</v>
      </c>
    </row>
    <row r="11185" spans="1:6" x14ac:dyDescent="0.2">
      <c r="A11185" t="s">
        <v>19187</v>
      </c>
      <c r="B11185" t="s">
        <v>15342</v>
      </c>
      <c r="C11185" t="s">
        <v>79</v>
      </c>
      <c r="D11185" t="s">
        <v>9</v>
      </c>
      <c r="E11185" t="s">
        <v>19188</v>
      </c>
      <c r="F11185" s="2" t="str">
        <f>HYPERLINK("http://www.otzar.org/book.asp?104511","היכל לדברי חז""ל ופתגמיהם")</f>
        <v>היכל לדברי חז"ל ופתגמיהם</v>
      </c>
    </row>
    <row r="11186" spans="1:6" x14ac:dyDescent="0.2">
      <c r="A11186" t="s">
        <v>19189</v>
      </c>
      <c r="B11186" t="s">
        <v>19190</v>
      </c>
      <c r="C11186" t="s">
        <v>1019</v>
      </c>
      <c r="D11186" t="s">
        <v>76</v>
      </c>
      <c r="E11186" t="s">
        <v>15</v>
      </c>
      <c r="F11186" s="2" t="str">
        <f>HYPERLINK("http://www.otzar.org/book.asp?100959","היכל מלך")</f>
        <v>היכל מלך</v>
      </c>
    </row>
    <row r="11187" spans="1:6" x14ac:dyDescent="0.2">
      <c r="A11187" t="s">
        <v>19191</v>
      </c>
      <c r="B11187" t="s">
        <v>19192</v>
      </c>
      <c r="C11187" t="s">
        <v>20</v>
      </c>
      <c r="D11187" t="s">
        <v>118</v>
      </c>
      <c r="E11187" t="s">
        <v>15</v>
      </c>
      <c r="F11187" s="2" t="str">
        <f>HYPERLINK("http://www.otzar.org/book.asp?196169","היכל עבודת השם - 4 כר'")</f>
        <v>היכל עבודת השם - 4 כר'</v>
      </c>
    </row>
    <row r="11188" spans="1:6" x14ac:dyDescent="0.2">
      <c r="A11188" t="s">
        <v>19193</v>
      </c>
      <c r="B11188" t="s">
        <v>19194</v>
      </c>
      <c r="C11188" t="s">
        <v>6448</v>
      </c>
      <c r="D11188" t="s">
        <v>2041</v>
      </c>
      <c r="E11188" t="s">
        <v>241</v>
      </c>
      <c r="F11188" s="2" t="str">
        <f>HYPERLINK("http://www.otzar.org/book.asp?162986","היכל עונג")</f>
        <v>היכל עונג</v>
      </c>
    </row>
    <row r="11189" spans="1:6" x14ac:dyDescent="0.2">
      <c r="A11189" t="s">
        <v>19195</v>
      </c>
      <c r="B11189" t="s">
        <v>19196</v>
      </c>
      <c r="C11189" t="s">
        <v>23</v>
      </c>
      <c r="D11189" t="s">
        <v>423</v>
      </c>
      <c r="E11189" t="s">
        <v>158</v>
      </c>
      <c r="F11189" s="2" t="str">
        <f>HYPERLINK("http://www.otzar.org/book.asp?193383","היכל צבי - 2 כר'")</f>
        <v>היכל צבי - 2 כר'</v>
      </c>
    </row>
    <row r="11190" spans="1:6" x14ac:dyDescent="0.2">
      <c r="A11190" t="s">
        <v>19197</v>
      </c>
      <c r="B11190" t="s">
        <v>19198</v>
      </c>
      <c r="C11190" t="s">
        <v>1570</v>
      </c>
      <c r="D11190" t="s">
        <v>14</v>
      </c>
      <c r="E11190" t="s">
        <v>19199</v>
      </c>
      <c r="F11190" s="2" t="str">
        <f>HYPERLINK("http://www.otzar.org/book.asp?8115","היכל צמח")</f>
        <v>היכל צמח</v>
      </c>
    </row>
    <row r="11191" spans="1:6" x14ac:dyDescent="0.2">
      <c r="A11191" t="s">
        <v>19200</v>
      </c>
      <c r="B11191" t="s">
        <v>19201</v>
      </c>
      <c r="C11191" t="s">
        <v>124</v>
      </c>
      <c r="D11191" t="s">
        <v>14</v>
      </c>
      <c r="E11191" t="s">
        <v>19202</v>
      </c>
      <c r="F11191" s="2" t="str">
        <f>HYPERLINK("http://www.otzar.org/book.asp?161957","היכל רחל - נוה רחל")</f>
        <v>היכל רחל - נוה רחל</v>
      </c>
    </row>
    <row r="11192" spans="1:6" x14ac:dyDescent="0.2">
      <c r="A11192" t="s">
        <v>19203</v>
      </c>
      <c r="B11192" t="s">
        <v>19204</v>
      </c>
      <c r="C11192" t="s">
        <v>1448</v>
      </c>
      <c r="D11192" t="s">
        <v>14</v>
      </c>
      <c r="E11192" t="s">
        <v>11780</v>
      </c>
      <c r="F11192" s="2" t="str">
        <f>HYPERLINK("http://www.otzar.org/book.asp?14085","היכל רש""י - 4 כר'")</f>
        <v>היכל רש"י - 4 כר'</v>
      </c>
    </row>
    <row r="11193" spans="1:6" x14ac:dyDescent="0.2">
      <c r="A11193" t="s">
        <v>19205</v>
      </c>
      <c r="B11193" t="s">
        <v>1750</v>
      </c>
      <c r="C11193" t="s">
        <v>13</v>
      </c>
      <c r="D11193" t="s">
        <v>52</v>
      </c>
      <c r="E11193" t="s">
        <v>202</v>
      </c>
      <c r="F11193" s="2" t="str">
        <f>HYPERLINK("http://www.otzar.org/book.asp?61819","היכל שמואל")</f>
        <v>היכל שמואל</v>
      </c>
    </row>
    <row r="11194" spans="1:6" x14ac:dyDescent="0.2">
      <c r="A11194" t="s">
        <v>19206</v>
      </c>
      <c r="B11194" t="s">
        <v>16869</v>
      </c>
      <c r="C11194" t="s">
        <v>334</v>
      </c>
      <c r="D11194" t="s">
        <v>412</v>
      </c>
      <c r="E11194" t="s">
        <v>803</v>
      </c>
      <c r="F11194" s="2" t="str">
        <f>HYPERLINK("http://www.otzar.org/book.asp?168903","היכל שמחה")</f>
        <v>היכל שמחה</v>
      </c>
    </row>
    <row r="11195" spans="1:6" x14ac:dyDescent="0.2">
      <c r="A11195" t="s">
        <v>19207</v>
      </c>
      <c r="B11195" t="s">
        <v>19208</v>
      </c>
      <c r="C11195" t="s">
        <v>111</v>
      </c>
      <c r="D11195" t="s">
        <v>52</v>
      </c>
      <c r="F11195" s="2" t="str">
        <f>HYPERLINK("http://www.otzar.org/book.asp?632054","היכלא דאורייתא")</f>
        <v>היכלא דאורייתא</v>
      </c>
    </row>
    <row r="11196" spans="1:6" x14ac:dyDescent="0.2">
      <c r="A11196" t="s">
        <v>19209</v>
      </c>
      <c r="B11196" t="s">
        <v>19210</v>
      </c>
      <c r="C11196" t="s">
        <v>114</v>
      </c>
      <c r="D11196" t="s">
        <v>14</v>
      </c>
      <c r="E11196" t="s">
        <v>4022</v>
      </c>
      <c r="F11196" s="2" t="str">
        <f>HYPERLINK("http://www.otzar.org/book.asp?171629","היכלא - 7 כר'")</f>
        <v>היכלא - 7 כר'</v>
      </c>
    </row>
    <row r="11197" spans="1:6" x14ac:dyDescent="0.2">
      <c r="A11197" t="s">
        <v>19211</v>
      </c>
      <c r="B11197" t="s">
        <v>19212</v>
      </c>
      <c r="C11197" t="s">
        <v>68</v>
      </c>
      <c r="D11197" t="s">
        <v>52</v>
      </c>
      <c r="F11197" s="2" t="str">
        <f>HYPERLINK("http://www.otzar.org/book.asp?600687","היכלות &lt;קשר איתן&gt; - 54 כר'")</f>
        <v>היכלות &lt;קשר איתן&gt; - 54 כר'</v>
      </c>
    </row>
    <row r="11198" spans="1:6" x14ac:dyDescent="0.2">
      <c r="A11198" t="s">
        <v>19213</v>
      </c>
      <c r="B11198" t="s">
        <v>19214</v>
      </c>
      <c r="C11198" t="s">
        <v>79</v>
      </c>
      <c r="D11198" t="s">
        <v>260</v>
      </c>
      <c r="E11198" t="s">
        <v>399</v>
      </c>
      <c r="F11198" s="2" t="str">
        <f>HYPERLINK("http://www.otzar.org/book.asp?17660","היכלות דרבי מאיר הלוי")</f>
        <v>היכלות דרבי מאיר הלוי</v>
      </c>
    </row>
    <row r="11199" spans="1:6" x14ac:dyDescent="0.2">
      <c r="A11199" t="s">
        <v>19215</v>
      </c>
      <c r="B11199" t="s">
        <v>1821</v>
      </c>
      <c r="C11199" t="s">
        <v>19216</v>
      </c>
      <c r="D11199" t="s">
        <v>19217</v>
      </c>
      <c r="F11199" s="2" t="str">
        <f>HYPERLINK("http://www.otzar.org/book.asp?620912","היכלות הזוהר עם ביאור הגר""א")</f>
        <v>היכלות הזוהר עם ביאור הגר"א</v>
      </c>
    </row>
    <row r="11200" spans="1:6" x14ac:dyDescent="0.2">
      <c r="A11200" t="s">
        <v>19218</v>
      </c>
      <c r="B11200" t="s">
        <v>3854</v>
      </c>
      <c r="C11200" t="s">
        <v>523</v>
      </c>
      <c r="D11200" t="s">
        <v>14</v>
      </c>
      <c r="F11200" s="2" t="str">
        <f>HYPERLINK("http://www.otzar.org/book.asp?616074","היכלי דוד")</f>
        <v>היכלי דוד</v>
      </c>
    </row>
    <row r="11201" spans="1:6" x14ac:dyDescent="0.2">
      <c r="A11201" t="s">
        <v>19219</v>
      </c>
      <c r="B11201" t="s">
        <v>19220</v>
      </c>
      <c r="C11201" t="s">
        <v>133</v>
      </c>
      <c r="D11201" t="s">
        <v>14</v>
      </c>
      <c r="E11201" t="s">
        <v>148</v>
      </c>
      <c r="F11201" s="2" t="str">
        <f>HYPERLINK("http://www.otzar.org/book.asp?625518","היכלי דעה")</f>
        <v>היכלי דעה</v>
      </c>
    </row>
    <row r="11202" spans="1:6" x14ac:dyDescent="0.2">
      <c r="A11202" t="s">
        <v>19221</v>
      </c>
      <c r="B11202" t="s">
        <v>19222</v>
      </c>
      <c r="C11202" t="s">
        <v>37</v>
      </c>
      <c r="D11202" t="s">
        <v>14</v>
      </c>
      <c r="E11202" t="s">
        <v>399</v>
      </c>
      <c r="F11202" s="2" t="str">
        <f>HYPERLINK("http://www.otzar.org/book.asp?182578","היכלי מרום")</f>
        <v>היכלי מרום</v>
      </c>
    </row>
    <row r="11203" spans="1:6" x14ac:dyDescent="0.2">
      <c r="A11203" t="s">
        <v>19223</v>
      </c>
      <c r="B11203" t="s">
        <v>16818</v>
      </c>
      <c r="C11203" t="s">
        <v>1228</v>
      </c>
      <c r="D11203" t="s">
        <v>225</v>
      </c>
      <c r="E11203" t="s">
        <v>154</v>
      </c>
      <c r="F11203" s="2" t="str">
        <f>HYPERLINK("http://www.otzar.org/book.asp?100785","היכלי שן תליתאי")</f>
        <v>היכלי שן תליתאי</v>
      </c>
    </row>
    <row r="11204" spans="1:6" x14ac:dyDescent="0.2">
      <c r="A11204" t="s">
        <v>19224</v>
      </c>
      <c r="B11204" t="s">
        <v>16818</v>
      </c>
      <c r="C11204" t="s">
        <v>1718</v>
      </c>
      <c r="D11204" t="s">
        <v>283</v>
      </c>
      <c r="E11204" t="s">
        <v>154</v>
      </c>
      <c r="F11204" s="2" t="str">
        <f>HYPERLINK("http://www.otzar.org/book.asp?100786","היכלי שן תניינא")</f>
        <v>היכלי שן תניינא</v>
      </c>
    </row>
    <row r="11205" spans="1:6" x14ac:dyDescent="0.2">
      <c r="A11205" t="s">
        <v>19225</v>
      </c>
      <c r="B11205" t="s">
        <v>19226</v>
      </c>
      <c r="C11205" t="s">
        <v>643</v>
      </c>
      <c r="D11205" t="s">
        <v>267</v>
      </c>
      <c r="E11205" t="s">
        <v>158</v>
      </c>
      <c r="F11205" s="2" t="str">
        <f>HYPERLINK("http://www.otzar.org/book.asp?100153","היכלי שן - תורה")</f>
        <v>היכלי שן - תורה</v>
      </c>
    </row>
    <row r="11206" spans="1:6" x14ac:dyDescent="0.2">
      <c r="A11206" t="s">
        <v>19227</v>
      </c>
      <c r="B11206" t="s">
        <v>16818</v>
      </c>
      <c r="C11206" t="s">
        <v>1058</v>
      </c>
      <c r="D11206" t="s">
        <v>283</v>
      </c>
      <c r="E11206" t="s">
        <v>154</v>
      </c>
      <c r="F11206" s="2" t="str">
        <f>HYPERLINK("http://www.otzar.org/book.asp?100783","היכלי שן - א")</f>
        <v>היכלי שן - א</v>
      </c>
    </row>
    <row r="11207" spans="1:6" x14ac:dyDescent="0.2">
      <c r="A11207" t="s">
        <v>19228</v>
      </c>
      <c r="B11207" t="s">
        <v>19229</v>
      </c>
      <c r="C11207" t="s">
        <v>51</v>
      </c>
      <c r="D11207" t="s">
        <v>14</v>
      </c>
      <c r="E11207" t="s">
        <v>733</v>
      </c>
      <c r="F11207" s="2" t="str">
        <f>HYPERLINK("http://www.otzar.org/book.asp?64301","הילד איננו - פרשת ילדי תימן")</f>
        <v>הילד איננו - פרשת ילדי תימן</v>
      </c>
    </row>
    <row r="11208" spans="1:6" x14ac:dyDescent="0.2">
      <c r="A11208" t="s">
        <v>19230</v>
      </c>
      <c r="B11208" t="s">
        <v>19231</v>
      </c>
      <c r="C11208" t="s">
        <v>366</v>
      </c>
      <c r="D11208" t="s">
        <v>1156</v>
      </c>
      <c r="E11208" t="s">
        <v>202</v>
      </c>
      <c r="F11208" s="2" t="str">
        <f>HYPERLINK("http://www.otzar.org/book.asp?605522","הילולא דבי רב")</f>
        <v>הילולא דבי רב</v>
      </c>
    </row>
    <row r="11209" spans="1:6" x14ac:dyDescent="0.2">
      <c r="A11209" t="s">
        <v>19232</v>
      </c>
      <c r="B11209" t="s">
        <v>19233</v>
      </c>
      <c r="C11209" t="s">
        <v>20</v>
      </c>
      <c r="D11209" t="s">
        <v>90</v>
      </c>
      <c r="E11209" t="s">
        <v>104</v>
      </c>
      <c r="F11209" s="2" t="str">
        <f>HYPERLINK("http://www.otzar.org/book.asp?196771","הילולא דצדיקיא")</f>
        <v>הילולא דצדיקיא</v>
      </c>
    </row>
    <row r="11210" spans="1:6" x14ac:dyDescent="0.2">
      <c r="A11210" t="s">
        <v>19232</v>
      </c>
      <c r="B11210" t="s">
        <v>3520</v>
      </c>
      <c r="C11210" t="s">
        <v>624</v>
      </c>
      <c r="D11210" t="s">
        <v>14</v>
      </c>
      <c r="E11210" t="s">
        <v>733</v>
      </c>
      <c r="F11210" s="2" t="str">
        <f>HYPERLINK("http://www.otzar.org/book.asp?144995","הילולא דצדיקיא")</f>
        <v>הילולא דצדיקיא</v>
      </c>
    </row>
    <row r="11211" spans="1:6" x14ac:dyDescent="0.2">
      <c r="A11211" t="s">
        <v>19234</v>
      </c>
      <c r="B11211" t="s">
        <v>19235</v>
      </c>
      <c r="C11211" t="s">
        <v>103</v>
      </c>
      <c r="D11211" t="s">
        <v>721</v>
      </c>
      <c r="E11211" t="s">
        <v>1626</v>
      </c>
      <c r="F11211" s="2" t="str">
        <f>HYPERLINK("http://www.otzar.org/book.asp?174467","הילולא דרבי יוסי בן זמרא")</f>
        <v>הילולא דרבי יוסי בן זמרא</v>
      </c>
    </row>
    <row r="11212" spans="1:6" x14ac:dyDescent="0.2">
      <c r="A11212" t="s">
        <v>19236</v>
      </c>
      <c r="B11212" t="s">
        <v>19237</v>
      </c>
      <c r="C11212" t="s">
        <v>411</v>
      </c>
      <c r="D11212" t="s">
        <v>90</v>
      </c>
      <c r="F11212" s="2" t="str">
        <f>HYPERLINK("http://www.otzar.org/book.asp?614479","הילולא קדישא - 4 כר'")</f>
        <v>הילולא קדישא - 4 כר'</v>
      </c>
    </row>
    <row r="11213" spans="1:6" x14ac:dyDescent="0.2">
      <c r="A11213" t="s">
        <v>19238</v>
      </c>
      <c r="B11213" t="s">
        <v>8227</v>
      </c>
      <c r="C11213" t="s">
        <v>68</v>
      </c>
      <c r="D11213" t="s">
        <v>14</v>
      </c>
      <c r="E11213" t="s">
        <v>144</v>
      </c>
      <c r="F11213" s="2" t="str">
        <f>HYPERLINK("http://www.otzar.org/book.asp?153237","הילולים לה'")</f>
        <v>הילולים לה'</v>
      </c>
    </row>
    <row r="11214" spans="1:6" x14ac:dyDescent="0.2">
      <c r="A11214" t="s">
        <v>19238</v>
      </c>
      <c r="B11214" t="s">
        <v>19239</v>
      </c>
      <c r="C11214" t="s">
        <v>151</v>
      </c>
      <c r="D11214" t="s">
        <v>14</v>
      </c>
      <c r="E11214" t="s">
        <v>144</v>
      </c>
      <c r="F11214" s="2" t="str">
        <f>HYPERLINK("http://www.otzar.org/book.asp?620292","הילולים לה'")</f>
        <v>הילולים לה'</v>
      </c>
    </row>
    <row r="11215" spans="1:6" x14ac:dyDescent="0.2">
      <c r="A11215" t="s">
        <v>19240</v>
      </c>
      <c r="B11215" t="s">
        <v>19241</v>
      </c>
      <c r="C11215" t="s">
        <v>538</v>
      </c>
      <c r="D11215" t="s">
        <v>283</v>
      </c>
      <c r="E11215" t="s">
        <v>234</v>
      </c>
      <c r="F11215" s="2" t="str">
        <f>HYPERLINK("http://www.otzar.org/book.asp?100150","הילל בן שחר")</f>
        <v>הילל בן שחר</v>
      </c>
    </row>
    <row r="11216" spans="1:6" x14ac:dyDescent="0.2">
      <c r="A11216" t="s">
        <v>19242</v>
      </c>
      <c r="B11216" t="s">
        <v>1750</v>
      </c>
      <c r="C11216" t="s">
        <v>133</v>
      </c>
      <c r="D11216" t="s">
        <v>14</v>
      </c>
      <c r="E11216" t="s">
        <v>130</v>
      </c>
      <c r="F11216" s="2" t="str">
        <f>HYPERLINK("http://www.otzar.org/book.asp?195124","הימים הנוראים בהלכה ובאגדה")</f>
        <v>הימים הנוראים בהלכה ובאגדה</v>
      </c>
    </row>
    <row r="11217" spans="1:6" x14ac:dyDescent="0.2">
      <c r="A11217" t="s">
        <v>19243</v>
      </c>
      <c r="B11217" t="s">
        <v>9316</v>
      </c>
      <c r="C11217" t="s">
        <v>133</v>
      </c>
      <c r="D11217" t="s">
        <v>5172</v>
      </c>
      <c r="E11217" t="s">
        <v>246</v>
      </c>
      <c r="F11217" s="2" t="str">
        <f>HYPERLINK("http://www.otzar.org/book.asp?605968","הימים הנוראים במחיצת החפץ חיים")</f>
        <v>הימים הנוראים במחיצת החפץ חיים</v>
      </c>
    </row>
    <row r="11218" spans="1:6" x14ac:dyDescent="0.2">
      <c r="A11218" t="s">
        <v>19244</v>
      </c>
      <c r="B11218" t="s">
        <v>19245</v>
      </c>
      <c r="C11218" t="s">
        <v>366</v>
      </c>
      <c r="D11218" t="s">
        <v>412</v>
      </c>
      <c r="F11218" s="2" t="str">
        <f>HYPERLINK("http://www.otzar.org/book.asp?616502","הימנותא דשלמה")</f>
        <v>הימנותא דשלמה</v>
      </c>
    </row>
    <row r="11219" spans="1:6" x14ac:dyDescent="0.2">
      <c r="A11219" t="s">
        <v>19246</v>
      </c>
      <c r="B11219" t="s">
        <v>629</v>
      </c>
      <c r="C11219" t="s">
        <v>1937</v>
      </c>
      <c r="D11219" t="s">
        <v>56</v>
      </c>
      <c r="E11219" t="s">
        <v>241</v>
      </c>
      <c r="F11219" s="2" t="str">
        <f>HYPERLINK("http://www.otzar.org/book.asp?100151","הין צדק ותיקון המדות")</f>
        <v>הין צדק ותיקון המדות</v>
      </c>
    </row>
    <row r="11220" spans="1:6" x14ac:dyDescent="0.2">
      <c r="A11220" t="s">
        <v>19247</v>
      </c>
      <c r="B11220" t="s">
        <v>19248</v>
      </c>
      <c r="C11220" t="s">
        <v>1166</v>
      </c>
      <c r="D11220" t="s">
        <v>379</v>
      </c>
      <c r="E11220" t="s">
        <v>19249</v>
      </c>
      <c r="F11220" s="2" t="str">
        <f>HYPERLINK("http://www.otzar.org/book.asp?14248","הין צדק")</f>
        <v>הין צדק</v>
      </c>
    </row>
    <row r="11221" spans="1:6" x14ac:dyDescent="0.2">
      <c r="A11221" t="s">
        <v>19250</v>
      </c>
      <c r="B11221" t="s">
        <v>7077</v>
      </c>
      <c r="C11221" t="s">
        <v>454</v>
      </c>
      <c r="D11221" t="s">
        <v>21</v>
      </c>
      <c r="F11221" s="2" t="str">
        <f>HYPERLINK("http://www.otzar.org/book.asp?617946","היסוד - 2 כר'")</f>
        <v>היסוד - 2 כר'</v>
      </c>
    </row>
    <row r="11222" spans="1:6" x14ac:dyDescent="0.2">
      <c r="A11222" t="s">
        <v>19251</v>
      </c>
      <c r="B11222" t="s">
        <v>11253</v>
      </c>
      <c r="C11222" t="s">
        <v>383</v>
      </c>
      <c r="D11222" t="s">
        <v>14</v>
      </c>
      <c r="E11222" t="s">
        <v>19252</v>
      </c>
      <c r="F11222" s="2" t="str">
        <f>HYPERLINK("http://www.otzar.org/book.asp?12841","היסטוריה צורך גבוה [מאמר]")</f>
        <v>היסטוריה צורך גבוה [מאמר]</v>
      </c>
    </row>
    <row r="11223" spans="1:6" x14ac:dyDescent="0.2">
      <c r="A11223" t="s">
        <v>19253</v>
      </c>
      <c r="B11223" t="s">
        <v>3663</v>
      </c>
      <c r="C11223" t="s">
        <v>133</v>
      </c>
      <c r="D11223" t="s">
        <v>2285</v>
      </c>
      <c r="F11223" s="2" t="str">
        <f>HYPERLINK("http://www.otzar.org/book.asp?182426","היקף השבת")</f>
        <v>היקף השבת</v>
      </c>
    </row>
    <row r="11224" spans="1:6" x14ac:dyDescent="0.2">
      <c r="A11224" t="s">
        <v>19254</v>
      </c>
      <c r="B11224" t="s">
        <v>19255</v>
      </c>
      <c r="C11224" t="s">
        <v>547</v>
      </c>
      <c r="D11224" t="s">
        <v>19256</v>
      </c>
      <c r="E11224" t="s">
        <v>202</v>
      </c>
      <c r="F11224" s="2" t="str">
        <f>HYPERLINK("http://www.otzar.org/book.asp?192292","הירדן - א-א")</f>
        <v>הירדן - א-א</v>
      </c>
    </row>
    <row r="11225" spans="1:6" x14ac:dyDescent="0.2">
      <c r="A11225" t="s">
        <v>19257</v>
      </c>
      <c r="B11225" t="s">
        <v>19258</v>
      </c>
      <c r="C11225" t="s">
        <v>466</v>
      </c>
      <c r="D11225" t="s">
        <v>3161</v>
      </c>
      <c r="E11225" t="s">
        <v>104</v>
      </c>
      <c r="F11225" s="2" t="str">
        <f>HYPERLINK("http://www.otzar.org/book.asp?191588","הירושה והצוואה במשפט העברי")</f>
        <v>הירושה והצוואה במשפט העברי</v>
      </c>
    </row>
    <row r="11226" spans="1:6" x14ac:dyDescent="0.2">
      <c r="A11226" t="s">
        <v>19259</v>
      </c>
      <c r="B11226" t="s">
        <v>13919</v>
      </c>
      <c r="C11226" t="s">
        <v>143</v>
      </c>
      <c r="D11226" t="s">
        <v>14</v>
      </c>
      <c r="E11226" t="s">
        <v>1097</v>
      </c>
      <c r="F11226" s="2" t="str">
        <f>HYPERLINK("http://www.otzar.org/book.asp?161871","הירושלמי המבואר - מגילה")</f>
        <v>הירושלמי המבואר - מגילה</v>
      </c>
    </row>
    <row r="11227" spans="1:6" x14ac:dyDescent="0.2">
      <c r="A11227" t="s">
        <v>19260</v>
      </c>
      <c r="B11227" t="s">
        <v>19261</v>
      </c>
      <c r="C11227" t="s">
        <v>1885</v>
      </c>
      <c r="D11227" t="s">
        <v>27</v>
      </c>
      <c r="E11227" t="s">
        <v>202</v>
      </c>
      <c r="F11227" s="2" t="str">
        <f>HYPERLINK("http://www.otzar.org/book.asp?172262","הירח")</f>
        <v>הירח</v>
      </c>
    </row>
    <row r="11228" spans="1:6" x14ac:dyDescent="0.2">
      <c r="A11228" t="s">
        <v>19262</v>
      </c>
      <c r="B11228" t="s">
        <v>19263</v>
      </c>
      <c r="C11228" t="s">
        <v>19264</v>
      </c>
      <c r="D11228" t="s">
        <v>7894</v>
      </c>
      <c r="E11228" t="s">
        <v>202</v>
      </c>
      <c r="F11228" s="2" t="str">
        <f>HYPERLINK("http://www.otzar.org/book.asp?621344","הירח - 2 כר'")</f>
        <v>הירח - 2 כר'</v>
      </c>
    </row>
    <row r="11229" spans="1:6" x14ac:dyDescent="0.2">
      <c r="A11229" t="s">
        <v>19265</v>
      </c>
      <c r="B11229" t="s">
        <v>19266</v>
      </c>
      <c r="C11229" t="s">
        <v>79</v>
      </c>
      <c r="D11229" t="s">
        <v>7894</v>
      </c>
      <c r="E11229" t="s">
        <v>202</v>
      </c>
      <c r="F11229" s="2" t="str">
        <f>HYPERLINK("http://www.otzar.org/book.asp?146351","הירח - י-יב")</f>
        <v>הירח - י-יב</v>
      </c>
    </row>
    <row r="11230" spans="1:6" x14ac:dyDescent="0.2">
      <c r="A11230" t="s">
        <v>19267</v>
      </c>
      <c r="B11230" t="s">
        <v>19268</v>
      </c>
      <c r="C11230" t="s">
        <v>103</v>
      </c>
      <c r="D11230" t="s">
        <v>14</v>
      </c>
      <c r="E11230" t="s">
        <v>104</v>
      </c>
      <c r="F11230" s="2" t="str">
        <f>HYPERLINK("http://www.otzar.org/book.asp?169110","הישיבה הגדולה ""מאור התורה""")</f>
        <v>הישיבה הגדולה "מאור התורה"</v>
      </c>
    </row>
    <row r="11231" spans="1:6" x14ac:dyDescent="0.2">
      <c r="A11231" t="s">
        <v>19269</v>
      </c>
      <c r="B11231" t="s">
        <v>15631</v>
      </c>
      <c r="C11231" t="s">
        <v>482</v>
      </c>
      <c r="D11231" t="s">
        <v>27</v>
      </c>
      <c r="E11231" t="s">
        <v>119</v>
      </c>
      <c r="F11231" s="2" t="str">
        <f>HYPERLINK("http://www.otzar.org/book.asp?167487","הישיבה הגדולה מדרש פורת יוסף")</f>
        <v>הישיבה הגדולה מדרש פורת יוסף</v>
      </c>
    </row>
    <row r="11232" spans="1:6" x14ac:dyDescent="0.2">
      <c r="A11232" t="s">
        <v>19270</v>
      </c>
      <c r="B11232" t="s">
        <v>13192</v>
      </c>
      <c r="C11232" t="s">
        <v>68</v>
      </c>
      <c r="D11232" t="s">
        <v>52</v>
      </c>
      <c r="F11232" s="2" t="str">
        <f>HYPERLINK("http://www.otzar.org/book.asp?182572","הישיבה הרמה בפיורדא - 3 כר'")</f>
        <v>הישיבה הרמה בפיורדא - 3 כר'</v>
      </c>
    </row>
    <row r="11233" spans="1:6" x14ac:dyDescent="0.2">
      <c r="A11233" t="s">
        <v>19271</v>
      </c>
      <c r="B11233" t="s">
        <v>19271</v>
      </c>
      <c r="C11233" t="s">
        <v>609</v>
      </c>
      <c r="D11233" t="s">
        <v>1966</v>
      </c>
      <c r="E11233" t="s">
        <v>202</v>
      </c>
      <c r="F11233" s="2" t="str">
        <f>HYPERLINK("http://www.otzar.org/book.asp?108368","הישיבה")</f>
        <v>הישיבה</v>
      </c>
    </row>
    <row r="11234" spans="1:6" x14ac:dyDescent="0.2">
      <c r="A11234" t="s">
        <v>19272</v>
      </c>
      <c r="B11234" t="s">
        <v>18752</v>
      </c>
      <c r="C11234" t="s">
        <v>356</v>
      </c>
      <c r="D11234" t="s">
        <v>14</v>
      </c>
      <c r="E11234" t="s">
        <v>119</v>
      </c>
      <c r="F11234" s="2" t="str">
        <f>HYPERLINK("http://www.otzar.org/book.asp?179017","הישיבות בהונגריה דברי ימיהן ובעיותיהן")</f>
        <v>הישיבות בהונגריה דברי ימיהן ובעיותיהן</v>
      </c>
    </row>
    <row r="11235" spans="1:6" x14ac:dyDescent="0.2">
      <c r="A11235" t="s">
        <v>19273</v>
      </c>
      <c r="B11235" t="s">
        <v>702</v>
      </c>
      <c r="C11235" t="s">
        <v>775</v>
      </c>
      <c r="D11235" t="s">
        <v>52</v>
      </c>
      <c r="E11235" t="s">
        <v>119</v>
      </c>
      <c r="F11235" s="2" t="str">
        <f>HYPERLINK("http://www.otzar.org/book.asp?179238","הישמח ישראל מאלכסנדר")</f>
        <v>הישמח ישראל מאלכסנדר</v>
      </c>
    </row>
    <row r="11236" spans="1:6" x14ac:dyDescent="0.2">
      <c r="A11236" t="s">
        <v>19274</v>
      </c>
      <c r="B11236" t="s">
        <v>5465</v>
      </c>
      <c r="C11236" t="s">
        <v>19275</v>
      </c>
      <c r="D11236" t="s">
        <v>379</v>
      </c>
      <c r="E11236" t="s">
        <v>435</v>
      </c>
      <c r="F11236" s="2" t="str">
        <f>HYPERLINK("http://www.otzar.org/book.asp?15687","הישר והטוב - 2 כר'")</f>
        <v>הישר והטוב - 2 כר'</v>
      </c>
    </row>
    <row r="11237" spans="1:6" x14ac:dyDescent="0.2">
      <c r="A11237" t="s">
        <v>19276</v>
      </c>
      <c r="B11237" t="s">
        <v>19277</v>
      </c>
      <c r="C11237" t="s">
        <v>146</v>
      </c>
      <c r="D11237" t="s">
        <v>14</v>
      </c>
      <c r="E11237" t="s">
        <v>2091</v>
      </c>
      <c r="F11237" s="2" t="str">
        <f>HYPERLINK("http://www.otzar.org/book.asp?28087","הישר והטוב - 25 כר'")</f>
        <v>הישר והטוב - 25 כר'</v>
      </c>
    </row>
    <row r="11238" spans="1:6" x14ac:dyDescent="0.2">
      <c r="A11238" t="s">
        <v>19278</v>
      </c>
      <c r="B11238" t="s">
        <v>15419</v>
      </c>
      <c r="C11238" t="s">
        <v>698</v>
      </c>
      <c r="D11238" t="s">
        <v>27</v>
      </c>
      <c r="E11238" t="s">
        <v>19279</v>
      </c>
      <c r="F11238" s="2" t="str">
        <f>HYPERLINK("http://www.otzar.org/book.asp?159247","הישר והטוב")</f>
        <v>הישר והטוב</v>
      </c>
    </row>
    <row r="11239" spans="1:6" x14ac:dyDescent="0.2">
      <c r="A11239" t="s">
        <v>19280</v>
      </c>
      <c r="B11239" t="s">
        <v>19281</v>
      </c>
      <c r="C11239" t="s">
        <v>1811</v>
      </c>
      <c r="D11239" t="s">
        <v>19282</v>
      </c>
      <c r="F11239" s="2" t="str">
        <f>HYPERLINK("http://www.otzar.org/book.asp?194869","היתר המכירה בשביעית לאחר קום המדינה")</f>
        <v>היתר המכירה בשביעית לאחר קום המדינה</v>
      </c>
    </row>
    <row r="11240" spans="1:6" x14ac:dyDescent="0.2">
      <c r="A11240" t="s">
        <v>19283</v>
      </c>
      <c r="B11240" t="s">
        <v>19284</v>
      </c>
      <c r="C11240" t="s">
        <v>445</v>
      </c>
      <c r="D11240" t="s">
        <v>225</v>
      </c>
      <c r="E11240" t="s">
        <v>15</v>
      </c>
      <c r="F11240" s="2" t="str">
        <f>HYPERLINK("http://www.otzar.org/book.asp?25520","היתר חדר""ג באשה נשתטית")</f>
        <v>היתר חדר"ג באשה נשתטית</v>
      </c>
    </row>
    <row r="11241" spans="1:6" x14ac:dyDescent="0.2">
      <c r="A11241" t="s">
        <v>19285</v>
      </c>
      <c r="B11241" t="s">
        <v>19286</v>
      </c>
      <c r="C11241" t="s">
        <v>442</v>
      </c>
      <c r="D11241" t="s">
        <v>27</v>
      </c>
      <c r="E11241" t="s">
        <v>15</v>
      </c>
      <c r="F11241" s="2" t="str">
        <f>HYPERLINK("http://www.otzar.org/book.asp?172088","היתר עגונה")</f>
        <v>היתר עגונה</v>
      </c>
    </row>
    <row r="11242" spans="1:6" x14ac:dyDescent="0.2">
      <c r="A11242" t="s">
        <v>19287</v>
      </c>
      <c r="B11242" t="s">
        <v>19288</v>
      </c>
      <c r="C11242" t="s">
        <v>111</v>
      </c>
      <c r="D11242" t="s">
        <v>367</v>
      </c>
      <c r="F11242" s="2" t="str">
        <f>HYPERLINK("http://www.otzar.org/book.asp?622575","היתר עיסקא החדש - 2 כר'")</f>
        <v>היתר עיסקא החדש - 2 כר'</v>
      </c>
    </row>
    <row r="11243" spans="1:6" x14ac:dyDescent="0.2">
      <c r="A11243" t="s">
        <v>19289</v>
      </c>
      <c r="B11243" t="s">
        <v>19290</v>
      </c>
      <c r="C11243" t="s">
        <v>454</v>
      </c>
      <c r="D11243" t="s">
        <v>14</v>
      </c>
      <c r="E11243" t="s">
        <v>15</v>
      </c>
      <c r="F11243" s="2" t="str">
        <f>HYPERLINK("http://www.otzar.org/book.asp?21346","היתר עיסקא")</f>
        <v>היתר עיסקא</v>
      </c>
    </row>
    <row r="11244" spans="1:6" x14ac:dyDescent="0.2">
      <c r="A11244" t="s">
        <v>19291</v>
      </c>
      <c r="B11244" t="s">
        <v>19292</v>
      </c>
      <c r="C11244" t="s">
        <v>547</v>
      </c>
      <c r="D11244" t="s">
        <v>12052</v>
      </c>
      <c r="E11244" t="s">
        <v>1211</v>
      </c>
      <c r="F11244" s="2" t="str">
        <f>HYPERLINK("http://www.otzar.org/book.asp?104931","הכה""ג [הכהן גדול] והסגן")</f>
        <v>הכה"ג [הכהן גדול] והסגן</v>
      </c>
    </row>
    <row r="11245" spans="1:6" x14ac:dyDescent="0.2">
      <c r="A11245" t="s">
        <v>19293</v>
      </c>
      <c r="B11245" t="s">
        <v>18210</v>
      </c>
      <c r="C11245" t="s">
        <v>313</v>
      </c>
      <c r="D11245" t="s">
        <v>14</v>
      </c>
      <c r="E11245" t="s">
        <v>119</v>
      </c>
      <c r="F11245" s="2" t="str">
        <f>HYPERLINK("http://www.otzar.org/book.asp?180647","הכהן הגדול מאחיו")</f>
        <v>הכהן הגדול מאחיו</v>
      </c>
    </row>
    <row r="11246" spans="1:6" x14ac:dyDescent="0.2">
      <c r="A11246" t="s">
        <v>19294</v>
      </c>
      <c r="B11246" t="s">
        <v>19295</v>
      </c>
      <c r="C11246" t="s">
        <v>581</v>
      </c>
      <c r="D11246" t="s">
        <v>27</v>
      </c>
      <c r="E11246" t="s">
        <v>733</v>
      </c>
      <c r="F11246" s="2" t="str">
        <f>HYPERLINK("http://www.otzar.org/book.asp?168143","הכהנים אשר בג'רבה")</f>
        <v>הכהנים אשר בג'רבה</v>
      </c>
    </row>
    <row r="11247" spans="1:6" x14ac:dyDescent="0.2">
      <c r="A11247" t="s">
        <v>19296</v>
      </c>
      <c r="B11247" t="s">
        <v>16878</v>
      </c>
      <c r="C11247" t="s">
        <v>3840</v>
      </c>
      <c r="D11247" t="s">
        <v>260</v>
      </c>
      <c r="E11247" t="s">
        <v>241</v>
      </c>
      <c r="F11247" s="2" t="str">
        <f>HYPERLINK("http://www.otzar.org/book.asp?162521","הכוזרי החדש")</f>
        <v>הכוזרי החדש</v>
      </c>
    </row>
    <row r="11248" spans="1:6" x14ac:dyDescent="0.2">
      <c r="A11248" t="s">
        <v>19297</v>
      </c>
      <c r="B11248" t="s">
        <v>19298</v>
      </c>
      <c r="C11248" t="s">
        <v>1062</v>
      </c>
      <c r="D11248" t="s">
        <v>412</v>
      </c>
      <c r="E11248" t="s">
        <v>202</v>
      </c>
      <c r="F11248" s="2" t="str">
        <f>HYPERLINK("http://www.otzar.org/book.asp?29032","הכוכב (ארה""ב) - 2 כר'")</f>
        <v>הכוכב (ארה"ב) - 2 כר'</v>
      </c>
    </row>
    <row r="11249" spans="1:6" x14ac:dyDescent="0.2">
      <c r="A11249" t="s">
        <v>19299</v>
      </c>
      <c r="B11249" t="s">
        <v>19298</v>
      </c>
      <c r="C11249" t="s">
        <v>19300</v>
      </c>
      <c r="D11249" t="s">
        <v>379</v>
      </c>
      <c r="E11249" t="s">
        <v>202</v>
      </c>
      <c r="F11249" s="2" t="str">
        <f>HYPERLINK("http://www.otzar.org/book.asp?29033","הכוכב (מונקאטש) - שנה א-ג")</f>
        <v>הכוכב (מונקאטש) - שנה א-ג</v>
      </c>
    </row>
    <row r="11250" spans="1:6" x14ac:dyDescent="0.2">
      <c r="A11250" t="s">
        <v>19301</v>
      </c>
      <c r="B11250" t="s">
        <v>19302</v>
      </c>
      <c r="C11250" t="s">
        <v>956</v>
      </c>
      <c r="D11250" t="s">
        <v>5301</v>
      </c>
      <c r="E11250" t="s">
        <v>202</v>
      </c>
      <c r="F11250" s="2" t="str">
        <f>HYPERLINK("http://www.otzar.org/book.asp?181255","הכולל - א")</f>
        <v>הכולל - א</v>
      </c>
    </row>
    <row r="11251" spans="1:6" x14ac:dyDescent="0.2">
      <c r="A11251" t="s">
        <v>19303</v>
      </c>
      <c r="B11251" t="s">
        <v>7405</v>
      </c>
      <c r="C11251" t="s">
        <v>129</v>
      </c>
      <c r="D11251" t="s">
        <v>14</v>
      </c>
      <c r="E11251" t="s">
        <v>714</v>
      </c>
      <c r="F11251" s="2" t="str">
        <f>HYPERLINK("http://www.otzar.org/book.asp?50354","הכון לקראת אלקיך ישראל")</f>
        <v>הכון לקראת אלקיך ישראל</v>
      </c>
    </row>
    <row r="11252" spans="1:6" x14ac:dyDescent="0.2">
      <c r="A11252" t="s">
        <v>19304</v>
      </c>
      <c r="B11252" t="s">
        <v>19305</v>
      </c>
      <c r="C11252" t="s">
        <v>71</v>
      </c>
      <c r="D11252" t="s">
        <v>1550</v>
      </c>
      <c r="E11252" t="s">
        <v>15</v>
      </c>
      <c r="F11252" s="2" t="str">
        <f>HYPERLINK("http://www.otzar.org/book.asp?60998","הכותב והמוחק")</f>
        <v>הכותב והמוחק</v>
      </c>
    </row>
    <row r="11253" spans="1:6" x14ac:dyDescent="0.2">
      <c r="A11253" t="s">
        <v>19306</v>
      </c>
      <c r="B11253" t="s">
        <v>18398</v>
      </c>
      <c r="C11253" t="s">
        <v>1160</v>
      </c>
      <c r="D11253" t="s">
        <v>14</v>
      </c>
      <c r="E11253" t="s">
        <v>733</v>
      </c>
      <c r="F11253" s="2" t="str">
        <f>HYPERLINK("http://www.otzar.org/book.asp?14755","הכותל המערבי")</f>
        <v>הכותל המערבי</v>
      </c>
    </row>
    <row r="11254" spans="1:6" x14ac:dyDescent="0.2">
      <c r="A11254" t="s">
        <v>19306</v>
      </c>
      <c r="B11254" t="s">
        <v>19307</v>
      </c>
      <c r="C11254" t="s">
        <v>114</v>
      </c>
      <c r="D11254" t="s">
        <v>14</v>
      </c>
      <c r="E11254" t="s">
        <v>104</v>
      </c>
      <c r="F11254" s="2" t="str">
        <f>HYPERLINK("http://www.otzar.org/book.asp?618053","הכותל המערבי")</f>
        <v>הכותל המערבי</v>
      </c>
    </row>
    <row r="11255" spans="1:6" x14ac:dyDescent="0.2">
      <c r="A11255" t="s">
        <v>19308</v>
      </c>
      <c r="B11255" t="s">
        <v>19309</v>
      </c>
      <c r="C11255" t="s">
        <v>1160</v>
      </c>
      <c r="D11255" t="s">
        <v>52</v>
      </c>
      <c r="E11255" t="s">
        <v>104</v>
      </c>
      <c r="F11255" s="2" t="str">
        <f>HYPERLINK("http://www.otzar.org/book.asp?179177","הכותל ואתה")</f>
        <v>הכותל ואתה</v>
      </c>
    </row>
    <row r="11256" spans="1:6" x14ac:dyDescent="0.2">
      <c r="A11256" t="s">
        <v>19310</v>
      </c>
      <c r="B11256" t="s">
        <v>19311</v>
      </c>
      <c r="D11256" t="s">
        <v>152</v>
      </c>
      <c r="F11256" s="2" t="str">
        <f>HYPERLINK("http://www.otzar.org/book.asp?608835","הכי איתמר - 9 כר'")</f>
        <v>הכי איתמר - 9 כר'</v>
      </c>
    </row>
    <row r="11257" spans="1:6" x14ac:dyDescent="0.2">
      <c r="A11257" t="s">
        <v>19312</v>
      </c>
      <c r="B11257" t="s">
        <v>19313</v>
      </c>
      <c r="C11257" t="s">
        <v>146</v>
      </c>
      <c r="D11257" t="s">
        <v>412</v>
      </c>
      <c r="E11257" t="s">
        <v>144</v>
      </c>
      <c r="F11257" s="2" t="str">
        <f>HYPERLINK("http://www.otzar.org/book.asp?171413","הכי גרסינן - 2 כר'")</f>
        <v>הכי גרסינן - 2 כר'</v>
      </c>
    </row>
    <row r="11258" spans="1:6" x14ac:dyDescent="0.2">
      <c r="A11258" t="s">
        <v>19314</v>
      </c>
      <c r="B11258" t="s">
        <v>19315</v>
      </c>
      <c r="C11258" t="s">
        <v>129</v>
      </c>
      <c r="D11258" t="s">
        <v>412</v>
      </c>
      <c r="E11258" t="s">
        <v>219</v>
      </c>
      <c r="F11258" s="2" t="str">
        <f>HYPERLINK("http://www.otzar.org/book.asp?166247","הכי גרסינן - א")</f>
        <v>הכי גרסינן - א</v>
      </c>
    </row>
    <row r="11259" spans="1:6" x14ac:dyDescent="0.2">
      <c r="A11259" t="s">
        <v>19316</v>
      </c>
      <c r="B11259" t="s">
        <v>19313</v>
      </c>
      <c r="C11259" t="s">
        <v>411</v>
      </c>
      <c r="D11259" t="s">
        <v>412</v>
      </c>
      <c r="E11259" t="s">
        <v>104</v>
      </c>
      <c r="F11259" s="2" t="str">
        <f>HYPERLINK("http://www.otzar.org/book.asp?171412","הכי קאמר")</f>
        <v>הכי קאמר</v>
      </c>
    </row>
    <row r="11260" spans="1:6" x14ac:dyDescent="0.2">
      <c r="A11260" t="s">
        <v>19317</v>
      </c>
      <c r="B11260" t="s">
        <v>19318</v>
      </c>
      <c r="C11260" t="s">
        <v>111</v>
      </c>
      <c r="D11260" t="s">
        <v>1156</v>
      </c>
      <c r="E11260" t="s">
        <v>583</v>
      </c>
      <c r="F11260" s="2" t="str">
        <f>HYPERLINK("http://www.otzar.org/book.asp?629694","הכין עזרא")</f>
        <v>הכין עזרא</v>
      </c>
    </row>
    <row r="11261" spans="1:6" x14ac:dyDescent="0.2">
      <c r="A11261" t="s">
        <v>19319</v>
      </c>
      <c r="B11261" t="s">
        <v>13393</v>
      </c>
      <c r="C11261" t="s">
        <v>244</v>
      </c>
      <c r="D11261" t="s">
        <v>21</v>
      </c>
      <c r="F11261" s="2" t="str">
        <f>HYPERLINK("http://www.otzar.org/book.asp?615220","הכיסופין")</f>
        <v>הכיסופין</v>
      </c>
    </row>
    <row r="11262" spans="1:6" x14ac:dyDescent="0.2">
      <c r="A11262" t="s">
        <v>19320</v>
      </c>
      <c r="B11262" t="s">
        <v>1681</v>
      </c>
      <c r="C11262" t="s">
        <v>51</v>
      </c>
      <c r="D11262" t="s">
        <v>52</v>
      </c>
      <c r="E11262" t="s">
        <v>28</v>
      </c>
      <c r="F11262" s="2" t="str">
        <f>HYPERLINK("http://www.otzar.org/book.asp?24378","הכל יודוך")</f>
        <v>הכל יודוך</v>
      </c>
    </row>
    <row r="11263" spans="1:6" x14ac:dyDescent="0.2">
      <c r="A11263" t="s">
        <v>19321</v>
      </c>
      <c r="B11263" t="s">
        <v>1681</v>
      </c>
      <c r="C11263" t="s">
        <v>51</v>
      </c>
      <c r="D11263" t="s">
        <v>52</v>
      </c>
      <c r="F11263" s="2" t="str">
        <f>HYPERLINK("http://www.otzar.org/book.asp?616968","הכל ירוממוך")</f>
        <v>הכל ירוממוך</v>
      </c>
    </row>
    <row r="11264" spans="1:6" x14ac:dyDescent="0.2">
      <c r="A11264" t="s">
        <v>19322</v>
      </c>
      <c r="B11264" t="s">
        <v>1681</v>
      </c>
      <c r="C11264" t="s">
        <v>17</v>
      </c>
      <c r="D11264" t="s">
        <v>52</v>
      </c>
      <c r="E11264" t="s">
        <v>43</v>
      </c>
      <c r="F11264" s="2" t="str">
        <f>HYPERLINK("http://www.otzar.org/book.asp?23930","הכל ישבחוך - 2 כר'")</f>
        <v>הכל ישבחוך - 2 כר'</v>
      </c>
    </row>
    <row r="11265" spans="1:6" x14ac:dyDescent="0.2">
      <c r="A11265" t="s">
        <v>19323</v>
      </c>
      <c r="B11265" t="s">
        <v>19324</v>
      </c>
      <c r="C11265" t="s">
        <v>454</v>
      </c>
      <c r="D11265" t="s">
        <v>14</v>
      </c>
      <c r="E11265" t="s">
        <v>733</v>
      </c>
      <c r="F11265" s="2" t="str">
        <f>HYPERLINK("http://www.otzar.org/book.asp?63047","הכל לאדון הכל")</f>
        <v>הכל לאדון הכל</v>
      </c>
    </row>
    <row r="11266" spans="1:6" x14ac:dyDescent="0.2">
      <c r="A11266" t="s">
        <v>19325</v>
      </c>
      <c r="B11266" t="s">
        <v>19326</v>
      </c>
      <c r="C11266" t="s">
        <v>68</v>
      </c>
      <c r="D11266" t="s">
        <v>152</v>
      </c>
      <c r="E11266" t="s">
        <v>241</v>
      </c>
      <c r="F11266" s="2" t="str">
        <f>HYPERLINK("http://www.otzar.org/book.asp?625411","הכל נשמע")</f>
        <v>הכל נשמע</v>
      </c>
    </row>
    <row r="11267" spans="1:6" x14ac:dyDescent="0.2">
      <c r="A11267" t="s">
        <v>19327</v>
      </c>
      <c r="B11267" t="s">
        <v>17409</v>
      </c>
      <c r="C11267" t="s">
        <v>422</v>
      </c>
      <c r="D11267" t="s">
        <v>412</v>
      </c>
      <c r="E11267" t="s">
        <v>104</v>
      </c>
      <c r="F11267" s="2" t="str">
        <f>HYPERLINK("http://www.otzar.org/book.asp?170921","הכנה דרבה &lt;מהדורה חדשה&gt; - 2 כר'")</f>
        <v>הכנה דרבה &lt;מהדורה חדשה&gt; - 2 כר'</v>
      </c>
    </row>
    <row r="11268" spans="1:6" x14ac:dyDescent="0.2">
      <c r="A11268" t="s">
        <v>19328</v>
      </c>
      <c r="B11268" t="s">
        <v>17409</v>
      </c>
      <c r="C11268" t="s">
        <v>4051</v>
      </c>
      <c r="D11268" t="s">
        <v>535</v>
      </c>
      <c r="E11268" t="s">
        <v>213</v>
      </c>
      <c r="F11268" s="2" t="str">
        <f>HYPERLINK("http://www.otzar.org/book.asp?100149","הכנה דרבה - 2 כר'")</f>
        <v>הכנה דרבה - 2 כר'</v>
      </c>
    </row>
    <row r="11269" spans="1:6" x14ac:dyDescent="0.2">
      <c r="A11269" t="s">
        <v>19329</v>
      </c>
      <c r="B11269" t="s">
        <v>9504</v>
      </c>
      <c r="C11269" t="s">
        <v>146</v>
      </c>
      <c r="D11269" t="s">
        <v>52</v>
      </c>
      <c r="E11269" t="s">
        <v>467</v>
      </c>
      <c r="F11269" s="2" t="str">
        <f>HYPERLINK("http://www.otzar.org/book.asp?143900","הכנה לחג המצות")</f>
        <v>הכנה לחג המצות</v>
      </c>
    </row>
    <row r="11270" spans="1:6" x14ac:dyDescent="0.2">
      <c r="A11270" t="s">
        <v>19330</v>
      </c>
      <c r="B11270" t="s">
        <v>19331</v>
      </c>
      <c r="C11270" t="s">
        <v>946</v>
      </c>
      <c r="D11270" t="s">
        <v>379</v>
      </c>
      <c r="E11270" t="s">
        <v>463</v>
      </c>
      <c r="F11270" s="2" t="str">
        <f>HYPERLINK("http://www.otzar.org/book.asp?144584","הכנה ליום טוב")</f>
        <v>הכנה ליום טוב</v>
      </c>
    </row>
    <row r="11271" spans="1:6" x14ac:dyDescent="0.2">
      <c r="A11271" t="s">
        <v>19332</v>
      </c>
      <c r="B11271" t="s">
        <v>19333</v>
      </c>
      <c r="C11271" t="s">
        <v>411</v>
      </c>
      <c r="D11271" t="s">
        <v>52</v>
      </c>
      <c r="E11271" t="s">
        <v>119</v>
      </c>
      <c r="F11271" s="2" t="str">
        <f>HYPERLINK("http://www.otzar.org/book.asp?600319","הכנור של רבי אלחנן יוסף")</f>
        <v>הכנור של רבי אלחנן יוסף</v>
      </c>
    </row>
    <row r="11272" spans="1:6" x14ac:dyDescent="0.2">
      <c r="A11272" t="s">
        <v>19334</v>
      </c>
      <c r="B11272" t="s">
        <v>1197</v>
      </c>
      <c r="C11272" t="s">
        <v>609</v>
      </c>
      <c r="D11272" t="s">
        <v>535</v>
      </c>
      <c r="E11272" t="s">
        <v>119</v>
      </c>
      <c r="F11272" s="2" t="str">
        <f>HYPERLINK("http://www.otzar.org/book.asp?168760","הכנסיה הגדולה השניה")</f>
        <v>הכנסיה הגדולה השניה</v>
      </c>
    </row>
    <row r="11273" spans="1:6" x14ac:dyDescent="0.2">
      <c r="A11273" t="s">
        <v>19335</v>
      </c>
      <c r="B11273" t="s">
        <v>19336</v>
      </c>
      <c r="C11273" t="s">
        <v>1448</v>
      </c>
      <c r="D11273" t="s">
        <v>14</v>
      </c>
      <c r="F11273" s="2" t="str">
        <f>HYPERLINK("http://www.otzar.org/book.asp?621362","הכנסיה הגדולה")</f>
        <v>הכנסיה הגדולה</v>
      </c>
    </row>
    <row r="11274" spans="1:6" x14ac:dyDescent="0.2">
      <c r="A11274" t="s">
        <v>19337</v>
      </c>
      <c r="B11274" t="s">
        <v>19338</v>
      </c>
      <c r="C11274" t="s">
        <v>919</v>
      </c>
      <c r="D11274" t="s">
        <v>412</v>
      </c>
      <c r="F11274" s="2" t="str">
        <f>HYPERLINK("http://www.otzar.org/book.asp?622663","הכנסיה")</f>
        <v>הכנסיה</v>
      </c>
    </row>
    <row r="11275" spans="1:6" x14ac:dyDescent="0.2">
      <c r="A11275" t="s">
        <v>19339</v>
      </c>
      <c r="B11275" t="s">
        <v>5515</v>
      </c>
      <c r="C11275" t="s">
        <v>23</v>
      </c>
      <c r="D11275" t="s">
        <v>14</v>
      </c>
      <c r="E11275" t="s">
        <v>15</v>
      </c>
      <c r="F11275" s="2" t="str">
        <f>HYPERLINK("http://www.otzar.org/book.asp?189043","הכנסת ספר תורה - הלכה ומעשה")</f>
        <v>הכנסת ספר תורה - הלכה ומעשה</v>
      </c>
    </row>
    <row r="11276" spans="1:6" x14ac:dyDescent="0.2">
      <c r="A11276" t="s">
        <v>19340</v>
      </c>
      <c r="B11276" t="s">
        <v>19341</v>
      </c>
      <c r="C11276" t="s">
        <v>19342</v>
      </c>
      <c r="D11276" t="s">
        <v>691</v>
      </c>
      <c r="E11276" t="s">
        <v>1148</v>
      </c>
      <c r="F11276" s="2" t="str">
        <f>HYPERLINK("http://www.otzar.org/book.asp?7607","הכנת לב לתפלה")</f>
        <v>הכנת לב לתפלה</v>
      </c>
    </row>
    <row r="11277" spans="1:6" x14ac:dyDescent="0.2">
      <c r="A11277" t="s">
        <v>19343</v>
      </c>
      <c r="B11277" t="s">
        <v>19344</v>
      </c>
      <c r="C11277" t="s">
        <v>313</v>
      </c>
      <c r="D11277" t="s">
        <v>14</v>
      </c>
      <c r="E11277" t="s">
        <v>140</v>
      </c>
      <c r="F11277" s="2" t="str">
        <f>HYPERLINK("http://www.otzar.org/book.asp?182259","הכסא הריק")</f>
        <v>הכסא הריק</v>
      </c>
    </row>
    <row r="11278" spans="1:6" x14ac:dyDescent="0.2">
      <c r="A11278" t="s">
        <v>19345</v>
      </c>
      <c r="B11278" t="s">
        <v>6987</v>
      </c>
      <c r="C11278" t="s">
        <v>20</v>
      </c>
      <c r="D11278" t="s">
        <v>20</v>
      </c>
      <c r="E11278" t="s">
        <v>241</v>
      </c>
      <c r="F11278" s="2" t="str">
        <f>HYPERLINK("http://www.otzar.org/book.asp?197184","הכעס וסבלנות")</f>
        <v>הכעס וסבלנות</v>
      </c>
    </row>
    <row r="11279" spans="1:6" x14ac:dyDescent="0.2">
      <c r="A11279" t="s">
        <v>19346</v>
      </c>
      <c r="B11279" t="s">
        <v>4991</v>
      </c>
      <c r="C11279" t="s">
        <v>767</v>
      </c>
      <c r="D11279" t="s">
        <v>14</v>
      </c>
      <c r="E11279" t="s">
        <v>241</v>
      </c>
      <c r="F11279" s="2" t="str">
        <f>HYPERLINK("http://www.otzar.org/book.asp?6134","הכעס ותוצאותיו")</f>
        <v>הכעס ותוצאותיו</v>
      </c>
    </row>
    <row r="11280" spans="1:6" x14ac:dyDescent="0.2">
      <c r="A11280" t="s">
        <v>19347</v>
      </c>
      <c r="B11280" t="s">
        <v>19348</v>
      </c>
      <c r="C11280" t="s">
        <v>19349</v>
      </c>
      <c r="D11280" t="s">
        <v>19350</v>
      </c>
      <c r="E11280" t="s">
        <v>104</v>
      </c>
      <c r="F11280" s="2" t="str">
        <f>HYPERLINK("http://www.otzar.org/book.asp?617603","הכפר העברי נוה יעקב")</f>
        <v>הכפר העברי נוה יעקב</v>
      </c>
    </row>
    <row r="11281" spans="1:6" x14ac:dyDescent="0.2">
      <c r="A11281" t="s">
        <v>19351</v>
      </c>
      <c r="B11281" t="s">
        <v>19352</v>
      </c>
      <c r="C11281" t="s">
        <v>19353</v>
      </c>
      <c r="D11281" t="s">
        <v>6214</v>
      </c>
      <c r="F11281" s="2" t="str">
        <f>HYPERLINK("http://www.otzar.org/book.asp?620585","הכרם")</f>
        <v>הכרם</v>
      </c>
    </row>
    <row r="11282" spans="1:6" x14ac:dyDescent="0.2">
      <c r="A11282" t="s">
        <v>19354</v>
      </c>
      <c r="B11282" t="s">
        <v>19351</v>
      </c>
      <c r="C11282" t="s">
        <v>8</v>
      </c>
      <c r="D11282" t="s">
        <v>283</v>
      </c>
      <c r="E11282" t="s">
        <v>202</v>
      </c>
      <c r="F11282" s="2" t="str">
        <f>HYPERLINK("http://www.otzar.org/book.asp?17662","הכרם - 3 כר'")</f>
        <v>הכרם - 3 כר'</v>
      </c>
    </row>
    <row r="11283" spans="1:6" x14ac:dyDescent="0.2">
      <c r="A11283" t="s">
        <v>19355</v>
      </c>
      <c r="B11283" t="s">
        <v>19356</v>
      </c>
      <c r="C11283" t="s">
        <v>1535</v>
      </c>
      <c r="D11283" t="s">
        <v>7648</v>
      </c>
      <c r="E11283" t="s">
        <v>202</v>
      </c>
      <c r="F11283" s="2" t="str">
        <f>HYPERLINK("http://www.otzar.org/book.asp?167274","הכרם - 5 כר'")</f>
        <v>הכרם - 5 כר'</v>
      </c>
    </row>
    <row r="11284" spans="1:6" x14ac:dyDescent="0.2">
      <c r="A11284" t="s">
        <v>19357</v>
      </c>
      <c r="B11284" t="s">
        <v>19358</v>
      </c>
      <c r="C11284" t="s">
        <v>68</v>
      </c>
      <c r="D11284" t="s">
        <v>52</v>
      </c>
      <c r="F11284" s="2" t="str">
        <f>HYPERLINK("http://www.otzar.org/book.asp?612091","הכרם - 2 כר'")</f>
        <v>הכרם - 2 כר'</v>
      </c>
    </row>
    <row r="11285" spans="1:6" x14ac:dyDescent="0.2">
      <c r="A11285" t="s">
        <v>19359</v>
      </c>
      <c r="B11285" t="s">
        <v>19360</v>
      </c>
      <c r="C11285" t="s">
        <v>492</v>
      </c>
      <c r="D11285" t="s">
        <v>756</v>
      </c>
      <c r="E11285" t="s">
        <v>104</v>
      </c>
      <c r="F11285" s="2" t="str">
        <f>HYPERLINK("http://www.otzar.org/book.asp?13589","הכרמל - 2 כר'")</f>
        <v>הכרמל - 2 כר'</v>
      </c>
    </row>
    <row r="11286" spans="1:6" x14ac:dyDescent="0.2">
      <c r="A11286" t="s">
        <v>19361</v>
      </c>
      <c r="B11286" t="s">
        <v>107</v>
      </c>
      <c r="C11286" t="s">
        <v>20</v>
      </c>
      <c r="D11286" t="s">
        <v>14</v>
      </c>
      <c r="E11286" t="s">
        <v>241</v>
      </c>
      <c r="F11286" s="2" t="str">
        <f>HYPERLINK("http://www.otzar.org/book.asp?6110","הכרת הטוב")</f>
        <v>הכרת הטוב</v>
      </c>
    </row>
    <row r="11287" spans="1:6" x14ac:dyDescent="0.2">
      <c r="A11287" t="s">
        <v>19362</v>
      </c>
      <c r="B11287" t="s">
        <v>7036</v>
      </c>
      <c r="C11287" t="s">
        <v>51</v>
      </c>
      <c r="D11287" t="s">
        <v>14</v>
      </c>
      <c r="E11287" t="s">
        <v>15</v>
      </c>
      <c r="F11287" s="2" t="str">
        <f>HYPERLINK("http://www.otzar.org/book.asp?60987","הכשר כלים - 2 כר'")</f>
        <v>הכשר כלים - 2 כר'</v>
      </c>
    </row>
    <row r="11288" spans="1:6" x14ac:dyDescent="0.2">
      <c r="A11288" t="s">
        <v>19363</v>
      </c>
      <c r="B11288" t="s">
        <v>7036</v>
      </c>
      <c r="C11288" t="s">
        <v>17</v>
      </c>
      <c r="D11288" t="s">
        <v>14</v>
      </c>
      <c r="E11288" t="s">
        <v>15</v>
      </c>
      <c r="F11288" s="2" t="str">
        <f>HYPERLINK("http://www.otzar.org/book.asp?61113","הכשרות כהלכה - 2 כר'")</f>
        <v>הכשרות כהלכה - 2 כר'</v>
      </c>
    </row>
    <row r="11289" spans="1:6" x14ac:dyDescent="0.2">
      <c r="A11289" t="s">
        <v>19364</v>
      </c>
      <c r="B11289" t="s">
        <v>19365</v>
      </c>
      <c r="C11289" t="s">
        <v>23</v>
      </c>
      <c r="D11289" t="s">
        <v>21</v>
      </c>
      <c r="F11289" s="2" t="str">
        <f>HYPERLINK("http://www.otzar.org/book.asp?191100","הכשרות למעשה")</f>
        <v>הכשרות למעשה</v>
      </c>
    </row>
    <row r="11290" spans="1:6" x14ac:dyDescent="0.2">
      <c r="A11290" t="s">
        <v>19366</v>
      </c>
      <c r="B11290" t="s">
        <v>19367</v>
      </c>
      <c r="C11290" t="s">
        <v>51</v>
      </c>
      <c r="D11290" t="s">
        <v>90</v>
      </c>
      <c r="E11290" t="s">
        <v>15</v>
      </c>
      <c r="F11290" s="2" t="str">
        <f>HYPERLINK("http://www.otzar.org/book.asp?180727","הכשרות")</f>
        <v>הכשרות</v>
      </c>
    </row>
    <row r="11291" spans="1:6" x14ac:dyDescent="0.2">
      <c r="A11291" t="s">
        <v>19368</v>
      </c>
      <c r="B11291" t="s">
        <v>7861</v>
      </c>
      <c r="C11291" t="s">
        <v>63</v>
      </c>
      <c r="D11291" t="s">
        <v>14</v>
      </c>
      <c r="E11291" t="s">
        <v>140</v>
      </c>
      <c r="F11291" s="2" t="str">
        <f>HYPERLINK("http://www.otzar.org/book.asp?10402","הכשרת האברכים - 2 כר'")</f>
        <v>הכשרת האברכים - 2 כר'</v>
      </c>
    </row>
    <row r="11292" spans="1:6" x14ac:dyDescent="0.2">
      <c r="A11292" t="s">
        <v>19369</v>
      </c>
      <c r="B11292" t="s">
        <v>19370</v>
      </c>
      <c r="C11292" t="s">
        <v>366</v>
      </c>
      <c r="D11292" t="s">
        <v>21</v>
      </c>
      <c r="E11292" t="s">
        <v>15</v>
      </c>
      <c r="F11292" s="2" t="str">
        <f>HYPERLINK("http://www.otzar.org/book.asp?622413","הכשרת המטבח וכליו")</f>
        <v>הכשרת המטבח וכליו</v>
      </c>
    </row>
    <row r="11293" spans="1:6" x14ac:dyDescent="0.2">
      <c r="A11293" t="s">
        <v>19371</v>
      </c>
      <c r="B11293" t="s">
        <v>7320</v>
      </c>
      <c r="C11293" t="s">
        <v>133</v>
      </c>
      <c r="D11293" t="s">
        <v>14</v>
      </c>
      <c r="E11293" t="s">
        <v>130</v>
      </c>
      <c r="F11293" s="2" t="str">
        <f>HYPERLINK("http://www.otzar.org/book.asp?630576","הכשרת המטבח לפסח")</f>
        <v>הכשרת המטבח לפסח</v>
      </c>
    </row>
    <row r="11294" spans="1:6" x14ac:dyDescent="0.2">
      <c r="A11294" t="s">
        <v>19372</v>
      </c>
      <c r="B11294" t="s">
        <v>16377</v>
      </c>
      <c r="C11294" t="s">
        <v>224</v>
      </c>
      <c r="D11294" t="s">
        <v>27</v>
      </c>
      <c r="E11294" t="s">
        <v>241</v>
      </c>
      <c r="F11294" s="2" t="str">
        <f>HYPERLINK("http://www.otzar.org/book.asp?162437","הכשרת התורה")</f>
        <v>הכשרת התורה</v>
      </c>
    </row>
    <row r="11295" spans="1:6" x14ac:dyDescent="0.2">
      <c r="A11295" t="s">
        <v>19373</v>
      </c>
      <c r="B11295" t="s">
        <v>15689</v>
      </c>
      <c r="C11295" t="s">
        <v>20</v>
      </c>
      <c r="D11295" t="s">
        <v>3069</v>
      </c>
      <c r="E11295" t="s">
        <v>130</v>
      </c>
      <c r="F11295" s="2" t="str">
        <f>HYPERLINK("http://www.otzar.org/book.asp?162162","הכשרת כלים לפסח")</f>
        <v>הכשרת כלים לפסח</v>
      </c>
    </row>
    <row r="11296" spans="1:6" x14ac:dyDescent="0.2">
      <c r="A11296" t="s">
        <v>19374</v>
      </c>
      <c r="B11296" t="s">
        <v>19375</v>
      </c>
      <c r="C11296" t="s">
        <v>71</v>
      </c>
      <c r="D11296" t="s">
        <v>14</v>
      </c>
      <c r="E11296" t="s">
        <v>674</v>
      </c>
      <c r="F11296" s="2" t="str">
        <f>HYPERLINK("http://www.otzar.org/book.asp?28184","הכתב והמכתב")</f>
        <v>הכתב והמכתב</v>
      </c>
    </row>
    <row r="11297" spans="1:6" x14ac:dyDescent="0.2">
      <c r="A11297" t="s">
        <v>19374</v>
      </c>
      <c r="B11297" t="s">
        <v>107</v>
      </c>
      <c r="C11297" t="s">
        <v>103</v>
      </c>
      <c r="D11297" t="s">
        <v>14</v>
      </c>
      <c r="E11297" t="s">
        <v>733</v>
      </c>
      <c r="F11297" s="2" t="str">
        <f>HYPERLINK("http://www.otzar.org/book.asp?22761","הכתב והמכתב")</f>
        <v>הכתב והמכתב</v>
      </c>
    </row>
    <row r="11298" spans="1:6" x14ac:dyDescent="0.2">
      <c r="A11298" t="s">
        <v>19376</v>
      </c>
      <c r="B11298" t="s">
        <v>19377</v>
      </c>
      <c r="C11298" t="s">
        <v>581</v>
      </c>
      <c r="D11298" t="s">
        <v>19378</v>
      </c>
      <c r="E11298" t="s">
        <v>158</v>
      </c>
      <c r="F11298" s="2" t="str">
        <f>HYPERLINK("http://www.otzar.org/book.asp?14519","הכתב והקבלה (בראשית-דברים)")</f>
        <v>הכתב והקבלה (בראשית-דברים)</v>
      </c>
    </row>
    <row r="11299" spans="1:6" x14ac:dyDescent="0.2">
      <c r="A11299" t="s">
        <v>19379</v>
      </c>
      <c r="B11299" t="s">
        <v>19377</v>
      </c>
      <c r="C11299" t="s">
        <v>19380</v>
      </c>
      <c r="D11299" t="s">
        <v>19381</v>
      </c>
      <c r="E11299" t="s">
        <v>158</v>
      </c>
      <c r="F11299" s="2" t="str">
        <f>HYPERLINK("http://www.otzar.org/book.asp?626419","הכתב והקבלה - ב")</f>
        <v>הכתב והקבלה - ב</v>
      </c>
    </row>
    <row r="11300" spans="1:6" x14ac:dyDescent="0.2">
      <c r="A11300" t="s">
        <v>19382</v>
      </c>
      <c r="B11300" t="s">
        <v>326</v>
      </c>
      <c r="C11300" t="s">
        <v>160</v>
      </c>
      <c r="D11300" t="s">
        <v>27</v>
      </c>
      <c r="E11300" t="s">
        <v>119</v>
      </c>
      <c r="F11300" s="2" t="str">
        <f>HYPERLINK("http://www.otzar.org/book.asp?83966","הכתבים הציונים")</f>
        <v>הכתבים הציונים</v>
      </c>
    </row>
    <row r="11301" spans="1:6" x14ac:dyDescent="0.2">
      <c r="A11301" t="s">
        <v>19383</v>
      </c>
      <c r="B11301" t="s">
        <v>19384</v>
      </c>
      <c r="C11301" t="s">
        <v>411</v>
      </c>
      <c r="D11301" t="s">
        <v>5130</v>
      </c>
      <c r="E11301" t="s">
        <v>158</v>
      </c>
      <c r="F11301" s="2" t="str">
        <f>HYPERLINK("http://www.otzar.org/book.asp?167130","הכתוב והכונה")</f>
        <v>הכתוב והכונה</v>
      </c>
    </row>
    <row r="11302" spans="1:6" x14ac:dyDescent="0.2">
      <c r="A11302" t="s">
        <v>19385</v>
      </c>
      <c r="B11302" t="s">
        <v>19386</v>
      </c>
      <c r="C11302" t="s">
        <v>1650</v>
      </c>
      <c r="D11302" t="s">
        <v>535</v>
      </c>
      <c r="E11302" t="s">
        <v>19387</v>
      </c>
      <c r="F11302" s="2" t="str">
        <f>HYPERLINK("http://www.otzar.org/book.asp?300291","הכתוב לחיים - א")</f>
        <v>הכתוב לחיים - א</v>
      </c>
    </row>
    <row r="11303" spans="1:6" x14ac:dyDescent="0.2">
      <c r="A11303" t="s">
        <v>19388</v>
      </c>
      <c r="B11303" t="s">
        <v>155</v>
      </c>
      <c r="C11303" t="s">
        <v>20</v>
      </c>
      <c r="D11303" t="s">
        <v>14</v>
      </c>
      <c r="E11303" t="s">
        <v>158</v>
      </c>
      <c r="F11303" s="2" t="str">
        <f>HYPERLINK("http://www.otzar.org/book.asp?10319","הכתוב לחיים")</f>
        <v>הכתוב לחיים</v>
      </c>
    </row>
    <row r="11304" spans="1:6" x14ac:dyDescent="0.2">
      <c r="A11304" t="s">
        <v>19389</v>
      </c>
      <c r="B11304" t="s">
        <v>19390</v>
      </c>
      <c r="C11304" t="s">
        <v>20</v>
      </c>
      <c r="D11304" t="s">
        <v>90</v>
      </c>
      <c r="F11304" s="2" t="str">
        <f>HYPERLINK("http://www.otzar.org/book.asp?605170","הכתובה בעיטורים")</f>
        <v>הכתובה בעיטורים</v>
      </c>
    </row>
    <row r="11305" spans="1:6" x14ac:dyDescent="0.2">
      <c r="A11305" t="s">
        <v>19391</v>
      </c>
      <c r="B11305" t="s">
        <v>19392</v>
      </c>
      <c r="C11305" t="s">
        <v>1166</v>
      </c>
      <c r="D11305" t="s">
        <v>21</v>
      </c>
      <c r="E11305" t="s">
        <v>674</v>
      </c>
      <c r="F11305" s="2" t="str">
        <f>HYPERLINK("http://www.otzar.org/book.asp?196000","הכתובות בא""י ובארצות הסמוכות לה")</f>
        <v>הכתובות בא"י ובארצות הסמוכות לה</v>
      </c>
    </row>
    <row r="11306" spans="1:6" x14ac:dyDescent="0.2">
      <c r="A11306" t="s">
        <v>19393</v>
      </c>
      <c r="B11306" t="s">
        <v>19394</v>
      </c>
      <c r="C11306" t="s">
        <v>956</v>
      </c>
      <c r="D11306" t="s">
        <v>14</v>
      </c>
      <c r="E11306" t="s">
        <v>104</v>
      </c>
      <c r="F11306" s="2" t="str">
        <f>HYPERLINK("http://www.otzar.org/book.asp?60662","הכתל המערבי")</f>
        <v>הכתל המערבי</v>
      </c>
    </row>
    <row r="11307" spans="1:6" x14ac:dyDescent="0.2">
      <c r="A11307" t="s">
        <v>19395</v>
      </c>
      <c r="B11307" t="s">
        <v>206</v>
      </c>
      <c r="C11307" t="s">
        <v>129</v>
      </c>
      <c r="D11307" t="s">
        <v>14</v>
      </c>
      <c r="E11307" t="s">
        <v>241</v>
      </c>
      <c r="F11307" s="2" t="str">
        <f>HYPERLINK("http://www.otzar.org/book.asp?615573","הכתר והכבוד - לחי עולמים א")</f>
        <v>הכתר והכבוד - לחי עולמים א</v>
      </c>
    </row>
    <row r="11308" spans="1:6" x14ac:dyDescent="0.2">
      <c r="A11308" t="s">
        <v>19396</v>
      </c>
      <c r="B11308" t="s">
        <v>19397</v>
      </c>
      <c r="C11308" t="s">
        <v>14</v>
      </c>
      <c r="D11308" t="s">
        <v>143</v>
      </c>
      <c r="E11308" t="s">
        <v>158</v>
      </c>
      <c r="F11308" s="2" t="str">
        <f>HYPERLINK("http://www.otzar.org/book.asp?191311","הכתר מקראות גדולות - 2 כר'")</f>
        <v>הכתר מקראות גדולות - 2 כר'</v>
      </c>
    </row>
    <row r="11309" spans="1:6" x14ac:dyDescent="0.2">
      <c r="A11309" t="s">
        <v>19398</v>
      </c>
      <c r="B11309" t="s">
        <v>206</v>
      </c>
      <c r="C11309" t="s">
        <v>20</v>
      </c>
      <c r="D11309" t="s">
        <v>14</v>
      </c>
      <c r="E11309" t="s">
        <v>104</v>
      </c>
      <c r="F11309" s="2" t="str">
        <f>HYPERLINK("http://www.otzar.org/book.asp?620210","הלבוש כהלכתו")</f>
        <v>הלבוש כהלכתו</v>
      </c>
    </row>
    <row r="11310" spans="1:6" x14ac:dyDescent="0.2">
      <c r="A11310" t="s">
        <v>19399</v>
      </c>
      <c r="B11310" t="s">
        <v>19400</v>
      </c>
      <c r="C11310" t="s">
        <v>558</v>
      </c>
      <c r="D11310" t="s">
        <v>283</v>
      </c>
      <c r="E11310" t="s">
        <v>202</v>
      </c>
      <c r="F11310" s="2" t="str">
        <f>HYPERLINK("http://www.otzar.org/book.asp?189584","הלבנון - 2 כר'")</f>
        <v>הלבנון - 2 כר'</v>
      </c>
    </row>
    <row r="11311" spans="1:6" x14ac:dyDescent="0.2">
      <c r="A11311" t="s">
        <v>19401</v>
      </c>
      <c r="B11311" t="s">
        <v>19402</v>
      </c>
      <c r="C11311" t="s">
        <v>506</v>
      </c>
      <c r="D11311" t="s">
        <v>307</v>
      </c>
      <c r="E11311" t="s">
        <v>202</v>
      </c>
      <c r="F11311" s="2" t="str">
        <f>HYPERLINK("http://www.otzar.org/book.asp?189610","הלבנון - א-א")</f>
        <v>הלבנון - א-א</v>
      </c>
    </row>
    <row r="11312" spans="1:6" x14ac:dyDescent="0.2">
      <c r="A11312" t="s">
        <v>19403</v>
      </c>
      <c r="B11312" t="s">
        <v>14323</v>
      </c>
      <c r="C11312" t="s">
        <v>2328</v>
      </c>
      <c r="D11312" t="s">
        <v>756</v>
      </c>
      <c r="E11312" t="s">
        <v>1697</v>
      </c>
      <c r="F11312" s="2" t="str">
        <f>HYPERLINK("http://www.otzar.org/book.asp?102252","הלבנון - קובץ א")</f>
        <v>הלבנון - קובץ א</v>
      </c>
    </row>
    <row r="11313" spans="1:6" x14ac:dyDescent="0.2">
      <c r="A11313" t="s">
        <v>19404</v>
      </c>
      <c r="B11313" t="s">
        <v>19405</v>
      </c>
      <c r="C11313" t="s">
        <v>624</v>
      </c>
      <c r="D11313" t="s">
        <v>14</v>
      </c>
      <c r="E11313" t="s">
        <v>158</v>
      </c>
      <c r="F11313" s="2" t="str">
        <f>HYPERLINK("http://www.otzar.org/book.asp?108348","הלגימה במגילה")</f>
        <v>הלגימה במגילה</v>
      </c>
    </row>
    <row r="11314" spans="1:6" x14ac:dyDescent="0.2">
      <c r="A11314" t="s">
        <v>19406</v>
      </c>
      <c r="B11314" t="s">
        <v>19407</v>
      </c>
      <c r="C11314" t="s">
        <v>68</v>
      </c>
      <c r="D11314" t="s">
        <v>14</v>
      </c>
      <c r="E11314" t="s">
        <v>104</v>
      </c>
      <c r="F11314" s="2" t="str">
        <f>HYPERLINK("http://www.otzar.org/book.asp?165434","הלואה מאוזנת")</f>
        <v>הלואה מאוזנת</v>
      </c>
    </row>
    <row r="11315" spans="1:6" x14ac:dyDescent="0.2">
      <c r="A11315" t="s">
        <v>19408</v>
      </c>
      <c r="B11315" t="s">
        <v>19409</v>
      </c>
      <c r="C11315" t="s">
        <v>442</v>
      </c>
      <c r="D11315" t="s">
        <v>19410</v>
      </c>
      <c r="F11315" s="2" t="str">
        <f>HYPERLINK("http://www.otzar.org/book.asp?612578","הלוח העברי")</f>
        <v>הלוח העברי</v>
      </c>
    </row>
    <row r="11316" spans="1:6" x14ac:dyDescent="0.2">
      <c r="A11316" t="s">
        <v>19411</v>
      </c>
      <c r="B11316" t="s">
        <v>19412</v>
      </c>
      <c r="C11316" t="s">
        <v>17</v>
      </c>
      <c r="D11316" t="s">
        <v>52</v>
      </c>
      <c r="E11316" t="s">
        <v>246</v>
      </c>
      <c r="F11316" s="2" t="str">
        <f>HYPERLINK("http://www.otzar.org/book.asp?154535","הלולא דפסחא &lt;מהדורה חדשה&gt;")</f>
        <v>הלולא דפסחא &lt;מהדורה חדשה&gt;</v>
      </c>
    </row>
    <row r="11317" spans="1:6" x14ac:dyDescent="0.2">
      <c r="A11317" t="s">
        <v>19413</v>
      </c>
      <c r="B11317" t="s">
        <v>19412</v>
      </c>
      <c r="C11317" t="s">
        <v>538</v>
      </c>
      <c r="D11317" t="s">
        <v>267</v>
      </c>
      <c r="E11317" t="s">
        <v>246</v>
      </c>
      <c r="F11317" s="2" t="str">
        <f>HYPERLINK("http://www.otzar.org/book.asp?51377","הלולא דפסחא")</f>
        <v>הלולא דפסחא</v>
      </c>
    </row>
    <row r="11318" spans="1:6" x14ac:dyDescent="0.2">
      <c r="A11318" t="s">
        <v>19414</v>
      </c>
      <c r="B11318" t="s">
        <v>19415</v>
      </c>
      <c r="C11318" t="s">
        <v>946</v>
      </c>
      <c r="D11318" t="s">
        <v>1889</v>
      </c>
      <c r="E11318" t="s">
        <v>1626</v>
      </c>
      <c r="F11318" s="2" t="str">
        <f>HYPERLINK("http://www.otzar.org/book.asp?105888","הלולא דרבי מאיר")</f>
        <v>הלולא דרבי מאיר</v>
      </c>
    </row>
    <row r="11319" spans="1:6" x14ac:dyDescent="0.2">
      <c r="A11319" t="s">
        <v>19416</v>
      </c>
      <c r="B11319" t="s">
        <v>18724</v>
      </c>
      <c r="C11319" t="s">
        <v>351</v>
      </c>
      <c r="D11319" t="s">
        <v>6238</v>
      </c>
      <c r="E11319" t="s">
        <v>234</v>
      </c>
      <c r="F11319" s="2" t="str">
        <f>HYPERLINK("http://www.otzar.org/book.asp?147021","הלולא דרבי")</f>
        <v>הלולא דרבי</v>
      </c>
    </row>
    <row r="11320" spans="1:6" x14ac:dyDescent="0.2">
      <c r="A11320" t="s">
        <v>19417</v>
      </c>
      <c r="B11320" t="s">
        <v>19418</v>
      </c>
      <c r="C11320" t="s">
        <v>915</v>
      </c>
      <c r="D11320" t="s">
        <v>212</v>
      </c>
      <c r="E11320" t="s">
        <v>1517</v>
      </c>
      <c r="F11320" s="2" t="str">
        <f>HYPERLINK("http://www.otzar.org/book.asp?172724","הלולא רבא")</f>
        <v>הלולא רבא</v>
      </c>
    </row>
    <row r="11321" spans="1:6" x14ac:dyDescent="0.2">
      <c r="A11321" t="s">
        <v>19417</v>
      </c>
      <c r="B11321" t="s">
        <v>19419</v>
      </c>
      <c r="C11321" t="s">
        <v>15405</v>
      </c>
      <c r="D11321" t="s">
        <v>212</v>
      </c>
      <c r="E11321" t="s">
        <v>1517</v>
      </c>
      <c r="F11321" s="2" t="str">
        <f>HYPERLINK("http://www.otzar.org/book.asp?83606","הלולא רבא")</f>
        <v>הלולא רבא</v>
      </c>
    </row>
    <row r="11322" spans="1:6" x14ac:dyDescent="0.2">
      <c r="A11322" t="s">
        <v>19417</v>
      </c>
      <c r="B11322" t="s">
        <v>19420</v>
      </c>
      <c r="C11322" t="s">
        <v>266</v>
      </c>
      <c r="D11322" t="s">
        <v>212</v>
      </c>
      <c r="E11322" t="s">
        <v>1517</v>
      </c>
      <c r="F11322" s="2" t="str">
        <f>HYPERLINK("http://www.otzar.org/book.asp?605193","הלולא רבא")</f>
        <v>הלולא רבא</v>
      </c>
    </row>
    <row r="11323" spans="1:6" x14ac:dyDescent="0.2">
      <c r="A11323" t="s">
        <v>19417</v>
      </c>
      <c r="B11323" t="s">
        <v>19421</v>
      </c>
      <c r="C11323" t="s">
        <v>728</v>
      </c>
      <c r="D11323" t="s">
        <v>212</v>
      </c>
      <c r="E11323" t="s">
        <v>1517</v>
      </c>
      <c r="F11323" s="2" t="str">
        <f>HYPERLINK("http://www.otzar.org/book.asp?300524","הלולא רבא")</f>
        <v>הלולא רבא</v>
      </c>
    </row>
    <row r="11324" spans="1:6" x14ac:dyDescent="0.2">
      <c r="A11324" t="s">
        <v>19417</v>
      </c>
      <c r="B11324" t="s">
        <v>19422</v>
      </c>
      <c r="C11324" t="s">
        <v>609</v>
      </c>
      <c r="D11324" t="s">
        <v>7894</v>
      </c>
      <c r="F11324" s="2" t="str">
        <f>HYPERLINK("http://www.otzar.org/book.asp?192880","הלולא רבא")</f>
        <v>הלולא רבא</v>
      </c>
    </row>
    <row r="11325" spans="1:6" x14ac:dyDescent="0.2">
      <c r="A11325" t="s">
        <v>19417</v>
      </c>
      <c r="B11325" t="s">
        <v>19423</v>
      </c>
      <c r="C11325" t="s">
        <v>1246</v>
      </c>
      <c r="D11325" t="s">
        <v>27</v>
      </c>
      <c r="E11325" t="s">
        <v>1517</v>
      </c>
      <c r="F11325" s="2" t="str">
        <f>HYPERLINK("http://www.otzar.org/book.asp?5338","הלולא רבא")</f>
        <v>הלולא רבא</v>
      </c>
    </row>
    <row r="11326" spans="1:6" x14ac:dyDescent="0.2">
      <c r="A11326" t="s">
        <v>19417</v>
      </c>
      <c r="B11326" t="s">
        <v>19424</v>
      </c>
      <c r="C11326" t="s">
        <v>3690</v>
      </c>
      <c r="D11326" t="s">
        <v>27</v>
      </c>
      <c r="E11326" t="s">
        <v>219</v>
      </c>
      <c r="F11326" s="2" t="str">
        <f>HYPERLINK("http://www.otzar.org/book.asp?168906","הלולא רבא")</f>
        <v>הלולא רבא</v>
      </c>
    </row>
    <row r="11327" spans="1:6" x14ac:dyDescent="0.2">
      <c r="A11327" t="s">
        <v>19425</v>
      </c>
      <c r="B11327" t="s">
        <v>19426</v>
      </c>
      <c r="C11327" t="s">
        <v>332</v>
      </c>
      <c r="D11327" t="s">
        <v>14</v>
      </c>
      <c r="E11327" t="s">
        <v>130</v>
      </c>
      <c r="F11327" s="2" t="str">
        <f>HYPERLINK("http://www.otzar.org/book.asp?155003","הלולב הקנרי")</f>
        <v>הלולב הקנרי</v>
      </c>
    </row>
    <row r="11328" spans="1:6" x14ac:dyDescent="0.2">
      <c r="A11328" t="s">
        <v>19427</v>
      </c>
      <c r="B11328" t="s">
        <v>19428</v>
      </c>
      <c r="C11328" t="s">
        <v>23</v>
      </c>
      <c r="D11328" t="s">
        <v>14</v>
      </c>
      <c r="E11328" t="s">
        <v>144</v>
      </c>
      <c r="F11328" s="2" t="str">
        <f>HYPERLINK("http://www.otzar.org/book.asp?623543","הלולי צבי - 3 כר'")</f>
        <v>הלולי צבי - 3 כר'</v>
      </c>
    </row>
    <row r="11329" spans="1:6" x14ac:dyDescent="0.2">
      <c r="A11329" t="s">
        <v>19429</v>
      </c>
      <c r="B11329" t="s">
        <v>19430</v>
      </c>
      <c r="C11329" t="s">
        <v>767</v>
      </c>
      <c r="D11329" t="s">
        <v>216</v>
      </c>
      <c r="E11329" t="s">
        <v>15</v>
      </c>
      <c r="F11329" s="2" t="str">
        <f>HYPERLINK("http://www.otzar.org/book.asp?623604","הליכות &lt;סדרה חדשה&gt; - 3")</f>
        <v>הליכות &lt;סדרה חדשה&gt; - 3</v>
      </c>
    </row>
    <row r="11330" spans="1:6" x14ac:dyDescent="0.2">
      <c r="A11330" t="s">
        <v>19431</v>
      </c>
      <c r="B11330" t="s">
        <v>465</v>
      </c>
      <c r="C11330" t="s">
        <v>366</v>
      </c>
      <c r="D11330" t="s">
        <v>14</v>
      </c>
      <c r="E11330" t="s">
        <v>130</v>
      </c>
      <c r="F11330" s="2" t="str">
        <f>HYPERLINK("http://www.otzar.org/book.asp?628201","הליכות אבן ישראל - שבת א")</f>
        <v>הליכות אבן ישראל - שבת א</v>
      </c>
    </row>
    <row r="11331" spans="1:6" x14ac:dyDescent="0.2">
      <c r="A11331" t="s">
        <v>19432</v>
      </c>
      <c r="B11331" t="s">
        <v>19433</v>
      </c>
      <c r="C11331" t="s">
        <v>422</v>
      </c>
      <c r="D11331" t="s">
        <v>14</v>
      </c>
      <c r="E11331" t="s">
        <v>15</v>
      </c>
      <c r="F11331" s="2" t="str">
        <f>HYPERLINK("http://www.otzar.org/book.asp?166248","הליכות אדם - 2 כר'")</f>
        <v>הליכות אדם - 2 כר'</v>
      </c>
    </row>
    <row r="11332" spans="1:6" x14ac:dyDescent="0.2">
      <c r="A11332" t="s">
        <v>19434</v>
      </c>
      <c r="B11332" t="s">
        <v>13332</v>
      </c>
      <c r="C11332" t="s">
        <v>4198</v>
      </c>
      <c r="D11332" t="s">
        <v>157</v>
      </c>
      <c r="F11332" s="2" t="str">
        <f>HYPERLINK("http://www.otzar.org/book.asp?611591","הליכות אלי")</f>
        <v>הליכות אלי</v>
      </c>
    </row>
    <row r="11333" spans="1:6" x14ac:dyDescent="0.2">
      <c r="A11333" t="s">
        <v>19435</v>
      </c>
      <c r="B11333" t="s">
        <v>19436</v>
      </c>
      <c r="C11333" t="s">
        <v>619</v>
      </c>
      <c r="D11333" t="s">
        <v>56</v>
      </c>
      <c r="E11333" t="s">
        <v>10</v>
      </c>
      <c r="F11333" s="2" t="str">
        <f>HYPERLINK("http://www.otzar.org/book.asp?103826","הליכות אליהו")</f>
        <v>הליכות אליהו</v>
      </c>
    </row>
    <row r="11334" spans="1:6" x14ac:dyDescent="0.2">
      <c r="A11334" t="s">
        <v>19435</v>
      </c>
      <c r="B11334" t="s">
        <v>5519</v>
      </c>
      <c r="C11334" t="s">
        <v>888</v>
      </c>
      <c r="D11334" t="s">
        <v>283</v>
      </c>
      <c r="E11334" t="s">
        <v>345</v>
      </c>
      <c r="F11334" s="2" t="str">
        <f>HYPERLINK("http://www.otzar.org/book.asp?17664","הליכות אליהו")</f>
        <v>הליכות אליהו</v>
      </c>
    </row>
    <row r="11335" spans="1:6" x14ac:dyDescent="0.2">
      <c r="A11335" t="s">
        <v>19437</v>
      </c>
      <c r="B11335" t="s">
        <v>19438</v>
      </c>
      <c r="C11335" t="s">
        <v>422</v>
      </c>
      <c r="D11335" t="s">
        <v>852</v>
      </c>
      <c r="E11335" t="s">
        <v>130</v>
      </c>
      <c r="F11335" s="2" t="str">
        <f>HYPERLINK("http://www.otzar.org/book.asp?151071","הליכות אמת")</f>
        <v>הליכות אמת</v>
      </c>
    </row>
    <row r="11336" spans="1:6" x14ac:dyDescent="0.2">
      <c r="A11336" t="s">
        <v>19439</v>
      </c>
      <c r="B11336" t="s">
        <v>19367</v>
      </c>
      <c r="C11336" t="s">
        <v>13</v>
      </c>
      <c r="D11336" t="s">
        <v>90</v>
      </c>
      <c r="E11336" t="s">
        <v>15</v>
      </c>
      <c r="F11336" s="2" t="str">
        <f>HYPERLINK("http://www.otzar.org/book.asp?180729","הליכות בין אדם לחברו")</f>
        <v>הליכות בין אדם לחברו</v>
      </c>
    </row>
    <row r="11337" spans="1:6" x14ac:dyDescent="0.2">
      <c r="A11337" t="s">
        <v>19440</v>
      </c>
      <c r="B11337" t="s">
        <v>19441</v>
      </c>
      <c r="C11337" t="s">
        <v>366</v>
      </c>
      <c r="D11337" t="s">
        <v>152</v>
      </c>
      <c r="E11337" t="s">
        <v>130</v>
      </c>
      <c r="F11337" s="2" t="str">
        <f>HYPERLINK("http://www.otzar.org/book.asp?606681","הליכות בין המצרים")</f>
        <v>הליכות בין המצרים</v>
      </c>
    </row>
    <row r="11338" spans="1:6" x14ac:dyDescent="0.2">
      <c r="A11338" t="s">
        <v>19442</v>
      </c>
      <c r="B11338" t="s">
        <v>19443</v>
      </c>
      <c r="C11338" t="s">
        <v>533</v>
      </c>
      <c r="D11338" t="s">
        <v>14</v>
      </c>
      <c r="E11338" t="s">
        <v>15</v>
      </c>
      <c r="F11338" s="2" t="str">
        <f>HYPERLINK("http://www.otzar.org/book.asp?153568","הליכות ביתה")</f>
        <v>הליכות ביתה</v>
      </c>
    </row>
    <row r="11339" spans="1:6" x14ac:dyDescent="0.2">
      <c r="A11339" t="s">
        <v>19444</v>
      </c>
      <c r="B11339" t="s">
        <v>19445</v>
      </c>
      <c r="C11339" t="s">
        <v>26</v>
      </c>
      <c r="D11339" t="s">
        <v>14</v>
      </c>
      <c r="E11339" t="s">
        <v>15</v>
      </c>
      <c r="F11339" s="2" t="str">
        <f>HYPERLINK("http://www.otzar.org/book.asp?179073","הליכות בקודש")</f>
        <v>הליכות בקודש</v>
      </c>
    </row>
    <row r="11340" spans="1:6" x14ac:dyDescent="0.2">
      <c r="A11340" t="s">
        <v>19446</v>
      </c>
      <c r="B11340" t="s">
        <v>19367</v>
      </c>
      <c r="C11340" t="s">
        <v>2132</v>
      </c>
      <c r="D11340" t="s">
        <v>90</v>
      </c>
      <c r="E11340" t="s">
        <v>15</v>
      </c>
      <c r="F11340" s="2" t="str">
        <f>HYPERLINK("http://www.otzar.org/book.asp?180728","הליכות בת ישראל")</f>
        <v>הליכות בת ישראל</v>
      </c>
    </row>
    <row r="11341" spans="1:6" x14ac:dyDescent="0.2">
      <c r="A11341" t="s">
        <v>19447</v>
      </c>
      <c r="B11341" t="s">
        <v>19448</v>
      </c>
      <c r="C11341" t="s">
        <v>20</v>
      </c>
      <c r="D11341" t="s">
        <v>21</v>
      </c>
      <c r="E11341" t="s">
        <v>144</v>
      </c>
      <c r="F11341" s="2" t="str">
        <f>HYPERLINK("http://www.otzar.org/book.asp?626703","הליכות הוריות")</f>
        <v>הליכות הוריות</v>
      </c>
    </row>
    <row r="11342" spans="1:6" x14ac:dyDescent="0.2">
      <c r="A11342" t="s">
        <v>19449</v>
      </c>
      <c r="B11342" t="s">
        <v>19450</v>
      </c>
      <c r="C11342" t="s">
        <v>411</v>
      </c>
      <c r="D11342" t="s">
        <v>486</v>
      </c>
      <c r="E11342" t="s">
        <v>119</v>
      </c>
      <c r="F11342" s="2" t="str">
        <f>HYPERLINK("http://www.otzar.org/book.asp?183338","הליכות החיים")</f>
        <v>הליכות החיים</v>
      </c>
    </row>
    <row r="11343" spans="1:6" x14ac:dyDescent="0.2">
      <c r="A11343" t="s">
        <v>19451</v>
      </c>
      <c r="B11343" t="s">
        <v>19450</v>
      </c>
      <c r="C11343" t="s">
        <v>133</v>
      </c>
      <c r="D11343" t="s">
        <v>486</v>
      </c>
      <c r="E11343" t="s">
        <v>226</v>
      </c>
      <c r="F11343" s="2" t="str">
        <f>HYPERLINK("http://www.otzar.org/book.asp?183335","הליכות הישועות משה - 3 כר'")</f>
        <v>הליכות הישועות משה - 3 כר'</v>
      </c>
    </row>
    <row r="11344" spans="1:6" x14ac:dyDescent="0.2">
      <c r="A11344" t="s">
        <v>19452</v>
      </c>
      <c r="B11344" t="s">
        <v>19453</v>
      </c>
      <c r="C11344" t="s">
        <v>366</v>
      </c>
      <c r="D11344" t="s">
        <v>14</v>
      </c>
      <c r="E11344" t="s">
        <v>8385</v>
      </c>
      <c r="F11344" s="2" t="str">
        <f>HYPERLINK("http://www.otzar.org/book.asp?611467","הליכות הצדיקים בעלזא - שבת קודש ג")</f>
        <v>הליכות הצדיקים בעלזא - שבת קודש ג</v>
      </c>
    </row>
    <row r="11345" spans="1:6" x14ac:dyDescent="0.2">
      <c r="A11345" t="s">
        <v>19454</v>
      </c>
      <c r="B11345" t="s">
        <v>19455</v>
      </c>
      <c r="C11345" t="s">
        <v>114</v>
      </c>
      <c r="D11345" t="s">
        <v>412</v>
      </c>
      <c r="E11345" t="s">
        <v>172</v>
      </c>
      <c r="F11345" s="2" t="str">
        <f>HYPERLINK("http://www.otzar.org/book.asp?173227","הליכות השבת")</f>
        <v>הליכות השבת</v>
      </c>
    </row>
    <row r="11346" spans="1:6" x14ac:dyDescent="0.2">
      <c r="A11346" t="s">
        <v>19456</v>
      </c>
      <c r="B11346" t="s">
        <v>19457</v>
      </c>
      <c r="C11346" t="s">
        <v>244</v>
      </c>
      <c r="D11346" t="s">
        <v>21</v>
      </c>
      <c r="E11346" t="s">
        <v>241</v>
      </c>
      <c r="F11346" s="2" t="str">
        <f>HYPERLINK("http://www.otzar.org/book.asp?603384","הליכות השולחן ערוך החמישי - 2 כר'")</f>
        <v>הליכות השולחן ערוך החמישי - 2 כר'</v>
      </c>
    </row>
    <row r="11347" spans="1:6" x14ac:dyDescent="0.2">
      <c r="A11347" t="s">
        <v>19458</v>
      </c>
      <c r="B11347" t="s">
        <v>19459</v>
      </c>
      <c r="C11347" t="s">
        <v>20</v>
      </c>
      <c r="D11347" t="s">
        <v>423</v>
      </c>
      <c r="E11347" t="s">
        <v>15</v>
      </c>
      <c r="F11347" s="2" t="str">
        <f>HYPERLINK("http://www.otzar.org/book.asp?179084","הליכות והלכות לבית החולים")</f>
        <v>הליכות והלכות לבית החולים</v>
      </c>
    </row>
    <row r="11348" spans="1:6" x14ac:dyDescent="0.2">
      <c r="A11348" t="s">
        <v>19460</v>
      </c>
      <c r="B11348" t="s">
        <v>10380</v>
      </c>
      <c r="C11348" t="s">
        <v>411</v>
      </c>
      <c r="D11348" t="s">
        <v>367</v>
      </c>
      <c r="E11348" t="s">
        <v>130</v>
      </c>
      <c r="F11348" s="2" t="str">
        <f>HYPERLINK("http://www.otzar.org/book.asp?168384","הליכות והלכות - ירח האיתנים")</f>
        <v>הליכות והלכות - ירח האיתנים</v>
      </c>
    </row>
    <row r="11349" spans="1:6" x14ac:dyDescent="0.2">
      <c r="A11349" t="s">
        <v>19461</v>
      </c>
      <c r="B11349" t="s">
        <v>15969</v>
      </c>
      <c r="C11349" t="s">
        <v>37</v>
      </c>
      <c r="D11349" t="s">
        <v>52</v>
      </c>
      <c r="F11349" s="2" t="str">
        <f>HYPERLINK("http://www.otzar.org/book.asp?194219","הליכות והלכות - 7 כר'")</f>
        <v>הליכות והלכות - 7 כר'</v>
      </c>
    </row>
    <row r="11350" spans="1:6" x14ac:dyDescent="0.2">
      <c r="A11350" t="s">
        <v>19462</v>
      </c>
      <c r="B11350" t="s">
        <v>19463</v>
      </c>
      <c r="C11350" t="s">
        <v>366</v>
      </c>
      <c r="D11350" t="s">
        <v>14</v>
      </c>
      <c r="F11350" s="2" t="str">
        <f>HYPERLINK("http://www.otzar.org/book.asp?614378","הליכות והנהגות אמרי סופר - 2 כר'")</f>
        <v>הליכות והנהגות אמרי סופר - 2 כר'</v>
      </c>
    </row>
    <row r="11351" spans="1:6" x14ac:dyDescent="0.2">
      <c r="A11351" t="s">
        <v>19464</v>
      </c>
      <c r="B11351" t="s">
        <v>13424</v>
      </c>
      <c r="D11351" t="s">
        <v>52</v>
      </c>
      <c r="E11351" t="s">
        <v>15</v>
      </c>
      <c r="F11351" s="2" t="str">
        <f>HYPERLINK("http://www.otzar.org/book.asp?180743","הליכות והנהגות ממרן בעל קהילות יעקב זיע""א")</f>
        <v>הליכות והנהגות ממרן בעל קהילות יעקב זיע"א</v>
      </c>
    </row>
    <row r="11352" spans="1:6" x14ac:dyDescent="0.2">
      <c r="A11352" t="s">
        <v>19465</v>
      </c>
      <c r="B11352" t="s">
        <v>19448</v>
      </c>
      <c r="C11352" t="s">
        <v>111</v>
      </c>
      <c r="D11352" t="s">
        <v>21</v>
      </c>
      <c r="E11352" t="s">
        <v>144</v>
      </c>
      <c r="F11352" s="2" t="str">
        <f>HYPERLINK("http://www.otzar.org/book.asp?628063","הליכות זבחים - 5 כר'")</f>
        <v>הליכות זבחים - 5 כר'</v>
      </c>
    </row>
    <row r="11353" spans="1:6" x14ac:dyDescent="0.2">
      <c r="A11353" t="s">
        <v>19466</v>
      </c>
      <c r="B11353" t="s">
        <v>206</v>
      </c>
      <c r="C11353" t="s">
        <v>37</v>
      </c>
      <c r="D11353" t="s">
        <v>90</v>
      </c>
      <c r="E11353" t="s">
        <v>119</v>
      </c>
      <c r="F11353" s="2" t="str">
        <f>HYPERLINK("http://www.otzar.org/book.asp?630860","הליכות חייו והנהגותיו של ר' ראובן קרלנשטיין")</f>
        <v>הליכות חייו והנהגותיו של ר' ראובן קרלנשטיין</v>
      </c>
    </row>
    <row r="11354" spans="1:6" x14ac:dyDescent="0.2">
      <c r="A11354" t="s">
        <v>19467</v>
      </c>
      <c r="B11354" t="s">
        <v>19468</v>
      </c>
      <c r="C11354" t="s">
        <v>1619</v>
      </c>
      <c r="D11354" t="s">
        <v>216</v>
      </c>
      <c r="E11354" t="s">
        <v>241</v>
      </c>
      <c r="F11354" s="2" t="str">
        <f>HYPERLINK("http://www.otzar.org/book.asp?153602","הליכות חיים - 2 כר'")</f>
        <v>הליכות חיים - 2 כר'</v>
      </c>
    </row>
    <row r="11355" spans="1:6" x14ac:dyDescent="0.2">
      <c r="A11355" t="s">
        <v>19469</v>
      </c>
      <c r="B11355" t="s">
        <v>19470</v>
      </c>
      <c r="C11355" t="s">
        <v>244</v>
      </c>
      <c r="D11355" t="s">
        <v>412</v>
      </c>
      <c r="E11355" t="s">
        <v>119</v>
      </c>
      <c r="F11355" s="2" t="str">
        <f>HYPERLINK("http://www.otzar.org/book.asp?628014","הליכות חיים - רבינו הקדוש מריבניץ")</f>
        <v>הליכות חיים - רבינו הקדוש מריבניץ</v>
      </c>
    </row>
    <row r="11356" spans="1:6" x14ac:dyDescent="0.2">
      <c r="A11356" t="s">
        <v>19471</v>
      </c>
      <c r="B11356" t="s">
        <v>17702</v>
      </c>
      <c r="C11356" t="s">
        <v>454</v>
      </c>
      <c r="D11356" t="s">
        <v>423</v>
      </c>
      <c r="E11356" t="s">
        <v>3055</v>
      </c>
      <c r="F11356" s="2" t="str">
        <f>HYPERLINK("http://www.otzar.org/book.asp?162297","הליכות חיים - 5 כר'")</f>
        <v>הליכות חיים - 5 כר'</v>
      </c>
    </row>
    <row r="11357" spans="1:6" x14ac:dyDescent="0.2">
      <c r="A11357" t="s">
        <v>19472</v>
      </c>
      <c r="B11357" t="s">
        <v>19473</v>
      </c>
      <c r="C11357" t="s">
        <v>114</v>
      </c>
      <c r="D11357" t="s">
        <v>21</v>
      </c>
      <c r="E11357" t="s">
        <v>246</v>
      </c>
      <c r="F11357" s="2" t="str">
        <f>HYPERLINK("http://www.otzar.org/book.asp?197718","הליכות חיים - מצות ישיבה בסוכה")</f>
        <v>הליכות חיים - מצות ישיבה בסוכה</v>
      </c>
    </row>
    <row r="11358" spans="1:6" x14ac:dyDescent="0.2">
      <c r="A11358" t="s">
        <v>19474</v>
      </c>
      <c r="B11358" t="s">
        <v>19475</v>
      </c>
      <c r="C11358" t="s">
        <v>151</v>
      </c>
      <c r="D11358" t="s">
        <v>52</v>
      </c>
      <c r="F11358" s="2" t="str">
        <f>HYPERLINK("http://www.otzar.org/book.asp?616715","הליכות חיים")</f>
        <v>הליכות חיים</v>
      </c>
    </row>
    <row r="11359" spans="1:6" x14ac:dyDescent="0.2">
      <c r="A11359" t="s">
        <v>19467</v>
      </c>
      <c r="B11359" t="s">
        <v>8947</v>
      </c>
      <c r="C11359" t="s">
        <v>20</v>
      </c>
      <c r="D11359" t="s">
        <v>14</v>
      </c>
      <c r="F11359" s="2" t="str">
        <f>HYPERLINK("http://www.otzar.org/book.asp?156648","הליכות חיים - 2 כר'")</f>
        <v>הליכות חיים - 2 כר'</v>
      </c>
    </row>
    <row r="11360" spans="1:6" x14ac:dyDescent="0.2">
      <c r="A11360" t="s">
        <v>19467</v>
      </c>
      <c r="B11360" t="s">
        <v>19476</v>
      </c>
      <c r="C11360" t="s">
        <v>422</v>
      </c>
      <c r="D11360" t="s">
        <v>2125</v>
      </c>
      <c r="E11360" t="s">
        <v>9356</v>
      </c>
      <c r="F11360" s="2" t="str">
        <f>HYPERLINK("http://www.otzar.org/book.asp?159259","הליכות חיים - 2 כר'")</f>
        <v>הליכות חיים - 2 כר'</v>
      </c>
    </row>
    <row r="11361" spans="1:6" x14ac:dyDescent="0.2">
      <c r="A11361" t="s">
        <v>19467</v>
      </c>
      <c r="B11361" t="s">
        <v>128</v>
      </c>
      <c r="C11361" t="s">
        <v>114</v>
      </c>
      <c r="D11361" t="s">
        <v>52</v>
      </c>
      <c r="E11361" t="s">
        <v>15</v>
      </c>
      <c r="F11361" s="2" t="str">
        <f>HYPERLINK("http://www.otzar.org/book.asp?172282","הליכות חיים - 2 כר'")</f>
        <v>הליכות חיים - 2 כר'</v>
      </c>
    </row>
    <row r="11362" spans="1:6" x14ac:dyDescent="0.2">
      <c r="A11362" t="s">
        <v>19477</v>
      </c>
      <c r="B11362" t="s">
        <v>19478</v>
      </c>
      <c r="C11362" t="s">
        <v>411</v>
      </c>
      <c r="D11362" t="s">
        <v>412</v>
      </c>
      <c r="E11362" t="s">
        <v>15</v>
      </c>
      <c r="F11362" s="2" t="str">
        <f>HYPERLINK("http://www.otzar.org/book.asp?176664","הליכות חנוך")</f>
        <v>הליכות חנוך</v>
      </c>
    </row>
    <row r="11363" spans="1:6" x14ac:dyDescent="0.2">
      <c r="A11363" t="s">
        <v>19479</v>
      </c>
      <c r="B11363" t="s">
        <v>19480</v>
      </c>
      <c r="C11363" t="s">
        <v>1640</v>
      </c>
      <c r="D11363" t="s">
        <v>412</v>
      </c>
      <c r="E11363" t="s">
        <v>158</v>
      </c>
      <c r="F11363" s="2" t="str">
        <f>HYPERLINK("http://www.otzar.org/book.asp?166303","הליכות יהודה - 4 כר'")</f>
        <v>הליכות יהודה - 4 כר'</v>
      </c>
    </row>
    <row r="11364" spans="1:6" x14ac:dyDescent="0.2">
      <c r="A11364" t="s">
        <v>19481</v>
      </c>
      <c r="B11364" t="s">
        <v>19482</v>
      </c>
      <c r="C11364" t="s">
        <v>151</v>
      </c>
      <c r="D11364" t="s">
        <v>90</v>
      </c>
      <c r="E11364" t="s">
        <v>241</v>
      </c>
      <c r="F11364" s="2" t="str">
        <f>HYPERLINK("http://www.otzar.org/book.asp?622643","הליכות יוסף")</f>
        <v>הליכות יוסף</v>
      </c>
    </row>
    <row r="11365" spans="1:6" x14ac:dyDescent="0.2">
      <c r="A11365" t="s">
        <v>19483</v>
      </c>
      <c r="B11365" t="s">
        <v>19484</v>
      </c>
      <c r="C11365" t="s">
        <v>23</v>
      </c>
      <c r="D11365" t="s">
        <v>52</v>
      </c>
      <c r="E11365" t="s">
        <v>148</v>
      </c>
      <c r="F11365" s="2" t="str">
        <f>HYPERLINK("http://www.otzar.org/book.asp?194123","הליכות יעקב")</f>
        <v>הליכות יעקב</v>
      </c>
    </row>
    <row r="11366" spans="1:6" x14ac:dyDescent="0.2">
      <c r="A11366" t="s">
        <v>19485</v>
      </c>
      <c r="B11366" t="s">
        <v>19486</v>
      </c>
      <c r="C11366" t="s">
        <v>87</v>
      </c>
      <c r="D11366" t="s">
        <v>14</v>
      </c>
      <c r="E11366" t="s">
        <v>144</v>
      </c>
      <c r="F11366" s="2" t="str">
        <f>HYPERLINK("http://www.otzar.org/book.asp?22961","הליכות יצחק - 6 כר'")</f>
        <v>הליכות יצחק - 6 כר'</v>
      </c>
    </row>
    <row r="11367" spans="1:6" x14ac:dyDescent="0.2">
      <c r="A11367" t="s">
        <v>19487</v>
      </c>
      <c r="B11367" t="s">
        <v>19488</v>
      </c>
      <c r="C11367" t="s">
        <v>334</v>
      </c>
      <c r="D11367" t="s">
        <v>412</v>
      </c>
      <c r="E11367" t="s">
        <v>119</v>
      </c>
      <c r="F11367" s="2" t="str">
        <f>HYPERLINK("http://www.otzar.org/book.asp?25487","הליכות יצחק")</f>
        <v>הליכות יצחק</v>
      </c>
    </row>
    <row r="11368" spans="1:6" x14ac:dyDescent="0.2">
      <c r="A11368" t="s">
        <v>19489</v>
      </c>
      <c r="B11368" t="s">
        <v>19490</v>
      </c>
      <c r="C11368" t="s">
        <v>103</v>
      </c>
      <c r="D11368" t="s">
        <v>2125</v>
      </c>
      <c r="E11368" t="s">
        <v>148</v>
      </c>
      <c r="F11368" s="2" t="str">
        <f>HYPERLINK("http://www.otzar.org/book.asp?84718","הליכות ישראל - 2 כר'")</f>
        <v>הליכות ישראל - 2 כר'</v>
      </c>
    </row>
    <row r="11369" spans="1:6" x14ac:dyDescent="0.2">
      <c r="A11369" t="s">
        <v>19491</v>
      </c>
      <c r="B11369" t="s">
        <v>4547</v>
      </c>
      <c r="C11369" t="s">
        <v>356</v>
      </c>
      <c r="D11369" t="s">
        <v>14</v>
      </c>
      <c r="E11369" t="s">
        <v>154</v>
      </c>
      <c r="F11369" s="2" t="str">
        <f>HYPERLINK("http://www.otzar.org/book.asp?51570","הליכות ישראל")</f>
        <v>הליכות ישראל</v>
      </c>
    </row>
    <row r="11370" spans="1:6" x14ac:dyDescent="0.2">
      <c r="A11370" t="s">
        <v>19492</v>
      </c>
      <c r="B11370" t="s">
        <v>19493</v>
      </c>
      <c r="C11370" t="s">
        <v>189</v>
      </c>
      <c r="D11370" t="s">
        <v>14</v>
      </c>
      <c r="E11370" t="s">
        <v>15</v>
      </c>
      <c r="F11370" s="2" t="str">
        <f>HYPERLINK("http://www.otzar.org/book.asp?60514","הליכות לבת מצוה")</f>
        <v>הליכות לבת מצוה</v>
      </c>
    </row>
    <row r="11371" spans="1:6" x14ac:dyDescent="0.2">
      <c r="A11371" t="s">
        <v>19494</v>
      </c>
      <c r="B11371" t="s">
        <v>19495</v>
      </c>
      <c r="C11371" t="s">
        <v>37</v>
      </c>
      <c r="D11371" t="s">
        <v>11098</v>
      </c>
      <c r="F11371" s="2" t="str">
        <f>HYPERLINK("http://www.otzar.org/book.asp?191658","הליכות מועדי השנה")</f>
        <v>הליכות מועדי השנה</v>
      </c>
    </row>
    <row r="11372" spans="1:6" x14ac:dyDescent="0.2">
      <c r="A11372" t="s">
        <v>19496</v>
      </c>
      <c r="B11372" t="s">
        <v>19497</v>
      </c>
      <c r="C11372" t="s">
        <v>313</v>
      </c>
      <c r="D11372" t="s">
        <v>19498</v>
      </c>
      <c r="E11372" t="s">
        <v>15</v>
      </c>
      <c r="F11372" s="2" t="str">
        <f>HYPERLINK("http://www.otzar.org/book.asp?61842","הליכות מלכי בקודש")</f>
        <v>הליכות מלכי בקודש</v>
      </c>
    </row>
    <row r="11373" spans="1:6" x14ac:dyDescent="0.2">
      <c r="A11373" t="s">
        <v>19499</v>
      </c>
      <c r="B11373" t="s">
        <v>19448</v>
      </c>
      <c r="C11373" t="s">
        <v>20</v>
      </c>
      <c r="D11373" t="s">
        <v>21</v>
      </c>
      <c r="E11373" t="s">
        <v>144</v>
      </c>
      <c r="F11373" s="2" t="str">
        <f>HYPERLINK("http://www.otzar.org/book.asp?626704","הליכות מנחות (מזוזה ותפילין)")</f>
        <v>הליכות מנחות (מזוזה ותפילין)</v>
      </c>
    </row>
    <row r="11374" spans="1:6" x14ac:dyDescent="0.2">
      <c r="A11374" t="s">
        <v>19500</v>
      </c>
      <c r="B11374" t="s">
        <v>19448</v>
      </c>
      <c r="C11374" t="s">
        <v>20</v>
      </c>
      <c r="D11374" t="s">
        <v>21</v>
      </c>
      <c r="E11374" t="s">
        <v>144</v>
      </c>
      <c r="F11374" s="2" t="str">
        <f>HYPERLINK("http://www.otzar.org/book.asp?626705","הליכות מנחות (ציצית)")</f>
        <v>הליכות מנחות (ציצית)</v>
      </c>
    </row>
    <row r="11375" spans="1:6" x14ac:dyDescent="0.2">
      <c r="A11375" t="s">
        <v>19501</v>
      </c>
      <c r="B11375" t="s">
        <v>19448</v>
      </c>
      <c r="C11375" t="s">
        <v>20</v>
      </c>
      <c r="D11375" t="s">
        <v>21</v>
      </c>
      <c r="E11375" t="s">
        <v>144</v>
      </c>
      <c r="F11375" s="2" t="str">
        <f>HYPERLINK("http://www.otzar.org/book.asp?626706","הליכות מעילה")</f>
        <v>הליכות מעילה</v>
      </c>
    </row>
    <row r="11376" spans="1:6" x14ac:dyDescent="0.2">
      <c r="A11376" t="s">
        <v>19502</v>
      </c>
      <c r="B11376" t="s">
        <v>19503</v>
      </c>
      <c r="C11376" t="s">
        <v>114</v>
      </c>
      <c r="D11376" t="s">
        <v>52</v>
      </c>
      <c r="E11376" t="s">
        <v>130</v>
      </c>
      <c r="F11376" s="2" t="str">
        <f>HYPERLINK("http://www.otzar.org/book.asp?159466","הליכות מרדכי - 4 כר'")</f>
        <v>הליכות מרדכי - 4 כר'</v>
      </c>
    </row>
    <row r="11377" spans="1:6" x14ac:dyDescent="0.2">
      <c r="A11377" t="s">
        <v>19504</v>
      </c>
      <c r="B11377" t="s">
        <v>19505</v>
      </c>
      <c r="C11377" t="s">
        <v>624</v>
      </c>
      <c r="D11377" t="s">
        <v>14</v>
      </c>
      <c r="E11377" t="s">
        <v>144</v>
      </c>
      <c r="F11377" s="2" t="str">
        <f>HYPERLINK("http://www.otzar.org/book.asp?16918","הליכות עולם &lt;מהדורה חדשה&gt;")</f>
        <v>הליכות עולם &lt;מהדורה חדשה&gt;</v>
      </c>
    </row>
    <row r="11378" spans="1:6" x14ac:dyDescent="0.2">
      <c r="A11378" t="s">
        <v>19506</v>
      </c>
      <c r="B11378" t="s">
        <v>19505</v>
      </c>
      <c r="C11378" t="s">
        <v>2323</v>
      </c>
      <c r="D11378" t="s">
        <v>1023</v>
      </c>
      <c r="E11378" t="s">
        <v>144</v>
      </c>
      <c r="F11378" s="2" t="str">
        <f>HYPERLINK("http://www.otzar.org/book.asp?151644","הליכות עולם ומבא הגמרא")</f>
        <v>הליכות עולם ומבא הגמרא</v>
      </c>
    </row>
    <row r="11379" spans="1:6" x14ac:dyDescent="0.2">
      <c r="A11379" t="s">
        <v>19507</v>
      </c>
      <c r="B11379" t="s">
        <v>19508</v>
      </c>
      <c r="C11379" t="s">
        <v>1169</v>
      </c>
      <c r="D11379" t="s">
        <v>563</v>
      </c>
      <c r="E11379" t="s">
        <v>15</v>
      </c>
      <c r="F11379" s="2" t="str">
        <f>HYPERLINK("http://www.otzar.org/book.asp?5908","הליכות עולם קטן")</f>
        <v>הליכות עולם קטן</v>
      </c>
    </row>
    <row r="11380" spans="1:6" x14ac:dyDescent="0.2">
      <c r="A11380" t="s">
        <v>19509</v>
      </c>
      <c r="B11380" t="s">
        <v>4146</v>
      </c>
      <c r="C11380" t="s">
        <v>71</v>
      </c>
      <c r="D11380" t="s">
        <v>14</v>
      </c>
      <c r="E11380" t="s">
        <v>15</v>
      </c>
      <c r="F11380" s="2" t="str">
        <f>HYPERLINK("http://www.otzar.org/book.asp?143041","הליכות עולם")</f>
        <v>הליכות עולם</v>
      </c>
    </row>
    <row r="11381" spans="1:6" x14ac:dyDescent="0.2">
      <c r="A11381" t="s">
        <v>19509</v>
      </c>
      <c r="B11381" t="s">
        <v>7859</v>
      </c>
      <c r="C11381" t="s">
        <v>767</v>
      </c>
      <c r="D11381" t="s">
        <v>52</v>
      </c>
      <c r="E11381" t="s">
        <v>213</v>
      </c>
      <c r="F11381" s="2" t="str">
        <f>HYPERLINK("http://www.otzar.org/book.asp?85191","הליכות עולם")</f>
        <v>הליכות עולם</v>
      </c>
    </row>
    <row r="11382" spans="1:6" x14ac:dyDescent="0.2">
      <c r="A11382" t="s">
        <v>19509</v>
      </c>
      <c r="B11382" t="s">
        <v>19510</v>
      </c>
      <c r="C11382" t="s">
        <v>728</v>
      </c>
      <c r="D11382" t="s">
        <v>5961</v>
      </c>
      <c r="E11382" t="s">
        <v>15</v>
      </c>
      <c r="F11382" s="2" t="str">
        <f>HYPERLINK("http://www.otzar.org/book.asp?174609","הליכות עולם")</f>
        <v>הליכות עולם</v>
      </c>
    </row>
    <row r="11383" spans="1:6" x14ac:dyDescent="0.2">
      <c r="A11383" t="s">
        <v>19509</v>
      </c>
      <c r="B11383" t="s">
        <v>4818</v>
      </c>
      <c r="C11383" t="s">
        <v>462</v>
      </c>
      <c r="D11383" t="s">
        <v>267</v>
      </c>
      <c r="E11383" t="s">
        <v>9760</v>
      </c>
      <c r="F11383" s="2" t="str">
        <f>HYPERLINK("http://www.otzar.org/book.asp?12926","הליכות עולם")</f>
        <v>הליכות עולם</v>
      </c>
    </row>
    <row r="11384" spans="1:6" x14ac:dyDescent="0.2">
      <c r="A11384" t="s">
        <v>19511</v>
      </c>
      <c r="B11384" t="s">
        <v>19505</v>
      </c>
      <c r="C11384" t="s">
        <v>1568</v>
      </c>
      <c r="D11384" t="s">
        <v>1490</v>
      </c>
      <c r="F11384" s="2" t="str">
        <f>HYPERLINK("http://www.otzar.org/book.asp?182131","הליכות עולם - 6 כר'")</f>
        <v>הליכות עולם - 6 כר'</v>
      </c>
    </row>
    <row r="11385" spans="1:6" x14ac:dyDescent="0.2">
      <c r="A11385" t="s">
        <v>19509</v>
      </c>
      <c r="B11385" t="s">
        <v>19512</v>
      </c>
      <c r="C11385" t="s">
        <v>422</v>
      </c>
      <c r="D11385" t="s">
        <v>412</v>
      </c>
      <c r="E11385" t="s">
        <v>202</v>
      </c>
      <c r="F11385" s="2" t="str">
        <f>HYPERLINK("http://www.otzar.org/book.asp?173244","הליכות עולם")</f>
        <v>הליכות עולם</v>
      </c>
    </row>
    <row r="11386" spans="1:6" x14ac:dyDescent="0.2">
      <c r="A11386" t="s">
        <v>19513</v>
      </c>
      <c r="B11386" t="s">
        <v>19514</v>
      </c>
      <c r="C11386" t="s">
        <v>466</v>
      </c>
      <c r="D11386" t="s">
        <v>21</v>
      </c>
      <c r="E11386" t="s">
        <v>130</v>
      </c>
      <c r="F11386" s="2" t="str">
        <f>HYPERLINK("http://www.otzar.org/book.asp?195679","הליכות עולם - 3 כר'")</f>
        <v>הליכות עולם - 3 כר'</v>
      </c>
    </row>
    <row r="11387" spans="1:6" x14ac:dyDescent="0.2">
      <c r="A11387" t="s">
        <v>19515</v>
      </c>
      <c r="B11387" t="s">
        <v>1750</v>
      </c>
      <c r="C11387" t="s">
        <v>37</v>
      </c>
      <c r="D11387" t="s">
        <v>152</v>
      </c>
      <c r="E11387" t="s">
        <v>202</v>
      </c>
      <c r="F11387" s="2" t="str">
        <f>HYPERLINK("http://www.otzar.org/book.asp?182866","הליכות עולם - א")</f>
        <v>הליכות עולם - א</v>
      </c>
    </row>
    <row r="11388" spans="1:6" x14ac:dyDescent="0.2">
      <c r="A11388" t="s">
        <v>19516</v>
      </c>
      <c r="B11388" t="s">
        <v>19517</v>
      </c>
      <c r="C11388" t="s">
        <v>106</v>
      </c>
      <c r="D11388" t="s">
        <v>118</v>
      </c>
      <c r="E11388" t="s">
        <v>119</v>
      </c>
      <c r="F11388" s="2" t="str">
        <f>HYPERLINK("http://www.otzar.org/book.asp?15217","הליכות עם עולם")</f>
        <v>הליכות עם עולם</v>
      </c>
    </row>
    <row r="11389" spans="1:6" x14ac:dyDescent="0.2">
      <c r="A11389" t="s">
        <v>19518</v>
      </c>
      <c r="B11389" t="s">
        <v>19441</v>
      </c>
      <c r="C11389" t="s">
        <v>151</v>
      </c>
      <c r="D11389" t="s">
        <v>152</v>
      </c>
      <c r="E11389" t="s">
        <v>130</v>
      </c>
      <c r="F11389" s="2" t="str">
        <f>HYPERLINK("http://www.otzar.org/book.asp?615085","הליכות פסח")</f>
        <v>הליכות פסח</v>
      </c>
    </row>
    <row r="11390" spans="1:6" x14ac:dyDescent="0.2">
      <c r="A11390" t="s">
        <v>19519</v>
      </c>
      <c r="B11390" t="s">
        <v>19520</v>
      </c>
      <c r="C11390" t="s">
        <v>23</v>
      </c>
      <c r="D11390" t="s">
        <v>14</v>
      </c>
      <c r="F11390" s="2" t="str">
        <f>HYPERLINK("http://www.otzar.org/book.asp?611262","הליכות קדוש &lt;שומרי אמונים&gt; - 4 כר'")</f>
        <v>הליכות קדוש &lt;שומרי אמונים&gt; - 4 כר'</v>
      </c>
    </row>
    <row r="11391" spans="1:6" x14ac:dyDescent="0.2">
      <c r="A11391" t="s">
        <v>19521</v>
      </c>
      <c r="B11391" t="s">
        <v>10899</v>
      </c>
      <c r="C11391" t="s">
        <v>15405</v>
      </c>
      <c r="D11391" t="s">
        <v>1023</v>
      </c>
      <c r="E11391" t="s">
        <v>19522</v>
      </c>
      <c r="F11391" s="2" t="str">
        <f>HYPERLINK("http://www.otzar.org/book.asp?22342","הליכות קדם")</f>
        <v>הליכות קדם</v>
      </c>
    </row>
    <row r="11392" spans="1:6" x14ac:dyDescent="0.2">
      <c r="A11392" t="s">
        <v>19523</v>
      </c>
      <c r="B11392" t="s">
        <v>19524</v>
      </c>
      <c r="C11392" t="s">
        <v>1619</v>
      </c>
      <c r="D11392" t="s">
        <v>216</v>
      </c>
      <c r="E11392" t="s">
        <v>10</v>
      </c>
      <c r="F11392" s="2" t="str">
        <f>HYPERLINK("http://www.otzar.org/book.asp?144604","הליכות שבא")</f>
        <v>הליכות שבא</v>
      </c>
    </row>
    <row r="11393" spans="1:6" x14ac:dyDescent="0.2">
      <c r="A11393" t="s">
        <v>19525</v>
      </c>
      <c r="B11393" t="s">
        <v>206</v>
      </c>
      <c r="C11393" t="s">
        <v>366</v>
      </c>
      <c r="D11393" t="s">
        <v>90</v>
      </c>
      <c r="E11393" t="s">
        <v>144</v>
      </c>
      <c r="F11393" s="2" t="str">
        <f>HYPERLINK("http://www.otzar.org/book.asp?606523","הליכות שבועות")</f>
        <v>הליכות שבועות</v>
      </c>
    </row>
    <row r="11394" spans="1:6" x14ac:dyDescent="0.2">
      <c r="A11394" t="s">
        <v>19525</v>
      </c>
      <c r="B11394" t="s">
        <v>19448</v>
      </c>
      <c r="C11394" t="s">
        <v>366</v>
      </c>
      <c r="D11394" t="s">
        <v>21</v>
      </c>
      <c r="F11394" s="2" t="str">
        <f>HYPERLINK("http://www.otzar.org/book.asp?613635","הליכות שבועות")</f>
        <v>הליכות שבועות</v>
      </c>
    </row>
    <row r="11395" spans="1:6" x14ac:dyDescent="0.2">
      <c r="A11395" t="s">
        <v>19526</v>
      </c>
      <c r="B11395" t="s">
        <v>19527</v>
      </c>
      <c r="C11395" t="s">
        <v>114</v>
      </c>
      <c r="D11395" t="s">
        <v>14</v>
      </c>
      <c r="E11395" t="s">
        <v>15</v>
      </c>
      <c r="F11395" s="2" t="str">
        <f>HYPERLINK("http://www.otzar.org/book.asp?167931","הליכות שבת - 2 כר'")</f>
        <v>הליכות שבת - 2 כר'</v>
      </c>
    </row>
    <row r="11396" spans="1:6" x14ac:dyDescent="0.2">
      <c r="A11396" t="s">
        <v>19528</v>
      </c>
      <c r="B11396" t="s">
        <v>19529</v>
      </c>
      <c r="C11396" t="s">
        <v>244</v>
      </c>
      <c r="D11396" t="s">
        <v>1511</v>
      </c>
      <c r="E11396" t="s">
        <v>186</v>
      </c>
      <c r="F11396" s="2" t="str">
        <f>HYPERLINK("http://www.otzar.org/book.asp?199955","הליכות שבת - מסכת שבת")</f>
        <v>הליכות שבת - מסכת שבת</v>
      </c>
    </row>
    <row r="11397" spans="1:6" x14ac:dyDescent="0.2">
      <c r="A11397" t="s">
        <v>19530</v>
      </c>
      <c r="B11397" t="s">
        <v>19531</v>
      </c>
      <c r="C11397" t="s">
        <v>1448</v>
      </c>
      <c r="D11397" t="s">
        <v>14</v>
      </c>
      <c r="E11397" t="s">
        <v>2091</v>
      </c>
      <c r="F11397" s="2" t="str">
        <f>HYPERLINK("http://www.otzar.org/book.asp?170701","הליכות שדה - 167 כר'")</f>
        <v>הליכות שדה - 167 כר'</v>
      </c>
    </row>
    <row r="11398" spans="1:6" x14ac:dyDescent="0.2">
      <c r="A11398" t="s">
        <v>19532</v>
      </c>
      <c r="B11398" t="s">
        <v>19533</v>
      </c>
      <c r="C11398" t="s">
        <v>129</v>
      </c>
      <c r="D11398" t="s">
        <v>14</v>
      </c>
      <c r="E11398" t="s">
        <v>130</v>
      </c>
      <c r="F11398" s="2" t="str">
        <f>HYPERLINK("http://www.otzar.org/book.asp?60415","הליכות שלמה - 3 כר'")</f>
        <v>הליכות שלמה - 3 כר'</v>
      </c>
    </row>
    <row r="11399" spans="1:6" x14ac:dyDescent="0.2">
      <c r="A11399" t="s">
        <v>19534</v>
      </c>
      <c r="B11399" t="s">
        <v>19535</v>
      </c>
      <c r="C11399" t="s">
        <v>189</v>
      </c>
      <c r="D11399" t="s">
        <v>14</v>
      </c>
      <c r="E11399" t="s">
        <v>15</v>
      </c>
      <c r="F11399" s="2" t="str">
        <f>HYPERLINK("http://www.otzar.org/book.asp?61098","הליכות שמואל - 2 כר'")</f>
        <v>הליכות שמואל - 2 כר'</v>
      </c>
    </row>
    <row r="11400" spans="1:6" x14ac:dyDescent="0.2">
      <c r="A11400" t="s">
        <v>19536</v>
      </c>
      <c r="B11400" t="s">
        <v>19537</v>
      </c>
      <c r="C11400" t="s">
        <v>23</v>
      </c>
      <c r="D11400" t="s">
        <v>52</v>
      </c>
      <c r="E11400" t="s">
        <v>3489</v>
      </c>
      <c r="F11400" s="2" t="str">
        <f>HYPERLINK("http://www.otzar.org/book.asp?198017","הליכות שני")</f>
        <v>הליכות שני</v>
      </c>
    </row>
    <row r="11401" spans="1:6" x14ac:dyDescent="0.2">
      <c r="A11401" t="s">
        <v>19538</v>
      </c>
      <c r="B11401" t="s">
        <v>19539</v>
      </c>
      <c r="C11401" t="s">
        <v>71</v>
      </c>
      <c r="D11401" t="s">
        <v>80</v>
      </c>
      <c r="E11401" t="s">
        <v>144</v>
      </c>
      <c r="F11401" s="2" t="str">
        <f>HYPERLINK("http://www.otzar.org/book.asp?196621","הליכות תלמוד - 2 כר'")</f>
        <v>הליכות תלמוד - 2 כר'</v>
      </c>
    </row>
    <row r="11402" spans="1:6" x14ac:dyDescent="0.2">
      <c r="A11402" t="s">
        <v>19540</v>
      </c>
      <c r="B11402" t="s">
        <v>19541</v>
      </c>
      <c r="C11402" t="s">
        <v>1169</v>
      </c>
      <c r="D11402" t="s">
        <v>260</v>
      </c>
      <c r="E11402" t="s">
        <v>202</v>
      </c>
      <c r="F11402" s="2" t="str">
        <f>HYPERLINK("http://www.otzar.org/book.asp?160309","הליכות - 48 כר'")</f>
        <v>הליכות - 48 כר'</v>
      </c>
    </row>
    <row r="11403" spans="1:6" x14ac:dyDescent="0.2">
      <c r="A11403" t="s">
        <v>19542</v>
      </c>
      <c r="B11403" t="s">
        <v>18298</v>
      </c>
      <c r="C11403" t="s">
        <v>71</v>
      </c>
      <c r="D11403" t="s">
        <v>14</v>
      </c>
      <c r="E11403" t="s">
        <v>246</v>
      </c>
      <c r="F11403" s="2" t="str">
        <f>HYPERLINK("http://www.otzar.org/book.asp?162087","הלילה הזה - ענייני ההגדה בדברי הגאונים והרמב""ם")</f>
        <v>הלילה הזה - ענייני ההגדה בדברי הגאונים והרמב"ם</v>
      </c>
    </row>
    <row r="11404" spans="1:6" x14ac:dyDescent="0.2">
      <c r="A11404" t="s">
        <v>19543</v>
      </c>
      <c r="B11404" t="s">
        <v>7485</v>
      </c>
      <c r="C11404" t="s">
        <v>103</v>
      </c>
      <c r="D11404" t="s">
        <v>14</v>
      </c>
      <c r="E11404" t="s">
        <v>130</v>
      </c>
      <c r="F11404" s="2" t="str">
        <f>HYPERLINK("http://www.otzar.org/book.asp?64001","הלילה הזה")</f>
        <v>הלילה הזה</v>
      </c>
    </row>
    <row r="11405" spans="1:6" x14ac:dyDescent="0.2">
      <c r="A11405" t="s">
        <v>19544</v>
      </c>
      <c r="B11405" t="s">
        <v>19545</v>
      </c>
      <c r="C11405" t="s">
        <v>10572</v>
      </c>
      <c r="D11405" t="s">
        <v>60</v>
      </c>
      <c r="E11405" t="s">
        <v>144</v>
      </c>
      <c r="F11405" s="2" t="str">
        <f>HYPERLINK("http://www.otzar.org/book.asp?22428","הלכה אדם מישראל")</f>
        <v>הלכה אדם מישראל</v>
      </c>
    </row>
    <row r="11406" spans="1:6" x14ac:dyDescent="0.2">
      <c r="A11406" t="s">
        <v>19546</v>
      </c>
      <c r="B11406" t="s">
        <v>3880</v>
      </c>
      <c r="C11406" t="s">
        <v>2306</v>
      </c>
      <c r="D11406" t="s">
        <v>164</v>
      </c>
      <c r="E11406" t="s">
        <v>172</v>
      </c>
      <c r="F11406" s="2" t="str">
        <f>HYPERLINK("http://www.otzar.org/book.asp?19176","הלכה אחרונה וקונטרס הראיות")</f>
        <v>הלכה אחרונה וקונטרס הראיות</v>
      </c>
    </row>
    <row r="11407" spans="1:6" x14ac:dyDescent="0.2">
      <c r="A11407" t="s">
        <v>19547</v>
      </c>
      <c r="B11407" t="s">
        <v>19548</v>
      </c>
      <c r="C11407" t="s">
        <v>1448</v>
      </c>
      <c r="D11407" t="s">
        <v>14</v>
      </c>
      <c r="E11407" t="s">
        <v>674</v>
      </c>
      <c r="F11407" s="2" t="str">
        <f>HYPERLINK("http://www.otzar.org/book.asp?103827","הלכה אחרונה")</f>
        <v>הלכה אחרונה</v>
      </c>
    </row>
    <row r="11408" spans="1:6" x14ac:dyDescent="0.2">
      <c r="A11408" t="s">
        <v>19549</v>
      </c>
      <c r="B11408" t="s">
        <v>17947</v>
      </c>
      <c r="C11408" t="s">
        <v>68</v>
      </c>
      <c r="D11408" t="s">
        <v>2909</v>
      </c>
      <c r="F11408" s="2" t="str">
        <f>HYPERLINK("http://www.otzar.org/book.asp?611134","הלכה בהירה לתלמידים")</f>
        <v>הלכה בהירה לתלמידים</v>
      </c>
    </row>
    <row r="11409" spans="1:6" x14ac:dyDescent="0.2">
      <c r="A11409" t="s">
        <v>19550</v>
      </c>
      <c r="B11409" t="s">
        <v>19551</v>
      </c>
      <c r="C11409" t="s">
        <v>20</v>
      </c>
      <c r="D11409" t="s">
        <v>90</v>
      </c>
      <c r="F11409" s="2" t="str">
        <f>HYPERLINK("http://www.otzar.org/book.asp?617712","הלכה בפרשה - 6 כר'")</f>
        <v>הלכה בפרשה - 6 כר'</v>
      </c>
    </row>
    <row r="11410" spans="1:6" x14ac:dyDescent="0.2">
      <c r="A11410" t="s">
        <v>19552</v>
      </c>
      <c r="B11410" t="s">
        <v>19553</v>
      </c>
      <c r="C11410" t="s">
        <v>11715</v>
      </c>
      <c r="D11410" t="s">
        <v>8167</v>
      </c>
      <c r="E11410" t="s">
        <v>172</v>
      </c>
      <c r="F11410" s="2" t="str">
        <f>HYPERLINK("http://www.otzar.org/book.asp?51348","הלכה ברורה")</f>
        <v>הלכה ברורה</v>
      </c>
    </row>
    <row r="11411" spans="1:6" x14ac:dyDescent="0.2">
      <c r="A11411" t="s">
        <v>19554</v>
      </c>
      <c r="B11411" t="s">
        <v>19555</v>
      </c>
      <c r="C11411" t="s">
        <v>20</v>
      </c>
      <c r="D11411" t="s">
        <v>14</v>
      </c>
      <c r="E11411" t="s">
        <v>148</v>
      </c>
      <c r="F11411" s="2" t="str">
        <f>HYPERLINK("http://www.otzar.org/book.asp?23685","הלכה ברורה - 3 כר'")</f>
        <v>הלכה ברורה - 3 כר'</v>
      </c>
    </row>
    <row r="11412" spans="1:6" x14ac:dyDescent="0.2">
      <c r="A11412" t="s">
        <v>19556</v>
      </c>
      <c r="B11412" t="s">
        <v>3488</v>
      </c>
      <c r="C11412" t="s">
        <v>466</v>
      </c>
      <c r="D11412" t="s">
        <v>14</v>
      </c>
      <c r="E11412" t="s">
        <v>148</v>
      </c>
      <c r="F11412" s="2" t="str">
        <f>HYPERLINK("http://www.otzar.org/book.asp?143811","הלכה ברורה - 20 כר'")</f>
        <v>הלכה ברורה - 20 כר'</v>
      </c>
    </row>
    <row r="11413" spans="1:6" x14ac:dyDescent="0.2">
      <c r="A11413" t="s">
        <v>19557</v>
      </c>
      <c r="B11413" t="s">
        <v>3121</v>
      </c>
      <c r="C11413" t="s">
        <v>422</v>
      </c>
      <c r="D11413" t="s">
        <v>486</v>
      </c>
      <c r="E11413" t="s">
        <v>172</v>
      </c>
      <c r="F11413" s="2" t="str">
        <f>HYPERLINK("http://www.otzar.org/book.asp?198725","הלכה ברורה - 2 כר'")</f>
        <v>הלכה ברורה - 2 כר'</v>
      </c>
    </row>
    <row r="11414" spans="1:6" x14ac:dyDescent="0.2">
      <c r="A11414" t="s">
        <v>19558</v>
      </c>
      <c r="B11414" t="s">
        <v>19559</v>
      </c>
      <c r="C11414" t="s">
        <v>20</v>
      </c>
      <c r="D11414" t="s">
        <v>52</v>
      </c>
      <c r="E11414" t="s">
        <v>172</v>
      </c>
      <c r="F11414" s="2" t="str">
        <f>HYPERLINK("http://www.otzar.org/book.asp?52682","הלכה ברורה - 4 כר'")</f>
        <v>הלכה ברורה - 4 כר'</v>
      </c>
    </row>
    <row r="11415" spans="1:6" x14ac:dyDescent="0.2">
      <c r="A11415" t="s">
        <v>19552</v>
      </c>
      <c r="B11415" t="s">
        <v>19560</v>
      </c>
      <c r="C11415" t="s">
        <v>728</v>
      </c>
      <c r="D11415" t="s">
        <v>1023</v>
      </c>
      <c r="E11415" t="s">
        <v>15</v>
      </c>
      <c r="F11415" s="2" t="str">
        <f>HYPERLINK("http://www.otzar.org/book.asp?166824","הלכה ברורה")</f>
        <v>הלכה ברורה</v>
      </c>
    </row>
    <row r="11416" spans="1:6" x14ac:dyDescent="0.2">
      <c r="A11416" t="s">
        <v>19557</v>
      </c>
      <c r="B11416" t="s">
        <v>7653</v>
      </c>
      <c r="C11416" t="s">
        <v>366</v>
      </c>
      <c r="D11416" t="s">
        <v>1156</v>
      </c>
      <c r="F11416" s="2" t="str">
        <f>HYPERLINK("http://www.otzar.org/book.asp?611104","הלכה ברורה - 2 כר'")</f>
        <v>הלכה ברורה - 2 כר'</v>
      </c>
    </row>
    <row r="11417" spans="1:6" x14ac:dyDescent="0.2">
      <c r="A11417" t="s">
        <v>19552</v>
      </c>
      <c r="B11417" t="s">
        <v>19561</v>
      </c>
      <c r="C11417" t="s">
        <v>1940</v>
      </c>
      <c r="D11417" t="s">
        <v>1516</v>
      </c>
      <c r="E11417" t="s">
        <v>144</v>
      </c>
      <c r="F11417" s="2" t="str">
        <f>HYPERLINK("http://www.otzar.org/book.asp?5671","הלכה ברורה")</f>
        <v>הלכה ברורה</v>
      </c>
    </row>
    <row r="11418" spans="1:6" x14ac:dyDescent="0.2">
      <c r="A11418" t="s">
        <v>19562</v>
      </c>
      <c r="B11418" t="s">
        <v>19563</v>
      </c>
      <c r="C11418" t="s">
        <v>422</v>
      </c>
      <c r="D11418" t="s">
        <v>14</v>
      </c>
      <c r="E11418" t="s">
        <v>15</v>
      </c>
      <c r="F11418" s="2" t="str">
        <f>HYPERLINK("http://www.otzar.org/book.asp?604501","הלכה ברינה")</f>
        <v>הלכה ברינה</v>
      </c>
    </row>
    <row r="11419" spans="1:6" x14ac:dyDescent="0.2">
      <c r="A11419" t="s">
        <v>19562</v>
      </c>
      <c r="B11419" t="s">
        <v>17761</v>
      </c>
      <c r="C11419" t="s">
        <v>422</v>
      </c>
      <c r="D11419" t="s">
        <v>14</v>
      </c>
      <c r="E11419" t="s">
        <v>15</v>
      </c>
      <c r="F11419" s="2" t="str">
        <f>HYPERLINK("http://www.otzar.org/book.asp?173132","הלכה ברינה")</f>
        <v>הלכה ברינה</v>
      </c>
    </row>
    <row r="11420" spans="1:6" x14ac:dyDescent="0.2">
      <c r="A11420" t="s">
        <v>19564</v>
      </c>
      <c r="B11420" t="s">
        <v>19565</v>
      </c>
      <c r="C11420" t="s">
        <v>1640</v>
      </c>
      <c r="D11420" t="s">
        <v>216</v>
      </c>
      <c r="E11420" t="s">
        <v>5144</v>
      </c>
      <c r="F11420" s="2" t="str">
        <f>HYPERLINK("http://www.otzar.org/book.asp?148838","הלכה ואגדה בפיוטי יניי")</f>
        <v>הלכה ואגדה בפיוטי יניי</v>
      </c>
    </row>
    <row r="11421" spans="1:6" x14ac:dyDescent="0.2">
      <c r="A11421" t="s">
        <v>19566</v>
      </c>
      <c r="B11421" t="s">
        <v>14545</v>
      </c>
      <c r="C11421" t="s">
        <v>63</v>
      </c>
      <c r="D11421" t="s">
        <v>216</v>
      </c>
      <c r="E11421" t="s">
        <v>104</v>
      </c>
      <c r="F11421" s="2" t="str">
        <f>HYPERLINK("http://www.otzar.org/book.asp?181289","הלכה ואגדה")</f>
        <v>הלכה ואגדה</v>
      </c>
    </row>
    <row r="11422" spans="1:6" x14ac:dyDescent="0.2">
      <c r="A11422" t="s">
        <v>19567</v>
      </c>
      <c r="B11422" t="s">
        <v>1750</v>
      </c>
      <c r="C11422" t="s">
        <v>940</v>
      </c>
      <c r="D11422" t="s">
        <v>14</v>
      </c>
      <c r="E11422" t="s">
        <v>2091</v>
      </c>
      <c r="F11422" s="2" t="str">
        <f>HYPERLINK("http://www.otzar.org/book.asp?106046","הלכה וכספים")</f>
        <v>הלכה וכספים</v>
      </c>
    </row>
    <row r="11423" spans="1:6" x14ac:dyDescent="0.2">
      <c r="A11423" t="s">
        <v>19568</v>
      </c>
      <c r="B11423" t="s">
        <v>19569</v>
      </c>
      <c r="C11423" t="s">
        <v>103</v>
      </c>
      <c r="D11423" t="s">
        <v>14</v>
      </c>
      <c r="E11423" t="s">
        <v>15</v>
      </c>
      <c r="F11423" s="2" t="str">
        <f>HYPERLINK("http://www.otzar.org/book.asp?84286","הלכה ולמעשה - 4 כר'")</f>
        <v>הלכה ולמעשה - 4 כר'</v>
      </c>
    </row>
    <row r="11424" spans="1:6" x14ac:dyDescent="0.2">
      <c r="A11424" t="s">
        <v>19570</v>
      </c>
      <c r="B11424" t="s">
        <v>12224</v>
      </c>
      <c r="C11424" t="s">
        <v>17</v>
      </c>
      <c r="D11424" t="s">
        <v>52</v>
      </c>
      <c r="E11424" t="s">
        <v>15</v>
      </c>
      <c r="F11424" s="2" t="str">
        <f>HYPERLINK("http://www.otzar.org/book.asp?85488","הלכה ומנהג - (אב)")</f>
        <v>הלכה ומנהג - (אב)</v>
      </c>
    </row>
    <row r="11425" spans="1:6" x14ac:dyDescent="0.2">
      <c r="A11425" t="s">
        <v>19571</v>
      </c>
      <c r="B11425" t="s">
        <v>17599</v>
      </c>
      <c r="C11425" t="s">
        <v>87</v>
      </c>
      <c r="D11425" t="s">
        <v>52</v>
      </c>
      <c r="F11425" s="2" t="str">
        <f>HYPERLINK("http://www.otzar.org/book.asp?613994","הלכה ומעשה")</f>
        <v>הלכה ומעשה</v>
      </c>
    </row>
    <row r="11426" spans="1:6" x14ac:dyDescent="0.2">
      <c r="A11426" t="s">
        <v>19572</v>
      </c>
      <c r="B11426" t="s">
        <v>8053</v>
      </c>
      <c r="C11426" t="s">
        <v>1570</v>
      </c>
      <c r="D11426" t="s">
        <v>21</v>
      </c>
      <c r="E11426" t="s">
        <v>2091</v>
      </c>
      <c r="F11426" s="2" t="str">
        <f>HYPERLINK("http://www.otzar.org/book.asp?624562","הלכה ומעשה - 2 כר'")</f>
        <v>הלכה ומעשה - 2 כר'</v>
      </c>
    </row>
    <row r="11427" spans="1:6" x14ac:dyDescent="0.2">
      <c r="A11427" t="s">
        <v>19573</v>
      </c>
      <c r="B11427" t="s">
        <v>4084</v>
      </c>
      <c r="C11427" t="s">
        <v>20</v>
      </c>
      <c r="D11427" t="s">
        <v>1974</v>
      </c>
      <c r="E11427" t="s">
        <v>15</v>
      </c>
      <c r="F11427" s="2" t="str">
        <f>HYPERLINK("http://www.otzar.org/book.asp?620781","הלכה ומציאות בזמן הזה")</f>
        <v>הלכה ומציאות בזמן הזה</v>
      </c>
    </row>
    <row r="11428" spans="1:6" x14ac:dyDescent="0.2">
      <c r="A11428" t="s">
        <v>19574</v>
      </c>
      <c r="B11428" t="s">
        <v>19575</v>
      </c>
      <c r="C11428" t="s">
        <v>244</v>
      </c>
      <c r="D11428" t="s">
        <v>21</v>
      </c>
      <c r="E11428" t="s">
        <v>15</v>
      </c>
      <c r="F11428" s="2" t="str">
        <f>HYPERLINK("http://www.otzar.org/book.asp?603387","הלכה ומשפט")</f>
        <v>הלכה ומשפט</v>
      </c>
    </row>
    <row r="11429" spans="1:6" x14ac:dyDescent="0.2">
      <c r="A11429" t="s">
        <v>19576</v>
      </c>
      <c r="B11429" t="s">
        <v>13638</v>
      </c>
      <c r="C11429" t="s">
        <v>146</v>
      </c>
      <c r="D11429" t="s">
        <v>412</v>
      </c>
      <c r="E11429" t="s">
        <v>674</v>
      </c>
      <c r="F11429" s="2" t="str">
        <f>HYPERLINK("http://www.otzar.org/book.asp?161766","הלכה ורפואה בפוריות")</f>
        <v>הלכה ורפואה בפוריות</v>
      </c>
    </row>
    <row r="11430" spans="1:6" x14ac:dyDescent="0.2">
      <c r="A11430" t="s">
        <v>19577</v>
      </c>
      <c r="B11430" t="s">
        <v>13752</v>
      </c>
      <c r="C11430" t="s">
        <v>19578</v>
      </c>
      <c r="D11430" t="s">
        <v>14</v>
      </c>
      <c r="E11430" t="s">
        <v>384</v>
      </c>
      <c r="F11430" s="2" t="str">
        <f>HYPERLINK("http://www.otzar.org/book.asp?106047","הלכה ורפואה - 5 כר'")</f>
        <v>הלכה ורפואה - 5 כר'</v>
      </c>
    </row>
    <row r="11431" spans="1:6" x14ac:dyDescent="0.2">
      <c r="A11431" t="s">
        <v>19579</v>
      </c>
      <c r="B11431" t="s">
        <v>19580</v>
      </c>
      <c r="C11431" t="s">
        <v>20</v>
      </c>
      <c r="D11431" t="s">
        <v>90</v>
      </c>
      <c r="E11431" t="s">
        <v>15</v>
      </c>
      <c r="F11431" s="2" t="str">
        <f>HYPERLINK("http://www.otzar.org/book.asp?605423","הלכה יומית - ב")</f>
        <v>הלכה יומית - ב</v>
      </c>
    </row>
    <row r="11432" spans="1:6" x14ac:dyDescent="0.2">
      <c r="A11432" t="s">
        <v>19581</v>
      </c>
      <c r="B11432" t="s">
        <v>19582</v>
      </c>
      <c r="C11432" t="s">
        <v>189</v>
      </c>
      <c r="D11432" t="s">
        <v>412</v>
      </c>
      <c r="F11432" s="2" t="str">
        <f>HYPERLINK("http://www.otzar.org/book.asp?181861","הלכה יומית")</f>
        <v>הלכה יומית</v>
      </c>
    </row>
    <row r="11433" spans="1:6" x14ac:dyDescent="0.2">
      <c r="A11433" t="s">
        <v>19583</v>
      </c>
      <c r="B11433" t="s">
        <v>7903</v>
      </c>
      <c r="C11433" t="s">
        <v>334</v>
      </c>
      <c r="D11433" t="s">
        <v>216</v>
      </c>
      <c r="E11433" t="s">
        <v>15</v>
      </c>
      <c r="F11433" s="2" t="str">
        <f>HYPERLINK("http://www.otzar.org/book.asp?181291","הלכה כפשוטה")</f>
        <v>הלכה כפשוטה</v>
      </c>
    </row>
    <row r="11434" spans="1:6" x14ac:dyDescent="0.2">
      <c r="A11434" t="s">
        <v>19584</v>
      </c>
      <c r="B11434" t="s">
        <v>11259</v>
      </c>
      <c r="C11434" t="s">
        <v>1737</v>
      </c>
      <c r="D11434" t="s">
        <v>1023</v>
      </c>
      <c r="E11434" t="s">
        <v>10</v>
      </c>
      <c r="F11434" s="2" t="str">
        <f>HYPERLINK("http://www.otzar.org/book.asp?24308","הלכה למעשה רב")</f>
        <v>הלכה למעשה רב</v>
      </c>
    </row>
    <row r="11435" spans="1:6" x14ac:dyDescent="0.2">
      <c r="A11435" t="s">
        <v>19585</v>
      </c>
      <c r="B11435" t="s">
        <v>19586</v>
      </c>
      <c r="C11435" t="s">
        <v>1374</v>
      </c>
      <c r="D11435" t="s">
        <v>19587</v>
      </c>
      <c r="E11435" t="s">
        <v>13023</v>
      </c>
      <c r="F11435" s="2" t="str">
        <f>HYPERLINK("http://www.otzar.org/book.asp?17665","הלכה למעשה - א")</f>
        <v>הלכה למעשה - א</v>
      </c>
    </row>
    <row r="11436" spans="1:6" x14ac:dyDescent="0.2">
      <c r="A11436" t="s">
        <v>19586</v>
      </c>
      <c r="B11436" t="s">
        <v>19588</v>
      </c>
      <c r="C11436" t="s">
        <v>2302</v>
      </c>
      <c r="D11436" t="s">
        <v>212</v>
      </c>
      <c r="E11436" t="s">
        <v>15</v>
      </c>
      <c r="F11436" s="2" t="str">
        <f>HYPERLINK("http://www.otzar.org/book.asp?84627","הלכה למעשה")</f>
        <v>הלכה למעשה</v>
      </c>
    </row>
    <row r="11437" spans="1:6" x14ac:dyDescent="0.2">
      <c r="A11437" t="s">
        <v>19589</v>
      </c>
      <c r="B11437" t="s">
        <v>7457</v>
      </c>
      <c r="C11437" t="s">
        <v>422</v>
      </c>
      <c r="D11437" t="s">
        <v>27</v>
      </c>
      <c r="E11437" t="s">
        <v>154</v>
      </c>
      <c r="F11437" s="2" t="str">
        <f>HYPERLINK("http://www.otzar.org/book.asp?179428","הלכה למשה &lt;מהדורה חדשה&gt;")</f>
        <v>הלכה למשה &lt;מהדורה חדשה&gt;</v>
      </c>
    </row>
    <row r="11438" spans="1:6" x14ac:dyDescent="0.2">
      <c r="A11438" t="s">
        <v>19590</v>
      </c>
      <c r="B11438" t="s">
        <v>19591</v>
      </c>
      <c r="C11438" t="s">
        <v>19592</v>
      </c>
      <c r="D11438" t="s">
        <v>535</v>
      </c>
      <c r="E11438" t="s">
        <v>588</v>
      </c>
      <c r="F11438" s="2" t="str">
        <f>HYPERLINK("http://www.otzar.org/book.asp?9766","הלכה למשה &lt;שו""ת&gt; - 2 כר'")</f>
        <v>הלכה למשה &lt;שו"ת&gt; - 2 כר'</v>
      </c>
    </row>
    <row r="11439" spans="1:6" x14ac:dyDescent="0.2">
      <c r="A11439" t="s">
        <v>19593</v>
      </c>
      <c r="B11439" t="s">
        <v>2301</v>
      </c>
      <c r="C11439" t="s">
        <v>1135</v>
      </c>
      <c r="D11439" t="s">
        <v>60</v>
      </c>
      <c r="E11439" t="s">
        <v>1626</v>
      </c>
      <c r="F11439" s="2" t="str">
        <f>HYPERLINK("http://www.otzar.org/book.asp?181165","הלכה למשה ושירה חדשה")</f>
        <v>הלכה למשה ושירה חדשה</v>
      </c>
    </row>
    <row r="11440" spans="1:6" x14ac:dyDescent="0.2">
      <c r="A11440" t="s">
        <v>19594</v>
      </c>
      <c r="B11440" t="s">
        <v>7457</v>
      </c>
      <c r="C11440" t="s">
        <v>362</v>
      </c>
      <c r="D11440" t="s">
        <v>27</v>
      </c>
      <c r="E11440" t="s">
        <v>154</v>
      </c>
      <c r="F11440" s="2" t="str">
        <f>HYPERLINK("http://www.otzar.org/book.asp?17667","הלכה למשה")</f>
        <v>הלכה למשה</v>
      </c>
    </row>
    <row r="11441" spans="1:6" x14ac:dyDescent="0.2">
      <c r="A11441" t="s">
        <v>19595</v>
      </c>
      <c r="B11441" t="s">
        <v>14169</v>
      </c>
      <c r="C11441" t="s">
        <v>19596</v>
      </c>
      <c r="D11441" t="s">
        <v>76</v>
      </c>
      <c r="F11441" s="2" t="str">
        <f>HYPERLINK("http://www.otzar.org/book.asp?150148","הלכה למשה - 4 כר'")</f>
        <v>הלכה למשה - 4 כר'</v>
      </c>
    </row>
    <row r="11442" spans="1:6" x14ac:dyDescent="0.2">
      <c r="A11442" t="s">
        <v>19594</v>
      </c>
      <c r="B11442" t="s">
        <v>19597</v>
      </c>
      <c r="C11442" t="s">
        <v>558</v>
      </c>
      <c r="D11442" t="s">
        <v>19598</v>
      </c>
      <c r="E11442" t="s">
        <v>15</v>
      </c>
      <c r="F11442" s="2" t="str">
        <f>HYPERLINK("http://www.otzar.org/book.asp?24489","הלכה למשה")</f>
        <v>הלכה למשה</v>
      </c>
    </row>
    <row r="11443" spans="1:6" x14ac:dyDescent="0.2">
      <c r="A11443" t="s">
        <v>19594</v>
      </c>
      <c r="B11443" t="s">
        <v>19599</v>
      </c>
      <c r="C11443" t="s">
        <v>854</v>
      </c>
      <c r="D11443" t="s">
        <v>412</v>
      </c>
      <c r="E11443" t="s">
        <v>15</v>
      </c>
      <c r="F11443" s="2" t="str">
        <f>HYPERLINK("http://www.otzar.org/book.asp?19393","הלכה למשה")</f>
        <v>הלכה למשה</v>
      </c>
    </row>
    <row r="11444" spans="1:6" x14ac:dyDescent="0.2">
      <c r="A11444" t="s">
        <v>19594</v>
      </c>
      <c r="B11444" t="s">
        <v>11051</v>
      </c>
      <c r="C11444" t="s">
        <v>3840</v>
      </c>
      <c r="D11444" t="s">
        <v>1889</v>
      </c>
      <c r="E11444" t="s">
        <v>104</v>
      </c>
      <c r="F11444" s="2" t="str">
        <f>HYPERLINK("http://www.otzar.org/book.asp?300601","הלכה למשה")</f>
        <v>הלכה למשה</v>
      </c>
    </row>
    <row r="11445" spans="1:6" x14ac:dyDescent="0.2">
      <c r="A11445" t="s">
        <v>19594</v>
      </c>
      <c r="B11445" t="s">
        <v>12238</v>
      </c>
      <c r="C11445" t="s">
        <v>1609</v>
      </c>
      <c r="D11445" t="s">
        <v>27</v>
      </c>
      <c r="E11445" t="s">
        <v>154</v>
      </c>
      <c r="F11445" s="2" t="str">
        <f>HYPERLINK("http://www.otzar.org/book.asp?179164","הלכה למשה")</f>
        <v>הלכה למשה</v>
      </c>
    </row>
    <row r="11446" spans="1:6" x14ac:dyDescent="0.2">
      <c r="A11446" t="s">
        <v>19600</v>
      </c>
      <c r="B11446" t="s">
        <v>19601</v>
      </c>
      <c r="C11446" t="s">
        <v>1268</v>
      </c>
      <c r="D11446" t="s">
        <v>52</v>
      </c>
      <c r="E11446" t="s">
        <v>508</v>
      </c>
      <c r="F11446" s="2" t="str">
        <f>HYPERLINK("http://www.otzar.org/book.asp?197129","הלכה למשה - ניר לדוד")</f>
        <v>הלכה למשה - ניר לדוד</v>
      </c>
    </row>
    <row r="11447" spans="1:6" x14ac:dyDescent="0.2">
      <c r="A11447" t="s">
        <v>19602</v>
      </c>
      <c r="B11447" t="s">
        <v>19591</v>
      </c>
      <c r="C11447" t="s">
        <v>19592</v>
      </c>
      <c r="D11447" t="s">
        <v>535</v>
      </c>
      <c r="E11447" t="s">
        <v>2533</v>
      </c>
      <c r="F11447" s="2" t="str">
        <f>HYPERLINK("http://www.otzar.org/book.asp?9767","הלכה למשה - א")</f>
        <v>הלכה למשה - א</v>
      </c>
    </row>
    <row r="11448" spans="1:6" x14ac:dyDescent="0.2">
      <c r="A11448" t="s">
        <v>19594</v>
      </c>
      <c r="B11448" t="s">
        <v>14316</v>
      </c>
      <c r="C11448" t="s">
        <v>603</v>
      </c>
      <c r="D11448" t="s">
        <v>855</v>
      </c>
      <c r="E11448" t="s">
        <v>933</v>
      </c>
      <c r="F11448" s="2" t="str">
        <f>HYPERLINK("http://www.otzar.org/book.asp?100815","הלכה למשה")</f>
        <v>הלכה למשה</v>
      </c>
    </row>
    <row r="11449" spans="1:6" x14ac:dyDescent="0.2">
      <c r="A11449" t="s">
        <v>19594</v>
      </c>
      <c r="B11449" t="s">
        <v>19603</v>
      </c>
      <c r="C11449" t="s">
        <v>1096</v>
      </c>
      <c r="D11449" t="s">
        <v>283</v>
      </c>
      <c r="E11449" t="s">
        <v>154</v>
      </c>
      <c r="F11449" s="2" t="str">
        <f>HYPERLINK("http://www.otzar.org/book.asp?100932","הלכה למשה")</f>
        <v>הלכה למשה</v>
      </c>
    </row>
    <row r="11450" spans="1:6" x14ac:dyDescent="0.2">
      <c r="A11450" t="s">
        <v>19594</v>
      </c>
      <c r="B11450" t="s">
        <v>1916</v>
      </c>
      <c r="C11450" t="s">
        <v>422</v>
      </c>
      <c r="D11450" t="s">
        <v>14</v>
      </c>
      <c r="E11450" t="s">
        <v>130</v>
      </c>
      <c r="F11450" s="2" t="str">
        <f>HYPERLINK("http://www.otzar.org/book.asp?167955","הלכה למשה")</f>
        <v>הלכה למשה</v>
      </c>
    </row>
    <row r="11451" spans="1:6" x14ac:dyDescent="0.2">
      <c r="A11451" t="s">
        <v>19595</v>
      </c>
      <c r="B11451" t="s">
        <v>19604</v>
      </c>
      <c r="C11451" t="s">
        <v>23</v>
      </c>
      <c r="D11451" t="s">
        <v>14</v>
      </c>
      <c r="F11451" s="2" t="str">
        <f>HYPERLINK("http://www.otzar.org/book.asp?194740","הלכה למשה - 4 כר'")</f>
        <v>הלכה למשה - 4 כר'</v>
      </c>
    </row>
    <row r="11452" spans="1:6" x14ac:dyDescent="0.2">
      <c r="A11452" t="s">
        <v>19605</v>
      </c>
      <c r="B11452" t="s">
        <v>19606</v>
      </c>
      <c r="C11452" t="s">
        <v>189</v>
      </c>
      <c r="D11452" t="s">
        <v>14</v>
      </c>
      <c r="F11452" s="2" t="str">
        <f>HYPERLINK("http://www.otzar.org/book.asp?194739","הלכה למשה - עבודה זרה")</f>
        <v>הלכה למשה - עבודה זרה</v>
      </c>
    </row>
    <row r="11453" spans="1:6" x14ac:dyDescent="0.2">
      <c r="A11453" t="s">
        <v>19594</v>
      </c>
      <c r="B11453" t="s">
        <v>19607</v>
      </c>
      <c r="C11453" t="s">
        <v>624</v>
      </c>
      <c r="D11453" t="s">
        <v>52</v>
      </c>
      <c r="E11453" t="s">
        <v>803</v>
      </c>
      <c r="F11453" s="2" t="str">
        <f>HYPERLINK("http://www.otzar.org/book.asp?52934","הלכה למשה")</f>
        <v>הלכה למשה</v>
      </c>
    </row>
    <row r="11454" spans="1:6" x14ac:dyDescent="0.2">
      <c r="A11454" t="s">
        <v>19608</v>
      </c>
      <c r="B11454" t="s">
        <v>19609</v>
      </c>
      <c r="C11454" t="s">
        <v>466</v>
      </c>
      <c r="D11454" t="s">
        <v>14</v>
      </c>
      <c r="F11454" s="2" t="str">
        <f>HYPERLINK("http://www.otzar.org/book.asp?183171","הלכה מאגדתא - ברכות")</f>
        <v>הלכה מאגדתא - ברכות</v>
      </c>
    </row>
    <row r="11455" spans="1:6" x14ac:dyDescent="0.2">
      <c r="A11455" t="s">
        <v>19610</v>
      </c>
      <c r="B11455" t="s">
        <v>19611</v>
      </c>
      <c r="C11455" t="s">
        <v>1437</v>
      </c>
      <c r="D11455" t="s">
        <v>283</v>
      </c>
      <c r="E11455" t="s">
        <v>15</v>
      </c>
      <c r="F11455" s="2" t="str">
        <f>HYPERLINK("http://www.otzar.org/book.asp?100814","הלכה מבוררת")</f>
        <v>הלכה מבוררת</v>
      </c>
    </row>
    <row r="11456" spans="1:6" x14ac:dyDescent="0.2">
      <c r="A11456" t="s">
        <v>19612</v>
      </c>
      <c r="B11456" t="s">
        <v>7318</v>
      </c>
      <c r="C11456" t="s">
        <v>111</v>
      </c>
      <c r="D11456" t="s">
        <v>721</v>
      </c>
      <c r="E11456" t="s">
        <v>674</v>
      </c>
      <c r="F11456" s="2" t="str">
        <f>HYPERLINK("http://www.otzar.org/book.asp?629094","הלכה מנהג ומסורת")</f>
        <v>הלכה מנהג ומסורת</v>
      </c>
    </row>
    <row r="11457" spans="1:6" x14ac:dyDescent="0.2">
      <c r="A11457" t="s">
        <v>19613</v>
      </c>
      <c r="B11457" t="s">
        <v>19614</v>
      </c>
      <c r="C11457" t="s">
        <v>17</v>
      </c>
      <c r="D11457" t="s">
        <v>14</v>
      </c>
      <c r="E11457" t="s">
        <v>148</v>
      </c>
      <c r="F11457" s="2" t="str">
        <f>HYPERLINK("http://www.otzar.org/book.asp?157933","הלכה מפורשת")</f>
        <v>הלכה מפורשת</v>
      </c>
    </row>
    <row r="11458" spans="1:6" x14ac:dyDescent="0.2">
      <c r="A11458" t="s">
        <v>19615</v>
      </c>
      <c r="B11458" t="s">
        <v>12210</v>
      </c>
      <c r="C11458" t="s">
        <v>411</v>
      </c>
      <c r="D11458" t="s">
        <v>14</v>
      </c>
      <c r="E11458" t="s">
        <v>148</v>
      </c>
      <c r="F11458" s="2" t="str">
        <f>HYPERLINK("http://www.otzar.org/book.asp?178908","הלכה סדורה - הלכות יום טוב")</f>
        <v>הלכה סדורה - הלכות יום טוב</v>
      </c>
    </row>
    <row r="11459" spans="1:6" x14ac:dyDescent="0.2">
      <c r="A11459" t="s">
        <v>19616</v>
      </c>
      <c r="B11459" t="s">
        <v>19617</v>
      </c>
      <c r="C11459" t="s">
        <v>133</v>
      </c>
      <c r="D11459" t="s">
        <v>52</v>
      </c>
      <c r="F11459" s="2" t="str">
        <f>HYPERLINK("http://www.otzar.org/book.asp?191558","הלכה סדורה - 2 כר'")</f>
        <v>הלכה סדורה - 2 כר'</v>
      </c>
    </row>
    <row r="11460" spans="1:6" x14ac:dyDescent="0.2">
      <c r="A11460" t="s">
        <v>19618</v>
      </c>
      <c r="B11460" t="s">
        <v>19619</v>
      </c>
      <c r="C11460" t="s">
        <v>466</v>
      </c>
      <c r="D11460" t="s">
        <v>14</v>
      </c>
      <c r="E11460" t="s">
        <v>10</v>
      </c>
      <c r="F11460" s="2" t="str">
        <f>HYPERLINK("http://www.otzar.org/book.asp?164225","הלכה סדורה - הלכות אבלות")</f>
        <v>הלכה סדורה - הלכות אבלות</v>
      </c>
    </row>
    <row r="11461" spans="1:6" x14ac:dyDescent="0.2">
      <c r="A11461" t="s">
        <v>19620</v>
      </c>
      <c r="B11461" t="s">
        <v>19621</v>
      </c>
      <c r="C11461" t="s">
        <v>244</v>
      </c>
      <c r="D11461" t="s">
        <v>147</v>
      </c>
      <c r="E11461" t="s">
        <v>172</v>
      </c>
      <c r="F11461" s="2" t="str">
        <f>HYPERLINK("http://www.otzar.org/book.asp?602898","הלכה סדורה - מילה וגירות")</f>
        <v>הלכה סדורה - מילה וגירות</v>
      </c>
    </row>
    <row r="11462" spans="1:6" x14ac:dyDescent="0.2">
      <c r="A11462" t="s">
        <v>19622</v>
      </c>
      <c r="B11462" t="s">
        <v>19623</v>
      </c>
      <c r="C11462" t="s">
        <v>775</v>
      </c>
      <c r="D11462" t="s">
        <v>14</v>
      </c>
      <c r="E11462" t="s">
        <v>148</v>
      </c>
      <c r="F11462" s="2" t="str">
        <f>HYPERLINK("http://www.otzar.org/book.asp?158959","הלכה סדורה - 4 כר'")</f>
        <v>הלכה סדורה - 4 כר'</v>
      </c>
    </row>
    <row r="11463" spans="1:6" x14ac:dyDescent="0.2">
      <c r="A11463" t="s">
        <v>19624</v>
      </c>
      <c r="B11463" t="s">
        <v>19625</v>
      </c>
      <c r="C11463" t="s">
        <v>20</v>
      </c>
      <c r="D11463" t="s">
        <v>90</v>
      </c>
      <c r="E11463" t="s">
        <v>1157</v>
      </c>
      <c r="F11463" s="2" t="str">
        <f>HYPERLINK("http://www.otzar.org/book.asp?64272","הלכה ערוכה &lt;פורים&gt;")</f>
        <v>הלכה ערוכה &lt;פורים&gt;</v>
      </c>
    </row>
    <row r="11464" spans="1:6" x14ac:dyDescent="0.2">
      <c r="A11464" t="s">
        <v>19626</v>
      </c>
      <c r="B11464" t="s">
        <v>206</v>
      </c>
      <c r="C11464" t="s">
        <v>23</v>
      </c>
      <c r="D11464" t="s">
        <v>21</v>
      </c>
      <c r="E11464" t="s">
        <v>15</v>
      </c>
      <c r="F11464" s="2" t="str">
        <f>HYPERLINK("http://www.otzar.org/book.asp?628146","הלכה ערוכה - אבלות")</f>
        <v>הלכה ערוכה - אבלות</v>
      </c>
    </row>
    <row r="11465" spans="1:6" x14ac:dyDescent="0.2">
      <c r="A11465" t="s">
        <v>19627</v>
      </c>
      <c r="B11465" t="s">
        <v>19628</v>
      </c>
      <c r="C11465" t="s">
        <v>411</v>
      </c>
      <c r="D11465" t="s">
        <v>52</v>
      </c>
      <c r="E11465" t="s">
        <v>15</v>
      </c>
      <c r="F11465" s="2" t="str">
        <f>HYPERLINK("http://www.otzar.org/book.asp?191187","הלכה ערוכה - 10 כר'")</f>
        <v>הלכה ערוכה - 10 כר'</v>
      </c>
    </row>
    <row r="11466" spans="1:6" x14ac:dyDescent="0.2">
      <c r="A11466" t="s">
        <v>19629</v>
      </c>
      <c r="B11466" t="s">
        <v>19630</v>
      </c>
      <c r="C11466" t="s">
        <v>4087</v>
      </c>
      <c r="D11466" t="s">
        <v>19631</v>
      </c>
      <c r="E11466" t="s">
        <v>148</v>
      </c>
      <c r="F11466" s="2" t="str">
        <f>HYPERLINK("http://www.otzar.org/book.asp?100788","הלכה פסוקה")</f>
        <v>הלכה פסוקה</v>
      </c>
    </row>
    <row r="11467" spans="1:6" x14ac:dyDescent="0.2">
      <c r="A11467" t="s">
        <v>19632</v>
      </c>
      <c r="B11467" t="s">
        <v>19633</v>
      </c>
      <c r="C11467" t="s">
        <v>19634</v>
      </c>
      <c r="D11467" t="s">
        <v>56</v>
      </c>
      <c r="E11467" t="s">
        <v>172</v>
      </c>
      <c r="F11467" s="2" t="str">
        <f>HYPERLINK("http://www.otzar.org/book.asp?28932","הלכה פסוקה - 2 כר'")</f>
        <v>הלכה פסוקה - 2 כר'</v>
      </c>
    </row>
    <row r="11468" spans="1:6" x14ac:dyDescent="0.2">
      <c r="A11468" t="s">
        <v>19635</v>
      </c>
      <c r="B11468" t="s">
        <v>19636</v>
      </c>
      <c r="C11468" t="s">
        <v>438</v>
      </c>
      <c r="D11468" t="s">
        <v>14</v>
      </c>
      <c r="E11468" t="s">
        <v>172</v>
      </c>
      <c r="F11468" s="2" t="str">
        <f>HYPERLINK("http://www.otzar.org/book.asp?14012","הלכה פסוקה - 9 כר'")</f>
        <v>הלכה פסוקה - 9 כר'</v>
      </c>
    </row>
    <row r="11469" spans="1:6" x14ac:dyDescent="0.2">
      <c r="A11469" t="s">
        <v>19637</v>
      </c>
      <c r="B11469" t="s">
        <v>19638</v>
      </c>
      <c r="C11469" t="s">
        <v>1640</v>
      </c>
      <c r="D11469" t="s">
        <v>14</v>
      </c>
      <c r="E11469" t="s">
        <v>19639</v>
      </c>
      <c r="F11469" s="2" t="str">
        <f>HYPERLINK("http://www.otzar.org/book.asp?5551","הלכה רבה - 3 כר'")</f>
        <v>הלכה רבה - 3 כר'</v>
      </c>
    </row>
    <row r="11470" spans="1:6" x14ac:dyDescent="0.2">
      <c r="A11470" t="s">
        <v>19640</v>
      </c>
      <c r="B11470" t="s">
        <v>19641</v>
      </c>
      <c r="C11470" t="s">
        <v>151</v>
      </c>
      <c r="D11470" t="s">
        <v>229</v>
      </c>
      <c r="F11470" s="2" t="str">
        <f>HYPERLINK("http://www.otzar.org/book.asp?617736","הלכה שלימה - 4 כר'")</f>
        <v>הלכה שלימה - 4 כר'</v>
      </c>
    </row>
    <row r="11471" spans="1:6" x14ac:dyDescent="0.2">
      <c r="A11471" t="s">
        <v>19642</v>
      </c>
      <c r="B11471" t="s">
        <v>19643</v>
      </c>
      <c r="C11471" t="s">
        <v>151</v>
      </c>
      <c r="D11471" t="s">
        <v>52</v>
      </c>
      <c r="F11471" s="2" t="str">
        <f>HYPERLINK("http://www.otzar.org/book.asp?616262","הלכות ""בין הזמנים""")</f>
        <v>הלכות "בין הזמנים"</v>
      </c>
    </row>
    <row r="11472" spans="1:6" x14ac:dyDescent="0.2">
      <c r="A11472" t="s">
        <v>19644</v>
      </c>
      <c r="B11472" t="s">
        <v>4464</v>
      </c>
      <c r="C11472" t="s">
        <v>422</v>
      </c>
      <c r="D11472" t="s">
        <v>14</v>
      </c>
      <c r="E11472" t="s">
        <v>15</v>
      </c>
      <c r="F11472" s="2" t="str">
        <f>HYPERLINK("http://www.otzar.org/book.asp?159304","הלכות אבלות")</f>
        <v>הלכות אבלות</v>
      </c>
    </row>
    <row r="11473" spans="1:6" x14ac:dyDescent="0.2">
      <c r="A11473" t="s">
        <v>19644</v>
      </c>
      <c r="B11473" t="s">
        <v>7387</v>
      </c>
      <c r="C11473" t="s">
        <v>20</v>
      </c>
      <c r="D11473" t="s">
        <v>90</v>
      </c>
      <c r="E11473" t="s">
        <v>15</v>
      </c>
      <c r="F11473" s="2" t="str">
        <f>HYPERLINK("http://www.otzar.org/book.asp?623939","הלכות אבלות")</f>
        <v>הלכות אבלות</v>
      </c>
    </row>
    <row r="11474" spans="1:6" x14ac:dyDescent="0.2">
      <c r="A11474" t="s">
        <v>19645</v>
      </c>
      <c r="B11474" t="s">
        <v>19646</v>
      </c>
      <c r="C11474" t="s">
        <v>114</v>
      </c>
      <c r="D11474" t="s">
        <v>21</v>
      </c>
      <c r="E11474" t="s">
        <v>15</v>
      </c>
      <c r="F11474" s="2" t="str">
        <f>HYPERLINK("http://www.otzar.org/book.asp?624937","הלכות איסור והיתר")</f>
        <v>הלכות איסור והיתר</v>
      </c>
    </row>
    <row r="11475" spans="1:6" x14ac:dyDescent="0.2">
      <c r="A11475" t="s">
        <v>19645</v>
      </c>
      <c r="B11475" t="s">
        <v>19647</v>
      </c>
      <c r="C11475" t="s">
        <v>114</v>
      </c>
      <c r="D11475" t="s">
        <v>14</v>
      </c>
      <c r="E11475" t="s">
        <v>15</v>
      </c>
      <c r="F11475" s="2" t="str">
        <f>HYPERLINK("http://www.otzar.org/book.asp?161043","הלכות איסור והיתר")</f>
        <v>הלכות איסור והיתר</v>
      </c>
    </row>
    <row r="11476" spans="1:6" x14ac:dyDescent="0.2">
      <c r="A11476" t="s">
        <v>19648</v>
      </c>
      <c r="B11476" t="s">
        <v>13438</v>
      </c>
      <c r="C11476" t="s">
        <v>466</v>
      </c>
      <c r="D11476" t="s">
        <v>52</v>
      </c>
      <c r="E11476" t="s">
        <v>15</v>
      </c>
      <c r="F11476" s="2" t="str">
        <f>HYPERLINK("http://www.otzar.org/book.asp?62995","הלכות אירוסין ונשואין השלם")</f>
        <v>הלכות אירוסין ונשואין השלם</v>
      </c>
    </row>
    <row r="11477" spans="1:6" x14ac:dyDescent="0.2">
      <c r="A11477" t="s">
        <v>19649</v>
      </c>
      <c r="B11477" t="s">
        <v>19650</v>
      </c>
      <c r="C11477" t="s">
        <v>908</v>
      </c>
      <c r="D11477" t="s">
        <v>27</v>
      </c>
      <c r="E11477" t="s">
        <v>154</v>
      </c>
      <c r="F11477" s="2" t="str">
        <f>HYPERLINK("http://www.otzar.org/book.asp?53686","הלכות אישות")</f>
        <v>הלכות אישות</v>
      </c>
    </row>
    <row r="11478" spans="1:6" x14ac:dyDescent="0.2">
      <c r="A11478" t="s">
        <v>19651</v>
      </c>
      <c r="B11478" t="s">
        <v>6040</v>
      </c>
      <c r="C11478" t="s">
        <v>5823</v>
      </c>
      <c r="D11478" t="s">
        <v>756</v>
      </c>
      <c r="E11478" t="s">
        <v>144</v>
      </c>
      <c r="F11478" s="2" t="str">
        <f>HYPERLINK("http://www.otzar.org/book.asp?5862","הלכות אלפסי זוטא")</f>
        <v>הלכות אלפסי זוטא</v>
      </c>
    </row>
    <row r="11479" spans="1:6" x14ac:dyDescent="0.2">
      <c r="A11479" t="s">
        <v>19652</v>
      </c>
      <c r="B11479" t="s">
        <v>18994</v>
      </c>
      <c r="C11479" t="s">
        <v>1570</v>
      </c>
      <c r="D11479" t="s">
        <v>14</v>
      </c>
      <c r="E11479" t="s">
        <v>2596</v>
      </c>
      <c r="F11479" s="2" t="str">
        <f>HYPERLINK("http://www.otzar.org/book.asp?8661","הלכות ארץ ישראל מן הגניזה")</f>
        <v>הלכות ארץ ישראל מן הגניזה</v>
      </c>
    </row>
    <row r="11480" spans="1:6" x14ac:dyDescent="0.2">
      <c r="A11480" t="s">
        <v>19653</v>
      </c>
      <c r="B11480" t="s">
        <v>19654</v>
      </c>
      <c r="C11480" t="s">
        <v>492</v>
      </c>
      <c r="D11480" t="s">
        <v>563</v>
      </c>
      <c r="E11480" t="s">
        <v>674</v>
      </c>
      <c r="F11480" s="2" t="str">
        <f>HYPERLINK("http://www.otzar.org/book.asp?100432","הלכות ארץ ישראל - 2 כר'")</f>
        <v>הלכות ארץ ישראל - 2 כר'</v>
      </c>
    </row>
    <row r="11481" spans="1:6" x14ac:dyDescent="0.2">
      <c r="A11481" t="s">
        <v>19655</v>
      </c>
      <c r="B11481" t="s">
        <v>1574</v>
      </c>
      <c r="C11481" t="s">
        <v>594</v>
      </c>
      <c r="D11481" t="s">
        <v>19656</v>
      </c>
      <c r="E11481" t="s">
        <v>15</v>
      </c>
      <c r="F11481" s="2" t="str">
        <f>HYPERLINK("http://www.otzar.org/book.asp?15472","הלכות בדיקת הסכין ובדיקת הריאה לרבנו יונה")</f>
        <v>הלכות בדיקת הסכין ובדיקת הריאה לרבנו יונה</v>
      </c>
    </row>
    <row r="11482" spans="1:6" x14ac:dyDescent="0.2">
      <c r="A11482" t="s">
        <v>19657</v>
      </c>
      <c r="B11482" t="s">
        <v>19658</v>
      </c>
      <c r="C11482" t="s">
        <v>114</v>
      </c>
      <c r="D11482" t="s">
        <v>1273</v>
      </c>
      <c r="E11482" t="s">
        <v>15</v>
      </c>
      <c r="F11482" s="2" t="str">
        <f>HYPERLINK("http://www.otzar.org/book.asp?192783","הלכות בדיקת חמץ")</f>
        <v>הלכות בדיקת חמץ</v>
      </c>
    </row>
    <row r="11483" spans="1:6" x14ac:dyDescent="0.2">
      <c r="A11483" t="s">
        <v>19659</v>
      </c>
      <c r="B11483" t="s">
        <v>11834</v>
      </c>
      <c r="C11483" t="s">
        <v>23</v>
      </c>
      <c r="D11483" t="s">
        <v>152</v>
      </c>
      <c r="E11483" t="s">
        <v>130</v>
      </c>
      <c r="F11483" s="2" t="str">
        <f>HYPERLINK("http://www.otzar.org/book.asp?197312","הלכות בין המצרים")</f>
        <v>הלכות בין המצרים</v>
      </c>
    </row>
    <row r="11484" spans="1:6" x14ac:dyDescent="0.2">
      <c r="A11484" t="s">
        <v>19660</v>
      </c>
      <c r="B11484" t="s">
        <v>19661</v>
      </c>
      <c r="C11484" t="s">
        <v>366</v>
      </c>
      <c r="D11484" t="s">
        <v>21</v>
      </c>
      <c r="E11484" t="s">
        <v>714</v>
      </c>
      <c r="F11484" s="2" t="str">
        <f>HYPERLINK("http://www.otzar.org/book.asp?603723","הלכות ביקור חולים")</f>
        <v>הלכות ביקור חולים</v>
      </c>
    </row>
    <row r="11485" spans="1:6" x14ac:dyDescent="0.2">
      <c r="A11485" t="s">
        <v>19662</v>
      </c>
      <c r="B11485" t="s">
        <v>206</v>
      </c>
      <c r="C11485" t="s">
        <v>151</v>
      </c>
      <c r="D11485" t="s">
        <v>90</v>
      </c>
      <c r="E11485" t="s">
        <v>148</v>
      </c>
      <c r="F11485" s="2" t="str">
        <f>HYPERLINK("http://www.otzar.org/book.asp?620380","הלכות בית הכנסת")</f>
        <v>הלכות בית הכנסת</v>
      </c>
    </row>
    <row r="11486" spans="1:6" x14ac:dyDescent="0.2">
      <c r="A11486" t="s">
        <v>19663</v>
      </c>
      <c r="B11486" t="s">
        <v>19664</v>
      </c>
      <c r="C11486" t="s">
        <v>473</v>
      </c>
      <c r="D11486" t="s">
        <v>582</v>
      </c>
      <c r="E11486" t="s">
        <v>3902</v>
      </c>
      <c r="F11486" s="2" t="str">
        <f>HYPERLINK("http://www.otzar.org/book.asp?8626","הלכות בית כנסת ובית המדרש")</f>
        <v>הלכות בית כנסת ובית המדרש</v>
      </c>
    </row>
    <row r="11487" spans="1:6" x14ac:dyDescent="0.2">
      <c r="A11487" t="s">
        <v>19665</v>
      </c>
      <c r="B11487" t="s">
        <v>19666</v>
      </c>
      <c r="C11487" t="s">
        <v>523</v>
      </c>
      <c r="D11487" t="s">
        <v>14</v>
      </c>
      <c r="E11487" t="s">
        <v>154</v>
      </c>
      <c r="F11487" s="2" t="str">
        <f>HYPERLINK("http://www.otzar.org/book.asp?107271","הלכות בכורות וחלה להרמב""ן עם הלכות יום טוב למהרי""ט אלגאזי - 3 כר'")</f>
        <v>הלכות בכורות וחלה להרמב"ן עם הלכות יום טוב למהרי"ט אלגאזי - 3 כר'</v>
      </c>
    </row>
    <row r="11488" spans="1:6" x14ac:dyDescent="0.2">
      <c r="A11488" t="s">
        <v>19667</v>
      </c>
      <c r="B11488" t="s">
        <v>18196</v>
      </c>
      <c r="C11488" t="s">
        <v>334</v>
      </c>
      <c r="D11488" t="s">
        <v>412</v>
      </c>
      <c r="F11488" s="2" t="str">
        <f>HYPERLINK("http://www.otzar.org/book.asp?614543","הלכות ברכות (אידיש)")</f>
        <v>הלכות ברכות (אידיש)</v>
      </c>
    </row>
    <row r="11489" spans="1:6" x14ac:dyDescent="0.2">
      <c r="A11489" t="s">
        <v>19668</v>
      </c>
      <c r="B11489" t="s">
        <v>19669</v>
      </c>
      <c r="C11489" t="s">
        <v>473</v>
      </c>
      <c r="D11489" t="s">
        <v>592</v>
      </c>
      <c r="E11489" t="s">
        <v>15</v>
      </c>
      <c r="F11489" s="2" t="str">
        <f>HYPERLINK("http://www.otzar.org/book.asp?617529","הלכות ברכות")</f>
        <v>הלכות ברכות</v>
      </c>
    </row>
    <row r="11490" spans="1:6" x14ac:dyDescent="0.2">
      <c r="A11490" t="s">
        <v>19670</v>
      </c>
      <c r="B11490" t="s">
        <v>19671</v>
      </c>
      <c r="C11490" t="s">
        <v>111</v>
      </c>
      <c r="D11490" t="s">
        <v>14</v>
      </c>
      <c r="E11490" t="s">
        <v>148</v>
      </c>
      <c r="F11490" s="2" t="str">
        <f>HYPERLINK("http://www.otzar.org/book.asp?630029","הלכות ברכות, הלכות פסח, ברכות בחשבון, המעשר והעושר")</f>
        <v>הלכות ברכות, הלכות פסח, ברכות בחשבון, המעשר והעושר</v>
      </c>
    </row>
    <row r="11491" spans="1:6" x14ac:dyDescent="0.2">
      <c r="A11491" t="s">
        <v>19672</v>
      </c>
      <c r="B11491" t="s">
        <v>19673</v>
      </c>
      <c r="C11491" t="s">
        <v>51</v>
      </c>
      <c r="D11491" t="s">
        <v>152</v>
      </c>
      <c r="E11491" t="s">
        <v>15</v>
      </c>
      <c r="F11491" s="2" t="str">
        <f>HYPERLINK("http://www.otzar.org/book.asp?61865","הלכות בשר בחלב")</f>
        <v>הלכות בשר בחלב</v>
      </c>
    </row>
    <row r="11492" spans="1:6" x14ac:dyDescent="0.2">
      <c r="A11492" t="s">
        <v>19674</v>
      </c>
      <c r="B11492" t="s">
        <v>19675</v>
      </c>
      <c r="C11492" t="s">
        <v>523</v>
      </c>
      <c r="D11492" t="s">
        <v>412</v>
      </c>
      <c r="E11492" t="s">
        <v>15</v>
      </c>
      <c r="F11492" s="2" t="str">
        <f>HYPERLINK("http://www.otzar.org/book.asp?21623","הלכות גדולות &lt;משנה הלכות&gt; - 5 כר'")</f>
        <v>הלכות גדולות &lt;משנה הלכות&gt; - 5 כר'</v>
      </c>
    </row>
    <row r="11493" spans="1:6" x14ac:dyDescent="0.2">
      <c r="A11493" t="s">
        <v>19676</v>
      </c>
      <c r="B11493" t="s">
        <v>8922</v>
      </c>
      <c r="C11493" t="s">
        <v>2740</v>
      </c>
      <c r="D11493" t="s">
        <v>2740</v>
      </c>
      <c r="F11493" s="2" t="str">
        <f>HYPERLINK("http://www.otzar.org/book.asp?191364","הלכות גדולות &lt;כת""י פריז&gt;")</f>
        <v>הלכות גדולות &lt;כת"י פריז&gt;</v>
      </c>
    </row>
    <row r="11494" spans="1:6" x14ac:dyDescent="0.2">
      <c r="A11494" t="s">
        <v>19677</v>
      </c>
      <c r="B11494" t="s">
        <v>8922</v>
      </c>
      <c r="C11494" t="s">
        <v>8923</v>
      </c>
      <c r="D11494" t="s">
        <v>49</v>
      </c>
      <c r="F11494" s="2" t="str">
        <f>HYPERLINK("http://www.otzar.org/book.asp?164787","הלכות גדולות &lt;עם הגהות רא""ש טרויב בכ""י&gt;")</f>
        <v>הלכות גדולות &lt;עם הגהות רא"ש טרויב בכ"י&gt;</v>
      </c>
    </row>
    <row r="11495" spans="1:6" x14ac:dyDescent="0.2">
      <c r="A11495" t="s">
        <v>19678</v>
      </c>
      <c r="B11495" t="s">
        <v>8922</v>
      </c>
      <c r="C11495" t="s">
        <v>1706</v>
      </c>
      <c r="D11495" t="s">
        <v>56</v>
      </c>
      <c r="E11495" t="s">
        <v>19679</v>
      </c>
      <c r="F11495" s="2" t="str">
        <f>HYPERLINK("http://www.otzar.org/book.asp?17669","הלכות גדולות &lt;עם פירוש שפת אמת&gt;")</f>
        <v>הלכות גדולות &lt;עם פירוש שפת אמת&gt;</v>
      </c>
    </row>
    <row r="11496" spans="1:6" x14ac:dyDescent="0.2">
      <c r="A11496" t="s">
        <v>19680</v>
      </c>
      <c r="B11496" t="s">
        <v>8922</v>
      </c>
      <c r="C11496" t="s">
        <v>1458</v>
      </c>
      <c r="D11496" t="s">
        <v>283</v>
      </c>
      <c r="E11496" t="s">
        <v>803</v>
      </c>
      <c r="F11496" s="2" t="str">
        <f>HYPERLINK("http://www.otzar.org/book.asp?6311","הלכות גדולות")</f>
        <v>הלכות גדולות</v>
      </c>
    </row>
    <row r="11497" spans="1:6" x14ac:dyDescent="0.2">
      <c r="A11497" t="s">
        <v>19681</v>
      </c>
      <c r="B11497" t="s">
        <v>19682</v>
      </c>
      <c r="C11497" t="s">
        <v>244</v>
      </c>
      <c r="D11497" t="s">
        <v>90</v>
      </c>
      <c r="E11497" t="s">
        <v>15</v>
      </c>
      <c r="F11497" s="2" t="str">
        <f>HYPERLINK("http://www.otzar.org/book.asp?600408","הלכות גזל זמן")</f>
        <v>הלכות גזל זמן</v>
      </c>
    </row>
    <row r="11498" spans="1:6" x14ac:dyDescent="0.2">
      <c r="A11498" t="s">
        <v>19683</v>
      </c>
      <c r="B11498" t="s">
        <v>19684</v>
      </c>
      <c r="C11498" t="s">
        <v>411</v>
      </c>
      <c r="D11498" t="s">
        <v>1840</v>
      </c>
      <c r="E11498" t="s">
        <v>15</v>
      </c>
      <c r="F11498" s="2" t="str">
        <f>HYPERLINK("http://www.otzar.org/book.asp?173437","הלכות גידול צאן")</f>
        <v>הלכות גידול צאן</v>
      </c>
    </row>
    <row r="11499" spans="1:6" x14ac:dyDescent="0.2">
      <c r="A11499" t="s">
        <v>19685</v>
      </c>
      <c r="B11499" t="s">
        <v>19686</v>
      </c>
      <c r="C11499" t="s">
        <v>619</v>
      </c>
      <c r="D11499" t="s">
        <v>260</v>
      </c>
      <c r="E11499" t="s">
        <v>15</v>
      </c>
      <c r="F11499" s="2" t="str">
        <f>HYPERLINK("http://www.otzar.org/book.asp?154450","הלכות דעות &lt;עם ביאור מדות ודעות&gt;")</f>
        <v>הלכות דעות &lt;עם ביאור מדות ודעות&gt;</v>
      </c>
    </row>
    <row r="11500" spans="1:6" x14ac:dyDescent="0.2">
      <c r="A11500" t="s">
        <v>19687</v>
      </c>
      <c r="B11500" t="s">
        <v>1320</v>
      </c>
      <c r="C11500" t="s">
        <v>1640</v>
      </c>
      <c r="D11500" t="s">
        <v>14</v>
      </c>
      <c r="E11500" t="s">
        <v>606</v>
      </c>
      <c r="F11500" s="2" t="str">
        <f>HYPERLINK("http://www.otzar.org/book.asp?8950","הלכות דעות להרמב""ם &lt;עלים לתרופה&gt;")</f>
        <v>הלכות דעות להרמב"ם &lt;עלים לתרופה&gt;</v>
      </c>
    </row>
    <row r="11501" spans="1:6" x14ac:dyDescent="0.2">
      <c r="A11501" t="s">
        <v>19688</v>
      </c>
      <c r="B11501" t="s">
        <v>7105</v>
      </c>
      <c r="C11501" t="s">
        <v>133</v>
      </c>
      <c r="D11501" t="s">
        <v>19689</v>
      </c>
      <c r="F11501" s="2" t="str">
        <f>HYPERLINK("http://www.otzar.org/book.asp?194089","הלכות דעות לרמב""ם &lt;נפש ישרה&gt;")</f>
        <v>הלכות דעות לרמב"ם &lt;נפש ישרה&gt;</v>
      </c>
    </row>
    <row r="11502" spans="1:6" x14ac:dyDescent="0.2">
      <c r="A11502" t="s">
        <v>19690</v>
      </c>
      <c r="B11502" t="s">
        <v>19691</v>
      </c>
      <c r="C11502" t="s">
        <v>20</v>
      </c>
      <c r="D11502" t="s">
        <v>14</v>
      </c>
      <c r="E11502" t="s">
        <v>15</v>
      </c>
      <c r="F11502" s="2" t="str">
        <f>HYPERLINK("http://www.otzar.org/book.asp?182972","הלכות דעות לרמב""ם ע""פ דעת יעקב")</f>
        <v>הלכות דעות לרמב"ם ע"פ דעת יעקב</v>
      </c>
    </row>
    <row r="11503" spans="1:6" x14ac:dyDescent="0.2">
      <c r="A11503" t="s">
        <v>19692</v>
      </c>
      <c r="B11503" t="s">
        <v>19693</v>
      </c>
      <c r="C11503" t="s">
        <v>1096</v>
      </c>
      <c r="D11503" t="s">
        <v>9</v>
      </c>
      <c r="E11503" t="s">
        <v>15</v>
      </c>
      <c r="F11503" s="2" t="str">
        <f>HYPERLINK("http://www.otzar.org/book.asp?51376","הלכות דעות עם ספר שערי דעה")</f>
        <v>הלכות דעות עם ספר שערי דעה</v>
      </c>
    </row>
    <row r="11504" spans="1:6" x14ac:dyDescent="0.2">
      <c r="A11504" t="s">
        <v>19694</v>
      </c>
      <c r="B11504" t="s">
        <v>8490</v>
      </c>
      <c r="C11504" t="s">
        <v>775</v>
      </c>
      <c r="D11504" t="s">
        <v>412</v>
      </c>
      <c r="E11504" t="s">
        <v>15</v>
      </c>
      <c r="F11504" s="2" t="str">
        <f>HYPERLINK("http://www.otzar.org/book.asp?52459","הלכות דעות עם פירוש דעת ישראל - 2 כר'")</f>
        <v>הלכות דעות עם פירוש דעת ישראל - 2 כר'</v>
      </c>
    </row>
    <row r="11505" spans="1:6" x14ac:dyDescent="0.2">
      <c r="A11505" t="s">
        <v>19695</v>
      </c>
      <c r="B11505" t="s">
        <v>1320</v>
      </c>
      <c r="C11505" t="s">
        <v>4562</v>
      </c>
      <c r="D11505" t="s">
        <v>1117</v>
      </c>
      <c r="E11505" t="s">
        <v>15</v>
      </c>
      <c r="F11505" s="2" t="str">
        <f>HYPERLINK("http://www.otzar.org/book.asp?146614","הלכות דעות - 3 כר'")</f>
        <v>הלכות דעות - 3 כר'</v>
      </c>
    </row>
    <row r="11506" spans="1:6" x14ac:dyDescent="0.2">
      <c r="A11506" t="s">
        <v>19696</v>
      </c>
      <c r="B11506" t="s">
        <v>19697</v>
      </c>
      <c r="C11506" t="s">
        <v>8</v>
      </c>
      <c r="D11506" t="s">
        <v>27</v>
      </c>
      <c r="E11506" t="s">
        <v>15</v>
      </c>
      <c r="F11506" s="2" t="str">
        <f>HYPERLINK("http://www.otzar.org/book.asp?104922","הלכות דרב אבא")</f>
        <v>הלכות דרב אבא</v>
      </c>
    </row>
    <row r="11507" spans="1:6" x14ac:dyDescent="0.2">
      <c r="A11507" t="s">
        <v>19698</v>
      </c>
      <c r="B11507" t="s">
        <v>19699</v>
      </c>
      <c r="C11507" t="s">
        <v>366</v>
      </c>
      <c r="D11507" t="s">
        <v>8177</v>
      </c>
      <c r="F11507" s="2" t="str">
        <f>HYPERLINK("http://www.otzar.org/book.asp?608799","הלכות הארץ")</f>
        <v>הלכות הארץ</v>
      </c>
    </row>
    <row r="11508" spans="1:6" x14ac:dyDescent="0.2">
      <c r="A11508" t="s">
        <v>19700</v>
      </c>
      <c r="B11508" t="s">
        <v>4606</v>
      </c>
      <c r="C11508" t="s">
        <v>624</v>
      </c>
      <c r="D11508" t="s">
        <v>14</v>
      </c>
      <c r="E11508" t="s">
        <v>15</v>
      </c>
      <c r="F11508" s="2" t="str">
        <f>HYPERLINK("http://www.otzar.org/book.asp?51809","הלכות הגר""א ומנהגיו")</f>
        <v>הלכות הגר"א ומנהגיו</v>
      </c>
    </row>
    <row r="11509" spans="1:6" x14ac:dyDescent="0.2">
      <c r="A11509" t="s">
        <v>19701</v>
      </c>
      <c r="B11509" t="s">
        <v>19702</v>
      </c>
      <c r="C11509" t="s">
        <v>411</v>
      </c>
      <c r="D11509" t="s">
        <v>14</v>
      </c>
      <c r="E11509" t="s">
        <v>15</v>
      </c>
      <c r="F11509" s="2" t="str">
        <f>HYPERLINK("http://www.otzar.org/book.asp?172809","הלכות הונאה &lt;הרי הלכות&gt;")</f>
        <v>הלכות הונאה &lt;הרי הלכות&gt;</v>
      </c>
    </row>
    <row r="11510" spans="1:6" x14ac:dyDescent="0.2">
      <c r="A11510" t="s">
        <v>19703</v>
      </c>
      <c r="B11510" t="s">
        <v>19704</v>
      </c>
      <c r="C11510" t="s">
        <v>20</v>
      </c>
      <c r="D11510" t="s">
        <v>2347</v>
      </c>
      <c r="E11510" t="s">
        <v>154</v>
      </c>
      <c r="F11510" s="2" t="str">
        <f>HYPERLINK("http://www.otzar.org/book.asp?14205","הלכות החג")</f>
        <v>הלכות החג</v>
      </c>
    </row>
    <row r="11511" spans="1:6" x14ac:dyDescent="0.2">
      <c r="A11511" t="s">
        <v>19705</v>
      </c>
      <c r="B11511" t="s">
        <v>19706</v>
      </c>
      <c r="C11511" t="s">
        <v>13702</v>
      </c>
      <c r="D11511" t="s">
        <v>6129</v>
      </c>
      <c r="E11511" t="s">
        <v>202</v>
      </c>
      <c r="F11511" s="2" t="str">
        <f>HYPERLINK("http://www.otzar.org/book.asp?17670","הלכות החדש")</f>
        <v>הלכות החדש</v>
      </c>
    </row>
    <row r="11512" spans="1:6" x14ac:dyDescent="0.2">
      <c r="A11512" t="s">
        <v>19707</v>
      </c>
      <c r="B11512" t="s">
        <v>19708</v>
      </c>
      <c r="C11512" t="s">
        <v>146</v>
      </c>
      <c r="D11512" t="s">
        <v>14</v>
      </c>
      <c r="E11512" t="s">
        <v>15</v>
      </c>
      <c r="F11512" s="2" t="str">
        <f>HYPERLINK("http://www.otzar.org/book.asp?171201","הלכות היזק ראיה")</f>
        <v>הלכות היזק ראיה</v>
      </c>
    </row>
    <row r="11513" spans="1:6" x14ac:dyDescent="0.2">
      <c r="A11513" t="s">
        <v>19709</v>
      </c>
      <c r="B11513" t="s">
        <v>19710</v>
      </c>
      <c r="C11513" t="s">
        <v>466</v>
      </c>
      <c r="D11513" t="s">
        <v>147</v>
      </c>
      <c r="E11513" t="s">
        <v>130</v>
      </c>
      <c r="F11513" s="2" t="str">
        <f>HYPERLINK("http://www.otzar.org/book.asp?142868","הלכות המועדים - דיני יום טוב")</f>
        <v>הלכות המועדים - דיני יום טוב</v>
      </c>
    </row>
    <row r="11514" spans="1:6" x14ac:dyDescent="0.2">
      <c r="A11514" t="s">
        <v>19711</v>
      </c>
      <c r="B11514" t="s">
        <v>19712</v>
      </c>
      <c r="C11514" t="s">
        <v>111</v>
      </c>
      <c r="D11514" t="s">
        <v>90</v>
      </c>
      <c r="E11514" t="s">
        <v>15</v>
      </c>
      <c r="F11514" s="2" t="str">
        <f>HYPERLINK("http://www.otzar.org/book.asp?631114","הלכות המצויות במקומות נופש")</f>
        <v>הלכות המצויות במקומות נופש</v>
      </c>
    </row>
    <row r="11515" spans="1:6" x14ac:dyDescent="0.2">
      <c r="A11515" t="s">
        <v>19713</v>
      </c>
      <c r="B11515" t="s">
        <v>15595</v>
      </c>
      <c r="C11515" t="s">
        <v>438</v>
      </c>
      <c r="D11515" t="s">
        <v>14</v>
      </c>
      <c r="E11515" t="s">
        <v>19714</v>
      </c>
      <c r="F11515" s="2" t="str">
        <f>HYPERLINK("http://www.otzar.org/book.asp?10501","הלכות הנגיד")</f>
        <v>הלכות הנגיד</v>
      </c>
    </row>
    <row r="11516" spans="1:6" x14ac:dyDescent="0.2">
      <c r="A11516" t="s">
        <v>19715</v>
      </c>
      <c r="B11516" t="s">
        <v>15617</v>
      </c>
      <c r="C11516" t="s">
        <v>189</v>
      </c>
      <c r="D11516" t="s">
        <v>14</v>
      </c>
      <c r="E11516" t="s">
        <v>15</v>
      </c>
      <c r="F11516" s="2" t="str">
        <f>HYPERLINK("http://www.otzar.org/book.asp?50247","הלכות הצלה השלם")</f>
        <v>הלכות הצלה השלם</v>
      </c>
    </row>
    <row r="11517" spans="1:6" x14ac:dyDescent="0.2">
      <c r="A11517" t="s">
        <v>19716</v>
      </c>
      <c r="B11517" t="s">
        <v>19717</v>
      </c>
      <c r="C11517" t="s">
        <v>454</v>
      </c>
      <c r="D11517" t="s">
        <v>21</v>
      </c>
      <c r="E11517" t="s">
        <v>15</v>
      </c>
      <c r="F11517" s="2" t="str">
        <f>HYPERLINK("http://www.otzar.org/book.asp?197189","הלכות הצלה - ב")</f>
        <v>הלכות הצלה - ב</v>
      </c>
    </row>
    <row r="11518" spans="1:6" x14ac:dyDescent="0.2">
      <c r="A11518" t="s">
        <v>19718</v>
      </c>
      <c r="B11518" t="s">
        <v>7913</v>
      </c>
      <c r="C11518" t="s">
        <v>775</v>
      </c>
      <c r="D11518" t="s">
        <v>21</v>
      </c>
      <c r="E11518" t="s">
        <v>15</v>
      </c>
      <c r="F11518" s="2" t="str">
        <f>HYPERLINK("http://www.otzar.org/book.asp?601356","הלכות הרי""ף - פסחים א &lt;מהדורה מוערת עם שינו""ס&gt;")</f>
        <v>הלכות הרי"ף - פסחים א &lt;מהדורה מוערת עם שינו"ס&gt;</v>
      </c>
    </row>
    <row r="11519" spans="1:6" x14ac:dyDescent="0.2">
      <c r="A11519" t="s">
        <v>19719</v>
      </c>
      <c r="B11519" t="s">
        <v>19702</v>
      </c>
      <c r="C11519" t="s">
        <v>20</v>
      </c>
      <c r="D11519" t="s">
        <v>14</v>
      </c>
      <c r="E11519" t="s">
        <v>15</v>
      </c>
      <c r="F11519" s="2" t="str">
        <f>HYPERLINK("http://www.otzar.org/book.asp?172810","הלכות השבת אבדה &lt;הרי הלכות&gt;")</f>
        <v>הלכות השבת אבדה &lt;הרי הלכות&gt;</v>
      </c>
    </row>
    <row r="11520" spans="1:6" x14ac:dyDescent="0.2">
      <c r="A11520" t="s">
        <v>19720</v>
      </c>
      <c r="B11520" t="s">
        <v>14827</v>
      </c>
      <c r="C11520" t="s">
        <v>313</v>
      </c>
      <c r="D11520" t="s">
        <v>14</v>
      </c>
      <c r="E11520" t="s">
        <v>246</v>
      </c>
      <c r="F11520" s="2" t="str">
        <f>HYPERLINK("http://www.otzar.org/book.asp?160901","הלכות והגדה לפסח")</f>
        <v>הלכות והגדה לפסח</v>
      </c>
    </row>
    <row r="11521" spans="1:6" x14ac:dyDescent="0.2">
      <c r="A11521" t="s">
        <v>19721</v>
      </c>
      <c r="B11521" t="s">
        <v>3440</v>
      </c>
      <c r="C11521" t="s">
        <v>1570</v>
      </c>
      <c r="D11521" t="s">
        <v>14</v>
      </c>
      <c r="E11521" t="s">
        <v>2840</v>
      </c>
      <c r="F11521" s="2" t="str">
        <f>HYPERLINK("http://www.otzar.org/book.asp?10229","הלכות והליכות ביהדות - בר מצוה")</f>
        <v>הלכות והליכות ביהדות - בר מצוה</v>
      </c>
    </row>
    <row r="11522" spans="1:6" x14ac:dyDescent="0.2">
      <c r="A11522" t="s">
        <v>19722</v>
      </c>
      <c r="B11522" t="s">
        <v>19723</v>
      </c>
      <c r="C11522" t="s">
        <v>151</v>
      </c>
      <c r="D11522" t="s">
        <v>14</v>
      </c>
      <c r="E11522" t="s">
        <v>130</v>
      </c>
      <c r="F11522" s="2" t="str">
        <f>HYPERLINK("http://www.otzar.org/book.asp?628786","הלכות והליכות הימים הנוראים")</f>
        <v>הלכות והליכות הימים הנוראים</v>
      </c>
    </row>
    <row r="11523" spans="1:6" x14ac:dyDescent="0.2">
      <c r="A11523" t="s">
        <v>19724</v>
      </c>
      <c r="B11523" t="s">
        <v>19725</v>
      </c>
      <c r="C11523" t="s">
        <v>767</v>
      </c>
      <c r="D11523" t="s">
        <v>852</v>
      </c>
      <c r="E11523" t="s">
        <v>674</v>
      </c>
      <c r="F11523" s="2" t="str">
        <f>HYPERLINK("http://www.otzar.org/book.asp?193055","הלכות והליכות ומנהגי ארץ ישראל")</f>
        <v>הלכות והליכות ומנהגי ארץ ישראל</v>
      </c>
    </row>
    <row r="11524" spans="1:6" x14ac:dyDescent="0.2">
      <c r="A11524" t="s">
        <v>19726</v>
      </c>
      <c r="B11524" t="s">
        <v>19723</v>
      </c>
      <c r="C11524" t="s">
        <v>111</v>
      </c>
      <c r="D11524" t="s">
        <v>14</v>
      </c>
      <c r="E11524" t="s">
        <v>130</v>
      </c>
      <c r="F11524" s="2" t="str">
        <f>HYPERLINK("http://www.otzar.org/book.asp?628787","הלכות והליכות חג הסוכות")</f>
        <v>הלכות והליכות חג הסוכות</v>
      </c>
    </row>
    <row r="11525" spans="1:6" x14ac:dyDescent="0.2">
      <c r="A11525" t="s">
        <v>19727</v>
      </c>
      <c r="B11525" t="s">
        <v>10006</v>
      </c>
      <c r="C11525" t="s">
        <v>106</v>
      </c>
      <c r="D11525" t="s">
        <v>14</v>
      </c>
      <c r="E11525" t="s">
        <v>15</v>
      </c>
      <c r="F11525" s="2" t="str">
        <f>HYPERLINK("http://www.otzar.org/book.asp?177054","הלכות והליכות")</f>
        <v>הלכות והליכות</v>
      </c>
    </row>
    <row r="11526" spans="1:6" x14ac:dyDescent="0.2">
      <c r="A11526" t="s">
        <v>19727</v>
      </c>
      <c r="B11526" t="s">
        <v>19728</v>
      </c>
      <c r="C11526" t="s">
        <v>124</v>
      </c>
      <c r="D11526" t="s">
        <v>14</v>
      </c>
      <c r="E11526" t="s">
        <v>19729</v>
      </c>
      <c r="F11526" s="2" t="str">
        <f>HYPERLINK("http://www.otzar.org/book.asp?106120","הלכות והליכות")</f>
        <v>הלכות והליכות</v>
      </c>
    </row>
    <row r="11527" spans="1:6" x14ac:dyDescent="0.2">
      <c r="A11527" t="s">
        <v>19730</v>
      </c>
      <c r="B11527" t="s">
        <v>17431</v>
      </c>
      <c r="C11527" t="s">
        <v>422</v>
      </c>
      <c r="D11527" t="s">
        <v>14</v>
      </c>
      <c r="E11527" t="s">
        <v>24</v>
      </c>
      <c r="F11527" s="2" t="str">
        <f>HYPERLINK("http://www.otzar.org/book.asp?160990","הלכות ומנהגי ברכת החמה")</f>
        <v>הלכות ומנהגי ברכת החמה</v>
      </c>
    </row>
    <row r="11528" spans="1:6" x14ac:dyDescent="0.2">
      <c r="A11528" t="s">
        <v>19731</v>
      </c>
      <c r="B11528" t="s">
        <v>14031</v>
      </c>
      <c r="C11528" t="s">
        <v>2076</v>
      </c>
      <c r="D11528" t="s">
        <v>27</v>
      </c>
      <c r="E11528" t="s">
        <v>15</v>
      </c>
      <c r="F11528" s="2" t="str">
        <f>HYPERLINK("http://www.otzar.org/book.asp?142486","הלכות ומנהגי ערב פסח שחל להיות בשבת")</f>
        <v>הלכות ומנהגי ערב פסח שחל להיות בשבת</v>
      </c>
    </row>
    <row r="11529" spans="1:6" x14ac:dyDescent="0.2">
      <c r="A11529" t="s">
        <v>19732</v>
      </c>
      <c r="B11529" t="s">
        <v>15702</v>
      </c>
      <c r="C11529" t="s">
        <v>111</v>
      </c>
      <c r="D11529" t="s">
        <v>152</v>
      </c>
      <c r="E11529" t="s">
        <v>130</v>
      </c>
      <c r="F11529" s="2" t="str">
        <f>HYPERLINK("http://www.otzar.org/book.asp?630858","הלכות ומנהגים לחג השבועות שחל להיות ביום א")</f>
        <v>הלכות ומנהגים לחג השבועות שחל להיות ביום א</v>
      </c>
    </row>
    <row r="11530" spans="1:6" x14ac:dyDescent="0.2">
      <c r="A11530" t="s">
        <v>19733</v>
      </c>
      <c r="B11530" t="s">
        <v>19734</v>
      </c>
      <c r="C11530" t="s">
        <v>1570</v>
      </c>
      <c r="D11530" t="s">
        <v>52</v>
      </c>
      <c r="E11530" t="s">
        <v>130</v>
      </c>
      <c r="F11530" s="2" t="str">
        <f>HYPERLINK("http://www.otzar.org/book.asp?160885","הלכות ומנהגים לערב פסח שחל להיות בשבת")</f>
        <v>הלכות ומנהגים לערב פסח שחל להיות בשבת</v>
      </c>
    </row>
    <row r="11531" spans="1:6" x14ac:dyDescent="0.2">
      <c r="A11531" t="s">
        <v>19735</v>
      </c>
      <c r="B11531" t="s">
        <v>17431</v>
      </c>
      <c r="C11531" t="s">
        <v>244</v>
      </c>
      <c r="D11531" t="s">
        <v>14</v>
      </c>
      <c r="F11531" s="2" t="str">
        <f>HYPERLINK("http://www.otzar.org/book.asp?609704","הלכות חג בחג - 14 כר'")</f>
        <v>הלכות חג בחג - 14 כר'</v>
      </c>
    </row>
    <row r="11532" spans="1:6" x14ac:dyDescent="0.2">
      <c r="A11532" t="s">
        <v>19736</v>
      </c>
      <c r="B11532" t="s">
        <v>14827</v>
      </c>
      <c r="C11532" t="s">
        <v>454</v>
      </c>
      <c r="D11532" t="s">
        <v>14</v>
      </c>
      <c r="E11532" t="s">
        <v>15</v>
      </c>
      <c r="F11532" s="2" t="str">
        <f>HYPERLINK("http://www.otzar.org/book.asp?168476","הלכות חגים")</f>
        <v>הלכות חגים</v>
      </c>
    </row>
    <row r="11533" spans="1:6" x14ac:dyDescent="0.2">
      <c r="A11533" t="s">
        <v>19737</v>
      </c>
      <c r="B11533" t="s">
        <v>19738</v>
      </c>
      <c r="C11533" t="s">
        <v>244</v>
      </c>
      <c r="D11533" t="s">
        <v>52</v>
      </c>
      <c r="E11533" t="s">
        <v>15</v>
      </c>
      <c r="F11533" s="2" t="str">
        <f>HYPERLINK("http://www.otzar.org/book.asp?600671","הלכות חול המועד לרמב""ן עם ביאור חצר המועד")</f>
        <v>הלכות חול המועד לרמב"ן עם ביאור חצר המועד</v>
      </c>
    </row>
    <row r="11534" spans="1:6" x14ac:dyDescent="0.2">
      <c r="A11534" t="s">
        <v>19739</v>
      </c>
      <c r="B11534" t="s">
        <v>19740</v>
      </c>
      <c r="C11534" t="s">
        <v>609</v>
      </c>
      <c r="D11534" t="s">
        <v>27</v>
      </c>
      <c r="E11534" t="s">
        <v>15</v>
      </c>
      <c r="F11534" s="2" t="str">
        <f>HYPERLINK("http://www.otzar.org/book.asp?149409","הלכות חלה והלכות אבר מן החי")</f>
        <v>הלכות חלה והלכות אבר מן החי</v>
      </c>
    </row>
    <row r="11535" spans="1:6" x14ac:dyDescent="0.2">
      <c r="A11535" t="s">
        <v>19741</v>
      </c>
      <c r="B11535" t="s">
        <v>19742</v>
      </c>
      <c r="C11535" t="s">
        <v>1268</v>
      </c>
      <c r="D11535" t="s">
        <v>245</v>
      </c>
      <c r="E11535" t="s">
        <v>130</v>
      </c>
      <c r="F11535" s="2" t="str">
        <f>HYPERLINK("http://www.otzar.org/book.asp?188926","הלכות חנוכה")</f>
        <v>הלכות חנוכה</v>
      </c>
    </row>
    <row r="11536" spans="1:6" x14ac:dyDescent="0.2">
      <c r="A11536" t="s">
        <v>19743</v>
      </c>
      <c r="B11536" t="s">
        <v>19744</v>
      </c>
      <c r="C11536" t="s">
        <v>334</v>
      </c>
      <c r="D11536" t="s">
        <v>52</v>
      </c>
      <c r="E11536" t="s">
        <v>84</v>
      </c>
      <c r="F11536" s="2" t="str">
        <f>HYPERLINK("http://www.otzar.org/book.asp?153589","הלכות טומאת אוכלין - מכשירין")</f>
        <v>הלכות טומאת אוכלין - מכשירין</v>
      </c>
    </row>
    <row r="11537" spans="1:6" x14ac:dyDescent="0.2">
      <c r="A11537" t="s">
        <v>19745</v>
      </c>
      <c r="B11537" t="s">
        <v>19746</v>
      </c>
      <c r="C11537" t="s">
        <v>19747</v>
      </c>
      <c r="D11537" t="s">
        <v>1490</v>
      </c>
      <c r="F11537" s="2" t="str">
        <f>HYPERLINK("http://www.otzar.org/book.asp?170277","הלכות טרפות")</f>
        <v>הלכות טרפות</v>
      </c>
    </row>
    <row r="11538" spans="1:6" x14ac:dyDescent="0.2">
      <c r="A11538" t="s">
        <v>19748</v>
      </c>
      <c r="B11538" t="s">
        <v>1091</v>
      </c>
      <c r="C11538" t="s">
        <v>23</v>
      </c>
      <c r="D11538" t="s">
        <v>14</v>
      </c>
      <c r="E11538" t="s">
        <v>15</v>
      </c>
      <c r="F11538" s="2" t="str">
        <f>HYPERLINK("http://www.otzar.org/book.asp?189174","הלכות יובל")</f>
        <v>הלכות יובל</v>
      </c>
    </row>
    <row r="11539" spans="1:6" x14ac:dyDescent="0.2">
      <c r="A11539" t="s">
        <v>19749</v>
      </c>
      <c r="B11539" t="s">
        <v>17431</v>
      </c>
      <c r="C11539" t="s">
        <v>23</v>
      </c>
      <c r="D11539" t="s">
        <v>276</v>
      </c>
      <c r="F11539" s="2" t="str">
        <f>HYPERLINK("http://www.otzar.org/book.asp?193175","הלכות יום ביום - 5 כר'")</f>
        <v>הלכות יום ביום - 5 כר'</v>
      </c>
    </row>
    <row r="11540" spans="1:6" x14ac:dyDescent="0.2">
      <c r="A11540" t="s">
        <v>19750</v>
      </c>
      <c r="B11540" t="s">
        <v>18196</v>
      </c>
      <c r="C11540" t="s">
        <v>919</v>
      </c>
      <c r="D11540" t="s">
        <v>412</v>
      </c>
      <c r="E11540" t="s">
        <v>15</v>
      </c>
      <c r="F11540" s="2" t="str">
        <f>HYPERLINK("http://www.otzar.org/book.asp?604292","הלכות יום טוב (אידיש)")</f>
        <v>הלכות יום טוב (אידיש)</v>
      </c>
    </row>
    <row r="11541" spans="1:6" x14ac:dyDescent="0.2">
      <c r="A11541" t="s">
        <v>19751</v>
      </c>
      <c r="B11541" t="s">
        <v>19752</v>
      </c>
      <c r="C11541" t="s">
        <v>2274</v>
      </c>
      <c r="D11541" t="s">
        <v>95</v>
      </c>
      <c r="E11541" t="s">
        <v>15</v>
      </c>
      <c r="F11541" s="2" t="str">
        <f>HYPERLINK("http://www.otzar.org/book.asp?64067","הלכות יום טוב")</f>
        <v>הלכות יום טוב</v>
      </c>
    </row>
    <row r="11542" spans="1:6" x14ac:dyDescent="0.2">
      <c r="A11542" t="s">
        <v>19753</v>
      </c>
      <c r="B11542" t="s">
        <v>19754</v>
      </c>
      <c r="C11542" t="s">
        <v>940</v>
      </c>
      <c r="D11542" t="s">
        <v>52</v>
      </c>
      <c r="E11542" t="s">
        <v>15</v>
      </c>
      <c r="F11542" s="2" t="str">
        <f>HYPERLINK("http://www.otzar.org/book.asp?152652","הלכות יחוד")</f>
        <v>הלכות יחוד</v>
      </c>
    </row>
    <row r="11543" spans="1:6" x14ac:dyDescent="0.2">
      <c r="A11543" t="s">
        <v>19753</v>
      </c>
      <c r="B11543" t="s">
        <v>16883</v>
      </c>
      <c r="C11543" t="s">
        <v>411</v>
      </c>
      <c r="D11543" t="s">
        <v>152</v>
      </c>
      <c r="E11543" t="s">
        <v>15</v>
      </c>
      <c r="F11543" s="2" t="str">
        <f>HYPERLINK("http://www.otzar.org/book.asp?197482","הלכות יחוד")</f>
        <v>הלכות יחוד</v>
      </c>
    </row>
    <row r="11544" spans="1:6" x14ac:dyDescent="0.2">
      <c r="A11544" t="s">
        <v>19755</v>
      </c>
      <c r="B11544" t="s">
        <v>19756</v>
      </c>
      <c r="C11544" t="s">
        <v>1470</v>
      </c>
      <c r="D11544" t="s">
        <v>27</v>
      </c>
      <c r="E11544" t="s">
        <v>15</v>
      </c>
      <c r="F11544" s="2" t="str">
        <f>HYPERLINK("http://www.otzar.org/book.asp?12243","הלכות כלאים וערלה")</f>
        <v>הלכות כלאים וערלה</v>
      </c>
    </row>
    <row r="11545" spans="1:6" x14ac:dyDescent="0.2">
      <c r="A11545" t="s">
        <v>19757</v>
      </c>
      <c r="B11545" t="s">
        <v>19758</v>
      </c>
      <c r="C11545" t="s">
        <v>244</v>
      </c>
      <c r="D11545" t="s">
        <v>52</v>
      </c>
      <c r="E11545" t="s">
        <v>15</v>
      </c>
      <c r="F11545" s="2" t="str">
        <f>HYPERLINK("http://www.otzar.org/book.asp?606077","הלכות כלי ראשון ושני")</f>
        <v>הלכות כלי ראשון ושני</v>
      </c>
    </row>
    <row r="11546" spans="1:6" x14ac:dyDescent="0.2">
      <c r="A11546" t="s">
        <v>19759</v>
      </c>
      <c r="B11546" t="s">
        <v>1320</v>
      </c>
      <c r="C11546" t="s">
        <v>1570</v>
      </c>
      <c r="D11546" t="s">
        <v>118</v>
      </c>
      <c r="E11546" t="s">
        <v>15</v>
      </c>
      <c r="F11546" s="2" t="str">
        <f>HYPERLINK("http://www.otzar.org/book.asp?10481","הלכות כלים לרמב""ם עם באור דעת משה")</f>
        <v>הלכות כלים לרמב"ם עם באור דעת משה</v>
      </c>
    </row>
    <row r="11547" spans="1:6" x14ac:dyDescent="0.2">
      <c r="A11547" t="s">
        <v>19760</v>
      </c>
      <c r="B11547" t="s">
        <v>19725</v>
      </c>
      <c r="C11547" t="s">
        <v>20</v>
      </c>
      <c r="D11547" t="s">
        <v>852</v>
      </c>
      <c r="E11547" t="s">
        <v>674</v>
      </c>
      <c r="F11547" s="2" t="str">
        <f>HYPERLINK("http://www.otzar.org/book.asp?161213","הלכות כשרות המזון")</f>
        <v>הלכות כשרות המזון</v>
      </c>
    </row>
    <row r="11548" spans="1:6" x14ac:dyDescent="0.2">
      <c r="A11548" t="s">
        <v>19761</v>
      </c>
      <c r="B11548" t="s">
        <v>15729</v>
      </c>
      <c r="C11548" t="s">
        <v>114</v>
      </c>
      <c r="D11548" t="s">
        <v>14</v>
      </c>
      <c r="F11548" s="2" t="str">
        <f>HYPERLINK("http://www.otzar.org/book.asp?614519","הלכות לשון הרע ורכילות")</f>
        <v>הלכות לשון הרע ורכילות</v>
      </c>
    </row>
    <row r="11549" spans="1:6" x14ac:dyDescent="0.2">
      <c r="A11549" t="s">
        <v>19762</v>
      </c>
      <c r="B11549" t="s">
        <v>1973</v>
      </c>
      <c r="C11549" t="s">
        <v>454</v>
      </c>
      <c r="D11549" t="s">
        <v>1974</v>
      </c>
      <c r="E11549" t="s">
        <v>148</v>
      </c>
      <c r="F11549" s="2" t="str">
        <f>HYPERLINK("http://www.otzar.org/book.asp?23638","הלכות מבוארות לתלמידים")</f>
        <v>הלכות מבוארות לתלמידים</v>
      </c>
    </row>
    <row r="11550" spans="1:6" x14ac:dyDescent="0.2">
      <c r="A11550" t="s">
        <v>19763</v>
      </c>
      <c r="B11550" t="s">
        <v>14011</v>
      </c>
      <c r="C11550" t="s">
        <v>15063</v>
      </c>
      <c r="D11550" t="s">
        <v>27</v>
      </c>
      <c r="E11550" t="s">
        <v>104</v>
      </c>
      <c r="F11550" s="2" t="str">
        <f>HYPERLINK("http://www.otzar.org/book.asp?167562","הלכות מדינה - 3 כר'")</f>
        <v>הלכות מדינה - 3 כר'</v>
      </c>
    </row>
    <row r="11551" spans="1:6" x14ac:dyDescent="0.2">
      <c r="A11551" t="s">
        <v>19764</v>
      </c>
      <c r="B11551" t="s">
        <v>19765</v>
      </c>
      <c r="C11551" t="s">
        <v>3690</v>
      </c>
      <c r="D11551" t="s">
        <v>4269</v>
      </c>
      <c r="E11551" t="s">
        <v>19766</v>
      </c>
      <c r="F11551" s="2" t="str">
        <f>HYPERLINK("http://www.otzar.org/book.asp?15276","הלכות מליחה")</f>
        <v>הלכות מליחה</v>
      </c>
    </row>
    <row r="11552" spans="1:6" x14ac:dyDescent="0.2">
      <c r="A11552" t="s">
        <v>19767</v>
      </c>
      <c r="B11552" t="s">
        <v>19768</v>
      </c>
      <c r="C11552" t="s">
        <v>366</v>
      </c>
      <c r="D11552" t="s">
        <v>21</v>
      </c>
      <c r="E11552" t="s">
        <v>15</v>
      </c>
      <c r="F11552" s="2" t="str">
        <f>HYPERLINK("http://www.otzar.org/book.asp?603722","הלכות מלמדים")</f>
        <v>הלכות מלמדים</v>
      </c>
    </row>
    <row r="11553" spans="1:6" x14ac:dyDescent="0.2">
      <c r="A11553" t="s">
        <v>19769</v>
      </c>
      <c r="B11553" t="s">
        <v>19770</v>
      </c>
      <c r="C11553" t="s">
        <v>133</v>
      </c>
      <c r="D11553" t="s">
        <v>14</v>
      </c>
      <c r="E11553" t="s">
        <v>104</v>
      </c>
      <c r="F11553" s="2" t="str">
        <f>HYPERLINK("http://www.otzar.org/book.asp?182511","הלכות מצוות הקרבנות")</f>
        <v>הלכות מצוות הקרבנות</v>
      </c>
    </row>
    <row r="11554" spans="1:6" x14ac:dyDescent="0.2">
      <c r="A11554" t="s">
        <v>19771</v>
      </c>
      <c r="B11554" t="s">
        <v>19772</v>
      </c>
      <c r="C11554" t="s">
        <v>1418</v>
      </c>
      <c r="D11554" t="s">
        <v>929</v>
      </c>
      <c r="E11554" t="s">
        <v>10</v>
      </c>
      <c r="F11554" s="2" t="str">
        <f>HYPERLINK("http://www.otzar.org/book.asp?8112","הלכות מקואות &lt;חידושי הרז""ה&gt;")</f>
        <v>הלכות מקואות &lt;חידושי הרז"ה&gt;</v>
      </c>
    </row>
    <row r="11555" spans="1:6" x14ac:dyDescent="0.2">
      <c r="A11555" t="s">
        <v>19773</v>
      </c>
      <c r="B11555" t="s">
        <v>19774</v>
      </c>
      <c r="C11555" t="s">
        <v>422</v>
      </c>
      <c r="D11555" t="s">
        <v>412</v>
      </c>
      <c r="E11555" t="s">
        <v>148</v>
      </c>
      <c r="F11555" s="2" t="str">
        <f>HYPERLINK("http://www.otzar.org/book.asp?85745","הלכות משפט - א")</f>
        <v>הלכות משפט - א</v>
      </c>
    </row>
    <row r="11556" spans="1:6" x14ac:dyDescent="0.2">
      <c r="A11556" t="s">
        <v>19775</v>
      </c>
      <c r="B11556" t="s">
        <v>5590</v>
      </c>
      <c r="C11556" t="s">
        <v>129</v>
      </c>
      <c r="D11556" t="s">
        <v>14</v>
      </c>
      <c r="E11556" t="s">
        <v>15</v>
      </c>
      <c r="F11556" s="2" t="str">
        <f>HYPERLINK("http://www.otzar.org/book.asp?61676","הלכות מתווכים")</f>
        <v>הלכות מתווכים</v>
      </c>
    </row>
    <row r="11557" spans="1:6" x14ac:dyDescent="0.2">
      <c r="A11557" t="s">
        <v>19776</v>
      </c>
      <c r="B11557" t="s">
        <v>19777</v>
      </c>
      <c r="C11557" t="s">
        <v>151</v>
      </c>
      <c r="D11557" t="s">
        <v>1156</v>
      </c>
      <c r="E11557" t="s">
        <v>674</v>
      </c>
      <c r="F11557" s="2" t="str">
        <f>HYPERLINK("http://www.otzar.org/book.asp?623704","הלכות מתנות כהונה זרוע לחיים וקיבה")</f>
        <v>הלכות מתנות כהונה זרוע לחיים וקיבה</v>
      </c>
    </row>
    <row r="11558" spans="1:6" x14ac:dyDescent="0.2">
      <c r="A11558" t="s">
        <v>19778</v>
      </c>
      <c r="B11558" t="s">
        <v>1552</v>
      </c>
      <c r="C11558" t="s">
        <v>940</v>
      </c>
      <c r="D11558" t="s">
        <v>14</v>
      </c>
      <c r="E11558" t="s">
        <v>15</v>
      </c>
      <c r="F11558" s="2" t="str">
        <f>HYPERLINK("http://www.otzar.org/book.asp?105939","הלכות נדה להרמב""ן &lt;עטרת הרמב""ן&gt;")</f>
        <v>הלכות נדה להרמב"ן &lt;עטרת הרמב"ן&gt;</v>
      </c>
    </row>
    <row r="11559" spans="1:6" x14ac:dyDescent="0.2">
      <c r="A11559" t="s">
        <v>19779</v>
      </c>
      <c r="B11559" t="s">
        <v>19780</v>
      </c>
      <c r="C11559" t="s">
        <v>553</v>
      </c>
      <c r="D11559" t="s">
        <v>52</v>
      </c>
      <c r="E11559" t="s">
        <v>15</v>
      </c>
      <c r="F11559" s="2" t="str">
        <f>HYPERLINK("http://www.otzar.org/book.asp?608165","הלכות נדה להרמב""ן - פסקי רבינו יונה")</f>
        <v>הלכות נדה להרמב"ן - פסקי רבינו יונה</v>
      </c>
    </row>
    <row r="11560" spans="1:6" x14ac:dyDescent="0.2">
      <c r="A11560" t="s">
        <v>19781</v>
      </c>
      <c r="B11560" t="s">
        <v>19782</v>
      </c>
      <c r="C11560" t="s">
        <v>553</v>
      </c>
      <c r="D11560" t="s">
        <v>52</v>
      </c>
      <c r="E11560" t="s">
        <v>15</v>
      </c>
      <c r="F11560" s="2" t="str">
        <f>HYPERLINK("http://www.otzar.org/book.asp?158053","הלכות נדה להרמב""ן - חידושי הרז""ה")</f>
        <v>הלכות נדה להרמב"ן - חידושי הרז"ה</v>
      </c>
    </row>
    <row r="11561" spans="1:6" x14ac:dyDescent="0.2">
      <c r="A11561" t="s">
        <v>19783</v>
      </c>
      <c r="B11561" t="s">
        <v>19784</v>
      </c>
      <c r="C11561" t="s">
        <v>1160</v>
      </c>
      <c r="D11561" t="s">
        <v>14</v>
      </c>
      <c r="E11561" t="s">
        <v>15</v>
      </c>
      <c r="F11561" s="2" t="str">
        <f>HYPERLINK("http://www.otzar.org/book.asp?11265","הלכות נדה לרא""ה")</f>
        <v>הלכות נדה לרא"ה</v>
      </c>
    </row>
    <row r="11562" spans="1:6" x14ac:dyDescent="0.2">
      <c r="A11562" t="s">
        <v>19785</v>
      </c>
      <c r="B11562" t="s">
        <v>19786</v>
      </c>
      <c r="C11562" t="s">
        <v>189</v>
      </c>
      <c r="D11562" t="s">
        <v>21</v>
      </c>
      <c r="E11562" t="s">
        <v>15</v>
      </c>
      <c r="F11562" s="2" t="str">
        <f>HYPERLINK("http://www.otzar.org/book.asp?605294","הלכות נדה לרא""ש עם ביאור זר דוד")</f>
        <v>הלכות נדה לרא"ש עם ביאור זר דוד</v>
      </c>
    </row>
    <row r="11563" spans="1:6" x14ac:dyDescent="0.2">
      <c r="A11563" t="s">
        <v>19787</v>
      </c>
      <c r="B11563" t="s">
        <v>19742</v>
      </c>
      <c r="C11563" t="s">
        <v>585</v>
      </c>
      <c r="D11563" t="s">
        <v>245</v>
      </c>
      <c r="E11563" t="s">
        <v>15</v>
      </c>
      <c r="F11563" s="2" t="str">
        <f>HYPERLINK("http://www.otzar.org/book.asp?188447","הלכות נדה - 2 כר'")</f>
        <v>הלכות נדה - 2 כר'</v>
      </c>
    </row>
    <row r="11564" spans="1:6" x14ac:dyDescent="0.2">
      <c r="A11564" t="s">
        <v>19788</v>
      </c>
      <c r="B11564" t="s">
        <v>1536</v>
      </c>
      <c r="C11564" t="s">
        <v>1019</v>
      </c>
      <c r="D11564" t="s">
        <v>19789</v>
      </c>
      <c r="E11564" t="s">
        <v>10</v>
      </c>
      <c r="F11564" s="2" t="str">
        <f>HYPERLINK("http://www.otzar.org/book.asp?105843","הלכות נדה")</f>
        <v>הלכות נדה</v>
      </c>
    </row>
    <row r="11565" spans="1:6" x14ac:dyDescent="0.2">
      <c r="A11565" t="s">
        <v>19790</v>
      </c>
      <c r="B11565" t="s">
        <v>19791</v>
      </c>
      <c r="C11565" t="s">
        <v>411</v>
      </c>
      <c r="D11565" t="s">
        <v>152</v>
      </c>
      <c r="E11565" t="s">
        <v>172</v>
      </c>
      <c r="F11565" s="2" t="str">
        <f>HYPERLINK("http://www.otzar.org/book.asp?191191","הלכות נזיקין")</f>
        <v>הלכות נזיקין</v>
      </c>
    </row>
    <row r="11566" spans="1:6" x14ac:dyDescent="0.2">
      <c r="A11566" t="s">
        <v>19792</v>
      </c>
      <c r="E11566" t="s">
        <v>15</v>
      </c>
      <c r="F11566" s="2" t="str">
        <f>HYPERLINK("http://www.otzar.org/book.asp?173343","הלכות נזיר, הלכות סוטה")</f>
        <v>הלכות נזיר, הלכות סוטה</v>
      </c>
    </row>
    <row r="11567" spans="1:6" x14ac:dyDescent="0.2">
      <c r="A11567" t="s">
        <v>19793</v>
      </c>
      <c r="B11567" t="s">
        <v>1536</v>
      </c>
      <c r="C11567" t="s">
        <v>360</v>
      </c>
      <c r="D11567" t="s">
        <v>225</v>
      </c>
      <c r="E11567" t="s">
        <v>393</v>
      </c>
      <c r="F11567" s="2" t="str">
        <f>HYPERLINK("http://www.otzar.org/book.asp?25590","הלכות נטילת ידים לסעודה והלכות ברכות הנהנין")</f>
        <v>הלכות נטילת ידים לסעודה והלכות ברכות הנהנין</v>
      </c>
    </row>
    <row r="11568" spans="1:6" x14ac:dyDescent="0.2">
      <c r="A11568" t="s">
        <v>19794</v>
      </c>
      <c r="B11568" t="s">
        <v>19795</v>
      </c>
      <c r="C11568" t="s">
        <v>427</v>
      </c>
      <c r="D11568" t="s">
        <v>14</v>
      </c>
      <c r="E11568" t="s">
        <v>674</v>
      </c>
      <c r="F11568" s="2" t="str">
        <f>HYPERLINK("http://www.otzar.org/book.asp?164296","הלכות ניתוחי חולים ומתים")</f>
        <v>הלכות ניתוחי חולים ומתים</v>
      </c>
    </row>
    <row r="11569" spans="1:6" x14ac:dyDescent="0.2">
      <c r="A11569" t="s">
        <v>19796</v>
      </c>
      <c r="B11569" t="s">
        <v>19797</v>
      </c>
      <c r="C11569" t="s">
        <v>533</v>
      </c>
      <c r="D11569" t="s">
        <v>14</v>
      </c>
      <c r="E11569" t="s">
        <v>15</v>
      </c>
      <c r="F11569" s="2" t="str">
        <f>HYPERLINK("http://www.otzar.org/book.asp?191320","הלכות נשים")</f>
        <v>הלכות נשים</v>
      </c>
    </row>
    <row r="11570" spans="1:6" x14ac:dyDescent="0.2">
      <c r="A11570" t="s">
        <v>19798</v>
      </c>
      <c r="B11570" t="s">
        <v>1750</v>
      </c>
      <c r="C11570" t="s">
        <v>422</v>
      </c>
      <c r="D11570" t="s">
        <v>14</v>
      </c>
      <c r="E11570" t="s">
        <v>15</v>
      </c>
      <c r="F11570" s="2" t="str">
        <f>HYPERLINK("http://www.otzar.org/book.asp?168405","הלכות סעודה")</f>
        <v>הלכות סעודה</v>
      </c>
    </row>
    <row r="11571" spans="1:6" x14ac:dyDescent="0.2">
      <c r="A11571" t="s">
        <v>19799</v>
      </c>
      <c r="B11571" t="s">
        <v>19800</v>
      </c>
      <c r="C11571" t="s">
        <v>2213</v>
      </c>
      <c r="D11571" t="s">
        <v>5665</v>
      </c>
      <c r="E11571" t="s">
        <v>144</v>
      </c>
      <c r="F11571" s="2" t="str">
        <f>HYPERLINK("http://www.otzar.org/book.asp?12903","הלכות עולם")</f>
        <v>הלכות עולם</v>
      </c>
    </row>
    <row r="11572" spans="1:6" x14ac:dyDescent="0.2">
      <c r="A11572" t="s">
        <v>19799</v>
      </c>
      <c r="B11572" t="s">
        <v>19508</v>
      </c>
      <c r="C11572" t="s">
        <v>1418</v>
      </c>
      <c r="D11572" t="s">
        <v>1419</v>
      </c>
      <c r="E11572" t="s">
        <v>19801</v>
      </c>
      <c r="F11572" s="2" t="str">
        <f>HYPERLINK("http://www.otzar.org/book.asp?100948","הלכות עולם")</f>
        <v>הלכות עולם</v>
      </c>
    </row>
    <row r="11573" spans="1:6" x14ac:dyDescent="0.2">
      <c r="A11573" t="s">
        <v>19802</v>
      </c>
      <c r="B11573" t="s">
        <v>19803</v>
      </c>
      <c r="C11573" t="s">
        <v>20</v>
      </c>
      <c r="D11573" t="s">
        <v>52</v>
      </c>
      <c r="E11573" t="s">
        <v>15</v>
      </c>
      <c r="F11573" s="2" t="str">
        <f>HYPERLINK("http://www.otzar.org/book.asp?183355","הלכות עיטוף בטלית")</f>
        <v>הלכות עיטוף בטלית</v>
      </c>
    </row>
    <row r="11574" spans="1:6" x14ac:dyDescent="0.2">
      <c r="A11574" t="s">
        <v>19804</v>
      </c>
      <c r="B11574" t="s">
        <v>19805</v>
      </c>
      <c r="C11574" t="s">
        <v>103</v>
      </c>
      <c r="D11574" t="s">
        <v>52</v>
      </c>
      <c r="E11574" t="s">
        <v>148</v>
      </c>
      <c r="F11574" s="2" t="str">
        <f>HYPERLINK("http://www.otzar.org/book.asp?148573","הלכות עירובי תבשילין")</f>
        <v>הלכות עירובי תבשילין</v>
      </c>
    </row>
    <row r="11575" spans="1:6" x14ac:dyDescent="0.2">
      <c r="A11575" t="s">
        <v>19806</v>
      </c>
      <c r="B11575" t="s">
        <v>19807</v>
      </c>
      <c r="C11575" t="s">
        <v>1811</v>
      </c>
      <c r="D11575" t="s">
        <v>14</v>
      </c>
      <c r="E11575" t="s">
        <v>15</v>
      </c>
      <c r="F11575" s="2" t="str">
        <f>HYPERLINK("http://www.otzar.org/book.asp?148723","הלכות עירובין")</f>
        <v>הלכות עירובין</v>
      </c>
    </row>
    <row r="11576" spans="1:6" x14ac:dyDescent="0.2">
      <c r="A11576" t="s">
        <v>19808</v>
      </c>
      <c r="B11576" t="s">
        <v>19809</v>
      </c>
      <c r="C11576" t="s">
        <v>1570</v>
      </c>
      <c r="D11576" t="s">
        <v>412</v>
      </c>
      <c r="E11576" t="s">
        <v>130</v>
      </c>
      <c r="F11576" s="2" t="str">
        <f>HYPERLINK("http://www.otzar.org/book.asp?604297","הלכות ערב פסח שחל בשבת")</f>
        <v>הלכות ערב פסח שחל בשבת</v>
      </c>
    </row>
    <row r="11577" spans="1:6" x14ac:dyDescent="0.2">
      <c r="A11577" t="s">
        <v>19810</v>
      </c>
      <c r="B11577" t="s">
        <v>19811</v>
      </c>
      <c r="C11577" t="s">
        <v>20</v>
      </c>
      <c r="D11577" t="s">
        <v>1550</v>
      </c>
      <c r="F11577" s="2" t="str">
        <f>HYPERLINK("http://www.otzar.org/book.asp?612426","הלכות עשיית עירוב חצרות ובדיקת המחיצות - 2 כר'")</f>
        <v>הלכות עשיית עירוב חצרות ובדיקת המחיצות - 2 כר'</v>
      </c>
    </row>
    <row r="11578" spans="1:6" x14ac:dyDescent="0.2">
      <c r="A11578" t="s">
        <v>19812</v>
      </c>
      <c r="B11578" t="s">
        <v>19813</v>
      </c>
      <c r="C11578" t="s">
        <v>617</v>
      </c>
      <c r="D11578" t="s">
        <v>1117</v>
      </c>
      <c r="E11578" t="s">
        <v>15</v>
      </c>
      <c r="F11578" s="2" t="str">
        <f>HYPERLINK("http://www.otzar.org/book.asp?12875","הלכות פסוקות מן הגאונים")</f>
        <v>הלכות פסוקות מן הגאונים</v>
      </c>
    </row>
    <row r="11579" spans="1:6" x14ac:dyDescent="0.2">
      <c r="A11579" t="s">
        <v>19814</v>
      </c>
      <c r="B11579" t="s">
        <v>19815</v>
      </c>
      <c r="C11579" t="s">
        <v>896</v>
      </c>
      <c r="D11579" t="s">
        <v>19816</v>
      </c>
      <c r="E11579" t="s">
        <v>803</v>
      </c>
      <c r="F11579" s="2" t="str">
        <f>HYPERLINK("http://www.otzar.org/book.asp?6299","הלכות פסוקות - 3 כר'")</f>
        <v>הלכות פסוקות - 3 כר'</v>
      </c>
    </row>
    <row r="11580" spans="1:6" x14ac:dyDescent="0.2">
      <c r="A11580" t="s">
        <v>19817</v>
      </c>
      <c r="B11580" t="s">
        <v>19818</v>
      </c>
      <c r="C11580" t="s">
        <v>462</v>
      </c>
      <c r="D11580" t="s">
        <v>27</v>
      </c>
      <c r="E11580" t="s">
        <v>148</v>
      </c>
      <c r="F11580" s="2" t="str">
        <f>HYPERLINK("http://www.otzar.org/book.asp?104634","הלכות פסוקות")</f>
        <v>הלכות פסוקות</v>
      </c>
    </row>
    <row r="11581" spans="1:6" x14ac:dyDescent="0.2">
      <c r="A11581" t="s">
        <v>19819</v>
      </c>
      <c r="B11581" t="s">
        <v>18196</v>
      </c>
      <c r="C11581" t="s">
        <v>919</v>
      </c>
      <c r="D11581" t="s">
        <v>412</v>
      </c>
      <c r="E11581" t="s">
        <v>130</v>
      </c>
      <c r="F11581" s="2" t="str">
        <f>HYPERLINK("http://www.otzar.org/book.asp?604387","הלכות פסח (אידיש)")</f>
        <v>הלכות פסח (אידיש)</v>
      </c>
    </row>
    <row r="11582" spans="1:6" x14ac:dyDescent="0.2">
      <c r="A11582" t="s">
        <v>19820</v>
      </c>
      <c r="B11582" t="s">
        <v>19821</v>
      </c>
      <c r="C11582" t="s">
        <v>767</v>
      </c>
      <c r="D11582" t="s">
        <v>14</v>
      </c>
      <c r="E11582" t="s">
        <v>15</v>
      </c>
      <c r="F11582" s="2" t="str">
        <f>HYPERLINK("http://www.otzar.org/book.asp?627742","הלכות פסח לחולה")</f>
        <v>הלכות פסח לחולה</v>
      </c>
    </row>
    <row r="11583" spans="1:6" x14ac:dyDescent="0.2">
      <c r="A11583" t="s">
        <v>19822</v>
      </c>
      <c r="B11583" t="s">
        <v>19823</v>
      </c>
      <c r="C11583" t="s">
        <v>20</v>
      </c>
      <c r="D11583" t="s">
        <v>118</v>
      </c>
      <c r="E11583" t="s">
        <v>148</v>
      </c>
      <c r="F11583" s="2" t="str">
        <f>HYPERLINK("http://www.otzar.org/book.asp?10283","הלכות פסח קיצור שלחן ערוך &lt;לקט בני איש&gt;")</f>
        <v>הלכות פסח קיצור שלחן ערוך &lt;לקט בני איש&gt;</v>
      </c>
    </row>
    <row r="11584" spans="1:6" x14ac:dyDescent="0.2">
      <c r="A11584" t="s">
        <v>19824</v>
      </c>
      <c r="B11584" t="s">
        <v>19742</v>
      </c>
      <c r="C11584" t="s">
        <v>168</v>
      </c>
      <c r="D11584" t="s">
        <v>245</v>
      </c>
      <c r="E11584" t="s">
        <v>130</v>
      </c>
      <c r="F11584" s="2" t="str">
        <f>HYPERLINK("http://www.otzar.org/book.asp?188478","הלכות פסח - ב")</f>
        <v>הלכות פסח - ב</v>
      </c>
    </row>
    <row r="11585" spans="1:6" x14ac:dyDescent="0.2">
      <c r="A11585" t="s">
        <v>19825</v>
      </c>
      <c r="B11585" t="s">
        <v>19826</v>
      </c>
      <c r="C11585" t="s">
        <v>1844</v>
      </c>
      <c r="D11585" t="s">
        <v>280</v>
      </c>
      <c r="E11585" t="s">
        <v>15</v>
      </c>
      <c r="F11585" s="2" t="str">
        <f>HYPERLINK("http://www.otzar.org/book.asp?8623","הלכות פסחים")</f>
        <v>הלכות פסחים</v>
      </c>
    </row>
    <row r="11586" spans="1:6" x14ac:dyDescent="0.2">
      <c r="A11586" t="s">
        <v>19827</v>
      </c>
      <c r="B11586" t="s">
        <v>206</v>
      </c>
      <c r="C11586" t="s">
        <v>422</v>
      </c>
      <c r="D11586" t="s">
        <v>14</v>
      </c>
      <c r="E11586" t="s">
        <v>15</v>
      </c>
      <c r="F11586" s="2" t="str">
        <f>HYPERLINK("http://www.otzar.org/book.asp?183243","הלכות צדקה")</f>
        <v>הלכות צדקה</v>
      </c>
    </row>
    <row r="11587" spans="1:6" x14ac:dyDescent="0.2">
      <c r="A11587" t="s">
        <v>19828</v>
      </c>
      <c r="B11587" t="s">
        <v>4574</v>
      </c>
      <c r="C11587" t="s">
        <v>1437</v>
      </c>
      <c r="D11587" t="s">
        <v>27</v>
      </c>
      <c r="E11587" t="s">
        <v>154</v>
      </c>
      <c r="F11587" s="2" t="str">
        <f>HYPERLINK("http://www.otzar.org/book.asp?102786","הלכות קטנות &lt;הלכה רווחת&gt;")</f>
        <v>הלכות קטנות &lt;הלכה רווחת&gt;</v>
      </c>
    </row>
    <row r="11588" spans="1:6" x14ac:dyDescent="0.2">
      <c r="A11588" t="s">
        <v>19829</v>
      </c>
      <c r="B11588" t="s">
        <v>19830</v>
      </c>
      <c r="C11588" t="s">
        <v>10538</v>
      </c>
      <c r="D11588" t="s">
        <v>322</v>
      </c>
      <c r="E11588" t="s">
        <v>15</v>
      </c>
      <c r="F11588" s="2" t="str">
        <f>HYPERLINK("http://www.otzar.org/book.asp?193943","הלכות קטנות להרא""ש - מש""ס פפד""מ")</f>
        <v>הלכות קטנות להרא"ש - מש"ס פפד"מ</v>
      </c>
    </row>
    <row r="11589" spans="1:6" x14ac:dyDescent="0.2">
      <c r="A11589" t="s">
        <v>19831</v>
      </c>
      <c r="B11589" t="s">
        <v>4574</v>
      </c>
      <c r="C11589" t="s">
        <v>748</v>
      </c>
      <c r="D11589" t="s">
        <v>1117</v>
      </c>
      <c r="E11589" t="s">
        <v>396</v>
      </c>
      <c r="F11589" s="2" t="str">
        <f>HYPERLINK("http://www.otzar.org/book.asp?101173","הלכות קטנות - 3 כר'")</f>
        <v>הלכות קטנות - 3 כר'</v>
      </c>
    </row>
    <row r="11590" spans="1:6" x14ac:dyDescent="0.2">
      <c r="A11590" t="s">
        <v>19832</v>
      </c>
      <c r="B11590" t="s">
        <v>19833</v>
      </c>
      <c r="C11590" t="s">
        <v>777</v>
      </c>
      <c r="D11590" t="s">
        <v>27</v>
      </c>
      <c r="E11590" t="s">
        <v>15</v>
      </c>
      <c r="F11590" s="2" t="str">
        <f>HYPERLINK("http://www.otzar.org/book.asp?10509","הלכות קצובות")</f>
        <v>הלכות קצובות</v>
      </c>
    </row>
    <row r="11591" spans="1:6" x14ac:dyDescent="0.2">
      <c r="A11591" t="s">
        <v>19834</v>
      </c>
      <c r="B11591" t="s">
        <v>1973</v>
      </c>
      <c r="C11591" t="s">
        <v>23</v>
      </c>
      <c r="D11591" t="s">
        <v>1974</v>
      </c>
      <c r="E11591" t="s">
        <v>15</v>
      </c>
      <c r="F11591" s="2" t="str">
        <f>HYPERLINK("http://www.otzar.org/book.asp?193824","הלכות קריאת ספר תורה")</f>
        <v>הלכות קריאת ספר תורה</v>
      </c>
    </row>
    <row r="11592" spans="1:6" x14ac:dyDescent="0.2">
      <c r="A11592" t="s">
        <v>19835</v>
      </c>
      <c r="B11592" t="s">
        <v>206</v>
      </c>
      <c r="C11592" t="s">
        <v>20</v>
      </c>
      <c r="D11592" t="s">
        <v>90</v>
      </c>
      <c r="E11592" t="s">
        <v>15</v>
      </c>
      <c r="F11592" s="2" t="str">
        <f>HYPERLINK("http://www.otzar.org/book.asp?629832","הלכות קריעה על המקדש")</f>
        <v>הלכות קריעה על המקדש</v>
      </c>
    </row>
    <row r="11593" spans="1:6" x14ac:dyDescent="0.2">
      <c r="A11593" t="s">
        <v>19836</v>
      </c>
      <c r="B11593" t="s">
        <v>19837</v>
      </c>
      <c r="C11593" t="s">
        <v>244</v>
      </c>
      <c r="D11593" t="s">
        <v>14</v>
      </c>
      <c r="E11593" t="s">
        <v>15</v>
      </c>
      <c r="F11593" s="2" t="str">
        <f>HYPERLINK("http://www.otzar.org/book.asp?628207","הלכות קריעה")</f>
        <v>הלכות קריעה</v>
      </c>
    </row>
    <row r="11594" spans="1:6" x14ac:dyDescent="0.2">
      <c r="A11594" t="s">
        <v>19838</v>
      </c>
      <c r="B11594" t="s">
        <v>10448</v>
      </c>
      <c r="C11594" t="s">
        <v>133</v>
      </c>
      <c r="D11594" t="s">
        <v>2375</v>
      </c>
      <c r="E11594" t="s">
        <v>15</v>
      </c>
      <c r="F11594" s="2" t="str">
        <f>HYPERLINK("http://www.otzar.org/book.asp?625586","הלכות ראש חודש ותעניות")</f>
        <v>הלכות ראש חודש ותעניות</v>
      </c>
    </row>
    <row r="11595" spans="1:6" x14ac:dyDescent="0.2">
      <c r="A11595" t="s">
        <v>19839</v>
      </c>
      <c r="B11595" t="s">
        <v>19840</v>
      </c>
      <c r="C11595" t="s">
        <v>68</v>
      </c>
      <c r="D11595" t="s">
        <v>14</v>
      </c>
      <c r="E11595" t="s">
        <v>15</v>
      </c>
      <c r="F11595" s="2" t="str">
        <f>HYPERLINK("http://www.otzar.org/book.asp?169857","הלכות רב אלפס  עם ביאור שביל הישר - 16 כר'")</f>
        <v>הלכות רב אלפס  עם ביאור שביל הישר - 16 כר'</v>
      </c>
    </row>
    <row r="11596" spans="1:6" x14ac:dyDescent="0.2">
      <c r="A11596" t="s">
        <v>19841</v>
      </c>
      <c r="B11596" t="s">
        <v>7913</v>
      </c>
      <c r="C11596" t="s">
        <v>19842</v>
      </c>
      <c r="D11596" t="s">
        <v>1023</v>
      </c>
      <c r="F11596" s="2" t="str">
        <f>HYPERLINK("http://www.otzar.org/book.asp?618724","הלכות רב אלפס &lt;אמ""ד&gt; - 2 כר'")</f>
        <v>הלכות רב אלפס &lt;אמ"ד&gt; - 2 כר'</v>
      </c>
    </row>
    <row r="11597" spans="1:6" x14ac:dyDescent="0.2">
      <c r="A11597" t="s">
        <v>19843</v>
      </c>
      <c r="B11597" t="s">
        <v>7913</v>
      </c>
      <c r="C11597" t="s">
        <v>6052</v>
      </c>
      <c r="D11597" t="s">
        <v>56</v>
      </c>
      <c r="E11597" t="s">
        <v>803</v>
      </c>
      <c r="F11597" s="2" t="str">
        <f>HYPERLINK("http://www.otzar.org/book.asp?6970","הלכות רב אלפס &lt;שביל הישר&gt;")</f>
        <v>הלכות רב אלפס &lt;שביל הישר&gt;</v>
      </c>
    </row>
    <row r="11598" spans="1:6" x14ac:dyDescent="0.2">
      <c r="A11598" t="s">
        <v>19844</v>
      </c>
      <c r="B11598" t="s">
        <v>7913</v>
      </c>
      <c r="C11598" t="s">
        <v>20</v>
      </c>
      <c r="D11598" t="s">
        <v>90</v>
      </c>
      <c r="F11598" s="2" t="str">
        <f>HYPERLINK("http://www.otzar.org/book.asp?182183","הלכות רב אלפס (חלקי) - 2 כר'")</f>
        <v>הלכות רב אלפס (חלקי) - 2 כר'</v>
      </c>
    </row>
    <row r="11599" spans="1:6" x14ac:dyDescent="0.2">
      <c r="A11599" t="s">
        <v>19845</v>
      </c>
      <c r="B11599" t="s">
        <v>7913</v>
      </c>
      <c r="C11599" t="s">
        <v>19846</v>
      </c>
      <c r="D11599" t="s">
        <v>1023</v>
      </c>
      <c r="F11599" s="2" t="str">
        <f>HYPERLINK("http://www.otzar.org/book.asp?182133","הלכות רב אלפס - 19 כר'")</f>
        <v>הלכות רב אלפס - 19 כר'</v>
      </c>
    </row>
    <row r="11600" spans="1:6" x14ac:dyDescent="0.2">
      <c r="A11600" t="s">
        <v>19847</v>
      </c>
      <c r="B11600" t="s">
        <v>19848</v>
      </c>
      <c r="C11600" t="s">
        <v>356</v>
      </c>
      <c r="D11600" t="s">
        <v>52</v>
      </c>
      <c r="E11600" t="s">
        <v>148</v>
      </c>
      <c r="F11600" s="2" t="str">
        <f>HYPERLINK("http://www.otzar.org/book.asp?153813","הלכות רבית עם לקט הלכה")</f>
        <v>הלכות רבית עם לקט הלכה</v>
      </c>
    </row>
    <row r="11601" spans="1:6" x14ac:dyDescent="0.2">
      <c r="A11601" t="s">
        <v>19849</v>
      </c>
      <c r="B11601" t="s">
        <v>19848</v>
      </c>
      <c r="C11601" t="s">
        <v>334</v>
      </c>
      <c r="D11601" t="s">
        <v>52</v>
      </c>
      <c r="F11601" s="2" t="str">
        <f>HYPERLINK("http://www.otzar.org/book.asp?615653","הלכות רבית - ביאור הגר""א עם מקורי הביאור")</f>
        <v>הלכות רבית - ביאור הגר"א עם מקורי הביאור</v>
      </c>
    </row>
    <row r="11602" spans="1:6" x14ac:dyDescent="0.2">
      <c r="A11602" t="s">
        <v>19850</v>
      </c>
      <c r="B11602" t="s">
        <v>4886</v>
      </c>
      <c r="C11602" t="s">
        <v>956</v>
      </c>
      <c r="D11602" t="s">
        <v>14</v>
      </c>
      <c r="E11602" t="s">
        <v>15</v>
      </c>
      <c r="F11602" s="2" t="str">
        <f>HYPERLINK("http://www.otzar.org/book.asp?22484","הלכות שביעית")</f>
        <v>הלכות שביעית</v>
      </c>
    </row>
    <row r="11603" spans="1:6" x14ac:dyDescent="0.2">
      <c r="A11603" t="s">
        <v>19850</v>
      </c>
      <c r="B11603" t="s">
        <v>5501</v>
      </c>
      <c r="C11603" t="s">
        <v>445</v>
      </c>
      <c r="D11603" t="s">
        <v>27</v>
      </c>
      <c r="E11603" t="s">
        <v>10</v>
      </c>
      <c r="F11603" s="2" t="str">
        <f>HYPERLINK("http://www.otzar.org/book.asp?106097","הלכות שביעית")</f>
        <v>הלכות שביעית</v>
      </c>
    </row>
    <row r="11604" spans="1:6" x14ac:dyDescent="0.2">
      <c r="A11604" t="s">
        <v>19850</v>
      </c>
      <c r="B11604" t="s">
        <v>19851</v>
      </c>
      <c r="C11604" t="s">
        <v>1448</v>
      </c>
      <c r="D11604" t="s">
        <v>14</v>
      </c>
      <c r="E11604" t="s">
        <v>15</v>
      </c>
      <c r="F11604" s="2" t="str">
        <f>HYPERLINK("http://www.otzar.org/book.asp?17069","הלכות שביעית")</f>
        <v>הלכות שביעית</v>
      </c>
    </row>
    <row r="11605" spans="1:6" x14ac:dyDescent="0.2">
      <c r="A11605" t="s">
        <v>19852</v>
      </c>
      <c r="B11605" t="s">
        <v>19853</v>
      </c>
      <c r="C11605" t="s">
        <v>244</v>
      </c>
      <c r="D11605" t="s">
        <v>152</v>
      </c>
      <c r="E11605" t="s">
        <v>15</v>
      </c>
      <c r="F11605" s="2" t="str">
        <f>HYPERLINK("http://www.otzar.org/book.asp?197766","הלכות שבע ברכות")</f>
        <v>הלכות שבע ברכות</v>
      </c>
    </row>
    <row r="11606" spans="1:6" x14ac:dyDescent="0.2">
      <c r="A11606" t="s">
        <v>19852</v>
      </c>
      <c r="B11606" t="s">
        <v>19646</v>
      </c>
      <c r="C11606" t="s">
        <v>366</v>
      </c>
      <c r="D11606" t="s">
        <v>21</v>
      </c>
      <c r="F11606" s="2" t="str">
        <f>HYPERLINK("http://www.otzar.org/book.asp?610178","הלכות שבע ברכות")</f>
        <v>הלכות שבע ברכות</v>
      </c>
    </row>
    <row r="11607" spans="1:6" x14ac:dyDescent="0.2">
      <c r="A11607" t="s">
        <v>19854</v>
      </c>
      <c r="B11607" t="s">
        <v>18196</v>
      </c>
      <c r="C11607" t="s">
        <v>1811</v>
      </c>
      <c r="D11607" t="s">
        <v>412</v>
      </c>
      <c r="E11607" t="s">
        <v>15</v>
      </c>
      <c r="F11607" s="2" t="str">
        <f>HYPERLINK("http://www.otzar.org/book.asp?604304","הלכות שבת (אידיש)")</f>
        <v>הלכות שבת (אידיש)</v>
      </c>
    </row>
    <row r="11608" spans="1:6" x14ac:dyDescent="0.2">
      <c r="A11608" t="s">
        <v>19855</v>
      </c>
      <c r="B11608" t="s">
        <v>19856</v>
      </c>
      <c r="C11608" t="s">
        <v>133</v>
      </c>
      <c r="D11608" t="s">
        <v>657</v>
      </c>
      <c r="E11608" t="s">
        <v>15</v>
      </c>
      <c r="F11608" s="2" t="str">
        <f>HYPERLINK("http://www.otzar.org/book.asp?617918","הלכות שבת בשבת - 2 כר'")</f>
        <v>הלכות שבת בשבת - 2 כר'</v>
      </c>
    </row>
    <row r="11609" spans="1:6" x14ac:dyDescent="0.2">
      <c r="A11609" t="s">
        <v>19857</v>
      </c>
      <c r="B11609" t="s">
        <v>17431</v>
      </c>
      <c r="C11609" t="s">
        <v>37</v>
      </c>
      <c r="D11609" t="s">
        <v>14</v>
      </c>
      <c r="E11609" t="s">
        <v>15</v>
      </c>
      <c r="F11609" s="2" t="str">
        <f>HYPERLINK("http://www.otzar.org/book.asp?192370","הלכות שבת בשבת - 6 כר'")</f>
        <v>הלכות שבת בשבת - 6 כר'</v>
      </c>
    </row>
    <row r="11610" spans="1:6" x14ac:dyDescent="0.2">
      <c r="A11610" t="s">
        <v>19858</v>
      </c>
      <c r="B11610" t="s">
        <v>19859</v>
      </c>
      <c r="C11610" t="s">
        <v>23</v>
      </c>
      <c r="D11610" t="s">
        <v>1273</v>
      </c>
      <c r="F11610" s="2" t="str">
        <f>HYPERLINK("http://www.otzar.org/book.asp?605334","הלכות שבת בשבתו")</f>
        <v>הלכות שבת בשבתו</v>
      </c>
    </row>
    <row r="11611" spans="1:6" x14ac:dyDescent="0.2">
      <c r="A11611" t="s">
        <v>19860</v>
      </c>
      <c r="B11611" t="s">
        <v>19861</v>
      </c>
      <c r="C11611" t="s">
        <v>23</v>
      </c>
      <c r="D11611" t="s">
        <v>21</v>
      </c>
      <c r="F11611" s="2" t="str">
        <f>HYPERLINK("http://www.otzar.org/book.asp?603522","הלכות שבת למעשה")</f>
        <v>הלכות שבת למעשה</v>
      </c>
    </row>
    <row r="11612" spans="1:6" x14ac:dyDescent="0.2">
      <c r="A11612" t="s">
        <v>19862</v>
      </c>
      <c r="B11612" t="s">
        <v>18273</v>
      </c>
      <c r="C11612" t="s">
        <v>624</v>
      </c>
      <c r="D11612" t="s">
        <v>52</v>
      </c>
      <c r="E11612" t="s">
        <v>15</v>
      </c>
      <c r="F11612" s="2" t="str">
        <f>HYPERLINK("http://www.otzar.org/book.asp?24924","הלכות שבת מנוקד")</f>
        <v>הלכות שבת מנוקד</v>
      </c>
    </row>
    <row r="11613" spans="1:6" x14ac:dyDescent="0.2">
      <c r="A11613" t="s">
        <v>19863</v>
      </c>
      <c r="B11613" t="s">
        <v>19742</v>
      </c>
      <c r="C11613" t="s">
        <v>1811</v>
      </c>
      <c r="D11613" t="s">
        <v>245</v>
      </c>
      <c r="E11613" t="s">
        <v>130</v>
      </c>
      <c r="F11613" s="2" t="str">
        <f>HYPERLINK("http://www.otzar.org/book.asp?188480","הלכות שבת - 2 כר'")</f>
        <v>הלכות שבת - 2 כר'</v>
      </c>
    </row>
    <row r="11614" spans="1:6" x14ac:dyDescent="0.2">
      <c r="A11614" t="s">
        <v>19864</v>
      </c>
      <c r="B11614" t="s">
        <v>19865</v>
      </c>
      <c r="C11614" t="s">
        <v>151</v>
      </c>
      <c r="D11614" t="s">
        <v>14919</v>
      </c>
      <c r="E11614" t="s">
        <v>15</v>
      </c>
      <c r="F11614" s="2" t="str">
        <f>HYPERLINK("http://www.otzar.org/book.asp?630246","הלכות שבת - סיכום סימני הבקיאות")</f>
        <v>הלכות שבת - סיכום סימני הבקיאות</v>
      </c>
    </row>
    <row r="11615" spans="1:6" x14ac:dyDescent="0.2">
      <c r="A11615" t="s">
        <v>19866</v>
      </c>
      <c r="B11615" t="s">
        <v>19867</v>
      </c>
      <c r="C11615" t="s">
        <v>133</v>
      </c>
      <c r="D11615" t="s">
        <v>90</v>
      </c>
      <c r="F11615" s="2" t="str">
        <f>HYPERLINK("http://www.otzar.org/book.asp?616013","הלכות שבת")</f>
        <v>הלכות שבת</v>
      </c>
    </row>
    <row r="11616" spans="1:6" x14ac:dyDescent="0.2">
      <c r="A11616" t="s">
        <v>19868</v>
      </c>
      <c r="B11616" t="s">
        <v>19869</v>
      </c>
      <c r="C11616" t="s">
        <v>19870</v>
      </c>
      <c r="D11616" t="s">
        <v>19871</v>
      </c>
      <c r="E11616" t="s">
        <v>15</v>
      </c>
      <c r="F11616" s="2" t="str">
        <f>HYPERLINK("http://www.otzar.org/book.asp?151488","הלכות שחיטה ובדיקה")</f>
        <v>הלכות שחיטה ובדיקה</v>
      </c>
    </row>
    <row r="11617" spans="1:6" x14ac:dyDescent="0.2">
      <c r="A11617" t="s">
        <v>19868</v>
      </c>
      <c r="B11617" t="s">
        <v>19872</v>
      </c>
      <c r="C11617" t="s">
        <v>19873</v>
      </c>
      <c r="D11617" t="s">
        <v>49</v>
      </c>
      <c r="E11617" t="s">
        <v>15</v>
      </c>
      <c r="F11617" s="2" t="str">
        <f>HYPERLINK("http://www.otzar.org/book.asp?146930","הלכות שחיטה ובדיקה")</f>
        <v>הלכות שחיטה ובדיקה</v>
      </c>
    </row>
    <row r="11618" spans="1:6" x14ac:dyDescent="0.2">
      <c r="A11618" t="s">
        <v>19874</v>
      </c>
      <c r="B11618" t="s">
        <v>19875</v>
      </c>
      <c r="C11618" t="s">
        <v>422</v>
      </c>
      <c r="D11618" t="s">
        <v>52</v>
      </c>
      <c r="E11618" t="s">
        <v>15</v>
      </c>
      <c r="F11618" s="2" t="str">
        <f>HYPERLINK("http://www.otzar.org/book.asp?165044","הלכות שטענז")</f>
        <v>הלכות שטענז</v>
      </c>
    </row>
    <row r="11619" spans="1:6" x14ac:dyDescent="0.2">
      <c r="A11619" t="s">
        <v>19876</v>
      </c>
      <c r="B11619" t="s">
        <v>19877</v>
      </c>
      <c r="C11619" t="s">
        <v>111</v>
      </c>
      <c r="D11619" t="s">
        <v>19878</v>
      </c>
      <c r="E11619" t="s">
        <v>741</v>
      </c>
      <c r="F11619" s="2" t="str">
        <f>HYPERLINK("http://www.otzar.org/book.asp?627520","הלכות שטריימל")</f>
        <v>הלכות שטריימל</v>
      </c>
    </row>
    <row r="11620" spans="1:6" x14ac:dyDescent="0.2">
      <c r="A11620" t="s">
        <v>19879</v>
      </c>
      <c r="B11620" t="s">
        <v>19880</v>
      </c>
      <c r="C11620" t="s">
        <v>111</v>
      </c>
      <c r="D11620" t="s">
        <v>52</v>
      </c>
      <c r="E11620" t="s">
        <v>15</v>
      </c>
      <c r="F11620" s="2" t="str">
        <f>HYPERLINK("http://www.otzar.org/book.asp?627161","הלכות שכיחות לנופשים")</f>
        <v>הלכות שכיחות לנופשים</v>
      </c>
    </row>
    <row r="11621" spans="1:6" x14ac:dyDescent="0.2">
      <c r="A11621" t="s">
        <v>19881</v>
      </c>
      <c r="B11621" t="s">
        <v>19882</v>
      </c>
      <c r="C11621" t="s">
        <v>176</v>
      </c>
      <c r="D11621" t="s">
        <v>14</v>
      </c>
      <c r="E11621" t="s">
        <v>15</v>
      </c>
      <c r="F11621" s="2" t="str">
        <f>HYPERLINK("http://www.otzar.org/book.asp?148673","הלכות שליח צבור")</f>
        <v>הלכות שליח צבור</v>
      </c>
    </row>
    <row r="11622" spans="1:6" x14ac:dyDescent="0.2">
      <c r="A11622" t="s">
        <v>19883</v>
      </c>
      <c r="B11622" t="s">
        <v>19884</v>
      </c>
      <c r="C11622" t="s">
        <v>19885</v>
      </c>
      <c r="D11622" t="s">
        <v>212</v>
      </c>
      <c r="E11622" t="s">
        <v>1520</v>
      </c>
      <c r="F11622" s="2" t="str">
        <f>HYPERLINK("http://www.otzar.org/book.asp?150","הלכות שמחות &lt;מחנה לויה&gt;")</f>
        <v>הלכות שמחות &lt;מחנה לויה&gt;</v>
      </c>
    </row>
    <row r="11623" spans="1:6" x14ac:dyDescent="0.2">
      <c r="A11623" t="s">
        <v>19886</v>
      </c>
      <c r="B11623" t="s">
        <v>19887</v>
      </c>
      <c r="C11623" t="s">
        <v>124</v>
      </c>
      <c r="D11623" t="s">
        <v>14</v>
      </c>
      <c r="E11623" t="s">
        <v>15</v>
      </c>
      <c r="F11623" s="2" t="str">
        <f>HYPERLINK("http://www.otzar.org/book.asp?7979","הלכות שמחות &lt;השלם&gt;")</f>
        <v>הלכות שמחות &lt;השלם&gt;</v>
      </c>
    </row>
    <row r="11624" spans="1:6" x14ac:dyDescent="0.2">
      <c r="A11624" t="s">
        <v>19888</v>
      </c>
      <c r="B11624" t="s">
        <v>19756</v>
      </c>
      <c r="C11624" t="s">
        <v>1609</v>
      </c>
      <c r="D11624" t="s">
        <v>27</v>
      </c>
      <c r="E11624" t="s">
        <v>15</v>
      </c>
      <c r="F11624" s="2" t="str">
        <f>HYPERLINK("http://www.otzar.org/book.asp?142919","הלכות שמיטה והלכות תרומות ומעשרות")</f>
        <v>הלכות שמיטה והלכות תרומות ומעשרות</v>
      </c>
    </row>
    <row r="11625" spans="1:6" x14ac:dyDescent="0.2">
      <c r="A11625" t="s">
        <v>19889</v>
      </c>
      <c r="B11625" t="s">
        <v>107</v>
      </c>
      <c r="C11625" t="s">
        <v>553</v>
      </c>
      <c r="D11625" t="s">
        <v>14</v>
      </c>
      <c r="E11625" t="s">
        <v>15</v>
      </c>
      <c r="F11625" s="2" t="str">
        <f>HYPERLINK("http://www.otzar.org/book.asp?148245","הלכות שמיטת כספים")</f>
        <v>הלכות שמיטת כספים</v>
      </c>
    </row>
    <row r="11626" spans="1:6" x14ac:dyDescent="0.2">
      <c r="A11626" t="s">
        <v>19890</v>
      </c>
      <c r="B11626" t="s">
        <v>19756</v>
      </c>
      <c r="C11626" t="s">
        <v>442</v>
      </c>
      <c r="D11626" t="s">
        <v>27</v>
      </c>
      <c r="E11626" t="s">
        <v>15</v>
      </c>
      <c r="F11626" s="2" t="str">
        <f>HYPERLINK("http://www.otzar.org/book.asp?12235","הלכות שמיטת קרקעות")</f>
        <v>הלכות שמיטת קרקעות</v>
      </c>
    </row>
    <row r="11627" spans="1:6" x14ac:dyDescent="0.2">
      <c r="A11627" t="s">
        <v>19891</v>
      </c>
      <c r="B11627" t="s">
        <v>206</v>
      </c>
      <c r="C11627" t="s">
        <v>189</v>
      </c>
      <c r="D11627" t="s">
        <v>14</v>
      </c>
      <c r="E11627" t="s">
        <v>714</v>
      </c>
      <c r="F11627" s="2" t="str">
        <f>HYPERLINK("http://www.otzar.org/book.asp?50539","הלכות שמירת הדיבור")</f>
        <v>הלכות שמירת הדיבור</v>
      </c>
    </row>
    <row r="11628" spans="1:6" x14ac:dyDescent="0.2">
      <c r="A11628" t="s">
        <v>19892</v>
      </c>
      <c r="B11628" t="s">
        <v>206</v>
      </c>
      <c r="C11628" t="s">
        <v>103</v>
      </c>
      <c r="D11628" t="s">
        <v>80</v>
      </c>
      <c r="E11628" t="s">
        <v>15</v>
      </c>
      <c r="F11628" s="2" t="str">
        <f>HYPERLINK("http://www.otzar.org/book.asp?197333","הלכות תולעים")</f>
        <v>הלכות תולעים</v>
      </c>
    </row>
    <row r="11629" spans="1:6" x14ac:dyDescent="0.2">
      <c r="A11629" t="s">
        <v>19892</v>
      </c>
      <c r="B11629" t="s">
        <v>107</v>
      </c>
      <c r="C11629" t="s">
        <v>523</v>
      </c>
      <c r="D11629" t="s">
        <v>108</v>
      </c>
      <c r="E11629" t="s">
        <v>15</v>
      </c>
      <c r="F11629" s="2" t="str">
        <f>HYPERLINK("http://www.otzar.org/book.asp?15334","הלכות תולעים")</f>
        <v>הלכות תולעים</v>
      </c>
    </row>
    <row r="11630" spans="1:6" x14ac:dyDescent="0.2">
      <c r="A11630" t="s">
        <v>19893</v>
      </c>
      <c r="B11630" t="s">
        <v>19894</v>
      </c>
      <c r="C11630" t="s">
        <v>23</v>
      </c>
      <c r="D11630" t="s">
        <v>14</v>
      </c>
      <c r="E11630" t="s">
        <v>674</v>
      </c>
      <c r="F11630" s="2" t="str">
        <f>HYPERLINK("http://www.otzar.org/book.asp?189912","הלכות תחומי ארץ ישראל מזמן חז""ל")</f>
        <v>הלכות תחומי ארץ ישראל מזמן חז"ל</v>
      </c>
    </row>
    <row r="11631" spans="1:6" x14ac:dyDescent="0.2">
      <c r="A11631" t="s">
        <v>19895</v>
      </c>
      <c r="B11631" t="s">
        <v>19896</v>
      </c>
      <c r="C11631" t="s">
        <v>23</v>
      </c>
      <c r="D11631" t="s">
        <v>21</v>
      </c>
      <c r="E11631" t="s">
        <v>15</v>
      </c>
      <c r="F11631" s="2" t="str">
        <f>HYPERLINK("http://www.otzar.org/book.asp?603407","הלכות תלמוד תורה להרמב""ם &lt;מאורי התורה&gt;")</f>
        <v>הלכות תלמוד תורה להרמב"ם &lt;מאורי התורה&gt;</v>
      </c>
    </row>
    <row r="11632" spans="1:6" x14ac:dyDescent="0.2">
      <c r="A11632" t="s">
        <v>19897</v>
      </c>
      <c r="B11632" t="s">
        <v>19898</v>
      </c>
      <c r="C11632" t="s">
        <v>68</v>
      </c>
      <c r="D11632" t="s">
        <v>52</v>
      </c>
      <c r="E11632" t="s">
        <v>15</v>
      </c>
      <c r="F11632" s="2" t="str">
        <f>HYPERLINK("http://www.otzar.org/book.asp?164049","הלכות תלמוד תורה לרמב""ם &lt;תורת בנימין&gt;")</f>
        <v>הלכות תלמוד תורה לרמב"ם &lt;תורת בנימין&gt;</v>
      </c>
    </row>
    <row r="11633" spans="1:6" x14ac:dyDescent="0.2">
      <c r="A11633" t="s">
        <v>19899</v>
      </c>
      <c r="B11633" t="s">
        <v>12338</v>
      </c>
      <c r="C11633" t="s">
        <v>146</v>
      </c>
      <c r="D11633" t="s">
        <v>14</v>
      </c>
      <c r="E11633" t="s">
        <v>15</v>
      </c>
      <c r="F11633" s="2" t="str">
        <f>HYPERLINK("http://www.otzar.org/book.asp?606701","הלכות תלמוד תורה")</f>
        <v>הלכות תלמוד תורה</v>
      </c>
    </row>
    <row r="11634" spans="1:6" x14ac:dyDescent="0.2">
      <c r="A11634" t="s">
        <v>19900</v>
      </c>
      <c r="B11634" t="s">
        <v>19742</v>
      </c>
      <c r="C11634" t="s">
        <v>2132</v>
      </c>
      <c r="D11634" t="s">
        <v>245</v>
      </c>
      <c r="F11634" s="2" t="str">
        <f>HYPERLINK("http://www.otzar.org/book.asp?613756","הלכות תפילין")</f>
        <v>הלכות תפילין</v>
      </c>
    </row>
    <row r="11635" spans="1:6" x14ac:dyDescent="0.2">
      <c r="A11635" t="s">
        <v>19901</v>
      </c>
      <c r="B11635" t="s">
        <v>13662</v>
      </c>
      <c r="C11635" t="s">
        <v>244</v>
      </c>
      <c r="D11635" t="s">
        <v>657</v>
      </c>
      <c r="E11635" t="s">
        <v>15</v>
      </c>
      <c r="F11635" s="2" t="str">
        <f>HYPERLINK("http://www.otzar.org/book.asp?601568","הלכות תפילת הדרך")</f>
        <v>הלכות תפילת הדרך</v>
      </c>
    </row>
    <row r="11636" spans="1:6" x14ac:dyDescent="0.2">
      <c r="A11636" t="s">
        <v>19902</v>
      </c>
      <c r="B11636" t="s">
        <v>19903</v>
      </c>
      <c r="C11636" t="s">
        <v>19904</v>
      </c>
      <c r="D11636" t="s">
        <v>1008</v>
      </c>
      <c r="E11636" t="s">
        <v>15</v>
      </c>
      <c r="F11636" s="2" t="str">
        <f>HYPERLINK("http://www.otzar.org/book.asp?155763","הלכות תפלין")</f>
        <v>הלכות תפלין</v>
      </c>
    </row>
    <row r="11637" spans="1:6" x14ac:dyDescent="0.2">
      <c r="A11637" t="s">
        <v>19905</v>
      </c>
      <c r="B11637" t="s">
        <v>10759</v>
      </c>
      <c r="C11637" t="s">
        <v>1470</v>
      </c>
      <c r="D11637" t="s">
        <v>14</v>
      </c>
      <c r="E11637" t="s">
        <v>15</v>
      </c>
      <c r="F11637" s="2" t="str">
        <f>HYPERLINK("http://www.otzar.org/book.asp?12241","הלכות תרומות ומעשרות")</f>
        <v>הלכות תרומות ומעשרות</v>
      </c>
    </row>
    <row r="11638" spans="1:6" x14ac:dyDescent="0.2">
      <c r="A11638" t="s">
        <v>19906</v>
      </c>
      <c r="B11638" t="s">
        <v>19907</v>
      </c>
      <c r="C11638" t="s">
        <v>454</v>
      </c>
      <c r="D11638" t="s">
        <v>657</v>
      </c>
      <c r="E11638" t="s">
        <v>714</v>
      </c>
      <c r="F11638" s="2" t="str">
        <f>HYPERLINK("http://www.otzar.org/book.asp?26854","הלכות תשובה ושמונה פרקים להרמב""ם ז""ל")</f>
        <v>הלכות תשובה ושמונה פרקים להרמב"ם ז"ל</v>
      </c>
    </row>
    <row r="11639" spans="1:6" x14ac:dyDescent="0.2">
      <c r="A11639" t="s">
        <v>19908</v>
      </c>
      <c r="B11639" t="s">
        <v>19896</v>
      </c>
      <c r="C11639" t="s">
        <v>13</v>
      </c>
      <c r="D11639" t="s">
        <v>21</v>
      </c>
      <c r="E11639" t="s">
        <v>15</v>
      </c>
      <c r="F11639" s="2" t="str">
        <f>HYPERLINK("http://www.otzar.org/book.asp?603410","הלכות תשובה להרמב""ם &lt;מאורי התשובה&gt;")</f>
        <v>הלכות תשובה להרמב"ם &lt;מאורי התשובה&gt;</v>
      </c>
    </row>
    <row r="11640" spans="1:6" x14ac:dyDescent="0.2">
      <c r="A11640" t="s">
        <v>19909</v>
      </c>
      <c r="B11640" t="s">
        <v>3416</v>
      </c>
      <c r="C11640" t="s">
        <v>114</v>
      </c>
      <c r="D11640" t="s">
        <v>14</v>
      </c>
      <c r="E11640" t="s">
        <v>15</v>
      </c>
      <c r="F11640" s="2" t="str">
        <f>HYPERLINK("http://www.otzar.org/book.asp?164048","הלכות תשובה לרמב""ם &lt;שובי נפשי&gt;")</f>
        <v>הלכות תשובה לרמב"ם &lt;שובי נפשי&gt;</v>
      </c>
    </row>
    <row r="11641" spans="1:6" x14ac:dyDescent="0.2">
      <c r="A11641" t="s">
        <v>19910</v>
      </c>
      <c r="B11641" t="s">
        <v>19911</v>
      </c>
      <c r="C11641" t="s">
        <v>3690</v>
      </c>
      <c r="D11641" t="s">
        <v>283</v>
      </c>
      <c r="E11641" t="s">
        <v>325</v>
      </c>
      <c r="F11641" s="2" t="str">
        <f>HYPERLINK("http://www.otzar.org/book.asp?17671","הלכתא בטעמא")</f>
        <v>הלכתא בטעמא</v>
      </c>
    </row>
    <row r="11642" spans="1:6" x14ac:dyDescent="0.2">
      <c r="A11642" t="s">
        <v>19912</v>
      </c>
      <c r="B11642" t="s">
        <v>19913</v>
      </c>
      <c r="C11642" t="s">
        <v>20</v>
      </c>
      <c r="D11642" t="s">
        <v>412</v>
      </c>
      <c r="E11642" t="s">
        <v>15</v>
      </c>
      <c r="F11642" s="2" t="str">
        <f>HYPERLINK("http://www.otzar.org/book.asp?606329","הלכתא דמלכא - עמק הפתח")</f>
        <v>הלכתא דמלכא - עמק הפתח</v>
      </c>
    </row>
    <row r="11643" spans="1:6" x14ac:dyDescent="0.2">
      <c r="A11643" t="s">
        <v>19914</v>
      </c>
      <c r="B11643" t="s">
        <v>19915</v>
      </c>
      <c r="C11643" t="s">
        <v>3475</v>
      </c>
      <c r="D11643" t="s">
        <v>1023</v>
      </c>
      <c r="E11643" t="s">
        <v>15</v>
      </c>
      <c r="F11643" s="2" t="str">
        <f>HYPERLINK("http://www.otzar.org/book.asp?17052","הלכתא למשיחא")</f>
        <v>הלכתא למשיחא</v>
      </c>
    </row>
    <row r="11644" spans="1:6" x14ac:dyDescent="0.2">
      <c r="A11644" t="s">
        <v>19914</v>
      </c>
      <c r="B11644" t="s">
        <v>19916</v>
      </c>
      <c r="C11644" t="s">
        <v>462</v>
      </c>
      <c r="D11644" t="s">
        <v>6551</v>
      </c>
      <c r="E11644" t="s">
        <v>104</v>
      </c>
      <c r="F11644" s="2" t="str">
        <f>HYPERLINK("http://www.otzar.org/book.asp?22429","הלכתא למשיחא")</f>
        <v>הלכתא למשיחא</v>
      </c>
    </row>
    <row r="11645" spans="1:6" x14ac:dyDescent="0.2">
      <c r="A11645" t="s">
        <v>19917</v>
      </c>
      <c r="B11645" t="s">
        <v>2872</v>
      </c>
      <c r="C11645" t="s">
        <v>133</v>
      </c>
      <c r="D11645" t="s">
        <v>52</v>
      </c>
      <c r="E11645" t="s">
        <v>1164</v>
      </c>
      <c r="F11645" s="2" t="str">
        <f>HYPERLINK("http://www.otzar.org/book.asp?628512","הלכתא למשיחא - 2 כר'")</f>
        <v>הלכתא למשיחא - 2 כר'</v>
      </c>
    </row>
    <row r="11646" spans="1:6" x14ac:dyDescent="0.2">
      <c r="A11646" t="s">
        <v>19918</v>
      </c>
      <c r="B11646" t="s">
        <v>19919</v>
      </c>
      <c r="C11646" t="s">
        <v>23</v>
      </c>
      <c r="D11646" t="s">
        <v>14</v>
      </c>
      <c r="E11646" t="s">
        <v>1880</v>
      </c>
      <c r="F11646" s="2" t="str">
        <f>HYPERLINK("http://www.otzar.org/book.asp?600642","הלכתא מאורייתא - 3 כר'")</f>
        <v>הלכתא מאורייתא - 3 כר'</v>
      </c>
    </row>
    <row r="11647" spans="1:6" x14ac:dyDescent="0.2">
      <c r="A11647" t="s">
        <v>19920</v>
      </c>
      <c r="B11647" t="s">
        <v>19921</v>
      </c>
      <c r="C11647" t="s">
        <v>146</v>
      </c>
      <c r="D11647" t="s">
        <v>52</v>
      </c>
      <c r="E11647" t="s">
        <v>130</v>
      </c>
      <c r="F11647" s="2" t="str">
        <f>HYPERLINK("http://www.otzar.org/book.asp?61712","הלכתא מבי דינא - 4 כר'")</f>
        <v>הלכתא מבי דינא - 4 כר'</v>
      </c>
    </row>
    <row r="11648" spans="1:6" x14ac:dyDescent="0.2">
      <c r="A11648" t="s">
        <v>19922</v>
      </c>
      <c r="B11648" t="s">
        <v>19923</v>
      </c>
      <c r="C11648" t="s">
        <v>445</v>
      </c>
      <c r="D11648" t="s">
        <v>9</v>
      </c>
      <c r="E11648" t="s">
        <v>15</v>
      </c>
      <c r="F11648" s="2" t="str">
        <f>HYPERLINK("http://www.otzar.org/book.asp?148032","הלכתא רבתא לשבתא")</f>
        <v>הלכתא רבתא לשבתא</v>
      </c>
    </row>
    <row r="11649" spans="1:6" x14ac:dyDescent="0.2">
      <c r="A11649" t="s">
        <v>19922</v>
      </c>
      <c r="B11649" t="s">
        <v>19924</v>
      </c>
      <c r="C11649" t="s">
        <v>1619</v>
      </c>
      <c r="D11649" t="s">
        <v>52</v>
      </c>
      <c r="E11649" t="s">
        <v>19925</v>
      </c>
      <c r="F11649" s="2" t="str">
        <f>HYPERLINK("http://www.otzar.org/book.asp?15279","הלכתא רבתא לשבתא")</f>
        <v>הלכתא רבתא לשבתא</v>
      </c>
    </row>
    <row r="11650" spans="1:6" x14ac:dyDescent="0.2">
      <c r="A11650" t="s">
        <v>19926</v>
      </c>
      <c r="B11650" t="s">
        <v>1402</v>
      </c>
      <c r="C11650" t="s">
        <v>51</v>
      </c>
      <c r="D11650" t="s">
        <v>52</v>
      </c>
      <c r="E11650" t="s">
        <v>130</v>
      </c>
      <c r="F11650" s="2" t="str">
        <f>HYPERLINK("http://www.otzar.org/book.asp?157864","הלכתא רבתא - דיני ערב שבת")</f>
        <v>הלכתא רבתא - דיני ערב שבת</v>
      </c>
    </row>
    <row r="11651" spans="1:6" x14ac:dyDescent="0.2">
      <c r="A11651" t="s">
        <v>19927</v>
      </c>
      <c r="B11651" t="s">
        <v>5519</v>
      </c>
      <c r="C11651" t="s">
        <v>360</v>
      </c>
      <c r="D11651" t="s">
        <v>283</v>
      </c>
      <c r="E11651" t="s">
        <v>15</v>
      </c>
      <c r="F11651" s="2" t="str">
        <f>HYPERLINK("http://www.otzar.org/book.asp?17672","הלכתא רבתי לשחיטה")</f>
        <v>הלכתא רבתי לשחיטה</v>
      </c>
    </row>
    <row r="11652" spans="1:6" x14ac:dyDescent="0.2">
      <c r="A11652" t="s">
        <v>19928</v>
      </c>
      <c r="B11652" t="s">
        <v>19929</v>
      </c>
      <c r="C11652" t="s">
        <v>383</v>
      </c>
      <c r="D11652" t="s">
        <v>14</v>
      </c>
      <c r="E11652" t="s">
        <v>202</v>
      </c>
      <c r="F11652" s="2" t="str">
        <f>HYPERLINK("http://www.otzar.org/book.asp?620245","הלל אומר")</f>
        <v>הלל אומר</v>
      </c>
    </row>
    <row r="11653" spans="1:6" x14ac:dyDescent="0.2">
      <c r="A11653" t="s">
        <v>19928</v>
      </c>
      <c r="B11653" t="s">
        <v>10038</v>
      </c>
      <c r="C11653" t="s">
        <v>1954</v>
      </c>
      <c r="D11653" t="s">
        <v>260</v>
      </c>
      <c r="E11653" t="s">
        <v>154</v>
      </c>
      <c r="F11653" s="2" t="str">
        <f>HYPERLINK("http://www.otzar.org/book.asp?17673","הלל אומר")</f>
        <v>הלל אומר</v>
      </c>
    </row>
    <row r="11654" spans="1:6" x14ac:dyDescent="0.2">
      <c r="A11654" t="s">
        <v>19930</v>
      </c>
      <c r="B11654" t="s">
        <v>107</v>
      </c>
      <c r="C11654" t="s">
        <v>20</v>
      </c>
      <c r="D11654" t="s">
        <v>14</v>
      </c>
      <c r="E11654" t="s">
        <v>119</v>
      </c>
      <c r="F11654" s="2" t="str">
        <f>HYPERLINK("http://www.otzar.org/book.asp?6120","הלל הזקן")</f>
        <v>הלל הזקן</v>
      </c>
    </row>
    <row r="11655" spans="1:6" x14ac:dyDescent="0.2">
      <c r="A11655" t="s">
        <v>19931</v>
      </c>
      <c r="B11655" t="s">
        <v>19932</v>
      </c>
      <c r="C11655" t="s">
        <v>13</v>
      </c>
      <c r="D11655" t="s">
        <v>16149</v>
      </c>
      <c r="E11655" t="s">
        <v>148</v>
      </c>
      <c r="F11655" s="2" t="str">
        <f>HYPERLINK("http://www.otzar.org/book.asp?172596","הלל הכהן - ביאור הגר""א מקוואות")</f>
        <v>הלל הכהן - ביאור הגר"א מקוואות</v>
      </c>
    </row>
    <row r="11656" spans="1:6" x14ac:dyDescent="0.2">
      <c r="A11656" t="s">
        <v>19933</v>
      </c>
      <c r="B11656" t="s">
        <v>19934</v>
      </c>
      <c r="C11656" t="s">
        <v>244</v>
      </c>
      <c r="D11656" t="s">
        <v>21</v>
      </c>
      <c r="E11656" t="s">
        <v>158</v>
      </c>
      <c r="F11656" s="2" t="str">
        <f>HYPERLINK("http://www.otzar.org/book.asp?601422","הלל השלם מבואר")</f>
        <v>הלל השלם מבואר</v>
      </c>
    </row>
    <row r="11657" spans="1:6" x14ac:dyDescent="0.2">
      <c r="A11657" t="s">
        <v>19935</v>
      </c>
      <c r="B11657" t="s">
        <v>1843</v>
      </c>
      <c r="C11657" t="s">
        <v>146</v>
      </c>
      <c r="D11657" t="s">
        <v>14</v>
      </c>
      <c r="E11657" t="s">
        <v>219</v>
      </c>
      <c r="F11657" s="2" t="str">
        <f>HYPERLINK("http://www.otzar.org/book.asp?61181","הלל וזמרה")</f>
        <v>הלל וזמרה</v>
      </c>
    </row>
    <row r="11658" spans="1:6" x14ac:dyDescent="0.2">
      <c r="A11658" t="s">
        <v>19936</v>
      </c>
      <c r="B11658" t="s">
        <v>19937</v>
      </c>
      <c r="C11658" t="s">
        <v>180</v>
      </c>
      <c r="D11658" t="s">
        <v>412</v>
      </c>
      <c r="E11658" t="s">
        <v>246</v>
      </c>
      <c r="F11658" s="2" t="str">
        <f>HYPERLINK("http://www.otzar.org/book.asp?624774","הלל וזמרה - על הגדת פסח")</f>
        <v>הלל וזמרה - על הגדת פסח</v>
      </c>
    </row>
    <row r="11659" spans="1:6" x14ac:dyDescent="0.2">
      <c r="A11659" t="s">
        <v>19938</v>
      </c>
      <c r="B11659" t="s">
        <v>4640</v>
      </c>
      <c r="C11659" t="s">
        <v>366</v>
      </c>
      <c r="D11659" t="s">
        <v>52</v>
      </c>
      <c r="F11659" s="2" t="str">
        <f>HYPERLINK("http://www.otzar.org/book.asp?609887","הלל ושמחה - חנוכה ופורים")</f>
        <v>הלל ושמחה - חנוכה ופורים</v>
      </c>
    </row>
    <row r="11660" spans="1:6" x14ac:dyDescent="0.2">
      <c r="A11660" t="s">
        <v>19939</v>
      </c>
      <c r="B11660" t="s">
        <v>17692</v>
      </c>
      <c r="C11660" t="s">
        <v>366</v>
      </c>
      <c r="D11660" t="s">
        <v>14</v>
      </c>
      <c r="E11660" t="s">
        <v>158</v>
      </c>
      <c r="F11660" s="2" t="str">
        <f>HYPERLINK("http://www.otzar.org/book.asp?618864","הללי נפשי")</f>
        <v>הללי נפשי</v>
      </c>
    </row>
    <row r="11661" spans="1:6" x14ac:dyDescent="0.2">
      <c r="A11661" t="s">
        <v>19940</v>
      </c>
      <c r="B11661" t="s">
        <v>19768</v>
      </c>
      <c r="C11661" t="s">
        <v>411</v>
      </c>
      <c r="D11661" t="s">
        <v>52</v>
      </c>
      <c r="F11661" s="2" t="str">
        <f>HYPERLINK("http://www.otzar.org/book.asp?604870","הלנת שכר")</f>
        <v>הלנת שכר</v>
      </c>
    </row>
    <row r="11662" spans="1:6" x14ac:dyDescent="0.2">
      <c r="A11662" t="s">
        <v>19941</v>
      </c>
      <c r="B11662" t="s">
        <v>1750</v>
      </c>
      <c r="C11662" t="s">
        <v>334</v>
      </c>
      <c r="D11662" t="s">
        <v>52</v>
      </c>
      <c r="E11662" t="s">
        <v>202</v>
      </c>
      <c r="F11662" s="2" t="str">
        <f>HYPERLINK("http://www.otzar.org/book.asp?171991","הלפיד - ב")</f>
        <v>הלפיד - ב</v>
      </c>
    </row>
    <row r="11663" spans="1:6" x14ac:dyDescent="0.2">
      <c r="A11663" t="s">
        <v>19942</v>
      </c>
      <c r="B11663" t="s">
        <v>5451</v>
      </c>
      <c r="C11663" t="s">
        <v>244</v>
      </c>
      <c r="D11663" t="s">
        <v>2909</v>
      </c>
      <c r="E11663" t="s">
        <v>5580</v>
      </c>
      <c r="F11663" s="2" t="str">
        <f>HYPERLINK("http://www.otzar.org/book.asp?604324","הלקח והלבוב")</f>
        <v>הלקח והלבוב</v>
      </c>
    </row>
    <row r="11664" spans="1:6" x14ac:dyDescent="0.2">
      <c r="A11664" t="s">
        <v>19943</v>
      </c>
      <c r="B11664" t="s">
        <v>18570</v>
      </c>
      <c r="C11664" t="s">
        <v>244</v>
      </c>
      <c r="D11664" t="s">
        <v>21</v>
      </c>
      <c r="F11664" s="2" t="str">
        <f>HYPERLINK("http://www.otzar.org/book.asp?610580","הלקח והליבוב")</f>
        <v>הלקח והליבוב</v>
      </c>
    </row>
    <row r="11665" spans="1:6" x14ac:dyDescent="0.2">
      <c r="A11665" t="s">
        <v>19944</v>
      </c>
      <c r="B11665" t="s">
        <v>19945</v>
      </c>
      <c r="C11665" t="s">
        <v>18447</v>
      </c>
      <c r="D11665" t="s">
        <v>19946</v>
      </c>
      <c r="F11665" s="2" t="str">
        <f>HYPERLINK("http://www.otzar.org/book.asp?183002","המאור  [ברלין - 3 כר'")</f>
        <v>המאור  [ברלין - 3 כר'</v>
      </c>
    </row>
    <row r="11666" spans="1:6" x14ac:dyDescent="0.2">
      <c r="A11666" t="s">
        <v>19947</v>
      </c>
      <c r="B11666" t="s">
        <v>19945</v>
      </c>
      <c r="C11666" t="s">
        <v>224</v>
      </c>
      <c r="D11666" t="s">
        <v>216</v>
      </c>
      <c r="E11666" t="s">
        <v>202</v>
      </c>
      <c r="F11666" s="2" t="str">
        <f>HYPERLINK("http://www.otzar.org/book.asp?148491","המאור &lt;תל אביב&gt; - 4 כר'")</f>
        <v>המאור &lt;תל אביב&gt; - 4 כר'</v>
      </c>
    </row>
    <row r="11667" spans="1:6" x14ac:dyDescent="0.2">
      <c r="A11667" t="s">
        <v>19948</v>
      </c>
      <c r="B11667" t="s">
        <v>19949</v>
      </c>
      <c r="C11667" t="s">
        <v>129</v>
      </c>
      <c r="D11667" t="s">
        <v>412</v>
      </c>
      <c r="E11667" t="s">
        <v>84</v>
      </c>
      <c r="F11667" s="2" t="str">
        <f>HYPERLINK("http://www.otzar.org/book.asp?160354","המאור הגדול - 2 כר'")</f>
        <v>המאור הגדול - 2 כר'</v>
      </c>
    </row>
    <row r="11668" spans="1:6" x14ac:dyDescent="0.2">
      <c r="A11668" t="s">
        <v>19950</v>
      </c>
      <c r="B11668" t="s">
        <v>19951</v>
      </c>
      <c r="C11668" t="s">
        <v>143</v>
      </c>
      <c r="D11668" t="s">
        <v>52</v>
      </c>
      <c r="E11668" t="s">
        <v>119</v>
      </c>
      <c r="F11668" s="2" t="str">
        <f>HYPERLINK("http://www.otzar.org/book.asp?174034","המאור הגדול")</f>
        <v>המאור הגדול</v>
      </c>
    </row>
    <row r="11669" spans="1:6" x14ac:dyDescent="0.2">
      <c r="A11669" t="s">
        <v>19952</v>
      </c>
      <c r="B11669" t="s">
        <v>1091</v>
      </c>
      <c r="C11669" t="s">
        <v>176</v>
      </c>
      <c r="D11669" t="s">
        <v>14</v>
      </c>
      <c r="E11669" t="s">
        <v>119</v>
      </c>
      <c r="F11669" s="2" t="str">
        <f>HYPERLINK("http://www.otzar.org/book.asp?189184","המאור הגדול - תולדות רש""ז אויערבך")</f>
        <v>המאור הגדול - תולדות רש"ז אויערבך</v>
      </c>
    </row>
    <row r="11670" spans="1:6" x14ac:dyDescent="0.2">
      <c r="A11670" t="s">
        <v>19953</v>
      </c>
      <c r="B11670" t="s">
        <v>19954</v>
      </c>
      <c r="C11670" t="s">
        <v>2870</v>
      </c>
      <c r="D11670" t="s">
        <v>9</v>
      </c>
      <c r="E11670" t="s">
        <v>104</v>
      </c>
      <c r="F11670" s="2" t="str">
        <f>HYPERLINK("http://www.otzar.org/book.asp?144250","המאור שבאגדה")</f>
        <v>המאור שבאגדה</v>
      </c>
    </row>
    <row r="11671" spans="1:6" x14ac:dyDescent="0.2">
      <c r="A11671" t="s">
        <v>19955</v>
      </c>
      <c r="B11671" t="s">
        <v>19956</v>
      </c>
      <c r="C11671" t="s">
        <v>366</v>
      </c>
      <c r="D11671" t="s">
        <v>21</v>
      </c>
      <c r="E11671" t="s">
        <v>4022</v>
      </c>
      <c r="F11671" s="2" t="str">
        <f>HYPERLINK("http://www.otzar.org/book.asp?605251","המאור שבסוכה")</f>
        <v>המאור שבסוכה</v>
      </c>
    </row>
    <row r="11672" spans="1:6" x14ac:dyDescent="0.2">
      <c r="A11672" t="s">
        <v>19957</v>
      </c>
      <c r="B11672" t="s">
        <v>19954</v>
      </c>
      <c r="C11672" t="s">
        <v>2870</v>
      </c>
      <c r="D11672" t="s">
        <v>9</v>
      </c>
      <c r="E11672" t="s">
        <v>234</v>
      </c>
      <c r="F11672" s="2" t="str">
        <f>HYPERLINK("http://www.otzar.org/book.asp?141940","המאור שבתורה")</f>
        <v>המאור שבתורה</v>
      </c>
    </row>
    <row r="11673" spans="1:6" x14ac:dyDescent="0.2">
      <c r="A11673" t="s">
        <v>19958</v>
      </c>
      <c r="B11673" t="s">
        <v>4563</v>
      </c>
      <c r="C11673" t="s">
        <v>19959</v>
      </c>
      <c r="D11673" t="s">
        <v>9</v>
      </c>
      <c r="E11673" t="s">
        <v>241</v>
      </c>
      <c r="F11673" s="2" t="str">
        <f>HYPERLINK("http://www.otzar.org/book.asp?105391","המאור שבתורה - 5 כר'")</f>
        <v>המאור שבתורה - 5 כר'</v>
      </c>
    </row>
    <row r="11674" spans="1:6" x14ac:dyDescent="0.2">
      <c r="A11674" t="s">
        <v>19958</v>
      </c>
      <c r="B11674" t="s">
        <v>19960</v>
      </c>
      <c r="C11674" t="s">
        <v>20</v>
      </c>
      <c r="D11674" t="s">
        <v>21</v>
      </c>
      <c r="F11674" s="2" t="str">
        <f>HYPERLINK("http://www.otzar.org/book.asp?613945","המאור שבתורה - 5 כר'")</f>
        <v>המאור שבתורה - 5 כר'</v>
      </c>
    </row>
    <row r="11675" spans="1:6" x14ac:dyDescent="0.2">
      <c r="A11675" t="s">
        <v>19958</v>
      </c>
      <c r="B11675" t="s">
        <v>19961</v>
      </c>
      <c r="C11675" t="s">
        <v>767</v>
      </c>
      <c r="D11675" t="s">
        <v>52</v>
      </c>
      <c r="E11675" t="s">
        <v>158</v>
      </c>
      <c r="F11675" s="2" t="str">
        <f>HYPERLINK("http://www.otzar.org/book.asp?61028","המאור שבתורה - 5 כר'")</f>
        <v>המאור שבתורה - 5 כר'</v>
      </c>
    </row>
    <row r="11676" spans="1:6" x14ac:dyDescent="0.2">
      <c r="A11676" t="s">
        <v>19962</v>
      </c>
      <c r="B11676" t="s">
        <v>19963</v>
      </c>
      <c r="C11676" t="s">
        <v>3106</v>
      </c>
      <c r="D11676" t="s">
        <v>27</v>
      </c>
      <c r="E11676" t="s">
        <v>202</v>
      </c>
      <c r="F11676" s="2" t="str">
        <f>HYPERLINK("http://www.otzar.org/book.asp?171563","המאור - 2 כר'")</f>
        <v>המאור - 2 כר'</v>
      </c>
    </row>
    <row r="11677" spans="1:6" x14ac:dyDescent="0.2">
      <c r="A11677" t="s">
        <v>19964</v>
      </c>
      <c r="B11677" t="s">
        <v>19965</v>
      </c>
      <c r="C11677" t="s">
        <v>433</v>
      </c>
      <c r="D11677" t="s">
        <v>412</v>
      </c>
      <c r="E11677" t="s">
        <v>202</v>
      </c>
      <c r="F11677" s="2" t="str">
        <f>HYPERLINK("http://www.otzar.org/book.asp?151872","המאור - 452 כר'")</f>
        <v>המאור - 452 כר'</v>
      </c>
    </row>
    <row r="11678" spans="1:6" x14ac:dyDescent="0.2">
      <c r="A11678" t="s">
        <v>19966</v>
      </c>
      <c r="B11678" t="s">
        <v>19967</v>
      </c>
      <c r="C11678" t="s">
        <v>244</v>
      </c>
      <c r="D11678" t="s">
        <v>80</v>
      </c>
      <c r="F11678" s="2" t="str">
        <f>HYPERLINK("http://www.otzar.org/book.asp?609727","המאורות הגדולים לבית ביאלא")</f>
        <v>המאורות הגדולים לבית ביאלא</v>
      </c>
    </row>
    <row r="11679" spans="1:6" x14ac:dyDescent="0.2">
      <c r="A11679" t="s">
        <v>19968</v>
      </c>
      <c r="B11679" t="s">
        <v>3820</v>
      </c>
      <c r="C11679" t="s">
        <v>427</v>
      </c>
      <c r="D11679" t="s">
        <v>14</v>
      </c>
      <c r="E11679" t="s">
        <v>583</v>
      </c>
      <c r="F11679" s="2" t="str">
        <f>HYPERLINK("http://www.otzar.org/book.asp?5252","המאורות הגדולים")</f>
        <v>המאורות הגדולים</v>
      </c>
    </row>
    <row r="11680" spans="1:6" x14ac:dyDescent="0.2">
      <c r="A11680" t="s">
        <v>19969</v>
      </c>
      <c r="B11680" t="s">
        <v>552</v>
      </c>
      <c r="C11680" t="s">
        <v>143</v>
      </c>
      <c r="D11680" t="s">
        <v>14</v>
      </c>
      <c r="E11680" t="s">
        <v>3790</v>
      </c>
      <c r="F11680" s="2" t="str">
        <f>HYPERLINK("http://www.otzar.org/book.asp?13003","המאיר &lt;ספר זכרון הגר""מ חדש זצ""ל&gt; - 2 כר'")</f>
        <v>המאיר &lt;ספר זכרון הגר"מ חדש זצ"ל&gt; - 2 כר'</v>
      </c>
    </row>
    <row r="11681" spans="1:6" x14ac:dyDescent="0.2">
      <c r="A11681" t="s">
        <v>19970</v>
      </c>
      <c r="B11681" t="s">
        <v>19971</v>
      </c>
      <c r="C11681" t="s">
        <v>20</v>
      </c>
      <c r="D11681" t="s">
        <v>412</v>
      </c>
      <c r="E11681" t="s">
        <v>1626</v>
      </c>
      <c r="F11681" s="2" t="str">
        <f>HYPERLINK("http://www.otzar.org/book.asp?197368","המאיר לארץ")</f>
        <v>המאיר לארץ</v>
      </c>
    </row>
    <row r="11682" spans="1:6" x14ac:dyDescent="0.2">
      <c r="A11682" t="s">
        <v>19972</v>
      </c>
      <c r="B11682" t="s">
        <v>19973</v>
      </c>
      <c r="C11682" t="s">
        <v>103</v>
      </c>
      <c r="D11682" t="s">
        <v>14</v>
      </c>
      <c r="E11682" t="s">
        <v>144</v>
      </c>
      <c r="F11682" s="2" t="str">
        <f>HYPERLINK("http://www.otzar.org/book.asp?149780","המאיר לארץ - 8 כר'")</f>
        <v>המאיר לארץ - 8 כר'</v>
      </c>
    </row>
    <row r="11683" spans="1:6" x14ac:dyDescent="0.2">
      <c r="A11683" t="s">
        <v>19970</v>
      </c>
      <c r="B11683" t="s">
        <v>19974</v>
      </c>
      <c r="C11683" t="s">
        <v>411</v>
      </c>
      <c r="D11683" t="s">
        <v>147</v>
      </c>
      <c r="E11683" t="s">
        <v>15</v>
      </c>
      <c r="F11683" s="2" t="str">
        <f>HYPERLINK("http://www.otzar.org/book.asp?183163","המאיר לארץ")</f>
        <v>המאיר לארץ</v>
      </c>
    </row>
    <row r="11684" spans="1:6" x14ac:dyDescent="0.2">
      <c r="A11684" t="s">
        <v>19970</v>
      </c>
      <c r="B11684" t="s">
        <v>10351</v>
      </c>
      <c r="C11684" t="s">
        <v>454</v>
      </c>
      <c r="D11684" t="s">
        <v>486</v>
      </c>
      <c r="E11684" t="s">
        <v>158</v>
      </c>
      <c r="F11684" s="2" t="str">
        <f>HYPERLINK("http://www.otzar.org/book.asp?25713","המאיר לארץ")</f>
        <v>המאיר לארץ</v>
      </c>
    </row>
    <row r="11685" spans="1:6" x14ac:dyDescent="0.2">
      <c r="A11685" t="s">
        <v>19970</v>
      </c>
      <c r="B11685" t="s">
        <v>19975</v>
      </c>
      <c r="C11685" t="s">
        <v>360</v>
      </c>
      <c r="D11685" t="s">
        <v>446</v>
      </c>
      <c r="E11685" t="s">
        <v>5772</v>
      </c>
      <c r="F11685" s="2" t="str">
        <f>HYPERLINK("http://www.otzar.org/book.asp?108306","המאיר לארץ")</f>
        <v>המאיר לארץ</v>
      </c>
    </row>
    <row r="11686" spans="1:6" x14ac:dyDescent="0.2">
      <c r="A11686" t="s">
        <v>19976</v>
      </c>
      <c r="B11686" t="s">
        <v>2692</v>
      </c>
      <c r="C11686" t="s">
        <v>114</v>
      </c>
      <c r="D11686" t="s">
        <v>216</v>
      </c>
      <c r="E11686" t="s">
        <v>154</v>
      </c>
      <c r="F11686" s="2" t="str">
        <f>HYPERLINK("http://www.otzar.org/book.asp?625425","המאיר לארץ - 2 כר'")</f>
        <v>המאיר לארץ - 2 כר'</v>
      </c>
    </row>
    <row r="11687" spans="1:6" x14ac:dyDescent="0.2">
      <c r="A11687" t="s">
        <v>19977</v>
      </c>
      <c r="B11687" t="s">
        <v>19978</v>
      </c>
      <c r="C11687" t="s">
        <v>189</v>
      </c>
      <c r="D11687" t="s">
        <v>16553</v>
      </c>
      <c r="E11687" t="s">
        <v>14551</v>
      </c>
      <c r="F11687" s="2" t="str">
        <f>HYPERLINK("http://www.otzar.org/book.asp?51153","המאיר לחיים - 5 כר'")</f>
        <v>המאיר לחיים - 5 כר'</v>
      </c>
    </row>
    <row r="11688" spans="1:6" x14ac:dyDescent="0.2">
      <c r="A11688" t="s">
        <v>19979</v>
      </c>
      <c r="B11688" t="s">
        <v>19980</v>
      </c>
      <c r="C11688" t="s">
        <v>383</v>
      </c>
      <c r="D11688" t="s">
        <v>52</v>
      </c>
      <c r="E11688" t="s">
        <v>15</v>
      </c>
      <c r="F11688" s="2" t="str">
        <f>HYPERLINK("http://www.otzar.org/book.asp?193621","המאיר לישראל")</f>
        <v>המאיר לישראל</v>
      </c>
    </row>
    <row r="11689" spans="1:6" x14ac:dyDescent="0.2">
      <c r="A11689" t="s">
        <v>19981</v>
      </c>
      <c r="B11689" t="s">
        <v>19982</v>
      </c>
      <c r="C11689" t="s">
        <v>68</v>
      </c>
      <c r="D11689" t="s">
        <v>52</v>
      </c>
      <c r="E11689" t="s">
        <v>172</v>
      </c>
      <c r="F11689" s="2" t="str">
        <f>HYPERLINK("http://www.otzar.org/book.asp?157926","המאיר למשפט")</f>
        <v>המאיר למשפט</v>
      </c>
    </row>
    <row r="11690" spans="1:6" x14ac:dyDescent="0.2">
      <c r="A11690" t="s">
        <v>19983</v>
      </c>
      <c r="B11690" t="s">
        <v>19984</v>
      </c>
      <c r="C11690" t="s">
        <v>1535</v>
      </c>
      <c r="D11690" t="s">
        <v>27</v>
      </c>
      <c r="E11690" t="s">
        <v>435</v>
      </c>
      <c r="F11690" s="2" t="str">
        <f>HYPERLINK("http://www.otzar.org/book.asp?14194","המאיר לעולם - 3 כר'")</f>
        <v>המאיר לעולם - 3 כר'</v>
      </c>
    </row>
    <row r="11691" spans="1:6" x14ac:dyDescent="0.2">
      <c r="A11691" t="s">
        <v>19985</v>
      </c>
      <c r="B11691" t="s">
        <v>19986</v>
      </c>
      <c r="C11691" t="s">
        <v>103</v>
      </c>
      <c r="D11691" t="s">
        <v>412</v>
      </c>
      <c r="F11691" s="2" t="str">
        <f>HYPERLINK("http://www.otzar.org/book.asp?609991","המאיר - א (קידושין)")</f>
        <v>המאיר - א (קידושין)</v>
      </c>
    </row>
    <row r="11692" spans="1:6" x14ac:dyDescent="0.2">
      <c r="A11692" t="s">
        <v>19987</v>
      </c>
      <c r="B11692" t="s">
        <v>19988</v>
      </c>
      <c r="C11692" t="s">
        <v>438</v>
      </c>
      <c r="D11692" t="s">
        <v>52</v>
      </c>
      <c r="F11692" s="2" t="str">
        <f>HYPERLINK("http://www.otzar.org/book.asp?142218","המאיר - 9 כר'")</f>
        <v>המאיר - 9 כר'</v>
      </c>
    </row>
    <row r="11693" spans="1:6" x14ac:dyDescent="0.2">
      <c r="A11693" t="s">
        <v>19989</v>
      </c>
      <c r="B11693" t="s">
        <v>4991</v>
      </c>
      <c r="C11693" t="s">
        <v>87</v>
      </c>
      <c r="D11693" t="s">
        <v>14</v>
      </c>
      <c r="E11693" t="s">
        <v>241</v>
      </c>
      <c r="F11693" s="2" t="str">
        <f>HYPERLINK("http://www.otzar.org/book.asp?6583","המאמין והמשתדל")</f>
        <v>המאמין והמשתדל</v>
      </c>
    </row>
    <row r="11694" spans="1:6" x14ac:dyDescent="0.2">
      <c r="A11694" t="s">
        <v>19990</v>
      </c>
      <c r="B11694" t="s">
        <v>19991</v>
      </c>
      <c r="C11694" t="s">
        <v>19992</v>
      </c>
      <c r="D11694" t="s">
        <v>1490</v>
      </c>
      <c r="E11694" t="s">
        <v>213</v>
      </c>
      <c r="F11694" s="2" t="str">
        <f>HYPERLINK("http://www.otzar.org/book.asp?147740","המאמר בנשים הליליות")</f>
        <v>המאמר בנשים הליליות</v>
      </c>
    </row>
    <row r="11695" spans="1:6" x14ac:dyDescent="0.2">
      <c r="A11695" t="s">
        <v>19993</v>
      </c>
      <c r="B11695" t="s">
        <v>19994</v>
      </c>
      <c r="C11695" t="s">
        <v>334</v>
      </c>
      <c r="D11695" t="s">
        <v>14</v>
      </c>
      <c r="E11695" t="s">
        <v>202</v>
      </c>
      <c r="F11695" s="2" t="str">
        <f>HYPERLINK("http://www.otzar.org/book.asp?143875","המאסף &lt;מכון הכתב&gt; - 7 כר'")</f>
        <v>המאסף &lt;מכון הכתב&gt; - 7 כר'</v>
      </c>
    </row>
    <row r="11696" spans="1:6" x14ac:dyDescent="0.2">
      <c r="A11696" t="s">
        <v>19995</v>
      </c>
      <c r="B11696" t="s">
        <v>6630</v>
      </c>
      <c r="C11696" t="s">
        <v>19996</v>
      </c>
      <c r="D11696" t="s">
        <v>19997</v>
      </c>
      <c r="E11696" t="s">
        <v>246</v>
      </c>
      <c r="F11696" s="2" t="str">
        <f>HYPERLINK("http://www.otzar.org/book.asp?197010","המאסף והמזכיר")</f>
        <v>המאסף והמזכיר</v>
      </c>
    </row>
    <row r="11697" spans="1:6" x14ac:dyDescent="0.2">
      <c r="A11697" t="s">
        <v>19998</v>
      </c>
      <c r="B11697" t="s">
        <v>9683</v>
      </c>
      <c r="C11697" t="s">
        <v>133</v>
      </c>
      <c r="D11697" t="s">
        <v>14</v>
      </c>
      <c r="E11697" t="s">
        <v>144</v>
      </c>
      <c r="F11697" s="2" t="str">
        <f>HYPERLINK("http://www.otzar.org/book.asp?173975","המאסף - 7 כר'")</f>
        <v>המאסף - 7 כר'</v>
      </c>
    </row>
    <row r="11698" spans="1:6" x14ac:dyDescent="0.2">
      <c r="A11698" t="s">
        <v>19999</v>
      </c>
      <c r="B11698" t="s">
        <v>20000</v>
      </c>
      <c r="C11698" t="s">
        <v>1885</v>
      </c>
      <c r="D11698" t="s">
        <v>14</v>
      </c>
      <c r="E11698" t="s">
        <v>202</v>
      </c>
      <c r="F11698" s="2" t="str">
        <f>HYPERLINK("http://www.otzar.org/book.asp?21497","המאסף - 20 כר'")</f>
        <v>המאסף - 20 כר'</v>
      </c>
    </row>
    <row r="11699" spans="1:6" x14ac:dyDescent="0.2">
      <c r="A11699" t="s">
        <v>20001</v>
      </c>
      <c r="B11699" t="s">
        <v>489</v>
      </c>
      <c r="C11699" t="s">
        <v>422</v>
      </c>
      <c r="D11699" t="s">
        <v>14</v>
      </c>
      <c r="E11699" t="s">
        <v>202</v>
      </c>
      <c r="F11699" s="2" t="str">
        <f>HYPERLINK("http://www.otzar.org/book.asp?148087","המאסף")</f>
        <v>המאסף</v>
      </c>
    </row>
    <row r="11700" spans="1:6" x14ac:dyDescent="0.2">
      <c r="A11700" t="s">
        <v>20002</v>
      </c>
      <c r="B11700" t="s">
        <v>20003</v>
      </c>
      <c r="C11700" t="s">
        <v>1166</v>
      </c>
      <c r="D11700" t="s">
        <v>610</v>
      </c>
      <c r="E11700" t="s">
        <v>104</v>
      </c>
      <c r="F11700" s="2" t="str">
        <f>HYPERLINK("http://www.otzar.org/book.asp?188585","המבאר")</f>
        <v>המבאר</v>
      </c>
    </row>
    <row r="11701" spans="1:6" x14ac:dyDescent="0.2">
      <c r="A11701" t="s">
        <v>20004</v>
      </c>
      <c r="B11701" t="s">
        <v>20005</v>
      </c>
      <c r="C11701" t="s">
        <v>20006</v>
      </c>
      <c r="D11701" t="s">
        <v>19350</v>
      </c>
      <c r="E11701" t="s">
        <v>144</v>
      </c>
      <c r="F11701" s="2" t="str">
        <f>HYPERLINK("http://www.otzar.org/book.asp?626533","המבחן הארצי בגמרא")</f>
        <v>המבחן הארצי בגמרא</v>
      </c>
    </row>
    <row r="11702" spans="1:6" x14ac:dyDescent="0.2">
      <c r="A11702" t="s">
        <v>20007</v>
      </c>
      <c r="B11702" t="s">
        <v>1070</v>
      </c>
      <c r="C11702" t="s">
        <v>1268</v>
      </c>
      <c r="D11702" t="s">
        <v>21</v>
      </c>
      <c r="E11702" t="s">
        <v>158</v>
      </c>
      <c r="F11702" s="2" t="str">
        <f>HYPERLINK("http://www.otzar.org/book.asp?199580","המביא ברכה")</f>
        <v>המביא ברכה</v>
      </c>
    </row>
    <row r="11703" spans="1:6" x14ac:dyDescent="0.2">
      <c r="A11703" t="s">
        <v>20008</v>
      </c>
      <c r="B11703" t="s">
        <v>2722</v>
      </c>
      <c r="C11703" t="s">
        <v>146</v>
      </c>
      <c r="D11703" t="s">
        <v>14</v>
      </c>
      <c r="E11703" t="s">
        <v>2596</v>
      </c>
      <c r="F11703" s="2" t="str">
        <f>HYPERLINK("http://www.otzar.org/book.asp?63699","המברך יתברך")</f>
        <v>המברך יתברך</v>
      </c>
    </row>
    <row r="11704" spans="1:6" x14ac:dyDescent="0.2">
      <c r="A11704" t="s">
        <v>20009</v>
      </c>
      <c r="B11704" t="s">
        <v>20010</v>
      </c>
      <c r="C11704" t="s">
        <v>422</v>
      </c>
      <c r="D11704" t="s">
        <v>21</v>
      </c>
      <c r="F11704" s="2" t="str">
        <f>HYPERLINK("http://www.otzar.org/book.asp?192397","המבשר תורני - 539 כר'")</f>
        <v>המבשר תורני - 539 כר'</v>
      </c>
    </row>
    <row r="11705" spans="1:6" x14ac:dyDescent="0.2">
      <c r="A11705" t="s">
        <v>20011</v>
      </c>
      <c r="B11705" t="s">
        <v>20012</v>
      </c>
      <c r="C11705" t="s">
        <v>244</v>
      </c>
      <c r="D11705" t="s">
        <v>20013</v>
      </c>
      <c r="E11705" t="s">
        <v>158</v>
      </c>
      <c r="F11705" s="2" t="str">
        <f>HYPERLINK("http://www.otzar.org/book.asp?606046","המבשר - ב")</f>
        <v>המבשר - ב</v>
      </c>
    </row>
    <row r="11706" spans="1:6" x14ac:dyDescent="0.2">
      <c r="A11706" t="s">
        <v>20014</v>
      </c>
      <c r="B11706" t="s">
        <v>20015</v>
      </c>
      <c r="C11706" t="s">
        <v>1663</v>
      </c>
      <c r="D11706" t="s">
        <v>14</v>
      </c>
      <c r="E11706" t="s">
        <v>733</v>
      </c>
      <c r="F11706" s="2" t="str">
        <f>HYPERLINK("http://www.otzar.org/book.asp?149165","המגיד דורש ציון")</f>
        <v>המגיד דורש ציון</v>
      </c>
    </row>
    <row r="11707" spans="1:6" x14ac:dyDescent="0.2">
      <c r="A11707" t="s">
        <v>20016</v>
      </c>
      <c r="B11707" t="s">
        <v>20017</v>
      </c>
      <c r="C11707" t="s">
        <v>1619</v>
      </c>
      <c r="D11707" t="s">
        <v>52</v>
      </c>
      <c r="F11707" s="2" t="str">
        <f>HYPERLINK("http://www.otzar.org/book.asp?614402","המגיד ממזריטש")</f>
        <v>המגיד ממזריטש</v>
      </c>
    </row>
    <row r="11708" spans="1:6" x14ac:dyDescent="0.2">
      <c r="A11708" t="s">
        <v>20018</v>
      </c>
      <c r="B11708" t="s">
        <v>3820</v>
      </c>
      <c r="C11708" t="s">
        <v>1062</v>
      </c>
      <c r="D11708" t="s">
        <v>9</v>
      </c>
      <c r="E11708" t="s">
        <v>241</v>
      </c>
      <c r="F11708" s="2" t="str">
        <f>HYPERLINK("http://www.otzar.org/book.asp?105863","המדע והחיים")</f>
        <v>המדע והחיים</v>
      </c>
    </row>
    <row r="11709" spans="1:6" x14ac:dyDescent="0.2">
      <c r="A11709" t="s">
        <v>20019</v>
      </c>
      <c r="B11709" t="s">
        <v>20020</v>
      </c>
      <c r="C11709" t="s">
        <v>1448</v>
      </c>
      <c r="D11709" t="s">
        <v>21</v>
      </c>
      <c r="E11709" t="s">
        <v>119</v>
      </c>
      <c r="F11709" s="2" t="str">
        <f>HYPERLINK("http://www.otzar.org/book.asp?191317","המדפיס  קורנילייו אדיל קינד ובנו דניאל")</f>
        <v>המדפיס  קורנילייו אדיל קינד ובנו דניאל</v>
      </c>
    </row>
    <row r="11710" spans="1:6" x14ac:dyDescent="0.2">
      <c r="A11710" t="s">
        <v>20021</v>
      </c>
      <c r="B11710" t="s">
        <v>20020</v>
      </c>
      <c r="C11710" t="s">
        <v>585</v>
      </c>
      <c r="D11710" t="s">
        <v>721</v>
      </c>
      <c r="E11710" t="s">
        <v>104</v>
      </c>
      <c r="F11710" s="2" t="str">
        <f>HYPERLINK("http://www.otzar.org/book.asp?171502","המדפיס זואן די גארה")</f>
        <v>המדפיס זואן די גארה</v>
      </c>
    </row>
    <row r="11711" spans="1:6" x14ac:dyDescent="0.2">
      <c r="A11711" t="s">
        <v>20022</v>
      </c>
      <c r="B11711" t="s">
        <v>12124</v>
      </c>
      <c r="C11711" t="s">
        <v>1609</v>
      </c>
      <c r="D11711" t="s">
        <v>14</v>
      </c>
      <c r="E11711" t="s">
        <v>119</v>
      </c>
      <c r="F11711" s="2" t="str">
        <f>HYPERLINK("http://www.otzar.org/book.asp?143423","המדפיסים בני חיים העליץ")</f>
        <v>המדפיסים בני חיים העליץ</v>
      </c>
    </row>
    <row r="11712" spans="1:6" x14ac:dyDescent="0.2">
      <c r="A11712" t="s">
        <v>20023</v>
      </c>
      <c r="B11712" t="s">
        <v>12124</v>
      </c>
      <c r="C11712" t="s">
        <v>1374</v>
      </c>
      <c r="D11712" t="s">
        <v>535</v>
      </c>
      <c r="E11712" t="s">
        <v>733</v>
      </c>
      <c r="F11712" s="2" t="str">
        <f>HYPERLINK("http://www.otzar.org/book.asp?23783","המדפיסים בני שונצינו")</f>
        <v>המדפיסים בני שונצינו</v>
      </c>
    </row>
    <row r="11713" spans="1:6" x14ac:dyDescent="0.2">
      <c r="A11713" t="s">
        <v>20024</v>
      </c>
      <c r="B11713" t="s">
        <v>20025</v>
      </c>
      <c r="C11713" t="s">
        <v>20</v>
      </c>
      <c r="D11713" t="s">
        <v>14</v>
      </c>
      <c r="E11713" t="s">
        <v>104</v>
      </c>
      <c r="F11713" s="2" t="str">
        <f>HYPERLINK("http://www.otzar.org/book.asp?84227","המדריך האישי שלך - הורים ומחנכים")</f>
        <v>המדריך האישי שלך - הורים ומחנכים</v>
      </c>
    </row>
    <row r="11714" spans="1:6" x14ac:dyDescent="0.2">
      <c r="A11714" t="s">
        <v>20026</v>
      </c>
      <c r="B11714" t="s">
        <v>3834</v>
      </c>
      <c r="C11714" t="s">
        <v>366</v>
      </c>
      <c r="D11714" t="s">
        <v>14</v>
      </c>
      <c r="E11714" t="s">
        <v>104</v>
      </c>
      <c r="F11714" s="2" t="str">
        <f>HYPERLINK("http://www.otzar.org/book.asp?603969","המדריך המלא לנישואין מאושרים - 2 כר'")</f>
        <v>המדריך המלא לנישואין מאושרים - 2 כר'</v>
      </c>
    </row>
    <row r="11715" spans="1:6" x14ac:dyDescent="0.2">
      <c r="A11715" t="s">
        <v>20027</v>
      </c>
      <c r="B11715" t="s">
        <v>20028</v>
      </c>
      <c r="C11715" t="s">
        <v>466</v>
      </c>
      <c r="D11715" t="s">
        <v>14</v>
      </c>
      <c r="E11715" t="s">
        <v>674</v>
      </c>
      <c r="F11715" s="2" t="str">
        <f>HYPERLINK("http://www.otzar.org/book.asp?6292","המדריך התורני לארץ ישראל")</f>
        <v>המדריך התורני לארץ ישראל</v>
      </c>
    </row>
    <row r="11716" spans="1:6" x14ac:dyDescent="0.2">
      <c r="A11716" t="s">
        <v>20029</v>
      </c>
      <c r="B11716" t="s">
        <v>20030</v>
      </c>
      <c r="C11716" t="s">
        <v>244</v>
      </c>
      <c r="D11716" t="s">
        <v>412</v>
      </c>
      <c r="E11716" t="s">
        <v>202</v>
      </c>
      <c r="F11716" s="2" t="str">
        <f>HYPERLINK("http://www.otzar.org/book.asp?601180","המדריך להוראה - 2 כר'")</f>
        <v>המדריך להוראה - 2 כר'</v>
      </c>
    </row>
    <row r="11717" spans="1:6" x14ac:dyDescent="0.2">
      <c r="A11717" t="s">
        <v>20031</v>
      </c>
      <c r="B11717" t="s">
        <v>7077</v>
      </c>
      <c r="C11717" t="s">
        <v>411</v>
      </c>
      <c r="D11717" t="s">
        <v>21</v>
      </c>
      <c r="E11717" t="s">
        <v>104</v>
      </c>
      <c r="F11717" s="2" t="str">
        <f>HYPERLINK("http://www.otzar.org/book.asp?631103","המדריך להקניית הקריאה בשלבים")</f>
        <v>המדריך להקניית הקריאה בשלבים</v>
      </c>
    </row>
    <row r="11718" spans="1:6" x14ac:dyDescent="0.2">
      <c r="A11718" t="s">
        <v>20032</v>
      </c>
      <c r="B11718" t="s">
        <v>20033</v>
      </c>
      <c r="C11718" t="s">
        <v>23</v>
      </c>
      <c r="D11718" t="s">
        <v>2285</v>
      </c>
      <c r="E11718" t="s">
        <v>15</v>
      </c>
      <c r="F11718" s="2" t="str">
        <f>HYPERLINK("http://www.otzar.org/book.asp?625517","המדריך ליולדת לאבי הבן המוהל")</f>
        <v>המדריך ליולדת לאבי הבן המוהל</v>
      </c>
    </row>
    <row r="11719" spans="1:6" x14ac:dyDescent="0.2">
      <c r="A11719" t="s">
        <v>20034</v>
      </c>
      <c r="B11719" t="s">
        <v>20035</v>
      </c>
      <c r="C11719" t="s">
        <v>854</v>
      </c>
      <c r="D11719" t="s">
        <v>1422</v>
      </c>
      <c r="E11719" t="s">
        <v>144</v>
      </c>
      <c r="F11719" s="2" t="str">
        <f>HYPERLINK("http://www.otzar.org/book.asp?162260","המדריך")</f>
        <v>המדריך</v>
      </c>
    </row>
    <row r="11720" spans="1:6" x14ac:dyDescent="0.2">
      <c r="A11720" t="s">
        <v>20036</v>
      </c>
      <c r="B11720" t="s">
        <v>20037</v>
      </c>
      <c r="C11720" t="s">
        <v>619</v>
      </c>
      <c r="D11720" t="s">
        <v>9</v>
      </c>
      <c r="E11720" t="s">
        <v>474</v>
      </c>
      <c r="F11720" s="2" t="str">
        <f>HYPERLINK("http://www.otzar.org/book.asp?51349","המדרש וההגיון")</f>
        <v>המדרש וההגיון</v>
      </c>
    </row>
    <row r="11721" spans="1:6" x14ac:dyDescent="0.2">
      <c r="A11721" t="s">
        <v>20038</v>
      </c>
      <c r="B11721" t="s">
        <v>20039</v>
      </c>
      <c r="C11721" t="s">
        <v>1284</v>
      </c>
      <c r="D11721" t="s">
        <v>225</v>
      </c>
      <c r="E11721" t="s">
        <v>158</v>
      </c>
      <c r="F11721" s="2" t="str">
        <f>HYPERLINK("http://www.otzar.org/book.asp?52431","המדרש והמעשה &lt;עמק הלכה&gt; - 5 כר'")</f>
        <v>המדרש והמעשה &lt;עמק הלכה&gt; - 5 כר'</v>
      </c>
    </row>
    <row r="11722" spans="1:6" x14ac:dyDescent="0.2">
      <c r="A11722" t="s">
        <v>20040</v>
      </c>
      <c r="B11722" t="s">
        <v>20039</v>
      </c>
      <c r="C11722" t="s">
        <v>20041</v>
      </c>
      <c r="D11722" t="s">
        <v>225</v>
      </c>
      <c r="E11722" t="s">
        <v>158</v>
      </c>
      <c r="F11722" s="2" t="str">
        <f>HYPERLINK("http://www.otzar.org/book.asp?7559","המדרש והמעשה - 5 כר'")</f>
        <v>המדרש והמעשה - 5 כר'</v>
      </c>
    </row>
    <row r="11723" spans="1:6" x14ac:dyDescent="0.2">
      <c r="A11723" t="s">
        <v>20042</v>
      </c>
      <c r="B11723" t="s">
        <v>20043</v>
      </c>
      <c r="C11723" t="s">
        <v>1619</v>
      </c>
      <c r="D11723" t="s">
        <v>52</v>
      </c>
      <c r="E11723" t="s">
        <v>140</v>
      </c>
      <c r="F11723" s="2" t="str">
        <f>HYPERLINK("http://www.otzar.org/book.asp?626355","המדרש והמעשה - 3 כר'")</f>
        <v>המדרש והמעשה - 3 כר'</v>
      </c>
    </row>
    <row r="11724" spans="1:6" x14ac:dyDescent="0.2">
      <c r="A11724" t="s">
        <v>20044</v>
      </c>
      <c r="B11724" t="s">
        <v>14030</v>
      </c>
      <c r="C11724" t="s">
        <v>619</v>
      </c>
      <c r="D11724" t="s">
        <v>9</v>
      </c>
      <c r="E11724" t="s">
        <v>84</v>
      </c>
      <c r="F11724" s="2" t="str">
        <f>HYPERLINK("http://www.otzar.org/book.asp?51350","המדרש והמשנה")</f>
        <v>המדרש והמשנה</v>
      </c>
    </row>
    <row r="11725" spans="1:6" x14ac:dyDescent="0.2">
      <c r="A11725" t="s">
        <v>20045</v>
      </c>
      <c r="B11725" t="s">
        <v>18487</v>
      </c>
      <c r="C11725" t="s">
        <v>3205</v>
      </c>
      <c r="D11725" t="s">
        <v>20046</v>
      </c>
      <c r="E11725" t="s">
        <v>15</v>
      </c>
      <c r="F11725" s="2" t="str">
        <f>HYPERLINK("http://www.otzar.org/book.asp?626335","המדרש כהלכה")</f>
        <v>המדרש כהלכה</v>
      </c>
    </row>
    <row r="11726" spans="1:6" x14ac:dyDescent="0.2">
      <c r="A11726" t="s">
        <v>20047</v>
      </c>
      <c r="B11726" t="s">
        <v>20048</v>
      </c>
      <c r="C11726" t="s">
        <v>151</v>
      </c>
      <c r="D11726" t="s">
        <v>1180</v>
      </c>
      <c r="F11726" s="2" t="str">
        <f>HYPERLINK("http://www.otzar.org/book.asp?620471","המהפך העולמי - להחזרת עטרת סת""ם ליושנה")</f>
        <v>המהפך העולמי - להחזרת עטרת סת"ם ליושנה</v>
      </c>
    </row>
    <row r="11727" spans="1:6" x14ac:dyDescent="0.2">
      <c r="A11727" t="s">
        <v>20049</v>
      </c>
      <c r="B11727" t="s">
        <v>3834</v>
      </c>
      <c r="C11727" t="s">
        <v>146</v>
      </c>
      <c r="D11727" t="s">
        <v>21</v>
      </c>
      <c r="F11727" s="2" t="str">
        <f>HYPERLINK("http://www.otzar.org/book.asp?609629","המהפך - 4 כר'")</f>
        <v>המהפך - 4 כר'</v>
      </c>
    </row>
    <row r="11728" spans="1:6" x14ac:dyDescent="0.2">
      <c r="A11728" t="s">
        <v>20050</v>
      </c>
      <c r="B11728" t="s">
        <v>20051</v>
      </c>
      <c r="C11728" t="s">
        <v>411</v>
      </c>
      <c r="D11728" t="s">
        <v>7569</v>
      </c>
      <c r="E11728" t="s">
        <v>241</v>
      </c>
      <c r="F11728" s="2" t="str">
        <f>HYPERLINK("http://www.otzar.org/book.asp?169819","המהר""ל המבואר - 2 כר'")</f>
        <v>המהר"ל המבואר - 2 כר'</v>
      </c>
    </row>
    <row r="11729" spans="1:6" x14ac:dyDescent="0.2">
      <c r="A11729" t="s">
        <v>20052</v>
      </c>
      <c r="B11729" t="s">
        <v>20053</v>
      </c>
      <c r="C11729" t="s">
        <v>854</v>
      </c>
      <c r="D11729" t="s">
        <v>27</v>
      </c>
      <c r="E11729" t="s">
        <v>104</v>
      </c>
      <c r="F11729" s="2" t="str">
        <f>HYPERLINK("http://www.otzar.org/book.asp?13348","המודד")</f>
        <v>המודד</v>
      </c>
    </row>
    <row r="11730" spans="1:6" x14ac:dyDescent="0.2">
      <c r="A11730" t="s">
        <v>20054</v>
      </c>
      <c r="B11730" t="s">
        <v>20055</v>
      </c>
      <c r="C11730" t="s">
        <v>445</v>
      </c>
      <c r="D11730" t="s">
        <v>20056</v>
      </c>
      <c r="F11730" s="2" t="str">
        <f>HYPERLINK("http://www.otzar.org/book.asp?623873","המודיע - 12 כר'")</f>
        <v>המודיע - 12 כר'</v>
      </c>
    </row>
    <row r="11731" spans="1:6" x14ac:dyDescent="0.2">
      <c r="A11731" t="s">
        <v>20057</v>
      </c>
      <c r="B11731" t="s">
        <v>20058</v>
      </c>
      <c r="C11731" t="s">
        <v>543</v>
      </c>
      <c r="D11731" t="s">
        <v>212</v>
      </c>
      <c r="E11731" t="s">
        <v>246</v>
      </c>
      <c r="F11731" s="2" t="str">
        <f>HYPERLINK("http://www.otzar.org/book.asp?176140","המון חוגג")</f>
        <v>המון חוגג</v>
      </c>
    </row>
    <row r="11732" spans="1:6" x14ac:dyDescent="0.2">
      <c r="A11732" t="s">
        <v>20059</v>
      </c>
      <c r="B11732" t="s">
        <v>16335</v>
      </c>
      <c r="C11732" t="s">
        <v>20060</v>
      </c>
      <c r="D11732" t="s">
        <v>9</v>
      </c>
      <c r="E11732" t="s">
        <v>241</v>
      </c>
      <c r="F11732" s="2" t="str">
        <f>HYPERLINK("http://www.otzar.org/book.asp?15916","המוסר והדעת - 5 כר'")</f>
        <v>המוסר והדעת - 5 כר'</v>
      </c>
    </row>
    <row r="11733" spans="1:6" x14ac:dyDescent="0.2">
      <c r="A11733" t="s">
        <v>20061</v>
      </c>
      <c r="B11733" t="s">
        <v>20062</v>
      </c>
      <c r="C11733" t="s">
        <v>624</v>
      </c>
      <c r="D11733" t="s">
        <v>14</v>
      </c>
      <c r="E11733" t="s">
        <v>81</v>
      </c>
      <c r="F11733" s="2" t="str">
        <f>HYPERLINK("http://www.otzar.org/book.asp?104949","המוסר והיראה - מרגניתא טבא")</f>
        <v>המוסר והיראה - מרגניתא טבא</v>
      </c>
    </row>
    <row r="11734" spans="1:6" x14ac:dyDescent="0.2">
      <c r="A11734" t="s">
        <v>20063</v>
      </c>
      <c r="B11734" t="s">
        <v>20064</v>
      </c>
      <c r="C11734" t="s">
        <v>151</v>
      </c>
      <c r="D11734" t="s">
        <v>90</v>
      </c>
      <c r="F11734" s="2" t="str">
        <f>HYPERLINK("http://www.otzar.org/book.asp?616708","המוסר והנועם - 3 כר'")</f>
        <v>המוסר והנועם - 3 כר'</v>
      </c>
    </row>
    <row r="11735" spans="1:6" x14ac:dyDescent="0.2">
      <c r="A11735" t="s">
        <v>20065</v>
      </c>
      <c r="B11735" t="s">
        <v>20066</v>
      </c>
      <c r="C11735" t="s">
        <v>594</v>
      </c>
      <c r="D11735" t="s">
        <v>15591</v>
      </c>
      <c r="E11735" t="s">
        <v>241</v>
      </c>
      <c r="F11735" s="2" t="str">
        <f>HYPERLINK("http://www.otzar.org/book.asp?110","המוסר")</f>
        <v>המוסר</v>
      </c>
    </row>
    <row r="11736" spans="1:6" x14ac:dyDescent="0.2">
      <c r="A11736" t="s">
        <v>20067</v>
      </c>
      <c r="B11736" t="s">
        <v>5449</v>
      </c>
      <c r="C11736" t="s">
        <v>68</v>
      </c>
      <c r="D11736" t="s">
        <v>14</v>
      </c>
      <c r="E11736" t="s">
        <v>246</v>
      </c>
      <c r="F11736" s="2" t="str">
        <f>HYPERLINK("http://www.otzar.org/book.asp?166196","המועדים בהלכה &lt;מהדורה חדשה&gt; - 2 כר'")</f>
        <v>המועדים בהלכה &lt;מהדורה חדשה&gt; - 2 כר'</v>
      </c>
    </row>
    <row r="11737" spans="1:6" x14ac:dyDescent="0.2">
      <c r="A11737" t="s">
        <v>20068</v>
      </c>
      <c r="B11737" t="s">
        <v>5449</v>
      </c>
      <c r="C11737" t="s">
        <v>1954</v>
      </c>
      <c r="D11737" t="s">
        <v>260</v>
      </c>
      <c r="E11737" t="s">
        <v>246</v>
      </c>
      <c r="F11737" s="2" t="str">
        <f>HYPERLINK("http://www.otzar.org/book.asp?13051","המועדים בהלכה")</f>
        <v>המועדים בהלכה</v>
      </c>
    </row>
    <row r="11738" spans="1:6" x14ac:dyDescent="0.2">
      <c r="A11738" t="s">
        <v>20069</v>
      </c>
      <c r="B11738" t="s">
        <v>15736</v>
      </c>
      <c r="C11738" t="s">
        <v>151</v>
      </c>
      <c r="D11738" t="s">
        <v>52</v>
      </c>
      <c r="F11738" s="2" t="str">
        <f>HYPERLINK("http://www.otzar.org/book.asp?618877","המועדים כהלכתם")</f>
        <v>המועדים כהלכתם</v>
      </c>
    </row>
    <row r="11739" spans="1:6" x14ac:dyDescent="0.2">
      <c r="A11739" t="s">
        <v>20070</v>
      </c>
      <c r="B11739" t="s">
        <v>3462</v>
      </c>
      <c r="C11739" t="s">
        <v>23</v>
      </c>
      <c r="D11739" t="s">
        <v>80</v>
      </c>
      <c r="F11739" s="2" t="str">
        <f>HYPERLINK("http://www.otzar.org/book.asp?195653","המופלא והמיוחד - א")</f>
        <v>המופלא והמיוחד - א</v>
      </c>
    </row>
    <row r="11740" spans="1:6" x14ac:dyDescent="0.2">
      <c r="A11740" t="s">
        <v>20071</v>
      </c>
      <c r="B11740" t="s">
        <v>20072</v>
      </c>
      <c r="C11740" t="s">
        <v>20</v>
      </c>
      <c r="D11740" t="s">
        <v>147</v>
      </c>
      <c r="E11740" t="s">
        <v>20073</v>
      </c>
      <c r="F11740" s="2" t="str">
        <f>HYPERLINK("http://www.otzar.org/book.asp?611715","המוציא יין")</f>
        <v>המוציא יין</v>
      </c>
    </row>
    <row r="11741" spans="1:6" x14ac:dyDescent="0.2">
      <c r="A11741" t="s">
        <v>20074</v>
      </c>
      <c r="B11741" t="s">
        <v>3108</v>
      </c>
      <c r="C11741" t="s">
        <v>946</v>
      </c>
      <c r="D11741" t="s">
        <v>9</v>
      </c>
      <c r="E11741" t="s">
        <v>674</v>
      </c>
      <c r="F11741" s="2" t="str">
        <f>HYPERLINK("http://www.otzar.org/book.asp?102405","המזוזה עם אור המצות")</f>
        <v>המזוזה עם אור המצות</v>
      </c>
    </row>
    <row r="11742" spans="1:6" x14ac:dyDescent="0.2">
      <c r="A11742" t="s">
        <v>20075</v>
      </c>
      <c r="B11742" t="s">
        <v>20076</v>
      </c>
      <c r="C11742" t="s">
        <v>492</v>
      </c>
      <c r="D11742" t="s">
        <v>56</v>
      </c>
      <c r="E11742" t="s">
        <v>325</v>
      </c>
      <c r="F11742" s="2" t="str">
        <f>HYPERLINK("http://www.otzar.org/book.asp?101112","המזכיר")</f>
        <v>המזכיר</v>
      </c>
    </row>
    <row r="11743" spans="1:6" x14ac:dyDescent="0.2">
      <c r="A11743" t="s">
        <v>20077</v>
      </c>
      <c r="B11743" t="s">
        <v>18832</v>
      </c>
      <c r="C11743" t="s">
        <v>176</v>
      </c>
      <c r="D11743" t="s">
        <v>14</v>
      </c>
      <c r="E11743" t="s">
        <v>104</v>
      </c>
      <c r="F11743" s="2" t="str">
        <f>HYPERLINK("http://www.otzar.org/book.asp?165926","המזלות")</f>
        <v>המזלות</v>
      </c>
    </row>
    <row r="11744" spans="1:6" x14ac:dyDescent="0.2">
      <c r="A11744" t="s">
        <v>20078</v>
      </c>
      <c r="B11744" t="s">
        <v>20079</v>
      </c>
      <c r="C11744" t="s">
        <v>496</v>
      </c>
      <c r="D11744" t="s">
        <v>691</v>
      </c>
      <c r="E11744" t="s">
        <v>2088</v>
      </c>
      <c r="F11744" s="2" t="str">
        <f>HYPERLINK("http://www.otzar.org/book.asp?16662","המחדד")</f>
        <v>המחדד</v>
      </c>
    </row>
    <row r="11745" spans="1:6" x14ac:dyDescent="0.2">
      <c r="A11745" t="s">
        <v>20080</v>
      </c>
      <c r="B11745" t="s">
        <v>20081</v>
      </c>
      <c r="C11745" t="s">
        <v>111</v>
      </c>
      <c r="D11745" t="s">
        <v>90</v>
      </c>
      <c r="E11745" t="s">
        <v>241</v>
      </c>
      <c r="F11745" s="2" t="str">
        <f>HYPERLINK("http://www.otzar.org/book.asp?630856","המחדש בטובו")</f>
        <v>המחדש בטובו</v>
      </c>
    </row>
    <row r="11746" spans="1:6" x14ac:dyDescent="0.2">
      <c r="A11746" t="s">
        <v>20082</v>
      </c>
      <c r="B11746" t="s">
        <v>20083</v>
      </c>
      <c r="C11746" t="s">
        <v>553</v>
      </c>
      <c r="D11746" t="s">
        <v>14</v>
      </c>
      <c r="E11746" t="s">
        <v>219</v>
      </c>
      <c r="F11746" s="2" t="str">
        <f>HYPERLINK("http://www.otzar.org/book.asp?62054","המחזור המבואר השלם &lt;ספרד&gt; - 2 כר'")</f>
        <v>המחזור המבואר השלם &lt;ספרד&gt; - 2 כר'</v>
      </c>
    </row>
    <row r="11747" spans="1:6" x14ac:dyDescent="0.2">
      <c r="A11747" t="s">
        <v>20084</v>
      </c>
      <c r="B11747" t="s">
        <v>20085</v>
      </c>
      <c r="C11747" t="s">
        <v>313</v>
      </c>
      <c r="D11747" t="s">
        <v>52</v>
      </c>
      <c r="E11747" t="s">
        <v>1517</v>
      </c>
      <c r="F11747" s="2" t="str">
        <f>HYPERLINK("http://www.otzar.org/book.asp?85224","המחזור המדוייק איש מצליח - 5 כר'")</f>
        <v>המחזור המדוייק איש מצליח - 5 כר'</v>
      </c>
    </row>
    <row r="11748" spans="1:6" x14ac:dyDescent="0.2">
      <c r="A11748" t="s">
        <v>20086</v>
      </c>
      <c r="B11748" t="s">
        <v>20087</v>
      </c>
      <c r="C11748" t="s">
        <v>20088</v>
      </c>
      <c r="D11748" t="s">
        <v>2772</v>
      </c>
      <c r="F11748" s="2" t="str">
        <f>HYPERLINK("http://www.otzar.org/book.asp?53438","המחזור כסדר האשכנזים")</f>
        <v>המחזור כסדר האשכנזים</v>
      </c>
    </row>
    <row r="11749" spans="1:6" x14ac:dyDescent="0.2">
      <c r="A11749" t="s">
        <v>20089</v>
      </c>
      <c r="B11749" t="s">
        <v>20090</v>
      </c>
      <c r="C11749" t="s">
        <v>1519</v>
      </c>
      <c r="D11749" t="s">
        <v>5665</v>
      </c>
      <c r="E11749" t="s">
        <v>219</v>
      </c>
      <c r="F11749" s="2" t="str">
        <f>HYPERLINK("http://www.otzar.org/book.asp?16195","המחזור")</f>
        <v>המחזור</v>
      </c>
    </row>
    <row r="11750" spans="1:6" x14ac:dyDescent="0.2">
      <c r="A11750" t="s">
        <v>20091</v>
      </c>
      <c r="B11750" t="s">
        <v>20092</v>
      </c>
      <c r="C11750" t="s">
        <v>422</v>
      </c>
      <c r="D11750" t="s">
        <v>52</v>
      </c>
      <c r="E11750" t="s">
        <v>104</v>
      </c>
      <c r="F11750" s="2" t="str">
        <f>HYPERLINK("http://www.otzar.org/book.asp?610752","המחזיר שכינתו לציון")</f>
        <v>המחזיר שכינתו לציון</v>
      </c>
    </row>
    <row r="11751" spans="1:6" x14ac:dyDescent="0.2">
      <c r="A11751" t="s">
        <v>20091</v>
      </c>
      <c r="B11751" t="s">
        <v>20093</v>
      </c>
      <c r="C11751" t="s">
        <v>133</v>
      </c>
      <c r="D11751" t="s">
        <v>21</v>
      </c>
      <c r="E11751" t="s">
        <v>104</v>
      </c>
      <c r="F11751" s="2" t="str">
        <f>HYPERLINK("http://www.otzar.org/book.asp?196583","המחזיר שכינתו לציון")</f>
        <v>המחזיר שכינתו לציון</v>
      </c>
    </row>
    <row r="11752" spans="1:6" x14ac:dyDescent="0.2">
      <c r="A11752" t="s">
        <v>20094</v>
      </c>
      <c r="B11752" t="s">
        <v>20095</v>
      </c>
      <c r="C11752" t="s">
        <v>168</v>
      </c>
      <c r="D11752" t="s">
        <v>21</v>
      </c>
      <c r="F11752" s="2" t="str">
        <f>HYPERLINK("http://www.otzar.org/book.asp?199055","המחנה החרדי - 289 כר'")</f>
        <v>המחנה החרדי - 289 כר'</v>
      </c>
    </row>
    <row r="11753" spans="1:6" x14ac:dyDescent="0.2">
      <c r="A11753" t="s">
        <v>20096</v>
      </c>
      <c r="B11753" t="s">
        <v>13344</v>
      </c>
      <c r="C11753" t="s">
        <v>523</v>
      </c>
      <c r="D11753" t="s">
        <v>52</v>
      </c>
      <c r="E11753" t="s">
        <v>15</v>
      </c>
      <c r="F11753" s="2" t="str">
        <f>HYPERLINK("http://www.otzar.org/book.asp?605155","המטבח בשמיטה")</f>
        <v>המטבח בשמיטה</v>
      </c>
    </row>
    <row r="11754" spans="1:6" x14ac:dyDescent="0.2">
      <c r="A11754" t="s">
        <v>20097</v>
      </c>
      <c r="B11754" t="s">
        <v>7036</v>
      </c>
      <c r="C11754" t="s">
        <v>189</v>
      </c>
      <c r="D11754" t="s">
        <v>14</v>
      </c>
      <c r="E11754" t="s">
        <v>15</v>
      </c>
      <c r="F11754" s="2" t="str">
        <f>HYPERLINK("http://www.otzar.org/book.asp?60985","המטבח הכשר")</f>
        <v>המטבח הכשר</v>
      </c>
    </row>
    <row r="11755" spans="1:6" x14ac:dyDescent="0.2">
      <c r="A11755" t="s">
        <v>20098</v>
      </c>
      <c r="B11755" t="s">
        <v>19062</v>
      </c>
      <c r="C11755" t="s">
        <v>445</v>
      </c>
      <c r="D11755" t="s">
        <v>1365</v>
      </c>
      <c r="E11755" t="s">
        <v>104</v>
      </c>
      <c r="F11755" s="2" t="str">
        <f>HYPERLINK("http://www.otzar.org/book.asp?197630","המטיף (ביידיש)")</f>
        <v>המטיף (ביידיש)</v>
      </c>
    </row>
    <row r="11756" spans="1:6" x14ac:dyDescent="0.2">
      <c r="A11756" t="s">
        <v>20099</v>
      </c>
      <c r="B11756" t="s">
        <v>19062</v>
      </c>
      <c r="C11756" t="s">
        <v>2644</v>
      </c>
      <c r="D11756" t="s">
        <v>56</v>
      </c>
      <c r="E11756" t="s">
        <v>234</v>
      </c>
      <c r="F11756" s="2" t="str">
        <f>HYPERLINK("http://www.otzar.org/book.asp?167553","המטיף")</f>
        <v>המטיף</v>
      </c>
    </row>
    <row r="11757" spans="1:6" x14ac:dyDescent="0.2">
      <c r="A11757" t="s">
        <v>20100</v>
      </c>
      <c r="B11757" t="s">
        <v>20101</v>
      </c>
      <c r="C11757" t="s">
        <v>422</v>
      </c>
      <c r="D11757" t="s">
        <v>486</v>
      </c>
      <c r="E11757" t="s">
        <v>15425</v>
      </c>
      <c r="F11757" s="2" t="str">
        <f>HYPERLINK("http://www.otzar.org/book.asp?189029","המטמון")</f>
        <v>המטמון</v>
      </c>
    </row>
    <row r="11758" spans="1:6" x14ac:dyDescent="0.2">
      <c r="A11758" t="s">
        <v>20102</v>
      </c>
      <c r="B11758" t="s">
        <v>20103</v>
      </c>
      <c r="C11758" t="s">
        <v>37</v>
      </c>
      <c r="D11758" t="s">
        <v>152</v>
      </c>
      <c r="E11758" t="s">
        <v>130</v>
      </c>
      <c r="F11758" s="2" t="str">
        <f>HYPERLINK("http://www.otzar.org/book.asp?630463","המינים המהודרים")</f>
        <v>המינים המהודרים</v>
      </c>
    </row>
    <row r="11759" spans="1:6" x14ac:dyDescent="0.2">
      <c r="A11759" t="s">
        <v>20104</v>
      </c>
      <c r="B11759" t="s">
        <v>20105</v>
      </c>
      <c r="C11759" t="s">
        <v>180</v>
      </c>
      <c r="D11759" t="s">
        <v>14</v>
      </c>
      <c r="F11759" s="2" t="str">
        <f>HYPERLINK("http://www.otzar.org/book.asp?152955","המיסיון בישראל")</f>
        <v>המיסיון בישראל</v>
      </c>
    </row>
    <row r="11760" spans="1:6" x14ac:dyDescent="0.2">
      <c r="A11760" t="s">
        <v>20106</v>
      </c>
      <c r="B11760" t="s">
        <v>20107</v>
      </c>
      <c r="C11760" t="s">
        <v>51</v>
      </c>
      <c r="D11760" t="s">
        <v>14</v>
      </c>
      <c r="E11760" t="s">
        <v>15</v>
      </c>
      <c r="F11760" s="2" t="str">
        <f>HYPERLINK("http://www.otzar.org/book.asp?179712","המכונית והלכותיה - 2 כר'")</f>
        <v>המכונית והלכותיה - 2 כר'</v>
      </c>
    </row>
    <row r="11761" spans="1:6" x14ac:dyDescent="0.2">
      <c r="A11761" t="s">
        <v>20108</v>
      </c>
      <c r="B11761" t="s">
        <v>20109</v>
      </c>
      <c r="C11761" t="s">
        <v>1458</v>
      </c>
      <c r="D11761" t="s">
        <v>267</v>
      </c>
      <c r="E11761" t="s">
        <v>158</v>
      </c>
      <c r="F11761" s="2" t="str">
        <f>HYPERLINK("http://www.otzar.org/book.asp?28421","המכלולים להרקב""ג")</f>
        <v>המכלולים להרקב"ג</v>
      </c>
    </row>
    <row r="11762" spans="1:6" x14ac:dyDescent="0.2">
      <c r="A11762" t="s">
        <v>20110</v>
      </c>
      <c r="B11762" t="s">
        <v>110</v>
      </c>
      <c r="C11762" t="s">
        <v>185</v>
      </c>
      <c r="D11762" t="s">
        <v>52</v>
      </c>
      <c r="E11762" t="s">
        <v>15</v>
      </c>
      <c r="F11762" s="2" t="str">
        <f>HYPERLINK("http://www.otzar.org/book.asp?630839","המכשיל את חברו")</f>
        <v>המכשיל את חברו</v>
      </c>
    </row>
    <row r="11763" spans="1:6" x14ac:dyDescent="0.2">
      <c r="A11763" t="s">
        <v>20111</v>
      </c>
      <c r="B11763" t="s">
        <v>20112</v>
      </c>
      <c r="C11763" t="s">
        <v>71</v>
      </c>
      <c r="D11763" t="s">
        <v>412</v>
      </c>
      <c r="E11763" t="s">
        <v>144</v>
      </c>
      <c r="F11763" s="2" t="str">
        <f>HYPERLINK("http://www.otzar.org/book.asp?61573","המכתם - 7 כר'")</f>
        <v>המכתם - 7 כר'</v>
      </c>
    </row>
    <row r="11764" spans="1:6" x14ac:dyDescent="0.2">
      <c r="A11764" t="s">
        <v>20113</v>
      </c>
      <c r="B11764" t="s">
        <v>20114</v>
      </c>
      <c r="C11764" t="s">
        <v>20</v>
      </c>
      <c r="D11764" t="s">
        <v>90</v>
      </c>
      <c r="E11764" t="s">
        <v>119</v>
      </c>
      <c r="F11764" s="2" t="str">
        <f>HYPERLINK("http://www.otzar.org/book.asp?613276","המלאך רפאל")</f>
        <v>המלאך רפאל</v>
      </c>
    </row>
    <row r="11765" spans="1:6" x14ac:dyDescent="0.2">
      <c r="A11765" t="s">
        <v>20113</v>
      </c>
      <c r="B11765" t="s">
        <v>9976</v>
      </c>
      <c r="C11765" t="s">
        <v>71</v>
      </c>
      <c r="D11765" t="s">
        <v>80</v>
      </c>
      <c r="E11765" t="s">
        <v>119</v>
      </c>
      <c r="F11765" s="2" t="str">
        <f>HYPERLINK("http://www.otzar.org/book.asp?193033","המלאך רפאל")</f>
        <v>המלאך רפאל</v>
      </c>
    </row>
    <row r="11766" spans="1:6" x14ac:dyDescent="0.2">
      <c r="A11766" t="s">
        <v>20115</v>
      </c>
      <c r="B11766" t="s">
        <v>20116</v>
      </c>
      <c r="C11766" t="s">
        <v>313</v>
      </c>
      <c r="D11766" t="s">
        <v>721</v>
      </c>
      <c r="E11766" t="s">
        <v>119</v>
      </c>
      <c r="F11766" s="2" t="str">
        <f>HYPERLINK("http://www.otzar.org/book.asp?174458","המלבי""ם")</f>
        <v>המלבי"ם</v>
      </c>
    </row>
    <row r="11767" spans="1:6" x14ac:dyDescent="0.2">
      <c r="A11767" t="s">
        <v>20117</v>
      </c>
      <c r="B11767" t="s">
        <v>20118</v>
      </c>
      <c r="C11767" t="s">
        <v>1058</v>
      </c>
      <c r="D11767" t="s">
        <v>283</v>
      </c>
      <c r="E11767" t="s">
        <v>104</v>
      </c>
      <c r="F11767" s="2" t="str">
        <f>HYPERLINK("http://www.otzar.org/book.asp?169808","המלואים או משביר החדש")</f>
        <v>המלואים או משביר החדש</v>
      </c>
    </row>
    <row r="11768" spans="1:6" x14ac:dyDescent="0.2">
      <c r="A11768" t="s">
        <v>20119</v>
      </c>
      <c r="B11768" t="s">
        <v>20120</v>
      </c>
      <c r="C11768" t="s">
        <v>619</v>
      </c>
      <c r="D11768" t="s">
        <v>1889</v>
      </c>
      <c r="E11768" t="s">
        <v>8580</v>
      </c>
      <c r="F11768" s="2" t="str">
        <f>HYPERLINK("http://www.otzar.org/book.asp?300538","המלואים למשה")</f>
        <v>המלואים למשה</v>
      </c>
    </row>
    <row r="11769" spans="1:6" x14ac:dyDescent="0.2">
      <c r="A11769" t="s">
        <v>20121</v>
      </c>
      <c r="B11769" t="s">
        <v>18570</v>
      </c>
      <c r="C11769" t="s">
        <v>37</v>
      </c>
      <c r="D11769" t="s">
        <v>21</v>
      </c>
      <c r="F11769" s="2" t="str">
        <f>HYPERLINK("http://www.otzar.org/book.asp?610583","המלוכה והממשלה")</f>
        <v>המלוכה והממשלה</v>
      </c>
    </row>
    <row r="11770" spans="1:6" x14ac:dyDescent="0.2">
      <c r="A11770" t="s">
        <v>20122</v>
      </c>
      <c r="B11770" t="s">
        <v>4970</v>
      </c>
      <c r="C11770" t="s">
        <v>133</v>
      </c>
      <c r="D11770" t="s">
        <v>52</v>
      </c>
      <c r="E11770" t="s">
        <v>241</v>
      </c>
      <c r="F11770" s="2" t="str">
        <f>HYPERLINK("http://www.otzar.org/book.asp?189837","המלחמה האחרונה")</f>
        <v>המלחמה האחרונה</v>
      </c>
    </row>
    <row r="11771" spans="1:6" x14ac:dyDescent="0.2">
      <c r="A11771" t="s">
        <v>20123</v>
      </c>
      <c r="B11771" t="s">
        <v>14625</v>
      </c>
      <c r="C11771" t="s">
        <v>1335</v>
      </c>
      <c r="D11771" t="s">
        <v>20124</v>
      </c>
      <c r="E11771" t="s">
        <v>119</v>
      </c>
      <c r="F11771" s="2" t="str">
        <f>HYPERLINK("http://www.otzar.org/book.asp?623920","המלחמה והמצור")</f>
        <v>המלחמה והמצור</v>
      </c>
    </row>
    <row r="11772" spans="1:6" x14ac:dyDescent="0.2">
      <c r="A11772" t="s">
        <v>20125</v>
      </c>
      <c r="B11772" t="s">
        <v>20126</v>
      </c>
      <c r="C11772" t="s">
        <v>189</v>
      </c>
      <c r="D11772" t="s">
        <v>6853</v>
      </c>
      <c r="E11772" t="s">
        <v>714</v>
      </c>
      <c r="F11772" s="2" t="str">
        <f>HYPERLINK("http://www.otzar.org/book.asp?50275","המליכו ולא ממני")</f>
        <v>המליכו ולא ממני</v>
      </c>
    </row>
    <row r="11773" spans="1:6" x14ac:dyDescent="0.2">
      <c r="A11773" t="s">
        <v>20127</v>
      </c>
      <c r="B11773" t="s">
        <v>20128</v>
      </c>
      <c r="C11773" t="s">
        <v>3246</v>
      </c>
      <c r="D11773" t="s">
        <v>2293</v>
      </c>
      <c r="E11773" t="s">
        <v>1211</v>
      </c>
      <c r="F11773" s="2" t="str">
        <f>HYPERLINK("http://www.otzar.org/book.asp?681","המלים")</f>
        <v>המלים</v>
      </c>
    </row>
    <row r="11774" spans="1:6" x14ac:dyDescent="0.2">
      <c r="A11774" t="s">
        <v>20129</v>
      </c>
      <c r="B11774" t="s">
        <v>3462</v>
      </c>
      <c r="C11774" t="s">
        <v>51</v>
      </c>
      <c r="D11774" t="s">
        <v>52</v>
      </c>
      <c r="E11774" t="s">
        <v>241</v>
      </c>
      <c r="F11774" s="2" t="str">
        <f>HYPERLINK("http://www.otzar.org/book.asp?61409","המלך הקדוש")</f>
        <v>המלך הקדוש</v>
      </c>
    </row>
    <row r="11775" spans="1:6" x14ac:dyDescent="0.2">
      <c r="A11775" t="s">
        <v>20130</v>
      </c>
      <c r="B11775" t="s">
        <v>20131</v>
      </c>
      <c r="C11775" t="s">
        <v>411</v>
      </c>
      <c r="D11775" t="s">
        <v>139</v>
      </c>
      <c r="E11775" t="s">
        <v>202</v>
      </c>
      <c r="F11775" s="2" t="str">
        <f>HYPERLINK("http://www.otzar.org/book.asp?195597","המלמד ידי")</f>
        <v>המלמד ידי</v>
      </c>
    </row>
    <row r="11776" spans="1:6" x14ac:dyDescent="0.2">
      <c r="A11776" t="s">
        <v>20132</v>
      </c>
      <c r="B11776" t="s">
        <v>5706</v>
      </c>
      <c r="C11776" t="s">
        <v>1650</v>
      </c>
      <c r="D11776" t="s">
        <v>27</v>
      </c>
      <c r="E11776" t="s">
        <v>20133</v>
      </c>
      <c r="F11776" s="2" t="str">
        <f>HYPERLINK("http://www.otzar.org/book.asp?105010","המלמד")</f>
        <v>המלמד</v>
      </c>
    </row>
    <row r="11777" spans="1:6" x14ac:dyDescent="0.2">
      <c r="A11777" t="s">
        <v>20134</v>
      </c>
      <c r="B11777" t="s">
        <v>19455</v>
      </c>
      <c r="C11777" t="s">
        <v>133</v>
      </c>
      <c r="D11777" t="s">
        <v>412</v>
      </c>
      <c r="E11777" t="s">
        <v>15</v>
      </c>
      <c r="F11777" s="2" t="str">
        <f>HYPERLINK("http://www.otzar.org/book.asp?173228","הממהרים לבוא")</f>
        <v>הממהרים לבוא</v>
      </c>
    </row>
    <row r="11778" spans="1:6" x14ac:dyDescent="0.2">
      <c r="A11778" t="s">
        <v>20135</v>
      </c>
      <c r="B11778" t="s">
        <v>20136</v>
      </c>
      <c r="C11778" t="s">
        <v>143</v>
      </c>
      <c r="D11778" t="s">
        <v>14</v>
      </c>
      <c r="E11778" t="s">
        <v>15</v>
      </c>
      <c r="F11778" s="2" t="str">
        <f>HYPERLINK("http://www.otzar.org/book.asp?622961","המנהג האיטלקי בירושלים עיה""ק - 2 כר'")</f>
        <v>המנהג האיטלקי בירושלים עיה"ק - 2 כר'</v>
      </c>
    </row>
    <row r="11779" spans="1:6" x14ac:dyDescent="0.2">
      <c r="A11779" t="s">
        <v>20137</v>
      </c>
      <c r="B11779" t="s">
        <v>20138</v>
      </c>
      <c r="C11779" t="s">
        <v>1096</v>
      </c>
      <c r="D11779" t="s">
        <v>1365</v>
      </c>
      <c r="E11779" t="s">
        <v>104</v>
      </c>
      <c r="F11779" s="2" t="str">
        <f>HYPERLINK("http://www.otzar.org/book.asp?196006","המנהל בדרך סלולה")</f>
        <v>המנהל בדרך סלולה</v>
      </c>
    </row>
    <row r="11780" spans="1:6" x14ac:dyDescent="0.2">
      <c r="A11780" t="s">
        <v>20139</v>
      </c>
      <c r="B11780" t="s">
        <v>20140</v>
      </c>
      <c r="C11780" t="s">
        <v>20</v>
      </c>
      <c r="D11780" t="s">
        <v>90</v>
      </c>
      <c r="E11780" t="s">
        <v>144</v>
      </c>
      <c r="F11780" s="2" t="str">
        <f>HYPERLINK("http://www.otzar.org/book.asp?603178","המנורה הטהורה - 3 כר'")</f>
        <v>המנורה הטהורה - 3 כר'</v>
      </c>
    </row>
    <row r="11781" spans="1:6" x14ac:dyDescent="0.2">
      <c r="A11781" t="s">
        <v>20141</v>
      </c>
      <c r="B11781" t="s">
        <v>11818</v>
      </c>
      <c r="C11781" t="s">
        <v>1718</v>
      </c>
      <c r="D11781" t="s">
        <v>16851</v>
      </c>
      <c r="E11781" t="s">
        <v>384</v>
      </c>
      <c r="F11781" s="2" t="str">
        <f>HYPERLINK("http://www.otzar.org/book.asp?145405","המסדרונה - שנה שניה")</f>
        <v>המסדרונה - שנה שניה</v>
      </c>
    </row>
    <row r="11782" spans="1:6" x14ac:dyDescent="0.2">
      <c r="A11782" t="s">
        <v>20142</v>
      </c>
      <c r="B11782" t="s">
        <v>20143</v>
      </c>
      <c r="C11782" t="s">
        <v>133</v>
      </c>
      <c r="D11782" t="s">
        <v>367</v>
      </c>
      <c r="E11782" t="s">
        <v>158</v>
      </c>
      <c r="F11782" s="2" t="str">
        <f>HYPERLINK("http://www.otzar.org/book.asp?179564","המסולאים בפז - 2 כר'")</f>
        <v>המסולאים בפז - 2 כר'</v>
      </c>
    </row>
    <row r="11783" spans="1:6" x14ac:dyDescent="0.2">
      <c r="A11783" t="s">
        <v>20144</v>
      </c>
      <c r="B11783" t="s">
        <v>20145</v>
      </c>
      <c r="C11783" t="s">
        <v>383</v>
      </c>
      <c r="D11783" t="s">
        <v>21</v>
      </c>
      <c r="E11783" t="s">
        <v>158</v>
      </c>
      <c r="F11783" s="2" t="str">
        <f>HYPERLINK("http://www.otzar.org/book.asp?602814","המסורה הגדולה לתורה &lt;כתב יד ל&gt; - 2 כר'")</f>
        <v>המסורה הגדולה לתורה &lt;כתב יד ל&gt; - 2 כר'</v>
      </c>
    </row>
    <row r="11784" spans="1:6" x14ac:dyDescent="0.2">
      <c r="A11784" t="s">
        <v>20146</v>
      </c>
      <c r="B11784" t="s">
        <v>20147</v>
      </c>
      <c r="C11784" t="s">
        <v>334</v>
      </c>
      <c r="D11784" t="s">
        <v>216</v>
      </c>
      <c r="E11784" t="s">
        <v>158</v>
      </c>
      <c r="F11784" s="2" t="str">
        <f>HYPERLINK("http://www.otzar.org/book.asp?177075","המסורה לחומש מקראות גדולות - 3 כר'")</f>
        <v>המסורה לחומש מקראות גדולות - 3 כר'</v>
      </c>
    </row>
    <row r="11785" spans="1:6" x14ac:dyDescent="0.2">
      <c r="A11785" t="s">
        <v>20148</v>
      </c>
      <c r="B11785" t="s">
        <v>17111</v>
      </c>
      <c r="C11785" t="s">
        <v>37</v>
      </c>
      <c r="D11785" t="s">
        <v>152</v>
      </c>
      <c r="E11785" t="s">
        <v>119</v>
      </c>
      <c r="F11785" s="2" t="str">
        <f>HYPERLINK("http://www.otzar.org/book.asp?183099","המסורה")</f>
        <v>המסורה</v>
      </c>
    </row>
    <row r="11786" spans="1:6" x14ac:dyDescent="0.2">
      <c r="A11786" t="s">
        <v>20149</v>
      </c>
      <c r="B11786" t="s">
        <v>20150</v>
      </c>
      <c r="C11786" t="s">
        <v>20151</v>
      </c>
      <c r="D11786" t="s">
        <v>563</v>
      </c>
      <c r="F11786" s="2" t="str">
        <f>HYPERLINK("http://www.otzar.org/book.asp?155730","המסורה - 6 כר'")</f>
        <v>המסורה - 6 כר'</v>
      </c>
    </row>
    <row r="11787" spans="1:6" x14ac:dyDescent="0.2">
      <c r="A11787" t="s">
        <v>20152</v>
      </c>
      <c r="B11787" t="s">
        <v>20153</v>
      </c>
      <c r="C11787" t="s">
        <v>777</v>
      </c>
      <c r="D11787" t="s">
        <v>20154</v>
      </c>
      <c r="E11787" t="s">
        <v>104</v>
      </c>
      <c r="F11787" s="2" t="str">
        <f>HYPERLINK("http://www.otzar.org/book.asp?603695","המסורת בספרי הרמב""ם")</f>
        <v>המסורת בספרי הרמב"ם</v>
      </c>
    </row>
    <row r="11788" spans="1:6" x14ac:dyDescent="0.2">
      <c r="A11788" t="s">
        <v>20155</v>
      </c>
      <c r="B11788" t="s">
        <v>20156</v>
      </c>
      <c r="C11788" t="s">
        <v>160</v>
      </c>
      <c r="D11788" t="s">
        <v>646</v>
      </c>
      <c r="E11788" t="s">
        <v>202</v>
      </c>
      <c r="F11788" s="2" t="str">
        <f>HYPERLINK("http://www.otzar.org/book.asp?181252","המסילה &lt;לונדון&gt; - א")</f>
        <v>המסילה &lt;לונדון&gt; - א</v>
      </c>
    </row>
    <row r="11789" spans="1:6" x14ac:dyDescent="0.2">
      <c r="A11789" t="s">
        <v>20157</v>
      </c>
      <c r="B11789" t="s">
        <v>20158</v>
      </c>
      <c r="C11789" t="s">
        <v>843</v>
      </c>
      <c r="D11789" t="s">
        <v>27</v>
      </c>
      <c r="E11789" t="s">
        <v>384</v>
      </c>
      <c r="F11789" s="2" t="str">
        <f>HYPERLINK("http://www.otzar.org/book.asp?157583","המסילה - 7 כר'")</f>
        <v>המסילה - 7 כר'</v>
      </c>
    </row>
    <row r="11790" spans="1:6" x14ac:dyDescent="0.2">
      <c r="A11790" t="s">
        <v>20159</v>
      </c>
      <c r="B11790" t="s">
        <v>20160</v>
      </c>
      <c r="C11790" t="s">
        <v>286</v>
      </c>
      <c r="D11790" t="s">
        <v>412</v>
      </c>
      <c r="E11790" t="s">
        <v>202</v>
      </c>
      <c r="F11790" s="2" t="str">
        <f>HYPERLINK("http://www.otzar.org/book.asp?141911","המסילה - 12 כר'")</f>
        <v>המסילה - 12 כר'</v>
      </c>
    </row>
    <row r="11791" spans="1:6" x14ac:dyDescent="0.2">
      <c r="A11791" t="s">
        <v>20161</v>
      </c>
      <c r="B11791" t="s">
        <v>20162</v>
      </c>
      <c r="C11791" t="s">
        <v>940</v>
      </c>
      <c r="D11791" t="s">
        <v>21</v>
      </c>
      <c r="E11791" t="s">
        <v>202</v>
      </c>
      <c r="F11791" s="2" t="str">
        <f>HYPERLINK("http://www.otzar.org/book.asp?600430","המסילה")</f>
        <v>המסילה</v>
      </c>
    </row>
    <row r="11792" spans="1:6" x14ac:dyDescent="0.2">
      <c r="A11792" t="s">
        <v>20163</v>
      </c>
      <c r="B11792" t="s">
        <v>16591</v>
      </c>
      <c r="C11792" t="s">
        <v>23</v>
      </c>
      <c r="D11792" t="s">
        <v>14</v>
      </c>
      <c r="E11792" t="s">
        <v>241</v>
      </c>
      <c r="F11792" s="2" t="str">
        <f>HYPERLINK("http://www.otzar.org/book.asp?194500","המסירות נפש של כלל ישראל")</f>
        <v>המסירות נפש של כלל ישראל</v>
      </c>
    </row>
    <row r="11793" spans="1:6" x14ac:dyDescent="0.2">
      <c r="A11793" t="s">
        <v>20164</v>
      </c>
      <c r="B11793" t="s">
        <v>20165</v>
      </c>
      <c r="C11793" t="s">
        <v>1458</v>
      </c>
      <c r="D11793" t="s">
        <v>56</v>
      </c>
      <c r="E11793" t="s">
        <v>579</v>
      </c>
      <c r="F11793" s="2" t="str">
        <f>HYPERLINK("http://www.otzar.org/book.asp?145379","המסלות")</f>
        <v>המסלות</v>
      </c>
    </row>
    <row r="11794" spans="1:6" x14ac:dyDescent="0.2">
      <c r="A11794" t="s">
        <v>20166</v>
      </c>
      <c r="B11794" t="s">
        <v>6661</v>
      </c>
      <c r="D11794" t="s">
        <v>486</v>
      </c>
      <c r="E11794" t="s">
        <v>241</v>
      </c>
      <c r="F11794" s="2" t="str">
        <f>HYPERLINK("http://www.otzar.org/book.asp?628235","המסע אל האושר")</f>
        <v>המסע אל האושר</v>
      </c>
    </row>
    <row r="11795" spans="1:6" x14ac:dyDescent="0.2">
      <c r="A11795" t="s">
        <v>20167</v>
      </c>
      <c r="B11795" t="s">
        <v>20168</v>
      </c>
      <c r="C11795" t="s">
        <v>23</v>
      </c>
      <c r="D11795" t="s">
        <v>2458</v>
      </c>
      <c r="E11795" t="s">
        <v>104</v>
      </c>
      <c r="F11795" s="2" t="str">
        <f>HYPERLINK("http://www.otzar.org/book.asp?192892","המסע של קרן התורה אל אתרי התרבות היהודית במזרח")</f>
        <v>המסע של קרן התורה אל אתרי התרבות היהודית במזרח</v>
      </c>
    </row>
    <row r="11796" spans="1:6" x14ac:dyDescent="0.2">
      <c r="A11796" t="s">
        <v>20169</v>
      </c>
      <c r="B11796" t="s">
        <v>12176</v>
      </c>
      <c r="C11796" t="s">
        <v>989</v>
      </c>
      <c r="D11796" t="s">
        <v>72</v>
      </c>
      <c r="E11796" t="s">
        <v>241</v>
      </c>
      <c r="F11796" s="2" t="str">
        <f>HYPERLINK("http://www.otzar.org/book.asp?190733","המספיק לעובדי ה' &lt;מקור ערבי ותרגום אנגלי&gt; - ב")</f>
        <v>המספיק לעובדי ה' &lt;מקור ערבי ותרגום אנגלי&gt; - ב</v>
      </c>
    </row>
    <row r="11797" spans="1:6" x14ac:dyDescent="0.2">
      <c r="A11797" t="s">
        <v>20170</v>
      </c>
      <c r="B11797" t="s">
        <v>12176</v>
      </c>
      <c r="C11797" t="s">
        <v>13</v>
      </c>
      <c r="D11797" t="s">
        <v>14</v>
      </c>
      <c r="E11797" t="s">
        <v>241</v>
      </c>
      <c r="F11797" s="2" t="str">
        <f>HYPERLINK("http://www.otzar.org/book.asp?63055","המספיק לעובדי ה' &lt;תרגום חדש&gt;")</f>
        <v>המספיק לעובדי ה' &lt;תרגום חדש&gt;</v>
      </c>
    </row>
    <row r="11798" spans="1:6" x14ac:dyDescent="0.2">
      <c r="A11798" t="s">
        <v>20171</v>
      </c>
      <c r="B11798" t="s">
        <v>12176</v>
      </c>
      <c r="C11798" t="s">
        <v>1811</v>
      </c>
      <c r="D11798" t="s">
        <v>14</v>
      </c>
      <c r="E11798" t="s">
        <v>241</v>
      </c>
      <c r="F11798" s="2" t="str">
        <f>HYPERLINK("http://www.otzar.org/book.asp?159024","המספיק לעובדי ה'")</f>
        <v>המספיק לעובדי ה'</v>
      </c>
    </row>
    <row r="11799" spans="1:6" x14ac:dyDescent="0.2">
      <c r="A11799" t="s">
        <v>20172</v>
      </c>
      <c r="B11799" t="s">
        <v>107</v>
      </c>
      <c r="C11799" t="s">
        <v>244</v>
      </c>
      <c r="D11799" t="s">
        <v>14</v>
      </c>
      <c r="E11799" t="s">
        <v>213</v>
      </c>
      <c r="F11799" s="2" t="str">
        <f>HYPERLINK("http://www.otzar.org/book.asp?622160","המסר במאורעות תשע""ו")</f>
        <v>המסר במאורעות תשע"ו</v>
      </c>
    </row>
    <row r="11800" spans="1:6" x14ac:dyDescent="0.2">
      <c r="A11800" t="s">
        <v>20173</v>
      </c>
      <c r="B11800" t="s">
        <v>107</v>
      </c>
      <c r="C11800" t="s">
        <v>244</v>
      </c>
      <c r="D11800" t="s">
        <v>14</v>
      </c>
      <c r="E11800" t="s">
        <v>104</v>
      </c>
      <c r="F11800" s="2" t="str">
        <f>HYPERLINK("http://www.otzar.org/book.asp?625797","המסר שיש ללמוד ממהומות הר הבית")</f>
        <v>המסר שיש ללמוד ממהומות הר הבית</v>
      </c>
    </row>
    <row r="11801" spans="1:6" x14ac:dyDescent="0.2">
      <c r="A11801" t="s">
        <v>20174</v>
      </c>
      <c r="B11801" t="s">
        <v>4735</v>
      </c>
      <c r="C11801" t="s">
        <v>189</v>
      </c>
      <c r="D11801" t="s">
        <v>14</v>
      </c>
      <c r="E11801" t="s">
        <v>1164</v>
      </c>
      <c r="F11801" s="2" t="str">
        <f>HYPERLINK("http://www.otzar.org/book.asp?63817","המסתורין במועדים")</f>
        <v>המסתורין במועדים</v>
      </c>
    </row>
    <row r="11802" spans="1:6" x14ac:dyDescent="0.2">
      <c r="A11802" t="s">
        <v>20175</v>
      </c>
      <c r="B11802" t="s">
        <v>4735</v>
      </c>
      <c r="C11802" t="s">
        <v>1208</v>
      </c>
      <c r="D11802" t="s">
        <v>14</v>
      </c>
      <c r="E11802" t="s">
        <v>104</v>
      </c>
      <c r="F11802" s="2" t="str">
        <f>HYPERLINK("http://www.otzar.org/book.asp?159096","המסתורין שבגימטריה וסוד השמחה")</f>
        <v>המסתורין שבגימטריה וסוד השמחה</v>
      </c>
    </row>
    <row r="11803" spans="1:6" x14ac:dyDescent="0.2">
      <c r="A11803" t="s">
        <v>20176</v>
      </c>
      <c r="B11803" t="s">
        <v>20177</v>
      </c>
      <c r="C11803" t="s">
        <v>176</v>
      </c>
      <c r="D11803" t="s">
        <v>14</v>
      </c>
      <c r="E11803" t="s">
        <v>104</v>
      </c>
      <c r="F11803" s="2" t="str">
        <f>HYPERLINK("http://www.otzar.org/book.asp?108346","המעטפה")</f>
        <v>המעטפה</v>
      </c>
    </row>
    <row r="11804" spans="1:6" x14ac:dyDescent="0.2">
      <c r="A11804" t="s">
        <v>20178</v>
      </c>
      <c r="B11804" t="s">
        <v>20179</v>
      </c>
      <c r="C11804" t="s">
        <v>383</v>
      </c>
      <c r="D11804" t="s">
        <v>14</v>
      </c>
      <c r="E11804" t="s">
        <v>230</v>
      </c>
      <c r="F11804" s="2" t="str">
        <f>HYPERLINK("http://www.otzar.org/book.asp?153901","המעיין הנצחי")</f>
        <v>המעיין הנצחי</v>
      </c>
    </row>
    <row r="11805" spans="1:6" x14ac:dyDescent="0.2">
      <c r="A11805" t="s">
        <v>20180</v>
      </c>
      <c r="B11805" t="s">
        <v>20181</v>
      </c>
      <c r="C11805" t="s">
        <v>160</v>
      </c>
      <c r="D11805" t="s">
        <v>20182</v>
      </c>
      <c r="E11805" t="s">
        <v>202</v>
      </c>
      <c r="F11805" s="2" t="str">
        <f>HYPERLINK("http://www.otzar.org/book.asp?161172","המעין &lt;סדרה ישנה&gt; - 5 כר'")</f>
        <v>המעין &lt;סדרה ישנה&gt; - 5 כר'</v>
      </c>
    </row>
    <row r="11806" spans="1:6" x14ac:dyDescent="0.2">
      <c r="A11806" t="s">
        <v>20183</v>
      </c>
      <c r="B11806" t="s">
        <v>20184</v>
      </c>
      <c r="C11806" t="s">
        <v>482</v>
      </c>
      <c r="D11806" t="s">
        <v>14</v>
      </c>
      <c r="E11806" t="s">
        <v>202</v>
      </c>
      <c r="F11806" s="2" t="str">
        <f>HYPERLINK("http://www.otzar.org/book.asp?145129","המעין &lt;פרשבורג&gt; - 20 כר'")</f>
        <v>המעין &lt;פרשבורג&gt; - 20 כר'</v>
      </c>
    </row>
    <row r="11807" spans="1:6" x14ac:dyDescent="0.2">
      <c r="A11807" t="s">
        <v>20185</v>
      </c>
      <c r="B11807" t="s">
        <v>20186</v>
      </c>
      <c r="C11807" t="s">
        <v>189</v>
      </c>
      <c r="D11807" t="s">
        <v>14</v>
      </c>
      <c r="E11807" t="s">
        <v>768</v>
      </c>
      <c r="F11807" s="2" t="str">
        <f>HYPERLINK("http://www.otzar.org/book.asp?50038","המעין &lt;פרשבורג חדש&gt; - 2 כר'")</f>
        <v>המעין &lt;פרשבורג חדש&gt; - 2 כר'</v>
      </c>
    </row>
    <row r="11808" spans="1:6" x14ac:dyDescent="0.2">
      <c r="A11808" t="s">
        <v>20187</v>
      </c>
      <c r="B11808" t="s">
        <v>1750</v>
      </c>
      <c r="C11808" t="s">
        <v>46</v>
      </c>
      <c r="D11808" t="s">
        <v>14</v>
      </c>
      <c r="E11808" t="s">
        <v>202</v>
      </c>
      <c r="F11808" s="2" t="str">
        <f>HYPERLINK("http://www.otzar.org/book.asp?147185","המעין &lt;שבט סופר&gt; - ג")</f>
        <v>המעין &lt;שבט סופר&gt; - ג</v>
      </c>
    </row>
    <row r="11809" spans="1:6" x14ac:dyDescent="0.2">
      <c r="A11809" t="s">
        <v>20188</v>
      </c>
      <c r="B11809" t="s">
        <v>20189</v>
      </c>
      <c r="C11809" t="s">
        <v>442</v>
      </c>
      <c r="D11809" t="s">
        <v>21</v>
      </c>
      <c r="E11809" t="s">
        <v>202</v>
      </c>
      <c r="F11809" s="2" t="str">
        <f>HYPERLINK("http://www.otzar.org/book.asp?195001","המעין &lt;פרשבורג&gt;")</f>
        <v>המעין &lt;פרשבורג&gt;</v>
      </c>
    </row>
    <row r="11810" spans="1:6" x14ac:dyDescent="0.2">
      <c r="A11810" t="s">
        <v>20190</v>
      </c>
      <c r="B11810" t="s">
        <v>12316</v>
      </c>
      <c r="C11810" t="s">
        <v>454</v>
      </c>
      <c r="D11810" t="s">
        <v>14</v>
      </c>
      <c r="E11810" t="s">
        <v>158</v>
      </c>
      <c r="F11810" s="2" t="str">
        <f>HYPERLINK("http://www.otzar.org/book.asp?180001","המעין המתגבר - 2 כר'")</f>
        <v>המעין המתגבר - 2 כר'</v>
      </c>
    </row>
    <row r="11811" spans="1:6" x14ac:dyDescent="0.2">
      <c r="A11811" t="s">
        <v>20191</v>
      </c>
      <c r="B11811" t="s">
        <v>20192</v>
      </c>
      <c r="C11811" t="s">
        <v>624</v>
      </c>
      <c r="D11811" t="s">
        <v>14</v>
      </c>
      <c r="F11811" s="2" t="str">
        <f>HYPERLINK("http://www.otzar.org/book.asp?616097","המעין הנובע - תולדות הגרי""ד גולדשטיין")</f>
        <v>המעין הנובע - תולדות הגרי"ד גולדשטיין</v>
      </c>
    </row>
    <row r="11812" spans="1:6" x14ac:dyDescent="0.2">
      <c r="A11812" t="s">
        <v>20193</v>
      </c>
      <c r="B11812" t="s">
        <v>20194</v>
      </c>
      <c r="C11812" t="s">
        <v>767</v>
      </c>
      <c r="D11812" t="s">
        <v>14</v>
      </c>
      <c r="E11812" t="s">
        <v>158</v>
      </c>
      <c r="F11812" s="2" t="str">
        <f>HYPERLINK("http://www.otzar.org/book.asp?149716","המעין הנובע - 5 כר'")</f>
        <v>המעין הנובע - 5 כר'</v>
      </c>
    </row>
    <row r="11813" spans="1:6" x14ac:dyDescent="0.2">
      <c r="A11813" t="s">
        <v>20195</v>
      </c>
      <c r="B11813" t="s">
        <v>1750</v>
      </c>
      <c r="C11813" t="s">
        <v>3205</v>
      </c>
      <c r="D11813" t="s">
        <v>52</v>
      </c>
      <c r="E11813" t="s">
        <v>202</v>
      </c>
      <c r="F11813" s="2" t="str">
        <f>HYPERLINK("http://www.otzar.org/book.asp?188466","המעין הקדוש - ח")</f>
        <v>המעין הקדוש - ח</v>
      </c>
    </row>
    <row r="11814" spans="1:6" x14ac:dyDescent="0.2">
      <c r="A11814" t="s">
        <v>20196</v>
      </c>
      <c r="B11814" t="s">
        <v>20181</v>
      </c>
      <c r="C11814" t="s">
        <v>3106</v>
      </c>
      <c r="D11814" t="s">
        <v>14</v>
      </c>
      <c r="E11814" t="s">
        <v>202</v>
      </c>
      <c r="F11814" s="2" t="str">
        <f>HYPERLINK("http://www.otzar.org/book.asp?167513","המעין - 103 כר'")</f>
        <v>המעין - 103 כר'</v>
      </c>
    </row>
    <row r="11815" spans="1:6" x14ac:dyDescent="0.2">
      <c r="A11815" t="s">
        <v>20197</v>
      </c>
      <c r="B11815" t="s">
        <v>20198</v>
      </c>
      <c r="C11815" t="s">
        <v>383</v>
      </c>
      <c r="D11815" t="s">
        <v>14</v>
      </c>
      <c r="E11815" t="s">
        <v>529</v>
      </c>
      <c r="F11815" s="2" t="str">
        <f>HYPERLINK("http://www.otzar.org/book.asp?25503","המעיר בבוקר - 2 כר'")</f>
        <v>המעיר בבוקר - 2 כר'</v>
      </c>
    </row>
    <row r="11816" spans="1:6" x14ac:dyDescent="0.2">
      <c r="A11816" t="s">
        <v>20199</v>
      </c>
      <c r="B11816" t="s">
        <v>20200</v>
      </c>
      <c r="C11816" t="s">
        <v>151</v>
      </c>
      <c r="D11816" t="s">
        <v>52</v>
      </c>
      <c r="E11816" t="s">
        <v>246</v>
      </c>
      <c r="F11816" s="2" t="str">
        <f>HYPERLINK("http://www.otzar.org/book.asp?618038","המעלות לדוד - חג השבועות")</f>
        <v>המעלות לדוד - חג השבועות</v>
      </c>
    </row>
    <row r="11817" spans="1:6" x14ac:dyDescent="0.2">
      <c r="A11817" t="s">
        <v>20201</v>
      </c>
      <c r="B11817" t="s">
        <v>20202</v>
      </c>
      <c r="C11817" t="s">
        <v>17</v>
      </c>
      <c r="D11817" t="s">
        <v>5421</v>
      </c>
      <c r="E11817" t="s">
        <v>104</v>
      </c>
      <c r="F11817" s="2" t="str">
        <f>HYPERLINK("http://www.otzar.org/book.asp?149872","המעלות לדרגות ימות המשיח")</f>
        <v>המעלות לדרגות ימות המשיח</v>
      </c>
    </row>
    <row r="11818" spans="1:6" x14ac:dyDescent="0.2">
      <c r="A11818" t="s">
        <v>20203</v>
      </c>
      <c r="B11818" t="s">
        <v>3243</v>
      </c>
      <c r="C11818" t="s">
        <v>286</v>
      </c>
      <c r="D11818" t="s">
        <v>27</v>
      </c>
      <c r="E11818" t="s">
        <v>234</v>
      </c>
      <c r="F11818" s="2" t="str">
        <f>HYPERLINK("http://www.otzar.org/book.asp?175418","המעלות לשלמה")</f>
        <v>המעלות לשלמה</v>
      </c>
    </row>
    <row r="11819" spans="1:6" x14ac:dyDescent="0.2">
      <c r="A11819" t="s">
        <v>20204</v>
      </c>
      <c r="B11819" t="s">
        <v>11012</v>
      </c>
      <c r="C11819" t="s">
        <v>1706</v>
      </c>
      <c r="D11819" t="s">
        <v>20205</v>
      </c>
      <c r="E11819" t="s">
        <v>733</v>
      </c>
      <c r="F11819" s="2" t="str">
        <f>HYPERLINK("http://www.otzar.org/book.asp?592","המעלות לשלמה - 2 כר'")</f>
        <v>המעלות לשלמה - 2 כר'</v>
      </c>
    </row>
    <row r="11820" spans="1:6" x14ac:dyDescent="0.2">
      <c r="A11820" t="s">
        <v>20206</v>
      </c>
      <c r="B11820" t="s">
        <v>4347</v>
      </c>
      <c r="C11820" t="s">
        <v>20</v>
      </c>
      <c r="D11820" t="s">
        <v>216</v>
      </c>
      <c r="E11820" t="s">
        <v>144</v>
      </c>
      <c r="F11820" s="2" t="str">
        <f>HYPERLINK("http://www.otzar.org/book.asp?197288","המעריך")</f>
        <v>המעריך</v>
      </c>
    </row>
    <row r="11821" spans="1:6" x14ac:dyDescent="0.2">
      <c r="A11821" t="s">
        <v>20207</v>
      </c>
      <c r="B11821" t="s">
        <v>20208</v>
      </c>
      <c r="C11821" t="s">
        <v>1811</v>
      </c>
      <c r="D11821" t="s">
        <v>14</v>
      </c>
      <c r="E11821" t="s">
        <v>119</v>
      </c>
      <c r="F11821" s="2" t="str">
        <f>HYPERLINK("http://www.otzar.org/book.asp?145065","המערכה על הצלת הרבנות בישראל")</f>
        <v>המערכה על הצלת הרבנות בישראל</v>
      </c>
    </row>
    <row r="11822" spans="1:6" x14ac:dyDescent="0.2">
      <c r="A11822" t="s">
        <v>20209</v>
      </c>
      <c r="B11822" t="s">
        <v>16275</v>
      </c>
      <c r="C11822" t="s">
        <v>576</v>
      </c>
      <c r="D11822" t="s">
        <v>27</v>
      </c>
      <c r="E11822" t="s">
        <v>957</v>
      </c>
      <c r="F11822" s="2" t="str">
        <f>HYPERLINK("http://www.otzar.org/book.asp?24316","המעשה והמדרש")</f>
        <v>המעשה והמדרש</v>
      </c>
    </row>
    <row r="11823" spans="1:6" x14ac:dyDescent="0.2">
      <c r="A11823" t="s">
        <v>20210</v>
      </c>
      <c r="B11823" t="s">
        <v>1504</v>
      </c>
      <c r="C11823" t="s">
        <v>20211</v>
      </c>
      <c r="D11823" t="s">
        <v>3208</v>
      </c>
      <c r="F11823" s="2" t="str">
        <f>HYPERLINK("http://www.otzar.org/book.asp?613411","המעשר והתרומה &lt;מהדורה ישנה&gt;")</f>
        <v>המעשר והתרומה &lt;מהדורה ישנה&gt;</v>
      </c>
    </row>
    <row r="11824" spans="1:6" x14ac:dyDescent="0.2">
      <c r="A11824" t="s">
        <v>20212</v>
      </c>
      <c r="B11824" t="s">
        <v>1504</v>
      </c>
      <c r="C11824" t="s">
        <v>1609</v>
      </c>
      <c r="D11824" t="s">
        <v>27</v>
      </c>
      <c r="E11824" t="s">
        <v>606</v>
      </c>
      <c r="F11824" s="2" t="str">
        <f>HYPERLINK("http://www.otzar.org/book.asp?13849","המעשר והתרומה")</f>
        <v>המעשר והתרומה</v>
      </c>
    </row>
    <row r="11825" spans="1:6" x14ac:dyDescent="0.2">
      <c r="A11825" t="s">
        <v>20213</v>
      </c>
      <c r="B11825" t="s">
        <v>20214</v>
      </c>
      <c r="C11825" t="s">
        <v>20</v>
      </c>
      <c r="D11825" t="s">
        <v>14445</v>
      </c>
      <c r="E11825" t="s">
        <v>13830</v>
      </c>
      <c r="F11825" s="2" t="str">
        <f>HYPERLINK("http://www.otzar.org/book.asp?52405","המפלפל")</f>
        <v>המפלפל</v>
      </c>
    </row>
    <row r="11826" spans="1:6" x14ac:dyDescent="0.2">
      <c r="A11826" t="s">
        <v>20215</v>
      </c>
      <c r="B11826" t="s">
        <v>20216</v>
      </c>
      <c r="C11826" t="s">
        <v>313</v>
      </c>
      <c r="D11826" t="s">
        <v>21</v>
      </c>
      <c r="E11826" t="s">
        <v>104</v>
      </c>
      <c r="F11826" s="2" t="str">
        <f>HYPERLINK("http://www.otzar.org/book.asp?197352","המפתח השלם לספרי רבי צדוק הכהן מלובלין - 5 כר'")</f>
        <v>המפתח השלם לספרי רבי צדוק הכהן מלובלין - 5 כר'</v>
      </c>
    </row>
    <row r="11827" spans="1:6" x14ac:dyDescent="0.2">
      <c r="A11827" t="s">
        <v>20217</v>
      </c>
      <c r="B11827" t="s">
        <v>20218</v>
      </c>
      <c r="C11827" t="s">
        <v>15405</v>
      </c>
      <c r="D11827" t="s">
        <v>1459</v>
      </c>
      <c r="E11827" t="s">
        <v>2088</v>
      </c>
      <c r="F11827" s="2" t="str">
        <f>HYPERLINK("http://www.otzar.org/book.asp?83","המפתח של מנעולי התלמוד")</f>
        <v>המפתח של מנעולי התלמוד</v>
      </c>
    </row>
    <row r="11828" spans="1:6" x14ac:dyDescent="0.2">
      <c r="A11828" t="s">
        <v>20219</v>
      </c>
      <c r="B11828" t="s">
        <v>20220</v>
      </c>
      <c r="C11828" t="s">
        <v>20221</v>
      </c>
      <c r="D11828" t="s">
        <v>27</v>
      </c>
      <c r="E11828" t="s">
        <v>144</v>
      </c>
      <c r="F11828" s="2" t="str">
        <f>HYPERLINK("http://www.otzar.org/book.asp?149211","המפתח")</f>
        <v>המפתח</v>
      </c>
    </row>
    <row r="11829" spans="1:6" x14ac:dyDescent="0.2">
      <c r="A11829" t="s">
        <v>20222</v>
      </c>
      <c r="B11829" t="s">
        <v>20223</v>
      </c>
      <c r="C11829" t="s">
        <v>1940</v>
      </c>
      <c r="D11829" t="s">
        <v>729</v>
      </c>
      <c r="E11829" t="s">
        <v>104</v>
      </c>
      <c r="F11829" s="2" t="str">
        <f>HYPERLINK("http://www.otzar.org/book.asp?146855","המצאה חדשה")</f>
        <v>המצאה חדשה</v>
      </c>
    </row>
    <row r="11830" spans="1:6" x14ac:dyDescent="0.2">
      <c r="A11830" t="s">
        <v>20224</v>
      </c>
      <c r="B11830" t="s">
        <v>20225</v>
      </c>
      <c r="C11830" t="s">
        <v>20</v>
      </c>
      <c r="D11830" t="s">
        <v>21</v>
      </c>
      <c r="E11830" t="s">
        <v>15</v>
      </c>
      <c r="F11830" s="2" t="str">
        <f>HYPERLINK("http://www.otzar.org/book.asp?626424","המצוה המבוארת - 10 כר'")</f>
        <v>המצוה המבוארת - 10 כר'</v>
      </c>
    </row>
    <row r="11831" spans="1:6" x14ac:dyDescent="0.2">
      <c r="A11831" t="s">
        <v>20226</v>
      </c>
      <c r="B11831" t="s">
        <v>20227</v>
      </c>
      <c r="C11831" t="s">
        <v>1208</v>
      </c>
      <c r="D11831" t="s">
        <v>14</v>
      </c>
      <c r="E11831" t="s">
        <v>15</v>
      </c>
      <c r="F11831" s="2" t="str">
        <f>HYPERLINK("http://www.otzar.org/book.asp?62005","המצוה והמקרא")</f>
        <v>המצוה והמקרא</v>
      </c>
    </row>
    <row r="11832" spans="1:6" x14ac:dyDescent="0.2">
      <c r="A11832" t="s">
        <v>20228</v>
      </c>
      <c r="B11832" t="s">
        <v>20229</v>
      </c>
      <c r="C11832" t="s">
        <v>1269</v>
      </c>
      <c r="D11832" t="s">
        <v>9</v>
      </c>
      <c r="E11832" t="s">
        <v>202</v>
      </c>
      <c r="F11832" s="2" t="str">
        <f>HYPERLINK("http://www.otzar.org/book.asp?51508","המצפה - 5 כר'")</f>
        <v>המצפה - 5 כר'</v>
      </c>
    </row>
    <row r="11833" spans="1:6" x14ac:dyDescent="0.2">
      <c r="A11833" t="s">
        <v>20230</v>
      </c>
      <c r="B11833" t="s">
        <v>20231</v>
      </c>
      <c r="C11833" t="s">
        <v>176</v>
      </c>
      <c r="D11833" t="s">
        <v>412</v>
      </c>
      <c r="E11833" t="s">
        <v>202</v>
      </c>
      <c r="F11833" s="2" t="str">
        <f>HYPERLINK("http://www.otzar.org/book.asp?179932","המקבץ - 2 כר'")</f>
        <v>המקבץ - 2 כר'</v>
      </c>
    </row>
    <row r="11834" spans="1:6" x14ac:dyDescent="0.2">
      <c r="A11834" t="s">
        <v>20232</v>
      </c>
      <c r="B11834" t="s">
        <v>7038</v>
      </c>
      <c r="C11834" t="s">
        <v>180</v>
      </c>
      <c r="D11834" t="s">
        <v>14</v>
      </c>
      <c r="E11834" t="s">
        <v>5166</v>
      </c>
      <c r="F11834" s="2" t="str">
        <f>HYPERLINK("http://www.otzar.org/book.asp?13821","המקדש השלישי")</f>
        <v>המקדש השלישי</v>
      </c>
    </row>
    <row r="11835" spans="1:6" x14ac:dyDescent="0.2">
      <c r="A11835" t="s">
        <v>20233</v>
      </c>
      <c r="B11835" t="s">
        <v>8360</v>
      </c>
      <c r="C11835" t="s">
        <v>103</v>
      </c>
      <c r="D11835" t="s">
        <v>657</v>
      </c>
      <c r="E11835" t="s">
        <v>15</v>
      </c>
      <c r="F11835" s="2" t="str">
        <f>HYPERLINK("http://www.otzar.org/book.asp?23234","המקדש וקדשיו - 2 כר'")</f>
        <v>המקדש וקדשיו - 2 כר'</v>
      </c>
    </row>
    <row r="11836" spans="1:6" x14ac:dyDescent="0.2">
      <c r="A11836" t="s">
        <v>20234</v>
      </c>
      <c r="B11836" t="s">
        <v>17175</v>
      </c>
      <c r="C11836" t="s">
        <v>454</v>
      </c>
      <c r="D11836" t="s">
        <v>52</v>
      </c>
      <c r="E11836" t="s">
        <v>241</v>
      </c>
      <c r="F11836" s="2" t="str">
        <f>HYPERLINK("http://www.otzar.org/book.asp?24949","המקדש שמו ברבים")</f>
        <v>המקדש שמו ברבים</v>
      </c>
    </row>
    <row r="11837" spans="1:6" x14ac:dyDescent="0.2">
      <c r="A11837" t="s">
        <v>20235</v>
      </c>
      <c r="B11837" t="s">
        <v>20236</v>
      </c>
      <c r="C11837" t="s">
        <v>37</v>
      </c>
      <c r="D11837" t="s">
        <v>6283</v>
      </c>
      <c r="E11837" t="s">
        <v>119</v>
      </c>
      <c r="F11837" s="2" t="str">
        <f>HYPERLINK("http://www.otzar.org/book.asp?198058","המקובל רבי אברהם אבולעפיה - ב")</f>
        <v>המקובל רבי אברהם אבולעפיה - ב</v>
      </c>
    </row>
    <row r="11838" spans="1:6" x14ac:dyDescent="0.2">
      <c r="A11838" t="s">
        <v>20237</v>
      </c>
      <c r="B11838" t="s">
        <v>20238</v>
      </c>
      <c r="C11838" t="s">
        <v>23</v>
      </c>
      <c r="D11838" t="s">
        <v>1156</v>
      </c>
      <c r="F11838" s="2" t="str">
        <f>HYPERLINK("http://www.otzar.org/book.asp?181855","המקום מרחק - יבמות")</f>
        <v>המקום מרחק - יבמות</v>
      </c>
    </row>
    <row r="11839" spans="1:6" x14ac:dyDescent="0.2">
      <c r="A11839" t="s">
        <v>20239</v>
      </c>
      <c r="B11839" t="s">
        <v>10006</v>
      </c>
      <c r="C11839" t="s">
        <v>919</v>
      </c>
      <c r="D11839" t="s">
        <v>14</v>
      </c>
      <c r="F11839" s="2" t="str">
        <f>HYPERLINK("http://www.otzar.org/book.asp?176932","המקומות הקדושים בארץ ישראל")</f>
        <v>המקומות הקדושים בארץ ישראל</v>
      </c>
    </row>
    <row r="11840" spans="1:6" x14ac:dyDescent="0.2">
      <c r="A11840" t="s">
        <v>20240</v>
      </c>
      <c r="B11840" t="s">
        <v>9496</v>
      </c>
      <c r="C11840" t="s">
        <v>1160</v>
      </c>
      <c r="D11840" t="s">
        <v>216</v>
      </c>
      <c r="E11840" t="s">
        <v>28</v>
      </c>
      <c r="F11840" s="2" t="str">
        <f>HYPERLINK("http://www.otzar.org/book.asp?13470","המקומות הקדושים מהותם והלכותיהם")</f>
        <v>המקומות הקדושים מהותם והלכותיהם</v>
      </c>
    </row>
    <row r="11841" spans="1:6" x14ac:dyDescent="0.2">
      <c r="A11841" t="s">
        <v>20241</v>
      </c>
      <c r="B11841" t="s">
        <v>1091</v>
      </c>
      <c r="C11841" t="s">
        <v>103</v>
      </c>
      <c r="D11841" t="s">
        <v>14</v>
      </c>
      <c r="F11841" s="2" t="str">
        <f>HYPERLINK("http://www.otzar.org/book.asp?162806","המקומות הקדושים")</f>
        <v>המקומות הקדושים</v>
      </c>
    </row>
    <row r="11842" spans="1:6" x14ac:dyDescent="0.2">
      <c r="A11842" t="s">
        <v>20242</v>
      </c>
      <c r="B11842" t="s">
        <v>13607</v>
      </c>
      <c r="C11842" t="s">
        <v>111</v>
      </c>
      <c r="D11842" t="s">
        <v>90</v>
      </c>
      <c r="E11842" t="s">
        <v>140</v>
      </c>
      <c r="F11842" s="2" t="str">
        <f>HYPERLINK("http://www.otzar.org/book.asp?630829","המקורבים - תשע""ט")</f>
        <v>המקורבים - תשע"ט</v>
      </c>
    </row>
    <row r="11843" spans="1:6" x14ac:dyDescent="0.2">
      <c r="A11843" t="s">
        <v>20243</v>
      </c>
      <c r="B11843" t="s">
        <v>20244</v>
      </c>
      <c r="C11843" t="s">
        <v>87</v>
      </c>
      <c r="D11843" t="s">
        <v>52</v>
      </c>
      <c r="E11843" t="s">
        <v>674</v>
      </c>
      <c r="F11843" s="2" t="str">
        <f>HYPERLINK("http://www.otzar.org/book.asp?159019","המקח והממכר &lt;זר זהב - עמק השער&gt;")</f>
        <v>המקח והממכר &lt;זר זהב - עמק השער&gt;</v>
      </c>
    </row>
    <row r="11844" spans="1:6" x14ac:dyDescent="0.2">
      <c r="A11844" t="s">
        <v>20245</v>
      </c>
      <c r="B11844" t="s">
        <v>20246</v>
      </c>
      <c r="C11844" t="s">
        <v>237</v>
      </c>
      <c r="D11844" t="s">
        <v>27</v>
      </c>
      <c r="E11844" t="s">
        <v>15</v>
      </c>
      <c r="F11844" s="2" t="str">
        <f>HYPERLINK("http://www.otzar.org/book.asp?103899","המקח והממכר &lt;זר זהב&gt; - 2 כר'")</f>
        <v>המקח והממכר &lt;זר זהב&gt; - 2 כר'</v>
      </c>
    </row>
    <row r="11845" spans="1:6" x14ac:dyDescent="0.2">
      <c r="A11845" t="s">
        <v>20247</v>
      </c>
      <c r="B11845" t="s">
        <v>20246</v>
      </c>
      <c r="C11845" t="s">
        <v>6773</v>
      </c>
      <c r="D11845" t="s">
        <v>49</v>
      </c>
      <c r="E11845" t="s">
        <v>15</v>
      </c>
      <c r="F11845" s="2" t="str">
        <f>HYPERLINK("http://www.otzar.org/book.asp?103861","המקח והממכר - 2 כר'")</f>
        <v>המקח והממכר - 2 כר'</v>
      </c>
    </row>
    <row r="11846" spans="1:6" x14ac:dyDescent="0.2">
      <c r="A11846" t="s">
        <v>20248</v>
      </c>
      <c r="B11846" t="s">
        <v>13163</v>
      </c>
      <c r="C11846" t="s">
        <v>383</v>
      </c>
      <c r="D11846" t="s">
        <v>21</v>
      </c>
      <c r="F11846" s="2" t="str">
        <f>HYPERLINK("http://www.otzar.org/book.asp?194504","המקנה &lt;מהדורה חדשה&gt;")</f>
        <v>המקנה &lt;מהדורה חדשה&gt;</v>
      </c>
    </row>
    <row r="11847" spans="1:6" x14ac:dyDescent="0.2">
      <c r="A11847" t="s">
        <v>20249</v>
      </c>
      <c r="B11847" t="s">
        <v>20250</v>
      </c>
      <c r="C11847" t="s">
        <v>111</v>
      </c>
      <c r="D11847" t="s">
        <v>412</v>
      </c>
      <c r="E11847" t="s">
        <v>172</v>
      </c>
      <c r="F11847" s="2" t="str">
        <f>HYPERLINK("http://www.otzar.org/book.asp?623412","המקצוע - 2 כר'")</f>
        <v>המקצוע - 2 כר'</v>
      </c>
    </row>
    <row r="11848" spans="1:6" x14ac:dyDescent="0.2">
      <c r="A11848" t="s">
        <v>20251</v>
      </c>
      <c r="B11848" t="s">
        <v>20252</v>
      </c>
      <c r="C11848" t="s">
        <v>244</v>
      </c>
      <c r="D11848" t="s">
        <v>412</v>
      </c>
      <c r="F11848" s="2" t="str">
        <f>HYPERLINK("http://www.otzar.org/book.asp?197964","המקצוע - ג")</f>
        <v>המקצוע - ג</v>
      </c>
    </row>
    <row r="11849" spans="1:6" x14ac:dyDescent="0.2">
      <c r="A11849" t="s">
        <v>20253</v>
      </c>
      <c r="B11849" t="s">
        <v>4977</v>
      </c>
      <c r="C11849" t="s">
        <v>20</v>
      </c>
      <c r="D11849" t="s">
        <v>14</v>
      </c>
      <c r="E11849" t="s">
        <v>246</v>
      </c>
      <c r="F11849" s="2" t="str">
        <f>HYPERLINK("http://www.otzar.org/book.asp?153419","המרבה לספר")</f>
        <v>המרבה לספר</v>
      </c>
    </row>
    <row r="11850" spans="1:6" x14ac:dyDescent="0.2">
      <c r="A11850" t="s">
        <v>20254</v>
      </c>
      <c r="B11850" t="s">
        <v>16099</v>
      </c>
      <c r="C11850" t="s">
        <v>1448</v>
      </c>
      <c r="D11850" t="s">
        <v>14</v>
      </c>
      <c r="E11850" t="s">
        <v>104</v>
      </c>
      <c r="F11850" s="2" t="str">
        <f>HYPERLINK("http://www.otzar.org/book.asp?625367","המרד של מארדי")</f>
        <v>המרד של מארדי</v>
      </c>
    </row>
    <row r="11851" spans="1:6" x14ac:dyDescent="0.2">
      <c r="A11851" t="s">
        <v>20255</v>
      </c>
      <c r="B11851" t="s">
        <v>20256</v>
      </c>
      <c r="C11851" t="s">
        <v>133</v>
      </c>
      <c r="D11851" t="s">
        <v>260</v>
      </c>
      <c r="E11851" t="s">
        <v>202</v>
      </c>
      <c r="F11851" s="2" t="str">
        <f>HYPERLINK("http://www.otzar.org/book.asp?603214","המרכז הקהילתי איחוד שיבת ציון תרצ""ח תשע""ג")</f>
        <v>המרכז הקהילתי איחוד שיבת ציון תרצ"ח תשע"ג</v>
      </c>
    </row>
    <row r="11852" spans="1:6" x14ac:dyDescent="0.2">
      <c r="A11852" t="s">
        <v>20257</v>
      </c>
      <c r="B11852" t="s">
        <v>20258</v>
      </c>
      <c r="C11852" t="s">
        <v>1284</v>
      </c>
      <c r="D11852" t="s">
        <v>21</v>
      </c>
      <c r="E11852" t="s">
        <v>234</v>
      </c>
      <c r="F11852" s="2" t="str">
        <f>HYPERLINK("http://www.otzar.org/book.asp?193920","המשא")</f>
        <v>המשא</v>
      </c>
    </row>
    <row r="11853" spans="1:6" x14ac:dyDescent="0.2">
      <c r="A11853" t="s">
        <v>20259</v>
      </c>
      <c r="B11853" t="s">
        <v>489</v>
      </c>
      <c r="C11853" t="s">
        <v>23</v>
      </c>
      <c r="D11853" t="s">
        <v>412</v>
      </c>
      <c r="E11853" t="s">
        <v>202</v>
      </c>
      <c r="F11853" s="2" t="str">
        <f>HYPERLINK("http://www.otzar.org/book.asp?189710","המשביר - 3 כר'")</f>
        <v>המשביר - 3 כר'</v>
      </c>
    </row>
    <row r="11854" spans="1:6" x14ac:dyDescent="0.2">
      <c r="A11854" t="s">
        <v>20260</v>
      </c>
      <c r="B11854" t="s">
        <v>20118</v>
      </c>
      <c r="C11854" t="s">
        <v>20261</v>
      </c>
      <c r="D11854" t="s">
        <v>283</v>
      </c>
      <c r="E11854" t="s">
        <v>20262</v>
      </c>
      <c r="F11854" s="2" t="str">
        <f>HYPERLINK("http://www.otzar.org/book.asp?19218","המשביר")</f>
        <v>המשביר</v>
      </c>
    </row>
    <row r="11855" spans="1:6" x14ac:dyDescent="0.2">
      <c r="A11855" t="s">
        <v>20263</v>
      </c>
      <c r="B11855" t="s">
        <v>4829</v>
      </c>
      <c r="C11855" t="s">
        <v>624</v>
      </c>
      <c r="D11855" t="s">
        <v>14</v>
      </c>
      <c r="E11855" t="s">
        <v>119</v>
      </c>
      <c r="F11855" s="2" t="str">
        <f>HYPERLINK("http://www.otzar.org/book.asp?163271","המשגיח דקמניץ")</f>
        <v>המשגיח דקמניץ</v>
      </c>
    </row>
    <row r="11856" spans="1:6" x14ac:dyDescent="0.2">
      <c r="A11856" t="s">
        <v>20264</v>
      </c>
      <c r="B11856" t="s">
        <v>20265</v>
      </c>
      <c r="C11856" t="s">
        <v>454</v>
      </c>
      <c r="D11856" t="s">
        <v>14</v>
      </c>
      <c r="E11856" t="s">
        <v>199</v>
      </c>
      <c r="F11856" s="2" t="str">
        <f>HYPERLINK("http://www.otzar.org/book.asp?171876","המשגיח ר' מאיר")</f>
        <v>המשגיח ר' מאיר</v>
      </c>
    </row>
    <row r="11857" spans="1:6" x14ac:dyDescent="0.2">
      <c r="A11857" t="s">
        <v>20266</v>
      </c>
      <c r="B11857" t="s">
        <v>20267</v>
      </c>
      <c r="C11857" t="s">
        <v>383</v>
      </c>
      <c r="D11857" t="s">
        <v>14</v>
      </c>
      <c r="F11857" s="2" t="str">
        <f>HYPERLINK("http://www.otzar.org/book.asp?145182","המשכילים יזהירו")</f>
        <v>המשכילים יזהירו</v>
      </c>
    </row>
    <row r="11858" spans="1:6" x14ac:dyDescent="0.2">
      <c r="A11858" t="s">
        <v>20268</v>
      </c>
      <c r="B11858" t="s">
        <v>8789</v>
      </c>
      <c r="C11858" t="s">
        <v>106</v>
      </c>
      <c r="D11858" t="s">
        <v>14</v>
      </c>
      <c r="E11858" t="s">
        <v>104</v>
      </c>
      <c r="F11858" s="2" t="str">
        <f>HYPERLINK("http://www.otzar.org/book.asp?19243","המשכן וכליו")</f>
        <v>המשכן וכליו</v>
      </c>
    </row>
    <row r="11859" spans="1:6" x14ac:dyDescent="0.2">
      <c r="A11859" t="s">
        <v>20269</v>
      </c>
      <c r="B11859" t="s">
        <v>20270</v>
      </c>
      <c r="C11859" t="s">
        <v>473</v>
      </c>
      <c r="D11859" t="s">
        <v>280</v>
      </c>
      <c r="E11859" t="s">
        <v>20271</v>
      </c>
      <c r="F11859" s="2" t="str">
        <f>HYPERLINK("http://www.otzar.org/book.asp?15200","המשנה הראשונה ופלוגתא דתנאי")</f>
        <v>המשנה הראשונה ופלוגתא דתנאי</v>
      </c>
    </row>
    <row r="11860" spans="1:6" x14ac:dyDescent="0.2">
      <c r="A11860" t="s">
        <v>20272</v>
      </c>
      <c r="B11860" t="s">
        <v>20273</v>
      </c>
      <c r="C11860" t="s">
        <v>725</v>
      </c>
      <c r="D11860" t="s">
        <v>1651</v>
      </c>
      <c r="E11860" t="s">
        <v>20274</v>
      </c>
      <c r="F11860" s="2" t="str">
        <f>HYPERLINK("http://www.otzar.org/book.asp?439","המשנה והתוספתא")</f>
        <v>המשנה והתוספתא</v>
      </c>
    </row>
    <row r="11861" spans="1:6" x14ac:dyDescent="0.2">
      <c r="A11861" t="s">
        <v>20275</v>
      </c>
      <c r="B11861" t="s">
        <v>20276</v>
      </c>
      <c r="C11861" t="s">
        <v>114</v>
      </c>
      <c r="D11861" t="s">
        <v>14</v>
      </c>
      <c r="E11861" t="s">
        <v>84</v>
      </c>
      <c r="F11861" s="2" t="str">
        <f>HYPERLINK("http://www.otzar.org/book.asp?181598","המשניות המבוארות מי באר - 12 כר'")</f>
        <v>המשניות המבוארות מי באר - 12 כר'</v>
      </c>
    </row>
    <row r="11862" spans="1:6" x14ac:dyDescent="0.2">
      <c r="A11862" t="s">
        <v>20277</v>
      </c>
      <c r="B11862" t="s">
        <v>20278</v>
      </c>
      <c r="C11862" t="s">
        <v>1954</v>
      </c>
      <c r="D11862" t="s">
        <v>216</v>
      </c>
      <c r="E11862" t="s">
        <v>104</v>
      </c>
      <c r="F11862" s="2" t="str">
        <f>HYPERLINK("http://www.otzar.org/book.asp?144622","המשפחה בישראל ויעודה")</f>
        <v>המשפחה בישראל ויעודה</v>
      </c>
    </row>
    <row r="11863" spans="1:6" x14ac:dyDescent="0.2">
      <c r="A11863" t="s">
        <v>20279</v>
      </c>
      <c r="B11863" t="s">
        <v>20280</v>
      </c>
      <c r="C11863" t="s">
        <v>20</v>
      </c>
      <c r="D11863" t="s">
        <v>14</v>
      </c>
      <c r="E11863" t="s">
        <v>15</v>
      </c>
      <c r="F11863" s="2" t="str">
        <f>HYPERLINK("http://www.otzar.org/book.asp?625496","המשפחה בישראל")</f>
        <v>המשפחה בישראל</v>
      </c>
    </row>
    <row r="11864" spans="1:6" x14ac:dyDescent="0.2">
      <c r="A11864" t="s">
        <v>20281</v>
      </c>
      <c r="B11864" t="s">
        <v>20282</v>
      </c>
      <c r="C11864" t="s">
        <v>1268</v>
      </c>
      <c r="D11864" t="s">
        <v>52</v>
      </c>
      <c r="E11864" t="s">
        <v>104</v>
      </c>
      <c r="F11864" s="2" t="str">
        <f>HYPERLINK("http://www.otzar.org/book.asp?168454","המשפחה היהודית - 2 כר'")</f>
        <v>המשפחה היהודית - 2 כר'</v>
      </c>
    </row>
    <row r="11865" spans="1:6" x14ac:dyDescent="0.2">
      <c r="A11865" t="s">
        <v>20283</v>
      </c>
      <c r="B11865" t="s">
        <v>20284</v>
      </c>
      <c r="C11865" t="s">
        <v>20</v>
      </c>
      <c r="D11865" t="s">
        <v>14</v>
      </c>
      <c r="E11865" t="s">
        <v>15</v>
      </c>
      <c r="F11865" s="2" t="str">
        <f>HYPERLINK("http://www.otzar.org/book.asp?175448","המשפט העברי בקהילות מרוקו - התקנות")</f>
        <v>המשפט העברי בקהילות מרוקו - התקנות</v>
      </c>
    </row>
    <row r="11866" spans="1:6" x14ac:dyDescent="0.2">
      <c r="A11866" t="s">
        <v>20285</v>
      </c>
      <c r="B11866" t="s">
        <v>6987</v>
      </c>
      <c r="C11866" t="s">
        <v>940</v>
      </c>
      <c r="D11866" t="s">
        <v>52</v>
      </c>
      <c r="E11866" t="s">
        <v>15</v>
      </c>
      <c r="F11866" s="2" t="str">
        <f>HYPERLINK("http://www.otzar.org/book.asp?61418","המשפטים האלה")</f>
        <v>המשפטים האלה</v>
      </c>
    </row>
    <row r="11867" spans="1:6" x14ac:dyDescent="0.2">
      <c r="A11867" t="s">
        <v>20286</v>
      </c>
      <c r="B11867" t="s">
        <v>20287</v>
      </c>
      <c r="C11867" t="s">
        <v>2008</v>
      </c>
      <c r="D11867" t="s">
        <v>412</v>
      </c>
      <c r="E11867" t="s">
        <v>202</v>
      </c>
      <c r="F11867" s="2" t="str">
        <f>HYPERLINK("http://www.otzar.org/book.asp?626518","המתיבתא - 28 כר'")</f>
        <v>המתיבתא - 28 כר'</v>
      </c>
    </row>
    <row r="11868" spans="1:6" x14ac:dyDescent="0.2">
      <c r="A11868" t="s">
        <v>20288</v>
      </c>
      <c r="B11868" t="s">
        <v>11221</v>
      </c>
      <c r="C11868" t="s">
        <v>244</v>
      </c>
      <c r="D11868" t="s">
        <v>21</v>
      </c>
      <c r="E11868" t="s">
        <v>119</v>
      </c>
      <c r="F11868" s="2" t="str">
        <f>HYPERLINK("http://www.otzar.org/book.asp?607226","המתמיד - על רבי עובדיה יוסף")</f>
        <v>המתמיד - על רבי עובדיה יוסף</v>
      </c>
    </row>
    <row r="11869" spans="1:6" x14ac:dyDescent="0.2">
      <c r="A11869" t="s">
        <v>20289</v>
      </c>
      <c r="B11869" t="s">
        <v>206</v>
      </c>
      <c r="C11869" t="s">
        <v>244</v>
      </c>
      <c r="D11869" t="s">
        <v>90</v>
      </c>
      <c r="F11869" s="2" t="str">
        <f>HYPERLINK("http://www.otzar.org/book.asp?612158","המתמידים")</f>
        <v>המתמידים</v>
      </c>
    </row>
    <row r="11870" spans="1:6" x14ac:dyDescent="0.2">
      <c r="A11870" t="s">
        <v>20290</v>
      </c>
      <c r="B11870" t="s">
        <v>20291</v>
      </c>
      <c r="C11870" t="s">
        <v>1811</v>
      </c>
      <c r="D11870" t="s">
        <v>412</v>
      </c>
      <c r="E11870" t="s">
        <v>104</v>
      </c>
      <c r="F11870" s="2" t="str">
        <f>HYPERLINK("http://www.otzar.org/book.asp?179019","הן גאלתי")</f>
        <v>הן גאלתי</v>
      </c>
    </row>
    <row r="11871" spans="1:6" x14ac:dyDescent="0.2">
      <c r="A11871" t="s">
        <v>20292</v>
      </c>
      <c r="B11871" t="s">
        <v>20293</v>
      </c>
      <c r="C11871" t="s">
        <v>1570</v>
      </c>
      <c r="D11871" t="s">
        <v>14</v>
      </c>
      <c r="E11871" t="s">
        <v>104</v>
      </c>
      <c r="F11871" s="2" t="str">
        <f>HYPERLINK("http://www.otzar.org/book.asp?180751","הן עם לבדד ישכון")</f>
        <v>הן עם לבדד ישכון</v>
      </c>
    </row>
    <row r="11872" spans="1:6" x14ac:dyDescent="0.2">
      <c r="A11872" t="s">
        <v>20294</v>
      </c>
      <c r="B11872" t="s">
        <v>1314</v>
      </c>
      <c r="C11872" t="s">
        <v>5619</v>
      </c>
      <c r="D11872" t="s">
        <v>1023</v>
      </c>
      <c r="F11872" s="2" t="str">
        <f>HYPERLINK("http://www.otzar.org/book.asp?164958","הן קול חדש")</f>
        <v>הן קול חדש</v>
      </c>
    </row>
    <row r="11873" spans="1:6" x14ac:dyDescent="0.2">
      <c r="A11873" t="s">
        <v>20295</v>
      </c>
      <c r="B11873" t="s">
        <v>221</v>
      </c>
      <c r="C11873" t="s">
        <v>13</v>
      </c>
      <c r="D11873" t="s">
        <v>2909</v>
      </c>
      <c r="E11873" t="s">
        <v>119</v>
      </c>
      <c r="F11873" s="2" t="str">
        <f>HYPERLINK("http://www.otzar.org/book.asp?63174","הנאדר בקדושים")</f>
        <v>הנאדר בקדושים</v>
      </c>
    </row>
    <row r="11874" spans="1:6" x14ac:dyDescent="0.2">
      <c r="A11874" t="s">
        <v>20296</v>
      </c>
      <c r="B11874" t="s">
        <v>18625</v>
      </c>
      <c r="C11874" t="s">
        <v>989</v>
      </c>
      <c r="D11874" t="s">
        <v>216</v>
      </c>
      <c r="E11874" t="s">
        <v>104</v>
      </c>
      <c r="F11874" s="2" t="str">
        <f>HYPERLINK("http://www.otzar.org/book.asp?174225","הנאום והדרוש - 3 כר'")</f>
        <v>הנאום והדרוש - 3 כר'</v>
      </c>
    </row>
    <row r="11875" spans="1:6" x14ac:dyDescent="0.2">
      <c r="A11875" t="s">
        <v>20297</v>
      </c>
      <c r="B11875" t="s">
        <v>20298</v>
      </c>
      <c r="C11875" t="s">
        <v>1663</v>
      </c>
      <c r="D11875" t="s">
        <v>260</v>
      </c>
      <c r="E11875" t="s">
        <v>2915</v>
      </c>
      <c r="F11875" s="2" t="str">
        <f>HYPERLINK("http://www.otzar.org/book.asp?103567","הנאום והמאמר")</f>
        <v>הנאום והמאמר</v>
      </c>
    </row>
    <row r="11876" spans="1:6" x14ac:dyDescent="0.2">
      <c r="A11876" t="s">
        <v>20299</v>
      </c>
      <c r="B11876" t="s">
        <v>1750</v>
      </c>
      <c r="C11876" t="s">
        <v>46</v>
      </c>
      <c r="D11876" t="s">
        <v>216</v>
      </c>
      <c r="E11876" t="s">
        <v>202</v>
      </c>
      <c r="F11876" s="2" t="str">
        <f>HYPERLINK("http://www.otzar.org/book.asp?172390","הנאמן - 81 כר'")</f>
        <v>הנאמן - 81 כר'</v>
      </c>
    </row>
    <row r="11877" spans="1:6" x14ac:dyDescent="0.2">
      <c r="A11877" t="s">
        <v>20300</v>
      </c>
      <c r="B11877" t="s">
        <v>20301</v>
      </c>
      <c r="C11877" t="s">
        <v>51</v>
      </c>
      <c r="D11877" t="s">
        <v>14</v>
      </c>
      <c r="E11877" t="s">
        <v>158</v>
      </c>
      <c r="F11877" s="2" t="str">
        <f>HYPERLINK("http://www.otzar.org/book.asp?178970","הנאמרים באמת - 3 כר'")</f>
        <v>הנאמרים באמת - 3 כר'</v>
      </c>
    </row>
    <row r="11878" spans="1:6" x14ac:dyDescent="0.2">
      <c r="A11878" t="s">
        <v>20302</v>
      </c>
      <c r="B11878" t="s">
        <v>9043</v>
      </c>
      <c r="C11878" t="s">
        <v>114</v>
      </c>
      <c r="D11878" t="s">
        <v>90</v>
      </c>
      <c r="E11878" t="s">
        <v>158</v>
      </c>
      <c r="F11878" s="2" t="str">
        <f>HYPERLINK("http://www.otzar.org/book.asp?160100","הנביא יחזקאל")</f>
        <v>הנביא יחזקאל</v>
      </c>
    </row>
    <row r="11879" spans="1:6" x14ac:dyDescent="0.2">
      <c r="A11879" t="s">
        <v>20303</v>
      </c>
      <c r="B11879" t="s">
        <v>20304</v>
      </c>
      <c r="C11879" t="s">
        <v>20305</v>
      </c>
      <c r="D11879" t="s">
        <v>20306</v>
      </c>
      <c r="F11879" s="2" t="str">
        <f>HYPERLINK("http://www.otzar.org/book.asp?53470","הנביאים ראשונים - 2 כר'")</f>
        <v>הנביאים ראשונים - 2 כר'</v>
      </c>
    </row>
    <row r="11880" spans="1:6" x14ac:dyDescent="0.2">
      <c r="A11880" t="s">
        <v>20307</v>
      </c>
      <c r="B11880" t="s">
        <v>20308</v>
      </c>
      <c r="C11880" t="s">
        <v>176</v>
      </c>
      <c r="D11880" t="s">
        <v>273</v>
      </c>
      <c r="E11880" t="s">
        <v>393</v>
      </c>
      <c r="F11880" s="2" t="str">
        <f>HYPERLINK("http://www.otzar.org/book.asp?624922","הנדר מסיביר למירון")</f>
        <v>הנדר מסיביר למירון</v>
      </c>
    </row>
    <row r="11881" spans="1:6" x14ac:dyDescent="0.2">
      <c r="A11881" t="s">
        <v>20309</v>
      </c>
      <c r="B11881" t="s">
        <v>20310</v>
      </c>
      <c r="C11881" t="s">
        <v>37</v>
      </c>
      <c r="D11881" t="s">
        <v>486</v>
      </c>
      <c r="E11881" t="s">
        <v>104</v>
      </c>
      <c r="F11881" s="2" t="str">
        <f>HYPERLINK("http://www.otzar.org/book.asp?603987","הנה אני")</f>
        <v>הנה אני</v>
      </c>
    </row>
    <row r="11882" spans="1:6" x14ac:dyDescent="0.2">
      <c r="A11882" t="s">
        <v>20311</v>
      </c>
      <c r="B11882" t="s">
        <v>20312</v>
      </c>
      <c r="C11882" t="s">
        <v>189</v>
      </c>
      <c r="D11882" t="s">
        <v>14</v>
      </c>
      <c r="F11882" s="2" t="str">
        <f>HYPERLINK("http://www.otzar.org/book.asp?198018","הנה באוהל - סוכה")</f>
        <v>הנה באוהל - סוכה</v>
      </c>
    </row>
    <row r="11883" spans="1:6" x14ac:dyDescent="0.2">
      <c r="A11883" t="s">
        <v>20313</v>
      </c>
      <c r="B11883" t="s">
        <v>10621</v>
      </c>
      <c r="C11883">
        <v>1992</v>
      </c>
      <c r="D11883" t="s">
        <v>14</v>
      </c>
      <c r="E11883" t="s">
        <v>213</v>
      </c>
      <c r="F11883" s="2" t="str">
        <f>HYPERLINK("http://www.otzar.org/book.asp?602645","הנה ימים באים")</f>
        <v>הנה ימים באים</v>
      </c>
    </row>
    <row r="11884" spans="1:6" x14ac:dyDescent="0.2">
      <c r="A11884" t="s">
        <v>20314</v>
      </c>
      <c r="B11884" t="s">
        <v>686</v>
      </c>
      <c r="C11884" t="s">
        <v>37</v>
      </c>
      <c r="D11884" t="s">
        <v>52</v>
      </c>
      <c r="E11884" t="s">
        <v>104</v>
      </c>
      <c r="F11884" s="2" t="str">
        <f>HYPERLINK("http://www.otzar.org/book.asp?182756","הנה מלכך יבוא לך")</f>
        <v>הנה מלכך יבוא לך</v>
      </c>
    </row>
    <row r="11885" spans="1:6" x14ac:dyDescent="0.2">
      <c r="A11885" t="s">
        <v>20315</v>
      </c>
      <c r="B11885" t="s">
        <v>20316</v>
      </c>
      <c r="C11885" t="s">
        <v>68</v>
      </c>
      <c r="D11885" t="s">
        <v>412</v>
      </c>
      <c r="F11885" s="2" t="str">
        <f>HYPERLINK("http://www.otzar.org/book.asp?194104","הנהגה ברורה")</f>
        <v>הנהגה ברורה</v>
      </c>
    </row>
    <row r="11886" spans="1:6" x14ac:dyDescent="0.2">
      <c r="A11886" t="s">
        <v>20317</v>
      </c>
      <c r="B11886" t="s">
        <v>9179</v>
      </c>
      <c r="C11886" t="s">
        <v>411</v>
      </c>
      <c r="D11886" t="s">
        <v>52</v>
      </c>
      <c r="F11886" s="2" t="str">
        <f>HYPERLINK("http://www.otzar.org/book.asp?620421","הנהגה כהלכה")</f>
        <v>הנהגה כהלכה</v>
      </c>
    </row>
    <row r="11887" spans="1:6" x14ac:dyDescent="0.2">
      <c r="A11887" t="s">
        <v>20318</v>
      </c>
      <c r="B11887" t="s">
        <v>20319</v>
      </c>
      <c r="C11887" t="s">
        <v>1437</v>
      </c>
      <c r="D11887" t="s">
        <v>379</v>
      </c>
      <c r="E11887" t="s">
        <v>20320</v>
      </c>
      <c r="F11887" s="2" t="str">
        <f>HYPERLINK("http://www.otzar.org/book.asp?13560","הנהגות אדם - 2 כר'")</f>
        <v>הנהגות אדם - 2 כר'</v>
      </c>
    </row>
    <row r="11888" spans="1:6" x14ac:dyDescent="0.2">
      <c r="A11888" t="s">
        <v>20321</v>
      </c>
      <c r="B11888" t="s">
        <v>20322</v>
      </c>
      <c r="C11888" t="s">
        <v>1268</v>
      </c>
      <c r="D11888" t="s">
        <v>14</v>
      </c>
      <c r="E11888" t="s">
        <v>104</v>
      </c>
      <c r="F11888" s="2" t="str">
        <f>HYPERLINK("http://www.otzar.org/book.asp?63688","הנהגות החינוך")</f>
        <v>הנהגות החינוך</v>
      </c>
    </row>
    <row r="11889" spans="1:6" x14ac:dyDescent="0.2">
      <c r="A11889" t="s">
        <v>20323</v>
      </c>
      <c r="B11889" t="s">
        <v>20324</v>
      </c>
      <c r="C11889" t="s">
        <v>103</v>
      </c>
      <c r="D11889" t="s">
        <v>14</v>
      </c>
      <c r="E11889" t="s">
        <v>104</v>
      </c>
      <c r="F11889" s="2" t="str">
        <f>HYPERLINK("http://www.otzar.org/book.asp?625406","הנהגות ואורחות חיים")</f>
        <v>הנהגות ואורחות חיים</v>
      </c>
    </row>
    <row r="11890" spans="1:6" x14ac:dyDescent="0.2">
      <c r="A11890" t="s">
        <v>20325</v>
      </c>
      <c r="B11890" t="s">
        <v>20326</v>
      </c>
      <c r="C11890" t="s">
        <v>1246</v>
      </c>
      <c r="D11890" t="s">
        <v>27</v>
      </c>
      <c r="E11890" t="s">
        <v>16417</v>
      </c>
      <c r="F11890" s="2" t="str">
        <f>HYPERLINK("http://www.otzar.org/book.asp?10342","הנהגות וסדר היום מצדיקי קרלין")</f>
        <v>הנהגות וסדר היום מצדיקי קרלין</v>
      </c>
    </row>
    <row r="11891" spans="1:6" x14ac:dyDescent="0.2">
      <c r="A11891" t="s">
        <v>20327</v>
      </c>
      <c r="B11891" t="s">
        <v>20328</v>
      </c>
      <c r="C11891" t="s">
        <v>5903</v>
      </c>
      <c r="D11891" t="s">
        <v>6214</v>
      </c>
      <c r="E11891" t="s">
        <v>674</v>
      </c>
      <c r="F11891" s="2" t="str">
        <f>HYPERLINK("http://www.otzar.org/book.asp?195936","הנהגות טובות")</f>
        <v>הנהגות טובות</v>
      </c>
    </row>
    <row r="11892" spans="1:6" x14ac:dyDescent="0.2">
      <c r="A11892" t="s">
        <v>20329</v>
      </c>
      <c r="B11892" t="s">
        <v>20330</v>
      </c>
      <c r="C11892" t="s">
        <v>189</v>
      </c>
      <c r="D11892" t="s">
        <v>1974</v>
      </c>
      <c r="E11892" t="s">
        <v>2135</v>
      </c>
      <c r="F11892" s="2" t="str">
        <f>HYPERLINK("http://www.otzar.org/book.asp?52544","הנהגות יום יום - א")</f>
        <v>הנהגות יום יום - א</v>
      </c>
    </row>
    <row r="11893" spans="1:6" x14ac:dyDescent="0.2">
      <c r="A11893" t="s">
        <v>20331</v>
      </c>
      <c r="B11893" t="s">
        <v>20332</v>
      </c>
      <c r="C11893" t="s">
        <v>5619</v>
      </c>
      <c r="D11893" t="s">
        <v>6042</v>
      </c>
      <c r="E11893" t="s">
        <v>15</v>
      </c>
      <c r="F11893" s="2" t="str">
        <f>HYPERLINK("http://www.otzar.org/book.asp?151339","הנהגות ישראל")</f>
        <v>הנהגות ישראל</v>
      </c>
    </row>
    <row r="11894" spans="1:6" x14ac:dyDescent="0.2">
      <c r="A11894" t="s">
        <v>20333</v>
      </c>
      <c r="B11894" t="s">
        <v>20334</v>
      </c>
      <c r="C11894" t="s">
        <v>411</v>
      </c>
      <c r="D11894" t="s">
        <v>14</v>
      </c>
      <c r="E11894" t="s">
        <v>15</v>
      </c>
      <c r="F11894" s="2" t="str">
        <f>HYPERLINK("http://www.otzar.org/book.asp?168451","הנהגות כשרות וסדרי שחיטת עוף והודו")</f>
        <v>הנהגות כשרות וסדרי שחיטת עוף והודו</v>
      </c>
    </row>
    <row r="11895" spans="1:6" x14ac:dyDescent="0.2">
      <c r="A11895" t="s">
        <v>20335</v>
      </c>
      <c r="B11895" t="s">
        <v>20330</v>
      </c>
      <c r="C11895" t="s">
        <v>454</v>
      </c>
      <c r="D11895" t="s">
        <v>1974</v>
      </c>
      <c r="E11895" t="s">
        <v>15</v>
      </c>
      <c r="F11895" s="2" t="str">
        <f>HYPERLINK("http://www.otzar.org/book.asp?52542","הנהגות לשבת קדש - א")</f>
        <v>הנהגות לשבת קדש - א</v>
      </c>
    </row>
    <row r="11896" spans="1:6" x14ac:dyDescent="0.2">
      <c r="A11896" t="s">
        <v>20336</v>
      </c>
      <c r="B11896" t="s">
        <v>20337</v>
      </c>
      <c r="C11896" t="s">
        <v>12976</v>
      </c>
      <c r="D11896" t="s">
        <v>4934</v>
      </c>
      <c r="E11896" t="s">
        <v>15</v>
      </c>
      <c r="F11896" s="2" t="str">
        <f>HYPERLINK("http://www.otzar.org/book.asp?146934","הנהגות מכל השנה")</f>
        <v>הנהגות מכל השנה</v>
      </c>
    </row>
    <row r="11897" spans="1:6" x14ac:dyDescent="0.2">
      <c r="A11897" t="s">
        <v>20338</v>
      </c>
      <c r="B11897" t="s">
        <v>20338</v>
      </c>
      <c r="C11897" t="s">
        <v>5140</v>
      </c>
      <c r="D11897" t="s">
        <v>20339</v>
      </c>
      <c r="E11897" t="s">
        <v>104</v>
      </c>
      <c r="F11897" s="2" t="str">
        <f>HYPERLINK("http://www.otzar.org/book.asp?148146","הנהגות מלמדים עם התלמידים")</f>
        <v>הנהגות מלמדים עם התלמידים</v>
      </c>
    </row>
    <row r="11898" spans="1:6" x14ac:dyDescent="0.2">
      <c r="A11898" t="s">
        <v>20340</v>
      </c>
      <c r="B11898" t="s">
        <v>3035</v>
      </c>
      <c r="C11898" t="s">
        <v>3106</v>
      </c>
      <c r="D11898" t="s">
        <v>27</v>
      </c>
      <c r="E11898" t="s">
        <v>140</v>
      </c>
      <c r="F11898" s="2" t="str">
        <f>HYPERLINK("http://www.otzar.org/book.asp?51351","הנהגות צדיקים")</f>
        <v>הנהגות צדיקים</v>
      </c>
    </row>
    <row r="11899" spans="1:6" x14ac:dyDescent="0.2">
      <c r="A11899" t="s">
        <v>20341</v>
      </c>
      <c r="B11899" t="s">
        <v>20342</v>
      </c>
      <c r="C11899" t="s">
        <v>1208</v>
      </c>
      <c r="D11899" t="s">
        <v>14</v>
      </c>
      <c r="E11899" t="s">
        <v>703</v>
      </c>
      <c r="F11899" s="2" t="str">
        <f>HYPERLINK("http://www.otzar.org/book.asp?62955","הנהגות צדיקים - 8 כר'")</f>
        <v>הנהגות צדיקים - 8 כר'</v>
      </c>
    </row>
    <row r="11900" spans="1:6" x14ac:dyDescent="0.2">
      <c r="A11900" t="s">
        <v>20343</v>
      </c>
      <c r="B11900" t="s">
        <v>20344</v>
      </c>
      <c r="C11900" t="s">
        <v>20</v>
      </c>
      <c r="D11900" t="s">
        <v>14</v>
      </c>
      <c r="E11900" t="s">
        <v>130</v>
      </c>
      <c r="F11900" s="2" t="str">
        <f>HYPERLINK("http://www.otzar.org/book.asp?172631","הנהגות קבליות בשבת")</f>
        <v>הנהגות קבליות בשבת</v>
      </c>
    </row>
    <row r="11901" spans="1:6" x14ac:dyDescent="0.2">
      <c r="A11901" t="s">
        <v>20345</v>
      </c>
      <c r="B11901" t="s">
        <v>2885</v>
      </c>
      <c r="C11901" t="s">
        <v>87</v>
      </c>
      <c r="D11901" t="s">
        <v>14</v>
      </c>
      <c r="E11901" t="s">
        <v>3055</v>
      </c>
      <c r="F11901" s="2" t="str">
        <f>HYPERLINK("http://www.otzar.org/book.asp?60824","הנהגות ראש השנה")</f>
        <v>הנהגות ראש השנה</v>
      </c>
    </row>
    <row r="11902" spans="1:6" x14ac:dyDescent="0.2">
      <c r="A11902" t="s">
        <v>20346</v>
      </c>
      <c r="B11902" t="s">
        <v>20330</v>
      </c>
      <c r="C11902" t="s">
        <v>151</v>
      </c>
      <c r="D11902" t="s">
        <v>1974</v>
      </c>
      <c r="E11902" t="s">
        <v>241</v>
      </c>
      <c r="F11902" s="2" t="str">
        <f>HYPERLINK("http://www.otzar.org/book.asp?627456","הנהגות - 6 כר'")</f>
        <v>הנהגות - 6 כר'</v>
      </c>
    </row>
    <row r="11903" spans="1:6" x14ac:dyDescent="0.2">
      <c r="A11903" t="s">
        <v>20347</v>
      </c>
      <c r="B11903" t="s">
        <v>20348</v>
      </c>
      <c r="C11903" t="s">
        <v>3695</v>
      </c>
      <c r="D11903" t="s">
        <v>1023</v>
      </c>
      <c r="E11903" t="s">
        <v>15</v>
      </c>
      <c r="F11903" s="2" t="str">
        <f>HYPERLINK("http://www.otzar.org/book.asp?17679","הנהגת בית הכנסת")</f>
        <v>הנהגת בית הכנסת</v>
      </c>
    </row>
    <row r="11904" spans="1:6" x14ac:dyDescent="0.2">
      <c r="A11904" t="s">
        <v>20349</v>
      </c>
      <c r="B11904" t="s">
        <v>1320</v>
      </c>
      <c r="C11904" t="s">
        <v>20350</v>
      </c>
      <c r="D11904" t="s">
        <v>27</v>
      </c>
      <c r="E11904" t="s">
        <v>104</v>
      </c>
      <c r="F11904" s="2" t="str">
        <f>HYPERLINK("http://www.otzar.org/book.asp?5240","הנהגת הבריאות &lt;כתבים רפואיים&gt;")</f>
        <v>הנהגת הבריאות &lt;כתבים רפואיים&gt;</v>
      </c>
    </row>
    <row r="11905" spans="1:6" x14ac:dyDescent="0.2">
      <c r="A11905" t="s">
        <v>20351</v>
      </c>
      <c r="B11905" t="s">
        <v>20352</v>
      </c>
      <c r="C11905" t="s">
        <v>1568</v>
      </c>
      <c r="D11905" t="s">
        <v>1490</v>
      </c>
      <c r="E11905" t="s">
        <v>104</v>
      </c>
      <c r="F11905" s="2" t="str">
        <f>HYPERLINK("http://www.otzar.org/book.asp?146580","הנהגת הדבר לפילוניו")</f>
        <v>הנהגת הדבר לפילוניו</v>
      </c>
    </row>
    <row r="11906" spans="1:6" x14ac:dyDescent="0.2">
      <c r="A11906" t="s">
        <v>20353</v>
      </c>
      <c r="B11906" t="s">
        <v>20354</v>
      </c>
      <c r="C11906" t="s">
        <v>146</v>
      </c>
      <c r="D11906" t="s">
        <v>90</v>
      </c>
      <c r="E11906" t="s">
        <v>130</v>
      </c>
      <c r="F11906" s="2" t="str">
        <f>HYPERLINK("http://www.otzar.org/book.asp?63100","הנהגת ליל הסדר")</f>
        <v>הנהגת ליל הסדר</v>
      </c>
    </row>
    <row r="11907" spans="1:6" x14ac:dyDescent="0.2">
      <c r="A11907" t="s">
        <v>20355</v>
      </c>
      <c r="B11907" t="s">
        <v>20356</v>
      </c>
      <c r="C11907" t="s">
        <v>390</v>
      </c>
      <c r="D11907" t="s">
        <v>14</v>
      </c>
      <c r="E11907" t="s">
        <v>20357</v>
      </c>
      <c r="F11907" s="2" t="str">
        <f>HYPERLINK("http://www.otzar.org/book.asp?14885","הנהגת מהרש""ל")</f>
        <v>הנהגת מהרש"ל</v>
      </c>
    </row>
    <row r="11908" spans="1:6" x14ac:dyDescent="0.2">
      <c r="A11908" t="s">
        <v>20358</v>
      </c>
      <c r="B11908" t="s">
        <v>20359</v>
      </c>
      <c r="C11908" t="s">
        <v>114</v>
      </c>
      <c r="D11908" t="s">
        <v>14</v>
      </c>
      <c r="E11908" t="s">
        <v>140</v>
      </c>
      <c r="F11908" s="2" t="str">
        <f>HYPERLINK("http://www.otzar.org/book.asp?628147","הנהר המטהר")</f>
        <v>הנהר המטהר</v>
      </c>
    </row>
    <row r="11909" spans="1:6" x14ac:dyDescent="0.2">
      <c r="A11909" t="s">
        <v>20360</v>
      </c>
      <c r="B11909" t="s">
        <v>20361</v>
      </c>
      <c r="C11909" t="s">
        <v>6054</v>
      </c>
      <c r="D11909" t="s">
        <v>14</v>
      </c>
      <c r="E11909" t="s">
        <v>104</v>
      </c>
      <c r="F11909" s="2" t="str">
        <f>HYPERLINK("http://www.otzar.org/book.asp?619438","הנוטריקון הסימנים והכנויים")</f>
        <v>הנוטריקון הסימנים והכנויים</v>
      </c>
    </row>
    <row r="11910" spans="1:6" x14ac:dyDescent="0.2">
      <c r="A11910" t="s">
        <v>20362</v>
      </c>
      <c r="B11910" t="s">
        <v>20363</v>
      </c>
      <c r="C11910" t="s">
        <v>558</v>
      </c>
      <c r="D11910" t="s">
        <v>6201</v>
      </c>
      <c r="E11910" t="s">
        <v>219</v>
      </c>
      <c r="F11910" s="2" t="str">
        <f>HYPERLINK("http://www.otzar.org/book.asp?28348","הנוי הצלחה &lt;תשועת ישראל&gt; - פירוש על אקדמות")</f>
        <v>הנוי הצלחה &lt;תשועת ישראל&gt; - פירוש על אקדמות</v>
      </c>
    </row>
    <row r="11911" spans="1:6" x14ac:dyDescent="0.2">
      <c r="A11911" t="s">
        <v>20364</v>
      </c>
      <c r="B11911" t="s">
        <v>18570</v>
      </c>
      <c r="C11911" t="s">
        <v>37</v>
      </c>
      <c r="D11911" t="s">
        <v>21</v>
      </c>
      <c r="F11911" s="2" t="str">
        <f>HYPERLINK("http://www.otzar.org/book.asp?610582","הנוי והנצח")</f>
        <v>הנוי והנצח</v>
      </c>
    </row>
    <row r="11912" spans="1:6" x14ac:dyDescent="0.2">
      <c r="A11912" t="s">
        <v>20365</v>
      </c>
      <c r="B11912" t="s">
        <v>20366</v>
      </c>
      <c r="C11912" t="s">
        <v>71</v>
      </c>
      <c r="D11912" t="s">
        <v>14</v>
      </c>
      <c r="F11912" s="2" t="str">
        <f>HYPERLINK("http://www.otzar.org/book.asp?610890","הנוספות למנחת שי")</f>
        <v>הנוספות למנחת שי</v>
      </c>
    </row>
    <row r="11913" spans="1:6" x14ac:dyDescent="0.2">
      <c r="A11913" t="s">
        <v>20367</v>
      </c>
      <c r="B11913" t="s">
        <v>20368</v>
      </c>
      <c r="C11913" t="s">
        <v>63</v>
      </c>
      <c r="D11913" t="s">
        <v>14</v>
      </c>
      <c r="E11913" t="s">
        <v>104</v>
      </c>
      <c r="F11913" s="2" t="str">
        <f>HYPERLINK("http://www.otzar.org/book.asp?625571","הנוער והחנוך")</f>
        <v>הנוער והחנוך</v>
      </c>
    </row>
    <row r="11914" spans="1:6" x14ac:dyDescent="0.2">
      <c r="A11914" t="s">
        <v>20369</v>
      </c>
      <c r="B11914" t="s">
        <v>20370</v>
      </c>
      <c r="C11914" t="s">
        <v>11172</v>
      </c>
      <c r="D11914" t="s">
        <v>322</v>
      </c>
      <c r="E11914" t="s">
        <v>158</v>
      </c>
      <c r="F11914" s="2" t="str">
        <f>HYPERLINK("http://www.otzar.org/book.asp?10156","הנותן אמרי שפר")</f>
        <v>הנותן אמרי שפר</v>
      </c>
    </row>
    <row r="11915" spans="1:6" x14ac:dyDescent="0.2">
      <c r="A11915" t="s">
        <v>20371</v>
      </c>
      <c r="B11915" t="s">
        <v>19791</v>
      </c>
      <c r="C11915" t="s">
        <v>20</v>
      </c>
      <c r="D11915" t="s">
        <v>5172</v>
      </c>
      <c r="F11915" s="2" t="str">
        <f>HYPERLINK("http://www.otzar.org/book.asp?613638","הנותן בים דרך")</f>
        <v>הנותן בים דרך</v>
      </c>
    </row>
    <row r="11916" spans="1:6" x14ac:dyDescent="0.2">
      <c r="A11916" t="s">
        <v>20371</v>
      </c>
      <c r="B11916" t="s">
        <v>10104</v>
      </c>
      <c r="C11916" t="s">
        <v>3138</v>
      </c>
      <c r="D11916" t="s">
        <v>974</v>
      </c>
      <c r="E11916" t="s">
        <v>104</v>
      </c>
      <c r="F11916" s="2" t="str">
        <f>HYPERLINK("http://www.otzar.org/book.asp?8603","הנותן בים דרך")</f>
        <v>הנותן בים דרך</v>
      </c>
    </row>
    <row r="11917" spans="1:6" x14ac:dyDescent="0.2">
      <c r="A11917" t="s">
        <v>20371</v>
      </c>
      <c r="B11917" t="s">
        <v>7824</v>
      </c>
      <c r="C11917" t="s">
        <v>888</v>
      </c>
      <c r="D11917" t="s">
        <v>4269</v>
      </c>
      <c r="E11917" t="s">
        <v>714</v>
      </c>
      <c r="F11917" s="2" t="str">
        <f>HYPERLINK("http://www.otzar.org/book.asp?22798","הנותן בים דרך")</f>
        <v>הנותן בים דרך</v>
      </c>
    </row>
    <row r="11918" spans="1:6" x14ac:dyDescent="0.2">
      <c r="A11918" t="s">
        <v>20372</v>
      </c>
      <c r="B11918" t="s">
        <v>20373</v>
      </c>
      <c r="C11918" t="s">
        <v>20</v>
      </c>
      <c r="D11918" t="s">
        <v>90</v>
      </c>
      <c r="E11918" t="s">
        <v>104</v>
      </c>
      <c r="F11918" s="2" t="str">
        <f>HYPERLINK("http://www.otzar.org/book.asp?627544","הנותן ליעף כח")</f>
        <v>הנותן ליעף כח</v>
      </c>
    </row>
    <row r="11919" spans="1:6" x14ac:dyDescent="0.2">
      <c r="A11919" t="s">
        <v>20374</v>
      </c>
      <c r="B11919" t="s">
        <v>13089</v>
      </c>
      <c r="C11919" t="s">
        <v>17</v>
      </c>
      <c r="D11919" t="s">
        <v>1974</v>
      </c>
      <c r="E11919" t="s">
        <v>15</v>
      </c>
      <c r="F11919" s="2" t="str">
        <f>HYPERLINK("http://www.otzar.org/book.asp?189770","הנותן שלג")</f>
        <v>הנותן שלג</v>
      </c>
    </row>
    <row r="11920" spans="1:6" x14ac:dyDescent="0.2">
      <c r="A11920" t="s">
        <v>20375</v>
      </c>
      <c r="B11920" t="s">
        <v>20376</v>
      </c>
      <c r="C11920" t="s">
        <v>332</v>
      </c>
      <c r="D11920" t="s">
        <v>14</v>
      </c>
      <c r="E11920" t="s">
        <v>15</v>
      </c>
      <c r="F11920" s="2" t="str">
        <f>HYPERLINK("http://www.otzar.org/book.asp?623852","הנחית הלכתיות לצוות הסיעודי")</f>
        <v>הנחית הלכתיות לצוות הסיעודי</v>
      </c>
    </row>
    <row r="11921" spans="1:6" x14ac:dyDescent="0.2">
      <c r="A11921" t="s">
        <v>20377</v>
      </c>
      <c r="B11921" t="s">
        <v>20378</v>
      </c>
      <c r="C11921" t="s">
        <v>68</v>
      </c>
      <c r="D11921" t="s">
        <v>52</v>
      </c>
      <c r="E11921" t="s">
        <v>104</v>
      </c>
      <c r="F11921" s="2" t="str">
        <f>HYPERLINK("http://www.otzar.org/book.asp?182384","הנחלות בארץ ישראל")</f>
        <v>הנחלות בארץ ישראל</v>
      </c>
    </row>
    <row r="11922" spans="1:6" x14ac:dyDescent="0.2">
      <c r="A11922" t="s">
        <v>20379</v>
      </c>
      <c r="B11922" t="s">
        <v>20380</v>
      </c>
      <c r="C11922" t="s">
        <v>366</v>
      </c>
      <c r="D11922" t="s">
        <v>276</v>
      </c>
      <c r="E11922" t="s">
        <v>144</v>
      </c>
      <c r="F11922" s="2" t="str">
        <f>HYPERLINK("http://www.otzar.org/book.asp?610291","הנחמדים מזהב - 5 כר'")</f>
        <v>הנחמדים מזהב - 5 כר'</v>
      </c>
    </row>
    <row r="11923" spans="1:6" x14ac:dyDescent="0.2">
      <c r="A11923" t="s">
        <v>20381</v>
      </c>
      <c r="B11923" t="s">
        <v>12106</v>
      </c>
      <c r="C11923" t="s">
        <v>244</v>
      </c>
      <c r="D11923" t="s">
        <v>14</v>
      </c>
      <c r="F11923" s="2" t="str">
        <f>HYPERLINK("http://www.otzar.org/book.asp?616101","הנחמדים מזהב - ברכת כהנים")</f>
        <v>הנחמדים מזהב - ברכת כהנים</v>
      </c>
    </row>
    <row r="11924" spans="1:6" x14ac:dyDescent="0.2">
      <c r="A11924" t="s">
        <v>20382</v>
      </c>
      <c r="B11924" t="s">
        <v>20383</v>
      </c>
      <c r="C11924" t="s">
        <v>111</v>
      </c>
      <c r="D11924" t="s">
        <v>14</v>
      </c>
      <c r="E11924" t="s">
        <v>803</v>
      </c>
      <c r="F11924" s="2" t="str">
        <f>HYPERLINK("http://www.otzar.org/book.asp?629899","הנחמדים מזהב")</f>
        <v>הנחמדים מזהב</v>
      </c>
    </row>
    <row r="11925" spans="1:6" x14ac:dyDescent="0.2">
      <c r="A11925" t="s">
        <v>20384</v>
      </c>
      <c r="B11925" t="s">
        <v>12106</v>
      </c>
      <c r="C11925" t="s">
        <v>146</v>
      </c>
      <c r="D11925" t="s">
        <v>14</v>
      </c>
      <c r="E11925" t="s">
        <v>15</v>
      </c>
      <c r="F11925" s="2" t="str">
        <f>HYPERLINK("http://www.otzar.org/book.asp?52196","הנחמדים מפז")</f>
        <v>הנחמדים מפז</v>
      </c>
    </row>
    <row r="11926" spans="1:6" x14ac:dyDescent="0.2">
      <c r="A11926" t="s">
        <v>20385</v>
      </c>
      <c r="B11926" t="s">
        <v>12925</v>
      </c>
      <c r="C11926" t="s">
        <v>767</v>
      </c>
      <c r="D11926" t="s">
        <v>14</v>
      </c>
      <c r="E11926" t="s">
        <v>733</v>
      </c>
      <c r="F11926" s="2" t="str">
        <f>HYPERLINK("http://www.otzar.org/book.asp?64259","הנחשונים על כנפי נשרים מתימן")</f>
        <v>הנחשונים על כנפי נשרים מתימן</v>
      </c>
    </row>
    <row r="11927" spans="1:6" x14ac:dyDescent="0.2">
      <c r="A11927" t="s">
        <v>20386</v>
      </c>
      <c r="B11927" t="s">
        <v>20387</v>
      </c>
      <c r="C11927" t="s">
        <v>20388</v>
      </c>
      <c r="D11927" t="s">
        <v>1654</v>
      </c>
      <c r="E11927" t="s">
        <v>140</v>
      </c>
      <c r="F11927" s="2" t="str">
        <f>HYPERLINK("http://www.otzar.org/book.asp?191616","הניגון והריקוד בחסידות - א")</f>
        <v>הניגון והריקוד בחסידות - א</v>
      </c>
    </row>
    <row r="11928" spans="1:6" x14ac:dyDescent="0.2">
      <c r="A11928" t="s">
        <v>20389</v>
      </c>
      <c r="B11928" t="s">
        <v>20390</v>
      </c>
      <c r="C11928" t="s">
        <v>20</v>
      </c>
      <c r="D11928" t="s">
        <v>90</v>
      </c>
      <c r="E11928" t="s">
        <v>140</v>
      </c>
      <c r="F11928" s="2" t="str">
        <f>HYPERLINK("http://www.otzar.org/book.asp?622524","הניגון של הצדיק")</f>
        <v>הניגון של הצדיק</v>
      </c>
    </row>
    <row r="11929" spans="1:6" x14ac:dyDescent="0.2">
      <c r="A11929" t="s">
        <v>20391</v>
      </c>
      <c r="B11929" t="s">
        <v>20392</v>
      </c>
      <c r="C11929" t="s">
        <v>68</v>
      </c>
      <c r="D11929" t="s">
        <v>14</v>
      </c>
      <c r="E11929" t="s">
        <v>119</v>
      </c>
      <c r="F11929" s="2" t="str">
        <f>HYPERLINK("http://www.otzar.org/book.asp?163288","הנידון לחיים")</f>
        <v>הנידון לחיים</v>
      </c>
    </row>
    <row r="11930" spans="1:6" x14ac:dyDescent="0.2">
      <c r="A11930" t="s">
        <v>20393</v>
      </c>
      <c r="B11930" t="s">
        <v>15692</v>
      </c>
      <c r="C11930" t="s">
        <v>146</v>
      </c>
      <c r="D11930" t="s">
        <v>152</v>
      </c>
      <c r="F11930" s="2" t="str">
        <f>HYPERLINK("http://www.otzar.org/book.asp?85901","הניעור כל הלילה")</f>
        <v>הניעור כל הלילה</v>
      </c>
    </row>
    <row r="11931" spans="1:6" x14ac:dyDescent="0.2">
      <c r="A11931" t="s">
        <v>20394</v>
      </c>
      <c r="B11931" t="s">
        <v>17120</v>
      </c>
      <c r="C11931" t="s">
        <v>151</v>
      </c>
      <c r="D11931" t="s">
        <v>14</v>
      </c>
      <c r="F11931" s="2" t="str">
        <f>HYPERLINK("http://www.otzar.org/book.asp?621641","הנישואין בהלכה ובאגדה")</f>
        <v>הנישואין בהלכה ובאגדה</v>
      </c>
    </row>
    <row r="11932" spans="1:6" x14ac:dyDescent="0.2">
      <c r="A11932" t="s">
        <v>20395</v>
      </c>
      <c r="B11932" t="s">
        <v>20396</v>
      </c>
      <c r="C11932" t="s">
        <v>68</v>
      </c>
      <c r="D11932" t="s">
        <v>52</v>
      </c>
      <c r="E11932" t="s">
        <v>241</v>
      </c>
      <c r="F11932" s="2" t="str">
        <f>HYPERLINK("http://www.otzar.org/book.asp?164082","הנסיונות")</f>
        <v>הנסיונות</v>
      </c>
    </row>
    <row r="11933" spans="1:6" x14ac:dyDescent="0.2">
      <c r="A11933" t="s">
        <v>20397</v>
      </c>
      <c r="B11933" t="s">
        <v>20398</v>
      </c>
      <c r="C11933" t="s">
        <v>20</v>
      </c>
      <c r="D11933" t="s">
        <v>90</v>
      </c>
      <c r="E11933" t="s">
        <v>202</v>
      </c>
      <c r="F11933" s="2" t="str">
        <f>HYPERLINK("http://www.otzar.org/book.asp?600146","הנפילים היו בארץ")</f>
        <v>הנפילים היו בארץ</v>
      </c>
    </row>
    <row r="11934" spans="1:6" x14ac:dyDescent="0.2">
      <c r="A11934" t="s">
        <v>20399</v>
      </c>
      <c r="B11934" t="s">
        <v>20400</v>
      </c>
      <c r="C11934" t="s">
        <v>7367</v>
      </c>
      <c r="D11934" t="s">
        <v>1396</v>
      </c>
      <c r="F11934" s="2" t="str">
        <f>HYPERLINK("http://www.otzar.org/book.asp?619047","הנפש החכמה - 2 כר'")</f>
        <v>הנפש החכמה - 2 כר'</v>
      </c>
    </row>
    <row r="11935" spans="1:6" x14ac:dyDescent="0.2">
      <c r="A11935" t="s">
        <v>20401</v>
      </c>
      <c r="B11935" t="s">
        <v>20402</v>
      </c>
      <c r="C11935" t="s">
        <v>129</v>
      </c>
      <c r="D11935" t="s">
        <v>14</v>
      </c>
      <c r="E11935" t="s">
        <v>586</v>
      </c>
      <c r="F11935" s="2" t="str">
        <f>HYPERLINK("http://www.otzar.org/book.asp?61625","הנצו הרימונים")</f>
        <v>הנצו הרימונים</v>
      </c>
    </row>
    <row r="11936" spans="1:6" x14ac:dyDescent="0.2">
      <c r="A11936" t="s">
        <v>20403</v>
      </c>
      <c r="B11936" t="s">
        <v>686</v>
      </c>
      <c r="C11936" t="s">
        <v>68</v>
      </c>
      <c r="D11936" t="s">
        <v>52</v>
      </c>
      <c r="E11936" t="s">
        <v>104</v>
      </c>
      <c r="F11936" s="2" t="str">
        <f>HYPERLINK("http://www.otzar.org/book.asp?172423","הנצו הרמונים")</f>
        <v>הנצו הרמונים</v>
      </c>
    </row>
    <row r="11937" spans="1:6" x14ac:dyDescent="0.2">
      <c r="A11937" t="s">
        <v>20404</v>
      </c>
      <c r="B11937" t="s">
        <v>20405</v>
      </c>
      <c r="C11937" t="s">
        <v>8</v>
      </c>
      <c r="D11937" t="s">
        <v>1722</v>
      </c>
      <c r="E11937" t="s">
        <v>202</v>
      </c>
      <c r="F11937" s="2" t="str">
        <f>HYPERLINK("http://www.otzar.org/book.asp?193898","הנצח - 2 כר'")</f>
        <v>הנצח - 2 כר'</v>
      </c>
    </row>
    <row r="11938" spans="1:6" x14ac:dyDescent="0.2">
      <c r="A11938" t="s">
        <v>20406</v>
      </c>
      <c r="B11938" t="s">
        <v>3727</v>
      </c>
      <c r="C11938" t="s">
        <v>20</v>
      </c>
      <c r="D11938" t="s">
        <v>52</v>
      </c>
      <c r="F11938" s="2" t="str">
        <f>HYPERLINK("http://www.otzar.org/book.asp?613243","הנקודה הפנימית שבת")</f>
        <v>הנקודה הפנימית שבת</v>
      </c>
    </row>
    <row r="11939" spans="1:6" x14ac:dyDescent="0.2">
      <c r="A11939" t="s">
        <v>20407</v>
      </c>
      <c r="B11939" t="s">
        <v>20408</v>
      </c>
      <c r="C11939" t="s">
        <v>189</v>
      </c>
      <c r="D11939" t="s">
        <v>139</v>
      </c>
      <c r="F11939" s="2" t="str">
        <f>HYPERLINK("http://www.otzar.org/book.asp?164816","הנקמה והנחמה")</f>
        <v>הנקמה והנחמה</v>
      </c>
    </row>
    <row r="11940" spans="1:6" x14ac:dyDescent="0.2">
      <c r="A11940" t="s">
        <v>20409</v>
      </c>
      <c r="B11940" t="s">
        <v>20410</v>
      </c>
      <c r="C11940" t="s">
        <v>2008</v>
      </c>
      <c r="D11940" t="s">
        <v>27</v>
      </c>
      <c r="E11940" t="s">
        <v>104</v>
      </c>
      <c r="F11940" s="2" t="str">
        <f>HYPERLINK("http://www.otzar.org/book.asp?146806","הנשאר בציון")</f>
        <v>הנשאר בציון</v>
      </c>
    </row>
    <row r="11941" spans="1:6" x14ac:dyDescent="0.2">
      <c r="A11941" t="s">
        <v>20411</v>
      </c>
      <c r="B11941" t="s">
        <v>20412</v>
      </c>
      <c r="C11941" t="s">
        <v>87</v>
      </c>
      <c r="D11941" t="s">
        <v>14</v>
      </c>
      <c r="E11941" t="s">
        <v>104</v>
      </c>
      <c r="F11941" s="2" t="str">
        <f>HYPERLINK("http://www.otzar.org/book.asp?152335","הנשואין - משימה")</f>
        <v>הנשואין - משימה</v>
      </c>
    </row>
    <row r="11942" spans="1:6" x14ac:dyDescent="0.2">
      <c r="A11942" t="s">
        <v>20413</v>
      </c>
      <c r="B11942" t="s">
        <v>301</v>
      </c>
      <c r="C11942" t="s">
        <v>71</v>
      </c>
      <c r="D11942" t="s">
        <v>14</v>
      </c>
      <c r="E11942" t="s">
        <v>213</v>
      </c>
      <c r="F11942" s="2" t="str">
        <f>HYPERLINK("http://www.otzar.org/book.asp?23702","הנשמה והקדיש")</f>
        <v>הנשמה והקדיש</v>
      </c>
    </row>
    <row r="11943" spans="1:6" x14ac:dyDescent="0.2">
      <c r="A11943" t="s">
        <v>20414</v>
      </c>
      <c r="B11943" t="s">
        <v>1800</v>
      </c>
      <c r="C11943" t="s">
        <v>956</v>
      </c>
      <c r="D11943" t="s">
        <v>14</v>
      </c>
      <c r="E11943" t="s">
        <v>104</v>
      </c>
      <c r="F11943" s="2" t="str">
        <f>HYPERLINK("http://www.otzar.org/book.asp?103593","הנשמות מספרות &lt;רוחות מספרות&gt;")</f>
        <v>הנשמות מספרות &lt;רוחות מספרות&gt;</v>
      </c>
    </row>
    <row r="11944" spans="1:6" x14ac:dyDescent="0.2">
      <c r="A11944" t="s">
        <v>20415</v>
      </c>
      <c r="B11944" t="s">
        <v>4956</v>
      </c>
      <c r="C11944" t="s">
        <v>17</v>
      </c>
      <c r="D11944" t="s">
        <v>14</v>
      </c>
      <c r="E11944" t="s">
        <v>219</v>
      </c>
      <c r="F11944" s="2" t="str">
        <f>HYPERLINK("http://www.otzar.org/book.asp?182261","הנשק העדין")</f>
        <v>הנשק העדין</v>
      </c>
    </row>
    <row r="11945" spans="1:6" x14ac:dyDescent="0.2">
      <c r="A11945" t="s">
        <v>20416</v>
      </c>
      <c r="B11945" t="s">
        <v>20417</v>
      </c>
      <c r="C11945" t="s">
        <v>189</v>
      </c>
      <c r="D11945" t="s">
        <v>14</v>
      </c>
      <c r="E11945" t="s">
        <v>104</v>
      </c>
      <c r="F11945" s="2" t="str">
        <f>HYPERLINK("http://www.otzar.org/book.asp?176019","הנשר הגדול בבית הספרים")</f>
        <v>הנשר הגדול בבית הספרים</v>
      </c>
    </row>
    <row r="11946" spans="1:6" x14ac:dyDescent="0.2">
      <c r="A11946" t="s">
        <v>20418</v>
      </c>
      <c r="B11946" t="s">
        <v>20419</v>
      </c>
      <c r="C11946" t="s">
        <v>2617</v>
      </c>
      <c r="D11946" t="s">
        <v>267</v>
      </c>
      <c r="E11946" t="s">
        <v>202</v>
      </c>
      <c r="F11946" s="2" t="str">
        <f>HYPERLINK("http://www.otzar.org/book.asp?196867","הנשר - 137 כר'")</f>
        <v>הנשר - 137 כר'</v>
      </c>
    </row>
    <row r="11947" spans="1:6" x14ac:dyDescent="0.2">
      <c r="A11947" t="s">
        <v>20420</v>
      </c>
      <c r="B11947" t="s">
        <v>20421</v>
      </c>
      <c r="C11947" t="s">
        <v>20422</v>
      </c>
      <c r="D11947" t="s">
        <v>15129</v>
      </c>
      <c r="E11947" t="s">
        <v>202</v>
      </c>
      <c r="F11947" s="2" t="str">
        <f>HYPERLINK("http://www.otzar.org/book.asp?29075","הנשר - 13 כר'")</f>
        <v>הנשר - 13 כר'</v>
      </c>
    </row>
    <row r="11948" spans="1:6" x14ac:dyDescent="0.2">
      <c r="A11948" t="s">
        <v>20423</v>
      </c>
      <c r="B11948" t="s">
        <v>20424</v>
      </c>
      <c r="C11948" t="s">
        <v>151</v>
      </c>
      <c r="D11948" t="s">
        <v>21</v>
      </c>
      <c r="F11948" s="2" t="str">
        <f>HYPERLINK("http://www.otzar.org/book.asp?615078","הנתן אמרי שפר - 7 כר'")</f>
        <v>הנתן אמרי שפר - 7 כר'</v>
      </c>
    </row>
    <row r="11949" spans="1:6" x14ac:dyDescent="0.2">
      <c r="A11949" t="s">
        <v>20425</v>
      </c>
      <c r="B11949" t="s">
        <v>20426</v>
      </c>
      <c r="C11949" t="s">
        <v>20427</v>
      </c>
      <c r="D11949" t="s">
        <v>855</v>
      </c>
      <c r="E11949" t="s">
        <v>474</v>
      </c>
      <c r="F11949" s="2" t="str">
        <f>HYPERLINK("http://www.otzar.org/book.asp?61011","הנתן אמרי שפר")</f>
        <v>הנתן אמרי שפר</v>
      </c>
    </row>
    <row r="11950" spans="1:6" x14ac:dyDescent="0.2">
      <c r="A11950" t="s">
        <v>20428</v>
      </c>
      <c r="B11950" t="s">
        <v>20429</v>
      </c>
      <c r="C11950" t="s">
        <v>20</v>
      </c>
      <c r="D11950" t="s">
        <v>52</v>
      </c>
      <c r="E11950" t="s">
        <v>15</v>
      </c>
      <c r="F11950" s="2" t="str">
        <f>HYPERLINK("http://www.otzar.org/book.asp?189838","הס כל בשר מפני ה'")</f>
        <v>הס כל בשר מפני ה'</v>
      </c>
    </row>
    <row r="11951" spans="1:6" x14ac:dyDescent="0.2">
      <c r="A11951" t="s">
        <v>20430</v>
      </c>
      <c r="B11951" t="s">
        <v>686</v>
      </c>
      <c r="C11951" t="s">
        <v>189</v>
      </c>
      <c r="D11951" t="s">
        <v>52</v>
      </c>
      <c r="E11951" t="s">
        <v>104</v>
      </c>
      <c r="F11951" s="2" t="str">
        <f>HYPERLINK("http://www.otzar.org/book.asp?148228","הס מפני ה'")</f>
        <v>הס מפני ה'</v>
      </c>
    </row>
    <row r="11952" spans="1:6" x14ac:dyDescent="0.2">
      <c r="A11952" t="s">
        <v>20431</v>
      </c>
      <c r="B11952" t="s">
        <v>20432</v>
      </c>
      <c r="C11952" t="s">
        <v>843</v>
      </c>
      <c r="D11952" t="s">
        <v>260</v>
      </c>
      <c r="E11952" t="s">
        <v>226</v>
      </c>
      <c r="F11952" s="2" t="str">
        <f>HYPERLINK("http://www.otzar.org/book.asp?192673","הסבא הקדוש מראדושיץ")</f>
        <v>הסבא הקדוש מראדושיץ</v>
      </c>
    </row>
    <row r="11953" spans="1:6" x14ac:dyDescent="0.2">
      <c r="A11953" t="s">
        <v>20433</v>
      </c>
      <c r="B11953" t="s">
        <v>20434</v>
      </c>
      <c r="C11953" t="s">
        <v>940</v>
      </c>
      <c r="D11953" t="s">
        <v>1180</v>
      </c>
      <c r="E11953" t="s">
        <v>583</v>
      </c>
      <c r="F11953" s="2" t="str">
        <f>HYPERLINK("http://www.otzar.org/book.asp?6158","הסבא מסלבודקה")</f>
        <v>הסבא מסלבודקה</v>
      </c>
    </row>
    <row r="11954" spans="1:6" x14ac:dyDescent="0.2">
      <c r="A11954" t="s">
        <v>20435</v>
      </c>
      <c r="B11954" t="s">
        <v>20436</v>
      </c>
      <c r="C11954" t="s">
        <v>168</v>
      </c>
      <c r="D11954" t="s">
        <v>2375</v>
      </c>
      <c r="E11954" t="s">
        <v>733</v>
      </c>
      <c r="F11954" s="2" t="str">
        <f>HYPERLINK("http://www.otzar.org/book.asp?153605","הסבא קדישא אדמור סידנא בבא סאלי - 2 כר'")</f>
        <v>הסבא קדישא אדמור סידנא בבא סאלי - 2 כר'</v>
      </c>
    </row>
    <row r="11955" spans="1:6" x14ac:dyDescent="0.2">
      <c r="A11955" t="s">
        <v>20437</v>
      </c>
      <c r="B11955" t="s">
        <v>20438</v>
      </c>
      <c r="F11955" s="2" t="str">
        <f>HYPERLINK("http://www.otzar.org/book.asp?614026","הסבא קדישא מווארקא")</f>
        <v>הסבא קדישא מווארקא</v>
      </c>
    </row>
    <row r="11956" spans="1:6" x14ac:dyDescent="0.2">
      <c r="A11956" t="s">
        <v>20439</v>
      </c>
      <c r="B11956" t="s">
        <v>20440</v>
      </c>
      <c r="C11956" t="s">
        <v>411</v>
      </c>
      <c r="D11956" t="s">
        <v>90</v>
      </c>
      <c r="E11956" t="s">
        <v>119</v>
      </c>
      <c r="F11956" s="2" t="str">
        <f>HYPERLINK("http://www.otzar.org/book.asp?188778","הסבא קדישא מראדזימין - 2 כר'")</f>
        <v>הסבא קדישא מראדזימין - 2 כר'</v>
      </c>
    </row>
    <row r="11957" spans="1:6" x14ac:dyDescent="0.2">
      <c r="A11957" t="s">
        <v>20441</v>
      </c>
      <c r="B11957" t="s">
        <v>20442</v>
      </c>
      <c r="C11957" t="s">
        <v>103</v>
      </c>
      <c r="D11957" t="s">
        <v>14</v>
      </c>
      <c r="E11957" t="s">
        <v>202</v>
      </c>
      <c r="F11957" s="2" t="str">
        <f>HYPERLINK("http://www.otzar.org/book.asp?605613","הסביבה בהלכה ובמחשבה - 4 כר'")</f>
        <v>הסביבה בהלכה ובמחשבה - 4 כר'</v>
      </c>
    </row>
    <row r="11958" spans="1:6" x14ac:dyDescent="0.2">
      <c r="A11958" t="s">
        <v>20443</v>
      </c>
      <c r="B11958" t="s">
        <v>20444</v>
      </c>
      <c r="C11958" t="s">
        <v>63</v>
      </c>
      <c r="D11958" t="s">
        <v>14</v>
      </c>
      <c r="F11958" s="2" t="str">
        <f>HYPERLINK("http://www.otzar.org/book.asp?612173","הסברה ישרה - 2 כר'")</f>
        <v>הסברה ישרה - 2 כר'</v>
      </c>
    </row>
    <row r="11959" spans="1:6" x14ac:dyDescent="0.2">
      <c r="A11959" t="s">
        <v>20445</v>
      </c>
      <c r="B11959" t="s">
        <v>206</v>
      </c>
      <c r="C11959" t="s">
        <v>20</v>
      </c>
      <c r="D11959" t="s">
        <v>90</v>
      </c>
      <c r="F11959" s="2" t="str">
        <f>HYPERLINK("http://www.otzar.org/book.asp?632040","הסגולה - במעלת תוספת שבת")</f>
        <v>הסגולה - במעלת תוספת שבת</v>
      </c>
    </row>
    <row r="11960" spans="1:6" x14ac:dyDescent="0.2">
      <c r="A11960" t="s">
        <v>20446</v>
      </c>
      <c r="B11960" t="s">
        <v>20447</v>
      </c>
      <c r="C11960" t="s">
        <v>20448</v>
      </c>
      <c r="D11960" t="s">
        <v>14</v>
      </c>
      <c r="E11960" t="s">
        <v>202</v>
      </c>
      <c r="F11960" s="2" t="str">
        <f>HYPERLINK("http://www.otzar.org/book.asp?158271","הסגולה - 70 כר'")</f>
        <v>הסגולה - 70 כר'</v>
      </c>
    </row>
    <row r="11961" spans="1:6" x14ac:dyDescent="0.2">
      <c r="A11961" t="s">
        <v>20449</v>
      </c>
      <c r="B11961" t="s">
        <v>20450</v>
      </c>
      <c r="C11961" t="s">
        <v>143</v>
      </c>
      <c r="D11961" t="s">
        <v>14</v>
      </c>
      <c r="E11961" t="s">
        <v>130</v>
      </c>
      <c r="F11961" s="2" t="str">
        <f>HYPERLINK("http://www.otzar.org/book.asp?24480","הסדר הערוך - 3 כר'")</f>
        <v>הסדר הערוך - 3 כר'</v>
      </c>
    </row>
    <row r="11962" spans="1:6" x14ac:dyDescent="0.2">
      <c r="A11962" t="s">
        <v>20451</v>
      </c>
      <c r="B11962" t="s">
        <v>5332</v>
      </c>
      <c r="C11962" t="s">
        <v>3840</v>
      </c>
      <c r="D11962" t="s">
        <v>9</v>
      </c>
      <c r="E11962" t="s">
        <v>529</v>
      </c>
      <c r="F11962" s="2" t="str">
        <f>HYPERLINK("http://www.otzar.org/book.asp?8598","הסדרים לרש""י")</f>
        <v>הסדרים לרש"י</v>
      </c>
    </row>
    <row r="11963" spans="1:6" x14ac:dyDescent="0.2">
      <c r="A11963" t="s">
        <v>20452</v>
      </c>
      <c r="B11963" t="s">
        <v>20453</v>
      </c>
      <c r="C11963" t="s">
        <v>111</v>
      </c>
      <c r="D11963" t="s">
        <v>90</v>
      </c>
      <c r="E11963" t="s">
        <v>130</v>
      </c>
      <c r="F11963" s="2" t="str">
        <f>HYPERLINK("http://www.otzar.org/book.asp?630827","הסוגיא להלכה - הלכות לולב")</f>
        <v>הסוגיא להלכה - הלכות לולב</v>
      </c>
    </row>
    <row r="11964" spans="1:6" x14ac:dyDescent="0.2">
      <c r="A11964" t="s">
        <v>20454</v>
      </c>
      <c r="B11964" t="s">
        <v>20455</v>
      </c>
      <c r="C11964" t="s">
        <v>71</v>
      </c>
      <c r="D11964" t="s">
        <v>14</v>
      </c>
      <c r="E11964" t="s">
        <v>119</v>
      </c>
      <c r="F11964" s="2" t="str">
        <f>HYPERLINK("http://www.otzar.org/book.asp?144150","הסולם")</f>
        <v>הסולם</v>
      </c>
    </row>
    <row r="11965" spans="1:6" x14ac:dyDescent="0.2">
      <c r="A11965" t="s">
        <v>20456</v>
      </c>
      <c r="B11965" t="s">
        <v>20457</v>
      </c>
      <c r="C11965" t="s">
        <v>533</v>
      </c>
      <c r="D11965" t="s">
        <v>412</v>
      </c>
      <c r="E11965" t="s">
        <v>202</v>
      </c>
      <c r="F11965" s="2" t="str">
        <f>HYPERLINK("http://www.otzar.org/book.asp?624497","הסופר - 9 כר'")</f>
        <v>הסופר - 9 כר'</v>
      </c>
    </row>
    <row r="11966" spans="1:6" x14ac:dyDescent="0.2">
      <c r="A11966" t="s">
        <v>20458</v>
      </c>
      <c r="B11966" t="s">
        <v>20459</v>
      </c>
      <c r="C11966" t="s">
        <v>1374</v>
      </c>
      <c r="D11966" t="s">
        <v>20460</v>
      </c>
      <c r="E11966" t="s">
        <v>202</v>
      </c>
      <c r="F11966" s="2" t="str">
        <f>HYPERLINK("http://www.otzar.org/book.asp?155735","הסוקר - ב")</f>
        <v>הסוקר - ב</v>
      </c>
    </row>
    <row r="11967" spans="1:6" x14ac:dyDescent="0.2">
      <c r="A11967" t="s">
        <v>20461</v>
      </c>
      <c r="B11967" t="s">
        <v>20462</v>
      </c>
      <c r="C11967" t="s">
        <v>146</v>
      </c>
      <c r="D11967" t="s">
        <v>52</v>
      </c>
      <c r="E11967" t="s">
        <v>219</v>
      </c>
      <c r="F11967" s="2" t="str">
        <f>HYPERLINK("http://www.otzar.org/book.asp?85234","הסידור המדוייק איש מצליח")</f>
        <v>הסידור המדוייק איש מצליח</v>
      </c>
    </row>
    <row r="11968" spans="1:6" x14ac:dyDescent="0.2">
      <c r="A11968" t="s">
        <v>20463</v>
      </c>
      <c r="B11968" t="s">
        <v>20464</v>
      </c>
      <c r="C11968" t="s">
        <v>454</v>
      </c>
      <c r="D11968" t="s">
        <v>412</v>
      </c>
      <c r="E11968" t="s">
        <v>393</v>
      </c>
      <c r="F11968" s="2" t="str">
        <f>HYPERLINK("http://www.otzar.org/book.asp?26958","הסידור")</f>
        <v>הסידור</v>
      </c>
    </row>
    <row r="11969" spans="1:6" x14ac:dyDescent="0.2">
      <c r="A11969" t="s">
        <v>20465</v>
      </c>
      <c r="B11969" t="s">
        <v>2887</v>
      </c>
      <c r="C11969" t="s">
        <v>3106</v>
      </c>
      <c r="D11969" t="s">
        <v>563</v>
      </c>
      <c r="E11969" t="s">
        <v>144</v>
      </c>
      <c r="F11969" s="2" t="str">
        <f>HYPERLINK("http://www.otzar.org/book.asp?13345","הסימנים השלם")</f>
        <v>הסימנים השלם</v>
      </c>
    </row>
    <row r="11970" spans="1:6" x14ac:dyDescent="0.2">
      <c r="A11970" t="s">
        <v>20466</v>
      </c>
      <c r="B11970" t="s">
        <v>16795</v>
      </c>
      <c r="C11970" t="s">
        <v>351</v>
      </c>
      <c r="D11970" t="s">
        <v>283</v>
      </c>
      <c r="E11970" t="s">
        <v>15</v>
      </c>
      <c r="F11970" s="2" t="str">
        <f>HYPERLINK("http://www.otzar.org/book.asp?105182","הסימנים מתורת חטאת")</f>
        <v>הסימנים מתורת חטאת</v>
      </c>
    </row>
    <row r="11971" spans="1:6" x14ac:dyDescent="0.2">
      <c r="A11971" t="s">
        <v>20467</v>
      </c>
      <c r="B11971" t="s">
        <v>15253</v>
      </c>
      <c r="C11971" t="s">
        <v>20</v>
      </c>
      <c r="D11971" t="s">
        <v>90</v>
      </c>
      <c r="E11971" t="s">
        <v>241</v>
      </c>
      <c r="F11971" s="2" t="str">
        <f>HYPERLINK("http://www.otzar.org/book.asp?626216","הסינון הסופי")</f>
        <v>הסינון הסופי</v>
      </c>
    </row>
    <row r="11972" spans="1:6" x14ac:dyDescent="0.2">
      <c r="A11972" t="s">
        <v>20468</v>
      </c>
      <c r="B11972" t="s">
        <v>14011</v>
      </c>
      <c r="C11972" t="s">
        <v>1954</v>
      </c>
      <c r="D11972" t="s">
        <v>27</v>
      </c>
      <c r="F11972" s="2" t="str">
        <f>HYPERLINK("http://www.otzar.org/book.asp?169427","הסירו מכשול מדרך עמי")</f>
        <v>הסירו מכשול מדרך עמי</v>
      </c>
    </row>
    <row r="11973" spans="1:6" x14ac:dyDescent="0.2">
      <c r="A11973" t="s">
        <v>20469</v>
      </c>
      <c r="B11973" t="s">
        <v>5590</v>
      </c>
      <c r="C11973" t="s">
        <v>767</v>
      </c>
      <c r="D11973" t="s">
        <v>14</v>
      </c>
      <c r="E11973" t="s">
        <v>148</v>
      </c>
      <c r="F11973" s="2" t="str">
        <f>HYPERLINK("http://www.otzar.org/book.asp?61679","הסכם ממון - ניסוח הסכמי ממון ע""פ ההלכה")</f>
        <v>הסכם ממון - ניסוח הסכמי ממון ע"פ ההלכה</v>
      </c>
    </row>
    <row r="11974" spans="1:6" x14ac:dyDescent="0.2">
      <c r="A11974" t="s">
        <v>20470</v>
      </c>
      <c r="B11974" t="s">
        <v>20471</v>
      </c>
      <c r="C11974" t="s">
        <v>2488</v>
      </c>
      <c r="D11974" t="s">
        <v>14</v>
      </c>
      <c r="E11974" t="s">
        <v>733</v>
      </c>
      <c r="F11974" s="2" t="str">
        <f>HYPERLINK("http://www.otzar.org/book.asp?625395","הסכמת בעלי הועד בענין ישוב הארץ")</f>
        <v>הסכמת בעלי הועד בענין ישוב הארץ</v>
      </c>
    </row>
    <row r="11975" spans="1:6" x14ac:dyDescent="0.2">
      <c r="A11975" t="s">
        <v>20472</v>
      </c>
      <c r="B11975" t="s">
        <v>20473</v>
      </c>
      <c r="C11975" t="s">
        <v>146</v>
      </c>
      <c r="D11975" t="s">
        <v>14</v>
      </c>
      <c r="E11975" t="s">
        <v>241</v>
      </c>
      <c r="F11975" s="2" t="str">
        <f>HYPERLINK("http://www.otzar.org/book.asp?60221","הסכת ושמע - 2 כר'")</f>
        <v>הסכת ושמע - 2 כר'</v>
      </c>
    </row>
    <row r="11976" spans="1:6" x14ac:dyDescent="0.2">
      <c r="A11976" t="s">
        <v>20474</v>
      </c>
      <c r="B11976" t="s">
        <v>20475</v>
      </c>
      <c r="C11976" t="s">
        <v>114</v>
      </c>
      <c r="D11976" t="s">
        <v>14</v>
      </c>
      <c r="F11976" s="2" t="str">
        <f>HYPERLINK("http://www.otzar.org/book.asp?616722","הסלולרי מזוית יהודית")</f>
        <v>הסלולרי מזוית יהודית</v>
      </c>
    </row>
    <row r="11977" spans="1:6" x14ac:dyDescent="0.2">
      <c r="A11977" t="s">
        <v>20476</v>
      </c>
      <c r="B11977" t="s">
        <v>20477</v>
      </c>
      <c r="C11977" t="s">
        <v>12392</v>
      </c>
      <c r="D11977" t="s">
        <v>744</v>
      </c>
      <c r="E11977" t="s">
        <v>1517</v>
      </c>
      <c r="F11977" s="2" t="str">
        <f>HYPERLINK("http://www.otzar.org/book.asp?162984","הסליחות כסדר וכמנהג פיהם פולן, מערהרן אויסטריך ושלעזיא")</f>
        <v>הסליחות כסדר וכמנהג פיהם פולן, מערהרן אויסטריך ושלעזיא</v>
      </c>
    </row>
    <row r="11978" spans="1:6" x14ac:dyDescent="0.2">
      <c r="A11978" t="s">
        <v>20478</v>
      </c>
      <c r="B11978" t="s">
        <v>20479</v>
      </c>
      <c r="C11978" t="s">
        <v>1437</v>
      </c>
      <c r="D11978" t="s">
        <v>6801</v>
      </c>
      <c r="E11978" t="s">
        <v>219</v>
      </c>
      <c r="F11978" s="2" t="str">
        <f>HYPERLINK("http://www.otzar.org/book.asp?26547","הסליחות לכל השנה לפי מנהג האשכנזים")</f>
        <v>הסליחות לכל השנה לפי מנהג האשכנזים</v>
      </c>
    </row>
    <row r="11979" spans="1:6" x14ac:dyDescent="0.2">
      <c r="A11979" t="s">
        <v>20480</v>
      </c>
      <c r="B11979" t="s">
        <v>20481</v>
      </c>
      <c r="C11979" t="s">
        <v>13</v>
      </c>
      <c r="D11979" t="s">
        <v>14</v>
      </c>
      <c r="E11979" t="s">
        <v>15</v>
      </c>
      <c r="F11979" s="2" t="str">
        <f>HYPERLINK("http://www.otzar.org/book.asp?143545","הסמ""ק מצוריך - 3 כר'")</f>
        <v>הסמ"ק מצוריך - 3 כר'</v>
      </c>
    </row>
    <row r="11980" spans="1:6" x14ac:dyDescent="0.2">
      <c r="A11980" t="s">
        <v>20482</v>
      </c>
      <c r="B11980" t="s">
        <v>20483</v>
      </c>
      <c r="C11980" t="s">
        <v>20</v>
      </c>
      <c r="D11980" t="s">
        <v>52</v>
      </c>
      <c r="E11980" t="s">
        <v>119</v>
      </c>
      <c r="F11980" s="2" t="str">
        <f>HYPERLINK("http://www.otzar.org/book.asp?144742","הסנה איננו אכל - 2 כר'")</f>
        <v>הסנה איננו אכל - 2 כר'</v>
      </c>
    </row>
    <row r="11981" spans="1:6" x14ac:dyDescent="0.2">
      <c r="A11981" t="s">
        <v>20484</v>
      </c>
      <c r="B11981" t="s">
        <v>1091</v>
      </c>
      <c r="C11981" t="s">
        <v>383</v>
      </c>
      <c r="D11981" t="s">
        <v>14</v>
      </c>
      <c r="E11981" t="s">
        <v>15</v>
      </c>
      <c r="F11981" s="2" t="str">
        <f>HYPERLINK("http://www.otzar.org/book.asp?189190","הסעודה וברכותיה")</f>
        <v>הסעודה וברכותיה</v>
      </c>
    </row>
    <row r="11982" spans="1:6" x14ac:dyDescent="0.2">
      <c r="A11982" t="s">
        <v>20485</v>
      </c>
      <c r="B11982" t="s">
        <v>20486</v>
      </c>
      <c r="C11982" t="s">
        <v>168</v>
      </c>
      <c r="D11982" t="s">
        <v>52</v>
      </c>
      <c r="E11982" t="s">
        <v>234</v>
      </c>
      <c r="F11982" s="2" t="str">
        <f>HYPERLINK("http://www.otzar.org/book.asp?26009","הספד הגרא""מ שך זצ""ל על רבינו בעל הקהלות יעקב זצ""ל")</f>
        <v>הספד הגרא"מ שך זצ"ל על רבינו בעל הקהלות יעקב זצ"ל</v>
      </c>
    </row>
    <row r="11983" spans="1:6" x14ac:dyDescent="0.2">
      <c r="A11983" t="s">
        <v>20487</v>
      </c>
      <c r="B11983" t="s">
        <v>20488</v>
      </c>
      <c r="C11983" t="s">
        <v>802</v>
      </c>
      <c r="D11983" t="s">
        <v>1992</v>
      </c>
      <c r="E11983" t="s">
        <v>234</v>
      </c>
      <c r="F11983" s="2" t="str">
        <f>HYPERLINK("http://www.otzar.org/book.asp?166804","הספד מר")</f>
        <v>הספד מר</v>
      </c>
    </row>
    <row r="11984" spans="1:6" x14ac:dyDescent="0.2">
      <c r="A11984" t="s">
        <v>20489</v>
      </c>
      <c r="B11984" t="s">
        <v>20490</v>
      </c>
      <c r="C11984" t="s">
        <v>151</v>
      </c>
      <c r="D11984" t="s">
        <v>52</v>
      </c>
      <c r="F11984" s="2" t="str">
        <f>HYPERLINK("http://www.otzar.org/book.asp?619585","הספד על הגאון רבי נתן צבי שולמן")</f>
        <v>הספד על הגאון רבי נתן צבי שולמן</v>
      </c>
    </row>
    <row r="11985" spans="1:6" x14ac:dyDescent="0.2">
      <c r="A11985" t="s">
        <v>20491</v>
      </c>
      <c r="B11985" t="s">
        <v>3941</v>
      </c>
      <c r="C11985" t="s">
        <v>1425</v>
      </c>
      <c r="D11985" t="s">
        <v>744</v>
      </c>
      <c r="F11985" s="2" t="str">
        <f>HYPERLINK("http://www.otzar.org/book.asp?53358","הספד על פטירת חכם")</f>
        <v>הספד על פטירת חכם</v>
      </c>
    </row>
    <row r="11986" spans="1:6" x14ac:dyDescent="0.2">
      <c r="A11986" t="s">
        <v>20492</v>
      </c>
      <c r="B11986" t="s">
        <v>5253</v>
      </c>
      <c r="C11986" t="s">
        <v>585</v>
      </c>
      <c r="D11986" t="s">
        <v>412</v>
      </c>
      <c r="E11986" t="s">
        <v>234</v>
      </c>
      <c r="F11986" s="2" t="str">
        <f>HYPERLINK("http://www.otzar.org/book.asp?149019","הספדא")</f>
        <v>הספדא</v>
      </c>
    </row>
    <row r="11987" spans="1:6" x14ac:dyDescent="0.2">
      <c r="A11987" t="s">
        <v>20493</v>
      </c>
      <c r="B11987" t="s">
        <v>20494</v>
      </c>
      <c r="E11987" t="s">
        <v>234</v>
      </c>
      <c r="F11987" s="2" t="str">
        <f>HYPERLINK("http://www.otzar.org/book.asp?628016","הספדו של חכם")</f>
        <v>הספדו של חכם</v>
      </c>
    </row>
    <row r="11988" spans="1:6" x14ac:dyDescent="0.2">
      <c r="A11988" t="s">
        <v>20495</v>
      </c>
      <c r="B11988" t="s">
        <v>20496</v>
      </c>
      <c r="C11988" t="s">
        <v>4374</v>
      </c>
      <c r="D11988" t="s">
        <v>1279</v>
      </c>
      <c r="E11988" t="s">
        <v>20497</v>
      </c>
      <c r="F11988" s="2" t="str">
        <f>HYPERLINK("http://www.otzar.org/book.asp?147154","הספר הזכרון &lt;תורת השם, מלחמות השם, מוסר השם&gt;")</f>
        <v>הספר הזכרון &lt;תורת השם, מלחמות השם, מוסר השם&gt;</v>
      </c>
    </row>
    <row r="11989" spans="1:6" x14ac:dyDescent="0.2">
      <c r="A11989" t="s">
        <v>20498</v>
      </c>
      <c r="B11989" t="s">
        <v>206</v>
      </c>
      <c r="C11989" t="s">
        <v>427</v>
      </c>
      <c r="D11989" t="s">
        <v>52</v>
      </c>
      <c r="E11989" t="s">
        <v>104</v>
      </c>
      <c r="F11989" s="2" t="str">
        <f>HYPERLINK("http://www.otzar.org/book.asp?627016","הספר הלבן")</f>
        <v>הספר הלבן</v>
      </c>
    </row>
    <row r="11990" spans="1:6" x14ac:dyDescent="0.2">
      <c r="A11990" t="s">
        <v>20499</v>
      </c>
      <c r="B11990" t="s">
        <v>12124</v>
      </c>
      <c r="C11990" t="s">
        <v>985</v>
      </c>
      <c r="D11990" t="s">
        <v>260</v>
      </c>
      <c r="E11990" t="s">
        <v>104</v>
      </c>
      <c r="F11990" s="2" t="str">
        <f>HYPERLINK("http://www.otzar.org/book.asp?192676","הספר העברי בהתפתחותו")</f>
        <v>הספר העברי בהתפתחותו</v>
      </c>
    </row>
    <row r="11991" spans="1:6" x14ac:dyDescent="0.2">
      <c r="A11991" t="s">
        <v>20500</v>
      </c>
      <c r="B11991" t="s">
        <v>20501</v>
      </c>
      <c r="C11991" t="s">
        <v>20502</v>
      </c>
      <c r="D11991" t="s">
        <v>27</v>
      </c>
      <c r="E11991" t="s">
        <v>202</v>
      </c>
      <c r="F11991" s="2" t="str">
        <f>HYPERLINK("http://www.otzar.org/book.asp?152891","הספר - 5 כר'")</f>
        <v>הספר - 5 כר'</v>
      </c>
    </row>
    <row r="11992" spans="1:6" x14ac:dyDescent="0.2">
      <c r="A11992" t="s">
        <v>20503</v>
      </c>
      <c r="B11992" t="s">
        <v>20475</v>
      </c>
      <c r="C11992" t="s">
        <v>37</v>
      </c>
      <c r="D11992" t="s">
        <v>14</v>
      </c>
      <c r="F11992" s="2" t="str">
        <f>HYPERLINK("http://www.otzar.org/book.asp?181896","הספרות והתקשורת מזווית יהודית")</f>
        <v>הספרות והתקשורת מזווית יהודית</v>
      </c>
    </row>
    <row r="11993" spans="1:6" x14ac:dyDescent="0.2">
      <c r="A11993" t="s">
        <v>20504</v>
      </c>
      <c r="B11993" t="s">
        <v>1702</v>
      </c>
      <c r="C11993" t="s">
        <v>151</v>
      </c>
      <c r="D11993" t="s">
        <v>52</v>
      </c>
      <c r="F11993" s="2" t="str">
        <f>HYPERLINK("http://www.otzar.org/book.asp?609885","הספרים של רבינו הגר""ח קנייבסקי")</f>
        <v>הספרים של רבינו הגר"ח קנייבסקי</v>
      </c>
    </row>
    <row r="11994" spans="1:6" x14ac:dyDescent="0.2">
      <c r="A11994" t="s">
        <v>20505</v>
      </c>
      <c r="B11994" t="s">
        <v>5293</v>
      </c>
      <c r="C11994" t="s">
        <v>114</v>
      </c>
      <c r="D11994" t="s">
        <v>14</v>
      </c>
      <c r="F11994" s="2" t="str">
        <f>HYPERLINK("http://www.otzar.org/book.asp?614848","הסר כעס מלבך ואיסור חנופה")</f>
        <v>הסר כעס מלבך ואיסור חנופה</v>
      </c>
    </row>
    <row r="11995" spans="1:6" x14ac:dyDescent="0.2">
      <c r="A11995" t="s">
        <v>20506</v>
      </c>
      <c r="B11995" t="s">
        <v>20507</v>
      </c>
      <c r="C11995" t="s">
        <v>332</v>
      </c>
      <c r="D11995" t="s">
        <v>52</v>
      </c>
      <c r="E11995" t="s">
        <v>241</v>
      </c>
      <c r="F11995" s="2" t="str">
        <f>HYPERLINK("http://www.otzar.org/book.asp?165896","הסר כעס מליבך")</f>
        <v>הסר כעס מליבך</v>
      </c>
    </row>
    <row r="11996" spans="1:6" x14ac:dyDescent="0.2">
      <c r="A11996" t="s">
        <v>20508</v>
      </c>
      <c r="B11996" t="s">
        <v>7405</v>
      </c>
      <c r="C11996" t="s">
        <v>146</v>
      </c>
      <c r="D11996" t="s">
        <v>14</v>
      </c>
      <c r="E11996" t="s">
        <v>182</v>
      </c>
      <c r="F11996" s="2" t="str">
        <f>HYPERLINK("http://www.otzar.org/book.asp?50372","הסתכלות בהלכה")</f>
        <v>הסתכלות בהלכה</v>
      </c>
    </row>
    <row r="11997" spans="1:6" x14ac:dyDescent="0.2">
      <c r="A11997" t="s">
        <v>20509</v>
      </c>
      <c r="B11997" t="s">
        <v>16970</v>
      </c>
      <c r="C11997" t="s">
        <v>725</v>
      </c>
      <c r="D11997" t="s">
        <v>9</v>
      </c>
      <c r="E11997" t="s">
        <v>234</v>
      </c>
      <c r="F11997" s="2" t="str">
        <f>HYPERLINK("http://www.otzar.org/book.asp?100148","הסתכלות הרמ""ה באמריקה")</f>
        <v>הסתכלות הרמ"ה באמריקה</v>
      </c>
    </row>
    <row r="11998" spans="1:6" x14ac:dyDescent="0.2">
      <c r="A11998" t="s">
        <v>20510</v>
      </c>
      <c r="B11998" t="s">
        <v>5810</v>
      </c>
      <c r="C11998" t="s">
        <v>3017</v>
      </c>
      <c r="D11998" t="s">
        <v>27</v>
      </c>
      <c r="E11998" t="s">
        <v>213</v>
      </c>
      <c r="F11998" s="2" t="str">
        <f>HYPERLINK("http://www.otzar.org/book.asp?102082","העבודה ואשי ישראל")</f>
        <v>העבודה ואשי ישראל</v>
      </c>
    </row>
    <row r="11999" spans="1:6" x14ac:dyDescent="0.2">
      <c r="A11999" t="s">
        <v>20511</v>
      </c>
      <c r="B11999" t="s">
        <v>11656</v>
      </c>
      <c r="C11999" t="s">
        <v>1208</v>
      </c>
      <c r="D11999" t="s">
        <v>14</v>
      </c>
      <c r="E11999" t="s">
        <v>219</v>
      </c>
      <c r="F11999" s="2" t="str">
        <f>HYPERLINK("http://www.otzar.org/book.asp?189730","העבודה שבלב")</f>
        <v>העבודה שבלב</v>
      </c>
    </row>
    <row r="12000" spans="1:6" x14ac:dyDescent="0.2">
      <c r="A12000" t="s">
        <v>20512</v>
      </c>
      <c r="B12000" t="s">
        <v>15767</v>
      </c>
      <c r="C12000" t="s">
        <v>919</v>
      </c>
      <c r="D12000" t="s">
        <v>216</v>
      </c>
      <c r="E12000" t="s">
        <v>119</v>
      </c>
      <c r="F12000" s="2" t="str">
        <f>HYPERLINK("http://www.otzar.org/book.asp?148161","העבר הישראלי - 8 כר'")</f>
        <v>העבר הישראלי - 8 כר'</v>
      </c>
    </row>
    <row r="12001" spans="1:6" x14ac:dyDescent="0.2">
      <c r="A12001" t="s">
        <v>20513</v>
      </c>
      <c r="B12001" t="s">
        <v>20514</v>
      </c>
      <c r="C12001" t="s">
        <v>956</v>
      </c>
      <c r="D12001" t="s">
        <v>216</v>
      </c>
      <c r="F12001" s="2" t="str">
        <f>HYPERLINK("http://www.otzar.org/book.asp?612625","העבר - 2 כר'")</f>
        <v>העבר - 2 כר'</v>
      </c>
    </row>
    <row r="12002" spans="1:6" x14ac:dyDescent="0.2">
      <c r="A12002" t="s">
        <v>20515</v>
      </c>
      <c r="B12002" t="s">
        <v>20516</v>
      </c>
      <c r="C12002" t="s">
        <v>286</v>
      </c>
      <c r="D12002" t="s">
        <v>592</v>
      </c>
      <c r="E12002" t="s">
        <v>241</v>
      </c>
      <c r="F12002" s="2" t="str">
        <f>HYPERLINK("http://www.otzar.org/book.asp?192176","העגלה הערופה")</f>
        <v>העגלה הערופה</v>
      </c>
    </row>
    <row r="12003" spans="1:6" x14ac:dyDescent="0.2">
      <c r="A12003" t="s">
        <v>20517</v>
      </c>
      <c r="B12003" t="s">
        <v>20518</v>
      </c>
      <c r="C12003" t="s">
        <v>17</v>
      </c>
      <c r="D12003" t="s">
        <v>14</v>
      </c>
      <c r="F12003" s="2" t="str">
        <f>HYPERLINK("http://www.otzar.org/book.asp?615492","העדה - 291 כר'")</f>
        <v>העדה - 291 כר'</v>
      </c>
    </row>
    <row r="12004" spans="1:6" x14ac:dyDescent="0.2">
      <c r="A12004" t="s">
        <v>20519</v>
      </c>
      <c r="B12004" t="s">
        <v>20520</v>
      </c>
      <c r="C12004" t="s">
        <v>523</v>
      </c>
      <c r="D12004" t="s">
        <v>14</v>
      </c>
      <c r="E12004" t="s">
        <v>674</v>
      </c>
      <c r="F12004" s="2" t="str">
        <f>HYPERLINK("http://www.otzar.org/book.asp?10027","העוז והענוה")</f>
        <v>העוז והענוה</v>
      </c>
    </row>
    <row r="12005" spans="1:6" x14ac:dyDescent="0.2">
      <c r="A12005" t="s">
        <v>20521</v>
      </c>
      <c r="B12005" t="s">
        <v>17423</v>
      </c>
      <c r="C12005" t="s">
        <v>180</v>
      </c>
      <c r="D12005" t="s">
        <v>14</v>
      </c>
      <c r="E12005" t="s">
        <v>733</v>
      </c>
      <c r="F12005" s="2" t="str">
        <f>HYPERLINK("http://www.otzar.org/book.asp?151970","העולה הגדול - ד""ר נתן בירנבוים")</f>
        <v>העולה הגדול - ד"ר נתן בירנבוים</v>
      </c>
    </row>
    <row r="12006" spans="1:6" x14ac:dyDescent="0.2">
      <c r="A12006" t="s">
        <v>20522</v>
      </c>
      <c r="B12006" t="s">
        <v>20523</v>
      </c>
      <c r="C12006" t="s">
        <v>888</v>
      </c>
      <c r="D12006" t="s">
        <v>20524</v>
      </c>
      <c r="E12006" t="s">
        <v>241</v>
      </c>
      <c r="F12006" s="2" t="str">
        <f>HYPERLINK("http://www.otzar.org/book.asp?56","העולם הקטן")</f>
        <v>העולם הקטן</v>
      </c>
    </row>
    <row r="12007" spans="1:6" x14ac:dyDescent="0.2">
      <c r="A12007" t="s">
        <v>20525</v>
      </c>
      <c r="B12007" t="s">
        <v>20526</v>
      </c>
      <c r="C12007" t="s">
        <v>1166</v>
      </c>
      <c r="D12007" t="s">
        <v>691</v>
      </c>
      <c r="E12007" t="s">
        <v>435</v>
      </c>
      <c r="F12007" s="2" t="str">
        <f>HYPERLINK("http://www.otzar.org/book.asp?26024","העז ביד")</f>
        <v>העז ביד</v>
      </c>
    </row>
    <row r="12008" spans="1:6" x14ac:dyDescent="0.2">
      <c r="A12008" t="s">
        <v>20527</v>
      </c>
      <c r="B12008" t="s">
        <v>2074</v>
      </c>
      <c r="C12008" t="s">
        <v>313</v>
      </c>
      <c r="D12008" t="s">
        <v>14</v>
      </c>
      <c r="E12008" t="s">
        <v>15</v>
      </c>
      <c r="F12008" s="2" t="str">
        <f>HYPERLINK("http://www.otzar.org/book.asp?143881","העטרה ליושנה")</f>
        <v>העטרה ליושנה</v>
      </c>
    </row>
    <row r="12009" spans="1:6" x14ac:dyDescent="0.2">
      <c r="A12009" t="s">
        <v>20528</v>
      </c>
      <c r="B12009" t="s">
        <v>20529</v>
      </c>
      <c r="C12009" t="s">
        <v>366</v>
      </c>
      <c r="D12009" t="s">
        <v>21</v>
      </c>
      <c r="E12009" t="s">
        <v>158</v>
      </c>
      <c r="F12009" s="2" t="str">
        <f>HYPERLINK("http://www.otzar.org/book.asp?606694","העיקר חסר")</f>
        <v>העיקר חסר</v>
      </c>
    </row>
    <row r="12010" spans="1:6" x14ac:dyDescent="0.2">
      <c r="A12010" t="s">
        <v>20530</v>
      </c>
      <c r="B12010" t="s">
        <v>20531</v>
      </c>
      <c r="C12010" t="s">
        <v>111</v>
      </c>
      <c r="D12010" t="s">
        <v>14</v>
      </c>
      <c r="E12010" t="s">
        <v>144</v>
      </c>
      <c r="F12010" s="2" t="str">
        <f>HYPERLINK("http://www.otzar.org/book.asp?630486","העיר ממזרח - 5 כר'")</f>
        <v>העיר ממזרח - 5 כר'</v>
      </c>
    </row>
    <row r="12011" spans="1:6" x14ac:dyDescent="0.2">
      <c r="A12011" t="s">
        <v>20532</v>
      </c>
      <c r="B12011" t="s">
        <v>20533</v>
      </c>
      <c r="C12011" t="s">
        <v>466</v>
      </c>
      <c r="D12011" t="s">
        <v>14998</v>
      </c>
      <c r="E12011" t="s">
        <v>15</v>
      </c>
      <c r="F12011" s="2" t="str">
        <f>HYPERLINK("http://www.otzar.org/book.asp?150857","העירוב בדיל")</f>
        <v>העירוב בדיל</v>
      </c>
    </row>
    <row r="12012" spans="1:6" x14ac:dyDescent="0.2">
      <c r="A12012" t="s">
        <v>20534</v>
      </c>
      <c r="B12012" t="s">
        <v>20535</v>
      </c>
      <c r="C12012" t="s">
        <v>244</v>
      </c>
      <c r="D12012" t="s">
        <v>14</v>
      </c>
      <c r="F12012" s="2" t="str">
        <f>HYPERLINK("http://www.otzar.org/book.asp?609858","העירוב שלנו")</f>
        <v>העירוב שלנו</v>
      </c>
    </row>
    <row r="12013" spans="1:6" x14ac:dyDescent="0.2">
      <c r="A12013" t="s">
        <v>20536</v>
      </c>
      <c r="B12013" t="s">
        <v>15253</v>
      </c>
      <c r="C12013" t="s">
        <v>411</v>
      </c>
      <c r="D12013" t="s">
        <v>90</v>
      </c>
      <c r="F12013" s="2" t="str">
        <f>HYPERLINK("http://www.otzar.org/book.asp?198094","העיתונאי - 2 כר'")</f>
        <v>העיתונאי - 2 כר'</v>
      </c>
    </row>
    <row r="12014" spans="1:6" x14ac:dyDescent="0.2">
      <c r="A12014" t="s">
        <v>20537</v>
      </c>
      <c r="B12014" t="s">
        <v>7031</v>
      </c>
      <c r="C12014" t="s">
        <v>23</v>
      </c>
      <c r="D12014" t="s">
        <v>52</v>
      </c>
      <c r="E12014" t="s">
        <v>733</v>
      </c>
      <c r="F12014" s="2" t="str">
        <f>HYPERLINK("http://www.otzar.org/book.asp?195969","העליה הגדולה מתימן - 2 כר'")</f>
        <v>העליה הגדולה מתימן - 2 כר'</v>
      </c>
    </row>
    <row r="12015" spans="1:6" x14ac:dyDescent="0.2">
      <c r="A12015" t="s">
        <v>20538</v>
      </c>
      <c r="B12015" t="s">
        <v>107</v>
      </c>
      <c r="C12015" t="s">
        <v>383</v>
      </c>
      <c r="D12015" t="s">
        <v>14</v>
      </c>
      <c r="E12015" t="s">
        <v>733</v>
      </c>
      <c r="F12015" s="2" t="str">
        <f>HYPERLINK("http://www.otzar.org/book.asp?84465","העליה לארץ ישראל באספקלריה תורנית")</f>
        <v>העליה לארץ ישראל באספקלריה תורנית</v>
      </c>
    </row>
    <row r="12016" spans="1:6" x14ac:dyDescent="0.2">
      <c r="A12016" t="s">
        <v>20539</v>
      </c>
      <c r="B12016" t="s">
        <v>1750</v>
      </c>
      <c r="C12016" t="s">
        <v>129</v>
      </c>
      <c r="D12016" t="s">
        <v>14</v>
      </c>
      <c r="E12016" t="s">
        <v>3790</v>
      </c>
      <c r="F12016" s="2" t="str">
        <f>HYPERLINK("http://www.otzar.org/book.asp?52232","העליה - 3 כר'")</f>
        <v>העליה - 3 כר'</v>
      </c>
    </row>
    <row r="12017" spans="1:6" x14ac:dyDescent="0.2">
      <c r="A12017" t="s">
        <v>20540</v>
      </c>
      <c r="B12017" t="s">
        <v>20541</v>
      </c>
      <c r="C12017" t="s">
        <v>146</v>
      </c>
      <c r="D12017" t="s">
        <v>52</v>
      </c>
      <c r="E12017" t="s">
        <v>104</v>
      </c>
      <c r="F12017" s="2" t="str">
        <f>HYPERLINK("http://www.otzar.org/book.asp?162028","העלם דבר &lt;חקור דבר&gt;")</f>
        <v>העלם דבר &lt;חקור דבר&gt;</v>
      </c>
    </row>
    <row r="12018" spans="1:6" x14ac:dyDescent="0.2">
      <c r="A12018" t="s">
        <v>20542</v>
      </c>
      <c r="B12018" t="s">
        <v>20543</v>
      </c>
      <c r="F12018" s="2" t="str">
        <f>HYPERLINK("http://www.otzar.org/book.asp?194756","העלם דבר &lt;פשר דבר&gt; - אגרת רב שרירא גאון &lt;באר אברהם")</f>
        <v>העלם דבר &lt;פשר דבר&gt; - אגרת רב שרירא גאון &lt;באר אברהם</v>
      </c>
    </row>
    <row r="12019" spans="1:6" x14ac:dyDescent="0.2">
      <c r="A12019" t="s">
        <v>20544</v>
      </c>
      <c r="B12019" t="s">
        <v>20545</v>
      </c>
      <c r="C12019" t="s">
        <v>111</v>
      </c>
      <c r="D12019" t="s">
        <v>90</v>
      </c>
      <c r="E12019" t="s">
        <v>158</v>
      </c>
      <c r="F12019" s="2" t="str">
        <f>HYPERLINK("http://www.otzar.org/book.asp?629252","העמדת להררי עוז")</f>
        <v>העמדת להררי עוז</v>
      </c>
    </row>
    <row r="12020" spans="1:6" x14ac:dyDescent="0.2">
      <c r="A12020" t="s">
        <v>20546</v>
      </c>
      <c r="B12020" t="s">
        <v>20116</v>
      </c>
      <c r="C12020" t="s">
        <v>454</v>
      </c>
      <c r="D12020" t="s">
        <v>721</v>
      </c>
      <c r="E12020" t="s">
        <v>119</v>
      </c>
      <c r="F12020" s="2" t="str">
        <f>HYPERLINK("http://www.otzar.org/book.asp?174479","העמידה הרוחנית של יהודי רומניה בתקופת השואה")</f>
        <v>העמידה הרוחנית של יהודי רומניה בתקופת השואה</v>
      </c>
    </row>
    <row r="12021" spans="1:6" x14ac:dyDescent="0.2">
      <c r="A12021" t="s">
        <v>20547</v>
      </c>
      <c r="B12021" t="s">
        <v>382</v>
      </c>
      <c r="C12021" t="s">
        <v>624</v>
      </c>
      <c r="D12021" t="s">
        <v>657</v>
      </c>
      <c r="E12021" t="s">
        <v>202</v>
      </c>
      <c r="F12021" s="2" t="str">
        <f>HYPERLINK("http://www.otzar.org/book.asp?61808","העמק - א")</f>
        <v>העמק - א</v>
      </c>
    </row>
    <row r="12022" spans="1:6" x14ac:dyDescent="0.2">
      <c r="A12022" t="s">
        <v>20548</v>
      </c>
      <c r="B12022" t="s">
        <v>489</v>
      </c>
      <c r="C12022" t="s">
        <v>919</v>
      </c>
      <c r="D12022" t="s">
        <v>14</v>
      </c>
      <c r="E12022" t="s">
        <v>202</v>
      </c>
      <c r="F12022" s="2" t="str">
        <f>HYPERLINK("http://www.otzar.org/book.asp?603398","העמק - 74 כר'")</f>
        <v>העמק - 74 כר'</v>
      </c>
    </row>
    <row r="12023" spans="1:6" x14ac:dyDescent="0.2">
      <c r="A12023" t="s">
        <v>20549</v>
      </c>
      <c r="B12023" t="s">
        <v>20550</v>
      </c>
      <c r="C12023" t="s">
        <v>1448</v>
      </c>
      <c r="D12023" t="s">
        <v>412</v>
      </c>
      <c r="E12023" t="s">
        <v>202</v>
      </c>
      <c r="F12023" s="2" t="str">
        <f>HYPERLINK("http://www.otzar.org/book.asp?168701","העמק - 2 כר'")</f>
        <v>העמק - 2 כר'</v>
      </c>
    </row>
    <row r="12024" spans="1:6" x14ac:dyDescent="0.2">
      <c r="A12024" t="s">
        <v>20551</v>
      </c>
      <c r="B12024" t="s">
        <v>20552</v>
      </c>
      <c r="C12024" t="s">
        <v>146</v>
      </c>
      <c r="D12024" t="s">
        <v>147</v>
      </c>
      <c r="E12024" t="s">
        <v>158</v>
      </c>
      <c r="F12024" s="2" t="str">
        <f>HYPERLINK("http://www.otzar.org/book.asp?155015","העץ להשכיל - 3 כר'")</f>
        <v>העץ להשכיל - 3 כר'</v>
      </c>
    </row>
    <row r="12025" spans="1:6" x14ac:dyDescent="0.2">
      <c r="A12025" t="s">
        <v>20553</v>
      </c>
      <c r="B12025" t="s">
        <v>20553</v>
      </c>
      <c r="C12025" t="s">
        <v>1374</v>
      </c>
      <c r="D12025" t="s">
        <v>726</v>
      </c>
      <c r="E12025" t="s">
        <v>7138</v>
      </c>
      <c r="F12025" s="2" t="str">
        <f>HYPERLINK("http://www.otzar.org/book.asp?17682","העץ")</f>
        <v>העץ</v>
      </c>
    </row>
    <row r="12026" spans="1:6" x14ac:dyDescent="0.2">
      <c r="A12026" t="s">
        <v>20554</v>
      </c>
      <c r="B12026" t="s">
        <v>4991</v>
      </c>
      <c r="C12026" t="s">
        <v>71</v>
      </c>
      <c r="D12026" t="s">
        <v>14</v>
      </c>
      <c r="E12026" t="s">
        <v>241</v>
      </c>
      <c r="F12026" s="2" t="str">
        <f>HYPERLINK("http://www.otzar.org/book.asp?6111","העצלות ותוצאותיה")</f>
        <v>העצלות ותוצאותיה</v>
      </c>
    </row>
    <row r="12027" spans="1:6" x14ac:dyDescent="0.2">
      <c r="A12027" t="s">
        <v>20555</v>
      </c>
      <c r="B12027" t="s">
        <v>20556</v>
      </c>
      <c r="C12027" t="s">
        <v>1166</v>
      </c>
      <c r="D12027" t="s">
        <v>610</v>
      </c>
      <c r="E12027" t="s">
        <v>104</v>
      </c>
      <c r="F12027" s="2" t="str">
        <f>HYPERLINK("http://www.otzar.org/book.asp?150145","העקוב למישור")</f>
        <v>העקוב למישור</v>
      </c>
    </row>
    <row r="12028" spans="1:6" x14ac:dyDescent="0.2">
      <c r="A12028" t="s">
        <v>20555</v>
      </c>
      <c r="B12028" t="s">
        <v>4903</v>
      </c>
      <c r="C12028" t="s">
        <v>13</v>
      </c>
      <c r="D12028" t="s">
        <v>14</v>
      </c>
      <c r="E12028" t="s">
        <v>104</v>
      </c>
      <c r="F12028" s="2" t="str">
        <f>HYPERLINK("http://www.otzar.org/book.asp?173792","העקוב למישור")</f>
        <v>העקוב למישור</v>
      </c>
    </row>
    <row r="12029" spans="1:6" x14ac:dyDescent="0.2">
      <c r="A12029" t="s">
        <v>20555</v>
      </c>
      <c r="B12029" t="s">
        <v>1066</v>
      </c>
      <c r="C12029" t="s">
        <v>523</v>
      </c>
      <c r="D12029" t="s">
        <v>14</v>
      </c>
      <c r="E12029" t="s">
        <v>144</v>
      </c>
      <c r="F12029" s="2" t="str">
        <f>HYPERLINK("http://www.otzar.org/book.asp?200031","העקוב למישור")</f>
        <v>העקוב למישור</v>
      </c>
    </row>
    <row r="12030" spans="1:6" x14ac:dyDescent="0.2">
      <c r="A12030" t="s">
        <v>20557</v>
      </c>
      <c r="B12030" t="s">
        <v>20558</v>
      </c>
      <c r="C12030" t="s">
        <v>20</v>
      </c>
      <c r="D12030" t="s">
        <v>90</v>
      </c>
      <c r="E12030" t="s">
        <v>15</v>
      </c>
      <c r="F12030" s="2" t="str">
        <f>HYPERLINK("http://www.otzar.org/book.asp?619400","הערב נא")</f>
        <v>הערב נא</v>
      </c>
    </row>
    <row r="12031" spans="1:6" x14ac:dyDescent="0.2">
      <c r="A12031" t="s">
        <v>20559</v>
      </c>
      <c r="B12031" t="s">
        <v>20560</v>
      </c>
      <c r="C12031" t="s">
        <v>180</v>
      </c>
      <c r="D12031" t="s">
        <v>563</v>
      </c>
      <c r="E12031" t="s">
        <v>246</v>
      </c>
      <c r="F12031" s="2" t="str">
        <f>HYPERLINK("http://www.otzar.org/book.asp?181239","הערה אודות המנהג לאכול דבש בעשי""ת")</f>
        <v>הערה אודות המנהג לאכול דבש בעשי"ת</v>
      </c>
    </row>
    <row r="12032" spans="1:6" x14ac:dyDescent="0.2">
      <c r="A12032" t="s">
        <v>20561</v>
      </c>
      <c r="B12032" t="s">
        <v>20562</v>
      </c>
      <c r="C12032" t="s">
        <v>20563</v>
      </c>
      <c r="D12032" t="s">
        <v>260</v>
      </c>
      <c r="E12032" t="s">
        <v>144</v>
      </c>
      <c r="F12032" s="2" t="str">
        <f>HYPERLINK("http://www.otzar.org/book.asp?10434","הערוך &lt;יקר הערך&gt; - 3 כר'")</f>
        <v>הערוך &lt;יקר הערך&gt; - 3 כר'</v>
      </c>
    </row>
    <row r="12033" spans="1:6" x14ac:dyDescent="0.2">
      <c r="A12033" t="s">
        <v>20564</v>
      </c>
      <c r="B12033" t="s">
        <v>20565</v>
      </c>
      <c r="C12033" t="s">
        <v>20566</v>
      </c>
      <c r="D12033" t="s">
        <v>20567</v>
      </c>
      <c r="E12033" t="s">
        <v>144</v>
      </c>
      <c r="F12033" s="2" t="str">
        <f>HYPERLINK("http://www.otzar.org/book.asp?151794","הערוך &lt;דפו""ר&gt;")</f>
        <v>הערוך &lt;דפו"ר&gt;</v>
      </c>
    </row>
    <row r="12034" spans="1:6" x14ac:dyDescent="0.2">
      <c r="A12034" t="s">
        <v>20568</v>
      </c>
      <c r="B12034" t="s">
        <v>20565</v>
      </c>
      <c r="C12034" t="s">
        <v>20</v>
      </c>
      <c r="D12034" t="s">
        <v>260</v>
      </c>
      <c r="E12034" t="s">
        <v>803</v>
      </c>
      <c r="F12034" s="2" t="str">
        <f>HYPERLINK("http://www.otzar.org/book.asp?197289","הערוך &lt;מהדורת שלזינגר&gt;")</f>
        <v>הערוך &lt;מהדורת שלזינגר&gt;</v>
      </c>
    </row>
    <row r="12035" spans="1:6" x14ac:dyDescent="0.2">
      <c r="A12035" t="s">
        <v>20569</v>
      </c>
      <c r="B12035" t="s">
        <v>20565</v>
      </c>
      <c r="C12035" t="s">
        <v>3246</v>
      </c>
      <c r="D12035" t="s">
        <v>283</v>
      </c>
      <c r="E12035" t="s">
        <v>1211</v>
      </c>
      <c r="F12035" s="2" t="str">
        <f>HYPERLINK("http://www.otzar.org/book.asp?300501","הערוך &lt;עם שלחן הערוך&gt; חלק א")</f>
        <v>הערוך &lt;עם שלחן הערוך&gt; חלק א</v>
      </c>
    </row>
    <row r="12036" spans="1:6" x14ac:dyDescent="0.2">
      <c r="A12036" t="s">
        <v>20570</v>
      </c>
      <c r="B12036" t="s">
        <v>20565</v>
      </c>
      <c r="C12036" t="s">
        <v>4707</v>
      </c>
      <c r="D12036" t="s">
        <v>744</v>
      </c>
      <c r="E12036" t="s">
        <v>674</v>
      </c>
      <c r="F12036" s="2" t="str">
        <f>HYPERLINK("http://www.otzar.org/book.asp?22610","הערוך הקצר - 2 כר'")</f>
        <v>הערוך הקצר - 2 כר'</v>
      </c>
    </row>
    <row r="12037" spans="1:6" x14ac:dyDescent="0.2">
      <c r="A12037" t="s">
        <v>20571</v>
      </c>
      <c r="B12037" t="s">
        <v>20572</v>
      </c>
      <c r="C12037" t="s">
        <v>576</v>
      </c>
      <c r="D12037" t="s">
        <v>535</v>
      </c>
      <c r="E12037" t="s">
        <v>1211</v>
      </c>
      <c r="F12037" s="2" t="str">
        <f>HYPERLINK("http://www.otzar.org/book.asp?16522","הערוך השלם - תוספות הערוך השלם")</f>
        <v>הערוך השלם - תוספות הערוך השלם</v>
      </c>
    </row>
    <row r="12038" spans="1:6" x14ac:dyDescent="0.2">
      <c r="A12038" t="s">
        <v>20573</v>
      </c>
      <c r="B12038" t="s">
        <v>20565</v>
      </c>
      <c r="C12038" t="s">
        <v>20574</v>
      </c>
      <c r="D12038" t="s">
        <v>535</v>
      </c>
      <c r="E12038" t="s">
        <v>1211</v>
      </c>
      <c r="F12038" s="2" t="str">
        <f>HYPERLINK("http://www.otzar.org/book.asp?304","הערוך השלם - 8 כר'")</f>
        <v>הערוך השלם - 8 כר'</v>
      </c>
    </row>
    <row r="12039" spans="1:6" x14ac:dyDescent="0.2">
      <c r="A12039" t="s">
        <v>20575</v>
      </c>
      <c r="B12039" t="s">
        <v>20576</v>
      </c>
      <c r="C12039" t="s">
        <v>87</v>
      </c>
      <c r="D12039" t="s">
        <v>52</v>
      </c>
      <c r="E12039" t="s">
        <v>1097</v>
      </c>
      <c r="F12039" s="2" t="str">
        <f>HYPERLINK("http://www.otzar.org/book.asp?607616","הערוך על הירושלמי &lt;מהדורת מייזליש&gt; - 2 כר'")</f>
        <v>הערוך על הירושלמי &lt;מהדורת מייזליש&gt; - 2 כר'</v>
      </c>
    </row>
    <row r="12040" spans="1:6" x14ac:dyDescent="0.2">
      <c r="A12040" t="s">
        <v>20577</v>
      </c>
      <c r="B12040" t="s">
        <v>20576</v>
      </c>
      <c r="C12040" t="s">
        <v>383</v>
      </c>
      <c r="D12040" t="s">
        <v>52</v>
      </c>
      <c r="E12040" t="s">
        <v>144</v>
      </c>
      <c r="F12040" s="2" t="str">
        <f>HYPERLINK("http://www.otzar.org/book.asp?606213","הערוך על הש""ס &lt;מהדורת מייזליש&gt; - 3 כר'")</f>
        <v>הערוך על הש"ס &lt;מהדורת מייזליש&gt; - 3 כר'</v>
      </c>
    </row>
    <row r="12041" spans="1:6" x14ac:dyDescent="0.2">
      <c r="A12041" t="s">
        <v>20578</v>
      </c>
      <c r="B12041" t="s">
        <v>20565</v>
      </c>
      <c r="C12041" t="s">
        <v>13</v>
      </c>
      <c r="D12041" t="s">
        <v>14</v>
      </c>
      <c r="F12041" s="2" t="str">
        <f>HYPERLINK("http://www.otzar.org/book.asp?142593","הערוך על הש""ס &lt;מהדורת עוז והדר&gt;")</f>
        <v>הערוך על הש"ס &lt;מהדורת עוז והדר&gt;</v>
      </c>
    </row>
    <row r="12042" spans="1:6" x14ac:dyDescent="0.2">
      <c r="A12042" t="s">
        <v>20579</v>
      </c>
      <c r="B12042" t="s">
        <v>20565</v>
      </c>
      <c r="C12042" t="s">
        <v>20580</v>
      </c>
      <c r="D12042" t="s">
        <v>49</v>
      </c>
      <c r="F12042" s="2" t="str">
        <f>HYPERLINK("http://www.otzar.org/book.asp?53510","הערוך - 9 כר'")</f>
        <v>הערוך - 9 כר'</v>
      </c>
    </row>
    <row r="12043" spans="1:6" x14ac:dyDescent="0.2">
      <c r="A12043" t="s">
        <v>20581</v>
      </c>
      <c r="B12043" t="s">
        <v>4419</v>
      </c>
      <c r="C12043" t="s">
        <v>767</v>
      </c>
      <c r="D12043" t="s">
        <v>14</v>
      </c>
      <c r="E12043" t="s">
        <v>158</v>
      </c>
      <c r="F12043" s="2" t="str">
        <f>HYPERLINK("http://www.otzar.org/book.asp?52852","הערות אברהם יעקב יצחקי - א")</f>
        <v>הערות אברהם יעקב יצחקי - א</v>
      </c>
    </row>
    <row r="12044" spans="1:6" x14ac:dyDescent="0.2">
      <c r="A12044" t="s">
        <v>20582</v>
      </c>
      <c r="B12044" t="s">
        <v>4419</v>
      </c>
      <c r="C12044" t="s">
        <v>189</v>
      </c>
      <c r="D12044" t="s">
        <v>14</v>
      </c>
      <c r="E12044" t="s">
        <v>144</v>
      </c>
      <c r="F12044" s="2" t="str">
        <f>HYPERLINK("http://www.otzar.org/book.asp?52867","הערות אפיקי איל")</f>
        <v>הערות אפיקי איל</v>
      </c>
    </row>
    <row r="12045" spans="1:6" x14ac:dyDescent="0.2">
      <c r="A12045" t="s">
        <v>20583</v>
      </c>
      <c r="B12045" t="s">
        <v>20584</v>
      </c>
      <c r="C12045" t="s">
        <v>111</v>
      </c>
      <c r="D12045" t="s">
        <v>21</v>
      </c>
      <c r="F12045" s="2" t="str">
        <f>HYPERLINK("http://www.otzar.org/book.asp?621857","הערות בדיני תווך שדכנות ושכירות פועלים")</f>
        <v>הערות בדיני תווך שדכנות ושכירות פועלים</v>
      </c>
    </row>
    <row r="12046" spans="1:6" x14ac:dyDescent="0.2">
      <c r="A12046" t="s">
        <v>20585</v>
      </c>
      <c r="B12046" t="s">
        <v>20584</v>
      </c>
      <c r="C12046" t="s">
        <v>111</v>
      </c>
      <c r="D12046" t="s">
        <v>21</v>
      </c>
      <c r="F12046" s="2" t="str">
        <f>HYPERLINK("http://www.otzar.org/book.asp?621856","הערות בדיני תפילה וברכות - ר""ה, יוה""כ וסוכות")</f>
        <v>הערות בדיני תפילה וברכות - ר"ה, יוה"כ וסוכות</v>
      </c>
    </row>
    <row r="12047" spans="1:6" x14ac:dyDescent="0.2">
      <c r="A12047" t="s">
        <v>20586</v>
      </c>
      <c r="B12047" t="s">
        <v>20584</v>
      </c>
      <c r="C12047" t="s">
        <v>68</v>
      </c>
      <c r="D12047" t="s">
        <v>21</v>
      </c>
      <c r="E12047" t="s">
        <v>15</v>
      </c>
      <c r="F12047" s="2" t="str">
        <f>HYPERLINK("http://www.otzar.org/book.asp?193472","הערות בדיני תפילה")</f>
        <v>הערות בדיני תפילה</v>
      </c>
    </row>
    <row r="12048" spans="1:6" x14ac:dyDescent="0.2">
      <c r="A12048" t="s">
        <v>20587</v>
      </c>
      <c r="B12048" t="s">
        <v>20584</v>
      </c>
      <c r="C12048" t="s">
        <v>111</v>
      </c>
      <c r="D12048" t="s">
        <v>21</v>
      </c>
      <c r="E12048" t="s">
        <v>15</v>
      </c>
      <c r="F12048" s="2" t="str">
        <f>HYPERLINK("http://www.otzar.org/book.asp?621100","הערות בדיני תפילה, חזרת הש""ץ וקדיש")</f>
        <v>הערות בדיני תפילה, חזרת הש"ץ וקדיש</v>
      </c>
    </row>
    <row r="12049" spans="1:6" x14ac:dyDescent="0.2">
      <c r="A12049" t="s">
        <v>20588</v>
      </c>
      <c r="B12049" t="s">
        <v>20589</v>
      </c>
      <c r="C12049" t="s">
        <v>20</v>
      </c>
      <c r="D12049" t="s">
        <v>90</v>
      </c>
      <c r="E12049" t="s">
        <v>15</v>
      </c>
      <c r="F12049" s="2" t="str">
        <f>HYPERLINK("http://www.otzar.org/book.asp?170717","הערות בהלכות התלויות בארץ ובענינים שונים")</f>
        <v>הערות בהלכות התלויות בארץ ובענינים שונים</v>
      </c>
    </row>
    <row r="12050" spans="1:6" x14ac:dyDescent="0.2">
      <c r="A12050" t="s">
        <v>20590</v>
      </c>
      <c r="B12050" t="s">
        <v>20591</v>
      </c>
      <c r="C12050" t="s">
        <v>51</v>
      </c>
      <c r="D12050" t="s">
        <v>52</v>
      </c>
      <c r="E12050" t="s">
        <v>84</v>
      </c>
      <c r="F12050" s="2" t="str">
        <f>HYPERLINK("http://www.otzar.org/book.asp?53057","הערות בירורים וביאורים - 3 כר'")</f>
        <v>הערות בירורים וביאורים - 3 כר'</v>
      </c>
    </row>
    <row r="12051" spans="1:6" x14ac:dyDescent="0.2">
      <c r="A12051" t="s">
        <v>20592</v>
      </c>
      <c r="B12051" t="s">
        <v>20593</v>
      </c>
      <c r="C12051" t="s">
        <v>454</v>
      </c>
      <c r="D12051" t="s">
        <v>52</v>
      </c>
      <c r="E12051" t="s">
        <v>144</v>
      </c>
      <c r="F12051" s="2" t="str">
        <f>HYPERLINK("http://www.otzar.org/book.asp?62977","הערות במסכת בבא קמא")</f>
        <v>הערות במסכת בבא קמא</v>
      </c>
    </row>
    <row r="12052" spans="1:6" x14ac:dyDescent="0.2">
      <c r="A12052" t="s">
        <v>20594</v>
      </c>
      <c r="B12052" t="s">
        <v>20593</v>
      </c>
      <c r="C12052" t="s">
        <v>454</v>
      </c>
      <c r="D12052" t="s">
        <v>52</v>
      </c>
      <c r="E12052" t="s">
        <v>144</v>
      </c>
      <c r="F12052" s="2" t="str">
        <f>HYPERLINK("http://www.otzar.org/book.asp?62976","הערות במסכת מכות")</f>
        <v>הערות במסכת מכות</v>
      </c>
    </row>
    <row r="12053" spans="1:6" x14ac:dyDescent="0.2">
      <c r="A12053" t="s">
        <v>20595</v>
      </c>
      <c r="B12053" t="s">
        <v>2396</v>
      </c>
      <c r="C12053" t="s">
        <v>411</v>
      </c>
      <c r="D12053" t="s">
        <v>1076</v>
      </c>
      <c r="E12053" t="s">
        <v>20596</v>
      </c>
      <c r="F12053" s="2" t="str">
        <f>HYPERLINK("http://www.otzar.org/book.asp?617326","הערות בסוגיות הש""ס")</f>
        <v>הערות בסוגיות הש"ס</v>
      </c>
    </row>
    <row r="12054" spans="1:6" x14ac:dyDescent="0.2">
      <c r="A12054" t="s">
        <v>20597</v>
      </c>
      <c r="B12054" t="s">
        <v>1549</v>
      </c>
      <c r="C12054" t="s">
        <v>313</v>
      </c>
      <c r="D12054" t="s">
        <v>1550</v>
      </c>
      <c r="E12054" t="s">
        <v>15</v>
      </c>
      <c r="F12054" s="2" t="str">
        <f>HYPERLINK("http://www.otzar.org/book.asp?189220","הערות בענייני בר מצוה ותפילין")</f>
        <v>הערות בענייני בר מצוה ותפילין</v>
      </c>
    </row>
    <row r="12055" spans="1:6" x14ac:dyDescent="0.2">
      <c r="A12055" t="s">
        <v>20598</v>
      </c>
      <c r="B12055" t="s">
        <v>20599</v>
      </c>
      <c r="C12055" t="s">
        <v>146</v>
      </c>
      <c r="D12055" t="s">
        <v>52</v>
      </c>
      <c r="E12055" t="s">
        <v>130</v>
      </c>
      <c r="F12055" s="2" t="str">
        <f>HYPERLINK("http://www.otzar.org/book.asp?166127","הערות בעניני הפסח")</f>
        <v>הערות בעניני הפסח</v>
      </c>
    </row>
    <row r="12056" spans="1:6" x14ac:dyDescent="0.2">
      <c r="A12056" t="s">
        <v>20600</v>
      </c>
      <c r="B12056" t="s">
        <v>20599</v>
      </c>
      <c r="C12056" t="s">
        <v>454</v>
      </c>
      <c r="D12056" t="s">
        <v>52</v>
      </c>
      <c r="E12056" t="s">
        <v>130</v>
      </c>
      <c r="F12056" s="2" t="str">
        <f>HYPERLINK("http://www.otzar.org/book.asp?166128","הערות בעניני חג הסוכות")</f>
        <v>הערות בעניני חג הסוכות</v>
      </c>
    </row>
    <row r="12057" spans="1:6" x14ac:dyDescent="0.2">
      <c r="A12057" t="s">
        <v>20601</v>
      </c>
      <c r="B12057" t="s">
        <v>20599</v>
      </c>
      <c r="C12057" t="s">
        <v>129</v>
      </c>
      <c r="D12057" t="s">
        <v>52</v>
      </c>
      <c r="E12057" t="s">
        <v>1157</v>
      </c>
      <c r="F12057" s="2" t="str">
        <f>HYPERLINK("http://www.otzar.org/book.asp?166131","הערות בעניני חנוכה ועוד עניינים")</f>
        <v>הערות בעניני חנוכה ועוד עניינים</v>
      </c>
    </row>
    <row r="12058" spans="1:6" x14ac:dyDescent="0.2">
      <c r="A12058" t="s">
        <v>20602</v>
      </c>
      <c r="B12058" t="s">
        <v>20599</v>
      </c>
      <c r="C12058" t="s">
        <v>422</v>
      </c>
      <c r="D12058" t="s">
        <v>52</v>
      </c>
      <c r="E12058" t="s">
        <v>15</v>
      </c>
      <c r="F12058" s="2" t="str">
        <f>HYPERLINK("http://www.otzar.org/book.asp?166129","הערות בעניני מילה ושאר ענינים")</f>
        <v>הערות בעניני מילה ושאר ענינים</v>
      </c>
    </row>
    <row r="12059" spans="1:6" x14ac:dyDescent="0.2">
      <c r="A12059" t="s">
        <v>20603</v>
      </c>
      <c r="B12059" t="s">
        <v>20599</v>
      </c>
      <c r="C12059" t="s">
        <v>454</v>
      </c>
      <c r="D12059" t="s">
        <v>52</v>
      </c>
      <c r="E12059" t="s">
        <v>15</v>
      </c>
      <c r="F12059" s="2" t="str">
        <f>HYPERLINK("http://www.otzar.org/book.asp?166130","הערות בעניני תחומין")</f>
        <v>הערות בעניני תחומין</v>
      </c>
    </row>
    <row r="12060" spans="1:6" x14ac:dyDescent="0.2">
      <c r="A12060" t="s">
        <v>20604</v>
      </c>
      <c r="B12060" t="s">
        <v>4988</v>
      </c>
      <c r="C12060" t="s">
        <v>1268</v>
      </c>
      <c r="D12060" t="s">
        <v>52</v>
      </c>
      <c r="E12060" t="s">
        <v>104</v>
      </c>
      <c r="F12060" s="2" t="str">
        <f>HYPERLINK("http://www.otzar.org/book.asp?153411","הערות בצניעות")</f>
        <v>הערות בצניעות</v>
      </c>
    </row>
    <row r="12061" spans="1:6" x14ac:dyDescent="0.2">
      <c r="A12061" t="s">
        <v>20605</v>
      </c>
      <c r="B12061" t="s">
        <v>206</v>
      </c>
      <c r="C12061" t="s">
        <v>151</v>
      </c>
      <c r="D12061" t="s">
        <v>90</v>
      </c>
      <c r="E12061" t="s">
        <v>15</v>
      </c>
      <c r="F12061" s="2" t="str">
        <f>HYPERLINK("http://www.otzar.org/book.asp?620740","הערות וביאורים בהל' תשובה לרמב""ם")</f>
        <v>הערות וביאורים בהל' תשובה לרמב"ם</v>
      </c>
    </row>
    <row r="12062" spans="1:6" x14ac:dyDescent="0.2">
      <c r="A12062" t="s">
        <v>20606</v>
      </c>
      <c r="B12062" t="s">
        <v>9179</v>
      </c>
      <c r="C12062" t="s">
        <v>20</v>
      </c>
      <c r="D12062" t="s">
        <v>52</v>
      </c>
      <c r="E12062" t="s">
        <v>104</v>
      </c>
      <c r="F12062" s="2" t="str">
        <f>HYPERLINK("http://www.otzar.org/book.asp?623219","הערות וביאורים בספר מוצל מאש")</f>
        <v>הערות וביאורים בספר מוצל מאש</v>
      </c>
    </row>
    <row r="12063" spans="1:6" x14ac:dyDescent="0.2">
      <c r="A12063" t="s">
        <v>20607</v>
      </c>
      <c r="B12063" t="s">
        <v>20608</v>
      </c>
      <c r="C12063" t="s">
        <v>114</v>
      </c>
      <c r="D12063" t="s">
        <v>52</v>
      </c>
      <c r="E12063" t="s">
        <v>144</v>
      </c>
      <c r="F12063" s="2" t="str">
        <f>HYPERLINK("http://www.otzar.org/book.asp?163010","הערות וביאורים בעניני טהרות")</f>
        <v>הערות וביאורים בעניני טהרות</v>
      </c>
    </row>
    <row r="12064" spans="1:6" x14ac:dyDescent="0.2">
      <c r="A12064" t="s">
        <v>20609</v>
      </c>
      <c r="B12064" t="s">
        <v>20599</v>
      </c>
      <c r="C12064" t="s">
        <v>103</v>
      </c>
      <c r="D12064" t="s">
        <v>52</v>
      </c>
      <c r="E12064" t="s">
        <v>144</v>
      </c>
      <c r="F12064" s="2" t="str">
        <f>HYPERLINK("http://www.otzar.org/book.asp?166996","הערות וביאורים בעניני עירובין")</f>
        <v>הערות וביאורים בעניני עירובין</v>
      </c>
    </row>
    <row r="12065" spans="1:6" x14ac:dyDescent="0.2">
      <c r="A12065" t="s">
        <v>20610</v>
      </c>
      <c r="B12065" t="s">
        <v>20599</v>
      </c>
      <c r="C12065" t="s">
        <v>454</v>
      </c>
      <c r="D12065" t="s">
        <v>52</v>
      </c>
      <c r="E12065" t="s">
        <v>144</v>
      </c>
      <c r="F12065" s="2" t="str">
        <f>HYPERLINK("http://www.otzar.org/book.asp?166997","הערות וביאורים בעניני ריבית")</f>
        <v>הערות וביאורים בעניני ריבית</v>
      </c>
    </row>
    <row r="12066" spans="1:6" x14ac:dyDescent="0.2">
      <c r="A12066" t="s">
        <v>20611</v>
      </c>
      <c r="B12066" t="s">
        <v>20612</v>
      </c>
      <c r="C12066" t="s">
        <v>189</v>
      </c>
      <c r="D12066" t="s">
        <v>52</v>
      </c>
      <c r="E12066" t="s">
        <v>144</v>
      </c>
      <c r="F12066" s="2" t="str">
        <f>HYPERLINK("http://www.otzar.org/book.asp?145399","הערות וביאורים על מסכת נדה")</f>
        <v>הערות וביאורים על מסכת נדה</v>
      </c>
    </row>
    <row r="12067" spans="1:6" x14ac:dyDescent="0.2">
      <c r="A12067" t="s">
        <v>20613</v>
      </c>
      <c r="B12067" t="s">
        <v>20614</v>
      </c>
      <c r="C12067" t="s">
        <v>20</v>
      </c>
      <c r="D12067" t="s">
        <v>90</v>
      </c>
      <c r="F12067" s="2" t="str">
        <f>HYPERLINK("http://www.otzar.org/book.asp?614395","הערות וביאורים על סדר המשנה ברורה")</f>
        <v>הערות וביאורים על סדר המשנה ברורה</v>
      </c>
    </row>
    <row r="12068" spans="1:6" x14ac:dyDescent="0.2">
      <c r="A12068" t="s">
        <v>20615</v>
      </c>
      <c r="B12068" t="s">
        <v>7181</v>
      </c>
      <c r="C12068" t="s">
        <v>411</v>
      </c>
      <c r="D12068" t="s">
        <v>52</v>
      </c>
      <c r="E12068" t="s">
        <v>15</v>
      </c>
      <c r="F12068" s="2" t="str">
        <f>HYPERLINK("http://www.otzar.org/book.asp?600576","הערות וביאורים - רמב""ם")</f>
        <v>הערות וביאורים - רמב"ם</v>
      </c>
    </row>
    <row r="12069" spans="1:6" x14ac:dyDescent="0.2">
      <c r="A12069" t="s">
        <v>20616</v>
      </c>
      <c r="B12069" t="s">
        <v>20617</v>
      </c>
      <c r="C12069" t="s">
        <v>133</v>
      </c>
      <c r="D12069" t="s">
        <v>1273</v>
      </c>
      <c r="E12069" t="s">
        <v>144</v>
      </c>
      <c r="F12069" s="2" t="str">
        <f>HYPERLINK("http://www.otzar.org/book.asp?603840","הערות וביאורים - סוטה")</f>
        <v>הערות וביאורים - סוטה</v>
      </c>
    </row>
    <row r="12070" spans="1:6" x14ac:dyDescent="0.2">
      <c r="A12070" t="s">
        <v>20618</v>
      </c>
      <c r="B12070" t="s">
        <v>20619</v>
      </c>
      <c r="C12070" t="s">
        <v>20</v>
      </c>
      <c r="D12070" t="s">
        <v>5172</v>
      </c>
      <c r="E12070" t="s">
        <v>144</v>
      </c>
      <c r="F12070" s="2" t="str">
        <f>HYPERLINK("http://www.otzar.org/book.asp?162807","הערות וביאורים - שנים אוחזין")</f>
        <v>הערות וביאורים - שנים אוחזין</v>
      </c>
    </row>
    <row r="12071" spans="1:6" x14ac:dyDescent="0.2">
      <c r="A12071" t="s">
        <v>20620</v>
      </c>
      <c r="B12071" t="s">
        <v>20621</v>
      </c>
      <c r="C12071" t="s">
        <v>68</v>
      </c>
      <c r="D12071" t="s">
        <v>52</v>
      </c>
      <c r="E12071" t="s">
        <v>1517</v>
      </c>
      <c r="F12071" s="2" t="str">
        <f>HYPERLINK("http://www.otzar.org/book.asp?620874","הערות והארות בסדר עבודת יום הכיפורים")</f>
        <v>הערות והארות בסדר עבודת יום הכיפורים</v>
      </c>
    </row>
    <row r="12072" spans="1:6" x14ac:dyDescent="0.2">
      <c r="A12072" t="s">
        <v>20622</v>
      </c>
      <c r="B12072" t="s">
        <v>20623</v>
      </c>
      <c r="C12072" t="s">
        <v>111</v>
      </c>
      <c r="D12072" t="s">
        <v>367</v>
      </c>
      <c r="E12072" t="s">
        <v>130</v>
      </c>
      <c r="F12072" s="2" t="str">
        <f>HYPERLINK("http://www.otzar.org/book.asp?626225","הערות והארות בעניני אפית מצות")</f>
        <v>הערות והארות בעניני אפית מצות</v>
      </c>
    </row>
    <row r="12073" spans="1:6" x14ac:dyDescent="0.2">
      <c r="A12073" t="s">
        <v>20624</v>
      </c>
      <c r="B12073" t="s">
        <v>20625</v>
      </c>
      <c r="C12073" t="s">
        <v>1202</v>
      </c>
      <c r="D12073" t="s">
        <v>20626</v>
      </c>
      <c r="E12073" t="s">
        <v>158</v>
      </c>
      <c r="F12073" s="2" t="str">
        <f>HYPERLINK("http://www.otzar.org/book.asp?626496","הערות והארות בפירוש הרמב""ן על התורה")</f>
        <v>הערות והארות בפירוש הרמב"ן על התורה</v>
      </c>
    </row>
    <row r="12074" spans="1:6" x14ac:dyDescent="0.2">
      <c r="A12074" t="s">
        <v>20627</v>
      </c>
      <c r="B12074" t="s">
        <v>20628</v>
      </c>
      <c r="C12074" t="s">
        <v>23</v>
      </c>
      <c r="D12074" t="s">
        <v>80</v>
      </c>
      <c r="E12074" t="s">
        <v>144</v>
      </c>
      <c r="F12074" s="2" t="str">
        <f>HYPERLINK("http://www.otzar.org/book.asp?195604","הערות והארות")</f>
        <v>הערות והארות</v>
      </c>
    </row>
    <row r="12075" spans="1:6" x14ac:dyDescent="0.2">
      <c r="A12075" t="s">
        <v>20629</v>
      </c>
      <c r="B12075" t="s">
        <v>20630</v>
      </c>
      <c r="C12075" t="s">
        <v>13</v>
      </c>
      <c r="D12075" t="s">
        <v>52</v>
      </c>
      <c r="E12075" t="s">
        <v>144</v>
      </c>
      <c r="F12075" s="2" t="str">
        <f>HYPERLINK("http://www.otzar.org/book.asp?145400","הערות והארות - מנחות")</f>
        <v>הערות והארות - מנחות</v>
      </c>
    </row>
    <row r="12076" spans="1:6" x14ac:dyDescent="0.2">
      <c r="A12076" t="s">
        <v>20631</v>
      </c>
      <c r="B12076" t="s">
        <v>9179</v>
      </c>
      <c r="C12076" t="s">
        <v>51</v>
      </c>
      <c r="D12076" t="s">
        <v>52</v>
      </c>
      <c r="E12076" t="s">
        <v>144</v>
      </c>
      <c r="F12076" s="2" t="str">
        <f>HYPERLINK("http://www.otzar.org/book.asp?623224","הערות וחידושים במסכת ב""ק")</f>
        <v>הערות וחידושים במסכת ב"ק</v>
      </c>
    </row>
    <row r="12077" spans="1:6" x14ac:dyDescent="0.2">
      <c r="A12077" t="s">
        <v>20632</v>
      </c>
      <c r="B12077" t="s">
        <v>9179</v>
      </c>
      <c r="C12077" t="s">
        <v>51</v>
      </c>
      <c r="D12077" t="s">
        <v>52</v>
      </c>
      <c r="E12077" t="s">
        <v>144</v>
      </c>
      <c r="F12077" s="2" t="str">
        <f>HYPERLINK("http://www.otzar.org/book.asp?623225","הערות וחידושים במסכת גיטין")</f>
        <v>הערות וחידושים במסכת גיטין</v>
      </c>
    </row>
    <row r="12078" spans="1:6" x14ac:dyDescent="0.2">
      <c r="A12078" t="s">
        <v>20633</v>
      </c>
      <c r="B12078" t="s">
        <v>20634</v>
      </c>
      <c r="C12078" t="s">
        <v>366</v>
      </c>
      <c r="D12078" t="s">
        <v>21</v>
      </c>
      <c r="F12078" s="2" t="str">
        <f>HYPERLINK("http://www.otzar.org/book.asp?604898","הערות וחידושים בעניני קדשים")</f>
        <v>הערות וחידושים בעניני קדשים</v>
      </c>
    </row>
    <row r="12079" spans="1:6" x14ac:dyDescent="0.2">
      <c r="A12079" t="s">
        <v>20635</v>
      </c>
      <c r="B12079" t="s">
        <v>20636</v>
      </c>
      <c r="C12079" t="s">
        <v>383</v>
      </c>
      <c r="D12079" t="s">
        <v>1550</v>
      </c>
      <c r="E12079" t="s">
        <v>144</v>
      </c>
      <c r="F12079" s="2" t="str">
        <f>HYPERLINK("http://www.otzar.org/book.asp?158809","הערות וחידושים - נדרים פ""ק")</f>
        <v>הערות וחידושים - נדרים פ"ק</v>
      </c>
    </row>
    <row r="12080" spans="1:6" x14ac:dyDescent="0.2">
      <c r="A12080" t="s">
        <v>20637</v>
      </c>
      <c r="B12080" t="s">
        <v>20638</v>
      </c>
      <c r="C12080" t="s">
        <v>466</v>
      </c>
      <c r="D12080" t="s">
        <v>52</v>
      </c>
      <c r="E12080" t="s">
        <v>144</v>
      </c>
      <c r="F12080" s="2" t="str">
        <f>HYPERLINK("http://www.otzar.org/book.asp?143657","הערות וחידושים - 9 כר'")</f>
        <v>הערות וחידושים - 9 כר'</v>
      </c>
    </row>
    <row r="12081" spans="1:6" x14ac:dyDescent="0.2">
      <c r="A12081" t="s">
        <v>20639</v>
      </c>
      <c r="B12081" t="s">
        <v>20640</v>
      </c>
      <c r="C12081" t="s">
        <v>422</v>
      </c>
      <c r="D12081" t="s">
        <v>14</v>
      </c>
      <c r="E12081" t="s">
        <v>20641</v>
      </c>
      <c r="F12081" s="2" t="str">
        <f>HYPERLINK("http://www.otzar.org/book.asp?179655","הערות וציונים לספר תניא קדישא")</f>
        <v>הערות וציונים לספר תניא קדישא</v>
      </c>
    </row>
    <row r="12082" spans="1:6" x14ac:dyDescent="0.2">
      <c r="A12082" t="s">
        <v>20642</v>
      </c>
      <c r="B12082" t="s">
        <v>20643</v>
      </c>
      <c r="C12082" t="s">
        <v>151</v>
      </c>
      <c r="D12082" t="s">
        <v>52</v>
      </c>
      <c r="E12082" t="s">
        <v>144</v>
      </c>
      <c r="F12082" s="2" t="str">
        <f>HYPERLINK("http://www.otzar.org/book.asp?620363","הערות וציונים - 23 כר'")</f>
        <v>הערות וציונים - 23 כר'</v>
      </c>
    </row>
    <row r="12083" spans="1:6" x14ac:dyDescent="0.2">
      <c r="A12083" t="s">
        <v>20644</v>
      </c>
      <c r="B12083" t="s">
        <v>20645</v>
      </c>
      <c r="C12083" t="s">
        <v>20</v>
      </c>
      <c r="D12083" t="s">
        <v>14</v>
      </c>
      <c r="E12083" t="s">
        <v>144</v>
      </c>
      <c r="F12083" s="2" t="str">
        <f>HYPERLINK("http://www.otzar.org/book.asp?165283","הערות וציונים - 5 כר'")</f>
        <v>הערות וציונים - 5 כר'</v>
      </c>
    </row>
    <row r="12084" spans="1:6" x14ac:dyDescent="0.2">
      <c r="A12084" t="s">
        <v>20646</v>
      </c>
      <c r="B12084" t="s">
        <v>20647</v>
      </c>
      <c r="C12084" t="s">
        <v>550</v>
      </c>
      <c r="D12084" t="s">
        <v>15591</v>
      </c>
      <c r="E12084" t="s">
        <v>588</v>
      </c>
      <c r="F12084" s="2" t="str">
        <f>HYPERLINK("http://www.otzar.org/book.asp?85","הערות ותקונים &lt;תשובות הגאונים והדיואן&gt;")</f>
        <v>הערות ותקונים &lt;תשובות הגאונים והדיואן&gt;</v>
      </c>
    </row>
    <row r="12085" spans="1:6" x14ac:dyDescent="0.2">
      <c r="A12085" t="s">
        <v>20648</v>
      </c>
      <c r="B12085" t="s">
        <v>20649</v>
      </c>
      <c r="C12085" t="s">
        <v>20</v>
      </c>
      <c r="D12085" t="s">
        <v>118</v>
      </c>
      <c r="E12085" t="s">
        <v>399</v>
      </c>
      <c r="F12085" s="2" t="str">
        <f>HYPERLINK("http://www.otzar.org/book.asp?105841","הערות לבאור הגר""א על ספרא דצניעותא")</f>
        <v>הערות לבאור הגר"א על ספרא דצניעותא</v>
      </c>
    </row>
    <row r="12086" spans="1:6" x14ac:dyDescent="0.2">
      <c r="A12086" t="s">
        <v>20650</v>
      </c>
      <c r="B12086" t="s">
        <v>6999</v>
      </c>
      <c r="C12086" t="s">
        <v>23</v>
      </c>
      <c r="D12086" t="s">
        <v>14</v>
      </c>
      <c r="F12086" s="2" t="str">
        <f>HYPERLINK("http://www.otzar.org/book.asp?197248","הערות לחנוכה")</f>
        <v>הערות לחנוכה</v>
      </c>
    </row>
    <row r="12087" spans="1:6" x14ac:dyDescent="0.2">
      <c r="A12087" t="s">
        <v>20651</v>
      </c>
      <c r="B12087" t="s">
        <v>20652</v>
      </c>
      <c r="C12087" t="s">
        <v>20653</v>
      </c>
      <c r="D12087" t="s">
        <v>27</v>
      </c>
      <c r="F12087" s="2" t="str">
        <f>HYPERLINK("http://www.otzar.org/book.asp?617366","הערות למעשה (בעניני שביעית)")</f>
        <v>הערות למעשה (בעניני שביעית)</v>
      </c>
    </row>
    <row r="12088" spans="1:6" x14ac:dyDescent="0.2">
      <c r="A12088" t="s">
        <v>20654</v>
      </c>
      <c r="B12088" t="s">
        <v>1308</v>
      </c>
      <c r="C12088" t="s">
        <v>111</v>
      </c>
      <c r="D12088" t="s">
        <v>14</v>
      </c>
      <c r="E12088" t="s">
        <v>172</v>
      </c>
      <c r="F12088" s="2" t="str">
        <f>HYPERLINK("http://www.otzar.org/book.asp?629798","הערות לשו""ע חו""מ מאת מרן החיד""א")</f>
        <v>הערות לשו"ע חו"מ מאת מרן החיד"א</v>
      </c>
    </row>
    <row r="12089" spans="1:6" x14ac:dyDescent="0.2">
      <c r="A12089" t="s">
        <v>20655</v>
      </c>
      <c r="B12089" t="s">
        <v>20656</v>
      </c>
      <c r="C12089" t="s">
        <v>133</v>
      </c>
      <c r="D12089" t="s">
        <v>52</v>
      </c>
      <c r="E12089" t="s">
        <v>144</v>
      </c>
      <c r="F12089" s="2" t="str">
        <f>HYPERLINK("http://www.otzar.org/book.asp?172841","הערות מבני החבורה - 2 כר'")</f>
        <v>הערות מבני החבורה - 2 כר'</v>
      </c>
    </row>
    <row r="12090" spans="1:6" x14ac:dyDescent="0.2">
      <c r="A12090" t="s">
        <v>20657</v>
      </c>
      <c r="B12090" t="s">
        <v>13106</v>
      </c>
      <c r="C12090" t="s">
        <v>114</v>
      </c>
      <c r="D12090" t="s">
        <v>52</v>
      </c>
      <c r="E12090" t="s">
        <v>144</v>
      </c>
      <c r="F12090" s="2" t="str">
        <f>HYPERLINK("http://www.otzar.org/book.asp?172842","הערות מבני החבורה - בבא מציעא")</f>
        <v>הערות מבני החבורה - בבא מציעא</v>
      </c>
    </row>
    <row r="12091" spans="1:6" x14ac:dyDescent="0.2">
      <c r="A12091" t="s">
        <v>20658</v>
      </c>
      <c r="B12091" t="s">
        <v>20659</v>
      </c>
      <c r="C12091" t="s">
        <v>20</v>
      </c>
      <c r="D12091" t="s">
        <v>2347</v>
      </c>
      <c r="E12091" t="s">
        <v>104</v>
      </c>
      <c r="F12091" s="2" t="str">
        <f>HYPERLINK("http://www.otzar.org/book.asp?188425","הערות על אורחות חיים")</f>
        <v>הערות על אורחות חיים</v>
      </c>
    </row>
    <row r="12092" spans="1:6" x14ac:dyDescent="0.2">
      <c r="A12092" t="s">
        <v>20660</v>
      </c>
      <c r="B12092" t="s">
        <v>20661</v>
      </c>
      <c r="C12092" t="s">
        <v>3106</v>
      </c>
      <c r="D12092" t="s">
        <v>412</v>
      </c>
      <c r="E12092" t="s">
        <v>399</v>
      </c>
      <c r="F12092" s="2" t="str">
        <f>HYPERLINK("http://www.otzar.org/book.asp?100147","הערות על הזהר")</f>
        <v>הערות על הזהר</v>
      </c>
    </row>
    <row r="12093" spans="1:6" x14ac:dyDescent="0.2">
      <c r="A12093" t="s">
        <v>20662</v>
      </c>
      <c r="B12093" t="s">
        <v>20663</v>
      </c>
      <c r="C12093" t="s">
        <v>111</v>
      </c>
      <c r="D12093" t="s">
        <v>14</v>
      </c>
      <c r="E12093" t="s">
        <v>144</v>
      </c>
      <c r="F12093" s="2" t="str">
        <f>HYPERLINK("http://www.otzar.org/book.asp?627636","הערות על הקהילות יעקב - ברכות")</f>
        <v>הערות על הקהילות יעקב - ברכות</v>
      </c>
    </row>
    <row r="12094" spans="1:6" x14ac:dyDescent="0.2">
      <c r="A12094" t="s">
        <v>20664</v>
      </c>
      <c r="B12094" t="s">
        <v>20665</v>
      </c>
      <c r="C12094" t="s">
        <v>1448</v>
      </c>
      <c r="D12094" t="s">
        <v>216</v>
      </c>
      <c r="E12094" t="s">
        <v>158</v>
      </c>
      <c r="F12094" s="2" t="str">
        <f>HYPERLINK("http://www.otzar.org/book.asp?176015","הערות על פירוש רש""י לתורה")</f>
        <v>הערות על פירוש רש"י לתורה</v>
      </c>
    </row>
    <row r="12095" spans="1:6" x14ac:dyDescent="0.2">
      <c r="A12095" t="s">
        <v>20666</v>
      </c>
      <c r="B12095" t="s">
        <v>20667</v>
      </c>
      <c r="C12095" t="s">
        <v>20</v>
      </c>
      <c r="D12095" t="s">
        <v>52</v>
      </c>
      <c r="E12095" t="s">
        <v>104</v>
      </c>
      <c r="F12095" s="2" t="str">
        <f>HYPERLINK("http://www.otzar.org/book.asp?630809","הערות על קונטרס אחרון של שו""ע הרב - הלכות תלמוד תורה")</f>
        <v>הערות על קונטרס אחרון של שו"ע הרב - הלכות תלמוד תורה</v>
      </c>
    </row>
    <row r="12096" spans="1:6" x14ac:dyDescent="0.2">
      <c r="A12096" t="s">
        <v>20668</v>
      </c>
      <c r="B12096" t="s">
        <v>14293</v>
      </c>
      <c r="C12096" t="s">
        <v>37</v>
      </c>
      <c r="D12096" t="s">
        <v>14</v>
      </c>
      <c r="E12096" t="s">
        <v>144</v>
      </c>
      <c r="F12096" s="2" t="str">
        <f>HYPERLINK("http://www.otzar.org/book.asp?181545","הערות רבינו הגרי""ש אלישיב - 23 כר'")</f>
        <v>הערות רבינו הגרי"ש אלישיב - 23 כר'</v>
      </c>
    </row>
    <row r="12097" spans="1:6" x14ac:dyDescent="0.2">
      <c r="A12097" t="s">
        <v>20669</v>
      </c>
      <c r="B12097" t="s">
        <v>20670</v>
      </c>
      <c r="C12097" t="s">
        <v>390</v>
      </c>
      <c r="D12097" t="s">
        <v>14</v>
      </c>
      <c r="E12097" t="s">
        <v>144</v>
      </c>
      <c r="F12097" s="2" t="str">
        <f>HYPERLINK("http://www.otzar.org/book.asp?13735","הערות - 5 כר'")</f>
        <v>הערות - 5 כר'</v>
      </c>
    </row>
    <row r="12098" spans="1:6" x14ac:dyDescent="0.2">
      <c r="A12098" t="s">
        <v>20671</v>
      </c>
      <c r="B12098" t="s">
        <v>20672</v>
      </c>
      <c r="C12098" t="s">
        <v>1448</v>
      </c>
      <c r="D12098" t="s">
        <v>52</v>
      </c>
      <c r="E12098" t="s">
        <v>144</v>
      </c>
      <c r="F12098" s="2" t="str">
        <f>HYPERLINK("http://www.otzar.org/book.asp?63340","הערות")</f>
        <v>הערות</v>
      </c>
    </row>
    <row r="12099" spans="1:6" x14ac:dyDescent="0.2">
      <c r="A12099" t="s">
        <v>20673</v>
      </c>
      <c r="B12099" t="s">
        <v>10621</v>
      </c>
      <c r="C12099" t="s">
        <v>133</v>
      </c>
      <c r="D12099" t="s">
        <v>90</v>
      </c>
      <c r="E12099" t="s">
        <v>241</v>
      </c>
      <c r="F12099" s="2" t="str">
        <f>HYPERLINK("http://www.otzar.org/book.asp?193582","הערכה והגשמה עצמית")</f>
        <v>הערכה והגשמה עצמית</v>
      </c>
    </row>
    <row r="12100" spans="1:6" x14ac:dyDescent="0.2">
      <c r="A12100" t="s">
        <v>20674</v>
      </c>
      <c r="B12100" t="s">
        <v>20675</v>
      </c>
      <c r="C12100" t="s">
        <v>3106</v>
      </c>
      <c r="D12100" t="s">
        <v>9</v>
      </c>
      <c r="E12100" t="s">
        <v>15</v>
      </c>
      <c r="F12100" s="2" t="str">
        <f>HYPERLINK("http://www.otzar.org/book.asp?169432","הערכת בקורת של המכונה החדשה ""גאמקע קלעמף""")</f>
        <v>הערכת בקורת של המכונה החדשה "גאמקע קלעמף"</v>
      </c>
    </row>
    <row r="12101" spans="1:6" x14ac:dyDescent="0.2">
      <c r="A12101" t="s">
        <v>20676</v>
      </c>
      <c r="B12101" t="s">
        <v>20556</v>
      </c>
      <c r="E12101" t="s">
        <v>104</v>
      </c>
      <c r="F12101" s="2" t="str">
        <f>HYPERLINK("http://www.otzar.org/book.asp?188721","העשר והעני")</f>
        <v>העשר והעני</v>
      </c>
    </row>
    <row r="12102" spans="1:6" x14ac:dyDescent="0.2">
      <c r="A12102" t="s">
        <v>20677</v>
      </c>
      <c r="B12102" t="s">
        <v>20677</v>
      </c>
      <c r="C12102" t="s">
        <v>985</v>
      </c>
      <c r="D12102" t="s">
        <v>260</v>
      </c>
      <c r="E12102" t="s">
        <v>119</v>
      </c>
      <c r="F12102" s="2" t="str">
        <f>HYPERLINK("http://www.otzar.org/book.asp?159241","העתיד")</f>
        <v>העתיד</v>
      </c>
    </row>
    <row r="12103" spans="1:6" x14ac:dyDescent="0.2">
      <c r="A12103" t="s">
        <v>20678</v>
      </c>
      <c r="B12103" t="s">
        <v>20679</v>
      </c>
      <c r="C12103" t="s">
        <v>20680</v>
      </c>
      <c r="D12103" t="s">
        <v>1833</v>
      </c>
      <c r="F12103" s="2" t="str">
        <f>HYPERLINK("http://www.otzar.org/book.asp?164897","העתק וקיצר ומראה מקום")</f>
        <v>העתק וקיצר ומראה מקום</v>
      </c>
    </row>
    <row r="12104" spans="1:6" x14ac:dyDescent="0.2">
      <c r="A12104" t="s">
        <v>20681</v>
      </c>
      <c r="B12104" t="s">
        <v>531</v>
      </c>
      <c r="C12104" t="s">
        <v>180</v>
      </c>
      <c r="D12104" t="s">
        <v>14</v>
      </c>
      <c r="F12104" s="2" t="str">
        <f>HYPERLINK("http://www.otzar.org/book.asp?181798","העתק פירוש הראב""ע על התורה - שטה אחת ע""פ כ""י")</f>
        <v>העתק פירוש הראב"ע על התורה - שטה אחת ע"פ כ"י</v>
      </c>
    </row>
    <row r="12105" spans="1:6" x14ac:dyDescent="0.2">
      <c r="A12105" t="s">
        <v>20682</v>
      </c>
      <c r="B12105" t="s">
        <v>20683</v>
      </c>
      <c r="C12105" t="s">
        <v>133</v>
      </c>
      <c r="D12105" t="s">
        <v>52</v>
      </c>
      <c r="E12105" t="s">
        <v>158</v>
      </c>
      <c r="F12105" s="2" t="str">
        <f>HYPERLINK("http://www.otzar.org/book.asp?175570","הפאה והביכורים")</f>
        <v>הפאה והביכורים</v>
      </c>
    </row>
    <row r="12106" spans="1:6" x14ac:dyDescent="0.2">
      <c r="A12106" t="s">
        <v>20684</v>
      </c>
      <c r="B12106" t="s">
        <v>20685</v>
      </c>
      <c r="C12106" t="s">
        <v>114</v>
      </c>
      <c r="D12106" t="s">
        <v>657</v>
      </c>
      <c r="E12106" t="s">
        <v>104</v>
      </c>
      <c r="F12106" s="2" t="str">
        <f>HYPERLINK("http://www.otzar.org/book.asp?159279","הפדות והישועה")</f>
        <v>הפדות והישועה</v>
      </c>
    </row>
    <row r="12107" spans="1:6" x14ac:dyDescent="0.2">
      <c r="A12107" t="s">
        <v>20686</v>
      </c>
      <c r="B12107" t="s">
        <v>18570</v>
      </c>
      <c r="C12107" t="s">
        <v>244</v>
      </c>
      <c r="D12107" t="s">
        <v>21</v>
      </c>
      <c r="F12107" s="2" t="str">
        <f>HYPERLINK("http://www.otzar.org/book.asp?610579","הפדות והפאר")</f>
        <v>הפדות והפאר</v>
      </c>
    </row>
    <row r="12108" spans="1:6" x14ac:dyDescent="0.2">
      <c r="A12108" t="s">
        <v>20687</v>
      </c>
      <c r="B12108" t="s">
        <v>20688</v>
      </c>
      <c r="C12108" t="s">
        <v>7625</v>
      </c>
      <c r="D12108" t="s">
        <v>42</v>
      </c>
      <c r="F12108" s="2" t="str">
        <f>HYPERLINK("http://www.otzar.org/book.asp?151525","הפדות והפורקן")</f>
        <v>הפדות והפורקן</v>
      </c>
    </row>
    <row r="12109" spans="1:6" x14ac:dyDescent="0.2">
      <c r="A12109" t="s">
        <v>20689</v>
      </c>
      <c r="B12109" t="s">
        <v>20690</v>
      </c>
      <c r="C12109" t="s">
        <v>151</v>
      </c>
      <c r="D12109" t="s">
        <v>1156</v>
      </c>
      <c r="E12109" t="s">
        <v>104</v>
      </c>
      <c r="F12109" s="2" t="str">
        <f>HYPERLINK("http://www.otzar.org/book.asp?621624","הפוך בה והפוך בה")</f>
        <v>הפוך בה והפוך בה</v>
      </c>
    </row>
    <row r="12110" spans="1:6" x14ac:dyDescent="0.2">
      <c r="A12110" t="s">
        <v>20691</v>
      </c>
      <c r="B12110" t="s">
        <v>10038</v>
      </c>
      <c r="C12110" t="s">
        <v>20692</v>
      </c>
      <c r="D12110" t="s">
        <v>216</v>
      </c>
      <c r="E12110" t="s">
        <v>202</v>
      </c>
      <c r="F12110" s="2" t="str">
        <f>HYPERLINK("http://www.otzar.org/book.asp?200710","הפוסק - 12 כר'")</f>
        <v>הפוסק - 12 כר'</v>
      </c>
    </row>
    <row r="12111" spans="1:6" x14ac:dyDescent="0.2">
      <c r="A12111" t="s">
        <v>20693</v>
      </c>
      <c r="B12111" t="s">
        <v>4437</v>
      </c>
      <c r="C12111" t="s">
        <v>20</v>
      </c>
      <c r="D12111" t="s">
        <v>52</v>
      </c>
      <c r="E12111" t="s">
        <v>119</v>
      </c>
      <c r="F12111" s="2" t="str">
        <f>HYPERLINK("http://www.otzar.org/book.asp?198368","הפוסק")</f>
        <v>הפוסק</v>
      </c>
    </row>
    <row r="12112" spans="1:6" x14ac:dyDescent="0.2">
      <c r="A12112" t="s">
        <v>20694</v>
      </c>
      <c r="B12112" t="s">
        <v>20695</v>
      </c>
      <c r="C12112" t="s">
        <v>5823</v>
      </c>
      <c r="D12112" t="s">
        <v>9</v>
      </c>
      <c r="E12112" t="s">
        <v>104</v>
      </c>
      <c r="F12112" s="2" t="str">
        <f>HYPERLINK("http://www.otzar.org/book.asp?180746","הפותח והחותם")</f>
        <v>הפותח והחותם</v>
      </c>
    </row>
    <row r="12113" spans="1:6" x14ac:dyDescent="0.2">
      <c r="A12113" t="s">
        <v>20696</v>
      </c>
      <c r="B12113" t="s">
        <v>20697</v>
      </c>
      <c r="C12113" t="s">
        <v>90</v>
      </c>
      <c r="D12113" t="s">
        <v>260</v>
      </c>
      <c r="E12113" t="s">
        <v>158</v>
      </c>
      <c r="F12113" s="2" t="str">
        <f>HYPERLINK("http://www.otzar.org/book.asp?188427","הפטרה מפורשת")</f>
        <v>הפטרה מפורשת</v>
      </c>
    </row>
    <row r="12114" spans="1:6" x14ac:dyDescent="0.2">
      <c r="A12114" t="s">
        <v>20698</v>
      </c>
      <c r="B12114" t="s">
        <v>20699</v>
      </c>
      <c r="C12114" t="s">
        <v>411</v>
      </c>
      <c r="D12114" t="s">
        <v>118</v>
      </c>
      <c r="E12114" t="s">
        <v>104</v>
      </c>
      <c r="F12114" s="2" t="str">
        <f>HYPERLINK("http://www.otzar.org/book.asp?603038","הפטרה ערוכה")</f>
        <v>הפטרה ערוכה</v>
      </c>
    </row>
    <row r="12115" spans="1:6" x14ac:dyDescent="0.2">
      <c r="A12115" t="s">
        <v>20700</v>
      </c>
      <c r="B12115" t="s">
        <v>20701</v>
      </c>
      <c r="C12115" t="s">
        <v>956</v>
      </c>
      <c r="D12115" t="s">
        <v>14</v>
      </c>
      <c r="E12115" t="s">
        <v>219</v>
      </c>
      <c r="F12115" s="2" t="str">
        <f>HYPERLINK("http://www.otzar.org/book.asp?180418","הפטרות אלטרנטיביות בפיוטי ייני")</f>
        <v>הפטרות אלטרנטיביות בפיוטי ייני</v>
      </c>
    </row>
    <row r="12116" spans="1:6" x14ac:dyDescent="0.2">
      <c r="A12116" t="s">
        <v>20702</v>
      </c>
      <c r="B12116" t="s">
        <v>2308</v>
      </c>
      <c r="C12116" t="s">
        <v>767</v>
      </c>
      <c r="D12116" t="s">
        <v>14</v>
      </c>
      <c r="E12116" t="s">
        <v>158</v>
      </c>
      <c r="F12116" s="2" t="str">
        <f>HYPERLINK("http://www.otzar.org/book.asp?51294","הפטרות השלם")</f>
        <v>הפטרות השלם</v>
      </c>
    </row>
    <row r="12117" spans="1:6" x14ac:dyDescent="0.2">
      <c r="A12117" t="s">
        <v>20703</v>
      </c>
      <c r="B12117" t="s">
        <v>20704</v>
      </c>
      <c r="C12117" t="s">
        <v>2589</v>
      </c>
      <c r="D12117" t="s">
        <v>729</v>
      </c>
      <c r="E12117" t="s">
        <v>158</v>
      </c>
      <c r="F12117" s="2" t="str">
        <f>HYPERLINK("http://www.otzar.org/book.asp?188707","הפטרות מכל השנה")</f>
        <v>הפטרות מכל השנה</v>
      </c>
    </row>
    <row r="12118" spans="1:6" x14ac:dyDescent="0.2">
      <c r="A12118" t="s">
        <v>20703</v>
      </c>
      <c r="B12118" t="s">
        <v>20705</v>
      </c>
      <c r="C12118" t="s">
        <v>528</v>
      </c>
      <c r="D12118" t="s">
        <v>4703</v>
      </c>
      <c r="E12118" t="s">
        <v>158</v>
      </c>
      <c r="F12118" s="2" t="str">
        <f>HYPERLINK("http://www.otzar.org/book.asp?188717","הפטרות מכל השנה")</f>
        <v>הפטרות מכל השנה</v>
      </c>
    </row>
    <row r="12119" spans="1:6" x14ac:dyDescent="0.2">
      <c r="A12119" t="s">
        <v>20706</v>
      </c>
      <c r="B12119" t="s">
        <v>20706</v>
      </c>
      <c r="C12119" t="s">
        <v>20707</v>
      </c>
      <c r="D12119" t="s">
        <v>2599</v>
      </c>
      <c r="E12119" t="s">
        <v>158</v>
      </c>
      <c r="F12119" s="2" t="str">
        <f>HYPERLINK("http://www.otzar.org/book.asp?196010","הפטרות עם תרגום בגרמנית")</f>
        <v>הפטרות עם תרגום בגרמנית</v>
      </c>
    </row>
    <row r="12120" spans="1:6" x14ac:dyDescent="0.2">
      <c r="A12120" t="s">
        <v>20708</v>
      </c>
      <c r="B12120" t="s">
        <v>20709</v>
      </c>
      <c r="C12120" t="s">
        <v>41</v>
      </c>
      <c r="D12120" t="s">
        <v>1593</v>
      </c>
      <c r="E12120" t="s">
        <v>158</v>
      </c>
      <c r="F12120" s="2" t="str">
        <f>HYPERLINK("http://www.otzar.org/book.asp?188709","הפטרת מכל השנה")</f>
        <v>הפטרת מכל השנה</v>
      </c>
    </row>
    <row r="12121" spans="1:6" x14ac:dyDescent="0.2">
      <c r="A12121" t="s">
        <v>20710</v>
      </c>
      <c r="B12121" t="s">
        <v>13378</v>
      </c>
      <c r="C12121" t="s">
        <v>985</v>
      </c>
      <c r="D12121" t="s">
        <v>260</v>
      </c>
      <c r="E12121" t="s">
        <v>1626</v>
      </c>
      <c r="F12121" s="2" t="str">
        <f>HYPERLINK("http://www.otzar.org/book.asp?179783","הפיוט")</f>
        <v>הפיוט</v>
      </c>
    </row>
    <row r="12122" spans="1:6" x14ac:dyDescent="0.2">
      <c r="A12122" t="s">
        <v>20711</v>
      </c>
      <c r="B12122" t="s">
        <v>20712</v>
      </c>
      <c r="C12122" t="s">
        <v>2105</v>
      </c>
      <c r="D12122" t="s">
        <v>20713</v>
      </c>
      <c r="E12122" t="s">
        <v>1517</v>
      </c>
      <c r="F12122" s="2" t="str">
        <f>HYPERLINK("http://www.otzar.org/book.asp?162270","הפיוטים לראש השנה")</f>
        <v>הפיוטים לראש השנה</v>
      </c>
    </row>
    <row r="12123" spans="1:6" x14ac:dyDescent="0.2">
      <c r="A12123" t="s">
        <v>20714</v>
      </c>
      <c r="B12123" t="s">
        <v>20715</v>
      </c>
      <c r="C12123" t="s">
        <v>332</v>
      </c>
      <c r="D12123" t="s">
        <v>14</v>
      </c>
      <c r="E12123" t="s">
        <v>104</v>
      </c>
      <c r="F12123" s="2" t="str">
        <f>HYPERLINK("http://www.otzar.org/book.asp?147187","הפיסוק של הסגנון העברי")</f>
        <v>הפיסוק של הסגנון העברי</v>
      </c>
    </row>
    <row r="12124" spans="1:6" x14ac:dyDescent="0.2">
      <c r="A12124" t="s">
        <v>20716</v>
      </c>
      <c r="B12124" t="s">
        <v>732</v>
      </c>
      <c r="C12124" t="s">
        <v>10565</v>
      </c>
      <c r="D12124" t="s">
        <v>27</v>
      </c>
      <c r="E12124" t="s">
        <v>119</v>
      </c>
      <c r="F12124" s="2" t="str">
        <f>HYPERLINK("http://www.otzar.org/book.asp?172265","הפירמאנים המלכותים - 2 כר'")</f>
        <v>הפירמאנים המלכותים - 2 כר'</v>
      </c>
    </row>
    <row r="12125" spans="1:6" x14ac:dyDescent="0.2">
      <c r="A12125" t="s">
        <v>20717</v>
      </c>
      <c r="B12125" t="s">
        <v>20718</v>
      </c>
      <c r="C12125" t="s">
        <v>775</v>
      </c>
      <c r="D12125" t="s">
        <v>15715</v>
      </c>
      <c r="E12125" t="s">
        <v>144</v>
      </c>
      <c r="F12125" s="2" t="str">
        <f>HYPERLINK("http://www.otzar.org/book.asp?623916","הפך בה דכולה בה - א")</f>
        <v>הפך בה דכולה בה - א</v>
      </c>
    </row>
    <row r="12126" spans="1:6" x14ac:dyDescent="0.2">
      <c r="A12126" t="s">
        <v>20719</v>
      </c>
      <c r="B12126" t="s">
        <v>5634</v>
      </c>
      <c r="C12126" t="s">
        <v>13</v>
      </c>
      <c r="D12126" t="s">
        <v>52</v>
      </c>
      <c r="E12126" t="s">
        <v>234</v>
      </c>
      <c r="F12126" s="2" t="str">
        <f>HYPERLINK("http://www.otzar.org/book.asp?145318","הפכת מספדי למחול לי")</f>
        <v>הפכת מספדי למחול לי</v>
      </c>
    </row>
    <row r="12127" spans="1:6" x14ac:dyDescent="0.2">
      <c r="A12127" t="s">
        <v>20720</v>
      </c>
      <c r="B12127" t="s">
        <v>13163</v>
      </c>
      <c r="C12127" t="s">
        <v>383</v>
      </c>
      <c r="D12127" t="s">
        <v>21</v>
      </c>
      <c r="F12127" s="2" t="str">
        <f>HYPERLINK("http://www.otzar.org/book.asp?194505","הפלאה עמ""ס כתובות &lt;מהדורה חדשה&gt;")</f>
        <v>הפלאה עמ"ס כתובות &lt;מהדורה חדשה&gt;</v>
      </c>
    </row>
    <row r="12128" spans="1:6" x14ac:dyDescent="0.2">
      <c r="A12128" t="s">
        <v>20721</v>
      </c>
      <c r="B12128" t="s">
        <v>2700</v>
      </c>
      <c r="C12128" t="s">
        <v>20</v>
      </c>
      <c r="D12128" t="s">
        <v>260</v>
      </c>
      <c r="F12128" s="2" t="str">
        <f>HYPERLINK("http://www.otzar.org/book.asp?197287","הפלאה שבערכין השלם")</f>
        <v>הפלאה שבערכין השלם</v>
      </c>
    </row>
    <row r="12129" spans="1:6" x14ac:dyDescent="0.2">
      <c r="A12129" t="s">
        <v>20722</v>
      </c>
      <c r="B12129" t="s">
        <v>2700</v>
      </c>
      <c r="C12129" t="s">
        <v>1036</v>
      </c>
      <c r="D12129" t="s">
        <v>1037</v>
      </c>
      <c r="E12129" t="s">
        <v>1211</v>
      </c>
      <c r="F12129" s="2" t="str">
        <f>HYPERLINK("http://www.otzar.org/book.asp?169795","הפלאה שבערכין")</f>
        <v>הפלאה שבערכין</v>
      </c>
    </row>
    <row r="12130" spans="1:6" x14ac:dyDescent="0.2">
      <c r="A12130" t="s">
        <v>20722</v>
      </c>
      <c r="B12130" t="s">
        <v>20723</v>
      </c>
      <c r="C12130" t="s">
        <v>1228</v>
      </c>
      <c r="D12130" t="s">
        <v>56</v>
      </c>
      <c r="E12130" t="s">
        <v>144</v>
      </c>
      <c r="F12130" s="2" t="str">
        <f>HYPERLINK("http://www.otzar.org/book.asp?5186","הפלאה שבערכין")</f>
        <v>הפלאה שבערכין</v>
      </c>
    </row>
    <row r="12131" spans="1:6" x14ac:dyDescent="0.2">
      <c r="A12131" t="s">
        <v>20724</v>
      </c>
      <c r="B12131" t="s">
        <v>13163</v>
      </c>
      <c r="C12131" t="s">
        <v>492</v>
      </c>
      <c r="D12131" t="s">
        <v>56</v>
      </c>
      <c r="E12131" t="s">
        <v>20725</v>
      </c>
      <c r="F12131" s="2" t="str">
        <f>HYPERLINK("http://www.otzar.org/book.asp?6992","הפלאה - 6 כר'")</f>
        <v>הפלאה - 6 כר'</v>
      </c>
    </row>
    <row r="12132" spans="1:6" x14ac:dyDescent="0.2">
      <c r="A12132" t="s">
        <v>20726</v>
      </c>
      <c r="B12132" t="s">
        <v>11311</v>
      </c>
      <c r="C12132" t="s">
        <v>767</v>
      </c>
      <c r="D12132" t="s">
        <v>14</v>
      </c>
      <c r="E12132" t="s">
        <v>144</v>
      </c>
      <c r="F12132" s="2" t="str">
        <f>HYPERLINK("http://www.otzar.org/book.asp?22777","הפלאות האורים")</f>
        <v>הפלאות האורים</v>
      </c>
    </row>
    <row r="12133" spans="1:6" x14ac:dyDescent="0.2">
      <c r="A12133" t="s">
        <v>20727</v>
      </c>
      <c r="B12133" t="s">
        <v>20728</v>
      </c>
      <c r="C12133" t="s">
        <v>133</v>
      </c>
      <c r="D12133" t="s">
        <v>14</v>
      </c>
      <c r="E12133" t="s">
        <v>144</v>
      </c>
      <c r="F12133" s="2" t="str">
        <f>HYPERLINK("http://www.otzar.org/book.asp?627429","הפלאות נדרים &lt;מהדורה חדשה&gt;")</f>
        <v>הפלאות נדרים &lt;מהדורה חדשה&gt;</v>
      </c>
    </row>
    <row r="12134" spans="1:6" x14ac:dyDescent="0.2">
      <c r="A12134" t="s">
        <v>20729</v>
      </c>
      <c r="B12134" t="s">
        <v>20728</v>
      </c>
      <c r="C12134" t="s">
        <v>950</v>
      </c>
      <c r="D12134" t="s">
        <v>283</v>
      </c>
      <c r="E12134" t="s">
        <v>144</v>
      </c>
      <c r="F12134" s="2" t="str">
        <f>HYPERLINK("http://www.otzar.org/book.asp?9817","הפלאות נדרים")</f>
        <v>הפלאות נדרים</v>
      </c>
    </row>
    <row r="12135" spans="1:6" x14ac:dyDescent="0.2">
      <c r="A12135" t="s">
        <v>20730</v>
      </c>
      <c r="B12135" t="s">
        <v>20731</v>
      </c>
      <c r="C12135" t="s">
        <v>533</v>
      </c>
      <c r="D12135" t="s">
        <v>3939</v>
      </c>
      <c r="E12135" t="s">
        <v>2248</v>
      </c>
      <c r="F12135" s="2" t="str">
        <f>HYPERLINK("http://www.otzar.org/book.asp?8374","הפלאת נדרים")</f>
        <v>הפלאת נדרים</v>
      </c>
    </row>
    <row r="12136" spans="1:6" x14ac:dyDescent="0.2">
      <c r="A12136" t="s">
        <v>20732</v>
      </c>
      <c r="B12136" t="s">
        <v>20733</v>
      </c>
      <c r="C12136" t="s">
        <v>286</v>
      </c>
      <c r="D12136" t="s">
        <v>691</v>
      </c>
      <c r="E12136" t="s">
        <v>144</v>
      </c>
      <c r="F12136" s="2" t="str">
        <f>HYPERLINK("http://www.otzar.org/book.asp?6991","הפלאת נדרים - א")</f>
        <v>הפלאת נדרים - א</v>
      </c>
    </row>
    <row r="12137" spans="1:6" x14ac:dyDescent="0.2">
      <c r="A12137" t="s">
        <v>20734</v>
      </c>
      <c r="B12137" t="s">
        <v>20731</v>
      </c>
      <c r="C12137" t="s">
        <v>356</v>
      </c>
      <c r="D12137" t="s">
        <v>3939</v>
      </c>
      <c r="E12137" t="s">
        <v>20735</v>
      </c>
      <c r="F12137" s="2" t="str">
        <f>HYPERLINK("http://www.otzar.org/book.asp?6989","הפלאת נזירות")</f>
        <v>הפלאת נזירות</v>
      </c>
    </row>
    <row r="12138" spans="1:6" x14ac:dyDescent="0.2">
      <c r="A12138" t="s">
        <v>20736</v>
      </c>
      <c r="B12138" t="s">
        <v>20737</v>
      </c>
      <c r="C12138" t="s">
        <v>523</v>
      </c>
      <c r="D12138" t="s">
        <v>3939</v>
      </c>
      <c r="E12138" t="s">
        <v>803</v>
      </c>
      <c r="F12138" s="2" t="str">
        <f>HYPERLINK("http://www.otzar.org/book.asp?6988","הפלאת ערכין")</f>
        <v>הפלאת ערכין</v>
      </c>
    </row>
    <row r="12139" spans="1:6" x14ac:dyDescent="0.2">
      <c r="A12139" t="s">
        <v>20738</v>
      </c>
      <c r="B12139" t="s">
        <v>20737</v>
      </c>
      <c r="C12139" t="s">
        <v>1268</v>
      </c>
      <c r="D12139" t="s">
        <v>3939</v>
      </c>
      <c r="E12139" t="s">
        <v>144</v>
      </c>
      <c r="F12139" s="2" t="str">
        <f>HYPERLINK("http://www.otzar.org/book.asp?6990","הפלאת שבועות - 2 כר'")</f>
        <v>הפלאת שבועות - 2 כר'</v>
      </c>
    </row>
    <row r="12140" spans="1:6" x14ac:dyDescent="0.2">
      <c r="A12140" t="s">
        <v>20739</v>
      </c>
      <c r="B12140" t="s">
        <v>20740</v>
      </c>
      <c r="C12140" t="s">
        <v>87</v>
      </c>
      <c r="D12140" t="s">
        <v>90</v>
      </c>
      <c r="F12140" s="2" t="str">
        <f>HYPERLINK("http://www.otzar.org/book.asp?612102","הפלס - 01")</f>
        <v>הפלס - 01</v>
      </c>
    </row>
    <row r="12141" spans="1:6" x14ac:dyDescent="0.2">
      <c r="A12141" t="s">
        <v>20741</v>
      </c>
      <c r="B12141" t="s">
        <v>489</v>
      </c>
      <c r="C12141" t="s">
        <v>362</v>
      </c>
      <c r="D12141" t="s">
        <v>4352</v>
      </c>
      <c r="E12141" t="s">
        <v>202</v>
      </c>
      <c r="F12141" s="2" t="str">
        <f>HYPERLINK("http://www.otzar.org/book.asp?22469","הפלס - 5 כר'")</f>
        <v>הפלס - 5 כר'</v>
      </c>
    </row>
    <row r="12142" spans="1:6" x14ac:dyDescent="0.2">
      <c r="A12142" t="s">
        <v>20742</v>
      </c>
      <c r="B12142" t="s">
        <v>20743</v>
      </c>
      <c r="C12142" t="s">
        <v>919</v>
      </c>
      <c r="D12142" t="s">
        <v>260</v>
      </c>
      <c r="E12142" t="s">
        <v>202</v>
      </c>
      <c r="F12142" s="2" t="str">
        <f>HYPERLINK("http://www.otzar.org/book.asp?606854","הפלס - 10 כר'")</f>
        <v>הפלס - 10 כר'</v>
      </c>
    </row>
    <row r="12143" spans="1:6" x14ac:dyDescent="0.2">
      <c r="A12143" t="s">
        <v>20744</v>
      </c>
      <c r="B12143" t="s">
        <v>20745</v>
      </c>
      <c r="C12143" t="s">
        <v>23</v>
      </c>
      <c r="D12143" t="s">
        <v>14</v>
      </c>
      <c r="F12143" s="2" t="str">
        <f>HYPERLINK("http://www.otzar.org/book.asp?610672","הפני מנחם - 2 כר'")</f>
        <v>הפני מנחם - 2 כר'</v>
      </c>
    </row>
    <row r="12144" spans="1:6" x14ac:dyDescent="0.2">
      <c r="A12144" t="s">
        <v>20746</v>
      </c>
      <c r="B12144" t="s">
        <v>1750</v>
      </c>
      <c r="C12144" t="s">
        <v>20747</v>
      </c>
      <c r="D12144" t="s">
        <v>56</v>
      </c>
      <c r="E12144" t="s">
        <v>3790</v>
      </c>
      <c r="F12144" s="2" t="str">
        <f>HYPERLINK("http://www.otzar.org/book.asp?17683","הפסגה - 10 כר'")</f>
        <v>הפסגה - 10 כר'</v>
      </c>
    </row>
    <row r="12145" spans="1:6" x14ac:dyDescent="0.2">
      <c r="A12145" t="s">
        <v>20748</v>
      </c>
      <c r="B12145" t="s">
        <v>20749</v>
      </c>
      <c r="C12145" t="s">
        <v>366</v>
      </c>
      <c r="D12145" t="s">
        <v>11098</v>
      </c>
      <c r="F12145" s="2" t="str">
        <f>HYPERLINK("http://www.otzar.org/book.asp?622970","הפסח במועדו")</f>
        <v>הפסח במועדו</v>
      </c>
    </row>
    <row r="12146" spans="1:6" x14ac:dyDescent="0.2">
      <c r="A12146" t="s">
        <v>20750</v>
      </c>
      <c r="B12146" t="s">
        <v>2530</v>
      </c>
      <c r="E12146" t="s">
        <v>15</v>
      </c>
      <c r="F12146" s="2" t="str">
        <f>HYPERLINK("http://www.otzar.org/book.asp?603243","הפסקים")</f>
        <v>הפסקים</v>
      </c>
    </row>
    <row r="12147" spans="1:6" x14ac:dyDescent="0.2">
      <c r="A12147" t="s">
        <v>20751</v>
      </c>
      <c r="B12147" t="s">
        <v>4847</v>
      </c>
      <c r="C12147" t="s">
        <v>4848</v>
      </c>
      <c r="D12147" t="s">
        <v>260</v>
      </c>
      <c r="E12147" t="s">
        <v>104</v>
      </c>
      <c r="F12147" s="2" t="str">
        <f>HYPERLINK("http://www.otzar.org/book.asp?13625","הפעלים הכפולים")</f>
        <v>הפעלים הכפולים</v>
      </c>
    </row>
    <row r="12148" spans="1:6" x14ac:dyDescent="0.2">
      <c r="A12148" t="s">
        <v>20752</v>
      </c>
      <c r="B12148" t="s">
        <v>206</v>
      </c>
      <c r="C12148" t="s">
        <v>20</v>
      </c>
      <c r="D12148" t="s">
        <v>90</v>
      </c>
      <c r="E12148" t="s">
        <v>741</v>
      </c>
      <c r="F12148" s="2" t="str">
        <f>HYPERLINK("http://www.otzar.org/book.asp?628148","הפצות וחיזוקים")</f>
        <v>הפצות וחיזוקים</v>
      </c>
    </row>
    <row r="12149" spans="1:6" x14ac:dyDescent="0.2">
      <c r="A12149" t="s">
        <v>20753</v>
      </c>
      <c r="B12149" t="s">
        <v>9096</v>
      </c>
      <c r="C12149" t="s">
        <v>985</v>
      </c>
      <c r="D12149" t="s">
        <v>412</v>
      </c>
      <c r="E12149" t="s">
        <v>104</v>
      </c>
      <c r="F12149" s="2" t="str">
        <f>HYPERLINK("http://www.otzar.org/book.asp?151243","הפצצה האטומית")</f>
        <v>הפצצה האטומית</v>
      </c>
    </row>
    <row r="12150" spans="1:6" x14ac:dyDescent="0.2">
      <c r="A12150" t="s">
        <v>20754</v>
      </c>
      <c r="B12150" t="s">
        <v>13716</v>
      </c>
      <c r="C12150" t="s">
        <v>8</v>
      </c>
      <c r="D12150" t="s">
        <v>27</v>
      </c>
      <c r="E12150" t="s">
        <v>158</v>
      </c>
      <c r="F12150" s="2" t="str">
        <f>HYPERLINK("http://www.otzar.org/book.asp?200045","הפרדס &lt;ילקוט המכירי&gt;")</f>
        <v>הפרדס &lt;ילקוט המכירי&gt;</v>
      </c>
    </row>
    <row r="12151" spans="1:6" x14ac:dyDescent="0.2">
      <c r="A12151" t="s">
        <v>20755</v>
      </c>
      <c r="B12151" t="s">
        <v>20756</v>
      </c>
      <c r="C12151" t="s">
        <v>2105</v>
      </c>
      <c r="D12151" t="s">
        <v>20757</v>
      </c>
      <c r="E12151" t="s">
        <v>202</v>
      </c>
      <c r="F12151" s="2" t="str">
        <f>HYPERLINK("http://www.otzar.org/book.asp?21597","הפרדס &lt;פולין&gt; - 28 כר'")</f>
        <v>הפרדס &lt;פולין&gt; - 28 כר'</v>
      </c>
    </row>
    <row r="12152" spans="1:6" x14ac:dyDescent="0.2">
      <c r="A12152" t="s">
        <v>20758</v>
      </c>
      <c r="B12152" t="s">
        <v>20759</v>
      </c>
      <c r="C12152" t="s">
        <v>20760</v>
      </c>
      <c r="D12152" t="s">
        <v>691</v>
      </c>
      <c r="E12152" t="s">
        <v>202</v>
      </c>
      <c r="F12152" s="2" t="str">
        <f>HYPERLINK("http://www.otzar.org/book.asp?143876","הפרדס &lt;צאנז&gt;")</f>
        <v>הפרדס &lt;צאנז&gt;</v>
      </c>
    </row>
    <row r="12153" spans="1:6" x14ac:dyDescent="0.2">
      <c r="A12153" t="s">
        <v>20761</v>
      </c>
      <c r="B12153" t="s">
        <v>13716</v>
      </c>
      <c r="C12153" t="s">
        <v>506</v>
      </c>
      <c r="D12153" t="s">
        <v>27</v>
      </c>
      <c r="E12153" t="s">
        <v>15</v>
      </c>
      <c r="F12153" s="2" t="str">
        <f>HYPERLINK("http://www.otzar.org/book.asp?180410","הפרדס - זכור ליצחק")</f>
        <v>הפרדס - זכור ליצחק</v>
      </c>
    </row>
    <row r="12154" spans="1:6" x14ac:dyDescent="0.2">
      <c r="A12154" t="s">
        <v>20762</v>
      </c>
      <c r="B12154" t="s">
        <v>20756</v>
      </c>
      <c r="C12154" t="s">
        <v>20763</v>
      </c>
      <c r="D12154" t="s">
        <v>412</v>
      </c>
      <c r="E12154" t="s">
        <v>202</v>
      </c>
      <c r="F12154" s="2" t="str">
        <f>HYPERLINK("http://www.otzar.org/book.asp?21551","הפרדס - 107 כר'")</f>
        <v>הפרדס - 107 כר'</v>
      </c>
    </row>
    <row r="12155" spans="1:6" x14ac:dyDescent="0.2">
      <c r="A12155" t="s">
        <v>20764</v>
      </c>
      <c r="B12155" t="s">
        <v>2950</v>
      </c>
      <c r="C12155" t="s">
        <v>20</v>
      </c>
      <c r="D12155" t="s">
        <v>14</v>
      </c>
      <c r="E12155" t="s">
        <v>158</v>
      </c>
      <c r="F12155" s="2" t="str">
        <f>HYPERLINK("http://www.otzar.org/book.asp?62588","הפרשה בהלכה - מתוך אנציקלופדיה תלמודית")</f>
        <v>הפרשה בהלכה - מתוך אנציקלופדיה תלמודית</v>
      </c>
    </row>
    <row r="12156" spans="1:6" x14ac:dyDescent="0.2">
      <c r="A12156" t="s">
        <v>20765</v>
      </c>
      <c r="B12156" t="s">
        <v>20766</v>
      </c>
      <c r="C12156" t="s">
        <v>68</v>
      </c>
      <c r="D12156" t="s">
        <v>14</v>
      </c>
      <c r="E12156" t="s">
        <v>158</v>
      </c>
      <c r="F12156" s="2" t="str">
        <f>HYPERLINK("http://www.otzar.org/book.asp?152655","הפרשה המחכימה - 2 כר'")</f>
        <v>הפרשה המחכימה - 2 כר'</v>
      </c>
    </row>
    <row r="12157" spans="1:6" x14ac:dyDescent="0.2">
      <c r="A12157" t="s">
        <v>20767</v>
      </c>
      <c r="B12157" t="s">
        <v>20768</v>
      </c>
      <c r="C12157" t="s">
        <v>151</v>
      </c>
      <c r="D12157" t="s">
        <v>14</v>
      </c>
      <c r="E12157" t="s">
        <v>230</v>
      </c>
      <c r="F12157" s="2" t="str">
        <f>HYPERLINK("http://www.otzar.org/book.asp?610749","הפרשה ולקחה")</f>
        <v>הפרשה ולקחה</v>
      </c>
    </row>
    <row r="12158" spans="1:6" x14ac:dyDescent="0.2">
      <c r="A12158" t="s">
        <v>20769</v>
      </c>
      <c r="B12158" t="s">
        <v>20770</v>
      </c>
      <c r="C12158" t="s">
        <v>129</v>
      </c>
      <c r="D12158" t="s">
        <v>3859</v>
      </c>
      <c r="E12158" t="s">
        <v>15</v>
      </c>
      <c r="F12158" s="2" t="str">
        <f>HYPERLINK("http://www.otzar.org/book.asp?52844","הפרשת חלה כהלכתה")</f>
        <v>הפרשת חלה כהלכתה</v>
      </c>
    </row>
    <row r="12159" spans="1:6" x14ac:dyDescent="0.2">
      <c r="A12159" t="s">
        <v>20771</v>
      </c>
      <c r="B12159" t="s">
        <v>12867</v>
      </c>
      <c r="C12159" t="s">
        <v>68</v>
      </c>
      <c r="D12159" t="s">
        <v>152</v>
      </c>
      <c r="E12159" t="s">
        <v>15</v>
      </c>
      <c r="F12159" s="2" t="str">
        <f>HYPERLINK("http://www.otzar.org/book.asp?606451","הפרשת חלה - עיקרי הדינים")</f>
        <v>הפרשת חלה - עיקרי הדינים</v>
      </c>
    </row>
    <row r="12160" spans="1:6" x14ac:dyDescent="0.2">
      <c r="A12160" t="s">
        <v>20772</v>
      </c>
      <c r="B12160" t="s">
        <v>20773</v>
      </c>
      <c r="C12160" t="s">
        <v>383</v>
      </c>
      <c r="D12160" t="s">
        <v>108</v>
      </c>
      <c r="E12160" t="s">
        <v>15</v>
      </c>
      <c r="F12160" s="2" t="str">
        <f>HYPERLINK("http://www.otzar.org/book.asp?26100","הפרשת תרומת ומעשרות במערכה הציבורית")</f>
        <v>הפרשת תרומת ומעשרות במערכה הציבורית</v>
      </c>
    </row>
    <row r="12161" spans="1:6" x14ac:dyDescent="0.2">
      <c r="A12161" t="s">
        <v>20774</v>
      </c>
      <c r="B12161" t="s">
        <v>20775</v>
      </c>
      <c r="C12161" t="s">
        <v>51</v>
      </c>
      <c r="D12161" t="s">
        <v>52</v>
      </c>
      <c r="E12161" t="s">
        <v>144</v>
      </c>
      <c r="F12161" s="2" t="str">
        <f>HYPERLINK("http://www.otzar.org/book.asp?159391","הפשט בסוגיא - 3 כר'")</f>
        <v>הפשט בסוגיא - 3 כר'</v>
      </c>
    </row>
    <row r="12162" spans="1:6" x14ac:dyDescent="0.2">
      <c r="A12162" t="s">
        <v>20776</v>
      </c>
      <c r="B12162" t="s">
        <v>20777</v>
      </c>
      <c r="C12162" t="s">
        <v>313</v>
      </c>
      <c r="D12162" t="s">
        <v>52</v>
      </c>
      <c r="E12162" t="s">
        <v>148</v>
      </c>
      <c r="F12162" s="2" t="str">
        <f>HYPERLINK("http://www.otzar.org/book.asp?51901","הפשתים והצמר")</f>
        <v>הפשתים והצמר</v>
      </c>
    </row>
    <row r="12163" spans="1:6" x14ac:dyDescent="0.2">
      <c r="A12163" t="s">
        <v>20778</v>
      </c>
      <c r="B12163" t="s">
        <v>20779</v>
      </c>
      <c r="C12163" t="s">
        <v>422</v>
      </c>
      <c r="D12163" t="s">
        <v>52</v>
      </c>
      <c r="E12163" t="s">
        <v>104</v>
      </c>
      <c r="F12163" s="2" t="str">
        <f>HYPERLINK("http://www.otzar.org/book.asp?159093","הפתגם השנון")</f>
        <v>הפתגם השנון</v>
      </c>
    </row>
    <row r="12164" spans="1:6" x14ac:dyDescent="0.2">
      <c r="A12164" t="s">
        <v>20780</v>
      </c>
      <c r="B12164" t="s">
        <v>20781</v>
      </c>
      <c r="C12164" t="s">
        <v>151</v>
      </c>
      <c r="D12164" t="s">
        <v>512</v>
      </c>
      <c r="F12164" s="2" t="str">
        <f>HYPERLINK("http://www.otzar.org/book.asp?617251","הצבי והצדק")</f>
        <v>הצבי והצדק</v>
      </c>
    </row>
    <row r="12165" spans="1:6" x14ac:dyDescent="0.2">
      <c r="A12165" t="s">
        <v>20782</v>
      </c>
      <c r="B12165" t="s">
        <v>20783</v>
      </c>
      <c r="C12165" t="s">
        <v>23</v>
      </c>
      <c r="D12165" t="s">
        <v>52</v>
      </c>
      <c r="E12165" t="s">
        <v>158</v>
      </c>
      <c r="F12165" s="2" t="str">
        <f>HYPERLINK("http://www.otzar.org/book.asp?189141","הצבי והצדק - א")</f>
        <v>הצבי והצדק - א</v>
      </c>
    </row>
    <row r="12166" spans="1:6" x14ac:dyDescent="0.2">
      <c r="A12166" t="s">
        <v>20784</v>
      </c>
      <c r="B12166" t="s">
        <v>20785</v>
      </c>
      <c r="C12166" t="s">
        <v>87</v>
      </c>
      <c r="D12166" t="s">
        <v>52</v>
      </c>
      <c r="E12166" t="s">
        <v>20786</v>
      </c>
      <c r="F12166" s="2" t="str">
        <f>HYPERLINK("http://www.otzar.org/book.asp?21837","הצבי והצדק - תנינא")</f>
        <v>הצבי והצדק - תנינא</v>
      </c>
    </row>
    <row r="12167" spans="1:6" x14ac:dyDescent="0.2">
      <c r="A12167" t="s">
        <v>20787</v>
      </c>
      <c r="B12167" t="s">
        <v>20788</v>
      </c>
      <c r="C12167" t="s">
        <v>23</v>
      </c>
      <c r="D12167" t="s">
        <v>10373</v>
      </c>
      <c r="E12167" t="s">
        <v>104</v>
      </c>
      <c r="F12167" s="2" t="str">
        <f>HYPERLINK("http://www.otzar.org/book.asp?606225","הצבי ישראל")</f>
        <v>הצבי ישראל</v>
      </c>
    </row>
    <row r="12168" spans="1:6" x14ac:dyDescent="0.2">
      <c r="A12168" t="s">
        <v>20787</v>
      </c>
      <c r="B12168" t="s">
        <v>20789</v>
      </c>
      <c r="C12168" t="s">
        <v>133</v>
      </c>
      <c r="D12168" t="s">
        <v>52</v>
      </c>
      <c r="E12168" t="s">
        <v>202</v>
      </c>
      <c r="F12168" s="2" t="str">
        <f>HYPERLINK("http://www.otzar.org/book.asp?172978","הצבי ישראל")</f>
        <v>הצבי ישראל</v>
      </c>
    </row>
    <row r="12169" spans="1:6" x14ac:dyDescent="0.2">
      <c r="A12169" t="s">
        <v>20787</v>
      </c>
      <c r="B12169" t="s">
        <v>20790</v>
      </c>
      <c r="C12169" t="s">
        <v>103</v>
      </c>
      <c r="D12169" t="s">
        <v>52</v>
      </c>
      <c r="E12169" t="s">
        <v>202</v>
      </c>
      <c r="F12169" s="2" t="str">
        <f>HYPERLINK("http://www.otzar.org/book.asp?174109","הצבי ישראל")</f>
        <v>הצבי ישראל</v>
      </c>
    </row>
    <row r="12170" spans="1:6" x14ac:dyDescent="0.2">
      <c r="A12170" t="s">
        <v>20787</v>
      </c>
      <c r="B12170" t="s">
        <v>20791</v>
      </c>
      <c r="C12170" t="s">
        <v>919</v>
      </c>
      <c r="D12170" t="s">
        <v>14</v>
      </c>
      <c r="F12170" s="2" t="str">
        <f>HYPERLINK("http://www.otzar.org/book.asp?611666","הצבי ישראל")</f>
        <v>הצבי ישראל</v>
      </c>
    </row>
    <row r="12171" spans="1:6" x14ac:dyDescent="0.2">
      <c r="A12171" t="s">
        <v>20787</v>
      </c>
      <c r="B12171" t="s">
        <v>20792</v>
      </c>
      <c r="C12171" t="s">
        <v>13</v>
      </c>
      <c r="D12171" t="s">
        <v>14</v>
      </c>
      <c r="E12171" t="s">
        <v>714</v>
      </c>
      <c r="F12171" s="2" t="str">
        <f>HYPERLINK("http://www.otzar.org/book.asp?62662","הצבי ישראל")</f>
        <v>הצבי ישראל</v>
      </c>
    </row>
    <row r="12172" spans="1:6" x14ac:dyDescent="0.2">
      <c r="A12172" t="s">
        <v>20793</v>
      </c>
      <c r="B12172" t="s">
        <v>9976</v>
      </c>
      <c r="C12172" t="s">
        <v>87</v>
      </c>
      <c r="D12172" t="s">
        <v>2798</v>
      </c>
      <c r="E12172" t="s">
        <v>140</v>
      </c>
      <c r="F12172" s="2" t="str">
        <f>HYPERLINK("http://www.otzar.org/book.asp?618454","הצדיק במשנתו של רבי נחמן מברסלב")</f>
        <v>הצדיק במשנתו של רבי נחמן מברסלב</v>
      </c>
    </row>
    <row r="12173" spans="1:6" x14ac:dyDescent="0.2">
      <c r="A12173" t="s">
        <v>20794</v>
      </c>
      <c r="B12173" t="s">
        <v>20795</v>
      </c>
      <c r="C12173" t="s">
        <v>411</v>
      </c>
      <c r="D12173" t="s">
        <v>14</v>
      </c>
      <c r="E12173" t="s">
        <v>119</v>
      </c>
      <c r="F12173" s="2" t="str">
        <f>HYPERLINK("http://www.otzar.org/book.asp?173793","הצדיק המתמיד מירושלים")</f>
        <v>הצדיק המתמיד מירושלים</v>
      </c>
    </row>
    <row r="12174" spans="1:6" x14ac:dyDescent="0.2">
      <c r="A12174" t="s">
        <v>20796</v>
      </c>
      <c r="B12174" t="s">
        <v>20797</v>
      </c>
      <c r="C12174" t="s">
        <v>1640</v>
      </c>
      <c r="D12174" t="s">
        <v>52</v>
      </c>
      <c r="E12174" t="s">
        <v>733</v>
      </c>
      <c r="F12174" s="2" t="str">
        <f>HYPERLINK("http://www.otzar.org/book.asp?158025","הצדיק השותק")</f>
        <v>הצדיק השותק</v>
      </c>
    </row>
    <row r="12175" spans="1:6" x14ac:dyDescent="0.2">
      <c r="A12175" t="s">
        <v>20798</v>
      </c>
      <c r="B12175" t="s">
        <v>20799</v>
      </c>
      <c r="C12175" t="s">
        <v>20</v>
      </c>
      <c r="D12175" t="s">
        <v>90</v>
      </c>
      <c r="E12175" t="s">
        <v>119</v>
      </c>
      <c r="F12175" s="2" t="str">
        <f>HYPERLINK("http://www.otzar.org/book.asp?172223","הצדיק מבית שאן")</f>
        <v>הצדיק מבית שאן</v>
      </c>
    </row>
    <row r="12176" spans="1:6" x14ac:dyDescent="0.2">
      <c r="A12176" t="s">
        <v>20800</v>
      </c>
      <c r="B12176" t="s">
        <v>20801</v>
      </c>
      <c r="C12176" t="s">
        <v>106</v>
      </c>
      <c r="D12176" t="s">
        <v>216</v>
      </c>
      <c r="E12176" t="s">
        <v>119</v>
      </c>
      <c r="F12176" s="2" t="str">
        <f>HYPERLINK("http://www.otzar.org/book.asp?144300","הצדיק מקאלוב וקהילתו")</f>
        <v>הצדיק מקאלוב וקהילתו</v>
      </c>
    </row>
    <row r="12177" spans="1:6" x14ac:dyDescent="0.2">
      <c r="A12177" t="s">
        <v>20802</v>
      </c>
      <c r="B12177" t="s">
        <v>20803</v>
      </c>
      <c r="C12177" t="s">
        <v>20</v>
      </c>
      <c r="D12177" t="s">
        <v>14</v>
      </c>
      <c r="E12177" t="s">
        <v>119</v>
      </c>
      <c r="F12177" s="2" t="str">
        <f>HYPERLINK("http://www.otzar.org/book.asp?154031","הצדיק מראש פינה")</f>
        <v>הצדיק מראש פינה</v>
      </c>
    </row>
    <row r="12178" spans="1:6" x14ac:dyDescent="0.2">
      <c r="A12178" t="s">
        <v>20804</v>
      </c>
      <c r="B12178" t="s">
        <v>20805</v>
      </c>
      <c r="C12178" t="s">
        <v>8</v>
      </c>
      <c r="D12178" t="s">
        <v>27</v>
      </c>
      <c r="E12178" t="s">
        <v>20806</v>
      </c>
      <c r="F12178" s="2" t="str">
        <f>HYPERLINK("http://www.otzar.org/book.asp?104142","הצדיק ר' יוסף זונדל מסלאנט ורבותיו")</f>
        <v>הצדיק ר' יוסף זונדל מסלאנט ורבותיו</v>
      </c>
    </row>
    <row r="12179" spans="1:6" x14ac:dyDescent="0.2">
      <c r="A12179" t="s">
        <v>20807</v>
      </c>
      <c r="B12179" t="s">
        <v>20808</v>
      </c>
      <c r="C12179" t="s">
        <v>68</v>
      </c>
      <c r="D12179" t="s">
        <v>1273</v>
      </c>
      <c r="F12179" s="2" t="str">
        <f>HYPERLINK("http://www.otzar.org/book.asp?604857","הצדיק רבי יצחק דוד רוטמן מלומז'ה")</f>
        <v>הצדיק רבי יצחק דוד רוטמן מלומז'ה</v>
      </c>
    </row>
    <row r="12180" spans="1:6" x14ac:dyDescent="0.2">
      <c r="A12180" t="s">
        <v>20809</v>
      </c>
      <c r="B12180" t="s">
        <v>20810</v>
      </c>
      <c r="C12180" t="s">
        <v>523</v>
      </c>
      <c r="D12180" t="s">
        <v>14</v>
      </c>
      <c r="E12180" t="s">
        <v>2633</v>
      </c>
      <c r="F12180" s="2" t="str">
        <f>HYPERLINK("http://www.otzar.org/book.asp?157523","הצדיק רבי שלמה - אור תורה")</f>
        <v>הצדיק רבי שלמה - אור תורה</v>
      </c>
    </row>
    <row r="12181" spans="1:6" x14ac:dyDescent="0.2">
      <c r="A12181" t="s">
        <v>20811</v>
      </c>
      <c r="B12181" t="s">
        <v>11390</v>
      </c>
      <c r="C12181" t="s">
        <v>20</v>
      </c>
      <c r="D12181" t="s">
        <v>7277</v>
      </c>
      <c r="E12181" t="s">
        <v>1626</v>
      </c>
      <c r="F12181" s="2" t="str">
        <f>HYPERLINK("http://www.otzar.org/book.asp?626622","הצדיקים חיים")</f>
        <v>הצדיקים חיים</v>
      </c>
    </row>
    <row r="12182" spans="1:6" x14ac:dyDescent="0.2">
      <c r="A12182" t="s">
        <v>20812</v>
      </c>
      <c r="B12182" t="s">
        <v>20813</v>
      </c>
      <c r="C12182" t="s">
        <v>442</v>
      </c>
      <c r="D12182" t="s">
        <v>27</v>
      </c>
      <c r="E12182" t="s">
        <v>104</v>
      </c>
      <c r="F12182" s="2" t="str">
        <f>HYPERLINK("http://www.otzar.org/book.asp?169709","הצדקה בישראל")</f>
        <v>הצדקה בישראל</v>
      </c>
    </row>
    <row r="12183" spans="1:6" x14ac:dyDescent="0.2">
      <c r="A12183" t="s">
        <v>20814</v>
      </c>
      <c r="B12183" t="s">
        <v>20815</v>
      </c>
      <c r="C12183" t="s">
        <v>23</v>
      </c>
      <c r="D12183" t="s">
        <v>108</v>
      </c>
      <c r="E12183" t="s">
        <v>104</v>
      </c>
      <c r="F12183" s="2" t="str">
        <f>HYPERLINK("http://www.otzar.org/book.asp?198248","הצומח והחי במשנת הרמב""ם")</f>
        <v>הצומח והחי במשנת הרמב"ם</v>
      </c>
    </row>
    <row r="12184" spans="1:6" x14ac:dyDescent="0.2">
      <c r="A12184" t="s">
        <v>20816</v>
      </c>
      <c r="B12184" t="s">
        <v>4735</v>
      </c>
      <c r="C12184" t="s">
        <v>189</v>
      </c>
      <c r="D12184" t="s">
        <v>14</v>
      </c>
      <c r="E12184" t="s">
        <v>104</v>
      </c>
      <c r="F12184" s="2" t="str">
        <f>HYPERLINK("http://www.otzar.org/book.asp?63875","הצונמי בדילוגים")</f>
        <v>הצונמי בדילוגים</v>
      </c>
    </row>
    <row r="12185" spans="1:6" x14ac:dyDescent="0.2">
      <c r="A12185" t="s">
        <v>20817</v>
      </c>
      <c r="B12185" t="s">
        <v>20818</v>
      </c>
      <c r="C12185" t="s">
        <v>553</v>
      </c>
      <c r="D12185" t="s">
        <v>21</v>
      </c>
      <c r="E12185" t="s">
        <v>119</v>
      </c>
      <c r="F12185" s="2" t="str">
        <f>HYPERLINK("http://www.otzar.org/book.asp?191382","הצופה לדורו")</f>
        <v>הצופה לדורו</v>
      </c>
    </row>
    <row r="12186" spans="1:6" x14ac:dyDescent="0.2">
      <c r="A12186" t="s">
        <v>20819</v>
      </c>
      <c r="B12186" t="s">
        <v>20820</v>
      </c>
      <c r="C12186" t="s">
        <v>603</v>
      </c>
      <c r="D12186" t="s">
        <v>20821</v>
      </c>
      <c r="E12186" t="s">
        <v>1211</v>
      </c>
      <c r="F12186" s="2" t="str">
        <f>HYPERLINK("http://www.otzar.org/book.asp?619421","הציבי לך ציונים")</f>
        <v>הציבי לך ציונים</v>
      </c>
    </row>
    <row r="12187" spans="1:6" x14ac:dyDescent="0.2">
      <c r="A12187" t="s">
        <v>20822</v>
      </c>
      <c r="B12187" t="s">
        <v>8936</v>
      </c>
      <c r="C12187" t="s">
        <v>454</v>
      </c>
      <c r="D12187" t="s">
        <v>52</v>
      </c>
      <c r="E12187" t="s">
        <v>144</v>
      </c>
      <c r="F12187" s="2" t="str">
        <f>HYPERLINK("http://www.otzar.org/book.asp?142085","הציבי ציונים - 20 כר'")</f>
        <v>הציבי ציונים - 20 כר'</v>
      </c>
    </row>
    <row r="12188" spans="1:6" x14ac:dyDescent="0.2">
      <c r="A12188" t="s">
        <v>20823</v>
      </c>
      <c r="B12188" t="s">
        <v>20824</v>
      </c>
      <c r="C12188" t="s">
        <v>2644</v>
      </c>
      <c r="D12188" t="s">
        <v>6840</v>
      </c>
      <c r="F12188" s="2" t="str">
        <f>HYPERLINK("http://www.otzar.org/book.asp?620055","הציד")</f>
        <v>הציד</v>
      </c>
    </row>
    <row r="12189" spans="1:6" x14ac:dyDescent="0.2">
      <c r="A12189" t="s">
        <v>20825</v>
      </c>
      <c r="B12189" t="s">
        <v>20826</v>
      </c>
      <c r="C12189" t="s">
        <v>146</v>
      </c>
      <c r="D12189" t="s">
        <v>1550</v>
      </c>
      <c r="E12189" t="s">
        <v>15</v>
      </c>
      <c r="F12189" s="2" t="str">
        <f>HYPERLINK("http://www.otzar.org/book.asp?61018","הצידה בשבת")</f>
        <v>הצידה בשבת</v>
      </c>
    </row>
    <row r="12190" spans="1:6" x14ac:dyDescent="0.2">
      <c r="A12190" t="s">
        <v>20827</v>
      </c>
      <c r="B12190" t="s">
        <v>4991</v>
      </c>
      <c r="C12190" t="s">
        <v>176</v>
      </c>
      <c r="D12190" t="s">
        <v>14</v>
      </c>
      <c r="E12190" t="s">
        <v>241</v>
      </c>
      <c r="F12190" s="2" t="str">
        <f>HYPERLINK("http://www.otzar.org/book.asp?6568","הציעור ותוצאותיו")</f>
        <v>הציעור ותוצאותיו</v>
      </c>
    </row>
    <row r="12191" spans="1:6" x14ac:dyDescent="0.2">
      <c r="A12191" t="s">
        <v>20828</v>
      </c>
      <c r="B12191" t="s">
        <v>206</v>
      </c>
      <c r="C12191" t="s">
        <v>523</v>
      </c>
      <c r="D12191" t="s">
        <v>14</v>
      </c>
      <c r="E12191" t="s">
        <v>15</v>
      </c>
      <c r="F12191" s="2" t="str">
        <f>HYPERLINK("http://www.otzar.org/book.asp?176753","הציצית בזמננו")</f>
        <v>הציצית בזמננו</v>
      </c>
    </row>
    <row r="12192" spans="1:6" x14ac:dyDescent="0.2">
      <c r="A12192" t="s">
        <v>20829</v>
      </c>
      <c r="B12192" t="s">
        <v>15617</v>
      </c>
      <c r="C12192" t="s">
        <v>466</v>
      </c>
      <c r="D12192" t="s">
        <v>14</v>
      </c>
      <c r="E12192" t="s">
        <v>10</v>
      </c>
      <c r="F12192" s="2" t="str">
        <f>HYPERLINK("http://www.otzar.org/book.asp?50249","הצלה כהלכה")</f>
        <v>הצלה כהלכה</v>
      </c>
    </row>
    <row r="12193" spans="1:6" x14ac:dyDescent="0.2">
      <c r="A12193" t="s">
        <v>20830</v>
      </c>
      <c r="B12193" t="s">
        <v>20831</v>
      </c>
      <c r="C12193" t="s">
        <v>1437</v>
      </c>
      <c r="D12193" t="s">
        <v>726</v>
      </c>
      <c r="E12193" t="s">
        <v>1072</v>
      </c>
      <c r="F12193" s="2" t="str">
        <f>HYPERLINK("http://www.otzar.org/book.asp?5279","הצלחת הנפש")</f>
        <v>הצלחת הנפש</v>
      </c>
    </row>
    <row r="12194" spans="1:6" x14ac:dyDescent="0.2">
      <c r="A12194" t="s">
        <v>20832</v>
      </c>
      <c r="B12194" t="s">
        <v>20833</v>
      </c>
      <c r="C12194" t="s">
        <v>185</v>
      </c>
      <c r="D12194" t="s">
        <v>90</v>
      </c>
      <c r="E12194" t="s">
        <v>104</v>
      </c>
      <c r="F12194" s="2" t="str">
        <f>HYPERLINK("http://www.otzar.org/book.asp?630329","הצלת בית החיים של רביז""ל")</f>
        <v>הצלת בית החיים של רביז"ל</v>
      </c>
    </row>
    <row r="12195" spans="1:6" x14ac:dyDescent="0.2">
      <c r="A12195" t="s">
        <v>20834</v>
      </c>
      <c r="B12195" t="s">
        <v>20835</v>
      </c>
      <c r="C12195" t="s">
        <v>3205</v>
      </c>
      <c r="D12195" t="s">
        <v>14</v>
      </c>
      <c r="E12195" t="s">
        <v>733</v>
      </c>
      <c r="F12195" s="2" t="str">
        <f>HYPERLINK("http://www.otzar.org/book.asp?83792","הצלת הרבי מבלז מגיא ההריגה בפולין")</f>
        <v>הצלת הרבי מבלז מגיא ההריגה בפולין</v>
      </c>
    </row>
    <row r="12196" spans="1:6" x14ac:dyDescent="0.2">
      <c r="A12196" t="s">
        <v>20836</v>
      </c>
      <c r="B12196" t="s">
        <v>13438</v>
      </c>
      <c r="C12196" t="s">
        <v>767</v>
      </c>
      <c r="D12196" t="s">
        <v>52</v>
      </c>
      <c r="E12196" t="s">
        <v>674</v>
      </c>
      <c r="F12196" s="2" t="str">
        <f>HYPERLINK("http://www.otzar.org/book.asp?146824","הצלת נפשות")</f>
        <v>הצלת נפשות</v>
      </c>
    </row>
    <row r="12197" spans="1:6" x14ac:dyDescent="0.2">
      <c r="A12197" t="s">
        <v>20837</v>
      </c>
      <c r="B12197" t="s">
        <v>4988</v>
      </c>
      <c r="C12197" t="s">
        <v>151</v>
      </c>
      <c r="D12197" t="s">
        <v>152</v>
      </c>
      <c r="F12197" s="2" t="str">
        <f>HYPERLINK("http://www.otzar.org/book.asp?613433","הצניעות והישועה - 2 כר'")</f>
        <v>הצניעות והישועה - 2 כר'</v>
      </c>
    </row>
    <row r="12198" spans="1:6" x14ac:dyDescent="0.2">
      <c r="A12198" t="s">
        <v>20838</v>
      </c>
      <c r="B12198" t="s">
        <v>20839</v>
      </c>
      <c r="C12198" t="s">
        <v>785</v>
      </c>
      <c r="D12198" t="s">
        <v>52</v>
      </c>
      <c r="F12198" s="2" t="str">
        <f>HYPERLINK("http://www.otzar.org/book.asp?153409","הצניעות")</f>
        <v>הצניעות</v>
      </c>
    </row>
    <row r="12199" spans="1:6" x14ac:dyDescent="0.2">
      <c r="A12199" t="s">
        <v>20840</v>
      </c>
      <c r="B12199" t="s">
        <v>206</v>
      </c>
      <c r="C12199" t="s">
        <v>20</v>
      </c>
      <c r="D12199" t="s">
        <v>90</v>
      </c>
      <c r="E12199" t="s">
        <v>674</v>
      </c>
      <c r="F12199" s="2" t="str">
        <f>HYPERLINK("http://www.otzar.org/book.asp?619821","הצנע לכת")</f>
        <v>הצנע לכת</v>
      </c>
    </row>
    <row r="12200" spans="1:6" x14ac:dyDescent="0.2">
      <c r="A12200" t="s">
        <v>20841</v>
      </c>
      <c r="B12200" t="s">
        <v>20841</v>
      </c>
      <c r="C12200" t="s">
        <v>5544</v>
      </c>
      <c r="D12200" t="s">
        <v>49</v>
      </c>
      <c r="E12200" t="s">
        <v>15</v>
      </c>
      <c r="F12200" s="2" t="str">
        <f>HYPERLINK("http://www.otzar.org/book.asp?167452","הצעה על אודות הגט")</f>
        <v>הצעה על אודות הגט</v>
      </c>
    </row>
    <row r="12201" spans="1:6" x14ac:dyDescent="0.2">
      <c r="A12201" t="s">
        <v>20842</v>
      </c>
      <c r="B12201" t="s">
        <v>20843</v>
      </c>
      <c r="C12201" t="s">
        <v>812</v>
      </c>
      <c r="D12201" t="s">
        <v>20844</v>
      </c>
      <c r="E12201" t="s">
        <v>104</v>
      </c>
      <c r="F12201" s="2" t="str">
        <f>HYPERLINK("http://www.otzar.org/book.asp?605156","הצעה על ישוב יהודי בעבר הירדן")</f>
        <v>הצעה על ישוב יהודי בעבר הירדן</v>
      </c>
    </row>
    <row r="12202" spans="1:6" x14ac:dyDescent="0.2">
      <c r="A12202" t="s">
        <v>20845</v>
      </c>
      <c r="B12202" t="s">
        <v>8053</v>
      </c>
      <c r="C12202" t="s">
        <v>1619</v>
      </c>
      <c r="D12202" t="s">
        <v>14</v>
      </c>
      <c r="E12202" t="s">
        <v>674</v>
      </c>
      <c r="F12202" s="2" t="str">
        <f>HYPERLINK("http://www.otzar.org/book.asp?625457","הצעות לקבלת מידע רפואי בשבת")</f>
        <v>הצעות לקבלת מידע רפואי בשבת</v>
      </c>
    </row>
    <row r="12203" spans="1:6" x14ac:dyDescent="0.2">
      <c r="A12203" t="s">
        <v>20846</v>
      </c>
      <c r="B12203" t="s">
        <v>20847</v>
      </c>
      <c r="C12203" t="s">
        <v>1663</v>
      </c>
      <c r="D12203" t="s">
        <v>216</v>
      </c>
      <c r="E12203" t="s">
        <v>202</v>
      </c>
      <c r="F12203" s="2" t="str">
        <f>HYPERLINK("http://www.otzar.org/book.asp?159980","הצפון - 3 כר'")</f>
        <v>הצפון - 3 כר'</v>
      </c>
    </row>
    <row r="12204" spans="1:6" x14ac:dyDescent="0.2">
      <c r="A12204" t="s">
        <v>20848</v>
      </c>
      <c r="B12204" t="s">
        <v>20849</v>
      </c>
      <c r="C12204" t="s">
        <v>20850</v>
      </c>
      <c r="D12204" t="s">
        <v>340</v>
      </c>
      <c r="E12204" t="s">
        <v>104</v>
      </c>
      <c r="F12204" s="2" t="str">
        <f>HYPERLINK("http://www.otzar.org/book.asp?53555","הקאנון הגדול &lt;ספר רפואה&gt;")</f>
        <v>הקאנון הגדול &lt;ספר רפואה&gt;</v>
      </c>
    </row>
    <row r="12205" spans="1:6" x14ac:dyDescent="0.2">
      <c r="A12205" t="s">
        <v>20851</v>
      </c>
      <c r="B12205" t="s">
        <v>20852</v>
      </c>
      <c r="C12205" t="s">
        <v>438</v>
      </c>
      <c r="D12205" t="s">
        <v>90</v>
      </c>
      <c r="E12205" t="s">
        <v>104</v>
      </c>
      <c r="F12205" s="2" t="str">
        <f>HYPERLINK("http://www.otzar.org/book.asp?189858","הקבוצה הדתית")</f>
        <v>הקבוצה הדתית</v>
      </c>
    </row>
    <row r="12206" spans="1:6" x14ac:dyDescent="0.2">
      <c r="A12206" t="s">
        <v>20853</v>
      </c>
      <c r="B12206" t="s">
        <v>4735</v>
      </c>
      <c r="C12206" t="s">
        <v>17</v>
      </c>
      <c r="D12206" t="s">
        <v>14</v>
      </c>
      <c r="E12206" t="s">
        <v>1438</v>
      </c>
      <c r="F12206" s="2" t="str">
        <f>HYPERLINK("http://www.otzar.org/book.asp?6378","הקבלה שבשפות")</f>
        <v>הקבלה שבשפות</v>
      </c>
    </row>
    <row r="12207" spans="1:6" x14ac:dyDescent="0.2">
      <c r="A12207" t="s">
        <v>20854</v>
      </c>
      <c r="B12207" t="s">
        <v>19024</v>
      </c>
      <c r="C12207" t="s">
        <v>442</v>
      </c>
      <c r="D12207" t="s">
        <v>260</v>
      </c>
      <c r="E12207" t="s">
        <v>399</v>
      </c>
      <c r="F12207" s="2" t="str">
        <f>HYPERLINK("http://www.otzar.org/book.asp?107117","הקבלה")</f>
        <v>הקבלה</v>
      </c>
    </row>
    <row r="12208" spans="1:6" x14ac:dyDescent="0.2">
      <c r="A12208" t="s">
        <v>20855</v>
      </c>
      <c r="B12208" t="s">
        <v>10363</v>
      </c>
      <c r="C12208" t="s">
        <v>23</v>
      </c>
      <c r="D12208" t="s">
        <v>14</v>
      </c>
      <c r="E12208" t="s">
        <v>140</v>
      </c>
      <c r="F12208" s="2" t="str">
        <f>HYPERLINK("http://www.otzar.org/book.asp?628077","הקבצו - 5 כר'")</f>
        <v>הקבצו - 5 כר'</v>
      </c>
    </row>
    <row r="12209" spans="1:6" x14ac:dyDescent="0.2">
      <c r="A12209" t="s">
        <v>20856</v>
      </c>
      <c r="B12209" t="s">
        <v>17223</v>
      </c>
      <c r="C12209" t="s">
        <v>940</v>
      </c>
      <c r="D12209" t="s">
        <v>52</v>
      </c>
      <c r="E12209" t="s">
        <v>119</v>
      </c>
      <c r="F12209" s="2" t="str">
        <f>HYPERLINK("http://www.otzar.org/book.asp?180433","הקברניט הנאמן")</f>
        <v>הקברניט הנאמן</v>
      </c>
    </row>
    <row r="12210" spans="1:6" x14ac:dyDescent="0.2">
      <c r="A12210" t="s">
        <v>20857</v>
      </c>
      <c r="B12210" t="s">
        <v>20858</v>
      </c>
      <c r="C12210" t="s">
        <v>427</v>
      </c>
      <c r="D12210" t="s">
        <v>216</v>
      </c>
      <c r="E12210" t="s">
        <v>104</v>
      </c>
      <c r="F12210" s="2" t="str">
        <f>HYPERLINK("http://www.otzar.org/book.asp?167559","הקדוש מטירנא")</f>
        <v>הקדוש מטירנא</v>
      </c>
    </row>
    <row r="12211" spans="1:6" x14ac:dyDescent="0.2">
      <c r="A12211" t="s">
        <v>20859</v>
      </c>
      <c r="B12211" t="s">
        <v>20860</v>
      </c>
      <c r="C12211" t="s">
        <v>940</v>
      </c>
      <c r="D12211" t="s">
        <v>14</v>
      </c>
      <c r="E12211" t="s">
        <v>119</v>
      </c>
      <c r="F12211" s="2" t="str">
        <f>HYPERLINK("http://www.otzar.org/book.asp?153624","הקדוש רבי יעקב ישראל דה האן")</f>
        <v>הקדוש רבי יעקב ישראל דה האן</v>
      </c>
    </row>
    <row r="12212" spans="1:6" x14ac:dyDescent="0.2">
      <c r="A12212" t="s">
        <v>20861</v>
      </c>
      <c r="B12212" t="s">
        <v>20862</v>
      </c>
      <c r="C12212" t="s">
        <v>20</v>
      </c>
      <c r="D12212" t="s">
        <v>52</v>
      </c>
      <c r="E12212" t="s">
        <v>241</v>
      </c>
      <c r="F12212" s="2" t="str">
        <f>HYPERLINK("http://www.otzar.org/book.asp?600114","הקדושה והתשובה")</f>
        <v>הקדושה והתשובה</v>
      </c>
    </row>
    <row r="12213" spans="1:6" x14ac:dyDescent="0.2">
      <c r="A12213" t="s">
        <v>20863</v>
      </c>
      <c r="B12213" t="s">
        <v>20864</v>
      </c>
      <c r="C12213" t="s">
        <v>13</v>
      </c>
      <c r="D12213" t="s">
        <v>1651</v>
      </c>
      <c r="E12213" t="s">
        <v>15</v>
      </c>
      <c r="F12213" s="2" t="str">
        <f>HYPERLINK("http://www.otzar.org/book.asp?155816","הקדיש")</f>
        <v>הקדיש</v>
      </c>
    </row>
    <row r="12214" spans="1:6" x14ac:dyDescent="0.2">
      <c r="A12214" t="s">
        <v>20863</v>
      </c>
      <c r="B12214" t="s">
        <v>3108</v>
      </c>
      <c r="C12214" t="s">
        <v>99</v>
      </c>
      <c r="D12214" t="s">
        <v>9</v>
      </c>
      <c r="E12214" t="s">
        <v>15</v>
      </c>
      <c r="F12214" s="2" t="str">
        <f>HYPERLINK("http://www.otzar.org/book.asp?51347","הקדיש")</f>
        <v>הקדיש</v>
      </c>
    </row>
    <row r="12215" spans="1:6" x14ac:dyDescent="0.2">
      <c r="A12215" t="s">
        <v>20865</v>
      </c>
      <c r="B12215" t="s">
        <v>20866</v>
      </c>
      <c r="C12215" t="s">
        <v>496</v>
      </c>
      <c r="D12215" t="s">
        <v>322</v>
      </c>
      <c r="E12215" t="s">
        <v>28</v>
      </c>
      <c r="F12215" s="2" t="str">
        <f>HYPERLINK("http://www.otzar.org/book.asp?12999","הקדמה הכללית לסידור ר' שבתי (בן יצחק) הסופר")</f>
        <v>הקדמה הכללית לסידור ר' שבתי (בן יצחק) הסופר</v>
      </c>
    </row>
    <row r="12216" spans="1:6" x14ac:dyDescent="0.2">
      <c r="A12216" t="s">
        <v>20867</v>
      </c>
      <c r="B12216" t="s">
        <v>98</v>
      </c>
      <c r="C12216" t="s">
        <v>99</v>
      </c>
      <c r="D12216" t="s">
        <v>100</v>
      </c>
      <c r="E12216" t="s">
        <v>241</v>
      </c>
      <c r="F12216" s="2" t="str">
        <f>HYPERLINK("http://www.otzar.org/book.asp?10797","הקדמה לספר אבות על בנים")</f>
        <v>הקדמה לספר אבות על בנים</v>
      </c>
    </row>
    <row r="12217" spans="1:6" x14ac:dyDescent="0.2">
      <c r="A12217" t="s">
        <v>20868</v>
      </c>
      <c r="B12217" t="s">
        <v>20869</v>
      </c>
      <c r="F12217" s="2" t="str">
        <f>HYPERLINK("http://www.otzar.org/book.asp?622998","הקדמה לספר הזהר")</f>
        <v>הקדמה לספר הזהר</v>
      </c>
    </row>
    <row r="12218" spans="1:6" x14ac:dyDescent="0.2">
      <c r="A12218" t="s">
        <v>20870</v>
      </c>
      <c r="B12218" t="s">
        <v>107</v>
      </c>
      <c r="C12218" t="s">
        <v>20</v>
      </c>
      <c r="D12218" t="s">
        <v>14</v>
      </c>
      <c r="E12218" t="s">
        <v>104</v>
      </c>
      <c r="F12218" s="2" t="str">
        <f>HYPERLINK("http://www.otzar.org/book.asp?625795","הקדמה לספר ויואל משה החדש")</f>
        <v>הקדמה לספר ויואל משה החדש</v>
      </c>
    </row>
    <row r="12219" spans="1:6" x14ac:dyDescent="0.2">
      <c r="A12219" t="s">
        <v>20871</v>
      </c>
      <c r="B12219" t="s">
        <v>7430</v>
      </c>
      <c r="C12219" t="s">
        <v>1124</v>
      </c>
      <c r="D12219" t="s">
        <v>1459</v>
      </c>
      <c r="E12219" t="s">
        <v>158</v>
      </c>
      <c r="F12219" s="2" t="str">
        <f>HYPERLINK("http://www.otzar.org/book.asp?12979","הקדמה לספר מנחת שי")</f>
        <v>הקדמה לספר מנחת שי</v>
      </c>
    </row>
    <row r="12220" spans="1:6" x14ac:dyDescent="0.2">
      <c r="A12220" t="s">
        <v>20872</v>
      </c>
      <c r="B12220" t="s">
        <v>20873</v>
      </c>
      <c r="C12220" t="s">
        <v>356</v>
      </c>
      <c r="D12220" t="s">
        <v>14</v>
      </c>
      <c r="F12220" s="2" t="str">
        <f>HYPERLINK("http://www.otzar.org/book.asp?169772","הקדמה לשו""ת הרשב""א רומא ר""ל")</f>
        <v>הקדמה לשו"ת הרשב"א רומא ר"ל</v>
      </c>
    </row>
    <row r="12221" spans="1:6" x14ac:dyDescent="0.2">
      <c r="A12221" t="s">
        <v>20874</v>
      </c>
      <c r="B12221" t="s">
        <v>20875</v>
      </c>
      <c r="C12221" t="s">
        <v>68</v>
      </c>
      <c r="D12221" t="s">
        <v>13187</v>
      </c>
      <c r="E12221" t="s">
        <v>104</v>
      </c>
      <c r="F12221" s="2" t="str">
        <f>HYPERLINK("http://www.otzar.org/book.asp?188945","הקדמות הגאון הרב אריה ליב פרומקין לסידורים")</f>
        <v>הקדמות הגאון הרב אריה ליב פרומקין לסידורים</v>
      </c>
    </row>
    <row r="12222" spans="1:6" x14ac:dyDescent="0.2">
      <c r="A12222" t="s">
        <v>20876</v>
      </c>
      <c r="B12222" t="s">
        <v>1320</v>
      </c>
      <c r="C12222" t="s">
        <v>767</v>
      </c>
      <c r="D12222" t="s">
        <v>21</v>
      </c>
      <c r="F12222" s="2" t="str">
        <f>HYPERLINK("http://www.otzar.org/book.asp?186107","הקדמות הרמב""ם למשנה &lt;מהדורת שילת&gt;")</f>
        <v>הקדמות הרמב"ם למשנה &lt;מהדורת שילת&gt;</v>
      </c>
    </row>
    <row r="12223" spans="1:6" x14ac:dyDescent="0.2">
      <c r="A12223" t="s">
        <v>20877</v>
      </c>
      <c r="B12223" t="s">
        <v>20878</v>
      </c>
      <c r="C12223" t="s">
        <v>767</v>
      </c>
      <c r="D12223" t="s">
        <v>21</v>
      </c>
      <c r="E12223" t="s">
        <v>3489</v>
      </c>
      <c r="F12223" s="2" t="str">
        <f>HYPERLINK("http://www.otzar.org/book.asp?186106","הקדמות הרמב""ם למשנה &lt;מהדורת שילת&gt; &lt;ללא המקור הערבי&gt;")</f>
        <v>הקדמות הרמב"ם למשנה &lt;מהדורת שילת&gt; &lt;ללא המקור הערבי&gt;</v>
      </c>
    </row>
    <row r="12224" spans="1:6" x14ac:dyDescent="0.2">
      <c r="A12224" t="s">
        <v>20879</v>
      </c>
      <c r="B12224" t="s">
        <v>20880</v>
      </c>
      <c r="C12224" t="s">
        <v>63</v>
      </c>
      <c r="D12224" t="s">
        <v>52</v>
      </c>
      <c r="E12224" t="s">
        <v>241</v>
      </c>
      <c r="F12224" s="2" t="str">
        <f>HYPERLINK("http://www.otzar.org/book.asp?148727","הקדמות הרמב""ם")</f>
        <v>הקדמות הרמב"ם</v>
      </c>
    </row>
    <row r="12225" spans="1:6" x14ac:dyDescent="0.2">
      <c r="A12225" t="s">
        <v>20881</v>
      </c>
      <c r="B12225" t="s">
        <v>513</v>
      </c>
      <c r="C12225" t="s">
        <v>13</v>
      </c>
      <c r="D12225" t="s">
        <v>4508</v>
      </c>
      <c r="E12225" t="s">
        <v>399</v>
      </c>
      <c r="F12225" s="2" t="str">
        <f>HYPERLINK("http://www.otzar.org/book.asp?144158","הקדמות לחכמת האמת")</f>
        <v>הקדמות לחכמת האמת</v>
      </c>
    </row>
    <row r="12226" spans="1:6" x14ac:dyDescent="0.2">
      <c r="A12226" t="s">
        <v>20882</v>
      </c>
      <c r="B12226" t="s">
        <v>20883</v>
      </c>
      <c r="C12226" t="s">
        <v>37</v>
      </c>
      <c r="D12226" t="s">
        <v>90</v>
      </c>
      <c r="E12226" t="s">
        <v>144</v>
      </c>
      <c r="F12226" s="2" t="str">
        <f>HYPERLINK("http://www.otzar.org/book.asp?181900","הקדמות לחכמת התכונה")</f>
        <v>הקדמות לחכמת התכונה</v>
      </c>
    </row>
    <row r="12227" spans="1:6" x14ac:dyDescent="0.2">
      <c r="A12227" t="s">
        <v>20884</v>
      </c>
      <c r="B12227" t="s">
        <v>602</v>
      </c>
      <c r="C12227" t="s">
        <v>68</v>
      </c>
      <c r="D12227" t="s">
        <v>13187</v>
      </c>
      <c r="E12227" t="s">
        <v>1626</v>
      </c>
      <c r="F12227" s="2" t="str">
        <f>HYPERLINK("http://www.otzar.org/book.asp?180875","הקדמות רבי אריה ליב פרומקין לסידור")</f>
        <v>הקדמות רבי אריה ליב פרומקין לסידור</v>
      </c>
    </row>
    <row r="12228" spans="1:6" x14ac:dyDescent="0.2">
      <c r="A12228" t="s">
        <v>20885</v>
      </c>
      <c r="B12228" t="s">
        <v>20886</v>
      </c>
      <c r="D12228" t="s">
        <v>52</v>
      </c>
      <c r="E12228" t="s">
        <v>399</v>
      </c>
      <c r="F12228" s="2" t="str">
        <f>HYPERLINK("http://www.otzar.org/book.asp?629318","הקדמת הזהר עם שינוי נוסחאות")</f>
        <v>הקדמת הזהר עם שינוי נוסחאות</v>
      </c>
    </row>
    <row r="12229" spans="1:6" x14ac:dyDescent="0.2">
      <c r="A12229" t="s">
        <v>20887</v>
      </c>
      <c r="B12229" t="s">
        <v>20888</v>
      </c>
      <c r="C12229" t="s">
        <v>20</v>
      </c>
      <c r="D12229" t="s">
        <v>52</v>
      </c>
      <c r="E12229" t="s">
        <v>213</v>
      </c>
      <c r="F12229" s="2" t="str">
        <f>HYPERLINK("http://www.otzar.org/book.asp?176752","הקדמת הספר חפץ חיים")</f>
        <v>הקדמת הספר חפץ חיים</v>
      </c>
    </row>
    <row r="12230" spans="1:6" x14ac:dyDescent="0.2">
      <c r="A12230" t="s">
        <v>20889</v>
      </c>
      <c r="B12230" t="s">
        <v>16927</v>
      </c>
      <c r="C12230" t="s">
        <v>422</v>
      </c>
      <c r="D12230" t="s">
        <v>14</v>
      </c>
      <c r="E12230" t="s">
        <v>14704</v>
      </c>
      <c r="F12230" s="2" t="str">
        <f>HYPERLINK("http://www.otzar.org/book.asp?626752","הקדמת הרוקח")</f>
        <v>הקדמת הרוקח</v>
      </c>
    </row>
    <row r="12231" spans="1:6" x14ac:dyDescent="0.2">
      <c r="A12231" t="s">
        <v>20890</v>
      </c>
      <c r="B12231" t="s">
        <v>20891</v>
      </c>
      <c r="C12231" t="s">
        <v>37</v>
      </c>
      <c r="D12231" t="s">
        <v>52</v>
      </c>
      <c r="E12231" t="s">
        <v>15</v>
      </c>
      <c r="F12231" s="2" t="str">
        <f>HYPERLINK("http://www.otzar.org/book.asp?180570","הקדמת הרמב""ם לסדר טהרות &lt;נתיבי דעת&gt; - א")</f>
        <v>הקדמת הרמב"ם לסדר טהרות &lt;נתיבי דעת&gt; - א</v>
      </c>
    </row>
    <row r="12232" spans="1:6" x14ac:dyDescent="0.2">
      <c r="A12232" t="s">
        <v>20892</v>
      </c>
      <c r="B12232" t="s">
        <v>20893</v>
      </c>
      <c r="C12232" t="s">
        <v>51</v>
      </c>
      <c r="D12232" t="s">
        <v>14</v>
      </c>
      <c r="E12232" t="s">
        <v>241</v>
      </c>
      <c r="F12232" s="2" t="str">
        <f>HYPERLINK("http://www.otzar.org/book.asp?159034","הקדמת הרמב""ם לסדר טהרות &lt;דעת שלמה&gt;")</f>
        <v>הקדמת הרמב"ם לסדר טהרות &lt;דעת שלמה&gt;</v>
      </c>
    </row>
    <row r="12233" spans="1:6" x14ac:dyDescent="0.2">
      <c r="A12233" t="s">
        <v>20894</v>
      </c>
      <c r="B12233" t="s">
        <v>20895</v>
      </c>
      <c r="C12233" t="s">
        <v>6041</v>
      </c>
      <c r="D12233" t="s">
        <v>1023</v>
      </c>
      <c r="E12233" t="s">
        <v>10301</v>
      </c>
      <c r="F12233" s="2" t="str">
        <f>HYPERLINK("http://www.otzar.org/book.asp?17726","הקדמת ווי העמודים")</f>
        <v>הקדמת ווי העמודים</v>
      </c>
    </row>
    <row r="12234" spans="1:6" x14ac:dyDescent="0.2">
      <c r="A12234" t="s">
        <v>20896</v>
      </c>
      <c r="B12234" t="s">
        <v>20897</v>
      </c>
      <c r="C12234" t="s">
        <v>17</v>
      </c>
      <c r="D12234" t="s">
        <v>412</v>
      </c>
      <c r="E12234" t="s">
        <v>213</v>
      </c>
      <c r="F12234" s="2" t="str">
        <f>HYPERLINK("http://www.otzar.org/book.asp?172116","הקדמת חקל יצחק")</f>
        <v>הקדמת חקל יצחק</v>
      </c>
    </row>
    <row r="12235" spans="1:6" x14ac:dyDescent="0.2">
      <c r="A12235" t="s">
        <v>20898</v>
      </c>
      <c r="B12235" t="s">
        <v>8001</v>
      </c>
      <c r="C12235" t="s">
        <v>8002</v>
      </c>
      <c r="D12235" t="s">
        <v>2303</v>
      </c>
      <c r="F12235" s="2" t="str">
        <f>HYPERLINK("http://www.otzar.org/book.asp?182087","הקדמת ספר אשל אברהם")</f>
        <v>הקדמת ספר אשל אברהם</v>
      </c>
    </row>
    <row r="12236" spans="1:6" x14ac:dyDescent="0.2">
      <c r="A12236" t="s">
        <v>20899</v>
      </c>
      <c r="B12236" t="s">
        <v>20895</v>
      </c>
      <c r="C12236" t="s">
        <v>5160</v>
      </c>
      <c r="D12236" t="s">
        <v>20900</v>
      </c>
      <c r="F12236" s="2" t="str">
        <f>HYPERLINK("http://www.otzar.org/book.asp?150081","הקדמת ספר ווי העמודים")</f>
        <v>הקדמת ספר ווי העמודים</v>
      </c>
    </row>
    <row r="12237" spans="1:6" x14ac:dyDescent="0.2">
      <c r="A12237" t="s">
        <v>20901</v>
      </c>
      <c r="B12237" t="s">
        <v>19621</v>
      </c>
      <c r="C12237" t="s">
        <v>20</v>
      </c>
      <c r="D12237" t="s">
        <v>147</v>
      </c>
      <c r="E12237" t="s">
        <v>314</v>
      </c>
      <c r="F12237" s="2" t="str">
        <f>HYPERLINK("http://www.otzar.org/book.asp?629281","הקדמת ספר מסילת ישרים ע""פ סלו המסילה")</f>
        <v>הקדמת ספר מסילת ישרים ע"פ סלו המסילה</v>
      </c>
    </row>
    <row r="12238" spans="1:6" x14ac:dyDescent="0.2">
      <c r="A12238" t="s">
        <v>20902</v>
      </c>
      <c r="B12238" t="s">
        <v>20903</v>
      </c>
      <c r="C12238" t="s">
        <v>168</v>
      </c>
      <c r="D12238" t="s">
        <v>260</v>
      </c>
      <c r="E12238" t="s">
        <v>119</v>
      </c>
      <c r="F12238" s="2" t="str">
        <f>HYPERLINK("http://www.otzar.org/book.asp?191750","הקהילה היהודית בירושלים במאה הי""ז")</f>
        <v>הקהילה היהודית בירושלים במאה הי"ז</v>
      </c>
    </row>
    <row r="12239" spans="1:6" x14ac:dyDescent="0.2">
      <c r="A12239" t="s">
        <v>20904</v>
      </c>
      <c r="B12239" t="s">
        <v>20905</v>
      </c>
      <c r="C12239" t="s">
        <v>20</v>
      </c>
      <c r="D12239" t="s">
        <v>14</v>
      </c>
      <c r="F12239" s="2" t="str">
        <f>HYPERLINK("http://www.otzar.org/book.asp?600353","הקהל")</f>
        <v>הקהל</v>
      </c>
    </row>
    <row r="12240" spans="1:6" x14ac:dyDescent="0.2">
      <c r="A12240" t="s">
        <v>20906</v>
      </c>
      <c r="B12240" t="s">
        <v>1750</v>
      </c>
      <c r="C12240" t="s">
        <v>985</v>
      </c>
      <c r="D12240" t="s">
        <v>27</v>
      </c>
      <c r="E12240" t="s">
        <v>384</v>
      </c>
      <c r="F12240" s="2" t="str">
        <f>HYPERLINK("http://www.otzar.org/book.asp?147168","הקהל - 2 כר'")</f>
        <v>הקהל - 2 כר'</v>
      </c>
    </row>
    <row r="12241" spans="1:6" x14ac:dyDescent="0.2">
      <c r="A12241" t="s">
        <v>20907</v>
      </c>
      <c r="B12241" t="s">
        <v>20908</v>
      </c>
      <c r="C12241" t="s">
        <v>129</v>
      </c>
      <c r="D12241" t="s">
        <v>412</v>
      </c>
      <c r="E12241" t="s">
        <v>119</v>
      </c>
      <c r="F12241" s="2" t="str">
        <f>HYPERLINK("http://www.otzar.org/book.asp?177040","הקול אריה - 2 כר'")</f>
        <v>הקול אריה - 2 כר'</v>
      </c>
    </row>
    <row r="12242" spans="1:6" x14ac:dyDescent="0.2">
      <c r="A12242" t="s">
        <v>20909</v>
      </c>
      <c r="B12242" t="s">
        <v>2919</v>
      </c>
      <c r="C12242" t="s">
        <v>151</v>
      </c>
      <c r="D12242" t="s">
        <v>14</v>
      </c>
      <c r="F12242" s="2" t="str">
        <f>HYPERLINK("http://www.otzar.org/book.asp?616678","הקול החמישי")</f>
        <v>הקול החמישי</v>
      </c>
    </row>
    <row r="12243" spans="1:6" x14ac:dyDescent="0.2">
      <c r="A12243" t="s">
        <v>20910</v>
      </c>
      <c r="B12243" t="s">
        <v>7854</v>
      </c>
      <c r="C12243" t="s">
        <v>20</v>
      </c>
      <c r="D12243" t="s">
        <v>14</v>
      </c>
      <c r="E12243" t="s">
        <v>241</v>
      </c>
      <c r="F12243" s="2" t="str">
        <f>HYPERLINK("http://www.otzar.org/book.asp?165075","הקול המשקה את הגן")</f>
        <v>הקול המשקה את הגן</v>
      </c>
    </row>
    <row r="12244" spans="1:6" x14ac:dyDescent="0.2">
      <c r="A12244" t="s">
        <v>20911</v>
      </c>
      <c r="B12244" t="s">
        <v>20911</v>
      </c>
      <c r="C12244" t="s">
        <v>1448</v>
      </c>
      <c r="D12244" t="s">
        <v>14</v>
      </c>
      <c r="E12244" t="s">
        <v>241</v>
      </c>
      <c r="F12244" s="2" t="str">
        <f>HYPERLINK("http://www.otzar.org/book.asp?13130","הקול קול יעקב")</f>
        <v>הקול קול יעקב</v>
      </c>
    </row>
    <row r="12245" spans="1:6" x14ac:dyDescent="0.2">
      <c r="A12245" t="s">
        <v>20911</v>
      </c>
      <c r="B12245" t="s">
        <v>20912</v>
      </c>
      <c r="C12245" t="s">
        <v>111</v>
      </c>
      <c r="D12245" t="s">
        <v>90</v>
      </c>
      <c r="E12245" t="s">
        <v>579</v>
      </c>
      <c r="F12245" s="2" t="str">
        <f>HYPERLINK("http://www.otzar.org/book.asp?630110","הקול קול יעקב")</f>
        <v>הקול קול יעקב</v>
      </c>
    </row>
    <row r="12246" spans="1:6" x14ac:dyDescent="0.2">
      <c r="A12246" t="s">
        <v>20913</v>
      </c>
      <c r="B12246" t="s">
        <v>1949</v>
      </c>
      <c r="C12246" t="s">
        <v>506</v>
      </c>
      <c r="D12246" t="s">
        <v>1188</v>
      </c>
      <c r="E12246" t="s">
        <v>20914</v>
      </c>
      <c r="F12246" s="2" t="str">
        <f>HYPERLINK("http://www.otzar.org/book.asp?200117","הקונטריס היחיאלי")</f>
        <v>הקונטריס היחיאלי</v>
      </c>
    </row>
    <row r="12247" spans="1:6" x14ac:dyDescent="0.2">
      <c r="A12247" t="s">
        <v>20915</v>
      </c>
      <c r="B12247" t="s">
        <v>12149</v>
      </c>
      <c r="C12247" t="s">
        <v>103</v>
      </c>
      <c r="D12247" t="s">
        <v>14</v>
      </c>
      <c r="E12247" t="s">
        <v>15</v>
      </c>
      <c r="F12247" s="2" t="str">
        <f>HYPERLINK("http://www.otzar.org/book.asp?50175","הקטן והלכותיו - 2 כר'")</f>
        <v>הקטן והלכותיו - 2 כר'</v>
      </c>
    </row>
    <row r="12248" spans="1:6" x14ac:dyDescent="0.2">
      <c r="A12248" t="s">
        <v>20916</v>
      </c>
      <c r="B12248" t="s">
        <v>20917</v>
      </c>
      <c r="C12248" t="s">
        <v>1663</v>
      </c>
      <c r="D12248" t="s">
        <v>18072</v>
      </c>
      <c r="F12248" s="2" t="str">
        <f>HYPERLINK("http://www.otzar.org/book.asp?615375","הקידושין בישראל")</f>
        <v>הקידושין בישראל</v>
      </c>
    </row>
    <row r="12249" spans="1:6" x14ac:dyDescent="0.2">
      <c r="A12249" t="s">
        <v>20918</v>
      </c>
      <c r="B12249" t="s">
        <v>20919</v>
      </c>
      <c r="C12249" t="s">
        <v>51</v>
      </c>
      <c r="D12249" t="s">
        <v>90</v>
      </c>
      <c r="F12249" s="2" t="str">
        <f>HYPERLINK("http://www.otzar.org/book.asp?197376","הקידושין והבאר - ב")</f>
        <v>הקידושין והבאר - ב</v>
      </c>
    </row>
    <row r="12250" spans="1:6" x14ac:dyDescent="0.2">
      <c r="A12250" t="s">
        <v>20920</v>
      </c>
      <c r="B12250" t="s">
        <v>20921</v>
      </c>
      <c r="C12250" t="s">
        <v>20922</v>
      </c>
      <c r="D12250" t="s">
        <v>1117</v>
      </c>
      <c r="E12250" t="s">
        <v>219</v>
      </c>
      <c r="F12250" s="2" t="str">
        <f>HYPERLINK("http://www.otzar.org/book.asp?146734","הקינות")</f>
        <v>הקינות</v>
      </c>
    </row>
    <row r="12251" spans="1:6" x14ac:dyDescent="0.2">
      <c r="A12251" t="s">
        <v>20923</v>
      </c>
      <c r="B12251" t="s">
        <v>20924</v>
      </c>
      <c r="C12251" t="s">
        <v>989</v>
      </c>
      <c r="D12251" t="s">
        <v>14</v>
      </c>
      <c r="E12251" t="s">
        <v>674</v>
      </c>
      <c r="F12251" s="2" t="str">
        <f>HYPERLINK("http://www.otzar.org/book.asp?157477","הקיצו ורננו")</f>
        <v>הקיצו ורננו</v>
      </c>
    </row>
    <row r="12252" spans="1:6" x14ac:dyDescent="0.2">
      <c r="A12252" t="s">
        <v>20925</v>
      </c>
      <c r="B12252" t="s">
        <v>20926</v>
      </c>
      <c r="C12252" t="s">
        <v>71</v>
      </c>
      <c r="D12252" t="s">
        <v>852</v>
      </c>
      <c r="E12252" t="s">
        <v>733</v>
      </c>
      <c r="F12252" s="2" t="str">
        <f>HYPERLINK("http://www.otzar.org/book.asp?151714","הקישור במורשת יהודי צפון תימן")</f>
        <v>הקישור במורשת יהודי צפון תימן</v>
      </c>
    </row>
    <row r="12253" spans="1:6" x14ac:dyDescent="0.2">
      <c r="A12253" t="s">
        <v>20927</v>
      </c>
      <c r="B12253" t="s">
        <v>20928</v>
      </c>
      <c r="C12253" t="s">
        <v>103</v>
      </c>
      <c r="D12253" t="s">
        <v>52</v>
      </c>
      <c r="E12253" t="s">
        <v>84</v>
      </c>
      <c r="F12253" s="2" t="str">
        <f>HYPERLINK("http://www.otzar.org/book.asp?191468","הקלין שבדמאי")</f>
        <v>הקלין שבדמאי</v>
      </c>
    </row>
    <row r="12254" spans="1:6" x14ac:dyDescent="0.2">
      <c r="A12254" t="s">
        <v>20929</v>
      </c>
      <c r="B12254" t="s">
        <v>1681</v>
      </c>
      <c r="C12254" t="s">
        <v>411</v>
      </c>
      <c r="D12254" t="s">
        <v>52</v>
      </c>
      <c r="E12254" t="s">
        <v>172</v>
      </c>
      <c r="F12254" s="2" t="str">
        <f>HYPERLINK("http://www.otzar.org/book.asp?166074","הקללה לברכה")</f>
        <v>הקללה לברכה</v>
      </c>
    </row>
    <row r="12255" spans="1:6" x14ac:dyDescent="0.2">
      <c r="A12255" t="s">
        <v>20930</v>
      </c>
      <c r="B12255" t="s">
        <v>20931</v>
      </c>
      <c r="C12255" t="s">
        <v>20</v>
      </c>
      <c r="D12255" t="s">
        <v>21</v>
      </c>
      <c r="E12255" t="s">
        <v>733</v>
      </c>
      <c r="F12255" s="2" t="str">
        <f>HYPERLINK("http://www.otzar.org/book.asp?195970","הקנטוניסטים")</f>
        <v>הקנטוניסטים</v>
      </c>
    </row>
    <row r="12256" spans="1:6" x14ac:dyDescent="0.2">
      <c r="A12256" t="s">
        <v>20932</v>
      </c>
      <c r="B12256" t="s">
        <v>20933</v>
      </c>
      <c r="C12256" t="s">
        <v>1844</v>
      </c>
      <c r="D12256" t="s">
        <v>212</v>
      </c>
      <c r="F12256" s="2" t="str">
        <f>HYPERLINK("http://www.otzar.org/book.asp?189619","הקפות לשמחת תורה")</f>
        <v>הקפות לשמחת תורה</v>
      </c>
    </row>
    <row r="12257" spans="1:6" x14ac:dyDescent="0.2">
      <c r="A12257" t="s">
        <v>20934</v>
      </c>
      <c r="B12257" t="s">
        <v>20935</v>
      </c>
      <c r="C12257" t="s">
        <v>422</v>
      </c>
      <c r="D12257" t="s">
        <v>14</v>
      </c>
      <c r="E12257" t="s">
        <v>15</v>
      </c>
      <c r="F12257" s="2" t="str">
        <f>HYPERLINK("http://www.otzar.org/book.asp?179716","הקריאה בתורה והלכותיה")</f>
        <v>הקריאה בתורה והלכותיה</v>
      </c>
    </row>
    <row r="12258" spans="1:6" x14ac:dyDescent="0.2">
      <c r="A12258" t="s">
        <v>20936</v>
      </c>
      <c r="B12258" t="s">
        <v>206</v>
      </c>
      <c r="C12258" t="s">
        <v>20</v>
      </c>
      <c r="D12258" t="s">
        <v>90</v>
      </c>
      <c r="E12258" t="s">
        <v>15</v>
      </c>
      <c r="F12258" s="2" t="str">
        <f>HYPERLINK("http://www.otzar.org/book.asp?629876","הקריאה והקדושה")</f>
        <v>הקריאה והקדושה</v>
      </c>
    </row>
    <row r="12259" spans="1:6" x14ac:dyDescent="0.2">
      <c r="A12259" t="s">
        <v>20937</v>
      </c>
      <c r="B12259" t="s">
        <v>1417</v>
      </c>
      <c r="C12259" t="s">
        <v>17</v>
      </c>
      <c r="D12259" t="s">
        <v>14</v>
      </c>
      <c r="E12259" t="s">
        <v>234</v>
      </c>
      <c r="F12259" s="2" t="str">
        <f>HYPERLINK("http://www.otzar.org/book.asp?21337","הקשורים ליעקב")</f>
        <v>הקשורים ליעקב</v>
      </c>
    </row>
    <row r="12260" spans="1:6" x14ac:dyDescent="0.2">
      <c r="A12260" t="s">
        <v>20938</v>
      </c>
      <c r="B12260" t="s">
        <v>107</v>
      </c>
      <c r="C12260" t="s">
        <v>20</v>
      </c>
      <c r="D12260" t="s">
        <v>14</v>
      </c>
      <c r="E12260" t="s">
        <v>104</v>
      </c>
      <c r="F12260" s="2" t="str">
        <f>HYPERLINK("http://www.otzar.org/book.asp?625782","הקשר שבין עם ישראל למצרים")</f>
        <v>הקשר שבין עם ישראל למצרים</v>
      </c>
    </row>
    <row r="12261" spans="1:6" x14ac:dyDescent="0.2">
      <c r="A12261" t="s">
        <v>20939</v>
      </c>
      <c r="B12261" t="s">
        <v>20940</v>
      </c>
      <c r="C12261" t="s">
        <v>2140</v>
      </c>
      <c r="D12261" t="s">
        <v>267</v>
      </c>
      <c r="E12261" t="s">
        <v>15</v>
      </c>
      <c r="F12261" s="2" t="str">
        <f>HYPERLINK("http://www.otzar.org/book.asp?141060","הר אבל")</f>
        <v>הר אבל</v>
      </c>
    </row>
    <row r="12262" spans="1:6" x14ac:dyDescent="0.2">
      <c r="A12262" t="s">
        <v>20941</v>
      </c>
      <c r="B12262" t="s">
        <v>20942</v>
      </c>
      <c r="C12262" t="s">
        <v>13</v>
      </c>
      <c r="D12262" t="s">
        <v>52</v>
      </c>
      <c r="E12262" t="s">
        <v>399</v>
      </c>
      <c r="F12262" s="2" t="str">
        <f>HYPERLINK("http://www.otzar.org/book.asp?83837","הר אדני &lt;ע""פ הר יראה&gt;")</f>
        <v>הר אדני &lt;ע"פ הר יראה&gt;</v>
      </c>
    </row>
    <row r="12263" spans="1:6" x14ac:dyDescent="0.2">
      <c r="A12263" t="s">
        <v>20943</v>
      </c>
      <c r="B12263" t="s">
        <v>20944</v>
      </c>
      <c r="C12263" t="s">
        <v>1991</v>
      </c>
      <c r="D12263" t="s">
        <v>4227</v>
      </c>
      <c r="E12263" t="s">
        <v>399</v>
      </c>
      <c r="F12263" s="2" t="str">
        <f>HYPERLINK("http://www.otzar.org/book.asp?12918","הר אדני")</f>
        <v>הר אדני</v>
      </c>
    </row>
    <row r="12264" spans="1:6" x14ac:dyDescent="0.2">
      <c r="A12264" t="s">
        <v>20945</v>
      </c>
      <c r="B12264" t="s">
        <v>20946</v>
      </c>
      <c r="C12264" t="s">
        <v>1470</v>
      </c>
      <c r="D12264" t="s">
        <v>14</v>
      </c>
      <c r="E12264" t="s">
        <v>2533</v>
      </c>
      <c r="F12264" s="2" t="str">
        <f>HYPERLINK("http://www.otzar.org/book.asp?23055","הר אפרים - הוריות")</f>
        <v>הר אפרים - הוריות</v>
      </c>
    </row>
    <row r="12265" spans="1:6" x14ac:dyDescent="0.2">
      <c r="A12265" t="s">
        <v>20947</v>
      </c>
      <c r="B12265" t="s">
        <v>20948</v>
      </c>
      <c r="C12265" t="s">
        <v>151</v>
      </c>
      <c r="D12265" t="s">
        <v>14</v>
      </c>
      <c r="E12265" t="s">
        <v>15</v>
      </c>
      <c r="F12265" s="2" t="str">
        <f>HYPERLINK("http://www.otzar.org/book.asp?622074","הר בשן &lt;מבשן אשיב&gt;")</f>
        <v>הר בשן &lt;מבשן אשיב&gt;</v>
      </c>
    </row>
    <row r="12266" spans="1:6" x14ac:dyDescent="0.2">
      <c r="A12266" t="s">
        <v>20949</v>
      </c>
      <c r="B12266" t="s">
        <v>20948</v>
      </c>
      <c r="C12266" t="s">
        <v>1811</v>
      </c>
      <c r="D12266" t="s">
        <v>14</v>
      </c>
      <c r="E12266" t="s">
        <v>15</v>
      </c>
      <c r="F12266" s="2" t="str">
        <f>HYPERLINK("http://www.otzar.org/book.asp?165819","הר בשן")</f>
        <v>הר בשן</v>
      </c>
    </row>
    <row r="12267" spans="1:6" x14ac:dyDescent="0.2">
      <c r="A12267" t="s">
        <v>20950</v>
      </c>
      <c r="B12267" t="s">
        <v>686</v>
      </c>
      <c r="C12267" t="s">
        <v>133</v>
      </c>
      <c r="D12267" t="s">
        <v>52</v>
      </c>
      <c r="E12267" t="s">
        <v>104</v>
      </c>
      <c r="F12267" s="2" t="str">
        <f>HYPERLINK("http://www.otzar.org/book.asp?175970","הר ה'")</f>
        <v>הר ה'</v>
      </c>
    </row>
    <row r="12268" spans="1:6" x14ac:dyDescent="0.2">
      <c r="A12268" t="s">
        <v>20951</v>
      </c>
      <c r="B12268" t="s">
        <v>7038</v>
      </c>
      <c r="C12268" t="s">
        <v>427</v>
      </c>
      <c r="D12268" t="s">
        <v>14</v>
      </c>
      <c r="E12268" t="s">
        <v>104</v>
      </c>
      <c r="F12268" s="2" t="str">
        <f>HYPERLINK("http://www.otzar.org/book.asp?190351","הר הבית נזר תפארתנו")</f>
        <v>הר הבית נזר תפארתנו</v>
      </c>
    </row>
    <row r="12269" spans="1:6" x14ac:dyDescent="0.2">
      <c r="A12269" t="s">
        <v>20952</v>
      </c>
      <c r="B12269" t="s">
        <v>7046</v>
      </c>
      <c r="C12269" t="s">
        <v>106</v>
      </c>
      <c r="D12269" t="s">
        <v>14</v>
      </c>
      <c r="E12269" t="s">
        <v>104</v>
      </c>
      <c r="F12269" s="2" t="str">
        <f>HYPERLINK("http://www.otzar.org/book.asp?13576","הר הבית")</f>
        <v>הר הבית</v>
      </c>
    </row>
    <row r="12270" spans="1:6" x14ac:dyDescent="0.2">
      <c r="A12270" t="s">
        <v>20953</v>
      </c>
      <c r="B12270" t="s">
        <v>20954</v>
      </c>
      <c r="C12270" t="s">
        <v>427</v>
      </c>
      <c r="D12270" t="s">
        <v>14</v>
      </c>
      <c r="E12270" t="s">
        <v>104</v>
      </c>
      <c r="F12270" s="2" t="str">
        <f>HYPERLINK("http://www.otzar.org/book.asp?189860","הר הזיתים - קדושתו וטהרתו")</f>
        <v>הר הזיתים - קדושתו וטהרתו</v>
      </c>
    </row>
    <row r="12271" spans="1:6" x14ac:dyDescent="0.2">
      <c r="A12271" t="s">
        <v>20955</v>
      </c>
      <c r="B12271" t="s">
        <v>20956</v>
      </c>
      <c r="C12271" t="s">
        <v>630</v>
      </c>
      <c r="D12271" t="s">
        <v>744</v>
      </c>
      <c r="E12271" t="s">
        <v>674</v>
      </c>
      <c r="F12271" s="2" t="str">
        <f>HYPERLINK("http://www.otzar.org/book.asp?100819","הר הכרמל")</f>
        <v>הר הכרמל</v>
      </c>
    </row>
    <row r="12272" spans="1:6" x14ac:dyDescent="0.2">
      <c r="A12272" t="s">
        <v>20955</v>
      </c>
      <c r="B12272" t="s">
        <v>20957</v>
      </c>
      <c r="C12272" t="s">
        <v>1191</v>
      </c>
      <c r="D12272" t="s">
        <v>2290</v>
      </c>
      <c r="E12272" t="s">
        <v>154</v>
      </c>
      <c r="F12272" s="2" t="str">
        <f>HYPERLINK("http://www.otzar.org/book.asp?100951","הר הכרמל")</f>
        <v>הר הכרמל</v>
      </c>
    </row>
    <row r="12273" spans="1:6" x14ac:dyDescent="0.2">
      <c r="A12273" t="s">
        <v>20958</v>
      </c>
      <c r="B12273" t="s">
        <v>20959</v>
      </c>
      <c r="C12273" t="s">
        <v>75</v>
      </c>
      <c r="D12273" t="s">
        <v>535</v>
      </c>
      <c r="E12273" t="s">
        <v>154</v>
      </c>
      <c r="F12273" s="2" t="str">
        <f>HYPERLINK("http://www.otzar.org/book.asp?11952","הר המור")</f>
        <v>הר המור</v>
      </c>
    </row>
    <row r="12274" spans="1:6" x14ac:dyDescent="0.2">
      <c r="A12274" t="s">
        <v>20960</v>
      </c>
      <c r="B12274" t="s">
        <v>20961</v>
      </c>
      <c r="C12274" t="s">
        <v>585</v>
      </c>
      <c r="D12274" t="s">
        <v>14</v>
      </c>
      <c r="E12274" t="s">
        <v>202</v>
      </c>
      <c r="F12274" s="2" t="str">
        <f>HYPERLINK("http://www.otzar.org/book.asp?60687","הר המור - 11 כר'")</f>
        <v>הר המור - 11 כר'</v>
      </c>
    </row>
    <row r="12275" spans="1:6" x14ac:dyDescent="0.2">
      <c r="A12275" t="s">
        <v>20958</v>
      </c>
      <c r="B12275" t="s">
        <v>20962</v>
      </c>
      <c r="C12275" t="s">
        <v>266</v>
      </c>
      <c r="D12275" t="s">
        <v>267</v>
      </c>
      <c r="E12275" t="s">
        <v>84</v>
      </c>
      <c r="F12275" s="2" t="str">
        <f>HYPERLINK("http://www.otzar.org/book.asp?104820","הר המור")</f>
        <v>הר המור</v>
      </c>
    </row>
    <row r="12276" spans="1:6" x14ac:dyDescent="0.2">
      <c r="A12276" t="s">
        <v>20963</v>
      </c>
      <c r="B12276" t="s">
        <v>20956</v>
      </c>
      <c r="C12276" t="s">
        <v>2465</v>
      </c>
      <c r="D12276" t="s">
        <v>8370</v>
      </c>
      <c r="E12276" t="s">
        <v>15</v>
      </c>
      <c r="F12276" s="2" t="str">
        <f>HYPERLINK("http://www.otzar.org/book.asp?62101","הר המוריה")</f>
        <v>הר המוריה</v>
      </c>
    </row>
    <row r="12277" spans="1:6" x14ac:dyDescent="0.2">
      <c r="A12277" t="s">
        <v>20964</v>
      </c>
      <c r="B12277" t="s">
        <v>20965</v>
      </c>
      <c r="C12277" t="s">
        <v>5140</v>
      </c>
      <c r="D12277" t="s">
        <v>76</v>
      </c>
      <c r="E12277" t="s">
        <v>15</v>
      </c>
      <c r="F12277" s="2" t="str">
        <f>HYPERLINK("http://www.otzar.org/book.asp?21367","הר המר")</f>
        <v>הר המר</v>
      </c>
    </row>
    <row r="12278" spans="1:6" x14ac:dyDescent="0.2">
      <c r="A12278" t="s">
        <v>20966</v>
      </c>
      <c r="B12278" t="s">
        <v>20967</v>
      </c>
      <c r="C12278" t="s">
        <v>643</v>
      </c>
      <c r="D12278" t="s">
        <v>283</v>
      </c>
      <c r="E12278" t="s">
        <v>15</v>
      </c>
      <c r="F12278" s="2" t="str">
        <f>HYPERLINK("http://www.otzar.org/book.asp?9036","הר המריה - 2 כר'")</f>
        <v>הר המריה - 2 כר'</v>
      </c>
    </row>
    <row r="12279" spans="1:6" x14ac:dyDescent="0.2">
      <c r="A12279" t="s">
        <v>20968</v>
      </c>
      <c r="B12279" t="s">
        <v>20956</v>
      </c>
      <c r="C12279" t="s">
        <v>2465</v>
      </c>
      <c r="D12279" t="s">
        <v>8370</v>
      </c>
      <c r="E12279" t="s">
        <v>15</v>
      </c>
      <c r="F12279" s="2" t="str">
        <f>HYPERLINK("http://www.otzar.org/book.asp?19395","הר הקדם")</f>
        <v>הר הקדם</v>
      </c>
    </row>
    <row r="12280" spans="1:6" x14ac:dyDescent="0.2">
      <c r="A12280" t="s">
        <v>20969</v>
      </c>
      <c r="B12280" t="s">
        <v>15749</v>
      </c>
      <c r="C12280" t="s">
        <v>383</v>
      </c>
      <c r="D12280" t="s">
        <v>14</v>
      </c>
      <c r="E12280" t="s">
        <v>104</v>
      </c>
      <c r="F12280" s="2" t="str">
        <f>HYPERLINK("http://www.otzar.org/book.asp?603792","הר הקודש")</f>
        <v>הר הקודש</v>
      </c>
    </row>
    <row r="12281" spans="1:6" x14ac:dyDescent="0.2">
      <c r="A12281" t="s">
        <v>20970</v>
      </c>
      <c r="B12281" t="s">
        <v>20971</v>
      </c>
      <c r="C12281" t="s">
        <v>624</v>
      </c>
      <c r="D12281" t="s">
        <v>412</v>
      </c>
      <c r="E12281" t="s">
        <v>20972</v>
      </c>
      <c r="F12281" s="2" t="str">
        <f>HYPERLINK("http://www.otzar.org/book.asp?159283","הר יראה - תפארת יחזקאל")</f>
        <v>הר יראה - תפארת יחזקאל</v>
      </c>
    </row>
    <row r="12282" spans="1:6" x14ac:dyDescent="0.2">
      <c r="A12282" t="s">
        <v>20973</v>
      </c>
      <c r="B12282" t="s">
        <v>7097</v>
      </c>
      <c r="C12282" t="s">
        <v>366</v>
      </c>
      <c r="D12282" t="s">
        <v>152</v>
      </c>
      <c r="E12282" t="s">
        <v>158</v>
      </c>
      <c r="F12282" s="2" t="str">
        <f>HYPERLINK("http://www.otzar.org/book.asp?607342","הר יראה - 4 כר'")</f>
        <v>הר יראה - 4 כר'</v>
      </c>
    </row>
    <row r="12283" spans="1:6" x14ac:dyDescent="0.2">
      <c r="A12283" t="s">
        <v>20974</v>
      </c>
      <c r="B12283" t="s">
        <v>20975</v>
      </c>
      <c r="C12283" t="s">
        <v>2076</v>
      </c>
      <c r="D12283" t="s">
        <v>855</v>
      </c>
      <c r="E12283" t="s">
        <v>559</v>
      </c>
      <c r="F12283" s="2" t="str">
        <f>HYPERLINK("http://www.otzar.org/book.asp?100774","הר סיני")</f>
        <v>הר סיני</v>
      </c>
    </row>
    <row r="12284" spans="1:6" x14ac:dyDescent="0.2">
      <c r="A12284" t="s">
        <v>20976</v>
      </c>
      <c r="B12284" t="s">
        <v>5281</v>
      </c>
      <c r="C12284" t="s">
        <v>454</v>
      </c>
      <c r="D12284" t="s">
        <v>14</v>
      </c>
      <c r="E12284" t="s">
        <v>144</v>
      </c>
      <c r="F12284" s="2" t="str">
        <f>HYPERLINK("http://www.otzar.org/book.asp?149450","הר צבי &lt;על הש""ס&gt; - 5 כר'")</f>
        <v>הר צבי &lt;על הש"ס&gt; - 5 כר'</v>
      </c>
    </row>
    <row r="12285" spans="1:6" x14ac:dyDescent="0.2">
      <c r="A12285" t="s">
        <v>20977</v>
      </c>
      <c r="B12285" t="s">
        <v>5281</v>
      </c>
      <c r="C12285" t="s">
        <v>466</v>
      </c>
      <c r="D12285" t="s">
        <v>14</v>
      </c>
      <c r="E12285" t="s">
        <v>154</v>
      </c>
      <c r="F12285" s="2" t="str">
        <f>HYPERLINK("http://www.otzar.org/book.asp?149462","הר צבי &lt;שו""ת&gt; - 8 כר'")</f>
        <v>הר צבי &lt;שו"ת&gt; - 8 כר'</v>
      </c>
    </row>
    <row r="12286" spans="1:6" x14ac:dyDescent="0.2">
      <c r="A12286" t="s">
        <v>20978</v>
      </c>
      <c r="B12286" t="s">
        <v>5281</v>
      </c>
      <c r="C12286" t="s">
        <v>767</v>
      </c>
      <c r="D12286" t="s">
        <v>14</v>
      </c>
      <c r="E12286" t="s">
        <v>158</v>
      </c>
      <c r="F12286" s="2" t="str">
        <f>HYPERLINK("http://www.otzar.org/book.asp?149464","הר צבי על התורה")</f>
        <v>הר צבי על התורה</v>
      </c>
    </row>
    <row r="12287" spans="1:6" x14ac:dyDescent="0.2">
      <c r="A12287" t="s">
        <v>20979</v>
      </c>
      <c r="B12287" t="s">
        <v>5281</v>
      </c>
      <c r="C12287" t="s">
        <v>13</v>
      </c>
      <c r="D12287" t="s">
        <v>14</v>
      </c>
      <c r="E12287" t="s">
        <v>104</v>
      </c>
      <c r="F12287" s="2" t="str">
        <f>HYPERLINK("http://www.otzar.org/book.asp?149449","הר צבי - 3 כר'")</f>
        <v>הר צבי - 3 כר'</v>
      </c>
    </row>
    <row r="12288" spans="1:6" x14ac:dyDescent="0.2">
      <c r="A12288" t="s">
        <v>20980</v>
      </c>
      <c r="B12288" t="s">
        <v>20981</v>
      </c>
      <c r="C12288" t="s">
        <v>8</v>
      </c>
      <c r="D12288" t="s">
        <v>8024</v>
      </c>
      <c r="E12288" t="s">
        <v>4435</v>
      </c>
      <c r="F12288" s="2" t="str">
        <f>HYPERLINK("http://www.otzar.org/book.asp?158320","הר צבי - 2 כר'")</f>
        <v>הר צבי - 2 כר'</v>
      </c>
    </row>
    <row r="12289" spans="1:6" x14ac:dyDescent="0.2">
      <c r="A12289" t="s">
        <v>20982</v>
      </c>
      <c r="B12289" t="s">
        <v>20983</v>
      </c>
      <c r="C12289" t="s">
        <v>896</v>
      </c>
      <c r="D12289" t="s">
        <v>1087</v>
      </c>
      <c r="E12289" t="s">
        <v>234</v>
      </c>
      <c r="F12289" s="2" t="str">
        <f>HYPERLINK("http://www.otzar.org/book.asp?167585","הר ציון &lt;אבל משה&gt;")</f>
        <v>הר ציון &lt;אבל משה&gt;</v>
      </c>
    </row>
    <row r="12290" spans="1:6" x14ac:dyDescent="0.2">
      <c r="A12290" t="s">
        <v>20984</v>
      </c>
      <c r="B12290" t="s">
        <v>206</v>
      </c>
      <c r="C12290" t="s">
        <v>151</v>
      </c>
      <c r="D12290" t="s">
        <v>14</v>
      </c>
      <c r="F12290" s="2" t="str">
        <f>HYPERLINK("http://www.otzar.org/book.asp?615510","הר ציון - 2 כר'")</f>
        <v>הר ציון - 2 כר'</v>
      </c>
    </row>
    <row r="12291" spans="1:6" x14ac:dyDescent="0.2">
      <c r="A12291" t="s">
        <v>20985</v>
      </c>
      <c r="B12291" t="s">
        <v>316</v>
      </c>
      <c r="C12291" t="s">
        <v>23</v>
      </c>
      <c r="D12291" t="s">
        <v>21</v>
      </c>
      <c r="F12291" s="2" t="str">
        <f>HYPERLINK("http://www.otzar.org/book.asp?194057","הר קדשי")</f>
        <v>הר קדשי</v>
      </c>
    </row>
    <row r="12292" spans="1:6" x14ac:dyDescent="0.2">
      <c r="A12292" t="s">
        <v>20986</v>
      </c>
      <c r="B12292" t="s">
        <v>20987</v>
      </c>
      <c r="C12292" t="s">
        <v>20988</v>
      </c>
      <c r="D12292" t="s">
        <v>2313</v>
      </c>
      <c r="E12292" t="s">
        <v>144</v>
      </c>
      <c r="F12292" s="2" t="str">
        <f>HYPERLINK("http://www.otzar.org/book.asp?104834","הר שפר - 3 כר'")</f>
        <v>הר שפר - 3 כר'</v>
      </c>
    </row>
    <row r="12293" spans="1:6" x14ac:dyDescent="0.2">
      <c r="A12293" t="s">
        <v>20989</v>
      </c>
      <c r="B12293" t="s">
        <v>20990</v>
      </c>
      <c r="C12293" t="s">
        <v>568</v>
      </c>
      <c r="D12293" t="s">
        <v>6785</v>
      </c>
      <c r="E12293" t="s">
        <v>15</v>
      </c>
      <c r="F12293" s="2" t="str">
        <f>HYPERLINK("http://www.otzar.org/book.asp?10647","הר תבור")</f>
        <v>הר תבור</v>
      </c>
    </row>
    <row r="12294" spans="1:6" x14ac:dyDescent="0.2">
      <c r="A12294" t="s">
        <v>20991</v>
      </c>
      <c r="B12294" t="s">
        <v>1093</v>
      </c>
      <c r="C12294" t="s">
        <v>114</v>
      </c>
      <c r="D12294" t="s">
        <v>52</v>
      </c>
      <c r="F12294" s="2" t="str">
        <f>HYPERLINK("http://www.otzar.org/book.asp?612283","הראה לעניו - הרב מנדל זצוק""ל")</f>
        <v>הראה לעניו - הרב מנדל זצוק"ל</v>
      </c>
    </row>
    <row r="12295" spans="1:6" x14ac:dyDescent="0.2">
      <c r="A12295" t="s">
        <v>20992</v>
      </c>
      <c r="B12295" t="s">
        <v>20992</v>
      </c>
      <c r="C12295" t="s">
        <v>438</v>
      </c>
      <c r="D12295" t="s">
        <v>216</v>
      </c>
      <c r="E12295" t="s">
        <v>20993</v>
      </c>
      <c r="F12295" s="2" t="str">
        <f>HYPERLINK("http://www.otzar.org/book.asp?14823","הראל")</f>
        <v>הראל</v>
      </c>
    </row>
    <row r="12296" spans="1:6" x14ac:dyDescent="0.2">
      <c r="A12296" t="s">
        <v>20994</v>
      </c>
      <c r="B12296" t="s">
        <v>20995</v>
      </c>
      <c r="C12296" t="s">
        <v>23</v>
      </c>
      <c r="D12296" t="s">
        <v>3750</v>
      </c>
      <c r="F12296" s="2" t="str">
        <f>HYPERLINK("http://www.otzar.org/book.asp?610339","הראנו בבנינו")</f>
        <v>הראנו בבנינו</v>
      </c>
    </row>
    <row r="12297" spans="1:6" x14ac:dyDescent="0.2">
      <c r="A12297" t="s">
        <v>20996</v>
      </c>
      <c r="B12297" t="s">
        <v>20997</v>
      </c>
      <c r="C12297" t="s">
        <v>20</v>
      </c>
      <c r="D12297" t="s">
        <v>90</v>
      </c>
      <c r="E12297" t="s">
        <v>119</v>
      </c>
      <c r="F12297" s="2" t="str">
        <f>HYPERLINK("http://www.otzar.org/book.asp?605373","הראשון לציון רבי יצחק קובו")</f>
        <v>הראשון לציון רבי יצחק קובו</v>
      </c>
    </row>
    <row r="12298" spans="1:6" x14ac:dyDescent="0.2">
      <c r="A12298" t="s">
        <v>20998</v>
      </c>
      <c r="B12298" t="s">
        <v>20999</v>
      </c>
      <c r="C12298" t="s">
        <v>989</v>
      </c>
      <c r="D12298" t="s">
        <v>21</v>
      </c>
      <c r="E12298" t="s">
        <v>119</v>
      </c>
      <c r="F12298" s="2" t="str">
        <f>HYPERLINK("http://www.otzar.org/book.asp?191308","הראשונים לציון")</f>
        <v>הראשונים לציון</v>
      </c>
    </row>
    <row r="12299" spans="1:6" x14ac:dyDescent="0.2">
      <c r="A12299" t="s">
        <v>21000</v>
      </c>
      <c r="B12299" t="s">
        <v>21001</v>
      </c>
      <c r="C12299" t="s">
        <v>1246</v>
      </c>
      <c r="D12299" t="s">
        <v>27</v>
      </c>
      <c r="E12299" t="s">
        <v>119</v>
      </c>
      <c r="F12299" s="2" t="str">
        <f>HYPERLINK("http://www.otzar.org/book.asp?176711","הרב בן-ציון מאיר חי עוזיאל")</f>
        <v>הרב בן-ציון מאיר חי עוזיאל</v>
      </c>
    </row>
    <row r="12300" spans="1:6" x14ac:dyDescent="0.2">
      <c r="A12300" t="s">
        <v>21002</v>
      </c>
      <c r="B12300" t="s">
        <v>21003</v>
      </c>
      <c r="C12300" t="s">
        <v>919</v>
      </c>
      <c r="D12300" t="s">
        <v>1974</v>
      </c>
      <c r="E12300" t="s">
        <v>119</v>
      </c>
      <c r="F12300" s="2" t="str">
        <f>HYPERLINK("http://www.otzar.org/book.asp?151975","הרב ד""ר נסים יוסף עובדיה")</f>
        <v>הרב ד"ר נסים יוסף עובדיה</v>
      </c>
    </row>
    <row r="12301" spans="1:6" x14ac:dyDescent="0.2">
      <c r="A12301" t="s">
        <v>21004</v>
      </c>
      <c r="B12301" t="s">
        <v>21005</v>
      </c>
      <c r="C12301" t="s">
        <v>176</v>
      </c>
      <c r="D12301" t="s">
        <v>21</v>
      </c>
      <c r="F12301" s="2" t="str">
        <f>HYPERLINK("http://www.otzar.org/book.asp?191515","הרב דוב זאב שטיינהוז - פרקי חיים")</f>
        <v>הרב דוב זאב שטיינהוז - פרקי חיים</v>
      </c>
    </row>
    <row r="12302" spans="1:6" x14ac:dyDescent="0.2">
      <c r="A12302" t="s">
        <v>21006</v>
      </c>
      <c r="B12302" t="s">
        <v>21007</v>
      </c>
      <c r="C12302" t="s">
        <v>176</v>
      </c>
      <c r="D12302" t="s">
        <v>14</v>
      </c>
      <c r="F12302" s="2" t="str">
        <f>HYPERLINK("http://www.otzar.org/book.asp?610811","הרב הדומה למלאך &lt;על השפת אמת&gt;")</f>
        <v>הרב הדומה למלאך &lt;על השפת אמת&gt;</v>
      </c>
    </row>
    <row r="12303" spans="1:6" x14ac:dyDescent="0.2">
      <c r="A12303" t="s">
        <v>21008</v>
      </c>
      <c r="B12303" t="s">
        <v>9963</v>
      </c>
      <c r="C12303" t="s">
        <v>21009</v>
      </c>
      <c r="D12303" t="s">
        <v>21010</v>
      </c>
      <c r="E12303" t="s">
        <v>144</v>
      </c>
      <c r="F12303" s="2" t="str">
        <f>HYPERLINK("http://www.otzar.org/book.asp?617975","הרב המאירי - עמ""ס מגילה")</f>
        <v>הרב המאירי - עמ"ס מגילה</v>
      </c>
    </row>
    <row r="12304" spans="1:6" x14ac:dyDescent="0.2">
      <c r="A12304" t="s">
        <v>21011</v>
      </c>
      <c r="B12304" t="s">
        <v>21012</v>
      </c>
      <c r="C12304" t="s">
        <v>785</v>
      </c>
      <c r="D12304" t="s">
        <v>14</v>
      </c>
      <c r="E12304" t="s">
        <v>119</v>
      </c>
      <c r="F12304" s="2" t="str">
        <f>HYPERLINK("http://www.otzar.org/book.asp?179114","הרב המנהיג והרופא")</f>
        <v>הרב המנהיג והרופא</v>
      </c>
    </row>
    <row r="12305" spans="1:6" x14ac:dyDescent="0.2">
      <c r="A12305" t="s">
        <v>21013</v>
      </c>
      <c r="B12305" t="s">
        <v>21014</v>
      </c>
      <c r="C12305" t="s">
        <v>1160</v>
      </c>
      <c r="D12305" t="s">
        <v>14</v>
      </c>
      <c r="E12305" t="s">
        <v>226</v>
      </c>
      <c r="F12305" s="2" t="str">
        <f>HYPERLINK("http://www.otzar.org/book.asp?155420","הרב הקדוש מבעלזא")</f>
        <v>הרב הקדוש מבעלזא</v>
      </c>
    </row>
    <row r="12306" spans="1:6" x14ac:dyDescent="0.2">
      <c r="A12306" t="s">
        <v>21015</v>
      </c>
      <c r="B12306" t="s">
        <v>21016</v>
      </c>
      <c r="C12306" t="s">
        <v>3205</v>
      </c>
      <c r="D12306" t="s">
        <v>27</v>
      </c>
      <c r="E12306" t="s">
        <v>241</v>
      </c>
      <c r="F12306" s="2" t="str">
        <f>HYPERLINK("http://www.otzar.org/book.asp?169887","הרב חנוך שפרן - קטעים מיצירתו")</f>
        <v>הרב חנוך שפרן - קטעים מיצירתו</v>
      </c>
    </row>
    <row r="12307" spans="1:6" x14ac:dyDescent="0.2">
      <c r="A12307" t="s">
        <v>21017</v>
      </c>
      <c r="B12307" t="s">
        <v>13192</v>
      </c>
      <c r="C12307" t="s">
        <v>103</v>
      </c>
      <c r="D12307" t="s">
        <v>52</v>
      </c>
      <c r="E12307" t="s">
        <v>119</v>
      </c>
      <c r="F12307" s="2" t="str">
        <f>HYPERLINK("http://www.otzar.org/book.asp?143541","הרב יונה מרצבך פרקי חיים, דרכו ופעליו")</f>
        <v>הרב יונה מרצבך פרקי חיים, דרכו ופעליו</v>
      </c>
    </row>
    <row r="12308" spans="1:6" x14ac:dyDescent="0.2">
      <c r="A12308" t="s">
        <v>21018</v>
      </c>
      <c r="B12308" t="s">
        <v>21019</v>
      </c>
      <c r="C12308" t="s">
        <v>237</v>
      </c>
      <c r="D12308" t="s">
        <v>27</v>
      </c>
      <c r="E12308" t="s">
        <v>384</v>
      </c>
      <c r="F12308" s="2" t="str">
        <f>HYPERLINK("http://www.otzar.org/book.asp?168059","הרב יוסף אלנדב הי""ד")</f>
        <v>הרב יוסף אלנדב הי"ד</v>
      </c>
    </row>
    <row r="12309" spans="1:6" x14ac:dyDescent="0.2">
      <c r="A12309" t="s">
        <v>21020</v>
      </c>
      <c r="B12309" t="s">
        <v>15996</v>
      </c>
      <c r="C12309" t="s">
        <v>2008</v>
      </c>
      <c r="D12309" t="s">
        <v>27</v>
      </c>
      <c r="E12309" t="s">
        <v>119</v>
      </c>
      <c r="F12309" s="2" t="str">
        <f>HYPERLINK("http://www.otzar.org/book.asp?167516","הרב יוסף זכריה שטרן")</f>
        <v>הרב יוסף זכריה שטרן</v>
      </c>
    </row>
    <row r="12310" spans="1:6" x14ac:dyDescent="0.2">
      <c r="A12310" t="s">
        <v>21021</v>
      </c>
      <c r="B12310" t="s">
        <v>3027</v>
      </c>
      <c r="C12310" t="s">
        <v>356</v>
      </c>
      <c r="D12310" t="s">
        <v>14</v>
      </c>
      <c r="E12310" t="s">
        <v>119</v>
      </c>
      <c r="F12310" s="2" t="str">
        <f>HYPERLINK("http://www.otzar.org/book.asp?188938","הרב יוסף חיים מבגדד - 2 כר'")</f>
        <v>הרב יוסף חיים מבגדד - 2 כר'</v>
      </c>
    </row>
    <row r="12311" spans="1:6" x14ac:dyDescent="0.2">
      <c r="A12311" t="s">
        <v>21022</v>
      </c>
      <c r="B12311" t="s">
        <v>12935</v>
      </c>
      <c r="C12311" t="s">
        <v>17</v>
      </c>
      <c r="D12311" t="s">
        <v>12936</v>
      </c>
      <c r="E12311" t="s">
        <v>119</v>
      </c>
      <c r="F12311" s="2" t="str">
        <f>HYPERLINK("http://www.otzar.org/book.asp?176718","הרב יוסף חיים")</f>
        <v>הרב יוסף חיים</v>
      </c>
    </row>
    <row r="12312" spans="1:6" x14ac:dyDescent="0.2">
      <c r="A12312" t="s">
        <v>21023</v>
      </c>
      <c r="B12312" t="s">
        <v>732</v>
      </c>
      <c r="C12312" t="s">
        <v>21024</v>
      </c>
      <c r="D12312" t="s">
        <v>27</v>
      </c>
      <c r="E12312" t="s">
        <v>202</v>
      </c>
      <c r="F12312" s="2" t="str">
        <f>HYPERLINK("http://www.otzar.org/book.asp?188666","הרב יוסף רבלין ז""ל")</f>
        <v>הרב יוסף רבלין ז"ל</v>
      </c>
    </row>
    <row r="12313" spans="1:6" x14ac:dyDescent="0.2">
      <c r="A12313" t="s">
        <v>21025</v>
      </c>
      <c r="B12313" t="s">
        <v>13208</v>
      </c>
      <c r="C12313" t="s">
        <v>1609</v>
      </c>
      <c r="D12313" t="s">
        <v>216</v>
      </c>
      <c r="E12313" t="s">
        <v>119</v>
      </c>
      <c r="F12313" s="2" t="str">
        <f>HYPERLINK("http://www.otzar.org/book.asp?175762","הרב יעקב מזא""ה")</f>
        <v>הרב יעקב מזא"ה</v>
      </c>
    </row>
    <row r="12314" spans="1:6" x14ac:dyDescent="0.2">
      <c r="A12314" t="s">
        <v>21026</v>
      </c>
      <c r="B12314" t="s">
        <v>10680</v>
      </c>
      <c r="C12314" t="s">
        <v>1619</v>
      </c>
      <c r="D12314" t="s">
        <v>14</v>
      </c>
      <c r="E12314" t="s">
        <v>13830</v>
      </c>
      <c r="F12314" s="2" t="str">
        <f>HYPERLINK("http://www.otzar.org/book.asp?143173","הרב יעקב עטלינגר ז""ל")</f>
        <v>הרב יעקב עטלינגר ז"ל</v>
      </c>
    </row>
    <row r="12315" spans="1:6" x14ac:dyDescent="0.2">
      <c r="A12315" t="s">
        <v>21027</v>
      </c>
      <c r="B12315" t="s">
        <v>253</v>
      </c>
      <c r="C12315" t="s">
        <v>334</v>
      </c>
      <c r="D12315" t="s">
        <v>14</v>
      </c>
      <c r="E12315" t="s">
        <v>202</v>
      </c>
      <c r="F12315" s="2" t="str">
        <f>HYPERLINK("http://www.otzar.org/book.asp?175763","הרב יצחק דב הלוי במברגר ז""ל")</f>
        <v>הרב יצחק דב הלוי במברגר ז"ל</v>
      </c>
    </row>
    <row r="12316" spans="1:6" x14ac:dyDescent="0.2">
      <c r="A12316" t="s">
        <v>21028</v>
      </c>
      <c r="B12316" t="s">
        <v>21029</v>
      </c>
      <c r="C12316" t="s">
        <v>390</v>
      </c>
      <c r="D12316" t="s">
        <v>14</v>
      </c>
      <c r="E12316" t="s">
        <v>119</v>
      </c>
      <c r="F12316" s="2" t="str">
        <f>HYPERLINK("http://www.otzar.org/book.asp?167486","הרב יצחק צבי ריבלין זצ""ל")</f>
        <v>הרב יצחק צבי ריבלין זצ"ל</v>
      </c>
    </row>
    <row r="12317" spans="1:6" x14ac:dyDescent="0.2">
      <c r="A12317" t="s">
        <v>21030</v>
      </c>
      <c r="B12317" t="s">
        <v>21031</v>
      </c>
      <c r="C12317" t="s">
        <v>176</v>
      </c>
      <c r="D12317" t="s">
        <v>21032</v>
      </c>
      <c r="E12317" t="s">
        <v>119</v>
      </c>
      <c r="F12317" s="2" t="str">
        <f>HYPERLINK("http://www.otzar.org/book.asp?604914","הרב ישעיה איסר אליקס")</f>
        <v>הרב ישעיה איסר אליקס</v>
      </c>
    </row>
    <row r="12318" spans="1:6" x14ac:dyDescent="0.2">
      <c r="A12318" t="s">
        <v>21033</v>
      </c>
      <c r="B12318" t="s">
        <v>21034</v>
      </c>
      <c r="C12318" t="s">
        <v>20</v>
      </c>
      <c r="D12318" t="s">
        <v>90</v>
      </c>
      <c r="F12318" s="2" t="str">
        <f>HYPERLINK("http://www.otzar.org/book.asp?619969","הרב כדורי")</f>
        <v>הרב כדורי</v>
      </c>
    </row>
    <row r="12319" spans="1:6" x14ac:dyDescent="0.2">
      <c r="A12319" t="s">
        <v>21035</v>
      </c>
      <c r="B12319" t="s">
        <v>21036</v>
      </c>
      <c r="C12319" t="s">
        <v>20</v>
      </c>
      <c r="D12319" t="s">
        <v>21</v>
      </c>
      <c r="E12319" t="s">
        <v>119</v>
      </c>
      <c r="F12319" s="2" t="str">
        <f>HYPERLINK("http://www.otzar.org/book.asp?197732","הרב לינצ'נר זצ""ל")</f>
        <v>הרב לינצ'נר זצ"ל</v>
      </c>
    </row>
    <row r="12320" spans="1:6" x14ac:dyDescent="0.2">
      <c r="A12320" t="s">
        <v>21037</v>
      </c>
      <c r="B12320" t="s">
        <v>19004</v>
      </c>
      <c r="C12320" t="s">
        <v>1268</v>
      </c>
      <c r="D12320" t="s">
        <v>14</v>
      </c>
      <c r="E12320" t="s">
        <v>119</v>
      </c>
      <c r="F12320" s="2" t="str">
        <f>HYPERLINK("http://www.otzar.org/book.asp?173797","הרב מאפטא")</f>
        <v>הרב מאפטא</v>
      </c>
    </row>
    <row r="12321" spans="1:6" x14ac:dyDescent="0.2">
      <c r="A12321" t="s">
        <v>21038</v>
      </c>
      <c r="B12321" t="s">
        <v>18210</v>
      </c>
      <c r="C12321" t="s">
        <v>103</v>
      </c>
      <c r="D12321" t="s">
        <v>14</v>
      </c>
      <c r="F12321" s="2" t="str">
        <f>HYPERLINK("http://www.otzar.org/book.asp?180653","הרב מבריסק - 4 כר'")</f>
        <v>הרב מבריסק - 4 כר'</v>
      </c>
    </row>
    <row r="12322" spans="1:6" x14ac:dyDescent="0.2">
      <c r="A12322" t="s">
        <v>21039</v>
      </c>
      <c r="B12322" t="s">
        <v>21040</v>
      </c>
      <c r="C12322" t="s">
        <v>843</v>
      </c>
      <c r="D12322" t="s">
        <v>27</v>
      </c>
      <c r="E12322" t="s">
        <v>733</v>
      </c>
      <c r="F12322" s="2" t="str">
        <f>HYPERLINK("http://www.otzar.org/book.asp?84749","הרב מיהוד מרדכי גימפל יפה")</f>
        <v>הרב מיהוד מרדכי גימפל יפה</v>
      </c>
    </row>
    <row r="12323" spans="1:6" x14ac:dyDescent="0.2">
      <c r="A12323" t="s">
        <v>21041</v>
      </c>
      <c r="B12323" t="s">
        <v>11507</v>
      </c>
      <c r="C12323" t="s">
        <v>482</v>
      </c>
      <c r="D12323" t="s">
        <v>260</v>
      </c>
      <c r="E12323" t="s">
        <v>119</v>
      </c>
      <c r="F12323" s="2" t="str">
        <f>HYPERLINK("http://www.otzar.org/book.asp?158033","הרב מלאדי")</f>
        <v>הרב מלאדי</v>
      </c>
    </row>
    <row r="12324" spans="1:6" x14ac:dyDescent="0.2">
      <c r="A12324" t="s">
        <v>21042</v>
      </c>
      <c r="B12324" t="s">
        <v>3554</v>
      </c>
      <c r="C12324" t="s">
        <v>466</v>
      </c>
      <c r="D12324" t="s">
        <v>52</v>
      </c>
      <c r="E12324" t="s">
        <v>119</v>
      </c>
      <c r="F12324" s="2" t="str">
        <f>HYPERLINK("http://www.otzar.org/book.asp?196537","הרב מפוניבז - 3 כר'")</f>
        <v>הרב מפוניבז - 3 כר'</v>
      </c>
    </row>
    <row r="12325" spans="1:6" x14ac:dyDescent="0.2">
      <c r="A12325" t="s">
        <v>21043</v>
      </c>
      <c r="B12325" t="s">
        <v>107</v>
      </c>
      <c r="C12325" t="s">
        <v>17</v>
      </c>
      <c r="D12325" t="s">
        <v>14</v>
      </c>
      <c r="E12325" t="s">
        <v>119</v>
      </c>
      <c r="F12325" s="2" t="str">
        <f>HYPERLINK("http://www.otzar.org/book.asp?6133","הרב מפוניבז'")</f>
        <v>הרב מפוניבז'</v>
      </c>
    </row>
    <row r="12326" spans="1:6" x14ac:dyDescent="0.2">
      <c r="A12326" t="s">
        <v>21044</v>
      </c>
      <c r="B12326" t="s">
        <v>21045</v>
      </c>
      <c r="C12326" t="s">
        <v>576</v>
      </c>
      <c r="D12326" t="s">
        <v>14</v>
      </c>
      <c r="E12326" t="s">
        <v>119</v>
      </c>
      <c r="F12326" s="2" t="str">
        <f>HYPERLINK("http://www.otzar.org/book.asp?151858","הרב מרדכי אלישברג")</f>
        <v>הרב מרדכי אלישברג</v>
      </c>
    </row>
    <row r="12327" spans="1:6" x14ac:dyDescent="0.2">
      <c r="A12327" t="s">
        <v>21046</v>
      </c>
      <c r="B12327" t="s">
        <v>253</v>
      </c>
      <c r="C12327" t="s">
        <v>20</v>
      </c>
      <c r="D12327" t="s">
        <v>90</v>
      </c>
      <c r="F12327" s="2" t="str">
        <f>HYPERLINK("http://www.otzar.org/book.asp?612088","הרב משה פרוש")</f>
        <v>הרב משה פרוש</v>
      </c>
    </row>
    <row r="12328" spans="1:6" x14ac:dyDescent="0.2">
      <c r="A12328" t="s">
        <v>21047</v>
      </c>
      <c r="B12328" t="s">
        <v>21048</v>
      </c>
      <c r="C12328" t="s">
        <v>919</v>
      </c>
      <c r="D12328" t="s">
        <v>14</v>
      </c>
      <c r="E12328" t="s">
        <v>119</v>
      </c>
      <c r="F12328" s="2" t="str">
        <f>HYPERLINK("http://www.otzar.org/book.asp?163583","הרב משה רבקש זצ""ל")</f>
        <v>הרב משה רבקש זצ"ל</v>
      </c>
    </row>
    <row r="12329" spans="1:6" x14ac:dyDescent="0.2">
      <c r="A12329" t="s">
        <v>21049</v>
      </c>
      <c r="B12329" t="s">
        <v>7031</v>
      </c>
      <c r="C12329" t="s">
        <v>366</v>
      </c>
      <c r="D12329" t="s">
        <v>52</v>
      </c>
      <c r="F12329" s="2" t="str">
        <f>HYPERLINK("http://www.otzar.org/book.asp?612288","הרב משורר חייו ותורתו")</f>
        <v>הרב משורר חייו ותורתו</v>
      </c>
    </row>
    <row r="12330" spans="1:6" x14ac:dyDescent="0.2">
      <c r="A12330" t="s">
        <v>21050</v>
      </c>
      <c r="B12330" t="s">
        <v>21051</v>
      </c>
      <c r="C12330" t="s">
        <v>13</v>
      </c>
      <c r="D12330" t="s">
        <v>216</v>
      </c>
      <c r="E12330" t="s">
        <v>154</v>
      </c>
      <c r="F12330" s="2" t="str">
        <f>HYPERLINK("http://www.otzar.org/book.asp?61811","הרב על הקו - תשס""ח")</f>
        <v>הרב על הקו - תשס"ח</v>
      </c>
    </row>
    <row r="12331" spans="1:6" x14ac:dyDescent="0.2">
      <c r="A12331" t="s">
        <v>21052</v>
      </c>
      <c r="B12331" t="s">
        <v>21053</v>
      </c>
      <c r="C12331" t="s">
        <v>13</v>
      </c>
      <c r="D12331" t="s">
        <v>21054</v>
      </c>
      <c r="E12331" t="s">
        <v>15</v>
      </c>
      <c r="F12331" s="2" t="str">
        <f>HYPERLINK("http://www.otzar.org/book.asp?624721","הרב על הקו")</f>
        <v>הרב על הקו</v>
      </c>
    </row>
    <row r="12332" spans="1:6" x14ac:dyDescent="0.2">
      <c r="A12332" t="s">
        <v>21055</v>
      </c>
      <c r="B12332" t="s">
        <v>552</v>
      </c>
      <c r="C12332" t="s">
        <v>785</v>
      </c>
      <c r="D12332" t="s">
        <v>14</v>
      </c>
      <c r="E12332" t="s">
        <v>202</v>
      </c>
      <c r="F12332" s="2" t="str">
        <f>HYPERLINK("http://www.otzar.org/book.asp?83921","הרב פנחס קהתי זצ""ל")</f>
        <v>הרב פנחס קהתי זצ"ל</v>
      </c>
    </row>
    <row r="12333" spans="1:6" x14ac:dyDescent="0.2">
      <c r="A12333" t="s">
        <v>21056</v>
      </c>
      <c r="B12333" t="s">
        <v>21057</v>
      </c>
      <c r="C12333" t="s">
        <v>1374</v>
      </c>
      <c r="D12333" t="s">
        <v>3283</v>
      </c>
      <c r="E12333" t="s">
        <v>119</v>
      </c>
      <c r="F12333" s="2" t="str">
        <f>HYPERLINK("http://www.otzar.org/book.asp?106602","הרב ר' אברהם צבי פערעלמוטער")</f>
        <v>הרב ר' אברהם צבי פערעלמוטער</v>
      </c>
    </row>
    <row r="12334" spans="1:6" x14ac:dyDescent="0.2">
      <c r="A12334" t="s">
        <v>21058</v>
      </c>
      <c r="B12334" t="s">
        <v>4975</v>
      </c>
      <c r="C12334" t="s">
        <v>482</v>
      </c>
      <c r="D12334" t="s">
        <v>9</v>
      </c>
      <c r="E12334" t="s">
        <v>119</v>
      </c>
      <c r="F12334" s="2" t="str">
        <f>HYPERLINK("http://www.otzar.org/book.asp?144169","הרב ר' יהונתן אייבשיץ")</f>
        <v>הרב ר' יהונתן אייבשיץ</v>
      </c>
    </row>
    <row r="12335" spans="1:6" x14ac:dyDescent="0.2">
      <c r="A12335" t="s">
        <v>21059</v>
      </c>
      <c r="B12335" t="s">
        <v>4975</v>
      </c>
      <c r="C12335" t="s">
        <v>482</v>
      </c>
      <c r="D12335" t="s">
        <v>9</v>
      </c>
      <c r="E12335" t="s">
        <v>119</v>
      </c>
      <c r="F12335" s="2" t="str">
        <f>HYPERLINK("http://www.otzar.org/book.asp?161282","הרב ר' יוסף קארו וזמנו")</f>
        <v>הרב ר' יוסף קארו וזמנו</v>
      </c>
    </row>
    <row r="12336" spans="1:6" x14ac:dyDescent="0.2">
      <c r="A12336" t="s">
        <v>21060</v>
      </c>
      <c r="B12336" t="s">
        <v>21061</v>
      </c>
      <c r="C12336" t="s">
        <v>1208</v>
      </c>
      <c r="D12336" t="s">
        <v>14</v>
      </c>
      <c r="F12336" s="2" t="str">
        <f>HYPERLINK("http://www.otzar.org/book.asp?630396","הרב ר' משה סגל נאוועמעסטע המבורגר")</f>
        <v>הרב ר' משה סגל נאוועמעסטע המבורגר</v>
      </c>
    </row>
    <row r="12337" spans="1:6" x14ac:dyDescent="0.2">
      <c r="A12337" t="s">
        <v>21062</v>
      </c>
      <c r="B12337" t="s">
        <v>13208</v>
      </c>
      <c r="C12337" t="s">
        <v>1811</v>
      </c>
      <c r="D12337" t="s">
        <v>216</v>
      </c>
      <c r="E12337" t="s">
        <v>119</v>
      </c>
      <c r="F12337" s="2" t="str">
        <f>HYPERLINK("http://www.otzar.org/book.asp?147836","הרב רבי יהודא לייב פיין זצוק""ל")</f>
        <v>הרב רבי יהודא לייב פיין זצוק"ל</v>
      </c>
    </row>
    <row r="12338" spans="1:6" x14ac:dyDescent="0.2">
      <c r="A12338" t="s">
        <v>21063</v>
      </c>
      <c r="B12338" t="s">
        <v>21001</v>
      </c>
      <c r="C12338" t="s">
        <v>286</v>
      </c>
      <c r="D12338" t="s">
        <v>27</v>
      </c>
      <c r="E12338" t="s">
        <v>119</v>
      </c>
      <c r="F12338" s="2" t="str">
        <f>HYPERLINK("http://www.otzar.org/book.asp?167580","הרב רבי יעקב משה חרל""פ")</f>
        <v>הרב רבי יעקב משה חרל"פ</v>
      </c>
    </row>
    <row r="12339" spans="1:6" x14ac:dyDescent="0.2">
      <c r="A12339" t="s">
        <v>21064</v>
      </c>
      <c r="B12339" t="s">
        <v>5975</v>
      </c>
      <c r="C12339" t="s">
        <v>419</v>
      </c>
      <c r="D12339" t="s">
        <v>2458</v>
      </c>
      <c r="E12339" t="s">
        <v>733</v>
      </c>
      <c r="F12339" s="2" t="str">
        <f>HYPERLINK("http://www.otzar.org/book.asp?158872","הרב רבי יעקב קשטרו וחיבוריו - תדפיס")</f>
        <v>הרב רבי יעקב קשטרו וחיבוריו - תדפיס</v>
      </c>
    </row>
    <row r="12340" spans="1:6" x14ac:dyDescent="0.2">
      <c r="A12340" t="s">
        <v>21065</v>
      </c>
      <c r="B12340" t="s">
        <v>17141</v>
      </c>
      <c r="C12340" t="s">
        <v>46</v>
      </c>
      <c r="D12340" t="s">
        <v>592</v>
      </c>
      <c r="E12340" t="s">
        <v>119</v>
      </c>
      <c r="F12340" s="2" t="str">
        <f>HYPERLINK("http://www.otzar.org/book.asp?619951","הרב רבי שניאור זלמן זצ""ל")</f>
        <v>הרב רבי שניאור זלמן זצ"ל</v>
      </c>
    </row>
    <row r="12341" spans="1:6" x14ac:dyDescent="0.2">
      <c r="A12341" t="s">
        <v>21066</v>
      </c>
      <c r="B12341" t="s">
        <v>21067</v>
      </c>
      <c r="C12341" t="s">
        <v>585</v>
      </c>
      <c r="D12341" t="s">
        <v>14</v>
      </c>
      <c r="E12341" t="s">
        <v>733</v>
      </c>
      <c r="F12341" s="2" t="str">
        <f>HYPERLINK("http://www.otzar.org/book.asp?175777","הרב רש""י זווין כפותח תקופה בספרות ההלכה")</f>
        <v>הרב רש"י זווין כפותח תקופה בספרות ההלכה</v>
      </c>
    </row>
    <row r="12342" spans="1:6" x14ac:dyDescent="0.2">
      <c r="A12342" t="s">
        <v>21068</v>
      </c>
      <c r="B12342" t="s">
        <v>21069</v>
      </c>
      <c r="C12342" t="s">
        <v>151</v>
      </c>
      <c r="D12342" t="s">
        <v>21070</v>
      </c>
      <c r="F12342" s="2" t="str">
        <f>HYPERLINK("http://www.otzar.org/book.asp?623025","הרב שמואל מוהליבר ומזכרת בתיה")</f>
        <v>הרב שמואל מוהליבר ומזכרת בתיה</v>
      </c>
    </row>
    <row r="12343" spans="1:6" x14ac:dyDescent="0.2">
      <c r="A12343" t="s">
        <v>21071</v>
      </c>
      <c r="B12343" t="s">
        <v>21072</v>
      </c>
      <c r="C12343" t="s">
        <v>1202</v>
      </c>
      <c r="D12343" t="s">
        <v>27</v>
      </c>
      <c r="E12343" t="s">
        <v>119</v>
      </c>
      <c r="F12343" s="2" t="str">
        <f>HYPERLINK("http://www.otzar.org/book.asp?181591","הרב שמואל מוהליבר")</f>
        <v>הרב שמואל מוהליבר</v>
      </c>
    </row>
    <row r="12344" spans="1:6" x14ac:dyDescent="0.2">
      <c r="A12344" t="s">
        <v>21073</v>
      </c>
      <c r="B12344" t="s">
        <v>21074</v>
      </c>
      <c r="C12344" t="s">
        <v>785</v>
      </c>
      <c r="D12344" t="s">
        <v>14</v>
      </c>
      <c r="E12344" t="s">
        <v>119</v>
      </c>
      <c r="F12344" s="2" t="str">
        <f>HYPERLINK("http://www.otzar.org/book.asp?154002","הרב שרעבי")</f>
        <v>הרב שרעבי</v>
      </c>
    </row>
    <row r="12345" spans="1:6" x14ac:dyDescent="0.2">
      <c r="A12345" t="s">
        <v>21075</v>
      </c>
      <c r="B12345" t="s">
        <v>3027</v>
      </c>
      <c r="C12345" t="s">
        <v>87</v>
      </c>
      <c r="D12345" t="s">
        <v>14</v>
      </c>
      <c r="E12345" t="s">
        <v>119</v>
      </c>
      <c r="F12345" s="2" t="str">
        <f>HYPERLINK("http://www.otzar.org/book.asp?152471","הרב ששון ב""ר מרדכי שנדוך")</f>
        <v>הרב ששון ב"ר מרדכי שנדוך</v>
      </c>
    </row>
    <row r="12346" spans="1:6" x14ac:dyDescent="0.2">
      <c r="A12346" t="s">
        <v>21076</v>
      </c>
      <c r="B12346" t="s">
        <v>21077</v>
      </c>
      <c r="C12346" t="s">
        <v>151</v>
      </c>
      <c r="D12346" t="s">
        <v>412</v>
      </c>
      <c r="E12346" t="s">
        <v>144</v>
      </c>
      <c r="F12346" s="2" t="str">
        <f>HYPERLINK("http://www.otzar.org/book.asp?615569","הרבה דרכים")</f>
        <v>הרבה דרכים</v>
      </c>
    </row>
    <row r="12347" spans="1:6" x14ac:dyDescent="0.2">
      <c r="A12347" t="s">
        <v>21078</v>
      </c>
      <c r="B12347" t="s">
        <v>21079</v>
      </c>
      <c r="F12347" s="2" t="str">
        <f>HYPERLINK("http://www.otzar.org/book.asp?612030","הרבי (מסטריקוב)")</f>
        <v>הרבי (מסטריקוב)</v>
      </c>
    </row>
    <row r="12348" spans="1:6" x14ac:dyDescent="0.2">
      <c r="A12348" t="s">
        <v>21080</v>
      </c>
      <c r="B12348" t="s">
        <v>21081</v>
      </c>
      <c r="C12348" t="s">
        <v>919</v>
      </c>
      <c r="D12348" t="s">
        <v>852</v>
      </c>
      <c r="E12348" t="s">
        <v>140</v>
      </c>
      <c r="F12348" s="2" t="str">
        <f>HYPERLINK("http://www.otzar.org/book.asp?166776","הרבי בישראל")</f>
        <v>הרבי בישראל</v>
      </c>
    </row>
    <row r="12349" spans="1:6" x14ac:dyDescent="0.2">
      <c r="A12349" t="s">
        <v>21082</v>
      </c>
      <c r="B12349" t="s">
        <v>21083</v>
      </c>
      <c r="C12349" t="s">
        <v>51</v>
      </c>
      <c r="D12349" t="s">
        <v>14</v>
      </c>
      <c r="E12349" t="s">
        <v>119</v>
      </c>
      <c r="F12349" s="2" t="str">
        <f>HYPERLINK("http://www.otzar.org/book.asp?25669","הרבי הקדוש &lt;רבי אהרן ראטה זצוק""ל&gt;")</f>
        <v>הרבי הקדוש &lt;רבי אהרן ראטה זצוק"ל&gt;</v>
      </c>
    </row>
    <row r="12350" spans="1:6" x14ac:dyDescent="0.2">
      <c r="A12350" t="s">
        <v>21084</v>
      </c>
      <c r="B12350" t="s">
        <v>21085</v>
      </c>
      <c r="C12350" t="s">
        <v>129</v>
      </c>
      <c r="D12350" t="s">
        <v>412</v>
      </c>
      <c r="E12350" t="s">
        <v>119</v>
      </c>
      <c r="F12350" s="2" t="str">
        <f>HYPERLINK("http://www.otzar.org/book.asp?171228","הרבי הקדוש מאוטוואצק")</f>
        <v>הרבי הקדוש מאוטוואצק</v>
      </c>
    </row>
    <row r="12351" spans="1:6" x14ac:dyDescent="0.2">
      <c r="A12351" t="s">
        <v>21086</v>
      </c>
      <c r="B12351" t="s">
        <v>21087</v>
      </c>
      <c r="C12351" t="s">
        <v>103</v>
      </c>
      <c r="D12351" t="s">
        <v>486</v>
      </c>
      <c r="E12351" t="s">
        <v>140</v>
      </c>
      <c r="F12351" s="2" t="str">
        <f>HYPERLINK("http://www.otzar.org/book.asp?612538","הרבי הקדוש מפיטסבורג")</f>
        <v>הרבי הקדוש מפיטסבורג</v>
      </c>
    </row>
    <row r="12352" spans="1:6" x14ac:dyDescent="0.2">
      <c r="A12352" t="s">
        <v>21088</v>
      </c>
      <c r="B12352" t="s">
        <v>21089</v>
      </c>
      <c r="C12352" t="s">
        <v>1169</v>
      </c>
      <c r="D12352" t="s">
        <v>260</v>
      </c>
      <c r="E12352" t="s">
        <v>733</v>
      </c>
      <c r="F12352" s="2" t="str">
        <f>HYPERLINK("http://www.otzar.org/book.asp?159231","הרבי מקוצק - 2 כר'")</f>
        <v>הרבי מקוצק - 2 כר'</v>
      </c>
    </row>
    <row r="12353" spans="1:6" x14ac:dyDescent="0.2">
      <c r="A12353" t="s">
        <v>21090</v>
      </c>
      <c r="B12353" t="s">
        <v>11015</v>
      </c>
      <c r="C12353" t="s">
        <v>20</v>
      </c>
      <c r="D12353" t="s">
        <v>14</v>
      </c>
      <c r="E12353" t="s">
        <v>226</v>
      </c>
      <c r="F12353" s="2" t="str">
        <f>HYPERLINK("http://www.otzar.org/book.asp?154001","הרבי ר' אלימלך מליזענסק זי""ע")</f>
        <v>הרבי ר' אלימלך מליזענסק זי"ע</v>
      </c>
    </row>
    <row r="12354" spans="1:6" x14ac:dyDescent="0.2">
      <c r="A12354" t="s">
        <v>21091</v>
      </c>
      <c r="B12354" t="s">
        <v>8048</v>
      </c>
      <c r="C12354" t="s">
        <v>189</v>
      </c>
      <c r="D12354" t="s">
        <v>52</v>
      </c>
      <c r="E12354" t="s">
        <v>119</v>
      </c>
      <c r="F12354" s="2" t="str">
        <f>HYPERLINK("http://www.otzar.org/book.asp?623632","הרבי ר' צבי אלימלך מדינוב - 3 כר'")</f>
        <v>הרבי ר' צבי אלימלך מדינוב - 3 כר'</v>
      </c>
    </row>
    <row r="12355" spans="1:6" x14ac:dyDescent="0.2">
      <c r="A12355" t="s">
        <v>21092</v>
      </c>
      <c r="B12355" t="s">
        <v>21093</v>
      </c>
      <c r="C12355" t="s">
        <v>71</v>
      </c>
      <c r="D12355" t="s">
        <v>52</v>
      </c>
      <c r="E12355" t="s">
        <v>733</v>
      </c>
      <c r="F12355" s="2" t="str">
        <f>HYPERLINK("http://www.otzar.org/book.asp?85168","הרבי רבי בונם מפשיסחא - 2 כר'")</f>
        <v>הרבי רבי בונם מפשיסחא - 2 כר'</v>
      </c>
    </row>
    <row r="12356" spans="1:6" x14ac:dyDescent="0.2">
      <c r="A12356" t="s">
        <v>21094</v>
      </c>
      <c r="B12356" t="s">
        <v>206</v>
      </c>
      <c r="C12356" t="s">
        <v>114</v>
      </c>
      <c r="D12356" t="s">
        <v>14</v>
      </c>
      <c r="F12356" s="2" t="str">
        <f>HYPERLINK("http://www.otzar.org/book.asp?164151","הרבי של כלל ישראל")</f>
        <v>הרבי של כלל ישראל</v>
      </c>
    </row>
    <row r="12357" spans="1:6" x14ac:dyDescent="0.2">
      <c r="A12357" t="s">
        <v>21095</v>
      </c>
      <c r="B12357" t="s">
        <v>21096</v>
      </c>
      <c r="C12357" t="s">
        <v>180</v>
      </c>
      <c r="D12357" t="s">
        <v>118</v>
      </c>
      <c r="E12357" t="s">
        <v>119</v>
      </c>
      <c r="F12357" s="2" t="str">
        <f>HYPERLINK("http://www.otzar.org/book.asp?14861","הרבנות הראשית לישראל")</f>
        <v>הרבנות הראשית לישראל</v>
      </c>
    </row>
    <row r="12358" spans="1:6" x14ac:dyDescent="0.2">
      <c r="A12358" t="s">
        <v>21097</v>
      </c>
      <c r="B12358" t="s">
        <v>21098</v>
      </c>
      <c r="C12358" t="s">
        <v>51</v>
      </c>
      <c r="D12358" t="s">
        <v>14</v>
      </c>
      <c r="E12358" t="s">
        <v>119</v>
      </c>
      <c r="F12358" s="2" t="str">
        <f>HYPERLINK("http://www.otzar.org/book.asp?143996","הרבנות והקהילות בצרפת ובצפון אפריקה הצרפתית")</f>
        <v>הרבנות והקהילות בצרפת ובצפון אפריקה הצרפתית</v>
      </c>
    </row>
    <row r="12359" spans="1:6" x14ac:dyDescent="0.2">
      <c r="A12359" t="s">
        <v>21099</v>
      </c>
      <c r="B12359" t="s">
        <v>21100</v>
      </c>
      <c r="C12359" t="s">
        <v>411</v>
      </c>
      <c r="D12359" t="s">
        <v>52</v>
      </c>
      <c r="F12359" s="2" t="str">
        <f>HYPERLINK("http://www.otzar.org/book.asp?611108","הרבנית")</f>
        <v>הרבנית</v>
      </c>
    </row>
    <row r="12360" spans="1:6" x14ac:dyDescent="0.2">
      <c r="A12360" t="s">
        <v>21101</v>
      </c>
      <c r="B12360" t="s">
        <v>21102</v>
      </c>
      <c r="C12360" t="s">
        <v>366</v>
      </c>
      <c r="D12360" t="s">
        <v>90</v>
      </c>
      <c r="E12360" t="s">
        <v>119</v>
      </c>
      <c r="F12360" s="2" t="str">
        <f>HYPERLINK("http://www.otzar.org/book.asp?606081","הרה""ח רבי לייביש בוים")</f>
        <v>הרה"ח רבי לייביש בוים</v>
      </c>
    </row>
    <row r="12361" spans="1:6" x14ac:dyDescent="0.2">
      <c r="A12361" t="s">
        <v>21103</v>
      </c>
      <c r="B12361" t="s">
        <v>21104</v>
      </c>
      <c r="C12361" t="s">
        <v>151</v>
      </c>
      <c r="D12361" t="s">
        <v>52</v>
      </c>
      <c r="E12361" t="s">
        <v>144</v>
      </c>
      <c r="F12361" s="2" t="str">
        <f>HYPERLINK("http://www.otzar.org/book.asp?616925","הרהורי דברים - 5 כר'")</f>
        <v>הרהורי דברים - 5 כר'</v>
      </c>
    </row>
    <row r="12362" spans="1:6" x14ac:dyDescent="0.2">
      <c r="A12362" t="s">
        <v>21105</v>
      </c>
      <c r="B12362" t="s">
        <v>8278</v>
      </c>
      <c r="C12362" t="s">
        <v>106</v>
      </c>
      <c r="D12362" t="s">
        <v>115</v>
      </c>
      <c r="E12362" t="s">
        <v>246</v>
      </c>
      <c r="F12362" s="2" t="str">
        <f>HYPERLINK("http://www.otzar.org/book.asp?165348","הרהורי מועד")</f>
        <v>הרהורי מועד</v>
      </c>
    </row>
    <row r="12363" spans="1:6" x14ac:dyDescent="0.2">
      <c r="A12363" t="s">
        <v>21106</v>
      </c>
      <c r="B12363" t="s">
        <v>21107</v>
      </c>
      <c r="C12363" t="s">
        <v>411</v>
      </c>
      <c r="D12363" t="s">
        <v>118</v>
      </c>
      <c r="E12363" t="s">
        <v>119</v>
      </c>
      <c r="F12363" s="2" t="str">
        <f>HYPERLINK("http://www.otzar.org/book.asp?172217","הרהורי שלמה")</f>
        <v>הרהורי שלמה</v>
      </c>
    </row>
    <row r="12364" spans="1:6" x14ac:dyDescent="0.2">
      <c r="A12364" t="s">
        <v>21108</v>
      </c>
      <c r="B12364" t="s">
        <v>21109</v>
      </c>
      <c r="C12364" t="s">
        <v>21110</v>
      </c>
      <c r="D12364" t="s">
        <v>1008</v>
      </c>
      <c r="E12364" t="s">
        <v>144</v>
      </c>
      <c r="F12364" s="2" t="str">
        <f>HYPERLINK("http://www.otzar.org/book.asp?104316","הרהורי תורה")</f>
        <v>הרהורי תורה</v>
      </c>
    </row>
    <row r="12365" spans="1:6" x14ac:dyDescent="0.2">
      <c r="A12365" t="s">
        <v>21108</v>
      </c>
      <c r="B12365" t="s">
        <v>21111</v>
      </c>
      <c r="C12365" t="s">
        <v>111</v>
      </c>
      <c r="D12365" t="s">
        <v>412</v>
      </c>
      <c r="E12365" t="s">
        <v>1157</v>
      </c>
      <c r="F12365" s="2" t="str">
        <f>HYPERLINK("http://www.otzar.org/book.asp?630886","הרהורי תורה")</f>
        <v>הרהורי תורה</v>
      </c>
    </row>
    <row r="12366" spans="1:6" x14ac:dyDescent="0.2">
      <c r="A12366" t="s">
        <v>21112</v>
      </c>
      <c r="B12366" t="s">
        <v>4640</v>
      </c>
      <c r="C12366" t="s">
        <v>133</v>
      </c>
      <c r="D12366" t="s">
        <v>52</v>
      </c>
      <c r="F12366" s="2" t="str">
        <f>HYPERLINK("http://www.otzar.org/book.asp?617595","הרהורי תשובה")</f>
        <v>הרהורי תשובה</v>
      </c>
    </row>
    <row r="12367" spans="1:6" x14ac:dyDescent="0.2">
      <c r="A12367" t="s">
        <v>21113</v>
      </c>
      <c r="B12367" t="s">
        <v>21114</v>
      </c>
      <c r="C12367" t="s">
        <v>111</v>
      </c>
      <c r="D12367" t="s">
        <v>152</v>
      </c>
      <c r="F12367" s="2" t="str">
        <f>HYPERLINK("http://www.otzar.org/book.asp?617883","הרהורים לימי הדין")</f>
        <v>הרהורים לימי הדין</v>
      </c>
    </row>
    <row r="12368" spans="1:6" x14ac:dyDescent="0.2">
      <c r="A12368" t="s">
        <v>21115</v>
      </c>
      <c r="B12368" t="s">
        <v>21116</v>
      </c>
      <c r="C12368" t="s">
        <v>21117</v>
      </c>
      <c r="D12368" t="s">
        <v>267</v>
      </c>
      <c r="E12368" t="s">
        <v>104</v>
      </c>
      <c r="F12368" s="2" t="str">
        <f>HYPERLINK("http://www.otzar.org/book.asp?100626","הרואה ומבקר ספרי חכמי זמננו")</f>
        <v>הרואה ומבקר ספרי חכמי זמננו</v>
      </c>
    </row>
    <row r="12369" spans="1:6" x14ac:dyDescent="0.2">
      <c r="A12369" t="s">
        <v>21118</v>
      </c>
      <c r="B12369" t="s">
        <v>21119</v>
      </c>
      <c r="C12369" t="s">
        <v>20</v>
      </c>
      <c r="D12369" t="s">
        <v>14</v>
      </c>
      <c r="E12369" t="s">
        <v>733</v>
      </c>
      <c r="F12369" s="2" t="str">
        <f>HYPERLINK("http://www.otzar.org/book.asp?14878","הרובע היהודי")</f>
        <v>הרובע היהודי</v>
      </c>
    </row>
    <row r="12370" spans="1:6" x14ac:dyDescent="0.2">
      <c r="A12370" t="s">
        <v>21120</v>
      </c>
      <c r="B12370" t="s">
        <v>21121</v>
      </c>
      <c r="C12370" t="s">
        <v>286</v>
      </c>
      <c r="D12370" t="s">
        <v>260</v>
      </c>
      <c r="E12370" t="s">
        <v>119</v>
      </c>
      <c r="F12370" s="2" t="str">
        <f>HYPERLINK("http://www.otzar.org/book.asp?144168","הרוטשילדים")</f>
        <v>הרוטשילדים</v>
      </c>
    </row>
    <row r="12371" spans="1:6" x14ac:dyDescent="0.2">
      <c r="A12371" t="s">
        <v>21122</v>
      </c>
      <c r="B12371" t="s">
        <v>21123</v>
      </c>
      <c r="C12371" t="s">
        <v>411</v>
      </c>
      <c r="D12371" t="s">
        <v>1076</v>
      </c>
      <c r="E12371" t="s">
        <v>246</v>
      </c>
      <c r="F12371" s="2" t="str">
        <f>HYPERLINK("http://www.otzar.org/book.asp?166356","הרועה בשושנים - 2 כר'")</f>
        <v>הרועה בשושנים - 2 כר'</v>
      </c>
    </row>
    <row r="12372" spans="1:6" x14ac:dyDescent="0.2">
      <c r="A12372" t="s">
        <v>21124</v>
      </c>
      <c r="B12372" t="s">
        <v>7794</v>
      </c>
      <c r="C12372" t="s">
        <v>775</v>
      </c>
      <c r="D12372" t="s">
        <v>52</v>
      </c>
      <c r="E12372" t="s">
        <v>3489</v>
      </c>
      <c r="F12372" s="2" t="str">
        <f>HYPERLINK("http://www.otzar.org/book.asp?50471","הרועים בשושנים")</f>
        <v>הרועים בשושנים</v>
      </c>
    </row>
    <row r="12373" spans="1:6" x14ac:dyDescent="0.2">
      <c r="A12373" t="s">
        <v>21125</v>
      </c>
      <c r="B12373" t="s">
        <v>21126</v>
      </c>
      <c r="C12373" t="s">
        <v>51</v>
      </c>
      <c r="D12373" t="s">
        <v>14</v>
      </c>
      <c r="E12373" t="s">
        <v>241</v>
      </c>
      <c r="F12373" s="2" t="str">
        <f>HYPERLINK("http://www.otzar.org/book.asp?164079","הרוצה בתשובה")</f>
        <v>הרוצה בתשובה</v>
      </c>
    </row>
    <row r="12374" spans="1:6" x14ac:dyDescent="0.2">
      <c r="A12374" t="s">
        <v>21127</v>
      </c>
      <c r="B12374" t="s">
        <v>16927</v>
      </c>
      <c r="C12374" t="s">
        <v>1160</v>
      </c>
      <c r="D12374" t="s">
        <v>14</v>
      </c>
      <c r="E12374" t="s">
        <v>714</v>
      </c>
      <c r="F12374" s="2" t="str">
        <f>HYPERLINK("http://www.otzar.org/book.asp?12117","הרוקח הגדול &lt;מהד' הגרב""ש שניאורסון&gt;")</f>
        <v>הרוקח הגדול &lt;מהד' הגרב"ש שניאורסון&gt;</v>
      </c>
    </row>
    <row r="12375" spans="1:6" x14ac:dyDescent="0.2">
      <c r="A12375" t="s">
        <v>21128</v>
      </c>
      <c r="B12375" t="s">
        <v>16927</v>
      </c>
      <c r="C12375" t="s">
        <v>1519</v>
      </c>
      <c r="D12375" t="s">
        <v>60</v>
      </c>
      <c r="E12375" t="s">
        <v>15</v>
      </c>
      <c r="F12375" s="2" t="str">
        <f>HYPERLINK("http://www.otzar.org/book.asp?101631","הרוקח הגדול")</f>
        <v>הרוקח הגדול</v>
      </c>
    </row>
    <row r="12376" spans="1:6" x14ac:dyDescent="0.2">
      <c r="A12376" t="s">
        <v>21129</v>
      </c>
      <c r="B12376" t="s">
        <v>16927</v>
      </c>
      <c r="C12376" t="s">
        <v>1177</v>
      </c>
      <c r="D12376" t="s">
        <v>283</v>
      </c>
      <c r="E12376" t="s">
        <v>714</v>
      </c>
      <c r="F12376" s="2" t="str">
        <f>HYPERLINK("http://www.otzar.org/book.asp?300567","הרוקח קטן")</f>
        <v>הרוקח קטן</v>
      </c>
    </row>
    <row r="12377" spans="1:6" x14ac:dyDescent="0.2">
      <c r="A12377" t="s">
        <v>21130</v>
      </c>
      <c r="B12377" t="s">
        <v>21131</v>
      </c>
      <c r="C12377" t="s">
        <v>151</v>
      </c>
      <c r="D12377" t="s">
        <v>14</v>
      </c>
      <c r="E12377" t="s">
        <v>15</v>
      </c>
      <c r="F12377" s="2" t="str">
        <f>HYPERLINK("http://www.otzar.org/book.asp?620296","הרחב דעת - 16 כר'")</f>
        <v>הרחב דעת - 16 כר'</v>
      </c>
    </row>
    <row r="12378" spans="1:6" x14ac:dyDescent="0.2">
      <c r="A12378" t="s">
        <v>21132</v>
      </c>
      <c r="B12378" t="s">
        <v>1066</v>
      </c>
      <c r="C12378" t="s">
        <v>51</v>
      </c>
      <c r="D12378" t="s">
        <v>412</v>
      </c>
      <c r="E12378" t="s">
        <v>104</v>
      </c>
      <c r="F12378" s="2" t="str">
        <f>HYPERLINK("http://www.otzar.org/book.asp?85579","הרחבת גבול יעבץ - 2 כר'")</f>
        <v>הרחבת גבול יעבץ - 2 כר'</v>
      </c>
    </row>
    <row r="12379" spans="1:6" x14ac:dyDescent="0.2">
      <c r="A12379" t="s">
        <v>21133</v>
      </c>
      <c r="B12379" t="s">
        <v>21134</v>
      </c>
      <c r="C12379" t="s">
        <v>411</v>
      </c>
      <c r="D12379" t="s">
        <v>134</v>
      </c>
      <c r="E12379" t="s">
        <v>714</v>
      </c>
      <c r="F12379" s="2" t="str">
        <f>HYPERLINK("http://www.otzar.org/book.asp?193596","הרחק מעליה דרכך")</f>
        <v>הרחק מעליה דרכך</v>
      </c>
    </row>
    <row r="12380" spans="1:6" x14ac:dyDescent="0.2">
      <c r="A12380" t="s">
        <v>21135</v>
      </c>
      <c r="B12380" t="s">
        <v>10617</v>
      </c>
      <c r="C12380" t="s">
        <v>313</v>
      </c>
      <c r="D12380" t="s">
        <v>2285</v>
      </c>
      <c r="E12380" t="s">
        <v>144</v>
      </c>
      <c r="F12380" s="2" t="str">
        <f>HYPERLINK("http://www.otzar.org/book.asp?147569","הרחקת נזיקין")</f>
        <v>הרחקת נזיקין</v>
      </c>
    </row>
    <row r="12381" spans="1:6" x14ac:dyDescent="0.2">
      <c r="A12381" t="s">
        <v>21136</v>
      </c>
      <c r="B12381" t="s">
        <v>21137</v>
      </c>
      <c r="C12381" t="s">
        <v>523</v>
      </c>
      <c r="D12381" t="s">
        <v>14</v>
      </c>
      <c r="F12381" s="2" t="str">
        <f>HYPERLINK("http://www.otzar.org/book.asp?617346","הרי את מקודשת")</f>
        <v>הרי את מקודשת</v>
      </c>
    </row>
    <row r="12382" spans="1:6" x14ac:dyDescent="0.2">
      <c r="A12382" t="s">
        <v>21138</v>
      </c>
      <c r="B12382" t="s">
        <v>21139</v>
      </c>
      <c r="C12382" t="s">
        <v>1940</v>
      </c>
      <c r="D12382" t="s">
        <v>76</v>
      </c>
      <c r="E12382" t="s">
        <v>158</v>
      </c>
      <c r="F12382" s="2" t="str">
        <f>HYPERLINK("http://www.otzar.org/book.asp?15747","הרי בשמים וערוגת הבושם")</f>
        <v>הרי בשמים וערוגת הבושם</v>
      </c>
    </row>
    <row r="12383" spans="1:6" x14ac:dyDescent="0.2">
      <c r="A12383" t="s">
        <v>21140</v>
      </c>
      <c r="B12383" t="s">
        <v>21141</v>
      </c>
      <c r="C12383" t="s">
        <v>21142</v>
      </c>
      <c r="D12383" t="s">
        <v>974</v>
      </c>
      <c r="F12383" s="2" t="str">
        <f>HYPERLINK("http://www.otzar.org/book.asp?183001","הרי בשמים - ב")</f>
        <v>הרי בשמים - ב</v>
      </c>
    </row>
    <row r="12384" spans="1:6" x14ac:dyDescent="0.2">
      <c r="A12384" t="s">
        <v>21143</v>
      </c>
      <c r="B12384" t="s">
        <v>686</v>
      </c>
      <c r="C12384" t="s">
        <v>585</v>
      </c>
      <c r="D12384" t="s">
        <v>52</v>
      </c>
      <c r="E12384" t="s">
        <v>144</v>
      </c>
      <c r="F12384" s="2" t="str">
        <f>HYPERLINK("http://www.otzar.org/book.asp?156167","הרי בשמים")</f>
        <v>הרי בשמים</v>
      </c>
    </row>
    <row r="12385" spans="1:6" x14ac:dyDescent="0.2">
      <c r="A12385" t="s">
        <v>21144</v>
      </c>
      <c r="B12385" t="s">
        <v>16946</v>
      </c>
      <c r="C12385" t="s">
        <v>21145</v>
      </c>
      <c r="D12385" t="s">
        <v>267</v>
      </c>
      <c r="E12385" t="s">
        <v>154</v>
      </c>
      <c r="F12385" s="2" t="str">
        <f>HYPERLINK("http://www.otzar.org/book.asp?625936","הרי בשמים - 3 כר'")</f>
        <v>הרי בשמים - 3 כר'</v>
      </c>
    </row>
    <row r="12386" spans="1:6" x14ac:dyDescent="0.2">
      <c r="A12386" t="s">
        <v>21143</v>
      </c>
      <c r="B12386" t="s">
        <v>21146</v>
      </c>
      <c r="C12386" t="s">
        <v>422</v>
      </c>
      <c r="D12386" t="s">
        <v>115</v>
      </c>
      <c r="E12386" t="s">
        <v>246</v>
      </c>
      <c r="F12386" s="2" t="str">
        <f>HYPERLINK("http://www.otzar.org/book.asp?158703","הרי בשמים")</f>
        <v>הרי בשמים</v>
      </c>
    </row>
    <row r="12387" spans="1:6" x14ac:dyDescent="0.2">
      <c r="A12387" t="s">
        <v>21147</v>
      </c>
      <c r="B12387" t="s">
        <v>21148</v>
      </c>
      <c r="C12387" t="s">
        <v>21149</v>
      </c>
      <c r="D12387" t="s">
        <v>4269</v>
      </c>
      <c r="E12387" t="s">
        <v>21150</v>
      </c>
      <c r="F12387" s="2" t="str">
        <f>HYPERLINK("http://www.otzar.org/book.asp?5151","הרי בשמים - 2 כר'")</f>
        <v>הרי בשמים - 2 כר'</v>
      </c>
    </row>
    <row r="12388" spans="1:6" x14ac:dyDescent="0.2">
      <c r="A12388" t="s">
        <v>21151</v>
      </c>
      <c r="B12388" t="s">
        <v>21152</v>
      </c>
      <c r="C12388" t="s">
        <v>103</v>
      </c>
      <c r="D12388" t="s">
        <v>14</v>
      </c>
      <c r="E12388" t="s">
        <v>154</v>
      </c>
      <c r="F12388" s="2" t="str">
        <f>HYPERLINK("http://www.otzar.org/book.asp?171828","הרי יהודה - 3 כר'")</f>
        <v>הרי יהודה - 3 כר'</v>
      </c>
    </row>
    <row r="12389" spans="1:6" x14ac:dyDescent="0.2">
      <c r="A12389" t="s">
        <v>21153</v>
      </c>
      <c r="B12389" t="s">
        <v>21154</v>
      </c>
      <c r="C12389" t="s">
        <v>114</v>
      </c>
      <c r="D12389" t="s">
        <v>14</v>
      </c>
      <c r="E12389" t="s">
        <v>119</v>
      </c>
      <c r="F12389" s="2" t="str">
        <f>HYPERLINK("http://www.otzar.org/book.asp?168296","הרי""ח הטוב")</f>
        <v>הרי"ח הטוב</v>
      </c>
    </row>
    <row r="12390" spans="1:6" x14ac:dyDescent="0.2">
      <c r="A12390" t="s">
        <v>21155</v>
      </c>
      <c r="B12390" t="s">
        <v>7038</v>
      </c>
      <c r="C12390" t="s">
        <v>1160</v>
      </c>
      <c r="D12390" t="s">
        <v>14</v>
      </c>
      <c r="E12390" t="s">
        <v>733</v>
      </c>
      <c r="F12390" s="2" t="str">
        <f>HYPERLINK("http://www.otzar.org/book.asp?5163","הרי""ף ומשנתו &lt;סדרת הראשונים ומשנתם&gt;")</f>
        <v>הרי"ף ומשנתו &lt;סדרת הראשונים ומשנתם&gt;</v>
      </c>
    </row>
    <row r="12391" spans="1:6" x14ac:dyDescent="0.2">
      <c r="A12391" t="s">
        <v>21156</v>
      </c>
      <c r="B12391" t="s">
        <v>7913</v>
      </c>
      <c r="C12391" t="s">
        <v>1663</v>
      </c>
      <c r="D12391" t="s">
        <v>27</v>
      </c>
      <c r="E12391" t="s">
        <v>803</v>
      </c>
      <c r="F12391" s="2" t="str">
        <f>HYPERLINK("http://www.otzar.org/book.asp?143191","הרי""ף למסכת חולין")</f>
        <v>הרי"ף למסכת חולין</v>
      </c>
    </row>
    <row r="12392" spans="1:6" x14ac:dyDescent="0.2">
      <c r="A12392" t="s">
        <v>21157</v>
      </c>
      <c r="B12392" t="s">
        <v>6298</v>
      </c>
      <c r="C12392" t="s">
        <v>523</v>
      </c>
      <c r="D12392" t="s">
        <v>14</v>
      </c>
      <c r="E12392" t="s">
        <v>15</v>
      </c>
      <c r="F12392" s="2" t="str">
        <f>HYPERLINK("http://www.otzar.org/book.asp?50196","הריח הטוב")</f>
        <v>הריח הטוב</v>
      </c>
    </row>
    <row r="12393" spans="1:6" x14ac:dyDescent="0.2">
      <c r="A12393" t="s">
        <v>21158</v>
      </c>
      <c r="B12393" t="s">
        <v>206</v>
      </c>
      <c r="C12393" t="s">
        <v>133</v>
      </c>
      <c r="D12393" t="s">
        <v>90</v>
      </c>
      <c r="F12393" s="2" t="str">
        <f>HYPERLINK("http://www.otzar.org/book.asp?605980","הרימו מכשול מדרך עמי")</f>
        <v>הרימו מכשול מדרך עמי</v>
      </c>
    </row>
    <row r="12394" spans="1:6" x14ac:dyDescent="0.2">
      <c r="A12394" t="s">
        <v>21159</v>
      </c>
      <c r="B12394" t="s">
        <v>8743</v>
      </c>
      <c r="C12394" t="s">
        <v>366</v>
      </c>
      <c r="D12394" t="s">
        <v>412</v>
      </c>
      <c r="F12394" s="2" t="str">
        <f>HYPERLINK("http://www.otzar.org/book.asp?613574","הרימותי בחור מעם")</f>
        <v>הרימותי בחור מעם</v>
      </c>
    </row>
    <row r="12395" spans="1:6" x14ac:dyDescent="0.2">
      <c r="A12395" t="s">
        <v>21160</v>
      </c>
      <c r="B12395" t="s">
        <v>21161</v>
      </c>
      <c r="C12395" t="s">
        <v>244</v>
      </c>
      <c r="D12395" t="s">
        <v>21</v>
      </c>
      <c r="E12395" t="s">
        <v>241</v>
      </c>
      <c r="F12395" s="2" t="str">
        <f>HYPERLINK("http://www.otzar.org/book.asp?193849","הריני מקבל עלי")</f>
        <v>הריני מקבל עלי</v>
      </c>
    </row>
    <row r="12396" spans="1:6" x14ac:dyDescent="0.2">
      <c r="A12396" t="s">
        <v>21162</v>
      </c>
      <c r="B12396" t="s">
        <v>21163</v>
      </c>
      <c r="C12396" t="s">
        <v>306</v>
      </c>
      <c r="D12396" t="s">
        <v>10109</v>
      </c>
      <c r="E12396" t="s">
        <v>104</v>
      </c>
      <c r="F12396" s="2" t="str">
        <f>HYPERLINK("http://www.otzar.org/book.asp?147325","הריסת משמרת")</f>
        <v>הריסת משמרת</v>
      </c>
    </row>
    <row r="12397" spans="1:6" x14ac:dyDescent="0.2">
      <c r="A12397" t="s">
        <v>21164</v>
      </c>
      <c r="B12397" t="s">
        <v>21165</v>
      </c>
      <c r="C12397" t="s">
        <v>21166</v>
      </c>
      <c r="D12397" t="s">
        <v>42</v>
      </c>
      <c r="E12397" t="s">
        <v>158</v>
      </c>
      <c r="F12397" s="2" t="str">
        <f>HYPERLINK("http://www.otzar.org/book.asp?181145","הרכסים לבקעה")</f>
        <v>הרכסים לבקעה</v>
      </c>
    </row>
    <row r="12398" spans="1:6" x14ac:dyDescent="0.2">
      <c r="A12398" t="s">
        <v>21167</v>
      </c>
      <c r="B12398" t="s">
        <v>1314</v>
      </c>
      <c r="C12398" t="s">
        <v>411</v>
      </c>
      <c r="D12398" t="s">
        <v>21168</v>
      </c>
      <c r="E12398" t="s">
        <v>399</v>
      </c>
      <c r="F12398" s="2" t="str">
        <f>HYPERLINK("http://www.otzar.org/book.asp?165271","הרמ""ז על ספר עץ חיים")</f>
        <v>הרמ"ז על ספר עץ חיים</v>
      </c>
    </row>
    <row r="12399" spans="1:6" x14ac:dyDescent="0.2">
      <c r="A12399" t="s">
        <v>21169</v>
      </c>
      <c r="B12399" t="s">
        <v>21170</v>
      </c>
      <c r="C12399" t="s">
        <v>114</v>
      </c>
      <c r="D12399" t="s">
        <v>9658</v>
      </c>
      <c r="E12399" t="s">
        <v>15</v>
      </c>
      <c r="F12399" s="2" t="str">
        <f>HYPERLINK("http://www.otzar.org/book.asp?163190","הרמב""ם השלם - 7 כר'")</f>
        <v>הרמב"ם השלם - 7 כר'</v>
      </c>
    </row>
    <row r="12400" spans="1:6" x14ac:dyDescent="0.2">
      <c r="A12400" t="s">
        <v>21171</v>
      </c>
      <c r="B12400" t="s">
        <v>21172</v>
      </c>
      <c r="C12400" t="s">
        <v>1160</v>
      </c>
      <c r="D12400" t="s">
        <v>14</v>
      </c>
      <c r="E12400" t="s">
        <v>119</v>
      </c>
      <c r="F12400" s="2" t="str">
        <f>HYPERLINK("http://www.otzar.org/book.asp?628659","הרמב""ם והגאונים")</f>
        <v>הרמב"ם והגאונים</v>
      </c>
    </row>
    <row r="12401" spans="1:6" x14ac:dyDescent="0.2">
      <c r="A12401" t="s">
        <v>21173</v>
      </c>
      <c r="B12401" t="s">
        <v>9096</v>
      </c>
      <c r="C12401" t="s">
        <v>1448</v>
      </c>
      <c r="D12401" t="s">
        <v>14</v>
      </c>
      <c r="E12401" t="s">
        <v>21174</v>
      </c>
      <c r="F12401" s="2" t="str">
        <f>HYPERLINK("http://www.otzar.org/book.asp?179794","הרמב""ם והמכילתא דרשב""י &lt;מהדורה שניה&gt;")</f>
        <v>הרמב"ם והמכילתא דרשב"י &lt;מהדורה שניה&gt;</v>
      </c>
    </row>
    <row r="12402" spans="1:6" x14ac:dyDescent="0.2">
      <c r="A12402" t="s">
        <v>21175</v>
      </c>
      <c r="B12402" t="s">
        <v>9096</v>
      </c>
      <c r="C12402" t="s">
        <v>2008</v>
      </c>
      <c r="D12402" t="s">
        <v>9</v>
      </c>
      <c r="E12402" t="s">
        <v>43</v>
      </c>
      <c r="F12402" s="2" t="str">
        <f>HYPERLINK("http://www.otzar.org/book.asp?150196","הרמב""ם והמכילתא דרשב""י")</f>
        <v>הרמב"ם והמכילתא דרשב"י</v>
      </c>
    </row>
    <row r="12403" spans="1:6" x14ac:dyDescent="0.2">
      <c r="A12403" t="s">
        <v>21176</v>
      </c>
      <c r="B12403" t="s">
        <v>21096</v>
      </c>
      <c r="C12403" t="s">
        <v>383</v>
      </c>
      <c r="D12403" t="s">
        <v>14</v>
      </c>
      <c r="E12403" t="s">
        <v>119</v>
      </c>
      <c r="F12403" s="2" t="str">
        <f>HYPERLINK("http://www.otzar.org/book.asp?152383","הרמב""ם")</f>
        <v>הרמב"ם</v>
      </c>
    </row>
    <row r="12404" spans="1:6" x14ac:dyDescent="0.2">
      <c r="A12404" t="s">
        <v>21176</v>
      </c>
      <c r="B12404" t="s">
        <v>21177</v>
      </c>
      <c r="C12404" t="s">
        <v>3205</v>
      </c>
      <c r="D12404" t="s">
        <v>1654</v>
      </c>
      <c r="F12404" s="2" t="str">
        <f>HYPERLINK("http://www.otzar.org/book.asp?600418","הרמב""ם")</f>
        <v>הרמב"ם</v>
      </c>
    </row>
    <row r="12405" spans="1:6" x14ac:dyDescent="0.2">
      <c r="A12405" t="s">
        <v>21178</v>
      </c>
      <c r="B12405" t="s">
        <v>11539</v>
      </c>
      <c r="C12405" t="s">
        <v>1570</v>
      </c>
      <c r="D12405" t="s">
        <v>14</v>
      </c>
      <c r="F12405" s="2" t="str">
        <f>HYPERLINK("http://www.otzar.org/book.asp?614434","הרמב""ן בחוג גרונה")</f>
        <v>הרמב"ן בחוג גרונה</v>
      </c>
    </row>
    <row r="12406" spans="1:6" x14ac:dyDescent="0.2">
      <c r="A12406" t="s">
        <v>21179</v>
      </c>
      <c r="B12406" t="s">
        <v>732</v>
      </c>
      <c r="C12406" t="s">
        <v>725</v>
      </c>
      <c r="D12406" t="s">
        <v>27</v>
      </c>
      <c r="E12406" t="s">
        <v>733</v>
      </c>
      <c r="F12406" s="2" t="str">
        <f>HYPERLINK("http://www.otzar.org/book.asp?149631","הרמב""ן וירושלם - 2 כר'")</f>
        <v>הרמב"ן וירושלם - 2 כר'</v>
      </c>
    </row>
    <row r="12407" spans="1:6" x14ac:dyDescent="0.2">
      <c r="A12407" t="s">
        <v>21180</v>
      </c>
      <c r="B12407" t="s">
        <v>21096</v>
      </c>
      <c r="C12407" t="s">
        <v>124</v>
      </c>
      <c r="D12407" t="s">
        <v>21</v>
      </c>
      <c r="F12407" s="2" t="str">
        <f>HYPERLINK("http://www.otzar.org/book.asp?600283","הרמב""ן")</f>
        <v>הרמב"ן</v>
      </c>
    </row>
    <row r="12408" spans="1:6" x14ac:dyDescent="0.2">
      <c r="A12408" t="s">
        <v>21181</v>
      </c>
      <c r="B12408" t="s">
        <v>4785</v>
      </c>
      <c r="C12408" t="s">
        <v>151</v>
      </c>
      <c r="D12408" t="s">
        <v>52</v>
      </c>
      <c r="E12408" t="s">
        <v>158</v>
      </c>
      <c r="F12408" s="2" t="str">
        <f>HYPERLINK("http://www.otzar.org/book.asp?613844","הרמנים ארבע מאות")</f>
        <v>הרמנים ארבע מאות</v>
      </c>
    </row>
    <row r="12409" spans="1:6" x14ac:dyDescent="0.2">
      <c r="A12409" t="s">
        <v>21182</v>
      </c>
      <c r="B12409" t="s">
        <v>686</v>
      </c>
      <c r="C12409" t="s">
        <v>313</v>
      </c>
      <c r="D12409" t="s">
        <v>52</v>
      </c>
      <c r="E12409" t="s">
        <v>104</v>
      </c>
      <c r="F12409" s="2" t="str">
        <f>HYPERLINK("http://www.otzar.org/book.asp?189255","הרעה בשושנים")</f>
        <v>הרעה בשושנים</v>
      </c>
    </row>
    <row r="12410" spans="1:6" x14ac:dyDescent="0.2">
      <c r="A12410" t="s">
        <v>21183</v>
      </c>
      <c r="B12410" t="s">
        <v>21184</v>
      </c>
      <c r="C12410" t="s">
        <v>143</v>
      </c>
      <c r="D12410" t="s">
        <v>14</v>
      </c>
      <c r="E12410" t="s">
        <v>119</v>
      </c>
      <c r="F12410" s="2" t="str">
        <f>HYPERLINK("http://www.otzar.org/book.asp?160782","הרעיון הגדול ומגוון הפעולות")</f>
        <v>הרעיון הגדול ומגוון הפעולות</v>
      </c>
    </row>
    <row r="12411" spans="1:6" x14ac:dyDescent="0.2">
      <c r="A12411" t="s">
        <v>21185</v>
      </c>
      <c r="B12411" t="s">
        <v>21186</v>
      </c>
      <c r="C12411" t="s">
        <v>20</v>
      </c>
      <c r="D12411" t="s">
        <v>14</v>
      </c>
      <c r="E12411" t="s">
        <v>733</v>
      </c>
      <c r="F12411" s="2" t="str">
        <f>HYPERLINK("http://www.otzar.org/book.asp?606626","הרעיון וההגשמה")</f>
        <v>הרעיון וההגשמה</v>
      </c>
    </row>
    <row r="12412" spans="1:6" x14ac:dyDescent="0.2">
      <c r="A12412" t="s">
        <v>21187</v>
      </c>
      <c r="B12412" t="s">
        <v>1750</v>
      </c>
      <c r="C12412" t="s">
        <v>37</v>
      </c>
      <c r="E12412" t="s">
        <v>15</v>
      </c>
      <c r="F12412" s="2" t="str">
        <f>HYPERLINK("http://www.otzar.org/book.asp?195125","הרפואה בהלכה ובאגדה")</f>
        <v>הרפואה בהלכה ובאגדה</v>
      </c>
    </row>
    <row r="12413" spans="1:6" x14ac:dyDescent="0.2">
      <c r="A12413" t="s">
        <v>21188</v>
      </c>
      <c r="B12413" t="s">
        <v>15654</v>
      </c>
      <c r="C12413" t="s">
        <v>111</v>
      </c>
      <c r="D12413" t="s">
        <v>14</v>
      </c>
      <c r="E12413" t="s">
        <v>674</v>
      </c>
      <c r="F12413" s="2" t="str">
        <f>HYPERLINK("http://www.otzar.org/book.asp?623205","הרפואה האלטרנטיבית בהלכה")</f>
        <v>הרפואה האלטרנטיבית בהלכה</v>
      </c>
    </row>
    <row r="12414" spans="1:6" x14ac:dyDescent="0.2">
      <c r="A12414" t="s">
        <v>21189</v>
      </c>
      <c r="B12414" t="s">
        <v>21190</v>
      </c>
      <c r="C12414" t="s">
        <v>1388</v>
      </c>
      <c r="D12414" t="s">
        <v>14</v>
      </c>
      <c r="E12414" t="s">
        <v>15</v>
      </c>
      <c r="F12414" s="2" t="str">
        <f>HYPERLINK("http://www.otzar.org/book.asp?166400","הרפואה לאור ההלכה - 5 כר'")</f>
        <v>הרפואה לאור ההלכה - 5 כר'</v>
      </c>
    </row>
    <row r="12415" spans="1:6" x14ac:dyDescent="0.2">
      <c r="A12415" t="s">
        <v>21191</v>
      </c>
      <c r="B12415" t="s">
        <v>21192</v>
      </c>
      <c r="C12415" t="s">
        <v>21193</v>
      </c>
      <c r="D12415" t="s">
        <v>27</v>
      </c>
      <c r="F12415" s="2" t="str">
        <f>HYPERLINK("http://www.otzar.org/book.asp?182587","הרצאת דברים על דבר המעון לבנות ישראל יתומות ועזובות")</f>
        <v>הרצאת דברים על דבר המעון לבנות ישראל יתומות ועזובות</v>
      </c>
    </row>
    <row r="12416" spans="1:6" x14ac:dyDescent="0.2">
      <c r="A12416" t="s">
        <v>21194</v>
      </c>
      <c r="B12416" t="s">
        <v>19344</v>
      </c>
      <c r="C12416" t="s">
        <v>129</v>
      </c>
      <c r="D12416" t="s">
        <v>14</v>
      </c>
      <c r="F12416" s="2" t="str">
        <f>HYPERLINK("http://www.otzar.org/book.asp?182254","הרקיע השביעי - שבת עם ר""נ מברסלב")</f>
        <v>הרקיע השביעי - שבת עם ר"נ מברסלב</v>
      </c>
    </row>
    <row r="12417" spans="1:6" x14ac:dyDescent="0.2">
      <c r="A12417" t="s">
        <v>21195</v>
      </c>
      <c r="B12417" t="s">
        <v>21196</v>
      </c>
      <c r="C12417" t="s">
        <v>1414</v>
      </c>
      <c r="D12417" t="s">
        <v>322</v>
      </c>
      <c r="E12417" t="s">
        <v>604</v>
      </c>
      <c r="F12417" s="2" t="str">
        <f>HYPERLINK("http://www.otzar.org/book.asp?32","הרקמה")</f>
        <v>הרקמה</v>
      </c>
    </row>
    <row r="12418" spans="1:6" x14ac:dyDescent="0.2">
      <c r="A12418" t="s">
        <v>21197</v>
      </c>
      <c r="B12418" t="s">
        <v>686</v>
      </c>
      <c r="C12418" t="s">
        <v>103</v>
      </c>
      <c r="D12418" t="s">
        <v>52</v>
      </c>
      <c r="E12418" t="s">
        <v>2840</v>
      </c>
      <c r="F12418" s="2" t="str">
        <f>HYPERLINK("http://www.otzar.org/book.asp?50399","הררי נמרים")</f>
        <v>הררי נמרים</v>
      </c>
    </row>
    <row r="12419" spans="1:6" x14ac:dyDescent="0.2">
      <c r="A12419" t="s">
        <v>21198</v>
      </c>
      <c r="B12419" t="s">
        <v>12821</v>
      </c>
      <c r="C12419" t="s">
        <v>313</v>
      </c>
      <c r="D12419" t="s">
        <v>14</v>
      </c>
      <c r="E12419" t="s">
        <v>3516</v>
      </c>
      <c r="F12419" s="2" t="str">
        <f>HYPERLINK("http://www.otzar.org/book.asp?25914","הררי קדם - 3 כר'")</f>
        <v>הררי קדם - 3 כר'</v>
      </c>
    </row>
    <row r="12420" spans="1:6" x14ac:dyDescent="0.2">
      <c r="A12420" t="s">
        <v>21199</v>
      </c>
      <c r="B12420" t="s">
        <v>21200</v>
      </c>
      <c r="C12420" t="s">
        <v>71</v>
      </c>
      <c r="D12420" t="s">
        <v>657</v>
      </c>
      <c r="E12420" t="s">
        <v>15</v>
      </c>
      <c r="F12420" s="2" t="str">
        <f>HYPERLINK("http://www.otzar.org/book.asp?63726","הררי שבת")</f>
        <v>הררי שבת</v>
      </c>
    </row>
    <row r="12421" spans="1:6" x14ac:dyDescent="0.2">
      <c r="A12421" t="s">
        <v>21199</v>
      </c>
      <c r="B12421" t="s">
        <v>21201</v>
      </c>
      <c r="C12421" t="s">
        <v>313</v>
      </c>
      <c r="D12421" t="s">
        <v>7468</v>
      </c>
      <c r="E12421" t="s">
        <v>803</v>
      </c>
      <c r="F12421" s="2" t="str">
        <f>HYPERLINK("http://www.otzar.org/book.asp?194164","הררי שבת")</f>
        <v>הררי שבת</v>
      </c>
    </row>
    <row r="12422" spans="1:6" x14ac:dyDescent="0.2">
      <c r="A12422" t="s">
        <v>21202</v>
      </c>
      <c r="B12422" t="s">
        <v>20690</v>
      </c>
      <c r="C12422" t="s">
        <v>151</v>
      </c>
      <c r="D12422" t="s">
        <v>1156</v>
      </c>
      <c r="E12422" t="s">
        <v>15</v>
      </c>
      <c r="F12422" s="2" t="str">
        <f>HYPERLINK("http://www.otzar.org/book.asp?621625","הררים בשערה")</f>
        <v>הררים בשערה</v>
      </c>
    </row>
    <row r="12423" spans="1:6" x14ac:dyDescent="0.2">
      <c r="A12423" t="s">
        <v>21203</v>
      </c>
      <c r="B12423" t="s">
        <v>10789</v>
      </c>
      <c r="C12423" t="s">
        <v>454</v>
      </c>
      <c r="D12423" t="s">
        <v>10790</v>
      </c>
      <c r="E12423" t="s">
        <v>15</v>
      </c>
      <c r="F12423" s="2" t="str">
        <f>HYPERLINK("http://www.otzar.org/book.asp?196158","הררים התלויים")</f>
        <v>הררים התלויים</v>
      </c>
    </row>
    <row r="12424" spans="1:6" x14ac:dyDescent="0.2">
      <c r="A12424" t="s">
        <v>21204</v>
      </c>
      <c r="B12424" t="s">
        <v>21205</v>
      </c>
      <c r="C12424" t="s">
        <v>609</v>
      </c>
      <c r="D12424" t="s">
        <v>17587</v>
      </c>
      <c r="E12424" t="s">
        <v>213</v>
      </c>
      <c r="F12424" s="2" t="str">
        <f>HYPERLINK("http://www.otzar.org/book.asp?104636","הררים התלוים בשערה")</f>
        <v>הררים התלוים בשערה</v>
      </c>
    </row>
    <row r="12425" spans="1:6" x14ac:dyDescent="0.2">
      <c r="A12425" t="s">
        <v>21206</v>
      </c>
      <c r="B12425" t="s">
        <v>21207</v>
      </c>
      <c r="C12425" t="s">
        <v>151</v>
      </c>
      <c r="D12425" t="s">
        <v>90</v>
      </c>
      <c r="E12425" t="s">
        <v>15</v>
      </c>
      <c r="F12425" s="2" t="str">
        <f>HYPERLINK("http://www.otzar.org/book.asp?621232","הררים התלוים בשערה - הוצאה")</f>
        <v>הררים התלוים בשערה - הוצאה</v>
      </c>
    </row>
    <row r="12426" spans="1:6" x14ac:dyDescent="0.2">
      <c r="A12426" t="s">
        <v>21208</v>
      </c>
      <c r="B12426" t="s">
        <v>3644</v>
      </c>
      <c r="C12426" t="s">
        <v>129</v>
      </c>
      <c r="D12426" t="s">
        <v>14</v>
      </c>
      <c r="E12426" t="s">
        <v>3055</v>
      </c>
      <c r="F12426" s="2" t="str">
        <f>HYPERLINK("http://www.otzar.org/book.asp?159364","הרת עולם - ראש השנה")</f>
        <v>הרת עולם - ראש השנה</v>
      </c>
    </row>
    <row r="12427" spans="1:6" x14ac:dyDescent="0.2">
      <c r="A12427" t="s">
        <v>21209</v>
      </c>
      <c r="B12427" t="s">
        <v>21210</v>
      </c>
      <c r="C12427" t="s">
        <v>1609</v>
      </c>
      <c r="D12427" t="s">
        <v>27</v>
      </c>
      <c r="E12427" t="s">
        <v>119</v>
      </c>
      <c r="F12427" s="2" t="str">
        <f>HYPERLINK("http://www.otzar.org/book.asp?157624","הש""ך ומשפחת רפפורט")</f>
        <v>הש"ך ומשפחת רפפורט</v>
      </c>
    </row>
    <row r="12428" spans="1:6" x14ac:dyDescent="0.2">
      <c r="A12428" t="s">
        <v>21211</v>
      </c>
      <c r="B12428" t="s">
        <v>11505</v>
      </c>
      <c r="C12428" t="s">
        <v>1535</v>
      </c>
      <c r="D12428" t="s">
        <v>9</v>
      </c>
      <c r="E12428" t="s">
        <v>213</v>
      </c>
      <c r="F12428" s="2" t="str">
        <f>HYPERLINK("http://www.otzar.org/book.asp?51357","השארת הנפש")</f>
        <v>השארת הנפש</v>
      </c>
    </row>
    <row r="12429" spans="1:6" x14ac:dyDescent="0.2">
      <c r="A12429" t="s">
        <v>21212</v>
      </c>
      <c r="B12429" t="s">
        <v>21213</v>
      </c>
      <c r="C12429" t="s">
        <v>151</v>
      </c>
      <c r="D12429" t="s">
        <v>21214</v>
      </c>
      <c r="F12429" s="2" t="str">
        <f>HYPERLINK("http://www.otzar.org/book.asp?611472","השבח לאל")</f>
        <v>השבח לאל</v>
      </c>
    </row>
    <row r="12430" spans="1:6" x14ac:dyDescent="0.2">
      <c r="A12430" t="s">
        <v>21215</v>
      </c>
      <c r="B12430" t="s">
        <v>21216</v>
      </c>
      <c r="C12430" t="s">
        <v>1160</v>
      </c>
      <c r="D12430" t="s">
        <v>52</v>
      </c>
      <c r="E12430" t="s">
        <v>1296</v>
      </c>
      <c r="F12430" s="2" t="str">
        <f>HYPERLINK("http://www.otzar.org/book.asp?149253","השבט ליהודה")</f>
        <v>השבט ליהודה</v>
      </c>
    </row>
    <row r="12431" spans="1:6" x14ac:dyDescent="0.2">
      <c r="A12431" t="s">
        <v>21217</v>
      </c>
      <c r="B12431" t="s">
        <v>1600</v>
      </c>
      <c r="C12431" t="s">
        <v>129</v>
      </c>
      <c r="D12431" t="s">
        <v>14</v>
      </c>
      <c r="E12431" t="s">
        <v>15</v>
      </c>
      <c r="F12431" s="2" t="str">
        <f>HYPERLINK("http://www.otzar.org/book.asp?60068","השביעית והלכותיה")</f>
        <v>השביעית והלכותיה</v>
      </c>
    </row>
    <row r="12432" spans="1:6" x14ac:dyDescent="0.2">
      <c r="A12432" t="s">
        <v>21218</v>
      </c>
      <c r="B12432" t="s">
        <v>21219</v>
      </c>
      <c r="C12432" t="s">
        <v>1278</v>
      </c>
      <c r="D12432" t="s">
        <v>9091</v>
      </c>
      <c r="E12432" t="s">
        <v>1211</v>
      </c>
      <c r="F12432" s="2" t="str">
        <f>HYPERLINK("http://www.otzar.org/book.asp?149159","השבת אבדה")</f>
        <v>השבת אבדה</v>
      </c>
    </row>
    <row r="12433" spans="1:6" x14ac:dyDescent="0.2">
      <c r="A12433" t="s">
        <v>21220</v>
      </c>
      <c r="B12433" t="s">
        <v>8242</v>
      </c>
      <c r="C12433" t="s">
        <v>466</v>
      </c>
      <c r="D12433" t="s">
        <v>14</v>
      </c>
      <c r="E12433" t="s">
        <v>15</v>
      </c>
      <c r="F12433" s="2" t="str">
        <f>HYPERLINK("http://www.otzar.org/book.asp?23265","השבת אבידה כהלכה")</f>
        <v>השבת אבידה כהלכה</v>
      </c>
    </row>
    <row r="12434" spans="1:6" x14ac:dyDescent="0.2">
      <c r="A12434" t="s">
        <v>21221</v>
      </c>
      <c r="B12434" t="s">
        <v>1750</v>
      </c>
      <c r="C12434" t="s">
        <v>37</v>
      </c>
      <c r="D12434" t="s">
        <v>14</v>
      </c>
      <c r="E12434" t="s">
        <v>130</v>
      </c>
      <c r="F12434" s="2" t="str">
        <f>HYPERLINK("http://www.otzar.org/book.asp?195126","השבת בהלכה ובאגדה")</f>
        <v>השבת בהלכה ובאגדה</v>
      </c>
    </row>
    <row r="12435" spans="1:6" x14ac:dyDescent="0.2">
      <c r="A12435" t="s">
        <v>21222</v>
      </c>
      <c r="B12435" t="s">
        <v>2500</v>
      </c>
      <c r="C12435" t="s">
        <v>585</v>
      </c>
      <c r="D12435" t="s">
        <v>412</v>
      </c>
      <c r="E12435" t="s">
        <v>130</v>
      </c>
      <c r="F12435" s="2" t="str">
        <f>HYPERLINK("http://www.otzar.org/book.asp?63252","השבת בישראל כהלכתה")</f>
        <v>השבת בישראל כהלכתה</v>
      </c>
    </row>
    <row r="12436" spans="1:6" x14ac:dyDescent="0.2">
      <c r="A12436" t="s">
        <v>21223</v>
      </c>
      <c r="B12436" t="s">
        <v>9316</v>
      </c>
      <c r="C12436" t="s">
        <v>133</v>
      </c>
      <c r="D12436" t="s">
        <v>5172</v>
      </c>
      <c r="E12436" t="s">
        <v>246</v>
      </c>
      <c r="F12436" s="2" t="str">
        <f>HYPERLINK("http://www.otzar.org/book.asp?173237","השבת במחיצת החפץ חיים")</f>
        <v>השבת במחיצת החפץ חיים</v>
      </c>
    </row>
    <row r="12437" spans="1:6" x14ac:dyDescent="0.2">
      <c r="A12437" t="s">
        <v>21224</v>
      </c>
      <c r="B12437" t="s">
        <v>7320</v>
      </c>
      <c r="C12437" t="s">
        <v>37</v>
      </c>
      <c r="D12437" t="s">
        <v>14</v>
      </c>
      <c r="E12437" t="s">
        <v>130</v>
      </c>
      <c r="F12437" s="2" t="str">
        <f>HYPERLINK("http://www.otzar.org/book.asp?630579","השבת בתפארתה")</f>
        <v>השבת בתפארתה</v>
      </c>
    </row>
    <row r="12438" spans="1:6" x14ac:dyDescent="0.2">
      <c r="A12438" t="s">
        <v>21225</v>
      </c>
      <c r="B12438" t="s">
        <v>21226</v>
      </c>
      <c r="C12438" t="s">
        <v>985</v>
      </c>
      <c r="D12438" t="s">
        <v>260</v>
      </c>
      <c r="E12438" t="s">
        <v>246</v>
      </c>
      <c r="F12438" s="2" t="str">
        <f>HYPERLINK("http://www.otzar.org/book.asp?103770","השבת והאמונה")</f>
        <v>השבת והאמונה</v>
      </c>
    </row>
    <row r="12439" spans="1:6" x14ac:dyDescent="0.2">
      <c r="A12439" t="s">
        <v>21227</v>
      </c>
      <c r="B12439" t="s">
        <v>21228</v>
      </c>
      <c r="C12439" t="s">
        <v>237</v>
      </c>
      <c r="D12439" t="s">
        <v>9</v>
      </c>
      <c r="E12439" t="s">
        <v>1164</v>
      </c>
      <c r="F12439" s="2" t="str">
        <f>HYPERLINK("http://www.otzar.org/book.asp?100755","השבת והארץ")</f>
        <v>השבת והארץ</v>
      </c>
    </row>
    <row r="12440" spans="1:6" x14ac:dyDescent="0.2">
      <c r="A12440" t="s">
        <v>21229</v>
      </c>
      <c r="B12440" t="s">
        <v>20919</v>
      </c>
      <c r="C12440" t="s">
        <v>51</v>
      </c>
      <c r="D12440" t="s">
        <v>90</v>
      </c>
      <c r="E12440" t="s">
        <v>144</v>
      </c>
      <c r="F12440" s="2" t="str">
        <f>HYPERLINK("http://www.otzar.org/book.asp?197375","השבת והחזון")</f>
        <v>השבת והחזון</v>
      </c>
    </row>
    <row r="12441" spans="1:6" x14ac:dyDescent="0.2">
      <c r="A12441" t="s">
        <v>21230</v>
      </c>
      <c r="B12441" t="s">
        <v>3384</v>
      </c>
      <c r="C12441" t="s">
        <v>775</v>
      </c>
      <c r="D12441" t="s">
        <v>14</v>
      </c>
      <c r="E12441" t="s">
        <v>219</v>
      </c>
      <c r="F12441" s="2" t="str">
        <f>HYPERLINK("http://www.otzar.org/book.asp?60644","השבת וזמירותיה")</f>
        <v>השבת וזמירותיה</v>
      </c>
    </row>
    <row r="12442" spans="1:6" x14ac:dyDescent="0.2">
      <c r="A12442" t="s">
        <v>21231</v>
      </c>
      <c r="B12442" t="s">
        <v>9096</v>
      </c>
      <c r="C12442" t="s">
        <v>482</v>
      </c>
      <c r="D12442" t="s">
        <v>412</v>
      </c>
      <c r="E12442" t="s">
        <v>1164</v>
      </c>
      <c r="F12442" s="2" t="str">
        <f>HYPERLINK("http://www.otzar.org/book.asp?151252","השבת ומזרח העולם")</f>
        <v>השבת ומזרח העולם</v>
      </c>
    </row>
    <row r="12443" spans="1:6" x14ac:dyDescent="0.2">
      <c r="A12443" t="s">
        <v>21232</v>
      </c>
      <c r="B12443" t="s">
        <v>21233</v>
      </c>
      <c r="C12443" t="s">
        <v>777</v>
      </c>
      <c r="D12443" t="s">
        <v>9</v>
      </c>
      <c r="E12443" t="s">
        <v>2840</v>
      </c>
      <c r="F12443" s="2" t="str">
        <f>HYPERLINK("http://www.otzar.org/book.asp?51356","השבת לקדשו")</f>
        <v>השבת לקדשו</v>
      </c>
    </row>
    <row r="12444" spans="1:6" x14ac:dyDescent="0.2">
      <c r="A12444" t="s">
        <v>21234</v>
      </c>
      <c r="B12444" t="s">
        <v>1363</v>
      </c>
      <c r="C12444" t="s">
        <v>180</v>
      </c>
      <c r="D12444" t="s">
        <v>216</v>
      </c>
      <c r="E12444" t="s">
        <v>246</v>
      </c>
      <c r="F12444" s="2" t="str">
        <f>HYPERLINK("http://www.otzar.org/book.asp?160266","השבת")</f>
        <v>השבת</v>
      </c>
    </row>
    <row r="12445" spans="1:6" x14ac:dyDescent="0.2">
      <c r="A12445" t="s">
        <v>21234</v>
      </c>
      <c r="B12445" t="s">
        <v>21235</v>
      </c>
      <c r="C12445" t="s">
        <v>1208</v>
      </c>
      <c r="D12445" t="s">
        <v>2458</v>
      </c>
      <c r="E12445" t="s">
        <v>1517</v>
      </c>
      <c r="F12445" s="2" t="str">
        <f>HYPERLINK("http://www.otzar.org/book.asp?149673","השבת")</f>
        <v>השבת</v>
      </c>
    </row>
    <row r="12446" spans="1:6" x14ac:dyDescent="0.2">
      <c r="A12446" t="s">
        <v>21236</v>
      </c>
      <c r="B12446" t="s">
        <v>21237</v>
      </c>
      <c r="C12446" t="s">
        <v>332</v>
      </c>
      <c r="D12446" t="s">
        <v>52</v>
      </c>
      <c r="E12446" t="s">
        <v>144</v>
      </c>
      <c r="F12446" s="2" t="str">
        <f>HYPERLINK("http://www.otzar.org/book.asp?174282","השג יד - קידושין")</f>
        <v>השג יד - קידושין</v>
      </c>
    </row>
    <row r="12447" spans="1:6" x14ac:dyDescent="0.2">
      <c r="A12447" t="s">
        <v>21238</v>
      </c>
      <c r="B12447" t="s">
        <v>7346</v>
      </c>
      <c r="C12447" t="s">
        <v>176</v>
      </c>
      <c r="D12447" t="s">
        <v>152</v>
      </c>
      <c r="E12447" t="s">
        <v>144</v>
      </c>
      <c r="F12447" s="2" t="str">
        <f>HYPERLINK("http://www.otzar.org/book.asp?61108","השג יד - 2 כר'")</f>
        <v>השג יד - 2 כר'</v>
      </c>
    </row>
    <row r="12448" spans="1:6" x14ac:dyDescent="0.2">
      <c r="A12448" t="s">
        <v>21239</v>
      </c>
      <c r="B12448" t="s">
        <v>21240</v>
      </c>
      <c r="C12448" t="s">
        <v>168</v>
      </c>
      <c r="D12448" t="s">
        <v>14</v>
      </c>
      <c r="E12448" t="s">
        <v>15</v>
      </c>
      <c r="F12448" s="2" t="str">
        <f>HYPERLINK("http://www.otzar.org/book.asp?190343","השגות הראב""ד למשנה תורה - מדע, אהבה")</f>
        <v>השגות הראב"ד למשנה תורה - מדע, אהבה</v>
      </c>
    </row>
    <row r="12449" spans="1:6" x14ac:dyDescent="0.2">
      <c r="A12449" t="s">
        <v>21241</v>
      </c>
      <c r="B12449" t="s">
        <v>18331</v>
      </c>
      <c r="C12449">
        <v>1956</v>
      </c>
      <c r="D12449" t="s">
        <v>412</v>
      </c>
      <c r="E12449" t="s">
        <v>674</v>
      </c>
      <c r="F12449" s="2" t="str">
        <f>HYPERLINK("http://www.otzar.org/book.asp?602423","השגות הרמ""ך על הרמב""ם &lt;מהדורת אטלס&gt; - 3 כר'")</f>
        <v>השגות הרמ"ך על הרמב"ם &lt;מהדורת אטלס&gt; - 3 כר'</v>
      </c>
    </row>
    <row r="12450" spans="1:6" x14ac:dyDescent="0.2">
      <c r="A12450" t="s">
        <v>21242</v>
      </c>
      <c r="E12450" t="s">
        <v>104</v>
      </c>
      <c r="F12450" s="2" t="str">
        <f>HYPERLINK("http://www.otzar.org/book.asp?160776","השגות הרמב""ן על ספר המצות - כת""י")</f>
        <v>השגות הרמב"ן על ספר המצות - כת"י</v>
      </c>
    </row>
    <row r="12451" spans="1:6" x14ac:dyDescent="0.2">
      <c r="A12451" t="s">
        <v>21243</v>
      </c>
      <c r="B12451" t="s">
        <v>1552</v>
      </c>
      <c r="C12451" t="s">
        <v>1568</v>
      </c>
      <c r="D12451" t="s">
        <v>1490</v>
      </c>
      <c r="E12451" t="s">
        <v>15</v>
      </c>
      <c r="F12451" s="2" t="str">
        <f>HYPERLINK("http://www.otzar.org/book.asp?158922","השגות של הרמב""ן ז""ל")</f>
        <v>השגות של הרמב"ן ז"ל</v>
      </c>
    </row>
    <row r="12452" spans="1:6" x14ac:dyDescent="0.2">
      <c r="A12452" t="s">
        <v>21244</v>
      </c>
      <c r="B12452" t="s">
        <v>21245</v>
      </c>
      <c r="C12452" t="s">
        <v>1410</v>
      </c>
      <c r="D12452" t="s">
        <v>3963</v>
      </c>
      <c r="F12452" s="2" t="str">
        <f>HYPERLINK("http://www.otzar.org/book.asp?164950","השגות")</f>
        <v>השגות</v>
      </c>
    </row>
    <row r="12453" spans="1:6" x14ac:dyDescent="0.2">
      <c r="A12453" t="s">
        <v>21246</v>
      </c>
      <c r="B12453" t="s">
        <v>21247</v>
      </c>
      <c r="C12453" t="s">
        <v>21248</v>
      </c>
      <c r="D12453" t="s">
        <v>225</v>
      </c>
      <c r="E12453" t="s">
        <v>213</v>
      </c>
      <c r="F12453" s="2" t="str">
        <f>HYPERLINK("http://www.otzar.org/book.asp?149152","השגחה והמעשה")</f>
        <v>השגחה והמעשה</v>
      </c>
    </row>
    <row r="12454" spans="1:6" x14ac:dyDescent="0.2">
      <c r="A12454" t="s">
        <v>21249</v>
      </c>
      <c r="B12454" t="s">
        <v>13663</v>
      </c>
      <c r="C12454" t="s">
        <v>189</v>
      </c>
      <c r="D12454" t="s">
        <v>52</v>
      </c>
      <c r="E12454" t="s">
        <v>4160</v>
      </c>
      <c r="F12454" s="2" t="str">
        <f>HYPERLINK("http://www.otzar.org/book.asp?156158","השגחה פרטית")</f>
        <v>השגחה פרטית</v>
      </c>
    </row>
    <row r="12455" spans="1:6" x14ac:dyDescent="0.2">
      <c r="A12455" t="s">
        <v>21250</v>
      </c>
      <c r="B12455" t="s">
        <v>4735</v>
      </c>
      <c r="C12455" t="s">
        <v>129</v>
      </c>
      <c r="D12455" t="s">
        <v>14</v>
      </c>
      <c r="E12455" t="s">
        <v>119</v>
      </c>
      <c r="F12455" s="2" t="str">
        <f>HYPERLINK("http://www.otzar.org/book.asp?158895","השואה בדילוגים")</f>
        <v>השואה בדילוגים</v>
      </c>
    </row>
    <row r="12456" spans="1:6" x14ac:dyDescent="0.2">
      <c r="A12456" t="s">
        <v>21251</v>
      </c>
      <c r="B12456" t="s">
        <v>17145</v>
      </c>
      <c r="C12456" t="s">
        <v>176</v>
      </c>
      <c r="D12456" t="s">
        <v>14</v>
      </c>
      <c r="E12456" t="s">
        <v>733</v>
      </c>
      <c r="F12456" s="2" t="str">
        <f>HYPERLINK("http://www.otzar.org/book.asp?15549","השואה במקורות רבניים")</f>
        <v>השואה במקורות רבניים</v>
      </c>
    </row>
    <row r="12457" spans="1:6" x14ac:dyDescent="0.2">
      <c r="A12457" t="s">
        <v>21252</v>
      </c>
      <c r="B12457" t="s">
        <v>21253</v>
      </c>
      <c r="C12457" t="s">
        <v>553</v>
      </c>
      <c r="D12457" t="s">
        <v>14</v>
      </c>
      <c r="E12457" t="s">
        <v>583</v>
      </c>
      <c r="F12457" s="2" t="str">
        <f>HYPERLINK("http://www.otzar.org/book.asp?103776","השואה")</f>
        <v>השואה</v>
      </c>
    </row>
    <row r="12458" spans="1:6" x14ac:dyDescent="0.2">
      <c r="A12458" t="s">
        <v>21254</v>
      </c>
      <c r="B12458" t="s">
        <v>4975</v>
      </c>
      <c r="C12458" t="s">
        <v>1246</v>
      </c>
      <c r="D12458" t="s">
        <v>9</v>
      </c>
      <c r="E12458" t="s">
        <v>621</v>
      </c>
      <c r="F12458" s="2" t="str">
        <f>HYPERLINK("http://www.otzar.org/book.asp?15401","השוחט והשחיטה בספרות הרבנות")</f>
        <v>השוחט והשחיטה בספרות הרבנות</v>
      </c>
    </row>
    <row r="12459" spans="1:6" x14ac:dyDescent="0.2">
      <c r="A12459" t="s">
        <v>21255</v>
      </c>
      <c r="B12459" t="s">
        <v>21256</v>
      </c>
      <c r="C12459" t="s">
        <v>383</v>
      </c>
      <c r="D12459" t="s">
        <v>1356</v>
      </c>
      <c r="E12459" t="s">
        <v>144</v>
      </c>
      <c r="F12459" s="2" t="str">
        <f>HYPERLINK("http://www.otzar.org/book.asp?625443","השולח סבלונות")</f>
        <v>השולח סבלונות</v>
      </c>
    </row>
    <row r="12460" spans="1:6" x14ac:dyDescent="0.2">
      <c r="A12460" t="s">
        <v>21257</v>
      </c>
      <c r="B12460" t="s">
        <v>21258</v>
      </c>
      <c r="C12460" t="s">
        <v>812</v>
      </c>
      <c r="D12460" t="s">
        <v>12052</v>
      </c>
      <c r="E12460" t="s">
        <v>104</v>
      </c>
      <c r="F12460" s="2" t="str">
        <f>HYPERLINK("http://www.otzar.org/book.asp?197617","השולחן הטהור")</f>
        <v>השולחן הטהור</v>
      </c>
    </row>
    <row r="12461" spans="1:6" x14ac:dyDescent="0.2">
      <c r="A12461" t="s">
        <v>21259</v>
      </c>
      <c r="B12461" t="s">
        <v>15736</v>
      </c>
      <c r="D12461" t="s">
        <v>52</v>
      </c>
      <c r="E12461" t="s">
        <v>15</v>
      </c>
      <c r="F12461" s="2" t="str">
        <f>HYPERLINK("http://www.otzar.org/book.asp?622241","השולחן כהלכתו")</f>
        <v>השולחן כהלכתו</v>
      </c>
    </row>
    <row r="12462" spans="1:6" x14ac:dyDescent="0.2">
      <c r="A12462" t="s">
        <v>21260</v>
      </c>
      <c r="B12462" t="s">
        <v>21261</v>
      </c>
      <c r="C12462" t="s">
        <v>1619</v>
      </c>
      <c r="D12462" t="s">
        <v>216</v>
      </c>
      <c r="E12462" t="s">
        <v>13193</v>
      </c>
      <c r="F12462" s="2" t="str">
        <f>HYPERLINK("http://www.otzar.org/book.asp?106298","השומר אמת &lt;מהדורה חדשה&gt;")</f>
        <v>השומר אמת &lt;מהדורה חדשה&gt;</v>
      </c>
    </row>
    <row r="12463" spans="1:6" x14ac:dyDescent="0.2">
      <c r="A12463" t="s">
        <v>21262</v>
      </c>
      <c r="B12463" t="s">
        <v>21261</v>
      </c>
      <c r="C12463" t="s">
        <v>5721</v>
      </c>
      <c r="D12463" t="s">
        <v>212</v>
      </c>
      <c r="E12463" t="s">
        <v>10</v>
      </c>
      <c r="F12463" s="2" t="str">
        <f>HYPERLINK("http://www.otzar.org/book.asp?17687","השומר אמת")</f>
        <v>השומר אמת</v>
      </c>
    </row>
    <row r="12464" spans="1:6" x14ac:dyDescent="0.2">
      <c r="A12464" t="s">
        <v>21263</v>
      </c>
      <c r="B12464" t="s">
        <v>17027</v>
      </c>
      <c r="C12464" t="s">
        <v>146</v>
      </c>
      <c r="D12464" t="s">
        <v>14</v>
      </c>
      <c r="E12464" t="s">
        <v>674</v>
      </c>
      <c r="F12464" s="2" t="str">
        <f>HYPERLINK("http://www.otzar.org/book.asp?144120","השופט והמשפט")</f>
        <v>השופט והמשפט</v>
      </c>
    </row>
    <row r="12465" spans="1:6" x14ac:dyDescent="0.2">
      <c r="A12465" t="s">
        <v>21264</v>
      </c>
      <c r="B12465" t="s">
        <v>1091</v>
      </c>
      <c r="C12465" t="s">
        <v>411</v>
      </c>
      <c r="D12465" t="s">
        <v>21</v>
      </c>
      <c r="E12465" t="s">
        <v>130</v>
      </c>
      <c r="F12465" s="2" t="str">
        <f>HYPERLINK("http://www.otzar.org/book.asp?605667","השופר והלכותיו")</f>
        <v>השופר והלכותיו</v>
      </c>
    </row>
    <row r="12466" spans="1:6" x14ac:dyDescent="0.2">
      <c r="A12466" t="s">
        <v>21265</v>
      </c>
      <c r="B12466" t="s">
        <v>107</v>
      </c>
      <c r="C12466" t="s">
        <v>466</v>
      </c>
      <c r="D12466" t="s">
        <v>14</v>
      </c>
      <c r="E12466" t="s">
        <v>241</v>
      </c>
      <c r="F12466" s="2" t="str">
        <f>HYPERLINK("http://www.otzar.org/book.asp?164078","השופר סמל לתשובה ולאחרית הימים")</f>
        <v>השופר סמל לתשובה ולאחרית הימים</v>
      </c>
    </row>
    <row r="12467" spans="1:6" x14ac:dyDescent="0.2">
      <c r="A12467" t="s">
        <v>21266</v>
      </c>
      <c r="B12467" t="s">
        <v>21267</v>
      </c>
      <c r="C12467" t="s">
        <v>176</v>
      </c>
      <c r="D12467" t="s">
        <v>52</v>
      </c>
      <c r="E12467" t="s">
        <v>119</v>
      </c>
      <c r="F12467" s="2" t="str">
        <f>HYPERLINK("http://www.otzar.org/book.asp?61813","השורשים אור ליהדות")</f>
        <v>השורשים אור ליהדות</v>
      </c>
    </row>
    <row r="12468" spans="1:6" x14ac:dyDescent="0.2">
      <c r="A12468" t="s">
        <v>21268</v>
      </c>
      <c r="B12468" t="s">
        <v>21269</v>
      </c>
      <c r="C12468" t="s">
        <v>466</v>
      </c>
      <c r="D12468" t="s">
        <v>52</v>
      </c>
      <c r="E12468" t="s">
        <v>119</v>
      </c>
      <c r="F12468" s="2" t="str">
        <f>HYPERLINK("http://www.otzar.org/book.asp?167112","השושלת לבית ואזאנא")</f>
        <v>השושלת לבית ואזאנא</v>
      </c>
    </row>
    <row r="12469" spans="1:6" x14ac:dyDescent="0.2">
      <c r="A12469" t="s">
        <v>21270</v>
      </c>
      <c r="B12469" t="s">
        <v>21271</v>
      </c>
      <c r="C12469" t="s">
        <v>20</v>
      </c>
      <c r="D12469" t="s">
        <v>90</v>
      </c>
      <c r="E12469" t="s">
        <v>119</v>
      </c>
      <c r="F12469" s="2" t="str">
        <f>HYPERLINK("http://www.otzar.org/book.asp?189746","השושלת לבית פינטו")</f>
        <v>השושלת לבית פינטו</v>
      </c>
    </row>
    <row r="12470" spans="1:6" x14ac:dyDescent="0.2">
      <c r="A12470" t="s">
        <v>21272</v>
      </c>
      <c r="B12470" t="s">
        <v>21273</v>
      </c>
      <c r="C12470" t="s">
        <v>23</v>
      </c>
      <c r="D12470" t="s">
        <v>245</v>
      </c>
      <c r="E12470" t="s">
        <v>144</v>
      </c>
      <c r="F12470" s="2" t="str">
        <f>HYPERLINK("http://www.otzar.org/book.asp?186846","השחיטה בהגרמה")</f>
        <v>השחיטה בהגרמה</v>
      </c>
    </row>
    <row r="12471" spans="1:6" x14ac:dyDescent="0.2">
      <c r="A12471" t="s">
        <v>21274</v>
      </c>
      <c r="B12471" t="s">
        <v>15469</v>
      </c>
      <c r="C12471" t="s">
        <v>103</v>
      </c>
      <c r="D12471" t="s">
        <v>14</v>
      </c>
      <c r="F12471" s="2" t="str">
        <f>HYPERLINK("http://www.otzar.org/book.asp?194527","השחיטה וצער בעלי חיים")</f>
        <v>השחיטה וצער בעלי חיים</v>
      </c>
    </row>
    <row r="12472" spans="1:6" x14ac:dyDescent="0.2">
      <c r="A12472" t="s">
        <v>21275</v>
      </c>
      <c r="B12472" t="s">
        <v>21276</v>
      </c>
      <c r="C12472" t="s">
        <v>1096</v>
      </c>
      <c r="D12472" t="s">
        <v>267</v>
      </c>
      <c r="E12472" t="s">
        <v>84</v>
      </c>
      <c r="F12472" s="2" t="str">
        <f>HYPERLINK("http://www.otzar.org/book.asp?24325","השיב לב אבות")</f>
        <v>השיב לב אבות</v>
      </c>
    </row>
    <row r="12473" spans="1:6" x14ac:dyDescent="0.2">
      <c r="A12473" t="s">
        <v>21277</v>
      </c>
      <c r="B12473" t="s">
        <v>21278</v>
      </c>
      <c r="C12473" t="s">
        <v>23</v>
      </c>
      <c r="D12473" t="s">
        <v>412</v>
      </c>
      <c r="F12473" s="2" t="str">
        <f>HYPERLINK("http://www.otzar.org/book.asp?606152","השיב משה &lt;מהדורה חדשה&gt; - 5 כר'")</f>
        <v>השיב משה &lt;מהדורה חדשה&gt; - 5 כר'</v>
      </c>
    </row>
    <row r="12474" spans="1:6" x14ac:dyDescent="0.2">
      <c r="A12474" t="s">
        <v>21279</v>
      </c>
      <c r="B12474" t="s">
        <v>21278</v>
      </c>
      <c r="C12474" t="s">
        <v>550</v>
      </c>
      <c r="D12474" t="s">
        <v>267</v>
      </c>
      <c r="E12474" t="s">
        <v>508</v>
      </c>
      <c r="F12474" s="2" t="str">
        <f>HYPERLINK("http://www.otzar.org/book.asp?12071","השיב משה")</f>
        <v>השיב משה</v>
      </c>
    </row>
    <row r="12475" spans="1:6" x14ac:dyDescent="0.2">
      <c r="A12475" t="s">
        <v>21280</v>
      </c>
      <c r="B12475" t="s">
        <v>15838</v>
      </c>
      <c r="C12475" t="s">
        <v>11776</v>
      </c>
      <c r="D12475" t="s">
        <v>15839</v>
      </c>
      <c r="E12475" t="s">
        <v>15</v>
      </c>
      <c r="F12475" s="2" t="str">
        <f>HYPERLINK("http://www.otzar.org/book.asp?53893","השיב ר' אליעזר ושיח השדה")</f>
        <v>השיב ר' אליעזר ושיח השדה</v>
      </c>
    </row>
    <row r="12476" spans="1:6" x14ac:dyDescent="0.2">
      <c r="A12476" t="s">
        <v>21281</v>
      </c>
      <c r="B12476" t="s">
        <v>12809</v>
      </c>
      <c r="C12476" t="s">
        <v>129</v>
      </c>
      <c r="D12476" t="s">
        <v>14</v>
      </c>
      <c r="E12476" t="s">
        <v>733</v>
      </c>
      <c r="F12476" s="2" t="str">
        <f>HYPERLINK("http://www.otzar.org/book.asp?173003","השיבה לירושלים")</f>
        <v>השיבה לירושלים</v>
      </c>
    </row>
    <row r="12477" spans="1:6" x14ac:dyDescent="0.2">
      <c r="A12477" t="s">
        <v>21282</v>
      </c>
      <c r="B12477" t="s">
        <v>18298</v>
      </c>
      <c r="C12477" t="s">
        <v>129</v>
      </c>
      <c r="D12477" t="s">
        <v>14</v>
      </c>
      <c r="E12477" t="s">
        <v>104</v>
      </c>
      <c r="F12477" s="2" t="str">
        <f>HYPERLINK("http://www.otzar.org/book.asp?161238","השידוכים בדרך חז""ל")</f>
        <v>השידוכים בדרך חז"ל</v>
      </c>
    </row>
    <row r="12478" spans="1:6" x14ac:dyDescent="0.2">
      <c r="A12478" t="s">
        <v>21283</v>
      </c>
      <c r="B12478" t="s">
        <v>21284</v>
      </c>
      <c r="C12478" t="s">
        <v>151</v>
      </c>
      <c r="D12478" t="s">
        <v>412</v>
      </c>
      <c r="F12478" s="2" t="str">
        <f>HYPERLINK("http://www.otzar.org/book.asp?612332","השיחות לדופקי תשובה מתוך שמחה - בראשית")</f>
        <v>השיחות לדופקי תשובה מתוך שמחה - בראשית</v>
      </c>
    </row>
    <row r="12479" spans="1:6" x14ac:dyDescent="0.2">
      <c r="A12479" t="s">
        <v>21285</v>
      </c>
      <c r="B12479" t="s">
        <v>21286</v>
      </c>
      <c r="C12479" t="s">
        <v>244</v>
      </c>
      <c r="D12479" t="s">
        <v>90</v>
      </c>
      <c r="E12479" t="s">
        <v>674</v>
      </c>
      <c r="F12479" s="2" t="str">
        <f>HYPERLINK("http://www.otzar.org/book.asp?600190","השימוש במטבח ובכליו במקומות נופש")</f>
        <v>השימוש במטבח ובכליו במקומות נופש</v>
      </c>
    </row>
    <row r="12480" spans="1:6" x14ac:dyDescent="0.2">
      <c r="A12480" t="s">
        <v>21287</v>
      </c>
      <c r="B12480" t="s">
        <v>21288</v>
      </c>
      <c r="C12480" t="s">
        <v>1666</v>
      </c>
      <c r="D12480" t="s">
        <v>1117</v>
      </c>
      <c r="E12480" t="s">
        <v>219</v>
      </c>
      <c r="F12480" s="2" t="str">
        <f>HYPERLINK("http://www.otzar.org/book.asp?146712","השיר הזה")</f>
        <v>השיר הזה</v>
      </c>
    </row>
    <row r="12481" spans="1:6" x14ac:dyDescent="0.2">
      <c r="A12481" t="s">
        <v>21289</v>
      </c>
      <c r="B12481" t="s">
        <v>21290</v>
      </c>
      <c r="C12481" t="s">
        <v>20</v>
      </c>
      <c r="D12481" t="s">
        <v>5798</v>
      </c>
      <c r="E12481" t="s">
        <v>219</v>
      </c>
      <c r="F12481" s="2" t="str">
        <f>HYPERLINK("http://www.otzar.org/book.asp?625765","השיר והפיוט")</f>
        <v>השיר והפיוט</v>
      </c>
    </row>
    <row r="12482" spans="1:6" x14ac:dyDescent="0.2">
      <c r="A12482" t="s">
        <v>21291</v>
      </c>
      <c r="B12482" t="s">
        <v>18570</v>
      </c>
      <c r="C12482" t="s">
        <v>37</v>
      </c>
      <c r="D12482" t="s">
        <v>21</v>
      </c>
      <c r="F12482" s="2" t="str">
        <f>HYPERLINK("http://www.otzar.org/book.asp?610595","השיר והשבח")</f>
        <v>השיר והשבח</v>
      </c>
    </row>
    <row r="12483" spans="1:6" x14ac:dyDescent="0.2">
      <c r="A12483" t="s">
        <v>21292</v>
      </c>
      <c r="B12483" t="s">
        <v>21293</v>
      </c>
      <c r="C12483" t="s">
        <v>114</v>
      </c>
      <c r="D12483" t="s">
        <v>52</v>
      </c>
      <c r="F12483" s="2" t="str">
        <f>HYPERLINK("http://www.otzar.org/book.asp?163792","השיר והשבח - 2 כר'")</f>
        <v>השיר והשבח - 2 כר'</v>
      </c>
    </row>
    <row r="12484" spans="1:6" x14ac:dyDescent="0.2">
      <c r="A12484" t="s">
        <v>21291</v>
      </c>
      <c r="B12484" t="s">
        <v>21294</v>
      </c>
      <c r="C12484" t="s">
        <v>23</v>
      </c>
      <c r="D12484" t="s">
        <v>14</v>
      </c>
      <c r="E12484" t="s">
        <v>219</v>
      </c>
      <c r="F12484" s="2" t="str">
        <f>HYPERLINK("http://www.otzar.org/book.asp?619358","השיר והשבח")</f>
        <v>השיר והשבח</v>
      </c>
    </row>
    <row r="12485" spans="1:6" x14ac:dyDescent="0.2">
      <c r="A12485" t="s">
        <v>21295</v>
      </c>
      <c r="B12485" t="s">
        <v>21296</v>
      </c>
      <c r="C12485" t="s">
        <v>1640</v>
      </c>
      <c r="D12485" t="s">
        <v>14</v>
      </c>
      <c r="E12485" t="s">
        <v>104</v>
      </c>
      <c r="F12485" s="2" t="str">
        <f>HYPERLINK("http://www.otzar.org/book.asp?149137","השיר שבמקדש &lt;שלטי הגבורים&gt;")</f>
        <v>השיר שבמקדש &lt;שלטי הגבורים&gt;</v>
      </c>
    </row>
    <row r="12486" spans="1:6" x14ac:dyDescent="0.2">
      <c r="A12486" t="s">
        <v>21297</v>
      </c>
      <c r="B12486" t="s">
        <v>19791</v>
      </c>
      <c r="C12486" t="s">
        <v>20</v>
      </c>
      <c r="D12486" t="s">
        <v>5172</v>
      </c>
      <c r="F12486" s="2" t="str">
        <f>HYPERLINK("http://www.otzar.org/book.asp?608837","השירה הזאת")</f>
        <v>השירה הזאת</v>
      </c>
    </row>
    <row r="12487" spans="1:6" x14ac:dyDescent="0.2">
      <c r="A12487" t="s">
        <v>21298</v>
      </c>
      <c r="B12487" t="s">
        <v>21299</v>
      </c>
      <c r="C12487" t="s">
        <v>13</v>
      </c>
      <c r="D12487" t="s">
        <v>14</v>
      </c>
      <c r="E12487" t="s">
        <v>219</v>
      </c>
      <c r="F12487" s="2" t="str">
        <f>HYPERLINK("http://www.otzar.org/book.asp?165190","השירה הזאת - 2 כר'")</f>
        <v>השירה הזאת - 2 כר'</v>
      </c>
    </row>
    <row r="12488" spans="1:6" x14ac:dyDescent="0.2">
      <c r="A12488" t="s">
        <v>21297</v>
      </c>
      <c r="B12488" t="s">
        <v>21300</v>
      </c>
      <c r="C12488" t="s">
        <v>17</v>
      </c>
      <c r="D12488" t="s">
        <v>90</v>
      </c>
      <c r="E12488" t="s">
        <v>674</v>
      </c>
      <c r="F12488" s="2" t="str">
        <f>HYPERLINK("http://www.otzar.org/book.asp?60022","השירה הזאת")</f>
        <v>השירה הזאת</v>
      </c>
    </row>
    <row r="12489" spans="1:6" x14ac:dyDescent="0.2">
      <c r="A12489" t="s">
        <v>21301</v>
      </c>
      <c r="B12489" t="s">
        <v>21302</v>
      </c>
      <c r="C12489" t="s">
        <v>422</v>
      </c>
      <c r="D12489" t="s">
        <v>721</v>
      </c>
      <c r="E12489" t="s">
        <v>1626</v>
      </c>
      <c r="F12489" s="2" t="str">
        <f>HYPERLINK("http://www.otzar.org/book.asp?174459","השירה העברית באלג'יריה")</f>
        <v>השירה העברית באלג'יריה</v>
      </c>
    </row>
    <row r="12490" spans="1:6" x14ac:dyDescent="0.2">
      <c r="A12490" t="s">
        <v>21303</v>
      </c>
      <c r="B12490" t="s">
        <v>7854</v>
      </c>
      <c r="C12490" t="s">
        <v>146</v>
      </c>
      <c r="D12490" t="s">
        <v>14</v>
      </c>
      <c r="E12490" t="s">
        <v>140</v>
      </c>
      <c r="F12490" s="2" t="str">
        <f>HYPERLINK("http://www.otzar.org/book.asp?615731","השירה וניגון בעבודת ה'")</f>
        <v>השירה וניגון בעבודת ה'</v>
      </c>
    </row>
    <row r="12491" spans="1:6" x14ac:dyDescent="0.2">
      <c r="A12491" t="s">
        <v>21304</v>
      </c>
      <c r="B12491" t="s">
        <v>21305</v>
      </c>
      <c r="C12491" t="s">
        <v>20</v>
      </c>
      <c r="D12491" t="s">
        <v>3283</v>
      </c>
      <c r="E12491" t="s">
        <v>15</v>
      </c>
      <c r="F12491" s="2" t="str">
        <f>HYPERLINK("http://www.otzar.org/book.asp?183261","השכיר והקבלן בשבת")</f>
        <v>השכיר והקבלן בשבת</v>
      </c>
    </row>
    <row r="12492" spans="1:6" x14ac:dyDescent="0.2">
      <c r="A12492" t="s">
        <v>21306</v>
      </c>
      <c r="B12492" t="s">
        <v>206</v>
      </c>
      <c r="C12492" t="s">
        <v>366</v>
      </c>
      <c r="D12492" t="s">
        <v>14</v>
      </c>
      <c r="E12492" t="s">
        <v>241</v>
      </c>
      <c r="F12492" s="2" t="str">
        <f>HYPERLINK("http://www.otzar.org/book.asp?612296","השכל וידוע אותי")</f>
        <v>השכל וידוע אותי</v>
      </c>
    </row>
    <row r="12493" spans="1:6" x14ac:dyDescent="0.2">
      <c r="A12493" t="s">
        <v>21306</v>
      </c>
      <c r="B12493" t="s">
        <v>3820</v>
      </c>
      <c r="C12493" t="s">
        <v>785</v>
      </c>
      <c r="D12493" t="s">
        <v>14</v>
      </c>
      <c r="E12493" t="s">
        <v>241</v>
      </c>
      <c r="F12493" s="2" t="str">
        <f>HYPERLINK("http://www.otzar.org/book.asp?106114","השכל וידוע אותי")</f>
        <v>השכל וידוע אותי</v>
      </c>
    </row>
    <row r="12494" spans="1:6" x14ac:dyDescent="0.2">
      <c r="A12494" t="s">
        <v>21307</v>
      </c>
      <c r="B12494" t="s">
        <v>21308</v>
      </c>
      <c r="C12494" t="s">
        <v>114</v>
      </c>
      <c r="D12494" t="s">
        <v>52</v>
      </c>
      <c r="E12494" t="s">
        <v>241</v>
      </c>
      <c r="F12494" s="2" t="str">
        <f>HYPERLINK("http://www.otzar.org/book.asp?164012","השכל וידוע")</f>
        <v>השכל וידוע</v>
      </c>
    </row>
    <row r="12495" spans="1:6" x14ac:dyDescent="0.2">
      <c r="A12495" t="s">
        <v>21309</v>
      </c>
      <c r="B12495" t="s">
        <v>21310</v>
      </c>
      <c r="C12495" t="s">
        <v>176</v>
      </c>
      <c r="D12495" t="s">
        <v>14</v>
      </c>
      <c r="E12495" t="s">
        <v>202</v>
      </c>
      <c r="F12495" s="2" t="str">
        <f>HYPERLINK("http://www.otzar.org/book.asp?605305","השכל - 13 כר'")</f>
        <v>השכל - 13 כר'</v>
      </c>
    </row>
    <row r="12496" spans="1:6" x14ac:dyDescent="0.2">
      <c r="A12496" t="s">
        <v>21311</v>
      </c>
      <c r="B12496" t="s">
        <v>21312</v>
      </c>
      <c r="C12496" t="s">
        <v>1811</v>
      </c>
      <c r="D12496" t="s">
        <v>646</v>
      </c>
      <c r="E12496" t="s">
        <v>119</v>
      </c>
      <c r="F12496" s="2" t="str">
        <f>HYPERLINK("http://www.otzar.org/book.asp?156003","השל""ה הקדוש (אנגלית)")</f>
        <v>השל"ה הקדוש (אנגלית)</v>
      </c>
    </row>
    <row r="12497" spans="1:6" x14ac:dyDescent="0.2">
      <c r="A12497" t="s">
        <v>21313</v>
      </c>
      <c r="B12497" t="s">
        <v>21314</v>
      </c>
      <c r="C12497" t="s">
        <v>133</v>
      </c>
      <c r="D12497" t="s">
        <v>52</v>
      </c>
      <c r="E12497" t="s">
        <v>119</v>
      </c>
      <c r="F12497" s="2" t="str">
        <f>HYPERLINK("http://www.otzar.org/book.asp?603138","השלהבת בקיפאון הסקנדינבי - 2 כר'")</f>
        <v>השלהבת בקיפאון הסקנדינבי - 2 כר'</v>
      </c>
    </row>
    <row r="12498" spans="1:6" x14ac:dyDescent="0.2">
      <c r="A12498" t="s">
        <v>21315</v>
      </c>
      <c r="B12498" t="s">
        <v>107</v>
      </c>
      <c r="C12498" t="s">
        <v>383</v>
      </c>
      <c r="D12498" t="s">
        <v>14</v>
      </c>
      <c r="E12498" t="s">
        <v>733</v>
      </c>
      <c r="F12498" s="2" t="str">
        <f>HYPERLINK("http://www.otzar.org/book.asp?84468","השלום באספקלריה תורנית")</f>
        <v>השלום באספקלריה תורנית</v>
      </c>
    </row>
    <row r="12499" spans="1:6" x14ac:dyDescent="0.2">
      <c r="A12499" t="s">
        <v>21316</v>
      </c>
      <c r="B12499" t="s">
        <v>21317</v>
      </c>
      <c r="C12499" t="s">
        <v>473</v>
      </c>
      <c r="D12499" t="s">
        <v>21318</v>
      </c>
      <c r="E12499" t="s">
        <v>12089</v>
      </c>
      <c r="F12499" s="2" t="str">
        <f>HYPERLINK("http://www.otzar.org/book.asp?6475","השלום והאחדות")</f>
        <v>השלום והאחדות</v>
      </c>
    </row>
    <row r="12500" spans="1:6" x14ac:dyDescent="0.2">
      <c r="A12500" t="s">
        <v>21319</v>
      </c>
      <c r="B12500" t="s">
        <v>16793</v>
      </c>
      <c r="C12500" t="s">
        <v>151</v>
      </c>
      <c r="D12500" t="s">
        <v>90</v>
      </c>
      <c r="E12500" t="s">
        <v>15</v>
      </c>
      <c r="F12500" s="2" t="str">
        <f>HYPERLINK("http://www.otzar.org/book.asp?627282","השלחן הבהיר")</f>
        <v>השלחן הבהיר</v>
      </c>
    </row>
    <row r="12501" spans="1:6" x14ac:dyDescent="0.2">
      <c r="A12501" t="s">
        <v>21320</v>
      </c>
      <c r="B12501" t="s">
        <v>9096</v>
      </c>
      <c r="C12501" t="s">
        <v>576</v>
      </c>
      <c r="D12501" t="s">
        <v>260</v>
      </c>
      <c r="E12501" t="s">
        <v>15</v>
      </c>
      <c r="F12501" s="2" t="str">
        <f>HYPERLINK("http://www.otzar.org/book.asp?160264","השלחן הטהור")</f>
        <v>השלחן הטהור</v>
      </c>
    </row>
    <row r="12502" spans="1:6" x14ac:dyDescent="0.2">
      <c r="A12502" t="s">
        <v>21321</v>
      </c>
      <c r="B12502" t="s">
        <v>21322</v>
      </c>
      <c r="C12502" t="s">
        <v>366</v>
      </c>
      <c r="D12502" t="s">
        <v>1156</v>
      </c>
      <c r="E12502" t="s">
        <v>15</v>
      </c>
      <c r="F12502" s="2" t="str">
        <f>HYPERLINK("http://www.otzar.org/book.asp?606674","השלחן השלם")</f>
        <v>השלחן השלם</v>
      </c>
    </row>
    <row r="12503" spans="1:6" x14ac:dyDescent="0.2">
      <c r="A12503" t="s">
        <v>21323</v>
      </c>
      <c r="B12503" t="s">
        <v>21324</v>
      </c>
      <c r="C12503" t="s">
        <v>13</v>
      </c>
      <c r="D12503" t="s">
        <v>14</v>
      </c>
      <c r="E12503" t="s">
        <v>172</v>
      </c>
      <c r="F12503" s="2" t="str">
        <f>HYPERLINK("http://www.otzar.org/book.asp?155901","השלחן והכלים")</f>
        <v>השלחן והכלים</v>
      </c>
    </row>
    <row r="12504" spans="1:6" x14ac:dyDescent="0.2">
      <c r="A12504" t="s">
        <v>21325</v>
      </c>
      <c r="B12504" t="s">
        <v>107</v>
      </c>
      <c r="C12504" t="s">
        <v>176</v>
      </c>
      <c r="D12504" t="s">
        <v>14</v>
      </c>
      <c r="E12504" t="s">
        <v>21326</v>
      </c>
      <c r="F12504" s="2" t="str">
        <f>HYPERLINK("http://www.otzar.org/book.asp?6376","השלחן ערוך ונושאי כליו")</f>
        <v>השלחן ערוך ונושאי כליו</v>
      </c>
    </row>
    <row r="12505" spans="1:6" x14ac:dyDescent="0.2">
      <c r="A12505" t="s">
        <v>21327</v>
      </c>
      <c r="B12505" t="s">
        <v>21328</v>
      </c>
      <c r="C12505" t="s">
        <v>624</v>
      </c>
      <c r="D12505" t="s">
        <v>14</v>
      </c>
      <c r="E12505" t="s">
        <v>733</v>
      </c>
      <c r="F12505" s="2" t="str">
        <f>HYPERLINK("http://www.otzar.org/book.asp?153629","השליח הנודד - 2 כר'")</f>
        <v>השליח הנודד - 2 כר'</v>
      </c>
    </row>
    <row r="12506" spans="1:6" x14ac:dyDescent="0.2">
      <c r="A12506" t="s">
        <v>21329</v>
      </c>
      <c r="B12506" t="s">
        <v>21329</v>
      </c>
      <c r="C12506" t="s">
        <v>506</v>
      </c>
      <c r="D12506" t="s">
        <v>56</v>
      </c>
      <c r="F12506" s="2" t="str">
        <f>HYPERLINK("http://www.otzar.org/book.asp?616452","השלמה לירושלמי")</f>
        <v>השלמה לירושלמי</v>
      </c>
    </row>
    <row r="12507" spans="1:6" x14ac:dyDescent="0.2">
      <c r="A12507" t="s">
        <v>21330</v>
      </c>
      <c r="B12507" t="s">
        <v>21331</v>
      </c>
      <c r="C12507" t="s">
        <v>20</v>
      </c>
      <c r="D12507" t="s">
        <v>14</v>
      </c>
      <c r="E12507" t="s">
        <v>733</v>
      </c>
      <c r="F12507" s="2" t="str">
        <f>HYPERLINK("http://www.otzar.org/book.asp?106113","השלמה לסדר הדורות &lt;כתב יד&gt;")</f>
        <v>השלמה לסדר הדורות &lt;כתב יד&gt;</v>
      </c>
    </row>
    <row r="12508" spans="1:6" x14ac:dyDescent="0.2">
      <c r="A12508" t="s">
        <v>21332</v>
      </c>
      <c r="B12508" t="s">
        <v>1536</v>
      </c>
      <c r="C12508" t="s">
        <v>1177</v>
      </c>
      <c r="D12508" t="s">
        <v>283</v>
      </c>
      <c r="E12508" t="s">
        <v>172</v>
      </c>
      <c r="F12508" s="2" t="str">
        <f>HYPERLINK("http://www.otzar.org/book.asp?154086","השלמה מן שלחן ערוך רז""ל")</f>
        <v>השלמה מן שלחן ערוך רז"ל</v>
      </c>
    </row>
    <row r="12509" spans="1:6" x14ac:dyDescent="0.2">
      <c r="A12509" t="s">
        <v>21333</v>
      </c>
      <c r="B12509" t="s">
        <v>21334</v>
      </c>
      <c r="C12509" t="s">
        <v>366</v>
      </c>
      <c r="D12509" t="s">
        <v>1907</v>
      </c>
      <c r="E12509" t="s">
        <v>104</v>
      </c>
      <c r="F12509" s="2" t="str">
        <f>HYPERLINK("http://www.otzar.org/book.asp?601391","השלמות והוספות לערכים באנצ""ת - א -כ")</f>
        <v>השלמות והוספות לערכים באנצ"ת - א -כ</v>
      </c>
    </row>
    <row r="12510" spans="1:6" x14ac:dyDescent="0.2">
      <c r="A12510" t="s">
        <v>21335</v>
      </c>
      <c r="B12510" t="s">
        <v>21336</v>
      </c>
      <c r="C12510" t="s">
        <v>946</v>
      </c>
      <c r="D12510" t="s">
        <v>10393</v>
      </c>
      <c r="E12510" t="s">
        <v>241</v>
      </c>
      <c r="F12510" s="2" t="str">
        <f>HYPERLINK("http://www.otzar.org/book.asp?6112","השלמת המדות")</f>
        <v>השלמת המדות</v>
      </c>
    </row>
    <row r="12511" spans="1:6" x14ac:dyDescent="0.2">
      <c r="A12511" t="s">
        <v>21337</v>
      </c>
      <c r="B12511" t="s">
        <v>21338</v>
      </c>
      <c r="C12511" t="s">
        <v>111</v>
      </c>
      <c r="D12511" t="s">
        <v>21339</v>
      </c>
      <c r="E12511" t="s">
        <v>241</v>
      </c>
      <c r="F12511" s="2" t="str">
        <f>HYPERLINK("http://www.otzar.org/book.asp?628708","השם אורחותיו")</f>
        <v>השם אורחותיו</v>
      </c>
    </row>
    <row r="12512" spans="1:6" x14ac:dyDescent="0.2">
      <c r="A12512" t="s">
        <v>21340</v>
      </c>
      <c r="B12512" t="s">
        <v>21341</v>
      </c>
      <c r="C12512" t="s">
        <v>1374</v>
      </c>
      <c r="D12512" t="s">
        <v>691</v>
      </c>
      <c r="E12512" t="s">
        <v>158</v>
      </c>
      <c r="F12512" s="2" t="str">
        <f>HYPERLINK("http://www.otzar.org/book.asp?24326","השם אקרא")</f>
        <v>השם אקרא</v>
      </c>
    </row>
    <row r="12513" spans="1:6" x14ac:dyDescent="0.2">
      <c r="A12513" t="s">
        <v>21342</v>
      </c>
      <c r="B12513" t="s">
        <v>206</v>
      </c>
      <c r="C12513" t="s">
        <v>71</v>
      </c>
      <c r="D12513" t="s">
        <v>52</v>
      </c>
      <c r="E12513" t="s">
        <v>241</v>
      </c>
      <c r="F12513" s="2" t="str">
        <f>HYPERLINK("http://www.otzar.org/book.asp?165183","השם לנגדי")</f>
        <v>השם לנגדי</v>
      </c>
    </row>
    <row r="12514" spans="1:6" x14ac:dyDescent="0.2">
      <c r="A12514" t="s">
        <v>21343</v>
      </c>
      <c r="B12514" t="s">
        <v>21344</v>
      </c>
      <c r="C12514" t="s">
        <v>23</v>
      </c>
      <c r="D12514" t="s">
        <v>152</v>
      </c>
      <c r="E12514" t="s">
        <v>15</v>
      </c>
      <c r="F12514" s="2" t="str">
        <f>HYPERLINK("http://www.otzar.org/book.asp?608446","השם ממית ומחיה")</f>
        <v>השם ממית ומחיה</v>
      </c>
    </row>
    <row r="12515" spans="1:6" x14ac:dyDescent="0.2">
      <c r="A12515" t="s">
        <v>21345</v>
      </c>
      <c r="B12515" t="s">
        <v>21346</v>
      </c>
      <c r="C12515" t="s">
        <v>151</v>
      </c>
      <c r="D12515" t="s">
        <v>52</v>
      </c>
      <c r="E12515" t="s">
        <v>241</v>
      </c>
      <c r="F12515" s="2" t="str">
        <f>HYPERLINK("http://www.otzar.org/book.asp?618041","השמח בחלקו")</f>
        <v>השמח בחלקו</v>
      </c>
    </row>
    <row r="12516" spans="1:6" x14ac:dyDescent="0.2">
      <c r="A12516" t="s">
        <v>21347</v>
      </c>
      <c r="B12516" t="s">
        <v>107</v>
      </c>
      <c r="C12516" t="s">
        <v>785</v>
      </c>
      <c r="D12516" t="s">
        <v>14</v>
      </c>
      <c r="E12516" t="s">
        <v>241</v>
      </c>
      <c r="F12516" s="2" t="str">
        <f>HYPERLINK("http://www.otzar.org/book.asp?84463","השמחה באספקלרית היהדות")</f>
        <v>השמחה באספקלרית היהדות</v>
      </c>
    </row>
    <row r="12517" spans="1:6" x14ac:dyDescent="0.2">
      <c r="A12517" t="s">
        <v>21348</v>
      </c>
      <c r="B12517" t="s">
        <v>21349</v>
      </c>
      <c r="C12517" t="s">
        <v>111</v>
      </c>
      <c r="D12517" t="s">
        <v>90</v>
      </c>
      <c r="E12517" t="s">
        <v>674</v>
      </c>
      <c r="F12517" s="2" t="str">
        <f>HYPERLINK("http://www.otzar.org/book.asp?623675","השמחה בתפארתה")</f>
        <v>השמחה בתפארתה</v>
      </c>
    </row>
    <row r="12518" spans="1:6" x14ac:dyDescent="0.2">
      <c r="A12518" t="s">
        <v>21350</v>
      </c>
      <c r="B12518" t="s">
        <v>21351</v>
      </c>
      <c r="C12518" t="s">
        <v>68</v>
      </c>
      <c r="D12518" t="s">
        <v>52</v>
      </c>
      <c r="F12518" s="2" t="str">
        <f>HYPERLINK("http://www.otzar.org/book.asp?157086","השמחה האמיתית")</f>
        <v>השמחה האמיתית</v>
      </c>
    </row>
    <row r="12519" spans="1:6" x14ac:dyDescent="0.2">
      <c r="A12519" t="s">
        <v>21352</v>
      </c>
      <c r="B12519" t="s">
        <v>2919</v>
      </c>
      <c r="C12519" t="s">
        <v>244</v>
      </c>
      <c r="D12519" t="s">
        <v>1646</v>
      </c>
      <c r="E12519" t="s">
        <v>104</v>
      </c>
      <c r="F12519" s="2" t="str">
        <f>HYPERLINK("http://www.otzar.org/book.asp?605981","השמחה ההודיה והשירה")</f>
        <v>השמחה ההודיה והשירה</v>
      </c>
    </row>
    <row r="12520" spans="1:6" x14ac:dyDescent="0.2">
      <c r="A12520" t="s">
        <v>21353</v>
      </c>
      <c r="B12520" t="s">
        <v>21354</v>
      </c>
      <c r="C12520" t="s">
        <v>1570</v>
      </c>
      <c r="D12520" t="s">
        <v>14</v>
      </c>
      <c r="F12520" s="2" t="str">
        <f>HYPERLINK("http://www.otzar.org/book.asp?181703","השמטות הרמב""ם")</f>
        <v>השמטות הרמב"ם</v>
      </c>
    </row>
    <row r="12521" spans="1:6" x14ac:dyDescent="0.2">
      <c r="A12521" t="s">
        <v>21355</v>
      </c>
      <c r="B12521" t="s">
        <v>3115</v>
      </c>
      <c r="C12521" t="s">
        <v>1640</v>
      </c>
      <c r="D12521" t="s">
        <v>412</v>
      </c>
      <c r="E12521" t="s">
        <v>144</v>
      </c>
      <c r="F12521" s="2" t="str">
        <f>HYPERLINK("http://www.otzar.org/book.asp?175847","השמטות ושנויי הדפוס בספרי הטור שלנו")</f>
        <v>השמטות ושנויי הדפוס בספרי הטור שלנו</v>
      </c>
    </row>
    <row r="12522" spans="1:6" x14ac:dyDescent="0.2">
      <c r="A12522" t="s">
        <v>21356</v>
      </c>
      <c r="B12522" t="s">
        <v>21357</v>
      </c>
      <c r="C12522" t="s">
        <v>332</v>
      </c>
      <c r="D12522" t="s">
        <v>14</v>
      </c>
      <c r="E12522" t="s">
        <v>140</v>
      </c>
      <c r="F12522" s="2" t="str">
        <f>HYPERLINK("http://www.otzar.org/book.asp?176694","השמיטה באור החסידות")</f>
        <v>השמיטה באור החסידות</v>
      </c>
    </row>
    <row r="12523" spans="1:6" x14ac:dyDescent="0.2">
      <c r="A12523" t="s">
        <v>21358</v>
      </c>
      <c r="B12523" t="s">
        <v>9316</v>
      </c>
      <c r="C12523" t="s">
        <v>37</v>
      </c>
      <c r="D12523" t="s">
        <v>5172</v>
      </c>
      <c r="E12523" t="s">
        <v>15</v>
      </c>
      <c r="F12523" s="2" t="str">
        <f>HYPERLINK("http://www.otzar.org/book.asp?606344","השמיטה במחיצת גדולי הדורות")</f>
        <v>השמיטה במחיצת גדולי הדורות</v>
      </c>
    </row>
    <row r="12524" spans="1:6" x14ac:dyDescent="0.2">
      <c r="A12524" t="s">
        <v>21359</v>
      </c>
      <c r="B12524" t="s">
        <v>3251</v>
      </c>
      <c r="C12524" t="s">
        <v>37</v>
      </c>
      <c r="D12524" t="s">
        <v>14</v>
      </c>
      <c r="F12524" s="2" t="str">
        <f>HYPERLINK("http://www.otzar.org/book.asp?182378","השמיטה והלכותיה")</f>
        <v>השמיטה והלכותיה</v>
      </c>
    </row>
    <row r="12525" spans="1:6" x14ac:dyDescent="0.2">
      <c r="A12525" t="s">
        <v>21360</v>
      </c>
      <c r="B12525" t="s">
        <v>4606</v>
      </c>
      <c r="C12525" t="s">
        <v>129</v>
      </c>
      <c r="D12525" t="s">
        <v>14</v>
      </c>
      <c r="E12525" t="s">
        <v>15</v>
      </c>
      <c r="F12525" s="2" t="str">
        <f>HYPERLINK("http://www.otzar.org/book.asp?60506","השמיטה כהלכתה")</f>
        <v>השמיטה כהלכתה</v>
      </c>
    </row>
    <row r="12526" spans="1:6" x14ac:dyDescent="0.2">
      <c r="A12526" t="s">
        <v>21361</v>
      </c>
      <c r="B12526" t="s">
        <v>21362</v>
      </c>
      <c r="C12526" t="s">
        <v>13</v>
      </c>
      <c r="D12526" t="s">
        <v>14</v>
      </c>
      <c r="E12526" t="s">
        <v>15</v>
      </c>
      <c r="F12526" s="2" t="str">
        <f>HYPERLINK("http://www.otzar.org/book.asp?158496","השמיטה")</f>
        <v>השמיטה</v>
      </c>
    </row>
    <row r="12527" spans="1:6" x14ac:dyDescent="0.2">
      <c r="A12527" t="s">
        <v>21363</v>
      </c>
      <c r="B12527" t="s">
        <v>21364</v>
      </c>
      <c r="C12527" t="s">
        <v>133</v>
      </c>
      <c r="D12527" t="s">
        <v>14</v>
      </c>
      <c r="E12527" t="s">
        <v>154</v>
      </c>
      <c r="F12527" s="2" t="str">
        <f>HYPERLINK("http://www.otzar.org/book.asp?173129","השמים החדשים &lt;מהדורה חדשה&gt;")</f>
        <v>השמים החדשים &lt;מהדורה חדשה&gt;</v>
      </c>
    </row>
    <row r="12528" spans="1:6" x14ac:dyDescent="0.2">
      <c r="A12528" t="s">
        <v>21365</v>
      </c>
      <c r="B12528" t="s">
        <v>21366</v>
      </c>
      <c r="C12528" t="s">
        <v>20</v>
      </c>
      <c r="D12528" t="s">
        <v>90</v>
      </c>
      <c r="E12528" t="s">
        <v>158</v>
      </c>
      <c r="F12528" s="2" t="str">
        <f>HYPERLINK("http://www.otzar.org/book.asp?602055","השמים מספרים כבוד א""ל")</f>
        <v>השמים מספרים כבוד א"ל</v>
      </c>
    </row>
    <row r="12529" spans="1:6" x14ac:dyDescent="0.2">
      <c r="A12529" t="s">
        <v>21367</v>
      </c>
      <c r="B12529" t="s">
        <v>316</v>
      </c>
      <c r="C12529" t="s">
        <v>133</v>
      </c>
      <c r="D12529" t="s">
        <v>14</v>
      </c>
      <c r="E12529" t="s">
        <v>104</v>
      </c>
      <c r="F12529" s="2" t="str">
        <f>HYPERLINK("http://www.otzar.org/book.asp?175698","השמים מספרים")</f>
        <v>השמים מספרים</v>
      </c>
    </row>
    <row r="12530" spans="1:6" x14ac:dyDescent="0.2">
      <c r="A12530" t="s">
        <v>21367</v>
      </c>
      <c r="B12530" t="s">
        <v>21368</v>
      </c>
      <c r="C12530" t="s">
        <v>13</v>
      </c>
      <c r="D12530" t="s">
        <v>14</v>
      </c>
      <c r="E12530" t="s">
        <v>104</v>
      </c>
      <c r="F12530" s="2" t="str">
        <f>HYPERLINK("http://www.otzar.org/book.asp?64332","השמים מספרים")</f>
        <v>השמים מספרים</v>
      </c>
    </row>
    <row r="12531" spans="1:6" x14ac:dyDescent="0.2">
      <c r="A12531" t="s">
        <v>21367</v>
      </c>
      <c r="B12531" t="s">
        <v>255</v>
      </c>
      <c r="C12531" t="s">
        <v>189</v>
      </c>
      <c r="D12531" t="s">
        <v>14</v>
      </c>
      <c r="E12531" t="s">
        <v>104</v>
      </c>
      <c r="F12531" s="2" t="str">
        <f>HYPERLINK("http://www.otzar.org/book.asp?152698","השמים מספרים")</f>
        <v>השמים מספרים</v>
      </c>
    </row>
    <row r="12532" spans="1:6" x14ac:dyDescent="0.2">
      <c r="A12532" t="s">
        <v>21369</v>
      </c>
      <c r="B12532" t="s">
        <v>2396</v>
      </c>
      <c r="C12532" t="s">
        <v>68</v>
      </c>
      <c r="D12532" t="s">
        <v>1076</v>
      </c>
      <c r="E12532" t="s">
        <v>158</v>
      </c>
      <c r="F12532" s="2" t="str">
        <f>HYPERLINK("http://www.otzar.org/book.asp?165266","השמיעני את קולך - 2 כר'")</f>
        <v>השמיעני את קולך - 2 כר'</v>
      </c>
    </row>
    <row r="12533" spans="1:6" x14ac:dyDescent="0.2">
      <c r="A12533" t="s">
        <v>21370</v>
      </c>
      <c r="B12533" t="s">
        <v>5470</v>
      </c>
      <c r="C12533" t="s">
        <v>366</v>
      </c>
      <c r="D12533" t="s">
        <v>118</v>
      </c>
      <c r="E12533" t="s">
        <v>104</v>
      </c>
      <c r="F12533" s="2" t="str">
        <f>HYPERLINK("http://www.otzar.org/book.asp?627285","השמעת כלאים - 2 כר'")</f>
        <v>השמעת כלאים - 2 כר'</v>
      </c>
    </row>
    <row r="12534" spans="1:6" x14ac:dyDescent="0.2">
      <c r="A12534" t="s">
        <v>21371</v>
      </c>
      <c r="B12534" t="s">
        <v>21372</v>
      </c>
      <c r="C12534" t="s">
        <v>23</v>
      </c>
      <c r="D12534" t="s">
        <v>21</v>
      </c>
      <c r="E12534" t="s">
        <v>399</v>
      </c>
      <c r="F12534" s="2" t="str">
        <f>HYPERLINK("http://www.otzar.org/book.asp?192216","השמש בגבורתו")</f>
        <v>השמש בגבורתו</v>
      </c>
    </row>
    <row r="12535" spans="1:6" x14ac:dyDescent="0.2">
      <c r="A12535" t="s">
        <v>21371</v>
      </c>
      <c r="B12535" t="s">
        <v>10056</v>
      </c>
      <c r="C12535" t="s">
        <v>37</v>
      </c>
      <c r="D12535" t="s">
        <v>1180</v>
      </c>
      <c r="E12535" t="s">
        <v>140</v>
      </c>
      <c r="F12535" s="2" t="str">
        <f>HYPERLINK("http://www.otzar.org/book.asp?199365","השמש בגבורתו")</f>
        <v>השמש בגבורתו</v>
      </c>
    </row>
    <row r="12536" spans="1:6" x14ac:dyDescent="0.2">
      <c r="A12536" t="s">
        <v>21371</v>
      </c>
      <c r="B12536" t="s">
        <v>21373</v>
      </c>
      <c r="C12536" t="s">
        <v>1470</v>
      </c>
      <c r="D12536" t="s">
        <v>9</v>
      </c>
      <c r="E12536" t="s">
        <v>234</v>
      </c>
      <c r="F12536" s="2" t="str">
        <f>HYPERLINK("http://www.otzar.org/book.asp?7520","השמש בגבורתו")</f>
        <v>השמש בגבורתו</v>
      </c>
    </row>
    <row r="12537" spans="1:6" x14ac:dyDescent="0.2">
      <c r="A12537" t="s">
        <v>21374</v>
      </c>
      <c r="B12537" t="s">
        <v>21375</v>
      </c>
      <c r="C12537" t="s">
        <v>585</v>
      </c>
      <c r="D12537" t="s">
        <v>14</v>
      </c>
      <c r="E12537" t="s">
        <v>202</v>
      </c>
      <c r="F12537" s="2" t="str">
        <f>HYPERLINK("http://www.otzar.org/book.asp?162137","השמש - 4 כר'")</f>
        <v>השמש - 4 כר'</v>
      </c>
    </row>
    <row r="12538" spans="1:6" x14ac:dyDescent="0.2">
      <c r="A12538" t="s">
        <v>21376</v>
      </c>
      <c r="B12538" t="s">
        <v>12971</v>
      </c>
      <c r="C12538" t="s">
        <v>114</v>
      </c>
      <c r="D12538" t="s">
        <v>14</v>
      </c>
      <c r="F12538" s="2" t="str">
        <f>HYPERLINK("http://www.otzar.org/book.asp?611009","השמש")</f>
        <v>השמש</v>
      </c>
    </row>
    <row r="12539" spans="1:6" x14ac:dyDescent="0.2">
      <c r="A12539" t="s">
        <v>21377</v>
      </c>
      <c r="B12539" t="s">
        <v>21378</v>
      </c>
      <c r="C12539" t="s">
        <v>189</v>
      </c>
      <c r="D12539" t="s">
        <v>139</v>
      </c>
      <c r="E12539" t="s">
        <v>241</v>
      </c>
      <c r="F12539" s="2" t="str">
        <f>HYPERLINK("http://www.otzar.org/book.asp?164817","השנאה והחינם")</f>
        <v>השנאה והחינם</v>
      </c>
    </row>
    <row r="12540" spans="1:6" x14ac:dyDescent="0.2">
      <c r="A12540" t="s">
        <v>21379</v>
      </c>
      <c r="B12540" t="s">
        <v>21380</v>
      </c>
      <c r="C12540" t="s">
        <v>13</v>
      </c>
      <c r="D12540" t="s">
        <v>52</v>
      </c>
      <c r="E12540" t="s">
        <v>15</v>
      </c>
      <c r="F12540" s="2" t="str">
        <f>HYPERLINK("http://www.otzar.org/book.asp?159526","השעטנז להלכה ולמעשה")</f>
        <v>השעטנז להלכה ולמעשה</v>
      </c>
    </row>
    <row r="12541" spans="1:6" x14ac:dyDescent="0.2">
      <c r="A12541" t="s">
        <v>21381</v>
      </c>
      <c r="B12541" t="s">
        <v>5846</v>
      </c>
      <c r="C12541" t="s">
        <v>624</v>
      </c>
      <c r="D12541" t="s">
        <v>216</v>
      </c>
      <c r="E12541" t="s">
        <v>15</v>
      </c>
      <c r="F12541" s="2" t="str">
        <f>HYPERLINK("http://www.otzar.org/book.asp?21870","השער לשמים")</f>
        <v>השער לשמים</v>
      </c>
    </row>
    <row r="12542" spans="1:6" x14ac:dyDescent="0.2">
      <c r="A12542" t="s">
        <v>21382</v>
      </c>
      <c r="B12542" t="s">
        <v>21382</v>
      </c>
      <c r="C12542" t="s">
        <v>79</v>
      </c>
      <c r="D12542" t="s">
        <v>80</v>
      </c>
      <c r="E12542" t="s">
        <v>202</v>
      </c>
      <c r="F12542" s="2" t="str">
        <f>HYPERLINK("http://www.otzar.org/book.asp?145145","השער")</f>
        <v>השער</v>
      </c>
    </row>
    <row r="12543" spans="1:6" x14ac:dyDescent="0.2">
      <c r="A12543" t="s">
        <v>21383</v>
      </c>
      <c r="B12543" t="s">
        <v>21384</v>
      </c>
      <c r="C12543" t="s">
        <v>21385</v>
      </c>
      <c r="D12543" t="s">
        <v>1576</v>
      </c>
      <c r="F12543" s="2" t="str">
        <f>HYPERLINK("http://www.otzar.org/book.asp?620597","השערים")</f>
        <v>השערים</v>
      </c>
    </row>
    <row r="12544" spans="1:6" x14ac:dyDescent="0.2">
      <c r="A12544" t="s">
        <v>21386</v>
      </c>
      <c r="B12544" t="s">
        <v>21387</v>
      </c>
      <c r="C12544" t="s">
        <v>624</v>
      </c>
      <c r="D12544" t="s">
        <v>52</v>
      </c>
      <c r="E12544" t="s">
        <v>104</v>
      </c>
      <c r="F12544" s="2" t="str">
        <f>HYPERLINK("http://www.otzar.org/book.asp?623759","השפה האלוקית")</f>
        <v>השפה האלוקית</v>
      </c>
    </row>
    <row r="12545" spans="1:6" x14ac:dyDescent="0.2">
      <c r="A12545" t="s">
        <v>21388</v>
      </c>
      <c r="B12545" t="s">
        <v>107</v>
      </c>
      <c r="C12545" t="s">
        <v>151</v>
      </c>
      <c r="D12545" t="s">
        <v>14</v>
      </c>
      <c r="E12545" t="s">
        <v>104</v>
      </c>
      <c r="F12545" s="2" t="str">
        <f>HYPERLINK("http://www.otzar.org/book.asp?622154","השפעת זכות רחל אמנו")</f>
        <v>השפעת זכות רחל אמנו</v>
      </c>
    </row>
    <row r="12546" spans="1:6" x14ac:dyDescent="0.2">
      <c r="A12546" t="s">
        <v>21389</v>
      </c>
      <c r="B12546" t="s">
        <v>21390</v>
      </c>
      <c r="C12546" t="s">
        <v>23</v>
      </c>
      <c r="D12546" t="s">
        <v>14</v>
      </c>
      <c r="F12546" s="2" t="str">
        <f>HYPERLINK("http://www.otzar.org/book.asp?614015","השקדן הצנוע - רבי חיים בנימין הלוי לוצקין")</f>
        <v>השקדן הצנוע - רבי חיים בנימין הלוי לוצקין</v>
      </c>
    </row>
    <row r="12547" spans="1:6" x14ac:dyDescent="0.2">
      <c r="A12547" t="s">
        <v>21391</v>
      </c>
      <c r="B12547" t="s">
        <v>21392</v>
      </c>
      <c r="C12547" t="s">
        <v>114</v>
      </c>
      <c r="D12547" t="s">
        <v>21</v>
      </c>
      <c r="F12547" s="2" t="str">
        <f>HYPERLINK("http://www.otzar.org/book.asp?195683","השקדן - 3 כר'")</f>
        <v>השקדן - 3 כר'</v>
      </c>
    </row>
    <row r="12548" spans="1:6" x14ac:dyDescent="0.2">
      <c r="A12548" t="s">
        <v>21393</v>
      </c>
      <c r="B12548" t="s">
        <v>5967</v>
      </c>
      <c r="C12548" t="s">
        <v>547</v>
      </c>
      <c r="D12548" t="s">
        <v>27</v>
      </c>
      <c r="E12548" t="s">
        <v>15</v>
      </c>
      <c r="F12548" s="2" t="str">
        <f>HYPERLINK("http://www.otzar.org/book.asp?17689","השקפה לברכה &lt;מקורות הברכה&gt;")</f>
        <v>השקפה לברכה &lt;מקורות הברכה&gt;</v>
      </c>
    </row>
    <row r="12549" spans="1:6" x14ac:dyDescent="0.2">
      <c r="A12549" t="s">
        <v>21394</v>
      </c>
      <c r="B12549" t="s">
        <v>16970</v>
      </c>
      <c r="C12549" t="s">
        <v>908</v>
      </c>
      <c r="D12549" t="s">
        <v>9</v>
      </c>
      <c r="E12549" t="s">
        <v>234</v>
      </c>
      <c r="F12549" s="2" t="str">
        <f>HYPERLINK("http://www.otzar.org/book.asp?100145","השקפות הרמ""ה")</f>
        <v>השקפות הרמ"ה</v>
      </c>
    </row>
    <row r="12550" spans="1:6" x14ac:dyDescent="0.2">
      <c r="A12550" t="s">
        <v>21395</v>
      </c>
      <c r="B12550" t="s">
        <v>21396</v>
      </c>
      <c r="C12550" t="s">
        <v>21397</v>
      </c>
      <c r="D12550" t="s">
        <v>14</v>
      </c>
      <c r="E12550" t="s">
        <v>241</v>
      </c>
      <c r="F12550" s="2" t="str">
        <f>HYPERLINK("http://www.otzar.org/book.asp?153812","השקפת הנצח לשאלות הזמן")</f>
        <v>השקפת הנצח לשאלות הזמן</v>
      </c>
    </row>
    <row r="12551" spans="1:6" x14ac:dyDescent="0.2">
      <c r="A12551" t="s">
        <v>21398</v>
      </c>
      <c r="B12551" t="s">
        <v>21399</v>
      </c>
      <c r="C12551" t="s">
        <v>427</v>
      </c>
      <c r="D12551" t="s">
        <v>423</v>
      </c>
      <c r="E12551" t="s">
        <v>202</v>
      </c>
      <c r="F12551" s="2" t="str">
        <f>HYPERLINK("http://www.otzar.org/book.asp?180320","השקפת ישראל סבא")</f>
        <v>השקפת ישראל סבא</v>
      </c>
    </row>
    <row r="12552" spans="1:6" x14ac:dyDescent="0.2">
      <c r="A12552" t="s">
        <v>21400</v>
      </c>
      <c r="B12552" t="s">
        <v>21401</v>
      </c>
      <c r="C12552" t="s">
        <v>1448</v>
      </c>
      <c r="D12552" t="s">
        <v>52</v>
      </c>
      <c r="E12552" t="s">
        <v>104</v>
      </c>
      <c r="F12552" s="2" t="str">
        <f>HYPERLINK("http://www.otzar.org/book.asp?179167","השקפתינו - 3 כר'")</f>
        <v>השקפתינו - 3 כר'</v>
      </c>
    </row>
    <row r="12553" spans="1:6" x14ac:dyDescent="0.2">
      <c r="A12553" t="s">
        <v>21402</v>
      </c>
      <c r="B12553" t="s">
        <v>8977</v>
      </c>
      <c r="C12553" t="s">
        <v>482</v>
      </c>
      <c r="D12553" t="s">
        <v>260</v>
      </c>
      <c r="E12553" t="s">
        <v>104</v>
      </c>
      <c r="F12553" s="2" t="str">
        <f>HYPERLINK("http://www.otzar.org/book.asp?156817","השר מקוצי - האנוסים מוילנה")</f>
        <v>השר מקוצי - האנוסים מוילנה</v>
      </c>
    </row>
    <row r="12554" spans="1:6" x14ac:dyDescent="0.2">
      <c r="A12554" t="s">
        <v>21403</v>
      </c>
      <c r="B12554" t="s">
        <v>5564</v>
      </c>
      <c r="C12554" t="s">
        <v>129</v>
      </c>
      <c r="D12554" t="s">
        <v>118</v>
      </c>
      <c r="E12554" t="s">
        <v>1164</v>
      </c>
      <c r="F12554" s="2" t="str">
        <f>HYPERLINK("http://www.otzar.org/book.asp?159399","השתא הכא עבדי")</f>
        <v>השתא הכא עבדי</v>
      </c>
    </row>
    <row r="12555" spans="1:6" x14ac:dyDescent="0.2">
      <c r="A12555" t="s">
        <v>21404</v>
      </c>
      <c r="B12555" t="s">
        <v>4991</v>
      </c>
      <c r="C12555" t="s">
        <v>313</v>
      </c>
      <c r="D12555" t="s">
        <v>14</v>
      </c>
      <c r="F12555" s="2" t="str">
        <f>HYPERLINK("http://www.otzar.org/book.asp?169767","השתדלות המאמין")</f>
        <v>השתדלות המאמין</v>
      </c>
    </row>
    <row r="12556" spans="1:6" x14ac:dyDescent="0.2">
      <c r="A12556" t="s">
        <v>21405</v>
      </c>
      <c r="B12556" t="s">
        <v>4991</v>
      </c>
      <c r="C12556" t="s">
        <v>313</v>
      </c>
      <c r="D12556" t="s">
        <v>14</v>
      </c>
      <c r="E12556" t="s">
        <v>241</v>
      </c>
      <c r="F12556" s="2" t="str">
        <f>HYPERLINK("http://www.otzar.org/book.asp?166011","השתדלות רוחנית")</f>
        <v>השתדלות רוחנית</v>
      </c>
    </row>
    <row r="12557" spans="1:6" x14ac:dyDescent="0.2">
      <c r="A12557" t="s">
        <v>21406</v>
      </c>
      <c r="B12557" t="s">
        <v>21407</v>
      </c>
      <c r="C12557" t="s">
        <v>23</v>
      </c>
      <c r="D12557" t="s">
        <v>21408</v>
      </c>
      <c r="F12557" s="2" t="str">
        <f>HYPERLINK("http://www.otzar.org/book.asp?601123","השתדלות")</f>
        <v>השתדלות</v>
      </c>
    </row>
    <row r="12558" spans="1:6" x14ac:dyDescent="0.2">
      <c r="A12558" t="s">
        <v>21409</v>
      </c>
      <c r="B12558" t="s">
        <v>21410</v>
      </c>
      <c r="C12558" t="s">
        <v>5823</v>
      </c>
      <c r="D12558" t="s">
        <v>283</v>
      </c>
      <c r="E12558" t="s">
        <v>15</v>
      </c>
      <c r="F12558" s="2" t="str">
        <f>HYPERLINK("http://www.otzar.org/book.asp?188612","השתיה כדת")</f>
        <v>השתיה כדת</v>
      </c>
    </row>
    <row r="12559" spans="1:6" x14ac:dyDescent="0.2">
      <c r="A12559" t="s">
        <v>21411</v>
      </c>
      <c r="B12559" t="s">
        <v>21412</v>
      </c>
      <c r="C12559" t="s">
        <v>176</v>
      </c>
      <c r="D12559" t="s">
        <v>14</v>
      </c>
      <c r="F12559" s="2" t="str">
        <f>HYPERLINK("http://www.otzar.org/book.asp?62806","השתנות הטבעים בהלכה")</f>
        <v>השתנות הטבעים בהלכה</v>
      </c>
    </row>
    <row r="12560" spans="1:6" x14ac:dyDescent="0.2">
      <c r="A12560" t="s">
        <v>21413</v>
      </c>
      <c r="B12560" t="s">
        <v>21414</v>
      </c>
      <c r="C12560" t="s">
        <v>2236</v>
      </c>
      <c r="D12560" t="s">
        <v>1023</v>
      </c>
      <c r="E12560" t="s">
        <v>213</v>
      </c>
      <c r="F12560" s="2" t="str">
        <f>HYPERLINK("http://www.otzar.org/book.asp?100143","השתערות מלך הנגב עם מלך הצפון")</f>
        <v>השתערות מלך הנגב עם מלך הצפון</v>
      </c>
    </row>
    <row r="12561" spans="1:6" x14ac:dyDescent="0.2">
      <c r="A12561" t="s">
        <v>21415</v>
      </c>
      <c r="B12561" t="s">
        <v>17519</v>
      </c>
      <c r="C12561" t="s">
        <v>2550</v>
      </c>
      <c r="D12561" t="s">
        <v>21416</v>
      </c>
      <c r="E12561" t="s">
        <v>140</v>
      </c>
      <c r="F12561" s="2" t="str">
        <f>HYPERLINK("http://www.otzar.org/book.asp?11499","השתפכות הנפש - 6 כר'")</f>
        <v>השתפכות הנפש - 6 כר'</v>
      </c>
    </row>
    <row r="12562" spans="1:6" x14ac:dyDescent="0.2">
      <c r="A12562" t="s">
        <v>21417</v>
      </c>
      <c r="B12562" t="s">
        <v>19377</v>
      </c>
      <c r="C12562" t="s">
        <v>21418</v>
      </c>
      <c r="D12562" t="s">
        <v>592</v>
      </c>
      <c r="E12562" t="s">
        <v>1517</v>
      </c>
      <c r="F12562" s="2" t="str">
        <f>HYPERLINK("http://www.otzar.org/book.asp?623445","השתפכות הנפש")</f>
        <v>השתפכות הנפש</v>
      </c>
    </row>
    <row r="12563" spans="1:6" x14ac:dyDescent="0.2">
      <c r="A12563" t="s">
        <v>21419</v>
      </c>
      <c r="B12563" t="s">
        <v>14060</v>
      </c>
      <c r="C12563" t="s">
        <v>176</v>
      </c>
      <c r="D12563" t="s">
        <v>14</v>
      </c>
      <c r="E12563" t="s">
        <v>202</v>
      </c>
      <c r="F12563" s="2" t="str">
        <f>HYPERLINK("http://www.otzar.org/book.asp?151769","התאחדות - 2 כר'")</f>
        <v>התאחדות - 2 כר'</v>
      </c>
    </row>
    <row r="12564" spans="1:6" x14ac:dyDescent="0.2">
      <c r="A12564" t="s">
        <v>21420</v>
      </c>
      <c r="B12564" t="s">
        <v>21421</v>
      </c>
      <c r="D12564" t="s">
        <v>14</v>
      </c>
      <c r="F12564" s="2" t="str">
        <f>HYPERLINK("http://www.otzar.org/book.asp?615557","התאחדותינו - 2 כר'")</f>
        <v>התאחדותינו - 2 כר'</v>
      </c>
    </row>
    <row r="12565" spans="1:6" x14ac:dyDescent="0.2">
      <c r="A12565" t="s">
        <v>21422</v>
      </c>
      <c r="B12565" t="s">
        <v>2396</v>
      </c>
      <c r="C12565" t="s">
        <v>114</v>
      </c>
      <c r="D12565" t="s">
        <v>1076</v>
      </c>
      <c r="E12565" t="s">
        <v>158</v>
      </c>
      <c r="F12565" s="2" t="str">
        <f>HYPERLINK("http://www.otzar.org/book.asp?165242","התאנה חנטה פגיה - 2 כר'")</f>
        <v>התאנה חנטה פגיה - 2 כר'</v>
      </c>
    </row>
    <row r="12566" spans="1:6" x14ac:dyDescent="0.2">
      <c r="A12566" t="s">
        <v>21423</v>
      </c>
      <c r="B12566" t="s">
        <v>21424</v>
      </c>
      <c r="C12566" t="s">
        <v>160</v>
      </c>
      <c r="D12566" t="s">
        <v>412</v>
      </c>
      <c r="F12566" s="2" t="str">
        <f>HYPERLINK("http://www.otzar.org/book.asp?152977","התבונה - 2 כר'")</f>
        <v>התבונה - 2 כר'</v>
      </c>
    </row>
    <row r="12567" spans="1:6" x14ac:dyDescent="0.2">
      <c r="A12567" t="s">
        <v>21425</v>
      </c>
      <c r="B12567" t="s">
        <v>21426</v>
      </c>
      <c r="C12567" t="s">
        <v>785</v>
      </c>
      <c r="D12567" t="s">
        <v>21</v>
      </c>
      <c r="E12567" t="s">
        <v>241</v>
      </c>
      <c r="F12567" s="2" t="str">
        <f>HYPERLINK("http://www.otzar.org/book.asp?190902","התבוננות אחר האסף")</f>
        <v>התבוננות אחר האסף</v>
      </c>
    </row>
    <row r="12568" spans="1:6" x14ac:dyDescent="0.2">
      <c r="A12568" t="s">
        <v>21427</v>
      </c>
      <c r="B12568" t="s">
        <v>21428</v>
      </c>
      <c r="C12568" t="s">
        <v>553</v>
      </c>
      <c r="D12568" t="s">
        <v>412</v>
      </c>
      <c r="F12568" s="2" t="str">
        <f>HYPERLINK("http://www.otzar.org/book.asp?608362","התבוננות הנפש")</f>
        <v>התבוננות הנפש</v>
      </c>
    </row>
    <row r="12569" spans="1:6" x14ac:dyDescent="0.2">
      <c r="A12569" t="s">
        <v>21429</v>
      </c>
      <c r="B12569" t="s">
        <v>21430</v>
      </c>
      <c r="C12569" t="s">
        <v>180</v>
      </c>
      <c r="D12569" t="s">
        <v>14</v>
      </c>
      <c r="E12569" t="s">
        <v>158</v>
      </c>
      <c r="F12569" s="2" t="str">
        <f>HYPERLINK("http://www.otzar.org/book.asp?149815","התגלות הסודות והופעת המאורות")</f>
        <v>התגלות הסודות והופעת המאורות</v>
      </c>
    </row>
    <row r="12570" spans="1:6" x14ac:dyDescent="0.2">
      <c r="A12570" t="s">
        <v>21431</v>
      </c>
      <c r="B12570" t="s">
        <v>21432</v>
      </c>
      <c r="C12570" t="s">
        <v>362</v>
      </c>
      <c r="D12570" t="s">
        <v>283</v>
      </c>
      <c r="E12570" t="s">
        <v>2862</v>
      </c>
      <c r="F12570" s="2" t="str">
        <f>HYPERLINK("http://www.otzar.org/book.asp?100697","התגלות הצדיקים - 2 כר'")</f>
        <v>התגלות הצדיקים - 2 כר'</v>
      </c>
    </row>
    <row r="12571" spans="1:6" x14ac:dyDescent="0.2">
      <c r="A12571" t="s">
        <v>21433</v>
      </c>
      <c r="B12571" t="s">
        <v>405</v>
      </c>
      <c r="C12571" t="s">
        <v>63</v>
      </c>
      <c r="D12571" t="s">
        <v>14</v>
      </c>
      <c r="E12571" t="s">
        <v>1438</v>
      </c>
      <c r="F12571" s="2" t="str">
        <f>HYPERLINK("http://www.otzar.org/book.asp?150547","התגלות קברי צדיקים")</f>
        <v>התגלות קברי צדיקים</v>
      </c>
    </row>
    <row r="12572" spans="1:6" x14ac:dyDescent="0.2">
      <c r="A12572" t="s">
        <v>21434</v>
      </c>
      <c r="B12572" t="s">
        <v>21435</v>
      </c>
      <c r="C12572" t="s">
        <v>454</v>
      </c>
      <c r="D12572" t="s">
        <v>14</v>
      </c>
      <c r="F12572" s="2" t="str">
        <f>HYPERLINK("http://www.otzar.org/book.asp?622315","התדמות הלשון - 3 כר'")</f>
        <v>התדמות הלשון - 3 כר'</v>
      </c>
    </row>
    <row r="12573" spans="1:6" x14ac:dyDescent="0.2">
      <c r="A12573" t="s">
        <v>21436</v>
      </c>
      <c r="B12573" t="s">
        <v>15253</v>
      </c>
      <c r="C12573" t="s">
        <v>244</v>
      </c>
      <c r="D12573" t="s">
        <v>90</v>
      </c>
      <c r="E12573" t="s">
        <v>241</v>
      </c>
      <c r="F12573" s="2" t="str">
        <f>HYPERLINK("http://www.otzar.org/book.asp?626217","התהום")</f>
        <v>התהום</v>
      </c>
    </row>
    <row r="12574" spans="1:6" x14ac:dyDescent="0.2">
      <c r="A12574" t="s">
        <v>21437</v>
      </c>
      <c r="B12574" t="s">
        <v>21438</v>
      </c>
      <c r="C12574" t="s">
        <v>151</v>
      </c>
      <c r="D12574" t="s">
        <v>14</v>
      </c>
      <c r="F12574" s="2" t="str">
        <f>HYPERLINK("http://www.otzar.org/book.asp?619361","התהלים המבואר &lt;מהדורה חדשה&gt;")</f>
        <v>התהלים המבואר &lt;מהדורה חדשה&gt;</v>
      </c>
    </row>
    <row r="12575" spans="1:6" x14ac:dyDescent="0.2">
      <c r="A12575" t="s">
        <v>21439</v>
      </c>
      <c r="B12575" t="s">
        <v>21438</v>
      </c>
      <c r="C12575" t="s">
        <v>1811</v>
      </c>
      <c r="D12575" t="s">
        <v>14</v>
      </c>
      <c r="E12575" t="s">
        <v>158</v>
      </c>
      <c r="F12575" s="2" t="str">
        <f>HYPERLINK("http://www.otzar.org/book.asp?162405","התהלים המבואר")</f>
        <v>התהלים המבואר</v>
      </c>
    </row>
    <row r="12576" spans="1:6" x14ac:dyDescent="0.2">
      <c r="A12576" t="s">
        <v>21440</v>
      </c>
      <c r="B12576" t="s">
        <v>21441</v>
      </c>
      <c r="C12576" t="s">
        <v>366</v>
      </c>
      <c r="D12576" t="s">
        <v>14</v>
      </c>
      <c r="F12576" s="2" t="str">
        <f>HYPERLINK("http://www.otzar.org/book.asp?608887","התודה")</f>
        <v>התודה</v>
      </c>
    </row>
    <row r="12577" spans="1:6" x14ac:dyDescent="0.2">
      <c r="A12577" t="s">
        <v>21440</v>
      </c>
      <c r="B12577" t="s">
        <v>21442</v>
      </c>
      <c r="C12577" t="s">
        <v>111</v>
      </c>
      <c r="D12577" t="s">
        <v>21</v>
      </c>
      <c r="E12577" t="s">
        <v>104</v>
      </c>
      <c r="F12577" s="2" t="str">
        <f>HYPERLINK("http://www.otzar.org/book.asp?626702","התודה")</f>
        <v>התודה</v>
      </c>
    </row>
    <row r="12578" spans="1:6" x14ac:dyDescent="0.2">
      <c r="A12578" t="s">
        <v>21443</v>
      </c>
      <c r="B12578" t="s">
        <v>21444</v>
      </c>
      <c r="C12578" t="s">
        <v>989</v>
      </c>
      <c r="D12578" t="s">
        <v>412</v>
      </c>
      <c r="E12578" t="s">
        <v>144</v>
      </c>
      <c r="F12578" s="2" t="str">
        <f>HYPERLINK("http://www.otzar.org/book.asp?62250","התוספות שעל האלפס - יבמות כתובות גיטין קדושין")</f>
        <v>התוספות שעל האלפס - יבמות כתובות גיטין קדושין</v>
      </c>
    </row>
    <row r="12579" spans="1:6" x14ac:dyDescent="0.2">
      <c r="A12579" t="s">
        <v>21445</v>
      </c>
      <c r="B12579" t="s">
        <v>21446</v>
      </c>
      <c r="C12579" t="s">
        <v>21447</v>
      </c>
      <c r="D12579" t="s">
        <v>4088</v>
      </c>
      <c r="E12579" t="s">
        <v>64</v>
      </c>
      <c r="F12579" s="2" t="str">
        <f>HYPERLINK("http://www.otzar.org/book.asp?200024","התוספתא לפי סדר המשניות - 4 כר'")</f>
        <v>התוספתא לפי סדר המשניות - 4 כר'</v>
      </c>
    </row>
    <row r="12580" spans="1:6" x14ac:dyDescent="0.2">
      <c r="A12580" t="s">
        <v>21448</v>
      </c>
      <c r="B12580" t="s">
        <v>21449</v>
      </c>
      <c r="C12580" t="s">
        <v>1937</v>
      </c>
      <c r="D12580" t="s">
        <v>56</v>
      </c>
      <c r="E12580" t="s">
        <v>43</v>
      </c>
      <c r="F12580" s="2" t="str">
        <f>HYPERLINK("http://www.otzar.org/book.asp?103472","התוספתא סדר זרעים &lt;ר' יונה מווילנא&gt;")</f>
        <v>התוספתא סדר זרעים &lt;ר' יונה מווילנא&gt;</v>
      </c>
    </row>
    <row r="12581" spans="1:6" x14ac:dyDescent="0.2">
      <c r="A12581" t="s">
        <v>21450</v>
      </c>
      <c r="B12581" t="s">
        <v>19725</v>
      </c>
      <c r="C12581" t="s">
        <v>17</v>
      </c>
      <c r="D12581" t="s">
        <v>14</v>
      </c>
      <c r="E12581" t="s">
        <v>21451</v>
      </c>
      <c r="F12581" s="2" t="str">
        <f>HYPERLINK("http://www.otzar.org/book.asp?6209","התוקע בשופר והמקריא בתקיעות")</f>
        <v>התוקע בשופר והמקריא בתקיעות</v>
      </c>
    </row>
    <row r="12582" spans="1:6" x14ac:dyDescent="0.2">
      <c r="A12582" t="s">
        <v>21452</v>
      </c>
      <c r="B12582" t="s">
        <v>2663</v>
      </c>
      <c r="C12582" t="s">
        <v>37</v>
      </c>
      <c r="D12582" t="s">
        <v>21</v>
      </c>
      <c r="E12582" t="s">
        <v>202</v>
      </c>
      <c r="F12582" s="2" t="str">
        <f>HYPERLINK("http://www.otzar.org/book.asp?195603","התורה הזאת")</f>
        <v>התורה הזאת</v>
      </c>
    </row>
    <row r="12583" spans="1:6" x14ac:dyDescent="0.2">
      <c r="A12583" t="s">
        <v>21453</v>
      </c>
      <c r="B12583" t="s">
        <v>19756</v>
      </c>
      <c r="C12583" t="s">
        <v>3106</v>
      </c>
      <c r="D12583" t="s">
        <v>260</v>
      </c>
      <c r="E12583" t="s">
        <v>674</v>
      </c>
      <c r="F12583" s="2" t="str">
        <f>HYPERLINK("http://www.otzar.org/book.asp?15169","התורה המסורה לשיטת הרמב""ם")</f>
        <v>התורה המסורה לשיטת הרמב"ם</v>
      </c>
    </row>
    <row r="12584" spans="1:6" x14ac:dyDescent="0.2">
      <c r="A12584" t="s">
        <v>21454</v>
      </c>
      <c r="B12584" t="s">
        <v>1091</v>
      </c>
      <c r="C12584" t="s">
        <v>68</v>
      </c>
      <c r="D12584" t="s">
        <v>14</v>
      </c>
      <c r="E12584" t="s">
        <v>158</v>
      </c>
      <c r="F12584" s="2" t="str">
        <f>HYPERLINK("http://www.otzar.org/book.asp?163283","התורה התמימה - 7 כר'")</f>
        <v>התורה התמימה - 7 כר'</v>
      </c>
    </row>
    <row r="12585" spans="1:6" x14ac:dyDescent="0.2">
      <c r="A12585" t="s">
        <v>21455</v>
      </c>
      <c r="B12585" t="s">
        <v>21456</v>
      </c>
      <c r="C12585" t="s">
        <v>21457</v>
      </c>
      <c r="D12585" t="s">
        <v>1566</v>
      </c>
      <c r="E12585" t="s">
        <v>119</v>
      </c>
      <c r="F12585" s="2" t="str">
        <f>HYPERLINK("http://www.otzar.org/book.asp?606517","התורה והחיים - 2 כר'")</f>
        <v>התורה והחיים - 2 כר'</v>
      </c>
    </row>
    <row r="12586" spans="1:6" x14ac:dyDescent="0.2">
      <c r="A12586" t="s">
        <v>21458</v>
      </c>
      <c r="B12586" t="s">
        <v>15374</v>
      </c>
      <c r="C12586" t="s">
        <v>1166</v>
      </c>
      <c r="D12586" t="s">
        <v>56</v>
      </c>
      <c r="F12586" s="2" t="str">
        <f>HYPERLINK("http://www.otzar.org/book.asp?182582","התורה והחכמה - 2 כר'")</f>
        <v>התורה והחכמה - 2 כר'</v>
      </c>
    </row>
    <row r="12587" spans="1:6" x14ac:dyDescent="0.2">
      <c r="A12587" t="s">
        <v>21459</v>
      </c>
      <c r="B12587" t="s">
        <v>21460</v>
      </c>
      <c r="C12587" t="s">
        <v>17</v>
      </c>
      <c r="D12587" t="s">
        <v>5421</v>
      </c>
      <c r="E12587" t="s">
        <v>158</v>
      </c>
      <c r="F12587" s="2" t="str">
        <f>HYPERLINK("http://www.otzar.org/book.asp?149931","התורה והליכות עמנו - 2 כר'")</f>
        <v>התורה והליכות עמנו - 2 כר'</v>
      </c>
    </row>
    <row r="12588" spans="1:6" x14ac:dyDescent="0.2">
      <c r="A12588" t="s">
        <v>21461</v>
      </c>
      <c r="B12588" t="s">
        <v>14039</v>
      </c>
      <c r="C12588" t="s">
        <v>619</v>
      </c>
      <c r="D12588" t="s">
        <v>9</v>
      </c>
      <c r="E12588" t="s">
        <v>2336</v>
      </c>
      <c r="F12588" s="2" t="str">
        <f>HYPERLINK("http://www.otzar.org/book.asp?28587","התורה והמדע")</f>
        <v>התורה והמדע</v>
      </c>
    </row>
    <row r="12589" spans="1:6" x14ac:dyDescent="0.2">
      <c r="A12589" t="s">
        <v>21462</v>
      </c>
      <c r="B12589" t="s">
        <v>21463</v>
      </c>
      <c r="C12589" t="s">
        <v>506</v>
      </c>
      <c r="D12589" t="s">
        <v>27</v>
      </c>
      <c r="E12589" t="s">
        <v>15</v>
      </c>
      <c r="F12589" s="2" t="str">
        <f>HYPERLINK("http://www.otzar.org/book.asp?25469","התורה והמלאכה")</f>
        <v>התורה והמלאכה</v>
      </c>
    </row>
    <row r="12590" spans="1:6" x14ac:dyDescent="0.2">
      <c r="A12590" t="s">
        <v>21464</v>
      </c>
      <c r="B12590" t="s">
        <v>255</v>
      </c>
      <c r="C12590" t="s">
        <v>189</v>
      </c>
      <c r="D12590" t="s">
        <v>14</v>
      </c>
      <c r="E12590" t="s">
        <v>674</v>
      </c>
      <c r="F12590" s="2" t="str">
        <f>HYPERLINK("http://www.otzar.org/book.asp?152673","התורה והמסורה")</f>
        <v>התורה והמסורה</v>
      </c>
    </row>
    <row r="12591" spans="1:6" x14ac:dyDescent="0.2">
      <c r="A12591" t="s">
        <v>21465</v>
      </c>
      <c r="B12591" t="s">
        <v>21466</v>
      </c>
      <c r="C12591" t="s">
        <v>422</v>
      </c>
      <c r="D12591" t="s">
        <v>27</v>
      </c>
      <c r="E12591" t="s">
        <v>674</v>
      </c>
      <c r="F12591" s="2" t="str">
        <f>HYPERLINK("http://www.otzar.org/book.asp?600033","התורה והמצוה &lt;מהדורה חדשה&gt;")</f>
        <v>התורה והמצוה &lt;מהדורה חדשה&gt;</v>
      </c>
    </row>
    <row r="12592" spans="1:6" x14ac:dyDescent="0.2">
      <c r="A12592" t="s">
        <v>21467</v>
      </c>
      <c r="B12592" t="s">
        <v>3057</v>
      </c>
      <c r="C12592" t="s">
        <v>843</v>
      </c>
      <c r="D12592" t="s">
        <v>27</v>
      </c>
      <c r="E12592" t="s">
        <v>14275</v>
      </c>
      <c r="F12592" s="2" t="str">
        <f>HYPERLINK("http://www.otzar.org/book.asp?14292","התורה והמצוה &lt;מלבי""ם&gt; - 2 כר'")</f>
        <v>התורה והמצוה &lt;מלבי"ם&gt; - 2 כר'</v>
      </c>
    </row>
    <row r="12593" spans="1:6" x14ac:dyDescent="0.2">
      <c r="A12593" t="s">
        <v>21468</v>
      </c>
      <c r="B12593" t="s">
        <v>21466</v>
      </c>
      <c r="C12593" t="s">
        <v>1166</v>
      </c>
      <c r="D12593" t="s">
        <v>27</v>
      </c>
      <c r="E12593" t="s">
        <v>104</v>
      </c>
      <c r="F12593" s="2" t="str">
        <f>HYPERLINK("http://www.otzar.org/book.asp?624770","התורה והמצוה לריצב""א")</f>
        <v>התורה והמצוה לריצב"א</v>
      </c>
    </row>
    <row r="12594" spans="1:6" x14ac:dyDescent="0.2">
      <c r="A12594" t="s">
        <v>21469</v>
      </c>
      <c r="B12594" t="s">
        <v>21470</v>
      </c>
      <c r="C12594" t="s">
        <v>422</v>
      </c>
      <c r="D12594" t="s">
        <v>52</v>
      </c>
      <c r="E12594" t="s">
        <v>768</v>
      </c>
      <c r="F12594" s="2" t="str">
        <f>HYPERLINK("http://www.otzar.org/book.asp?159472","התורה והמצוה - איסור והיתר")</f>
        <v>התורה והמצוה - איסור והיתר</v>
      </c>
    </row>
    <row r="12595" spans="1:6" x14ac:dyDescent="0.2">
      <c r="A12595" t="s">
        <v>21471</v>
      </c>
      <c r="B12595" t="s">
        <v>3108</v>
      </c>
      <c r="C12595" t="s">
        <v>506</v>
      </c>
      <c r="D12595" t="s">
        <v>9</v>
      </c>
      <c r="E12595" t="s">
        <v>213</v>
      </c>
      <c r="F12595" s="2" t="str">
        <f>HYPERLINK("http://www.otzar.org/book.asp?51360","התורה והמצוה - א")</f>
        <v>התורה והמצוה - א</v>
      </c>
    </row>
    <row r="12596" spans="1:6" x14ac:dyDescent="0.2">
      <c r="A12596" t="s">
        <v>21472</v>
      </c>
      <c r="B12596" t="s">
        <v>3943</v>
      </c>
      <c r="C12596" t="s">
        <v>503</v>
      </c>
      <c r="D12596" t="s">
        <v>563</v>
      </c>
      <c r="E12596" t="s">
        <v>583</v>
      </c>
      <c r="F12596" s="2" t="str">
        <f>HYPERLINK("http://www.otzar.org/book.asp?103785","התורה והמצוה")</f>
        <v>התורה והמצוה</v>
      </c>
    </row>
    <row r="12597" spans="1:6" x14ac:dyDescent="0.2">
      <c r="A12597" t="s">
        <v>21472</v>
      </c>
      <c r="B12597" t="s">
        <v>21473</v>
      </c>
      <c r="C12597" t="s">
        <v>956</v>
      </c>
      <c r="D12597" t="s">
        <v>52</v>
      </c>
      <c r="F12597" s="2" t="str">
        <f>HYPERLINK("http://www.otzar.org/book.asp?156798","התורה והמצוה")</f>
        <v>התורה והמצוה</v>
      </c>
    </row>
    <row r="12598" spans="1:6" x14ac:dyDescent="0.2">
      <c r="A12598" t="s">
        <v>21472</v>
      </c>
      <c r="B12598" t="s">
        <v>5723</v>
      </c>
      <c r="C12598" t="s">
        <v>950</v>
      </c>
      <c r="D12598" t="s">
        <v>845</v>
      </c>
      <c r="E12598" t="s">
        <v>104</v>
      </c>
      <c r="F12598" s="2" t="str">
        <f>HYPERLINK("http://www.otzar.org/book.asp?19350","התורה והמצוה")</f>
        <v>התורה והמצוה</v>
      </c>
    </row>
    <row r="12599" spans="1:6" x14ac:dyDescent="0.2">
      <c r="A12599" t="s">
        <v>21474</v>
      </c>
      <c r="B12599" t="s">
        <v>1091</v>
      </c>
      <c r="C12599" t="s">
        <v>624</v>
      </c>
      <c r="D12599" t="s">
        <v>14</v>
      </c>
      <c r="E12599" t="s">
        <v>674</v>
      </c>
      <c r="F12599" s="2" t="str">
        <f>HYPERLINK("http://www.otzar.org/book.asp?163284","התורה והמצוה - 2 כר'")</f>
        <v>התורה והמצוה - 2 כר'</v>
      </c>
    </row>
    <row r="12600" spans="1:6" x14ac:dyDescent="0.2">
      <c r="A12600" t="s">
        <v>21475</v>
      </c>
      <c r="B12600" t="s">
        <v>21476</v>
      </c>
      <c r="C12600" t="s">
        <v>21477</v>
      </c>
      <c r="D12600" t="s">
        <v>225</v>
      </c>
      <c r="E12600" t="s">
        <v>241</v>
      </c>
      <c r="F12600" s="2" t="str">
        <f>HYPERLINK("http://www.otzar.org/book.asp?181302","התורה והעבודה")</f>
        <v>התורה והעבודה</v>
      </c>
    </row>
    <row r="12601" spans="1:6" x14ac:dyDescent="0.2">
      <c r="A12601" t="s">
        <v>21478</v>
      </c>
      <c r="B12601" t="s">
        <v>21479</v>
      </c>
      <c r="C12601" t="s">
        <v>21480</v>
      </c>
      <c r="D12601" t="s">
        <v>9</v>
      </c>
      <c r="E12601" t="s">
        <v>474</v>
      </c>
      <c r="F12601" s="2" t="str">
        <f>HYPERLINK("http://www.otzar.org/book.asp?52066","התורה והעולם - 3 כר'")</f>
        <v>התורה והעולם - 3 כר'</v>
      </c>
    </row>
    <row r="12602" spans="1:6" x14ac:dyDescent="0.2">
      <c r="A12602" t="s">
        <v>21481</v>
      </c>
      <c r="B12602" t="s">
        <v>21482</v>
      </c>
      <c r="C12602" t="s">
        <v>433</v>
      </c>
      <c r="D12602" t="s">
        <v>1654</v>
      </c>
      <c r="E12602" t="s">
        <v>241</v>
      </c>
      <c r="F12602" s="2" t="str">
        <f>HYPERLINK("http://www.otzar.org/book.asp?625573","התורה והעם")</f>
        <v>התורה והעם</v>
      </c>
    </row>
    <row r="12603" spans="1:6" x14ac:dyDescent="0.2">
      <c r="A12603" t="s">
        <v>21483</v>
      </c>
      <c r="B12603" t="s">
        <v>21460</v>
      </c>
      <c r="C12603" t="s">
        <v>71</v>
      </c>
      <c r="D12603" t="s">
        <v>5421</v>
      </c>
      <c r="E12603" t="s">
        <v>2071</v>
      </c>
      <c r="F12603" s="2" t="str">
        <f>HYPERLINK("http://www.otzar.org/book.asp?149933","התורה וחזון הדורות")</f>
        <v>התורה וחזון הדורות</v>
      </c>
    </row>
    <row r="12604" spans="1:6" x14ac:dyDescent="0.2">
      <c r="A12604" t="s">
        <v>21484</v>
      </c>
      <c r="B12604" t="s">
        <v>1066</v>
      </c>
      <c r="C12604" t="s">
        <v>151</v>
      </c>
      <c r="D12604" t="s">
        <v>412</v>
      </c>
      <c r="E12604" t="s">
        <v>104</v>
      </c>
      <c r="F12604" s="2" t="str">
        <f>HYPERLINK("http://www.otzar.org/book.asp?621376","התורה וחכמות חיצוניות")</f>
        <v>התורה וחכמות חיצוניות</v>
      </c>
    </row>
    <row r="12605" spans="1:6" x14ac:dyDescent="0.2">
      <c r="A12605" t="s">
        <v>21485</v>
      </c>
      <c r="B12605" t="s">
        <v>21486</v>
      </c>
      <c r="C12605" t="s">
        <v>411</v>
      </c>
      <c r="D12605" t="s">
        <v>14</v>
      </c>
      <c r="E12605" t="s">
        <v>202</v>
      </c>
      <c r="F12605" s="2" t="str">
        <f>HYPERLINK("http://www.otzar.org/book.asp?168338","התורה וקבלתה במשנתם של רבותינו")</f>
        <v>התורה וקבלתה במשנתם של רבותינו</v>
      </c>
    </row>
    <row r="12606" spans="1:6" x14ac:dyDescent="0.2">
      <c r="A12606" t="s">
        <v>21487</v>
      </c>
      <c r="B12606" t="s">
        <v>21488</v>
      </c>
      <c r="C12606" t="s">
        <v>767</v>
      </c>
      <c r="D12606" t="s">
        <v>14</v>
      </c>
      <c r="E12606" t="s">
        <v>241</v>
      </c>
      <c r="F12606" s="2" t="str">
        <f>HYPERLINK("http://www.otzar.org/book.asp?6108","התחזקות בתפילה לה' - 2 כר'")</f>
        <v>התחזקות בתפילה לה' - 2 כר'</v>
      </c>
    </row>
    <row r="12607" spans="1:6" x14ac:dyDescent="0.2">
      <c r="A12607" t="s">
        <v>21489</v>
      </c>
      <c r="B12607" t="s">
        <v>4840</v>
      </c>
      <c r="C12607" t="s">
        <v>23</v>
      </c>
      <c r="D12607" t="s">
        <v>367</v>
      </c>
      <c r="E12607" t="s">
        <v>241</v>
      </c>
      <c r="F12607" s="2" t="str">
        <f>HYPERLINK("http://www.otzar.org/book.asp?601430","התחיה והפדות &lt;מהדורה חדשה&gt;")</f>
        <v>התחיה והפדות &lt;מהדורה חדשה&gt;</v>
      </c>
    </row>
    <row r="12608" spans="1:6" x14ac:dyDescent="0.2">
      <c r="A12608" t="s">
        <v>21490</v>
      </c>
      <c r="B12608" t="s">
        <v>4840</v>
      </c>
      <c r="C12608" t="s">
        <v>266</v>
      </c>
      <c r="D12608" t="s">
        <v>283</v>
      </c>
      <c r="E12608" t="s">
        <v>213</v>
      </c>
      <c r="F12608" s="2" t="str">
        <f>HYPERLINK("http://www.otzar.org/book.asp?13441","התחיה והפדות")</f>
        <v>התחיה והפדות</v>
      </c>
    </row>
    <row r="12609" spans="1:6" x14ac:dyDescent="0.2">
      <c r="A12609" t="s">
        <v>21491</v>
      </c>
      <c r="B12609" t="s">
        <v>21492</v>
      </c>
      <c r="C12609" t="s">
        <v>533</v>
      </c>
      <c r="D12609" t="s">
        <v>14</v>
      </c>
      <c r="E12609" t="s">
        <v>104</v>
      </c>
      <c r="F12609" s="2" t="str">
        <f>HYPERLINK("http://www.otzar.org/book.asp?172030","התימנים")</f>
        <v>התימנים</v>
      </c>
    </row>
    <row r="12610" spans="1:6" x14ac:dyDescent="0.2">
      <c r="A12610" t="s">
        <v>21493</v>
      </c>
      <c r="B12610" t="s">
        <v>20165</v>
      </c>
      <c r="C12610" t="s">
        <v>21494</v>
      </c>
      <c r="D12610" t="s">
        <v>283</v>
      </c>
      <c r="E12610" t="s">
        <v>43</v>
      </c>
      <c r="F12610" s="2" t="str">
        <f>HYPERLINK("http://www.otzar.org/book.asp?103246","התירוש")</f>
        <v>התירוש</v>
      </c>
    </row>
    <row r="12611" spans="1:6" x14ac:dyDescent="0.2">
      <c r="A12611" t="s">
        <v>21495</v>
      </c>
      <c r="B12611" t="s">
        <v>21496</v>
      </c>
      <c r="C12611" t="s">
        <v>37</v>
      </c>
      <c r="D12611" t="s">
        <v>52</v>
      </c>
      <c r="E12611" t="s">
        <v>219</v>
      </c>
      <c r="F12611" s="2" t="str">
        <f>HYPERLINK("http://www.otzar.org/book.asp?199583","התכלאל המבואר")</f>
        <v>התכלאל המבואר</v>
      </c>
    </row>
    <row r="12612" spans="1:6" x14ac:dyDescent="0.2">
      <c r="A12612" t="s">
        <v>21497</v>
      </c>
      <c r="B12612" t="s">
        <v>7031</v>
      </c>
      <c r="C12612" t="s">
        <v>411</v>
      </c>
      <c r="D12612" t="s">
        <v>52</v>
      </c>
      <c r="E12612" t="s">
        <v>1626</v>
      </c>
      <c r="F12612" s="2" t="str">
        <f>HYPERLINK("http://www.otzar.org/book.asp?175509","התכלאל המדעי המהודר")</f>
        <v>התכלאל המדעי המהודר</v>
      </c>
    </row>
    <row r="12613" spans="1:6" x14ac:dyDescent="0.2">
      <c r="A12613" t="s">
        <v>21498</v>
      </c>
      <c r="B12613" t="s">
        <v>21499</v>
      </c>
      <c r="C12613" t="s">
        <v>244</v>
      </c>
      <c r="D12613" t="s">
        <v>52</v>
      </c>
      <c r="F12613" s="2" t="str">
        <f>HYPERLINK("http://www.otzar.org/book.asp?618715","התכלאל המפורש &lt;תפילה בכוונה&gt; - 6 כר'")</f>
        <v>התכלאל המפורש &lt;תפילה בכוונה&gt; - 6 כר'</v>
      </c>
    </row>
    <row r="12614" spans="1:6" x14ac:dyDescent="0.2">
      <c r="A12614" t="s">
        <v>21500</v>
      </c>
      <c r="B12614" t="s">
        <v>21501</v>
      </c>
      <c r="C12614" t="s">
        <v>20</v>
      </c>
      <c r="D12614" t="s">
        <v>90</v>
      </c>
      <c r="E12614" t="s">
        <v>104</v>
      </c>
      <c r="F12614" s="2" t="str">
        <f>HYPERLINK("http://www.otzar.org/book.asp?156755","התכלת וחידושה")</f>
        <v>התכלת וחידושה</v>
      </c>
    </row>
    <row r="12615" spans="1:6" x14ac:dyDescent="0.2">
      <c r="A12615" t="s">
        <v>21502</v>
      </c>
      <c r="B12615" t="s">
        <v>21503</v>
      </c>
      <c r="C12615" t="s">
        <v>356</v>
      </c>
      <c r="D12615" t="s">
        <v>14</v>
      </c>
      <c r="E12615" t="s">
        <v>463</v>
      </c>
      <c r="F12615" s="2" t="str">
        <f>HYPERLINK("http://www.otzar.org/book.asp?188535","התלמוד בתנ""ך")</f>
        <v>התלמוד בתנ"ך</v>
      </c>
    </row>
    <row r="12616" spans="1:6" x14ac:dyDescent="0.2">
      <c r="A12616" t="s">
        <v>21504</v>
      </c>
      <c r="B12616" t="s">
        <v>21505</v>
      </c>
      <c r="C12616" t="s">
        <v>23</v>
      </c>
      <c r="D12616" t="s">
        <v>21</v>
      </c>
      <c r="E12616" t="s">
        <v>144</v>
      </c>
      <c r="F12616" s="2" t="str">
        <f>HYPERLINK("http://www.otzar.org/book.asp?193483","התלמוד הקצר (על הרי""ף) - 2 כר'")</f>
        <v>התלמוד הקצר (על הרי"ף) - 2 כר'</v>
      </c>
    </row>
    <row r="12617" spans="1:6" x14ac:dyDescent="0.2">
      <c r="A12617" t="s">
        <v>21506</v>
      </c>
      <c r="B12617" t="s">
        <v>5810</v>
      </c>
      <c r="C12617" t="s">
        <v>506</v>
      </c>
      <c r="D12617" t="s">
        <v>267</v>
      </c>
      <c r="E12617" t="s">
        <v>1211</v>
      </c>
      <c r="F12617" s="2" t="str">
        <f>HYPERLINK("http://www.otzar.org/book.asp?101925","התלמוד ומדעי התבל")</f>
        <v>התלמוד ומדעי התבל</v>
      </c>
    </row>
    <row r="12618" spans="1:6" x14ac:dyDescent="0.2">
      <c r="A12618" t="s">
        <v>21507</v>
      </c>
      <c r="B12618" t="s">
        <v>21508</v>
      </c>
      <c r="C12618" t="s">
        <v>1169</v>
      </c>
      <c r="D12618" t="s">
        <v>260</v>
      </c>
      <c r="E12618" t="s">
        <v>158</v>
      </c>
      <c r="F12618" s="2" t="str">
        <f>HYPERLINK("http://www.otzar.org/book.asp?106956","התלמוד על התנ""ך - 3 כר'")</f>
        <v>התלמוד על התנ"ך - 3 כר'</v>
      </c>
    </row>
    <row r="12619" spans="1:6" x14ac:dyDescent="0.2">
      <c r="A12619" t="s">
        <v>21509</v>
      </c>
      <c r="B12619" t="s">
        <v>21510</v>
      </c>
      <c r="C12619" t="s">
        <v>37</v>
      </c>
      <c r="D12619" t="s">
        <v>14</v>
      </c>
      <c r="E12619" t="s">
        <v>158</v>
      </c>
      <c r="F12619" s="2" t="str">
        <f>HYPERLINK("http://www.otzar.org/book.asp?179299","התנ""ך ערוך לפי סדריו ע""פ המסורה")</f>
        <v>התנ"ך ערוך לפי סדריו ע"פ המסורה</v>
      </c>
    </row>
    <row r="12620" spans="1:6" x14ac:dyDescent="0.2">
      <c r="A12620" t="s">
        <v>21511</v>
      </c>
      <c r="B12620" t="s">
        <v>17145</v>
      </c>
      <c r="C12620" t="s">
        <v>1160</v>
      </c>
      <c r="D12620" t="s">
        <v>14</v>
      </c>
      <c r="F12620" s="2" t="str">
        <f>HYPERLINK("http://www.otzar.org/book.asp?199274","התנאים המדיניים של יהודי פולין במאה הי""ח")</f>
        <v>התנאים המדיניים של יהודי פולין במאה הי"ח</v>
      </c>
    </row>
    <row r="12621" spans="1:6" x14ac:dyDescent="0.2">
      <c r="A12621" t="s">
        <v>21512</v>
      </c>
      <c r="B12621" t="s">
        <v>21513</v>
      </c>
      <c r="C12621" t="s">
        <v>20</v>
      </c>
      <c r="D12621" t="s">
        <v>90</v>
      </c>
      <c r="E12621" t="s">
        <v>119</v>
      </c>
      <c r="F12621" s="2" t="str">
        <f>HYPERLINK("http://www.otzar.org/book.asp?624736","התנאים ומשנתם - תקופת הבית (תוספת למהדורה הראשונה)")</f>
        <v>התנאים ומשנתם - תקופת הבית (תוספת למהדורה הראשונה)</v>
      </c>
    </row>
    <row r="12622" spans="1:6" x14ac:dyDescent="0.2">
      <c r="A12622" t="s">
        <v>21514</v>
      </c>
      <c r="B12622" t="s">
        <v>6987</v>
      </c>
      <c r="C12622" t="s">
        <v>13</v>
      </c>
      <c r="D12622" t="s">
        <v>152</v>
      </c>
      <c r="E12622" t="s">
        <v>130</v>
      </c>
      <c r="F12622" s="2" t="str">
        <f>HYPERLINK("http://www.otzar.org/book.asp?150893","התנאים לאיסור מלאכה בשבת")</f>
        <v>התנאים לאיסור מלאכה בשבת</v>
      </c>
    </row>
    <row r="12623" spans="1:6" x14ac:dyDescent="0.2">
      <c r="A12623" t="s">
        <v>21515</v>
      </c>
      <c r="B12623" t="s">
        <v>6095</v>
      </c>
      <c r="C12623" t="s">
        <v>8</v>
      </c>
      <c r="D12623" t="s">
        <v>225</v>
      </c>
      <c r="E12623" t="s">
        <v>15</v>
      </c>
      <c r="F12623" s="2" t="str">
        <f>HYPERLINK("http://www.otzar.org/book.asp?52492","התנהגות הדרך - 2 כר'")</f>
        <v>התנהגות הדרך - 2 כר'</v>
      </c>
    </row>
    <row r="12624" spans="1:6" x14ac:dyDescent="0.2">
      <c r="A12624" t="s">
        <v>21516</v>
      </c>
      <c r="B12624" t="s">
        <v>21517</v>
      </c>
      <c r="C12624" t="s">
        <v>1954</v>
      </c>
      <c r="D12624" t="s">
        <v>216</v>
      </c>
      <c r="E12624" t="s">
        <v>119</v>
      </c>
      <c r="F12624" s="2" t="str">
        <f>HYPERLINK("http://www.otzar.org/book.asp?145148","התנועה ופעולותיה")</f>
        <v>התנועה ופעולותיה</v>
      </c>
    </row>
    <row r="12625" spans="1:6" x14ac:dyDescent="0.2">
      <c r="A12625" t="s">
        <v>21518</v>
      </c>
      <c r="B12625" t="s">
        <v>21519</v>
      </c>
      <c r="C12625" t="s">
        <v>360</v>
      </c>
      <c r="D12625" t="s">
        <v>225</v>
      </c>
      <c r="E12625" t="s">
        <v>140</v>
      </c>
      <c r="F12625" s="2" t="str">
        <f>HYPERLINK("http://www.otzar.org/book.asp?10769","התעוררות התפלה")</f>
        <v>התעוררות התפלה</v>
      </c>
    </row>
    <row r="12626" spans="1:6" x14ac:dyDescent="0.2">
      <c r="A12626" t="s">
        <v>21520</v>
      </c>
      <c r="B12626" t="s">
        <v>21521</v>
      </c>
      <c r="C12626" t="s">
        <v>20</v>
      </c>
      <c r="D12626" t="s">
        <v>412</v>
      </c>
      <c r="E12626" t="s">
        <v>104</v>
      </c>
      <c r="F12626" s="2" t="str">
        <f>HYPERLINK("http://www.otzar.org/book.asp?171405","התעוררות לחתן")</f>
        <v>התעוררות לחתן</v>
      </c>
    </row>
    <row r="12627" spans="1:6" x14ac:dyDescent="0.2">
      <c r="A12627" t="s">
        <v>21522</v>
      </c>
      <c r="B12627" t="s">
        <v>21523</v>
      </c>
      <c r="C12627" t="s">
        <v>87</v>
      </c>
      <c r="D12627" t="s">
        <v>52</v>
      </c>
      <c r="E12627" t="s">
        <v>241</v>
      </c>
      <c r="F12627" s="2" t="str">
        <f>HYPERLINK("http://www.otzar.org/book.asp?63310","התעוררות ללימוד התורה")</f>
        <v>התעוררות ללימוד התורה</v>
      </c>
    </row>
    <row r="12628" spans="1:6" x14ac:dyDescent="0.2">
      <c r="A12628" t="s">
        <v>21524</v>
      </c>
      <c r="B12628" t="s">
        <v>21525</v>
      </c>
      <c r="C12628" t="s">
        <v>21526</v>
      </c>
      <c r="D12628" t="s">
        <v>974</v>
      </c>
      <c r="E12628" t="s">
        <v>154</v>
      </c>
      <c r="F12628" s="2" t="str">
        <f>HYPERLINK("http://www.otzar.org/book.asp?10704","התעוררות תשובה - 7 כר'")</f>
        <v>התעוררות תשובה - 7 כר'</v>
      </c>
    </row>
    <row r="12629" spans="1:6" x14ac:dyDescent="0.2">
      <c r="A12629" t="s">
        <v>21527</v>
      </c>
      <c r="B12629" t="s">
        <v>9421</v>
      </c>
      <c r="C12629" t="s">
        <v>129</v>
      </c>
      <c r="D12629" t="s">
        <v>14</v>
      </c>
      <c r="E12629" t="s">
        <v>158</v>
      </c>
      <c r="F12629" s="2" t="str">
        <f>HYPERLINK("http://www.otzar.org/book.asp?181614","התענג על ה' - 3 כר'")</f>
        <v>התענג על ה' - 3 כר'</v>
      </c>
    </row>
    <row r="12630" spans="1:6" x14ac:dyDescent="0.2">
      <c r="A12630" t="s">
        <v>21528</v>
      </c>
      <c r="B12630" t="s">
        <v>9316</v>
      </c>
      <c r="C12630" t="s">
        <v>411</v>
      </c>
      <c r="D12630" t="s">
        <v>5172</v>
      </c>
      <c r="E12630" t="s">
        <v>241</v>
      </c>
      <c r="F12630" s="2" t="str">
        <f>HYPERLINK("http://www.otzar.org/book.asp?173236","התפילה במחיצת החפץ חיים")</f>
        <v>התפילה במחיצת החפץ חיים</v>
      </c>
    </row>
    <row r="12631" spans="1:6" x14ac:dyDescent="0.2">
      <c r="A12631" t="s">
        <v>21529</v>
      </c>
      <c r="B12631" t="s">
        <v>21530</v>
      </c>
      <c r="C12631" t="s">
        <v>332</v>
      </c>
      <c r="D12631" t="s">
        <v>14</v>
      </c>
      <c r="E12631" t="s">
        <v>15</v>
      </c>
      <c r="F12631" s="2" t="str">
        <f>HYPERLINK("http://www.otzar.org/book.asp?162224","התפילה בציבור")</f>
        <v>התפילה בציבור</v>
      </c>
    </row>
    <row r="12632" spans="1:6" x14ac:dyDescent="0.2">
      <c r="A12632" t="s">
        <v>21531</v>
      </c>
      <c r="B12632" t="s">
        <v>21532</v>
      </c>
      <c r="C12632" t="s">
        <v>20</v>
      </c>
      <c r="D12632" t="s">
        <v>4519</v>
      </c>
      <c r="F12632" s="2" t="str">
        <f>HYPERLINK("http://www.otzar.org/book.asp?603152","התפילה והדקדוק קשר הדוק")</f>
        <v>התפילה והדקדוק קשר הדוק</v>
      </c>
    </row>
    <row r="12633" spans="1:6" x14ac:dyDescent="0.2">
      <c r="A12633" t="s">
        <v>21533</v>
      </c>
      <c r="B12633" t="s">
        <v>12513</v>
      </c>
      <c r="C12633" t="s">
        <v>68</v>
      </c>
      <c r="D12633" t="s">
        <v>486</v>
      </c>
      <c r="E12633" t="s">
        <v>15</v>
      </c>
      <c r="F12633" s="2" t="str">
        <f>HYPERLINK("http://www.otzar.org/book.asp?159477","התפילה וההודאה")</f>
        <v>התפילה וההודאה</v>
      </c>
    </row>
    <row r="12634" spans="1:6" x14ac:dyDescent="0.2">
      <c r="A12634" t="s">
        <v>21534</v>
      </c>
      <c r="B12634" t="s">
        <v>107</v>
      </c>
      <c r="C12634" t="s">
        <v>366</v>
      </c>
      <c r="D12634" t="s">
        <v>14</v>
      </c>
      <c r="E12634" t="s">
        <v>241</v>
      </c>
      <c r="F12634" s="2" t="str">
        <f>HYPERLINK("http://www.otzar.org/book.asp?625780","התפילה ומשמעות הזמן ביהדות")</f>
        <v>התפילה ומשמעות הזמן ביהדות</v>
      </c>
    </row>
    <row r="12635" spans="1:6" x14ac:dyDescent="0.2">
      <c r="A12635" t="s">
        <v>21535</v>
      </c>
      <c r="B12635" t="s">
        <v>21536</v>
      </c>
      <c r="C12635" t="s">
        <v>146</v>
      </c>
      <c r="D12635" t="s">
        <v>52</v>
      </c>
      <c r="E12635" t="s">
        <v>219</v>
      </c>
      <c r="F12635" s="2" t="str">
        <f>HYPERLINK("http://www.otzar.org/book.asp?61170","התפילה כקרבן - 2 כר'")</f>
        <v>התפילה כקרבן - 2 כר'</v>
      </c>
    </row>
    <row r="12636" spans="1:6" x14ac:dyDescent="0.2">
      <c r="A12636" t="s">
        <v>21537</v>
      </c>
      <c r="B12636" t="s">
        <v>21538</v>
      </c>
      <c r="C12636" t="s">
        <v>1954</v>
      </c>
      <c r="D12636" t="s">
        <v>260</v>
      </c>
      <c r="E12636" t="s">
        <v>15</v>
      </c>
      <c r="F12636" s="2" t="str">
        <f>HYPERLINK("http://www.otzar.org/book.asp?169841","התפילין")</f>
        <v>התפילין</v>
      </c>
    </row>
    <row r="12637" spans="1:6" x14ac:dyDescent="0.2">
      <c r="A12637" t="s">
        <v>21537</v>
      </c>
      <c r="B12637" t="s">
        <v>21539</v>
      </c>
      <c r="C12637" t="s">
        <v>13</v>
      </c>
      <c r="D12637" t="s">
        <v>10022</v>
      </c>
      <c r="E12637" t="s">
        <v>393</v>
      </c>
      <c r="F12637" s="2" t="str">
        <f>HYPERLINK("http://www.otzar.org/book.asp?143593","התפילין")</f>
        <v>התפילין</v>
      </c>
    </row>
    <row r="12638" spans="1:6" x14ac:dyDescent="0.2">
      <c r="A12638" t="s">
        <v>21540</v>
      </c>
      <c r="B12638" t="s">
        <v>21541</v>
      </c>
      <c r="C12638" t="s">
        <v>1278</v>
      </c>
      <c r="D12638" t="s">
        <v>157</v>
      </c>
      <c r="E12638" t="s">
        <v>399</v>
      </c>
      <c r="F12638" s="2" t="str">
        <f>HYPERLINK("http://www.otzar.org/book.asp?200132","התקונים")</f>
        <v>התקונים</v>
      </c>
    </row>
    <row r="12639" spans="1:6" x14ac:dyDescent="0.2">
      <c r="A12639" t="s">
        <v>21542</v>
      </c>
      <c r="B12639" t="s">
        <v>107</v>
      </c>
      <c r="C12639" t="s">
        <v>143</v>
      </c>
      <c r="D12639" t="s">
        <v>14</v>
      </c>
      <c r="E12639" t="s">
        <v>583</v>
      </c>
      <c r="F12639" s="2" t="str">
        <f>HYPERLINK("http://www.otzar.org/book.asp?60564","התקופה באספקלריה תורנית")</f>
        <v>התקופה באספקלריה תורנית</v>
      </c>
    </row>
    <row r="12640" spans="1:6" x14ac:dyDescent="0.2">
      <c r="A12640" t="s">
        <v>21543</v>
      </c>
      <c r="B12640" t="s">
        <v>11462</v>
      </c>
      <c r="C12640" t="s">
        <v>129</v>
      </c>
      <c r="D12640" t="s">
        <v>90</v>
      </c>
      <c r="F12640" s="2" t="str">
        <f>HYPERLINK("http://www.otzar.org/book.asp?611610","התקופה בסערת אליהו")</f>
        <v>התקופה בסערת אליהו</v>
      </c>
    </row>
    <row r="12641" spans="1:6" x14ac:dyDescent="0.2">
      <c r="A12641" t="s">
        <v>21544</v>
      </c>
      <c r="B12641" t="s">
        <v>9096</v>
      </c>
      <c r="C12641" t="s">
        <v>17</v>
      </c>
      <c r="D12641" t="s">
        <v>14</v>
      </c>
      <c r="E12641" t="s">
        <v>119</v>
      </c>
      <c r="F12641" s="2" t="str">
        <f>HYPERLINK("http://www.otzar.org/book.asp?149340","התקופה הגדולה - 2 כר'")</f>
        <v>התקופה הגדולה - 2 כר'</v>
      </c>
    </row>
    <row r="12642" spans="1:6" x14ac:dyDescent="0.2">
      <c r="A12642" t="s">
        <v>21545</v>
      </c>
      <c r="B12642" t="s">
        <v>19016</v>
      </c>
      <c r="C12642" t="s">
        <v>585</v>
      </c>
      <c r="D12642" t="s">
        <v>52</v>
      </c>
      <c r="E12642" t="s">
        <v>241</v>
      </c>
      <c r="F12642" s="2" t="str">
        <f>HYPERLINK("http://www.otzar.org/book.asp?165915","התקופה ובעיותיה - 4 כר'")</f>
        <v>התקופה ובעיותיה - 4 כר'</v>
      </c>
    </row>
    <row r="12643" spans="1:6" x14ac:dyDescent="0.2">
      <c r="A12643" t="s">
        <v>21546</v>
      </c>
      <c r="B12643" t="s">
        <v>107</v>
      </c>
      <c r="C12643" t="s">
        <v>20</v>
      </c>
      <c r="D12643" t="s">
        <v>14</v>
      </c>
      <c r="E12643" t="s">
        <v>241</v>
      </c>
      <c r="F12643" s="2" t="str">
        <f>HYPERLINK("http://www.otzar.org/book.asp?162721","התקופה ומשמעותה")</f>
        <v>התקופה ומשמעותה</v>
      </c>
    </row>
    <row r="12644" spans="1:6" x14ac:dyDescent="0.2">
      <c r="A12644" t="s">
        <v>21547</v>
      </c>
      <c r="B12644" t="s">
        <v>7696</v>
      </c>
      <c r="C12644" t="s">
        <v>103</v>
      </c>
      <c r="D12644" t="s">
        <v>14</v>
      </c>
      <c r="E12644" t="s">
        <v>104</v>
      </c>
      <c r="F12644" s="2" t="str">
        <f>HYPERLINK("http://www.otzar.org/book.asp?619394","התקופה")</f>
        <v>התקופה</v>
      </c>
    </row>
    <row r="12645" spans="1:6" x14ac:dyDescent="0.2">
      <c r="A12645" t="s">
        <v>21548</v>
      </c>
      <c r="B12645" t="s">
        <v>5634</v>
      </c>
      <c r="C12645" t="s">
        <v>189</v>
      </c>
      <c r="D12645" t="s">
        <v>52</v>
      </c>
      <c r="E12645" t="s">
        <v>213</v>
      </c>
      <c r="F12645" s="2" t="str">
        <f>HYPERLINK("http://www.otzar.org/book.asp?145319","התקן עצמך ללמוד תורה - 2 כר'")</f>
        <v>התקן עצמך ללמוד תורה - 2 כר'</v>
      </c>
    </row>
    <row r="12646" spans="1:6" x14ac:dyDescent="0.2">
      <c r="A12646" t="s">
        <v>21549</v>
      </c>
      <c r="B12646" t="s">
        <v>21550</v>
      </c>
      <c r="C12646" t="s">
        <v>244</v>
      </c>
      <c r="D12646" t="s">
        <v>90</v>
      </c>
      <c r="E12646" t="s">
        <v>674</v>
      </c>
      <c r="F12646" s="2" t="str">
        <f>HYPERLINK("http://www.otzar.org/book.asp?629237","התקנות והסכמות ומנהגים")</f>
        <v>התקנות והסכמות ומנהגים</v>
      </c>
    </row>
    <row r="12647" spans="1:6" x14ac:dyDescent="0.2">
      <c r="A12647" t="s">
        <v>21551</v>
      </c>
      <c r="B12647" t="s">
        <v>21552</v>
      </c>
      <c r="C12647" t="s">
        <v>1047</v>
      </c>
      <c r="D12647" t="s">
        <v>27</v>
      </c>
      <c r="E12647" t="s">
        <v>15</v>
      </c>
      <c r="F12647" s="2" t="str">
        <f>HYPERLINK("http://www.otzar.org/book.asp?181562","התקנות למאה שערים")</f>
        <v>התקנות למאה שערים</v>
      </c>
    </row>
    <row r="12648" spans="1:6" x14ac:dyDescent="0.2">
      <c r="A12648" t="s">
        <v>21553</v>
      </c>
      <c r="B12648" t="s">
        <v>2082</v>
      </c>
      <c r="C12648" t="s">
        <v>20</v>
      </c>
      <c r="D12648" t="s">
        <v>14</v>
      </c>
      <c r="E12648" t="s">
        <v>241</v>
      </c>
      <c r="F12648" s="2" t="str">
        <f>HYPERLINK("http://www.otzar.org/book.asp?148716","התקרבות להשם")</f>
        <v>התקרבות להשם</v>
      </c>
    </row>
    <row r="12649" spans="1:6" x14ac:dyDescent="0.2">
      <c r="A12649" t="s">
        <v>21554</v>
      </c>
      <c r="B12649" t="s">
        <v>1750</v>
      </c>
      <c r="C12649" t="s">
        <v>176</v>
      </c>
      <c r="D12649" t="s">
        <v>486</v>
      </c>
      <c r="E12649" t="s">
        <v>2091</v>
      </c>
      <c r="F12649" s="2" t="str">
        <f>HYPERLINK("http://www.otzar.org/book.asp?169059","התקשרות בתפילין")</f>
        <v>התקשרות בתפילין</v>
      </c>
    </row>
    <row r="12650" spans="1:6" x14ac:dyDescent="0.2">
      <c r="A12650" t="s">
        <v>21555</v>
      </c>
      <c r="B12650" t="s">
        <v>6081</v>
      </c>
      <c r="C12650" t="s">
        <v>237</v>
      </c>
      <c r="D12650" t="s">
        <v>27</v>
      </c>
      <c r="E12650" t="s">
        <v>583</v>
      </c>
      <c r="F12650" s="2" t="str">
        <f>HYPERLINK("http://www.otzar.org/book.asp?10379","התרגשות הלב")</f>
        <v>התרגשות הלב</v>
      </c>
    </row>
    <row r="12651" spans="1:6" x14ac:dyDescent="0.2">
      <c r="A12651" t="s">
        <v>21556</v>
      </c>
      <c r="B12651" t="s">
        <v>206</v>
      </c>
      <c r="C12651" t="s">
        <v>313</v>
      </c>
      <c r="D12651" t="s">
        <v>52</v>
      </c>
      <c r="E12651" t="s">
        <v>219</v>
      </c>
      <c r="F12651" s="2" t="str">
        <f>HYPERLINK("http://www.otzar.org/book.asp?189834","התרת נדרים המבואר")</f>
        <v>התרת נדרים המבואר</v>
      </c>
    </row>
    <row r="12652" spans="1:6" x14ac:dyDescent="0.2">
      <c r="A12652" t="s">
        <v>21557</v>
      </c>
      <c r="B12652" t="s">
        <v>4606</v>
      </c>
      <c r="C12652" t="s">
        <v>37</v>
      </c>
      <c r="D12652" t="s">
        <v>21</v>
      </c>
      <c r="E12652" t="s">
        <v>24</v>
      </c>
      <c r="F12652" s="2" t="str">
        <f>HYPERLINK("http://www.otzar.org/book.asp?606765","התרת נדרים עם ביאור מילתא דשכיחא")</f>
        <v>התרת נדרים עם ביאור מילתא דשכיחא</v>
      </c>
    </row>
    <row r="12653" spans="1:6" x14ac:dyDescent="0.2">
      <c r="A12653" t="s">
        <v>21558</v>
      </c>
      <c r="B12653" t="s">
        <v>21338</v>
      </c>
      <c r="C12653" t="s">
        <v>51</v>
      </c>
      <c r="D12653" t="s">
        <v>21339</v>
      </c>
      <c r="E12653" t="s">
        <v>15</v>
      </c>
      <c r="F12653" s="2" t="str">
        <f>HYPERLINK("http://www.otzar.org/book.asp?162169","התרת נדרים")</f>
        <v>התרת נדרים</v>
      </c>
    </row>
    <row r="12654" spans="1:6" x14ac:dyDescent="0.2">
      <c r="A12654" t="s">
        <v>21559</v>
      </c>
      <c r="B12654" t="s">
        <v>2620</v>
      </c>
      <c r="C12654" t="s">
        <v>9936</v>
      </c>
      <c r="D12654" t="s">
        <v>1023</v>
      </c>
      <c r="E12654" t="s">
        <v>154</v>
      </c>
      <c r="F12654" s="2" t="str">
        <f>HYPERLINK("http://www.otzar.org/book.asp?104195","התשב""ץ &lt;דפו""ר&gt;")</f>
        <v>התשב"ץ &lt;דפו"ר&gt;</v>
      </c>
    </row>
    <row r="12655" spans="1:6" x14ac:dyDescent="0.2">
      <c r="A12655" t="s">
        <v>21560</v>
      </c>
      <c r="B12655" t="s">
        <v>2620</v>
      </c>
      <c r="C12655" t="s">
        <v>3690</v>
      </c>
      <c r="D12655" t="s">
        <v>267</v>
      </c>
      <c r="E12655" t="s">
        <v>154</v>
      </c>
      <c r="F12655" s="2" t="str">
        <f>HYPERLINK("http://www.otzar.org/book.asp?12145","התשב""ץ - 6 כר'")</f>
        <v>התשב"ץ - 6 כר'</v>
      </c>
    </row>
    <row r="12656" spans="1:6" x14ac:dyDescent="0.2">
      <c r="A12656" t="s">
        <v>21561</v>
      </c>
      <c r="B12656" t="s">
        <v>21562</v>
      </c>
      <c r="C12656" t="s">
        <v>176</v>
      </c>
      <c r="D12656" t="s">
        <v>115</v>
      </c>
      <c r="E12656" t="s">
        <v>241</v>
      </c>
      <c r="F12656" s="2" t="str">
        <f>HYPERLINK("http://www.otzar.org/book.asp?178897","התשובה בספרות השו""ת")</f>
        <v>התשובה בספרות השו"ת</v>
      </c>
    </row>
    <row r="12657" spans="1:6" x14ac:dyDescent="0.2">
      <c r="A12657" t="s">
        <v>21563</v>
      </c>
      <c r="B12657" t="s">
        <v>18889</v>
      </c>
      <c r="C12657" t="s">
        <v>1169</v>
      </c>
      <c r="D12657" t="s">
        <v>260</v>
      </c>
      <c r="E12657" t="s">
        <v>241</v>
      </c>
      <c r="F12657" s="2" t="str">
        <f>HYPERLINK("http://www.otzar.org/book.asp?179173","התשובה - 2 כר'")</f>
        <v>התשובה - 2 כר'</v>
      </c>
    </row>
    <row r="12658" spans="1:6" x14ac:dyDescent="0.2">
      <c r="A12658" t="s">
        <v>21564</v>
      </c>
      <c r="B12658" t="s">
        <v>552</v>
      </c>
      <c r="C12658" t="s">
        <v>129</v>
      </c>
      <c r="D12658" t="s">
        <v>14</v>
      </c>
      <c r="E12658" t="s">
        <v>202</v>
      </c>
      <c r="F12658" s="2" t="str">
        <f>HYPERLINK("http://www.otzar.org/book.asp?163962","ואביו שמר - 2 כר'")</f>
        <v>ואביו שמר - 2 כר'</v>
      </c>
    </row>
    <row r="12659" spans="1:6" x14ac:dyDescent="0.2">
      <c r="A12659" t="s">
        <v>21565</v>
      </c>
      <c r="B12659" t="s">
        <v>21566</v>
      </c>
      <c r="C12659" t="s">
        <v>767</v>
      </c>
      <c r="D12659" t="s">
        <v>118</v>
      </c>
      <c r="E12659" t="s">
        <v>8796</v>
      </c>
      <c r="F12659" s="2" t="str">
        <f>HYPERLINK("http://www.otzar.org/book.asp?189996","ואביטה ארחותיך")</f>
        <v>ואביטה ארחותיך</v>
      </c>
    </row>
    <row r="12660" spans="1:6" x14ac:dyDescent="0.2">
      <c r="A12660" t="s">
        <v>21567</v>
      </c>
      <c r="B12660" t="s">
        <v>21568</v>
      </c>
      <c r="C12660" t="s">
        <v>940</v>
      </c>
      <c r="D12660" t="s">
        <v>2798</v>
      </c>
      <c r="E12660" t="s">
        <v>21569</v>
      </c>
      <c r="F12660" s="2" t="str">
        <f>HYPERLINK("http://www.otzar.org/book.asp?146434","ואברהם זקן")</f>
        <v>ואברהם זקן</v>
      </c>
    </row>
    <row r="12661" spans="1:6" x14ac:dyDescent="0.2">
      <c r="A12661" t="s">
        <v>21567</v>
      </c>
      <c r="B12661" t="s">
        <v>1046</v>
      </c>
      <c r="C12661" t="s">
        <v>1096</v>
      </c>
      <c r="D12661" t="s">
        <v>157</v>
      </c>
      <c r="E12661" t="s">
        <v>1262</v>
      </c>
      <c r="F12661" s="2" t="str">
        <f>HYPERLINK("http://www.otzar.org/book.asp?17693","ואברהם זקן")</f>
        <v>ואברהם זקן</v>
      </c>
    </row>
    <row r="12662" spans="1:6" x14ac:dyDescent="0.2">
      <c r="A12662" t="s">
        <v>21570</v>
      </c>
      <c r="B12662" t="s">
        <v>21571</v>
      </c>
      <c r="C12662" t="s">
        <v>68</v>
      </c>
      <c r="D12662" t="s">
        <v>14</v>
      </c>
      <c r="E12662" t="s">
        <v>202</v>
      </c>
      <c r="F12662" s="2" t="str">
        <f>HYPERLINK("http://www.otzar.org/book.asp?176749","ואברהם שב למקומו")</f>
        <v>ואברהם שב למקומו</v>
      </c>
    </row>
    <row r="12663" spans="1:6" x14ac:dyDescent="0.2">
      <c r="A12663" t="s">
        <v>21572</v>
      </c>
      <c r="B12663" t="s">
        <v>3595</v>
      </c>
      <c r="C12663" t="s">
        <v>51</v>
      </c>
      <c r="D12663" t="s">
        <v>1974</v>
      </c>
      <c r="E12663" t="s">
        <v>172</v>
      </c>
      <c r="F12663" s="2" t="str">
        <f>HYPERLINK("http://www.otzar.org/book.asp?53648","ואד יעלה - 9 כר'")</f>
        <v>ואד יעלה - 9 כר'</v>
      </c>
    </row>
    <row r="12664" spans="1:6" x14ac:dyDescent="0.2">
      <c r="A12664" t="s">
        <v>21573</v>
      </c>
      <c r="B12664" t="s">
        <v>21574</v>
      </c>
      <c r="C12664" t="s">
        <v>20</v>
      </c>
      <c r="D12664" t="s">
        <v>14816</v>
      </c>
      <c r="E12664" t="s">
        <v>202</v>
      </c>
      <c r="F12664" s="2" t="str">
        <f>HYPERLINK("http://www.otzar.org/book.asp?600365","ואד יעלה - 3 כר'")</f>
        <v>ואד יעלה - 3 כר'</v>
      </c>
    </row>
    <row r="12665" spans="1:6" x14ac:dyDescent="0.2">
      <c r="A12665" t="s">
        <v>21575</v>
      </c>
      <c r="B12665" t="s">
        <v>21576</v>
      </c>
      <c r="C12665" t="s">
        <v>37</v>
      </c>
      <c r="D12665" t="s">
        <v>367</v>
      </c>
      <c r="E12665" t="s">
        <v>3798</v>
      </c>
      <c r="F12665" s="2" t="str">
        <f>HYPERLINK("http://www.otzar.org/book.asp?621763","ואדעה עדותיך")</f>
        <v>ואדעה עדותיך</v>
      </c>
    </row>
    <row r="12666" spans="1:6" x14ac:dyDescent="0.2">
      <c r="A12666" t="s">
        <v>21577</v>
      </c>
      <c r="B12666" t="s">
        <v>21578</v>
      </c>
      <c r="C12666" t="s">
        <v>411</v>
      </c>
      <c r="D12666" t="s">
        <v>1153</v>
      </c>
      <c r="E12666" t="s">
        <v>15</v>
      </c>
      <c r="F12666" s="2" t="str">
        <f>HYPERLINK("http://www.otzar.org/book.asp?173296","ואהבת לרעך כהלכה")</f>
        <v>ואהבת לרעך כהלכה</v>
      </c>
    </row>
    <row r="12667" spans="1:6" x14ac:dyDescent="0.2">
      <c r="A12667" t="s">
        <v>21579</v>
      </c>
      <c r="B12667" t="s">
        <v>21580</v>
      </c>
      <c r="C12667" t="s">
        <v>21581</v>
      </c>
      <c r="D12667" t="s">
        <v>27</v>
      </c>
      <c r="E12667" t="s">
        <v>714</v>
      </c>
      <c r="F12667" s="2" t="str">
        <f>HYPERLINK("http://www.otzar.org/book.asp?181735","ואהבת לרעך כמוך")</f>
        <v>ואהבת לרעך כמוך</v>
      </c>
    </row>
    <row r="12668" spans="1:6" x14ac:dyDescent="0.2">
      <c r="A12668" t="s">
        <v>21582</v>
      </c>
      <c r="B12668" t="s">
        <v>5092</v>
      </c>
      <c r="C12668" t="s">
        <v>422</v>
      </c>
      <c r="D12668" t="s">
        <v>412</v>
      </c>
      <c r="E12668" t="s">
        <v>213</v>
      </c>
      <c r="F12668" s="2" t="str">
        <f>HYPERLINK("http://www.otzar.org/book.asp?160397","ואהבת לרעך")</f>
        <v>ואהבת לרעך</v>
      </c>
    </row>
    <row r="12669" spans="1:6" x14ac:dyDescent="0.2">
      <c r="A12669" t="s">
        <v>21583</v>
      </c>
      <c r="B12669" t="s">
        <v>21584</v>
      </c>
      <c r="C12669" t="s">
        <v>1470</v>
      </c>
      <c r="D12669" t="s">
        <v>27</v>
      </c>
      <c r="E12669" t="s">
        <v>43</v>
      </c>
      <c r="F12669" s="2" t="str">
        <f>HYPERLINK("http://www.otzar.org/book.asp?102991","ואוד מצל מאש")</f>
        <v>ואוד מצל מאש</v>
      </c>
    </row>
    <row r="12670" spans="1:6" x14ac:dyDescent="0.2">
      <c r="A12670" t="s">
        <v>21585</v>
      </c>
      <c r="B12670" t="s">
        <v>21586</v>
      </c>
      <c r="C12670" t="s">
        <v>20</v>
      </c>
      <c r="D12670" t="s">
        <v>90</v>
      </c>
      <c r="E12670" t="s">
        <v>213</v>
      </c>
      <c r="F12670" s="2" t="str">
        <f>HYPERLINK("http://www.otzar.org/book.asp?600071","ואוריתה קשוט")</f>
        <v>ואוריתה קשוט</v>
      </c>
    </row>
    <row r="12671" spans="1:6" x14ac:dyDescent="0.2">
      <c r="A12671" t="s">
        <v>21587</v>
      </c>
      <c r="B12671" t="s">
        <v>13426</v>
      </c>
      <c r="C12671" t="s">
        <v>114</v>
      </c>
      <c r="D12671" t="s">
        <v>14</v>
      </c>
      <c r="E12671" t="s">
        <v>172</v>
      </c>
      <c r="F12671" s="2" t="str">
        <f>HYPERLINK("http://www.otzar.org/book.asp?171701","ואזמרה")</f>
        <v>ואזמרה</v>
      </c>
    </row>
    <row r="12672" spans="1:6" x14ac:dyDescent="0.2">
      <c r="A12672" t="s">
        <v>21588</v>
      </c>
      <c r="B12672" t="s">
        <v>21589</v>
      </c>
      <c r="C12672" t="s">
        <v>111</v>
      </c>
      <c r="D12672" t="s">
        <v>52</v>
      </c>
      <c r="E12672" t="s">
        <v>158</v>
      </c>
      <c r="F12672" s="2" t="str">
        <f>HYPERLINK("http://www.otzar.org/book.asp?629842","ואחד תרגום")</f>
        <v>ואחד תרגום</v>
      </c>
    </row>
    <row r="12673" spans="1:6" x14ac:dyDescent="0.2">
      <c r="A12673" t="s">
        <v>21590</v>
      </c>
      <c r="B12673" t="s">
        <v>89</v>
      </c>
      <c r="C12673" t="s">
        <v>454</v>
      </c>
      <c r="D12673" t="s">
        <v>3406</v>
      </c>
      <c r="E12673" t="s">
        <v>15</v>
      </c>
      <c r="F12673" s="2" t="str">
        <f>HYPERLINK("http://www.otzar.org/book.asp?61782","ואין למו מכשול - 19 כר'")</f>
        <v>ואין למו מכשול - 19 כר'</v>
      </c>
    </row>
    <row r="12674" spans="1:6" x14ac:dyDescent="0.2">
      <c r="A12674" t="s">
        <v>21591</v>
      </c>
      <c r="B12674" t="s">
        <v>5634</v>
      </c>
      <c r="C12674" t="s">
        <v>129</v>
      </c>
      <c r="D12674" t="s">
        <v>5644</v>
      </c>
      <c r="E12674" t="s">
        <v>1262</v>
      </c>
      <c r="F12674" s="2" t="str">
        <f>HYPERLINK("http://www.otzar.org/book.asp?60110","ואיש שומע לנצח ידבר")</f>
        <v>ואיש שומע לנצח ידבר</v>
      </c>
    </row>
    <row r="12675" spans="1:6" x14ac:dyDescent="0.2">
      <c r="A12675" t="s">
        <v>21592</v>
      </c>
      <c r="B12675" t="s">
        <v>21593</v>
      </c>
      <c r="C12675" t="s">
        <v>37</v>
      </c>
      <c r="D12675" t="s">
        <v>118</v>
      </c>
      <c r="F12675" s="2" t="str">
        <f>HYPERLINK("http://www.otzar.org/book.asp?602111","ואכלת ושבעת")</f>
        <v>ואכלת ושבעת</v>
      </c>
    </row>
    <row r="12676" spans="1:6" x14ac:dyDescent="0.2">
      <c r="A12676" t="s">
        <v>21594</v>
      </c>
      <c r="B12676" t="s">
        <v>1750</v>
      </c>
      <c r="C12676" t="s">
        <v>454</v>
      </c>
      <c r="D12676" t="s">
        <v>14</v>
      </c>
      <c r="E12676" t="s">
        <v>202</v>
      </c>
      <c r="F12676" s="2" t="str">
        <f>HYPERLINK("http://www.otzar.org/book.asp?145588","ואל מעלת אבותם ישובו")</f>
        <v>ואל מעלת אבותם ישובו</v>
      </c>
    </row>
    <row r="12677" spans="1:6" x14ac:dyDescent="0.2">
      <c r="A12677" t="s">
        <v>21595</v>
      </c>
      <c r="B12677" t="s">
        <v>21596</v>
      </c>
      <c r="C12677" t="s">
        <v>20</v>
      </c>
      <c r="D12677" t="s">
        <v>21</v>
      </c>
      <c r="E12677" t="s">
        <v>15</v>
      </c>
      <c r="F12677" s="2" t="str">
        <f>HYPERLINK("http://www.otzar.org/book.asp?603949","ואל תטש תורת אמך")</f>
        <v>ואל תטש תורת אמך</v>
      </c>
    </row>
    <row r="12678" spans="1:6" x14ac:dyDescent="0.2">
      <c r="A12678" t="s">
        <v>21597</v>
      </c>
      <c r="B12678" t="s">
        <v>21598</v>
      </c>
      <c r="C12678" t="s">
        <v>533</v>
      </c>
      <c r="D12678" t="s">
        <v>14</v>
      </c>
      <c r="F12678" s="2" t="str">
        <f>HYPERLINK("http://www.otzar.org/book.asp?608385","ואלה הדברים שנאמרו לדוד - 2 כר'")</f>
        <v>ואלה הדברים שנאמרו לדוד - 2 כר'</v>
      </c>
    </row>
    <row r="12679" spans="1:6" x14ac:dyDescent="0.2">
      <c r="A12679" t="s">
        <v>21599</v>
      </c>
      <c r="B12679" t="s">
        <v>2074</v>
      </c>
      <c r="C12679" t="s">
        <v>23</v>
      </c>
      <c r="D12679" t="s">
        <v>14</v>
      </c>
      <c r="E12679" t="s">
        <v>674</v>
      </c>
      <c r="F12679" s="2" t="str">
        <f>HYPERLINK("http://www.otzar.org/book.asp?192396","ואלה שמות בני ישראל")</f>
        <v>ואלה שמות בני ישראל</v>
      </c>
    </row>
    <row r="12680" spans="1:6" x14ac:dyDescent="0.2">
      <c r="A12680" t="s">
        <v>21600</v>
      </c>
      <c r="B12680" t="s">
        <v>9622</v>
      </c>
      <c r="C12680" t="s">
        <v>1570</v>
      </c>
      <c r="D12680" t="s">
        <v>52</v>
      </c>
      <c r="E12680" t="s">
        <v>15</v>
      </c>
      <c r="F12680" s="2" t="str">
        <f>HYPERLINK("http://www.otzar.org/book.asp?143058","ואלה שמות")</f>
        <v>ואלה שמות</v>
      </c>
    </row>
    <row r="12681" spans="1:6" x14ac:dyDescent="0.2">
      <c r="A12681" t="s">
        <v>21601</v>
      </c>
      <c r="B12681" t="s">
        <v>15940</v>
      </c>
      <c r="C12681" t="s">
        <v>1609</v>
      </c>
      <c r="D12681" t="s">
        <v>27</v>
      </c>
      <c r="E12681" t="s">
        <v>226</v>
      </c>
      <c r="F12681" s="2" t="str">
        <f>HYPERLINK("http://www.otzar.org/book.asp?160258","ואלה תולדות הרבי הראשון מגור")</f>
        <v>ואלה תולדות הרבי הראשון מגור</v>
      </c>
    </row>
    <row r="12682" spans="1:6" x14ac:dyDescent="0.2">
      <c r="A12682" t="s">
        <v>21602</v>
      </c>
      <c r="B12682" t="s">
        <v>21603</v>
      </c>
      <c r="C12682" t="s">
        <v>725</v>
      </c>
      <c r="D12682" t="s">
        <v>1541</v>
      </c>
      <c r="F12682" s="2" t="str">
        <f>HYPERLINK("http://www.otzar.org/book.asp?152947","ואלו ההלכות")</f>
        <v>ואלו ההלכות</v>
      </c>
    </row>
    <row r="12683" spans="1:6" x14ac:dyDescent="0.2">
      <c r="A12683" t="s">
        <v>21604</v>
      </c>
      <c r="B12683" t="s">
        <v>1066</v>
      </c>
      <c r="C12683" t="s">
        <v>427</v>
      </c>
      <c r="D12683" t="s">
        <v>14</v>
      </c>
      <c r="E12683" t="s">
        <v>104</v>
      </c>
      <c r="F12683" s="2" t="str">
        <f>HYPERLINK("http://www.otzar.org/book.asp?104825","ואם תאמר - 8 כר'")</f>
        <v>ואם תאמר - 8 כר'</v>
      </c>
    </row>
    <row r="12684" spans="1:6" x14ac:dyDescent="0.2">
      <c r="A12684" t="s">
        <v>21605</v>
      </c>
      <c r="B12684" t="s">
        <v>17584</v>
      </c>
      <c r="C12684" t="s">
        <v>146</v>
      </c>
      <c r="D12684" t="s">
        <v>646</v>
      </c>
      <c r="E12684" t="s">
        <v>3055</v>
      </c>
      <c r="F12684" s="2" t="str">
        <f>HYPERLINK("http://www.otzar.org/book.asp?619869","ואמונתך בלילות")</f>
        <v>ואמונתך בלילות</v>
      </c>
    </row>
    <row r="12685" spans="1:6" x14ac:dyDescent="0.2">
      <c r="A12685" t="s">
        <v>21606</v>
      </c>
      <c r="B12685" t="s">
        <v>11296</v>
      </c>
      <c r="C12685" t="s">
        <v>9952</v>
      </c>
      <c r="D12685" t="s">
        <v>27</v>
      </c>
      <c r="E12685" t="s">
        <v>213</v>
      </c>
      <c r="F12685" s="2" t="str">
        <f>HYPERLINK("http://www.otzar.org/book.asp?105407","ואמרו אמן - 3 כר'")</f>
        <v>ואמרו אמן - 3 כר'</v>
      </c>
    </row>
    <row r="12686" spans="1:6" x14ac:dyDescent="0.2">
      <c r="A12686" t="s">
        <v>21607</v>
      </c>
      <c r="B12686" t="s">
        <v>21608</v>
      </c>
      <c r="C12686" t="s">
        <v>133</v>
      </c>
      <c r="D12686" t="s">
        <v>14</v>
      </c>
      <c r="E12686" t="s">
        <v>144</v>
      </c>
      <c r="F12686" s="2" t="str">
        <f>HYPERLINK("http://www.otzar.org/book.asp?602935","ואמרתם זבח פסח")</f>
        <v>ואמרתם זבח פסח</v>
      </c>
    </row>
    <row r="12687" spans="1:6" x14ac:dyDescent="0.2">
      <c r="A12687" t="s">
        <v>21609</v>
      </c>
      <c r="B12687" t="s">
        <v>8929</v>
      </c>
      <c r="C12687" t="s">
        <v>146</v>
      </c>
      <c r="D12687" t="s">
        <v>14</v>
      </c>
      <c r="E12687" t="s">
        <v>246</v>
      </c>
      <c r="F12687" s="2" t="str">
        <f>HYPERLINK("http://www.otzar.org/book.asp?156627","ואמרתם כה לחי")</f>
        <v>ואמרתם כה לחי</v>
      </c>
    </row>
    <row r="12688" spans="1:6" x14ac:dyDescent="0.2">
      <c r="A12688" t="s">
        <v>21610</v>
      </c>
      <c r="B12688" t="s">
        <v>21611</v>
      </c>
      <c r="C12688" t="s">
        <v>13</v>
      </c>
      <c r="D12688" t="s">
        <v>3436</v>
      </c>
      <c r="E12688" t="s">
        <v>241</v>
      </c>
      <c r="F12688" s="2" t="str">
        <f>HYPERLINK("http://www.otzar.org/book.asp?193269","ואנוהו - לקט שיחות בין אדם לחבירו")</f>
        <v>ואנוהו - לקט שיחות בין אדם לחבירו</v>
      </c>
    </row>
    <row r="12689" spans="1:6" x14ac:dyDescent="0.2">
      <c r="A12689" t="s">
        <v>21612</v>
      </c>
      <c r="B12689" t="s">
        <v>11471</v>
      </c>
      <c r="C12689" t="s">
        <v>176</v>
      </c>
      <c r="D12689" t="s">
        <v>11472</v>
      </c>
      <c r="E12689" t="s">
        <v>15</v>
      </c>
      <c r="F12689" s="2" t="str">
        <f>HYPERLINK("http://www.otzar.org/book.asp?163119","ואני אברכם - הלכות נשיאת כפים")</f>
        <v>ואני אברכם - הלכות נשיאת כפים</v>
      </c>
    </row>
    <row r="12690" spans="1:6" x14ac:dyDescent="0.2">
      <c r="A12690" t="s">
        <v>21613</v>
      </c>
      <c r="B12690" t="s">
        <v>21614</v>
      </c>
      <c r="C12690" t="s">
        <v>383</v>
      </c>
      <c r="D12690" t="s">
        <v>14</v>
      </c>
      <c r="E12690" t="s">
        <v>119</v>
      </c>
      <c r="F12690" s="2" t="str">
        <f>HYPERLINK("http://www.otzar.org/book.asp?157261","ואני בגולת סיביר")</f>
        <v>ואני בגולת סיביר</v>
      </c>
    </row>
    <row r="12691" spans="1:6" x14ac:dyDescent="0.2">
      <c r="A12691" t="s">
        <v>21615</v>
      </c>
      <c r="B12691" t="s">
        <v>12750</v>
      </c>
      <c r="C12691" t="s">
        <v>68</v>
      </c>
      <c r="D12691" t="s">
        <v>14</v>
      </c>
      <c r="E12691" t="s">
        <v>158</v>
      </c>
      <c r="F12691" s="2" t="str">
        <f>HYPERLINK("http://www.otzar.org/book.asp?156547","ואני בה' אצפה")</f>
        <v>ואני בה' אצפה</v>
      </c>
    </row>
    <row r="12692" spans="1:6" x14ac:dyDescent="0.2">
      <c r="A12692" t="s">
        <v>21616</v>
      </c>
      <c r="B12692" t="s">
        <v>5928</v>
      </c>
      <c r="C12692" t="s">
        <v>129</v>
      </c>
      <c r="D12692" t="s">
        <v>1156</v>
      </c>
      <c r="F12692" s="2" t="str">
        <f>HYPERLINK("http://www.otzar.org/book.asp?612113","ואני תפילה")</f>
        <v>ואני תפילה</v>
      </c>
    </row>
    <row r="12693" spans="1:6" x14ac:dyDescent="0.2">
      <c r="A12693" t="s">
        <v>21616</v>
      </c>
      <c r="B12693" t="s">
        <v>1602</v>
      </c>
      <c r="C12693" t="s">
        <v>68</v>
      </c>
      <c r="D12693" t="s">
        <v>52</v>
      </c>
      <c r="E12693" t="s">
        <v>241</v>
      </c>
      <c r="F12693" s="2" t="str">
        <f>HYPERLINK("http://www.otzar.org/book.asp?160343","ואני תפילה")</f>
        <v>ואני תפילה</v>
      </c>
    </row>
    <row r="12694" spans="1:6" x14ac:dyDescent="0.2">
      <c r="A12694" t="s">
        <v>21616</v>
      </c>
      <c r="B12694" t="s">
        <v>2396</v>
      </c>
      <c r="C12694" t="s">
        <v>20</v>
      </c>
      <c r="D12694" t="s">
        <v>14</v>
      </c>
      <c r="E12694" t="s">
        <v>960</v>
      </c>
      <c r="F12694" s="2" t="str">
        <f>HYPERLINK("http://www.otzar.org/book.asp?165262","ואני תפילה")</f>
        <v>ואני תפילה</v>
      </c>
    </row>
    <row r="12695" spans="1:6" x14ac:dyDescent="0.2">
      <c r="A12695" t="s">
        <v>21616</v>
      </c>
      <c r="B12695" t="s">
        <v>21617</v>
      </c>
      <c r="C12695" t="s">
        <v>20</v>
      </c>
      <c r="D12695" t="s">
        <v>90</v>
      </c>
      <c r="E12695" t="s">
        <v>219</v>
      </c>
      <c r="F12695" s="2" t="str">
        <f>HYPERLINK("http://www.otzar.org/book.asp?629243","ואני תפילה")</f>
        <v>ואני תפילה</v>
      </c>
    </row>
    <row r="12696" spans="1:6" x14ac:dyDescent="0.2">
      <c r="A12696" t="s">
        <v>21618</v>
      </c>
      <c r="B12696" t="s">
        <v>21619</v>
      </c>
      <c r="C12696" t="s">
        <v>422</v>
      </c>
      <c r="D12696" t="s">
        <v>7468</v>
      </c>
      <c r="E12696" t="s">
        <v>202</v>
      </c>
      <c r="F12696" s="2" t="str">
        <f>HYPERLINK("http://www.otzar.org/book.asp?605053","ואני תפילתי  ב")</f>
        <v>ואני תפילתי  ב</v>
      </c>
    </row>
    <row r="12697" spans="1:6" x14ac:dyDescent="0.2">
      <c r="A12697" t="s">
        <v>21620</v>
      </c>
      <c r="B12697" t="s">
        <v>5293</v>
      </c>
      <c r="C12697" t="s">
        <v>37</v>
      </c>
      <c r="D12697" t="s">
        <v>14</v>
      </c>
      <c r="F12697" s="2" t="str">
        <f>HYPERLINK("http://www.otzar.org/book.asp?614844","ואני תפילתי לך ה'")</f>
        <v>ואני תפילתי לך ה'</v>
      </c>
    </row>
    <row r="12698" spans="1:6" x14ac:dyDescent="0.2">
      <c r="A12698" t="s">
        <v>21621</v>
      </c>
      <c r="B12698" t="s">
        <v>8893</v>
      </c>
      <c r="C12698" t="s">
        <v>20</v>
      </c>
      <c r="D12698" t="s">
        <v>14</v>
      </c>
      <c r="E12698" t="s">
        <v>714</v>
      </c>
      <c r="F12698" s="2" t="str">
        <f>HYPERLINK("http://www.otzar.org/book.asp?164046","ואני תפילתי לך - עת רצון")</f>
        <v>ואני תפילתי לך - עת רצון</v>
      </c>
    </row>
    <row r="12699" spans="1:6" x14ac:dyDescent="0.2">
      <c r="A12699" t="s">
        <v>21622</v>
      </c>
      <c r="B12699" t="s">
        <v>21623</v>
      </c>
      <c r="C12699" t="s">
        <v>422</v>
      </c>
      <c r="D12699" t="s">
        <v>27</v>
      </c>
      <c r="E12699" t="s">
        <v>219</v>
      </c>
      <c r="F12699" s="2" t="str">
        <f>HYPERLINK("http://www.otzar.org/book.asp?159512","ואני תפילתי")</f>
        <v>ואני תפילתי</v>
      </c>
    </row>
    <row r="12700" spans="1:6" x14ac:dyDescent="0.2">
      <c r="A12700" t="s">
        <v>21624</v>
      </c>
      <c r="B12700" t="s">
        <v>3820</v>
      </c>
      <c r="C12700" t="s">
        <v>919</v>
      </c>
      <c r="D12700" t="s">
        <v>14</v>
      </c>
      <c r="E12700" t="s">
        <v>2261</v>
      </c>
      <c r="F12700" s="2" t="str">
        <f>HYPERLINK("http://www.otzar.org/book.asp?19322","ואני תפלה - 4 כר'")</f>
        <v>ואני תפלה - 4 כר'</v>
      </c>
    </row>
    <row r="12701" spans="1:6" x14ac:dyDescent="0.2">
      <c r="A12701" t="s">
        <v>21625</v>
      </c>
      <c r="B12701" t="s">
        <v>8298</v>
      </c>
      <c r="C12701" t="s">
        <v>767</v>
      </c>
      <c r="D12701" t="s">
        <v>21</v>
      </c>
      <c r="E12701" t="s">
        <v>148</v>
      </c>
      <c r="F12701" s="2" t="str">
        <f>HYPERLINK("http://www.otzar.org/book.asp?603942","ואני תפלה - 2 כר'")</f>
        <v>ואני תפלה - 2 כר'</v>
      </c>
    </row>
    <row r="12702" spans="1:6" x14ac:dyDescent="0.2">
      <c r="A12702" t="s">
        <v>21626</v>
      </c>
      <c r="B12702" t="s">
        <v>1393</v>
      </c>
      <c r="C12702" t="s">
        <v>17</v>
      </c>
      <c r="D12702" t="s">
        <v>367</v>
      </c>
      <c r="E12702" t="s">
        <v>219</v>
      </c>
      <c r="F12702" s="2" t="str">
        <f>HYPERLINK("http://www.otzar.org/book.asp?159710","ואני תפלה")</f>
        <v>ואני תפלה</v>
      </c>
    </row>
    <row r="12703" spans="1:6" x14ac:dyDescent="0.2">
      <c r="A12703" t="s">
        <v>21627</v>
      </c>
      <c r="B12703" t="s">
        <v>9094</v>
      </c>
      <c r="C12703" t="s">
        <v>143</v>
      </c>
      <c r="D12703" t="s">
        <v>52</v>
      </c>
      <c r="E12703" t="s">
        <v>674</v>
      </c>
      <c r="F12703" s="2" t="str">
        <f>HYPERLINK("http://www.otzar.org/book.asp?22628","ואני תפלתי - א")</f>
        <v>ואני תפלתי - א</v>
      </c>
    </row>
    <row r="12704" spans="1:6" x14ac:dyDescent="0.2">
      <c r="A12704" t="s">
        <v>21627</v>
      </c>
      <c r="B12704" t="s">
        <v>3623</v>
      </c>
      <c r="C12704" t="s">
        <v>103</v>
      </c>
      <c r="D12704" t="s">
        <v>3560</v>
      </c>
      <c r="E12704" t="s">
        <v>714</v>
      </c>
      <c r="F12704" s="2" t="str">
        <f>HYPERLINK("http://www.otzar.org/book.asp?50723","ואני תפלתי - א")</f>
        <v>ואני תפלתי - א</v>
      </c>
    </row>
    <row r="12705" spans="1:6" x14ac:dyDescent="0.2">
      <c r="A12705" t="s">
        <v>21628</v>
      </c>
      <c r="B12705" t="s">
        <v>9358</v>
      </c>
      <c r="C12705" t="s">
        <v>3106</v>
      </c>
      <c r="D12705" t="s">
        <v>216</v>
      </c>
      <c r="F12705" s="2" t="str">
        <f>HYPERLINK("http://www.otzar.org/book.asp?615244","וארשה - אנציקלופדיה של גלויות - א")</f>
        <v>וארשה - אנציקלופדיה של גלויות - א</v>
      </c>
    </row>
    <row r="12706" spans="1:6" x14ac:dyDescent="0.2">
      <c r="A12706" t="s">
        <v>21629</v>
      </c>
      <c r="B12706" t="s">
        <v>21630</v>
      </c>
      <c r="C12706" t="s">
        <v>111</v>
      </c>
      <c r="D12706" t="s">
        <v>14</v>
      </c>
      <c r="E12706" t="s">
        <v>15</v>
      </c>
      <c r="F12706" s="2" t="str">
        <f>HYPERLINK("http://www.otzar.org/book.asp?619915","ואשיבה דברי")</f>
        <v>ואשיבה דברי</v>
      </c>
    </row>
    <row r="12707" spans="1:6" x14ac:dyDescent="0.2">
      <c r="A12707" t="s">
        <v>21631</v>
      </c>
      <c r="B12707" t="s">
        <v>21632</v>
      </c>
      <c r="C12707" t="s">
        <v>129</v>
      </c>
      <c r="D12707" t="s">
        <v>14</v>
      </c>
      <c r="E12707" t="s">
        <v>186</v>
      </c>
      <c r="F12707" s="2" t="str">
        <f>HYPERLINK("http://www.otzar.org/book.asp?163696","ואשיחה בחוקיך - 2 כר'")</f>
        <v>ואשיחה בחוקיך - 2 כר'</v>
      </c>
    </row>
    <row r="12708" spans="1:6" x14ac:dyDescent="0.2">
      <c r="A12708" t="s">
        <v>21633</v>
      </c>
      <c r="B12708" t="s">
        <v>2663</v>
      </c>
      <c r="C12708" t="s">
        <v>20</v>
      </c>
      <c r="E12708" t="s">
        <v>202</v>
      </c>
      <c r="F12708" s="2" t="str">
        <f>HYPERLINK("http://www.otzar.org/book.asp?193874","ואשיחה בחוקיך")</f>
        <v>ואשיחה בחוקיך</v>
      </c>
    </row>
    <row r="12709" spans="1:6" x14ac:dyDescent="0.2">
      <c r="A12709" t="s">
        <v>21634</v>
      </c>
      <c r="B12709" t="s">
        <v>8148</v>
      </c>
      <c r="C12709" t="s">
        <v>411</v>
      </c>
      <c r="D12709" t="s">
        <v>134</v>
      </c>
      <c r="E12709" t="s">
        <v>4455</v>
      </c>
      <c r="F12709" s="2" t="str">
        <f>HYPERLINK("http://www.otzar.org/book.asp?165074","ואשפוך נפשי")</f>
        <v>ואשפוך נפשי</v>
      </c>
    </row>
    <row r="12710" spans="1:6" x14ac:dyDescent="0.2">
      <c r="A12710" t="s">
        <v>21635</v>
      </c>
      <c r="B12710" t="s">
        <v>21636</v>
      </c>
      <c r="C12710" t="s">
        <v>103</v>
      </c>
      <c r="D12710" t="s">
        <v>14</v>
      </c>
      <c r="E12710" t="s">
        <v>104</v>
      </c>
      <c r="F12710" s="2" t="str">
        <f>HYPERLINK("http://www.otzar.org/book.asp?162079","ואשר תבאנה יגידו")</f>
        <v>ואשר תבאנה יגידו</v>
      </c>
    </row>
    <row r="12711" spans="1:6" x14ac:dyDescent="0.2">
      <c r="A12711" t="s">
        <v>21637</v>
      </c>
      <c r="B12711" t="s">
        <v>21638</v>
      </c>
      <c r="C12711" t="s">
        <v>68</v>
      </c>
      <c r="D12711" t="s">
        <v>21</v>
      </c>
      <c r="E12711" t="s">
        <v>144</v>
      </c>
      <c r="F12711" s="2" t="str">
        <f>HYPERLINK("http://www.otzar.org/book.asp?197553","ואת הבנים תקח לך")</f>
        <v>ואת הבנים תקח לך</v>
      </c>
    </row>
    <row r="12712" spans="1:6" x14ac:dyDescent="0.2">
      <c r="A12712" t="s">
        <v>21639</v>
      </c>
      <c r="B12712" t="s">
        <v>21640</v>
      </c>
      <c r="C12712" t="s">
        <v>20</v>
      </c>
      <c r="D12712" t="s">
        <v>52</v>
      </c>
      <c r="E12712" t="s">
        <v>674</v>
      </c>
      <c r="F12712" s="2" t="str">
        <f>HYPERLINK("http://www.otzar.org/book.asp?155240","ואת הנחלים ארנון - 2 כר'")</f>
        <v>ואת הנחלים ארנון - 2 כר'</v>
      </c>
    </row>
    <row r="12713" spans="1:6" x14ac:dyDescent="0.2">
      <c r="A12713" t="s">
        <v>21641</v>
      </c>
      <c r="B12713" t="s">
        <v>21642</v>
      </c>
      <c r="C12713" t="s">
        <v>189</v>
      </c>
      <c r="D12713" t="s">
        <v>21</v>
      </c>
      <c r="E12713" t="s">
        <v>104</v>
      </c>
      <c r="F12713" s="2" t="str">
        <f>HYPERLINK("http://www.otzar.org/book.asp?602090","ואת עלית על כולנה - נשים בתנ""ך")</f>
        <v>ואת עלית על כולנה - נשים בתנ"ך</v>
      </c>
    </row>
    <row r="12714" spans="1:6" x14ac:dyDescent="0.2">
      <c r="A12714" t="s">
        <v>21643</v>
      </c>
      <c r="B12714" t="s">
        <v>8194</v>
      </c>
      <c r="C12714" t="s">
        <v>411</v>
      </c>
      <c r="D12714" t="s">
        <v>367</v>
      </c>
      <c r="F12714" s="2" t="str">
        <f>HYPERLINK("http://www.otzar.org/book.asp?627299","ואת צנועים חכמה")</f>
        <v>ואת צנועים חכמה</v>
      </c>
    </row>
    <row r="12715" spans="1:6" x14ac:dyDescent="0.2">
      <c r="A12715" t="s">
        <v>21644</v>
      </c>
      <c r="B12715" t="s">
        <v>21645</v>
      </c>
      <c r="C12715" t="s">
        <v>21646</v>
      </c>
      <c r="D12715" t="s">
        <v>14</v>
      </c>
      <c r="E12715" t="s">
        <v>104</v>
      </c>
      <c r="F12715" s="2" t="str">
        <f>HYPERLINK("http://www.otzar.org/book.asp?167798","ואת רוחי אתן בקרבכם")</f>
        <v>ואת רוחי אתן בקרבכם</v>
      </c>
    </row>
    <row r="12716" spans="1:6" x14ac:dyDescent="0.2">
      <c r="A12716" t="s">
        <v>21647</v>
      </c>
      <c r="B12716" t="s">
        <v>21648</v>
      </c>
      <c r="C12716" t="s">
        <v>46</v>
      </c>
      <c r="D12716" t="s">
        <v>27</v>
      </c>
      <c r="F12716" s="2" t="str">
        <f>HYPERLINK("http://www.otzar.org/book.asp?182861","ואתה את בריתי תשמור")</f>
        <v>ואתה את בריתי תשמור</v>
      </c>
    </row>
    <row r="12717" spans="1:6" x14ac:dyDescent="0.2">
      <c r="A12717" t="s">
        <v>21649</v>
      </c>
      <c r="B12717" t="s">
        <v>21650</v>
      </c>
      <c r="C12717" t="s">
        <v>1268</v>
      </c>
      <c r="D12717" t="s">
        <v>14</v>
      </c>
      <c r="E12717" t="s">
        <v>213</v>
      </c>
      <c r="F12717" s="2" t="str">
        <f>HYPERLINK("http://www.otzar.org/book.asp?22867","ואתה את בריתי תשמר")</f>
        <v>ואתה את בריתי תשמר</v>
      </c>
    </row>
    <row r="12718" spans="1:6" x14ac:dyDescent="0.2">
      <c r="A12718" t="s">
        <v>21651</v>
      </c>
      <c r="B12718" t="s">
        <v>21652</v>
      </c>
      <c r="C12718" t="s">
        <v>383</v>
      </c>
      <c r="D12718" t="s">
        <v>412</v>
      </c>
      <c r="E12718" t="s">
        <v>714</v>
      </c>
      <c r="F12718" s="2" t="str">
        <f>HYPERLINK("http://www.otzar.org/book.asp?63719","ואתה ברחמיך הרבים")</f>
        <v>ואתה ברחמיך הרבים</v>
      </c>
    </row>
    <row r="12719" spans="1:6" x14ac:dyDescent="0.2">
      <c r="A12719" t="s">
        <v>21653</v>
      </c>
      <c r="B12719" t="s">
        <v>7620</v>
      </c>
      <c r="C12719" t="s">
        <v>176</v>
      </c>
      <c r="D12719" t="s">
        <v>52</v>
      </c>
      <c r="E12719" t="s">
        <v>241</v>
      </c>
      <c r="F12719" s="2" t="str">
        <f>HYPERLINK("http://www.otzar.org/book.asp?23163","ואתה קדוש")</f>
        <v>ואתה קדוש</v>
      </c>
    </row>
    <row r="12720" spans="1:6" x14ac:dyDescent="0.2">
      <c r="A12720" t="s">
        <v>21654</v>
      </c>
      <c r="B12720" t="s">
        <v>21655</v>
      </c>
      <c r="C12720" t="s">
        <v>313</v>
      </c>
      <c r="D12720" t="s">
        <v>14</v>
      </c>
      <c r="E12720" t="s">
        <v>158</v>
      </c>
      <c r="F12720" s="2" t="str">
        <f>HYPERLINK("http://www.otzar.org/book.asp?60487","ואתה תחזה - 4 כר'")</f>
        <v>ואתה תחזה - 4 כר'</v>
      </c>
    </row>
    <row r="12721" spans="1:6" x14ac:dyDescent="0.2">
      <c r="A12721" t="s">
        <v>21656</v>
      </c>
      <c r="B12721" t="s">
        <v>107</v>
      </c>
      <c r="C12721" t="s">
        <v>176</v>
      </c>
      <c r="D12721" t="s">
        <v>14</v>
      </c>
      <c r="E12721" t="s">
        <v>15</v>
      </c>
      <c r="F12721" s="2" t="str">
        <f>HYPERLINK("http://www.otzar.org/book.asp?84012","ואתם עדי")</f>
        <v>ואתם עדי</v>
      </c>
    </row>
    <row r="12722" spans="1:6" x14ac:dyDescent="0.2">
      <c r="A12722" t="s">
        <v>21657</v>
      </c>
      <c r="B12722" t="s">
        <v>12044</v>
      </c>
      <c r="C12722" t="s">
        <v>68</v>
      </c>
      <c r="D12722" t="s">
        <v>486</v>
      </c>
      <c r="E12722" t="s">
        <v>172</v>
      </c>
      <c r="F12722" s="2" t="str">
        <f>HYPERLINK("http://www.otzar.org/book.asp?175882","ואתפלל כדת")</f>
        <v>ואתפלל כדת</v>
      </c>
    </row>
    <row r="12723" spans="1:6" x14ac:dyDescent="0.2">
      <c r="A12723" t="s">
        <v>21658</v>
      </c>
      <c r="B12723" t="s">
        <v>21659</v>
      </c>
      <c r="D12723" t="s">
        <v>1273</v>
      </c>
      <c r="E12723" t="s">
        <v>172</v>
      </c>
      <c r="F12723" s="2" t="str">
        <f>HYPERLINK("http://www.otzar.org/book.asp?603841","ובא הכהן - נדה")</f>
        <v>ובא הכהן - נדה</v>
      </c>
    </row>
    <row r="12724" spans="1:6" x14ac:dyDescent="0.2">
      <c r="A12724" t="s">
        <v>21660</v>
      </c>
      <c r="B12724" t="s">
        <v>21661</v>
      </c>
      <c r="C12724" t="s">
        <v>334</v>
      </c>
      <c r="D12724" t="s">
        <v>14</v>
      </c>
      <c r="E12724" t="s">
        <v>467</v>
      </c>
      <c r="F12724" s="2" t="str">
        <f>HYPERLINK("http://www.otzar.org/book.asp?144884","ובא הלוי - 2 כר'")</f>
        <v>ובא הלוי - 2 כר'</v>
      </c>
    </row>
    <row r="12725" spans="1:6" x14ac:dyDescent="0.2">
      <c r="A12725" t="s">
        <v>21662</v>
      </c>
      <c r="B12725" t="s">
        <v>21663</v>
      </c>
      <c r="C12725" t="s">
        <v>146</v>
      </c>
      <c r="D12725" t="s">
        <v>412</v>
      </c>
      <c r="E12725" t="s">
        <v>119</v>
      </c>
      <c r="F12725" s="2" t="str">
        <f>HYPERLINK("http://www.otzar.org/book.asp?157759","ובא השמש")</f>
        <v>ובא השמש</v>
      </c>
    </row>
    <row r="12726" spans="1:6" x14ac:dyDescent="0.2">
      <c r="A12726" t="s">
        <v>21664</v>
      </c>
      <c r="B12726" t="s">
        <v>21665</v>
      </c>
      <c r="C12726" t="s">
        <v>422</v>
      </c>
      <c r="D12726" t="s">
        <v>657</v>
      </c>
      <c r="E12726" t="s">
        <v>104</v>
      </c>
      <c r="F12726" s="2" t="str">
        <f>HYPERLINK("http://www.otzar.org/book.asp?85503","ובא לציון גואל")</f>
        <v>ובא לציון גואל</v>
      </c>
    </row>
    <row r="12727" spans="1:6" x14ac:dyDescent="0.2">
      <c r="A12727" t="s">
        <v>21666</v>
      </c>
      <c r="B12727" t="s">
        <v>21667</v>
      </c>
      <c r="C12727" t="s">
        <v>366</v>
      </c>
      <c r="D12727" t="s">
        <v>486</v>
      </c>
      <c r="E12727" t="s">
        <v>202</v>
      </c>
      <c r="F12727" s="2" t="str">
        <f>HYPERLINK("http://www.otzar.org/book.asp?619276","ובהם נהגה יום ולילה")</f>
        <v>ובהם נהגה יום ולילה</v>
      </c>
    </row>
    <row r="12728" spans="1:6" x14ac:dyDescent="0.2">
      <c r="A12728" t="s">
        <v>21668</v>
      </c>
      <c r="B12728" t="s">
        <v>21669</v>
      </c>
      <c r="C12728" t="s">
        <v>21670</v>
      </c>
      <c r="D12728" t="s">
        <v>14</v>
      </c>
      <c r="E12728" t="s">
        <v>1174</v>
      </c>
      <c r="F12728" s="2" t="str">
        <f>HYPERLINK("http://www.otzar.org/book.asp?163703","ובהם נהגה")</f>
        <v>ובהם נהגה</v>
      </c>
    </row>
    <row r="12729" spans="1:6" x14ac:dyDescent="0.2">
      <c r="A12729" t="s">
        <v>21671</v>
      </c>
      <c r="B12729" t="s">
        <v>21672</v>
      </c>
      <c r="C12729" t="s">
        <v>151</v>
      </c>
      <c r="D12729" t="s">
        <v>52</v>
      </c>
      <c r="F12729" s="2" t="str">
        <f>HYPERLINK("http://www.otzar.org/book.asp?612469","ובהם נהגה - ז")</f>
        <v>ובהם נהגה - ז</v>
      </c>
    </row>
    <row r="12730" spans="1:6" x14ac:dyDescent="0.2">
      <c r="A12730" t="s">
        <v>21673</v>
      </c>
      <c r="B12730" t="s">
        <v>206</v>
      </c>
      <c r="C12730" t="s">
        <v>133</v>
      </c>
      <c r="D12730" t="s">
        <v>90</v>
      </c>
      <c r="F12730" s="2" t="str">
        <f>HYPERLINK("http://www.otzar.org/book.asp?609966","ובו תדבק")</f>
        <v>ובו תדבק</v>
      </c>
    </row>
    <row r="12731" spans="1:6" x14ac:dyDescent="0.2">
      <c r="A12731" t="s">
        <v>21674</v>
      </c>
      <c r="B12731" t="s">
        <v>21675</v>
      </c>
      <c r="C12731" t="s">
        <v>13</v>
      </c>
      <c r="D12731" t="s">
        <v>412</v>
      </c>
      <c r="E12731" t="s">
        <v>15</v>
      </c>
      <c r="F12731" s="2" t="str">
        <f>HYPERLINK("http://www.otzar.org/book.asp?625754","ובחקתיהם לא תלכו")</f>
        <v>ובחקתיהם לא תלכו</v>
      </c>
    </row>
    <row r="12732" spans="1:6" x14ac:dyDescent="0.2">
      <c r="A12732" t="s">
        <v>21676</v>
      </c>
      <c r="B12732" t="s">
        <v>1631</v>
      </c>
      <c r="C12732" t="s">
        <v>366</v>
      </c>
      <c r="D12732" t="s">
        <v>1632</v>
      </c>
      <c r="F12732" s="2" t="str">
        <f>HYPERLINK("http://www.otzar.org/book.asp?609048","ובחרת בחיים")</f>
        <v>ובחרת בחיים</v>
      </c>
    </row>
    <row r="12733" spans="1:6" x14ac:dyDescent="0.2">
      <c r="A12733" t="s">
        <v>21676</v>
      </c>
      <c r="B12733" t="s">
        <v>206</v>
      </c>
      <c r="C12733" t="s">
        <v>111</v>
      </c>
      <c r="D12733" t="s">
        <v>20</v>
      </c>
      <c r="E12733" t="s">
        <v>104</v>
      </c>
      <c r="F12733" s="2" t="str">
        <f>HYPERLINK("http://www.otzar.org/book.asp?627129","ובחרת בחיים")</f>
        <v>ובחרת בחיים</v>
      </c>
    </row>
    <row r="12734" spans="1:6" x14ac:dyDescent="0.2">
      <c r="A12734" t="s">
        <v>21676</v>
      </c>
      <c r="B12734" t="s">
        <v>21677</v>
      </c>
      <c r="C12734" t="s">
        <v>422</v>
      </c>
      <c r="D12734" t="s">
        <v>14591</v>
      </c>
      <c r="E12734" t="s">
        <v>241</v>
      </c>
      <c r="F12734" s="2" t="str">
        <f>HYPERLINK("http://www.otzar.org/book.asp?193068","ובחרת בחיים")</f>
        <v>ובחרת בחיים</v>
      </c>
    </row>
    <row r="12735" spans="1:6" x14ac:dyDescent="0.2">
      <c r="A12735" t="s">
        <v>21676</v>
      </c>
      <c r="B12735" t="s">
        <v>21678</v>
      </c>
      <c r="C12735" t="s">
        <v>533</v>
      </c>
      <c r="D12735" t="s">
        <v>14</v>
      </c>
      <c r="E12735" t="s">
        <v>241</v>
      </c>
      <c r="F12735" s="2" t="str">
        <f>HYPERLINK("http://www.otzar.org/book.asp?160021","ובחרת בחיים")</f>
        <v>ובחרת בחיים</v>
      </c>
    </row>
    <row r="12736" spans="1:6" x14ac:dyDescent="0.2">
      <c r="A12736" t="s">
        <v>21676</v>
      </c>
      <c r="B12736" t="s">
        <v>21679</v>
      </c>
      <c r="C12736" t="s">
        <v>21680</v>
      </c>
      <c r="D12736" t="s">
        <v>21681</v>
      </c>
      <c r="E12736" t="s">
        <v>714</v>
      </c>
      <c r="F12736" s="2" t="str">
        <f>HYPERLINK("http://www.otzar.org/book.asp?618970","ובחרת בחיים")</f>
        <v>ובחרת בחיים</v>
      </c>
    </row>
    <row r="12737" spans="1:6" x14ac:dyDescent="0.2">
      <c r="A12737" t="s">
        <v>21682</v>
      </c>
      <c r="B12737" t="s">
        <v>21683</v>
      </c>
      <c r="C12737" t="s">
        <v>37</v>
      </c>
      <c r="D12737" t="s">
        <v>139</v>
      </c>
      <c r="E12737" t="s">
        <v>158</v>
      </c>
      <c r="F12737" s="2" t="str">
        <f>HYPERLINK("http://www.otzar.org/book.asp?602901","ובחרת בחיים - 2 כר'")</f>
        <v>ובחרת בחיים - 2 כר'</v>
      </c>
    </row>
    <row r="12738" spans="1:6" x14ac:dyDescent="0.2">
      <c r="A12738" t="s">
        <v>21676</v>
      </c>
      <c r="B12738" t="s">
        <v>21684</v>
      </c>
      <c r="C12738" t="s">
        <v>23</v>
      </c>
      <c r="D12738" t="s">
        <v>52</v>
      </c>
      <c r="E12738" t="s">
        <v>104</v>
      </c>
      <c r="F12738" s="2" t="str">
        <f>HYPERLINK("http://www.otzar.org/book.asp?626052","ובחרת בחיים")</f>
        <v>ובחרת בחיים</v>
      </c>
    </row>
    <row r="12739" spans="1:6" x14ac:dyDescent="0.2">
      <c r="A12739" t="s">
        <v>21676</v>
      </c>
      <c r="B12739" t="s">
        <v>155</v>
      </c>
      <c r="C12739" t="s">
        <v>603</v>
      </c>
      <c r="D12739" t="s">
        <v>157</v>
      </c>
      <c r="E12739" t="s">
        <v>474</v>
      </c>
      <c r="F12739" s="2" t="str">
        <f>HYPERLINK("http://www.otzar.org/book.asp?14112","ובחרת בחיים")</f>
        <v>ובחרת בחיים</v>
      </c>
    </row>
    <row r="12740" spans="1:6" x14ac:dyDescent="0.2">
      <c r="A12740" t="s">
        <v>21676</v>
      </c>
      <c r="B12740" t="s">
        <v>305</v>
      </c>
      <c r="C12740" t="s">
        <v>908</v>
      </c>
      <c r="D12740" t="s">
        <v>1459</v>
      </c>
      <c r="E12740" t="s">
        <v>154</v>
      </c>
      <c r="F12740" s="2" t="str">
        <f>HYPERLINK("http://www.otzar.org/book.asp?792","ובחרת בחיים")</f>
        <v>ובחרת בחיים</v>
      </c>
    </row>
    <row r="12741" spans="1:6" x14ac:dyDescent="0.2">
      <c r="A12741" t="s">
        <v>21676</v>
      </c>
      <c r="B12741" t="s">
        <v>10750</v>
      </c>
      <c r="C12741" t="s">
        <v>23</v>
      </c>
      <c r="D12741" t="s">
        <v>412</v>
      </c>
      <c r="E12741" t="s">
        <v>241</v>
      </c>
      <c r="F12741" s="2" t="str">
        <f>HYPERLINK("http://www.otzar.org/book.asp?621438","ובחרת בחיים")</f>
        <v>ובחרת בחיים</v>
      </c>
    </row>
    <row r="12742" spans="1:6" x14ac:dyDescent="0.2">
      <c r="A12742" t="s">
        <v>21685</v>
      </c>
      <c r="B12742" t="s">
        <v>15736</v>
      </c>
      <c r="C12742" t="s">
        <v>133</v>
      </c>
      <c r="D12742" t="s">
        <v>52</v>
      </c>
      <c r="E12742" t="s">
        <v>130</v>
      </c>
      <c r="F12742" s="2" t="str">
        <f>HYPERLINK("http://www.otzar.org/book.asp?173963","וביום השבת - 2 כר'")</f>
        <v>וביום השבת - 2 כר'</v>
      </c>
    </row>
    <row r="12743" spans="1:6" x14ac:dyDescent="0.2">
      <c r="A12743" t="s">
        <v>21686</v>
      </c>
      <c r="B12743" t="s">
        <v>8227</v>
      </c>
      <c r="C12743" t="s">
        <v>422</v>
      </c>
      <c r="D12743" t="s">
        <v>14</v>
      </c>
      <c r="E12743" t="s">
        <v>158</v>
      </c>
      <c r="F12743" s="2" t="str">
        <f>HYPERLINK("http://www.otzar.org/book.asp?153235","וביום שמחתכם")</f>
        <v>וביום שמחתכם</v>
      </c>
    </row>
    <row r="12744" spans="1:6" x14ac:dyDescent="0.2">
      <c r="A12744" t="s">
        <v>21687</v>
      </c>
      <c r="B12744" t="s">
        <v>552</v>
      </c>
      <c r="C12744" t="s">
        <v>129</v>
      </c>
      <c r="D12744" t="s">
        <v>14</v>
      </c>
      <c r="E12744" t="s">
        <v>202</v>
      </c>
      <c r="F12744" s="2" t="str">
        <f>HYPERLINK("http://www.otzar.org/book.asp?163560","ובכל נפשך")</f>
        <v>ובכל נפשך</v>
      </c>
    </row>
    <row r="12745" spans="1:6" x14ac:dyDescent="0.2">
      <c r="A12745" t="s">
        <v>21688</v>
      </c>
      <c r="B12745" t="s">
        <v>3286</v>
      </c>
      <c r="C12745" t="s">
        <v>422</v>
      </c>
      <c r="D12745" t="s">
        <v>52</v>
      </c>
      <c r="E12745" t="s">
        <v>130</v>
      </c>
      <c r="F12745" s="2" t="str">
        <f>HYPERLINK("http://www.otzar.org/book.asp?168215","ובכן צדיקים")</f>
        <v>ובכן צדיקים</v>
      </c>
    </row>
    <row r="12746" spans="1:6" x14ac:dyDescent="0.2">
      <c r="A12746" t="s">
        <v>21689</v>
      </c>
      <c r="B12746" t="s">
        <v>4719</v>
      </c>
      <c r="C12746" t="s">
        <v>90</v>
      </c>
      <c r="D12746" t="s">
        <v>111</v>
      </c>
      <c r="E12746" t="s">
        <v>15</v>
      </c>
      <c r="F12746" s="2" t="str">
        <f>HYPERLINK("http://www.otzar.org/book.asp?627910","ובלכתך בדרך")</f>
        <v>ובלכתך בדרך</v>
      </c>
    </row>
    <row r="12747" spans="1:6" x14ac:dyDescent="0.2">
      <c r="A12747" t="s">
        <v>21689</v>
      </c>
      <c r="B12747" t="s">
        <v>21690</v>
      </c>
      <c r="C12747" t="s">
        <v>17</v>
      </c>
      <c r="D12747" t="s">
        <v>14</v>
      </c>
      <c r="E12747" t="s">
        <v>15</v>
      </c>
      <c r="F12747" s="2" t="str">
        <f>HYPERLINK("http://www.otzar.org/book.asp?143669","ובלכתך בדרך")</f>
        <v>ובלכתך בדרך</v>
      </c>
    </row>
    <row r="12748" spans="1:6" x14ac:dyDescent="0.2">
      <c r="A12748" t="s">
        <v>21691</v>
      </c>
      <c r="B12748" t="s">
        <v>21692</v>
      </c>
      <c r="C12748" t="s">
        <v>151</v>
      </c>
      <c r="D12748" t="s">
        <v>21693</v>
      </c>
      <c r="F12748" s="2" t="str">
        <f>HYPERLINK("http://www.otzar.org/book.asp?617735","ובמשה עבדו")</f>
        <v>ובמשה עבדו</v>
      </c>
    </row>
    <row r="12749" spans="1:6" x14ac:dyDescent="0.2">
      <c r="A12749" t="s">
        <v>21694</v>
      </c>
      <c r="B12749" t="s">
        <v>21695</v>
      </c>
      <c r="C12749" t="s">
        <v>411</v>
      </c>
      <c r="D12749" t="s">
        <v>21696</v>
      </c>
      <c r="E12749" t="s">
        <v>144</v>
      </c>
      <c r="F12749" s="2" t="str">
        <f>HYPERLINK("http://www.otzar.org/book.asp?167902","ובמשפטי ילכו")</f>
        <v>ובמשפטי ילכו</v>
      </c>
    </row>
    <row r="12750" spans="1:6" x14ac:dyDescent="0.2">
      <c r="A12750" t="s">
        <v>21697</v>
      </c>
      <c r="B12750" t="s">
        <v>21698</v>
      </c>
      <c r="C12750" t="s">
        <v>13</v>
      </c>
      <c r="D12750" t="s">
        <v>646</v>
      </c>
      <c r="F12750" s="2" t="str">
        <f>HYPERLINK("http://www.otzar.org/book.asp?153285","ובני ציון יגילו במלכם - 4 כר'")</f>
        <v>ובני ציון יגילו במלכם - 4 כר'</v>
      </c>
    </row>
    <row r="12751" spans="1:6" x14ac:dyDescent="0.2">
      <c r="A12751" t="s">
        <v>21699</v>
      </c>
      <c r="B12751" t="s">
        <v>21700</v>
      </c>
      <c r="C12751" t="s">
        <v>23</v>
      </c>
      <c r="D12751" t="s">
        <v>216</v>
      </c>
      <c r="E12751" t="s">
        <v>158</v>
      </c>
      <c r="F12751" s="2" t="str">
        <f>HYPERLINK("http://www.otzar.org/book.asp?191896","ובקש חכמה - קהלת")</f>
        <v>ובקש חכמה - קהלת</v>
      </c>
    </row>
    <row r="12752" spans="1:6" x14ac:dyDescent="0.2">
      <c r="A12752" t="s">
        <v>21701</v>
      </c>
      <c r="B12752" t="s">
        <v>8998</v>
      </c>
      <c r="C12752" t="s">
        <v>23</v>
      </c>
      <c r="D12752" t="s">
        <v>52</v>
      </c>
      <c r="E12752" t="s">
        <v>15</v>
      </c>
      <c r="F12752" s="2" t="str">
        <f>HYPERLINK("http://www.otzar.org/book.asp?623294","ובראשי חדשיכם")</f>
        <v>ובראשי חדשיכם</v>
      </c>
    </row>
    <row r="12753" spans="1:6" x14ac:dyDescent="0.2">
      <c r="A12753" t="s">
        <v>21702</v>
      </c>
      <c r="B12753" t="s">
        <v>21703</v>
      </c>
      <c r="C12753" t="s">
        <v>103</v>
      </c>
      <c r="D12753" t="s">
        <v>14</v>
      </c>
      <c r="E12753" t="s">
        <v>219</v>
      </c>
      <c r="F12753" s="2" t="str">
        <f>HYPERLINK("http://www.otzar.org/book.asp?603039","וברכת")</f>
        <v>וברכת</v>
      </c>
    </row>
    <row r="12754" spans="1:6" x14ac:dyDescent="0.2">
      <c r="A12754" t="s">
        <v>21702</v>
      </c>
      <c r="B12754" t="s">
        <v>107</v>
      </c>
      <c r="C12754" t="s">
        <v>313</v>
      </c>
      <c r="D12754" t="s">
        <v>14</v>
      </c>
      <c r="E12754" t="s">
        <v>7486</v>
      </c>
      <c r="F12754" s="2" t="str">
        <f>HYPERLINK("http://www.otzar.org/book.asp?6344","וברכת")</f>
        <v>וברכת</v>
      </c>
    </row>
    <row r="12755" spans="1:6" x14ac:dyDescent="0.2">
      <c r="A12755" t="s">
        <v>21704</v>
      </c>
      <c r="B12755" t="s">
        <v>1681</v>
      </c>
      <c r="C12755" t="s">
        <v>17</v>
      </c>
      <c r="D12755" t="s">
        <v>52</v>
      </c>
      <c r="E12755" t="s">
        <v>21705</v>
      </c>
      <c r="F12755" s="2" t="str">
        <f>HYPERLINK("http://www.otzar.org/book.asp?24379","ובשנה החמישית - א ב")</f>
        <v>ובשנה החמישית - א ב</v>
      </c>
    </row>
    <row r="12756" spans="1:6" x14ac:dyDescent="0.2">
      <c r="A12756" t="s">
        <v>21706</v>
      </c>
      <c r="B12756" t="s">
        <v>1681</v>
      </c>
      <c r="C12756" t="s">
        <v>313</v>
      </c>
      <c r="D12756" t="s">
        <v>52</v>
      </c>
      <c r="E12756" t="s">
        <v>15</v>
      </c>
      <c r="F12756" s="2" t="str">
        <f>HYPERLINK("http://www.otzar.org/book.asp?617077","ובשנה הרביעית - 2 כר'")</f>
        <v>ובשנה הרביעית - 2 כר'</v>
      </c>
    </row>
    <row r="12757" spans="1:6" x14ac:dyDescent="0.2">
      <c r="A12757" t="s">
        <v>21707</v>
      </c>
      <c r="B12757" t="s">
        <v>21708</v>
      </c>
      <c r="C12757" t="s">
        <v>624</v>
      </c>
      <c r="D12757" t="s">
        <v>657</v>
      </c>
      <c r="E12757" t="s">
        <v>15</v>
      </c>
      <c r="F12757" s="2" t="str">
        <f>HYPERLINK("http://www.otzar.org/book.asp?108180","ובשנה הרביעית")</f>
        <v>ובשנה הרביעית</v>
      </c>
    </row>
    <row r="12758" spans="1:6" x14ac:dyDescent="0.2">
      <c r="A12758" t="s">
        <v>21709</v>
      </c>
      <c r="B12758" t="s">
        <v>21710</v>
      </c>
      <c r="C12758" t="s">
        <v>151</v>
      </c>
      <c r="D12758" t="s">
        <v>14919</v>
      </c>
      <c r="E12758" t="s">
        <v>3567</v>
      </c>
      <c r="F12758" s="2" t="str">
        <f>HYPERLINK("http://www.otzar.org/book.asp?628661","ובשנה השביעית")</f>
        <v>ובשנה השביעית</v>
      </c>
    </row>
    <row r="12759" spans="1:6" x14ac:dyDescent="0.2">
      <c r="A12759" t="s">
        <v>21711</v>
      </c>
      <c r="B12759" t="s">
        <v>3145</v>
      </c>
      <c r="C12759" t="s">
        <v>23</v>
      </c>
      <c r="D12759" t="s">
        <v>52</v>
      </c>
      <c r="E12759" t="s">
        <v>158</v>
      </c>
      <c r="F12759" s="2" t="str">
        <f>HYPERLINK("http://www.otzar.org/book.asp?183132","וגבורתיך יגידו")</f>
        <v>וגבורתיך יגידו</v>
      </c>
    </row>
    <row r="12760" spans="1:6" x14ac:dyDescent="0.2">
      <c r="A12760" t="s">
        <v>21712</v>
      </c>
      <c r="B12760" t="s">
        <v>21712</v>
      </c>
      <c r="C12760" t="s">
        <v>17</v>
      </c>
      <c r="D12760" t="s">
        <v>52</v>
      </c>
      <c r="E12760" t="s">
        <v>3291</v>
      </c>
      <c r="F12760" s="2" t="str">
        <f>HYPERLINK("http://www.otzar.org/book.asp?25965","וגילו צדיקים")</f>
        <v>וגילו צדיקים</v>
      </c>
    </row>
    <row r="12761" spans="1:6" x14ac:dyDescent="0.2">
      <c r="A12761" t="s">
        <v>21713</v>
      </c>
      <c r="B12761" t="s">
        <v>15874</v>
      </c>
      <c r="C12761" t="s">
        <v>20</v>
      </c>
      <c r="D12761" t="s">
        <v>14</v>
      </c>
      <c r="F12761" s="2" t="str">
        <f>HYPERLINK("http://www.otzar.org/book.asp?612186","וגם את הגוי - דן")</f>
        <v>וגם את הגוי - דן</v>
      </c>
    </row>
    <row r="12762" spans="1:6" x14ac:dyDescent="0.2">
      <c r="A12762" t="s">
        <v>21714</v>
      </c>
      <c r="B12762" t="s">
        <v>552</v>
      </c>
      <c r="C12762" t="s">
        <v>189</v>
      </c>
      <c r="D12762" t="s">
        <v>2196</v>
      </c>
      <c r="E12762" t="s">
        <v>202</v>
      </c>
      <c r="F12762" s="2" t="str">
        <f>HYPERLINK("http://www.otzar.org/book.asp?85719","וגר זאב")</f>
        <v>וגר זאב</v>
      </c>
    </row>
    <row r="12763" spans="1:6" x14ac:dyDescent="0.2">
      <c r="A12763" t="s">
        <v>21715</v>
      </c>
      <c r="B12763" t="s">
        <v>12463</v>
      </c>
      <c r="C12763" t="s">
        <v>51</v>
      </c>
      <c r="D12763" t="s">
        <v>90</v>
      </c>
      <c r="E12763" t="s">
        <v>230</v>
      </c>
      <c r="F12763" s="2" t="str">
        <f>HYPERLINK("http://www.otzar.org/book.asp?172844","ודבר דבר")</f>
        <v>ודבר דבר</v>
      </c>
    </row>
    <row r="12764" spans="1:6" x14ac:dyDescent="0.2">
      <c r="A12764" t="s">
        <v>21715</v>
      </c>
      <c r="B12764" t="s">
        <v>6807</v>
      </c>
      <c r="C12764" t="s">
        <v>129</v>
      </c>
      <c r="D12764" t="s">
        <v>14</v>
      </c>
      <c r="E12764" t="s">
        <v>15</v>
      </c>
      <c r="F12764" s="2" t="str">
        <f>HYPERLINK("http://www.otzar.org/book.asp?60556","ודבר דבר")</f>
        <v>ודבר דבר</v>
      </c>
    </row>
    <row r="12765" spans="1:6" x14ac:dyDescent="0.2">
      <c r="A12765" t="s">
        <v>21716</v>
      </c>
      <c r="B12765" t="s">
        <v>18985</v>
      </c>
      <c r="C12765" t="s">
        <v>581</v>
      </c>
      <c r="D12765" t="s">
        <v>27</v>
      </c>
      <c r="E12765" t="s">
        <v>154</v>
      </c>
      <c r="F12765" s="2" t="str">
        <f>HYPERLINK("http://www.otzar.org/book.asp?52134","ודבר שלום")</f>
        <v>ודבר שלום</v>
      </c>
    </row>
    <row r="12766" spans="1:6" x14ac:dyDescent="0.2">
      <c r="A12766" t="s">
        <v>21717</v>
      </c>
      <c r="B12766" t="s">
        <v>21718</v>
      </c>
      <c r="C12766" t="s">
        <v>1208</v>
      </c>
      <c r="D12766" t="s">
        <v>14</v>
      </c>
      <c r="E12766" t="s">
        <v>158</v>
      </c>
      <c r="F12766" s="2" t="str">
        <f>HYPERLINK("http://www.otzar.org/book.asp?165899","ודברת ב""ם")</f>
        <v>ודברת ב"ם</v>
      </c>
    </row>
    <row r="12767" spans="1:6" x14ac:dyDescent="0.2">
      <c r="A12767" t="s">
        <v>21719</v>
      </c>
      <c r="B12767" t="s">
        <v>21720</v>
      </c>
      <c r="C12767" t="s">
        <v>17</v>
      </c>
      <c r="D12767" t="s">
        <v>118</v>
      </c>
      <c r="E12767" t="s">
        <v>158</v>
      </c>
      <c r="F12767" s="2" t="str">
        <f>HYPERLINK("http://www.otzar.org/book.asp?156917","ודברת בם - 3 כר'")</f>
        <v>ודברת בם - 3 כר'</v>
      </c>
    </row>
    <row r="12768" spans="1:6" x14ac:dyDescent="0.2">
      <c r="A12768" t="s">
        <v>21721</v>
      </c>
      <c r="B12768" t="s">
        <v>21722</v>
      </c>
      <c r="C12768" t="s">
        <v>51</v>
      </c>
      <c r="D12768" t="s">
        <v>1550</v>
      </c>
      <c r="E12768" t="s">
        <v>144</v>
      </c>
      <c r="F12768" s="2" t="str">
        <f>HYPERLINK("http://www.otzar.org/book.asp?61051","ודברת בם - 8 כר'")</f>
        <v>ודברת בם - 8 כר'</v>
      </c>
    </row>
    <row r="12769" spans="1:6" x14ac:dyDescent="0.2">
      <c r="A12769" t="s">
        <v>21723</v>
      </c>
      <c r="B12769" t="s">
        <v>21724</v>
      </c>
      <c r="C12769" t="s">
        <v>411</v>
      </c>
      <c r="D12769" t="s">
        <v>216</v>
      </c>
      <c r="E12769" t="s">
        <v>84</v>
      </c>
      <c r="F12769" s="2" t="str">
        <f>HYPERLINK("http://www.otzar.org/book.asp?624669","ודברת בם")</f>
        <v>ודברת בם</v>
      </c>
    </row>
    <row r="12770" spans="1:6" x14ac:dyDescent="0.2">
      <c r="A12770" t="s">
        <v>21725</v>
      </c>
      <c r="B12770" t="s">
        <v>21726</v>
      </c>
      <c r="C12770" t="s">
        <v>129</v>
      </c>
      <c r="D12770" t="s">
        <v>14</v>
      </c>
      <c r="E12770" t="s">
        <v>4455</v>
      </c>
      <c r="F12770" s="2" t="str">
        <f>HYPERLINK("http://www.otzar.org/book.asp?142079","ודברת בם - ד")</f>
        <v>ודברת בם - ד</v>
      </c>
    </row>
    <row r="12771" spans="1:6" x14ac:dyDescent="0.2">
      <c r="A12771" t="s">
        <v>21727</v>
      </c>
      <c r="B12771" t="s">
        <v>21728</v>
      </c>
      <c r="C12771" t="s">
        <v>103</v>
      </c>
      <c r="D12771" t="s">
        <v>14</v>
      </c>
      <c r="E12771" t="s">
        <v>15</v>
      </c>
      <c r="F12771" s="2" t="str">
        <f>HYPERLINK("http://www.otzar.org/book.asp?628730","ודברת בם - 2 כר'")</f>
        <v>ודברת בם - 2 כר'</v>
      </c>
    </row>
    <row r="12772" spans="1:6" x14ac:dyDescent="0.2">
      <c r="A12772" t="s">
        <v>21729</v>
      </c>
      <c r="B12772" t="s">
        <v>21730</v>
      </c>
      <c r="C12772" t="s">
        <v>244</v>
      </c>
      <c r="D12772" t="s">
        <v>90</v>
      </c>
      <c r="E12772" t="s">
        <v>154</v>
      </c>
      <c r="F12772" s="2" t="str">
        <f>HYPERLINK("http://www.otzar.org/book.asp?626068","ודברת בם - ב")</f>
        <v>ודברת בם - ב</v>
      </c>
    </row>
    <row r="12773" spans="1:6" x14ac:dyDescent="0.2">
      <c r="A12773" t="s">
        <v>21727</v>
      </c>
      <c r="B12773" t="s">
        <v>21731</v>
      </c>
      <c r="C12773" t="s">
        <v>466</v>
      </c>
      <c r="D12773" t="s">
        <v>14</v>
      </c>
      <c r="E12773" t="s">
        <v>5935</v>
      </c>
      <c r="F12773" s="2" t="str">
        <f>HYPERLINK("http://www.otzar.org/book.asp?26395","ודברת בם - 2 כר'")</f>
        <v>ודברת בם - 2 כר'</v>
      </c>
    </row>
    <row r="12774" spans="1:6" x14ac:dyDescent="0.2">
      <c r="A12774" t="s">
        <v>21723</v>
      </c>
      <c r="B12774" t="s">
        <v>21732</v>
      </c>
      <c r="C12774" t="s">
        <v>114</v>
      </c>
      <c r="D12774" t="s">
        <v>52</v>
      </c>
      <c r="E12774" t="s">
        <v>15</v>
      </c>
      <c r="F12774" s="2" t="str">
        <f>HYPERLINK("http://www.otzar.org/book.asp?163141","ודברת בם")</f>
        <v>ודברת בם</v>
      </c>
    </row>
    <row r="12775" spans="1:6" x14ac:dyDescent="0.2">
      <c r="A12775" t="s">
        <v>21723</v>
      </c>
      <c r="B12775" t="s">
        <v>21733</v>
      </c>
      <c r="C12775" t="s">
        <v>176</v>
      </c>
      <c r="D12775" t="s">
        <v>216</v>
      </c>
      <c r="E12775" t="s">
        <v>5935</v>
      </c>
      <c r="F12775" s="2" t="str">
        <f>HYPERLINK("http://www.otzar.org/book.asp?165185","ודברת בם")</f>
        <v>ודברת בם</v>
      </c>
    </row>
    <row r="12776" spans="1:6" x14ac:dyDescent="0.2">
      <c r="A12776" t="s">
        <v>21727</v>
      </c>
      <c r="B12776" t="s">
        <v>21734</v>
      </c>
      <c r="C12776" t="s">
        <v>21735</v>
      </c>
      <c r="D12776" t="s">
        <v>14</v>
      </c>
      <c r="E12776" t="s">
        <v>10</v>
      </c>
      <c r="F12776" s="2" t="str">
        <f>HYPERLINK("http://www.otzar.org/book.asp?200704","ודברת בם - 2 כר'")</f>
        <v>ודברת בם - 2 כר'</v>
      </c>
    </row>
    <row r="12777" spans="1:6" x14ac:dyDescent="0.2">
      <c r="A12777" t="s">
        <v>21736</v>
      </c>
      <c r="B12777" t="s">
        <v>3105</v>
      </c>
      <c r="C12777" t="s">
        <v>1535</v>
      </c>
      <c r="D12777" t="s">
        <v>27</v>
      </c>
      <c r="E12777" t="s">
        <v>241</v>
      </c>
      <c r="F12777" s="2" t="str">
        <f>HYPERLINK("http://www.otzar.org/book.asp?25482","ודע מה שתשיב")</f>
        <v>ודע מה שתשיב</v>
      </c>
    </row>
    <row r="12778" spans="1:6" x14ac:dyDescent="0.2">
      <c r="A12778" t="s">
        <v>21737</v>
      </c>
      <c r="B12778" t="s">
        <v>21738</v>
      </c>
      <c r="C12778" t="s">
        <v>422</v>
      </c>
      <c r="D12778" t="s">
        <v>240</v>
      </c>
      <c r="E12778" t="s">
        <v>467</v>
      </c>
      <c r="F12778" s="2" t="str">
        <f>HYPERLINK("http://www.otzar.org/book.asp?150991","ודרשת בחגך - 5 כר'")</f>
        <v>ודרשת בחגך - 5 כר'</v>
      </c>
    </row>
    <row r="12779" spans="1:6" x14ac:dyDescent="0.2">
      <c r="A12779" t="s">
        <v>21739</v>
      </c>
      <c r="B12779" t="s">
        <v>21740</v>
      </c>
      <c r="C12779" t="s">
        <v>151</v>
      </c>
      <c r="D12779" t="s">
        <v>14</v>
      </c>
      <c r="E12779" t="s">
        <v>158</v>
      </c>
      <c r="F12779" s="2" t="str">
        <f>HYPERLINK("http://www.otzar.org/book.asp?628213","ודרשת וחקרת - 12 כר'")</f>
        <v>ודרשת וחקרת - 12 כר'</v>
      </c>
    </row>
    <row r="12780" spans="1:6" x14ac:dyDescent="0.2">
      <c r="A12780" t="s">
        <v>21741</v>
      </c>
      <c r="B12780" t="s">
        <v>21742</v>
      </c>
      <c r="C12780" t="s">
        <v>624</v>
      </c>
      <c r="D12780" t="s">
        <v>52</v>
      </c>
      <c r="E12780" t="s">
        <v>9356</v>
      </c>
      <c r="F12780" s="2" t="str">
        <f>HYPERLINK("http://www.otzar.org/book.asp?22556","והאיש מרדכי - 4 כר'")</f>
        <v>והאיש מרדכי - 4 כר'</v>
      </c>
    </row>
    <row r="12781" spans="1:6" x14ac:dyDescent="0.2">
      <c r="A12781" t="s">
        <v>21743</v>
      </c>
      <c r="B12781" t="s">
        <v>6372</v>
      </c>
      <c r="C12781" t="s">
        <v>624</v>
      </c>
      <c r="D12781" t="s">
        <v>14</v>
      </c>
      <c r="E12781" t="s">
        <v>202</v>
      </c>
      <c r="F12781" s="2" t="str">
        <f>HYPERLINK("http://www.otzar.org/book.asp?153342","והאיש משה")</f>
        <v>והאיש משה</v>
      </c>
    </row>
    <row r="12782" spans="1:6" x14ac:dyDescent="0.2">
      <c r="A12782" t="s">
        <v>21744</v>
      </c>
      <c r="B12782" t="s">
        <v>21745</v>
      </c>
      <c r="C12782" t="s">
        <v>17</v>
      </c>
      <c r="D12782" t="s">
        <v>657</v>
      </c>
      <c r="E12782" t="s">
        <v>2363</v>
      </c>
      <c r="F12782" s="2" t="str">
        <f>HYPERLINK("http://www.otzar.org/book.asp?61850","והאיש משה - 2 כר'")</f>
        <v>והאיש משה - 2 כר'</v>
      </c>
    </row>
    <row r="12783" spans="1:6" x14ac:dyDescent="0.2">
      <c r="A12783" t="s">
        <v>21746</v>
      </c>
      <c r="B12783" t="s">
        <v>21747</v>
      </c>
      <c r="C12783" t="s">
        <v>244</v>
      </c>
      <c r="D12783" t="s">
        <v>657</v>
      </c>
      <c r="E12783" t="s">
        <v>714</v>
      </c>
      <c r="F12783" s="2" t="str">
        <f>HYPERLINK("http://www.otzar.org/book.asp?623248","והאר עינינו")</f>
        <v>והאר עינינו</v>
      </c>
    </row>
    <row r="12784" spans="1:6" x14ac:dyDescent="0.2">
      <c r="A12784" t="s">
        <v>21748</v>
      </c>
      <c r="B12784" t="s">
        <v>3644</v>
      </c>
      <c r="C12784" t="s">
        <v>189</v>
      </c>
      <c r="D12784" t="s">
        <v>14</v>
      </c>
      <c r="E12784" t="s">
        <v>234</v>
      </c>
      <c r="F12784" s="2" t="str">
        <f>HYPERLINK("http://www.otzar.org/book.asp?159367","והאר עינינו - סיום מסכתות ולמוד תורה")</f>
        <v>והאר עינינו - סיום מסכתות ולמוד תורה</v>
      </c>
    </row>
    <row r="12785" spans="1:6" x14ac:dyDescent="0.2">
      <c r="A12785" t="s">
        <v>21749</v>
      </c>
      <c r="B12785" t="s">
        <v>21750</v>
      </c>
      <c r="C12785" t="s">
        <v>411</v>
      </c>
      <c r="D12785" t="s">
        <v>14</v>
      </c>
      <c r="E12785" t="s">
        <v>104</v>
      </c>
      <c r="F12785" s="2" t="str">
        <f>HYPERLINK("http://www.otzar.org/book.asp?168364","והארכת ימים - ויחי יעקב")</f>
        <v>והארכת ימים - ויחי יעקב</v>
      </c>
    </row>
    <row r="12786" spans="1:6" x14ac:dyDescent="0.2">
      <c r="A12786" t="s">
        <v>21751</v>
      </c>
      <c r="B12786" t="s">
        <v>16291</v>
      </c>
      <c r="C12786" t="s">
        <v>313</v>
      </c>
      <c r="D12786" t="s">
        <v>14</v>
      </c>
      <c r="E12786" t="s">
        <v>213</v>
      </c>
      <c r="F12786" s="2" t="str">
        <f>HYPERLINK("http://www.otzar.org/book.asp?200383","והארכת ימים")</f>
        <v>והארכת ימים</v>
      </c>
    </row>
    <row r="12787" spans="1:6" x14ac:dyDescent="0.2">
      <c r="A12787" t="s">
        <v>21752</v>
      </c>
      <c r="B12787" t="s">
        <v>8898</v>
      </c>
      <c r="C12787" t="s">
        <v>422</v>
      </c>
      <c r="D12787" t="s">
        <v>14</v>
      </c>
      <c r="E12787" t="s">
        <v>241</v>
      </c>
      <c r="F12787" s="2" t="str">
        <f>HYPERLINK("http://www.otzar.org/book.asp?84247","והארץ אזכור")</f>
        <v>והארץ אזכור</v>
      </c>
    </row>
    <row r="12788" spans="1:6" x14ac:dyDescent="0.2">
      <c r="A12788" t="s">
        <v>21753</v>
      </c>
      <c r="B12788" t="s">
        <v>10819</v>
      </c>
      <c r="C12788" t="s">
        <v>411</v>
      </c>
      <c r="D12788" t="s">
        <v>14</v>
      </c>
      <c r="E12788" t="s">
        <v>104</v>
      </c>
      <c r="F12788" s="2" t="str">
        <f>HYPERLINK("http://www.otzar.org/book.asp?171827","והארץ לעולם עומדת")</f>
        <v>והארץ לעולם עומדת</v>
      </c>
    </row>
    <row r="12789" spans="1:6" x14ac:dyDescent="0.2">
      <c r="A12789" t="s">
        <v>21754</v>
      </c>
      <c r="B12789" t="s">
        <v>21755</v>
      </c>
      <c r="D12789" t="s">
        <v>52</v>
      </c>
      <c r="E12789" t="s">
        <v>144</v>
      </c>
      <c r="F12789" s="2" t="str">
        <f>HYPERLINK("http://www.otzar.org/book.asp?628729","והב בסופה - 2 כר'")</f>
        <v>והב בסופה - 2 כר'</v>
      </c>
    </row>
    <row r="12790" spans="1:6" x14ac:dyDescent="0.2">
      <c r="A12790" t="s">
        <v>21756</v>
      </c>
      <c r="B12790" t="s">
        <v>21757</v>
      </c>
      <c r="C12790" t="s">
        <v>21758</v>
      </c>
      <c r="D12790" t="s">
        <v>2798</v>
      </c>
      <c r="E12790" t="s">
        <v>202</v>
      </c>
      <c r="F12790" s="2" t="str">
        <f>HYPERLINK("http://www.otzar.org/book.asp?63315","והגדת לבנך - א-ז")</f>
        <v>והגדת לבנך - א-ז</v>
      </c>
    </row>
    <row r="12791" spans="1:6" x14ac:dyDescent="0.2">
      <c r="A12791" t="s">
        <v>21759</v>
      </c>
      <c r="B12791" t="s">
        <v>21760</v>
      </c>
      <c r="C12791" t="s">
        <v>68</v>
      </c>
      <c r="D12791" t="s">
        <v>152</v>
      </c>
      <c r="E12791" t="s">
        <v>130</v>
      </c>
      <c r="F12791" s="2" t="str">
        <f>HYPERLINK("http://www.otzar.org/book.asp?189579","והגדת לבנך")</f>
        <v>והגדת לבנך</v>
      </c>
    </row>
    <row r="12792" spans="1:6" x14ac:dyDescent="0.2">
      <c r="A12792" t="s">
        <v>21759</v>
      </c>
      <c r="B12792" t="s">
        <v>21761</v>
      </c>
      <c r="C12792" t="s">
        <v>146</v>
      </c>
      <c r="D12792" t="s">
        <v>14</v>
      </c>
      <c r="E12792" t="s">
        <v>21762</v>
      </c>
      <c r="F12792" s="2" t="str">
        <f>HYPERLINK("http://www.otzar.org/book.asp?159159","והגדת לבנך")</f>
        <v>והגדת לבנך</v>
      </c>
    </row>
    <row r="12793" spans="1:6" x14ac:dyDescent="0.2">
      <c r="A12793" t="s">
        <v>21763</v>
      </c>
      <c r="B12793" t="s">
        <v>12606</v>
      </c>
      <c r="C12793" t="s">
        <v>1570</v>
      </c>
      <c r="D12793" t="s">
        <v>14</v>
      </c>
      <c r="E12793" t="s">
        <v>2088</v>
      </c>
      <c r="F12793" s="2" t="str">
        <f>HYPERLINK("http://www.otzar.org/book.asp?106500","והגית &lt;ספר הדרכה לעיון והעמקה&gt; - ב")</f>
        <v>והגית &lt;ספר הדרכה לעיון והעמקה&gt; - ב</v>
      </c>
    </row>
    <row r="12794" spans="1:6" x14ac:dyDescent="0.2">
      <c r="A12794" t="s">
        <v>21764</v>
      </c>
      <c r="B12794" t="s">
        <v>5973</v>
      </c>
      <c r="C12794" t="s">
        <v>20</v>
      </c>
      <c r="D12794" t="s">
        <v>52</v>
      </c>
      <c r="E12794" t="s">
        <v>15</v>
      </c>
      <c r="F12794" s="2" t="str">
        <f>HYPERLINK("http://www.otzar.org/book.asp?153817","והגית בו")</f>
        <v>והגית בו</v>
      </c>
    </row>
    <row r="12795" spans="1:6" x14ac:dyDescent="0.2">
      <c r="A12795" t="s">
        <v>21765</v>
      </c>
      <c r="B12795" t="s">
        <v>12606</v>
      </c>
      <c r="C12795" t="s">
        <v>176</v>
      </c>
      <c r="D12795" t="s">
        <v>14</v>
      </c>
      <c r="E12795" t="s">
        <v>2088</v>
      </c>
      <c r="F12795" s="2" t="str">
        <f>HYPERLINK("http://www.otzar.org/book.asp?16486","והגית")</f>
        <v>והגית</v>
      </c>
    </row>
    <row r="12796" spans="1:6" x14ac:dyDescent="0.2">
      <c r="A12796" t="s">
        <v>21766</v>
      </c>
      <c r="B12796" t="s">
        <v>21767</v>
      </c>
      <c r="C12796" t="s">
        <v>71</v>
      </c>
      <c r="D12796" t="s">
        <v>52</v>
      </c>
      <c r="E12796" t="s">
        <v>674</v>
      </c>
      <c r="F12796" s="2" t="str">
        <f>HYPERLINK("http://www.otzar.org/book.asp?603699","והדרת פני זקן")</f>
        <v>והדרת פני זקן</v>
      </c>
    </row>
    <row r="12797" spans="1:6" x14ac:dyDescent="0.2">
      <c r="A12797" t="s">
        <v>21768</v>
      </c>
      <c r="B12797" t="s">
        <v>21769</v>
      </c>
      <c r="C12797" t="s">
        <v>68</v>
      </c>
      <c r="D12797" t="s">
        <v>412</v>
      </c>
      <c r="E12797" t="s">
        <v>21770</v>
      </c>
      <c r="F12797" s="2" t="str">
        <f>HYPERLINK("http://www.otzar.org/book.asp?163221","והודעתם לבנך")</f>
        <v>והודעתם לבנך</v>
      </c>
    </row>
    <row r="12798" spans="1:6" x14ac:dyDescent="0.2">
      <c r="A12798" t="s">
        <v>21771</v>
      </c>
      <c r="B12798" t="s">
        <v>21772</v>
      </c>
      <c r="C12798" t="s">
        <v>558</v>
      </c>
      <c r="D12798" t="s">
        <v>889</v>
      </c>
      <c r="E12798" t="s">
        <v>158</v>
      </c>
      <c r="F12798" s="2" t="str">
        <f>HYPERLINK("http://www.otzar.org/book.asp?24329","והוכח אברהם")</f>
        <v>והוכח אברהם</v>
      </c>
    </row>
    <row r="12799" spans="1:6" x14ac:dyDescent="0.2">
      <c r="A12799" t="s">
        <v>21773</v>
      </c>
      <c r="B12799" t="s">
        <v>21774</v>
      </c>
      <c r="C12799" t="s">
        <v>21775</v>
      </c>
      <c r="D12799" t="s">
        <v>1037</v>
      </c>
      <c r="E12799" t="s">
        <v>158</v>
      </c>
      <c r="F12799" s="2" t="str">
        <f>HYPERLINK("http://www.otzar.org/book.asp?602827","והזהיר - 2 כר'")</f>
        <v>והזהיר - 2 כר'</v>
      </c>
    </row>
    <row r="12800" spans="1:6" x14ac:dyDescent="0.2">
      <c r="A12800" t="s">
        <v>21776</v>
      </c>
      <c r="B12800" t="s">
        <v>7019</v>
      </c>
      <c r="C12800" t="s">
        <v>133</v>
      </c>
      <c r="D12800" t="s">
        <v>14</v>
      </c>
      <c r="E12800" t="s">
        <v>158</v>
      </c>
      <c r="F12800" s="2" t="str">
        <f>HYPERLINK("http://www.otzar.org/book.asp?172486","והחי יתן אל לבו")</f>
        <v>והחי יתן אל לבו</v>
      </c>
    </row>
    <row r="12801" spans="1:6" x14ac:dyDescent="0.2">
      <c r="A12801" t="s">
        <v>21777</v>
      </c>
      <c r="B12801" t="s">
        <v>21778</v>
      </c>
      <c r="C12801" t="s">
        <v>20</v>
      </c>
      <c r="D12801" t="s">
        <v>216</v>
      </c>
      <c r="E12801" t="s">
        <v>219</v>
      </c>
      <c r="F12801" s="2" t="str">
        <f>HYPERLINK("http://www.otzar.org/book.asp?617929","והחי יתן אל לבו - סדר ז' באדר לאנשי החברה קדישא")</f>
        <v>והחי יתן אל לבו - סדר ז' באדר לאנשי החברה קדישא</v>
      </c>
    </row>
    <row r="12802" spans="1:6" x14ac:dyDescent="0.2">
      <c r="A12802" t="s">
        <v>21776</v>
      </c>
      <c r="B12802" t="s">
        <v>107</v>
      </c>
      <c r="C12802" t="s">
        <v>21779</v>
      </c>
      <c r="D12802" t="s">
        <v>14</v>
      </c>
      <c r="E12802" t="s">
        <v>213</v>
      </c>
      <c r="F12802" s="2" t="str">
        <f>HYPERLINK("http://www.otzar.org/book.asp?148238","והחי יתן אל לבו")</f>
        <v>והחי יתן אל לבו</v>
      </c>
    </row>
    <row r="12803" spans="1:6" x14ac:dyDescent="0.2">
      <c r="A12803" t="s">
        <v>21780</v>
      </c>
      <c r="B12803" t="s">
        <v>3623</v>
      </c>
      <c r="C12803" t="s">
        <v>37</v>
      </c>
      <c r="D12803" t="s">
        <v>6138</v>
      </c>
      <c r="E12803" t="s">
        <v>15</v>
      </c>
      <c r="F12803" s="2" t="str">
        <f>HYPERLINK("http://www.otzar.org/book.asp?617917","והחי יתן אל ליבו")</f>
        <v>והחי יתן אל ליבו</v>
      </c>
    </row>
    <row r="12804" spans="1:6" x14ac:dyDescent="0.2">
      <c r="A12804" t="s">
        <v>21781</v>
      </c>
      <c r="B12804" t="s">
        <v>21782</v>
      </c>
      <c r="C12804" t="s">
        <v>313</v>
      </c>
      <c r="D12804" t="s">
        <v>52</v>
      </c>
      <c r="E12804" t="s">
        <v>10482</v>
      </c>
      <c r="F12804" s="2" t="str">
        <f>HYPERLINK("http://www.otzar.org/book.asp?160171","והחשכתי לארץ ביום אור")</f>
        <v>והחשכתי לארץ ביום אור</v>
      </c>
    </row>
    <row r="12805" spans="1:6" x14ac:dyDescent="0.2">
      <c r="A12805" t="s">
        <v>21783</v>
      </c>
      <c r="B12805" t="s">
        <v>21784</v>
      </c>
      <c r="C12805" t="s">
        <v>133</v>
      </c>
      <c r="D12805" t="s">
        <v>10022</v>
      </c>
      <c r="E12805" t="s">
        <v>15</v>
      </c>
      <c r="F12805" s="2" t="str">
        <f>HYPERLINK("http://www.otzar.org/book.asp?173826","והיה ברכה - א")</f>
        <v>והיה ברכה - א</v>
      </c>
    </row>
    <row r="12806" spans="1:6" x14ac:dyDescent="0.2">
      <c r="A12806" t="s">
        <v>21785</v>
      </c>
      <c r="B12806" t="s">
        <v>1264</v>
      </c>
      <c r="C12806" t="s">
        <v>429</v>
      </c>
      <c r="D12806" t="s">
        <v>855</v>
      </c>
      <c r="E12806" t="s">
        <v>21786</v>
      </c>
      <c r="F12806" s="2" t="str">
        <f>HYPERLINK("http://www.otzar.org/book.asp?100821","והיה ברכה - 3 כר'")</f>
        <v>והיה ברכה - 3 כר'</v>
      </c>
    </row>
    <row r="12807" spans="1:6" x14ac:dyDescent="0.2">
      <c r="A12807" t="s">
        <v>21787</v>
      </c>
      <c r="B12807" t="s">
        <v>11757</v>
      </c>
      <c r="C12807" t="s">
        <v>454</v>
      </c>
      <c r="D12807" t="s">
        <v>14</v>
      </c>
      <c r="E12807" t="s">
        <v>10</v>
      </c>
      <c r="F12807" s="2" t="str">
        <f>HYPERLINK("http://www.otzar.org/book.asp?108405","והיה העולם")</f>
        <v>והיה העולם</v>
      </c>
    </row>
    <row r="12808" spans="1:6" x14ac:dyDescent="0.2">
      <c r="A12808" t="s">
        <v>21788</v>
      </c>
      <c r="B12808" t="s">
        <v>21789</v>
      </c>
      <c r="C12808" t="s">
        <v>20</v>
      </c>
      <c r="D12808" t="s">
        <v>90</v>
      </c>
      <c r="E12808" t="s">
        <v>15</v>
      </c>
      <c r="F12808" s="2" t="str">
        <f>HYPERLINK("http://www.otzar.org/book.asp?629565","והיה העקב למישור")</f>
        <v>והיה העקב למישור</v>
      </c>
    </row>
    <row r="12809" spans="1:6" x14ac:dyDescent="0.2">
      <c r="A12809" t="s">
        <v>21790</v>
      </c>
      <c r="B12809" t="s">
        <v>21791</v>
      </c>
      <c r="C12809" t="s">
        <v>129</v>
      </c>
      <c r="D12809" t="s">
        <v>14</v>
      </c>
      <c r="E12809" t="s">
        <v>674</v>
      </c>
      <c r="F12809" s="2" t="str">
        <f>HYPERLINK("http://www.otzar.org/book.asp?52888","והיה לכם לציצית - 12 כר'")</f>
        <v>והיה לכם לציצית - 12 כר'</v>
      </c>
    </row>
    <row r="12810" spans="1:6" x14ac:dyDescent="0.2">
      <c r="A12810" t="s">
        <v>21792</v>
      </c>
      <c r="B12810" t="s">
        <v>21793</v>
      </c>
      <c r="C12810" t="s">
        <v>411</v>
      </c>
      <c r="D12810" t="s">
        <v>52</v>
      </c>
      <c r="E12810" t="s">
        <v>158</v>
      </c>
      <c r="F12810" s="2" t="str">
        <f>HYPERLINK("http://www.otzar.org/book.asp?166648","והיה לשון שמחה")</f>
        <v>והיה לשון שמחה</v>
      </c>
    </row>
    <row r="12811" spans="1:6" x14ac:dyDescent="0.2">
      <c r="A12811" t="s">
        <v>21794</v>
      </c>
      <c r="B12811" t="s">
        <v>1681</v>
      </c>
      <c r="C12811" t="s">
        <v>523</v>
      </c>
      <c r="D12811" t="s">
        <v>52</v>
      </c>
      <c r="E12811" t="s">
        <v>15</v>
      </c>
      <c r="F12811" s="2" t="str">
        <f>HYPERLINK("http://www.otzar.org/book.asp?61844","והיה מחניך קדוש")</f>
        <v>והיה מחניך קדוש</v>
      </c>
    </row>
    <row r="12812" spans="1:6" x14ac:dyDescent="0.2">
      <c r="A12812" t="s">
        <v>21794</v>
      </c>
      <c r="B12812" t="s">
        <v>19060</v>
      </c>
      <c r="C12812" t="s">
        <v>1208</v>
      </c>
      <c r="D12812" t="s">
        <v>14</v>
      </c>
      <c r="E12812" t="s">
        <v>714</v>
      </c>
      <c r="F12812" s="2" t="str">
        <f>HYPERLINK("http://www.otzar.org/book.asp?8642","והיה מחניך קדוש")</f>
        <v>והיה מחניך קדוש</v>
      </c>
    </row>
    <row r="12813" spans="1:6" x14ac:dyDescent="0.2">
      <c r="A12813" t="s">
        <v>21794</v>
      </c>
      <c r="B12813" t="s">
        <v>107</v>
      </c>
      <c r="C12813" t="s">
        <v>176</v>
      </c>
      <c r="D12813" t="s">
        <v>14</v>
      </c>
      <c r="E12813" t="s">
        <v>714</v>
      </c>
      <c r="F12813" s="2" t="str">
        <f>HYPERLINK("http://www.otzar.org/book.asp?84458","והיה מחניך קדוש")</f>
        <v>והיה מחניך קדוש</v>
      </c>
    </row>
    <row r="12814" spans="1:6" x14ac:dyDescent="0.2">
      <c r="A12814" t="s">
        <v>21795</v>
      </c>
      <c r="B12814" t="s">
        <v>107</v>
      </c>
      <c r="C12814" t="s">
        <v>103</v>
      </c>
      <c r="D12814" t="s">
        <v>14</v>
      </c>
      <c r="F12814" s="2" t="str">
        <f>HYPERLINK("http://www.otzar.org/book.asp?164070","והיה מחנך קדוש")</f>
        <v>והיה מחנך קדוש</v>
      </c>
    </row>
    <row r="12815" spans="1:6" x14ac:dyDescent="0.2">
      <c r="A12815" t="s">
        <v>21796</v>
      </c>
      <c r="B12815" t="s">
        <v>21797</v>
      </c>
      <c r="C12815" t="s">
        <v>189</v>
      </c>
      <c r="D12815" t="s">
        <v>14</v>
      </c>
      <c r="E12815" t="s">
        <v>241</v>
      </c>
      <c r="F12815" s="2" t="str">
        <f>HYPERLINK("http://www.otzar.org/book.asp?625455","והיה עקב תשמעון")</f>
        <v>והיה עקב תשמעון</v>
      </c>
    </row>
    <row r="12816" spans="1:6" x14ac:dyDescent="0.2">
      <c r="A12816" t="s">
        <v>21798</v>
      </c>
      <c r="B12816" t="s">
        <v>21799</v>
      </c>
      <c r="C12816" t="s">
        <v>23</v>
      </c>
      <c r="D12816" t="s">
        <v>52</v>
      </c>
      <c r="F12816" s="2" t="str">
        <f>HYPERLINK("http://www.otzar.org/book.asp?630388","והיו הדברים האלה")</f>
        <v>והיו הדברים האלה</v>
      </c>
    </row>
    <row r="12817" spans="1:6" x14ac:dyDescent="0.2">
      <c r="A12817" t="s">
        <v>21800</v>
      </c>
      <c r="B12817" t="s">
        <v>10621</v>
      </c>
      <c r="C12817">
        <v>1991</v>
      </c>
      <c r="D12817" t="s">
        <v>14</v>
      </c>
      <c r="E12817" t="s">
        <v>104</v>
      </c>
      <c r="F12817" s="2" t="str">
        <f>HYPERLINK("http://www.otzar.org/book.asp?602617","והיו לאחד")</f>
        <v>והיו לאחד</v>
      </c>
    </row>
    <row r="12818" spans="1:6" x14ac:dyDescent="0.2">
      <c r="A12818" t="s">
        <v>21801</v>
      </c>
      <c r="B12818" t="s">
        <v>21802</v>
      </c>
      <c r="C12818" t="s">
        <v>244</v>
      </c>
      <c r="D12818" t="s">
        <v>21</v>
      </c>
      <c r="E12818" t="s">
        <v>15</v>
      </c>
      <c r="F12818" s="2" t="str">
        <f>HYPERLINK("http://www.otzar.org/book.asp?601538","והיו לאחדים בעיניך")</f>
        <v>והיו לאחדים בעיניך</v>
      </c>
    </row>
    <row r="12819" spans="1:6" x14ac:dyDescent="0.2">
      <c r="A12819" t="s">
        <v>21803</v>
      </c>
      <c r="B12819" t="s">
        <v>21804</v>
      </c>
      <c r="C12819" t="s">
        <v>313</v>
      </c>
      <c r="D12819" t="s">
        <v>14</v>
      </c>
      <c r="F12819" s="2" t="str">
        <f>HYPERLINK("http://www.otzar.org/book.asp?630744","והיו לאחדים - א")</f>
        <v>והיו לאחדים - א</v>
      </c>
    </row>
    <row r="12820" spans="1:6" x14ac:dyDescent="0.2">
      <c r="A12820" t="s">
        <v>21805</v>
      </c>
      <c r="B12820" t="s">
        <v>21806</v>
      </c>
      <c r="C12820" t="s">
        <v>244</v>
      </c>
      <c r="D12820" t="s">
        <v>8245</v>
      </c>
      <c r="E12820" t="s">
        <v>1776</v>
      </c>
      <c r="F12820" s="2" t="str">
        <f>HYPERLINK("http://www.otzar.org/book.asp?197503","והיו לכבוד ולתפארת")</f>
        <v>והיו לכבוד ולתפארת</v>
      </c>
    </row>
    <row r="12821" spans="1:6" x14ac:dyDescent="0.2">
      <c r="A12821" t="s">
        <v>21807</v>
      </c>
      <c r="B12821" t="s">
        <v>21808</v>
      </c>
      <c r="C12821" t="s">
        <v>411</v>
      </c>
      <c r="D12821" t="s">
        <v>14</v>
      </c>
      <c r="E12821" t="s">
        <v>186</v>
      </c>
      <c r="F12821" s="2" t="str">
        <f>HYPERLINK("http://www.otzar.org/book.asp?169004","והיו למאורות - חולין")</f>
        <v>והיו למאורות - חולין</v>
      </c>
    </row>
    <row r="12822" spans="1:6" x14ac:dyDescent="0.2">
      <c r="A12822" t="s">
        <v>21809</v>
      </c>
      <c r="B12822" t="s">
        <v>7485</v>
      </c>
      <c r="C12822" t="s">
        <v>71</v>
      </c>
      <c r="D12822" t="s">
        <v>14</v>
      </c>
      <c r="E12822" t="s">
        <v>213</v>
      </c>
      <c r="F12822" s="2" t="str">
        <f>HYPERLINK("http://www.otzar.org/book.asp?64013","והיית אך שמח")</f>
        <v>והיית אך שמח</v>
      </c>
    </row>
    <row r="12823" spans="1:6" x14ac:dyDescent="0.2">
      <c r="A12823" t="s">
        <v>21810</v>
      </c>
      <c r="B12823" t="s">
        <v>9348</v>
      </c>
      <c r="C12823" t="s">
        <v>422</v>
      </c>
      <c r="D12823" t="s">
        <v>2468</v>
      </c>
      <c r="E12823" t="s">
        <v>674</v>
      </c>
      <c r="F12823" s="2" t="str">
        <f>HYPERLINK("http://www.otzar.org/book.asp?160075","והייתם לי סגולה - 2 כר'")</f>
        <v>והייתם לי סגולה - 2 כר'</v>
      </c>
    </row>
    <row r="12824" spans="1:6" x14ac:dyDescent="0.2">
      <c r="A12824" t="s">
        <v>21811</v>
      </c>
      <c r="B12824" t="s">
        <v>21812</v>
      </c>
      <c r="C12824" t="s">
        <v>151</v>
      </c>
      <c r="D12824" t="s">
        <v>4549</v>
      </c>
      <c r="E12824" t="s">
        <v>15</v>
      </c>
      <c r="F12824" s="2" t="str">
        <f>HYPERLINK("http://www.otzar.org/book.asp?623305","והייתם קדושים (הלכות תולעים)")</f>
        <v>והייתם קדושים (הלכות תולעים)</v>
      </c>
    </row>
    <row r="12825" spans="1:6" x14ac:dyDescent="0.2">
      <c r="A12825" t="s">
        <v>21813</v>
      </c>
      <c r="B12825" t="s">
        <v>21814</v>
      </c>
      <c r="C12825" t="s">
        <v>103</v>
      </c>
      <c r="D12825" t="s">
        <v>14</v>
      </c>
      <c r="F12825" s="2" t="str">
        <f>HYPERLINK("http://www.otzar.org/book.asp?157565","והייתם קדושים")</f>
        <v>והייתם קדושים</v>
      </c>
    </row>
    <row r="12826" spans="1:6" x14ac:dyDescent="0.2">
      <c r="A12826" t="s">
        <v>21813</v>
      </c>
      <c r="B12826" t="s">
        <v>21815</v>
      </c>
      <c r="C12826" t="s">
        <v>775</v>
      </c>
      <c r="D12826" t="s">
        <v>14</v>
      </c>
      <c r="E12826" t="s">
        <v>5935</v>
      </c>
      <c r="F12826" s="2" t="str">
        <f>HYPERLINK("http://www.otzar.org/book.asp?17059","והייתם קדושים")</f>
        <v>והייתם קדושים</v>
      </c>
    </row>
    <row r="12827" spans="1:6" x14ac:dyDescent="0.2">
      <c r="A12827" t="s">
        <v>21816</v>
      </c>
      <c r="B12827" t="s">
        <v>3768</v>
      </c>
      <c r="C12827" t="s">
        <v>23</v>
      </c>
      <c r="D12827" t="s">
        <v>80</v>
      </c>
      <c r="E12827" t="s">
        <v>241</v>
      </c>
      <c r="F12827" s="2" t="str">
        <f>HYPERLINK("http://www.otzar.org/book.asp?198056","והכן לבבם אליך")</f>
        <v>והכן לבבם אליך</v>
      </c>
    </row>
    <row r="12828" spans="1:6" x14ac:dyDescent="0.2">
      <c r="A12828" t="s">
        <v>21817</v>
      </c>
      <c r="B12828" t="s">
        <v>5723</v>
      </c>
      <c r="C12828" t="s">
        <v>802</v>
      </c>
      <c r="D12828" t="s">
        <v>6742</v>
      </c>
      <c r="E12828" t="s">
        <v>158</v>
      </c>
      <c r="F12828" s="2" t="str">
        <f>HYPERLINK("http://www.otzar.org/book.asp?100142","והכנעני אז בארץ")</f>
        <v>והכנעני אז בארץ</v>
      </c>
    </row>
    <row r="12829" spans="1:6" x14ac:dyDescent="0.2">
      <c r="A12829" t="s">
        <v>21818</v>
      </c>
      <c r="B12829" t="s">
        <v>21819</v>
      </c>
      <c r="C12829" t="s">
        <v>151</v>
      </c>
      <c r="D12829" t="s">
        <v>14</v>
      </c>
      <c r="E12829" t="s">
        <v>15</v>
      </c>
      <c r="F12829" s="2" t="str">
        <f>HYPERLINK("http://www.otzar.org/book.asp?630453","והלא קצץ")</f>
        <v>והלא קצץ</v>
      </c>
    </row>
    <row r="12830" spans="1:6" x14ac:dyDescent="0.2">
      <c r="A12830" t="s">
        <v>21820</v>
      </c>
      <c r="B12830" t="s">
        <v>7653</v>
      </c>
      <c r="C12830" t="s">
        <v>244</v>
      </c>
      <c r="D12830" t="s">
        <v>1156</v>
      </c>
      <c r="F12830" s="2" t="str">
        <f>HYPERLINK("http://www.otzar.org/book.asp?611099","והלך לפניך צדקך")</f>
        <v>והלך לפניך צדקך</v>
      </c>
    </row>
    <row r="12831" spans="1:6" x14ac:dyDescent="0.2">
      <c r="A12831" t="s">
        <v>21821</v>
      </c>
      <c r="B12831" t="s">
        <v>4453</v>
      </c>
      <c r="C12831" t="s">
        <v>23</v>
      </c>
      <c r="D12831" t="s">
        <v>14</v>
      </c>
      <c r="E12831" t="s">
        <v>241</v>
      </c>
      <c r="F12831" s="2" t="str">
        <f>HYPERLINK("http://www.otzar.org/book.asp?615568","והלכת בדרכיו")</f>
        <v>והלכת בדרכיו</v>
      </c>
    </row>
    <row r="12832" spans="1:6" x14ac:dyDescent="0.2">
      <c r="A12832" t="s">
        <v>21822</v>
      </c>
      <c r="B12832" t="s">
        <v>21823</v>
      </c>
      <c r="C12832" t="s">
        <v>13</v>
      </c>
      <c r="D12832" t="s">
        <v>14</v>
      </c>
      <c r="E12832" t="s">
        <v>140</v>
      </c>
      <c r="F12832" s="2" t="str">
        <f>HYPERLINK("http://www.otzar.org/book.asp?178923","והלכתא כנחמני")</f>
        <v>והלכתא כנחמני</v>
      </c>
    </row>
    <row r="12833" spans="1:6" x14ac:dyDescent="0.2">
      <c r="A12833" t="s">
        <v>21822</v>
      </c>
      <c r="B12833" t="s">
        <v>21824</v>
      </c>
      <c r="C12833" t="s">
        <v>71</v>
      </c>
      <c r="D12833" t="s">
        <v>52</v>
      </c>
      <c r="E12833" t="s">
        <v>741</v>
      </c>
      <c r="F12833" s="2" t="str">
        <f>HYPERLINK("http://www.otzar.org/book.asp?143601","והלכתא כנחמני")</f>
        <v>והלכתא כנחמני</v>
      </c>
    </row>
    <row r="12834" spans="1:6" x14ac:dyDescent="0.2">
      <c r="A12834" t="s">
        <v>21825</v>
      </c>
      <c r="B12834" t="s">
        <v>3240</v>
      </c>
      <c r="C12834" t="s">
        <v>17</v>
      </c>
      <c r="D12834" t="s">
        <v>14</v>
      </c>
      <c r="E12834" t="s">
        <v>241</v>
      </c>
      <c r="F12834" s="2" t="str">
        <f>HYPERLINK("http://www.otzar.org/book.asp?17079","והמשכילים יבינו")</f>
        <v>והמשכילים יבינו</v>
      </c>
    </row>
    <row r="12835" spans="1:6" x14ac:dyDescent="0.2">
      <c r="A12835" t="s">
        <v>21826</v>
      </c>
      <c r="B12835" t="s">
        <v>21827</v>
      </c>
      <c r="C12835" t="s">
        <v>366</v>
      </c>
      <c r="D12835" t="s">
        <v>1632</v>
      </c>
      <c r="E12835" t="s">
        <v>172</v>
      </c>
      <c r="F12835" s="2" t="str">
        <f>HYPERLINK("http://www.otzar.org/book.asp?625641","והניף הכהן")</f>
        <v>והניף הכהן</v>
      </c>
    </row>
    <row r="12836" spans="1:6" x14ac:dyDescent="0.2">
      <c r="A12836" t="s">
        <v>21826</v>
      </c>
      <c r="B12836" t="s">
        <v>21828</v>
      </c>
      <c r="C12836" t="s">
        <v>151</v>
      </c>
      <c r="D12836" t="s">
        <v>21829</v>
      </c>
      <c r="F12836" s="2" t="str">
        <f>HYPERLINK("http://www.otzar.org/book.asp?622804","והניף הכהן")</f>
        <v>והניף הכהן</v>
      </c>
    </row>
    <row r="12837" spans="1:6" x14ac:dyDescent="0.2">
      <c r="A12837" t="s">
        <v>21830</v>
      </c>
      <c r="B12837" t="s">
        <v>21831</v>
      </c>
      <c r="C12837" t="s">
        <v>244</v>
      </c>
      <c r="D12837" t="s">
        <v>52</v>
      </c>
      <c r="E12837" t="s">
        <v>104</v>
      </c>
      <c r="F12837" s="2" t="str">
        <f>HYPERLINK("http://www.otzar.org/book.asp?199693","והנער נער")</f>
        <v>והנער נער</v>
      </c>
    </row>
    <row r="12838" spans="1:6" x14ac:dyDescent="0.2">
      <c r="A12838" t="s">
        <v>21832</v>
      </c>
      <c r="B12838" t="s">
        <v>21833</v>
      </c>
      <c r="C12838" t="s">
        <v>523</v>
      </c>
      <c r="D12838" t="s">
        <v>21</v>
      </c>
      <c r="E12838" t="s">
        <v>119</v>
      </c>
      <c r="F12838" s="2" t="str">
        <f>HYPERLINK("http://www.otzar.org/book.asp?191295","והסנה איננו אוכל")</f>
        <v>והסנה איננו אוכל</v>
      </c>
    </row>
    <row r="12839" spans="1:6" x14ac:dyDescent="0.2">
      <c r="A12839" t="s">
        <v>21834</v>
      </c>
      <c r="B12839" t="s">
        <v>19311</v>
      </c>
      <c r="C12839" t="s">
        <v>20</v>
      </c>
      <c r="D12839" t="s">
        <v>152</v>
      </c>
      <c r="F12839" s="2" t="str">
        <f>HYPERLINK("http://www.otzar.org/book.asp?608840","והערב נא")</f>
        <v>והערב נא</v>
      </c>
    </row>
    <row r="12840" spans="1:6" x14ac:dyDescent="0.2">
      <c r="A12840" t="s">
        <v>21834</v>
      </c>
      <c r="B12840" t="s">
        <v>21835</v>
      </c>
      <c r="C12840" t="s">
        <v>422</v>
      </c>
      <c r="D12840" t="s">
        <v>14</v>
      </c>
      <c r="E12840" t="s">
        <v>15</v>
      </c>
      <c r="F12840" s="2" t="str">
        <f>HYPERLINK("http://www.otzar.org/book.asp?154326","והערב נא")</f>
        <v>והערב נא</v>
      </c>
    </row>
    <row r="12841" spans="1:6" x14ac:dyDescent="0.2">
      <c r="A12841" t="s">
        <v>21836</v>
      </c>
      <c r="B12841" t="s">
        <v>21837</v>
      </c>
      <c r="C12841" t="s">
        <v>68</v>
      </c>
      <c r="D12841" t="s">
        <v>52</v>
      </c>
      <c r="E12841" t="s">
        <v>104</v>
      </c>
      <c r="F12841" s="2" t="str">
        <f>HYPERLINK("http://www.otzar.org/book.asp?156864","והצדיקו את הצדיק")</f>
        <v>והצדיקו את הצדיק</v>
      </c>
    </row>
    <row r="12842" spans="1:6" x14ac:dyDescent="0.2">
      <c r="A12842" t="s">
        <v>21838</v>
      </c>
      <c r="B12842" t="s">
        <v>19754</v>
      </c>
      <c r="C12842" t="s">
        <v>17</v>
      </c>
      <c r="D12842" t="s">
        <v>14</v>
      </c>
      <c r="E12842" t="s">
        <v>21839</v>
      </c>
      <c r="F12842" s="2" t="str">
        <f>HYPERLINK("http://www.otzar.org/book.asp?6237","והצנע לכת")</f>
        <v>והצנע לכת</v>
      </c>
    </row>
    <row r="12843" spans="1:6" x14ac:dyDescent="0.2">
      <c r="A12843" t="s">
        <v>21838</v>
      </c>
      <c r="B12843" t="s">
        <v>21840</v>
      </c>
      <c r="C12843" t="s">
        <v>146</v>
      </c>
      <c r="D12843" t="s">
        <v>52</v>
      </c>
      <c r="E12843" t="s">
        <v>15</v>
      </c>
      <c r="F12843" s="2" t="str">
        <f>HYPERLINK("http://www.otzar.org/book.asp?614486","והצנע לכת")</f>
        <v>והצנע לכת</v>
      </c>
    </row>
    <row r="12844" spans="1:6" x14ac:dyDescent="0.2">
      <c r="A12844" t="s">
        <v>21841</v>
      </c>
      <c r="B12844" t="s">
        <v>10968</v>
      </c>
      <c r="C12844" t="s">
        <v>366</v>
      </c>
      <c r="D12844" t="s">
        <v>14</v>
      </c>
      <c r="F12844" s="2" t="str">
        <f>HYPERLINK("http://www.otzar.org/book.asp?612206","והרבה להשיב - רביעאה")</f>
        <v>והרבה להשיב - רביעאה</v>
      </c>
    </row>
    <row r="12845" spans="1:6" x14ac:dyDescent="0.2">
      <c r="A12845" t="s">
        <v>21842</v>
      </c>
      <c r="B12845" t="s">
        <v>21843</v>
      </c>
      <c r="C12845" t="s">
        <v>1268</v>
      </c>
      <c r="D12845" t="s">
        <v>14</v>
      </c>
      <c r="E12845" t="s">
        <v>154</v>
      </c>
      <c r="F12845" s="2" t="str">
        <f>HYPERLINK("http://www.otzar.org/book.asp?158047","והרים הכהן - 5 כר'")</f>
        <v>והרים הכהן - 5 כר'</v>
      </c>
    </row>
    <row r="12846" spans="1:6" x14ac:dyDescent="0.2">
      <c r="A12846" t="s">
        <v>21844</v>
      </c>
      <c r="B12846" t="s">
        <v>21845</v>
      </c>
      <c r="C12846" t="s">
        <v>553</v>
      </c>
      <c r="D12846" t="s">
        <v>14</v>
      </c>
      <c r="E12846" t="s">
        <v>588</v>
      </c>
      <c r="F12846" s="2" t="str">
        <f>HYPERLINK("http://www.otzar.org/book.asp?159136","והשב כהנים")</f>
        <v>והשב כהנים</v>
      </c>
    </row>
    <row r="12847" spans="1:6" x14ac:dyDescent="0.2">
      <c r="A12847" t="s">
        <v>21846</v>
      </c>
      <c r="B12847" t="s">
        <v>16916</v>
      </c>
      <c r="C12847" t="s">
        <v>956</v>
      </c>
      <c r="D12847" t="s">
        <v>14</v>
      </c>
      <c r="E12847" t="s">
        <v>154</v>
      </c>
      <c r="F12847" s="2" t="str">
        <f>HYPERLINK("http://www.otzar.org/book.asp?51151","והשיב משה")</f>
        <v>והשיב משה</v>
      </c>
    </row>
    <row r="12848" spans="1:6" x14ac:dyDescent="0.2">
      <c r="A12848" t="s">
        <v>21846</v>
      </c>
      <c r="B12848" t="s">
        <v>8588</v>
      </c>
      <c r="C12848" t="s">
        <v>87</v>
      </c>
      <c r="D12848" t="s">
        <v>721</v>
      </c>
      <c r="E12848" t="s">
        <v>154</v>
      </c>
      <c r="F12848" s="2" t="str">
        <f>HYPERLINK("http://www.otzar.org/book.asp?149237","והשיב משה")</f>
        <v>והשיב משה</v>
      </c>
    </row>
    <row r="12849" spans="1:6" x14ac:dyDescent="0.2">
      <c r="A12849" t="s">
        <v>21847</v>
      </c>
      <c r="B12849" t="s">
        <v>21848</v>
      </c>
      <c r="C12849" t="s">
        <v>133</v>
      </c>
      <c r="D12849" t="s">
        <v>52</v>
      </c>
      <c r="E12849" t="s">
        <v>241</v>
      </c>
      <c r="F12849" s="2" t="str">
        <f>HYPERLINK("http://www.otzar.org/book.asp?181476","והתענג על ד'")</f>
        <v>והתענג על ד'</v>
      </c>
    </row>
    <row r="12850" spans="1:6" x14ac:dyDescent="0.2">
      <c r="A12850" t="s">
        <v>21849</v>
      </c>
      <c r="B12850" t="s">
        <v>3614</v>
      </c>
      <c r="C12850" t="s">
        <v>609</v>
      </c>
      <c r="D12850" t="s">
        <v>412</v>
      </c>
      <c r="E12850" t="s">
        <v>140</v>
      </c>
      <c r="F12850" s="2" t="str">
        <f>HYPERLINK("http://www.otzar.org/book.asp?619109","וואונדער מעשיות פון רבי נחמן בראסלאווער")</f>
        <v>וואונדער מעשיות פון רבי נחמן בראסלאווער</v>
      </c>
    </row>
    <row r="12851" spans="1:6" x14ac:dyDescent="0.2">
      <c r="A12851" t="s">
        <v>21850</v>
      </c>
      <c r="B12851" t="s">
        <v>2365</v>
      </c>
      <c r="C12851" t="s">
        <v>3205</v>
      </c>
      <c r="D12851" t="s">
        <v>412</v>
      </c>
      <c r="F12851" s="2" t="str">
        <f>HYPERLINK("http://www.otzar.org/book.asp?602606","וואכף אויף, וואכט אויף! דאס אידישע הויז ברענט")</f>
        <v>וואכף אויף, וואכט אויף! דאס אידישע הויז ברענט</v>
      </c>
    </row>
    <row r="12852" spans="1:6" x14ac:dyDescent="0.2">
      <c r="A12852" t="s">
        <v>21851</v>
      </c>
      <c r="B12852" t="s">
        <v>21852</v>
      </c>
      <c r="C12852" t="s">
        <v>224</v>
      </c>
      <c r="D12852" t="s">
        <v>1566</v>
      </c>
      <c r="F12852" s="2" t="str">
        <f>HYPERLINK("http://www.otzar.org/book.asp?182371","וואס איז און וויל הבונה")</f>
        <v>וואס איז און וויל הבונה</v>
      </c>
    </row>
    <row r="12853" spans="1:6" x14ac:dyDescent="0.2">
      <c r="A12853" t="s">
        <v>21853</v>
      </c>
      <c r="B12853" t="s">
        <v>21854</v>
      </c>
      <c r="C12853" t="s">
        <v>21855</v>
      </c>
      <c r="D12853" t="s">
        <v>412</v>
      </c>
      <c r="F12853" s="2" t="str">
        <f>HYPERLINK("http://www.otzar.org/book.asp?196483","ווארט און צייט - 2 כר'")</f>
        <v>ווארט און צייט - 2 כר'</v>
      </c>
    </row>
    <row r="12854" spans="1:6" x14ac:dyDescent="0.2">
      <c r="A12854" t="s">
        <v>21856</v>
      </c>
      <c r="B12854" t="s">
        <v>21857</v>
      </c>
      <c r="C12854" t="s">
        <v>919</v>
      </c>
      <c r="D12854" t="s">
        <v>3560</v>
      </c>
      <c r="F12854" s="2" t="str">
        <f>HYPERLINK("http://www.otzar.org/book.asp?612665","ווארשע של מטה")</f>
        <v>ווארשע של מטה</v>
      </c>
    </row>
    <row r="12855" spans="1:6" x14ac:dyDescent="0.2">
      <c r="A12855" t="s">
        <v>21858</v>
      </c>
      <c r="B12855" t="s">
        <v>21859</v>
      </c>
      <c r="C12855" t="s">
        <v>1278</v>
      </c>
      <c r="D12855" t="s">
        <v>212</v>
      </c>
      <c r="E12855" t="s">
        <v>15</v>
      </c>
      <c r="F12855" s="2" t="str">
        <f>HYPERLINK("http://www.otzar.org/book.asp?23516","ווי העמודים &lt;על ספר יראים&gt;")</f>
        <v>ווי העמודים &lt;על ספר יראים&gt;</v>
      </c>
    </row>
    <row r="12856" spans="1:6" x14ac:dyDescent="0.2">
      <c r="A12856" t="s">
        <v>21860</v>
      </c>
      <c r="B12856" t="s">
        <v>21861</v>
      </c>
      <c r="C12856" t="s">
        <v>37</v>
      </c>
      <c r="D12856" t="s">
        <v>1974</v>
      </c>
      <c r="F12856" s="2" t="str">
        <f>HYPERLINK("http://www.otzar.org/book.asp?620118","ווי העמודים וחשוקיהם - 63 כר'")</f>
        <v>ווי העמודים וחשוקיהם - 63 כר'</v>
      </c>
    </row>
    <row r="12857" spans="1:6" x14ac:dyDescent="0.2">
      <c r="A12857" t="s">
        <v>21862</v>
      </c>
      <c r="B12857" t="s">
        <v>21863</v>
      </c>
      <c r="E12857" t="s">
        <v>154</v>
      </c>
      <c r="F12857" s="2" t="str">
        <f>HYPERLINK("http://www.otzar.org/book.asp?622736","ווי העמודים")</f>
        <v>ווי העמודים</v>
      </c>
    </row>
    <row r="12858" spans="1:6" x14ac:dyDescent="0.2">
      <c r="A12858" t="s">
        <v>21864</v>
      </c>
      <c r="B12858" t="s">
        <v>338</v>
      </c>
      <c r="C12858" t="s">
        <v>37</v>
      </c>
      <c r="D12858" t="s">
        <v>14</v>
      </c>
      <c r="E12858" t="s">
        <v>154</v>
      </c>
      <c r="F12858" s="2" t="str">
        <f>HYPERLINK("http://www.otzar.org/book.asp?608587","ווי העמודים - א")</f>
        <v>ווי העמודים - א</v>
      </c>
    </row>
    <row r="12859" spans="1:6" x14ac:dyDescent="0.2">
      <c r="A12859" t="s">
        <v>21865</v>
      </c>
      <c r="B12859" t="s">
        <v>686</v>
      </c>
      <c r="C12859" t="s">
        <v>189</v>
      </c>
      <c r="D12859" t="s">
        <v>52</v>
      </c>
      <c r="E12859" t="s">
        <v>564</v>
      </c>
      <c r="F12859" s="2" t="str">
        <f>HYPERLINK("http://www.otzar.org/book.asp?50417","ווי עמודים")</f>
        <v>ווי עמודים</v>
      </c>
    </row>
    <row r="12860" spans="1:6" x14ac:dyDescent="0.2">
      <c r="A12860" t="s">
        <v>21866</v>
      </c>
      <c r="B12860" t="s">
        <v>9358</v>
      </c>
      <c r="C12860" t="s">
        <v>919</v>
      </c>
      <c r="D12860" t="s">
        <v>118</v>
      </c>
      <c r="E12860" t="s">
        <v>202</v>
      </c>
      <c r="F12860" s="2" t="str">
        <f>HYPERLINK("http://www.otzar.org/book.asp?64306","ווייסליץ - ספר וויסליץ")</f>
        <v>ווייסליץ - ספר וויסליץ</v>
      </c>
    </row>
    <row r="12861" spans="1:6" x14ac:dyDescent="0.2">
      <c r="A12861" t="s">
        <v>21867</v>
      </c>
      <c r="B12861" t="s">
        <v>14966</v>
      </c>
      <c r="C12861" t="s">
        <v>506</v>
      </c>
      <c r="D12861" t="s">
        <v>21868</v>
      </c>
      <c r="E12861" t="s">
        <v>241</v>
      </c>
      <c r="F12861" s="2" t="str">
        <f>HYPERLINK("http://www.otzar.org/book.asp?100134","וויכוח רבה")</f>
        <v>וויכוח רבה</v>
      </c>
    </row>
    <row r="12862" spans="1:6" x14ac:dyDescent="0.2">
      <c r="A12862" t="s">
        <v>21869</v>
      </c>
      <c r="B12862" t="s">
        <v>21870</v>
      </c>
      <c r="C12862" t="s">
        <v>558</v>
      </c>
      <c r="D12862" t="s">
        <v>225</v>
      </c>
      <c r="E12862" t="s">
        <v>241</v>
      </c>
      <c r="F12862" s="2" t="str">
        <f>HYPERLINK("http://www.otzar.org/book.asp?12960","וויכוחא רבה - 3 כר'")</f>
        <v>וויכוחא רבה - 3 כר'</v>
      </c>
    </row>
    <row r="12863" spans="1:6" x14ac:dyDescent="0.2">
      <c r="A12863" t="s">
        <v>21871</v>
      </c>
      <c r="B12863" t="s">
        <v>21872</v>
      </c>
      <c r="C12863" t="s">
        <v>2870</v>
      </c>
      <c r="D12863" t="s">
        <v>344</v>
      </c>
      <c r="F12863" s="2" t="str">
        <f>HYPERLINK("http://www.otzar.org/book.asp?620230","ווילנער זאמעלבוך - א")</f>
        <v>ווילנער זאמעלבוך - א</v>
      </c>
    </row>
    <row r="12864" spans="1:6" x14ac:dyDescent="0.2">
      <c r="A12864" t="s">
        <v>21873</v>
      </c>
      <c r="B12864" t="s">
        <v>21874</v>
      </c>
      <c r="C12864" t="s">
        <v>20</v>
      </c>
      <c r="D12864" t="s">
        <v>115</v>
      </c>
      <c r="E12864" t="s">
        <v>158</v>
      </c>
      <c r="F12864" s="2" t="str">
        <f>HYPERLINK("http://www.otzar.org/book.asp?64311","ווים לעמודים &lt;תורה&gt; - 2 כר'")</f>
        <v>ווים לעמודים &lt;תורה&gt; - 2 כר'</v>
      </c>
    </row>
    <row r="12865" spans="1:6" x14ac:dyDescent="0.2">
      <c r="A12865" t="s">
        <v>21875</v>
      </c>
      <c r="B12865" t="s">
        <v>21874</v>
      </c>
      <c r="C12865" t="s">
        <v>20</v>
      </c>
      <c r="D12865" t="s">
        <v>115</v>
      </c>
      <c r="E12865" t="s">
        <v>8341</v>
      </c>
      <c r="F12865" s="2" t="str">
        <f>HYPERLINK("http://www.otzar.org/book.asp?64314","ווים לעמודים - 3 כר'")</f>
        <v>ווים לעמודים - 3 כר'</v>
      </c>
    </row>
    <row r="12866" spans="1:6" x14ac:dyDescent="0.2">
      <c r="A12866" t="s">
        <v>21876</v>
      </c>
      <c r="B12866" t="s">
        <v>21877</v>
      </c>
      <c r="C12866" t="s">
        <v>23</v>
      </c>
      <c r="D12866" t="s">
        <v>14</v>
      </c>
      <c r="F12866" s="2" t="str">
        <f>HYPERLINK("http://www.otzar.org/book.asp?604514","ווינרס &lt;יודאיקה ירושלים&gt; - 9 כר'")</f>
        <v>ווינרס &lt;יודאיקה ירושלים&gt; - 9 כר'</v>
      </c>
    </row>
    <row r="12867" spans="1:6" x14ac:dyDescent="0.2">
      <c r="A12867" t="s">
        <v>21878</v>
      </c>
      <c r="B12867" t="s">
        <v>9358</v>
      </c>
      <c r="C12867" t="s">
        <v>989</v>
      </c>
      <c r="D12867" t="s">
        <v>216</v>
      </c>
      <c r="E12867" t="s">
        <v>199</v>
      </c>
      <c r="F12867" s="2" t="str">
        <f>HYPERLINK("http://www.otzar.org/book.asp?83789","וולוז'ין - ספרה של העיר ושל ישיבת עץ חיים")</f>
        <v>וולוז'ין - ספרה של העיר ושל ישיבת עץ חיים</v>
      </c>
    </row>
    <row r="12868" spans="1:6" x14ac:dyDescent="0.2">
      <c r="A12868" t="s">
        <v>21879</v>
      </c>
      <c r="B12868" t="s">
        <v>21880</v>
      </c>
      <c r="C12868" t="s">
        <v>21881</v>
      </c>
      <c r="D12868" t="s">
        <v>1279</v>
      </c>
      <c r="E12868" t="s">
        <v>920</v>
      </c>
      <c r="F12868" s="2" t="str">
        <f>HYPERLINK("http://www.otzar.org/book.asp?104528","וועד חכמים &lt;מאיר עיני חכמים&gt;")</f>
        <v>וועד חכמים &lt;מאיר עיני חכמים&gt;</v>
      </c>
    </row>
    <row r="12869" spans="1:6" x14ac:dyDescent="0.2">
      <c r="A12869" t="s">
        <v>21882</v>
      </c>
      <c r="B12869" t="s">
        <v>21883</v>
      </c>
      <c r="C12869" t="s">
        <v>728</v>
      </c>
      <c r="D12869" t="s">
        <v>726</v>
      </c>
      <c r="E12869" t="s">
        <v>144</v>
      </c>
      <c r="F12869" s="2" t="str">
        <f>HYPERLINK("http://www.otzar.org/book.asp?168921","וועד לחכמים - 2 כר'")</f>
        <v>וועד לחכמים - 2 כר'</v>
      </c>
    </row>
    <row r="12870" spans="1:6" x14ac:dyDescent="0.2">
      <c r="A12870" t="s">
        <v>21884</v>
      </c>
      <c r="B12870" t="s">
        <v>2365</v>
      </c>
      <c r="C12870" t="s">
        <v>79</v>
      </c>
      <c r="D12870" t="s">
        <v>412</v>
      </c>
      <c r="E12870" t="s">
        <v>119</v>
      </c>
      <c r="F12870" s="2" t="str">
        <f>HYPERLINK("http://www.otzar.org/book.asp?156922","ווען די וועלט האט געברענט - 2 כר'")</f>
        <v>ווען די וועלט האט געברענט - 2 כר'</v>
      </c>
    </row>
    <row r="12871" spans="1:6" x14ac:dyDescent="0.2">
      <c r="A12871" t="s">
        <v>21885</v>
      </c>
      <c r="B12871" t="s">
        <v>21886</v>
      </c>
      <c r="C12871" t="s">
        <v>427</v>
      </c>
      <c r="D12871" t="s">
        <v>52</v>
      </c>
      <c r="E12871" t="s">
        <v>733</v>
      </c>
      <c r="F12871" s="2" t="str">
        <f>HYPERLINK("http://www.otzar.org/book.asp?151708","וורשה של מעלה")</f>
        <v>וורשה של מעלה</v>
      </c>
    </row>
    <row r="12872" spans="1:6" x14ac:dyDescent="0.2">
      <c r="A12872" t="s">
        <v>21887</v>
      </c>
      <c r="B12872" t="s">
        <v>21888</v>
      </c>
      <c r="C12872" t="s">
        <v>244</v>
      </c>
      <c r="D12872" t="s">
        <v>21</v>
      </c>
      <c r="E12872" t="s">
        <v>15</v>
      </c>
      <c r="F12872" s="2" t="str">
        <f>HYPERLINK("http://www.otzar.org/book.asp?197183","וזאת הברכה - 2 כר'")</f>
        <v>וזאת הברכה - 2 כר'</v>
      </c>
    </row>
    <row r="12873" spans="1:6" x14ac:dyDescent="0.2">
      <c r="A12873" t="s">
        <v>21889</v>
      </c>
      <c r="B12873" t="s">
        <v>7485</v>
      </c>
      <c r="C12873" t="s">
        <v>366</v>
      </c>
      <c r="D12873" t="s">
        <v>14</v>
      </c>
      <c r="E12873" t="s">
        <v>15</v>
      </c>
      <c r="F12873" s="2" t="str">
        <f>HYPERLINK("http://www.otzar.org/book.asp?622101","וזאת הברכה")</f>
        <v>וזאת הברכה</v>
      </c>
    </row>
    <row r="12874" spans="1:6" x14ac:dyDescent="0.2">
      <c r="A12874" t="s">
        <v>21890</v>
      </c>
      <c r="B12874" t="s">
        <v>2396</v>
      </c>
      <c r="C12874" t="s">
        <v>411</v>
      </c>
      <c r="D12874" t="s">
        <v>1076</v>
      </c>
      <c r="E12874" t="s">
        <v>158</v>
      </c>
      <c r="F12874" s="2" t="str">
        <f>HYPERLINK("http://www.otzar.org/book.asp?617266","וזאת הברכה - בפסוקי התורה")</f>
        <v>וזאת הברכה - בפסוקי התורה</v>
      </c>
    </row>
    <row r="12875" spans="1:6" x14ac:dyDescent="0.2">
      <c r="A12875" t="s">
        <v>21891</v>
      </c>
      <c r="B12875" t="s">
        <v>5564</v>
      </c>
      <c r="C12875" t="s">
        <v>71</v>
      </c>
      <c r="D12875" t="s">
        <v>14</v>
      </c>
      <c r="E12875" t="s">
        <v>246</v>
      </c>
      <c r="F12875" s="2" t="str">
        <f>HYPERLINK("http://www.otzar.org/book.asp?159338","וזאת המנוחה")</f>
        <v>וזאת המנוחה</v>
      </c>
    </row>
    <row r="12876" spans="1:6" x14ac:dyDescent="0.2">
      <c r="A12876" t="s">
        <v>21892</v>
      </c>
      <c r="B12876" t="s">
        <v>21893</v>
      </c>
      <c r="C12876" t="s">
        <v>366</v>
      </c>
      <c r="D12876" t="s">
        <v>21</v>
      </c>
      <c r="E12876" t="s">
        <v>15</v>
      </c>
      <c r="F12876" s="2" t="str">
        <f>HYPERLINK("http://www.otzar.org/book.asp?629762","וזאת התורה")</f>
        <v>וזאת התורה</v>
      </c>
    </row>
    <row r="12877" spans="1:6" x14ac:dyDescent="0.2">
      <c r="A12877" t="s">
        <v>21894</v>
      </c>
      <c r="B12877" t="s">
        <v>2942</v>
      </c>
      <c r="C12877" t="s">
        <v>23</v>
      </c>
      <c r="D12877" t="s">
        <v>90</v>
      </c>
      <c r="E12877" t="s">
        <v>202</v>
      </c>
      <c r="F12877" s="2" t="str">
        <f>HYPERLINK("http://www.otzar.org/book.asp?625589","וזאת התורה - 2 כר'")</f>
        <v>וזאת התורה - 2 כר'</v>
      </c>
    </row>
    <row r="12878" spans="1:6" x14ac:dyDescent="0.2">
      <c r="A12878" t="s">
        <v>21892</v>
      </c>
      <c r="B12878" t="s">
        <v>21895</v>
      </c>
      <c r="C12878" t="s">
        <v>244</v>
      </c>
      <c r="D12878" t="s">
        <v>1156</v>
      </c>
      <c r="F12878" s="2" t="str">
        <f>HYPERLINK("http://www.otzar.org/book.asp?614461","וזאת התורה")</f>
        <v>וזאת התורה</v>
      </c>
    </row>
    <row r="12879" spans="1:6" x14ac:dyDescent="0.2">
      <c r="A12879" t="s">
        <v>21892</v>
      </c>
      <c r="B12879" t="s">
        <v>5092</v>
      </c>
      <c r="C12879" t="s">
        <v>313</v>
      </c>
      <c r="D12879" t="s">
        <v>412</v>
      </c>
      <c r="E12879" t="s">
        <v>714</v>
      </c>
      <c r="F12879" s="2" t="str">
        <f>HYPERLINK("http://www.otzar.org/book.asp?160398","וזאת התורה")</f>
        <v>וזאת התורה</v>
      </c>
    </row>
    <row r="12880" spans="1:6" x14ac:dyDescent="0.2">
      <c r="A12880" t="s">
        <v>21892</v>
      </c>
      <c r="B12880" t="s">
        <v>21896</v>
      </c>
      <c r="C12880" t="s">
        <v>146</v>
      </c>
      <c r="D12880" t="s">
        <v>14</v>
      </c>
      <c r="E12880" t="s">
        <v>158</v>
      </c>
      <c r="F12880" s="2" t="str">
        <f>HYPERLINK("http://www.otzar.org/book.asp?63763","וזאת התורה")</f>
        <v>וזאת התורה</v>
      </c>
    </row>
    <row r="12881" spans="1:6" x14ac:dyDescent="0.2">
      <c r="A12881" t="s">
        <v>21897</v>
      </c>
      <c r="B12881" t="s">
        <v>20319</v>
      </c>
      <c r="C12881" t="s">
        <v>21898</v>
      </c>
      <c r="D12881" t="s">
        <v>2303</v>
      </c>
      <c r="E12881" t="s">
        <v>15</v>
      </c>
      <c r="F12881" s="2" t="str">
        <f>HYPERLINK("http://www.otzar.org/book.asp?100822","וזאת ליהודא")</f>
        <v>וזאת ליהודא</v>
      </c>
    </row>
    <row r="12882" spans="1:6" x14ac:dyDescent="0.2">
      <c r="A12882" t="s">
        <v>21899</v>
      </c>
      <c r="B12882" t="s">
        <v>21900</v>
      </c>
      <c r="C12882" t="s">
        <v>17</v>
      </c>
      <c r="D12882" t="s">
        <v>52</v>
      </c>
      <c r="E12882" t="s">
        <v>213</v>
      </c>
      <c r="F12882" s="2" t="str">
        <f>HYPERLINK("http://www.otzar.org/book.asp?159978","וזאת ליהודא - ב")</f>
        <v>וזאת ליהודא - ב</v>
      </c>
    </row>
    <row r="12883" spans="1:6" x14ac:dyDescent="0.2">
      <c r="A12883" t="s">
        <v>21897</v>
      </c>
      <c r="B12883" t="s">
        <v>21901</v>
      </c>
      <c r="C12883" t="s">
        <v>1535</v>
      </c>
      <c r="D12883" t="s">
        <v>582</v>
      </c>
      <c r="E12883" t="s">
        <v>172</v>
      </c>
      <c r="F12883" s="2" t="str">
        <f>HYPERLINK("http://www.otzar.org/book.asp?142518","וזאת ליהודא")</f>
        <v>וזאת ליהודא</v>
      </c>
    </row>
    <row r="12884" spans="1:6" x14ac:dyDescent="0.2">
      <c r="A12884" t="s">
        <v>21902</v>
      </c>
      <c r="B12884" t="s">
        <v>21903</v>
      </c>
      <c r="C12884" t="s">
        <v>2740</v>
      </c>
      <c r="D12884" t="s">
        <v>2740</v>
      </c>
      <c r="F12884" s="2" t="str">
        <f>HYPERLINK("http://www.otzar.org/book.asp?182994","וזאת ליהודה (כתב יד) - 3 כר'")</f>
        <v>וזאת ליהודה (כתב יד) - 3 כר'</v>
      </c>
    </row>
    <row r="12885" spans="1:6" x14ac:dyDescent="0.2">
      <c r="A12885" t="s">
        <v>21904</v>
      </c>
      <c r="B12885" t="s">
        <v>21905</v>
      </c>
      <c r="C12885" t="s">
        <v>454</v>
      </c>
      <c r="D12885" t="s">
        <v>14</v>
      </c>
      <c r="F12885" s="2" t="str">
        <f>HYPERLINK("http://www.otzar.org/book.asp?176949","וזאת ליהודה (מאמר הנפש - תולדות רבינו מנחם עזריה)")</f>
        <v>וזאת ליהודה (מאמר הנפש - תולדות רבינו מנחם עזריה)</v>
      </c>
    </row>
    <row r="12886" spans="1:6" x14ac:dyDescent="0.2">
      <c r="A12886" t="s">
        <v>21906</v>
      </c>
      <c r="B12886" t="s">
        <v>552</v>
      </c>
      <c r="C12886" t="s">
        <v>356</v>
      </c>
      <c r="D12886" t="s">
        <v>14</v>
      </c>
      <c r="E12886" t="s">
        <v>21907</v>
      </c>
      <c r="F12886" s="2" t="str">
        <f>HYPERLINK("http://www.otzar.org/book.asp?13530","וזאת ליהודה [גרוס]")</f>
        <v>וזאת ליהודה [גרוס]</v>
      </c>
    </row>
    <row r="12887" spans="1:6" x14ac:dyDescent="0.2">
      <c r="A12887" t="s">
        <v>21908</v>
      </c>
      <c r="B12887" t="s">
        <v>21909</v>
      </c>
      <c r="C12887" t="s">
        <v>422</v>
      </c>
      <c r="D12887" t="s">
        <v>14</v>
      </c>
      <c r="E12887" t="s">
        <v>21910</v>
      </c>
      <c r="F12887" s="2" t="str">
        <f>HYPERLINK("http://www.otzar.org/book.asp?179436","וזאת ליהודה")</f>
        <v>וזאת ליהודה</v>
      </c>
    </row>
    <row r="12888" spans="1:6" x14ac:dyDescent="0.2">
      <c r="A12888" t="s">
        <v>21911</v>
      </c>
      <c r="B12888" t="s">
        <v>21912</v>
      </c>
      <c r="C12888" t="s">
        <v>20</v>
      </c>
      <c r="D12888" t="s">
        <v>2458</v>
      </c>
      <c r="E12888" t="s">
        <v>186</v>
      </c>
      <c r="F12888" s="2" t="str">
        <f>HYPERLINK("http://www.otzar.org/book.asp?180891","וזאת ליהודה - להקים שם")</f>
        <v>וזאת ליהודה - להקים שם</v>
      </c>
    </row>
    <row r="12889" spans="1:6" x14ac:dyDescent="0.2">
      <c r="A12889" t="s">
        <v>21908</v>
      </c>
      <c r="B12889" t="s">
        <v>21913</v>
      </c>
      <c r="C12889" t="s">
        <v>189</v>
      </c>
      <c r="D12889" t="s">
        <v>412</v>
      </c>
      <c r="F12889" s="2" t="str">
        <f>HYPERLINK("http://www.otzar.org/book.asp?153482","וזאת ליהודה")</f>
        <v>וזאת ליהודה</v>
      </c>
    </row>
    <row r="12890" spans="1:6" x14ac:dyDescent="0.2">
      <c r="A12890" t="s">
        <v>21908</v>
      </c>
      <c r="B12890" t="s">
        <v>21914</v>
      </c>
      <c r="C12890" t="s">
        <v>68</v>
      </c>
      <c r="D12890" t="s">
        <v>14</v>
      </c>
      <c r="E12890" t="s">
        <v>15</v>
      </c>
      <c r="F12890" s="2" t="str">
        <f>HYPERLINK("http://www.otzar.org/book.asp?158497","וזאת ליהודה")</f>
        <v>וזאת ליהודה</v>
      </c>
    </row>
    <row r="12891" spans="1:6" x14ac:dyDescent="0.2">
      <c r="A12891" t="s">
        <v>21908</v>
      </c>
      <c r="B12891" t="s">
        <v>21915</v>
      </c>
      <c r="C12891" t="s">
        <v>366</v>
      </c>
      <c r="D12891" t="s">
        <v>14</v>
      </c>
      <c r="E12891" t="s">
        <v>230</v>
      </c>
      <c r="F12891" s="2" t="str">
        <f>HYPERLINK("http://www.otzar.org/book.asp?627844","וזאת ליהודה")</f>
        <v>וזאת ליהודה</v>
      </c>
    </row>
    <row r="12892" spans="1:6" x14ac:dyDescent="0.2">
      <c r="A12892" t="s">
        <v>21908</v>
      </c>
      <c r="B12892" t="s">
        <v>21916</v>
      </c>
      <c r="C12892" t="s">
        <v>1169</v>
      </c>
      <c r="D12892" t="s">
        <v>80</v>
      </c>
      <c r="E12892" t="s">
        <v>21917</v>
      </c>
      <c r="F12892" s="2" t="str">
        <f>HYPERLINK("http://www.otzar.org/book.asp?52138","וזאת ליהודה")</f>
        <v>וזאת ליהודה</v>
      </c>
    </row>
    <row r="12893" spans="1:6" x14ac:dyDescent="0.2">
      <c r="A12893" t="s">
        <v>21908</v>
      </c>
      <c r="B12893" t="s">
        <v>1306</v>
      </c>
      <c r="C12893" t="s">
        <v>985</v>
      </c>
      <c r="D12893" t="s">
        <v>27</v>
      </c>
      <c r="E12893" t="s">
        <v>104</v>
      </c>
      <c r="F12893" s="2" t="str">
        <f>HYPERLINK("http://www.otzar.org/book.asp?179112","וזאת ליהודה")</f>
        <v>וזאת ליהודה</v>
      </c>
    </row>
    <row r="12894" spans="1:6" x14ac:dyDescent="0.2">
      <c r="A12894" t="s">
        <v>21908</v>
      </c>
      <c r="B12894" t="s">
        <v>21918</v>
      </c>
      <c r="C12894" t="s">
        <v>13</v>
      </c>
      <c r="D12894" t="s">
        <v>14</v>
      </c>
      <c r="E12894" t="s">
        <v>684</v>
      </c>
      <c r="F12894" s="2" t="str">
        <f>HYPERLINK("http://www.otzar.org/book.asp?161648","וזאת ליהודה")</f>
        <v>וזאת ליהודה</v>
      </c>
    </row>
    <row r="12895" spans="1:6" x14ac:dyDescent="0.2">
      <c r="A12895" t="s">
        <v>21919</v>
      </c>
      <c r="B12895" t="s">
        <v>21920</v>
      </c>
      <c r="C12895" t="s">
        <v>454</v>
      </c>
      <c r="D12895" t="s">
        <v>52</v>
      </c>
      <c r="F12895" s="2" t="str">
        <f>HYPERLINK("http://www.otzar.org/book.asp?163797","וזאת ליהודה - 2 כר'")</f>
        <v>וזאת ליהודה - 2 כר'</v>
      </c>
    </row>
    <row r="12896" spans="1:6" x14ac:dyDescent="0.2">
      <c r="A12896" t="s">
        <v>21921</v>
      </c>
      <c r="B12896" t="s">
        <v>4090</v>
      </c>
      <c r="C12896" t="s">
        <v>146</v>
      </c>
      <c r="D12896" t="s">
        <v>52</v>
      </c>
      <c r="F12896" s="2" t="str">
        <f>HYPERLINK("http://www.otzar.org/book.asp?617355","וזאת ליהודה - ב")</f>
        <v>וזאת ליהודה - ב</v>
      </c>
    </row>
    <row r="12897" spans="1:6" x14ac:dyDescent="0.2">
      <c r="A12897" t="s">
        <v>21908</v>
      </c>
      <c r="B12897" t="s">
        <v>21922</v>
      </c>
      <c r="C12897" t="s">
        <v>576</v>
      </c>
      <c r="D12897" t="s">
        <v>303</v>
      </c>
      <c r="E12897" t="s">
        <v>154</v>
      </c>
      <c r="F12897" s="2" t="str">
        <f>HYPERLINK("http://www.otzar.org/book.asp?52136","וזאת ליהודה")</f>
        <v>וזאת ליהודה</v>
      </c>
    </row>
    <row r="12898" spans="1:6" x14ac:dyDescent="0.2">
      <c r="A12898" t="s">
        <v>21908</v>
      </c>
      <c r="B12898" t="s">
        <v>3166</v>
      </c>
      <c r="C12898" t="s">
        <v>87</v>
      </c>
      <c r="D12898" t="s">
        <v>14</v>
      </c>
      <c r="E12898" t="s">
        <v>104</v>
      </c>
      <c r="F12898" s="2" t="str">
        <f>HYPERLINK("http://www.otzar.org/book.asp?200379","וזאת ליהודה")</f>
        <v>וזאת ליהודה</v>
      </c>
    </row>
    <row r="12899" spans="1:6" x14ac:dyDescent="0.2">
      <c r="A12899" t="s">
        <v>21923</v>
      </c>
      <c r="B12899" t="s">
        <v>10154</v>
      </c>
      <c r="C12899" t="s">
        <v>279</v>
      </c>
      <c r="D12899" t="s">
        <v>5665</v>
      </c>
      <c r="E12899" t="s">
        <v>21924</v>
      </c>
      <c r="F12899" s="2" t="str">
        <f>HYPERLINK("http://www.otzar.org/book.asp?100956","וזאת ליהודה - 3 כר'")</f>
        <v>וזאת ליהודה - 3 כר'</v>
      </c>
    </row>
    <row r="12900" spans="1:6" x14ac:dyDescent="0.2">
      <c r="A12900" t="s">
        <v>21908</v>
      </c>
      <c r="B12900" t="s">
        <v>21925</v>
      </c>
      <c r="C12900" t="s">
        <v>454</v>
      </c>
      <c r="D12900" t="s">
        <v>10790</v>
      </c>
      <c r="E12900" t="s">
        <v>15</v>
      </c>
      <c r="F12900" s="2" t="str">
        <f>HYPERLINK("http://www.otzar.org/book.asp?164209","וזאת ליהודה")</f>
        <v>וזאת ליהודה</v>
      </c>
    </row>
    <row r="12901" spans="1:6" x14ac:dyDescent="0.2">
      <c r="A12901" t="s">
        <v>21908</v>
      </c>
      <c r="B12901" t="s">
        <v>21926</v>
      </c>
      <c r="C12901" t="s">
        <v>725</v>
      </c>
      <c r="D12901" t="s">
        <v>283</v>
      </c>
      <c r="E12901" t="s">
        <v>144</v>
      </c>
      <c r="F12901" s="2" t="str">
        <f>HYPERLINK("http://www.otzar.org/book.asp?182203","וזאת ליהודה")</f>
        <v>וזאת ליהודה</v>
      </c>
    </row>
    <row r="12902" spans="1:6" x14ac:dyDescent="0.2">
      <c r="A12902" t="s">
        <v>21927</v>
      </c>
      <c r="B12902" t="s">
        <v>6402</v>
      </c>
      <c r="C12902" t="s">
        <v>775</v>
      </c>
      <c r="D12902" t="s">
        <v>14</v>
      </c>
      <c r="F12902" s="2" t="str">
        <f>HYPERLINK("http://www.otzar.org/book.asp?611152","וזאת ליהודה - ימים נוראים")</f>
        <v>וזאת ליהודה - ימים נוראים</v>
      </c>
    </row>
    <row r="12903" spans="1:6" x14ac:dyDescent="0.2">
      <c r="A12903" t="s">
        <v>21908</v>
      </c>
      <c r="B12903" t="s">
        <v>21928</v>
      </c>
      <c r="C12903" t="s">
        <v>21929</v>
      </c>
      <c r="D12903" t="s">
        <v>13317</v>
      </c>
      <c r="E12903" t="s">
        <v>234</v>
      </c>
      <c r="F12903" s="2" t="str">
        <f>HYPERLINK("http://www.otzar.org/book.asp?195900","וזאת ליהודה")</f>
        <v>וזאת ליהודה</v>
      </c>
    </row>
    <row r="12904" spans="1:6" x14ac:dyDescent="0.2">
      <c r="A12904" t="s">
        <v>21930</v>
      </c>
      <c r="B12904" t="s">
        <v>21931</v>
      </c>
      <c r="C12904" t="s">
        <v>767</v>
      </c>
      <c r="D12904" t="s">
        <v>52</v>
      </c>
      <c r="E12904" t="s">
        <v>144</v>
      </c>
      <c r="F12904" s="2" t="str">
        <f>HYPERLINK("http://www.otzar.org/book.asp?152436","וזאת ליהודה - 9 כר'")</f>
        <v>וזאת ליהודה - 9 כר'</v>
      </c>
    </row>
    <row r="12905" spans="1:6" x14ac:dyDescent="0.2">
      <c r="A12905" t="s">
        <v>21932</v>
      </c>
      <c r="B12905" t="s">
        <v>21933</v>
      </c>
      <c r="C12905" t="s">
        <v>609</v>
      </c>
      <c r="D12905" t="s">
        <v>27</v>
      </c>
      <c r="E12905" t="s">
        <v>263</v>
      </c>
      <c r="F12905" s="2" t="str">
        <f>HYPERLINK("http://www.otzar.org/book.asp?104827","וזאת ליצחק")</f>
        <v>וזאת ליצחק</v>
      </c>
    </row>
    <row r="12906" spans="1:6" x14ac:dyDescent="0.2">
      <c r="A12906" t="s">
        <v>21934</v>
      </c>
      <c r="B12906" t="s">
        <v>21935</v>
      </c>
      <c r="C12906" t="s">
        <v>492</v>
      </c>
      <c r="D12906" t="s">
        <v>267</v>
      </c>
      <c r="E12906" t="s">
        <v>21936</v>
      </c>
      <c r="F12906" s="2" t="str">
        <f>HYPERLINK("http://www.otzar.org/book.asp?24331","וזאת לפנים בישראל")</f>
        <v>וזאת לפנים בישראל</v>
      </c>
    </row>
    <row r="12907" spans="1:6" x14ac:dyDescent="0.2">
      <c r="A12907" t="s">
        <v>21937</v>
      </c>
      <c r="B12907" t="s">
        <v>21938</v>
      </c>
      <c r="C12907" t="s">
        <v>151</v>
      </c>
      <c r="D12907" t="s">
        <v>52</v>
      </c>
      <c r="E12907" t="s">
        <v>15</v>
      </c>
      <c r="F12907" s="2" t="str">
        <f>HYPERLINK("http://www.otzar.org/book.asp?624813","וזבחת כאשר ציויתך")</f>
        <v>וזבחת כאשר ציויתך</v>
      </c>
    </row>
    <row r="12908" spans="1:6" x14ac:dyDescent="0.2">
      <c r="A12908" t="s">
        <v>21939</v>
      </c>
      <c r="B12908" t="s">
        <v>21940</v>
      </c>
      <c r="C12908" t="s">
        <v>176</v>
      </c>
      <c r="D12908" t="s">
        <v>115</v>
      </c>
      <c r="F12908" s="2" t="str">
        <f>HYPERLINK("http://www.otzar.org/book.asp?610809","וזה לך האות")</f>
        <v>וזה לך האות</v>
      </c>
    </row>
    <row r="12909" spans="1:6" x14ac:dyDescent="0.2">
      <c r="A12909" t="s">
        <v>21941</v>
      </c>
      <c r="B12909" t="s">
        <v>21942</v>
      </c>
      <c r="C12909" t="s">
        <v>23</v>
      </c>
      <c r="D12909" t="s">
        <v>14</v>
      </c>
      <c r="F12909" s="2" t="str">
        <f>HYPERLINK("http://www.otzar.org/book.asp?613553","וזה לשונו - 14 כר'")</f>
        <v>וזה לשונו - 14 כר'</v>
      </c>
    </row>
    <row r="12910" spans="1:6" x14ac:dyDescent="0.2">
      <c r="A12910" t="s">
        <v>21943</v>
      </c>
      <c r="B12910" t="s">
        <v>21944</v>
      </c>
      <c r="E12910" t="s">
        <v>202</v>
      </c>
      <c r="F12910" s="2" t="str">
        <f>HYPERLINK("http://www.otzar.org/book.asp?622349","וזרח בחושך אורך")</f>
        <v>וזרח בחושך אורך</v>
      </c>
    </row>
    <row r="12911" spans="1:6" x14ac:dyDescent="0.2">
      <c r="A12911" t="s">
        <v>21945</v>
      </c>
      <c r="B12911" t="s">
        <v>21946</v>
      </c>
      <c r="C12911" t="s">
        <v>20</v>
      </c>
      <c r="D12911" t="s">
        <v>90</v>
      </c>
      <c r="F12911" s="2" t="str">
        <f>HYPERLINK("http://www.otzar.org/book.asp?612026","וזרח השמש ובא השמש - ב")</f>
        <v>וזרח השמש ובא השמש - ב</v>
      </c>
    </row>
    <row r="12912" spans="1:6" x14ac:dyDescent="0.2">
      <c r="A12912" t="s">
        <v>21947</v>
      </c>
      <c r="B12912" t="s">
        <v>21948</v>
      </c>
      <c r="C12912" t="s">
        <v>20</v>
      </c>
      <c r="D12912" t="s">
        <v>412</v>
      </c>
      <c r="E12912" t="s">
        <v>15</v>
      </c>
      <c r="F12912" s="2" t="str">
        <f>HYPERLINK("http://www.otzar.org/book.asp?603589","וזרח השמש")</f>
        <v>וזרח השמש</v>
      </c>
    </row>
    <row r="12913" spans="1:6" x14ac:dyDescent="0.2">
      <c r="A12913" t="s">
        <v>21949</v>
      </c>
      <c r="B12913" t="s">
        <v>3900</v>
      </c>
      <c r="C12913" t="s">
        <v>313</v>
      </c>
      <c r="D12913" t="s">
        <v>657</v>
      </c>
      <c r="E12913" t="s">
        <v>158</v>
      </c>
      <c r="F12913" s="2" t="str">
        <f>HYPERLINK("http://www.otzar.org/book.asp?26813","וזרח השמש - 2 כר'")</f>
        <v>וזרח השמש - 2 כר'</v>
      </c>
    </row>
    <row r="12914" spans="1:6" x14ac:dyDescent="0.2">
      <c r="A12914" t="s">
        <v>21947</v>
      </c>
      <c r="B12914" t="s">
        <v>3286</v>
      </c>
      <c r="C12914" t="s">
        <v>13</v>
      </c>
      <c r="D12914" t="s">
        <v>52</v>
      </c>
      <c r="E12914" t="s">
        <v>15</v>
      </c>
      <c r="F12914" s="2" t="str">
        <f>HYPERLINK("http://www.otzar.org/book.asp?63410","וזרח השמש")</f>
        <v>וזרח השמש</v>
      </c>
    </row>
    <row r="12915" spans="1:6" x14ac:dyDescent="0.2">
      <c r="A12915" t="s">
        <v>21947</v>
      </c>
      <c r="B12915" t="s">
        <v>21950</v>
      </c>
      <c r="C12915" t="s">
        <v>775</v>
      </c>
      <c r="D12915" t="s">
        <v>52</v>
      </c>
      <c r="E12915" t="s">
        <v>119</v>
      </c>
      <c r="F12915" s="2" t="str">
        <f>HYPERLINK("http://www.otzar.org/book.asp?61247","וזרח השמש")</f>
        <v>וזרח השמש</v>
      </c>
    </row>
    <row r="12916" spans="1:6" x14ac:dyDescent="0.2">
      <c r="A12916" t="s">
        <v>21947</v>
      </c>
      <c r="B12916" t="s">
        <v>21951</v>
      </c>
      <c r="C12916" t="s">
        <v>5823</v>
      </c>
      <c r="D12916" t="s">
        <v>27</v>
      </c>
      <c r="E12916" t="s">
        <v>21952</v>
      </c>
      <c r="F12916" s="2" t="str">
        <f>HYPERLINK("http://www.otzar.org/book.asp?17695","וזרח השמש")</f>
        <v>וזרח השמש</v>
      </c>
    </row>
    <row r="12917" spans="1:6" x14ac:dyDescent="0.2">
      <c r="A12917" t="s">
        <v>21953</v>
      </c>
      <c r="B12917" t="s">
        <v>21954</v>
      </c>
      <c r="C12917" t="s">
        <v>422</v>
      </c>
      <c r="D12917" t="s">
        <v>412</v>
      </c>
      <c r="E12917" t="s">
        <v>674</v>
      </c>
      <c r="F12917" s="2" t="str">
        <f>HYPERLINK("http://www.otzar.org/book.asp?83835","וזרעו לברכה")</f>
        <v>וזרעו לברכה</v>
      </c>
    </row>
    <row r="12918" spans="1:6" x14ac:dyDescent="0.2">
      <c r="A12918" t="s">
        <v>21955</v>
      </c>
      <c r="B12918" t="s">
        <v>21956</v>
      </c>
      <c r="C12918" t="s">
        <v>20</v>
      </c>
      <c r="D12918" t="s">
        <v>216</v>
      </c>
      <c r="E12918" t="s">
        <v>15</v>
      </c>
      <c r="F12918" s="2" t="str">
        <f>HYPERLINK("http://www.otzar.org/book.asp?617933","וזרקתי עליכם מים טהורים - מנהגי טהרה")</f>
        <v>וזרקתי עליכם מים טהורים - מנהגי טהרה</v>
      </c>
    </row>
    <row r="12919" spans="1:6" x14ac:dyDescent="0.2">
      <c r="A12919" t="s">
        <v>21957</v>
      </c>
      <c r="B12919" t="s">
        <v>206</v>
      </c>
      <c r="C12919" t="s">
        <v>422</v>
      </c>
      <c r="D12919" t="s">
        <v>52</v>
      </c>
      <c r="E12919" t="s">
        <v>15</v>
      </c>
      <c r="F12919" s="2" t="str">
        <f>HYPERLINK("http://www.otzar.org/book.asp?170942","וחי אחיך עמך")</f>
        <v>וחי אחיך עמך</v>
      </c>
    </row>
    <row r="12920" spans="1:6" x14ac:dyDescent="0.2">
      <c r="A12920" t="s">
        <v>21957</v>
      </c>
      <c r="B12920" t="s">
        <v>12653</v>
      </c>
      <c r="C12920" t="s">
        <v>940</v>
      </c>
      <c r="D12920" t="s">
        <v>1632</v>
      </c>
      <c r="E12920" t="s">
        <v>15</v>
      </c>
      <c r="F12920" s="2" t="str">
        <f>HYPERLINK("http://www.otzar.org/book.asp?144854","וחי אחיך עמך")</f>
        <v>וחי אחיך עמך</v>
      </c>
    </row>
    <row r="12921" spans="1:6" x14ac:dyDescent="0.2">
      <c r="A12921" t="s">
        <v>21957</v>
      </c>
      <c r="B12921" t="s">
        <v>21958</v>
      </c>
      <c r="C12921" t="s">
        <v>20</v>
      </c>
      <c r="D12921" t="s">
        <v>657</v>
      </c>
      <c r="E12921" t="s">
        <v>15</v>
      </c>
      <c r="F12921" s="2" t="str">
        <f>HYPERLINK("http://www.otzar.org/book.asp?158666","וחי אחיך עמך")</f>
        <v>וחי אחיך עמך</v>
      </c>
    </row>
    <row r="12922" spans="1:6" x14ac:dyDescent="0.2">
      <c r="A12922" t="s">
        <v>21959</v>
      </c>
      <c r="B12922" t="s">
        <v>10617</v>
      </c>
      <c r="C12922" t="s">
        <v>133</v>
      </c>
      <c r="D12922" t="s">
        <v>2285</v>
      </c>
      <c r="E12922" t="s">
        <v>15</v>
      </c>
      <c r="F12922" s="2" t="str">
        <f>HYPERLINK("http://www.otzar.org/book.asp?602782","וחי אחיך")</f>
        <v>וחי אחיך</v>
      </c>
    </row>
    <row r="12923" spans="1:6" x14ac:dyDescent="0.2">
      <c r="A12923" t="s">
        <v>21959</v>
      </c>
      <c r="B12923" t="s">
        <v>21960</v>
      </c>
      <c r="C12923" t="s">
        <v>111</v>
      </c>
      <c r="D12923" t="s">
        <v>115</v>
      </c>
      <c r="E12923" t="s">
        <v>15</v>
      </c>
      <c r="F12923" s="2" t="str">
        <f>HYPERLINK("http://www.otzar.org/book.asp?626030","וחי אחיך")</f>
        <v>וחי אחיך</v>
      </c>
    </row>
    <row r="12924" spans="1:6" x14ac:dyDescent="0.2">
      <c r="A12924" t="s">
        <v>21961</v>
      </c>
      <c r="B12924" t="s">
        <v>15480</v>
      </c>
      <c r="C12924" t="s">
        <v>843</v>
      </c>
      <c r="D12924" t="s">
        <v>27</v>
      </c>
      <c r="E12924" t="s">
        <v>674</v>
      </c>
      <c r="F12924" s="2" t="str">
        <f>HYPERLINK("http://www.otzar.org/book.asp?104646","וחי בהם")</f>
        <v>וחי בהם</v>
      </c>
    </row>
    <row r="12925" spans="1:6" x14ac:dyDescent="0.2">
      <c r="A12925" t="s">
        <v>21961</v>
      </c>
      <c r="B12925" t="s">
        <v>21962</v>
      </c>
      <c r="C12925" t="s">
        <v>37</v>
      </c>
      <c r="D12925" t="s">
        <v>852</v>
      </c>
      <c r="F12925" s="2" t="str">
        <f>HYPERLINK("http://www.otzar.org/book.asp?611106","וחי בהם")</f>
        <v>וחי בהם</v>
      </c>
    </row>
    <row r="12926" spans="1:6" x14ac:dyDescent="0.2">
      <c r="A12926" t="s">
        <v>21961</v>
      </c>
      <c r="B12926" t="s">
        <v>15215</v>
      </c>
      <c r="C12926" t="s">
        <v>454</v>
      </c>
      <c r="D12926" t="s">
        <v>90</v>
      </c>
      <c r="E12926" t="s">
        <v>213</v>
      </c>
      <c r="F12926" s="2" t="str">
        <f>HYPERLINK("http://www.otzar.org/book.asp?162971","וחי בהם")</f>
        <v>וחי בהם</v>
      </c>
    </row>
    <row r="12927" spans="1:6" x14ac:dyDescent="0.2">
      <c r="A12927" t="s">
        <v>21961</v>
      </c>
      <c r="B12927" t="s">
        <v>21963</v>
      </c>
      <c r="C12927" t="s">
        <v>767</v>
      </c>
      <c r="D12927" t="s">
        <v>14</v>
      </c>
      <c r="E12927" t="s">
        <v>144</v>
      </c>
      <c r="F12927" s="2" t="str">
        <f>HYPERLINK("http://www.otzar.org/book.asp?163968","וחי בהם")</f>
        <v>וחי בהם</v>
      </c>
    </row>
    <row r="12928" spans="1:6" x14ac:dyDescent="0.2">
      <c r="A12928" t="s">
        <v>21961</v>
      </c>
      <c r="B12928" t="s">
        <v>21964</v>
      </c>
      <c r="C12928" t="s">
        <v>51</v>
      </c>
      <c r="D12928" t="s">
        <v>14</v>
      </c>
      <c r="E12928" t="s">
        <v>2596</v>
      </c>
      <c r="F12928" s="2" t="str">
        <f>HYPERLINK("http://www.otzar.org/book.asp?12642","וחי בהם")</f>
        <v>וחי בהם</v>
      </c>
    </row>
    <row r="12929" spans="1:6" x14ac:dyDescent="0.2">
      <c r="A12929" t="s">
        <v>21965</v>
      </c>
      <c r="B12929" t="s">
        <v>206</v>
      </c>
      <c r="C12929" t="s">
        <v>366</v>
      </c>
      <c r="D12929" t="s">
        <v>52</v>
      </c>
      <c r="F12929" s="2" t="str">
        <f>HYPERLINK("http://www.otzar.org/book.asp?612297","וחי בהם - 2 כר'")</f>
        <v>וחי בהם - 2 כר'</v>
      </c>
    </row>
    <row r="12930" spans="1:6" x14ac:dyDescent="0.2">
      <c r="A12930" t="s">
        <v>21961</v>
      </c>
      <c r="B12930" t="s">
        <v>21966</v>
      </c>
      <c r="C12930" t="s">
        <v>20</v>
      </c>
      <c r="D12930" t="s">
        <v>90</v>
      </c>
      <c r="E12930" t="s">
        <v>219</v>
      </c>
      <c r="F12930" s="2" t="str">
        <f>HYPERLINK("http://www.otzar.org/book.asp?189732","וחי בהם")</f>
        <v>וחי בהם</v>
      </c>
    </row>
    <row r="12931" spans="1:6" x14ac:dyDescent="0.2">
      <c r="A12931" t="s">
        <v>21961</v>
      </c>
      <c r="B12931" t="s">
        <v>21967</v>
      </c>
      <c r="C12931" t="s">
        <v>919</v>
      </c>
      <c r="D12931" t="s">
        <v>14</v>
      </c>
      <c r="E12931" t="s">
        <v>158</v>
      </c>
      <c r="F12931" s="2" t="str">
        <f>HYPERLINK("http://www.otzar.org/book.asp?10089","וחי בהם")</f>
        <v>וחי בהם</v>
      </c>
    </row>
    <row r="12932" spans="1:6" x14ac:dyDescent="0.2">
      <c r="A12932" t="s">
        <v>21961</v>
      </c>
      <c r="B12932" t="s">
        <v>21968</v>
      </c>
      <c r="C12932" t="s">
        <v>411</v>
      </c>
      <c r="D12932" t="s">
        <v>52</v>
      </c>
      <c r="E12932" t="s">
        <v>674</v>
      </c>
      <c r="F12932" s="2" t="str">
        <f>HYPERLINK("http://www.otzar.org/book.asp?172069","וחי בהם")</f>
        <v>וחי בהם</v>
      </c>
    </row>
    <row r="12933" spans="1:6" x14ac:dyDescent="0.2">
      <c r="A12933" t="s">
        <v>21969</v>
      </c>
      <c r="B12933" t="s">
        <v>11553</v>
      </c>
      <c r="C12933" t="s">
        <v>133</v>
      </c>
      <c r="D12933" t="s">
        <v>52</v>
      </c>
      <c r="F12933" s="2" t="str">
        <f>HYPERLINK("http://www.otzar.org/book.asp?610677","וחי בהם - כתבוני לדורות")</f>
        <v>וחי בהם - כתבוני לדורות</v>
      </c>
    </row>
    <row r="12934" spans="1:6" x14ac:dyDescent="0.2">
      <c r="A12934" t="s">
        <v>21961</v>
      </c>
      <c r="B12934" t="s">
        <v>489</v>
      </c>
      <c r="C12934" t="s">
        <v>129</v>
      </c>
      <c r="D12934" t="s">
        <v>14</v>
      </c>
      <c r="E12934" t="s">
        <v>202</v>
      </c>
      <c r="F12934" s="2" t="str">
        <f>HYPERLINK("http://www.otzar.org/book.asp?144480","וחי בהם")</f>
        <v>וחי בהם</v>
      </c>
    </row>
    <row r="12935" spans="1:6" x14ac:dyDescent="0.2">
      <c r="A12935" t="s">
        <v>21961</v>
      </c>
      <c r="B12935" t="s">
        <v>123</v>
      </c>
      <c r="C12935" t="s">
        <v>20</v>
      </c>
      <c r="D12935" t="s">
        <v>14</v>
      </c>
      <c r="E12935" t="s">
        <v>15</v>
      </c>
      <c r="F12935" s="2" t="str">
        <f>HYPERLINK("http://www.otzar.org/book.asp?165144","וחי בהם")</f>
        <v>וחי בהם</v>
      </c>
    </row>
    <row r="12936" spans="1:6" x14ac:dyDescent="0.2">
      <c r="A12936" t="s">
        <v>21970</v>
      </c>
      <c r="B12936" t="s">
        <v>128</v>
      </c>
      <c r="C12936" t="s">
        <v>454</v>
      </c>
      <c r="D12936" t="s">
        <v>52</v>
      </c>
      <c r="E12936" t="s">
        <v>674</v>
      </c>
      <c r="F12936" s="2" t="str">
        <f>HYPERLINK("http://www.otzar.org/book.asp?52923","וחיי אחיך עמך")</f>
        <v>וחיי אחיך עמך</v>
      </c>
    </row>
    <row r="12937" spans="1:6" x14ac:dyDescent="0.2">
      <c r="A12937" t="s">
        <v>21971</v>
      </c>
      <c r="B12937" t="s">
        <v>10548</v>
      </c>
      <c r="C12937" t="s">
        <v>454</v>
      </c>
      <c r="D12937" t="s">
        <v>14</v>
      </c>
      <c r="E12937" t="s">
        <v>158</v>
      </c>
      <c r="F12937" s="2" t="str">
        <f>HYPERLINK("http://www.otzar.org/book.asp?62922","וחם השמש - 2 כר'")</f>
        <v>וחם השמש - 2 כר'</v>
      </c>
    </row>
    <row r="12938" spans="1:6" x14ac:dyDescent="0.2">
      <c r="A12938" t="s">
        <v>21972</v>
      </c>
      <c r="B12938" t="s">
        <v>10055</v>
      </c>
      <c r="C12938" t="s">
        <v>6062</v>
      </c>
      <c r="D12938" t="s">
        <v>267</v>
      </c>
      <c r="E12938" t="s">
        <v>399</v>
      </c>
      <c r="F12938" s="2" t="str">
        <f>HYPERLINK("http://www.otzar.org/book.asp?12915","וחרב פיפיות &lt;כתם פז, גלילי זהב&gt;")</f>
        <v>וחרב פיפיות &lt;כתם פז, גלילי זהב&gt;</v>
      </c>
    </row>
    <row r="12939" spans="1:6" x14ac:dyDescent="0.2">
      <c r="A12939" t="s">
        <v>21973</v>
      </c>
      <c r="B12939" t="s">
        <v>10219</v>
      </c>
      <c r="C12939" t="s">
        <v>5334</v>
      </c>
      <c r="D12939" t="s">
        <v>2303</v>
      </c>
      <c r="E12939" t="s">
        <v>158</v>
      </c>
      <c r="F12939" s="2" t="str">
        <f>HYPERLINK("http://www.otzar.org/book.asp?17696","וחשב לו הכהן")</f>
        <v>וחשב לו הכהן</v>
      </c>
    </row>
    <row r="12940" spans="1:6" x14ac:dyDescent="0.2">
      <c r="A12940" t="s">
        <v>21974</v>
      </c>
      <c r="B12940" t="s">
        <v>2396</v>
      </c>
      <c r="C12940" t="s">
        <v>20</v>
      </c>
      <c r="D12940" t="s">
        <v>52</v>
      </c>
      <c r="E12940" t="s">
        <v>84</v>
      </c>
      <c r="F12940" s="2" t="str">
        <f>HYPERLINK("http://www.otzar.org/book.asp?165330","וטהר הכהן - 2 כר'")</f>
        <v>וטהר הכהן - 2 כר'</v>
      </c>
    </row>
    <row r="12941" spans="1:6" x14ac:dyDescent="0.2">
      <c r="A12941" t="s">
        <v>21975</v>
      </c>
      <c r="B12941" t="s">
        <v>206</v>
      </c>
      <c r="C12941" t="s">
        <v>624</v>
      </c>
      <c r="D12941" t="s">
        <v>52</v>
      </c>
      <c r="E12941" t="s">
        <v>241</v>
      </c>
      <c r="F12941" s="2" t="str">
        <f>HYPERLINK("http://www.otzar.org/book.asp?191487","וטהר לבנו")</f>
        <v>וטהר לבנו</v>
      </c>
    </row>
    <row r="12942" spans="1:6" x14ac:dyDescent="0.2">
      <c r="A12942" t="s">
        <v>21975</v>
      </c>
      <c r="B12942" t="s">
        <v>14797</v>
      </c>
      <c r="C12942" t="s">
        <v>23</v>
      </c>
      <c r="D12942" t="s">
        <v>2285</v>
      </c>
      <c r="E12942" t="s">
        <v>241</v>
      </c>
      <c r="F12942" s="2" t="str">
        <f>HYPERLINK("http://www.otzar.org/book.asp?193198","וטהר לבנו")</f>
        <v>וטהר לבנו</v>
      </c>
    </row>
    <row r="12943" spans="1:6" x14ac:dyDescent="0.2">
      <c r="A12943" t="s">
        <v>21976</v>
      </c>
      <c r="B12943" t="s">
        <v>18282</v>
      </c>
      <c r="E12943" t="s">
        <v>158</v>
      </c>
      <c r="F12943" s="2" t="str">
        <f>HYPERLINK("http://www.otzar.org/book.asp?622354","וטהר לבנו - 2 כר'")</f>
        <v>וטהר לבנו - 2 כר'</v>
      </c>
    </row>
    <row r="12944" spans="1:6" x14ac:dyDescent="0.2">
      <c r="A12944" t="s">
        <v>21977</v>
      </c>
      <c r="B12944" t="s">
        <v>18376</v>
      </c>
      <c r="C12944" t="s">
        <v>244</v>
      </c>
      <c r="D12944" t="s">
        <v>14</v>
      </c>
      <c r="E12944" t="s">
        <v>219</v>
      </c>
      <c r="F12944" s="2" t="str">
        <f>HYPERLINK("http://www.otzar.org/book.asp?196557","וי""ו של למשומדים ושל ולירושלים")</f>
        <v>וי"ו של למשומדים ושל ולירושלים</v>
      </c>
    </row>
    <row r="12945" spans="1:6" x14ac:dyDescent="0.2">
      <c r="A12945" t="s">
        <v>21978</v>
      </c>
      <c r="B12945" t="s">
        <v>4814</v>
      </c>
      <c r="C12945" t="s">
        <v>176</v>
      </c>
      <c r="D12945" t="s">
        <v>14</v>
      </c>
      <c r="F12945" s="2" t="str">
        <f>HYPERLINK("http://www.otzar.org/book.asp?182847","ויאהב אומן - קרובה קלירית לפורים בעיצוב מורחב (תדפיס)")</f>
        <v>ויאהב אומן - קרובה קלירית לפורים בעיצוב מורחב (תדפיס)</v>
      </c>
    </row>
    <row r="12946" spans="1:6" x14ac:dyDescent="0.2">
      <c r="A12946" t="s">
        <v>21979</v>
      </c>
      <c r="B12946" t="s">
        <v>21980</v>
      </c>
      <c r="C12946" t="s">
        <v>466</v>
      </c>
      <c r="D12946" t="s">
        <v>52</v>
      </c>
      <c r="E12946" t="s">
        <v>84</v>
      </c>
      <c r="F12946" s="2" t="str">
        <f>HYPERLINK("http://www.otzar.org/book.asp?61857","ויאהל שלמה - אהלות")</f>
        <v>ויאהל שלמה - אהלות</v>
      </c>
    </row>
    <row r="12947" spans="1:6" x14ac:dyDescent="0.2">
      <c r="A12947" t="s">
        <v>21981</v>
      </c>
      <c r="B12947" t="s">
        <v>7320</v>
      </c>
      <c r="C12947" t="s">
        <v>624</v>
      </c>
      <c r="D12947" t="s">
        <v>14</v>
      </c>
      <c r="E12947" t="s">
        <v>154</v>
      </c>
      <c r="F12947" s="2" t="str">
        <f>HYPERLINK("http://www.otzar.org/book.asp?22659","ויאמר אברהם - 16 כר'")</f>
        <v>ויאמר אברהם - 16 כר'</v>
      </c>
    </row>
    <row r="12948" spans="1:6" x14ac:dyDescent="0.2">
      <c r="A12948" t="s">
        <v>21982</v>
      </c>
      <c r="B12948" t="s">
        <v>11823</v>
      </c>
      <c r="C12948" t="s">
        <v>129</v>
      </c>
      <c r="D12948" t="s">
        <v>52</v>
      </c>
      <c r="E12948" t="s">
        <v>158</v>
      </c>
      <c r="F12948" s="2" t="str">
        <f>HYPERLINK("http://www.otzar.org/book.asp?156881","ויאמר אברהם - על התורה")</f>
        <v>ויאמר אברהם - על התורה</v>
      </c>
    </row>
    <row r="12949" spans="1:6" x14ac:dyDescent="0.2">
      <c r="A12949" t="s">
        <v>21983</v>
      </c>
      <c r="B12949" t="s">
        <v>21984</v>
      </c>
      <c r="C12949" t="s">
        <v>133</v>
      </c>
      <c r="D12949" t="s">
        <v>14</v>
      </c>
      <c r="E12949" t="s">
        <v>2614</v>
      </c>
      <c r="F12949" s="2" t="str">
        <f>HYPERLINK("http://www.otzar.org/book.asp?179652","ויאמר אליהו")</f>
        <v>ויאמר אליהו</v>
      </c>
    </row>
    <row r="12950" spans="1:6" x14ac:dyDescent="0.2">
      <c r="A12950" t="s">
        <v>21983</v>
      </c>
      <c r="B12950" t="s">
        <v>21985</v>
      </c>
      <c r="C12950" t="s">
        <v>411</v>
      </c>
      <c r="D12950" t="s">
        <v>14</v>
      </c>
      <c r="E12950" t="s">
        <v>144</v>
      </c>
      <c r="F12950" s="2" t="str">
        <f>HYPERLINK("http://www.otzar.org/book.asp?629125","ויאמר אליהו")</f>
        <v>ויאמר אליהו</v>
      </c>
    </row>
    <row r="12951" spans="1:6" x14ac:dyDescent="0.2">
      <c r="A12951" t="s">
        <v>21986</v>
      </c>
      <c r="B12951" t="s">
        <v>12964</v>
      </c>
      <c r="C12951" t="s">
        <v>71</v>
      </c>
      <c r="D12951" t="s">
        <v>1889</v>
      </c>
      <c r="E12951" t="s">
        <v>172</v>
      </c>
      <c r="F12951" s="2" t="str">
        <f>HYPERLINK("http://www.otzar.org/book.asp?168223","ויאמר בועז - 3 כר'")</f>
        <v>ויאמר בועז - 3 כר'</v>
      </c>
    </row>
    <row r="12952" spans="1:6" x14ac:dyDescent="0.2">
      <c r="A12952" t="s">
        <v>21987</v>
      </c>
      <c r="B12952" t="s">
        <v>21988</v>
      </c>
      <c r="C12952" t="s">
        <v>20</v>
      </c>
      <c r="D12952" t="s">
        <v>90</v>
      </c>
      <c r="E12952" t="s">
        <v>172</v>
      </c>
      <c r="F12952" s="2" t="str">
        <f>HYPERLINK("http://www.otzar.org/book.asp?608244","ויאמר גבריאל - 2 כר'")</f>
        <v>ויאמר גבריאל - 2 כר'</v>
      </c>
    </row>
    <row r="12953" spans="1:6" x14ac:dyDescent="0.2">
      <c r="A12953" t="s">
        <v>21989</v>
      </c>
      <c r="B12953" t="s">
        <v>21990</v>
      </c>
      <c r="C12953" t="s">
        <v>462</v>
      </c>
      <c r="D12953" t="s">
        <v>592</v>
      </c>
      <c r="E12953" t="s">
        <v>234</v>
      </c>
      <c r="F12953" s="2" t="str">
        <f>HYPERLINK("http://www.otzar.org/book.asp?193901","ויאמר דוד")</f>
        <v>ויאמר דוד</v>
      </c>
    </row>
    <row r="12954" spans="1:6" x14ac:dyDescent="0.2">
      <c r="A12954" t="s">
        <v>21991</v>
      </c>
      <c r="B12954" t="s">
        <v>21992</v>
      </c>
      <c r="C12954" t="s">
        <v>812</v>
      </c>
      <c r="D12954" t="s">
        <v>303</v>
      </c>
      <c r="E12954" t="s">
        <v>564</v>
      </c>
      <c r="F12954" s="2" t="str">
        <f>HYPERLINK("http://www.otzar.org/book.asp?22432","ויאמר יהודה")</f>
        <v>ויאמר יהודה</v>
      </c>
    </row>
    <row r="12955" spans="1:6" x14ac:dyDescent="0.2">
      <c r="A12955" t="s">
        <v>21993</v>
      </c>
      <c r="B12955" t="s">
        <v>21994</v>
      </c>
      <c r="C12955" t="s">
        <v>454</v>
      </c>
      <c r="D12955" t="s">
        <v>4508</v>
      </c>
      <c r="E12955" t="s">
        <v>158</v>
      </c>
      <c r="F12955" s="2" t="str">
        <f>HYPERLINK("http://www.otzar.org/book.asp?149537","ויאמר יהודה - 4 כר'")</f>
        <v>ויאמר יהודה - 4 כר'</v>
      </c>
    </row>
    <row r="12956" spans="1:6" x14ac:dyDescent="0.2">
      <c r="A12956" t="s">
        <v>21995</v>
      </c>
      <c r="B12956" t="s">
        <v>21996</v>
      </c>
      <c r="C12956" t="s">
        <v>940</v>
      </c>
      <c r="D12956" t="s">
        <v>412</v>
      </c>
      <c r="E12956" t="s">
        <v>246</v>
      </c>
      <c r="F12956" s="2" t="str">
        <f>HYPERLINK("http://www.otzar.org/book.asp?620621","ויאמר יהושע")</f>
        <v>ויאמר יהושע</v>
      </c>
    </row>
    <row r="12957" spans="1:6" x14ac:dyDescent="0.2">
      <c r="A12957" t="s">
        <v>21997</v>
      </c>
      <c r="B12957" t="s">
        <v>21998</v>
      </c>
      <c r="C12957" t="s">
        <v>189</v>
      </c>
      <c r="D12957" t="s">
        <v>14</v>
      </c>
      <c r="E12957" t="s">
        <v>144</v>
      </c>
      <c r="F12957" s="2" t="str">
        <f>HYPERLINK("http://www.otzar.org/book.asp?26779","ויאמר יעקב")</f>
        <v>ויאמר יעקב</v>
      </c>
    </row>
    <row r="12958" spans="1:6" x14ac:dyDescent="0.2">
      <c r="A12958" t="s">
        <v>21997</v>
      </c>
      <c r="B12958" t="s">
        <v>20273</v>
      </c>
      <c r="C12958" t="s">
        <v>2874</v>
      </c>
      <c r="D12958" t="s">
        <v>563</v>
      </c>
      <c r="E12958" t="s">
        <v>7411</v>
      </c>
      <c r="F12958" s="2" t="str">
        <f>HYPERLINK("http://www.otzar.org/book.asp?107127","ויאמר יעקב")</f>
        <v>ויאמר יעקב</v>
      </c>
    </row>
    <row r="12959" spans="1:6" x14ac:dyDescent="0.2">
      <c r="A12959" t="s">
        <v>21997</v>
      </c>
      <c r="B12959" t="s">
        <v>21999</v>
      </c>
      <c r="C12959" t="s">
        <v>129</v>
      </c>
      <c r="D12959" t="s">
        <v>2909</v>
      </c>
      <c r="F12959" s="2" t="str">
        <f>HYPERLINK("http://www.otzar.org/book.asp?163732","ויאמר יעקב")</f>
        <v>ויאמר יעקב</v>
      </c>
    </row>
    <row r="12960" spans="1:6" x14ac:dyDescent="0.2">
      <c r="A12960" t="s">
        <v>22000</v>
      </c>
      <c r="B12960" t="s">
        <v>22001</v>
      </c>
      <c r="C12960" t="s">
        <v>1640</v>
      </c>
      <c r="D12960" t="s">
        <v>7894</v>
      </c>
      <c r="E12960" t="s">
        <v>463</v>
      </c>
      <c r="F12960" s="2" t="str">
        <f>HYPERLINK("http://www.otzar.org/book.asp?162197","ויאמר יצחק")</f>
        <v>ויאמר יצחק</v>
      </c>
    </row>
    <row r="12961" spans="1:6" x14ac:dyDescent="0.2">
      <c r="A12961" t="s">
        <v>22000</v>
      </c>
      <c r="B12961" t="s">
        <v>21205</v>
      </c>
      <c r="C12961" t="s">
        <v>609</v>
      </c>
      <c r="D12961" t="s">
        <v>225</v>
      </c>
      <c r="E12961" t="s">
        <v>15</v>
      </c>
      <c r="F12961" s="2" t="str">
        <f>HYPERLINK("http://www.otzar.org/book.asp?178961","ויאמר יצחק")</f>
        <v>ויאמר יצחק</v>
      </c>
    </row>
    <row r="12962" spans="1:6" x14ac:dyDescent="0.2">
      <c r="A12962" t="s">
        <v>22002</v>
      </c>
      <c r="B12962" t="s">
        <v>22003</v>
      </c>
      <c r="C12962" t="s">
        <v>1124</v>
      </c>
      <c r="D12962" t="s">
        <v>212</v>
      </c>
      <c r="E12962" t="s">
        <v>10</v>
      </c>
      <c r="F12962" s="2" t="str">
        <f>HYPERLINK("http://www.otzar.org/book.asp?100955","ויאמר יצחק - 2 כר'")</f>
        <v>ויאמר יצחק - 2 כר'</v>
      </c>
    </row>
    <row r="12963" spans="1:6" x14ac:dyDescent="0.2">
      <c r="A12963" t="s">
        <v>22000</v>
      </c>
      <c r="B12963" t="s">
        <v>22004</v>
      </c>
      <c r="C12963" t="s">
        <v>362</v>
      </c>
      <c r="D12963" t="s">
        <v>283</v>
      </c>
      <c r="E12963" t="s">
        <v>22005</v>
      </c>
      <c r="F12963" s="2" t="str">
        <f>HYPERLINK("http://www.otzar.org/book.asp?5730","ויאמר יצחק")</f>
        <v>ויאמר יצחק</v>
      </c>
    </row>
    <row r="12964" spans="1:6" x14ac:dyDescent="0.2">
      <c r="A12964" t="s">
        <v>22006</v>
      </c>
      <c r="B12964" t="s">
        <v>22007</v>
      </c>
      <c r="C12964" t="s">
        <v>533</v>
      </c>
      <c r="D12964" t="s">
        <v>1076</v>
      </c>
      <c r="E12964" t="s">
        <v>22008</v>
      </c>
      <c r="F12964" s="2" t="str">
        <f>HYPERLINK("http://www.otzar.org/book.asp?85257","ויאמר ישעיהו - א")</f>
        <v>ויאמר ישעיהו - א</v>
      </c>
    </row>
    <row r="12965" spans="1:6" x14ac:dyDescent="0.2">
      <c r="A12965" t="s">
        <v>22009</v>
      </c>
      <c r="B12965" t="s">
        <v>22010</v>
      </c>
      <c r="C12965" t="s">
        <v>1160</v>
      </c>
      <c r="D12965" t="s">
        <v>14</v>
      </c>
      <c r="E12965" t="s">
        <v>5712</v>
      </c>
      <c r="F12965" s="2" t="str">
        <f>HYPERLINK("http://www.otzar.org/book.asp?5072","ויאמר ישראל")</f>
        <v>ויאמר ישראל</v>
      </c>
    </row>
    <row r="12966" spans="1:6" x14ac:dyDescent="0.2">
      <c r="A12966" t="s">
        <v>22011</v>
      </c>
      <c r="B12966" t="s">
        <v>22012</v>
      </c>
      <c r="C12966" t="s">
        <v>133</v>
      </c>
      <c r="D12966" t="s">
        <v>14</v>
      </c>
      <c r="E12966" t="s">
        <v>234</v>
      </c>
      <c r="F12966" s="2" t="str">
        <f>HYPERLINK("http://www.otzar.org/book.asp?175973","ויאמר מאיר - 3 כר'")</f>
        <v>ויאמר מאיר - 3 כר'</v>
      </c>
    </row>
    <row r="12967" spans="1:6" x14ac:dyDescent="0.2">
      <c r="A12967" t="s">
        <v>22013</v>
      </c>
      <c r="B12967" t="s">
        <v>22014</v>
      </c>
      <c r="C12967" t="s">
        <v>22015</v>
      </c>
      <c r="D12967" t="s">
        <v>22016</v>
      </c>
      <c r="E12967" t="s">
        <v>154</v>
      </c>
      <c r="F12967" s="2" t="str">
        <f>HYPERLINK("http://www.otzar.org/book.asp?144687","ויאמר מאיר - א")</f>
        <v>ויאמר מאיר - א</v>
      </c>
    </row>
    <row r="12968" spans="1:6" x14ac:dyDescent="0.2">
      <c r="A12968" t="s">
        <v>22017</v>
      </c>
      <c r="B12968" t="s">
        <v>22018</v>
      </c>
      <c r="C12968" t="s">
        <v>176</v>
      </c>
      <c r="D12968" t="s">
        <v>22016</v>
      </c>
      <c r="E12968" t="s">
        <v>154</v>
      </c>
      <c r="F12968" s="2" t="str">
        <f>HYPERLINK("http://www.otzar.org/book.asp?25706","ויאמר מאיר")</f>
        <v>ויאמר מאיר</v>
      </c>
    </row>
    <row r="12969" spans="1:6" x14ac:dyDescent="0.2">
      <c r="A12969" t="s">
        <v>22019</v>
      </c>
      <c r="B12969" t="s">
        <v>14827</v>
      </c>
      <c r="C12969" t="s">
        <v>68</v>
      </c>
      <c r="D12969" t="s">
        <v>14</v>
      </c>
      <c r="F12969" s="2" t="str">
        <f>HYPERLINK("http://www.otzar.org/book.asp?159128","ויאמר מרדכי")</f>
        <v>ויאמר מרדכי</v>
      </c>
    </row>
    <row r="12970" spans="1:6" x14ac:dyDescent="0.2">
      <c r="A12970" t="s">
        <v>22020</v>
      </c>
      <c r="B12970" t="s">
        <v>22021</v>
      </c>
      <c r="C12970" t="s">
        <v>785</v>
      </c>
      <c r="D12970" t="s">
        <v>2458</v>
      </c>
      <c r="E12970" t="s">
        <v>158</v>
      </c>
      <c r="F12970" s="2" t="str">
        <f>HYPERLINK("http://www.otzar.org/book.asp?148912","ויאמר משה ושערי צדק - א (בראשית)")</f>
        <v>ויאמר משה ושערי צדק - א (בראשית)</v>
      </c>
    </row>
    <row r="12971" spans="1:6" x14ac:dyDescent="0.2">
      <c r="A12971" t="s">
        <v>22022</v>
      </c>
      <c r="B12971" t="s">
        <v>22023</v>
      </c>
      <c r="C12971" t="s">
        <v>334</v>
      </c>
      <c r="D12971" t="s">
        <v>21</v>
      </c>
      <c r="E12971" t="s">
        <v>22024</v>
      </c>
      <c r="F12971" s="2" t="str">
        <f>HYPERLINK("http://www.otzar.org/book.asp?191619","ויאמר משה")</f>
        <v>ויאמר משה</v>
      </c>
    </row>
    <row r="12972" spans="1:6" x14ac:dyDescent="0.2">
      <c r="A12972" t="s">
        <v>22025</v>
      </c>
      <c r="B12972" t="s">
        <v>18594</v>
      </c>
      <c r="C12972" t="s">
        <v>133</v>
      </c>
      <c r="D12972" t="s">
        <v>52</v>
      </c>
      <c r="E12972" t="s">
        <v>154</v>
      </c>
      <c r="F12972" s="2" t="str">
        <f>HYPERLINK("http://www.otzar.org/book.asp?172668","ויאמר משה - 3 כר'")</f>
        <v>ויאמר משה - 3 כר'</v>
      </c>
    </row>
    <row r="12973" spans="1:6" x14ac:dyDescent="0.2">
      <c r="A12973" t="s">
        <v>22026</v>
      </c>
      <c r="B12973" t="s">
        <v>22027</v>
      </c>
      <c r="C12973" t="s">
        <v>244</v>
      </c>
      <c r="D12973" t="s">
        <v>90</v>
      </c>
      <c r="F12973" s="2" t="str">
        <f>HYPERLINK("http://www.otzar.org/book.asp?198265","ויאמר עזרא &lt;מהדורה חדשה&gt;")</f>
        <v>ויאמר עזרא &lt;מהדורה חדשה&gt;</v>
      </c>
    </row>
    <row r="12974" spans="1:6" x14ac:dyDescent="0.2">
      <c r="A12974" t="s">
        <v>22028</v>
      </c>
      <c r="B12974" t="s">
        <v>22027</v>
      </c>
      <c r="C12974" t="s">
        <v>473</v>
      </c>
      <c r="D12974" t="s">
        <v>27</v>
      </c>
      <c r="E12974" t="s">
        <v>158</v>
      </c>
      <c r="F12974" s="2" t="str">
        <f>HYPERLINK("http://www.otzar.org/book.asp?24333","ויאמר עזרא")</f>
        <v>ויאמר עזרא</v>
      </c>
    </row>
    <row r="12975" spans="1:6" x14ac:dyDescent="0.2">
      <c r="A12975" t="s">
        <v>22029</v>
      </c>
      <c r="B12975" t="s">
        <v>14935</v>
      </c>
      <c r="C12975" t="s">
        <v>168</v>
      </c>
      <c r="D12975" t="s">
        <v>486</v>
      </c>
      <c r="E12975" t="s">
        <v>467</v>
      </c>
      <c r="F12975" s="2" t="str">
        <f>HYPERLINK("http://www.otzar.org/book.asp?189775","ויאמר עמוס - א")</f>
        <v>ויאמר עמוס - א</v>
      </c>
    </row>
    <row r="12976" spans="1:6" x14ac:dyDescent="0.2">
      <c r="A12976" t="s">
        <v>22030</v>
      </c>
      <c r="B12976" t="s">
        <v>22031</v>
      </c>
      <c r="C12976" t="s">
        <v>133</v>
      </c>
      <c r="D12976" t="s">
        <v>721</v>
      </c>
      <c r="E12976" t="s">
        <v>158</v>
      </c>
      <c r="F12976" s="2" t="str">
        <f>HYPERLINK("http://www.otzar.org/book.asp?174444","ויאמר שאול - 2 כר'")</f>
        <v>ויאמר שאול - 2 כר'</v>
      </c>
    </row>
    <row r="12977" spans="1:6" x14ac:dyDescent="0.2">
      <c r="A12977" t="s">
        <v>22032</v>
      </c>
      <c r="B12977" t="s">
        <v>22033</v>
      </c>
      <c r="C12977" t="s">
        <v>133</v>
      </c>
      <c r="D12977" t="s">
        <v>118</v>
      </c>
      <c r="E12977" t="s">
        <v>463</v>
      </c>
      <c r="F12977" s="2" t="str">
        <f>HYPERLINK("http://www.otzar.org/book.asp?180108","ויאמר שלום")</f>
        <v>ויאמר שלום</v>
      </c>
    </row>
    <row r="12978" spans="1:6" x14ac:dyDescent="0.2">
      <c r="A12978" t="s">
        <v>22034</v>
      </c>
      <c r="B12978" t="s">
        <v>22035</v>
      </c>
      <c r="C12978" t="s">
        <v>609</v>
      </c>
      <c r="D12978" t="s">
        <v>6974</v>
      </c>
      <c r="E12978" t="s">
        <v>3818</v>
      </c>
      <c r="F12978" s="2" t="str">
        <f>HYPERLINK("http://www.otzar.org/book.asp?104833","ויאמר שמואל")</f>
        <v>ויאמר שמואל</v>
      </c>
    </row>
    <row r="12979" spans="1:6" x14ac:dyDescent="0.2">
      <c r="A12979" t="s">
        <v>22034</v>
      </c>
      <c r="B12979" t="s">
        <v>14157</v>
      </c>
      <c r="C12979" t="s">
        <v>13</v>
      </c>
      <c r="D12979" t="s">
        <v>147</v>
      </c>
      <c r="E12979" t="s">
        <v>15</v>
      </c>
      <c r="F12979" s="2" t="str">
        <f>HYPERLINK("http://www.otzar.org/book.asp?147623","ויאמר שמואל")</f>
        <v>ויאמר שמואל</v>
      </c>
    </row>
    <row r="12980" spans="1:6" x14ac:dyDescent="0.2">
      <c r="A12980" t="s">
        <v>22034</v>
      </c>
      <c r="B12980" t="s">
        <v>22036</v>
      </c>
      <c r="C12980" t="s">
        <v>438</v>
      </c>
      <c r="D12980" t="s">
        <v>7894</v>
      </c>
      <c r="E12980" t="s">
        <v>22037</v>
      </c>
      <c r="F12980" s="2" t="str">
        <f>HYPERLINK("http://www.otzar.org/book.asp?12877","ויאמר שמואל")</f>
        <v>ויאמר שמואל</v>
      </c>
    </row>
    <row r="12981" spans="1:6" x14ac:dyDescent="0.2">
      <c r="A12981" t="s">
        <v>22034</v>
      </c>
      <c r="B12981" t="s">
        <v>22038</v>
      </c>
      <c r="C12981" t="s">
        <v>68</v>
      </c>
      <c r="D12981" t="s">
        <v>52</v>
      </c>
      <c r="E12981" t="s">
        <v>246</v>
      </c>
      <c r="F12981" s="2" t="str">
        <f>HYPERLINK("http://www.otzar.org/book.asp?157815","ויאמר שמואל")</f>
        <v>ויאמר שמואל</v>
      </c>
    </row>
    <row r="12982" spans="1:6" x14ac:dyDescent="0.2">
      <c r="A12982" t="s">
        <v>22039</v>
      </c>
      <c r="B12982" t="s">
        <v>22040</v>
      </c>
      <c r="C12982" t="s">
        <v>1096</v>
      </c>
      <c r="D12982" t="s">
        <v>27</v>
      </c>
      <c r="F12982" s="2" t="str">
        <f>HYPERLINK("http://www.otzar.org/book.asp?154186","ויאסוף דוד (ליקוטי אברהם)")</f>
        <v>ויאסוף דוד (ליקוטי אברהם)</v>
      </c>
    </row>
    <row r="12983" spans="1:6" x14ac:dyDescent="0.2">
      <c r="A12983" t="s">
        <v>22041</v>
      </c>
      <c r="B12983" t="s">
        <v>22042</v>
      </c>
      <c r="C12983" t="s">
        <v>68</v>
      </c>
      <c r="D12983" t="s">
        <v>1550</v>
      </c>
      <c r="E12983" t="s">
        <v>15</v>
      </c>
      <c r="F12983" s="2" t="str">
        <f>HYPERLINK("http://www.otzar.org/book.asp?156913","ויאסוף דוד")</f>
        <v>ויאסוף דוד</v>
      </c>
    </row>
    <row r="12984" spans="1:6" x14ac:dyDescent="0.2">
      <c r="A12984" t="s">
        <v>22041</v>
      </c>
      <c r="B12984" t="s">
        <v>22040</v>
      </c>
      <c r="C12984" t="s">
        <v>22043</v>
      </c>
      <c r="D12984" t="s">
        <v>22044</v>
      </c>
      <c r="E12984" t="s">
        <v>158</v>
      </c>
      <c r="F12984" s="2" t="str">
        <f>HYPERLINK("http://www.otzar.org/book.asp?84128","ויאסוף דוד")</f>
        <v>ויאסוף דוד</v>
      </c>
    </row>
    <row r="12985" spans="1:6" x14ac:dyDescent="0.2">
      <c r="A12985" t="s">
        <v>22045</v>
      </c>
      <c r="B12985" t="s">
        <v>9328</v>
      </c>
      <c r="C12985" t="s">
        <v>366</v>
      </c>
      <c r="D12985" t="s">
        <v>52</v>
      </c>
      <c r="E12985" t="s">
        <v>246</v>
      </c>
      <c r="F12985" s="2" t="str">
        <f>HYPERLINK("http://www.otzar.org/book.asp?606095","ויאר לנו - 2 כר'")</f>
        <v>ויאר לנו - 2 כר'</v>
      </c>
    </row>
    <row r="12986" spans="1:6" x14ac:dyDescent="0.2">
      <c r="A12986" t="s">
        <v>22046</v>
      </c>
      <c r="B12986" t="s">
        <v>206</v>
      </c>
      <c r="C12986" t="s">
        <v>366</v>
      </c>
      <c r="D12986" t="s">
        <v>21</v>
      </c>
      <c r="E12986" t="s">
        <v>158</v>
      </c>
      <c r="F12986" s="2" t="str">
        <f>HYPERLINK("http://www.otzar.org/book.asp?603940","ויבא יהודה")</f>
        <v>ויבא יהודה</v>
      </c>
    </row>
    <row r="12987" spans="1:6" x14ac:dyDescent="0.2">
      <c r="A12987" t="s">
        <v>22047</v>
      </c>
      <c r="B12987" t="s">
        <v>22048</v>
      </c>
      <c r="C12987" t="s">
        <v>383</v>
      </c>
      <c r="D12987" t="s">
        <v>14</v>
      </c>
      <c r="E12987" t="s">
        <v>22049</v>
      </c>
      <c r="F12987" s="2" t="str">
        <f>HYPERLINK("http://www.otzar.org/book.asp?10153","ויבא יוסף")</f>
        <v>ויבא יוסף</v>
      </c>
    </row>
    <row r="12988" spans="1:6" x14ac:dyDescent="0.2">
      <c r="A12988" t="s">
        <v>22050</v>
      </c>
      <c r="B12988" t="s">
        <v>22051</v>
      </c>
      <c r="C12988" t="s">
        <v>146</v>
      </c>
      <c r="D12988" t="s">
        <v>14</v>
      </c>
      <c r="E12988" t="s">
        <v>733</v>
      </c>
      <c r="F12988" s="2" t="str">
        <f>HYPERLINK("http://www.otzar.org/book.asp?85042","ויבוא יעקב שלם")</f>
        <v>ויבוא יעקב שלם</v>
      </c>
    </row>
    <row r="12989" spans="1:6" x14ac:dyDescent="0.2">
      <c r="A12989" t="s">
        <v>22052</v>
      </c>
      <c r="B12989" t="s">
        <v>22053</v>
      </c>
      <c r="C12989" t="s">
        <v>422</v>
      </c>
      <c r="D12989" t="s">
        <v>152</v>
      </c>
      <c r="E12989" t="s">
        <v>11110</v>
      </c>
      <c r="F12989" s="2" t="str">
        <f>HYPERLINK("http://www.otzar.org/book.asp?151054","ויבוא מלך הכבוד")</f>
        <v>ויבוא מלך הכבוד</v>
      </c>
    </row>
    <row r="12990" spans="1:6" x14ac:dyDescent="0.2">
      <c r="A12990" t="s">
        <v>22054</v>
      </c>
      <c r="B12990" t="s">
        <v>206</v>
      </c>
      <c r="C12990" t="s">
        <v>244</v>
      </c>
      <c r="D12990" t="s">
        <v>21</v>
      </c>
      <c r="E12990" t="s">
        <v>579</v>
      </c>
      <c r="F12990" s="2" t="str">
        <f>HYPERLINK("http://www.otzar.org/book.asp?601108","ויבינו במקרא")</f>
        <v>ויבינו במקרא</v>
      </c>
    </row>
    <row r="12991" spans="1:6" x14ac:dyDescent="0.2">
      <c r="A12991" t="s">
        <v>22055</v>
      </c>
      <c r="B12991" t="s">
        <v>22056</v>
      </c>
      <c r="C12991" t="s">
        <v>146</v>
      </c>
      <c r="D12991" t="s">
        <v>21</v>
      </c>
      <c r="E12991" t="s">
        <v>158</v>
      </c>
      <c r="F12991" s="2" t="str">
        <f>HYPERLINK("http://www.otzar.org/book.asp?190933","ויבינו במקרא - בראשית")</f>
        <v>ויבינו במקרא - בראשית</v>
      </c>
    </row>
    <row r="12992" spans="1:6" x14ac:dyDescent="0.2">
      <c r="A12992" t="s">
        <v>22057</v>
      </c>
      <c r="B12992" t="s">
        <v>17431</v>
      </c>
      <c r="C12992" t="s">
        <v>114</v>
      </c>
      <c r="D12992" t="s">
        <v>14</v>
      </c>
      <c r="E12992" t="s">
        <v>158</v>
      </c>
      <c r="F12992" s="2" t="str">
        <f>HYPERLINK("http://www.otzar.org/book.asp?164095","ויבינו במקרא - 5 כר'")</f>
        <v>ויבינו במקרא - 5 כר'</v>
      </c>
    </row>
    <row r="12993" spans="1:6" x14ac:dyDescent="0.2">
      <c r="A12993" t="s">
        <v>22058</v>
      </c>
      <c r="B12993" t="s">
        <v>22059</v>
      </c>
      <c r="C12993" t="s">
        <v>383</v>
      </c>
      <c r="D12993" t="s">
        <v>27</v>
      </c>
      <c r="E12993" t="s">
        <v>158</v>
      </c>
      <c r="F12993" s="2" t="str">
        <f>HYPERLINK("http://www.otzar.org/book.asp?176027","ויבך יוסף")</f>
        <v>ויבך יוסף</v>
      </c>
    </row>
    <row r="12994" spans="1:6" x14ac:dyDescent="0.2">
      <c r="A12994" t="s">
        <v>22060</v>
      </c>
      <c r="B12994" t="s">
        <v>22061</v>
      </c>
      <c r="C12994" t="s">
        <v>454</v>
      </c>
      <c r="D12994" t="s">
        <v>423</v>
      </c>
      <c r="E12994" t="s">
        <v>22062</v>
      </c>
      <c r="F12994" s="2" t="str">
        <f>HYPERLINK("http://www.otzar.org/book.asp?141787","ויבן משה")</f>
        <v>ויבן משה</v>
      </c>
    </row>
    <row r="12995" spans="1:6" x14ac:dyDescent="0.2">
      <c r="A12995" t="s">
        <v>22063</v>
      </c>
      <c r="B12995" t="s">
        <v>15093</v>
      </c>
      <c r="C12995" t="s">
        <v>1096</v>
      </c>
      <c r="D12995" t="s">
        <v>4269</v>
      </c>
      <c r="E12995" t="s">
        <v>22064</v>
      </c>
      <c r="F12995" s="2" t="str">
        <f>HYPERLINK("http://www.otzar.org/book.asp?9669","ויבן שלמה - קונטרס ההתמנות")</f>
        <v>ויבן שלמה - קונטרס ההתמנות</v>
      </c>
    </row>
    <row r="12996" spans="1:6" x14ac:dyDescent="0.2">
      <c r="A12996" t="s">
        <v>22065</v>
      </c>
      <c r="B12996" t="s">
        <v>22066</v>
      </c>
      <c r="C12996" t="s">
        <v>37</v>
      </c>
      <c r="D12996" t="s">
        <v>486</v>
      </c>
      <c r="E12996" t="s">
        <v>15</v>
      </c>
      <c r="F12996" s="2" t="str">
        <f>HYPERLINK("http://www.otzar.org/book.asp?189679","ויברך דוד")</f>
        <v>ויברך דוד</v>
      </c>
    </row>
    <row r="12997" spans="1:6" x14ac:dyDescent="0.2">
      <c r="A12997" t="s">
        <v>22067</v>
      </c>
      <c r="B12997" t="s">
        <v>15402</v>
      </c>
      <c r="C12997" t="s">
        <v>13</v>
      </c>
      <c r="D12997" t="s">
        <v>412</v>
      </c>
      <c r="E12997" t="s">
        <v>15</v>
      </c>
      <c r="F12997" s="2" t="str">
        <f>HYPERLINK("http://www.otzar.org/book.asp?61917","ויברך דוד - 4 כר'")</f>
        <v>ויברך דוד - 4 כר'</v>
      </c>
    </row>
    <row r="12998" spans="1:6" x14ac:dyDescent="0.2">
      <c r="A12998" t="s">
        <v>22065</v>
      </c>
      <c r="B12998" t="s">
        <v>22068</v>
      </c>
      <c r="C12998" t="s">
        <v>419</v>
      </c>
      <c r="D12998" t="s">
        <v>14</v>
      </c>
      <c r="E12998" t="s">
        <v>172</v>
      </c>
      <c r="F12998" s="2" t="str">
        <f>HYPERLINK("http://www.otzar.org/book.asp?63016","ויברך דוד")</f>
        <v>ויברך דוד</v>
      </c>
    </row>
    <row r="12999" spans="1:6" x14ac:dyDescent="0.2">
      <c r="A12999" t="s">
        <v>22065</v>
      </c>
      <c r="B12999" t="s">
        <v>22069</v>
      </c>
      <c r="C12999" t="s">
        <v>286</v>
      </c>
      <c r="D12999" t="s">
        <v>283</v>
      </c>
      <c r="E12999" t="s">
        <v>144</v>
      </c>
      <c r="F12999" s="2" t="str">
        <f>HYPERLINK("http://www.otzar.org/book.asp?17697","ויברך דוד")</f>
        <v>ויברך דוד</v>
      </c>
    </row>
    <row r="13000" spans="1:6" x14ac:dyDescent="0.2">
      <c r="A13000" t="s">
        <v>22070</v>
      </c>
      <c r="B13000" t="s">
        <v>22071</v>
      </c>
      <c r="C13000" t="s">
        <v>146</v>
      </c>
      <c r="D13000" t="s">
        <v>657</v>
      </c>
      <c r="E13000" t="s">
        <v>144</v>
      </c>
      <c r="F13000" s="2" t="str">
        <f>HYPERLINK("http://www.otzar.org/book.asp?84715","ויברך דוד - 9 כר'")</f>
        <v>ויברך דוד - 9 כר'</v>
      </c>
    </row>
    <row r="13001" spans="1:6" x14ac:dyDescent="0.2">
      <c r="A13001" t="s">
        <v>22072</v>
      </c>
      <c r="B13001" t="s">
        <v>22073</v>
      </c>
      <c r="C13001" t="s">
        <v>143</v>
      </c>
      <c r="D13001" t="s">
        <v>14</v>
      </c>
      <c r="E13001" t="s">
        <v>144</v>
      </c>
      <c r="F13001" s="2" t="str">
        <f>HYPERLINK("http://www.otzar.org/book.asp?189434","ויברך דוד- ברכות")</f>
        <v>ויברך דוד- ברכות</v>
      </c>
    </row>
    <row r="13002" spans="1:6" x14ac:dyDescent="0.2">
      <c r="A13002" t="s">
        <v>22074</v>
      </c>
      <c r="B13002" t="s">
        <v>2396</v>
      </c>
      <c r="C13002" t="s">
        <v>51</v>
      </c>
      <c r="D13002" t="s">
        <v>1076</v>
      </c>
      <c r="E13002" t="s">
        <v>325</v>
      </c>
      <c r="F13002" s="2" t="str">
        <f>HYPERLINK("http://www.otzar.org/book.asp?22812","ויברך דוד - 2 כר'")</f>
        <v>ויברך דוד - 2 כר'</v>
      </c>
    </row>
    <row r="13003" spans="1:6" x14ac:dyDescent="0.2">
      <c r="A13003" t="s">
        <v>22075</v>
      </c>
      <c r="B13003" t="s">
        <v>489</v>
      </c>
      <c r="C13003" t="s">
        <v>37</v>
      </c>
      <c r="D13003" t="s">
        <v>21</v>
      </c>
      <c r="F13003" s="2" t="str">
        <f>HYPERLINK("http://www.otzar.org/book.asp?603269","ויברך יהודה - 7 כר'")</f>
        <v>ויברך יהודה - 7 כר'</v>
      </c>
    </row>
    <row r="13004" spans="1:6" x14ac:dyDescent="0.2">
      <c r="A13004" t="s">
        <v>22076</v>
      </c>
      <c r="B13004" t="s">
        <v>22077</v>
      </c>
      <c r="C13004" t="s">
        <v>585</v>
      </c>
      <c r="D13004" t="s">
        <v>14</v>
      </c>
      <c r="E13004" t="s">
        <v>15</v>
      </c>
      <c r="F13004" s="2" t="str">
        <f>HYPERLINK("http://www.otzar.org/book.asp?629225","ויברך עזרא")</f>
        <v>ויברך עזרא</v>
      </c>
    </row>
    <row r="13005" spans="1:6" x14ac:dyDescent="0.2">
      <c r="A13005" t="s">
        <v>22078</v>
      </c>
      <c r="B13005" t="s">
        <v>1750</v>
      </c>
      <c r="C13005" t="s">
        <v>151</v>
      </c>
      <c r="D13005" t="s">
        <v>52</v>
      </c>
      <c r="F13005" s="2" t="str">
        <f>HYPERLINK("http://www.otzar.org/book.asp?616431","ויברכהו יהושע - א")</f>
        <v>ויברכהו יהושע - א</v>
      </c>
    </row>
    <row r="13006" spans="1:6" x14ac:dyDescent="0.2">
      <c r="A13006" t="s">
        <v>22079</v>
      </c>
      <c r="B13006" t="s">
        <v>22080</v>
      </c>
      <c r="C13006" t="s">
        <v>454</v>
      </c>
      <c r="D13006" t="s">
        <v>1156</v>
      </c>
      <c r="E13006" t="s">
        <v>241</v>
      </c>
      <c r="F13006" s="2" t="str">
        <f>HYPERLINK("http://www.otzar.org/book.asp?167628","ויגבה לבו")</f>
        <v>ויגבה לבו</v>
      </c>
    </row>
    <row r="13007" spans="1:6" x14ac:dyDescent="0.2">
      <c r="A13007" t="s">
        <v>22081</v>
      </c>
      <c r="B13007" t="s">
        <v>2847</v>
      </c>
      <c r="C13007" t="s">
        <v>244</v>
      </c>
      <c r="D13007" t="s">
        <v>21</v>
      </c>
      <c r="F13007" s="2" t="str">
        <f>HYPERLINK("http://www.otzar.org/book.asp?198819","ויגבה ליבו")</f>
        <v>ויגבה ליבו</v>
      </c>
    </row>
    <row r="13008" spans="1:6" x14ac:dyDescent="0.2">
      <c r="A13008" t="s">
        <v>22082</v>
      </c>
      <c r="B13008" t="s">
        <v>17578</v>
      </c>
      <c r="C13008" t="s">
        <v>13</v>
      </c>
      <c r="D13008" t="s">
        <v>9</v>
      </c>
      <c r="E13008" t="s">
        <v>246</v>
      </c>
      <c r="F13008" s="2" t="str">
        <f>HYPERLINK("http://www.otzar.org/book.asp?162306","ויגד יעקב  &lt;מהדורה חדשה&gt; - 2 כר'")</f>
        <v>ויגד יעקב  &lt;מהדורה חדשה&gt; - 2 כר'</v>
      </c>
    </row>
    <row r="13009" spans="1:6" x14ac:dyDescent="0.2">
      <c r="A13009" t="s">
        <v>22083</v>
      </c>
      <c r="B13009" t="s">
        <v>17578</v>
      </c>
      <c r="C13009" t="s">
        <v>22084</v>
      </c>
      <c r="D13009" t="s">
        <v>9</v>
      </c>
      <c r="E13009" t="s">
        <v>158</v>
      </c>
      <c r="F13009" s="2" t="str">
        <f>HYPERLINK("http://www.otzar.org/book.asp?28161","ויגד יעקב - 5 כר'")</f>
        <v>ויגד יעקב - 5 כר'</v>
      </c>
    </row>
    <row r="13010" spans="1:6" x14ac:dyDescent="0.2">
      <c r="A13010" t="s">
        <v>22085</v>
      </c>
      <c r="B13010" t="s">
        <v>4581</v>
      </c>
      <c r="C13010" t="s">
        <v>411</v>
      </c>
      <c r="D13010" t="s">
        <v>90</v>
      </c>
      <c r="E13010" t="s">
        <v>130</v>
      </c>
      <c r="F13010" s="2" t="str">
        <f>HYPERLINK("http://www.otzar.org/book.asp?190079","ויגד יעקב")</f>
        <v>ויגד יעקב</v>
      </c>
    </row>
    <row r="13011" spans="1:6" x14ac:dyDescent="0.2">
      <c r="A13011" t="s">
        <v>22086</v>
      </c>
      <c r="B13011" t="s">
        <v>21772</v>
      </c>
      <c r="C13011" t="s">
        <v>75</v>
      </c>
      <c r="D13011" t="s">
        <v>212</v>
      </c>
      <c r="E13011" t="s">
        <v>246</v>
      </c>
      <c r="F13011" s="2" t="str">
        <f>HYPERLINK("http://www.otzar.org/book.asp?300537","ויגד לאברהם")</f>
        <v>ויגד לאברהם</v>
      </c>
    </row>
    <row r="13012" spans="1:6" x14ac:dyDescent="0.2">
      <c r="A13012" t="s">
        <v>22087</v>
      </c>
      <c r="B13012" t="s">
        <v>13176</v>
      </c>
      <c r="C13012" t="s">
        <v>496</v>
      </c>
      <c r="D13012" t="s">
        <v>889</v>
      </c>
      <c r="E13012" t="s">
        <v>158</v>
      </c>
      <c r="F13012" s="2" t="str">
        <f>HYPERLINK("http://www.otzar.org/book.asp?165586","ויגד לשאול")</f>
        <v>ויגד לשאול</v>
      </c>
    </row>
    <row r="13013" spans="1:6" x14ac:dyDescent="0.2">
      <c r="A13013" t="s">
        <v>22088</v>
      </c>
      <c r="B13013" t="s">
        <v>22089</v>
      </c>
      <c r="C13013" t="s">
        <v>146</v>
      </c>
      <c r="D13013" t="s">
        <v>9530</v>
      </c>
      <c r="E13013" t="s">
        <v>246</v>
      </c>
      <c r="F13013" s="2" t="str">
        <f>HYPERLINK("http://www.otzar.org/book.asp?197257","ויגד משה")</f>
        <v>ויגד משה</v>
      </c>
    </row>
    <row r="13014" spans="1:6" x14ac:dyDescent="0.2">
      <c r="A13014" t="s">
        <v>22088</v>
      </c>
      <c r="B13014" t="s">
        <v>22090</v>
      </c>
      <c r="C13014" t="s">
        <v>1208</v>
      </c>
      <c r="D13014" t="s">
        <v>14</v>
      </c>
      <c r="E13014" t="s">
        <v>154</v>
      </c>
      <c r="F13014" s="2" t="str">
        <f>HYPERLINK("http://www.otzar.org/book.asp?153344","ויגד משה")</f>
        <v>ויגד משה</v>
      </c>
    </row>
    <row r="13015" spans="1:6" x14ac:dyDescent="0.2">
      <c r="A13015" t="s">
        <v>22091</v>
      </c>
      <c r="B13015" t="s">
        <v>22092</v>
      </c>
      <c r="C13015" t="s">
        <v>133</v>
      </c>
      <c r="D13015" t="s">
        <v>412</v>
      </c>
      <c r="E13015" t="s">
        <v>84</v>
      </c>
      <c r="F13015" s="2" t="str">
        <f>HYPERLINK("http://www.otzar.org/book.asp?626103","ויגד משה - 2 כר'")</f>
        <v>ויגד משה - 2 כר'</v>
      </c>
    </row>
    <row r="13016" spans="1:6" x14ac:dyDescent="0.2">
      <c r="A13016" t="s">
        <v>22088</v>
      </c>
      <c r="B13016" t="s">
        <v>22093</v>
      </c>
      <c r="C13016" t="s">
        <v>111</v>
      </c>
      <c r="D13016" t="s">
        <v>90</v>
      </c>
      <c r="E13016" t="s">
        <v>703</v>
      </c>
      <c r="F13016" s="2" t="str">
        <f>HYPERLINK("http://www.otzar.org/book.asp?622258","ויגד משה")</f>
        <v>ויגד משה</v>
      </c>
    </row>
    <row r="13017" spans="1:6" x14ac:dyDescent="0.2">
      <c r="A13017" t="s">
        <v>22094</v>
      </c>
      <c r="B13017" t="s">
        <v>21985</v>
      </c>
      <c r="C13017" t="s">
        <v>366</v>
      </c>
      <c r="D13017" t="s">
        <v>14</v>
      </c>
      <c r="E13017" t="s">
        <v>148</v>
      </c>
      <c r="F13017" s="2" t="str">
        <f>HYPERLINK("http://www.otzar.org/book.asp?629126","ויגש אליהו")</f>
        <v>ויגש אליהו</v>
      </c>
    </row>
    <row r="13018" spans="1:6" x14ac:dyDescent="0.2">
      <c r="A13018" t="s">
        <v>22095</v>
      </c>
      <c r="B13018" t="s">
        <v>22096</v>
      </c>
      <c r="C13018" t="s">
        <v>422</v>
      </c>
      <c r="D13018" t="s">
        <v>27</v>
      </c>
      <c r="E13018" t="s">
        <v>154</v>
      </c>
      <c r="F13018" s="2" t="str">
        <f>HYPERLINK("http://www.otzar.org/book.asp?148516","וידבר דוד &lt;מהדורה חדשה&gt;")</f>
        <v>וידבר דוד &lt;מהדורה חדשה&gt;</v>
      </c>
    </row>
    <row r="13019" spans="1:6" x14ac:dyDescent="0.2">
      <c r="A13019" t="s">
        <v>22097</v>
      </c>
      <c r="B13019" t="s">
        <v>22098</v>
      </c>
      <c r="C13019" t="s">
        <v>1811</v>
      </c>
      <c r="D13019" t="s">
        <v>14</v>
      </c>
      <c r="E13019" t="s">
        <v>474</v>
      </c>
      <c r="F13019" s="2" t="str">
        <f>HYPERLINK("http://www.otzar.org/book.asp?172358","וידבר דוד")</f>
        <v>וידבר דוד</v>
      </c>
    </row>
    <row r="13020" spans="1:6" x14ac:dyDescent="0.2">
      <c r="A13020" t="s">
        <v>22097</v>
      </c>
      <c r="B13020" t="s">
        <v>22096</v>
      </c>
      <c r="C13020" t="s">
        <v>8</v>
      </c>
      <c r="D13020" t="s">
        <v>27</v>
      </c>
      <c r="E13020" t="s">
        <v>684</v>
      </c>
      <c r="F13020" s="2" t="str">
        <f>HYPERLINK("http://www.otzar.org/book.asp?52130","וידבר דוד")</f>
        <v>וידבר דוד</v>
      </c>
    </row>
    <row r="13021" spans="1:6" x14ac:dyDescent="0.2">
      <c r="A13021" t="s">
        <v>22099</v>
      </c>
      <c r="B13021" t="s">
        <v>22100</v>
      </c>
      <c r="C13021" t="s">
        <v>383</v>
      </c>
      <c r="D13021" t="s">
        <v>412</v>
      </c>
      <c r="E13021" t="s">
        <v>246</v>
      </c>
      <c r="F13021" s="2" t="str">
        <f>HYPERLINK("http://www.otzar.org/book.asp?620416","וידבר דוד - מועדים לשמחה")</f>
        <v>וידבר דוד - מועדים לשמחה</v>
      </c>
    </row>
    <row r="13022" spans="1:6" x14ac:dyDescent="0.2">
      <c r="A13022" t="s">
        <v>22101</v>
      </c>
      <c r="B13022" t="s">
        <v>14335</v>
      </c>
      <c r="C13022" t="s">
        <v>22102</v>
      </c>
      <c r="D13022" t="s">
        <v>22103</v>
      </c>
      <c r="F13022" s="2" t="str">
        <f>HYPERLINK("http://www.otzar.org/book.asp?624907","וידבר יוסף")</f>
        <v>וידבר יוסף</v>
      </c>
    </row>
    <row r="13023" spans="1:6" x14ac:dyDescent="0.2">
      <c r="A13023" t="s">
        <v>22101</v>
      </c>
      <c r="B13023" t="s">
        <v>22104</v>
      </c>
      <c r="C13023" t="s">
        <v>37</v>
      </c>
      <c r="D13023" t="s">
        <v>21</v>
      </c>
      <c r="E13023" t="s">
        <v>230</v>
      </c>
      <c r="F13023" s="2" t="str">
        <f>HYPERLINK("http://www.otzar.org/book.asp?197362","וידבר יוסף")</f>
        <v>וידבר יוסף</v>
      </c>
    </row>
    <row r="13024" spans="1:6" x14ac:dyDescent="0.2">
      <c r="A13024" t="s">
        <v>22105</v>
      </c>
      <c r="B13024" t="s">
        <v>12625</v>
      </c>
      <c r="C13024" t="s">
        <v>87</v>
      </c>
      <c r="D13024" t="s">
        <v>14</v>
      </c>
      <c r="E13024" t="s">
        <v>104</v>
      </c>
      <c r="F13024" s="2" t="str">
        <f>HYPERLINK("http://www.otzar.org/book.asp?145537","וידבר משה &lt;כללים&gt; - 2 כר'")</f>
        <v>וידבר משה &lt;כללים&gt; - 2 כר'</v>
      </c>
    </row>
    <row r="13025" spans="1:6" x14ac:dyDescent="0.2">
      <c r="A13025" t="s">
        <v>22106</v>
      </c>
      <c r="B13025" t="s">
        <v>17593</v>
      </c>
      <c r="C13025" t="s">
        <v>366</v>
      </c>
      <c r="D13025" t="s">
        <v>1974</v>
      </c>
      <c r="F13025" s="2" t="str">
        <f>HYPERLINK("http://www.otzar.org/book.asp?625834","וידבר משה - אלול תשרי")</f>
        <v>וידבר משה - אלול תשרי</v>
      </c>
    </row>
    <row r="13026" spans="1:6" x14ac:dyDescent="0.2">
      <c r="A13026" t="s">
        <v>22107</v>
      </c>
      <c r="B13026" t="s">
        <v>12625</v>
      </c>
      <c r="C13026" t="s">
        <v>22108</v>
      </c>
      <c r="D13026" t="s">
        <v>1422</v>
      </c>
      <c r="E13026" t="s">
        <v>158</v>
      </c>
      <c r="F13026" s="2" t="str">
        <f>HYPERLINK("http://www.otzar.org/book.asp?21322","וידבר משה - 6 כר'")</f>
        <v>וידבר משה - 6 כר'</v>
      </c>
    </row>
    <row r="13027" spans="1:6" x14ac:dyDescent="0.2">
      <c r="A13027" t="s">
        <v>22109</v>
      </c>
      <c r="B13027" t="s">
        <v>17910</v>
      </c>
      <c r="C13027" t="s">
        <v>37</v>
      </c>
      <c r="D13027" t="s">
        <v>52</v>
      </c>
      <c r="E13027" t="s">
        <v>104</v>
      </c>
      <c r="F13027" s="2" t="str">
        <f>HYPERLINK("http://www.otzar.org/book.asp?624929","וידבר משה")</f>
        <v>וידבר משה</v>
      </c>
    </row>
    <row r="13028" spans="1:6" x14ac:dyDescent="0.2">
      <c r="A13028" t="s">
        <v>22110</v>
      </c>
      <c r="B13028" t="s">
        <v>6875</v>
      </c>
      <c r="C13028" t="s">
        <v>22111</v>
      </c>
      <c r="D13028" t="s">
        <v>283</v>
      </c>
      <c r="E13028" t="s">
        <v>3055</v>
      </c>
      <c r="F13028" s="2" t="str">
        <f>HYPERLINK("http://www.otzar.org/book.asp?623723","וידבר משה - מועדים א")</f>
        <v>וידבר משה - מועדים א</v>
      </c>
    </row>
    <row r="13029" spans="1:6" x14ac:dyDescent="0.2">
      <c r="A13029" t="s">
        <v>22112</v>
      </c>
      <c r="B13029" t="s">
        <v>686</v>
      </c>
      <c r="C13029" t="s">
        <v>37</v>
      </c>
      <c r="D13029" t="s">
        <v>52</v>
      </c>
      <c r="F13029" s="2" t="str">
        <f>HYPERLINK("http://www.otzar.org/book.asp?182748","וידגו לרוב")</f>
        <v>וידגו לרוב</v>
      </c>
    </row>
    <row r="13030" spans="1:6" x14ac:dyDescent="0.2">
      <c r="A13030" t="s">
        <v>22113</v>
      </c>
      <c r="B13030" t="s">
        <v>1308</v>
      </c>
      <c r="C13030" t="s">
        <v>473</v>
      </c>
      <c r="D13030" t="s">
        <v>27</v>
      </c>
      <c r="E13030" t="s">
        <v>219</v>
      </c>
      <c r="F13030" s="2" t="str">
        <f>HYPERLINK("http://www.otzar.org/book.asp?152941","וידוי גדול")</f>
        <v>וידוי גדול</v>
      </c>
    </row>
    <row r="13031" spans="1:6" x14ac:dyDescent="0.2">
      <c r="A13031" t="s">
        <v>22114</v>
      </c>
      <c r="B13031" t="s">
        <v>22115</v>
      </c>
      <c r="C13031" t="s">
        <v>908</v>
      </c>
      <c r="D13031" t="s">
        <v>20460</v>
      </c>
      <c r="E13031" t="s">
        <v>158</v>
      </c>
      <c r="F13031" s="2" t="str">
        <f>HYPERLINK("http://www.otzar.org/book.asp?182856","וידוי של יום כיפור (בגרמנית)")</f>
        <v>וידוי של יום כיפור (בגרמנית)</v>
      </c>
    </row>
    <row r="13032" spans="1:6" x14ac:dyDescent="0.2">
      <c r="A13032" t="s">
        <v>22116</v>
      </c>
      <c r="B13032" t="s">
        <v>22117</v>
      </c>
      <c r="C13032" t="s">
        <v>129</v>
      </c>
      <c r="D13032" t="s">
        <v>14</v>
      </c>
      <c r="E13032" t="s">
        <v>399</v>
      </c>
      <c r="F13032" s="2" t="str">
        <f>HYPERLINK("http://www.otzar.org/book.asp?147626","וידעת את ה'")</f>
        <v>וידעת את ה'</v>
      </c>
    </row>
    <row r="13033" spans="1:6" x14ac:dyDescent="0.2">
      <c r="A13033" t="s">
        <v>22118</v>
      </c>
      <c r="B13033" t="s">
        <v>14102</v>
      </c>
      <c r="C13033" t="s">
        <v>466</v>
      </c>
      <c r="D13033" t="s">
        <v>21</v>
      </c>
      <c r="E13033" t="s">
        <v>104</v>
      </c>
      <c r="F13033" s="2" t="str">
        <f>HYPERLINK("http://www.otzar.org/book.asp?600437","וידעת היום")</f>
        <v>וידעת היום</v>
      </c>
    </row>
    <row r="13034" spans="1:6" x14ac:dyDescent="0.2">
      <c r="A13034" t="s">
        <v>22119</v>
      </c>
      <c r="B13034" t="s">
        <v>22120</v>
      </c>
      <c r="C13034" t="s">
        <v>37</v>
      </c>
      <c r="D13034" t="s">
        <v>115</v>
      </c>
      <c r="E13034" t="s">
        <v>158</v>
      </c>
      <c r="F13034" s="2" t="str">
        <f>HYPERLINK("http://www.otzar.org/book.asp?604432","ויהודה עד רד - 2 כר'")</f>
        <v>ויהודה עד רד - 2 כר'</v>
      </c>
    </row>
    <row r="13035" spans="1:6" x14ac:dyDescent="0.2">
      <c r="A13035" t="s">
        <v>22121</v>
      </c>
      <c r="B13035" t="s">
        <v>3582</v>
      </c>
      <c r="C13035" t="s">
        <v>68</v>
      </c>
      <c r="D13035" t="s">
        <v>486</v>
      </c>
      <c r="E13035" t="s">
        <v>22122</v>
      </c>
      <c r="F13035" s="2" t="str">
        <f>HYPERLINK("http://www.otzar.org/book.asp?154504","ויהי אור")</f>
        <v>ויהי אור</v>
      </c>
    </row>
    <row r="13036" spans="1:6" x14ac:dyDescent="0.2">
      <c r="A13036" t="s">
        <v>22123</v>
      </c>
      <c r="B13036" t="s">
        <v>1750</v>
      </c>
      <c r="C13036" t="s">
        <v>87</v>
      </c>
      <c r="D13036" t="s">
        <v>14</v>
      </c>
      <c r="F13036" s="2" t="str">
        <f>HYPERLINK("http://www.otzar.org/book.asp?181450","ויהי בישורון מלך - 2 כר'")</f>
        <v>ויהי בישורון מלך - 2 כר'</v>
      </c>
    </row>
    <row r="13037" spans="1:6" x14ac:dyDescent="0.2">
      <c r="A13037" t="s">
        <v>22124</v>
      </c>
      <c r="B13037" t="s">
        <v>865</v>
      </c>
      <c r="C13037" t="s">
        <v>503</v>
      </c>
      <c r="D13037" t="s">
        <v>5615</v>
      </c>
      <c r="E13037" t="s">
        <v>104</v>
      </c>
      <c r="F13037" s="2" t="str">
        <f>HYPERLINK("http://www.otzar.org/book.asp?169434","ויהי בישרון מלך")</f>
        <v>ויהי בישרון מלך</v>
      </c>
    </row>
    <row r="13038" spans="1:6" x14ac:dyDescent="0.2">
      <c r="A13038" t="s">
        <v>22125</v>
      </c>
      <c r="B13038" t="s">
        <v>22126</v>
      </c>
      <c r="C13038" t="s">
        <v>412</v>
      </c>
      <c r="D13038" t="s">
        <v>90</v>
      </c>
      <c r="E13038" t="s">
        <v>140</v>
      </c>
      <c r="F13038" s="2" t="str">
        <f>HYPERLINK("http://www.otzar.org/book.asp?624647","ויהי בנסוע")</f>
        <v>ויהי בנסוע</v>
      </c>
    </row>
    <row r="13039" spans="1:6" x14ac:dyDescent="0.2">
      <c r="A13039" t="s">
        <v>22125</v>
      </c>
      <c r="B13039" t="s">
        <v>22127</v>
      </c>
      <c r="C13039" t="s">
        <v>68</v>
      </c>
      <c r="D13039" t="s">
        <v>968</v>
      </c>
      <c r="E13039" t="s">
        <v>10</v>
      </c>
      <c r="F13039" s="2" t="str">
        <f>HYPERLINK("http://www.otzar.org/book.asp?166617","ויהי בנסוע")</f>
        <v>ויהי בנסוע</v>
      </c>
    </row>
    <row r="13040" spans="1:6" x14ac:dyDescent="0.2">
      <c r="A13040" t="s">
        <v>22128</v>
      </c>
      <c r="B13040" t="s">
        <v>22129</v>
      </c>
      <c r="C13040" t="s">
        <v>114</v>
      </c>
      <c r="D13040" t="s">
        <v>21</v>
      </c>
      <c r="E13040" t="s">
        <v>186</v>
      </c>
      <c r="F13040" s="2" t="str">
        <f>HYPERLINK("http://www.otzar.org/book.asp?195952","ויהי בשלם סוכו")</f>
        <v>ויהי בשלם סוכו</v>
      </c>
    </row>
    <row r="13041" spans="1:6" x14ac:dyDescent="0.2">
      <c r="A13041" t="s">
        <v>22130</v>
      </c>
      <c r="B13041" t="s">
        <v>22131</v>
      </c>
      <c r="C13041" t="s">
        <v>366</v>
      </c>
      <c r="E13041" t="s">
        <v>104</v>
      </c>
      <c r="F13041" s="2" t="str">
        <f>HYPERLINK("http://www.otzar.org/book.asp?627916","ויהי ידיו אמונה")</f>
        <v>ויהי ידיו אמונה</v>
      </c>
    </row>
    <row r="13042" spans="1:6" x14ac:dyDescent="0.2">
      <c r="A13042" t="s">
        <v>22132</v>
      </c>
      <c r="B13042" t="s">
        <v>1275</v>
      </c>
      <c r="C13042" t="s">
        <v>133</v>
      </c>
      <c r="D13042" t="s">
        <v>14</v>
      </c>
      <c r="E13042" t="s">
        <v>213</v>
      </c>
      <c r="F13042" s="2" t="str">
        <f>HYPERLINK("http://www.otzar.org/book.asp?176050","ויהיו חיים לנפשך")</f>
        <v>ויהיו חיים לנפשך</v>
      </c>
    </row>
    <row r="13043" spans="1:6" x14ac:dyDescent="0.2">
      <c r="A13043" t="s">
        <v>22133</v>
      </c>
      <c r="B13043" t="s">
        <v>22134</v>
      </c>
      <c r="E13043" t="s">
        <v>384</v>
      </c>
      <c r="F13043" s="2" t="str">
        <f>HYPERLINK("http://www.otzar.org/book.asp?612107","ויהללוה")</f>
        <v>ויהללוה</v>
      </c>
    </row>
    <row r="13044" spans="1:6" x14ac:dyDescent="0.2">
      <c r="A13044" t="s">
        <v>22135</v>
      </c>
      <c r="B13044" t="s">
        <v>22136</v>
      </c>
      <c r="E13044" t="s">
        <v>158</v>
      </c>
      <c r="F13044" s="2" t="str">
        <f>HYPERLINK("http://www.otzar.org/book.asp?625757","ויואל יצחק - במדבר")</f>
        <v>ויואל יצחק - במדבר</v>
      </c>
    </row>
    <row r="13045" spans="1:6" x14ac:dyDescent="0.2">
      <c r="A13045" t="s">
        <v>22137</v>
      </c>
      <c r="B13045" t="s">
        <v>22138</v>
      </c>
      <c r="C13045" t="s">
        <v>114</v>
      </c>
      <c r="D13045" t="s">
        <v>3283</v>
      </c>
      <c r="E13045" t="s">
        <v>1157</v>
      </c>
      <c r="F13045" s="2" t="str">
        <f>HYPERLINK("http://www.otzar.org/book.asp?171309","ויואל משה עם ביאור אור כי טוב")</f>
        <v>ויואל משה עם ביאור אור כי טוב</v>
      </c>
    </row>
    <row r="13046" spans="1:6" x14ac:dyDescent="0.2">
      <c r="A13046" t="s">
        <v>22139</v>
      </c>
      <c r="B13046" t="s">
        <v>22140</v>
      </c>
      <c r="C13046" t="s">
        <v>366</v>
      </c>
      <c r="D13046" t="s">
        <v>3283</v>
      </c>
      <c r="E13046" t="s">
        <v>104</v>
      </c>
      <c r="F13046" s="2" t="str">
        <f>HYPERLINK("http://www.otzar.org/book.asp?627278","ויואל משה עם ביאור כי טוב")</f>
        <v>ויואל משה עם ביאור כי טוב</v>
      </c>
    </row>
    <row r="13047" spans="1:6" x14ac:dyDescent="0.2">
      <c r="A13047" t="s">
        <v>22141</v>
      </c>
      <c r="B13047" t="s">
        <v>14662</v>
      </c>
      <c r="C13047" t="s">
        <v>1663</v>
      </c>
      <c r="D13047" t="s">
        <v>9</v>
      </c>
      <c r="E13047" t="s">
        <v>8385</v>
      </c>
      <c r="F13047" s="2" t="str">
        <f>HYPERLINK("http://www.otzar.org/book.asp?155556","ויואל משה")</f>
        <v>ויואל משה</v>
      </c>
    </row>
    <row r="13048" spans="1:6" x14ac:dyDescent="0.2">
      <c r="A13048" t="s">
        <v>22142</v>
      </c>
      <c r="B13048" t="s">
        <v>18840</v>
      </c>
      <c r="C13048" t="s">
        <v>71</v>
      </c>
      <c r="D13048" t="s">
        <v>1974</v>
      </c>
      <c r="F13048" s="2" t="str">
        <f>HYPERLINK("http://www.otzar.org/book.asp?631534","ויוסף אברהם &lt;מהדורה חדשה&gt;")</f>
        <v>ויוסף אברהם &lt;מהדורה חדשה&gt;</v>
      </c>
    </row>
    <row r="13049" spans="1:6" x14ac:dyDescent="0.2">
      <c r="A13049" t="s">
        <v>22143</v>
      </c>
      <c r="B13049" t="s">
        <v>531</v>
      </c>
      <c r="C13049" t="s">
        <v>4374</v>
      </c>
      <c r="D13049" t="s">
        <v>563</v>
      </c>
      <c r="E13049" t="s">
        <v>158</v>
      </c>
      <c r="F13049" s="2" t="str">
        <f>HYPERLINK("http://www.otzar.org/book.asp?5715","ויוסף אברהם")</f>
        <v>ויוסף אברהם</v>
      </c>
    </row>
    <row r="13050" spans="1:6" x14ac:dyDescent="0.2">
      <c r="A13050" t="s">
        <v>22143</v>
      </c>
      <c r="B13050" t="s">
        <v>18840</v>
      </c>
      <c r="C13050" t="s">
        <v>1844</v>
      </c>
      <c r="D13050" t="s">
        <v>212</v>
      </c>
      <c r="E13050" t="s">
        <v>154</v>
      </c>
      <c r="F13050" s="2" t="str">
        <f>HYPERLINK("http://www.otzar.org/book.asp?100823","ויוסף אברהם")</f>
        <v>ויוסף אברהם</v>
      </c>
    </row>
    <row r="13051" spans="1:6" x14ac:dyDescent="0.2">
      <c r="A13051" t="s">
        <v>22143</v>
      </c>
      <c r="B13051" t="s">
        <v>1046</v>
      </c>
      <c r="C13051" t="s">
        <v>728</v>
      </c>
      <c r="D13051" t="s">
        <v>157</v>
      </c>
      <c r="E13051" t="s">
        <v>119</v>
      </c>
      <c r="F13051" s="2" t="str">
        <f>HYPERLINK("http://www.otzar.org/book.asp?22446","ויוסף אברהם")</f>
        <v>ויוסף אברהם</v>
      </c>
    </row>
    <row r="13052" spans="1:6" x14ac:dyDescent="0.2">
      <c r="A13052" t="s">
        <v>22144</v>
      </c>
      <c r="B13052" t="s">
        <v>2443</v>
      </c>
      <c r="C13052" t="s">
        <v>151</v>
      </c>
      <c r="D13052" t="s">
        <v>367</v>
      </c>
      <c r="E13052" t="s">
        <v>15</v>
      </c>
      <c r="F13052" s="2" t="str">
        <f>HYPERLINK("http://www.otzar.org/book.asp?622042","ויוסף איש - 2 כר'")</f>
        <v>ויוסף איש - 2 כר'</v>
      </c>
    </row>
    <row r="13053" spans="1:6" x14ac:dyDescent="0.2">
      <c r="A13053" t="s">
        <v>22145</v>
      </c>
      <c r="B13053" t="s">
        <v>12242</v>
      </c>
      <c r="C13053" t="s">
        <v>37</v>
      </c>
      <c r="D13053" t="s">
        <v>52</v>
      </c>
      <c r="E13053" t="s">
        <v>119</v>
      </c>
      <c r="F13053" s="2" t="str">
        <f>HYPERLINK("http://www.otzar.org/book.asp?191230","ויוסף הוא המשביר לכל הארץ")</f>
        <v>ויוסף הוא המשביר לכל הארץ</v>
      </c>
    </row>
    <row r="13054" spans="1:6" x14ac:dyDescent="0.2">
      <c r="A13054" t="s">
        <v>22146</v>
      </c>
      <c r="B13054" t="s">
        <v>22147</v>
      </c>
      <c r="C13054" t="s">
        <v>143</v>
      </c>
      <c r="D13054" t="s">
        <v>14</v>
      </c>
      <c r="E13054" t="s">
        <v>2098</v>
      </c>
      <c r="F13054" s="2" t="str">
        <f>HYPERLINK("http://www.otzar.org/book.asp?621801","ויוסף ישראל")</f>
        <v>ויוסף ישראל</v>
      </c>
    </row>
    <row r="13055" spans="1:6" x14ac:dyDescent="0.2">
      <c r="A13055" t="s">
        <v>22148</v>
      </c>
      <c r="B13055" t="s">
        <v>22149</v>
      </c>
      <c r="C13055" t="s">
        <v>114</v>
      </c>
      <c r="D13055" t="s">
        <v>14</v>
      </c>
      <c r="E13055" t="s">
        <v>144</v>
      </c>
      <c r="F13055" s="2" t="str">
        <f>HYPERLINK("http://www.otzar.org/book.asp?163217","ויוסף משה")</f>
        <v>ויוסף משה</v>
      </c>
    </row>
    <row r="13056" spans="1:6" x14ac:dyDescent="0.2">
      <c r="A13056" t="s">
        <v>22150</v>
      </c>
      <c r="B13056" t="s">
        <v>22151</v>
      </c>
      <c r="C13056" t="s">
        <v>366</v>
      </c>
      <c r="D13056" t="s">
        <v>21</v>
      </c>
      <c r="E13056" t="s">
        <v>241</v>
      </c>
      <c r="F13056" s="2" t="str">
        <f>HYPERLINK("http://www.otzar.org/book.asp?607242","ויוסף עוד דוד")</f>
        <v>ויוסף עוד דוד</v>
      </c>
    </row>
    <row r="13057" spans="1:6" x14ac:dyDescent="0.2">
      <c r="A13057" t="s">
        <v>22150</v>
      </c>
      <c r="B13057" t="s">
        <v>22152</v>
      </c>
      <c r="C13057" t="s">
        <v>68</v>
      </c>
      <c r="D13057" t="s">
        <v>14</v>
      </c>
      <c r="E13057" t="s">
        <v>674</v>
      </c>
      <c r="F13057" s="2" t="str">
        <f>HYPERLINK("http://www.otzar.org/book.asp?618037","ויוסף עוד דוד")</f>
        <v>ויוסף עוד דוד</v>
      </c>
    </row>
    <row r="13058" spans="1:6" x14ac:dyDescent="0.2">
      <c r="A13058" t="s">
        <v>22153</v>
      </c>
      <c r="B13058" t="s">
        <v>22154</v>
      </c>
      <c r="C13058" t="s">
        <v>777</v>
      </c>
      <c r="D13058" t="s">
        <v>27</v>
      </c>
      <c r="E13058" t="s">
        <v>22155</v>
      </c>
      <c r="F13058" s="2" t="str">
        <f>HYPERLINK("http://www.otzar.org/book.asp?9670","ויוסף שאול")</f>
        <v>ויוסף שאול</v>
      </c>
    </row>
    <row r="13059" spans="1:6" x14ac:dyDescent="0.2">
      <c r="A13059" t="s">
        <v>22153</v>
      </c>
      <c r="B13059" t="s">
        <v>10519</v>
      </c>
      <c r="C13059" t="s">
        <v>445</v>
      </c>
      <c r="D13059" t="s">
        <v>225</v>
      </c>
      <c r="E13059" t="s">
        <v>16263</v>
      </c>
      <c r="F13059" s="2" t="str">
        <f>HYPERLINK("http://www.otzar.org/book.asp?18698","ויוסף שאול")</f>
        <v>ויוסף שאול</v>
      </c>
    </row>
    <row r="13060" spans="1:6" x14ac:dyDescent="0.2">
      <c r="A13060" t="s">
        <v>22156</v>
      </c>
      <c r="B13060" t="s">
        <v>4854</v>
      </c>
      <c r="C13060" t="s">
        <v>20</v>
      </c>
      <c r="D13060" t="s">
        <v>367</v>
      </c>
      <c r="E13060" t="s">
        <v>158</v>
      </c>
      <c r="F13060" s="2" t="str">
        <f>HYPERLINK("http://www.otzar.org/book.asp?605463","ויושט המלך - ביאור מגילת אסתר")</f>
        <v>ויושט המלך - ביאור מגילת אסתר</v>
      </c>
    </row>
    <row r="13061" spans="1:6" x14ac:dyDescent="0.2">
      <c r="A13061" t="s">
        <v>22157</v>
      </c>
      <c r="B13061" t="s">
        <v>22158</v>
      </c>
      <c r="C13061" t="s">
        <v>189</v>
      </c>
      <c r="D13061" t="s">
        <v>52</v>
      </c>
      <c r="E13061" t="s">
        <v>1174</v>
      </c>
      <c r="F13061" s="2" t="str">
        <f>HYPERLINK("http://www.otzar.org/book.asp?84363","ויז'ניץ - 24 כר'")</f>
        <v>ויז'ניץ - 24 כר'</v>
      </c>
    </row>
    <row r="13062" spans="1:6" x14ac:dyDescent="0.2">
      <c r="A13062" t="s">
        <v>22159</v>
      </c>
      <c r="B13062" t="s">
        <v>22160</v>
      </c>
      <c r="C13062" t="s">
        <v>37</v>
      </c>
      <c r="D13062" t="s">
        <v>3406</v>
      </c>
      <c r="E13062" t="s">
        <v>154</v>
      </c>
      <c r="F13062" s="2" t="str">
        <f>HYPERLINK("http://www.otzar.org/book.asp?629259","ויזבח אלקנה - 5 כר'")</f>
        <v>ויזבח אלקנה - 5 כר'</v>
      </c>
    </row>
    <row r="13063" spans="1:6" x14ac:dyDescent="0.2">
      <c r="A13063" t="s">
        <v>22161</v>
      </c>
      <c r="B13063" t="s">
        <v>22162</v>
      </c>
      <c r="C13063" t="s">
        <v>143</v>
      </c>
      <c r="D13063" t="s">
        <v>14</v>
      </c>
      <c r="E13063" t="s">
        <v>1174</v>
      </c>
      <c r="F13063" s="2" t="str">
        <f>HYPERLINK("http://www.otzar.org/book.asp?154030","ויזניץ בתפארתה")</f>
        <v>ויזניץ בתפארתה</v>
      </c>
    </row>
    <row r="13064" spans="1:6" x14ac:dyDescent="0.2">
      <c r="A13064" t="s">
        <v>22163</v>
      </c>
      <c r="B13064" t="s">
        <v>8865</v>
      </c>
      <c r="C13064" t="s">
        <v>366</v>
      </c>
      <c r="D13064" t="s">
        <v>14</v>
      </c>
      <c r="F13064" s="2" t="str">
        <f>HYPERLINK("http://www.otzar.org/book.asp?615083","ויזרח אור")</f>
        <v>ויזרח אור</v>
      </c>
    </row>
    <row r="13065" spans="1:6" x14ac:dyDescent="0.2">
      <c r="A13065" t="s">
        <v>22164</v>
      </c>
      <c r="B13065" t="s">
        <v>22165</v>
      </c>
      <c r="C13065" t="s">
        <v>619</v>
      </c>
      <c r="D13065" t="s">
        <v>889</v>
      </c>
      <c r="E13065" t="s">
        <v>5772</v>
      </c>
      <c r="F13065" s="2" t="str">
        <f>HYPERLINK("http://www.otzar.org/book.asp?50017","ויזרע יצחק")</f>
        <v>ויזרע יצחק</v>
      </c>
    </row>
    <row r="13066" spans="1:6" x14ac:dyDescent="0.2">
      <c r="A13066" t="s">
        <v>22164</v>
      </c>
      <c r="B13066" t="s">
        <v>22166</v>
      </c>
      <c r="C13066" t="s">
        <v>146</v>
      </c>
      <c r="D13066" t="s">
        <v>423</v>
      </c>
      <c r="E13066" t="s">
        <v>14802</v>
      </c>
      <c r="F13066" s="2" t="str">
        <f>HYPERLINK("http://www.otzar.org/book.asp?603145","ויזרע יצחק")</f>
        <v>ויזרע יצחק</v>
      </c>
    </row>
    <row r="13067" spans="1:6" x14ac:dyDescent="0.2">
      <c r="A13067" t="s">
        <v>22167</v>
      </c>
      <c r="B13067" t="s">
        <v>3900</v>
      </c>
      <c r="C13067" t="s">
        <v>51</v>
      </c>
      <c r="D13067" t="s">
        <v>657</v>
      </c>
      <c r="E13067" t="s">
        <v>158</v>
      </c>
      <c r="F13067" s="2" t="str">
        <f>HYPERLINK("http://www.otzar.org/book.asp?26860","ויזרע יצחק - על המגילות")</f>
        <v>ויזרע יצחק - על המגילות</v>
      </c>
    </row>
    <row r="13068" spans="1:6" x14ac:dyDescent="0.2">
      <c r="A13068" t="s">
        <v>22164</v>
      </c>
      <c r="B13068" t="s">
        <v>206</v>
      </c>
      <c r="C13068" t="s">
        <v>20</v>
      </c>
      <c r="D13068" t="s">
        <v>90</v>
      </c>
      <c r="F13068" s="2" t="str">
        <f>HYPERLINK("http://www.otzar.org/book.asp?616819","ויזרע יצחק")</f>
        <v>ויזרע יצחק</v>
      </c>
    </row>
    <row r="13069" spans="1:6" x14ac:dyDescent="0.2">
      <c r="A13069" t="s">
        <v>22164</v>
      </c>
      <c r="B13069" t="s">
        <v>22168</v>
      </c>
      <c r="C13069" t="s">
        <v>103</v>
      </c>
      <c r="D13069" t="s">
        <v>14919</v>
      </c>
      <c r="E13069" t="s">
        <v>22169</v>
      </c>
      <c r="F13069" s="2" t="str">
        <f>HYPERLINK("http://www.otzar.org/book.asp?159319","ויזרע יצחק")</f>
        <v>ויזרע יצחק</v>
      </c>
    </row>
    <row r="13070" spans="1:6" x14ac:dyDescent="0.2">
      <c r="A13070" t="s">
        <v>22164</v>
      </c>
      <c r="B13070" t="s">
        <v>8688</v>
      </c>
      <c r="C13070" t="s">
        <v>422</v>
      </c>
      <c r="D13070" t="s">
        <v>8689</v>
      </c>
      <c r="E13070" t="s">
        <v>154</v>
      </c>
      <c r="F13070" s="2" t="str">
        <f>HYPERLINK("http://www.otzar.org/book.asp?165453","ויזרע יצחק")</f>
        <v>ויזרע יצחק</v>
      </c>
    </row>
    <row r="13071" spans="1:6" x14ac:dyDescent="0.2">
      <c r="A13071" t="s">
        <v>22164</v>
      </c>
      <c r="B13071" t="s">
        <v>22170</v>
      </c>
      <c r="C13071" t="s">
        <v>17</v>
      </c>
      <c r="D13071" t="s">
        <v>52</v>
      </c>
      <c r="E13071" t="s">
        <v>144</v>
      </c>
      <c r="F13071" s="2" t="str">
        <f>HYPERLINK("http://www.otzar.org/book.asp?159963","ויזרע יצחק")</f>
        <v>ויזרע יצחק</v>
      </c>
    </row>
    <row r="13072" spans="1:6" x14ac:dyDescent="0.2">
      <c r="A13072" t="s">
        <v>22171</v>
      </c>
      <c r="B13072" t="s">
        <v>22172</v>
      </c>
      <c r="C13072" t="s">
        <v>51</v>
      </c>
      <c r="D13072" t="s">
        <v>14</v>
      </c>
      <c r="E13072" t="s">
        <v>15</v>
      </c>
      <c r="F13072" s="2" t="str">
        <f>HYPERLINK("http://www.otzar.org/book.asp?26337","ויזרע יצחק - 3 כר'")</f>
        <v>ויזרע יצחק - 3 כר'</v>
      </c>
    </row>
    <row r="13073" spans="1:6" x14ac:dyDescent="0.2">
      <c r="A13073" t="s">
        <v>22173</v>
      </c>
      <c r="B13073" t="s">
        <v>21859</v>
      </c>
      <c r="C13073" t="s">
        <v>466</v>
      </c>
      <c r="D13073" t="s">
        <v>14</v>
      </c>
      <c r="E13073" t="s">
        <v>463</v>
      </c>
      <c r="F13073" s="2" t="str">
        <f>HYPERLINK("http://www.otzar.org/book.asp?156411","ויזרע יצחק - 2 כר'")</f>
        <v>ויזרע יצחק - 2 כר'</v>
      </c>
    </row>
    <row r="13074" spans="1:6" x14ac:dyDescent="0.2">
      <c r="A13074" t="s">
        <v>22164</v>
      </c>
      <c r="B13074" t="s">
        <v>22174</v>
      </c>
      <c r="C13074" t="s">
        <v>13</v>
      </c>
      <c r="D13074" t="s">
        <v>52</v>
      </c>
      <c r="E13074" t="s">
        <v>202</v>
      </c>
      <c r="F13074" s="2" t="str">
        <f>HYPERLINK("http://www.otzar.org/book.asp?159140","ויזרע יצחק")</f>
        <v>ויזרע יצחק</v>
      </c>
    </row>
    <row r="13075" spans="1:6" x14ac:dyDescent="0.2">
      <c r="A13075" t="s">
        <v>22164</v>
      </c>
      <c r="B13075" t="s">
        <v>22175</v>
      </c>
      <c r="C13075" t="s">
        <v>506</v>
      </c>
      <c r="D13075" t="s">
        <v>6608</v>
      </c>
      <c r="E13075" t="s">
        <v>399</v>
      </c>
      <c r="F13075" s="2" t="str">
        <f>HYPERLINK("http://www.otzar.org/book.asp?24335","ויזרע יצחק")</f>
        <v>ויזרע יצחק</v>
      </c>
    </row>
    <row r="13076" spans="1:6" x14ac:dyDescent="0.2">
      <c r="A13076" t="s">
        <v>22164</v>
      </c>
      <c r="B13076" t="s">
        <v>22176</v>
      </c>
      <c r="C13076" t="s">
        <v>3840</v>
      </c>
      <c r="D13076" t="s">
        <v>6974</v>
      </c>
      <c r="E13076" t="s">
        <v>158</v>
      </c>
      <c r="F13076" s="2" t="str">
        <f>HYPERLINK("http://www.otzar.org/book.asp?159065","ויזרע יצחק")</f>
        <v>ויזרע יצחק</v>
      </c>
    </row>
    <row r="13077" spans="1:6" x14ac:dyDescent="0.2">
      <c r="A13077" t="s">
        <v>22177</v>
      </c>
      <c r="B13077" t="s">
        <v>22178</v>
      </c>
      <c r="C13077" t="s">
        <v>454</v>
      </c>
      <c r="D13077" t="s">
        <v>52</v>
      </c>
      <c r="E13077" t="s">
        <v>10</v>
      </c>
      <c r="F13077" s="2" t="str">
        <f>HYPERLINK("http://www.otzar.org/book.asp?50956","ויזרע יצחק - א")</f>
        <v>ויזרע יצחק - א</v>
      </c>
    </row>
    <row r="13078" spans="1:6" x14ac:dyDescent="0.2">
      <c r="A13078" t="s">
        <v>22164</v>
      </c>
      <c r="B13078" t="s">
        <v>22179</v>
      </c>
      <c r="C13078" t="s">
        <v>5156</v>
      </c>
      <c r="D13078" t="s">
        <v>1117</v>
      </c>
      <c r="E13078" t="s">
        <v>399</v>
      </c>
      <c r="F13078" s="2" t="str">
        <f>HYPERLINK("http://www.otzar.org/book.asp?146879","ויזרע יצחק")</f>
        <v>ויזרע יצחק</v>
      </c>
    </row>
    <row r="13079" spans="1:6" x14ac:dyDescent="0.2">
      <c r="A13079" t="s">
        <v>22164</v>
      </c>
      <c r="B13079" t="s">
        <v>2396</v>
      </c>
      <c r="C13079" t="s">
        <v>20</v>
      </c>
      <c r="D13079" t="s">
        <v>1076</v>
      </c>
      <c r="E13079" t="s">
        <v>158</v>
      </c>
      <c r="F13079" s="2" t="str">
        <f>HYPERLINK("http://www.otzar.org/book.asp?22809","ויזרע יצחק")</f>
        <v>ויזרע יצחק</v>
      </c>
    </row>
    <row r="13080" spans="1:6" x14ac:dyDescent="0.2">
      <c r="A13080" t="s">
        <v>22180</v>
      </c>
      <c r="B13080" t="s">
        <v>22181</v>
      </c>
      <c r="C13080" t="s">
        <v>133</v>
      </c>
      <c r="D13080" t="s">
        <v>90</v>
      </c>
      <c r="E13080" t="s">
        <v>241</v>
      </c>
      <c r="F13080" s="2" t="str">
        <f>HYPERLINK("http://www.otzar.org/book.asp?625957","ויחד לבבנו באמונתך - רבי משה לוי")</f>
        <v>ויחד לבבנו באמונתך - רבי משה לוי</v>
      </c>
    </row>
    <row r="13081" spans="1:6" x14ac:dyDescent="0.2">
      <c r="A13081" t="s">
        <v>22182</v>
      </c>
      <c r="B13081" t="s">
        <v>21747</v>
      </c>
      <c r="C13081" t="s">
        <v>422</v>
      </c>
      <c r="D13081" t="s">
        <v>657</v>
      </c>
      <c r="E13081" t="s">
        <v>7486</v>
      </c>
      <c r="F13081" s="2" t="str">
        <f>HYPERLINK("http://www.otzar.org/book.asp?157899","ויחד לבבנו")</f>
        <v>ויחד לבבנו</v>
      </c>
    </row>
    <row r="13082" spans="1:6" x14ac:dyDescent="0.2">
      <c r="A13082" t="s">
        <v>22183</v>
      </c>
      <c r="B13082" t="s">
        <v>22184</v>
      </c>
      <c r="C13082" t="s">
        <v>422</v>
      </c>
      <c r="D13082" t="s">
        <v>412</v>
      </c>
      <c r="E13082" t="s">
        <v>2098</v>
      </c>
      <c r="F13082" s="2" t="str">
        <f>HYPERLINK("http://www.otzar.org/book.asp?159175","ויחזק יהושע")</f>
        <v>ויחזק יהושע</v>
      </c>
    </row>
    <row r="13083" spans="1:6" x14ac:dyDescent="0.2">
      <c r="A13083" t="s">
        <v>22185</v>
      </c>
      <c r="B13083" t="s">
        <v>22186</v>
      </c>
      <c r="C13083" t="s">
        <v>306</v>
      </c>
      <c r="D13083" t="s">
        <v>1660</v>
      </c>
      <c r="E13083" t="s">
        <v>474</v>
      </c>
      <c r="F13083" s="2" t="str">
        <f>HYPERLINK("http://www.otzar.org/book.asp?147176","ויחי ויתן")</f>
        <v>ויחי ויתן</v>
      </c>
    </row>
    <row r="13084" spans="1:6" x14ac:dyDescent="0.2">
      <c r="A13084" t="s">
        <v>22187</v>
      </c>
      <c r="B13084" t="s">
        <v>8179</v>
      </c>
      <c r="C13084" t="s">
        <v>189</v>
      </c>
      <c r="D13084" t="s">
        <v>412</v>
      </c>
      <c r="E13084" t="s">
        <v>158</v>
      </c>
      <c r="F13084" s="2" t="str">
        <f>HYPERLINK("http://www.otzar.org/book.asp?26707","ויחי יוסף &lt;על התורה&gt; - 5 כר'")</f>
        <v>ויחי יוסף &lt;על התורה&gt; - 5 כר'</v>
      </c>
    </row>
    <row r="13085" spans="1:6" x14ac:dyDescent="0.2">
      <c r="A13085" t="s">
        <v>22188</v>
      </c>
      <c r="B13085" t="s">
        <v>8179</v>
      </c>
      <c r="C13085" t="s">
        <v>775</v>
      </c>
      <c r="D13085" t="s">
        <v>412</v>
      </c>
      <c r="E13085" t="s">
        <v>3516</v>
      </c>
      <c r="F13085" s="2" t="str">
        <f>HYPERLINK("http://www.otzar.org/book.asp?15301","ויחי יוסף - 4 כר'")</f>
        <v>ויחי יוסף - 4 כר'</v>
      </c>
    </row>
    <row r="13086" spans="1:6" x14ac:dyDescent="0.2">
      <c r="A13086" t="s">
        <v>22189</v>
      </c>
      <c r="B13086" t="s">
        <v>22190</v>
      </c>
      <c r="C13086" t="s">
        <v>1448</v>
      </c>
      <c r="D13086" t="s">
        <v>764</v>
      </c>
      <c r="E13086" t="s">
        <v>10</v>
      </c>
      <c r="F13086" s="2" t="str">
        <f>HYPERLINK("http://www.otzar.org/book.asp?62631","ויחי יוסף")</f>
        <v>ויחי יוסף</v>
      </c>
    </row>
    <row r="13087" spans="1:6" x14ac:dyDescent="0.2">
      <c r="A13087" t="s">
        <v>22189</v>
      </c>
      <c r="B13087" t="s">
        <v>12508</v>
      </c>
      <c r="C13087" t="s">
        <v>609</v>
      </c>
      <c r="D13087" t="s">
        <v>27</v>
      </c>
      <c r="E13087" t="s">
        <v>15</v>
      </c>
      <c r="F13087" s="2" t="str">
        <f>HYPERLINK("http://www.otzar.org/book.asp?152458","ויחי יוסף")</f>
        <v>ויחי יוסף</v>
      </c>
    </row>
    <row r="13088" spans="1:6" x14ac:dyDescent="0.2">
      <c r="A13088" t="s">
        <v>22189</v>
      </c>
      <c r="B13088" t="s">
        <v>22191</v>
      </c>
      <c r="C13088" t="s">
        <v>146</v>
      </c>
      <c r="D13088" t="s">
        <v>14</v>
      </c>
      <c r="E13088" t="s">
        <v>144</v>
      </c>
      <c r="F13088" s="2" t="str">
        <f>HYPERLINK("http://www.otzar.org/book.asp?196787","ויחי יוסף")</f>
        <v>ויחי יוסף</v>
      </c>
    </row>
    <row r="13089" spans="1:6" x14ac:dyDescent="0.2">
      <c r="A13089" t="s">
        <v>22192</v>
      </c>
      <c r="B13089" t="s">
        <v>6899</v>
      </c>
      <c r="C13089" t="s">
        <v>496</v>
      </c>
      <c r="D13089" t="s">
        <v>283</v>
      </c>
      <c r="E13089" t="s">
        <v>154</v>
      </c>
      <c r="F13089" s="2" t="str">
        <f>HYPERLINK("http://www.otzar.org/book.asp?102791","ויחי יעקב")</f>
        <v>ויחי יעקב</v>
      </c>
    </row>
    <row r="13090" spans="1:6" x14ac:dyDescent="0.2">
      <c r="A13090" t="s">
        <v>22193</v>
      </c>
      <c r="B13090" t="s">
        <v>22194</v>
      </c>
      <c r="C13090" t="s">
        <v>1208</v>
      </c>
      <c r="D13090" t="s">
        <v>118</v>
      </c>
      <c r="E13090" t="s">
        <v>14523</v>
      </c>
      <c r="F13090" s="2" t="str">
        <f>HYPERLINK("http://www.otzar.org/book.asp?9561","ויחי יעקב - 3 כר'")</f>
        <v>ויחי יעקב - 3 כר'</v>
      </c>
    </row>
    <row r="13091" spans="1:6" x14ac:dyDescent="0.2">
      <c r="A13091" t="s">
        <v>22192</v>
      </c>
      <c r="B13091" t="s">
        <v>22195</v>
      </c>
      <c r="C13091" t="s">
        <v>1335</v>
      </c>
      <c r="D13091" t="s">
        <v>157</v>
      </c>
      <c r="E13091" t="s">
        <v>158</v>
      </c>
      <c r="F13091" s="2" t="str">
        <f>HYPERLINK("http://www.otzar.org/book.asp?24337","ויחי יעקב")</f>
        <v>ויחי יעקב</v>
      </c>
    </row>
    <row r="13092" spans="1:6" x14ac:dyDescent="0.2">
      <c r="A13092" t="s">
        <v>22196</v>
      </c>
      <c r="B13092" t="s">
        <v>3166</v>
      </c>
      <c r="C13092" t="s">
        <v>87</v>
      </c>
      <c r="D13092" t="s">
        <v>14</v>
      </c>
      <c r="E13092" t="s">
        <v>213</v>
      </c>
      <c r="F13092" s="2" t="str">
        <f>HYPERLINK("http://www.otzar.org/book.asp?200384","ויחי יעקב - א, וקונטרס הוספות")</f>
        <v>ויחי יעקב - א, וקונטרס הוספות</v>
      </c>
    </row>
    <row r="13093" spans="1:6" x14ac:dyDescent="0.2">
      <c r="A13093" t="s">
        <v>22197</v>
      </c>
      <c r="B13093" t="s">
        <v>552</v>
      </c>
      <c r="C13093" t="s">
        <v>51</v>
      </c>
      <c r="D13093" t="s">
        <v>52</v>
      </c>
      <c r="E13093" t="s">
        <v>4022</v>
      </c>
      <c r="F13093" s="2" t="str">
        <f>HYPERLINK("http://www.otzar.org/book.asp?161249","ויחי יעקב - שבת")</f>
        <v>ויחי יעקב - שבת</v>
      </c>
    </row>
    <row r="13094" spans="1:6" x14ac:dyDescent="0.2">
      <c r="A13094" t="s">
        <v>22198</v>
      </c>
      <c r="B13094" t="s">
        <v>22186</v>
      </c>
      <c r="C13094" t="s">
        <v>1019</v>
      </c>
      <c r="D13094" t="s">
        <v>1660</v>
      </c>
      <c r="E13094" t="s">
        <v>559</v>
      </c>
      <c r="F13094" s="2" t="str">
        <f>HYPERLINK("http://www.otzar.org/book.asp?108228","ויחי עוד")</f>
        <v>ויחי עוד</v>
      </c>
    </row>
    <row r="13095" spans="1:6" x14ac:dyDescent="0.2">
      <c r="A13095" t="s">
        <v>22199</v>
      </c>
      <c r="B13095" t="s">
        <v>22200</v>
      </c>
      <c r="C13095" t="s">
        <v>146</v>
      </c>
      <c r="D13095" t="s">
        <v>52</v>
      </c>
      <c r="E13095" t="s">
        <v>22201</v>
      </c>
      <c r="F13095" s="2" t="str">
        <f>HYPERLINK("http://www.otzar.org/book.asp?198389","ויחכם שלמה")</f>
        <v>ויחכם שלמה</v>
      </c>
    </row>
    <row r="13096" spans="1:6" x14ac:dyDescent="0.2">
      <c r="A13096" t="s">
        <v>22199</v>
      </c>
      <c r="B13096" t="s">
        <v>13176</v>
      </c>
      <c r="C13096" t="s">
        <v>725</v>
      </c>
      <c r="D13096" t="s">
        <v>6974</v>
      </c>
      <c r="E13096" t="s">
        <v>158</v>
      </c>
      <c r="F13096" s="2" t="str">
        <f>HYPERLINK("http://www.otzar.org/book.asp?25143","ויחכם שלמה")</f>
        <v>ויחכם שלמה</v>
      </c>
    </row>
    <row r="13097" spans="1:6" x14ac:dyDescent="0.2">
      <c r="A13097" t="s">
        <v>22202</v>
      </c>
      <c r="B13097" t="s">
        <v>22203</v>
      </c>
      <c r="C13097" t="s">
        <v>11209</v>
      </c>
      <c r="D13097" t="s">
        <v>744</v>
      </c>
      <c r="F13097" s="2" t="str">
        <f>HYPERLINK("http://www.otzar.org/book.asp?170285","ויחל משה - 3 כר'")</f>
        <v>ויחל משה - 3 כר'</v>
      </c>
    </row>
    <row r="13098" spans="1:6" x14ac:dyDescent="0.2">
      <c r="A13098" t="s">
        <v>22204</v>
      </c>
      <c r="B13098" t="s">
        <v>8578</v>
      </c>
      <c r="C13098" t="s">
        <v>752</v>
      </c>
      <c r="D13098" t="s">
        <v>1279</v>
      </c>
      <c r="E13098" t="s">
        <v>158</v>
      </c>
      <c r="F13098" s="2" t="str">
        <f>HYPERLINK("http://www.otzar.org/book.asp?12001","ויחל משה")</f>
        <v>ויחל משה</v>
      </c>
    </row>
    <row r="13099" spans="1:6" x14ac:dyDescent="0.2">
      <c r="A13099" t="s">
        <v>22204</v>
      </c>
      <c r="B13099" t="s">
        <v>22205</v>
      </c>
      <c r="C13099" t="s">
        <v>3695</v>
      </c>
      <c r="D13099" t="s">
        <v>18827</v>
      </c>
      <c r="E13099" t="s">
        <v>104</v>
      </c>
      <c r="F13099" s="2" t="str">
        <f>HYPERLINK("http://www.otzar.org/book.asp?192270","ויחל משה")</f>
        <v>ויחל משה</v>
      </c>
    </row>
    <row r="13100" spans="1:6" x14ac:dyDescent="0.2">
      <c r="A13100" t="s">
        <v>22206</v>
      </c>
      <c r="B13100" t="s">
        <v>22207</v>
      </c>
      <c r="C13100" t="s">
        <v>133</v>
      </c>
      <c r="D13100" t="s">
        <v>3406</v>
      </c>
      <c r="E13100" t="s">
        <v>674</v>
      </c>
      <c r="F13100" s="2" t="str">
        <f>HYPERLINK("http://www.otzar.org/book.asp?611782","ויחל משה - 2 כר'")</f>
        <v>ויחל משה - 2 כר'</v>
      </c>
    </row>
    <row r="13101" spans="1:6" x14ac:dyDescent="0.2">
      <c r="A13101" t="s">
        <v>22204</v>
      </c>
      <c r="B13101" t="s">
        <v>22208</v>
      </c>
      <c r="C13101" t="s">
        <v>1019</v>
      </c>
      <c r="D13101" t="s">
        <v>535</v>
      </c>
      <c r="E13101" t="s">
        <v>158</v>
      </c>
      <c r="F13101" s="2" t="str">
        <f>HYPERLINK("http://www.otzar.org/book.asp?24338","ויחל משה")</f>
        <v>ויחל משה</v>
      </c>
    </row>
    <row r="13102" spans="1:6" x14ac:dyDescent="0.2">
      <c r="A13102" t="s">
        <v>22209</v>
      </c>
      <c r="B13102" t="s">
        <v>22210</v>
      </c>
      <c r="C13102" t="s">
        <v>609</v>
      </c>
      <c r="D13102" t="s">
        <v>6974</v>
      </c>
      <c r="E13102" t="s">
        <v>10</v>
      </c>
      <c r="F13102" s="2" t="str">
        <f>HYPERLINK("http://www.otzar.org/book.asp?18701","ויחל שלמה, ויאסוף שלמה")</f>
        <v>ויחל שלמה, ויאסוף שלמה</v>
      </c>
    </row>
    <row r="13103" spans="1:6" x14ac:dyDescent="0.2">
      <c r="A13103" t="s">
        <v>22211</v>
      </c>
      <c r="B13103" t="s">
        <v>22212</v>
      </c>
      <c r="C13103" t="s">
        <v>189</v>
      </c>
      <c r="D13103" t="s">
        <v>52</v>
      </c>
      <c r="E13103" t="s">
        <v>202</v>
      </c>
      <c r="F13103" s="2" t="str">
        <f>HYPERLINK("http://www.otzar.org/book.asp?147948","ויחן משה")</f>
        <v>ויחן משה</v>
      </c>
    </row>
    <row r="13104" spans="1:6" x14ac:dyDescent="0.2">
      <c r="A13104" t="s">
        <v>22213</v>
      </c>
      <c r="B13104" t="s">
        <v>22214</v>
      </c>
      <c r="C13104" t="s">
        <v>422</v>
      </c>
      <c r="D13104" t="s">
        <v>152</v>
      </c>
      <c r="E13104" t="s">
        <v>3518</v>
      </c>
      <c r="F13104" s="2" t="str">
        <f>HYPERLINK("http://www.otzar.org/book.asp?147999","ויחנו בסכת")</f>
        <v>ויחנו בסכת</v>
      </c>
    </row>
    <row r="13105" spans="1:6" x14ac:dyDescent="0.2">
      <c r="A13105" t="s">
        <v>22215</v>
      </c>
      <c r="B13105" t="s">
        <v>22216</v>
      </c>
      <c r="C13105" t="s">
        <v>189</v>
      </c>
      <c r="D13105" t="s">
        <v>52</v>
      </c>
      <c r="E13105" t="s">
        <v>144</v>
      </c>
      <c r="F13105" s="2" t="str">
        <f>HYPERLINK("http://www.otzar.org/book.asp?142119","ויטע אשל - 4 כר'")</f>
        <v>ויטע אשל - 4 כר'</v>
      </c>
    </row>
    <row r="13106" spans="1:6" x14ac:dyDescent="0.2">
      <c r="A13106" t="s">
        <v>22217</v>
      </c>
      <c r="B13106" t="s">
        <v>552</v>
      </c>
      <c r="C13106" t="s">
        <v>775</v>
      </c>
      <c r="D13106" t="s">
        <v>52</v>
      </c>
      <c r="E13106" t="s">
        <v>202</v>
      </c>
      <c r="F13106" s="2" t="str">
        <f>HYPERLINK("http://www.otzar.org/book.asp?153623","ויטע אשל")</f>
        <v>ויטע אשל</v>
      </c>
    </row>
    <row r="13107" spans="1:6" x14ac:dyDescent="0.2">
      <c r="A13107" t="s">
        <v>22218</v>
      </c>
      <c r="B13107" t="s">
        <v>1750</v>
      </c>
      <c r="C13107" t="s">
        <v>411</v>
      </c>
      <c r="D13107" t="s">
        <v>52</v>
      </c>
      <c r="E13107" t="s">
        <v>202</v>
      </c>
      <c r="F13107" s="2" t="str">
        <f>HYPERLINK("http://www.otzar.org/book.asp?168550","ויין ישמח - 2 כר'")</f>
        <v>ויין ישמח - 2 כר'</v>
      </c>
    </row>
    <row r="13108" spans="1:6" x14ac:dyDescent="0.2">
      <c r="A13108" t="s">
        <v>22219</v>
      </c>
      <c r="B13108" t="s">
        <v>22220</v>
      </c>
      <c r="C13108" t="s">
        <v>989</v>
      </c>
      <c r="D13108" t="s">
        <v>14</v>
      </c>
      <c r="E13108" t="s">
        <v>234</v>
      </c>
      <c r="F13108" s="2" t="str">
        <f>HYPERLINK("http://www.otzar.org/book.asp?169281","וייקץ שלמה")</f>
        <v>וייקץ שלמה</v>
      </c>
    </row>
    <row r="13109" spans="1:6" x14ac:dyDescent="0.2">
      <c r="A13109" t="s">
        <v>22221</v>
      </c>
      <c r="B13109" t="s">
        <v>10146</v>
      </c>
      <c r="C13109" t="s">
        <v>1706</v>
      </c>
      <c r="D13109" t="s">
        <v>2181</v>
      </c>
      <c r="F13109" s="2" t="str">
        <f>HYPERLINK("http://www.otzar.org/book.asp?182590","ויכוח הדת והאמונה")</f>
        <v>ויכוח הדת והאמונה</v>
      </c>
    </row>
    <row r="13110" spans="1:6" x14ac:dyDescent="0.2">
      <c r="A13110" t="s">
        <v>22222</v>
      </c>
      <c r="B13110" t="s">
        <v>22223</v>
      </c>
      <c r="C13110" t="s">
        <v>22224</v>
      </c>
      <c r="D13110" t="s">
        <v>22225</v>
      </c>
      <c r="F13110" s="2" t="str">
        <f>HYPERLINK("http://www.otzar.org/book.asp?611757","ויכוח יוסף והשבטים - 2 כר'")</f>
        <v>ויכוח יוסף והשבטים - 2 כר'</v>
      </c>
    </row>
    <row r="13111" spans="1:6" x14ac:dyDescent="0.2">
      <c r="A13111" t="s">
        <v>22226</v>
      </c>
      <c r="B13111" t="s">
        <v>1472</v>
      </c>
      <c r="C13111" t="s">
        <v>5619</v>
      </c>
      <c r="D13111" t="s">
        <v>1023</v>
      </c>
      <c r="E13111" t="s">
        <v>5935</v>
      </c>
      <c r="F13111" s="2" t="str">
        <f>HYPERLINK("http://www.otzar.org/book.asp?18702","ויכוח מים חיים - 3 כר'")</f>
        <v>ויכוח מים חיים - 3 כר'</v>
      </c>
    </row>
    <row r="13112" spans="1:6" x14ac:dyDescent="0.2">
      <c r="A13112" t="s">
        <v>22227</v>
      </c>
      <c r="B13112" t="s">
        <v>22228</v>
      </c>
      <c r="C13112" t="s">
        <v>332</v>
      </c>
      <c r="D13112" t="s">
        <v>14</v>
      </c>
      <c r="E13112" t="s">
        <v>213</v>
      </c>
      <c r="F13112" s="2" t="str">
        <f>HYPERLINK("http://www.otzar.org/book.asp?158962","ויכוח מר ינוקא ומר קשישא")</f>
        <v>ויכוח מר ינוקא ומר קשישא</v>
      </c>
    </row>
    <row r="13113" spans="1:6" x14ac:dyDescent="0.2">
      <c r="A13113" t="s">
        <v>22229</v>
      </c>
      <c r="B13113" t="s">
        <v>22230</v>
      </c>
      <c r="C13113" t="s">
        <v>506</v>
      </c>
      <c r="D13113" t="s">
        <v>1279</v>
      </c>
      <c r="E13113" t="s">
        <v>213</v>
      </c>
      <c r="F13113" s="2" t="str">
        <f>HYPERLINK("http://www.otzar.org/book.asp?18703","ויכוח רבינו יחיאל מפאריז")</f>
        <v>ויכוח רבינו יחיאל מפאריז</v>
      </c>
    </row>
    <row r="13114" spans="1:6" x14ac:dyDescent="0.2">
      <c r="A13114" t="s">
        <v>22231</v>
      </c>
      <c r="B13114" t="s">
        <v>21870</v>
      </c>
      <c r="C13114" t="s">
        <v>1706</v>
      </c>
      <c r="D13114" t="s">
        <v>379</v>
      </c>
      <c r="E13114" t="s">
        <v>733</v>
      </c>
      <c r="F13114" s="2" t="str">
        <f>HYPERLINK("http://www.otzar.org/book.asp?152921","ויכוחא רבה")</f>
        <v>ויכוחא רבה</v>
      </c>
    </row>
    <row r="13115" spans="1:6" x14ac:dyDescent="0.2">
      <c r="A13115" t="s">
        <v>22232</v>
      </c>
      <c r="B13115" t="s">
        <v>22233</v>
      </c>
      <c r="C13115" t="s">
        <v>20</v>
      </c>
      <c r="D13115" t="s">
        <v>118</v>
      </c>
      <c r="E13115" t="s">
        <v>154</v>
      </c>
      <c r="F13115" s="2" t="str">
        <f>HYPERLINK("http://www.otzar.org/book.asp?160299","ויכלכל יוסף")</f>
        <v>ויכלכל יוסף</v>
      </c>
    </row>
    <row r="13116" spans="1:6" x14ac:dyDescent="0.2">
      <c r="A13116" t="s">
        <v>22234</v>
      </c>
      <c r="B13116" t="s">
        <v>6486</v>
      </c>
      <c r="C13116" t="s">
        <v>785</v>
      </c>
      <c r="D13116" t="s">
        <v>412</v>
      </c>
      <c r="E13116" t="s">
        <v>741</v>
      </c>
      <c r="F13116" s="2" t="str">
        <f>HYPERLINK("http://www.otzar.org/book.asp?157971","ויכתב דוד")</f>
        <v>ויכתב דוד</v>
      </c>
    </row>
    <row r="13117" spans="1:6" x14ac:dyDescent="0.2">
      <c r="A13117" t="s">
        <v>22235</v>
      </c>
      <c r="B13117" t="s">
        <v>22236</v>
      </c>
      <c r="C13117" t="s">
        <v>22237</v>
      </c>
      <c r="D13117" t="s">
        <v>1081</v>
      </c>
      <c r="E13117" t="s">
        <v>474</v>
      </c>
      <c r="F13117" s="2" t="str">
        <f>HYPERLINK("http://www.otzar.org/book.asp?105408","ויכתב מרדכי - 2 כר'")</f>
        <v>ויכתב מרדכי - 2 כר'</v>
      </c>
    </row>
    <row r="13118" spans="1:6" x14ac:dyDescent="0.2">
      <c r="A13118" t="s">
        <v>22238</v>
      </c>
      <c r="B13118" t="s">
        <v>22239</v>
      </c>
      <c r="C13118" t="s">
        <v>23</v>
      </c>
      <c r="D13118" t="s">
        <v>14</v>
      </c>
      <c r="E13118" t="s">
        <v>154</v>
      </c>
      <c r="F13118" s="2" t="str">
        <f>HYPERLINK("http://www.otzar.org/book.asp?192817","ויכתוב דוד")</f>
        <v>ויכתוב דוד</v>
      </c>
    </row>
    <row r="13119" spans="1:6" x14ac:dyDescent="0.2">
      <c r="A13119" t="s">
        <v>22240</v>
      </c>
      <c r="B13119" t="s">
        <v>22241</v>
      </c>
      <c r="C13119" t="s">
        <v>422</v>
      </c>
      <c r="D13119" t="s">
        <v>2375</v>
      </c>
      <c r="E13119" t="s">
        <v>588</v>
      </c>
      <c r="F13119" s="2" t="str">
        <f>HYPERLINK("http://www.otzar.org/book.asp?191196","ויכתוב מרדכי - א")</f>
        <v>ויכתוב מרדכי - א</v>
      </c>
    </row>
    <row r="13120" spans="1:6" x14ac:dyDescent="0.2">
      <c r="A13120" t="s">
        <v>22242</v>
      </c>
      <c r="B13120" t="s">
        <v>22243</v>
      </c>
      <c r="C13120" t="s">
        <v>244</v>
      </c>
      <c r="D13120" t="s">
        <v>412</v>
      </c>
      <c r="E13120" t="s">
        <v>104</v>
      </c>
      <c r="F13120" s="2" t="str">
        <f>HYPERLINK("http://www.otzar.org/book.asp?600772","ויכתוב מרדכי - 2 כר'")</f>
        <v>ויכתוב מרדכי - 2 כר'</v>
      </c>
    </row>
    <row r="13121" spans="1:6" x14ac:dyDescent="0.2">
      <c r="A13121" t="s">
        <v>22244</v>
      </c>
      <c r="B13121" t="s">
        <v>9322</v>
      </c>
      <c r="C13121" t="s">
        <v>4144</v>
      </c>
      <c r="D13121" t="s">
        <v>1889</v>
      </c>
      <c r="E13121" t="s">
        <v>144</v>
      </c>
      <c r="F13121" s="2" t="str">
        <f>HYPERLINK("http://www.otzar.org/book.asp?144664","ויכתוב משה")</f>
        <v>ויכתוב משה</v>
      </c>
    </row>
    <row r="13122" spans="1:6" x14ac:dyDescent="0.2">
      <c r="A13122" t="s">
        <v>22244</v>
      </c>
      <c r="B13122" t="s">
        <v>22245</v>
      </c>
      <c r="C13122" t="s">
        <v>492</v>
      </c>
      <c r="D13122" t="s">
        <v>352</v>
      </c>
      <c r="E13122" t="s">
        <v>158</v>
      </c>
      <c r="F13122" s="2" t="str">
        <f>HYPERLINK("http://www.otzar.org/book.asp?9259","ויכתוב משה")</f>
        <v>ויכתוב משה</v>
      </c>
    </row>
    <row r="13123" spans="1:6" x14ac:dyDescent="0.2">
      <c r="A13123" t="s">
        <v>1838</v>
      </c>
      <c r="B13123" t="s">
        <v>22246</v>
      </c>
      <c r="C13123" t="s">
        <v>146</v>
      </c>
      <c r="D13123" t="s">
        <v>14</v>
      </c>
      <c r="E13123" t="s">
        <v>158</v>
      </c>
      <c r="F13123" s="2" t="str">
        <f>HYPERLINK("http://www.otzar.org/book.asp?84424","וילהלם, אהרן אליהו בן יחזקאל")</f>
        <v>וילהלם, אהרן אליהו בן יחזקאל</v>
      </c>
    </row>
    <row r="13124" spans="1:6" x14ac:dyDescent="0.2">
      <c r="A13124" t="s">
        <v>22247</v>
      </c>
      <c r="B13124" t="s">
        <v>15746</v>
      </c>
      <c r="C13124" t="s">
        <v>37</v>
      </c>
      <c r="D13124" t="s">
        <v>52</v>
      </c>
      <c r="E13124" t="s">
        <v>15</v>
      </c>
      <c r="F13124" s="2" t="str">
        <f>HYPERLINK("http://www.otzar.org/book.asp?180805","וילן בעמק - ריבית")</f>
        <v>וילן בעמק - ריבית</v>
      </c>
    </row>
    <row r="13125" spans="1:6" x14ac:dyDescent="0.2">
      <c r="A13125" t="s">
        <v>22248</v>
      </c>
      <c r="B13125" t="s">
        <v>22249</v>
      </c>
      <c r="C13125" t="s">
        <v>20</v>
      </c>
      <c r="D13125" t="s">
        <v>412</v>
      </c>
      <c r="F13125" s="2" t="str">
        <f>HYPERLINK("http://www.otzar.org/book.asp?610049","וילקט יוסף")</f>
        <v>וילקט יוסף</v>
      </c>
    </row>
    <row r="13126" spans="1:6" x14ac:dyDescent="0.2">
      <c r="A13126" t="s">
        <v>22248</v>
      </c>
      <c r="B13126" t="s">
        <v>22250</v>
      </c>
      <c r="C13126" t="s">
        <v>356</v>
      </c>
      <c r="D13126" t="s">
        <v>52</v>
      </c>
      <c r="E13126" t="s">
        <v>22251</v>
      </c>
      <c r="F13126" s="2" t="str">
        <f>HYPERLINK("http://www.otzar.org/book.asp?85081","וילקט יוסף")</f>
        <v>וילקט יוסף</v>
      </c>
    </row>
    <row r="13127" spans="1:6" x14ac:dyDescent="0.2">
      <c r="A13127" t="s">
        <v>22248</v>
      </c>
      <c r="B13127" t="s">
        <v>22252</v>
      </c>
      <c r="C13127" t="s">
        <v>1246</v>
      </c>
      <c r="D13127" t="s">
        <v>27</v>
      </c>
      <c r="E13127" t="s">
        <v>140</v>
      </c>
      <c r="F13127" s="2" t="str">
        <f>HYPERLINK("http://www.otzar.org/book.asp?14381","וילקט יוסף")</f>
        <v>וילקט יוסף</v>
      </c>
    </row>
    <row r="13128" spans="1:6" x14ac:dyDescent="0.2">
      <c r="A13128" t="s">
        <v>22248</v>
      </c>
      <c r="B13128" t="s">
        <v>22253</v>
      </c>
      <c r="C13128" t="s">
        <v>3246</v>
      </c>
      <c r="D13128" t="s">
        <v>6608</v>
      </c>
      <c r="E13128" t="s">
        <v>15</v>
      </c>
      <c r="F13128" s="2" t="str">
        <f>HYPERLINK("http://www.otzar.org/book.asp?22434","וילקט יוסף")</f>
        <v>וילקט יוסף</v>
      </c>
    </row>
    <row r="13129" spans="1:6" x14ac:dyDescent="0.2">
      <c r="A13129" t="s">
        <v>22248</v>
      </c>
      <c r="B13129" t="s">
        <v>22254</v>
      </c>
      <c r="C13129" t="s">
        <v>3709</v>
      </c>
      <c r="D13129" t="s">
        <v>20821</v>
      </c>
      <c r="E13129" t="s">
        <v>4738</v>
      </c>
      <c r="F13129" s="2" t="str">
        <f>HYPERLINK("http://www.otzar.org/book.asp?22433","וילקט יוסף")</f>
        <v>וילקט יוסף</v>
      </c>
    </row>
    <row r="13130" spans="1:6" x14ac:dyDescent="0.2">
      <c r="A13130" t="s">
        <v>22255</v>
      </c>
      <c r="B13130" t="s">
        <v>285</v>
      </c>
      <c r="C13130" t="s">
        <v>1096</v>
      </c>
      <c r="D13130" t="s">
        <v>991</v>
      </c>
      <c r="E13130" t="s">
        <v>202</v>
      </c>
      <c r="F13130" s="2" t="str">
        <f>HYPERLINK("http://www.otzar.org/book.asp?300021","וילקט יוסף - 20 כר'")</f>
        <v>וילקט יוסף - 20 כר'</v>
      </c>
    </row>
    <row r="13131" spans="1:6" x14ac:dyDescent="0.2">
      <c r="A13131" t="s">
        <v>22256</v>
      </c>
      <c r="B13131" t="s">
        <v>1046</v>
      </c>
      <c r="C13131" t="s">
        <v>503</v>
      </c>
      <c r="D13131" t="s">
        <v>157</v>
      </c>
      <c r="E13131" t="s">
        <v>104</v>
      </c>
      <c r="F13131" s="2" t="str">
        <f>HYPERLINK("http://www.otzar.org/book.asp?147072","וימהר אברהם")</f>
        <v>וימהר אברהם</v>
      </c>
    </row>
    <row r="13132" spans="1:6" x14ac:dyDescent="0.2">
      <c r="A13132" t="s">
        <v>22257</v>
      </c>
      <c r="B13132" t="s">
        <v>22258</v>
      </c>
      <c r="C13132" t="s">
        <v>366</v>
      </c>
      <c r="D13132" t="s">
        <v>90</v>
      </c>
      <c r="E13132" t="s">
        <v>104</v>
      </c>
      <c r="F13132" s="2" t="str">
        <f>HYPERLINK("http://www.otzar.org/book.asp?626567","וימצא כתוב")</f>
        <v>וימצא כתוב</v>
      </c>
    </row>
    <row r="13133" spans="1:6" x14ac:dyDescent="0.2">
      <c r="A13133" t="s">
        <v>22259</v>
      </c>
      <c r="B13133" t="s">
        <v>22260</v>
      </c>
      <c r="C13133" t="s">
        <v>5823</v>
      </c>
      <c r="D13133" t="s">
        <v>6214</v>
      </c>
      <c r="E13133" t="s">
        <v>234</v>
      </c>
      <c r="F13133" s="2" t="str">
        <f>HYPERLINK("http://www.otzar.org/book.asp?196403","וימת שמואל")</f>
        <v>וימת שמואל</v>
      </c>
    </row>
    <row r="13134" spans="1:6" x14ac:dyDescent="0.2">
      <c r="A13134" t="s">
        <v>2373</v>
      </c>
      <c r="B13134" t="s">
        <v>22261</v>
      </c>
      <c r="C13134" t="s">
        <v>985</v>
      </c>
      <c r="D13134" t="s">
        <v>260</v>
      </c>
      <c r="E13134" t="s">
        <v>119</v>
      </c>
      <c r="F13134" s="2" t="str">
        <f>HYPERLINK("http://www.otzar.org/book.asp?14857","וינה")</f>
        <v>וינה</v>
      </c>
    </row>
    <row r="13135" spans="1:6" x14ac:dyDescent="0.2">
      <c r="A13135" t="s">
        <v>22262</v>
      </c>
      <c r="B13135" t="s">
        <v>22263</v>
      </c>
      <c r="C13135" t="s">
        <v>51</v>
      </c>
      <c r="D13135" t="s">
        <v>1974</v>
      </c>
      <c r="E13135" t="s">
        <v>15</v>
      </c>
      <c r="F13135" s="2" t="str">
        <f>HYPERLINK("http://www.otzar.org/book.asp?52547","וינטלם וינשאם")</f>
        <v>וינטלם וינשאם</v>
      </c>
    </row>
    <row r="13136" spans="1:6" x14ac:dyDescent="0.2">
      <c r="A13136" t="s">
        <v>22262</v>
      </c>
      <c r="B13136" t="s">
        <v>10819</v>
      </c>
      <c r="C13136" t="s">
        <v>129</v>
      </c>
      <c r="D13136" t="s">
        <v>14</v>
      </c>
      <c r="E13136" t="s">
        <v>15</v>
      </c>
      <c r="F13136" s="2" t="str">
        <f>HYPERLINK("http://www.otzar.org/book.asp?141790","וינטלם וינשאם")</f>
        <v>וינטלם וינשאם</v>
      </c>
    </row>
    <row r="13137" spans="1:6" x14ac:dyDescent="0.2">
      <c r="A13137" t="s">
        <v>22264</v>
      </c>
      <c r="B13137" t="s">
        <v>22265</v>
      </c>
      <c r="C13137" t="s">
        <v>462</v>
      </c>
      <c r="D13137" t="s">
        <v>3627</v>
      </c>
      <c r="E13137" t="s">
        <v>579</v>
      </c>
      <c r="F13137" s="2" t="str">
        <f>HYPERLINK("http://www.otzar.org/book.asp?102994","ויספר משה")</f>
        <v>ויספר משה</v>
      </c>
    </row>
    <row r="13138" spans="1:6" x14ac:dyDescent="0.2">
      <c r="A13138" t="s">
        <v>22266</v>
      </c>
      <c r="B13138" t="s">
        <v>489</v>
      </c>
      <c r="C13138" t="s">
        <v>23</v>
      </c>
      <c r="D13138" t="s">
        <v>14</v>
      </c>
      <c r="E13138" t="s">
        <v>202</v>
      </c>
      <c r="F13138" s="2" t="str">
        <f>HYPERLINK("http://www.otzar.org/book.asp?627856","ויעודם - 18 כר'")</f>
        <v>ויעודם - 18 כר'</v>
      </c>
    </row>
    <row r="13139" spans="1:6" x14ac:dyDescent="0.2">
      <c r="A13139" t="s">
        <v>22267</v>
      </c>
      <c r="B13139" t="s">
        <v>22268</v>
      </c>
      <c r="C13139" t="s">
        <v>23</v>
      </c>
      <c r="D13139" t="s">
        <v>90</v>
      </c>
      <c r="E13139" t="s">
        <v>4333</v>
      </c>
      <c r="F13139" s="2" t="str">
        <f>HYPERLINK("http://www.otzar.org/book.asp?193211","ויעל אליהו &lt;מהדורה חדשה&gt;")</f>
        <v>ויעל אליהו &lt;מהדורה חדשה&gt;</v>
      </c>
    </row>
    <row r="13140" spans="1:6" x14ac:dyDescent="0.2">
      <c r="A13140" t="s">
        <v>22269</v>
      </c>
      <c r="B13140" t="s">
        <v>22270</v>
      </c>
      <c r="C13140" t="s">
        <v>68</v>
      </c>
      <c r="D13140" t="s">
        <v>52</v>
      </c>
      <c r="E13140" t="s">
        <v>119</v>
      </c>
      <c r="F13140" s="2" t="str">
        <f>HYPERLINK("http://www.otzar.org/book.asp?169855","ויעל אליהו בסערה")</f>
        <v>ויעל אליהו בסערה</v>
      </c>
    </row>
    <row r="13141" spans="1:6" x14ac:dyDescent="0.2">
      <c r="A13141" t="s">
        <v>22271</v>
      </c>
      <c r="B13141" t="s">
        <v>22272</v>
      </c>
      <c r="C13141" t="s">
        <v>68</v>
      </c>
      <c r="D13141" t="s">
        <v>90</v>
      </c>
      <c r="E13141" t="s">
        <v>202</v>
      </c>
      <c r="F13141" s="2" t="str">
        <f>HYPERLINK("http://www.otzar.org/book.asp?153024","ויעל אליהו")</f>
        <v>ויעל אליהו</v>
      </c>
    </row>
    <row r="13142" spans="1:6" x14ac:dyDescent="0.2">
      <c r="A13142" t="s">
        <v>22271</v>
      </c>
      <c r="B13142" t="s">
        <v>22268</v>
      </c>
      <c r="C13142" t="s">
        <v>609</v>
      </c>
      <c r="D13142" t="s">
        <v>303</v>
      </c>
      <c r="E13142" t="s">
        <v>1262</v>
      </c>
      <c r="F13142" s="2" t="str">
        <f>HYPERLINK("http://www.otzar.org/book.asp?141009","ויעל אליהו")</f>
        <v>ויעל אליהו</v>
      </c>
    </row>
    <row r="13143" spans="1:6" x14ac:dyDescent="0.2">
      <c r="A13143" t="s">
        <v>22271</v>
      </c>
      <c r="B13143" t="s">
        <v>552</v>
      </c>
      <c r="C13143" t="s">
        <v>143</v>
      </c>
      <c r="D13143" t="s">
        <v>646</v>
      </c>
      <c r="E13143" t="s">
        <v>202</v>
      </c>
      <c r="F13143" s="2" t="str">
        <f>HYPERLINK("http://www.otzar.org/book.asp?61020","ויעל אליהו")</f>
        <v>ויעל אליהו</v>
      </c>
    </row>
    <row r="13144" spans="1:6" x14ac:dyDescent="0.2">
      <c r="A13144" t="s">
        <v>22271</v>
      </c>
      <c r="B13144" t="s">
        <v>22273</v>
      </c>
      <c r="C13144" t="s">
        <v>244</v>
      </c>
      <c r="D13144" t="s">
        <v>14</v>
      </c>
      <c r="F13144" s="2" t="str">
        <f>HYPERLINK("http://www.otzar.org/book.asp?198504","ויעל אליהו")</f>
        <v>ויעל אליהו</v>
      </c>
    </row>
    <row r="13145" spans="1:6" x14ac:dyDescent="0.2">
      <c r="A13145" t="s">
        <v>22274</v>
      </c>
      <c r="B13145" t="s">
        <v>16120</v>
      </c>
      <c r="C13145" t="s">
        <v>51</v>
      </c>
      <c r="D13145" t="s">
        <v>216</v>
      </c>
      <c r="E13145" t="s">
        <v>199</v>
      </c>
      <c r="F13145" s="2" t="str">
        <f>HYPERLINK("http://www.otzar.org/book.asp?154432","ויעל אליהו - תולדות רבי אליהו שרים")</f>
        <v>ויעל אליהו - תולדות רבי אליהו שרים</v>
      </c>
    </row>
    <row r="13146" spans="1:6" x14ac:dyDescent="0.2">
      <c r="A13146" t="s">
        <v>22275</v>
      </c>
      <c r="B13146" t="s">
        <v>22276</v>
      </c>
      <c r="C13146" t="s">
        <v>2870</v>
      </c>
      <c r="D13146" t="s">
        <v>889</v>
      </c>
      <c r="E13146" t="s">
        <v>5186</v>
      </c>
      <c r="F13146" s="2" t="str">
        <f>HYPERLINK("http://www.otzar.org/book.asp?5625","ויעמד פינחס")</f>
        <v>ויעמד פינחס</v>
      </c>
    </row>
    <row r="13147" spans="1:6" x14ac:dyDescent="0.2">
      <c r="A13147" t="s">
        <v>22277</v>
      </c>
      <c r="B13147" t="s">
        <v>22278</v>
      </c>
      <c r="C13147" t="s">
        <v>71</v>
      </c>
      <c r="D13147" t="s">
        <v>14</v>
      </c>
      <c r="E13147" t="s">
        <v>345</v>
      </c>
      <c r="F13147" s="2" t="str">
        <f>HYPERLINK("http://www.otzar.org/book.asp?50984","ויעמוד פינחס")</f>
        <v>ויעמוד פינחס</v>
      </c>
    </row>
    <row r="13148" spans="1:6" x14ac:dyDescent="0.2">
      <c r="A13148" t="s">
        <v>22279</v>
      </c>
      <c r="B13148" t="s">
        <v>22280</v>
      </c>
      <c r="C13148" t="s">
        <v>523</v>
      </c>
      <c r="D13148" t="s">
        <v>14</v>
      </c>
      <c r="E13148" t="s">
        <v>474</v>
      </c>
      <c r="F13148" s="2" t="str">
        <f>HYPERLINK("http://www.otzar.org/book.asp?175988","ויעמוד פנחס")</f>
        <v>ויעמוד פנחס</v>
      </c>
    </row>
    <row r="13149" spans="1:6" x14ac:dyDescent="0.2">
      <c r="A13149" t="s">
        <v>22281</v>
      </c>
      <c r="B13149" t="s">
        <v>15516</v>
      </c>
      <c r="C13149" t="s">
        <v>160</v>
      </c>
      <c r="D13149" t="s">
        <v>27</v>
      </c>
      <c r="E13149" t="s">
        <v>158</v>
      </c>
      <c r="F13149" s="2" t="str">
        <f>HYPERLINK("http://www.otzar.org/book.asp?158327","ויעמידה ליעקב")</f>
        <v>ויעמידה ליעקב</v>
      </c>
    </row>
    <row r="13150" spans="1:6" x14ac:dyDescent="0.2">
      <c r="A13150" t="s">
        <v>22282</v>
      </c>
      <c r="B13150" t="s">
        <v>22283</v>
      </c>
      <c r="C13150" t="s">
        <v>940</v>
      </c>
      <c r="D13150" t="s">
        <v>412</v>
      </c>
      <c r="E13150" t="s">
        <v>154</v>
      </c>
      <c r="F13150" s="2" t="str">
        <f>HYPERLINK("http://www.otzar.org/book.asp?141266","ויען אברהם")</f>
        <v>ויען אברהם</v>
      </c>
    </row>
    <row r="13151" spans="1:6" x14ac:dyDescent="0.2">
      <c r="A13151" t="s">
        <v>22282</v>
      </c>
      <c r="B13151" t="s">
        <v>1046</v>
      </c>
      <c r="C13151" t="s">
        <v>896</v>
      </c>
      <c r="D13151" t="s">
        <v>157</v>
      </c>
      <c r="E13151" t="s">
        <v>154</v>
      </c>
      <c r="F13151" s="2" t="str">
        <f>HYPERLINK("http://www.otzar.org/book.asp?764","ויען אברהם")</f>
        <v>ויען אברהם</v>
      </c>
    </row>
    <row r="13152" spans="1:6" x14ac:dyDescent="0.2">
      <c r="A13152" t="s">
        <v>22282</v>
      </c>
      <c r="B13152" t="s">
        <v>22284</v>
      </c>
      <c r="C13152" t="s">
        <v>433</v>
      </c>
      <c r="D13152" t="s">
        <v>1889</v>
      </c>
      <c r="E13152" t="s">
        <v>10</v>
      </c>
      <c r="F13152" s="2" t="str">
        <f>HYPERLINK("http://www.otzar.org/book.asp?18705","ויען אברהם")</f>
        <v>ויען אברהם</v>
      </c>
    </row>
    <row r="13153" spans="1:6" x14ac:dyDescent="0.2">
      <c r="A13153" t="s">
        <v>22285</v>
      </c>
      <c r="B13153" t="s">
        <v>22286</v>
      </c>
      <c r="C13153" t="s">
        <v>313</v>
      </c>
      <c r="D13153" t="s">
        <v>14</v>
      </c>
      <c r="E13153" t="s">
        <v>10</v>
      </c>
      <c r="F13153" s="2" t="str">
        <f>HYPERLINK("http://www.otzar.org/book.asp?152469","ויען אליהו (מנחת אליהו)")</f>
        <v>ויען אליהו (מנחת אליהו)</v>
      </c>
    </row>
    <row r="13154" spans="1:6" x14ac:dyDescent="0.2">
      <c r="A13154" t="s">
        <v>22287</v>
      </c>
      <c r="B13154" t="s">
        <v>21640</v>
      </c>
      <c r="C13154" t="s">
        <v>422</v>
      </c>
      <c r="D13154" t="s">
        <v>52</v>
      </c>
      <c r="F13154" s="2" t="str">
        <f>HYPERLINK("http://www.otzar.org/book.asp?623004","ויען אליהו")</f>
        <v>ויען אליהו</v>
      </c>
    </row>
    <row r="13155" spans="1:6" x14ac:dyDescent="0.2">
      <c r="A13155" t="s">
        <v>22288</v>
      </c>
      <c r="B13155" t="s">
        <v>22289</v>
      </c>
      <c r="C13155" t="s">
        <v>523</v>
      </c>
      <c r="D13155" t="s">
        <v>14</v>
      </c>
      <c r="E13155" t="s">
        <v>10</v>
      </c>
      <c r="F13155" s="2" t="str">
        <f>HYPERLINK("http://www.otzar.org/book.asp?148182","ויען דוד - 7 כר'")</f>
        <v>ויען דוד - 7 כר'</v>
      </c>
    </row>
    <row r="13156" spans="1:6" x14ac:dyDescent="0.2">
      <c r="A13156" t="s">
        <v>22290</v>
      </c>
      <c r="B13156" t="s">
        <v>22291</v>
      </c>
      <c r="C13156" t="s">
        <v>133</v>
      </c>
      <c r="E13156" t="s">
        <v>154</v>
      </c>
      <c r="F13156" s="2" t="str">
        <f>HYPERLINK("http://www.otzar.org/book.asp?629254","ויען הכהן - 2 כר'")</f>
        <v>ויען הכהן - 2 כר'</v>
      </c>
    </row>
    <row r="13157" spans="1:6" x14ac:dyDescent="0.2">
      <c r="A13157" t="s">
        <v>22292</v>
      </c>
      <c r="B13157" t="s">
        <v>8179</v>
      </c>
      <c r="C13157" t="s">
        <v>176</v>
      </c>
      <c r="D13157" t="s">
        <v>412</v>
      </c>
      <c r="E13157" t="s">
        <v>154</v>
      </c>
      <c r="F13157" s="2" t="str">
        <f>HYPERLINK("http://www.otzar.org/book.asp?28193","ויען יוסף - 6 כר'")</f>
        <v>ויען יוסף - 6 כר'</v>
      </c>
    </row>
    <row r="13158" spans="1:6" x14ac:dyDescent="0.2">
      <c r="A13158" t="s">
        <v>22293</v>
      </c>
      <c r="B13158" t="s">
        <v>22294</v>
      </c>
      <c r="C13158" t="s">
        <v>2870</v>
      </c>
      <c r="D13158" t="s">
        <v>947</v>
      </c>
      <c r="E13158" t="s">
        <v>158</v>
      </c>
      <c r="F13158" s="2" t="str">
        <f>HYPERLINK("http://www.otzar.org/book.asp?24342","ויען יוסף")</f>
        <v>ויען יוסף</v>
      </c>
    </row>
    <row r="13159" spans="1:6" x14ac:dyDescent="0.2">
      <c r="A13159" t="s">
        <v>22293</v>
      </c>
      <c r="B13159" t="s">
        <v>22295</v>
      </c>
      <c r="C13159" t="s">
        <v>1619</v>
      </c>
      <c r="D13159" t="s">
        <v>14</v>
      </c>
      <c r="E13159" t="s">
        <v>741</v>
      </c>
      <c r="F13159" s="2" t="str">
        <f>HYPERLINK("http://www.otzar.org/book.asp?102993","ויען יוסף")</f>
        <v>ויען יוסף</v>
      </c>
    </row>
    <row r="13160" spans="1:6" x14ac:dyDescent="0.2">
      <c r="A13160" t="s">
        <v>22293</v>
      </c>
      <c r="B13160" t="s">
        <v>19621</v>
      </c>
      <c r="C13160" t="s">
        <v>129</v>
      </c>
      <c r="D13160" t="s">
        <v>147</v>
      </c>
      <c r="E13160" t="s">
        <v>674</v>
      </c>
      <c r="F13160" s="2" t="str">
        <f>HYPERLINK("http://www.otzar.org/book.asp?64221","ויען יוסף")</f>
        <v>ויען יוסף</v>
      </c>
    </row>
    <row r="13161" spans="1:6" x14ac:dyDescent="0.2">
      <c r="A13161" t="s">
        <v>22296</v>
      </c>
      <c r="B13161" t="s">
        <v>3900</v>
      </c>
      <c r="C13161" t="s">
        <v>366</v>
      </c>
      <c r="D13161" t="s">
        <v>657</v>
      </c>
      <c r="F13161" s="2" t="str">
        <f>HYPERLINK("http://www.otzar.org/book.asp?608736","ויען יצחק - 2 כר'")</f>
        <v>ויען יצחק - 2 כר'</v>
      </c>
    </row>
    <row r="13162" spans="1:6" x14ac:dyDescent="0.2">
      <c r="A13162" t="s">
        <v>22297</v>
      </c>
      <c r="B13162" t="s">
        <v>14935</v>
      </c>
      <c r="C13162" t="s">
        <v>313</v>
      </c>
      <c r="D13162" t="s">
        <v>486</v>
      </c>
      <c r="E13162" t="s">
        <v>22298</v>
      </c>
      <c r="F13162" s="2" t="str">
        <f>HYPERLINK("http://www.otzar.org/book.asp?165196","ויען עמוס א-ב")</f>
        <v>ויען עמוס א-ב</v>
      </c>
    </row>
    <row r="13163" spans="1:6" x14ac:dyDescent="0.2">
      <c r="A13163" t="s">
        <v>22299</v>
      </c>
      <c r="B13163" t="s">
        <v>22300</v>
      </c>
      <c r="C13163" t="s">
        <v>189</v>
      </c>
      <c r="D13163" t="s">
        <v>14</v>
      </c>
      <c r="E13163" t="s">
        <v>154</v>
      </c>
      <c r="F13163" s="2" t="str">
        <f>HYPERLINK("http://www.otzar.org/book.asp?28055","ויען שאול - 4 כר'")</f>
        <v>ויען שאול - 4 כר'</v>
      </c>
    </row>
    <row r="13164" spans="1:6" x14ac:dyDescent="0.2">
      <c r="A13164" t="s">
        <v>22301</v>
      </c>
      <c r="B13164" t="s">
        <v>22302</v>
      </c>
      <c r="C13164" t="s">
        <v>1169</v>
      </c>
      <c r="D13164" t="s">
        <v>27</v>
      </c>
      <c r="E13164" t="s">
        <v>1235</v>
      </c>
      <c r="F13164" s="2" t="str">
        <f>HYPERLINK("http://www.otzar.org/book.asp?177162","ויען שמואל")</f>
        <v>ויען שמואל</v>
      </c>
    </row>
    <row r="13165" spans="1:6" x14ac:dyDescent="0.2">
      <c r="A13165" t="s">
        <v>22303</v>
      </c>
      <c r="B13165" t="s">
        <v>552</v>
      </c>
      <c r="C13165" t="s">
        <v>454</v>
      </c>
      <c r="D13165" t="s">
        <v>52</v>
      </c>
      <c r="E13165" t="s">
        <v>22304</v>
      </c>
      <c r="F13165" s="2" t="str">
        <f>HYPERLINK("http://www.otzar.org/book.asp?51073","ויען שמואל - 20 כר'")</f>
        <v>ויען שמואל - 20 כר'</v>
      </c>
    </row>
    <row r="13166" spans="1:6" x14ac:dyDescent="0.2">
      <c r="A13166" t="s">
        <v>22305</v>
      </c>
      <c r="B13166" t="s">
        <v>9765</v>
      </c>
      <c r="C13166" t="s">
        <v>594</v>
      </c>
      <c r="D13166" t="s">
        <v>56</v>
      </c>
      <c r="E13166" t="s">
        <v>22306</v>
      </c>
      <c r="F13166" s="2" t="str">
        <f>HYPERLINK("http://www.otzar.org/book.asp?100133","ויעש אברהם")</f>
        <v>ויעש אברהם</v>
      </c>
    </row>
    <row r="13167" spans="1:6" x14ac:dyDescent="0.2">
      <c r="A13167" t="s">
        <v>22305</v>
      </c>
      <c r="B13167" t="s">
        <v>22307</v>
      </c>
      <c r="C13167" t="s">
        <v>351</v>
      </c>
      <c r="D13167" t="s">
        <v>212</v>
      </c>
      <c r="E13167" t="s">
        <v>158</v>
      </c>
      <c r="F13167" s="2" t="str">
        <f>HYPERLINK("http://www.otzar.org/book.asp?24343","ויעש אברהם")</f>
        <v>ויעש אברהם</v>
      </c>
    </row>
    <row r="13168" spans="1:6" x14ac:dyDescent="0.2">
      <c r="A13168" t="s">
        <v>22305</v>
      </c>
      <c r="B13168" t="s">
        <v>22308</v>
      </c>
      <c r="C13168" t="s">
        <v>286</v>
      </c>
      <c r="D13168" t="s">
        <v>947</v>
      </c>
      <c r="E13168" t="s">
        <v>22309</v>
      </c>
      <c r="F13168" s="2" t="str">
        <f>HYPERLINK("http://www.otzar.org/book.asp?8471","ויעש אברהם")</f>
        <v>ויעש אברהם</v>
      </c>
    </row>
    <row r="13169" spans="1:6" x14ac:dyDescent="0.2">
      <c r="A13169" t="s">
        <v>22310</v>
      </c>
      <c r="B13169" t="s">
        <v>22311</v>
      </c>
      <c r="C13169" t="s">
        <v>129</v>
      </c>
      <c r="D13169" t="s">
        <v>657</v>
      </c>
      <c r="E13169" t="s">
        <v>230</v>
      </c>
      <c r="F13169" s="2" t="str">
        <f>HYPERLINK("http://www.otzar.org/book.asp?142464","ויעש העץ")</f>
        <v>ויעש העץ</v>
      </c>
    </row>
    <row r="13170" spans="1:6" x14ac:dyDescent="0.2">
      <c r="A13170" t="s">
        <v>22312</v>
      </c>
      <c r="B13170" t="s">
        <v>22313</v>
      </c>
      <c r="C13170" t="s">
        <v>114</v>
      </c>
      <c r="D13170" t="s">
        <v>22314</v>
      </c>
      <c r="E13170" t="s">
        <v>130</v>
      </c>
      <c r="F13170" s="2" t="str">
        <f>HYPERLINK("http://www.otzar.org/book.asp?611228","ויעשו כולם אגודה אחת")</f>
        <v>ויעשו כולם אגודה אחת</v>
      </c>
    </row>
    <row r="13171" spans="1:6" x14ac:dyDescent="0.2">
      <c r="A13171" t="s">
        <v>22315</v>
      </c>
      <c r="B13171" t="s">
        <v>22316</v>
      </c>
      <c r="C13171" t="s">
        <v>114</v>
      </c>
      <c r="D13171" t="s">
        <v>367</v>
      </c>
      <c r="F13171" s="2" t="str">
        <f>HYPERLINK("http://www.otzar.org/book.asp?199073","ויעתר יצחק - 3 כר'")</f>
        <v>ויעתר יצחק - 3 כר'</v>
      </c>
    </row>
    <row r="13172" spans="1:6" x14ac:dyDescent="0.2">
      <c r="A13172" t="s">
        <v>22317</v>
      </c>
      <c r="B13172" t="s">
        <v>13716</v>
      </c>
      <c r="C13172" t="s">
        <v>351</v>
      </c>
      <c r="D13172" t="s">
        <v>27</v>
      </c>
      <c r="E13172" t="s">
        <v>399</v>
      </c>
      <c r="F13172" s="2" t="str">
        <f>HYPERLINK("http://www.otzar.org/book.asp?100136","ויעתר יצחק")</f>
        <v>ויעתר יצחק</v>
      </c>
    </row>
    <row r="13173" spans="1:6" x14ac:dyDescent="0.2">
      <c r="A13173" t="s">
        <v>22317</v>
      </c>
      <c r="B13173" t="s">
        <v>22318</v>
      </c>
      <c r="C13173" t="s">
        <v>854</v>
      </c>
      <c r="D13173" t="s">
        <v>283</v>
      </c>
      <c r="E13173" t="s">
        <v>295</v>
      </c>
      <c r="F13173" s="2" t="str">
        <f>HYPERLINK("http://www.otzar.org/book.asp?102790","ויעתר יצחק")</f>
        <v>ויעתר יצחק</v>
      </c>
    </row>
    <row r="13174" spans="1:6" x14ac:dyDescent="0.2">
      <c r="A13174" t="s">
        <v>22317</v>
      </c>
      <c r="B13174" t="s">
        <v>13612</v>
      </c>
      <c r="C13174" t="s">
        <v>5334</v>
      </c>
      <c r="D13174" t="s">
        <v>280</v>
      </c>
      <c r="E13174" t="s">
        <v>1626</v>
      </c>
      <c r="F13174" s="2" t="str">
        <f>HYPERLINK("http://www.otzar.org/book.asp?172718","ויעתר יצחק")</f>
        <v>ויעתר יצחק</v>
      </c>
    </row>
    <row r="13175" spans="1:6" x14ac:dyDescent="0.2">
      <c r="A13175" t="s">
        <v>22317</v>
      </c>
      <c r="B13175" t="s">
        <v>22319</v>
      </c>
      <c r="C13175" t="s">
        <v>114</v>
      </c>
      <c r="D13175" t="s">
        <v>412</v>
      </c>
      <c r="E13175" t="s">
        <v>975</v>
      </c>
      <c r="F13175" s="2" t="str">
        <f>HYPERLINK("http://www.otzar.org/book.asp?620869","ויעתר יצחק")</f>
        <v>ויעתר יצחק</v>
      </c>
    </row>
    <row r="13176" spans="1:6" x14ac:dyDescent="0.2">
      <c r="A13176" t="s">
        <v>22317</v>
      </c>
      <c r="B13176" t="s">
        <v>13229</v>
      </c>
      <c r="C13176" t="s">
        <v>1885</v>
      </c>
      <c r="D13176" t="s">
        <v>2181</v>
      </c>
      <c r="E13176" t="s">
        <v>158</v>
      </c>
      <c r="F13176" s="2" t="str">
        <f>HYPERLINK("http://www.otzar.org/book.asp?141072","ויעתר יצחק")</f>
        <v>ויעתר יצחק</v>
      </c>
    </row>
    <row r="13177" spans="1:6" x14ac:dyDescent="0.2">
      <c r="A13177" t="s">
        <v>22320</v>
      </c>
      <c r="B13177" t="s">
        <v>2396</v>
      </c>
      <c r="C13177" t="s">
        <v>20</v>
      </c>
      <c r="D13177" t="s">
        <v>1076</v>
      </c>
      <c r="E13177" t="s">
        <v>219</v>
      </c>
      <c r="F13177" s="2" t="str">
        <f>HYPERLINK("http://www.otzar.org/book.asp?22814","ויפגע במקום")</f>
        <v>ויפגע במקום</v>
      </c>
    </row>
    <row r="13178" spans="1:6" x14ac:dyDescent="0.2">
      <c r="A13178" t="s">
        <v>22321</v>
      </c>
      <c r="B13178" t="s">
        <v>2083</v>
      </c>
      <c r="C13178" t="s">
        <v>17</v>
      </c>
      <c r="D13178" t="s">
        <v>52</v>
      </c>
      <c r="E13178" t="s">
        <v>241</v>
      </c>
      <c r="F13178" s="2" t="str">
        <f>HYPERLINK("http://www.otzar.org/book.asp?152430","ויפלל פנחס")</f>
        <v>ויפלל פנחס</v>
      </c>
    </row>
    <row r="13179" spans="1:6" x14ac:dyDescent="0.2">
      <c r="A13179" t="s">
        <v>22322</v>
      </c>
      <c r="B13179" t="s">
        <v>2396</v>
      </c>
      <c r="C13179" t="s">
        <v>20</v>
      </c>
      <c r="D13179" t="s">
        <v>1076</v>
      </c>
      <c r="E13179" t="s">
        <v>960</v>
      </c>
      <c r="F13179" s="2" t="str">
        <f>HYPERLINK("http://www.otzar.org/book.asp?22895","ויצא יצחק לשוח")</f>
        <v>ויצא יצחק לשוח</v>
      </c>
    </row>
    <row r="13180" spans="1:6" x14ac:dyDescent="0.2">
      <c r="A13180" t="s">
        <v>22323</v>
      </c>
      <c r="B13180" t="s">
        <v>22324</v>
      </c>
      <c r="C13180" t="s">
        <v>1470</v>
      </c>
      <c r="D13180" t="s">
        <v>1966</v>
      </c>
      <c r="E13180" t="s">
        <v>84</v>
      </c>
      <c r="F13180" s="2" t="str">
        <f>HYPERLINK("http://www.otzar.org/book.asp?52131","ויצא פרח")</f>
        <v>ויצא פרח</v>
      </c>
    </row>
    <row r="13181" spans="1:6" x14ac:dyDescent="0.2">
      <c r="A13181" t="s">
        <v>22325</v>
      </c>
      <c r="B13181" t="s">
        <v>19628</v>
      </c>
      <c r="C13181" t="s">
        <v>176</v>
      </c>
      <c r="D13181" t="s">
        <v>52</v>
      </c>
      <c r="E13181" t="s">
        <v>148</v>
      </c>
      <c r="F13181" s="2" t="str">
        <f>HYPERLINK("http://www.otzar.org/book.asp?50562","ויצב אברהם - 3 כר'")</f>
        <v>ויצב אברהם - 3 כר'</v>
      </c>
    </row>
    <row r="13182" spans="1:6" x14ac:dyDescent="0.2">
      <c r="A13182" t="s">
        <v>22326</v>
      </c>
      <c r="B13182" t="s">
        <v>1159</v>
      </c>
      <c r="C13182" t="s">
        <v>466</v>
      </c>
      <c r="D13182" t="s">
        <v>14</v>
      </c>
      <c r="E13182" t="s">
        <v>148</v>
      </c>
      <c r="F13182" s="2" t="str">
        <f>HYPERLINK("http://www.otzar.org/book.asp?143821","ויצבור יוסף בר - 4 כר'")</f>
        <v>ויצבור יוסף בר - 4 כר'</v>
      </c>
    </row>
    <row r="13183" spans="1:6" x14ac:dyDescent="0.2">
      <c r="A13183" t="s">
        <v>22327</v>
      </c>
      <c r="B13183" t="s">
        <v>22328</v>
      </c>
      <c r="C13183" t="s">
        <v>17</v>
      </c>
      <c r="D13183" t="s">
        <v>3406</v>
      </c>
      <c r="E13183" t="s">
        <v>154</v>
      </c>
      <c r="F13183" s="2" t="str">
        <f>HYPERLINK("http://www.otzar.org/book.asp?61087","ויצבור יוסף - 5 כר'")</f>
        <v>ויצבור יוסף - 5 כר'</v>
      </c>
    </row>
    <row r="13184" spans="1:6" x14ac:dyDescent="0.2">
      <c r="A13184" t="s">
        <v>22329</v>
      </c>
      <c r="B13184" t="s">
        <v>22330</v>
      </c>
      <c r="C13184" t="s">
        <v>2105</v>
      </c>
      <c r="D13184" t="s">
        <v>27</v>
      </c>
      <c r="E13184" t="s">
        <v>7477</v>
      </c>
      <c r="F13184" s="2" t="str">
        <f>HYPERLINK("http://www.otzar.org/book.asp?200114","ויצבור יוסף")</f>
        <v>ויצבור יוסף</v>
      </c>
    </row>
    <row r="13185" spans="1:6" x14ac:dyDescent="0.2">
      <c r="A13185" t="s">
        <v>22331</v>
      </c>
      <c r="B13185" t="s">
        <v>1973</v>
      </c>
      <c r="C13185" t="s">
        <v>383</v>
      </c>
      <c r="D13185" t="s">
        <v>1974</v>
      </c>
      <c r="E13185" t="s">
        <v>15</v>
      </c>
      <c r="F13185" s="2" t="str">
        <f>HYPERLINK("http://www.otzar.org/book.asp?23281","ויצבור יוסף - 3 כר'")</f>
        <v>ויצבור יוסף - 3 כר'</v>
      </c>
    </row>
    <row r="13186" spans="1:6" x14ac:dyDescent="0.2">
      <c r="A13186" t="s">
        <v>22332</v>
      </c>
      <c r="B13186" t="s">
        <v>285</v>
      </c>
      <c r="C13186" t="s">
        <v>51</v>
      </c>
      <c r="D13186" t="s">
        <v>646</v>
      </c>
      <c r="E13186" t="s">
        <v>3567</v>
      </c>
      <c r="F13186" s="2" t="str">
        <f>HYPERLINK("http://www.otzar.org/book.asp?21663","ויצבר יוסף &lt;עם הערות שירת משה&gt;")</f>
        <v>ויצבר יוסף &lt;עם הערות שירת משה&gt;</v>
      </c>
    </row>
    <row r="13187" spans="1:6" x14ac:dyDescent="0.2">
      <c r="A13187" t="s">
        <v>22333</v>
      </c>
      <c r="B13187" t="s">
        <v>22334</v>
      </c>
      <c r="C13187" t="s">
        <v>13</v>
      </c>
      <c r="D13187" t="s">
        <v>229</v>
      </c>
      <c r="E13187" t="s">
        <v>144</v>
      </c>
      <c r="F13187" s="2" t="str">
        <f>HYPERLINK("http://www.otzar.org/book.asp?166527","ויצבר יוסף - 6 כר'")</f>
        <v>ויצבר יוסף - 6 כר'</v>
      </c>
    </row>
    <row r="13188" spans="1:6" x14ac:dyDescent="0.2">
      <c r="A13188" t="s">
        <v>22335</v>
      </c>
      <c r="B13188" t="s">
        <v>285</v>
      </c>
      <c r="C13188" t="s">
        <v>286</v>
      </c>
      <c r="D13188" t="s">
        <v>287</v>
      </c>
      <c r="E13188" t="s">
        <v>154</v>
      </c>
      <c r="F13188" s="2" t="str">
        <f>HYPERLINK("http://www.otzar.org/book.asp?107017","ויצבר יוסף")</f>
        <v>ויצבר יוסף</v>
      </c>
    </row>
    <row r="13189" spans="1:6" x14ac:dyDescent="0.2">
      <c r="A13189" t="s">
        <v>22336</v>
      </c>
      <c r="B13189" t="s">
        <v>22337</v>
      </c>
      <c r="C13189" t="s">
        <v>244</v>
      </c>
      <c r="D13189" t="s">
        <v>216</v>
      </c>
      <c r="E13189" t="s">
        <v>172</v>
      </c>
      <c r="F13189" s="2" t="str">
        <f>HYPERLINK("http://www.otzar.org/book.asp?625828","ויקבוץ יוסף")</f>
        <v>ויקבוץ יוסף</v>
      </c>
    </row>
    <row r="13190" spans="1:6" x14ac:dyDescent="0.2">
      <c r="A13190" t="s">
        <v>22338</v>
      </c>
      <c r="B13190" t="s">
        <v>18773</v>
      </c>
      <c r="C13190" t="s">
        <v>1666</v>
      </c>
      <c r="D13190" t="s">
        <v>49</v>
      </c>
      <c r="E13190" t="s">
        <v>234</v>
      </c>
      <c r="F13190" s="2" t="str">
        <f>HYPERLINK("http://www.otzar.org/book.asp?104179","ויקהל משה")</f>
        <v>ויקהל משה</v>
      </c>
    </row>
    <row r="13191" spans="1:6" x14ac:dyDescent="0.2">
      <c r="A13191" t="s">
        <v>22338</v>
      </c>
      <c r="B13191" t="s">
        <v>22339</v>
      </c>
      <c r="C13191" t="s">
        <v>1268</v>
      </c>
      <c r="D13191" t="s">
        <v>216</v>
      </c>
      <c r="E13191" t="s">
        <v>158</v>
      </c>
      <c r="F13191" s="2" t="str">
        <f>HYPERLINK("http://www.otzar.org/book.asp?158062","ויקהל משה")</f>
        <v>ויקהל משה</v>
      </c>
    </row>
    <row r="13192" spans="1:6" x14ac:dyDescent="0.2">
      <c r="A13192" t="s">
        <v>22340</v>
      </c>
      <c r="B13192" t="s">
        <v>22341</v>
      </c>
      <c r="C13192" t="s">
        <v>1954</v>
      </c>
      <c r="D13192" t="s">
        <v>9</v>
      </c>
      <c r="E13192" t="s">
        <v>579</v>
      </c>
      <c r="F13192" s="2" t="str">
        <f>HYPERLINK("http://www.otzar.org/book.asp?52128","ויקהל משה - 2 כר'")</f>
        <v>ויקהל משה - 2 כר'</v>
      </c>
    </row>
    <row r="13193" spans="1:6" x14ac:dyDescent="0.2">
      <c r="A13193" t="s">
        <v>22342</v>
      </c>
      <c r="B13193" t="s">
        <v>22343</v>
      </c>
      <c r="C13193" t="s">
        <v>800</v>
      </c>
      <c r="D13193" t="s">
        <v>1279</v>
      </c>
      <c r="E13193" t="s">
        <v>399</v>
      </c>
      <c r="F13193" s="2" t="str">
        <f>HYPERLINK("http://www.otzar.org/book.asp?100132","ויקהל משה - 3 כר'")</f>
        <v>ויקהל משה - 3 כר'</v>
      </c>
    </row>
    <row r="13194" spans="1:6" x14ac:dyDescent="0.2">
      <c r="A13194" t="s">
        <v>22338</v>
      </c>
      <c r="B13194" t="s">
        <v>22344</v>
      </c>
      <c r="C13194" t="s">
        <v>168</v>
      </c>
      <c r="D13194" t="s">
        <v>14</v>
      </c>
      <c r="E13194" t="s">
        <v>130</v>
      </c>
      <c r="F13194" s="2" t="str">
        <f>HYPERLINK("http://www.otzar.org/book.asp?623644","ויקהל משה")</f>
        <v>ויקהל משה</v>
      </c>
    </row>
    <row r="13195" spans="1:6" x14ac:dyDescent="0.2">
      <c r="A13195" t="s">
        <v>22338</v>
      </c>
      <c r="B13195" t="s">
        <v>22345</v>
      </c>
      <c r="C13195" t="s">
        <v>356</v>
      </c>
      <c r="D13195" t="s">
        <v>52</v>
      </c>
      <c r="E13195" t="s">
        <v>15</v>
      </c>
      <c r="F13195" s="2" t="str">
        <f>HYPERLINK("http://www.otzar.org/book.asp?199721","ויקהל משה")</f>
        <v>ויקהל משה</v>
      </c>
    </row>
    <row r="13196" spans="1:6" x14ac:dyDescent="0.2">
      <c r="A13196" t="s">
        <v>22346</v>
      </c>
      <c r="B13196" t="s">
        <v>22347</v>
      </c>
      <c r="C13196" t="s">
        <v>114</v>
      </c>
      <c r="D13196" t="s">
        <v>52</v>
      </c>
      <c r="E13196" t="s">
        <v>15</v>
      </c>
      <c r="F13196" s="2" t="str">
        <f>HYPERLINK("http://www.otzar.org/book.asp?171307","ויקהל משה - 5 כר'")</f>
        <v>ויקהל משה - 5 כר'</v>
      </c>
    </row>
    <row r="13197" spans="1:6" x14ac:dyDescent="0.2">
      <c r="A13197" t="s">
        <v>22338</v>
      </c>
      <c r="B13197" t="s">
        <v>22348</v>
      </c>
      <c r="C13197" t="s">
        <v>908</v>
      </c>
      <c r="D13197" t="s">
        <v>287</v>
      </c>
      <c r="E13197" t="s">
        <v>15</v>
      </c>
      <c r="F13197" s="2" t="str">
        <f>HYPERLINK("http://www.otzar.org/book.asp?52129","ויקהל משה")</f>
        <v>ויקהל משה</v>
      </c>
    </row>
    <row r="13198" spans="1:6" x14ac:dyDescent="0.2">
      <c r="A13198" t="s">
        <v>22338</v>
      </c>
      <c r="B13198" t="s">
        <v>22349</v>
      </c>
      <c r="C13198" t="s">
        <v>20088</v>
      </c>
      <c r="D13198" t="s">
        <v>9896</v>
      </c>
      <c r="E13198" t="s">
        <v>158</v>
      </c>
      <c r="F13198" s="2" t="str">
        <f>HYPERLINK("http://www.otzar.org/book.asp?161115","ויקהל משה")</f>
        <v>ויקהל משה</v>
      </c>
    </row>
    <row r="13199" spans="1:6" x14ac:dyDescent="0.2">
      <c r="A13199" t="s">
        <v>22350</v>
      </c>
      <c r="B13199" t="s">
        <v>22351</v>
      </c>
      <c r="C13199" t="s">
        <v>496</v>
      </c>
      <c r="D13199" t="s">
        <v>225</v>
      </c>
      <c r="E13199" t="s">
        <v>4656</v>
      </c>
      <c r="F13199" s="2" t="str">
        <f>HYPERLINK("http://www.otzar.org/book.asp?10554","ויקהל שלמה")</f>
        <v>ויקהל שלמה</v>
      </c>
    </row>
    <row r="13200" spans="1:6" x14ac:dyDescent="0.2">
      <c r="A13200" t="s">
        <v>22352</v>
      </c>
      <c r="B13200" t="s">
        <v>22353</v>
      </c>
      <c r="C13200" t="s">
        <v>5903</v>
      </c>
      <c r="D13200" t="s">
        <v>1117</v>
      </c>
      <c r="E13200" t="s">
        <v>234</v>
      </c>
      <c r="F13200" s="2" t="str">
        <f>HYPERLINK("http://www.otzar.org/book.asp?167595","ויקונן דוד")</f>
        <v>ויקונן דוד</v>
      </c>
    </row>
    <row r="13201" spans="1:6" x14ac:dyDescent="0.2">
      <c r="A13201" t="s">
        <v>22354</v>
      </c>
      <c r="B13201" t="s">
        <v>22355</v>
      </c>
      <c r="C13201" t="s">
        <v>748</v>
      </c>
      <c r="D13201" t="s">
        <v>855</v>
      </c>
      <c r="E13201" t="s">
        <v>219</v>
      </c>
      <c r="F13201" s="2" t="str">
        <f>HYPERLINK("http://www.otzar.org/book.asp?168771","ויקונן דויד")</f>
        <v>ויקונן דויד</v>
      </c>
    </row>
    <row r="13202" spans="1:6" x14ac:dyDescent="0.2">
      <c r="A13202" t="s">
        <v>22356</v>
      </c>
      <c r="B13202" t="s">
        <v>22357</v>
      </c>
      <c r="C13202" t="s">
        <v>133</v>
      </c>
      <c r="D13202" t="s">
        <v>14</v>
      </c>
      <c r="E13202" t="s">
        <v>158</v>
      </c>
      <c r="F13202" s="2" t="str">
        <f>HYPERLINK("http://www.otzar.org/book.asp?189685","ויקח יעקב אבן &lt;על התורה&gt; - 6 כר'")</f>
        <v>ויקח יעקב אבן &lt;על התורה&gt; - 6 כר'</v>
      </c>
    </row>
    <row r="13203" spans="1:6" x14ac:dyDescent="0.2">
      <c r="A13203" t="s">
        <v>22358</v>
      </c>
      <c r="B13203" t="s">
        <v>22357</v>
      </c>
      <c r="C13203" t="s">
        <v>20</v>
      </c>
      <c r="D13203" t="s">
        <v>14</v>
      </c>
      <c r="E13203" t="s">
        <v>144</v>
      </c>
      <c r="F13203" s="2" t="str">
        <f>HYPERLINK("http://www.otzar.org/book.asp?189692","ויקח יעקב אבן - 2 כר'")</f>
        <v>ויקח יעקב אבן - 2 כר'</v>
      </c>
    </row>
    <row r="13204" spans="1:6" x14ac:dyDescent="0.2">
      <c r="A13204" t="s">
        <v>22359</v>
      </c>
      <c r="B13204" t="s">
        <v>22360</v>
      </c>
      <c r="C13204" t="s">
        <v>2543</v>
      </c>
      <c r="D13204" t="s">
        <v>379</v>
      </c>
      <c r="E13204" t="s">
        <v>1185</v>
      </c>
      <c r="F13204" s="2" t="str">
        <f>HYPERLINK("http://www.otzar.org/book.asp?18707","ויקח משה")</f>
        <v>ויקח משה</v>
      </c>
    </row>
    <row r="13205" spans="1:6" x14ac:dyDescent="0.2">
      <c r="A13205" t="s">
        <v>22361</v>
      </c>
      <c r="B13205" t="s">
        <v>15898</v>
      </c>
      <c r="C13205" t="s">
        <v>1448</v>
      </c>
      <c r="D13205" t="s">
        <v>14</v>
      </c>
      <c r="E13205" t="s">
        <v>467</v>
      </c>
      <c r="F13205" s="2" t="str">
        <f>HYPERLINK("http://www.otzar.org/book.asp?159775","ויקח עבדיהו - ג,ד,ה")</f>
        <v>ויקח עבדיהו - ג,ד,ה</v>
      </c>
    </row>
    <row r="13206" spans="1:6" x14ac:dyDescent="0.2">
      <c r="A13206" t="s">
        <v>22362</v>
      </c>
      <c r="B13206" t="s">
        <v>22363</v>
      </c>
      <c r="C13206" t="s">
        <v>63</v>
      </c>
      <c r="D13206" t="s">
        <v>14</v>
      </c>
      <c r="F13206" s="2" t="str">
        <f>HYPERLINK("http://www.otzar.org/book.asp?188442","ויקח עמרם")</f>
        <v>ויקח עמרם</v>
      </c>
    </row>
    <row r="13207" spans="1:6" x14ac:dyDescent="0.2">
      <c r="A13207" t="s">
        <v>22364</v>
      </c>
      <c r="B13207" t="s">
        <v>22365</v>
      </c>
      <c r="C13207" t="s">
        <v>454</v>
      </c>
      <c r="D13207" t="s">
        <v>14</v>
      </c>
      <c r="E13207" t="s">
        <v>1262</v>
      </c>
      <c r="F13207" s="2" t="str">
        <f>HYPERLINK("http://www.otzar.org/book.asp?85703","ויקטר אהרן - זכרון אהרן")</f>
        <v>ויקטר אהרן - זכרון אהרן</v>
      </c>
    </row>
    <row r="13208" spans="1:6" x14ac:dyDescent="0.2">
      <c r="A13208" t="s">
        <v>22366</v>
      </c>
      <c r="B13208" t="s">
        <v>22367</v>
      </c>
      <c r="C13208" t="s">
        <v>22368</v>
      </c>
      <c r="D13208" t="s">
        <v>744</v>
      </c>
      <c r="E13208" t="s">
        <v>15</v>
      </c>
      <c r="F13208" s="2" t="str">
        <f>HYPERLINK("http://www.otzar.org/book.asp?52394","ויקם עדות ביעקב")</f>
        <v>ויקם עדות ביעקב</v>
      </c>
    </row>
    <row r="13209" spans="1:6" x14ac:dyDescent="0.2">
      <c r="A13209" t="s">
        <v>22366</v>
      </c>
      <c r="B13209" t="s">
        <v>2235</v>
      </c>
      <c r="C13209" t="s">
        <v>22369</v>
      </c>
      <c r="D13209" t="s">
        <v>1023</v>
      </c>
      <c r="E13209" t="s">
        <v>15</v>
      </c>
      <c r="F13209" s="2" t="str">
        <f>HYPERLINK("http://www.otzar.org/book.asp?18709","ויקם עדות ביעקב")</f>
        <v>ויקם עדות ביעקב</v>
      </c>
    </row>
    <row r="13210" spans="1:6" x14ac:dyDescent="0.2">
      <c r="A13210" t="s">
        <v>22370</v>
      </c>
      <c r="B13210" t="s">
        <v>22371</v>
      </c>
      <c r="C13210" t="s">
        <v>71</v>
      </c>
      <c r="D13210" t="s">
        <v>2201</v>
      </c>
      <c r="E13210" t="s">
        <v>15</v>
      </c>
      <c r="F13210" s="2" t="str">
        <f>HYPERLINK("http://www.otzar.org/book.asp?614719","ויקם עזרא - 2 כר'")</f>
        <v>ויקם עזרא - 2 כר'</v>
      </c>
    </row>
    <row r="13211" spans="1:6" x14ac:dyDescent="0.2">
      <c r="A13211" t="s">
        <v>22372</v>
      </c>
      <c r="B13211" t="s">
        <v>22373</v>
      </c>
      <c r="C13211" t="s">
        <v>1150</v>
      </c>
      <c r="D13211" t="s">
        <v>212</v>
      </c>
      <c r="E13211" t="s">
        <v>1211</v>
      </c>
      <c r="F13211" s="2" t="str">
        <f>HYPERLINK("http://www.otzar.org/book.asp?100953","ויקן יוסף")</f>
        <v>ויקן יוסף</v>
      </c>
    </row>
    <row r="13212" spans="1:6" x14ac:dyDescent="0.2">
      <c r="A13212" t="s">
        <v>22374</v>
      </c>
      <c r="B13212" t="s">
        <v>21261</v>
      </c>
      <c r="C13212" t="s">
        <v>950</v>
      </c>
      <c r="D13212" t="s">
        <v>212</v>
      </c>
      <c r="E13212" t="s">
        <v>22375</v>
      </c>
      <c r="F13212" s="2" t="str">
        <f>HYPERLINK("http://www.otzar.org/book.asp?10984","ויקרא אברהם")</f>
        <v>ויקרא אברהם</v>
      </c>
    </row>
    <row r="13213" spans="1:6" x14ac:dyDescent="0.2">
      <c r="A13213" t="s">
        <v>22374</v>
      </c>
      <c r="B13213" t="s">
        <v>9772</v>
      </c>
      <c r="C13213" t="s">
        <v>51</v>
      </c>
      <c r="D13213" t="s">
        <v>14</v>
      </c>
      <c r="E13213" t="s">
        <v>22376</v>
      </c>
      <c r="F13213" s="2" t="str">
        <f>HYPERLINK("http://www.otzar.org/book.asp?51087","ויקרא אברהם")</f>
        <v>ויקרא אברהם</v>
      </c>
    </row>
    <row r="13214" spans="1:6" x14ac:dyDescent="0.2">
      <c r="A13214" t="s">
        <v>22374</v>
      </c>
      <c r="B13214" t="s">
        <v>1046</v>
      </c>
      <c r="C13214" t="s">
        <v>503</v>
      </c>
      <c r="D13214" t="s">
        <v>157</v>
      </c>
      <c r="E13214" t="s">
        <v>158</v>
      </c>
      <c r="F13214" s="2" t="str">
        <f>HYPERLINK("http://www.otzar.org/book.asp?141166","ויקרא אברהם")</f>
        <v>ויקרא אברהם</v>
      </c>
    </row>
    <row r="13215" spans="1:6" x14ac:dyDescent="0.2">
      <c r="A13215" t="s">
        <v>22377</v>
      </c>
      <c r="B13215" t="s">
        <v>17366</v>
      </c>
      <c r="C13215" t="s">
        <v>111</v>
      </c>
      <c r="E13215" t="s">
        <v>3516</v>
      </c>
      <c r="F13215" s="2" t="str">
        <f>HYPERLINK("http://www.otzar.org/book.asp?626028","ויקרא בהם שמי - יבמות, חנוכה")</f>
        <v>ויקרא בהם שמי - יבמות, חנוכה</v>
      </c>
    </row>
    <row r="13216" spans="1:6" x14ac:dyDescent="0.2">
      <c r="A13216" t="s">
        <v>22378</v>
      </c>
      <c r="B13216" t="s">
        <v>22379</v>
      </c>
      <c r="C13216" t="s">
        <v>4705</v>
      </c>
      <c r="D13216" t="s">
        <v>76</v>
      </c>
      <c r="E13216" t="s">
        <v>22380</v>
      </c>
      <c r="F13216" s="2" t="str">
        <f>HYPERLINK("http://www.otzar.org/book.asp?52132","ויקרא יהושע")</f>
        <v>ויקרא יהושע</v>
      </c>
    </row>
    <row r="13217" spans="1:6" x14ac:dyDescent="0.2">
      <c r="A13217" t="s">
        <v>22381</v>
      </c>
      <c r="B13217" t="s">
        <v>22382</v>
      </c>
      <c r="C13217" t="s">
        <v>635</v>
      </c>
      <c r="D13217" t="s">
        <v>157</v>
      </c>
      <c r="E13217" t="s">
        <v>930</v>
      </c>
      <c r="F13217" s="2" t="str">
        <f>HYPERLINK("http://www.otzar.org/book.asp?100131","ויקרא יוסף")</f>
        <v>ויקרא יוסף</v>
      </c>
    </row>
    <row r="13218" spans="1:6" x14ac:dyDescent="0.2">
      <c r="A13218" t="s">
        <v>22383</v>
      </c>
      <c r="B13218" t="s">
        <v>22384</v>
      </c>
      <c r="C13218" t="s">
        <v>51</v>
      </c>
      <c r="D13218" t="s">
        <v>14</v>
      </c>
      <c r="E13218" t="s">
        <v>234</v>
      </c>
      <c r="F13218" s="2" t="str">
        <f>HYPERLINK("http://www.otzar.org/book.asp?50105","ויקרא יעבץ")</f>
        <v>ויקרא יעבץ</v>
      </c>
    </row>
    <row r="13219" spans="1:6" x14ac:dyDescent="0.2">
      <c r="A13219" t="s">
        <v>22385</v>
      </c>
      <c r="B13219" t="s">
        <v>12517</v>
      </c>
      <c r="C13219" t="s">
        <v>37</v>
      </c>
      <c r="D13219" t="s">
        <v>412</v>
      </c>
      <c r="E13219" t="s">
        <v>158</v>
      </c>
      <c r="F13219" s="2" t="str">
        <f>HYPERLINK("http://www.otzar.org/book.asp?199389","ויקרא יעקב")</f>
        <v>ויקרא יעקב</v>
      </c>
    </row>
    <row r="13220" spans="1:6" x14ac:dyDescent="0.2">
      <c r="A13220" t="s">
        <v>22385</v>
      </c>
      <c r="B13220" t="s">
        <v>22386</v>
      </c>
      <c r="C13220" t="s">
        <v>156</v>
      </c>
      <c r="D13220" t="s">
        <v>212</v>
      </c>
      <c r="E13220" t="s">
        <v>158</v>
      </c>
      <c r="F13220" s="2" t="str">
        <f>HYPERLINK("http://www.otzar.org/book.asp?24348","ויקרא יעקב")</f>
        <v>ויקרא יעקב</v>
      </c>
    </row>
    <row r="13221" spans="1:6" x14ac:dyDescent="0.2">
      <c r="A13221" t="s">
        <v>22387</v>
      </c>
      <c r="B13221" t="s">
        <v>8127</v>
      </c>
      <c r="C13221" t="s">
        <v>2271</v>
      </c>
      <c r="D13221" t="s">
        <v>212</v>
      </c>
      <c r="E13221" t="s">
        <v>474</v>
      </c>
      <c r="F13221" s="2" t="str">
        <f>HYPERLINK("http://www.otzar.org/book.asp?14167","ויקרא יצחק דורש טוב עקב ענוה")</f>
        <v>ויקרא יצחק דורש טוב עקב ענוה</v>
      </c>
    </row>
    <row r="13222" spans="1:6" x14ac:dyDescent="0.2">
      <c r="A13222" t="s">
        <v>22388</v>
      </c>
      <c r="B13222" t="s">
        <v>74</v>
      </c>
      <c r="C13222" t="s">
        <v>22389</v>
      </c>
      <c r="D13222" t="s">
        <v>157</v>
      </c>
      <c r="E13222" t="s">
        <v>474</v>
      </c>
      <c r="F13222" s="2" t="str">
        <f>HYPERLINK("http://www.otzar.org/book.asp?21369","ויקרא יצחק - 2 כר'")</f>
        <v>ויקרא יצחק - 2 כר'</v>
      </c>
    </row>
    <row r="13223" spans="1:6" x14ac:dyDescent="0.2">
      <c r="A13223" t="s">
        <v>22390</v>
      </c>
      <c r="B13223" t="s">
        <v>22391</v>
      </c>
      <c r="C13223" t="s">
        <v>1570</v>
      </c>
      <c r="D13223" t="s">
        <v>14</v>
      </c>
      <c r="E13223" t="s">
        <v>606</v>
      </c>
      <c r="F13223" s="2" t="str">
        <f>HYPERLINK("http://www.otzar.org/book.asp?6281","ויקרא שמו בישראל")</f>
        <v>ויקרא שמו בישראל</v>
      </c>
    </row>
    <row r="13224" spans="1:6" x14ac:dyDescent="0.2">
      <c r="A13224" t="s">
        <v>22390</v>
      </c>
      <c r="B13224" t="s">
        <v>22392</v>
      </c>
      <c r="C13224" t="s">
        <v>23</v>
      </c>
      <c r="D13224" t="s">
        <v>152</v>
      </c>
      <c r="E13224" t="s">
        <v>674</v>
      </c>
      <c r="F13224" s="2" t="str">
        <f>HYPERLINK("http://www.otzar.org/book.asp?193023","ויקרא שמו בישראל")</f>
        <v>ויקרא שמו בישראל</v>
      </c>
    </row>
    <row r="13225" spans="1:6" x14ac:dyDescent="0.2">
      <c r="A13225" t="s">
        <v>22393</v>
      </c>
      <c r="B13225" t="s">
        <v>21732</v>
      </c>
      <c r="C13225" t="s">
        <v>151</v>
      </c>
      <c r="D13225" t="s">
        <v>52</v>
      </c>
      <c r="F13225" s="2" t="str">
        <f>HYPERLINK("http://www.otzar.org/book.asp?617657","וירא יעקב - 2 כר'")</f>
        <v>וירא יעקב - 2 כר'</v>
      </c>
    </row>
    <row r="13226" spans="1:6" x14ac:dyDescent="0.2">
      <c r="A13226" t="s">
        <v>22394</v>
      </c>
      <c r="B13226" t="s">
        <v>206</v>
      </c>
      <c r="C13226" t="s">
        <v>20</v>
      </c>
      <c r="D13226" t="s">
        <v>14</v>
      </c>
      <c r="E13226" t="s">
        <v>241</v>
      </c>
      <c r="F13226" s="2" t="str">
        <f>HYPERLINK("http://www.otzar.org/book.asp?166778","וירא מנוחה כי טוב")</f>
        <v>וירא מנוחה כי טוב</v>
      </c>
    </row>
    <row r="13227" spans="1:6" x14ac:dyDescent="0.2">
      <c r="A13227" t="s">
        <v>22394</v>
      </c>
      <c r="B13227" t="s">
        <v>253</v>
      </c>
      <c r="C13227" t="s">
        <v>133</v>
      </c>
      <c r="D13227" t="s">
        <v>1840</v>
      </c>
      <c r="E13227" t="s">
        <v>104</v>
      </c>
      <c r="F13227" s="2" t="str">
        <f>HYPERLINK("http://www.otzar.org/book.asp?198681","וירא מנוחה כי טוב")</f>
        <v>וירא מנוחה כי טוב</v>
      </c>
    </row>
    <row r="13228" spans="1:6" x14ac:dyDescent="0.2">
      <c r="A13228" t="s">
        <v>22395</v>
      </c>
      <c r="B13228" t="s">
        <v>2802</v>
      </c>
      <c r="C13228" t="s">
        <v>454</v>
      </c>
      <c r="D13228" t="s">
        <v>14</v>
      </c>
      <c r="E13228" t="s">
        <v>621</v>
      </c>
      <c r="F13228" s="2" t="str">
        <f>HYPERLINK("http://www.otzar.org/book.asp?51989","וירא מנוחה - א")</f>
        <v>וירא מנוחה - א</v>
      </c>
    </row>
    <row r="13229" spans="1:6" x14ac:dyDescent="0.2">
      <c r="A13229" t="s">
        <v>22396</v>
      </c>
      <c r="B13229" t="s">
        <v>22397</v>
      </c>
      <c r="C13229" t="s">
        <v>176</v>
      </c>
      <c r="D13229" t="s">
        <v>14</v>
      </c>
      <c r="E13229" t="s">
        <v>158</v>
      </c>
      <c r="F13229" s="2" t="str">
        <f>HYPERLINK("http://www.otzar.org/book.asp?163764","וירא משה - 5 כר'")</f>
        <v>וירא משה - 5 כר'</v>
      </c>
    </row>
    <row r="13230" spans="1:6" x14ac:dyDescent="0.2">
      <c r="A13230" t="s">
        <v>22398</v>
      </c>
      <c r="B13230" t="s">
        <v>22399</v>
      </c>
      <c r="C13230" t="s">
        <v>133</v>
      </c>
      <c r="D13230" t="s">
        <v>412</v>
      </c>
      <c r="E13230" t="s">
        <v>15</v>
      </c>
      <c r="F13230" s="2" t="str">
        <f>HYPERLINK("http://www.otzar.org/book.asp?175443","וירא פינחס")</f>
        <v>וירא פינחס</v>
      </c>
    </row>
    <row r="13231" spans="1:6" x14ac:dyDescent="0.2">
      <c r="A13231" t="s">
        <v>22400</v>
      </c>
      <c r="B13231" t="s">
        <v>22399</v>
      </c>
      <c r="C13231" t="s">
        <v>523</v>
      </c>
      <c r="D13231" t="s">
        <v>412</v>
      </c>
      <c r="E13231" t="s">
        <v>158</v>
      </c>
      <c r="F13231" s="2" t="str">
        <f>HYPERLINK("http://www.otzar.org/book.asp?198284","וירא פנחס - 2 כר'")</f>
        <v>וירא פנחס - 2 כר'</v>
      </c>
    </row>
    <row r="13232" spans="1:6" x14ac:dyDescent="0.2">
      <c r="A13232" t="s">
        <v>22401</v>
      </c>
      <c r="B13232" t="s">
        <v>8947</v>
      </c>
      <c r="C13232" t="s">
        <v>133</v>
      </c>
      <c r="D13232" t="s">
        <v>14</v>
      </c>
      <c r="E13232" t="s">
        <v>246</v>
      </c>
      <c r="F13232" s="2" t="str">
        <f>HYPERLINK("http://www.otzar.org/book.asp?176754","ויש תקוה - ימי הפורים")</f>
        <v>ויש תקוה - ימי הפורים</v>
      </c>
    </row>
    <row r="13233" spans="1:6" x14ac:dyDescent="0.2">
      <c r="A13233" t="s">
        <v>22402</v>
      </c>
      <c r="B13233" t="s">
        <v>22403</v>
      </c>
      <c r="C13233" t="s">
        <v>1954</v>
      </c>
      <c r="D13233" t="s">
        <v>22404</v>
      </c>
      <c r="E13233" t="s">
        <v>10924</v>
      </c>
      <c r="F13233" s="2" t="str">
        <f>HYPERLINK("http://www.otzar.org/book.asp?610917","ויש""א יעקב")</f>
        <v>ויש"א יעקב</v>
      </c>
    </row>
    <row r="13234" spans="1:6" x14ac:dyDescent="0.2">
      <c r="A13234" t="s">
        <v>22405</v>
      </c>
      <c r="B13234" t="s">
        <v>22406</v>
      </c>
      <c r="C13234" t="s">
        <v>422</v>
      </c>
      <c r="D13234" t="s">
        <v>21</v>
      </c>
      <c r="F13234" s="2" t="str">
        <f>HYPERLINK("http://www.otzar.org/book.asp?196105","וישא אהרן - 2 כר'")</f>
        <v>וישא אהרן - 2 כר'</v>
      </c>
    </row>
    <row r="13235" spans="1:6" x14ac:dyDescent="0.2">
      <c r="A13235" t="s">
        <v>22407</v>
      </c>
      <c r="B13235" t="s">
        <v>98</v>
      </c>
      <c r="C13235" t="s">
        <v>87</v>
      </c>
      <c r="D13235" t="s">
        <v>118</v>
      </c>
      <c r="E13235" t="s">
        <v>154</v>
      </c>
      <c r="F13235" s="2" t="str">
        <f>HYPERLINK("http://www.otzar.org/book.asp?176733","וישאל שאול - 2 כר'")</f>
        <v>וישאל שאול - 2 כר'</v>
      </c>
    </row>
    <row r="13236" spans="1:6" x14ac:dyDescent="0.2">
      <c r="A13236" t="s">
        <v>22408</v>
      </c>
      <c r="B13236" t="s">
        <v>9772</v>
      </c>
      <c r="C13236" t="s">
        <v>785</v>
      </c>
      <c r="D13236" t="s">
        <v>118</v>
      </c>
      <c r="E13236" t="s">
        <v>791</v>
      </c>
      <c r="F13236" s="2" t="str">
        <f>HYPERLINK("http://www.otzar.org/book.asp?10986","וישב אברהם")</f>
        <v>וישב אברהם</v>
      </c>
    </row>
    <row r="13237" spans="1:6" x14ac:dyDescent="0.2">
      <c r="A13237" t="s">
        <v>22408</v>
      </c>
      <c r="B13237" t="s">
        <v>1057</v>
      </c>
      <c r="C13237" t="s">
        <v>617</v>
      </c>
      <c r="D13237" t="s">
        <v>157</v>
      </c>
      <c r="E13237" t="s">
        <v>1262</v>
      </c>
      <c r="F13237" s="2" t="str">
        <f>HYPERLINK("http://www.otzar.org/book.asp?18711","וישב אברהם")</f>
        <v>וישב אברהם</v>
      </c>
    </row>
    <row r="13238" spans="1:6" x14ac:dyDescent="0.2">
      <c r="A13238" t="s">
        <v>22409</v>
      </c>
      <c r="B13238" t="s">
        <v>2074</v>
      </c>
      <c r="C13238" t="s">
        <v>87</v>
      </c>
      <c r="D13238" t="s">
        <v>14</v>
      </c>
      <c r="E13238" t="s">
        <v>154</v>
      </c>
      <c r="F13238" s="2" t="str">
        <f>HYPERLINK("http://www.otzar.org/book.asp?22151","וישב הים - 3 כר'")</f>
        <v>וישב הים - 3 כר'</v>
      </c>
    </row>
    <row r="13239" spans="1:6" x14ac:dyDescent="0.2">
      <c r="A13239" t="s">
        <v>22410</v>
      </c>
      <c r="B13239" t="s">
        <v>22411</v>
      </c>
      <c r="C13239" t="s">
        <v>1228</v>
      </c>
      <c r="D13239" t="s">
        <v>27</v>
      </c>
      <c r="E13239" t="s">
        <v>930</v>
      </c>
      <c r="F13239" s="2" t="str">
        <f>HYPERLINK("http://www.otzar.org/book.asp?18712","וישב יוסף")</f>
        <v>וישב יוסף</v>
      </c>
    </row>
    <row r="13240" spans="1:6" x14ac:dyDescent="0.2">
      <c r="A13240" t="s">
        <v>22410</v>
      </c>
      <c r="B13240" t="s">
        <v>17694</v>
      </c>
      <c r="C13240" t="s">
        <v>189</v>
      </c>
      <c r="D13240" t="s">
        <v>486</v>
      </c>
      <c r="E13240" t="s">
        <v>1880</v>
      </c>
      <c r="F13240" s="2" t="str">
        <f>HYPERLINK("http://www.otzar.org/book.asp?25853","וישב יוסף")</f>
        <v>וישב יוסף</v>
      </c>
    </row>
    <row r="13241" spans="1:6" x14ac:dyDescent="0.2">
      <c r="A13241" t="s">
        <v>22412</v>
      </c>
      <c r="B13241" t="s">
        <v>22413</v>
      </c>
      <c r="C13241" t="s">
        <v>151</v>
      </c>
      <c r="D13241" t="s">
        <v>412</v>
      </c>
      <c r="F13241" s="2" t="str">
        <f>HYPERLINK("http://www.otzar.org/book.asp?616516","וישב יוסף - שו""ת")</f>
        <v>וישב יוסף - שו"ת</v>
      </c>
    </row>
    <row r="13242" spans="1:6" x14ac:dyDescent="0.2">
      <c r="A13242" t="s">
        <v>22414</v>
      </c>
      <c r="B13242" t="s">
        <v>22415</v>
      </c>
      <c r="C13242" t="s">
        <v>22416</v>
      </c>
      <c r="D13242" t="s">
        <v>889</v>
      </c>
      <c r="E13242" t="s">
        <v>14422</v>
      </c>
      <c r="F13242" s="2" t="str">
        <f>HYPERLINK("http://www.otzar.org/book.asp?18713","וישב משה - 3 כר'")</f>
        <v>וישב משה - 3 כר'</v>
      </c>
    </row>
    <row r="13243" spans="1:6" x14ac:dyDescent="0.2">
      <c r="A13243" t="s">
        <v>22417</v>
      </c>
      <c r="B13243" t="s">
        <v>5517</v>
      </c>
      <c r="C13243" t="s">
        <v>940</v>
      </c>
      <c r="D13243" t="s">
        <v>14</v>
      </c>
      <c r="E13243" t="s">
        <v>154</v>
      </c>
      <c r="F13243" s="2" t="str">
        <f>HYPERLINK("http://www.otzar.org/book.asp?84902","וישב משה - 2 כר'")</f>
        <v>וישב משה - 2 כר'</v>
      </c>
    </row>
    <row r="13244" spans="1:6" x14ac:dyDescent="0.2">
      <c r="A13244" t="s">
        <v>22418</v>
      </c>
      <c r="B13244" t="s">
        <v>22419</v>
      </c>
      <c r="C13244" t="s">
        <v>2644</v>
      </c>
      <c r="D13244" t="s">
        <v>379</v>
      </c>
      <c r="E13244" t="s">
        <v>588</v>
      </c>
      <c r="F13244" s="2" t="str">
        <f>HYPERLINK("http://www.otzar.org/book.asp?100825","וישב משה")</f>
        <v>וישב משה</v>
      </c>
    </row>
    <row r="13245" spans="1:6" x14ac:dyDescent="0.2">
      <c r="A13245" t="s">
        <v>22420</v>
      </c>
      <c r="B13245" t="s">
        <v>22421</v>
      </c>
      <c r="C13245" t="s">
        <v>313</v>
      </c>
      <c r="D13245" t="s">
        <v>52</v>
      </c>
      <c r="E13245" t="s">
        <v>435</v>
      </c>
      <c r="F13245" s="2" t="str">
        <f>HYPERLINK("http://www.otzar.org/book.asp?83737","וישבר יוסף - 2 כר'")</f>
        <v>וישבר יוסף - 2 כר'</v>
      </c>
    </row>
    <row r="13246" spans="1:6" x14ac:dyDescent="0.2">
      <c r="A13246" t="s">
        <v>22422</v>
      </c>
      <c r="B13246" t="s">
        <v>22423</v>
      </c>
      <c r="C13246" t="s">
        <v>111</v>
      </c>
      <c r="D13246" t="s">
        <v>14</v>
      </c>
      <c r="F13246" s="2" t="str">
        <f>HYPERLINK("http://www.otzar.org/book.asp?622617","וישם דניאל - 2 כר'")</f>
        <v>וישם דניאל - 2 כר'</v>
      </c>
    </row>
    <row r="13247" spans="1:6" x14ac:dyDescent="0.2">
      <c r="A13247" t="s">
        <v>22424</v>
      </c>
      <c r="B13247" t="s">
        <v>206</v>
      </c>
      <c r="C13247" t="s">
        <v>23</v>
      </c>
      <c r="D13247" t="s">
        <v>90</v>
      </c>
      <c r="E13247" t="s">
        <v>241</v>
      </c>
      <c r="F13247" s="2" t="str">
        <f>HYPERLINK("http://www.otzar.org/book.asp?194069","וישם לך שלום")</f>
        <v>וישם לך שלום</v>
      </c>
    </row>
    <row r="13248" spans="1:6" x14ac:dyDescent="0.2">
      <c r="A13248" t="s">
        <v>22425</v>
      </c>
      <c r="B13248" t="s">
        <v>22426</v>
      </c>
      <c r="C13248" t="s">
        <v>37</v>
      </c>
      <c r="D13248" t="s">
        <v>14</v>
      </c>
      <c r="E13248" t="s">
        <v>202</v>
      </c>
      <c r="F13248" s="2" t="str">
        <f>HYPERLINK("http://www.otzar.org/book.asp?180043","וישם מדברה כעדן")</f>
        <v>וישם מדברה כעדן</v>
      </c>
    </row>
    <row r="13249" spans="1:6" x14ac:dyDescent="0.2">
      <c r="A13249" t="s">
        <v>22427</v>
      </c>
      <c r="B13249" t="s">
        <v>16688</v>
      </c>
      <c r="C13249" t="s">
        <v>23</v>
      </c>
      <c r="D13249" t="s">
        <v>52</v>
      </c>
      <c r="E13249" t="s">
        <v>158</v>
      </c>
      <c r="F13249" s="2" t="str">
        <f>HYPERLINK("http://www.otzar.org/book.asp?616189","וישמור משמרתי")</f>
        <v>וישמור משמרתי</v>
      </c>
    </row>
    <row r="13250" spans="1:6" x14ac:dyDescent="0.2">
      <c r="A13250" t="s">
        <v>22428</v>
      </c>
      <c r="B13250" t="s">
        <v>22429</v>
      </c>
      <c r="C13250" t="s">
        <v>313</v>
      </c>
      <c r="D13250" t="s">
        <v>90</v>
      </c>
      <c r="E13250" t="s">
        <v>4561</v>
      </c>
      <c r="F13250" s="2" t="str">
        <f>HYPERLINK("http://www.otzar.org/book.asp?63746","וישמע משה")</f>
        <v>וישמע משה</v>
      </c>
    </row>
    <row r="13251" spans="1:6" x14ac:dyDescent="0.2">
      <c r="A13251" t="s">
        <v>22428</v>
      </c>
      <c r="B13251" t="s">
        <v>22341</v>
      </c>
      <c r="C13251" t="s">
        <v>427</v>
      </c>
      <c r="D13251" t="s">
        <v>14</v>
      </c>
      <c r="E13251" t="s">
        <v>158</v>
      </c>
      <c r="F13251" s="2" t="str">
        <f>HYPERLINK("http://www.otzar.org/book.asp?611267","וישמע משה")</f>
        <v>וישמע משה</v>
      </c>
    </row>
    <row r="13252" spans="1:6" x14ac:dyDescent="0.2">
      <c r="A13252" t="s">
        <v>22428</v>
      </c>
      <c r="B13252" t="s">
        <v>22430</v>
      </c>
      <c r="C13252" t="s">
        <v>17</v>
      </c>
      <c r="D13252" t="s">
        <v>118</v>
      </c>
      <c r="E13252" t="s">
        <v>474</v>
      </c>
      <c r="F13252" s="2" t="str">
        <f>HYPERLINK("http://www.otzar.org/book.asp?610761","וישמע משה")</f>
        <v>וישמע משה</v>
      </c>
    </row>
    <row r="13253" spans="1:6" x14ac:dyDescent="0.2">
      <c r="A13253" t="s">
        <v>22431</v>
      </c>
      <c r="B13253" t="s">
        <v>22432</v>
      </c>
      <c r="C13253" t="s">
        <v>23</v>
      </c>
      <c r="D13253" t="s">
        <v>21</v>
      </c>
      <c r="E13253" t="s">
        <v>10</v>
      </c>
      <c r="F13253" s="2" t="str">
        <f>HYPERLINK("http://www.otzar.org/book.asp?195966","וישמע משה - 5 כר'")</f>
        <v>וישמע משה - 5 כר'</v>
      </c>
    </row>
    <row r="13254" spans="1:6" x14ac:dyDescent="0.2">
      <c r="A13254" t="s">
        <v>22433</v>
      </c>
      <c r="B13254" t="s">
        <v>13176</v>
      </c>
      <c r="C13254" t="s">
        <v>496</v>
      </c>
      <c r="D13254" t="s">
        <v>889</v>
      </c>
      <c r="E13254" t="s">
        <v>22434</v>
      </c>
      <c r="F13254" s="2" t="str">
        <f>HYPERLINK("http://www.otzar.org/book.asp?52133","וישמע שאול")</f>
        <v>וישמע שאול</v>
      </c>
    </row>
    <row r="13255" spans="1:6" x14ac:dyDescent="0.2">
      <c r="A13255" t="s">
        <v>22435</v>
      </c>
      <c r="B13255" t="s">
        <v>22436</v>
      </c>
      <c r="C13255" t="s">
        <v>146</v>
      </c>
      <c r="D13255" t="s">
        <v>152</v>
      </c>
      <c r="E13255" t="s">
        <v>202</v>
      </c>
      <c r="F13255" s="2" t="str">
        <f>HYPERLINK("http://www.otzar.org/book.asp?169140","וישרים יעלוזו")</f>
        <v>וישרים יעלוזו</v>
      </c>
    </row>
    <row r="13256" spans="1:6" x14ac:dyDescent="0.2">
      <c r="A13256" t="s">
        <v>22437</v>
      </c>
      <c r="B13256" t="s">
        <v>22438</v>
      </c>
      <c r="C13256" t="s">
        <v>103</v>
      </c>
      <c r="D13256" t="s">
        <v>52</v>
      </c>
      <c r="E13256" t="s">
        <v>119</v>
      </c>
      <c r="F13256" s="2" t="str">
        <f>HYPERLINK("http://www.otzar.org/book.asp?144707","ויתילדו על משפחותם")</f>
        <v>ויתילדו על משפחותם</v>
      </c>
    </row>
    <row r="13257" spans="1:6" x14ac:dyDescent="0.2">
      <c r="A13257" t="s">
        <v>22439</v>
      </c>
      <c r="B13257" t="s">
        <v>4977</v>
      </c>
      <c r="C13257" t="s">
        <v>20</v>
      </c>
      <c r="D13257" t="s">
        <v>14</v>
      </c>
      <c r="E13257" t="s">
        <v>246</v>
      </c>
      <c r="F13257" s="2" t="str">
        <f>HYPERLINK("http://www.otzar.org/book.asp?153426","ויתנו לך כתר מלוכה")</f>
        <v>ויתנו לך כתר מלוכה</v>
      </c>
    </row>
    <row r="13258" spans="1:6" x14ac:dyDescent="0.2">
      <c r="A13258" t="s">
        <v>22440</v>
      </c>
      <c r="B13258" t="s">
        <v>21747</v>
      </c>
      <c r="C13258" t="s">
        <v>244</v>
      </c>
      <c r="D13258" t="s">
        <v>657</v>
      </c>
      <c r="E13258" t="s">
        <v>158</v>
      </c>
      <c r="F13258" s="2" t="str">
        <f>HYPERLINK("http://www.otzar.org/book.asp?623250","ויתענגו מטובך - שיר השירים המבואר")</f>
        <v>ויתענגו מטובך - שיר השירים המבואר</v>
      </c>
    </row>
    <row r="13259" spans="1:6" x14ac:dyDescent="0.2">
      <c r="A13259" t="s">
        <v>22441</v>
      </c>
      <c r="B13259" t="s">
        <v>1552</v>
      </c>
      <c r="C13259" t="s">
        <v>609</v>
      </c>
      <c r="D13259" t="s">
        <v>267</v>
      </c>
      <c r="E13259" t="s">
        <v>583</v>
      </c>
      <c r="F13259" s="2" t="str">
        <f>HYPERLINK("http://www.otzar.org/book.asp?155746","וכוח הרמב""ן - תולדות הרמב""ן")</f>
        <v>וכוח הרמב"ן - תולדות הרמב"ן</v>
      </c>
    </row>
    <row r="13260" spans="1:6" x14ac:dyDescent="0.2">
      <c r="A13260" t="s">
        <v>22442</v>
      </c>
      <c r="B13260" t="s">
        <v>9720</v>
      </c>
      <c r="C13260" t="s">
        <v>422</v>
      </c>
      <c r="D13260" t="s">
        <v>1180</v>
      </c>
      <c r="E13260" t="s">
        <v>10</v>
      </c>
      <c r="F13260" s="2" t="str">
        <f>HYPERLINK("http://www.otzar.org/book.asp?604647","וכיצד אין מערבין - 3 כר'")</f>
        <v>וכיצד אין מערבין - 3 כר'</v>
      </c>
    </row>
    <row r="13261" spans="1:6" x14ac:dyDescent="0.2">
      <c r="A13261" t="s">
        <v>22443</v>
      </c>
      <c r="B13261" t="s">
        <v>22444</v>
      </c>
      <c r="C13261" t="s">
        <v>411</v>
      </c>
      <c r="D13261" t="s">
        <v>14</v>
      </c>
      <c r="E13261" t="s">
        <v>15</v>
      </c>
      <c r="F13261" s="2" t="str">
        <f>HYPERLINK("http://www.otzar.org/book.asp?617549","וכל מצותיך אמת")</f>
        <v>וכל מצותיך אמת</v>
      </c>
    </row>
    <row r="13262" spans="1:6" x14ac:dyDescent="0.2">
      <c r="A13262" t="s">
        <v>22445</v>
      </c>
      <c r="B13262" t="s">
        <v>1728</v>
      </c>
      <c r="C13262" t="s">
        <v>13</v>
      </c>
      <c r="D13262" t="s">
        <v>273</v>
      </c>
      <c r="E13262" t="s">
        <v>6981</v>
      </c>
      <c r="F13262" s="2" t="str">
        <f>HYPERLINK("http://www.otzar.org/book.asp?626909","וכמטמונים תחפשנה - 2 כר'")</f>
        <v>וכמטמונים תחפשנה - 2 כר'</v>
      </c>
    </row>
    <row r="13263" spans="1:6" x14ac:dyDescent="0.2">
      <c r="A13263" t="s">
        <v>22446</v>
      </c>
      <c r="B13263" t="s">
        <v>4953</v>
      </c>
      <c r="C13263" t="s">
        <v>129</v>
      </c>
      <c r="D13263" t="s">
        <v>14</v>
      </c>
      <c r="F13263" s="2" t="str">
        <f>HYPERLINK("http://www.otzar.org/book.asp?614994","וכפר בקודש - פיוטי עבודת יוה""כ מפורש ומבואר")</f>
        <v>וכפר בקודש - פיוטי עבודת יוה"כ מפורש ומבואר</v>
      </c>
    </row>
    <row r="13264" spans="1:6" x14ac:dyDescent="0.2">
      <c r="A13264" t="s">
        <v>22447</v>
      </c>
      <c r="B13264" t="s">
        <v>22448</v>
      </c>
      <c r="C13264" t="s">
        <v>366</v>
      </c>
      <c r="D13264" t="s">
        <v>486</v>
      </c>
      <c r="F13264" s="2" t="str">
        <f>HYPERLINK("http://www.otzar.org/book.asp?608999","וכשר הדבר")</f>
        <v>וכשר הדבר</v>
      </c>
    </row>
    <row r="13265" spans="1:6" x14ac:dyDescent="0.2">
      <c r="A13265" t="s">
        <v>22449</v>
      </c>
      <c r="B13265" t="s">
        <v>22450</v>
      </c>
      <c r="E13265" t="s">
        <v>154</v>
      </c>
      <c r="F13265" s="2" t="str">
        <f>HYPERLINK("http://www.otzar.org/book.asp?623095","וכתב משה")</f>
        <v>וכתב משה</v>
      </c>
    </row>
    <row r="13266" spans="1:6" x14ac:dyDescent="0.2">
      <c r="A13266" t="s">
        <v>22451</v>
      </c>
      <c r="B13266" t="s">
        <v>22452</v>
      </c>
      <c r="C13266" t="s">
        <v>146</v>
      </c>
      <c r="D13266" t="s">
        <v>14</v>
      </c>
      <c r="E13266" t="s">
        <v>4022</v>
      </c>
      <c r="F13266" s="2" t="str">
        <f>HYPERLINK("http://www.otzar.org/book.asp?161559","וכתבתם - 9 כר'")</f>
        <v>וכתבתם - 9 כר'</v>
      </c>
    </row>
    <row r="13267" spans="1:6" x14ac:dyDescent="0.2">
      <c r="A13267" t="s">
        <v>22453</v>
      </c>
      <c r="B13267" t="s">
        <v>22454</v>
      </c>
      <c r="C13267" t="s">
        <v>366</v>
      </c>
      <c r="D13267" t="s">
        <v>80</v>
      </c>
      <c r="F13267" s="2" t="str">
        <f>HYPERLINK("http://www.otzar.org/book.asp?610144","וכתבתם - א")</f>
        <v>וכתבתם - א</v>
      </c>
    </row>
    <row r="13268" spans="1:6" x14ac:dyDescent="0.2">
      <c r="A13268" t="s">
        <v>22455</v>
      </c>
      <c r="B13268" t="s">
        <v>22456</v>
      </c>
      <c r="C13268" t="s">
        <v>492</v>
      </c>
      <c r="D13268" t="s">
        <v>3627</v>
      </c>
      <c r="E13268" t="s">
        <v>1211</v>
      </c>
      <c r="F13268" s="2" t="str">
        <f>HYPERLINK("http://www.otzar.org/book.asp?28327","וכתורה הזאת")</f>
        <v>וכתורה הזאת</v>
      </c>
    </row>
    <row r="13269" spans="1:6" x14ac:dyDescent="0.2">
      <c r="A13269" t="s">
        <v>22457</v>
      </c>
      <c r="B13269" t="s">
        <v>22458</v>
      </c>
      <c r="C13269" t="s">
        <v>20</v>
      </c>
      <c r="D13269" t="s">
        <v>90</v>
      </c>
      <c r="E13269" t="s">
        <v>241</v>
      </c>
      <c r="F13269" s="2" t="str">
        <f>HYPERLINK("http://www.otzar.org/book.asp?629372","ולא בעל שבט הלוי בלבד")</f>
        <v>ולא בעל שבט הלוי בלבד</v>
      </c>
    </row>
    <row r="13270" spans="1:6" x14ac:dyDescent="0.2">
      <c r="A13270" t="s">
        <v>22459</v>
      </c>
      <c r="B13270" t="s">
        <v>1112</v>
      </c>
      <c r="C13270" t="s">
        <v>291</v>
      </c>
      <c r="D13270" t="s">
        <v>157</v>
      </c>
      <c r="E13270" t="s">
        <v>22460</v>
      </c>
      <c r="F13270" s="2" t="str">
        <f>HYPERLINK("http://www.otzar.org/book.asp?100965","ולא עוד אלא")</f>
        <v>ולא עוד אלא</v>
      </c>
    </row>
    <row r="13271" spans="1:6" x14ac:dyDescent="0.2">
      <c r="A13271" t="s">
        <v>22461</v>
      </c>
      <c r="B13271" t="s">
        <v>22462</v>
      </c>
      <c r="C13271" t="s">
        <v>1268</v>
      </c>
      <c r="D13271" t="s">
        <v>412</v>
      </c>
      <c r="E13271" t="s">
        <v>154</v>
      </c>
      <c r="F13271" s="2" t="str">
        <f>HYPERLINK("http://www.otzar.org/book.asp?172865","ולאשר אמר - שו""ת")</f>
        <v>ולאשר אמר - שו"ת</v>
      </c>
    </row>
    <row r="13272" spans="1:6" x14ac:dyDescent="0.2">
      <c r="A13272" t="s">
        <v>22463</v>
      </c>
      <c r="B13272" t="s">
        <v>22464</v>
      </c>
      <c r="C13272" t="s">
        <v>383</v>
      </c>
      <c r="D13272" t="s">
        <v>14</v>
      </c>
      <c r="E13272" t="s">
        <v>474</v>
      </c>
      <c r="F13272" s="2" t="str">
        <f>HYPERLINK("http://www.otzar.org/book.asp?148702","ולאשר אמר")</f>
        <v>ולאשר אמר</v>
      </c>
    </row>
    <row r="13273" spans="1:6" x14ac:dyDescent="0.2">
      <c r="A13273" t="s">
        <v>22465</v>
      </c>
      <c r="B13273" t="s">
        <v>22466</v>
      </c>
      <c r="C13273" t="s">
        <v>37</v>
      </c>
      <c r="D13273" t="s">
        <v>412</v>
      </c>
      <c r="E13273" t="s">
        <v>158</v>
      </c>
      <c r="F13273" s="2" t="str">
        <f>HYPERLINK("http://www.otzar.org/book.asp?626104","ולאשר אמר, ויגד משה - 3 כר'")</f>
        <v>ולאשר אמר, ויגד משה - 3 כר'</v>
      </c>
    </row>
    <row r="13274" spans="1:6" x14ac:dyDescent="0.2">
      <c r="A13274" t="s">
        <v>22467</v>
      </c>
      <c r="B13274" t="s">
        <v>4128</v>
      </c>
      <c r="C13274" t="s">
        <v>23</v>
      </c>
      <c r="D13274" t="s">
        <v>14</v>
      </c>
      <c r="F13274" s="2" t="str">
        <f>HYPERLINK("http://www.otzar.org/book.asp?613293","ולבבו יבין")</f>
        <v>ולבבו יבין</v>
      </c>
    </row>
    <row r="13275" spans="1:6" x14ac:dyDescent="0.2">
      <c r="A13275" t="s">
        <v>22468</v>
      </c>
      <c r="B13275" t="s">
        <v>22469</v>
      </c>
      <c r="C13275" t="s">
        <v>1047</v>
      </c>
      <c r="D13275" t="s">
        <v>157</v>
      </c>
      <c r="E13275" t="s">
        <v>22470</v>
      </c>
      <c r="F13275" s="2" t="str">
        <f>HYPERLINK("http://www.otzar.org/book.asp?26429","ולבש הכהן")</f>
        <v>ולבש הכהן</v>
      </c>
    </row>
    <row r="13276" spans="1:6" x14ac:dyDescent="0.2">
      <c r="A13276" t="s">
        <v>22468</v>
      </c>
      <c r="B13276" t="s">
        <v>22471</v>
      </c>
      <c r="C13276" t="s">
        <v>8</v>
      </c>
      <c r="D13276" t="s">
        <v>1889</v>
      </c>
      <c r="E13276" t="s">
        <v>22472</v>
      </c>
      <c r="F13276" s="2" t="str">
        <f>HYPERLINK("http://www.otzar.org/book.asp?143437","ולבש הכהן")</f>
        <v>ולבש הכהן</v>
      </c>
    </row>
    <row r="13277" spans="1:6" x14ac:dyDescent="0.2">
      <c r="A13277" t="s">
        <v>22473</v>
      </c>
      <c r="B13277" t="s">
        <v>22474</v>
      </c>
      <c r="C13277" t="s">
        <v>422</v>
      </c>
      <c r="D13277" t="s">
        <v>52</v>
      </c>
      <c r="E13277" t="s">
        <v>104</v>
      </c>
      <c r="F13277" s="2" t="str">
        <f>HYPERLINK("http://www.otzar.org/book.asp?157735","ולגשמים בעיתם")</f>
        <v>ולגשמים בעיתם</v>
      </c>
    </row>
    <row r="13278" spans="1:6" x14ac:dyDescent="0.2">
      <c r="A13278" t="s">
        <v>22475</v>
      </c>
      <c r="B13278" t="s">
        <v>22476</v>
      </c>
      <c r="C13278" t="s">
        <v>454</v>
      </c>
      <c r="D13278" t="s">
        <v>14</v>
      </c>
      <c r="E13278" t="s">
        <v>733</v>
      </c>
      <c r="F13278" s="2" t="str">
        <f>HYPERLINK("http://www.otzar.org/book.asp?173786","ולהבה לא תבער בך")</f>
        <v>ולהבה לא תבער בך</v>
      </c>
    </row>
    <row r="13279" spans="1:6" x14ac:dyDescent="0.2">
      <c r="A13279" t="s">
        <v>22477</v>
      </c>
      <c r="B13279" t="s">
        <v>107</v>
      </c>
      <c r="C13279" t="s">
        <v>313</v>
      </c>
      <c r="D13279" t="s">
        <v>14</v>
      </c>
      <c r="E13279" t="s">
        <v>241</v>
      </c>
      <c r="F13279" s="2" t="str">
        <f>HYPERLINK("http://www.otzar.org/book.asp?6231","ולחם לבב אנוש יסעד")</f>
        <v>ולחם לבב אנוש יסעד</v>
      </c>
    </row>
    <row r="13280" spans="1:6" x14ac:dyDescent="0.2">
      <c r="A13280" t="s">
        <v>22478</v>
      </c>
      <c r="B13280" t="s">
        <v>22479</v>
      </c>
      <c r="C13280" t="s">
        <v>129</v>
      </c>
      <c r="D13280" t="s">
        <v>14</v>
      </c>
      <c r="E13280" t="s">
        <v>158</v>
      </c>
      <c r="F13280" s="2" t="str">
        <f>HYPERLINK("http://www.otzar.org/book.asp?152568","וליוסף אמר - 2 כר'")</f>
        <v>וליוסף אמר - 2 כר'</v>
      </c>
    </row>
    <row r="13281" spans="1:6" x14ac:dyDescent="0.2">
      <c r="A13281" t="s">
        <v>22480</v>
      </c>
      <c r="B13281" t="s">
        <v>16636</v>
      </c>
      <c r="C13281" t="s">
        <v>466</v>
      </c>
      <c r="D13281" t="s">
        <v>2798</v>
      </c>
      <c r="E13281" t="s">
        <v>144</v>
      </c>
      <c r="F13281" s="2" t="str">
        <f>HYPERLINK("http://www.otzar.org/book.asp?51156","וליוסף אמר - ב")</f>
        <v>וליוסף אמר - ב</v>
      </c>
    </row>
    <row r="13282" spans="1:6" x14ac:dyDescent="0.2">
      <c r="A13282" t="s">
        <v>22481</v>
      </c>
      <c r="B13282" t="s">
        <v>22482</v>
      </c>
      <c r="C13282" t="s">
        <v>189</v>
      </c>
      <c r="D13282" t="s">
        <v>423</v>
      </c>
      <c r="E13282" t="s">
        <v>144</v>
      </c>
      <c r="F13282" s="2" t="str">
        <f>HYPERLINK("http://www.otzar.org/book.asp?603144","וליוסף אמר, יצחק בנו")</f>
        <v>וליוסף אמר, יצחק בנו</v>
      </c>
    </row>
    <row r="13283" spans="1:6" x14ac:dyDescent="0.2">
      <c r="A13283" t="s">
        <v>22483</v>
      </c>
      <c r="B13283" t="s">
        <v>7101</v>
      </c>
      <c r="C13283" t="s">
        <v>244</v>
      </c>
      <c r="D13283" t="s">
        <v>412</v>
      </c>
      <c r="E13283" t="s">
        <v>5392</v>
      </c>
      <c r="F13283" s="2" t="str">
        <f>HYPERLINK("http://www.otzar.org/book.asp?602670","ולישרי לב - 9 כר'")</f>
        <v>ולישרי לב - 9 כר'</v>
      </c>
    </row>
    <row r="13284" spans="1:6" x14ac:dyDescent="0.2">
      <c r="A13284" t="s">
        <v>22484</v>
      </c>
      <c r="B13284" t="s">
        <v>22485</v>
      </c>
      <c r="C13284" t="s">
        <v>133</v>
      </c>
      <c r="D13284" t="s">
        <v>14</v>
      </c>
      <c r="E13284" t="s">
        <v>104</v>
      </c>
      <c r="F13284" s="2" t="str">
        <f>HYPERLINK("http://www.otzar.org/book.asp?171922","וללוי אמר")</f>
        <v>וללוי אמר</v>
      </c>
    </row>
    <row r="13285" spans="1:6" x14ac:dyDescent="0.2">
      <c r="A13285" t="s">
        <v>22486</v>
      </c>
      <c r="B13285" t="s">
        <v>22487</v>
      </c>
      <c r="C13285" t="s">
        <v>383</v>
      </c>
      <c r="D13285" t="s">
        <v>52</v>
      </c>
      <c r="E13285" t="s">
        <v>154</v>
      </c>
      <c r="F13285" s="2" t="str">
        <f>HYPERLINK("http://www.otzar.org/book.asp?159330","וללוי אמר - ב")</f>
        <v>וללוי אמר - ב</v>
      </c>
    </row>
    <row r="13286" spans="1:6" x14ac:dyDescent="0.2">
      <c r="A13286" t="s">
        <v>22488</v>
      </c>
      <c r="B13286" t="s">
        <v>318</v>
      </c>
      <c r="C13286" t="s">
        <v>244</v>
      </c>
      <c r="D13286" t="s">
        <v>14</v>
      </c>
      <c r="E13286" t="s">
        <v>399</v>
      </c>
      <c r="F13286" s="2" t="str">
        <f>HYPERLINK("http://www.otzar.org/book.asp?199411","ולעלובת נפש תושיע - א")</f>
        <v>ולעלובת נפש תושיע - א</v>
      </c>
    </row>
    <row r="13287" spans="1:6" x14ac:dyDescent="0.2">
      <c r="A13287" t="s">
        <v>22489</v>
      </c>
      <c r="B13287" t="s">
        <v>206</v>
      </c>
      <c r="C13287" t="s">
        <v>20</v>
      </c>
      <c r="D13287" t="s">
        <v>90</v>
      </c>
      <c r="E13287" t="s">
        <v>15</v>
      </c>
      <c r="F13287" s="2" t="str">
        <f>HYPERLINK("http://www.otzar.org/book.asp?600095","ולערב עירובו &lt;מהדורת ביקורת&gt; - עירובי חצירות")</f>
        <v>ולערב עירובו &lt;מהדורת ביקורת&gt; - עירובי חצירות</v>
      </c>
    </row>
    <row r="13288" spans="1:6" x14ac:dyDescent="0.2">
      <c r="A13288" t="s">
        <v>22490</v>
      </c>
      <c r="B13288" t="s">
        <v>22491</v>
      </c>
      <c r="C13288" t="s">
        <v>114</v>
      </c>
      <c r="D13288" t="s">
        <v>52</v>
      </c>
      <c r="E13288" t="s">
        <v>104</v>
      </c>
      <c r="F13288" s="2" t="str">
        <f>HYPERLINK("http://www.otzar.org/book.asp?162076","ולקח אלעזר")</f>
        <v>ולקח אלעזר</v>
      </c>
    </row>
    <row r="13289" spans="1:6" x14ac:dyDescent="0.2">
      <c r="A13289" t="s">
        <v>22492</v>
      </c>
      <c r="B13289" t="s">
        <v>4174</v>
      </c>
      <c r="C13289" t="s">
        <v>143</v>
      </c>
      <c r="D13289" t="s">
        <v>14</v>
      </c>
      <c r="E13289" t="s">
        <v>130</v>
      </c>
      <c r="F13289" s="2" t="str">
        <f>HYPERLINK("http://www.otzar.org/book.asp?148214","ולקחתם לכם - 3 כר'")</f>
        <v>ולקחתם לכם - 3 כר'</v>
      </c>
    </row>
    <row r="13290" spans="1:6" x14ac:dyDescent="0.2">
      <c r="A13290" t="s">
        <v>22493</v>
      </c>
      <c r="B13290" t="s">
        <v>8947</v>
      </c>
      <c r="C13290" t="s">
        <v>114</v>
      </c>
      <c r="D13290" t="s">
        <v>14</v>
      </c>
      <c r="E13290" t="s">
        <v>104</v>
      </c>
      <c r="F13290" s="2" t="str">
        <f>HYPERLINK("http://www.otzar.org/book.asp?176758","ולתתך עליון")</f>
        <v>ולתתך עליון</v>
      </c>
    </row>
    <row r="13291" spans="1:6" x14ac:dyDescent="0.2">
      <c r="A13291" t="s">
        <v>22494</v>
      </c>
      <c r="B13291" t="s">
        <v>22495</v>
      </c>
      <c r="C13291" t="s">
        <v>20</v>
      </c>
      <c r="D13291" t="s">
        <v>90</v>
      </c>
      <c r="E13291" t="s">
        <v>140</v>
      </c>
      <c r="F13291" s="2" t="str">
        <f>HYPERLINK("http://www.otzar.org/book.asp?622280","ומאזין תרועה")</f>
        <v>ומאזין תרועה</v>
      </c>
    </row>
    <row r="13292" spans="1:6" x14ac:dyDescent="0.2">
      <c r="A13292" t="s">
        <v>22496</v>
      </c>
      <c r="B13292" t="s">
        <v>22497</v>
      </c>
      <c r="C13292" t="s">
        <v>114</v>
      </c>
      <c r="D13292" t="s">
        <v>14</v>
      </c>
      <c r="E13292" t="s">
        <v>158</v>
      </c>
      <c r="F13292" s="2" t="str">
        <f>HYPERLINK("http://www.otzar.org/book.asp?629823","ומדותי פעולתם")</f>
        <v>ומדותי פעולתם</v>
      </c>
    </row>
    <row r="13293" spans="1:6" x14ac:dyDescent="0.2">
      <c r="A13293" t="s">
        <v>22498</v>
      </c>
      <c r="B13293" t="s">
        <v>22499</v>
      </c>
      <c r="C13293" t="s">
        <v>20</v>
      </c>
      <c r="D13293" t="s">
        <v>90</v>
      </c>
      <c r="F13293" s="2" t="str">
        <f>HYPERLINK("http://www.otzar.org/book.asp?182543","ומחדרים אימה")</f>
        <v>ומחדרים אימה</v>
      </c>
    </row>
    <row r="13294" spans="1:6" x14ac:dyDescent="0.2">
      <c r="A13294" t="s">
        <v>22500</v>
      </c>
      <c r="B13294" t="s">
        <v>22501</v>
      </c>
      <c r="C13294" t="s">
        <v>989</v>
      </c>
      <c r="D13294" t="s">
        <v>21</v>
      </c>
      <c r="E13294" t="s">
        <v>104</v>
      </c>
      <c r="F13294" s="2" t="str">
        <f>HYPERLINK("http://www.otzar.org/book.asp?600031","ומלכות תהפך למינות")</f>
        <v>ומלכות תהפך למינות</v>
      </c>
    </row>
    <row r="13295" spans="1:6" x14ac:dyDescent="0.2">
      <c r="A13295" t="s">
        <v>22502</v>
      </c>
      <c r="B13295" t="s">
        <v>1728</v>
      </c>
      <c r="C13295" t="s">
        <v>146</v>
      </c>
      <c r="D13295" t="s">
        <v>273</v>
      </c>
      <c r="E13295" t="s">
        <v>741</v>
      </c>
      <c r="F13295" s="2" t="str">
        <f>HYPERLINK("http://www.otzar.org/book.asp?628548","וממנה יוושע")</f>
        <v>וממנה יוושע</v>
      </c>
    </row>
    <row r="13296" spans="1:6" x14ac:dyDescent="0.2">
      <c r="A13296" t="s">
        <v>22503</v>
      </c>
      <c r="B13296" t="s">
        <v>776</v>
      </c>
      <c r="C13296" t="s">
        <v>160</v>
      </c>
      <c r="D13296" t="s">
        <v>27</v>
      </c>
      <c r="E13296" t="s">
        <v>241</v>
      </c>
      <c r="F13296" s="2" t="str">
        <f>HYPERLINK("http://www.otzar.org/book.asp?179214","ומצא חן")</f>
        <v>ומצא חן</v>
      </c>
    </row>
    <row r="13297" spans="1:6" x14ac:dyDescent="0.2">
      <c r="A13297" t="s">
        <v>22504</v>
      </c>
      <c r="B13297" t="s">
        <v>22505</v>
      </c>
      <c r="C13297" t="s">
        <v>133</v>
      </c>
      <c r="D13297" t="s">
        <v>52</v>
      </c>
      <c r="F13297" s="2" t="str">
        <f>HYPERLINK("http://www.otzar.org/book.asp?198627","ומצדיקי הרבים - הלכות מלמדים")</f>
        <v>ומצדיקי הרבים - הלכות מלמדים</v>
      </c>
    </row>
    <row r="13298" spans="1:6" x14ac:dyDescent="0.2">
      <c r="A13298" t="s">
        <v>22506</v>
      </c>
      <c r="B13298" t="s">
        <v>12884</v>
      </c>
      <c r="C13298" t="s">
        <v>558</v>
      </c>
      <c r="D13298" t="s">
        <v>27</v>
      </c>
      <c r="E13298" t="s">
        <v>17079</v>
      </c>
      <c r="F13298" s="2" t="str">
        <f>HYPERLINK("http://www.otzar.org/book.asp?100964","ומצור דבש")</f>
        <v>ומצור דבש</v>
      </c>
    </row>
    <row r="13299" spans="1:6" x14ac:dyDescent="0.2">
      <c r="A13299" t="s">
        <v>22507</v>
      </c>
      <c r="B13299" t="s">
        <v>22508</v>
      </c>
      <c r="C13299" t="s">
        <v>366</v>
      </c>
      <c r="D13299" t="s">
        <v>90</v>
      </c>
      <c r="E13299" t="s">
        <v>202</v>
      </c>
      <c r="F13299" s="2" t="str">
        <f>HYPERLINK("http://www.otzar.org/book.asp?625749","ומקדשי תיראו - 5 כר'")</f>
        <v>ומקדשי תיראו - 5 כר'</v>
      </c>
    </row>
    <row r="13300" spans="1:6" x14ac:dyDescent="0.2">
      <c r="A13300" t="s">
        <v>22509</v>
      </c>
      <c r="B13300" t="s">
        <v>22510</v>
      </c>
      <c r="C13300" t="s">
        <v>114</v>
      </c>
      <c r="D13300" t="s">
        <v>412</v>
      </c>
      <c r="E13300" t="s">
        <v>674</v>
      </c>
      <c r="F13300" s="2" t="str">
        <f>HYPERLINK("http://www.otzar.org/book.asp?606131","ומקרב בימין - 2 כר'")</f>
        <v>ומקרב בימין - 2 כר'</v>
      </c>
    </row>
    <row r="13301" spans="1:6" x14ac:dyDescent="0.2">
      <c r="A13301" t="s">
        <v>22511</v>
      </c>
      <c r="B13301" t="s">
        <v>22512</v>
      </c>
      <c r="C13301" t="s">
        <v>366</v>
      </c>
      <c r="D13301" t="s">
        <v>14</v>
      </c>
      <c r="E13301" t="s">
        <v>22513</v>
      </c>
      <c r="F13301" s="2" t="str">
        <f>HYPERLINK("http://www.otzar.org/book.asp?613184","ומקרבן לתורה - כלאים")</f>
        <v>ומקרבן לתורה - כלאים</v>
      </c>
    </row>
    <row r="13302" spans="1:6" x14ac:dyDescent="0.2">
      <c r="A13302" t="s">
        <v>22514</v>
      </c>
      <c r="B13302" t="s">
        <v>22515</v>
      </c>
      <c r="C13302" t="s">
        <v>20</v>
      </c>
      <c r="D13302" t="s">
        <v>90</v>
      </c>
      <c r="E13302" t="s">
        <v>1626</v>
      </c>
      <c r="F13302" s="2" t="str">
        <f>HYPERLINK("http://www.otzar.org/book.asp?168985","ומרדכי יושב בשער המלך")</f>
        <v>ומרדכי יושב בשער המלך</v>
      </c>
    </row>
    <row r="13303" spans="1:6" x14ac:dyDescent="0.2">
      <c r="A13303" t="s">
        <v>22516</v>
      </c>
      <c r="B13303" t="s">
        <v>22517</v>
      </c>
      <c r="C13303" t="s">
        <v>176</v>
      </c>
      <c r="D13303" t="s">
        <v>52</v>
      </c>
      <c r="E13303" t="s">
        <v>202</v>
      </c>
      <c r="F13303" s="2" t="str">
        <f>HYPERLINK("http://www.otzar.org/book.asp?618060","ומרדכי יצא")</f>
        <v>ומרדכי יצא</v>
      </c>
    </row>
    <row r="13304" spans="1:6" x14ac:dyDescent="0.2">
      <c r="A13304" t="s">
        <v>22518</v>
      </c>
      <c r="B13304" t="s">
        <v>22519</v>
      </c>
      <c r="C13304" t="s">
        <v>129</v>
      </c>
      <c r="D13304" t="s">
        <v>412</v>
      </c>
      <c r="F13304" s="2" t="str">
        <f>HYPERLINK("http://www.otzar.org/book.asp?613614","ומשה היה רועה - 6 כר'")</f>
        <v>ומשה היה רועה - 6 כר'</v>
      </c>
    </row>
    <row r="13305" spans="1:6" x14ac:dyDescent="0.2">
      <c r="A13305" t="s">
        <v>22520</v>
      </c>
      <c r="B13305" t="s">
        <v>22521</v>
      </c>
      <c r="C13305" t="s">
        <v>244</v>
      </c>
      <c r="D13305" t="s">
        <v>147</v>
      </c>
      <c r="E13305" t="s">
        <v>15</v>
      </c>
      <c r="F13305" s="2" t="str">
        <f>HYPERLINK("http://www.otzar.org/book.asp?620855","ומשחרי ימצאוני - 2 כר'")</f>
        <v>ומשחרי ימצאוני - 2 כר'</v>
      </c>
    </row>
    <row r="13306" spans="1:6" x14ac:dyDescent="0.2">
      <c r="A13306" t="s">
        <v>22522</v>
      </c>
      <c r="B13306" t="s">
        <v>2396</v>
      </c>
      <c r="C13306" t="s">
        <v>23</v>
      </c>
      <c r="D13306" t="s">
        <v>1076</v>
      </c>
      <c r="E13306" t="s">
        <v>158</v>
      </c>
      <c r="F13306" s="2" t="str">
        <f>HYPERLINK("http://www.otzar.org/book.asp?617277","ומשם עתידין להיגאל - בפסוקי התורה")</f>
        <v>ומשם עתידין להיגאל - בפסוקי התורה</v>
      </c>
    </row>
    <row r="13307" spans="1:6" x14ac:dyDescent="0.2">
      <c r="A13307" t="s">
        <v>22523</v>
      </c>
      <c r="B13307" t="s">
        <v>22524</v>
      </c>
      <c r="C13307" t="s">
        <v>111</v>
      </c>
      <c r="D13307" t="s">
        <v>52</v>
      </c>
      <c r="E13307" t="s">
        <v>144</v>
      </c>
      <c r="F13307" s="2" t="str">
        <f>HYPERLINK("http://www.otzar.org/book.asp?626000","ומתוקים מדבש")</f>
        <v>ומתוקים מדבש</v>
      </c>
    </row>
    <row r="13308" spans="1:6" x14ac:dyDescent="0.2">
      <c r="A13308" t="s">
        <v>22525</v>
      </c>
      <c r="B13308" t="s">
        <v>15249</v>
      </c>
      <c r="C13308" t="s">
        <v>23</v>
      </c>
      <c r="D13308" t="s">
        <v>412</v>
      </c>
      <c r="E13308" t="s">
        <v>104</v>
      </c>
      <c r="F13308" s="2" t="str">
        <f>HYPERLINK("http://www.otzar.org/book.asp?624657","ונבנתה עיר")</f>
        <v>ונבנתה עיר</v>
      </c>
    </row>
    <row r="13309" spans="1:6" x14ac:dyDescent="0.2">
      <c r="A13309" t="s">
        <v>22526</v>
      </c>
      <c r="B13309" t="s">
        <v>22527</v>
      </c>
      <c r="C13309" t="s">
        <v>4705</v>
      </c>
      <c r="D13309" t="s">
        <v>56</v>
      </c>
      <c r="E13309" t="s">
        <v>803</v>
      </c>
      <c r="F13309" s="2" t="str">
        <f>HYPERLINK("http://www.otzar.org/book.asp?6624","ונגש הכהן")</f>
        <v>ונגש הכהן</v>
      </c>
    </row>
    <row r="13310" spans="1:6" x14ac:dyDescent="0.2">
      <c r="A13310" t="s">
        <v>22528</v>
      </c>
      <c r="B13310" t="s">
        <v>206</v>
      </c>
      <c r="C13310" t="s">
        <v>20</v>
      </c>
      <c r="D13310" t="s">
        <v>1156</v>
      </c>
      <c r="F13310" s="2" t="str">
        <f>HYPERLINK("http://www.otzar.org/book.asp?609553","ונהר יוצא מעדן - הקדמת רחובות הנהר")</f>
        <v>ונהר יוצא מעדן - הקדמת רחובות הנהר</v>
      </c>
    </row>
    <row r="13311" spans="1:6" x14ac:dyDescent="0.2">
      <c r="A13311" t="s">
        <v>22529</v>
      </c>
      <c r="B13311" t="s">
        <v>5634</v>
      </c>
      <c r="C13311" t="s">
        <v>37</v>
      </c>
      <c r="D13311" t="s">
        <v>52</v>
      </c>
      <c r="E13311" t="s">
        <v>104</v>
      </c>
      <c r="F13311" s="2" t="str">
        <f>HYPERLINK("http://www.otzar.org/book.asp?180806","ונהרות לא ישטפוה")</f>
        <v>ונהרות לא ישטפוה</v>
      </c>
    </row>
    <row r="13312" spans="1:6" x14ac:dyDescent="0.2">
      <c r="A13312" t="s">
        <v>22530</v>
      </c>
      <c r="B13312" t="s">
        <v>2722</v>
      </c>
      <c r="C13312" t="s">
        <v>624</v>
      </c>
      <c r="D13312" t="s">
        <v>14</v>
      </c>
      <c r="E13312" t="s">
        <v>241</v>
      </c>
      <c r="F13312" s="2" t="str">
        <f>HYPERLINK("http://www.otzar.org/book.asp?108169","ונכתב בספר - 2 כר'")</f>
        <v>ונכתב בספר - 2 כר'</v>
      </c>
    </row>
    <row r="13313" spans="1:6" x14ac:dyDescent="0.2">
      <c r="A13313" t="s">
        <v>22531</v>
      </c>
      <c r="B13313" t="s">
        <v>776</v>
      </c>
      <c r="C13313" t="s">
        <v>3840</v>
      </c>
      <c r="D13313" t="s">
        <v>27</v>
      </c>
      <c r="E13313" t="s">
        <v>241</v>
      </c>
      <c r="F13313" s="2" t="str">
        <f>HYPERLINK("http://www.otzar.org/book.asp?179230","ונמצא חן")</f>
        <v>ונמצא חן</v>
      </c>
    </row>
    <row r="13314" spans="1:6" x14ac:dyDescent="0.2">
      <c r="A13314" t="s">
        <v>22532</v>
      </c>
      <c r="B13314" t="s">
        <v>22533</v>
      </c>
      <c r="C13314" t="s">
        <v>1268</v>
      </c>
      <c r="D13314" t="s">
        <v>14</v>
      </c>
      <c r="E13314" t="s">
        <v>424</v>
      </c>
      <c r="F13314" s="2" t="str">
        <f>HYPERLINK("http://www.otzar.org/book.asp?52617","ונצדק קדש")</f>
        <v>ונצדק קדש</v>
      </c>
    </row>
    <row r="13315" spans="1:6" x14ac:dyDescent="0.2">
      <c r="A13315" t="s">
        <v>22534</v>
      </c>
      <c r="B13315" t="s">
        <v>22535</v>
      </c>
      <c r="C13315" t="s">
        <v>23</v>
      </c>
      <c r="D13315" t="s">
        <v>4549</v>
      </c>
      <c r="F13315" s="2" t="str">
        <f>HYPERLINK("http://www.otzar.org/book.asp?604868","ונקריב לפניך באהבה")</f>
        <v>ונקריב לפניך באהבה</v>
      </c>
    </row>
    <row r="13316" spans="1:6" x14ac:dyDescent="0.2">
      <c r="A13316" t="s">
        <v>22536</v>
      </c>
      <c r="C13316" t="s">
        <v>111</v>
      </c>
      <c r="D13316" t="s">
        <v>90</v>
      </c>
      <c r="E13316" t="s">
        <v>246</v>
      </c>
      <c r="F13316" s="2" t="str">
        <f>HYPERLINK("http://www.otzar.org/book.asp?628050","ונשמע פתגם - פורים")</f>
        <v>ונשמע פתגם - פורים</v>
      </c>
    </row>
    <row r="13317" spans="1:6" x14ac:dyDescent="0.2">
      <c r="A13317" t="s">
        <v>22537</v>
      </c>
      <c r="B13317" t="s">
        <v>5293</v>
      </c>
      <c r="C13317" t="s">
        <v>23</v>
      </c>
      <c r="D13317" t="s">
        <v>14</v>
      </c>
      <c r="F13317" s="2" t="str">
        <f>HYPERLINK("http://www.otzar.org/book.asp?614867","ונשמרתם מאד לנפשותיכם")</f>
        <v>ונשמרתם מאד לנפשותיכם</v>
      </c>
    </row>
    <row r="13318" spans="1:6" x14ac:dyDescent="0.2">
      <c r="A13318" t="s">
        <v>22537</v>
      </c>
      <c r="B13318" t="s">
        <v>107</v>
      </c>
      <c r="C13318" t="s">
        <v>313</v>
      </c>
      <c r="D13318" t="s">
        <v>14</v>
      </c>
      <c r="E13318" t="s">
        <v>714</v>
      </c>
      <c r="F13318" s="2" t="str">
        <f>HYPERLINK("http://www.otzar.org/book.asp?6240","ונשמרתם מאד לנפשותיכם")</f>
        <v>ונשמרתם מאד לנפשותיכם</v>
      </c>
    </row>
    <row r="13319" spans="1:6" x14ac:dyDescent="0.2">
      <c r="A13319" t="s">
        <v>22538</v>
      </c>
      <c r="B13319" t="s">
        <v>22538</v>
      </c>
      <c r="C13319" t="s">
        <v>20</v>
      </c>
      <c r="D13319" t="s">
        <v>90</v>
      </c>
      <c r="E13319" t="s">
        <v>241</v>
      </c>
      <c r="F13319" s="2" t="str">
        <f>HYPERLINK("http://www.otzar.org/book.asp?630249","ונשמרתם")</f>
        <v>ונשמרתם</v>
      </c>
    </row>
    <row r="13320" spans="1:6" x14ac:dyDescent="0.2">
      <c r="A13320" t="s">
        <v>22539</v>
      </c>
      <c r="B13320" t="s">
        <v>14381</v>
      </c>
      <c r="C13320" t="s">
        <v>1811</v>
      </c>
      <c r="D13320" t="s">
        <v>14</v>
      </c>
      <c r="E13320" t="s">
        <v>1211</v>
      </c>
      <c r="F13320" s="2" t="str">
        <f>HYPERLINK("http://www.otzar.org/book.asp?5648","ונתן לכהן")</f>
        <v>ונתן לכהן</v>
      </c>
    </row>
    <row r="13321" spans="1:6" x14ac:dyDescent="0.2">
      <c r="A13321" t="s">
        <v>22540</v>
      </c>
      <c r="B13321" t="s">
        <v>22541</v>
      </c>
      <c r="C13321" t="s">
        <v>523</v>
      </c>
      <c r="D13321" t="s">
        <v>52</v>
      </c>
      <c r="E13321" t="s">
        <v>148</v>
      </c>
      <c r="F13321" s="2" t="str">
        <f>HYPERLINK("http://www.otzar.org/book.asp?143111","ונתת לעבדך")</f>
        <v>ונתת לעבדך</v>
      </c>
    </row>
    <row r="13322" spans="1:6" x14ac:dyDescent="0.2">
      <c r="A13322" t="s">
        <v>22542</v>
      </c>
      <c r="B13322" t="s">
        <v>22543</v>
      </c>
      <c r="C13322" t="s">
        <v>1437</v>
      </c>
      <c r="D13322" t="s">
        <v>756</v>
      </c>
      <c r="E13322" t="s">
        <v>104</v>
      </c>
      <c r="F13322" s="2" t="str">
        <f>HYPERLINK("http://www.otzar.org/book.asp?179056","ונתתי שלום")</f>
        <v>ונתתי שלום</v>
      </c>
    </row>
    <row r="13323" spans="1:6" x14ac:dyDescent="0.2">
      <c r="A13323" t="s">
        <v>22544</v>
      </c>
      <c r="B13323" t="s">
        <v>22545</v>
      </c>
      <c r="C13323" t="s">
        <v>68</v>
      </c>
      <c r="D13323" t="s">
        <v>52</v>
      </c>
      <c r="E13323" t="s">
        <v>325</v>
      </c>
      <c r="F13323" s="2" t="str">
        <f>HYPERLINK("http://www.otzar.org/book.asp?159161","וסמך ידו - 2 כר'")</f>
        <v>וסמך ידו - 2 כר'</v>
      </c>
    </row>
    <row r="13324" spans="1:6" x14ac:dyDescent="0.2">
      <c r="A13324" t="s">
        <v>22546</v>
      </c>
      <c r="B13324" t="s">
        <v>22547</v>
      </c>
      <c r="C13324" t="s">
        <v>313</v>
      </c>
      <c r="D13324" t="s">
        <v>52</v>
      </c>
      <c r="E13324" t="s">
        <v>22548</v>
      </c>
      <c r="F13324" s="2" t="str">
        <f>HYPERLINK("http://www.otzar.org/book.asp?50922","וספרתם לכם")</f>
        <v>וספרתם לכם</v>
      </c>
    </row>
    <row r="13325" spans="1:6" x14ac:dyDescent="0.2">
      <c r="A13325" t="s">
        <v>22549</v>
      </c>
      <c r="B13325" t="s">
        <v>22550</v>
      </c>
      <c r="C13325" t="s">
        <v>151</v>
      </c>
      <c r="D13325" t="s">
        <v>245</v>
      </c>
      <c r="F13325" s="2" t="str">
        <f>HYPERLINK("http://www.otzar.org/book.asp?612303","וסתות בהלכה")</f>
        <v>וסתות בהלכה</v>
      </c>
    </row>
    <row r="13326" spans="1:6" x14ac:dyDescent="0.2">
      <c r="A13326" t="s">
        <v>22551</v>
      </c>
      <c r="B13326" t="s">
        <v>22552</v>
      </c>
      <c r="C13326" t="s">
        <v>445</v>
      </c>
      <c r="D13326" t="s">
        <v>379</v>
      </c>
      <c r="E13326" t="s">
        <v>579</v>
      </c>
      <c r="F13326" s="2" t="str">
        <f>HYPERLINK("http://www.otzar.org/book.asp?105094","ועבד הלוי")</f>
        <v>ועבד הלוי</v>
      </c>
    </row>
    <row r="13327" spans="1:6" x14ac:dyDescent="0.2">
      <c r="A13327" t="s">
        <v>22553</v>
      </c>
      <c r="B13327" t="s">
        <v>22554</v>
      </c>
      <c r="C13327" t="s">
        <v>111</v>
      </c>
      <c r="D13327" t="s">
        <v>90</v>
      </c>
      <c r="E13327" t="s">
        <v>22555</v>
      </c>
      <c r="F13327" s="2" t="str">
        <f>HYPERLINK("http://www.otzar.org/book.asp?630521","ועבדי דוד -תדפיס")</f>
        <v>ועבדי דוד -תדפיס</v>
      </c>
    </row>
    <row r="13328" spans="1:6" x14ac:dyDescent="0.2">
      <c r="A13328" t="s">
        <v>22556</v>
      </c>
      <c r="B13328" t="s">
        <v>22557</v>
      </c>
      <c r="C13328" t="s">
        <v>244</v>
      </c>
      <c r="D13328" t="s">
        <v>21</v>
      </c>
      <c r="E13328" t="s">
        <v>15</v>
      </c>
      <c r="F13328" s="2" t="str">
        <f>HYPERLINK("http://www.otzar.org/book.asp?601561","ועד הבית בהלכה")</f>
        <v>ועד הבית בהלכה</v>
      </c>
    </row>
    <row r="13329" spans="1:6" x14ac:dyDescent="0.2">
      <c r="A13329" t="s">
        <v>22558</v>
      </c>
      <c r="B13329" t="s">
        <v>22559</v>
      </c>
      <c r="C13329" t="s">
        <v>22560</v>
      </c>
      <c r="D13329" t="s">
        <v>22561</v>
      </c>
      <c r="F13329" s="2" t="str">
        <f>HYPERLINK("http://www.otzar.org/book.asp?613071","ועד היוזם להרחבת משמרת שבת")</f>
        <v>ועד היוזם להרחבת משמרת שבת</v>
      </c>
    </row>
    <row r="13330" spans="1:6" x14ac:dyDescent="0.2">
      <c r="A13330" t="s">
        <v>22562</v>
      </c>
      <c r="B13330" t="s">
        <v>22563</v>
      </c>
      <c r="C13330" t="s">
        <v>37</v>
      </c>
      <c r="D13330" t="s">
        <v>2285</v>
      </c>
      <c r="F13330" s="2" t="str">
        <f>HYPERLINK("http://www.otzar.org/book.asp?608746","ועד הכנה לראש השנה")</f>
        <v>ועד הכנה לראש השנה</v>
      </c>
    </row>
    <row r="13331" spans="1:6" x14ac:dyDescent="0.2">
      <c r="A13331" t="s">
        <v>22564</v>
      </c>
      <c r="B13331" t="s">
        <v>22565</v>
      </c>
      <c r="C13331" t="s">
        <v>492</v>
      </c>
      <c r="D13331" t="s">
        <v>283</v>
      </c>
      <c r="E13331" t="s">
        <v>15</v>
      </c>
      <c r="F13331" s="2" t="str">
        <f>HYPERLINK("http://www.otzar.org/book.asp?52125","ועד חכמים")</f>
        <v>ועד חכמים</v>
      </c>
    </row>
    <row r="13332" spans="1:6" x14ac:dyDescent="0.2">
      <c r="A13332" t="s">
        <v>22566</v>
      </c>
      <c r="B13332" t="s">
        <v>22564</v>
      </c>
      <c r="C13332" t="s">
        <v>18526</v>
      </c>
      <c r="D13332" t="s">
        <v>27</v>
      </c>
      <c r="E13332" t="s">
        <v>202</v>
      </c>
      <c r="F13332" s="2" t="str">
        <f>HYPERLINK("http://www.otzar.org/book.asp?20152","ועד חכמים - א-ב")</f>
        <v>ועד חכמים - א-ב</v>
      </c>
    </row>
    <row r="13333" spans="1:6" x14ac:dyDescent="0.2">
      <c r="A13333" t="s">
        <v>22564</v>
      </c>
      <c r="B13333" t="s">
        <v>22567</v>
      </c>
      <c r="C13333" t="s">
        <v>1706</v>
      </c>
      <c r="D13333" t="s">
        <v>22568</v>
      </c>
      <c r="E13333" t="s">
        <v>202</v>
      </c>
      <c r="F13333" s="2" t="str">
        <f>HYPERLINK("http://www.otzar.org/book.asp?52127","ועד חכמים")</f>
        <v>ועד חכמים</v>
      </c>
    </row>
    <row r="13334" spans="1:6" x14ac:dyDescent="0.2">
      <c r="A13334" t="s">
        <v>22569</v>
      </c>
      <c r="B13334" t="s">
        <v>22570</v>
      </c>
      <c r="C13334" t="s">
        <v>442</v>
      </c>
      <c r="D13334" t="s">
        <v>14</v>
      </c>
      <c r="E13334" t="s">
        <v>119</v>
      </c>
      <c r="F13334" s="2" t="str">
        <f>HYPERLINK("http://www.otzar.org/book.asp?189648","ועד חסדי דוד לעדת הבבלים - מכתבי המלצות")</f>
        <v>ועד חסדי דוד לעדת הבבלים - מכתבי המלצות</v>
      </c>
    </row>
    <row r="13335" spans="1:6" x14ac:dyDescent="0.2">
      <c r="A13335" t="s">
        <v>22571</v>
      </c>
      <c r="B13335" t="s">
        <v>1308</v>
      </c>
      <c r="C13335" t="s">
        <v>1494</v>
      </c>
      <c r="D13335" t="s">
        <v>212</v>
      </c>
      <c r="E13335" t="s">
        <v>104</v>
      </c>
      <c r="F13335" s="2" t="str">
        <f>HYPERLINK("http://www.otzar.org/book.asp?105410","ועד לחכמים - 2 כר'")</f>
        <v>ועד לחכמים - 2 כר'</v>
      </c>
    </row>
    <row r="13336" spans="1:6" x14ac:dyDescent="0.2">
      <c r="A13336" t="s">
        <v>22572</v>
      </c>
      <c r="B13336" t="s">
        <v>22573</v>
      </c>
      <c r="C13336" t="s">
        <v>176</v>
      </c>
      <c r="D13336" t="s">
        <v>52</v>
      </c>
      <c r="E13336" t="s">
        <v>144</v>
      </c>
      <c r="F13336" s="2" t="str">
        <f>HYPERLINK("http://www.otzar.org/book.asp?51107","ועד לחכמים - 7 כר'")</f>
        <v>ועד לחכמים - 7 כר'</v>
      </c>
    </row>
    <row r="13337" spans="1:6" x14ac:dyDescent="0.2">
      <c r="A13337" t="s">
        <v>22574</v>
      </c>
      <c r="B13337" t="s">
        <v>206</v>
      </c>
      <c r="C13337" t="s">
        <v>422</v>
      </c>
      <c r="D13337" t="s">
        <v>52</v>
      </c>
      <c r="E13337" t="s">
        <v>165</v>
      </c>
      <c r="F13337" s="2" t="str">
        <f>HYPERLINK("http://www.otzar.org/book.asp?158699","ועדי חנוכה")</f>
        <v>ועדי חנוכה</v>
      </c>
    </row>
    <row r="13338" spans="1:6" x14ac:dyDescent="0.2">
      <c r="A13338" t="s">
        <v>22575</v>
      </c>
      <c r="B13338" t="s">
        <v>22576</v>
      </c>
      <c r="C13338" t="s">
        <v>146</v>
      </c>
      <c r="D13338" t="s">
        <v>90</v>
      </c>
      <c r="E13338" t="s">
        <v>241</v>
      </c>
      <c r="F13338" s="2" t="str">
        <f>HYPERLINK("http://www.otzar.org/book.asp?168413","ועדים בספר חובת הלבבות שער הבטחון")</f>
        <v>ועדים בספר חובת הלבבות שער הבטחון</v>
      </c>
    </row>
    <row r="13339" spans="1:6" x14ac:dyDescent="0.2">
      <c r="A13339" t="s">
        <v>22577</v>
      </c>
      <c r="B13339" t="s">
        <v>22578</v>
      </c>
      <c r="C13339" t="s">
        <v>23</v>
      </c>
      <c r="D13339" t="s">
        <v>21</v>
      </c>
      <c r="E13339" t="s">
        <v>104</v>
      </c>
      <c r="F13339" s="2" t="str">
        <f>HYPERLINK("http://www.otzar.org/book.asp?195541","ועדים מהרב שלמה הופמן זצ""ל")</f>
        <v>ועדים מהרב שלמה הופמן זצ"ל</v>
      </c>
    </row>
    <row r="13340" spans="1:6" x14ac:dyDescent="0.2">
      <c r="A13340" t="s">
        <v>22579</v>
      </c>
      <c r="B13340" t="s">
        <v>17808</v>
      </c>
      <c r="C13340" t="s">
        <v>13</v>
      </c>
      <c r="D13340" t="s">
        <v>21</v>
      </c>
      <c r="E13340" t="s">
        <v>241</v>
      </c>
      <c r="F13340" s="2" t="str">
        <f>HYPERLINK("http://www.otzar.org/book.asp?193895","ועדים על התפילה")</f>
        <v>ועדים על התפילה</v>
      </c>
    </row>
    <row r="13341" spans="1:6" x14ac:dyDescent="0.2">
      <c r="A13341" t="s">
        <v>22580</v>
      </c>
      <c r="B13341" t="s">
        <v>22581</v>
      </c>
      <c r="C13341" t="s">
        <v>366</v>
      </c>
      <c r="D13341" t="s">
        <v>52</v>
      </c>
      <c r="F13341" s="2" t="str">
        <f>HYPERLINK("http://www.otzar.org/book.asp?611010","ועידת אשרינו - ב")</f>
        <v>ועידת אשרינו - ב</v>
      </c>
    </row>
    <row r="13342" spans="1:6" x14ac:dyDescent="0.2">
      <c r="A13342" t="s">
        <v>22582</v>
      </c>
      <c r="B13342" t="s">
        <v>22583</v>
      </c>
      <c r="C13342" t="s">
        <v>103</v>
      </c>
      <c r="D13342" t="s">
        <v>3560</v>
      </c>
      <c r="E13342" t="s">
        <v>202</v>
      </c>
      <c r="F13342" s="2" t="str">
        <f>HYPERLINK("http://www.otzar.org/book.asp?628744","ועלה האיש")</f>
        <v>ועלה האיש</v>
      </c>
    </row>
    <row r="13343" spans="1:6" x14ac:dyDescent="0.2">
      <c r="A13343" t="s">
        <v>22584</v>
      </c>
      <c r="B13343" t="s">
        <v>22585</v>
      </c>
      <c r="C13343" t="s">
        <v>20</v>
      </c>
      <c r="D13343" t="s">
        <v>90</v>
      </c>
      <c r="F13343" s="2" t="str">
        <f>HYPERLINK("http://www.otzar.org/book.asp?603176","ועלהו לתרופה")</f>
        <v>ועלהו לתרופה</v>
      </c>
    </row>
    <row r="13344" spans="1:6" x14ac:dyDescent="0.2">
      <c r="A13344" t="s">
        <v>22586</v>
      </c>
      <c r="B13344" t="s">
        <v>4201</v>
      </c>
      <c r="C13344" t="s">
        <v>87</v>
      </c>
      <c r="D13344" t="s">
        <v>52</v>
      </c>
      <c r="E13344" t="s">
        <v>714</v>
      </c>
      <c r="F13344" s="2" t="str">
        <f>HYPERLINK("http://www.otzar.org/book.asp?144509","ועמך כולם צדיקים")</f>
        <v>ועמך כולם צדיקים</v>
      </c>
    </row>
    <row r="13345" spans="1:6" x14ac:dyDescent="0.2">
      <c r="A13345" t="s">
        <v>22587</v>
      </c>
      <c r="B13345" t="s">
        <v>22588</v>
      </c>
      <c r="C13345" t="s">
        <v>146</v>
      </c>
      <c r="D13345" t="s">
        <v>14605</v>
      </c>
      <c r="E13345" t="s">
        <v>22589</v>
      </c>
      <c r="F13345" s="2" t="str">
        <f>HYPERLINK("http://www.otzar.org/book.asp?51947","וענפיה ארזי אל &lt;מועדים&gt; - פסח")</f>
        <v>וענפיה ארזי אל &lt;מועדים&gt; - פסח</v>
      </c>
    </row>
    <row r="13346" spans="1:6" x14ac:dyDescent="0.2">
      <c r="A13346" t="s">
        <v>22590</v>
      </c>
      <c r="B13346" t="s">
        <v>22588</v>
      </c>
      <c r="C13346" t="s">
        <v>146</v>
      </c>
      <c r="D13346" t="s">
        <v>14605</v>
      </c>
      <c r="E13346" t="s">
        <v>158</v>
      </c>
      <c r="F13346" s="2" t="str">
        <f>HYPERLINK("http://www.otzar.org/book.asp?52336","וענפיה ארזי אל &lt;עה""ת&gt; - 2 כר'")</f>
        <v>וענפיה ארזי אל &lt;עה"ת&gt; - 2 כר'</v>
      </c>
    </row>
    <row r="13347" spans="1:6" x14ac:dyDescent="0.2">
      <c r="A13347" t="s">
        <v>22591</v>
      </c>
      <c r="B13347" t="s">
        <v>22592</v>
      </c>
      <c r="C13347" t="s">
        <v>492</v>
      </c>
      <c r="D13347" t="s">
        <v>283</v>
      </c>
      <c r="E13347" t="s">
        <v>241</v>
      </c>
      <c r="F13347" s="2" t="str">
        <f>HYPERLINK("http://www.otzar.org/book.asp?168112","וענתה בי צדקתי")</f>
        <v>וענתה בי צדקתי</v>
      </c>
    </row>
    <row r="13348" spans="1:6" x14ac:dyDescent="0.2">
      <c r="A13348" t="s">
        <v>22593</v>
      </c>
      <c r="B13348" t="s">
        <v>11922</v>
      </c>
      <c r="C13348" t="s">
        <v>20</v>
      </c>
      <c r="D13348" t="s">
        <v>118</v>
      </c>
      <c r="E13348" t="s">
        <v>213</v>
      </c>
      <c r="F13348" s="2" t="str">
        <f>HYPERLINK("http://www.otzar.org/book.asp?15381","וענתה השירה הזאת")</f>
        <v>וענתה השירה הזאת</v>
      </c>
    </row>
    <row r="13349" spans="1:6" x14ac:dyDescent="0.2">
      <c r="A13349" t="s">
        <v>22594</v>
      </c>
      <c r="B13349" t="s">
        <v>5611</v>
      </c>
      <c r="C13349" t="s">
        <v>506</v>
      </c>
      <c r="D13349" t="s">
        <v>1889</v>
      </c>
      <c r="E13349" t="s">
        <v>104</v>
      </c>
      <c r="F13349" s="2" t="str">
        <f>HYPERLINK("http://www.otzar.org/book.asp?52135","וערך הכהן")</f>
        <v>וערך הכהן</v>
      </c>
    </row>
    <row r="13350" spans="1:6" x14ac:dyDescent="0.2">
      <c r="A13350" t="s">
        <v>22595</v>
      </c>
      <c r="B13350" t="s">
        <v>10077</v>
      </c>
      <c r="C13350" t="s">
        <v>114</v>
      </c>
      <c r="D13350" t="s">
        <v>14</v>
      </c>
      <c r="E13350" t="s">
        <v>104</v>
      </c>
      <c r="F13350" s="2" t="str">
        <f>HYPERLINK("http://www.otzar.org/book.asp?163716","ועשו לי מקדש - המשכן וכליו ובגדי כהונה")</f>
        <v>ועשו לי מקדש - המשכן וכליו ובגדי כהונה</v>
      </c>
    </row>
    <row r="13351" spans="1:6" x14ac:dyDescent="0.2">
      <c r="A13351" t="s">
        <v>22596</v>
      </c>
      <c r="B13351" t="s">
        <v>19768</v>
      </c>
      <c r="C13351" t="s">
        <v>17</v>
      </c>
      <c r="D13351" t="s">
        <v>52</v>
      </c>
      <c r="E13351" t="s">
        <v>15</v>
      </c>
      <c r="F13351" s="2" t="str">
        <f>HYPERLINK("http://www.otzar.org/book.asp?159287","ועשית מעקה")</f>
        <v>ועשית מעקה</v>
      </c>
    </row>
    <row r="13352" spans="1:6" x14ac:dyDescent="0.2">
      <c r="A13352" t="s">
        <v>22597</v>
      </c>
      <c r="B13352" t="s">
        <v>206</v>
      </c>
      <c r="C13352" t="s">
        <v>151</v>
      </c>
      <c r="D13352" t="s">
        <v>1974</v>
      </c>
      <c r="E13352" t="s">
        <v>202</v>
      </c>
      <c r="F13352" s="2" t="str">
        <f>HYPERLINK("http://www.otzar.org/book.asp?629779","ועתה כתבו לכם - הלכות שבת ויום טוב")</f>
        <v>ועתה כתבו לכם - הלכות שבת ויום טוב</v>
      </c>
    </row>
    <row r="13353" spans="1:6" x14ac:dyDescent="0.2">
      <c r="A13353" t="s">
        <v>22598</v>
      </c>
      <c r="B13353" t="s">
        <v>22599</v>
      </c>
      <c r="C13353" t="s">
        <v>454</v>
      </c>
      <c r="D13353" t="s">
        <v>52</v>
      </c>
      <c r="E13353" t="s">
        <v>768</v>
      </c>
      <c r="F13353" s="2" t="str">
        <f>HYPERLINK("http://www.otzar.org/book.asp?164018","ועתה כתבו לכם")</f>
        <v>ועתה כתבו לכם</v>
      </c>
    </row>
    <row r="13354" spans="1:6" x14ac:dyDescent="0.2">
      <c r="A13354" t="s">
        <v>22600</v>
      </c>
      <c r="B13354" t="s">
        <v>1402</v>
      </c>
      <c r="C13354" t="s">
        <v>624</v>
      </c>
      <c r="D13354" t="s">
        <v>52</v>
      </c>
      <c r="E13354" t="s">
        <v>15</v>
      </c>
      <c r="F13354" s="2" t="str">
        <f>HYPERLINK("http://www.otzar.org/book.asp?157865","ועתה כתבו")</f>
        <v>ועתה כתבו</v>
      </c>
    </row>
    <row r="13355" spans="1:6" x14ac:dyDescent="0.2">
      <c r="A13355" t="s">
        <v>22601</v>
      </c>
      <c r="B13355" t="s">
        <v>15230</v>
      </c>
      <c r="C13355" t="s">
        <v>422</v>
      </c>
      <c r="D13355" t="s">
        <v>2909</v>
      </c>
      <c r="E13355" t="s">
        <v>148</v>
      </c>
      <c r="F13355" s="2" t="str">
        <f>HYPERLINK("http://www.otzar.org/book.asp?157945","ועתה כתבו - כתיבת ספר תורה")</f>
        <v>ועתה כתבו - כתיבת ספר תורה</v>
      </c>
    </row>
    <row r="13356" spans="1:6" x14ac:dyDescent="0.2">
      <c r="A13356" t="s">
        <v>22602</v>
      </c>
      <c r="B13356" t="s">
        <v>1681</v>
      </c>
      <c r="C13356" t="s">
        <v>244</v>
      </c>
      <c r="D13356" t="s">
        <v>80</v>
      </c>
      <c r="E13356" t="s">
        <v>104</v>
      </c>
      <c r="F13356" s="2" t="str">
        <f>HYPERLINK("http://www.otzar.org/book.asp?606826","ועתה לשון תשובה")</f>
        <v>ועתה לשון תשובה</v>
      </c>
    </row>
    <row r="13357" spans="1:6" x14ac:dyDescent="0.2">
      <c r="A13357" t="s">
        <v>22603</v>
      </c>
      <c r="B13357" t="s">
        <v>22604</v>
      </c>
      <c r="C13357" t="s">
        <v>51</v>
      </c>
      <c r="D13357" t="s">
        <v>21</v>
      </c>
      <c r="E13357" t="s">
        <v>154</v>
      </c>
      <c r="F13357" s="2" t="str">
        <f>HYPERLINK("http://www.otzar.org/book.asp?193067","ופדויי ה' ישובון")</f>
        <v>ופדויי ה' ישובון</v>
      </c>
    </row>
    <row r="13358" spans="1:6" x14ac:dyDescent="0.2">
      <c r="A13358" t="s">
        <v>22605</v>
      </c>
      <c r="B13358" t="s">
        <v>12463</v>
      </c>
      <c r="C13358" t="s">
        <v>68</v>
      </c>
      <c r="D13358" t="s">
        <v>90</v>
      </c>
      <c r="E13358" t="s">
        <v>15</v>
      </c>
      <c r="F13358" s="2" t="str">
        <f>HYPERLINK("http://www.otzar.org/book.asp?172845","ופקדת נוך")</f>
        <v>ופקדת נוך</v>
      </c>
    </row>
    <row r="13359" spans="1:6" x14ac:dyDescent="0.2">
      <c r="A13359" t="s">
        <v>22606</v>
      </c>
      <c r="B13359" t="s">
        <v>3865</v>
      </c>
      <c r="C13359" t="s">
        <v>68</v>
      </c>
      <c r="D13359" t="s">
        <v>14</v>
      </c>
      <c r="E13359" t="s">
        <v>104</v>
      </c>
      <c r="F13359" s="2" t="str">
        <f>HYPERLINK("http://www.otzar.org/book.asp?161867","וצבי עדיו")</f>
        <v>וצבי עדיו</v>
      </c>
    </row>
    <row r="13360" spans="1:6" x14ac:dyDescent="0.2">
      <c r="A13360" t="s">
        <v>22607</v>
      </c>
      <c r="B13360" t="s">
        <v>2688</v>
      </c>
      <c r="C13360" t="s">
        <v>71</v>
      </c>
      <c r="D13360" t="s">
        <v>412</v>
      </c>
      <c r="E13360" t="s">
        <v>81</v>
      </c>
      <c r="F13360" s="2" t="str">
        <f>HYPERLINK("http://www.otzar.org/book.asp?21716","וצדיק באמונתו יחיה")</f>
        <v>וצדיק באמונתו יחיה</v>
      </c>
    </row>
    <row r="13361" spans="1:6" x14ac:dyDescent="0.2">
      <c r="A13361" t="s">
        <v>22608</v>
      </c>
      <c r="B13361" t="s">
        <v>107</v>
      </c>
      <c r="C13361" t="s">
        <v>313</v>
      </c>
      <c r="D13361" t="s">
        <v>14</v>
      </c>
      <c r="E13361" t="s">
        <v>104</v>
      </c>
      <c r="F13361" s="2" t="str">
        <f>HYPERLINK("http://www.otzar.org/book.asp?6232","וצדקתו עומדת לעד")</f>
        <v>וצדקתו עומדת לעד</v>
      </c>
    </row>
    <row r="13362" spans="1:6" x14ac:dyDescent="0.2">
      <c r="A13362" t="s">
        <v>22609</v>
      </c>
      <c r="B13362" t="s">
        <v>22610</v>
      </c>
      <c r="C13362" t="s">
        <v>20</v>
      </c>
      <c r="D13362" t="s">
        <v>14</v>
      </c>
      <c r="E13362" t="s">
        <v>1296</v>
      </c>
      <c r="F13362" s="2" t="str">
        <f>HYPERLINK("http://www.otzar.org/book.asp?12011","וצוה הכהן - 2 כר'")</f>
        <v>וצוה הכהן - 2 כר'</v>
      </c>
    </row>
    <row r="13363" spans="1:6" x14ac:dyDescent="0.2">
      <c r="A13363" t="s">
        <v>22611</v>
      </c>
      <c r="B13363" t="s">
        <v>22612</v>
      </c>
      <c r="C13363" t="s">
        <v>244</v>
      </c>
      <c r="D13363" t="s">
        <v>21</v>
      </c>
      <c r="E13363" t="s">
        <v>144</v>
      </c>
      <c r="F13363" s="2" t="str">
        <f>HYPERLINK("http://www.otzar.org/book.asp?601478","וקמו נדריה")</f>
        <v>וקמו נדריה</v>
      </c>
    </row>
    <row r="13364" spans="1:6" x14ac:dyDescent="0.2">
      <c r="A13364" t="s">
        <v>22613</v>
      </c>
      <c r="B13364" t="s">
        <v>22614</v>
      </c>
      <c r="C13364" t="s">
        <v>20</v>
      </c>
      <c r="D13364" t="s">
        <v>14</v>
      </c>
      <c r="E13364" t="s">
        <v>104</v>
      </c>
      <c r="F13364" s="2" t="str">
        <f>HYPERLINK("http://www.otzar.org/book.asp?169121","וקמת ועלית - ב")</f>
        <v>וקמת ועלית - ב</v>
      </c>
    </row>
    <row r="13365" spans="1:6" x14ac:dyDescent="0.2">
      <c r="A13365" t="s">
        <v>22615</v>
      </c>
      <c r="B13365" t="s">
        <v>5034</v>
      </c>
      <c r="C13365" t="s">
        <v>442</v>
      </c>
      <c r="D13365" t="s">
        <v>27</v>
      </c>
      <c r="E13365" t="s">
        <v>119</v>
      </c>
      <c r="F13365" s="2" t="str">
        <f>HYPERLINK("http://www.otzar.org/book.asp?160424","וקמת ועלית")</f>
        <v>וקמת ועלית</v>
      </c>
    </row>
    <row r="13366" spans="1:6" x14ac:dyDescent="0.2">
      <c r="A13366" t="s">
        <v>22616</v>
      </c>
      <c r="B13366" t="s">
        <v>22617</v>
      </c>
      <c r="C13366" t="s">
        <v>146</v>
      </c>
      <c r="D13366" t="s">
        <v>1974</v>
      </c>
      <c r="E13366" t="s">
        <v>22618</v>
      </c>
      <c r="F13366" s="2" t="str">
        <f>HYPERLINK("http://www.otzar.org/book.asp?142813","וקנה לך חבר")</f>
        <v>וקנה לך חבר</v>
      </c>
    </row>
    <row r="13367" spans="1:6" x14ac:dyDescent="0.2">
      <c r="A13367" t="s">
        <v>22616</v>
      </c>
      <c r="B13367" t="s">
        <v>6667</v>
      </c>
      <c r="C13367" t="s">
        <v>366</v>
      </c>
      <c r="E13367" t="s">
        <v>104</v>
      </c>
      <c r="F13367" s="2" t="str">
        <f>HYPERLINK("http://www.otzar.org/book.asp?606424","וקנה לך חבר")</f>
        <v>וקנה לך חבר</v>
      </c>
    </row>
    <row r="13368" spans="1:6" x14ac:dyDescent="0.2">
      <c r="A13368" t="s">
        <v>22619</v>
      </c>
      <c r="B13368" t="s">
        <v>1750</v>
      </c>
      <c r="C13368" t="s">
        <v>189</v>
      </c>
      <c r="D13368" t="s">
        <v>1974</v>
      </c>
      <c r="E13368" t="s">
        <v>202</v>
      </c>
      <c r="F13368" s="2" t="str">
        <f>HYPERLINK("http://www.otzar.org/book.asp?52536","וקנה לך חבר - שנה ה")</f>
        <v>וקנה לך חבר - שנה ה</v>
      </c>
    </row>
    <row r="13369" spans="1:6" x14ac:dyDescent="0.2">
      <c r="A13369" t="s">
        <v>22620</v>
      </c>
      <c r="B13369" t="s">
        <v>9187</v>
      </c>
      <c r="C13369" t="s">
        <v>20</v>
      </c>
      <c r="D13369" t="s">
        <v>52</v>
      </c>
      <c r="E13369" t="s">
        <v>15</v>
      </c>
      <c r="F13369" s="2" t="str">
        <f>HYPERLINK("http://www.otzar.org/book.asp?50311","וקראת לשבת עונג - 2 כר'")</f>
        <v>וקראת לשבת עונג - 2 כר'</v>
      </c>
    </row>
    <row r="13370" spans="1:6" x14ac:dyDescent="0.2">
      <c r="A13370" t="s">
        <v>22621</v>
      </c>
      <c r="B13370" t="s">
        <v>3768</v>
      </c>
      <c r="C13370" t="s">
        <v>23</v>
      </c>
      <c r="D13370" t="s">
        <v>14</v>
      </c>
      <c r="E13370" t="s">
        <v>15</v>
      </c>
      <c r="F13370" s="2" t="str">
        <f>HYPERLINK("http://www.otzar.org/book.asp?189866","וקרבה שנת השבע")</f>
        <v>וקרבה שנת השבע</v>
      </c>
    </row>
    <row r="13371" spans="1:6" x14ac:dyDescent="0.2">
      <c r="A13371" t="s">
        <v>22622</v>
      </c>
      <c r="B13371" t="s">
        <v>8929</v>
      </c>
      <c r="C13371" t="s">
        <v>103</v>
      </c>
      <c r="D13371" t="s">
        <v>14</v>
      </c>
      <c r="E13371" t="s">
        <v>15</v>
      </c>
      <c r="F13371" s="2" t="str">
        <f>HYPERLINK("http://www.otzar.org/book.asp?156644","וקשרתם לאות")</f>
        <v>וקשרתם לאות</v>
      </c>
    </row>
    <row r="13372" spans="1:6" x14ac:dyDescent="0.2">
      <c r="A13372" t="s">
        <v>22623</v>
      </c>
      <c r="B13372" t="s">
        <v>206</v>
      </c>
      <c r="C13372" t="s">
        <v>523</v>
      </c>
      <c r="D13372" t="s">
        <v>14</v>
      </c>
      <c r="E13372" t="s">
        <v>15</v>
      </c>
      <c r="F13372" s="2" t="str">
        <f>HYPERLINK("http://www.otzar.org/book.asp?160984","וראיתם אותו")</f>
        <v>וראיתם אותו</v>
      </c>
    </row>
    <row r="13373" spans="1:6" x14ac:dyDescent="0.2">
      <c r="A13373" t="s">
        <v>22624</v>
      </c>
      <c r="B13373" t="s">
        <v>9043</v>
      </c>
      <c r="C13373" t="s">
        <v>68</v>
      </c>
      <c r="D13373" t="s">
        <v>90</v>
      </c>
      <c r="E13373" t="s">
        <v>158</v>
      </c>
      <c r="F13373" s="2" t="str">
        <f>HYPERLINK("http://www.otzar.org/book.asp?160096","ורוח על פני המים")</f>
        <v>ורוח על פני המים</v>
      </c>
    </row>
    <row r="13374" spans="1:6" x14ac:dyDescent="0.2">
      <c r="A13374" t="s">
        <v>22625</v>
      </c>
      <c r="B13374" t="s">
        <v>1750</v>
      </c>
      <c r="C13374" t="s">
        <v>151</v>
      </c>
      <c r="D13374" t="s">
        <v>14</v>
      </c>
      <c r="F13374" s="2" t="str">
        <f>HYPERLINK("http://www.otzar.org/book.asp?616461","ורוממתנו")</f>
        <v>ורוממתנו</v>
      </c>
    </row>
    <row r="13375" spans="1:6" x14ac:dyDescent="0.2">
      <c r="A13375" t="s">
        <v>22626</v>
      </c>
      <c r="B13375" t="s">
        <v>107</v>
      </c>
      <c r="C13375" t="s">
        <v>22627</v>
      </c>
      <c r="D13375" t="s">
        <v>14</v>
      </c>
      <c r="E13375" t="s">
        <v>714</v>
      </c>
      <c r="F13375" s="2" t="str">
        <f>HYPERLINK("http://www.otzar.org/book.asp?164054","ורחמיו על כל מעשיו")</f>
        <v>ורחמיו על כל מעשיו</v>
      </c>
    </row>
    <row r="13376" spans="1:6" x14ac:dyDescent="0.2">
      <c r="A13376" t="s">
        <v>22628</v>
      </c>
      <c r="B13376" t="s">
        <v>6590</v>
      </c>
      <c r="C13376" t="s">
        <v>37</v>
      </c>
      <c r="D13376" t="s">
        <v>115</v>
      </c>
      <c r="F13376" s="2" t="str">
        <f>HYPERLINK("http://www.otzar.org/book.asp?197373","ורעה אמונה")</f>
        <v>ורעה אמונה</v>
      </c>
    </row>
    <row r="13377" spans="1:6" x14ac:dyDescent="0.2">
      <c r="A13377" t="s">
        <v>22629</v>
      </c>
      <c r="B13377" t="s">
        <v>552</v>
      </c>
      <c r="C13377" t="s">
        <v>22630</v>
      </c>
      <c r="D13377" t="s">
        <v>14</v>
      </c>
      <c r="E13377" t="s">
        <v>384</v>
      </c>
      <c r="F13377" s="2" t="str">
        <f>HYPERLINK("http://www.otzar.org/book.asp?13521","ורפא ירפא [לוי]")</f>
        <v>ורפא ירפא [לוי]</v>
      </c>
    </row>
    <row r="13378" spans="1:6" x14ac:dyDescent="0.2">
      <c r="A13378" t="s">
        <v>22631</v>
      </c>
      <c r="B13378" t="s">
        <v>5305</v>
      </c>
      <c r="C13378" t="s">
        <v>20</v>
      </c>
      <c r="D13378" t="s">
        <v>52</v>
      </c>
      <c r="E13378" t="s">
        <v>104</v>
      </c>
      <c r="F13378" s="2" t="str">
        <f>HYPERLINK("http://www.otzar.org/book.asp?629379","ורפא ירפא")</f>
        <v>ורפא ירפא</v>
      </c>
    </row>
    <row r="13379" spans="1:6" x14ac:dyDescent="0.2">
      <c r="A13379" t="s">
        <v>22632</v>
      </c>
      <c r="B13379" t="s">
        <v>19311</v>
      </c>
      <c r="C13379" t="s">
        <v>20</v>
      </c>
      <c r="D13379" t="s">
        <v>90</v>
      </c>
      <c r="F13379" s="2" t="str">
        <f>HYPERLINK("http://www.otzar.org/book.asp?609578","ורצית שבח")</f>
        <v>ורצית שבח</v>
      </c>
    </row>
    <row r="13380" spans="1:6" x14ac:dyDescent="0.2">
      <c r="A13380" t="s">
        <v>22633</v>
      </c>
      <c r="B13380" t="s">
        <v>16107</v>
      </c>
      <c r="C13380" t="s">
        <v>1208</v>
      </c>
      <c r="D13380" t="s">
        <v>52</v>
      </c>
      <c r="E13380" t="s">
        <v>154</v>
      </c>
      <c r="F13380" s="2" t="str">
        <f>HYPERLINK("http://www.otzar.org/book.asp?194953","ושב הכהן &lt;מהדורה חדשה&gt;")</f>
        <v>ושב הכהן &lt;מהדורה חדשה&gt;</v>
      </c>
    </row>
    <row r="13381" spans="1:6" x14ac:dyDescent="0.2">
      <c r="A13381" t="s">
        <v>22634</v>
      </c>
      <c r="B13381" t="s">
        <v>16107</v>
      </c>
      <c r="C13381" t="s">
        <v>4266</v>
      </c>
      <c r="D13381" t="s">
        <v>42</v>
      </c>
      <c r="E13381" t="s">
        <v>154</v>
      </c>
      <c r="F13381" s="2" t="str">
        <f>HYPERLINK("http://www.otzar.org/book.asp?102792","ושב הכהן &lt;שו""ת&gt;")</f>
        <v>ושב הכהן &lt;שו"ת&gt;</v>
      </c>
    </row>
    <row r="13382" spans="1:6" x14ac:dyDescent="0.2">
      <c r="A13382" t="s">
        <v>22635</v>
      </c>
      <c r="B13382" t="s">
        <v>10219</v>
      </c>
      <c r="C13382" t="s">
        <v>11298</v>
      </c>
      <c r="D13382" t="s">
        <v>212</v>
      </c>
      <c r="E13382" t="s">
        <v>399</v>
      </c>
      <c r="F13382" s="2" t="str">
        <f>HYPERLINK("http://www.otzar.org/book.asp?102995","ושב הכהן")</f>
        <v>ושב הכהן</v>
      </c>
    </row>
    <row r="13383" spans="1:6" x14ac:dyDescent="0.2">
      <c r="A13383" t="s">
        <v>22635</v>
      </c>
      <c r="B13383" t="s">
        <v>22636</v>
      </c>
      <c r="C13383" t="s">
        <v>1177</v>
      </c>
      <c r="D13383" t="s">
        <v>283</v>
      </c>
      <c r="E13383" t="s">
        <v>1211</v>
      </c>
      <c r="F13383" s="2" t="str">
        <f>HYPERLINK("http://www.otzar.org/book.asp?104826","ושב הכהן")</f>
        <v>ושב הכהן</v>
      </c>
    </row>
    <row r="13384" spans="1:6" x14ac:dyDescent="0.2">
      <c r="A13384" t="s">
        <v>22637</v>
      </c>
      <c r="B13384" t="s">
        <v>22638</v>
      </c>
      <c r="C13384" t="s">
        <v>87</v>
      </c>
      <c r="D13384" t="s">
        <v>9909</v>
      </c>
      <c r="E13384" t="s">
        <v>474</v>
      </c>
      <c r="F13384" s="2" t="str">
        <f>HYPERLINK("http://www.otzar.org/book.asp?153789","ושב ורפא לו")</f>
        <v>ושב ורפא לו</v>
      </c>
    </row>
    <row r="13385" spans="1:6" x14ac:dyDescent="0.2">
      <c r="A13385" t="s">
        <v>22639</v>
      </c>
      <c r="B13385" t="s">
        <v>22640</v>
      </c>
      <c r="C13385" t="s">
        <v>1208</v>
      </c>
      <c r="D13385" t="s">
        <v>14</v>
      </c>
      <c r="E13385" t="s">
        <v>154</v>
      </c>
      <c r="F13385" s="2" t="str">
        <f>HYPERLINK("http://www.otzar.org/book.asp?172311","ושב ורפא - 4 כר'")</f>
        <v>ושב ורפא - 4 כר'</v>
      </c>
    </row>
    <row r="13386" spans="1:6" x14ac:dyDescent="0.2">
      <c r="A13386" t="s">
        <v>22641</v>
      </c>
      <c r="B13386" t="s">
        <v>22642</v>
      </c>
      <c r="C13386" t="s">
        <v>2140</v>
      </c>
      <c r="D13386" t="s">
        <v>212</v>
      </c>
      <c r="E13386" t="s">
        <v>803</v>
      </c>
      <c r="F13386" s="2" t="str">
        <f>HYPERLINK("http://www.otzar.org/book.asp?18715","ושבועתו ליצחק")</f>
        <v>ושבועתו ליצחק</v>
      </c>
    </row>
    <row r="13387" spans="1:6" x14ac:dyDescent="0.2">
      <c r="A13387" t="s">
        <v>22641</v>
      </c>
      <c r="B13387" t="s">
        <v>1750</v>
      </c>
      <c r="C13387" t="s">
        <v>422</v>
      </c>
      <c r="D13387" t="s">
        <v>2798</v>
      </c>
      <c r="E13387" t="s">
        <v>202</v>
      </c>
      <c r="F13387" s="2" t="str">
        <f>HYPERLINK("http://www.otzar.org/book.asp?160916","ושבועתו ליצחק")</f>
        <v>ושבועתו ליצחק</v>
      </c>
    </row>
    <row r="13388" spans="1:6" x14ac:dyDescent="0.2">
      <c r="A13388" t="s">
        <v>22643</v>
      </c>
      <c r="B13388" t="s">
        <v>2074</v>
      </c>
      <c r="C13388" t="s">
        <v>17</v>
      </c>
      <c r="D13388" t="s">
        <v>14</v>
      </c>
      <c r="E13388" t="s">
        <v>399</v>
      </c>
      <c r="F13388" s="2" t="str">
        <f>HYPERLINK("http://www.otzar.org/book.asp?61467","ושבתה הארץ")</f>
        <v>ושבתה הארץ</v>
      </c>
    </row>
    <row r="13389" spans="1:6" x14ac:dyDescent="0.2">
      <c r="A13389" t="s">
        <v>22643</v>
      </c>
      <c r="B13389" t="s">
        <v>22644</v>
      </c>
      <c r="C13389" t="s">
        <v>20</v>
      </c>
      <c r="D13389" t="s">
        <v>90</v>
      </c>
      <c r="E13389" t="s">
        <v>15</v>
      </c>
      <c r="F13389" s="2" t="str">
        <f>HYPERLINK("http://www.otzar.org/book.asp?62782","ושבתה הארץ")</f>
        <v>ושבתה הארץ</v>
      </c>
    </row>
    <row r="13390" spans="1:6" x14ac:dyDescent="0.2">
      <c r="A13390" t="s">
        <v>22643</v>
      </c>
      <c r="B13390" t="s">
        <v>6871</v>
      </c>
      <c r="C13390" t="s">
        <v>20</v>
      </c>
      <c r="D13390" t="s">
        <v>1153</v>
      </c>
      <c r="F13390" s="2" t="str">
        <f>HYPERLINK("http://www.otzar.org/book.asp?198775","ושבתה הארץ")</f>
        <v>ושבתה הארץ</v>
      </c>
    </row>
    <row r="13391" spans="1:6" x14ac:dyDescent="0.2">
      <c r="A13391" t="s">
        <v>22645</v>
      </c>
      <c r="B13391" t="s">
        <v>5941</v>
      </c>
      <c r="C13391" t="s">
        <v>151</v>
      </c>
      <c r="D13391" t="s">
        <v>118</v>
      </c>
      <c r="E13391" t="s">
        <v>15</v>
      </c>
      <c r="F13391" s="2" t="str">
        <f>HYPERLINK("http://www.otzar.org/book.asp?620502","ושבתה הארץ - 2 כר'")</f>
        <v>ושבתה הארץ - 2 כר'</v>
      </c>
    </row>
    <row r="13392" spans="1:6" x14ac:dyDescent="0.2">
      <c r="A13392" t="s">
        <v>22643</v>
      </c>
      <c r="B13392" t="s">
        <v>22646</v>
      </c>
      <c r="C13392" t="s">
        <v>17</v>
      </c>
      <c r="D13392" t="s">
        <v>14</v>
      </c>
      <c r="E13392" t="s">
        <v>3489</v>
      </c>
      <c r="F13392" s="2" t="str">
        <f>HYPERLINK("http://www.otzar.org/book.asp?84220","ושבתה הארץ")</f>
        <v>ושבתה הארץ</v>
      </c>
    </row>
    <row r="13393" spans="1:6" x14ac:dyDescent="0.2">
      <c r="A13393" t="s">
        <v>22647</v>
      </c>
      <c r="B13393" t="s">
        <v>5634</v>
      </c>
      <c r="C13393" t="s">
        <v>103</v>
      </c>
      <c r="D13393" t="s">
        <v>52</v>
      </c>
      <c r="E13393" t="s">
        <v>213</v>
      </c>
      <c r="F13393" s="2" t="str">
        <f>HYPERLINK("http://www.otzar.org/book.asp?61897","ושומר תורה אשרהו")</f>
        <v>ושומר תורה אשרהו</v>
      </c>
    </row>
    <row r="13394" spans="1:6" x14ac:dyDescent="0.2">
      <c r="A13394" t="s">
        <v>22648</v>
      </c>
      <c r="B13394" t="s">
        <v>22649</v>
      </c>
      <c r="C13394" t="s">
        <v>619</v>
      </c>
      <c r="D13394" t="s">
        <v>27</v>
      </c>
      <c r="E13394" t="s">
        <v>15</v>
      </c>
      <c r="F13394" s="2" t="str">
        <f>HYPERLINK("http://www.otzar.org/book.asp?165195","ושחטתם בזה")</f>
        <v>ושחטתם בזה</v>
      </c>
    </row>
    <row r="13395" spans="1:6" x14ac:dyDescent="0.2">
      <c r="A13395" t="s">
        <v>22650</v>
      </c>
      <c r="B13395" t="s">
        <v>5564</v>
      </c>
      <c r="C13395" t="s">
        <v>523</v>
      </c>
      <c r="D13395" t="s">
        <v>14</v>
      </c>
      <c r="E13395" t="s">
        <v>714</v>
      </c>
      <c r="F13395" s="2" t="str">
        <f>HYPERLINK("http://www.otzar.org/book.asp?159424","ושכנתי בתוכם")</f>
        <v>ושכנתי בתוכם</v>
      </c>
    </row>
    <row r="13396" spans="1:6" x14ac:dyDescent="0.2">
      <c r="A13396" t="s">
        <v>22650</v>
      </c>
      <c r="B13396" t="s">
        <v>22651</v>
      </c>
      <c r="C13396" t="s">
        <v>244</v>
      </c>
      <c r="D13396" t="s">
        <v>118</v>
      </c>
      <c r="E13396" t="s">
        <v>15</v>
      </c>
      <c r="F13396" s="2" t="str">
        <f>HYPERLINK("http://www.otzar.org/book.asp?623976","ושכנתי בתוכם")</f>
        <v>ושכנתי בתוכם</v>
      </c>
    </row>
    <row r="13397" spans="1:6" x14ac:dyDescent="0.2">
      <c r="A13397" t="s">
        <v>22650</v>
      </c>
      <c r="B13397" t="s">
        <v>10750</v>
      </c>
      <c r="C13397" t="s">
        <v>68</v>
      </c>
      <c r="D13397" t="s">
        <v>412</v>
      </c>
      <c r="F13397" s="2" t="str">
        <f>HYPERLINK("http://www.otzar.org/book.asp?621442","ושכנתי בתוכם")</f>
        <v>ושכנתי בתוכם</v>
      </c>
    </row>
    <row r="13398" spans="1:6" x14ac:dyDescent="0.2">
      <c r="A13398" t="s">
        <v>22652</v>
      </c>
      <c r="B13398" t="s">
        <v>22653</v>
      </c>
      <c r="C13398" t="s">
        <v>20</v>
      </c>
      <c r="D13398" t="s">
        <v>9658</v>
      </c>
      <c r="E13398" t="s">
        <v>1262</v>
      </c>
      <c r="F13398" s="2" t="str">
        <f>HYPERLINK("http://www.otzar.org/book.asp?189443","ושם אשה גדולה")</f>
        <v>ושם אשה גדולה</v>
      </c>
    </row>
    <row r="13399" spans="1:6" x14ac:dyDescent="0.2">
      <c r="A13399" t="s">
        <v>22652</v>
      </c>
      <c r="B13399" t="s">
        <v>22654</v>
      </c>
      <c r="C13399" t="s">
        <v>103</v>
      </c>
      <c r="D13399" t="s">
        <v>52</v>
      </c>
      <c r="E13399" t="s">
        <v>3790</v>
      </c>
      <c r="F13399" s="2" t="str">
        <f>HYPERLINK("http://www.otzar.org/book.asp?190746","ושם אשה גדולה")</f>
        <v>ושם אשה גדולה</v>
      </c>
    </row>
    <row r="13400" spans="1:6" x14ac:dyDescent="0.2">
      <c r="A13400" t="s">
        <v>22655</v>
      </c>
      <c r="B13400" t="s">
        <v>22656</v>
      </c>
      <c r="C13400" t="s">
        <v>20</v>
      </c>
      <c r="D13400" t="s">
        <v>21</v>
      </c>
      <c r="E13400" t="s">
        <v>5392</v>
      </c>
      <c r="F13400" s="2" t="str">
        <f>HYPERLINK("http://www.otzar.org/book.asp?196801","ושמואל בקוראי שמו")</f>
        <v>ושמואל בקוראי שמו</v>
      </c>
    </row>
    <row r="13401" spans="1:6" x14ac:dyDescent="0.2">
      <c r="A13401" t="s">
        <v>22657</v>
      </c>
      <c r="B13401" t="s">
        <v>22658</v>
      </c>
      <c r="C13401" t="s">
        <v>20</v>
      </c>
      <c r="D13401" t="s">
        <v>52</v>
      </c>
      <c r="E13401" t="s">
        <v>119</v>
      </c>
      <c r="F13401" s="2" t="str">
        <f>HYPERLINK("http://www.otzar.org/book.asp?626241","ושמואל בקראי שמו")</f>
        <v>ושמואל בקראי שמו</v>
      </c>
    </row>
    <row r="13402" spans="1:6" x14ac:dyDescent="0.2">
      <c r="A13402" t="s">
        <v>22659</v>
      </c>
      <c r="B13402" t="s">
        <v>4398</v>
      </c>
      <c r="C13402" t="s">
        <v>20</v>
      </c>
      <c r="D13402" t="s">
        <v>216</v>
      </c>
      <c r="E13402" t="s">
        <v>158</v>
      </c>
      <c r="F13402" s="2" t="str">
        <f>HYPERLINK("http://www.otzar.org/book.asp?61437","ושמח בלבו")</f>
        <v>ושמח בלבו</v>
      </c>
    </row>
    <row r="13403" spans="1:6" x14ac:dyDescent="0.2">
      <c r="A13403" t="s">
        <v>22660</v>
      </c>
      <c r="B13403" t="s">
        <v>7485</v>
      </c>
      <c r="C13403" t="s">
        <v>143</v>
      </c>
      <c r="D13403" t="s">
        <v>14</v>
      </c>
      <c r="E13403" t="s">
        <v>246</v>
      </c>
      <c r="F13403" s="2" t="str">
        <f>HYPERLINK("http://www.otzar.org/book.asp?64014","ושמחת בחגך")</f>
        <v>ושמחת בחגך</v>
      </c>
    </row>
    <row r="13404" spans="1:6" x14ac:dyDescent="0.2">
      <c r="A13404" t="s">
        <v>22661</v>
      </c>
      <c r="B13404" t="s">
        <v>22662</v>
      </c>
      <c r="C13404" t="s">
        <v>189</v>
      </c>
      <c r="D13404" t="s">
        <v>118</v>
      </c>
      <c r="E13404" t="s">
        <v>119</v>
      </c>
      <c r="F13404" s="2" t="str">
        <f>HYPERLINK("http://www.otzar.org/book.asp?170496","ושמחת בחייך")</f>
        <v>ושמחת בחייך</v>
      </c>
    </row>
    <row r="13405" spans="1:6" x14ac:dyDescent="0.2">
      <c r="A13405" t="s">
        <v>22661</v>
      </c>
      <c r="B13405" t="s">
        <v>22663</v>
      </c>
      <c r="C13405" t="s">
        <v>151</v>
      </c>
      <c r="D13405" t="s">
        <v>90</v>
      </c>
      <c r="E13405" t="s">
        <v>241</v>
      </c>
      <c r="F13405" s="2" t="str">
        <f>HYPERLINK("http://www.otzar.org/book.asp?625860","ושמחת בחייך")</f>
        <v>ושמחת בחייך</v>
      </c>
    </row>
    <row r="13406" spans="1:6" x14ac:dyDescent="0.2">
      <c r="A13406" t="s">
        <v>22664</v>
      </c>
      <c r="B13406" t="s">
        <v>22665</v>
      </c>
      <c r="C13406" t="s">
        <v>244</v>
      </c>
      <c r="D13406" t="s">
        <v>14</v>
      </c>
      <c r="E13406" t="s">
        <v>130</v>
      </c>
      <c r="F13406" s="2" t="str">
        <f>HYPERLINK("http://www.otzar.org/book.asp?621634","ושמחת בכל הטוב")</f>
        <v>ושמחת בכל הטוב</v>
      </c>
    </row>
    <row r="13407" spans="1:6" x14ac:dyDescent="0.2">
      <c r="A13407" t="s">
        <v>22664</v>
      </c>
      <c r="B13407" t="s">
        <v>4991</v>
      </c>
      <c r="C13407" t="s">
        <v>146</v>
      </c>
      <c r="D13407" t="s">
        <v>14</v>
      </c>
      <c r="E13407" t="s">
        <v>241</v>
      </c>
      <c r="F13407" s="2" t="str">
        <f>HYPERLINK("http://www.otzar.org/book.asp?166015","ושמחת בכל הטוב")</f>
        <v>ושמחת בכל הטוב</v>
      </c>
    </row>
    <row r="13408" spans="1:6" x14ac:dyDescent="0.2">
      <c r="A13408" t="s">
        <v>22664</v>
      </c>
      <c r="B13408" t="s">
        <v>22666</v>
      </c>
      <c r="C13408" t="s">
        <v>20</v>
      </c>
      <c r="D13408" t="s">
        <v>90</v>
      </c>
      <c r="F13408" s="2" t="str">
        <f>HYPERLINK("http://www.otzar.org/book.asp?609779","ושמחת בכל הטוב")</f>
        <v>ושמחת בכל הטוב</v>
      </c>
    </row>
    <row r="13409" spans="1:6" x14ac:dyDescent="0.2">
      <c r="A13409" t="s">
        <v>22667</v>
      </c>
      <c r="B13409" t="s">
        <v>20862</v>
      </c>
      <c r="C13409" t="s">
        <v>422</v>
      </c>
      <c r="D13409" t="s">
        <v>52</v>
      </c>
      <c r="E13409" t="s">
        <v>241</v>
      </c>
      <c r="F13409" s="2" t="str">
        <f>HYPERLINK("http://www.otzar.org/book.asp?159605","ושמרו לעשות")</f>
        <v>ושמרו לעשות</v>
      </c>
    </row>
    <row r="13410" spans="1:6" x14ac:dyDescent="0.2">
      <c r="A13410" t="s">
        <v>22668</v>
      </c>
      <c r="B13410" t="s">
        <v>22669</v>
      </c>
      <c r="C13410" t="s">
        <v>111</v>
      </c>
      <c r="D13410" t="s">
        <v>52</v>
      </c>
      <c r="E13410" t="s">
        <v>144</v>
      </c>
      <c r="F13410" s="2" t="str">
        <f>HYPERLINK("http://www.otzar.org/book.asp?627400","ושמרו - ג")</f>
        <v>ושמרו - ג</v>
      </c>
    </row>
    <row r="13411" spans="1:6" x14ac:dyDescent="0.2">
      <c r="A13411" t="s">
        <v>22670</v>
      </c>
      <c r="B13411" t="s">
        <v>22671</v>
      </c>
      <c r="C13411" t="s">
        <v>366</v>
      </c>
      <c r="D13411" t="s">
        <v>52</v>
      </c>
      <c r="E13411" t="s">
        <v>130</v>
      </c>
      <c r="F13411" s="2" t="str">
        <f>HYPERLINK("http://www.otzar.org/book.asp?605225","ושמרתם")</f>
        <v>ושמרתם</v>
      </c>
    </row>
    <row r="13412" spans="1:6" x14ac:dyDescent="0.2">
      <c r="A13412" t="s">
        <v>22672</v>
      </c>
      <c r="B13412" t="s">
        <v>6987</v>
      </c>
      <c r="C13412" t="s">
        <v>422</v>
      </c>
      <c r="D13412" t="s">
        <v>90</v>
      </c>
      <c r="E13412" t="s">
        <v>15</v>
      </c>
      <c r="F13412" s="2" t="str">
        <f>HYPERLINK("http://www.otzar.org/book.asp?176164","ושמת בטנא")</f>
        <v>ושמת בטנא</v>
      </c>
    </row>
    <row r="13413" spans="1:6" x14ac:dyDescent="0.2">
      <c r="A13413" t="s">
        <v>22673</v>
      </c>
      <c r="B13413" t="s">
        <v>4410</v>
      </c>
      <c r="C13413" t="s">
        <v>151</v>
      </c>
      <c r="D13413" t="s">
        <v>423</v>
      </c>
      <c r="E13413" t="s">
        <v>674</v>
      </c>
      <c r="F13413" s="2" t="str">
        <f>HYPERLINK("http://www.otzar.org/book.asp?623931","ושננתם לבניך")</f>
        <v>ושננתם לבניך</v>
      </c>
    </row>
    <row r="13414" spans="1:6" x14ac:dyDescent="0.2">
      <c r="A13414" t="s">
        <v>22673</v>
      </c>
      <c r="B13414" t="s">
        <v>12962</v>
      </c>
      <c r="C13414" t="s">
        <v>411</v>
      </c>
      <c r="D13414" t="s">
        <v>1156</v>
      </c>
      <c r="E13414" t="s">
        <v>104</v>
      </c>
      <c r="F13414" s="2" t="str">
        <f>HYPERLINK("http://www.otzar.org/book.asp?630569","ושננתם לבניך")</f>
        <v>ושננתם לבניך</v>
      </c>
    </row>
    <row r="13415" spans="1:6" x14ac:dyDescent="0.2">
      <c r="A13415" t="s">
        <v>22674</v>
      </c>
      <c r="B13415" t="s">
        <v>22675</v>
      </c>
      <c r="C13415" t="s">
        <v>168</v>
      </c>
      <c r="D13415" t="s">
        <v>14</v>
      </c>
      <c r="E13415" t="s">
        <v>22676</v>
      </c>
      <c r="F13415" s="2" t="str">
        <f>HYPERLINK("http://www.otzar.org/book.asp?13088","ושננתם לבניך - 3 כר'")</f>
        <v>ושננתם לבניך - 3 כר'</v>
      </c>
    </row>
    <row r="13416" spans="1:6" x14ac:dyDescent="0.2">
      <c r="A13416" t="s">
        <v>22677</v>
      </c>
      <c r="B13416" t="s">
        <v>206</v>
      </c>
      <c r="C13416" t="s">
        <v>20</v>
      </c>
      <c r="D13416" t="s">
        <v>90</v>
      </c>
      <c r="E13416" t="s">
        <v>10013</v>
      </c>
      <c r="F13416" s="2" t="str">
        <f>HYPERLINK("http://www.otzar.org/book.asp?52885","ושננתם")</f>
        <v>ושננתם</v>
      </c>
    </row>
    <row r="13417" spans="1:6" x14ac:dyDescent="0.2">
      <c r="A13417" t="s">
        <v>22678</v>
      </c>
      <c r="B13417" t="s">
        <v>5967</v>
      </c>
      <c r="C13417" t="s">
        <v>22679</v>
      </c>
      <c r="D13417" t="s">
        <v>27</v>
      </c>
      <c r="E13417" t="s">
        <v>474</v>
      </c>
      <c r="F13417" s="2" t="str">
        <f>HYPERLINK("http://www.otzar.org/book.asp?7146","ותאמר ציון - 2 כר'")</f>
        <v>ותאמר ציון - 2 כר'</v>
      </c>
    </row>
    <row r="13418" spans="1:6" x14ac:dyDescent="0.2">
      <c r="A13418" t="s">
        <v>22680</v>
      </c>
      <c r="B13418" t="s">
        <v>5293</v>
      </c>
      <c r="C13418" t="s">
        <v>37</v>
      </c>
      <c r="D13418" t="s">
        <v>14</v>
      </c>
      <c r="F13418" s="2" t="str">
        <f>HYPERLINK("http://www.otzar.org/book.asp?614845","ותומכיה מאושר")</f>
        <v>ותומכיה מאושר</v>
      </c>
    </row>
    <row r="13419" spans="1:6" x14ac:dyDescent="0.2">
      <c r="A13419" t="s">
        <v>22681</v>
      </c>
      <c r="B13419" t="s">
        <v>22682</v>
      </c>
      <c r="C13419" t="s">
        <v>111</v>
      </c>
      <c r="D13419" t="s">
        <v>1156</v>
      </c>
      <c r="E13419" t="s">
        <v>14089</v>
      </c>
      <c r="F13419" s="2" t="str">
        <f>HYPERLINK("http://www.otzar.org/book.asp?630495","ותחי רוח יעקב")</f>
        <v>ותחי רוח יעקב</v>
      </c>
    </row>
    <row r="13420" spans="1:6" x14ac:dyDescent="0.2">
      <c r="A13420" t="s">
        <v>22683</v>
      </c>
      <c r="B13420" t="s">
        <v>22684</v>
      </c>
      <c r="C13420" t="s">
        <v>313</v>
      </c>
      <c r="D13420" t="s">
        <v>52</v>
      </c>
      <c r="E13420" t="s">
        <v>202</v>
      </c>
      <c r="F13420" s="2" t="str">
        <f>HYPERLINK("http://www.otzar.org/book.asp?171593","ותימרון חידושא - מודז'יץ")</f>
        <v>ותימרון חידושא - מודז'יץ</v>
      </c>
    </row>
    <row r="13421" spans="1:6" x14ac:dyDescent="0.2">
      <c r="A13421" t="s">
        <v>22685</v>
      </c>
      <c r="B13421" t="s">
        <v>5634</v>
      </c>
      <c r="C13421" t="s">
        <v>146</v>
      </c>
      <c r="D13421" t="s">
        <v>52</v>
      </c>
      <c r="E13421" t="s">
        <v>213</v>
      </c>
      <c r="F13421" s="2" t="str">
        <f>HYPERLINK("http://www.otzar.org/book.asp?145320","ותלמוד תורה כנגד כולם")</f>
        <v>ותלמוד תורה כנגד כולם</v>
      </c>
    </row>
    <row r="13422" spans="1:6" x14ac:dyDescent="0.2">
      <c r="A13422" t="s">
        <v>22686</v>
      </c>
      <c r="B13422" t="s">
        <v>22687</v>
      </c>
      <c r="C13422" t="s">
        <v>13</v>
      </c>
      <c r="D13422" t="s">
        <v>52</v>
      </c>
      <c r="E13422" t="s">
        <v>144</v>
      </c>
      <c r="F13422" s="2" t="str">
        <f>HYPERLINK("http://www.otzar.org/book.asp?150484","ותלמודו בידו - 2 כר'")</f>
        <v>ותלמודו בידו - 2 כר'</v>
      </c>
    </row>
    <row r="13423" spans="1:6" x14ac:dyDescent="0.2">
      <c r="A13423" t="s">
        <v>22688</v>
      </c>
      <c r="B13423" t="s">
        <v>206</v>
      </c>
      <c r="C13423" t="s">
        <v>189</v>
      </c>
      <c r="D13423" t="s">
        <v>90</v>
      </c>
      <c r="E13423" t="s">
        <v>144</v>
      </c>
      <c r="F13423" s="2" t="str">
        <f>HYPERLINK("http://www.otzar.org/book.asp?62880","ותלמודו בידו")</f>
        <v>ותלמודו בידו</v>
      </c>
    </row>
    <row r="13424" spans="1:6" x14ac:dyDescent="0.2">
      <c r="A13424" t="s">
        <v>22689</v>
      </c>
      <c r="B13424" t="s">
        <v>22690</v>
      </c>
      <c r="C13424" t="s">
        <v>22691</v>
      </c>
      <c r="D13424" t="s">
        <v>115</v>
      </c>
      <c r="E13424" t="s">
        <v>202</v>
      </c>
      <c r="F13424" s="2" t="str">
        <f>HYPERLINK("http://www.otzar.org/book.asp?191510","ותלמודו בידו - סנהדרין")</f>
        <v>ותלמודו בידו - סנהדרין</v>
      </c>
    </row>
    <row r="13425" spans="1:6" x14ac:dyDescent="0.2">
      <c r="A13425" t="s">
        <v>22686</v>
      </c>
      <c r="B13425" t="s">
        <v>22692</v>
      </c>
      <c r="C13425" t="s">
        <v>189</v>
      </c>
      <c r="D13425" t="s">
        <v>52</v>
      </c>
      <c r="E13425" t="s">
        <v>202</v>
      </c>
      <c r="F13425" s="2" t="str">
        <f>HYPERLINK("http://www.otzar.org/book.asp?25849","ותלמודו בידו - 2 כר'")</f>
        <v>ותלמודו בידו - 2 כר'</v>
      </c>
    </row>
    <row r="13426" spans="1:6" x14ac:dyDescent="0.2">
      <c r="A13426" t="s">
        <v>22693</v>
      </c>
      <c r="B13426" t="s">
        <v>22694</v>
      </c>
      <c r="C13426" t="s">
        <v>13</v>
      </c>
      <c r="D13426" t="s">
        <v>52</v>
      </c>
      <c r="E13426" t="s">
        <v>246</v>
      </c>
      <c r="F13426" s="2" t="str">
        <f>HYPERLINK("http://www.otzar.org/book.asp?629312","ותלמודו בידו - 8 כר'")</f>
        <v>ותלמודו בידו - 8 כר'</v>
      </c>
    </row>
    <row r="13427" spans="1:6" x14ac:dyDescent="0.2">
      <c r="A13427" t="s">
        <v>22695</v>
      </c>
      <c r="B13427" t="s">
        <v>1978</v>
      </c>
      <c r="C13427" t="s">
        <v>1208</v>
      </c>
      <c r="D13427" t="s">
        <v>14</v>
      </c>
      <c r="E13427" t="s">
        <v>241</v>
      </c>
      <c r="F13427" s="2" t="str">
        <f>HYPERLINK("http://www.otzar.org/book.asp?189763","ותמכיה מאשר")</f>
        <v>ותמכיה מאשר</v>
      </c>
    </row>
    <row r="13428" spans="1:6" x14ac:dyDescent="0.2">
      <c r="A13428" t="s">
        <v>22696</v>
      </c>
      <c r="B13428" t="s">
        <v>22697</v>
      </c>
      <c r="C13428" t="s">
        <v>46</v>
      </c>
      <c r="D13428" t="s">
        <v>14</v>
      </c>
      <c r="E13428" t="s">
        <v>22698</v>
      </c>
      <c r="F13428" s="2" t="str">
        <f>HYPERLINK("http://www.otzar.org/book.asp?25464","ותן חלקנו בתורתך")</f>
        <v>ותן חלקנו בתורתך</v>
      </c>
    </row>
    <row r="13429" spans="1:6" x14ac:dyDescent="0.2">
      <c r="A13429" t="s">
        <v>22699</v>
      </c>
      <c r="B13429" t="s">
        <v>22278</v>
      </c>
      <c r="C13429" t="s">
        <v>411</v>
      </c>
      <c r="D13429" t="s">
        <v>14</v>
      </c>
      <c r="E13429" t="s">
        <v>15</v>
      </c>
      <c r="F13429" s="2" t="str">
        <f>HYPERLINK("http://www.otzar.org/book.asp?167901","ותעצר המגפה")</f>
        <v>ותעצר המגפה</v>
      </c>
    </row>
    <row r="13430" spans="1:6" x14ac:dyDescent="0.2">
      <c r="A13430" t="s">
        <v>22700</v>
      </c>
      <c r="B13430" t="s">
        <v>22701</v>
      </c>
      <c r="C13430" t="s">
        <v>2284</v>
      </c>
      <c r="D13430" t="s">
        <v>14</v>
      </c>
      <c r="E13430" t="s">
        <v>213</v>
      </c>
      <c r="F13430" s="2" t="str">
        <f>HYPERLINK("http://www.otzar.org/book.asp?6633","ותקננו בחבר טוב")</f>
        <v>ותקננו בחבר טוב</v>
      </c>
    </row>
    <row r="13431" spans="1:6" x14ac:dyDescent="0.2">
      <c r="A13431" t="s">
        <v>22702</v>
      </c>
      <c r="B13431" t="s">
        <v>3273</v>
      </c>
      <c r="C13431" t="s">
        <v>1160</v>
      </c>
      <c r="D13431" t="s">
        <v>14</v>
      </c>
      <c r="E13431" t="s">
        <v>241</v>
      </c>
      <c r="F13431" s="2" t="str">
        <f>HYPERLINK("http://www.otzar.org/book.asp?158016","ותקעתם בחצוצרות")</f>
        <v>ותקעתם בחצוצרות</v>
      </c>
    </row>
    <row r="13432" spans="1:6" x14ac:dyDescent="0.2">
      <c r="A13432" t="s">
        <v>22703</v>
      </c>
      <c r="B13432" t="s">
        <v>22704</v>
      </c>
      <c r="C13432" t="s">
        <v>151</v>
      </c>
      <c r="D13432" t="s">
        <v>90</v>
      </c>
      <c r="F13432" s="2" t="str">
        <f>HYPERLINK("http://www.otzar.org/book.asp?611421","ותרא אותו כי טוב")</f>
        <v>ותרא אותו כי טוב</v>
      </c>
    </row>
    <row r="13433" spans="1:6" x14ac:dyDescent="0.2">
      <c r="A13433" t="s">
        <v>22705</v>
      </c>
      <c r="B13433" t="s">
        <v>206</v>
      </c>
      <c r="C13433" t="s">
        <v>114</v>
      </c>
      <c r="D13433" t="s">
        <v>52</v>
      </c>
      <c r="E13433" t="s">
        <v>104</v>
      </c>
      <c r="F13433" s="2" t="str">
        <f>HYPERLINK("http://www.otzar.org/book.asp?168348","ותרגז הארץ")</f>
        <v>ותרגז הארץ</v>
      </c>
    </row>
    <row r="13434" spans="1:6" x14ac:dyDescent="0.2">
      <c r="A13434" t="s">
        <v>22706</v>
      </c>
      <c r="B13434" t="s">
        <v>3663</v>
      </c>
      <c r="C13434" t="s">
        <v>37</v>
      </c>
      <c r="D13434" t="s">
        <v>2285</v>
      </c>
      <c r="F13434" s="2" t="str">
        <f>HYPERLINK("http://www.otzar.org/book.asp?182429","ותשקט הארץ")</f>
        <v>ותשקט הארץ</v>
      </c>
    </row>
    <row r="13435" spans="1:6" x14ac:dyDescent="0.2">
      <c r="A13435" t="s">
        <v>22707</v>
      </c>
      <c r="B13435" t="s">
        <v>22708</v>
      </c>
      <c r="C13435" t="s">
        <v>643</v>
      </c>
      <c r="D13435" t="s">
        <v>27</v>
      </c>
      <c r="E13435" t="s">
        <v>960</v>
      </c>
      <c r="F13435" s="2" t="str">
        <f>HYPERLINK("http://www.otzar.org/book.asp?102271","ותתפלל חנה")</f>
        <v>ותתפלל חנה</v>
      </c>
    </row>
    <row r="13436" spans="1:6" x14ac:dyDescent="0.2">
      <c r="A13436" t="s">
        <v>22707</v>
      </c>
      <c r="B13436" t="s">
        <v>22709</v>
      </c>
      <c r="C13436" t="s">
        <v>23</v>
      </c>
      <c r="D13436" t="s">
        <v>412</v>
      </c>
      <c r="F13436" s="2" t="str">
        <f>HYPERLINK("http://www.otzar.org/book.asp?197230","ותתפלל חנה")</f>
        <v>ותתפלל חנה</v>
      </c>
    </row>
    <row r="13437" spans="1:6" x14ac:dyDescent="0.2">
      <c r="A13437" t="s">
        <v>22710</v>
      </c>
      <c r="B13437" t="s">
        <v>22711</v>
      </c>
      <c r="C13437" t="s">
        <v>1940</v>
      </c>
      <c r="D13437" t="s">
        <v>1833</v>
      </c>
      <c r="E13437" t="s">
        <v>144</v>
      </c>
      <c r="F13437" s="2" t="str">
        <f>HYPERLINK("http://www.otzar.org/book.asp?22477","זאב יטרוף")</f>
        <v>זאב יטרוף</v>
      </c>
    </row>
    <row r="13438" spans="1:6" x14ac:dyDescent="0.2">
      <c r="A13438" t="s">
        <v>22712</v>
      </c>
      <c r="B13438" t="s">
        <v>5262</v>
      </c>
      <c r="C13438" t="s">
        <v>313</v>
      </c>
      <c r="D13438" t="s">
        <v>412</v>
      </c>
      <c r="E13438" t="s">
        <v>246</v>
      </c>
      <c r="F13438" s="2" t="str">
        <f>HYPERLINK("http://www.otzar.org/book.asp?172087","זאב יטרף - 20 כר'")</f>
        <v>זאב יטרף - 20 כר'</v>
      </c>
    </row>
    <row r="13439" spans="1:6" x14ac:dyDescent="0.2">
      <c r="A13439" t="s">
        <v>22713</v>
      </c>
      <c r="B13439" t="s">
        <v>22714</v>
      </c>
      <c r="C13439" t="s">
        <v>775</v>
      </c>
      <c r="D13439" t="s">
        <v>216</v>
      </c>
      <c r="E13439" t="s">
        <v>154</v>
      </c>
      <c r="F13439" s="2" t="str">
        <f>HYPERLINK("http://www.otzar.org/book.asp?84107","זאבים טורפים את בנימין &lt;נועם וחובלים&gt;")</f>
        <v>זאבים טורפים את בנימין &lt;נועם וחובלים&gt;</v>
      </c>
    </row>
    <row r="13440" spans="1:6" x14ac:dyDescent="0.2">
      <c r="A13440" t="s">
        <v>22715</v>
      </c>
      <c r="B13440" t="s">
        <v>9358</v>
      </c>
      <c r="C13440" t="s">
        <v>390</v>
      </c>
      <c r="D13440" t="s">
        <v>5108</v>
      </c>
      <c r="E13440" t="s">
        <v>119</v>
      </c>
      <c r="F13440" s="2" t="str">
        <f>HYPERLINK("http://www.otzar.org/book.asp?196479","זאבלודאווע (זבלודוב)")</f>
        <v>זאבלודאווע (זבלודוב)</v>
      </c>
    </row>
    <row r="13441" spans="1:6" x14ac:dyDescent="0.2">
      <c r="A13441" t="s">
        <v>22716</v>
      </c>
      <c r="E13441" t="s">
        <v>213</v>
      </c>
      <c r="F13441" s="2" t="str">
        <f>HYPERLINK("http://www.otzar.org/book.asp?603412","זאגט א גוט ווארט")</f>
        <v>זאגט א גוט ווארט</v>
      </c>
    </row>
    <row r="13442" spans="1:6" x14ac:dyDescent="0.2">
      <c r="A13442" t="s">
        <v>22717</v>
      </c>
      <c r="B13442" t="s">
        <v>15161</v>
      </c>
      <c r="C13442" t="s">
        <v>383</v>
      </c>
      <c r="D13442" t="s">
        <v>52</v>
      </c>
      <c r="E13442" t="s">
        <v>241</v>
      </c>
      <c r="F13442" s="2" t="str">
        <f>HYPERLINK("http://www.otzar.org/book.asp?146458","זאת אמונתי")</f>
        <v>זאת אמונתי</v>
      </c>
    </row>
    <row r="13443" spans="1:6" x14ac:dyDescent="0.2">
      <c r="A13443" t="s">
        <v>22718</v>
      </c>
      <c r="B13443" t="s">
        <v>5621</v>
      </c>
      <c r="C13443" t="s">
        <v>20</v>
      </c>
      <c r="D13443" t="s">
        <v>14</v>
      </c>
      <c r="F13443" s="2" t="str">
        <f>HYPERLINK("http://www.otzar.org/book.asp?169764","זאת אשיב אל לבי")</f>
        <v>זאת אשיב אל לבי</v>
      </c>
    </row>
    <row r="13444" spans="1:6" x14ac:dyDescent="0.2">
      <c r="A13444" t="s">
        <v>22719</v>
      </c>
      <c r="B13444" t="s">
        <v>3768</v>
      </c>
      <c r="C13444" t="s">
        <v>133</v>
      </c>
      <c r="D13444" t="s">
        <v>14</v>
      </c>
      <c r="E13444" t="s">
        <v>241</v>
      </c>
      <c r="F13444" s="2" t="str">
        <f>HYPERLINK("http://www.otzar.org/book.asp?175490","זאת בריתי")</f>
        <v>זאת בריתי</v>
      </c>
    </row>
    <row r="13445" spans="1:6" x14ac:dyDescent="0.2">
      <c r="A13445" t="s">
        <v>22719</v>
      </c>
      <c r="B13445" t="s">
        <v>22720</v>
      </c>
      <c r="C13445" t="s">
        <v>20</v>
      </c>
      <c r="D13445" t="s">
        <v>14</v>
      </c>
      <c r="E13445" t="s">
        <v>674</v>
      </c>
      <c r="F13445" s="2" t="str">
        <f>HYPERLINK("http://www.otzar.org/book.asp?104645","זאת בריתי")</f>
        <v>זאת בריתי</v>
      </c>
    </row>
    <row r="13446" spans="1:6" x14ac:dyDescent="0.2">
      <c r="A13446" t="s">
        <v>22721</v>
      </c>
      <c r="B13446" t="s">
        <v>22722</v>
      </c>
      <c r="C13446" t="s">
        <v>1135</v>
      </c>
      <c r="D13446" t="s">
        <v>729</v>
      </c>
      <c r="E13446" t="s">
        <v>588</v>
      </c>
      <c r="F13446" s="2" t="str">
        <f>HYPERLINK("http://www.otzar.org/book.asp?147344","זאת הדף העתקתי אות באות")</f>
        <v>זאת הדף העתקתי אות באות</v>
      </c>
    </row>
    <row r="13447" spans="1:6" x14ac:dyDescent="0.2">
      <c r="A13447" t="s">
        <v>22723</v>
      </c>
      <c r="B13447" t="s">
        <v>22724</v>
      </c>
      <c r="C13447" t="s">
        <v>37</v>
      </c>
      <c r="D13447" t="s">
        <v>22725</v>
      </c>
      <c r="F13447" s="2" t="str">
        <f>HYPERLINK("http://www.otzar.org/book.asp?199176","זאת התורה והמציאות לא תהיה מוחלפת")</f>
        <v>זאת התורה והמציאות לא תהיה מוחלפת</v>
      </c>
    </row>
    <row r="13448" spans="1:6" x14ac:dyDescent="0.2">
      <c r="A13448" t="s">
        <v>22726</v>
      </c>
      <c r="B13448" t="s">
        <v>3888</v>
      </c>
      <c r="C13448" t="s">
        <v>383</v>
      </c>
      <c r="D13448" t="s">
        <v>14</v>
      </c>
      <c r="E13448" t="s">
        <v>15</v>
      </c>
      <c r="F13448" s="2" t="str">
        <f>HYPERLINK("http://www.otzar.org/book.asp?156897","זאת התורה")</f>
        <v>זאת התורה</v>
      </c>
    </row>
    <row r="13449" spans="1:6" x14ac:dyDescent="0.2">
      <c r="A13449" t="s">
        <v>22726</v>
      </c>
      <c r="B13449" t="s">
        <v>2885</v>
      </c>
      <c r="C13449" t="s">
        <v>20</v>
      </c>
      <c r="D13449" t="s">
        <v>14</v>
      </c>
      <c r="E13449" t="s">
        <v>140</v>
      </c>
      <c r="F13449" s="2" t="str">
        <f>HYPERLINK("http://www.otzar.org/book.asp?60861","זאת התורה")</f>
        <v>זאת התורה</v>
      </c>
    </row>
    <row r="13450" spans="1:6" x14ac:dyDescent="0.2">
      <c r="A13450" t="s">
        <v>22727</v>
      </c>
      <c r="B13450" t="s">
        <v>3111</v>
      </c>
      <c r="C13450" t="s">
        <v>146</v>
      </c>
      <c r="D13450" t="s">
        <v>14</v>
      </c>
      <c r="E13450" t="s">
        <v>158</v>
      </c>
      <c r="F13450" s="2" t="str">
        <f>HYPERLINK("http://www.otzar.org/book.asp?50150","זאת התורה - 2 כר'")</f>
        <v>זאת התורה - 2 כר'</v>
      </c>
    </row>
    <row r="13451" spans="1:6" x14ac:dyDescent="0.2">
      <c r="A13451" t="s">
        <v>22728</v>
      </c>
      <c r="B13451" t="s">
        <v>22729</v>
      </c>
      <c r="C13451" t="s">
        <v>20</v>
      </c>
      <c r="D13451" t="s">
        <v>21</v>
      </c>
      <c r="E13451" t="s">
        <v>219</v>
      </c>
      <c r="F13451" s="2" t="str">
        <f>HYPERLINK("http://www.otzar.org/book.asp?604077","זאת התפלה")</f>
        <v>זאת התפלה</v>
      </c>
    </row>
    <row r="13452" spans="1:6" x14ac:dyDescent="0.2">
      <c r="A13452" t="s">
        <v>22730</v>
      </c>
      <c r="B13452" t="s">
        <v>22731</v>
      </c>
      <c r="C13452" t="s">
        <v>37</v>
      </c>
      <c r="D13452" t="s">
        <v>52</v>
      </c>
      <c r="E13452" t="s">
        <v>15</v>
      </c>
      <c r="F13452" s="2" t="str">
        <f>HYPERLINK("http://www.otzar.org/book.asp?626218","זאת התרומה")</f>
        <v>זאת התרומה</v>
      </c>
    </row>
    <row r="13453" spans="1:6" x14ac:dyDescent="0.2">
      <c r="A13453" t="s">
        <v>22732</v>
      </c>
      <c r="B13453" t="s">
        <v>718</v>
      </c>
      <c r="C13453" t="s">
        <v>2076</v>
      </c>
      <c r="D13453" t="s">
        <v>283</v>
      </c>
      <c r="E13453" t="s">
        <v>140</v>
      </c>
      <c r="F13453" s="2" t="str">
        <f>HYPERLINK("http://www.otzar.org/book.asp?10538","זאת זכרון")</f>
        <v>זאת זכרון</v>
      </c>
    </row>
    <row r="13454" spans="1:6" x14ac:dyDescent="0.2">
      <c r="A13454" t="s">
        <v>22733</v>
      </c>
      <c r="B13454" t="s">
        <v>22734</v>
      </c>
      <c r="C13454" t="s">
        <v>800</v>
      </c>
      <c r="D13454" t="s">
        <v>60</v>
      </c>
      <c r="E13454" t="s">
        <v>399</v>
      </c>
      <c r="F13454" s="2" t="str">
        <f>HYPERLINK("http://www.otzar.org/book.asp?100824","זאת חוקת התורה - 2 כר'")</f>
        <v>זאת חוקת התורה - 2 כר'</v>
      </c>
    </row>
    <row r="13455" spans="1:6" x14ac:dyDescent="0.2">
      <c r="A13455" t="s">
        <v>22735</v>
      </c>
      <c r="B13455" t="s">
        <v>206</v>
      </c>
      <c r="C13455" t="s">
        <v>124</v>
      </c>
      <c r="D13455" t="s">
        <v>52</v>
      </c>
      <c r="E13455" t="s">
        <v>246</v>
      </c>
      <c r="F13455" s="2" t="str">
        <f>HYPERLINK("http://www.otzar.org/book.asp?604046","זאת חנוכה")</f>
        <v>זאת חנוכה</v>
      </c>
    </row>
    <row r="13456" spans="1:6" x14ac:dyDescent="0.2">
      <c r="A13456" t="s">
        <v>22735</v>
      </c>
      <c r="B13456" t="s">
        <v>3888</v>
      </c>
      <c r="C13456" t="s">
        <v>176</v>
      </c>
      <c r="D13456" t="s">
        <v>14</v>
      </c>
      <c r="E13456" t="s">
        <v>246</v>
      </c>
      <c r="F13456" s="2" t="str">
        <f>HYPERLINK("http://www.otzar.org/book.asp?156900","זאת חנוכה")</f>
        <v>זאת חנוכה</v>
      </c>
    </row>
    <row r="13457" spans="1:6" x14ac:dyDescent="0.2">
      <c r="A13457" t="s">
        <v>22736</v>
      </c>
      <c r="B13457" t="s">
        <v>19286</v>
      </c>
      <c r="C13457" t="s">
        <v>2550</v>
      </c>
      <c r="D13457" t="s">
        <v>27</v>
      </c>
      <c r="E13457" t="s">
        <v>583</v>
      </c>
      <c r="F13457" s="2" t="str">
        <f>HYPERLINK("http://www.otzar.org/book.asp?8313","זאת חקת התורה")</f>
        <v>זאת חקת התורה</v>
      </c>
    </row>
    <row r="13458" spans="1:6" x14ac:dyDescent="0.2">
      <c r="A13458" t="s">
        <v>22737</v>
      </c>
      <c r="B13458" t="s">
        <v>22738</v>
      </c>
      <c r="C13458" t="s">
        <v>1437</v>
      </c>
      <c r="D13458" t="s">
        <v>1117</v>
      </c>
      <c r="E13458" t="s">
        <v>463</v>
      </c>
      <c r="F13458" s="2" t="str">
        <f>HYPERLINK("http://www.otzar.org/book.asp?101307","זאת ליהודה")</f>
        <v>זאת ליהודה</v>
      </c>
    </row>
    <row r="13459" spans="1:6" x14ac:dyDescent="0.2">
      <c r="A13459" t="s">
        <v>22739</v>
      </c>
      <c r="B13459" t="s">
        <v>4393</v>
      </c>
      <c r="C13459" t="s">
        <v>189</v>
      </c>
      <c r="D13459" t="s">
        <v>14</v>
      </c>
      <c r="E13459" t="s">
        <v>158</v>
      </c>
      <c r="F13459" s="2" t="str">
        <f>HYPERLINK("http://www.otzar.org/book.asp?26347","זאת ליעקב &lt;על התורה&gt; - 4 כר'")</f>
        <v>זאת ליעקב &lt;על התורה&gt; - 4 כר'</v>
      </c>
    </row>
    <row r="13460" spans="1:6" x14ac:dyDescent="0.2">
      <c r="A13460" t="s">
        <v>22740</v>
      </c>
      <c r="B13460" t="s">
        <v>4393</v>
      </c>
      <c r="C13460" t="s">
        <v>151</v>
      </c>
      <c r="D13460" t="s">
        <v>52</v>
      </c>
      <c r="F13460" s="2" t="str">
        <f>HYPERLINK("http://www.otzar.org/book.asp?619360","זאת ליעקב - 5 כר'")</f>
        <v>זאת ליעקב - 5 כר'</v>
      </c>
    </row>
    <row r="13461" spans="1:6" x14ac:dyDescent="0.2">
      <c r="A13461" t="s">
        <v>22741</v>
      </c>
      <c r="B13461" t="s">
        <v>22742</v>
      </c>
      <c r="C13461" t="s">
        <v>1609</v>
      </c>
      <c r="D13461" t="s">
        <v>27</v>
      </c>
      <c r="E13461" t="s">
        <v>14280</v>
      </c>
      <c r="F13461" s="2" t="str">
        <f>HYPERLINK("http://www.otzar.org/book.asp?5342","זאת מנוחתי")</f>
        <v>זאת מנוחתי</v>
      </c>
    </row>
    <row r="13462" spans="1:6" x14ac:dyDescent="0.2">
      <c r="A13462" t="s">
        <v>22743</v>
      </c>
      <c r="B13462" t="s">
        <v>13683</v>
      </c>
      <c r="C13462" t="s">
        <v>1202</v>
      </c>
      <c r="D13462" t="s">
        <v>283</v>
      </c>
      <c r="E13462" t="s">
        <v>15850</v>
      </c>
      <c r="F13462" s="2" t="str">
        <f>HYPERLINK("http://www.otzar.org/book.asp?14743","זאת נחמתי")</f>
        <v>זאת נחמתי</v>
      </c>
    </row>
    <row r="13463" spans="1:6" x14ac:dyDescent="0.2">
      <c r="A13463" t="s">
        <v>22743</v>
      </c>
      <c r="B13463" t="s">
        <v>1602</v>
      </c>
      <c r="C13463" t="s">
        <v>20</v>
      </c>
      <c r="D13463" t="s">
        <v>21</v>
      </c>
      <c r="E13463" t="s">
        <v>213</v>
      </c>
      <c r="F13463" s="2" t="str">
        <f>HYPERLINK("http://www.otzar.org/book.asp?191166","זאת נחמתי")</f>
        <v>זאת נחמתי</v>
      </c>
    </row>
    <row r="13464" spans="1:6" x14ac:dyDescent="0.2">
      <c r="A13464" t="s">
        <v>22743</v>
      </c>
      <c r="B13464" t="s">
        <v>552</v>
      </c>
      <c r="C13464" t="s">
        <v>23</v>
      </c>
      <c r="D13464" t="s">
        <v>90</v>
      </c>
      <c r="E13464" t="s">
        <v>202</v>
      </c>
      <c r="F13464" s="2" t="str">
        <f>HYPERLINK("http://www.otzar.org/book.asp?193514","זאת נחמתי")</f>
        <v>זאת נחמתי</v>
      </c>
    </row>
    <row r="13465" spans="1:6" x14ac:dyDescent="0.2">
      <c r="A13465" t="s">
        <v>22744</v>
      </c>
      <c r="B13465" t="s">
        <v>22745</v>
      </c>
      <c r="C13465" t="s">
        <v>915</v>
      </c>
      <c r="D13465" t="s">
        <v>9748</v>
      </c>
      <c r="E13465" t="s">
        <v>241</v>
      </c>
      <c r="F13465" s="2" t="str">
        <f>HYPERLINK("http://www.otzar.org/book.asp?102997","זאת תורת האדם")</f>
        <v>זאת תורת האדם</v>
      </c>
    </row>
    <row r="13466" spans="1:6" x14ac:dyDescent="0.2">
      <c r="A13466" t="s">
        <v>22746</v>
      </c>
      <c r="B13466" t="s">
        <v>22747</v>
      </c>
      <c r="C13466" t="s">
        <v>609</v>
      </c>
      <c r="D13466" t="s">
        <v>27</v>
      </c>
      <c r="E13466" t="s">
        <v>119</v>
      </c>
      <c r="F13466" s="2" t="str">
        <f>HYPERLINK("http://www.otzar.org/book.asp?154564","זאת תורת הבית")</f>
        <v>זאת תורת הבית</v>
      </c>
    </row>
    <row r="13467" spans="1:6" x14ac:dyDescent="0.2">
      <c r="A13467" t="s">
        <v>22748</v>
      </c>
      <c r="B13467" t="s">
        <v>22749</v>
      </c>
      <c r="C13467" t="s">
        <v>151</v>
      </c>
      <c r="D13467" t="s">
        <v>14</v>
      </c>
      <c r="E13467" t="s">
        <v>15</v>
      </c>
      <c r="F13467" s="2" t="str">
        <f>HYPERLINK("http://www.otzar.org/book.asp?617942","זאת תורת הזבח")</f>
        <v>זאת תורת הזבח</v>
      </c>
    </row>
    <row r="13468" spans="1:6" x14ac:dyDescent="0.2">
      <c r="A13468" t="s">
        <v>22750</v>
      </c>
      <c r="B13468" t="s">
        <v>22751</v>
      </c>
      <c r="C13468" t="s">
        <v>2488</v>
      </c>
      <c r="D13468" t="s">
        <v>4088</v>
      </c>
      <c r="E13468" t="s">
        <v>104</v>
      </c>
      <c r="F13468" s="2" t="str">
        <f>HYPERLINK("http://www.otzar.org/book.asp?84134","זבד בנימין")</f>
        <v>זבד בנימין</v>
      </c>
    </row>
    <row r="13469" spans="1:6" x14ac:dyDescent="0.2">
      <c r="A13469" t="s">
        <v>22752</v>
      </c>
      <c r="B13469" t="s">
        <v>22753</v>
      </c>
      <c r="C13469" t="s">
        <v>1019</v>
      </c>
      <c r="D13469" t="s">
        <v>283</v>
      </c>
      <c r="E13469" t="s">
        <v>158</v>
      </c>
      <c r="F13469" s="2" t="str">
        <f>HYPERLINK("http://www.otzar.org/book.asp?151534","זבד טוב - 2 כר'")</f>
        <v>זבד טוב - 2 כר'</v>
      </c>
    </row>
    <row r="13470" spans="1:6" x14ac:dyDescent="0.2">
      <c r="A13470" t="s">
        <v>22754</v>
      </c>
      <c r="B13470" t="s">
        <v>22755</v>
      </c>
      <c r="C13470" t="s">
        <v>767</v>
      </c>
      <c r="D13470" t="s">
        <v>52</v>
      </c>
      <c r="E13470" t="s">
        <v>230</v>
      </c>
      <c r="F13470" s="2" t="str">
        <f>HYPERLINK("http://www.otzar.org/book.asp?165916","זבד טוב")</f>
        <v>זבד טוב</v>
      </c>
    </row>
    <row r="13471" spans="1:6" x14ac:dyDescent="0.2">
      <c r="A13471" t="s">
        <v>22754</v>
      </c>
      <c r="B13471" t="s">
        <v>22756</v>
      </c>
      <c r="C13471" t="s">
        <v>1609</v>
      </c>
      <c r="D13471" t="s">
        <v>27</v>
      </c>
      <c r="E13471" t="s">
        <v>803</v>
      </c>
      <c r="F13471" s="2" t="str">
        <f>HYPERLINK("http://www.otzar.org/book.asp?153731","זבד טוב")</f>
        <v>זבד טוב</v>
      </c>
    </row>
    <row r="13472" spans="1:6" x14ac:dyDescent="0.2">
      <c r="A13472" t="s">
        <v>22754</v>
      </c>
      <c r="B13472" t="s">
        <v>22757</v>
      </c>
      <c r="C13472" t="s">
        <v>360</v>
      </c>
      <c r="D13472" t="s">
        <v>267</v>
      </c>
      <c r="E13472" t="s">
        <v>3915</v>
      </c>
      <c r="F13472" s="2" t="str">
        <f>HYPERLINK("http://www.otzar.org/book.asp?6472","זבד טוב")</f>
        <v>זבד טוב</v>
      </c>
    </row>
    <row r="13473" spans="1:6" x14ac:dyDescent="0.2">
      <c r="A13473" t="s">
        <v>22754</v>
      </c>
      <c r="B13473" t="s">
        <v>22758</v>
      </c>
      <c r="C13473" t="s">
        <v>13</v>
      </c>
      <c r="D13473" t="s">
        <v>21</v>
      </c>
      <c r="E13473" t="s">
        <v>202</v>
      </c>
      <c r="F13473" s="2" t="str">
        <f>HYPERLINK("http://www.otzar.org/book.asp?196709","זבד טוב")</f>
        <v>זבד טוב</v>
      </c>
    </row>
    <row r="13474" spans="1:6" x14ac:dyDescent="0.2">
      <c r="A13474" t="s">
        <v>22759</v>
      </c>
      <c r="B13474" t="s">
        <v>22760</v>
      </c>
      <c r="C13474" t="s">
        <v>1096</v>
      </c>
      <c r="D13474" t="s">
        <v>855</v>
      </c>
      <c r="E13474" t="s">
        <v>508</v>
      </c>
      <c r="F13474" s="2" t="str">
        <f>HYPERLINK("http://www.otzar.org/book.asp?18716","זבד טוב - 3 כר'")</f>
        <v>זבד טוב - 3 כר'</v>
      </c>
    </row>
    <row r="13475" spans="1:6" x14ac:dyDescent="0.2">
      <c r="A13475" t="s">
        <v>22761</v>
      </c>
      <c r="B13475" t="s">
        <v>22762</v>
      </c>
      <c r="C13475" t="s">
        <v>51</v>
      </c>
      <c r="D13475" t="s">
        <v>21</v>
      </c>
      <c r="F13475" s="2" t="str">
        <f>HYPERLINK("http://www.otzar.org/book.asp?615665","זבול יהודה")</f>
        <v>זבול יהודה</v>
      </c>
    </row>
    <row r="13476" spans="1:6" x14ac:dyDescent="0.2">
      <c r="A13476" t="s">
        <v>22763</v>
      </c>
      <c r="B13476" t="s">
        <v>22764</v>
      </c>
      <c r="C13476" t="s">
        <v>5823</v>
      </c>
      <c r="D13476" t="s">
        <v>352</v>
      </c>
      <c r="E13476" t="s">
        <v>22765</v>
      </c>
      <c r="F13476" s="2" t="str">
        <f>HYPERLINK("http://www.otzar.org/book.asp?6504","זבח השלמים - 3 כר'")</f>
        <v>זבח השלמים - 3 כר'</v>
      </c>
    </row>
    <row r="13477" spans="1:6" x14ac:dyDescent="0.2">
      <c r="A13477" t="s">
        <v>22766</v>
      </c>
      <c r="B13477" t="s">
        <v>22767</v>
      </c>
      <c r="C13477" t="s">
        <v>244</v>
      </c>
      <c r="D13477" t="s">
        <v>1156</v>
      </c>
      <c r="E13477" t="s">
        <v>144</v>
      </c>
      <c r="F13477" s="2" t="str">
        <f>HYPERLINK("http://www.otzar.org/book.asp?614496","זבח טוב - זבחים")</f>
        <v>זבח טוב - זבחים</v>
      </c>
    </row>
    <row r="13478" spans="1:6" x14ac:dyDescent="0.2">
      <c r="A13478" t="s">
        <v>22768</v>
      </c>
      <c r="B13478" t="s">
        <v>22769</v>
      </c>
      <c r="C13478" t="s">
        <v>22770</v>
      </c>
      <c r="D13478" t="s">
        <v>4539</v>
      </c>
      <c r="E13478" t="s">
        <v>15</v>
      </c>
      <c r="F13478" s="2" t="str">
        <f>HYPERLINK("http://www.otzar.org/book.asp?167038","זבח טוב")</f>
        <v>זבח טוב</v>
      </c>
    </row>
    <row r="13479" spans="1:6" x14ac:dyDescent="0.2">
      <c r="A13479" t="s">
        <v>22771</v>
      </c>
      <c r="B13479" t="s">
        <v>12280</v>
      </c>
      <c r="C13479" t="s">
        <v>366</v>
      </c>
      <c r="D13479" t="s">
        <v>412</v>
      </c>
      <c r="E13479" t="s">
        <v>158</v>
      </c>
      <c r="F13479" s="2" t="str">
        <f>HYPERLINK("http://www.otzar.org/book.asp?619930","זבח יוסף - 5 כר'")</f>
        <v>זבח יוסף - 5 כר'</v>
      </c>
    </row>
    <row r="13480" spans="1:6" x14ac:dyDescent="0.2">
      <c r="A13480" t="s">
        <v>22772</v>
      </c>
      <c r="B13480" t="s">
        <v>22773</v>
      </c>
      <c r="C13480" t="s">
        <v>17</v>
      </c>
      <c r="D13480" t="s">
        <v>14</v>
      </c>
      <c r="E13480" t="s">
        <v>144</v>
      </c>
      <c r="F13480" s="2" t="str">
        <f>HYPERLINK("http://www.otzar.org/book.asp?154226","זבח יעקב - 2 כר'")</f>
        <v>זבח יעקב - 2 כר'</v>
      </c>
    </row>
    <row r="13481" spans="1:6" x14ac:dyDescent="0.2">
      <c r="A13481" t="s">
        <v>22774</v>
      </c>
      <c r="B13481" t="s">
        <v>22775</v>
      </c>
      <c r="C13481" t="s">
        <v>1448</v>
      </c>
      <c r="D13481" t="s">
        <v>14</v>
      </c>
      <c r="E13481" t="s">
        <v>22776</v>
      </c>
      <c r="F13481" s="2" t="str">
        <f>HYPERLINK("http://www.otzar.org/book.asp?5468","זבח משפחה - ב")</f>
        <v>זבח משפחה - ב</v>
      </c>
    </row>
    <row r="13482" spans="1:6" x14ac:dyDescent="0.2">
      <c r="A13482" t="s">
        <v>22775</v>
      </c>
      <c r="B13482" t="s">
        <v>22777</v>
      </c>
      <c r="C13482" t="s">
        <v>68</v>
      </c>
      <c r="D13482" t="s">
        <v>14</v>
      </c>
      <c r="E13482" t="s">
        <v>104</v>
      </c>
      <c r="F13482" s="2" t="str">
        <f>HYPERLINK("http://www.otzar.org/book.asp?169318","זבח משפחה")</f>
        <v>זבח משפחה</v>
      </c>
    </row>
    <row r="13483" spans="1:6" x14ac:dyDescent="0.2">
      <c r="A13483" t="s">
        <v>22778</v>
      </c>
      <c r="B13483" t="s">
        <v>17467</v>
      </c>
      <c r="C13483" t="s">
        <v>752</v>
      </c>
      <c r="D13483" t="s">
        <v>1279</v>
      </c>
      <c r="E13483" t="s">
        <v>246</v>
      </c>
      <c r="F13483" s="2" t="str">
        <f>HYPERLINK("http://www.otzar.org/book.asp?104766","זבח פסח")</f>
        <v>זבח פסח</v>
      </c>
    </row>
    <row r="13484" spans="1:6" x14ac:dyDescent="0.2">
      <c r="A13484" t="s">
        <v>22779</v>
      </c>
      <c r="B13484" t="s">
        <v>2500</v>
      </c>
      <c r="C13484" t="s">
        <v>334</v>
      </c>
      <c r="D13484" t="s">
        <v>412</v>
      </c>
      <c r="E13484" t="s">
        <v>15</v>
      </c>
      <c r="F13484" s="2" t="str">
        <f>HYPERLINK("http://www.otzar.org/book.asp?144987","זבח פסח - אכילת התרנגולים כהלכתה")</f>
        <v>זבח פסח - אכילת התרנגולים כהלכתה</v>
      </c>
    </row>
    <row r="13485" spans="1:6" x14ac:dyDescent="0.2">
      <c r="A13485" t="s">
        <v>22778</v>
      </c>
      <c r="B13485" t="s">
        <v>22780</v>
      </c>
      <c r="C13485" t="s">
        <v>7162</v>
      </c>
      <c r="D13485" t="s">
        <v>60</v>
      </c>
      <c r="E13485" t="s">
        <v>104</v>
      </c>
      <c r="F13485" s="2" t="str">
        <f>HYPERLINK("http://www.otzar.org/book.asp?151495","זבח פסח")</f>
        <v>זבח פסח</v>
      </c>
    </row>
    <row r="13486" spans="1:6" x14ac:dyDescent="0.2">
      <c r="A13486" t="s">
        <v>22778</v>
      </c>
      <c r="B13486" t="s">
        <v>22781</v>
      </c>
      <c r="C13486" t="s">
        <v>1458</v>
      </c>
      <c r="D13486" t="s">
        <v>212</v>
      </c>
      <c r="E13486" t="s">
        <v>219</v>
      </c>
      <c r="F13486" s="2" t="str">
        <f>HYPERLINK("http://www.otzar.org/book.asp?182091","זבח פסח")</f>
        <v>זבח פסח</v>
      </c>
    </row>
    <row r="13487" spans="1:6" x14ac:dyDescent="0.2">
      <c r="A13487" t="s">
        <v>22782</v>
      </c>
      <c r="B13487" t="s">
        <v>22783</v>
      </c>
      <c r="C13487" t="s">
        <v>767</v>
      </c>
      <c r="D13487" t="s">
        <v>14</v>
      </c>
      <c r="E13487" t="s">
        <v>158</v>
      </c>
      <c r="F13487" s="2" t="str">
        <f>HYPERLINK("http://www.otzar.org/book.asp?618945","זבח ש""י")</f>
        <v>זבח ש"י</v>
      </c>
    </row>
    <row r="13488" spans="1:6" x14ac:dyDescent="0.2">
      <c r="A13488" t="s">
        <v>22784</v>
      </c>
      <c r="B13488" t="s">
        <v>12511</v>
      </c>
      <c r="C13488" t="s">
        <v>767</v>
      </c>
      <c r="D13488" t="s">
        <v>14</v>
      </c>
      <c r="E13488" t="s">
        <v>573</v>
      </c>
      <c r="F13488" s="2" t="str">
        <f>HYPERLINK("http://www.otzar.org/book.asp?85126","זבח שי - 3 כר'")</f>
        <v>זבח שי - 3 כר'</v>
      </c>
    </row>
    <row r="13489" spans="1:6" x14ac:dyDescent="0.2">
      <c r="A13489" t="s">
        <v>22785</v>
      </c>
      <c r="B13489" t="s">
        <v>22786</v>
      </c>
      <c r="C13489" t="s">
        <v>366</v>
      </c>
      <c r="D13489" t="s">
        <v>14</v>
      </c>
      <c r="F13489" s="2" t="str">
        <f>HYPERLINK("http://www.otzar.org/book.asp?608852","זבח שלום - א")</f>
        <v>זבח שלום - א</v>
      </c>
    </row>
    <row r="13490" spans="1:6" x14ac:dyDescent="0.2">
      <c r="A13490" t="s">
        <v>22787</v>
      </c>
      <c r="B13490" t="s">
        <v>206</v>
      </c>
      <c r="C13490" t="s">
        <v>411</v>
      </c>
      <c r="D13490" t="s">
        <v>152</v>
      </c>
      <c r="E13490" t="s">
        <v>144</v>
      </c>
      <c r="F13490" s="2" t="str">
        <f>HYPERLINK("http://www.otzar.org/book.asp?167468","זבח שלמה - זבחים")</f>
        <v>זבח שלמה - זבחים</v>
      </c>
    </row>
    <row r="13491" spans="1:6" x14ac:dyDescent="0.2">
      <c r="A13491" t="s">
        <v>22788</v>
      </c>
      <c r="B13491" t="s">
        <v>22789</v>
      </c>
      <c r="C13491" t="s">
        <v>26</v>
      </c>
      <c r="D13491" t="s">
        <v>1076</v>
      </c>
      <c r="E13491" t="s">
        <v>2088</v>
      </c>
      <c r="F13491" s="2" t="str">
        <f>HYPERLINK("http://www.otzar.org/book.asp?9418","זבח שלמה - 4 כר'")</f>
        <v>זבח שלמה - 4 כר'</v>
      </c>
    </row>
    <row r="13492" spans="1:6" x14ac:dyDescent="0.2">
      <c r="A13492" t="s">
        <v>22790</v>
      </c>
      <c r="B13492" t="s">
        <v>22791</v>
      </c>
      <c r="C13492" t="s">
        <v>4240</v>
      </c>
      <c r="D13492" t="s">
        <v>4703</v>
      </c>
      <c r="E13492" t="s">
        <v>15</v>
      </c>
      <c r="F13492" s="2" t="str">
        <f>HYPERLINK("http://www.otzar.org/book.asp?52173","זבח שמואל - 2 כר'")</f>
        <v>זבח שמואל - 2 כר'</v>
      </c>
    </row>
    <row r="13493" spans="1:6" x14ac:dyDescent="0.2">
      <c r="A13493" t="s">
        <v>22792</v>
      </c>
      <c r="B13493" t="s">
        <v>22793</v>
      </c>
      <c r="C13493" t="s">
        <v>1374</v>
      </c>
      <c r="D13493" t="s">
        <v>27</v>
      </c>
      <c r="E13493" t="s">
        <v>674</v>
      </c>
      <c r="F13493" s="2" t="str">
        <f>HYPERLINK("http://www.otzar.org/book.asp?104641","זבח שמואל")</f>
        <v>זבח שמואל</v>
      </c>
    </row>
    <row r="13494" spans="1:6" x14ac:dyDescent="0.2">
      <c r="A13494" t="s">
        <v>22794</v>
      </c>
      <c r="B13494" t="s">
        <v>22795</v>
      </c>
      <c r="C13494" t="s">
        <v>445</v>
      </c>
      <c r="D13494" t="s">
        <v>27</v>
      </c>
      <c r="E13494" t="s">
        <v>20073</v>
      </c>
      <c r="F13494" s="2" t="str">
        <f>HYPERLINK("http://www.otzar.org/book.asp?624764","זבח תודה")</f>
        <v>זבח תודה</v>
      </c>
    </row>
    <row r="13495" spans="1:6" x14ac:dyDescent="0.2">
      <c r="A13495" t="s">
        <v>22794</v>
      </c>
      <c r="B13495" t="s">
        <v>4785</v>
      </c>
      <c r="C13495" t="s">
        <v>151</v>
      </c>
      <c r="D13495" t="s">
        <v>52</v>
      </c>
      <c r="E13495" t="s">
        <v>1164</v>
      </c>
      <c r="F13495" s="2" t="str">
        <f>HYPERLINK("http://www.otzar.org/book.asp?615958","זבח תודה")</f>
        <v>זבח תודה</v>
      </c>
    </row>
    <row r="13496" spans="1:6" x14ac:dyDescent="0.2">
      <c r="A13496" t="s">
        <v>22794</v>
      </c>
      <c r="B13496" t="s">
        <v>22796</v>
      </c>
      <c r="C13496" t="s">
        <v>1921</v>
      </c>
      <c r="D13496" t="s">
        <v>22797</v>
      </c>
      <c r="E13496" t="s">
        <v>219</v>
      </c>
      <c r="F13496" s="2" t="str">
        <f>HYPERLINK("http://www.otzar.org/book.asp?191433","זבח תודה")</f>
        <v>זבח תודה</v>
      </c>
    </row>
    <row r="13497" spans="1:6" x14ac:dyDescent="0.2">
      <c r="A13497" t="s">
        <v>22794</v>
      </c>
      <c r="B13497" t="s">
        <v>2999</v>
      </c>
      <c r="C13497" t="s">
        <v>609</v>
      </c>
      <c r="D13497" t="s">
        <v>22798</v>
      </c>
      <c r="E13497" t="s">
        <v>15</v>
      </c>
      <c r="F13497" s="2" t="str">
        <f>HYPERLINK("http://www.otzar.org/book.asp?148013","זבח תודה")</f>
        <v>זבח תודה</v>
      </c>
    </row>
    <row r="13498" spans="1:6" x14ac:dyDescent="0.2">
      <c r="A13498" t="s">
        <v>22794</v>
      </c>
      <c r="B13498" t="s">
        <v>22799</v>
      </c>
      <c r="C13498" t="s">
        <v>8222</v>
      </c>
      <c r="D13498" t="s">
        <v>744</v>
      </c>
      <c r="E13498" t="s">
        <v>219</v>
      </c>
      <c r="F13498" s="2" t="str">
        <f>HYPERLINK("http://www.otzar.org/book.asp?146856","זבח תודה")</f>
        <v>זבח תודה</v>
      </c>
    </row>
    <row r="13499" spans="1:6" x14ac:dyDescent="0.2">
      <c r="A13499" t="s">
        <v>22800</v>
      </c>
      <c r="B13499" t="s">
        <v>22801</v>
      </c>
      <c r="C13499" t="s">
        <v>22802</v>
      </c>
      <c r="D13499" t="s">
        <v>27</v>
      </c>
      <c r="E13499" t="s">
        <v>730</v>
      </c>
      <c r="F13499" s="2" t="str">
        <f>HYPERLINK("http://www.otzar.org/book.asp?64273","זבח תודה - ימין משה &lt;כת""י&gt;")</f>
        <v>זבח תודה - ימין משה &lt;כת"י&gt;</v>
      </c>
    </row>
    <row r="13500" spans="1:6" x14ac:dyDescent="0.2">
      <c r="A13500" t="s">
        <v>22803</v>
      </c>
      <c r="B13500" t="s">
        <v>22804</v>
      </c>
      <c r="C13500" t="s">
        <v>22805</v>
      </c>
      <c r="D13500" t="s">
        <v>18023</v>
      </c>
      <c r="E13500" t="s">
        <v>148</v>
      </c>
      <c r="F13500" s="2" t="str">
        <f>HYPERLINK("http://www.otzar.org/book.asp?168857","זבח תודה - 2 כר'")</f>
        <v>זבח תודה - 2 כר'</v>
      </c>
    </row>
    <row r="13501" spans="1:6" x14ac:dyDescent="0.2">
      <c r="A13501" t="s">
        <v>22806</v>
      </c>
      <c r="B13501" t="s">
        <v>2500</v>
      </c>
      <c r="C13501" t="s">
        <v>332</v>
      </c>
      <c r="D13501" t="s">
        <v>412</v>
      </c>
      <c r="E13501" t="s">
        <v>15</v>
      </c>
      <c r="F13501" s="2" t="str">
        <f>HYPERLINK("http://www.otzar.org/book.asp?144988","זבחו זבחי צדק")</f>
        <v>זבחו זבחי צדק</v>
      </c>
    </row>
    <row r="13502" spans="1:6" x14ac:dyDescent="0.2">
      <c r="A13502" t="s">
        <v>22807</v>
      </c>
      <c r="B13502" t="s">
        <v>22808</v>
      </c>
      <c r="C13502" t="s">
        <v>111</v>
      </c>
      <c r="D13502" t="s">
        <v>52</v>
      </c>
      <c r="E13502" t="s">
        <v>148</v>
      </c>
      <c r="F13502" s="2" t="str">
        <f>HYPERLINK("http://www.otzar.org/book.asp?628662","זבחי איש")</f>
        <v>זבחי איש</v>
      </c>
    </row>
    <row r="13503" spans="1:6" x14ac:dyDescent="0.2">
      <c r="A13503" t="s">
        <v>22809</v>
      </c>
      <c r="B13503" t="s">
        <v>11157</v>
      </c>
      <c r="C13503" t="s">
        <v>2644</v>
      </c>
      <c r="D13503" t="s">
        <v>889</v>
      </c>
      <c r="E13503" t="s">
        <v>933</v>
      </c>
      <c r="F13503" s="2" t="str">
        <f>HYPERLINK("http://www.otzar.org/book.asp?52305","זבחי אלקים")</f>
        <v>זבחי אלקים</v>
      </c>
    </row>
    <row r="13504" spans="1:6" x14ac:dyDescent="0.2">
      <c r="A13504" t="s">
        <v>22810</v>
      </c>
      <c r="B13504" t="s">
        <v>22811</v>
      </c>
      <c r="C13504" t="s">
        <v>4051</v>
      </c>
      <c r="D13504" t="s">
        <v>2295</v>
      </c>
      <c r="E13504" t="s">
        <v>2088</v>
      </c>
      <c r="F13504" s="2" t="str">
        <f>HYPERLINK("http://www.otzar.org/book.asp?9192","זבחי אפרים")</f>
        <v>זבחי אפרים</v>
      </c>
    </row>
    <row r="13505" spans="1:6" x14ac:dyDescent="0.2">
      <c r="A13505" t="s">
        <v>22812</v>
      </c>
      <c r="B13505" t="s">
        <v>22813</v>
      </c>
      <c r="C13505" t="s">
        <v>133</v>
      </c>
      <c r="D13505" t="s">
        <v>14</v>
      </c>
      <c r="E13505" t="s">
        <v>15</v>
      </c>
      <c r="F13505" s="2" t="str">
        <f>HYPERLINK("http://www.otzar.org/book.asp?179431","זבחי הזבח")</f>
        <v>זבחי הזבח</v>
      </c>
    </row>
    <row r="13506" spans="1:6" x14ac:dyDescent="0.2">
      <c r="A13506" t="s">
        <v>22814</v>
      </c>
      <c r="B13506" t="s">
        <v>22791</v>
      </c>
      <c r="C13506" t="s">
        <v>2945</v>
      </c>
      <c r="D13506" t="s">
        <v>1023</v>
      </c>
      <c r="E13506" t="s">
        <v>674</v>
      </c>
      <c r="F13506" s="2" t="str">
        <f>HYPERLINK("http://www.otzar.org/book.asp?147143","זבחי טוביה")</f>
        <v>זבחי טוביה</v>
      </c>
    </row>
    <row r="13507" spans="1:6" x14ac:dyDescent="0.2">
      <c r="A13507" t="s">
        <v>22815</v>
      </c>
      <c r="B13507" t="s">
        <v>22816</v>
      </c>
      <c r="C13507" t="s">
        <v>68</v>
      </c>
      <c r="D13507" t="s">
        <v>14</v>
      </c>
      <c r="E13507" t="s">
        <v>144</v>
      </c>
      <c r="F13507" s="2" t="str">
        <f>HYPERLINK("http://www.otzar.org/book.asp?158887","זבחי יצחק - יומא")</f>
        <v>זבחי יצחק - יומא</v>
      </c>
    </row>
    <row r="13508" spans="1:6" x14ac:dyDescent="0.2">
      <c r="A13508" t="s">
        <v>22817</v>
      </c>
      <c r="B13508" t="s">
        <v>22818</v>
      </c>
      <c r="C13508" t="s">
        <v>2227</v>
      </c>
      <c r="D13508" t="s">
        <v>212</v>
      </c>
      <c r="E13508" t="s">
        <v>606</v>
      </c>
      <c r="F13508" s="2" t="str">
        <f>HYPERLINK("http://www.otzar.org/book.asp?104643","זבחי כהן")</f>
        <v>זבחי כהן</v>
      </c>
    </row>
    <row r="13509" spans="1:6" x14ac:dyDescent="0.2">
      <c r="A13509" t="s">
        <v>22819</v>
      </c>
      <c r="B13509" t="s">
        <v>22820</v>
      </c>
      <c r="C13509" t="s">
        <v>454</v>
      </c>
      <c r="D13509" t="s">
        <v>14</v>
      </c>
      <c r="E13509" t="s">
        <v>22821</v>
      </c>
      <c r="F13509" s="2" t="str">
        <f>HYPERLINK("http://www.otzar.org/book.asp?21048","זבחי צדק תנינא")</f>
        <v>זבחי צדק תנינא</v>
      </c>
    </row>
    <row r="13510" spans="1:6" x14ac:dyDescent="0.2">
      <c r="A13510" t="s">
        <v>22822</v>
      </c>
      <c r="B13510" t="s">
        <v>7457</v>
      </c>
      <c r="C13510" t="s">
        <v>133</v>
      </c>
      <c r="D13510" t="s">
        <v>14</v>
      </c>
      <c r="E13510" t="s">
        <v>15</v>
      </c>
      <c r="F13510" s="2" t="str">
        <f>HYPERLINK("http://www.otzar.org/book.asp?179430","זבחי צדק")</f>
        <v>זבחי צדק</v>
      </c>
    </row>
    <row r="13511" spans="1:6" x14ac:dyDescent="0.2">
      <c r="A13511" t="s">
        <v>22822</v>
      </c>
      <c r="B13511" t="s">
        <v>22823</v>
      </c>
      <c r="C13511" t="s">
        <v>1124</v>
      </c>
      <c r="D13511" t="s">
        <v>6801</v>
      </c>
      <c r="E13511" t="s">
        <v>15</v>
      </c>
      <c r="F13511" s="2" t="str">
        <f>HYPERLINK("http://www.otzar.org/book.asp?104642","זבחי צדק")</f>
        <v>זבחי צדק</v>
      </c>
    </row>
    <row r="13512" spans="1:6" x14ac:dyDescent="0.2">
      <c r="A13512" t="s">
        <v>22824</v>
      </c>
      <c r="B13512" t="s">
        <v>22820</v>
      </c>
      <c r="C13512" t="s">
        <v>313</v>
      </c>
      <c r="D13512" t="s">
        <v>14</v>
      </c>
      <c r="E13512" t="s">
        <v>158</v>
      </c>
      <c r="F13512" s="2" t="str">
        <f>HYPERLINK("http://www.otzar.org/book.asp?21047","זבחי צדק - 2 כר'")</f>
        <v>זבחי צדק - 2 כר'</v>
      </c>
    </row>
    <row r="13513" spans="1:6" x14ac:dyDescent="0.2">
      <c r="A13513" t="s">
        <v>22825</v>
      </c>
      <c r="B13513" t="s">
        <v>4560</v>
      </c>
      <c r="C13513" t="s">
        <v>22826</v>
      </c>
      <c r="D13513" t="s">
        <v>225</v>
      </c>
      <c r="E13513" t="s">
        <v>144</v>
      </c>
      <c r="F13513" s="2" t="str">
        <f>HYPERLINK("http://www.otzar.org/book.asp?24359","זבחי צדק - 3 כר'")</f>
        <v>זבחי צדק - 3 כר'</v>
      </c>
    </row>
    <row r="13514" spans="1:6" x14ac:dyDescent="0.2">
      <c r="A13514" t="s">
        <v>22827</v>
      </c>
      <c r="B13514" t="s">
        <v>22828</v>
      </c>
      <c r="C13514" t="s">
        <v>244</v>
      </c>
      <c r="D13514" t="s">
        <v>21</v>
      </c>
      <c r="E13514" t="s">
        <v>144</v>
      </c>
      <c r="F13514" s="2" t="str">
        <f>HYPERLINK("http://www.otzar.org/book.asp?194867","זבחי צדק - זבחים")</f>
        <v>זבחי צדק - זבחים</v>
      </c>
    </row>
    <row r="13515" spans="1:6" x14ac:dyDescent="0.2">
      <c r="A13515" t="s">
        <v>22824</v>
      </c>
      <c r="B13515" t="s">
        <v>17863</v>
      </c>
      <c r="C13515" t="s">
        <v>1096</v>
      </c>
      <c r="D13515" t="s">
        <v>1801</v>
      </c>
      <c r="E13515" t="s">
        <v>22829</v>
      </c>
      <c r="F13515" s="2" t="str">
        <f>HYPERLINK("http://www.otzar.org/book.asp?15451","זבחי צדק - 2 כר'")</f>
        <v>זבחי צדק - 2 כר'</v>
      </c>
    </row>
    <row r="13516" spans="1:6" x14ac:dyDescent="0.2">
      <c r="A13516" t="s">
        <v>22822</v>
      </c>
      <c r="B13516" t="s">
        <v>14472</v>
      </c>
      <c r="C13516" t="s">
        <v>99</v>
      </c>
      <c r="D13516" t="s">
        <v>27</v>
      </c>
      <c r="E13516" t="s">
        <v>154</v>
      </c>
      <c r="F13516" s="2" t="str">
        <f>HYPERLINK("http://www.otzar.org/book.asp?179943","זבחי צדק")</f>
        <v>זבחי צדק</v>
      </c>
    </row>
    <row r="13517" spans="1:6" x14ac:dyDescent="0.2">
      <c r="A13517" t="s">
        <v>22822</v>
      </c>
      <c r="B13517" t="s">
        <v>22830</v>
      </c>
      <c r="C13517" t="s">
        <v>1811</v>
      </c>
      <c r="D13517" t="s">
        <v>14</v>
      </c>
      <c r="F13517" s="2" t="str">
        <f>HYPERLINK("http://www.otzar.org/book.asp?84903","זבחי צדק")</f>
        <v>זבחי צדק</v>
      </c>
    </row>
    <row r="13518" spans="1:6" x14ac:dyDescent="0.2">
      <c r="A13518" t="s">
        <v>22831</v>
      </c>
      <c r="B13518" t="s">
        <v>686</v>
      </c>
      <c r="C13518" t="s">
        <v>13</v>
      </c>
      <c r="D13518" t="s">
        <v>52</v>
      </c>
      <c r="E13518" t="s">
        <v>104</v>
      </c>
      <c r="F13518" s="2" t="str">
        <f>HYPERLINK("http://www.otzar.org/book.asp?148227","זבחי קדשים")</f>
        <v>זבחי קדשים</v>
      </c>
    </row>
    <row r="13519" spans="1:6" x14ac:dyDescent="0.2">
      <c r="A13519" t="s">
        <v>22832</v>
      </c>
      <c r="B13519" t="s">
        <v>4606</v>
      </c>
      <c r="C13519" t="s">
        <v>775</v>
      </c>
      <c r="D13519" t="s">
        <v>14</v>
      </c>
      <c r="E13519" t="s">
        <v>1211</v>
      </c>
      <c r="F13519" s="2" t="str">
        <f>HYPERLINK("http://www.otzar.org/book.asp?61281","זבחי קודש")</f>
        <v>זבחי קודש</v>
      </c>
    </row>
    <row r="13520" spans="1:6" x14ac:dyDescent="0.2">
      <c r="A13520" t="s">
        <v>22833</v>
      </c>
      <c r="B13520" t="s">
        <v>22834</v>
      </c>
      <c r="C13520" t="s">
        <v>20</v>
      </c>
      <c r="D13520" t="s">
        <v>22835</v>
      </c>
      <c r="E13520" t="s">
        <v>148</v>
      </c>
      <c r="F13520" s="2" t="str">
        <f>HYPERLINK("http://www.otzar.org/book.asp?143617","זבחי רצון  על הלכות שחיטה וטריפות (כת""י)")</f>
        <v>זבחי רצון  על הלכות שחיטה וטריפות (כת"י)</v>
      </c>
    </row>
    <row r="13521" spans="1:6" x14ac:dyDescent="0.2">
      <c r="A13521" t="s">
        <v>22836</v>
      </c>
      <c r="B13521" t="s">
        <v>22837</v>
      </c>
      <c r="C13521" t="s">
        <v>244</v>
      </c>
      <c r="D13521" t="s">
        <v>3750</v>
      </c>
      <c r="E13521" t="s">
        <v>104</v>
      </c>
      <c r="F13521" s="2" t="str">
        <f>HYPERLINK("http://www.otzar.org/book.asp?601431","זבחי רצון")</f>
        <v>זבחי רצון</v>
      </c>
    </row>
    <row r="13522" spans="1:6" x14ac:dyDescent="0.2">
      <c r="A13522" t="s">
        <v>22838</v>
      </c>
      <c r="B13522" t="s">
        <v>22839</v>
      </c>
      <c r="C13522" t="s">
        <v>568</v>
      </c>
      <c r="D13522" t="s">
        <v>327</v>
      </c>
      <c r="F13522" s="2" t="str">
        <f>HYPERLINK("http://www.otzar.org/book.asp?169447","זבחי רצון - 3 כר'")</f>
        <v>זבחי רצון - 3 כר'</v>
      </c>
    </row>
    <row r="13523" spans="1:6" x14ac:dyDescent="0.2">
      <c r="A13523" t="s">
        <v>22840</v>
      </c>
      <c r="B13523" t="s">
        <v>22438</v>
      </c>
      <c r="C13523" t="s">
        <v>2132</v>
      </c>
      <c r="D13523" t="s">
        <v>52</v>
      </c>
      <c r="E13523" t="s">
        <v>463</v>
      </c>
      <c r="F13523" s="2" t="str">
        <f>HYPERLINK("http://www.otzar.org/book.asp?190704","זבחי שלמה")</f>
        <v>זבחי שלמה</v>
      </c>
    </row>
    <row r="13524" spans="1:6" x14ac:dyDescent="0.2">
      <c r="A13524" t="s">
        <v>22841</v>
      </c>
      <c r="B13524" t="s">
        <v>22842</v>
      </c>
      <c r="C13524" t="s">
        <v>1163</v>
      </c>
      <c r="D13524" t="s">
        <v>1163</v>
      </c>
      <c r="E13524" t="s">
        <v>148</v>
      </c>
      <c r="F13524" s="2" t="str">
        <f>HYPERLINK("http://www.otzar.org/book.asp?165840","זבחי שלמים (כתב יד)")</f>
        <v>זבחי שלמים (כתב יד)</v>
      </c>
    </row>
    <row r="13525" spans="1:6" x14ac:dyDescent="0.2">
      <c r="A13525" t="s">
        <v>22843</v>
      </c>
      <c r="B13525" t="s">
        <v>22844</v>
      </c>
      <c r="C13525" t="s">
        <v>1096</v>
      </c>
      <c r="D13525" t="s">
        <v>322</v>
      </c>
      <c r="E13525" t="s">
        <v>606</v>
      </c>
      <c r="F13525" s="2" t="str">
        <f>HYPERLINK("http://www.otzar.org/book.asp?104640","זבחי שלמים")</f>
        <v>זבחי שלמים</v>
      </c>
    </row>
    <row r="13526" spans="1:6" x14ac:dyDescent="0.2">
      <c r="A13526" t="s">
        <v>22843</v>
      </c>
      <c r="B13526" t="s">
        <v>22842</v>
      </c>
      <c r="C13526" t="s">
        <v>41</v>
      </c>
      <c r="D13526" t="s">
        <v>1490</v>
      </c>
      <c r="F13526" s="2" t="str">
        <f>HYPERLINK("http://www.otzar.org/book.asp?164944","זבחי שלמים")</f>
        <v>זבחי שלמים</v>
      </c>
    </row>
    <row r="13527" spans="1:6" x14ac:dyDescent="0.2">
      <c r="A13527" t="s">
        <v>22845</v>
      </c>
      <c r="B13527" t="s">
        <v>4201</v>
      </c>
      <c r="C13527" t="s">
        <v>2076</v>
      </c>
      <c r="D13527" t="s">
        <v>27</v>
      </c>
      <c r="E13527" t="s">
        <v>399</v>
      </c>
      <c r="F13527" s="2" t="str">
        <f>HYPERLINK("http://www.otzar.org/book.asp?6006","זבחי שלמים - 2 כר'")</f>
        <v>זבחי שלמים - 2 כר'</v>
      </c>
    </row>
    <row r="13528" spans="1:6" x14ac:dyDescent="0.2">
      <c r="A13528" t="s">
        <v>22846</v>
      </c>
      <c r="B13528" t="s">
        <v>22847</v>
      </c>
      <c r="C13528" t="s">
        <v>609</v>
      </c>
      <c r="D13528" t="s">
        <v>22848</v>
      </c>
      <c r="E13528" t="s">
        <v>148</v>
      </c>
      <c r="F13528" s="2" t="str">
        <f>HYPERLINK("http://www.otzar.org/book.asp?148759","זבחי שמואל")</f>
        <v>זבחי שמואל</v>
      </c>
    </row>
    <row r="13529" spans="1:6" x14ac:dyDescent="0.2">
      <c r="A13529" t="s">
        <v>22849</v>
      </c>
      <c r="B13529" t="s">
        <v>22850</v>
      </c>
      <c r="C13529" t="s">
        <v>956</v>
      </c>
      <c r="D13529" t="s">
        <v>646</v>
      </c>
      <c r="E13529" t="s">
        <v>14089</v>
      </c>
      <c r="F13529" s="2" t="str">
        <f>HYPERLINK("http://www.otzar.org/book.asp?610652","זבחי תודה בן שמעון יהודה ליב")</f>
        <v>זבחי תודה בן שמעון יהודה ליב</v>
      </c>
    </row>
    <row r="13530" spans="1:6" x14ac:dyDescent="0.2">
      <c r="A13530" t="s">
        <v>22851</v>
      </c>
      <c r="B13530" t="s">
        <v>22852</v>
      </c>
      <c r="C13530" t="s">
        <v>5721</v>
      </c>
      <c r="D13530" t="s">
        <v>267</v>
      </c>
      <c r="E13530" t="s">
        <v>474</v>
      </c>
      <c r="F13530" s="2" t="str">
        <f>HYPERLINK("http://www.otzar.org/book.asp?22438","זבחי תודה")</f>
        <v>זבחי תודה</v>
      </c>
    </row>
    <row r="13531" spans="1:6" x14ac:dyDescent="0.2">
      <c r="A13531" t="s">
        <v>22853</v>
      </c>
      <c r="B13531" t="s">
        <v>20593</v>
      </c>
      <c r="C13531" t="s">
        <v>68</v>
      </c>
      <c r="D13531" t="s">
        <v>52</v>
      </c>
      <c r="E13531" t="s">
        <v>786</v>
      </c>
      <c r="F13531" s="2" t="str">
        <f>HYPERLINK("http://www.otzar.org/book.asp?157906","זבחי תודה - 7 כר'")</f>
        <v>זבחי תודה - 7 כר'</v>
      </c>
    </row>
    <row r="13532" spans="1:6" x14ac:dyDescent="0.2">
      <c r="A13532" t="s">
        <v>22854</v>
      </c>
      <c r="B13532" t="s">
        <v>22855</v>
      </c>
      <c r="C13532" t="s">
        <v>1310</v>
      </c>
      <c r="D13532" t="s">
        <v>56</v>
      </c>
      <c r="E13532" t="s">
        <v>4674</v>
      </c>
      <c r="F13532" s="2" t="str">
        <f>HYPERLINK("http://www.otzar.org/book.asp?24361","זבחי תרועה")</f>
        <v>זבחי תרועה</v>
      </c>
    </row>
    <row r="13533" spans="1:6" x14ac:dyDescent="0.2">
      <c r="A13533" t="s">
        <v>22854</v>
      </c>
      <c r="B13533" t="s">
        <v>22856</v>
      </c>
      <c r="C13533" t="s">
        <v>383</v>
      </c>
      <c r="D13533" t="s">
        <v>14</v>
      </c>
      <c r="E13533" t="s">
        <v>144</v>
      </c>
      <c r="F13533" s="2" t="str">
        <f>HYPERLINK("http://www.otzar.org/book.asp?154605","זבחי תרועה")</f>
        <v>זבחי תרועה</v>
      </c>
    </row>
    <row r="13534" spans="1:6" x14ac:dyDescent="0.2">
      <c r="A13534" t="s">
        <v>22854</v>
      </c>
      <c r="B13534" t="s">
        <v>22857</v>
      </c>
      <c r="C13534" t="s">
        <v>1310</v>
      </c>
      <c r="D13534" t="s">
        <v>212</v>
      </c>
      <c r="E13534" t="s">
        <v>10</v>
      </c>
      <c r="F13534" s="2" t="str">
        <f>HYPERLINK("http://www.otzar.org/book.asp?104639","זבחי תרועה")</f>
        <v>זבחי תרועה</v>
      </c>
    </row>
    <row r="13535" spans="1:6" x14ac:dyDescent="0.2">
      <c r="A13535" t="s">
        <v>22858</v>
      </c>
      <c r="B13535" t="s">
        <v>22859</v>
      </c>
      <c r="C13535" t="s">
        <v>1278</v>
      </c>
      <c r="D13535" t="s">
        <v>212</v>
      </c>
      <c r="E13535" t="s">
        <v>22860</v>
      </c>
      <c r="F13535" s="2" t="str">
        <f>HYPERLINK("http://www.otzar.org/book.asp?18720","זבחים שלמים")</f>
        <v>זבחים שלמים</v>
      </c>
    </row>
    <row r="13536" spans="1:6" x14ac:dyDescent="0.2">
      <c r="A13536" t="s">
        <v>22861</v>
      </c>
      <c r="B13536" t="s">
        <v>22862</v>
      </c>
      <c r="C13536" t="s">
        <v>151</v>
      </c>
      <c r="D13536" t="s">
        <v>412</v>
      </c>
      <c r="E13536" t="s">
        <v>158</v>
      </c>
      <c r="F13536" s="2" t="str">
        <f>HYPERLINK("http://www.otzar.org/book.asp?629563","זה דודי")</f>
        <v>זה דודי</v>
      </c>
    </row>
    <row r="13537" spans="1:6" x14ac:dyDescent="0.2">
      <c r="A13537" t="s">
        <v>22863</v>
      </c>
      <c r="B13537" t="s">
        <v>5592</v>
      </c>
      <c r="C13537" t="s">
        <v>7625</v>
      </c>
      <c r="D13537" t="s">
        <v>22864</v>
      </c>
      <c r="E13537" t="s">
        <v>234</v>
      </c>
      <c r="F13537" s="2" t="str">
        <f>HYPERLINK("http://www.otzar.org/book.asp?600819","זה דרוש ההספד")</f>
        <v>זה דרוש ההספד</v>
      </c>
    </row>
    <row r="13538" spans="1:6" x14ac:dyDescent="0.2">
      <c r="A13538" t="s">
        <v>22865</v>
      </c>
      <c r="B13538" t="s">
        <v>5634</v>
      </c>
      <c r="C13538" t="s">
        <v>114</v>
      </c>
      <c r="D13538" t="s">
        <v>52</v>
      </c>
      <c r="E13538" t="s">
        <v>234</v>
      </c>
      <c r="F13538" s="2" t="str">
        <f>HYPERLINK("http://www.otzar.org/book.asp?165058","זה הדרך לכו בו")</f>
        <v>זה הדרך לכו בו</v>
      </c>
    </row>
    <row r="13539" spans="1:6" x14ac:dyDescent="0.2">
      <c r="A13539" t="s">
        <v>22866</v>
      </c>
      <c r="B13539" t="s">
        <v>18315</v>
      </c>
      <c r="C13539" t="s">
        <v>1811</v>
      </c>
      <c r="D13539" t="s">
        <v>14</v>
      </c>
      <c r="E13539" t="s">
        <v>154</v>
      </c>
      <c r="F13539" s="2" t="str">
        <f>HYPERLINK("http://www.otzar.org/book.asp?10988","זה הים - 3 כר'")</f>
        <v>זה הים - 3 כר'</v>
      </c>
    </row>
    <row r="13540" spans="1:6" x14ac:dyDescent="0.2">
      <c r="A13540" t="s">
        <v>22867</v>
      </c>
      <c r="B13540" t="s">
        <v>22868</v>
      </c>
      <c r="C13540" t="s">
        <v>87</v>
      </c>
      <c r="D13540" t="s">
        <v>14</v>
      </c>
      <c r="E13540" t="s">
        <v>172</v>
      </c>
      <c r="F13540" s="2" t="str">
        <f>HYPERLINK("http://www.otzar.org/book.asp?144566","זה השלחן - 4 כר'")</f>
        <v>זה השלחן - 4 כר'</v>
      </c>
    </row>
    <row r="13541" spans="1:6" x14ac:dyDescent="0.2">
      <c r="A13541" t="s">
        <v>22869</v>
      </c>
      <c r="B13541" t="s">
        <v>2308</v>
      </c>
      <c r="C13541" t="s">
        <v>189</v>
      </c>
      <c r="D13541" t="s">
        <v>14</v>
      </c>
      <c r="E13541" t="s">
        <v>158</v>
      </c>
      <c r="F13541" s="2" t="str">
        <f>HYPERLINK("http://www.otzar.org/book.asp?51283","זה השלחן - 5 כר'")</f>
        <v>זה השלחן - 5 כר'</v>
      </c>
    </row>
    <row r="13542" spans="1:6" x14ac:dyDescent="0.2">
      <c r="A13542" t="s">
        <v>22870</v>
      </c>
      <c r="B13542" t="s">
        <v>22871</v>
      </c>
      <c r="C13542" t="s">
        <v>22872</v>
      </c>
      <c r="D13542" t="s">
        <v>22873</v>
      </c>
      <c r="E13542" t="s">
        <v>15</v>
      </c>
      <c r="F13542" s="2" t="str">
        <f>HYPERLINK("http://www.otzar.org/book.asp?151688","זה השלחן - חסד ואמת")</f>
        <v>זה השלחן - חסד ואמת</v>
      </c>
    </row>
    <row r="13543" spans="1:6" x14ac:dyDescent="0.2">
      <c r="A13543" t="s">
        <v>22874</v>
      </c>
      <c r="B13543" t="s">
        <v>3286</v>
      </c>
      <c r="C13543" t="s">
        <v>1609</v>
      </c>
      <c r="D13543" t="s">
        <v>80</v>
      </c>
      <c r="E13543" t="s">
        <v>22875</v>
      </c>
      <c r="F13543" s="2" t="str">
        <f>HYPERLINK("http://www.otzar.org/book.asp?11729","זה השלחן - 3 כר'")</f>
        <v>זה השלחן - 3 כר'</v>
      </c>
    </row>
    <row r="13544" spans="1:6" x14ac:dyDescent="0.2">
      <c r="A13544" t="s">
        <v>22876</v>
      </c>
      <c r="B13544" t="s">
        <v>22877</v>
      </c>
      <c r="C13544" t="s">
        <v>454</v>
      </c>
      <c r="D13544" t="s">
        <v>52</v>
      </c>
      <c r="E13544" t="s">
        <v>588</v>
      </c>
      <c r="F13544" s="2" t="str">
        <f>HYPERLINK("http://www.otzar.org/book.asp?141826","זה השלחן - א")</f>
        <v>זה השלחן - א</v>
      </c>
    </row>
    <row r="13545" spans="1:6" x14ac:dyDescent="0.2">
      <c r="A13545" t="s">
        <v>22878</v>
      </c>
      <c r="B13545" t="s">
        <v>22392</v>
      </c>
      <c r="C13545" t="s">
        <v>37</v>
      </c>
      <c r="D13545" t="s">
        <v>14</v>
      </c>
      <c r="E13545" t="s">
        <v>15</v>
      </c>
      <c r="F13545" s="2" t="str">
        <f>HYPERLINK("http://www.otzar.org/book.asp?630498","זה השער לה' - הלכות מזוזה")</f>
        <v>זה השער לה' - הלכות מזוזה</v>
      </c>
    </row>
    <row r="13546" spans="1:6" x14ac:dyDescent="0.2">
      <c r="A13546" t="s">
        <v>22879</v>
      </c>
      <c r="B13546" t="s">
        <v>22880</v>
      </c>
      <c r="C13546" t="s">
        <v>103</v>
      </c>
      <c r="D13546" t="s">
        <v>52</v>
      </c>
      <c r="E13546" t="s">
        <v>158</v>
      </c>
      <c r="F13546" s="2" t="str">
        <f>HYPERLINK("http://www.otzar.org/book.asp?160328","זה השער - 3 כר'")</f>
        <v>זה השער - 3 כר'</v>
      </c>
    </row>
    <row r="13547" spans="1:6" x14ac:dyDescent="0.2">
      <c r="A13547" t="s">
        <v>22881</v>
      </c>
      <c r="B13547" t="s">
        <v>489</v>
      </c>
      <c r="C13547" t="s">
        <v>189</v>
      </c>
      <c r="D13547" t="s">
        <v>14</v>
      </c>
      <c r="E13547" t="s">
        <v>202</v>
      </c>
      <c r="F13547" s="2" t="str">
        <f>HYPERLINK("http://www.otzar.org/book.asp?144434","זה השער - 2 כר'")</f>
        <v>זה השער - 2 כר'</v>
      </c>
    </row>
    <row r="13548" spans="1:6" x14ac:dyDescent="0.2">
      <c r="A13548" t="s">
        <v>22882</v>
      </c>
      <c r="B13548" t="s">
        <v>16349</v>
      </c>
      <c r="C13548" t="s">
        <v>22883</v>
      </c>
      <c r="D13548" t="s">
        <v>76</v>
      </c>
      <c r="E13548" t="s">
        <v>241</v>
      </c>
      <c r="F13548" s="2" t="str">
        <f>HYPERLINK("http://www.otzar.org/book.asp?105053","זה ינחמנו")</f>
        <v>זה ינחמנו</v>
      </c>
    </row>
    <row r="13549" spans="1:6" x14ac:dyDescent="0.2">
      <c r="A13549" t="s">
        <v>22884</v>
      </c>
      <c r="B13549" t="s">
        <v>22885</v>
      </c>
      <c r="C13549" t="s">
        <v>5619</v>
      </c>
      <c r="D13549" t="s">
        <v>1023</v>
      </c>
      <c r="E13549" t="s">
        <v>43</v>
      </c>
      <c r="F13549" s="2" t="str">
        <f>HYPERLINK("http://www.otzar.org/book.asp?101123","זה ינחמנו - 2 כר'")</f>
        <v>זה ינחמנו - 2 כר'</v>
      </c>
    </row>
    <row r="13550" spans="1:6" x14ac:dyDescent="0.2">
      <c r="A13550" t="s">
        <v>22882</v>
      </c>
      <c r="B13550" t="s">
        <v>1918</v>
      </c>
      <c r="C13550" t="s">
        <v>1448</v>
      </c>
      <c r="D13550" t="s">
        <v>14</v>
      </c>
      <c r="E13550" t="s">
        <v>15</v>
      </c>
      <c r="F13550" s="2" t="str">
        <f>HYPERLINK("http://www.otzar.org/book.asp?148621","זה ינחמנו")</f>
        <v>זה ינחמנו</v>
      </c>
    </row>
    <row r="13551" spans="1:6" x14ac:dyDescent="0.2">
      <c r="A13551" t="s">
        <v>22886</v>
      </c>
      <c r="B13551" t="s">
        <v>6598</v>
      </c>
      <c r="C13551" t="s">
        <v>940</v>
      </c>
      <c r="D13551" t="s">
        <v>14</v>
      </c>
      <c r="E13551" t="s">
        <v>10</v>
      </c>
      <c r="F13551" s="2" t="str">
        <f>HYPERLINK("http://www.otzar.org/book.asp?152366","זה כתב ידי &lt;מכון הכתב&gt;")</f>
        <v>זה כתב ידי &lt;מכון הכתב&gt;</v>
      </c>
    </row>
    <row r="13552" spans="1:6" x14ac:dyDescent="0.2">
      <c r="A13552" t="s">
        <v>22887</v>
      </c>
      <c r="B13552" t="s">
        <v>6598</v>
      </c>
      <c r="C13552" t="s">
        <v>752</v>
      </c>
      <c r="D13552" t="s">
        <v>6608</v>
      </c>
      <c r="E13552" t="s">
        <v>22888</v>
      </c>
      <c r="F13552" s="2" t="str">
        <f>HYPERLINK("http://www.otzar.org/book.asp?100934","זה כתב ידי")</f>
        <v>זה כתב ידי</v>
      </c>
    </row>
    <row r="13553" spans="1:6" x14ac:dyDescent="0.2">
      <c r="A13553" t="s">
        <v>22889</v>
      </c>
      <c r="B13553" t="s">
        <v>22890</v>
      </c>
      <c r="C13553" t="s">
        <v>1619</v>
      </c>
      <c r="D13553" t="s">
        <v>14</v>
      </c>
      <c r="E13553" t="s">
        <v>22891</v>
      </c>
      <c r="F13553" s="2" t="str">
        <f>HYPERLINK("http://www.otzar.org/book.asp?144172","זה מצאתי - 2 כר'")</f>
        <v>זה מצאתי - 2 כר'</v>
      </c>
    </row>
    <row r="13554" spans="1:6" x14ac:dyDescent="0.2">
      <c r="A13554" t="s">
        <v>22892</v>
      </c>
      <c r="B13554" t="s">
        <v>14571</v>
      </c>
      <c r="C13554" t="s">
        <v>20</v>
      </c>
      <c r="D13554" t="s">
        <v>729</v>
      </c>
      <c r="F13554" s="2" t="str">
        <f>HYPERLINK("http://www.otzar.org/book.asp?53363","זה ספר תולדות אדם")</f>
        <v>זה ספר תולדות אדם</v>
      </c>
    </row>
    <row r="13555" spans="1:6" x14ac:dyDescent="0.2">
      <c r="A13555" t="s">
        <v>22892</v>
      </c>
      <c r="B13555" t="s">
        <v>22893</v>
      </c>
      <c r="C13555" t="s">
        <v>103</v>
      </c>
      <c r="D13555" t="s">
        <v>14</v>
      </c>
      <c r="F13555" s="2" t="str">
        <f>HYPERLINK("http://www.otzar.org/book.asp?621631","זה ספר תולדות אדם")</f>
        <v>זה ספר תולדות אדם</v>
      </c>
    </row>
    <row r="13556" spans="1:6" x14ac:dyDescent="0.2">
      <c r="A13556" t="s">
        <v>22894</v>
      </c>
      <c r="B13556" t="s">
        <v>5440</v>
      </c>
      <c r="C13556" t="s">
        <v>523</v>
      </c>
      <c r="D13556" t="s">
        <v>21</v>
      </c>
      <c r="E13556" t="s">
        <v>119</v>
      </c>
      <c r="F13556" s="2" t="str">
        <f>HYPERLINK("http://www.otzar.org/book.asp?191693","זה קרה בארץ ישראל")</f>
        <v>זה קרה בארץ ישראל</v>
      </c>
    </row>
    <row r="13557" spans="1:6" x14ac:dyDescent="0.2">
      <c r="A13557" t="s">
        <v>22895</v>
      </c>
      <c r="B13557" t="s">
        <v>22896</v>
      </c>
      <c r="C13557" t="s">
        <v>411</v>
      </c>
      <c r="D13557" t="s">
        <v>90</v>
      </c>
      <c r="E13557" t="s">
        <v>2135</v>
      </c>
      <c r="F13557" s="2" t="str">
        <f>HYPERLINK("http://www.otzar.org/book.asp?180789","זה שמי - 2 כר'")</f>
        <v>זה שמי - 2 כר'</v>
      </c>
    </row>
    <row r="13558" spans="1:6" x14ac:dyDescent="0.2">
      <c r="A13558" t="s">
        <v>22897</v>
      </c>
      <c r="B13558" t="s">
        <v>22898</v>
      </c>
      <c r="C13558" t="s">
        <v>523</v>
      </c>
      <c r="D13558" t="s">
        <v>52</v>
      </c>
      <c r="E13558" t="s">
        <v>674</v>
      </c>
      <c r="F13558" s="2" t="str">
        <f>HYPERLINK("http://www.otzar.org/book.asp?168317","זהב הארץ")</f>
        <v>זהב הארץ</v>
      </c>
    </row>
    <row r="13559" spans="1:6" x14ac:dyDescent="0.2">
      <c r="A13559" t="s">
        <v>22899</v>
      </c>
      <c r="B13559" t="s">
        <v>22897</v>
      </c>
      <c r="C13559" t="s">
        <v>496</v>
      </c>
      <c r="D13559" t="s">
        <v>592</v>
      </c>
      <c r="E13559" t="s">
        <v>202</v>
      </c>
      <c r="F13559" s="2" t="str">
        <f>HYPERLINK("http://www.otzar.org/book.asp?193897","זהב הארץ - 2 כר'")</f>
        <v>זהב הארץ - 2 כר'</v>
      </c>
    </row>
    <row r="13560" spans="1:6" x14ac:dyDescent="0.2">
      <c r="A13560" t="s">
        <v>22899</v>
      </c>
      <c r="B13560" t="s">
        <v>14894</v>
      </c>
      <c r="C13560" t="s">
        <v>22900</v>
      </c>
      <c r="D13560" t="s">
        <v>27</v>
      </c>
      <c r="E13560" t="s">
        <v>1097</v>
      </c>
      <c r="F13560" s="2" t="str">
        <f>HYPERLINK("http://www.otzar.org/book.asp?105412","זהב הארץ - 2 כר'")</f>
        <v>זהב הארץ - 2 כר'</v>
      </c>
    </row>
    <row r="13561" spans="1:6" x14ac:dyDescent="0.2">
      <c r="A13561" t="s">
        <v>22901</v>
      </c>
      <c r="B13561" t="s">
        <v>22902</v>
      </c>
      <c r="C13561" t="s">
        <v>133</v>
      </c>
      <c r="D13561" t="s">
        <v>21</v>
      </c>
      <c r="E13561" t="s">
        <v>213</v>
      </c>
      <c r="F13561" s="2" t="str">
        <f>HYPERLINK("http://www.otzar.org/book.asp?192180","זהב המנורה")</f>
        <v>זהב המנורה</v>
      </c>
    </row>
    <row r="13562" spans="1:6" x14ac:dyDescent="0.2">
      <c r="A13562" t="s">
        <v>22903</v>
      </c>
      <c r="B13562" t="s">
        <v>7515</v>
      </c>
      <c r="C13562" t="s">
        <v>411</v>
      </c>
      <c r="D13562" t="s">
        <v>52</v>
      </c>
      <c r="E13562" t="s">
        <v>144</v>
      </c>
      <c r="F13562" s="2" t="str">
        <f>HYPERLINK("http://www.otzar.org/book.asp?165468","זהב הקודש - 3 כר'")</f>
        <v>זהב הקודש - 3 כר'</v>
      </c>
    </row>
    <row r="13563" spans="1:6" x14ac:dyDescent="0.2">
      <c r="A13563" t="s">
        <v>22904</v>
      </c>
      <c r="B13563" t="s">
        <v>7515</v>
      </c>
      <c r="C13563" t="s">
        <v>13</v>
      </c>
      <c r="D13563" t="s">
        <v>52</v>
      </c>
      <c r="E13563" t="s">
        <v>84</v>
      </c>
      <c r="F13563" s="2" t="str">
        <f>HYPERLINK("http://www.otzar.org/book.asp?159723","זהב התרומה - 5 כר'")</f>
        <v>זהב התרומה - 5 כר'</v>
      </c>
    </row>
    <row r="13564" spans="1:6" x14ac:dyDescent="0.2">
      <c r="A13564" t="s">
        <v>22905</v>
      </c>
      <c r="B13564" t="s">
        <v>22906</v>
      </c>
      <c r="C13564" t="s">
        <v>111</v>
      </c>
      <c r="D13564" t="s">
        <v>14</v>
      </c>
      <c r="E13564" t="s">
        <v>15</v>
      </c>
      <c r="F13564" s="2" t="str">
        <f>HYPERLINK("http://www.otzar.org/book.asp?631093","זהב ולבונה - 5 כר'")</f>
        <v>זהב ולבונה - 5 כר'</v>
      </c>
    </row>
    <row r="13565" spans="1:6" x14ac:dyDescent="0.2">
      <c r="A13565" t="s">
        <v>22907</v>
      </c>
      <c r="B13565" t="s">
        <v>7515</v>
      </c>
      <c r="C13565" t="s">
        <v>133</v>
      </c>
      <c r="D13565" t="s">
        <v>52</v>
      </c>
      <c r="E13565" t="s">
        <v>84</v>
      </c>
      <c r="F13565" s="2" t="str">
        <f>HYPERLINK("http://www.otzar.org/book.asp?601637","זהב טהור - 4 כר'")</f>
        <v>זהב טהור - 4 כר'</v>
      </c>
    </row>
    <row r="13566" spans="1:6" x14ac:dyDescent="0.2">
      <c r="A13566" t="s">
        <v>22908</v>
      </c>
      <c r="B13566" t="s">
        <v>22909</v>
      </c>
      <c r="C13566" t="s">
        <v>9946</v>
      </c>
      <c r="D13566" t="s">
        <v>60</v>
      </c>
      <c r="E13566" t="s">
        <v>2088</v>
      </c>
      <c r="F13566" s="2" t="str">
        <f>HYPERLINK("http://www.otzar.org/book.asp?6600","זהב טהור")</f>
        <v>זהב טהור</v>
      </c>
    </row>
    <row r="13567" spans="1:6" x14ac:dyDescent="0.2">
      <c r="A13567" t="s">
        <v>22908</v>
      </c>
      <c r="B13567" t="s">
        <v>686</v>
      </c>
      <c r="C13567" t="s">
        <v>37</v>
      </c>
      <c r="D13567" t="s">
        <v>52</v>
      </c>
      <c r="F13567" s="2" t="str">
        <f>HYPERLINK("http://www.otzar.org/book.asp?182750","זהב טהור")</f>
        <v>זהב טהור</v>
      </c>
    </row>
    <row r="13568" spans="1:6" x14ac:dyDescent="0.2">
      <c r="A13568" t="s">
        <v>22910</v>
      </c>
      <c r="B13568" t="s">
        <v>686</v>
      </c>
      <c r="C13568" t="s">
        <v>87</v>
      </c>
      <c r="D13568" t="s">
        <v>52</v>
      </c>
      <c r="E13568" t="s">
        <v>104</v>
      </c>
      <c r="F13568" s="2" t="str">
        <f>HYPERLINK("http://www.otzar.org/book.asp?189715","זהב טוב")</f>
        <v>זהב טוב</v>
      </c>
    </row>
    <row r="13569" spans="1:6" x14ac:dyDescent="0.2">
      <c r="A13569" t="s">
        <v>22911</v>
      </c>
      <c r="B13569" t="s">
        <v>22912</v>
      </c>
      <c r="C13569" t="s">
        <v>13</v>
      </c>
      <c r="D13569" t="s">
        <v>52</v>
      </c>
      <c r="E13569" t="s">
        <v>104</v>
      </c>
      <c r="F13569" s="2" t="str">
        <f>HYPERLINK("http://www.otzar.org/book.asp?161885","זהב יצוק")</f>
        <v>זהב יצוק</v>
      </c>
    </row>
    <row r="13570" spans="1:6" x14ac:dyDescent="0.2">
      <c r="A13570" t="s">
        <v>22913</v>
      </c>
      <c r="B13570" t="s">
        <v>2847</v>
      </c>
      <c r="C13570" t="s">
        <v>37</v>
      </c>
      <c r="D13570" t="s">
        <v>14</v>
      </c>
      <c r="F13570" s="2" t="str">
        <f>HYPERLINK("http://www.otzar.org/book.asp?198993","זהב לבושה")</f>
        <v>זהב לבושה</v>
      </c>
    </row>
    <row r="13571" spans="1:6" x14ac:dyDescent="0.2">
      <c r="A13571" t="s">
        <v>22914</v>
      </c>
      <c r="B13571" t="s">
        <v>22915</v>
      </c>
      <c r="C13571" t="s">
        <v>411</v>
      </c>
      <c r="D13571" t="s">
        <v>147</v>
      </c>
      <c r="E13571" t="s">
        <v>154</v>
      </c>
      <c r="F13571" s="2" t="str">
        <f>HYPERLINK("http://www.otzar.org/book.asp?169849","זהב מכתם אופיר")</f>
        <v>זהב מכתם אופיר</v>
      </c>
    </row>
    <row r="13572" spans="1:6" x14ac:dyDescent="0.2">
      <c r="A13572" t="s">
        <v>22916</v>
      </c>
      <c r="B13572" t="s">
        <v>22917</v>
      </c>
      <c r="C13572" t="s">
        <v>454</v>
      </c>
      <c r="D13572" t="s">
        <v>14</v>
      </c>
      <c r="E13572" t="s">
        <v>158</v>
      </c>
      <c r="F13572" s="2" t="str">
        <f>HYPERLINK("http://www.otzar.org/book.asp?62035","זהב מרדכי - 3 כר'")</f>
        <v>זהב מרדכי - 3 כר'</v>
      </c>
    </row>
    <row r="13573" spans="1:6" x14ac:dyDescent="0.2">
      <c r="A13573" t="s">
        <v>22918</v>
      </c>
      <c r="B13573" t="s">
        <v>18013</v>
      </c>
      <c r="C13573" t="s">
        <v>422</v>
      </c>
      <c r="D13573" t="s">
        <v>14</v>
      </c>
      <c r="E13573" t="s">
        <v>241</v>
      </c>
      <c r="F13573" s="2" t="str">
        <f>HYPERLINK("http://www.otzar.org/book.asp?186719","זהב משבא - 2 כר'")</f>
        <v>זהב משבא - 2 כר'</v>
      </c>
    </row>
    <row r="13574" spans="1:6" x14ac:dyDescent="0.2">
      <c r="A13574" t="s">
        <v>22919</v>
      </c>
      <c r="B13574" t="s">
        <v>1308</v>
      </c>
      <c r="C13574" t="s">
        <v>800</v>
      </c>
      <c r="D13574" t="s">
        <v>535</v>
      </c>
      <c r="E13574" t="s">
        <v>22920</v>
      </c>
      <c r="F13574" s="2" t="str">
        <f>HYPERLINK("http://www.otzar.org/book.asp?188880","זהב סגור - לב דוד")</f>
        <v>זהב סגור - לב דוד</v>
      </c>
    </row>
    <row r="13575" spans="1:6" x14ac:dyDescent="0.2">
      <c r="A13575" t="s">
        <v>22921</v>
      </c>
      <c r="B13575" t="s">
        <v>22922</v>
      </c>
      <c r="C13575" t="s">
        <v>156</v>
      </c>
      <c r="D13575" t="s">
        <v>225</v>
      </c>
      <c r="E13575" t="s">
        <v>399</v>
      </c>
      <c r="F13575" s="2" t="str">
        <f>HYPERLINK("http://www.otzar.org/book.asp?18722","זהב פרוים")</f>
        <v>זהב פרוים</v>
      </c>
    </row>
    <row r="13576" spans="1:6" x14ac:dyDescent="0.2">
      <c r="A13576" t="s">
        <v>22923</v>
      </c>
      <c r="B13576" t="s">
        <v>22924</v>
      </c>
      <c r="C13576" t="s">
        <v>1169</v>
      </c>
      <c r="D13576" t="s">
        <v>260</v>
      </c>
      <c r="E13576" t="s">
        <v>15</v>
      </c>
      <c r="F13576" s="2" t="str">
        <f>HYPERLINK("http://www.otzar.org/book.asp?144660","זהב שב""א")</f>
        <v>זהב שב"א</v>
      </c>
    </row>
    <row r="13577" spans="1:6" x14ac:dyDescent="0.2">
      <c r="A13577" t="s">
        <v>22925</v>
      </c>
      <c r="B13577" t="s">
        <v>15052</v>
      </c>
      <c r="C13577" t="s">
        <v>956</v>
      </c>
      <c r="D13577" t="s">
        <v>14</v>
      </c>
      <c r="E13577" t="s">
        <v>158</v>
      </c>
      <c r="F13577" s="2" t="str">
        <f>HYPERLINK("http://www.otzar.org/book.asp?199525","זהב שבא")</f>
        <v>זהב שבא</v>
      </c>
    </row>
    <row r="13578" spans="1:6" x14ac:dyDescent="0.2">
      <c r="A13578" t="s">
        <v>22925</v>
      </c>
      <c r="B13578" t="s">
        <v>22926</v>
      </c>
      <c r="C13578" t="s">
        <v>1374</v>
      </c>
      <c r="D13578" t="s">
        <v>8939</v>
      </c>
      <c r="E13578" t="s">
        <v>463</v>
      </c>
      <c r="F13578" s="2" t="str">
        <f>HYPERLINK("http://www.otzar.org/book.asp?7569","זהב שבא")</f>
        <v>זהב שבא</v>
      </c>
    </row>
    <row r="13579" spans="1:6" x14ac:dyDescent="0.2">
      <c r="A13579" t="s">
        <v>22925</v>
      </c>
      <c r="B13579" t="s">
        <v>22927</v>
      </c>
      <c r="C13579" t="s">
        <v>356</v>
      </c>
      <c r="D13579" t="s">
        <v>14</v>
      </c>
      <c r="E13579" t="s">
        <v>154</v>
      </c>
      <c r="F13579" s="2" t="str">
        <f>HYPERLINK("http://www.otzar.org/book.asp?176589","זהב שבא")</f>
        <v>זהב שבא</v>
      </c>
    </row>
    <row r="13580" spans="1:6" x14ac:dyDescent="0.2">
      <c r="A13580" t="s">
        <v>22928</v>
      </c>
      <c r="B13580" t="s">
        <v>22929</v>
      </c>
      <c r="C13580" t="s">
        <v>4144</v>
      </c>
      <c r="D13580" t="s">
        <v>8545</v>
      </c>
      <c r="E13580" t="s">
        <v>803</v>
      </c>
      <c r="F13580" s="2" t="str">
        <f>HYPERLINK("http://www.otzar.org/book.asp?618654","זהב שחוט")</f>
        <v>זהב שחוט</v>
      </c>
    </row>
    <row r="13581" spans="1:6" x14ac:dyDescent="0.2">
      <c r="A13581" t="s">
        <v>22930</v>
      </c>
      <c r="B13581" t="s">
        <v>2023</v>
      </c>
      <c r="C13581" t="s">
        <v>16796</v>
      </c>
      <c r="D13581" t="s">
        <v>2303</v>
      </c>
      <c r="F13581" s="2" t="str">
        <f>HYPERLINK("http://www.otzar.org/book.asp?620672","זהב שיבה - 2 כר'")</f>
        <v>זהב שיבה - 2 כר'</v>
      </c>
    </row>
    <row r="13582" spans="1:6" x14ac:dyDescent="0.2">
      <c r="A13582" t="s">
        <v>22931</v>
      </c>
      <c r="B13582" t="s">
        <v>21278</v>
      </c>
      <c r="C13582" t="s">
        <v>71</v>
      </c>
      <c r="D13582" t="s">
        <v>14</v>
      </c>
      <c r="E13582" t="s">
        <v>3798</v>
      </c>
      <c r="F13582" s="2" t="str">
        <f>HYPERLINK("http://www.otzar.org/book.asp?166722","זהב שמואל")</f>
        <v>זהב שמואל</v>
      </c>
    </row>
    <row r="13583" spans="1:6" x14ac:dyDescent="0.2">
      <c r="A13583" t="s">
        <v>22932</v>
      </c>
      <c r="B13583" t="s">
        <v>22933</v>
      </c>
      <c r="C13583" t="s">
        <v>4348</v>
      </c>
      <c r="D13583" t="s">
        <v>22934</v>
      </c>
      <c r="E13583" t="s">
        <v>1847</v>
      </c>
      <c r="F13583" s="2" t="str">
        <f>HYPERLINK("http://www.otzar.org/book.asp?192247","זהורי חמה - חמש מגילות")</f>
        <v>זהורי חמה - חמש מגילות</v>
      </c>
    </row>
    <row r="13584" spans="1:6" x14ac:dyDescent="0.2">
      <c r="A13584" t="s">
        <v>22935</v>
      </c>
      <c r="B13584" t="s">
        <v>22936</v>
      </c>
      <c r="C13584" t="s">
        <v>22937</v>
      </c>
      <c r="D13584" t="s">
        <v>22938</v>
      </c>
      <c r="E13584" t="s">
        <v>22939</v>
      </c>
      <c r="F13584" s="2" t="str">
        <f>HYPERLINK("http://www.otzar.org/book.asp?192243","זהורי חמה - על מגילת אסתר")</f>
        <v>זהורי חמה - על מגילת אסתר</v>
      </c>
    </row>
    <row r="13585" spans="1:6" x14ac:dyDescent="0.2">
      <c r="A13585" t="s">
        <v>22940</v>
      </c>
      <c r="B13585" t="s">
        <v>22941</v>
      </c>
      <c r="C13585" t="s">
        <v>775</v>
      </c>
      <c r="D13585" t="s">
        <v>14</v>
      </c>
      <c r="E13585" t="s">
        <v>4260</v>
      </c>
      <c r="F13585" s="2" t="str">
        <f>HYPERLINK("http://www.otzar.org/book.asp?50552","זהורי שמואל - 4 כר'")</f>
        <v>זהורי שמואל - 4 כר'</v>
      </c>
    </row>
    <row r="13586" spans="1:6" x14ac:dyDescent="0.2">
      <c r="A13586" t="s">
        <v>22942</v>
      </c>
      <c r="B13586" t="s">
        <v>22943</v>
      </c>
      <c r="C13586" t="s">
        <v>68</v>
      </c>
      <c r="D13586" t="s">
        <v>486</v>
      </c>
      <c r="E13586" t="s">
        <v>241</v>
      </c>
      <c r="F13586" s="2" t="str">
        <f>HYPERLINK("http://www.otzar.org/book.asp?156019","זהות")</f>
        <v>זהות</v>
      </c>
    </row>
    <row r="13587" spans="1:6" x14ac:dyDescent="0.2">
      <c r="A13587" t="s">
        <v>22944</v>
      </c>
      <c r="B13587" t="s">
        <v>22945</v>
      </c>
      <c r="C13587" t="s">
        <v>129</v>
      </c>
      <c r="D13587" t="s">
        <v>52</v>
      </c>
      <c r="F13587" s="2" t="str">
        <f>HYPERLINK("http://www.otzar.org/book.asp?611327","זהירות כאן בונים - 3 כר'")</f>
        <v>זהירות כאן בונים - 3 כר'</v>
      </c>
    </row>
    <row r="13588" spans="1:6" x14ac:dyDescent="0.2">
      <c r="A13588" t="s">
        <v>22946</v>
      </c>
      <c r="B13588" t="s">
        <v>22947</v>
      </c>
      <c r="C13588" t="s">
        <v>466</v>
      </c>
      <c r="D13588" t="s">
        <v>412</v>
      </c>
      <c r="E13588" t="s">
        <v>399</v>
      </c>
      <c r="F13588" s="2" t="str">
        <f>HYPERLINK("http://www.otzar.org/book.asp?154625","זהר &lt;פירוש זהר בהיר&gt; - 15 כר'")</f>
        <v>זהר &lt;פירוש זהר בהיר&gt; - 15 כר'</v>
      </c>
    </row>
    <row r="13589" spans="1:6" x14ac:dyDescent="0.2">
      <c r="A13589" t="s">
        <v>22948</v>
      </c>
      <c r="B13589" t="s">
        <v>22949</v>
      </c>
      <c r="C13589" t="s">
        <v>146</v>
      </c>
      <c r="D13589" t="s">
        <v>52</v>
      </c>
      <c r="E13589" t="s">
        <v>158</v>
      </c>
      <c r="F13589" s="2" t="str">
        <f>HYPERLINK("http://www.otzar.org/book.asp?170428","זהר &lt;פירוש הסולם&gt; - 6 כר'")</f>
        <v>זהר &lt;פירוש הסולם&gt; - 6 כר'</v>
      </c>
    </row>
    <row r="13590" spans="1:6" x14ac:dyDescent="0.2">
      <c r="A13590" t="s">
        <v>22950</v>
      </c>
      <c r="B13590" t="s">
        <v>22951</v>
      </c>
      <c r="C13590" t="s">
        <v>68</v>
      </c>
      <c r="D13590" t="s">
        <v>52</v>
      </c>
      <c r="E13590" t="s">
        <v>1847</v>
      </c>
      <c r="F13590" s="2" t="str">
        <f>HYPERLINK("http://www.otzar.org/book.asp?169874","זהר &lt;פירוש הסולם&gt; - 4 כר'")</f>
        <v>זהר &lt;פירוש הסולם&gt; - 4 כר'</v>
      </c>
    </row>
    <row r="13591" spans="1:6" x14ac:dyDescent="0.2">
      <c r="A13591" t="s">
        <v>22952</v>
      </c>
      <c r="B13591" t="s">
        <v>513</v>
      </c>
      <c r="C13591" t="s">
        <v>366</v>
      </c>
      <c r="D13591" t="s">
        <v>14</v>
      </c>
      <c r="F13591" s="2" t="str">
        <f>HYPERLINK("http://www.otzar.org/book.asp?608691","זהר &lt;פירוש הסולם - מאורות הסולם&gt; - הקדמות")</f>
        <v>זהר &lt;פירוש הסולם - מאורות הסולם&gt; - הקדמות</v>
      </c>
    </row>
    <row r="13592" spans="1:6" x14ac:dyDescent="0.2">
      <c r="A13592" t="s">
        <v>22953</v>
      </c>
      <c r="B13592" t="s">
        <v>513</v>
      </c>
      <c r="C13592" t="s">
        <v>22954</v>
      </c>
      <c r="D13592" t="s">
        <v>27</v>
      </c>
      <c r="E13592" t="s">
        <v>399</v>
      </c>
      <c r="F13592" s="2" t="str">
        <f>HYPERLINK("http://www.otzar.org/book.asp?22241","זהר &lt;פירוש הסולם&gt; - 21 כר'")</f>
        <v>זהר &lt;פירוש הסולם&gt; - 21 כר'</v>
      </c>
    </row>
    <row r="13593" spans="1:6" x14ac:dyDescent="0.2">
      <c r="A13593" t="s">
        <v>22955</v>
      </c>
      <c r="B13593" t="s">
        <v>22956</v>
      </c>
      <c r="C13593" t="s">
        <v>2672</v>
      </c>
      <c r="D13593" t="s">
        <v>6537</v>
      </c>
      <c r="F13593" s="2" t="str">
        <f>HYPERLINK("http://www.otzar.org/book.asp?619662","זהר &lt;אמ""ד תע""ה&gt; - 4 כר'")</f>
        <v>זהר &lt;אמ"ד תע"ה&gt; - 4 כר'</v>
      </c>
    </row>
    <row r="13594" spans="1:6" x14ac:dyDescent="0.2">
      <c r="A13594" t="s">
        <v>22957</v>
      </c>
      <c r="B13594" t="s">
        <v>22958</v>
      </c>
      <c r="C13594" t="s">
        <v>22959</v>
      </c>
      <c r="D13594" t="s">
        <v>1411</v>
      </c>
      <c r="E13594" t="s">
        <v>399</v>
      </c>
      <c r="F13594" s="2" t="str">
        <f>HYPERLINK("http://www.otzar.org/book.asp?53501","זהר &lt;מנטובה&gt; - 3 כר'")</f>
        <v>זהר &lt;מנטובה&gt; - 3 כר'</v>
      </c>
    </row>
    <row r="13595" spans="1:6" x14ac:dyDescent="0.2">
      <c r="A13595" t="s">
        <v>22960</v>
      </c>
      <c r="B13595" t="s">
        <v>22958</v>
      </c>
      <c r="C13595" t="s">
        <v>22961</v>
      </c>
      <c r="D13595" t="s">
        <v>1667</v>
      </c>
      <c r="F13595" s="2" t="str">
        <f>HYPERLINK("http://www.otzar.org/book.asp?608929","זהר &lt;קושטא&gt; - 2 כר'")</f>
        <v>זהר &lt;קושטא&gt; - 2 כר'</v>
      </c>
    </row>
    <row r="13596" spans="1:6" x14ac:dyDescent="0.2">
      <c r="A13596" t="s">
        <v>22962</v>
      </c>
      <c r="B13596" t="s">
        <v>22963</v>
      </c>
      <c r="C13596" t="s">
        <v>22964</v>
      </c>
      <c r="D13596" t="s">
        <v>22965</v>
      </c>
      <c r="E13596" t="s">
        <v>399</v>
      </c>
      <c r="F13596" s="2" t="str">
        <f>HYPERLINK("http://www.otzar.org/book.asp?53504","זהר &lt;קרימונה שי""ט&gt;")</f>
        <v>זהר &lt;קרימונה שי"ט&gt;</v>
      </c>
    </row>
    <row r="13597" spans="1:6" x14ac:dyDescent="0.2">
      <c r="A13597" t="s">
        <v>22966</v>
      </c>
      <c r="B13597" t="s">
        <v>22963</v>
      </c>
      <c r="C13597" t="s">
        <v>22964</v>
      </c>
      <c r="D13597" t="s">
        <v>22965</v>
      </c>
      <c r="F13597" s="2" t="str">
        <f>HYPERLINK("http://www.otzar.org/book.asp?153440","זהר &lt;קרימונה&gt; - 3 כר'")</f>
        <v>זהר &lt;קרימונה&gt; - 3 כר'</v>
      </c>
    </row>
    <row r="13598" spans="1:6" x14ac:dyDescent="0.2">
      <c r="A13598" t="s">
        <v>22967</v>
      </c>
      <c r="B13598" t="s">
        <v>22968</v>
      </c>
      <c r="C13598" t="s">
        <v>156</v>
      </c>
      <c r="D13598" t="s">
        <v>855</v>
      </c>
      <c r="E13598" t="s">
        <v>399</v>
      </c>
      <c r="F13598" s="2" t="str">
        <f>HYPERLINK("http://www.otzar.org/book.asp?16053","זהר &lt;מקדש מלך, קהלת יעקב&gt; - 4 כר'")</f>
        <v>זהר &lt;מקדש מלך, קהלת יעקב&gt; - 4 כר'</v>
      </c>
    </row>
    <row r="13599" spans="1:6" x14ac:dyDescent="0.2">
      <c r="A13599" t="s">
        <v>22969</v>
      </c>
      <c r="B13599" t="s">
        <v>22970</v>
      </c>
      <c r="C13599" t="s">
        <v>75</v>
      </c>
      <c r="D13599" t="s">
        <v>22971</v>
      </c>
      <c r="E13599" t="s">
        <v>399</v>
      </c>
      <c r="F13599" s="2" t="str">
        <f>HYPERLINK("http://www.otzar.org/book.asp?169750","זהר &lt;אזמיר&gt; - 4 כר'")</f>
        <v>זהר &lt;אזמיר&gt; - 4 כר'</v>
      </c>
    </row>
    <row r="13600" spans="1:6" x14ac:dyDescent="0.2">
      <c r="A13600" t="s">
        <v>22972</v>
      </c>
      <c r="B13600" t="s">
        <v>22973</v>
      </c>
      <c r="C13600" t="s">
        <v>752</v>
      </c>
      <c r="D13600" t="s">
        <v>1660</v>
      </c>
      <c r="E13600" t="s">
        <v>399</v>
      </c>
      <c r="F13600" s="2" t="str">
        <f>HYPERLINK("http://www.otzar.org/book.asp?169751","זהר &lt;ליוורנו&gt; - א (בראשית)")</f>
        <v>זהר &lt;ליוורנו&gt; - א (בראשית)</v>
      </c>
    </row>
    <row r="13601" spans="1:6" x14ac:dyDescent="0.2">
      <c r="A13601" t="s">
        <v>22974</v>
      </c>
      <c r="B13601" t="s">
        <v>1314</v>
      </c>
      <c r="C13601" t="s">
        <v>22975</v>
      </c>
      <c r="D13601" t="s">
        <v>212</v>
      </c>
      <c r="E13601" t="s">
        <v>399</v>
      </c>
      <c r="F13601" s="2" t="str">
        <f>HYPERLINK("http://www.otzar.org/book.asp?23508","זהר &lt;הרמ""ז, מקדש מלך והדרת מלך&gt; - 5 כר'")</f>
        <v>זהר &lt;הרמ"ז, מקדש מלך והדרת מלך&gt; - 5 כר'</v>
      </c>
    </row>
    <row r="13602" spans="1:6" x14ac:dyDescent="0.2">
      <c r="A13602" t="s">
        <v>22976</v>
      </c>
      <c r="B13602" t="s">
        <v>8609</v>
      </c>
      <c r="C13602" t="s">
        <v>133</v>
      </c>
      <c r="D13602" t="s">
        <v>14</v>
      </c>
      <c r="E13602" t="s">
        <v>15</v>
      </c>
      <c r="F13602" s="2" t="str">
        <f>HYPERLINK("http://www.otzar.org/book.asp?180983","זהר הרמב""ם")</f>
        <v>זהר הרמב"ם</v>
      </c>
    </row>
    <row r="13603" spans="1:6" x14ac:dyDescent="0.2">
      <c r="A13603" t="s">
        <v>22977</v>
      </c>
      <c r="B13603" t="s">
        <v>2620</v>
      </c>
      <c r="C13603" t="s">
        <v>1177</v>
      </c>
      <c r="D13603" t="s">
        <v>56</v>
      </c>
      <c r="E13603" t="s">
        <v>1626</v>
      </c>
      <c r="F13603" s="2" t="str">
        <f>HYPERLINK("http://www.otzar.org/book.asp?10426","זהר הרקיע")</f>
        <v>זהר הרקיע</v>
      </c>
    </row>
    <row r="13604" spans="1:6" x14ac:dyDescent="0.2">
      <c r="A13604" t="s">
        <v>22977</v>
      </c>
      <c r="B13604" t="s">
        <v>552</v>
      </c>
      <c r="C13604" t="s">
        <v>51</v>
      </c>
      <c r="D13604" t="s">
        <v>14</v>
      </c>
      <c r="E13604" t="s">
        <v>202</v>
      </c>
      <c r="F13604" s="2" t="str">
        <f>HYPERLINK("http://www.otzar.org/book.asp?26393","זהר הרקיע")</f>
        <v>זהר הרקיע</v>
      </c>
    </row>
    <row r="13605" spans="1:6" x14ac:dyDescent="0.2">
      <c r="A13605" t="s">
        <v>22978</v>
      </c>
      <c r="B13605" t="s">
        <v>22979</v>
      </c>
      <c r="C13605" t="s">
        <v>985</v>
      </c>
      <c r="D13605" t="s">
        <v>22980</v>
      </c>
      <c r="E13605" t="s">
        <v>399</v>
      </c>
      <c r="F13605" s="2" t="str">
        <f>HYPERLINK("http://www.otzar.org/book.asp?6167","זהר השלם")</f>
        <v>זהר השלם</v>
      </c>
    </row>
    <row r="13606" spans="1:6" x14ac:dyDescent="0.2">
      <c r="A13606" t="s">
        <v>22981</v>
      </c>
      <c r="B13606" t="s">
        <v>22982</v>
      </c>
      <c r="C13606" t="s">
        <v>4198</v>
      </c>
      <c r="D13606" t="s">
        <v>22983</v>
      </c>
      <c r="F13606" s="2" t="str">
        <f>HYPERLINK("http://www.otzar.org/book.asp?53366","זהר חדש ומדרש נעלם")</f>
        <v>זהר חדש ומדרש נעלם</v>
      </c>
    </row>
    <row r="13607" spans="1:6" x14ac:dyDescent="0.2">
      <c r="A13607" t="s">
        <v>22984</v>
      </c>
      <c r="B13607" t="s">
        <v>22985</v>
      </c>
      <c r="C13607" t="s">
        <v>313</v>
      </c>
      <c r="D13607" t="s">
        <v>52</v>
      </c>
      <c r="E13607" t="s">
        <v>399</v>
      </c>
      <c r="F13607" s="2" t="str">
        <f>HYPERLINK("http://www.otzar.org/book.asp?621762","זהר חדש - 2 כר'")</f>
        <v>זהר חדש - 2 כר'</v>
      </c>
    </row>
    <row r="13608" spans="1:6" x14ac:dyDescent="0.2">
      <c r="A13608" t="s">
        <v>22985</v>
      </c>
      <c r="B13608" t="s">
        <v>22986</v>
      </c>
      <c r="C13608" t="s">
        <v>1666</v>
      </c>
      <c r="D13608" t="s">
        <v>76</v>
      </c>
      <c r="F13608" s="2" t="str">
        <f>HYPERLINK("http://www.otzar.org/book.asp?53365","זהר חדש")</f>
        <v>זהר חדש</v>
      </c>
    </row>
    <row r="13609" spans="1:6" x14ac:dyDescent="0.2">
      <c r="A13609" t="s">
        <v>22985</v>
      </c>
      <c r="B13609" t="s">
        <v>22987</v>
      </c>
      <c r="C13609" t="s">
        <v>5160</v>
      </c>
      <c r="D13609" t="s">
        <v>1490</v>
      </c>
      <c r="F13609" s="2" t="str">
        <f>HYPERLINK("http://www.otzar.org/book.asp?53364","זהר חדש")</f>
        <v>זהר חדש</v>
      </c>
    </row>
    <row r="13610" spans="1:6" x14ac:dyDescent="0.2">
      <c r="A13610" t="s">
        <v>22985</v>
      </c>
      <c r="B13610" t="s">
        <v>22988</v>
      </c>
      <c r="C13610" t="s">
        <v>8002</v>
      </c>
      <c r="D13610" t="s">
        <v>1023</v>
      </c>
      <c r="E13610" t="s">
        <v>399</v>
      </c>
      <c r="F13610" s="2" t="str">
        <f>HYPERLINK("http://www.otzar.org/book.asp?21488","זהר חדש")</f>
        <v>זהר חדש</v>
      </c>
    </row>
    <row r="13611" spans="1:6" x14ac:dyDescent="0.2">
      <c r="A13611" t="s">
        <v>22985</v>
      </c>
      <c r="B13611" t="s">
        <v>22989</v>
      </c>
      <c r="C13611" t="s">
        <v>600</v>
      </c>
      <c r="D13611" t="s">
        <v>283</v>
      </c>
      <c r="E13611" t="s">
        <v>399</v>
      </c>
      <c r="F13611" s="2" t="str">
        <f>HYPERLINK("http://www.otzar.org/book.asp?11696","זהר חדש")</f>
        <v>זהר חדש</v>
      </c>
    </row>
    <row r="13612" spans="1:6" x14ac:dyDescent="0.2">
      <c r="A13612" t="s">
        <v>22985</v>
      </c>
      <c r="B13612" t="s">
        <v>22990</v>
      </c>
      <c r="C13612" t="s">
        <v>1718</v>
      </c>
      <c r="D13612" t="s">
        <v>283</v>
      </c>
      <c r="E13612" t="s">
        <v>399</v>
      </c>
      <c r="F13612" s="2" t="str">
        <f>HYPERLINK("http://www.otzar.org/book.asp?5263","זהר חדש")</f>
        <v>זהר חדש</v>
      </c>
    </row>
    <row r="13613" spans="1:6" x14ac:dyDescent="0.2">
      <c r="A13613" t="s">
        <v>22985</v>
      </c>
      <c r="B13613" t="s">
        <v>22991</v>
      </c>
      <c r="C13613" t="s">
        <v>360</v>
      </c>
      <c r="D13613" t="s">
        <v>379</v>
      </c>
      <c r="E13613" t="s">
        <v>399</v>
      </c>
      <c r="F13613" s="2" t="str">
        <f>HYPERLINK("http://www.otzar.org/book.asp?23713","זהר חדש")</f>
        <v>זהר חדש</v>
      </c>
    </row>
    <row r="13614" spans="1:6" x14ac:dyDescent="0.2">
      <c r="A13614" t="s">
        <v>22985</v>
      </c>
      <c r="B13614" t="s">
        <v>22992</v>
      </c>
      <c r="C13614" t="s">
        <v>3106</v>
      </c>
      <c r="D13614" t="s">
        <v>27</v>
      </c>
      <c r="E13614" t="s">
        <v>399</v>
      </c>
      <c r="F13614" s="2" t="str">
        <f>HYPERLINK("http://www.otzar.org/book.asp?14297","זהר חדש")</f>
        <v>זהר חדש</v>
      </c>
    </row>
    <row r="13615" spans="1:6" x14ac:dyDescent="0.2">
      <c r="A13615" t="s">
        <v>22993</v>
      </c>
      <c r="B13615" t="s">
        <v>1720</v>
      </c>
      <c r="C13615" t="s">
        <v>10165</v>
      </c>
      <c r="D13615" t="s">
        <v>267</v>
      </c>
      <c r="E13615" t="s">
        <v>399</v>
      </c>
      <c r="F13615" s="2" t="str">
        <f>HYPERLINK("http://www.otzar.org/book.asp?16054","זהר חי - 3 כר'")</f>
        <v>זהר חי - 3 כר'</v>
      </c>
    </row>
    <row r="13616" spans="1:6" x14ac:dyDescent="0.2">
      <c r="A13616" t="s">
        <v>22994</v>
      </c>
      <c r="B13616" t="s">
        <v>22995</v>
      </c>
      <c r="C13616" t="s">
        <v>22996</v>
      </c>
      <c r="D13616" t="s">
        <v>7894</v>
      </c>
      <c r="E13616" t="s">
        <v>399</v>
      </c>
      <c r="F13616" s="2" t="str">
        <f>HYPERLINK("http://www.otzar.org/book.asp?300548","זהר על התורה - 5 כר'")</f>
        <v>זהר על התורה - 5 כר'</v>
      </c>
    </row>
    <row r="13617" spans="1:6" x14ac:dyDescent="0.2">
      <c r="A13617" t="s">
        <v>22997</v>
      </c>
      <c r="B13617" t="s">
        <v>22998</v>
      </c>
      <c r="C13617" t="s">
        <v>22999</v>
      </c>
      <c r="D13617" t="s">
        <v>1660</v>
      </c>
      <c r="E13617" t="s">
        <v>399</v>
      </c>
      <c r="F13617" s="2" t="str">
        <f>HYPERLINK("http://www.otzar.org/book.asp?159416","זהר על התורה - 6 כר'")</f>
        <v>זהר על התורה - 6 כר'</v>
      </c>
    </row>
    <row r="13618" spans="1:6" x14ac:dyDescent="0.2">
      <c r="A13618" t="s">
        <v>23000</v>
      </c>
      <c r="B13618" t="s">
        <v>1798</v>
      </c>
      <c r="C13618" t="s">
        <v>103</v>
      </c>
      <c r="D13618" t="s">
        <v>14</v>
      </c>
      <c r="E13618" t="s">
        <v>399</v>
      </c>
      <c r="F13618" s="2" t="str">
        <f>HYPERLINK("http://www.otzar.org/book.asp?62061","זהר עם פירוש דמשק אליעזר - 6 כר'")</f>
        <v>זהר עם פירוש דמשק אליעזר - 6 כר'</v>
      </c>
    </row>
    <row r="13619" spans="1:6" x14ac:dyDescent="0.2">
      <c r="A13619" t="s">
        <v>23001</v>
      </c>
      <c r="B13619" t="s">
        <v>4821</v>
      </c>
      <c r="C13619" t="s">
        <v>20</v>
      </c>
      <c r="D13619" t="s">
        <v>90</v>
      </c>
      <c r="E13619" t="s">
        <v>11950</v>
      </c>
      <c r="F13619" s="2" t="str">
        <f>HYPERLINK("http://www.otzar.org/book.asp?23477","זהר רות, מדרש אותיות דרבי עקיבא")</f>
        <v>זהר רות, מדרש אותיות דרבי עקיבא</v>
      </c>
    </row>
    <row r="13620" spans="1:6" x14ac:dyDescent="0.2">
      <c r="A13620" t="s">
        <v>23002</v>
      </c>
      <c r="B13620" t="s">
        <v>5667</v>
      </c>
      <c r="C13620" t="s">
        <v>23003</v>
      </c>
      <c r="D13620" t="s">
        <v>14778</v>
      </c>
      <c r="E13620" t="s">
        <v>399</v>
      </c>
      <c r="F13620" s="2" t="str">
        <f>HYPERLINK("http://www.otzar.org/book.asp?11877","זהר תורה &lt;עם זיו הזהר&gt; - 7 כר'")</f>
        <v>זהר תורה &lt;עם זיו הזהר&gt; - 7 כר'</v>
      </c>
    </row>
    <row r="13621" spans="1:6" x14ac:dyDescent="0.2">
      <c r="A13621" t="s">
        <v>23004</v>
      </c>
      <c r="B13621" t="s">
        <v>1390</v>
      </c>
      <c r="C13621" t="s">
        <v>23005</v>
      </c>
      <c r="D13621" t="s">
        <v>139</v>
      </c>
      <c r="E13621" t="s">
        <v>399</v>
      </c>
      <c r="F13621" s="2" t="str">
        <f>HYPERLINK("http://www.otzar.org/book.asp?604066","זהר תניינא לרמח""ל &lt;עם תרגום ללשה""ק&gt;")</f>
        <v>זהר תניינא לרמח"ל &lt;עם תרגום ללשה"ק&gt;</v>
      </c>
    </row>
    <row r="13622" spans="1:6" x14ac:dyDescent="0.2">
      <c r="A13622" t="s">
        <v>23006</v>
      </c>
      <c r="B13622" t="s">
        <v>1390</v>
      </c>
      <c r="C13622" t="s">
        <v>411</v>
      </c>
      <c r="D13622" t="s">
        <v>14</v>
      </c>
      <c r="E13622" t="s">
        <v>1847</v>
      </c>
      <c r="F13622" s="2" t="str">
        <f>HYPERLINK("http://www.otzar.org/book.asp?180256","זהר תניינא לרמח""ל - 2 כר'")</f>
        <v>זהר תניינא לרמח"ל - 2 כר'</v>
      </c>
    </row>
    <row r="13623" spans="1:6" x14ac:dyDescent="0.2">
      <c r="A13623" t="s">
        <v>23007</v>
      </c>
      <c r="B13623" t="s">
        <v>23008</v>
      </c>
      <c r="C13623" t="s">
        <v>23009</v>
      </c>
      <c r="D13623" t="s">
        <v>1490</v>
      </c>
      <c r="E13623" t="s">
        <v>399</v>
      </c>
      <c r="F13623" s="2" t="str">
        <f>HYPERLINK("http://www.otzar.org/book.asp?102998","זהר - 2 כר'")</f>
        <v>זהר - 2 כר'</v>
      </c>
    </row>
    <row r="13624" spans="1:6" x14ac:dyDescent="0.2">
      <c r="A13624" t="s">
        <v>23010</v>
      </c>
      <c r="B13624" t="s">
        <v>23011</v>
      </c>
      <c r="C13624" t="s">
        <v>14541</v>
      </c>
      <c r="D13624" t="s">
        <v>1538</v>
      </c>
      <c r="E13624" t="s">
        <v>1847</v>
      </c>
      <c r="F13624" s="2" t="str">
        <f>HYPERLINK("http://www.otzar.org/book.asp?5251","זהר - שמות")</f>
        <v>זהר - שמות</v>
      </c>
    </row>
    <row r="13625" spans="1:6" x14ac:dyDescent="0.2">
      <c r="A13625" t="s">
        <v>23012</v>
      </c>
      <c r="B13625" t="s">
        <v>23013</v>
      </c>
      <c r="C13625" t="s">
        <v>2617</v>
      </c>
      <c r="D13625" t="s">
        <v>1419</v>
      </c>
      <c r="E13625" t="s">
        <v>399</v>
      </c>
      <c r="F13625" s="2" t="str">
        <f>HYPERLINK("http://www.otzar.org/book.asp?105372","זהר - 3 כר'")</f>
        <v>זהר - 3 כר'</v>
      </c>
    </row>
    <row r="13626" spans="1:6" x14ac:dyDescent="0.2">
      <c r="A13626" t="s">
        <v>23012</v>
      </c>
      <c r="B13626" t="s">
        <v>23014</v>
      </c>
      <c r="C13626" t="s">
        <v>1437</v>
      </c>
      <c r="D13626" t="s">
        <v>1913</v>
      </c>
      <c r="E13626" t="s">
        <v>399</v>
      </c>
      <c r="F13626" s="2" t="str">
        <f>HYPERLINK("http://www.otzar.org/book.asp?105606","זהר - 3 כר'")</f>
        <v>זהר - 3 כר'</v>
      </c>
    </row>
    <row r="13627" spans="1:6" x14ac:dyDescent="0.2">
      <c r="A13627" t="s">
        <v>23015</v>
      </c>
      <c r="B13627" t="s">
        <v>23016</v>
      </c>
      <c r="C13627" t="s">
        <v>332</v>
      </c>
      <c r="D13627" t="s">
        <v>646</v>
      </c>
      <c r="E13627" t="s">
        <v>9092</v>
      </c>
      <c r="F13627" s="2" t="str">
        <f>HYPERLINK("http://www.otzar.org/book.asp?23780","זהרי הש""ס - 2 כר'")</f>
        <v>זהרי הש"ס - 2 כר'</v>
      </c>
    </row>
    <row r="13628" spans="1:6" x14ac:dyDescent="0.2">
      <c r="A13628" t="s">
        <v>23017</v>
      </c>
      <c r="B13628" t="s">
        <v>23018</v>
      </c>
      <c r="C13628" t="s">
        <v>609</v>
      </c>
      <c r="D13628" t="s">
        <v>3293</v>
      </c>
      <c r="E13628" t="s">
        <v>1438</v>
      </c>
      <c r="F13628" s="2" t="str">
        <f>HYPERLINK("http://www.otzar.org/book.asp?16080","זהרי זהר")</f>
        <v>זהרי זהר</v>
      </c>
    </row>
    <row r="13629" spans="1:6" x14ac:dyDescent="0.2">
      <c r="A13629" t="s">
        <v>23019</v>
      </c>
      <c r="B13629" t="s">
        <v>1895</v>
      </c>
      <c r="C13629" t="s">
        <v>10455</v>
      </c>
      <c r="D13629" t="s">
        <v>379</v>
      </c>
      <c r="E13629" t="s">
        <v>399</v>
      </c>
      <c r="F13629" s="2" t="str">
        <f>HYPERLINK("http://www.otzar.org/book.asp?16050","זהרי חמה - 2 כר'")</f>
        <v>זהרי חמה - 2 כר'</v>
      </c>
    </row>
    <row r="13630" spans="1:6" x14ac:dyDescent="0.2">
      <c r="A13630" t="s">
        <v>23019</v>
      </c>
      <c r="B13630" t="s">
        <v>23020</v>
      </c>
      <c r="C13630" t="s">
        <v>1885</v>
      </c>
      <c r="D13630" t="s">
        <v>2181</v>
      </c>
      <c r="E13630" t="s">
        <v>24</v>
      </c>
      <c r="F13630" s="2" t="str">
        <f>HYPERLINK("http://www.otzar.org/book.asp?21696","זהרי חמה - 2 כר'")</f>
        <v>זהרי חמה - 2 כר'</v>
      </c>
    </row>
    <row r="13631" spans="1:6" x14ac:dyDescent="0.2">
      <c r="A13631" t="s">
        <v>23021</v>
      </c>
      <c r="B13631" t="s">
        <v>4480</v>
      </c>
      <c r="C13631" t="s">
        <v>313</v>
      </c>
      <c r="D13631" t="s">
        <v>14</v>
      </c>
      <c r="E13631" t="s">
        <v>104</v>
      </c>
      <c r="F13631" s="2" t="str">
        <f>HYPERLINK("http://www.otzar.org/book.asp?83687","זהרי חמה")</f>
        <v>זהרי חמה</v>
      </c>
    </row>
    <row r="13632" spans="1:6" x14ac:dyDescent="0.2">
      <c r="A13632" t="s">
        <v>23021</v>
      </c>
      <c r="B13632" t="s">
        <v>23022</v>
      </c>
      <c r="C13632" t="s">
        <v>785</v>
      </c>
      <c r="D13632" t="s">
        <v>2867</v>
      </c>
      <c r="E13632" t="s">
        <v>960</v>
      </c>
      <c r="F13632" s="2" t="str">
        <f>HYPERLINK("http://www.otzar.org/book.asp?189745","זהרי חמה")</f>
        <v>זהרי חמה</v>
      </c>
    </row>
    <row r="13633" spans="1:6" x14ac:dyDescent="0.2">
      <c r="A13633" t="s">
        <v>23021</v>
      </c>
      <c r="B13633" t="s">
        <v>23023</v>
      </c>
      <c r="C13633" t="s">
        <v>585</v>
      </c>
      <c r="D13633" t="s">
        <v>14</v>
      </c>
      <c r="E13633" t="s">
        <v>226</v>
      </c>
      <c r="F13633" s="2" t="str">
        <f>HYPERLINK("http://www.otzar.org/book.asp?164261","זהרי חמה")</f>
        <v>זהרי חמה</v>
      </c>
    </row>
    <row r="13634" spans="1:6" x14ac:dyDescent="0.2">
      <c r="A13634" t="s">
        <v>23024</v>
      </c>
      <c r="B13634" t="s">
        <v>1091</v>
      </c>
      <c r="C13634" t="s">
        <v>37</v>
      </c>
      <c r="D13634" t="s">
        <v>14</v>
      </c>
      <c r="E13634" t="s">
        <v>119</v>
      </c>
      <c r="F13634" s="2" t="str">
        <f>HYPERLINK("http://www.otzar.org/book.asp?189210","זהרי חמה - תולדות רבי זונדל קרויזר")</f>
        <v>זהרי חמה - תולדות רבי זונדל קרויזר</v>
      </c>
    </row>
    <row r="13635" spans="1:6" x14ac:dyDescent="0.2">
      <c r="A13635" t="s">
        <v>23021</v>
      </c>
      <c r="B13635" t="s">
        <v>23025</v>
      </c>
      <c r="C13635" t="s">
        <v>585</v>
      </c>
      <c r="D13635" t="s">
        <v>412</v>
      </c>
      <c r="E13635" t="s">
        <v>2071</v>
      </c>
      <c r="F13635" s="2" t="str">
        <f>HYPERLINK("http://www.otzar.org/book.asp?628162","זהרי חמה")</f>
        <v>זהרי חמה</v>
      </c>
    </row>
    <row r="13636" spans="1:6" x14ac:dyDescent="0.2">
      <c r="A13636" t="s">
        <v>23026</v>
      </c>
      <c r="B13636" t="s">
        <v>776</v>
      </c>
      <c r="C13636" t="s">
        <v>3840</v>
      </c>
      <c r="D13636" t="s">
        <v>27</v>
      </c>
      <c r="E13636" t="s">
        <v>241</v>
      </c>
      <c r="F13636" s="2" t="str">
        <f>HYPERLINK("http://www.otzar.org/book.asp?179231","זהרי חן")</f>
        <v>זהרי חן</v>
      </c>
    </row>
    <row r="13637" spans="1:6" x14ac:dyDescent="0.2">
      <c r="A13637" t="s">
        <v>23027</v>
      </c>
      <c r="B13637" t="s">
        <v>23028</v>
      </c>
      <c r="C13637" t="s">
        <v>1625</v>
      </c>
      <c r="D13637" t="s">
        <v>726</v>
      </c>
      <c r="E13637" t="s">
        <v>5144</v>
      </c>
      <c r="F13637" s="2" t="str">
        <f>HYPERLINK("http://www.otzar.org/book.asp?62157","זו הקינה על מאה ועשרים אלפים קדושים במדינות רוסיא")</f>
        <v>זו הקינה על מאה ועשרים אלפים קדושים במדינות רוסיא</v>
      </c>
    </row>
    <row r="13638" spans="1:6" x14ac:dyDescent="0.2">
      <c r="A13638" t="s">
        <v>23029</v>
      </c>
      <c r="B13638" t="s">
        <v>23030</v>
      </c>
      <c r="C13638" t="s">
        <v>402</v>
      </c>
      <c r="D13638" t="s">
        <v>1490</v>
      </c>
      <c r="E13638" t="s">
        <v>219</v>
      </c>
      <c r="F13638" s="2" t="str">
        <f>HYPERLINK("http://www.otzar.org/book.asp?18723","זובח תודה")</f>
        <v>זובח תודה</v>
      </c>
    </row>
    <row r="13639" spans="1:6" x14ac:dyDescent="0.2">
      <c r="A13639" t="s">
        <v>23029</v>
      </c>
      <c r="B13639" t="s">
        <v>2188</v>
      </c>
      <c r="C13639" t="s">
        <v>3573</v>
      </c>
      <c r="D13639" t="s">
        <v>23031</v>
      </c>
      <c r="E13639" t="s">
        <v>15</v>
      </c>
      <c r="F13639" s="2" t="str">
        <f>HYPERLINK("http://www.otzar.org/book.asp?623560","זובח תודה")</f>
        <v>זובח תודה</v>
      </c>
    </row>
    <row r="13640" spans="1:6" x14ac:dyDescent="0.2">
      <c r="A13640" t="s">
        <v>23032</v>
      </c>
      <c r="B13640" t="s">
        <v>2900</v>
      </c>
      <c r="C13640" t="s">
        <v>99</v>
      </c>
      <c r="D13640" t="s">
        <v>1651</v>
      </c>
      <c r="E13640" t="s">
        <v>579</v>
      </c>
      <c r="F13640" s="2" t="str">
        <f>HYPERLINK("http://www.otzar.org/book.asp?154398","זוג המלים בתנ""ך")</f>
        <v>זוג המלים בתנ"ך</v>
      </c>
    </row>
    <row r="13641" spans="1:6" x14ac:dyDescent="0.2">
      <c r="A13641" t="s">
        <v>23033</v>
      </c>
      <c r="B13641" t="s">
        <v>23034</v>
      </c>
      <c r="C13641" t="s">
        <v>624</v>
      </c>
      <c r="D13641" t="s">
        <v>90</v>
      </c>
      <c r="E13641" t="s">
        <v>241</v>
      </c>
      <c r="F13641" s="2" t="str">
        <f>HYPERLINK("http://www.otzar.org/book.asp?161935","זוג מקודש")</f>
        <v>זוג מקודש</v>
      </c>
    </row>
    <row r="13642" spans="1:6" x14ac:dyDescent="0.2">
      <c r="A13642" t="s">
        <v>23035</v>
      </c>
      <c r="B13642" t="s">
        <v>7854</v>
      </c>
      <c r="C13642" t="s">
        <v>20</v>
      </c>
      <c r="D13642" t="s">
        <v>14</v>
      </c>
      <c r="E13642" t="s">
        <v>104</v>
      </c>
      <c r="F13642" s="2" t="str">
        <f>HYPERLINK("http://www.otzar.org/book.asp?188529","זוג משמים")</f>
        <v>זוג משמים</v>
      </c>
    </row>
    <row r="13643" spans="1:6" x14ac:dyDescent="0.2">
      <c r="A13643" t="s">
        <v>23036</v>
      </c>
      <c r="B13643" t="s">
        <v>23037</v>
      </c>
      <c r="C13643" t="s">
        <v>22770</v>
      </c>
      <c r="D13643" t="s">
        <v>1411</v>
      </c>
      <c r="E13643" t="s">
        <v>714</v>
      </c>
      <c r="F13643" s="2" t="str">
        <f>HYPERLINK("http://www.otzar.org/book.asp?146837","זוהי דרך ישרה")</f>
        <v>זוהי דרך ישרה</v>
      </c>
    </row>
    <row r="13644" spans="1:6" x14ac:dyDescent="0.2">
      <c r="A13644" t="s">
        <v>23038</v>
      </c>
      <c r="B13644" t="s">
        <v>18568</v>
      </c>
      <c r="C13644" t="s">
        <v>547</v>
      </c>
      <c r="D13644" t="s">
        <v>5659</v>
      </c>
      <c r="E13644" t="s">
        <v>703</v>
      </c>
      <c r="F13644" s="2" t="str">
        <f>HYPERLINK("http://www.otzar.org/book.asp?11381","זוהר דעת")</f>
        <v>זוהר דעת</v>
      </c>
    </row>
    <row r="13645" spans="1:6" x14ac:dyDescent="0.2">
      <c r="A13645" t="s">
        <v>23039</v>
      </c>
      <c r="B13645" t="s">
        <v>23040</v>
      </c>
      <c r="C13645" t="s">
        <v>23</v>
      </c>
      <c r="D13645" t="s">
        <v>1156</v>
      </c>
      <c r="F13645" s="2" t="str">
        <f>HYPERLINK("http://www.otzar.org/book.asp?612416","זוהר הגאולה")</f>
        <v>זוהר הגאולה</v>
      </c>
    </row>
    <row r="13646" spans="1:6" x14ac:dyDescent="0.2">
      <c r="A13646" t="s">
        <v>23041</v>
      </c>
      <c r="B13646" t="s">
        <v>23042</v>
      </c>
      <c r="C13646" t="s">
        <v>603</v>
      </c>
      <c r="D13646" t="s">
        <v>23043</v>
      </c>
      <c r="E13646" t="s">
        <v>24</v>
      </c>
      <c r="F13646" s="2" t="str">
        <f>HYPERLINK("http://www.otzar.org/book.asp?20153","זוהר הלבנה")</f>
        <v>זוהר הלבנה</v>
      </c>
    </row>
    <row r="13647" spans="1:6" x14ac:dyDescent="0.2">
      <c r="A13647" t="s">
        <v>23044</v>
      </c>
      <c r="B13647" t="s">
        <v>2620</v>
      </c>
      <c r="C13647" t="s">
        <v>9159</v>
      </c>
      <c r="D13647" t="s">
        <v>1490</v>
      </c>
      <c r="E13647" t="s">
        <v>219</v>
      </c>
      <c r="F13647" s="2" t="str">
        <f>HYPERLINK("http://www.otzar.org/book.asp?158921","זוהר הרקיע - 3 כר'")</f>
        <v>זוהר הרקיע - 3 כר'</v>
      </c>
    </row>
    <row r="13648" spans="1:6" x14ac:dyDescent="0.2">
      <c r="A13648" t="s">
        <v>23045</v>
      </c>
      <c r="B13648" t="s">
        <v>22291</v>
      </c>
      <c r="C13648" t="s">
        <v>151</v>
      </c>
      <c r="E13648" t="s">
        <v>15</v>
      </c>
      <c r="F13648" s="2" t="str">
        <f>HYPERLINK("http://www.otzar.org/book.asp?624821","זוהר הרקיע")</f>
        <v>זוהר הרקיע</v>
      </c>
    </row>
    <row r="13649" spans="1:6" x14ac:dyDescent="0.2">
      <c r="A13649" t="s">
        <v>23046</v>
      </c>
      <c r="B13649" t="s">
        <v>23047</v>
      </c>
      <c r="C13649" t="s">
        <v>1524</v>
      </c>
      <c r="D13649" t="s">
        <v>4364</v>
      </c>
      <c r="E13649" t="s">
        <v>399</v>
      </c>
      <c r="F13649" s="2" t="str">
        <f>HYPERLINK("http://www.otzar.org/book.asp?25838","זוהר הרקיע - 2 כר'")</f>
        <v>זוהר הרקיע - 2 כר'</v>
      </c>
    </row>
    <row r="13650" spans="1:6" x14ac:dyDescent="0.2">
      <c r="A13650" t="s">
        <v>23048</v>
      </c>
      <c r="B13650" t="s">
        <v>8270</v>
      </c>
      <c r="C13650" t="s">
        <v>334</v>
      </c>
      <c r="D13650" t="s">
        <v>14</v>
      </c>
      <c r="E13650" t="s">
        <v>2075</v>
      </c>
      <c r="F13650" s="2" t="str">
        <f>HYPERLINK("http://www.otzar.org/book.asp?107042","זוהר השמש")</f>
        <v>זוהר השמש</v>
      </c>
    </row>
    <row r="13651" spans="1:6" x14ac:dyDescent="0.2">
      <c r="A13651" t="s">
        <v>23049</v>
      </c>
      <c r="B13651" t="s">
        <v>22982</v>
      </c>
      <c r="C13651" t="s">
        <v>4198</v>
      </c>
      <c r="D13651" t="s">
        <v>22983</v>
      </c>
      <c r="F13651" s="2" t="str">
        <f>HYPERLINK("http://www.otzar.org/book.asp?164939","זוהר חדש ומדרש נעלם")</f>
        <v>זוהר חדש ומדרש נעלם</v>
      </c>
    </row>
    <row r="13652" spans="1:6" x14ac:dyDescent="0.2">
      <c r="A13652" t="s">
        <v>23050</v>
      </c>
      <c r="B13652" t="s">
        <v>23051</v>
      </c>
      <c r="C13652" t="s">
        <v>1395</v>
      </c>
      <c r="D13652" t="s">
        <v>1117</v>
      </c>
      <c r="F13652" s="2" t="str">
        <f>HYPERLINK("http://www.otzar.org/book.asp?152818","זוהר חדש")</f>
        <v>זוהר חדש</v>
      </c>
    </row>
    <row r="13653" spans="1:6" x14ac:dyDescent="0.2">
      <c r="A13653" t="s">
        <v>23050</v>
      </c>
      <c r="B13653" t="s">
        <v>22987</v>
      </c>
      <c r="C13653" t="s">
        <v>5160</v>
      </c>
      <c r="D13653" t="s">
        <v>1490</v>
      </c>
      <c r="F13653" s="2" t="str">
        <f>HYPERLINK("http://www.otzar.org/book.asp?164799","זוהר חדש")</f>
        <v>זוהר חדש</v>
      </c>
    </row>
    <row r="13654" spans="1:6" x14ac:dyDescent="0.2">
      <c r="A13654" t="s">
        <v>23052</v>
      </c>
      <c r="B13654" t="s">
        <v>1800</v>
      </c>
      <c r="C13654" t="s">
        <v>725</v>
      </c>
      <c r="D13654" t="s">
        <v>27</v>
      </c>
      <c r="E13654" t="s">
        <v>399</v>
      </c>
      <c r="F13654" s="2" t="str">
        <f>HYPERLINK("http://www.otzar.org/book.asp?142809","זוהר סבא דמשפטים עם פירוש מתוק לנפש")</f>
        <v>זוהר סבא דמשפטים עם פירוש מתוק לנפש</v>
      </c>
    </row>
    <row r="13655" spans="1:6" x14ac:dyDescent="0.2">
      <c r="A13655" t="s">
        <v>23053</v>
      </c>
      <c r="B13655" t="s">
        <v>8802</v>
      </c>
      <c r="C13655" t="s">
        <v>411</v>
      </c>
      <c r="D13655" t="s">
        <v>21</v>
      </c>
      <c r="E13655" t="s">
        <v>1847</v>
      </c>
      <c r="F13655" s="2" t="str">
        <f>HYPERLINK("http://www.otzar.org/book.asp?608334","זוהר על התהלים - 2 כר'")</f>
        <v>זוהר על התהלים - 2 כר'</v>
      </c>
    </row>
    <row r="13656" spans="1:6" x14ac:dyDescent="0.2">
      <c r="A13656" t="s">
        <v>23054</v>
      </c>
      <c r="B13656" t="s">
        <v>1390</v>
      </c>
      <c r="C13656" t="s">
        <v>71</v>
      </c>
      <c r="D13656" t="s">
        <v>14</v>
      </c>
      <c r="E13656" t="s">
        <v>1438</v>
      </c>
      <c r="F13656" s="2" t="str">
        <f>HYPERLINK("http://www.otzar.org/book.asp?12682","זוהר רמח""ל")</f>
        <v>זוהר רמח"ל</v>
      </c>
    </row>
    <row r="13657" spans="1:6" x14ac:dyDescent="0.2">
      <c r="A13657" t="s">
        <v>23055</v>
      </c>
      <c r="B13657" t="s">
        <v>2658</v>
      </c>
      <c r="C13657" t="s">
        <v>812</v>
      </c>
      <c r="D13657" t="s">
        <v>27</v>
      </c>
      <c r="E13657" t="s">
        <v>957</v>
      </c>
      <c r="F13657" s="2" t="str">
        <f>HYPERLINK("http://www.otzar.org/book.asp?491","זוהר תורה")</f>
        <v>זוהר תורה</v>
      </c>
    </row>
    <row r="13658" spans="1:6" x14ac:dyDescent="0.2">
      <c r="A13658" t="s">
        <v>23056</v>
      </c>
      <c r="B13658" t="s">
        <v>23057</v>
      </c>
      <c r="C13658" t="s">
        <v>427</v>
      </c>
      <c r="D13658" t="s">
        <v>9</v>
      </c>
      <c r="E13658" t="s">
        <v>158</v>
      </c>
      <c r="F13658" s="2" t="str">
        <f>HYPERLINK("http://www.otzar.org/book.asp?167408","זוהרי תורה")</f>
        <v>זוהרי תורה</v>
      </c>
    </row>
    <row r="13659" spans="1:6" x14ac:dyDescent="0.2">
      <c r="A13659" t="s">
        <v>23058</v>
      </c>
      <c r="B13659" t="s">
        <v>23059</v>
      </c>
      <c r="C13659" t="s">
        <v>286</v>
      </c>
      <c r="D13659" t="s">
        <v>287</v>
      </c>
      <c r="F13659" s="2" t="str">
        <f>HYPERLINK("http://www.otzar.org/book.asp?173408","זוודין לאורחא ותיקון הנפש")</f>
        <v>זוודין לאורחא ותיקון הנפש</v>
      </c>
    </row>
    <row r="13660" spans="1:6" x14ac:dyDescent="0.2">
      <c r="A13660" t="s">
        <v>23060</v>
      </c>
      <c r="B13660" t="s">
        <v>9358</v>
      </c>
      <c r="C13660" t="s">
        <v>1640</v>
      </c>
      <c r="D13660" t="s">
        <v>216</v>
      </c>
      <c r="E13660" t="s">
        <v>119</v>
      </c>
      <c r="F13660" s="2" t="str">
        <f>HYPERLINK("http://www.otzar.org/book.asp?171604","זווהיל")</f>
        <v>זווהיל</v>
      </c>
    </row>
    <row r="13661" spans="1:6" x14ac:dyDescent="0.2">
      <c r="A13661" t="s">
        <v>23061</v>
      </c>
      <c r="B13661" t="s">
        <v>23062</v>
      </c>
      <c r="C13661" t="s">
        <v>619</v>
      </c>
      <c r="D13661" t="s">
        <v>535</v>
      </c>
      <c r="E13661" t="s">
        <v>144</v>
      </c>
      <c r="F13661" s="2" t="str">
        <f>HYPERLINK("http://www.otzar.org/book.asp?18724","זוטו של ים")</f>
        <v>זוטו של ים</v>
      </c>
    </row>
    <row r="13662" spans="1:6" x14ac:dyDescent="0.2">
      <c r="A13662" t="s">
        <v>23063</v>
      </c>
      <c r="B13662" t="s">
        <v>3554</v>
      </c>
      <c r="C13662" t="s">
        <v>940</v>
      </c>
      <c r="D13662" t="s">
        <v>14</v>
      </c>
      <c r="E13662" t="s">
        <v>104</v>
      </c>
      <c r="F13662" s="2" t="str">
        <f>HYPERLINK("http://www.otzar.org/book.asp?172972","זוטו של נהר")</f>
        <v>זוטו של נהר</v>
      </c>
    </row>
    <row r="13663" spans="1:6" x14ac:dyDescent="0.2">
      <c r="A13663" t="s">
        <v>23064</v>
      </c>
      <c r="B13663" t="s">
        <v>22168</v>
      </c>
      <c r="C13663" t="s">
        <v>68</v>
      </c>
      <c r="D13663" t="s">
        <v>118</v>
      </c>
      <c r="E13663" t="s">
        <v>15</v>
      </c>
      <c r="F13663" s="2" t="str">
        <f>HYPERLINK("http://www.otzar.org/book.asp?159318","זוכר ברית אבות - מנהגי אבותינו שבמרוקו")</f>
        <v>זוכר ברית אבות - מנהגי אבותינו שבמרוקו</v>
      </c>
    </row>
    <row r="13664" spans="1:6" x14ac:dyDescent="0.2">
      <c r="A13664" t="s">
        <v>23065</v>
      </c>
      <c r="B13664" t="s">
        <v>23066</v>
      </c>
      <c r="C13664" t="s">
        <v>1535</v>
      </c>
      <c r="D13664" t="s">
        <v>929</v>
      </c>
      <c r="E13664" t="s">
        <v>23067</v>
      </c>
      <c r="F13664" s="2" t="str">
        <f>HYPERLINK("http://www.otzar.org/book.asp?104612","זוכר הברית")</f>
        <v>זוכר הברית</v>
      </c>
    </row>
    <row r="13665" spans="1:6" x14ac:dyDescent="0.2">
      <c r="A13665" t="s">
        <v>23065</v>
      </c>
      <c r="B13665" t="s">
        <v>6661</v>
      </c>
      <c r="C13665" t="s">
        <v>313</v>
      </c>
      <c r="D13665" t="s">
        <v>486</v>
      </c>
      <c r="E13665" t="s">
        <v>1262</v>
      </c>
      <c r="F13665" s="2" t="str">
        <f>HYPERLINK("http://www.otzar.org/book.asp?193050","זוכר הברית")</f>
        <v>זוכר הברית</v>
      </c>
    </row>
    <row r="13666" spans="1:6" x14ac:dyDescent="0.2">
      <c r="A13666" t="s">
        <v>23068</v>
      </c>
      <c r="B13666" t="s">
        <v>23069</v>
      </c>
      <c r="C13666" t="s">
        <v>151</v>
      </c>
      <c r="F13666" s="2" t="str">
        <f>HYPERLINK("http://www.otzar.org/book.asp?613972","זוכרי קדושתיך")</f>
        <v>זוכרי קדושתיך</v>
      </c>
    </row>
    <row r="13667" spans="1:6" x14ac:dyDescent="0.2">
      <c r="A13667" t="s">
        <v>23070</v>
      </c>
      <c r="B13667" t="s">
        <v>11725</v>
      </c>
      <c r="C13667" t="s">
        <v>22368</v>
      </c>
      <c r="D13667" t="s">
        <v>23071</v>
      </c>
      <c r="E13667" t="s">
        <v>219</v>
      </c>
      <c r="F13667" s="2" t="str">
        <f>HYPERLINK("http://www.otzar.org/book.asp?147190","זולתות בין פסח לשבועת")</f>
        <v>זולתות בין פסח לשבועת</v>
      </c>
    </row>
    <row r="13668" spans="1:6" x14ac:dyDescent="0.2">
      <c r="A13668" t="s">
        <v>23072</v>
      </c>
      <c r="B13668" t="s">
        <v>3660</v>
      </c>
      <c r="C13668" t="s">
        <v>103</v>
      </c>
      <c r="D13668" t="s">
        <v>367</v>
      </c>
      <c r="E13668" t="s">
        <v>23073</v>
      </c>
      <c r="F13668" s="2" t="str">
        <f>HYPERLINK("http://www.otzar.org/book.asp?51295","זורע צדקות")</f>
        <v>זורע צדקות</v>
      </c>
    </row>
    <row r="13669" spans="1:6" x14ac:dyDescent="0.2">
      <c r="A13669" t="s">
        <v>23074</v>
      </c>
      <c r="B13669" t="s">
        <v>23075</v>
      </c>
      <c r="C13669" t="s">
        <v>576</v>
      </c>
      <c r="D13669" t="s">
        <v>1180</v>
      </c>
      <c r="F13669" s="2" t="str">
        <f>HYPERLINK("http://www.otzar.org/book.asp?621006","זי""ת רענן")</f>
        <v>זי"ת רענן</v>
      </c>
    </row>
    <row r="13670" spans="1:6" x14ac:dyDescent="0.2">
      <c r="A13670" t="s">
        <v>23076</v>
      </c>
      <c r="B13670" t="s">
        <v>23077</v>
      </c>
      <c r="C13670" t="s">
        <v>698</v>
      </c>
      <c r="D13670" t="s">
        <v>27</v>
      </c>
      <c r="E13670" t="s">
        <v>24</v>
      </c>
      <c r="F13670" s="2" t="str">
        <f>HYPERLINK("http://www.otzar.org/book.asp?52175","זיבולא בתרייתא - 2 כר'")</f>
        <v>זיבולא בתרייתא - 2 כר'</v>
      </c>
    </row>
    <row r="13671" spans="1:6" x14ac:dyDescent="0.2">
      <c r="A13671" t="s">
        <v>23078</v>
      </c>
      <c r="B13671" t="s">
        <v>23079</v>
      </c>
      <c r="C13671" t="s">
        <v>114</v>
      </c>
      <c r="D13671" t="s">
        <v>52</v>
      </c>
      <c r="E13671" t="s">
        <v>84</v>
      </c>
      <c r="F13671" s="2" t="str">
        <f>HYPERLINK("http://www.otzar.org/book.asp?183284","זיו אבות - 2 כר'")</f>
        <v>זיו אבות - 2 כר'</v>
      </c>
    </row>
    <row r="13672" spans="1:6" x14ac:dyDescent="0.2">
      <c r="A13672" t="s">
        <v>23080</v>
      </c>
      <c r="B13672" t="s">
        <v>22862</v>
      </c>
      <c r="C13672" t="s">
        <v>366</v>
      </c>
      <c r="D13672" t="s">
        <v>412</v>
      </c>
      <c r="E13672" t="s">
        <v>158</v>
      </c>
      <c r="F13672" s="2" t="str">
        <f>HYPERLINK("http://www.otzar.org/book.asp?629562","זיו החכמה")</f>
        <v>זיו החכמה</v>
      </c>
    </row>
    <row r="13673" spans="1:6" x14ac:dyDescent="0.2">
      <c r="A13673" t="s">
        <v>23081</v>
      </c>
      <c r="B13673" t="s">
        <v>23082</v>
      </c>
      <c r="C13673" t="s">
        <v>146</v>
      </c>
      <c r="D13673" t="s">
        <v>52</v>
      </c>
      <c r="E13673" t="s">
        <v>144</v>
      </c>
      <c r="F13673" s="2" t="str">
        <f>HYPERLINK("http://www.otzar.org/book.asp?199771","זיו הים &lt;המעיר&gt; - 3 כר'")</f>
        <v>זיו הים &lt;המעיר&gt; - 3 כר'</v>
      </c>
    </row>
    <row r="13674" spans="1:6" x14ac:dyDescent="0.2">
      <c r="A13674" t="s">
        <v>23083</v>
      </c>
      <c r="B13674" t="s">
        <v>23082</v>
      </c>
      <c r="C13674" t="s">
        <v>419</v>
      </c>
      <c r="D13674" t="s">
        <v>52</v>
      </c>
      <c r="E13674" t="s">
        <v>144</v>
      </c>
      <c r="F13674" s="2" t="str">
        <f>HYPERLINK("http://www.otzar.org/book.asp?199770","זיו הים - בבא קמא")</f>
        <v>זיו הים - בבא קמא</v>
      </c>
    </row>
    <row r="13675" spans="1:6" x14ac:dyDescent="0.2">
      <c r="A13675" t="s">
        <v>23084</v>
      </c>
      <c r="B13675" t="s">
        <v>23085</v>
      </c>
      <c r="C13675" t="s">
        <v>1535</v>
      </c>
      <c r="D13675" t="s">
        <v>225</v>
      </c>
      <c r="E13675" t="s">
        <v>930</v>
      </c>
      <c r="F13675" s="2" t="str">
        <f>HYPERLINK("http://www.otzar.org/book.asp?102794","זיו הלבנון")</f>
        <v>זיו הלבנון</v>
      </c>
    </row>
    <row r="13676" spans="1:6" x14ac:dyDescent="0.2">
      <c r="A13676" t="s">
        <v>23086</v>
      </c>
      <c r="B13676" t="s">
        <v>23087</v>
      </c>
      <c r="C13676" t="s">
        <v>20</v>
      </c>
      <c r="D13676" t="s">
        <v>646</v>
      </c>
      <c r="E13676" t="s">
        <v>130</v>
      </c>
      <c r="F13676" s="2" t="str">
        <f>HYPERLINK("http://www.otzar.org/book.asp?167903","זיו המועדים - 9 כר'")</f>
        <v>זיו המועדים - 9 כר'</v>
      </c>
    </row>
    <row r="13677" spans="1:6" x14ac:dyDescent="0.2">
      <c r="A13677" t="s">
        <v>23088</v>
      </c>
      <c r="B13677" t="s">
        <v>23089</v>
      </c>
      <c r="C13677" t="s">
        <v>919</v>
      </c>
      <c r="D13677" t="s">
        <v>14</v>
      </c>
      <c r="E13677" t="s">
        <v>15</v>
      </c>
      <c r="F13677" s="2" t="str">
        <f>HYPERLINK("http://www.otzar.org/book.asp?8494","זיו המנהגים")</f>
        <v>זיו המנהגים</v>
      </c>
    </row>
    <row r="13678" spans="1:6" x14ac:dyDescent="0.2">
      <c r="A13678" t="s">
        <v>23090</v>
      </c>
      <c r="B13678" t="s">
        <v>23089</v>
      </c>
      <c r="C13678" t="s">
        <v>106</v>
      </c>
      <c r="D13678" t="s">
        <v>14</v>
      </c>
      <c r="E13678" t="s">
        <v>15</v>
      </c>
      <c r="F13678" s="2" t="str">
        <f>HYPERLINK("http://www.otzar.org/book.asp?160033","זיו המצוות")</f>
        <v>זיו המצוות</v>
      </c>
    </row>
    <row r="13679" spans="1:6" x14ac:dyDescent="0.2">
      <c r="A13679" t="s">
        <v>23091</v>
      </c>
      <c r="B13679" t="s">
        <v>23089</v>
      </c>
      <c r="C13679" t="s">
        <v>106</v>
      </c>
      <c r="D13679" t="s">
        <v>14</v>
      </c>
      <c r="E13679" t="s">
        <v>104</v>
      </c>
      <c r="F13679" s="2" t="str">
        <f>HYPERLINK("http://www.otzar.org/book.asp?161614","זיו המצות")</f>
        <v>זיו המצות</v>
      </c>
    </row>
    <row r="13680" spans="1:6" x14ac:dyDescent="0.2">
      <c r="A13680" t="s">
        <v>23092</v>
      </c>
      <c r="B13680" t="s">
        <v>23089</v>
      </c>
      <c r="C13680" t="s">
        <v>1570</v>
      </c>
      <c r="D13680" t="s">
        <v>14</v>
      </c>
      <c r="E13680" t="s">
        <v>130</v>
      </c>
      <c r="F13680" s="2" t="str">
        <f>HYPERLINK("http://www.otzar.org/book.asp?8487","זיו השבת")</f>
        <v>זיו השבת</v>
      </c>
    </row>
    <row r="13681" spans="1:6" x14ac:dyDescent="0.2">
      <c r="A13681" t="s">
        <v>23093</v>
      </c>
      <c r="B13681" t="s">
        <v>23094</v>
      </c>
      <c r="C13681" t="s">
        <v>445</v>
      </c>
      <c r="D13681" t="s">
        <v>756</v>
      </c>
      <c r="E13681" t="s">
        <v>837</v>
      </c>
      <c r="F13681" s="2" t="str">
        <f>HYPERLINK("http://www.otzar.org/book.asp?5477","זיו השמש")</f>
        <v>זיו השמש</v>
      </c>
    </row>
    <row r="13682" spans="1:6" x14ac:dyDescent="0.2">
      <c r="A13682" t="s">
        <v>23095</v>
      </c>
      <c r="B13682" t="s">
        <v>18962</v>
      </c>
      <c r="C13682" t="s">
        <v>103</v>
      </c>
      <c r="D13682" t="s">
        <v>52</v>
      </c>
      <c r="E13682" t="s">
        <v>202</v>
      </c>
      <c r="F13682" s="2" t="str">
        <f>HYPERLINK("http://www.otzar.org/book.asp?148577","זיו התורה - 2 כר'")</f>
        <v>זיו התורה - 2 כר'</v>
      </c>
    </row>
    <row r="13683" spans="1:6" x14ac:dyDescent="0.2">
      <c r="A13683" t="s">
        <v>23096</v>
      </c>
      <c r="B13683" t="s">
        <v>23097</v>
      </c>
      <c r="C13683" t="s">
        <v>2644</v>
      </c>
      <c r="D13683" t="s">
        <v>283</v>
      </c>
      <c r="E13683" t="s">
        <v>15</v>
      </c>
      <c r="F13683" s="2" t="str">
        <f>HYPERLINK("http://www.otzar.org/book.asp?105865","זיו משנה - 2 כר'")</f>
        <v>זיו משנה - 2 כר'</v>
      </c>
    </row>
    <row r="13684" spans="1:6" x14ac:dyDescent="0.2">
      <c r="A13684" t="s">
        <v>23098</v>
      </c>
      <c r="B13684" t="s">
        <v>686</v>
      </c>
      <c r="C13684" t="s">
        <v>129</v>
      </c>
      <c r="D13684" t="s">
        <v>52</v>
      </c>
      <c r="E13684" t="s">
        <v>674</v>
      </c>
      <c r="F13684" s="2" t="str">
        <f>HYPERLINK("http://www.otzar.org/book.asp?61963","זיו ציון")</f>
        <v>זיו ציון</v>
      </c>
    </row>
    <row r="13685" spans="1:6" x14ac:dyDescent="0.2">
      <c r="A13685" t="s">
        <v>23099</v>
      </c>
      <c r="B13685" t="s">
        <v>23100</v>
      </c>
      <c r="D13685" t="s">
        <v>1156</v>
      </c>
      <c r="E13685" t="s">
        <v>144</v>
      </c>
      <c r="F13685" s="2" t="str">
        <f>HYPERLINK("http://www.otzar.org/book.asp?622544","זיו קידושין")</f>
        <v>זיו קידושין</v>
      </c>
    </row>
    <row r="13686" spans="1:6" x14ac:dyDescent="0.2">
      <c r="A13686" t="s">
        <v>23101</v>
      </c>
      <c r="B13686" t="s">
        <v>23102</v>
      </c>
      <c r="C13686" t="s">
        <v>151</v>
      </c>
      <c r="D13686" t="s">
        <v>14</v>
      </c>
      <c r="E13686" t="s">
        <v>158</v>
      </c>
      <c r="F13686" s="2" t="str">
        <f>HYPERLINK("http://www.otzar.org/book.asp?619027","זיוא דאורייתא")</f>
        <v>זיוא דאורייתא</v>
      </c>
    </row>
    <row r="13687" spans="1:6" x14ac:dyDescent="0.2">
      <c r="A13687" t="s">
        <v>23103</v>
      </c>
      <c r="B13687" t="s">
        <v>206</v>
      </c>
      <c r="C13687" t="s">
        <v>20</v>
      </c>
      <c r="D13687" t="s">
        <v>90</v>
      </c>
      <c r="F13687" s="2" t="str">
        <f>HYPERLINK("http://www.otzar.org/book.asp?617173","זיווג הגון")</f>
        <v>זיווג הגון</v>
      </c>
    </row>
    <row r="13688" spans="1:6" x14ac:dyDescent="0.2">
      <c r="A13688" t="s">
        <v>23104</v>
      </c>
      <c r="B13688" t="s">
        <v>23105</v>
      </c>
      <c r="C13688" t="s">
        <v>51</v>
      </c>
      <c r="D13688" t="s">
        <v>52</v>
      </c>
      <c r="E13688" t="s">
        <v>104</v>
      </c>
      <c r="F13688" s="2" t="str">
        <f>HYPERLINK("http://www.otzar.org/book.asp?176914","זיווג משמים")</f>
        <v>זיווג משמים</v>
      </c>
    </row>
    <row r="13689" spans="1:6" x14ac:dyDescent="0.2">
      <c r="A13689" t="s">
        <v>23104</v>
      </c>
      <c r="B13689" t="s">
        <v>23106</v>
      </c>
      <c r="C13689" t="s">
        <v>51</v>
      </c>
      <c r="D13689" t="s">
        <v>52</v>
      </c>
      <c r="E13689" t="s">
        <v>15</v>
      </c>
      <c r="F13689" s="2" t="str">
        <f>HYPERLINK("http://www.otzar.org/book.asp?623933","זיווג משמים")</f>
        <v>זיווג משמים</v>
      </c>
    </row>
    <row r="13690" spans="1:6" x14ac:dyDescent="0.2">
      <c r="A13690" t="s">
        <v>23107</v>
      </c>
      <c r="B13690" t="s">
        <v>23108</v>
      </c>
      <c r="C13690" t="s">
        <v>133</v>
      </c>
      <c r="D13690" t="s">
        <v>21</v>
      </c>
      <c r="F13690" s="2" t="str">
        <f>HYPERLINK("http://www.otzar.org/book.asp?199374","זיז שדי &lt;מהדורה חדשה&gt;")</f>
        <v>זיז שדי &lt;מהדורה חדשה&gt;</v>
      </c>
    </row>
    <row r="13691" spans="1:6" x14ac:dyDescent="0.2">
      <c r="A13691" t="s">
        <v>23109</v>
      </c>
      <c r="B13691" t="s">
        <v>23108</v>
      </c>
      <c r="C13691" t="s">
        <v>18502</v>
      </c>
      <c r="D13691" t="s">
        <v>726</v>
      </c>
      <c r="E13691" t="s">
        <v>8854</v>
      </c>
      <c r="F13691" s="2" t="str">
        <f>HYPERLINK("http://www.otzar.org/book.asp?146620","זיז שדי")</f>
        <v>זיז שדי</v>
      </c>
    </row>
    <row r="13692" spans="1:6" x14ac:dyDescent="0.2">
      <c r="A13692" t="s">
        <v>23110</v>
      </c>
      <c r="B13692" t="s">
        <v>18621</v>
      </c>
      <c r="C13692" t="s">
        <v>68</v>
      </c>
      <c r="D13692" t="s">
        <v>486</v>
      </c>
      <c r="E13692" t="s">
        <v>234</v>
      </c>
      <c r="F13692" s="2" t="str">
        <f>HYPERLINK("http://www.otzar.org/book.asp?189427","זיכוי הרבים - 6 כר'")</f>
        <v>זיכוי הרבים - 6 כר'</v>
      </c>
    </row>
    <row r="13693" spans="1:6" x14ac:dyDescent="0.2">
      <c r="A13693" t="s">
        <v>23111</v>
      </c>
      <c r="B13693" t="s">
        <v>23112</v>
      </c>
      <c r="C13693" t="s">
        <v>2284</v>
      </c>
      <c r="D13693" t="s">
        <v>21</v>
      </c>
      <c r="E13693" t="s">
        <v>119</v>
      </c>
      <c r="F13693" s="2" t="str">
        <f>HYPERLINK("http://www.otzar.org/book.asp?184662","זיכרון בספר")</f>
        <v>זיכרון בספר</v>
      </c>
    </row>
    <row r="13694" spans="1:6" x14ac:dyDescent="0.2">
      <c r="A13694" t="s">
        <v>23113</v>
      </c>
      <c r="B13694" t="s">
        <v>23114</v>
      </c>
      <c r="C13694" t="s">
        <v>20</v>
      </c>
      <c r="D13694" t="s">
        <v>90</v>
      </c>
      <c r="E13694" t="s">
        <v>119</v>
      </c>
      <c r="F13694" s="2" t="str">
        <f>HYPERLINK("http://www.otzar.org/book.asp?604984","זיכרון יהושע")</f>
        <v>זיכרון יהושע</v>
      </c>
    </row>
    <row r="13695" spans="1:6" x14ac:dyDescent="0.2">
      <c r="A13695" t="s">
        <v>23115</v>
      </c>
      <c r="B13695" t="s">
        <v>12807</v>
      </c>
      <c r="C13695" t="s">
        <v>151</v>
      </c>
      <c r="D13695" t="s">
        <v>1156</v>
      </c>
      <c r="F13695" s="2" t="str">
        <f>HYPERLINK("http://www.otzar.org/book.asp?622474","זימון כהלכה")</f>
        <v>זימון כהלכה</v>
      </c>
    </row>
    <row r="13696" spans="1:6" x14ac:dyDescent="0.2">
      <c r="A13696" t="s">
        <v>23116</v>
      </c>
      <c r="B13696" t="s">
        <v>23117</v>
      </c>
      <c r="C13696" t="s">
        <v>748</v>
      </c>
      <c r="D13696" t="s">
        <v>726</v>
      </c>
      <c r="E13696" t="s">
        <v>43</v>
      </c>
      <c r="F13696" s="2" t="str">
        <f>HYPERLINK("http://www.otzar.org/book.asp?100691","זיקוקין דנורא וביעורין דאשא - 2 כר'")</f>
        <v>זיקוקין דנורא וביעורין דאשא - 2 כר'</v>
      </c>
    </row>
    <row r="13697" spans="1:6" x14ac:dyDescent="0.2">
      <c r="A13697" t="s">
        <v>23118</v>
      </c>
      <c r="B13697" t="s">
        <v>23119</v>
      </c>
      <c r="C13697" t="s">
        <v>111</v>
      </c>
      <c r="D13697" t="s">
        <v>14</v>
      </c>
      <c r="E13697" t="s">
        <v>154</v>
      </c>
      <c r="F13697" s="2" t="str">
        <f>HYPERLINK("http://www.otzar.org/book.asp?621446","זיקי אור")</f>
        <v>זיקי אור</v>
      </c>
    </row>
    <row r="13698" spans="1:6" x14ac:dyDescent="0.2">
      <c r="A13698" t="s">
        <v>23120</v>
      </c>
      <c r="B13698" t="s">
        <v>107</v>
      </c>
      <c r="C13698" t="s">
        <v>20</v>
      </c>
      <c r="D13698" t="s">
        <v>14</v>
      </c>
      <c r="E13698" t="s">
        <v>213</v>
      </c>
      <c r="F13698" s="2" t="str">
        <f>HYPERLINK("http://www.otzar.org/book.asp?6125","זיקנה ובחרות")</f>
        <v>זיקנה ובחרות</v>
      </c>
    </row>
    <row r="13699" spans="1:6" x14ac:dyDescent="0.2">
      <c r="A13699" t="s">
        <v>23121</v>
      </c>
      <c r="B13699" t="s">
        <v>6936</v>
      </c>
      <c r="C13699" t="s">
        <v>3106</v>
      </c>
      <c r="D13699" t="s">
        <v>9</v>
      </c>
      <c r="E13699" t="s">
        <v>104</v>
      </c>
      <c r="F13699" s="2" t="str">
        <f>HYPERLINK("http://www.otzar.org/book.asp?149040","זיר זהב")</f>
        <v>זיר זהב</v>
      </c>
    </row>
    <row r="13700" spans="1:6" x14ac:dyDescent="0.2">
      <c r="A13700" t="s">
        <v>23122</v>
      </c>
      <c r="B13700" t="s">
        <v>23123</v>
      </c>
      <c r="C13700" t="s">
        <v>1124</v>
      </c>
      <c r="D13700" t="s">
        <v>56</v>
      </c>
      <c r="E13700" t="s">
        <v>295</v>
      </c>
      <c r="F13700" s="2" t="str">
        <f>HYPERLINK("http://www.otzar.org/book.asp?105871","זיר יצחק")</f>
        <v>זיר יצחק</v>
      </c>
    </row>
    <row r="13701" spans="1:6" x14ac:dyDescent="0.2">
      <c r="A13701" t="s">
        <v>23124</v>
      </c>
      <c r="B13701" t="s">
        <v>23125</v>
      </c>
      <c r="C13701" t="s">
        <v>1778</v>
      </c>
      <c r="D13701" t="s">
        <v>49</v>
      </c>
      <c r="E13701" t="s">
        <v>43</v>
      </c>
      <c r="F13701" s="2" t="str">
        <f>HYPERLINK("http://www.otzar.org/book.asp?7400","זית רענן - 2 כר'")</f>
        <v>זית רענן - 2 כר'</v>
      </c>
    </row>
    <row r="13702" spans="1:6" x14ac:dyDescent="0.2">
      <c r="A13702" t="s">
        <v>23126</v>
      </c>
      <c r="B13702" t="s">
        <v>23127</v>
      </c>
      <c r="C13702" t="s">
        <v>129</v>
      </c>
      <c r="D13702" t="s">
        <v>14</v>
      </c>
      <c r="E13702" t="s">
        <v>154</v>
      </c>
      <c r="F13702" s="2" t="str">
        <f>HYPERLINK("http://www.otzar.org/book.asp?142527","זית רענן - 4 כר'")</f>
        <v>זית רענן - 4 כר'</v>
      </c>
    </row>
    <row r="13703" spans="1:6" x14ac:dyDescent="0.2">
      <c r="A13703" t="s">
        <v>23128</v>
      </c>
      <c r="B13703" t="s">
        <v>23129</v>
      </c>
      <c r="C13703" t="s">
        <v>366</v>
      </c>
      <c r="D13703" t="s">
        <v>21</v>
      </c>
      <c r="E13703" t="s">
        <v>172</v>
      </c>
      <c r="F13703" s="2" t="str">
        <f>HYPERLINK("http://www.otzar.org/book.asp?606666","זית רענן")</f>
        <v>זית רענן</v>
      </c>
    </row>
    <row r="13704" spans="1:6" x14ac:dyDescent="0.2">
      <c r="A13704" t="s">
        <v>23128</v>
      </c>
      <c r="B13704" t="s">
        <v>23130</v>
      </c>
      <c r="C13704" t="s">
        <v>523</v>
      </c>
      <c r="D13704" t="s">
        <v>21</v>
      </c>
      <c r="E13704" t="s">
        <v>202</v>
      </c>
      <c r="F13704" s="2" t="str">
        <f>HYPERLINK("http://www.otzar.org/book.asp?191392","זית רענן")</f>
        <v>זית רענן</v>
      </c>
    </row>
    <row r="13705" spans="1:6" x14ac:dyDescent="0.2">
      <c r="A13705" t="s">
        <v>23131</v>
      </c>
      <c r="B13705" t="s">
        <v>21146</v>
      </c>
      <c r="C13705" t="s">
        <v>13</v>
      </c>
      <c r="D13705" t="s">
        <v>115</v>
      </c>
      <c r="E13705" t="s">
        <v>246</v>
      </c>
      <c r="F13705" s="2" t="str">
        <f>HYPERLINK("http://www.otzar.org/book.asp?163395","זית רענן - ענייני חנוכה")</f>
        <v>זית רענן - ענייני חנוכה</v>
      </c>
    </row>
    <row r="13706" spans="1:6" x14ac:dyDescent="0.2">
      <c r="A13706" t="s">
        <v>23132</v>
      </c>
      <c r="B13706" t="s">
        <v>23133</v>
      </c>
      <c r="C13706" t="s">
        <v>189</v>
      </c>
      <c r="D13706" t="s">
        <v>14</v>
      </c>
      <c r="E13706" t="s">
        <v>674</v>
      </c>
      <c r="F13706" s="2" t="str">
        <f>HYPERLINK("http://www.otzar.org/book.asp?53068","זך ונקי - ב")</f>
        <v>זך ונקי - ב</v>
      </c>
    </row>
    <row r="13707" spans="1:6" x14ac:dyDescent="0.2">
      <c r="A13707" t="s">
        <v>23134</v>
      </c>
      <c r="B13707" t="s">
        <v>23135</v>
      </c>
      <c r="C13707" t="s">
        <v>366</v>
      </c>
      <c r="D13707" t="s">
        <v>3069</v>
      </c>
      <c r="F13707" s="2" t="str">
        <f>HYPERLINK("http://www.otzar.org/book.asp?610148","זך יאיר")</f>
        <v>זך יאיר</v>
      </c>
    </row>
    <row r="13708" spans="1:6" x14ac:dyDescent="0.2">
      <c r="A13708" t="s">
        <v>23136</v>
      </c>
      <c r="B13708" t="s">
        <v>23137</v>
      </c>
      <c r="C13708" t="s">
        <v>422</v>
      </c>
      <c r="D13708" t="s">
        <v>52</v>
      </c>
      <c r="E13708" t="s">
        <v>104</v>
      </c>
      <c r="F13708" s="2" t="str">
        <f>HYPERLINK("http://www.otzar.org/book.asp?167778","זכו")</f>
        <v>זכו</v>
      </c>
    </row>
    <row r="13709" spans="1:6" x14ac:dyDescent="0.2">
      <c r="A13709" t="s">
        <v>23138</v>
      </c>
      <c r="B13709" t="s">
        <v>8743</v>
      </c>
      <c r="C13709" t="s">
        <v>366</v>
      </c>
      <c r="D13709" t="s">
        <v>412</v>
      </c>
      <c r="F13709" s="2" t="str">
        <f>HYPERLINK("http://www.otzar.org/book.asp?613564","זכור אהבת קדומים")</f>
        <v>זכור אהבת קדומים</v>
      </c>
    </row>
    <row r="13710" spans="1:6" x14ac:dyDescent="0.2">
      <c r="A13710" t="s">
        <v>23138</v>
      </c>
      <c r="B13710" t="s">
        <v>552</v>
      </c>
      <c r="C13710" t="s">
        <v>71</v>
      </c>
      <c r="D13710" t="s">
        <v>52</v>
      </c>
      <c r="E13710" t="s">
        <v>202</v>
      </c>
      <c r="F13710" s="2" t="str">
        <f>HYPERLINK("http://www.otzar.org/book.asp?148118","זכור אהבת קדומים")</f>
        <v>זכור אהבת קדומים</v>
      </c>
    </row>
    <row r="13711" spans="1:6" x14ac:dyDescent="0.2">
      <c r="A13711" t="s">
        <v>23139</v>
      </c>
      <c r="B13711" t="s">
        <v>206</v>
      </c>
      <c r="C13711" t="s">
        <v>151</v>
      </c>
      <c r="D13711" t="s">
        <v>90</v>
      </c>
      <c r="F13711" s="2" t="str">
        <f>HYPERLINK("http://www.otzar.org/book.asp?617899","זכור את בוראך")</f>
        <v>זכור את בוראך</v>
      </c>
    </row>
    <row r="13712" spans="1:6" x14ac:dyDescent="0.2">
      <c r="A13712" t="s">
        <v>23140</v>
      </c>
      <c r="B13712" t="s">
        <v>23141</v>
      </c>
      <c r="C13712" t="s">
        <v>466</v>
      </c>
      <c r="D13712" t="s">
        <v>14</v>
      </c>
      <c r="F13712" s="2" t="str">
        <f>HYPERLINK("http://www.otzar.org/book.asp?142162","זכור את היום אשר יצאתם ממצרים")</f>
        <v>זכור את היום אשר יצאתם ממצרים</v>
      </c>
    </row>
    <row r="13713" spans="1:6" x14ac:dyDescent="0.2">
      <c r="A13713" t="s">
        <v>23142</v>
      </c>
      <c r="F13713" s="2" t="str">
        <f>HYPERLINK("http://www.otzar.org/book.asp?609579","זכור ברית אברהם")</f>
        <v>זכור ברית אברהם</v>
      </c>
    </row>
    <row r="13714" spans="1:6" x14ac:dyDescent="0.2">
      <c r="A13714" t="s">
        <v>23143</v>
      </c>
      <c r="B13714" t="s">
        <v>21294</v>
      </c>
      <c r="C13714" t="s">
        <v>114</v>
      </c>
      <c r="D13714" t="s">
        <v>14</v>
      </c>
      <c r="F13714" s="2" t="str">
        <f>HYPERLINK("http://www.otzar.org/book.asp?630259","זכור ברית")</f>
        <v>זכור ברית</v>
      </c>
    </row>
    <row r="13715" spans="1:6" x14ac:dyDescent="0.2">
      <c r="A13715" t="s">
        <v>23144</v>
      </c>
      <c r="B13715" t="s">
        <v>23145</v>
      </c>
      <c r="C13715" t="s">
        <v>585</v>
      </c>
      <c r="D13715" t="s">
        <v>14</v>
      </c>
      <c r="E13715" t="s">
        <v>104</v>
      </c>
      <c r="F13715" s="2" t="str">
        <f>HYPERLINK("http://www.otzar.org/book.asp?154806","זכור דבר לעבדך")</f>
        <v>זכור דבר לעבדך</v>
      </c>
    </row>
    <row r="13716" spans="1:6" x14ac:dyDescent="0.2">
      <c r="A13716" t="s">
        <v>23146</v>
      </c>
      <c r="B13716" t="s">
        <v>23147</v>
      </c>
      <c r="C13716" t="s">
        <v>20</v>
      </c>
      <c r="D13716" t="s">
        <v>5798</v>
      </c>
      <c r="E13716" t="s">
        <v>219</v>
      </c>
      <c r="F13716" s="2" t="str">
        <f>HYPERLINK("http://www.otzar.org/book.asp?172133","זכור הנאקות ורעש הצעקות")</f>
        <v>זכור הנאקות ורעש הצעקות</v>
      </c>
    </row>
    <row r="13717" spans="1:6" x14ac:dyDescent="0.2">
      <c r="A13717" t="s">
        <v>23148</v>
      </c>
      <c r="B13717" t="s">
        <v>23149</v>
      </c>
      <c r="C13717" t="s">
        <v>843</v>
      </c>
      <c r="D13717" t="s">
        <v>27</v>
      </c>
      <c r="E13717" t="s">
        <v>119</v>
      </c>
      <c r="F13717" s="2" t="str">
        <f>HYPERLINK("http://www.otzar.org/book.asp?189874","זכור ואל תשכח")</f>
        <v>זכור ואל תשכח</v>
      </c>
    </row>
    <row r="13718" spans="1:6" x14ac:dyDescent="0.2">
      <c r="A13718" t="s">
        <v>23150</v>
      </c>
      <c r="B13718" t="s">
        <v>3727</v>
      </c>
      <c r="C13718" t="s">
        <v>146</v>
      </c>
      <c r="D13718" t="s">
        <v>52</v>
      </c>
      <c r="E13718" t="s">
        <v>219</v>
      </c>
      <c r="F13718" s="2" t="str">
        <f>HYPERLINK("http://www.otzar.org/book.asp?85664","זכור ושמור (זמירות שבת)")</f>
        <v>זכור ושמור (זמירות שבת)</v>
      </c>
    </row>
    <row r="13719" spans="1:6" x14ac:dyDescent="0.2">
      <c r="A13719" t="s">
        <v>23151</v>
      </c>
      <c r="B13719" t="s">
        <v>23152</v>
      </c>
      <c r="C13719" t="s">
        <v>812</v>
      </c>
      <c r="D13719" t="s">
        <v>974</v>
      </c>
      <c r="E13719" t="s">
        <v>158</v>
      </c>
      <c r="F13719" s="2" t="str">
        <f>HYPERLINK("http://www.otzar.org/book.asp?22439","זכור ושמור - 2 כר'")</f>
        <v>זכור ושמור - 2 כר'</v>
      </c>
    </row>
    <row r="13720" spans="1:6" x14ac:dyDescent="0.2">
      <c r="A13720" t="s">
        <v>23153</v>
      </c>
      <c r="B13720" t="s">
        <v>552</v>
      </c>
      <c r="C13720" t="s">
        <v>919</v>
      </c>
      <c r="D13720" t="s">
        <v>14</v>
      </c>
      <c r="E13720" t="s">
        <v>8913</v>
      </c>
      <c r="F13720" s="2" t="str">
        <f>HYPERLINK("http://www.otzar.org/book.asp?14829","זכור זאת ליעקב [כהן]")</f>
        <v>זכור זאת ליעקב [כהן]</v>
      </c>
    </row>
    <row r="13721" spans="1:6" x14ac:dyDescent="0.2">
      <c r="A13721" t="s">
        <v>23154</v>
      </c>
      <c r="B13721" t="s">
        <v>21096</v>
      </c>
      <c r="C13721" t="s">
        <v>422</v>
      </c>
      <c r="D13721" t="s">
        <v>14</v>
      </c>
      <c r="E13721" t="s">
        <v>119</v>
      </c>
      <c r="F13721" s="2" t="str">
        <f>HYPERLINK("http://www.otzar.org/book.asp?605153","זכור זאת ליעקב")</f>
        <v>זכור זאת ליעקב</v>
      </c>
    </row>
    <row r="13722" spans="1:6" x14ac:dyDescent="0.2">
      <c r="A13722" t="s">
        <v>23155</v>
      </c>
      <c r="B13722" t="s">
        <v>23156</v>
      </c>
      <c r="C13722" t="s">
        <v>553</v>
      </c>
      <c r="D13722" t="s">
        <v>52</v>
      </c>
      <c r="E13722" t="s">
        <v>583</v>
      </c>
      <c r="F13722" s="2" t="str">
        <f>HYPERLINK("http://www.otzar.org/book.asp?11017","זכור ימות עולם - 4 כר'")</f>
        <v>זכור ימות עולם - 4 כר'</v>
      </c>
    </row>
    <row r="13723" spans="1:6" x14ac:dyDescent="0.2">
      <c r="A13723" t="s">
        <v>23157</v>
      </c>
      <c r="B13723" t="s">
        <v>23158</v>
      </c>
      <c r="C13723" t="s">
        <v>383</v>
      </c>
      <c r="D13723" t="s">
        <v>27</v>
      </c>
      <c r="E13723" t="s">
        <v>104</v>
      </c>
      <c r="F13723" s="2" t="str">
        <f>HYPERLINK("http://www.otzar.org/book.asp?157476","זכור לאברהם &lt;אוצר שרידי תימן&gt;")</f>
        <v>זכור לאברהם &lt;אוצר שרידי תימן&gt;</v>
      </c>
    </row>
    <row r="13724" spans="1:6" x14ac:dyDescent="0.2">
      <c r="A13724" t="s">
        <v>23159</v>
      </c>
      <c r="B13724" t="s">
        <v>23160</v>
      </c>
      <c r="C13724" t="s">
        <v>624</v>
      </c>
      <c r="D13724" t="s">
        <v>52</v>
      </c>
      <c r="E13724" t="s">
        <v>119</v>
      </c>
      <c r="F13724" s="2" t="str">
        <f>HYPERLINK("http://www.otzar.org/book.asp?23892","זכור לאברהם &lt;לר' אברהם צבי ווייס&gt;")</f>
        <v>זכור לאברהם &lt;לר' אברהם צבי ווייס&gt;</v>
      </c>
    </row>
    <row r="13725" spans="1:6" x14ac:dyDescent="0.2">
      <c r="A13725" t="s">
        <v>23161</v>
      </c>
      <c r="B13725" t="s">
        <v>23162</v>
      </c>
      <c r="C13725" t="s">
        <v>129</v>
      </c>
      <c r="D13725" t="s">
        <v>52</v>
      </c>
      <c r="E13725" t="s">
        <v>1626</v>
      </c>
      <c r="F13725" s="2" t="str">
        <f>HYPERLINK("http://www.otzar.org/book.asp?64299","זכור לאברהם &lt;תכלאל שאמי&gt; - 7 כר'")</f>
        <v>זכור לאברהם &lt;תכלאל שאמי&gt; - 7 כר'</v>
      </c>
    </row>
    <row r="13726" spans="1:6" x14ac:dyDescent="0.2">
      <c r="A13726" t="s">
        <v>23163</v>
      </c>
      <c r="B13726" t="s">
        <v>552</v>
      </c>
      <c r="C13726" t="s">
        <v>1619</v>
      </c>
      <c r="D13726" t="s">
        <v>14</v>
      </c>
      <c r="E13726" t="s">
        <v>199</v>
      </c>
      <c r="F13726" s="2" t="str">
        <f>HYPERLINK("http://www.otzar.org/book.asp?14805","זכור לאברהם &lt;לר' אברהם אלמאליח&gt;")</f>
        <v>זכור לאברהם &lt;לר' אברהם אלמאליח&gt;</v>
      </c>
    </row>
    <row r="13727" spans="1:6" x14ac:dyDescent="0.2">
      <c r="A13727" t="s">
        <v>23164</v>
      </c>
      <c r="B13727" t="s">
        <v>552</v>
      </c>
      <c r="C13727" t="s">
        <v>1619</v>
      </c>
      <c r="D13727" t="s">
        <v>14</v>
      </c>
      <c r="E13727" t="s">
        <v>23165</v>
      </c>
      <c r="F13727" s="2" t="str">
        <f>HYPERLINK("http://www.otzar.org/book.asp?13019","זכור לאברהם &lt;לר' אברהם יפהן&gt;")</f>
        <v>זכור לאברהם &lt;לר' אברהם יפהן&gt;</v>
      </c>
    </row>
    <row r="13728" spans="1:6" x14ac:dyDescent="0.2">
      <c r="A13728" t="s">
        <v>23160</v>
      </c>
      <c r="B13728" t="s">
        <v>23166</v>
      </c>
      <c r="C13728" t="s">
        <v>5308</v>
      </c>
      <c r="D13728" t="s">
        <v>1490</v>
      </c>
      <c r="E13728" t="s">
        <v>901</v>
      </c>
      <c r="F13728" s="2" t="str">
        <f>HYPERLINK("http://www.otzar.org/book.asp?100962","זכור לאברהם")</f>
        <v>זכור לאברהם</v>
      </c>
    </row>
    <row r="13729" spans="1:6" x14ac:dyDescent="0.2">
      <c r="A13729" t="s">
        <v>23160</v>
      </c>
      <c r="B13729" t="s">
        <v>9765</v>
      </c>
      <c r="C13729" t="s">
        <v>1537</v>
      </c>
      <c r="D13729" t="s">
        <v>22938</v>
      </c>
      <c r="E13729" t="s">
        <v>15</v>
      </c>
      <c r="F13729" s="2" t="str">
        <f>HYPERLINK("http://www.otzar.org/book.asp?192231","זכור לאברהם")</f>
        <v>זכור לאברהם</v>
      </c>
    </row>
    <row r="13730" spans="1:6" x14ac:dyDescent="0.2">
      <c r="A13730" t="s">
        <v>23167</v>
      </c>
      <c r="B13730" t="s">
        <v>23168</v>
      </c>
      <c r="C13730" t="s">
        <v>1437</v>
      </c>
      <c r="D13730" t="s">
        <v>379</v>
      </c>
      <c r="E13730" t="s">
        <v>674</v>
      </c>
      <c r="F13730" s="2" t="str">
        <f>HYPERLINK("http://www.otzar.org/book.asp?101227","זכור לאברהם - 8 כר'")</f>
        <v>זכור לאברהם - 8 כר'</v>
      </c>
    </row>
    <row r="13731" spans="1:6" x14ac:dyDescent="0.2">
      <c r="A13731" t="s">
        <v>23160</v>
      </c>
      <c r="B13731" t="s">
        <v>9520</v>
      </c>
      <c r="C13731" t="s">
        <v>6052</v>
      </c>
      <c r="D13731" t="s">
        <v>212</v>
      </c>
      <c r="E13731" t="s">
        <v>15</v>
      </c>
      <c r="F13731" s="2" t="str">
        <f>HYPERLINK("http://www.otzar.org/book.asp?52167","זכור לאברהם")</f>
        <v>זכור לאברהם</v>
      </c>
    </row>
    <row r="13732" spans="1:6" x14ac:dyDescent="0.2">
      <c r="A13732" t="s">
        <v>23169</v>
      </c>
      <c r="B13732" t="s">
        <v>23170</v>
      </c>
      <c r="C13732" t="s">
        <v>422</v>
      </c>
      <c r="D13732" t="s">
        <v>367</v>
      </c>
      <c r="E13732" t="s">
        <v>148</v>
      </c>
      <c r="F13732" s="2" t="str">
        <f>HYPERLINK("http://www.otzar.org/book.asp?85728","זכור לאברהם - 2 כר'")</f>
        <v>זכור לאברהם - 2 כר'</v>
      </c>
    </row>
    <row r="13733" spans="1:6" x14ac:dyDescent="0.2">
      <c r="A13733" t="s">
        <v>23160</v>
      </c>
      <c r="B13733" t="s">
        <v>23171</v>
      </c>
      <c r="D13733" t="s">
        <v>14</v>
      </c>
      <c r="E13733" t="s">
        <v>14089</v>
      </c>
      <c r="F13733" s="2" t="str">
        <f>HYPERLINK("http://www.otzar.org/book.asp?195202","זכור לאברהם")</f>
        <v>זכור לאברהם</v>
      </c>
    </row>
    <row r="13734" spans="1:6" x14ac:dyDescent="0.2">
      <c r="A13734" t="s">
        <v>23160</v>
      </c>
      <c r="B13734" t="s">
        <v>19555</v>
      </c>
      <c r="C13734" t="s">
        <v>466</v>
      </c>
      <c r="D13734" t="s">
        <v>14</v>
      </c>
      <c r="E13734" t="s">
        <v>803</v>
      </c>
      <c r="F13734" s="2" t="str">
        <f>HYPERLINK("http://www.otzar.org/book.asp?159169","זכור לאברהם")</f>
        <v>זכור לאברהם</v>
      </c>
    </row>
    <row r="13735" spans="1:6" x14ac:dyDescent="0.2">
      <c r="A13735" t="s">
        <v>23160</v>
      </c>
      <c r="B13735" t="s">
        <v>23172</v>
      </c>
      <c r="C13735" t="s">
        <v>800</v>
      </c>
      <c r="D13735" t="s">
        <v>1279</v>
      </c>
      <c r="E13735" t="s">
        <v>15</v>
      </c>
      <c r="F13735" s="2" t="str">
        <f>HYPERLINK("http://www.otzar.org/book.asp?100902","זכור לאברהם")</f>
        <v>זכור לאברהם</v>
      </c>
    </row>
    <row r="13736" spans="1:6" x14ac:dyDescent="0.2">
      <c r="A13736" t="s">
        <v>23169</v>
      </c>
      <c r="B13736" t="s">
        <v>23173</v>
      </c>
      <c r="C13736" t="s">
        <v>103</v>
      </c>
      <c r="D13736" t="s">
        <v>14</v>
      </c>
      <c r="E13736" t="s">
        <v>104</v>
      </c>
      <c r="F13736" s="2" t="str">
        <f>HYPERLINK("http://www.otzar.org/book.asp?166325","זכור לאברהם - 2 כר'")</f>
        <v>זכור לאברהם - 2 כר'</v>
      </c>
    </row>
    <row r="13737" spans="1:6" x14ac:dyDescent="0.2">
      <c r="A13737" t="s">
        <v>23160</v>
      </c>
      <c r="B13737" t="s">
        <v>23174</v>
      </c>
      <c r="C13737" t="s">
        <v>20</v>
      </c>
      <c r="D13737" t="s">
        <v>52</v>
      </c>
      <c r="E13737" t="s">
        <v>202</v>
      </c>
      <c r="F13737" s="2" t="str">
        <f>HYPERLINK("http://www.otzar.org/book.asp?154112","זכור לאברהם")</f>
        <v>זכור לאברהם</v>
      </c>
    </row>
    <row r="13738" spans="1:6" x14ac:dyDescent="0.2">
      <c r="A13738" t="s">
        <v>23160</v>
      </c>
      <c r="B13738" t="s">
        <v>23175</v>
      </c>
      <c r="C13738" t="s">
        <v>1619</v>
      </c>
      <c r="D13738" t="s">
        <v>14</v>
      </c>
      <c r="E13738" t="s">
        <v>23176</v>
      </c>
      <c r="F13738" s="2" t="str">
        <f>HYPERLINK("http://www.otzar.org/book.asp?608","זכור לאברהם")</f>
        <v>זכור לאברהם</v>
      </c>
    </row>
    <row r="13739" spans="1:6" x14ac:dyDescent="0.2">
      <c r="A13739" t="s">
        <v>23160</v>
      </c>
      <c r="B13739" t="s">
        <v>552</v>
      </c>
      <c r="C13739" t="s">
        <v>523</v>
      </c>
      <c r="D13739" t="s">
        <v>52</v>
      </c>
      <c r="E13739" t="s">
        <v>202</v>
      </c>
      <c r="F13739" s="2" t="str">
        <f>HYPERLINK("http://www.otzar.org/book.asp?143553","זכור לאברהם")</f>
        <v>זכור לאברהם</v>
      </c>
    </row>
    <row r="13740" spans="1:6" x14ac:dyDescent="0.2">
      <c r="A13740" t="s">
        <v>23160</v>
      </c>
      <c r="B13740" t="s">
        <v>23177</v>
      </c>
      <c r="C13740" t="s">
        <v>1811</v>
      </c>
      <c r="D13740" t="s">
        <v>52</v>
      </c>
      <c r="E13740" t="s">
        <v>202</v>
      </c>
      <c r="F13740" s="2" t="str">
        <f>HYPERLINK("http://www.otzar.org/book.asp?160011","זכור לאברהם")</f>
        <v>זכור לאברהם</v>
      </c>
    </row>
    <row r="13741" spans="1:6" x14ac:dyDescent="0.2">
      <c r="A13741" t="s">
        <v>23178</v>
      </c>
      <c r="B13741" t="s">
        <v>489</v>
      </c>
      <c r="C13741" t="s">
        <v>775</v>
      </c>
      <c r="D13741" t="s">
        <v>1974</v>
      </c>
      <c r="E13741" t="s">
        <v>202</v>
      </c>
      <c r="F13741" s="2" t="str">
        <f>HYPERLINK("http://www.otzar.org/book.asp?28078","זכור לאברהם - 14 כר'")</f>
        <v>זכור לאברהם - 14 כר'</v>
      </c>
    </row>
    <row r="13742" spans="1:6" x14ac:dyDescent="0.2">
      <c r="A13742" t="s">
        <v>23160</v>
      </c>
      <c r="B13742" t="s">
        <v>23179</v>
      </c>
      <c r="C13742" t="s">
        <v>547</v>
      </c>
      <c r="D13742" t="s">
        <v>1966</v>
      </c>
      <c r="E13742" t="s">
        <v>234</v>
      </c>
      <c r="F13742" s="2" t="str">
        <f>HYPERLINK("http://www.otzar.org/book.asp?62193","זכור לאברהם")</f>
        <v>זכור לאברהם</v>
      </c>
    </row>
    <row r="13743" spans="1:6" x14ac:dyDescent="0.2">
      <c r="A13743" t="s">
        <v>23180</v>
      </c>
      <c r="B13743" t="s">
        <v>23181</v>
      </c>
      <c r="C13743" t="s">
        <v>111</v>
      </c>
      <c r="D13743" t="s">
        <v>14</v>
      </c>
      <c r="E13743" t="s">
        <v>140</v>
      </c>
      <c r="F13743" s="2" t="str">
        <f>HYPERLINK("http://www.otzar.org/book.asp?622290","זכור לאברהם - 4 כר'")</f>
        <v>זכור לאברהם - 4 כר'</v>
      </c>
    </row>
    <row r="13744" spans="1:6" x14ac:dyDescent="0.2">
      <c r="A13744" t="s">
        <v>23169</v>
      </c>
      <c r="B13744" t="s">
        <v>23182</v>
      </c>
      <c r="C13744" t="s">
        <v>111</v>
      </c>
      <c r="D13744" t="s">
        <v>1205</v>
      </c>
      <c r="E13744" t="s">
        <v>130</v>
      </c>
      <c r="F13744" s="2" t="str">
        <f>HYPERLINK("http://www.otzar.org/book.asp?630507","זכור לאברהם - 2 כר'")</f>
        <v>זכור לאברהם - 2 כר'</v>
      </c>
    </row>
    <row r="13745" spans="1:6" x14ac:dyDescent="0.2">
      <c r="A13745" t="s">
        <v>23183</v>
      </c>
      <c r="B13745" t="s">
        <v>23184</v>
      </c>
      <c r="C13745" t="s">
        <v>1246</v>
      </c>
      <c r="D13745" t="s">
        <v>23185</v>
      </c>
      <c r="E13745" t="s">
        <v>1517</v>
      </c>
      <c r="F13745" s="2" t="str">
        <f>HYPERLINK("http://www.otzar.org/book.asp?153765","זכור לאברהם - 3 כר'")</f>
        <v>זכור לאברהם - 3 כר'</v>
      </c>
    </row>
    <row r="13746" spans="1:6" x14ac:dyDescent="0.2">
      <c r="A13746" t="s">
        <v>23160</v>
      </c>
      <c r="B13746" t="s">
        <v>23186</v>
      </c>
      <c r="C13746" t="s">
        <v>99</v>
      </c>
      <c r="D13746" t="s">
        <v>23185</v>
      </c>
      <c r="E13746" t="s">
        <v>219</v>
      </c>
      <c r="F13746" s="2" t="str">
        <f>HYPERLINK("http://www.otzar.org/book.asp?10254","זכור לאברהם")</f>
        <v>זכור לאברהם</v>
      </c>
    </row>
    <row r="13747" spans="1:6" x14ac:dyDescent="0.2">
      <c r="A13747" t="s">
        <v>23187</v>
      </c>
      <c r="B13747" t="s">
        <v>23188</v>
      </c>
      <c r="C13747" t="s">
        <v>13</v>
      </c>
      <c r="D13747" t="s">
        <v>147</v>
      </c>
      <c r="E13747" t="s">
        <v>2071</v>
      </c>
      <c r="F13747" s="2" t="str">
        <f>HYPERLINK("http://www.otzar.org/book.asp?624894","זכור לדוד - תורה ומועדים")</f>
        <v>זכור לדוד - תורה ומועדים</v>
      </c>
    </row>
    <row r="13748" spans="1:6" x14ac:dyDescent="0.2">
      <c r="A13748" t="s">
        <v>23189</v>
      </c>
      <c r="B13748" t="s">
        <v>23190</v>
      </c>
      <c r="C13748" t="s">
        <v>37</v>
      </c>
      <c r="D13748" t="s">
        <v>14</v>
      </c>
      <c r="E13748" t="s">
        <v>104</v>
      </c>
      <c r="F13748" s="2" t="str">
        <f>HYPERLINK("http://www.otzar.org/book.asp?600496","זכור לדוד - 4 כר'")</f>
        <v>זכור לדוד - 4 כר'</v>
      </c>
    </row>
    <row r="13749" spans="1:6" x14ac:dyDescent="0.2">
      <c r="A13749" t="s">
        <v>23191</v>
      </c>
      <c r="B13749" t="s">
        <v>6275</v>
      </c>
      <c r="C13749" t="s">
        <v>1388</v>
      </c>
      <c r="D13749" t="s">
        <v>52</v>
      </c>
      <c r="E13749" t="s">
        <v>144</v>
      </c>
      <c r="F13749" s="2" t="str">
        <f>HYPERLINK("http://www.otzar.org/book.asp?23903","זכור לדוד - הוריות")</f>
        <v>זכור לדוד - הוריות</v>
      </c>
    </row>
    <row r="13750" spans="1:6" x14ac:dyDescent="0.2">
      <c r="A13750" t="s">
        <v>23192</v>
      </c>
      <c r="B13750" t="s">
        <v>13716</v>
      </c>
      <c r="C13750" t="s">
        <v>506</v>
      </c>
      <c r="D13750" t="s">
        <v>27</v>
      </c>
      <c r="E13750" t="s">
        <v>104</v>
      </c>
      <c r="F13750" s="2" t="str">
        <f>HYPERLINK("http://www.otzar.org/book.asp?180412","זכור ליצחק - ד")</f>
        <v>זכור ליצחק - ד</v>
      </c>
    </row>
    <row r="13751" spans="1:6" x14ac:dyDescent="0.2">
      <c r="A13751" t="s">
        <v>23193</v>
      </c>
      <c r="B13751" t="s">
        <v>23194</v>
      </c>
      <c r="C13751" t="s">
        <v>343</v>
      </c>
      <c r="D13751" t="s">
        <v>212</v>
      </c>
      <c r="E13751" t="s">
        <v>154</v>
      </c>
      <c r="F13751" s="2" t="str">
        <f>HYPERLINK("http://www.otzar.org/book.asp?886","זכור ליצחק")</f>
        <v>זכור ליצחק</v>
      </c>
    </row>
    <row r="13752" spans="1:6" x14ac:dyDescent="0.2">
      <c r="A13752" t="s">
        <v>23195</v>
      </c>
      <c r="B13752" t="s">
        <v>1978</v>
      </c>
      <c r="C13752" t="s">
        <v>68</v>
      </c>
      <c r="D13752" t="s">
        <v>14</v>
      </c>
      <c r="E13752" t="s">
        <v>714</v>
      </c>
      <c r="F13752" s="2" t="str">
        <f>HYPERLINK("http://www.otzar.org/book.asp?152392","זכור למרים - 3 כר'")</f>
        <v>זכור למרים - 3 כר'</v>
      </c>
    </row>
    <row r="13753" spans="1:6" x14ac:dyDescent="0.2">
      <c r="A13753" t="s">
        <v>23196</v>
      </c>
      <c r="B13753" t="s">
        <v>23197</v>
      </c>
      <c r="C13753" t="s">
        <v>111</v>
      </c>
      <c r="D13753" t="s">
        <v>21</v>
      </c>
      <c r="E13753" t="s">
        <v>130</v>
      </c>
      <c r="F13753" s="2" t="str">
        <f>HYPERLINK("http://www.otzar.org/book.asp?630556","זכור לקדשו")</f>
        <v>זכור לקדשו</v>
      </c>
    </row>
    <row r="13754" spans="1:6" x14ac:dyDescent="0.2">
      <c r="A13754" t="s">
        <v>23198</v>
      </c>
      <c r="B13754" t="s">
        <v>23199</v>
      </c>
      <c r="C13754" t="s">
        <v>1268</v>
      </c>
      <c r="D13754" t="s">
        <v>52</v>
      </c>
      <c r="E13754" t="s">
        <v>119</v>
      </c>
      <c r="F13754" s="2" t="str">
        <f>HYPERLINK("http://www.otzar.org/book.asp?16801","זכור - 13 כר'")</f>
        <v>זכור - 13 כר'</v>
      </c>
    </row>
    <row r="13755" spans="1:6" x14ac:dyDescent="0.2">
      <c r="A13755" t="s">
        <v>23200</v>
      </c>
      <c r="B13755" t="s">
        <v>23201</v>
      </c>
      <c r="C13755" t="s">
        <v>313</v>
      </c>
      <c r="D13755" t="s">
        <v>14</v>
      </c>
      <c r="E13755" t="s">
        <v>119</v>
      </c>
      <c r="F13755" s="2" t="str">
        <f>HYPERLINK("http://www.otzar.org/book.asp?621093","זכור")</f>
        <v>זכור</v>
      </c>
    </row>
    <row r="13756" spans="1:6" x14ac:dyDescent="0.2">
      <c r="A13756" t="s">
        <v>23200</v>
      </c>
      <c r="B13756" t="s">
        <v>23202</v>
      </c>
      <c r="C13756" t="s">
        <v>20</v>
      </c>
      <c r="D13756" t="s">
        <v>52</v>
      </c>
      <c r="E13756" t="s">
        <v>119</v>
      </c>
      <c r="F13756" s="2" t="str">
        <f>HYPERLINK("http://www.otzar.org/book.asp?172979","זכור")</f>
        <v>זכור</v>
      </c>
    </row>
    <row r="13757" spans="1:6" x14ac:dyDescent="0.2">
      <c r="A13757" t="s">
        <v>23200</v>
      </c>
      <c r="B13757" t="s">
        <v>107</v>
      </c>
      <c r="C13757" t="s">
        <v>523</v>
      </c>
      <c r="D13757" t="s">
        <v>14</v>
      </c>
      <c r="E13757" t="s">
        <v>119</v>
      </c>
      <c r="F13757" s="2" t="str">
        <f>HYPERLINK("http://www.otzar.org/book.asp?84459","זכור")</f>
        <v>זכור</v>
      </c>
    </row>
    <row r="13758" spans="1:6" x14ac:dyDescent="0.2">
      <c r="A13758" t="s">
        <v>23203</v>
      </c>
      <c r="B13758" t="s">
        <v>23204</v>
      </c>
      <c r="D13758" t="s">
        <v>21</v>
      </c>
      <c r="E13758" t="s">
        <v>84</v>
      </c>
      <c r="F13758" s="2" t="str">
        <f>HYPERLINK("http://www.otzar.org/book.asp?602079","זכות אבות &lt;מהדורה חדשה&gt;")</f>
        <v>זכות אבות &lt;מהדורה חדשה&gt;</v>
      </c>
    </row>
    <row r="13759" spans="1:6" x14ac:dyDescent="0.2">
      <c r="A13759" t="s">
        <v>23205</v>
      </c>
      <c r="B13759" t="s">
        <v>4591</v>
      </c>
      <c r="C13759" t="s">
        <v>1706</v>
      </c>
      <c r="D13759" t="s">
        <v>27</v>
      </c>
      <c r="E13759" t="s">
        <v>84</v>
      </c>
      <c r="F13759" s="2" t="str">
        <f>HYPERLINK("http://www.otzar.org/book.asp?18726","זכות אבות")</f>
        <v>זכות אבות</v>
      </c>
    </row>
    <row r="13760" spans="1:6" x14ac:dyDescent="0.2">
      <c r="A13760" t="s">
        <v>23206</v>
      </c>
      <c r="B13760" t="s">
        <v>23207</v>
      </c>
      <c r="C13760" t="s">
        <v>23208</v>
      </c>
      <c r="D13760" t="s">
        <v>225</v>
      </c>
      <c r="E13760" t="s">
        <v>140</v>
      </c>
      <c r="F13760" s="2" t="str">
        <f>HYPERLINK("http://www.otzar.org/book.asp?16088","זכות אבות - א")</f>
        <v>זכות אבות - א</v>
      </c>
    </row>
    <row r="13761" spans="1:6" x14ac:dyDescent="0.2">
      <c r="A13761" t="s">
        <v>23205</v>
      </c>
      <c r="B13761" t="s">
        <v>23209</v>
      </c>
      <c r="C13761" t="s">
        <v>1124</v>
      </c>
      <c r="D13761" t="s">
        <v>283</v>
      </c>
      <c r="E13761" t="s">
        <v>84</v>
      </c>
      <c r="F13761" s="2" t="str">
        <f>HYPERLINK("http://www.otzar.org/book.asp?11963","זכות אבות")</f>
        <v>זכות אבות</v>
      </c>
    </row>
    <row r="13762" spans="1:6" x14ac:dyDescent="0.2">
      <c r="A13762" t="s">
        <v>23205</v>
      </c>
      <c r="B13762" t="s">
        <v>1879</v>
      </c>
      <c r="C13762" t="s">
        <v>189</v>
      </c>
      <c r="D13762" t="s">
        <v>14</v>
      </c>
      <c r="E13762" t="s">
        <v>701</v>
      </c>
      <c r="F13762" s="2" t="str">
        <f>HYPERLINK("http://www.otzar.org/book.asp?50561","זכות אבות")</f>
        <v>זכות אבות</v>
      </c>
    </row>
    <row r="13763" spans="1:6" x14ac:dyDescent="0.2">
      <c r="A13763" t="s">
        <v>23205</v>
      </c>
      <c r="B13763" t="s">
        <v>23210</v>
      </c>
      <c r="C13763" t="s">
        <v>237</v>
      </c>
      <c r="D13763" t="s">
        <v>412</v>
      </c>
      <c r="E13763" t="s">
        <v>213</v>
      </c>
      <c r="F13763" s="2" t="str">
        <f>HYPERLINK("http://www.otzar.org/book.asp?21712","זכות אבות")</f>
        <v>זכות אבות</v>
      </c>
    </row>
    <row r="13764" spans="1:6" x14ac:dyDescent="0.2">
      <c r="A13764" t="s">
        <v>23211</v>
      </c>
      <c r="B13764" t="s">
        <v>23212</v>
      </c>
      <c r="C13764" t="s">
        <v>454</v>
      </c>
      <c r="D13764" t="s">
        <v>52</v>
      </c>
      <c r="E13764" t="s">
        <v>226</v>
      </c>
      <c r="F13764" s="2" t="str">
        <f>HYPERLINK("http://www.otzar.org/book.asp?154961","זכות אבות - 9 כר'")</f>
        <v>זכות אבות - 9 כר'</v>
      </c>
    </row>
    <row r="13765" spans="1:6" x14ac:dyDescent="0.2">
      <c r="A13765" t="s">
        <v>23205</v>
      </c>
      <c r="B13765" t="s">
        <v>23204</v>
      </c>
      <c r="C13765" t="s">
        <v>2455</v>
      </c>
      <c r="D13765" t="s">
        <v>212</v>
      </c>
      <c r="E13765" t="s">
        <v>84</v>
      </c>
      <c r="F13765" s="2" t="str">
        <f>HYPERLINK("http://www.otzar.org/book.asp?21370","זכות אבות")</f>
        <v>זכות אבות</v>
      </c>
    </row>
    <row r="13766" spans="1:6" x14ac:dyDescent="0.2">
      <c r="A13766" t="s">
        <v>23205</v>
      </c>
      <c r="B13766" t="s">
        <v>23213</v>
      </c>
      <c r="C13766" t="s">
        <v>1335</v>
      </c>
      <c r="D13766" t="s">
        <v>10606</v>
      </c>
      <c r="E13766" t="s">
        <v>84</v>
      </c>
      <c r="F13766" s="2" t="str">
        <f>HYPERLINK("http://www.otzar.org/book.asp?172477","זכות אבות")</f>
        <v>זכות אבות</v>
      </c>
    </row>
    <row r="13767" spans="1:6" x14ac:dyDescent="0.2">
      <c r="A13767" t="s">
        <v>23205</v>
      </c>
      <c r="B13767" t="s">
        <v>5579</v>
      </c>
      <c r="C13767" t="s">
        <v>454</v>
      </c>
      <c r="D13767" t="s">
        <v>14</v>
      </c>
      <c r="E13767" t="s">
        <v>2261</v>
      </c>
      <c r="F13767" s="2" t="str">
        <f>HYPERLINK("http://www.otzar.org/book.asp?50116","זכות אבות")</f>
        <v>זכות אבות</v>
      </c>
    </row>
    <row r="13768" spans="1:6" x14ac:dyDescent="0.2">
      <c r="A13768" t="s">
        <v>23205</v>
      </c>
      <c r="B13768" t="s">
        <v>23214</v>
      </c>
      <c r="C13768" t="s">
        <v>630</v>
      </c>
      <c r="D13768" t="s">
        <v>251</v>
      </c>
      <c r="E13768" t="s">
        <v>23215</v>
      </c>
      <c r="F13768" s="2" t="str">
        <f>HYPERLINK("http://www.otzar.org/book.asp?102795","זכות אבות")</f>
        <v>זכות אבות</v>
      </c>
    </row>
    <row r="13769" spans="1:6" x14ac:dyDescent="0.2">
      <c r="A13769" t="s">
        <v>23205</v>
      </c>
      <c r="B13769" t="s">
        <v>23216</v>
      </c>
      <c r="C13769" t="s">
        <v>20</v>
      </c>
      <c r="D13769" t="s">
        <v>52</v>
      </c>
      <c r="E13769" t="s">
        <v>104</v>
      </c>
      <c r="F13769" s="2" t="str">
        <f>HYPERLINK("http://www.otzar.org/book.asp?615264","זכות אבות")</f>
        <v>זכות אבות</v>
      </c>
    </row>
    <row r="13770" spans="1:6" x14ac:dyDescent="0.2">
      <c r="A13770" t="s">
        <v>23205</v>
      </c>
      <c r="B13770" t="s">
        <v>23217</v>
      </c>
      <c r="C13770" t="s">
        <v>244</v>
      </c>
      <c r="D13770" t="s">
        <v>486</v>
      </c>
      <c r="E13770" t="s">
        <v>140</v>
      </c>
      <c r="F13770" s="2" t="str">
        <f>HYPERLINK("http://www.otzar.org/book.asp?601450","זכות אבות")</f>
        <v>זכות אבות</v>
      </c>
    </row>
    <row r="13771" spans="1:6" x14ac:dyDescent="0.2">
      <c r="A13771" t="s">
        <v>23218</v>
      </c>
      <c r="B13771" t="s">
        <v>16120</v>
      </c>
      <c r="C13771" t="s">
        <v>176</v>
      </c>
      <c r="D13771" t="s">
        <v>216</v>
      </c>
      <c r="E13771" t="s">
        <v>144</v>
      </c>
      <c r="F13771" s="2" t="str">
        <f>HYPERLINK("http://www.otzar.org/book.asp?153673","זכות אליהו")</f>
        <v>זכות אליהו</v>
      </c>
    </row>
    <row r="13772" spans="1:6" x14ac:dyDescent="0.2">
      <c r="A13772" t="s">
        <v>23219</v>
      </c>
      <c r="B13772" t="s">
        <v>23220</v>
      </c>
      <c r="C13772" t="s">
        <v>244</v>
      </c>
      <c r="D13772" t="s">
        <v>486</v>
      </c>
      <c r="F13772" s="2" t="str">
        <f>HYPERLINK("http://www.otzar.org/book.asp?618622","זכות הדן")</f>
        <v>זכות הדן</v>
      </c>
    </row>
    <row r="13773" spans="1:6" x14ac:dyDescent="0.2">
      <c r="A13773" t="s">
        <v>23221</v>
      </c>
      <c r="B13773" t="s">
        <v>6636</v>
      </c>
      <c r="C13773" t="s">
        <v>1921</v>
      </c>
      <c r="D13773" t="s">
        <v>1490</v>
      </c>
      <c r="E13773" t="s">
        <v>230</v>
      </c>
      <c r="F13773" s="2" t="str">
        <f>HYPERLINK("http://www.otzar.org/book.asp?21371","זכות הרבים &lt;כף זכות&gt;")</f>
        <v>זכות הרבים &lt;כף זכות&gt;</v>
      </c>
    </row>
    <row r="13774" spans="1:6" x14ac:dyDescent="0.2">
      <c r="A13774" t="s">
        <v>23222</v>
      </c>
      <c r="B13774" t="s">
        <v>23223</v>
      </c>
      <c r="C13774" t="s">
        <v>180</v>
      </c>
      <c r="D13774" t="s">
        <v>216</v>
      </c>
      <c r="E13774" t="s">
        <v>733</v>
      </c>
      <c r="F13774" s="2" t="str">
        <f>HYPERLINK("http://www.otzar.org/book.asp?168055","זכות וזכר")</f>
        <v>זכות וזכר</v>
      </c>
    </row>
    <row r="13775" spans="1:6" x14ac:dyDescent="0.2">
      <c r="A13775" t="s">
        <v>23224</v>
      </c>
      <c r="B13775" t="s">
        <v>23225</v>
      </c>
      <c r="C13775" t="s">
        <v>37</v>
      </c>
      <c r="D13775" t="s">
        <v>90</v>
      </c>
      <c r="E13775" t="s">
        <v>399</v>
      </c>
      <c r="F13775" s="2" t="str">
        <f>HYPERLINK("http://www.otzar.org/book.asp?189696","זכות יהונתן - על ספר אוצרות חיים")</f>
        <v>זכות יהונתן - על ספר אוצרות חיים</v>
      </c>
    </row>
    <row r="13776" spans="1:6" x14ac:dyDescent="0.2">
      <c r="A13776" t="s">
        <v>23226</v>
      </c>
      <c r="B13776" t="s">
        <v>23227</v>
      </c>
      <c r="C13776" t="s">
        <v>356</v>
      </c>
      <c r="D13776" t="s">
        <v>14</v>
      </c>
      <c r="E13776" t="s">
        <v>23228</v>
      </c>
      <c r="F13776" s="2" t="str">
        <f>HYPERLINK("http://www.otzar.org/book.asp?146347","זכות יוסף")</f>
        <v>זכות יוסף</v>
      </c>
    </row>
    <row r="13777" spans="1:6" x14ac:dyDescent="0.2">
      <c r="A13777" t="s">
        <v>23229</v>
      </c>
      <c r="B13777" t="s">
        <v>12301</v>
      </c>
      <c r="C13777" t="s">
        <v>23230</v>
      </c>
      <c r="D13777" t="s">
        <v>1889</v>
      </c>
      <c r="E13777" t="s">
        <v>144</v>
      </c>
      <c r="F13777" s="2" t="str">
        <f>HYPERLINK("http://www.otzar.org/book.asp?182204","זכות יצחק - 4 כר'")</f>
        <v>זכות יצחק - 4 כר'</v>
      </c>
    </row>
    <row r="13778" spans="1:6" x14ac:dyDescent="0.2">
      <c r="A13778" t="s">
        <v>23231</v>
      </c>
      <c r="B13778" t="s">
        <v>3166</v>
      </c>
      <c r="C13778" t="s">
        <v>383</v>
      </c>
      <c r="D13778" t="s">
        <v>14</v>
      </c>
      <c r="E13778" t="s">
        <v>144</v>
      </c>
      <c r="F13778" s="2" t="str">
        <f>HYPERLINK("http://www.otzar.org/book.asp?53888","זכות יצחק - 2 כר'")</f>
        <v>זכות יצחק - 2 כר'</v>
      </c>
    </row>
    <row r="13779" spans="1:6" x14ac:dyDescent="0.2">
      <c r="A13779" t="s">
        <v>23232</v>
      </c>
      <c r="B13779" t="s">
        <v>23233</v>
      </c>
      <c r="C13779" t="s">
        <v>17</v>
      </c>
      <c r="D13779" t="s">
        <v>14</v>
      </c>
      <c r="E13779" t="s">
        <v>741</v>
      </c>
      <c r="F13779" s="2" t="str">
        <f>HYPERLINK("http://www.otzar.org/book.asp?168110","זכות ישראל &lt;מהדורה חדשה&gt; - 2 כר'")</f>
        <v>זכות ישראל &lt;מהדורה חדשה&gt; - 2 כר'</v>
      </c>
    </row>
    <row r="13780" spans="1:6" x14ac:dyDescent="0.2">
      <c r="A13780" t="s">
        <v>23234</v>
      </c>
      <c r="B13780" t="s">
        <v>23233</v>
      </c>
      <c r="C13780" t="s">
        <v>445</v>
      </c>
      <c r="D13780" t="s">
        <v>225</v>
      </c>
      <c r="E13780" t="s">
        <v>140</v>
      </c>
      <c r="F13780" s="2" t="str">
        <f>HYPERLINK("http://www.otzar.org/book.asp?11702","זכות ישראל &lt;עשר עטרות&gt;")</f>
        <v>זכות ישראל &lt;עשר עטרות&gt;</v>
      </c>
    </row>
    <row r="13781" spans="1:6" x14ac:dyDescent="0.2">
      <c r="A13781" t="s">
        <v>23235</v>
      </c>
      <c r="B13781" t="s">
        <v>23233</v>
      </c>
      <c r="C13781" t="s">
        <v>496</v>
      </c>
      <c r="D13781" t="s">
        <v>225</v>
      </c>
      <c r="E13781" t="s">
        <v>140</v>
      </c>
      <c r="F13781" s="2" t="str">
        <f>HYPERLINK("http://www.otzar.org/book.asp?100695","זכות ישראל &lt;עשר צחצחות&gt;")</f>
        <v>זכות ישראל &lt;עשר צחצחות&gt;</v>
      </c>
    </row>
    <row r="13782" spans="1:6" x14ac:dyDescent="0.2">
      <c r="A13782" t="s">
        <v>23236</v>
      </c>
      <c r="B13782" t="s">
        <v>23233</v>
      </c>
      <c r="C13782" t="s">
        <v>433</v>
      </c>
      <c r="D13782" t="s">
        <v>27</v>
      </c>
      <c r="E13782" t="s">
        <v>5398</v>
      </c>
      <c r="F13782" s="2" t="str">
        <f>HYPERLINK("http://www.otzar.org/book.asp?10297","זכות ישראל &lt;עשר קדושות&gt;")</f>
        <v>זכות ישראל &lt;עשר קדושות&gt;</v>
      </c>
    </row>
    <row r="13783" spans="1:6" x14ac:dyDescent="0.2">
      <c r="A13783" t="s">
        <v>23237</v>
      </c>
      <c r="B13783" t="s">
        <v>23233</v>
      </c>
      <c r="C13783" t="s">
        <v>946</v>
      </c>
      <c r="D13783" t="s">
        <v>100</v>
      </c>
      <c r="E13783" t="s">
        <v>3055</v>
      </c>
      <c r="F13783" s="2" t="str">
        <f>HYPERLINK("http://www.otzar.org/book.asp?155339","זכות ישראל מהדורא תנינא")</f>
        <v>זכות ישראל מהדורא תנינא</v>
      </c>
    </row>
    <row r="13784" spans="1:6" x14ac:dyDescent="0.2">
      <c r="A13784" t="s">
        <v>23238</v>
      </c>
      <c r="B13784" t="s">
        <v>23239</v>
      </c>
      <c r="E13784" t="s">
        <v>1697</v>
      </c>
      <c r="F13784" s="2" t="str">
        <f>HYPERLINK("http://www.otzar.org/book.asp?626503","זכות לאהרן")</f>
        <v>זכות לאהרן</v>
      </c>
    </row>
    <row r="13785" spans="1:6" x14ac:dyDescent="0.2">
      <c r="A13785" t="s">
        <v>23240</v>
      </c>
      <c r="B13785" t="s">
        <v>13405</v>
      </c>
      <c r="C13785" t="s">
        <v>51</v>
      </c>
      <c r="D13785" t="s">
        <v>90</v>
      </c>
      <c r="F13785" s="2" t="str">
        <f>HYPERLINK("http://www.otzar.org/book.asp?610655","זכות משה &lt;מהדורה חדשה&gt;")</f>
        <v>זכות משה &lt;מהדורה חדשה&gt;</v>
      </c>
    </row>
    <row r="13786" spans="1:6" x14ac:dyDescent="0.2">
      <c r="A13786" t="s">
        <v>23241</v>
      </c>
      <c r="B13786" t="s">
        <v>13405</v>
      </c>
      <c r="C13786" t="s">
        <v>343</v>
      </c>
      <c r="D13786" t="s">
        <v>76</v>
      </c>
      <c r="E13786" t="s">
        <v>15</v>
      </c>
      <c r="F13786" s="2" t="str">
        <f>HYPERLINK("http://www.otzar.org/book.asp?15328","זכות משה")</f>
        <v>זכות משה</v>
      </c>
    </row>
    <row r="13787" spans="1:6" x14ac:dyDescent="0.2">
      <c r="A13787" t="s">
        <v>23242</v>
      </c>
      <c r="B13787" t="s">
        <v>23243</v>
      </c>
      <c r="C13787" t="s">
        <v>237</v>
      </c>
      <c r="D13787" t="s">
        <v>260</v>
      </c>
      <c r="E13787" t="s">
        <v>226</v>
      </c>
      <c r="F13787" s="2" t="str">
        <f>HYPERLINK("http://www.otzar.org/book.asp?647","זכותא דאברהם")</f>
        <v>זכותא דאברהם</v>
      </c>
    </row>
    <row r="13788" spans="1:6" x14ac:dyDescent="0.2">
      <c r="A13788" t="s">
        <v>23244</v>
      </c>
      <c r="B13788" t="s">
        <v>9777</v>
      </c>
      <c r="C13788" t="s">
        <v>1640</v>
      </c>
      <c r="D13788" t="s">
        <v>14</v>
      </c>
      <c r="E13788" t="s">
        <v>23245</v>
      </c>
      <c r="F13788" s="2" t="str">
        <f>HYPERLINK("http://www.otzar.org/book.asp?7399","זכותא דאברהם - 2 כר'")</f>
        <v>זכותא דאברהם - 2 כר'</v>
      </c>
    </row>
    <row r="13789" spans="1:6" x14ac:dyDescent="0.2">
      <c r="A13789" t="s">
        <v>23242</v>
      </c>
      <c r="B13789" t="s">
        <v>12198</v>
      </c>
      <c r="C13789" t="s">
        <v>26</v>
      </c>
      <c r="D13789" t="s">
        <v>118</v>
      </c>
      <c r="E13789" t="s">
        <v>741</v>
      </c>
      <c r="F13789" s="2" t="str">
        <f>HYPERLINK("http://www.otzar.org/book.asp?13776","זכותא דאברהם")</f>
        <v>זכותא דאברהם</v>
      </c>
    </row>
    <row r="13790" spans="1:6" x14ac:dyDescent="0.2">
      <c r="A13790" t="s">
        <v>23244</v>
      </c>
      <c r="B13790" t="s">
        <v>23246</v>
      </c>
      <c r="C13790" t="s">
        <v>68</v>
      </c>
      <c r="D13790" t="s">
        <v>27</v>
      </c>
      <c r="E13790" t="s">
        <v>993</v>
      </c>
      <c r="F13790" s="2" t="str">
        <f>HYPERLINK("http://www.otzar.org/book.asp?171030","זכותא דאברהם - 2 כר'")</f>
        <v>זכותא דאברהם - 2 כר'</v>
      </c>
    </row>
    <row r="13791" spans="1:6" x14ac:dyDescent="0.2">
      <c r="A13791" t="s">
        <v>23247</v>
      </c>
      <c r="B13791" t="s">
        <v>11585</v>
      </c>
      <c r="C13791" t="s">
        <v>366</v>
      </c>
      <c r="D13791" t="s">
        <v>52</v>
      </c>
      <c r="E13791" t="s">
        <v>733</v>
      </c>
      <c r="F13791" s="2" t="str">
        <f>HYPERLINK("http://www.otzar.org/book.asp?628581","זכותא דיעקב")</f>
        <v>זכותא דיעקב</v>
      </c>
    </row>
    <row r="13792" spans="1:6" x14ac:dyDescent="0.2">
      <c r="A13792" t="s">
        <v>23248</v>
      </c>
      <c r="B13792" t="s">
        <v>23249</v>
      </c>
      <c r="C13792" t="s">
        <v>366</v>
      </c>
      <c r="D13792" t="s">
        <v>412</v>
      </c>
      <c r="F13792" s="2" t="str">
        <f>HYPERLINK("http://www.otzar.org/book.asp?608857","זכותא דמנחם - זכרון יעקב")</f>
        <v>זכותא דמנחם - זכרון יעקב</v>
      </c>
    </row>
    <row r="13793" spans="1:6" x14ac:dyDescent="0.2">
      <c r="A13793" t="s">
        <v>23250</v>
      </c>
      <c r="B13793" t="s">
        <v>1046</v>
      </c>
      <c r="C13793" t="s">
        <v>351</v>
      </c>
      <c r="D13793" t="s">
        <v>157</v>
      </c>
      <c r="E13793" t="s">
        <v>1262</v>
      </c>
      <c r="F13793" s="2" t="str">
        <f>HYPERLINK("http://www.otzar.org/book.asp?22440","זכותיה דאברהם")</f>
        <v>זכותיה דאברהם</v>
      </c>
    </row>
    <row r="13794" spans="1:6" x14ac:dyDescent="0.2">
      <c r="A13794" t="s">
        <v>23251</v>
      </c>
      <c r="B13794" t="s">
        <v>23252</v>
      </c>
      <c r="C13794" t="s">
        <v>124</v>
      </c>
      <c r="D13794" t="s">
        <v>3560</v>
      </c>
      <c r="E13794" t="s">
        <v>213</v>
      </c>
      <c r="F13794" s="2" t="str">
        <f>HYPERLINK("http://www.otzar.org/book.asp?172966","זכיות יוסף")</f>
        <v>זכיות יוסף</v>
      </c>
    </row>
    <row r="13795" spans="1:6" x14ac:dyDescent="0.2">
      <c r="A13795" t="s">
        <v>23253</v>
      </c>
      <c r="B13795" t="s">
        <v>20328</v>
      </c>
      <c r="C13795" t="s">
        <v>20</v>
      </c>
      <c r="D13795" t="s">
        <v>1722</v>
      </c>
      <c r="E13795" t="s">
        <v>104</v>
      </c>
      <c r="F13795" s="2" t="str">
        <f>HYPERLINK("http://www.otzar.org/book.asp?52525","זכירה ועניני סגולה")</f>
        <v>זכירה ועניני סגולה</v>
      </c>
    </row>
    <row r="13796" spans="1:6" x14ac:dyDescent="0.2">
      <c r="A13796" t="s">
        <v>23254</v>
      </c>
      <c r="B13796" t="s">
        <v>155</v>
      </c>
      <c r="C13796" t="s">
        <v>23255</v>
      </c>
      <c r="D13796" t="s">
        <v>157</v>
      </c>
      <c r="E13796" t="s">
        <v>23256</v>
      </c>
      <c r="F13796" s="2" t="str">
        <f>HYPERLINK("http://www.otzar.org/book.asp?15771","זכירה לחיים - 2 כר'")</f>
        <v>זכירה לחיים - 2 כר'</v>
      </c>
    </row>
    <row r="13797" spans="1:6" x14ac:dyDescent="0.2">
      <c r="A13797" t="s">
        <v>23257</v>
      </c>
      <c r="B13797" t="s">
        <v>23258</v>
      </c>
      <c r="C13797" t="s">
        <v>146</v>
      </c>
      <c r="D13797" t="s">
        <v>14</v>
      </c>
      <c r="E13797" t="s">
        <v>130</v>
      </c>
      <c r="F13797" s="2" t="str">
        <f>HYPERLINK("http://www.otzar.org/book.asp?62765","זכירת השבת ושמירתה")</f>
        <v>זכירת השבת ושמירתה</v>
      </c>
    </row>
    <row r="13798" spans="1:6" x14ac:dyDescent="0.2">
      <c r="A13798" t="s">
        <v>23259</v>
      </c>
      <c r="B13798" t="s">
        <v>23260</v>
      </c>
      <c r="C13798" t="s">
        <v>383</v>
      </c>
      <c r="D13798" t="s">
        <v>52</v>
      </c>
      <c r="E13798" t="s">
        <v>202</v>
      </c>
      <c r="F13798" s="2" t="str">
        <f>HYPERLINK("http://www.otzar.org/book.asp?164005","זכר אב")</f>
        <v>זכר אב</v>
      </c>
    </row>
    <row r="13799" spans="1:6" x14ac:dyDescent="0.2">
      <c r="A13799" t="s">
        <v>23261</v>
      </c>
      <c r="B13799" t="s">
        <v>552</v>
      </c>
      <c r="C13799" t="s">
        <v>523</v>
      </c>
      <c r="D13799" t="s">
        <v>216</v>
      </c>
      <c r="E13799" t="s">
        <v>23262</v>
      </c>
      <c r="F13799" s="2" t="str">
        <f>HYPERLINK("http://www.otzar.org/book.asp?13531","זכר אבות")</f>
        <v>זכר אבות</v>
      </c>
    </row>
    <row r="13800" spans="1:6" x14ac:dyDescent="0.2">
      <c r="A13800" t="s">
        <v>23263</v>
      </c>
      <c r="B13800" t="s">
        <v>23264</v>
      </c>
      <c r="C13800" t="s">
        <v>20</v>
      </c>
      <c r="D13800" t="s">
        <v>14</v>
      </c>
      <c r="E13800" t="s">
        <v>621</v>
      </c>
      <c r="F13800" s="2" t="str">
        <f>HYPERLINK("http://www.otzar.org/book.asp?104844","זכר אברהם יצחק")</f>
        <v>זכר אברהם יצחק</v>
      </c>
    </row>
    <row r="13801" spans="1:6" x14ac:dyDescent="0.2">
      <c r="A13801" t="s">
        <v>23265</v>
      </c>
      <c r="B13801" t="s">
        <v>23266</v>
      </c>
      <c r="C13801" t="s">
        <v>23267</v>
      </c>
      <c r="D13801" t="s">
        <v>4441</v>
      </c>
      <c r="E13801" t="s">
        <v>144</v>
      </c>
      <c r="F13801" s="2" t="str">
        <f>HYPERLINK("http://www.otzar.org/book.asp?179309","זכר אברהם")</f>
        <v>זכר אברהם</v>
      </c>
    </row>
    <row r="13802" spans="1:6" x14ac:dyDescent="0.2">
      <c r="A13802" t="s">
        <v>23265</v>
      </c>
      <c r="B13802" t="s">
        <v>23268</v>
      </c>
      <c r="C13802" t="s">
        <v>1535</v>
      </c>
      <c r="D13802" t="s">
        <v>1432</v>
      </c>
      <c r="E13802" t="s">
        <v>144</v>
      </c>
      <c r="F13802" s="2" t="str">
        <f>HYPERLINK("http://www.otzar.org/book.asp?173102","זכר אברהם")</f>
        <v>זכר אברהם</v>
      </c>
    </row>
    <row r="13803" spans="1:6" x14ac:dyDescent="0.2">
      <c r="A13803" t="s">
        <v>23269</v>
      </c>
      <c r="B13803" t="s">
        <v>23270</v>
      </c>
      <c r="C13803" t="s">
        <v>1619</v>
      </c>
      <c r="D13803" t="s">
        <v>14</v>
      </c>
      <c r="E13803" t="s">
        <v>791</v>
      </c>
      <c r="F13803" s="2" t="str">
        <f>HYPERLINK("http://www.otzar.org/book.asp?10978","זכר אברהם - 2 כר'")</f>
        <v>זכר אברהם - 2 כר'</v>
      </c>
    </row>
    <row r="13804" spans="1:6" x14ac:dyDescent="0.2">
      <c r="A13804" t="s">
        <v>23265</v>
      </c>
      <c r="B13804" t="s">
        <v>23271</v>
      </c>
      <c r="C13804" t="s">
        <v>23272</v>
      </c>
      <c r="D13804" t="s">
        <v>27</v>
      </c>
      <c r="E13804" t="s">
        <v>234</v>
      </c>
      <c r="F13804" s="2" t="str">
        <f>HYPERLINK("http://www.otzar.org/book.asp?173394","זכר אברהם")</f>
        <v>זכר אברהם</v>
      </c>
    </row>
    <row r="13805" spans="1:6" x14ac:dyDescent="0.2">
      <c r="A13805" t="s">
        <v>23273</v>
      </c>
      <c r="B13805" t="s">
        <v>23274</v>
      </c>
      <c r="C13805" t="s">
        <v>20</v>
      </c>
      <c r="D13805" t="s">
        <v>90</v>
      </c>
      <c r="E13805" t="s">
        <v>154</v>
      </c>
      <c r="F13805" s="2" t="str">
        <f>HYPERLINK("http://www.otzar.org/book.asp?85160","זכר אריה - עטרת אריה")</f>
        <v>זכר אריה - עטרת אריה</v>
      </c>
    </row>
    <row r="13806" spans="1:6" x14ac:dyDescent="0.2">
      <c r="A13806" t="s">
        <v>23275</v>
      </c>
      <c r="B13806" t="s">
        <v>23276</v>
      </c>
      <c r="C13806" t="s">
        <v>68</v>
      </c>
      <c r="D13806" t="s">
        <v>14</v>
      </c>
      <c r="E13806" t="s">
        <v>15</v>
      </c>
      <c r="F13806" s="2" t="str">
        <f>HYPERLINK("http://www.otzar.org/book.asp?158055","זכר בן ציון - 2 כר'")</f>
        <v>זכר בן ציון - 2 כר'</v>
      </c>
    </row>
    <row r="13807" spans="1:6" x14ac:dyDescent="0.2">
      <c r="A13807" t="s">
        <v>23277</v>
      </c>
      <c r="B13807" t="s">
        <v>23278</v>
      </c>
      <c r="C13807" t="s">
        <v>908</v>
      </c>
      <c r="D13807" t="s">
        <v>27</v>
      </c>
      <c r="E13807" t="s">
        <v>158</v>
      </c>
      <c r="F13807" s="2" t="str">
        <f>HYPERLINK("http://www.otzar.org/book.asp?13055","זכר בנימין")</f>
        <v>זכר בנימין</v>
      </c>
    </row>
    <row r="13808" spans="1:6" x14ac:dyDescent="0.2">
      <c r="A13808" t="s">
        <v>23279</v>
      </c>
      <c r="B13808" t="s">
        <v>23280</v>
      </c>
      <c r="C13808" t="s">
        <v>2617</v>
      </c>
      <c r="D13808" t="s">
        <v>76</v>
      </c>
      <c r="E13808" t="s">
        <v>837</v>
      </c>
      <c r="F13808" s="2" t="str">
        <f>HYPERLINK("http://www.otzar.org/book.asp?18727","זכר דבר")</f>
        <v>זכר דבר</v>
      </c>
    </row>
    <row r="13809" spans="1:6" x14ac:dyDescent="0.2">
      <c r="A13809" t="s">
        <v>23281</v>
      </c>
      <c r="B13809" t="s">
        <v>23282</v>
      </c>
      <c r="C13809" t="s">
        <v>624</v>
      </c>
      <c r="D13809" t="s">
        <v>52</v>
      </c>
      <c r="E13809" t="s">
        <v>10711</v>
      </c>
      <c r="F13809" s="2" t="str">
        <f>HYPERLINK("http://www.otzar.org/book.asp?107212","זכר דוד")</f>
        <v>זכר דוד</v>
      </c>
    </row>
    <row r="13810" spans="1:6" x14ac:dyDescent="0.2">
      <c r="A13810" t="s">
        <v>23281</v>
      </c>
      <c r="B13810" t="s">
        <v>23283</v>
      </c>
      <c r="C13810" t="s">
        <v>492</v>
      </c>
      <c r="D13810" t="s">
        <v>412</v>
      </c>
      <c r="E13810" t="s">
        <v>144</v>
      </c>
      <c r="F13810" s="2" t="str">
        <f>HYPERLINK("http://www.otzar.org/book.asp?190341","זכר דוד")</f>
        <v>זכר דוד</v>
      </c>
    </row>
    <row r="13811" spans="1:6" x14ac:dyDescent="0.2">
      <c r="A13811" t="s">
        <v>23284</v>
      </c>
      <c r="B13811" t="s">
        <v>23285</v>
      </c>
      <c r="C13811" t="s">
        <v>5912</v>
      </c>
      <c r="D13811" t="s">
        <v>212</v>
      </c>
      <c r="E13811" t="s">
        <v>314</v>
      </c>
      <c r="F13811" s="2" t="str">
        <f>HYPERLINK("http://www.otzar.org/book.asp?18728","זכר דוד - 2 כר'")</f>
        <v>זכר דוד - 2 כר'</v>
      </c>
    </row>
    <row r="13812" spans="1:6" x14ac:dyDescent="0.2">
      <c r="A13812" t="s">
        <v>23286</v>
      </c>
      <c r="B13812" t="s">
        <v>23287</v>
      </c>
      <c r="C13812" t="s">
        <v>550</v>
      </c>
      <c r="D13812" t="s">
        <v>1279</v>
      </c>
      <c r="E13812" t="s">
        <v>234</v>
      </c>
      <c r="F13812" s="2" t="str">
        <f>HYPERLINK("http://www.otzar.org/book.asp?102448","זכר החיים")</f>
        <v>זכר החיים</v>
      </c>
    </row>
    <row r="13813" spans="1:6" x14ac:dyDescent="0.2">
      <c r="A13813" t="s">
        <v>23288</v>
      </c>
      <c r="B13813" t="s">
        <v>21698</v>
      </c>
      <c r="C13813" t="s">
        <v>176</v>
      </c>
      <c r="D13813" t="s">
        <v>646</v>
      </c>
      <c r="E13813" t="s">
        <v>23289</v>
      </c>
      <c r="F13813" s="2" t="str">
        <f>HYPERLINK("http://www.otzar.org/book.asp?153202","זכר זאת ליעקב - 3 כר'")</f>
        <v>זכר זאת ליעקב - 3 כר'</v>
      </c>
    </row>
    <row r="13814" spans="1:6" x14ac:dyDescent="0.2">
      <c r="A13814" t="s">
        <v>23290</v>
      </c>
      <c r="B13814" t="s">
        <v>23291</v>
      </c>
      <c r="C13814" t="s">
        <v>1388</v>
      </c>
      <c r="D13814" t="s">
        <v>216</v>
      </c>
      <c r="E13814" t="s">
        <v>226</v>
      </c>
      <c r="F13814" s="2" t="str">
        <f>HYPERLINK("http://www.otzar.org/book.asp?10387","זכר חיים - 2 כר'")</f>
        <v>זכר חיים - 2 כר'</v>
      </c>
    </row>
    <row r="13815" spans="1:6" x14ac:dyDescent="0.2">
      <c r="A13815" t="s">
        <v>23290</v>
      </c>
      <c r="B13815" t="s">
        <v>14588</v>
      </c>
      <c r="C13815" t="s">
        <v>1437</v>
      </c>
      <c r="D13815" t="s">
        <v>283</v>
      </c>
      <c r="E13815" t="s">
        <v>154</v>
      </c>
      <c r="F13815" s="2" t="str">
        <f>HYPERLINK("http://www.otzar.org/book.asp?24372","זכר חיים - 2 כר'")</f>
        <v>זכר חיים - 2 כר'</v>
      </c>
    </row>
    <row r="13816" spans="1:6" x14ac:dyDescent="0.2">
      <c r="A13816" t="s">
        <v>23292</v>
      </c>
      <c r="B13816" t="s">
        <v>23293</v>
      </c>
      <c r="C13816" t="s">
        <v>133</v>
      </c>
      <c r="D13816" t="s">
        <v>152</v>
      </c>
      <c r="E13816" t="s">
        <v>463</v>
      </c>
      <c r="F13816" s="2" t="str">
        <f>HYPERLINK("http://www.otzar.org/book.asp?609776","זכר חנוך")</f>
        <v>זכר חנוך</v>
      </c>
    </row>
    <row r="13817" spans="1:6" x14ac:dyDescent="0.2">
      <c r="A13817" t="s">
        <v>23294</v>
      </c>
      <c r="B13817" t="s">
        <v>23295</v>
      </c>
      <c r="C13817" t="s">
        <v>1284</v>
      </c>
      <c r="D13817" t="s">
        <v>225</v>
      </c>
      <c r="E13817" t="s">
        <v>144</v>
      </c>
      <c r="F13817" s="2" t="str">
        <f>HYPERLINK("http://www.otzar.org/book.asp?151622","זכר יהודה")</f>
        <v>זכר יהודה</v>
      </c>
    </row>
    <row r="13818" spans="1:6" x14ac:dyDescent="0.2">
      <c r="A13818" t="s">
        <v>23294</v>
      </c>
      <c r="B13818" t="s">
        <v>489</v>
      </c>
      <c r="C13818" t="s">
        <v>989</v>
      </c>
      <c r="D13818" t="s">
        <v>216</v>
      </c>
      <c r="E13818" t="s">
        <v>186</v>
      </c>
      <c r="F13818" s="2" t="str">
        <f>HYPERLINK("http://www.otzar.org/book.asp?11879","זכר יהודה")</f>
        <v>זכר יהודה</v>
      </c>
    </row>
    <row r="13819" spans="1:6" x14ac:dyDescent="0.2">
      <c r="A13819" t="s">
        <v>23296</v>
      </c>
      <c r="B13819" t="s">
        <v>9127</v>
      </c>
      <c r="C13819" t="s">
        <v>23297</v>
      </c>
      <c r="D13819" t="s">
        <v>283</v>
      </c>
      <c r="E13819" t="s">
        <v>154</v>
      </c>
      <c r="F13819" s="2" t="str">
        <f>HYPERLINK("http://www.otzar.org/book.asp?821","זכר יהוסף - 5 כר'")</f>
        <v>זכר יהוסף - 5 כר'</v>
      </c>
    </row>
    <row r="13820" spans="1:6" x14ac:dyDescent="0.2">
      <c r="A13820" t="s">
        <v>23298</v>
      </c>
      <c r="B13820" t="s">
        <v>23299</v>
      </c>
      <c r="C13820" t="s">
        <v>124</v>
      </c>
      <c r="D13820" t="s">
        <v>216</v>
      </c>
      <c r="E13820" t="s">
        <v>9557</v>
      </c>
      <c r="F13820" s="2" t="str">
        <f>HYPERLINK("http://www.otzar.org/book.asp?145214","זכר יהושע")</f>
        <v>זכר יהושע</v>
      </c>
    </row>
    <row r="13821" spans="1:6" x14ac:dyDescent="0.2">
      <c r="A13821" t="s">
        <v>23300</v>
      </c>
      <c r="B13821" t="s">
        <v>23301</v>
      </c>
      <c r="C13821" t="s">
        <v>1470</v>
      </c>
      <c r="D13821" t="s">
        <v>27</v>
      </c>
      <c r="E13821" t="s">
        <v>384</v>
      </c>
      <c r="F13821" s="2" t="str">
        <f>HYPERLINK("http://www.otzar.org/book.asp?11902","זכר יוסף")</f>
        <v>זכר יוסף</v>
      </c>
    </row>
    <row r="13822" spans="1:6" x14ac:dyDescent="0.2">
      <c r="A13822" t="s">
        <v>23302</v>
      </c>
      <c r="B13822" t="s">
        <v>23303</v>
      </c>
      <c r="C13822" t="s">
        <v>362</v>
      </c>
      <c r="D13822" t="s">
        <v>756</v>
      </c>
      <c r="E13822" t="s">
        <v>104</v>
      </c>
      <c r="F13822" s="2" t="str">
        <f>HYPERLINK("http://www.otzar.org/book.asp?197607","זכר יעקב")</f>
        <v>זכר יעקב</v>
      </c>
    </row>
    <row r="13823" spans="1:6" x14ac:dyDescent="0.2">
      <c r="A13823" t="s">
        <v>23304</v>
      </c>
      <c r="B13823" t="s">
        <v>23305</v>
      </c>
      <c r="C13823" t="s">
        <v>1448</v>
      </c>
      <c r="D13823" t="s">
        <v>52</v>
      </c>
      <c r="E13823" t="s">
        <v>148</v>
      </c>
      <c r="F13823" s="2" t="str">
        <f>HYPERLINK("http://www.otzar.org/book.asp?154107","זכר יעקב - 3 כר'")</f>
        <v>זכר יעקב - 3 כר'</v>
      </c>
    </row>
    <row r="13824" spans="1:6" x14ac:dyDescent="0.2">
      <c r="A13824" t="s">
        <v>23302</v>
      </c>
      <c r="B13824" t="s">
        <v>23306</v>
      </c>
      <c r="C13824" t="s">
        <v>151</v>
      </c>
      <c r="D13824" t="s">
        <v>52</v>
      </c>
      <c r="E13824" t="s">
        <v>186</v>
      </c>
      <c r="F13824" s="2" t="str">
        <f>HYPERLINK("http://www.otzar.org/book.asp?618870","זכר יעקב")</f>
        <v>זכר יעקב</v>
      </c>
    </row>
    <row r="13825" spans="1:6" x14ac:dyDescent="0.2">
      <c r="A13825" t="s">
        <v>23307</v>
      </c>
      <c r="B13825" t="s">
        <v>552</v>
      </c>
      <c r="C13825" t="s">
        <v>454</v>
      </c>
      <c r="D13825" t="s">
        <v>14</v>
      </c>
      <c r="E13825" t="s">
        <v>202</v>
      </c>
      <c r="F13825" s="2" t="str">
        <f>HYPERLINK("http://www.otzar.org/book.asp?50441","זכר יצחק &lt;הוכברגר&gt;")</f>
        <v>זכר יצחק &lt;הוכברגר&gt;</v>
      </c>
    </row>
    <row r="13826" spans="1:6" x14ac:dyDescent="0.2">
      <c r="A13826" t="s">
        <v>23308</v>
      </c>
      <c r="B13826" t="s">
        <v>1217</v>
      </c>
      <c r="C13826" t="s">
        <v>244</v>
      </c>
      <c r="D13826" t="s">
        <v>52</v>
      </c>
      <c r="E13826" t="s">
        <v>172</v>
      </c>
      <c r="F13826" s="2" t="str">
        <f>HYPERLINK("http://www.otzar.org/book.asp?600757","זכר יצחק - נדרים ושבועות")</f>
        <v>זכר יצחק - נדרים ושבועות</v>
      </c>
    </row>
    <row r="13827" spans="1:6" x14ac:dyDescent="0.2">
      <c r="A13827" t="s">
        <v>23309</v>
      </c>
      <c r="B13827" t="s">
        <v>12552</v>
      </c>
      <c r="C13827" t="s">
        <v>767</v>
      </c>
      <c r="D13827" t="s">
        <v>52</v>
      </c>
      <c r="E13827" t="s">
        <v>467</v>
      </c>
      <c r="F13827" s="2" t="str">
        <f>HYPERLINK("http://www.otzar.org/book.asp?144551","זכר יצחק")</f>
        <v>זכר יצחק</v>
      </c>
    </row>
    <row r="13828" spans="1:6" x14ac:dyDescent="0.2">
      <c r="A13828" t="s">
        <v>23309</v>
      </c>
      <c r="B13828" t="s">
        <v>23310</v>
      </c>
      <c r="C13828" t="s">
        <v>237</v>
      </c>
      <c r="D13828" t="s">
        <v>27</v>
      </c>
      <c r="E13828" t="s">
        <v>154</v>
      </c>
      <c r="F13828" s="2" t="str">
        <f>HYPERLINK("http://www.otzar.org/book.asp?10766","זכר יצחק")</f>
        <v>זכר יצחק</v>
      </c>
    </row>
    <row r="13829" spans="1:6" x14ac:dyDescent="0.2">
      <c r="A13829" t="s">
        <v>23311</v>
      </c>
      <c r="B13829" t="s">
        <v>15374</v>
      </c>
      <c r="C13829" t="s">
        <v>4705</v>
      </c>
      <c r="D13829" t="s">
        <v>56</v>
      </c>
      <c r="E13829" t="s">
        <v>23312</v>
      </c>
      <c r="F13829" s="2" t="str">
        <f>HYPERLINK("http://www.otzar.org/book.asp?640","זכר ישעיהו - א ב")</f>
        <v>זכר ישעיהו - א ב</v>
      </c>
    </row>
    <row r="13830" spans="1:6" x14ac:dyDescent="0.2">
      <c r="A13830" t="s">
        <v>23313</v>
      </c>
      <c r="B13830" t="s">
        <v>23314</v>
      </c>
      <c r="C13830" t="s">
        <v>3106</v>
      </c>
      <c r="D13830" t="s">
        <v>986</v>
      </c>
      <c r="E13830" t="s">
        <v>140</v>
      </c>
      <c r="F13830" s="2" t="str">
        <f>HYPERLINK("http://www.otzar.org/book.asp?6725","זכר לאברהם אליעזר")</f>
        <v>זכר לאברהם אליעזר</v>
      </c>
    </row>
    <row r="13831" spans="1:6" x14ac:dyDescent="0.2">
      <c r="A13831" t="s">
        <v>23315</v>
      </c>
      <c r="B13831" t="s">
        <v>489</v>
      </c>
      <c r="C13831" t="s">
        <v>106</v>
      </c>
      <c r="D13831" t="s">
        <v>2504</v>
      </c>
      <c r="E13831" t="s">
        <v>186</v>
      </c>
      <c r="F13831" s="2" t="str">
        <f>HYPERLINK("http://www.otzar.org/book.asp?163520","זכר לאברהם - 15 כר'")</f>
        <v>זכר לאברהם - 15 כר'</v>
      </c>
    </row>
    <row r="13832" spans="1:6" x14ac:dyDescent="0.2">
      <c r="A13832" t="s">
        <v>23316</v>
      </c>
      <c r="B13832" t="s">
        <v>23317</v>
      </c>
      <c r="C13832" t="s">
        <v>129</v>
      </c>
      <c r="D13832" t="s">
        <v>52</v>
      </c>
      <c r="E13832" t="s">
        <v>3610</v>
      </c>
      <c r="F13832" s="2" t="str">
        <f>HYPERLINK("http://www.otzar.org/book.asp?51850","זכר לב אברהם")</f>
        <v>זכר לב אברהם</v>
      </c>
    </row>
    <row r="13833" spans="1:6" x14ac:dyDescent="0.2">
      <c r="A13833" t="s">
        <v>23318</v>
      </c>
      <c r="B13833" t="s">
        <v>23319</v>
      </c>
      <c r="C13833" t="s">
        <v>106</v>
      </c>
      <c r="D13833" t="s">
        <v>14</v>
      </c>
      <c r="E13833" t="s">
        <v>579</v>
      </c>
      <c r="F13833" s="2" t="str">
        <f>HYPERLINK("http://www.otzar.org/book.asp?158361","זכר לדוד")</f>
        <v>זכר לדוד</v>
      </c>
    </row>
    <row r="13834" spans="1:6" x14ac:dyDescent="0.2">
      <c r="A13834" t="s">
        <v>23320</v>
      </c>
      <c r="B13834" t="s">
        <v>23321</v>
      </c>
      <c r="C13834" t="s">
        <v>351</v>
      </c>
      <c r="D13834" t="s">
        <v>267</v>
      </c>
      <c r="E13834" t="s">
        <v>144</v>
      </c>
      <c r="F13834" s="2" t="str">
        <f>HYPERLINK("http://www.otzar.org/book.asp?18729","זכר לחגיגה")</f>
        <v>זכר לחגיגה</v>
      </c>
    </row>
    <row r="13835" spans="1:6" x14ac:dyDescent="0.2">
      <c r="A13835" t="s">
        <v>23322</v>
      </c>
      <c r="B13835" t="s">
        <v>23323</v>
      </c>
      <c r="C13835" t="s">
        <v>390</v>
      </c>
      <c r="D13835" t="s">
        <v>8952</v>
      </c>
      <c r="E13835" t="s">
        <v>474</v>
      </c>
      <c r="F13835" s="2" t="str">
        <f>HYPERLINK("http://www.otzar.org/book.asp?7542","זכר לחיים - 9 כר'")</f>
        <v>זכר לחיים - 9 כר'</v>
      </c>
    </row>
    <row r="13836" spans="1:6" x14ac:dyDescent="0.2">
      <c r="A13836" t="s">
        <v>23324</v>
      </c>
      <c r="B13836" t="s">
        <v>23325</v>
      </c>
      <c r="C13836" t="s">
        <v>775</v>
      </c>
      <c r="D13836" t="s">
        <v>52</v>
      </c>
      <c r="E13836" t="s">
        <v>241</v>
      </c>
      <c r="F13836" s="2" t="str">
        <f>HYPERLINK("http://www.otzar.org/book.asp?182803","זכר לחיים - ב")</f>
        <v>זכר לחיים - ב</v>
      </c>
    </row>
    <row r="13837" spans="1:6" x14ac:dyDescent="0.2">
      <c r="A13837" t="s">
        <v>23326</v>
      </c>
      <c r="B13837" t="s">
        <v>23327</v>
      </c>
      <c r="C13837" t="s">
        <v>427</v>
      </c>
      <c r="D13837" t="s">
        <v>14</v>
      </c>
      <c r="E13837" t="s">
        <v>144</v>
      </c>
      <c r="F13837" s="2" t="str">
        <f>HYPERLINK("http://www.otzar.org/book.asp?8242","זכר ליעקב על הש""ס")</f>
        <v>זכר ליעקב על הש"ס</v>
      </c>
    </row>
    <row r="13838" spans="1:6" x14ac:dyDescent="0.2">
      <c r="A13838" t="s">
        <v>23328</v>
      </c>
      <c r="B13838" t="s">
        <v>23329</v>
      </c>
      <c r="C13838" t="s">
        <v>103</v>
      </c>
      <c r="D13838" t="s">
        <v>52</v>
      </c>
      <c r="E13838" t="s">
        <v>246</v>
      </c>
      <c r="F13838" s="2" t="str">
        <f>HYPERLINK("http://www.otzar.org/book.asp?159581","זכר למקדש כהלל")</f>
        <v>זכר למקדש כהלל</v>
      </c>
    </row>
    <row r="13839" spans="1:6" x14ac:dyDescent="0.2">
      <c r="A13839" t="s">
        <v>23330</v>
      </c>
      <c r="B13839" t="s">
        <v>5058</v>
      </c>
      <c r="C13839" t="s">
        <v>1047</v>
      </c>
      <c r="D13839" t="s">
        <v>283</v>
      </c>
      <c r="E13839" t="s">
        <v>104</v>
      </c>
      <c r="F13839" s="2" t="str">
        <f>HYPERLINK("http://www.otzar.org/book.asp?147756","זכר למקדש")</f>
        <v>זכר למקדש</v>
      </c>
    </row>
    <row r="13840" spans="1:6" x14ac:dyDescent="0.2">
      <c r="A13840" t="s">
        <v>23331</v>
      </c>
      <c r="B13840" t="s">
        <v>23332</v>
      </c>
      <c r="C13840" t="s">
        <v>13</v>
      </c>
      <c r="D13840" t="s">
        <v>412</v>
      </c>
      <c r="E13840" t="s">
        <v>144</v>
      </c>
      <c r="F13840" s="2" t="str">
        <f>HYPERLINK("http://www.otzar.org/book.asp?170935","זכר מנחם")</f>
        <v>זכר מנחם</v>
      </c>
    </row>
    <row r="13841" spans="1:6" x14ac:dyDescent="0.2">
      <c r="A13841" t="s">
        <v>23333</v>
      </c>
      <c r="B13841" t="s">
        <v>23334</v>
      </c>
      <c r="C13841" t="s">
        <v>466</v>
      </c>
      <c r="D13841" t="s">
        <v>14</v>
      </c>
      <c r="E13841" t="s">
        <v>154</v>
      </c>
      <c r="F13841" s="2" t="str">
        <f>HYPERLINK("http://www.otzar.org/book.asp?160774","זכר מרדכי  - תשובות הגר""י")</f>
        <v>זכר מרדכי  - תשובות הגר"י</v>
      </c>
    </row>
    <row r="13842" spans="1:6" x14ac:dyDescent="0.2">
      <c r="A13842" t="s">
        <v>23335</v>
      </c>
      <c r="B13842" t="s">
        <v>9635</v>
      </c>
      <c r="C13842" t="s">
        <v>454</v>
      </c>
      <c r="D13842" t="s">
        <v>657</v>
      </c>
      <c r="E13842" t="s">
        <v>1211</v>
      </c>
      <c r="F13842" s="2" t="str">
        <f>HYPERLINK("http://www.otzar.org/book.asp?23022","זכר משה")</f>
        <v>זכר משה</v>
      </c>
    </row>
    <row r="13843" spans="1:6" x14ac:dyDescent="0.2">
      <c r="A13843" t="s">
        <v>23336</v>
      </c>
      <c r="B13843" t="s">
        <v>1402</v>
      </c>
      <c r="C13843" t="s">
        <v>20</v>
      </c>
      <c r="D13843" t="s">
        <v>90</v>
      </c>
      <c r="E13843" t="s">
        <v>219</v>
      </c>
      <c r="F13843" s="2" t="str">
        <f>HYPERLINK("http://www.otzar.org/book.asp?60995","זכר נחמיה - פירוש ברכת המזון")</f>
        <v>זכר נחמיה - פירוש ברכת המזון</v>
      </c>
    </row>
    <row r="13844" spans="1:6" x14ac:dyDescent="0.2">
      <c r="A13844" t="s">
        <v>23337</v>
      </c>
      <c r="B13844" t="s">
        <v>23338</v>
      </c>
      <c r="C13844" t="s">
        <v>1811</v>
      </c>
      <c r="D13844" t="s">
        <v>52</v>
      </c>
      <c r="E13844" t="s">
        <v>23339</v>
      </c>
      <c r="F13844" s="2" t="str">
        <f>HYPERLINK("http://www.otzar.org/book.asp?166234","זכר נפתלי")</f>
        <v>זכר נפתלי</v>
      </c>
    </row>
    <row r="13845" spans="1:6" x14ac:dyDescent="0.2">
      <c r="A13845" t="s">
        <v>23340</v>
      </c>
      <c r="B13845" t="s">
        <v>10440</v>
      </c>
      <c r="C13845" t="s">
        <v>752</v>
      </c>
      <c r="D13845" t="s">
        <v>535</v>
      </c>
      <c r="E13845" t="s">
        <v>23341</v>
      </c>
      <c r="F13845" s="2" t="str">
        <f>HYPERLINK("http://www.otzar.org/book.asp?996","זכר נתן")</f>
        <v>זכר נתן</v>
      </c>
    </row>
    <row r="13846" spans="1:6" x14ac:dyDescent="0.2">
      <c r="A13846" t="s">
        <v>23340</v>
      </c>
      <c r="B13846" t="s">
        <v>23342</v>
      </c>
      <c r="C13846" t="s">
        <v>13</v>
      </c>
      <c r="D13846" t="s">
        <v>52</v>
      </c>
      <c r="E13846" t="s">
        <v>674</v>
      </c>
      <c r="F13846" s="2" t="str">
        <f>HYPERLINK("http://www.otzar.org/book.asp?605437","זכר נתן")</f>
        <v>זכר נתן</v>
      </c>
    </row>
    <row r="13847" spans="1:6" x14ac:dyDescent="0.2">
      <c r="A13847" t="s">
        <v>23343</v>
      </c>
      <c r="B13847" t="s">
        <v>23344</v>
      </c>
      <c r="C13847" t="s">
        <v>767</v>
      </c>
      <c r="D13847" t="s">
        <v>90</v>
      </c>
      <c r="E13847" t="s">
        <v>202</v>
      </c>
      <c r="F13847" s="2" t="str">
        <f>HYPERLINK("http://www.otzar.org/book.asp?63681","זכר עשה ליראה")</f>
        <v>זכר עשה ליראה</v>
      </c>
    </row>
    <row r="13848" spans="1:6" x14ac:dyDescent="0.2">
      <c r="A13848" t="s">
        <v>23345</v>
      </c>
      <c r="B13848" t="s">
        <v>23346</v>
      </c>
      <c r="C13848" t="s">
        <v>129</v>
      </c>
      <c r="D13848" t="s">
        <v>14</v>
      </c>
      <c r="E13848" t="s">
        <v>15</v>
      </c>
      <c r="F13848" s="2" t="str">
        <f>HYPERLINK("http://www.otzar.org/book.asp?148703","זכר עשה - יזכור לעולם")</f>
        <v>זכר עשה - יזכור לעולם</v>
      </c>
    </row>
    <row r="13849" spans="1:6" x14ac:dyDescent="0.2">
      <c r="A13849" t="s">
        <v>23347</v>
      </c>
      <c r="B13849" t="s">
        <v>23348</v>
      </c>
      <c r="C13849" t="s">
        <v>454</v>
      </c>
      <c r="D13849" t="s">
        <v>14</v>
      </c>
      <c r="E13849" t="s">
        <v>583</v>
      </c>
      <c r="F13849" s="2" t="str">
        <f>HYPERLINK("http://www.otzar.org/book.asp?105253","זכר עשה")</f>
        <v>זכר עשה</v>
      </c>
    </row>
    <row r="13850" spans="1:6" x14ac:dyDescent="0.2">
      <c r="A13850" t="s">
        <v>23349</v>
      </c>
      <c r="B13850" t="s">
        <v>23350</v>
      </c>
      <c r="C13850" t="s">
        <v>26</v>
      </c>
      <c r="D13850" t="s">
        <v>14</v>
      </c>
      <c r="E13850" t="s">
        <v>104</v>
      </c>
      <c r="F13850" s="2" t="str">
        <f>HYPERLINK("http://www.otzar.org/book.asp?104527","זכר עשות")</f>
        <v>זכר עשות</v>
      </c>
    </row>
    <row r="13851" spans="1:6" x14ac:dyDescent="0.2">
      <c r="A13851" t="s">
        <v>23351</v>
      </c>
      <c r="B13851" t="s">
        <v>23352</v>
      </c>
      <c r="C13851" t="s">
        <v>383</v>
      </c>
      <c r="D13851" t="s">
        <v>14</v>
      </c>
      <c r="E13851" t="s">
        <v>674</v>
      </c>
      <c r="F13851" s="2" t="str">
        <f>HYPERLINK("http://www.otzar.org/book.asp?52739","זכר צבי - תחום שבת ומדידתו")</f>
        <v>זכר צבי - תחום שבת ומדידתו</v>
      </c>
    </row>
    <row r="13852" spans="1:6" x14ac:dyDescent="0.2">
      <c r="A13852" t="s">
        <v>23353</v>
      </c>
      <c r="B13852" t="s">
        <v>23354</v>
      </c>
      <c r="C13852" t="s">
        <v>775</v>
      </c>
      <c r="D13852" t="s">
        <v>52</v>
      </c>
      <c r="E13852" t="s">
        <v>5580</v>
      </c>
      <c r="F13852" s="2" t="str">
        <f>HYPERLINK("http://www.otzar.org/book.asp?194952","זכר צדיק &lt;מהדורה חדשה&gt; קונטרס תורת חסד")</f>
        <v>זכר צדיק &lt;מהדורה חדשה&gt; קונטרס תורת חסד</v>
      </c>
    </row>
    <row r="13853" spans="1:6" x14ac:dyDescent="0.2">
      <c r="A13853" t="s">
        <v>23355</v>
      </c>
      <c r="B13853" t="s">
        <v>23356</v>
      </c>
      <c r="C13853" t="s">
        <v>550</v>
      </c>
      <c r="D13853" t="s">
        <v>283</v>
      </c>
      <c r="E13853" t="s">
        <v>2840</v>
      </c>
      <c r="F13853" s="2" t="str">
        <f>HYPERLINK("http://www.otzar.org/book.asp?104411","זכר צדיק יסוד עולם")</f>
        <v>זכר צדיק יסוד עולם</v>
      </c>
    </row>
    <row r="13854" spans="1:6" x14ac:dyDescent="0.2">
      <c r="A13854" t="s">
        <v>23357</v>
      </c>
      <c r="B13854" t="s">
        <v>686</v>
      </c>
      <c r="C13854" t="s">
        <v>37</v>
      </c>
      <c r="D13854" t="s">
        <v>52</v>
      </c>
      <c r="E13854" t="s">
        <v>234</v>
      </c>
      <c r="F13854" s="2" t="str">
        <f>HYPERLINK("http://www.otzar.org/book.asp?191915","זכר צדיק לברכה")</f>
        <v>זכר צדיק לברכה</v>
      </c>
    </row>
    <row r="13855" spans="1:6" x14ac:dyDescent="0.2">
      <c r="A13855" t="s">
        <v>23357</v>
      </c>
      <c r="B13855" t="s">
        <v>4112</v>
      </c>
      <c r="C13855" t="s">
        <v>114</v>
      </c>
      <c r="D13855" t="s">
        <v>52</v>
      </c>
      <c r="F13855" s="2" t="str">
        <f>HYPERLINK("http://www.otzar.org/book.asp?610685","זכר צדיק לברכה")</f>
        <v>זכר צדיק לברכה</v>
      </c>
    </row>
    <row r="13856" spans="1:6" x14ac:dyDescent="0.2">
      <c r="A13856" t="s">
        <v>23357</v>
      </c>
      <c r="B13856" t="s">
        <v>23358</v>
      </c>
      <c r="E13856" t="s">
        <v>119</v>
      </c>
      <c r="F13856" s="2" t="str">
        <f>HYPERLINK("http://www.otzar.org/book.asp?622537","זכר צדיק לברכה")</f>
        <v>זכר צדיק לברכה</v>
      </c>
    </row>
    <row r="13857" spans="1:6" x14ac:dyDescent="0.2">
      <c r="A13857" t="s">
        <v>23357</v>
      </c>
      <c r="B13857" t="s">
        <v>23359</v>
      </c>
      <c r="C13857" t="s">
        <v>775</v>
      </c>
      <c r="D13857" t="s">
        <v>14</v>
      </c>
      <c r="F13857" s="2" t="str">
        <f>HYPERLINK("http://www.otzar.org/book.asp?609599","זכר צדיק לברכה")</f>
        <v>זכר צדיק לברכה</v>
      </c>
    </row>
    <row r="13858" spans="1:6" x14ac:dyDescent="0.2">
      <c r="A13858" t="s">
        <v>23360</v>
      </c>
      <c r="B13858" t="s">
        <v>23361</v>
      </c>
      <c r="C13858" t="s">
        <v>146</v>
      </c>
      <c r="D13858" t="s">
        <v>14</v>
      </c>
      <c r="E13858" t="s">
        <v>234</v>
      </c>
      <c r="F13858" s="2" t="str">
        <f>HYPERLINK("http://www.otzar.org/book.asp?143886","זכר צדיק")</f>
        <v>זכר צדיק</v>
      </c>
    </row>
    <row r="13859" spans="1:6" x14ac:dyDescent="0.2">
      <c r="A13859" t="s">
        <v>23360</v>
      </c>
      <c r="B13859" t="s">
        <v>3923</v>
      </c>
      <c r="C13859" t="s">
        <v>1228</v>
      </c>
      <c r="D13859" t="s">
        <v>225</v>
      </c>
      <c r="E13859" t="s">
        <v>21705</v>
      </c>
      <c r="F13859" s="2" t="str">
        <f>HYPERLINK("http://www.otzar.org/book.asp?103626","זכר צדיק")</f>
        <v>זכר צדיק</v>
      </c>
    </row>
    <row r="13860" spans="1:6" x14ac:dyDescent="0.2">
      <c r="A13860" t="s">
        <v>23362</v>
      </c>
      <c r="B13860" t="s">
        <v>16107</v>
      </c>
      <c r="C13860" t="s">
        <v>2269</v>
      </c>
      <c r="D13860" t="s">
        <v>9706</v>
      </c>
      <c r="F13860" s="2" t="str">
        <f>HYPERLINK("http://www.otzar.org/book.asp?620069","זכר צדיק - 2 כר'")</f>
        <v>זכר צדיק - 2 כר'</v>
      </c>
    </row>
    <row r="13861" spans="1:6" x14ac:dyDescent="0.2">
      <c r="A13861" t="s">
        <v>23360</v>
      </c>
      <c r="B13861" t="s">
        <v>9322</v>
      </c>
      <c r="C13861" t="s">
        <v>3246</v>
      </c>
      <c r="D13861" t="s">
        <v>1889</v>
      </c>
      <c r="E13861" t="s">
        <v>4494</v>
      </c>
      <c r="F13861" s="2" t="str">
        <f>HYPERLINK("http://www.otzar.org/book.asp?51171","זכר צדיק")</f>
        <v>זכר צדיק</v>
      </c>
    </row>
    <row r="13862" spans="1:6" x14ac:dyDescent="0.2">
      <c r="A13862" t="s">
        <v>23360</v>
      </c>
      <c r="B13862" t="s">
        <v>23363</v>
      </c>
      <c r="C13862" t="s">
        <v>1228</v>
      </c>
      <c r="D13862" t="s">
        <v>56</v>
      </c>
      <c r="E13862" t="s">
        <v>140</v>
      </c>
      <c r="F13862" s="2" t="str">
        <f>HYPERLINK("http://www.otzar.org/book.asp?102480","זכר צדיק")</f>
        <v>זכר צדיק</v>
      </c>
    </row>
    <row r="13863" spans="1:6" x14ac:dyDescent="0.2">
      <c r="A13863" t="s">
        <v>23364</v>
      </c>
      <c r="B13863" t="s">
        <v>23365</v>
      </c>
      <c r="C13863" t="s">
        <v>2550</v>
      </c>
      <c r="D13863" t="s">
        <v>283</v>
      </c>
      <c r="E13863" t="s">
        <v>119</v>
      </c>
      <c r="F13863" s="2" t="str">
        <f>HYPERLINK("http://www.otzar.org/book.asp?18730","זכר צדיקים")</f>
        <v>זכר צדיקים</v>
      </c>
    </row>
    <row r="13864" spans="1:6" x14ac:dyDescent="0.2">
      <c r="A13864" t="s">
        <v>23366</v>
      </c>
      <c r="B13864" t="s">
        <v>23367</v>
      </c>
      <c r="C13864" t="s">
        <v>411</v>
      </c>
      <c r="D13864" t="s">
        <v>152</v>
      </c>
      <c r="E13864" t="s">
        <v>202</v>
      </c>
      <c r="F13864" s="2" t="str">
        <f>HYPERLINK("http://www.otzar.org/book.asp?176371","זכר ראובן")</f>
        <v>זכר ראובן</v>
      </c>
    </row>
    <row r="13865" spans="1:6" x14ac:dyDescent="0.2">
      <c r="A13865" t="s">
        <v>23368</v>
      </c>
      <c r="B13865" t="s">
        <v>23369</v>
      </c>
      <c r="C13865" t="s">
        <v>3475</v>
      </c>
      <c r="D13865" t="s">
        <v>283</v>
      </c>
      <c r="E13865" t="s">
        <v>104</v>
      </c>
      <c r="F13865" s="2" t="str">
        <f>HYPERLINK("http://www.otzar.org/book.asp?25642","זכר רב - 3 כר'")</f>
        <v>זכר רב - 3 כר'</v>
      </c>
    </row>
    <row r="13866" spans="1:6" x14ac:dyDescent="0.2">
      <c r="A13866" t="s">
        <v>23370</v>
      </c>
      <c r="B13866" t="s">
        <v>552</v>
      </c>
      <c r="C13866" t="s">
        <v>775</v>
      </c>
      <c r="D13866" t="s">
        <v>52</v>
      </c>
      <c r="E13866" t="s">
        <v>384</v>
      </c>
      <c r="F13866" s="2" t="str">
        <f>HYPERLINK("http://www.otzar.org/book.asp?13533","זכר רב")</f>
        <v>זכר רב</v>
      </c>
    </row>
    <row r="13867" spans="1:6" x14ac:dyDescent="0.2">
      <c r="A13867" t="s">
        <v>23371</v>
      </c>
      <c r="B13867" t="s">
        <v>23372</v>
      </c>
      <c r="C13867" t="s">
        <v>51</v>
      </c>
      <c r="D13867" t="s">
        <v>52</v>
      </c>
      <c r="E13867" t="s">
        <v>23373</v>
      </c>
      <c r="F13867" s="2" t="str">
        <f>HYPERLINK("http://www.otzar.org/book.asp?150900","זכר שלמה")</f>
        <v>זכר שלמה</v>
      </c>
    </row>
    <row r="13868" spans="1:6" x14ac:dyDescent="0.2">
      <c r="A13868" t="s">
        <v>23371</v>
      </c>
      <c r="B13868" t="s">
        <v>23374</v>
      </c>
      <c r="C13868" t="s">
        <v>533</v>
      </c>
      <c r="D13868" t="s">
        <v>14</v>
      </c>
      <c r="E13868" t="s">
        <v>202</v>
      </c>
      <c r="F13868" s="2" t="str">
        <f>HYPERLINK("http://www.otzar.org/book.asp?180745","זכר שלמה")</f>
        <v>זכר שלמה</v>
      </c>
    </row>
    <row r="13869" spans="1:6" x14ac:dyDescent="0.2">
      <c r="A13869" t="s">
        <v>23375</v>
      </c>
      <c r="B13869" t="s">
        <v>23376</v>
      </c>
      <c r="C13869" t="s">
        <v>2284</v>
      </c>
      <c r="D13869" t="s">
        <v>52</v>
      </c>
      <c r="E13869" t="s">
        <v>3489</v>
      </c>
      <c r="F13869" s="2" t="str">
        <f>HYPERLINK("http://www.otzar.org/book.asp?106171","זכר שמואל - 7 כר'")</f>
        <v>זכר שמואל - 7 כר'</v>
      </c>
    </row>
    <row r="13870" spans="1:6" x14ac:dyDescent="0.2">
      <c r="A13870" t="s">
        <v>23377</v>
      </c>
      <c r="B13870" t="s">
        <v>23378</v>
      </c>
      <c r="C13870" t="s">
        <v>946</v>
      </c>
      <c r="D13870" t="s">
        <v>322</v>
      </c>
      <c r="E13870" t="s">
        <v>154</v>
      </c>
      <c r="F13870" s="2" t="str">
        <f>HYPERLINK("http://www.otzar.org/book.asp?18731","זכר שמחה")</f>
        <v>זכר שמחה</v>
      </c>
    </row>
    <row r="13871" spans="1:6" x14ac:dyDescent="0.2">
      <c r="A13871" t="s">
        <v>23379</v>
      </c>
      <c r="B13871" t="s">
        <v>23380</v>
      </c>
      <c r="C13871" t="s">
        <v>68</v>
      </c>
      <c r="D13871" t="s">
        <v>14</v>
      </c>
      <c r="E13871" t="s">
        <v>144</v>
      </c>
      <c r="F13871" s="2" t="str">
        <f>HYPERLINK("http://www.otzar.org/book.asp?158527","זכר שמעון")</f>
        <v>זכר שמעון</v>
      </c>
    </row>
    <row r="13872" spans="1:6" x14ac:dyDescent="0.2">
      <c r="A13872" t="s">
        <v>23381</v>
      </c>
      <c r="B13872" t="s">
        <v>23382</v>
      </c>
      <c r="C13872" t="s">
        <v>1811</v>
      </c>
      <c r="D13872" t="s">
        <v>52</v>
      </c>
      <c r="E13872" t="s">
        <v>144</v>
      </c>
      <c r="F13872" s="2" t="str">
        <f>HYPERLINK("http://www.otzar.org/book.asp?144243","זכרו ברוך")</f>
        <v>זכרו ברוך</v>
      </c>
    </row>
    <row r="13873" spans="1:6" x14ac:dyDescent="0.2">
      <c r="A13873" t="s">
        <v>23383</v>
      </c>
      <c r="B13873" t="s">
        <v>107</v>
      </c>
      <c r="C13873" t="s">
        <v>20</v>
      </c>
      <c r="D13873" t="s">
        <v>14</v>
      </c>
      <c r="E13873" t="s">
        <v>15</v>
      </c>
      <c r="F13873" s="2" t="str">
        <f>HYPERLINK("http://www.otzar.org/book.asp?625781","זכרו לעולם בריתו - 3 כר'")</f>
        <v>זכרו לעולם בריתו - 3 כר'</v>
      </c>
    </row>
    <row r="13874" spans="1:6" x14ac:dyDescent="0.2">
      <c r="A13874" t="s">
        <v>23384</v>
      </c>
      <c r="B13874" t="s">
        <v>23385</v>
      </c>
      <c r="C13874" t="s">
        <v>496</v>
      </c>
      <c r="D13874" t="s">
        <v>283</v>
      </c>
      <c r="E13874" t="s">
        <v>130</v>
      </c>
      <c r="F13874" s="2" t="str">
        <f>HYPERLINK("http://www.otzar.org/book.asp?84005","זכרו תורת משה &lt;עם משאת שבת&gt;")</f>
        <v>זכרו תורת משה &lt;עם משאת שבת&gt;</v>
      </c>
    </row>
    <row r="13875" spans="1:6" x14ac:dyDescent="0.2">
      <c r="A13875" t="s">
        <v>23386</v>
      </c>
      <c r="B13875" t="s">
        <v>9751</v>
      </c>
      <c r="C13875" t="s">
        <v>9307</v>
      </c>
      <c r="D13875" t="s">
        <v>14</v>
      </c>
      <c r="E13875" t="s">
        <v>15</v>
      </c>
      <c r="F13875" s="2" t="str">
        <f>HYPERLINK("http://www.otzar.org/book.asp?623767","זכרו תורת משה &lt;מהדורה חדשה&gt;")</f>
        <v>זכרו תורת משה &lt;מהדורה חדשה&gt;</v>
      </c>
    </row>
    <row r="13876" spans="1:6" x14ac:dyDescent="0.2">
      <c r="A13876" t="s">
        <v>23387</v>
      </c>
      <c r="B13876" t="s">
        <v>9751</v>
      </c>
      <c r="C13876" t="s">
        <v>956</v>
      </c>
      <c r="D13876" t="s">
        <v>27</v>
      </c>
      <c r="E13876" t="s">
        <v>5935</v>
      </c>
      <c r="F13876" s="2" t="str">
        <f>HYPERLINK("http://www.otzar.org/book.asp?52489","זכרו תורת משה &lt;עם קהלת יום טוב&gt; - 2 כר'")</f>
        <v>זכרו תורת משה &lt;עם קהלת יום טוב&gt; - 2 כר'</v>
      </c>
    </row>
    <row r="13877" spans="1:6" x14ac:dyDescent="0.2">
      <c r="A13877" t="s">
        <v>23388</v>
      </c>
      <c r="B13877" t="s">
        <v>9751</v>
      </c>
      <c r="C13877" t="s">
        <v>943</v>
      </c>
      <c r="D13877" t="s">
        <v>1419</v>
      </c>
      <c r="E13877" t="s">
        <v>674</v>
      </c>
      <c r="F13877" s="2" t="str">
        <f>HYPERLINK("http://www.otzar.org/book.asp?103601","זכרו תורת משה &lt;קיצור ספר חרדים בסופו&gt;")</f>
        <v>זכרו תורת משה &lt;קיצור ספר חרדים בסופו&gt;</v>
      </c>
    </row>
    <row r="13878" spans="1:6" x14ac:dyDescent="0.2">
      <c r="A13878" t="s">
        <v>23389</v>
      </c>
      <c r="B13878" t="s">
        <v>489</v>
      </c>
      <c r="C13878" t="s">
        <v>1388</v>
      </c>
      <c r="D13878" t="s">
        <v>14</v>
      </c>
      <c r="E13878" t="s">
        <v>202</v>
      </c>
      <c r="F13878" s="2" t="str">
        <f>HYPERLINK("http://www.otzar.org/book.asp?146971","זכרו תורת משה &lt;קובץ תורני&gt; - א")</f>
        <v>זכרו תורת משה &lt;קובץ תורני&gt; - א</v>
      </c>
    </row>
    <row r="13879" spans="1:6" x14ac:dyDescent="0.2">
      <c r="A13879" t="s">
        <v>23390</v>
      </c>
      <c r="B13879" t="s">
        <v>489</v>
      </c>
      <c r="C13879" t="s">
        <v>1388</v>
      </c>
      <c r="D13879" t="s">
        <v>14</v>
      </c>
      <c r="E13879" t="s">
        <v>186</v>
      </c>
      <c r="F13879" s="2" t="str">
        <f>HYPERLINK("http://www.otzar.org/book.asp?604206","זכרו תורת משה עבדי")</f>
        <v>זכרו תורת משה עבדי</v>
      </c>
    </row>
    <row r="13880" spans="1:6" x14ac:dyDescent="0.2">
      <c r="A13880" t="s">
        <v>23390</v>
      </c>
      <c r="B13880" t="s">
        <v>5634</v>
      </c>
      <c r="C13880" t="s">
        <v>146</v>
      </c>
      <c r="D13880" t="s">
        <v>52</v>
      </c>
      <c r="E13880" t="s">
        <v>213</v>
      </c>
      <c r="F13880" s="2" t="str">
        <f>HYPERLINK("http://www.otzar.org/book.asp?145321","זכרו תורת משה עבדי")</f>
        <v>זכרו תורת משה עבדי</v>
      </c>
    </row>
    <row r="13881" spans="1:6" x14ac:dyDescent="0.2">
      <c r="A13881" t="s">
        <v>23391</v>
      </c>
      <c r="B13881" t="s">
        <v>9751</v>
      </c>
      <c r="C13881" t="s">
        <v>23392</v>
      </c>
      <c r="D13881" t="s">
        <v>1365</v>
      </c>
      <c r="E13881" t="s">
        <v>130</v>
      </c>
      <c r="F13881" s="2" t="str">
        <f>HYPERLINK("http://www.otzar.org/book.asp?624778","זכרו תורת משה - 8 כר'")</f>
        <v>זכרו תורת משה - 8 כר'</v>
      </c>
    </row>
    <row r="13882" spans="1:6" x14ac:dyDescent="0.2">
      <c r="A13882" t="s">
        <v>23393</v>
      </c>
      <c r="B13882" t="s">
        <v>23394</v>
      </c>
      <c r="C13882" t="s">
        <v>103</v>
      </c>
      <c r="D13882" t="s">
        <v>52</v>
      </c>
      <c r="F13882" s="2" t="str">
        <f>HYPERLINK("http://www.otzar.org/book.asp?613363","זכרו תורת משה - 6 כר'")</f>
        <v>זכרו תורת משה - 6 כר'</v>
      </c>
    </row>
    <row r="13883" spans="1:6" x14ac:dyDescent="0.2">
      <c r="A13883" t="s">
        <v>23395</v>
      </c>
      <c r="B13883" t="s">
        <v>552</v>
      </c>
      <c r="C13883" t="s">
        <v>13</v>
      </c>
      <c r="D13883" t="s">
        <v>52</v>
      </c>
      <c r="E13883" t="s">
        <v>5392</v>
      </c>
      <c r="F13883" s="2" t="str">
        <f>HYPERLINK("http://www.otzar.org/book.asp?172971","זכרו תורת משה")</f>
        <v>זכרו תורת משה</v>
      </c>
    </row>
    <row r="13884" spans="1:6" x14ac:dyDescent="0.2">
      <c r="A13884" t="s">
        <v>23396</v>
      </c>
      <c r="B13884" t="s">
        <v>11403</v>
      </c>
      <c r="C13884" t="s">
        <v>362</v>
      </c>
      <c r="D13884" t="s">
        <v>4269</v>
      </c>
      <c r="E13884" t="s">
        <v>158</v>
      </c>
      <c r="F13884" s="2" t="str">
        <f>HYPERLINK("http://www.otzar.org/book.asp?16544","זכרון אב ואם")</f>
        <v>זכרון אב ואם</v>
      </c>
    </row>
    <row r="13885" spans="1:6" x14ac:dyDescent="0.2">
      <c r="A13885" t="s">
        <v>23397</v>
      </c>
      <c r="B13885" t="s">
        <v>23398</v>
      </c>
      <c r="C13885" t="s">
        <v>908</v>
      </c>
      <c r="D13885" t="s">
        <v>1635</v>
      </c>
      <c r="E13885" t="s">
        <v>104</v>
      </c>
      <c r="F13885" s="2" t="str">
        <f>HYPERLINK("http://www.otzar.org/book.asp?169780","זכרון אב")</f>
        <v>זכרון אב</v>
      </c>
    </row>
    <row r="13886" spans="1:6" x14ac:dyDescent="0.2">
      <c r="A13886" t="s">
        <v>23399</v>
      </c>
      <c r="B13886" t="s">
        <v>23400</v>
      </c>
      <c r="C13886" t="s">
        <v>919</v>
      </c>
      <c r="D13886" t="s">
        <v>118</v>
      </c>
      <c r="E13886" t="s">
        <v>23401</v>
      </c>
      <c r="F13886" s="2" t="str">
        <f>HYPERLINK("http://www.otzar.org/book.asp?151351","זכרון אבות")</f>
        <v>זכרון אבות</v>
      </c>
    </row>
    <row r="13887" spans="1:6" x14ac:dyDescent="0.2">
      <c r="A13887" t="s">
        <v>23399</v>
      </c>
      <c r="B13887" t="s">
        <v>23402</v>
      </c>
      <c r="C13887" t="s">
        <v>411</v>
      </c>
      <c r="D13887" t="s">
        <v>412</v>
      </c>
      <c r="E13887" t="s">
        <v>119</v>
      </c>
      <c r="F13887" s="2" t="str">
        <f>HYPERLINK("http://www.otzar.org/book.asp?166563","זכרון אבות")</f>
        <v>זכרון אבות</v>
      </c>
    </row>
    <row r="13888" spans="1:6" x14ac:dyDescent="0.2">
      <c r="A13888" t="s">
        <v>23399</v>
      </c>
      <c r="B13888" t="s">
        <v>552</v>
      </c>
      <c r="C13888" t="s">
        <v>767</v>
      </c>
      <c r="D13888" t="s">
        <v>14</v>
      </c>
      <c r="E13888" t="s">
        <v>202</v>
      </c>
      <c r="F13888" s="2" t="str">
        <f>HYPERLINK("http://www.otzar.org/book.asp?145091","זכרון אבות")</f>
        <v>זכרון אבות</v>
      </c>
    </row>
    <row r="13889" spans="1:6" x14ac:dyDescent="0.2">
      <c r="A13889" t="s">
        <v>23403</v>
      </c>
      <c r="B13889" t="s">
        <v>23404</v>
      </c>
      <c r="C13889" t="s">
        <v>360</v>
      </c>
      <c r="D13889" t="s">
        <v>56</v>
      </c>
      <c r="E13889" t="s">
        <v>1211</v>
      </c>
      <c r="F13889" s="2" t="str">
        <f>HYPERLINK("http://www.otzar.org/book.asp?149663","זכרון אביר")</f>
        <v>זכרון אביר</v>
      </c>
    </row>
    <row r="13890" spans="1:6" x14ac:dyDescent="0.2">
      <c r="A13890" t="s">
        <v>23405</v>
      </c>
      <c r="B13890" t="s">
        <v>1750</v>
      </c>
      <c r="C13890" t="s">
        <v>103</v>
      </c>
      <c r="D13890" t="s">
        <v>14</v>
      </c>
      <c r="E13890" t="s">
        <v>186</v>
      </c>
      <c r="F13890" s="2" t="str">
        <f>HYPERLINK("http://www.otzar.org/book.asp?53047","זכרון אברהם אבא")</f>
        <v>זכרון אברהם אבא</v>
      </c>
    </row>
    <row r="13891" spans="1:6" x14ac:dyDescent="0.2">
      <c r="A13891" t="s">
        <v>23406</v>
      </c>
      <c r="B13891" t="s">
        <v>23407</v>
      </c>
      <c r="C13891" t="s">
        <v>356</v>
      </c>
      <c r="D13891" t="s">
        <v>14</v>
      </c>
      <c r="E13891" t="s">
        <v>23408</v>
      </c>
      <c r="F13891" s="2" t="str">
        <f>HYPERLINK("http://www.otzar.org/book.asp?167807","זכרון אברהם דוב")</f>
        <v>זכרון אברהם דוב</v>
      </c>
    </row>
    <row r="13892" spans="1:6" x14ac:dyDescent="0.2">
      <c r="A13892" t="s">
        <v>23409</v>
      </c>
      <c r="B13892" t="s">
        <v>15326</v>
      </c>
      <c r="C13892" t="s">
        <v>581</v>
      </c>
      <c r="D13892" t="s">
        <v>225</v>
      </c>
      <c r="E13892" t="s">
        <v>213</v>
      </c>
      <c r="F13892" s="2" t="str">
        <f>HYPERLINK("http://www.otzar.org/book.asp?11980","זכרון אברהם השלם")</f>
        <v>זכרון אברהם השלם</v>
      </c>
    </row>
    <row r="13893" spans="1:6" x14ac:dyDescent="0.2">
      <c r="A13893" t="s">
        <v>23410</v>
      </c>
      <c r="B13893" t="s">
        <v>15226</v>
      </c>
      <c r="C13893" t="s">
        <v>46</v>
      </c>
      <c r="D13893" t="s">
        <v>27</v>
      </c>
      <c r="E13893" t="s">
        <v>144</v>
      </c>
      <c r="F13893" s="2" t="str">
        <f>HYPERLINK("http://www.otzar.org/book.asp?104828","זכרון אברהם משה")</f>
        <v>זכרון אברהם משה</v>
      </c>
    </row>
    <row r="13894" spans="1:6" x14ac:dyDescent="0.2">
      <c r="A13894" t="s">
        <v>23411</v>
      </c>
      <c r="B13894" t="s">
        <v>23412</v>
      </c>
      <c r="C13894" t="s">
        <v>5912</v>
      </c>
      <c r="D13894" t="s">
        <v>1279</v>
      </c>
      <c r="E13894" t="s">
        <v>15</v>
      </c>
      <c r="F13894" s="2" t="str">
        <f>HYPERLINK("http://www.otzar.org/book.asp?100903","זכרון אברהם")</f>
        <v>זכרון אברהם</v>
      </c>
    </row>
    <row r="13895" spans="1:6" x14ac:dyDescent="0.2">
      <c r="A13895" t="s">
        <v>23411</v>
      </c>
      <c r="B13895" t="s">
        <v>23413</v>
      </c>
      <c r="C13895" t="s">
        <v>5903</v>
      </c>
      <c r="D13895" t="s">
        <v>1422</v>
      </c>
      <c r="E13895" t="s">
        <v>23414</v>
      </c>
      <c r="F13895" s="2" t="str">
        <f>HYPERLINK("http://www.otzar.org/book.asp?9701","זכרון אברהם")</f>
        <v>זכרון אברהם</v>
      </c>
    </row>
    <row r="13896" spans="1:6" x14ac:dyDescent="0.2">
      <c r="A13896" t="s">
        <v>23411</v>
      </c>
      <c r="B13896" t="s">
        <v>21913</v>
      </c>
      <c r="C13896" t="s">
        <v>17</v>
      </c>
      <c r="D13896" t="s">
        <v>412</v>
      </c>
      <c r="F13896" s="2" t="str">
        <f>HYPERLINK("http://www.otzar.org/book.asp?153483","זכרון אברהם")</f>
        <v>זכרון אברהם</v>
      </c>
    </row>
    <row r="13897" spans="1:6" x14ac:dyDescent="0.2">
      <c r="A13897" t="s">
        <v>23411</v>
      </c>
      <c r="B13897" t="s">
        <v>6545</v>
      </c>
      <c r="C13897" t="s">
        <v>1246</v>
      </c>
      <c r="D13897" t="s">
        <v>1855</v>
      </c>
      <c r="E13897" t="s">
        <v>144</v>
      </c>
      <c r="F13897" s="2" t="str">
        <f>HYPERLINK("http://www.otzar.org/book.asp?6981","זכרון אברהם")</f>
        <v>זכרון אברהם</v>
      </c>
    </row>
    <row r="13898" spans="1:6" x14ac:dyDescent="0.2">
      <c r="A13898" t="s">
        <v>23411</v>
      </c>
      <c r="B13898" t="s">
        <v>23415</v>
      </c>
      <c r="C13898" t="s">
        <v>800</v>
      </c>
      <c r="D13898" t="s">
        <v>267</v>
      </c>
      <c r="E13898" t="s">
        <v>172</v>
      </c>
      <c r="F13898" s="2" t="str">
        <f>HYPERLINK("http://www.otzar.org/book.asp?104614","זכרון אברהם")</f>
        <v>זכרון אברהם</v>
      </c>
    </row>
    <row r="13899" spans="1:6" x14ac:dyDescent="0.2">
      <c r="A13899" t="s">
        <v>23416</v>
      </c>
      <c r="B13899" t="s">
        <v>23417</v>
      </c>
      <c r="C13899" t="s">
        <v>919</v>
      </c>
      <c r="D13899" t="s">
        <v>52</v>
      </c>
      <c r="E13899" t="s">
        <v>144</v>
      </c>
      <c r="F13899" s="2" t="str">
        <f>HYPERLINK("http://www.otzar.org/book.asp?166132","זכרון אברהם - סוכה")</f>
        <v>זכרון אברהם - סוכה</v>
      </c>
    </row>
    <row r="13900" spans="1:6" x14ac:dyDescent="0.2">
      <c r="A13900" t="s">
        <v>23411</v>
      </c>
      <c r="B13900" t="s">
        <v>23418</v>
      </c>
      <c r="C13900" t="s">
        <v>581</v>
      </c>
      <c r="D13900" t="s">
        <v>986</v>
      </c>
      <c r="E13900" t="s">
        <v>104</v>
      </c>
      <c r="F13900" s="2" t="str">
        <f>HYPERLINK("http://www.otzar.org/book.asp?52176","זכרון אברהם")</f>
        <v>זכרון אברהם</v>
      </c>
    </row>
    <row r="13901" spans="1:6" x14ac:dyDescent="0.2">
      <c r="A13901" t="s">
        <v>23411</v>
      </c>
      <c r="B13901" t="s">
        <v>23419</v>
      </c>
      <c r="C13901" t="s">
        <v>576</v>
      </c>
      <c r="D13901" t="s">
        <v>726</v>
      </c>
      <c r="E13901" t="s">
        <v>144</v>
      </c>
      <c r="F13901" s="2" t="str">
        <f>HYPERLINK("http://www.otzar.org/book.asp?18732","זכרון אברהם")</f>
        <v>זכרון אברהם</v>
      </c>
    </row>
    <row r="13902" spans="1:6" x14ac:dyDescent="0.2">
      <c r="A13902" t="s">
        <v>23420</v>
      </c>
      <c r="B13902" t="s">
        <v>23421</v>
      </c>
      <c r="C13902" t="s">
        <v>71</v>
      </c>
      <c r="D13902" t="s">
        <v>52</v>
      </c>
      <c r="E13902" t="s">
        <v>595</v>
      </c>
      <c r="F13902" s="2" t="str">
        <f>HYPERLINK("http://www.otzar.org/book.asp?146476","זכרון אהרן")</f>
        <v>זכרון אהרן</v>
      </c>
    </row>
    <row r="13903" spans="1:6" x14ac:dyDescent="0.2">
      <c r="A13903" t="s">
        <v>23422</v>
      </c>
      <c r="B13903" t="s">
        <v>23423</v>
      </c>
      <c r="C13903" t="s">
        <v>3246</v>
      </c>
      <c r="D13903" t="s">
        <v>661</v>
      </c>
      <c r="E13903" t="s">
        <v>463</v>
      </c>
      <c r="F13903" s="2" t="str">
        <f>HYPERLINK("http://www.otzar.org/book.asp?24401","זכרון אהרן - 2 כר'")</f>
        <v>זכרון אהרן - 2 כר'</v>
      </c>
    </row>
    <row r="13904" spans="1:6" x14ac:dyDescent="0.2">
      <c r="A13904" t="s">
        <v>23420</v>
      </c>
      <c r="B13904" t="s">
        <v>23424</v>
      </c>
      <c r="C13904" t="s">
        <v>282</v>
      </c>
      <c r="D13904" t="s">
        <v>267</v>
      </c>
      <c r="E13904" t="s">
        <v>920</v>
      </c>
      <c r="F13904" s="2" t="str">
        <f>HYPERLINK("http://www.otzar.org/book.asp?9129","זכרון אהרן")</f>
        <v>זכרון אהרן</v>
      </c>
    </row>
    <row r="13905" spans="1:6" x14ac:dyDescent="0.2">
      <c r="A13905" t="s">
        <v>23420</v>
      </c>
      <c r="B13905" t="s">
        <v>23425</v>
      </c>
      <c r="C13905" t="s">
        <v>334</v>
      </c>
      <c r="D13905" t="s">
        <v>14</v>
      </c>
      <c r="E13905" t="s">
        <v>144</v>
      </c>
      <c r="F13905" s="2" t="str">
        <f>HYPERLINK("http://www.otzar.org/book.asp?156127","זכרון אהרן")</f>
        <v>זכרון אהרן</v>
      </c>
    </row>
    <row r="13906" spans="1:6" x14ac:dyDescent="0.2">
      <c r="A13906" t="s">
        <v>23420</v>
      </c>
      <c r="B13906" t="s">
        <v>552</v>
      </c>
      <c r="C13906" t="s">
        <v>129</v>
      </c>
      <c r="D13906" t="s">
        <v>14</v>
      </c>
      <c r="E13906" t="s">
        <v>202</v>
      </c>
      <c r="F13906" s="2" t="str">
        <f>HYPERLINK("http://www.otzar.org/book.asp?60999","זכרון אהרן")</f>
        <v>זכרון אהרן</v>
      </c>
    </row>
    <row r="13907" spans="1:6" x14ac:dyDescent="0.2">
      <c r="A13907" t="s">
        <v>23420</v>
      </c>
      <c r="B13907" t="s">
        <v>23426</v>
      </c>
      <c r="C13907" t="s">
        <v>10215</v>
      </c>
      <c r="D13907" t="s">
        <v>1833</v>
      </c>
      <c r="E13907" t="s">
        <v>104</v>
      </c>
      <c r="F13907" s="2" t="str">
        <f>HYPERLINK("http://www.otzar.org/book.asp?189392","זכרון אהרן")</f>
        <v>זכרון אהרן</v>
      </c>
    </row>
    <row r="13908" spans="1:6" x14ac:dyDescent="0.2">
      <c r="A13908" t="s">
        <v>23420</v>
      </c>
      <c r="B13908" t="s">
        <v>23427</v>
      </c>
      <c r="C13908" t="s">
        <v>366</v>
      </c>
      <c r="D13908" t="s">
        <v>134</v>
      </c>
      <c r="F13908" s="2" t="str">
        <f>HYPERLINK("http://www.otzar.org/book.asp?611351","זכרון אהרן")</f>
        <v>זכרון אהרן</v>
      </c>
    </row>
    <row r="13909" spans="1:6" x14ac:dyDescent="0.2">
      <c r="A13909" t="s">
        <v>23428</v>
      </c>
      <c r="B13909" t="s">
        <v>12291</v>
      </c>
      <c r="C13909" t="s">
        <v>176</v>
      </c>
      <c r="D13909" t="s">
        <v>52</v>
      </c>
      <c r="E13909" t="s">
        <v>1211</v>
      </c>
      <c r="F13909" s="2" t="str">
        <f>HYPERLINK("http://www.otzar.org/book.asp?145080","זכרון אי""ש")</f>
        <v>זכרון אי"ש</v>
      </c>
    </row>
    <row r="13910" spans="1:6" x14ac:dyDescent="0.2">
      <c r="A13910" t="s">
        <v>23429</v>
      </c>
      <c r="B13910" t="s">
        <v>23430</v>
      </c>
      <c r="C13910" t="s">
        <v>146</v>
      </c>
      <c r="D13910" t="s">
        <v>90</v>
      </c>
      <c r="E13910" t="s">
        <v>202</v>
      </c>
      <c r="F13910" s="2" t="str">
        <f>HYPERLINK("http://www.otzar.org/book.asp?156435","זכרון איש")</f>
        <v>זכרון איש</v>
      </c>
    </row>
    <row r="13911" spans="1:6" x14ac:dyDescent="0.2">
      <c r="A13911" t="s">
        <v>23429</v>
      </c>
      <c r="B13911" t="s">
        <v>23431</v>
      </c>
      <c r="C13911" t="s">
        <v>1448</v>
      </c>
      <c r="D13911" t="s">
        <v>118</v>
      </c>
      <c r="F13911" s="2" t="str">
        <f>HYPERLINK("http://www.otzar.org/book.asp?618488","זכרון איש")</f>
        <v>זכרון איש</v>
      </c>
    </row>
    <row r="13912" spans="1:6" x14ac:dyDescent="0.2">
      <c r="A13912" t="s">
        <v>23429</v>
      </c>
      <c r="B13912" t="s">
        <v>23432</v>
      </c>
      <c r="C13912" t="s">
        <v>523</v>
      </c>
      <c r="D13912" t="s">
        <v>14</v>
      </c>
      <c r="E13912" t="s">
        <v>23433</v>
      </c>
      <c r="F13912" s="2" t="str">
        <f>HYPERLINK("http://www.otzar.org/book.asp?159977","זכרון איש")</f>
        <v>זכרון איש</v>
      </c>
    </row>
    <row r="13913" spans="1:6" x14ac:dyDescent="0.2">
      <c r="A13913" t="s">
        <v>23434</v>
      </c>
      <c r="B13913" t="s">
        <v>12985</v>
      </c>
      <c r="C13913" t="s">
        <v>23435</v>
      </c>
      <c r="D13913" t="s">
        <v>563</v>
      </c>
      <c r="E13913" t="s">
        <v>172</v>
      </c>
      <c r="F13913" s="2" t="str">
        <f>HYPERLINK("http://www.otzar.org/book.asp?84052","זכרון אלחנן")</f>
        <v>זכרון אלחנן</v>
      </c>
    </row>
    <row r="13914" spans="1:6" x14ac:dyDescent="0.2">
      <c r="A13914" t="s">
        <v>23436</v>
      </c>
      <c r="B13914" t="s">
        <v>23437</v>
      </c>
      <c r="C13914" t="s">
        <v>114</v>
      </c>
      <c r="D13914" t="s">
        <v>14816</v>
      </c>
      <c r="E13914" t="s">
        <v>202</v>
      </c>
      <c r="F13914" s="2" t="str">
        <f>HYPERLINK("http://www.otzar.org/book.asp?624837","זכרון אליהו משה")</f>
        <v>זכרון אליהו משה</v>
      </c>
    </row>
    <row r="13915" spans="1:6" x14ac:dyDescent="0.2">
      <c r="A13915" t="s">
        <v>23438</v>
      </c>
      <c r="B13915" t="s">
        <v>23439</v>
      </c>
      <c r="C13915" t="s">
        <v>156</v>
      </c>
      <c r="D13915" t="s">
        <v>267</v>
      </c>
      <c r="E13915" t="s">
        <v>1185</v>
      </c>
      <c r="F13915" s="2" t="str">
        <f>HYPERLINK("http://www.otzar.org/book.asp?102450","זכרון אליהו")</f>
        <v>זכרון אליהו</v>
      </c>
    </row>
    <row r="13916" spans="1:6" x14ac:dyDescent="0.2">
      <c r="A13916" t="s">
        <v>23438</v>
      </c>
      <c r="B13916" t="s">
        <v>23440</v>
      </c>
      <c r="C13916" t="s">
        <v>143</v>
      </c>
      <c r="D13916" t="s">
        <v>52</v>
      </c>
      <c r="E13916" t="s">
        <v>213</v>
      </c>
      <c r="F13916" s="2" t="str">
        <f>HYPERLINK("http://www.otzar.org/book.asp?63713","זכרון אליהו")</f>
        <v>זכרון אליהו</v>
      </c>
    </row>
    <row r="13917" spans="1:6" x14ac:dyDescent="0.2">
      <c r="A13917" t="s">
        <v>23438</v>
      </c>
      <c r="B13917" t="s">
        <v>23441</v>
      </c>
      <c r="C13917" t="s">
        <v>533</v>
      </c>
      <c r="D13917" t="s">
        <v>52</v>
      </c>
      <c r="E13917" t="s">
        <v>213</v>
      </c>
      <c r="F13917" s="2" t="str">
        <f>HYPERLINK("http://www.otzar.org/book.asp?19294","זכרון אליהו")</f>
        <v>זכרון אליהו</v>
      </c>
    </row>
    <row r="13918" spans="1:6" x14ac:dyDescent="0.2">
      <c r="A13918" t="s">
        <v>23438</v>
      </c>
      <c r="B13918" t="s">
        <v>23442</v>
      </c>
      <c r="C13918" t="s">
        <v>129</v>
      </c>
      <c r="D13918" t="s">
        <v>1076</v>
      </c>
      <c r="E13918" t="s">
        <v>148</v>
      </c>
      <c r="F13918" s="2" t="str">
        <f>HYPERLINK("http://www.otzar.org/book.asp?165221","זכרון אליהו")</f>
        <v>זכרון אליהו</v>
      </c>
    </row>
    <row r="13919" spans="1:6" x14ac:dyDescent="0.2">
      <c r="A13919" t="s">
        <v>23438</v>
      </c>
      <c r="B13919" t="s">
        <v>23443</v>
      </c>
      <c r="C13919" t="s">
        <v>619</v>
      </c>
      <c r="D13919" t="s">
        <v>9</v>
      </c>
      <c r="E13919" t="s">
        <v>213</v>
      </c>
      <c r="F13919" s="2" t="str">
        <f>HYPERLINK("http://www.otzar.org/book.asp?52180","זכרון אליהו")</f>
        <v>זכרון אליהו</v>
      </c>
    </row>
    <row r="13920" spans="1:6" x14ac:dyDescent="0.2">
      <c r="A13920" t="s">
        <v>23444</v>
      </c>
      <c r="B13920" t="s">
        <v>23445</v>
      </c>
      <c r="C13920" t="s">
        <v>23</v>
      </c>
      <c r="D13920" t="s">
        <v>412</v>
      </c>
      <c r="E13920" t="s">
        <v>144</v>
      </c>
      <c r="F13920" s="2" t="str">
        <f>HYPERLINK("http://www.otzar.org/book.asp?609045","זכרון אליהו - 2 כר'")</f>
        <v>זכרון אליהו - 2 כר'</v>
      </c>
    </row>
    <row r="13921" spans="1:6" x14ac:dyDescent="0.2">
      <c r="A13921" t="s">
        <v>23438</v>
      </c>
      <c r="B13921" t="s">
        <v>1750</v>
      </c>
      <c r="C13921" t="s">
        <v>146</v>
      </c>
      <c r="D13921" t="s">
        <v>14</v>
      </c>
      <c r="E13921" t="s">
        <v>15</v>
      </c>
      <c r="F13921" s="2" t="str">
        <f>HYPERLINK("http://www.otzar.org/book.asp?53043","זכרון אליהו")</f>
        <v>זכרון אליהו</v>
      </c>
    </row>
    <row r="13922" spans="1:6" x14ac:dyDescent="0.2">
      <c r="A13922" t="s">
        <v>23438</v>
      </c>
      <c r="B13922" t="s">
        <v>9211</v>
      </c>
      <c r="C13922" t="s">
        <v>940</v>
      </c>
      <c r="D13922" t="s">
        <v>14</v>
      </c>
      <c r="E13922" t="s">
        <v>3387</v>
      </c>
      <c r="F13922" s="2" t="str">
        <f>HYPERLINK("http://www.otzar.org/book.asp?9338","זכרון אליהו")</f>
        <v>זכרון אליהו</v>
      </c>
    </row>
    <row r="13923" spans="1:6" x14ac:dyDescent="0.2">
      <c r="A13923" t="s">
        <v>23438</v>
      </c>
      <c r="B13923" t="s">
        <v>9866</v>
      </c>
      <c r="C13923" t="s">
        <v>124</v>
      </c>
      <c r="D13923" t="s">
        <v>14</v>
      </c>
      <c r="E13923" t="s">
        <v>144</v>
      </c>
      <c r="F13923" s="2" t="str">
        <f>HYPERLINK("http://www.otzar.org/book.asp?10746","זכרון אליהו")</f>
        <v>זכרון אליהו</v>
      </c>
    </row>
    <row r="13924" spans="1:6" x14ac:dyDescent="0.2">
      <c r="A13924" t="s">
        <v>23446</v>
      </c>
      <c r="B13924" t="s">
        <v>23447</v>
      </c>
      <c r="C13924" t="s">
        <v>18660</v>
      </c>
      <c r="D13924" t="s">
        <v>225</v>
      </c>
      <c r="E13924" t="s">
        <v>8913</v>
      </c>
      <c r="F13924" s="2" t="str">
        <f>HYPERLINK("http://www.otzar.org/book.asp?24402","זכרון אלימלך - כל הקונטרסים")</f>
        <v>זכרון אלימלך - כל הקונטרסים</v>
      </c>
    </row>
    <row r="13925" spans="1:6" x14ac:dyDescent="0.2">
      <c r="A13925" t="s">
        <v>23448</v>
      </c>
      <c r="B13925" t="s">
        <v>23449</v>
      </c>
      <c r="C13925" t="s">
        <v>454</v>
      </c>
      <c r="D13925" t="s">
        <v>52</v>
      </c>
      <c r="E13925" t="s">
        <v>144</v>
      </c>
      <c r="F13925" s="2" t="str">
        <f>HYPERLINK("http://www.otzar.org/book.asp?61710","זכרון אלימלך - בבא מציעא פ""ב")</f>
        <v>זכרון אלימלך - בבא מציעא פ"ב</v>
      </c>
    </row>
    <row r="13926" spans="1:6" x14ac:dyDescent="0.2">
      <c r="A13926" t="s">
        <v>23450</v>
      </c>
      <c r="B13926" t="s">
        <v>23451</v>
      </c>
      <c r="C13926" t="s">
        <v>51</v>
      </c>
      <c r="D13926" t="s">
        <v>115</v>
      </c>
      <c r="E13926" t="s">
        <v>586</v>
      </c>
      <c r="F13926" s="2" t="str">
        <f>HYPERLINK("http://www.otzar.org/book.asp?165140","זכרון אליעזר")</f>
        <v>זכרון אליעזר</v>
      </c>
    </row>
    <row r="13927" spans="1:6" x14ac:dyDescent="0.2">
      <c r="A13927" t="s">
        <v>23450</v>
      </c>
      <c r="B13927" t="s">
        <v>23452</v>
      </c>
      <c r="C13927" t="s">
        <v>940</v>
      </c>
      <c r="D13927" t="s">
        <v>412</v>
      </c>
      <c r="E13927" t="s">
        <v>2071</v>
      </c>
      <c r="F13927" s="2" t="str">
        <f>HYPERLINK("http://www.otzar.org/book.asp?84783","זכרון אליעזר")</f>
        <v>זכרון אליעזר</v>
      </c>
    </row>
    <row r="13928" spans="1:6" x14ac:dyDescent="0.2">
      <c r="A13928" t="s">
        <v>23450</v>
      </c>
      <c r="B13928" t="s">
        <v>23453</v>
      </c>
      <c r="C13928" t="s">
        <v>334</v>
      </c>
      <c r="D13928" t="s">
        <v>52</v>
      </c>
      <c r="E13928" t="s">
        <v>202</v>
      </c>
      <c r="F13928" s="2" t="str">
        <f>HYPERLINK("http://www.otzar.org/book.asp?162323","זכרון אליעזר")</f>
        <v>זכרון אליעזר</v>
      </c>
    </row>
    <row r="13929" spans="1:6" x14ac:dyDescent="0.2">
      <c r="A13929" t="s">
        <v>23454</v>
      </c>
      <c r="B13929" t="s">
        <v>23455</v>
      </c>
      <c r="C13929" t="s">
        <v>411</v>
      </c>
      <c r="E13929" t="s">
        <v>202</v>
      </c>
      <c r="F13929" s="2" t="str">
        <f>HYPERLINK("http://www.otzar.org/book.asp?625416","זכרון אלעזר")</f>
        <v>זכרון אלעזר</v>
      </c>
    </row>
    <row r="13930" spans="1:6" x14ac:dyDescent="0.2">
      <c r="A13930" t="s">
        <v>23454</v>
      </c>
      <c r="B13930" t="s">
        <v>23456</v>
      </c>
      <c r="C13930" t="s">
        <v>1284</v>
      </c>
      <c r="D13930" t="s">
        <v>5211</v>
      </c>
      <c r="E13930" t="s">
        <v>23457</v>
      </c>
      <c r="F13930" s="2" t="str">
        <f>HYPERLINK("http://www.otzar.org/book.asp?18733","זכרון אלעזר")</f>
        <v>זכרון אלעזר</v>
      </c>
    </row>
    <row r="13931" spans="1:6" x14ac:dyDescent="0.2">
      <c r="A13931" t="s">
        <v>23454</v>
      </c>
      <c r="B13931" t="s">
        <v>23458</v>
      </c>
      <c r="C13931" t="s">
        <v>576</v>
      </c>
      <c r="D13931" t="s">
        <v>1100</v>
      </c>
      <c r="E13931" t="s">
        <v>5580</v>
      </c>
      <c r="F13931" s="2" t="str">
        <f>HYPERLINK("http://www.otzar.org/book.asp?103004","זכרון אלעזר")</f>
        <v>זכרון אלעזר</v>
      </c>
    </row>
    <row r="13932" spans="1:6" x14ac:dyDescent="0.2">
      <c r="A13932" t="s">
        <v>23454</v>
      </c>
      <c r="B13932" t="s">
        <v>23459</v>
      </c>
      <c r="C13932" t="s">
        <v>547</v>
      </c>
      <c r="D13932" t="s">
        <v>267</v>
      </c>
      <c r="E13932" t="s">
        <v>158</v>
      </c>
      <c r="F13932" s="2" t="str">
        <f>HYPERLINK("http://www.otzar.org/book.asp?24404","זכרון אלעזר")</f>
        <v>זכרון אלעזר</v>
      </c>
    </row>
    <row r="13933" spans="1:6" x14ac:dyDescent="0.2">
      <c r="A13933" t="s">
        <v>23454</v>
      </c>
      <c r="B13933" t="s">
        <v>5625</v>
      </c>
      <c r="C13933" t="s">
        <v>5308</v>
      </c>
      <c r="D13933" t="s">
        <v>744</v>
      </c>
      <c r="E13933" t="s">
        <v>733</v>
      </c>
      <c r="F13933" s="2" t="str">
        <f>HYPERLINK("http://www.otzar.org/book.asp?657","זכרון אלעזר")</f>
        <v>זכרון אלעזר</v>
      </c>
    </row>
    <row r="13934" spans="1:6" x14ac:dyDescent="0.2">
      <c r="A13934" t="s">
        <v>23460</v>
      </c>
      <c r="B13934" t="s">
        <v>23461</v>
      </c>
      <c r="C13934" t="s">
        <v>411</v>
      </c>
      <c r="D13934" t="s">
        <v>14</v>
      </c>
      <c r="E13934" t="s">
        <v>144</v>
      </c>
      <c r="F13934" s="2" t="str">
        <f>HYPERLINK("http://www.otzar.org/book.asp?166077","זכרון אפרים - ערכין")</f>
        <v>זכרון אפרים - ערכין</v>
      </c>
    </row>
    <row r="13935" spans="1:6" x14ac:dyDescent="0.2">
      <c r="A13935" t="s">
        <v>23462</v>
      </c>
      <c r="B13935" t="s">
        <v>23463</v>
      </c>
      <c r="C13935" t="s">
        <v>20</v>
      </c>
      <c r="D13935" t="s">
        <v>2375</v>
      </c>
      <c r="E13935" t="s">
        <v>15</v>
      </c>
      <c r="F13935" s="2" t="str">
        <f>HYPERLINK("http://www.otzar.org/book.asp?191168","זכרון אפרים - רבבות אפרים")</f>
        <v>זכרון אפרים - רבבות אפרים</v>
      </c>
    </row>
    <row r="13936" spans="1:6" x14ac:dyDescent="0.2">
      <c r="A13936" t="s">
        <v>23464</v>
      </c>
      <c r="B13936" t="s">
        <v>23465</v>
      </c>
      <c r="C13936" t="s">
        <v>71</v>
      </c>
      <c r="D13936" t="s">
        <v>1356</v>
      </c>
      <c r="E13936" t="s">
        <v>202</v>
      </c>
      <c r="F13936" s="2" t="str">
        <f>HYPERLINK("http://www.otzar.org/book.asp?163103","זכרון אפרים")</f>
        <v>זכרון אפרים</v>
      </c>
    </row>
    <row r="13937" spans="1:6" x14ac:dyDescent="0.2">
      <c r="A13937" t="s">
        <v>23464</v>
      </c>
      <c r="B13937" t="s">
        <v>23466</v>
      </c>
      <c r="C13937" t="s">
        <v>1437</v>
      </c>
      <c r="D13937" t="s">
        <v>661</v>
      </c>
      <c r="E13937" t="s">
        <v>2915</v>
      </c>
      <c r="F13937" s="2" t="str">
        <f>HYPERLINK("http://www.otzar.org/book.asp?10125","זכרון אפרים")</f>
        <v>זכרון אפרים</v>
      </c>
    </row>
    <row r="13938" spans="1:6" x14ac:dyDescent="0.2">
      <c r="A13938" t="s">
        <v>23464</v>
      </c>
      <c r="B13938" t="s">
        <v>23467</v>
      </c>
      <c r="C13938" t="s">
        <v>462</v>
      </c>
      <c r="D13938" t="s">
        <v>726</v>
      </c>
      <c r="E13938" t="s">
        <v>234</v>
      </c>
      <c r="F13938" s="2" t="str">
        <f>HYPERLINK("http://www.otzar.org/book.asp?22441","זכרון אפרים")</f>
        <v>זכרון אפרים</v>
      </c>
    </row>
    <row r="13939" spans="1:6" x14ac:dyDescent="0.2">
      <c r="A13939" t="s">
        <v>23468</v>
      </c>
      <c r="B13939" t="s">
        <v>489</v>
      </c>
      <c r="C13939" t="s">
        <v>20</v>
      </c>
      <c r="D13939" t="s">
        <v>14</v>
      </c>
      <c r="E13939" t="s">
        <v>202</v>
      </c>
      <c r="F13939" s="2" t="str">
        <f>HYPERLINK("http://www.otzar.org/book.asp?144493","זכרון ארבע")</f>
        <v>זכרון ארבע</v>
      </c>
    </row>
    <row r="13940" spans="1:6" x14ac:dyDescent="0.2">
      <c r="A13940" t="s">
        <v>23469</v>
      </c>
      <c r="B13940" t="s">
        <v>23470</v>
      </c>
      <c r="C13940" t="s">
        <v>20</v>
      </c>
      <c r="D13940" t="s">
        <v>21</v>
      </c>
      <c r="E13940" t="s">
        <v>234</v>
      </c>
      <c r="F13940" s="2" t="str">
        <f>HYPERLINK("http://www.otzar.org/book.asp?606870","זכרון אשר")</f>
        <v>זכרון אשר</v>
      </c>
    </row>
    <row r="13941" spans="1:6" x14ac:dyDescent="0.2">
      <c r="A13941" t="s">
        <v>23469</v>
      </c>
      <c r="B13941" t="s">
        <v>21733</v>
      </c>
      <c r="C13941" t="s">
        <v>129</v>
      </c>
      <c r="D13941" t="s">
        <v>216</v>
      </c>
      <c r="E13941" t="s">
        <v>714</v>
      </c>
      <c r="F13941" s="2" t="str">
        <f>HYPERLINK("http://www.otzar.org/book.asp?165192","זכרון אשר")</f>
        <v>זכרון אשר</v>
      </c>
    </row>
    <row r="13942" spans="1:6" x14ac:dyDescent="0.2">
      <c r="A13942" t="s">
        <v>23469</v>
      </c>
      <c r="B13942" t="s">
        <v>23471</v>
      </c>
      <c r="C13942" t="s">
        <v>383</v>
      </c>
      <c r="D13942" t="s">
        <v>52</v>
      </c>
      <c r="E13942" t="s">
        <v>234</v>
      </c>
      <c r="F13942" s="2" t="str">
        <f>HYPERLINK("http://www.otzar.org/book.asp?63074","זכרון אשר")</f>
        <v>זכרון אשר</v>
      </c>
    </row>
    <row r="13943" spans="1:6" x14ac:dyDescent="0.2">
      <c r="A13943" t="s">
        <v>23472</v>
      </c>
      <c r="B13943" t="s">
        <v>23473</v>
      </c>
      <c r="C13943" t="s">
        <v>1778</v>
      </c>
      <c r="D13943" t="s">
        <v>1490</v>
      </c>
      <c r="E13943" t="s">
        <v>1626</v>
      </c>
      <c r="F13943" s="2" t="str">
        <f>HYPERLINK("http://www.otzar.org/book.asp?146882","זכרון בירושלים")</f>
        <v>זכרון בירושלים</v>
      </c>
    </row>
    <row r="13944" spans="1:6" x14ac:dyDescent="0.2">
      <c r="A13944" t="s">
        <v>23474</v>
      </c>
      <c r="B13944" t="s">
        <v>23475</v>
      </c>
      <c r="C13944" t="s">
        <v>466</v>
      </c>
      <c r="D13944" t="s">
        <v>14</v>
      </c>
      <c r="E13944" t="s">
        <v>144</v>
      </c>
      <c r="F13944" s="2" t="str">
        <f>HYPERLINK("http://www.otzar.org/book.asp?145574","זכרון בית יהודה")</f>
        <v>זכרון בית יהודה</v>
      </c>
    </row>
    <row r="13945" spans="1:6" x14ac:dyDescent="0.2">
      <c r="A13945" t="s">
        <v>23476</v>
      </c>
      <c r="B13945" t="s">
        <v>23477</v>
      </c>
      <c r="C13945" t="s">
        <v>129</v>
      </c>
      <c r="D13945" t="s">
        <v>14</v>
      </c>
      <c r="E13945" t="s">
        <v>158</v>
      </c>
      <c r="F13945" s="2" t="str">
        <f>HYPERLINK("http://www.otzar.org/book.asp?605229","זכרון בנימין זאב - 3 כר'")</f>
        <v>זכרון בנימין זאב - 3 כר'</v>
      </c>
    </row>
    <row r="13946" spans="1:6" x14ac:dyDescent="0.2">
      <c r="A13946" t="s">
        <v>23478</v>
      </c>
      <c r="B13946" t="s">
        <v>23479</v>
      </c>
      <c r="C13946" t="s">
        <v>13</v>
      </c>
      <c r="D13946" t="s">
        <v>152</v>
      </c>
      <c r="E13946" t="s">
        <v>202</v>
      </c>
      <c r="F13946" s="2" t="str">
        <f>HYPERLINK("http://www.otzar.org/book.asp?163866","זכרון בנימין זאב")</f>
        <v>זכרון בנימין זאב</v>
      </c>
    </row>
    <row r="13947" spans="1:6" x14ac:dyDescent="0.2">
      <c r="A13947" t="s">
        <v>23480</v>
      </c>
      <c r="B13947" t="s">
        <v>552</v>
      </c>
      <c r="C13947" t="s">
        <v>146</v>
      </c>
      <c r="D13947" t="s">
        <v>152</v>
      </c>
      <c r="E13947" t="s">
        <v>202</v>
      </c>
      <c r="F13947" s="2" t="str">
        <f>HYPERLINK("http://www.otzar.org/book.asp?146496","זכרון בנימין")</f>
        <v>זכרון בנימין</v>
      </c>
    </row>
    <row r="13948" spans="1:6" x14ac:dyDescent="0.2">
      <c r="A13948" t="s">
        <v>23480</v>
      </c>
      <c r="B13948" t="s">
        <v>23481</v>
      </c>
      <c r="C13948" t="s">
        <v>20</v>
      </c>
      <c r="D13948" t="s">
        <v>52</v>
      </c>
      <c r="E13948" t="s">
        <v>202</v>
      </c>
      <c r="F13948" s="2" t="str">
        <f>HYPERLINK("http://www.otzar.org/book.asp?83977","זכרון בנימין")</f>
        <v>זכרון בנימין</v>
      </c>
    </row>
    <row r="13949" spans="1:6" x14ac:dyDescent="0.2">
      <c r="A13949" t="s">
        <v>23482</v>
      </c>
      <c r="B13949" t="s">
        <v>1005</v>
      </c>
      <c r="C13949" t="s">
        <v>129</v>
      </c>
      <c r="D13949" t="s">
        <v>52</v>
      </c>
      <c r="E13949" t="s">
        <v>84</v>
      </c>
      <c r="F13949" s="2" t="str">
        <f>HYPERLINK("http://www.otzar.org/book.asp?147945","זכרון בנימין - 6 כר'")</f>
        <v>זכרון בנימין - 6 כר'</v>
      </c>
    </row>
    <row r="13950" spans="1:6" x14ac:dyDescent="0.2">
      <c r="A13950" t="s">
        <v>23480</v>
      </c>
      <c r="B13950" t="s">
        <v>285</v>
      </c>
      <c r="C13950" t="s">
        <v>286</v>
      </c>
      <c r="D13950" t="s">
        <v>287</v>
      </c>
      <c r="E13950" t="s">
        <v>234</v>
      </c>
      <c r="F13950" s="2" t="str">
        <f>HYPERLINK("http://www.otzar.org/book.asp?149394","זכרון בנימין")</f>
        <v>זכרון בנימין</v>
      </c>
    </row>
    <row r="13951" spans="1:6" x14ac:dyDescent="0.2">
      <c r="A13951" t="s">
        <v>23483</v>
      </c>
      <c r="B13951" t="s">
        <v>23484</v>
      </c>
      <c r="C13951" t="s">
        <v>5823</v>
      </c>
      <c r="D13951" t="s">
        <v>4269</v>
      </c>
      <c r="E13951" t="s">
        <v>104</v>
      </c>
      <c r="F13951" s="2" t="str">
        <f>HYPERLINK("http://www.otzar.org/book.asp?189597","זכרון בספר ואבן ספיר")</f>
        <v>זכרון בספר ואבן ספיר</v>
      </c>
    </row>
    <row r="13952" spans="1:6" x14ac:dyDescent="0.2">
      <c r="A13952" t="s">
        <v>23485</v>
      </c>
      <c r="B13952" t="s">
        <v>23486</v>
      </c>
      <c r="C13952" t="s">
        <v>649</v>
      </c>
      <c r="D13952" t="s">
        <v>9</v>
      </c>
      <c r="E13952" t="s">
        <v>119</v>
      </c>
      <c r="F13952" s="2" t="str">
        <f>HYPERLINK("http://www.otzar.org/book.asp?20155","זכרון בספר מהמוסד עזרת תורה")</f>
        <v>זכרון בספר מהמוסד עזרת תורה</v>
      </c>
    </row>
    <row r="13953" spans="1:6" x14ac:dyDescent="0.2">
      <c r="A13953" t="s">
        <v>23487</v>
      </c>
      <c r="B13953" t="s">
        <v>23488</v>
      </c>
      <c r="C13953" t="s">
        <v>13702</v>
      </c>
      <c r="D13953" t="s">
        <v>947</v>
      </c>
      <c r="E13953" t="s">
        <v>23489</v>
      </c>
      <c r="F13953" s="2" t="str">
        <f>HYPERLINK("http://www.otzar.org/book.asp?7576","זכרון בספר")</f>
        <v>זכרון בספר</v>
      </c>
    </row>
    <row r="13954" spans="1:6" x14ac:dyDescent="0.2">
      <c r="A13954" t="s">
        <v>23487</v>
      </c>
      <c r="B13954" t="s">
        <v>18687</v>
      </c>
      <c r="C13954" t="s">
        <v>1470</v>
      </c>
      <c r="D13954" t="s">
        <v>23490</v>
      </c>
      <c r="E13954" t="s">
        <v>234</v>
      </c>
      <c r="F13954" s="2" t="str">
        <f>HYPERLINK("http://www.otzar.org/book.asp?52304","זכרון בספר")</f>
        <v>זכרון בספר</v>
      </c>
    </row>
    <row r="13955" spans="1:6" x14ac:dyDescent="0.2">
      <c r="A13955" t="s">
        <v>23491</v>
      </c>
      <c r="B13955" t="s">
        <v>23492</v>
      </c>
      <c r="C13955" t="s">
        <v>2543</v>
      </c>
      <c r="D13955" t="s">
        <v>56</v>
      </c>
      <c r="E13955" t="s">
        <v>144</v>
      </c>
      <c r="F13955" s="2" t="str">
        <f>HYPERLINK("http://www.otzar.org/book.asp?196863","זכרון בספר - 2 כר'")</f>
        <v>זכרון בספר - 2 כר'</v>
      </c>
    </row>
    <row r="13956" spans="1:6" x14ac:dyDescent="0.2">
      <c r="A13956" t="s">
        <v>23487</v>
      </c>
      <c r="B13956" t="s">
        <v>23493</v>
      </c>
      <c r="C13956" t="s">
        <v>454</v>
      </c>
      <c r="D13956" t="s">
        <v>52</v>
      </c>
      <c r="E13956" t="s">
        <v>104</v>
      </c>
      <c r="F13956" s="2" t="str">
        <f>HYPERLINK("http://www.otzar.org/book.asp?169055","זכרון בספר")</f>
        <v>זכרון בספר</v>
      </c>
    </row>
    <row r="13957" spans="1:6" x14ac:dyDescent="0.2">
      <c r="A13957" t="s">
        <v>23487</v>
      </c>
      <c r="B13957" t="s">
        <v>23494</v>
      </c>
      <c r="C13957" t="s">
        <v>785</v>
      </c>
      <c r="D13957" t="s">
        <v>14</v>
      </c>
      <c r="E13957" t="s">
        <v>23495</v>
      </c>
      <c r="F13957" s="2" t="str">
        <f>HYPERLINK("http://www.otzar.org/book.asp?11023","זכרון בספר")</f>
        <v>זכרון בספר</v>
      </c>
    </row>
    <row r="13958" spans="1:6" x14ac:dyDescent="0.2">
      <c r="A13958" t="s">
        <v>23487</v>
      </c>
      <c r="B13958" t="s">
        <v>23496</v>
      </c>
      <c r="C13958" t="s">
        <v>492</v>
      </c>
      <c r="D13958" t="s">
        <v>56</v>
      </c>
      <c r="E13958" t="s">
        <v>23497</v>
      </c>
      <c r="F13958" s="2" t="str">
        <f>HYPERLINK("http://www.otzar.org/book.asp?168067","זכרון בספר")</f>
        <v>זכרון בספר</v>
      </c>
    </row>
    <row r="13959" spans="1:6" x14ac:dyDescent="0.2">
      <c r="A13959" t="s">
        <v>23487</v>
      </c>
      <c r="B13959" t="s">
        <v>23498</v>
      </c>
      <c r="C13959" t="s">
        <v>419</v>
      </c>
      <c r="D13959" t="s">
        <v>14</v>
      </c>
      <c r="E13959" t="s">
        <v>202</v>
      </c>
      <c r="F13959" s="2" t="str">
        <f>HYPERLINK("http://www.otzar.org/book.asp?604579","זכרון בספר")</f>
        <v>זכרון בספר</v>
      </c>
    </row>
    <row r="13960" spans="1:6" x14ac:dyDescent="0.2">
      <c r="A13960" t="s">
        <v>23487</v>
      </c>
      <c r="B13960" t="s">
        <v>552</v>
      </c>
      <c r="C13960" t="s">
        <v>180</v>
      </c>
      <c r="D13960" t="s">
        <v>14</v>
      </c>
      <c r="E13960" t="s">
        <v>384</v>
      </c>
      <c r="F13960" s="2" t="str">
        <f>HYPERLINK("http://www.otzar.org/book.asp?14960","זכרון בספר")</f>
        <v>זכרון בספר</v>
      </c>
    </row>
    <row r="13961" spans="1:6" x14ac:dyDescent="0.2">
      <c r="A13961" t="s">
        <v>23487</v>
      </c>
      <c r="B13961" t="s">
        <v>1920</v>
      </c>
      <c r="C13961" t="s">
        <v>576</v>
      </c>
      <c r="D13961" t="s">
        <v>23499</v>
      </c>
      <c r="E13961" t="s">
        <v>144</v>
      </c>
      <c r="F13961" s="2" t="str">
        <f>HYPERLINK("http://www.otzar.org/book.asp?24405","זכרון בספר")</f>
        <v>זכרון בספר</v>
      </c>
    </row>
    <row r="13962" spans="1:6" x14ac:dyDescent="0.2">
      <c r="A13962" t="s">
        <v>23487</v>
      </c>
      <c r="B13962" t="s">
        <v>23500</v>
      </c>
      <c r="C13962" t="s">
        <v>1494</v>
      </c>
      <c r="D13962" t="s">
        <v>1833</v>
      </c>
      <c r="E13962" t="s">
        <v>786</v>
      </c>
      <c r="F13962" s="2" t="str">
        <f>HYPERLINK("http://www.otzar.org/book.asp?84335","זכרון בספר")</f>
        <v>זכרון בספר</v>
      </c>
    </row>
    <row r="13963" spans="1:6" x14ac:dyDescent="0.2">
      <c r="A13963" t="s">
        <v>23501</v>
      </c>
      <c r="B13963" t="s">
        <v>3286</v>
      </c>
      <c r="C13963" t="s">
        <v>422</v>
      </c>
      <c r="D13963" t="s">
        <v>52</v>
      </c>
      <c r="E13963" t="s">
        <v>148</v>
      </c>
      <c r="F13963" s="2" t="str">
        <f>HYPERLINK("http://www.otzar.org/book.asp?174283","זכרון בצלאל - 2 כר'")</f>
        <v>זכרון בצלאל - 2 כר'</v>
      </c>
    </row>
    <row r="13964" spans="1:6" x14ac:dyDescent="0.2">
      <c r="A13964" t="s">
        <v>23501</v>
      </c>
      <c r="B13964" t="s">
        <v>23502</v>
      </c>
      <c r="C13964" t="s">
        <v>1246</v>
      </c>
      <c r="D13964" t="s">
        <v>9</v>
      </c>
      <c r="E13964" t="s">
        <v>684</v>
      </c>
      <c r="F13964" s="2" t="str">
        <f>HYPERLINK("http://www.otzar.org/book.asp?172296","זכרון בצלאל - 2 כר'")</f>
        <v>זכרון בצלאל - 2 כר'</v>
      </c>
    </row>
    <row r="13965" spans="1:6" x14ac:dyDescent="0.2">
      <c r="A13965" t="s">
        <v>23503</v>
      </c>
      <c r="B13965" t="s">
        <v>552</v>
      </c>
      <c r="C13965" t="s">
        <v>103</v>
      </c>
      <c r="D13965" t="s">
        <v>14</v>
      </c>
      <c r="E13965" t="s">
        <v>202</v>
      </c>
      <c r="F13965" s="2" t="str">
        <f>HYPERLINK("http://www.otzar.org/book.asp?173855","זכרון ברוך")</f>
        <v>זכרון ברוך</v>
      </c>
    </row>
    <row r="13966" spans="1:6" x14ac:dyDescent="0.2">
      <c r="A13966" t="s">
        <v>23503</v>
      </c>
      <c r="B13966" t="s">
        <v>23504</v>
      </c>
      <c r="C13966" t="s">
        <v>20</v>
      </c>
      <c r="D13966" t="s">
        <v>14816</v>
      </c>
      <c r="E13966" t="s">
        <v>202</v>
      </c>
      <c r="F13966" s="2" t="str">
        <f>HYPERLINK("http://www.otzar.org/book.asp?624691","זכרון ברוך")</f>
        <v>זכרון ברוך</v>
      </c>
    </row>
    <row r="13967" spans="1:6" x14ac:dyDescent="0.2">
      <c r="A13967" t="s">
        <v>23505</v>
      </c>
      <c r="B13967" t="s">
        <v>1005</v>
      </c>
      <c r="C13967" t="s">
        <v>51</v>
      </c>
      <c r="D13967" t="s">
        <v>90</v>
      </c>
      <c r="E13967" t="s">
        <v>202</v>
      </c>
      <c r="F13967" s="2" t="str">
        <f>HYPERLINK("http://www.otzar.org/book.asp?623433","זכרון ברוריה")</f>
        <v>זכרון ברוריה</v>
      </c>
    </row>
    <row r="13968" spans="1:6" x14ac:dyDescent="0.2">
      <c r="A13968" t="s">
        <v>23506</v>
      </c>
      <c r="B13968" t="s">
        <v>23507</v>
      </c>
      <c r="C13968" t="s">
        <v>5903</v>
      </c>
      <c r="D13968" t="s">
        <v>280</v>
      </c>
      <c r="E13968" t="s">
        <v>2091</v>
      </c>
      <c r="F13968" s="2" t="str">
        <f>HYPERLINK("http://www.otzar.org/book.asp?6597","זכרון ברית לראשונים - 2 כר'")</f>
        <v>זכרון ברית לראשונים - 2 כר'</v>
      </c>
    </row>
    <row r="13969" spans="1:6" x14ac:dyDescent="0.2">
      <c r="A13969" t="s">
        <v>23508</v>
      </c>
      <c r="B13969" t="s">
        <v>23509</v>
      </c>
      <c r="C13969" t="s">
        <v>151</v>
      </c>
      <c r="D13969" t="s">
        <v>14</v>
      </c>
      <c r="F13969" s="2" t="str">
        <f>HYPERLINK("http://www.otzar.org/book.asp?620770","זכרון ברכת יוסף")</f>
        <v>זכרון ברכת יוסף</v>
      </c>
    </row>
    <row r="13970" spans="1:6" x14ac:dyDescent="0.2">
      <c r="A13970" t="s">
        <v>23510</v>
      </c>
      <c r="B13970" t="s">
        <v>23511</v>
      </c>
      <c r="C13970" t="s">
        <v>454</v>
      </c>
      <c r="D13970" t="s">
        <v>6283</v>
      </c>
      <c r="E13970" t="s">
        <v>202</v>
      </c>
      <c r="F13970" s="2" t="str">
        <f>HYPERLINK("http://www.otzar.org/book.asp?104919","זכרון גבריאל [ריקליס]")</f>
        <v>זכרון גבריאל [ריקליס]</v>
      </c>
    </row>
    <row r="13971" spans="1:6" x14ac:dyDescent="0.2">
      <c r="A13971" t="s">
        <v>23512</v>
      </c>
      <c r="B13971" t="s">
        <v>23513</v>
      </c>
      <c r="C13971" t="s">
        <v>103</v>
      </c>
      <c r="D13971" t="s">
        <v>152</v>
      </c>
      <c r="E13971" t="s">
        <v>2091</v>
      </c>
      <c r="F13971" s="2" t="str">
        <f>HYPERLINK("http://www.otzar.org/book.asp?172022","זכרון גבריאל  - הלכות נדה וטבילה")</f>
        <v>זכרון גבריאל  - הלכות נדה וטבילה</v>
      </c>
    </row>
    <row r="13972" spans="1:6" x14ac:dyDescent="0.2">
      <c r="A13972" t="s">
        <v>23514</v>
      </c>
      <c r="B13972" t="s">
        <v>23515</v>
      </c>
      <c r="C13972" t="s">
        <v>244</v>
      </c>
      <c r="D13972" t="s">
        <v>52</v>
      </c>
      <c r="F13972" s="2" t="str">
        <f>HYPERLINK("http://www.otzar.org/book.asp?197221","זכרון גרשון")</f>
        <v>זכרון גרשון</v>
      </c>
    </row>
    <row r="13973" spans="1:6" x14ac:dyDescent="0.2">
      <c r="A13973" t="s">
        <v>23516</v>
      </c>
      <c r="B13973" t="s">
        <v>23517</v>
      </c>
      <c r="C13973" t="s">
        <v>1425</v>
      </c>
      <c r="D13973" t="s">
        <v>744</v>
      </c>
      <c r="E13973" t="s">
        <v>144</v>
      </c>
      <c r="F13973" s="2" t="str">
        <f>HYPERLINK("http://www.otzar.org/book.asp?147076","זכרון דברים למקומות העיון")</f>
        <v>זכרון דברים למקומות העיון</v>
      </c>
    </row>
    <row r="13974" spans="1:6" x14ac:dyDescent="0.2">
      <c r="A13974" t="s">
        <v>23518</v>
      </c>
      <c r="B13974" t="s">
        <v>23519</v>
      </c>
      <c r="C13974" t="s">
        <v>594</v>
      </c>
      <c r="D13974" t="s">
        <v>267</v>
      </c>
      <c r="E13974" t="s">
        <v>140</v>
      </c>
      <c r="F13974" s="2" t="str">
        <f>HYPERLINK("http://www.otzar.org/book.asp?102451","זכרון דברים - 2 כר'")</f>
        <v>זכרון דברים - 2 כר'</v>
      </c>
    </row>
    <row r="13975" spans="1:6" x14ac:dyDescent="0.2">
      <c r="A13975" t="s">
        <v>23520</v>
      </c>
      <c r="B13975" t="s">
        <v>23521</v>
      </c>
      <c r="C13975" t="s">
        <v>482</v>
      </c>
      <c r="D13975" t="s">
        <v>27</v>
      </c>
      <c r="E13975" t="s">
        <v>23522</v>
      </c>
      <c r="F13975" s="2" t="str">
        <f>HYPERLINK("http://www.otzar.org/book.asp?52179","זכרון דברים")</f>
        <v>זכרון דברים</v>
      </c>
    </row>
    <row r="13976" spans="1:6" x14ac:dyDescent="0.2">
      <c r="A13976" t="s">
        <v>23520</v>
      </c>
      <c r="B13976" t="s">
        <v>23523</v>
      </c>
      <c r="C13976" t="s">
        <v>1885</v>
      </c>
      <c r="D13976" t="s">
        <v>27</v>
      </c>
      <c r="E13976" t="s">
        <v>28</v>
      </c>
      <c r="F13976" s="2" t="str">
        <f>HYPERLINK("http://www.otzar.org/book.asp?165365","זכרון דברים")</f>
        <v>זכרון דברים</v>
      </c>
    </row>
    <row r="13977" spans="1:6" x14ac:dyDescent="0.2">
      <c r="A13977" t="s">
        <v>23520</v>
      </c>
      <c r="B13977" t="s">
        <v>23524</v>
      </c>
      <c r="C13977" t="s">
        <v>1160</v>
      </c>
      <c r="D13977" t="s">
        <v>14</v>
      </c>
      <c r="E13977" t="s">
        <v>741</v>
      </c>
      <c r="F13977" s="2" t="str">
        <f>HYPERLINK("http://www.otzar.org/book.asp?8245","זכרון דברים")</f>
        <v>זכרון דברים</v>
      </c>
    </row>
    <row r="13978" spans="1:6" x14ac:dyDescent="0.2">
      <c r="A13978" t="s">
        <v>23520</v>
      </c>
      <c r="B13978" t="s">
        <v>8790</v>
      </c>
      <c r="C13978" t="s">
        <v>4462</v>
      </c>
      <c r="D13978" t="s">
        <v>76</v>
      </c>
      <c r="E13978" t="s">
        <v>2775</v>
      </c>
      <c r="F13978" s="2" t="str">
        <f>HYPERLINK("http://www.otzar.org/book.asp?18735","זכרון דברים")</f>
        <v>זכרון דברים</v>
      </c>
    </row>
    <row r="13979" spans="1:6" x14ac:dyDescent="0.2">
      <c r="A13979" t="s">
        <v>23520</v>
      </c>
      <c r="B13979" t="s">
        <v>23525</v>
      </c>
      <c r="C13979" t="s">
        <v>20</v>
      </c>
      <c r="E13979" t="s">
        <v>140</v>
      </c>
      <c r="F13979" s="2" t="str">
        <f>HYPERLINK("http://www.otzar.org/book.asp?600217","זכרון דברים")</f>
        <v>זכרון דברים</v>
      </c>
    </row>
    <row r="13980" spans="1:6" x14ac:dyDescent="0.2">
      <c r="A13980" t="s">
        <v>23526</v>
      </c>
      <c r="B13980" t="s">
        <v>1750</v>
      </c>
      <c r="C13980" t="s">
        <v>133</v>
      </c>
      <c r="D13980" t="s">
        <v>8564</v>
      </c>
      <c r="F13980" s="2" t="str">
        <f>HYPERLINK("http://www.otzar.org/book.asp?197661","זכרון דוד")</f>
        <v>זכרון דוד</v>
      </c>
    </row>
    <row r="13981" spans="1:6" x14ac:dyDescent="0.2">
      <c r="A13981" t="s">
        <v>23526</v>
      </c>
      <c r="B13981" t="s">
        <v>23527</v>
      </c>
      <c r="C13981" t="s">
        <v>143</v>
      </c>
      <c r="D13981" t="s">
        <v>412</v>
      </c>
      <c r="E13981" t="s">
        <v>6635</v>
      </c>
      <c r="F13981" s="2" t="str">
        <f>HYPERLINK("http://www.otzar.org/book.asp?149147","זכרון דוד")</f>
        <v>זכרון דוד</v>
      </c>
    </row>
    <row r="13982" spans="1:6" x14ac:dyDescent="0.2">
      <c r="A13982" t="s">
        <v>23526</v>
      </c>
      <c r="B13982" t="s">
        <v>23528</v>
      </c>
      <c r="C13982" t="s">
        <v>940</v>
      </c>
      <c r="D13982" t="s">
        <v>14</v>
      </c>
      <c r="E13982" t="s">
        <v>144</v>
      </c>
      <c r="F13982" s="2" t="str">
        <f>HYPERLINK("http://www.otzar.org/book.asp?60639","זכרון דוד")</f>
        <v>זכרון דוד</v>
      </c>
    </row>
    <row r="13983" spans="1:6" x14ac:dyDescent="0.2">
      <c r="A13983" t="s">
        <v>23529</v>
      </c>
      <c r="B13983" t="s">
        <v>23530</v>
      </c>
      <c r="D13983" t="s">
        <v>412</v>
      </c>
      <c r="E13983" t="s">
        <v>202</v>
      </c>
      <c r="F13983" s="2" t="str">
        <f>HYPERLINK("http://www.otzar.org/book.asp?171545","זכרון הרב")</f>
        <v>זכרון הרב</v>
      </c>
    </row>
    <row r="13984" spans="1:6" x14ac:dyDescent="0.2">
      <c r="A13984" t="s">
        <v>23531</v>
      </c>
      <c r="B13984" t="s">
        <v>552</v>
      </c>
      <c r="C13984" t="s">
        <v>419</v>
      </c>
      <c r="D13984" t="s">
        <v>2285</v>
      </c>
      <c r="E13984" t="s">
        <v>202</v>
      </c>
      <c r="F13984" s="2" t="str">
        <f>HYPERLINK("http://www.otzar.org/book.asp?164965","זכרון השלשה")</f>
        <v>זכרון השלשה</v>
      </c>
    </row>
    <row r="13985" spans="1:6" x14ac:dyDescent="0.2">
      <c r="A13985" t="s">
        <v>23532</v>
      </c>
      <c r="B13985" t="s">
        <v>552</v>
      </c>
      <c r="C13985" t="s">
        <v>103</v>
      </c>
      <c r="D13985" t="s">
        <v>52</v>
      </c>
      <c r="E13985" t="s">
        <v>3790</v>
      </c>
      <c r="F13985" s="2" t="str">
        <f>HYPERLINK("http://www.otzar.org/book.asp?158119","זכרון זאב")</f>
        <v>זכרון זאב</v>
      </c>
    </row>
    <row r="13986" spans="1:6" x14ac:dyDescent="0.2">
      <c r="A13986" t="s">
        <v>23533</v>
      </c>
      <c r="B13986" t="s">
        <v>718</v>
      </c>
      <c r="C13986" t="s">
        <v>2076</v>
      </c>
      <c r="D13986" t="s">
        <v>283</v>
      </c>
      <c r="E13986" t="s">
        <v>23534</v>
      </c>
      <c r="F13986" s="2" t="str">
        <f>HYPERLINK("http://www.otzar.org/book.asp?104615","זכרון זאת - 3 כר'")</f>
        <v>זכרון זאת - 3 כר'</v>
      </c>
    </row>
    <row r="13987" spans="1:6" x14ac:dyDescent="0.2">
      <c r="A13987" t="s">
        <v>23535</v>
      </c>
      <c r="B13987" t="s">
        <v>23536</v>
      </c>
      <c r="C13987" t="s">
        <v>4144</v>
      </c>
      <c r="D13987" t="s">
        <v>9</v>
      </c>
      <c r="E13987" t="s">
        <v>15</v>
      </c>
      <c r="F13987" s="2" t="str">
        <f>HYPERLINK("http://www.otzar.org/book.asp?52303","זכרון זכריה")</f>
        <v>זכרון זכריה</v>
      </c>
    </row>
    <row r="13988" spans="1:6" x14ac:dyDescent="0.2">
      <c r="A13988" t="s">
        <v>23537</v>
      </c>
      <c r="B13988" t="s">
        <v>23538</v>
      </c>
      <c r="C13988" t="s">
        <v>1811</v>
      </c>
      <c r="D13988" t="s">
        <v>118</v>
      </c>
      <c r="E13988" t="s">
        <v>219</v>
      </c>
      <c r="F13988" s="2" t="str">
        <f>HYPERLINK("http://www.otzar.org/book.asp?171566","זכרון זמר")</f>
        <v>זכרון זמר</v>
      </c>
    </row>
    <row r="13989" spans="1:6" x14ac:dyDescent="0.2">
      <c r="A13989" t="s">
        <v>23539</v>
      </c>
      <c r="B13989" t="s">
        <v>23540</v>
      </c>
      <c r="C13989" t="s">
        <v>785</v>
      </c>
      <c r="D13989" t="s">
        <v>52</v>
      </c>
      <c r="E13989" t="s">
        <v>144</v>
      </c>
      <c r="F13989" s="2" t="str">
        <f>HYPERLINK("http://www.otzar.org/book.asp?168794","זכרון חי")</f>
        <v>זכרון חי</v>
      </c>
    </row>
    <row r="13990" spans="1:6" x14ac:dyDescent="0.2">
      <c r="A13990" t="s">
        <v>23541</v>
      </c>
      <c r="B13990" t="s">
        <v>23542</v>
      </c>
      <c r="C13990" t="s">
        <v>466</v>
      </c>
      <c r="D13990" t="s">
        <v>14</v>
      </c>
      <c r="E13990" t="s">
        <v>186</v>
      </c>
      <c r="F13990" s="2" t="str">
        <f>HYPERLINK("http://www.otzar.org/book.asp?173400","זכרון חיים שמואל - בבא בתרא")</f>
        <v>זכרון חיים שמואל - בבא בתרא</v>
      </c>
    </row>
    <row r="13991" spans="1:6" x14ac:dyDescent="0.2">
      <c r="A13991" t="s">
        <v>23543</v>
      </c>
      <c r="B13991" t="s">
        <v>23544</v>
      </c>
      <c r="C13991" t="s">
        <v>1047</v>
      </c>
      <c r="D13991" t="s">
        <v>56</v>
      </c>
      <c r="E13991" t="s">
        <v>3818</v>
      </c>
      <c r="F13991" s="2" t="str">
        <f>HYPERLINK("http://www.otzar.org/book.asp?100887","זכרון חיים")</f>
        <v>זכרון חיים</v>
      </c>
    </row>
    <row r="13992" spans="1:6" x14ac:dyDescent="0.2">
      <c r="A13992" t="s">
        <v>23543</v>
      </c>
      <c r="B13992" t="s">
        <v>5618</v>
      </c>
      <c r="C13992" t="s">
        <v>20</v>
      </c>
      <c r="D13992" t="s">
        <v>4665</v>
      </c>
      <c r="E13992" t="s">
        <v>234</v>
      </c>
      <c r="F13992" s="2" t="str">
        <f>HYPERLINK("http://www.otzar.org/book.asp?170782","זכרון חיים")</f>
        <v>זכרון חיים</v>
      </c>
    </row>
    <row r="13993" spans="1:6" x14ac:dyDescent="0.2">
      <c r="A13993" t="s">
        <v>23543</v>
      </c>
      <c r="B13993" t="s">
        <v>23545</v>
      </c>
      <c r="C13993" t="s">
        <v>2076</v>
      </c>
      <c r="D13993" t="s">
        <v>283</v>
      </c>
      <c r="E13993" t="s">
        <v>158</v>
      </c>
      <c r="F13993" s="2" t="str">
        <f>HYPERLINK("http://www.otzar.org/book.asp?16086","זכרון חיים")</f>
        <v>זכרון חיים</v>
      </c>
    </row>
    <row r="13994" spans="1:6" x14ac:dyDescent="0.2">
      <c r="A13994" t="s">
        <v>23543</v>
      </c>
      <c r="B13994" t="s">
        <v>552</v>
      </c>
      <c r="C13994" t="s">
        <v>775</v>
      </c>
      <c r="D13994" t="s">
        <v>14</v>
      </c>
      <c r="E13994" t="s">
        <v>202</v>
      </c>
      <c r="F13994" s="2" t="str">
        <f>HYPERLINK("http://www.otzar.org/book.asp?85688","זכרון חיים")</f>
        <v>זכרון חיים</v>
      </c>
    </row>
    <row r="13995" spans="1:6" x14ac:dyDescent="0.2">
      <c r="A13995" t="s">
        <v>23546</v>
      </c>
      <c r="B13995" t="s">
        <v>23547</v>
      </c>
      <c r="C13995" t="s">
        <v>523</v>
      </c>
      <c r="D13995" t="s">
        <v>14</v>
      </c>
      <c r="E13995" t="s">
        <v>23548</v>
      </c>
      <c r="F13995" s="2" t="str">
        <f>HYPERLINK("http://www.otzar.org/book.asp?169368","זכרון חיים - בני חיי")</f>
        <v>זכרון חיים - בני חיי</v>
      </c>
    </row>
    <row r="13996" spans="1:6" x14ac:dyDescent="0.2">
      <c r="A13996" t="s">
        <v>23543</v>
      </c>
      <c r="B13996" t="s">
        <v>23549</v>
      </c>
      <c r="C13996" t="s">
        <v>168</v>
      </c>
      <c r="D13996" t="s">
        <v>14</v>
      </c>
      <c r="E13996" t="s">
        <v>920</v>
      </c>
      <c r="F13996" s="2" t="str">
        <f>HYPERLINK("http://www.otzar.org/book.asp?9342","זכרון חיים")</f>
        <v>זכרון חיים</v>
      </c>
    </row>
    <row r="13997" spans="1:6" x14ac:dyDescent="0.2">
      <c r="A13997" t="s">
        <v>23550</v>
      </c>
      <c r="B13997" t="s">
        <v>776</v>
      </c>
      <c r="C13997" t="s">
        <v>160</v>
      </c>
      <c r="D13997" t="s">
        <v>27</v>
      </c>
      <c r="E13997" t="s">
        <v>241</v>
      </c>
      <c r="F13997" s="2" t="str">
        <f>HYPERLINK("http://www.otzar.org/book.asp?179215","זכרון חן")</f>
        <v>זכרון חן</v>
      </c>
    </row>
    <row r="13998" spans="1:6" x14ac:dyDescent="0.2">
      <c r="A13998" t="s">
        <v>23551</v>
      </c>
      <c r="B13998" t="s">
        <v>23552</v>
      </c>
      <c r="C13998" t="s">
        <v>146</v>
      </c>
      <c r="D13998" t="s">
        <v>367</v>
      </c>
      <c r="E13998" t="s">
        <v>202</v>
      </c>
      <c r="F13998" s="2" t="str">
        <f>HYPERLINK("http://www.otzar.org/book.asp?84722","זכרון חנה פערל")</f>
        <v>זכרון חנה פערל</v>
      </c>
    </row>
    <row r="13999" spans="1:6" x14ac:dyDescent="0.2">
      <c r="A13999" t="s">
        <v>23553</v>
      </c>
      <c r="B13999" t="s">
        <v>23554</v>
      </c>
      <c r="C13999" t="s">
        <v>649</v>
      </c>
      <c r="D13999" t="s">
        <v>322</v>
      </c>
      <c r="E13999" t="s">
        <v>15</v>
      </c>
      <c r="F13999" s="2" t="str">
        <f>HYPERLINK("http://www.otzar.org/book.asp?104613","זכרון חנוך")</f>
        <v>זכרון חנוך</v>
      </c>
    </row>
    <row r="14000" spans="1:6" x14ac:dyDescent="0.2">
      <c r="A14000" t="s">
        <v>23555</v>
      </c>
      <c r="B14000" t="s">
        <v>23556</v>
      </c>
      <c r="C14000" t="s">
        <v>23</v>
      </c>
      <c r="D14000" t="s">
        <v>23557</v>
      </c>
      <c r="E14000" t="s">
        <v>714</v>
      </c>
      <c r="F14000" s="2" t="str">
        <f>HYPERLINK("http://www.otzar.org/book.asp?194190","זכרון טוב לפניך")</f>
        <v>זכרון טוב לפניך</v>
      </c>
    </row>
    <row r="14001" spans="1:6" x14ac:dyDescent="0.2">
      <c r="A14001" t="s">
        <v>23558</v>
      </c>
      <c r="B14001" t="s">
        <v>23559</v>
      </c>
      <c r="C14001" t="s">
        <v>111</v>
      </c>
      <c r="D14001" t="s">
        <v>14</v>
      </c>
      <c r="E14001" t="s">
        <v>119</v>
      </c>
      <c r="F14001" s="2" t="str">
        <f>HYPERLINK("http://www.otzar.org/book.asp?623197","זכרון טוב - 2 כר'")</f>
        <v>זכרון טוב - 2 כר'</v>
      </c>
    </row>
    <row r="14002" spans="1:6" x14ac:dyDescent="0.2">
      <c r="A14002" t="s">
        <v>23560</v>
      </c>
      <c r="B14002" t="s">
        <v>23561</v>
      </c>
      <c r="C14002" t="s">
        <v>23562</v>
      </c>
      <c r="D14002" t="s">
        <v>267</v>
      </c>
      <c r="E14002" t="s">
        <v>241</v>
      </c>
      <c r="F14002" s="2" t="str">
        <f>HYPERLINK("http://www.otzar.org/book.asp?102432","זכרון טוב")</f>
        <v>זכרון טוב</v>
      </c>
    </row>
    <row r="14003" spans="1:6" x14ac:dyDescent="0.2">
      <c r="A14003" t="s">
        <v>23560</v>
      </c>
      <c r="B14003" t="s">
        <v>23563</v>
      </c>
      <c r="C14003" t="s">
        <v>362</v>
      </c>
      <c r="D14003" t="s">
        <v>27</v>
      </c>
      <c r="E14003" t="s">
        <v>241</v>
      </c>
      <c r="F14003" s="2" t="str">
        <f>HYPERLINK("http://www.otzar.org/book.asp?13417","זכרון טוב")</f>
        <v>זכרון טוב</v>
      </c>
    </row>
    <row r="14004" spans="1:6" x14ac:dyDescent="0.2">
      <c r="A14004" t="s">
        <v>23560</v>
      </c>
      <c r="B14004" t="s">
        <v>11403</v>
      </c>
      <c r="C14004" t="s">
        <v>362</v>
      </c>
      <c r="D14004" t="s">
        <v>4269</v>
      </c>
      <c r="E14004" t="s">
        <v>158</v>
      </c>
      <c r="F14004" s="2" t="str">
        <f>HYPERLINK("http://www.otzar.org/book.asp?147086","זכרון טוב")</f>
        <v>זכרון טוב</v>
      </c>
    </row>
    <row r="14005" spans="1:6" x14ac:dyDescent="0.2">
      <c r="A14005" t="s">
        <v>23564</v>
      </c>
      <c r="B14005" t="s">
        <v>1750</v>
      </c>
      <c r="C14005" t="s">
        <v>13</v>
      </c>
      <c r="D14005" t="s">
        <v>152</v>
      </c>
      <c r="E14005" t="s">
        <v>4163</v>
      </c>
      <c r="F14005" s="2" t="str">
        <f>HYPERLINK("http://www.otzar.org/book.asp?148864","זכרון טוביה")</f>
        <v>זכרון טוביה</v>
      </c>
    </row>
    <row r="14006" spans="1:6" x14ac:dyDescent="0.2">
      <c r="A14006" t="s">
        <v>23565</v>
      </c>
      <c r="B14006" t="s">
        <v>23566</v>
      </c>
      <c r="C14006" t="s">
        <v>20</v>
      </c>
      <c r="D14006" t="s">
        <v>90</v>
      </c>
      <c r="F14006" s="2" t="str">
        <f>HYPERLINK("http://www.otzar.org/book.asp?621919","זכרון יא""ה")</f>
        <v>זכרון יא"ה</v>
      </c>
    </row>
    <row r="14007" spans="1:6" x14ac:dyDescent="0.2">
      <c r="A14007" t="s">
        <v>23567</v>
      </c>
      <c r="B14007" t="s">
        <v>23568</v>
      </c>
      <c r="C14007" t="s">
        <v>725</v>
      </c>
      <c r="D14007" t="s">
        <v>9</v>
      </c>
      <c r="E14007" t="s">
        <v>13352</v>
      </c>
      <c r="F14007" s="2" t="str">
        <f>HYPERLINK("http://www.otzar.org/book.asp?52155","זכרון יהודא ויוסף")</f>
        <v>זכרון יהודא ויוסף</v>
      </c>
    </row>
    <row r="14008" spans="1:6" x14ac:dyDescent="0.2">
      <c r="A14008" t="s">
        <v>23569</v>
      </c>
      <c r="B14008" t="s">
        <v>23570</v>
      </c>
      <c r="C14008" t="s">
        <v>1124</v>
      </c>
      <c r="D14008" t="s">
        <v>855</v>
      </c>
      <c r="E14008" t="s">
        <v>84</v>
      </c>
      <c r="F14008" s="2" t="str">
        <f>HYPERLINK("http://www.otzar.org/book.asp?104845","זכרון יהודא")</f>
        <v>זכרון יהודא</v>
      </c>
    </row>
    <row r="14009" spans="1:6" x14ac:dyDescent="0.2">
      <c r="A14009" t="s">
        <v>23571</v>
      </c>
      <c r="B14009" t="s">
        <v>23572</v>
      </c>
      <c r="C14009" t="s">
        <v>71</v>
      </c>
      <c r="D14009" t="s">
        <v>14</v>
      </c>
      <c r="E14009" t="s">
        <v>467</v>
      </c>
      <c r="F14009" s="2" t="str">
        <f>HYPERLINK("http://www.otzar.org/book.asp?155824","זכרון יהודה &lt;מהדורה חדשה&gt;")</f>
        <v>זכרון יהודה &lt;מהדורה חדשה&gt;</v>
      </c>
    </row>
    <row r="14010" spans="1:6" x14ac:dyDescent="0.2">
      <c r="A14010" t="s">
        <v>23573</v>
      </c>
      <c r="B14010" t="s">
        <v>23574</v>
      </c>
      <c r="C14010" t="s">
        <v>1537</v>
      </c>
      <c r="D14010" t="s">
        <v>56</v>
      </c>
      <c r="E14010" t="s">
        <v>144</v>
      </c>
      <c r="F14010" s="2" t="str">
        <f>HYPERLINK("http://www.otzar.org/book.asp?149216","זכרון יהודה (הוחק לזכר)")</f>
        <v>זכרון יהודה (הוחק לזכר)</v>
      </c>
    </row>
    <row r="14011" spans="1:6" x14ac:dyDescent="0.2">
      <c r="A14011" t="s">
        <v>23575</v>
      </c>
      <c r="B14011" t="s">
        <v>23574</v>
      </c>
      <c r="C14011" t="s">
        <v>270</v>
      </c>
      <c r="D14011" t="s">
        <v>56</v>
      </c>
      <c r="E14011" t="s">
        <v>84</v>
      </c>
      <c r="F14011" s="2" t="str">
        <f>HYPERLINK("http://www.otzar.org/book.asp?19391","זכרון יהודה - 4 כר'")</f>
        <v>זכרון יהודה - 4 כר'</v>
      </c>
    </row>
    <row r="14012" spans="1:6" x14ac:dyDescent="0.2">
      <c r="A14012" t="s">
        <v>23576</v>
      </c>
      <c r="B14012" t="s">
        <v>23572</v>
      </c>
      <c r="C14012" t="s">
        <v>492</v>
      </c>
      <c r="D14012" t="s">
        <v>379</v>
      </c>
      <c r="E14012" t="s">
        <v>23577</v>
      </c>
      <c r="F14012" s="2" t="str">
        <f>HYPERLINK("http://www.otzar.org/book.asp?12212","זכרון יהודה - 2 כר'")</f>
        <v>זכרון יהודה - 2 כר'</v>
      </c>
    </row>
    <row r="14013" spans="1:6" x14ac:dyDescent="0.2">
      <c r="A14013" t="s">
        <v>23578</v>
      </c>
      <c r="B14013" t="s">
        <v>23579</v>
      </c>
      <c r="C14013" t="s">
        <v>1437</v>
      </c>
      <c r="D14013" t="s">
        <v>1279</v>
      </c>
      <c r="E14013" t="s">
        <v>3387</v>
      </c>
      <c r="F14013" s="2" t="str">
        <f>HYPERLINK("http://www.otzar.org/book.asp?100904","זכרון יהודה")</f>
        <v>זכרון יהודה</v>
      </c>
    </row>
    <row r="14014" spans="1:6" x14ac:dyDescent="0.2">
      <c r="A14014" t="s">
        <v>23576</v>
      </c>
      <c r="B14014" t="s">
        <v>23580</v>
      </c>
      <c r="C14014" t="s">
        <v>23581</v>
      </c>
      <c r="D14014" t="s">
        <v>974</v>
      </c>
      <c r="E14014" t="s">
        <v>154</v>
      </c>
      <c r="F14014" s="2" t="str">
        <f>HYPERLINK("http://www.otzar.org/book.asp?948","זכרון יהודה - 2 כר'")</f>
        <v>זכרון יהודה - 2 כר'</v>
      </c>
    </row>
    <row r="14015" spans="1:6" x14ac:dyDescent="0.2">
      <c r="A14015" t="s">
        <v>23578</v>
      </c>
      <c r="B14015" t="s">
        <v>23582</v>
      </c>
      <c r="C14015" t="s">
        <v>321</v>
      </c>
      <c r="D14015" t="s">
        <v>280</v>
      </c>
      <c r="E14015" t="s">
        <v>154</v>
      </c>
      <c r="F14015" s="2" t="str">
        <f>HYPERLINK("http://www.otzar.org/book.asp?336","זכרון יהודה")</f>
        <v>זכרון יהודה</v>
      </c>
    </row>
    <row r="14016" spans="1:6" x14ac:dyDescent="0.2">
      <c r="A14016" t="s">
        <v>23578</v>
      </c>
      <c r="B14016" t="s">
        <v>23583</v>
      </c>
      <c r="C14016" t="s">
        <v>445</v>
      </c>
      <c r="D14016" t="s">
        <v>267</v>
      </c>
      <c r="E14016" t="s">
        <v>144</v>
      </c>
      <c r="F14016" s="2" t="str">
        <f>HYPERLINK("http://www.otzar.org/book.asp?107381","זכרון יהודה")</f>
        <v>זכרון יהודה</v>
      </c>
    </row>
    <row r="14017" spans="1:6" x14ac:dyDescent="0.2">
      <c r="A14017" t="s">
        <v>23576</v>
      </c>
      <c r="B14017" t="s">
        <v>552</v>
      </c>
      <c r="C14017" t="s">
        <v>176</v>
      </c>
      <c r="D14017" t="s">
        <v>14</v>
      </c>
      <c r="E14017" t="s">
        <v>202</v>
      </c>
      <c r="F14017" s="2" t="str">
        <f>HYPERLINK("http://www.otzar.org/book.asp?148295","זכרון יהודה - 2 כר'")</f>
        <v>זכרון יהודה - 2 כר'</v>
      </c>
    </row>
    <row r="14018" spans="1:6" x14ac:dyDescent="0.2">
      <c r="A14018" t="s">
        <v>23584</v>
      </c>
      <c r="B14018" t="s">
        <v>23585</v>
      </c>
      <c r="C14018" t="s">
        <v>454</v>
      </c>
      <c r="D14018" t="s">
        <v>14</v>
      </c>
      <c r="F14018" s="2" t="str">
        <f>HYPERLINK("http://www.otzar.org/book.asp?612122","זכרון יהודה - על רבי יהודה מדזיקוב")</f>
        <v>זכרון יהודה - על רבי יהודה מדזיקוב</v>
      </c>
    </row>
    <row r="14019" spans="1:6" x14ac:dyDescent="0.2">
      <c r="A14019" t="s">
        <v>23578</v>
      </c>
      <c r="B14019" t="s">
        <v>23586</v>
      </c>
      <c r="C14019" t="s">
        <v>1208</v>
      </c>
      <c r="D14019" t="s">
        <v>115</v>
      </c>
      <c r="E14019" t="s">
        <v>158</v>
      </c>
      <c r="F14019" s="2" t="str">
        <f>HYPERLINK("http://www.otzar.org/book.asp?14080","זכרון יהודה")</f>
        <v>זכרון יהודה</v>
      </c>
    </row>
    <row r="14020" spans="1:6" x14ac:dyDescent="0.2">
      <c r="A14020" t="s">
        <v>23587</v>
      </c>
      <c r="B14020" t="s">
        <v>23588</v>
      </c>
      <c r="C14020" t="s">
        <v>1228</v>
      </c>
      <c r="D14020" t="s">
        <v>56</v>
      </c>
      <c r="E14020" t="s">
        <v>154</v>
      </c>
      <c r="F14020" s="2" t="str">
        <f>HYPERLINK("http://www.otzar.org/book.asp?10700","זכרון יהונתן - 2 כר'")</f>
        <v>זכרון יהונתן - 2 כר'</v>
      </c>
    </row>
    <row r="14021" spans="1:6" x14ac:dyDescent="0.2">
      <c r="A14021" t="s">
        <v>23589</v>
      </c>
      <c r="B14021" t="s">
        <v>23590</v>
      </c>
      <c r="C14021" t="s">
        <v>23</v>
      </c>
      <c r="D14021" t="s">
        <v>21</v>
      </c>
      <c r="E14021" t="s">
        <v>202</v>
      </c>
      <c r="F14021" s="2" t="str">
        <f>HYPERLINK("http://www.otzar.org/book.asp?190879","זכרון יהונתן - שבת")</f>
        <v>זכרון יהונתן - שבת</v>
      </c>
    </row>
    <row r="14022" spans="1:6" x14ac:dyDescent="0.2">
      <c r="A14022" t="s">
        <v>23591</v>
      </c>
      <c r="B14022" t="s">
        <v>23592</v>
      </c>
      <c r="C14022" t="s">
        <v>767</v>
      </c>
      <c r="D14022" t="s">
        <v>14</v>
      </c>
      <c r="E14022" t="s">
        <v>202</v>
      </c>
      <c r="F14022" s="2" t="str">
        <f>HYPERLINK("http://www.otzar.org/book.asp?168456","זכרון יהושיע - 3 כר'")</f>
        <v>זכרון יהושיע - 3 כר'</v>
      </c>
    </row>
    <row r="14023" spans="1:6" x14ac:dyDescent="0.2">
      <c r="A14023" t="s">
        <v>23593</v>
      </c>
      <c r="B14023" t="s">
        <v>552</v>
      </c>
      <c r="C14023" t="s">
        <v>87</v>
      </c>
      <c r="D14023" t="s">
        <v>14</v>
      </c>
      <c r="E14023" t="s">
        <v>23594</v>
      </c>
      <c r="F14023" s="2" t="str">
        <f>HYPERLINK("http://www.otzar.org/book.asp?13528","זכרון יהושע [ויסברוד]")</f>
        <v>זכרון יהושע [ויסברוד]</v>
      </c>
    </row>
    <row r="14024" spans="1:6" x14ac:dyDescent="0.2">
      <c r="A14024" t="s">
        <v>23595</v>
      </c>
      <c r="B14024" t="s">
        <v>18747</v>
      </c>
      <c r="C14024" t="s">
        <v>176</v>
      </c>
      <c r="D14024" t="s">
        <v>14</v>
      </c>
      <c r="E14024" t="s">
        <v>104</v>
      </c>
      <c r="F14024" s="2" t="str">
        <f>HYPERLINK("http://www.otzar.org/book.asp?6573","זכרון יהושע")</f>
        <v>זכרון יהושע</v>
      </c>
    </row>
    <row r="14025" spans="1:6" x14ac:dyDescent="0.2">
      <c r="A14025" t="s">
        <v>23596</v>
      </c>
      <c r="B14025" t="s">
        <v>23597</v>
      </c>
      <c r="C14025" t="s">
        <v>23598</v>
      </c>
      <c r="D14025" t="s">
        <v>947</v>
      </c>
      <c r="E14025" t="s">
        <v>144</v>
      </c>
      <c r="F14025" s="2" t="str">
        <f>HYPERLINK("http://www.otzar.org/book.asp?21104","זכרון יהושע - 8 כר'")</f>
        <v>זכרון יהושע - 8 כר'</v>
      </c>
    </row>
    <row r="14026" spans="1:6" x14ac:dyDescent="0.2">
      <c r="A14026" t="s">
        <v>23595</v>
      </c>
      <c r="B14026" t="s">
        <v>23599</v>
      </c>
      <c r="C14026" t="s">
        <v>752</v>
      </c>
      <c r="D14026" t="s">
        <v>855</v>
      </c>
      <c r="E14026" t="s">
        <v>15</v>
      </c>
      <c r="F14026" s="2" t="str">
        <f>HYPERLINK("http://www.otzar.org/book.asp?52302","זכרון יהושע")</f>
        <v>זכרון יהושע</v>
      </c>
    </row>
    <row r="14027" spans="1:6" x14ac:dyDescent="0.2">
      <c r="A14027" t="s">
        <v>23595</v>
      </c>
      <c r="B14027" t="s">
        <v>23600</v>
      </c>
      <c r="C14027" t="s">
        <v>492</v>
      </c>
      <c r="D14027" t="s">
        <v>1419</v>
      </c>
      <c r="F14027" s="2" t="str">
        <f>HYPERLINK("http://www.otzar.org/book.asp?83933","זכרון יהושע")</f>
        <v>זכרון יהושע</v>
      </c>
    </row>
    <row r="14028" spans="1:6" x14ac:dyDescent="0.2">
      <c r="A14028" t="s">
        <v>23595</v>
      </c>
      <c r="B14028" t="s">
        <v>23601</v>
      </c>
      <c r="C14028" t="s">
        <v>581</v>
      </c>
      <c r="D14028" t="s">
        <v>691</v>
      </c>
      <c r="E14028" t="s">
        <v>20806</v>
      </c>
      <c r="F14028" s="2" t="str">
        <f>HYPERLINK("http://www.otzar.org/book.asp?106934","זכרון יהושע")</f>
        <v>זכרון יהושע</v>
      </c>
    </row>
    <row r="14029" spans="1:6" x14ac:dyDescent="0.2">
      <c r="A14029" t="s">
        <v>23595</v>
      </c>
      <c r="B14029" t="s">
        <v>23602</v>
      </c>
      <c r="C14029" t="s">
        <v>1609</v>
      </c>
      <c r="D14029" t="s">
        <v>23603</v>
      </c>
      <c r="E14029" t="s">
        <v>435</v>
      </c>
      <c r="F14029" s="2" t="str">
        <f>HYPERLINK("http://www.otzar.org/book.asp?190005","זכרון יהושע")</f>
        <v>זכרון יהושע</v>
      </c>
    </row>
    <row r="14030" spans="1:6" x14ac:dyDescent="0.2">
      <c r="A14030" t="s">
        <v>23604</v>
      </c>
      <c r="B14030" t="s">
        <v>9457</v>
      </c>
      <c r="C14030" t="s">
        <v>37</v>
      </c>
      <c r="D14030" t="s">
        <v>6283</v>
      </c>
      <c r="E14030" t="s">
        <v>15</v>
      </c>
      <c r="F14030" s="2" t="str">
        <f>HYPERLINK("http://www.otzar.org/book.asp?199381","זכרון יונה - 2 כר'")</f>
        <v>זכרון יונה - 2 כר'</v>
      </c>
    </row>
    <row r="14031" spans="1:6" x14ac:dyDescent="0.2">
      <c r="A14031" t="s">
        <v>23605</v>
      </c>
      <c r="B14031" t="s">
        <v>12505</v>
      </c>
      <c r="C14031" t="s">
        <v>75</v>
      </c>
      <c r="D14031" t="s">
        <v>23606</v>
      </c>
      <c r="E14031" t="s">
        <v>786</v>
      </c>
      <c r="F14031" s="2" t="str">
        <f>HYPERLINK("http://www.otzar.org/book.asp?603731","זכרון יוסף (כת""י)")</f>
        <v>זכרון יוסף (כת"י)</v>
      </c>
    </row>
    <row r="14032" spans="1:6" x14ac:dyDescent="0.2">
      <c r="A14032" t="s">
        <v>23607</v>
      </c>
      <c r="B14032" t="s">
        <v>23608</v>
      </c>
      <c r="C14032" t="s">
        <v>20</v>
      </c>
      <c r="D14032" t="s">
        <v>14</v>
      </c>
      <c r="E14032" t="s">
        <v>158</v>
      </c>
      <c r="F14032" s="2" t="str">
        <f>HYPERLINK("http://www.otzar.org/book.asp?85702","זכרון יוסף הלוי")</f>
        <v>זכרון יוסף הלוי</v>
      </c>
    </row>
    <row r="14033" spans="1:6" x14ac:dyDescent="0.2">
      <c r="A14033" t="s">
        <v>23609</v>
      </c>
      <c r="B14033" t="s">
        <v>15226</v>
      </c>
      <c r="C14033" t="s">
        <v>1374</v>
      </c>
      <c r="D14033" t="s">
        <v>280</v>
      </c>
      <c r="E14033" t="s">
        <v>172</v>
      </c>
      <c r="F14033" s="2" t="str">
        <f>HYPERLINK("http://www.otzar.org/book.asp?22442","זכרון יוסף צבי")</f>
        <v>זכרון יוסף צבי</v>
      </c>
    </row>
    <row r="14034" spans="1:6" x14ac:dyDescent="0.2">
      <c r="A14034" t="s">
        <v>23610</v>
      </c>
      <c r="B14034" t="s">
        <v>23611</v>
      </c>
      <c r="C14034" t="s">
        <v>244</v>
      </c>
      <c r="D14034" t="s">
        <v>14</v>
      </c>
      <c r="F14034" s="2" t="str">
        <f>HYPERLINK("http://www.otzar.org/book.asp?616167","זכרון יוסף שמואל")</f>
        <v>זכרון יוסף שמואל</v>
      </c>
    </row>
    <row r="14035" spans="1:6" x14ac:dyDescent="0.2">
      <c r="A14035" t="s">
        <v>23612</v>
      </c>
      <c r="B14035" t="s">
        <v>23613</v>
      </c>
      <c r="C14035" t="s">
        <v>51</v>
      </c>
      <c r="D14035" t="s">
        <v>520</v>
      </c>
      <c r="E14035" t="s">
        <v>202</v>
      </c>
      <c r="F14035" s="2" t="str">
        <f>HYPERLINK("http://www.otzar.org/book.asp?151711","זכרון יוסף")</f>
        <v>זכרון יוסף</v>
      </c>
    </row>
    <row r="14036" spans="1:6" x14ac:dyDescent="0.2">
      <c r="A14036" t="s">
        <v>23614</v>
      </c>
      <c r="B14036" t="s">
        <v>23615</v>
      </c>
      <c r="C14036" t="s">
        <v>581</v>
      </c>
      <c r="D14036" t="s">
        <v>27</v>
      </c>
      <c r="E14036" t="s">
        <v>15</v>
      </c>
      <c r="F14036" s="2" t="str">
        <f>HYPERLINK("http://www.otzar.org/book.asp?169429","זכרון יוסף - א-ב")</f>
        <v>זכרון יוסף - א-ב</v>
      </c>
    </row>
    <row r="14037" spans="1:6" x14ac:dyDescent="0.2">
      <c r="A14037" t="s">
        <v>23612</v>
      </c>
      <c r="B14037" t="s">
        <v>23616</v>
      </c>
      <c r="C14037" t="s">
        <v>129</v>
      </c>
      <c r="D14037" t="s">
        <v>14</v>
      </c>
      <c r="F14037" s="2" t="str">
        <f>HYPERLINK("http://www.otzar.org/book.asp?85892","זכרון יוסף")</f>
        <v>זכרון יוסף</v>
      </c>
    </row>
    <row r="14038" spans="1:6" x14ac:dyDescent="0.2">
      <c r="A14038" t="s">
        <v>23617</v>
      </c>
      <c r="B14038" t="s">
        <v>12638</v>
      </c>
      <c r="C14038" t="s">
        <v>1448</v>
      </c>
      <c r="D14038" t="s">
        <v>14</v>
      </c>
      <c r="E14038" t="s">
        <v>144</v>
      </c>
      <c r="F14038" s="2" t="str">
        <f>HYPERLINK("http://www.otzar.org/book.asp?84900","זכרון יוסף - 2 כר'")</f>
        <v>זכרון יוסף - 2 כר'</v>
      </c>
    </row>
    <row r="14039" spans="1:6" x14ac:dyDescent="0.2">
      <c r="A14039" t="s">
        <v>23612</v>
      </c>
      <c r="B14039" t="s">
        <v>23618</v>
      </c>
      <c r="C14039" t="s">
        <v>585</v>
      </c>
      <c r="D14039" t="s">
        <v>216</v>
      </c>
      <c r="E14039" t="s">
        <v>23619</v>
      </c>
      <c r="F14039" s="2" t="str">
        <f>HYPERLINK("http://www.otzar.org/book.asp?156805","זכרון יוסף")</f>
        <v>זכרון יוסף</v>
      </c>
    </row>
    <row r="14040" spans="1:6" x14ac:dyDescent="0.2">
      <c r="A14040" t="s">
        <v>23612</v>
      </c>
      <c r="B14040" t="s">
        <v>23620</v>
      </c>
      <c r="C14040" t="s">
        <v>581</v>
      </c>
      <c r="D14040" t="s">
        <v>56</v>
      </c>
      <c r="E14040" t="s">
        <v>234</v>
      </c>
      <c r="F14040" s="2" t="str">
        <f>HYPERLINK("http://www.otzar.org/book.asp?103005","זכרון יוסף")</f>
        <v>זכרון יוסף</v>
      </c>
    </row>
    <row r="14041" spans="1:6" x14ac:dyDescent="0.2">
      <c r="A14041" t="s">
        <v>23621</v>
      </c>
      <c r="B14041" t="s">
        <v>23622</v>
      </c>
      <c r="C14041" t="s">
        <v>454</v>
      </c>
      <c r="D14041" t="s">
        <v>14</v>
      </c>
      <c r="E14041" t="s">
        <v>202</v>
      </c>
      <c r="F14041" s="2" t="str">
        <f>HYPERLINK("http://www.otzar.org/book.asp?85054","זכרון יוסף - קובץ")</f>
        <v>זכרון יוסף - קובץ</v>
      </c>
    </row>
    <row r="14042" spans="1:6" x14ac:dyDescent="0.2">
      <c r="A14042" t="s">
        <v>23623</v>
      </c>
      <c r="B14042" t="s">
        <v>23624</v>
      </c>
      <c r="C14042" t="s">
        <v>466</v>
      </c>
      <c r="D14042" t="s">
        <v>657</v>
      </c>
      <c r="E14042" t="s">
        <v>2338</v>
      </c>
      <c r="F14042" s="2" t="str">
        <f>HYPERLINK("http://www.otzar.org/book.asp?63685","זכרון יוסף - זרעים")</f>
        <v>זכרון יוסף - זרעים</v>
      </c>
    </row>
    <row r="14043" spans="1:6" x14ac:dyDescent="0.2">
      <c r="A14043" t="s">
        <v>23625</v>
      </c>
      <c r="B14043" t="s">
        <v>23626</v>
      </c>
      <c r="C14043" t="s">
        <v>466</v>
      </c>
      <c r="D14043" t="s">
        <v>14</v>
      </c>
      <c r="E14043" t="s">
        <v>674</v>
      </c>
      <c r="F14043" s="2" t="str">
        <f>HYPERLINK("http://www.otzar.org/book.asp?145573","זכרון יוסף - דיני ק""ש תפילה וברכות")</f>
        <v>זכרון יוסף - דיני ק"ש תפילה וברכות</v>
      </c>
    </row>
    <row r="14044" spans="1:6" x14ac:dyDescent="0.2">
      <c r="A14044" t="s">
        <v>23612</v>
      </c>
      <c r="B14044" t="s">
        <v>23627</v>
      </c>
      <c r="C14044" t="s">
        <v>609</v>
      </c>
      <c r="D14044" t="s">
        <v>2313</v>
      </c>
      <c r="E14044" t="s">
        <v>15</v>
      </c>
      <c r="F14044" s="2" t="str">
        <f>HYPERLINK("http://www.otzar.org/book.asp?8491","זכרון יוסף")</f>
        <v>זכרון יוסף</v>
      </c>
    </row>
    <row r="14045" spans="1:6" x14ac:dyDescent="0.2">
      <c r="A14045" t="s">
        <v>23612</v>
      </c>
      <c r="B14045" t="s">
        <v>23628</v>
      </c>
      <c r="C14045" t="s">
        <v>79</v>
      </c>
      <c r="D14045" t="s">
        <v>27</v>
      </c>
      <c r="E14045" t="s">
        <v>199</v>
      </c>
      <c r="F14045" s="2" t="str">
        <f>HYPERLINK("http://www.otzar.org/book.asp?14802","זכרון יוסף")</f>
        <v>זכרון יוסף</v>
      </c>
    </row>
    <row r="14046" spans="1:6" x14ac:dyDescent="0.2">
      <c r="A14046" t="s">
        <v>23612</v>
      </c>
      <c r="B14046" t="s">
        <v>23629</v>
      </c>
      <c r="C14046" t="s">
        <v>23630</v>
      </c>
      <c r="D14046" t="s">
        <v>2303</v>
      </c>
      <c r="E14046" t="s">
        <v>930</v>
      </c>
      <c r="F14046" s="2" t="str">
        <f>HYPERLINK("http://www.otzar.org/book.asp?100888","זכרון יוסף")</f>
        <v>זכרון יוסף</v>
      </c>
    </row>
    <row r="14047" spans="1:6" x14ac:dyDescent="0.2">
      <c r="A14047" t="s">
        <v>23631</v>
      </c>
      <c r="B14047" t="s">
        <v>23632</v>
      </c>
      <c r="C14047" t="s">
        <v>133</v>
      </c>
      <c r="D14047" t="s">
        <v>21</v>
      </c>
      <c r="E14047" t="s">
        <v>202</v>
      </c>
      <c r="F14047" s="2" t="str">
        <f>HYPERLINK("http://www.otzar.org/book.asp?191137","זכרון יחזקאל ושמחה")</f>
        <v>זכרון יחזקאל ושמחה</v>
      </c>
    </row>
    <row r="14048" spans="1:6" x14ac:dyDescent="0.2">
      <c r="A14048" t="s">
        <v>23633</v>
      </c>
      <c r="B14048" t="s">
        <v>1204</v>
      </c>
      <c r="C14048" t="s">
        <v>20</v>
      </c>
      <c r="D14048" t="s">
        <v>90</v>
      </c>
      <c r="E14048" t="s">
        <v>241</v>
      </c>
      <c r="F14048" s="2" t="str">
        <f>HYPERLINK("http://www.otzar.org/book.asp?162412","זכרון יחזקאל")</f>
        <v>זכרון יחזקאל</v>
      </c>
    </row>
    <row r="14049" spans="1:6" x14ac:dyDescent="0.2">
      <c r="A14049" t="s">
        <v>23633</v>
      </c>
      <c r="B14049" t="s">
        <v>23634</v>
      </c>
      <c r="C14049" t="s">
        <v>224</v>
      </c>
      <c r="D14049" t="s">
        <v>2710</v>
      </c>
      <c r="E14049" t="s">
        <v>144</v>
      </c>
      <c r="F14049" s="2" t="str">
        <f>HYPERLINK("http://www.otzar.org/book.asp?18740","זכרון יחזקאל")</f>
        <v>זכרון יחזקאל</v>
      </c>
    </row>
    <row r="14050" spans="1:6" x14ac:dyDescent="0.2">
      <c r="A14050" t="s">
        <v>23633</v>
      </c>
      <c r="B14050" t="s">
        <v>552</v>
      </c>
      <c r="C14050" t="s">
        <v>146</v>
      </c>
      <c r="D14050" t="s">
        <v>14</v>
      </c>
      <c r="E14050" t="s">
        <v>202</v>
      </c>
      <c r="F14050" s="2" t="str">
        <f>HYPERLINK("http://www.otzar.org/book.asp?85722","זכרון יחזקאל")</f>
        <v>זכרון יחזקאל</v>
      </c>
    </row>
    <row r="14051" spans="1:6" x14ac:dyDescent="0.2">
      <c r="A14051" t="s">
        <v>23633</v>
      </c>
      <c r="B14051" t="s">
        <v>23635</v>
      </c>
      <c r="C14051" t="s">
        <v>558</v>
      </c>
      <c r="D14051" t="s">
        <v>283</v>
      </c>
      <c r="E14051" t="s">
        <v>803</v>
      </c>
      <c r="F14051" s="2" t="str">
        <f>HYPERLINK("http://www.otzar.org/book.asp?18741","זכרון יחזקאל")</f>
        <v>זכרון יחזקאל</v>
      </c>
    </row>
    <row r="14052" spans="1:6" x14ac:dyDescent="0.2">
      <c r="A14052" t="s">
        <v>23633</v>
      </c>
      <c r="B14052" t="s">
        <v>23636</v>
      </c>
      <c r="C14052" t="s">
        <v>23637</v>
      </c>
      <c r="D14052" t="s">
        <v>23638</v>
      </c>
      <c r="E14052" t="s">
        <v>733</v>
      </c>
      <c r="F14052" s="2" t="str">
        <f>HYPERLINK("http://www.otzar.org/book.asp?174634","זכרון יחזקאל")</f>
        <v>זכרון יחזקאל</v>
      </c>
    </row>
    <row r="14053" spans="1:6" x14ac:dyDescent="0.2">
      <c r="A14053" t="s">
        <v>23639</v>
      </c>
      <c r="B14053" t="s">
        <v>23640</v>
      </c>
      <c r="F14053" s="2" t="str">
        <f>HYPERLINK("http://www.otzar.org/book.asp?616957","זכרון יחיאל אברהם - 2 כר'")</f>
        <v>זכרון יחיאל אברהם - 2 כר'</v>
      </c>
    </row>
    <row r="14054" spans="1:6" x14ac:dyDescent="0.2">
      <c r="A14054" t="s">
        <v>23641</v>
      </c>
      <c r="B14054" t="s">
        <v>8440</v>
      </c>
      <c r="C14054" t="s">
        <v>313</v>
      </c>
      <c r="D14054" t="s">
        <v>14</v>
      </c>
      <c r="E14054" t="s">
        <v>474</v>
      </c>
      <c r="F14054" s="2" t="str">
        <f>HYPERLINK("http://www.otzar.org/book.asp?159306","זכרון יעקב &lt;מהדורה חדשה&gt;")</f>
        <v>זכרון יעקב &lt;מהדורה חדשה&gt;</v>
      </c>
    </row>
    <row r="14055" spans="1:6" x14ac:dyDescent="0.2">
      <c r="A14055" t="s">
        <v>23641</v>
      </c>
      <c r="B14055" t="s">
        <v>23642</v>
      </c>
      <c r="C14055" t="s">
        <v>422</v>
      </c>
      <c r="D14055" t="s">
        <v>52</v>
      </c>
      <c r="E14055" t="s">
        <v>474</v>
      </c>
      <c r="F14055" s="2" t="str">
        <f>HYPERLINK("http://www.otzar.org/book.asp?605006","זכרון יעקב &lt;מהדורה חדשה&gt;")</f>
        <v>זכרון יעקב &lt;מהדורה חדשה&gt;</v>
      </c>
    </row>
    <row r="14056" spans="1:6" x14ac:dyDescent="0.2">
      <c r="A14056" t="s">
        <v>23643</v>
      </c>
      <c r="B14056" t="s">
        <v>6900</v>
      </c>
      <c r="C14056" t="s">
        <v>506</v>
      </c>
      <c r="D14056" t="s">
        <v>379</v>
      </c>
      <c r="E14056" t="s">
        <v>234</v>
      </c>
      <c r="F14056" s="2" t="str">
        <f>HYPERLINK("http://www.otzar.org/book.asp?144479","זכרון יעקב ויהודה")</f>
        <v>זכרון יעקב ויהודה</v>
      </c>
    </row>
    <row r="14057" spans="1:6" x14ac:dyDescent="0.2">
      <c r="A14057" t="s">
        <v>23644</v>
      </c>
      <c r="B14057" t="s">
        <v>23645</v>
      </c>
      <c r="C14057" t="s">
        <v>547</v>
      </c>
      <c r="D14057" t="s">
        <v>27</v>
      </c>
      <c r="E14057" t="s">
        <v>104</v>
      </c>
      <c r="F14057" s="2" t="str">
        <f>HYPERLINK("http://www.otzar.org/book.asp?102447","זכרון יעקב יוסף")</f>
        <v>זכרון יעקב יוסף</v>
      </c>
    </row>
    <row r="14058" spans="1:6" x14ac:dyDescent="0.2">
      <c r="A14058" t="s">
        <v>23646</v>
      </c>
      <c r="B14058" t="s">
        <v>552</v>
      </c>
      <c r="C14058" t="s">
        <v>51</v>
      </c>
      <c r="D14058" t="s">
        <v>14</v>
      </c>
      <c r="E14058" t="s">
        <v>202</v>
      </c>
      <c r="F14058" s="2" t="str">
        <f>HYPERLINK("http://www.otzar.org/book.asp?61200","זכרון יעקב יצחק - ה")</f>
        <v>זכרון יעקב יצחק - ה</v>
      </c>
    </row>
    <row r="14059" spans="1:6" x14ac:dyDescent="0.2">
      <c r="A14059" t="s">
        <v>23647</v>
      </c>
      <c r="B14059" t="s">
        <v>23648</v>
      </c>
      <c r="C14059" t="s">
        <v>17</v>
      </c>
      <c r="D14059" t="s">
        <v>2504</v>
      </c>
      <c r="E14059" t="s">
        <v>186</v>
      </c>
      <c r="F14059" s="2" t="str">
        <f>HYPERLINK("http://www.otzar.org/book.asp?173896","זכרון יעקב משה - בבא מציעא")</f>
        <v>זכרון יעקב משה - בבא מציעא</v>
      </c>
    </row>
    <row r="14060" spans="1:6" x14ac:dyDescent="0.2">
      <c r="A14060" t="s">
        <v>23649</v>
      </c>
      <c r="B14060" t="s">
        <v>23650</v>
      </c>
      <c r="C14060" t="s">
        <v>13</v>
      </c>
      <c r="D14060" t="s">
        <v>1156</v>
      </c>
      <c r="F14060" s="2" t="str">
        <f>HYPERLINK("http://www.otzar.org/book.asp?620875","זכרון יעקב צבי - 2 כר'")</f>
        <v>זכרון יעקב צבי - 2 כר'</v>
      </c>
    </row>
    <row r="14061" spans="1:6" x14ac:dyDescent="0.2">
      <c r="A14061" t="s">
        <v>6283</v>
      </c>
      <c r="B14061" t="s">
        <v>23651</v>
      </c>
      <c r="C14061" t="s">
        <v>1458</v>
      </c>
      <c r="D14061" t="s">
        <v>56</v>
      </c>
      <c r="E14061" t="s">
        <v>23652</v>
      </c>
      <c r="F14061" s="2" t="str">
        <f>HYPERLINK("http://www.otzar.org/book.asp?100998","זכרון יעקב")</f>
        <v>זכרון יעקב</v>
      </c>
    </row>
    <row r="14062" spans="1:6" x14ac:dyDescent="0.2">
      <c r="A14062" t="s">
        <v>6283</v>
      </c>
      <c r="B14062" t="s">
        <v>8440</v>
      </c>
      <c r="C14062" t="s">
        <v>4059</v>
      </c>
      <c r="D14062" t="s">
        <v>2303</v>
      </c>
      <c r="E14062" t="s">
        <v>158</v>
      </c>
      <c r="F14062" s="2" t="str">
        <f>HYPERLINK("http://www.otzar.org/book.asp?102434","זכרון יעקב")</f>
        <v>זכרון יעקב</v>
      </c>
    </row>
    <row r="14063" spans="1:6" x14ac:dyDescent="0.2">
      <c r="A14063" t="s">
        <v>6283</v>
      </c>
      <c r="B14063" t="s">
        <v>15462</v>
      </c>
      <c r="C14063" t="s">
        <v>3840</v>
      </c>
      <c r="D14063" t="s">
        <v>986</v>
      </c>
      <c r="E14063" t="s">
        <v>467</v>
      </c>
      <c r="F14063" s="2" t="str">
        <f>HYPERLINK("http://www.otzar.org/book.asp?52301","זכרון יעקב")</f>
        <v>זכרון יעקב</v>
      </c>
    </row>
    <row r="14064" spans="1:6" x14ac:dyDescent="0.2">
      <c r="A14064" t="s">
        <v>6283</v>
      </c>
      <c r="B14064" t="s">
        <v>23653</v>
      </c>
      <c r="C14064" t="s">
        <v>462</v>
      </c>
      <c r="D14064" t="s">
        <v>225</v>
      </c>
      <c r="E14064" t="s">
        <v>148</v>
      </c>
      <c r="F14064" s="2" t="str">
        <f>HYPERLINK("http://www.otzar.org/book.asp?22443","זכרון יעקב")</f>
        <v>זכרון יעקב</v>
      </c>
    </row>
    <row r="14065" spans="1:6" x14ac:dyDescent="0.2">
      <c r="A14065" t="s">
        <v>23654</v>
      </c>
      <c r="B14065" t="s">
        <v>23655</v>
      </c>
      <c r="C14065" t="s">
        <v>23656</v>
      </c>
      <c r="D14065" t="s">
        <v>7894</v>
      </c>
      <c r="E14065" t="s">
        <v>158</v>
      </c>
      <c r="F14065" s="2" t="str">
        <f>HYPERLINK("http://www.otzar.org/book.asp?24964","זכרון יעקב - ב")</f>
        <v>זכרון יעקב - ב</v>
      </c>
    </row>
    <row r="14066" spans="1:6" x14ac:dyDescent="0.2">
      <c r="A14066" t="s">
        <v>6283</v>
      </c>
      <c r="B14066" t="s">
        <v>23657</v>
      </c>
      <c r="C14066" t="s">
        <v>1166</v>
      </c>
      <c r="D14066" t="s">
        <v>56</v>
      </c>
      <c r="E14066" t="s">
        <v>144</v>
      </c>
      <c r="F14066" s="2" t="str">
        <f>HYPERLINK("http://www.otzar.org/book.asp?18742","זכרון יעקב")</f>
        <v>זכרון יעקב</v>
      </c>
    </row>
    <row r="14067" spans="1:6" x14ac:dyDescent="0.2">
      <c r="A14067" t="s">
        <v>6283</v>
      </c>
      <c r="B14067" t="s">
        <v>10209</v>
      </c>
      <c r="C14067" t="s">
        <v>111</v>
      </c>
      <c r="D14067" t="s">
        <v>412</v>
      </c>
      <c r="E14067" t="s">
        <v>84</v>
      </c>
      <c r="F14067" s="2" t="str">
        <f>HYPERLINK("http://www.otzar.org/book.asp?628743","זכרון יעקב")</f>
        <v>זכרון יעקב</v>
      </c>
    </row>
    <row r="14068" spans="1:6" x14ac:dyDescent="0.2">
      <c r="A14068" t="s">
        <v>6283</v>
      </c>
      <c r="B14068" t="s">
        <v>23658</v>
      </c>
      <c r="C14068" t="s">
        <v>13</v>
      </c>
      <c r="D14068" t="s">
        <v>14</v>
      </c>
      <c r="E14068" t="s">
        <v>202</v>
      </c>
      <c r="F14068" s="2" t="str">
        <f>HYPERLINK("http://www.otzar.org/book.asp?625579","זכרון יעקב")</f>
        <v>זכרון יעקב</v>
      </c>
    </row>
    <row r="14069" spans="1:6" x14ac:dyDescent="0.2">
      <c r="A14069" t="s">
        <v>23659</v>
      </c>
      <c r="B14069" t="s">
        <v>15045</v>
      </c>
      <c r="C14069" t="s">
        <v>23003</v>
      </c>
      <c r="D14069" t="s">
        <v>6042</v>
      </c>
      <c r="E14069" t="s">
        <v>119</v>
      </c>
      <c r="F14069" s="2" t="str">
        <f>HYPERLINK("http://www.otzar.org/book.asp?105945","זכרון יעקב - 3 כר'")</f>
        <v>זכרון יעקב - 3 כר'</v>
      </c>
    </row>
    <row r="14070" spans="1:6" x14ac:dyDescent="0.2">
      <c r="A14070" t="s">
        <v>6283</v>
      </c>
      <c r="B14070" t="s">
        <v>16260</v>
      </c>
      <c r="C14070" t="s">
        <v>581</v>
      </c>
      <c r="D14070" t="s">
        <v>27</v>
      </c>
      <c r="E14070" t="s">
        <v>234</v>
      </c>
      <c r="F14070" s="2" t="str">
        <f>HYPERLINK("http://www.otzar.org/book.asp?106994","זכרון יעקב")</f>
        <v>זכרון יעקב</v>
      </c>
    </row>
    <row r="14071" spans="1:6" x14ac:dyDescent="0.2">
      <c r="A14071" t="s">
        <v>23660</v>
      </c>
      <c r="B14071" t="s">
        <v>23661</v>
      </c>
      <c r="C14071" t="s">
        <v>189</v>
      </c>
      <c r="D14071" t="s">
        <v>14605</v>
      </c>
      <c r="E14071" t="s">
        <v>144</v>
      </c>
      <c r="F14071" s="2" t="str">
        <f>HYPERLINK("http://www.otzar.org/book.asp?146441","זכרון יעקב - 6 כר'")</f>
        <v>זכרון יעקב - 6 כר'</v>
      </c>
    </row>
    <row r="14072" spans="1:6" x14ac:dyDescent="0.2">
      <c r="A14072" t="s">
        <v>23662</v>
      </c>
      <c r="B14072" t="s">
        <v>23642</v>
      </c>
      <c r="C14072" t="s">
        <v>3106</v>
      </c>
      <c r="D14072" t="s">
        <v>9</v>
      </c>
      <c r="E14072" t="s">
        <v>474</v>
      </c>
      <c r="F14072" s="2" t="str">
        <f>HYPERLINK("http://www.otzar.org/book.asp?181781","זכרון יעקב - 2 כר'")</f>
        <v>זכרון יעקב - 2 כר'</v>
      </c>
    </row>
    <row r="14073" spans="1:6" x14ac:dyDescent="0.2">
      <c r="A14073" t="s">
        <v>23663</v>
      </c>
      <c r="B14073" t="s">
        <v>1750</v>
      </c>
      <c r="C14073" t="s">
        <v>1388</v>
      </c>
      <c r="D14073" t="s">
        <v>6283</v>
      </c>
      <c r="E14073" t="s">
        <v>186</v>
      </c>
      <c r="F14073" s="2" t="str">
        <f>HYPERLINK("http://www.otzar.org/book.asp?148661","זכרון יעקב - 4 כר'")</f>
        <v>זכרון יעקב - 4 כר'</v>
      </c>
    </row>
    <row r="14074" spans="1:6" x14ac:dyDescent="0.2">
      <c r="A14074" t="s">
        <v>23659</v>
      </c>
      <c r="B14074" t="s">
        <v>23664</v>
      </c>
      <c r="C14074" t="s">
        <v>13</v>
      </c>
      <c r="D14074" t="s">
        <v>52</v>
      </c>
      <c r="E14074" t="s">
        <v>144</v>
      </c>
      <c r="F14074" s="2" t="str">
        <f>HYPERLINK("http://www.otzar.org/book.asp?145095","זכרון יעקב - 3 כר'")</f>
        <v>זכרון יעקב - 3 כר'</v>
      </c>
    </row>
    <row r="14075" spans="1:6" x14ac:dyDescent="0.2">
      <c r="A14075" t="s">
        <v>6283</v>
      </c>
      <c r="B14075" t="s">
        <v>23665</v>
      </c>
      <c r="C14075" t="s">
        <v>1166</v>
      </c>
      <c r="D14075" t="s">
        <v>446</v>
      </c>
      <c r="E14075" t="s">
        <v>213</v>
      </c>
      <c r="F14075" s="2" t="str">
        <f>HYPERLINK("http://www.otzar.org/book.asp?150009","זכרון יעקב")</f>
        <v>זכרון יעקב</v>
      </c>
    </row>
    <row r="14076" spans="1:6" x14ac:dyDescent="0.2">
      <c r="A14076" t="s">
        <v>6283</v>
      </c>
      <c r="B14076" t="s">
        <v>23666</v>
      </c>
      <c r="C14076" t="s">
        <v>20</v>
      </c>
      <c r="D14076" t="s">
        <v>14</v>
      </c>
      <c r="E14076" t="s">
        <v>2363</v>
      </c>
      <c r="F14076" s="2" t="str">
        <f>HYPERLINK("http://www.otzar.org/book.asp?154429","זכרון יעקב")</f>
        <v>זכרון יעקב</v>
      </c>
    </row>
    <row r="14077" spans="1:6" x14ac:dyDescent="0.2">
      <c r="A14077" t="s">
        <v>23667</v>
      </c>
      <c r="B14077" t="s">
        <v>552</v>
      </c>
      <c r="C14077" t="s">
        <v>334</v>
      </c>
      <c r="D14077" t="s">
        <v>14</v>
      </c>
      <c r="E14077" t="s">
        <v>202</v>
      </c>
      <c r="F14077" s="2" t="str">
        <f>HYPERLINK("http://www.otzar.org/book.asp?23724","זכרון יצחק (גולדשמיד)")</f>
        <v>זכרון יצחק (גולדשמיד)</v>
      </c>
    </row>
    <row r="14078" spans="1:6" x14ac:dyDescent="0.2">
      <c r="A14078" t="s">
        <v>23668</v>
      </c>
      <c r="B14078" t="s">
        <v>552</v>
      </c>
      <c r="C14078" t="s">
        <v>71</v>
      </c>
      <c r="D14078" t="s">
        <v>14</v>
      </c>
      <c r="E14078" t="s">
        <v>202</v>
      </c>
      <c r="F14078" s="2" t="str">
        <f>HYPERLINK("http://www.otzar.org/book.asp?171910","זכרון יצחק (טרוזמן)")</f>
        <v>זכרון יצחק (טרוזמן)</v>
      </c>
    </row>
    <row r="14079" spans="1:6" x14ac:dyDescent="0.2">
      <c r="A14079" t="s">
        <v>23669</v>
      </c>
      <c r="B14079" t="s">
        <v>552</v>
      </c>
      <c r="C14079" t="s">
        <v>466</v>
      </c>
      <c r="D14079" t="s">
        <v>14</v>
      </c>
      <c r="E14079" t="s">
        <v>202</v>
      </c>
      <c r="F14079" s="2" t="str">
        <f>HYPERLINK("http://www.otzar.org/book.asp?21662","זכרון יצחק (ניימן)")</f>
        <v>זכרון יצחק (ניימן)</v>
      </c>
    </row>
    <row r="14080" spans="1:6" x14ac:dyDescent="0.2">
      <c r="A14080" t="s">
        <v>23670</v>
      </c>
      <c r="B14080" t="s">
        <v>23671</v>
      </c>
      <c r="C14080" t="s">
        <v>68</v>
      </c>
      <c r="D14080" t="s">
        <v>115</v>
      </c>
      <c r="E14080" t="s">
        <v>119</v>
      </c>
      <c r="F14080" s="2" t="str">
        <f>HYPERLINK("http://www.otzar.org/book.asp?167137","זכרון יצחק")</f>
        <v>זכרון יצחק</v>
      </c>
    </row>
    <row r="14081" spans="1:6" x14ac:dyDescent="0.2">
      <c r="A14081" t="s">
        <v>23672</v>
      </c>
      <c r="B14081" t="s">
        <v>23673</v>
      </c>
      <c r="C14081" t="s">
        <v>244</v>
      </c>
      <c r="D14081" t="s">
        <v>52</v>
      </c>
      <c r="F14081" s="2" t="str">
        <f>HYPERLINK("http://www.otzar.org/book.asp?613151","זכרון יצחק - 4 כר'")</f>
        <v>זכרון יצחק - 4 כר'</v>
      </c>
    </row>
    <row r="14082" spans="1:6" x14ac:dyDescent="0.2">
      <c r="A14082" t="s">
        <v>23670</v>
      </c>
      <c r="B14082" t="s">
        <v>23674</v>
      </c>
      <c r="C14082" t="s">
        <v>4240</v>
      </c>
      <c r="D14082" t="s">
        <v>267</v>
      </c>
      <c r="E14082" t="s">
        <v>1880</v>
      </c>
      <c r="F14082" s="2" t="str">
        <f>HYPERLINK("http://www.otzar.org/book.asp?10989","זכרון יצחק")</f>
        <v>זכרון יצחק</v>
      </c>
    </row>
    <row r="14083" spans="1:6" x14ac:dyDescent="0.2">
      <c r="A14083" t="s">
        <v>23670</v>
      </c>
      <c r="B14083" t="s">
        <v>23675</v>
      </c>
      <c r="E14083" t="s">
        <v>104</v>
      </c>
      <c r="F14083" s="2" t="str">
        <f>HYPERLINK("http://www.otzar.org/book.asp?196669","זכרון יצחק")</f>
        <v>זכרון יצחק</v>
      </c>
    </row>
    <row r="14084" spans="1:6" x14ac:dyDescent="0.2">
      <c r="A14084" t="s">
        <v>23670</v>
      </c>
      <c r="B14084" t="s">
        <v>23676</v>
      </c>
      <c r="C14084" t="s">
        <v>854</v>
      </c>
      <c r="D14084" t="s">
        <v>27</v>
      </c>
      <c r="E14084" t="s">
        <v>144</v>
      </c>
      <c r="F14084" s="2" t="str">
        <f>HYPERLINK("http://www.otzar.org/book.asp?104864","זכרון יצחק")</f>
        <v>זכרון יצחק</v>
      </c>
    </row>
    <row r="14085" spans="1:6" x14ac:dyDescent="0.2">
      <c r="A14085" t="s">
        <v>23670</v>
      </c>
      <c r="B14085" t="s">
        <v>4761</v>
      </c>
      <c r="C14085" t="s">
        <v>313</v>
      </c>
      <c r="D14085" t="s">
        <v>1156</v>
      </c>
      <c r="E14085" t="s">
        <v>15</v>
      </c>
      <c r="F14085" s="2" t="str">
        <f>HYPERLINK("http://www.otzar.org/book.asp?50448","זכרון יצחק")</f>
        <v>זכרון יצחק</v>
      </c>
    </row>
    <row r="14086" spans="1:6" x14ac:dyDescent="0.2">
      <c r="A14086" t="s">
        <v>23670</v>
      </c>
      <c r="B14086" t="s">
        <v>23677</v>
      </c>
      <c r="C14086" t="s">
        <v>51</v>
      </c>
      <c r="D14086" t="s">
        <v>646</v>
      </c>
      <c r="E14086" t="s">
        <v>23678</v>
      </c>
      <c r="F14086" s="2" t="str">
        <f>HYPERLINK("http://www.otzar.org/book.asp?189452","זכרון יצחק")</f>
        <v>זכרון יצחק</v>
      </c>
    </row>
    <row r="14087" spans="1:6" x14ac:dyDescent="0.2">
      <c r="A14087" t="s">
        <v>23670</v>
      </c>
      <c r="B14087" t="s">
        <v>552</v>
      </c>
      <c r="C14087" t="s">
        <v>114</v>
      </c>
      <c r="D14087" t="s">
        <v>52</v>
      </c>
      <c r="E14087" t="s">
        <v>202</v>
      </c>
      <c r="F14087" s="2" t="str">
        <f>HYPERLINK("http://www.otzar.org/book.asp?162827","זכרון יצחק")</f>
        <v>זכרון יצחק</v>
      </c>
    </row>
    <row r="14088" spans="1:6" x14ac:dyDescent="0.2">
      <c r="A14088" t="s">
        <v>23670</v>
      </c>
      <c r="B14088" t="s">
        <v>23679</v>
      </c>
      <c r="C14088" t="s">
        <v>1885</v>
      </c>
      <c r="D14088" t="s">
        <v>1422</v>
      </c>
      <c r="E14088" t="s">
        <v>144</v>
      </c>
      <c r="F14088" s="2" t="str">
        <f>HYPERLINK("http://www.otzar.org/book.asp?104865","זכרון יצחק")</f>
        <v>זכרון יצחק</v>
      </c>
    </row>
    <row r="14089" spans="1:6" x14ac:dyDescent="0.2">
      <c r="A14089" t="s">
        <v>23680</v>
      </c>
      <c r="B14089" t="s">
        <v>23681</v>
      </c>
      <c r="C14089" t="s">
        <v>286</v>
      </c>
      <c r="D14089" t="s">
        <v>10393</v>
      </c>
      <c r="E14089" t="s">
        <v>202</v>
      </c>
      <c r="F14089" s="2" t="str">
        <f>HYPERLINK("http://www.otzar.org/book.asp?188576","זכרון יקותיאל")</f>
        <v>זכרון יקותיאל</v>
      </c>
    </row>
    <row r="14090" spans="1:6" x14ac:dyDescent="0.2">
      <c r="A14090" t="s">
        <v>23682</v>
      </c>
      <c r="B14090" t="s">
        <v>23683</v>
      </c>
      <c r="C14090" t="s">
        <v>176</v>
      </c>
      <c r="D14090" t="s">
        <v>6283</v>
      </c>
      <c r="E14090" t="s">
        <v>202</v>
      </c>
      <c r="F14090" s="2" t="str">
        <f>HYPERLINK("http://www.otzar.org/book.asp?170730","זכרון יקותיאל - 2 כר'")</f>
        <v>זכרון יקותיאל - 2 כר'</v>
      </c>
    </row>
    <row r="14091" spans="1:6" x14ac:dyDescent="0.2">
      <c r="A14091" t="s">
        <v>23684</v>
      </c>
      <c r="B14091" t="s">
        <v>23685</v>
      </c>
      <c r="C14091" t="s">
        <v>558</v>
      </c>
      <c r="D14091" t="s">
        <v>283</v>
      </c>
      <c r="E14091" t="s">
        <v>104</v>
      </c>
      <c r="F14091" s="2" t="str">
        <f>HYPERLINK("http://www.otzar.org/book.asp?24414","זכרון ירושלים")</f>
        <v>זכרון ירושלים</v>
      </c>
    </row>
    <row r="14092" spans="1:6" x14ac:dyDescent="0.2">
      <c r="A14092" t="s">
        <v>23686</v>
      </c>
      <c r="B14092" t="s">
        <v>23687</v>
      </c>
      <c r="C14092" t="s">
        <v>603</v>
      </c>
      <c r="D14092" t="s">
        <v>212</v>
      </c>
      <c r="E14092" t="s">
        <v>104</v>
      </c>
      <c r="F14092" s="2" t="str">
        <f>HYPERLINK("http://www.otzar.org/book.asp?153055","זכרון ירושלם")</f>
        <v>זכרון ירושלם</v>
      </c>
    </row>
    <row r="14093" spans="1:6" x14ac:dyDescent="0.2">
      <c r="A14093" t="s">
        <v>23688</v>
      </c>
      <c r="B14093" t="s">
        <v>1750</v>
      </c>
      <c r="C14093" t="s">
        <v>422</v>
      </c>
      <c r="D14093" t="s">
        <v>486</v>
      </c>
      <c r="F14093" s="2" t="str">
        <f>HYPERLINK("http://www.otzar.org/book.asp?197984","זכרון יריב משה")</f>
        <v>זכרון יריב משה</v>
      </c>
    </row>
    <row r="14094" spans="1:6" x14ac:dyDescent="0.2">
      <c r="A14094" t="s">
        <v>23689</v>
      </c>
      <c r="B14094" t="s">
        <v>23690</v>
      </c>
      <c r="C14094" t="s">
        <v>23691</v>
      </c>
      <c r="D14094" t="s">
        <v>225</v>
      </c>
      <c r="E14094" t="s">
        <v>84</v>
      </c>
      <c r="F14094" s="2" t="str">
        <f>HYPERLINK("http://www.otzar.org/book.asp?142346","זכרון ישכר - 2 כר'")</f>
        <v>זכרון ישכר - 2 כר'</v>
      </c>
    </row>
    <row r="14095" spans="1:6" x14ac:dyDescent="0.2">
      <c r="A14095" t="s">
        <v>23692</v>
      </c>
      <c r="B14095" t="s">
        <v>23693</v>
      </c>
      <c r="C14095" t="s">
        <v>23694</v>
      </c>
      <c r="D14095" t="s">
        <v>344</v>
      </c>
      <c r="F14095" s="2" t="str">
        <f>HYPERLINK("http://www.otzar.org/book.asp?608924","זכרון ישעיה")</f>
        <v>זכרון ישעיה</v>
      </c>
    </row>
    <row r="14096" spans="1:6" x14ac:dyDescent="0.2">
      <c r="A14096" t="s">
        <v>23692</v>
      </c>
      <c r="B14096" t="s">
        <v>23695</v>
      </c>
      <c r="C14096" t="s">
        <v>176</v>
      </c>
      <c r="D14096" t="s">
        <v>14</v>
      </c>
      <c r="E14096" t="s">
        <v>202</v>
      </c>
      <c r="F14096" s="2" t="str">
        <f>HYPERLINK("http://www.otzar.org/book.asp?176810","זכרון ישעיה")</f>
        <v>זכרון ישעיה</v>
      </c>
    </row>
    <row r="14097" spans="1:6" x14ac:dyDescent="0.2">
      <c r="A14097" t="s">
        <v>23696</v>
      </c>
      <c r="B14097" t="s">
        <v>23697</v>
      </c>
      <c r="C14097" t="s">
        <v>1166</v>
      </c>
      <c r="D14097" t="s">
        <v>27</v>
      </c>
      <c r="E14097" t="s">
        <v>508</v>
      </c>
      <c r="F14097" s="2" t="str">
        <f>HYPERLINK("http://www.otzar.org/book.asp?676","זכרון ישעיהו")</f>
        <v>זכרון ישעיהו</v>
      </c>
    </row>
    <row r="14098" spans="1:6" x14ac:dyDescent="0.2">
      <c r="A14098" t="s">
        <v>23696</v>
      </c>
      <c r="B14098" t="s">
        <v>23698</v>
      </c>
      <c r="C14098" t="s">
        <v>466</v>
      </c>
      <c r="D14098" t="s">
        <v>412</v>
      </c>
      <c r="E14098" t="s">
        <v>104</v>
      </c>
      <c r="F14098" s="2" t="str">
        <f>HYPERLINK("http://www.otzar.org/book.asp?604287","זכרון ישעיהו")</f>
        <v>זכרון ישעיהו</v>
      </c>
    </row>
    <row r="14099" spans="1:6" x14ac:dyDescent="0.2">
      <c r="A14099" t="s">
        <v>23699</v>
      </c>
      <c r="B14099" t="s">
        <v>23700</v>
      </c>
      <c r="C14099" t="s">
        <v>775</v>
      </c>
      <c r="D14099" t="s">
        <v>260</v>
      </c>
      <c r="E14099" t="s">
        <v>199</v>
      </c>
      <c r="F14099" s="2" t="str">
        <f>HYPERLINK("http://www.otzar.org/book.asp?199579","זכרון ישראל משה")</f>
        <v>זכרון ישראל משה</v>
      </c>
    </row>
    <row r="14100" spans="1:6" x14ac:dyDescent="0.2">
      <c r="A14100" t="s">
        <v>23701</v>
      </c>
      <c r="B14100" t="s">
        <v>12828</v>
      </c>
      <c r="C14100" t="s">
        <v>576</v>
      </c>
      <c r="D14100" t="s">
        <v>23702</v>
      </c>
      <c r="E14100" t="s">
        <v>234</v>
      </c>
      <c r="F14100" s="2" t="str">
        <f>HYPERLINK("http://www.otzar.org/book.asp?10340","זכרון ישראל")</f>
        <v>זכרון ישראל</v>
      </c>
    </row>
    <row r="14101" spans="1:6" x14ac:dyDescent="0.2">
      <c r="A14101" t="s">
        <v>23701</v>
      </c>
      <c r="B14101" t="s">
        <v>23703</v>
      </c>
      <c r="C14101" t="s">
        <v>946</v>
      </c>
      <c r="D14101" t="s">
        <v>267</v>
      </c>
      <c r="E14101" t="s">
        <v>579</v>
      </c>
      <c r="F14101" s="2" t="str">
        <f>HYPERLINK("http://www.otzar.org/book.asp?18744","זכרון ישראל")</f>
        <v>זכרון ישראל</v>
      </c>
    </row>
    <row r="14102" spans="1:6" x14ac:dyDescent="0.2">
      <c r="A14102" t="s">
        <v>23701</v>
      </c>
      <c r="B14102" t="s">
        <v>23704</v>
      </c>
      <c r="C14102" t="s">
        <v>20</v>
      </c>
      <c r="D14102" t="s">
        <v>14</v>
      </c>
      <c r="E14102" t="s">
        <v>158</v>
      </c>
      <c r="F14102" s="2" t="str">
        <f>HYPERLINK("http://www.otzar.org/book.asp?163815","זכרון ישראל")</f>
        <v>זכרון ישראל</v>
      </c>
    </row>
    <row r="14103" spans="1:6" x14ac:dyDescent="0.2">
      <c r="A14103" t="s">
        <v>23705</v>
      </c>
      <c r="B14103" t="s">
        <v>11962</v>
      </c>
      <c r="C14103" t="s">
        <v>2617</v>
      </c>
      <c r="D14103" t="s">
        <v>267</v>
      </c>
      <c r="E14103" t="s">
        <v>154</v>
      </c>
      <c r="F14103" s="2" t="str">
        <f>HYPERLINK("http://www.otzar.org/book.asp?100906","זכרון כהונה")</f>
        <v>זכרון כהונה</v>
      </c>
    </row>
    <row r="14104" spans="1:6" x14ac:dyDescent="0.2">
      <c r="A14104" t="s">
        <v>23706</v>
      </c>
      <c r="B14104" t="s">
        <v>23707</v>
      </c>
      <c r="C14104" t="s">
        <v>23</v>
      </c>
      <c r="D14104" t="s">
        <v>14</v>
      </c>
      <c r="E14104" t="s">
        <v>144</v>
      </c>
      <c r="F14104" s="2" t="str">
        <f>HYPERLINK("http://www.otzar.org/book.asp?191767","זכרון כהן")</f>
        <v>זכרון כהן</v>
      </c>
    </row>
    <row r="14105" spans="1:6" x14ac:dyDescent="0.2">
      <c r="A14105" t="s">
        <v>23708</v>
      </c>
      <c r="B14105" t="s">
        <v>23709</v>
      </c>
      <c r="C14105" t="s">
        <v>1163</v>
      </c>
      <c r="D14105" t="s">
        <v>1163</v>
      </c>
      <c r="E14105" t="s">
        <v>15</v>
      </c>
      <c r="F14105" s="2" t="str">
        <f>HYPERLINK("http://www.otzar.org/book.asp?165838","זכרון לבני ישראל (כתב יד)")</f>
        <v>זכרון לבני ישראל (כתב יד)</v>
      </c>
    </row>
    <row r="14106" spans="1:6" x14ac:dyDescent="0.2">
      <c r="A14106" t="s">
        <v>23710</v>
      </c>
      <c r="B14106" t="s">
        <v>4574</v>
      </c>
      <c r="C14106" t="s">
        <v>1679</v>
      </c>
      <c r="D14106" t="s">
        <v>12235</v>
      </c>
      <c r="E14106" t="s">
        <v>241</v>
      </c>
      <c r="F14106" s="2" t="str">
        <f>HYPERLINK("http://www.otzar.org/book.asp?101051","זכרון לבני ישראל - 2 כר'")</f>
        <v>זכרון לבני ישראל - 2 כר'</v>
      </c>
    </row>
    <row r="14107" spans="1:6" x14ac:dyDescent="0.2">
      <c r="A14107" t="s">
        <v>23711</v>
      </c>
      <c r="B14107" t="s">
        <v>23709</v>
      </c>
      <c r="C14107" t="s">
        <v>3475</v>
      </c>
      <c r="D14107" t="s">
        <v>23712</v>
      </c>
      <c r="E14107" t="s">
        <v>15</v>
      </c>
      <c r="F14107" s="2" t="str">
        <f>HYPERLINK("http://www.otzar.org/book.asp?143903","זכרון לבני ישראל")</f>
        <v>זכרון לבני ישראל</v>
      </c>
    </row>
    <row r="14108" spans="1:6" x14ac:dyDescent="0.2">
      <c r="A14108" t="s">
        <v>23713</v>
      </c>
      <c r="B14108" t="s">
        <v>552</v>
      </c>
      <c r="C14108" t="s">
        <v>919</v>
      </c>
      <c r="D14108" t="s">
        <v>1974</v>
      </c>
      <c r="E14108" t="s">
        <v>202</v>
      </c>
      <c r="F14108" s="2" t="str">
        <f>HYPERLINK("http://www.otzar.org/book.asp?13077","זכרון לדוד [וין]")</f>
        <v>זכרון לדוד [וין]</v>
      </c>
    </row>
    <row r="14109" spans="1:6" x14ac:dyDescent="0.2">
      <c r="A14109" t="s">
        <v>23714</v>
      </c>
      <c r="B14109" t="s">
        <v>23715</v>
      </c>
      <c r="C14109" t="s">
        <v>433</v>
      </c>
      <c r="D14109" t="s">
        <v>27</v>
      </c>
      <c r="E14109" t="s">
        <v>144</v>
      </c>
      <c r="F14109" s="2" t="str">
        <f>HYPERLINK("http://www.otzar.org/book.asp?174572","זכרון לדוד")</f>
        <v>זכרון לדוד</v>
      </c>
    </row>
    <row r="14110" spans="1:6" x14ac:dyDescent="0.2">
      <c r="A14110" t="s">
        <v>23716</v>
      </c>
      <c r="B14110" t="s">
        <v>552</v>
      </c>
      <c r="C14110" t="s">
        <v>1811</v>
      </c>
      <c r="D14110" t="s">
        <v>118</v>
      </c>
      <c r="E14110" t="s">
        <v>202</v>
      </c>
      <c r="F14110" s="2" t="str">
        <f>HYPERLINK("http://www.otzar.org/book.asp?12963","זכרון לוי")</f>
        <v>זכרון לוי</v>
      </c>
    </row>
    <row r="14111" spans="1:6" x14ac:dyDescent="0.2">
      <c r="A14111" t="s">
        <v>23717</v>
      </c>
      <c r="B14111" t="s">
        <v>732</v>
      </c>
      <c r="C14111" t="s">
        <v>9952</v>
      </c>
      <c r="D14111" t="s">
        <v>27</v>
      </c>
      <c r="E14111" t="s">
        <v>199</v>
      </c>
      <c r="F14111" s="2" t="str">
        <f>HYPERLINK("http://www.otzar.org/book.asp?163876","זכרון לחובבים הראשונים - 18 כר'")</f>
        <v>זכרון לחובבים הראשונים - 18 כר'</v>
      </c>
    </row>
    <row r="14112" spans="1:6" x14ac:dyDescent="0.2">
      <c r="A14112" t="s">
        <v>23718</v>
      </c>
      <c r="B14112" t="s">
        <v>23719</v>
      </c>
      <c r="C14112" t="s">
        <v>777</v>
      </c>
      <c r="D14112" t="s">
        <v>9</v>
      </c>
      <c r="E14112" t="s">
        <v>4104</v>
      </c>
      <c r="F14112" s="2" t="str">
        <f>HYPERLINK("http://www.otzar.org/book.asp?14745","זכרון לחיים")</f>
        <v>זכרון לחיים</v>
      </c>
    </row>
    <row r="14113" spans="1:6" x14ac:dyDescent="0.2">
      <c r="A14113" t="s">
        <v>23720</v>
      </c>
      <c r="B14113" t="s">
        <v>23721</v>
      </c>
      <c r="C14113" t="s">
        <v>1047</v>
      </c>
      <c r="D14113" t="s">
        <v>283</v>
      </c>
      <c r="E14113" t="s">
        <v>158</v>
      </c>
      <c r="F14113" s="2" t="str">
        <f>HYPERLINK("http://www.otzar.org/book.asp?172715","זכרון לטוביה")</f>
        <v>זכרון לטוביה</v>
      </c>
    </row>
    <row r="14114" spans="1:6" x14ac:dyDescent="0.2">
      <c r="A14114" t="s">
        <v>23722</v>
      </c>
      <c r="B14114" t="s">
        <v>206</v>
      </c>
      <c r="C14114" t="s">
        <v>20</v>
      </c>
      <c r="D14114" t="s">
        <v>90</v>
      </c>
      <c r="E14114" t="s">
        <v>202</v>
      </c>
      <c r="F14114" s="2" t="str">
        <f>HYPERLINK("http://www.otzar.org/book.asp?629689","זכרון לידיה")</f>
        <v>זכרון לידיה</v>
      </c>
    </row>
    <row r="14115" spans="1:6" x14ac:dyDescent="0.2">
      <c r="A14115" t="s">
        <v>23723</v>
      </c>
      <c r="B14115" t="s">
        <v>23724</v>
      </c>
      <c r="C14115" t="s">
        <v>422</v>
      </c>
      <c r="D14115" t="s">
        <v>14</v>
      </c>
      <c r="E14115" t="s">
        <v>803</v>
      </c>
      <c r="F14115" s="2" t="str">
        <f>HYPERLINK("http://www.otzar.org/book.asp?160188","זכרון ליהודה")</f>
        <v>זכרון ליהודה</v>
      </c>
    </row>
    <row r="14116" spans="1:6" x14ac:dyDescent="0.2">
      <c r="A14116" t="s">
        <v>23725</v>
      </c>
      <c r="B14116" t="s">
        <v>552</v>
      </c>
      <c r="C14116" t="s">
        <v>1208</v>
      </c>
      <c r="D14116" t="s">
        <v>2347</v>
      </c>
      <c r="E14116" t="s">
        <v>23726</v>
      </c>
      <c r="F14116" s="2" t="str">
        <f>HYPERLINK("http://www.otzar.org/book.asp?15039","זכרון לירחמיאל [דושינסקי]")</f>
        <v>זכרון לירחמיאל [דושינסקי]</v>
      </c>
    </row>
    <row r="14117" spans="1:6" x14ac:dyDescent="0.2">
      <c r="A14117" t="s">
        <v>23727</v>
      </c>
      <c r="B14117" t="s">
        <v>23728</v>
      </c>
      <c r="C14117" t="s">
        <v>558</v>
      </c>
      <c r="D14117" t="s">
        <v>23729</v>
      </c>
      <c r="E14117" t="s">
        <v>295</v>
      </c>
      <c r="F14117" s="2" t="str">
        <f>HYPERLINK("http://www.otzar.org/book.asp?23686","זכרון לישראל")</f>
        <v>זכרון לישראל</v>
      </c>
    </row>
    <row r="14118" spans="1:6" x14ac:dyDescent="0.2">
      <c r="A14118" t="s">
        <v>23730</v>
      </c>
      <c r="B14118" t="s">
        <v>23731</v>
      </c>
      <c r="C14118" t="s">
        <v>1047</v>
      </c>
      <c r="D14118" t="s">
        <v>27</v>
      </c>
      <c r="E14118" t="s">
        <v>158</v>
      </c>
      <c r="F14118" s="2" t="str">
        <f>HYPERLINK("http://www.otzar.org/book.asp?24421","זכרון למעשה בראשית")</f>
        <v>זכרון למעשה בראשית</v>
      </c>
    </row>
    <row r="14119" spans="1:6" x14ac:dyDescent="0.2">
      <c r="A14119" t="s">
        <v>23732</v>
      </c>
      <c r="B14119" t="s">
        <v>23733</v>
      </c>
      <c r="C14119" t="s">
        <v>87</v>
      </c>
      <c r="D14119" t="s">
        <v>2458</v>
      </c>
      <c r="E14119" t="s">
        <v>202</v>
      </c>
      <c r="F14119" s="2" t="str">
        <f>HYPERLINK("http://www.otzar.org/book.asp?175837","זכרון למשה בן ציון")</f>
        <v>זכרון למשה בן ציון</v>
      </c>
    </row>
    <row r="14120" spans="1:6" x14ac:dyDescent="0.2">
      <c r="A14120" t="s">
        <v>23734</v>
      </c>
      <c r="B14120" t="s">
        <v>23735</v>
      </c>
      <c r="C14120" t="s">
        <v>843</v>
      </c>
      <c r="D14120" t="s">
        <v>80</v>
      </c>
      <c r="E14120" t="s">
        <v>202</v>
      </c>
      <c r="F14120" s="2" t="str">
        <f>HYPERLINK("http://www.otzar.org/book.asp?13025","זכרון למשה")</f>
        <v>זכרון למשה</v>
      </c>
    </row>
    <row r="14121" spans="1:6" x14ac:dyDescent="0.2">
      <c r="A14121" t="s">
        <v>23734</v>
      </c>
      <c r="B14121" t="s">
        <v>23736</v>
      </c>
      <c r="C14121" t="s">
        <v>103</v>
      </c>
      <c r="D14121" t="s">
        <v>657</v>
      </c>
      <c r="E14121" t="s">
        <v>202</v>
      </c>
      <c r="F14121" s="2" t="str">
        <f>HYPERLINK("http://www.otzar.org/book.asp?196730","זכרון למשה")</f>
        <v>זכרון למשה</v>
      </c>
    </row>
    <row r="14122" spans="1:6" x14ac:dyDescent="0.2">
      <c r="A14122" t="s">
        <v>23734</v>
      </c>
      <c r="B14122" t="s">
        <v>552</v>
      </c>
      <c r="C14122" t="s">
        <v>168</v>
      </c>
      <c r="D14122" t="s">
        <v>14</v>
      </c>
      <c r="E14122" t="s">
        <v>202</v>
      </c>
      <c r="F14122" s="2" t="str">
        <f>HYPERLINK("http://www.otzar.org/book.asp?175840","זכרון למשה")</f>
        <v>זכרון למשה</v>
      </c>
    </row>
    <row r="14123" spans="1:6" x14ac:dyDescent="0.2">
      <c r="A14123" t="s">
        <v>23734</v>
      </c>
      <c r="B14123" t="s">
        <v>23737</v>
      </c>
      <c r="C14123" t="s">
        <v>266</v>
      </c>
      <c r="D14123" t="s">
        <v>5209</v>
      </c>
      <c r="E14123" t="s">
        <v>1211</v>
      </c>
      <c r="F14123" s="2" t="str">
        <f>HYPERLINK("http://www.otzar.org/book.asp?147073","זכרון למשה")</f>
        <v>זכרון למשה</v>
      </c>
    </row>
    <row r="14124" spans="1:6" x14ac:dyDescent="0.2">
      <c r="A14124" t="s">
        <v>23738</v>
      </c>
      <c r="B14124" t="s">
        <v>285</v>
      </c>
      <c r="C14124" t="s">
        <v>23739</v>
      </c>
      <c r="D14124" t="s">
        <v>23740</v>
      </c>
      <c r="F14124" s="2" t="str">
        <f>HYPERLINK("http://www.otzar.org/book.asp?620074","זכרון למשה - 2 כר'")</f>
        <v>זכרון למשה - 2 כר'</v>
      </c>
    </row>
    <row r="14125" spans="1:6" x14ac:dyDescent="0.2">
      <c r="A14125" t="s">
        <v>23741</v>
      </c>
      <c r="B14125" t="s">
        <v>18840</v>
      </c>
      <c r="C14125" t="s">
        <v>168</v>
      </c>
      <c r="D14125" t="s">
        <v>14</v>
      </c>
      <c r="E14125" t="s">
        <v>213</v>
      </c>
      <c r="F14125" s="2" t="str">
        <f>HYPERLINK("http://www.otzar.org/book.asp?152381","זכרון לנפש &lt;מכון הכתב&gt;")</f>
        <v>זכרון לנפש &lt;מכון הכתב&gt;</v>
      </c>
    </row>
    <row r="14126" spans="1:6" x14ac:dyDescent="0.2">
      <c r="A14126" t="s">
        <v>23742</v>
      </c>
      <c r="B14126" t="s">
        <v>1554</v>
      </c>
      <c r="C14126" t="s">
        <v>624</v>
      </c>
      <c r="D14126" t="s">
        <v>52</v>
      </c>
      <c r="E14126" t="s">
        <v>144</v>
      </c>
      <c r="F14126" s="2" t="str">
        <f>HYPERLINK("http://www.otzar.org/book.asp?160557","זכרון לנפש מלכה")</f>
        <v>זכרון לנפש מלכה</v>
      </c>
    </row>
    <row r="14127" spans="1:6" x14ac:dyDescent="0.2">
      <c r="A14127" t="s">
        <v>23743</v>
      </c>
      <c r="B14127" t="s">
        <v>552</v>
      </c>
      <c r="C14127" t="s">
        <v>989</v>
      </c>
      <c r="D14127" t="s">
        <v>216</v>
      </c>
      <c r="E14127" t="s">
        <v>119</v>
      </c>
      <c r="F14127" s="2" t="str">
        <f>HYPERLINK("http://www.otzar.org/book.asp?11588","זכרון לקדושי בטלאן")</f>
        <v>זכרון לקדושי בטלאן</v>
      </c>
    </row>
    <row r="14128" spans="1:6" x14ac:dyDescent="0.2">
      <c r="A14128" t="s">
        <v>23744</v>
      </c>
      <c r="B14128" t="s">
        <v>23745</v>
      </c>
      <c r="C14128" t="s">
        <v>23746</v>
      </c>
      <c r="D14128" t="s">
        <v>23747</v>
      </c>
      <c r="E14128" t="s">
        <v>154</v>
      </c>
      <c r="F14128" s="2" t="str">
        <f>HYPERLINK("http://www.otzar.org/book.asp?10440","זכרון לראשונים וגם לאחרונים - 2 כר'")</f>
        <v>זכרון לראשונים וגם לאחרונים - 2 כר'</v>
      </c>
    </row>
    <row r="14129" spans="1:6" x14ac:dyDescent="0.2">
      <c r="A14129" t="s">
        <v>23748</v>
      </c>
      <c r="B14129" t="s">
        <v>23749</v>
      </c>
      <c r="C14129" t="s">
        <v>473</v>
      </c>
      <c r="D14129" t="s">
        <v>5050</v>
      </c>
      <c r="E14129" t="s">
        <v>733</v>
      </c>
      <c r="F14129" s="2" t="str">
        <f>HYPERLINK("http://www.otzar.org/book.asp?167928","זכרון לראשונים")</f>
        <v>זכרון לראשונים</v>
      </c>
    </row>
    <row r="14130" spans="1:6" x14ac:dyDescent="0.2">
      <c r="A14130" t="s">
        <v>23748</v>
      </c>
      <c r="B14130" t="s">
        <v>4975</v>
      </c>
      <c r="C14130" t="s">
        <v>496</v>
      </c>
      <c r="D14130" t="s">
        <v>1966</v>
      </c>
      <c r="E14130" t="s">
        <v>119</v>
      </c>
      <c r="F14130" s="2" t="str">
        <f>HYPERLINK("http://www.otzar.org/book.asp?18745","זכרון לראשונים")</f>
        <v>זכרון לראשונים</v>
      </c>
    </row>
    <row r="14131" spans="1:6" x14ac:dyDescent="0.2">
      <c r="A14131" t="s">
        <v>23750</v>
      </c>
      <c r="B14131" t="s">
        <v>4077</v>
      </c>
      <c r="C14131" t="s">
        <v>1169</v>
      </c>
      <c r="D14131" t="s">
        <v>27</v>
      </c>
      <c r="E14131" t="s">
        <v>140</v>
      </c>
      <c r="F14131" s="2" t="str">
        <f>HYPERLINK("http://www.otzar.org/book.asp?15422","זכרון לראשונים - 2 כר'")</f>
        <v>זכרון לראשונים - 2 כר'</v>
      </c>
    </row>
    <row r="14132" spans="1:6" x14ac:dyDescent="0.2">
      <c r="A14132" t="s">
        <v>23748</v>
      </c>
      <c r="B14132" t="s">
        <v>23751</v>
      </c>
      <c r="C14132" t="s">
        <v>473</v>
      </c>
      <c r="D14132" t="s">
        <v>6238</v>
      </c>
      <c r="E14132" t="s">
        <v>119</v>
      </c>
      <c r="F14132" s="2" t="str">
        <f>HYPERLINK("http://www.otzar.org/book.asp?19099","זכרון לראשונים")</f>
        <v>זכרון לראשונים</v>
      </c>
    </row>
    <row r="14133" spans="1:6" x14ac:dyDescent="0.2">
      <c r="A14133" t="s">
        <v>23752</v>
      </c>
      <c r="B14133" t="s">
        <v>1007</v>
      </c>
      <c r="C14133" t="s">
        <v>496</v>
      </c>
      <c r="D14133" t="s">
        <v>280</v>
      </c>
      <c r="E14133" t="s">
        <v>786</v>
      </c>
      <c r="F14133" s="2" t="str">
        <f>HYPERLINK("http://www.otzar.org/book.asp?149950","זכרון לריב""א")</f>
        <v>זכרון לריב"א</v>
      </c>
    </row>
    <row r="14134" spans="1:6" x14ac:dyDescent="0.2">
      <c r="A14134" t="s">
        <v>5644</v>
      </c>
      <c r="B14134" t="s">
        <v>23753</v>
      </c>
      <c r="C14134" t="s">
        <v>37</v>
      </c>
      <c r="D14134" t="s">
        <v>152</v>
      </c>
      <c r="E14134" t="s">
        <v>15</v>
      </c>
      <c r="F14134" s="2" t="str">
        <f>HYPERLINK("http://www.otzar.org/book.asp?189211","זכרון מאיר")</f>
        <v>זכרון מאיר</v>
      </c>
    </row>
    <row r="14135" spans="1:6" x14ac:dyDescent="0.2">
      <c r="A14135" t="s">
        <v>23754</v>
      </c>
      <c r="B14135" t="s">
        <v>7932</v>
      </c>
      <c r="C14135" t="s">
        <v>332</v>
      </c>
      <c r="D14135" t="s">
        <v>14</v>
      </c>
      <c r="E14135" t="s">
        <v>234</v>
      </c>
      <c r="F14135" s="2" t="str">
        <f>HYPERLINK("http://www.otzar.org/book.asp?25703","זכרון מאיר - 3 כר'")</f>
        <v>זכרון מאיר - 3 כר'</v>
      </c>
    </row>
    <row r="14136" spans="1:6" x14ac:dyDescent="0.2">
      <c r="A14136" t="s">
        <v>5644</v>
      </c>
      <c r="B14136" t="s">
        <v>23755</v>
      </c>
      <c r="C14136" t="s">
        <v>20</v>
      </c>
      <c r="D14136" t="s">
        <v>90</v>
      </c>
      <c r="E14136" t="s">
        <v>573</v>
      </c>
      <c r="F14136" s="2" t="str">
        <f>HYPERLINK("http://www.otzar.org/book.asp?189437","זכרון מאיר")</f>
        <v>זכרון מאיר</v>
      </c>
    </row>
    <row r="14137" spans="1:6" x14ac:dyDescent="0.2">
      <c r="A14137" t="s">
        <v>5644</v>
      </c>
      <c r="B14137" t="s">
        <v>257</v>
      </c>
      <c r="C14137" t="s">
        <v>20</v>
      </c>
      <c r="D14137" t="s">
        <v>52</v>
      </c>
      <c r="E14137" t="s">
        <v>8542</v>
      </c>
      <c r="F14137" s="2" t="str">
        <f>HYPERLINK("http://www.otzar.org/book.asp?191104","זכרון מאיר")</f>
        <v>זכרון מאיר</v>
      </c>
    </row>
    <row r="14138" spans="1:6" x14ac:dyDescent="0.2">
      <c r="A14138" t="s">
        <v>23756</v>
      </c>
      <c r="B14138" t="s">
        <v>23757</v>
      </c>
      <c r="C14138" t="s">
        <v>37</v>
      </c>
      <c r="D14138" t="s">
        <v>412</v>
      </c>
      <c r="F14138" s="2" t="str">
        <f>HYPERLINK("http://www.otzar.org/book.asp?183245","זכרון מאיר - ספר זכרון")</f>
        <v>זכרון מאיר - ספר זכרון</v>
      </c>
    </row>
    <row r="14139" spans="1:6" x14ac:dyDescent="0.2">
      <c r="A14139" t="s">
        <v>23756</v>
      </c>
      <c r="B14139" t="s">
        <v>23758</v>
      </c>
      <c r="C14139" t="s">
        <v>17</v>
      </c>
      <c r="D14139" t="s">
        <v>52</v>
      </c>
      <c r="E14139" t="s">
        <v>202</v>
      </c>
      <c r="F14139" s="2" t="str">
        <f>HYPERLINK("http://www.otzar.org/book.asp?161248","זכרון מאיר - ספר זכרון")</f>
        <v>זכרון מאיר - ספר זכרון</v>
      </c>
    </row>
    <row r="14140" spans="1:6" x14ac:dyDescent="0.2">
      <c r="A14140" t="s">
        <v>5644</v>
      </c>
      <c r="B14140" t="s">
        <v>23759</v>
      </c>
      <c r="C14140" t="s">
        <v>624</v>
      </c>
      <c r="D14140" t="s">
        <v>14</v>
      </c>
      <c r="E14140" t="s">
        <v>199</v>
      </c>
      <c r="F14140" s="2" t="str">
        <f>HYPERLINK("http://www.otzar.org/book.asp?162475","זכרון מאיר")</f>
        <v>זכרון מאיר</v>
      </c>
    </row>
    <row r="14141" spans="1:6" x14ac:dyDescent="0.2">
      <c r="A14141" t="s">
        <v>5644</v>
      </c>
      <c r="B14141" t="s">
        <v>20258</v>
      </c>
      <c r="C14141" t="s">
        <v>286</v>
      </c>
      <c r="D14141" t="s">
        <v>27</v>
      </c>
      <c r="E14141" t="s">
        <v>202</v>
      </c>
      <c r="F14141" s="2" t="str">
        <f>HYPERLINK("http://www.otzar.org/book.asp?166625","זכרון מאיר")</f>
        <v>זכרון מאיר</v>
      </c>
    </row>
    <row r="14142" spans="1:6" x14ac:dyDescent="0.2">
      <c r="A14142" t="s">
        <v>23760</v>
      </c>
      <c r="B14142" t="s">
        <v>21732</v>
      </c>
      <c r="C14142" t="s">
        <v>114</v>
      </c>
      <c r="D14142" t="s">
        <v>52</v>
      </c>
      <c r="F14142" s="2" t="str">
        <f>HYPERLINK("http://www.otzar.org/book.asp?630767","זכרון מאיר - ב")</f>
        <v>זכרון מאיר - ב</v>
      </c>
    </row>
    <row r="14143" spans="1:6" x14ac:dyDescent="0.2">
      <c r="A14143" t="s">
        <v>5644</v>
      </c>
      <c r="B14143" t="s">
        <v>1005</v>
      </c>
      <c r="C14143" t="s">
        <v>20</v>
      </c>
      <c r="D14143" t="s">
        <v>1550</v>
      </c>
      <c r="E14143" t="s">
        <v>202</v>
      </c>
      <c r="F14143" s="2" t="str">
        <f>HYPERLINK("http://www.otzar.org/book.asp?175954","זכרון מאיר")</f>
        <v>זכרון מאיר</v>
      </c>
    </row>
    <row r="14144" spans="1:6" x14ac:dyDescent="0.2">
      <c r="A14144" t="s">
        <v>23761</v>
      </c>
      <c r="B14144" t="s">
        <v>23762</v>
      </c>
      <c r="C14144" t="s">
        <v>1640</v>
      </c>
      <c r="D14144" t="s">
        <v>1356</v>
      </c>
      <c r="E14144" t="s">
        <v>158</v>
      </c>
      <c r="F14144" s="2" t="str">
        <f>HYPERLINK("http://www.otzar.org/book.asp?5829","זכרון מאיר - 4 כר'")</f>
        <v>זכרון מאיר - 4 כר'</v>
      </c>
    </row>
    <row r="14145" spans="1:6" x14ac:dyDescent="0.2">
      <c r="A14145" t="s">
        <v>5644</v>
      </c>
      <c r="B14145" t="s">
        <v>23763</v>
      </c>
      <c r="C14145" t="s">
        <v>87</v>
      </c>
      <c r="D14145" t="s">
        <v>5130</v>
      </c>
      <c r="E14145" t="s">
        <v>23764</v>
      </c>
      <c r="F14145" s="2" t="str">
        <f>HYPERLINK("http://www.otzar.org/book.asp?163304","זכרון מאיר")</f>
        <v>זכרון מאיר</v>
      </c>
    </row>
    <row r="14146" spans="1:6" x14ac:dyDescent="0.2">
      <c r="A14146" t="s">
        <v>5644</v>
      </c>
      <c r="B14146" t="s">
        <v>3760</v>
      </c>
      <c r="C14146" t="s">
        <v>482</v>
      </c>
      <c r="D14146" t="s">
        <v>9</v>
      </c>
      <c r="F14146" s="2" t="str">
        <f>HYPERLINK("http://www.otzar.org/book.asp?612650","זכרון מאיר")</f>
        <v>זכרון מאיר</v>
      </c>
    </row>
    <row r="14147" spans="1:6" x14ac:dyDescent="0.2">
      <c r="A14147" t="s">
        <v>23765</v>
      </c>
      <c r="B14147" t="s">
        <v>23766</v>
      </c>
      <c r="C14147" t="s">
        <v>454</v>
      </c>
      <c r="D14147" t="s">
        <v>14</v>
      </c>
      <c r="E14147" t="s">
        <v>2071</v>
      </c>
      <c r="F14147" s="2" t="str">
        <f>HYPERLINK("http://www.otzar.org/book.asp?174017","זכרון מאיר - קרן ישועה - זכרון יוסף")</f>
        <v>זכרון מאיר - קרן ישועה - זכרון יוסף</v>
      </c>
    </row>
    <row r="14148" spans="1:6" x14ac:dyDescent="0.2">
      <c r="A14148" t="s">
        <v>23767</v>
      </c>
      <c r="B14148" t="s">
        <v>23768</v>
      </c>
      <c r="C14148" t="s">
        <v>37</v>
      </c>
      <c r="D14148" t="s">
        <v>14</v>
      </c>
      <c r="F14148" s="2" t="str">
        <f>HYPERLINK("http://www.otzar.org/book.asp?197090","זכרון מאיר - מועדים ב")</f>
        <v>זכרון מאיר - מועדים ב</v>
      </c>
    </row>
    <row r="14149" spans="1:6" x14ac:dyDescent="0.2">
      <c r="A14149" t="s">
        <v>23769</v>
      </c>
      <c r="B14149" t="s">
        <v>23770</v>
      </c>
      <c r="C14149" t="s">
        <v>106</v>
      </c>
      <c r="D14149" t="s">
        <v>216</v>
      </c>
      <c r="E14149" t="s">
        <v>23771</v>
      </c>
      <c r="F14149" s="2" t="str">
        <f>HYPERLINK("http://www.otzar.org/book.asp?12828","זכרון מהרי""ו")</f>
        <v>זכרון מהרי"ו</v>
      </c>
    </row>
    <row r="14150" spans="1:6" x14ac:dyDescent="0.2">
      <c r="A14150" t="s">
        <v>23772</v>
      </c>
      <c r="B14150" t="s">
        <v>1750</v>
      </c>
      <c r="C14150" t="s">
        <v>366</v>
      </c>
      <c r="D14150" t="s">
        <v>90</v>
      </c>
      <c r="F14150" s="2" t="str">
        <f>HYPERLINK("http://www.otzar.org/book.asp?616716","זכרון מיכאל יוסף")</f>
        <v>זכרון מיכאל יוסף</v>
      </c>
    </row>
    <row r="14151" spans="1:6" x14ac:dyDescent="0.2">
      <c r="A14151" t="s">
        <v>23773</v>
      </c>
      <c r="B14151" t="s">
        <v>1750</v>
      </c>
      <c r="C14151" t="s">
        <v>20</v>
      </c>
      <c r="D14151" t="s">
        <v>6283</v>
      </c>
      <c r="E14151" t="s">
        <v>202</v>
      </c>
      <c r="F14151" s="2" t="str">
        <f>HYPERLINK("http://www.otzar.org/book.asp?105420","זכרון מיכאל - 22 כר'")</f>
        <v>זכרון מיכאל - 22 כר'</v>
      </c>
    </row>
    <row r="14152" spans="1:6" x14ac:dyDescent="0.2">
      <c r="A14152" t="s">
        <v>23774</v>
      </c>
      <c r="B14152" t="s">
        <v>5253</v>
      </c>
      <c r="C14152" t="s">
        <v>438</v>
      </c>
      <c r="D14152" t="s">
        <v>412</v>
      </c>
      <c r="E14152" t="s">
        <v>10</v>
      </c>
      <c r="F14152" s="2" t="str">
        <f>HYPERLINK("http://www.otzar.org/book.asp?8941","זכרון מלך - א")</f>
        <v>זכרון מלך - א</v>
      </c>
    </row>
    <row r="14153" spans="1:6" x14ac:dyDescent="0.2">
      <c r="A14153" t="s">
        <v>23775</v>
      </c>
      <c r="B14153" t="s">
        <v>23776</v>
      </c>
      <c r="C14153" t="s">
        <v>1458</v>
      </c>
      <c r="D14153" t="s">
        <v>267</v>
      </c>
      <c r="E14153" t="s">
        <v>20320</v>
      </c>
      <c r="F14153" s="2" t="str">
        <f>HYPERLINK("http://www.otzar.org/book.asp?102436","זכרון מנחם")</f>
        <v>זכרון מנחם</v>
      </c>
    </row>
    <row r="14154" spans="1:6" x14ac:dyDescent="0.2">
      <c r="A14154" t="s">
        <v>23775</v>
      </c>
      <c r="B14154" t="s">
        <v>14731</v>
      </c>
      <c r="C14154" t="s">
        <v>20</v>
      </c>
      <c r="D14154" t="s">
        <v>14</v>
      </c>
      <c r="F14154" s="2" t="str">
        <f>HYPERLINK("http://www.otzar.org/book.asp?619815","זכרון מנחם")</f>
        <v>זכרון מנחם</v>
      </c>
    </row>
    <row r="14155" spans="1:6" x14ac:dyDescent="0.2">
      <c r="A14155" t="s">
        <v>23775</v>
      </c>
      <c r="B14155" t="s">
        <v>14917</v>
      </c>
      <c r="C14155" t="s">
        <v>919</v>
      </c>
      <c r="D14155" t="s">
        <v>412</v>
      </c>
      <c r="E14155" t="s">
        <v>23777</v>
      </c>
      <c r="F14155" s="2" t="str">
        <f>HYPERLINK("http://www.otzar.org/book.asp?604294","זכרון מנחם")</f>
        <v>זכרון מנחם</v>
      </c>
    </row>
    <row r="14156" spans="1:6" x14ac:dyDescent="0.2">
      <c r="A14156" t="s">
        <v>23775</v>
      </c>
      <c r="B14156" t="s">
        <v>23778</v>
      </c>
      <c r="C14156" t="s">
        <v>581</v>
      </c>
      <c r="D14156" t="s">
        <v>283</v>
      </c>
      <c r="E14156" t="s">
        <v>154</v>
      </c>
      <c r="F14156" s="2" t="str">
        <f>HYPERLINK("http://www.otzar.org/book.asp?18746","זכרון מנחם")</f>
        <v>זכרון מנחם</v>
      </c>
    </row>
    <row r="14157" spans="1:6" x14ac:dyDescent="0.2">
      <c r="A14157" t="s">
        <v>23775</v>
      </c>
      <c r="B14157" t="s">
        <v>13019</v>
      </c>
      <c r="C14157" t="s">
        <v>103</v>
      </c>
      <c r="D14157" t="s">
        <v>118</v>
      </c>
      <c r="E14157" t="s">
        <v>15</v>
      </c>
      <c r="F14157" s="2" t="str">
        <f>HYPERLINK("http://www.otzar.org/book.asp?161536","זכרון מנחם")</f>
        <v>זכרון מנחם</v>
      </c>
    </row>
    <row r="14158" spans="1:6" x14ac:dyDescent="0.2">
      <c r="A14158" t="s">
        <v>23775</v>
      </c>
      <c r="B14158" t="s">
        <v>23779</v>
      </c>
      <c r="C14158" t="s">
        <v>1374</v>
      </c>
      <c r="D14158" t="s">
        <v>283</v>
      </c>
      <c r="E14158" t="s">
        <v>144</v>
      </c>
      <c r="F14158" s="2" t="str">
        <f>HYPERLINK("http://www.otzar.org/book.asp?18747","זכרון מנחם")</f>
        <v>זכרון מנחם</v>
      </c>
    </row>
    <row r="14159" spans="1:6" x14ac:dyDescent="0.2">
      <c r="A14159" t="s">
        <v>23775</v>
      </c>
      <c r="B14159" t="s">
        <v>23780</v>
      </c>
      <c r="C14159" t="s">
        <v>279</v>
      </c>
      <c r="D14159" t="s">
        <v>403</v>
      </c>
      <c r="E14159" t="s">
        <v>23781</v>
      </c>
      <c r="F14159" s="2" t="str">
        <f>HYPERLINK("http://www.otzar.org/book.asp?100907","זכרון מנחם")</f>
        <v>זכרון מנחם</v>
      </c>
    </row>
    <row r="14160" spans="1:6" x14ac:dyDescent="0.2">
      <c r="A14160" t="s">
        <v>23775</v>
      </c>
      <c r="B14160" t="s">
        <v>23782</v>
      </c>
      <c r="C14160" t="s">
        <v>1458</v>
      </c>
      <c r="D14160" t="s">
        <v>283</v>
      </c>
      <c r="E14160" t="s">
        <v>23783</v>
      </c>
      <c r="F14160" s="2" t="str">
        <f>HYPERLINK("http://www.otzar.org/book.asp?19392","זכרון מנחם")</f>
        <v>זכרון מנחם</v>
      </c>
    </row>
    <row r="14161" spans="1:6" x14ac:dyDescent="0.2">
      <c r="A14161" t="s">
        <v>23784</v>
      </c>
      <c r="B14161" t="s">
        <v>489</v>
      </c>
      <c r="C14161" t="s">
        <v>785</v>
      </c>
      <c r="D14161" t="s">
        <v>14</v>
      </c>
      <c r="E14161" t="s">
        <v>202</v>
      </c>
      <c r="F14161" s="2" t="str">
        <f>HYPERLINK("http://www.otzar.org/book.asp?160005","זכרון מנחם - 3 כר'")</f>
        <v>זכרון מנחם - 3 כר'</v>
      </c>
    </row>
    <row r="14162" spans="1:6" x14ac:dyDescent="0.2">
      <c r="A14162" t="s">
        <v>23775</v>
      </c>
      <c r="B14162" t="s">
        <v>23785</v>
      </c>
      <c r="C14162" t="s">
        <v>1166</v>
      </c>
      <c r="D14162" t="s">
        <v>379</v>
      </c>
      <c r="E14162" t="s">
        <v>474</v>
      </c>
      <c r="F14162" s="2" t="str">
        <f>HYPERLINK("http://www.otzar.org/book.asp?108330","זכרון מנחם")</f>
        <v>זכרון מנחם</v>
      </c>
    </row>
    <row r="14163" spans="1:6" x14ac:dyDescent="0.2">
      <c r="A14163" t="s">
        <v>23786</v>
      </c>
      <c r="B14163" t="s">
        <v>23787</v>
      </c>
      <c r="C14163" t="s">
        <v>313</v>
      </c>
      <c r="D14163" t="s">
        <v>14</v>
      </c>
      <c r="E14163" t="s">
        <v>714</v>
      </c>
      <c r="F14163" s="2" t="str">
        <f>HYPERLINK("http://www.otzar.org/book.asp?146349","זכרון מנשה")</f>
        <v>זכרון מנשה</v>
      </c>
    </row>
    <row r="14164" spans="1:6" x14ac:dyDescent="0.2">
      <c r="A14164" t="s">
        <v>23788</v>
      </c>
      <c r="B14164" t="s">
        <v>23789</v>
      </c>
      <c r="C14164" t="s">
        <v>6624</v>
      </c>
      <c r="D14164" t="s">
        <v>1023</v>
      </c>
      <c r="E14164" t="s">
        <v>104</v>
      </c>
      <c r="F14164" s="2" t="str">
        <f>HYPERLINK("http://www.otzar.org/book.asp?146842","זכרון מעשה רב")</f>
        <v>זכרון מעשה רב</v>
      </c>
    </row>
    <row r="14165" spans="1:6" x14ac:dyDescent="0.2">
      <c r="A14165" t="s">
        <v>23790</v>
      </c>
      <c r="B14165" t="s">
        <v>23791</v>
      </c>
      <c r="C14165" t="s">
        <v>466</v>
      </c>
      <c r="D14165" t="s">
        <v>52</v>
      </c>
      <c r="E14165" t="s">
        <v>202</v>
      </c>
      <c r="F14165" s="2" t="str">
        <f>HYPERLINK("http://www.otzar.org/book.asp?107324","זכרון מרדכי &lt;לזכר רבי אביגדור מרדכי קרטמן&gt;")</f>
        <v>זכרון מרדכי &lt;לזכר רבי אביגדור מרדכי קרטמן&gt;</v>
      </c>
    </row>
    <row r="14166" spans="1:6" x14ac:dyDescent="0.2">
      <c r="A14166" t="s">
        <v>23792</v>
      </c>
      <c r="B14166" t="s">
        <v>23793</v>
      </c>
      <c r="C14166" t="s">
        <v>20</v>
      </c>
      <c r="D14166" t="s">
        <v>118</v>
      </c>
      <c r="E14166" t="s">
        <v>202</v>
      </c>
      <c r="F14166" s="2" t="str">
        <f>HYPERLINK("http://www.otzar.org/book.asp?160271","זכרון מרדכי מנחם")</f>
        <v>זכרון מרדכי מנחם</v>
      </c>
    </row>
    <row r="14167" spans="1:6" x14ac:dyDescent="0.2">
      <c r="A14167" t="s">
        <v>23794</v>
      </c>
      <c r="B14167" t="s">
        <v>23795</v>
      </c>
      <c r="C14167" t="s">
        <v>523</v>
      </c>
      <c r="D14167" t="s">
        <v>23796</v>
      </c>
      <c r="E14167" t="s">
        <v>144</v>
      </c>
      <c r="F14167" s="2" t="str">
        <f>HYPERLINK("http://www.otzar.org/book.asp?620656","זכרון מרדכי")</f>
        <v>זכרון מרדכי</v>
      </c>
    </row>
    <row r="14168" spans="1:6" x14ac:dyDescent="0.2">
      <c r="A14168" t="s">
        <v>23794</v>
      </c>
      <c r="B14168" t="s">
        <v>1750</v>
      </c>
      <c r="C14168" t="s">
        <v>26</v>
      </c>
      <c r="D14168" t="s">
        <v>2504</v>
      </c>
      <c r="E14168" t="s">
        <v>202</v>
      </c>
      <c r="F14168" s="2" t="str">
        <f>HYPERLINK("http://www.otzar.org/book.asp?106211","זכרון מרדכי")</f>
        <v>זכרון מרדכי</v>
      </c>
    </row>
    <row r="14169" spans="1:6" x14ac:dyDescent="0.2">
      <c r="A14169" t="s">
        <v>23797</v>
      </c>
      <c r="B14169" t="s">
        <v>23798</v>
      </c>
      <c r="C14169" t="s">
        <v>2008</v>
      </c>
      <c r="D14169" t="s">
        <v>27</v>
      </c>
      <c r="E14169" t="s">
        <v>13649</v>
      </c>
      <c r="F14169" s="2" t="str">
        <f>HYPERLINK("http://www.otzar.org/book.asp?7111","זכרון משה אליהו")</f>
        <v>זכרון משה אליהו</v>
      </c>
    </row>
    <row r="14170" spans="1:6" x14ac:dyDescent="0.2">
      <c r="A14170" t="s">
        <v>23799</v>
      </c>
      <c r="B14170" t="s">
        <v>23800</v>
      </c>
      <c r="C14170" t="s">
        <v>1437</v>
      </c>
      <c r="D14170" t="s">
        <v>283</v>
      </c>
      <c r="E14170" t="s">
        <v>5580</v>
      </c>
      <c r="F14170" s="2" t="str">
        <f>HYPERLINK("http://www.otzar.org/book.asp?189324","זכרון משה ומספד מר")</f>
        <v>זכרון משה ומספד מר</v>
      </c>
    </row>
    <row r="14171" spans="1:6" x14ac:dyDescent="0.2">
      <c r="A14171" t="s">
        <v>23801</v>
      </c>
      <c r="B14171" t="s">
        <v>23802</v>
      </c>
      <c r="C14171" t="s">
        <v>23</v>
      </c>
      <c r="D14171" t="s">
        <v>90</v>
      </c>
      <c r="F14171" s="2" t="str">
        <f>HYPERLINK("http://www.otzar.org/book.asp?616154","זכרון משה חיים")</f>
        <v>זכרון משה חיים</v>
      </c>
    </row>
    <row r="14172" spans="1:6" x14ac:dyDescent="0.2">
      <c r="A14172" t="s">
        <v>23803</v>
      </c>
      <c r="B14172" t="s">
        <v>23804</v>
      </c>
      <c r="C14172" t="s">
        <v>585</v>
      </c>
      <c r="D14172" t="s">
        <v>14</v>
      </c>
      <c r="E14172" t="s">
        <v>144</v>
      </c>
      <c r="F14172" s="2" t="str">
        <f>HYPERLINK("http://www.otzar.org/book.asp?188807","זכרון משה מאיר")</f>
        <v>זכרון משה מאיר</v>
      </c>
    </row>
    <row r="14173" spans="1:6" x14ac:dyDescent="0.2">
      <c r="A14173" t="s">
        <v>23805</v>
      </c>
      <c r="B14173" t="s">
        <v>23806</v>
      </c>
      <c r="C14173" t="s">
        <v>553</v>
      </c>
      <c r="D14173" t="s">
        <v>14</v>
      </c>
      <c r="E14173" t="s">
        <v>172</v>
      </c>
      <c r="F14173" s="2" t="str">
        <f>HYPERLINK("http://www.otzar.org/book.asp?83858","זכרון משה - 2 כר'")</f>
        <v>זכרון משה - 2 כר'</v>
      </c>
    </row>
    <row r="14174" spans="1:6" x14ac:dyDescent="0.2">
      <c r="A14174" t="s">
        <v>23807</v>
      </c>
      <c r="B14174" t="s">
        <v>23808</v>
      </c>
      <c r="C14174" t="s">
        <v>168</v>
      </c>
      <c r="D14174" t="s">
        <v>412</v>
      </c>
      <c r="E14174" t="s">
        <v>158</v>
      </c>
      <c r="F14174" s="2" t="str">
        <f>HYPERLINK("http://www.otzar.org/book.asp?23660","זכרון משה")</f>
        <v>זכרון משה</v>
      </c>
    </row>
    <row r="14175" spans="1:6" x14ac:dyDescent="0.2">
      <c r="A14175" t="s">
        <v>23807</v>
      </c>
      <c r="B14175" t="s">
        <v>23809</v>
      </c>
      <c r="C14175" t="s">
        <v>366</v>
      </c>
      <c r="D14175" t="s">
        <v>52</v>
      </c>
      <c r="F14175" s="2" t="str">
        <f>HYPERLINK("http://www.otzar.org/book.asp?610400","זכרון משה")</f>
        <v>זכרון משה</v>
      </c>
    </row>
    <row r="14176" spans="1:6" x14ac:dyDescent="0.2">
      <c r="A14176" t="s">
        <v>23807</v>
      </c>
      <c r="B14176" t="s">
        <v>23810</v>
      </c>
      <c r="C14176" t="s">
        <v>581</v>
      </c>
      <c r="D14176" t="s">
        <v>20460</v>
      </c>
      <c r="E14176" t="s">
        <v>158</v>
      </c>
      <c r="F14176" s="2" t="str">
        <f>HYPERLINK("http://www.otzar.org/book.asp?189342","זכרון משה")</f>
        <v>זכרון משה</v>
      </c>
    </row>
    <row r="14177" spans="1:6" x14ac:dyDescent="0.2">
      <c r="A14177" t="s">
        <v>23807</v>
      </c>
      <c r="B14177" t="s">
        <v>23811</v>
      </c>
      <c r="C14177" t="s">
        <v>1284</v>
      </c>
      <c r="D14177" t="s">
        <v>6459</v>
      </c>
      <c r="E14177" t="s">
        <v>2572</v>
      </c>
      <c r="F14177" s="2" t="str">
        <f>HYPERLINK("http://www.otzar.org/book.asp?100886","זכרון משה")</f>
        <v>זכרון משה</v>
      </c>
    </row>
    <row r="14178" spans="1:6" x14ac:dyDescent="0.2">
      <c r="A14178" t="s">
        <v>23807</v>
      </c>
      <c r="B14178" t="s">
        <v>23812</v>
      </c>
      <c r="C14178" t="s">
        <v>20</v>
      </c>
      <c r="D14178" t="s">
        <v>52</v>
      </c>
      <c r="E14178" t="s">
        <v>199</v>
      </c>
      <c r="F14178" s="2" t="str">
        <f>HYPERLINK("http://www.otzar.org/book.asp?144527","זכרון משה")</f>
        <v>זכרון משה</v>
      </c>
    </row>
    <row r="14179" spans="1:6" x14ac:dyDescent="0.2">
      <c r="A14179" t="s">
        <v>23807</v>
      </c>
      <c r="B14179" t="s">
        <v>23813</v>
      </c>
      <c r="C14179" t="s">
        <v>4087</v>
      </c>
      <c r="D14179" t="s">
        <v>1023</v>
      </c>
      <c r="E14179" t="s">
        <v>144</v>
      </c>
      <c r="F14179" s="2" t="str">
        <f>HYPERLINK("http://www.otzar.org/book.asp?28400","זכרון משה")</f>
        <v>זכרון משה</v>
      </c>
    </row>
    <row r="14180" spans="1:6" x14ac:dyDescent="0.2">
      <c r="A14180" t="s">
        <v>23807</v>
      </c>
      <c r="B14180" t="s">
        <v>23814</v>
      </c>
      <c r="C14180" t="s">
        <v>896</v>
      </c>
      <c r="D14180" t="s">
        <v>1117</v>
      </c>
      <c r="E14180" t="s">
        <v>234</v>
      </c>
      <c r="F14180" s="2" t="str">
        <f>HYPERLINK("http://www.otzar.org/book.asp?189322","זכרון משה")</f>
        <v>זכרון משה</v>
      </c>
    </row>
    <row r="14181" spans="1:6" x14ac:dyDescent="0.2">
      <c r="A14181" t="s">
        <v>23807</v>
      </c>
      <c r="B14181" t="s">
        <v>23815</v>
      </c>
      <c r="C14181" t="s">
        <v>114</v>
      </c>
      <c r="D14181" t="s">
        <v>21</v>
      </c>
      <c r="E14181" t="s">
        <v>104</v>
      </c>
      <c r="F14181" s="2" t="str">
        <f>HYPERLINK("http://www.otzar.org/book.asp?621849","זכרון משה")</f>
        <v>זכרון משה</v>
      </c>
    </row>
    <row r="14182" spans="1:6" x14ac:dyDescent="0.2">
      <c r="A14182" t="s">
        <v>23807</v>
      </c>
      <c r="B14182" t="s">
        <v>23816</v>
      </c>
      <c r="C14182" t="s">
        <v>919</v>
      </c>
      <c r="D14182" t="s">
        <v>412</v>
      </c>
      <c r="E14182" t="s">
        <v>23817</v>
      </c>
      <c r="F14182" s="2" t="str">
        <f>HYPERLINK("http://www.otzar.org/book.asp?103006","זכרון משה")</f>
        <v>זכרון משה</v>
      </c>
    </row>
    <row r="14183" spans="1:6" x14ac:dyDescent="0.2">
      <c r="A14183" t="s">
        <v>23805</v>
      </c>
      <c r="B14183" t="s">
        <v>23818</v>
      </c>
      <c r="C14183" t="s">
        <v>585</v>
      </c>
      <c r="D14183" t="s">
        <v>412</v>
      </c>
      <c r="E14183" t="s">
        <v>2088</v>
      </c>
      <c r="F14183" s="2" t="str">
        <f>HYPERLINK("http://www.otzar.org/book.asp?160998","זכרון משה - 2 כר'")</f>
        <v>זכרון משה - 2 כר'</v>
      </c>
    </row>
    <row r="14184" spans="1:6" x14ac:dyDescent="0.2">
      <c r="A14184" t="s">
        <v>23807</v>
      </c>
      <c r="B14184" t="s">
        <v>23819</v>
      </c>
      <c r="C14184" t="s">
        <v>189</v>
      </c>
      <c r="D14184" t="s">
        <v>52</v>
      </c>
      <c r="E14184" t="s">
        <v>144</v>
      </c>
      <c r="F14184" s="2" t="str">
        <f>HYPERLINK("http://www.otzar.org/book.asp?144322","זכרון משה")</f>
        <v>זכרון משה</v>
      </c>
    </row>
    <row r="14185" spans="1:6" x14ac:dyDescent="0.2">
      <c r="A14185" t="s">
        <v>23820</v>
      </c>
      <c r="B14185" t="s">
        <v>18533</v>
      </c>
      <c r="C14185" t="s">
        <v>20</v>
      </c>
      <c r="D14185" t="s">
        <v>412</v>
      </c>
      <c r="E14185" t="s">
        <v>23821</v>
      </c>
      <c r="F14185" s="2" t="str">
        <f>HYPERLINK("http://www.otzar.org/book.asp?162833","זכרון משה - דברי הלל - שערי אונאה - שערי דמעות")</f>
        <v>זכרון משה - דברי הלל - שערי אונאה - שערי דמעות</v>
      </c>
    </row>
    <row r="14186" spans="1:6" x14ac:dyDescent="0.2">
      <c r="A14186" t="s">
        <v>23805</v>
      </c>
      <c r="B14186" t="s">
        <v>23822</v>
      </c>
      <c r="C14186" t="s">
        <v>422</v>
      </c>
      <c r="D14186" t="s">
        <v>14</v>
      </c>
      <c r="E14186" t="s">
        <v>158</v>
      </c>
      <c r="F14186" s="2" t="str">
        <f>HYPERLINK("http://www.otzar.org/book.asp?154197","זכרון משה - 2 כר'")</f>
        <v>זכרון משה - 2 כר'</v>
      </c>
    </row>
    <row r="14187" spans="1:6" x14ac:dyDescent="0.2">
      <c r="A14187" t="s">
        <v>23807</v>
      </c>
      <c r="B14187" t="s">
        <v>20267</v>
      </c>
      <c r="C14187" t="s">
        <v>462</v>
      </c>
      <c r="D14187" t="s">
        <v>27</v>
      </c>
      <c r="E14187" t="s">
        <v>957</v>
      </c>
      <c r="F14187" s="2" t="str">
        <f>HYPERLINK("http://www.otzar.org/book.asp?200129","זכרון משה")</f>
        <v>זכרון משה</v>
      </c>
    </row>
    <row r="14188" spans="1:6" x14ac:dyDescent="0.2">
      <c r="A14188" t="s">
        <v>23823</v>
      </c>
      <c r="B14188" t="s">
        <v>23824</v>
      </c>
      <c r="C14188" t="s">
        <v>466</v>
      </c>
      <c r="D14188" t="s">
        <v>90</v>
      </c>
      <c r="E14188" t="s">
        <v>15</v>
      </c>
      <c r="F14188" s="2" t="str">
        <f>HYPERLINK("http://www.otzar.org/book.asp?63228","זכרון משה - מרבה חיים א")</f>
        <v>זכרון משה - מרבה חיים א</v>
      </c>
    </row>
    <row r="14189" spans="1:6" x14ac:dyDescent="0.2">
      <c r="A14189" t="s">
        <v>23807</v>
      </c>
      <c r="B14189" t="s">
        <v>5375</v>
      </c>
      <c r="C14189" t="s">
        <v>313</v>
      </c>
      <c r="D14189" t="s">
        <v>1356</v>
      </c>
      <c r="E14189" t="s">
        <v>1262</v>
      </c>
      <c r="F14189" s="2" t="str">
        <f>HYPERLINK("http://www.otzar.org/book.asp?154029","זכרון משה")</f>
        <v>זכרון משה</v>
      </c>
    </row>
    <row r="14190" spans="1:6" x14ac:dyDescent="0.2">
      <c r="A14190" t="s">
        <v>23805</v>
      </c>
      <c r="B14190" t="s">
        <v>3166</v>
      </c>
      <c r="C14190" t="s">
        <v>129</v>
      </c>
      <c r="D14190" t="s">
        <v>14</v>
      </c>
      <c r="E14190" t="s">
        <v>130</v>
      </c>
      <c r="F14190" s="2" t="str">
        <f>HYPERLINK("http://www.otzar.org/book.asp?60176","זכרון משה - 2 כר'")</f>
        <v>זכרון משה - 2 כר'</v>
      </c>
    </row>
    <row r="14191" spans="1:6" x14ac:dyDescent="0.2">
      <c r="A14191" t="s">
        <v>23807</v>
      </c>
      <c r="B14191" t="s">
        <v>23825</v>
      </c>
      <c r="C14191" t="s">
        <v>5823</v>
      </c>
      <c r="D14191" t="s">
        <v>23826</v>
      </c>
      <c r="E14191" t="s">
        <v>234</v>
      </c>
      <c r="F14191" s="2" t="str">
        <f>HYPERLINK("http://www.otzar.org/book.asp?189323","זכרון משה")</f>
        <v>זכרון משה</v>
      </c>
    </row>
    <row r="14192" spans="1:6" x14ac:dyDescent="0.2">
      <c r="A14192" t="s">
        <v>23807</v>
      </c>
      <c r="B14192" t="s">
        <v>23827</v>
      </c>
      <c r="C14192" t="s">
        <v>176</v>
      </c>
      <c r="D14192" t="s">
        <v>14</v>
      </c>
      <c r="E14192" t="s">
        <v>202</v>
      </c>
      <c r="F14192" s="2" t="str">
        <f>HYPERLINK("http://www.otzar.org/book.asp?180082","זכרון משה")</f>
        <v>זכרון משה</v>
      </c>
    </row>
    <row r="14193" spans="1:6" x14ac:dyDescent="0.2">
      <c r="A14193" t="s">
        <v>23807</v>
      </c>
      <c r="B14193" t="s">
        <v>552</v>
      </c>
      <c r="C14193" t="s">
        <v>422</v>
      </c>
      <c r="D14193" t="s">
        <v>486</v>
      </c>
      <c r="E14193" t="s">
        <v>199</v>
      </c>
      <c r="F14193" s="2" t="str">
        <f>HYPERLINK("http://www.otzar.org/book.asp?156334","זכרון משה")</f>
        <v>זכרון משה</v>
      </c>
    </row>
    <row r="14194" spans="1:6" x14ac:dyDescent="0.2">
      <c r="A14194" t="s">
        <v>23807</v>
      </c>
      <c r="B14194" t="s">
        <v>23828</v>
      </c>
      <c r="C14194" t="s">
        <v>270</v>
      </c>
      <c r="D14194" t="s">
        <v>1023</v>
      </c>
      <c r="E14194" t="s">
        <v>219</v>
      </c>
      <c r="F14194" s="2" t="str">
        <f>HYPERLINK("http://www.otzar.org/book.asp?173087","זכרון משה")</f>
        <v>זכרון משה</v>
      </c>
    </row>
    <row r="14195" spans="1:6" x14ac:dyDescent="0.2">
      <c r="A14195" t="s">
        <v>23807</v>
      </c>
      <c r="B14195" t="s">
        <v>23829</v>
      </c>
      <c r="C14195" t="s">
        <v>908</v>
      </c>
      <c r="D14195" t="s">
        <v>563</v>
      </c>
      <c r="E14195" t="s">
        <v>1097</v>
      </c>
      <c r="F14195" s="2" t="str">
        <f>HYPERLINK("http://www.otzar.org/book.asp?189343","זכרון משה")</f>
        <v>זכרון משה</v>
      </c>
    </row>
    <row r="14196" spans="1:6" x14ac:dyDescent="0.2">
      <c r="A14196" t="s">
        <v>23807</v>
      </c>
      <c r="B14196" t="s">
        <v>23830</v>
      </c>
      <c r="C14196" t="s">
        <v>20</v>
      </c>
      <c r="D14196" t="s">
        <v>367</v>
      </c>
      <c r="E14196" t="s">
        <v>130</v>
      </c>
      <c r="F14196" s="2" t="str">
        <f>HYPERLINK("http://www.otzar.org/book.asp?163009","זכרון משה")</f>
        <v>זכרון משה</v>
      </c>
    </row>
    <row r="14197" spans="1:6" x14ac:dyDescent="0.2">
      <c r="A14197" t="s">
        <v>23807</v>
      </c>
      <c r="B14197" t="s">
        <v>23831</v>
      </c>
      <c r="C14197" t="s">
        <v>466</v>
      </c>
      <c r="D14197" t="s">
        <v>14</v>
      </c>
      <c r="E14197" t="s">
        <v>202</v>
      </c>
      <c r="F14197" s="2" t="str">
        <f>HYPERLINK("http://www.otzar.org/book.asp?157753","זכרון משה")</f>
        <v>זכרון משה</v>
      </c>
    </row>
    <row r="14198" spans="1:6" x14ac:dyDescent="0.2">
      <c r="A14198" t="s">
        <v>23807</v>
      </c>
      <c r="B14198" t="s">
        <v>23832</v>
      </c>
      <c r="C14198" t="s">
        <v>1448</v>
      </c>
      <c r="D14198" t="s">
        <v>14</v>
      </c>
      <c r="E14198" t="s">
        <v>3798</v>
      </c>
      <c r="F14198" s="2" t="str">
        <f>HYPERLINK("http://www.otzar.org/book.asp?106826","זכרון משה")</f>
        <v>זכרון משה</v>
      </c>
    </row>
    <row r="14199" spans="1:6" x14ac:dyDescent="0.2">
      <c r="A14199" t="s">
        <v>23807</v>
      </c>
      <c r="B14199" t="s">
        <v>23833</v>
      </c>
      <c r="C14199" t="s">
        <v>466</v>
      </c>
      <c r="D14199" t="s">
        <v>657</v>
      </c>
      <c r="E14199" t="s">
        <v>15</v>
      </c>
      <c r="F14199" s="2" t="str">
        <f>HYPERLINK("http://www.otzar.org/book.asp?189269","זכרון משה")</f>
        <v>זכרון משה</v>
      </c>
    </row>
    <row r="14200" spans="1:6" x14ac:dyDescent="0.2">
      <c r="A14200" t="s">
        <v>23834</v>
      </c>
      <c r="B14200" t="s">
        <v>7415</v>
      </c>
      <c r="C14200" t="s">
        <v>8</v>
      </c>
      <c r="D14200" t="s">
        <v>691</v>
      </c>
      <c r="E14200" t="s">
        <v>104</v>
      </c>
      <c r="F14200" s="2" t="str">
        <f>HYPERLINK("http://www.otzar.org/book.asp?18749","זכרון משיח")</f>
        <v>זכרון משיח</v>
      </c>
    </row>
    <row r="14201" spans="1:6" x14ac:dyDescent="0.2">
      <c r="A14201" t="s">
        <v>23835</v>
      </c>
      <c r="B14201" t="s">
        <v>552</v>
      </c>
      <c r="C14201" t="s">
        <v>466</v>
      </c>
      <c r="D14201" t="s">
        <v>14</v>
      </c>
      <c r="E14201" t="s">
        <v>202</v>
      </c>
      <c r="F14201" s="2" t="str">
        <f>HYPERLINK("http://www.otzar.org/book.asp?153793","זכרון נחום")</f>
        <v>זכרון נחום</v>
      </c>
    </row>
    <row r="14202" spans="1:6" x14ac:dyDescent="0.2">
      <c r="A14202" t="s">
        <v>23836</v>
      </c>
      <c r="B14202" t="s">
        <v>1750</v>
      </c>
      <c r="C14202" t="s">
        <v>20</v>
      </c>
      <c r="D14202" t="s">
        <v>152</v>
      </c>
      <c r="E14202" t="s">
        <v>202</v>
      </c>
      <c r="F14202" s="2" t="str">
        <f>HYPERLINK("http://www.otzar.org/book.asp?199851","זכרון נחום - ג")</f>
        <v>זכרון נחום - ג</v>
      </c>
    </row>
    <row r="14203" spans="1:6" x14ac:dyDescent="0.2">
      <c r="A14203" t="s">
        <v>23837</v>
      </c>
      <c r="B14203" t="s">
        <v>552</v>
      </c>
      <c r="C14203" t="s">
        <v>103</v>
      </c>
      <c r="D14203" t="s">
        <v>14</v>
      </c>
      <c r="E14203" t="s">
        <v>202</v>
      </c>
      <c r="F14203" s="2" t="str">
        <f>HYPERLINK("http://www.otzar.org/book.asp?22112","זכרון ניסן - על שם ר' ניסן גדניאן זצ""ל")</f>
        <v>זכרון ניסן - על שם ר' ניסן גדניאן זצ"ל</v>
      </c>
    </row>
    <row r="14204" spans="1:6" x14ac:dyDescent="0.2">
      <c r="A14204" t="s">
        <v>23838</v>
      </c>
      <c r="B14204" t="s">
        <v>23839</v>
      </c>
      <c r="C14204" t="s">
        <v>1448</v>
      </c>
      <c r="D14204" t="s">
        <v>412</v>
      </c>
      <c r="E14204" t="s">
        <v>733</v>
      </c>
      <c r="F14204" s="2" t="str">
        <f>HYPERLINK("http://www.otzar.org/book.asp?144672","זכרון נפתלי")</f>
        <v>זכרון נפתלי</v>
      </c>
    </row>
    <row r="14205" spans="1:6" x14ac:dyDescent="0.2">
      <c r="A14205" t="s">
        <v>23838</v>
      </c>
      <c r="B14205" t="s">
        <v>23822</v>
      </c>
      <c r="C14205" t="s">
        <v>133</v>
      </c>
      <c r="D14205" t="s">
        <v>14</v>
      </c>
      <c r="E14205" t="s">
        <v>158</v>
      </c>
      <c r="F14205" s="2" t="str">
        <f>HYPERLINK("http://www.otzar.org/book.asp?190868","זכרון נפתלי")</f>
        <v>זכרון נפתלי</v>
      </c>
    </row>
    <row r="14206" spans="1:6" x14ac:dyDescent="0.2">
      <c r="A14206" t="s">
        <v>23840</v>
      </c>
      <c r="B14206" t="s">
        <v>552</v>
      </c>
      <c r="C14206" t="s">
        <v>767</v>
      </c>
      <c r="D14206" t="s">
        <v>229</v>
      </c>
      <c r="E14206" t="s">
        <v>202</v>
      </c>
      <c r="F14206" s="2" t="str">
        <f>HYPERLINK("http://www.otzar.org/book.asp?173423","זכרון נתן צבי")</f>
        <v>זכרון נתן צבי</v>
      </c>
    </row>
    <row r="14207" spans="1:6" x14ac:dyDescent="0.2">
      <c r="A14207" t="s">
        <v>23841</v>
      </c>
      <c r="B14207" t="s">
        <v>17381</v>
      </c>
      <c r="C14207" t="s">
        <v>313</v>
      </c>
      <c r="D14207" t="s">
        <v>14</v>
      </c>
      <c r="E14207" t="s">
        <v>130</v>
      </c>
      <c r="F14207" s="2" t="str">
        <f>HYPERLINK("http://www.otzar.org/book.asp?158662","זכרון נתן")</f>
        <v>זכרון נתן</v>
      </c>
    </row>
    <row r="14208" spans="1:6" x14ac:dyDescent="0.2">
      <c r="A14208" t="s">
        <v>23842</v>
      </c>
      <c r="B14208" t="s">
        <v>23843</v>
      </c>
      <c r="C14208" t="s">
        <v>129</v>
      </c>
      <c r="D14208" t="s">
        <v>14816</v>
      </c>
      <c r="E14208" t="s">
        <v>202</v>
      </c>
      <c r="F14208" s="2" t="str">
        <f>HYPERLINK("http://www.otzar.org/book.asp?624836","זכרון נתנאל")</f>
        <v>זכרון נתנאל</v>
      </c>
    </row>
    <row r="14209" spans="1:6" x14ac:dyDescent="0.2">
      <c r="A14209" t="s">
        <v>23844</v>
      </c>
      <c r="B14209" t="s">
        <v>23845</v>
      </c>
      <c r="C14209" t="s">
        <v>785</v>
      </c>
      <c r="D14209" t="s">
        <v>412</v>
      </c>
      <c r="E14209" t="s">
        <v>4586</v>
      </c>
      <c r="F14209" s="2" t="str">
        <f>HYPERLINK("http://www.otzar.org/book.asp?85075","זכרון סופרים - 5 כר'")</f>
        <v>זכרון סופרים - 5 כר'</v>
      </c>
    </row>
    <row r="14210" spans="1:6" x14ac:dyDescent="0.2">
      <c r="A14210" t="s">
        <v>23846</v>
      </c>
      <c r="B14210" t="s">
        <v>23847</v>
      </c>
      <c r="C14210" t="s">
        <v>160</v>
      </c>
      <c r="D14210" t="s">
        <v>27</v>
      </c>
      <c r="E14210" t="s">
        <v>119</v>
      </c>
      <c r="F14210" s="2" t="str">
        <f>HYPERLINK("http://www.otzar.org/book.asp?14259","זכרון עולמים")</f>
        <v>זכרון עולמים</v>
      </c>
    </row>
    <row r="14211" spans="1:6" x14ac:dyDescent="0.2">
      <c r="A14211" t="s">
        <v>23848</v>
      </c>
      <c r="B14211" t="s">
        <v>23849</v>
      </c>
      <c r="C14211" t="s">
        <v>20</v>
      </c>
      <c r="D14211" t="s">
        <v>118</v>
      </c>
      <c r="E14211" t="s">
        <v>14089</v>
      </c>
      <c r="F14211" s="2" t="str">
        <f>HYPERLINK("http://www.otzar.org/book.asp?170732","זכרון עז - 2 כר'")</f>
        <v>זכרון עז - 2 כר'</v>
      </c>
    </row>
    <row r="14212" spans="1:6" x14ac:dyDescent="0.2">
      <c r="A14212" t="s">
        <v>23850</v>
      </c>
      <c r="B14212" t="s">
        <v>23851</v>
      </c>
      <c r="C14212" t="s">
        <v>20</v>
      </c>
      <c r="D14212" t="s">
        <v>14</v>
      </c>
      <c r="E14212" t="s">
        <v>202</v>
      </c>
      <c r="F14212" s="2" t="str">
        <f>HYPERLINK("http://www.otzar.org/book.asp?182456","זכרון עזרא")</f>
        <v>זכרון עזרא</v>
      </c>
    </row>
    <row r="14213" spans="1:6" x14ac:dyDescent="0.2">
      <c r="A14213" t="s">
        <v>23852</v>
      </c>
      <c r="B14213" t="s">
        <v>23853</v>
      </c>
      <c r="C14213" t="s">
        <v>68</v>
      </c>
      <c r="D14213" t="s">
        <v>412</v>
      </c>
      <c r="E14213" t="s">
        <v>18776</v>
      </c>
      <c r="F14213" s="2" t="str">
        <f>HYPERLINK("http://www.otzar.org/book.asp?181862","זכרון עמרם צבי")</f>
        <v>זכרון עמרם צבי</v>
      </c>
    </row>
    <row r="14214" spans="1:6" x14ac:dyDescent="0.2">
      <c r="A14214" t="s">
        <v>23854</v>
      </c>
      <c r="B14214" t="s">
        <v>9611</v>
      </c>
      <c r="C14214" t="s">
        <v>624</v>
      </c>
      <c r="D14214" t="s">
        <v>14</v>
      </c>
      <c r="E14214" t="s">
        <v>15</v>
      </c>
      <c r="F14214" s="2" t="str">
        <f>HYPERLINK("http://www.otzar.org/book.asp?191253","זכרון עקידת יצחק - 2 כר'")</f>
        <v>זכרון עקידת יצחק - 2 כר'</v>
      </c>
    </row>
    <row r="14215" spans="1:6" x14ac:dyDescent="0.2">
      <c r="A14215" t="s">
        <v>23855</v>
      </c>
      <c r="B14215" t="s">
        <v>23856</v>
      </c>
      <c r="C14215" t="s">
        <v>767</v>
      </c>
      <c r="D14215" t="s">
        <v>14</v>
      </c>
      <c r="E14215" t="s">
        <v>8341</v>
      </c>
      <c r="F14215" s="2" t="str">
        <f>HYPERLINK("http://www.otzar.org/book.asp?164002","זכרון פנחס")</f>
        <v>זכרון פנחס</v>
      </c>
    </row>
    <row r="14216" spans="1:6" x14ac:dyDescent="0.2">
      <c r="A14216" t="s">
        <v>23857</v>
      </c>
      <c r="B14216" t="s">
        <v>23858</v>
      </c>
      <c r="C14216" t="s">
        <v>114</v>
      </c>
      <c r="D14216" t="s">
        <v>367</v>
      </c>
      <c r="E14216" t="s">
        <v>202</v>
      </c>
      <c r="F14216" s="2" t="str">
        <f>HYPERLINK("http://www.otzar.org/book.asp?174267","זכרון פנחס - 3 כר'")</f>
        <v>זכרון פנחס - 3 כר'</v>
      </c>
    </row>
    <row r="14217" spans="1:6" x14ac:dyDescent="0.2">
      <c r="A14217" t="s">
        <v>23859</v>
      </c>
      <c r="B14217" t="s">
        <v>23860</v>
      </c>
      <c r="C14217" t="s">
        <v>133</v>
      </c>
      <c r="D14217" t="s">
        <v>52</v>
      </c>
      <c r="F14217" s="2" t="str">
        <f>HYPERLINK("http://www.otzar.org/book.asp?613988","זכרון פני יוסף")</f>
        <v>זכרון פני יוסף</v>
      </c>
    </row>
    <row r="14218" spans="1:6" x14ac:dyDescent="0.2">
      <c r="A14218" t="s">
        <v>23861</v>
      </c>
      <c r="B14218" t="s">
        <v>8947</v>
      </c>
      <c r="C14218" t="s">
        <v>71</v>
      </c>
      <c r="D14218" t="s">
        <v>14</v>
      </c>
      <c r="E14218" t="s">
        <v>15</v>
      </c>
      <c r="F14218" s="2" t="str">
        <f>HYPERLINK("http://www.otzar.org/book.asp?191482","זכרון צבי הירש - 4 כר'")</f>
        <v>זכרון צבי הירש - 4 כר'</v>
      </c>
    </row>
    <row r="14219" spans="1:6" x14ac:dyDescent="0.2">
      <c r="A14219" t="s">
        <v>23862</v>
      </c>
      <c r="B14219" t="s">
        <v>12653</v>
      </c>
      <c r="C14219" t="s">
        <v>189</v>
      </c>
      <c r="D14219" t="s">
        <v>486</v>
      </c>
      <c r="E14219" t="s">
        <v>144</v>
      </c>
      <c r="F14219" s="2" t="str">
        <f>HYPERLINK("http://www.otzar.org/book.asp?60787","זכרון צבי מאיר - 5 כר'")</f>
        <v>זכרון צבי מאיר - 5 כר'</v>
      </c>
    </row>
    <row r="14220" spans="1:6" x14ac:dyDescent="0.2">
      <c r="A14220" t="s">
        <v>23863</v>
      </c>
      <c r="B14220" t="s">
        <v>5780</v>
      </c>
      <c r="C14220" t="s">
        <v>989</v>
      </c>
      <c r="D14220" t="s">
        <v>412</v>
      </c>
      <c r="E14220" t="s">
        <v>202</v>
      </c>
      <c r="F14220" s="2" t="str">
        <f>HYPERLINK("http://www.otzar.org/book.asp?167999","זכרון צבי מאיר - א")</f>
        <v>זכרון צבי מאיר - א</v>
      </c>
    </row>
    <row r="14221" spans="1:6" x14ac:dyDescent="0.2">
      <c r="A14221" t="s">
        <v>23864</v>
      </c>
      <c r="B14221" t="s">
        <v>23865</v>
      </c>
      <c r="C14221" t="s">
        <v>266</v>
      </c>
      <c r="D14221" t="s">
        <v>855</v>
      </c>
      <c r="E14221" t="s">
        <v>23866</v>
      </c>
      <c r="F14221" s="2" t="str">
        <f>HYPERLINK("http://www.otzar.org/book.asp?100893","זכרון צבי מנחם")</f>
        <v>זכרון צבי מנחם</v>
      </c>
    </row>
    <row r="14222" spans="1:6" x14ac:dyDescent="0.2">
      <c r="A14222" t="s">
        <v>23867</v>
      </c>
      <c r="B14222" t="s">
        <v>23868</v>
      </c>
      <c r="C14222" t="s">
        <v>176</v>
      </c>
      <c r="D14222" t="s">
        <v>14</v>
      </c>
      <c r="E14222" t="s">
        <v>144</v>
      </c>
      <c r="F14222" s="2" t="str">
        <f>HYPERLINK("http://www.otzar.org/book.asp?159643","זכרון צבי - 4 כר'")</f>
        <v>זכרון צבי - 4 כר'</v>
      </c>
    </row>
    <row r="14223" spans="1:6" x14ac:dyDescent="0.2">
      <c r="A14223" t="s">
        <v>23869</v>
      </c>
      <c r="B14223" t="s">
        <v>23870</v>
      </c>
      <c r="C14223" t="s">
        <v>133</v>
      </c>
      <c r="D14223" t="s">
        <v>216</v>
      </c>
      <c r="E14223" t="s">
        <v>202</v>
      </c>
      <c r="F14223" s="2" t="str">
        <f>HYPERLINK("http://www.otzar.org/book.asp?626186","זכרון צבי - 6 כר'")</f>
        <v>זכרון צבי - 6 כר'</v>
      </c>
    </row>
    <row r="14224" spans="1:6" x14ac:dyDescent="0.2">
      <c r="A14224" t="s">
        <v>23871</v>
      </c>
      <c r="B14224" t="s">
        <v>15326</v>
      </c>
      <c r="C14224" t="s">
        <v>1228</v>
      </c>
      <c r="D14224" t="s">
        <v>225</v>
      </c>
      <c r="E14224" t="s">
        <v>234</v>
      </c>
      <c r="F14224" s="2" t="str">
        <f>HYPERLINK("http://www.otzar.org/book.asp?300271","זכרון צדיקים")</f>
        <v>זכרון צדיקים</v>
      </c>
    </row>
    <row r="14225" spans="1:6" x14ac:dyDescent="0.2">
      <c r="A14225" t="s">
        <v>23871</v>
      </c>
      <c r="B14225" t="s">
        <v>23872</v>
      </c>
      <c r="C14225" t="s">
        <v>286</v>
      </c>
      <c r="D14225" t="s">
        <v>23702</v>
      </c>
      <c r="E14225" t="s">
        <v>5580</v>
      </c>
      <c r="F14225" s="2" t="str">
        <f>HYPERLINK("http://www.otzar.org/book.asp?23556","זכרון צדיקים")</f>
        <v>זכרון צדיקים</v>
      </c>
    </row>
    <row r="14226" spans="1:6" x14ac:dyDescent="0.2">
      <c r="A14226" t="s">
        <v>23871</v>
      </c>
      <c r="B14226" t="s">
        <v>14446</v>
      </c>
      <c r="C14226" t="s">
        <v>1228</v>
      </c>
      <c r="D14226" t="s">
        <v>379</v>
      </c>
      <c r="E14226" t="s">
        <v>23245</v>
      </c>
      <c r="F14226" s="2" t="str">
        <f>HYPERLINK("http://www.otzar.org/book.asp?7615","זכרון צדיקים")</f>
        <v>זכרון צדיקים</v>
      </c>
    </row>
    <row r="14227" spans="1:6" x14ac:dyDescent="0.2">
      <c r="A14227" t="s">
        <v>23873</v>
      </c>
      <c r="B14227" t="s">
        <v>23874</v>
      </c>
      <c r="C14227" t="s">
        <v>23875</v>
      </c>
      <c r="D14227" t="s">
        <v>4539</v>
      </c>
      <c r="E14227" t="s">
        <v>219</v>
      </c>
      <c r="F14227" s="2" t="str">
        <f>HYPERLINK("http://www.otzar.org/book.asp?62186","זכרון ציון")</f>
        <v>זכרון ציון</v>
      </c>
    </row>
    <row r="14228" spans="1:6" x14ac:dyDescent="0.2">
      <c r="A14228" t="s">
        <v>23876</v>
      </c>
      <c r="B14228" t="s">
        <v>23877</v>
      </c>
      <c r="F14228" s="2" t="str">
        <f>HYPERLINK("http://www.otzar.org/book.asp?613652","זכרון קדוש")</f>
        <v>זכרון קדוש</v>
      </c>
    </row>
    <row r="14229" spans="1:6" x14ac:dyDescent="0.2">
      <c r="A14229" t="s">
        <v>23878</v>
      </c>
      <c r="B14229" t="s">
        <v>23879</v>
      </c>
      <c r="C14229" t="s">
        <v>23880</v>
      </c>
      <c r="D14229" t="s">
        <v>14</v>
      </c>
      <c r="E14229" t="s">
        <v>119</v>
      </c>
      <c r="F14229" s="2" t="str">
        <f>HYPERLINK("http://www.otzar.org/book.asp?144729","זכרון קדושים - 3 כר'")</f>
        <v>זכרון קדושים - 3 כר'</v>
      </c>
    </row>
    <row r="14230" spans="1:6" x14ac:dyDescent="0.2">
      <c r="A14230" t="s">
        <v>23881</v>
      </c>
      <c r="B14230" t="s">
        <v>552</v>
      </c>
      <c r="C14230" t="s">
        <v>87</v>
      </c>
      <c r="D14230" t="s">
        <v>14</v>
      </c>
      <c r="E14230" t="s">
        <v>202</v>
      </c>
      <c r="F14230" s="2" t="str">
        <f>HYPERLINK("http://www.otzar.org/book.asp?171759","זכרון קודש לבעל אש קודש")</f>
        <v>זכרון קודש לבעל אש קודש</v>
      </c>
    </row>
    <row r="14231" spans="1:6" x14ac:dyDescent="0.2">
      <c r="A14231" t="s">
        <v>23882</v>
      </c>
      <c r="B14231" t="s">
        <v>13019</v>
      </c>
      <c r="C14231" t="s">
        <v>146</v>
      </c>
      <c r="D14231" t="s">
        <v>90</v>
      </c>
      <c r="E14231" t="s">
        <v>144</v>
      </c>
      <c r="F14231" s="2" t="str">
        <f>HYPERLINK("http://www.otzar.org/book.asp?177220","זכרון ראובן יוסף")</f>
        <v>זכרון ראובן יוסף</v>
      </c>
    </row>
    <row r="14232" spans="1:6" x14ac:dyDescent="0.2">
      <c r="A14232" t="s">
        <v>23883</v>
      </c>
      <c r="B14232" t="s">
        <v>23884</v>
      </c>
      <c r="C14232" t="s">
        <v>23885</v>
      </c>
      <c r="D14232" t="s">
        <v>27</v>
      </c>
      <c r="E14232" t="s">
        <v>158</v>
      </c>
      <c r="F14232" s="2" t="str">
        <f>HYPERLINK("http://www.otzar.org/book.asp?8827","זכרון רחמים - ב")</f>
        <v>זכרון רחמים - ב</v>
      </c>
    </row>
    <row r="14233" spans="1:6" x14ac:dyDescent="0.2">
      <c r="A14233" t="s">
        <v>23886</v>
      </c>
      <c r="B14233" t="s">
        <v>23887</v>
      </c>
      <c r="C14233" t="s">
        <v>454</v>
      </c>
      <c r="D14233" t="s">
        <v>1974</v>
      </c>
      <c r="E14233" t="s">
        <v>202</v>
      </c>
      <c r="F14233" s="2" t="str">
        <f>HYPERLINK("http://www.otzar.org/book.asp?143040","זכרון רחמים - 2 כר'")</f>
        <v>זכרון רחמים - 2 כר'</v>
      </c>
    </row>
    <row r="14234" spans="1:6" x14ac:dyDescent="0.2">
      <c r="A14234" t="s">
        <v>23888</v>
      </c>
      <c r="B14234" t="s">
        <v>23889</v>
      </c>
      <c r="C14234" t="s">
        <v>334</v>
      </c>
      <c r="D14234" t="s">
        <v>14</v>
      </c>
      <c r="E14234" t="s">
        <v>202</v>
      </c>
      <c r="F14234" s="2" t="str">
        <f>HYPERLINK("http://www.otzar.org/book.asp?171838","זכרון רפאל מאיר")</f>
        <v>זכרון רפאל מאיר</v>
      </c>
    </row>
    <row r="14235" spans="1:6" x14ac:dyDescent="0.2">
      <c r="A14235" t="s">
        <v>23890</v>
      </c>
      <c r="B14235" t="s">
        <v>382</v>
      </c>
      <c r="C14235" t="s">
        <v>1208</v>
      </c>
      <c r="D14235" t="s">
        <v>52</v>
      </c>
      <c r="E14235" t="s">
        <v>144</v>
      </c>
      <c r="F14235" s="2" t="str">
        <f>HYPERLINK("http://www.otzar.org/book.asp?162651","זכרון רפאל")</f>
        <v>זכרון רפאל</v>
      </c>
    </row>
    <row r="14236" spans="1:6" x14ac:dyDescent="0.2">
      <c r="A14236" t="s">
        <v>23890</v>
      </c>
      <c r="B14236" t="s">
        <v>552</v>
      </c>
      <c r="C14236" t="s">
        <v>103</v>
      </c>
      <c r="D14236" t="s">
        <v>14</v>
      </c>
      <c r="E14236" t="s">
        <v>202</v>
      </c>
      <c r="F14236" s="2" t="str">
        <f>HYPERLINK("http://www.otzar.org/book.asp?60993","זכרון רפאל")</f>
        <v>זכרון רפאל</v>
      </c>
    </row>
    <row r="14237" spans="1:6" x14ac:dyDescent="0.2">
      <c r="A14237" t="s">
        <v>23891</v>
      </c>
      <c r="B14237" t="s">
        <v>23892</v>
      </c>
      <c r="C14237" t="s">
        <v>1202</v>
      </c>
      <c r="D14237" t="s">
        <v>8316</v>
      </c>
      <c r="E14237" t="s">
        <v>674</v>
      </c>
      <c r="F14237" s="2" t="str">
        <f>HYPERLINK("http://www.otzar.org/book.asp?18751","זכרון ש""י")</f>
        <v>זכרון ש"י</v>
      </c>
    </row>
    <row r="14238" spans="1:6" x14ac:dyDescent="0.2">
      <c r="A14238" t="s">
        <v>23893</v>
      </c>
      <c r="B14238" t="s">
        <v>23894</v>
      </c>
      <c r="C14238" t="s">
        <v>63</v>
      </c>
      <c r="D14238" t="s">
        <v>52</v>
      </c>
      <c r="E14238" t="s">
        <v>13352</v>
      </c>
      <c r="F14238" s="2" t="str">
        <f>HYPERLINK("http://www.otzar.org/book.asp?143465","זכרון שאול - 7 כר'")</f>
        <v>זכרון שאול - 7 כר'</v>
      </c>
    </row>
    <row r="14239" spans="1:6" x14ac:dyDescent="0.2">
      <c r="A14239" t="s">
        <v>23895</v>
      </c>
      <c r="B14239" t="s">
        <v>23896</v>
      </c>
      <c r="C14239" t="s">
        <v>609</v>
      </c>
      <c r="D14239" t="s">
        <v>56</v>
      </c>
      <c r="E14239" t="s">
        <v>154</v>
      </c>
      <c r="F14239" s="2" t="str">
        <f>HYPERLINK("http://www.otzar.org/book.asp?52300","זכרון שאול")</f>
        <v>זכרון שאול</v>
      </c>
    </row>
    <row r="14240" spans="1:6" x14ac:dyDescent="0.2">
      <c r="A14240" t="s">
        <v>23897</v>
      </c>
      <c r="B14240" t="s">
        <v>23898</v>
      </c>
      <c r="C14240" t="s">
        <v>4705</v>
      </c>
      <c r="D14240" t="s">
        <v>6238</v>
      </c>
      <c r="E14240" t="s">
        <v>1211</v>
      </c>
      <c r="F14240" s="2" t="str">
        <f>HYPERLINK("http://www.otzar.org/book.asp?141","זכרון שארית יוסף")</f>
        <v>זכרון שארית יוסף</v>
      </c>
    </row>
    <row r="14241" spans="1:6" x14ac:dyDescent="0.2">
      <c r="A14241" t="s">
        <v>23899</v>
      </c>
      <c r="B14241" t="s">
        <v>489</v>
      </c>
      <c r="C14241" t="s">
        <v>366</v>
      </c>
      <c r="D14241" t="s">
        <v>21</v>
      </c>
      <c r="E14241" t="s">
        <v>2091</v>
      </c>
      <c r="F14241" s="2" t="str">
        <f>HYPERLINK("http://www.otzar.org/book.asp?608137","זכרון שבתי ואריה")</f>
        <v>זכרון שבתי ואריה</v>
      </c>
    </row>
    <row r="14242" spans="1:6" x14ac:dyDescent="0.2">
      <c r="A14242" t="s">
        <v>23900</v>
      </c>
      <c r="B14242" t="s">
        <v>12069</v>
      </c>
      <c r="C14242" t="s">
        <v>26</v>
      </c>
      <c r="D14242" t="s">
        <v>14</v>
      </c>
      <c r="E14242" t="s">
        <v>144</v>
      </c>
      <c r="F14242" s="2" t="str">
        <f>HYPERLINK("http://www.otzar.org/book.asp?6980","זכרון שלום")</f>
        <v>זכרון שלום</v>
      </c>
    </row>
    <row r="14243" spans="1:6" x14ac:dyDescent="0.2">
      <c r="A14243" t="s">
        <v>23900</v>
      </c>
      <c r="B14243" t="s">
        <v>23901</v>
      </c>
      <c r="C14243" t="s">
        <v>313</v>
      </c>
      <c r="D14243" t="s">
        <v>152</v>
      </c>
      <c r="E14243" t="s">
        <v>202</v>
      </c>
      <c r="F14243" s="2" t="str">
        <f>HYPERLINK("http://www.otzar.org/book.asp?606107","זכרון שלום")</f>
        <v>זכרון שלום</v>
      </c>
    </row>
    <row r="14244" spans="1:6" x14ac:dyDescent="0.2">
      <c r="A14244" t="s">
        <v>23902</v>
      </c>
      <c r="B14244" t="s">
        <v>23903</v>
      </c>
      <c r="C14244" t="s">
        <v>87</v>
      </c>
      <c r="D14244" t="s">
        <v>14</v>
      </c>
      <c r="E14244" t="s">
        <v>202</v>
      </c>
      <c r="F14244" s="2" t="str">
        <f>HYPERLINK("http://www.otzar.org/book.asp?107256","זכרון שלמה &lt;לזכר ר' שלמה קאליש&gt;")</f>
        <v>זכרון שלמה &lt;לזכר ר' שלמה קאליש&gt;</v>
      </c>
    </row>
    <row r="14245" spans="1:6" x14ac:dyDescent="0.2">
      <c r="A14245" t="s">
        <v>23904</v>
      </c>
      <c r="B14245" t="s">
        <v>552</v>
      </c>
      <c r="C14245" t="s">
        <v>454</v>
      </c>
      <c r="D14245" t="s">
        <v>52</v>
      </c>
      <c r="E14245" t="s">
        <v>23905</v>
      </c>
      <c r="F14245" s="2" t="str">
        <f>HYPERLINK("http://www.otzar.org/book.asp?50747","זכרון שלמה &lt;לזכר ר' שלמה אלחרר&gt;")</f>
        <v>זכרון שלמה &lt;לזכר ר' שלמה אלחרר&gt;</v>
      </c>
    </row>
    <row r="14246" spans="1:6" x14ac:dyDescent="0.2">
      <c r="A14246" t="s">
        <v>23906</v>
      </c>
      <c r="B14246" t="s">
        <v>552</v>
      </c>
      <c r="C14246" t="s">
        <v>1619</v>
      </c>
      <c r="D14246" t="s">
        <v>14</v>
      </c>
      <c r="E14246" t="s">
        <v>23907</v>
      </c>
      <c r="F14246" s="2" t="str">
        <f>HYPERLINK("http://www.otzar.org/book.asp?13529","זכרון שלמה &lt;ר' שלמה זאב ורנר&gt;")</f>
        <v>זכרון שלמה &lt;ר' שלמה זאב ורנר&gt;</v>
      </c>
    </row>
    <row r="14247" spans="1:6" x14ac:dyDescent="0.2">
      <c r="A14247" t="s">
        <v>23908</v>
      </c>
      <c r="B14247" t="s">
        <v>23909</v>
      </c>
      <c r="C14247" t="s">
        <v>20</v>
      </c>
      <c r="D14247" t="s">
        <v>52</v>
      </c>
      <c r="E14247" t="s">
        <v>202</v>
      </c>
      <c r="F14247" s="2" t="str">
        <f>HYPERLINK("http://www.otzar.org/book.asp?143467","זכרון שלמה &lt;ספר הזכרון&gt;")</f>
        <v>זכרון שלמה &lt;ספר הזכרון&gt;</v>
      </c>
    </row>
    <row r="14248" spans="1:6" x14ac:dyDescent="0.2">
      <c r="A14248" t="s">
        <v>23910</v>
      </c>
      <c r="B14248" t="s">
        <v>552</v>
      </c>
      <c r="C14248" t="s">
        <v>624</v>
      </c>
      <c r="D14248" t="s">
        <v>14</v>
      </c>
      <c r="E14248" t="s">
        <v>202</v>
      </c>
      <c r="F14248" s="2" t="str">
        <f>HYPERLINK("http://www.otzar.org/book.asp?12968","זכרון שלמה ויעקב [שפיצר]")</f>
        <v>זכרון שלמה ויעקב [שפיצר]</v>
      </c>
    </row>
    <row r="14249" spans="1:6" x14ac:dyDescent="0.2">
      <c r="A14249" t="s">
        <v>23911</v>
      </c>
      <c r="B14249" t="s">
        <v>23912</v>
      </c>
      <c r="C14249" t="s">
        <v>20</v>
      </c>
      <c r="D14249" t="s">
        <v>2798</v>
      </c>
      <c r="E14249" t="s">
        <v>158</v>
      </c>
      <c r="F14249" s="2" t="str">
        <f>HYPERLINK("http://www.otzar.org/book.asp?83739","זכרון שלמה וכיבוד אב")</f>
        <v>זכרון שלמה וכיבוד אב</v>
      </c>
    </row>
    <row r="14250" spans="1:6" x14ac:dyDescent="0.2">
      <c r="A14250" t="s">
        <v>23913</v>
      </c>
      <c r="B14250" t="s">
        <v>23815</v>
      </c>
      <c r="C14250" t="s">
        <v>244</v>
      </c>
      <c r="D14250" t="s">
        <v>21</v>
      </c>
      <c r="E14250" t="s">
        <v>1164</v>
      </c>
      <c r="F14250" s="2" t="str">
        <f>HYPERLINK("http://www.otzar.org/book.asp?621850","זכרון שלמה חיים - 3 כר'")</f>
        <v>זכרון שלמה חיים - 3 כר'</v>
      </c>
    </row>
    <row r="14251" spans="1:6" x14ac:dyDescent="0.2">
      <c r="A14251" t="s">
        <v>23914</v>
      </c>
      <c r="B14251" t="s">
        <v>12069</v>
      </c>
      <c r="C14251" t="s">
        <v>1448</v>
      </c>
      <c r="D14251" t="s">
        <v>52</v>
      </c>
      <c r="F14251" s="2" t="str">
        <f>HYPERLINK("http://www.otzar.org/book.asp?156183","זכרון שלמה")</f>
        <v>זכרון שלמה</v>
      </c>
    </row>
    <row r="14252" spans="1:6" x14ac:dyDescent="0.2">
      <c r="A14252" t="s">
        <v>23914</v>
      </c>
      <c r="B14252" t="s">
        <v>12655</v>
      </c>
      <c r="C14252" t="s">
        <v>422</v>
      </c>
      <c r="D14252" t="s">
        <v>14</v>
      </c>
      <c r="E14252" t="s">
        <v>15</v>
      </c>
      <c r="F14252" s="2" t="str">
        <f>HYPERLINK("http://www.otzar.org/book.asp?158839","זכרון שלמה")</f>
        <v>זכרון שלמה</v>
      </c>
    </row>
    <row r="14253" spans="1:6" x14ac:dyDescent="0.2">
      <c r="A14253" t="s">
        <v>23915</v>
      </c>
      <c r="B14253" t="s">
        <v>23916</v>
      </c>
      <c r="C14253" t="s">
        <v>133</v>
      </c>
      <c r="D14253" t="s">
        <v>52</v>
      </c>
      <c r="E14253" t="s">
        <v>202</v>
      </c>
      <c r="F14253" s="2" t="str">
        <f>HYPERLINK("http://www.otzar.org/book.asp?180075","זכרון שלמה - ב")</f>
        <v>זכרון שלמה - ב</v>
      </c>
    </row>
    <row r="14254" spans="1:6" x14ac:dyDescent="0.2">
      <c r="A14254" t="s">
        <v>23914</v>
      </c>
      <c r="B14254" t="s">
        <v>489</v>
      </c>
      <c r="C14254" t="s">
        <v>313</v>
      </c>
      <c r="D14254" t="s">
        <v>115</v>
      </c>
      <c r="E14254" t="s">
        <v>202</v>
      </c>
      <c r="F14254" s="2" t="str">
        <f>HYPERLINK("http://www.otzar.org/book.asp?193021","זכרון שלמה")</f>
        <v>זכרון שלמה</v>
      </c>
    </row>
    <row r="14255" spans="1:6" x14ac:dyDescent="0.2">
      <c r="A14255" t="s">
        <v>23917</v>
      </c>
      <c r="B14255" t="s">
        <v>1750</v>
      </c>
      <c r="C14255" t="s">
        <v>533</v>
      </c>
      <c r="D14255" t="s">
        <v>14</v>
      </c>
      <c r="E14255" t="s">
        <v>2091</v>
      </c>
      <c r="F14255" s="2" t="str">
        <f>HYPERLINK("http://www.otzar.org/book.asp?19240","זכרון שלמה - א")</f>
        <v>זכרון שלמה - א</v>
      </c>
    </row>
    <row r="14256" spans="1:6" x14ac:dyDescent="0.2">
      <c r="A14256" t="s">
        <v>23918</v>
      </c>
      <c r="B14256" t="s">
        <v>23912</v>
      </c>
      <c r="C14256" t="s">
        <v>114</v>
      </c>
      <c r="D14256" t="s">
        <v>27</v>
      </c>
      <c r="E14256" t="s">
        <v>158</v>
      </c>
      <c r="F14256" s="2" t="str">
        <f>HYPERLINK("http://www.otzar.org/book.asp?624864","זכרון שלמה - כיבוד אב")</f>
        <v>זכרון שלמה - כיבוד אב</v>
      </c>
    </row>
    <row r="14257" spans="1:6" x14ac:dyDescent="0.2">
      <c r="A14257" t="s">
        <v>23914</v>
      </c>
      <c r="B14257" t="s">
        <v>23919</v>
      </c>
      <c r="C14257" t="s">
        <v>1246</v>
      </c>
      <c r="D14257" t="s">
        <v>27</v>
      </c>
      <c r="E14257" t="s">
        <v>158</v>
      </c>
      <c r="F14257" s="2" t="str">
        <f>HYPERLINK("http://www.otzar.org/book.asp?63438","זכרון שלמה")</f>
        <v>זכרון שלמה</v>
      </c>
    </row>
    <row r="14258" spans="1:6" x14ac:dyDescent="0.2">
      <c r="A14258" t="s">
        <v>23914</v>
      </c>
      <c r="B14258" t="s">
        <v>23920</v>
      </c>
      <c r="C14258" t="s">
        <v>812</v>
      </c>
      <c r="D14258" t="s">
        <v>23921</v>
      </c>
      <c r="E14258" t="s">
        <v>148</v>
      </c>
      <c r="F14258" s="2" t="str">
        <f>HYPERLINK("http://www.otzar.org/book.asp?18752","זכרון שלמה")</f>
        <v>זכרון שלמה</v>
      </c>
    </row>
    <row r="14259" spans="1:6" x14ac:dyDescent="0.2">
      <c r="A14259" t="s">
        <v>23922</v>
      </c>
      <c r="B14259" t="s">
        <v>23923</v>
      </c>
      <c r="C14259" t="s">
        <v>103</v>
      </c>
      <c r="D14259" t="s">
        <v>27</v>
      </c>
      <c r="E14259" t="s">
        <v>144</v>
      </c>
      <c r="F14259" s="2" t="str">
        <f>HYPERLINK("http://www.otzar.org/book.asp?624866","זכרון שלמה, אבני זכרון")</f>
        <v>זכרון שלמה, אבני זכרון</v>
      </c>
    </row>
    <row r="14260" spans="1:6" x14ac:dyDescent="0.2">
      <c r="A14260" t="s">
        <v>23924</v>
      </c>
      <c r="B14260" t="s">
        <v>23925</v>
      </c>
      <c r="C14260" t="s">
        <v>466</v>
      </c>
      <c r="D14260" t="s">
        <v>412</v>
      </c>
      <c r="E14260" t="s">
        <v>508</v>
      </c>
      <c r="F14260" s="2" t="str">
        <f>HYPERLINK("http://www.otzar.org/book.asp?159164","זכרון שמואל")</f>
        <v>זכרון שמואל</v>
      </c>
    </row>
    <row r="14261" spans="1:6" x14ac:dyDescent="0.2">
      <c r="A14261" t="s">
        <v>23926</v>
      </c>
      <c r="B14261" t="s">
        <v>23927</v>
      </c>
      <c r="C14261" t="s">
        <v>946</v>
      </c>
      <c r="D14261" t="s">
        <v>2313</v>
      </c>
      <c r="E14261" t="s">
        <v>463</v>
      </c>
      <c r="F14261" s="2" t="str">
        <f>HYPERLINK("http://www.otzar.org/book.asp?161098","זכרון שמואל - 4 כר'")</f>
        <v>זכרון שמואל - 4 כר'</v>
      </c>
    </row>
    <row r="14262" spans="1:6" x14ac:dyDescent="0.2">
      <c r="A14262" t="s">
        <v>23924</v>
      </c>
      <c r="B14262" t="s">
        <v>23928</v>
      </c>
      <c r="C14262" t="s">
        <v>523</v>
      </c>
      <c r="D14262" t="s">
        <v>52</v>
      </c>
      <c r="E14262" t="s">
        <v>474</v>
      </c>
      <c r="F14262" s="2" t="str">
        <f>HYPERLINK("http://www.otzar.org/book.asp?154118","זכרון שמואל")</f>
        <v>זכרון שמואל</v>
      </c>
    </row>
    <row r="14263" spans="1:6" x14ac:dyDescent="0.2">
      <c r="A14263" t="s">
        <v>23929</v>
      </c>
      <c r="B14263" t="s">
        <v>23930</v>
      </c>
      <c r="C14263" t="s">
        <v>17</v>
      </c>
      <c r="D14263" t="s">
        <v>1632</v>
      </c>
      <c r="E14263" t="s">
        <v>246</v>
      </c>
      <c r="F14263" s="2" t="str">
        <f>HYPERLINK("http://www.otzar.org/book.asp?159255","זכרון שמואל - 2 כר'")</f>
        <v>זכרון שמואל - 2 כר'</v>
      </c>
    </row>
    <row r="14264" spans="1:6" x14ac:dyDescent="0.2">
      <c r="A14264" t="s">
        <v>23924</v>
      </c>
      <c r="B14264" t="s">
        <v>23931</v>
      </c>
      <c r="C14264" t="s">
        <v>1718</v>
      </c>
      <c r="D14264" t="s">
        <v>56</v>
      </c>
      <c r="E14264" t="s">
        <v>23932</v>
      </c>
      <c r="F14264" s="2" t="str">
        <f>HYPERLINK("http://www.otzar.org/book.asp?19464","זכרון שמואל")</f>
        <v>זכרון שמואל</v>
      </c>
    </row>
    <row r="14265" spans="1:6" x14ac:dyDescent="0.2">
      <c r="A14265" t="s">
        <v>23933</v>
      </c>
      <c r="B14265" t="s">
        <v>23934</v>
      </c>
      <c r="C14265" t="s">
        <v>143</v>
      </c>
      <c r="D14265" t="s">
        <v>14</v>
      </c>
      <c r="E14265" t="s">
        <v>733</v>
      </c>
      <c r="F14265" s="2" t="str">
        <f>HYPERLINK("http://www.otzar.org/book.asp?146432","זכרון שמואל - תולדות משפחת לוריא")</f>
        <v>זכרון שמואל - תולדות משפחת לוריא</v>
      </c>
    </row>
    <row r="14266" spans="1:6" x14ac:dyDescent="0.2">
      <c r="A14266" t="s">
        <v>23924</v>
      </c>
      <c r="B14266" t="s">
        <v>23935</v>
      </c>
      <c r="E14266" t="s">
        <v>186</v>
      </c>
      <c r="F14266" s="2" t="str">
        <f>HYPERLINK("http://www.otzar.org/book.asp?628026","זכרון שמואל")</f>
        <v>זכרון שמואל</v>
      </c>
    </row>
    <row r="14267" spans="1:6" x14ac:dyDescent="0.2">
      <c r="A14267" t="s">
        <v>23924</v>
      </c>
      <c r="B14267" t="s">
        <v>23936</v>
      </c>
      <c r="C14267" t="s">
        <v>1310</v>
      </c>
      <c r="D14267" t="s">
        <v>60</v>
      </c>
      <c r="E14267" t="s">
        <v>144</v>
      </c>
      <c r="F14267" s="2" t="str">
        <f>HYPERLINK("http://www.otzar.org/book.asp?17562","זכרון שמואל")</f>
        <v>זכרון שמואל</v>
      </c>
    </row>
    <row r="14268" spans="1:6" x14ac:dyDescent="0.2">
      <c r="A14268" t="s">
        <v>23924</v>
      </c>
      <c r="B14268" t="s">
        <v>23937</v>
      </c>
      <c r="C14268" t="s">
        <v>51</v>
      </c>
      <c r="D14268" t="s">
        <v>14</v>
      </c>
      <c r="E14268" t="s">
        <v>202</v>
      </c>
      <c r="F14268" s="2" t="str">
        <f>HYPERLINK("http://www.otzar.org/book.asp?173873","זכרון שמואל")</f>
        <v>זכרון שמואל</v>
      </c>
    </row>
    <row r="14269" spans="1:6" x14ac:dyDescent="0.2">
      <c r="A14269" t="s">
        <v>23924</v>
      </c>
      <c r="B14269" t="s">
        <v>552</v>
      </c>
      <c r="C14269" t="s">
        <v>20</v>
      </c>
      <c r="D14269" t="s">
        <v>216</v>
      </c>
      <c r="E14269" t="s">
        <v>202</v>
      </c>
      <c r="F14269" s="2" t="str">
        <f>HYPERLINK("http://www.otzar.org/book.asp?156806","זכרון שמואל")</f>
        <v>זכרון שמואל</v>
      </c>
    </row>
    <row r="14270" spans="1:6" x14ac:dyDescent="0.2">
      <c r="A14270" t="s">
        <v>23929</v>
      </c>
      <c r="B14270" t="s">
        <v>5453</v>
      </c>
      <c r="C14270" t="s">
        <v>13702</v>
      </c>
      <c r="D14270" t="s">
        <v>699</v>
      </c>
      <c r="E14270" t="s">
        <v>474</v>
      </c>
      <c r="F14270" s="2" t="str">
        <f>HYPERLINK("http://www.otzar.org/book.asp?141957","זכרון שמואל - 2 כר'")</f>
        <v>זכרון שמואל - 2 כר'</v>
      </c>
    </row>
    <row r="14271" spans="1:6" x14ac:dyDescent="0.2">
      <c r="A14271" t="s">
        <v>23924</v>
      </c>
      <c r="B14271" t="s">
        <v>23938</v>
      </c>
      <c r="C14271" t="s">
        <v>168</v>
      </c>
      <c r="D14271" t="s">
        <v>52</v>
      </c>
      <c r="E14271" t="s">
        <v>144</v>
      </c>
      <c r="F14271" s="2" t="str">
        <f>HYPERLINK("http://www.otzar.org/book.asp?21906","זכרון שמואל")</f>
        <v>זכרון שמואל</v>
      </c>
    </row>
    <row r="14272" spans="1:6" x14ac:dyDescent="0.2">
      <c r="A14272" t="s">
        <v>23939</v>
      </c>
      <c r="B14272" t="s">
        <v>23940</v>
      </c>
      <c r="C14272" t="s">
        <v>356</v>
      </c>
      <c r="D14272" t="s">
        <v>14</v>
      </c>
      <c r="E14272" t="s">
        <v>463</v>
      </c>
      <c r="F14272" s="2" t="str">
        <f>HYPERLINK("http://www.otzar.org/book.asp?607055","זכרון שמעון")</f>
        <v>זכרון שמעון</v>
      </c>
    </row>
    <row r="14273" spans="1:6" x14ac:dyDescent="0.2">
      <c r="A14273" t="s">
        <v>23941</v>
      </c>
      <c r="B14273" t="s">
        <v>23942</v>
      </c>
      <c r="C14273" t="s">
        <v>1177</v>
      </c>
      <c r="D14273" t="s">
        <v>56</v>
      </c>
      <c r="E14273" t="s">
        <v>803</v>
      </c>
      <c r="F14273" s="2" t="str">
        <f>HYPERLINK("http://www.otzar.org/book.asp?141059","זכרון שמשון")</f>
        <v>זכרון שמשון</v>
      </c>
    </row>
    <row r="14274" spans="1:6" x14ac:dyDescent="0.2">
      <c r="A14274" t="s">
        <v>23943</v>
      </c>
      <c r="B14274" t="s">
        <v>23944</v>
      </c>
      <c r="C14274" t="s">
        <v>454</v>
      </c>
      <c r="D14274" t="s">
        <v>14</v>
      </c>
      <c r="E14274" t="s">
        <v>130</v>
      </c>
      <c r="F14274" s="2" t="str">
        <f>HYPERLINK("http://www.otzar.org/book.asp?146464","זכרון תורת משה")</f>
        <v>זכרון תורת משה</v>
      </c>
    </row>
    <row r="14275" spans="1:6" x14ac:dyDescent="0.2">
      <c r="A14275" t="s">
        <v>23943</v>
      </c>
      <c r="B14275" t="s">
        <v>23945</v>
      </c>
      <c r="C14275" t="s">
        <v>19870</v>
      </c>
      <c r="D14275" t="s">
        <v>1490</v>
      </c>
      <c r="E14275" t="s">
        <v>213</v>
      </c>
      <c r="F14275" s="2" t="str">
        <f>HYPERLINK("http://www.otzar.org/book.asp?104272","זכרון תורת משה")</f>
        <v>זכרון תורת משה</v>
      </c>
    </row>
    <row r="14276" spans="1:6" x14ac:dyDescent="0.2">
      <c r="A14276" t="s">
        <v>23943</v>
      </c>
      <c r="B14276" t="s">
        <v>23946</v>
      </c>
      <c r="C14276" t="s">
        <v>189</v>
      </c>
      <c r="D14276" t="s">
        <v>14</v>
      </c>
      <c r="E14276" t="s">
        <v>23947</v>
      </c>
      <c r="F14276" s="2" t="str">
        <f>HYPERLINK("http://www.otzar.org/book.asp?24740","זכרון תורת משה")</f>
        <v>זכרון תורת משה</v>
      </c>
    </row>
    <row r="14277" spans="1:6" x14ac:dyDescent="0.2">
      <c r="A14277" t="s">
        <v>23948</v>
      </c>
      <c r="B14277" t="s">
        <v>23949</v>
      </c>
      <c r="C14277" t="s">
        <v>37</v>
      </c>
      <c r="D14277" t="s">
        <v>90</v>
      </c>
      <c r="E14277" t="s">
        <v>202</v>
      </c>
      <c r="F14277" s="2" t="str">
        <f>HYPERLINK("http://www.otzar.org/book.asp?191167","זכרון תפארת צבי")</f>
        <v>זכרון תפארת צבי</v>
      </c>
    </row>
    <row r="14278" spans="1:6" x14ac:dyDescent="0.2">
      <c r="A14278" t="s">
        <v>23950</v>
      </c>
      <c r="B14278" t="s">
        <v>23951</v>
      </c>
      <c r="C14278" t="s">
        <v>4462</v>
      </c>
      <c r="D14278" t="s">
        <v>6042</v>
      </c>
      <c r="E14278" t="s">
        <v>130</v>
      </c>
      <c r="F14278" s="2" t="str">
        <f>HYPERLINK("http://www.otzar.org/book.asp?63831","זכרון תרועה")</f>
        <v>זכרון תרועה</v>
      </c>
    </row>
    <row r="14279" spans="1:6" x14ac:dyDescent="0.2">
      <c r="A14279" t="s">
        <v>23950</v>
      </c>
      <c r="B14279" t="s">
        <v>23952</v>
      </c>
      <c r="C14279" t="s">
        <v>1991</v>
      </c>
      <c r="D14279" t="s">
        <v>1023</v>
      </c>
      <c r="E14279" t="s">
        <v>1262</v>
      </c>
      <c r="F14279" s="2" t="str">
        <f>HYPERLINK("http://www.otzar.org/book.asp?148157","זכרון תרועה")</f>
        <v>זכרון תרועה</v>
      </c>
    </row>
    <row r="14280" spans="1:6" x14ac:dyDescent="0.2">
      <c r="A14280" t="s">
        <v>23950</v>
      </c>
      <c r="B14280" t="s">
        <v>107</v>
      </c>
      <c r="C14280" t="s">
        <v>940</v>
      </c>
      <c r="D14280" t="s">
        <v>14</v>
      </c>
      <c r="E14280" t="s">
        <v>130</v>
      </c>
      <c r="F14280" s="2" t="str">
        <f>HYPERLINK("http://www.otzar.org/book.asp?84011","זכרון תרועה")</f>
        <v>זכרון תרועה</v>
      </c>
    </row>
    <row r="14281" spans="1:6" x14ac:dyDescent="0.2">
      <c r="A14281" t="s">
        <v>23950</v>
      </c>
      <c r="B14281" t="s">
        <v>10789</v>
      </c>
      <c r="C14281" t="s">
        <v>87</v>
      </c>
      <c r="D14281" t="s">
        <v>21</v>
      </c>
      <c r="E14281" t="s">
        <v>144</v>
      </c>
      <c r="F14281" s="2" t="str">
        <f>HYPERLINK("http://www.otzar.org/book.asp?196160","זכרון תרועה")</f>
        <v>זכרון תרועה</v>
      </c>
    </row>
    <row r="14282" spans="1:6" x14ac:dyDescent="0.2">
      <c r="A14282" t="s">
        <v>23953</v>
      </c>
      <c r="B14282" t="s">
        <v>16542</v>
      </c>
      <c r="C14282" t="s">
        <v>896</v>
      </c>
      <c r="D14282" t="s">
        <v>283</v>
      </c>
      <c r="E14282" t="s">
        <v>172</v>
      </c>
      <c r="F14282" s="2" t="str">
        <f>HYPERLINK("http://www.otzar.org/book.asp?169528","זכרון - מליחה בשר בחלב תערובת")</f>
        <v>זכרון - מליחה בשר בחלב תערובת</v>
      </c>
    </row>
    <row r="14283" spans="1:6" x14ac:dyDescent="0.2">
      <c r="A14283" t="s">
        <v>23954</v>
      </c>
      <c r="B14283" t="s">
        <v>23955</v>
      </c>
      <c r="C14283" t="s">
        <v>8</v>
      </c>
      <c r="D14283" t="s">
        <v>15924</v>
      </c>
      <c r="E14283" t="s">
        <v>119</v>
      </c>
      <c r="F14283" s="2" t="str">
        <f>HYPERLINK("http://www.otzar.org/book.asp?23568","זכרונות (רבנו אליהו חיים מייזעל זצ""ל)")</f>
        <v>זכרונות (רבנו אליהו חיים מייזעל זצ"ל)</v>
      </c>
    </row>
    <row r="14284" spans="1:6" x14ac:dyDescent="0.2">
      <c r="A14284" t="s">
        <v>23956</v>
      </c>
      <c r="B14284" t="s">
        <v>23957</v>
      </c>
      <c r="C14284" t="s">
        <v>63</v>
      </c>
      <c r="D14284" t="s">
        <v>14</v>
      </c>
      <c r="E14284" t="s">
        <v>119</v>
      </c>
      <c r="F14284" s="2" t="str">
        <f>HYPERLINK("http://www.otzar.org/book.asp?144548","זכרונות אב ובנו")</f>
        <v>זכרונות אב ובנו</v>
      </c>
    </row>
    <row r="14285" spans="1:6" x14ac:dyDescent="0.2">
      <c r="A14285" t="s">
        <v>23958</v>
      </c>
      <c r="B14285" t="s">
        <v>19671</v>
      </c>
      <c r="C14285" t="s">
        <v>624</v>
      </c>
      <c r="D14285" t="s">
        <v>2458</v>
      </c>
      <c r="E14285" t="s">
        <v>148</v>
      </c>
      <c r="F14285" s="2" t="str">
        <f>HYPERLINK("http://www.otzar.org/book.asp?148900","זכרונות אליהו - 4 כר'")</f>
        <v>זכרונות אליהו - 4 כר'</v>
      </c>
    </row>
    <row r="14286" spans="1:6" x14ac:dyDescent="0.2">
      <c r="A14286" t="s">
        <v>23959</v>
      </c>
      <c r="B14286" t="s">
        <v>13651</v>
      </c>
      <c r="C14286" t="s">
        <v>609</v>
      </c>
      <c r="D14286" t="s">
        <v>260</v>
      </c>
      <c r="E14286" t="s">
        <v>733</v>
      </c>
      <c r="F14286" s="2" t="str">
        <f>HYPERLINK("http://www.otzar.org/book.asp?161446","זכרונות גליקל")</f>
        <v>זכרונות גליקל</v>
      </c>
    </row>
    <row r="14287" spans="1:6" x14ac:dyDescent="0.2">
      <c r="A14287" t="s">
        <v>23960</v>
      </c>
      <c r="B14287" t="s">
        <v>23961</v>
      </c>
      <c r="C14287" t="s">
        <v>585</v>
      </c>
      <c r="D14287" t="s">
        <v>14</v>
      </c>
      <c r="E14287" t="s">
        <v>119</v>
      </c>
      <c r="F14287" s="2" t="str">
        <f>HYPERLINK("http://www.otzar.org/book.asp?195041","זכרונות הרב משה אויערבך")</f>
        <v>זכרונות הרב משה אויערבך</v>
      </c>
    </row>
    <row r="14288" spans="1:6" x14ac:dyDescent="0.2">
      <c r="A14288" t="s">
        <v>23962</v>
      </c>
      <c r="B14288" t="s">
        <v>23963</v>
      </c>
      <c r="C14288" t="s">
        <v>20</v>
      </c>
      <c r="D14288" t="s">
        <v>90</v>
      </c>
      <c r="F14288" s="2" t="str">
        <f>HYPERLINK("http://www.otzar.org/book.asp?609897","זכרונות הרב ר' אברהם צ'צ'יק")</f>
        <v>זכרונות הרב ר' אברהם צ'צ'יק</v>
      </c>
    </row>
    <row r="14289" spans="1:6" x14ac:dyDescent="0.2">
      <c r="A14289" t="s">
        <v>23964</v>
      </c>
      <c r="B14289" t="s">
        <v>13192</v>
      </c>
      <c r="C14289" t="s">
        <v>37</v>
      </c>
      <c r="D14289" t="s">
        <v>52</v>
      </c>
      <c r="E14289" t="s">
        <v>199</v>
      </c>
      <c r="F14289" s="2" t="str">
        <f>HYPERLINK("http://www.otzar.org/book.asp?197992","זכרונות ומסורות על החתם סופר")</f>
        <v>זכרונות ומסורות על החתם סופר</v>
      </c>
    </row>
    <row r="14290" spans="1:6" x14ac:dyDescent="0.2">
      <c r="A14290" t="s">
        <v>23965</v>
      </c>
      <c r="B14290" t="s">
        <v>23966</v>
      </c>
      <c r="C14290" t="s">
        <v>20</v>
      </c>
      <c r="D14290" t="s">
        <v>14</v>
      </c>
      <c r="E14290" t="s">
        <v>104</v>
      </c>
      <c r="F14290" s="2" t="str">
        <f>HYPERLINK("http://www.otzar.org/book.asp?196555","זכרונות חיי")</f>
        <v>זכרונות חיי</v>
      </c>
    </row>
    <row r="14291" spans="1:6" x14ac:dyDescent="0.2">
      <c r="A14291" t="s">
        <v>23967</v>
      </c>
      <c r="B14291" t="s">
        <v>15326</v>
      </c>
      <c r="C14291" t="s">
        <v>442</v>
      </c>
      <c r="D14291" t="s">
        <v>563</v>
      </c>
      <c r="E14291" t="s">
        <v>5445</v>
      </c>
      <c r="F14291" s="2" t="str">
        <f>HYPERLINK("http://www.otzar.org/book.asp?20156","זכרונות מנעורי ועד הנה")</f>
        <v>זכרונות מנעורי ועד הנה</v>
      </c>
    </row>
    <row r="14292" spans="1:6" x14ac:dyDescent="0.2">
      <c r="A14292" t="s">
        <v>23968</v>
      </c>
      <c r="B14292" t="s">
        <v>23969</v>
      </c>
      <c r="C14292" t="s">
        <v>767</v>
      </c>
      <c r="D14292" t="s">
        <v>115</v>
      </c>
      <c r="E14292" t="s">
        <v>199</v>
      </c>
      <c r="F14292" s="2" t="str">
        <f>HYPERLINK("http://www.otzar.org/book.asp?179464","זכרונות מעולם שאבד וקורות חיי - דוקלא")</f>
        <v>זכרונות מעולם שאבד וקורות חיי - דוקלא</v>
      </c>
    </row>
    <row r="14293" spans="1:6" x14ac:dyDescent="0.2">
      <c r="A14293" t="s">
        <v>23970</v>
      </c>
      <c r="B14293" t="s">
        <v>23971</v>
      </c>
      <c r="C14293" t="s">
        <v>313</v>
      </c>
      <c r="D14293" t="s">
        <v>52</v>
      </c>
      <c r="E14293" t="s">
        <v>119</v>
      </c>
      <c r="F14293" s="2" t="str">
        <f>HYPERLINK("http://www.otzar.org/book.asp?147904","זכרונות מקהילת מטרסדורף")</f>
        <v>זכרונות מקהילת מטרסדורף</v>
      </c>
    </row>
    <row r="14294" spans="1:6" x14ac:dyDescent="0.2">
      <c r="A14294" t="s">
        <v>23972</v>
      </c>
      <c r="B14294" t="s">
        <v>5705</v>
      </c>
      <c r="C14294" t="s">
        <v>1166</v>
      </c>
      <c r="D14294" t="s">
        <v>283</v>
      </c>
      <c r="E14294" t="s">
        <v>213</v>
      </c>
      <c r="F14294" s="2" t="str">
        <f>HYPERLINK("http://www.otzar.org/book.asp?85110","זכרונות מרדכי")</f>
        <v>זכרונות מרדכי</v>
      </c>
    </row>
    <row r="14295" spans="1:6" x14ac:dyDescent="0.2">
      <c r="A14295" t="s">
        <v>23973</v>
      </c>
      <c r="B14295" t="s">
        <v>23974</v>
      </c>
      <c r="C14295" t="s">
        <v>224</v>
      </c>
      <c r="D14295" t="s">
        <v>412</v>
      </c>
      <c r="E14295" t="s">
        <v>733</v>
      </c>
      <c r="F14295" s="2" t="str">
        <f>HYPERLINK("http://www.otzar.org/book.asp?178878","זכרונות פון צווי דורות")</f>
        <v>זכרונות פון צווי דורות</v>
      </c>
    </row>
    <row r="14296" spans="1:6" x14ac:dyDescent="0.2">
      <c r="A14296" t="s">
        <v>23975</v>
      </c>
      <c r="B14296" t="s">
        <v>23976</v>
      </c>
      <c r="C14296" t="s">
        <v>609</v>
      </c>
      <c r="D14296" t="s">
        <v>27</v>
      </c>
      <c r="E14296" t="s">
        <v>733</v>
      </c>
      <c r="F14296" s="2" t="str">
        <f>HYPERLINK("http://www.otzar.org/book.asp?150061","זכרונות ר' זרח ברנט")</f>
        <v>זכרונות ר' זרח ברנט</v>
      </c>
    </row>
    <row r="14297" spans="1:6" x14ac:dyDescent="0.2">
      <c r="A14297" t="s">
        <v>23977</v>
      </c>
      <c r="B14297" t="s">
        <v>23978</v>
      </c>
      <c r="C14297" t="s">
        <v>26</v>
      </c>
      <c r="D14297" t="s">
        <v>14</v>
      </c>
      <c r="E14297" t="s">
        <v>733</v>
      </c>
      <c r="F14297" s="2" t="str">
        <f>HYPERLINK("http://www.otzar.org/book.asp?162520","זכרונות ראשונים")</f>
        <v>זכרונות ראשונים</v>
      </c>
    </row>
    <row r="14298" spans="1:6" x14ac:dyDescent="0.2">
      <c r="A14298" t="s">
        <v>23979</v>
      </c>
      <c r="B14298" t="s">
        <v>13527</v>
      </c>
      <c r="C14298" t="s">
        <v>20</v>
      </c>
      <c r="D14298" t="s">
        <v>21</v>
      </c>
      <c r="E14298" t="s">
        <v>119</v>
      </c>
      <c r="F14298" s="2" t="str">
        <f>HYPERLINK("http://www.otzar.org/book.asp?601260","זכרונות רמב""ח - בית רבי")</f>
        <v>זכרונות רמב"ח - בית רבי</v>
      </c>
    </row>
    <row r="14299" spans="1:6" x14ac:dyDescent="0.2">
      <c r="A14299" t="s">
        <v>23980</v>
      </c>
      <c r="B14299" t="s">
        <v>23981</v>
      </c>
      <c r="C14299" t="s">
        <v>176</v>
      </c>
      <c r="D14299" t="s">
        <v>412</v>
      </c>
      <c r="E14299" t="s">
        <v>119</v>
      </c>
      <c r="F14299" s="2" t="str">
        <f>HYPERLINK("http://www.otzar.org/book.asp?195787","זכרונות")</f>
        <v>זכרונות</v>
      </c>
    </row>
    <row r="14300" spans="1:6" x14ac:dyDescent="0.2">
      <c r="A14300" t="s">
        <v>23980</v>
      </c>
      <c r="B14300" t="s">
        <v>7876</v>
      </c>
      <c r="C14300" t="s">
        <v>3106</v>
      </c>
      <c r="D14300" t="s">
        <v>27</v>
      </c>
      <c r="E14300" t="s">
        <v>119</v>
      </c>
      <c r="F14300" s="2" t="str">
        <f>HYPERLINK("http://www.otzar.org/book.asp?106349","זכרונות")</f>
        <v>זכרונות</v>
      </c>
    </row>
    <row r="14301" spans="1:6" x14ac:dyDescent="0.2">
      <c r="A14301" t="s">
        <v>23980</v>
      </c>
      <c r="B14301" t="s">
        <v>23982</v>
      </c>
      <c r="C14301" t="s">
        <v>20</v>
      </c>
      <c r="D14301" t="s">
        <v>90</v>
      </c>
      <c r="E14301" t="s">
        <v>202</v>
      </c>
      <c r="F14301" s="2" t="str">
        <f>HYPERLINK("http://www.otzar.org/book.asp?602659","זכרונות")</f>
        <v>זכרונות</v>
      </c>
    </row>
    <row r="14302" spans="1:6" x14ac:dyDescent="0.2">
      <c r="A14302" t="s">
        <v>23983</v>
      </c>
      <c r="B14302" t="s">
        <v>23984</v>
      </c>
      <c r="C14302" t="s">
        <v>1954</v>
      </c>
      <c r="D14302" t="s">
        <v>260</v>
      </c>
      <c r="E14302" t="s">
        <v>733</v>
      </c>
      <c r="F14302" s="2" t="str">
        <f>HYPERLINK("http://www.otzar.org/book.asp?176583","זכרונות - 2 כר'")</f>
        <v>זכרונות - 2 כר'</v>
      </c>
    </row>
    <row r="14303" spans="1:6" x14ac:dyDescent="0.2">
      <c r="A14303" t="s">
        <v>23985</v>
      </c>
      <c r="B14303" t="s">
        <v>78</v>
      </c>
      <c r="C14303" t="s">
        <v>3607</v>
      </c>
      <c r="D14303" t="s">
        <v>27</v>
      </c>
      <c r="E14303" t="s">
        <v>119</v>
      </c>
      <c r="F14303" s="2" t="str">
        <f>HYPERLINK("http://www.otzar.org/book.asp?18755","זכרונותי על בני ברק - 2 כר'")</f>
        <v>זכרונותי על בני ברק - 2 כר'</v>
      </c>
    </row>
    <row r="14304" spans="1:6" x14ac:dyDescent="0.2">
      <c r="A14304" t="s">
        <v>23986</v>
      </c>
      <c r="B14304" t="s">
        <v>3520</v>
      </c>
      <c r="C14304" t="s">
        <v>68</v>
      </c>
      <c r="D14304" t="s">
        <v>14</v>
      </c>
      <c r="E14304" t="s">
        <v>104</v>
      </c>
      <c r="F14304" s="2" t="str">
        <f>HYPERLINK("http://www.otzar.org/book.asp?166467","זכרונם לברכה - 2 כר'")</f>
        <v>זכרונם לברכה - 2 כר'</v>
      </c>
    </row>
    <row r="14305" spans="1:6" x14ac:dyDescent="0.2">
      <c r="A14305" t="s">
        <v>23987</v>
      </c>
      <c r="B14305" t="s">
        <v>7973</v>
      </c>
      <c r="C14305" t="s">
        <v>1640</v>
      </c>
      <c r="D14305" t="s">
        <v>14</v>
      </c>
      <c r="E14305" t="s">
        <v>2775</v>
      </c>
      <c r="F14305" s="2" t="str">
        <f>HYPERLINK("http://www.otzar.org/book.asp?172257","זכרי כהונה - 2 כר'")</f>
        <v>זכרי כהונה - 2 כר'</v>
      </c>
    </row>
    <row r="14306" spans="1:6" x14ac:dyDescent="0.2">
      <c r="A14306" t="s">
        <v>23988</v>
      </c>
      <c r="B14306" t="s">
        <v>3591</v>
      </c>
      <c r="C14306" t="s">
        <v>79</v>
      </c>
      <c r="D14306" t="s">
        <v>1889</v>
      </c>
      <c r="E14306" t="s">
        <v>104</v>
      </c>
      <c r="F14306" s="2" t="str">
        <f>HYPERLINK("http://www.otzar.org/book.asp?170990","זכרי כהונה")</f>
        <v>זכרי כהונה</v>
      </c>
    </row>
    <row r="14307" spans="1:6" x14ac:dyDescent="0.2">
      <c r="A14307" t="s">
        <v>23989</v>
      </c>
      <c r="B14307" t="s">
        <v>23990</v>
      </c>
      <c r="C14307" t="s">
        <v>1991</v>
      </c>
      <c r="D14307" t="s">
        <v>1833</v>
      </c>
      <c r="E14307" t="s">
        <v>399</v>
      </c>
      <c r="F14307" s="2" t="str">
        <f>HYPERLINK("http://www.otzar.org/book.asp?146594","זכריה המבין - 2 כר'")</f>
        <v>זכריה המבין - 2 כר'</v>
      </c>
    </row>
    <row r="14308" spans="1:6" x14ac:dyDescent="0.2">
      <c r="A14308" t="s">
        <v>23991</v>
      </c>
      <c r="B14308" t="s">
        <v>23990</v>
      </c>
      <c r="C14308" t="s">
        <v>23992</v>
      </c>
      <c r="D14308" t="s">
        <v>2290</v>
      </c>
      <c r="E14308" t="s">
        <v>22122</v>
      </c>
      <c r="F14308" s="2" t="str">
        <f>HYPERLINK("http://www.otzar.org/book.asp?100894","זכריה משלם")</f>
        <v>זכריה משלם</v>
      </c>
    </row>
    <row r="14309" spans="1:6" x14ac:dyDescent="0.2">
      <c r="A14309" t="s">
        <v>23993</v>
      </c>
      <c r="B14309" t="s">
        <v>3276</v>
      </c>
      <c r="C14309" t="s">
        <v>20</v>
      </c>
      <c r="D14309" t="s">
        <v>90</v>
      </c>
      <c r="F14309" s="2" t="str">
        <f>HYPERLINK("http://www.otzar.org/book.asp?616504","זכרם לברכה")</f>
        <v>זכרם לברכה</v>
      </c>
    </row>
    <row r="14310" spans="1:6" x14ac:dyDescent="0.2">
      <c r="A14310" t="s">
        <v>23994</v>
      </c>
      <c r="B14310" t="s">
        <v>23995</v>
      </c>
      <c r="C14310" t="s">
        <v>1374</v>
      </c>
      <c r="D14310" t="s">
        <v>225</v>
      </c>
      <c r="E14310" t="s">
        <v>493</v>
      </c>
      <c r="F14310" s="2" t="str">
        <f>HYPERLINK("http://www.otzar.org/book.asp?101104","זכרן שלמה")</f>
        <v>זכרן שלמה</v>
      </c>
    </row>
    <row r="14311" spans="1:6" x14ac:dyDescent="0.2">
      <c r="A14311" t="s">
        <v>23996</v>
      </c>
      <c r="B14311" t="s">
        <v>23997</v>
      </c>
      <c r="C14311" t="s">
        <v>20</v>
      </c>
      <c r="D14311" t="s">
        <v>90</v>
      </c>
      <c r="E14311" t="s">
        <v>199</v>
      </c>
      <c r="F14311" s="2" t="str">
        <f>HYPERLINK("http://www.otzar.org/book.asp?197185","זכרנו בזכרון טוב")</f>
        <v>זכרנו בזכרון טוב</v>
      </c>
    </row>
    <row r="14312" spans="1:6" x14ac:dyDescent="0.2">
      <c r="A14312" t="s">
        <v>23998</v>
      </c>
      <c r="B14312" t="s">
        <v>23999</v>
      </c>
      <c r="C14312" t="s">
        <v>523</v>
      </c>
      <c r="D14312" t="s">
        <v>21</v>
      </c>
      <c r="E14312" t="s">
        <v>246</v>
      </c>
      <c r="F14312" s="2" t="str">
        <f>HYPERLINK("http://www.otzar.org/book.asp?198427","זכרנו לחיים &lt;מהדורה חדשה&gt; - אספרה לאחי")</f>
        <v>זכרנו לחיים &lt;מהדורה חדשה&gt; - אספרה לאחי</v>
      </c>
    </row>
    <row r="14313" spans="1:6" x14ac:dyDescent="0.2">
      <c r="A14313" t="s">
        <v>24000</v>
      </c>
      <c r="B14313" t="s">
        <v>15208</v>
      </c>
      <c r="C14313" t="s">
        <v>812</v>
      </c>
      <c r="D14313" t="s">
        <v>1081</v>
      </c>
      <c r="E14313" t="s">
        <v>226</v>
      </c>
      <c r="F14313" s="2" t="str">
        <f>HYPERLINK("http://www.otzar.org/book.asp?100005","זכרנו לחיים")</f>
        <v>זכרנו לחיים</v>
      </c>
    </row>
    <row r="14314" spans="1:6" x14ac:dyDescent="0.2">
      <c r="A14314" t="s">
        <v>24000</v>
      </c>
      <c r="B14314" t="s">
        <v>5611</v>
      </c>
      <c r="C14314" t="s">
        <v>1458</v>
      </c>
      <c r="D14314" t="s">
        <v>212</v>
      </c>
      <c r="E14314" t="s">
        <v>4731</v>
      </c>
      <c r="F14314" s="2" t="str">
        <f>HYPERLINK("http://www.otzar.org/book.asp?52168","זכרנו לחיים")</f>
        <v>זכרנו לחיים</v>
      </c>
    </row>
    <row r="14315" spans="1:6" x14ac:dyDescent="0.2">
      <c r="A14315" t="s">
        <v>24000</v>
      </c>
      <c r="B14315" t="s">
        <v>10056</v>
      </c>
      <c r="C14315" t="s">
        <v>422</v>
      </c>
      <c r="D14315" t="s">
        <v>1180</v>
      </c>
      <c r="E14315" t="s">
        <v>3055</v>
      </c>
      <c r="F14315" s="2" t="str">
        <f>HYPERLINK("http://www.otzar.org/book.asp?199372","זכרנו לחיים")</f>
        <v>זכרנו לחיים</v>
      </c>
    </row>
    <row r="14316" spans="1:6" x14ac:dyDescent="0.2">
      <c r="A14316" t="s">
        <v>24001</v>
      </c>
      <c r="B14316" t="s">
        <v>24002</v>
      </c>
      <c r="C14316" t="s">
        <v>24003</v>
      </c>
      <c r="D14316" t="s">
        <v>76</v>
      </c>
      <c r="E14316" t="s">
        <v>104</v>
      </c>
      <c r="F14316" s="2" t="str">
        <f>HYPERLINK("http://www.otzar.org/book.asp?100919","זכרנו לחיים - 2 כר'")</f>
        <v>זכרנו לחיים - 2 כר'</v>
      </c>
    </row>
    <row r="14317" spans="1:6" x14ac:dyDescent="0.2">
      <c r="A14317" t="s">
        <v>24004</v>
      </c>
      <c r="B14317" t="s">
        <v>9434</v>
      </c>
      <c r="C14317" t="s">
        <v>37</v>
      </c>
      <c r="D14317" t="s">
        <v>90</v>
      </c>
      <c r="E14317" t="s">
        <v>393</v>
      </c>
      <c r="F14317" s="2" t="str">
        <f>HYPERLINK("http://www.otzar.org/book.asp?193498","זכרתי ימים מקדם")</f>
        <v>זכרתי ימים מקדם</v>
      </c>
    </row>
    <row r="14318" spans="1:6" x14ac:dyDescent="0.2">
      <c r="A14318" t="s">
        <v>24005</v>
      </c>
      <c r="B14318" t="s">
        <v>3989</v>
      </c>
      <c r="C14318" t="s">
        <v>13</v>
      </c>
      <c r="D14318" t="s">
        <v>52</v>
      </c>
      <c r="E14318" t="s">
        <v>219</v>
      </c>
      <c r="F14318" s="2" t="str">
        <f>HYPERLINK("http://www.otzar.org/book.asp?84686","זמירות אור אש")</f>
        <v>זמירות אור אש</v>
      </c>
    </row>
    <row r="14319" spans="1:6" x14ac:dyDescent="0.2">
      <c r="A14319" t="s">
        <v>24006</v>
      </c>
      <c r="B14319" t="s">
        <v>9043</v>
      </c>
      <c r="C14319" t="s">
        <v>114</v>
      </c>
      <c r="D14319" t="s">
        <v>90</v>
      </c>
      <c r="E14319" t="s">
        <v>104</v>
      </c>
      <c r="F14319" s="2" t="str">
        <f>HYPERLINK("http://www.otzar.org/book.asp?160097","זמירות דוד")</f>
        <v>זמירות דוד</v>
      </c>
    </row>
    <row r="14320" spans="1:6" x14ac:dyDescent="0.2">
      <c r="A14320" t="s">
        <v>24006</v>
      </c>
      <c r="B14320" t="s">
        <v>23800</v>
      </c>
      <c r="C14320" t="s">
        <v>2874</v>
      </c>
      <c r="D14320" t="s">
        <v>9</v>
      </c>
      <c r="E14320" t="s">
        <v>219</v>
      </c>
      <c r="F14320" s="2" t="str">
        <f>HYPERLINK("http://www.otzar.org/book.asp?18757","זמירות דוד")</f>
        <v>זמירות דוד</v>
      </c>
    </row>
    <row r="14321" spans="1:6" x14ac:dyDescent="0.2">
      <c r="A14321" t="s">
        <v>24007</v>
      </c>
      <c r="B14321" t="s">
        <v>24008</v>
      </c>
      <c r="C14321" t="s">
        <v>812</v>
      </c>
      <c r="D14321" t="s">
        <v>15943</v>
      </c>
      <c r="E14321" t="s">
        <v>674</v>
      </c>
      <c r="F14321" s="2" t="str">
        <f>HYPERLINK("http://www.otzar.org/book.asp?619479","זמירות החקים - א")</f>
        <v>זמירות החקים - א</v>
      </c>
    </row>
    <row r="14322" spans="1:6" x14ac:dyDescent="0.2">
      <c r="A14322" t="s">
        <v>24009</v>
      </c>
      <c r="B14322" t="s">
        <v>24010</v>
      </c>
      <c r="C14322" t="s">
        <v>313</v>
      </c>
      <c r="D14322" t="s">
        <v>14</v>
      </c>
      <c r="E14322" t="s">
        <v>219</v>
      </c>
      <c r="F14322" s="2" t="str">
        <f>HYPERLINK("http://www.otzar.org/book.asp?63246","זמירות המבוארות לשבת")</f>
        <v>זמירות המבוארות לשבת</v>
      </c>
    </row>
    <row r="14323" spans="1:6" x14ac:dyDescent="0.2">
      <c r="A14323" t="s">
        <v>24009</v>
      </c>
      <c r="B14323" t="s">
        <v>6991</v>
      </c>
      <c r="C14323" t="s">
        <v>13</v>
      </c>
      <c r="D14323" t="s">
        <v>14</v>
      </c>
      <c r="E14323" t="s">
        <v>1517</v>
      </c>
      <c r="F14323" s="2" t="str">
        <f>HYPERLINK("http://www.otzar.org/book.asp?625507","זמירות המבוארות לשבת")</f>
        <v>זמירות המבוארות לשבת</v>
      </c>
    </row>
    <row r="14324" spans="1:6" x14ac:dyDescent="0.2">
      <c r="A14324" t="s">
        <v>24011</v>
      </c>
      <c r="B14324" t="s">
        <v>24012</v>
      </c>
      <c r="C14324" t="s">
        <v>133</v>
      </c>
      <c r="D14324" t="s">
        <v>367</v>
      </c>
      <c r="F14324" s="2" t="str">
        <f>HYPERLINK("http://www.otzar.org/book.asp?610772","זמירות וסדר האושפיזין וסדר הקפות")</f>
        <v>זמירות וסדר האושפיזין וסדר הקפות</v>
      </c>
    </row>
    <row r="14325" spans="1:6" x14ac:dyDescent="0.2">
      <c r="A14325" t="s">
        <v>24013</v>
      </c>
      <c r="B14325" t="s">
        <v>206</v>
      </c>
      <c r="C14325" t="s">
        <v>111</v>
      </c>
      <c r="D14325" t="s">
        <v>14</v>
      </c>
      <c r="E14325" t="s">
        <v>219</v>
      </c>
      <c r="F14325" s="2" t="str">
        <f>HYPERLINK("http://www.otzar.org/book.asp?629374","זמירות ישראל")</f>
        <v>זמירות ישראל</v>
      </c>
    </row>
    <row r="14326" spans="1:6" x14ac:dyDescent="0.2">
      <c r="A14326" t="s">
        <v>24013</v>
      </c>
      <c r="B14326" t="s">
        <v>24014</v>
      </c>
      <c r="C14326" t="s">
        <v>919</v>
      </c>
      <c r="D14326" t="s">
        <v>52</v>
      </c>
      <c r="E14326" t="s">
        <v>219</v>
      </c>
      <c r="F14326" s="2" t="str">
        <f>HYPERLINK("http://www.otzar.org/book.asp?167803","זמירות ישראל")</f>
        <v>זמירות ישראל</v>
      </c>
    </row>
    <row r="14327" spans="1:6" x14ac:dyDescent="0.2">
      <c r="A14327" t="s">
        <v>24013</v>
      </c>
      <c r="B14327" t="s">
        <v>24015</v>
      </c>
      <c r="C14327" t="s">
        <v>244</v>
      </c>
      <c r="D14327" t="s">
        <v>14</v>
      </c>
      <c r="E14327" t="s">
        <v>219</v>
      </c>
      <c r="F14327" s="2" t="str">
        <f>HYPERLINK("http://www.otzar.org/book.asp?606525","זמירות ישראל")</f>
        <v>זמירות ישראל</v>
      </c>
    </row>
    <row r="14328" spans="1:6" x14ac:dyDescent="0.2">
      <c r="A14328" t="s">
        <v>24016</v>
      </c>
      <c r="B14328" t="s">
        <v>24017</v>
      </c>
      <c r="C14328" t="s">
        <v>24018</v>
      </c>
      <c r="D14328" t="s">
        <v>49</v>
      </c>
      <c r="F14328" s="2" t="str">
        <f>HYPERLINK("http://www.otzar.org/book.asp?619170","זמירות ישראל - 3 כר'")</f>
        <v>זמירות ישראל - 3 כר'</v>
      </c>
    </row>
    <row r="14329" spans="1:6" x14ac:dyDescent="0.2">
      <c r="A14329" t="s">
        <v>24013</v>
      </c>
      <c r="B14329" t="s">
        <v>24019</v>
      </c>
      <c r="C14329" t="s">
        <v>360</v>
      </c>
      <c r="D14329" t="s">
        <v>283</v>
      </c>
      <c r="E14329" t="s">
        <v>24020</v>
      </c>
      <c r="F14329" s="2" t="str">
        <f>HYPERLINK("http://www.otzar.org/book.asp?19189","זמירות ישראל")</f>
        <v>זמירות ישראל</v>
      </c>
    </row>
    <row r="14330" spans="1:6" x14ac:dyDescent="0.2">
      <c r="A14330" t="s">
        <v>24013</v>
      </c>
      <c r="B14330" t="s">
        <v>11725</v>
      </c>
      <c r="C14330" t="s">
        <v>609</v>
      </c>
      <c r="D14330" t="s">
        <v>27</v>
      </c>
      <c r="E14330" t="s">
        <v>219</v>
      </c>
      <c r="F14330" s="2" t="str">
        <f>HYPERLINK("http://www.otzar.org/book.asp?13469","זמירות ישראל")</f>
        <v>זמירות ישראל</v>
      </c>
    </row>
    <row r="14331" spans="1:6" x14ac:dyDescent="0.2">
      <c r="A14331" t="s">
        <v>24021</v>
      </c>
      <c r="B14331" t="s">
        <v>11725</v>
      </c>
      <c r="C14331" t="s">
        <v>24022</v>
      </c>
      <c r="D14331" t="s">
        <v>24023</v>
      </c>
      <c r="F14331" s="2" t="str">
        <f>HYPERLINK("http://www.otzar.org/book.asp?612905","זמירות לבני ישראל")</f>
        <v>זמירות לבני ישראל</v>
      </c>
    </row>
    <row r="14332" spans="1:6" x14ac:dyDescent="0.2">
      <c r="A14332" t="s">
        <v>24024</v>
      </c>
      <c r="B14332" t="s">
        <v>24025</v>
      </c>
      <c r="D14332" t="s">
        <v>52</v>
      </c>
      <c r="E14332" t="s">
        <v>1517</v>
      </c>
      <c r="F14332" s="2" t="str">
        <f>HYPERLINK("http://www.otzar.org/book.asp?188872","זמירות לסעודה שלישית נוסח קאסאן")</f>
        <v>זמירות לסעודה שלישית נוסח קאסאן</v>
      </c>
    </row>
    <row r="14333" spans="1:6" x14ac:dyDescent="0.2">
      <c r="A14333" t="s">
        <v>24026</v>
      </c>
      <c r="B14333" t="s">
        <v>4090</v>
      </c>
      <c r="C14333" t="s">
        <v>129</v>
      </c>
      <c r="D14333" t="s">
        <v>1643</v>
      </c>
      <c r="E14333" t="s">
        <v>1517</v>
      </c>
      <c r="F14333" s="2" t="str">
        <f>HYPERLINK("http://www.otzar.org/book.asp?172816","זמירות לשבת &lt;מנחת יהודה&gt;")</f>
        <v>זמירות לשבת &lt;מנחת יהודה&gt;</v>
      </c>
    </row>
    <row r="14334" spans="1:6" x14ac:dyDescent="0.2">
      <c r="A14334" t="s">
        <v>24027</v>
      </c>
      <c r="B14334" t="s">
        <v>24028</v>
      </c>
      <c r="C14334" t="s">
        <v>23</v>
      </c>
      <c r="D14334" t="s">
        <v>646</v>
      </c>
      <c r="E14334" t="s">
        <v>1517</v>
      </c>
      <c r="F14334" s="2" t="str">
        <f>HYPERLINK("http://www.otzar.org/book.asp?183306","זמירות לשבת &lt;בית סופרים - פרעשבורג&gt;")</f>
        <v>זמירות לשבת &lt;בית סופרים - פרעשבורג&gt;</v>
      </c>
    </row>
    <row r="14335" spans="1:6" x14ac:dyDescent="0.2">
      <c r="A14335" t="s">
        <v>24029</v>
      </c>
      <c r="B14335" t="s">
        <v>17457</v>
      </c>
      <c r="C14335" t="s">
        <v>14</v>
      </c>
      <c r="D14335" t="s">
        <v>23</v>
      </c>
      <c r="F14335" s="2" t="str">
        <f>HYPERLINK("http://www.otzar.org/book.asp?611012","זמירות לשבת המבואר")</f>
        <v>זמירות לשבת המבואר</v>
      </c>
    </row>
    <row r="14336" spans="1:6" x14ac:dyDescent="0.2">
      <c r="A14336" t="s">
        <v>24030</v>
      </c>
      <c r="B14336" t="s">
        <v>18251</v>
      </c>
      <c r="C14336" t="s">
        <v>523</v>
      </c>
      <c r="D14336" t="s">
        <v>14</v>
      </c>
      <c r="E14336" t="s">
        <v>24</v>
      </c>
      <c r="F14336" s="2" t="str">
        <f>HYPERLINK("http://www.otzar.org/book.asp?22122","זמירות לשבת המבוארות")</f>
        <v>זמירות לשבת המבוארות</v>
      </c>
    </row>
    <row r="14337" spans="1:6" x14ac:dyDescent="0.2">
      <c r="A14337" t="s">
        <v>24031</v>
      </c>
      <c r="B14337" t="s">
        <v>24032</v>
      </c>
      <c r="C14337" t="s">
        <v>37</v>
      </c>
      <c r="D14337" t="s">
        <v>52</v>
      </c>
      <c r="E14337" t="s">
        <v>219</v>
      </c>
      <c r="F14337" s="2" t="str">
        <f>HYPERLINK("http://www.otzar.org/book.asp?194070","זמירות לשבת ויו""ט - חמדת ימים")</f>
        <v>זמירות לשבת ויו"ט - חמדת ימים</v>
      </c>
    </row>
    <row r="14338" spans="1:6" x14ac:dyDescent="0.2">
      <c r="A14338" t="s">
        <v>24033</v>
      </c>
      <c r="B14338" t="s">
        <v>6584</v>
      </c>
      <c r="C14338" t="s">
        <v>111</v>
      </c>
      <c r="D14338" t="s">
        <v>423</v>
      </c>
      <c r="E14338" t="s">
        <v>1517</v>
      </c>
      <c r="F14338" s="2" t="str">
        <f>HYPERLINK("http://www.otzar.org/book.asp?630500","זמירות לשבת ויום טוב &lt;אמרי משה&gt;")</f>
        <v>זמירות לשבת ויום טוב &lt;אמרי משה&gt;</v>
      </c>
    </row>
    <row r="14339" spans="1:6" x14ac:dyDescent="0.2">
      <c r="A14339" t="s">
        <v>24034</v>
      </c>
      <c r="B14339" t="s">
        <v>1798</v>
      </c>
      <c r="C14339" t="s">
        <v>51</v>
      </c>
      <c r="D14339" t="s">
        <v>14</v>
      </c>
      <c r="E14339" t="s">
        <v>219</v>
      </c>
      <c r="F14339" s="2" t="str">
        <f>HYPERLINK("http://www.otzar.org/book.asp?62071","זמירות לשבת עם ביאור אור עינים &lt;קאמרנא&gt;")</f>
        <v>זמירות לשבת עם ביאור אור עינים &lt;קאמרנא&gt;</v>
      </c>
    </row>
    <row r="14340" spans="1:6" x14ac:dyDescent="0.2">
      <c r="A14340" t="s">
        <v>24035</v>
      </c>
      <c r="B14340" t="s">
        <v>24036</v>
      </c>
      <c r="C14340" t="s">
        <v>71</v>
      </c>
      <c r="D14340" t="s">
        <v>412</v>
      </c>
      <c r="E14340" t="s">
        <v>1517</v>
      </c>
      <c r="F14340" s="2" t="str">
        <f>HYPERLINK("http://www.otzar.org/book.asp?158840","זמירות לשבת עם הערות וליקוטים")</f>
        <v>זמירות לשבת עם הערות וליקוטים</v>
      </c>
    </row>
    <row r="14341" spans="1:6" x14ac:dyDescent="0.2">
      <c r="A14341" t="s">
        <v>24037</v>
      </c>
      <c r="B14341" t="s">
        <v>24038</v>
      </c>
      <c r="C14341" t="s">
        <v>20</v>
      </c>
      <c r="D14341" t="s">
        <v>118</v>
      </c>
      <c r="E14341" t="s">
        <v>1517</v>
      </c>
      <c r="F14341" s="2" t="str">
        <f>HYPERLINK("http://www.otzar.org/book.asp?159507","זמירות לשבת עם ילקוט עיר התמרים")</f>
        <v>זמירות לשבת עם ילקוט עיר התמרים</v>
      </c>
    </row>
    <row r="14342" spans="1:6" x14ac:dyDescent="0.2">
      <c r="A14342" t="s">
        <v>24039</v>
      </c>
      <c r="B14342" t="s">
        <v>3727</v>
      </c>
      <c r="C14342" t="s">
        <v>366</v>
      </c>
      <c r="D14342" t="s">
        <v>52</v>
      </c>
      <c r="E14342" t="s">
        <v>1517</v>
      </c>
      <c r="F14342" s="2" t="str">
        <f>HYPERLINK("http://www.otzar.org/book.asp?603128","זמירות לשבת קודש &lt;ישמחו במלכותך&gt;")</f>
        <v>זמירות לשבת קודש &lt;ישמחו במלכותך&gt;</v>
      </c>
    </row>
    <row r="14343" spans="1:6" x14ac:dyDescent="0.2">
      <c r="A14343" t="s">
        <v>24040</v>
      </c>
      <c r="B14343" t="s">
        <v>24041</v>
      </c>
      <c r="C14343" t="s">
        <v>20</v>
      </c>
      <c r="D14343" t="s">
        <v>412</v>
      </c>
      <c r="E14343" t="s">
        <v>1517</v>
      </c>
      <c r="F14343" s="2" t="str">
        <f>HYPERLINK("http://www.otzar.org/book.asp?606110","זמירות לשבת קודש &lt;נועם הנשמות&gt;")</f>
        <v>זמירות לשבת קודש &lt;נועם הנשמות&gt;</v>
      </c>
    </row>
    <row r="14344" spans="1:6" x14ac:dyDescent="0.2">
      <c r="A14344" t="s">
        <v>24042</v>
      </c>
      <c r="B14344" t="s">
        <v>24043</v>
      </c>
      <c r="C14344" t="s">
        <v>37</v>
      </c>
      <c r="D14344" t="s">
        <v>412</v>
      </c>
      <c r="E14344" t="s">
        <v>1517</v>
      </c>
      <c r="F14344" s="2" t="str">
        <f>HYPERLINK("http://www.otzar.org/book.asp?183113","זמירות לשבת קודש &lt;קול אריה&gt;")</f>
        <v>זמירות לשבת קודש &lt;קול אריה&gt;</v>
      </c>
    </row>
    <row r="14345" spans="1:6" x14ac:dyDescent="0.2">
      <c r="A14345" t="s">
        <v>24044</v>
      </c>
      <c r="B14345" t="s">
        <v>2861</v>
      </c>
      <c r="C14345" t="s">
        <v>13</v>
      </c>
      <c r="D14345" t="s">
        <v>52</v>
      </c>
      <c r="E14345" t="s">
        <v>219</v>
      </c>
      <c r="F14345" s="2" t="str">
        <f>HYPERLINK("http://www.otzar.org/book.asp?146782","זמירות לשבת קודש ויום טוב, נוסח ויז'ניץ")</f>
        <v>זמירות לשבת קודש ויום טוב, נוסח ויז'ניץ</v>
      </c>
    </row>
    <row r="14346" spans="1:6" x14ac:dyDescent="0.2">
      <c r="A14346" t="s">
        <v>24045</v>
      </c>
      <c r="B14346" t="s">
        <v>12291</v>
      </c>
      <c r="C14346" t="s">
        <v>103</v>
      </c>
      <c r="D14346" t="s">
        <v>14</v>
      </c>
      <c r="E14346" t="s">
        <v>219</v>
      </c>
      <c r="F14346" s="2" t="str">
        <f>HYPERLINK("http://www.otzar.org/book.asp?61603","זמירות לשבת קודש זכרון אבות")</f>
        <v>זמירות לשבת קודש זכרון אבות</v>
      </c>
    </row>
    <row r="14347" spans="1:6" x14ac:dyDescent="0.2">
      <c r="A14347" t="s">
        <v>24046</v>
      </c>
      <c r="B14347" t="s">
        <v>24047</v>
      </c>
      <c r="C14347" t="s">
        <v>454</v>
      </c>
      <c r="D14347" t="s">
        <v>27</v>
      </c>
      <c r="E14347" t="s">
        <v>1517</v>
      </c>
      <c r="F14347" s="2" t="str">
        <f>HYPERLINK("http://www.otzar.org/book.asp?161794","זמירות לשבת קודש כמנהג בוהוש")</f>
        <v>זמירות לשבת קודש כמנהג בוהוש</v>
      </c>
    </row>
    <row r="14348" spans="1:6" x14ac:dyDescent="0.2">
      <c r="A14348" t="s">
        <v>24048</v>
      </c>
      <c r="B14348" t="s">
        <v>24049</v>
      </c>
      <c r="C14348" t="s">
        <v>23</v>
      </c>
      <c r="D14348" t="s">
        <v>2909</v>
      </c>
      <c r="E14348" t="s">
        <v>219</v>
      </c>
      <c r="F14348" s="2" t="str">
        <f>HYPERLINK("http://www.otzar.org/book.asp?199390","זמירות לשבת קודש ראפשיץ")</f>
        <v>זמירות לשבת קודש ראפשיץ</v>
      </c>
    </row>
    <row r="14349" spans="1:6" x14ac:dyDescent="0.2">
      <c r="A14349" t="s">
        <v>24050</v>
      </c>
      <c r="B14349" t="s">
        <v>24051</v>
      </c>
      <c r="C14349" t="s">
        <v>129</v>
      </c>
      <c r="D14349" t="s">
        <v>52</v>
      </c>
      <c r="E14349" t="s">
        <v>1517</v>
      </c>
      <c r="F14349" s="2" t="str">
        <f>HYPERLINK("http://www.otzar.org/book.asp?162670","זמירות לשבת קודש - ליקוטי תורת איש")</f>
        <v>זמירות לשבת קודש - ליקוטי תורת איש</v>
      </c>
    </row>
    <row r="14350" spans="1:6" x14ac:dyDescent="0.2">
      <c r="A14350" t="s">
        <v>24052</v>
      </c>
      <c r="B14350" t="s">
        <v>24053</v>
      </c>
      <c r="C14350" t="s">
        <v>111</v>
      </c>
      <c r="D14350" t="s">
        <v>52</v>
      </c>
      <c r="E14350" t="s">
        <v>4486</v>
      </c>
      <c r="F14350" s="2" t="str">
        <f>HYPERLINK("http://www.otzar.org/book.asp?629635","זמירות לשבת קודש - קאברין")</f>
        <v>זמירות לשבת קודש - קאברין</v>
      </c>
    </row>
    <row r="14351" spans="1:6" x14ac:dyDescent="0.2">
      <c r="A14351" t="s">
        <v>24054</v>
      </c>
      <c r="B14351" t="s">
        <v>24055</v>
      </c>
      <c r="C14351" t="s">
        <v>624</v>
      </c>
      <c r="D14351" t="s">
        <v>52</v>
      </c>
      <c r="E14351" t="s">
        <v>219</v>
      </c>
      <c r="F14351" s="2" t="str">
        <f>HYPERLINK("http://www.otzar.org/book.asp?600559","זמירות לשבת קודש")</f>
        <v>זמירות לשבת קודש</v>
      </c>
    </row>
    <row r="14352" spans="1:6" x14ac:dyDescent="0.2">
      <c r="A14352" t="s">
        <v>24056</v>
      </c>
      <c r="B14352" t="s">
        <v>24057</v>
      </c>
      <c r="C14352" t="s">
        <v>129</v>
      </c>
      <c r="D14352" t="s">
        <v>423</v>
      </c>
      <c r="E14352" t="s">
        <v>4486</v>
      </c>
      <c r="F14352" s="2" t="str">
        <f>HYPERLINK("http://www.otzar.org/book.asp?162389","זמירות לשבת קודש - טועמיה חיים זכו")</f>
        <v>זמירות לשבת קודש - טועמיה חיים זכו</v>
      </c>
    </row>
    <row r="14353" spans="1:6" x14ac:dyDescent="0.2">
      <c r="A14353" t="s">
        <v>24058</v>
      </c>
      <c r="B14353" t="s">
        <v>24059</v>
      </c>
      <c r="C14353" t="s">
        <v>133</v>
      </c>
      <c r="D14353" t="s">
        <v>14</v>
      </c>
      <c r="E14353" t="s">
        <v>1517</v>
      </c>
      <c r="F14353" s="2" t="str">
        <f>HYPERLINK("http://www.otzar.org/book.asp?172949","זמירות לשבת רב פנינים")</f>
        <v>זמירות לשבת רב פנינים</v>
      </c>
    </row>
    <row r="14354" spans="1:6" x14ac:dyDescent="0.2">
      <c r="A14354" t="s">
        <v>24060</v>
      </c>
      <c r="B14354" t="s">
        <v>24061</v>
      </c>
      <c r="C14354" t="s">
        <v>68</v>
      </c>
      <c r="D14354" t="s">
        <v>1156</v>
      </c>
      <c r="F14354" s="2" t="str">
        <f>HYPERLINK("http://www.otzar.org/book.asp?612150","זמירות לשבת תפארת ישראל")</f>
        <v>זמירות לשבת תפארת ישראל</v>
      </c>
    </row>
    <row r="14355" spans="1:6" x14ac:dyDescent="0.2">
      <c r="A14355" t="s">
        <v>24062</v>
      </c>
      <c r="B14355" t="s">
        <v>24063</v>
      </c>
      <c r="C14355" t="s">
        <v>68</v>
      </c>
      <c r="D14355" t="s">
        <v>412</v>
      </c>
      <c r="E14355" t="s">
        <v>1517</v>
      </c>
      <c r="F14355" s="2" t="str">
        <f>HYPERLINK("http://www.otzar.org/book.asp?196270","זמירות לשבת - תהלות אליעזר")</f>
        <v>זמירות לשבת - תהלות אליעזר</v>
      </c>
    </row>
    <row r="14356" spans="1:6" x14ac:dyDescent="0.2">
      <c r="A14356" t="s">
        <v>24064</v>
      </c>
      <c r="B14356" t="s">
        <v>24065</v>
      </c>
      <c r="C14356" t="s">
        <v>103</v>
      </c>
      <c r="D14356" t="s">
        <v>14</v>
      </c>
      <c r="E14356" t="s">
        <v>219</v>
      </c>
      <c r="F14356" s="2" t="str">
        <f>HYPERLINK("http://www.otzar.org/book.asp?63018","זמירות לשבת - אפטא קאפיטשניץ")</f>
        <v>זמירות לשבת - אפטא קאפיטשניץ</v>
      </c>
    </row>
    <row r="14357" spans="1:6" x14ac:dyDescent="0.2">
      <c r="A14357" t="s">
        <v>24066</v>
      </c>
      <c r="B14357" t="s">
        <v>24067</v>
      </c>
      <c r="C14357" t="s">
        <v>71</v>
      </c>
      <c r="D14357" t="s">
        <v>52</v>
      </c>
      <c r="E14357" t="s">
        <v>24</v>
      </c>
      <c r="F14357" s="2" t="str">
        <f>HYPERLINK("http://www.otzar.org/book.asp?623300","זמירות לשבת - קונטרס שלחן גבוה")</f>
        <v>זמירות לשבת - קונטרס שלחן גבוה</v>
      </c>
    </row>
    <row r="14358" spans="1:6" x14ac:dyDescent="0.2">
      <c r="A14358" t="s">
        <v>24068</v>
      </c>
      <c r="B14358" t="s">
        <v>5092</v>
      </c>
      <c r="C14358" t="s">
        <v>624</v>
      </c>
      <c r="D14358" t="s">
        <v>412</v>
      </c>
      <c r="E14358" t="s">
        <v>4731</v>
      </c>
      <c r="F14358" s="2" t="str">
        <f>HYPERLINK("http://www.otzar.org/book.asp?160393","זמירות מזמור לדוד - 2 כר'")</f>
        <v>זמירות מזמור לדוד - 2 כר'</v>
      </c>
    </row>
    <row r="14359" spans="1:6" x14ac:dyDescent="0.2">
      <c r="A14359" t="s">
        <v>24069</v>
      </c>
      <c r="B14359" t="s">
        <v>9611</v>
      </c>
      <c r="C14359" t="s">
        <v>146</v>
      </c>
      <c r="D14359" t="s">
        <v>14</v>
      </c>
      <c r="F14359" s="2" t="str">
        <f>HYPERLINK("http://www.otzar.org/book.asp?617566","זמירות נועם שבת")</f>
        <v>זמירות נועם שבת</v>
      </c>
    </row>
    <row r="14360" spans="1:6" x14ac:dyDescent="0.2">
      <c r="A14360" t="s">
        <v>24070</v>
      </c>
      <c r="B14360" t="s">
        <v>24071</v>
      </c>
      <c r="C14360" t="s">
        <v>87</v>
      </c>
      <c r="D14360" t="s">
        <v>52</v>
      </c>
      <c r="E14360" t="s">
        <v>1517</v>
      </c>
      <c r="F14360" s="2" t="str">
        <f>HYPERLINK("http://www.otzar.org/book.asp?189142","זמירות עם עטרת בני שלשים")</f>
        <v>זמירות עם עטרת בני שלשים</v>
      </c>
    </row>
    <row r="14361" spans="1:6" x14ac:dyDescent="0.2">
      <c r="A14361" t="s">
        <v>24072</v>
      </c>
      <c r="B14361" t="s">
        <v>24073</v>
      </c>
      <c r="C14361" t="s">
        <v>20</v>
      </c>
      <c r="D14361" t="s">
        <v>21</v>
      </c>
      <c r="F14361" s="2" t="str">
        <f>HYPERLINK("http://www.otzar.org/book.asp?615710","זמירות צבי")</f>
        <v>זמירות צבי</v>
      </c>
    </row>
    <row r="14362" spans="1:6" x14ac:dyDescent="0.2">
      <c r="A14362" t="s">
        <v>24074</v>
      </c>
      <c r="B14362" t="s">
        <v>776</v>
      </c>
      <c r="C14362" t="s">
        <v>624</v>
      </c>
      <c r="D14362" t="s">
        <v>486</v>
      </c>
      <c r="E14362" t="s">
        <v>5935</v>
      </c>
      <c r="F14362" s="2" t="str">
        <f>HYPERLINK("http://www.otzar.org/book.asp?108435","זמירות קודש")</f>
        <v>זמירות קודש</v>
      </c>
    </row>
    <row r="14363" spans="1:6" x14ac:dyDescent="0.2">
      <c r="A14363" t="s">
        <v>24075</v>
      </c>
      <c r="B14363" t="s">
        <v>5253</v>
      </c>
      <c r="C14363" t="s">
        <v>129</v>
      </c>
      <c r="D14363" t="s">
        <v>486</v>
      </c>
      <c r="E14363" t="s">
        <v>1517</v>
      </c>
      <c r="F14363" s="2" t="str">
        <f>HYPERLINK("http://www.otzar.org/book.asp?625756","זמירות שבת &lt;פניני מהרא""ל&gt;")</f>
        <v>זמירות שבת &lt;פניני מהרא"ל&gt;</v>
      </c>
    </row>
    <row r="14364" spans="1:6" x14ac:dyDescent="0.2">
      <c r="A14364" t="s">
        <v>24076</v>
      </c>
      <c r="B14364" t="s">
        <v>1353</v>
      </c>
      <c r="C14364" t="s">
        <v>244</v>
      </c>
      <c r="D14364" t="s">
        <v>52</v>
      </c>
      <c r="E14364" t="s">
        <v>8785</v>
      </c>
      <c r="F14364" s="2" t="str">
        <f>HYPERLINK("http://www.otzar.org/book.asp?601435","זמירות שבת אילת השחר")</f>
        <v>זמירות שבת אילת השחר</v>
      </c>
    </row>
    <row r="14365" spans="1:6" x14ac:dyDescent="0.2">
      <c r="A14365" t="s">
        <v>24077</v>
      </c>
      <c r="B14365" t="s">
        <v>24078</v>
      </c>
      <c r="C14365" t="s">
        <v>313</v>
      </c>
      <c r="D14365" t="s">
        <v>14</v>
      </c>
      <c r="E14365" t="s">
        <v>1517</v>
      </c>
      <c r="F14365" s="2" t="str">
        <f>HYPERLINK("http://www.otzar.org/book.asp?160726","זמירות שבת עם שבת שלום")</f>
        <v>זמירות שבת עם שבת שלום</v>
      </c>
    </row>
    <row r="14366" spans="1:6" x14ac:dyDescent="0.2">
      <c r="A14366" t="s">
        <v>24079</v>
      </c>
      <c r="B14366" t="s">
        <v>24080</v>
      </c>
      <c r="C14366" t="s">
        <v>24081</v>
      </c>
      <c r="D14366" t="s">
        <v>21</v>
      </c>
      <c r="E14366" t="s">
        <v>219</v>
      </c>
      <c r="F14366" s="2" t="str">
        <f>HYPERLINK("http://www.otzar.org/book.asp?191492","זמירות שבת קודש עם לקט מנהגים ודברי תורה מצדיקי בית קוזניץ")</f>
        <v>זמירות שבת קודש עם לקט מנהגים ודברי תורה מצדיקי בית קוזניץ</v>
      </c>
    </row>
    <row r="14367" spans="1:6" x14ac:dyDescent="0.2">
      <c r="A14367" t="s">
        <v>24082</v>
      </c>
      <c r="B14367" t="s">
        <v>24083</v>
      </c>
      <c r="C14367" t="s">
        <v>454</v>
      </c>
      <c r="D14367" t="s">
        <v>14</v>
      </c>
      <c r="E14367" t="s">
        <v>4486</v>
      </c>
      <c r="F14367" s="2" t="str">
        <f>HYPERLINK("http://www.otzar.org/book.asp?84685","זמירות שבת שלום ומבורך")</f>
        <v>זמירות שבת שלום ומבורך</v>
      </c>
    </row>
    <row r="14368" spans="1:6" x14ac:dyDescent="0.2">
      <c r="A14368" t="s">
        <v>24084</v>
      </c>
      <c r="B14368" t="s">
        <v>24085</v>
      </c>
      <c r="C14368" t="s">
        <v>111</v>
      </c>
      <c r="D14368" t="s">
        <v>90</v>
      </c>
      <c r="E14368" t="s">
        <v>4486</v>
      </c>
      <c r="F14368" s="2" t="str">
        <f>HYPERLINK("http://www.otzar.org/book.asp?628663","זמירות שבת - משנה שכיר")</f>
        <v>זמירות שבת - משנה שכיר</v>
      </c>
    </row>
    <row r="14369" spans="1:6" x14ac:dyDescent="0.2">
      <c r="A14369" t="s">
        <v>24086</v>
      </c>
      <c r="B14369" t="s">
        <v>6661</v>
      </c>
      <c r="C14369" t="s">
        <v>20</v>
      </c>
      <c r="D14369" t="s">
        <v>486</v>
      </c>
      <c r="E14369" t="s">
        <v>18910</v>
      </c>
      <c r="F14369" s="2" t="str">
        <f>HYPERLINK("http://www.otzar.org/book.asp?176342","זמירות שובה ישראל")</f>
        <v>זמירות שובה ישראל</v>
      </c>
    </row>
    <row r="14370" spans="1:6" x14ac:dyDescent="0.2">
      <c r="A14370" t="s">
        <v>24087</v>
      </c>
      <c r="B14370" t="s">
        <v>24088</v>
      </c>
      <c r="C14370" t="s">
        <v>237</v>
      </c>
      <c r="D14370" t="s">
        <v>27</v>
      </c>
      <c r="E14370" t="s">
        <v>219</v>
      </c>
      <c r="F14370" s="2" t="str">
        <f>HYPERLINK("http://www.otzar.org/book.asp?13428","זמירות של שבת")</f>
        <v>זמירות של שבת</v>
      </c>
    </row>
    <row r="14371" spans="1:6" x14ac:dyDescent="0.2">
      <c r="A14371" t="s">
        <v>24087</v>
      </c>
      <c r="B14371" t="s">
        <v>7354</v>
      </c>
      <c r="C14371" t="s">
        <v>1202</v>
      </c>
      <c r="D14371" t="s">
        <v>225</v>
      </c>
      <c r="E14371" t="s">
        <v>219</v>
      </c>
      <c r="F14371" s="2" t="str">
        <f>HYPERLINK("http://www.otzar.org/book.asp?52170","זמירות של שבת")</f>
        <v>זמירות של שבת</v>
      </c>
    </row>
    <row r="14372" spans="1:6" x14ac:dyDescent="0.2">
      <c r="A14372" t="s">
        <v>24089</v>
      </c>
      <c r="B14372" t="s">
        <v>9846</v>
      </c>
      <c r="C14372" t="s">
        <v>20</v>
      </c>
      <c r="D14372" t="s">
        <v>14</v>
      </c>
      <c r="E14372" t="s">
        <v>246</v>
      </c>
      <c r="F14372" s="2" t="str">
        <f>HYPERLINK("http://www.otzar.org/book.asp?167117","זמן בית דין")</f>
        <v>זמן בית דין</v>
      </c>
    </row>
    <row r="14373" spans="1:6" x14ac:dyDescent="0.2">
      <c r="A14373" t="s">
        <v>24090</v>
      </c>
      <c r="B14373" t="s">
        <v>14129</v>
      </c>
      <c r="C14373" t="s">
        <v>422</v>
      </c>
      <c r="D14373" t="s">
        <v>52</v>
      </c>
      <c r="E14373" t="s">
        <v>803</v>
      </c>
      <c r="F14373" s="2" t="str">
        <f>HYPERLINK("http://www.otzar.org/book.asp?156753","זמן הקרבת הפסח במשנת הדבר יהושע")</f>
        <v>זמן הקרבת הפסח במשנת הדבר יהושע</v>
      </c>
    </row>
    <row r="14374" spans="1:6" x14ac:dyDescent="0.2">
      <c r="A14374" t="s">
        <v>24091</v>
      </c>
      <c r="B14374" t="s">
        <v>24092</v>
      </c>
      <c r="C14374" t="s">
        <v>422</v>
      </c>
      <c r="D14374" t="s">
        <v>21</v>
      </c>
      <c r="E14374" t="s">
        <v>241</v>
      </c>
      <c r="F14374" s="2" t="str">
        <f>HYPERLINK("http://www.otzar.org/book.asp?196781","זמן חיינו")</f>
        <v>זמן חיינו</v>
      </c>
    </row>
    <row r="14375" spans="1:6" x14ac:dyDescent="0.2">
      <c r="A14375" t="s">
        <v>24093</v>
      </c>
      <c r="B14375" t="s">
        <v>1750</v>
      </c>
      <c r="C14375" t="s">
        <v>37</v>
      </c>
      <c r="D14375" t="s">
        <v>90</v>
      </c>
      <c r="E14375" t="s">
        <v>202</v>
      </c>
      <c r="F14375" s="2" t="str">
        <f>HYPERLINK("http://www.otzar.org/book.asp?605684","זמן חירותינו - 3 כר'")</f>
        <v>זמן חירותינו - 3 כר'</v>
      </c>
    </row>
    <row r="14376" spans="1:6" x14ac:dyDescent="0.2">
      <c r="A14376" t="s">
        <v>24094</v>
      </c>
      <c r="B14376" t="s">
        <v>24095</v>
      </c>
      <c r="C14376" t="s">
        <v>37</v>
      </c>
      <c r="D14376" t="s">
        <v>52</v>
      </c>
      <c r="E14376" t="s">
        <v>140</v>
      </c>
      <c r="F14376" s="2" t="str">
        <f>HYPERLINK("http://www.otzar.org/book.asp?621787","זמן חרותנו")</f>
        <v>זמן חרותנו</v>
      </c>
    </row>
    <row r="14377" spans="1:6" x14ac:dyDescent="0.2">
      <c r="A14377" t="s">
        <v>24096</v>
      </c>
      <c r="B14377" t="s">
        <v>1066</v>
      </c>
      <c r="C14377" t="s">
        <v>37</v>
      </c>
      <c r="D14377" t="s">
        <v>412</v>
      </c>
      <c r="F14377" s="2" t="str">
        <f>HYPERLINK("http://www.otzar.org/book.asp?198306","זמן נקט")</f>
        <v>זמן נקט</v>
      </c>
    </row>
    <row r="14378" spans="1:6" x14ac:dyDescent="0.2">
      <c r="A14378" t="s">
        <v>24097</v>
      </c>
      <c r="B14378" t="s">
        <v>12812</v>
      </c>
      <c r="C14378" t="s">
        <v>68</v>
      </c>
      <c r="D14378" t="s">
        <v>14</v>
      </c>
      <c r="E14378" t="s">
        <v>467</v>
      </c>
      <c r="F14378" s="2" t="str">
        <f>HYPERLINK("http://www.otzar.org/book.asp?151079","זמן שמחתינו")</f>
        <v>זמן שמחתינו</v>
      </c>
    </row>
    <row r="14379" spans="1:6" x14ac:dyDescent="0.2">
      <c r="A14379" t="s">
        <v>24098</v>
      </c>
      <c r="B14379" t="s">
        <v>4977</v>
      </c>
      <c r="C14379" t="s">
        <v>20</v>
      </c>
      <c r="D14379" t="s">
        <v>14</v>
      </c>
      <c r="E14379" t="s">
        <v>246</v>
      </c>
      <c r="F14379" s="2" t="str">
        <f>HYPERLINK("http://www.otzar.org/book.asp?153435","זמן שמחתנו")</f>
        <v>זמן שמחתנו</v>
      </c>
    </row>
    <row r="14380" spans="1:6" x14ac:dyDescent="0.2">
      <c r="A14380" t="s">
        <v>24099</v>
      </c>
      <c r="B14380" t="s">
        <v>24100</v>
      </c>
      <c r="C14380" t="s">
        <v>37</v>
      </c>
      <c r="D14380" t="s">
        <v>52</v>
      </c>
      <c r="E14380" t="s">
        <v>130</v>
      </c>
      <c r="F14380" s="2" t="str">
        <f>HYPERLINK("http://www.otzar.org/book.asp?604920","זמן תפילת נעילה")</f>
        <v>זמן תפילת נעילה</v>
      </c>
    </row>
    <row r="14381" spans="1:6" x14ac:dyDescent="0.2">
      <c r="A14381" t="s">
        <v>24101</v>
      </c>
      <c r="B14381" t="s">
        <v>24102</v>
      </c>
      <c r="C14381" t="s">
        <v>533</v>
      </c>
      <c r="D14381" t="s">
        <v>14</v>
      </c>
      <c r="E14381" t="s">
        <v>104</v>
      </c>
      <c r="F14381" s="2" t="str">
        <f>HYPERLINK("http://www.otzar.org/book.asp?600110","זמני ההלכה למעשה &lt;מהדורה ישנה&gt;")</f>
        <v>זמני ההלכה למעשה &lt;מהדורה ישנה&gt;</v>
      </c>
    </row>
    <row r="14382" spans="1:6" x14ac:dyDescent="0.2">
      <c r="A14382" t="s">
        <v>24103</v>
      </c>
      <c r="B14382" t="s">
        <v>24102</v>
      </c>
      <c r="C14382" t="s">
        <v>189</v>
      </c>
      <c r="D14382" t="s">
        <v>14</v>
      </c>
      <c r="E14382" t="s">
        <v>104</v>
      </c>
      <c r="F14382" s="2" t="str">
        <f>HYPERLINK("http://www.otzar.org/book.asp?25649","זמני ההלכה למעשה")</f>
        <v>זמני ההלכה למעשה</v>
      </c>
    </row>
    <row r="14383" spans="1:6" x14ac:dyDescent="0.2">
      <c r="A14383" t="s">
        <v>24104</v>
      </c>
      <c r="B14383" t="s">
        <v>24105</v>
      </c>
      <c r="C14383" t="s">
        <v>189</v>
      </c>
      <c r="D14383" t="s">
        <v>52</v>
      </c>
      <c r="E14383" t="s">
        <v>17488</v>
      </c>
      <c r="F14383" s="2" t="str">
        <f>HYPERLINK("http://www.otzar.org/book.asp?23078","זמני הפורים")</f>
        <v>זמני הפורים</v>
      </c>
    </row>
    <row r="14384" spans="1:6" x14ac:dyDescent="0.2">
      <c r="A14384" t="s">
        <v>24104</v>
      </c>
      <c r="B14384" t="s">
        <v>17431</v>
      </c>
      <c r="C14384" t="s">
        <v>767</v>
      </c>
      <c r="D14384" t="s">
        <v>657</v>
      </c>
      <c r="E14384" t="s">
        <v>15</v>
      </c>
      <c r="F14384" s="2" t="str">
        <f>HYPERLINK("http://www.otzar.org/book.asp?26040","זמני הפורים")</f>
        <v>זמני הפורים</v>
      </c>
    </row>
    <row r="14385" spans="1:6" x14ac:dyDescent="0.2">
      <c r="A14385" t="s">
        <v>24106</v>
      </c>
      <c r="B14385" t="s">
        <v>24107</v>
      </c>
      <c r="C14385" t="s">
        <v>23</v>
      </c>
      <c r="D14385" t="s">
        <v>108</v>
      </c>
      <c r="F14385" s="2" t="str">
        <f>HYPERLINK("http://www.otzar.org/book.asp?198249","זמני יהודה וישראל")</f>
        <v>זמני יהודה וישראל</v>
      </c>
    </row>
    <row r="14386" spans="1:6" x14ac:dyDescent="0.2">
      <c r="A14386" t="s">
        <v>24108</v>
      </c>
      <c r="B14386" t="s">
        <v>4548</v>
      </c>
      <c r="C14386" t="s">
        <v>37</v>
      </c>
      <c r="D14386" t="s">
        <v>4549</v>
      </c>
      <c r="F14386" s="2" t="str">
        <f>HYPERLINK("http://www.otzar.org/book.asp?182430","זמני ישראל")</f>
        <v>זמני ישראל</v>
      </c>
    </row>
    <row r="14387" spans="1:6" x14ac:dyDescent="0.2">
      <c r="A14387" t="s">
        <v>24109</v>
      </c>
      <c r="B14387" t="s">
        <v>5470</v>
      </c>
      <c r="C14387" t="s">
        <v>244</v>
      </c>
      <c r="D14387" t="s">
        <v>118</v>
      </c>
      <c r="E14387" t="s">
        <v>148</v>
      </c>
      <c r="F14387" s="2" t="str">
        <f>HYPERLINK("http://www.otzar.org/book.asp?601529","זמני ראובן - 4 כר'")</f>
        <v>זמני ראובן - 4 כר'</v>
      </c>
    </row>
    <row r="14388" spans="1:6" x14ac:dyDescent="0.2">
      <c r="A14388" t="s">
        <v>24110</v>
      </c>
      <c r="B14388" t="s">
        <v>24111</v>
      </c>
      <c r="C14388" t="s">
        <v>151</v>
      </c>
      <c r="D14388" t="s">
        <v>2293</v>
      </c>
      <c r="E14388" t="s">
        <v>246</v>
      </c>
      <c r="F14388" s="2" t="str">
        <f>HYPERLINK("http://www.otzar.org/book.asp?621417","זמני ששון - 7 כר'")</f>
        <v>זמני ששון - 7 כר'</v>
      </c>
    </row>
    <row r="14389" spans="1:6" x14ac:dyDescent="0.2">
      <c r="A14389" t="s">
        <v>24112</v>
      </c>
      <c r="B14389" t="s">
        <v>24113</v>
      </c>
      <c r="C14389" t="s">
        <v>313</v>
      </c>
      <c r="D14389" t="s">
        <v>14</v>
      </c>
      <c r="E14389" t="s">
        <v>104</v>
      </c>
      <c r="F14389" s="2" t="str">
        <f>HYPERLINK("http://www.otzar.org/book.asp?191762","זמנים כהלכה")</f>
        <v>זמנים כהלכה</v>
      </c>
    </row>
    <row r="14390" spans="1:6" x14ac:dyDescent="0.2">
      <c r="A14390" t="s">
        <v>24114</v>
      </c>
      <c r="B14390" t="s">
        <v>24115</v>
      </c>
      <c r="C14390" t="s">
        <v>185</v>
      </c>
      <c r="D14390" t="s">
        <v>14</v>
      </c>
      <c r="E14390" t="s">
        <v>674</v>
      </c>
      <c r="F14390" s="2" t="str">
        <f>HYPERLINK("http://www.otzar.org/book.asp?630592","זמנים כהלכתם - 2 כר'")</f>
        <v>זמנים כהלכתם - 2 כר'</v>
      </c>
    </row>
    <row r="14391" spans="1:6" x14ac:dyDescent="0.2">
      <c r="A14391" t="s">
        <v>24116</v>
      </c>
      <c r="B14391" t="s">
        <v>24117</v>
      </c>
      <c r="C14391" t="s">
        <v>3840</v>
      </c>
      <c r="D14391" t="s">
        <v>27</v>
      </c>
      <c r="E14391" t="s">
        <v>130</v>
      </c>
      <c r="F14391" s="2" t="str">
        <f>HYPERLINK("http://www.otzar.org/book.asp?104619","זמנים")</f>
        <v>זמנים</v>
      </c>
    </row>
    <row r="14392" spans="1:6" x14ac:dyDescent="0.2">
      <c r="A14392" t="s">
        <v>24118</v>
      </c>
      <c r="B14392" t="s">
        <v>24119</v>
      </c>
      <c r="C14392" t="s">
        <v>87</v>
      </c>
      <c r="D14392" t="s">
        <v>14</v>
      </c>
      <c r="E14392" t="s">
        <v>2071</v>
      </c>
      <c r="F14392" s="2" t="str">
        <f>HYPERLINK("http://www.otzar.org/book.asp?61754","זמר ארזים")</f>
        <v>זמר ארזים</v>
      </c>
    </row>
    <row r="14393" spans="1:6" x14ac:dyDescent="0.2">
      <c r="A14393" t="s">
        <v>24120</v>
      </c>
      <c r="B14393" t="s">
        <v>24121</v>
      </c>
      <c r="C14393" t="s">
        <v>4287</v>
      </c>
      <c r="D14393" t="s">
        <v>726</v>
      </c>
      <c r="E14393" t="s">
        <v>219</v>
      </c>
      <c r="F14393" s="2" t="str">
        <f>HYPERLINK("http://www.otzar.org/book.asp?147191","זמר נאה ומשובח")</f>
        <v>זמר נאה ומשובח</v>
      </c>
    </row>
    <row r="14394" spans="1:6" x14ac:dyDescent="0.2">
      <c r="A14394" t="s">
        <v>24122</v>
      </c>
      <c r="B14394" t="s">
        <v>24123</v>
      </c>
      <c r="C14394" t="s">
        <v>422</v>
      </c>
      <c r="D14394" t="s">
        <v>412</v>
      </c>
      <c r="E14394" t="s">
        <v>219</v>
      </c>
      <c r="F14394" s="2" t="str">
        <f>HYPERLINK("http://www.otzar.org/book.asp?166251","זמר נאה לכבוד התורה &lt;מהדורה חדשה&gt;")</f>
        <v>זמר נאה לכבוד התורה &lt;מהדורה חדשה&gt;</v>
      </c>
    </row>
    <row r="14395" spans="1:6" x14ac:dyDescent="0.2">
      <c r="A14395" t="s">
        <v>24124</v>
      </c>
      <c r="B14395" t="s">
        <v>24123</v>
      </c>
      <c r="C14395" t="s">
        <v>7193</v>
      </c>
      <c r="D14395" t="s">
        <v>1023</v>
      </c>
      <c r="F14395" s="2" t="str">
        <f>HYPERLINK("http://www.otzar.org/book.asp?152819","זמר נאה לכבוד התורה")</f>
        <v>זמר נאה לכבוד התורה</v>
      </c>
    </row>
    <row r="14396" spans="1:6" x14ac:dyDescent="0.2">
      <c r="A14396" t="s">
        <v>24125</v>
      </c>
      <c r="B14396" t="s">
        <v>24126</v>
      </c>
      <c r="C14396" t="s">
        <v>24127</v>
      </c>
      <c r="D14396" t="s">
        <v>744</v>
      </c>
      <c r="E14396" t="s">
        <v>219</v>
      </c>
      <c r="F14396" s="2" t="str">
        <f>HYPERLINK("http://www.otzar.org/book.asp?163360","זמר נאה")</f>
        <v>זמר נאה</v>
      </c>
    </row>
    <row r="14397" spans="1:6" x14ac:dyDescent="0.2">
      <c r="A14397" t="s">
        <v>24128</v>
      </c>
      <c r="B14397" t="s">
        <v>24129</v>
      </c>
      <c r="D14397" t="s">
        <v>14</v>
      </c>
      <c r="F14397" s="2" t="str">
        <f>HYPERLINK("http://www.otzar.org/book.asp?611001","זמרו לשמו")</f>
        <v>זמרו לשמו</v>
      </c>
    </row>
    <row r="14398" spans="1:6" x14ac:dyDescent="0.2">
      <c r="A14398" t="s">
        <v>24130</v>
      </c>
      <c r="B14398" t="s">
        <v>24131</v>
      </c>
      <c r="C14398" t="s">
        <v>2550</v>
      </c>
      <c r="D14398" t="s">
        <v>889</v>
      </c>
      <c r="E14398" t="s">
        <v>158</v>
      </c>
      <c r="F14398" s="2" t="str">
        <f>HYPERLINK("http://www.otzar.org/book.asp?25142","זמרת אליהו")</f>
        <v>זמרת אליהו</v>
      </c>
    </row>
    <row r="14399" spans="1:6" x14ac:dyDescent="0.2">
      <c r="A14399" t="s">
        <v>24132</v>
      </c>
      <c r="B14399" t="s">
        <v>2804</v>
      </c>
      <c r="C14399" t="s">
        <v>1047</v>
      </c>
      <c r="D14399" t="s">
        <v>27</v>
      </c>
      <c r="E14399" t="s">
        <v>43</v>
      </c>
      <c r="F14399" s="2" t="str">
        <f>HYPERLINK("http://www.otzar.org/book.asp?200737","זמרת הארץ ושמים")</f>
        <v>זמרת הארץ ושמים</v>
      </c>
    </row>
    <row r="14400" spans="1:6" x14ac:dyDescent="0.2">
      <c r="A14400" t="s">
        <v>24133</v>
      </c>
      <c r="B14400" t="s">
        <v>24134</v>
      </c>
      <c r="C14400" t="s">
        <v>624</v>
      </c>
      <c r="D14400" t="s">
        <v>9426</v>
      </c>
      <c r="E14400" t="s">
        <v>674</v>
      </c>
      <c r="F14400" s="2" t="str">
        <f>HYPERLINK("http://www.otzar.org/book.asp?60583","זמרת הארץ")</f>
        <v>זמרת הארץ</v>
      </c>
    </row>
    <row r="14401" spans="1:6" x14ac:dyDescent="0.2">
      <c r="A14401" t="s">
        <v>24135</v>
      </c>
      <c r="B14401" t="s">
        <v>24136</v>
      </c>
      <c r="C14401" t="s">
        <v>553</v>
      </c>
      <c r="D14401" t="s">
        <v>27</v>
      </c>
      <c r="E14401" t="s">
        <v>24137</v>
      </c>
      <c r="F14401" s="2" t="str">
        <f>HYPERLINK("http://www.otzar.org/book.asp?593","זמרת הארץ - 5 כר'")</f>
        <v>זמרת הארץ - 5 כר'</v>
      </c>
    </row>
    <row r="14402" spans="1:6" x14ac:dyDescent="0.2">
      <c r="A14402" t="s">
        <v>24133</v>
      </c>
      <c r="B14402" t="s">
        <v>16506</v>
      </c>
      <c r="C14402" t="s">
        <v>124</v>
      </c>
      <c r="D14402" t="s">
        <v>14</v>
      </c>
      <c r="E14402" t="s">
        <v>104</v>
      </c>
      <c r="F14402" s="2" t="str">
        <f>HYPERLINK("http://www.otzar.org/book.asp?154518","זמרת הארץ")</f>
        <v>זמרת הארץ</v>
      </c>
    </row>
    <row r="14403" spans="1:6" x14ac:dyDescent="0.2">
      <c r="A14403" t="s">
        <v>24138</v>
      </c>
      <c r="B14403" t="s">
        <v>24139</v>
      </c>
      <c r="C14403" t="s">
        <v>51</v>
      </c>
      <c r="D14403" t="s">
        <v>14</v>
      </c>
      <c r="E14403" t="s">
        <v>144</v>
      </c>
      <c r="F14403" s="2" t="str">
        <f>HYPERLINK("http://www.otzar.org/book.asp?159297","זמרת הארץ - 6 כר'")</f>
        <v>זמרת הארץ - 6 כר'</v>
      </c>
    </row>
    <row r="14404" spans="1:6" x14ac:dyDescent="0.2">
      <c r="A14404" t="s">
        <v>24133</v>
      </c>
      <c r="B14404" t="s">
        <v>24140</v>
      </c>
      <c r="C14404" t="s">
        <v>286</v>
      </c>
      <c r="D14404" t="s">
        <v>27</v>
      </c>
      <c r="E14404" t="s">
        <v>741</v>
      </c>
      <c r="F14404" s="2" t="str">
        <f>HYPERLINK("http://www.otzar.org/book.asp?182586","זמרת הארץ")</f>
        <v>זמרת הארץ</v>
      </c>
    </row>
    <row r="14405" spans="1:6" x14ac:dyDescent="0.2">
      <c r="A14405" t="s">
        <v>24133</v>
      </c>
      <c r="B14405" t="s">
        <v>24141</v>
      </c>
      <c r="C14405" t="s">
        <v>619</v>
      </c>
      <c r="D14405" t="s">
        <v>27</v>
      </c>
      <c r="E14405" t="s">
        <v>399</v>
      </c>
      <c r="F14405" s="2" t="str">
        <f>HYPERLINK("http://www.otzar.org/book.asp?6021","זמרת הארץ")</f>
        <v>זמרת הארץ</v>
      </c>
    </row>
    <row r="14406" spans="1:6" x14ac:dyDescent="0.2">
      <c r="A14406" t="s">
        <v>24133</v>
      </c>
      <c r="B14406" t="s">
        <v>24142</v>
      </c>
      <c r="C14406" t="s">
        <v>785</v>
      </c>
      <c r="D14406" t="s">
        <v>14</v>
      </c>
      <c r="E14406" t="s">
        <v>463</v>
      </c>
      <c r="F14406" s="2" t="str">
        <f>HYPERLINK("http://www.otzar.org/book.asp?17415","זמרת הארץ")</f>
        <v>זמרת הארץ</v>
      </c>
    </row>
    <row r="14407" spans="1:6" x14ac:dyDescent="0.2">
      <c r="A14407" t="s">
        <v>24143</v>
      </c>
      <c r="B14407" t="s">
        <v>5634</v>
      </c>
      <c r="C14407" t="s">
        <v>68</v>
      </c>
      <c r="D14407" t="s">
        <v>52</v>
      </c>
      <c r="E14407" t="s">
        <v>104</v>
      </c>
      <c r="F14407" s="2" t="str">
        <f>HYPERLINK("http://www.otzar.org/book.asp?155238","זמרת הלוי")</f>
        <v>זמרת הלוי</v>
      </c>
    </row>
    <row r="14408" spans="1:6" x14ac:dyDescent="0.2">
      <c r="A14408" t="s">
        <v>24144</v>
      </c>
      <c r="B14408" t="s">
        <v>24145</v>
      </c>
      <c r="C14408" t="s">
        <v>151</v>
      </c>
      <c r="D14408" t="s">
        <v>412</v>
      </c>
      <c r="F14408" s="2" t="str">
        <f>HYPERLINK("http://www.otzar.org/book.asp?616359","זמרת יצחק")</f>
        <v>זמרת יצחק</v>
      </c>
    </row>
    <row r="14409" spans="1:6" x14ac:dyDescent="0.2">
      <c r="A14409" t="s">
        <v>24146</v>
      </c>
      <c r="B14409" t="s">
        <v>18584</v>
      </c>
      <c r="C14409" t="s">
        <v>989</v>
      </c>
      <c r="D14409" t="s">
        <v>14</v>
      </c>
      <c r="E14409" t="s">
        <v>158</v>
      </c>
      <c r="F14409" s="2" t="str">
        <f>HYPERLINK("http://www.otzar.org/book.asp?146818","זמרת ישע - 4 כר'")</f>
        <v>זמרת ישע - 4 כר'</v>
      </c>
    </row>
    <row r="14410" spans="1:6" x14ac:dyDescent="0.2">
      <c r="A14410" t="s">
        <v>24147</v>
      </c>
      <c r="B14410" t="s">
        <v>24148</v>
      </c>
      <c r="C14410" t="s">
        <v>20</v>
      </c>
      <c r="D14410" t="s">
        <v>7857</v>
      </c>
      <c r="E14410" t="s">
        <v>6975</v>
      </c>
      <c r="F14410" s="2" t="str">
        <f>HYPERLINK("http://www.otzar.org/book.asp?165202","זמרת מרדכי")</f>
        <v>זמרת מרדכי</v>
      </c>
    </row>
    <row r="14411" spans="1:6" x14ac:dyDescent="0.2">
      <c r="A14411" t="s">
        <v>24149</v>
      </c>
      <c r="B14411" t="s">
        <v>14031</v>
      </c>
      <c r="C14411" t="s">
        <v>24150</v>
      </c>
      <c r="D14411" t="s">
        <v>27</v>
      </c>
      <c r="E14411" t="s">
        <v>119</v>
      </c>
      <c r="F14411" s="2" t="str">
        <f>HYPERLINK("http://www.otzar.org/book.asp?189863","זעליג הויזדארף")</f>
        <v>זעליג הויזדארף</v>
      </c>
    </row>
    <row r="14412" spans="1:6" x14ac:dyDescent="0.2">
      <c r="A14412" t="s">
        <v>24151</v>
      </c>
      <c r="B14412" t="s">
        <v>9338</v>
      </c>
      <c r="C14412" t="s">
        <v>20</v>
      </c>
      <c r="D14412" t="s">
        <v>4519</v>
      </c>
      <c r="E14412" t="s">
        <v>15</v>
      </c>
      <c r="F14412" s="2" t="str">
        <f>HYPERLINK("http://www.otzar.org/book.asp?153001","זעקת השביעית")</f>
        <v>זעקת השביעית</v>
      </c>
    </row>
    <row r="14413" spans="1:6" x14ac:dyDescent="0.2">
      <c r="A14413" t="s">
        <v>24152</v>
      </c>
      <c r="B14413" t="s">
        <v>24153</v>
      </c>
      <c r="C14413" t="s">
        <v>533</v>
      </c>
      <c r="D14413" t="s">
        <v>14</v>
      </c>
      <c r="E14413" t="s">
        <v>119</v>
      </c>
      <c r="F14413" s="2" t="str">
        <f>HYPERLINK("http://www.otzar.org/book.asp?7007","זעקת ישני עפר")</f>
        <v>זעקת ישני עפר</v>
      </c>
    </row>
    <row r="14414" spans="1:6" x14ac:dyDescent="0.2">
      <c r="A14414" t="s">
        <v>24154</v>
      </c>
      <c r="B14414" t="s">
        <v>13264</v>
      </c>
      <c r="C14414" t="s">
        <v>919</v>
      </c>
      <c r="D14414" t="s">
        <v>14</v>
      </c>
      <c r="E14414" t="s">
        <v>234</v>
      </c>
      <c r="F14414" s="2" t="str">
        <f>HYPERLINK("http://www.otzar.org/book.asp?6821","זעקת מרדכי")</f>
        <v>זעקת מרדכי</v>
      </c>
    </row>
    <row r="14415" spans="1:6" x14ac:dyDescent="0.2">
      <c r="A14415" t="s">
        <v>24155</v>
      </c>
      <c r="B14415" t="s">
        <v>14446</v>
      </c>
      <c r="C14415" t="s">
        <v>422</v>
      </c>
      <c r="D14415" t="s">
        <v>90</v>
      </c>
      <c r="E14415" t="s">
        <v>104</v>
      </c>
      <c r="F14415" s="2" t="str">
        <f>HYPERLINK("http://www.otzar.org/book.asp?171434","זעקת שפירין")</f>
        <v>זעקת שפירין</v>
      </c>
    </row>
    <row r="14416" spans="1:6" x14ac:dyDescent="0.2">
      <c r="A14416" t="s">
        <v>24156</v>
      </c>
      <c r="B14416" t="s">
        <v>686</v>
      </c>
      <c r="C14416" t="s">
        <v>103</v>
      </c>
      <c r="D14416" t="s">
        <v>52</v>
      </c>
      <c r="E14416" t="s">
        <v>435</v>
      </c>
      <c r="F14416" s="2" t="str">
        <f>HYPERLINK("http://www.otzar.org/book.asp?50412","זקוקי נורא")</f>
        <v>זקוקי נורא</v>
      </c>
    </row>
    <row r="14417" spans="1:6" x14ac:dyDescent="0.2">
      <c r="A14417" t="s">
        <v>24157</v>
      </c>
      <c r="B14417" t="s">
        <v>24158</v>
      </c>
      <c r="C14417" t="s">
        <v>1629</v>
      </c>
      <c r="D14417" t="s">
        <v>744</v>
      </c>
      <c r="F14417" s="2" t="str">
        <f>HYPERLINK("http://www.otzar.org/book.asp?164777","זקוקין דנורא ובעורין דאשא")</f>
        <v>זקוקין דנורא ובעורין דאשא</v>
      </c>
    </row>
    <row r="14418" spans="1:6" x14ac:dyDescent="0.2">
      <c r="A14418" t="s">
        <v>24159</v>
      </c>
      <c r="B14418" t="s">
        <v>24160</v>
      </c>
      <c r="C14418" t="s">
        <v>151</v>
      </c>
      <c r="E14418" t="s">
        <v>140</v>
      </c>
      <c r="F14418" s="2" t="str">
        <f>HYPERLINK("http://www.otzar.org/book.asp?621628","זקינך ויאמרו לך")</f>
        <v>זקינך ויאמרו לך</v>
      </c>
    </row>
    <row r="14419" spans="1:6" x14ac:dyDescent="0.2">
      <c r="A14419" t="s">
        <v>24161</v>
      </c>
      <c r="B14419" t="s">
        <v>24162</v>
      </c>
      <c r="C14419" t="s">
        <v>1166</v>
      </c>
      <c r="D14419" t="s">
        <v>283</v>
      </c>
      <c r="E14419" t="s">
        <v>636</v>
      </c>
      <c r="F14419" s="2" t="str">
        <f>HYPERLINK("http://www.otzar.org/book.asp?18759","זקן אברהם")</f>
        <v>זקן אברהם</v>
      </c>
    </row>
    <row r="14420" spans="1:6" x14ac:dyDescent="0.2">
      <c r="A14420" t="s">
        <v>24163</v>
      </c>
      <c r="B14420" t="s">
        <v>2709</v>
      </c>
      <c r="C14420" t="s">
        <v>422</v>
      </c>
      <c r="D14420" t="s">
        <v>412</v>
      </c>
      <c r="F14420" s="2" t="str">
        <f>HYPERLINK("http://www.otzar.org/book.asp?196423","זקן אהרן &lt;מהדורה חדשה&gt;")</f>
        <v>זקן אהרן &lt;מהדורה חדשה&gt;</v>
      </c>
    </row>
    <row r="14421" spans="1:6" x14ac:dyDescent="0.2">
      <c r="A14421" t="s">
        <v>24164</v>
      </c>
      <c r="B14421" t="s">
        <v>8780</v>
      </c>
      <c r="C14421" t="s">
        <v>383</v>
      </c>
      <c r="D14421" t="s">
        <v>721</v>
      </c>
      <c r="E14421" t="s">
        <v>219</v>
      </c>
      <c r="F14421" s="2" t="str">
        <f>HYPERLINK("http://www.otzar.org/book.asp?174460","זקן אהרן")</f>
        <v>זקן אהרן</v>
      </c>
    </row>
    <row r="14422" spans="1:6" x14ac:dyDescent="0.2">
      <c r="A14422" t="s">
        <v>24164</v>
      </c>
      <c r="B14422" t="s">
        <v>24165</v>
      </c>
      <c r="C14422" t="s">
        <v>9914</v>
      </c>
      <c r="D14422" t="s">
        <v>1490</v>
      </c>
      <c r="E14422" t="s">
        <v>154</v>
      </c>
      <c r="F14422" s="2" t="str">
        <f>HYPERLINK("http://www.otzar.org/book.asp?24395","זקן אהרן")</f>
        <v>זקן אהרן</v>
      </c>
    </row>
    <row r="14423" spans="1:6" x14ac:dyDescent="0.2">
      <c r="A14423" t="s">
        <v>24166</v>
      </c>
      <c r="B14423" t="s">
        <v>9809</v>
      </c>
      <c r="C14423" t="s">
        <v>24167</v>
      </c>
      <c r="D14423" t="s">
        <v>9</v>
      </c>
      <c r="E14423" t="s">
        <v>396</v>
      </c>
      <c r="F14423" s="2" t="str">
        <f>HYPERLINK("http://www.otzar.org/book.asp?10982","זקן אהרן - 2 כר'")</f>
        <v>זקן אהרן - 2 כר'</v>
      </c>
    </row>
    <row r="14424" spans="1:6" x14ac:dyDescent="0.2">
      <c r="A14424" t="s">
        <v>24164</v>
      </c>
      <c r="B14424" t="s">
        <v>2709</v>
      </c>
      <c r="C14424" t="s">
        <v>2644</v>
      </c>
      <c r="D14424" t="s">
        <v>379</v>
      </c>
      <c r="E14424" t="s">
        <v>158</v>
      </c>
      <c r="F14424" s="2" t="str">
        <f>HYPERLINK("http://www.otzar.org/book.asp?24429","זקן אהרן")</f>
        <v>זקן אהרן</v>
      </c>
    </row>
    <row r="14425" spans="1:6" x14ac:dyDescent="0.2">
      <c r="A14425" t="s">
        <v>24164</v>
      </c>
      <c r="B14425" t="s">
        <v>24168</v>
      </c>
      <c r="C14425" t="s">
        <v>429</v>
      </c>
      <c r="D14425" t="s">
        <v>379</v>
      </c>
      <c r="E14425" t="s">
        <v>158</v>
      </c>
      <c r="F14425" s="2" t="str">
        <f>HYPERLINK("http://www.otzar.org/book.asp?7541","זקן אהרן")</f>
        <v>זקן אהרן</v>
      </c>
    </row>
    <row r="14426" spans="1:6" x14ac:dyDescent="0.2">
      <c r="A14426" t="s">
        <v>24164</v>
      </c>
      <c r="B14426" t="s">
        <v>24169</v>
      </c>
      <c r="C14426" t="s">
        <v>547</v>
      </c>
      <c r="D14426" t="s">
        <v>1117</v>
      </c>
      <c r="E14426" t="s">
        <v>158</v>
      </c>
      <c r="F14426" s="2" t="str">
        <f>HYPERLINK("http://www.otzar.org/book.asp?9894","זקן אהרן")</f>
        <v>זקן אהרן</v>
      </c>
    </row>
    <row r="14427" spans="1:6" x14ac:dyDescent="0.2">
      <c r="A14427" t="s">
        <v>24170</v>
      </c>
      <c r="B14427" t="s">
        <v>24171</v>
      </c>
      <c r="C14427" t="s">
        <v>3690</v>
      </c>
      <c r="D14427" t="s">
        <v>27</v>
      </c>
      <c r="E14427" t="s">
        <v>241</v>
      </c>
      <c r="F14427" s="2" t="str">
        <f>HYPERLINK("http://www.otzar.org/book.asp?148133","זקן אהרן -ג")</f>
        <v>זקן אהרן -ג</v>
      </c>
    </row>
    <row r="14428" spans="1:6" x14ac:dyDescent="0.2">
      <c r="A14428" t="s">
        <v>24172</v>
      </c>
      <c r="B14428" t="s">
        <v>4236</v>
      </c>
      <c r="C14428" t="s">
        <v>143</v>
      </c>
      <c r="D14428" t="s">
        <v>412</v>
      </c>
      <c r="E14428" t="s">
        <v>84</v>
      </c>
      <c r="F14428" s="2" t="str">
        <f>HYPERLINK("http://www.otzar.org/book.asp?173209","זקן ביתו - 2 כר'")</f>
        <v>זקן ביתו - 2 כר'</v>
      </c>
    </row>
    <row r="14429" spans="1:6" x14ac:dyDescent="0.2">
      <c r="A14429" t="s">
        <v>24173</v>
      </c>
      <c r="B14429" t="s">
        <v>24174</v>
      </c>
      <c r="F14429" s="2" t="str">
        <f>HYPERLINK("http://www.otzar.org/book.asp?630371","זקן גרשון")</f>
        <v>זקן גרשון</v>
      </c>
    </row>
    <row r="14430" spans="1:6" x14ac:dyDescent="0.2">
      <c r="A14430" t="s">
        <v>24175</v>
      </c>
      <c r="B14430" t="s">
        <v>24176</v>
      </c>
      <c r="C14430" t="s">
        <v>2213</v>
      </c>
      <c r="D14430" t="s">
        <v>157</v>
      </c>
      <c r="E14430" t="s">
        <v>606</v>
      </c>
      <c r="F14430" s="2" t="str">
        <f>HYPERLINK("http://www.otzar.org/book.asp?100892","זקן שמואל")</f>
        <v>זקן שמואל</v>
      </c>
    </row>
    <row r="14431" spans="1:6" x14ac:dyDescent="0.2">
      <c r="A14431" t="s">
        <v>24177</v>
      </c>
      <c r="B14431" t="s">
        <v>1387</v>
      </c>
      <c r="C14431" t="s">
        <v>1954</v>
      </c>
      <c r="D14431" t="s">
        <v>27</v>
      </c>
      <c r="E14431" t="s">
        <v>791</v>
      </c>
      <c r="F14431" s="2" t="str">
        <f>HYPERLINK("http://www.otzar.org/book.asp?10756","זקני יהודה")</f>
        <v>זקני יהודה</v>
      </c>
    </row>
    <row r="14432" spans="1:6" x14ac:dyDescent="0.2">
      <c r="A14432" t="s">
        <v>24178</v>
      </c>
      <c r="B14432" t="s">
        <v>24179</v>
      </c>
      <c r="C14432" t="s">
        <v>725</v>
      </c>
      <c r="D14432" t="s">
        <v>2295</v>
      </c>
      <c r="E14432" t="s">
        <v>24180</v>
      </c>
      <c r="F14432" s="2" t="str">
        <f>HYPERLINK("http://www.otzar.org/book.asp?18760","זקני מחנה יהודה")</f>
        <v>זקני מחנה יהודה</v>
      </c>
    </row>
    <row r="14433" spans="1:6" x14ac:dyDescent="0.2">
      <c r="A14433" t="s">
        <v>24181</v>
      </c>
      <c r="B14433" t="s">
        <v>24182</v>
      </c>
      <c r="C14433" t="s">
        <v>1954</v>
      </c>
      <c r="D14433" t="s">
        <v>24183</v>
      </c>
      <c r="E14433" t="s">
        <v>920</v>
      </c>
      <c r="F14433" s="2" t="str">
        <f>HYPERLINK("http://www.otzar.org/book.asp?9888","זקני שארית הפליטה - 2 כר'")</f>
        <v>זקני שארית הפליטה - 2 כר'</v>
      </c>
    </row>
    <row r="14434" spans="1:6" x14ac:dyDescent="0.2">
      <c r="A14434" t="s">
        <v>24184</v>
      </c>
      <c r="B14434" t="s">
        <v>24182</v>
      </c>
      <c r="C14434" t="s">
        <v>20</v>
      </c>
      <c r="D14434" t="s">
        <v>412</v>
      </c>
      <c r="F14434" s="2" t="str">
        <f>HYPERLINK("http://www.otzar.org/book.asp?152959","זקני שארית ישראל")</f>
        <v>זקני שארית ישראל</v>
      </c>
    </row>
    <row r="14435" spans="1:6" x14ac:dyDescent="0.2">
      <c r="A14435" t="s">
        <v>24185</v>
      </c>
      <c r="B14435" t="s">
        <v>8743</v>
      </c>
      <c r="C14435" t="s">
        <v>422</v>
      </c>
      <c r="D14435" t="s">
        <v>412</v>
      </c>
      <c r="E14435" t="s">
        <v>140</v>
      </c>
      <c r="F14435" s="2" t="str">
        <f>HYPERLINK("http://www.otzar.org/book.asp?613582","זקניך ויאמרו לך - 8 כר'")</f>
        <v>זקניך ויאמרו לך - 8 כר'</v>
      </c>
    </row>
    <row r="14436" spans="1:6" x14ac:dyDescent="0.2">
      <c r="A14436" t="s">
        <v>24186</v>
      </c>
      <c r="B14436" t="s">
        <v>17431</v>
      </c>
      <c r="C14436" t="s">
        <v>785</v>
      </c>
      <c r="D14436" t="s">
        <v>52</v>
      </c>
      <c r="E14436" t="s">
        <v>130</v>
      </c>
      <c r="F14436" s="2" t="str">
        <f>HYPERLINK("http://www.otzar.org/book.asp?85181","זר אהרן")</f>
        <v>זר אהרן</v>
      </c>
    </row>
    <row r="14437" spans="1:6" x14ac:dyDescent="0.2">
      <c r="A14437" t="s">
        <v>24187</v>
      </c>
      <c r="B14437" t="s">
        <v>24188</v>
      </c>
      <c r="C14437" t="s">
        <v>553</v>
      </c>
      <c r="D14437" t="s">
        <v>52</v>
      </c>
      <c r="E14437" t="s">
        <v>2135</v>
      </c>
      <c r="F14437" s="2" t="str">
        <f>HYPERLINK("http://www.otzar.org/book.asp?163983","זר הצבי - 2 כר'")</f>
        <v>זר הצבי - 2 כר'</v>
      </c>
    </row>
    <row r="14438" spans="1:6" x14ac:dyDescent="0.2">
      <c r="A14438" t="s">
        <v>24189</v>
      </c>
      <c r="B14438" t="s">
        <v>24190</v>
      </c>
      <c r="C14438" t="s">
        <v>843</v>
      </c>
      <c r="D14438" t="s">
        <v>27</v>
      </c>
      <c r="E14438" t="s">
        <v>172</v>
      </c>
      <c r="F14438" s="2" t="str">
        <f>HYPERLINK("http://www.otzar.org/book.asp?9797","זר השלחן א-ג")</f>
        <v>זר השלחן א-ג</v>
      </c>
    </row>
    <row r="14439" spans="1:6" x14ac:dyDescent="0.2">
      <c r="A14439" t="s">
        <v>24191</v>
      </c>
      <c r="B14439" t="s">
        <v>24192</v>
      </c>
      <c r="C14439" t="s">
        <v>143</v>
      </c>
      <c r="D14439" t="s">
        <v>14</v>
      </c>
      <c r="E14439" t="s">
        <v>148</v>
      </c>
      <c r="F14439" s="2" t="str">
        <f>HYPERLINK("http://www.otzar.org/book.asp?53649","זר השלחן - 3 כר'")</f>
        <v>זר השלחן - 3 כר'</v>
      </c>
    </row>
    <row r="14440" spans="1:6" x14ac:dyDescent="0.2">
      <c r="A14440" t="s">
        <v>24193</v>
      </c>
      <c r="B14440" t="s">
        <v>24194</v>
      </c>
      <c r="C14440" t="s">
        <v>180</v>
      </c>
      <c r="D14440" t="s">
        <v>14</v>
      </c>
      <c r="E14440" t="s">
        <v>15</v>
      </c>
      <c r="F14440" s="2" t="str">
        <f>HYPERLINK("http://www.otzar.org/book.asp?8492","זר התורה")</f>
        <v>זר התורה</v>
      </c>
    </row>
    <row r="14441" spans="1:6" x14ac:dyDescent="0.2">
      <c r="A14441" t="s">
        <v>24195</v>
      </c>
      <c r="B14441" t="s">
        <v>24196</v>
      </c>
      <c r="C14441" t="s">
        <v>362</v>
      </c>
      <c r="D14441" t="s">
        <v>283</v>
      </c>
      <c r="E14441" t="s">
        <v>24197</v>
      </c>
      <c r="F14441" s="2" t="str">
        <f>HYPERLINK("http://www.otzar.org/book.asp?101285","זר זהב כתר תורה")</f>
        <v>זר זהב כתר תורה</v>
      </c>
    </row>
    <row r="14442" spans="1:6" x14ac:dyDescent="0.2">
      <c r="A14442" t="s">
        <v>24198</v>
      </c>
      <c r="B14442" t="s">
        <v>24199</v>
      </c>
      <c r="C14442" t="s">
        <v>4057</v>
      </c>
      <c r="D14442" t="s">
        <v>1117</v>
      </c>
      <c r="E14442" t="s">
        <v>23256</v>
      </c>
      <c r="F14442" s="2" t="str">
        <f>HYPERLINK("http://www.otzar.org/book.asp?146604","זר זהב")</f>
        <v>זר זהב</v>
      </c>
    </row>
    <row r="14443" spans="1:6" x14ac:dyDescent="0.2">
      <c r="A14443" t="s">
        <v>24198</v>
      </c>
      <c r="B14443" t="s">
        <v>24200</v>
      </c>
      <c r="C14443" t="s">
        <v>1208</v>
      </c>
      <c r="D14443" t="s">
        <v>14</v>
      </c>
      <c r="E14443" t="s">
        <v>144</v>
      </c>
      <c r="F14443" s="2" t="str">
        <f>HYPERLINK("http://www.otzar.org/book.asp?158395","זר זהב")</f>
        <v>זר זהב</v>
      </c>
    </row>
    <row r="14444" spans="1:6" x14ac:dyDescent="0.2">
      <c r="A14444" t="s">
        <v>24198</v>
      </c>
      <c r="B14444" t="s">
        <v>24196</v>
      </c>
      <c r="C14444" t="s">
        <v>1246</v>
      </c>
      <c r="D14444" t="s">
        <v>260</v>
      </c>
      <c r="E14444" t="s">
        <v>24201</v>
      </c>
      <c r="F14444" s="2" t="str">
        <f>HYPERLINK("http://www.otzar.org/book.asp?10108","זר זהב")</f>
        <v>זר זהב</v>
      </c>
    </row>
    <row r="14445" spans="1:6" x14ac:dyDescent="0.2">
      <c r="A14445" t="s">
        <v>24198</v>
      </c>
      <c r="B14445" t="s">
        <v>24202</v>
      </c>
      <c r="C14445" t="s">
        <v>422</v>
      </c>
      <c r="D14445" t="s">
        <v>14</v>
      </c>
      <c r="E14445" t="s">
        <v>10316</v>
      </c>
      <c r="F14445" s="2" t="str">
        <f>HYPERLINK("http://www.otzar.org/book.asp?173767","זר זהב")</f>
        <v>זר זהב</v>
      </c>
    </row>
    <row r="14446" spans="1:6" x14ac:dyDescent="0.2">
      <c r="A14446" t="s">
        <v>24198</v>
      </c>
      <c r="B14446" t="s">
        <v>11333</v>
      </c>
      <c r="C14446" t="s">
        <v>775</v>
      </c>
      <c r="D14446" t="s">
        <v>412</v>
      </c>
      <c r="E14446" t="s">
        <v>158</v>
      </c>
      <c r="F14446" s="2" t="str">
        <f>HYPERLINK("http://www.otzar.org/book.asp?52529","זר זהב")</f>
        <v>זר זהב</v>
      </c>
    </row>
    <row r="14447" spans="1:6" x14ac:dyDescent="0.2">
      <c r="A14447" t="s">
        <v>24198</v>
      </c>
      <c r="B14447" t="s">
        <v>24203</v>
      </c>
      <c r="C14447" t="s">
        <v>13</v>
      </c>
      <c r="D14447" t="s">
        <v>14</v>
      </c>
      <c r="E14447" t="s">
        <v>15</v>
      </c>
      <c r="F14447" s="2" t="str">
        <f>HYPERLINK("http://www.otzar.org/book.asp?159619","זר זהב")</f>
        <v>זר זהב</v>
      </c>
    </row>
    <row r="14448" spans="1:6" x14ac:dyDescent="0.2">
      <c r="A14448" t="s">
        <v>24198</v>
      </c>
      <c r="B14448" t="s">
        <v>24204</v>
      </c>
      <c r="C14448" t="s">
        <v>1374</v>
      </c>
      <c r="D14448" t="s">
        <v>691</v>
      </c>
      <c r="E14448" t="s">
        <v>1185</v>
      </c>
      <c r="F14448" s="2" t="str">
        <f>HYPERLINK("http://www.otzar.org/book.asp?18761","זר זהב")</f>
        <v>זר זהב</v>
      </c>
    </row>
    <row r="14449" spans="1:6" x14ac:dyDescent="0.2">
      <c r="A14449" t="s">
        <v>24198</v>
      </c>
      <c r="B14449" t="s">
        <v>23047</v>
      </c>
      <c r="C14449" t="s">
        <v>133</v>
      </c>
      <c r="D14449" t="s">
        <v>21</v>
      </c>
      <c r="E14449" t="s">
        <v>172</v>
      </c>
      <c r="F14449" s="2" t="str">
        <f>HYPERLINK("http://www.otzar.org/book.asp?197990","זר זהב")</f>
        <v>זר זהב</v>
      </c>
    </row>
    <row r="14450" spans="1:6" x14ac:dyDescent="0.2">
      <c r="A14450" t="s">
        <v>24205</v>
      </c>
      <c r="B14450" t="s">
        <v>9622</v>
      </c>
      <c r="C14450" t="s">
        <v>1169</v>
      </c>
      <c r="D14450" t="s">
        <v>80</v>
      </c>
      <c r="E14450" t="s">
        <v>84</v>
      </c>
      <c r="F14450" s="2" t="str">
        <f>HYPERLINK("http://www.otzar.org/book.asp?13769","זר כסף")</f>
        <v>זר כסף</v>
      </c>
    </row>
    <row r="14451" spans="1:6" x14ac:dyDescent="0.2">
      <c r="A14451" t="s">
        <v>24206</v>
      </c>
      <c r="B14451" t="s">
        <v>24207</v>
      </c>
      <c r="C14451" t="s">
        <v>168</v>
      </c>
      <c r="D14451" t="s">
        <v>52</v>
      </c>
      <c r="E14451" t="s">
        <v>588</v>
      </c>
      <c r="F14451" s="2" t="str">
        <f>HYPERLINK("http://www.otzar.org/book.asp?145530","זר סופרים")</f>
        <v>זר סופרים</v>
      </c>
    </row>
    <row r="14452" spans="1:6" x14ac:dyDescent="0.2">
      <c r="A14452" t="s">
        <v>24208</v>
      </c>
      <c r="B14452" t="s">
        <v>24209</v>
      </c>
      <c r="C14452" t="s">
        <v>24210</v>
      </c>
      <c r="D14452" t="s">
        <v>24211</v>
      </c>
      <c r="F14452" s="2" t="str">
        <f>HYPERLINK("http://www.otzar.org/book.asp?620220","זר צדק")</f>
        <v>זר צדק</v>
      </c>
    </row>
    <row r="14453" spans="1:6" x14ac:dyDescent="0.2">
      <c r="A14453" t="s">
        <v>24212</v>
      </c>
      <c r="B14453" t="s">
        <v>24213</v>
      </c>
      <c r="C14453" t="s">
        <v>1609</v>
      </c>
      <c r="D14453" t="s">
        <v>27</v>
      </c>
      <c r="E14453" t="s">
        <v>202</v>
      </c>
      <c r="F14453" s="2" t="str">
        <f>HYPERLINK("http://www.otzar.org/book.asp?29176","זר תורה - 2 כר'")</f>
        <v>זר תורה - 2 כר'</v>
      </c>
    </row>
    <row r="14454" spans="1:6" x14ac:dyDescent="0.2">
      <c r="A14454" t="s">
        <v>24214</v>
      </c>
      <c r="B14454" t="s">
        <v>1308</v>
      </c>
      <c r="C14454" t="s">
        <v>26</v>
      </c>
      <c r="D14454" t="s">
        <v>412</v>
      </c>
      <c r="E14454" t="s">
        <v>84</v>
      </c>
      <c r="F14454" s="2" t="str">
        <f>HYPERLINK("http://www.otzar.org/book.asp?10420","זרוע ימין")</f>
        <v>זרוע ימין</v>
      </c>
    </row>
    <row r="14455" spans="1:6" x14ac:dyDescent="0.2">
      <c r="A14455" t="s">
        <v>24215</v>
      </c>
      <c r="B14455" t="s">
        <v>24216</v>
      </c>
      <c r="C14455" t="s">
        <v>2008</v>
      </c>
      <c r="D14455" t="s">
        <v>260</v>
      </c>
      <c r="F14455" s="2" t="str">
        <f>HYPERLINK("http://www.otzar.org/book.asp?196014","זרח ברנט")</f>
        <v>זרח ברנט</v>
      </c>
    </row>
    <row r="14456" spans="1:6" x14ac:dyDescent="0.2">
      <c r="A14456" t="s">
        <v>24217</v>
      </c>
      <c r="B14456" t="s">
        <v>24218</v>
      </c>
      <c r="C14456" t="s">
        <v>87</v>
      </c>
      <c r="D14456" t="s">
        <v>721</v>
      </c>
      <c r="E14456" t="s">
        <v>14342</v>
      </c>
      <c r="F14456" s="2" t="str">
        <f>HYPERLINK("http://www.otzar.org/book.asp?174464","זרח יעקב")</f>
        <v>זרח יעקב</v>
      </c>
    </row>
    <row r="14457" spans="1:6" x14ac:dyDescent="0.2">
      <c r="A14457" t="s">
        <v>24219</v>
      </c>
      <c r="B14457" t="s">
        <v>107</v>
      </c>
      <c r="C14457" t="s">
        <v>419</v>
      </c>
      <c r="D14457" t="s">
        <v>14</v>
      </c>
      <c r="E14457" t="s">
        <v>241</v>
      </c>
      <c r="F14457" s="2" t="str">
        <f>HYPERLINK("http://www.otzar.org/book.asp?84457","זריז נשכר")</f>
        <v>זריז נשכר</v>
      </c>
    </row>
    <row r="14458" spans="1:6" x14ac:dyDescent="0.2">
      <c r="A14458" t="s">
        <v>24220</v>
      </c>
      <c r="B14458" t="s">
        <v>24221</v>
      </c>
      <c r="C14458" t="s">
        <v>20</v>
      </c>
      <c r="D14458" t="s">
        <v>14</v>
      </c>
      <c r="E14458" t="s">
        <v>8469</v>
      </c>
      <c r="F14458" s="2" t="str">
        <f>HYPERLINK("http://www.otzar.org/book.asp?626134","זריזותא דאברהם &lt;מהדורה חדשה&gt;")</f>
        <v>זריזותא דאברהם &lt;מהדורה חדשה&gt;</v>
      </c>
    </row>
    <row r="14459" spans="1:6" x14ac:dyDescent="0.2">
      <c r="A14459" t="s">
        <v>24222</v>
      </c>
      <c r="B14459" t="s">
        <v>24221</v>
      </c>
      <c r="C14459" t="s">
        <v>1062</v>
      </c>
      <c r="D14459" t="s">
        <v>9</v>
      </c>
      <c r="E14459" t="s">
        <v>15111</v>
      </c>
      <c r="F14459" s="2" t="str">
        <f>HYPERLINK("http://www.otzar.org/book.asp?10083","זריזותא דאברהם")</f>
        <v>זריזותא דאברהם</v>
      </c>
    </row>
    <row r="14460" spans="1:6" x14ac:dyDescent="0.2">
      <c r="A14460" t="s">
        <v>24223</v>
      </c>
      <c r="B14460" t="s">
        <v>24224</v>
      </c>
      <c r="C14460" t="s">
        <v>8222</v>
      </c>
      <c r="D14460" t="s">
        <v>744</v>
      </c>
      <c r="E14460" t="s">
        <v>158</v>
      </c>
      <c r="F14460" s="2" t="str">
        <f>HYPERLINK("http://www.otzar.org/book.asp?147079","זריעת יצחק")</f>
        <v>זריעת יצחק</v>
      </c>
    </row>
    <row r="14461" spans="1:6" x14ac:dyDescent="0.2">
      <c r="A14461" t="s">
        <v>24225</v>
      </c>
      <c r="B14461" t="s">
        <v>206</v>
      </c>
      <c r="C14461" t="s">
        <v>13</v>
      </c>
      <c r="D14461" t="s">
        <v>367</v>
      </c>
      <c r="E14461" t="s">
        <v>241</v>
      </c>
      <c r="F14461" s="2" t="str">
        <f>HYPERLINK("http://www.otzar.org/book.asp?176939","זרע אברהם אוהבי")</f>
        <v>זרע אברהם אוהבי</v>
      </c>
    </row>
    <row r="14462" spans="1:6" x14ac:dyDescent="0.2">
      <c r="A14462" t="s">
        <v>24226</v>
      </c>
      <c r="B14462" t="s">
        <v>24227</v>
      </c>
      <c r="C14462" t="s">
        <v>244</v>
      </c>
      <c r="D14462" t="s">
        <v>52</v>
      </c>
      <c r="F14462" s="2" t="str">
        <f>HYPERLINK("http://www.otzar.org/book.asp?197271","זרע אברהם")</f>
        <v>זרע אברהם</v>
      </c>
    </row>
    <row r="14463" spans="1:6" x14ac:dyDescent="0.2">
      <c r="A14463" t="s">
        <v>24226</v>
      </c>
      <c r="B14463" t="s">
        <v>11880</v>
      </c>
      <c r="C14463" t="s">
        <v>429</v>
      </c>
      <c r="D14463" t="s">
        <v>56</v>
      </c>
      <c r="F14463" s="2" t="str">
        <f>HYPERLINK("http://www.otzar.org/book.asp?151503","זרע אברהם")</f>
        <v>זרע אברהם</v>
      </c>
    </row>
    <row r="14464" spans="1:6" x14ac:dyDescent="0.2">
      <c r="A14464" t="s">
        <v>24226</v>
      </c>
      <c r="B14464" t="s">
        <v>24228</v>
      </c>
      <c r="C14464" t="s">
        <v>2970</v>
      </c>
      <c r="D14464" t="s">
        <v>744</v>
      </c>
      <c r="E14464" t="s">
        <v>15</v>
      </c>
      <c r="F14464" s="2" t="str">
        <f>HYPERLINK("http://www.otzar.org/book.asp?5758","זרע אברהם")</f>
        <v>זרע אברהם</v>
      </c>
    </row>
    <row r="14465" spans="1:6" x14ac:dyDescent="0.2">
      <c r="A14465" t="s">
        <v>24226</v>
      </c>
      <c r="B14465" t="s">
        <v>24229</v>
      </c>
      <c r="C14465" t="s">
        <v>17</v>
      </c>
      <c r="D14465" t="s">
        <v>2196</v>
      </c>
      <c r="E14465" t="s">
        <v>158</v>
      </c>
      <c r="F14465" s="2" t="str">
        <f>HYPERLINK("http://www.otzar.org/book.asp?159261","זרע אברהם")</f>
        <v>זרע אברהם</v>
      </c>
    </row>
    <row r="14466" spans="1:6" x14ac:dyDescent="0.2">
      <c r="A14466" t="s">
        <v>24226</v>
      </c>
      <c r="B14466" t="s">
        <v>24230</v>
      </c>
      <c r="C14466" t="s">
        <v>8</v>
      </c>
      <c r="D14466" t="s">
        <v>9</v>
      </c>
      <c r="E14466" t="s">
        <v>8469</v>
      </c>
      <c r="F14466" s="2" t="str">
        <f>HYPERLINK("http://www.otzar.org/book.asp?300492","זרע אברהם")</f>
        <v>זרע אברהם</v>
      </c>
    </row>
    <row r="14467" spans="1:6" x14ac:dyDescent="0.2">
      <c r="A14467" t="s">
        <v>24226</v>
      </c>
      <c r="B14467" t="s">
        <v>24231</v>
      </c>
      <c r="C14467" t="s">
        <v>87</v>
      </c>
      <c r="D14467" t="s">
        <v>14</v>
      </c>
      <c r="E14467" t="s">
        <v>24232</v>
      </c>
      <c r="F14467" s="2" t="str">
        <f>HYPERLINK("http://www.otzar.org/book.asp?15268","זרע אברהם")</f>
        <v>זרע אברהם</v>
      </c>
    </row>
    <row r="14468" spans="1:6" x14ac:dyDescent="0.2">
      <c r="A14468" t="s">
        <v>24233</v>
      </c>
      <c r="B14468" t="s">
        <v>24234</v>
      </c>
      <c r="C14468" t="s">
        <v>24235</v>
      </c>
      <c r="D14468" t="s">
        <v>1490</v>
      </c>
      <c r="E14468" t="s">
        <v>154</v>
      </c>
      <c r="F14468" s="2" t="str">
        <f>HYPERLINK("http://www.otzar.org/book.asp?102801","זרע אברהם - 2 כר'")</f>
        <v>זרע אברהם - 2 כר'</v>
      </c>
    </row>
    <row r="14469" spans="1:6" x14ac:dyDescent="0.2">
      <c r="A14469" t="s">
        <v>24226</v>
      </c>
      <c r="B14469" t="s">
        <v>24236</v>
      </c>
      <c r="C14469" t="s">
        <v>1937</v>
      </c>
      <c r="D14469" t="s">
        <v>4288</v>
      </c>
      <c r="E14469" t="s">
        <v>144</v>
      </c>
      <c r="F14469" s="2" t="str">
        <f>HYPERLINK("http://www.otzar.org/book.asp?12927","זרע אברהם")</f>
        <v>זרע אברהם</v>
      </c>
    </row>
    <row r="14470" spans="1:6" x14ac:dyDescent="0.2">
      <c r="A14470" t="s">
        <v>24226</v>
      </c>
      <c r="B14470" t="s">
        <v>24237</v>
      </c>
      <c r="C14470" t="s">
        <v>2455</v>
      </c>
      <c r="D14470" t="s">
        <v>212</v>
      </c>
      <c r="E14470" t="s">
        <v>24238</v>
      </c>
      <c r="F14470" s="2" t="str">
        <f>HYPERLINK("http://www.otzar.org/book.asp?108500","זרע אברהם")</f>
        <v>זרע אברהם</v>
      </c>
    </row>
    <row r="14471" spans="1:6" x14ac:dyDescent="0.2">
      <c r="A14471" t="s">
        <v>24233</v>
      </c>
      <c r="B14471" t="s">
        <v>24239</v>
      </c>
      <c r="C14471" t="s">
        <v>146</v>
      </c>
      <c r="D14471" t="s">
        <v>52</v>
      </c>
      <c r="E14471" t="s">
        <v>588</v>
      </c>
      <c r="F14471" s="2" t="str">
        <f>HYPERLINK("http://www.otzar.org/book.asp?61570","זרע אברהם - 2 כר'")</f>
        <v>זרע אברהם - 2 כר'</v>
      </c>
    </row>
    <row r="14472" spans="1:6" x14ac:dyDescent="0.2">
      <c r="A14472" t="s">
        <v>24240</v>
      </c>
      <c r="B14472" t="s">
        <v>24241</v>
      </c>
      <c r="C14472" t="s">
        <v>2550</v>
      </c>
      <c r="D14472" t="s">
        <v>17658</v>
      </c>
      <c r="E14472" t="s">
        <v>2088</v>
      </c>
      <c r="F14472" s="2" t="str">
        <f>HYPERLINK("http://www.otzar.org/book.asp?25568","זרע אברהם - חידושים וביאורים")</f>
        <v>זרע אברהם - חידושים וביאורים</v>
      </c>
    </row>
    <row r="14473" spans="1:6" x14ac:dyDescent="0.2">
      <c r="A14473" t="s">
        <v>24226</v>
      </c>
      <c r="B14473" t="s">
        <v>24242</v>
      </c>
      <c r="C14473" t="s">
        <v>24243</v>
      </c>
      <c r="D14473" t="s">
        <v>5665</v>
      </c>
      <c r="E14473" t="s">
        <v>158</v>
      </c>
      <c r="F14473" s="2" t="str">
        <f>HYPERLINK("http://www.otzar.org/book.asp?6506","זרע אברהם")</f>
        <v>זרע אברהם</v>
      </c>
    </row>
    <row r="14474" spans="1:6" x14ac:dyDescent="0.2">
      <c r="A14474" t="s">
        <v>24226</v>
      </c>
      <c r="B14474" t="s">
        <v>11886</v>
      </c>
      <c r="C14474" t="s">
        <v>103</v>
      </c>
      <c r="D14474" t="s">
        <v>486</v>
      </c>
      <c r="E14474" t="s">
        <v>8469</v>
      </c>
      <c r="F14474" s="2" t="str">
        <f>HYPERLINK("http://www.otzar.org/book.asp?25755","זרע אברהם")</f>
        <v>זרע אברהם</v>
      </c>
    </row>
    <row r="14475" spans="1:6" x14ac:dyDescent="0.2">
      <c r="A14475" t="s">
        <v>24226</v>
      </c>
      <c r="B14475" t="s">
        <v>24244</v>
      </c>
      <c r="C14475" t="s">
        <v>466</v>
      </c>
      <c r="D14475" t="s">
        <v>14</v>
      </c>
      <c r="E14475" t="s">
        <v>186</v>
      </c>
      <c r="F14475" s="2" t="str">
        <f>HYPERLINK("http://www.otzar.org/book.asp?166208","זרע אברהם")</f>
        <v>זרע אברהם</v>
      </c>
    </row>
    <row r="14476" spans="1:6" x14ac:dyDescent="0.2">
      <c r="A14476" t="s">
        <v>24226</v>
      </c>
      <c r="B14476" t="s">
        <v>24245</v>
      </c>
      <c r="C14476" t="s">
        <v>3690</v>
      </c>
      <c r="D14476" t="s">
        <v>1117</v>
      </c>
      <c r="E14476" t="s">
        <v>674</v>
      </c>
      <c r="F14476" s="2" t="str">
        <f>HYPERLINK("http://www.otzar.org/book.asp?104529","זרע אברהם")</f>
        <v>זרע אברהם</v>
      </c>
    </row>
    <row r="14477" spans="1:6" x14ac:dyDescent="0.2">
      <c r="A14477" t="s">
        <v>24226</v>
      </c>
      <c r="B14477" t="s">
        <v>24246</v>
      </c>
      <c r="C14477" t="s">
        <v>10572</v>
      </c>
      <c r="D14477" t="s">
        <v>1411</v>
      </c>
      <c r="E14477" t="s">
        <v>158</v>
      </c>
      <c r="F14477" s="2" t="str">
        <f>HYPERLINK("http://www.otzar.org/book.asp?102438","זרע אברהם")</f>
        <v>זרע אברהם</v>
      </c>
    </row>
    <row r="14478" spans="1:6" x14ac:dyDescent="0.2">
      <c r="A14478" t="s">
        <v>24247</v>
      </c>
      <c r="B14478" t="s">
        <v>24248</v>
      </c>
      <c r="C14478" t="s">
        <v>1659</v>
      </c>
      <c r="D14478" t="s">
        <v>744</v>
      </c>
      <c r="E14478" t="s">
        <v>158</v>
      </c>
      <c r="F14478" s="2" t="str">
        <f>HYPERLINK("http://www.otzar.org/book.asp?12902","זרע אהרן")</f>
        <v>זרע אהרן</v>
      </c>
    </row>
    <row r="14479" spans="1:6" x14ac:dyDescent="0.2">
      <c r="A14479" t="s">
        <v>24247</v>
      </c>
      <c r="B14479" t="s">
        <v>24249</v>
      </c>
      <c r="C14479" t="s">
        <v>4538</v>
      </c>
      <c r="D14479" t="s">
        <v>60</v>
      </c>
      <c r="E14479" t="s">
        <v>4586</v>
      </c>
      <c r="F14479" s="2" t="str">
        <f>HYPERLINK("http://www.otzar.org/book.asp?147309","זרע אהרן")</f>
        <v>זרע אהרן</v>
      </c>
    </row>
    <row r="14480" spans="1:6" x14ac:dyDescent="0.2">
      <c r="A14480" t="s">
        <v>24250</v>
      </c>
      <c r="B14480" t="s">
        <v>4061</v>
      </c>
      <c r="C14480" t="s">
        <v>313</v>
      </c>
      <c r="D14480" t="s">
        <v>14</v>
      </c>
      <c r="E14480" t="s">
        <v>84</v>
      </c>
      <c r="F14480" s="2" t="str">
        <f>HYPERLINK("http://www.otzar.org/book.asp?62090","זרע אמונים")</f>
        <v>זרע אמונים</v>
      </c>
    </row>
    <row r="14481" spans="1:6" x14ac:dyDescent="0.2">
      <c r="A14481" t="s">
        <v>24251</v>
      </c>
      <c r="B14481" t="s">
        <v>4785</v>
      </c>
      <c r="C14481" t="s">
        <v>23</v>
      </c>
      <c r="D14481" t="s">
        <v>52</v>
      </c>
      <c r="F14481" s="2" t="str">
        <f>HYPERLINK("http://www.otzar.org/book.asp?615964","זרע אמת")</f>
        <v>זרע אמת</v>
      </c>
    </row>
    <row r="14482" spans="1:6" x14ac:dyDescent="0.2">
      <c r="A14482" t="s">
        <v>24252</v>
      </c>
      <c r="B14482" t="s">
        <v>24253</v>
      </c>
      <c r="C14482" t="s">
        <v>24254</v>
      </c>
      <c r="D14482" t="s">
        <v>212</v>
      </c>
      <c r="E14482" t="s">
        <v>154</v>
      </c>
      <c r="F14482" s="2" t="str">
        <f>HYPERLINK("http://www.otzar.org/book.asp?10980","זרע אמת - 4 כר'")</f>
        <v>זרע אמת - 4 כר'</v>
      </c>
    </row>
    <row r="14483" spans="1:6" x14ac:dyDescent="0.2">
      <c r="A14483" t="s">
        <v>24255</v>
      </c>
      <c r="B14483" t="s">
        <v>24255</v>
      </c>
      <c r="C14483" t="s">
        <v>854</v>
      </c>
      <c r="D14483" t="s">
        <v>379</v>
      </c>
      <c r="E14483" t="s">
        <v>24256</v>
      </c>
      <c r="F14483" s="2" t="str">
        <f>HYPERLINK("http://www.otzar.org/book.asp?5229","זרע אנשים")</f>
        <v>זרע אנשים</v>
      </c>
    </row>
    <row r="14484" spans="1:6" x14ac:dyDescent="0.2">
      <c r="A14484" t="s">
        <v>24257</v>
      </c>
      <c r="B14484" t="s">
        <v>1291</v>
      </c>
      <c r="C14484" t="s">
        <v>291</v>
      </c>
      <c r="D14484" t="s">
        <v>1279</v>
      </c>
      <c r="E14484" t="s">
        <v>43</v>
      </c>
      <c r="F14484" s="2" t="str">
        <f>HYPERLINK("http://www.otzar.org/book.asp?23482","זרע אפרים &lt;על פסיקתא רבתי&gt;")</f>
        <v>זרע אפרים &lt;על פסיקתא רבתי&gt;</v>
      </c>
    </row>
    <row r="14485" spans="1:6" x14ac:dyDescent="0.2">
      <c r="A14485" t="s">
        <v>24258</v>
      </c>
      <c r="B14485" t="s">
        <v>24259</v>
      </c>
      <c r="C14485" t="s">
        <v>635</v>
      </c>
      <c r="D14485" t="s">
        <v>283</v>
      </c>
      <c r="E14485" t="s">
        <v>158</v>
      </c>
      <c r="F14485" s="2" t="str">
        <f>HYPERLINK("http://www.otzar.org/book.asp?102439","זרע ברוך")</f>
        <v>זרע ברוך</v>
      </c>
    </row>
    <row r="14486" spans="1:6" x14ac:dyDescent="0.2">
      <c r="A14486" t="s">
        <v>24258</v>
      </c>
      <c r="B14486" t="s">
        <v>24260</v>
      </c>
      <c r="C14486" t="s">
        <v>51</v>
      </c>
      <c r="D14486" t="s">
        <v>52</v>
      </c>
      <c r="E14486" t="s">
        <v>144</v>
      </c>
      <c r="F14486" s="2" t="str">
        <f>HYPERLINK("http://www.otzar.org/book.asp?51139","זרע ברוך")</f>
        <v>זרע ברוך</v>
      </c>
    </row>
    <row r="14487" spans="1:6" x14ac:dyDescent="0.2">
      <c r="A14487" t="s">
        <v>24261</v>
      </c>
      <c r="B14487" t="s">
        <v>24262</v>
      </c>
      <c r="C14487" t="s">
        <v>7364</v>
      </c>
      <c r="D14487" t="s">
        <v>12235</v>
      </c>
      <c r="E14487" t="s">
        <v>4586</v>
      </c>
      <c r="F14487" s="2" t="str">
        <f>HYPERLINK("http://www.otzar.org/book.asp?149809","זרע ברוך - 2 כר'")</f>
        <v>זרע ברוך - 2 כר'</v>
      </c>
    </row>
    <row r="14488" spans="1:6" x14ac:dyDescent="0.2">
      <c r="A14488" t="s">
        <v>24258</v>
      </c>
      <c r="B14488" t="s">
        <v>6252</v>
      </c>
      <c r="C14488" t="s">
        <v>1169</v>
      </c>
      <c r="D14488" t="s">
        <v>14037</v>
      </c>
      <c r="E14488" t="s">
        <v>24263</v>
      </c>
      <c r="F14488" s="2" t="str">
        <f>HYPERLINK("http://www.otzar.org/book.asp?23373","זרע ברוך")</f>
        <v>זרע ברוך</v>
      </c>
    </row>
    <row r="14489" spans="1:6" x14ac:dyDescent="0.2">
      <c r="A14489" t="s">
        <v>24264</v>
      </c>
      <c r="B14489" t="s">
        <v>24265</v>
      </c>
      <c r="C14489" t="s">
        <v>24266</v>
      </c>
      <c r="D14489" t="s">
        <v>1833</v>
      </c>
      <c r="E14489" t="s">
        <v>144</v>
      </c>
      <c r="F14489" s="2" t="str">
        <f>HYPERLINK("http://www.otzar.org/book.asp?151648","זרע ברך שלישי - 2 כר'")</f>
        <v>זרע ברך שלישי - 2 כר'</v>
      </c>
    </row>
    <row r="14490" spans="1:6" x14ac:dyDescent="0.2">
      <c r="A14490" t="s">
        <v>24267</v>
      </c>
      <c r="B14490" t="s">
        <v>1750</v>
      </c>
      <c r="C14490" t="s">
        <v>51</v>
      </c>
      <c r="D14490" t="s">
        <v>14</v>
      </c>
      <c r="E14490" t="s">
        <v>2633</v>
      </c>
      <c r="F14490" s="2" t="str">
        <f>HYPERLINK("http://www.otzar.org/book.asp?19331","זרע ברך")</f>
        <v>זרע ברך</v>
      </c>
    </row>
    <row r="14491" spans="1:6" x14ac:dyDescent="0.2">
      <c r="A14491" t="s">
        <v>24268</v>
      </c>
      <c r="B14491" t="s">
        <v>24269</v>
      </c>
      <c r="C14491" t="s">
        <v>7364</v>
      </c>
      <c r="D14491" t="s">
        <v>1023</v>
      </c>
      <c r="E14491" t="s">
        <v>158</v>
      </c>
      <c r="F14491" s="2" t="str">
        <f>HYPERLINK("http://www.otzar.org/book.asp?9301","זרע ברך - 4 כר'")</f>
        <v>זרע ברך - 4 כר'</v>
      </c>
    </row>
    <row r="14492" spans="1:6" x14ac:dyDescent="0.2">
      <c r="A14492" t="s">
        <v>24270</v>
      </c>
      <c r="B14492" t="s">
        <v>21700</v>
      </c>
      <c r="C14492" t="s">
        <v>129</v>
      </c>
      <c r="D14492" t="s">
        <v>216</v>
      </c>
      <c r="E14492" t="s">
        <v>158</v>
      </c>
      <c r="F14492" s="2" t="str">
        <f>HYPERLINK("http://www.otzar.org/book.asp?191904","זרע דוד")</f>
        <v>זרע דוד</v>
      </c>
    </row>
    <row r="14493" spans="1:6" x14ac:dyDescent="0.2">
      <c r="A14493" t="s">
        <v>24270</v>
      </c>
      <c r="B14493" t="s">
        <v>24148</v>
      </c>
      <c r="C14493" t="s">
        <v>20</v>
      </c>
      <c r="D14493" t="s">
        <v>7857</v>
      </c>
      <c r="E14493" t="s">
        <v>467</v>
      </c>
      <c r="F14493" s="2" t="str">
        <f>HYPERLINK("http://www.otzar.org/book.asp?165223","זרע דוד")</f>
        <v>זרע דוד</v>
      </c>
    </row>
    <row r="14494" spans="1:6" x14ac:dyDescent="0.2">
      <c r="A14494" t="s">
        <v>24271</v>
      </c>
      <c r="B14494" t="s">
        <v>12301</v>
      </c>
      <c r="C14494" t="s">
        <v>24272</v>
      </c>
      <c r="D14494" t="s">
        <v>27</v>
      </c>
      <c r="E14494" t="s">
        <v>234</v>
      </c>
      <c r="F14494" s="2" t="str">
        <f>HYPERLINK("http://www.otzar.org/book.asp?300508","זרע דוד - 3 כר'")</f>
        <v>זרע דוד - 3 כר'</v>
      </c>
    </row>
    <row r="14495" spans="1:6" x14ac:dyDescent="0.2">
      <c r="A14495" t="s">
        <v>24273</v>
      </c>
      <c r="B14495" t="s">
        <v>5967</v>
      </c>
      <c r="C14495" t="s">
        <v>698</v>
      </c>
      <c r="D14495" t="s">
        <v>27</v>
      </c>
      <c r="E14495" t="s">
        <v>20357</v>
      </c>
      <c r="F14495" s="2" t="str">
        <f>HYPERLINK("http://www.otzar.org/book.asp?951","זרע הארץ")</f>
        <v>זרע הארץ</v>
      </c>
    </row>
    <row r="14496" spans="1:6" x14ac:dyDescent="0.2">
      <c r="A14496" t="s">
        <v>24274</v>
      </c>
      <c r="B14496" t="s">
        <v>24275</v>
      </c>
      <c r="C14496" t="s">
        <v>366</v>
      </c>
      <c r="D14496" t="s">
        <v>52</v>
      </c>
      <c r="F14496" s="2" t="str">
        <f>HYPERLINK("http://www.otzar.org/book.asp?611531","זרע הארץ - הלכות דמאי")</f>
        <v>זרע הארץ - הלכות דמאי</v>
      </c>
    </row>
    <row r="14497" spans="1:6" x14ac:dyDescent="0.2">
      <c r="A14497" t="s">
        <v>24276</v>
      </c>
      <c r="B14497" t="s">
        <v>2396</v>
      </c>
      <c r="C14497" t="s">
        <v>20</v>
      </c>
      <c r="D14497" t="s">
        <v>90</v>
      </c>
      <c r="E14497" t="s">
        <v>15</v>
      </c>
      <c r="F14497" s="2" t="str">
        <f>HYPERLINK("http://www.otzar.org/book.asp?165253","זרע הארץ - 2 כר'")</f>
        <v>זרע הארץ - 2 כר'</v>
      </c>
    </row>
    <row r="14498" spans="1:6" x14ac:dyDescent="0.2">
      <c r="A14498" t="s">
        <v>24277</v>
      </c>
      <c r="B14498" t="s">
        <v>24278</v>
      </c>
      <c r="C14498" t="s">
        <v>103</v>
      </c>
      <c r="D14498" t="s">
        <v>52</v>
      </c>
      <c r="E14498" t="s">
        <v>144</v>
      </c>
      <c r="F14498" s="2" t="str">
        <f>HYPERLINK("http://www.otzar.org/book.asp?168643","זרע הילולים - 4 כר'")</f>
        <v>זרע הילולים - 4 כר'</v>
      </c>
    </row>
    <row r="14499" spans="1:6" x14ac:dyDescent="0.2">
      <c r="A14499" t="s">
        <v>24279</v>
      </c>
      <c r="B14499" t="s">
        <v>24280</v>
      </c>
      <c r="C14499" t="s">
        <v>20</v>
      </c>
      <c r="D14499" t="s">
        <v>7894</v>
      </c>
      <c r="E14499" t="s">
        <v>158</v>
      </c>
      <c r="F14499" s="2" t="str">
        <f>HYPERLINK("http://www.otzar.org/book.asp?85284","זרע השלום")</f>
        <v>זרע השלום</v>
      </c>
    </row>
    <row r="14500" spans="1:6" x14ac:dyDescent="0.2">
      <c r="A14500" t="s">
        <v>24281</v>
      </c>
      <c r="B14500" t="s">
        <v>24282</v>
      </c>
      <c r="C14500" t="s">
        <v>2543</v>
      </c>
      <c r="D14500" t="s">
        <v>225</v>
      </c>
      <c r="E14500" t="s">
        <v>154</v>
      </c>
      <c r="F14500" s="2" t="str">
        <f>HYPERLINK("http://www.otzar.org/book.asp?987","זרע חיים")</f>
        <v>זרע חיים</v>
      </c>
    </row>
    <row r="14501" spans="1:6" x14ac:dyDescent="0.2">
      <c r="A14501" t="s">
        <v>24283</v>
      </c>
      <c r="B14501" t="s">
        <v>24284</v>
      </c>
      <c r="C14501" t="s">
        <v>17</v>
      </c>
      <c r="D14501" t="s">
        <v>1076</v>
      </c>
      <c r="E14501" t="s">
        <v>24285</v>
      </c>
      <c r="F14501" s="2" t="str">
        <f>HYPERLINK("http://www.otzar.org/book.asp?51134","זרע חיים - כתית למאור")</f>
        <v>זרע חיים - כתית למאור</v>
      </c>
    </row>
    <row r="14502" spans="1:6" x14ac:dyDescent="0.2">
      <c r="A14502" t="s">
        <v>24281</v>
      </c>
      <c r="B14502" t="s">
        <v>3166</v>
      </c>
      <c r="C14502" t="s">
        <v>1208</v>
      </c>
      <c r="D14502" t="s">
        <v>14</v>
      </c>
      <c r="E14502" t="s">
        <v>15</v>
      </c>
      <c r="F14502" s="2" t="str">
        <f>HYPERLINK("http://www.otzar.org/book.asp?200368","זרע חיים")</f>
        <v>זרע חיים</v>
      </c>
    </row>
    <row r="14503" spans="1:6" x14ac:dyDescent="0.2">
      <c r="A14503" t="s">
        <v>24286</v>
      </c>
      <c r="B14503" t="s">
        <v>24287</v>
      </c>
      <c r="C14503" t="s">
        <v>37</v>
      </c>
      <c r="D14503" t="s">
        <v>245</v>
      </c>
      <c r="E14503" t="s">
        <v>144</v>
      </c>
      <c r="F14503" s="2" t="str">
        <f>HYPERLINK("http://www.otzar.org/book.asp?186841","זרע יהודה - 2 כר'")</f>
        <v>זרע יהודה - 2 כר'</v>
      </c>
    </row>
    <row r="14504" spans="1:6" x14ac:dyDescent="0.2">
      <c r="A14504" t="s">
        <v>24288</v>
      </c>
      <c r="B14504" t="s">
        <v>2320</v>
      </c>
      <c r="C14504" t="s">
        <v>20</v>
      </c>
      <c r="D14504" t="s">
        <v>2321</v>
      </c>
      <c r="E14504" t="s">
        <v>15</v>
      </c>
      <c r="F14504" s="2" t="str">
        <f>HYPERLINK("http://www.otzar.org/book.asp?197035","זרע יהודה - א")</f>
        <v>זרע יהודה - א</v>
      </c>
    </row>
    <row r="14505" spans="1:6" x14ac:dyDescent="0.2">
      <c r="A14505" t="s">
        <v>24289</v>
      </c>
      <c r="B14505" t="s">
        <v>24290</v>
      </c>
      <c r="C14505" t="s">
        <v>133</v>
      </c>
      <c r="D14505" t="s">
        <v>52</v>
      </c>
      <c r="E14505" t="s">
        <v>3489</v>
      </c>
      <c r="F14505" s="2" t="str">
        <f>HYPERLINK("http://www.otzar.org/book.asp?171423","זרע ים - 4 כר'")</f>
        <v>זרע ים - 4 כר'</v>
      </c>
    </row>
    <row r="14506" spans="1:6" x14ac:dyDescent="0.2">
      <c r="A14506" t="s">
        <v>24291</v>
      </c>
      <c r="B14506" t="s">
        <v>6888</v>
      </c>
      <c r="C14506" t="s">
        <v>20</v>
      </c>
      <c r="D14506" t="s">
        <v>147</v>
      </c>
      <c r="E14506" t="s">
        <v>474</v>
      </c>
      <c r="F14506" s="2" t="str">
        <f>HYPERLINK("http://www.otzar.org/book.asp?173224","זרע יעקב &lt;מהדורה חדשה&gt;")</f>
        <v>זרע יעקב &lt;מהדורה חדשה&gt;</v>
      </c>
    </row>
    <row r="14507" spans="1:6" x14ac:dyDescent="0.2">
      <c r="A14507" t="s">
        <v>24292</v>
      </c>
      <c r="B14507" t="s">
        <v>4753</v>
      </c>
      <c r="C14507" t="s">
        <v>422</v>
      </c>
      <c r="D14507" t="s">
        <v>14</v>
      </c>
      <c r="E14507" t="s">
        <v>22513</v>
      </c>
      <c r="F14507" s="2" t="str">
        <f>HYPERLINK("http://www.otzar.org/book.asp?148037","זרע יעקב - פאה")</f>
        <v>זרע יעקב - פאה</v>
      </c>
    </row>
    <row r="14508" spans="1:6" x14ac:dyDescent="0.2">
      <c r="A14508" t="s">
        <v>24293</v>
      </c>
      <c r="B14508" t="s">
        <v>24294</v>
      </c>
      <c r="C14508" t="s">
        <v>5334</v>
      </c>
      <c r="D14508" t="s">
        <v>212</v>
      </c>
      <c r="F14508" s="2" t="str">
        <f>HYPERLINK("http://www.otzar.org/book.asp?149559","זרע יעקב")</f>
        <v>זרע יעקב</v>
      </c>
    </row>
    <row r="14509" spans="1:6" x14ac:dyDescent="0.2">
      <c r="A14509" t="s">
        <v>24295</v>
      </c>
      <c r="B14509" t="s">
        <v>24296</v>
      </c>
      <c r="C14509" t="s">
        <v>1019</v>
      </c>
      <c r="D14509" t="s">
        <v>1992</v>
      </c>
      <c r="E14509" t="s">
        <v>144</v>
      </c>
      <c r="F14509" s="2" t="str">
        <f>HYPERLINK("http://www.otzar.org/book.asp?9337","זרע יעקב - 3 כר'")</f>
        <v>זרע יעקב - 3 כר'</v>
      </c>
    </row>
    <row r="14510" spans="1:6" x14ac:dyDescent="0.2">
      <c r="A14510" t="s">
        <v>24293</v>
      </c>
      <c r="B14510" t="s">
        <v>24280</v>
      </c>
      <c r="C14510" t="s">
        <v>812</v>
      </c>
      <c r="D14510" t="s">
        <v>7894</v>
      </c>
      <c r="E14510" t="s">
        <v>104</v>
      </c>
      <c r="F14510" s="2" t="str">
        <f>HYPERLINK("http://www.otzar.org/book.asp?85285","זרע יעקב")</f>
        <v>זרע יעקב</v>
      </c>
    </row>
    <row r="14511" spans="1:6" x14ac:dyDescent="0.2">
      <c r="A14511" t="s">
        <v>24297</v>
      </c>
      <c r="B14511" t="s">
        <v>24298</v>
      </c>
      <c r="C14511" t="s">
        <v>1246</v>
      </c>
      <c r="D14511" t="s">
        <v>27</v>
      </c>
      <c r="E14511" t="s">
        <v>172</v>
      </c>
      <c r="F14511" s="2" t="str">
        <f>HYPERLINK("http://www.otzar.org/book.asp?13858","זרע יעקב - 2 כר'")</f>
        <v>זרע יעקב - 2 כר'</v>
      </c>
    </row>
    <row r="14512" spans="1:6" x14ac:dyDescent="0.2">
      <c r="A14512" t="s">
        <v>24295</v>
      </c>
      <c r="B14512" t="s">
        <v>24299</v>
      </c>
      <c r="C14512" t="s">
        <v>11127</v>
      </c>
      <c r="D14512" t="s">
        <v>1495</v>
      </c>
      <c r="E14512" t="s">
        <v>158</v>
      </c>
      <c r="F14512" s="2" t="str">
        <f>HYPERLINK("http://www.otzar.org/book.asp?106197","זרע יעקב - 3 כר'")</f>
        <v>זרע יעקב - 3 כר'</v>
      </c>
    </row>
    <row r="14513" spans="1:6" x14ac:dyDescent="0.2">
      <c r="A14513" t="s">
        <v>24293</v>
      </c>
      <c r="B14513" t="s">
        <v>24300</v>
      </c>
      <c r="C14513" t="s">
        <v>767</v>
      </c>
      <c r="D14513" t="s">
        <v>14</v>
      </c>
      <c r="E14513" t="s">
        <v>144</v>
      </c>
      <c r="F14513" s="2" t="str">
        <f>HYPERLINK("http://www.otzar.org/book.asp?154309","זרע יעקב")</f>
        <v>זרע יעקב</v>
      </c>
    </row>
    <row r="14514" spans="1:6" x14ac:dyDescent="0.2">
      <c r="A14514" t="s">
        <v>24301</v>
      </c>
      <c r="B14514" t="s">
        <v>24302</v>
      </c>
      <c r="C14514" t="s">
        <v>1388</v>
      </c>
      <c r="D14514" t="s">
        <v>412</v>
      </c>
      <c r="E14514" t="s">
        <v>2091</v>
      </c>
      <c r="F14514" s="2" t="str">
        <f>HYPERLINK("http://www.otzar.org/book.asp?83839","זרע יעקב - 37 כר'")</f>
        <v>זרע יעקב - 37 כר'</v>
      </c>
    </row>
    <row r="14515" spans="1:6" x14ac:dyDescent="0.2">
      <c r="A14515" t="s">
        <v>24293</v>
      </c>
      <c r="B14515" t="s">
        <v>6888</v>
      </c>
      <c r="C14515" t="s">
        <v>558</v>
      </c>
      <c r="D14515" t="s">
        <v>27</v>
      </c>
      <c r="E14515" t="s">
        <v>295</v>
      </c>
      <c r="F14515" s="2" t="str">
        <f>HYPERLINK("http://www.otzar.org/book.asp?10329","זרע יעקב")</f>
        <v>זרע יעקב</v>
      </c>
    </row>
    <row r="14516" spans="1:6" x14ac:dyDescent="0.2">
      <c r="A14516" t="s">
        <v>24293</v>
      </c>
      <c r="B14516" t="s">
        <v>24303</v>
      </c>
      <c r="C14516" t="s">
        <v>1954</v>
      </c>
      <c r="D14516" t="s">
        <v>1889</v>
      </c>
      <c r="E14516" t="s">
        <v>325</v>
      </c>
      <c r="F14516" s="2" t="str">
        <f>HYPERLINK("http://www.otzar.org/book.asp?51054","זרע יעקב")</f>
        <v>זרע יעקב</v>
      </c>
    </row>
    <row r="14517" spans="1:6" x14ac:dyDescent="0.2">
      <c r="A14517" t="s">
        <v>24293</v>
      </c>
      <c r="B14517" t="s">
        <v>24304</v>
      </c>
      <c r="C14517" t="s">
        <v>4087</v>
      </c>
      <c r="D14517" t="s">
        <v>2303</v>
      </c>
      <c r="E14517" t="s">
        <v>230</v>
      </c>
      <c r="F14517" s="2" t="str">
        <f>HYPERLINK("http://www.otzar.org/book.asp?63881","זרע יעקב")</f>
        <v>זרע יעקב</v>
      </c>
    </row>
    <row r="14518" spans="1:6" x14ac:dyDescent="0.2">
      <c r="A14518" t="s">
        <v>24305</v>
      </c>
      <c r="B14518" t="s">
        <v>24306</v>
      </c>
      <c r="C14518" t="s">
        <v>1335</v>
      </c>
      <c r="D14518" t="s">
        <v>60</v>
      </c>
      <c r="E14518" t="s">
        <v>508</v>
      </c>
      <c r="F14518" s="2" t="str">
        <f>HYPERLINK("http://www.otzar.org/book.asp?150068","זרע יצחק")</f>
        <v>זרע יצחק</v>
      </c>
    </row>
    <row r="14519" spans="1:6" x14ac:dyDescent="0.2">
      <c r="A14519" t="s">
        <v>24305</v>
      </c>
      <c r="B14519" t="s">
        <v>20683</v>
      </c>
      <c r="C14519" t="s">
        <v>411</v>
      </c>
      <c r="D14519" t="s">
        <v>52</v>
      </c>
      <c r="F14519" s="2" t="str">
        <f>HYPERLINK("http://www.otzar.org/book.asp?169768","זרע יצחק")</f>
        <v>זרע יצחק</v>
      </c>
    </row>
    <row r="14520" spans="1:6" x14ac:dyDescent="0.2">
      <c r="A14520" t="s">
        <v>24305</v>
      </c>
      <c r="B14520" t="s">
        <v>24307</v>
      </c>
      <c r="C14520" t="s">
        <v>114</v>
      </c>
      <c r="D14520" t="s">
        <v>14</v>
      </c>
      <c r="E14520" t="s">
        <v>230</v>
      </c>
      <c r="F14520" s="2" t="str">
        <f>HYPERLINK("http://www.otzar.org/book.asp?183072","זרע יצחק")</f>
        <v>זרע יצחק</v>
      </c>
    </row>
    <row r="14521" spans="1:6" x14ac:dyDescent="0.2">
      <c r="A14521" t="s">
        <v>24305</v>
      </c>
      <c r="B14521" t="s">
        <v>24308</v>
      </c>
      <c r="C14521" t="s">
        <v>619</v>
      </c>
      <c r="D14521" t="s">
        <v>27</v>
      </c>
      <c r="E14521" t="s">
        <v>18606</v>
      </c>
      <c r="F14521" s="2" t="str">
        <f>HYPERLINK("http://www.otzar.org/book.asp?10378","זרע יצחק")</f>
        <v>זרע יצחק</v>
      </c>
    </row>
    <row r="14522" spans="1:6" x14ac:dyDescent="0.2">
      <c r="A14522" t="s">
        <v>24309</v>
      </c>
      <c r="B14522" t="s">
        <v>24310</v>
      </c>
      <c r="C14522" t="s">
        <v>748</v>
      </c>
      <c r="D14522" t="s">
        <v>352</v>
      </c>
      <c r="E14522" t="s">
        <v>234</v>
      </c>
      <c r="F14522" s="2" t="str">
        <f>HYPERLINK("http://www.otzar.org/book.asp?102440","זרע יצחק - 2 כר'")</f>
        <v>זרע יצחק - 2 כר'</v>
      </c>
    </row>
    <row r="14523" spans="1:6" x14ac:dyDescent="0.2">
      <c r="A14523" t="s">
        <v>24311</v>
      </c>
      <c r="B14523" t="s">
        <v>24312</v>
      </c>
      <c r="C14523" t="s">
        <v>176</v>
      </c>
      <c r="D14523" t="s">
        <v>412</v>
      </c>
      <c r="E14523" t="s">
        <v>219</v>
      </c>
      <c r="F14523" s="2" t="str">
        <f>HYPERLINK("http://www.otzar.org/book.asp?190183","זרע יצחק - ב")</f>
        <v>זרע יצחק - ב</v>
      </c>
    </row>
    <row r="14524" spans="1:6" x14ac:dyDescent="0.2">
      <c r="A14524" t="s">
        <v>24313</v>
      </c>
      <c r="B14524" t="s">
        <v>24314</v>
      </c>
      <c r="C14524" t="s">
        <v>5709</v>
      </c>
      <c r="D14524" t="s">
        <v>2290</v>
      </c>
      <c r="E14524" t="s">
        <v>84</v>
      </c>
      <c r="F14524" s="2" t="str">
        <f>HYPERLINK("http://www.otzar.org/book.asp?100914","זרע יצחק - 3 כר'")</f>
        <v>זרע יצחק - 3 כר'</v>
      </c>
    </row>
    <row r="14525" spans="1:6" x14ac:dyDescent="0.2">
      <c r="A14525" t="s">
        <v>24309</v>
      </c>
      <c r="B14525" t="s">
        <v>24315</v>
      </c>
      <c r="C14525" t="s">
        <v>6624</v>
      </c>
      <c r="D14525" t="s">
        <v>889</v>
      </c>
      <c r="E14525" t="s">
        <v>22169</v>
      </c>
      <c r="F14525" s="2" t="str">
        <f>HYPERLINK("http://www.otzar.org/book.asp?100947","זרע יצחק - 2 כר'")</f>
        <v>זרע יצחק - 2 כר'</v>
      </c>
    </row>
    <row r="14526" spans="1:6" x14ac:dyDescent="0.2">
      <c r="A14526" t="s">
        <v>24316</v>
      </c>
      <c r="B14526" t="s">
        <v>24317</v>
      </c>
      <c r="C14526" t="s">
        <v>103</v>
      </c>
      <c r="D14526" t="s">
        <v>14</v>
      </c>
      <c r="E14526" t="s">
        <v>144</v>
      </c>
      <c r="F14526" s="2" t="str">
        <f>HYPERLINK("http://www.otzar.org/book.asp?189122","זרע יצחק - 9 כר'")</f>
        <v>זרע יצחק - 9 כר'</v>
      </c>
    </row>
    <row r="14527" spans="1:6" x14ac:dyDescent="0.2">
      <c r="A14527" t="s">
        <v>24318</v>
      </c>
      <c r="B14527" t="s">
        <v>24319</v>
      </c>
      <c r="C14527" t="s">
        <v>20</v>
      </c>
      <c r="D14527" t="s">
        <v>14</v>
      </c>
      <c r="E14527" t="s">
        <v>84</v>
      </c>
      <c r="F14527" s="2" t="str">
        <f>HYPERLINK("http://www.otzar.org/book.asp?165099","זרע יצחק - 7 כר'")</f>
        <v>זרע יצחק - 7 כר'</v>
      </c>
    </row>
    <row r="14528" spans="1:6" x14ac:dyDescent="0.2">
      <c r="A14528" t="s">
        <v>24305</v>
      </c>
      <c r="B14528" t="s">
        <v>8127</v>
      </c>
      <c r="C14528" t="s">
        <v>24320</v>
      </c>
      <c r="D14528" t="s">
        <v>212</v>
      </c>
      <c r="E14528" t="s">
        <v>24321</v>
      </c>
      <c r="F14528" s="2" t="str">
        <f>HYPERLINK("http://www.otzar.org/book.asp?14168","זרע יצחק")</f>
        <v>זרע יצחק</v>
      </c>
    </row>
    <row r="14529" spans="1:6" x14ac:dyDescent="0.2">
      <c r="A14529" t="s">
        <v>24305</v>
      </c>
      <c r="B14529" t="s">
        <v>24322</v>
      </c>
      <c r="C14529" t="s">
        <v>5823</v>
      </c>
      <c r="D14529" t="s">
        <v>283</v>
      </c>
      <c r="E14529" t="s">
        <v>154</v>
      </c>
      <c r="F14529" s="2" t="str">
        <f>HYPERLINK("http://www.otzar.org/book.asp?100940","זרע יצחק")</f>
        <v>זרע יצחק</v>
      </c>
    </row>
    <row r="14530" spans="1:6" x14ac:dyDescent="0.2">
      <c r="A14530" t="s">
        <v>24305</v>
      </c>
      <c r="B14530" t="s">
        <v>14738</v>
      </c>
      <c r="C14530" t="s">
        <v>1470</v>
      </c>
      <c r="D14530" t="s">
        <v>10393</v>
      </c>
      <c r="E14530" t="s">
        <v>144</v>
      </c>
      <c r="F14530" s="2" t="str">
        <f>HYPERLINK("http://www.otzar.org/book.asp?24445","זרע יצחק")</f>
        <v>זרע יצחק</v>
      </c>
    </row>
    <row r="14531" spans="1:6" x14ac:dyDescent="0.2">
      <c r="A14531" t="s">
        <v>24305</v>
      </c>
      <c r="B14531" t="s">
        <v>24323</v>
      </c>
      <c r="C14531" t="s">
        <v>908</v>
      </c>
      <c r="D14531" t="s">
        <v>10393</v>
      </c>
      <c r="E14531" t="s">
        <v>144</v>
      </c>
      <c r="F14531" s="2" t="str">
        <f>HYPERLINK("http://www.otzar.org/book.asp?24444","זרע יצחק")</f>
        <v>זרע יצחק</v>
      </c>
    </row>
    <row r="14532" spans="1:6" x14ac:dyDescent="0.2">
      <c r="A14532" t="s">
        <v>24324</v>
      </c>
      <c r="B14532" t="s">
        <v>24325</v>
      </c>
      <c r="C14532" t="s">
        <v>22961</v>
      </c>
      <c r="D14532" t="s">
        <v>1023</v>
      </c>
      <c r="E14532" t="s">
        <v>144</v>
      </c>
      <c r="F14532" s="2" t="str">
        <f>HYPERLINK("http://www.otzar.org/book.asp?19390","זרע ישראל - 2 כר'")</f>
        <v>זרע ישראל - 2 כר'</v>
      </c>
    </row>
    <row r="14533" spans="1:6" x14ac:dyDescent="0.2">
      <c r="A14533" t="s">
        <v>24326</v>
      </c>
      <c r="B14533" t="s">
        <v>24327</v>
      </c>
      <c r="C14533" t="s">
        <v>1388</v>
      </c>
      <c r="D14533" t="s">
        <v>1180</v>
      </c>
      <c r="E14533" t="s">
        <v>24328</v>
      </c>
      <c r="F14533" s="2" t="str">
        <f>HYPERLINK("http://www.otzar.org/book.asp?7398","זרע מרדכי")</f>
        <v>זרע מרדכי</v>
      </c>
    </row>
    <row r="14534" spans="1:6" x14ac:dyDescent="0.2">
      <c r="A14534" t="s">
        <v>24329</v>
      </c>
      <c r="B14534" t="s">
        <v>8609</v>
      </c>
      <c r="C14534" t="s">
        <v>37</v>
      </c>
      <c r="D14534" t="s">
        <v>14</v>
      </c>
      <c r="E14534" t="s">
        <v>15</v>
      </c>
      <c r="F14534" s="2" t="str">
        <f>HYPERLINK("http://www.otzar.org/book.asp?180984","זרע ציון - 4 כר'")</f>
        <v>זרע ציון - 4 כר'</v>
      </c>
    </row>
    <row r="14535" spans="1:6" x14ac:dyDescent="0.2">
      <c r="A14535" t="s">
        <v>24330</v>
      </c>
      <c r="B14535" t="s">
        <v>17431</v>
      </c>
      <c r="C14535" t="s">
        <v>87</v>
      </c>
      <c r="D14535" t="s">
        <v>14</v>
      </c>
      <c r="E14535" t="s">
        <v>15</v>
      </c>
      <c r="F14535" s="2" t="str">
        <f>HYPERLINK("http://www.otzar.org/book.asp?17065","זרע ציון")</f>
        <v>זרע ציון</v>
      </c>
    </row>
    <row r="14536" spans="1:6" x14ac:dyDescent="0.2">
      <c r="A14536" t="s">
        <v>24331</v>
      </c>
      <c r="B14536" t="s">
        <v>24332</v>
      </c>
      <c r="D14536" t="s">
        <v>14</v>
      </c>
      <c r="E14536" t="s">
        <v>119</v>
      </c>
      <c r="F14536" s="2" t="str">
        <f>HYPERLINK("http://www.otzar.org/book.asp?159733","זרע קדש מצבתה")</f>
        <v>זרע קדש מצבתה</v>
      </c>
    </row>
    <row r="14537" spans="1:6" x14ac:dyDescent="0.2">
      <c r="A14537" t="s">
        <v>24333</v>
      </c>
      <c r="B14537" t="s">
        <v>22343</v>
      </c>
      <c r="C14537" t="s">
        <v>10215</v>
      </c>
      <c r="D14537" t="s">
        <v>2303</v>
      </c>
      <c r="F14537" s="2" t="str">
        <f>HYPERLINK("http://www.otzar.org/book.asp?170148","זרע קודש מצבתה - 4 כר'")</f>
        <v>זרע קודש מצבתה - 4 כר'</v>
      </c>
    </row>
    <row r="14538" spans="1:6" x14ac:dyDescent="0.2">
      <c r="A14538" t="s">
        <v>24334</v>
      </c>
      <c r="B14538" t="s">
        <v>24335</v>
      </c>
      <c r="C14538" t="s">
        <v>1811</v>
      </c>
      <c r="D14538" t="s">
        <v>14</v>
      </c>
      <c r="E14538" t="s">
        <v>5398</v>
      </c>
      <c r="F14538" s="2" t="str">
        <f>HYPERLINK("http://www.otzar.org/book.asp?7621","זרע קודש מצבתה")</f>
        <v>זרע קודש מצבתה</v>
      </c>
    </row>
    <row r="14539" spans="1:6" x14ac:dyDescent="0.2">
      <c r="A14539" t="s">
        <v>24336</v>
      </c>
      <c r="B14539" t="s">
        <v>2346</v>
      </c>
      <c r="C14539" t="s">
        <v>482</v>
      </c>
      <c r="D14539" t="s">
        <v>27</v>
      </c>
      <c r="E14539" t="s">
        <v>158</v>
      </c>
      <c r="F14539" s="2" t="str">
        <f>HYPERLINK("http://www.otzar.org/book.asp?7186","זרע קודש - 3 כר'")</f>
        <v>זרע קודש - 3 כר'</v>
      </c>
    </row>
    <row r="14540" spans="1:6" x14ac:dyDescent="0.2">
      <c r="A14540" t="s">
        <v>24337</v>
      </c>
      <c r="B14540" t="s">
        <v>6083</v>
      </c>
      <c r="C14540" t="s">
        <v>5308</v>
      </c>
      <c r="D14540" t="s">
        <v>744</v>
      </c>
      <c r="E14540" t="s">
        <v>84</v>
      </c>
      <c r="F14540" s="2" t="str">
        <f>HYPERLINK("http://www.otzar.org/book.asp?141074","זרע קודש")</f>
        <v>זרע קודש</v>
      </c>
    </row>
    <row r="14541" spans="1:6" x14ac:dyDescent="0.2">
      <c r="A14541" t="s">
        <v>24337</v>
      </c>
      <c r="B14541" t="s">
        <v>12629</v>
      </c>
      <c r="C14541" t="s">
        <v>6448</v>
      </c>
      <c r="D14541" t="s">
        <v>280</v>
      </c>
      <c r="E14541" t="s">
        <v>1028</v>
      </c>
      <c r="F14541" s="2" t="str">
        <f>HYPERLINK("http://www.otzar.org/book.asp?100913","זרע קודש")</f>
        <v>זרע קודש</v>
      </c>
    </row>
    <row r="14542" spans="1:6" x14ac:dyDescent="0.2">
      <c r="A14542" t="s">
        <v>24337</v>
      </c>
      <c r="B14542" t="s">
        <v>24338</v>
      </c>
      <c r="C14542" t="s">
        <v>4351</v>
      </c>
      <c r="D14542" t="s">
        <v>60</v>
      </c>
      <c r="E14542" t="s">
        <v>158</v>
      </c>
      <c r="F14542" s="2" t="str">
        <f>HYPERLINK("http://www.otzar.org/book.asp?24446","זרע קודש")</f>
        <v>זרע קודש</v>
      </c>
    </row>
    <row r="14543" spans="1:6" x14ac:dyDescent="0.2">
      <c r="A14543" t="s">
        <v>24339</v>
      </c>
      <c r="B14543" t="s">
        <v>24340</v>
      </c>
      <c r="C14543" t="s">
        <v>1191</v>
      </c>
      <c r="D14543" t="s">
        <v>212</v>
      </c>
      <c r="E14543" t="s">
        <v>564</v>
      </c>
      <c r="F14543" s="2" t="str">
        <f>HYPERLINK("http://www.otzar.org/book.asp?10000","זרע רב &lt;יכין ובעז&gt;")</f>
        <v>זרע רב &lt;יכין ובעז&gt;</v>
      </c>
    </row>
    <row r="14544" spans="1:6" x14ac:dyDescent="0.2">
      <c r="A14544" t="s">
        <v>24341</v>
      </c>
      <c r="B14544" t="s">
        <v>24342</v>
      </c>
      <c r="C14544" t="s">
        <v>133</v>
      </c>
      <c r="D14544" t="s">
        <v>21</v>
      </c>
      <c r="E14544" t="s">
        <v>463</v>
      </c>
      <c r="F14544" s="2" t="str">
        <f>HYPERLINK("http://www.otzar.org/book.asp?197795","זרע רחמים")</f>
        <v>זרע רחמים</v>
      </c>
    </row>
    <row r="14545" spans="1:6" x14ac:dyDescent="0.2">
      <c r="A14545" t="s">
        <v>24343</v>
      </c>
      <c r="B14545" t="s">
        <v>24344</v>
      </c>
      <c r="C14545" t="s">
        <v>1494</v>
      </c>
      <c r="D14545" t="s">
        <v>535</v>
      </c>
      <c r="E14545" t="s">
        <v>144</v>
      </c>
      <c r="F14545" s="2" t="str">
        <f>HYPERLINK("http://www.otzar.org/book.asp?18762","זרע שמואל")</f>
        <v>זרע שמואל</v>
      </c>
    </row>
    <row r="14546" spans="1:6" x14ac:dyDescent="0.2">
      <c r="A14546" t="s">
        <v>24345</v>
      </c>
      <c r="B14546" t="s">
        <v>13591</v>
      </c>
      <c r="C14546" t="s">
        <v>23</v>
      </c>
      <c r="D14546" t="s">
        <v>4223</v>
      </c>
      <c r="E14546" t="s">
        <v>674</v>
      </c>
      <c r="F14546" s="2" t="str">
        <f>HYPERLINK("http://www.otzar.org/book.asp?193635","זרע שמשון &lt;מהדורה חדשה&gt; - אשת חיל")</f>
        <v>זרע שמשון &lt;מהדורה חדשה&gt; - אשת חיל</v>
      </c>
    </row>
    <row r="14547" spans="1:6" x14ac:dyDescent="0.2">
      <c r="A14547" t="s">
        <v>24346</v>
      </c>
      <c r="B14547" t="s">
        <v>13591</v>
      </c>
      <c r="C14547" t="s">
        <v>528</v>
      </c>
      <c r="D14547" t="s">
        <v>1411</v>
      </c>
      <c r="E14547" t="s">
        <v>158</v>
      </c>
      <c r="F14547" s="2" t="str">
        <f>HYPERLINK("http://www.otzar.org/book.asp?15770","זרע שמשון - 4 כר'")</f>
        <v>זרע שמשון - 4 כר'</v>
      </c>
    </row>
    <row r="14548" spans="1:6" x14ac:dyDescent="0.2">
      <c r="A14548" t="s">
        <v>24347</v>
      </c>
      <c r="B14548" t="s">
        <v>22373</v>
      </c>
      <c r="C14548" t="s">
        <v>5721</v>
      </c>
      <c r="D14548" t="s">
        <v>212</v>
      </c>
      <c r="E14548" t="s">
        <v>144</v>
      </c>
      <c r="F14548" s="2" t="str">
        <f>HYPERLINK("http://www.otzar.org/book.asp?100946","זרעא דיוסף")</f>
        <v>זרעא דיוסף</v>
      </c>
    </row>
    <row r="14549" spans="1:6" x14ac:dyDescent="0.2">
      <c r="A14549" t="s">
        <v>24348</v>
      </c>
      <c r="B14549" t="s">
        <v>7870</v>
      </c>
      <c r="C14549" t="s">
        <v>244</v>
      </c>
      <c r="D14549" t="s">
        <v>412</v>
      </c>
      <c r="E14549" t="s">
        <v>246</v>
      </c>
      <c r="F14549" s="2" t="str">
        <f>HYPERLINK("http://www.otzar.org/book.asp?621902","זרעא חיא - מועדים")</f>
        <v>זרעא חיא - מועדים</v>
      </c>
    </row>
    <row r="14550" spans="1:6" x14ac:dyDescent="0.2">
      <c r="A14550" t="s">
        <v>24349</v>
      </c>
      <c r="B14550" t="s">
        <v>206</v>
      </c>
      <c r="C14550" t="s">
        <v>20</v>
      </c>
      <c r="D14550" t="s">
        <v>152</v>
      </c>
      <c r="E14550" t="s">
        <v>104</v>
      </c>
      <c r="F14550" s="2" t="str">
        <f>HYPERLINK("http://www.otzar.org/book.asp?629992","זרעא חייא וקיימא")</f>
        <v>זרעא חייא וקיימא</v>
      </c>
    </row>
    <row r="14551" spans="1:6" x14ac:dyDescent="0.2">
      <c r="A14551" t="s">
        <v>24350</v>
      </c>
      <c r="B14551" t="s">
        <v>24351</v>
      </c>
      <c r="C14551" t="s">
        <v>129</v>
      </c>
      <c r="D14551" t="s">
        <v>412</v>
      </c>
      <c r="F14551" s="2" t="str">
        <f>HYPERLINK("http://www.otzar.org/book.asp?198322","זרעא קדישא")</f>
        <v>זרעא קדישא</v>
      </c>
    </row>
    <row r="14552" spans="1:6" x14ac:dyDescent="0.2">
      <c r="A14552" t="s">
        <v>24352</v>
      </c>
      <c r="B14552" t="s">
        <v>6018</v>
      </c>
      <c r="C14552" t="s">
        <v>129</v>
      </c>
      <c r="D14552" t="s">
        <v>14</v>
      </c>
      <c r="E14552" t="s">
        <v>15</v>
      </c>
      <c r="F14552" s="2" t="str">
        <f>HYPERLINK("http://www.otzar.org/book.asp?142261","זרעא קיימא")</f>
        <v>זרעא קיימא</v>
      </c>
    </row>
    <row r="14553" spans="1:6" x14ac:dyDescent="0.2">
      <c r="A14553" t="s">
        <v>24353</v>
      </c>
      <c r="B14553" t="s">
        <v>24298</v>
      </c>
      <c r="C14553" t="s">
        <v>87</v>
      </c>
      <c r="D14553" t="s">
        <v>27</v>
      </c>
      <c r="E14553" t="s">
        <v>957</v>
      </c>
      <c r="F14553" s="2" t="str">
        <f>HYPERLINK("http://www.otzar.org/book.asp?15269","זרעה של רחל - 2 כר'")</f>
        <v>זרעה של רחל - 2 כר'</v>
      </c>
    </row>
    <row r="14554" spans="1:6" x14ac:dyDescent="0.2">
      <c r="A14554" t="s">
        <v>24354</v>
      </c>
      <c r="B14554" t="s">
        <v>24355</v>
      </c>
      <c r="C14554" t="s">
        <v>37</v>
      </c>
      <c r="D14554" t="s">
        <v>27</v>
      </c>
      <c r="E14554" t="s">
        <v>4586</v>
      </c>
      <c r="F14554" s="2" t="str">
        <f>HYPERLINK("http://www.otzar.org/book.asp?179947","זרעו של אברהם &lt;מהדורה חדשה&gt; - א")</f>
        <v>זרעו של אברהם &lt;מהדורה חדשה&gt; - א</v>
      </c>
    </row>
    <row r="14555" spans="1:6" x14ac:dyDescent="0.2">
      <c r="A14555" t="s">
        <v>24356</v>
      </c>
      <c r="B14555" t="s">
        <v>24355</v>
      </c>
      <c r="C14555" t="s">
        <v>24357</v>
      </c>
      <c r="D14555" t="s">
        <v>27</v>
      </c>
      <c r="E14555" t="s">
        <v>24358</v>
      </c>
      <c r="F14555" s="2" t="str">
        <f>HYPERLINK("http://www.otzar.org/book.asp?8835","זרעו של אברהם - 2 כר'")</f>
        <v>זרעו של אברהם - 2 כר'</v>
      </c>
    </row>
    <row r="14556" spans="1:6" x14ac:dyDescent="0.2">
      <c r="A14556" t="s">
        <v>24359</v>
      </c>
      <c r="B14556" t="s">
        <v>24360</v>
      </c>
      <c r="C14556" t="s">
        <v>1885</v>
      </c>
      <c r="D14556" t="s">
        <v>889</v>
      </c>
      <c r="E14556" t="s">
        <v>24361</v>
      </c>
      <c r="F14556" s="2" t="str">
        <f>HYPERLINK("http://www.otzar.org/book.asp?104863","זרעו של יצחק")</f>
        <v>זרעו של יצחק</v>
      </c>
    </row>
    <row r="14557" spans="1:6" x14ac:dyDescent="0.2">
      <c r="A14557" t="s">
        <v>24362</v>
      </c>
      <c r="B14557" t="s">
        <v>24363</v>
      </c>
      <c r="C14557" t="s">
        <v>3840</v>
      </c>
      <c r="D14557" t="s">
        <v>11104</v>
      </c>
      <c r="E14557" t="s">
        <v>104</v>
      </c>
      <c r="F14557" s="2" t="str">
        <f>HYPERLINK("http://www.otzar.org/book.asp?106501","חאלת אליהוד פי פרנקפורט")</f>
        <v>חאלת אליהוד פי פרנקפורט</v>
      </c>
    </row>
    <row r="14558" spans="1:6" x14ac:dyDescent="0.2">
      <c r="A14558" t="s">
        <v>24364</v>
      </c>
      <c r="B14558" t="s">
        <v>24365</v>
      </c>
      <c r="C14558" t="s">
        <v>2225</v>
      </c>
      <c r="D14558" t="s">
        <v>49</v>
      </c>
      <c r="F14558" s="2" t="str">
        <f>HYPERLINK("http://www.otzar.org/book.asp?165055","חבור המעשיות והמדרשות וההגדות")</f>
        <v>חבור המעשיות והמדרשות וההגדות</v>
      </c>
    </row>
    <row r="14559" spans="1:6" x14ac:dyDescent="0.2">
      <c r="A14559" t="s">
        <v>24366</v>
      </c>
      <c r="B14559" t="s">
        <v>18405</v>
      </c>
      <c r="C14559" t="s">
        <v>3244</v>
      </c>
      <c r="D14559" t="s">
        <v>280</v>
      </c>
      <c r="E14559" t="s">
        <v>104</v>
      </c>
      <c r="F14559" s="2" t="str">
        <f>HYPERLINK("http://www.otzar.org/book.asp?100","חבור המשיחה והתשבורת")</f>
        <v>חבור המשיחה והתשבורת</v>
      </c>
    </row>
    <row r="14560" spans="1:6" x14ac:dyDescent="0.2">
      <c r="A14560" t="s">
        <v>24367</v>
      </c>
      <c r="B14560" t="s">
        <v>9963</v>
      </c>
      <c r="C14560" t="s">
        <v>124</v>
      </c>
      <c r="D14560" t="s">
        <v>14</v>
      </c>
      <c r="E14560" t="s">
        <v>241</v>
      </c>
      <c r="F14560" s="2" t="str">
        <f>HYPERLINK("http://www.otzar.org/book.asp?13037","חבור התשובה")</f>
        <v>חבור התשובה</v>
      </c>
    </row>
    <row r="14561" spans="1:6" x14ac:dyDescent="0.2">
      <c r="A14561" t="s">
        <v>24368</v>
      </c>
      <c r="B14561" t="s">
        <v>24369</v>
      </c>
      <c r="C14561" t="s">
        <v>411</v>
      </c>
      <c r="D14561" t="s">
        <v>14</v>
      </c>
      <c r="F14561" s="2" t="str">
        <f>HYPERLINK("http://www.otzar.org/book.asp?630404","חבורות במסכת ברכות")</f>
        <v>חבורות במסכת ברכות</v>
      </c>
    </row>
    <row r="14562" spans="1:6" x14ac:dyDescent="0.2">
      <c r="A14562" t="s">
        <v>24370</v>
      </c>
      <c r="B14562" t="s">
        <v>24371</v>
      </c>
      <c r="C14562" t="s">
        <v>146</v>
      </c>
      <c r="D14562" t="s">
        <v>14</v>
      </c>
      <c r="E14562" t="s">
        <v>144</v>
      </c>
      <c r="F14562" s="2" t="str">
        <f>HYPERLINK("http://www.otzar.org/book.asp?53050","חבורות על מסכת ב""ק")</f>
        <v>חבורות על מסכת ב"ק</v>
      </c>
    </row>
    <row r="14563" spans="1:6" x14ac:dyDescent="0.2">
      <c r="A14563" t="s">
        <v>24372</v>
      </c>
      <c r="B14563" t="s">
        <v>24373</v>
      </c>
      <c r="C14563" t="s">
        <v>13</v>
      </c>
      <c r="D14563" t="s">
        <v>14</v>
      </c>
      <c r="E14563" t="s">
        <v>144</v>
      </c>
      <c r="F14563" s="2" t="str">
        <f>HYPERLINK("http://www.otzar.org/book.asp?158697","חבורות על מסכת כתובות")</f>
        <v>חבורות על מסכת כתובות</v>
      </c>
    </row>
    <row r="14564" spans="1:6" x14ac:dyDescent="0.2">
      <c r="A14564" t="s">
        <v>24374</v>
      </c>
      <c r="B14564" t="s">
        <v>24375</v>
      </c>
      <c r="C14564" t="s">
        <v>624</v>
      </c>
      <c r="D14564" t="s">
        <v>52</v>
      </c>
      <c r="E14564" t="s">
        <v>144</v>
      </c>
      <c r="F14564" s="2" t="str">
        <f>HYPERLINK("http://www.otzar.org/book.asp?143102","חבורות שנאמרו ע""י מו""ר הגר""א דויטש שליט""א")</f>
        <v>חבורות שנאמרו ע"י מו"ר הגר"א דויטש שליט"א</v>
      </c>
    </row>
    <row r="14565" spans="1:6" x14ac:dyDescent="0.2">
      <c r="A14565" t="s">
        <v>24376</v>
      </c>
      <c r="B14565" t="s">
        <v>22669</v>
      </c>
      <c r="C14565" t="s">
        <v>51</v>
      </c>
      <c r="D14565" t="s">
        <v>52</v>
      </c>
      <c r="E14565" t="s">
        <v>144</v>
      </c>
      <c r="F14565" s="2" t="str">
        <f>HYPERLINK("http://www.otzar.org/book.asp?156387","חבורי טהרה - חולין (פרק העור והרוטב)")</f>
        <v>חבורי טהרה - חולין (פרק העור והרוטב)</v>
      </c>
    </row>
    <row r="14566" spans="1:6" x14ac:dyDescent="0.2">
      <c r="A14566" t="s">
        <v>24377</v>
      </c>
      <c r="B14566" t="s">
        <v>24378</v>
      </c>
      <c r="C14566" t="s">
        <v>2672</v>
      </c>
      <c r="D14566" t="s">
        <v>49</v>
      </c>
      <c r="F14566" s="2" t="str">
        <f>HYPERLINK("http://www.otzar.org/book.asp?182077","חבורי לקוטים")</f>
        <v>חבורי לקוטים</v>
      </c>
    </row>
    <row r="14567" spans="1:6" x14ac:dyDescent="0.2">
      <c r="A14567" t="s">
        <v>24379</v>
      </c>
      <c r="B14567" t="s">
        <v>24380</v>
      </c>
      <c r="C14567" t="s">
        <v>244</v>
      </c>
      <c r="D14567" t="s">
        <v>5172</v>
      </c>
      <c r="E14567" t="s">
        <v>144</v>
      </c>
      <c r="F14567" s="2" t="str">
        <f>HYPERLINK("http://www.otzar.org/book.asp?608812","חבורת הפסח")</f>
        <v>חבורת הפסח</v>
      </c>
    </row>
    <row r="14568" spans="1:6" x14ac:dyDescent="0.2">
      <c r="A14568" t="s">
        <v>24381</v>
      </c>
      <c r="B14568" t="s">
        <v>2861</v>
      </c>
      <c r="C14568" t="s">
        <v>24382</v>
      </c>
      <c r="D14568" t="s">
        <v>52</v>
      </c>
      <c r="E14568" t="s">
        <v>741</v>
      </c>
      <c r="F14568" s="2" t="str">
        <f>HYPERLINK("http://www.otzar.org/book.asp?63011","חבורתא קדישתא")</f>
        <v>חבורתא קדישתא</v>
      </c>
    </row>
    <row r="14569" spans="1:6" x14ac:dyDescent="0.2">
      <c r="A14569" t="s">
        <v>24383</v>
      </c>
      <c r="B14569" t="s">
        <v>107</v>
      </c>
      <c r="C14569" t="s">
        <v>767</v>
      </c>
      <c r="D14569" t="s">
        <v>14</v>
      </c>
      <c r="E14569" t="s">
        <v>241</v>
      </c>
      <c r="F14569" s="2" t="str">
        <f>HYPERLINK("http://www.otzar.org/book.asp?6513","חביב אדם")</f>
        <v>חביב אדם</v>
      </c>
    </row>
    <row r="14570" spans="1:6" x14ac:dyDescent="0.2">
      <c r="A14570" t="s">
        <v>24384</v>
      </c>
      <c r="B14570" t="s">
        <v>4201</v>
      </c>
      <c r="C14570" t="s">
        <v>624</v>
      </c>
      <c r="D14570" t="s">
        <v>52</v>
      </c>
      <c r="F14570" s="2" t="str">
        <f>HYPERLINK("http://www.otzar.org/book.asp?61334","חביבא אורייתא קמי דקב""ה")</f>
        <v>חביבא אורייתא קמי דקב"ה</v>
      </c>
    </row>
    <row r="14571" spans="1:6" x14ac:dyDescent="0.2">
      <c r="A14571" t="s">
        <v>24385</v>
      </c>
      <c r="B14571" t="s">
        <v>206</v>
      </c>
      <c r="C14571" t="s">
        <v>20</v>
      </c>
      <c r="D14571" t="s">
        <v>90</v>
      </c>
      <c r="E14571" t="s">
        <v>213</v>
      </c>
      <c r="F14571" s="2" t="str">
        <f>HYPERLINK("http://www.otzar.org/book.asp?629875","חביבות הצניעות")</f>
        <v>חביבות הצניעות</v>
      </c>
    </row>
    <row r="14572" spans="1:6" x14ac:dyDescent="0.2">
      <c r="A14572" t="s">
        <v>24386</v>
      </c>
      <c r="B14572" t="s">
        <v>10619</v>
      </c>
      <c r="C14572" t="s">
        <v>129</v>
      </c>
      <c r="D14572" t="s">
        <v>139</v>
      </c>
      <c r="E14572" t="s">
        <v>714</v>
      </c>
      <c r="F14572" s="2" t="str">
        <f>HYPERLINK("http://www.otzar.org/book.asp?160832","חביבות התורה")</f>
        <v>חביבות התורה</v>
      </c>
    </row>
    <row r="14573" spans="1:6" x14ac:dyDescent="0.2">
      <c r="A14573" t="s">
        <v>24387</v>
      </c>
      <c r="B14573" t="s">
        <v>24388</v>
      </c>
      <c r="C14573" t="s">
        <v>111</v>
      </c>
      <c r="D14573" t="s">
        <v>5172</v>
      </c>
      <c r="E14573" t="s">
        <v>144</v>
      </c>
      <c r="F14573" s="2" t="str">
        <f>HYPERLINK("http://www.otzar.org/book.asp?622218","חביבי עירובין")</f>
        <v>חביבי עירובין</v>
      </c>
    </row>
    <row r="14574" spans="1:6" x14ac:dyDescent="0.2">
      <c r="A14574" t="s">
        <v>24389</v>
      </c>
      <c r="B14574" t="s">
        <v>206</v>
      </c>
      <c r="C14574" t="s">
        <v>383</v>
      </c>
      <c r="D14574" t="s">
        <v>14</v>
      </c>
      <c r="E14574" t="s">
        <v>241</v>
      </c>
      <c r="F14574" s="2" t="str">
        <f>HYPERLINK("http://www.otzar.org/book.asp?148189","חביבים יסורים")</f>
        <v>חביבים יסורים</v>
      </c>
    </row>
    <row r="14575" spans="1:6" x14ac:dyDescent="0.2">
      <c r="A14575" t="s">
        <v>24390</v>
      </c>
      <c r="B14575" t="s">
        <v>24391</v>
      </c>
      <c r="C14575" t="s">
        <v>13</v>
      </c>
      <c r="D14575" t="s">
        <v>14</v>
      </c>
      <c r="E14575" t="s">
        <v>158</v>
      </c>
      <c r="F14575" s="2" t="str">
        <f>HYPERLINK("http://www.otzar.org/book.asp?150864","חביבין דבקבעתא")</f>
        <v>חביבין דבקבעתא</v>
      </c>
    </row>
    <row r="14576" spans="1:6" x14ac:dyDescent="0.2">
      <c r="A14576" t="s">
        <v>24392</v>
      </c>
      <c r="B14576" t="s">
        <v>24393</v>
      </c>
      <c r="C14576" t="s">
        <v>313</v>
      </c>
      <c r="D14576" t="s">
        <v>14</v>
      </c>
      <c r="E14576" t="s">
        <v>241</v>
      </c>
      <c r="F14576" s="2" t="str">
        <f>HYPERLINK("http://www.otzar.org/book.asp?6225","חביבין יסורים")</f>
        <v>חביבין יסורים</v>
      </c>
    </row>
    <row r="14577" spans="1:6" x14ac:dyDescent="0.2">
      <c r="A14577" t="s">
        <v>24394</v>
      </c>
      <c r="B14577" t="s">
        <v>24395</v>
      </c>
      <c r="C14577" t="s">
        <v>244</v>
      </c>
      <c r="D14577" t="s">
        <v>412</v>
      </c>
      <c r="E14577" t="s">
        <v>144</v>
      </c>
      <c r="F14577" s="2" t="str">
        <f>HYPERLINK("http://www.otzar.org/book.asp?609043","חביבין ישראל - 6 כר'")</f>
        <v>חביבין ישראל - 6 כר'</v>
      </c>
    </row>
    <row r="14578" spans="1:6" x14ac:dyDescent="0.2">
      <c r="A14578" t="s">
        <v>24396</v>
      </c>
      <c r="B14578" t="s">
        <v>24397</v>
      </c>
      <c r="C14578" t="s">
        <v>1448</v>
      </c>
      <c r="D14578" t="s">
        <v>14</v>
      </c>
      <c r="E14578" t="s">
        <v>15</v>
      </c>
      <c r="F14578" s="2" t="str">
        <f>HYPERLINK("http://www.otzar.org/book.asp?84963","חביון עוז - 2 כר'")</f>
        <v>חביון עוז - 2 כר'</v>
      </c>
    </row>
    <row r="14579" spans="1:6" x14ac:dyDescent="0.2">
      <c r="A14579" t="s">
        <v>24398</v>
      </c>
      <c r="B14579" t="s">
        <v>24399</v>
      </c>
      <c r="C14579" t="s">
        <v>24400</v>
      </c>
      <c r="D14579" t="s">
        <v>1411</v>
      </c>
      <c r="E14579" t="s">
        <v>246</v>
      </c>
      <c r="F14579" s="2" t="str">
        <f>HYPERLINK("http://www.otzar.org/book.asp?51023","חבל בני יהודה")</f>
        <v>חבל בני יהודה</v>
      </c>
    </row>
    <row r="14580" spans="1:6" x14ac:dyDescent="0.2">
      <c r="A14580" t="s">
        <v>24401</v>
      </c>
      <c r="B14580" t="s">
        <v>24402</v>
      </c>
      <c r="C14580" t="s">
        <v>908</v>
      </c>
      <c r="D14580" t="s">
        <v>24403</v>
      </c>
      <c r="E14580" t="s">
        <v>5580</v>
      </c>
      <c r="F14580" s="2" t="str">
        <f>HYPERLINK("http://www.otzar.org/book.asp?106354","חבל בנימין")</f>
        <v>חבל בנימין</v>
      </c>
    </row>
    <row r="14581" spans="1:6" x14ac:dyDescent="0.2">
      <c r="A14581" t="s">
        <v>24404</v>
      </c>
      <c r="B14581" t="s">
        <v>24405</v>
      </c>
      <c r="C14581" t="s">
        <v>576</v>
      </c>
      <c r="D14581" t="s">
        <v>9</v>
      </c>
      <c r="E14581" t="s">
        <v>733</v>
      </c>
      <c r="F14581" s="2" t="str">
        <f>HYPERLINK("http://www.otzar.org/book.asp?100465","חבל הכסף")</f>
        <v>חבל הכסף</v>
      </c>
    </row>
    <row r="14582" spans="1:6" x14ac:dyDescent="0.2">
      <c r="A14582" t="s">
        <v>24406</v>
      </c>
      <c r="B14582" t="s">
        <v>24407</v>
      </c>
      <c r="C14582" t="s">
        <v>3635</v>
      </c>
      <c r="D14582" t="s">
        <v>56</v>
      </c>
      <c r="E14582" t="s">
        <v>84</v>
      </c>
      <c r="F14582" s="2" t="str">
        <f>HYPERLINK("http://www.otzar.org/book.asp?51024","חבל יהודה")</f>
        <v>חבל יהודה</v>
      </c>
    </row>
    <row r="14583" spans="1:6" x14ac:dyDescent="0.2">
      <c r="A14583" t="s">
        <v>24408</v>
      </c>
      <c r="B14583" t="s">
        <v>10672</v>
      </c>
      <c r="C14583" t="s">
        <v>24409</v>
      </c>
      <c r="D14583" t="s">
        <v>283</v>
      </c>
      <c r="E14583" t="s">
        <v>172</v>
      </c>
      <c r="F14583" s="2" t="str">
        <f>HYPERLINK("http://www.otzar.org/book.asp?8453","חבל יוסף - 4 כר'")</f>
        <v>חבל יוסף - 4 כר'</v>
      </c>
    </row>
    <row r="14584" spans="1:6" x14ac:dyDescent="0.2">
      <c r="A14584" t="s">
        <v>24410</v>
      </c>
      <c r="B14584" t="s">
        <v>24411</v>
      </c>
      <c r="C14584" t="s">
        <v>1202</v>
      </c>
      <c r="D14584" t="s">
        <v>56</v>
      </c>
      <c r="E14584" t="s">
        <v>17079</v>
      </c>
      <c r="F14584" s="2" t="str">
        <f>HYPERLINK("http://www.otzar.org/book.asp?10755","חבל יעקב - 4 כר'")</f>
        <v>חבל יעקב - 4 כר'</v>
      </c>
    </row>
    <row r="14585" spans="1:6" x14ac:dyDescent="0.2">
      <c r="A14585" t="s">
        <v>24412</v>
      </c>
      <c r="B14585" t="s">
        <v>24413</v>
      </c>
      <c r="C14585" t="s">
        <v>11127</v>
      </c>
      <c r="D14585" t="s">
        <v>42</v>
      </c>
      <c r="E14585" t="s">
        <v>213</v>
      </c>
      <c r="F14585" s="2" t="str">
        <f>HYPERLINK("http://www.otzar.org/book.asp?168058","חבל להחיות")</f>
        <v>חבל להחיות</v>
      </c>
    </row>
    <row r="14586" spans="1:6" x14ac:dyDescent="0.2">
      <c r="A14586" t="s">
        <v>24414</v>
      </c>
      <c r="B14586" t="s">
        <v>24415</v>
      </c>
      <c r="C14586" t="s">
        <v>2076</v>
      </c>
      <c r="D14586" t="s">
        <v>283</v>
      </c>
      <c r="F14586" s="2" t="str">
        <f>HYPERLINK("http://www.otzar.org/book.asp?612903","חבל נביאים")</f>
        <v>חבל נביאים</v>
      </c>
    </row>
    <row r="14587" spans="1:6" x14ac:dyDescent="0.2">
      <c r="A14587" t="s">
        <v>24416</v>
      </c>
      <c r="B14587" t="s">
        <v>24417</v>
      </c>
      <c r="C14587" t="s">
        <v>24418</v>
      </c>
      <c r="D14587" t="s">
        <v>16978</v>
      </c>
      <c r="E14587" t="s">
        <v>4104</v>
      </c>
      <c r="F14587" s="2" t="str">
        <f>HYPERLINK("http://www.otzar.org/book.asp?102557","חבל נחלה - 2 כר'")</f>
        <v>חבל נחלה - 2 כר'</v>
      </c>
    </row>
    <row r="14588" spans="1:6" x14ac:dyDescent="0.2">
      <c r="A14588" t="s">
        <v>24419</v>
      </c>
      <c r="B14588" t="s">
        <v>24420</v>
      </c>
      <c r="C14588" t="s">
        <v>411</v>
      </c>
      <c r="D14588" t="s">
        <v>14</v>
      </c>
      <c r="E14588" t="s">
        <v>803</v>
      </c>
      <c r="F14588" s="2" t="str">
        <f>HYPERLINK("http://www.otzar.org/book.asp?165984","חבלי חיים")</f>
        <v>חבלי חיים</v>
      </c>
    </row>
    <row r="14589" spans="1:6" x14ac:dyDescent="0.2">
      <c r="A14589" t="s">
        <v>24421</v>
      </c>
      <c r="B14589" t="s">
        <v>3554</v>
      </c>
      <c r="C14589" t="s">
        <v>1570</v>
      </c>
      <c r="D14589" t="s">
        <v>52</v>
      </c>
      <c r="E14589" t="s">
        <v>119</v>
      </c>
      <c r="F14589" s="2" t="str">
        <f>HYPERLINK("http://www.otzar.org/book.asp?143512","חבלי יוצר")</f>
        <v>חבלי יוצר</v>
      </c>
    </row>
    <row r="14590" spans="1:6" x14ac:dyDescent="0.2">
      <c r="A14590" t="s">
        <v>24422</v>
      </c>
      <c r="B14590" t="s">
        <v>24423</v>
      </c>
      <c r="C14590" t="s">
        <v>1268</v>
      </c>
      <c r="D14590" t="s">
        <v>14</v>
      </c>
      <c r="E14590" t="s">
        <v>104</v>
      </c>
      <c r="F14590" s="2" t="str">
        <f>HYPERLINK("http://www.otzar.org/book.asp?5039","חבלי משיח בזמננו")</f>
        <v>חבלי משיח בזמננו</v>
      </c>
    </row>
    <row r="14591" spans="1:6" x14ac:dyDescent="0.2">
      <c r="A14591" t="s">
        <v>24424</v>
      </c>
      <c r="B14591" t="s">
        <v>24425</v>
      </c>
      <c r="C14591" t="s">
        <v>411</v>
      </c>
      <c r="D14591" t="s">
        <v>14</v>
      </c>
      <c r="E14591" t="s">
        <v>241</v>
      </c>
      <c r="F14591" s="2" t="str">
        <f>HYPERLINK("http://www.otzar.org/book.asp?166008","חבלי משיח וביאור לספר מסילת ישרים")</f>
        <v>חבלי משיח וביאור לספר מסילת ישרים</v>
      </c>
    </row>
    <row r="14592" spans="1:6" x14ac:dyDescent="0.2">
      <c r="A14592" t="s">
        <v>24426</v>
      </c>
      <c r="B14592" t="s">
        <v>24425</v>
      </c>
      <c r="C14592" t="s">
        <v>466</v>
      </c>
      <c r="D14592" t="s">
        <v>412</v>
      </c>
      <c r="E14592" t="s">
        <v>104</v>
      </c>
      <c r="F14592" s="2" t="str">
        <f>HYPERLINK("http://www.otzar.org/book.asp?21831","חבלי משיח - 2 כר'")</f>
        <v>חבלי משיח - 2 כר'</v>
      </c>
    </row>
    <row r="14593" spans="1:6" x14ac:dyDescent="0.2">
      <c r="A14593" t="s">
        <v>24427</v>
      </c>
      <c r="B14593" t="s">
        <v>15191</v>
      </c>
      <c r="C14593" t="s">
        <v>24428</v>
      </c>
      <c r="D14593" t="s">
        <v>225</v>
      </c>
      <c r="E14593" t="s">
        <v>508</v>
      </c>
      <c r="F14593" s="2" t="str">
        <f>HYPERLINK("http://www.otzar.org/book.asp?102802","חבלים בנעימים - 5 כר'")</f>
        <v>חבלים בנעימים - 5 כר'</v>
      </c>
    </row>
    <row r="14594" spans="1:6" x14ac:dyDescent="0.2">
      <c r="A14594" t="s">
        <v>24429</v>
      </c>
      <c r="B14594" t="s">
        <v>24430</v>
      </c>
      <c r="C14594" t="s">
        <v>13</v>
      </c>
      <c r="D14594" t="s">
        <v>14</v>
      </c>
      <c r="E14594" t="s">
        <v>8854</v>
      </c>
      <c r="F14594" s="2" t="str">
        <f>HYPERLINK("http://www.otzar.org/book.asp?152596","חבצלת השרון לרבי יחיא בשירי")</f>
        <v>חבצלת השרון לרבי יחיא בשירי</v>
      </c>
    </row>
    <row r="14595" spans="1:6" x14ac:dyDescent="0.2">
      <c r="A14595" t="s">
        <v>24431</v>
      </c>
      <c r="B14595" t="s">
        <v>15186</v>
      </c>
      <c r="C14595" t="s">
        <v>24432</v>
      </c>
      <c r="D14595" t="s">
        <v>1324</v>
      </c>
      <c r="F14595" s="2" t="str">
        <f>HYPERLINK("http://www.otzar.org/book.asp?622188","חבצלת השרון")</f>
        <v>חבצלת השרון</v>
      </c>
    </row>
    <row r="14596" spans="1:6" x14ac:dyDescent="0.2">
      <c r="A14596" t="s">
        <v>24433</v>
      </c>
      <c r="B14596" t="s">
        <v>24434</v>
      </c>
      <c r="C14596" t="s">
        <v>1535</v>
      </c>
      <c r="D14596" t="s">
        <v>691</v>
      </c>
      <c r="E14596" t="s">
        <v>154</v>
      </c>
      <c r="F14596" s="2" t="str">
        <f>HYPERLINK("http://www.otzar.org/book.asp?102804","חבצלת השרון - 3 כר'")</f>
        <v>חבצלת השרון - 3 כר'</v>
      </c>
    </row>
    <row r="14597" spans="1:6" x14ac:dyDescent="0.2">
      <c r="A14597" t="s">
        <v>24431</v>
      </c>
      <c r="B14597" t="s">
        <v>3908</v>
      </c>
      <c r="C14597" t="s">
        <v>1228</v>
      </c>
      <c r="D14597" t="s">
        <v>27</v>
      </c>
      <c r="E14597" t="s">
        <v>158</v>
      </c>
      <c r="F14597" s="2" t="str">
        <f>HYPERLINK("http://www.otzar.org/book.asp?179580","חבצלת השרון")</f>
        <v>חבצלת השרון</v>
      </c>
    </row>
    <row r="14598" spans="1:6" x14ac:dyDescent="0.2">
      <c r="A14598" t="s">
        <v>24435</v>
      </c>
      <c r="B14598" t="s">
        <v>24436</v>
      </c>
      <c r="C14598" t="s">
        <v>129</v>
      </c>
      <c r="D14598" t="s">
        <v>14</v>
      </c>
      <c r="E14598" t="s">
        <v>158</v>
      </c>
      <c r="F14598" s="2" t="str">
        <f>HYPERLINK("http://www.otzar.org/book.asp?52646","חבצלת השרון - 11 כר'")</f>
        <v>חבצלת השרון - 11 כר'</v>
      </c>
    </row>
    <row r="14599" spans="1:6" x14ac:dyDescent="0.2">
      <c r="A14599" t="s">
        <v>24437</v>
      </c>
      <c r="B14599" t="s">
        <v>24438</v>
      </c>
      <c r="C14599" t="s">
        <v>24439</v>
      </c>
      <c r="D14599" t="s">
        <v>24440</v>
      </c>
      <c r="F14599" s="2" t="str">
        <f>HYPERLINK("http://www.otzar.org/book.asp?613675","חבקבוק הנביא - 2 כר'")</f>
        <v>חבקבוק הנביא - 2 כר'</v>
      </c>
    </row>
    <row r="14600" spans="1:6" x14ac:dyDescent="0.2">
      <c r="A14600" t="s">
        <v>24441</v>
      </c>
      <c r="B14600" t="s">
        <v>1750</v>
      </c>
      <c r="C14600" t="s">
        <v>146</v>
      </c>
      <c r="D14600" t="s">
        <v>14</v>
      </c>
      <c r="E14600" t="s">
        <v>186</v>
      </c>
      <c r="F14600" s="2" t="str">
        <f>HYPERLINK("http://www.otzar.org/book.asp?172440","חבר אמרים - 5 כר'")</f>
        <v>חבר אמרים - 5 כר'</v>
      </c>
    </row>
    <row r="14601" spans="1:6" x14ac:dyDescent="0.2">
      <c r="A14601" t="s">
        <v>24442</v>
      </c>
      <c r="B14601" t="s">
        <v>24443</v>
      </c>
      <c r="C14601" t="s">
        <v>87</v>
      </c>
      <c r="D14601" t="s">
        <v>14</v>
      </c>
      <c r="E14601" t="s">
        <v>213</v>
      </c>
      <c r="F14601" s="2" t="str">
        <f>HYPERLINK("http://www.otzar.org/book.asp?166164","חבר מאמרי התורה")</f>
        <v>חבר מאמרי התורה</v>
      </c>
    </row>
    <row r="14602" spans="1:6" x14ac:dyDescent="0.2">
      <c r="A14602" t="s">
        <v>24444</v>
      </c>
      <c r="B14602" t="s">
        <v>24445</v>
      </c>
      <c r="C14602" t="s">
        <v>533</v>
      </c>
      <c r="D14602" t="s">
        <v>52</v>
      </c>
      <c r="E14602" t="s">
        <v>144</v>
      </c>
      <c r="F14602" s="2" t="str">
        <f>HYPERLINK("http://www.otzar.org/book.asp?23082","חבר שעורים - יבמות")</f>
        <v>חבר שעורים - יבמות</v>
      </c>
    </row>
    <row r="14603" spans="1:6" x14ac:dyDescent="0.2">
      <c r="A14603" t="s">
        <v>24446</v>
      </c>
      <c r="B14603" t="s">
        <v>24447</v>
      </c>
      <c r="C14603" t="s">
        <v>244</v>
      </c>
      <c r="D14603" t="s">
        <v>13837</v>
      </c>
      <c r="E14603" t="s">
        <v>733</v>
      </c>
      <c r="F14603" s="2" t="str">
        <f>HYPERLINK("http://www.otzar.org/book.asp?601348","חברה יהודית ים תיכונית בשלהי ימי הביניים לאור גניזת קהיר")</f>
        <v>חברה יהודית ים תיכונית בשלהי ימי הביניים לאור גניזת קהיר</v>
      </c>
    </row>
    <row r="14604" spans="1:6" x14ac:dyDescent="0.2">
      <c r="A14604" t="s">
        <v>24448</v>
      </c>
      <c r="B14604" t="s">
        <v>10164</v>
      </c>
      <c r="C14604" t="s">
        <v>1246</v>
      </c>
      <c r="D14604" t="s">
        <v>1188</v>
      </c>
      <c r="E14604" t="s">
        <v>81</v>
      </c>
      <c r="F14604" s="2" t="str">
        <f>HYPERLINK("http://www.otzar.org/book.asp?14846","חברה מחזירי עטרה ליושנה")</f>
        <v>חברה מחזירי עטרה ליושנה</v>
      </c>
    </row>
    <row r="14605" spans="1:6" x14ac:dyDescent="0.2">
      <c r="A14605" t="s">
        <v>24449</v>
      </c>
      <c r="B14605" t="s">
        <v>24450</v>
      </c>
      <c r="C14605" t="s">
        <v>351</v>
      </c>
      <c r="D14605" t="s">
        <v>157</v>
      </c>
      <c r="E14605" t="s">
        <v>219</v>
      </c>
      <c r="F14605" s="2" t="str">
        <f>HYPERLINK("http://www.otzar.org/book.asp?51025","חברה קדושה של ביקור חולים")</f>
        <v>חברה קדושה של ביקור חולים</v>
      </c>
    </row>
    <row r="14606" spans="1:6" x14ac:dyDescent="0.2">
      <c r="A14606" t="s">
        <v>24451</v>
      </c>
      <c r="B14606" t="s">
        <v>107</v>
      </c>
      <c r="C14606" t="s">
        <v>87</v>
      </c>
      <c r="D14606" t="s">
        <v>14</v>
      </c>
      <c r="E14606" t="s">
        <v>119</v>
      </c>
      <c r="F14606" s="2" t="str">
        <f>HYPERLINK("http://www.otzar.org/book.asp?84462","חברון - מפרעות תרפ""ט עד מאורעות תשנ""ד")</f>
        <v>חברון - מפרעות תרפ"ט עד מאורעות תשנ"ד</v>
      </c>
    </row>
    <row r="14607" spans="1:6" x14ac:dyDescent="0.2">
      <c r="A14607" t="s">
        <v>24452</v>
      </c>
      <c r="B14607" t="s">
        <v>24453</v>
      </c>
      <c r="C14607" t="s">
        <v>20</v>
      </c>
      <c r="D14607" t="s">
        <v>14</v>
      </c>
      <c r="E14607" t="s">
        <v>144</v>
      </c>
      <c r="F14607" s="2" t="str">
        <f>HYPERLINK("http://www.otzar.org/book.asp?175631","חברותא - 71 כר'")</f>
        <v>חברותא - 71 כר'</v>
      </c>
    </row>
    <row r="14608" spans="1:6" x14ac:dyDescent="0.2">
      <c r="A14608" t="s">
        <v>24454</v>
      </c>
      <c r="B14608" t="s">
        <v>24455</v>
      </c>
      <c r="C14608" t="s">
        <v>37</v>
      </c>
      <c r="D14608" t="s">
        <v>3825</v>
      </c>
      <c r="E14608" t="s">
        <v>202</v>
      </c>
      <c r="F14608" s="2" t="str">
        <f>HYPERLINK("http://www.otzar.org/book.asp?193800","חברי דעה")</f>
        <v>חברי דעה</v>
      </c>
    </row>
    <row r="14609" spans="1:6" x14ac:dyDescent="0.2">
      <c r="A14609" t="s">
        <v>24456</v>
      </c>
      <c r="B14609" t="s">
        <v>8886</v>
      </c>
      <c r="C14609" t="s">
        <v>419</v>
      </c>
      <c r="D14609" t="s">
        <v>852</v>
      </c>
      <c r="E14609" t="s">
        <v>202</v>
      </c>
      <c r="F14609" s="2" t="str">
        <f>HYPERLINK("http://www.otzar.org/book.asp?169079","חברים מקשיבים")</f>
        <v>חברים מקשיבים</v>
      </c>
    </row>
    <row r="14610" spans="1:6" x14ac:dyDescent="0.2">
      <c r="A14610" t="s">
        <v>24457</v>
      </c>
      <c r="B14610" t="s">
        <v>489</v>
      </c>
      <c r="C14610" t="s">
        <v>366</v>
      </c>
      <c r="D14610" t="s">
        <v>14</v>
      </c>
      <c r="E14610" t="s">
        <v>84</v>
      </c>
      <c r="F14610" s="2" t="str">
        <f>HYPERLINK("http://www.otzar.org/book.asp?608684","חברים מקשיבים - תורת זאב - דמאי")</f>
        <v>חברים מקשיבים - תורת זאב - דמאי</v>
      </c>
    </row>
    <row r="14611" spans="1:6" x14ac:dyDescent="0.2">
      <c r="A14611" t="s">
        <v>24458</v>
      </c>
      <c r="B14611" t="s">
        <v>24459</v>
      </c>
      <c r="C14611" t="s">
        <v>3690</v>
      </c>
      <c r="D14611" t="s">
        <v>27</v>
      </c>
      <c r="E14611" t="s">
        <v>15</v>
      </c>
      <c r="F14611" s="2" t="str">
        <f>HYPERLINK("http://www.otzar.org/book.asp?300414","חברת בית אברהם - תקנות")</f>
        <v>חברת בית אברהם - תקנות</v>
      </c>
    </row>
    <row r="14612" spans="1:6" x14ac:dyDescent="0.2">
      <c r="A14612" t="s">
        <v>24460</v>
      </c>
      <c r="B14612" t="s">
        <v>1469</v>
      </c>
      <c r="C14612" t="s">
        <v>946</v>
      </c>
      <c r="D14612" t="s">
        <v>27</v>
      </c>
      <c r="E14612" t="s">
        <v>24461</v>
      </c>
      <c r="F14612" s="2" t="str">
        <f>HYPERLINK("http://www.otzar.org/book.asp?6463","חבש פאר - 2 כר'")</f>
        <v>חבש פאר - 2 כר'</v>
      </c>
    </row>
    <row r="14613" spans="1:6" x14ac:dyDescent="0.2">
      <c r="A14613" t="s">
        <v>24462</v>
      </c>
      <c r="B14613" t="s">
        <v>13573</v>
      </c>
      <c r="C14613" t="s">
        <v>1096</v>
      </c>
      <c r="D14613" t="s">
        <v>283</v>
      </c>
      <c r="E14613" t="s">
        <v>234</v>
      </c>
      <c r="F14613" s="2" t="str">
        <f>HYPERLINK("http://www.otzar.org/book.asp?189484","חבת הקדש")</f>
        <v>חבת הקדש</v>
      </c>
    </row>
    <row r="14614" spans="1:6" x14ac:dyDescent="0.2">
      <c r="A14614" t="s">
        <v>24463</v>
      </c>
      <c r="B14614" t="s">
        <v>3292</v>
      </c>
      <c r="C14614" t="s">
        <v>576</v>
      </c>
      <c r="D14614" t="s">
        <v>27</v>
      </c>
      <c r="E14614" t="s">
        <v>234</v>
      </c>
      <c r="F14614" s="2" t="str">
        <f>HYPERLINK("http://www.otzar.org/book.asp?9928","חבת הקודש")</f>
        <v>חבת הקודש</v>
      </c>
    </row>
    <row r="14615" spans="1:6" x14ac:dyDescent="0.2">
      <c r="A14615" t="s">
        <v>24464</v>
      </c>
      <c r="B14615" t="s">
        <v>24465</v>
      </c>
      <c r="C14615" t="s">
        <v>180</v>
      </c>
      <c r="D14615" t="s">
        <v>14</v>
      </c>
      <c r="E14615" t="s">
        <v>24137</v>
      </c>
      <c r="F14615" s="2" t="str">
        <f>HYPERLINK("http://www.otzar.org/book.asp?14841","חבת ירושלים")</f>
        <v>חבת ירושלים</v>
      </c>
    </row>
    <row r="14616" spans="1:6" x14ac:dyDescent="0.2">
      <c r="A14616" t="s">
        <v>24464</v>
      </c>
      <c r="B14616" t="s">
        <v>24466</v>
      </c>
      <c r="C14616" t="s">
        <v>728</v>
      </c>
      <c r="D14616" t="s">
        <v>283</v>
      </c>
      <c r="E14616" t="s">
        <v>104</v>
      </c>
      <c r="F14616" s="2" t="str">
        <f>HYPERLINK("http://www.otzar.org/book.asp?106776","חבת ירושלים")</f>
        <v>חבת ירושלים</v>
      </c>
    </row>
    <row r="14617" spans="1:6" x14ac:dyDescent="0.2">
      <c r="A14617" t="s">
        <v>24467</v>
      </c>
      <c r="B14617" t="s">
        <v>24465</v>
      </c>
      <c r="C14617" t="s">
        <v>3475</v>
      </c>
      <c r="D14617" t="s">
        <v>27</v>
      </c>
      <c r="E14617" t="s">
        <v>733</v>
      </c>
      <c r="F14617" s="2" t="str">
        <f>HYPERLINK("http://www.otzar.org/book.asp?168024","חבת ירושלם - 3 כר'")</f>
        <v>חבת ירושלם - 3 כר'</v>
      </c>
    </row>
    <row r="14618" spans="1:6" x14ac:dyDescent="0.2">
      <c r="A14618" t="s">
        <v>24468</v>
      </c>
      <c r="B14618" t="s">
        <v>24469</v>
      </c>
      <c r="C14618" t="s">
        <v>180</v>
      </c>
      <c r="D14618" t="s">
        <v>216</v>
      </c>
      <c r="E14618" t="s">
        <v>1211</v>
      </c>
      <c r="F14618" s="2" t="str">
        <f>HYPERLINK("http://www.otzar.org/book.asp?168984","חבת ציון (מהרש""א מראי מקומות)")</f>
        <v>חבת ציון (מהרש"א מראי מקומות)</v>
      </c>
    </row>
    <row r="14619" spans="1:6" x14ac:dyDescent="0.2">
      <c r="A14619" t="s">
        <v>24470</v>
      </c>
      <c r="B14619" t="s">
        <v>24471</v>
      </c>
      <c r="C14619" t="s">
        <v>24472</v>
      </c>
      <c r="D14619" t="s">
        <v>10393</v>
      </c>
      <c r="E14619" t="s">
        <v>144</v>
      </c>
      <c r="F14619" s="2" t="str">
        <f>HYPERLINK("http://www.otzar.org/book.asp?18764","חבת שמואל")</f>
        <v>חבת שמואל</v>
      </c>
    </row>
    <row r="14620" spans="1:6" x14ac:dyDescent="0.2">
      <c r="A14620" t="s">
        <v>24473</v>
      </c>
      <c r="B14620" t="s">
        <v>1275</v>
      </c>
      <c r="C14620" t="s">
        <v>151</v>
      </c>
      <c r="D14620" t="s">
        <v>14</v>
      </c>
      <c r="E14620" t="s">
        <v>104</v>
      </c>
      <c r="F14620" s="2" t="str">
        <f>HYPERLINK("http://www.otzar.org/book.asp?626230","חג האסיף")</f>
        <v>חג האסיף</v>
      </c>
    </row>
    <row r="14621" spans="1:6" x14ac:dyDescent="0.2">
      <c r="A14621" t="s">
        <v>24473</v>
      </c>
      <c r="B14621" t="s">
        <v>24474</v>
      </c>
      <c r="C14621" t="s">
        <v>4374</v>
      </c>
      <c r="D14621" t="s">
        <v>20821</v>
      </c>
      <c r="E14621" t="s">
        <v>130</v>
      </c>
      <c r="F14621" s="2" t="str">
        <f>HYPERLINK("http://www.otzar.org/book.asp?165165","חג האסיף")</f>
        <v>חג האסיף</v>
      </c>
    </row>
    <row r="14622" spans="1:6" x14ac:dyDescent="0.2">
      <c r="A14622" t="s">
        <v>24473</v>
      </c>
      <c r="B14622" t="s">
        <v>19426</v>
      </c>
      <c r="C14622" t="s">
        <v>313</v>
      </c>
      <c r="D14622" t="s">
        <v>14</v>
      </c>
      <c r="E14622" t="s">
        <v>130</v>
      </c>
      <c r="F14622" s="2" t="str">
        <f>HYPERLINK("http://www.otzar.org/book.asp?155005","חג האסיף")</f>
        <v>חג האסיף</v>
      </c>
    </row>
    <row r="14623" spans="1:6" x14ac:dyDescent="0.2">
      <c r="A14623" t="s">
        <v>24473</v>
      </c>
      <c r="B14623" t="s">
        <v>24475</v>
      </c>
      <c r="C14623" t="s">
        <v>523</v>
      </c>
      <c r="D14623" t="s">
        <v>52</v>
      </c>
      <c r="E14623" t="s">
        <v>4494</v>
      </c>
      <c r="F14623" s="2" t="str">
        <f>HYPERLINK("http://www.otzar.org/book.asp?143843","חג האסיף")</f>
        <v>חג האסיף</v>
      </c>
    </row>
    <row r="14624" spans="1:6" x14ac:dyDescent="0.2">
      <c r="A14624" t="s">
        <v>24476</v>
      </c>
      <c r="B14624" t="s">
        <v>905</v>
      </c>
      <c r="C14624" t="s">
        <v>383</v>
      </c>
      <c r="D14624" t="s">
        <v>14</v>
      </c>
      <c r="E14624" t="s">
        <v>3567</v>
      </c>
      <c r="F14624" s="2" t="str">
        <f>HYPERLINK("http://www.otzar.org/book.asp?63185","חג המימונה")</f>
        <v>חג המימונה</v>
      </c>
    </row>
    <row r="14625" spans="1:6" x14ac:dyDescent="0.2">
      <c r="A14625" t="s">
        <v>24477</v>
      </c>
      <c r="B14625" t="s">
        <v>24478</v>
      </c>
      <c r="C14625" t="s">
        <v>23</v>
      </c>
      <c r="D14625" t="s">
        <v>21</v>
      </c>
      <c r="E14625" t="s">
        <v>130</v>
      </c>
      <c r="F14625" s="2" t="str">
        <f>HYPERLINK("http://www.otzar.org/book.asp?191817","חג המימונה - פנים לגאולה")</f>
        <v>חג המימונה - פנים לגאולה</v>
      </c>
    </row>
    <row r="14626" spans="1:6" x14ac:dyDescent="0.2">
      <c r="A14626" t="s">
        <v>24479</v>
      </c>
      <c r="B14626" t="s">
        <v>24475</v>
      </c>
      <c r="C14626" t="s">
        <v>454</v>
      </c>
      <c r="D14626" t="s">
        <v>52</v>
      </c>
      <c r="E14626" t="s">
        <v>24480</v>
      </c>
      <c r="F14626" s="2" t="str">
        <f>HYPERLINK("http://www.otzar.org/book.asp?143833","חג המצות - 2 כר'")</f>
        <v>חג המצות - 2 כר'</v>
      </c>
    </row>
    <row r="14627" spans="1:6" x14ac:dyDescent="0.2">
      <c r="A14627" t="s">
        <v>24481</v>
      </c>
      <c r="B14627" t="s">
        <v>1750</v>
      </c>
      <c r="C14627" t="s">
        <v>37</v>
      </c>
      <c r="D14627" t="s">
        <v>24482</v>
      </c>
      <c r="E14627" t="s">
        <v>130</v>
      </c>
      <c r="F14627" s="2" t="str">
        <f>HYPERLINK("http://www.otzar.org/book.asp?195129","חג הסוכות בהלכה ובאגדה")</f>
        <v>חג הסוכות בהלכה ובאגדה</v>
      </c>
    </row>
    <row r="14628" spans="1:6" x14ac:dyDescent="0.2">
      <c r="A14628" t="s">
        <v>24483</v>
      </c>
      <c r="B14628" t="s">
        <v>107</v>
      </c>
      <c r="C14628" t="s">
        <v>71</v>
      </c>
      <c r="D14628" t="s">
        <v>14</v>
      </c>
      <c r="E14628" t="s">
        <v>246</v>
      </c>
      <c r="F14628" s="2" t="str">
        <f>HYPERLINK("http://www.otzar.org/book.asp?6077","חג הסוכות ומצוותיו")</f>
        <v>חג הסוכות ומצוותיו</v>
      </c>
    </row>
    <row r="14629" spans="1:6" x14ac:dyDescent="0.2">
      <c r="A14629" t="s">
        <v>24484</v>
      </c>
      <c r="B14629" t="s">
        <v>17792</v>
      </c>
      <c r="C14629" t="s">
        <v>366</v>
      </c>
      <c r="D14629" t="s">
        <v>14</v>
      </c>
      <c r="E14629" t="s">
        <v>246</v>
      </c>
      <c r="F14629" s="2" t="str">
        <f>HYPERLINK("http://www.otzar.org/book.asp?600670","חג הסוכות - שיח איש")</f>
        <v>חג הסוכות - שיח איש</v>
      </c>
    </row>
    <row r="14630" spans="1:6" x14ac:dyDescent="0.2">
      <c r="A14630" t="s">
        <v>24485</v>
      </c>
      <c r="B14630" t="s">
        <v>1750</v>
      </c>
      <c r="C14630" t="s">
        <v>37</v>
      </c>
      <c r="D14630" t="s">
        <v>14</v>
      </c>
      <c r="E14630" t="s">
        <v>130</v>
      </c>
      <c r="F14630" s="2" t="str">
        <f>HYPERLINK("http://www.otzar.org/book.asp?195130","חג הפסח בהלכה ובאגדה")</f>
        <v>חג הפסח בהלכה ובאגדה</v>
      </c>
    </row>
    <row r="14631" spans="1:6" x14ac:dyDescent="0.2">
      <c r="A14631" t="s">
        <v>24486</v>
      </c>
      <c r="B14631" t="s">
        <v>24487</v>
      </c>
      <c r="C14631" t="s">
        <v>985</v>
      </c>
      <c r="D14631" t="s">
        <v>592</v>
      </c>
      <c r="E14631" t="s">
        <v>104</v>
      </c>
      <c r="F14631" s="2" t="str">
        <f>HYPERLINK("http://www.otzar.org/book.asp?197492","חג הפסח בעיירתנו")</f>
        <v>חג הפסח בעיירתנו</v>
      </c>
    </row>
    <row r="14632" spans="1:6" x14ac:dyDescent="0.2">
      <c r="A14632" t="s">
        <v>24488</v>
      </c>
      <c r="B14632" t="s">
        <v>24489</v>
      </c>
      <c r="C14632" t="s">
        <v>1374</v>
      </c>
      <c r="D14632" t="s">
        <v>412</v>
      </c>
      <c r="F14632" s="2" t="str">
        <f>HYPERLINK("http://www.otzar.org/book.asp?620675","חג הפסח")</f>
        <v>חג הפסח</v>
      </c>
    </row>
    <row r="14633" spans="1:6" x14ac:dyDescent="0.2">
      <c r="A14633" t="s">
        <v>24488</v>
      </c>
      <c r="B14633" t="s">
        <v>24490</v>
      </c>
      <c r="C14633" t="s">
        <v>888</v>
      </c>
      <c r="D14633" t="s">
        <v>27</v>
      </c>
      <c r="E14633" t="s">
        <v>246</v>
      </c>
      <c r="F14633" s="2" t="str">
        <f>HYPERLINK("http://www.otzar.org/book.asp?26012","חג הפסח")</f>
        <v>חג הפסח</v>
      </c>
    </row>
    <row r="14634" spans="1:6" x14ac:dyDescent="0.2">
      <c r="A14634" t="s">
        <v>24488</v>
      </c>
      <c r="B14634" t="s">
        <v>8822</v>
      </c>
      <c r="C14634" t="s">
        <v>482</v>
      </c>
      <c r="D14634" t="s">
        <v>646</v>
      </c>
      <c r="E14634" t="s">
        <v>246</v>
      </c>
      <c r="F14634" s="2" t="str">
        <f>HYPERLINK("http://www.otzar.org/book.asp?628733","חג הפסח")</f>
        <v>חג הפסח</v>
      </c>
    </row>
    <row r="14635" spans="1:6" x14ac:dyDescent="0.2">
      <c r="A14635" t="s">
        <v>24491</v>
      </c>
      <c r="B14635" t="s">
        <v>24475</v>
      </c>
      <c r="C14635" t="s">
        <v>71</v>
      </c>
      <c r="D14635" t="s">
        <v>52</v>
      </c>
      <c r="E14635" t="s">
        <v>4494</v>
      </c>
      <c r="F14635" s="2" t="str">
        <f>HYPERLINK("http://www.otzar.org/book.asp?143839","חג השבועות")</f>
        <v>חג השבועות</v>
      </c>
    </row>
    <row r="14636" spans="1:6" x14ac:dyDescent="0.2">
      <c r="A14636" t="s">
        <v>24491</v>
      </c>
      <c r="B14636" t="s">
        <v>24492</v>
      </c>
      <c r="C14636" t="s">
        <v>180</v>
      </c>
      <c r="D14636" t="s">
        <v>14</v>
      </c>
      <c r="E14636" t="s">
        <v>246</v>
      </c>
      <c r="F14636" s="2" t="str">
        <f>HYPERLINK("http://www.otzar.org/book.asp?612430","חג השבועות")</f>
        <v>חג השבועות</v>
      </c>
    </row>
    <row r="14637" spans="1:6" x14ac:dyDescent="0.2">
      <c r="A14637" t="s">
        <v>24491</v>
      </c>
      <c r="B14637" t="s">
        <v>24493</v>
      </c>
      <c r="C14637" t="s">
        <v>68</v>
      </c>
      <c r="D14637" t="s">
        <v>52</v>
      </c>
      <c r="E14637" t="s">
        <v>246</v>
      </c>
      <c r="F14637" s="2" t="str">
        <f>HYPERLINK("http://www.otzar.org/book.asp?158827","חג השבועות")</f>
        <v>חג השבועות</v>
      </c>
    </row>
    <row r="14638" spans="1:6" x14ac:dyDescent="0.2">
      <c r="A14638" t="s">
        <v>24494</v>
      </c>
      <c r="B14638" t="s">
        <v>24495</v>
      </c>
      <c r="C14638" t="s">
        <v>23</v>
      </c>
      <c r="D14638" t="s">
        <v>52</v>
      </c>
      <c r="E14638" t="s">
        <v>246</v>
      </c>
      <c r="F14638" s="2" t="str">
        <f>HYPERLINK("http://www.otzar.org/book.asp?605232","חג ומועד")</f>
        <v>חג ומועד</v>
      </c>
    </row>
    <row r="14639" spans="1:6" x14ac:dyDescent="0.2">
      <c r="A14639" t="s">
        <v>24496</v>
      </c>
      <c r="B14639" t="s">
        <v>18321</v>
      </c>
      <c r="C14639" t="s">
        <v>13</v>
      </c>
      <c r="D14639" t="s">
        <v>90</v>
      </c>
      <c r="E14639" t="s">
        <v>1517</v>
      </c>
      <c r="F14639" s="2" t="str">
        <f>HYPERLINK("http://www.otzar.org/book.asp?151099","חג שמואל")</f>
        <v>חג שמואל</v>
      </c>
    </row>
    <row r="14640" spans="1:6" x14ac:dyDescent="0.2">
      <c r="A14640" t="s">
        <v>24497</v>
      </c>
      <c r="B14640" t="s">
        <v>24498</v>
      </c>
      <c r="C14640" t="s">
        <v>356</v>
      </c>
      <c r="D14640" t="s">
        <v>52</v>
      </c>
      <c r="E14640" t="s">
        <v>474</v>
      </c>
      <c r="F14640" s="2" t="str">
        <f>HYPERLINK("http://www.otzar.org/book.asp?144979","חגוי הסלע")</f>
        <v>חגוי הסלע</v>
      </c>
    </row>
    <row r="14641" spans="1:6" x14ac:dyDescent="0.2">
      <c r="A14641" t="s">
        <v>24499</v>
      </c>
      <c r="B14641" t="s">
        <v>24500</v>
      </c>
      <c r="C14641" t="s">
        <v>366</v>
      </c>
      <c r="D14641" t="s">
        <v>657</v>
      </c>
      <c r="E14641" t="s">
        <v>144</v>
      </c>
      <c r="F14641" s="2" t="str">
        <f>HYPERLINK("http://www.otzar.org/book.asp?610331","חגוי הסלע - 6 כר'")</f>
        <v>חגוי הסלע - 6 כר'</v>
      </c>
    </row>
    <row r="14642" spans="1:6" x14ac:dyDescent="0.2">
      <c r="A14642" t="s">
        <v>24501</v>
      </c>
      <c r="B14642" t="s">
        <v>681</v>
      </c>
      <c r="C14642" t="s">
        <v>946</v>
      </c>
      <c r="D14642" t="s">
        <v>683</v>
      </c>
      <c r="E14642" t="s">
        <v>3567</v>
      </c>
      <c r="F14642" s="2" t="str">
        <f>HYPERLINK("http://www.otzar.org/book.asp?18765","חגור האפד")</f>
        <v>חגור האפד</v>
      </c>
    </row>
    <row r="14643" spans="1:6" x14ac:dyDescent="0.2">
      <c r="A14643" t="s">
        <v>24502</v>
      </c>
      <c r="B14643" t="s">
        <v>24503</v>
      </c>
      <c r="C14643" t="s">
        <v>562</v>
      </c>
      <c r="D14643" t="s">
        <v>2290</v>
      </c>
      <c r="E14643" t="s">
        <v>837</v>
      </c>
      <c r="F14643" s="2" t="str">
        <f>HYPERLINK("http://www.otzar.org/book.asp?100945","חגורת שמואל")</f>
        <v>חגורת שמואל</v>
      </c>
    </row>
    <row r="14644" spans="1:6" x14ac:dyDescent="0.2">
      <c r="A14644" t="s">
        <v>24504</v>
      </c>
      <c r="B14644" t="s">
        <v>9043</v>
      </c>
      <c r="C14644" t="s">
        <v>114</v>
      </c>
      <c r="D14644" t="s">
        <v>90</v>
      </c>
      <c r="E14644" t="s">
        <v>246</v>
      </c>
      <c r="F14644" s="2" t="str">
        <f>HYPERLINK("http://www.otzar.org/book.asp?160098","חגי דוד")</f>
        <v>חגי דוד</v>
      </c>
    </row>
    <row r="14645" spans="1:6" x14ac:dyDescent="0.2">
      <c r="A14645" t="s">
        <v>24505</v>
      </c>
      <c r="B14645" t="s">
        <v>24506</v>
      </c>
      <c r="C14645" t="s">
        <v>767</v>
      </c>
      <c r="D14645" t="s">
        <v>52</v>
      </c>
      <c r="E14645" t="s">
        <v>144</v>
      </c>
      <c r="F14645" s="2" t="str">
        <f>HYPERLINK("http://www.otzar.org/book.asp?158926","חגי דוד - 2 כר'")</f>
        <v>חגי דוד - 2 כר'</v>
      </c>
    </row>
    <row r="14646" spans="1:6" x14ac:dyDescent="0.2">
      <c r="A14646" t="s">
        <v>24507</v>
      </c>
      <c r="B14646" t="s">
        <v>2464</v>
      </c>
      <c r="C14646" t="s">
        <v>5826</v>
      </c>
      <c r="D14646" t="s">
        <v>251</v>
      </c>
      <c r="E14646" t="s">
        <v>21174</v>
      </c>
      <c r="F14646" s="2" t="str">
        <f>HYPERLINK("http://www.otzar.org/book.asp?18766","חגי יהודה")</f>
        <v>חגי יהודה</v>
      </c>
    </row>
    <row r="14647" spans="1:6" x14ac:dyDescent="0.2">
      <c r="A14647" t="s">
        <v>24508</v>
      </c>
      <c r="B14647" t="s">
        <v>4373</v>
      </c>
      <c r="C14647" t="s">
        <v>291</v>
      </c>
      <c r="D14647" t="s">
        <v>76</v>
      </c>
      <c r="E14647" t="s">
        <v>15</v>
      </c>
      <c r="F14647" s="2" t="str">
        <f>HYPERLINK("http://www.otzar.org/book.asp?165167","חגיגת הרגל")</f>
        <v>חגיגת הרגל</v>
      </c>
    </row>
    <row r="14648" spans="1:6" x14ac:dyDescent="0.2">
      <c r="A14648" t="s">
        <v>24509</v>
      </c>
      <c r="B14648" t="s">
        <v>24510</v>
      </c>
      <c r="C14648" t="s">
        <v>956</v>
      </c>
      <c r="D14648" t="s">
        <v>115</v>
      </c>
      <c r="E14648" t="s">
        <v>15</v>
      </c>
      <c r="F14648" s="2" t="str">
        <f>HYPERLINK("http://www.otzar.org/book.asp?163379","חגיגת שלמה")</f>
        <v>חגיגת שלמה</v>
      </c>
    </row>
    <row r="14649" spans="1:6" x14ac:dyDescent="0.2">
      <c r="A14649" t="s">
        <v>24511</v>
      </c>
      <c r="B14649" t="s">
        <v>24512</v>
      </c>
      <c r="C14649" t="s">
        <v>812</v>
      </c>
      <c r="D14649" t="s">
        <v>379</v>
      </c>
      <c r="E14649" t="s">
        <v>24513</v>
      </c>
      <c r="F14649" s="2" t="str">
        <f>HYPERLINK("http://www.otzar.org/book.asp?106937","חגים וזמנים")</f>
        <v>חגים וזמנים</v>
      </c>
    </row>
    <row r="14650" spans="1:6" x14ac:dyDescent="0.2">
      <c r="A14650" t="s">
        <v>24514</v>
      </c>
      <c r="B14650" t="s">
        <v>876</v>
      </c>
      <c r="C14650" t="s">
        <v>103</v>
      </c>
      <c r="D14650" t="s">
        <v>2798</v>
      </c>
      <c r="E14650" t="s">
        <v>467</v>
      </c>
      <c r="F14650" s="2" t="str">
        <f>HYPERLINK("http://www.otzar.org/book.asp?51595","חגים וזמנים - 2 כר'")</f>
        <v>חגים וזמנים - 2 כר'</v>
      </c>
    </row>
    <row r="14651" spans="1:6" x14ac:dyDescent="0.2">
      <c r="A14651" t="s">
        <v>24515</v>
      </c>
      <c r="B14651" t="s">
        <v>24516</v>
      </c>
      <c r="C14651" t="s">
        <v>189</v>
      </c>
      <c r="D14651" t="s">
        <v>14</v>
      </c>
      <c r="E14651" t="s">
        <v>246</v>
      </c>
      <c r="F14651" s="2" t="str">
        <f>HYPERLINK("http://www.otzar.org/book.asp?22044","חגים ומועדים")</f>
        <v>חגים ומועדים</v>
      </c>
    </row>
    <row r="14652" spans="1:6" x14ac:dyDescent="0.2">
      <c r="A14652" t="s">
        <v>24517</v>
      </c>
      <c r="B14652" t="s">
        <v>24518</v>
      </c>
      <c r="C14652" t="s">
        <v>24519</v>
      </c>
      <c r="D14652" t="s">
        <v>56</v>
      </c>
      <c r="E14652" t="s">
        <v>1211</v>
      </c>
      <c r="F14652" s="2" t="str">
        <f>HYPERLINK("http://www.otzar.org/book.asp?9291","חד וחלק - 3 כר'")</f>
        <v>חד וחלק - 3 כר'</v>
      </c>
    </row>
    <row r="14653" spans="1:6" x14ac:dyDescent="0.2">
      <c r="A14653" t="s">
        <v>24520</v>
      </c>
      <c r="B14653" t="s">
        <v>24521</v>
      </c>
      <c r="E14653" t="s">
        <v>104</v>
      </c>
      <c r="F14653" s="2" t="str">
        <f>HYPERLINK("http://www.otzar.org/book.asp?624376","חד וחלק - 4 כר'")</f>
        <v>חד וחלק - 4 כר'</v>
      </c>
    </row>
    <row r="14654" spans="1:6" x14ac:dyDescent="0.2">
      <c r="A14654" t="s">
        <v>24522</v>
      </c>
      <c r="B14654" t="s">
        <v>24523</v>
      </c>
      <c r="C14654" t="s">
        <v>176</v>
      </c>
      <c r="D14654" t="s">
        <v>52</v>
      </c>
      <c r="E14654" t="s">
        <v>2840</v>
      </c>
      <c r="F14654" s="2" t="str">
        <f>HYPERLINK("http://www.otzar.org/book.asp?158178","חד""ר בריו""ח - ב")</f>
        <v>חד"ר בריו"ח - ב</v>
      </c>
    </row>
    <row r="14655" spans="1:6" x14ac:dyDescent="0.2">
      <c r="A14655" t="s">
        <v>24524</v>
      </c>
      <c r="B14655" t="s">
        <v>14180</v>
      </c>
      <c r="C14655" t="s">
        <v>360</v>
      </c>
      <c r="D14655" t="s">
        <v>592</v>
      </c>
      <c r="E14655" t="s">
        <v>158</v>
      </c>
      <c r="F14655" s="2" t="str">
        <f>HYPERLINK("http://www.otzar.org/book.asp?197057","חד""ר נא""ה")</f>
        <v>חד"ר נא"ה</v>
      </c>
    </row>
    <row r="14656" spans="1:6" x14ac:dyDescent="0.2">
      <c r="A14656" t="s">
        <v>24525</v>
      </c>
      <c r="B14656" t="s">
        <v>3384</v>
      </c>
      <c r="C14656" t="s">
        <v>624</v>
      </c>
      <c r="D14656" t="s">
        <v>14</v>
      </c>
      <c r="E14656" t="s">
        <v>213</v>
      </c>
      <c r="F14656" s="2" t="str">
        <f>HYPERLINK("http://www.otzar.org/book.asp?60452","חדוות החיים - 10 כר'")</f>
        <v>חדוות החיים - 10 כר'</v>
      </c>
    </row>
    <row r="14657" spans="1:6" x14ac:dyDescent="0.2">
      <c r="A14657" t="s">
        <v>24526</v>
      </c>
      <c r="B14657" t="s">
        <v>24527</v>
      </c>
      <c r="C14657" t="s">
        <v>133</v>
      </c>
      <c r="D14657" t="s">
        <v>14</v>
      </c>
      <c r="F14657" s="2" t="str">
        <f>HYPERLINK("http://www.otzar.org/book.asp?182055","חדוות השבת - מוקצה")</f>
        <v>חדוות השבת - מוקצה</v>
      </c>
    </row>
    <row r="14658" spans="1:6" x14ac:dyDescent="0.2">
      <c r="A14658" t="s">
        <v>24528</v>
      </c>
      <c r="B14658" t="s">
        <v>24529</v>
      </c>
      <c r="C14658" t="s">
        <v>37</v>
      </c>
      <c r="D14658" t="s">
        <v>14</v>
      </c>
      <c r="E14658" t="s">
        <v>144</v>
      </c>
      <c r="F14658" s="2" t="str">
        <f>HYPERLINK("http://www.otzar.org/book.asp?180717","חדוות יוסף - 2 כר'")</f>
        <v>חדוות יוסף - 2 כר'</v>
      </c>
    </row>
    <row r="14659" spans="1:6" x14ac:dyDescent="0.2">
      <c r="A14659" t="s">
        <v>24530</v>
      </c>
      <c r="B14659" t="s">
        <v>24531</v>
      </c>
      <c r="C14659" t="s">
        <v>23</v>
      </c>
      <c r="D14659" t="s">
        <v>2909</v>
      </c>
      <c r="E14659" t="s">
        <v>158</v>
      </c>
      <c r="F14659" s="2" t="str">
        <f>HYPERLINK("http://www.otzar.org/book.asp?191138","חדוות יעקב - 4 כר'")</f>
        <v>חדוות יעקב - 4 כר'</v>
      </c>
    </row>
    <row r="14660" spans="1:6" x14ac:dyDescent="0.2">
      <c r="A14660" t="s">
        <v>24532</v>
      </c>
      <c r="B14660" t="s">
        <v>24533</v>
      </c>
      <c r="C14660" t="s">
        <v>146</v>
      </c>
      <c r="D14660" t="s">
        <v>14</v>
      </c>
      <c r="E14660" t="s">
        <v>4163</v>
      </c>
      <c r="F14660" s="2" t="str">
        <f>HYPERLINK("http://www.otzar.org/book.asp?61675","חדוות מרדכי - 4 כר'")</f>
        <v>חדוות מרדכי - 4 כר'</v>
      </c>
    </row>
    <row r="14661" spans="1:6" x14ac:dyDescent="0.2">
      <c r="A14661" t="s">
        <v>24534</v>
      </c>
      <c r="B14661" t="s">
        <v>3718</v>
      </c>
      <c r="C14661" t="s">
        <v>114</v>
      </c>
      <c r="D14661" t="s">
        <v>52</v>
      </c>
      <c r="E14661" t="s">
        <v>186</v>
      </c>
      <c r="F14661" s="2" t="str">
        <f>HYPERLINK("http://www.otzar.org/book.asp?162832","חדוותא דבי מדרשא - 2 כר'")</f>
        <v>חדוותא דבי מדרשא - 2 כר'</v>
      </c>
    </row>
    <row r="14662" spans="1:6" x14ac:dyDescent="0.2">
      <c r="A14662" t="s">
        <v>24535</v>
      </c>
      <c r="B14662" t="s">
        <v>24536</v>
      </c>
      <c r="C14662" t="s">
        <v>151</v>
      </c>
      <c r="D14662" t="s">
        <v>412</v>
      </c>
      <c r="E14662" t="s">
        <v>186</v>
      </c>
      <c r="F14662" s="2" t="str">
        <f>HYPERLINK("http://www.otzar.org/book.asp?630558","חדוותא דשמעתתא זכרון שמואל - עירובין")</f>
        <v>חדוותא דשמעתתא זכרון שמואל - עירובין</v>
      </c>
    </row>
    <row r="14663" spans="1:6" x14ac:dyDescent="0.2">
      <c r="A14663" t="s">
        <v>24537</v>
      </c>
      <c r="B14663" t="s">
        <v>24538</v>
      </c>
      <c r="C14663" t="s">
        <v>23</v>
      </c>
      <c r="D14663" t="s">
        <v>52</v>
      </c>
      <c r="E14663" t="s">
        <v>144</v>
      </c>
      <c r="F14663" s="2" t="str">
        <f>HYPERLINK("http://www.otzar.org/book.asp?602783","חדוותא דשמעתתא")</f>
        <v>חדוותא דשמעתתא</v>
      </c>
    </row>
    <row r="14664" spans="1:6" x14ac:dyDescent="0.2">
      <c r="A14664" t="s">
        <v>24537</v>
      </c>
      <c r="B14664" t="s">
        <v>11614</v>
      </c>
      <c r="C14664" t="s">
        <v>68</v>
      </c>
      <c r="D14664" t="s">
        <v>423</v>
      </c>
      <c r="E14664" t="s">
        <v>202</v>
      </c>
      <c r="F14664" s="2" t="str">
        <f>HYPERLINK("http://www.otzar.org/book.asp?162381","חדוותא דשמעתתא")</f>
        <v>חדוותא דשמעתתא</v>
      </c>
    </row>
    <row r="14665" spans="1:6" x14ac:dyDescent="0.2">
      <c r="A14665" t="s">
        <v>24539</v>
      </c>
      <c r="B14665" t="s">
        <v>8886</v>
      </c>
      <c r="C14665" t="s">
        <v>129</v>
      </c>
      <c r="D14665" t="s">
        <v>852</v>
      </c>
      <c r="E14665" t="s">
        <v>186</v>
      </c>
      <c r="F14665" s="2" t="str">
        <f>HYPERLINK("http://www.otzar.org/book.asp?169139","חדוותא דשמעתתא - גיטין")</f>
        <v>חדוותא דשמעתתא - גיטין</v>
      </c>
    </row>
    <row r="14666" spans="1:6" x14ac:dyDescent="0.2">
      <c r="A14666" t="s">
        <v>24540</v>
      </c>
      <c r="B14666" t="s">
        <v>24541</v>
      </c>
      <c r="C14666" t="s">
        <v>23</v>
      </c>
      <c r="D14666" t="s">
        <v>412</v>
      </c>
      <c r="E14666" t="s">
        <v>144</v>
      </c>
      <c r="F14666" s="2" t="str">
        <f>HYPERLINK("http://www.otzar.org/book.asp?193473","חדוותא דשמעתתא - נדה")</f>
        <v>חדוותא דשמעתתא - נדה</v>
      </c>
    </row>
    <row r="14667" spans="1:6" x14ac:dyDescent="0.2">
      <c r="A14667" t="s">
        <v>24542</v>
      </c>
      <c r="B14667" t="s">
        <v>1681</v>
      </c>
      <c r="C14667" t="s">
        <v>411</v>
      </c>
      <c r="D14667" t="s">
        <v>52</v>
      </c>
      <c r="E14667" t="s">
        <v>2091</v>
      </c>
      <c r="F14667" s="2" t="str">
        <f>HYPERLINK("http://www.otzar.org/book.asp?171580","חדוותא תליתאי")</f>
        <v>חדוותא תליתאי</v>
      </c>
    </row>
    <row r="14668" spans="1:6" x14ac:dyDescent="0.2">
      <c r="A14668" t="s">
        <v>24543</v>
      </c>
      <c r="B14668" t="s">
        <v>1552</v>
      </c>
      <c r="C14668" t="s">
        <v>24544</v>
      </c>
      <c r="D14668" t="s">
        <v>21010</v>
      </c>
      <c r="F14668" s="2" t="str">
        <f>HYPERLINK("http://www.otzar.org/book.asp?621595","חדושי בבא בתרא &lt;רמב""ן""&gt;")</f>
        <v>חדושי בבא בתרא &lt;רמב"ן"&gt;</v>
      </c>
    </row>
    <row r="14669" spans="1:6" x14ac:dyDescent="0.2">
      <c r="A14669" t="s">
        <v>24545</v>
      </c>
      <c r="B14669" t="s">
        <v>24546</v>
      </c>
      <c r="C14669" t="s">
        <v>11127</v>
      </c>
      <c r="D14669" t="s">
        <v>1530</v>
      </c>
      <c r="E14669" t="s">
        <v>246</v>
      </c>
      <c r="F14669" s="2" t="str">
        <f>HYPERLINK("http://www.otzar.org/book.asp?173037","חדושי דינים מהלכות פסח")</f>
        <v>חדושי דינים מהלכות פסח</v>
      </c>
    </row>
    <row r="14670" spans="1:6" x14ac:dyDescent="0.2">
      <c r="A14670" t="s">
        <v>24547</v>
      </c>
      <c r="B14670" t="s">
        <v>2315</v>
      </c>
      <c r="C14670" t="s">
        <v>919</v>
      </c>
      <c r="D14670" t="s">
        <v>14</v>
      </c>
      <c r="E14670" t="s">
        <v>957</v>
      </c>
      <c r="F14670" s="2" t="str">
        <f>HYPERLINK("http://www.otzar.org/book.asp?158709","חדושי הגאון רבי אלעזר משה")</f>
        <v>חדושי הגאון רבי אלעזר משה</v>
      </c>
    </row>
    <row r="14671" spans="1:6" x14ac:dyDescent="0.2">
      <c r="A14671" t="s">
        <v>24548</v>
      </c>
      <c r="B14671" t="s">
        <v>24549</v>
      </c>
      <c r="C14671" t="s">
        <v>24550</v>
      </c>
      <c r="D14671" t="s">
        <v>24551</v>
      </c>
      <c r="E14671" t="s">
        <v>144</v>
      </c>
      <c r="F14671" s="2" t="str">
        <f>HYPERLINK("http://www.otzar.org/book.asp?628256","חדושי הרב רבנו נסים (חידושי הר""ן לגיטין)")</f>
        <v>חדושי הרב רבנו נסים (חידושי הר"ן לגיטין)</v>
      </c>
    </row>
    <row r="14672" spans="1:6" x14ac:dyDescent="0.2">
      <c r="A14672" t="s">
        <v>24552</v>
      </c>
      <c r="B14672" t="s">
        <v>24553</v>
      </c>
      <c r="C14672" t="s">
        <v>24554</v>
      </c>
      <c r="D14672" t="s">
        <v>22938</v>
      </c>
      <c r="F14672" s="2" t="str">
        <f>HYPERLINK("http://www.otzar.org/book.asp?620052","חדושי הרשב""א חמש שיטות")</f>
        <v>חדושי הרשב"א חמש שיטות</v>
      </c>
    </row>
    <row r="14673" spans="1:6" x14ac:dyDescent="0.2">
      <c r="A14673" t="s">
        <v>24555</v>
      </c>
      <c r="B14673" t="s">
        <v>24553</v>
      </c>
      <c r="C14673" t="s">
        <v>24556</v>
      </c>
      <c r="D14673" t="s">
        <v>22938</v>
      </c>
      <c r="F14673" s="2" t="str">
        <f>HYPERLINK("http://www.otzar.org/book.asp?620051","חדושי הרשב""א על שבע שיטות")</f>
        <v>חדושי הרשב"א על שבע שיטות</v>
      </c>
    </row>
    <row r="14674" spans="1:6" x14ac:dyDescent="0.2">
      <c r="A14674" t="s">
        <v>24557</v>
      </c>
      <c r="B14674" t="s">
        <v>24558</v>
      </c>
      <c r="C14674" t="s">
        <v>13692</v>
      </c>
      <c r="D14674" t="s">
        <v>56</v>
      </c>
      <c r="F14674" s="2" t="str">
        <f>HYPERLINK("http://www.otzar.org/book.asp?182206","חדושי יחיאל")</f>
        <v>חדושי יחיאל</v>
      </c>
    </row>
    <row r="14675" spans="1:6" x14ac:dyDescent="0.2">
      <c r="A14675" t="s">
        <v>24559</v>
      </c>
      <c r="B14675" t="s">
        <v>10371</v>
      </c>
      <c r="C14675" t="s">
        <v>2644</v>
      </c>
      <c r="D14675" t="s">
        <v>4650</v>
      </c>
      <c r="E14675" t="s">
        <v>144</v>
      </c>
      <c r="F14675" s="2" t="str">
        <f>HYPERLINK("http://www.otzar.org/book.asp?625977","חדושי מהרא""י")</f>
        <v>חדושי מהרא"י</v>
      </c>
    </row>
    <row r="14676" spans="1:6" x14ac:dyDescent="0.2">
      <c r="A14676" t="s">
        <v>24560</v>
      </c>
      <c r="B14676" t="s">
        <v>24561</v>
      </c>
      <c r="C14676" t="s">
        <v>24562</v>
      </c>
      <c r="D14676" t="s">
        <v>24563</v>
      </c>
      <c r="E14676" t="s">
        <v>3489</v>
      </c>
      <c r="F14676" s="2" t="str">
        <f>HYPERLINK("http://www.otzar.org/book.asp?172694","חדושי נדה")</f>
        <v>חדושי נדה</v>
      </c>
    </row>
    <row r="14677" spans="1:6" x14ac:dyDescent="0.2">
      <c r="A14677" t="s">
        <v>24564</v>
      </c>
      <c r="B14677" t="s">
        <v>24565</v>
      </c>
      <c r="C14677" t="s">
        <v>26</v>
      </c>
      <c r="D14677" t="s">
        <v>216</v>
      </c>
      <c r="E14677" t="s">
        <v>104</v>
      </c>
      <c r="F14677" s="2" t="str">
        <f>HYPERLINK("http://www.otzar.org/book.asp?174605","חדושי תורה")</f>
        <v>חדושי תורה</v>
      </c>
    </row>
    <row r="14678" spans="1:6" x14ac:dyDescent="0.2">
      <c r="A14678" t="s">
        <v>24566</v>
      </c>
      <c r="B14678" t="s">
        <v>24567</v>
      </c>
      <c r="C14678" t="s">
        <v>133</v>
      </c>
      <c r="D14678" t="s">
        <v>118</v>
      </c>
      <c r="E14678" t="s">
        <v>144</v>
      </c>
      <c r="F14678" s="2" t="str">
        <f>HYPERLINK("http://www.otzar.org/book.asp?194894","חדושי תלמיד הרשב""א והרא""ש - ב""ק")</f>
        <v>חדושי תלמיד הרשב"א והרא"ש - ב"ק</v>
      </c>
    </row>
    <row r="14679" spans="1:6" x14ac:dyDescent="0.2">
      <c r="A14679" t="s">
        <v>24568</v>
      </c>
      <c r="B14679" t="s">
        <v>23517</v>
      </c>
      <c r="C14679" t="s">
        <v>6773</v>
      </c>
      <c r="D14679" t="s">
        <v>744</v>
      </c>
      <c r="E14679" t="s">
        <v>144</v>
      </c>
      <c r="F14679" s="2" t="str">
        <f>HYPERLINK("http://www.otzar.org/book.asp?189474","חדושים ממסכת נדה")</f>
        <v>חדושים ממסכת נדה</v>
      </c>
    </row>
    <row r="14680" spans="1:6" x14ac:dyDescent="0.2">
      <c r="A14680" t="s">
        <v>24569</v>
      </c>
      <c r="B14680" t="s">
        <v>6987</v>
      </c>
      <c r="C14680" t="s">
        <v>20</v>
      </c>
      <c r="D14680" t="s">
        <v>90</v>
      </c>
      <c r="E14680" t="s">
        <v>158</v>
      </c>
      <c r="F14680" s="2" t="str">
        <f>HYPERLINK("http://www.otzar.org/book.asp?630509","חדושים על התורה מתלמידי מרן החזו""א")</f>
        <v>חדושים על התורה מתלמידי מרן החזו"א</v>
      </c>
    </row>
    <row r="14681" spans="1:6" x14ac:dyDescent="0.2">
      <c r="A14681" t="s">
        <v>24570</v>
      </c>
      <c r="B14681" t="s">
        <v>24571</v>
      </c>
      <c r="C14681" t="s">
        <v>168</v>
      </c>
      <c r="D14681" t="s">
        <v>14</v>
      </c>
      <c r="E14681" t="s">
        <v>24572</v>
      </c>
      <c r="F14681" s="2" t="str">
        <f>HYPERLINK("http://www.otzar.org/book.asp?164966","חדות אליהו")</f>
        <v>חדות אליהו</v>
      </c>
    </row>
    <row r="14682" spans="1:6" x14ac:dyDescent="0.2">
      <c r="A14682" t="s">
        <v>24573</v>
      </c>
      <c r="B14682" t="s">
        <v>24574</v>
      </c>
      <c r="C14682" t="s">
        <v>244</v>
      </c>
      <c r="D14682" t="s">
        <v>1156</v>
      </c>
      <c r="E14682" t="s">
        <v>15</v>
      </c>
      <c r="F14682" s="2" t="str">
        <f>HYPERLINK("http://www.otzar.org/book.asp?629697","חדות המועדים - 2 כר'")</f>
        <v>חדות המועדים - 2 כר'</v>
      </c>
    </row>
    <row r="14683" spans="1:6" x14ac:dyDescent="0.2">
      <c r="A14683" t="s">
        <v>24575</v>
      </c>
      <c r="B14683" t="s">
        <v>24574</v>
      </c>
      <c r="C14683" t="s">
        <v>133</v>
      </c>
      <c r="D14683" t="s">
        <v>2909</v>
      </c>
      <c r="E14683" t="s">
        <v>130</v>
      </c>
      <c r="F14683" s="2" t="str">
        <f>HYPERLINK("http://www.otzar.org/book.asp?172548","חדות השבת")</f>
        <v>חדות השבת</v>
      </c>
    </row>
    <row r="14684" spans="1:6" x14ac:dyDescent="0.2">
      <c r="A14684" t="s">
        <v>24576</v>
      </c>
      <c r="B14684" t="s">
        <v>1750</v>
      </c>
      <c r="C14684" t="s">
        <v>37</v>
      </c>
      <c r="D14684" t="s">
        <v>24577</v>
      </c>
      <c r="E14684" t="s">
        <v>15</v>
      </c>
      <c r="F14684" s="2" t="str">
        <f>HYPERLINK("http://www.otzar.org/book.asp?605113","חדות השבת - ב")</f>
        <v>חדות השבת - ב</v>
      </c>
    </row>
    <row r="14685" spans="1:6" x14ac:dyDescent="0.2">
      <c r="A14685" t="s">
        <v>24578</v>
      </c>
      <c r="B14685" t="s">
        <v>24579</v>
      </c>
      <c r="C14685" t="s">
        <v>37</v>
      </c>
      <c r="D14685" t="s">
        <v>412</v>
      </c>
      <c r="F14685" s="2" t="str">
        <f>HYPERLINK("http://www.otzar.org/book.asp?182491","חדות השם - 6 כר'")</f>
        <v>חדות השם - 6 כר'</v>
      </c>
    </row>
    <row r="14686" spans="1:6" x14ac:dyDescent="0.2">
      <c r="A14686" t="s">
        <v>24580</v>
      </c>
      <c r="B14686" t="s">
        <v>17406</v>
      </c>
      <c r="C14686" t="s">
        <v>1706</v>
      </c>
      <c r="D14686" t="s">
        <v>283</v>
      </c>
      <c r="E14686" t="s">
        <v>325</v>
      </c>
      <c r="F14686" s="2" t="str">
        <f>HYPERLINK("http://www.otzar.org/book.asp?104871","חדות יהושע")</f>
        <v>חדות יהושע</v>
      </c>
    </row>
    <row r="14687" spans="1:6" x14ac:dyDescent="0.2">
      <c r="A14687" t="s">
        <v>24581</v>
      </c>
      <c r="B14687" t="s">
        <v>24582</v>
      </c>
      <c r="C14687" t="s">
        <v>767</v>
      </c>
      <c r="D14687" t="s">
        <v>52</v>
      </c>
      <c r="E14687" t="s">
        <v>144</v>
      </c>
      <c r="F14687" s="2" t="str">
        <f>HYPERLINK("http://www.otzar.org/book.asp?179010","חדות יו""ט - ביצה")</f>
        <v>חדות יו"ט - ביצה</v>
      </c>
    </row>
    <row r="14688" spans="1:6" x14ac:dyDescent="0.2">
      <c r="A14688" t="s">
        <v>24583</v>
      </c>
      <c r="B14688" t="s">
        <v>24584</v>
      </c>
      <c r="C14688" t="s">
        <v>767</v>
      </c>
      <c r="D14688" t="s">
        <v>27</v>
      </c>
      <c r="E14688" t="s">
        <v>144</v>
      </c>
      <c r="F14688" s="2" t="str">
        <f>HYPERLINK("http://www.otzar.org/book.asp?159513","חדות יוצר - 2 כר'")</f>
        <v>חדות יוצר - 2 כר'</v>
      </c>
    </row>
    <row r="14689" spans="1:6" x14ac:dyDescent="0.2">
      <c r="A14689" t="s">
        <v>24585</v>
      </c>
      <c r="B14689" t="s">
        <v>24586</v>
      </c>
      <c r="C14689" t="s">
        <v>10859</v>
      </c>
      <c r="D14689" t="s">
        <v>6801</v>
      </c>
      <c r="E14689" t="s">
        <v>144</v>
      </c>
      <c r="F14689" s="2" t="str">
        <f>HYPERLINK("http://www.otzar.org/book.asp?5696","חדות יעקב - 2 כר'")</f>
        <v>חדות יעקב - 2 כר'</v>
      </c>
    </row>
    <row r="14690" spans="1:6" x14ac:dyDescent="0.2">
      <c r="A14690" t="s">
        <v>24585</v>
      </c>
      <c r="B14690" t="s">
        <v>24587</v>
      </c>
      <c r="C14690" t="s">
        <v>279</v>
      </c>
      <c r="D14690" t="s">
        <v>280</v>
      </c>
      <c r="E14690" t="s">
        <v>158</v>
      </c>
      <c r="F14690" s="2" t="str">
        <f>HYPERLINK("http://www.otzar.org/book.asp?24454","חדות יעקב - 2 כר'")</f>
        <v>חדות יעקב - 2 כר'</v>
      </c>
    </row>
    <row r="14691" spans="1:6" x14ac:dyDescent="0.2">
      <c r="A14691" t="s">
        <v>24588</v>
      </c>
      <c r="B14691" t="s">
        <v>24589</v>
      </c>
      <c r="C14691" t="s">
        <v>24590</v>
      </c>
      <c r="D14691" t="s">
        <v>9224</v>
      </c>
      <c r="E14691" t="s">
        <v>1235</v>
      </c>
      <c r="F14691" s="2" t="str">
        <f>HYPERLINK("http://www.otzar.org/book.asp?188578","חדות יעקב")</f>
        <v>חדות יעקב</v>
      </c>
    </row>
    <row r="14692" spans="1:6" x14ac:dyDescent="0.2">
      <c r="A14692" t="s">
        <v>24591</v>
      </c>
      <c r="B14692" t="s">
        <v>24592</v>
      </c>
      <c r="C14692" t="s">
        <v>422</v>
      </c>
      <c r="D14692" t="s">
        <v>52</v>
      </c>
      <c r="E14692" t="s">
        <v>144</v>
      </c>
      <c r="F14692" s="2" t="str">
        <f>HYPERLINK("http://www.otzar.org/book.asp?84320","חדות יעקב - בבא מציעא")</f>
        <v>חדות יעקב - בבא מציעא</v>
      </c>
    </row>
    <row r="14693" spans="1:6" x14ac:dyDescent="0.2">
      <c r="A14693" t="s">
        <v>24585</v>
      </c>
      <c r="B14693" t="s">
        <v>24593</v>
      </c>
      <c r="C14693" t="s">
        <v>2550</v>
      </c>
      <c r="D14693" t="s">
        <v>225</v>
      </c>
      <c r="E14693" t="s">
        <v>154</v>
      </c>
      <c r="F14693" s="2" t="str">
        <f>HYPERLINK("http://www.otzar.org/book.asp?19475","חדות יעקב - 2 כר'")</f>
        <v>חדות יעקב - 2 כר'</v>
      </c>
    </row>
    <row r="14694" spans="1:6" x14ac:dyDescent="0.2">
      <c r="A14694" t="s">
        <v>24585</v>
      </c>
      <c r="B14694" t="s">
        <v>24594</v>
      </c>
      <c r="C14694" t="s">
        <v>313</v>
      </c>
      <c r="D14694" t="s">
        <v>21</v>
      </c>
      <c r="E14694" t="s">
        <v>154</v>
      </c>
      <c r="F14694" s="2" t="str">
        <f>HYPERLINK("http://www.otzar.org/book.asp?199748","חדות יעקב - 2 כר'")</f>
        <v>חדות יעקב - 2 כר'</v>
      </c>
    </row>
    <row r="14695" spans="1:6" x14ac:dyDescent="0.2">
      <c r="A14695" t="s">
        <v>24588</v>
      </c>
      <c r="B14695" t="s">
        <v>1750</v>
      </c>
      <c r="C14695" t="s">
        <v>366</v>
      </c>
      <c r="D14695" t="s">
        <v>1180</v>
      </c>
      <c r="F14695" s="2" t="str">
        <f>HYPERLINK("http://www.otzar.org/book.asp?604730","חדות יעקב")</f>
        <v>חדות יעקב</v>
      </c>
    </row>
    <row r="14696" spans="1:6" x14ac:dyDescent="0.2">
      <c r="A14696" t="s">
        <v>24595</v>
      </c>
      <c r="B14696" t="s">
        <v>24596</v>
      </c>
      <c r="C14696" t="s">
        <v>547</v>
      </c>
      <c r="D14696" t="s">
        <v>2295</v>
      </c>
      <c r="E14696" t="s">
        <v>3878</v>
      </c>
      <c r="F14696" s="2" t="str">
        <f>HYPERLINK("http://www.otzar.org/book.asp?5142","חדות שמחה")</f>
        <v>חדות שמחה</v>
      </c>
    </row>
    <row r="14697" spans="1:6" x14ac:dyDescent="0.2">
      <c r="A14697" t="s">
        <v>24597</v>
      </c>
      <c r="B14697" t="s">
        <v>10056</v>
      </c>
      <c r="C14697" t="s">
        <v>146</v>
      </c>
      <c r="D14697" t="s">
        <v>1180</v>
      </c>
      <c r="F14697" s="2" t="str">
        <f>HYPERLINK("http://www.otzar.org/book.asp?199114","חדותא דמלכה")</f>
        <v>חדותא דמלכה</v>
      </c>
    </row>
    <row r="14698" spans="1:6" x14ac:dyDescent="0.2">
      <c r="A14698" t="s">
        <v>24598</v>
      </c>
      <c r="B14698" t="s">
        <v>24599</v>
      </c>
      <c r="C14698" t="s">
        <v>553</v>
      </c>
      <c r="D14698" t="s">
        <v>14</v>
      </c>
      <c r="E14698" t="s">
        <v>104</v>
      </c>
      <c r="F14698" s="2" t="str">
        <f>HYPERLINK("http://www.otzar.org/book.asp?156809","חדותא דשמעתתא")</f>
        <v>חדותא דשמעתתא</v>
      </c>
    </row>
    <row r="14699" spans="1:6" x14ac:dyDescent="0.2">
      <c r="A14699" t="s">
        <v>24598</v>
      </c>
      <c r="B14699" t="s">
        <v>5810</v>
      </c>
      <c r="C14699" t="s">
        <v>24600</v>
      </c>
      <c r="D14699" t="s">
        <v>267</v>
      </c>
      <c r="E14699" t="s">
        <v>803</v>
      </c>
      <c r="F14699" s="2" t="str">
        <f>HYPERLINK("http://www.otzar.org/book.asp?18769","חדותא דשמעתתא")</f>
        <v>חדותא דשמעתתא</v>
      </c>
    </row>
    <row r="14700" spans="1:6" x14ac:dyDescent="0.2">
      <c r="A14700" t="s">
        <v>24601</v>
      </c>
      <c r="B14700" t="s">
        <v>24602</v>
      </c>
      <c r="C14700" t="s">
        <v>114</v>
      </c>
      <c r="D14700" t="s">
        <v>21</v>
      </c>
      <c r="E14700" t="s">
        <v>158</v>
      </c>
      <c r="F14700" s="2" t="str">
        <f>HYPERLINK("http://www.otzar.org/book.asp?606984","חדי בחידה")</f>
        <v>חדי בחידה</v>
      </c>
    </row>
    <row r="14701" spans="1:6" x14ac:dyDescent="0.2">
      <c r="A14701" t="s">
        <v>24603</v>
      </c>
      <c r="B14701" t="s">
        <v>11196</v>
      </c>
      <c r="C14701" t="s">
        <v>427</v>
      </c>
      <c r="D14701" t="s">
        <v>216</v>
      </c>
      <c r="E14701" t="s">
        <v>144</v>
      </c>
      <c r="F14701" s="2" t="str">
        <f>HYPERLINK("http://www.otzar.org/book.asp?11605","חדר הורתי")</f>
        <v>חדר הורתי</v>
      </c>
    </row>
    <row r="14702" spans="1:6" x14ac:dyDescent="0.2">
      <c r="A14702" t="s">
        <v>24604</v>
      </c>
      <c r="B14702" t="s">
        <v>1308</v>
      </c>
      <c r="C14702" t="s">
        <v>775</v>
      </c>
      <c r="D14702" t="s">
        <v>14</v>
      </c>
      <c r="E14702" t="s">
        <v>158</v>
      </c>
      <c r="F14702" s="2" t="str">
        <f>HYPERLINK("http://www.otzar.org/book.asp?151901","חדרי בטן")</f>
        <v>חדרי בטן</v>
      </c>
    </row>
    <row r="14703" spans="1:6" x14ac:dyDescent="0.2">
      <c r="A14703" t="s">
        <v>24605</v>
      </c>
      <c r="B14703" t="s">
        <v>1222</v>
      </c>
      <c r="C14703" t="s">
        <v>244</v>
      </c>
      <c r="D14703" t="s">
        <v>14</v>
      </c>
      <c r="E14703" t="s">
        <v>144</v>
      </c>
      <c r="F14703" s="2" t="str">
        <f>HYPERLINK("http://www.otzar.org/book.asp?631572","חדרי בית")</f>
        <v>חדרי בית</v>
      </c>
    </row>
    <row r="14704" spans="1:6" x14ac:dyDescent="0.2">
      <c r="A14704" t="s">
        <v>24606</v>
      </c>
      <c r="B14704" t="s">
        <v>24607</v>
      </c>
      <c r="C14704" t="s">
        <v>20</v>
      </c>
      <c r="D14704" t="s">
        <v>90</v>
      </c>
      <c r="F14704" s="2" t="str">
        <f>HYPERLINK("http://www.otzar.org/book.asp?616014","חדרי דעה")</f>
        <v>חדרי דעה</v>
      </c>
    </row>
    <row r="14705" spans="1:6" x14ac:dyDescent="0.2">
      <c r="A14705" t="s">
        <v>24608</v>
      </c>
      <c r="B14705" t="s">
        <v>15013</v>
      </c>
      <c r="C14705" t="s">
        <v>37</v>
      </c>
      <c r="D14705" t="s">
        <v>7116</v>
      </c>
      <c r="E14705" t="s">
        <v>15</v>
      </c>
      <c r="F14705" s="2" t="str">
        <f>HYPERLINK("http://www.otzar.org/book.asp?629640","חדרי דעת - 4 כר'")</f>
        <v>חדרי דעת - 4 כר'</v>
      </c>
    </row>
    <row r="14706" spans="1:6" x14ac:dyDescent="0.2">
      <c r="A14706" t="s">
        <v>24609</v>
      </c>
      <c r="B14706" t="s">
        <v>24610</v>
      </c>
      <c r="C14706" t="s">
        <v>619</v>
      </c>
      <c r="D14706" t="s">
        <v>225</v>
      </c>
      <c r="E14706" t="s">
        <v>15</v>
      </c>
      <c r="F14706" s="2" t="str">
        <f>HYPERLINK("http://www.otzar.org/book.asp?179020","חדרי מצות")</f>
        <v>חדרי מצות</v>
      </c>
    </row>
    <row r="14707" spans="1:6" x14ac:dyDescent="0.2">
      <c r="A14707" t="s">
        <v>24611</v>
      </c>
      <c r="B14707" t="s">
        <v>24612</v>
      </c>
      <c r="C14707" t="s">
        <v>146</v>
      </c>
      <c r="D14707" t="s">
        <v>14</v>
      </c>
      <c r="E14707" t="s">
        <v>144</v>
      </c>
      <c r="F14707" s="2" t="str">
        <f>HYPERLINK("http://www.otzar.org/book.asp?85705","חדרי תורה")</f>
        <v>חדרי תורה</v>
      </c>
    </row>
    <row r="14708" spans="1:6" x14ac:dyDescent="0.2">
      <c r="A14708" t="s">
        <v>24613</v>
      </c>
      <c r="B14708" t="s">
        <v>24475</v>
      </c>
      <c r="C14708" t="s">
        <v>1208</v>
      </c>
      <c r="D14708" t="s">
        <v>646</v>
      </c>
      <c r="E14708" t="s">
        <v>15</v>
      </c>
      <c r="F14708" s="2" t="str">
        <f>HYPERLINK("http://www.otzar.org/book.asp?84832","חדש בחדשו")</f>
        <v>חדש בחדשו</v>
      </c>
    </row>
    <row r="14709" spans="1:6" x14ac:dyDescent="0.2">
      <c r="A14709" t="s">
        <v>24614</v>
      </c>
      <c r="B14709" t="s">
        <v>1750</v>
      </c>
      <c r="C14709" t="s">
        <v>366</v>
      </c>
      <c r="D14709" t="s">
        <v>90</v>
      </c>
      <c r="E14709" t="s">
        <v>202</v>
      </c>
      <c r="F14709" s="2" t="str">
        <f>HYPERLINK("http://www.otzar.org/book.asp?621360","חדש בקרבי - 4 כר'")</f>
        <v>חדש בקרבי - 4 כר'</v>
      </c>
    </row>
    <row r="14710" spans="1:6" x14ac:dyDescent="0.2">
      <c r="A14710" t="s">
        <v>24615</v>
      </c>
      <c r="B14710" t="s">
        <v>24616</v>
      </c>
      <c r="C14710" t="s">
        <v>454</v>
      </c>
      <c r="D14710" t="s">
        <v>1840</v>
      </c>
      <c r="E14710" t="s">
        <v>467</v>
      </c>
      <c r="F14710" s="2" t="str">
        <f>HYPERLINK("http://www.otzar.org/book.asp?160342","חדש בשנה")</f>
        <v>חדש בשנה</v>
      </c>
    </row>
    <row r="14711" spans="1:6" x14ac:dyDescent="0.2">
      <c r="A14711" t="s">
        <v>24617</v>
      </c>
      <c r="B14711" t="s">
        <v>24618</v>
      </c>
      <c r="C14711" t="s">
        <v>4144</v>
      </c>
      <c r="D14711" t="s">
        <v>1889</v>
      </c>
      <c r="E14711" t="s">
        <v>786</v>
      </c>
      <c r="F14711" s="2" t="str">
        <f>HYPERLINK("http://www.otzar.org/book.asp?146435","חדש האביב")</f>
        <v>חדש האביב</v>
      </c>
    </row>
    <row r="14712" spans="1:6" x14ac:dyDescent="0.2">
      <c r="A14712" t="s">
        <v>24619</v>
      </c>
      <c r="B14712" t="s">
        <v>4431</v>
      </c>
      <c r="C14712" t="s">
        <v>533</v>
      </c>
      <c r="D14712" t="s">
        <v>14</v>
      </c>
      <c r="E14712" t="s">
        <v>144</v>
      </c>
      <c r="F14712" s="2" t="str">
        <f>HYPERLINK("http://www.otzar.org/book.asp?152457","חדש האביב - 2 כר'")</f>
        <v>חדש האביב - 2 כר'</v>
      </c>
    </row>
    <row r="14713" spans="1:6" x14ac:dyDescent="0.2">
      <c r="A14713" t="s">
        <v>24620</v>
      </c>
      <c r="B14713" t="s">
        <v>24621</v>
      </c>
      <c r="C14713" t="s">
        <v>106</v>
      </c>
      <c r="D14713" t="s">
        <v>14</v>
      </c>
      <c r="E14713" t="s">
        <v>104</v>
      </c>
      <c r="F14713" s="2" t="str">
        <f>HYPERLINK("http://www.otzar.org/book.asp?180755","חדשים גם ישנים")</f>
        <v>חדשים גם ישנים</v>
      </c>
    </row>
    <row r="14714" spans="1:6" x14ac:dyDescent="0.2">
      <c r="A14714" t="s">
        <v>24622</v>
      </c>
      <c r="B14714" t="s">
        <v>4369</v>
      </c>
      <c r="C14714" t="s">
        <v>71</v>
      </c>
      <c r="D14714" t="s">
        <v>412</v>
      </c>
      <c r="E14714" t="s">
        <v>384</v>
      </c>
      <c r="F14714" s="2" t="str">
        <f>HYPERLINK("http://www.otzar.org/book.asp?160001","חדשים גם ישנים - ב")</f>
        <v>חדשים גם ישנים - ב</v>
      </c>
    </row>
    <row r="14715" spans="1:6" x14ac:dyDescent="0.2">
      <c r="A14715" t="s">
        <v>24623</v>
      </c>
      <c r="B14715" t="s">
        <v>24624</v>
      </c>
      <c r="C14715" t="s">
        <v>3228</v>
      </c>
      <c r="D14715" t="s">
        <v>9</v>
      </c>
      <c r="E14715" t="s">
        <v>920</v>
      </c>
      <c r="F14715" s="2" t="str">
        <f>HYPERLINK("http://www.otzar.org/book.asp?9678","חדשים גם ישנים - 5 כר'")</f>
        <v>חדשים גם ישנים - 5 כר'</v>
      </c>
    </row>
    <row r="14716" spans="1:6" x14ac:dyDescent="0.2">
      <c r="A14716" t="s">
        <v>24625</v>
      </c>
      <c r="B14716" t="s">
        <v>24626</v>
      </c>
      <c r="C14716" t="s">
        <v>1268</v>
      </c>
      <c r="D14716" t="s">
        <v>14</v>
      </c>
      <c r="E14716" t="s">
        <v>579</v>
      </c>
      <c r="F14716" s="2" t="str">
        <f>HYPERLINK("http://www.otzar.org/book.asp?181311","חדשים לבקרים - 2 כר'")</f>
        <v>חדשים לבקרים - 2 כר'</v>
      </c>
    </row>
    <row r="14717" spans="1:6" x14ac:dyDescent="0.2">
      <c r="A14717" t="s">
        <v>24627</v>
      </c>
      <c r="B14717" t="s">
        <v>24628</v>
      </c>
      <c r="C14717" t="s">
        <v>1859</v>
      </c>
      <c r="D14717" t="s">
        <v>1411</v>
      </c>
      <c r="E14717" t="s">
        <v>219</v>
      </c>
      <c r="F14717" s="2" t="str">
        <f>HYPERLINK("http://www.otzar.org/book.asp?163364","חדשים לבקרים")</f>
        <v>חדשים לבקרים</v>
      </c>
    </row>
    <row r="14718" spans="1:6" x14ac:dyDescent="0.2">
      <c r="A14718" t="s">
        <v>24629</v>
      </c>
      <c r="B14718" t="s">
        <v>24630</v>
      </c>
      <c r="C14718" t="s">
        <v>1177</v>
      </c>
      <c r="D14718" t="s">
        <v>283</v>
      </c>
      <c r="E14718" t="s">
        <v>158</v>
      </c>
      <c r="F14718" s="2" t="str">
        <f>HYPERLINK("http://www.otzar.org/book.asp?84535","חדשים לקטרת")</f>
        <v>חדשים לקטרת</v>
      </c>
    </row>
    <row r="14719" spans="1:6" x14ac:dyDescent="0.2">
      <c r="A14719" t="s">
        <v>24631</v>
      </c>
      <c r="B14719" t="s">
        <v>206</v>
      </c>
      <c r="C14719" t="s">
        <v>20</v>
      </c>
      <c r="D14719" t="s">
        <v>90</v>
      </c>
      <c r="E14719" t="s">
        <v>241</v>
      </c>
      <c r="F14719" s="2" t="str">
        <f>HYPERLINK("http://www.otzar.org/book.asp?614735","חובות הבטחון")</f>
        <v>חובות הבטחון</v>
      </c>
    </row>
    <row r="14720" spans="1:6" x14ac:dyDescent="0.2">
      <c r="A14720" t="s">
        <v>24632</v>
      </c>
      <c r="B14720" t="s">
        <v>24633</v>
      </c>
      <c r="C14720" t="s">
        <v>956</v>
      </c>
      <c r="D14720" t="s">
        <v>14</v>
      </c>
      <c r="E14720" t="s">
        <v>241</v>
      </c>
      <c r="F14720" s="2" t="str">
        <f>HYPERLINK("http://www.otzar.org/book.asp?170776","חובות הלבבות &lt;לב טוב&gt; - 2 כר'")</f>
        <v>חובות הלבבות &lt;לב טוב&gt; - 2 כר'</v>
      </c>
    </row>
    <row r="14721" spans="1:6" x14ac:dyDescent="0.2">
      <c r="A14721" t="s">
        <v>24634</v>
      </c>
      <c r="B14721" t="s">
        <v>24635</v>
      </c>
      <c r="C14721" t="s">
        <v>33</v>
      </c>
      <c r="D14721" t="s">
        <v>340</v>
      </c>
      <c r="F14721" s="2" t="str">
        <f>HYPERLINK("http://www.otzar.org/book.asp?170320","חובות הלבבות &lt;דפוס ראשון&gt;")</f>
        <v>חובות הלבבות &lt;דפוס ראשון&gt;</v>
      </c>
    </row>
    <row r="14722" spans="1:6" x14ac:dyDescent="0.2">
      <c r="A14722" t="s">
        <v>24636</v>
      </c>
      <c r="B14722" t="s">
        <v>24635</v>
      </c>
      <c r="C14722" t="s">
        <v>332</v>
      </c>
      <c r="D14722" t="s">
        <v>14</v>
      </c>
      <c r="E14722" t="s">
        <v>241</v>
      </c>
      <c r="F14722" s="2" t="str">
        <f>HYPERLINK("http://www.otzar.org/book.asp?179653","חובות הלבבות &lt;מהדורת ירושלמי&gt;")</f>
        <v>חובות הלבבות &lt;מהדורת ירושלמי&gt;</v>
      </c>
    </row>
    <row r="14723" spans="1:6" x14ac:dyDescent="0.2">
      <c r="A14723" t="s">
        <v>24637</v>
      </c>
      <c r="B14723" t="s">
        <v>24635</v>
      </c>
      <c r="C14723" t="s">
        <v>4348</v>
      </c>
      <c r="D14723" t="s">
        <v>1023</v>
      </c>
      <c r="E14723" t="s">
        <v>241</v>
      </c>
      <c r="F14723" s="2" t="str">
        <f>HYPERLINK("http://www.otzar.org/book.asp?151541","חובות הלבבות &lt;מנוח הלבבות&gt;")</f>
        <v>חובות הלבבות &lt;מנוח הלבבות&gt;</v>
      </c>
    </row>
    <row r="14724" spans="1:6" x14ac:dyDescent="0.2">
      <c r="A14724" t="s">
        <v>24638</v>
      </c>
      <c r="B14724" t="s">
        <v>24635</v>
      </c>
      <c r="C14724" t="s">
        <v>6895</v>
      </c>
      <c r="D14724" t="s">
        <v>1833</v>
      </c>
      <c r="E14724" t="s">
        <v>241</v>
      </c>
      <c r="F14724" s="2" t="str">
        <f>HYPERLINK("http://www.otzar.org/book.asp?147158","חובות הלבבות &lt;שער היחוד&gt; עם דרך הקודש, פחד יצחק ומנוח הלבבות")</f>
        <v>חובות הלבבות &lt;שער היחוד&gt; עם דרך הקודש, פחד יצחק ומנוח הלבבות</v>
      </c>
    </row>
    <row r="14725" spans="1:6" x14ac:dyDescent="0.2">
      <c r="A14725" t="s">
        <v>24639</v>
      </c>
      <c r="B14725" t="s">
        <v>24640</v>
      </c>
      <c r="C14725" t="s">
        <v>146</v>
      </c>
      <c r="D14725" t="s">
        <v>21</v>
      </c>
      <c r="F14725" s="2" t="str">
        <f>HYPERLINK("http://www.otzar.org/book.asp?610597","חובות הלבבות &lt;לב טוב הקצר&gt;")</f>
        <v>חובות הלבבות &lt;לב טוב הקצר&gt;</v>
      </c>
    </row>
    <row r="14726" spans="1:6" x14ac:dyDescent="0.2">
      <c r="A14726" t="s">
        <v>24641</v>
      </c>
      <c r="B14726" t="s">
        <v>24642</v>
      </c>
      <c r="C14726" t="s">
        <v>37</v>
      </c>
      <c r="D14726" t="s">
        <v>152</v>
      </c>
      <c r="E14726" t="s">
        <v>241</v>
      </c>
      <c r="F14726" s="2" t="str">
        <f>HYPERLINK("http://www.otzar.org/book.asp?179322","חובות הלבבות הקצר")</f>
        <v>חובות הלבבות הקצר</v>
      </c>
    </row>
    <row r="14727" spans="1:6" x14ac:dyDescent="0.2">
      <c r="A14727" t="s">
        <v>24643</v>
      </c>
      <c r="B14727" t="s">
        <v>24644</v>
      </c>
      <c r="C14727" t="s">
        <v>114</v>
      </c>
      <c r="D14727" t="s">
        <v>412</v>
      </c>
      <c r="E14727" t="s">
        <v>241</v>
      </c>
      <c r="F14727" s="2" t="str">
        <f>HYPERLINK("http://www.otzar.org/book.asp?173246","חובות הלבבות שער הבטחון &lt;לב הארי&gt;")</f>
        <v>חובות הלבבות שער הבטחון &lt;לב הארי&gt;</v>
      </c>
    </row>
    <row r="14728" spans="1:6" x14ac:dyDescent="0.2">
      <c r="A14728" t="s">
        <v>24645</v>
      </c>
      <c r="B14728" t="s">
        <v>24646</v>
      </c>
      <c r="C14728" t="s">
        <v>13</v>
      </c>
      <c r="D14728" t="s">
        <v>90</v>
      </c>
      <c r="E14728" t="s">
        <v>241</v>
      </c>
      <c r="F14728" s="2" t="str">
        <f>HYPERLINK("http://www.otzar.org/book.asp?612786","חובות הלבבות שער התשובה &lt;נאדר בקודש&gt;")</f>
        <v>חובות הלבבות שער התשובה &lt;נאדר בקודש&gt;</v>
      </c>
    </row>
    <row r="14729" spans="1:6" x14ac:dyDescent="0.2">
      <c r="A14729" t="s">
        <v>24647</v>
      </c>
      <c r="E14729" t="s">
        <v>241</v>
      </c>
      <c r="F14729" s="2" t="str">
        <f>HYPERLINK("http://www.otzar.org/book.asp?614459","חובות הלבבות שער חשבון הנפש &lt;הבנת החשבון - בינת המקרא&gt;")</f>
        <v>חובות הלבבות שער חשבון הנפש &lt;הבנת החשבון - בינת המקרא&gt;</v>
      </c>
    </row>
    <row r="14730" spans="1:6" x14ac:dyDescent="0.2">
      <c r="A14730" t="s">
        <v>24648</v>
      </c>
      <c r="B14730" t="s">
        <v>24649</v>
      </c>
      <c r="C14730" t="s">
        <v>506</v>
      </c>
      <c r="D14730" t="s">
        <v>3208</v>
      </c>
      <c r="E14730" t="s">
        <v>241</v>
      </c>
      <c r="F14730" s="2" t="str">
        <f>HYPERLINK("http://www.otzar.org/book.asp?612611","חובות הלבבות - 3 כר'")</f>
        <v>חובות הלבבות - 3 כר'</v>
      </c>
    </row>
    <row r="14731" spans="1:6" x14ac:dyDescent="0.2">
      <c r="A14731" t="s">
        <v>24650</v>
      </c>
      <c r="B14731" t="s">
        <v>24635</v>
      </c>
      <c r="C14731" t="s">
        <v>237</v>
      </c>
      <c r="D14731" t="s">
        <v>260</v>
      </c>
      <c r="E14731" t="s">
        <v>583</v>
      </c>
      <c r="F14731" s="2" t="str">
        <f>HYPERLINK("http://www.otzar.org/book.asp?12252","חובות הלבבות - 4 כר'")</f>
        <v>חובות הלבבות - 4 כר'</v>
      </c>
    </row>
    <row r="14732" spans="1:6" x14ac:dyDescent="0.2">
      <c r="A14732" t="s">
        <v>24651</v>
      </c>
      <c r="B14732" t="s">
        <v>24652</v>
      </c>
      <c r="C14732" t="s">
        <v>989</v>
      </c>
      <c r="D14732" t="s">
        <v>52</v>
      </c>
      <c r="E14732" t="s">
        <v>104</v>
      </c>
      <c r="F14732" s="2" t="str">
        <f>HYPERLINK("http://www.otzar.org/book.asp?157633","חוברת ביבליוגרפית לקורות מאבקיה של היהדות הנאמנה")</f>
        <v>חוברת ביבליוגרפית לקורות מאבקיה של היהדות הנאמנה</v>
      </c>
    </row>
    <row r="14733" spans="1:6" x14ac:dyDescent="0.2">
      <c r="A14733" t="s">
        <v>24653</v>
      </c>
      <c r="B14733" t="s">
        <v>489</v>
      </c>
      <c r="C14733" t="s">
        <v>919</v>
      </c>
      <c r="D14733" t="s">
        <v>52</v>
      </c>
      <c r="E14733" t="s">
        <v>1072</v>
      </c>
      <c r="F14733" s="2" t="str">
        <f>HYPERLINK("http://www.otzar.org/book.asp?11749","חוברת המשכן")</f>
        <v>חוברת המשכן</v>
      </c>
    </row>
    <row r="14734" spans="1:6" x14ac:dyDescent="0.2">
      <c r="A14734" t="s">
        <v>24654</v>
      </c>
      <c r="B14734" t="s">
        <v>24655</v>
      </c>
      <c r="C14734" t="s">
        <v>433</v>
      </c>
      <c r="D14734" t="s">
        <v>27</v>
      </c>
      <c r="E14734" t="s">
        <v>202</v>
      </c>
      <c r="F14734" s="2" t="str">
        <f>HYPERLINK("http://www.otzar.org/book.asp?14848","חוברת זכרון להרב משה בלוי")</f>
        <v>חוברת זכרון להרב משה בלוי</v>
      </c>
    </row>
    <row r="14735" spans="1:6" x14ac:dyDescent="0.2">
      <c r="A14735" t="s">
        <v>24656</v>
      </c>
      <c r="B14735" t="s">
        <v>1750</v>
      </c>
      <c r="C14735" t="s">
        <v>1448</v>
      </c>
      <c r="D14735" t="s">
        <v>115</v>
      </c>
      <c r="E14735" t="s">
        <v>202</v>
      </c>
      <c r="F14735" s="2" t="str">
        <f>HYPERLINK("http://www.otzar.org/book.asp?142926","חוברת יד יוסף")</f>
        <v>חוברת יד יוסף</v>
      </c>
    </row>
    <row r="14736" spans="1:6" x14ac:dyDescent="0.2">
      <c r="A14736" t="s">
        <v>24657</v>
      </c>
      <c r="B14736" t="s">
        <v>24658</v>
      </c>
      <c r="C14736" t="s">
        <v>1268</v>
      </c>
      <c r="D14736" t="s">
        <v>14</v>
      </c>
      <c r="E14736" t="s">
        <v>246</v>
      </c>
      <c r="F14736" s="2" t="str">
        <f>HYPERLINK("http://www.otzar.org/book.asp?160889","חוברת לבית הזמנים")</f>
        <v>חוברת לבית הזמנים</v>
      </c>
    </row>
    <row r="14737" spans="1:6" x14ac:dyDescent="0.2">
      <c r="A14737" t="s">
        <v>24659</v>
      </c>
      <c r="B14737" t="s">
        <v>24660</v>
      </c>
      <c r="C14737" t="s">
        <v>20</v>
      </c>
      <c r="D14737" t="s">
        <v>90</v>
      </c>
      <c r="E14737" t="s">
        <v>158</v>
      </c>
      <c r="F14737" s="2" t="str">
        <f>HYPERLINK("http://www.otzar.org/book.asp?196821","חוברת לימוד טעמו וראו")</f>
        <v>חוברת לימוד טעמו וראו</v>
      </c>
    </row>
    <row r="14738" spans="1:6" x14ac:dyDescent="0.2">
      <c r="A14738" t="s">
        <v>24661</v>
      </c>
      <c r="B14738" t="s">
        <v>24662</v>
      </c>
      <c r="C14738" t="s">
        <v>1374</v>
      </c>
      <c r="D14738" t="s">
        <v>260</v>
      </c>
      <c r="E14738" t="s">
        <v>104</v>
      </c>
      <c r="F14738" s="2" t="str">
        <f>HYPERLINK("http://www.otzar.org/book.asp?601139","חוברת ללימוד הקריאה הערבית")</f>
        <v>חוברת ללימוד הקריאה הערבית</v>
      </c>
    </row>
    <row r="14739" spans="1:6" x14ac:dyDescent="0.2">
      <c r="A14739" t="s">
        <v>24663</v>
      </c>
      <c r="B14739" t="s">
        <v>24664</v>
      </c>
      <c r="C14739" t="s">
        <v>482</v>
      </c>
      <c r="D14739" t="s">
        <v>27</v>
      </c>
      <c r="E14739" t="s">
        <v>241</v>
      </c>
      <c r="F14739" s="2" t="str">
        <f>HYPERLINK("http://www.otzar.org/book.asp?149256","חוברת למוסר")</f>
        <v>חוברת למוסר</v>
      </c>
    </row>
    <row r="14740" spans="1:6" x14ac:dyDescent="0.2">
      <c r="A14740" t="s">
        <v>24665</v>
      </c>
      <c r="B14740" t="s">
        <v>24666</v>
      </c>
      <c r="C14740" t="s">
        <v>111</v>
      </c>
      <c r="D14740" t="s">
        <v>90</v>
      </c>
      <c r="E14740" t="s">
        <v>15</v>
      </c>
      <c r="F14740" s="2" t="str">
        <f>HYPERLINK("http://www.otzar.org/book.asp?629886","חוברת מבוא להלכות תחום שבת")</f>
        <v>חוברת מבוא להלכות תחום שבת</v>
      </c>
    </row>
    <row r="14741" spans="1:6" x14ac:dyDescent="0.2">
      <c r="A14741" t="s">
        <v>24667</v>
      </c>
      <c r="B14741" t="s">
        <v>3589</v>
      </c>
      <c r="C14741" t="s">
        <v>1535</v>
      </c>
      <c r="D14741" t="s">
        <v>27</v>
      </c>
      <c r="E14741" t="s">
        <v>241</v>
      </c>
      <c r="F14741" s="2" t="str">
        <f>HYPERLINK("http://www.otzar.org/book.asp?611916","חוברת מוסר - 2 כר'")</f>
        <v>חוברת מוסר - 2 כר'</v>
      </c>
    </row>
    <row r="14742" spans="1:6" x14ac:dyDescent="0.2">
      <c r="A14742" t="s">
        <v>24668</v>
      </c>
      <c r="B14742" t="s">
        <v>24669</v>
      </c>
      <c r="C14742" t="s">
        <v>985</v>
      </c>
      <c r="D14742" t="s">
        <v>14</v>
      </c>
      <c r="E14742" t="s">
        <v>2633</v>
      </c>
      <c r="F14742" s="2" t="str">
        <f>HYPERLINK("http://www.otzar.org/book.asp?19276","חוברת מפתח למפעלי רבי יוסף ריבלין")</f>
        <v>חוברת מפתח למפעלי רבי יוסף ריבלין</v>
      </c>
    </row>
    <row r="14743" spans="1:6" x14ac:dyDescent="0.2">
      <c r="A14743" t="s">
        <v>24670</v>
      </c>
      <c r="B14743" t="s">
        <v>24671</v>
      </c>
      <c r="C14743" t="s">
        <v>313</v>
      </c>
      <c r="D14743" t="s">
        <v>14</v>
      </c>
      <c r="E14743" t="s">
        <v>241</v>
      </c>
      <c r="F14743" s="2" t="str">
        <f>HYPERLINK("http://www.otzar.org/book.asp?173710","חוברת נפלאים מעשיך")</f>
        <v>חוברת נפלאים מעשיך</v>
      </c>
    </row>
    <row r="14744" spans="1:6" x14ac:dyDescent="0.2">
      <c r="A14744" t="s">
        <v>24672</v>
      </c>
      <c r="B14744" t="s">
        <v>24673</v>
      </c>
      <c r="C14744" t="s">
        <v>133</v>
      </c>
      <c r="D14744" t="s">
        <v>52</v>
      </c>
      <c r="E14744" t="s">
        <v>158</v>
      </c>
      <c r="F14744" s="2" t="str">
        <f>HYPERLINK("http://www.otzar.org/book.asp?180684","חוברת עזר ללימוד פרשות קדושים אמור")</f>
        <v>חוברת עזר ללימוד פרשות קדושים אמור</v>
      </c>
    </row>
    <row r="14745" spans="1:6" x14ac:dyDescent="0.2">
      <c r="A14745" t="s">
        <v>24674</v>
      </c>
      <c r="B14745" t="s">
        <v>24673</v>
      </c>
      <c r="C14745" t="s">
        <v>466</v>
      </c>
      <c r="D14745" t="s">
        <v>52</v>
      </c>
      <c r="E14745" t="s">
        <v>158</v>
      </c>
      <c r="F14745" s="2" t="str">
        <f>HYPERLINK("http://www.otzar.org/book.asp?51949","חוברת עזר ללימוד פרשות - 4 כר'")</f>
        <v>חוברת עזר ללימוד פרשות - 4 כר'</v>
      </c>
    </row>
    <row r="14746" spans="1:6" x14ac:dyDescent="0.2">
      <c r="A14746" t="s">
        <v>24675</v>
      </c>
      <c r="B14746" t="s">
        <v>24676</v>
      </c>
      <c r="C14746" t="s">
        <v>946</v>
      </c>
      <c r="D14746" t="s">
        <v>24677</v>
      </c>
      <c r="E14746" t="s">
        <v>119</v>
      </c>
      <c r="F14746" s="2" t="str">
        <f>HYPERLINK("http://www.otzar.org/book.asp?193971","חוברת של קרן התורה")</f>
        <v>חוברת של קרן התורה</v>
      </c>
    </row>
    <row r="14747" spans="1:6" x14ac:dyDescent="0.2">
      <c r="A14747" t="s">
        <v>24678</v>
      </c>
      <c r="B14747" t="s">
        <v>24679</v>
      </c>
      <c r="C14747" t="s">
        <v>20</v>
      </c>
      <c r="D14747" t="s">
        <v>14</v>
      </c>
      <c r="E14747" t="s">
        <v>741</v>
      </c>
      <c r="F14747" s="2" t="str">
        <f>HYPERLINK("http://www.otzar.org/book.asp?614796","חוברת שמעון ולוי אחים")</f>
        <v>חוברת שמעון ולוי אחים</v>
      </c>
    </row>
    <row r="14748" spans="1:6" x14ac:dyDescent="0.2">
      <c r="A14748" t="s">
        <v>24680</v>
      </c>
      <c r="B14748" t="s">
        <v>23158</v>
      </c>
      <c r="C14748" t="s">
        <v>506</v>
      </c>
      <c r="D14748" t="s">
        <v>27</v>
      </c>
      <c r="E14748" t="s">
        <v>733</v>
      </c>
      <c r="F14748" s="2" t="str">
        <f>HYPERLINK("http://www.otzar.org/book.asp?11048","חוברת שרידי תימן")</f>
        <v>חוברת שרידי תימן</v>
      </c>
    </row>
    <row r="14749" spans="1:6" x14ac:dyDescent="0.2">
      <c r="A14749" t="s">
        <v>24681</v>
      </c>
      <c r="B14749" t="s">
        <v>24682</v>
      </c>
      <c r="C14749" t="s">
        <v>189</v>
      </c>
      <c r="D14749" t="s">
        <v>24683</v>
      </c>
      <c r="E14749" t="s">
        <v>384</v>
      </c>
      <c r="F14749" s="2" t="str">
        <f>HYPERLINK("http://www.otzar.org/book.asp?619457","חוברת תורת חיים")</f>
        <v>חוברת תורת חיים</v>
      </c>
    </row>
    <row r="14750" spans="1:6" x14ac:dyDescent="0.2">
      <c r="A14750" t="s">
        <v>24684</v>
      </c>
      <c r="B14750" t="s">
        <v>24685</v>
      </c>
      <c r="C14750" t="s">
        <v>888</v>
      </c>
      <c r="D14750" t="s">
        <v>283</v>
      </c>
      <c r="E14750" t="s">
        <v>803</v>
      </c>
      <c r="F14750" s="2" t="str">
        <f>HYPERLINK("http://www.otzar.org/book.asp?100176","חובת אדם")</f>
        <v>חובת אדם</v>
      </c>
    </row>
    <row r="14751" spans="1:6" x14ac:dyDescent="0.2">
      <c r="A14751" t="s">
        <v>24686</v>
      </c>
      <c r="B14751" t="s">
        <v>5967</v>
      </c>
      <c r="C14751" t="s">
        <v>3106</v>
      </c>
      <c r="D14751" t="s">
        <v>80</v>
      </c>
      <c r="E14751" t="s">
        <v>606</v>
      </c>
      <c r="F14751" s="2" t="str">
        <f>HYPERLINK("http://www.otzar.org/book.asp?970","חובת גידולי הארץ")</f>
        <v>חובת גידולי הארץ</v>
      </c>
    </row>
    <row r="14752" spans="1:6" x14ac:dyDescent="0.2">
      <c r="A14752" t="s">
        <v>24687</v>
      </c>
      <c r="B14752" t="s">
        <v>206</v>
      </c>
      <c r="C14752" t="s">
        <v>37</v>
      </c>
      <c r="D14752" t="s">
        <v>90</v>
      </c>
      <c r="E14752" t="s">
        <v>241</v>
      </c>
      <c r="F14752" s="2" t="str">
        <f>HYPERLINK("http://www.otzar.org/book.asp?614883","חובת האדם בעולמו - לפי הסכמת זקני גדולי ישראל")</f>
        <v>חובת האדם בעולמו - לפי הסכמת זקני גדולי ישראל</v>
      </c>
    </row>
    <row r="14753" spans="1:6" x14ac:dyDescent="0.2">
      <c r="A14753" t="s">
        <v>24688</v>
      </c>
      <c r="B14753" t="s">
        <v>24689</v>
      </c>
      <c r="C14753" t="s">
        <v>20</v>
      </c>
      <c r="D14753" t="s">
        <v>90</v>
      </c>
      <c r="E14753" t="s">
        <v>241</v>
      </c>
      <c r="F14753" s="2" t="str">
        <f>HYPERLINK("http://www.otzar.org/book.asp?61972","חובת האדם בעולמו - סוגיות במוסר ובמידות לפי סדר פרשות השבוע")</f>
        <v>חובת האדם בעולמו - סוגיות במוסר ובמידות לפי סדר פרשות השבוע</v>
      </c>
    </row>
    <row r="14754" spans="1:6" x14ac:dyDescent="0.2">
      <c r="A14754" t="s">
        <v>24690</v>
      </c>
      <c r="B14754" t="s">
        <v>24691</v>
      </c>
      <c r="C14754" t="s">
        <v>133</v>
      </c>
      <c r="D14754" t="s">
        <v>9426</v>
      </c>
      <c r="E14754" t="s">
        <v>15</v>
      </c>
      <c r="F14754" s="2" t="str">
        <f>HYPERLINK("http://www.otzar.org/book.asp?179832","חובת הארץ &lt;מהדורה חדשה&gt;")</f>
        <v>חובת הארץ &lt;מהדורה חדשה&gt;</v>
      </c>
    </row>
    <row r="14755" spans="1:6" x14ac:dyDescent="0.2">
      <c r="A14755" t="s">
        <v>24692</v>
      </c>
      <c r="B14755" t="s">
        <v>24691</v>
      </c>
      <c r="C14755" t="s">
        <v>482</v>
      </c>
      <c r="D14755" t="s">
        <v>27</v>
      </c>
      <c r="E14755" t="s">
        <v>15</v>
      </c>
      <c r="F14755" s="2" t="str">
        <f>HYPERLINK("http://www.otzar.org/book.asp?146811","חובת הארץ")</f>
        <v>חובת הארץ</v>
      </c>
    </row>
    <row r="14756" spans="1:6" x14ac:dyDescent="0.2">
      <c r="A14756" t="s">
        <v>24692</v>
      </c>
      <c r="B14756" t="s">
        <v>24693</v>
      </c>
      <c r="C14756" t="s">
        <v>725</v>
      </c>
      <c r="D14756" t="s">
        <v>10393</v>
      </c>
      <c r="E14756" t="s">
        <v>15</v>
      </c>
      <c r="F14756" s="2" t="str">
        <f>HYPERLINK("http://www.otzar.org/book.asp?51035","חובת הארץ")</f>
        <v>חובת הארץ</v>
      </c>
    </row>
    <row r="14757" spans="1:6" x14ac:dyDescent="0.2">
      <c r="A14757" t="s">
        <v>24694</v>
      </c>
      <c r="B14757" t="s">
        <v>206</v>
      </c>
      <c r="C14757" t="s">
        <v>20</v>
      </c>
      <c r="D14757" t="s">
        <v>90</v>
      </c>
      <c r="F14757" s="2" t="str">
        <f>HYPERLINK("http://www.otzar.org/book.asp?605608","חובת הבחירה")</f>
        <v>חובת הבחירה</v>
      </c>
    </row>
    <row r="14758" spans="1:6" x14ac:dyDescent="0.2">
      <c r="A14758" t="s">
        <v>24695</v>
      </c>
      <c r="B14758" t="s">
        <v>24696</v>
      </c>
      <c r="C14758" t="s">
        <v>411</v>
      </c>
      <c r="D14758" t="s">
        <v>14</v>
      </c>
      <c r="E14758" t="s">
        <v>241</v>
      </c>
      <c r="F14758" s="2" t="str">
        <f>HYPERLINK("http://www.otzar.org/book.asp?171961","חובת הבטחון וההשתדלות")</f>
        <v>חובת הבטחון וההשתדלות</v>
      </c>
    </row>
    <row r="14759" spans="1:6" x14ac:dyDescent="0.2">
      <c r="A14759" t="s">
        <v>24697</v>
      </c>
      <c r="B14759" t="s">
        <v>11932</v>
      </c>
      <c r="C14759" t="s">
        <v>23</v>
      </c>
      <c r="D14759" t="s">
        <v>21</v>
      </c>
      <c r="E14759" t="s">
        <v>15</v>
      </c>
      <c r="F14759" s="2" t="str">
        <f>HYPERLINK("http://www.otzar.org/book.asp?190334","חובת הדר &lt;מהדורה חדשה&gt;")</f>
        <v>חובת הדר &lt;מהדורה חדשה&gt;</v>
      </c>
    </row>
    <row r="14760" spans="1:6" x14ac:dyDescent="0.2">
      <c r="A14760" t="s">
        <v>24698</v>
      </c>
      <c r="B14760" t="s">
        <v>11932</v>
      </c>
      <c r="C14760" t="s">
        <v>124</v>
      </c>
      <c r="D14760" t="s">
        <v>14</v>
      </c>
      <c r="E14760" t="s">
        <v>15</v>
      </c>
      <c r="F14760" s="2" t="str">
        <f>HYPERLINK("http://www.otzar.org/book.asp?53220","חובת הדר")</f>
        <v>חובת הדר</v>
      </c>
    </row>
    <row r="14761" spans="1:6" x14ac:dyDescent="0.2">
      <c r="A14761" t="s">
        <v>24699</v>
      </c>
      <c r="B14761" t="s">
        <v>8947</v>
      </c>
      <c r="C14761" t="s">
        <v>383</v>
      </c>
      <c r="D14761" t="s">
        <v>14</v>
      </c>
      <c r="F14761" s="2" t="str">
        <f>HYPERLINK("http://www.otzar.org/book.asp?157564","חובת היהודי בעולמו")</f>
        <v>חובת היהודי בעולמו</v>
      </c>
    </row>
    <row r="14762" spans="1:6" x14ac:dyDescent="0.2">
      <c r="A14762" t="s">
        <v>24700</v>
      </c>
      <c r="B14762" t="s">
        <v>1978</v>
      </c>
      <c r="C14762" t="s">
        <v>68</v>
      </c>
      <c r="D14762" t="s">
        <v>14</v>
      </c>
      <c r="E14762" t="s">
        <v>241</v>
      </c>
      <c r="F14762" s="2" t="str">
        <f>HYPERLINK("http://www.otzar.org/book.asp?152390","חובת השמירה - 2 כר'")</f>
        <v>חובת השמירה - 2 כר'</v>
      </c>
    </row>
    <row r="14763" spans="1:6" x14ac:dyDescent="0.2">
      <c r="A14763" t="s">
        <v>24701</v>
      </c>
      <c r="B14763" t="s">
        <v>7861</v>
      </c>
      <c r="C14763" t="s">
        <v>419</v>
      </c>
      <c r="D14763" t="s">
        <v>118</v>
      </c>
      <c r="E14763" t="s">
        <v>241</v>
      </c>
      <c r="F14763" s="2" t="str">
        <f>HYPERLINK("http://www.otzar.org/book.asp?612457","חובת התלמידים &lt;מהדורת אורייתא&gt;")</f>
        <v>חובת התלמידים &lt;מהדורת אורייתא&gt;</v>
      </c>
    </row>
    <row r="14764" spans="1:6" x14ac:dyDescent="0.2">
      <c r="A14764" t="s">
        <v>24702</v>
      </c>
      <c r="B14764" t="s">
        <v>7861</v>
      </c>
      <c r="C14764" t="s">
        <v>919</v>
      </c>
      <c r="D14764" t="s">
        <v>118</v>
      </c>
      <c r="E14764" t="s">
        <v>213</v>
      </c>
      <c r="F14764" s="2" t="str">
        <f>HYPERLINK("http://www.otzar.org/book.asp?10269","חובת התלמידים - 2 כר'")</f>
        <v>חובת התלמידים - 2 כר'</v>
      </c>
    </row>
    <row r="14765" spans="1:6" x14ac:dyDescent="0.2">
      <c r="A14765" t="s">
        <v>24703</v>
      </c>
      <c r="B14765" t="s">
        <v>24704</v>
      </c>
      <c r="C14765" t="s">
        <v>4144</v>
      </c>
      <c r="D14765" t="s">
        <v>563</v>
      </c>
      <c r="E14765" t="s">
        <v>15</v>
      </c>
      <c r="F14765" s="2" t="str">
        <f>HYPERLINK("http://www.otzar.org/book.asp?171353","חובת נשים &lt;מדת ודין&gt; - ד")</f>
        <v>חובת נשים &lt;מדת ודין&gt; - ד</v>
      </c>
    </row>
    <row r="14766" spans="1:6" x14ac:dyDescent="0.2">
      <c r="A14766" t="s">
        <v>24705</v>
      </c>
      <c r="B14766" t="s">
        <v>24706</v>
      </c>
      <c r="C14766" t="s">
        <v>13</v>
      </c>
      <c r="D14766" t="s">
        <v>14</v>
      </c>
      <c r="E14766" t="s">
        <v>15</v>
      </c>
      <c r="F14766" s="2" t="str">
        <f>HYPERLINK("http://www.otzar.org/book.asp?144791","חובת שירטוט")</f>
        <v>חובת שירטוט</v>
      </c>
    </row>
    <row r="14767" spans="1:6" x14ac:dyDescent="0.2">
      <c r="A14767" t="s">
        <v>24707</v>
      </c>
      <c r="B14767" t="s">
        <v>24707</v>
      </c>
      <c r="C14767" t="s">
        <v>585</v>
      </c>
      <c r="D14767" t="s">
        <v>52</v>
      </c>
      <c r="E14767" t="s">
        <v>213</v>
      </c>
      <c r="F14767" s="2" t="str">
        <f>HYPERLINK("http://www.otzar.org/book.asp?19250","חובתינו בשעה זו")</f>
        <v>חובתינו בשעה זו</v>
      </c>
    </row>
    <row r="14768" spans="1:6" x14ac:dyDescent="0.2">
      <c r="A14768" t="s">
        <v>24708</v>
      </c>
      <c r="B14768" t="s">
        <v>24709</v>
      </c>
      <c r="C14768" t="s">
        <v>1208</v>
      </c>
      <c r="D14768" t="s">
        <v>14</v>
      </c>
      <c r="E14768" t="s">
        <v>104</v>
      </c>
      <c r="F14768" s="2" t="str">
        <f>HYPERLINK("http://www.otzar.org/book.asp?149552","חוג הארץ השלם")</f>
        <v>חוג הארץ השלם</v>
      </c>
    </row>
    <row r="14769" spans="1:6" x14ac:dyDescent="0.2">
      <c r="A14769" t="s">
        <v>24710</v>
      </c>
      <c r="B14769" t="s">
        <v>6885</v>
      </c>
      <c r="C14769" t="s">
        <v>445</v>
      </c>
      <c r="D14769" t="s">
        <v>27</v>
      </c>
      <c r="E14769" t="s">
        <v>21451</v>
      </c>
      <c r="F14769" s="2" t="str">
        <f>HYPERLINK("http://www.otzar.org/book.asp?932","חוג הארץ - 2 כר'")</f>
        <v>חוג הארץ - 2 כר'</v>
      </c>
    </row>
    <row r="14770" spans="1:6" x14ac:dyDescent="0.2">
      <c r="A14770" t="s">
        <v>24711</v>
      </c>
      <c r="B14770" t="s">
        <v>5442</v>
      </c>
      <c r="C14770" t="s">
        <v>313</v>
      </c>
      <c r="D14770" t="s">
        <v>52</v>
      </c>
      <c r="E14770" t="s">
        <v>674</v>
      </c>
      <c r="F14770" s="2" t="str">
        <f>HYPERLINK("http://www.otzar.org/book.asp?147958","חודש בחדשו - 12 כר'")</f>
        <v>חודש בחדשו - 12 כר'</v>
      </c>
    </row>
    <row r="14771" spans="1:6" x14ac:dyDescent="0.2">
      <c r="A14771" t="s">
        <v>24712</v>
      </c>
      <c r="B14771" t="s">
        <v>107</v>
      </c>
      <c r="C14771" t="s">
        <v>23</v>
      </c>
      <c r="D14771" t="s">
        <v>14</v>
      </c>
      <c r="E14771" t="s">
        <v>130</v>
      </c>
      <c r="F14771" s="2" t="str">
        <f>HYPERLINK("http://www.otzar.org/book.asp?622161","חודש ניסן פסח ויציאת מצרים")</f>
        <v>חודש ניסן פסח ויציאת מצרים</v>
      </c>
    </row>
    <row r="14772" spans="1:6" x14ac:dyDescent="0.2">
      <c r="A14772" t="s">
        <v>24713</v>
      </c>
      <c r="B14772" t="s">
        <v>16997</v>
      </c>
      <c r="C14772" t="s">
        <v>383</v>
      </c>
      <c r="D14772" t="s">
        <v>14</v>
      </c>
      <c r="E14772" t="s">
        <v>674</v>
      </c>
      <c r="F14772" s="2" t="str">
        <f>HYPERLINK("http://www.otzar.org/book.asp?25759","חוות בנימין - 3 כר'")</f>
        <v>חוות בנימין - 3 כר'</v>
      </c>
    </row>
    <row r="14773" spans="1:6" x14ac:dyDescent="0.2">
      <c r="A14773" t="s">
        <v>24714</v>
      </c>
      <c r="B14773" t="s">
        <v>24715</v>
      </c>
      <c r="C14773" t="s">
        <v>20</v>
      </c>
      <c r="D14773" t="s">
        <v>90</v>
      </c>
      <c r="E14773" t="s">
        <v>674</v>
      </c>
      <c r="F14773" s="2" t="str">
        <f>HYPERLINK("http://www.otzar.org/book.asp?604203","חוות דעת - על בעיית ניתוחי המתים בישראל")</f>
        <v>חוות דעת - על בעיית ניתוחי המתים בישראל</v>
      </c>
    </row>
    <row r="14774" spans="1:6" x14ac:dyDescent="0.2">
      <c r="A14774" t="s">
        <v>24716</v>
      </c>
      <c r="B14774" t="s">
        <v>24717</v>
      </c>
      <c r="C14774" t="s">
        <v>2269</v>
      </c>
      <c r="D14774" t="s">
        <v>24718</v>
      </c>
      <c r="E14774" t="s">
        <v>172</v>
      </c>
      <c r="F14774" s="2" t="str">
        <f>HYPERLINK("http://www.otzar.org/book.asp?199517","חוות דעת")</f>
        <v>חוות דעת</v>
      </c>
    </row>
    <row r="14775" spans="1:6" x14ac:dyDescent="0.2">
      <c r="A14775" t="s">
        <v>24719</v>
      </c>
      <c r="B14775" t="s">
        <v>6496</v>
      </c>
      <c r="C14775" t="s">
        <v>1937</v>
      </c>
      <c r="D14775" t="s">
        <v>267</v>
      </c>
      <c r="E14775" t="s">
        <v>172</v>
      </c>
      <c r="F14775" s="2" t="str">
        <f>HYPERLINK("http://www.otzar.org/book.asp?199499","חוות דעת - 2 כר'")</f>
        <v>חוות דעת - 2 כר'</v>
      </c>
    </row>
    <row r="14776" spans="1:6" x14ac:dyDescent="0.2">
      <c r="A14776" t="s">
        <v>24720</v>
      </c>
      <c r="B14776" t="s">
        <v>1243</v>
      </c>
      <c r="C14776" t="s">
        <v>24721</v>
      </c>
      <c r="D14776" t="s">
        <v>1023</v>
      </c>
      <c r="E14776" t="s">
        <v>957</v>
      </c>
      <c r="F14776" s="2" t="str">
        <f>HYPERLINK("http://www.otzar.org/book.asp?102427","חוזה דוד")</f>
        <v>חוזה דוד</v>
      </c>
    </row>
    <row r="14777" spans="1:6" x14ac:dyDescent="0.2">
      <c r="A14777" t="s">
        <v>24722</v>
      </c>
      <c r="B14777" t="s">
        <v>8100</v>
      </c>
      <c r="C14777" t="s">
        <v>151</v>
      </c>
      <c r="D14777" t="s">
        <v>367</v>
      </c>
      <c r="E14777" t="s">
        <v>158</v>
      </c>
      <c r="F14777" s="2" t="str">
        <f>HYPERLINK("http://www.otzar.org/book.asp?623245","חוזה לך ברח - עמוס")</f>
        <v>חוזה לך ברח - עמוס</v>
      </c>
    </row>
    <row r="14778" spans="1:6" x14ac:dyDescent="0.2">
      <c r="A14778" t="s">
        <v>24723</v>
      </c>
      <c r="B14778" t="s">
        <v>24724</v>
      </c>
      <c r="C14778" t="s">
        <v>609</v>
      </c>
      <c r="D14778" t="s">
        <v>27</v>
      </c>
      <c r="E14778" t="s">
        <v>435</v>
      </c>
      <c r="F14778" s="2" t="str">
        <f>HYPERLINK("http://www.otzar.org/book.asp?5600","חוט המשולש ברכי יוסף - 2 כר'")</f>
        <v>חוט המשולש ברכי יוסף - 2 כר'</v>
      </c>
    </row>
    <row r="14779" spans="1:6" x14ac:dyDescent="0.2">
      <c r="A14779" t="s">
        <v>24725</v>
      </c>
      <c r="B14779" t="s">
        <v>24726</v>
      </c>
      <c r="C14779" t="s">
        <v>103</v>
      </c>
      <c r="D14779" t="s">
        <v>412</v>
      </c>
      <c r="E14779" t="s">
        <v>158</v>
      </c>
      <c r="F14779" s="2" t="str">
        <f>HYPERLINK("http://www.otzar.org/book.asp?159447","חוט המשולש בשערים &lt;יד יואל&gt; - 2 כר'")</f>
        <v>חוט המשולש בשערים &lt;יד יואל&gt; - 2 כר'</v>
      </c>
    </row>
    <row r="14780" spans="1:6" x14ac:dyDescent="0.2">
      <c r="A14780" t="s">
        <v>24727</v>
      </c>
      <c r="B14780" t="s">
        <v>24726</v>
      </c>
      <c r="C14780" t="s">
        <v>624</v>
      </c>
      <c r="D14780" t="s">
        <v>14</v>
      </c>
      <c r="E14780" t="s">
        <v>158</v>
      </c>
      <c r="F14780" s="2" t="str">
        <f>HYPERLINK("http://www.otzar.org/book.asp?159285","חוט המשולש בשערים &lt;מהדורה חדשה&gt;")</f>
        <v>חוט המשולש בשערים &lt;מהדורה חדשה&gt;</v>
      </c>
    </row>
    <row r="14781" spans="1:6" x14ac:dyDescent="0.2">
      <c r="A14781" t="s">
        <v>24728</v>
      </c>
      <c r="B14781" t="s">
        <v>24726</v>
      </c>
      <c r="C14781" t="s">
        <v>1535</v>
      </c>
      <c r="D14781" t="s">
        <v>379</v>
      </c>
      <c r="E14781" t="s">
        <v>158</v>
      </c>
      <c r="F14781" s="2" t="str">
        <f>HYPERLINK("http://www.otzar.org/book.asp?103014","חוט המשולש בשערים")</f>
        <v>חוט המשולש בשערים</v>
      </c>
    </row>
    <row r="14782" spans="1:6" x14ac:dyDescent="0.2">
      <c r="A14782" t="s">
        <v>24729</v>
      </c>
      <c r="B14782" t="s">
        <v>5090</v>
      </c>
      <c r="C14782" t="s">
        <v>26</v>
      </c>
      <c r="D14782" t="s">
        <v>216</v>
      </c>
      <c r="E14782" t="s">
        <v>119</v>
      </c>
      <c r="F14782" s="2" t="str">
        <f>HYPERLINK("http://www.otzar.org/book.asp?591","חוט המשולש החדש - 3 כר'")</f>
        <v>חוט המשולש החדש - 3 כר'</v>
      </c>
    </row>
    <row r="14783" spans="1:6" x14ac:dyDescent="0.2">
      <c r="A14783" t="s">
        <v>24730</v>
      </c>
      <c r="B14783" t="s">
        <v>14509</v>
      </c>
      <c r="C14783" t="s">
        <v>777</v>
      </c>
      <c r="D14783" t="s">
        <v>9</v>
      </c>
      <c r="E14783" t="s">
        <v>24731</v>
      </c>
      <c r="F14783" s="2" t="str">
        <f>HYPERLINK("http://www.otzar.org/book.asp?103834","חוט המשולש השני")</f>
        <v>חוט המשולש השני</v>
      </c>
    </row>
    <row r="14784" spans="1:6" x14ac:dyDescent="0.2">
      <c r="A14784" t="s">
        <v>24732</v>
      </c>
      <c r="B14784" t="s">
        <v>14509</v>
      </c>
      <c r="C14784" t="s">
        <v>1470</v>
      </c>
      <c r="D14784" t="s">
        <v>9</v>
      </c>
      <c r="E14784" t="s">
        <v>15</v>
      </c>
      <c r="F14784" s="2" t="str">
        <f>HYPERLINK("http://www.otzar.org/book.asp?19113","חוט המשולש - 2 כר'")</f>
        <v>חוט המשולש - 2 כר'</v>
      </c>
    </row>
    <row r="14785" spans="1:6" x14ac:dyDescent="0.2">
      <c r="A14785" t="s">
        <v>24733</v>
      </c>
      <c r="B14785" t="s">
        <v>24734</v>
      </c>
      <c r="C14785" t="s">
        <v>395</v>
      </c>
      <c r="D14785" t="s">
        <v>283</v>
      </c>
      <c r="E14785" t="s">
        <v>10</v>
      </c>
      <c r="F14785" s="2" t="str">
        <f>HYPERLINK("http://www.otzar.org/book.asp?148134","חוט המשולש")</f>
        <v>חוט המשולש</v>
      </c>
    </row>
    <row r="14786" spans="1:6" x14ac:dyDescent="0.2">
      <c r="A14786" t="s">
        <v>24733</v>
      </c>
      <c r="B14786" t="s">
        <v>24735</v>
      </c>
      <c r="C14786" t="s">
        <v>547</v>
      </c>
      <c r="D14786" t="s">
        <v>8024</v>
      </c>
      <c r="E14786" t="s">
        <v>84</v>
      </c>
      <c r="F14786" s="2" t="str">
        <f>HYPERLINK("http://www.otzar.org/book.asp?51041","חוט המשולש")</f>
        <v>חוט המשולש</v>
      </c>
    </row>
    <row r="14787" spans="1:6" x14ac:dyDescent="0.2">
      <c r="A14787" t="s">
        <v>24733</v>
      </c>
      <c r="B14787" t="s">
        <v>22842</v>
      </c>
      <c r="C14787" t="s">
        <v>10572</v>
      </c>
      <c r="D14787" t="s">
        <v>1490</v>
      </c>
      <c r="E14787" t="s">
        <v>1880</v>
      </c>
      <c r="F14787" s="2" t="str">
        <f>HYPERLINK("http://www.otzar.org/book.asp?15746","חוט המשולש")</f>
        <v>חוט המשולש</v>
      </c>
    </row>
    <row r="14788" spans="1:6" x14ac:dyDescent="0.2">
      <c r="A14788" t="s">
        <v>24733</v>
      </c>
      <c r="B14788" t="s">
        <v>24736</v>
      </c>
      <c r="C14788" t="s">
        <v>843</v>
      </c>
      <c r="D14788" t="s">
        <v>16802</v>
      </c>
      <c r="E14788" t="s">
        <v>24737</v>
      </c>
      <c r="F14788" s="2" t="str">
        <f>HYPERLINK("http://www.otzar.org/book.asp?12847","חוט המשולש")</f>
        <v>חוט המשולש</v>
      </c>
    </row>
    <row r="14789" spans="1:6" x14ac:dyDescent="0.2">
      <c r="A14789" t="s">
        <v>24733</v>
      </c>
      <c r="B14789" t="s">
        <v>1465</v>
      </c>
      <c r="C14789" t="s">
        <v>4705</v>
      </c>
      <c r="D14789" t="s">
        <v>56</v>
      </c>
      <c r="E14789" t="s">
        <v>154</v>
      </c>
      <c r="F14789" s="2" t="str">
        <f>HYPERLINK("http://www.otzar.org/book.asp?10690","חוט המשולש")</f>
        <v>חוט המשולש</v>
      </c>
    </row>
    <row r="14790" spans="1:6" x14ac:dyDescent="0.2">
      <c r="A14790" t="s">
        <v>24733</v>
      </c>
      <c r="B14790" t="s">
        <v>24738</v>
      </c>
      <c r="C14790" t="s">
        <v>68</v>
      </c>
      <c r="D14790" t="s">
        <v>90</v>
      </c>
      <c r="E14790" t="s">
        <v>241</v>
      </c>
      <c r="F14790" s="2" t="str">
        <f>HYPERLINK("http://www.otzar.org/book.asp?156756","חוט המשולש")</f>
        <v>חוט המשולש</v>
      </c>
    </row>
    <row r="14791" spans="1:6" x14ac:dyDescent="0.2">
      <c r="A14791" t="s">
        <v>24733</v>
      </c>
      <c r="B14791" t="s">
        <v>481</v>
      </c>
      <c r="C14791" t="s">
        <v>2644</v>
      </c>
      <c r="D14791" t="s">
        <v>27</v>
      </c>
      <c r="E14791" t="s">
        <v>435</v>
      </c>
      <c r="F14791" s="2" t="str">
        <f>HYPERLINK("http://www.otzar.org/book.asp?6950","חוט המשולש")</f>
        <v>חוט המשולש</v>
      </c>
    </row>
    <row r="14792" spans="1:6" x14ac:dyDescent="0.2">
      <c r="A14792" t="s">
        <v>24733</v>
      </c>
      <c r="B14792" t="s">
        <v>24739</v>
      </c>
      <c r="C14792" t="s">
        <v>151</v>
      </c>
      <c r="D14792" t="s">
        <v>134</v>
      </c>
      <c r="E14792" t="s">
        <v>130</v>
      </c>
      <c r="F14792" s="2" t="str">
        <f>HYPERLINK("http://www.otzar.org/book.asp?613166","חוט המשולש")</f>
        <v>חוט המשולש</v>
      </c>
    </row>
    <row r="14793" spans="1:6" x14ac:dyDescent="0.2">
      <c r="A14793" t="s">
        <v>24733</v>
      </c>
      <c r="B14793" t="s">
        <v>24740</v>
      </c>
      <c r="C14793" t="s">
        <v>151</v>
      </c>
      <c r="D14793" t="s">
        <v>245</v>
      </c>
      <c r="F14793" s="2" t="str">
        <f>HYPERLINK("http://www.otzar.org/book.asp?617732","חוט המשולש")</f>
        <v>חוט המשולש</v>
      </c>
    </row>
    <row r="14794" spans="1:6" x14ac:dyDescent="0.2">
      <c r="A14794" t="s">
        <v>24741</v>
      </c>
      <c r="B14794" t="s">
        <v>2593</v>
      </c>
      <c r="C14794" t="s">
        <v>151</v>
      </c>
      <c r="D14794" t="s">
        <v>90</v>
      </c>
      <c r="E14794" t="s">
        <v>154</v>
      </c>
      <c r="F14794" s="2" t="str">
        <f>HYPERLINK("http://www.otzar.org/book.asp?616764","חוט המשולש - ח")</f>
        <v>חוט המשולש - ח</v>
      </c>
    </row>
    <row r="14795" spans="1:6" x14ac:dyDescent="0.2">
      <c r="A14795" t="s">
        <v>24732</v>
      </c>
      <c r="B14795" t="s">
        <v>1750</v>
      </c>
      <c r="C14795" t="s">
        <v>20</v>
      </c>
      <c r="D14795" t="s">
        <v>14</v>
      </c>
      <c r="E14795" t="s">
        <v>2091</v>
      </c>
      <c r="F14795" s="2" t="str">
        <f>HYPERLINK("http://www.otzar.org/book.asp?149777","חוט המשולש - 2 כר'")</f>
        <v>חוט המשולש - 2 כר'</v>
      </c>
    </row>
    <row r="14796" spans="1:6" x14ac:dyDescent="0.2">
      <c r="A14796" t="s">
        <v>24733</v>
      </c>
      <c r="B14796" t="s">
        <v>24742</v>
      </c>
      <c r="C14796" t="s">
        <v>619</v>
      </c>
      <c r="D14796" t="s">
        <v>27</v>
      </c>
      <c r="E14796" t="s">
        <v>13324</v>
      </c>
      <c r="F14796" s="2" t="str">
        <f>HYPERLINK("http://www.otzar.org/book.asp?100874","חוט המשולש")</f>
        <v>חוט המשולש</v>
      </c>
    </row>
    <row r="14797" spans="1:6" x14ac:dyDescent="0.2">
      <c r="A14797" t="s">
        <v>24743</v>
      </c>
      <c r="B14797" t="s">
        <v>24744</v>
      </c>
      <c r="C14797" t="s">
        <v>24745</v>
      </c>
      <c r="D14797" t="s">
        <v>24746</v>
      </c>
      <c r="F14797" s="2" t="str">
        <f>HYPERLINK("http://www.otzar.org/book.asp?620563","חוט השני &lt;דפו""ר&gt;")</f>
        <v>חוט השני &lt;דפו"ר&gt;</v>
      </c>
    </row>
    <row r="14798" spans="1:6" x14ac:dyDescent="0.2">
      <c r="A14798" t="s">
        <v>24747</v>
      </c>
      <c r="B14798" t="s">
        <v>24744</v>
      </c>
      <c r="C14798" t="s">
        <v>1885</v>
      </c>
      <c r="D14798" t="s">
        <v>16414</v>
      </c>
      <c r="E14798" t="s">
        <v>154</v>
      </c>
      <c r="F14798" s="2" t="str">
        <f>HYPERLINK("http://www.otzar.org/book.asp?197559","חוט השני")</f>
        <v>חוט השני</v>
      </c>
    </row>
    <row r="14799" spans="1:6" x14ac:dyDescent="0.2">
      <c r="A14799" t="s">
        <v>24747</v>
      </c>
      <c r="B14799" t="s">
        <v>24748</v>
      </c>
      <c r="C14799" t="s">
        <v>55</v>
      </c>
      <c r="D14799" t="s">
        <v>24749</v>
      </c>
      <c r="E14799" t="s">
        <v>154</v>
      </c>
      <c r="F14799" s="2" t="str">
        <f>HYPERLINK("http://www.otzar.org/book.asp?9035","חוט השני")</f>
        <v>חוט השני</v>
      </c>
    </row>
    <row r="14800" spans="1:6" x14ac:dyDescent="0.2">
      <c r="A14800" t="s">
        <v>24750</v>
      </c>
      <c r="B14800" t="s">
        <v>1112</v>
      </c>
      <c r="C14800" t="s">
        <v>23</v>
      </c>
      <c r="D14800" t="s">
        <v>27</v>
      </c>
      <c r="E14800" t="s">
        <v>2071</v>
      </c>
      <c r="F14800" s="2" t="str">
        <f>HYPERLINK("http://www.otzar.org/book.asp?189160","חוט של חסד &lt;מהדורה חדשה&gt;")</f>
        <v>חוט של חסד &lt;מהדורה חדשה&gt;</v>
      </c>
    </row>
    <row r="14801" spans="1:6" x14ac:dyDescent="0.2">
      <c r="A14801" t="s">
        <v>24751</v>
      </c>
      <c r="B14801" t="s">
        <v>1112</v>
      </c>
      <c r="C14801" t="s">
        <v>950</v>
      </c>
      <c r="D14801" t="s">
        <v>157</v>
      </c>
      <c r="E14801" t="s">
        <v>158</v>
      </c>
      <c r="F14801" s="2" t="str">
        <f>HYPERLINK("http://www.otzar.org/book.asp?18771","חוט של חסד")</f>
        <v>חוט של חסד</v>
      </c>
    </row>
    <row r="14802" spans="1:6" x14ac:dyDescent="0.2">
      <c r="A14802" t="s">
        <v>24752</v>
      </c>
      <c r="B14802" t="s">
        <v>10363</v>
      </c>
      <c r="C14802" t="s">
        <v>68</v>
      </c>
      <c r="E14802" t="s">
        <v>1174</v>
      </c>
      <c r="F14802" s="2" t="str">
        <f>HYPERLINK("http://www.otzar.org/book.asp?195098","חוט של חסד - 9 כר'")</f>
        <v>חוט של חסד - 9 כר'</v>
      </c>
    </row>
    <row r="14803" spans="1:6" x14ac:dyDescent="0.2">
      <c r="A14803" t="s">
        <v>24751</v>
      </c>
      <c r="B14803" t="s">
        <v>2396</v>
      </c>
      <c r="C14803" t="s">
        <v>313</v>
      </c>
      <c r="D14803" t="s">
        <v>1076</v>
      </c>
      <c r="E14803" t="s">
        <v>573</v>
      </c>
      <c r="F14803" s="2" t="str">
        <f>HYPERLINK("http://www.otzar.org/book.asp?85106","חוט של חסד")</f>
        <v>חוט של חסד</v>
      </c>
    </row>
    <row r="14804" spans="1:6" x14ac:dyDescent="0.2">
      <c r="A14804" t="s">
        <v>24753</v>
      </c>
      <c r="B14804" t="s">
        <v>24754</v>
      </c>
      <c r="C14804" t="s">
        <v>146</v>
      </c>
      <c r="D14804" t="s">
        <v>52</v>
      </c>
      <c r="E14804" t="s">
        <v>674</v>
      </c>
      <c r="F14804" s="2" t="str">
        <f>HYPERLINK("http://www.otzar.org/book.asp?53029","חוט שני - 16 כר'")</f>
        <v>חוט שני - 16 כר'</v>
      </c>
    </row>
    <row r="14805" spans="1:6" x14ac:dyDescent="0.2">
      <c r="A14805" t="s">
        <v>24755</v>
      </c>
      <c r="B14805" t="s">
        <v>9338</v>
      </c>
      <c r="C14805" t="s">
        <v>20</v>
      </c>
      <c r="D14805" t="s">
        <v>4519</v>
      </c>
      <c r="E14805" t="s">
        <v>104</v>
      </c>
      <c r="F14805" s="2" t="str">
        <f>HYPERLINK("http://www.otzar.org/book.asp?192830","חוט תכלת")</f>
        <v>חוט תכלת</v>
      </c>
    </row>
    <row r="14806" spans="1:6" x14ac:dyDescent="0.2">
      <c r="A14806" t="s">
        <v>24756</v>
      </c>
      <c r="B14806" t="s">
        <v>24757</v>
      </c>
      <c r="C14806" t="s">
        <v>482</v>
      </c>
      <c r="D14806" t="s">
        <v>14778</v>
      </c>
      <c r="E14806" t="s">
        <v>10225</v>
      </c>
      <c r="F14806" s="2" t="str">
        <f>HYPERLINK("http://www.otzar.org/book.asp?10358","חוטים המשולשים")</f>
        <v>חוטים המשולשים</v>
      </c>
    </row>
    <row r="14807" spans="1:6" x14ac:dyDescent="0.2">
      <c r="A14807" t="s">
        <v>24758</v>
      </c>
      <c r="B14807" t="s">
        <v>24759</v>
      </c>
      <c r="C14807" t="s">
        <v>422</v>
      </c>
      <c r="D14807" t="s">
        <v>14</v>
      </c>
      <c r="E14807" t="s">
        <v>15</v>
      </c>
      <c r="F14807" s="2" t="str">
        <f>HYPERLINK("http://www.otzar.org/book.asp?155909","חול המועד כהלכתו")</f>
        <v>חול המועד כהלכתו</v>
      </c>
    </row>
    <row r="14808" spans="1:6" x14ac:dyDescent="0.2">
      <c r="A14808" t="s">
        <v>24760</v>
      </c>
      <c r="B14808" t="s">
        <v>107</v>
      </c>
      <c r="C14808" t="s">
        <v>1208</v>
      </c>
      <c r="D14808" t="s">
        <v>14</v>
      </c>
      <c r="E14808" t="s">
        <v>130</v>
      </c>
      <c r="F14808" s="2" t="str">
        <f>HYPERLINK("http://www.otzar.org/book.asp?84432","חולו של מועד")</f>
        <v>חולו של מועד</v>
      </c>
    </row>
    <row r="14809" spans="1:6" x14ac:dyDescent="0.2">
      <c r="A14809" t="s">
        <v>24761</v>
      </c>
      <c r="B14809" t="s">
        <v>24762</v>
      </c>
      <c r="C14809" t="s">
        <v>103</v>
      </c>
      <c r="D14809" t="s">
        <v>1180</v>
      </c>
      <c r="F14809" s="2" t="str">
        <f>HYPERLINK("http://www.otzar.org/book.asp?199115","חולין בטהרה")</f>
        <v>חולין בטהרה</v>
      </c>
    </row>
    <row r="14810" spans="1:6" x14ac:dyDescent="0.2">
      <c r="A14810" t="s">
        <v>24763</v>
      </c>
      <c r="B14810" t="s">
        <v>24764</v>
      </c>
      <c r="C14810" t="s">
        <v>224</v>
      </c>
      <c r="D14810" t="s">
        <v>1889</v>
      </c>
      <c r="E14810" t="s">
        <v>158</v>
      </c>
      <c r="F14810" s="2" t="str">
        <f>HYPERLINK("http://www.otzar.org/book.asp?84157","חולת אהבה")</f>
        <v>חולת אהבה</v>
      </c>
    </row>
    <row r="14811" spans="1:6" x14ac:dyDescent="0.2">
      <c r="A14811" t="s">
        <v>24765</v>
      </c>
      <c r="B14811" t="s">
        <v>24766</v>
      </c>
      <c r="C14811" t="s">
        <v>11821</v>
      </c>
      <c r="D14811" t="s">
        <v>2290</v>
      </c>
      <c r="E14811" t="s">
        <v>15</v>
      </c>
      <c r="F14811" s="2" t="str">
        <f>HYPERLINK("http://www.otzar.org/book.asp?100880","חומות ירושלים")</f>
        <v>חומות ירושלים</v>
      </c>
    </row>
    <row r="14812" spans="1:6" x14ac:dyDescent="0.2">
      <c r="A14812" t="s">
        <v>24767</v>
      </c>
      <c r="B14812" t="s">
        <v>5297</v>
      </c>
      <c r="C14812" t="s">
        <v>151</v>
      </c>
      <c r="D14812" t="s">
        <v>52</v>
      </c>
      <c r="F14812" s="2" t="str">
        <f>HYPERLINK("http://www.otzar.org/book.asp?622992","חומות מבצר")</f>
        <v>חומות מבצר</v>
      </c>
    </row>
    <row r="14813" spans="1:6" x14ac:dyDescent="0.2">
      <c r="A14813" t="s">
        <v>24768</v>
      </c>
      <c r="B14813" t="s">
        <v>24769</v>
      </c>
      <c r="C14813" t="s">
        <v>383</v>
      </c>
      <c r="D14813" t="s">
        <v>21</v>
      </c>
      <c r="F14813" s="2" t="str">
        <f>HYPERLINK("http://www.otzar.org/book.asp?194502","חומר בקודש &lt;מהדורה חדשה&gt;")</f>
        <v>חומר בקודש &lt;מהדורה חדשה&gt;</v>
      </c>
    </row>
    <row r="14814" spans="1:6" x14ac:dyDescent="0.2">
      <c r="A14814" t="s">
        <v>24770</v>
      </c>
      <c r="B14814" t="s">
        <v>24771</v>
      </c>
      <c r="C14814" t="s">
        <v>129</v>
      </c>
      <c r="D14814" t="s">
        <v>657</v>
      </c>
      <c r="E14814" t="s">
        <v>84</v>
      </c>
      <c r="F14814" s="2" t="str">
        <f>HYPERLINK("http://www.otzar.org/book.asp?60343","חומר בקודש")</f>
        <v>חומר בקודש</v>
      </c>
    </row>
    <row r="14815" spans="1:6" x14ac:dyDescent="0.2">
      <c r="A14815" t="s">
        <v>24770</v>
      </c>
      <c r="B14815" t="s">
        <v>24769</v>
      </c>
      <c r="C14815" t="s">
        <v>1124</v>
      </c>
      <c r="D14815" t="s">
        <v>60</v>
      </c>
      <c r="E14815" t="s">
        <v>154</v>
      </c>
      <c r="F14815" s="2" t="str">
        <f>HYPERLINK("http://www.otzar.org/book.asp?18773","חומר בקודש")</f>
        <v>חומר בקודש</v>
      </c>
    </row>
    <row r="14816" spans="1:6" x14ac:dyDescent="0.2">
      <c r="A14816" t="s">
        <v>24772</v>
      </c>
      <c r="B14816" t="s">
        <v>24773</v>
      </c>
      <c r="C14816" t="s">
        <v>2105</v>
      </c>
      <c r="D14816" t="s">
        <v>27</v>
      </c>
      <c r="F14816" s="2" t="str">
        <f>HYPERLINK("http://www.otzar.org/book.asp?194864","חומר החקלאות בתלמוד")</f>
        <v>חומר החקלאות בתלמוד</v>
      </c>
    </row>
    <row r="14817" spans="1:6" x14ac:dyDescent="0.2">
      <c r="A14817" t="s">
        <v>24774</v>
      </c>
      <c r="B14817" t="s">
        <v>4084</v>
      </c>
      <c r="C14817" t="s">
        <v>20</v>
      </c>
      <c r="D14817" t="s">
        <v>1974</v>
      </c>
      <c r="E14817" t="s">
        <v>104</v>
      </c>
      <c r="F14817" s="2" t="str">
        <f>HYPERLINK("http://www.otzar.org/book.asp?620818","חומרות וקולות")</f>
        <v>חומרות וקולות</v>
      </c>
    </row>
    <row r="14818" spans="1:6" x14ac:dyDescent="0.2">
      <c r="A14818" t="s">
        <v>24775</v>
      </c>
      <c r="B14818" t="s">
        <v>170</v>
      </c>
      <c r="C14818" t="s">
        <v>5334</v>
      </c>
      <c r="D14818" t="s">
        <v>280</v>
      </c>
      <c r="E14818" t="s">
        <v>20262</v>
      </c>
      <c r="F14818" s="2" t="str">
        <f>HYPERLINK("http://www.otzar.org/book.asp?19389","חומרי מתניתא")</f>
        <v>חומרי מתניתא</v>
      </c>
    </row>
    <row r="14819" spans="1:6" x14ac:dyDescent="0.2">
      <c r="A14819" t="s">
        <v>24776</v>
      </c>
      <c r="B14819" t="s">
        <v>24777</v>
      </c>
      <c r="C14819" t="s">
        <v>411</v>
      </c>
      <c r="D14819" t="s">
        <v>14</v>
      </c>
      <c r="E14819" t="s">
        <v>158</v>
      </c>
      <c r="F14819" s="2" t="str">
        <f>HYPERLINK("http://www.otzar.org/book.asp?172624","חומש &lt;משפטי ה' אמת צדקו יחדיו&gt; - 2 כר'")</f>
        <v>חומש &lt;משפטי ה' אמת צדקו יחדיו&gt; - 2 כר'</v>
      </c>
    </row>
    <row r="14820" spans="1:6" x14ac:dyDescent="0.2">
      <c r="A14820" t="s">
        <v>24778</v>
      </c>
      <c r="B14820" t="s">
        <v>239</v>
      </c>
      <c r="C14820" t="s">
        <v>767</v>
      </c>
      <c r="D14820" t="s">
        <v>14</v>
      </c>
      <c r="E14820" t="s">
        <v>158</v>
      </c>
      <c r="F14820" s="2" t="str">
        <f>HYPERLINK("http://www.otzar.org/book.asp?165308","חומש אביר יעקב - 5 כר'")</f>
        <v>חומש אביר יעקב - 5 כר'</v>
      </c>
    </row>
    <row r="14821" spans="1:6" x14ac:dyDescent="0.2">
      <c r="A14821" t="s">
        <v>24779</v>
      </c>
      <c r="B14821" t="s">
        <v>24780</v>
      </c>
      <c r="C14821" t="s">
        <v>538</v>
      </c>
      <c r="D14821" t="s">
        <v>24781</v>
      </c>
      <c r="E14821" t="s">
        <v>158</v>
      </c>
      <c r="F14821" s="2" t="str">
        <f>HYPERLINK("http://www.otzar.org/book.asp?617890","חומש אדרת אליהו &lt;מנורת שלמה - 2 כר'")</f>
        <v>חומש אדרת אליהו &lt;מנורת שלמה - 2 כר'</v>
      </c>
    </row>
    <row r="14822" spans="1:6" x14ac:dyDescent="0.2">
      <c r="A14822" t="s">
        <v>24782</v>
      </c>
      <c r="B14822" t="s">
        <v>24783</v>
      </c>
      <c r="C14822" t="s">
        <v>411</v>
      </c>
      <c r="D14822" t="s">
        <v>118</v>
      </c>
      <c r="E14822" t="s">
        <v>158</v>
      </c>
      <c r="F14822" s="2" t="str">
        <f>HYPERLINK("http://www.otzar.org/book.asp?176784","חומש אוצר הראשונים - 5 כר'")</f>
        <v>חומש אוצר הראשונים - 5 כר'</v>
      </c>
    </row>
    <row r="14823" spans="1:6" x14ac:dyDescent="0.2">
      <c r="A14823" t="s">
        <v>24784</v>
      </c>
      <c r="B14823" t="s">
        <v>24785</v>
      </c>
      <c r="C14823" t="s">
        <v>151</v>
      </c>
      <c r="D14823" t="s">
        <v>21</v>
      </c>
      <c r="F14823" s="2" t="str">
        <f>HYPERLINK("http://www.otzar.org/book.asp?610145","חומש אוצר התרגומים - א")</f>
        <v>חומש אוצר התרגומים - א</v>
      </c>
    </row>
    <row r="14824" spans="1:6" x14ac:dyDescent="0.2">
      <c r="A14824" t="s">
        <v>24786</v>
      </c>
      <c r="B14824" t="s">
        <v>24787</v>
      </c>
      <c r="C14824" t="s">
        <v>37</v>
      </c>
      <c r="D14824" t="s">
        <v>14</v>
      </c>
      <c r="E14824" t="s">
        <v>158</v>
      </c>
      <c r="F14824" s="2" t="str">
        <f>HYPERLINK("http://www.otzar.org/book.asp?191083","חומש אור החיים עם ביאור אור לעינים - 7 כר'")</f>
        <v>חומש אור החיים עם ביאור אור לעינים - 7 כר'</v>
      </c>
    </row>
    <row r="14825" spans="1:6" x14ac:dyDescent="0.2">
      <c r="A14825" t="s">
        <v>24788</v>
      </c>
      <c r="B14825" t="s">
        <v>24789</v>
      </c>
      <c r="C14825" t="s">
        <v>129</v>
      </c>
      <c r="D14825" t="s">
        <v>90</v>
      </c>
      <c r="E14825" t="s">
        <v>158</v>
      </c>
      <c r="F14825" s="2" t="str">
        <f>HYPERLINK("http://www.otzar.org/book.asp?154048","חומש בינו שנות דור ודור - אלפיים שנות תורה")</f>
        <v>חומש בינו שנות דור ודור - אלפיים שנות תורה</v>
      </c>
    </row>
    <row r="14826" spans="1:6" x14ac:dyDescent="0.2">
      <c r="A14826" t="s">
        <v>24790</v>
      </c>
      <c r="B14826" t="s">
        <v>24791</v>
      </c>
      <c r="C14826" t="s">
        <v>37</v>
      </c>
      <c r="D14826" t="s">
        <v>21</v>
      </c>
      <c r="F14826" s="2" t="str">
        <f>HYPERLINK("http://www.otzar.org/book.asp?617582","חומש בית הכנסת")</f>
        <v>חומש בית הכנסת</v>
      </c>
    </row>
    <row r="14827" spans="1:6" x14ac:dyDescent="0.2">
      <c r="A14827" t="s">
        <v>24792</v>
      </c>
      <c r="B14827" t="s">
        <v>24793</v>
      </c>
      <c r="C14827" t="s">
        <v>482</v>
      </c>
      <c r="D14827" t="s">
        <v>412</v>
      </c>
      <c r="E14827" t="s">
        <v>158</v>
      </c>
      <c r="F14827" s="2" t="str">
        <f>HYPERLINK("http://www.otzar.org/book.asp?166452","חומש בית יהודא - 5 כר'")</f>
        <v>חומש בית יהודא - 5 כר'</v>
      </c>
    </row>
    <row r="14828" spans="1:6" x14ac:dyDescent="0.2">
      <c r="A14828" t="s">
        <v>24794</v>
      </c>
      <c r="B14828" t="s">
        <v>24795</v>
      </c>
      <c r="C14828" t="s">
        <v>466</v>
      </c>
      <c r="D14828" t="s">
        <v>52</v>
      </c>
      <c r="E14828" t="s">
        <v>158</v>
      </c>
      <c r="F14828" s="2" t="str">
        <f>HYPERLINK("http://www.otzar.org/book.asp?193654","חומש בכתב אשורי עם תרגום אונקלוס מדויק - 5 כר'")</f>
        <v>חומש בכתב אשורי עם תרגום אונקלוס מדויק - 5 כר'</v>
      </c>
    </row>
    <row r="14829" spans="1:6" x14ac:dyDescent="0.2">
      <c r="A14829" t="s">
        <v>24796</v>
      </c>
      <c r="B14829" t="s">
        <v>24624</v>
      </c>
      <c r="C14829" t="s">
        <v>8</v>
      </c>
      <c r="D14829" t="s">
        <v>974</v>
      </c>
      <c r="E14829" t="s">
        <v>158</v>
      </c>
      <c r="F14829" s="2" t="str">
        <f>HYPERLINK("http://www.otzar.org/book.asp?161103","חומש בראשית עם למודי השם")</f>
        <v>חומש בראשית עם למודי השם</v>
      </c>
    </row>
    <row r="14830" spans="1:6" x14ac:dyDescent="0.2">
      <c r="A14830" t="s">
        <v>24797</v>
      </c>
      <c r="B14830" t="s">
        <v>24798</v>
      </c>
      <c r="C14830" t="s">
        <v>609</v>
      </c>
      <c r="D14830" t="s">
        <v>646</v>
      </c>
      <c r="F14830" s="2" t="str">
        <f>HYPERLINK("http://www.otzar.org/book.asp?149818","חומש גסטר &lt;THE TITTLED BIBLE&gt;")</f>
        <v>חומש גסטר &lt;THE TITTLED BIBLE&gt;</v>
      </c>
    </row>
    <row r="14831" spans="1:6" x14ac:dyDescent="0.2">
      <c r="A14831" t="s">
        <v>24799</v>
      </c>
      <c r="B14831" t="s">
        <v>23753</v>
      </c>
      <c r="C14831" t="s">
        <v>114</v>
      </c>
      <c r="D14831" t="s">
        <v>152</v>
      </c>
      <c r="E14831" t="s">
        <v>158</v>
      </c>
      <c r="F14831" s="2" t="str">
        <f>HYPERLINK("http://www.otzar.org/book.asp?189206","חומש דעת ותבונה ע""פ רבינו יונה - 5 כר'")</f>
        <v>חומש דעת ותבונה ע"פ רבינו יונה - 5 כר'</v>
      </c>
    </row>
    <row r="14832" spans="1:6" x14ac:dyDescent="0.2">
      <c r="A14832" t="s">
        <v>24800</v>
      </c>
      <c r="B14832" t="s">
        <v>8751</v>
      </c>
      <c r="C14832" t="s">
        <v>767</v>
      </c>
      <c r="D14832" t="s">
        <v>14</v>
      </c>
      <c r="E14832" t="s">
        <v>158</v>
      </c>
      <c r="F14832" s="2" t="str">
        <f>HYPERLINK("http://www.otzar.org/book.asp?608148","חומש הגבורים")</f>
        <v>חומש הגבורים</v>
      </c>
    </row>
    <row r="14833" spans="1:6" x14ac:dyDescent="0.2">
      <c r="A14833" t="s">
        <v>24801</v>
      </c>
      <c r="B14833" t="s">
        <v>24802</v>
      </c>
      <c r="C14833" t="s">
        <v>37</v>
      </c>
      <c r="D14833" t="s">
        <v>52</v>
      </c>
      <c r="E14833" t="s">
        <v>158</v>
      </c>
      <c r="F14833" s="2" t="str">
        <f>HYPERLINK("http://www.otzar.org/book.asp?180039","חומש החיד""א - 10 כר'")</f>
        <v>חומש החיד"א - 10 כר'</v>
      </c>
    </row>
    <row r="14834" spans="1:6" x14ac:dyDescent="0.2">
      <c r="A14834" t="s">
        <v>24803</v>
      </c>
      <c r="B14834" t="s">
        <v>24804</v>
      </c>
      <c r="C14834" t="s">
        <v>366</v>
      </c>
      <c r="D14834" t="s">
        <v>90</v>
      </c>
      <c r="E14834" t="s">
        <v>158</v>
      </c>
      <c r="F14834" s="2" t="str">
        <f>HYPERLINK("http://www.otzar.org/book.asp?604520","חומש המבואר &lt;שימה בפיהם&gt; - 5 כר'")</f>
        <v>חומש המבואר &lt;שימה בפיהם&gt; - 5 כר'</v>
      </c>
    </row>
    <row r="14835" spans="1:6" x14ac:dyDescent="0.2">
      <c r="A14835" t="s">
        <v>24805</v>
      </c>
      <c r="B14835" t="s">
        <v>1303</v>
      </c>
      <c r="C14835" t="s">
        <v>189</v>
      </c>
      <c r="D14835" t="s">
        <v>14</v>
      </c>
      <c r="E14835" t="s">
        <v>158</v>
      </c>
      <c r="F14835" s="2" t="str">
        <f>HYPERLINK("http://www.otzar.org/book.asp?52557","חומש העמק דבר &lt;חדש&gt; - 5 כר'")</f>
        <v>חומש העמק דבר &lt;חדש&gt; - 5 כר'</v>
      </c>
    </row>
    <row r="14836" spans="1:6" x14ac:dyDescent="0.2">
      <c r="A14836" t="s">
        <v>24806</v>
      </c>
      <c r="B14836" t="s">
        <v>1303</v>
      </c>
      <c r="C14836" t="s">
        <v>24807</v>
      </c>
      <c r="D14836" t="s">
        <v>56</v>
      </c>
      <c r="E14836" t="s">
        <v>158</v>
      </c>
      <c r="F14836" s="2" t="str">
        <f>HYPERLINK("http://www.otzar.org/book.asp?50643","חומש העמק דבר - 5 כר'")</f>
        <v>חומש העמק דבר - 5 כר'</v>
      </c>
    </row>
    <row r="14837" spans="1:6" x14ac:dyDescent="0.2">
      <c r="A14837" t="s">
        <v>24808</v>
      </c>
      <c r="B14837" t="s">
        <v>5658</v>
      </c>
      <c r="C14837" t="s">
        <v>87</v>
      </c>
      <c r="D14837" t="s">
        <v>115</v>
      </c>
      <c r="E14837" t="s">
        <v>158</v>
      </c>
      <c r="F14837" s="2" t="str">
        <f>HYPERLINK("http://www.otzar.org/book.asp?198394","חומש הרא""ם &lt;המזרחי&gt; - 6 כר'")</f>
        <v>חומש הרא"ם &lt;המזרחי&gt; - 6 כר'</v>
      </c>
    </row>
    <row r="14838" spans="1:6" x14ac:dyDescent="0.2">
      <c r="A14838" t="s">
        <v>24809</v>
      </c>
      <c r="B14838" t="s">
        <v>7209</v>
      </c>
      <c r="C14838" t="s">
        <v>20</v>
      </c>
      <c r="D14838" t="s">
        <v>52</v>
      </c>
      <c r="F14838" s="2" t="str">
        <f>HYPERLINK("http://www.otzar.org/book.asp?157250","חומש ילקוט שמואל - 10 כר'")</f>
        <v>חומש ילקוט שמואל - 10 כר'</v>
      </c>
    </row>
    <row r="14839" spans="1:6" x14ac:dyDescent="0.2">
      <c r="A14839" t="s">
        <v>24810</v>
      </c>
      <c r="B14839" t="s">
        <v>24811</v>
      </c>
      <c r="C14839" t="s">
        <v>71</v>
      </c>
      <c r="D14839" t="s">
        <v>14</v>
      </c>
      <c r="E14839" t="s">
        <v>158</v>
      </c>
      <c r="F14839" s="2" t="str">
        <f>HYPERLINK("http://www.otzar.org/book.asp?182031","חומש כתר יונתן - 5 כר'")</f>
        <v>חומש כתר יונתן - 5 כר'</v>
      </c>
    </row>
    <row r="14840" spans="1:6" x14ac:dyDescent="0.2">
      <c r="A14840" t="s">
        <v>24812</v>
      </c>
      <c r="B14840" t="s">
        <v>24813</v>
      </c>
      <c r="C14840" t="s">
        <v>24814</v>
      </c>
      <c r="D14840" t="s">
        <v>14297</v>
      </c>
      <c r="E14840" t="s">
        <v>158</v>
      </c>
      <c r="F14840" s="2" t="str">
        <f>HYPERLINK("http://www.otzar.org/book.asp?53371","חומש מאור עינים &lt;עם עין הקורא&gt; - 4 כר'")</f>
        <v>חומש מאור עינים &lt;עם עין הקורא&gt; - 4 כר'</v>
      </c>
    </row>
    <row r="14841" spans="1:6" x14ac:dyDescent="0.2">
      <c r="A14841" t="s">
        <v>24815</v>
      </c>
      <c r="B14841" t="s">
        <v>21364</v>
      </c>
      <c r="C14841" t="s">
        <v>68</v>
      </c>
      <c r="D14841" t="s">
        <v>14</v>
      </c>
      <c r="E14841" t="s">
        <v>158</v>
      </c>
      <c r="F14841" s="2" t="str">
        <f>HYPERLINK("http://www.otzar.org/book.asp?173119","חומש מלאכת הקדש - 5 כר'")</f>
        <v>חומש מלאכת הקדש - 5 כר'</v>
      </c>
    </row>
    <row r="14842" spans="1:6" x14ac:dyDescent="0.2">
      <c r="A14842" t="s">
        <v>24816</v>
      </c>
      <c r="B14842" t="s">
        <v>24817</v>
      </c>
      <c r="C14842" t="s">
        <v>1202</v>
      </c>
      <c r="D14842" t="s">
        <v>1862</v>
      </c>
      <c r="E14842" t="s">
        <v>158</v>
      </c>
      <c r="F14842" s="2" t="str">
        <f>HYPERLINK("http://www.otzar.org/book.asp?179877","חומש מנחת שי - במדבר")</f>
        <v>חומש מנחת שי - במדבר</v>
      </c>
    </row>
    <row r="14843" spans="1:6" x14ac:dyDescent="0.2">
      <c r="A14843" t="s">
        <v>24818</v>
      </c>
      <c r="B14843" t="s">
        <v>24819</v>
      </c>
      <c r="C14843" t="s">
        <v>20</v>
      </c>
      <c r="D14843" t="s">
        <v>412</v>
      </c>
      <c r="E14843" t="s">
        <v>158</v>
      </c>
      <c r="F14843" s="2" t="str">
        <f>HYPERLINK("http://www.otzar.org/book.asp?618938","חומש משיבת נפש - 5 כר'")</f>
        <v>חומש משיבת נפש - 5 כר'</v>
      </c>
    </row>
    <row r="14844" spans="1:6" x14ac:dyDescent="0.2">
      <c r="A14844" t="s">
        <v>24820</v>
      </c>
      <c r="B14844" t="s">
        <v>24821</v>
      </c>
      <c r="C14844" t="s">
        <v>411</v>
      </c>
      <c r="D14844" t="s">
        <v>646</v>
      </c>
      <c r="E14844" t="s">
        <v>158</v>
      </c>
      <c r="F14844" s="2" t="str">
        <f>HYPERLINK("http://www.otzar.org/book.asp?181319","חומש ע""פ המסורה עם תרגום אונקלוס מדויק - 5 כר'")</f>
        <v>חומש ע"פ המסורה עם תרגום אונקלוס מדויק - 5 כר'</v>
      </c>
    </row>
    <row r="14845" spans="1:6" x14ac:dyDescent="0.2">
      <c r="A14845" t="s">
        <v>24822</v>
      </c>
      <c r="B14845" t="s">
        <v>24823</v>
      </c>
      <c r="C14845" t="s">
        <v>624</v>
      </c>
      <c r="D14845" t="s">
        <v>14</v>
      </c>
      <c r="E14845" t="s">
        <v>957</v>
      </c>
      <c r="F14845" s="2" t="str">
        <f>HYPERLINK("http://www.otzar.org/book.asp?50499","חומש עטרת רש""י - 5 כר'")</f>
        <v>חומש עטרת רש"י - 5 כר'</v>
      </c>
    </row>
    <row r="14846" spans="1:6" x14ac:dyDescent="0.2">
      <c r="A14846" t="s">
        <v>24824</v>
      </c>
      <c r="F14846" s="2" t="str">
        <f>HYPERLINK("http://www.otzar.org/book.asp?609846","חומש עין הסופר")</f>
        <v>חומש עין הסופר</v>
      </c>
    </row>
    <row r="14847" spans="1:6" x14ac:dyDescent="0.2">
      <c r="A14847" t="s">
        <v>24825</v>
      </c>
      <c r="B14847" t="s">
        <v>24826</v>
      </c>
      <c r="C14847" t="s">
        <v>151</v>
      </c>
      <c r="D14847" t="s">
        <v>21</v>
      </c>
      <c r="E14847" t="s">
        <v>158</v>
      </c>
      <c r="F14847" s="2" t="str">
        <f>HYPERLINK("http://www.otzar.org/book.asp?615125","חומש עם הפסקי עליות בדבר טוב")</f>
        <v>חומש עם הפסקי עליות בדבר טוב</v>
      </c>
    </row>
    <row r="14848" spans="1:6" x14ac:dyDescent="0.2">
      <c r="A14848" t="s">
        <v>24827</v>
      </c>
      <c r="B14848" t="s">
        <v>24828</v>
      </c>
      <c r="C14848" t="s">
        <v>1208</v>
      </c>
      <c r="D14848" t="s">
        <v>21</v>
      </c>
      <c r="E14848" t="s">
        <v>158</v>
      </c>
      <c r="F14848" s="2" t="str">
        <f>HYPERLINK("http://www.otzar.org/book.asp?193028","חומש עם פירוש האריז""ל - 5 כר'")</f>
        <v>חומש עם פירוש האריז"ל - 5 כר'</v>
      </c>
    </row>
    <row r="14849" spans="1:6" x14ac:dyDescent="0.2">
      <c r="A14849" t="s">
        <v>24829</v>
      </c>
      <c r="B14849" t="s">
        <v>24830</v>
      </c>
      <c r="C14849" t="s">
        <v>422</v>
      </c>
      <c r="D14849" t="s">
        <v>2362</v>
      </c>
      <c r="E14849" t="s">
        <v>158</v>
      </c>
      <c r="F14849" s="2" t="str">
        <f>HYPERLINK("http://www.otzar.org/book.asp?150878","חומש עם פירוש המליץ בינותם - 3 כר'")</f>
        <v>חומש עם פירוש המליץ בינותם - 3 כר'</v>
      </c>
    </row>
    <row r="14850" spans="1:6" x14ac:dyDescent="0.2">
      <c r="A14850" t="s">
        <v>24831</v>
      </c>
      <c r="B14850" t="s">
        <v>9612</v>
      </c>
      <c r="C14850" t="s">
        <v>775</v>
      </c>
      <c r="D14850" t="s">
        <v>412</v>
      </c>
      <c r="E14850" t="s">
        <v>158</v>
      </c>
      <c r="F14850" s="2" t="str">
        <f>HYPERLINK("http://www.otzar.org/book.asp?603760","חומש עם פירוש סייעתא דשמיא - שמות")</f>
        <v>חומש עם פירוש סייעתא דשמיא - שמות</v>
      </c>
    </row>
    <row r="14851" spans="1:6" x14ac:dyDescent="0.2">
      <c r="A14851" t="s">
        <v>24832</v>
      </c>
      <c r="B14851" t="s">
        <v>24833</v>
      </c>
      <c r="C14851" t="s">
        <v>785</v>
      </c>
      <c r="D14851" t="s">
        <v>14</v>
      </c>
      <c r="E14851" t="s">
        <v>158</v>
      </c>
      <c r="F14851" s="2" t="str">
        <f>HYPERLINK("http://www.otzar.org/book.asp?190337","חומש פניני החסידות - 5 כר'")</f>
        <v>חומש פניני החסידות - 5 כר'</v>
      </c>
    </row>
    <row r="14852" spans="1:6" x14ac:dyDescent="0.2">
      <c r="A14852" t="s">
        <v>24834</v>
      </c>
      <c r="B14852" t="s">
        <v>1698</v>
      </c>
      <c r="C14852" t="s">
        <v>366</v>
      </c>
      <c r="D14852" t="s">
        <v>24835</v>
      </c>
      <c r="E14852" t="s">
        <v>158</v>
      </c>
      <c r="F14852" s="2" t="str">
        <f>HYPERLINK("http://www.otzar.org/book.asp?601388","חומש פרדס הקודש - בראשית")</f>
        <v>חומש פרדס הקודש - בראשית</v>
      </c>
    </row>
    <row r="14853" spans="1:6" x14ac:dyDescent="0.2">
      <c r="A14853" t="s">
        <v>24836</v>
      </c>
      <c r="B14853" t="s">
        <v>24837</v>
      </c>
      <c r="C14853" t="s">
        <v>20</v>
      </c>
      <c r="D14853" t="s">
        <v>412</v>
      </c>
      <c r="E14853" t="s">
        <v>158</v>
      </c>
      <c r="F14853" s="2" t="str">
        <f>HYPERLINK("http://www.otzar.org/book.asp?154483","חומש ק""כ פירושים &lt;עברי טייטש&gt; - 4 כר'")</f>
        <v>חומש ק"כ פירושים &lt;עברי טייטש&gt; - 4 כר'</v>
      </c>
    </row>
    <row r="14854" spans="1:6" x14ac:dyDescent="0.2">
      <c r="A14854" t="s">
        <v>24838</v>
      </c>
      <c r="B14854" t="s">
        <v>11760</v>
      </c>
      <c r="C14854" t="s">
        <v>133</v>
      </c>
      <c r="D14854" t="s">
        <v>5172</v>
      </c>
      <c r="E14854" t="s">
        <v>158</v>
      </c>
      <c r="F14854" s="2" t="str">
        <f>HYPERLINK("http://www.otzar.org/book.asp?197577","חומש רש""י - 2 כר'")</f>
        <v>חומש רש"י - 2 כר'</v>
      </c>
    </row>
    <row r="14855" spans="1:6" x14ac:dyDescent="0.2">
      <c r="A14855" t="s">
        <v>24839</v>
      </c>
      <c r="B14855" t="s">
        <v>24840</v>
      </c>
      <c r="C14855" t="s">
        <v>366</v>
      </c>
      <c r="D14855" t="s">
        <v>90</v>
      </c>
      <c r="E14855" t="s">
        <v>158</v>
      </c>
      <c r="F14855" s="2" t="str">
        <f>HYPERLINK("http://www.otzar.org/book.asp?601659","חומש שיבה לבצרון לפי החלוקה היהודית לסדרים")</f>
        <v>חומש שיבה לבצרון לפי החלוקה היהודית לסדרים</v>
      </c>
    </row>
    <row r="14856" spans="1:6" x14ac:dyDescent="0.2">
      <c r="A14856" t="s">
        <v>24841</v>
      </c>
      <c r="B14856" t="s">
        <v>24842</v>
      </c>
      <c r="C14856" t="s">
        <v>244</v>
      </c>
      <c r="D14856" t="s">
        <v>14</v>
      </c>
      <c r="F14856" s="2" t="str">
        <f>HYPERLINK("http://www.otzar.org/book.asp?616415","חומש תולדות אהרן - בראשית")</f>
        <v>חומש תולדות אהרן - בראשית</v>
      </c>
    </row>
    <row r="14857" spans="1:6" x14ac:dyDescent="0.2">
      <c r="A14857" t="s">
        <v>24843</v>
      </c>
      <c r="B14857" t="s">
        <v>24844</v>
      </c>
      <c r="C14857" t="s">
        <v>37</v>
      </c>
      <c r="D14857" t="s">
        <v>412</v>
      </c>
      <c r="E14857" t="s">
        <v>158</v>
      </c>
      <c r="F14857" s="2" t="str">
        <f>HYPERLINK("http://www.otzar.org/book.asp?198092","חומש תורה ברורה - 5 כר'")</f>
        <v>חומש תורה ברורה - 5 כר'</v>
      </c>
    </row>
    <row r="14858" spans="1:6" x14ac:dyDescent="0.2">
      <c r="A14858" t="s">
        <v>24845</v>
      </c>
      <c r="B14858" t="s">
        <v>7387</v>
      </c>
      <c r="C14858" t="s">
        <v>71</v>
      </c>
      <c r="D14858" t="s">
        <v>3161</v>
      </c>
      <c r="E14858" t="s">
        <v>158</v>
      </c>
      <c r="F14858" s="2" t="str">
        <f>HYPERLINK("http://www.otzar.org/book.asp?605419","חומש תורה לאורה - 4 כר'")</f>
        <v>חומש תורה לאורה - 4 כר'</v>
      </c>
    </row>
    <row r="14859" spans="1:6" x14ac:dyDescent="0.2">
      <c r="A14859" t="s">
        <v>24846</v>
      </c>
      <c r="B14859" t="s">
        <v>6539</v>
      </c>
      <c r="C14859" t="s">
        <v>7044</v>
      </c>
      <c r="D14859" t="s">
        <v>563</v>
      </c>
      <c r="E14859" t="s">
        <v>158</v>
      </c>
      <c r="F14859" s="2" t="str">
        <f>HYPERLINK("http://www.otzar.org/book.asp?107109","חומש תורה מאירה - 3 כר'")</f>
        <v>חומש תורה מאירה - 3 כר'</v>
      </c>
    </row>
    <row r="14860" spans="1:6" x14ac:dyDescent="0.2">
      <c r="A14860" t="s">
        <v>24847</v>
      </c>
      <c r="B14860" t="s">
        <v>14042</v>
      </c>
      <c r="C14860" t="s">
        <v>1364</v>
      </c>
      <c r="D14860" t="s">
        <v>2069</v>
      </c>
      <c r="E14860" t="s">
        <v>158</v>
      </c>
      <c r="F14860" s="2" t="str">
        <f>HYPERLINK("http://www.otzar.org/book.asp?196185","חומת אנ""ך")</f>
        <v>חומת אנ"ך</v>
      </c>
    </row>
    <row r="14861" spans="1:6" x14ac:dyDescent="0.2">
      <c r="A14861" t="s">
        <v>24848</v>
      </c>
      <c r="B14861" t="s">
        <v>1308</v>
      </c>
      <c r="C14861" t="s">
        <v>160</v>
      </c>
      <c r="D14861" t="s">
        <v>27</v>
      </c>
      <c r="E14861" t="s">
        <v>24849</v>
      </c>
      <c r="F14861" s="2" t="str">
        <f>HYPERLINK("http://www.otzar.org/book.asp?14735","חומת אנך (תורה, חמש מגילות)")</f>
        <v>חומת אנך (תורה, חמש מגילות)</v>
      </c>
    </row>
    <row r="14862" spans="1:6" x14ac:dyDescent="0.2">
      <c r="A14862" t="s">
        <v>24850</v>
      </c>
      <c r="B14862" t="s">
        <v>1308</v>
      </c>
      <c r="C14862" t="s">
        <v>24851</v>
      </c>
      <c r="D14862" t="s">
        <v>251</v>
      </c>
      <c r="F14862" s="2" t="str">
        <f>HYPERLINK("http://www.otzar.org/book.asp?53376","חומת אנך - 6 כר'")</f>
        <v>חומת אנך - 6 כר'</v>
      </c>
    </row>
    <row r="14863" spans="1:6" x14ac:dyDescent="0.2">
      <c r="A14863" t="s">
        <v>24852</v>
      </c>
      <c r="B14863" t="s">
        <v>7435</v>
      </c>
      <c r="C14863" t="s">
        <v>1310</v>
      </c>
      <c r="D14863" t="s">
        <v>267</v>
      </c>
      <c r="E14863" t="s">
        <v>158</v>
      </c>
      <c r="F14863" s="2" t="str">
        <f>HYPERLINK("http://www.otzar.org/book.asp?102428","חומת אריאל")</f>
        <v>חומת אריאל</v>
      </c>
    </row>
    <row r="14864" spans="1:6" x14ac:dyDescent="0.2">
      <c r="A14864" t="s">
        <v>24853</v>
      </c>
      <c r="B14864" t="s">
        <v>24854</v>
      </c>
      <c r="C14864" t="s">
        <v>8</v>
      </c>
      <c r="D14864" t="s">
        <v>24855</v>
      </c>
      <c r="F14864" s="2" t="str">
        <f>HYPERLINK("http://www.otzar.org/book.asp?610480","חומת אש דת - הקבלה והמסורת")</f>
        <v>חומת אש דת - הקבלה והמסורת</v>
      </c>
    </row>
    <row r="14865" spans="1:6" x14ac:dyDescent="0.2">
      <c r="A14865" t="s">
        <v>24856</v>
      </c>
      <c r="B14865" t="s">
        <v>23572</v>
      </c>
      <c r="C14865" t="s">
        <v>1284</v>
      </c>
      <c r="D14865" t="s">
        <v>661</v>
      </c>
      <c r="E14865" t="s">
        <v>474</v>
      </c>
      <c r="F14865" s="2" t="str">
        <f>HYPERLINK("http://www.otzar.org/book.asp?102429","חומת אש - 2 כר'")</f>
        <v>חומת אש - 2 כר'</v>
      </c>
    </row>
    <row r="14866" spans="1:6" x14ac:dyDescent="0.2">
      <c r="A14866" t="s">
        <v>24857</v>
      </c>
      <c r="B14866" t="s">
        <v>24858</v>
      </c>
      <c r="C14866" t="s">
        <v>151</v>
      </c>
      <c r="D14866" t="s">
        <v>24859</v>
      </c>
      <c r="E14866" t="s">
        <v>144</v>
      </c>
      <c r="F14866" s="2" t="str">
        <f>HYPERLINK("http://www.otzar.org/book.asp?615428","חומת אש")</f>
        <v>חומת אש</v>
      </c>
    </row>
    <row r="14867" spans="1:6" x14ac:dyDescent="0.2">
      <c r="A14867" t="s">
        <v>24857</v>
      </c>
      <c r="B14867" t="s">
        <v>24860</v>
      </c>
      <c r="C14867" t="s">
        <v>13</v>
      </c>
      <c r="D14867" t="s">
        <v>152</v>
      </c>
      <c r="E14867" t="s">
        <v>186</v>
      </c>
      <c r="F14867" s="2" t="str">
        <f>HYPERLINK("http://www.otzar.org/book.asp?156711","חומת אש")</f>
        <v>חומת אש</v>
      </c>
    </row>
    <row r="14868" spans="1:6" x14ac:dyDescent="0.2">
      <c r="A14868" t="s">
        <v>24856</v>
      </c>
      <c r="B14868" t="s">
        <v>24861</v>
      </c>
      <c r="C14868" t="s">
        <v>594</v>
      </c>
      <c r="D14868" t="s">
        <v>283</v>
      </c>
      <c r="E14868" t="s">
        <v>1626</v>
      </c>
      <c r="F14868" s="2" t="str">
        <f>HYPERLINK("http://www.otzar.org/book.asp?13419","חומת אש - 2 כר'")</f>
        <v>חומת אש - 2 כר'</v>
      </c>
    </row>
    <row r="14869" spans="1:6" x14ac:dyDescent="0.2">
      <c r="A14869" t="s">
        <v>24862</v>
      </c>
      <c r="B14869" t="s">
        <v>24863</v>
      </c>
      <c r="C14869" t="s">
        <v>422</v>
      </c>
      <c r="D14869" t="s">
        <v>52</v>
      </c>
      <c r="E14869" t="s">
        <v>144</v>
      </c>
      <c r="F14869" s="2" t="str">
        <f>HYPERLINK("http://www.otzar.org/book.asp?193391","חומת אש - 10 כר'")</f>
        <v>חומת אש - 10 כר'</v>
      </c>
    </row>
    <row r="14870" spans="1:6" x14ac:dyDescent="0.2">
      <c r="A14870" t="s">
        <v>24864</v>
      </c>
      <c r="B14870" t="s">
        <v>24865</v>
      </c>
      <c r="C14870" t="s">
        <v>854</v>
      </c>
      <c r="D14870" t="s">
        <v>225</v>
      </c>
      <c r="E14870" t="s">
        <v>234</v>
      </c>
      <c r="F14870" s="2" t="str">
        <f>HYPERLINK("http://www.otzar.org/book.asp?155757","חומת הדת והאמונה - 2 כר'")</f>
        <v>חומת הדת והאמונה - 2 כר'</v>
      </c>
    </row>
    <row r="14871" spans="1:6" x14ac:dyDescent="0.2">
      <c r="A14871" t="s">
        <v>24866</v>
      </c>
      <c r="B14871" t="s">
        <v>1978</v>
      </c>
      <c r="C14871" t="s">
        <v>1228</v>
      </c>
      <c r="D14871" t="s">
        <v>225</v>
      </c>
      <c r="E14871" t="s">
        <v>5935</v>
      </c>
      <c r="F14871" s="2" t="str">
        <f>HYPERLINK("http://www.otzar.org/book.asp?11157","חומת הדת")</f>
        <v>חומת הדת</v>
      </c>
    </row>
    <row r="14872" spans="1:6" x14ac:dyDescent="0.2">
      <c r="A14872" t="s">
        <v>24867</v>
      </c>
      <c r="B14872" t="s">
        <v>18568</v>
      </c>
      <c r="C14872" t="s">
        <v>609</v>
      </c>
      <c r="D14872" t="s">
        <v>5659</v>
      </c>
      <c r="E14872" t="s">
        <v>583</v>
      </c>
      <c r="F14872" s="2" t="str">
        <f>HYPERLINK("http://www.otzar.org/book.asp?104633","חומת הדת - 2 כר'")</f>
        <v>חומת הדת - 2 כר'</v>
      </c>
    </row>
    <row r="14873" spans="1:6" x14ac:dyDescent="0.2">
      <c r="A14873" t="s">
        <v>24868</v>
      </c>
      <c r="B14873" t="s">
        <v>24869</v>
      </c>
      <c r="C14873" t="s">
        <v>103</v>
      </c>
      <c r="D14873" t="s">
        <v>14</v>
      </c>
      <c r="E14873" t="s">
        <v>104</v>
      </c>
      <c r="F14873" s="2" t="str">
        <f>HYPERLINK("http://www.otzar.org/book.asp?606017","חומת הכשרות - א")</f>
        <v>חומת הכשרות - א</v>
      </c>
    </row>
    <row r="14874" spans="1:6" x14ac:dyDescent="0.2">
      <c r="A14874" t="s">
        <v>24870</v>
      </c>
      <c r="B14874" t="s">
        <v>801</v>
      </c>
      <c r="C14874" t="s">
        <v>635</v>
      </c>
      <c r="D14874" t="s">
        <v>283</v>
      </c>
      <c r="E14874" t="s">
        <v>933</v>
      </c>
      <c r="F14874" s="2" t="str">
        <f>HYPERLINK("http://www.otzar.org/book.asp?101780","חומת יהושע")</f>
        <v>חומת יהושע</v>
      </c>
    </row>
    <row r="14875" spans="1:6" x14ac:dyDescent="0.2">
      <c r="A14875" t="s">
        <v>24871</v>
      </c>
      <c r="B14875" t="s">
        <v>24872</v>
      </c>
      <c r="C14875" t="s">
        <v>1448</v>
      </c>
      <c r="D14875" t="s">
        <v>14</v>
      </c>
      <c r="E14875" t="s">
        <v>1097</v>
      </c>
      <c r="F14875" s="2" t="str">
        <f>HYPERLINK("http://www.otzar.org/book.asp?61958","חומת ירושלים - 4 כר'")</f>
        <v>חומת ירושלים - 4 כר'</v>
      </c>
    </row>
    <row r="14876" spans="1:6" x14ac:dyDescent="0.2">
      <c r="A14876" t="s">
        <v>24873</v>
      </c>
      <c r="B14876" t="s">
        <v>24874</v>
      </c>
      <c r="C14876" t="s">
        <v>2008</v>
      </c>
      <c r="D14876" t="s">
        <v>27</v>
      </c>
      <c r="E14876" t="s">
        <v>1108</v>
      </c>
      <c r="F14876" s="2" t="str">
        <f>HYPERLINK("http://www.otzar.org/book.asp?19447","חומת ירושלם")</f>
        <v>חומת ירושלם</v>
      </c>
    </row>
    <row r="14877" spans="1:6" x14ac:dyDescent="0.2">
      <c r="A14877" t="s">
        <v>24875</v>
      </c>
      <c r="B14877" t="s">
        <v>24876</v>
      </c>
      <c r="C14877" t="s">
        <v>940</v>
      </c>
      <c r="D14877" t="s">
        <v>21</v>
      </c>
      <c r="E14877" t="s">
        <v>2153</v>
      </c>
      <c r="F14877" s="2" t="str">
        <f>HYPERLINK("http://www.otzar.org/book.asp?199988","חומת משפט - א")</f>
        <v>חומת משפט - א</v>
      </c>
    </row>
    <row r="14878" spans="1:6" x14ac:dyDescent="0.2">
      <c r="A14878" t="s">
        <v>24877</v>
      </c>
      <c r="B14878" t="s">
        <v>24878</v>
      </c>
      <c r="C14878" t="s">
        <v>1062</v>
      </c>
      <c r="D14878" t="s">
        <v>21</v>
      </c>
      <c r="E14878" t="s">
        <v>202</v>
      </c>
      <c r="F14878" s="2" t="str">
        <f>HYPERLINK("http://www.otzar.org/book.asp?191741","חומתינו (החומה) - 3 כר'")</f>
        <v>חומתינו (החומה) - 3 כר'</v>
      </c>
    </row>
    <row r="14879" spans="1:6" x14ac:dyDescent="0.2">
      <c r="A14879" t="s">
        <v>24879</v>
      </c>
      <c r="B14879" t="s">
        <v>24880</v>
      </c>
      <c r="C14879" t="s">
        <v>1208</v>
      </c>
      <c r="D14879" t="s">
        <v>52</v>
      </c>
      <c r="E14879" t="s">
        <v>144</v>
      </c>
      <c r="F14879" s="2" t="str">
        <f>HYPERLINK("http://www.otzar.org/book.asp?603357","חונן דעה - יומא")</f>
        <v>חונן דעה - יומא</v>
      </c>
    </row>
    <row r="14880" spans="1:6" x14ac:dyDescent="0.2">
      <c r="A14880" t="s">
        <v>24881</v>
      </c>
      <c r="B14880" t="s">
        <v>5797</v>
      </c>
      <c r="C14880" t="s">
        <v>68</v>
      </c>
      <c r="D14880" t="s">
        <v>5798</v>
      </c>
      <c r="E14880" t="s">
        <v>803</v>
      </c>
      <c r="F14880" s="2" t="str">
        <f>HYPERLINK("http://www.otzar.org/book.asp?156736","חונן ומלוה")</f>
        <v>חונן ומלוה</v>
      </c>
    </row>
    <row r="14881" spans="1:6" x14ac:dyDescent="0.2">
      <c r="A14881" t="s">
        <v>24882</v>
      </c>
      <c r="B14881" t="s">
        <v>2184</v>
      </c>
      <c r="C14881" t="s">
        <v>624</v>
      </c>
      <c r="D14881" t="s">
        <v>14</v>
      </c>
      <c r="E14881" t="s">
        <v>241</v>
      </c>
      <c r="F14881" s="2" t="str">
        <f>HYPERLINK("http://www.otzar.org/book.asp?50515","חוסן יהושע המבואר")</f>
        <v>חוסן יהושע המבואר</v>
      </c>
    </row>
    <row r="14882" spans="1:6" x14ac:dyDescent="0.2">
      <c r="A14882" t="s">
        <v>24883</v>
      </c>
      <c r="B14882" t="s">
        <v>2184</v>
      </c>
      <c r="C14882" t="s">
        <v>237</v>
      </c>
      <c r="D14882" t="s">
        <v>9</v>
      </c>
      <c r="E14882" t="s">
        <v>104</v>
      </c>
      <c r="F14882" s="2" t="str">
        <f>HYPERLINK("http://www.otzar.org/book.asp?13562","חוסן יהושע - 2 כר'")</f>
        <v>חוסן יהושע - 2 כר'</v>
      </c>
    </row>
    <row r="14883" spans="1:6" x14ac:dyDescent="0.2">
      <c r="A14883" t="s">
        <v>24884</v>
      </c>
      <c r="B14883" t="s">
        <v>3493</v>
      </c>
      <c r="C14883" t="s">
        <v>46</v>
      </c>
      <c r="D14883" t="s">
        <v>9</v>
      </c>
      <c r="E14883" t="s">
        <v>733</v>
      </c>
      <c r="F14883" s="2" t="str">
        <f>HYPERLINK("http://www.otzar.org/book.asp?6853","חוסן יוסף")</f>
        <v>חוסן יוסף</v>
      </c>
    </row>
    <row r="14884" spans="1:6" x14ac:dyDescent="0.2">
      <c r="A14884" t="s">
        <v>24885</v>
      </c>
      <c r="B14884" t="s">
        <v>24886</v>
      </c>
      <c r="C14884" t="s">
        <v>1177</v>
      </c>
      <c r="D14884" t="s">
        <v>27</v>
      </c>
      <c r="E14884" t="s">
        <v>399</v>
      </c>
      <c r="F14884" s="2" t="str">
        <f>HYPERLINK("http://www.otzar.org/book.asp?105021","חוסן ישועות")</f>
        <v>חוסן ישועות</v>
      </c>
    </row>
    <row r="14885" spans="1:6" x14ac:dyDescent="0.2">
      <c r="A14885" t="s">
        <v>24885</v>
      </c>
      <c r="B14885" t="s">
        <v>24887</v>
      </c>
      <c r="C14885" t="s">
        <v>1284</v>
      </c>
      <c r="D14885" t="s">
        <v>322</v>
      </c>
      <c r="E14885" t="s">
        <v>15</v>
      </c>
      <c r="F14885" s="2" t="str">
        <f>HYPERLINK("http://www.otzar.org/book.asp?103835","חוסן ישועות")</f>
        <v>חוסן ישועות</v>
      </c>
    </row>
    <row r="14886" spans="1:6" x14ac:dyDescent="0.2">
      <c r="A14886" t="s">
        <v>24885</v>
      </c>
      <c r="B14886" t="s">
        <v>24888</v>
      </c>
      <c r="C14886" t="s">
        <v>334</v>
      </c>
      <c r="D14886" t="s">
        <v>14</v>
      </c>
      <c r="E14886" t="s">
        <v>1211</v>
      </c>
      <c r="F14886" s="2" t="str">
        <f>HYPERLINK("http://www.otzar.org/book.asp?9287","חוסן ישועות")</f>
        <v>חוסן ישועות</v>
      </c>
    </row>
    <row r="14887" spans="1:6" x14ac:dyDescent="0.2">
      <c r="A14887" t="s">
        <v>24889</v>
      </c>
      <c r="B14887" t="s">
        <v>24890</v>
      </c>
      <c r="C14887" t="s">
        <v>24891</v>
      </c>
      <c r="D14887" t="s">
        <v>1495</v>
      </c>
      <c r="E14887" t="s">
        <v>144</v>
      </c>
      <c r="F14887" s="2" t="str">
        <f>HYPERLINK("http://www.otzar.org/book.asp?300081","חוסן ישועות - 4 כר'")</f>
        <v>חוסן ישועות - 4 כר'</v>
      </c>
    </row>
    <row r="14888" spans="1:6" x14ac:dyDescent="0.2">
      <c r="A14888" t="s">
        <v>24885</v>
      </c>
      <c r="B14888" t="s">
        <v>24892</v>
      </c>
      <c r="C14888" t="s">
        <v>630</v>
      </c>
      <c r="D14888" t="s">
        <v>544</v>
      </c>
      <c r="E14888" t="s">
        <v>84</v>
      </c>
      <c r="F14888" s="2" t="str">
        <f>HYPERLINK("http://www.otzar.org/book.asp?146691","חוסן ישועות")</f>
        <v>חוסן ישועות</v>
      </c>
    </row>
    <row r="14889" spans="1:6" x14ac:dyDescent="0.2">
      <c r="A14889" t="s">
        <v>24893</v>
      </c>
      <c r="B14889" t="s">
        <v>14042</v>
      </c>
      <c r="C14889" t="s">
        <v>1047</v>
      </c>
      <c r="D14889" t="s">
        <v>267</v>
      </c>
      <c r="E14889" t="s">
        <v>144</v>
      </c>
      <c r="F14889" s="2" t="str">
        <f>HYPERLINK("http://www.otzar.org/book.asp?151619","חוסן רב")</f>
        <v>חוסן רב</v>
      </c>
    </row>
    <row r="14890" spans="1:6" x14ac:dyDescent="0.2">
      <c r="A14890" t="s">
        <v>24894</v>
      </c>
      <c r="B14890" t="s">
        <v>24895</v>
      </c>
      <c r="C14890" t="s">
        <v>24896</v>
      </c>
      <c r="D14890" t="s">
        <v>9</v>
      </c>
      <c r="E14890" t="s">
        <v>24897</v>
      </c>
      <c r="F14890" s="2" t="str">
        <f>HYPERLINK("http://www.otzar.org/book.asp?6964","חוף ימים - 5 כר'")</f>
        <v>חוף ימים - 5 כר'</v>
      </c>
    </row>
    <row r="14891" spans="1:6" x14ac:dyDescent="0.2">
      <c r="A14891" t="s">
        <v>24898</v>
      </c>
      <c r="B14891" t="s">
        <v>24899</v>
      </c>
      <c r="E14891" t="s">
        <v>15</v>
      </c>
      <c r="F14891" s="2" t="str">
        <f>HYPERLINK("http://www.otzar.org/book.asp?628214","חופה וקידושין כהלכתה, שמעתתא כהלכה, לקראת שבת")</f>
        <v>חופה וקידושין כהלכתה, שמעתתא כהלכה, לקראת שבת</v>
      </c>
    </row>
    <row r="14892" spans="1:6" x14ac:dyDescent="0.2">
      <c r="A14892" t="s">
        <v>24900</v>
      </c>
      <c r="B14892" t="s">
        <v>24901</v>
      </c>
      <c r="C14892" t="s">
        <v>366</v>
      </c>
      <c r="D14892" t="s">
        <v>14</v>
      </c>
      <c r="E14892" t="s">
        <v>15</v>
      </c>
      <c r="F14892" s="2" t="str">
        <f>HYPERLINK("http://www.otzar.org/book.asp?628008","חופה וקידושין למעשה")</f>
        <v>חופה וקידושין למעשה</v>
      </c>
    </row>
    <row r="14893" spans="1:6" x14ac:dyDescent="0.2">
      <c r="A14893" t="s">
        <v>24902</v>
      </c>
      <c r="B14893" t="s">
        <v>1973</v>
      </c>
      <c r="C14893" t="s">
        <v>87</v>
      </c>
      <c r="D14893" t="s">
        <v>1974</v>
      </c>
      <c r="E14893" t="s">
        <v>15</v>
      </c>
      <c r="F14893" s="2" t="str">
        <f>HYPERLINK("http://www.otzar.org/book.asp?23641","חופה כהלכה")</f>
        <v>חופה כהלכה</v>
      </c>
    </row>
    <row r="14894" spans="1:6" x14ac:dyDescent="0.2">
      <c r="A14894" t="s">
        <v>24903</v>
      </c>
      <c r="B14894" t="s">
        <v>24904</v>
      </c>
      <c r="C14894" t="s">
        <v>523</v>
      </c>
      <c r="D14894" t="s">
        <v>14</v>
      </c>
      <c r="E14894" t="s">
        <v>241</v>
      </c>
      <c r="F14894" s="2" t="str">
        <f>HYPERLINK("http://www.otzar.org/book.asp?143708","חופש הבחירה בהגותו של רבי אברהם אזולאי")</f>
        <v>חופש הבחירה בהגותו של רבי אברהם אזולאי</v>
      </c>
    </row>
    <row r="14895" spans="1:6" x14ac:dyDescent="0.2">
      <c r="A14895" t="s">
        <v>24905</v>
      </c>
      <c r="B14895" t="s">
        <v>24906</v>
      </c>
      <c r="C14895" t="s">
        <v>133</v>
      </c>
      <c r="D14895" t="s">
        <v>21</v>
      </c>
      <c r="E14895" t="s">
        <v>104</v>
      </c>
      <c r="F14895" s="2" t="str">
        <f>HYPERLINK("http://www.otzar.org/book.asp?195631","חופת אליהו")</f>
        <v>חופת אליהו</v>
      </c>
    </row>
    <row r="14896" spans="1:6" x14ac:dyDescent="0.2">
      <c r="A14896" t="s">
        <v>24907</v>
      </c>
      <c r="B14896" t="s">
        <v>5307</v>
      </c>
      <c r="C14896" t="s">
        <v>390</v>
      </c>
      <c r="D14896" t="s">
        <v>412</v>
      </c>
      <c r="E14896" t="s">
        <v>15</v>
      </c>
      <c r="F14896" s="2" t="str">
        <f>HYPERLINK("http://www.otzar.org/book.asp?144677","חופת חתנים - 3 כר'")</f>
        <v>חופת חתנים - 3 כר'</v>
      </c>
    </row>
    <row r="14897" spans="1:6" x14ac:dyDescent="0.2">
      <c r="A14897" t="s">
        <v>24908</v>
      </c>
      <c r="B14897" t="s">
        <v>11725</v>
      </c>
      <c r="C14897" t="s">
        <v>362</v>
      </c>
      <c r="D14897" t="s">
        <v>212</v>
      </c>
      <c r="E14897" t="s">
        <v>24</v>
      </c>
      <c r="F14897" s="2" t="str">
        <f>HYPERLINK("http://www.otzar.org/book.asp?145221","חופת חתנים - 2 כר'")</f>
        <v>חופת חתנים - 2 כר'</v>
      </c>
    </row>
    <row r="14898" spans="1:6" x14ac:dyDescent="0.2">
      <c r="A14898" t="s">
        <v>24909</v>
      </c>
      <c r="B14898" t="s">
        <v>7629</v>
      </c>
      <c r="C14898" t="s">
        <v>151</v>
      </c>
      <c r="D14898" t="s">
        <v>14</v>
      </c>
      <c r="F14898" s="2" t="str">
        <f>HYPERLINK("http://www.otzar.org/book.asp?617467","חופת ציון")</f>
        <v>חופת ציון</v>
      </c>
    </row>
    <row r="14899" spans="1:6" x14ac:dyDescent="0.2">
      <c r="A14899" t="s">
        <v>24910</v>
      </c>
      <c r="B14899" t="s">
        <v>24911</v>
      </c>
      <c r="C14899" t="s">
        <v>244</v>
      </c>
      <c r="D14899" t="s">
        <v>52</v>
      </c>
      <c r="E14899" t="s">
        <v>104</v>
      </c>
      <c r="F14899" s="2" t="str">
        <f>HYPERLINK("http://www.otzar.org/book.asp?629780","חופת שלמה - בית שלמה")</f>
        <v>חופת שלמה - בית שלמה</v>
      </c>
    </row>
    <row r="14900" spans="1:6" x14ac:dyDescent="0.2">
      <c r="A14900" t="s">
        <v>24912</v>
      </c>
      <c r="B14900" t="s">
        <v>5932</v>
      </c>
      <c r="C14900" t="s">
        <v>146</v>
      </c>
      <c r="D14900" t="s">
        <v>14</v>
      </c>
      <c r="E14900" t="s">
        <v>2091</v>
      </c>
      <c r="F14900" s="2" t="str">
        <f>HYPERLINK("http://www.otzar.org/book.asp?26101","חוקות הארץ - 2 כר'")</f>
        <v>חוקות הארץ - 2 כר'</v>
      </c>
    </row>
    <row r="14901" spans="1:6" x14ac:dyDescent="0.2">
      <c r="A14901" t="s">
        <v>24913</v>
      </c>
      <c r="B14901" t="s">
        <v>24914</v>
      </c>
      <c r="C14901" t="s">
        <v>989</v>
      </c>
      <c r="D14901" t="s">
        <v>14</v>
      </c>
      <c r="E14901" t="s">
        <v>606</v>
      </c>
      <c r="F14901" s="2" t="str">
        <f>HYPERLINK("http://www.otzar.org/book.asp?103838","חוקות הדיינים - 3 כר'")</f>
        <v>חוקות הדיינים - 3 כר'</v>
      </c>
    </row>
    <row r="14902" spans="1:6" x14ac:dyDescent="0.2">
      <c r="A14902" t="s">
        <v>24915</v>
      </c>
      <c r="B14902" t="s">
        <v>7757</v>
      </c>
      <c r="C14902" t="s">
        <v>896</v>
      </c>
      <c r="D14902" t="s">
        <v>27</v>
      </c>
      <c r="E14902" t="s">
        <v>24916</v>
      </c>
      <c r="F14902" s="2" t="str">
        <f>HYPERLINK("http://www.otzar.org/book.asp?19193","חוקות עולם")</f>
        <v>חוקות עולם</v>
      </c>
    </row>
    <row r="14903" spans="1:6" x14ac:dyDescent="0.2">
      <c r="A14903" t="s">
        <v>24917</v>
      </c>
      <c r="B14903" t="s">
        <v>1504</v>
      </c>
      <c r="C14903" t="s">
        <v>1663</v>
      </c>
      <c r="D14903" t="s">
        <v>27</v>
      </c>
      <c r="E14903" t="s">
        <v>15</v>
      </c>
      <c r="F14903" s="2" t="str">
        <f>HYPERLINK("http://www.otzar.org/book.asp?8672","חוקות שדה")</f>
        <v>חוקות שדה</v>
      </c>
    </row>
    <row r="14904" spans="1:6" x14ac:dyDescent="0.2">
      <c r="A14904" t="s">
        <v>24918</v>
      </c>
      <c r="B14904" t="s">
        <v>24696</v>
      </c>
      <c r="C14904" t="s">
        <v>313</v>
      </c>
      <c r="D14904" t="s">
        <v>14</v>
      </c>
      <c r="E14904" t="s">
        <v>15</v>
      </c>
      <c r="F14904" s="2" t="str">
        <f>HYPERLINK("http://www.otzar.org/book.asp?50483","חוקותי תשמורו")</f>
        <v>חוקותי תשמורו</v>
      </c>
    </row>
    <row r="14905" spans="1:6" x14ac:dyDescent="0.2">
      <c r="A14905" t="s">
        <v>24919</v>
      </c>
      <c r="B14905" t="s">
        <v>24920</v>
      </c>
      <c r="C14905" t="s">
        <v>71</v>
      </c>
      <c r="D14905" t="s">
        <v>14</v>
      </c>
      <c r="E14905" t="s">
        <v>172</v>
      </c>
      <c r="F14905" s="2" t="str">
        <f>HYPERLINK("http://www.otzar.org/book.asp?153353","חוקי דעה")</f>
        <v>חוקי דעה</v>
      </c>
    </row>
    <row r="14906" spans="1:6" x14ac:dyDescent="0.2">
      <c r="A14906" t="s">
        <v>24921</v>
      </c>
      <c r="B14906" t="s">
        <v>15259</v>
      </c>
      <c r="C14906" t="s">
        <v>888</v>
      </c>
      <c r="D14906" t="s">
        <v>379</v>
      </c>
      <c r="E14906" t="s">
        <v>20806</v>
      </c>
      <c r="F14906" s="2" t="str">
        <f>HYPERLINK("http://www.otzar.org/book.asp?656","חוקי האישות על פי דת משה והתלמוד")</f>
        <v>חוקי האישות על פי דת משה והתלמוד</v>
      </c>
    </row>
    <row r="14907" spans="1:6" x14ac:dyDescent="0.2">
      <c r="A14907" t="s">
        <v>24922</v>
      </c>
      <c r="B14907" t="s">
        <v>155</v>
      </c>
      <c r="C14907" t="s">
        <v>3690</v>
      </c>
      <c r="D14907" t="s">
        <v>157</v>
      </c>
      <c r="E14907" t="s">
        <v>158</v>
      </c>
      <c r="F14907" s="2" t="str">
        <f>HYPERLINK("http://www.otzar.org/book.asp?15748","חוקי החיים")</f>
        <v>חוקי החיים</v>
      </c>
    </row>
    <row r="14908" spans="1:6" x14ac:dyDescent="0.2">
      <c r="A14908" t="s">
        <v>24923</v>
      </c>
      <c r="B14908" t="s">
        <v>24920</v>
      </c>
      <c r="C14908" t="s">
        <v>114</v>
      </c>
      <c r="D14908" t="s">
        <v>14</v>
      </c>
      <c r="E14908" t="s">
        <v>15</v>
      </c>
      <c r="F14908" s="2" t="str">
        <f>HYPERLINK("http://www.otzar.org/book.asp?168004","חוקי הכסף")</f>
        <v>חוקי הכסף</v>
      </c>
    </row>
    <row r="14909" spans="1:6" x14ac:dyDescent="0.2">
      <c r="A14909" t="s">
        <v>24924</v>
      </c>
      <c r="B14909" t="s">
        <v>24925</v>
      </c>
      <c r="C14909" t="s">
        <v>438</v>
      </c>
      <c r="D14909" t="s">
        <v>27</v>
      </c>
      <c r="F14909" s="2" t="str">
        <f>HYPERLINK("http://www.otzar.org/book.asp?610946","חוקי הקרבנות - 2 כר'")</f>
        <v>חוקי הקרבנות - 2 כר'</v>
      </c>
    </row>
    <row r="14910" spans="1:6" x14ac:dyDescent="0.2">
      <c r="A14910" t="s">
        <v>24926</v>
      </c>
      <c r="B14910" t="s">
        <v>24927</v>
      </c>
      <c r="C14910" t="s">
        <v>13</v>
      </c>
      <c r="D14910" t="s">
        <v>412</v>
      </c>
      <c r="E14910" t="s">
        <v>393</v>
      </c>
      <c r="F14910" s="2" t="str">
        <f>HYPERLINK("http://www.otzar.org/book.asp?85365","חוקי ומנהגי הבית דין")</f>
        <v>חוקי ומנהגי הבית דין</v>
      </c>
    </row>
    <row r="14911" spans="1:6" x14ac:dyDescent="0.2">
      <c r="A14911" t="s">
        <v>24928</v>
      </c>
      <c r="B14911" t="s">
        <v>24929</v>
      </c>
      <c r="C14911" t="s">
        <v>103</v>
      </c>
      <c r="D14911" t="s">
        <v>14</v>
      </c>
      <c r="E14911" t="s">
        <v>172</v>
      </c>
      <c r="F14911" s="2" t="str">
        <f>HYPERLINK("http://www.otzar.org/book.asp?607108","חוקי חיים - 3 כר'")</f>
        <v>חוקי חיים - 3 כר'</v>
      </c>
    </row>
    <row r="14912" spans="1:6" x14ac:dyDescent="0.2">
      <c r="A14912" t="s">
        <v>24930</v>
      </c>
      <c r="B14912" t="s">
        <v>24931</v>
      </c>
      <c r="C14912" t="s">
        <v>306</v>
      </c>
      <c r="D14912" t="s">
        <v>27</v>
      </c>
      <c r="E14912" t="s">
        <v>154</v>
      </c>
      <c r="F14912" s="2" t="str">
        <f>HYPERLINK("http://www.otzar.org/book.asp?101390","חוקי חיים")</f>
        <v>חוקי חיים</v>
      </c>
    </row>
    <row r="14913" spans="1:6" x14ac:dyDescent="0.2">
      <c r="A14913" t="s">
        <v>24928</v>
      </c>
      <c r="B14913" t="s">
        <v>10795</v>
      </c>
      <c r="C14913" t="s">
        <v>454</v>
      </c>
      <c r="D14913" t="s">
        <v>6853</v>
      </c>
      <c r="E14913" t="s">
        <v>246</v>
      </c>
      <c r="F14913" s="2" t="str">
        <f>HYPERLINK("http://www.otzar.org/book.asp?195159","חוקי חיים - 3 כר'")</f>
        <v>חוקי חיים - 3 כר'</v>
      </c>
    </row>
    <row r="14914" spans="1:6" x14ac:dyDescent="0.2">
      <c r="A14914" t="s">
        <v>24932</v>
      </c>
      <c r="B14914" t="s">
        <v>8947</v>
      </c>
      <c r="C14914" t="s">
        <v>624</v>
      </c>
      <c r="D14914" t="s">
        <v>14</v>
      </c>
      <c r="E14914" t="s">
        <v>144</v>
      </c>
      <c r="F14914" s="2" t="str">
        <f>HYPERLINK("http://www.otzar.org/book.asp?62777","חוקי חיים - 4 כר'")</f>
        <v>חוקי חיים - 4 כר'</v>
      </c>
    </row>
    <row r="14915" spans="1:6" x14ac:dyDescent="0.2">
      <c r="A14915" t="s">
        <v>24933</v>
      </c>
      <c r="B14915" t="s">
        <v>24934</v>
      </c>
      <c r="C14915" t="s">
        <v>411</v>
      </c>
      <c r="D14915" t="s">
        <v>52</v>
      </c>
      <c r="E14915" t="s">
        <v>148</v>
      </c>
      <c r="F14915" s="2" t="str">
        <f>HYPERLINK("http://www.otzar.org/book.asp?167633","חוקי חיים - 5 כר'")</f>
        <v>חוקי חיים - 5 כר'</v>
      </c>
    </row>
    <row r="14916" spans="1:6" x14ac:dyDescent="0.2">
      <c r="A14916" t="s">
        <v>24930</v>
      </c>
      <c r="B14916" t="s">
        <v>24920</v>
      </c>
      <c r="C14916" t="s">
        <v>624</v>
      </c>
      <c r="D14916" t="s">
        <v>14</v>
      </c>
      <c r="E14916" t="s">
        <v>15</v>
      </c>
      <c r="F14916" s="2" t="str">
        <f>HYPERLINK("http://www.otzar.org/book.asp?22876","חוקי חיים")</f>
        <v>חוקי חיים</v>
      </c>
    </row>
    <row r="14917" spans="1:6" x14ac:dyDescent="0.2">
      <c r="A14917" t="s">
        <v>24930</v>
      </c>
      <c r="B14917" t="s">
        <v>3111</v>
      </c>
      <c r="C14917" t="s">
        <v>23</v>
      </c>
      <c r="D14917" t="s">
        <v>14</v>
      </c>
      <c r="F14917" s="2" t="str">
        <f>HYPERLINK("http://www.otzar.org/book.asp?616442","חוקי חיים")</f>
        <v>חוקי חיים</v>
      </c>
    </row>
    <row r="14918" spans="1:6" x14ac:dyDescent="0.2">
      <c r="A14918" t="s">
        <v>24935</v>
      </c>
      <c r="B14918" t="s">
        <v>3166</v>
      </c>
      <c r="C14918" t="s">
        <v>767</v>
      </c>
      <c r="D14918" t="s">
        <v>14</v>
      </c>
      <c r="F14918" s="2" t="str">
        <f>HYPERLINK("http://www.otzar.org/book.asp?53885","חוקי רצונך - 3 כר'")</f>
        <v>חוקי רצונך - 3 כר'</v>
      </c>
    </row>
    <row r="14919" spans="1:6" x14ac:dyDescent="0.2">
      <c r="A14919" t="s">
        <v>24936</v>
      </c>
      <c r="B14919" t="s">
        <v>1390</v>
      </c>
      <c r="C14919" t="s">
        <v>1062</v>
      </c>
      <c r="D14919" t="s">
        <v>27</v>
      </c>
      <c r="E14919" t="s">
        <v>1463</v>
      </c>
      <c r="F14919" s="2" t="str">
        <f>HYPERLINK("http://www.otzar.org/book.asp?13301","חוקר ומקבל")</f>
        <v>חוקר ומקבל</v>
      </c>
    </row>
    <row r="14920" spans="1:6" x14ac:dyDescent="0.2">
      <c r="A14920" t="s">
        <v>24937</v>
      </c>
      <c r="B14920" t="s">
        <v>1390</v>
      </c>
      <c r="C14920" t="s">
        <v>1524</v>
      </c>
      <c r="D14920" t="s">
        <v>544</v>
      </c>
      <c r="E14920" t="s">
        <v>314</v>
      </c>
      <c r="F14920" s="2" t="str">
        <f>HYPERLINK("http://www.otzar.org/book.asp?12757","חוקר ומקובל ומלחמת משה")</f>
        <v>חוקר ומקובל ומלחמת משה</v>
      </c>
    </row>
    <row r="14921" spans="1:6" x14ac:dyDescent="0.2">
      <c r="A14921" t="s">
        <v>24938</v>
      </c>
      <c r="B14921" t="s">
        <v>1390</v>
      </c>
      <c r="C14921" t="s">
        <v>1524</v>
      </c>
      <c r="D14921" t="s">
        <v>544</v>
      </c>
      <c r="F14921" s="2" t="str">
        <f>HYPERLINK("http://www.otzar.org/book.asp?170336","חוקר ומקובל - 2 כר'")</f>
        <v>חוקר ומקובל - 2 כר'</v>
      </c>
    </row>
    <row r="14922" spans="1:6" x14ac:dyDescent="0.2">
      <c r="A14922" t="s">
        <v>24938</v>
      </c>
      <c r="B14922" t="s">
        <v>16501</v>
      </c>
      <c r="C14922" t="s">
        <v>1414</v>
      </c>
      <c r="D14922" t="s">
        <v>1419</v>
      </c>
      <c r="F14922" s="2" t="str">
        <f>HYPERLINK("http://www.otzar.org/book.asp?170335","חוקר ומקובל - 2 כר'")</f>
        <v>חוקר ומקובל - 2 כר'</v>
      </c>
    </row>
    <row r="14923" spans="1:6" x14ac:dyDescent="0.2">
      <c r="A14923" t="s">
        <v>24939</v>
      </c>
      <c r="B14923" t="s">
        <v>13919</v>
      </c>
      <c r="C14923" t="s">
        <v>919</v>
      </c>
      <c r="D14923" t="s">
        <v>14</v>
      </c>
      <c r="E14923" t="s">
        <v>15</v>
      </c>
      <c r="F14923" s="2" t="str">
        <f>HYPERLINK("http://www.otzar.org/book.asp?155747","חוקת הגר")</f>
        <v>חוקת הגר</v>
      </c>
    </row>
    <row r="14924" spans="1:6" x14ac:dyDescent="0.2">
      <c r="A14924" t="s">
        <v>24940</v>
      </c>
      <c r="B14924" t="s">
        <v>24941</v>
      </c>
      <c r="C14924" t="s">
        <v>244</v>
      </c>
      <c r="D14924" t="s">
        <v>14</v>
      </c>
      <c r="E14924" t="s">
        <v>148</v>
      </c>
      <c r="F14924" s="2" t="str">
        <f>HYPERLINK("http://www.otzar.org/book.asp?610605","חוקת הטהרה")</f>
        <v>חוקת הטהרה</v>
      </c>
    </row>
    <row r="14925" spans="1:6" x14ac:dyDescent="0.2">
      <c r="A14925" t="s">
        <v>24940</v>
      </c>
      <c r="B14925" t="s">
        <v>3900</v>
      </c>
      <c r="C14925" t="s">
        <v>553</v>
      </c>
      <c r="D14925" t="s">
        <v>3560</v>
      </c>
      <c r="E14925" t="s">
        <v>15</v>
      </c>
      <c r="F14925" s="2" t="str">
        <f>HYPERLINK("http://www.otzar.org/book.asp?26861","חוקת הטהרה")</f>
        <v>חוקת הטהרה</v>
      </c>
    </row>
    <row r="14926" spans="1:6" x14ac:dyDescent="0.2">
      <c r="A14926" t="s">
        <v>24942</v>
      </c>
      <c r="B14926" t="s">
        <v>24943</v>
      </c>
      <c r="C14926" t="s">
        <v>785</v>
      </c>
      <c r="D14926" t="s">
        <v>52</v>
      </c>
      <c r="E14926" t="s">
        <v>803</v>
      </c>
      <c r="F14926" s="2" t="str">
        <f>HYPERLINK("http://www.otzar.org/book.asp?152494","חוקת היום - 3 כר'")</f>
        <v>חוקת היום - 3 כר'</v>
      </c>
    </row>
    <row r="14927" spans="1:6" x14ac:dyDescent="0.2">
      <c r="A14927" t="s">
        <v>24944</v>
      </c>
      <c r="B14927" t="s">
        <v>982</v>
      </c>
      <c r="C14927" t="s">
        <v>114</v>
      </c>
      <c r="D14927" t="s">
        <v>14</v>
      </c>
      <c r="E14927" t="s">
        <v>130</v>
      </c>
      <c r="F14927" s="2" t="str">
        <f>HYPERLINK("http://www.otzar.org/book.asp?161151","חוקת הפורים")</f>
        <v>חוקת הפורים</v>
      </c>
    </row>
    <row r="14928" spans="1:6" x14ac:dyDescent="0.2">
      <c r="A14928" t="s">
        <v>24945</v>
      </c>
      <c r="B14928" t="s">
        <v>24946</v>
      </c>
      <c r="C14928" t="s">
        <v>985</v>
      </c>
      <c r="D14928" t="s">
        <v>27</v>
      </c>
      <c r="E14928" t="s">
        <v>15</v>
      </c>
      <c r="F14928" s="2" t="str">
        <f>HYPERLINK("http://www.otzar.org/book.asp?179763","חוקת הפסח &lt;מהדורה ראשונה&gt;")</f>
        <v>חוקת הפסח &lt;מהדורה ראשונה&gt;</v>
      </c>
    </row>
    <row r="14929" spans="1:6" x14ac:dyDescent="0.2">
      <c r="A14929" t="s">
        <v>24947</v>
      </c>
      <c r="B14929" t="s">
        <v>19853</v>
      </c>
      <c r="C14929" t="s">
        <v>37</v>
      </c>
      <c r="D14929" t="s">
        <v>276</v>
      </c>
      <c r="E14929" t="s">
        <v>130</v>
      </c>
      <c r="F14929" s="2" t="str">
        <f>HYPERLINK("http://www.otzar.org/book.asp?191121","חוקת הפסח")</f>
        <v>חוקת הפסח</v>
      </c>
    </row>
    <row r="14930" spans="1:6" x14ac:dyDescent="0.2">
      <c r="A14930" t="s">
        <v>24948</v>
      </c>
      <c r="B14930" t="s">
        <v>24946</v>
      </c>
      <c r="C14930" t="s">
        <v>1246</v>
      </c>
      <c r="D14930" t="s">
        <v>9</v>
      </c>
      <c r="E14930" t="s">
        <v>674</v>
      </c>
      <c r="F14930" s="2" t="str">
        <f>HYPERLINK("http://www.otzar.org/book.asp?9994","חוקת הפסח - א-ב")</f>
        <v>חוקת הפסח - א-ב</v>
      </c>
    </row>
    <row r="14931" spans="1:6" x14ac:dyDescent="0.2">
      <c r="A14931" t="s">
        <v>24947</v>
      </c>
      <c r="B14931" t="s">
        <v>24949</v>
      </c>
      <c r="C14931" t="s">
        <v>189</v>
      </c>
      <c r="D14931" t="s">
        <v>14</v>
      </c>
      <c r="E14931" t="s">
        <v>130</v>
      </c>
      <c r="F14931" s="2" t="str">
        <f>HYPERLINK("http://www.otzar.org/book.asp?23433","חוקת הפסח")</f>
        <v>חוקת הפסח</v>
      </c>
    </row>
    <row r="14932" spans="1:6" x14ac:dyDescent="0.2">
      <c r="A14932" t="s">
        <v>24947</v>
      </c>
      <c r="B14932" t="s">
        <v>1750</v>
      </c>
      <c r="C14932" t="s">
        <v>51</v>
      </c>
      <c r="D14932" t="s">
        <v>14</v>
      </c>
      <c r="E14932" t="s">
        <v>202</v>
      </c>
      <c r="F14932" s="2" t="str">
        <f>HYPERLINK("http://www.otzar.org/book.asp?23891","חוקת הפסח")</f>
        <v>חוקת הפסח</v>
      </c>
    </row>
    <row r="14933" spans="1:6" x14ac:dyDescent="0.2">
      <c r="A14933" t="s">
        <v>24950</v>
      </c>
      <c r="B14933" t="s">
        <v>13376</v>
      </c>
      <c r="C14933" t="s">
        <v>523</v>
      </c>
      <c r="D14933" t="s">
        <v>14</v>
      </c>
      <c r="E14933" t="s">
        <v>84</v>
      </c>
      <c r="F14933" s="2" t="str">
        <f>HYPERLINK("http://www.otzar.org/book.asp?146779","חוקת הפרה")</f>
        <v>חוקת הפרה</v>
      </c>
    </row>
    <row r="14934" spans="1:6" x14ac:dyDescent="0.2">
      <c r="A14934" t="s">
        <v>24951</v>
      </c>
      <c r="B14934" t="s">
        <v>24952</v>
      </c>
      <c r="C14934" t="s">
        <v>129</v>
      </c>
      <c r="D14934" t="s">
        <v>245</v>
      </c>
      <c r="E14934" t="s">
        <v>148</v>
      </c>
      <c r="F14934" s="2" t="str">
        <f>HYPERLINK("http://www.otzar.org/book.asp?177237","חוקת הפתח - מזוזה")</f>
        <v>חוקת הפתח - מזוזה</v>
      </c>
    </row>
    <row r="14935" spans="1:6" x14ac:dyDescent="0.2">
      <c r="A14935" t="s">
        <v>24953</v>
      </c>
      <c r="B14935" t="s">
        <v>9611</v>
      </c>
      <c r="C14935" t="s">
        <v>24954</v>
      </c>
      <c r="D14935" t="s">
        <v>27</v>
      </c>
      <c r="E14935" t="s">
        <v>81</v>
      </c>
      <c r="F14935" s="2" t="str">
        <f>HYPERLINK("http://www.otzar.org/book.asp?11754","חוקת ישראל - 3 כר'")</f>
        <v>חוקת ישראל - 3 כר'</v>
      </c>
    </row>
    <row r="14936" spans="1:6" x14ac:dyDescent="0.2">
      <c r="A14936" t="s">
        <v>24955</v>
      </c>
      <c r="B14936" t="s">
        <v>24956</v>
      </c>
      <c r="C14936" t="s">
        <v>124</v>
      </c>
      <c r="D14936" t="s">
        <v>3208</v>
      </c>
      <c r="E14936" t="s">
        <v>674</v>
      </c>
      <c r="F14936" s="2" t="str">
        <f>HYPERLINK("http://www.otzar.org/book.asp?602997","חוקת משפט - 2 כר'")</f>
        <v>חוקת משפט - 2 כר'</v>
      </c>
    </row>
    <row r="14937" spans="1:6" x14ac:dyDescent="0.2">
      <c r="A14937" t="s">
        <v>24957</v>
      </c>
      <c r="B14937" t="s">
        <v>24958</v>
      </c>
      <c r="C14937" t="s">
        <v>411</v>
      </c>
      <c r="D14937" t="s">
        <v>14</v>
      </c>
      <c r="E14937" t="s">
        <v>15</v>
      </c>
      <c r="F14937" s="2" t="str">
        <f>HYPERLINK("http://www.otzar.org/book.asp?176151","חוקת עולם")</f>
        <v>חוקת עולם</v>
      </c>
    </row>
    <row r="14938" spans="1:6" x14ac:dyDescent="0.2">
      <c r="A14938" t="s">
        <v>24957</v>
      </c>
      <c r="B14938" t="s">
        <v>3286</v>
      </c>
      <c r="C14938" t="s">
        <v>106</v>
      </c>
      <c r="D14938" t="s">
        <v>52</v>
      </c>
      <c r="E14938" t="s">
        <v>24959</v>
      </c>
      <c r="F14938" s="2" t="str">
        <f>HYPERLINK("http://www.otzar.org/book.asp?12715","חוקת עולם")</f>
        <v>חוקת עולם</v>
      </c>
    </row>
    <row r="14939" spans="1:6" x14ac:dyDescent="0.2">
      <c r="A14939" t="s">
        <v>24957</v>
      </c>
      <c r="B14939" t="s">
        <v>24960</v>
      </c>
      <c r="C14939" t="s">
        <v>176</v>
      </c>
      <c r="D14939" t="s">
        <v>21</v>
      </c>
      <c r="F14939" s="2" t="str">
        <f>HYPERLINK("http://www.otzar.org/book.asp?614563","חוקת עולם")</f>
        <v>חוקת עולם</v>
      </c>
    </row>
    <row r="14940" spans="1:6" x14ac:dyDescent="0.2">
      <c r="A14940" t="s">
        <v>24957</v>
      </c>
      <c r="B14940" t="s">
        <v>255</v>
      </c>
      <c r="C14940" t="s">
        <v>189</v>
      </c>
      <c r="D14940" t="s">
        <v>14</v>
      </c>
      <c r="E14940" t="s">
        <v>104</v>
      </c>
      <c r="F14940" s="2" t="str">
        <f>HYPERLINK("http://www.otzar.org/book.asp?152672","חוקת עולם")</f>
        <v>חוקת עולם</v>
      </c>
    </row>
    <row r="14941" spans="1:6" x14ac:dyDescent="0.2">
      <c r="A14941" t="s">
        <v>24961</v>
      </c>
      <c r="B14941" t="s">
        <v>1363</v>
      </c>
      <c r="C14941" t="s">
        <v>129</v>
      </c>
      <c r="D14941" t="s">
        <v>14</v>
      </c>
      <c r="E14941" t="s">
        <v>674</v>
      </c>
      <c r="F14941" s="2" t="str">
        <f>HYPERLINK("http://www.otzar.org/book.asp?63051","חורב &lt;תרגום חדש&gt;")</f>
        <v>חורב &lt;תרגום חדש&gt;</v>
      </c>
    </row>
    <row r="14942" spans="1:6" x14ac:dyDescent="0.2">
      <c r="A14942" t="s">
        <v>24962</v>
      </c>
      <c r="B14942" t="s">
        <v>1363</v>
      </c>
      <c r="C14942" t="s">
        <v>3106</v>
      </c>
      <c r="D14942" t="s">
        <v>9</v>
      </c>
      <c r="E14942" t="s">
        <v>583</v>
      </c>
      <c r="F14942" s="2" t="str">
        <f>HYPERLINK("http://www.otzar.org/book.asp?8521","חורב - 2 כר'")</f>
        <v>חורב - 2 כר'</v>
      </c>
    </row>
    <row r="14943" spans="1:6" x14ac:dyDescent="0.2">
      <c r="A14943" t="s">
        <v>24963</v>
      </c>
      <c r="B14943" t="s">
        <v>24964</v>
      </c>
      <c r="C14943" t="s">
        <v>24965</v>
      </c>
      <c r="D14943" t="s">
        <v>412</v>
      </c>
      <c r="E14943" t="s">
        <v>202</v>
      </c>
      <c r="F14943" s="2" t="str">
        <f>HYPERLINK("http://www.otzar.org/book.asp?171518","חורב - 3 כר'")</f>
        <v>חורב - 3 כר'</v>
      </c>
    </row>
    <row r="14944" spans="1:6" x14ac:dyDescent="0.2">
      <c r="A14944" t="s">
        <v>24966</v>
      </c>
      <c r="B14944" t="s">
        <v>24967</v>
      </c>
      <c r="C14944" t="s">
        <v>79</v>
      </c>
      <c r="D14944" t="s">
        <v>216</v>
      </c>
      <c r="E14944" t="s">
        <v>119</v>
      </c>
      <c r="F14944" s="2" t="str">
        <f>HYPERLINK("http://www.otzar.org/book.asp?153661","חורבן און אופשטאנד פון די אידן אין ווארשע - 2 כר'")</f>
        <v>חורבן און אופשטאנד פון די אידן אין ווארשע - 2 כר'</v>
      </c>
    </row>
    <row r="14945" spans="1:6" x14ac:dyDescent="0.2">
      <c r="A14945" t="s">
        <v>24968</v>
      </c>
      <c r="B14945" t="s">
        <v>13893</v>
      </c>
      <c r="C14945" t="s">
        <v>79</v>
      </c>
      <c r="D14945" t="s">
        <v>412</v>
      </c>
      <c r="E14945" t="s">
        <v>119</v>
      </c>
      <c r="F14945" s="2" t="str">
        <f>HYPERLINK("http://www.otzar.org/book.asp?620989","חורבן אירופה &lt;אידיש&gt;")</f>
        <v>חורבן אירופה &lt;אידיש&gt;</v>
      </c>
    </row>
    <row r="14946" spans="1:6" x14ac:dyDescent="0.2">
      <c r="A14946" t="s">
        <v>24969</v>
      </c>
      <c r="B14946" t="s">
        <v>132</v>
      </c>
      <c r="C14946" t="s">
        <v>114</v>
      </c>
      <c r="D14946" t="s">
        <v>245</v>
      </c>
      <c r="F14946" s="2" t="str">
        <f>HYPERLINK("http://www.otzar.org/book.asp?197233","חורבן הבית ושבעה דנחמתא - 2 כר'")</f>
        <v>חורבן הבית ושבעה דנחמתא - 2 כר'</v>
      </c>
    </row>
    <row r="14947" spans="1:6" x14ac:dyDescent="0.2">
      <c r="A14947" t="s">
        <v>24970</v>
      </c>
      <c r="B14947" t="s">
        <v>24971</v>
      </c>
      <c r="C14947" t="s">
        <v>286</v>
      </c>
      <c r="D14947" t="s">
        <v>260</v>
      </c>
      <c r="E14947" t="s">
        <v>119</v>
      </c>
      <c r="F14947" s="2" t="str">
        <f>HYPERLINK("http://www.otzar.org/book.asp?15656","חורבן היהודים בפולין, גליציה ובוקובינה - 4 כר'")</f>
        <v>חורבן היהודים בפולין, גליציה ובוקובינה - 4 כר'</v>
      </c>
    </row>
    <row r="14948" spans="1:6" x14ac:dyDescent="0.2">
      <c r="A14948" t="s">
        <v>24972</v>
      </c>
      <c r="B14948" t="s">
        <v>24973</v>
      </c>
      <c r="C14948" t="s">
        <v>3106</v>
      </c>
      <c r="D14948" t="s">
        <v>412</v>
      </c>
      <c r="E14948" t="s">
        <v>119</v>
      </c>
      <c r="F14948" s="2" t="str">
        <f>HYPERLINK("http://www.otzar.org/book.asp?106990","חורבן ישיבת טלז")</f>
        <v>חורבן ישיבת טלז</v>
      </c>
    </row>
    <row r="14949" spans="1:6" x14ac:dyDescent="0.2">
      <c r="A14949" t="s">
        <v>24974</v>
      </c>
      <c r="B14949" t="s">
        <v>14362</v>
      </c>
      <c r="C14949" t="s">
        <v>1062</v>
      </c>
      <c r="D14949" t="s">
        <v>9</v>
      </c>
      <c r="E14949" t="s">
        <v>119</v>
      </c>
      <c r="F14949" s="2" t="str">
        <f>HYPERLINK("http://www.otzar.org/book.asp?172458","חורבן ליטע")</f>
        <v>חורבן ליטע</v>
      </c>
    </row>
    <row r="14950" spans="1:6" x14ac:dyDescent="0.2">
      <c r="A14950" t="s">
        <v>24975</v>
      </c>
      <c r="B14950" t="s">
        <v>1827</v>
      </c>
      <c r="C14950" t="s">
        <v>68</v>
      </c>
      <c r="D14950" t="s">
        <v>14</v>
      </c>
      <c r="E14950" t="s">
        <v>24976</v>
      </c>
      <c r="F14950" s="2" t="str">
        <f>HYPERLINK("http://www.otzar.org/book.asp?172742","חושב מחשבות &lt;מהדורה חדשה&gt;")</f>
        <v>חושב מחשבות &lt;מהדורה חדשה&gt;</v>
      </c>
    </row>
    <row r="14951" spans="1:6" x14ac:dyDescent="0.2">
      <c r="A14951" t="s">
        <v>24977</v>
      </c>
      <c r="B14951" t="s">
        <v>24978</v>
      </c>
      <c r="C14951" t="s">
        <v>2644</v>
      </c>
      <c r="D14951" t="s">
        <v>56</v>
      </c>
      <c r="E14951" t="s">
        <v>24979</v>
      </c>
      <c r="F14951" s="2" t="str">
        <f>HYPERLINK("http://www.otzar.org/book.asp?145597","חושב מחשבות - 2 כר'")</f>
        <v>חושב מחשבות - 2 כר'</v>
      </c>
    </row>
    <row r="14952" spans="1:6" x14ac:dyDescent="0.2">
      <c r="A14952" t="s">
        <v>24977</v>
      </c>
      <c r="B14952" t="s">
        <v>1827</v>
      </c>
      <c r="C14952" t="s">
        <v>1885</v>
      </c>
      <c r="D14952" t="s">
        <v>379</v>
      </c>
      <c r="E14952" t="s">
        <v>24980</v>
      </c>
      <c r="F14952" s="2" t="str">
        <f>HYPERLINK("http://www.otzar.org/book.asp?982","חושב מחשבות - 2 כר'")</f>
        <v>חושב מחשבות - 2 כר'</v>
      </c>
    </row>
    <row r="14953" spans="1:6" x14ac:dyDescent="0.2">
      <c r="A14953" t="s">
        <v>24981</v>
      </c>
      <c r="B14953" t="s">
        <v>206</v>
      </c>
      <c r="C14953" t="s">
        <v>422</v>
      </c>
      <c r="D14953" t="s">
        <v>14</v>
      </c>
      <c r="E14953" t="s">
        <v>144</v>
      </c>
      <c r="F14953" s="2" t="str">
        <f>HYPERLINK("http://www.otzar.org/book.asp?165015","חושבי שמו - 2 כר'")</f>
        <v>חושבי שמו - 2 כר'</v>
      </c>
    </row>
    <row r="14954" spans="1:6" x14ac:dyDescent="0.2">
      <c r="A14954" t="s">
        <v>24982</v>
      </c>
      <c r="B14954" t="s">
        <v>24983</v>
      </c>
      <c r="C14954" t="s">
        <v>129</v>
      </c>
      <c r="D14954" t="s">
        <v>152</v>
      </c>
      <c r="E14954" t="s">
        <v>10190</v>
      </c>
      <c r="F14954" s="2" t="str">
        <f>HYPERLINK("http://www.otzar.org/book.asp?50049","חושן אהרן")</f>
        <v>חושן אהרן</v>
      </c>
    </row>
    <row r="14955" spans="1:6" x14ac:dyDescent="0.2">
      <c r="A14955" t="s">
        <v>24984</v>
      </c>
      <c r="B14955" t="s">
        <v>681</v>
      </c>
      <c r="C14955" t="s">
        <v>24985</v>
      </c>
      <c r="D14955" t="s">
        <v>76</v>
      </c>
      <c r="E14955" t="s">
        <v>154</v>
      </c>
      <c r="F14955" s="2" t="str">
        <f>HYPERLINK("http://www.otzar.org/book.asp?102805","חושן האפד")</f>
        <v>חושן האפד</v>
      </c>
    </row>
    <row r="14956" spans="1:6" x14ac:dyDescent="0.2">
      <c r="A14956" t="s">
        <v>24986</v>
      </c>
      <c r="B14956" t="s">
        <v>24987</v>
      </c>
      <c r="C14956" t="s">
        <v>244</v>
      </c>
      <c r="D14956" t="s">
        <v>21</v>
      </c>
      <c r="E14956" t="s">
        <v>172</v>
      </c>
      <c r="F14956" s="2" t="str">
        <f>HYPERLINK("http://www.otzar.org/book.asp?601009","חושן שלמה - חו""מ ע""ה-צ""ו")</f>
        <v>חושן שלמה - חו"מ ע"ה-צ"ו</v>
      </c>
    </row>
    <row r="14957" spans="1:6" x14ac:dyDescent="0.2">
      <c r="A14957" t="s">
        <v>24988</v>
      </c>
      <c r="B14957" t="s">
        <v>24989</v>
      </c>
      <c r="C14957" t="s">
        <v>1609</v>
      </c>
      <c r="D14957" t="s">
        <v>27</v>
      </c>
      <c r="E14957" t="s">
        <v>144</v>
      </c>
      <c r="F14957" s="2" t="str">
        <f>HYPERLINK("http://www.otzar.org/book.asp?7533","חות אליעזר")</f>
        <v>חות אליעזר</v>
      </c>
    </row>
    <row r="14958" spans="1:6" x14ac:dyDescent="0.2">
      <c r="A14958" t="s">
        <v>24990</v>
      </c>
      <c r="B14958" t="s">
        <v>24991</v>
      </c>
      <c r="C14958" t="s">
        <v>496</v>
      </c>
      <c r="D14958" t="s">
        <v>661</v>
      </c>
      <c r="E14958" t="s">
        <v>474</v>
      </c>
      <c r="F14958" s="2" t="str">
        <f>HYPERLINK("http://www.otzar.org/book.asp?15731","חות יא""ר")</f>
        <v>חות יא"ר</v>
      </c>
    </row>
    <row r="14959" spans="1:6" x14ac:dyDescent="0.2">
      <c r="A14959" t="s">
        <v>24992</v>
      </c>
      <c r="B14959" t="s">
        <v>24993</v>
      </c>
      <c r="C14959" t="s">
        <v>21898</v>
      </c>
      <c r="D14959" t="s">
        <v>322</v>
      </c>
      <c r="E14959" t="s">
        <v>154</v>
      </c>
      <c r="F14959" s="2" t="str">
        <f>HYPERLINK("http://www.otzar.org/book.asp?14176","חות יאיר &lt;דפו""ר&gt;")</f>
        <v>חות יאיר &lt;דפו"ר&gt;</v>
      </c>
    </row>
    <row r="14960" spans="1:6" x14ac:dyDescent="0.2">
      <c r="A14960" t="s">
        <v>24994</v>
      </c>
      <c r="B14960" t="s">
        <v>24993</v>
      </c>
      <c r="C14960" t="s">
        <v>313</v>
      </c>
      <c r="D14960" t="s">
        <v>52</v>
      </c>
      <c r="E14960" t="s">
        <v>154</v>
      </c>
      <c r="F14960" s="2" t="str">
        <f>HYPERLINK("http://www.otzar.org/book.asp?157643","חות יאיר &lt;מהדורה חדשה&gt;")</f>
        <v>חות יאיר &lt;מהדורה חדשה&gt;</v>
      </c>
    </row>
    <row r="14961" spans="1:6" x14ac:dyDescent="0.2">
      <c r="A14961" t="s">
        <v>24995</v>
      </c>
      <c r="B14961" t="s">
        <v>3945</v>
      </c>
      <c r="C14961" t="s">
        <v>103</v>
      </c>
      <c r="D14961" t="s">
        <v>14</v>
      </c>
      <c r="E14961" t="s">
        <v>234</v>
      </c>
      <c r="F14961" s="2" t="str">
        <f>HYPERLINK("http://www.otzar.org/book.asp?180243","חות יאיר חדש &lt;מהדורה חדשה&gt;")</f>
        <v>חות יאיר חדש &lt;מהדורה חדשה&gt;</v>
      </c>
    </row>
    <row r="14962" spans="1:6" x14ac:dyDescent="0.2">
      <c r="A14962" t="s">
        <v>24996</v>
      </c>
      <c r="B14962" t="s">
        <v>3945</v>
      </c>
      <c r="C14962" t="s">
        <v>4266</v>
      </c>
      <c r="D14962" t="s">
        <v>744</v>
      </c>
      <c r="F14962" s="2" t="str">
        <f>HYPERLINK("http://www.otzar.org/book.asp?150007","חות יאיר חדש - 2 כר'")</f>
        <v>חות יאיר חדש - 2 כר'</v>
      </c>
    </row>
    <row r="14963" spans="1:6" x14ac:dyDescent="0.2">
      <c r="A14963" t="s">
        <v>24997</v>
      </c>
      <c r="B14963" t="s">
        <v>24993</v>
      </c>
      <c r="C14963" t="s">
        <v>1885</v>
      </c>
      <c r="D14963" t="s">
        <v>267</v>
      </c>
      <c r="E14963" t="s">
        <v>154</v>
      </c>
      <c r="F14963" s="2" t="str">
        <f>HYPERLINK("http://www.otzar.org/book.asp?797","חות יאיר")</f>
        <v>חות יאיר</v>
      </c>
    </row>
    <row r="14964" spans="1:6" x14ac:dyDescent="0.2">
      <c r="A14964" t="s">
        <v>24997</v>
      </c>
      <c r="B14964" t="s">
        <v>24998</v>
      </c>
      <c r="C14964" t="s">
        <v>313</v>
      </c>
      <c r="D14964" t="s">
        <v>52</v>
      </c>
      <c r="E14964" t="s">
        <v>15</v>
      </c>
      <c r="F14964" s="2" t="str">
        <f>HYPERLINK("http://www.otzar.org/book.asp?61903","חות יאיר")</f>
        <v>חות יאיר</v>
      </c>
    </row>
    <row r="14965" spans="1:6" x14ac:dyDescent="0.2">
      <c r="A14965" t="s">
        <v>24997</v>
      </c>
      <c r="B14965" t="s">
        <v>24999</v>
      </c>
      <c r="C14965" t="s">
        <v>6607</v>
      </c>
      <c r="D14965" t="s">
        <v>49</v>
      </c>
      <c r="F14965" s="2" t="str">
        <f>HYPERLINK("http://www.otzar.org/book.asp?84135","חות יאיר")</f>
        <v>חות יאיר</v>
      </c>
    </row>
    <row r="14966" spans="1:6" x14ac:dyDescent="0.2">
      <c r="A14966" t="s">
        <v>24997</v>
      </c>
      <c r="B14966" t="s">
        <v>3945</v>
      </c>
      <c r="C14966" t="s">
        <v>558</v>
      </c>
      <c r="D14966" t="s">
        <v>2295</v>
      </c>
      <c r="E14966" t="s">
        <v>234</v>
      </c>
      <c r="F14966" s="2" t="str">
        <f>HYPERLINK("http://www.otzar.org/book.asp?145193","חות יאיר")</f>
        <v>חות יאיר</v>
      </c>
    </row>
    <row r="14967" spans="1:6" x14ac:dyDescent="0.2">
      <c r="A14967" t="s">
        <v>25000</v>
      </c>
      <c r="B14967" t="s">
        <v>25001</v>
      </c>
      <c r="C14967" t="s">
        <v>1778</v>
      </c>
      <c r="D14967" t="s">
        <v>1833</v>
      </c>
      <c r="E14967" t="s">
        <v>148</v>
      </c>
      <c r="F14967" s="2" t="str">
        <f>HYPERLINK("http://www.otzar.org/book.asp?28929","חותם ה'")</f>
        <v>חותם ה'</v>
      </c>
    </row>
    <row r="14968" spans="1:6" x14ac:dyDescent="0.2">
      <c r="A14968" t="s">
        <v>25002</v>
      </c>
      <c r="B14968" t="s">
        <v>206</v>
      </c>
      <c r="C14968" t="s">
        <v>37</v>
      </c>
      <c r="D14968" t="s">
        <v>1180</v>
      </c>
      <c r="E14968" t="s">
        <v>246</v>
      </c>
      <c r="F14968" s="2" t="str">
        <f>HYPERLINK("http://www.otzar.org/book.asp?623554","חותם האבות - 3 כר'")</f>
        <v>חותם האבות - 3 כר'</v>
      </c>
    </row>
    <row r="14969" spans="1:6" x14ac:dyDescent="0.2">
      <c r="A14969" t="s">
        <v>25003</v>
      </c>
      <c r="B14969" t="s">
        <v>25004</v>
      </c>
      <c r="C14969" t="s">
        <v>411</v>
      </c>
      <c r="D14969" t="s">
        <v>14</v>
      </c>
      <c r="E14969" t="s">
        <v>158</v>
      </c>
      <c r="F14969" s="2" t="str">
        <f>HYPERLINK("http://www.otzar.org/book.asp?172849","חותם המלך - 2 כר'")</f>
        <v>חותם המלך - 2 כר'</v>
      </c>
    </row>
    <row r="14970" spans="1:6" x14ac:dyDescent="0.2">
      <c r="A14970" t="s">
        <v>25005</v>
      </c>
      <c r="B14970" t="s">
        <v>25006</v>
      </c>
      <c r="C14970" t="s">
        <v>71</v>
      </c>
      <c r="D14970" t="s">
        <v>486</v>
      </c>
      <c r="E14970" t="s">
        <v>144</v>
      </c>
      <c r="F14970" s="2" t="str">
        <f>HYPERLINK("http://www.otzar.org/book.asp?182319","חותם כהן - 2 כר'")</f>
        <v>חותם כהן - 2 כר'</v>
      </c>
    </row>
    <row r="14971" spans="1:6" x14ac:dyDescent="0.2">
      <c r="A14971" t="s">
        <v>25007</v>
      </c>
      <c r="B14971" t="s">
        <v>25008</v>
      </c>
      <c r="C14971" t="s">
        <v>5903</v>
      </c>
      <c r="D14971" t="s">
        <v>1117</v>
      </c>
      <c r="E14971" t="s">
        <v>15</v>
      </c>
      <c r="F14971" s="2" t="str">
        <f>HYPERLINK("http://www.otzar.org/book.asp?18777","חותם קדש")</f>
        <v>חותם קדש</v>
      </c>
    </row>
    <row r="14972" spans="1:6" x14ac:dyDescent="0.2">
      <c r="A14972" t="s">
        <v>25009</v>
      </c>
      <c r="B14972" t="s">
        <v>25010</v>
      </c>
      <c r="C14972" t="s">
        <v>411</v>
      </c>
      <c r="D14972" t="s">
        <v>52</v>
      </c>
      <c r="E14972" t="s">
        <v>104</v>
      </c>
      <c r="F14972" s="2" t="str">
        <f>HYPERLINK("http://www.otzar.org/book.asp?167095","חותם של זהב")</f>
        <v>חותם של זהב</v>
      </c>
    </row>
    <row r="14973" spans="1:6" x14ac:dyDescent="0.2">
      <c r="A14973" t="s">
        <v>25011</v>
      </c>
      <c r="B14973" t="s">
        <v>25012</v>
      </c>
      <c r="C14973" t="s">
        <v>1494</v>
      </c>
      <c r="D14973" t="s">
        <v>2373</v>
      </c>
      <c r="E14973" t="s">
        <v>104</v>
      </c>
      <c r="F14973" s="2" t="str">
        <f>HYPERLINK("http://www.otzar.org/book.asp?168041","חותם תכנית")</f>
        <v>חותם תכנית</v>
      </c>
    </row>
    <row r="14974" spans="1:6" x14ac:dyDescent="0.2">
      <c r="A14974" t="s">
        <v>25011</v>
      </c>
      <c r="B14974" t="s">
        <v>25013</v>
      </c>
      <c r="C14974" t="s">
        <v>908</v>
      </c>
      <c r="D14974" t="s">
        <v>14</v>
      </c>
      <c r="F14974" s="2" t="str">
        <f>HYPERLINK("http://www.otzar.org/book.asp?611601","חותם תכנית")</f>
        <v>חותם תכנית</v>
      </c>
    </row>
    <row r="14975" spans="1:6" x14ac:dyDescent="0.2">
      <c r="A14975" t="s">
        <v>25014</v>
      </c>
      <c r="B14975" t="s">
        <v>25015</v>
      </c>
      <c r="C14975" t="s">
        <v>422</v>
      </c>
      <c r="D14975" t="s">
        <v>14</v>
      </c>
      <c r="E14975" t="s">
        <v>119</v>
      </c>
      <c r="F14975" s="2" t="str">
        <f>HYPERLINK("http://www.otzar.org/book.asp?148671","חותמו של כהן גדול - 3 כר'")</f>
        <v>חותמו של כהן גדול - 3 כר'</v>
      </c>
    </row>
    <row r="14976" spans="1:6" x14ac:dyDescent="0.2">
      <c r="A14976" t="s">
        <v>25016</v>
      </c>
      <c r="B14976" t="s">
        <v>25017</v>
      </c>
      <c r="C14976" t="s">
        <v>103</v>
      </c>
      <c r="D14976" t="s">
        <v>52</v>
      </c>
      <c r="E14976" t="s">
        <v>246</v>
      </c>
      <c r="F14976" s="2" t="str">
        <f>HYPERLINK("http://www.otzar.org/book.asp?172205","חותמו של כהן")</f>
        <v>חותמו של כהן</v>
      </c>
    </row>
    <row r="14977" spans="1:6" x14ac:dyDescent="0.2">
      <c r="A14977" t="s">
        <v>25018</v>
      </c>
      <c r="B14977" t="s">
        <v>25019</v>
      </c>
      <c r="C14977" t="s">
        <v>25020</v>
      </c>
      <c r="D14977" t="s">
        <v>212</v>
      </c>
      <c r="E14977" t="s">
        <v>588</v>
      </c>
      <c r="F14977" s="2" t="str">
        <f>HYPERLINK("http://www.otzar.org/book.asp?103842","חזה התנופה")</f>
        <v>חזה התנופה</v>
      </c>
    </row>
    <row r="14978" spans="1:6" x14ac:dyDescent="0.2">
      <c r="A14978" t="s">
        <v>25021</v>
      </c>
      <c r="B14978" t="s">
        <v>1827</v>
      </c>
      <c r="C14978" t="s">
        <v>133</v>
      </c>
      <c r="D14978" t="s">
        <v>14</v>
      </c>
      <c r="E14978" t="s">
        <v>158</v>
      </c>
      <c r="F14978" s="2" t="str">
        <f>HYPERLINK("http://www.otzar.org/book.asp?173768","חזה ציון &lt;מהדורה חדשה&gt; - 2 כר'")</f>
        <v>חזה ציון &lt;מהדורה חדשה&gt; - 2 כר'</v>
      </c>
    </row>
    <row r="14979" spans="1:6" x14ac:dyDescent="0.2">
      <c r="A14979" t="s">
        <v>25022</v>
      </c>
      <c r="B14979" t="s">
        <v>1827</v>
      </c>
      <c r="C14979" t="s">
        <v>25023</v>
      </c>
      <c r="D14979" t="s">
        <v>212</v>
      </c>
      <c r="E14979" t="s">
        <v>957</v>
      </c>
      <c r="F14979" s="2" t="str">
        <f>HYPERLINK("http://www.otzar.org/book.asp?15783","חזה ציון &lt;תהלים&gt;")</f>
        <v>חזה ציון &lt;תהלים&gt;</v>
      </c>
    </row>
    <row r="14980" spans="1:6" x14ac:dyDescent="0.2">
      <c r="A14980" t="s">
        <v>25024</v>
      </c>
      <c r="B14980" t="s">
        <v>25025</v>
      </c>
      <c r="C14980" t="s">
        <v>68</v>
      </c>
      <c r="D14980" t="s">
        <v>52</v>
      </c>
      <c r="E14980" t="s">
        <v>130</v>
      </c>
      <c r="F14980" s="2" t="str">
        <f>HYPERLINK("http://www.otzar.org/book.asp?154114","חזון אבי - 2 כר'")</f>
        <v>חזון אבי - 2 כר'</v>
      </c>
    </row>
    <row r="14981" spans="1:6" x14ac:dyDescent="0.2">
      <c r="A14981" t="s">
        <v>25026</v>
      </c>
      <c r="B14981" t="s">
        <v>25027</v>
      </c>
      <c r="C14981" t="s">
        <v>68</v>
      </c>
      <c r="D14981" t="s">
        <v>52</v>
      </c>
      <c r="E14981" t="s">
        <v>384</v>
      </c>
      <c r="F14981" s="2" t="str">
        <f>HYPERLINK("http://www.otzar.org/book.asp?161557","חזון אבי")</f>
        <v>חזון אבי</v>
      </c>
    </row>
    <row r="14982" spans="1:6" x14ac:dyDescent="0.2">
      <c r="A14982" t="s">
        <v>25028</v>
      </c>
      <c r="B14982" t="s">
        <v>25029</v>
      </c>
      <c r="C14982" t="s">
        <v>366</v>
      </c>
      <c r="D14982" t="s">
        <v>52</v>
      </c>
      <c r="E14982" t="s">
        <v>15</v>
      </c>
      <c r="F14982" s="2" t="str">
        <f>HYPERLINK("http://www.otzar.org/book.asp?621347","חזון איש &lt;עיונים וביאורים&gt; - 2 כר'")</f>
        <v>חזון איש &lt;עיונים וביאורים&gt; - 2 כר'</v>
      </c>
    </row>
    <row r="14983" spans="1:6" x14ac:dyDescent="0.2">
      <c r="A14983" t="s">
        <v>25030</v>
      </c>
      <c r="B14983" t="s">
        <v>7559</v>
      </c>
      <c r="C14983" t="s">
        <v>482</v>
      </c>
      <c r="D14983" t="s">
        <v>27</v>
      </c>
      <c r="E14983" t="s">
        <v>241</v>
      </c>
      <c r="F14983" s="2" t="str">
        <f>HYPERLINK("http://www.otzar.org/book.asp?5488","חזון איש &lt;אמונה ובטחון&gt;")</f>
        <v>חזון איש &lt;אמונה ובטחון&gt;</v>
      </c>
    </row>
    <row r="14984" spans="1:6" x14ac:dyDescent="0.2">
      <c r="A14984" t="s">
        <v>25031</v>
      </c>
      <c r="B14984" t="s">
        <v>7559</v>
      </c>
      <c r="C14984" t="s">
        <v>2008</v>
      </c>
      <c r="D14984" t="s">
        <v>27</v>
      </c>
      <c r="E14984" t="s">
        <v>733</v>
      </c>
      <c r="F14984" s="2" t="str">
        <f>HYPERLINK("http://www.otzar.org/book.asp?9062","חזון איש &lt;קונטרס ח""י שעות&gt;")</f>
        <v>חזון איש &lt;קונטרס ח"י שעות&gt;</v>
      </c>
    </row>
    <row r="14985" spans="1:6" x14ac:dyDescent="0.2">
      <c r="A14985" t="s">
        <v>25032</v>
      </c>
      <c r="B14985" t="s">
        <v>25033</v>
      </c>
      <c r="C14985" t="s">
        <v>13</v>
      </c>
      <c r="D14985" t="s">
        <v>657</v>
      </c>
      <c r="E14985" t="s">
        <v>144</v>
      </c>
      <c r="F14985" s="2" t="str">
        <f>HYPERLINK("http://www.otzar.org/book.asp?150988","חזון איש עירובין מחיצות עם פירוש פשר חזון")</f>
        <v>חזון איש עירובין מחיצות עם פירוש פשר חזון</v>
      </c>
    </row>
    <row r="14986" spans="1:6" x14ac:dyDescent="0.2">
      <c r="A14986" t="s">
        <v>25034</v>
      </c>
      <c r="B14986" t="s">
        <v>25033</v>
      </c>
      <c r="C14986" t="s">
        <v>411</v>
      </c>
      <c r="D14986" t="s">
        <v>657</v>
      </c>
      <c r="E14986" t="s">
        <v>104</v>
      </c>
      <c r="F14986" s="2" t="str">
        <f>HYPERLINK("http://www.otzar.org/book.asp?165977","חזון איש שמונה עשרה שעות ע""פ פשר חזון")</f>
        <v>חזון איש שמונה עשרה שעות ע"פ פשר חזון</v>
      </c>
    </row>
    <row r="14987" spans="1:6" x14ac:dyDescent="0.2">
      <c r="A14987" t="s">
        <v>25035</v>
      </c>
      <c r="B14987" t="s">
        <v>78</v>
      </c>
      <c r="C14987" t="s">
        <v>482</v>
      </c>
      <c r="D14987" t="s">
        <v>216</v>
      </c>
      <c r="E14987" t="s">
        <v>119</v>
      </c>
      <c r="F14987" s="2" t="str">
        <f>HYPERLINK("http://www.otzar.org/book.asp?11968","חזון איש")</f>
        <v>חזון איש</v>
      </c>
    </row>
    <row r="14988" spans="1:6" x14ac:dyDescent="0.2">
      <c r="A14988" t="s">
        <v>25036</v>
      </c>
      <c r="B14988" t="s">
        <v>7559</v>
      </c>
      <c r="C14988" t="s">
        <v>1570</v>
      </c>
      <c r="D14988" t="s">
        <v>52</v>
      </c>
      <c r="E14988" t="s">
        <v>144</v>
      </c>
      <c r="F14988" s="2" t="str">
        <f>HYPERLINK("http://www.otzar.org/book.asp?142777","חזון איש - 9 כר'")</f>
        <v>חזון איש - 9 כר'</v>
      </c>
    </row>
    <row r="14989" spans="1:6" x14ac:dyDescent="0.2">
      <c r="A14989" t="s">
        <v>25037</v>
      </c>
      <c r="B14989" t="s">
        <v>25038</v>
      </c>
      <c r="C14989" t="s">
        <v>103</v>
      </c>
      <c r="D14989" t="s">
        <v>14</v>
      </c>
      <c r="E14989" t="s">
        <v>8786</v>
      </c>
      <c r="F14989" s="2" t="str">
        <f>HYPERLINK("http://www.otzar.org/book.asp?50598","חזון אליהו - א")</f>
        <v>חזון אליהו - א</v>
      </c>
    </row>
    <row r="14990" spans="1:6" x14ac:dyDescent="0.2">
      <c r="A14990" t="s">
        <v>25039</v>
      </c>
      <c r="B14990" t="s">
        <v>25040</v>
      </c>
      <c r="C14990" t="s">
        <v>1619</v>
      </c>
      <c r="D14990" t="s">
        <v>52</v>
      </c>
      <c r="E14990" t="s">
        <v>467</v>
      </c>
      <c r="F14990" s="2" t="str">
        <f>HYPERLINK("http://www.otzar.org/book.asp?144618","חזון אליהו")</f>
        <v>חזון אליהו</v>
      </c>
    </row>
    <row r="14991" spans="1:6" x14ac:dyDescent="0.2">
      <c r="A14991" t="s">
        <v>25041</v>
      </c>
      <c r="B14991" t="s">
        <v>25042</v>
      </c>
      <c r="C14991" t="s">
        <v>68</v>
      </c>
      <c r="D14991" t="s">
        <v>657</v>
      </c>
      <c r="E14991" t="s">
        <v>202</v>
      </c>
      <c r="F14991" s="2" t="str">
        <f>HYPERLINK("http://www.otzar.org/book.asp?167930","חזון דוד")</f>
        <v>חזון דוד</v>
      </c>
    </row>
    <row r="14992" spans="1:6" x14ac:dyDescent="0.2">
      <c r="A14992" t="s">
        <v>25043</v>
      </c>
      <c r="B14992" t="s">
        <v>7559</v>
      </c>
      <c r="C14992" t="s">
        <v>71</v>
      </c>
      <c r="D14992" t="s">
        <v>14</v>
      </c>
      <c r="E14992" t="s">
        <v>241</v>
      </c>
      <c r="F14992" s="2" t="str">
        <f>HYPERLINK("http://www.otzar.org/book.asp?180147","חזון האיש")</f>
        <v>חזון האיש</v>
      </c>
    </row>
    <row r="14993" spans="1:6" x14ac:dyDescent="0.2">
      <c r="A14993" t="s">
        <v>25044</v>
      </c>
      <c r="B14993" t="s">
        <v>25045</v>
      </c>
      <c r="C14993" t="s">
        <v>1096</v>
      </c>
      <c r="D14993" t="s">
        <v>14</v>
      </c>
      <c r="E14993" t="s">
        <v>213</v>
      </c>
      <c r="F14993" s="2" t="str">
        <f>HYPERLINK("http://www.otzar.org/book.asp?613288","חזון האמונה וההשגחה")</f>
        <v>חזון האמונה וההשגחה</v>
      </c>
    </row>
    <row r="14994" spans="1:6" x14ac:dyDescent="0.2">
      <c r="A14994" t="s">
        <v>25046</v>
      </c>
      <c r="B14994" t="s">
        <v>9173</v>
      </c>
      <c r="C14994" t="s">
        <v>20</v>
      </c>
      <c r="D14994" t="s">
        <v>90</v>
      </c>
      <c r="E14994" t="s">
        <v>158</v>
      </c>
      <c r="F14994" s="2" t="str">
        <f>HYPERLINK("http://www.otzar.org/book.asp?198764","חזון הנביאים")</f>
        <v>חזון הנביאים</v>
      </c>
    </row>
    <row r="14995" spans="1:6" x14ac:dyDescent="0.2">
      <c r="A14995" t="s">
        <v>25047</v>
      </c>
      <c r="B14995" t="s">
        <v>25048</v>
      </c>
      <c r="C14995" t="s">
        <v>103</v>
      </c>
      <c r="D14995" t="s">
        <v>14</v>
      </c>
      <c r="E14995" t="s">
        <v>241</v>
      </c>
      <c r="F14995" s="2" t="str">
        <f>HYPERLINK("http://www.otzar.org/book.asp?157755","חזון הקולמוס")</f>
        <v>חזון הקולמוס</v>
      </c>
    </row>
    <row r="14996" spans="1:6" x14ac:dyDescent="0.2">
      <c r="A14996" t="s">
        <v>25049</v>
      </c>
      <c r="B14996" t="s">
        <v>25050</v>
      </c>
      <c r="C14996" t="s">
        <v>576</v>
      </c>
      <c r="D14996" t="s">
        <v>9</v>
      </c>
      <c r="E14996" t="s">
        <v>234</v>
      </c>
      <c r="F14996" s="2" t="str">
        <f>HYPERLINK("http://www.otzar.org/book.asp?103021","חזון התקופה")</f>
        <v>חזון התקופה</v>
      </c>
    </row>
    <row r="14997" spans="1:6" x14ac:dyDescent="0.2">
      <c r="A14997" t="s">
        <v>25051</v>
      </c>
      <c r="B14997" t="s">
        <v>107</v>
      </c>
      <c r="C14997" t="s">
        <v>940</v>
      </c>
      <c r="D14997" t="s">
        <v>14</v>
      </c>
      <c r="E14997" t="s">
        <v>213</v>
      </c>
      <c r="F14997" s="2" t="str">
        <f>HYPERLINK("http://www.otzar.org/book.asp?84445","חזון התשובה")</f>
        <v>חזון התשובה</v>
      </c>
    </row>
    <row r="14998" spans="1:6" x14ac:dyDescent="0.2">
      <c r="A14998" t="s">
        <v>25052</v>
      </c>
      <c r="B14998" t="s">
        <v>25053</v>
      </c>
      <c r="C14998" t="s">
        <v>775</v>
      </c>
      <c r="D14998" t="s">
        <v>52</v>
      </c>
      <c r="E14998" t="s">
        <v>104</v>
      </c>
      <c r="F14998" s="2" t="str">
        <f>HYPERLINK("http://www.otzar.org/book.asp?158093","חזון ודרך")</f>
        <v>חזון ודרך</v>
      </c>
    </row>
    <row r="14999" spans="1:6" x14ac:dyDescent="0.2">
      <c r="A14999" t="s">
        <v>25054</v>
      </c>
      <c r="B14999" t="s">
        <v>25055</v>
      </c>
      <c r="C14999" t="s">
        <v>37</v>
      </c>
      <c r="D14999" t="s">
        <v>14</v>
      </c>
      <c r="E14999" t="s">
        <v>172</v>
      </c>
      <c r="F14999" s="2" t="str">
        <f>HYPERLINK("http://www.otzar.org/book.asp?189143","חזון חיים - יו""ד סי' קצו")</f>
        <v>חזון חיים - יו"ד סי' קצו</v>
      </c>
    </row>
    <row r="15000" spans="1:6" x14ac:dyDescent="0.2">
      <c r="A15000" t="s">
        <v>25056</v>
      </c>
      <c r="B15000" t="s">
        <v>6661</v>
      </c>
      <c r="C15000" t="s">
        <v>68</v>
      </c>
      <c r="D15000" t="s">
        <v>486</v>
      </c>
      <c r="E15000" t="s">
        <v>104</v>
      </c>
      <c r="F15000" s="2" t="str">
        <f>HYPERLINK("http://www.otzar.org/book.asp?172619","חזון יאשיהו - 9 כר'")</f>
        <v>חזון יאשיהו - 9 כר'</v>
      </c>
    </row>
    <row r="15001" spans="1:6" x14ac:dyDescent="0.2">
      <c r="A15001" t="s">
        <v>25057</v>
      </c>
      <c r="B15001" t="s">
        <v>732</v>
      </c>
      <c r="C15001" t="s">
        <v>286</v>
      </c>
      <c r="D15001" t="s">
        <v>27</v>
      </c>
      <c r="E15001" t="s">
        <v>119</v>
      </c>
      <c r="F15001" s="2" t="str">
        <f>HYPERLINK("http://www.otzar.org/book.asp?172249","חזון יהודה וירושלם")</f>
        <v>חזון יהודה וירושלם</v>
      </c>
    </row>
    <row r="15002" spans="1:6" x14ac:dyDescent="0.2">
      <c r="A15002" t="s">
        <v>25058</v>
      </c>
      <c r="B15002" t="s">
        <v>25059</v>
      </c>
      <c r="C15002" t="s">
        <v>146</v>
      </c>
      <c r="D15002" t="s">
        <v>14</v>
      </c>
      <c r="E15002" t="s">
        <v>144</v>
      </c>
      <c r="F15002" s="2" t="str">
        <f>HYPERLINK("http://www.otzar.org/book.asp?167412","חזון יהושע")</f>
        <v>חזון יהושע</v>
      </c>
    </row>
    <row r="15003" spans="1:6" x14ac:dyDescent="0.2">
      <c r="A15003" t="s">
        <v>25060</v>
      </c>
      <c r="B15003" t="s">
        <v>25061</v>
      </c>
      <c r="C15003" t="s">
        <v>843</v>
      </c>
      <c r="D15003" t="s">
        <v>986</v>
      </c>
      <c r="E15003" t="s">
        <v>474</v>
      </c>
      <c r="F15003" s="2" t="str">
        <f>HYPERLINK("http://www.otzar.org/book.asp?7588","חזון יוסף - 2 כר'")</f>
        <v>חזון יוסף - 2 כר'</v>
      </c>
    </row>
    <row r="15004" spans="1:6" x14ac:dyDescent="0.2">
      <c r="A15004" t="s">
        <v>25062</v>
      </c>
      <c r="B15004" t="s">
        <v>25063</v>
      </c>
      <c r="C15004" t="s">
        <v>146</v>
      </c>
      <c r="D15004" t="s">
        <v>14</v>
      </c>
      <c r="E15004" t="s">
        <v>43</v>
      </c>
      <c r="F15004" s="2" t="str">
        <f>HYPERLINK("http://www.otzar.org/book.asp?61081","חזון יחזקאל &lt;תוספתא&gt; - 10 כר'")</f>
        <v>חזון יחזקאל &lt;תוספתא&gt; - 10 כר'</v>
      </c>
    </row>
    <row r="15005" spans="1:6" x14ac:dyDescent="0.2">
      <c r="A15005" t="s">
        <v>25064</v>
      </c>
      <c r="B15005" t="s">
        <v>25063</v>
      </c>
      <c r="C15005" t="s">
        <v>146</v>
      </c>
      <c r="D15005" t="s">
        <v>14</v>
      </c>
      <c r="E15005" t="s">
        <v>25065</v>
      </c>
      <c r="F15005" s="2" t="str">
        <f>HYPERLINK("http://www.otzar.org/book.asp?61127","חזון יחזקאל - 3 כר'")</f>
        <v>חזון יחזקאל - 3 כר'</v>
      </c>
    </row>
    <row r="15006" spans="1:6" x14ac:dyDescent="0.2">
      <c r="A15006" t="s">
        <v>25066</v>
      </c>
      <c r="B15006" t="s">
        <v>25067</v>
      </c>
      <c r="C15006" t="s">
        <v>4592</v>
      </c>
      <c r="D15006" t="s">
        <v>100</v>
      </c>
      <c r="E15006" t="s">
        <v>158</v>
      </c>
      <c r="F15006" s="2" t="str">
        <f>HYPERLINK("http://www.otzar.org/book.asp?20961","חזון ישעי' - 3 כר'")</f>
        <v>חזון ישעי' - 3 כר'</v>
      </c>
    </row>
    <row r="15007" spans="1:6" x14ac:dyDescent="0.2">
      <c r="A15007" t="s">
        <v>25068</v>
      </c>
      <c r="B15007" t="s">
        <v>25069</v>
      </c>
      <c r="C15007" t="s">
        <v>13</v>
      </c>
      <c r="D15007" t="s">
        <v>152</v>
      </c>
      <c r="E15007" t="s">
        <v>186</v>
      </c>
      <c r="F15007" s="2" t="str">
        <f>HYPERLINK("http://www.otzar.org/book.asp?152421","חזון ישעיה")</f>
        <v>חזון ישעיה</v>
      </c>
    </row>
    <row r="15008" spans="1:6" x14ac:dyDescent="0.2">
      <c r="A15008" t="s">
        <v>25068</v>
      </c>
      <c r="B15008" t="s">
        <v>25070</v>
      </c>
      <c r="C15008" t="s">
        <v>411</v>
      </c>
      <c r="D15008" t="s">
        <v>14</v>
      </c>
      <c r="E15008" t="s">
        <v>6101</v>
      </c>
      <c r="F15008" s="2" t="str">
        <f>HYPERLINK("http://www.otzar.org/book.asp?179318","חזון ישעיה")</f>
        <v>חזון ישעיה</v>
      </c>
    </row>
    <row r="15009" spans="1:6" x14ac:dyDescent="0.2">
      <c r="A15009" t="s">
        <v>25068</v>
      </c>
      <c r="B15009" t="s">
        <v>16762</v>
      </c>
      <c r="C15009" t="s">
        <v>609</v>
      </c>
      <c r="D15009" t="s">
        <v>25071</v>
      </c>
      <c r="E15009" t="s">
        <v>140</v>
      </c>
      <c r="F15009" s="2" t="str">
        <f>HYPERLINK("http://www.otzar.org/book.asp?11896","חזון ישעיה")</f>
        <v>חזון ישעיה</v>
      </c>
    </row>
    <row r="15010" spans="1:6" x14ac:dyDescent="0.2">
      <c r="A15010" t="s">
        <v>25068</v>
      </c>
      <c r="B15010" t="s">
        <v>25072</v>
      </c>
      <c r="C15010" t="s">
        <v>624</v>
      </c>
      <c r="D15010" t="s">
        <v>14</v>
      </c>
      <c r="E15010" t="s">
        <v>24849</v>
      </c>
      <c r="F15010" s="2" t="str">
        <f>HYPERLINK("http://www.otzar.org/book.asp?149762","חזון ישעיה")</f>
        <v>חזון ישעיה</v>
      </c>
    </row>
    <row r="15011" spans="1:6" x14ac:dyDescent="0.2">
      <c r="A15011" t="s">
        <v>25073</v>
      </c>
      <c r="B15011" t="s">
        <v>3259</v>
      </c>
      <c r="C15011" t="s">
        <v>523</v>
      </c>
      <c r="D15011" t="s">
        <v>14</v>
      </c>
      <c r="E15011" t="s">
        <v>202</v>
      </c>
      <c r="F15011" s="2" t="str">
        <f>HYPERLINK("http://www.otzar.org/book.asp?149502","חזון ישעיהו &lt;ספר זכרון&gt;")</f>
        <v>חזון ישעיהו &lt;ספר זכרון&gt;</v>
      </c>
    </row>
    <row r="15012" spans="1:6" x14ac:dyDescent="0.2">
      <c r="A15012" t="s">
        <v>25074</v>
      </c>
      <c r="B15012" t="s">
        <v>25075</v>
      </c>
      <c r="C15012" t="s">
        <v>989</v>
      </c>
      <c r="D15012" t="s">
        <v>27</v>
      </c>
      <c r="E15012" t="s">
        <v>957</v>
      </c>
      <c r="F15012" s="2" t="str">
        <f>HYPERLINK("http://www.otzar.org/book.asp?174600","חזון ישעיהו (יד השל""ה)")</f>
        <v>חזון ישעיהו (יד השל"ה)</v>
      </c>
    </row>
    <row r="15013" spans="1:6" x14ac:dyDescent="0.2">
      <c r="A15013" t="s">
        <v>25076</v>
      </c>
      <c r="B15013" t="s">
        <v>25077</v>
      </c>
      <c r="C15013" t="s">
        <v>812</v>
      </c>
      <c r="D15013" t="s">
        <v>412</v>
      </c>
      <c r="E15013" t="s">
        <v>158</v>
      </c>
      <c r="F15013" s="2" t="str">
        <f>HYPERLINK("http://www.otzar.org/book.asp?183279","חזון ישעיהו")</f>
        <v>חזון ישעיהו</v>
      </c>
    </row>
    <row r="15014" spans="1:6" x14ac:dyDescent="0.2">
      <c r="A15014" t="s">
        <v>25076</v>
      </c>
      <c r="B15014" t="s">
        <v>25078</v>
      </c>
      <c r="C15014" t="s">
        <v>1310</v>
      </c>
      <c r="D15014" t="s">
        <v>267</v>
      </c>
      <c r="E15014" t="s">
        <v>158</v>
      </c>
      <c r="F15014" s="2" t="str">
        <f>HYPERLINK("http://www.otzar.org/book.asp?18778","חזון ישעיהו")</f>
        <v>חזון ישעיהו</v>
      </c>
    </row>
    <row r="15015" spans="1:6" x14ac:dyDescent="0.2">
      <c r="A15015" t="s">
        <v>25076</v>
      </c>
      <c r="B15015" t="s">
        <v>25079</v>
      </c>
      <c r="C15015" t="s">
        <v>940</v>
      </c>
      <c r="D15015" t="s">
        <v>412</v>
      </c>
      <c r="E15015" t="s">
        <v>25080</v>
      </c>
      <c r="F15015" s="2" t="str">
        <f>HYPERLINK("http://www.otzar.org/book.asp?189097","חזון ישעיהו")</f>
        <v>חזון ישעיהו</v>
      </c>
    </row>
    <row r="15016" spans="1:6" x14ac:dyDescent="0.2">
      <c r="A15016" t="s">
        <v>25076</v>
      </c>
      <c r="B15016" t="s">
        <v>25081</v>
      </c>
      <c r="C15016" t="s">
        <v>25082</v>
      </c>
      <c r="D15016" t="s">
        <v>379</v>
      </c>
      <c r="E15016" t="s">
        <v>158</v>
      </c>
      <c r="F15016" s="2" t="str">
        <f>HYPERLINK("http://www.otzar.org/book.asp?149384","חזון ישעיהו")</f>
        <v>חזון ישעיהו</v>
      </c>
    </row>
    <row r="15017" spans="1:6" x14ac:dyDescent="0.2">
      <c r="A15017" t="s">
        <v>25083</v>
      </c>
      <c r="B15017" t="s">
        <v>20990</v>
      </c>
      <c r="C15017" t="s">
        <v>17</v>
      </c>
      <c r="D15017" t="s">
        <v>14</v>
      </c>
      <c r="E15017" t="s">
        <v>104</v>
      </c>
      <c r="F15017" s="2" t="str">
        <f>HYPERLINK("http://www.otzar.org/book.asp?155978","חזון למועד &lt;מהדורה חדשה&gt;")</f>
        <v>חזון למועד &lt;מהדורה חדשה&gt;</v>
      </c>
    </row>
    <row r="15018" spans="1:6" x14ac:dyDescent="0.2">
      <c r="A15018" t="s">
        <v>25084</v>
      </c>
      <c r="B15018" t="s">
        <v>25085</v>
      </c>
      <c r="C15018" t="s">
        <v>1202</v>
      </c>
      <c r="D15018" t="s">
        <v>610</v>
      </c>
      <c r="E15018" t="s">
        <v>930</v>
      </c>
      <c r="F15018" s="2" t="str">
        <f>HYPERLINK("http://www.otzar.org/book.asp?5843","חזון למועד")</f>
        <v>חזון למועד</v>
      </c>
    </row>
    <row r="15019" spans="1:6" x14ac:dyDescent="0.2">
      <c r="A15019" t="s">
        <v>25086</v>
      </c>
      <c r="B15019" t="s">
        <v>24194</v>
      </c>
      <c r="C15019" t="s">
        <v>106</v>
      </c>
      <c r="D15019" t="s">
        <v>14</v>
      </c>
      <c r="E15019" t="s">
        <v>15</v>
      </c>
      <c r="F15019" s="2" t="str">
        <f>HYPERLINK("http://www.otzar.org/book.asp?14227","חזון למועד - הלכות שמחות")</f>
        <v>חזון למועד - הלכות שמחות</v>
      </c>
    </row>
    <row r="15020" spans="1:6" x14ac:dyDescent="0.2">
      <c r="A15020" t="s">
        <v>25084</v>
      </c>
      <c r="B15020" t="s">
        <v>25087</v>
      </c>
      <c r="C15020" t="s">
        <v>25088</v>
      </c>
      <c r="D15020" t="s">
        <v>49</v>
      </c>
      <c r="E15020" t="s">
        <v>158</v>
      </c>
      <c r="F15020" s="2" t="str">
        <f>HYPERLINK("http://www.otzar.org/book.asp?24469","חזון למועד")</f>
        <v>חזון למועד</v>
      </c>
    </row>
    <row r="15021" spans="1:6" x14ac:dyDescent="0.2">
      <c r="A15021" t="s">
        <v>25084</v>
      </c>
      <c r="B15021" t="s">
        <v>20990</v>
      </c>
      <c r="C15021" t="s">
        <v>306</v>
      </c>
      <c r="D15021" t="s">
        <v>6785</v>
      </c>
      <c r="E15021" t="s">
        <v>674</v>
      </c>
      <c r="F15021" s="2" t="str">
        <f>HYPERLINK("http://www.otzar.org/book.asp?18779","חזון למועד")</f>
        <v>חזון למועד</v>
      </c>
    </row>
    <row r="15022" spans="1:6" x14ac:dyDescent="0.2">
      <c r="A15022" t="s">
        <v>25084</v>
      </c>
      <c r="B15022" t="s">
        <v>25089</v>
      </c>
      <c r="C15022" t="s">
        <v>13</v>
      </c>
      <c r="D15022" t="s">
        <v>412</v>
      </c>
      <c r="E15022" t="s">
        <v>15</v>
      </c>
      <c r="F15022" s="2" t="str">
        <f>HYPERLINK("http://www.otzar.org/book.asp?604531","חזון למועד")</f>
        <v>חזון למועד</v>
      </c>
    </row>
    <row r="15023" spans="1:6" x14ac:dyDescent="0.2">
      <c r="A15023" t="s">
        <v>25084</v>
      </c>
      <c r="B15023" t="s">
        <v>17863</v>
      </c>
      <c r="C15023" t="s">
        <v>785</v>
      </c>
      <c r="D15023" t="s">
        <v>2458</v>
      </c>
      <c r="E15023" t="s">
        <v>674</v>
      </c>
      <c r="F15023" s="2" t="str">
        <f>HYPERLINK("http://www.otzar.org/book.asp?148903","חזון למועד")</f>
        <v>חזון למועד</v>
      </c>
    </row>
    <row r="15024" spans="1:6" x14ac:dyDescent="0.2">
      <c r="A15024" t="s">
        <v>25084</v>
      </c>
      <c r="B15024" t="s">
        <v>1923</v>
      </c>
      <c r="C15024" t="s">
        <v>3816</v>
      </c>
      <c r="D15024" t="s">
        <v>1992</v>
      </c>
      <c r="E15024" t="s">
        <v>467</v>
      </c>
      <c r="F15024" s="2" t="str">
        <f>HYPERLINK("http://www.otzar.org/book.asp?141003","חזון למועד")</f>
        <v>חזון למועד</v>
      </c>
    </row>
    <row r="15025" spans="1:6" x14ac:dyDescent="0.2">
      <c r="A15025" t="s">
        <v>25090</v>
      </c>
      <c r="B15025" t="s">
        <v>25091</v>
      </c>
      <c r="C15025" t="s">
        <v>129</v>
      </c>
      <c r="D15025" t="s">
        <v>14</v>
      </c>
      <c r="E15025" t="s">
        <v>467</v>
      </c>
      <c r="F15025" s="2" t="str">
        <f>HYPERLINK("http://www.otzar.org/book.asp?60288","חזון למועד - 5 כר'")</f>
        <v>חזון למועד - 5 כר'</v>
      </c>
    </row>
    <row r="15026" spans="1:6" x14ac:dyDescent="0.2">
      <c r="A15026" t="s">
        <v>25092</v>
      </c>
      <c r="B15026" t="s">
        <v>1923</v>
      </c>
      <c r="C15026" t="s">
        <v>37</v>
      </c>
      <c r="D15026" t="s">
        <v>1180</v>
      </c>
      <c r="E15026" t="s">
        <v>246</v>
      </c>
      <c r="F15026" s="2" t="str">
        <f>HYPERLINK("http://www.otzar.org/book.asp?193725","חזון למועד, עולת חודש - א &lt;מהדורה חדשה&gt;")</f>
        <v>חזון למועד, עולת חודש - א &lt;מהדורה חדשה&gt;</v>
      </c>
    </row>
    <row r="15027" spans="1:6" x14ac:dyDescent="0.2">
      <c r="A15027" t="s">
        <v>25093</v>
      </c>
      <c r="B15027" t="s">
        <v>25094</v>
      </c>
      <c r="C15027" t="s">
        <v>5903</v>
      </c>
      <c r="D15027" t="s">
        <v>739</v>
      </c>
      <c r="E15027" t="s">
        <v>119</v>
      </c>
      <c r="F15027" s="2" t="str">
        <f>HYPERLINK("http://www.otzar.org/book.asp?63857","חזון נחום")</f>
        <v>חזון נחום</v>
      </c>
    </row>
    <row r="15028" spans="1:6" x14ac:dyDescent="0.2">
      <c r="A15028" t="s">
        <v>25095</v>
      </c>
      <c r="B15028" t="s">
        <v>25096</v>
      </c>
      <c r="C15028" t="s">
        <v>3840</v>
      </c>
      <c r="D15028" t="s">
        <v>9</v>
      </c>
      <c r="E15028" t="s">
        <v>791</v>
      </c>
      <c r="F15028" s="2" t="str">
        <f>HYPERLINK("http://www.otzar.org/book.asp?8081","חזון נחום - 2 כר'")</f>
        <v>חזון נחום - 2 כר'</v>
      </c>
    </row>
    <row r="15029" spans="1:6" x14ac:dyDescent="0.2">
      <c r="A15029" t="s">
        <v>25097</v>
      </c>
      <c r="B15029" t="s">
        <v>25093</v>
      </c>
      <c r="C15029" t="s">
        <v>1811</v>
      </c>
      <c r="D15029" t="s">
        <v>52</v>
      </c>
      <c r="E15029" t="s">
        <v>22513</v>
      </c>
      <c r="F15029" s="2" t="str">
        <f>HYPERLINK("http://www.otzar.org/book.asp?5374","חזון נחום - שביעית תרומות")</f>
        <v>חזון נחום - שביעית תרומות</v>
      </c>
    </row>
    <row r="15030" spans="1:6" x14ac:dyDescent="0.2">
      <c r="A15030" t="s">
        <v>25098</v>
      </c>
      <c r="B15030" t="s">
        <v>25099</v>
      </c>
      <c r="C15030" t="s">
        <v>313</v>
      </c>
      <c r="D15030" t="s">
        <v>14</v>
      </c>
      <c r="E15030" t="s">
        <v>84</v>
      </c>
      <c r="F15030" s="2" t="str">
        <f>HYPERLINK("http://www.otzar.org/book.asp?149465","חזון נחום - 5 כר'")</f>
        <v>חזון נחום - 5 כר'</v>
      </c>
    </row>
    <row r="15031" spans="1:6" x14ac:dyDescent="0.2">
      <c r="A15031" t="s">
        <v>25100</v>
      </c>
      <c r="B15031" t="s">
        <v>2396</v>
      </c>
      <c r="C15031" t="s">
        <v>114</v>
      </c>
      <c r="D15031" t="s">
        <v>1076</v>
      </c>
      <c r="E15031" t="s">
        <v>144</v>
      </c>
      <c r="F15031" s="2" t="str">
        <f>HYPERLINK("http://www.otzar.org/book.asp?165284","חזון נחום - 3 כר'")</f>
        <v>חזון נחום - 3 כר'</v>
      </c>
    </row>
    <row r="15032" spans="1:6" x14ac:dyDescent="0.2">
      <c r="A15032" t="s">
        <v>25093</v>
      </c>
      <c r="B15032" t="s">
        <v>25101</v>
      </c>
      <c r="C15032" t="s">
        <v>25102</v>
      </c>
      <c r="D15032" t="s">
        <v>592</v>
      </c>
      <c r="E15032" t="s">
        <v>104</v>
      </c>
      <c r="F15032" s="2" t="str">
        <f>HYPERLINK("http://www.otzar.org/book.asp?625986","חזון נחום")</f>
        <v>חזון נחום</v>
      </c>
    </row>
    <row r="15033" spans="1:6" x14ac:dyDescent="0.2">
      <c r="A15033" t="s">
        <v>25093</v>
      </c>
      <c r="B15033" t="s">
        <v>25103</v>
      </c>
      <c r="C15033" t="s">
        <v>624</v>
      </c>
      <c r="D15033" t="s">
        <v>52</v>
      </c>
      <c r="E15033" t="s">
        <v>463</v>
      </c>
      <c r="F15033" s="2" t="str">
        <f>HYPERLINK("http://www.otzar.org/book.asp?105986","חזון נחום")</f>
        <v>חזון נחום</v>
      </c>
    </row>
    <row r="15034" spans="1:6" x14ac:dyDescent="0.2">
      <c r="A15034" t="s">
        <v>25104</v>
      </c>
      <c r="B15034" t="s">
        <v>25105</v>
      </c>
      <c r="C15034" t="s">
        <v>1047</v>
      </c>
      <c r="D15034" t="s">
        <v>283</v>
      </c>
      <c r="E15034" t="s">
        <v>219</v>
      </c>
      <c r="F15034" s="2" t="str">
        <f>HYPERLINK("http://www.otzar.org/book.asp?84141","חזון עובדי'")</f>
        <v>חזון עובדי'</v>
      </c>
    </row>
    <row r="15035" spans="1:6" x14ac:dyDescent="0.2">
      <c r="A15035" t="s">
        <v>25106</v>
      </c>
      <c r="B15035" t="s">
        <v>732</v>
      </c>
      <c r="C15035" t="s">
        <v>812</v>
      </c>
      <c r="D15035" t="s">
        <v>27</v>
      </c>
      <c r="E15035" t="s">
        <v>119</v>
      </c>
      <c r="F15035" s="2" t="str">
        <f>HYPERLINK("http://www.otzar.org/book.asp?188638","חזון עובדיה - רבנו עובדיה ירא מברטנורא")</f>
        <v>חזון עובדיה - רבנו עובדיה ירא מברטנורא</v>
      </c>
    </row>
    <row r="15036" spans="1:6" x14ac:dyDescent="0.2">
      <c r="A15036" t="s">
        <v>25107</v>
      </c>
      <c r="B15036" t="s">
        <v>25108</v>
      </c>
      <c r="C15036" t="s">
        <v>9946</v>
      </c>
      <c r="D15036" t="s">
        <v>76</v>
      </c>
      <c r="E15036" t="s">
        <v>84</v>
      </c>
      <c r="F15036" s="2" t="str">
        <f>HYPERLINK("http://www.otzar.org/book.asp?50890","חזון עובדיה")</f>
        <v>חזון עובדיה</v>
      </c>
    </row>
    <row r="15037" spans="1:6" x14ac:dyDescent="0.2">
      <c r="A15037" t="s">
        <v>25107</v>
      </c>
      <c r="B15037" t="s">
        <v>25109</v>
      </c>
      <c r="C15037" t="s">
        <v>6062</v>
      </c>
      <c r="D15037" t="s">
        <v>212</v>
      </c>
      <c r="E15037" t="s">
        <v>1880</v>
      </c>
      <c r="F15037" s="2" t="str">
        <f>HYPERLINK("http://www.otzar.org/book.asp?18780","חזון עובדיה")</f>
        <v>חזון עובדיה</v>
      </c>
    </row>
    <row r="15038" spans="1:6" x14ac:dyDescent="0.2">
      <c r="A15038" t="s">
        <v>25107</v>
      </c>
      <c r="B15038" t="s">
        <v>25110</v>
      </c>
      <c r="C15038" t="s">
        <v>25111</v>
      </c>
      <c r="D15038" t="s">
        <v>212</v>
      </c>
      <c r="E15038" t="s">
        <v>234</v>
      </c>
      <c r="F15038" s="2" t="str">
        <f>HYPERLINK("http://www.otzar.org/book.asp?83645","חזון עובדיה")</f>
        <v>חזון עובדיה</v>
      </c>
    </row>
    <row r="15039" spans="1:6" x14ac:dyDescent="0.2">
      <c r="A15039" t="s">
        <v>25112</v>
      </c>
      <c r="B15039" t="s">
        <v>25113</v>
      </c>
      <c r="C15039" t="s">
        <v>17</v>
      </c>
      <c r="D15039" t="s">
        <v>21</v>
      </c>
      <c r="F15039" s="2" t="str">
        <f>HYPERLINK("http://www.otzar.org/book.asp?615564","חזון קדומים")</f>
        <v>חזון קדומים</v>
      </c>
    </row>
    <row r="15040" spans="1:6" x14ac:dyDescent="0.2">
      <c r="A15040" t="s">
        <v>25114</v>
      </c>
      <c r="B15040" t="s">
        <v>25115</v>
      </c>
      <c r="C15040" t="s">
        <v>114</v>
      </c>
      <c r="D15040" t="s">
        <v>21</v>
      </c>
      <c r="E15040" t="s">
        <v>202</v>
      </c>
      <c r="F15040" s="2" t="str">
        <f>HYPERLINK("http://www.otzar.org/book.asp?605069","חזון רפאל")</f>
        <v>חזון רפאל</v>
      </c>
    </row>
    <row r="15041" spans="1:6" x14ac:dyDescent="0.2">
      <c r="A15041" t="s">
        <v>25116</v>
      </c>
      <c r="B15041" t="s">
        <v>25117</v>
      </c>
      <c r="C15041" t="s">
        <v>698</v>
      </c>
      <c r="D15041" t="s">
        <v>9</v>
      </c>
      <c r="E15041" t="s">
        <v>901</v>
      </c>
      <c r="F15041" s="2" t="str">
        <f>HYPERLINK("http://www.otzar.org/book.asp?50891","חזון שמואל - 2 כר'")</f>
        <v>חזון שמואל - 2 כר'</v>
      </c>
    </row>
    <row r="15042" spans="1:6" x14ac:dyDescent="0.2">
      <c r="A15042" t="s">
        <v>25118</v>
      </c>
      <c r="B15042" t="s">
        <v>25119</v>
      </c>
      <c r="C15042" t="s">
        <v>454</v>
      </c>
      <c r="D15042" t="s">
        <v>486</v>
      </c>
      <c r="E15042" t="s">
        <v>463</v>
      </c>
      <c r="F15042" s="2" t="str">
        <f>HYPERLINK("http://www.otzar.org/book.asp?53254","חזון שמואל")</f>
        <v>חזון שמואל</v>
      </c>
    </row>
    <row r="15043" spans="1:6" x14ac:dyDescent="0.2">
      <c r="A15043" t="s">
        <v>25120</v>
      </c>
      <c r="B15043" t="s">
        <v>25121</v>
      </c>
      <c r="C15043" t="s">
        <v>143</v>
      </c>
      <c r="D15043" t="s">
        <v>118</v>
      </c>
      <c r="E15043" t="s">
        <v>674</v>
      </c>
      <c r="F15043" s="2" t="str">
        <f>HYPERLINK("http://www.otzar.org/book.asp?12690","חזון שמים")</f>
        <v>חזון שמים</v>
      </c>
    </row>
    <row r="15044" spans="1:6" x14ac:dyDescent="0.2">
      <c r="A15044" t="s">
        <v>25122</v>
      </c>
      <c r="B15044" t="s">
        <v>25123</v>
      </c>
      <c r="C15044" t="s">
        <v>25124</v>
      </c>
      <c r="D15044" t="s">
        <v>25125</v>
      </c>
      <c r="F15044" s="2" t="str">
        <f>HYPERLINK("http://www.otzar.org/book.asp?620057","חזוק אמונה &lt;עברית וגרמנית&gt;")</f>
        <v>חזוק אמונה &lt;עברית וגרמנית&gt;</v>
      </c>
    </row>
    <row r="15045" spans="1:6" x14ac:dyDescent="0.2">
      <c r="A15045" t="s">
        <v>25126</v>
      </c>
      <c r="B15045" t="s">
        <v>25123</v>
      </c>
      <c r="C15045" t="s">
        <v>950</v>
      </c>
      <c r="D15045" t="s">
        <v>25127</v>
      </c>
      <c r="E15045" t="s">
        <v>241</v>
      </c>
      <c r="F15045" s="2" t="str">
        <f>HYPERLINK("http://www.otzar.org/book.asp?195904","חזוק אמונה &lt;עם תרגום גרמנית&gt;")</f>
        <v>חזוק אמונה &lt;עם תרגום גרמנית&gt;</v>
      </c>
    </row>
    <row r="15046" spans="1:6" x14ac:dyDescent="0.2">
      <c r="A15046" t="s">
        <v>25128</v>
      </c>
      <c r="B15046" t="s">
        <v>4015</v>
      </c>
      <c r="C15046" t="s">
        <v>99</v>
      </c>
      <c r="D15046" t="s">
        <v>25129</v>
      </c>
      <c r="F15046" s="2" t="str">
        <f>HYPERLINK("http://www.otzar.org/book.asp?620624","חזוק אמונה")</f>
        <v>חזוק אמונה</v>
      </c>
    </row>
    <row r="15047" spans="1:6" x14ac:dyDescent="0.2">
      <c r="A15047" t="s">
        <v>25130</v>
      </c>
      <c r="B15047" t="s">
        <v>25131</v>
      </c>
      <c r="C15047" t="s">
        <v>189</v>
      </c>
      <c r="D15047" t="s">
        <v>90</v>
      </c>
      <c r="F15047" s="2" t="str">
        <f>HYPERLINK("http://www.otzar.org/book.asp?182053","חזות קשה &lt;מהדורה חדשה&gt;")</f>
        <v>חזות קשה &lt;מהדורה חדשה&gt;</v>
      </c>
    </row>
    <row r="15048" spans="1:6" x14ac:dyDescent="0.2">
      <c r="A15048" t="s">
        <v>25132</v>
      </c>
      <c r="B15048" t="s">
        <v>25131</v>
      </c>
      <c r="C15048" t="s">
        <v>37</v>
      </c>
      <c r="D15048" t="s">
        <v>14</v>
      </c>
      <c r="F15048" s="2" t="str">
        <f>HYPERLINK("http://www.otzar.org/book.asp?198078","חזות קשה &lt;מהדורת יד הרב נסים&gt;")</f>
        <v>חזות קשה &lt;מהדורת יד הרב נסים&gt;</v>
      </c>
    </row>
    <row r="15049" spans="1:6" x14ac:dyDescent="0.2">
      <c r="A15049" t="s">
        <v>25133</v>
      </c>
      <c r="B15049" t="s">
        <v>25131</v>
      </c>
      <c r="C15049" t="s">
        <v>23</v>
      </c>
      <c r="D15049" t="s">
        <v>367</v>
      </c>
      <c r="E15049" t="s">
        <v>213</v>
      </c>
      <c r="F15049" s="2" t="str">
        <f>HYPERLINK("http://www.otzar.org/book.asp?621294","חזות קשה - 2 כר'")</f>
        <v>חזות קשה - 2 כר'</v>
      </c>
    </row>
    <row r="15050" spans="1:6" x14ac:dyDescent="0.2">
      <c r="A15050" t="s">
        <v>25134</v>
      </c>
      <c r="B15050" t="s">
        <v>25135</v>
      </c>
      <c r="C15050" t="s">
        <v>1124</v>
      </c>
      <c r="D15050" t="s">
        <v>283</v>
      </c>
      <c r="E15050" t="s">
        <v>1211</v>
      </c>
      <c r="F15050" s="2" t="str">
        <f>HYPERLINK("http://www.otzar.org/book.asp?104855","חזות קשות")</f>
        <v>חזות קשות</v>
      </c>
    </row>
    <row r="15051" spans="1:6" x14ac:dyDescent="0.2">
      <c r="A15051" t="s">
        <v>25136</v>
      </c>
      <c r="B15051" t="s">
        <v>14030</v>
      </c>
      <c r="C15051" t="s">
        <v>649</v>
      </c>
      <c r="D15051" t="s">
        <v>9</v>
      </c>
      <c r="E15051" t="s">
        <v>474</v>
      </c>
      <c r="F15051" s="2" t="str">
        <f>HYPERLINK("http://www.otzar.org/book.asp?102431","חזיונות אברהם")</f>
        <v>חזיונות אברהם</v>
      </c>
    </row>
    <row r="15052" spans="1:6" x14ac:dyDescent="0.2">
      <c r="A15052" t="s">
        <v>25137</v>
      </c>
      <c r="B15052" t="s">
        <v>16970</v>
      </c>
      <c r="C15052" t="s">
        <v>1166</v>
      </c>
      <c r="D15052" t="s">
        <v>56</v>
      </c>
      <c r="E15052" t="s">
        <v>234</v>
      </c>
      <c r="F15052" s="2" t="str">
        <f>HYPERLINK("http://www.otzar.org/book.asp?103022","חזיונות הרמ""ה")</f>
        <v>חזיונות הרמ"ה</v>
      </c>
    </row>
    <row r="15053" spans="1:6" x14ac:dyDescent="0.2">
      <c r="A15053" t="s">
        <v>25138</v>
      </c>
      <c r="B15053" t="s">
        <v>25139</v>
      </c>
      <c r="C15053" t="s">
        <v>482</v>
      </c>
      <c r="D15053" t="s">
        <v>986</v>
      </c>
      <c r="E15053" t="s">
        <v>11347</v>
      </c>
      <c r="F15053" s="2" t="str">
        <f>HYPERLINK("http://www.otzar.org/book.asp?103186","חזיונות יוסף")</f>
        <v>חזיונות יוסף</v>
      </c>
    </row>
    <row r="15054" spans="1:6" x14ac:dyDescent="0.2">
      <c r="A15054" t="s">
        <v>25140</v>
      </c>
      <c r="B15054" t="s">
        <v>25141</v>
      </c>
      <c r="C15054" t="s">
        <v>558</v>
      </c>
      <c r="D15054" t="s">
        <v>225</v>
      </c>
      <c r="E15054" t="s">
        <v>16980</v>
      </c>
      <c r="F15054" s="2" t="str">
        <f>HYPERLINK("http://www.otzar.org/book.asp?108361","חזן אש")</f>
        <v>חזן אש</v>
      </c>
    </row>
    <row r="15055" spans="1:6" x14ac:dyDescent="0.2">
      <c r="A15055" t="s">
        <v>25142</v>
      </c>
      <c r="B15055" t="s">
        <v>25143</v>
      </c>
      <c r="C15055" t="s">
        <v>411</v>
      </c>
      <c r="D15055" t="s">
        <v>14</v>
      </c>
      <c r="E15055" t="s">
        <v>119</v>
      </c>
      <c r="F15055" s="2" t="str">
        <f>HYPERLINK("http://www.otzar.org/book.asp?166466","חזן נעים זמירות - תולדות רבצ""מ חזן")</f>
        <v>חזן נעים זמירות - תולדות רבצ"מ חזן</v>
      </c>
    </row>
    <row r="15056" spans="1:6" x14ac:dyDescent="0.2">
      <c r="A15056" t="s">
        <v>25144</v>
      </c>
      <c r="B15056" t="s">
        <v>25145</v>
      </c>
      <c r="C15056" t="s">
        <v>143</v>
      </c>
      <c r="D15056" t="s">
        <v>52</v>
      </c>
      <c r="E15056" t="s">
        <v>241</v>
      </c>
      <c r="F15056" s="2" t="str">
        <f>HYPERLINK("http://www.otzar.org/book.asp?142954","חזק ויאמץ לבך")</f>
        <v>חזק ויאמץ לבך</v>
      </c>
    </row>
    <row r="15057" spans="1:6" x14ac:dyDescent="0.2">
      <c r="A15057" t="s">
        <v>25146</v>
      </c>
      <c r="B15057" t="s">
        <v>25147</v>
      </c>
      <c r="C15057" t="s">
        <v>114</v>
      </c>
      <c r="D15057" t="s">
        <v>412</v>
      </c>
      <c r="E15057" t="s">
        <v>144</v>
      </c>
      <c r="F15057" s="2" t="str">
        <f>HYPERLINK("http://www.otzar.org/book.asp?162800","חזק ונתחזק - חזקת הבתים")</f>
        <v>חזק ונתחזק - חזקת הבתים</v>
      </c>
    </row>
    <row r="15058" spans="1:6" x14ac:dyDescent="0.2">
      <c r="A15058" t="s">
        <v>25148</v>
      </c>
      <c r="B15058" t="s">
        <v>25149</v>
      </c>
      <c r="C15058" t="s">
        <v>550</v>
      </c>
      <c r="D15058" t="s">
        <v>5209</v>
      </c>
      <c r="E15058" t="s">
        <v>15</v>
      </c>
      <c r="F15058" s="2" t="str">
        <f>HYPERLINK("http://www.otzar.org/book.asp?84110","חזק יד")</f>
        <v>חזק יד</v>
      </c>
    </row>
    <row r="15059" spans="1:6" x14ac:dyDescent="0.2">
      <c r="A15059" t="s">
        <v>25150</v>
      </c>
      <c r="B15059" t="s">
        <v>19638</v>
      </c>
      <c r="C15059" t="s">
        <v>25151</v>
      </c>
      <c r="D15059" t="s">
        <v>1037</v>
      </c>
      <c r="E15059" t="s">
        <v>172</v>
      </c>
      <c r="F15059" s="2" t="str">
        <f>HYPERLINK("http://www.otzar.org/book.asp?5543","חזקה רבה - 12 כר'")</f>
        <v>חזקה רבה - 12 כר'</v>
      </c>
    </row>
    <row r="15060" spans="1:6" x14ac:dyDescent="0.2">
      <c r="A15060" t="s">
        <v>25152</v>
      </c>
      <c r="B15060" t="s">
        <v>25153</v>
      </c>
      <c r="C15060" t="s">
        <v>156</v>
      </c>
      <c r="D15060" t="s">
        <v>56</v>
      </c>
      <c r="E15060" t="s">
        <v>158</v>
      </c>
      <c r="F15060" s="2" t="str">
        <f>HYPERLINK("http://www.otzar.org/book.asp?6722","חזקוני - 4 כר'")</f>
        <v>חזקוני - 4 כר'</v>
      </c>
    </row>
    <row r="15061" spans="1:6" x14ac:dyDescent="0.2">
      <c r="A15061" t="s">
        <v>25154</v>
      </c>
      <c r="B15061" t="s">
        <v>25155</v>
      </c>
      <c r="C15061" t="s">
        <v>143</v>
      </c>
      <c r="D15061" t="s">
        <v>2375</v>
      </c>
      <c r="E15061" t="s">
        <v>84</v>
      </c>
      <c r="F15061" s="2" t="str">
        <f>HYPERLINK("http://www.otzar.org/book.asp?148924","חזקת אבות")</f>
        <v>חזקת אבות</v>
      </c>
    </row>
    <row r="15062" spans="1:6" x14ac:dyDescent="0.2">
      <c r="A15062" t="s">
        <v>25156</v>
      </c>
      <c r="B15062" t="s">
        <v>25157</v>
      </c>
      <c r="C15062" t="s">
        <v>422</v>
      </c>
      <c r="D15062" t="s">
        <v>486</v>
      </c>
      <c r="E15062" t="s">
        <v>154</v>
      </c>
      <c r="F15062" s="2" t="str">
        <f>HYPERLINK("http://www.otzar.org/book.asp?627831","חזקת אהרן")</f>
        <v>חזקת אהרן</v>
      </c>
    </row>
    <row r="15063" spans="1:6" x14ac:dyDescent="0.2">
      <c r="A15063" t="s">
        <v>25158</v>
      </c>
      <c r="B15063" t="s">
        <v>25159</v>
      </c>
      <c r="C15063" t="s">
        <v>244</v>
      </c>
      <c r="D15063" t="s">
        <v>3750</v>
      </c>
      <c r="E15063" t="s">
        <v>144</v>
      </c>
      <c r="F15063" s="2" t="str">
        <f>HYPERLINK("http://www.otzar.org/book.asp?196727","חזקת הבתים - בבא בתרא פ""ג")</f>
        <v>חזקת הבתים - בבא בתרא פ"ג</v>
      </c>
    </row>
    <row r="15064" spans="1:6" x14ac:dyDescent="0.2">
      <c r="A15064" t="s">
        <v>25160</v>
      </c>
      <c r="B15064" t="s">
        <v>25161</v>
      </c>
      <c r="C15064" t="s">
        <v>189</v>
      </c>
      <c r="D15064" t="s">
        <v>14</v>
      </c>
      <c r="E15064" t="s">
        <v>144</v>
      </c>
      <c r="F15064" s="2" t="str">
        <f>HYPERLINK("http://www.otzar.org/book.asp?161204","חזקת המטלטלין")</f>
        <v>חזקת המטלטלין</v>
      </c>
    </row>
    <row r="15065" spans="1:6" x14ac:dyDescent="0.2">
      <c r="A15065" t="s">
        <v>25162</v>
      </c>
      <c r="B15065" t="s">
        <v>25163</v>
      </c>
      <c r="C15065" t="s">
        <v>366</v>
      </c>
      <c r="D15065" t="s">
        <v>52</v>
      </c>
      <c r="F15065" s="2" t="str">
        <f>HYPERLINK("http://www.otzar.org/book.asp?622953","חזקת השילוש")</f>
        <v>חזקת השילוש</v>
      </c>
    </row>
    <row r="15066" spans="1:6" x14ac:dyDescent="0.2">
      <c r="A15066" t="s">
        <v>25164</v>
      </c>
      <c r="B15066" t="s">
        <v>4396</v>
      </c>
      <c r="C15066" t="s">
        <v>133</v>
      </c>
      <c r="D15066" t="s">
        <v>14</v>
      </c>
      <c r="E15066" t="s">
        <v>786</v>
      </c>
      <c r="F15066" s="2" t="str">
        <f>HYPERLINK("http://www.otzar.org/book.asp?180774","חזקת טהרה - 2 כר'")</f>
        <v>חזקת טהרה - 2 כר'</v>
      </c>
    </row>
    <row r="15067" spans="1:6" x14ac:dyDescent="0.2">
      <c r="A15067" t="s">
        <v>25165</v>
      </c>
      <c r="B15067" t="s">
        <v>14489</v>
      </c>
      <c r="C15067" t="s">
        <v>1448</v>
      </c>
      <c r="D15067" t="s">
        <v>412</v>
      </c>
      <c r="E15067" t="s">
        <v>148</v>
      </c>
      <c r="F15067" s="2" t="str">
        <f>HYPERLINK("http://www.otzar.org/book.asp?152870","חזקת טהרה")</f>
        <v>חזקת טהרה</v>
      </c>
    </row>
    <row r="15068" spans="1:6" x14ac:dyDescent="0.2">
      <c r="A15068" t="s">
        <v>25165</v>
      </c>
      <c r="B15068" t="s">
        <v>25166</v>
      </c>
      <c r="C15068" t="s">
        <v>180</v>
      </c>
      <c r="D15068" t="s">
        <v>14</v>
      </c>
      <c r="E15068" t="s">
        <v>15</v>
      </c>
      <c r="F15068" s="2" t="str">
        <f>HYPERLINK("http://www.otzar.org/book.asp?15474","חזקת טהרה")</f>
        <v>חזקת טהרה</v>
      </c>
    </row>
    <row r="15069" spans="1:6" x14ac:dyDescent="0.2">
      <c r="A15069" t="s">
        <v>25167</v>
      </c>
      <c r="B15069" t="s">
        <v>25168</v>
      </c>
      <c r="C15069" t="s">
        <v>23</v>
      </c>
      <c r="D15069" t="s">
        <v>1180</v>
      </c>
      <c r="F15069" s="2" t="str">
        <f>HYPERLINK("http://www.otzar.org/book.asp?606134","חזרה ברורה - 3 כר'")</f>
        <v>חזרה ברורה - 3 כר'</v>
      </c>
    </row>
    <row r="15070" spans="1:6" x14ac:dyDescent="0.2">
      <c r="A15070" t="s">
        <v>25169</v>
      </c>
      <c r="B15070" t="s">
        <v>25170</v>
      </c>
      <c r="C15070" t="s">
        <v>37</v>
      </c>
      <c r="D15070" t="s">
        <v>80</v>
      </c>
      <c r="E15070" t="s">
        <v>144</v>
      </c>
      <c r="F15070" s="2" t="str">
        <f>HYPERLINK("http://www.otzar.org/book.asp?601198","חזרת רבית")</f>
        <v>חזרת רבית</v>
      </c>
    </row>
    <row r="15071" spans="1:6" x14ac:dyDescent="0.2">
      <c r="A15071" t="s">
        <v>25171</v>
      </c>
      <c r="B15071" t="s">
        <v>25172</v>
      </c>
      <c r="C15071" t="s">
        <v>523</v>
      </c>
      <c r="D15071" t="s">
        <v>52</v>
      </c>
      <c r="E15071" t="s">
        <v>234</v>
      </c>
      <c r="F15071" s="2" t="str">
        <f>HYPERLINK("http://www.otzar.org/book.asp?168230","חח ונזם - 4 כר'")</f>
        <v>חח ונזם - 4 כר'</v>
      </c>
    </row>
    <row r="15072" spans="1:6" x14ac:dyDescent="0.2">
      <c r="A15072" t="s">
        <v>25173</v>
      </c>
      <c r="B15072" t="s">
        <v>25174</v>
      </c>
      <c r="C15072" t="s">
        <v>37</v>
      </c>
      <c r="D15072" t="s">
        <v>14</v>
      </c>
      <c r="E15072" t="s">
        <v>6975</v>
      </c>
      <c r="F15072" s="2" t="str">
        <f>HYPERLINK("http://www.otzar.org/book.asp?181857","חח ונזם")</f>
        <v>חח ונזם</v>
      </c>
    </row>
    <row r="15073" spans="1:6" x14ac:dyDescent="0.2">
      <c r="A15073" t="s">
        <v>25175</v>
      </c>
      <c r="B15073" t="s">
        <v>25176</v>
      </c>
      <c r="C15073" t="s">
        <v>129</v>
      </c>
      <c r="D15073" t="s">
        <v>147</v>
      </c>
      <c r="E15073" t="s">
        <v>158</v>
      </c>
      <c r="F15073" s="2" t="str">
        <f>HYPERLINK("http://www.otzar.org/book.asp?141812","חי אלף עולמות")</f>
        <v>חי אלף עולמות</v>
      </c>
    </row>
    <row r="15074" spans="1:6" x14ac:dyDescent="0.2">
      <c r="A15074" t="s">
        <v>25177</v>
      </c>
      <c r="B15074" t="s">
        <v>1602</v>
      </c>
      <c r="C15074" t="s">
        <v>37</v>
      </c>
      <c r="D15074" t="s">
        <v>14</v>
      </c>
      <c r="E15074" t="s">
        <v>241</v>
      </c>
      <c r="F15074" s="2" t="str">
        <f>HYPERLINK("http://www.otzar.org/book.asp?196859","חי באמונה")</f>
        <v>חי באמונה</v>
      </c>
    </row>
    <row r="15075" spans="1:6" x14ac:dyDescent="0.2">
      <c r="A15075" t="s">
        <v>25178</v>
      </c>
      <c r="B15075" t="s">
        <v>1602</v>
      </c>
      <c r="C15075" t="s">
        <v>23</v>
      </c>
      <c r="D15075" t="s">
        <v>14</v>
      </c>
      <c r="E15075" t="s">
        <v>241</v>
      </c>
      <c r="F15075" s="2" t="str">
        <f>HYPERLINK("http://www.otzar.org/book.asp?196857","חי בבטחון")</f>
        <v>חי בבטחון</v>
      </c>
    </row>
    <row r="15076" spans="1:6" x14ac:dyDescent="0.2">
      <c r="A15076" t="s">
        <v>25179</v>
      </c>
      <c r="B15076" t="s">
        <v>1602</v>
      </c>
      <c r="C15076" t="s">
        <v>244</v>
      </c>
      <c r="D15076" t="s">
        <v>14</v>
      </c>
      <c r="E15076" t="s">
        <v>241</v>
      </c>
      <c r="F15076" s="2" t="str">
        <f>HYPERLINK("http://www.otzar.org/book.asp?605995","חי בגאולה")</f>
        <v>חי בגאולה</v>
      </c>
    </row>
    <row r="15077" spans="1:6" x14ac:dyDescent="0.2">
      <c r="A15077" t="s">
        <v>25180</v>
      </c>
      <c r="B15077" t="s">
        <v>1602</v>
      </c>
      <c r="C15077" t="s">
        <v>23</v>
      </c>
      <c r="D15077" t="s">
        <v>14</v>
      </c>
      <c r="F15077" s="2" t="str">
        <f>HYPERLINK("http://www.otzar.org/book.asp?618701","חי בגבורה")</f>
        <v>חי בגבורה</v>
      </c>
    </row>
    <row r="15078" spans="1:6" x14ac:dyDescent="0.2">
      <c r="A15078" t="s">
        <v>25181</v>
      </c>
      <c r="B15078" t="s">
        <v>1602</v>
      </c>
      <c r="C15078" t="s">
        <v>23</v>
      </c>
      <c r="D15078" t="s">
        <v>14</v>
      </c>
      <c r="F15078" s="2" t="str">
        <f>HYPERLINK("http://www.otzar.org/book.asp?618691","חי בחסד")</f>
        <v>חי בחסד</v>
      </c>
    </row>
    <row r="15079" spans="1:6" x14ac:dyDescent="0.2">
      <c r="A15079" t="s">
        <v>25182</v>
      </c>
      <c r="B15079" t="s">
        <v>1602</v>
      </c>
      <c r="C15079" t="s">
        <v>23</v>
      </c>
      <c r="D15079" t="s">
        <v>14</v>
      </c>
      <c r="E15079" t="s">
        <v>241</v>
      </c>
      <c r="F15079" s="2" t="str">
        <f>HYPERLINK("http://www.otzar.org/book.asp?606000","חי ביושר")</f>
        <v>חי ביושר</v>
      </c>
    </row>
    <row r="15080" spans="1:6" x14ac:dyDescent="0.2">
      <c r="A15080" t="s">
        <v>25183</v>
      </c>
      <c r="B15080" t="s">
        <v>1602</v>
      </c>
      <c r="C15080" t="s">
        <v>23</v>
      </c>
      <c r="D15080" t="s">
        <v>14</v>
      </c>
      <c r="E15080" t="s">
        <v>241</v>
      </c>
      <c r="F15080" s="2" t="str">
        <f>HYPERLINK("http://www.otzar.org/book.asp?606001","חי ביציבות")</f>
        <v>חי ביציבות</v>
      </c>
    </row>
    <row r="15081" spans="1:6" x14ac:dyDescent="0.2">
      <c r="A15081" t="s">
        <v>25184</v>
      </c>
      <c r="B15081" t="s">
        <v>531</v>
      </c>
      <c r="C15081" t="s">
        <v>402</v>
      </c>
      <c r="D15081" t="s">
        <v>729</v>
      </c>
      <c r="F15081" s="2" t="str">
        <f>HYPERLINK("http://www.otzar.org/book.asp?182084","חי בן מקיץ")</f>
        <v>חי בן מקיץ</v>
      </c>
    </row>
    <row r="15082" spans="1:6" x14ac:dyDescent="0.2">
      <c r="A15082" t="s">
        <v>25185</v>
      </c>
      <c r="B15082" t="s">
        <v>1602</v>
      </c>
      <c r="C15082" t="s">
        <v>23</v>
      </c>
      <c r="D15082" t="s">
        <v>14</v>
      </c>
      <c r="F15082" s="2" t="str">
        <f>HYPERLINK("http://www.otzar.org/book.asp?618702","חי בנצח")</f>
        <v>חי בנצח</v>
      </c>
    </row>
    <row r="15083" spans="1:6" x14ac:dyDescent="0.2">
      <c r="A15083" t="s">
        <v>25186</v>
      </c>
      <c r="B15083" t="s">
        <v>1602</v>
      </c>
      <c r="C15083" t="s">
        <v>23</v>
      </c>
      <c r="D15083" t="s">
        <v>14</v>
      </c>
      <c r="F15083" s="2" t="str">
        <f>HYPERLINK("http://www.otzar.org/book.asp?618692","חי בנצחון")</f>
        <v>חי בנצחון</v>
      </c>
    </row>
    <row r="15084" spans="1:6" x14ac:dyDescent="0.2">
      <c r="A15084" t="s">
        <v>25187</v>
      </c>
      <c r="B15084" t="s">
        <v>1602</v>
      </c>
      <c r="C15084" t="s">
        <v>23</v>
      </c>
      <c r="D15084" t="s">
        <v>14</v>
      </c>
      <c r="F15084" s="2" t="str">
        <f>HYPERLINK("http://www.otzar.org/book.asp?618703","חי בסגולה")</f>
        <v>חי בסגולה</v>
      </c>
    </row>
    <row r="15085" spans="1:6" x14ac:dyDescent="0.2">
      <c r="A15085" t="s">
        <v>25188</v>
      </c>
      <c r="B15085" t="s">
        <v>1602</v>
      </c>
      <c r="C15085" t="s">
        <v>23</v>
      </c>
      <c r="D15085" t="s">
        <v>14</v>
      </c>
      <c r="E15085" t="s">
        <v>3798</v>
      </c>
      <c r="F15085" s="2" t="str">
        <f>HYPERLINK("http://www.otzar.org/book.asp?606002","חי בעונג")</f>
        <v>חי בעונג</v>
      </c>
    </row>
    <row r="15086" spans="1:6" x14ac:dyDescent="0.2">
      <c r="A15086" t="s">
        <v>25189</v>
      </c>
      <c r="B15086" t="s">
        <v>1602</v>
      </c>
      <c r="C15086" t="s">
        <v>23</v>
      </c>
      <c r="D15086" t="s">
        <v>14</v>
      </c>
      <c r="E15086" t="s">
        <v>241</v>
      </c>
      <c r="F15086" s="2" t="str">
        <f>HYPERLINK("http://www.otzar.org/book.asp?606003","חי ברוגע")</f>
        <v>חי ברוגע</v>
      </c>
    </row>
    <row r="15087" spans="1:6" x14ac:dyDescent="0.2">
      <c r="A15087" t="s">
        <v>25190</v>
      </c>
      <c r="B15087" t="s">
        <v>1602</v>
      </c>
      <c r="C15087" t="s">
        <v>23</v>
      </c>
      <c r="D15087" t="s">
        <v>14</v>
      </c>
      <c r="F15087" s="2" t="str">
        <f>HYPERLINK("http://www.otzar.org/book.asp?618693","חי בשלום")</f>
        <v>חי בשלום</v>
      </c>
    </row>
    <row r="15088" spans="1:6" x14ac:dyDescent="0.2">
      <c r="A15088" t="s">
        <v>25191</v>
      </c>
      <c r="B15088" t="s">
        <v>1602</v>
      </c>
      <c r="C15088" t="s">
        <v>244</v>
      </c>
      <c r="D15088" t="s">
        <v>14</v>
      </c>
      <c r="E15088" t="s">
        <v>241</v>
      </c>
      <c r="F15088" s="2" t="str">
        <f>HYPERLINK("http://www.otzar.org/book.asp?605996","חי בשמחה")</f>
        <v>חי בשמחה</v>
      </c>
    </row>
    <row r="15089" spans="1:6" x14ac:dyDescent="0.2">
      <c r="A15089" t="s">
        <v>25192</v>
      </c>
      <c r="B15089" t="s">
        <v>1602</v>
      </c>
      <c r="C15089" t="s">
        <v>244</v>
      </c>
      <c r="D15089" t="s">
        <v>14</v>
      </c>
      <c r="E15089" t="s">
        <v>241</v>
      </c>
      <c r="F15089" s="2" t="str">
        <f>HYPERLINK("http://www.otzar.org/book.asp?605997","חי בשמירה")</f>
        <v>חי בשמירה</v>
      </c>
    </row>
    <row r="15090" spans="1:6" x14ac:dyDescent="0.2">
      <c r="A15090" t="s">
        <v>25193</v>
      </c>
      <c r="B15090" t="s">
        <v>1602</v>
      </c>
      <c r="C15090" t="s">
        <v>244</v>
      </c>
      <c r="D15090" t="s">
        <v>14</v>
      </c>
      <c r="E15090" t="s">
        <v>241</v>
      </c>
      <c r="F15090" s="2" t="str">
        <f>HYPERLINK("http://www.otzar.org/book.asp?605999","חי בתודה")</f>
        <v>חי בתודה</v>
      </c>
    </row>
    <row r="15091" spans="1:6" x14ac:dyDescent="0.2">
      <c r="A15091" t="s">
        <v>25194</v>
      </c>
      <c r="B15091" t="s">
        <v>1602</v>
      </c>
      <c r="C15091" t="s">
        <v>244</v>
      </c>
      <c r="D15091" t="s">
        <v>14</v>
      </c>
      <c r="E15091" t="s">
        <v>241</v>
      </c>
      <c r="F15091" s="2" t="str">
        <f>HYPERLINK("http://www.otzar.org/book.asp?605998","חי בתורה")</f>
        <v>חי בתורה</v>
      </c>
    </row>
    <row r="15092" spans="1:6" x14ac:dyDescent="0.2">
      <c r="A15092" t="s">
        <v>25195</v>
      </c>
      <c r="B15092" t="s">
        <v>1602</v>
      </c>
      <c r="C15092" t="s">
        <v>23</v>
      </c>
      <c r="D15092" t="s">
        <v>14</v>
      </c>
      <c r="F15092" s="2" t="str">
        <f>HYPERLINK("http://www.otzar.org/book.asp?618704","חי בתפילה")</f>
        <v>חי בתפילה</v>
      </c>
    </row>
    <row r="15093" spans="1:6" x14ac:dyDescent="0.2">
      <c r="A15093" t="s">
        <v>25196</v>
      </c>
      <c r="B15093" t="s">
        <v>1602</v>
      </c>
      <c r="C15093" t="s">
        <v>23</v>
      </c>
      <c r="D15093" t="s">
        <v>14</v>
      </c>
      <c r="F15093" s="2" t="str">
        <f>HYPERLINK("http://www.otzar.org/book.asp?618705","חי בתשובה")</f>
        <v>חי בתשובה</v>
      </c>
    </row>
    <row r="15094" spans="1:6" x14ac:dyDescent="0.2">
      <c r="A15094" t="s">
        <v>25197</v>
      </c>
      <c r="B15094" t="s">
        <v>20216</v>
      </c>
      <c r="C15094" t="s">
        <v>87</v>
      </c>
      <c r="D15094" t="s">
        <v>21</v>
      </c>
      <c r="E15094" t="s">
        <v>241</v>
      </c>
      <c r="F15094" s="2" t="str">
        <f>HYPERLINK("http://www.otzar.org/book.asp?197351","חי גואלי - ב")</f>
        <v>חי גואלי - ב</v>
      </c>
    </row>
    <row r="15095" spans="1:6" x14ac:dyDescent="0.2">
      <c r="A15095" t="s">
        <v>25198</v>
      </c>
      <c r="B15095" t="s">
        <v>7870</v>
      </c>
      <c r="C15095" t="s">
        <v>146</v>
      </c>
      <c r="D15095" t="s">
        <v>412</v>
      </c>
      <c r="E15095" t="s">
        <v>130</v>
      </c>
      <c r="F15095" s="2" t="str">
        <f>HYPERLINK("http://www.otzar.org/book.asp?174185","חי וקיים")</f>
        <v>חי וקיים</v>
      </c>
    </row>
    <row r="15096" spans="1:6" x14ac:dyDescent="0.2">
      <c r="A15096" t="s">
        <v>25199</v>
      </c>
      <c r="B15096" t="s">
        <v>25200</v>
      </c>
      <c r="C15096" t="s">
        <v>25201</v>
      </c>
      <c r="D15096" t="s">
        <v>27</v>
      </c>
      <c r="E15096" t="s">
        <v>1507</v>
      </c>
      <c r="F15096" s="2" t="str">
        <f>HYPERLINK("http://www.otzar.org/book.asp?144386","חי נפש - 2 כר'")</f>
        <v>חי נפש - 2 כר'</v>
      </c>
    </row>
    <row r="15097" spans="1:6" x14ac:dyDescent="0.2">
      <c r="A15097" t="s">
        <v>25202</v>
      </c>
      <c r="B15097" t="s">
        <v>1602</v>
      </c>
      <c r="C15097" t="s">
        <v>23</v>
      </c>
      <c r="D15097" t="s">
        <v>14</v>
      </c>
      <c r="F15097" s="2" t="str">
        <f>HYPERLINK("http://www.otzar.org/book.asp?618711","חי עם התקופה")</f>
        <v>חי עם התקופה</v>
      </c>
    </row>
    <row r="15098" spans="1:6" x14ac:dyDescent="0.2">
      <c r="A15098" t="s">
        <v>25203</v>
      </c>
      <c r="B15098" t="s">
        <v>25204</v>
      </c>
      <c r="C15098" t="s">
        <v>2543</v>
      </c>
      <c r="D15098" t="s">
        <v>27</v>
      </c>
      <c r="E15098" t="s">
        <v>219</v>
      </c>
      <c r="F15098" s="2" t="str">
        <f>HYPERLINK("http://www.otzar.org/book.asp?103023","חיאת אל איאם")</f>
        <v>חיאת אל איאם</v>
      </c>
    </row>
    <row r="15099" spans="1:6" x14ac:dyDescent="0.2">
      <c r="A15099" t="s">
        <v>25205</v>
      </c>
      <c r="B15099" t="s">
        <v>25206</v>
      </c>
      <c r="C15099" t="s">
        <v>20</v>
      </c>
      <c r="D15099" t="s">
        <v>412</v>
      </c>
      <c r="E15099" t="s">
        <v>104</v>
      </c>
      <c r="F15099" s="2" t="str">
        <f>HYPERLINK("http://www.otzar.org/book.asp?25821","חיבור בענין זמן של ד' מילין לעה""ש וצאה""כ כפי דעת ר""ת והראשונים")</f>
        <v>חיבור בענין זמן של ד' מילין לעה"ש וצאה"כ כפי דעת ר"ת והראשונים</v>
      </c>
    </row>
    <row r="15100" spans="1:6" x14ac:dyDescent="0.2">
      <c r="A15100" t="s">
        <v>25207</v>
      </c>
      <c r="B15100" t="s">
        <v>9963</v>
      </c>
      <c r="C15100" t="s">
        <v>433</v>
      </c>
      <c r="D15100" t="s">
        <v>9</v>
      </c>
      <c r="E15100" t="s">
        <v>583</v>
      </c>
      <c r="F15100" s="2" t="str">
        <f>HYPERLINK("http://www.otzar.org/book.asp?6402","חיבור התשובה")</f>
        <v>חיבור התשובה</v>
      </c>
    </row>
    <row r="15101" spans="1:6" x14ac:dyDescent="0.2">
      <c r="A15101" t="s">
        <v>25208</v>
      </c>
      <c r="B15101" t="s">
        <v>25209</v>
      </c>
      <c r="C15101" t="s">
        <v>12024</v>
      </c>
      <c r="D15101" t="s">
        <v>2069</v>
      </c>
      <c r="E15101" t="s">
        <v>104</v>
      </c>
      <c r="F15101" s="2" t="str">
        <f>HYPERLINK("http://www.otzar.org/book.asp?626596","חיבור יפה מהישועה")</f>
        <v>חיבור יפה מהישועה</v>
      </c>
    </row>
    <row r="15102" spans="1:6" x14ac:dyDescent="0.2">
      <c r="A15102" t="s">
        <v>25210</v>
      </c>
      <c r="B15102" t="s">
        <v>20218</v>
      </c>
      <c r="C15102" t="s">
        <v>989</v>
      </c>
      <c r="D15102" t="s">
        <v>14</v>
      </c>
      <c r="E15102" t="s">
        <v>733</v>
      </c>
      <c r="F15102" s="2" t="str">
        <f>HYPERLINK("http://www.otzar.org/book.asp?85137","חיבור יפה מהישועה - 3 כר'")</f>
        <v>חיבור יפה מהישועה - 3 כר'</v>
      </c>
    </row>
    <row r="15103" spans="1:6" x14ac:dyDescent="0.2">
      <c r="A15103" t="s">
        <v>25211</v>
      </c>
      <c r="B15103" t="s">
        <v>25212</v>
      </c>
      <c r="C15103" t="s">
        <v>25213</v>
      </c>
      <c r="D15103" t="s">
        <v>726</v>
      </c>
      <c r="E15103" t="s">
        <v>158</v>
      </c>
      <c r="F15103" s="2" t="str">
        <f>HYPERLINK("http://www.otzar.org/book.asp?9205","חיבורי לקט")</f>
        <v>חיבורי לקט</v>
      </c>
    </row>
    <row r="15104" spans="1:6" x14ac:dyDescent="0.2">
      <c r="A15104" t="s">
        <v>25214</v>
      </c>
      <c r="B15104" t="s">
        <v>25215</v>
      </c>
      <c r="C15104" t="s">
        <v>23</v>
      </c>
      <c r="D15104" t="s">
        <v>14</v>
      </c>
      <c r="F15104" s="2" t="str">
        <f>HYPERLINK("http://www.otzar.org/book.asp?610625","חיבורים הלכתיים של רב סעדיה גאון")</f>
        <v>חיבורים הלכתיים של רב סעדיה גאון</v>
      </c>
    </row>
    <row r="15105" spans="1:6" x14ac:dyDescent="0.2">
      <c r="A15105" t="s">
        <v>25216</v>
      </c>
      <c r="B15105" t="s">
        <v>25217</v>
      </c>
      <c r="C15105" t="s">
        <v>146</v>
      </c>
      <c r="D15105" t="s">
        <v>412</v>
      </c>
      <c r="E15105" t="s">
        <v>172</v>
      </c>
      <c r="F15105" s="2" t="str">
        <f>HYPERLINK("http://www.otzar.org/book.asp?173599","חיבר לטהרה &lt;מהדורה חדשה&gt; - 2 כר'")</f>
        <v>חיבר לטהרה &lt;מהדורה חדשה&gt; - 2 כר'</v>
      </c>
    </row>
    <row r="15106" spans="1:6" x14ac:dyDescent="0.2">
      <c r="A15106" t="s">
        <v>25218</v>
      </c>
      <c r="B15106" t="s">
        <v>25217</v>
      </c>
      <c r="C15106" t="s">
        <v>5823</v>
      </c>
      <c r="D15106" t="s">
        <v>4269</v>
      </c>
      <c r="E15106" t="s">
        <v>13950</v>
      </c>
      <c r="F15106" s="2" t="str">
        <f>HYPERLINK("http://www.otzar.org/book.asp?8394","חיבר לטהרה")</f>
        <v>חיבר לטהרה</v>
      </c>
    </row>
    <row r="15107" spans="1:6" x14ac:dyDescent="0.2">
      <c r="A15107" t="s">
        <v>25219</v>
      </c>
      <c r="B15107" t="s">
        <v>12313</v>
      </c>
      <c r="C15107" t="s">
        <v>767</v>
      </c>
      <c r="D15107" t="s">
        <v>139</v>
      </c>
      <c r="E15107" t="s">
        <v>104</v>
      </c>
      <c r="F15107" s="2" t="str">
        <f>HYPERLINK("http://www.otzar.org/book.asp?162826","חיבת הארץ וברכת הארץ &lt;מהדורה חדשה&gt;")</f>
        <v>חיבת הארץ וברכת הארץ &lt;מהדורה חדשה&gt;</v>
      </c>
    </row>
    <row r="15108" spans="1:6" x14ac:dyDescent="0.2">
      <c r="A15108" t="s">
        <v>25220</v>
      </c>
      <c r="B15108" t="s">
        <v>12313</v>
      </c>
      <c r="C15108" t="s">
        <v>748</v>
      </c>
      <c r="D15108" t="s">
        <v>27</v>
      </c>
      <c r="E15108" t="s">
        <v>104</v>
      </c>
      <c r="F15108" s="2" t="str">
        <f>HYPERLINK("http://www.otzar.org/book.asp?150167","חיבת הארץ")</f>
        <v>חיבת הארץ</v>
      </c>
    </row>
    <row r="15109" spans="1:6" x14ac:dyDescent="0.2">
      <c r="A15109" t="s">
        <v>25221</v>
      </c>
      <c r="B15109" t="s">
        <v>394</v>
      </c>
      <c r="C15109" t="s">
        <v>2408</v>
      </c>
      <c r="D15109" t="s">
        <v>27</v>
      </c>
      <c r="E15109" t="s">
        <v>8786</v>
      </c>
      <c r="F15109" s="2" t="str">
        <f>HYPERLINK("http://www.otzar.org/book.asp?15335","חיבת הקדש")</f>
        <v>חיבת הקדש</v>
      </c>
    </row>
    <row r="15110" spans="1:6" x14ac:dyDescent="0.2">
      <c r="A15110" t="s">
        <v>25222</v>
      </c>
      <c r="B15110" t="s">
        <v>25223</v>
      </c>
      <c r="C15110" t="s">
        <v>5721</v>
      </c>
      <c r="D15110" t="s">
        <v>1279</v>
      </c>
      <c r="E15110" t="s">
        <v>144</v>
      </c>
      <c r="F15110" s="2" t="str">
        <f>HYPERLINK("http://www.otzar.org/book.asp?9347","חיבת הקודש")</f>
        <v>חיבת הקודש</v>
      </c>
    </row>
    <row r="15111" spans="1:6" x14ac:dyDescent="0.2">
      <c r="A15111" t="s">
        <v>25222</v>
      </c>
      <c r="B15111" t="s">
        <v>25224</v>
      </c>
      <c r="C15111" t="s">
        <v>429</v>
      </c>
      <c r="D15111" t="s">
        <v>56</v>
      </c>
      <c r="E15111" t="s">
        <v>144</v>
      </c>
      <c r="F15111" s="2" t="str">
        <f>HYPERLINK("http://www.otzar.org/book.asp?101406","חיבת הקודש")</f>
        <v>חיבת הקודש</v>
      </c>
    </row>
    <row r="15112" spans="1:6" x14ac:dyDescent="0.2">
      <c r="A15112" t="s">
        <v>25225</v>
      </c>
      <c r="B15112" t="s">
        <v>25226</v>
      </c>
      <c r="C15112" t="s">
        <v>68</v>
      </c>
      <c r="D15112" t="s">
        <v>90</v>
      </c>
      <c r="E15112" t="s">
        <v>144</v>
      </c>
      <c r="F15112" s="2" t="str">
        <f>HYPERLINK("http://www.otzar.org/book.asp?166037","חיבת הקודש - זבחים")</f>
        <v>חיבת הקודש - זבחים</v>
      </c>
    </row>
    <row r="15113" spans="1:6" x14ac:dyDescent="0.2">
      <c r="A15113" t="s">
        <v>25227</v>
      </c>
      <c r="B15113" t="s">
        <v>7263</v>
      </c>
      <c r="C15113" t="s">
        <v>133</v>
      </c>
      <c r="D15113" t="s">
        <v>852</v>
      </c>
      <c r="F15113" s="2" t="str">
        <f>HYPERLINK("http://www.otzar.org/book.asp?198735","חיבת קודש - 3 כר'")</f>
        <v>חיבת קודש - 3 כר'</v>
      </c>
    </row>
    <row r="15114" spans="1:6" x14ac:dyDescent="0.2">
      <c r="A15114" t="s">
        <v>25228</v>
      </c>
      <c r="B15114" t="s">
        <v>531</v>
      </c>
      <c r="C15114" t="s">
        <v>20680</v>
      </c>
      <c r="D15114" t="s">
        <v>1769</v>
      </c>
      <c r="E15114" t="s">
        <v>104</v>
      </c>
      <c r="F15114" s="2" t="str">
        <f>HYPERLINK("http://www.otzar.org/book.asp?147192","חידה יפה להחכם אבן עזרא")</f>
        <v>חידה יפה להחכם אבן עזרא</v>
      </c>
    </row>
    <row r="15115" spans="1:6" x14ac:dyDescent="0.2">
      <c r="A15115" t="s">
        <v>25229</v>
      </c>
      <c r="B15115" t="s">
        <v>25230</v>
      </c>
      <c r="C15115" t="s">
        <v>547</v>
      </c>
      <c r="D15115" t="s">
        <v>691</v>
      </c>
      <c r="E15115" t="s">
        <v>15</v>
      </c>
      <c r="F15115" s="2" t="str">
        <f>HYPERLINK("http://www.otzar.org/book.asp?8402","חידוד הלכה")</f>
        <v>חידוד הלכה</v>
      </c>
    </row>
    <row r="15116" spans="1:6" x14ac:dyDescent="0.2">
      <c r="A15116" t="s">
        <v>25231</v>
      </c>
      <c r="B15116" t="s">
        <v>25232</v>
      </c>
      <c r="C15116" t="s">
        <v>313</v>
      </c>
      <c r="D15116" t="s">
        <v>14</v>
      </c>
      <c r="E15116" t="s">
        <v>172</v>
      </c>
      <c r="F15116" s="2" t="str">
        <f>HYPERLINK("http://www.otzar.org/book.asp?615630","חידוד התלמידים")</f>
        <v>חידוד התלמידים</v>
      </c>
    </row>
    <row r="15117" spans="1:6" x14ac:dyDescent="0.2">
      <c r="A15117" t="s">
        <v>25233</v>
      </c>
      <c r="B15117" t="s">
        <v>25234</v>
      </c>
      <c r="C15117" t="s">
        <v>185</v>
      </c>
      <c r="D15117" t="s">
        <v>90</v>
      </c>
      <c r="E15117" t="s">
        <v>158</v>
      </c>
      <c r="F15117" s="2" t="str">
        <f>HYPERLINK("http://www.otzar.org/book.asp?627670","חידודי דוד")</f>
        <v>חידודי דוד</v>
      </c>
    </row>
    <row r="15118" spans="1:6" x14ac:dyDescent="0.2">
      <c r="A15118" t="s">
        <v>25235</v>
      </c>
      <c r="B15118" t="s">
        <v>25236</v>
      </c>
      <c r="C15118" t="s">
        <v>940</v>
      </c>
      <c r="D15118" t="s">
        <v>216</v>
      </c>
      <c r="E15118" t="s">
        <v>158</v>
      </c>
      <c r="F15118" s="2" t="str">
        <f>HYPERLINK("http://www.otzar.org/book.asp?618444","חידודי תורה - 2 כר'")</f>
        <v>חידודי תורה - 2 כר'</v>
      </c>
    </row>
    <row r="15119" spans="1:6" x14ac:dyDescent="0.2">
      <c r="A15119" t="s">
        <v>25237</v>
      </c>
      <c r="B15119" t="s">
        <v>1604</v>
      </c>
      <c r="C15119" t="s">
        <v>553</v>
      </c>
      <c r="D15119" t="s">
        <v>14</v>
      </c>
      <c r="E15119" t="s">
        <v>158</v>
      </c>
      <c r="F15119" s="2" t="str">
        <f>HYPERLINK("http://www.otzar.org/book.asp?606656","חידון התנ""ך")</f>
        <v>חידון התנ"ך</v>
      </c>
    </row>
    <row r="15120" spans="1:6" x14ac:dyDescent="0.2">
      <c r="A15120" t="s">
        <v>25238</v>
      </c>
      <c r="B15120" t="s">
        <v>25239</v>
      </c>
      <c r="C15120" t="s">
        <v>1268</v>
      </c>
      <c r="D15120" t="s">
        <v>25240</v>
      </c>
      <c r="E15120" t="s">
        <v>579</v>
      </c>
      <c r="F15120" s="2" t="str">
        <f>HYPERLINK("http://www.otzar.org/book.asp?106497","חידונים לפרשיות השבוע")</f>
        <v>חידונים לפרשיות השבוע</v>
      </c>
    </row>
    <row r="15121" spans="1:6" x14ac:dyDescent="0.2">
      <c r="A15121" t="s">
        <v>25241</v>
      </c>
      <c r="B15121" t="s">
        <v>11072</v>
      </c>
      <c r="C15121" t="s">
        <v>422</v>
      </c>
      <c r="D15121" t="s">
        <v>412</v>
      </c>
      <c r="E15121" t="s">
        <v>219</v>
      </c>
      <c r="F15121" s="2" t="str">
        <f>HYPERLINK("http://www.otzar.org/book.asp?156846","חידוש אור החמה")</f>
        <v>חידוש אור החמה</v>
      </c>
    </row>
    <row r="15122" spans="1:6" x14ac:dyDescent="0.2">
      <c r="A15122" t="s">
        <v>25242</v>
      </c>
      <c r="B15122" t="s">
        <v>25243</v>
      </c>
      <c r="C15122" t="s">
        <v>189</v>
      </c>
      <c r="D15122" t="s">
        <v>806</v>
      </c>
      <c r="E15122" t="s">
        <v>144</v>
      </c>
      <c r="F15122" s="2" t="str">
        <f>HYPERLINK("http://www.otzar.org/book.asp?618988","חידוש היומי - 2 כר'")</f>
        <v>חידוש היומי - 2 כר'</v>
      </c>
    </row>
    <row r="15123" spans="1:6" x14ac:dyDescent="0.2">
      <c r="A15123" t="s">
        <v>25244</v>
      </c>
      <c r="B15123" t="s">
        <v>7824</v>
      </c>
      <c r="C15123" t="s">
        <v>3840</v>
      </c>
      <c r="D15123" t="s">
        <v>27</v>
      </c>
      <c r="E15123" t="s">
        <v>3567</v>
      </c>
      <c r="F15123" s="2" t="str">
        <f>HYPERLINK("http://www.otzar.org/book.asp?104621","חידוש הסנהדרין במדינתנו המחודשת")</f>
        <v>חידוש הסנהדרין במדינתנו המחודשת</v>
      </c>
    </row>
    <row r="15124" spans="1:6" x14ac:dyDescent="0.2">
      <c r="A15124" t="s">
        <v>25245</v>
      </c>
      <c r="B15124" t="s">
        <v>25246</v>
      </c>
      <c r="C15124" t="s">
        <v>2644</v>
      </c>
      <c r="D15124" t="s">
        <v>2293</v>
      </c>
      <c r="E15124" t="s">
        <v>14551</v>
      </c>
      <c r="F15124" s="2" t="str">
        <f>HYPERLINK("http://www.otzar.org/book.asp?18783","חידושי אב""י")</f>
        <v>חידושי אב"י</v>
      </c>
    </row>
    <row r="15125" spans="1:6" x14ac:dyDescent="0.2">
      <c r="A15125" t="s">
        <v>25247</v>
      </c>
      <c r="B15125" t="s">
        <v>25248</v>
      </c>
      <c r="C15125" t="s">
        <v>68</v>
      </c>
      <c r="D15125" t="s">
        <v>21</v>
      </c>
      <c r="E15125" t="s">
        <v>463</v>
      </c>
      <c r="F15125" s="2" t="str">
        <f>HYPERLINK("http://www.otzar.org/book.asp?195025","חידושי אבי""ר")</f>
        <v>חידושי אבי"ר</v>
      </c>
    </row>
    <row r="15126" spans="1:6" x14ac:dyDescent="0.2">
      <c r="A15126" t="s">
        <v>25249</v>
      </c>
      <c r="B15126" t="s">
        <v>861</v>
      </c>
      <c r="C15126" t="s">
        <v>466</v>
      </c>
      <c r="D15126" t="s">
        <v>14</v>
      </c>
      <c r="E15126" t="s">
        <v>144</v>
      </c>
      <c r="F15126" s="2" t="str">
        <f>HYPERLINK("http://www.otzar.org/book.asp?170398","חידושי אבני נזר - 5 כר'")</f>
        <v>חידושי אבני נזר - 5 כר'</v>
      </c>
    </row>
    <row r="15127" spans="1:6" x14ac:dyDescent="0.2">
      <c r="A15127" t="s">
        <v>25250</v>
      </c>
      <c r="B15127" t="s">
        <v>7415</v>
      </c>
      <c r="C15127" t="s">
        <v>1202</v>
      </c>
      <c r="D15127" t="s">
        <v>1432</v>
      </c>
      <c r="F15127" s="2" t="str">
        <f>HYPERLINK("http://www.otzar.org/book.asp?83642","חידושי אבר""ח - 4 כר'")</f>
        <v>חידושי אבר"ח - 4 כר'</v>
      </c>
    </row>
    <row r="15128" spans="1:6" x14ac:dyDescent="0.2">
      <c r="A15128" t="s">
        <v>25251</v>
      </c>
      <c r="B15128" t="s">
        <v>25252</v>
      </c>
      <c r="C15128" t="s">
        <v>7364</v>
      </c>
      <c r="D15128" t="s">
        <v>25253</v>
      </c>
      <c r="E15128" t="s">
        <v>463</v>
      </c>
      <c r="F15128" s="2" t="str">
        <f>HYPERLINK("http://www.otzar.org/book.asp?189393","חידושי אגדות &lt;זרע ישראל&gt;")</f>
        <v>חידושי אגדות &lt;זרע ישראל&gt;</v>
      </c>
    </row>
    <row r="15129" spans="1:6" x14ac:dyDescent="0.2">
      <c r="A15129" t="s">
        <v>25254</v>
      </c>
      <c r="B15129" t="s">
        <v>3923</v>
      </c>
      <c r="C15129" t="s">
        <v>1448</v>
      </c>
      <c r="D15129" t="s">
        <v>118</v>
      </c>
      <c r="E15129" t="s">
        <v>144</v>
      </c>
      <c r="F15129" s="2" t="str">
        <f>HYPERLINK("http://www.otzar.org/book.asp?23377","חידושי אגדות מהר""ל מפראג - 4 כר'")</f>
        <v>חידושי אגדות מהר"ל מפראג - 4 כר'</v>
      </c>
    </row>
    <row r="15130" spans="1:6" x14ac:dyDescent="0.2">
      <c r="A15130" t="s">
        <v>25255</v>
      </c>
      <c r="B15130" t="s">
        <v>1349</v>
      </c>
      <c r="C15130" t="s">
        <v>775</v>
      </c>
      <c r="D15130" t="s">
        <v>14</v>
      </c>
      <c r="F15130" s="2" t="str">
        <f>HYPERLINK("http://www.otzar.org/book.asp?632830","חידושי אגדות מהר""ם שיק עמ""ס אבות")</f>
        <v>חידושי אגדות מהר"ם שיק עמ"ס אבות</v>
      </c>
    </row>
    <row r="15131" spans="1:6" x14ac:dyDescent="0.2">
      <c r="A15131" t="s">
        <v>25256</v>
      </c>
      <c r="B15131" t="s">
        <v>1349</v>
      </c>
      <c r="C15131" t="s">
        <v>351</v>
      </c>
      <c r="D15131" t="s">
        <v>661</v>
      </c>
      <c r="E15131" t="s">
        <v>25257</v>
      </c>
      <c r="F15131" s="2" t="str">
        <f>HYPERLINK("http://www.otzar.org/book.asp?101977","חידושי אגדות מהר""ם שיק")</f>
        <v>חידושי אגדות מהר"ם שיק</v>
      </c>
    </row>
    <row r="15132" spans="1:6" x14ac:dyDescent="0.2">
      <c r="A15132" t="s">
        <v>25258</v>
      </c>
      <c r="B15132" t="s">
        <v>3724</v>
      </c>
      <c r="C15132" t="s">
        <v>1284</v>
      </c>
      <c r="D15132" t="s">
        <v>27</v>
      </c>
      <c r="E15132" t="s">
        <v>144</v>
      </c>
      <c r="F15132" s="2" t="str">
        <f>HYPERLINK("http://www.otzar.org/book.asp?155769","חידושי אגדות מהרא""ל")</f>
        <v>חידושי אגדות מהרא"ל</v>
      </c>
    </row>
    <row r="15133" spans="1:6" x14ac:dyDescent="0.2">
      <c r="A15133" t="s">
        <v>25259</v>
      </c>
      <c r="B15133" t="s">
        <v>23517</v>
      </c>
      <c r="C15133" t="s">
        <v>422</v>
      </c>
      <c r="D15133" t="s">
        <v>90</v>
      </c>
      <c r="E15133" t="s">
        <v>786</v>
      </c>
      <c r="F15133" s="2" t="str">
        <f>HYPERLINK("http://www.otzar.org/book.asp?174264","חידושי אגדות מהרש""א השלם &lt;לב אגדות&gt; - 4 כר'")</f>
        <v>חידושי אגדות מהרש"א השלם &lt;לב אגדות&gt; - 4 כר'</v>
      </c>
    </row>
    <row r="15134" spans="1:6" x14ac:dyDescent="0.2">
      <c r="A15134" t="s">
        <v>25260</v>
      </c>
      <c r="B15134" t="s">
        <v>23517</v>
      </c>
      <c r="C15134" t="s">
        <v>2589</v>
      </c>
      <c r="D15134" t="s">
        <v>322</v>
      </c>
      <c r="E15134" t="s">
        <v>144</v>
      </c>
      <c r="F15134" s="2" t="str">
        <f>HYPERLINK("http://www.otzar.org/book.asp?103332","חידושי אגדות - 2 כר'")</f>
        <v>חידושי אגדות - 2 כר'</v>
      </c>
    </row>
    <row r="15135" spans="1:6" x14ac:dyDescent="0.2">
      <c r="A15135" t="s">
        <v>25261</v>
      </c>
      <c r="B15135" t="s">
        <v>4324</v>
      </c>
      <c r="C15135" t="s">
        <v>411</v>
      </c>
      <c r="D15135" t="s">
        <v>5172</v>
      </c>
      <c r="E15135" t="s">
        <v>144</v>
      </c>
      <c r="F15135" s="2" t="str">
        <f>HYPERLINK("http://www.otzar.org/book.asp?191875","חידושי אור שמח על הש""ס - 2 כר'")</f>
        <v>חידושי אור שמח על הש"ס - 2 כר'</v>
      </c>
    </row>
    <row r="15136" spans="1:6" x14ac:dyDescent="0.2">
      <c r="A15136" t="s">
        <v>25262</v>
      </c>
      <c r="B15136" t="s">
        <v>25263</v>
      </c>
      <c r="C15136" t="s">
        <v>25264</v>
      </c>
      <c r="D15136" t="s">
        <v>283</v>
      </c>
      <c r="E15136" t="s">
        <v>154</v>
      </c>
      <c r="F15136" s="2" t="str">
        <f>HYPERLINK("http://www.otzar.org/book.asp?18784","חידושי איבר""א")</f>
        <v>חידושי איבר"א</v>
      </c>
    </row>
    <row r="15137" spans="1:6" x14ac:dyDescent="0.2">
      <c r="A15137" t="s">
        <v>25265</v>
      </c>
      <c r="B15137" t="s">
        <v>6154</v>
      </c>
      <c r="C15137" t="s">
        <v>8</v>
      </c>
      <c r="D15137" t="s">
        <v>27</v>
      </c>
      <c r="E15137" t="s">
        <v>803</v>
      </c>
      <c r="F15137" s="2" t="str">
        <f>HYPERLINK("http://www.otzar.org/book.asp?100911","חידושי אלימלך")</f>
        <v>חידושי אלימלך</v>
      </c>
    </row>
    <row r="15138" spans="1:6" x14ac:dyDescent="0.2">
      <c r="A15138" t="s">
        <v>25266</v>
      </c>
      <c r="B15138" t="s">
        <v>25267</v>
      </c>
      <c r="D15138" t="s">
        <v>52</v>
      </c>
      <c r="E15138" t="s">
        <v>144</v>
      </c>
      <c r="F15138" s="2" t="str">
        <f>HYPERLINK("http://www.otzar.org/book.asp?626608","חידושי אמרי משה")</f>
        <v>חידושי אמרי משה</v>
      </c>
    </row>
    <row r="15139" spans="1:6" x14ac:dyDescent="0.2">
      <c r="A15139" t="s">
        <v>25268</v>
      </c>
      <c r="B15139" t="s">
        <v>305</v>
      </c>
      <c r="C15139" t="s">
        <v>800</v>
      </c>
      <c r="D15139" t="s">
        <v>1037</v>
      </c>
      <c r="E15139" t="s">
        <v>10</v>
      </c>
      <c r="F15139" s="2" t="str">
        <f>HYPERLINK("http://www.otzar.org/book.asp?18785","חידושי אנשי שם")</f>
        <v>חידושי אנשי שם</v>
      </c>
    </row>
    <row r="15140" spans="1:6" x14ac:dyDescent="0.2">
      <c r="A15140" t="s">
        <v>25269</v>
      </c>
      <c r="B15140" t="s">
        <v>25270</v>
      </c>
      <c r="C15140" t="s">
        <v>4404</v>
      </c>
      <c r="D15140" t="s">
        <v>1833</v>
      </c>
      <c r="E15140" t="s">
        <v>144</v>
      </c>
      <c r="F15140" s="2" t="str">
        <f>HYPERLINK("http://www.otzar.org/book.asp?151677","חידושי ב""מ")</f>
        <v>חידושי ב"מ</v>
      </c>
    </row>
    <row r="15141" spans="1:6" x14ac:dyDescent="0.2">
      <c r="A15141" t="s">
        <v>25271</v>
      </c>
      <c r="B15141" t="s">
        <v>1552</v>
      </c>
      <c r="C15141" t="s">
        <v>22883</v>
      </c>
      <c r="D15141" t="s">
        <v>49</v>
      </c>
      <c r="E15141" t="s">
        <v>144</v>
      </c>
      <c r="F15141" s="2" t="str">
        <f>HYPERLINK("http://www.otzar.org/book.asp?7000","חידושי בבא בתרא &lt;רמב""ן&gt;")</f>
        <v>חידושי בבא בתרא &lt;רמב"ן&gt;</v>
      </c>
    </row>
    <row r="15142" spans="1:6" x14ac:dyDescent="0.2">
      <c r="A15142" t="s">
        <v>25272</v>
      </c>
      <c r="B15142" t="s">
        <v>1552</v>
      </c>
      <c r="C15142" t="s">
        <v>22883</v>
      </c>
      <c r="D15142" t="s">
        <v>49</v>
      </c>
      <c r="E15142" t="s">
        <v>144</v>
      </c>
      <c r="F15142" s="2" t="str">
        <f>HYPERLINK("http://www.otzar.org/book.asp?177226","חידושי בבא בתרא &lt;רמב""ן&gt; &lt;עם הגהות מכת""י&gt;")</f>
        <v>חידושי בבא בתרא &lt;רמב"ן&gt; &lt;עם הגהות מכת"י&gt;</v>
      </c>
    </row>
    <row r="15143" spans="1:6" x14ac:dyDescent="0.2">
      <c r="A15143" t="s">
        <v>25273</v>
      </c>
      <c r="B15143" t="s">
        <v>1035</v>
      </c>
      <c r="C15143" t="s">
        <v>25274</v>
      </c>
      <c r="D15143" t="s">
        <v>225</v>
      </c>
      <c r="E15143" t="s">
        <v>144</v>
      </c>
      <c r="F15143" s="2" t="str">
        <f>HYPERLINK("http://www.otzar.org/book.asp?25571","חידושי בית יוסף - כתובות")</f>
        <v>חידושי בית יוסף - כתובות</v>
      </c>
    </row>
    <row r="15144" spans="1:6" x14ac:dyDescent="0.2">
      <c r="A15144" t="s">
        <v>25275</v>
      </c>
      <c r="B15144" t="s">
        <v>25276</v>
      </c>
      <c r="C15144" t="s">
        <v>445</v>
      </c>
      <c r="D15144" t="s">
        <v>225</v>
      </c>
      <c r="E15144" t="s">
        <v>144</v>
      </c>
      <c r="F15144" s="2" t="str">
        <f>HYPERLINK("http://www.otzar.org/book.asp?9269","חידושי בן אריה - 2 כר'")</f>
        <v>חידושי בן אריה - 2 כר'</v>
      </c>
    </row>
    <row r="15145" spans="1:6" x14ac:dyDescent="0.2">
      <c r="A15145" t="s">
        <v>25277</v>
      </c>
      <c r="B15145" t="s">
        <v>8405</v>
      </c>
      <c r="C15145" t="s">
        <v>492</v>
      </c>
      <c r="D15145" t="s">
        <v>1538</v>
      </c>
      <c r="E15145" t="s">
        <v>144</v>
      </c>
      <c r="F15145" s="2" t="str">
        <f>HYPERLINK("http://www.otzar.org/book.asp?6971","חידושי בן יאיר")</f>
        <v>חידושי בן יאיר</v>
      </c>
    </row>
    <row r="15146" spans="1:6" x14ac:dyDescent="0.2">
      <c r="A15146" t="s">
        <v>25278</v>
      </c>
      <c r="B15146" t="s">
        <v>25279</v>
      </c>
      <c r="C15146" t="s">
        <v>2543</v>
      </c>
      <c r="D15146" t="s">
        <v>379</v>
      </c>
      <c r="E15146" t="s">
        <v>144</v>
      </c>
      <c r="F15146" s="2" t="str">
        <f>HYPERLINK("http://www.otzar.org/book.asp?18768","חידושי בני אהרן")</f>
        <v>חידושי בני אהרן</v>
      </c>
    </row>
    <row r="15147" spans="1:6" x14ac:dyDescent="0.2">
      <c r="A15147" t="s">
        <v>25280</v>
      </c>
      <c r="B15147" t="s">
        <v>1264</v>
      </c>
      <c r="C15147" t="s">
        <v>3840</v>
      </c>
      <c r="D15147" t="s">
        <v>9</v>
      </c>
      <c r="E15147" t="s">
        <v>3773</v>
      </c>
      <c r="F15147" s="2" t="str">
        <f>HYPERLINK("http://www.otzar.org/book.asp?15961","חידושי בני יששכר")</f>
        <v>חידושי בני יששכר</v>
      </c>
    </row>
    <row r="15148" spans="1:6" x14ac:dyDescent="0.2">
      <c r="A15148" t="s">
        <v>25281</v>
      </c>
      <c r="B15148" t="s">
        <v>11333</v>
      </c>
      <c r="C15148" t="s">
        <v>1268</v>
      </c>
      <c r="D15148" t="s">
        <v>412</v>
      </c>
      <c r="E15148" t="s">
        <v>1211</v>
      </c>
      <c r="F15148" s="2" t="str">
        <f>HYPERLINK("http://www.otzar.org/book.asp?83627","חידושי בנין צבי")</f>
        <v>חידושי בנין צבי</v>
      </c>
    </row>
    <row r="15149" spans="1:6" x14ac:dyDescent="0.2">
      <c r="A15149" t="s">
        <v>25282</v>
      </c>
      <c r="B15149" t="s">
        <v>8135</v>
      </c>
      <c r="C15149" t="s">
        <v>244</v>
      </c>
      <c r="D15149" t="s">
        <v>14</v>
      </c>
      <c r="E15149" t="s">
        <v>144</v>
      </c>
      <c r="F15149" s="2" t="str">
        <f>HYPERLINK("http://www.otzar.org/book.asp?600768","חידושי בעל שרידי אש - 3 כר'")</f>
        <v>חידושי בעל שרידי אש - 3 כר'</v>
      </c>
    </row>
    <row r="15150" spans="1:6" x14ac:dyDescent="0.2">
      <c r="A15150" t="s">
        <v>25283</v>
      </c>
      <c r="B15150" t="s">
        <v>25284</v>
      </c>
      <c r="C15150" t="s">
        <v>473</v>
      </c>
      <c r="D15150" t="s">
        <v>225</v>
      </c>
      <c r="E15150" t="s">
        <v>144</v>
      </c>
      <c r="F15150" s="2" t="str">
        <f>HYPERLINK("http://www.otzar.org/book.asp?24475","חידושי בר נחמני")</f>
        <v>חידושי בר נחמני</v>
      </c>
    </row>
    <row r="15151" spans="1:6" x14ac:dyDescent="0.2">
      <c r="A15151" t="s">
        <v>25285</v>
      </c>
      <c r="B15151" t="s">
        <v>24561</v>
      </c>
      <c r="C15151" t="s">
        <v>22883</v>
      </c>
      <c r="D15151" t="s">
        <v>49</v>
      </c>
      <c r="F15151" s="2" t="str">
        <f>HYPERLINK("http://www.otzar.org/book.asp?164925","חידושי ברכות")</f>
        <v>חידושי ברכות</v>
      </c>
    </row>
    <row r="15152" spans="1:6" x14ac:dyDescent="0.2">
      <c r="A15152" t="s">
        <v>25286</v>
      </c>
      <c r="B15152" t="s">
        <v>25287</v>
      </c>
      <c r="C15152" t="s">
        <v>1208</v>
      </c>
      <c r="D15152" t="s">
        <v>14</v>
      </c>
      <c r="E15152" t="s">
        <v>144</v>
      </c>
      <c r="F15152" s="2" t="str">
        <f>HYPERLINK("http://www.otzar.org/book.asp?50842","חידושי בתרא - 45 כר'")</f>
        <v>חידושי בתרא - 45 כר'</v>
      </c>
    </row>
    <row r="15153" spans="1:6" x14ac:dyDescent="0.2">
      <c r="A15153" t="s">
        <v>25288</v>
      </c>
      <c r="B15153" t="s">
        <v>8005</v>
      </c>
      <c r="C15153" t="s">
        <v>7158</v>
      </c>
      <c r="D15153" t="s">
        <v>7163</v>
      </c>
      <c r="E15153" t="s">
        <v>144</v>
      </c>
      <c r="F15153" s="2" t="str">
        <f>HYPERLINK("http://www.otzar.org/book.asp?105049","חידושי גאונים")</f>
        <v>חידושי גאונים</v>
      </c>
    </row>
    <row r="15154" spans="1:6" x14ac:dyDescent="0.2">
      <c r="A15154" t="s">
        <v>25288</v>
      </c>
      <c r="B15154" t="s">
        <v>7136</v>
      </c>
      <c r="C15154" t="s">
        <v>506</v>
      </c>
      <c r="D15154" t="s">
        <v>225</v>
      </c>
      <c r="E15154" t="s">
        <v>144</v>
      </c>
      <c r="F15154" s="2" t="str">
        <f>HYPERLINK("http://www.otzar.org/book.asp?6611","חידושי גאונים")</f>
        <v>חידושי גאונים</v>
      </c>
    </row>
    <row r="15155" spans="1:6" x14ac:dyDescent="0.2">
      <c r="A15155" t="s">
        <v>25289</v>
      </c>
      <c r="B15155" t="s">
        <v>3923</v>
      </c>
      <c r="C15155" t="s">
        <v>2617</v>
      </c>
      <c r="D15155" t="s">
        <v>267</v>
      </c>
      <c r="E15155" t="s">
        <v>144</v>
      </c>
      <c r="F15155" s="2" t="str">
        <f>HYPERLINK("http://www.otzar.org/book.asp?5865","חידושי גור אריה")</f>
        <v>חידושי גור אריה</v>
      </c>
    </row>
    <row r="15156" spans="1:6" x14ac:dyDescent="0.2">
      <c r="A15156" t="s">
        <v>25290</v>
      </c>
      <c r="B15156" t="s">
        <v>25291</v>
      </c>
      <c r="C15156" t="s">
        <v>1592</v>
      </c>
      <c r="D15156" t="s">
        <v>25292</v>
      </c>
      <c r="E15156" t="s">
        <v>144</v>
      </c>
      <c r="F15156" s="2" t="str">
        <f>HYPERLINK("http://www.otzar.org/book.asp?7103","חידושי גיטין להרמב""ן (חמש שיטות)")</f>
        <v>חידושי גיטין להרמב"ן (חמש שיטות)</v>
      </c>
    </row>
    <row r="15157" spans="1:6" x14ac:dyDescent="0.2">
      <c r="A15157" t="s">
        <v>25293</v>
      </c>
      <c r="B15157" t="s">
        <v>24561</v>
      </c>
      <c r="C15157" t="s">
        <v>22883</v>
      </c>
      <c r="D15157" t="s">
        <v>49</v>
      </c>
      <c r="F15157" s="2" t="str">
        <f>HYPERLINK("http://www.otzar.org/book.asp?164742","חידושי גיטין מהרשבא ז""ל")</f>
        <v>חידושי גיטין מהרשבא ז"ל</v>
      </c>
    </row>
    <row r="15158" spans="1:6" x14ac:dyDescent="0.2">
      <c r="A15158" t="s">
        <v>25294</v>
      </c>
      <c r="B15158" t="s">
        <v>25295</v>
      </c>
      <c r="C15158" t="s">
        <v>8375</v>
      </c>
      <c r="D15158" t="s">
        <v>9748</v>
      </c>
      <c r="E15158" t="s">
        <v>144</v>
      </c>
      <c r="F15158" s="2" t="str">
        <f>HYPERLINK("http://www.otzar.org/book.asp?20161","חידושי גלאנטי - 2 כר'")</f>
        <v>חידושי גלאנטי - 2 כר'</v>
      </c>
    </row>
    <row r="15159" spans="1:6" x14ac:dyDescent="0.2">
      <c r="A15159" t="s">
        <v>25296</v>
      </c>
      <c r="B15159" t="s">
        <v>15019</v>
      </c>
      <c r="C15159" t="s">
        <v>3205</v>
      </c>
      <c r="D15159" t="s">
        <v>412</v>
      </c>
      <c r="E15159" t="s">
        <v>25297</v>
      </c>
      <c r="F15159" s="2" t="str">
        <f>HYPERLINK("http://www.otzar.org/book.asp?172968","חידושי דברי שיר - נזר שיר")</f>
        <v>חידושי דברי שיר - נזר שיר</v>
      </c>
    </row>
    <row r="15160" spans="1:6" x14ac:dyDescent="0.2">
      <c r="A15160" t="s">
        <v>25298</v>
      </c>
      <c r="B15160" t="s">
        <v>25299</v>
      </c>
      <c r="C15160" t="s">
        <v>1208</v>
      </c>
      <c r="D15160" t="s">
        <v>14</v>
      </c>
      <c r="E15160" t="s">
        <v>15</v>
      </c>
      <c r="F15160" s="2" t="str">
        <f>HYPERLINK("http://www.otzar.org/book.asp?84863","חידושי דוד")</f>
        <v>חידושי דוד</v>
      </c>
    </row>
    <row r="15161" spans="1:6" x14ac:dyDescent="0.2">
      <c r="A15161" t="s">
        <v>25300</v>
      </c>
      <c r="B15161" t="s">
        <v>1600</v>
      </c>
      <c r="C15161" t="s">
        <v>553</v>
      </c>
      <c r="D15161" t="s">
        <v>14</v>
      </c>
      <c r="E15161" t="s">
        <v>15</v>
      </c>
      <c r="F15161" s="2" t="str">
        <f>HYPERLINK("http://www.otzar.org/book.asp?172289","חידושי דינים בעניני איסור והיתר")</f>
        <v>חידושי דינים בעניני איסור והיתר</v>
      </c>
    </row>
    <row r="15162" spans="1:6" x14ac:dyDescent="0.2">
      <c r="A15162" t="s">
        <v>25301</v>
      </c>
      <c r="B15162" t="s">
        <v>25302</v>
      </c>
      <c r="C15162" t="s">
        <v>473</v>
      </c>
      <c r="D15162" t="s">
        <v>27</v>
      </c>
      <c r="E15162" t="s">
        <v>606</v>
      </c>
      <c r="F15162" s="2" t="str">
        <f>HYPERLINK("http://www.otzar.org/book.asp?104623","חידושי דינים לרבני ירושלם הקדמונים")</f>
        <v>חידושי דינים לרבני ירושלם הקדמונים</v>
      </c>
    </row>
    <row r="15163" spans="1:6" x14ac:dyDescent="0.2">
      <c r="A15163" t="s">
        <v>25303</v>
      </c>
      <c r="B15163" t="s">
        <v>25304</v>
      </c>
      <c r="C15163" t="s">
        <v>351</v>
      </c>
      <c r="D15163" t="s">
        <v>283</v>
      </c>
      <c r="E15163" t="s">
        <v>15</v>
      </c>
      <c r="F15163" s="2" t="str">
        <f>HYPERLINK("http://www.otzar.org/book.asp?149553","חידושי דינים מהלכות פסח")</f>
        <v>חידושי דינים מהלכות פסח</v>
      </c>
    </row>
    <row r="15164" spans="1:6" x14ac:dyDescent="0.2">
      <c r="A15164" t="s">
        <v>25305</v>
      </c>
      <c r="B15164" t="s">
        <v>25304</v>
      </c>
      <c r="C15164" t="s">
        <v>5140</v>
      </c>
      <c r="D15164" t="s">
        <v>9748</v>
      </c>
      <c r="E15164" t="s">
        <v>15</v>
      </c>
      <c r="F15164" s="2" t="str">
        <f>HYPERLINK("http://www.otzar.org/book.asp?100909","חידושי דינים מירושלים")</f>
        <v>חידושי דינים מירושלים</v>
      </c>
    </row>
    <row r="15165" spans="1:6" x14ac:dyDescent="0.2">
      <c r="A15165" t="s">
        <v>25306</v>
      </c>
      <c r="B15165" t="s">
        <v>5058</v>
      </c>
      <c r="C15165" t="s">
        <v>454</v>
      </c>
      <c r="D15165" t="s">
        <v>412</v>
      </c>
      <c r="E15165" t="s">
        <v>803</v>
      </c>
      <c r="F15165" s="2" t="str">
        <f>HYPERLINK("http://www.otzar.org/book.asp?143716","חידושי הגאון האדר""ת")</f>
        <v>חידושי הגאון האדר"ת</v>
      </c>
    </row>
    <row r="15166" spans="1:6" x14ac:dyDescent="0.2">
      <c r="A15166" t="s">
        <v>25307</v>
      </c>
      <c r="B15166" t="s">
        <v>14491</v>
      </c>
      <c r="C15166" t="s">
        <v>1811</v>
      </c>
      <c r="D15166" t="s">
        <v>25308</v>
      </c>
      <c r="E15166" t="s">
        <v>144</v>
      </c>
      <c r="F15166" s="2" t="str">
        <f>HYPERLINK("http://www.otzar.org/book.asp?11581","חידושי הגאון מפוניבז'")</f>
        <v>חידושי הגאון מפוניבז'</v>
      </c>
    </row>
    <row r="15167" spans="1:6" x14ac:dyDescent="0.2">
      <c r="A15167" t="s">
        <v>25309</v>
      </c>
      <c r="B15167" t="s">
        <v>347</v>
      </c>
      <c r="C15167" t="s">
        <v>129</v>
      </c>
      <c r="D15167" t="s">
        <v>14</v>
      </c>
      <c r="E15167" t="s">
        <v>25310</v>
      </c>
      <c r="F15167" s="2" t="str">
        <f>HYPERLINK("http://www.otzar.org/book.asp?149515","חידושי הגאון רבי איסר זלמן - זרעים")</f>
        <v>חידושי הגאון רבי איסר זלמן - זרעים</v>
      </c>
    </row>
    <row r="15168" spans="1:6" x14ac:dyDescent="0.2">
      <c r="A15168" t="s">
        <v>25311</v>
      </c>
      <c r="B15168" t="s">
        <v>5613</v>
      </c>
      <c r="C15168" t="s">
        <v>1619</v>
      </c>
      <c r="D15168" t="s">
        <v>14</v>
      </c>
      <c r="E15168" t="s">
        <v>25312</v>
      </c>
      <c r="F15168" s="2" t="str">
        <f>HYPERLINK("http://www.otzar.org/book.asp?21036","חידושי הגאון רבי יעקב אורנשטיין")</f>
        <v>חידושי הגאון רבי יעקב אורנשטיין</v>
      </c>
    </row>
    <row r="15169" spans="1:6" x14ac:dyDescent="0.2">
      <c r="A15169" t="s">
        <v>25313</v>
      </c>
      <c r="B15169" t="s">
        <v>25314</v>
      </c>
      <c r="C15169" t="s">
        <v>244</v>
      </c>
      <c r="D15169" t="s">
        <v>27</v>
      </c>
      <c r="E15169" t="s">
        <v>144</v>
      </c>
      <c r="F15169" s="2" t="str">
        <f>HYPERLINK("http://www.otzar.org/book.asp?603908","חידושי הגאון רבי יצחק קוליץ - ברכות, שבת")</f>
        <v>חידושי הגאון רבי יצחק קוליץ - ברכות, שבת</v>
      </c>
    </row>
    <row r="15170" spans="1:6" x14ac:dyDescent="0.2">
      <c r="A15170" t="s">
        <v>25315</v>
      </c>
      <c r="B15170" t="s">
        <v>565</v>
      </c>
      <c r="C15170" t="s">
        <v>360</v>
      </c>
      <c r="D15170" t="s">
        <v>225</v>
      </c>
      <c r="E15170" t="s">
        <v>172</v>
      </c>
      <c r="F15170" s="2" t="str">
        <f>HYPERLINK("http://www.otzar.org/book.asp?18787","חידושי הגהות")</f>
        <v>חידושי הגהות</v>
      </c>
    </row>
    <row r="15171" spans="1:6" x14ac:dyDescent="0.2">
      <c r="A15171" t="s">
        <v>25316</v>
      </c>
      <c r="B15171" t="s">
        <v>25317</v>
      </c>
      <c r="C15171" t="s">
        <v>466</v>
      </c>
      <c r="D15171" t="s">
        <v>14</v>
      </c>
      <c r="E15171" t="s">
        <v>25318</v>
      </c>
      <c r="F15171" s="2" t="str">
        <f>HYPERLINK("http://www.otzar.org/book.asp?17061","חידושי הגר""א &lt;מהדורת סופר&gt; - 2 כר'")</f>
        <v>חידושי הגר"א &lt;מהדורת סופר&gt; - 2 כר'</v>
      </c>
    </row>
    <row r="15172" spans="1:6" x14ac:dyDescent="0.2">
      <c r="A15172" t="s">
        <v>25319</v>
      </c>
      <c r="B15172" t="s">
        <v>18328</v>
      </c>
      <c r="C15172" t="s">
        <v>411</v>
      </c>
      <c r="D15172" t="s">
        <v>14</v>
      </c>
      <c r="F15172" s="2" t="str">
        <f>HYPERLINK("http://www.otzar.org/book.asp?197917","חידושי הגר""א &lt;אור אליהו&gt; - 5 כר'")</f>
        <v>חידושי הגר"א &lt;אור אליהו&gt; - 5 כר'</v>
      </c>
    </row>
    <row r="15173" spans="1:6" x14ac:dyDescent="0.2">
      <c r="A15173" t="s">
        <v>25320</v>
      </c>
      <c r="B15173" t="s">
        <v>1821</v>
      </c>
      <c r="C15173" t="s">
        <v>20</v>
      </c>
      <c r="D15173" t="s">
        <v>118</v>
      </c>
      <c r="E15173" t="s">
        <v>5186</v>
      </c>
      <c r="F15173" s="2" t="str">
        <f>HYPERLINK("http://www.otzar.org/book.asp?5867","חידושי הגר""א &lt;ליקוטי תורה&gt;")</f>
        <v>חידושי הגר"א &lt;ליקוטי תורה&gt;</v>
      </c>
    </row>
    <row r="15174" spans="1:6" x14ac:dyDescent="0.2">
      <c r="A15174" t="s">
        <v>25321</v>
      </c>
      <c r="B15174" t="s">
        <v>25322</v>
      </c>
      <c r="C15174" t="s">
        <v>1208</v>
      </c>
      <c r="D15174" t="s">
        <v>14</v>
      </c>
      <c r="E15174" t="s">
        <v>144</v>
      </c>
      <c r="F15174" s="2" t="str">
        <f>HYPERLINK("http://www.otzar.org/book.asp?144641","חידושי הגר""ד - 3 כר'")</f>
        <v>חידושי הגר"ד - 3 כר'</v>
      </c>
    </row>
    <row r="15175" spans="1:6" x14ac:dyDescent="0.2">
      <c r="A15175" t="s">
        <v>25323</v>
      </c>
      <c r="B15175" t="s">
        <v>25324</v>
      </c>
      <c r="C15175" t="s">
        <v>13</v>
      </c>
      <c r="D15175" t="s">
        <v>52</v>
      </c>
      <c r="E15175" t="s">
        <v>7817</v>
      </c>
      <c r="F15175" s="2" t="str">
        <f>HYPERLINK("http://www.otzar.org/book.asp?174682","חידושי הגר""ח &lt;מהדורת מישור&gt;")</f>
        <v>חידושי הגר"ח &lt;מהדורת מישור&gt;</v>
      </c>
    </row>
    <row r="15176" spans="1:6" x14ac:dyDescent="0.2">
      <c r="A15176" t="s">
        <v>25325</v>
      </c>
      <c r="B15176" t="s">
        <v>25324</v>
      </c>
      <c r="C15176" t="s">
        <v>20</v>
      </c>
      <c r="D15176" t="s">
        <v>90</v>
      </c>
      <c r="E15176" t="s">
        <v>144</v>
      </c>
      <c r="F15176" s="2" t="str">
        <f>HYPERLINK("http://www.otzar.org/book.asp?60768","חידושי הגר""ח השלם &lt;סטנסיל&gt;")</f>
        <v>חידושי הגר"ח השלם &lt;סטנסיל&gt;</v>
      </c>
    </row>
    <row r="15177" spans="1:6" x14ac:dyDescent="0.2">
      <c r="A15177" t="s">
        <v>25326</v>
      </c>
      <c r="B15177" t="s">
        <v>25324</v>
      </c>
      <c r="C15177" t="s">
        <v>20</v>
      </c>
      <c r="D15177" t="s">
        <v>118</v>
      </c>
      <c r="E15177" t="s">
        <v>144</v>
      </c>
      <c r="F15177" s="2" t="str">
        <f>HYPERLINK("http://www.otzar.org/book.asp?11542","חידושי הגר""ח השלם - 3 כר'")</f>
        <v>חידושי הגר"ח השלם - 3 כר'</v>
      </c>
    </row>
    <row r="15178" spans="1:6" x14ac:dyDescent="0.2">
      <c r="A15178" t="s">
        <v>25327</v>
      </c>
      <c r="B15178" t="s">
        <v>25328</v>
      </c>
      <c r="C15178" t="s">
        <v>79</v>
      </c>
      <c r="D15178" t="s">
        <v>9</v>
      </c>
      <c r="E15178" t="s">
        <v>920</v>
      </c>
      <c r="F15178" s="2" t="str">
        <f>HYPERLINK("http://www.otzar.org/book.asp?104851","חידושי הגר""י - 3 כר'")</f>
        <v>חידושי הגר"י - 3 כר'</v>
      </c>
    </row>
    <row r="15179" spans="1:6" x14ac:dyDescent="0.2">
      <c r="A15179" t="s">
        <v>25329</v>
      </c>
      <c r="B15179" t="s">
        <v>6439</v>
      </c>
      <c r="C15179" t="s">
        <v>129</v>
      </c>
      <c r="D15179" t="s">
        <v>3283</v>
      </c>
      <c r="E15179" t="s">
        <v>2695</v>
      </c>
      <c r="F15179" s="2" t="str">
        <f>HYPERLINK("http://www.otzar.org/book.asp?169577","חידושי הגר""מ אריק - מקואות")</f>
        <v>חידושי הגר"מ אריק - מקואות</v>
      </c>
    </row>
    <row r="15180" spans="1:6" x14ac:dyDescent="0.2">
      <c r="A15180" t="s">
        <v>25330</v>
      </c>
      <c r="B15180" t="s">
        <v>25331</v>
      </c>
      <c r="C15180" t="s">
        <v>411</v>
      </c>
      <c r="D15180" t="s">
        <v>14</v>
      </c>
      <c r="F15180" s="2" t="str">
        <f>HYPERLINK("http://www.otzar.org/book.asp?167425","חידושי הגר""מ הלוי")</f>
        <v>חידושי הגר"מ הלוי</v>
      </c>
    </row>
    <row r="15181" spans="1:6" x14ac:dyDescent="0.2">
      <c r="A15181" t="s">
        <v>25332</v>
      </c>
      <c r="B15181" t="s">
        <v>18040</v>
      </c>
      <c r="C15181" t="s">
        <v>189</v>
      </c>
      <c r="D15181" t="s">
        <v>14</v>
      </c>
      <c r="E15181" t="s">
        <v>1072</v>
      </c>
      <c r="F15181" s="2" t="str">
        <f>HYPERLINK("http://www.otzar.org/book.asp?50452","חידושי הגרא""א דסלר על הש""ס")</f>
        <v>חידושי הגרא"א דסלר על הש"ס</v>
      </c>
    </row>
    <row r="15182" spans="1:6" x14ac:dyDescent="0.2">
      <c r="A15182" t="s">
        <v>25333</v>
      </c>
      <c r="B15182" t="s">
        <v>25324</v>
      </c>
      <c r="C15182" t="s">
        <v>1062</v>
      </c>
      <c r="D15182" t="s">
        <v>27</v>
      </c>
      <c r="E15182" t="s">
        <v>803</v>
      </c>
      <c r="F15182" s="2" t="str">
        <f>HYPERLINK("http://www.otzar.org/book.asp?12044","חידושי הגרח""ס ז""ל")</f>
        <v>חידושי הגרח"ס ז"ל</v>
      </c>
    </row>
    <row r="15183" spans="1:6" x14ac:dyDescent="0.2">
      <c r="A15183" t="s">
        <v>25334</v>
      </c>
      <c r="B15183" t="s">
        <v>25335</v>
      </c>
      <c r="C15183" t="s">
        <v>767</v>
      </c>
      <c r="D15183" t="s">
        <v>245</v>
      </c>
      <c r="F15183" s="2" t="str">
        <f>HYPERLINK("http://www.otzar.org/book.asp?616261","חידושי הגרי""ז פוזנא")</f>
        <v>חידושי הגרי"ז פוזנא</v>
      </c>
    </row>
    <row r="15184" spans="1:6" x14ac:dyDescent="0.2">
      <c r="A15184" t="s">
        <v>25336</v>
      </c>
      <c r="B15184" t="s">
        <v>25337</v>
      </c>
      <c r="C15184" t="s">
        <v>383</v>
      </c>
      <c r="D15184" t="s">
        <v>14</v>
      </c>
      <c r="F15184" s="2" t="str">
        <f>HYPERLINK("http://www.otzar.org/book.asp?158019","חידושי הגרי""ח")</f>
        <v>חידושי הגרי"ח</v>
      </c>
    </row>
    <row r="15185" spans="1:6" x14ac:dyDescent="0.2">
      <c r="A15185" t="s">
        <v>25338</v>
      </c>
      <c r="B15185" t="s">
        <v>25339</v>
      </c>
      <c r="C15185" t="s">
        <v>1062</v>
      </c>
      <c r="D15185" t="s">
        <v>27</v>
      </c>
      <c r="E15185" t="s">
        <v>144</v>
      </c>
      <c r="F15185" s="2" t="str">
        <f>HYPERLINK("http://www.otzar.org/book.asp?12045","חידושי הגריי""ר")</f>
        <v>חידושי הגריי"ר</v>
      </c>
    </row>
    <row r="15186" spans="1:6" x14ac:dyDescent="0.2">
      <c r="A15186" t="s">
        <v>25340</v>
      </c>
      <c r="B15186" t="s">
        <v>3038</v>
      </c>
      <c r="C15186" t="s">
        <v>68</v>
      </c>
      <c r="D15186" t="s">
        <v>52</v>
      </c>
      <c r="E15186" t="s">
        <v>144</v>
      </c>
      <c r="F15186" s="2" t="str">
        <f>HYPERLINK("http://www.otzar.org/book.asp?165368","חידושי הגרמ""ז - 3 כר'")</f>
        <v>חידושי הגרמ"ז - 3 כר'</v>
      </c>
    </row>
    <row r="15187" spans="1:6" x14ac:dyDescent="0.2">
      <c r="A15187" t="s">
        <v>25341</v>
      </c>
      <c r="B15187" t="s">
        <v>25342</v>
      </c>
      <c r="C15187" t="s">
        <v>843</v>
      </c>
      <c r="D15187" t="s">
        <v>21</v>
      </c>
      <c r="E15187" t="s">
        <v>144</v>
      </c>
      <c r="F15187" s="2" t="str">
        <f>HYPERLINK("http://www.otzar.org/book.asp?199734","חידושי הגרנ""ט - 4 כר'")</f>
        <v>חידושי הגרנ"ט - 4 כר'</v>
      </c>
    </row>
    <row r="15188" spans="1:6" x14ac:dyDescent="0.2">
      <c r="A15188" t="s">
        <v>25343</v>
      </c>
      <c r="B15188" t="s">
        <v>25344</v>
      </c>
      <c r="C15188" t="s">
        <v>334</v>
      </c>
      <c r="D15188" t="s">
        <v>14</v>
      </c>
      <c r="E15188" t="s">
        <v>234</v>
      </c>
      <c r="F15188" s="2" t="str">
        <f>HYPERLINK("http://www.otzar.org/book.asp?84959","חידושי הגרש""ז")</f>
        <v>חידושי הגרש"ז</v>
      </c>
    </row>
    <row r="15189" spans="1:6" x14ac:dyDescent="0.2">
      <c r="A15189" t="s">
        <v>25345</v>
      </c>
      <c r="B15189" t="s">
        <v>25346</v>
      </c>
      <c r="C15189" t="s">
        <v>16450</v>
      </c>
      <c r="D15189" t="s">
        <v>322</v>
      </c>
      <c r="E15189" t="s">
        <v>4561</v>
      </c>
      <c r="F15189" s="2" t="str">
        <f>HYPERLINK("http://www.otzar.org/book.asp?100910","חידושי הגרשוני")</f>
        <v>חידושי הגרשוני</v>
      </c>
    </row>
    <row r="15190" spans="1:6" x14ac:dyDescent="0.2">
      <c r="A15190" t="s">
        <v>25345</v>
      </c>
      <c r="B15190" t="s">
        <v>25347</v>
      </c>
      <c r="C15190" t="s">
        <v>3690</v>
      </c>
      <c r="D15190" t="s">
        <v>6238</v>
      </c>
      <c r="E15190" t="s">
        <v>25348</v>
      </c>
      <c r="F15190" s="2" t="str">
        <f>HYPERLINK("http://www.otzar.org/book.asp?18788","חידושי הגרשוני")</f>
        <v>חידושי הגרשוני</v>
      </c>
    </row>
    <row r="15191" spans="1:6" x14ac:dyDescent="0.2">
      <c r="A15191" t="s">
        <v>25349</v>
      </c>
      <c r="B15191" t="s">
        <v>718</v>
      </c>
      <c r="C15191" t="s">
        <v>151</v>
      </c>
      <c r="D15191" t="s">
        <v>14</v>
      </c>
      <c r="E15191" t="s">
        <v>325</v>
      </c>
      <c r="F15191" s="2" t="str">
        <f>HYPERLINK("http://www.otzar.org/book.asp?619732","חידושי החוזה מלובלין על הש""ס")</f>
        <v>חידושי החוזה מלובלין על הש"ס</v>
      </c>
    </row>
    <row r="15192" spans="1:6" x14ac:dyDescent="0.2">
      <c r="A15192" t="s">
        <v>25350</v>
      </c>
      <c r="B15192" t="s">
        <v>15789</v>
      </c>
      <c r="C15192" t="s">
        <v>523</v>
      </c>
      <c r="D15192" t="s">
        <v>52</v>
      </c>
      <c r="E15192" t="s">
        <v>144</v>
      </c>
      <c r="F15192" s="2" t="str">
        <f>HYPERLINK("http://www.otzar.org/book.asp?606021","חידושי החנוכי - 2 כר'")</f>
        <v>חידושי החנוכי - 2 כר'</v>
      </c>
    </row>
    <row r="15193" spans="1:6" x14ac:dyDescent="0.2">
      <c r="A15193" t="s">
        <v>25351</v>
      </c>
      <c r="B15193" t="s">
        <v>25352</v>
      </c>
      <c r="C15193" t="s">
        <v>576</v>
      </c>
      <c r="D15193" t="s">
        <v>691</v>
      </c>
      <c r="E15193" t="s">
        <v>1211</v>
      </c>
      <c r="F15193" s="2" t="str">
        <f>HYPERLINK("http://www.otzar.org/book.asp?23472","חידושי היהודי")</f>
        <v>חידושי היהודי</v>
      </c>
    </row>
    <row r="15194" spans="1:6" x14ac:dyDescent="0.2">
      <c r="A15194" t="s">
        <v>25353</v>
      </c>
      <c r="B15194" t="s">
        <v>25354</v>
      </c>
      <c r="C15194" t="s">
        <v>422</v>
      </c>
      <c r="D15194" t="s">
        <v>14</v>
      </c>
      <c r="E15194" t="s">
        <v>158</v>
      </c>
      <c r="F15194" s="2" t="str">
        <f>HYPERLINK("http://www.otzar.org/book.asp?159190","חידושי הלב - 6 כר'")</f>
        <v>חידושי הלב - 6 כר'</v>
      </c>
    </row>
    <row r="15195" spans="1:6" x14ac:dyDescent="0.2">
      <c r="A15195" t="s">
        <v>25355</v>
      </c>
      <c r="B15195" t="s">
        <v>3484</v>
      </c>
      <c r="C15195" t="s">
        <v>843</v>
      </c>
      <c r="D15195" t="s">
        <v>563</v>
      </c>
      <c r="E15195" t="s">
        <v>64</v>
      </c>
      <c r="F15195" s="2" t="str">
        <f>HYPERLINK("http://www.otzar.org/book.asp?161097","חידושי הלבנה - 4 כר'")</f>
        <v>חידושי הלבנה - 4 כר'</v>
      </c>
    </row>
    <row r="15196" spans="1:6" x14ac:dyDescent="0.2">
      <c r="A15196" t="s">
        <v>25356</v>
      </c>
      <c r="B15196" t="s">
        <v>25357</v>
      </c>
      <c r="C15196" t="s">
        <v>10538</v>
      </c>
      <c r="D15196" t="s">
        <v>885</v>
      </c>
      <c r="E15196" t="s">
        <v>144</v>
      </c>
      <c r="F15196" s="2" t="str">
        <f>HYPERLINK("http://www.otzar.org/book.asp?104861","חידושי הלכות &lt;מהר""י בן לב, מהרש""ך&gt;")</f>
        <v>חידושי הלכות &lt;מהר"י בן לב, מהרש"ך&gt;</v>
      </c>
    </row>
    <row r="15197" spans="1:6" x14ac:dyDescent="0.2">
      <c r="A15197" t="s">
        <v>25358</v>
      </c>
      <c r="B15197" t="s">
        <v>25359</v>
      </c>
      <c r="C15197" t="s">
        <v>25360</v>
      </c>
      <c r="D15197" t="s">
        <v>283</v>
      </c>
      <c r="E15197" t="s">
        <v>144</v>
      </c>
      <c r="F15197" s="2" t="str">
        <f>HYPERLINK("http://www.otzar.org/book.asp?6975","חידושי הלכות &lt;מהר""ם שיף&gt; - 3 כר'")</f>
        <v>חידושי הלכות &lt;מהר"ם שיף&gt; - 3 כר'</v>
      </c>
    </row>
    <row r="15198" spans="1:6" x14ac:dyDescent="0.2">
      <c r="A15198" t="s">
        <v>25361</v>
      </c>
      <c r="B15198" t="s">
        <v>23517</v>
      </c>
      <c r="C15198" t="s">
        <v>16796</v>
      </c>
      <c r="D15198" t="s">
        <v>60</v>
      </c>
      <c r="E15198" t="s">
        <v>144</v>
      </c>
      <c r="F15198" s="2" t="str">
        <f>HYPERLINK("http://www.otzar.org/book.asp?19103","חידושי הלכות &lt;דרך ים התלמוד&gt;")</f>
        <v>חידושי הלכות &lt;דרך ים התלמוד&gt;</v>
      </c>
    </row>
    <row r="15199" spans="1:6" x14ac:dyDescent="0.2">
      <c r="A15199" t="s">
        <v>25362</v>
      </c>
      <c r="B15199" t="s">
        <v>25359</v>
      </c>
      <c r="C15199" t="s">
        <v>26</v>
      </c>
      <c r="D15199" t="s">
        <v>14</v>
      </c>
      <c r="E15199" t="s">
        <v>2495</v>
      </c>
      <c r="F15199" s="2" t="str">
        <f>HYPERLINK("http://www.otzar.org/book.asp?5728","חידושי הלכות המהר""ם שי""ף &lt;עם הערות&gt; - גיטין")</f>
        <v>חידושי הלכות המהר"ם שי"ף &lt;עם הערות&gt; - גיטין</v>
      </c>
    </row>
    <row r="15200" spans="1:6" x14ac:dyDescent="0.2">
      <c r="A15200" t="s">
        <v>25363</v>
      </c>
      <c r="B15200" t="s">
        <v>25364</v>
      </c>
      <c r="C15200" t="s">
        <v>2302</v>
      </c>
      <c r="D15200" t="s">
        <v>2290</v>
      </c>
      <c r="E15200" t="s">
        <v>508</v>
      </c>
      <c r="F15200" s="2" t="str">
        <f>HYPERLINK("http://www.otzar.org/book.asp?100279","חידושי הלכות ושו""ת פנים מסבירות")</f>
        <v>חידושי הלכות ושו"ת פנים מסבירות</v>
      </c>
    </row>
    <row r="15201" spans="1:6" x14ac:dyDescent="0.2">
      <c r="A15201" t="s">
        <v>25365</v>
      </c>
      <c r="B15201" t="s">
        <v>25366</v>
      </c>
      <c r="C15201" t="s">
        <v>411</v>
      </c>
      <c r="D15201" t="s">
        <v>367</v>
      </c>
      <c r="F15201" s="2" t="str">
        <f>HYPERLINK("http://www.otzar.org/book.asp?169726","חידושי הלכות למהרש""א עם פתח להיכל")</f>
        <v>חידושי הלכות למהרש"א עם פתח להיכל</v>
      </c>
    </row>
    <row r="15202" spans="1:6" x14ac:dyDescent="0.2">
      <c r="A15202" t="s">
        <v>25367</v>
      </c>
      <c r="B15202" t="s">
        <v>1264</v>
      </c>
      <c r="C15202" t="s">
        <v>189</v>
      </c>
      <c r="D15202" t="s">
        <v>52</v>
      </c>
      <c r="E15202" t="s">
        <v>15</v>
      </c>
      <c r="F15202" s="2" t="str">
        <f>HYPERLINK("http://www.otzar.org/book.asp?623649","חידושי הלכות מבעל הבני יששכר")</f>
        <v>חידושי הלכות מבעל הבני יששכר</v>
      </c>
    </row>
    <row r="15203" spans="1:6" x14ac:dyDescent="0.2">
      <c r="A15203" t="s">
        <v>25368</v>
      </c>
      <c r="B15203" t="s">
        <v>23517</v>
      </c>
      <c r="C15203" t="s">
        <v>1019</v>
      </c>
      <c r="D15203" t="s">
        <v>535</v>
      </c>
      <c r="E15203" t="s">
        <v>144</v>
      </c>
      <c r="F15203" s="2" t="str">
        <f>HYPERLINK("http://www.otzar.org/book.asp?103334","חידושי הלכות מהדורי בתרא - 3 כר'")</f>
        <v>חידושי הלכות מהדורי בתרא - 3 כר'</v>
      </c>
    </row>
    <row r="15204" spans="1:6" x14ac:dyDescent="0.2">
      <c r="A15204" t="s">
        <v>25369</v>
      </c>
      <c r="B15204" t="s">
        <v>25370</v>
      </c>
      <c r="C15204" t="s">
        <v>1718</v>
      </c>
      <c r="D15204" t="s">
        <v>283</v>
      </c>
      <c r="E15204" t="s">
        <v>435</v>
      </c>
      <c r="F15204" s="2" t="str">
        <f>HYPERLINK("http://www.otzar.org/book.asp?151551","חידושי הלכות מהר""ם ברבי א - ב")</f>
        <v>חידושי הלכות מהר"ם ברבי א - ב</v>
      </c>
    </row>
    <row r="15205" spans="1:6" x14ac:dyDescent="0.2">
      <c r="A15205" t="s">
        <v>25371</v>
      </c>
      <c r="B15205" t="s">
        <v>25370</v>
      </c>
      <c r="C15205" t="s">
        <v>25372</v>
      </c>
      <c r="D15205" t="s">
        <v>403</v>
      </c>
      <c r="E15205" t="s">
        <v>8035</v>
      </c>
      <c r="F15205" s="2" t="str">
        <f>HYPERLINK("http://www.otzar.org/book.asp?7098","חידושי הלכות מהר""ם ברבי - 2 כר'")</f>
        <v>חידושי הלכות מהר"ם ברבי - 2 כר'</v>
      </c>
    </row>
    <row r="15206" spans="1:6" x14ac:dyDescent="0.2">
      <c r="A15206" t="s">
        <v>25373</v>
      </c>
      <c r="B15206" t="s">
        <v>1990</v>
      </c>
      <c r="C15206" t="s">
        <v>7384</v>
      </c>
      <c r="D15206" t="s">
        <v>4088</v>
      </c>
      <c r="E15206" t="s">
        <v>172</v>
      </c>
      <c r="F15206" s="2" t="str">
        <f>HYPERLINK("http://www.otzar.org/book.asp?182184","חידושי הלכות נדה")</f>
        <v>חידושי הלכות נדה</v>
      </c>
    </row>
    <row r="15207" spans="1:6" x14ac:dyDescent="0.2">
      <c r="A15207" t="s">
        <v>25374</v>
      </c>
      <c r="B15207" t="s">
        <v>18025</v>
      </c>
      <c r="C15207" t="s">
        <v>3690</v>
      </c>
      <c r="D15207" t="s">
        <v>283</v>
      </c>
      <c r="E15207" t="s">
        <v>246</v>
      </c>
      <c r="F15207" s="2" t="str">
        <f>HYPERLINK("http://www.otzar.org/book.asp?149642","חידושי הלכות על הלכות פסח")</f>
        <v>חידושי הלכות על הלכות פסח</v>
      </c>
    </row>
    <row r="15208" spans="1:6" x14ac:dyDescent="0.2">
      <c r="A15208" t="s">
        <v>25375</v>
      </c>
      <c r="B15208" t="s">
        <v>25376</v>
      </c>
      <c r="C15208" t="s">
        <v>496</v>
      </c>
      <c r="D15208" t="s">
        <v>6010</v>
      </c>
      <c r="E15208" t="s">
        <v>144</v>
      </c>
      <c r="F15208" s="2" t="str">
        <f>HYPERLINK("http://www.otzar.org/book.asp?147842","חידושי הלכות על מסכת כריתות")</f>
        <v>חידושי הלכות על מסכת כריתות</v>
      </c>
    </row>
    <row r="15209" spans="1:6" x14ac:dyDescent="0.2">
      <c r="A15209" t="s">
        <v>25377</v>
      </c>
      <c r="B15209" t="s">
        <v>25378</v>
      </c>
      <c r="C15209" t="s">
        <v>17</v>
      </c>
      <c r="D15209" t="s">
        <v>25379</v>
      </c>
      <c r="E15209" t="s">
        <v>508</v>
      </c>
      <c r="F15209" s="2" t="str">
        <f>HYPERLINK("http://www.otzar.org/book.asp?21969","חידושי הלכות על מסכת עירובין")</f>
        <v>חידושי הלכות על מסכת עירובין</v>
      </c>
    </row>
    <row r="15210" spans="1:6" x14ac:dyDescent="0.2">
      <c r="A15210" t="s">
        <v>25380</v>
      </c>
      <c r="B15210" t="s">
        <v>1821</v>
      </c>
      <c r="C15210" t="s">
        <v>843</v>
      </c>
      <c r="D15210" t="s">
        <v>27</v>
      </c>
      <c r="E15210" t="s">
        <v>803</v>
      </c>
      <c r="F15210" s="2" t="str">
        <f>HYPERLINK("http://www.otzar.org/book.asp?5866","חידושי הלכות על מסכת שבת")</f>
        <v>חידושי הלכות על מסכת שבת</v>
      </c>
    </row>
    <row r="15211" spans="1:6" x14ac:dyDescent="0.2">
      <c r="A15211" t="s">
        <v>25381</v>
      </c>
      <c r="B15211" t="s">
        <v>25382</v>
      </c>
      <c r="C15211" t="s">
        <v>6203</v>
      </c>
      <c r="D15211" t="s">
        <v>2303</v>
      </c>
      <c r="E15211" t="s">
        <v>144</v>
      </c>
      <c r="F15211" s="2" t="str">
        <f>HYPERLINK("http://www.otzar.org/book.asp?169303","חידושי הלכות רשב""ץ - 2 כר'")</f>
        <v>חידושי הלכות רשב"ץ - 2 כר'</v>
      </c>
    </row>
    <row r="15212" spans="1:6" x14ac:dyDescent="0.2">
      <c r="A15212" t="s">
        <v>25383</v>
      </c>
      <c r="B15212" t="s">
        <v>25384</v>
      </c>
      <c r="C15212" t="s">
        <v>360</v>
      </c>
      <c r="D15212" t="s">
        <v>225</v>
      </c>
      <c r="E15212" t="s">
        <v>144</v>
      </c>
      <c r="F15212" s="2" t="str">
        <f>HYPERLINK("http://www.otzar.org/book.asp?11580","חידושי הלכות - ב""ק, ב""מ, ב""ב")</f>
        <v>חידושי הלכות - ב"ק, ב"מ, ב"ב</v>
      </c>
    </row>
    <row r="15213" spans="1:6" x14ac:dyDescent="0.2">
      <c r="A15213" t="s">
        <v>25385</v>
      </c>
      <c r="B15213" t="s">
        <v>3640</v>
      </c>
      <c r="C15213" t="s">
        <v>8476</v>
      </c>
      <c r="D15213" t="s">
        <v>5665</v>
      </c>
      <c r="E15213" t="s">
        <v>144</v>
      </c>
      <c r="F15213" s="2" t="str">
        <f>HYPERLINK("http://www.otzar.org/book.asp?5685","חידושי הלכות - ב""ק")</f>
        <v>חידושי הלכות - ב"ק</v>
      </c>
    </row>
    <row r="15214" spans="1:6" x14ac:dyDescent="0.2">
      <c r="A15214" t="s">
        <v>25386</v>
      </c>
      <c r="B15214" t="s">
        <v>8005</v>
      </c>
      <c r="C15214" t="s">
        <v>17448</v>
      </c>
      <c r="D15214" t="s">
        <v>12235</v>
      </c>
      <c r="E15214" t="s">
        <v>144</v>
      </c>
      <c r="F15214" s="2" t="str">
        <f>HYPERLINK("http://www.otzar.org/book.asp?12895","חידושי הלכות - גיטין")</f>
        <v>חידושי הלכות - גיטין</v>
      </c>
    </row>
    <row r="15215" spans="1:6" x14ac:dyDescent="0.2">
      <c r="A15215" t="s">
        <v>25387</v>
      </c>
      <c r="B15215" t="s">
        <v>25388</v>
      </c>
      <c r="C15215" t="s">
        <v>12754</v>
      </c>
      <c r="D15215" t="s">
        <v>726</v>
      </c>
      <c r="E15215" t="s">
        <v>144</v>
      </c>
      <c r="F15215" s="2" t="str">
        <f>HYPERLINK("http://www.otzar.org/book.asp?146999","חידושי הלכות")</f>
        <v>חידושי הלכות</v>
      </c>
    </row>
    <row r="15216" spans="1:6" x14ac:dyDescent="0.2">
      <c r="A15216" t="s">
        <v>25387</v>
      </c>
      <c r="B15216" t="s">
        <v>25389</v>
      </c>
      <c r="C15216" t="s">
        <v>22961</v>
      </c>
      <c r="D15216" t="s">
        <v>42</v>
      </c>
      <c r="E15216" t="s">
        <v>144</v>
      </c>
      <c r="F15216" s="2" t="str">
        <f>HYPERLINK("http://www.otzar.org/book.asp?100890","חידושי הלכות")</f>
        <v>חידושי הלכות</v>
      </c>
    </row>
    <row r="15217" spans="1:6" x14ac:dyDescent="0.2">
      <c r="A15217" t="s">
        <v>25387</v>
      </c>
      <c r="B15217" t="s">
        <v>25390</v>
      </c>
      <c r="C15217" t="s">
        <v>22961</v>
      </c>
      <c r="D15217" t="s">
        <v>15839</v>
      </c>
      <c r="E15217" t="s">
        <v>144</v>
      </c>
      <c r="F15217" s="2" t="str">
        <f>HYPERLINK("http://www.otzar.org/book.asp?17518","חידושי הלכות")</f>
        <v>חידושי הלכות</v>
      </c>
    </row>
    <row r="15218" spans="1:6" x14ac:dyDescent="0.2">
      <c r="A15218" t="s">
        <v>25391</v>
      </c>
      <c r="B15218" t="s">
        <v>23517</v>
      </c>
      <c r="C15218" t="s">
        <v>25392</v>
      </c>
      <c r="D15218" t="s">
        <v>280</v>
      </c>
      <c r="E15218" t="s">
        <v>144</v>
      </c>
      <c r="F15218" s="2" t="str">
        <f>HYPERLINK("http://www.otzar.org/book.asp?103339","חידושי הלכות - 4 כר'")</f>
        <v>חידושי הלכות - 4 כר'</v>
      </c>
    </row>
    <row r="15219" spans="1:6" x14ac:dyDescent="0.2">
      <c r="A15219" t="s">
        <v>25393</v>
      </c>
      <c r="B15219" t="s">
        <v>18025</v>
      </c>
      <c r="C15219" t="s">
        <v>3690</v>
      </c>
      <c r="D15219" t="s">
        <v>283</v>
      </c>
      <c r="E15219" t="s">
        <v>15</v>
      </c>
      <c r="F15219" s="2" t="str">
        <f>HYPERLINK("http://www.otzar.org/book.asp?104757","חידושי הלכות - פסח")</f>
        <v>חידושי הלכות - פסח</v>
      </c>
    </row>
    <row r="15220" spans="1:6" x14ac:dyDescent="0.2">
      <c r="A15220" t="s">
        <v>25394</v>
      </c>
      <c r="B15220" t="s">
        <v>9963</v>
      </c>
      <c r="C15220" t="s">
        <v>558</v>
      </c>
      <c r="D15220" t="s">
        <v>283</v>
      </c>
      <c r="E15220" t="s">
        <v>144</v>
      </c>
      <c r="F15220" s="2" t="str">
        <f>HYPERLINK("http://www.otzar.org/book.asp?100307","חידושי המאירי - 8 כר'")</f>
        <v>חידושי המאירי - 8 כר'</v>
      </c>
    </row>
    <row r="15221" spans="1:6" x14ac:dyDescent="0.2">
      <c r="A15221" t="s">
        <v>25395</v>
      </c>
      <c r="B15221" t="s">
        <v>2571</v>
      </c>
      <c r="C15221" t="s">
        <v>133</v>
      </c>
      <c r="D15221" t="s">
        <v>245</v>
      </c>
      <c r="E15221" t="s">
        <v>144</v>
      </c>
      <c r="F15221" s="2" t="str">
        <f>HYPERLINK("http://www.otzar.org/book.asp?173968","חידושי המהריל""ד - 2 כר'")</f>
        <v>חידושי המהריל"ד - 2 כר'</v>
      </c>
    </row>
    <row r="15222" spans="1:6" x14ac:dyDescent="0.2">
      <c r="A15222" t="s">
        <v>25396</v>
      </c>
      <c r="B15222" t="s">
        <v>3057</v>
      </c>
      <c r="C15222" t="s">
        <v>63</v>
      </c>
      <c r="D15222" t="s">
        <v>14</v>
      </c>
      <c r="E15222" t="s">
        <v>144</v>
      </c>
      <c r="F15222" s="2" t="str">
        <f>HYPERLINK("http://www.otzar.org/book.asp?200398","חידושי המלבי""ם על הש""ס -")</f>
        <v>חידושי המלבי"ם על הש"ס -</v>
      </c>
    </row>
    <row r="15223" spans="1:6" x14ac:dyDescent="0.2">
      <c r="A15223" t="s">
        <v>25397</v>
      </c>
      <c r="B15223" t="s">
        <v>1303</v>
      </c>
      <c r="C15223" t="s">
        <v>989</v>
      </c>
      <c r="D15223" t="s">
        <v>14</v>
      </c>
      <c r="E15223" t="s">
        <v>1103</v>
      </c>
      <c r="F15223" s="2" t="str">
        <f>HYPERLINK("http://www.otzar.org/book.asp?148379","חידושי הנצי""ב על התורת כהנים")</f>
        <v>חידושי הנצי"ב על התורת כהנים</v>
      </c>
    </row>
    <row r="15224" spans="1:6" x14ac:dyDescent="0.2">
      <c r="A15224" t="s">
        <v>25398</v>
      </c>
      <c r="B15224" t="s">
        <v>25399</v>
      </c>
      <c r="C15224" t="s">
        <v>313</v>
      </c>
      <c r="D15224" t="s">
        <v>20</v>
      </c>
      <c r="E15224" t="s">
        <v>144</v>
      </c>
      <c r="F15224" s="2" t="str">
        <f>HYPERLINK("http://www.otzar.org/book.asp?170898","חידושי הנתיבות, בפלפול התלמידים")</f>
        <v>חידושי הנתיבות, בפלפול התלמידים</v>
      </c>
    </row>
    <row r="15225" spans="1:6" x14ac:dyDescent="0.2">
      <c r="A15225" t="s">
        <v>25400</v>
      </c>
      <c r="B15225" t="s">
        <v>5105</v>
      </c>
      <c r="C15225" t="s">
        <v>1570</v>
      </c>
      <c r="D15225" t="s">
        <v>14</v>
      </c>
      <c r="E15225" t="s">
        <v>144</v>
      </c>
      <c r="F15225" s="2" t="str">
        <f>HYPERLINK("http://www.otzar.org/book.asp?180360","חידושי העלוי ממייצ'יט - 3 כר'")</f>
        <v>חידושי העלוי ממייצ'יט - 3 כר'</v>
      </c>
    </row>
    <row r="15226" spans="1:6" x14ac:dyDescent="0.2">
      <c r="A15226" t="s">
        <v>25401</v>
      </c>
      <c r="B15226" t="s">
        <v>13163</v>
      </c>
      <c r="C15226" t="s">
        <v>1437</v>
      </c>
      <c r="D15226" t="s">
        <v>379</v>
      </c>
      <c r="E15226" t="s">
        <v>933</v>
      </c>
      <c r="F15226" s="2" t="str">
        <f>HYPERLINK("http://www.otzar.org/book.asp?104832","חידושי הפלא""ה")</f>
        <v>חידושי הפלא"ה</v>
      </c>
    </row>
    <row r="15227" spans="1:6" x14ac:dyDescent="0.2">
      <c r="A15227" t="s">
        <v>25402</v>
      </c>
      <c r="B15227" t="s">
        <v>13163</v>
      </c>
      <c r="C15227" t="s">
        <v>87</v>
      </c>
      <c r="D15227" t="s">
        <v>14</v>
      </c>
      <c r="E15227" t="s">
        <v>144</v>
      </c>
      <c r="F15227" s="2" t="str">
        <f>HYPERLINK("http://www.otzar.org/book.asp?166366","חידושי הפלאה &lt;מכת""י&gt; - 2 כר'")</f>
        <v>חידושי הפלאה &lt;מכת"י&gt; - 2 כר'</v>
      </c>
    </row>
    <row r="15228" spans="1:6" x14ac:dyDescent="0.2">
      <c r="A15228" t="s">
        <v>25403</v>
      </c>
      <c r="B15228" t="s">
        <v>25404</v>
      </c>
      <c r="C15228" t="s">
        <v>356</v>
      </c>
      <c r="D15228" t="s">
        <v>14</v>
      </c>
      <c r="E15228" t="s">
        <v>144</v>
      </c>
      <c r="F15228" s="2" t="str">
        <f>HYPERLINK("http://www.otzar.org/book.asp?62107","חידושי הר""י מיגאש ע""מ שבועות עם פי' אמרי יחיאל")</f>
        <v>חידושי הר"י מיגאש ע"מ שבועות עם פי' אמרי יחיאל</v>
      </c>
    </row>
    <row r="15229" spans="1:6" x14ac:dyDescent="0.2">
      <c r="A15229" t="s">
        <v>25405</v>
      </c>
      <c r="B15229" t="s">
        <v>25406</v>
      </c>
      <c r="C15229" t="s">
        <v>20</v>
      </c>
      <c r="D15229" t="s">
        <v>2347</v>
      </c>
      <c r="E15229" t="s">
        <v>144</v>
      </c>
      <c r="F15229" s="2" t="str">
        <f>HYPERLINK("http://www.otzar.org/book.asp?6114","חידושי הר""י מיגאש - 6 כר'")</f>
        <v>חידושי הר"י מיגאש - 6 כר'</v>
      </c>
    </row>
    <row r="15230" spans="1:6" x14ac:dyDescent="0.2">
      <c r="A15230" t="s">
        <v>25407</v>
      </c>
      <c r="B15230" t="s">
        <v>16964</v>
      </c>
      <c r="C15230" t="s">
        <v>523</v>
      </c>
      <c r="D15230" t="s">
        <v>52</v>
      </c>
      <c r="E15230" t="s">
        <v>144</v>
      </c>
      <c r="F15230" s="2" t="str">
        <f>HYPERLINK("http://www.otzar.org/book.asp?629159","חידושי הר""ן &lt;הוצאת פרדס&gt; - 15 כר'")</f>
        <v>חידושי הר"ן &lt;הוצאת פרדס&gt; - 15 כר'</v>
      </c>
    </row>
    <row r="15231" spans="1:6" x14ac:dyDescent="0.2">
      <c r="A15231" t="s">
        <v>25408</v>
      </c>
      <c r="B15231" t="s">
        <v>16964</v>
      </c>
      <c r="C15231" t="s">
        <v>1663</v>
      </c>
      <c r="D15231" t="s">
        <v>27</v>
      </c>
      <c r="E15231" t="s">
        <v>144</v>
      </c>
      <c r="F15231" s="2" t="str">
        <f>HYPERLINK("http://www.otzar.org/book.asp?5249","חידושי הר""ן - 18 כר'")</f>
        <v>חידושי הר"ן - 18 כר'</v>
      </c>
    </row>
    <row r="15232" spans="1:6" x14ac:dyDescent="0.2">
      <c r="A15232" t="s">
        <v>25409</v>
      </c>
      <c r="B15232" t="s">
        <v>19784</v>
      </c>
      <c r="C15232" t="s">
        <v>7162</v>
      </c>
      <c r="D15232" t="s">
        <v>744</v>
      </c>
      <c r="E15232" t="s">
        <v>144</v>
      </c>
      <c r="F15232" s="2" t="str">
        <f>HYPERLINK("http://www.otzar.org/book.asp?100898","חידושי הרא""ה - 11 כר'")</f>
        <v>חידושי הרא"ה - 11 כר'</v>
      </c>
    </row>
    <row r="15233" spans="1:6" x14ac:dyDescent="0.2">
      <c r="A15233" t="s">
        <v>25410</v>
      </c>
      <c r="B15233" t="s">
        <v>25411</v>
      </c>
      <c r="C15233" t="s">
        <v>1609</v>
      </c>
      <c r="D15233" t="s">
        <v>27</v>
      </c>
      <c r="E15233" t="s">
        <v>186</v>
      </c>
      <c r="F15233" s="2" t="str">
        <f>HYPERLINK("http://www.otzar.org/book.asp?7018","חידושי הרא""ה, תלמיד הרשב""א, רבינו יעקב בירב - קידושין")</f>
        <v>חידושי הרא"ה, תלמיד הרשב"א, רבינו יעקב בירב - קידושין</v>
      </c>
    </row>
    <row r="15234" spans="1:6" x14ac:dyDescent="0.2">
      <c r="A15234" t="s">
        <v>25412</v>
      </c>
      <c r="B15234" t="s">
        <v>11501</v>
      </c>
      <c r="C15234" t="s">
        <v>20</v>
      </c>
      <c r="D15234" t="s">
        <v>52</v>
      </c>
      <c r="E15234" t="s">
        <v>144</v>
      </c>
      <c r="F15234" s="2" t="str">
        <f>HYPERLINK("http://www.otzar.org/book.asp?169288","חידושי הראב""ד על מסכת קידושין")</f>
        <v>חידושי הראב"ד על מסכת קידושין</v>
      </c>
    </row>
    <row r="15235" spans="1:6" x14ac:dyDescent="0.2">
      <c r="A15235" t="s">
        <v>25413</v>
      </c>
      <c r="B15235" t="s">
        <v>11501</v>
      </c>
      <c r="C15235" t="s">
        <v>1470</v>
      </c>
      <c r="D15235" t="s">
        <v>563</v>
      </c>
      <c r="E15235" t="s">
        <v>144</v>
      </c>
      <c r="F15235" s="2" t="str">
        <f>HYPERLINK("http://www.otzar.org/book.asp?11644","חידושי הראב""ד")</f>
        <v>חידושי הראב"ד</v>
      </c>
    </row>
    <row r="15236" spans="1:6" x14ac:dyDescent="0.2">
      <c r="A15236" t="s">
        <v>25414</v>
      </c>
      <c r="B15236" t="s">
        <v>25415</v>
      </c>
      <c r="C15236" t="s">
        <v>1208</v>
      </c>
      <c r="D15236" t="s">
        <v>14</v>
      </c>
      <c r="E15236" t="s">
        <v>15</v>
      </c>
      <c r="F15236" s="2" t="str">
        <f>HYPERLINK("http://www.otzar.org/book.asp?160470","חידושי הראי""ה - 2 כר'")</f>
        <v>חידושי הראי"ה - 2 כר'</v>
      </c>
    </row>
    <row r="15237" spans="1:6" x14ac:dyDescent="0.2">
      <c r="A15237" t="s">
        <v>25416</v>
      </c>
      <c r="B15237" t="s">
        <v>20370</v>
      </c>
      <c r="C15237" t="s">
        <v>1663</v>
      </c>
      <c r="D15237" t="s">
        <v>27</v>
      </c>
      <c r="E15237" t="s">
        <v>144</v>
      </c>
      <c r="F15237" s="2" t="str">
        <f>HYPERLINK("http://www.otzar.org/book.asp?5747","חידושי הראנ""ח")</f>
        <v>חידושי הראנ"ח</v>
      </c>
    </row>
    <row r="15238" spans="1:6" x14ac:dyDescent="0.2">
      <c r="A15238" t="s">
        <v>25417</v>
      </c>
      <c r="B15238" t="s">
        <v>25418</v>
      </c>
      <c r="C15238" t="s">
        <v>411</v>
      </c>
      <c r="D15238" t="s">
        <v>1188</v>
      </c>
      <c r="E15238" t="s">
        <v>230</v>
      </c>
      <c r="F15238" s="2" t="str">
        <f>HYPERLINK("http://www.otzar.org/book.asp?172325","חידושי הרב אברהם לייב שור")</f>
        <v>חידושי הרב אברהם לייב שור</v>
      </c>
    </row>
    <row r="15239" spans="1:6" x14ac:dyDescent="0.2">
      <c r="A15239" t="s">
        <v>25419</v>
      </c>
      <c r="B15239" t="s">
        <v>25420</v>
      </c>
      <c r="C15239" t="s">
        <v>68</v>
      </c>
      <c r="D15239" t="s">
        <v>115</v>
      </c>
      <c r="F15239" s="2" t="str">
        <f>HYPERLINK("http://www.otzar.org/book.asp?153888","חידושי הרב ציטרון - קטרוני")</f>
        <v>חידושי הרב ציטרון - קטרוני</v>
      </c>
    </row>
    <row r="15240" spans="1:6" x14ac:dyDescent="0.2">
      <c r="A15240" t="s">
        <v>25421</v>
      </c>
      <c r="B15240" t="s">
        <v>25422</v>
      </c>
      <c r="C15240" t="s">
        <v>11715</v>
      </c>
      <c r="D15240" t="s">
        <v>76</v>
      </c>
      <c r="E15240" t="s">
        <v>508</v>
      </c>
      <c r="F15240" s="2" t="str">
        <f>HYPERLINK("http://www.otzar.org/book.asp?100897","חידושי הרב")</f>
        <v>חידושי הרב</v>
      </c>
    </row>
    <row r="15241" spans="1:6" x14ac:dyDescent="0.2">
      <c r="A15241" t="s">
        <v>25423</v>
      </c>
      <c r="B15241" t="s">
        <v>25424</v>
      </c>
      <c r="C15241" t="s">
        <v>553</v>
      </c>
      <c r="D15241" t="s">
        <v>14</v>
      </c>
      <c r="E15241" t="s">
        <v>144</v>
      </c>
      <c r="F15241" s="2" t="str">
        <f>HYPERLINK("http://www.otzar.org/book.asp?9262","חידושי הרב""ז זינגר")</f>
        <v>חידושי הרב"ז זינגר</v>
      </c>
    </row>
    <row r="15242" spans="1:6" x14ac:dyDescent="0.2">
      <c r="A15242" t="s">
        <v>25425</v>
      </c>
      <c r="B15242" t="s">
        <v>1926</v>
      </c>
      <c r="C15242" t="s">
        <v>23</v>
      </c>
      <c r="D15242" t="s">
        <v>412</v>
      </c>
      <c r="F15242" s="2" t="str">
        <f>HYPERLINK("http://www.otzar.org/book.asp?198024","חידושי הרד""ד &lt;מהדורה חדשה&gt;")</f>
        <v>חידושי הרד"ד &lt;מהדורה חדשה&gt;</v>
      </c>
    </row>
    <row r="15243" spans="1:6" x14ac:dyDescent="0.2">
      <c r="A15243" t="s">
        <v>25426</v>
      </c>
      <c r="B15243" t="s">
        <v>1926</v>
      </c>
      <c r="C15243" t="s">
        <v>351</v>
      </c>
      <c r="D15243" t="s">
        <v>283</v>
      </c>
      <c r="E15243" t="s">
        <v>435</v>
      </c>
      <c r="F15243" s="2" t="str">
        <f>HYPERLINK("http://www.otzar.org/book.asp?11567","חידושי הרד""ד")</f>
        <v>חידושי הרד"ד</v>
      </c>
    </row>
    <row r="15244" spans="1:6" x14ac:dyDescent="0.2">
      <c r="A15244" t="s">
        <v>25427</v>
      </c>
      <c r="B15244" t="s">
        <v>25428</v>
      </c>
      <c r="C15244" t="s">
        <v>1718</v>
      </c>
      <c r="D15244" t="s">
        <v>27</v>
      </c>
      <c r="E15244" t="s">
        <v>172</v>
      </c>
      <c r="F15244" s="2" t="str">
        <f>HYPERLINK("http://www.otzar.org/book.asp?14005","חידושי הרז""ה")</f>
        <v>חידושי הרז"ה</v>
      </c>
    </row>
    <row r="15245" spans="1:6" x14ac:dyDescent="0.2">
      <c r="A15245" t="s">
        <v>25429</v>
      </c>
      <c r="B15245" t="s">
        <v>6322</v>
      </c>
      <c r="C15245" t="s">
        <v>68</v>
      </c>
      <c r="D15245" t="s">
        <v>367</v>
      </c>
      <c r="F15245" s="2" t="str">
        <f>HYPERLINK("http://www.otzar.org/book.asp?154004","חידושי הרי""מ &lt;ליקוטי הרי""מ&gt; - 2 כר'")</f>
        <v>חידושי הרי"מ &lt;ליקוטי הרי"מ&gt; - 2 כר'</v>
      </c>
    </row>
    <row r="15246" spans="1:6" x14ac:dyDescent="0.2">
      <c r="A15246" t="s">
        <v>25430</v>
      </c>
      <c r="B15246" t="s">
        <v>6322</v>
      </c>
      <c r="C15246" t="s">
        <v>111</v>
      </c>
      <c r="D15246" t="s">
        <v>367</v>
      </c>
      <c r="E15246" t="s">
        <v>172</v>
      </c>
      <c r="F15246" s="2" t="str">
        <f>HYPERLINK("http://www.otzar.org/book.asp?630340","חידושי הרי""מ &lt;מהדורה חדשה&gt; - אה""ע")</f>
        <v>חידושי הרי"מ &lt;מהדורה חדשה&gt; - אה"ע</v>
      </c>
    </row>
    <row r="15247" spans="1:6" x14ac:dyDescent="0.2">
      <c r="A15247" t="s">
        <v>25431</v>
      </c>
      <c r="B15247" t="s">
        <v>6322</v>
      </c>
      <c r="C15247" t="s">
        <v>1166</v>
      </c>
      <c r="D15247" t="s">
        <v>691</v>
      </c>
      <c r="E15247" t="s">
        <v>25432</v>
      </c>
      <c r="F15247" s="2" t="str">
        <f>HYPERLINK("http://www.otzar.org/book.asp?20162","חידושי הרי""מ וגור אריה - על התורה ומסכת אבות")</f>
        <v>חידושי הרי"מ וגור אריה - על התורה ומסכת אבות</v>
      </c>
    </row>
    <row r="15248" spans="1:6" x14ac:dyDescent="0.2">
      <c r="A15248" t="s">
        <v>25433</v>
      </c>
      <c r="B15248" t="s">
        <v>6322</v>
      </c>
      <c r="C15248" t="s">
        <v>129</v>
      </c>
      <c r="D15248" t="s">
        <v>367</v>
      </c>
      <c r="E15248" t="s">
        <v>144</v>
      </c>
      <c r="F15248" s="2" t="str">
        <f>HYPERLINK("http://www.otzar.org/book.asp?159252","חידושי הרי""מ על הש""ס &lt;מהדורה חדשה&gt; - 5 כר'")</f>
        <v>חידושי הרי"מ על הש"ס &lt;מהדורה חדשה&gt; - 5 כר'</v>
      </c>
    </row>
    <row r="15249" spans="1:6" x14ac:dyDescent="0.2">
      <c r="A15249" t="s">
        <v>25434</v>
      </c>
      <c r="B15249" t="s">
        <v>6322</v>
      </c>
      <c r="C15249" t="s">
        <v>1640</v>
      </c>
      <c r="D15249" t="s">
        <v>14</v>
      </c>
      <c r="E15249" t="s">
        <v>25435</v>
      </c>
      <c r="F15249" s="2" t="str">
        <f>HYPERLINK("http://www.otzar.org/book.asp?188486","חידושי הרי""מ על התורה")</f>
        <v>חידושי הרי"מ על התורה</v>
      </c>
    </row>
    <row r="15250" spans="1:6" x14ac:dyDescent="0.2">
      <c r="A15250" t="s">
        <v>25436</v>
      </c>
      <c r="B15250" t="s">
        <v>6322</v>
      </c>
      <c r="C15250" t="s">
        <v>23</v>
      </c>
      <c r="D15250" t="s">
        <v>367</v>
      </c>
      <c r="E15250" t="s">
        <v>172</v>
      </c>
      <c r="F15250" s="2" t="str">
        <f>HYPERLINK("http://www.otzar.org/book.asp?191872","חידושי הרי""מ על שו""ע &lt;מהדורה חדשה&gt; - 3 כר'")</f>
        <v>חידושי הרי"מ על שו"ע &lt;מהדורה חדשה&gt; - 3 כר'</v>
      </c>
    </row>
    <row r="15251" spans="1:6" x14ac:dyDescent="0.2">
      <c r="A15251" t="s">
        <v>25437</v>
      </c>
      <c r="B15251" t="s">
        <v>6322</v>
      </c>
      <c r="C15251" t="s">
        <v>728</v>
      </c>
      <c r="D15251" t="s">
        <v>283</v>
      </c>
      <c r="F15251" s="2" t="str">
        <f>HYPERLINK("http://www.otzar.org/book.asp?160427","חידושי הרי""מ - 15 כר'")</f>
        <v>חידושי הרי"מ - 15 כר'</v>
      </c>
    </row>
    <row r="15252" spans="1:6" x14ac:dyDescent="0.2">
      <c r="A15252" t="s">
        <v>25438</v>
      </c>
      <c r="B15252" t="s">
        <v>25439</v>
      </c>
      <c r="C15252" t="s">
        <v>46</v>
      </c>
      <c r="D15252" t="s">
        <v>9</v>
      </c>
      <c r="E15252" t="s">
        <v>144</v>
      </c>
      <c r="F15252" s="2" t="str">
        <f>HYPERLINK("http://www.otzar.org/book.asp?24638","חידושי הריא""ם - א")</f>
        <v>חידושי הריא"ם - א</v>
      </c>
    </row>
    <row r="15253" spans="1:6" x14ac:dyDescent="0.2">
      <c r="A15253" t="s">
        <v>25440</v>
      </c>
      <c r="B15253" t="s">
        <v>25441</v>
      </c>
      <c r="C15253" t="s">
        <v>1335</v>
      </c>
      <c r="D15253" t="s">
        <v>855</v>
      </c>
      <c r="E15253" t="s">
        <v>803</v>
      </c>
      <c r="F15253" s="2" t="str">
        <f>HYPERLINK("http://www.otzar.org/book.asp?9377","חידושי הריב""ש")</f>
        <v>חידושי הריב"ש</v>
      </c>
    </row>
    <row r="15254" spans="1:6" x14ac:dyDescent="0.2">
      <c r="A15254" t="s">
        <v>25442</v>
      </c>
      <c r="B15254" t="s">
        <v>19669</v>
      </c>
      <c r="C15254" t="s">
        <v>51</v>
      </c>
      <c r="D15254" t="s">
        <v>14</v>
      </c>
      <c r="E15254" t="s">
        <v>144</v>
      </c>
      <c r="F15254" s="2" t="str">
        <f>HYPERLINK("http://www.otzar.org/book.asp?62512","חידושי הריטב""א &lt;אור החכמה&gt; - 8 כר'")</f>
        <v>חידושי הריטב"א &lt;אור החכמה&gt; - 8 כר'</v>
      </c>
    </row>
    <row r="15255" spans="1:6" x14ac:dyDescent="0.2">
      <c r="A15255" t="s">
        <v>25443</v>
      </c>
      <c r="B15255" t="s">
        <v>19669</v>
      </c>
      <c r="C15255" t="s">
        <v>15999</v>
      </c>
      <c r="D15255" t="s">
        <v>9</v>
      </c>
      <c r="E15255" t="s">
        <v>144</v>
      </c>
      <c r="F15255" s="2" t="str">
        <f>HYPERLINK("http://www.otzar.org/book.asp?602838","חידושי הריטב""א &lt;דברי חיבה&gt; - 3 כר'")</f>
        <v>חידושי הריטב"א &lt;דברי חיבה&gt; - 3 כר'</v>
      </c>
    </row>
    <row r="15256" spans="1:6" x14ac:dyDescent="0.2">
      <c r="A15256" t="s">
        <v>25444</v>
      </c>
      <c r="B15256" t="s">
        <v>19669</v>
      </c>
      <c r="C15256" t="s">
        <v>25445</v>
      </c>
      <c r="D15256" t="s">
        <v>25446</v>
      </c>
      <c r="F15256" s="2" t="str">
        <f>HYPERLINK("http://www.otzar.org/book.asp?620053","חידושי הריטב""א על מסכת עבודה זרה")</f>
        <v>חידושי הריטב"א על מסכת עבודה זרה</v>
      </c>
    </row>
    <row r="15257" spans="1:6" x14ac:dyDescent="0.2">
      <c r="A15257" t="s">
        <v>25447</v>
      </c>
      <c r="B15257" t="s">
        <v>19669</v>
      </c>
      <c r="C15257" t="s">
        <v>1592</v>
      </c>
      <c r="D15257" t="s">
        <v>25292</v>
      </c>
      <c r="E15257" t="s">
        <v>144</v>
      </c>
      <c r="F15257" s="2" t="str">
        <f>HYPERLINK("http://www.otzar.org/book.asp?7101","חידושי הריטב""א - 20 כר'")</f>
        <v>חידושי הריטב"א - 20 כר'</v>
      </c>
    </row>
    <row r="15258" spans="1:6" x14ac:dyDescent="0.2">
      <c r="A15258" t="s">
        <v>25448</v>
      </c>
      <c r="B15258" t="s">
        <v>25449</v>
      </c>
      <c r="C15258" t="s">
        <v>1437</v>
      </c>
      <c r="D15258" t="s">
        <v>283</v>
      </c>
      <c r="E15258" t="s">
        <v>144</v>
      </c>
      <c r="F15258" s="2" t="str">
        <f>HYPERLINK("http://www.otzar.org/book.asp?6310","חידושי הרמ""ה &lt;יד רמה&gt; - סנהדרין")</f>
        <v>חידושי הרמ"ה &lt;יד רמה&gt; - סנהדרין</v>
      </c>
    </row>
    <row r="15259" spans="1:6" x14ac:dyDescent="0.2">
      <c r="A15259" t="s">
        <v>25450</v>
      </c>
      <c r="B15259" t="s">
        <v>25451</v>
      </c>
      <c r="C15259" t="s">
        <v>775</v>
      </c>
      <c r="D15259" t="s">
        <v>412</v>
      </c>
      <c r="E15259" t="s">
        <v>144</v>
      </c>
      <c r="F15259" s="2" t="str">
        <f>HYPERLINK("http://www.otzar.org/book.asp?172826","חידושי הרמ""ל &lt;עם הגהות ר""נ שפירא&gt;")</f>
        <v>חידושי הרמ"ל &lt;עם הגהות ר"נ שפירא&gt;</v>
      </c>
    </row>
    <row r="15260" spans="1:6" x14ac:dyDescent="0.2">
      <c r="A15260" t="s">
        <v>25452</v>
      </c>
      <c r="B15260" t="s">
        <v>25451</v>
      </c>
      <c r="C15260" t="s">
        <v>189</v>
      </c>
      <c r="D15260" t="s">
        <v>14</v>
      </c>
      <c r="E15260" t="s">
        <v>144</v>
      </c>
      <c r="F15260" s="2" t="str">
        <f>HYPERLINK("http://www.otzar.org/book.asp?165125","חידושי הרמ""ל - 2 כר'")</f>
        <v>חידושי הרמ"ל - 2 כר'</v>
      </c>
    </row>
    <row r="15261" spans="1:6" x14ac:dyDescent="0.2">
      <c r="A15261" t="s">
        <v>25453</v>
      </c>
      <c r="B15261" t="s">
        <v>25454</v>
      </c>
      <c r="C15261" t="s">
        <v>351</v>
      </c>
      <c r="D15261" t="s">
        <v>6238</v>
      </c>
      <c r="E15261" t="s">
        <v>786</v>
      </c>
      <c r="F15261" s="2" t="str">
        <f>HYPERLINK("http://www.otzar.org/book.asp?100930","חידושי הרמ""ל")</f>
        <v>חידושי הרמ"ל</v>
      </c>
    </row>
    <row r="15262" spans="1:6" x14ac:dyDescent="0.2">
      <c r="A15262" t="s">
        <v>25455</v>
      </c>
      <c r="B15262" t="s">
        <v>1320</v>
      </c>
      <c r="C15262" t="s">
        <v>26</v>
      </c>
      <c r="D15262" t="s">
        <v>14</v>
      </c>
      <c r="E15262" t="s">
        <v>2088</v>
      </c>
      <c r="F15262" s="2" t="str">
        <f>HYPERLINK("http://www.otzar.org/book.asp?378","חידושי הרמב""ם לתלמוד")</f>
        <v>חידושי הרמב"ם לתלמוד</v>
      </c>
    </row>
    <row r="15263" spans="1:6" x14ac:dyDescent="0.2">
      <c r="A15263" t="s">
        <v>25456</v>
      </c>
      <c r="B15263" t="s">
        <v>25457</v>
      </c>
      <c r="C15263" t="s">
        <v>87</v>
      </c>
      <c r="D15263" t="s">
        <v>6283</v>
      </c>
      <c r="E15263" t="s">
        <v>658</v>
      </c>
      <c r="F15263" s="2" t="str">
        <f>HYPERLINK("http://www.otzar.org/book.asp?173671","חידושי הרמב""ן &lt;זכרון יעקב&gt; - 4 כר'")</f>
        <v>חידושי הרמב"ן &lt;זכרון יעקב&gt; - 4 כר'</v>
      </c>
    </row>
    <row r="15264" spans="1:6" x14ac:dyDescent="0.2">
      <c r="A15264" t="s">
        <v>25458</v>
      </c>
      <c r="B15264" t="s">
        <v>1552</v>
      </c>
      <c r="C15264" t="s">
        <v>1811</v>
      </c>
      <c r="D15264" t="s">
        <v>14</v>
      </c>
      <c r="E15264" t="s">
        <v>144</v>
      </c>
      <c r="F15264" s="2" t="str">
        <f>HYPERLINK("http://www.otzar.org/book.asp?147792","חידושי הרמב""ן &lt;הרשלר&gt; - 9 כר'")</f>
        <v>חידושי הרמב"ן &lt;הרשלר&gt; - 9 כר'</v>
      </c>
    </row>
    <row r="15265" spans="1:6" x14ac:dyDescent="0.2">
      <c r="A15265" t="s">
        <v>25459</v>
      </c>
      <c r="B15265" t="s">
        <v>1552</v>
      </c>
      <c r="C15265" t="s">
        <v>13</v>
      </c>
      <c r="D15265" t="s">
        <v>14</v>
      </c>
      <c r="E15265" t="s">
        <v>144</v>
      </c>
      <c r="F15265" s="2" t="str">
        <f>HYPERLINK("http://www.otzar.org/book.asp?142497","חידושי הרמב""ן על הש""ס &lt;טקסט&gt;")</f>
        <v>חידושי הרמב"ן על הש"ס &lt;טקסט&gt;</v>
      </c>
    </row>
    <row r="15266" spans="1:6" x14ac:dyDescent="0.2">
      <c r="A15266" t="s">
        <v>25460</v>
      </c>
      <c r="B15266" t="s">
        <v>1552</v>
      </c>
      <c r="C15266" t="s">
        <v>25461</v>
      </c>
      <c r="D15266" t="s">
        <v>25462</v>
      </c>
      <c r="F15266" s="2" t="str">
        <f>HYPERLINK("http://www.otzar.org/book.asp?620561","חידושי הרמב""ן על מסכת בבא בתרא")</f>
        <v>חידושי הרמב"ן על מסכת בבא בתרא</v>
      </c>
    </row>
    <row r="15267" spans="1:6" x14ac:dyDescent="0.2">
      <c r="A15267" t="s">
        <v>25463</v>
      </c>
      <c r="B15267" t="s">
        <v>1552</v>
      </c>
      <c r="C15267" t="s">
        <v>8</v>
      </c>
      <c r="D15267" t="s">
        <v>27</v>
      </c>
      <c r="E15267" t="s">
        <v>25464</v>
      </c>
      <c r="F15267" s="2" t="str">
        <f>HYPERLINK("http://www.otzar.org/book.asp?322","חידושי הרמב""ן - 5 כר'")</f>
        <v>חידושי הרמב"ן - 5 כר'</v>
      </c>
    </row>
    <row r="15268" spans="1:6" x14ac:dyDescent="0.2">
      <c r="A15268" t="s">
        <v>25465</v>
      </c>
      <c r="B15268" t="s">
        <v>25466</v>
      </c>
      <c r="C15268" t="s">
        <v>114</v>
      </c>
      <c r="D15268" t="s">
        <v>52</v>
      </c>
      <c r="F15268" s="2" t="str">
        <f>HYPERLINK("http://www.otzar.org/book.asp?169565","חידושי הרש""כ")</f>
        <v>חידושי הרש"כ</v>
      </c>
    </row>
    <row r="15269" spans="1:6" x14ac:dyDescent="0.2">
      <c r="A15269" t="s">
        <v>25467</v>
      </c>
      <c r="B15269" t="s">
        <v>24561</v>
      </c>
      <c r="C15269" t="s">
        <v>68</v>
      </c>
      <c r="D15269" t="s">
        <v>6283</v>
      </c>
      <c r="E15269" t="s">
        <v>144</v>
      </c>
      <c r="F15269" s="2" t="str">
        <f>HYPERLINK("http://www.otzar.org/book.asp?173675","חידושי הרשב""א  &lt;זכרון יעקב&gt; - 5 כר'")</f>
        <v>חידושי הרשב"א  &lt;זכרון יעקב&gt; - 5 כר'</v>
      </c>
    </row>
    <row r="15270" spans="1:6" x14ac:dyDescent="0.2">
      <c r="A15270" t="s">
        <v>25468</v>
      </c>
      <c r="B15270" t="s">
        <v>24561</v>
      </c>
      <c r="C15270" t="s">
        <v>585</v>
      </c>
      <c r="D15270" t="s">
        <v>14</v>
      </c>
      <c r="E15270" t="s">
        <v>1211</v>
      </c>
      <c r="F15270" s="2" t="str">
        <f>HYPERLINK("http://www.otzar.org/book.asp?62110","חידושי הרשב""א &lt;עם אמרי יחיאל&gt; - ברכות")</f>
        <v>חידושי הרשב"א &lt;עם אמרי יחיאל&gt; - ברכות</v>
      </c>
    </row>
    <row r="15271" spans="1:6" x14ac:dyDescent="0.2">
      <c r="A15271" t="s">
        <v>25469</v>
      </c>
      <c r="B15271" t="s">
        <v>24553</v>
      </c>
      <c r="C15271" t="s">
        <v>1096</v>
      </c>
      <c r="D15271" t="s">
        <v>10557</v>
      </c>
      <c r="E15271" t="s">
        <v>144</v>
      </c>
      <c r="F15271" s="2" t="str">
        <f>HYPERLINK("http://www.otzar.org/book.asp?617945","חידושי הרשב""א על מסכת יבמות &lt;קונטרס אחרון&gt;")</f>
        <v>חידושי הרשב"א על מסכת יבמות &lt;קונטרס אחרון&gt;</v>
      </c>
    </row>
    <row r="15272" spans="1:6" x14ac:dyDescent="0.2">
      <c r="A15272" t="s">
        <v>25470</v>
      </c>
      <c r="B15272" t="s">
        <v>24561</v>
      </c>
      <c r="C15272" t="s">
        <v>26</v>
      </c>
      <c r="D15272" t="s">
        <v>14</v>
      </c>
      <c r="E15272" t="s">
        <v>144</v>
      </c>
      <c r="F15272" s="2" t="str">
        <f>HYPERLINK("http://www.otzar.org/book.asp?7886","חידושי הרשב""א - 15 כר'")</f>
        <v>חידושי הרשב"א - 15 כר'</v>
      </c>
    </row>
    <row r="15273" spans="1:6" x14ac:dyDescent="0.2">
      <c r="A15273" t="s">
        <v>25471</v>
      </c>
      <c r="B15273" t="s">
        <v>25472</v>
      </c>
      <c r="C15273" t="s">
        <v>568</v>
      </c>
      <c r="D15273" t="s">
        <v>283</v>
      </c>
      <c r="E15273" t="s">
        <v>144</v>
      </c>
      <c r="F15273" s="2" t="str">
        <f>HYPERLINK("http://www.otzar.org/book.asp?13608","חידושי הרשב""א - מנחות")</f>
        <v>חידושי הרשב"א - מנחות</v>
      </c>
    </row>
    <row r="15274" spans="1:6" x14ac:dyDescent="0.2">
      <c r="A15274" t="s">
        <v>25473</v>
      </c>
      <c r="B15274" t="s">
        <v>25474</v>
      </c>
      <c r="C15274" t="s">
        <v>547</v>
      </c>
      <c r="D15274" t="s">
        <v>691</v>
      </c>
      <c r="E15274" t="s">
        <v>7477</v>
      </c>
      <c r="F15274" s="2" t="str">
        <f>HYPERLINK("http://www.otzar.org/book.asp?102425","חידושי הרשב""א")</f>
        <v>חידושי הרשב"א</v>
      </c>
    </row>
    <row r="15275" spans="1:6" x14ac:dyDescent="0.2">
      <c r="A15275" t="s">
        <v>25475</v>
      </c>
      <c r="B15275" t="s">
        <v>2620</v>
      </c>
      <c r="C15275" t="s">
        <v>4351</v>
      </c>
      <c r="D15275" t="s">
        <v>212</v>
      </c>
      <c r="E15275" t="s">
        <v>786</v>
      </c>
      <c r="F15275" s="2" t="str">
        <f>HYPERLINK("http://www.otzar.org/book.asp?103829","חידושי הרשב""ץ - 3 כר'")</f>
        <v>חידושי הרשב"ץ - 3 כר'</v>
      </c>
    </row>
    <row r="15276" spans="1:6" x14ac:dyDescent="0.2">
      <c r="A15276" t="s">
        <v>25476</v>
      </c>
      <c r="B15276" t="s">
        <v>25477</v>
      </c>
      <c r="C15276" t="s">
        <v>63</v>
      </c>
      <c r="D15276" t="s">
        <v>412</v>
      </c>
      <c r="E15276" t="s">
        <v>144</v>
      </c>
      <c r="F15276" s="2" t="str">
        <f>HYPERLINK("http://www.otzar.org/book.asp?191617","חידושי הרשב""ש - ב")</f>
        <v>חידושי הרשב"ש - ב</v>
      </c>
    </row>
    <row r="15277" spans="1:6" x14ac:dyDescent="0.2">
      <c r="A15277" t="s">
        <v>25478</v>
      </c>
      <c r="B15277" t="s">
        <v>2700</v>
      </c>
      <c r="C15277" t="s">
        <v>568</v>
      </c>
      <c r="D15277" t="s">
        <v>5301</v>
      </c>
      <c r="E15277" t="s">
        <v>144</v>
      </c>
      <c r="F15277" s="2" t="str">
        <f>HYPERLINK("http://www.otzar.org/book.asp?26432","חידושי הש""ס")</f>
        <v>חידושי הש"ס</v>
      </c>
    </row>
    <row r="15278" spans="1:6" x14ac:dyDescent="0.2">
      <c r="A15278" t="s">
        <v>25479</v>
      </c>
      <c r="B15278" t="s">
        <v>25480</v>
      </c>
      <c r="C15278" t="s">
        <v>2644</v>
      </c>
      <c r="D15278" t="s">
        <v>1117</v>
      </c>
      <c r="E15278" t="s">
        <v>104</v>
      </c>
      <c r="F15278" s="2" t="str">
        <f>HYPERLINK("http://www.otzar.org/book.asp?108482","חידושי התורה - 2 כר'")</f>
        <v>חידושי התורה - 2 כר'</v>
      </c>
    </row>
    <row r="15279" spans="1:6" x14ac:dyDescent="0.2">
      <c r="A15279" t="s">
        <v>25481</v>
      </c>
      <c r="B15279" t="s">
        <v>1821</v>
      </c>
      <c r="C15279" t="s">
        <v>919</v>
      </c>
      <c r="D15279" t="s">
        <v>14</v>
      </c>
      <c r="E15279" t="s">
        <v>2088</v>
      </c>
      <c r="F15279" s="2" t="str">
        <f>HYPERLINK("http://www.otzar.org/book.asp?12154","חידושי ובאורי רבינו הגר""א - 2 כר'")</f>
        <v>חידושי ובאורי רבינו הגר"א - 2 כר'</v>
      </c>
    </row>
    <row r="15280" spans="1:6" x14ac:dyDescent="0.2">
      <c r="A15280" t="s">
        <v>25482</v>
      </c>
      <c r="B15280" t="s">
        <v>25483</v>
      </c>
      <c r="C15280" t="s">
        <v>940</v>
      </c>
      <c r="D15280" t="s">
        <v>52</v>
      </c>
      <c r="E15280" t="s">
        <v>144</v>
      </c>
      <c r="F15280" s="2" t="str">
        <f>HYPERLINK("http://www.otzar.org/book.asp?161513","חידושי וביאורי הפוסקים - אלו מציאות, המפקיד")</f>
        <v>חידושי וביאורי הפוסקים - אלו מציאות, המפקיד</v>
      </c>
    </row>
    <row r="15281" spans="1:6" x14ac:dyDescent="0.2">
      <c r="A15281" t="s">
        <v>25484</v>
      </c>
      <c r="B15281" t="s">
        <v>25485</v>
      </c>
      <c r="C15281" t="s">
        <v>37</v>
      </c>
      <c r="D15281" t="s">
        <v>21</v>
      </c>
      <c r="E15281" t="s">
        <v>144</v>
      </c>
      <c r="F15281" s="2" t="str">
        <f>HYPERLINK("http://www.otzar.org/book.asp?195997","חידושי וביאורי סוגיות - ב""מ ונדרים")</f>
        <v>חידושי וביאורי סוגיות - ב"מ ונדרים</v>
      </c>
    </row>
    <row r="15282" spans="1:6" x14ac:dyDescent="0.2">
      <c r="A15282" t="s">
        <v>25486</v>
      </c>
      <c r="B15282" t="s">
        <v>1821</v>
      </c>
      <c r="C15282" t="s">
        <v>1470</v>
      </c>
      <c r="D15282" t="s">
        <v>10393</v>
      </c>
      <c r="E15282" t="s">
        <v>144</v>
      </c>
      <c r="F15282" s="2" t="str">
        <f>HYPERLINK("http://www.otzar.org/book.asp?158060","חידושי וביאורי רבינו הגר""א - 2 כר'")</f>
        <v>חידושי וביאורי רבינו הגר"א - 2 כר'</v>
      </c>
    </row>
    <row r="15283" spans="1:6" x14ac:dyDescent="0.2">
      <c r="A15283" t="s">
        <v>25487</v>
      </c>
      <c r="B15283" t="s">
        <v>25428</v>
      </c>
      <c r="C15283" t="s">
        <v>1718</v>
      </c>
      <c r="D15283" t="s">
        <v>27</v>
      </c>
      <c r="E15283" t="s">
        <v>674</v>
      </c>
      <c r="F15283" s="2" t="str">
        <f>HYPERLINK("http://www.otzar.org/book.asp?12905","חידושי וכללות הרז""ה")</f>
        <v>חידושי וכללות הרז"ה</v>
      </c>
    </row>
    <row r="15284" spans="1:6" x14ac:dyDescent="0.2">
      <c r="A15284" t="s">
        <v>25488</v>
      </c>
      <c r="B15284" t="s">
        <v>25489</v>
      </c>
      <c r="C15284" t="s">
        <v>427</v>
      </c>
      <c r="E15284" t="s">
        <v>25490</v>
      </c>
      <c r="F15284" s="2" t="str">
        <f>HYPERLINK("http://www.otzar.org/book.asp?626400","חידושי וכתבי הר""י הורביץ")</f>
        <v>חידושי וכתבי הר"י הורביץ</v>
      </c>
    </row>
    <row r="15285" spans="1:6" x14ac:dyDescent="0.2">
      <c r="A15285" t="s">
        <v>25491</v>
      </c>
      <c r="B15285" t="s">
        <v>25492</v>
      </c>
      <c r="C15285" t="s">
        <v>25493</v>
      </c>
      <c r="D15285" t="s">
        <v>25494</v>
      </c>
      <c r="E15285" t="s">
        <v>219</v>
      </c>
      <c r="F15285" s="2" t="str">
        <f>HYPERLINK("http://www.otzar.org/book.asp?602469","חידושי ומקורי התפילות")</f>
        <v>חידושי ומקורי התפילות</v>
      </c>
    </row>
    <row r="15286" spans="1:6" x14ac:dyDescent="0.2">
      <c r="A15286" t="s">
        <v>25495</v>
      </c>
      <c r="B15286" t="s">
        <v>25496</v>
      </c>
      <c r="C15286" t="s">
        <v>919</v>
      </c>
      <c r="D15286" t="s">
        <v>14</v>
      </c>
      <c r="E15286" t="s">
        <v>2135</v>
      </c>
      <c r="F15286" s="2" t="str">
        <f>HYPERLINK("http://www.otzar.org/book.asp?7587","חידושי ופירושי המהרי""ק - 2 כר'")</f>
        <v>חידושי ופירושי המהרי"ק - 2 כר'</v>
      </c>
    </row>
    <row r="15287" spans="1:6" x14ac:dyDescent="0.2">
      <c r="A15287" t="s">
        <v>25497</v>
      </c>
      <c r="B15287" t="s">
        <v>25498</v>
      </c>
      <c r="C15287" t="s">
        <v>383</v>
      </c>
      <c r="D15287" t="s">
        <v>14</v>
      </c>
      <c r="E15287" t="s">
        <v>25499</v>
      </c>
      <c r="F15287" s="2" t="str">
        <f>HYPERLINK("http://www.otzar.org/book.asp?9231","חידושי ושו""ת הר""צ חריף")</f>
        <v>חידושי ושו"ת הר"צ חריף</v>
      </c>
    </row>
    <row r="15288" spans="1:6" x14ac:dyDescent="0.2">
      <c r="A15288" t="s">
        <v>25500</v>
      </c>
      <c r="B15288" t="s">
        <v>25501</v>
      </c>
      <c r="C15288" t="s">
        <v>462</v>
      </c>
      <c r="D15288" t="s">
        <v>1081</v>
      </c>
      <c r="E15288" t="s">
        <v>10711</v>
      </c>
      <c r="F15288" s="2" t="str">
        <f>HYPERLINK("http://www.otzar.org/book.asp?6974","חידושי ושו""ת מהר""מ ברודא")</f>
        <v>חידושי ושו"ת מהר"מ ברודא</v>
      </c>
    </row>
    <row r="15289" spans="1:6" x14ac:dyDescent="0.2">
      <c r="A15289" t="s">
        <v>25502</v>
      </c>
      <c r="B15289" t="s">
        <v>25503</v>
      </c>
      <c r="C15289" t="s">
        <v>20</v>
      </c>
      <c r="D15289" t="s">
        <v>25504</v>
      </c>
      <c r="E15289" t="s">
        <v>144</v>
      </c>
      <c r="F15289" s="2" t="str">
        <f>HYPERLINK("http://www.otzar.org/book.asp?606042","חידושי ושיעורי מרן רבי ברוך בער - 3 כר'")</f>
        <v>חידושי ושיעורי מרן רבי ברוך בער - 3 כר'</v>
      </c>
    </row>
    <row r="15290" spans="1:6" x14ac:dyDescent="0.2">
      <c r="A15290" t="s">
        <v>25505</v>
      </c>
      <c r="B15290" t="s">
        <v>25506</v>
      </c>
      <c r="C15290" t="s">
        <v>4144</v>
      </c>
      <c r="D15290" t="s">
        <v>9</v>
      </c>
      <c r="E15290" t="s">
        <v>4260</v>
      </c>
      <c r="F15290" s="2" t="str">
        <f>HYPERLINK("http://www.otzar.org/book.asp?18791","חידושי חביבא")</f>
        <v>חידושי חביבא</v>
      </c>
    </row>
    <row r="15291" spans="1:6" x14ac:dyDescent="0.2">
      <c r="A15291" t="s">
        <v>25507</v>
      </c>
      <c r="B15291" t="s">
        <v>19669</v>
      </c>
      <c r="C15291" t="s">
        <v>8450</v>
      </c>
      <c r="D15291" t="s">
        <v>7059</v>
      </c>
      <c r="E15291" t="s">
        <v>144</v>
      </c>
      <c r="F15291" s="2" t="str">
        <f>HYPERLINK("http://www.otzar.org/book.asp?178956","חידושי חולין להריטב""א &lt;דפו""ר&gt;")</f>
        <v>חידושי חולין להריטב"א &lt;דפו"ר&gt;</v>
      </c>
    </row>
    <row r="15292" spans="1:6" x14ac:dyDescent="0.2">
      <c r="A15292" t="s">
        <v>25508</v>
      </c>
      <c r="B15292" t="s">
        <v>25509</v>
      </c>
      <c r="C15292" t="s">
        <v>25510</v>
      </c>
      <c r="D15292" t="s">
        <v>283</v>
      </c>
      <c r="E15292" t="s">
        <v>144</v>
      </c>
      <c r="F15292" s="2" t="str">
        <f>HYPERLINK("http://www.otzar.org/book.asp?100877","חידושי חמדת שלמה - 3 כר'")</f>
        <v>חידושי חמדת שלמה - 3 כר'</v>
      </c>
    </row>
    <row r="15293" spans="1:6" x14ac:dyDescent="0.2">
      <c r="A15293" t="s">
        <v>25511</v>
      </c>
      <c r="B15293" t="s">
        <v>25512</v>
      </c>
      <c r="C15293" t="s">
        <v>160</v>
      </c>
      <c r="D15293" t="s">
        <v>9</v>
      </c>
      <c r="E15293" t="s">
        <v>144</v>
      </c>
      <c r="F15293" s="2" t="str">
        <f>HYPERLINK("http://www.otzar.org/book.asp?162283","חידושי חתם סופר - כתב סופר - ביצה")</f>
        <v>חידושי חתם סופר - כתב סופר - ביצה</v>
      </c>
    </row>
    <row r="15294" spans="1:6" x14ac:dyDescent="0.2">
      <c r="A15294" t="s">
        <v>25513</v>
      </c>
      <c r="B15294" t="s">
        <v>3299</v>
      </c>
      <c r="C15294" t="s">
        <v>1096</v>
      </c>
      <c r="D15294" t="s">
        <v>379</v>
      </c>
      <c r="E15294" t="s">
        <v>2088</v>
      </c>
      <c r="F15294" s="2" t="str">
        <f>HYPERLINK("http://www.otzar.org/book.asp?16311","חידושי חתם סופר - 11 כר'")</f>
        <v>חידושי חתם סופר - 11 כר'</v>
      </c>
    </row>
    <row r="15295" spans="1:6" x14ac:dyDescent="0.2">
      <c r="A15295" t="s">
        <v>25514</v>
      </c>
      <c r="B15295" t="s">
        <v>25498</v>
      </c>
      <c r="C15295" t="s">
        <v>1124</v>
      </c>
      <c r="D15295" t="s">
        <v>855</v>
      </c>
      <c r="E15295" t="s">
        <v>508</v>
      </c>
      <c r="F15295" s="2" t="str">
        <f>HYPERLINK("http://www.otzar.org/book.asp?104852","חידושי טיב גיטין")</f>
        <v>חידושי טיב גיטין</v>
      </c>
    </row>
    <row r="15296" spans="1:6" x14ac:dyDescent="0.2">
      <c r="A15296" t="s">
        <v>25515</v>
      </c>
      <c r="B15296" t="s">
        <v>25516</v>
      </c>
      <c r="C15296" t="s">
        <v>1640</v>
      </c>
      <c r="D15296" t="s">
        <v>14</v>
      </c>
      <c r="E15296" t="s">
        <v>25517</v>
      </c>
      <c r="F15296" s="2" t="str">
        <f>HYPERLINK("http://www.otzar.org/book.asp?5140","חידושי ידידיה הלוי - 4 כר'")</f>
        <v>חידושי ידידיה הלוי - 4 כר'</v>
      </c>
    </row>
    <row r="15297" spans="1:6" x14ac:dyDescent="0.2">
      <c r="A15297" t="s">
        <v>25518</v>
      </c>
      <c r="B15297" t="s">
        <v>3158</v>
      </c>
      <c r="C15297" t="s">
        <v>37</v>
      </c>
      <c r="D15297" t="s">
        <v>14</v>
      </c>
      <c r="E15297" t="s">
        <v>144</v>
      </c>
      <c r="F15297" s="2" t="str">
        <f>HYPERLINK("http://www.otzar.org/book.asp?182307","חידושי יחיאל - 3 כר'")</f>
        <v>חידושי יחיאל - 3 כר'</v>
      </c>
    </row>
    <row r="15298" spans="1:6" x14ac:dyDescent="0.2">
      <c r="A15298" t="s">
        <v>25519</v>
      </c>
      <c r="B15298" t="s">
        <v>25520</v>
      </c>
      <c r="C15298" t="s">
        <v>5912</v>
      </c>
      <c r="D15298" t="s">
        <v>1422</v>
      </c>
      <c r="E15298" t="s">
        <v>144</v>
      </c>
      <c r="F15298" s="2" t="str">
        <f>HYPERLINK("http://www.otzar.org/book.asp?100889","חידושי יעב""ץ - 2 כר'")</f>
        <v>חידושי יעב"ץ - 2 כר'</v>
      </c>
    </row>
    <row r="15299" spans="1:6" x14ac:dyDescent="0.2">
      <c r="A15299" t="s">
        <v>25521</v>
      </c>
      <c r="B15299" t="s">
        <v>25522</v>
      </c>
      <c r="C15299" t="s">
        <v>1437</v>
      </c>
      <c r="D15299" t="s">
        <v>56</v>
      </c>
      <c r="E15299" t="s">
        <v>144</v>
      </c>
      <c r="F15299" s="2" t="str">
        <f>HYPERLINK("http://www.otzar.org/book.asp?5677","חידושי יעב""ץ")</f>
        <v>חידושי יעב"ץ</v>
      </c>
    </row>
    <row r="15300" spans="1:6" x14ac:dyDescent="0.2">
      <c r="A15300" t="s">
        <v>25523</v>
      </c>
      <c r="B15300" t="s">
        <v>25524</v>
      </c>
      <c r="C15300" t="s">
        <v>553</v>
      </c>
      <c r="D15300" t="s">
        <v>412</v>
      </c>
      <c r="E15300" t="s">
        <v>3387</v>
      </c>
      <c r="F15300" s="2" t="str">
        <f>HYPERLINK("http://www.otzar.org/book.asp?9265","חידושי יעקב")</f>
        <v>חידושי יעקב</v>
      </c>
    </row>
    <row r="15301" spans="1:6" x14ac:dyDescent="0.2">
      <c r="A15301" t="s">
        <v>25523</v>
      </c>
      <c r="B15301" t="s">
        <v>6461</v>
      </c>
      <c r="C15301" t="s">
        <v>224</v>
      </c>
      <c r="D15301" t="s">
        <v>726</v>
      </c>
      <c r="E15301" t="s">
        <v>144</v>
      </c>
      <c r="F15301" s="2" t="str">
        <f>HYPERLINK("http://www.otzar.org/book.asp?107296","חידושי יעקב")</f>
        <v>חידושי יעקב</v>
      </c>
    </row>
    <row r="15302" spans="1:6" x14ac:dyDescent="0.2">
      <c r="A15302" t="s">
        <v>25525</v>
      </c>
      <c r="B15302" t="s">
        <v>25526</v>
      </c>
      <c r="C15302" t="s">
        <v>454</v>
      </c>
      <c r="D15302" t="s">
        <v>14</v>
      </c>
      <c r="E15302" t="s">
        <v>144</v>
      </c>
      <c r="F15302" s="2" t="str">
        <f>HYPERLINK("http://www.otzar.org/book.asp?181789","חידושי יפה לב - ברכות")</f>
        <v>חידושי יפה לב - ברכות</v>
      </c>
    </row>
    <row r="15303" spans="1:6" x14ac:dyDescent="0.2">
      <c r="A15303" t="s">
        <v>25527</v>
      </c>
      <c r="B15303" t="s">
        <v>4737</v>
      </c>
      <c r="C15303" t="s">
        <v>46</v>
      </c>
      <c r="D15303" t="s">
        <v>27</v>
      </c>
      <c r="E15303" t="s">
        <v>10</v>
      </c>
      <c r="F15303" s="2" t="str">
        <f>HYPERLINK("http://www.otzar.org/book.asp?106003","חידושי ירוחם")</f>
        <v>חידושי ירוחם</v>
      </c>
    </row>
    <row r="15304" spans="1:6" x14ac:dyDescent="0.2">
      <c r="A15304" t="s">
        <v>25528</v>
      </c>
      <c r="B15304" t="s">
        <v>25529</v>
      </c>
      <c r="C15304" t="s">
        <v>20</v>
      </c>
      <c r="D15304" t="s">
        <v>14</v>
      </c>
      <c r="F15304" s="2" t="str">
        <f>HYPERLINK("http://www.otzar.org/book.asp?198816","חידושי כהונה")</f>
        <v>חידושי כהונה</v>
      </c>
    </row>
    <row r="15305" spans="1:6" x14ac:dyDescent="0.2">
      <c r="A15305" t="s">
        <v>25530</v>
      </c>
      <c r="B15305" t="s">
        <v>25531</v>
      </c>
      <c r="C15305" t="s">
        <v>111</v>
      </c>
      <c r="D15305" t="s">
        <v>90</v>
      </c>
      <c r="E15305" t="s">
        <v>144</v>
      </c>
      <c r="F15305" s="2" t="str">
        <f>HYPERLINK("http://www.otzar.org/book.asp?631098","חידושי כריתות")</f>
        <v>חידושי כריתות</v>
      </c>
    </row>
    <row r="15306" spans="1:6" x14ac:dyDescent="0.2">
      <c r="A15306" t="s">
        <v>25532</v>
      </c>
      <c r="B15306" t="s">
        <v>17865</v>
      </c>
      <c r="C15306" t="s">
        <v>1448</v>
      </c>
      <c r="D15306" t="s">
        <v>14</v>
      </c>
      <c r="E15306" t="s">
        <v>144</v>
      </c>
      <c r="F15306" s="2" t="str">
        <f>HYPERLINK("http://www.otzar.org/book.asp?5884","חידושי כתב סופר - זבחים מנחות חולין ערכין נדה")</f>
        <v>חידושי כתב סופר - זבחים מנחות חולין ערכין נדה</v>
      </c>
    </row>
    <row r="15307" spans="1:6" x14ac:dyDescent="0.2">
      <c r="A15307" t="s">
        <v>25533</v>
      </c>
      <c r="B15307" t="s">
        <v>25534</v>
      </c>
      <c r="C15307" t="s">
        <v>168</v>
      </c>
      <c r="D15307" t="s">
        <v>90</v>
      </c>
      <c r="E15307" t="s">
        <v>144</v>
      </c>
      <c r="F15307" s="2" t="str">
        <f>HYPERLINK("http://www.otzar.org/book.asp?176579","חידושי לחם רב - סוגיות הש""ס")</f>
        <v>חידושי לחם רב - סוגיות הש"ס</v>
      </c>
    </row>
    <row r="15308" spans="1:6" x14ac:dyDescent="0.2">
      <c r="A15308" t="s">
        <v>25535</v>
      </c>
      <c r="B15308" t="s">
        <v>25536</v>
      </c>
      <c r="C15308" t="s">
        <v>114</v>
      </c>
      <c r="D15308" t="s">
        <v>52</v>
      </c>
      <c r="E15308" t="s">
        <v>158</v>
      </c>
      <c r="F15308" s="2" t="str">
        <f>HYPERLINK("http://www.otzar.org/book.asp?163777","חידושי מארי חיים כסאר")</f>
        <v>חידושי מארי חיים כסאר</v>
      </c>
    </row>
    <row r="15309" spans="1:6" x14ac:dyDescent="0.2">
      <c r="A15309" t="s">
        <v>25537</v>
      </c>
      <c r="B15309" t="s">
        <v>25538</v>
      </c>
      <c r="C15309" t="s">
        <v>433</v>
      </c>
      <c r="D15309" t="s">
        <v>9</v>
      </c>
      <c r="E15309" t="s">
        <v>144</v>
      </c>
      <c r="F15309" s="2" t="str">
        <f>HYPERLINK("http://www.otzar.org/book.asp?11233","חידושי מגילה מכ""י לרבינו נסים זצ""ל")</f>
        <v>חידושי מגילה מכ"י לרבינו נסים זצ"ל</v>
      </c>
    </row>
    <row r="15310" spans="1:6" x14ac:dyDescent="0.2">
      <c r="A15310" t="s">
        <v>25539</v>
      </c>
      <c r="B15310" t="s">
        <v>25540</v>
      </c>
      <c r="C15310" t="s">
        <v>946</v>
      </c>
      <c r="D15310" t="s">
        <v>225</v>
      </c>
      <c r="E15310" t="s">
        <v>2509</v>
      </c>
      <c r="F15310" s="2" t="str">
        <f>HYPERLINK("http://www.otzar.org/book.asp?8406","חידושי מהר""א")</f>
        <v>חידושי מהר"א</v>
      </c>
    </row>
    <row r="15311" spans="1:6" x14ac:dyDescent="0.2">
      <c r="A15311" t="s">
        <v>25539</v>
      </c>
      <c r="B15311" t="s">
        <v>25541</v>
      </c>
      <c r="C15311" t="s">
        <v>550</v>
      </c>
      <c r="D15311" t="s">
        <v>267</v>
      </c>
      <c r="E15311" t="s">
        <v>144</v>
      </c>
      <c r="F15311" s="2" t="str">
        <f>HYPERLINK("http://www.otzar.org/book.asp?151550","חידושי מהר""א")</f>
        <v>חידושי מהר"א</v>
      </c>
    </row>
    <row r="15312" spans="1:6" x14ac:dyDescent="0.2">
      <c r="A15312" t="s">
        <v>25542</v>
      </c>
      <c r="B15312" t="s">
        <v>25357</v>
      </c>
      <c r="C15312" t="s">
        <v>103</v>
      </c>
      <c r="D15312" t="s">
        <v>14</v>
      </c>
      <c r="E15312" t="s">
        <v>144</v>
      </c>
      <c r="F15312" s="2" t="str">
        <f>HYPERLINK("http://www.otzar.org/book.asp?83879","חידושי מהר""י בן לב - 3 כר'")</f>
        <v>חידושי מהר"י בן לב - 3 כר'</v>
      </c>
    </row>
    <row r="15313" spans="1:6" x14ac:dyDescent="0.2">
      <c r="A15313" t="s">
        <v>25543</v>
      </c>
      <c r="B15313" t="s">
        <v>25544</v>
      </c>
      <c r="C15313" t="s">
        <v>1458</v>
      </c>
      <c r="D15313" t="s">
        <v>267</v>
      </c>
      <c r="E15313" t="s">
        <v>424</v>
      </c>
      <c r="F15313" s="2" t="str">
        <f>HYPERLINK("http://www.otzar.org/book.asp?100937","חידושי מהר""י הכהן")</f>
        <v>חידושי מהר"י הכהן</v>
      </c>
    </row>
    <row r="15314" spans="1:6" x14ac:dyDescent="0.2">
      <c r="A15314" t="s">
        <v>25545</v>
      </c>
      <c r="B15314" t="s">
        <v>25546</v>
      </c>
      <c r="C15314" t="s">
        <v>1169</v>
      </c>
      <c r="D15314" t="s">
        <v>27</v>
      </c>
      <c r="E15314" t="s">
        <v>144</v>
      </c>
      <c r="F15314" s="2" t="str">
        <f>HYPERLINK("http://www.otzar.org/book.asp?62657","חידושי מהר""י כ""ץ")</f>
        <v>חידושי מהר"י כ"ץ</v>
      </c>
    </row>
    <row r="15315" spans="1:6" x14ac:dyDescent="0.2">
      <c r="A15315" t="s">
        <v>25547</v>
      </c>
      <c r="B15315" t="s">
        <v>25548</v>
      </c>
      <c r="C15315" t="s">
        <v>313</v>
      </c>
      <c r="D15315" t="s">
        <v>216</v>
      </c>
      <c r="E15315" t="s">
        <v>144</v>
      </c>
      <c r="F15315" s="2" t="str">
        <f>HYPERLINK("http://www.otzar.org/book.asp?108385","חידושי מהר""י שפירא - 5 כר'")</f>
        <v>חידושי מהר"י שפירא - 5 כר'</v>
      </c>
    </row>
    <row r="15316" spans="1:6" x14ac:dyDescent="0.2">
      <c r="A15316" t="s">
        <v>25549</v>
      </c>
      <c r="B15316" t="s">
        <v>25550</v>
      </c>
      <c r="C15316" t="s">
        <v>1940</v>
      </c>
      <c r="D15316" t="s">
        <v>2041</v>
      </c>
      <c r="E15316" t="s">
        <v>13324</v>
      </c>
      <c r="F15316" s="2" t="str">
        <f>HYPERLINK("http://www.otzar.org/book.asp?100900","חידושי מהר""י")</f>
        <v>חידושי מהר"י</v>
      </c>
    </row>
    <row r="15317" spans="1:6" x14ac:dyDescent="0.2">
      <c r="A15317" t="s">
        <v>25551</v>
      </c>
      <c r="B15317" t="s">
        <v>3923</v>
      </c>
      <c r="C15317" t="s">
        <v>9946</v>
      </c>
      <c r="D15317" t="s">
        <v>5665</v>
      </c>
      <c r="E15317" t="s">
        <v>130</v>
      </c>
      <c r="F15317" s="2" t="str">
        <f>HYPERLINK("http://www.otzar.org/book.asp?104624","חידושי מהר""ל מפראג &lt;ע""ט י""ד&gt;")</f>
        <v>חידושי מהר"ל מפראג &lt;ע"ט י"ד&gt;</v>
      </c>
    </row>
    <row r="15318" spans="1:6" x14ac:dyDescent="0.2">
      <c r="A15318" t="s">
        <v>25552</v>
      </c>
      <c r="B15318" t="s">
        <v>3923</v>
      </c>
      <c r="C15318" t="s">
        <v>1284</v>
      </c>
      <c r="D15318" t="s">
        <v>225</v>
      </c>
      <c r="E15318" t="s">
        <v>2840</v>
      </c>
      <c r="F15318" s="2" t="str">
        <f>HYPERLINK("http://www.otzar.org/book.asp?100923","חידושי מהר""ל מפראג - 4 כר'")</f>
        <v>חידושי מהר"ל מפראג - 4 כר'</v>
      </c>
    </row>
    <row r="15319" spans="1:6" x14ac:dyDescent="0.2">
      <c r="A15319" t="s">
        <v>25553</v>
      </c>
      <c r="B15319" t="s">
        <v>25554</v>
      </c>
      <c r="C15319" t="s">
        <v>189</v>
      </c>
      <c r="D15319" t="s">
        <v>14</v>
      </c>
      <c r="E15319" t="s">
        <v>144</v>
      </c>
      <c r="F15319" s="2" t="str">
        <f>HYPERLINK("http://www.otzar.org/book.asp?163023","חידושי מהר""ם חלאווה - פסחים &lt;נטעי גבריאל&gt; - הלכות פסח מהראשונים")</f>
        <v>חידושי מהר"ם חלאווה - פסחים &lt;נטעי גבריאל&gt; - הלכות פסח מהראשונים</v>
      </c>
    </row>
    <row r="15320" spans="1:6" x14ac:dyDescent="0.2">
      <c r="A15320" t="s">
        <v>25555</v>
      </c>
      <c r="B15320" t="s">
        <v>25556</v>
      </c>
      <c r="C15320" t="s">
        <v>266</v>
      </c>
      <c r="D15320" t="s">
        <v>27</v>
      </c>
      <c r="E15320" t="s">
        <v>144</v>
      </c>
      <c r="F15320" s="2" t="str">
        <f>HYPERLINK("http://www.otzar.org/book.asp?101105","חידושי מהר""ם חלאווה - 2 כר'")</f>
        <v>חידושי מהר"ם חלאווה - 2 כר'</v>
      </c>
    </row>
    <row r="15321" spans="1:6" x14ac:dyDescent="0.2">
      <c r="A15321" t="s">
        <v>25557</v>
      </c>
      <c r="B15321" t="s">
        <v>25558</v>
      </c>
      <c r="C15321" t="s">
        <v>25559</v>
      </c>
      <c r="D15321" t="s">
        <v>6214</v>
      </c>
      <c r="E15321" t="s">
        <v>144</v>
      </c>
      <c r="F15321" s="2" t="str">
        <f>HYPERLINK("http://www.otzar.org/book.asp?625975","חידושי מהר""ם צבי")</f>
        <v>חידושי מהר"ם צבי</v>
      </c>
    </row>
    <row r="15322" spans="1:6" x14ac:dyDescent="0.2">
      <c r="A15322" t="s">
        <v>25560</v>
      </c>
      <c r="B15322" t="s">
        <v>25561</v>
      </c>
      <c r="C15322" t="s">
        <v>1047</v>
      </c>
      <c r="D15322" t="s">
        <v>267</v>
      </c>
      <c r="E15322" t="s">
        <v>263</v>
      </c>
      <c r="F15322" s="2" t="str">
        <f>HYPERLINK("http://www.otzar.org/book.asp?18792","חידושי מהר""פ")</f>
        <v>חידושי מהר"פ</v>
      </c>
    </row>
    <row r="15323" spans="1:6" x14ac:dyDescent="0.2">
      <c r="A15323" t="s">
        <v>25562</v>
      </c>
      <c r="B15323" t="s">
        <v>4110</v>
      </c>
      <c r="C15323" t="s">
        <v>4705</v>
      </c>
      <c r="D15323" t="s">
        <v>1117</v>
      </c>
      <c r="E15323" t="s">
        <v>144</v>
      </c>
      <c r="F15323" s="2" t="str">
        <f>HYPERLINK("http://www.otzar.org/book.asp?18793","חידושי מהר""ץ")</f>
        <v>חידושי מהר"ץ</v>
      </c>
    </row>
    <row r="15324" spans="1:6" x14ac:dyDescent="0.2">
      <c r="A15324" t="s">
        <v>25562</v>
      </c>
      <c r="B15324" t="s">
        <v>25563</v>
      </c>
      <c r="C15324" t="s">
        <v>360</v>
      </c>
      <c r="D15324" t="s">
        <v>225</v>
      </c>
      <c r="E15324" t="s">
        <v>144</v>
      </c>
      <c r="F15324" s="2" t="str">
        <f>HYPERLINK("http://www.otzar.org/book.asp?84143","חידושי מהר""ץ")</f>
        <v>חידושי מהר"ץ</v>
      </c>
    </row>
    <row r="15325" spans="1:6" x14ac:dyDescent="0.2">
      <c r="A15325" t="s">
        <v>25564</v>
      </c>
      <c r="B15325" t="s">
        <v>25565</v>
      </c>
      <c r="C15325" t="s">
        <v>1640</v>
      </c>
      <c r="D15325" t="s">
        <v>14</v>
      </c>
      <c r="E15325" t="s">
        <v>144</v>
      </c>
      <c r="F15325" s="2" t="str">
        <f>HYPERLINK("http://www.otzar.org/book.asp?5765","חידושי מהר""ש")</f>
        <v>חידושי מהר"ש</v>
      </c>
    </row>
    <row r="15326" spans="1:6" x14ac:dyDescent="0.2">
      <c r="A15326" t="s">
        <v>25566</v>
      </c>
      <c r="B15326" t="s">
        <v>23356</v>
      </c>
      <c r="C15326" t="s">
        <v>25567</v>
      </c>
      <c r="D15326" t="s">
        <v>283</v>
      </c>
      <c r="E15326" t="s">
        <v>684</v>
      </c>
      <c r="F15326" s="2" t="str">
        <f>HYPERLINK("http://www.otzar.org/book.asp?100901","חידושי מהרא""ך - 2 כר'")</f>
        <v>חידושי מהרא"ך - 2 כר'</v>
      </c>
    </row>
    <row r="15327" spans="1:6" x14ac:dyDescent="0.2">
      <c r="A15327" t="s">
        <v>25568</v>
      </c>
      <c r="B15327" t="s">
        <v>5253</v>
      </c>
      <c r="C15327" t="s">
        <v>422</v>
      </c>
      <c r="D15327" t="s">
        <v>486</v>
      </c>
      <c r="E15327" t="s">
        <v>148</v>
      </c>
      <c r="F15327" s="2" t="str">
        <f>HYPERLINK("http://www.otzar.org/book.asp?166580","חידושי מהרא""ל &lt;מהדורה חדשה&gt; - 2 כר'")</f>
        <v>חידושי מהרא"ל &lt;מהדורה חדשה&gt; - 2 כר'</v>
      </c>
    </row>
    <row r="15328" spans="1:6" x14ac:dyDescent="0.2">
      <c r="A15328" t="s">
        <v>25569</v>
      </c>
      <c r="B15328" t="s">
        <v>5253</v>
      </c>
      <c r="C15328" t="s">
        <v>20</v>
      </c>
      <c r="D15328" t="s">
        <v>52</v>
      </c>
      <c r="E15328" t="s">
        <v>144</v>
      </c>
      <c r="F15328" s="2" t="str">
        <f>HYPERLINK("http://www.otzar.org/book.asp?619500","חידושי מהרא""ל צינץ - 3 כר'")</f>
        <v>חידושי מהרא"ל צינץ - 3 כר'</v>
      </c>
    </row>
    <row r="15329" spans="1:6" x14ac:dyDescent="0.2">
      <c r="A15329" t="s">
        <v>25570</v>
      </c>
      <c r="B15329" t="s">
        <v>5253</v>
      </c>
      <c r="C15329" t="s">
        <v>1036</v>
      </c>
      <c r="D15329" t="s">
        <v>283</v>
      </c>
      <c r="E15329" t="s">
        <v>148</v>
      </c>
      <c r="F15329" s="2" t="str">
        <f>HYPERLINK("http://www.otzar.org/book.asp?104625","חידושי מהרא""ל - 3 כר'")</f>
        <v>חידושי מהרא"ל - 3 כר'</v>
      </c>
    </row>
    <row r="15330" spans="1:6" x14ac:dyDescent="0.2">
      <c r="A15330" t="s">
        <v>25571</v>
      </c>
      <c r="B15330" t="s">
        <v>25572</v>
      </c>
      <c r="C15330" t="s">
        <v>68</v>
      </c>
      <c r="D15330" t="s">
        <v>52</v>
      </c>
      <c r="E15330" t="s">
        <v>144</v>
      </c>
      <c r="F15330" s="2" t="str">
        <f>HYPERLINK("http://www.otzar.org/book.asp?628229","חידושי מהרא""ש אסאד - כתובות")</f>
        <v>חידושי מהרא"ש אסאד - כתובות</v>
      </c>
    </row>
    <row r="15331" spans="1:6" x14ac:dyDescent="0.2">
      <c r="A15331" t="s">
        <v>25573</v>
      </c>
      <c r="B15331" t="s">
        <v>14792</v>
      </c>
      <c r="C15331" t="s">
        <v>1535</v>
      </c>
      <c r="D15331" t="s">
        <v>8024</v>
      </c>
      <c r="E15331" t="s">
        <v>144</v>
      </c>
      <c r="F15331" s="2" t="str">
        <f>HYPERLINK("http://www.otzar.org/book.asp?6962","חידושי מהרי""א &lt;יהודה יעלה&gt;")</f>
        <v>חידושי מהרי"א &lt;יהודה יעלה&gt;</v>
      </c>
    </row>
    <row r="15332" spans="1:6" x14ac:dyDescent="0.2">
      <c r="A15332" t="s">
        <v>25574</v>
      </c>
      <c r="B15332" t="s">
        <v>14792</v>
      </c>
      <c r="C15332" t="s">
        <v>103</v>
      </c>
      <c r="D15332" t="s">
        <v>646</v>
      </c>
      <c r="E15332" t="s">
        <v>144</v>
      </c>
      <c r="F15332" s="2" t="str">
        <f>HYPERLINK("http://www.otzar.org/book.asp?160156","חידושי מהרי""א &lt;מהדורה חדשה&gt;")</f>
        <v>חידושי מהרי"א &lt;מהדורה חדשה&gt;</v>
      </c>
    </row>
    <row r="15333" spans="1:6" x14ac:dyDescent="0.2">
      <c r="A15333" t="s">
        <v>25575</v>
      </c>
      <c r="B15333" t="s">
        <v>14792</v>
      </c>
      <c r="C15333" t="s">
        <v>585</v>
      </c>
      <c r="D15333" t="s">
        <v>646</v>
      </c>
      <c r="E15333" t="s">
        <v>84</v>
      </c>
      <c r="F15333" s="2" t="str">
        <f>HYPERLINK("http://www.otzar.org/book.asp?615606","חידושי מהרי""א על מסכת אבות")</f>
        <v>חידושי מהרי"א על מסכת אבות</v>
      </c>
    </row>
    <row r="15334" spans="1:6" x14ac:dyDescent="0.2">
      <c r="A15334" t="s">
        <v>25576</v>
      </c>
      <c r="B15334" t="s">
        <v>25420</v>
      </c>
      <c r="C15334" t="s">
        <v>547</v>
      </c>
      <c r="D15334" t="s">
        <v>260</v>
      </c>
      <c r="E15334" t="s">
        <v>803</v>
      </c>
      <c r="F15334" s="2" t="str">
        <f>HYPERLINK("http://www.otzar.org/book.asp?105026","חידושי מהרי""א ציטרון")</f>
        <v>חידושי מהרי"א ציטרון</v>
      </c>
    </row>
    <row r="15335" spans="1:6" x14ac:dyDescent="0.2">
      <c r="A15335" t="s">
        <v>25577</v>
      </c>
      <c r="B15335" t="s">
        <v>14792</v>
      </c>
      <c r="C15335" t="s">
        <v>13711</v>
      </c>
      <c r="D15335" t="s">
        <v>25578</v>
      </c>
      <c r="E15335" t="s">
        <v>4683</v>
      </c>
      <c r="F15335" s="2" t="str">
        <f>HYPERLINK("http://www.otzar.org/book.asp?603043","חידושי מהרי""א")</f>
        <v>חידושי מהרי"א</v>
      </c>
    </row>
    <row r="15336" spans="1:6" x14ac:dyDescent="0.2">
      <c r="A15336" t="s">
        <v>25579</v>
      </c>
      <c r="B15336" t="s">
        <v>25580</v>
      </c>
      <c r="C15336" t="s">
        <v>286</v>
      </c>
      <c r="D15336" t="s">
        <v>691</v>
      </c>
      <c r="E15336" t="s">
        <v>172</v>
      </c>
      <c r="F15336" s="2" t="str">
        <f>HYPERLINK("http://www.otzar.org/book.asp?8405","חידושי מהרי""ו")</f>
        <v>חידושי מהרי"ו</v>
      </c>
    </row>
    <row r="15337" spans="1:6" x14ac:dyDescent="0.2">
      <c r="A15337" t="s">
        <v>25581</v>
      </c>
      <c r="B15337" t="s">
        <v>25582</v>
      </c>
      <c r="C15337" t="s">
        <v>6050</v>
      </c>
      <c r="D15337" t="s">
        <v>49</v>
      </c>
      <c r="E15337" t="s">
        <v>144</v>
      </c>
      <c r="F15337" s="2" t="str">
        <f>HYPERLINK("http://www.otzar.org/book.asp?104164","חידושי מהרי""ט - 3 כר'")</f>
        <v>חידושי מהרי"ט - 3 כר'</v>
      </c>
    </row>
    <row r="15338" spans="1:6" x14ac:dyDescent="0.2">
      <c r="A15338" t="s">
        <v>25583</v>
      </c>
      <c r="B15338" t="s">
        <v>17018</v>
      </c>
      <c r="C15338" t="s">
        <v>168</v>
      </c>
      <c r="D15338" t="s">
        <v>27</v>
      </c>
      <c r="E15338" t="s">
        <v>144</v>
      </c>
      <c r="F15338" s="2" t="str">
        <f>HYPERLINK("http://www.otzar.org/book.asp?151774","חידושי מהרי""ץ - 2 כר'")</f>
        <v>חידושי מהרי"ץ - 2 כר'</v>
      </c>
    </row>
    <row r="15339" spans="1:6" x14ac:dyDescent="0.2">
      <c r="A15339" t="s">
        <v>25584</v>
      </c>
      <c r="B15339" t="s">
        <v>25496</v>
      </c>
      <c r="C15339" t="s">
        <v>1096</v>
      </c>
      <c r="D15339" t="s">
        <v>379</v>
      </c>
      <c r="E15339" t="s">
        <v>674</v>
      </c>
      <c r="F15339" s="2" t="str">
        <f>HYPERLINK("http://www.otzar.org/book.asp?100924","חידושי מהרי""ק")</f>
        <v>חידושי מהרי"ק</v>
      </c>
    </row>
    <row r="15340" spans="1:6" x14ac:dyDescent="0.2">
      <c r="A15340" t="s">
        <v>25585</v>
      </c>
      <c r="B15340" t="s">
        <v>25586</v>
      </c>
      <c r="C15340" t="s">
        <v>812</v>
      </c>
      <c r="D15340" t="s">
        <v>974</v>
      </c>
      <c r="E15340" t="s">
        <v>10316</v>
      </c>
      <c r="F15340" s="2" t="str">
        <f>HYPERLINK("http://www.otzar.org/book.asp?23704","חידושי מהרי""ש - ישמח לב")</f>
        <v>חידושי מהרי"ש - ישמח לב</v>
      </c>
    </row>
    <row r="15341" spans="1:6" x14ac:dyDescent="0.2">
      <c r="A15341" t="s">
        <v>25587</v>
      </c>
      <c r="B15341" t="s">
        <v>25588</v>
      </c>
      <c r="C15341" t="s">
        <v>124</v>
      </c>
      <c r="D15341" t="s">
        <v>412</v>
      </c>
      <c r="E15341" t="s">
        <v>144</v>
      </c>
      <c r="F15341" s="2" t="str">
        <f>HYPERLINK("http://www.otzar.org/book.asp?16617","חידושי מהריא""א")</f>
        <v>חידושי מהריא"א</v>
      </c>
    </row>
    <row r="15342" spans="1:6" x14ac:dyDescent="0.2">
      <c r="A15342" t="s">
        <v>25589</v>
      </c>
      <c r="B15342" t="s">
        <v>25590</v>
      </c>
      <c r="C15342" t="s">
        <v>343</v>
      </c>
      <c r="D15342" t="s">
        <v>3817</v>
      </c>
      <c r="E15342" t="s">
        <v>144</v>
      </c>
      <c r="F15342" s="2" t="str">
        <f>HYPERLINK("http://www.otzar.org/book.asp?149962","חידושי מהריב""ץ")</f>
        <v>חידושי מהריב"ץ</v>
      </c>
    </row>
    <row r="15343" spans="1:6" x14ac:dyDescent="0.2">
      <c r="A15343" t="s">
        <v>25591</v>
      </c>
      <c r="B15343" t="s">
        <v>67</v>
      </c>
      <c r="C15343" t="s">
        <v>383</v>
      </c>
      <c r="D15343" t="s">
        <v>52</v>
      </c>
      <c r="E15343" t="s">
        <v>144</v>
      </c>
      <c r="F15343" s="2" t="str">
        <f>HYPERLINK("http://www.otzar.org/book.asp?61952","חידושי מהריט""ץ ע""פ איזהו נשך והשוכר את האומנין")</f>
        <v>חידושי מהריט"ץ ע"פ איזהו נשך והשוכר את האומנין</v>
      </c>
    </row>
    <row r="15344" spans="1:6" x14ac:dyDescent="0.2">
      <c r="A15344" t="s">
        <v>25592</v>
      </c>
      <c r="B15344" t="s">
        <v>25593</v>
      </c>
      <c r="C15344" t="s">
        <v>617</v>
      </c>
      <c r="D15344" t="s">
        <v>283</v>
      </c>
      <c r="E15344" t="s">
        <v>2088</v>
      </c>
      <c r="F15344" s="2" t="str">
        <f>HYPERLINK("http://www.otzar.org/book.asp?104868","חידושי מהרמ""י")</f>
        <v>חידושי מהרמ"י</v>
      </c>
    </row>
    <row r="15345" spans="1:6" x14ac:dyDescent="0.2">
      <c r="A15345" t="s">
        <v>25594</v>
      </c>
      <c r="B15345" t="s">
        <v>1264</v>
      </c>
      <c r="C15345" t="s">
        <v>51</v>
      </c>
      <c r="D15345" t="s">
        <v>52</v>
      </c>
      <c r="E15345" t="s">
        <v>803</v>
      </c>
      <c r="F15345" s="2" t="str">
        <f>HYPERLINK("http://www.otzar.org/book.asp?21846","חידושי מהרצ""א על הלכות חנוכה - עם הגהות הצבי והצדק")</f>
        <v>חידושי מהרצ"א על הלכות חנוכה - עם הגהות הצבי והצדק</v>
      </c>
    </row>
    <row r="15346" spans="1:6" x14ac:dyDescent="0.2">
      <c r="A15346" t="s">
        <v>25595</v>
      </c>
      <c r="B15346" t="s">
        <v>1264</v>
      </c>
      <c r="C15346" t="s">
        <v>4705</v>
      </c>
      <c r="D15346" t="s">
        <v>855</v>
      </c>
      <c r="E15346" t="s">
        <v>15</v>
      </c>
      <c r="F15346" s="2" t="str">
        <f>HYPERLINK("http://www.otzar.org/book.asp?11458","חידושי מהרצ""א")</f>
        <v>חידושי מהרצ"א</v>
      </c>
    </row>
    <row r="15347" spans="1:6" x14ac:dyDescent="0.2">
      <c r="A15347" t="s">
        <v>25596</v>
      </c>
      <c r="B15347" t="s">
        <v>25597</v>
      </c>
      <c r="C15347" t="s">
        <v>133</v>
      </c>
      <c r="D15347" t="s">
        <v>412</v>
      </c>
      <c r="E15347" t="s">
        <v>144</v>
      </c>
      <c r="F15347" s="2" t="str">
        <f>HYPERLINK("http://www.otzar.org/book.asp?181856","חידושי מהרש""א &lt;עם ביאורים&gt; - מגילה")</f>
        <v>חידושי מהרש"א &lt;עם ביאורים&gt; - מגילה</v>
      </c>
    </row>
    <row r="15348" spans="1:6" x14ac:dyDescent="0.2">
      <c r="A15348" t="s">
        <v>25598</v>
      </c>
      <c r="B15348" t="s">
        <v>23517</v>
      </c>
      <c r="C15348" t="s">
        <v>427</v>
      </c>
      <c r="D15348" t="s">
        <v>14</v>
      </c>
      <c r="E15348" t="s">
        <v>957</v>
      </c>
      <c r="F15348" s="2" t="str">
        <f>HYPERLINK("http://www.otzar.org/book.asp?14075","חידושי מהרש""א על התורה")</f>
        <v>חידושי מהרש"א על התורה</v>
      </c>
    </row>
    <row r="15349" spans="1:6" x14ac:dyDescent="0.2">
      <c r="A15349" t="s">
        <v>25599</v>
      </c>
      <c r="B15349" t="s">
        <v>23517</v>
      </c>
      <c r="C15349" t="s">
        <v>1135</v>
      </c>
      <c r="D15349" t="s">
        <v>2303</v>
      </c>
      <c r="E15349" t="s">
        <v>158</v>
      </c>
      <c r="F15349" s="2" t="str">
        <f>HYPERLINK("http://www.otzar.org/book.asp?171287","חידושי מהרש""א על פירוש רש""י")</f>
        <v>חידושי מהרש"א על פירוש רש"י</v>
      </c>
    </row>
    <row r="15350" spans="1:6" x14ac:dyDescent="0.2">
      <c r="A15350" t="s">
        <v>25600</v>
      </c>
      <c r="B15350" t="s">
        <v>25601</v>
      </c>
      <c r="C15350" t="s">
        <v>725</v>
      </c>
      <c r="D15350" t="s">
        <v>6129</v>
      </c>
      <c r="E15350" t="s">
        <v>158</v>
      </c>
      <c r="F15350" s="2" t="str">
        <f>HYPERLINK("http://www.otzar.org/book.asp?200275","חידושי מהרש""ג")</f>
        <v>חידושי מהרש"ג</v>
      </c>
    </row>
    <row r="15351" spans="1:6" x14ac:dyDescent="0.2">
      <c r="A15351" t="s">
        <v>25602</v>
      </c>
      <c r="B15351" t="s">
        <v>10700</v>
      </c>
      <c r="C15351" t="s">
        <v>20</v>
      </c>
      <c r="D15351" t="s">
        <v>152</v>
      </c>
      <c r="E15351" t="s">
        <v>144</v>
      </c>
      <c r="F15351" s="2" t="str">
        <f>HYPERLINK("http://www.otzar.org/book.asp?611383","חידושי מהרש""ך - 13 כר'")</f>
        <v>חידושי מהרש"ך - 13 כר'</v>
      </c>
    </row>
    <row r="15352" spans="1:6" x14ac:dyDescent="0.2">
      <c r="A15352" t="s">
        <v>25603</v>
      </c>
      <c r="B15352" t="s">
        <v>25604</v>
      </c>
      <c r="C15352" t="s">
        <v>16450</v>
      </c>
      <c r="D15352" t="s">
        <v>25605</v>
      </c>
      <c r="E15352" t="s">
        <v>144</v>
      </c>
      <c r="F15352" s="2" t="str">
        <f>HYPERLINK("http://www.otzar.org/book.asp?6904","חידושי מהרש""ך")</f>
        <v>חידושי מהרש"ך</v>
      </c>
    </row>
    <row r="15353" spans="1:6" x14ac:dyDescent="0.2">
      <c r="A15353" t="s">
        <v>25606</v>
      </c>
      <c r="B15353" t="s">
        <v>25607</v>
      </c>
      <c r="C15353" t="s">
        <v>558</v>
      </c>
      <c r="D15353" t="s">
        <v>27</v>
      </c>
      <c r="E15353" t="s">
        <v>25608</v>
      </c>
      <c r="F15353" s="2" t="str">
        <f>HYPERLINK("http://www.otzar.org/book.asp?147084","חידושי מהרשא""ך")</f>
        <v>חידושי מהרשא"ך</v>
      </c>
    </row>
    <row r="15354" spans="1:6" x14ac:dyDescent="0.2">
      <c r="A15354" t="s">
        <v>25609</v>
      </c>
      <c r="B15354" t="s">
        <v>25610</v>
      </c>
      <c r="C15354" t="s">
        <v>25611</v>
      </c>
      <c r="D15354" t="s">
        <v>56</v>
      </c>
      <c r="E15354" t="s">
        <v>144</v>
      </c>
      <c r="F15354" s="2" t="str">
        <f>HYPERLINK("http://www.otzar.org/book.asp?104530","חידושי מהרשד""ם - 2 כר'")</f>
        <v>חידושי מהרשד"ם - 2 כר'</v>
      </c>
    </row>
    <row r="15355" spans="1:6" x14ac:dyDescent="0.2">
      <c r="A15355" t="s">
        <v>25612</v>
      </c>
      <c r="B15355" t="s">
        <v>1182</v>
      </c>
      <c r="C15355" t="s">
        <v>1278</v>
      </c>
      <c r="D15355" t="s">
        <v>283</v>
      </c>
      <c r="E15355" t="s">
        <v>25613</v>
      </c>
      <c r="F15355" s="2" t="str">
        <f>HYPERLINK("http://www.otzar.org/book.asp?100922","חידושי מוהרמ""ז - 2 כר'")</f>
        <v>חידושי מוהרמ"ז - 2 כר'</v>
      </c>
    </row>
    <row r="15356" spans="1:6" x14ac:dyDescent="0.2">
      <c r="A15356" t="s">
        <v>25614</v>
      </c>
      <c r="B15356" t="s">
        <v>25615</v>
      </c>
      <c r="C15356" t="s">
        <v>151</v>
      </c>
      <c r="D15356" t="s">
        <v>52</v>
      </c>
      <c r="F15356" s="2" t="str">
        <f>HYPERLINK("http://www.otzar.org/book.asp?621019","חידושי מורנו הגאון רבי דב לנדו - 22 כר'")</f>
        <v>חידושי מורנו הגאון רבי דב לנדו - 22 כר'</v>
      </c>
    </row>
    <row r="15357" spans="1:6" x14ac:dyDescent="0.2">
      <c r="A15357" t="s">
        <v>25616</v>
      </c>
      <c r="B15357" t="s">
        <v>24561</v>
      </c>
      <c r="C15357" t="s">
        <v>22883</v>
      </c>
      <c r="D15357" t="s">
        <v>49</v>
      </c>
      <c r="F15357" s="2" t="str">
        <f>HYPERLINK("http://www.otzar.org/book.asp?164926","חידושי מסכת חולין מהרשב""א ז""ל")</f>
        <v>חידושי מסכת חולין מהרשב"א ז"ל</v>
      </c>
    </row>
    <row r="15358" spans="1:6" x14ac:dyDescent="0.2">
      <c r="A15358" t="s">
        <v>25617</v>
      </c>
      <c r="B15358" t="s">
        <v>18091</v>
      </c>
      <c r="C15358" t="s">
        <v>244</v>
      </c>
      <c r="D15358" t="s">
        <v>14</v>
      </c>
      <c r="E15358" t="s">
        <v>144</v>
      </c>
      <c r="F15358" s="2" t="str">
        <f>HYPERLINK("http://www.otzar.org/book.asp?198227","חידושי מסכת פסחים - ערבי פסחים")</f>
        <v>חידושי מסכת פסחים - ערבי פסחים</v>
      </c>
    </row>
    <row r="15359" spans="1:6" x14ac:dyDescent="0.2">
      <c r="A15359" t="s">
        <v>25618</v>
      </c>
      <c r="B15359" t="s">
        <v>25619</v>
      </c>
      <c r="C15359" t="s">
        <v>10859</v>
      </c>
      <c r="D15359" t="s">
        <v>1490</v>
      </c>
      <c r="E15359" t="s">
        <v>786</v>
      </c>
      <c r="F15359" s="2" t="str">
        <f>HYPERLINK("http://www.otzar.org/book.asp?103886","חידושי מסכת קדושין לאחד מן הרבנים &lt;שיטה לא נודע למי&gt;")</f>
        <v>חידושי מסכת קדושין לאחד מן הרבנים &lt;שיטה לא נודע למי&gt;</v>
      </c>
    </row>
    <row r="15360" spans="1:6" x14ac:dyDescent="0.2">
      <c r="A15360" t="s">
        <v>25620</v>
      </c>
      <c r="B15360" t="s">
        <v>25621</v>
      </c>
      <c r="C15360" t="s">
        <v>17448</v>
      </c>
      <c r="D15360" t="s">
        <v>1833</v>
      </c>
      <c r="E15360" t="s">
        <v>144</v>
      </c>
      <c r="F15360" s="2" t="str">
        <f>HYPERLINK("http://www.otzar.org/book.asp?148143","חידושי מסכת ראש השנה")</f>
        <v>חידושי מסכת ראש השנה</v>
      </c>
    </row>
    <row r="15361" spans="1:6" x14ac:dyDescent="0.2">
      <c r="A15361" t="s">
        <v>25622</v>
      </c>
      <c r="B15361" t="s">
        <v>25623</v>
      </c>
      <c r="C15361" t="s">
        <v>1310</v>
      </c>
      <c r="D15361" t="s">
        <v>56</v>
      </c>
      <c r="E15361" t="s">
        <v>144</v>
      </c>
      <c r="F15361" s="2" t="str">
        <f>HYPERLINK("http://www.otzar.org/book.asp?19465","חידושי מר שמואל")</f>
        <v>חידושי מר שמואל</v>
      </c>
    </row>
    <row r="15362" spans="1:6" x14ac:dyDescent="0.2">
      <c r="A15362" t="s">
        <v>25624</v>
      </c>
      <c r="B15362" t="s">
        <v>25625</v>
      </c>
      <c r="C15362" t="s">
        <v>176</v>
      </c>
      <c r="D15362" t="s">
        <v>16390</v>
      </c>
      <c r="E15362" t="s">
        <v>144</v>
      </c>
      <c r="F15362" s="2" t="str">
        <f>HYPERLINK("http://www.otzar.org/book.asp?9714","חידושי מרן הגר""ב סורוצקין - 3 כר'")</f>
        <v>חידושי מרן הגר"ב סורוצקין - 3 כר'</v>
      </c>
    </row>
    <row r="15363" spans="1:6" x14ac:dyDescent="0.2">
      <c r="A15363" t="s">
        <v>25626</v>
      </c>
      <c r="B15363" t="s">
        <v>25627</v>
      </c>
      <c r="C15363" t="s">
        <v>244</v>
      </c>
      <c r="D15363" t="s">
        <v>14</v>
      </c>
      <c r="E15363" t="s">
        <v>158</v>
      </c>
      <c r="F15363" s="2" t="str">
        <f>HYPERLINK("http://www.otzar.org/book.asp?623405","חידושי מרן הגר""ח קניבסקי - 5 כר'")</f>
        <v>חידושי מרן הגר"ח קניבסקי - 5 כר'</v>
      </c>
    </row>
    <row r="15364" spans="1:6" x14ac:dyDescent="0.2">
      <c r="A15364" t="s">
        <v>25628</v>
      </c>
      <c r="B15364" t="s">
        <v>25629</v>
      </c>
      <c r="C15364" t="s">
        <v>20</v>
      </c>
      <c r="D15364" t="s">
        <v>80</v>
      </c>
      <c r="E15364" t="s">
        <v>144</v>
      </c>
      <c r="F15364" s="2" t="str">
        <f>HYPERLINK("http://www.otzar.org/book.asp?195602","חידושי מרן הגר""נ לסמן זצ""ל")</f>
        <v>חידושי מרן הגר"נ לסמן זצ"ל</v>
      </c>
    </row>
    <row r="15365" spans="1:6" x14ac:dyDescent="0.2">
      <c r="A15365" t="s">
        <v>25630</v>
      </c>
      <c r="B15365" t="s">
        <v>25631</v>
      </c>
      <c r="C15365" t="s">
        <v>23</v>
      </c>
      <c r="D15365" t="s">
        <v>412</v>
      </c>
      <c r="E15365" t="s">
        <v>144</v>
      </c>
      <c r="F15365" s="2" t="str">
        <f>HYPERLINK("http://www.otzar.org/book.asp?194954","חידושי מרן הגרא""ג - בכורות")</f>
        <v>חידושי מרן הגרא"ג - בכורות</v>
      </c>
    </row>
    <row r="15366" spans="1:6" x14ac:dyDescent="0.2">
      <c r="A15366" t="s">
        <v>25632</v>
      </c>
      <c r="B15366" t="s">
        <v>25633</v>
      </c>
      <c r="C15366" t="s">
        <v>422</v>
      </c>
      <c r="D15366" t="s">
        <v>14</v>
      </c>
      <c r="E15366" t="s">
        <v>144</v>
      </c>
      <c r="F15366" s="2" t="str">
        <f>HYPERLINK("http://www.otzar.org/book.asp?151057","חידושי מרן הגרי""מ")</f>
        <v>חידושי מרן הגרי"מ</v>
      </c>
    </row>
    <row r="15367" spans="1:6" x14ac:dyDescent="0.2">
      <c r="A15367" t="s">
        <v>25634</v>
      </c>
      <c r="B15367" t="s">
        <v>2688</v>
      </c>
      <c r="C15367" t="s">
        <v>13</v>
      </c>
      <c r="D15367" t="s">
        <v>14</v>
      </c>
      <c r="E15367" t="s">
        <v>144</v>
      </c>
      <c r="F15367" s="2" t="str">
        <f>HYPERLINK("http://www.otzar.org/book.asp?142508","חידושי משנה &lt;טקסט&gt; - קידושין")</f>
        <v>חידושי משנה &lt;טקסט&gt; - קידושין</v>
      </c>
    </row>
    <row r="15368" spans="1:6" x14ac:dyDescent="0.2">
      <c r="A15368" t="s">
        <v>25635</v>
      </c>
      <c r="B15368" t="s">
        <v>2688</v>
      </c>
      <c r="C15368" t="s">
        <v>13</v>
      </c>
      <c r="D15368" t="s">
        <v>412</v>
      </c>
      <c r="E15368" t="s">
        <v>144</v>
      </c>
      <c r="F15368" s="2" t="str">
        <f>HYPERLINK("http://www.otzar.org/book.asp?145292","חידושי משנה &lt;משנה הלכות&gt; - 3 כר'")</f>
        <v>חידושי משנה &lt;משנה הלכות&gt; - 3 כר'</v>
      </c>
    </row>
    <row r="15369" spans="1:6" x14ac:dyDescent="0.2">
      <c r="A15369" t="s">
        <v>25636</v>
      </c>
      <c r="B15369" t="s">
        <v>25291</v>
      </c>
      <c r="C15369" t="s">
        <v>1592</v>
      </c>
      <c r="D15369" t="s">
        <v>25292</v>
      </c>
      <c r="E15369" t="s">
        <v>144</v>
      </c>
      <c r="F15369" s="2" t="str">
        <f>HYPERLINK("http://www.otzar.org/book.asp?7104","חידושי נדה להרמב""ן (חמש שיטות)")</f>
        <v>חידושי נדה להרמב"ן (חמש שיטות)</v>
      </c>
    </row>
    <row r="15370" spans="1:6" x14ac:dyDescent="0.2">
      <c r="A15370" t="s">
        <v>25637</v>
      </c>
      <c r="B15370" t="s">
        <v>25638</v>
      </c>
      <c r="C15370" t="s">
        <v>854</v>
      </c>
      <c r="D15370" t="s">
        <v>267</v>
      </c>
      <c r="E15370" t="s">
        <v>144</v>
      </c>
      <c r="F15370" s="2" t="str">
        <f>HYPERLINK("http://www.otzar.org/book.asp?141068","חידושי נחלת בן יוסף")</f>
        <v>חידושי נחלת בן יוסף</v>
      </c>
    </row>
    <row r="15371" spans="1:6" x14ac:dyDescent="0.2">
      <c r="A15371" t="s">
        <v>25639</v>
      </c>
      <c r="B15371" t="s">
        <v>25640</v>
      </c>
      <c r="C15371" t="s">
        <v>395</v>
      </c>
      <c r="D15371" t="s">
        <v>2069</v>
      </c>
      <c r="F15371" s="2" t="str">
        <f>HYPERLINK("http://www.otzar.org/book.asp?194776","חידושי נשמת צבי - 2 כר'")</f>
        <v>חידושי נשמת צבי - 2 כר'</v>
      </c>
    </row>
    <row r="15372" spans="1:6" x14ac:dyDescent="0.2">
      <c r="A15372" t="s">
        <v>25641</v>
      </c>
      <c r="B15372" t="s">
        <v>14662</v>
      </c>
      <c r="C15372" t="s">
        <v>1160</v>
      </c>
      <c r="D15372" t="s">
        <v>412</v>
      </c>
      <c r="E15372" t="s">
        <v>144</v>
      </c>
      <c r="F15372" s="2" t="str">
        <f>HYPERLINK("http://www.otzar.org/book.asp?9271","חידושי סוגיות - 5 כר'")</f>
        <v>חידושי סוגיות - 5 כר'</v>
      </c>
    </row>
    <row r="15373" spans="1:6" x14ac:dyDescent="0.2">
      <c r="A15373" t="s">
        <v>25642</v>
      </c>
      <c r="B15373" t="s">
        <v>25643</v>
      </c>
      <c r="C15373" t="s">
        <v>20</v>
      </c>
      <c r="D15373" t="s">
        <v>1076</v>
      </c>
      <c r="E15373" t="s">
        <v>219</v>
      </c>
      <c r="F15373" s="2" t="str">
        <f>HYPERLINK("http://www.otzar.org/book.asp?600056","חידושי סליחות")</f>
        <v>חידושי סליחות</v>
      </c>
    </row>
    <row r="15374" spans="1:6" x14ac:dyDescent="0.2">
      <c r="A15374" t="s">
        <v>25644</v>
      </c>
      <c r="B15374" t="s">
        <v>17027</v>
      </c>
      <c r="C15374" t="s">
        <v>13</v>
      </c>
      <c r="D15374" t="s">
        <v>14</v>
      </c>
      <c r="E15374" t="s">
        <v>144</v>
      </c>
      <c r="F15374" s="2" t="str">
        <f>HYPERLINK("http://www.otzar.org/book.asp?609877","חידושי עזיאל - 3 כר'")</f>
        <v>חידושי עזיאל - 3 כר'</v>
      </c>
    </row>
    <row r="15375" spans="1:6" x14ac:dyDescent="0.2">
      <c r="A15375" t="s">
        <v>25645</v>
      </c>
      <c r="B15375" t="s">
        <v>25646</v>
      </c>
      <c r="C15375" t="s">
        <v>9946</v>
      </c>
      <c r="D15375" t="s">
        <v>2209</v>
      </c>
      <c r="F15375" s="2" t="str">
        <f>HYPERLINK("http://www.otzar.org/book.asp?155857","חידושי עיני ישראל")</f>
        <v>חידושי עיני ישראל</v>
      </c>
    </row>
    <row r="15376" spans="1:6" x14ac:dyDescent="0.2">
      <c r="A15376" t="s">
        <v>25647</v>
      </c>
      <c r="B15376" t="s">
        <v>25648</v>
      </c>
      <c r="C15376" t="s">
        <v>360</v>
      </c>
      <c r="D15376" t="s">
        <v>27</v>
      </c>
      <c r="E15376" t="s">
        <v>674</v>
      </c>
      <c r="F15376" s="2" t="str">
        <f>HYPERLINK("http://www.otzar.org/book.asp?149164","חידושי עקיבא הכהן דיאמנט זצ""ל")</f>
        <v>חידושי עקיבא הכהן דיאמנט זצ"ל</v>
      </c>
    </row>
    <row r="15377" spans="1:6" x14ac:dyDescent="0.2">
      <c r="A15377" t="s">
        <v>25649</v>
      </c>
      <c r="B15377" t="s">
        <v>25649</v>
      </c>
      <c r="C15377" t="s">
        <v>989</v>
      </c>
      <c r="D15377" t="s">
        <v>14</v>
      </c>
      <c r="E15377" t="s">
        <v>172</v>
      </c>
      <c r="F15377" s="2" t="str">
        <f>HYPERLINK("http://www.otzar.org/book.asp?9099","חידושי פוסקים")</f>
        <v>חידושי פוסקים</v>
      </c>
    </row>
    <row r="15378" spans="1:6" x14ac:dyDescent="0.2">
      <c r="A15378" t="s">
        <v>25650</v>
      </c>
      <c r="B15378" t="s">
        <v>5253</v>
      </c>
      <c r="C15378" t="s">
        <v>25651</v>
      </c>
      <c r="D15378" t="s">
        <v>283</v>
      </c>
      <c r="E15378" t="s">
        <v>144</v>
      </c>
      <c r="F15378" s="2" t="str">
        <f>HYPERLINK("http://www.otzar.org/book.asp?101665","חידושי פני אריה")</f>
        <v>חידושי פני אריה</v>
      </c>
    </row>
    <row r="15379" spans="1:6" x14ac:dyDescent="0.2">
      <c r="A15379" t="s">
        <v>25652</v>
      </c>
      <c r="B15379" t="s">
        <v>25653</v>
      </c>
      <c r="C15379" t="s">
        <v>332</v>
      </c>
      <c r="D15379" t="s">
        <v>412</v>
      </c>
      <c r="E15379" t="s">
        <v>144</v>
      </c>
      <c r="F15379" s="2" t="str">
        <f>HYPERLINK("http://www.otzar.org/book.asp?602577","חידושי פרק הזהב שבספר מהררי נמרים")</f>
        <v>חידושי פרק הזהב שבספר מהררי נמרים</v>
      </c>
    </row>
    <row r="15380" spans="1:6" x14ac:dyDescent="0.2">
      <c r="A15380" t="s">
        <v>25654</v>
      </c>
      <c r="B15380" t="s">
        <v>25655</v>
      </c>
      <c r="C15380" t="s">
        <v>1208</v>
      </c>
      <c r="D15380" t="s">
        <v>52</v>
      </c>
      <c r="E15380" t="s">
        <v>786</v>
      </c>
      <c r="F15380" s="2" t="str">
        <f>HYPERLINK("http://www.otzar.org/book.asp?173304","חידושי קדושת לוי")</f>
        <v>חידושי קדושת לוי</v>
      </c>
    </row>
    <row r="15381" spans="1:6" x14ac:dyDescent="0.2">
      <c r="A15381" t="s">
        <v>25656</v>
      </c>
      <c r="B15381" t="s">
        <v>25657</v>
      </c>
      <c r="C15381" t="s">
        <v>785</v>
      </c>
      <c r="D15381" t="s">
        <v>14</v>
      </c>
      <c r="E15381" t="s">
        <v>144</v>
      </c>
      <c r="F15381" s="2" t="str">
        <f>HYPERLINK("http://www.otzar.org/book.asp?11425","חידושי ר""י בן חכמון - 2 כר'")</f>
        <v>חידושי ר"י בן חכמון - 2 כר'</v>
      </c>
    </row>
    <row r="15382" spans="1:6" x14ac:dyDescent="0.2">
      <c r="A15382" t="s">
        <v>25658</v>
      </c>
      <c r="B15382" t="s">
        <v>25659</v>
      </c>
      <c r="C15382" t="s">
        <v>176</v>
      </c>
      <c r="D15382" t="s">
        <v>1550</v>
      </c>
      <c r="E15382" t="s">
        <v>25660</v>
      </c>
      <c r="F15382" s="2" t="str">
        <f>HYPERLINK("http://www.otzar.org/book.asp?176915","חידושי ר' יעקב בטאן")</f>
        <v>חידושי ר' יעקב בטאן</v>
      </c>
    </row>
    <row r="15383" spans="1:6" x14ac:dyDescent="0.2">
      <c r="A15383" t="s">
        <v>25661</v>
      </c>
      <c r="B15383" t="s">
        <v>25662</v>
      </c>
      <c r="C15383" t="s">
        <v>395</v>
      </c>
      <c r="D15383" t="s">
        <v>27</v>
      </c>
      <c r="E15383" t="s">
        <v>2098</v>
      </c>
      <c r="F15383" s="2" t="str">
        <f>HYPERLINK("http://www.otzar.org/book.asp?146868","חידושי ר' יעקב מאיר")</f>
        <v>חידושי ר' יעקב מאיר</v>
      </c>
    </row>
    <row r="15384" spans="1:6" x14ac:dyDescent="0.2">
      <c r="A15384" t="s">
        <v>25663</v>
      </c>
      <c r="B15384" t="s">
        <v>1956</v>
      </c>
      <c r="C15384" t="s">
        <v>777</v>
      </c>
      <c r="D15384" t="s">
        <v>9</v>
      </c>
      <c r="E15384" t="s">
        <v>25608</v>
      </c>
      <c r="F15384" s="2" t="str">
        <f>HYPERLINK("http://www.otzar.org/book.asp?100921","חידושי רא""ם")</f>
        <v>חידושי רא"ם</v>
      </c>
    </row>
    <row r="15385" spans="1:6" x14ac:dyDescent="0.2">
      <c r="A15385" t="s">
        <v>25664</v>
      </c>
      <c r="B15385" t="s">
        <v>25665</v>
      </c>
      <c r="C15385" t="s">
        <v>1160</v>
      </c>
      <c r="D15385" t="s">
        <v>27</v>
      </c>
      <c r="E15385" t="s">
        <v>144</v>
      </c>
      <c r="F15385" s="2" t="str">
        <f>HYPERLINK("http://www.otzar.org/book.asp?163954","חידושי רא""מ")</f>
        <v>חידושי רא"מ</v>
      </c>
    </row>
    <row r="15386" spans="1:6" x14ac:dyDescent="0.2">
      <c r="A15386" t="s">
        <v>25666</v>
      </c>
      <c r="B15386" t="s">
        <v>25572</v>
      </c>
      <c r="C15386" t="s">
        <v>168</v>
      </c>
      <c r="D15386" t="s">
        <v>1180</v>
      </c>
      <c r="E15386" t="s">
        <v>25667</v>
      </c>
      <c r="F15386" s="2" t="str">
        <f>HYPERLINK("http://www.otzar.org/book.asp?9717","חידושי ראשבי""ד אש דת")</f>
        <v>חידושי ראשבי"ד אש דת</v>
      </c>
    </row>
    <row r="15387" spans="1:6" x14ac:dyDescent="0.2">
      <c r="A15387" t="s">
        <v>25668</v>
      </c>
      <c r="B15387" t="s">
        <v>25669</v>
      </c>
      <c r="C15387" t="s">
        <v>533</v>
      </c>
      <c r="D15387" t="s">
        <v>14</v>
      </c>
      <c r="E15387" t="s">
        <v>144</v>
      </c>
      <c r="F15387" s="2" t="str">
        <f>HYPERLINK("http://www.otzar.org/book.asp?84881","חידושי רבי אברהם משה - 3 כר'")</f>
        <v>חידושי רבי אברהם משה - 3 כר'</v>
      </c>
    </row>
    <row r="15388" spans="1:6" x14ac:dyDescent="0.2">
      <c r="A15388" t="s">
        <v>25670</v>
      </c>
      <c r="B15388" t="s">
        <v>25671</v>
      </c>
      <c r="C15388" t="s">
        <v>334</v>
      </c>
      <c r="D15388" t="s">
        <v>412</v>
      </c>
      <c r="E15388" t="s">
        <v>144</v>
      </c>
      <c r="F15388" s="2" t="str">
        <f>HYPERLINK("http://www.otzar.org/book.asp?85415","חידושי רבי אפרים מרדכי - 4 כר'")</f>
        <v>חידושי רבי אפרים מרדכי - 4 כר'</v>
      </c>
    </row>
    <row r="15389" spans="1:6" x14ac:dyDescent="0.2">
      <c r="A15389" t="s">
        <v>25672</v>
      </c>
      <c r="B15389" t="s">
        <v>25673</v>
      </c>
      <c r="C15389" t="s">
        <v>438</v>
      </c>
      <c r="D15389" t="s">
        <v>52</v>
      </c>
      <c r="E15389" t="s">
        <v>144</v>
      </c>
      <c r="F15389" s="2" t="str">
        <f>HYPERLINK("http://www.otzar.org/book.asp?6952","חידושי רבי אריה לייב - 2 כר'")</f>
        <v>חידושי רבי אריה לייב - 2 כר'</v>
      </c>
    </row>
    <row r="15390" spans="1:6" x14ac:dyDescent="0.2">
      <c r="A15390" t="s">
        <v>25674</v>
      </c>
      <c r="B15390" t="s">
        <v>25675</v>
      </c>
      <c r="C15390" t="s">
        <v>68</v>
      </c>
      <c r="D15390" t="s">
        <v>14</v>
      </c>
      <c r="E15390" t="s">
        <v>144</v>
      </c>
      <c r="F15390" s="2" t="str">
        <f>HYPERLINK("http://www.otzar.org/book.asp?155315","חידושי רבי בונים איגר זצ""ל - 2 כר'")</f>
        <v>חידושי רבי בונים איגר זצ"ל - 2 כר'</v>
      </c>
    </row>
    <row r="15391" spans="1:6" x14ac:dyDescent="0.2">
      <c r="A15391" t="s">
        <v>25676</v>
      </c>
      <c r="B15391" t="s">
        <v>25677</v>
      </c>
      <c r="C15391" t="s">
        <v>37</v>
      </c>
      <c r="D15391" t="s">
        <v>21</v>
      </c>
      <c r="E15391" t="s">
        <v>1211</v>
      </c>
      <c r="F15391" s="2" t="str">
        <f>HYPERLINK("http://www.otzar.org/book.asp?605252","חידושי רבי בן ציון")</f>
        <v>חידושי רבי בן ציון</v>
      </c>
    </row>
    <row r="15392" spans="1:6" x14ac:dyDescent="0.2">
      <c r="A15392" t="s">
        <v>25678</v>
      </c>
      <c r="B15392" t="s">
        <v>25631</v>
      </c>
      <c r="C15392" t="s">
        <v>20</v>
      </c>
      <c r="D15392" t="s">
        <v>412</v>
      </c>
      <c r="E15392" t="s">
        <v>325</v>
      </c>
      <c r="F15392" s="2" t="str">
        <f>HYPERLINK("http://www.otzar.org/book.asp?180939","חידושי רבי גרשון - 2 כר'")</f>
        <v>חידושי רבי גרשון - 2 כר'</v>
      </c>
    </row>
    <row r="15393" spans="1:6" x14ac:dyDescent="0.2">
      <c r="A15393" t="s">
        <v>25679</v>
      </c>
      <c r="B15393" t="s">
        <v>25428</v>
      </c>
      <c r="C15393" t="s">
        <v>2302</v>
      </c>
      <c r="D15393" t="s">
        <v>60</v>
      </c>
      <c r="E15393" t="s">
        <v>148</v>
      </c>
      <c r="F15393" s="2" t="str">
        <f>HYPERLINK("http://www.otzar.org/book.asp?51026","חידושי רבי זאב הלוי")</f>
        <v>חידושי רבי זאב הלוי</v>
      </c>
    </row>
    <row r="15394" spans="1:6" x14ac:dyDescent="0.2">
      <c r="A15394" t="s">
        <v>25680</v>
      </c>
      <c r="B15394" t="s">
        <v>4108</v>
      </c>
      <c r="C15394" t="s">
        <v>3205</v>
      </c>
      <c r="D15394" t="s">
        <v>27</v>
      </c>
      <c r="E15394" t="s">
        <v>144</v>
      </c>
      <c r="F15394" s="2" t="str">
        <f>HYPERLINK("http://www.otzar.org/book.asp?150562","חידושי רבי זרח איידליץ")</f>
        <v>חידושי רבי זרח איידליץ</v>
      </c>
    </row>
    <row r="15395" spans="1:6" x14ac:dyDescent="0.2">
      <c r="A15395" t="s">
        <v>25681</v>
      </c>
      <c r="B15395" t="s">
        <v>25682</v>
      </c>
      <c r="C15395" t="s">
        <v>68</v>
      </c>
      <c r="D15395" t="s">
        <v>134</v>
      </c>
      <c r="E15395" t="s">
        <v>144</v>
      </c>
      <c r="F15395" s="2" t="str">
        <f>HYPERLINK("http://www.otzar.org/book.asp?155599","חידושי רבי חיים מטעלז - 3 כר'")</f>
        <v>חידושי רבי חיים מטעלז - 3 כר'</v>
      </c>
    </row>
    <row r="15396" spans="1:6" x14ac:dyDescent="0.2">
      <c r="A15396" t="s">
        <v>25683</v>
      </c>
      <c r="B15396" t="s">
        <v>25684</v>
      </c>
      <c r="C15396" t="s">
        <v>68</v>
      </c>
      <c r="D15396" t="s">
        <v>229</v>
      </c>
      <c r="F15396" s="2" t="str">
        <f>HYPERLINK("http://www.otzar.org/book.asp?157182","חידושי רבי חנוך הענאך - 2 כר'")</f>
        <v>חידושי רבי חנוך הענאך - 2 כר'</v>
      </c>
    </row>
    <row r="15397" spans="1:6" x14ac:dyDescent="0.2">
      <c r="A15397" t="s">
        <v>25685</v>
      </c>
      <c r="B15397" t="s">
        <v>15537</v>
      </c>
      <c r="C15397" t="s">
        <v>68</v>
      </c>
      <c r="D15397" t="s">
        <v>486</v>
      </c>
      <c r="E15397" t="s">
        <v>3818</v>
      </c>
      <c r="F15397" s="2" t="str">
        <f>HYPERLINK("http://www.otzar.org/book.asp?154074","חידושי רבי יהודה זרחיה - 2 כר'")</f>
        <v>חידושי רבי יהודה זרחיה - 2 כר'</v>
      </c>
    </row>
    <row r="15398" spans="1:6" x14ac:dyDescent="0.2">
      <c r="A15398" t="s">
        <v>25686</v>
      </c>
      <c r="B15398" t="s">
        <v>1990</v>
      </c>
      <c r="C15398" t="s">
        <v>767</v>
      </c>
      <c r="D15398" t="s">
        <v>14</v>
      </c>
      <c r="E15398" t="s">
        <v>920</v>
      </c>
      <c r="F15398" s="2" t="str">
        <f>HYPERLINK("http://www.otzar.org/book.asp?142217","חידושי רבי יהונתן אייבשיץ")</f>
        <v>חידושי רבי יהונתן אייבשיץ</v>
      </c>
    </row>
    <row r="15399" spans="1:6" x14ac:dyDescent="0.2">
      <c r="A15399" t="s">
        <v>25687</v>
      </c>
      <c r="B15399" t="s">
        <v>25688</v>
      </c>
      <c r="C15399" t="s">
        <v>133</v>
      </c>
      <c r="D15399" t="s">
        <v>14</v>
      </c>
      <c r="E15399" t="s">
        <v>144</v>
      </c>
      <c r="F15399" s="2" t="str">
        <f>HYPERLINK("http://www.otzar.org/book.asp?179743","חידושי רבי יהונתן מלוניל &lt;מהדורת מכון התלמוד הישראלי&gt; - מגילה יבמות גיטין")</f>
        <v>חידושי רבי יהונתן מלוניל &lt;מהדורת מכון התלמוד הישראלי&gt; - מגילה יבמות גיטין</v>
      </c>
    </row>
    <row r="15400" spans="1:6" x14ac:dyDescent="0.2">
      <c r="A15400" t="s">
        <v>25689</v>
      </c>
      <c r="B15400" t="s">
        <v>25688</v>
      </c>
      <c r="C15400" t="s">
        <v>114</v>
      </c>
      <c r="D15400" t="s">
        <v>14</v>
      </c>
      <c r="E15400" t="s">
        <v>144</v>
      </c>
      <c r="F15400" s="2" t="str">
        <f>HYPERLINK("http://www.otzar.org/book.asp?158196","חידושי רבי יהונתן מלוניל &lt;מהדורת מכון התלמוד הישראלי&gt; שבת א &lt;דליות דוד&gt;")</f>
        <v>חידושי רבי יהונתן מלוניל &lt;מהדורת מכון התלמוד הישראלי&gt; שבת א &lt;דליות דוד&gt;</v>
      </c>
    </row>
    <row r="15401" spans="1:6" x14ac:dyDescent="0.2">
      <c r="A15401" t="s">
        <v>25690</v>
      </c>
      <c r="B15401" t="s">
        <v>25688</v>
      </c>
      <c r="C15401" t="s">
        <v>411</v>
      </c>
      <c r="D15401" t="s">
        <v>14</v>
      </c>
      <c r="E15401" t="s">
        <v>144</v>
      </c>
      <c r="F15401" s="2" t="str">
        <f>HYPERLINK("http://www.otzar.org/book.asp?179742","חידושי רבי יהונתן מלוניל &lt;מהדרות מכון התלמוד הישראלי&gt; -  שבת ב &lt;דליות דוד&gt;")</f>
        <v>חידושי רבי יהונתן מלוניל &lt;מהדרות מכון התלמוד הישראלי&gt; -  שבת ב &lt;דליות דוד&gt;</v>
      </c>
    </row>
    <row r="15402" spans="1:6" x14ac:dyDescent="0.2">
      <c r="A15402" t="s">
        <v>25691</v>
      </c>
      <c r="B15402" t="s">
        <v>25692</v>
      </c>
      <c r="C15402" t="s">
        <v>785</v>
      </c>
      <c r="D15402" t="s">
        <v>52</v>
      </c>
      <c r="E15402" t="s">
        <v>22155</v>
      </c>
      <c r="F15402" s="2" t="str">
        <f>HYPERLINK("http://www.otzar.org/book.asp?144148","חידושי רבי יונה צבי - 3 כר'")</f>
        <v>חידושי רבי יונה צבי - 3 כר'</v>
      </c>
    </row>
    <row r="15403" spans="1:6" x14ac:dyDescent="0.2">
      <c r="A15403" t="s">
        <v>25693</v>
      </c>
      <c r="B15403" t="s">
        <v>6073</v>
      </c>
      <c r="C15403" t="s">
        <v>87</v>
      </c>
      <c r="D15403" t="s">
        <v>412</v>
      </c>
      <c r="E15403" t="s">
        <v>144</v>
      </c>
      <c r="F15403" s="2" t="str">
        <f>HYPERLINK("http://www.otzar.org/book.asp?155464","חידושי רבי יוסף שאול - שבת")</f>
        <v>חידושי רבי יוסף שאול - שבת</v>
      </c>
    </row>
    <row r="15404" spans="1:6" x14ac:dyDescent="0.2">
      <c r="A15404" t="s">
        <v>25694</v>
      </c>
      <c r="B15404" t="s">
        <v>25695</v>
      </c>
      <c r="C15404" t="s">
        <v>23</v>
      </c>
      <c r="D15404" t="s">
        <v>90</v>
      </c>
      <c r="F15404" s="2" t="str">
        <f>HYPERLINK("http://www.otzar.org/book.asp?199455","חידושי רבי יעקב בן עלון")</f>
        <v>חידושי רבי יעקב בן עלון</v>
      </c>
    </row>
    <row r="15405" spans="1:6" x14ac:dyDescent="0.2">
      <c r="A15405" t="s">
        <v>25696</v>
      </c>
      <c r="B15405" t="s">
        <v>25697</v>
      </c>
      <c r="C15405" t="s">
        <v>114</v>
      </c>
      <c r="D15405" t="s">
        <v>412</v>
      </c>
      <c r="E15405" t="s">
        <v>786</v>
      </c>
      <c r="F15405" s="2" t="str">
        <f>HYPERLINK("http://www.otzar.org/book.asp?167394","חידושי רבי יעקב מקמניץ")</f>
        <v>חידושי רבי יעקב מקמניץ</v>
      </c>
    </row>
    <row r="15406" spans="1:6" x14ac:dyDescent="0.2">
      <c r="A15406" t="s">
        <v>25698</v>
      </c>
      <c r="B15406" t="s">
        <v>2082</v>
      </c>
      <c r="C15406" t="s">
        <v>383</v>
      </c>
      <c r="D15406" t="s">
        <v>14</v>
      </c>
      <c r="E15406" t="s">
        <v>13627</v>
      </c>
      <c r="F15406" s="2" t="str">
        <f>HYPERLINK("http://www.otzar.org/book.asp?107373","חידושי רבי יעקב עדס - 5 כר'")</f>
        <v>חידושי רבי יעקב עדס - 5 כר'</v>
      </c>
    </row>
    <row r="15407" spans="1:6" x14ac:dyDescent="0.2">
      <c r="A15407" t="s">
        <v>25699</v>
      </c>
      <c r="B15407" t="s">
        <v>25700</v>
      </c>
      <c r="C15407" t="s">
        <v>133</v>
      </c>
      <c r="D15407" t="s">
        <v>412</v>
      </c>
      <c r="E15407" t="s">
        <v>25660</v>
      </c>
      <c r="F15407" s="2" t="str">
        <f>HYPERLINK("http://www.otzar.org/book.asp?180937","חידושי רבי מענדיל")</f>
        <v>חידושי רבי מענדיל</v>
      </c>
    </row>
    <row r="15408" spans="1:6" x14ac:dyDescent="0.2">
      <c r="A15408" t="s">
        <v>25701</v>
      </c>
      <c r="B15408" t="s">
        <v>25702</v>
      </c>
      <c r="C15408" t="s">
        <v>1268</v>
      </c>
      <c r="D15408" t="s">
        <v>14</v>
      </c>
      <c r="E15408" t="s">
        <v>144</v>
      </c>
      <c r="F15408" s="2" t="str">
        <f>HYPERLINK("http://www.otzar.org/book.asp?144898","חידושי רבי מרדכי מגרידץ - ב""מ")</f>
        <v>חידושי רבי מרדכי מגרידץ - ב"מ</v>
      </c>
    </row>
    <row r="15409" spans="1:6" x14ac:dyDescent="0.2">
      <c r="A15409" t="s">
        <v>25703</v>
      </c>
      <c r="B15409" t="s">
        <v>25704</v>
      </c>
      <c r="C15409" t="s">
        <v>585</v>
      </c>
      <c r="D15409" t="s">
        <v>14</v>
      </c>
      <c r="E15409" t="s">
        <v>144</v>
      </c>
      <c r="F15409" s="2" t="str">
        <f>HYPERLINK("http://www.otzar.org/book.asp?6949","חידושי רבי נח - 2 כר'")</f>
        <v>חידושי רבי נח - 2 כר'</v>
      </c>
    </row>
    <row r="15410" spans="1:6" x14ac:dyDescent="0.2">
      <c r="A15410" t="s">
        <v>25705</v>
      </c>
      <c r="B15410" t="s">
        <v>25706</v>
      </c>
      <c r="C15410" t="s">
        <v>313</v>
      </c>
      <c r="D15410" t="s">
        <v>14</v>
      </c>
      <c r="E15410" t="s">
        <v>144</v>
      </c>
      <c r="F15410" s="2" t="str">
        <f>HYPERLINK("http://www.otzar.org/book.asp?60358","חידושי רבי נחום - 5 כר'")</f>
        <v>חידושי רבי נחום - 5 כר'</v>
      </c>
    </row>
    <row r="15411" spans="1:6" x14ac:dyDescent="0.2">
      <c r="A15411" t="s">
        <v>25707</v>
      </c>
      <c r="B15411" t="s">
        <v>25708</v>
      </c>
      <c r="C15411" t="s">
        <v>533</v>
      </c>
      <c r="D15411" t="s">
        <v>14</v>
      </c>
      <c r="E15411" t="s">
        <v>25709</v>
      </c>
      <c r="F15411" s="2" t="str">
        <f>HYPERLINK("http://www.otzar.org/book.asp?9213","חידושי רבי נחמיה")</f>
        <v>חידושי רבי נחמיה</v>
      </c>
    </row>
    <row r="15412" spans="1:6" x14ac:dyDescent="0.2">
      <c r="A15412" t="s">
        <v>25710</v>
      </c>
      <c r="B15412" t="s">
        <v>25711</v>
      </c>
      <c r="C15412" t="s">
        <v>366</v>
      </c>
      <c r="D15412" t="s">
        <v>14</v>
      </c>
      <c r="F15412" s="2" t="str">
        <f>HYPERLINK("http://www.otzar.org/book.asp?620427","חידושי רבי נתן צבי - 5 כר'")</f>
        <v>חידושי רבי נתן צבי - 5 כר'</v>
      </c>
    </row>
    <row r="15413" spans="1:6" x14ac:dyDescent="0.2">
      <c r="A15413" t="s">
        <v>25712</v>
      </c>
      <c r="B15413" t="s">
        <v>1385</v>
      </c>
      <c r="C15413" t="s">
        <v>533</v>
      </c>
      <c r="D15413" t="s">
        <v>118</v>
      </c>
      <c r="E15413" t="s">
        <v>786</v>
      </c>
      <c r="F15413" s="2" t="str">
        <f>HYPERLINK("http://www.otzar.org/book.asp?162649","חידושי רבי עקיבא איגר &lt;זכרון יעקב&gt; - 4 כר'")</f>
        <v>חידושי רבי עקיבא איגר &lt;זכרון יעקב&gt; - 4 כר'</v>
      </c>
    </row>
    <row r="15414" spans="1:6" x14ac:dyDescent="0.2">
      <c r="A15414" t="s">
        <v>25713</v>
      </c>
      <c r="B15414" t="s">
        <v>25714</v>
      </c>
      <c r="C15414" t="s">
        <v>146</v>
      </c>
      <c r="D15414" t="s">
        <v>2125</v>
      </c>
      <c r="E15414" t="s">
        <v>837</v>
      </c>
      <c r="F15414" s="2" t="str">
        <f>HYPERLINK("http://www.otzar.org/book.asp?151055","חידושי רבי עקיבא איגר השלם עם משנת כהן - 2 כר'")</f>
        <v>חידושי רבי עקיבא איגר השלם עם משנת כהן - 2 כר'</v>
      </c>
    </row>
    <row r="15415" spans="1:6" x14ac:dyDescent="0.2">
      <c r="A15415" t="s">
        <v>25715</v>
      </c>
      <c r="B15415" t="s">
        <v>1385</v>
      </c>
      <c r="C15415" t="s">
        <v>956</v>
      </c>
      <c r="D15415" t="s">
        <v>14</v>
      </c>
      <c r="E15415" t="s">
        <v>15</v>
      </c>
      <c r="F15415" s="2" t="str">
        <f>HYPERLINK("http://www.otzar.org/book.asp?8983","חידושי רבי עקיבא איגר על הרמב""ם")</f>
        <v>חידושי רבי עקיבא איגר על הרמב"ם</v>
      </c>
    </row>
    <row r="15416" spans="1:6" x14ac:dyDescent="0.2">
      <c r="A15416" t="s">
        <v>25716</v>
      </c>
      <c r="B15416" t="s">
        <v>1385</v>
      </c>
      <c r="C15416" t="s">
        <v>843</v>
      </c>
      <c r="D15416" t="s">
        <v>986</v>
      </c>
      <c r="E15416" t="s">
        <v>144</v>
      </c>
      <c r="F15416" s="2" t="str">
        <f>HYPERLINK("http://www.otzar.org/book.asp?5534","חידושי רבי עקיבא איגר - 2 כר'")</f>
        <v>חידושי רבי עקיבא איגר - 2 כר'</v>
      </c>
    </row>
    <row r="15417" spans="1:6" x14ac:dyDescent="0.2">
      <c r="A15417" t="s">
        <v>25717</v>
      </c>
      <c r="B15417" t="s">
        <v>11486</v>
      </c>
      <c r="C15417" t="s">
        <v>466</v>
      </c>
      <c r="D15417" t="s">
        <v>14</v>
      </c>
      <c r="E15417" t="s">
        <v>144</v>
      </c>
      <c r="F15417" s="2" t="str">
        <f>HYPERLINK("http://www.otzar.org/book.asp?61258","חידושי רבי ראובן - 4 כר'")</f>
        <v>חידושי רבי ראובן - 4 כר'</v>
      </c>
    </row>
    <row r="15418" spans="1:6" x14ac:dyDescent="0.2">
      <c r="A15418" t="s">
        <v>25718</v>
      </c>
      <c r="B15418" t="s">
        <v>932</v>
      </c>
      <c r="C15418" t="s">
        <v>989</v>
      </c>
      <c r="D15418" t="s">
        <v>216</v>
      </c>
      <c r="E15418" t="s">
        <v>144</v>
      </c>
      <c r="F15418" s="2" t="str">
        <f>HYPERLINK("http://www.otzar.org/book.asp?9712","חידושי רבי שאול משה")</f>
        <v>חידושי רבי שאול משה</v>
      </c>
    </row>
    <row r="15419" spans="1:6" x14ac:dyDescent="0.2">
      <c r="A15419" t="s">
        <v>25719</v>
      </c>
      <c r="B15419" t="s">
        <v>15040</v>
      </c>
      <c r="C15419" t="s">
        <v>23</v>
      </c>
      <c r="D15419" t="s">
        <v>14</v>
      </c>
      <c r="F15419" s="2" t="str">
        <f>HYPERLINK("http://www.otzar.org/book.asp?199454","חידושי רבי שלום בוזאגלו - ע""ז")</f>
        <v>חידושי רבי שלום בוזאגלו - ע"ז</v>
      </c>
    </row>
    <row r="15420" spans="1:6" x14ac:dyDescent="0.2">
      <c r="A15420" t="s">
        <v>25720</v>
      </c>
      <c r="B15420" t="s">
        <v>25721</v>
      </c>
      <c r="C15420" t="s">
        <v>63</v>
      </c>
      <c r="D15420" t="s">
        <v>216</v>
      </c>
      <c r="E15420" t="s">
        <v>144</v>
      </c>
      <c r="F15420" s="2" t="str">
        <f>HYPERLINK("http://www.otzar.org/book.asp?179021","חידושי רבי שלמה - 4 כר'")</f>
        <v>חידושי רבי שלמה - 4 כר'</v>
      </c>
    </row>
    <row r="15421" spans="1:6" x14ac:dyDescent="0.2">
      <c r="A15421" t="s">
        <v>25722</v>
      </c>
      <c r="B15421" t="s">
        <v>23938</v>
      </c>
      <c r="C15421" t="s">
        <v>143</v>
      </c>
      <c r="D15421" t="s">
        <v>52</v>
      </c>
      <c r="E15421" t="s">
        <v>144</v>
      </c>
      <c r="F15421" s="2" t="str">
        <f>HYPERLINK("http://www.otzar.org/book.asp?21909","חידושי רבי שמואל - 7 כר'")</f>
        <v>חידושי רבי שמואל - 7 כר'</v>
      </c>
    </row>
    <row r="15422" spans="1:6" x14ac:dyDescent="0.2">
      <c r="A15422" t="s">
        <v>25723</v>
      </c>
      <c r="B15422" t="s">
        <v>5342</v>
      </c>
      <c r="C15422" t="s">
        <v>20</v>
      </c>
      <c r="D15422" t="s">
        <v>90</v>
      </c>
      <c r="E15422" t="s">
        <v>144</v>
      </c>
      <c r="F15422" s="2" t="str">
        <f>HYPERLINK("http://www.otzar.org/book.asp?606448","חידושי רבי שמעון אשר גולדברג - סוכה")</f>
        <v>חידושי רבי שמעון אשר גולדברג - סוכה</v>
      </c>
    </row>
    <row r="15423" spans="1:6" x14ac:dyDescent="0.2">
      <c r="A15423" t="s">
        <v>25724</v>
      </c>
      <c r="B15423" t="s">
        <v>25725</v>
      </c>
      <c r="C15423" t="s">
        <v>114</v>
      </c>
      <c r="D15423" t="s">
        <v>14</v>
      </c>
      <c r="E15423" t="s">
        <v>144</v>
      </c>
      <c r="F15423" s="2" t="str">
        <f>HYPERLINK("http://www.otzar.org/book.asp?183323","חידושי רבי שמעון יהודא הכהן מהדורה חדשה&gt; - 4 כר'")</f>
        <v>חידושי רבי שמעון יהודא הכהן מהדורה חדשה&gt; - 4 כר'</v>
      </c>
    </row>
    <row r="15424" spans="1:6" x14ac:dyDescent="0.2">
      <c r="A15424" t="s">
        <v>25726</v>
      </c>
      <c r="B15424" t="s">
        <v>25725</v>
      </c>
      <c r="C15424" t="s">
        <v>25727</v>
      </c>
      <c r="D15424" t="s">
        <v>9</v>
      </c>
      <c r="E15424" t="s">
        <v>144</v>
      </c>
      <c r="F15424" s="2" t="str">
        <f>HYPERLINK("http://www.otzar.org/book.asp?142612","חידושי רבי שמעון יהודא הכהן - 4 כר'")</f>
        <v>חידושי רבי שמעון יהודא הכהן - 4 כר'</v>
      </c>
    </row>
    <row r="15425" spans="1:6" x14ac:dyDescent="0.2">
      <c r="A15425" t="s">
        <v>25728</v>
      </c>
      <c r="B15425" t="s">
        <v>6713</v>
      </c>
      <c r="C15425" t="s">
        <v>103</v>
      </c>
      <c r="D15425" t="s">
        <v>486</v>
      </c>
      <c r="E15425" t="s">
        <v>12011</v>
      </c>
      <c r="F15425" s="2" t="str">
        <f>HYPERLINK("http://www.otzar.org/book.asp?52763","חידושי רבי שפטיה")</f>
        <v>חידושי רבי שפטיה</v>
      </c>
    </row>
    <row r="15426" spans="1:6" x14ac:dyDescent="0.2">
      <c r="A15426" t="s">
        <v>25729</v>
      </c>
      <c r="B15426" t="s">
        <v>17045</v>
      </c>
      <c r="C15426" t="s">
        <v>454</v>
      </c>
      <c r="D15426" t="s">
        <v>152</v>
      </c>
      <c r="E15426" t="s">
        <v>21569</v>
      </c>
      <c r="F15426" s="2" t="str">
        <f>HYPERLINK("http://www.otzar.org/book.asp?50061","חידושי רבינו אברהם חריף - 2 כר'")</f>
        <v>חידושי רבינו אברהם חריף - 2 כר'</v>
      </c>
    </row>
    <row r="15427" spans="1:6" x14ac:dyDescent="0.2">
      <c r="A15427" t="s">
        <v>25730</v>
      </c>
      <c r="B15427" t="s">
        <v>25731</v>
      </c>
      <c r="C15427" t="s">
        <v>111</v>
      </c>
      <c r="D15427" t="s">
        <v>152</v>
      </c>
      <c r="E15427" t="s">
        <v>144</v>
      </c>
      <c r="F15427" s="2" t="str">
        <f>HYPERLINK("http://www.otzar.org/book.asp?629555","חידושי רבינו אפרים - נדה")</f>
        <v>חידושי רבינו אפרים - נדה</v>
      </c>
    </row>
    <row r="15428" spans="1:6" x14ac:dyDescent="0.2">
      <c r="A15428" t="s">
        <v>25732</v>
      </c>
      <c r="B15428" t="s">
        <v>11270</v>
      </c>
      <c r="C15428" t="s">
        <v>438</v>
      </c>
      <c r="D15428" t="s">
        <v>52</v>
      </c>
      <c r="E15428" t="s">
        <v>920</v>
      </c>
      <c r="F15428" s="2" t="str">
        <f>HYPERLINK("http://www.otzar.org/book.asp?6954","חידושי רבינו דוד דוב - 2 כר'")</f>
        <v>חידושי רבינו דוד דוב - 2 כר'</v>
      </c>
    </row>
    <row r="15429" spans="1:6" x14ac:dyDescent="0.2">
      <c r="A15429" t="s">
        <v>25733</v>
      </c>
      <c r="B15429" t="s">
        <v>25734</v>
      </c>
      <c r="C15429" t="s">
        <v>1619</v>
      </c>
      <c r="D15429" t="s">
        <v>14</v>
      </c>
      <c r="E15429" t="s">
        <v>144</v>
      </c>
      <c r="F15429" s="2" t="str">
        <f>HYPERLINK("http://www.otzar.org/book.asp?153537","חידושי רבינו הגרי""ז הלוי &lt;סטנסיל&gt; - 3 כר'")</f>
        <v>חידושי רבינו הגרי"ז הלוי &lt;סטנסיל&gt; - 3 כר'</v>
      </c>
    </row>
    <row r="15430" spans="1:6" x14ac:dyDescent="0.2">
      <c r="A15430" t="s">
        <v>25735</v>
      </c>
      <c r="B15430" t="s">
        <v>25734</v>
      </c>
      <c r="C15430" t="s">
        <v>20</v>
      </c>
      <c r="D15430" t="s">
        <v>14</v>
      </c>
      <c r="E15430" t="s">
        <v>158</v>
      </c>
      <c r="F15430" s="2" t="str">
        <f>HYPERLINK("http://www.otzar.org/book.asp?153535","חידושי רבינו הגרי""ז סאלאווייציק &lt;סטנסיל&gt; - תורה")</f>
        <v>חידושי רבינו הגרי"ז סאלאווייציק &lt;סטנסיל&gt; - תורה</v>
      </c>
    </row>
    <row r="15431" spans="1:6" x14ac:dyDescent="0.2">
      <c r="A15431" t="s">
        <v>25736</v>
      </c>
      <c r="B15431" t="s">
        <v>25633</v>
      </c>
      <c r="C15431" t="s">
        <v>422</v>
      </c>
      <c r="D15431" t="s">
        <v>52</v>
      </c>
      <c r="E15431" t="s">
        <v>144</v>
      </c>
      <c r="F15431" s="2" t="str">
        <f>HYPERLINK("http://www.otzar.org/book.asp?166176","חידושי רבינו הגרי""מ - 4 כר'")</f>
        <v>חידושי רבינו הגרי"מ - 4 כר'</v>
      </c>
    </row>
    <row r="15432" spans="1:6" x14ac:dyDescent="0.2">
      <c r="A15432" t="s">
        <v>25737</v>
      </c>
      <c r="B15432" t="s">
        <v>25324</v>
      </c>
      <c r="C15432" t="s">
        <v>13</v>
      </c>
      <c r="D15432" t="s">
        <v>52</v>
      </c>
      <c r="E15432" t="s">
        <v>144</v>
      </c>
      <c r="F15432" s="2" t="str">
        <f>HYPERLINK("http://www.otzar.org/book.asp?160816","חידושי רבינו חיים הלוי בסוגיא דכוורת")</f>
        <v>חידושי רבינו חיים הלוי בסוגיא דכוורת</v>
      </c>
    </row>
    <row r="15433" spans="1:6" x14ac:dyDescent="0.2">
      <c r="A15433" t="s">
        <v>25738</v>
      </c>
      <c r="B15433" t="s">
        <v>25739</v>
      </c>
      <c r="C15433" t="s">
        <v>68</v>
      </c>
      <c r="D15433" t="s">
        <v>14</v>
      </c>
      <c r="E15433" t="s">
        <v>15</v>
      </c>
      <c r="F15433" s="2" t="str">
        <f>HYPERLINK("http://www.otzar.org/book.asp?161923","חידושי רבינו חיים הלוי על הרמב""ם ע""פ תיבת גמא")</f>
        <v>חידושי רבינו חיים הלוי על הרמב"ם ע"פ תיבת גמא</v>
      </c>
    </row>
    <row r="15434" spans="1:6" x14ac:dyDescent="0.2">
      <c r="A15434" t="s">
        <v>25740</v>
      </c>
      <c r="B15434" t="s">
        <v>25324</v>
      </c>
      <c r="C15434" t="s">
        <v>3106</v>
      </c>
      <c r="D15434" t="s">
        <v>14</v>
      </c>
      <c r="E15434" t="s">
        <v>144</v>
      </c>
      <c r="F15434" s="2" t="str">
        <f>HYPERLINK("http://www.otzar.org/book.asp?11608","חידושי רבינו חיים הלוי")</f>
        <v>חידושי רבינו חיים הלוי</v>
      </c>
    </row>
    <row r="15435" spans="1:6" x14ac:dyDescent="0.2">
      <c r="A15435" t="s">
        <v>25741</v>
      </c>
      <c r="B15435" t="s">
        <v>25324</v>
      </c>
      <c r="C15435" t="s">
        <v>1169</v>
      </c>
      <c r="D15435" t="s">
        <v>2504</v>
      </c>
      <c r="E15435" t="s">
        <v>144</v>
      </c>
      <c r="F15435" s="2" t="str">
        <f>HYPERLINK("http://www.otzar.org/book.asp?144718","חידושי רבינו חיים זצ""ל (מפי השמועה)")</f>
        <v>חידושי רבינו חיים זצ"ל (מפי השמועה)</v>
      </c>
    </row>
    <row r="15436" spans="1:6" x14ac:dyDescent="0.2">
      <c r="A15436" t="s">
        <v>25742</v>
      </c>
      <c r="B15436" t="s">
        <v>1990</v>
      </c>
      <c r="C15436" t="s">
        <v>454</v>
      </c>
      <c r="D15436" t="s">
        <v>14</v>
      </c>
      <c r="E15436" t="s">
        <v>172</v>
      </c>
      <c r="F15436" s="2" t="str">
        <f>HYPERLINK("http://www.otzar.org/book.asp?170469","חידושי רבינו יהונתן אייבשיץ")</f>
        <v>חידושי רבינו יהונתן אייבשיץ</v>
      </c>
    </row>
    <row r="15437" spans="1:6" x14ac:dyDescent="0.2">
      <c r="A15437" t="s">
        <v>25743</v>
      </c>
      <c r="B15437" t="s">
        <v>25688</v>
      </c>
      <c r="C15437" t="s">
        <v>37</v>
      </c>
      <c r="D15437" t="s">
        <v>14</v>
      </c>
      <c r="E15437" t="s">
        <v>144</v>
      </c>
      <c r="F15437" s="2" t="str">
        <f>HYPERLINK("http://www.otzar.org/book.asp?188789","חידושי רבינו יהונתן מלוניל &lt;מהדורת מכון התלמוד הישראלי&gt; - חולין")</f>
        <v>חידושי רבינו יהונתן מלוניל &lt;מהדורת מכון התלמוד הישראלי&gt; - חולין</v>
      </c>
    </row>
    <row r="15438" spans="1:6" x14ac:dyDescent="0.2">
      <c r="A15438" t="s">
        <v>25744</v>
      </c>
      <c r="B15438" t="s">
        <v>25688</v>
      </c>
      <c r="C15438" t="s">
        <v>244</v>
      </c>
      <c r="D15438" t="s">
        <v>14</v>
      </c>
      <c r="F15438" s="2" t="str">
        <f>HYPERLINK("http://www.otzar.org/book.asp?609172","חידושי רבינו יהונתן מלוניל &lt;מהדרות מכון התלמוד הישראלי&gt; - 4 כר'")</f>
        <v>חידושי רבינו יהונתן מלוניל &lt;מהדרות מכון התלמוד הישראלי&gt; - 4 כר'</v>
      </c>
    </row>
    <row r="15439" spans="1:6" x14ac:dyDescent="0.2">
      <c r="A15439" t="s">
        <v>25745</v>
      </c>
      <c r="B15439" t="s">
        <v>17565</v>
      </c>
      <c r="C15439" t="s">
        <v>23</v>
      </c>
      <c r="D15439" t="s">
        <v>152</v>
      </c>
      <c r="E15439" t="s">
        <v>144</v>
      </c>
      <c r="F15439" s="2" t="str">
        <f>HYPERLINK("http://www.otzar.org/book.asp?189207","חידושי רבינו יונה החסיד מגירונדי ותלמידיו - כתובות")</f>
        <v>חידושי רבינו יונה החסיד מגירונדי ותלמידיו - כתובות</v>
      </c>
    </row>
    <row r="15440" spans="1:6" x14ac:dyDescent="0.2">
      <c r="A15440" t="s">
        <v>25746</v>
      </c>
      <c r="B15440" t="s">
        <v>1574</v>
      </c>
      <c r="C15440" t="s">
        <v>168</v>
      </c>
      <c r="D15440" t="s">
        <v>52</v>
      </c>
      <c r="E15440" t="s">
        <v>130</v>
      </c>
      <c r="F15440" s="2" t="str">
        <f>HYPERLINK("http://www.otzar.org/book.asp?5525","חידושי רבינו יונה סדר ליל פסח &lt;שביבי אש&gt;")</f>
        <v>חידושי רבינו יונה סדר ליל פסח &lt;שביבי אש&gt;</v>
      </c>
    </row>
    <row r="15441" spans="1:6" x14ac:dyDescent="0.2">
      <c r="A15441" t="s">
        <v>25747</v>
      </c>
      <c r="B15441" t="s">
        <v>1574</v>
      </c>
      <c r="C15441" t="s">
        <v>129</v>
      </c>
      <c r="D15441" t="s">
        <v>14</v>
      </c>
      <c r="E15441" t="s">
        <v>144</v>
      </c>
      <c r="F15441" s="2" t="str">
        <f>HYPERLINK("http://www.otzar.org/book.asp?168307","חידושי רבינו יונה - 3 כר'")</f>
        <v>חידושי רבינו יונה - 3 כר'</v>
      </c>
    </row>
    <row r="15442" spans="1:6" x14ac:dyDescent="0.2">
      <c r="A15442" t="s">
        <v>25748</v>
      </c>
      <c r="B15442" t="s">
        <v>1990</v>
      </c>
      <c r="C15442" t="s">
        <v>454</v>
      </c>
      <c r="D15442" t="s">
        <v>14</v>
      </c>
      <c r="E15442" t="s">
        <v>172</v>
      </c>
      <c r="F15442" s="2" t="str">
        <f>HYPERLINK("http://www.otzar.org/book.asp?149541","חידושי רבינו יונתן אייבשיץ (או""ח)")</f>
        <v>חידושי רבינו יונתן אייבשיץ (או"ח)</v>
      </c>
    </row>
    <row r="15443" spans="1:6" x14ac:dyDescent="0.2">
      <c r="A15443" t="s">
        <v>25749</v>
      </c>
      <c r="B15443" t="s">
        <v>25750</v>
      </c>
      <c r="C15443" t="s">
        <v>313</v>
      </c>
      <c r="D15443" t="s">
        <v>14</v>
      </c>
      <c r="E15443" t="s">
        <v>25751</v>
      </c>
      <c r="F15443" s="2" t="str">
        <f>HYPERLINK("http://www.otzar.org/book.asp?170760","חידושי רבינו יוסף מפוזנא")</f>
        <v>חידושי רבינו יוסף מפוזנא</v>
      </c>
    </row>
    <row r="15444" spans="1:6" x14ac:dyDescent="0.2">
      <c r="A15444" t="s">
        <v>25752</v>
      </c>
      <c r="B15444" t="s">
        <v>6073</v>
      </c>
      <c r="C15444" t="s">
        <v>785</v>
      </c>
      <c r="D15444" t="s">
        <v>412</v>
      </c>
      <c r="E15444" t="s">
        <v>144</v>
      </c>
      <c r="F15444" s="2" t="str">
        <f>HYPERLINK("http://www.otzar.org/book.asp?156843","חידושי רבינו יוסף שאול הלוי")</f>
        <v>חידושי רבינו יוסף שאול הלוי</v>
      </c>
    </row>
    <row r="15445" spans="1:6" x14ac:dyDescent="0.2">
      <c r="A15445" t="s">
        <v>25753</v>
      </c>
      <c r="B15445" t="s">
        <v>25754</v>
      </c>
      <c r="C15445" t="s">
        <v>168</v>
      </c>
      <c r="D15445" t="s">
        <v>412</v>
      </c>
      <c r="E15445" t="s">
        <v>144</v>
      </c>
      <c r="F15445" s="2" t="str">
        <f>HYPERLINK("http://www.otzar.org/book.asp?62262","חידושי רבינו יצחק אבן גיאת - בבא מציעא")</f>
        <v>חידושי רבינו יצחק אבן גיאת - בבא מציעא</v>
      </c>
    </row>
    <row r="15446" spans="1:6" x14ac:dyDescent="0.2">
      <c r="A15446" t="s">
        <v>25755</v>
      </c>
      <c r="B15446" t="s">
        <v>25756</v>
      </c>
      <c r="C15446" t="s">
        <v>124</v>
      </c>
      <c r="D15446" t="s">
        <v>90</v>
      </c>
      <c r="E15446" t="s">
        <v>952</v>
      </c>
      <c r="F15446" s="2" t="str">
        <f>HYPERLINK("http://www.otzar.org/book.asp?149679","חידושי רבינו ישעיה שור")</f>
        <v>חידושי רבינו ישעיה שור</v>
      </c>
    </row>
    <row r="15447" spans="1:6" x14ac:dyDescent="0.2">
      <c r="A15447" t="s">
        <v>25757</v>
      </c>
      <c r="B15447" t="s">
        <v>4324</v>
      </c>
      <c r="C15447" t="s">
        <v>1160</v>
      </c>
      <c r="D15447" t="s">
        <v>14</v>
      </c>
      <c r="E15447" t="s">
        <v>3818</v>
      </c>
      <c r="F15447" s="2" t="str">
        <f>HYPERLINK("http://www.otzar.org/book.asp?63053","חידושי רבינו מאיר שמחה - 3 כר'")</f>
        <v>חידושי רבינו מאיר שמחה - 3 כר'</v>
      </c>
    </row>
    <row r="15448" spans="1:6" x14ac:dyDescent="0.2">
      <c r="A15448" t="s">
        <v>25758</v>
      </c>
      <c r="B15448" t="s">
        <v>25759</v>
      </c>
      <c r="C15448" t="s">
        <v>989</v>
      </c>
      <c r="D15448" t="s">
        <v>14</v>
      </c>
      <c r="E15448" t="s">
        <v>144</v>
      </c>
      <c r="F15448" s="2" t="str">
        <f>HYPERLINK("http://www.otzar.org/book.asp?9100","חידושי רבינו פרחיה ב""ר ניסים - 2 כר'")</f>
        <v>חידושי רבינו פרחיה ב"ר ניסים - 2 כר'</v>
      </c>
    </row>
    <row r="15449" spans="1:6" x14ac:dyDescent="0.2">
      <c r="A15449" t="s">
        <v>25760</v>
      </c>
      <c r="B15449" t="s">
        <v>25761</v>
      </c>
      <c r="C15449" t="s">
        <v>1619</v>
      </c>
      <c r="D15449" t="s">
        <v>412</v>
      </c>
      <c r="E15449" t="s">
        <v>144</v>
      </c>
      <c r="F15449" s="2" t="str">
        <f>HYPERLINK("http://www.otzar.org/book.asp?61541","חידושי רבינו פרץ - נזיר")</f>
        <v>חידושי רבינו פרץ - נזיר</v>
      </c>
    </row>
    <row r="15450" spans="1:6" x14ac:dyDescent="0.2">
      <c r="A15450" t="s">
        <v>25762</v>
      </c>
      <c r="B15450" t="s">
        <v>24561</v>
      </c>
      <c r="C15450" t="s">
        <v>390</v>
      </c>
      <c r="D15450" t="s">
        <v>412</v>
      </c>
      <c r="E15450" t="s">
        <v>144</v>
      </c>
      <c r="F15450" s="2" t="str">
        <f>HYPERLINK("http://www.otzar.org/book.asp?11224","חידושי רבינו שלמה בן אדרת - ר""ה")</f>
        <v>חידושי רבינו שלמה בן אדרת - ר"ה</v>
      </c>
    </row>
    <row r="15451" spans="1:6" x14ac:dyDescent="0.2">
      <c r="A15451" t="s">
        <v>25763</v>
      </c>
      <c r="B15451" t="s">
        <v>11773</v>
      </c>
      <c r="C15451" t="s">
        <v>1663</v>
      </c>
      <c r="D15451" t="s">
        <v>563</v>
      </c>
      <c r="E15451" t="s">
        <v>144</v>
      </c>
      <c r="F15451" s="2" t="str">
        <f>HYPERLINK("http://www.otzar.org/book.asp?6913","חידושי רבנו ברוך טעם על הש""ס")</f>
        <v>חידושי רבנו ברוך טעם על הש"ס</v>
      </c>
    </row>
    <row r="15452" spans="1:6" x14ac:dyDescent="0.2">
      <c r="A15452" t="s">
        <v>25764</v>
      </c>
      <c r="B15452" t="s">
        <v>25324</v>
      </c>
      <c r="C15452" t="s">
        <v>20</v>
      </c>
      <c r="D15452" t="s">
        <v>152</v>
      </c>
      <c r="E15452" t="s">
        <v>15</v>
      </c>
      <c r="F15452" s="2" t="str">
        <f>HYPERLINK("http://www.otzar.org/book.asp?199858","חידושי רבנו חיים הלוי - 2 כר'")</f>
        <v>חידושי רבנו חיים הלוי - 2 כר'</v>
      </c>
    </row>
    <row r="15453" spans="1:6" x14ac:dyDescent="0.2">
      <c r="A15453" t="s">
        <v>25765</v>
      </c>
      <c r="B15453" t="s">
        <v>17047</v>
      </c>
      <c r="C15453" t="s">
        <v>553</v>
      </c>
      <c r="D15453" t="s">
        <v>52</v>
      </c>
      <c r="E15453" t="s">
        <v>2098</v>
      </c>
      <c r="F15453" s="2" t="str">
        <f>HYPERLINK("http://www.otzar.org/book.asp?7575","חידושי רבנו יוסף נחמיה")</f>
        <v>חידושי רבנו יוסף נחמיה</v>
      </c>
    </row>
    <row r="15454" spans="1:6" x14ac:dyDescent="0.2">
      <c r="A15454" t="s">
        <v>25766</v>
      </c>
      <c r="B15454" t="s">
        <v>3493</v>
      </c>
      <c r="C15454" t="s">
        <v>767</v>
      </c>
      <c r="D15454" t="s">
        <v>412</v>
      </c>
      <c r="E15454" t="s">
        <v>158</v>
      </c>
      <c r="F15454" s="2" t="str">
        <f>HYPERLINK("http://www.otzar.org/book.asp?153503","חידושי רבנו יוסף ענגיל עה""ת")</f>
        <v>חידושי רבנו יוסף ענגיל עה"ת</v>
      </c>
    </row>
    <row r="15455" spans="1:6" x14ac:dyDescent="0.2">
      <c r="A15455" t="s">
        <v>25767</v>
      </c>
      <c r="B15455" t="s">
        <v>25768</v>
      </c>
      <c r="C15455" t="s">
        <v>1246</v>
      </c>
      <c r="D15455" t="s">
        <v>14</v>
      </c>
      <c r="E15455" t="s">
        <v>144</v>
      </c>
      <c r="F15455" s="2" t="str">
        <f>HYPERLINK("http://www.otzar.org/book.asp?156129","חידושי רבנו נחמן בן הרמב""ן - 2 כר'")</f>
        <v>חידושי רבנו נחמן בן הרמב"ן - 2 כר'</v>
      </c>
    </row>
    <row r="15456" spans="1:6" x14ac:dyDescent="0.2">
      <c r="A15456" t="s">
        <v>25769</v>
      </c>
      <c r="B15456" t="s">
        <v>25770</v>
      </c>
      <c r="C15456" t="s">
        <v>533</v>
      </c>
      <c r="D15456" t="s">
        <v>14</v>
      </c>
      <c r="E15456" t="s">
        <v>920</v>
      </c>
      <c r="F15456" s="2" t="str">
        <f>HYPERLINK("http://www.otzar.org/book.asp?11187","חידושי רבנו קרשקש - כתובות")</f>
        <v>חידושי רבנו קרשקש - כתובות</v>
      </c>
    </row>
    <row r="15457" spans="1:6" x14ac:dyDescent="0.2">
      <c r="A15457" t="s">
        <v>25771</v>
      </c>
      <c r="B15457" t="s">
        <v>25772</v>
      </c>
      <c r="C15457" t="s">
        <v>427</v>
      </c>
      <c r="D15457" t="s">
        <v>14</v>
      </c>
      <c r="E15457" t="s">
        <v>2088</v>
      </c>
      <c r="F15457" s="2" t="str">
        <f>HYPERLINK("http://www.otzar.org/book.asp?6939","חידושי רבנו שמעון הלוי")</f>
        <v>חידושי רבנו שמעון הלוי</v>
      </c>
    </row>
    <row r="15458" spans="1:6" x14ac:dyDescent="0.2">
      <c r="A15458" t="s">
        <v>25773</v>
      </c>
      <c r="B15458" t="s">
        <v>25774</v>
      </c>
      <c r="C15458" t="s">
        <v>25775</v>
      </c>
      <c r="D15458" t="s">
        <v>56</v>
      </c>
      <c r="E15458" t="s">
        <v>43</v>
      </c>
      <c r="F15458" s="2" t="str">
        <f>HYPERLINK("http://www.otzar.org/book.asp?105303","חידושי רי""ח - 2 כר'")</f>
        <v>חידושי רי"ח - 2 כר'</v>
      </c>
    </row>
    <row r="15459" spans="1:6" x14ac:dyDescent="0.2">
      <c r="A15459" t="s">
        <v>25776</v>
      </c>
      <c r="B15459" t="s">
        <v>10892</v>
      </c>
      <c r="C15459" t="s">
        <v>2543</v>
      </c>
      <c r="D15459" t="s">
        <v>56</v>
      </c>
      <c r="E15459" t="s">
        <v>144</v>
      </c>
      <c r="F15459" s="2" t="str">
        <f>HYPERLINK("http://www.otzar.org/book.asp?105028","חידושי ריב""ש")</f>
        <v>חידושי ריב"ש</v>
      </c>
    </row>
    <row r="15460" spans="1:6" x14ac:dyDescent="0.2">
      <c r="A15460" t="s">
        <v>25777</v>
      </c>
      <c r="B15460" t="s">
        <v>1872</v>
      </c>
      <c r="C15460" t="s">
        <v>462</v>
      </c>
      <c r="D15460" t="s">
        <v>225</v>
      </c>
      <c r="E15460" t="s">
        <v>933</v>
      </c>
      <c r="F15460" s="2" t="str">
        <f>HYPERLINK("http://www.otzar.org/book.asp?51031","חידושי ריזב""ש")</f>
        <v>חידושי ריזב"ש</v>
      </c>
    </row>
    <row r="15461" spans="1:6" x14ac:dyDescent="0.2">
      <c r="A15461" t="s">
        <v>25778</v>
      </c>
      <c r="B15461" t="s">
        <v>25779</v>
      </c>
      <c r="C15461" t="s">
        <v>1535</v>
      </c>
      <c r="D15461" t="s">
        <v>691</v>
      </c>
      <c r="E15461" t="s">
        <v>12888</v>
      </c>
      <c r="F15461" s="2" t="str">
        <f>HYPERLINK("http://www.otzar.org/book.asp?105025","חידושי רמ""ז")</f>
        <v>חידושי רמ"ז</v>
      </c>
    </row>
    <row r="15462" spans="1:6" x14ac:dyDescent="0.2">
      <c r="A15462" t="s">
        <v>25780</v>
      </c>
      <c r="B15462" t="s">
        <v>25781</v>
      </c>
      <c r="C15462" t="s">
        <v>635</v>
      </c>
      <c r="D15462" t="s">
        <v>280</v>
      </c>
      <c r="E15462" t="s">
        <v>144</v>
      </c>
      <c r="F15462" s="2" t="str">
        <f>HYPERLINK("http://www.otzar.org/book.asp?18796","חידושי רפאל")</f>
        <v>חידושי רפאל</v>
      </c>
    </row>
    <row r="15463" spans="1:6" x14ac:dyDescent="0.2">
      <c r="A15463" t="s">
        <v>25782</v>
      </c>
      <c r="B15463" t="s">
        <v>25783</v>
      </c>
      <c r="C15463" t="s">
        <v>1208</v>
      </c>
      <c r="D15463" t="s">
        <v>14</v>
      </c>
      <c r="E15463" t="s">
        <v>9543</v>
      </c>
      <c r="F15463" s="2" t="str">
        <f>HYPERLINK("http://www.otzar.org/book.asp?153637","חידושי רצד""א - צנא דספרא")</f>
        <v>חידושי רצד"א - צנא דספרא</v>
      </c>
    </row>
    <row r="15464" spans="1:6" x14ac:dyDescent="0.2">
      <c r="A15464" t="s">
        <v>25784</v>
      </c>
      <c r="B15464" t="s">
        <v>25785</v>
      </c>
      <c r="C15464" t="s">
        <v>1954</v>
      </c>
      <c r="D15464" t="s">
        <v>27</v>
      </c>
      <c r="E15464" t="s">
        <v>930</v>
      </c>
      <c r="F15464" s="2" t="str">
        <f>HYPERLINK("http://www.otzar.org/book.asp?170651","חידושי ש""י")</f>
        <v>חידושי ש"י</v>
      </c>
    </row>
    <row r="15465" spans="1:6" x14ac:dyDescent="0.2">
      <c r="A15465" t="s">
        <v>25786</v>
      </c>
      <c r="B15465" t="s">
        <v>25787</v>
      </c>
      <c r="C15465" t="s">
        <v>3695</v>
      </c>
      <c r="D15465" t="s">
        <v>25788</v>
      </c>
      <c r="F15465" s="2" t="str">
        <f>HYPERLINK("http://www.otzar.org/book.asp?83953","חידושי ש""ס")</f>
        <v>חידושי ש"ס</v>
      </c>
    </row>
    <row r="15466" spans="1:6" x14ac:dyDescent="0.2">
      <c r="A15466" t="s">
        <v>25789</v>
      </c>
      <c r="B15466" t="s">
        <v>16984</v>
      </c>
      <c r="C15466" t="s">
        <v>23</v>
      </c>
      <c r="D15466" t="s">
        <v>52</v>
      </c>
      <c r="E15466" t="s">
        <v>144</v>
      </c>
      <c r="F15466" s="2" t="str">
        <f>HYPERLINK("http://www.otzar.org/book.asp?605290","חידושי שבט הלוי - 2 כר'")</f>
        <v>חידושי שבט הלוי - 2 כר'</v>
      </c>
    </row>
    <row r="15467" spans="1:6" x14ac:dyDescent="0.2">
      <c r="A15467" t="s">
        <v>25790</v>
      </c>
      <c r="B15467" t="s">
        <v>25791</v>
      </c>
      <c r="C15467" t="s">
        <v>775</v>
      </c>
      <c r="D15467" t="s">
        <v>14</v>
      </c>
      <c r="E15467" t="s">
        <v>202</v>
      </c>
      <c r="F15467" s="2" t="str">
        <f>HYPERLINK("http://www.otzar.org/book.asp?14558","חידושי שומרי החומות")</f>
        <v>חידושי שומרי החומות</v>
      </c>
    </row>
    <row r="15468" spans="1:6" x14ac:dyDescent="0.2">
      <c r="A15468" t="s">
        <v>25792</v>
      </c>
      <c r="B15468" t="s">
        <v>25793</v>
      </c>
      <c r="C15468" t="s">
        <v>356</v>
      </c>
      <c r="D15468" t="s">
        <v>412</v>
      </c>
      <c r="E15468" t="s">
        <v>144</v>
      </c>
      <c r="F15468" s="2" t="str">
        <f>HYPERLINK("http://www.otzar.org/book.asp?11256","חידושי שיטה לא נודע למי - ביצה")</f>
        <v>חידושי שיטה לא נודע למי - ביצה</v>
      </c>
    </row>
    <row r="15469" spans="1:6" x14ac:dyDescent="0.2">
      <c r="A15469" t="s">
        <v>25794</v>
      </c>
      <c r="B15469" t="s">
        <v>25795</v>
      </c>
      <c r="C15469" t="s">
        <v>1954</v>
      </c>
      <c r="D15469" t="s">
        <v>14</v>
      </c>
      <c r="E15469" t="s">
        <v>172</v>
      </c>
      <c r="F15469" s="2" t="str">
        <f>HYPERLINK("http://www.otzar.org/book.asp?158198","חידושי שלחן ערוך &lt;רש""ש&gt;")</f>
        <v>חידושי שלחן ערוך &lt;רש"ש&gt;</v>
      </c>
    </row>
    <row r="15470" spans="1:6" x14ac:dyDescent="0.2">
      <c r="A15470" t="s">
        <v>25796</v>
      </c>
      <c r="B15470" t="s">
        <v>25797</v>
      </c>
      <c r="C15470" t="s">
        <v>1535</v>
      </c>
      <c r="D15470" t="s">
        <v>929</v>
      </c>
      <c r="E15470" t="s">
        <v>5712</v>
      </c>
      <c r="F15470" s="2" t="str">
        <f>HYPERLINK("http://www.otzar.org/book.asp?7590","חידושי שמואל הרמש""י")</f>
        <v>חידושי שמואל הרמש"י</v>
      </c>
    </row>
    <row r="15471" spans="1:6" x14ac:dyDescent="0.2">
      <c r="A15471" t="s">
        <v>25798</v>
      </c>
      <c r="B15471" t="s">
        <v>25799</v>
      </c>
      <c r="C15471" t="s">
        <v>15089</v>
      </c>
      <c r="D15471" t="s">
        <v>27</v>
      </c>
      <c r="E15471" t="s">
        <v>104</v>
      </c>
      <c r="F15471" s="2" t="str">
        <f>HYPERLINK("http://www.otzar.org/book.asp?19369","חידושי שני המאורות")</f>
        <v>חידושי שני המאורות</v>
      </c>
    </row>
    <row r="15472" spans="1:6" x14ac:dyDescent="0.2">
      <c r="A15472" t="s">
        <v>25800</v>
      </c>
      <c r="B15472" t="s">
        <v>25801</v>
      </c>
      <c r="C15472" t="s">
        <v>146</v>
      </c>
      <c r="D15472" t="s">
        <v>14</v>
      </c>
      <c r="E15472" t="s">
        <v>144</v>
      </c>
      <c r="F15472" s="2" t="str">
        <f>HYPERLINK("http://www.otzar.org/book.asp?28052","חידושי שער המלך &lt;עם פתח השער&gt; - 2 כר'")</f>
        <v>חידושי שער המלך &lt;עם פתח השער&gt; - 2 כר'</v>
      </c>
    </row>
    <row r="15473" spans="1:6" x14ac:dyDescent="0.2">
      <c r="A15473" t="s">
        <v>25802</v>
      </c>
      <c r="B15473" t="s">
        <v>25803</v>
      </c>
      <c r="C15473" t="s">
        <v>71</v>
      </c>
      <c r="D15473" t="s">
        <v>14</v>
      </c>
      <c r="E15473" t="s">
        <v>144</v>
      </c>
      <c r="F15473" s="2" t="str">
        <f>HYPERLINK("http://www.otzar.org/book.asp?6547","חידושי תוספות שאנץ")</f>
        <v>חידושי תוספות שאנץ</v>
      </c>
    </row>
    <row r="15474" spans="1:6" x14ac:dyDescent="0.2">
      <c r="A15474" t="s">
        <v>25804</v>
      </c>
      <c r="B15474" t="s">
        <v>25805</v>
      </c>
      <c r="C15474" t="s">
        <v>106</v>
      </c>
      <c r="D15474" t="s">
        <v>14</v>
      </c>
      <c r="E15474" t="s">
        <v>144</v>
      </c>
      <c r="F15474" s="2" t="str">
        <f>HYPERLINK("http://www.otzar.org/book.asp?22041","חידושי תורה בדף היומי העולמי בתלמוד - חולין")</f>
        <v>חידושי תורה בדף היומי העולמי בתלמוד - חולין</v>
      </c>
    </row>
    <row r="15475" spans="1:6" x14ac:dyDescent="0.2">
      <c r="A15475" t="s">
        <v>25806</v>
      </c>
      <c r="B15475" t="s">
        <v>206</v>
      </c>
      <c r="C15475" t="s">
        <v>313</v>
      </c>
      <c r="D15475" t="s">
        <v>118</v>
      </c>
      <c r="E15475" t="s">
        <v>803</v>
      </c>
      <c r="F15475" s="2" t="str">
        <f>HYPERLINK("http://www.otzar.org/book.asp?162123","חידושי תורה בענייני תחומין")</f>
        <v>חידושי תורה בענייני תחומין</v>
      </c>
    </row>
    <row r="15476" spans="1:6" x14ac:dyDescent="0.2">
      <c r="A15476" t="s">
        <v>25807</v>
      </c>
      <c r="B15476" t="s">
        <v>25808</v>
      </c>
      <c r="C15476" t="s">
        <v>23</v>
      </c>
      <c r="D15476" t="s">
        <v>152</v>
      </c>
      <c r="F15476" s="2" t="str">
        <f>HYPERLINK("http://www.otzar.org/book.asp?197537","חידושי תורה בעניני שביעית")</f>
        <v>חידושי תורה בעניני שביעית</v>
      </c>
    </row>
    <row r="15477" spans="1:6" x14ac:dyDescent="0.2">
      <c r="A15477" t="s">
        <v>25809</v>
      </c>
      <c r="B15477" t="s">
        <v>3493</v>
      </c>
      <c r="C15477" t="s">
        <v>51</v>
      </c>
      <c r="D15477" t="s">
        <v>52</v>
      </c>
      <c r="E15477" t="s">
        <v>130</v>
      </c>
      <c r="F15477" s="2" t="str">
        <f>HYPERLINK("http://www.otzar.org/book.asp?144224","חידושי תורה הלכה ואגדה - 3 כר'")</f>
        <v>חידושי תורה הלכה ואגדה - 3 כר'</v>
      </c>
    </row>
    <row r="15478" spans="1:6" x14ac:dyDescent="0.2">
      <c r="A15478" t="s">
        <v>25810</v>
      </c>
      <c r="B15478" t="s">
        <v>25811</v>
      </c>
      <c r="C15478" t="s">
        <v>1470</v>
      </c>
      <c r="D15478" t="s">
        <v>23921</v>
      </c>
      <c r="E15478" t="s">
        <v>104</v>
      </c>
      <c r="F15478" s="2" t="str">
        <f>HYPERLINK("http://www.otzar.org/book.asp?144182","חידושי תורה ותולדות קול אריה")</f>
        <v>חידושי תורה ותולדות קול אריה</v>
      </c>
    </row>
    <row r="15479" spans="1:6" x14ac:dyDescent="0.2">
      <c r="A15479" t="s">
        <v>25812</v>
      </c>
      <c r="B15479" t="s">
        <v>25813</v>
      </c>
      <c r="C15479" t="s">
        <v>68</v>
      </c>
      <c r="D15479" t="s">
        <v>14</v>
      </c>
      <c r="E15479" t="s">
        <v>144</v>
      </c>
      <c r="F15479" s="2" t="str">
        <f>HYPERLINK("http://www.otzar.org/book.asp?161275","חידושי תורה מאת הגאון רבי מנחם מנדל זאקס - חידושי ר' גרשון זאקס תמורה")</f>
        <v>חידושי תורה מאת הגאון רבי מנחם מנדל זאקס - חידושי ר' גרשון זאקס תמורה</v>
      </c>
    </row>
    <row r="15480" spans="1:6" x14ac:dyDescent="0.2">
      <c r="A15480" t="s">
        <v>25814</v>
      </c>
      <c r="B15480" t="s">
        <v>25815</v>
      </c>
      <c r="C15480" t="s">
        <v>313</v>
      </c>
      <c r="D15480" t="s">
        <v>412</v>
      </c>
      <c r="E15480" t="s">
        <v>230</v>
      </c>
      <c r="F15480" s="2" t="str">
        <f>HYPERLINK("http://www.otzar.org/book.asp?148895","חידושי תורה מהר""א ט""ב - 20 כר'")</f>
        <v>חידושי תורה מהר"א ט"ב - 20 כר'</v>
      </c>
    </row>
    <row r="15481" spans="1:6" x14ac:dyDescent="0.2">
      <c r="A15481" t="s">
        <v>25816</v>
      </c>
      <c r="B15481" t="s">
        <v>25817</v>
      </c>
      <c r="C15481" t="s">
        <v>103</v>
      </c>
      <c r="D15481" t="s">
        <v>25818</v>
      </c>
      <c r="E15481" t="s">
        <v>186</v>
      </c>
      <c r="F15481" s="2" t="str">
        <f>HYPERLINK("http://www.otzar.org/book.asp?625445","חידושי תורה על מסכת בבא בתרא")</f>
        <v>חידושי תורה על מסכת בבא בתרא</v>
      </c>
    </row>
    <row r="15482" spans="1:6" x14ac:dyDescent="0.2">
      <c r="A15482" t="s">
        <v>25819</v>
      </c>
      <c r="B15482" t="s">
        <v>14662</v>
      </c>
      <c r="C15482" t="s">
        <v>1609</v>
      </c>
      <c r="D15482" t="s">
        <v>14</v>
      </c>
      <c r="F15482" s="2" t="str">
        <f>HYPERLINK("http://www.otzar.org/book.asp?630403","חידושי תורה שנשמעו מכ""ק מרן אדמו""ר שליט""א מסאטמאר")</f>
        <v>חידושי תורה שנשמעו מכ"ק מרן אדמו"ר שליט"א מסאטמאר</v>
      </c>
    </row>
    <row r="15483" spans="1:6" x14ac:dyDescent="0.2">
      <c r="A15483" t="s">
        <v>25820</v>
      </c>
      <c r="B15483" t="s">
        <v>25821</v>
      </c>
      <c r="C15483" t="s">
        <v>445</v>
      </c>
      <c r="D15483" t="s">
        <v>4269</v>
      </c>
      <c r="E15483" t="s">
        <v>158</v>
      </c>
      <c r="F15483" s="2" t="str">
        <f>HYPERLINK("http://www.otzar.org/book.asp?141051","חידושי תורה")</f>
        <v>חידושי תורה</v>
      </c>
    </row>
    <row r="15484" spans="1:6" x14ac:dyDescent="0.2">
      <c r="A15484" t="s">
        <v>25822</v>
      </c>
      <c r="B15484" t="s">
        <v>14662</v>
      </c>
      <c r="C15484" t="s">
        <v>26</v>
      </c>
      <c r="D15484" t="s">
        <v>412</v>
      </c>
      <c r="E15484" t="s">
        <v>140</v>
      </c>
      <c r="F15484" s="2" t="str">
        <f>HYPERLINK("http://www.otzar.org/book.asp?7381","חידושי תורה - 4 כר'")</f>
        <v>חידושי תורה - 4 כר'</v>
      </c>
    </row>
    <row r="15485" spans="1:6" x14ac:dyDescent="0.2">
      <c r="A15485" t="s">
        <v>25823</v>
      </c>
      <c r="B15485" t="s">
        <v>25808</v>
      </c>
      <c r="C15485" t="s">
        <v>20</v>
      </c>
      <c r="D15485" t="s">
        <v>152</v>
      </c>
      <c r="F15485" s="2" t="str">
        <f>HYPERLINK("http://www.otzar.org/book.asp?198187","חידושי תורה - 6 כר'")</f>
        <v>חידושי תורה - 6 כר'</v>
      </c>
    </row>
    <row r="15486" spans="1:6" x14ac:dyDescent="0.2">
      <c r="A15486" t="s">
        <v>25820</v>
      </c>
      <c r="B15486" t="s">
        <v>15159</v>
      </c>
      <c r="C15486" t="s">
        <v>538</v>
      </c>
      <c r="D15486" t="s">
        <v>1279</v>
      </c>
      <c r="E15486" t="s">
        <v>158</v>
      </c>
      <c r="F15486" s="2" t="str">
        <f>HYPERLINK("http://www.otzar.org/book.asp?108822","חידושי תורה")</f>
        <v>חידושי תורה</v>
      </c>
    </row>
    <row r="15487" spans="1:6" x14ac:dyDescent="0.2">
      <c r="A15487" t="s">
        <v>25822</v>
      </c>
      <c r="B15487" t="s">
        <v>25824</v>
      </c>
      <c r="C15487" t="s">
        <v>51</v>
      </c>
      <c r="D15487" t="s">
        <v>21</v>
      </c>
      <c r="E15487" t="s">
        <v>186</v>
      </c>
      <c r="F15487" s="2" t="str">
        <f>HYPERLINK("http://www.otzar.org/book.asp?604219","חידושי תורה - 4 כר'")</f>
        <v>חידושי תורה - 4 כר'</v>
      </c>
    </row>
    <row r="15488" spans="1:6" x14ac:dyDescent="0.2">
      <c r="A15488" t="s">
        <v>25825</v>
      </c>
      <c r="B15488" t="s">
        <v>25805</v>
      </c>
      <c r="C15488" t="s">
        <v>843</v>
      </c>
      <c r="D15488" t="s">
        <v>412</v>
      </c>
      <c r="E15488" t="s">
        <v>25826</v>
      </c>
      <c r="F15488" s="2" t="str">
        <f>HYPERLINK("http://www.otzar.org/book.asp?105022","חידושי תורה - בהלכות גניבה ובאגדות חז""ל")</f>
        <v>חידושי תורה - בהלכות גניבה ובאגדות חז"ל</v>
      </c>
    </row>
    <row r="15489" spans="1:6" x14ac:dyDescent="0.2">
      <c r="A15489" t="s">
        <v>25827</v>
      </c>
      <c r="B15489" t="s">
        <v>14379</v>
      </c>
      <c r="C15489" t="s">
        <v>79</v>
      </c>
      <c r="D15489" t="s">
        <v>14</v>
      </c>
      <c r="E15489" t="s">
        <v>144</v>
      </c>
      <c r="F15489" s="2" t="str">
        <f>HYPERLINK("http://www.otzar.org/book.asp?105024","חידושי תורה - קידושין, ב""מ")</f>
        <v>חידושי תורה - קידושין, ב"מ</v>
      </c>
    </row>
    <row r="15490" spans="1:6" x14ac:dyDescent="0.2">
      <c r="A15490" t="s">
        <v>25820</v>
      </c>
      <c r="B15490" t="s">
        <v>25828</v>
      </c>
      <c r="C15490" t="s">
        <v>989</v>
      </c>
      <c r="D15490" t="s">
        <v>216</v>
      </c>
      <c r="E15490" t="s">
        <v>104</v>
      </c>
      <c r="F15490" s="2" t="str">
        <f>HYPERLINK("http://www.otzar.org/book.asp?189875","חידושי תורה")</f>
        <v>חידושי תורה</v>
      </c>
    </row>
    <row r="15491" spans="1:6" x14ac:dyDescent="0.2">
      <c r="A15491" t="s">
        <v>25829</v>
      </c>
      <c r="B15491" t="s">
        <v>14662</v>
      </c>
      <c r="C15491" t="s">
        <v>1954</v>
      </c>
      <c r="D15491" t="s">
        <v>412</v>
      </c>
      <c r="E15491" t="s">
        <v>158</v>
      </c>
      <c r="F15491" s="2" t="str">
        <f>HYPERLINK("http://www.otzar.org/book.asp?10168","חידושי תורות")</f>
        <v>חידושי תורות</v>
      </c>
    </row>
    <row r="15492" spans="1:6" x14ac:dyDescent="0.2">
      <c r="A15492" t="s">
        <v>25830</v>
      </c>
      <c r="B15492" t="s">
        <v>25831</v>
      </c>
      <c r="C15492" t="s">
        <v>106</v>
      </c>
      <c r="D15492" t="s">
        <v>412</v>
      </c>
      <c r="E15492" t="s">
        <v>144</v>
      </c>
      <c r="F15492" s="2" t="str">
        <f>HYPERLINK("http://www.otzar.org/book.asp?61629","חידושי תלמיד הרמב""ן - סוכה")</f>
        <v>חידושי תלמיד הרמב"ן - סוכה</v>
      </c>
    </row>
    <row r="15493" spans="1:6" x14ac:dyDescent="0.2">
      <c r="A15493" t="s">
        <v>25832</v>
      </c>
      <c r="B15493" t="s">
        <v>25833</v>
      </c>
      <c r="C15493" t="s">
        <v>168</v>
      </c>
      <c r="D15493" t="s">
        <v>118</v>
      </c>
      <c r="E15493" t="s">
        <v>144</v>
      </c>
      <c r="F15493" s="2" t="str">
        <f>HYPERLINK("http://www.otzar.org/book.asp?103831","חידושי תלמיד הרשב""א והרא""ש - ב""ק")</f>
        <v>חידושי תלמיד הרשב"א והרא"ש - ב"ק</v>
      </c>
    </row>
    <row r="15494" spans="1:6" x14ac:dyDescent="0.2">
      <c r="A15494" t="s">
        <v>25834</v>
      </c>
      <c r="B15494" t="s">
        <v>25835</v>
      </c>
      <c r="C15494" t="s">
        <v>1208</v>
      </c>
      <c r="D15494" t="s">
        <v>6283</v>
      </c>
      <c r="E15494" t="s">
        <v>3818</v>
      </c>
      <c r="F15494" s="2" t="str">
        <f>HYPERLINK("http://www.otzar.org/book.asp?103832","חידושי תלמיד הרשב""א -  כלאים, ביצה, מו""ק, יומא")</f>
        <v>חידושי תלמיד הרשב"א -  כלאים, ביצה, מו"ק, יומא</v>
      </c>
    </row>
    <row r="15495" spans="1:6" x14ac:dyDescent="0.2">
      <c r="A15495" t="s">
        <v>25836</v>
      </c>
      <c r="B15495" t="s">
        <v>25837</v>
      </c>
      <c r="C15495" t="s">
        <v>940</v>
      </c>
      <c r="D15495" t="s">
        <v>6283</v>
      </c>
      <c r="E15495" t="s">
        <v>144</v>
      </c>
      <c r="F15495" s="2" t="str">
        <f>HYPERLINK("http://www.otzar.org/book.asp?103830","חידושי תלמיד הרשב""א - עירובין")</f>
        <v>חידושי תלמיד הרשב"א - עירובין</v>
      </c>
    </row>
    <row r="15496" spans="1:6" x14ac:dyDescent="0.2">
      <c r="A15496" t="s">
        <v>25838</v>
      </c>
      <c r="B15496" t="s">
        <v>25839</v>
      </c>
      <c r="C15496" t="s">
        <v>168</v>
      </c>
      <c r="D15496" t="s">
        <v>412</v>
      </c>
      <c r="E15496" t="s">
        <v>144</v>
      </c>
      <c r="F15496" s="2" t="str">
        <f>HYPERLINK("http://www.otzar.org/book.asp?62248","חידושי תלמיד הרשב""א - בבא מציעא")</f>
        <v>חידושי תלמיד הרשב"א - בבא מציעא</v>
      </c>
    </row>
    <row r="15497" spans="1:6" x14ac:dyDescent="0.2">
      <c r="A15497" t="s">
        <v>25840</v>
      </c>
      <c r="B15497" t="s">
        <v>24561</v>
      </c>
      <c r="C15497" t="s">
        <v>585</v>
      </c>
      <c r="D15497" t="s">
        <v>52</v>
      </c>
      <c r="E15497" t="s">
        <v>144</v>
      </c>
      <c r="F15497" s="2" t="str">
        <f>HYPERLINK("http://www.otzar.org/book.asp?143126","חידושי תלמיד הרשב""א, רבינו יהונתן מלוניל - פסחים")</f>
        <v>חידושי תלמיד הרשב"א, רבינו יהונתן מלוניל - פסחים</v>
      </c>
    </row>
    <row r="15498" spans="1:6" x14ac:dyDescent="0.2">
      <c r="A15498" t="s">
        <v>25841</v>
      </c>
      <c r="B15498" t="s">
        <v>1574</v>
      </c>
      <c r="C15498" t="s">
        <v>1954</v>
      </c>
      <c r="D15498" t="s">
        <v>9</v>
      </c>
      <c r="E15498" t="s">
        <v>920</v>
      </c>
      <c r="F15498" s="2" t="str">
        <f>HYPERLINK("http://www.otzar.org/book.asp?5524","חידושי תלמידי רבינו יונה - עבודה זרה")</f>
        <v>חידושי תלמידי רבינו יונה - עבודה זרה</v>
      </c>
    </row>
    <row r="15499" spans="1:6" x14ac:dyDescent="0.2">
      <c r="A15499" t="s">
        <v>25842</v>
      </c>
      <c r="B15499" t="s">
        <v>25843</v>
      </c>
      <c r="C15499" t="s">
        <v>1246</v>
      </c>
      <c r="D15499" t="s">
        <v>27</v>
      </c>
      <c r="E15499" t="s">
        <v>144</v>
      </c>
      <c r="F15499" s="2" t="str">
        <f>HYPERLINK("http://www.otzar.org/book.asp?9279","חידושים בש""ס")</f>
        <v>חידושים בש"ס</v>
      </c>
    </row>
    <row r="15500" spans="1:6" x14ac:dyDescent="0.2">
      <c r="A15500" t="s">
        <v>25844</v>
      </c>
      <c r="B15500" t="s">
        <v>25845</v>
      </c>
      <c r="C15500" t="s">
        <v>1062</v>
      </c>
      <c r="D15500" t="s">
        <v>27</v>
      </c>
      <c r="E15500" t="s">
        <v>15</v>
      </c>
      <c r="F15500" s="2" t="str">
        <f>HYPERLINK("http://www.otzar.org/book.asp?11494","חידושים ובאורים על הלכות ממרים, עכו""ם וחוקותיהם להרמב""ם")</f>
        <v>חידושים ובאורים על הלכות ממרים, עכו"ם וחוקותיהם להרמב"ם</v>
      </c>
    </row>
    <row r="15501" spans="1:6" x14ac:dyDescent="0.2">
      <c r="A15501" t="s">
        <v>25846</v>
      </c>
      <c r="B15501" t="s">
        <v>25845</v>
      </c>
      <c r="C15501" t="s">
        <v>482</v>
      </c>
      <c r="D15501" t="s">
        <v>27</v>
      </c>
      <c r="E15501" t="s">
        <v>15</v>
      </c>
      <c r="F15501" s="2" t="str">
        <f>HYPERLINK("http://www.otzar.org/book.asp?181299","חידושים ובאורים על הלכות סנהדרין לרמב""ם")</f>
        <v>חידושים ובאורים על הלכות סנהדרין לרמב"ם</v>
      </c>
    </row>
    <row r="15502" spans="1:6" x14ac:dyDescent="0.2">
      <c r="A15502" t="s">
        <v>25847</v>
      </c>
      <c r="B15502" t="s">
        <v>25848</v>
      </c>
      <c r="E15502" t="s">
        <v>144</v>
      </c>
      <c r="F15502" s="2" t="str">
        <f>HYPERLINK("http://www.otzar.org/book.asp?623707","חידושים וביאורים במסכת כתובות")</f>
        <v>חידושים וביאורים במסכת כתובות</v>
      </c>
    </row>
    <row r="15503" spans="1:6" x14ac:dyDescent="0.2">
      <c r="A15503" t="s">
        <v>25849</v>
      </c>
      <c r="B15503" t="s">
        <v>25850</v>
      </c>
      <c r="C15503" t="s">
        <v>366</v>
      </c>
      <c r="D15503" t="s">
        <v>90</v>
      </c>
      <c r="E15503" t="s">
        <v>15</v>
      </c>
      <c r="F15503" s="2" t="str">
        <f>HYPERLINK("http://www.otzar.org/book.asp?606528","חידושים וביאורים במצות תפילין")</f>
        <v>חידושים וביאורים במצות תפילין</v>
      </c>
    </row>
    <row r="15504" spans="1:6" x14ac:dyDescent="0.2">
      <c r="A15504" t="s">
        <v>25851</v>
      </c>
      <c r="B15504" t="s">
        <v>25852</v>
      </c>
      <c r="C15504" t="s">
        <v>51</v>
      </c>
      <c r="D15504" t="s">
        <v>657</v>
      </c>
      <c r="E15504" t="s">
        <v>144</v>
      </c>
      <c r="F15504" s="2" t="str">
        <f>HYPERLINK("http://www.otzar.org/book.asp?148805","חידושים וביאורים בענינים שונים")</f>
        <v>חידושים וביאורים בענינים שונים</v>
      </c>
    </row>
    <row r="15505" spans="1:6" x14ac:dyDescent="0.2">
      <c r="A15505" t="s">
        <v>25853</v>
      </c>
      <c r="B15505" t="s">
        <v>25854</v>
      </c>
      <c r="C15505" t="s">
        <v>103</v>
      </c>
      <c r="D15505" t="s">
        <v>52</v>
      </c>
      <c r="E15505" t="s">
        <v>144</v>
      </c>
      <c r="F15505" s="2" t="str">
        <f>HYPERLINK("http://www.otzar.org/book.asp?144504","חידושים וביאורים בפרק קמא דעירובין")</f>
        <v>חידושים וביאורים בפרק קמא דעירובין</v>
      </c>
    </row>
    <row r="15506" spans="1:6" x14ac:dyDescent="0.2">
      <c r="A15506" t="s">
        <v>25855</v>
      </c>
      <c r="B15506" t="s">
        <v>25856</v>
      </c>
      <c r="C15506" t="s">
        <v>422</v>
      </c>
      <c r="D15506" t="s">
        <v>14</v>
      </c>
      <c r="E15506" t="s">
        <v>158</v>
      </c>
      <c r="F15506" s="2" t="str">
        <f>HYPERLINK("http://www.otzar.org/book.asp?150847","חידושים וביאורים ורעיונות על התורה")</f>
        <v>חידושים וביאורים ורעיונות על התורה</v>
      </c>
    </row>
    <row r="15507" spans="1:6" x14ac:dyDescent="0.2">
      <c r="A15507" t="s">
        <v>25857</v>
      </c>
      <c r="B15507" t="s">
        <v>9037</v>
      </c>
      <c r="C15507" t="s">
        <v>133</v>
      </c>
      <c r="D15507" t="s">
        <v>412</v>
      </c>
      <c r="E15507" t="s">
        <v>144</v>
      </c>
      <c r="F15507" s="2" t="str">
        <f>HYPERLINK("http://www.otzar.org/book.asp?180921","חידושים וביאורים למסכת ברכות")</f>
        <v>חידושים וביאורים למסכת ברכות</v>
      </c>
    </row>
    <row r="15508" spans="1:6" x14ac:dyDescent="0.2">
      <c r="A15508" t="s">
        <v>25858</v>
      </c>
      <c r="B15508" t="s">
        <v>1750</v>
      </c>
      <c r="C15508" t="s">
        <v>168</v>
      </c>
      <c r="D15508" t="s">
        <v>52</v>
      </c>
      <c r="E15508" t="s">
        <v>186</v>
      </c>
      <c r="F15508" s="2" t="str">
        <f>HYPERLINK("http://www.otzar.org/book.asp?61945","חידושים וביאורים על מסכת מועד קטן")</f>
        <v>חידושים וביאורים על מסכת מועד קטן</v>
      </c>
    </row>
    <row r="15509" spans="1:6" x14ac:dyDescent="0.2">
      <c r="A15509" t="s">
        <v>25859</v>
      </c>
      <c r="B15509" t="s">
        <v>25860</v>
      </c>
      <c r="C15509" t="s">
        <v>20</v>
      </c>
      <c r="D15509" t="s">
        <v>14</v>
      </c>
      <c r="E15509" t="s">
        <v>1103</v>
      </c>
      <c r="F15509" s="2" t="str">
        <f>HYPERLINK("http://www.otzar.org/book.asp?61785","חידושים וביאורים")</f>
        <v>חידושים וביאורים</v>
      </c>
    </row>
    <row r="15510" spans="1:6" x14ac:dyDescent="0.2">
      <c r="A15510" t="s">
        <v>25861</v>
      </c>
      <c r="B15510" t="s">
        <v>5253</v>
      </c>
      <c r="C15510" t="s">
        <v>5163</v>
      </c>
      <c r="D15510" t="s">
        <v>283</v>
      </c>
      <c r="E15510" t="s">
        <v>15</v>
      </c>
      <c r="F15510" s="2" t="str">
        <f>HYPERLINK("http://www.otzar.org/book.asp?100927","חידושים ופלפולים")</f>
        <v>חידושים ופלפולים</v>
      </c>
    </row>
    <row r="15511" spans="1:6" x14ac:dyDescent="0.2">
      <c r="A15511" t="s">
        <v>25862</v>
      </c>
      <c r="B15511" t="s">
        <v>206</v>
      </c>
      <c r="C15511" t="s">
        <v>20</v>
      </c>
      <c r="D15511" t="s">
        <v>90</v>
      </c>
      <c r="E15511" t="s">
        <v>158</v>
      </c>
      <c r="F15511" s="2" t="str">
        <f>HYPERLINK("http://www.otzar.org/book.asp?614829","חידושים לפרשת השבוע מלוקט מספר זרע שמשון")</f>
        <v>חידושים לפרשת השבוע מלוקט מספר זרע שמשון</v>
      </c>
    </row>
    <row r="15512" spans="1:6" x14ac:dyDescent="0.2">
      <c r="A15512" t="s">
        <v>25863</v>
      </c>
      <c r="B15512" t="s">
        <v>23517</v>
      </c>
      <c r="C15512" t="s">
        <v>3942</v>
      </c>
      <c r="D15512" t="s">
        <v>1396</v>
      </c>
      <c r="E15512" t="s">
        <v>144</v>
      </c>
      <c r="F15512" s="2" t="str">
        <f>HYPERLINK("http://www.otzar.org/book.asp?189473","חידושים ממסכת י""ט")</f>
        <v>חידושים ממסכת י"ט</v>
      </c>
    </row>
    <row r="15513" spans="1:6" x14ac:dyDescent="0.2">
      <c r="A15513" t="s">
        <v>25864</v>
      </c>
      <c r="B15513" t="s">
        <v>25865</v>
      </c>
      <c r="C15513" t="s">
        <v>25866</v>
      </c>
      <c r="D15513" t="s">
        <v>7163</v>
      </c>
      <c r="F15513" s="2" t="str">
        <f>HYPERLINK("http://www.otzar.org/book.asp?84136","חידושים מספר אלחנן - ב")</f>
        <v>חידושים מספר אלחנן - ב</v>
      </c>
    </row>
    <row r="15514" spans="1:6" x14ac:dyDescent="0.2">
      <c r="A15514" t="s">
        <v>25867</v>
      </c>
      <c r="B15514" t="s">
        <v>1990</v>
      </c>
      <c r="C15514" t="s">
        <v>1937</v>
      </c>
      <c r="D15514" t="s">
        <v>280</v>
      </c>
      <c r="E15514" t="s">
        <v>15</v>
      </c>
      <c r="F15514" s="2" t="str">
        <f>HYPERLINK("http://www.otzar.org/book.asp?5699","חידושים על הלכות י""ט להרמב""ם")</f>
        <v>חידושים על הלכות י"ט להרמב"ם</v>
      </c>
    </row>
    <row r="15515" spans="1:6" x14ac:dyDescent="0.2">
      <c r="A15515" t="s">
        <v>25868</v>
      </c>
      <c r="B15515" t="s">
        <v>25869</v>
      </c>
      <c r="C15515" t="s">
        <v>270</v>
      </c>
      <c r="D15515" t="s">
        <v>2373</v>
      </c>
      <c r="F15515" s="2" t="str">
        <f>HYPERLINK("http://www.otzar.org/book.asp?152820","חידושים על התורה")</f>
        <v>חידושים על התורה</v>
      </c>
    </row>
    <row r="15516" spans="1:6" x14ac:dyDescent="0.2">
      <c r="A15516" t="s">
        <v>25870</v>
      </c>
      <c r="B15516" t="s">
        <v>25871</v>
      </c>
      <c r="C15516" t="s">
        <v>114</v>
      </c>
      <c r="D15516" t="s">
        <v>412</v>
      </c>
      <c r="E15516" t="s">
        <v>144</v>
      </c>
      <c r="F15516" s="2" t="str">
        <f>HYPERLINK("http://www.otzar.org/book.asp?198289","חידושים על מסכת ברכות")</f>
        <v>חידושים על מסכת ברכות</v>
      </c>
    </row>
    <row r="15517" spans="1:6" x14ac:dyDescent="0.2">
      <c r="A15517" t="s">
        <v>25872</v>
      </c>
      <c r="B15517" t="s">
        <v>25873</v>
      </c>
      <c r="C15517" t="s">
        <v>553</v>
      </c>
      <c r="D15517" t="s">
        <v>14</v>
      </c>
      <c r="E15517" t="s">
        <v>84</v>
      </c>
      <c r="F15517" s="2" t="str">
        <f>HYPERLINK("http://www.otzar.org/book.asp?190354","חידושים על מסכת פאה")</f>
        <v>חידושים על מסכת פאה</v>
      </c>
    </row>
    <row r="15518" spans="1:6" x14ac:dyDescent="0.2">
      <c r="A15518" t="s">
        <v>25874</v>
      </c>
      <c r="B15518" t="s">
        <v>25406</v>
      </c>
      <c r="C15518" t="s">
        <v>2271</v>
      </c>
      <c r="D15518" t="s">
        <v>1992</v>
      </c>
      <c r="E15518" t="s">
        <v>508</v>
      </c>
      <c r="F15518" s="2" t="str">
        <f>HYPERLINK("http://www.otzar.org/book.asp?300511","חידושים על מסכת שבועות - 2 כר'")</f>
        <v>חידושים על מסכת שבועות - 2 כר'</v>
      </c>
    </row>
    <row r="15519" spans="1:6" x14ac:dyDescent="0.2">
      <c r="A15519" t="s">
        <v>25875</v>
      </c>
      <c r="B15519" t="s">
        <v>17512</v>
      </c>
      <c r="C15519" t="s">
        <v>176</v>
      </c>
      <c r="D15519" t="s">
        <v>21</v>
      </c>
      <c r="E15519" t="s">
        <v>144</v>
      </c>
      <c r="F15519" s="2" t="str">
        <f>HYPERLINK("http://www.otzar.org/book.asp?603956","חידושים קדמונים לרבינו אליעזר אשכנזי למסכת קידושין")</f>
        <v>חידושים קדמונים לרבינו אליעזר אשכנזי למסכת קידושין</v>
      </c>
    </row>
    <row r="15520" spans="1:6" x14ac:dyDescent="0.2">
      <c r="A15520" t="s">
        <v>25876</v>
      </c>
      <c r="B15520" t="s">
        <v>25876</v>
      </c>
      <c r="C15520" t="s">
        <v>445</v>
      </c>
      <c r="D15520" t="s">
        <v>27</v>
      </c>
      <c r="E15520" t="s">
        <v>104</v>
      </c>
      <c r="F15520" s="2" t="str">
        <f>HYPERLINK("http://www.otzar.org/book.asp?189661","חידות חכמה")</f>
        <v>חידות חכמה</v>
      </c>
    </row>
    <row r="15521" spans="1:6" x14ac:dyDescent="0.2">
      <c r="A15521" t="s">
        <v>25877</v>
      </c>
      <c r="B15521" t="s">
        <v>25878</v>
      </c>
      <c r="C15521" t="s">
        <v>4087</v>
      </c>
      <c r="D15521" t="s">
        <v>729</v>
      </c>
      <c r="E15521" t="s">
        <v>246</v>
      </c>
      <c r="F15521" s="2" t="str">
        <f>HYPERLINK("http://www.otzar.org/book.asp?146939","חידות מגילה")</f>
        <v>חידות מגילה</v>
      </c>
    </row>
    <row r="15522" spans="1:6" x14ac:dyDescent="0.2">
      <c r="A15522" t="s">
        <v>25879</v>
      </c>
      <c r="B15522" t="s">
        <v>25880</v>
      </c>
      <c r="C15522" t="s">
        <v>224</v>
      </c>
      <c r="D15522" t="s">
        <v>307</v>
      </c>
      <c r="E15522" t="s">
        <v>1626</v>
      </c>
      <c r="F15522" s="2" t="str">
        <f>HYPERLINK("http://www.otzar.org/book.asp?171406","חידות מני קדם")</f>
        <v>חידות מני קדם</v>
      </c>
    </row>
    <row r="15523" spans="1:6" x14ac:dyDescent="0.2">
      <c r="A15523" t="s">
        <v>25881</v>
      </c>
      <c r="B15523" t="s">
        <v>10881</v>
      </c>
      <c r="C15523" t="s">
        <v>1524</v>
      </c>
      <c r="D15523" t="s">
        <v>2303</v>
      </c>
      <c r="E15523" t="s">
        <v>241</v>
      </c>
      <c r="F15523" s="2" t="str">
        <f>HYPERLINK("http://www.otzar.org/book.asp?151120","חידת שמשון")</f>
        <v>חידת שמשון</v>
      </c>
    </row>
    <row r="15524" spans="1:6" x14ac:dyDescent="0.2">
      <c r="A15524" t="s">
        <v>25882</v>
      </c>
      <c r="B15524" t="s">
        <v>1602</v>
      </c>
      <c r="C15524" t="s">
        <v>23</v>
      </c>
      <c r="D15524" t="s">
        <v>14</v>
      </c>
      <c r="F15524" s="2" t="str">
        <f>HYPERLINK("http://www.otzar.org/book.asp?618697","חיה באמונה")</f>
        <v>חיה באמונה</v>
      </c>
    </row>
    <row r="15525" spans="1:6" x14ac:dyDescent="0.2">
      <c r="A15525" t="s">
        <v>25883</v>
      </c>
      <c r="B15525" t="s">
        <v>25884</v>
      </c>
      <c r="C15525" t="s">
        <v>20</v>
      </c>
      <c r="D15525" t="s">
        <v>90</v>
      </c>
      <c r="E15525" t="s">
        <v>15</v>
      </c>
      <c r="F15525" s="2" t="str">
        <f>HYPERLINK("http://www.otzar.org/book.asp?62731","חיובי אישות")</f>
        <v>חיובי אישות</v>
      </c>
    </row>
    <row r="15526" spans="1:6" x14ac:dyDescent="0.2">
      <c r="A15526" t="s">
        <v>25885</v>
      </c>
      <c r="B15526" t="s">
        <v>25886</v>
      </c>
      <c r="C15526" t="s">
        <v>523</v>
      </c>
      <c r="D15526" t="s">
        <v>14</v>
      </c>
      <c r="E15526" t="s">
        <v>158</v>
      </c>
      <c r="F15526" s="2" t="str">
        <f>HYPERLINK("http://www.otzar.org/book.asp?172279","חיוכה של תורה")</f>
        <v>חיוכה של תורה</v>
      </c>
    </row>
    <row r="15527" spans="1:6" x14ac:dyDescent="0.2">
      <c r="A15527" t="s">
        <v>25887</v>
      </c>
      <c r="B15527" t="s">
        <v>2205</v>
      </c>
      <c r="C15527" t="s">
        <v>13</v>
      </c>
      <c r="D15527" t="s">
        <v>412</v>
      </c>
      <c r="E15527" t="s">
        <v>241</v>
      </c>
      <c r="F15527" s="2" t="str">
        <f>HYPERLINK("http://www.otzar.org/book.asp?159728","חיזוק און מוסר - א")</f>
        <v>חיזוק און מוסר - א</v>
      </c>
    </row>
    <row r="15528" spans="1:6" x14ac:dyDescent="0.2">
      <c r="A15528" t="s">
        <v>25888</v>
      </c>
      <c r="B15528" t="s">
        <v>1557</v>
      </c>
      <c r="C15528" t="s">
        <v>366</v>
      </c>
      <c r="D15528" t="s">
        <v>152</v>
      </c>
      <c r="F15528" s="2" t="str">
        <f>HYPERLINK("http://www.otzar.org/book.asp?610383","חיזוק בתורה מפרשת המרגלים")</f>
        <v>חיזוק בתורה מפרשת המרגלים</v>
      </c>
    </row>
    <row r="15529" spans="1:6" x14ac:dyDescent="0.2">
      <c r="A15529" t="s">
        <v>25889</v>
      </c>
      <c r="B15529" t="s">
        <v>25890</v>
      </c>
      <c r="C15529" t="s">
        <v>103</v>
      </c>
      <c r="D15529" t="s">
        <v>14</v>
      </c>
      <c r="F15529" s="2" t="str">
        <f>HYPERLINK("http://www.otzar.org/book.asp?617243","חיזוק האמונה")</f>
        <v>חיזוק האמונה</v>
      </c>
    </row>
    <row r="15530" spans="1:6" x14ac:dyDescent="0.2">
      <c r="A15530" t="s">
        <v>25891</v>
      </c>
      <c r="B15530" t="s">
        <v>25892</v>
      </c>
      <c r="C15530" t="s">
        <v>111</v>
      </c>
      <c r="D15530" t="s">
        <v>21</v>
      </c>
      <c r="F15530" s="2" t="str">
        <f>HYPERLINK("http://www.otzar.org/book.asp?621764","חיזוק והדרכה בעניני השעה - 4 כר'")</f>
        <v>חיזוק והדרכה בעניני השעה - 4 כר'</v>
      </c>
    </row>
    <row r="15531" spans="1:6" x14ac:dyDescent="0.2">
      <c r="A15531" t="s">
        <v>25893</v>
      </c>
      <c r="B15531" t="s">
        <v>25894</v>
      </c>
      <c r="C15531" t="s">
        <v>411</v>
      </c>
      <c r="D15531" t="s">
        <v>72</v>
      </c>
      <c r="E15531" t="s">
        <v>15</v>
      </c>
      <c r="F15531" s="2" t="str">
        <f>HYPERLINK("http://www.otzar.org/book.asp?196587","חיזוק למשכני יעקב - תפלה כהלכתה")</f>
        <v>חיזוק למשכני יעקב - תפלה כהלכתה</v>
      </c>
    </row>
    <row r="15532" spans="1:6" x14ac:dyDescent="0.2">
      <c r="A15532" t="s">
        <v>25895</v>
      </c>
      <c r="B15532" t="s">
        <v>25896</v>
      </c>
      <c r="C15532" t="s">
        <v>854</v>
      </c>
      <c r="D15532" t="s">
        <v>9</v>
      </c>
      <c r="E15532" t="s">
        <v>241</v>
      </c>
      <c r="F15532" s="2" t="str">
        <f>HYPERLINK("http://www.otzar.org/book.asp?51034","חיזוק מדת הבטחון")</f>
        <v>חיזוק מדת הבטחון</v>
      </c>
    </row>
    <row r="15533" spans="1:6" x14ac:dyDescent="0.2">
      <c r="A15533" t="s">
        <v>25897</v>
      </c>
      <c r="B15533" t="s">
        <v>1750</v>
      </c>
      <c r="C15533" t="s">
        <v>17</v>
      </c>
      <c r="D15533" t="s">
        <v>14</v>
      </c>
      <c r="E15533" t="s">
        <v>3790</v>
      </c>
      <c r="F15533" s="2" t="str">
        <f>HYPERLINK("http://www.otzar.org/book.asp?28898","חיזוק - 8 כר'")</f>
        <v>חיזוק - 8 כר'</v>
      </c>
    </row>
    <row r="15534" spans="1:6" x14ac:dyDescent="0.2">
      <c r="A15534" t="s">
        <v>25898</v>
      </c>
      <c r="B15534" t="s">
        <v>25176</v>
      </c>
      <c r="C15534" t="s">
        <v>454</v>
      </c>
      <c r="D15534" t="s">
        <v>147</v>
      </c>
      <c r="E15534" t="s">
        <v>3785</v>
      </c>
      <c r="F15534" s="2" t="str">
        <f>HYPERLINK("http://www.otzar.org/book.asp?141809","חיי אבות")</f>
        <v>חיי אבות</v>
      </c>
    </row>
    <row r="15535" spans="1:6" x14ac:dyDescent="0.2">
      <c r="A15535" t="s">
        <v>25899</v>
      </c>
      <c r="B15535" t="s">
        <v>25900</v>
      </c>
      <c r="C15535" t="s">
        <v>313</v>
      </c>
      <c r="D15535" t="s">
        <v>486</v>
      </c>
      <c r="E15535" t="s">
        <v>144</v>
      </c>
      <c r="F15535" s="2" t="str">
        <f>HYPERLINK("http://www.otzar.org/book.asp?53667","חיי אברהם")</f>
        <v>חיי אברהם</v>
      </c>
    </row>
    <row r="15536" spans="1:6" x14ac:dyDescent="0.2">
      <c r="A15536" t="s">
        <v>25899</v>
      </c>
      <c r="B15536" t="s">
        <v>25901</v>
      </c>
      <c r="C15536" t="s">
        <v>812</v>
      </c>
      <c r="D15536" t="s">
        <v>9</v>
      </c>
      <c r="E15536" t="s">
        <v>25902</v>
      </c>
      <c r="F15536" s="2" t="str">
        <f>HYPERLINK("http://www.otzar.org/book.asp?5282","חיי אברהם")</f>
        <v>חיי אברהם</v>
      </c>
    </row>
    <row r="15537" spans="1:6" x14ac:dyDescent="0.2">
      <c r="A15537" t="s">
        <v>25899</v>
      </c>
      <c r="B15537" t="s">
        <v>6121</v>
      </c>
      <c r="C15537" t="s">
        <v>422</v>
      </c>
      <c r="D15537" t="s">
        <v>14</v>
      </c>
      <c r="E15537" t="s">
        <v>15</v>
      </c>
      <c r="F15537" s="2" t="str">
        <f>HYPERLINK("http://www.otzar.org/book.asp?169465","חיי אברהם")</f>
        <v>חיי אברהם</v>
      </c>
    </row>
    <row r="15538" spans="1:6" x14ac:dyDescent="0.2">
      <c r="A15538" t="s">
        <v>25899</v>
      </c>
      <c r="B15538" t="s">
        <v>25903</v>
      </c>
      <c r="C15538" t="s">
        <v>2271</v>
      </c>
      <c r="D15538" t="s">
        <v>212</v>
      </c>
      <c r="E15538" t="s">
        <v>7760</v>
      </c>
      <c r="F15538" s="2" t="str">
        <f>HYPERLINK("http://www.otzar.org/book.asp?18797","חיי אברהם")</f>
        <v>חיי אברהם</v>
      </c>
    </row>
    <row r="15539" spans="1:6" x14ac:dyDescent="0.2">
      <c r="A15539" t="s">
        <v>25904</v>
      </c>
      <c r="B15539" t="s">
        <v>25905</v>
      </c>
      <c r="C15539" t="s">
        <v>1640</v>
      </c>
      <c r="D15539" t="s">
        <v>14</v>
      </c>
      <c r="E15539" t="s">
        <v>21451</v>
      </c>
      <c r="F15539" s="2" t="str">
        <f>HYPERLINK("http://www.otzar.org/book.asp?5304","חיי אברהם - 2 כר'")</f>
        <v>חיי אברהם - 2 כר'</v>
      </c>
    </row>
    <row r="15540" spans="1:6" x14ac:dyDescent="0.2">
      <c r="A15540" t="s">
        <v>25899</v>
      </c>
      <c r="B15540" t="s">
        <v>25906</v>
      </c>
      <c r="C15540" t="s">
        <v>538</v>
      </c>
      <c r="D15540" t="s">
        <v>76</v>
      </c>
      <c r="E15540" t="s">
        <v>14342</v>
      </c>
      <c r="F15540" s="2" t="str">
        <f>HYPERLINK("http://www.otzar.org/book.asp?101405","חיי אברהם")</f>
        <v>חיי אברהם</v>
      </c>
    </row>
    <row r="15541" spans="1:6" x14ac:dyDescent="0.2">
      <c r="A15541" t="s">
        <v>25899</v>
      </c>
      <c r="B15541" t="s">
        <v>5634</v>
      </c>
      <c r="C15541" t="s">
        <v>585</v>
      </c>
      <c r="D15541" t="s">
        <v>52</v>
      </c>
      <c r="E15541" t="s">
        <v>3261</v>
      </c>
      <c r="F15541" s="2" t="str">
        <f>HYPERLINK("http://www.otzar.org/book.asp?9294","חיי אברהם")</f>
        <v>חיי אברהם</v>
      </c>
    </row>
    <row r="15542" spans="1:6" x14ac:dyDescent="0.2">
      <c r="A15542" t="s">
        <v>25907</v>
      </c>
      <c r="B15542" t="s">
        <v>9751</v>
      </c>
      <c r="C15542" t="s">
        <v>26</v>
      </c>
      <c r="D15542" t="s">
        <v>52</v>
      </c>
      <c r="E15542" t="s">
        <v>15</v>
      </c>
      <c r="F15542" s="2" t="str">
        <f>HYPERLINK("http://www.otzar.org/book.asp?13839","חיי אדם &lt;בית ברוך&gt; - 3 כר'")</f>
        <v>חיי אדם &lt;בית ברוך&gt; - 3 כר'</v>
      </c>
    </row>
    <row r="15543" spans="1:6" x14ac:dyDescent="0.2">
      <c r="A15543" t="s">
        <v>25908</v>
      </c>
      <c r="B15543" t="s">
        <v>9751</v>
      </c>
      <c r="C15543" t="s">
        <v>429</v>
      </c>
      <c r="D15543" t="s">
        <v>6215</v>
      </c>
      <c r="E15543" t="s">
        <v>15</v>
      </c>
      <c r="F15543" s="2" t="str">
        <f>HYPERLINK("http://www.otzar.org/book.asp?199518","חיי אדם &lt;תוספות חיים&gt;")</f>
        <v>חיי אדם &lt;תוספות חיים&gt;</v>
      </c>
    </row>
    <row r="15544" spans="1:6" x14ac:dyDescent="0.2">
      <c r="A15544" t="s">
        <v>25909</v>
      </c>
      <c r="B15544" t="s">
        <v>9751</v>
      </c>
      <c r="C15544" t="s">
        <v>114</v>
      </c>
      <c r="D15544" t="s">
        <v>14</v>
      </c>
      <c r="E15544" t="s">
        <v>15</v>
      </c>
      <c r="F15544" s="2" t="str">
        <f>HYPERLINK("http://www.otzar.org/book.asp?163557","חיי אדם השלם עם נשמת אדם - 2 כר'")</f>
        <v>חיי אדם השלם עם נשמת אדם - 2 כר'</v>
      </c>
    </row>
    <row r="15545" spans="1:6" x14ac:dyDescent="0.2">
      <c r="A15545" t="s">
        <v>25910</v>
      </c>
      <c r="B15545" t="s">
        <v>9751</v>
      </c>
      <c r="C15545" t="s">
        <v>433</v>
      </c>
      <c r="D15545" t="s">
        <v>412</v>
      </c>
      <c r="F15545" s="2" t="str">
        <f>HYPERLINK("http://www.otzar.org/book.asp?617969","חיי אדם וחכמת אדם אין אידיש")</f>
        <v>חיי אדם וחכמת אדם אין אידיש</v>
      </c>
    </row>
    <row r="15546" spans="1:6" x14ac:dyDescent="0.2">
      <c r="A15546" t="s">
        <v>25911</v>
      </c>
      <c r="B15546" t="s">
        <v>9751</v>
      </c>
      <c r="C15546" t="s">
        <v>13</v>
      </c>
      <c r="D15546" t="s">
        <v>14</v>
      </c>
      <c r="E15546" t="s">
        <v>172</v>
      </c>
      <c r="F15546" s="2" t="str">
        <f>HYPERLINK("http://www.otzar.org/book.asp?142472","חיי אדם ונשמת אדם המפואר - 2 כר'")</f>
        <v>חיי אדם ונשמת אדם המפואר - 2 כר'</v>
      </c>
    </row>
    <row r="15547" spans="1:6" x14ac:dyDescent="0.2">
      <c r="A15547" t="s">
        <v>25912</v>
      </c>
      <c r="B15547" t="s">
        <v>9751</v>
      </c>
      <c r="C15547" t="s">
        <v>454</v>
      </c>
      <c r="D15547" t="s">
        <v>52</v>
      </c>
      <c r="E15547" t="s">
        <v>148</v>
      </c>
      <c r="F15547" s="2" t="str">
        <f>HYPERLINK("http://www.otzar.org/book.asp?142051","חיי אדם עם נשמת אדם &lt;חיי אריכי&gt; - 2 כר'")</f>
        <v>חיי אדם עם נשמת אדם &lt;חיי אריכי&gt; - 2 כר'</v>
      </c>
    </row>
    <row r="15548" spans="1:6" x14ac:dyDescent="0.2">
      <c r="A15548" t="s">
        <v>25913</v>
      </c>
      <c r="B15548" t="s">
        <v>4394</v>
      </c>
      <c r="C15548" t="s">
        <v>23</v>
      </c>
      <c r="D15548" t="s">
        <v>14</v>
      </c>
      <c r="E15548" t="s">
        <v>714</v>
      </c>
      <c r="F15548" s="2" t="str">
        <f>HYPERLINK("http://www.otzar.org/book.asp?198228","חיי אדם")</f>
        <v>חיי אדם</v>
      </c>
    </row>
    <row r="15549" spans="1:6" x14ac:dyDescent="0.2">
      <c r="A15549" t="s">
        <v>25914</v>
      </c>
      <c r="B15549" t="s">
        <v>2528</v>
      </c>
      <c r="C15549" t="s">
        <v>20</v>
      </c>
      <c r="D15549" t="s">
        <v>2347</v>
      </c>
      <c r="E15549" t="s">
        <v>172</v>
      </c>
      <c r="F15549" s="2" t="str">
        <f>HYPERLINK("http://www.otzar.org/book.asp?9910","חיי אדם - עברי טייטש")</f>
        <v>חיי אדם - עברי טייטש</v>
      </c>
    </row>
    <row r="15550" spans="1:6" x14ac:dyDescent="0.2">
      <c r="A15550" t="s">
        <v>25915</v>
      </c>
      <c r="B15550" t="s">
        <v>9751</v>
      </c>
      <c r="C15550" t="s">
        <v>915</v>
      </c>
      <c r="D15550" t="s">
        <v>2041</v>
      </c>
      <c r="F15550" s="2" t="str">
        <f>HYPERLINK("http://www.otzar.org/book.asp?176367","חיי אדם - 8 כר'")</f>
        <v>חיי אדם - 8 כר'</v>
      </c>
    </row>
    <row r="15551" spans="1:6" x14ac:dyDescent="0.2">
      <c r="A15551" t="s">
        <v>25913</v>
      </c>
      <c r="B15551" t="s">
        <v>25916</v>
      </c>
      <c r="C15551" t="s">
        <v>224</v>
      </c>
      <c r="D15551" t="s">
        <v>283</v>
      </c>
      <c r="E15551" t="s">
        <v>172</v>
      </c>
      <c r="F15551" s="2" t="str">
        <f>HYPERLINK("http://www.otzar.org/book.asp?107011","חיי אדם")</f>
        <v>חיי אדם</v>
      </c>
    </row>
    <row r="15552" spans="1:6" x14ac:dyDescent="0.2">
      <c r="A15552" t="s">
        <v>25917</v>
      </c>
      <c r="B15552" t="s">
        <v>25918</v>
      </c>
      <c r="C15552" t="s">
        <v>366</v>
      </c>
      <c r="D15552" t="s">
        <v>14</v>
      </c>
      <c r="E15552" t="s">
        <v>144</v>
      </c>
      <c r="F15552" s="2" t="str">
        <f>HYPERLINK("http://www.otzar.org/book.asp?613656","חיי אורה - 3 כר'")</f>
        <v>חיי אורה - 3 כר'</v>
      </c>
    </row>
    <row r="15553" spans="1:6" x14ac:dyDescent="0.2">
      <c r="A15553" t="s">
        <v>25919</v>
      </c>
      <c r="B15553" t="s">
        <v>25920</v>
      </c>
      <c r="C15553" t="s">
        <v>244</v>
      </c>
      <c r="D15553" t="s">
        <v>52</v>
      </c>
      <c r="E15553" t="s">
        <v>144</v>
      </c>
      <c r="F15553" s="2" t="str">
        <f>HYPERLINK("http://www.otzar.org/book.asp?197628","חיי איסר - 3 כר'")</f>
        <v>חיי איסר - 3 כר'</v>
      </c>
    </row>
    <row r="15554" spans="1:6" x14ac:dyDescent="0.2">
      <c r="A15554" t="s">
        <v>25921</v>
      </c>
      <c r="B15554" t="s">
        <v>25922</v>
      </c>
      <c r="C15554" t="s">
        <v>422</v>
      </c>
      <c r="D15554" t="s">
        <v>486</v>
      </c>
      <c r="F15554" s="2" t="str">
        <f>HYPERLINK("http://www.otzar.org/book.asp?197983","חיי אליהו - ב""ק, ב""מ")</f>
        <v>חיי אליהו - ב"ק, ב"מ</v>
      </c>
    </row>
    <row r="15555" spans="1:6" x14ac:dyDescent="0.2">
      <c r="A15555" t="s">
        <v>25923</v>
      </c>
      <c r="B15555" t="s">
        <v>25924</v>
      </c>
      <c r="C15555" t="s">
        <v>3106</v>
      </c>
      <c r="D15555" t="s">
        <v>9</v>
      </c>
      <c r="E15555" t="s">
        <v>474</v>
      </c>
      <c r="F15555" s="2" t="str">
        <f>HYPERLINK("http://www.otzar.org/book.asp?50887","חיי אליהו")</f>
        <v>חיי אליהו</v>
      </c>
    </row>
    <row r="15556" spans="1:6" x14ac:dyDescent="0.2">
      <c r="A15556" t="s">
        <v>25923</v>
      </c>
      <c r="B15556" t="s">
        <v>25925</v>
      </c>
      <c r="C15556" t="s">
        <v>129</v>
      </c>
      <c r="D15556" t="s">
        <v>14</v>
      </c>
      <c r="E15556" t="s">
        <v>144</v>
      </c>
      <c r="F15556" s="2" t="str">
        <f>HYPERLINK("http://www.otzar.org/book.asp?60330","חיי אליהו")</f>
        <v>חיי אליהו</v>
      </c>
    </row>
    <row r="15557" spans="1:6" x14ac:dyDescent="0.2">
      <c r="A15557" t="s">
        <v>25923</v>
      </c>
      <c r="B15557" t="s">
        <v>25926</v>
      </c>
      <c r="C15557" t="s">
        <v>133</v>
      </c>
      <c r="D15557" t="s">
        <v>21</v>
      </c>
      <c r="E15557" t="s">
        <v>230</v>
      </c>
      <c r="F15557" s="2" t="str">
        <f>HYPERLINK("http://www.otzar.org/book.asp?195013","חיי אליהו")</f>
        <v>חיי אליהו</v>
      </c>
    </row>
    <row r="15558" spans="1:6" x14ac:dyDescent="0.2">
      <c r="A15558" t="s">
        <v>25927</v>
      </c>
      <c r="B15558" t="s">
        <v>25920</v>
      </c>
      <c r="C15558" t="s">
        <v>411</v>
      </c>
      <c r="D15558" t="s">
        <v>52</v>
      </c>
      <c r="E15558" t="s">
        <v>144</v>
      </c>
      <c r="F15558" s="2" t="str">
        <f>HYPERLINK("http://www.otzar.org/book.asp?195518","חיי אפרים - 3 כר'")</f>
        <v>חיי אפרים - 3 כר'</v>
      </c>
    </row>
    <row r="15559" spans="1:6" x14ac:dyDescent="0.2">
      <c r="A15559" t="s">
        <v>25928</v>
      </c>
      <c r="B15559" t="s">
        <v>25929</v>
      </c>
      <c r="C15559" t="s">
        <v>2543</v>
      </c>
      <c r="D15559" t="s">
        <v>56</v>
      </c>
      <c r="E15559" t="s">
        <v>493</v>
      </c>
      <c r="F15559" s="2" t="str">
        <f>HYPERLINK("http://www.otzar.org/book.asp?50461","חיי אריה")</f>
        <v>חיי אריה</v>
      </c>
    </row>
    <row r="15560" spans="1:6" x14ac:dyDescent="0.2">
      <c r="A15560" t="s">
        <v>25930</v>
      </c>
      <c r="B15560" t="s">
        <v>23814</v>
      </c>
      <c r="C15560" t="s">
        <v>351</v>
      </c>
      <c r="D15560" t="s">
        <v>1117</v>
      </c>
      <c r="E15560" t="s">
        <v>930</v>
      </c>
      <c r="F15560" s="2" t="str">
        <f>HYPERLINK("http://www.otzar.org/book.asp?101404","חיי אריה - 2 כר'")</f>
        <v>חיי אריה - 2 כר'</v>
      </c>
    </row>
    <row r="15561" spans="1:6" x14ac:dyDescent="0.2">
      <c r="A15561" t="s">
        <v>25931</v>
      </c>
      <c r="B15561" t="s">
        <v>5611</v>
      </c>
      <c r="C15561" t="s">
        <v>785</v>
      </c>
      <c r="D15561" t="s">
        <v>118</v>
      </c>
      <c r="E15561" t="s">
        <v>920</v>
      </c>
      <c r="F15561" s="2" t="str">
        <f>HYPERLINK("http://www.otzar.org/book.asp?9202","חיי אריכי")</f>
        <v>חיי אריכי</v>
      </c>
    </row>
    <row r="15562" spans="1:6" x14ac:dyDescent="0.2">
      <c r="A15562" t="s">
        <v>25932</v>
      </c>
      <c r="B15562" t="s">
        <v>25933</v>
      </c>
      <c r="C15562" t="s">
        <v>143</v>
      </c>
      <c r="D15562" t="s">
        <v>52</v>
      </c>
      <c r="E15562" t="s">
        <v>154</v>
      </c>
      <c r="F15562" s="2" t="str">
        <f>HYPERLINK("http://www.otzar.org/book.asp?11121","חיי אשר")</f>
        <v>חיי אשר</v>
      </c>
    </row>
    <row r="15563" spans="1:6" x14ac:dyDescent="0.2">
      <c r="A15563" t="s">
        <v>25934</v>
      </c>
      <c r="B15563" t="s">
        <v>25920</v>
      </c>
      <c r="C15563" t="s">
        <v>23</v>
      </c>
      <c r="D15563" t="s">
        <v>52</v>
      </c>
      <c r="E15563" t="s">
        <v>144</v>
      </c>
      <c r="F15563" s="2" t="str">
        <f>HYPERLINK("http://www.otzar.org/book.asp?195510","חיי בנימין - 7 כר'")</f>
        <v>חיי בנימין - 7 כר'</v>
      </c>
    </row>
    <row r="15564" spans="1:6" x14ac:dyDescent="0.2">
      <c r="A15564" t="s">
        <v>25935</v>
      </c>
      <c r="B15564" t="s">
        <v>25936</v>
      </c>
      <c r="C15564" t="s">
        <v>129</v>
      </c>
      <c r="D15564" t="s">
        <v>118</v>
      </c>
      <c r="F15564" s="2" t="str">
        <f>HYPERLINK("http://www.otzar.org/book.asp?157108","חיי בנימין - 2 כר'")</f>
        <v>חיי בנימין - 2 כר'</v>
      </c>
    </row>
    <row r="15565" spans="1:6" x14ac:dyDescent="0.2">
      <c r="A15565" t="s">
        <v>25937</v>
      </c>
      <c r="B15565" t="s">
        <v>9296</v>
      </c>
      <c r="C15565" t="s">
        <v>422</v>
      </c>
      <c r="D15565" t="s">
        <v>1205</v>
      </c>
      <c r="E15565" t="s">
        <v>158</v>
      </c>
      <c r="F15565" s="2" t="str">
        <f>HYPERLINK("http://www.otzar.org/book.asp?160320","חיי דוד על התורה")</f>
        <v>חיי דוד על התורה</v>
      </c>
    </row>
    <row r="15566" spans="1:6" x14ac:dyDescent="0.2">
      <c r="A15566" t="s">
        <v>25938</v>
      </c>
      <c r="B15566" t="s">
        <v>25920</v>
      </c>
      <c r="C15566" t="s">
        <v>411</v>
      </c>
      <c r="D15566" t="s">
        <v>52</v>
      </c>
      <c r="E15566" t="s">
        <v>144</v>
      </c>
      <c r="F15566" s="2" t="str">
        <f>HYPERLINK("http://www.otzar.org/book.asp?195516","חיי דוד - 2 כר'")</f>
        <v>חיי דוד - 2 כר'</v>
      </c>
    </row>
    <row r="15567" spans="1:6" x14ac:dyDescent="0.2">
      <c r="A15567" t="s">
        <v>25939</v>
      </c>
      <c r="B15567" t="s">
        <v>9296</v>
      </c>
      <c r="C15567" t="s">
        <v>313</v>
      </c>
      <c r="D15567" t="s">
        <v>1205</v>
      </c>
      <c r="E15567" t="s">
        <v>144</v>
      </c>
      <c r="F15567" s="2" t="str">
        <f>HYPERLINK("http://www.otzar.org/book.asp?52284","חיי דוד - 14 כר'")</f>
        <v>חיי דוד - 14 כר'</v>
      </c>
    </row>
    <row r="15568" spans="1:6" x14ac:dyDescent="0.2">
      <c r="A15568" t="s">
        <v>25940</v>
      </c>
      <c r="B15568" t="s">
        <v>7715</v>
      </c>
      <c r="C15568" t="s">
        <v>466</v>
      </c>
      <c r="D15568" t="s">
        <v>14</v>
      </c>
      <c r="E15568" t="s">
        <v>246</v>
      </c>
      <c r="F15568" s="2" t="str">
        <f>HYPERLINK("http://www.otzar.org/book.asp?22533","חיי הבחירה - 5 כר'")</f>
        <v>חיי הבחירה - 5 כר'</v>
      </c>
    </row>
    <row r="15569" spans="1:6" x14ac:dyDescent="0.2">
      <c r="A15569" t="s">
        <v>25941</v>
      </c>
      <c r="B15569" t="s">
        <v>25942</v>
      </c>
      <c r="C15569" t="s">
        <v>812</v>
      </c>
      <c r="D15569" t="s">
        <v>16601</v>
      </c>
      <c r="F15569" s="2" t="str">
        <f>HYPERLINK("http://www.otzar.org/book.asp?198387","חיי הגאון רבנו רבי עקיבא איגר")</f>
        <v>חיי הגאון רבנו רבי עקיבא איגר</v>
      </c>
    </row>
    <row r="15570" spans="1:6" x14ac:dyDescent="0.2">
      <c r="A15570" t="s">
        <v>25943</v>
      </c>
      <c r="B15570" t="s">
        <v>12798</v>
      </c>
      <c r="C15570" t="s">
        <v>224</v>
      </c>
      <c r="D15570" t="s">
        <v>27</v>
      </c>
      <c r="E15570" t="s">
        <v>213</v>
      </c>
      <c r="F15570" s="2" t="str">
        <f>HYPERLINK("http://www.otzar.org/book.asp?11966","חיי הגוף והנפש")</f>
        <v>חיי הגוף והנפש</v>
      </c>
    </row>
    <row r="15571" spans="1:6" x14ac:dyDescent="0.2">
      <c r="A15571" t="s">
        <v>25944</v>
      </c>
      <c r="B15571" t="s">
        <v>25945</v>
      </c>
      <c r="C15571" t="s">
        <v>1470</v>
      </c>
      <c r="D15571" t="s">
        <v>9</v>
      </c>
      <c r="E15571" t="s">
        <v>172</v>
      </c>
      <c r="F15571" s="2" t="str">
        <f>HYPERLINK("http://www.otzar.org/book.asp?155612","חיי היהודי על פי השלחן ערוך")</f>
        <v>חיי היהודי על פי השלחן ערוך</v>
      </c>
    </row>
    <row r="15572" spans="1:6" x14ac:dyDescent="0.2">
      <c r="A15572" t="s">
        <v>25946</v>
      </c>
      <c r="B15572" t="s">
        <v>25947</v>
      </c>
      <c r="C15572" t="s">
        <v>37</v>
      </c>
      <c r="D15572" t="s">
        <v>21</v>
      </c>
      <c r="F15572" s="2" t="str">
        <f>HYPERLINK("http://www.otzar.org/book.asp?603177","חיי היהודי על פי התלמוד  עם אור החיים - חיים ושלום")</f>
        <v>חיי היהודי על פי התלמוד  עם אור החיים - חיים ושלום</v>
      </c>
    </row>
    <row r="15573" spans="1:6" x14ac:dyDescent="0.2">
      <c r="A15573" t="s">
        <v>25948</v>
      </c>
      <c r="B15573" t="s">
        <v>25949</v>
      </c>
      <c r="C15573" t="s">
        <v>5823</v>
      </c>
      <c r="D15573" t="s">
        <v>283</v>
      </c>
      <c r="E15573" t="s">
        <v>2199</v>
      </c>
      <c r="F15573" s="2" t="str">
        <f>HYPERLINK("http://www.otzar.org/book.asp?23645","חיי היהודי על פי התלמוד")</f>
        <v>חיי היהודי על פי התלמוד</v>
      </c>
    </row>
    <row r="15574" spans="1:6" x14ac:dyDescent="0.2">
      <c r="A15574" t="s">
        <v>25950</v>
      </c>
      <c r="B15574" t="s">
        <v>25951</v>
      </c>
      <c r="C15574" t="s">
        <v>1246</v>
      </c>
      <c r="D15574" t="s">
        <v>9</v>
      </c>
      <c r="E15574" t="s">
        <v>119</v>
      </c>
      <c r="F15574" s="2" t="str">
        <f>HYPERLINK("http://www.otzar.org/book.asp?15543","חיי היהודים באיטליה בתקופת הריניסאנס")</f>
        <v>חיי היהודים באיטליה בתקופת הריניסאנס</v>
      </c>
    </row>
    <row r="15575" spans="1:6" x14ac:dyDescent="0.2">
      <c r="A15575" t="s">
        <v>25952</v>
      </c>
      <c r="B15575" t="s">
        <v>25953</v>
      </c>
      <c r="C15575" t="s">
        <v>25954</v>
      </c>
      <c r="D15575" t="s">
        <v>1365</v>
      </c>
      <c r="F15575" s="2" t="str">
        <f>HYPERLINK("http://www.otzar.org/book.asp?621148","חיי היהודים בזמן התלמוד -נהרדעא")</f>
        <v>חיי היהודים בזמן התלמוד -נהרדעא</v>
      </c>
    </row>
    <row r="15576" spans="1:6" x14ac:dyDescent="0.2">
      <c r="A15576" t="s">
        <v>25955</v>
      </c>
      <c r="B15576" t="s">
        <v>25956</v>
      </c>
      <c r="C15576" t="s">
        <v>1335</v>
      </c>
      <c r="D15576" t="s">
        <v>283</v>
      </c>
      <c r="E15576" t="s">
        <v>508</v>
      </c>
      <c r="F15576" s="2" t="str">
        <f>HYPERLINK("http://www.otzar.org/book.asp?101403","חיי הכהן")</f>
        <v>חיי הכהן</v>
      </c>
    </row>
    <row r="15577" spans="1:6" x14ac:dyDescent="0.2">
      <c r="A15577" t="s">
        <v>25957</v>
      </c>
      <c r="B15577" t="s">
        <v>25958</v>
      </c>
      <c r="C15577" t="s">
        <v>313</v>
      </c>
      <c r="D15577" t="s">
        <v>14</v>
      </c>
      <c r="E15577" t="s">
        <v>10</v>
      </c>
      <c r="F15577" s="2" t="str">
        <f>HYPERLINK("http://www.otzar.org/book.asp?53026","חיי הלוי - 10 כר'")</f>
        <v>חיי הלוי - 10 כר'</v>
      </c>
    </row>
    <row r="15578" spans="1:6" x14ac:dyDescent="0.2">
      <c r="A15578" t="s">
        <v>25959</v>
      </c>
      <c r="B15578" t="s">
        <v>25960</v>
      </c>
      <c r="C15578" t="s">
        <v>20</v>
      </c>
      <c r="D15578" t="s">
        <v>90</v>
      </c>
      <c r="E15578" t="s">
        <v>474</v>
      </c>
      <c r="F15578" s="2" t="str">
        <f>HYPERLINK("http://www.otzar.org/book.asp?84751","חיי המאיר")</f>
        <v>חיי המאיר</v>
      </c>
    </row>
    <row r="15579" spans="1:6" x14ac:dyDescent="0.2">
      <c r="A15579" t="s">
        <v>25961</v>
      </c>
      <c r="B15579" t="s">
        <v>25962</v>
      </c>
      <c r="C15579" t="s">
        <v>286</v>
      </c>
      <c r="D15579" t="s">
        <v>25963</v>
      </c>
      <c r="E15579" t="s">
        <v>6305</v>
      </c>
      <c r="F15579" s="2" t="str">
        <f>HYPERLINK("http://www.otzar.org/book.asp?103025","חיי המוסר - 3 כר'")</f>
        <v>חיי המוסר - 3 כר'</v>
      </c>
    </row>
    <row r="15580" spans="1:6" x14ac:dyDescent="0.2">
      <c r="A15580" t="s">
        <v>25964</v>
      </c>
      <c r="B15580" t="s">
        <v>25965</v>
      </c>
      <c r="C15580" t="s">
        <v>143</v>
      </c>
      <c r="D15580" t="s">
        <v>412</v>
      </c>
      <c r="E15580" t="s">
        <v>144</v>
      </c>
      <c r="F15580" s="2" t="str">
        <f>HYPERLINK("http://www.otzar.org/book.asp?172111","חיי המלך")</f>
        <v>חיי המלך</v>
      </c>
    </row>
    <row r="15581" spans="1:6" x14ac:dyDescent="0.2">
      <c r="A15581" t="s">
        <v>25966</v>
      </c>
      <c r="B15581" t="s">
        <v>18683</v>
      </c>
      <c r="C15581" t="s">
        <v>506</v>
      </c>
      <c r="D15581" t="s">
        <v>27</v>
      </c>
      <c r="E15581" t="s">
        <v>25967</v>
      </c>
      <c r="F15581" s="2" t="str">
        <f>HYPERLINK("http://www.otzar.org/book.asp?5306","חיי המשנה")</f>
        <v>חיי המשנה</v>
      </c>
    </row>
    <row r="15582" spans="1:6" x14ac:dyDescent="0.2">
      <c r="A15582" t="s">
        <v>25968</v>
      </c>
      <c r="B15582" t="s">
        <v>19194</v>
      </c>
      <c r="C15582" t="s">
        <v>6062</v>
      </c>
      <c r="D15582" t="s">
        <v>6776</v>
      </c>
      <c r="E15582" t="s">
        <v>241</v>
      </c>
      <c r="F15582" s="2" t="str">
        <f>HYPERLINK("http://www.otzar.org/book.asp?13422","חיי הנפש ונצחיותה")</f>
        <v>חיי הנפש ונצחיותה</v>
      </c>
    </row>
    <row r="15583" spans="1:6" x14ac:dyDescent="0.2">
      <c r="A15583" t="s">
        <v>25969</v>
      </c>
      <c r="B15583" t="s">
        <v>3306</v>
      </c>
      <c r="C15583" t="s">
        <v>17</v>
      </c>
      <c r="D15583" t="s">
        <v>14</v>
      </c>
      <c r="E15583" t="s">
        <v>399</v>
      </c>
      <c r="F15583" s="2" t="str">
        <f>HYPERLINK("http://www.otzar.org/book.asp?149005","חיי הנפש - מצרף לכסף וכור לזהב")</f>
        <v>חיי הנפש - מצרף לכסף וכור לזהב</v>
      </c>
    </row>
    <row r="15584" spans="1:6" x14ac:dyDescent="0.2">
      <c r="A15584" t="s">
        <v>25970</v>
      </c>
      <c r="B15584" t="s">
        <v>25971</v>
      </c>
      <c r="C15584" t="s">
        <v>146</v>
      </c>
      <c r="D15584" t="s">
        <v>486</v>
      </c>
      <c r="E15584" t="s">
        <v>25972</v>
      </c>
      <c r="F15584" s="2" t="str">
        <f>HYPERLINK("http://www.otzar.org/book.asp?53666","חיי הנפש")</f>
        <v>חיי הנפש</v>
      </c>
    </row>
    <row r="15585" spans="1:6" x14ac:dyDescent="0.2">
      <c r="A15585" t="s">
        <v>25973</v>
      </c>
      <c r="B15585" t="s">
        <v>3306</v>
      </c>
      <c r="C15585" t="s">
        <v>68</v>
      </c>
      <c r="D15585" t="s">
        <v>14</v>
      </c>
      <c r="E15585" t="s">
        <v>213</v>
      </c>
      <c r="F15585" s="2" t="str">
        <f>HYPERLINK("http://www.otzar.org/book.asp?183405","חיי העולם הבא - וזאת ליהודה")</f>
        <v>חיי העולם הבא - וזאת ליהודה</v>
      </c>
    </row>
    <row r="15586" spans="1:6" x14ac:dyDescent="0.2">
      <c r="A15586" t="s">
        <v>25974</v>
      </c>
      <c r="B15586" t="s">
        <v>11390</v>
      </c>
      <c r="C15586" t="s">
        <v>151</v>
      </c>
      <c r="D15586" t="s">
        <v>7277</v>
      </c>
      <c r="E15586" t="s">
        <v>213</v>
      </c>
      <c r="F15586" s="2" t="str">
        <f>HYPERLINK("http://www.otzar.org/book.asp?626623","חיי הקיבוץ")</f>
        <v>חיי הקיבוץ</v>
      </c>
    </row>
    <row r="15587" spans="1:6" x14ac:dyDescent="0.2">
      <c r="A15587" t="s">
        <v>25975</v>
      </c>
      <c r="B15587" t="s">
        <v>3035</v>
      </c>
      <c r="C15587" t="s">
        <v>427</v>
      </c>
      <c r="D15587" t="s">
        <v>27</v>
      </c>
      <c r="E15587" t="s">
        <v>733</v>
      </c>
      <c r="F15587" s="2" t="str">
        <f>HYPERLINK("http://www.otzar.org/book.asp?176712","חיי הרש""ש")</f>
        <v>חיי הרש"ש</v>
      </c>
    </row>
    <row r="15588" spans="1:6" x14ac:dyDescent="0.2">
      <c r="A15588" t="s">
        <v>25976</v>
      </c>
      <c r="B15588" t="s">
        <v>25977</v>
      </c>
      <c r="C15588" t="s">
        <v>581</v>
      </c>
      <c r="D15588" t="s">
        <v>283</v>
      </c>
      <c r="E15588" t="s">
        <v>733</v>
      </c>
      <c r="F15588" s="2" t="str">
        <f>HYPERLINK("http://www.otzar.org/book.asp?15143","חיי התרבות בישראל")</f>
        <v>חיי התרבות בישראל</v>
      </c>
    </row>
    <row r="15589" spans="1:6" x14ac:dyDescent="0.2">
      <c r="A15589" t="s">
        <v>25978</v>
      </c>
      <c r="B15589" t="s">
        <v>155</v>
      </c>
      <c r="C15589" t="s">
        <v>950</v>
      </c>
      <c r="D15589" t="s">
        <v>157</v>
      </c>
      <c r="E15589" t="s">
        <v>4738</v>
      </c>
      <c r="F15589" s="2" t="str">
        <f>HYPERLINK("http://www.otzar.org/book.asp?22450","חיי וחמרא")</f>
        <v>חיי וחמרא</v>
      </c>
    </row>
    <row r="15590" spans="1:6" x14ac:dyDescent="0.2">
      <c r="A15590" t="s">
        <v>25979</v>
      </c>
      <c r="B15590" t="s">
        <v>25980</v>
      </c>
      <c r="C15590" t="s">
        <v>151</v>
      </c>
      <c r="D15590" t="s">
        <v>52</v>
      </c>
      <c r="E15590" t="s">
        <v>148</v>
      </c>
      <c r="F15590" s="2" t="str">
        <f>HYPERLINK("http://www.otzar.org/book.asp?626219","חיי ורפואת ישראל בשבת")</f>
        <v>חיי ורפואת ישראל בשבת</v>
      </c>
    </row>
    <row r="15591" spans="1:6" x14ac:dyDescent="0.2">
      <c r="A15591" t="s">
        <v>25981</v>
      </c>
      <c r="B15591" t="s">
        <v>9976</v>
      </c>
      <c r="C15591" t="s">
        <v>51</v>
      </c>
      <c r="D15591" t="s">
        <v>2798</v>
      </c>
      <c r="E15591" t="s">
        <v>119</v>
      </c>
      <c r="F15591" s="2" t="str">
        <f>HYPERLINK("http://www.otzar.org/book.asp?153721","חיי חיים - תולדות רבי חיים חורי")</f>
        <v>חיי חיים - תולדות רבי חיים חורי</v>
      </c>
    </row>
    <row r="15592" spans="1:6" x14ac:dyDescent="0.2">
      <c r="A15592" t="s">
        <v>25982</v>
      </c>
      <c r="B15592" t="s">
        <v>1504</v>
      </c>
      <c r="C15592" t="s">
        <v>366</v>
      </c>
      <c r="D15592" t="s">
        <v>14</v>
      </c>
      <c r="E15592" t="s">
        <v>230</v>
      </c>
      <c r="F15592" s="2" t="str">
        <f>HYPERLINK("http://www.otzar.org/book.asp?608512","חיי חנוך &lt;מהדורה חדשה&gt;")</f>
        <v>חיי חנוך &lt;מהדורה חדשה&gt;</v>
      </c>
    </row>
    <row r="15593" spans="1:6" x14ac:dyDescent="0.2">
      <c r="A15593" t="s">
        <v>25983</v>
      </c>
      <c r="B15593" t="s">
        <v>1504</v>
      </c>
      <c r="C15593" t="s">
        <v>1619</v>
      </c>
      <c r="D15593" t="s">
        <v>14</v>
      </c>
      <c r="E15593" t="s">
        <v>158</v>
      </c>
      <c r="F15593" s="2" t="str">
        <f>HYPERLINK("http://www.otzar.org/book.asp?84812","חיי חנוך")</f>
        <v>חיי חנוך</v>
      </c>
    </row>
    <row r="15594" spans="1:6" x14ac:dyDescent="0.2">
      <c r="A15594" t="s">
        <v>25984</v>
      </c>
      <c r="B15594" t="s">
        <v>18900</v>
      </c>
      <c r="C15594" t="s">
        <v>725</v>
      </c>
      <c r="D15594" t="s">
        <v>216</v>
      </c>
      <c r="E15594" t="s">
        <v>119</v>
      </c>
      <c r="F15594" s="2" t="str">
        <f>HYPERLINK("http://www.otzar.org/book.asp?148922","חיי יוסף")</f>
        <v>חיי יוסף</v>
      </c>
    </row>
    <row r="15595" spans="1:6" x14ac:dyDescent="0.2">
      <c r="A15595" t="s">
        <v>25984</v>
      </c>
      <c r="B15595" t="s">
        <v>552</v>
      </c>
      <c r="C15595" t="s">
        <v>189</v>
      </c>
      <c r="D15595" t="s">
        <v>90</v>
      </c>
      <c r="E15595" t="s">
        <v>202</v>
      </c>
      <c r="F15595" s="2" t="str">
        <f>HYPERLINK("http://www.otzar.org/book.asp?144483","חיי יוסף")</f>
        <v>חיי יוסף</v>
      </c>
    </row>
    <row r="15596" spans="1:6" x14ac:dyDescent="0.2">
      <c r="A15596" t="s">
        <v>25984</v>
      </c>
      <c r="B15596" t="s">
        <v>25985</v>
      </c>
      <c r="C15596" t="s">
        <v>553</v>
      </c>
      <c r="D15596" t="s">
        <v>90</v>
      </c>
      <c r="E15596" t="s">
        <v>104</v>
      </c>
      <c r="F15596" s="2" t="str">
        <f>HYPERLINK("http://www.otzar.org/book.asp?85133","חיי יוסף")</f>
        <v>חיי יוסף</v>
      </c>
    </row>
    <row r="15597" spans="1:6" x14ac:dyDescent="0.2">
      <c r="A15597" t="s">
        <v>25986</v>
      </c>
      <c r="B15597" t="s">
        <v>25987</v>
      </c>
      <c r="C15597" t="s">
        <v>20</v>
      </c>
      <c r="D15597" t="s">
        <v>14</v>
      </c>
      <c r="E15597" t="s">
        <v>84</v>
      </c>
      <c r="F15597" s="2" t="str">
        <f>HYPERLINK("http://www.otzar.org/book.asp?158469","חיי יוסף - 7 כר'")</f>
        <v>חיי יוסף - 7 כר'</v>
      </c>
    </row>
    <row r="15598" spans="1:6" x14ac:dyDescent="0.2">
      <c r="A15598" t="s">
        <v>25988</v>
      </c>
      <c r="B15598" t="s">
        <v>25920</v>
      </c>
      <c r="C15598" t="s">
        <v>422</v>
      </c>
      <c r="D15598" t="s">
        <v>52</v>
      </c>
      <c r="E15598" t="s">
        <v>144</v>
      </c>
      <c r="F15598" s="2" t="str">
        <f>HYPERLINK("http://www.otzar.org/book.asp?163169","חיי יחיאל - 3 כר'")</f>
        <v>חיי יחיאל - 3 כר'</v>
      </c>
    </row>
    <row r="15599" spans="1:6" x14ac:dyDescent="0.2">
      <c r="A15599" t="s">
        <v>25989</v>
      </c>
      <c r="B15599" t="s">
        <v>11585</v>
      </c>
      <c r="C15599" t="s">
        <v>366</v>
      </c>
      <c r="D15599" t="s">
        <v>90</v>
      </c>
      <c r="E15599" t="s">
        <v>604</v>
      </c>
      <c r="F15599" s="2" t="str">
        <f>HYPERLINK("http://www.otzar.org/book.asp?628592","חיי יעקב")</f>
        <v>חיי יעקב</v>
      </c>
    </row>
    <row r="15600" spans="1:6" x14ac:dyDescent="0.2">
      <c r="A15600" t="s">
        <v>25989</v>
      </c>
      <c r="B15600" t="s">
        <v>25990</v>
      </c>
      <c r="C15600" t="s">
        <v>1166</v>
      </c>
      <c r="D15600" t="s">
        <v>56</v>
      </c>
      <c r="E15600" t="s">
        <v>154</v>
      </c>
      <c r="F15600" s="2" t="str">
        <f>HYPERLINK("http://www.otzar.org/book.asp?18799","חיי יעקב")</f>
        <v>חיי יעקב</v>
      </c>
    </row>
    <row r="15601" spans="1:6" x14ac:dyDescent="0.2">
      <c r="A15601" t="s">
        <v>25991</v>
      </c>
      <c r="B15601" t="s">
        <v>25987</v>
      </c>
      <c r="C15601" t="s">
        <v>20</v>
      </c>
      <c r="D15601" t="s">
        <v>14</v>
      </c>
      <c r="E15601" t="s">
        <v>15</v>
      </c>
      <c r="F15601" s="2" t="str">
        <f>HYPERLINK("http://www.otzar.org/book.asp?158468","חיי יעקב - מזוזה")</f>
        <v>חיי יעקב - מזוזה</v>
      </c>
    </row>
    <row r="15602" spans="1:6" x14ac:dyDescent="0.2">
      <c r="A15602" t="s">
        <v>25992</v>
      </c>
      <c r="B15602" t="s">
        <v>25993</v>
      </c>
      <c r="C15602" t="s">
        <v>25994</v>
      </c>
      <c r="D15602" t="s">
        <v>283</v>
      </c>
      <c r="E15602" t="s">
        <v>158</v>
      </c>
      <c r="F15602" s="2" t="str">
        <f>HYPERLINK("http://www.otzar.org/book.asp?141160","חיי יצחק")</f>
        <v>חיי יצחק</v>
      </c>
    </row>
    <row r="15603" spans="1:6" x14ac:dyDescent="0.2">
      <c r="A15603" t="s">
        <v>25995</v>
      </c>
      <c r="B15603" t="s">
        <v>25996</v>
      </c>
      <c r="C15603" t="s">
        <v>360</v>
      </c>
      <c r="D15603" t="s">
        <v>12052</v>
      </c>
      <c r="E15603" t="s">
        <v>15</v>
      </c>
      <c r="F15603" s="2" t="str">
        <f>HYPERLINK("http://www.otzar.org/book.asp?188700","חיי ישראל")</f>
        <v>חיי ישראל</v>
      </c>
    </row>
    <row r="15604" spans="1:6" x14ac:dyDescent="0.2">
      <c r="A15604" t="s">
        <v>25997</v>
      </c>
      <c r="B15604" t="s">
        <v>25998</v>
      </c>
      <c r="C15604" t="s">
        <v>133</v>
      </c>
      <c r="D15604" t="s">
        <v>14</v>
      </c>
      <c r="E15604" t="s">
        <v>158</v>
      </c>
      <c r="F15604" s="2" t="str">
        <f>HYPERLINK("http://www.otzar.org/book.asp?180775","חיי לבב - 2 כר'")</f>
        <v>חיי לבב - 2 כר'</v>
      </c>
    </row>
    <row r="15605" spans="1:6" x14ac:dyDescent="0.2">
      <c r="A15605" t="s">
        <v>25999</v>
      </c>
      <c r="B15605" t="s">
        <v>26000</v>
      </c>
      <c r="C15605" t="s">
        <v>176</v>
      </c>
      <c r="D15605" t="s">
        <v>14</v>
      </c>
      <c r="E15605" t="s">
        <v>140</v>
      </c>
      <c r="F15605" s="2" t="str">
        <f>HYPERLINK("http://www.otzar.org/book.asp?60799","חיי מוהר""ן &lt;המנוקד&gt;")</f>
        <v>חיי מוהר"ן &lt;המנוקד&gt;</v>
      </c>
    </row>
    <row r="15606" spans="1:6" x14ac:dyDescent="0.2">
      <c r="A15606" t="s">
        <v>26001</v>
      </c>
      <c r="B15606" t="s">
        <v>26000</v>
      </c>
      <c r="C15606" t="s">
        <v>13</v>
      </c>
      <c r="D15606" t="s">
        <v>14</v>
      </c>
      <c r="E15606" t="s">
        <v>140</v>
      </c>
      <c r="F15606" s="2" t="str">
        <f>HYPERLINK("http://www.otzar.org/book.asp?142499","חיי מוהר""ן &lt;טקסט&gt;")</f>
        <v>חיי מוהר"ן &lt;טקסט&gt;</v>
      </c>
    </row>
    <row r="15607" spans="1:6" x14ac:dyDescent="0.2">
      <c r="A15607" t="s">
        <v>26002</v>
      </c>
      <c r="B15607" t="s">
        <v>26000</v>
      </c>
      <c r="C15607" t="s">
        <v>13</v>
      </c>
      <c r="D15607" t="s">
        <v>14</v>
      </c>
      <c r="E15607" t="s">
        <v>140</v>
      </c>
      <c r="F15607" s="2" t="str">
        <f>HYPERLINK("http://www.otzar.org/book.asp?178947","חיי מוהר""ן &lt;מהדורת משך הנחל&gt;")</f>
        <v>חיי מוהר"ן &lt;מהדורת משך הנחל&gt;</v>
      </c>
    </row>
    <row r="15608" spans="1:6" x14ac:dyDescent="0.2">
      <c r="A15608" t="s">
        <v>26003</v>
      </c>
      <c r="B15608" t="s">
        <v>17727</v>
      </c>
      <c r="C15608" t="s">
        <v>1650</v>
      </c>
      <c r="D15608" t="s">
        <v>726</v>
      </c>
      <c r="E15608" t="s">
        <v>226</v>
      </c>
      <c r="F15608" s="2" t="str">
        <f>HYPERLINK("http://www.otzar.org/book.asp?100412","חיי מוהר""ן")</f>
        <v>חיי מוהר"ן</v>
      </c>
    </row>
    <row r="15609" spans="1:6" x14ac:dyDescent="0.2">
      <c r="A15609" t="s">
        <v>26004</v>
      </c>
      <c r="B15609" t="s">
        <v>26000</v>
      </c>
      <c r="C15609" t="s">
        <v>160</v>
      </c>
      <c r="D15609" t="s">
        <v>3208</v>
      </c>
      <c r="F15609" s="2" t="str">
        <f>HYPERLINK("http://www.otzar.org/book.asp?620575","חיי מוהר""ן - 2 כר'")</f>
        <v>חיי מוהר"ן - 2 כר'</v>
      </c>
    </row>
    <row r="15610" spans="1:6" x14ac:dyDescent="0.2">
      <c r="A15610" t="s">
        <v>26005</v>
      </c>
      <c r="B15610" t="s">
        <v>26006</v>
      </c>
      <c r="C15610" t="s">
        <v>68</v>
      </c>
      <c r="D15610" t="s">
        <v>1180</v>
      </c>
      <c r="E15610" t="s">
        <v>158</v>
      </c>
      <c r="F15610" s="2" t="str">
        <f>HYPERLINK("http://www.otzar.org/book.asp?170526","חיי משה - 3 כר'")</f>
        <v>חיי משה - 3 כר'</v>
      </c>
    </row>
    <row r="15611" spans="1:6" x14ac:dyDescent="0.2">
      <c r="A15611" t="s">
        <v>26007</v>
      </c>
      <c r="B15611" t="s">
        <v>12183</v>
      </c>
      <c r="C15611" t="s">
        <v>1202</v>
      </c>
      <c r="D15611" t="s">
        <v>27</v>
      </c>
      <c r="F15611" s="2" t="str">
        <f>HYPERLINK("http://www.otzar.org/book.asp?84991","חיי משה")</f>
        <v>חיי משה</v>
      </c>
    </row>
    <row r="15612" spans="1:6" x14ac:dyDescent="0.2">
      <c r="A15612" t="s">
        <v>26007</v>
      </c>
      <c r="B15612" t="s">
        <v>26008</v>
      </c>
      <c r="C15612" t="s">
        <v>68</v>
      </c>
      <c r="D15612" t="s">
        <v>52</v>
      </c>
      <c r="E15612" t="s">
        <v>158</v>
      </c>
      <c r="F15612" s="2" t="str">
        <f>HYPERLINK("http://www.otzar.org/book.asp?156681","חיי משה")</f>
        <v>חיי משה</v>
      </c>
    </row>
    <row r="15613" spans="1:6" x14ac:dyDescent="0.2">
      <c r="A15613" t="s">
        <v>26007</v>
      </c>
      <c r="B15613" t="s">
        <v>26009</v>
      </c>
      <c r="C15613" t="s">
        <v>1619</v>
      </c>
      <c r="D15613" t="s">
        <v>14</v>
      </c>
      <c r="E15613" t="s">
        <v>144</v>
      </c>
      <c r="F15613" s="2" t="str">
        <f>HYPERLINK("http://www.otzar.org/book.asp?25507","חיי משה")</f>
        <v>חיי משה</v>
      </c>
    </row>
    <row r="15614" spans="1:6" x14ac:dyDescent="0.2">
      <c r="A15614" t="s">
        <v>26007</v>
      </c>
      <c r="B15614" t="s">
        <v>2331</v>
      </c>
      <c r="C15614" t="s">
        <v>553</v>
      </c>
      <c r="D15614" t="s">
        <v>14</v>
      </c>
      <c r="E15614" t="s">
        <v>435</v>
      </c>
      <c r="F15614" s="2" t="str">
        <f>HYPERLINK("http://www.otzar.org/book.asp?148964","חיי משה")</f>
        <v>חיי משה</v>
      </c>
    </row>
    <row r="15615" spans="1:6" x14ac:dyDescent="0.2">
      <c r="A15615" t="s">
        <v>26010</v>
      </c>
      <c r="B15615" t="s">
        <v>26011</v>
      </c>
      <c r="C15615" t="s">
        <v>146</v>
      </c>
      <c r="D15615" t="s">
        <v>52</v>
      </c>
      <c r="E15615" t="s">
        <v>148</v>
      </c>
      <c r="F15615" s="2" t="str">
        <f>HYPERLINK("http://www.otzar.org/book.asp?52754","חיי משה - 7 כר'")</f>
        <v>חיי משה - 7 כר'</v>
      </c>
    </row>
    <row r="15616" spans="1:6" x14ac:dyDescent="0.2">
      <c r="A15616" t="s">
        <v>26012</v>
      </c>
      <c r="B15616" t="s">
        <v>26013</v>
      </c>
      <c r="C15616" t="s">
        <v>585</v>
      </c>
      <c r="D15616" t="s">
        <v>14</v>
      </c>
      <c r="E15616" t="s">
        <v>158</v>
      </c>
      <c r="F15616" s="2" t="str">
        <f>HYPERLINK("http://www.otzar.org/book.asp?161834","חיי נפש - 10 כר'")</f>
        <v>חיי נפש - 10 כר'</v>
      </c>
    </row>
    <row r="15617" spans="1:6" x14ac:dyDescent="0.2">
      <c r="A15617" t="s">
        <v>26014</v>
      </c>
      <c r="B15617" t="s">
        <v>26015</v>
      </c>
      <c r="C15617" t="s">
        <v>244</v>
      </c>
      <c r="D15617" t="s">
        <v>139</v>
      </c>
      <c r="F15617" s="2" t="str">
        <f>HYPERLINK("http://www.otzar.org/book.asp?623071","חיי נפש - 2 כר'")</f>
        <v>חיי נפש - 2 כר'</v>
      </c>
    </row>
    <row r="15618" spans="1:6" x14ac:dyDescent="0.2">
      <c r="A15618" t="s">
        <v>26016</v>
      </c>
      <c r="F15618" s="2" t="str">
        <f>HYPERLINK("http://www.otzar.org/book.asp?614542","חיי נצח (באנגלית) ETERNAL LIFE")</f>
        <v>חיי נצח (באנגלית) ETERNAL LIFE</v>
      </c>
    </row>
    <row r="15619" spans="1:6" x14ac:dyDescent="0.2">
      <c r="A15619" t="s">
        <v>26017</v>
      </c>
      <c r="B15619" t="s">
        <v>26018</v>
      </c>
      <c r="C15619" t="s">
        <v>13</v>
      </c>
      <c r="D15619" t="s">
        <v>14</v>
      </c>
      <c r="E15619" t="s">
        <v>140</v>
      </c>
      <c r="F15619" s="2" t="str">
        <f>HYPERLINK("http://www.otzar.org/book.asp?189459","חיי סבא ישראל")</f>
        <v>חיי סבא ישראל</v>
      </c>
    </row>
    <row r="15620" spans="1:6" x14ac:dyDescent="0.2">
      <c r="A15620" t="s">
        <v>26019</v>
      </c>
      <c r="B15620" t="s">
        <v>26020</v>
      </c>
      <c r="C15620" t="s">
        <v>124</v>
      </c>
      <c r="D15620" t="s">
        <v>52</v>
      </c>
      <c r="E15620" t="s">
        <v>219</v>
      </c>
      <c r="F15620" s="2" t="str">
        <f>HYPERLINK("http://www.otzar.org/book.asp?623471","חיי עד")</f>
        <v>חיי עד</v>
      </c>
    </row>
    <row r="15621" spans="1:6" x14ac:dyDescent="0.2">
      <c r="A15621" t="s">
        <v>26021</v>
      </c>
      <c r="B15621" t="s">
        <v>206</v>
      </c>
      <c r="C15621" t="s">
        <v>244</v>
      </c>
      <c r="D15621" t="s">
        <v>52</v>
      </c>
      <c r="E15621" t="s">
        <v>399</v>
      </c>
      <c r="F15621" s="2" t="str">
        <f>HYPERLINK("http://www.otzar.org/book.asp?627022","חיי עולם &lt;עץ חיים&gt; א")</f>
        <v>חיי עולם &lt;עץ חיים&gt; א</v>
      </c>
    </row>
    <row r="15622" spans="1:6" x14ac:dyDescent="0.2">
      <c r="A15622" t="s">
        <v>26022</v>
      </c>
      <c r="B15622" t="s">
        <v>206</v>
      </c>
      <c r="C15622" t="s">
        <v>185</v>
      </c>
      <c r="D15622" t="s">
        <v>52</v>
      </c>
      <c r="E15622" t="s">
        <v>399</v>
      </c>
      <c r="F15622" s="2" t="str">
        <f>HYPERLINK("http://www.otzar.org/book.asp?629385","חיי עולם &lt;עץ חיים&gt; ב")</f>
        <v>חיי עולם &lt;עץ חיים&gt; ב</v>
      </c>
    </row>
    <row r="15623" spans="1:6" x14ac:dyDescent="0.2">
      <c r="A15623" t="s">
        <v>26023</v>
      </c>
      <c r="B15623" t="s">
        <v>206</v>
      </c>
      <c r="C15623" t="s">
        <v>185</v>
      </c>
      <c r="D15623" t="s">
        <v>52</v>
      </c>
      <c r="E15623" t="s">
        <v>399</v>
      </c>
      <c r="F15623" s="2" t="str">
        <f>HYPERLINK("http://www.otzar.org/book.asp?629386","חיי עולם &lt;עץ חיים&gt; ג")</f>
        <v>חיי עולם &lt;עץ חיים&gt; ג</v>
      </c>
    </row>
    <row r="15624" spans="1:6" x14ac:dyDescent="0.2">
      <c r="A15624" t="s">
        <v>26024</v>
      </c>
      <c r="B15624" t="s">
        <v>206</v>
      </c>
      <c r="C15624" t="s">
        <v>185</v>
      </c>
      <c r="D15624" t="s">
        <v>52</v>
      </c>
      <c r="E15624" t="s">
        <v>399</v>
      </c>
      <c r="F15624" s="2" t="str">
        <f>HYPERLINK("http://www.otzar.org/book.asp?629387","חיי עולם &lt;עץ חיים&gt; ד")</f>
        <v>חיי עולם &lt;עץ חיים&gt; ד</v>
      </c>
    </row>
    <row r="15625" spans="1:6" x14ac:dyDescent="0.2">
      <c r="A15625" t="s">
        <v>26025</v>
      </c>
      <c r="B15625" t="s">
        <v>206</v>
      </c>
      <c r="C15625" t="s">
        <v>185</v>
      </c>
      <c r="D15625" t="s">
        <v>52</v>
      </c>
      <c r="E15625" t="s">
        <v>399</v>
      </c>
      <c r="F15625" s="2" t="str">
        <f>HYPERLINK("http://www.otzar.org/book.asp?629388","חיי עולם &lt;שער הכוונות, מועדים&gt; ה")</f>
        <v>חיי עולם &lt;שער הכוונות, מועדים&gt; ה</v>
      </c>
    </row>
    <row r="15626" spans="1:6" x14ac:dyDescent="0.2">
      <c r="A15626" t="s">
        <v>26026</v>
      </c>
      <c r="B15626" t="s">
        <v>26027</v>
      </c>
      <c r="C15626" t="s">
        <v>1177</v>
      </c>
      <c r="D15626" t="s">
        <v>1731</v>
      </c>
      <c r="E15626" t="s">
        <v>1626</v>
      </c>
      <c r="F15626" s="2" t="str">
        <f>HYPERLINK("http://www.otzar.org/book.asp?103498","חיי עולם &lt;מכתב מאליהו&gt;")</f>
        <v>חיי עולם &lt;מכתב מאליהו&gt;</v>
      </c>
    </row>
    <row r="15627" spans="1:6" x14ac:dyDescent="0.2">
      <c r="A15627" t="s">
        <v>26028</v>
      </c>
      <c r="B15627" t="s">
        <v>26029</v>
      </c>
      <c r="C15627" t="s">
        <v>23</v>
      </c>
      <c r="D15627" t="s">
        <v>412</v>
      </c>
      <c r="E15627" t="s">
        <v>4940</v>
      </c>
      <c r="F15627" s="2" t="str">
        <f>HYPERLINK("http://www.otzar.org/book.asp?600149","חיי עולם &lt;מהדורה חדשה&gt; - א")</f>
        <v>חיי עולם &lt;מהדורה חדשה&gt; - א</v>
      </c>
    </row>
    <row r="15628" spans="1:6" x14ac:dyDescent="0.2">
      <c r="A15628" t="s">
        <v>26030</v>
      </c>
      <c r="B15628" t="s">
        <v>5355</v>
      </c>
      <c r="C15628" t="s">
        <v>146</v>
      </c>
      <c r="D15628" t="s">
        <v>52</v>
      </c>
      <c r="E15628" t="s">
        <v>241</v>
      </c>
      <c r="F15628" s="2" t="str">
        <f>HYPERLINK("http://www.otzar.org/book.asp?28025","חיי עולם &lt;עם הרחב דבר&gt;")</f>
        <v>חיי עולם &lt;עם הרחב דבר&gt;</v>
      </c>
    </row>
    <row r="15629" spans="1:6" x14ac:dyDescent="0.2">
      <c r="A15629" t="s">
        <v>26031</v>
      </c>
      <c r="B15629" t="s">
        <v>26032</v>
      </c>
      <c r="D15629" t="s">
        <v>52</v>
      </c>
      <c r="F15629" s="2" t="str">
        <f>HYPERLINK("http://www.otzar.org/book.asp?614435","חיי עולם הדרך לשלמות")</f>
        <v>חיי עולם הדרך לשלמות</v>
      </c>
    </row>
    <row r="15630" spans="1:6" x14ac:dyDescent="0.2">
      <c r="A15630" t="s">
        <v>26033</v>
      </c>
      <c r="B15630" t="s">
        <v>26034</v>
      </c>
      <c r="C15630" t="s">
        <v>1177</v>
      </c>
      <c r="D15630" t="s">
        <v>26035</v>
      </c>
      <c r="E15630" t="s">
        <v>588</v>
      </c>
      <c r="F15630" s="2" t="str">
        <f>HYPERLINK("http://www.otzar.org/book.asp?193903","חיי עולם - א")</f>
        <v>חיי עולם - א</v>
      </c>
    </row>
    <row r="15631" spans="1:6" x14ac:dyDescent="0.2">
      <c r="A15631" t="s">
        <v>26027</v>
      </c>
      <c r="B15631" t="s">
        <v>13405</v>
      </c>
      <c r="C15631" t="s">
        <v>4858</v>
      </c>
      <c r="D15631" t="s">
        <v>1490</v>
      </c>
      <c r="E15631" t="s">
        <v>158</v>
      </c>
      <c r="F15631" s="2" t="str">
        <f>HYPERLINK("http://www.otzar.org/book.asp?100879","חיי עולם")</f>
        <v>חיי עולם</v>
      </c>
    </row>
    <row r="15632" spans="1:6" x14ac:dyDescent="0.2">
      <c r="A15632" t="s">
        <v>26036</v>
      </c>
      <c r="B15632" t="s">
        <v>26037</v>
      </c>
      <c r="C15632" t="s">
        <v>2008</v>
      </c>
      <c r="D15632" t="s">
        <v>974</v>
      </c>
      <c r="E15632" t="s">
        <v>104</v>
      </c>
      <c r="F15632" s="2" t="str">
        <f>HYPERLINK("http://www.otzar.org/book.asp?148488","חיי עולם - 4 כר'")</f>
        <v>חיי עולם - 4 כר'</v>
      </c>
    </row>
    <row r="15633" spans="1:6" x14ac:dyDescent="0.2">
      <c r="A15633" t="s">
        <v>26027</v>
      </c>
      <c r="B15633" t="s">
        <v>26038</v>
      </c>
      <c r="C15633" t="s">
        <v>438</v>
      </c>
      <c r="D15633" t="s">
        <v>412</v>
      </c>
      <c r="E15633" t="s">
        <v>325</v>
      </c>
      <c r="F15633" s="2" t="str">
        <f>HYPERLINK("http://www.otzar.org/book.asp?85347","חיי עולם")</f>
        <v>חיי עולם</v>
      </c>
    </row>
    <row r="15634" spans="1:6" x14ac:dyDescent="0.2">
      <c r="A15634" t="s">
        <v>26027</v>
      </c>
      <c r="B15634" t="s">
        <v>686</v>
      </c>
      <c r="C15634" t="s">
        <v>114</v>
      </c>
      <c r="D15634" t="s">
        <v>52</v>
      </c>
      <c r="E15634" t="s">
        <v>104</v>
      </c>
      <c r="F15634" s="2" t="str">
        <f>HYPERLINK("http://www.otzar.org/book.asp?165396","חיי עולם")</f>
        <v>חיי עולם</v>
      </c>
    </row>
    <row r="15635" spans="1:6" x14ac:dyDescent="0.2">
      <c r="A15635" t="s">
        <v>26027</v>
      </c>
      <c r="B15635" t="s">
        <v>26029</v>
      </c>
      <c r="C15635" t="s">
        <v>1414</v>
      </c>
      <c r="D15635" t="s">
        <v>10109</v>
      </c>
      <c r="E15635" t="s">
        <v>172</v>
      </c>
      <c r="F15635" s="2" t="str">
        <f>HYPERLINK("http://www.otzar.org/book.asp?18801","חיי עולם")</f>
        <v>חיי עולם</v>
      </c>
    </row>
    <row r="15636" spans="1:6" x14ac:dyDescent="0.2">
      <c r="A15636" t="s">
        <v>26039</v>
      </c>
      <c r="B15636" t="s">
        <v>11994</v>
      </c>
      <c r="C15636" t="s">
        <v>411</v>
      </c>
      <c r="D15636" t="s">
        <v>14</v>
      </c>
      <c r="E15636" t="s">
        <v>15</v>
      </c>
      <c r="F15636" s="2" t="str">
        <f>HYPERLINK("http://www.otzar.org/book.asp?604502","חיי עולם - 2 כר'")</f>
        <v>חיי עולם - 2 כר'</v>
      </c>
    </row>
    <row r="15637" spans="1:6" x14ac:dyDescent="0.2">
      <c r="A15637" t="s">
        <v>26039</v>
      </c>
      <c r="B15637" t="s">
        <v>18592</v>
      </c>
      <c r="C15637" t="s">
        <v>106</v>
      </c>
      <c r="D15637" t="s">
        <v>646</v>
      </c>
      <c r="E15637" t="s">
        <v>104</v>
      </c>
      <c r="F15637" s="2" t="str">
        <f>HYPERLINK("http://www.otzar.org/book.asp?158524","חיי עולם - 2 כר'")</f>
        <v>חיי עולם - 2 כר'</v>
      </c>
    </row>
    <row r="15638" spans="1:6" x14ac:dyDescent="0.2">
      <c r="A15638" t="s">
        <v>26027</v>
      </c>
      <c r="B15638" t="s">
        <v>22839</v>
      </c>
      <c r="C15638" t="s">
        <v>156</v>
      </c>
      <c r="D15638" t="s">
        <v>1117</v>
      </c>
      <c r="E15638" t="s">
        <v>24</v>
      </c>
      <c r="F15638" s="2" t="str">
        <f>HYPERLINK("http://www.otzar.org/book.asp?103028","חיי עולם")</f>
        <v>חיי עולם</v>
      </c>
    </row>
    <row r="15639" spans="1:6" x14ac:dyDescent="0.2">
      <c r="A15639" t="s">
        <v>26027</v>
      </c>
      <c r="B15639" t="s">
        <v>16497</v>
      </c>
      <c r="C15639" t="s">
        <v>2605</v>
      </c>
      <c r="D15639" t="s">
        <v>535</v>
      </c>
      <c r="E15639" t="s">
        <v>172</v>
      </c>
      <c r="F15639" s="2" t="str">
        <f>HYPERLINK("http://www.otzar.org/book.asp?102504","חיי עולם")</f>
        <v>חיי עולם</v>
      </c>
    </row>
    <row r="15640" spans="1:6" x14ac:dyDescent="0.2">
      <c r="A15640" t="s">
        <v>26040</v>
      </c>
      <c r="B15640" t="s">
        <v>2396</v>
      </c>
      <c r="C15640" t="s">
        <v>133</v>
      </c>
      <c r="D15640" t="s">
        <v>1076</v>
      </c>
      <c r="E15640" t="s">
        <v>158</v>
      </c>
      <c r="F15640" s="2" t="str">
        <f>HYPERLINK("http://www.otzar.org/book.asp?617268","חיי עולם - בפסוקי התורה")</f>
        <v>חיי עולם - בפסוקי התורה</v>
      </c>
    </row>
    <row r="15641" spans="1:6" x14ac:dyDescent="0.2">
      <c r="A15641" t="s">
        <v>26027</v>
      </c>
      <c r="B15641" t="s">
        <v>5355</v>
      </c>
      <c r="C15641" t="s">
        <v>1160</v>
      </c>
      <c r="D15641" t="s">
        <v>52</v>
      </c>
      <c r="E15641" t="s">
        <v>241</v>
      </c>
      <c r="F15641" s="2" t="str">
        <f>HYPERLINK("http://www.otzar.org/book.asp?177239","חיי עולם")</f>
        <v>חיי עולם</v>
      </c>
    </row>
    <row r="15642" spans="1:6" x14ac:dyDescent="0.2">
      <c r="A15642" t="s">
        <v>26041</v>
      </c>
      <c r="B15642" t="s">
        <v>26042</v>
      </c>
      <c r="C15642" t="s">
        <v>422</v>
      </c>
      <c r="D15642" t="s">
        <v>14</v>
      </c>
      <c r="E15642" t="s">
        <v>154</v>
      </c>
      <c r="F15642" s="2" t="str">
        <f>HYPERLINK("http://www.otzar.org/book.asp?179425","חיי עמרם &lt;מהדורה חדשה&gt;")</f>
        <v>חיי עמרם &lt;מהדורה חדשה&gt;</v>
      </c>
    </row>
    <row r="15643" spans="1:6" x14ac:dyDescent="0.2">
      <c r="A15643" t="s">
        <v>26043</v>
      </c>
      <c r="B15643" t="s">
        <v>26042</v>
      </c>
      <c r="C15643" t="s">
        <v>237</v>
      </c>
      <c r="D15643" t="s">
        <v>14830</v>
      </c>
      <c r="E15643" t="s">
        <v>154</v>
      </c>
      <c r="F15643" s="2" t="str">
        <f>HYPERLINK("http://www.otzar.org/book.asp?18803","חיי עמרם")</f>
        <v>חיי עמרם</v>
      </c>
    </row>
    <row r="15644" spans="1:6" x14ac:dyDescent="0.2">
      <c r="A15644" t="s">
        <v>26044</v>
      </c>
      <c r="B15644" t="s">
        <v>1005</v>
      </c>
      <c r="C15644" t="s">
        <v>20</v>
      </c>
      <c r="D15644" t="s">
        <v>26045</v>
      </c>
      <c r="F15644" s="2" t="str">
        <f>HYPERLINK("http://www.otzar.org/book.asp?614004","חיי פנחס")</f>
        <v>חיי פנחס</v>
      </c>
    </row>
    <row r="15645" spans="1:6" x14ac:dyDescent="0.2">
      <c r="A15645" t="s">
        <v>26044</v>
      </c>
      <c r="B15645" t="s">
        <v>26046</v>
      </c>
      <c r="C15645" t="s">
        <v>129</v>
      </c>
      <c r="D15645" t="s">
        <v>14</v>
      </c>
      <c r="E15645" t="s">
        <v>1211</v>
      </c>
      <c r="F15645" s="2" t="str">
        <f>HYPERLINK("http://www.otzar.org/book.asp?61552","חיי פנחס")</f>
        <v>חיי פנחס</v>
      </c>
    </row>
    <row r="15646" spans="1:6" x14ac:dyDescent="0.2">
      <c r="A15646" t="s">
        <v>26047</v>
      </c>
      <c r="B15646" t="s">
        <v>25920</v>
      </c>
      <c r="C15646" t="s">
        <v>454</v>
      </c>
      <c r="D15646" t="s">
        <v>52</v>
      </c>
      <c r="E15646" t="s">
        <v>144</v>
      </c>
      <c r="F15646" s="2" t="str">
        <f>HYPERLINK("http://www.otzar.org/book.asp?108383","חיי ראובן - 2 כר'")</f>
        <v>חיי ראובן - 2 כר'</v>
      </c>
    </row>
    <row r="15647" spans="1:6" x14ac:dyDescent="0.2">
      <c r="A15647" t="s">
        <v>26048</v>
      </c>
      <c r="B15647" t="s">
        <v>23884</v>
      </c>
      <c r="C15647" t="s">
        <v>609</v>
      </c>
      <c r="D15647" t="s">
        <v>27</v>
      </c>
      <c r="E15647" t="s">
        <v>399</v>
      </c>
      <c r="F15647" s="2" t="str">
        <f>HYPERLINK("http://www.otzar.org/book.asp?5920","חיי רחמים")</f>
        <v>חיי רחמים</v>
      </c>
    </row>
    <row r="15648" spans="1:6" x14ac:dyDescent="0.2">
      <c r="A15648" t="s">
        <v>26049</v>
      </c>
      <c r="B15648" t="s">
        <v>26050</v>
      </c>
      <c r="C15648" t="s">
        <v>523</v>
      </c>
      <c r="D15648" t="s">
        <v>412</v>
      </c>
      <c r="E15648" t="s">
        <v>1880</v>
      </c>
      <c r="F15648" s="2" t="str">
        <f>HYPERLINK("http://www.otzar.org/book.asp?157485","חיי שלום")</f>
        <v>חיי שלום</v>
      </c>
    </row>
    <row r="15649" spans="1:6" x14ac:dyDescent="0.2">
      <c r="A15649" t="s">
        <v>26051</v>
      </c>
      <c r="B15649" t="s">
        <v>26052</v>
      </c>
      <c r="C15649" t="s">
        <v>146</v>
      </c>
      <c r="D15649" t="s">
        <v>14</v>
      </c>
      <c r="E15649" t="s">
        <v>1185</v>
      </c>
      <c r="F15649" s="2" t="str">
        <f>HYPERLINK("http://www.otzar.org/book.asp?156425","חיי שלמה")</f>
        <v>חיי שלמה</v>
      </c>
    </row>
    <row r="15650" spans="1:6" x14ac:dyDescent="0.2">
      <c r="A15650" t="s">
        <v>26051</v>
      </c>
      <c r="B15650" t="s">
        <v>15093</v>
      </c>
      <c r="C15650" t="s">
        <v>609</v>
      </c>
      <c r="D15650" t="s">
        <v>27</v>
      </c>
      <c r="E15650" t="s">
        <v>508</v>
      </c>
      <c r="F15650" s="2" t="str">
        <f>HYPERLINK("http://www.otzar.org/book.asp?5763","חיי שלמה")</f>
        <v>חיי שלמה</v>
      </c>
    </row>
    <row r="15651" spans="1:6" x14ac:dyDescent="0.2">
      <c r="A15651" t="s">
        <v>26053</v>
      </c>
      <c r="B15651" t="s">
        <v>4398</v>
      </c>
      <c r="C15651" t="s">
        <v>20</v>
      </c>
      <c r="D15651" t="s">
        <v>216</v>
      </c>
      <c r="F15651" s="2" t="str">
        <f>HYPERLINK("http://www.otzar.org/book.asp?616325","חיי שמחה")</f>
        <v>חיי שמחה</v>
      </c>
    </row>
    <row r="15652" spans="1:6" x14ac:dyDescent="0.2">
      <c r="A15652" t="s">
        <v>26054</v>
      </c>
      <c r="B15652" t="s">
        <v>8840</v>
      </c>
      <c r="C15652" t="s">
        <v>13</v>
      </c>
      <c r="D15652" t="s">
        <v>14</v>
      </c>
      <c r="E15652" t="s">
        <v>140</v>
      </c>
      <c r="F15652" s="2" t="str">
        <f>HYPERLINK("http://www.otzar.org/book.asp?615730","חיי שע""ה")</f>
        <v>חיי שע"ה</v>
      </c>
    </row>
    <row r="15653" spans="1:6" x14ac:dyDescent="0.2">
      <c r="A15653" t="s">
        <v>26055</v>
      </c>
      <c r="B15653" t="s">
        <v>8353</v>
      </c>
      <c r="C15653" t="s">
        <v>151</v>
      </c>
      <c r="D15653" t="s">
        <v>367</v>
      </c>
      <c r="F15653" s="2" t="str">
        <f>HYPERLINK("http://www.otzar.org/book.asp?620451","חיי תמיד")</f>
        <v>חיי תמיד</v>
      </c>
    </row>
    <row r="15654" spans="1:6" x14ac:dyDescent="0.2">
      <c r="A15654" t="s">
        <v>26056</v>
      </c>
      <c r="B15654" t="s">
        <v>107</v>
      </c>
      <c r="C15654" t="s">
        <v>466</v>
      </c>
      <c r="D15654" t="s">
        <v>14</v>
      </c>
      <c r="E15654" t="s">
        <v>119</v>
      </c>
      <c r="F15654" s="2" t="str">
        <f>HYPERLINK("http://www.otzar.org/book.asp?6285","חייל בצבא ה'")</f>
        <v>חייל בצבא ה'</v>
      </c>
    </row>
    <row r="15655" spans="1:6" x14ac:dyDescent="0.2">
      <c r="A15655" t="s">
        <v>26057</v>
      </c>
      <c r="B15655" t="s">
        <v>26058</v>
      </c>
      <c r="C15655" t="s">
        <v>422</v>
      </c>
      <c r="D15655" t="s">
        <v>412</v>
      </c>
      <c r="E15655" t="s">
        <v>241</v>
      </c>
      <c r="F15655" s="2" t="str">
        <f>HYPERLINK("http://www.otzar.org/book.asp?167400","חיים באמונותם")</f>
        <v>חיים באמונותם</v>
      </c>
    </row>
    <row r="15656" spans="1:6" x14ac:dyDescent="0.2">
      <c r="A15656" t="s">
        <v>26059</v>
      </c>
      <c r="B15656" t="s">
        <v>26060</v>
      </c>
      <c r="C15656" t="s">
        <v>1570</v>
      </c>
      <c r="D15656" t="s">
        <v>2798</v>
      </c>
      <c r="E15656" t="s">
        <v>154</v>
      </c>
      <c r="F15656" s="2" t="str">
        <f>HYPERLINK("http://www.otzar.org/book.asp?85275","חיים ביד - א")</f>
        <v>חיים ביד - א</v>
      </c>
    </row>
    <row r="15657" spans="1:6" x14ac:dyDescent="0.2">
      <c r="A15657" t="s">
        <v>26061</v>
      </c>
      <c r="B15657" t="s">
        <v>155</v>
      </c>
      <c r="C15657" t="s">
        <v>266</v>
      </c>
      <c r="D15657" t="s">
        <v>157</v>
      </c>
      <c r="E15657" t="s">
        <v>154</v>
      </c>
      <c r="F15657" s="2" t="str">
        <f>HYPERLINK("http://www.otzar.org/book.asp?820","חיים ביד")</f>
        <v>חיים ביד</v>
      </c>
    </row>
    <row r="15658" spans="1:6" x14ac:dyDescent="0.2">
      <c r="A15658" t="s">
        <v>26062</v>
      </c>
      <c r="B15658" t="s">
        <v>20888</v>
      </c>
      <c r="C15658" t="s">
        <v>151</v>
      </c>
      <c r="D15658" t="s">
        <v>52</v>
      </c>
      <c r="E15658" t="s">
        <v>104</v>
      </c>
      <c r="F15658" s="2" t="str">
        <f>HYPERLINK("http://www.otzar.org/book.asp?630632","חיים בריאים כהלכה - 2 כר'")</f>
        <v>חיים בריאים כהלכה - 2 כר'</v>
      </c>
    </row>
    <row r="15659" spans="1:6" x14ac:dyDescent="0.2">
      <c r="A15659" t="s">
        <v>26063</v>
      </c>
      <c r="B15659" t="s">
        <v>26064</v>
      </c>
      <c r="C15659" t="s">
        <v>624</v>
      </c>
      <c r="D15659" t="s">
        <v>52</v>
      </c>
      <c r="E15659" t="s">
        <v>144</v>
      </c>
      <c r="F15659" s="2" t="str">
        <f>HYPERLINK("http://www.otzar.org/book.asp?191718","חיים ברצונו - זבחים, סוגיות, הגהות הש""ס")</f>
        <v>חיים ברצונו - זבחים, סוגיות, הגהות הש"ס</v>
      </c>
    </row>
    <row r="15660" spans="1:6" x14ac:dyDescent="0.2">
      <c r="A15660" t="s">
        <v>26065</v>
      </c>
      <c r="B15660" t="s">
        <v>26066</v>
      </c>
      <c r="C15660" t="s">
        <v>585</v>
      </c>
      <c r="D15660" t="s">
        <v>14</v>
      </c>
      <c r="E15660" t="s">
        <v>791</v>
      </c>
      <c r="F15660" s="2" t="str">
        <f>HYPERLINK("http://www.otzar.org/book.asp?102806","חיים ברצונו")</f>
        <v>חיים ברצונו</v>
      </c>
    </row>
    <row r="15661" spans="1:6" x14ac:dyDescent="0.2">
      <c r="A15661" t="s">
        <v>26067</v>
      </c>
      <c r="B15661" t="s">
        <v>155</v>
      </c>
      <c r="C15661" t="s">
        <v>26068</v>
      </c>
      <c r="D15661" t="s">
        <v>26069</v>
      </c>
      <c r="E15661" t="s">
        <v>733</v>
      </c>
      <c r="F15661" s="2" t="str">
        <f>HYPERLINK("http://www.otzar.org/book.asp?603752","חיים דרכיו דרכיו למשה")</f>
        <v>חיים דרכיו דרכיו למשה</v>
      </c>
    </row>
    <row r="15662" spans="1:6" x14ac:dyDescent="0.2">
      <c r="A15662" t="s">
        <v>26070</v>
      </c>
      <c r="B15662" t="s">
        <v>26071</v>
      </c>
      <c r="C15662" t="s">
        <v>506</v>
      </c>
      <c r="D15662" t="s">
        <v>691</v>
      </c>
      <c r="E15662" t="s">
        <v>26072</v>
      </c>
      <c r="F15662" s="2" t="str">
        <f>HYPERLINK("http://www.otzar.org/book.asp?106759","חיים הנצחיים")</f>
        <v>חיים הנצחיים</v>
      </c>
    </row>
    <row r="15663" spans="1:6" x14ac:dyDescent="0.2">
      <c r="A15663" t="s">
        <v>26073</v>
      </c>
      <c r="B15663" t="s">
        <v>26074</v>
      </c>
      <c r="C15663" t="s">
        <v>888</v>
      </c>
      <c r="D15663" t="s">
        <v>283</v>
      </c>
      <c r="E15663" t="s">
        <v>15</v>
      </c>
      <c r="F15663" s="2" t="str">
        <f>HYPERLINK("http://www.otzar.org/book.asp?24499","חיים וברכה - 2 כר'")</f>
        <v>חיים וברכה - 2 כר'</v>
      </c>
    </row>
    <row r="15664" spans="1:6" x14ac:dyDescent="0.2">
      <c r="A15664" t="s">
        <v>26075</v>
      </c>
      <c r="B15664" t="s">
        <v>26076</v>
      </c>
      <c r="C15664" t="s">
        <v>26077</v>
      </c>
      <c r="D15664" t="s">
        <v>212</v>
      </c>
      <c r="E15664" t="s">
        <v>234</v>
      </c>
      <c r="F15664" s="2" t="str">
        <f>HYPERLINK("http://www.otzar.org/book.asp?148130","חיים וחסד")</f>
        <v>חיים וחסד</v>
      </c>
    </row>
    <row r="15665" spans="1:6" x14ac:dyDescent="0.2">
      <c r="A15665" t="s">
        <v>26078</v>
      </c>
      <c r="B15665" t="s">
        <v>7782</v>
      </c>
      <c r="C15665" t="s">
        <v>454</v>
      </c>
      <c r="D15665" t="s">
        <v>216</v>
      </c>
      <c r="E15665" t="s">
        <v>158</v>
      </c>
      <c r="F15665" s="2" t="str">
        <f>HYPERLINK("http://www.otzar.org/book.asp?176515","חיים וחסד - 2 כר'")</f>
        <v>חיים וחסד - 2 כר'</v>
      </c>
    </row>
    <row r="15666" spans="1:6" x14ac:dyDescent="0.2">
      <c r="A15666" t="s">
        <v>26075</v>
      </c>
      <c r="B15666" t="s">
        <v>26079</v>
      </c>
      <c r="C15666" t="s">
        <v>940</v>
      </c>
      <c r="D15666" t="s">
        <v>2375</v>
      </c>
      <c r="E15666" t="s">
        <v>154</v>
      </c>
      <c r="F15666" s="2" t="str">
        <f>HYPERLINK("http://www.otzar.org/book.asp?162215","חיים וחסד")</f>
        <v>חיים וחסד</v>
      </c>
    </row>
    <row r="15667" spans="1:6" x14ac:dyDescent="0.2">
      <c r="A15667" t="s">
        <v>26078</v>
      </c>
      <c r="B15667" t="s">
        <v>26080</v>
      </c>
      <c r="C15667" t="s">
        <v>3690</v>
      </c>
      <c r="D15667" t="s">
        <v>283</v>
      </c>
      <c r="E15667" t="s">
        <v>140</v>
      </c>
      <c r="F15667" s="2" t="str">
        <f>HYPERLINK("http://www.otzar.org/book.asp?11726","חיים וחסד - 2 כר'")</f>
        <v>חיים וחסד - 2 כר'</v>
      </c>
    </row>
    <row r="15668" spans="1:6" x14ac:dyDescent="0.2">
      <c r="A15668" t="s">
        <v>26075</v>
      </c>
      <c r="B15668" t="s">
        <v>6987</v>
      </c>
      <c r="C15668" t="s">
        <v>767</v>
      </c>
      <c r="D15668" t="s">
        <v>52</v>
      </c>
      <c r="E15668" t="s">
        <v>104</v>
      </c>
      <c r="F15668" s="2" t="str">
        <f>HYPERLINK("http://www.otzar.org/book.asp?144506","חיים וחסד")</f>
        <v>חיים וחסד</v>
      </c>
    </row>
    <row r="15669" spans="1:6" x14ac:dyDescent="0.2">
      <c r="A15669" t="s">
        <v>26081</v>
      </c>
      <c r="B15669" t="s">
        <v>26082</v>
      </c>
      <c r="C15669" t="s">
        <v>2236</v>
      </c>
      <c r="D15669" t="s">
        <v>157</v>
      </c>
      <c r="E15669" t="s">
        <v>10851</v>
      </c>
      <c r="F15669" s="2" t="str">
        <f>HYPERLINK("http://www.otzar.org/book.asp?102452","חיים וחסד - חנן אלהים")</f>
        <v>חיים וחסד - חנן אלהים</v>
      </c>
    </row>
    <row r="15670" spans="1:6" x14ac:dyDescent="0.2">
      <c r="A15670" t="s">
        <v>26083</v>
      </c>
      <c r="B15670" t="s">
        <v>26084</v>
      </c>
      <c r="C15670" t="s">
        <v>3475</v>
      </c>
      <c r="D15670" t="s">
        <v>212</v>
      </c>
      <c r="E15670" t="s">
        <v>10</v>
      </c>
      <c r="F15670" s="2" t="str">
        <f>HYPERLINK("http://www.otzar.org/book.asp?101400","חיים וחסד - 3 כר'")</f>
        <v>חיים וחסד - 3 כר'</v>
      </c>
    </row>
    <row r="15671" spans="1:6" x14ac:dyDescent="0.2">
      <c r="A15671" t="s">
        <v>26075</v>
      </c>
      <c r="B15671" t="s">
        <v>6807</v>
      </c>
      <c r="C15671" t="s">
        <v>17</v>
      </c>
      <c r="D15671" t="s">
        <v>14</v>
      </c>
      <c r="E15671" t="s">
        <v>15</v>
      </c>
      <c r="F15671" s="2" t="str">
        <f>HYPERLINK("http://www.otzar.org/book.asp?108519","חיים וחסד")</f>
        <v>חיים וחסד</v>
      </c>
    </row>
    <row r="15672" spans="1:6" x14ac:dyDescent="0.2">
      <c r="A15672" t="s">
        <v>26085</v>
      </c>
      <c r="B15672" t="s">
        <v>155</v>
      </c>
      <c r="C15672" t="s">
        <v>11343</v>
      </c>
      <c r="D15672" t="s">
        <v>22971</v>
      </c>
      <c r="E15672" t="s">
        <v>399</v>
      </c>
      <c r="F15672" s="2" t="str">
        <f>HYPERLINK("http://www.otzar.org/book.asp?83633","חיים ומזון")</f>
        <v>חיים ומזון</v>
      </c>
    </row>
    <row r="15673" spans="1:6" x14ac:dyDescent="0.2">
      <c r="A15673" t="s">
        <v>26086</v>
      </c>
      <c r="B15673" t="s">
        <v>155</v>
      </c>
      <c r="C15673" t="s">
        <v>603</v>
      </c>
      <c r="D15673" t="s">
        <v>157</v>
      </c>
      <c r="E15673" t="s">
        <v>15</v>
      </c>
      <c r="F15673" s="2" t="str">
        <f>HYPERLINK("http://www.otzar.org/book.asp?8997","חיים ומלך")</f>
        <v>חיים ומלך</v>
      </c>
    </row>
    <row r="15674" spans="1:6" x14ac:dyDescent="0.2">
      <c r="A15674" t="s">
        <v>26087</v>
      </c>
      <c r="B15674" t="s">
        <v>11051</v>
      </c>
      <c r="C15674" t="s">
        <v>433</v>
      </c>
      <c r="D15674" t="s">
        <v>1889</v>
      </c>
      <c r="E15674" t="s">
        <v>15</v>
      </c>
      <c r="F15674" s="2" t="str">
        <f>HYPERLINK("http://www.otzar.org/book.asp?23486","חיים ועשר")</f>
        <v>חיים ועשר</v>
      </c>
    </row>
    <row r="15675" spans="1:6" x14ac:dyDescent="0.2">
      <c r="A15675" t="s">
        <v>26088</v>
      </c>
      <c r="B15675" t="s">
        <v>26089</v>
      </c>
      <c r="C15675" t="s">
        <v>244</v>
      </c>
      <c r="D15675" t="s">
        <v>21</v>
      </c>
      <c r="F15675" s="2" t="str">
        <f>HYPERLINK("http://www.otzar.org/book.asp?609734","חיים ושבע - ברכת המזון")</f>
        <v>חיים ושבע - ברכת המזון</v>
      </c>
    </row>
    <row r="15676" spans="1:6" x14ac:dyDescent="0.2">
      <c r="A15676" t="s">
        <v>26090</v>
      </c>
      <c r="B15676" t="s">
        <v>14446</v>
      </c>
      <c r="C15676" t="s">
        <v>71</v>
      </c>
      <c r="D15676" t="s">
        <v>412</v>
      </c>
      <c r="E15676" t="s">
        <v>158</v>
      </c>
      <c r="F15676" s="2" t="str">
        <f>HYPERLINK("http://www.otzar.org/book.asp?183042","חיים ושלום &lt;מהדורה חדשה&gt;")</f>
        <v>חיים ושלום &lt;מהדורה חדשה&gt;</v>
      </c>
    </row>
    <row r="15677" spans="1:6" x14ac:dyDescent="0.2">
      <c r="A15677" t="s">
        <v>26091</v>
      </c>
      <c r="B15677" t="s">
        <v>26092</v>
      </c>
      <c r="C15677" t="s">
        <v>23</v>
      </c>
      <c r="D15677" t="s">
        <v>1180</v>
      </c>
      <c r="F15677" s="2" t="str">
        <f>HYPERLINK("http://www.otzar.org/book.asp?198754","חיים ושלום - שו""ת")</f>
        <v>חיים ושלום - שו"ת</v>
      </c>
    </row>
    <row r="15678" spans="1:6" x14ac:dyDescent="0.2">
      <c r="A15678" t="s">
        <v>26093</v>
      </c>
      <c r="B15678" t="s">
        <v>11996</v>
      </c>
      <c r="C15678" t="s">
        <v>189</v>
      </c>
      <c r="D15678" t="s">
        <v>1840</v>
      </c>
      <c r="E15678" t="s">
        <v>241</v>
      </c>
      <c r="F15678" s="2" t="str">
        <f>HYPERLINK("http://www.otzar.org/book.asp?198435","חיים ושלום")</f>
        <v>חיים ושלום</v>
      </c>
    </row>
    <row r="15679" spans="1:6" x14ac:dyDescent="0.2">
      <c r="A15679" t="s">
        <v>26094</v>
      </c>
      <c r="B15679" t="s">
        <v>155</v>
      </c>
      <c r="C15679" t="s">
        <v>26095</v>
      </c>
      <c r="D15679" t="s">
        <v>157</v>
      </c>
      <c r="E15679" t="s">
        <v>154</v>
      </c>
      <c r="F15679" s="2" t="str">
        <f>HYPERLINK("http://www.otzar.org/book.asp?745","חיים ושלום - 2 כר'")</f>
        <v>חיים ושלום - 2 כר'</v>
      </c>
    </row>
    <row r="15680" spans="1:6" x14ac:dyDescent="0.2">
      <c r="A15680" t="s">
        <v>26093</v>
      </c>
      <c r="B15680" t="s">
        <v>14446</v>
      </c>
      <c r="C15680" t="s">
        <v>1169</v>
      </c>
      <c r="D15680" t="s">
        <v>412</v>
      </c>
      <c r="E15680" t="s">
        <v>158</v>
      </c>
      <c r="F15680" s="2" t="str">
        <f>HYPERLINK("http://www.otzar.org/book.asp?198398","חיים ושלום")</f>
        <v>חיים ושלום</v>
      </c>
    </row>
    <row r="15681" spans="1:6" x14ac:dyDescent="0.2">
      <c r="A15681" t="s">
        <v>26093</v>
      </c>
      <c r="B15681" t="s">
        <v>6876</v>
      </c>
      <c r="C15681" t="s">
        <v>21418</v>
      </c>
      <c r="D15681" t="s">
        <v>592</v>
      </c>
      <c r="F15681" s="2" t="str">
        <f>HYPERLINK("http://www.otzar.org/book.asp?617973","חיים ושלום")</f>
        <v>חיים ושלום</v>
      </c>
    </row>
    <row r="15682" spans="1:6" x14ac:dyDescent="0.2">
      <c r="A15682" t="s">
        <v>26096</v>
      </c>
      <c r="B15682" t="s">
        <v>776</v>
      </c>
      <c r="C15682" t="s">
        <v>160</v>
      </c>
      <c r="D15682" t="s">
        <v>27</v>
      </c>
      <c r="E15682" t="s">
        <v>213</v>
      </c>
      <c r="F15682" s="2" t="str">
        <f>HYPERLINK("http://www.otzar.org/book.asp?179216","חיים חן")</f>
        <v>חיים חן</v>
      </c>
    </row>
    <row r="15683" spans="1:6" x14ac:dyDescent="0.2">
      <c r="A15683" t="s">
        <v>26097</v>
      </c>
      <c r="B15683" t="s">
        <v>26098</v>
      </c>
      <c r="C15683" t="s">
        <v>411</v>
      </c>
      <c r="D15683" t="s">
        <v>139</v>
      </c>
      <c r="E15683" t="s">
        <v>241</v>
      </c>
      <c r="F15683" s="2" t="str">
        <f>HYPERLINK("http://www.otzar.org/book.asp?600737","חיים טובים")</f>
        <v>חיים טובים</v>
      </c>
    </row>
    <row r="15684" spans="1:6" x14ac:dyDescent="0.2">
      <c r="A15684" t="s">
        <v>26097</v>
      </c>
      <c r="B15684" t="s">
        <v>155</v>
      </c>
      <c r="C15684" t="s">
        <v>728</v>
      </c>
      <c r="D15684" t="s">
        <v>157</v>
      </c>
      <c r="E15684" t="s">
        <v>43</v>
      </c>
      <c r="F15684" s="2" t="str">
        <f>HYPERLINK("http://www.otzar.org/book.asp?102456","חיים טובים")</f>
        <v>חיים טובים</v>
      </c>
    </row>
    <row r="15685" spans="1:6" x14ac:dyDescent="0.2">
      <c r="A15685" t="s">
        <v>26099</v>
      </c>
      <c r="B15685" t="s">
        <v>5634</v>
      </c>
      <c r="C15685" t="s">
        <v>411</v>
      </c>
      <c r="D15685" t="s">
        <v>52</v>
      </c>
      <c r="E15685" t="s">
        <v>104</v>
      </c>
      <c r="F15685" s="2" t="str">
        <f>HYPERLINK("http://www.otzar.org/book.asp?168365","חיים כולכם היום")</f>
        <v>חיים כולכם היום</v>
      </c>
    </row>
    <row r="15686" spans="1:6" x14ac:dyDescent="0.2">
      <c r="A15686" t="s">
        <v>26100</v>
      </c>
      <c r="B15686" t="s">
        <v>155</v>
      </c>
      <c r="C15686" t="s">
        <v>603</v>
      </c>
      <c r="D15686" t="s">
        <v>157</v>
      </c>
      <c r="E15686" t="s">
        <v>104</v>
      </c>
      <c r="F15686" s="2" t="str">
        <f>HYPERLINK("http://www.otzar.org/book.asp?22009","חיים לגופא")</f>
        <v>חיים לגופא</v>
      </c>
    </row>
    <row r="15687" spans="1:6" x14ac:dyDescent="0.2">
      <c r="A15687" t="s">
        <v>26101</v>
      </c>
      <c r="B15687" t="s">
        <v>26102</v>
      </c>
      <c r="C15687" t="s">
        <v>496</v>
      </c>
      <c r="D15687" t="s">
        <v>889</v>
      </c>
      <c r="E15687" t="s">
        <v>144</v>
      </c>
      <c r="F15687" s="2" t="str">
        <f>HYPERLINK("http://www.otzar.org/book.asp?104856","חיים לישראל - 3 כר'")</f>
        <v>חיים לישראל - 3 כר'</v>
      </c>
    </row>
    <row r="15688" spans="1:6" x14ac:dyDescent="0.2">
      <c r="A15688" t="s">
        <v>26103</v>
      </c>
      <c r="B15688" t="s">
        <v>26104</v>
      </c>
      <c r="C15688" t="s">
        <v>37</v>
      </c>
      <c r="D15688" t="s">
        <v>147</v>
      </c>
      <c r="E15688" t="s">
        <v>5186</v>
      </c>
      <c r="F15688" s="2" t="str">
        <f>HYPERLINK("http://www.otzar.org/book.asp?189233","חיים לישראל - 2 כר'")</f>
        <v>חיים לישראל - 2 כר'</v>
      </c>
    </row>
    <row r="15689" spans="1:6" x14ac:dyDescent="0.2">
      <c r="A15689" t="s">
        <v>26105</v>
      </c>
      <c r="B15689" t="s">
        <v>26106</v>
      </c>
      <c r="C15689" t="s">
        <v>71</v>
      </c>
      <c r="D15689" t="s">
        <v>1180</v>
      </c>
      <c r="E15689" t="s">
        <v>26107</v>
      </c>
      <c r="F15689" s="2" t="str">
        <f>HYPERLINK("http://www.otzar.org/book.asp?51442","חיים לכל חי")</f>
        <v>חיים לכל חי</v>
      </c>
    </row>
    <row r="15690" spans="1:6" x14ac:dyDescent="0.2">
      <c r="A15690" t="s">
        <v>26108</v>
      </c>
      <c r="B15690" t="s">
        <v>26109</v>
      </c>
      <c r="C15690" t="s">
        <v>20</v>
      </c>
      <c r="D15690" t="s">
        <v>14</v>
      </c>
      <c r="E15690" t="s">
        <v>26110</v>
      </c>
      <c r="F15690" s="2" t="str">
        <f>HYPERLINK("http://www.otzar.org/book.asp?6346","חיים ללא חובות")</f>
        <v>חיים ללא חובות</v>
      </c>
    </row>
    <row r="15691" spans="1:6" x14ac:dyDescent="0.2">
      <c r="A15691" t="s">
        <v>26111</v>
      </c>
      <c r="B15691" t="s">
        <v>20888</v>
      </c>
      <c r="C15691" t="s">
        <v>114</v>
      </c>
      <c r="D15691" t="s">
        <v>52</v>
      </c>
      <c r="E15691" t="s">
        <v>15</v>
      </c>
      <c r="F15691" s="2" t="str">
        <f>HYPERLINK("http://www.otzar.org/book.asp?165010","חיים ללא עישון")</f>
        <v>חיים ללא עישון</v>
      </c>
    </row>
    <row r="15692" spans="1:6" x14ac:dyDescent="0.2">
      <c r="A15692" t="s">
        <v>26112</v>
      </c>
      <c r="B15692" t="s">
        <v>686</v>
      </c>
      <c r="C15692" t="s">
        <v>176</v>
      </c>
      <c r="D15692" t="s">
        <v>52</v>
      </c>
      <c r="E15692" t="s">
        <v>104</v>
      </c>
      <c r="F15692" s="2" t="str">
        <f>HYPERLINK("http://www.otzar.org/book.asp?159091","חיים למצאיהם")</f>
        <v>חיים למצאיהם</v>
      </c>
    </row>
    <row r="15693" spans="1:6" x14ac:dyDescent="0.2">
      <c r="A15693" t="s">
        <v>26113</v>
      </c>
      <c r="B15693" t="s">
        <v>26114</v>
      </c>
      <c r="C15693" t="s">
        <v>23255</v>
      </c>
      <c r="D15693" t="s">
        <v>157</v>
      </c>
      <c r="E15693" t="s">
        <v>172</v>
      </c>
      <c r="F15693" s="2" t="str">
        <f>HYPERLINK("http://www.otzar.org/book.asp?101399","חיים לעולם - 2 כר'")</f>
        <v>חיים לעולם - 2 כר'</v>
      </c>
    </row>
    <row r="15694" spans="1:6" x14ac:dyDescent="0.2">
      <c r="A15694" t="s">
        <v>26115</v>
      </c>
      <c r="B15694" t="s">
        <v>155</v>
      </c>
      <c r="C15694" t="s">
        <v>1150</v>
      </c>
      <c r="D15694" t="s">
        <v>157</v>
      </c>
      <c r="E15694" t="s">
        <v>246</v>
      </c>
      <c r="F15694" s="2" t="str">
        <f>HYPERLINK("http://www.otzar.org/book.asp?104367","חיים לראש")</f>
        <v>חיים לראש</v>
      </c>
    </row>
    <row r="15695" spans="1:6" x14ac:dyDescent="0.2">
      <c r="A15695" t="s">
        <v>26116</v>
      </c>
      <c r="B15695" t="s">
        <v>26117</v>
      </c>
      <c r="C15695" t="s">
        <v>343</v>
      </c>
      <c r="D15695" t="s">
        <v>76</v>
      </c>
      <c r="E15695" t="s">
        <v>172</v>
      </c>
      <c r="F15695" s="2" t="str">
        <f>HYPERLINK("http://www.otzar.org/book.asp?101397","חיים מדבר")</f>
        <v>חיים מדבר</v>
      </c>
    </row>
    <row r="15696" spans="1:6" x14ac:dyDescent="0.2">
      <c r="A15696" t="s">
        <v>26118</v>
      </c>
      <c r="B15696" t="s">
        <v>24931</v>
      </c>
      <c r="C15696" t="s">
        <v>4705</v>
      </c>
      <c r="D15696" t="s">
        <v>27</v>
      </c>
      <c r="E15696" t="s">
        <v>474</v>
      </c>
      <c r="F15696" s="2" t="str">
        <f>HYPERLINK("http://www.otzar.org/book.asp?100736","חיים מירושלם")</f>
        <v>חיים מירושלם</v>
      </c>
    </row>
    <row r="15697" spans="1:6" x14ac:dyDescent="0.2">
      <c r="A15697" t="s">
        <v>26119</v>
      </c>
      <c r="B15697" t="s">
        <v>26120</v>
      </c>
      <c r="C15697" t="s">
        <v>13</v>
      </c>
      <c r="D15697" t="s">
        <v>115</v>
      </c>
      <c r="F15697" s="2" t="str">
        <f>HYPERLINK("http://www.otzar.org/book.asp?610763","חיים עד העולם &lt;מהדורה חדשה&gt;")</f>
        <v>חיים עד העולם &lt;מהדורה חדשה&gt;</v>
      </c>
    </row>
    <row r="15698" spans="1:6" x14ac:dyDescent="0.2">
      <c r="A15698" t="s">
        <v>26121</v>
      </c>
      <c r="B15698" t="s">
        <v>26120</v>
      </c>
      <c r="C15698" t="s">
        <v>26122</v>
      </c>
      <c r="D15698" t="s">
        <v>157</v>
      </c>
      <c r="F15698" s="2" t="str">
        <f>HYPERLINK("http://www.otzar.org/book.asp?151118","חיים עד העולם")</f>
        <v>חיים עד העולם</v>
      </c>
    </row>
    <row r="15699" spans="1:6" x14ac:dyDescent="0.2">
      <c r="A15699" t="s">
        <v>26121</v>
      </c>
      <c r="B15699" t="s">
        <v>26123</v>
      </c>
      <c r="C15699" t="s">
        <v>146</v>
      </c>
      <c r="D15699" t="s">
        <v>2909</v>
      </c>
      <c r="E15699" t="s">
        <v>2091</v>
      </c>
      <c r="F15699" s="2" t="str">
        <f>HYPERLINK("http://www.otzar.org/book.asp?164976","חיים עד העולם")</f>
        <v>חיים עד העולם</v>
      </c>
    </row>
    <row r="15700" spans="1:6" x14ac:dyDescent="0.2">
      <c r="A15700" t="s">
        <v>26121</v>
      </c>
      <c r="B15700" t="s">
        <v>26124</v>
      </c>
      <c r="C15700" t="s">
        <v>1650</v>
      </c>
      <c r="D15700" t="s">
        <v>27</v>
      </c>
      <c r="E15700" t="s">
        <v>435</v>
      </c>
      <c r="F15700" s="2" t="str">
        <f>HYPERLINK("http://www.otzar.org/book.asp?105023","חיים עד העולם")</f>
        <v>חיים עד העולם</v>
      </c>
    </row>
    <row r="15701" spans="1:6" x14ac:dyDescent="0.2">
      <c r="A15701" t="s">
        <v>26125</v>
      </c>
      <c r="B15701" t="s">
        <v>26126</v>
      </c>
      <c r="C15701" t="s">
        <v>422</v>
      </c>
      <c r="D15701" t="s">
        <v>646</v>
      </c>
      <c r="E15701" t="s">
        <v>15</v>
      </c>
      <c r="F15701" s="2" t="str">
        <f>HYPERLINK("http://www.otzar.org/book.asp?150739","חיים שאל ממך")</f>
        <v>חיים שאל ממך</v>
      </c>
    </row>
    <row r="15702" spans="1:6" x14ac:dyDescent="0.2">
      <c r="A15702" t="s">
        <v>26127</v>
      </c>
      <c r="B15702" t="s">
        <v>1308</v>
      </c>
      <c r="C15702" t="s">
        <v>896</v>
      </c>
      <c r="D15702" t="s">
        <v>267</v>
      </c>
      <c r="E15702" t="s">
        <v>154</v>
      </c>
      <c r="F15702" s="2" t="str">
        <f>HYPERLINK("http://www.otzar.org/book.asp?12089","חיים שאל - 5 כר'")</f>
        <v>חיים שאל - 5 כר'</v>
      </c>
    </row>
    <row r="15703" spans="1:6" x14ac:dyDescent="0.2">
      <c r="A15703" t="s">
        <v>26128</v>
      </c>
      <c r="B15703" t="s">
        <v>26129</v>
      </c>
      <c r="C15703" t="s">
        <v>496</v>
      </c>
      <c r="D15703" t="s">
        <v>56</v>
      </c>
      <c r="E15703" t="s">
        <v>573</v>
      </c>
      <c r="F15703" s="2" t="str">
        <f>HYPERLINK("http://www.otzar.org/book.asp?149597","חיים שאל - 2 כר'")</f>
        <v>חיים שאל - 2 כר'</v>
      </c>
    </row>
    <row r="15704" spans="1:6" x14ac:dyDescent="0.2">
      <c r="A15704" t="s">
        <v>26128</v>
      </c>
      <c r="B15704" t="s">
        <v>5634</v>
      </c>
      <c r="C15704" t="s">
        <v>114</v>
      </c>
      <c r="D15704" t="s">
        <v>52</v>
      </c>
      <c r="E15704" t="s">
        <v>213</v>
      </c>
      <c r="F15704" s="2" t="str">
        <f>HYPERLINK("http://www.otzar.org/book.asp?168671","חיים שאל - 2 כר'")</f>
        <v>חיים שאל - 2 כר'</v>
      </c>
    </row>
    <row r="15705" spans="1:6" x14ac:dyDescent="0.2">
      <c r="A15705" t="s">
        <v>26130</v>
      </c>
      <c r="B15705" t="s">
        <v>26131</v>
      </c>
      <c r="C15705" t="s">
        <v>133</v>
      </c>
      <c r="D15705" t="s">
        <v>14</v>
      </c>
      <c r="F15705" s="2" t="str">
        <f>HYPERLINK("http://www.otzar.org/book.asp?182957","חיים שיש בהם - 8 כר'")</f>
        <v>חיים שיש בהם - 8 כר'</v>
      </c>
    </row>
    <row r="15706" spans="1:6" x14ac:dyDescent="0.2">
      <c r="A15706" t="s">
        <v>26132</v>
      </c>
      <c r="B15706" t="s">
        <v>26133</v>
      </c>
      <c r="C15706" t="s">
        <v>23</v>
      </c>
      <c r="D15706" t="s">
        <v>21</v>
      </c>
      <c r="E15706" t="s">
        <v>202</v>
      </c>
      <c r="F15706" s="2" t="str">
        <f>HYPERLINK("http://www.otzar.org/book.asp?194090","חיים שיש בהם")</f>
        <v>חיים שיש בהם</v>
      </c>
    </row>
    <row r="15707" spans="1:6" x14ac:dyDescent="0.2">
      <c r="A15707" t="s">
        <v>26134</v>
      </c>
      <c r="B15707" t="s">
        <v>26135</v>
      </c>
      <c r="C15707" t="s">
        <v>23</v>
      </c>
      <c r="E15707" t="s">
        <v>144</v>
      </c>
      <c r="F15707" s="2" t="str">
        <f>HYPERLINK("http://www.otzar.org/book.asp?199523","חיים שיש בהם - 2 כר'")</f>
        <v>חיים שיש בהם - 2 כר'</v>
      </c>
    </row>
    <row r="15708" spans="1:6" x14ac:dyDescent="0.2">
      <c r="A15708" t="s">
        <v>26136</v>
      </c>
      <c r="B15708" t="s">
        <v>7870</v>
      </c>
      <c r="C15708" t="s">
        <v>383</v>
      </c>
      <c r="D15708" t="s">
        <v>412</v>
      </c>
      <c r="E15708" t="s">
        <v>15</v>
      </c>
      <c r="F15708" s="2" t="str">
        <f>HYPERLINK("http://www.otzar.org/book.asp?172127","חיים של ברכה")</f>
        <v>חיים של ברכה</v>
      </c>
    </row>
    <row r="15709" spans="1:6" x14ac:dyDescent="0.2">
      <c r="A15709" t="s">
        <v>26137</v>
      </c>
      <c r="B15709" t="s">
        <v>26138</v>
      </c>
      <c r="C15709" t="s">
        <v>785</v>
      </c>
      <c r="D15709" t="s">
        <v>118</v>
      </c>
      <c r="E15709" t="s">
        <v>803</v>
      </c>
      <c r="F15709" s="2" t="str">
        <f>HYPERLINK("http://www.otzar.org/book.asp?150582","חיים של טובה")</f>
        <v>חיים של טובה</v>
      </c>
    </row>
    <row r="15710" spans="1:6" x14ac:dyDescent="0.2">
      <c r="A15710" t="s">
        <v>26139</v>
      </c>
      <c r="B15710" t="s">
        <v>21703</v>
      </c>
      <c r="C15710" t="s">
        <v>454</v>
      </c>
      <c r="D15710" t="s">
        <v>14</v>
      </c>
      <c r="E15710" t="s">
        <v>241</v>
      </c>
      <c r="F15710" s="2" t="str">
        <f>HYPERLINK("http://www.otzar.org/book.asp?28163","חיים של פרנסה")</f>
        <v>חיים של פרנסה</v>
      </c>
    </row>
    <row r="15711" spans="1:6" x14ac:dyDescent="0.2">
      <c r="A15711" t="s">
        <v>26140</v>
      </c>
      <c r="B15711" t="s">
        <v>3384</v>
      </c>
      <c r="C15711" t="s">
        <v>411</v>
      </c>
      <c r="D15711" t="s">
        <v>14</v>
      </c>
      <c r="E15711" t="s">
        <v>241</v>
      </c>
      <c r="F15711" s="2" t="str">
        <f>HYPERLINK("http://www.otzar.org/book.asp?625398","חיים של קידוש ה'")</f>
        <v>חיים של קידוש ה'</v>
      </c>
    </row>
    <row r="15712" spans="1:6" x14ac:dyDescent="0.2">
      <c r="A15712" t="s">
        <v>26141</v>
      </c>
      <c r="B15712" t="s">
        <v>26142</v>
      </c>
      <c r="C15712" t="s">
        <v>68</v>
      </c>
      <c r="D15712" t="s">
        <v>21</v>
      </c>
      <c r="E15712" t="s">
        <v>714</v>
      </c>
      <c r="F15712" s="2" t="str">
        <f>HYPERLINK("http://www.otzar.org/book.asp?615943","חיים של שלום")</f>
        <v>חיים של שלום</v>
      </c>
    </row>
    <row r="15713" spans="1:6" x14ac:dyDescent="0.2">
      <c r="A15713" t="s">
        <v>26143</v>
      </c>
      <c r="B15713" t="s">
        <v>26144</v>
      </c>
      <c r="C15713" t="s">
        <v>26145</v>
      </c>
      <c r="D15713" t="s">
        <v>267</v>
      </c>
      <c r="E15713" t="s">
        <v>154</v>
      </c>
      <c r="F15713" s="2" t="str">
        <f>HYPERLINK("http://www.otzar.org/book.asp?100878","חיים של שלום - 2 כר'")</f>
        <v>חיים של שלום - 2 כר'</v>
      </c>
    </row>
    <row r="15714" spans="1:6" x14ac:dyDescent="0.2">
      <c r="A15714" t="s">
        <v>26146</v>
      </c>
      <c r="B15714" t="s">
        <v>26147</v>
      </c>
      <c r="C15714" t="s">
        <v>411</v>
      </c>
      <c r="D15714" t="s">
        <v>245</v>
      </c>
      <c r="F15714" s="2" t="str">
        <f>HYPERLINK("http://www.otzar.org/book.asp?169644","חיים של שלמה - 2 כר'")</f>
        <v>חיים של שלמה - 2 כר'</v>
      </c>
    </row>
    <row r="15715" spans="1:6" x14ac:dyDescent="0.2">
      <c r="A15715" t="s">
        <v>26148</v>
      </c>
      <c r="B15715" t="s">
        <v>26149</v>
      </c>
      <c r="C15715" t="s">
        <v>114</v>
      </c>
      <c r="D15715" t="s">
        <v>14</v>
      </c>
      <c r="E15715" t="s">
        <v>144</v>
      </c>
      <c r="F15715" s="2" t="str">
        <f>HYPERLINK("http://www.otzar.org/book.asp?199837","חיים של תורה - גיטין, נדרים")</f>
        <v>חיים של תורה - גיטין, נדרים</v>
      </c>
    </row>
    <row r="15716" spans="1:6" x14ac:dyDescent="0.2">
      <c r="A15716" t="s">
        <v>26150</v>
      </c>
      <c r="B15716" t="s">
        <v>26151</v>
      </c>
      <c r="C15716" t="s">
        <v>146</v>
      </c>
      <c r="D15716" t="s">
        <v>423</v>
      </c>
      <c r="E15716" t="s">
        <v>186</v>
      </c>
      <c r="F15716" s="2" t="str">
        <f>HYPERLINK("http://www.otzar.org/book.asp?141786","חיים של תורה")</f>
        <v>חיים של תורה</v>
      </c>
    </row>
    <row r="15717" spans="1:6" x14ac:dyDescent="0.2">
      <c r="A15717" t="s">
        <v>26152</v>
      </c>
      <c r="B15717" t="s">
        <v>26153</v>
      </c>
      <c r="C15717" t="s">
        <v>103</v>
      </c>
      <c r="D15717" t="s">
        <v>52</v>
      </c>
      <c r="E15717" t="s">
        <v>158</v>
      </c>
      <c r="F15717" s="2" t="str">
        <f>HYPERLINK("http://www.otzar.org/book.asp?197116","חיים של תורה - 2 כר'")</f>
        <v>חיים של תורה - 2 כר'</v>
      </c>
    </row>
    <row r="15718" spans="1:6" x14ac:dyDescent="0.2">
      <c r="A15718" t="s">
        <v>26150</v>
      </c>
      <c r="B15718" t="s">
        <v>26154</v>
      </c>
      <c r="C15718" t="s">
        <v>13</v>
      </c>
      <c r="E15718" t="s">
        <v>202</v>
      </c>
      <c r="F15718" s="2" t="str">
        <f>HYPERLINK("http://www.otzar.org/book.asp?190210","חיים של תורה")</f>
        <v>חיים של תורה</v>
      </c>
    </row>
    <row r="15719" spans="1:6" x14ac:dyDescent="0.2">
      <c r="A15719" t="s">
        <v>26155</v>
      </c>
      <c r="B15719" t="s">
        <v>26156</v>
      </c>
      <c r="C15719" t="s">
        <v>313</v>
      </c>
      <c r="D15719" t="s">
        <v>14</v>
      </c>
      <c r="E15719" t="s">
        <v>148</v>
      </c>
      <c r="F15719" s="2" t="str">
        <f>HYPERLINK("http://www.otzar.org/book.asp?155401","חיים שנים ישלם")</f>
        <v>חיים שנים ישלם</v>
      </c>
    </row>
    <row r="15720" spans="1:6" x14ac:dyDescent="0.2">
      <c r="A15720" t="s">
        <v>26157</v>
      </c>
      <c r="B15720" t="s">
        <v>26158</v>
      </c>
      <c r="C15720" t="s">
        <v>568</v>
      </c>
      <c r="D15720" t="s">
        <v>157</v>
      </c>
      <c r="E15720" t="s">
        <v>1880</v>
      </c>
      <c r="F15720" s="2" t="str">
        <f>HYPERLINK("http://www.otzar.org/book.asp?102809","חיים שנים")</f>
        <v>חיים שנים</v>
      </c>
    </row>
    <row r="15721" spans="1:6" x14ac:dyDescent="0.2">
      <c r="A15721" t="s">
        <v>26159</v>
      </c>
      <c r="B15721" t="s">
        <v>155</v>
      </c>
      <c r="C15721" t="s">
        <v>5163</v>
      </c>
      <c r="D15721" t="s">
        <v>76</v>
      </c>
      <c r="E15721" t="s">
        <v>234</v>
      </c>
      <c r="F15721" s="2" t="str">
        <f>HYPERLINK("http://www.otzar.org/book.asp?200673","חיים תחילה דרכיו למשה")</f>
        <v>חיים תחילה דרכיו למשה</v>
      </c>
    </row>
    <row r="15722" spans="1:6" x14ac:dyDescent="0.2">
      <c r="A15722" t="s">
        <v>26160</v>
      </c>
      <c r="B15722" t="s">
        <v>155</v>
      </c>
      <c r="C15722" t="s">
        <v>785</v>
      </c>
      <c r="D15722" t="s">
        <v>14</v>
      </c>
      <c r="E15722" t="s">
        <v>158</v>
      </c>
      <c r="F15722" s="2" t="str">
        <f>HYPERLINK("http://www.otzar.org/book.asp?85145","חיים תחילה - 2 כר'")</f>
        <v>חיים תחילה - 2 כר'</v>
      </c>
    </row>
    <row r="15723" spans="1:6" x14ac:dyDescent="0.2">
      <c r="A15723" t="s">
        <v>26161</v>
      </c>
      <c r="B15723" t="s">
        <v>26162</v>
      </c>
      <c r="F15723" s="2" t="str">
        <f>HYPERLINK("http://www.otzar.org/book.asp?630393","חייקינים")</f>
        <v>חייקינים</v>
      </c>
    </row>
    <row r="15724" spans="1:6" x14ac:dyDescent="0.2">
      <c r="A15724" t="s">
        <v>26163</v>
      </c>
      <c r="B15724" t="s">
        <v>26164</v>
      </c>
      <c r="C15724" t="s">
        <v>71</v>
      </c>
      <c r="D15724" t="s">
        <v>52</v>
      </c>
      <c r="E15724" t="s">
        <v>933</v>
      </c>
      <c r="F15724" s="2" t="str">
        <f>HYPERLINK("http://www.otzar.org/book.asp?50763","חיכו ממתקים - 5 כר'")</f>
        <v>חיכו ממתקים - 5 כר'</v>
      </c>
    </row>
    <row r="15725" spans="1:6" x14ac:dyDescent="0.2">
      <c r="A15725" t="s">
        <v>26165</v>
      </c>
      <c r="B15725" t="s">
        <v>26166</v>
      </c>
      <c r="C15725" t="s">
        <v>888</v>
      </c>
      <c r="D15725" t="s">
        <v>27</v>
      </c>
      <c r="E15725" t="s">
        <v>84</v>
      </c>
      <c r="F15725" s="2" t="str">
        <f>HYPERLINK("http://www.otzar.org/book.asp?24507","חיל דמשק")</f>
        <v>חיל דמשק</v>
      </c>
    </row>
    <row r="15726" spans="1:6" x14ac:dyDescent="0.2">
      <c r="A15726" t="s">
        <v>26167</v>
      </c>
      <c r="B15726" t="s">
        <v>26168</v>
      </c>
      <c r="C15726" t="s">
        <v>71</v>
      </c>
      <c r="D15726" t="s">
        <v>14</v>
      </c>
      <c r="E15726" t="s">
        <v>15</v>
      </c>
      <c r="F15726" s="2" t="str">
        <f>HYPERLINK("http://www.otzar.org/book.asp?23392","חיל הארץ")</f>
        <v>חיל הארץ</v>
      </c>
    </row>
    <row r="15727" spans="1:6" x14ac:dyDescent="0.2">
      <c r="A15727" t="s">
        <v>26169</v>
      </c>
      <c r="B15727" t="s">
        <v>206</v>
      </c>
      <c r="C15727" t="s">
        <v>68</v>
      </c>
      <c r="D15727" t="s">
        <v>14</v>
      </c>
      <c r="E15727" t="s">
        <v>144</v>
      </c>
      <c r="F15727" s="2" t="str">
        <f>HYPERLINK("http://www.otzar.org/book.asp?155630","חיל המלך")</f>
        <v>חיל המלך</v>
      </c>
    </row>
    <row r="15728" spans="1:6" x14ac:dyDescent="0.2">
      <c r="A15728" t="s">
        <v>26170</v>
      </c>
      <c r="B15728" t="s">
        <v>26171</v>
      </c>
      <c r="C15728" t="s">
        <v>3106</v>
      </c>
      <c r="D15728" t="s">
        <v>26172</v>
      </c>
      <c r="E15728" t="s">
        <v>15</v>
      </c>
      <c r="F15728" s="2" t="str">
        <f>HYPERLINK("http://www.otzar.org/book.asp?148515","חיל המלך - 3 כר'")</f>
        <v>חיל המלך - 3 כר'</v>
      </c>
    </row>
    <row r="15729" spans="1:6" x14ac:dyDescent="0.2">
      <c r="A15729" t="s">
        <v>26173</v>
      </c>
      <c r="B15729" t="s">
        <v>26171</v>
      </c>
      <c r="C15729" t="s">
        <v>576</v>
      </c>
      <c r="D15729" t="s">
        <v>27</v>
      </c>
      <c r="E15729" t="s">
        <v>144</v>
      </c>
      <c r="F15729" s="2" t="str">
        <f>HYPERLINK("http://www.otzar.org/book.asp?9303","חיל המקדש - קדשים א")</f>
        <v>חיל המקדש - קדשים א</v>
      </c>
    </row>
    <row r="15730" spans="1:6" x14ac:dyDescent="0.2">
      <c r="A15730" t="s">
        <v>26174</v>
      </c>
      <c r="B15730" t="s">
        <v>11877</v>
      </c>
      <c r="C15730" t="s">
        <v>366</v>
      </c>
      <c r="D15730" t="s">
        <v>14</v>
      </c>
      <c r="E15730" t="s">
        <v>26175</v>
      </c>
      <c r="F15730" s="2" t="str">
        <f>HYPERLINK("http://www.otzar.org/book.asp?605908","חיל הצבא")</f>
        <v>חיל הצבא</v>
      </c>
    </row>
    <row r="15731" spans="1:6" x14ac:dyDescent="0.2">
      <c r="A15731" t="s">
        <v>26176</v>
      </c>
      <c r="B15731" t="s">
        <v>26177</v>
      </c>
      <c r="C15731" t="s">
        <v>609</v>
      </c>
      <c r="D15731" t="s">
        <v>691</v>
      </c>
      <c r="E15731" t="s">
        <v>26178</v>
      </c>
      <c r="F15731" s="2" t="str">
        <f>HYPERLINK("http://www.otzar.org/book.asp?102459","חיל וחוסן")</f>
        <v>חיל וחוסן</v>
      </c>
    </row>
    <row r="15732" spans="1:6" x14ac:dyDescent="0.2">
      <c r="A15732" t="s">
        <v>26179</v>
      </c>
      <c r="B15732" t="s">
        <v>26180</v>
      </c>
      <c r="C15732" t="s">
        <v>114</v>
      </c>
      <c r="D15732" t="s">
        <v>52</v>
      </c>
      <c r="E15732" t="s">
        <v>15</v>
      </c>
      <c r="F15732" s="2" t="str">
        <f>HYPERLINK("http://www.otzar.org/book.asp?166061","חיל יהודה - א")</f>
        <v>חיל יהודה - א</v>
      </c>
    </row>
    <row r="15733" spans="1:6" x14ac:dyDescent="0.2">
      <c r="A15733" t="s">
        <v>26181</v>
      </c>
      <c r="B15733" t="s">
        <v>26182</v>
      </c>
      <c r="C15733" t="s">
        <v>151</v>
      </c>
      <c r="D15733" t="s">
        <v>367</v>
      </c>
      <c r="E15733" t="s">
        <v>144</v>
      </c>
      <c r="F15733" s="2" t="str">
        <f>HYPERLINK("http://www.otzar.org/book.asp?615563","חיל שלמה - ביצה, סנהדרין")</f>
        <v>חיל שלמה - ביצה, סנהדרין</v>
      </c>
    </row>
    <row r="15734" spans="1:6" x14ac:dyDescent="0.2">
      <c r="A15734" t="s">
        <v>26183</v>
      </c>
      <c r="B15734" t="s">
        <v>26184</v>
      </c>
      <c r="C15734" t="s">
        <v>454</v>
      </c>
      <c r="D15734" t="s">
        <v>21</v>
      </c>
      <c r="E15734" t="s">
        <v>104</v>
      </c>
      <c r="F15734" s="2" t="str">
        <f>HYPERLINK("http://www.otzar.org/book.asp?604076","חילופי מכתבים")</f>
        <v>חילופי מכתבים</v>
      </c>
    </row>
    <row r="15735" spans="1:6" x14ac:dyDescent="0.2">
      <c r="A15735" t="s">
        <v>26185</v>
      </c>
      <c r="B15735" t="s">
        <v>26186</v>
      </c>
      <c r="C15735" t="s">
        <v>51</v>
      </c>
      <c r="D15735" t="s">
        <v>52</v>
      </c>
      <c r="E15735" t="s">
        <v>186</v>
      </c>
      <c r="F15735" s="2" t="str">
        <f>HYPERLINK("http://www.otzar.org/book.asp?154209","חילך לאורייתא - ג")</f>
        <v>חילך לאורייתא - ג</v>
      </c>
    </row>
    <row r="15736" spans="1:6" x14ac:dyDescent="0.2">
      <c r="A15736" t="s">
        <v>26187</v>
      </c>
      <c r="B15736" t="s">
        <v>26188</v>
      </c>
      <c r="C15736" t="s">
        <v>523</v>
      </c>
      <c r="D15736" t="s">
        <v>423</v>
      </c>
      <c r="E15736" t="s">
        <v>202</v>
      </c>
      <c r="F15736" s="2" t="str">
        <f>HYPERLINK("http://www.otzar.org/book.asp?5007","חילך לאורייתא")</f>
        <v>חילך לאורייתא</v>
      </c>
    </row>
    <row r="15737" spans="1:6" x14ac:dyDescent="0.2">
      <c r="A15737" t="s">
        <v>26187</v>
      </c>
      <c r="B15737" t="s">
        <v>26189</v>
      </c>
      <c r="C15737" t="s">
        <v>411</v>
      </c>
      <c r="D15737" t="s">
        <v>646</v>
      </c>
      <c r="F15737" s="2" t="str">
        <f>HYPERLINK("http://www.otzar.org/book.asp?182008","חילך לאורייתא")</f>
        <v>חילך לאורייתא</v>
      </c>
    </row>
    <row r="15738" spans="1:6" x14ac:dyDescent="0.2">
      <c r="A15738" t="s">
        <v>26190</v>
      </c>
      <c r="B15738" t="s">
        <v>5753</v>
      </c>
      <c r="C15738" t="s">
        <v>1570</v>
      </c>
      <c r="D15738" t="s">
        <v>14</v>
      </c>
      <c r="E15738" t="s">
        <v>674</v>
      </c>
      <c r="F15738" s="2" t="str">
        <f>HYPERLINK("http://www.otzar.org/book.asp?13164","חימום מים בשבת")</f>
        <v>חימום מים בשבת</v>
      </c>
    </row>
    <row r="15739" spans="1:6" x14ac:dyDescent="0.2">
      <c r="A15739" t="s">
        <v>26191</v>
      </c>
      <c r="B15739" t="s">
        <v>15047</v>
      </c>
      <c r="C15739" t="s">
        <v>462</v>
      </c>
      <c r="D15739" t="s">
        <v>225</v>
      </c>
      <c r="E15739" t="s">
        <v>154</v>
      </c>
      <c r="F15739" s="2" t="str">
        <f>HYPERLINK("http://www.otzar.org/book.asp?102812","חינא דחיי")</f>
        <v>חינא דחיי</v>
      </c>
    </row>
    <row r="15740" spans="1:6" x14ac:dyDescent="0.2">
      <c r="A15740" t="s">
        <v>26192</v>
      </c>
      <c r="B15740" t="s">
        <v>5411</v>
      </c>
      <c r="C15740" t="s">
        <v>26193</v>
      </c>
      <c r="D15740" t="s">
        <v>157</v>
      </c>
      <c r="E15740" t="s">
        <v>144</v>
      </c>
      <c r="F15740" s="2" t="str">
        <f>HYPERLINK("http://www.otzar.org/book.asp?152333","חינא וחסדא - 3 כר'")</f>
        <v>חינא וחסדא - 3 כר'</v>
      </c>
    </row>
    <row r="15741" spans="1:6" x14ac:dyDescent="0.2">
      <c r="A15741" t="s">
        <v>26194</v>
      </c>
      <c r="B15741" t="s">
        <v>26195</v>
      </c>
      <c r="C15741" t="s">
        <v>20</v>
      </c>
      <c r="D15741" t="s">
        <v>806</v>
      </c>
      <c r="F15741" s="2" t="str">
        <f>HYPERLINK("http://www.otzar.org/book.asp?198769","חינוך בדקה - א")</f>
        <v>חינוך בדקה - א</v>
      </c>
    </row>
    <row r="15742" spans="1:6" x14ac:dyDescent="0.2">
      <c r="A15742" t="s">
        <v>26196</v>
      </c>
      <c r="B15742" t="s">
        <v>26197</v>
      </c>
      <c r="C15742" t="s">
        <v>8294</v>
      </c>
      <c r="D15742" t="s">
        <v>322</v>
      </c>
      <c r="E15742" t="s">
        <v>154</v>
      </c>
      <c r="F15742" s="2" t="str">
        <f>HYPERLINK("http://www.otzar.org/book.asp?10754","חינוך בית יהודא")</f>
        <v>חינוך בית יהודא</v>
      </c>
    </row>
    <row r="15743" spans="1:6" x14ac:dyDescent="0.2">
      <c r="A15743" t="s">
        <v>26198</v>
      </c>
      <c r="B15743" t="s">
        <v>6900</v>
      </c>
      <c r="C15743" t="s">
        <v>1058</v>
      </c>
      <c r="D15743" t="s">
        <v>283</v>
      </c>
      <c r="E15743" t="s">
        <v>314</v>
      </c>
      <c r="F15743" s="2" t="str">
        <f>HYPERLINK("http://www.otzar.org/book.asp?6480","חינוך בית יהודה")</f>
        <v>חינוך בית יהודה</v>
      </c>
    </row>
    <row r="15744" spans="1:6" x14ac:dyDescent="0.2">
      <c r="A15744" t="s">
        <v>26199</v>
      </c>
      <c r="B15744" t="s">
        <v>26200</v>
      </c>
      <c r="C15744" t="s">
        <v>1364</v>
      </c>
      <c r="D15744" t="s">
        <v>661</v>
      </c>
      <c r="E15744" t="s">
        <v>158</v>
      </c>
      <c r="F15744" s="2" t="str">
        <f>HYPERLINK("http://www.otzar.org/book.asp?178963","חינוך בית יצחק - 2 כר'")</f>
        <v>חינוך בית יצחק - 2 כר'</v>
      </c>
    </row>
    <row r="15745" spans="1:6" x14ac:dyDescent="0.2">
      <c r="A15745" t="s">
        <v>26201</v>
      </c>
      <c r="B15745" t="s">
        <v>26202</v>
      </c>
      <c r="C15745" t="s">
        <v>728</v>
      </c>
      <c r="D15745" t="s">
        <v>592</v>
      </c>
      <c r="E15745" t="s">
        <v>234</v>
      </c>
      <c r="F15745" s="2" t="str">
        <f>HYPERLINK("http://www.otzar.org/book.asp?192236","חינוך בצלאל")</f>
        <v>חינוך בצלאל</v>
      </c>
    </row>
    <row r="15746" spans="1:6" x14ac:dyDescent="0.2">
      <c r="A15746" t="s">
        <v>26203</v>
      </c>
      <c r="B15746" t="s">
        <v>26204</v>
      </c>
      <c r="D15746" t="s">
        <v>14</v>
      </c>
      <c r="E15746" t="s">
        <v>15</v>
      </c>
      <c r="F15746" s="2" t="str">
        <f>HYPERLINK("http://www.otzar.org/book.asp?625534","חינוך הבית למצות ודיני קטן")</f>
        <v>חינוך הבית למצות ודיני קטן</v>
      </c>
    </row>
    <row r="15747" spans="1:6" x14ac:dyDescent="0.2">
      <c r="A15747" t="s">
        <v>26205</v>
      </c>
      <c r="B15747" t="s">
        <v>10427</v>
      </c>
      <c r="C15747" t="s">
        <v>334</v>
      </c>
      <c r="D15747" t="s">
        <v>412</v>
      </c>
      <c r="E15747" t="s">
        <v>104</v>
      </c>
      <c r="F15747" s="2" t="str">
        <f>HYPERLINK("http://www.otzar.org/book.asp?162413","חינוך הבית")</f>
        <v>חינוך הבית</v>
      </c>
    </row>
    <row r="15748" spans="1:6" x14ac:dyDescent="0.2">
      <c r="A15748" t="s">
        <v>26206</v>
      </c>
      <c r="B15748" t="s">
        <v>26207</v>
      </c>
      <c r="C15748" t="s">
        <v>23</v>
      </c>
      <c r="D15748" t="s">
        <v>412</v>
      </c>
      <c r="E15748" t="s">
        <v>15</v>
      </c>
      <c r="F15748" s="2" t="str">
        <f>HYPERLINK("http://www.otzar.org/book.asp?189039","חינוך הבנים והבנות")</f>
        <v>חינוך הבנים והבנות</v>
      </c>
    </row>
    <row r="15749" spans="1:6" x14ac:dyDescent="0.2">
      <c r="A15749" t="s">
        <v>26208</v>
      </c>
      <c r="B15749" t="s">
        <v>26209</v>
      </c>
      <c r="C15749" t="s">
        <v>133</v>
      </c>
      <c r="D15749" t="s">
        <v>367</v>
      </c>
      <c r="E15749" t="s">
        <v>15</v>
      </c>
      <c r="F15749" s="2" t="str">
        <f>HYPERLINK("http://www.otzar.org/book.asp?608274","חינוך הבנים כהלכתו - 2 כר'")</f>
        <v>חינוך הבנים כהלכתו - 2 כר'</v>
      </c>
    </row>
    <row r="15750" spans="1:6" x14ac:dyDescent="0.2">
      <c r="A15750" t="s">
        <v>26210</v>
      </c>
      <c r="B15750" t="s">
        <v>26211</v>
      </c>
      <c r="C15750" t="s">
        <v>103</v>
      </c>
      <c r="D15750" t="s">
        <v>14</v>
      </c>
      <c r="E15750" t="s">
        <v>579</v>
      </c>
      <c r="F15750" s="2" t="str">
        <f>HYPERLINK("http://www.otzar.org/book.asp?171021","חינוך הבנים - ברכת אהרן - ליקוטי רא""ם")</f>
        <v>חינוך הבנים - ברכת אהרן - ליקוטי רא"ם</v>
      </c>
    </row>
    <row r="15751" spans="1:6" x14ac:dyDescent="0.2">
      <c r="A15751" t="s">
        <v>26212</v>
      </c>
      <c r="B15751" t="s">
        <v>3384</v>
      </c>
      <c r="C15751" t="s">
        <v>523</v>
      </c>
      <c r="D15751" t="s">
        <v>14</v>
      </c>
      <c r="E15751" t="s">
        <v>104</v>
      </c>
      <c r="F15751" s="2" t="str">
        <f>HYPERLINK("http://www.otzar.org/book.asp?60440","חינוך הבנים")</f>
        <v>חינוך הבנים</v>
      </c>
    </row>
    <row r="15752" spans="1:6" x14ac:dyDescent="0.2">
      <c r="A15752" t="s">
        <v>26213</v>
      </c>
      <c r="B15752" t="s">
        <v>26214</v>
      </c>
      <c r="C15752" t="s">
        <v>2132</v>
      </c>
      <c r="D15752" t="s">
        <v>216</v>
      </c>
      <c r="E15752" t="s">
        <v>104</v>
      </c>
      <c r="F15752" s="2" t="str">
        <f>HYPERLINK("http://www.otzar.org/book.asp?156928","חינוך ילדים - 2 כר'")</f>
        <v>חינוך ילדים - 2 כר'</v>
      </c>
    </row>
    <row r="15753" spans="1:6" x14ac:dyDescent="0.2">
      <c r="A15753" t="s">
        <v>26215</v>
      </c>
      <c r="B15753" t="s">
        <v>15402</v>
      </c>
      <c r="C15753" t="s">
        <v>129</v>
      </c>
      <c r="D15753" t="s">
        <v>412</v>
      </c>
      <c r="E15753" t="s">
        <v>104</v>
      </c>
      <c r="F15753" s="2" t="str">
        <f>HYPERLINK("http://www.otzar.org/book.asp?52595","חינוך ישראל - 2 כר'")</f>
        <v>חינוך ישראל - 2 כר'</v>
      </c>
    </row>
    <row r="15754" spans="1:6" x14ac:dyDescent="0.2">
      <c r="A15754" t="s">
        <v>26216</v>
      </c>
      <c r="B15754" t="s">
        <v>26217</v>
      </c>
      <c r="C15754" t="s">
        <v>20</v>
      </c>
      <c r="D15754" t="s">
        <v>486</v>
      </c>
      <c r="F15754" s="2" t="str">
        <f>HYPERLINK("http://www.otzar.org/book.asp?182052","חינוך כיתה בהנאה")</f>
        <v>חינוך כיתה בהנאה</v>
      </c>
    </row>
    <row r="15755" spans="1:6" x14ac:dyDescent="0.2">
      <c r="A15755" t="s">
        <v>26218</v>
      </c>
      <c r="B15755" t="s">
        <v>26219</v>
      </c>
      <c r="C15755" t="s">
        <v>103</v>
      </c>
      <c r="D15755" t="s">
        <v>52</v>
      </c>
      <c r="E15755" t="s">
        <v>104</v>
      </c>
      <c r="F15755" s="2" t="str">
        <f>HYPERLINK("http://www.otzar.org/book.asp?154317","חינוך מלכותי - 2 כר'")</f>
        <v>חינוך מלכותי - 2 כר'</v>
      </c>
    </row>
    <row r="15756" spans="1:6" x14ac:dyDescent="0.2">
      <c r="A15756" t="s">
        <v>26220</v>
      </c>
      <c r="B15756" t="s">
        <v>26221</v>
      </c>
      <c r="C15756" t="s">
        <v>624</v>
      </c>
      <c r="D15756" t="s">
        <v>14</v>
      </c>
      <c r="E15756" t="s">
        <v>104</v>
      </c>
      <c r="F15756" s="2" t="str">
        <f>HYPERLINK("http://www.otzar.org/book.asp?106488","חינוך מן השמים")</f>
        <v>חינוך מן השמים</v>
      </c>
    </row>
    <row r="15757" spans="1:6" x14ac:dyDescent="0.2">
      <c r="A15757" t="s">
        <v>26222</v>
      </c>
      <c r="B15757" t="s">
        <v>26223</v>
      </c>
      <c r="C15757" t="s">
        <v>151</v>
      </c>
      <c r="D15757" t="s">
        <v>3406</v>
      </c>
      <c r="E15757" t="s">
        <v>104</v>
      </c>
      <c r="F15757" s="2" t="str">
        <f>HYPERLINK("http://www.otzar.org/book.asp?613644","חינוך עם חיוך")</f>
        <v>חינוך עם חיוך</v>
      </c>
    </row>
    <row r="15758" spans="1:6" x14ac:dyDescent="0.2">
      <c r="A15758" t="s">
        <v>26224</v>
      </c>
      <c r="B15758" t="s">
        <v>26225</v>
      </c>
      <c r="C15758" t="s">
        <v>189</v>
      </c>
      <c r="D15758" t="s">
        <v>52</v>
      </c>
      <c r="E15758" t="s">
        <v>104</v>
      </c>
      <c r="F15758" s="2" t="str">
        <f>HYPERLINK("http://www.otzar.org/book.asp?175987","חיסכון והגיון")</f>
        <v>חיסכון והגיון</v>
      </c>
    </row>
    <row r="15759" spans="1:6" x14ac:dyDescent="0.2">
      <c r="A15759" t="s">
        <v>26226</v>
      </c>
      <c r="B15759" t="s">
        <v>26227</v>
      </c>
      <c r="C15759" t="s">
        <v>1619</v>
      </c>
      <c r="D15759" t="s">
        <v>14</v>
      </c>
      <c r="E15759" t="s">
        <v>26228</v>
      </c>
      <c r="F15759" s="2" t="str">
        <f>HYPERLINK("http://www.otzar.org/book.asp?61140","חירגא דיומ""א")</f>
        <v>חירגא דיומ"א</v>
      </c>
    </row>
    <row r="15760" spans="1:6" x14ac:dyDescent="0.2">
      <c r="A15760" t="s">
        <v>26229</v>
      </c>
      <c r="B15760" t="s">
        <v>11562</v>
      </c>
      <c r="C15760" t="s">
        <v>37</v>
      </c>
      <c r="D15760" t="s">
        <v>152</v>
      </c>
      <c r="F15760" s="2" t="str">
        <f>HYPERLINK("http://www.otzar.org/book.asp?181887","חישבתי דרכי - 2 כר'")</f>
        <v>חישבתי דרכי - 2 כר'</v>
      </c>
    </row>
    <row r="15761" spans="1:6" x14ac:dyDescent="0.2">
      <c r="A15761" t="s">
        <v>26230</v>
      </c>
      <c r="B15761" t="s">
        <v>26231</v>
      </c>
      <c r="C15761" t="s">
        <v>422</v>
      </c>
      <c r="D15761" t="s">
        <v>152</v>
      </c>
      <c r="E15761" t="s">
        <v>674</v>
      </c>
      <c r="F15761" s="2" t="str">
        <f>HYPERLINK("http://www.otzar.org/book.asp?150897","חישוב ראיית הירח")</f>
        <v>חישוב ראיית הירח</v>
      </c>
    </row>
    <row r="15762" spans="1:6" x14ac:dyDescent="0.2">
      <c r="A15762" t="s">
        <v>26232</v>
      </c>
      <c r="B15762" t="s">
        <v>26233</v>
      </c>
      <c r="C15762" t="s">
        <v>26234</v>
      </c>
      <c r="D15762" t="s">
        <v>1023</v>
      </c>
      <c r="E15762" t="s">
        <v>733</v>
      </c>
      <c r="F15762" s="2" t="str">
        <f>HYPERLINK("http://www.otzar.org/book.asp?5498","חית קנה")</f>
        <v>חית קנה</v>
      </c>
    </row>
    <row r="15763" spans="1:6" x14ac:dyDescent="0.2">
      <c r="A15763" t="s">
        <v>26235</v>
      </c>
      <c r="B15763" t="s">
        <v>9085</v>
      </c>
      <c r="C15763" t="s">
        <v>1208</v>
      </c>
      <c r="D15763" t="s">
        <v>14</v>
      </c>
      <c r="E15763" t="s">
        <v>213</v>
      </c>
      <c r="F15763" s="2" t="str">
        <f>HYPERLINK("http://www.otzar.org/book.asp?154005","חיתו ארץ")</f>
        <v>חיתו ארץ</v>
      </c>
    </row>
    <row r="15764" spans="1:6" x14ac:dyDescent="0.2">
      <c r="A15764" t="s">
        <v>26235</v>
      </c>
      <c r="B15764" t="s">
        <v>107</v>
      </c>
      <c r="C15764" t="s">
        <v>87</v>
      </c>
      <c r="D15764" t="s">
        <v>14</v>
      </c>
      <c r="E15764" t="s">
        <v>104</v>
      </c>
      <c r="F15764" s="2" t="str">
        <f>HYPERLINK("http://www.otzar.org/book.asp?84016","חיתו ארץ")</f>
        <v>חיתו ארץ</v>
      </c>
    </row>
    <row r="15765" spans="1:6" x14ac:dyDescent="0.2">
      <c r="A15765" t="s">
        <v>26236</v>
      </c>
      <c r="B15765" t="s">
        <v>26237</v>
      </c>
      <c r="C15765" t="s">
        <v>23</v>
      </c>
      <c r="D15765" t="s">
        <v>412</v>
      </c>
      <c r="E15765" t="s">
        <v>230</v>
      </c>
      <c r="F15765" s="2" t="str">
        <f>HYPERLINK("http://www.otzar.org/book.asp?193687","חכו ממתקים")</f>
        <v>חכו ממתקים</v>
      </c>
    </row>
    <row r="15766" spans="1:6" x14ac:dyDescent="0.2">
      <c r="A15766" t="s">
        <v>26238</v>
      </c>
      <c r="B15766" t="s">
        <v>10750</v>
      </c>
      <c r="C15766" t="s">
        <v>176</v>
      </c>
      <c r="D15766" t="s">
        <v>1180</v>
      </c>
      <c r="E15766" t="s">
        <v>26239</v>
      </c>
      <c r="F15766" s="2" t="str">
        <f>HYPERLINK("http://www.otzar.org/book.asp?51450","חכימא ברמיזא")</f>
        <v>חכימא ברמיזא</v>
      </c>
    </row>
    <row r="15767" spans="1:6" x14ac:dyDescent="0.2">
      <c r="A15767" t="s">
        <v>26240</v>
      </c>
      <c r="B15767" t="s">
        <v>26241</v>
      </c>
      <c r="C15767" t="s">
        <v>854</v>
      </c>
      <c r="D15767" t="s">
        <v>283</v>
      </c>
      <c r="E15767" t="s">
        <v>144</v>
      </c>
      <c r="F15767" s="2" t="str">
        <f>HYPERLINK("http://www.otzar.org/book.asp?108200","חכימא דיהודאי")</f>
        <v>חכימא דיהודאי</v>
      </c>
    </row>
    <row r="15768" spans="1:6" x14ac:dyDescent="0.2">
      <c r="A15768" t="s">
        <v>26242</v>
      </c>
      <c r="B15768" t="s">
        <v>26243</v>
      </c>
      <c r="C15768" t="s">
        <v>37</v>
      </c>
      <c r="D15768" t="s">
        <v>118</v>
      </c>
      <c r="E15768" t="s">
        <v>15</v>
      </c>
      <c r="F15768" s="2" t="str">
        <f>HYPERLINK("http://www.otzar.org/book.asp?628017","חכם הרזים כהלכתו")</f>
        <v>חכם הרזים כהלכתו</v>
      </c>
    </row>
    <row r="15769" spans="1:6" x14ac:dyDescent="0.2">
      <c r="A15769" t="s">
        <v>26244</v>
      </c>
      <c r="B15769" t="s">
        <v>6671</v>
      </c>
      <c r="C15769" t="s">
        <v>482</v>
      </c>
      <c r="D15769" t="s">
        <v>260</v>
      </c>
      <c r="E15769" t="s">
        <v>140</v>
      </c>
      <c r="F15769" s="2" t="str">
        <f>HYPERLINK("http://www.otzar.org/book.asp?11669","חכם הרזים")</f>
        <v>חכם הרזים</v>
      </c>
    </row>
    <row r="15770" spans="1:6" x14ac:dyDescent="0.2">
      <c r="A15770" t="s">
        <v>26245</v>
      </c>
      <c r="B15770" t="s">
        <v>128</v>
      </c>
      <c r="C15770" t="s">
        <v>17</v>
      </c>
      <c r="D15770" t="s">
        <v>52</v>
      </c>
      <c r="E15770" t="s">
        <v>15</v>
      </c>
      <c r="F15770" s="2" t="str">
        <f>HYPERLINK("http://www.otzar.org/book.asp?52858","חכם לב יקח מצוות")</f>
        <v>חכם לב יקח מצוות</v>
      </c>
    </row>
    <row r="15771" spans="1:6" x14ac:dyDescent="0.2">
      <c r="A15771" t="s">
        <v>26246</v>
      </c>
      <c r="B15771" t="s">
        <v>26247</v>
      </c>
      <c r="C15771" t="s">
        <v>8</v>
      </c>
      <c r="D15771" t="s">
        <v>27</v>
      </c>
      <c r="E15771" t="s">
        <v>14086</v>
      </c>
      <c r="F15771" s="2" t="str">
        <f>HYPERLINK("http://www.otzar.org/book.asp?13826","חכם לב")</f>
        <v>חכם לב</v>
      </c>
    </row>
    <row r="15772" spans="1:6" x14ac:dyDescent="0.2">
      <c r="A15772" t="s">
        <v>26246</v>
      </c>
      <c r="B15772" t="s">
        <v>20131</v>
      </c>
      <c r="C15772" t="s">
        <v>395</v>
      </c>
      <c r="D15772" t="s">
        <v>212</v>
      </c>
      <c r="E15772" t="s">
        <v>246</v>
      </c>
      <c r="F15772" s="2" t="str">
        <f>HYPERLINK("http://www.otzar.org/book.asp?50877","חכם לב")</f>
        <v>חכם לב</v>
      </c>
    </row>
    <row r="15773" spans="1:6" x14ac:dyDescent="0.2">
      <c r="A15773" t="s">
        <v>26248</v>
      </c>
      <c r="B15773" t="s">
        <v>26249</v>
      </c>
      <c r="C15773" t="s">
        <v>2024</v>
      </c>
      <c r="D15773" t="s">
        <v>2303</v>
      </c>
      <c r="E15773" t="s">
        <v>674</v>
      </c>
      <c r="F15773" s="2" t="str">
        <f>HYPERLINK("http://www.otzar.org/book.asp?147304","חכם לב - 2 כר'")</f>
        <v>חכם לב - 2 כר'</v>
      </c>
    </row>
    <row r="15774" spans="1:6" x14ac:dyDescent="0.2">
      <c r="A15774" t="s">
        <v>26250</v>
      </c>
      <c r="B15774" t="s">
        <v>26251</v>
      </c>
      <c r="C15774" t="s">
        <v>20</v>
      </c>
      <c r="D15774" t="s">
        <v>14</v>
      </c>
      <c r="E15774" t="s">
        <v>119</v>
      </c>
      <c r="F15774" s="2" t="str">
        <f>HYPERLINK("http://www.otzar.org/book.asp?611857","חכם לב - תולדות רבי פנחס ליברמן")</f>
        <v>חכם לב - תולדות רבי פנחס ליברמן</v>
      </c>
    </row>
    <row r="15775" spans="1:6" x14ac:dyDescent="0.2">
      <c r="A15775" t="s">
        <v>26252</v>
      </c>
      <c r="B15775" t="s">
        <v>26253</v>
      </c>
      <c r="C15775" t="s">
        <v>23</v>
      </c>
      <c r="D15775" t="s">
        <v>14</v>
      </c>
      <c r="F15775" s="2" t="str">
        <f>HYPERLINK("http://www.otzar.org/book.asp?622783","חכם צבי &lt;מכון דובב מישרים&gt; - 2 כר'")</f>
        <v>חכם צבי &lt;מכון דובב מישרים&gt; - 2 כר'</v>
      </c>
    </row>
    <row r="15776" spans="1:6" x14ac:dyDescent="0.2">
      <c r="A15776" t="s">
        <v>26254</v>
      </c>
      <c r="B15776" t="s">
        <v>26253</v>
      </c>
      <c r="C15776" t="s">
        <v>5619</v>
      </c>
      <c r="D15776" t="s">
        <v>1023</v>
      </c>
      <c r="E15776" t="s">
        <v>154</v>
      </c>
      <c r="F15776" s="2" t="str">
        <f>HYPERLINK("http://www.otzar.org/book.asp?753","חכם צבי - 3 כר'")</f>
        <v>חכם צבי - 3 כר'</v>
      </c>
    </row>
    <row r="15777" spans="1:6" x14ac:dyDescent="0.2">
      <c r="A15777" t="s">
        <v>26255</v>
      </c>
      <c r="B15777" t="s">
        <v>107</v>
      </c>
      <c r="C15777" t="s">
        <v>466</v>
      </c>
      <c r="D15777" t="s">
        <v>14</v>
      </c>
      <c r="E15777" t="s">
        <v>119</v>
      </c>
      <c r="F15777" s="2" t="str">
        <f>HYPERLINK("http://www.otzar.org/book.asp?6298","חכם ר' בן ציון אבא שאול")</f>
        <v>חכם ר' בן ציון אבא שאול</v>
      </c>
    </row>
    <row r="15778" spans="1:6" x14ac:dyDescent="0.2">
      <c r="A15778" t="s">
        <v>26256</v>
      </c>
      <c r="B15778" t="s">
        <v>26257</v>
      </c>
      <c r="C15778" t="s">
        <v>8</v>
      </c>
      <c r="D15778" t="s">
        <v>8492</v>
      </c>
      <c r="E15778" t="s">
        <v>104</v>
      </c>
      <c r="F15778" s="2" t="str">
        <f>HYPERLINK("http://www.otzar.org/book.asp?171362","חכמה און חריפות")</f>
        <v>חכמה און חריפות</v>
      </c>
    </row>
    <row r="15779" spans="1:6" x14ac:dyDescent="0.2">
      <c r="A15779" t="s">
        <v>26258</v>
      </c>
      <c r="B15779" t="s">
        <v>26259</v>
      </c>
      <c r="C15779" t="s">
        <v>103</v>
      </c>
      <c r="D15779" t="s">
        <v>852</v>
      </c>
      <c r="E15779" t="s">
        <v>186</v>
      </c>
      <c r="F15779" s="2" t="str">
        <f>HYPERLINK("http://www.otzar.org/book.asp?50053","חכמה ודעת - 3 כר'")</f>
        <v>חכמה ודעת - 3 כר'</v>
      </c>
    </row>
    <row r="15780" spans="1:6" x14ac:dyDescent="0.2">
      <c r="A15780" t="s">
        <v>26260</v>
      </c>
      <c r="B15780" t="s">
        <v>4606</v>
      </c>
      <c r="C15780" t="s">
        <v>103</v>
      </c>
      <c r="D15780" t="s">
        <v>14</v>
      </c>
      <c r="E15780" t="s">
        <v>158</v>
      </c>
      <c r="F15780" s="2" t="str">
        <f>HYPERLINK("http://www.otzar.org/book.asp?61529","חכמה ודעת - 2 כר'")</f>
        <v>חכמה ודעת - 2 כר'</v>
      </c>
    </row>
    <row r="15781" spans="1:6" x14ac:dyDescent="0.2">
      <c r="A15781" t="s">
        <v>26261</v>
      </c>
      <c r="B15781" t="s">
        <v>11168</v>
      </c>
      <c r="C15781" t="s">
        <v>2008</v>
      </c>
      <c r="D15781" t="s">
        <v>1889</v>
      </c>
      <c r="E15781" t="s">
        <v>15</v>
      </c>
      <c r="F15781" s="2" t="str">
        <f>HYPERLINK("http://www.otzar.org/book.asp?23429","חכמה ומדע")</f>
        <v>חכמה ומדע</v>
      </c>
    </row>
    <row r="15782" spans="1:6" x14ac:dyDescent="0.2">
      <c r="A15782" t="s">
        <v>26262</v>
      </c>
      <c r="B15782" t="s">
        <v>2260</v>
      </c>
      <c r="C15782" t="s">
        <v>17</v>
      </c>
      <c r="D15782" t="s">
        <v>14</v>
      </c>
      <c r="E15782" t="s">
        <v>241</v>
      </c>
      <c r="F15782" s="2" t="str">
        <f>HYPERLINK("http://www.otzar.org/book.asp?152365","חכמה ומוסר &lt;מכון הכתב&gt;")</f>
        <v>חכמה ומוסר &lt;מכון הכתב&gt;</v>
      </c>
    </row>
    <row r="15783" spans="1:6" x14ac:dyDescent="0.2">
      <c r="A15783" t="s">
        <v>26263</v>
      </c>
      <c r="B15783" t="s">
        <v>11760</v>
      </c>
      <c r="C15783" t="s">
        <v>23</v>
      </c>
      <c r="D15783" t="s">
        <v>5172</v>
      </c>
      <c r="F15783" s="2" t="str">
        <f>HYPERLINK("http://www.otzar.org/book.asp?198628","חכמה ומוסר לרלב""ג")</f>
        <v>חכמה ומוסר לרלב"ג</v>
      </c>
    </row>
    <row r="15784" spans="1:6" x14ac:dyDescent="0.2">
      <c r="A15784" t="s">
        <v>26264</v>
      </c>
      <c r="B15784" t="s">
        <v>4307</v>
      </c>
      <c r="C15784" t="s">
        <v>237</v>
      </c>
      <c r="D15784" t="s">
        <v>26265</v>
      </c>
      <c r="F15784" s="2" t="str">
        <f>HYPERLINK("http://www.otzar.org/book.asp?620642","חכמה ומוסר - 3 כר'")</f>
        <v>חכמה ומוסר - 3 כר'</v>
      </c>
    </row>
    <row r="15785" spans="1:6" x14ac:dyDescent="0.2">
      <c r="A15785" t="s">
        <v>26266</v>
      </c>
      <c r="B15785" t="s">
        <v>26267</v>
      </c>
      <c r="C15785" t="s">
        <v>767</v>
      </c>
      <c r="D15785" t="s">
        <v>423</v>
      </c>
      <c r="E15785" t="s">
        <v>104</v>
      </c>
      <c r="F15785" s="2" t="str">
        <f>HYPERLINK("http://www.otzar.org/book.asp?64175","חכמה ומוסר - קיצור חובת הלבבות - יורה חטאים")</f>
        <v>חכמה ומוסר - קיצור חובת הלבבות - יורה חטאים</v>
      </c>
    </row>
    <row r="15786" spans="1:6" x14ac:dyDescent="0.2">
      <c r="A15786" t="s">
        <v>3792</v>
      </c>
      <c r="B15786" t="s">
        <v>26268</v>
      </c>
      <c r="C15786" t="s">
        <v>23</v>
      </c>
      <c r="D15786" t="s">
        <v>276</v>
      </c>
      <c r="E15786" t="s">
        <v>213</v>
      </c>
      <c r="F15786" s="2" t="str">
        <f>HYPERLINK("http://www.otzar.org/book.asp?191577","חכמה ומוסר")</f>
        <v>חכמה ומוסר</v>
      </c>
    </row>
    <row r="15787" spans="1:6" x14ac:dyDescent="0.2">
      <c r="A15787" t="s">
        <v>26269</v>
      </c>
      <c r="B15787" t="s">
        <v>2260</v>
      </c>
      <c r="C15787" t="s">
        <v>1268</v>
      </c>
      <c r="D15787" t="s">
        <v>14</v>
      </c>
      <c r="E15787" t="s">
        <v>8107</v>
      </c>
      <c r="F15787" s="2" t="str">
        <f>HYPERLINK("http://www.otzar.org/book.asp?545","חכמה ומוסר - 2 כר'")</f>
        <v>חכמה ומוסר - 2 כר'</v>
      </c>
    </row>
    <row r="15788" spans="1:6" x14ac:dyDescent="0.2">
      <c r="A15788" t="s">
        <v>26270</v>
      </c>
      <c r="B15788" t="s">
        <v>2260</v>
      </c>
      <c r="C15788" t="s">
        <v>390</v>
      </c>
      <c r="D15788" t="s">
        <v>14</v>
      </c>
      <c r="F15788" s="2" t="str">
        <f>HYPERLINK("http://www.otzar.org/book.asp?616207","חכמה ומוסר, אהל ישרים")</f>
        <v>חכמה ומוסר, אהל ישרים</v>
      </c>
    </row>
    <row r="15789" spans="1:6" x14ac:dyDescent="0.2">
      <c r="A15789" t="s">
        <v>26271</v>
      </c>
      <c r="B15789" t="s">
        <v>1014</v>
      </c>
      <c r="C15789" t="s">
        <v>1619</v>
      </c>
      <c r="D15789" t="s">
        <v>27</v>
      </c>
      <c r="E15789" t="s">
        <v>140</v>
      </c>
      <c r="F15789" s="2" t="str">
        <f>HYPERLINK("http://www.otzar.org/book.asp?179096","חכמה ותבונה")</f>
        <v>חכמה ותבונה</v>
      </c>
    </row>
    <row r="15790" spans="1:6" x14ac:dyDescent="0.2">
      <c r="A15790" t="s">
        <v>26272</v>
      </c>
      <c r="B15790" t="s">
        <v>26273</v>
      </c>
      <c r="C15790" t="s">
        <v>4705</v>
      </c>
      <c r="D15790" t="s">
        <v>157</v>
      </c>
      <c r="E15790" t="s">
        <v>234</v>
      </c>
      <c r="F15790" s="2" t="str">
        <f>HYPERLINK("http://www.otzar.org/book.asp?151649","חכמה מאין")</f>
        <v>חכמה מאין</v>
      </c>
    </row>
    <row r="15791" spans="1:6" x14ac:dyDescent="0.2">
      <c r="A15791" t="s">
        <v>26274</v>
      </c>
      <c r="B15791" t="s">
        <v>18153</v>
      </c>
      <c r="C15791" t="s">
        <v>26275</v>
      </c>
      <c r="D15791" t="s">
        <v>280</v>
      </c>
      <c r="E15791" t="s">
        <v>26276</v>
      </c>
      <c r="F15791" s="2" t="str">
        <f>HYPERLINK("http://www.otzar.org/book.asp?103032","חכמה עם נחלה - 3 כר'")</f>
        <v>חכמה עם נחלה - 3 כר'</v>
      </c>
    </row>
    <row r="15792" spans="1:6" x14ac:dyDescent="0.2">
      <c r="A15792" t="s">
        <v>26277</v>
      </c>
      <c r="B15792" t="s">
        <v>26278</v>
      </c>
      <c r="C15792" t="s">
        <v>767</v>
      </c>
      <c r="D15792" t="s">
        <v>14</v>
      </c>
      <c r="E15792" t="s">
        <v>104</v>
      </c>
      <c r="F15792" s="2" t="str">
        <f>HYPERLINK("http://www.otzar.org/book.asp?167797","חכמה שבה")</f>
        <v>חכמה שבה</v>
      </c>
    </row>
    <row r="15793" spans="1:6" x14ac:dyDescent="0.2">
      <c r="A15793" t="s">
        <v>26279</v>
      </c>
      <c r="B15793" t="s">
        <v>26280</v>
      </c>
      <c r="C15793" t="s">
        <v>1995</v>
      </c>
      <c r="D15793" t="s">
        <v>26281</v>
      </c>
      <c r="E15793" t="s">
        <v>104</v>
      </c>
      <c r="F15793" s="2" t="str">
        <f>HYPERLINK("http://www.otzar.org/book.asp?144574","חכמה")</f>
        <v>חכמה</v>
      </c>
    </row>
    <row r="15794" spans="1:6" x14ac:dyDescent="0.2">
      <c r="A15794" t="s">
        <v>26282</v>
      </c>
      <c r="B15794" t="s">
        <v>26283</v>
      </c>
      <c r="C15794" t="s">
        <v>585</v>
      </c>
      <c r="D15794" t="s">
        <v>216</v>
      </c>
      <c r="E15794" t="s">
        <v>119</v>
      </c>
      <c r="F15794" s="2" t="str">
        <f>HYPERLINK("http://www.otzar.org/book.asp?180687","חכמות נשים")</f>
        <v>חכמות נשים</v>
      </c>
    </row>
    <row r="15795" spans="1:6" x14ac:dyDescent="0.2">
      <c r="A15795" t="s">
        <v>26284</v>
      </c>
      <c r="B15795" t="s">
        <v>2601</v>
      </c>
      <c r="C15795" t="s">
        <v>462</v>
      </c>
      <c r="D15795" t="s">
        <v>4288</v>
      </c>
      <c r="E15795" t="s">
        <v>119</v>
      </c>
      <c r="F15795" s="2" t="str">
        <f>HYPERLINK("http://www.otzar.org/book.asp?100467","חכמי א'ה'ו' - ח""ב מאוה למושב")</f>
        <v>חכמי א'ה'ו' - ח"ב מאוה למושב</v>
      </c>
    </row>
    <row r="15796" spans="1:6" x14ac:dyDescent="0.2">
      <c r="A15796" t="s">
        <v>26285</v>
      </c>
      <c r="B15796" t="s">
        <v>12925</v>
      </c>
      <c r="C15796" t="s">
        <v>940</v>
      </c>
      <c r="D15796" t="s">
        <v>14</v>
      </c>
      <c r="E15796" t="s">
        <v>733</v>
      </c>
      <c r="F15796" s="2" t="str">
        <f>HYPERLINK("http://www.otzar.org/book.asp?169746","חכמי היהודים בתימן")</f>
        <v>חכמי היהודים בתימן</v>
      </c>
    </row>
    <row r="15797" spans="1:6" x14ac:dyDescent="0.2">
      <c r="A15797" t="s">
        <v>26286</v>
      </c>
      <c r="B15797" t="s">
        <v>8162</v>
      </c>
      <c r="C15797" t="s">
        <v>585</v>
      </c>
      <c r="D15797" t="s">
        <v>14</v>
      </c>
      <c r="E15797" t="s">
        <v>119</v>
      </c>
      <c r="F15797" s="2" t="str">
        <f>HYPERLINK("http://www.otzar.org/book.asp?163145","חכמי המזרח")</f>
        <v>חכמי המזרח</v>
      </c>
    </row>
    <row r="15798" spans="1:6" x14ac:dyDescent="0.2">
      <c r="A15798" t="s">
        <v>26287</v>
      </c>
      <c r="B15798" t="s">
        <v>26288</v>
      </c>
      <c r="C15798" t="s">
        <v>383</v>
      </c>
      <c r="D15798" t="s">
        <v>14</v>
      </c>
      <c r="E15798" t="s">
        <v>119</v>
      </c>
      <c r="F15798" s="2" t="str">
        <f>HYPERLINK("http://www.otzar.org/book.asp?171018","חכמי המערב בירושלים")</f>
        <v>חכמי המערב בירושלים</v>
      </c>
    </row>
    <row r="15799" spans="1:6" x14ac:dyDescent="0.2">
      <c r="A15799" t="s">
        <v>26289</v>
      </c>
      <c r="B15799" t="s">
        <v>26290</v>
      </c>
      <c r="C15799" t="s">
        <v>26291</v>
      </c>
      <c r="D15799" t="s">
        <v>27</v>
      </c>
      <c r="E15799" t="s">
        <v>26292</v>
      </c>
      <c r="F15799" s="2" t="str">
        <f>HYPERLINK("http://www.otzar.org/book.asp?13174","חכמי התלמוד - 2 כר'")</f>
        <v>חכמי התלמוד - 2 כר'</v>
      </c>
    </row>
    <row r="15800" spans="1:6" x14ac:dyDescent="0.2">
      <c r="A15800" t="s">
        <v>26293</v>
      </c>
      <c r="B15800" t="s">
        <v>1691</v>
      </c>
      <c r="C15800" t="s">
        <v>68</v>
      </c>
      <c r="D15800" t="s">
        <v>14</v>
      </c>
      <c r="E15800" t="s">
        <v>158</v>
      </c>
      <c r="F15800" s="2" t="str">
        <f>HYPERLINK("http://www.otzar.org/book.asp?619228","חכמי וגאוני מרוקו - 2 כר'")</f>
        <v>חכמי וגאוני מרוקו - 2 כר'</v>
      </c>
    </row>
    <row r="15801" spans="1:6" x14ac:dyDescent="0.2">
      <c r="A15801" t="s">
        <v>26294</v>
      </c>
      <c r="B15801" t="s">
        <v>13219</v>
      </c>
      <c r="C15801" t="s">
        <v>624</v>
      </c>
      <c r="D15801" t="s">
        <v>14</v>
      </c>
      <c r="E15801" t="s">
        <v>119</v>
      </c>
      <c r="F15801" s="2" t="str">
        <f>HYPERLINK("http://www.otzar.org/book.asp?84974","חכמי יהודי מצרים")</f>
        <v>חכמי יהודי מצרים</v>
      </c>
    </row>
    <row r="15802" spans="1:6" x14ac:dyDescent="0.2">
      <c r="A15802" t="s">
        <v>26295</v>
      </c>
      <c r="B15802" t="s">
        <v>26296</v>
      </c>
      <c r="C15802" t="s">
        <v>124</v>
      </c>
      <c r="D15802" t="s">
        <v>14</v>
      </c>
      <c r="E15802" t="s">
        <v>733</v>
      </c>
      <c r="F15802" s="2" t="str">
        <f>HYPERLINK("http://www.otzar.org/book.asp?15395","חכמי ירושלים")</f>
        <v>חכמי ירושלים</v>
      </c>
    </row>
    <row r="15803" spans="1:6" x14ac:dyDescent="0.2">
      <c r="A15803" t="s">
        <v>26297</v>
      </c>
      <c r="B15803" t="s">
        <v>12964</v>
      </c>
      <c r="C15803" t="s">
        <v>585</v>
      </c>
      <c r="D15803" t="s">
        <v>14</v>
      </c>
      <c r="E15803" t="s">
        <v>733</v>
      </c>
      <c r="F15803" s="2" t="str">
        <f>HYPERLINK("http://www.otzar.org/book.asp?159233","חכמי ישראל בג'רבא ובתוניס")</f>
        <v>חכמי ישראל בג'רבא ובתוניס</v>
      </c>
    </row>
    <row r="15804" spans="1:6" x14ac:dyDescent="0.2">
      <c r="A15804" t="s">
        <v>26298</v>
      </c>
      <c r="B15804" t="s">
        <v>3384</v>
      </c>
      <c r="C15804" t="s">
        <v>767</v>
      </c>
      <c r="D15804" t="s">
        <v>14</v>
      </c>
      <c r="E15804" t="s">
        <v>733</v>
      </c>
      <c r="F15804" s="2" t="str">
        <f>HYPERLINK("http://www.otzar.org/book.asp?60436","חכמי ישראל בילדותם")</f>
        <v>חכמי ישראל בילדותם</v>
      </c>
    </row>
    <row r="15805" spans="1:6" x14ac:dyDescent="0.2">
      <c r="A15805" t="s">
        <v>26299</v>
      </c>
      <c r="B15805" t="s">
        <v>26299</v>
      </c>
      <c r="C15805" t="s">
        <v>581</v>
      </c>
      <c r="D15805" t="s">
        <v>9</v>
      </c>
      <c r="E15805" t="s">
        <v>741</v>
      </c>
      <c r="F15805" s="2" t="str">
        <f>HYPERLINK("http://www.otzar.org/book.asp?50878","חכמי ישראל בעש""ט")</f>
        <v>חכמי ישראל בעש"ט</v>
      </c>
    </row>
    <row r="15806" spans="1:6" x14ac:dyDescent="0.2">
      <c r="A15806" t="s">
        <v>26300</v>
      </c>
      <c r="B15806" t="s">
        <v>7031</v>
      </c>
      <c r="C15806" t="s">
        <v>133</v>
      </c>
      <c r="D15806" t="s">
        <v>52</v>
      </c>
      <c r="E15806" t="s">
        <v>733</v>
      </c>
      <c r="F15806" s="2" t="str">
        <f>HYPERLINK("http://www.otzar.org/book.asp?180065","חכמי ישראל שבתימן - 2 כר'")</f>
        <v>חכמי ישראל שבתימן - 2 כר'</v>
      </c>
    </row>
    <row r="15807" spans="1:6" x14ac:dyDescent="0.2">
      <c r="A15807" t="s">
        <v>26301</v>
      </c>
      <c r="B15807" t="s">
        <v>26302</v>
      </c>
      <c r="C15807" t="s">
        <v>1609</v>
      </c>
      <c r="D15807" t="s">
        <v>260</v>
      </c>
      <c r="E15807" t="s">
        <v>119</v>
      </c>
      <c r="F15807" s="2" t="str">
        <f>HYPERLINK("http://www.otzar.org/book.asp?156808","חכמי ישראל - 2 כר'")</f>
        <v>חכמי ישראל - 2 כר'</v>
      </c>
    </row>
    <row r="15808" spans="1:6" x14ac:dyDescent="0.2">
      <c r="A15808" t="s">
        <v>26303</v>
      </c>
      <c r="B15808" t="s">
        <v>26304</v>
      </c>
      <c r="C15808" t="s">
        <v>87</v>
      </c>
      <c r="D15808" t="s">
        <v>14</v>
      </c>
      <c r="E15808" t="s">
        <v>186</v>
      </c>
      <c r="F15808" s="2" t="str">
        <f>HYPERLINK("http://www.otzar.org/book.asp?143937","חכמי לב - 6 כר'")</f>
        <v>חכמי לב - 6 כר'</v>
      </c>
    </row>
    <row r="15809" spans="1:6" x14ac:dyDescent="0.2">
      <c r="A15809" t="s">
        <v>26305</v>
      </c>
      <c r="B15809" t="s">
        <v>26306</v>
      </c>
      <c r="C15809" t="s">
        <v>1169</v>
      </c>
      <c r="D15809" t="s">
        <v>27</v>
      </c>
      <c r="E15809" t="s">
        <v>119</v>
      </c>
      <c r="F15809" s="2" t="str">
        <f>HYPERLINK("http://www.otzar.org/book.asp?144163","חכמי ליטא")</f>
        <v>חכמי ליטא</v>
      </c>
    </row>
    <row r="15810" spans="1:6" x14ac:dyDescent="0.2">
      <c r="A15810" t="s">
        <v>26305</v>
      </c>
      <c r="B15810" t="s">
        <v>4369</v>
      </c>
      <c r="C15810" t="s">
        <v>224</v>
      </c>
      <c r="D15810" t="s">
        <v>26307</v>
      </c>
      <c r="E15810" t="s">
        <v>202</v>
      </c>
      <c r="F15810" s="2" t="str">
        <f>HYPERLINK("http://www.otzar.org/book.asp?108369","חכמי ליטא")</f>
        <v>חכמי ליטא</v>
      </c>
    </row>
    <row r="15811" spans="1:6" x14ac:dyDescent="0.2">
      <c r="A15811" t="s">
        <v>26308</v>
      </c>
      <c r="B15811" t="s">
        <v>5651</v>
      </c>
      <c r="C15811" t="s">
        <v>422</v>
      </c>
      <c r="D15811" t="s">
        <v>14</v>
      </c>
      <c r="E15811" t="s">
        <v>733</v>
      </c>
      <c r="F15811" s="2" t="str">
        <f>HYPERLINK("http://www.otzar.org/book.asp?159936","חכמי פולין")</f>
        <v>חכמי פולין</v>
      </c>
    </row>
    <row r="15812" spans="1:6" x14ac:dyDescent="0.2">
      <c r="A15812" t="s">
        <v>26309</v>
      </c>
      <c r="B15812" t="s">
        <v>26310</v>
      </c>
      <c r="C15812" t="s">
        <v>129</v>
      </c>
      <c r="D15812" t="s">
        <v>2458</v>
      </c>
      <c r="E15812" t="s">
        <v>119</v>
      </c>
      <c r="F15812" s="2" t="str">
        <f>HYPERLINK("http://www.otzar.org/book.asp?172811","חכמי שפייר בימי גזרות תתנ""ו ואחריהם")</f>
        <v>חכמי שפייר בימי גזרות תתנ"ו ואחריהם</v>
      </c>
    </row>
    <row r="15813" spans="1:6" x14ac:dyDescent="0.2">
      <c r="A15813" t="s">
        <v>26311</v>
      </c>
      <c r="B15813" t="s">
        <v>13219</v>
      </c>
      <c r="C15813" t="s">
        <v>313</v>
      </c>
      <c r="D15813" t="s">
        <v>14</v>
      </c>
      <c r="E15813" t="s">
        <v>119</v>
      </c>
      <c r="F15813" s="2" t="str">
        <f>HYPERLINK("http://www.otzar.org/book.asp?84977","חכמיהם של ארבע ערי הקודש - 2 כר'")</f>
        <v>חכמיהם של ארבע ערי הקודש - 2 כר'</v>
      </c>
    </row>
    <row r="15814" spans="1:6" x14ac:dyDescent="0.2">
      <c r="A15814" t="s">
        <v>26312</v>
      </c>
      <c r="B15814" t="s">
        <v>13219</v>
      </c>
      <c r="C15814" t="s">
        <v>103</v>
      </c>
      <c r="D15814" t="s">
        <v>14</v>
      </c>
      <c r="E15814" t="s">
        <v>119</v>
      </c>
      <c r="F15814" s="2" t="str">
        <f>HYPERLINK("http://www.otzar.org/book.asp?84976","חכמיהם של יהודי ספרד והמזרח")</f>
        <v>חכמיהם של יהודי ספרד והמזרח</v>
      </c>
    </row>
    <row r="15815" spans="1:6" x14ac:dyDescent="0.2">
      <c r="A15815" t="s">
        <v>26313</v>
      </c>
      <c r="B15815" t="s">
        <v>13219</v>
      </c>
      <c r="C15815" t="s">
        <v>767</v>
      </c>
      <c r="D15815" t="s">
        <v>14</v>
      </c>
      <c r="E15815" t="s">
        <v>119</v>
      </c>
      <c r="F15815" s="2" t="str">
        <f>HYPERLINK("http://www.otzar.org/book.asp?84973","חכמיהם של יהודי פרס ואפגניסטאן")</f>
        <v>חכמיהם של יהודי פרס ואפגניסטאן</v>
      </c>
    </row>
    <row r="15816" spans="1:6" x14ac:dyDescent="0.2">
      <c r="A15816" t="s">
        <v>26314</v>
      </c>
      <c r="B15816" t="s">
        <v>7031</v>
      </c>
      <c r="C15816" t="s">
        <v>767</v>
      </c>
      <c r="D15816" t="s">
        <v>52</v>
      </c>
      <c r="E15816" t="s">
        <v>119</v>
      </c>
      <c r="F15816" s="2" t="str">
        <f>HYPERLINK("http://www.otzar.org/book.asp?61496","חכמים וסופרים בתימן במאה הי""ח")</f>
        <v>חכמים וסופרים בתימן במאה הי"ח</v>
      </c>
    </row>
    <row r="15817" spans="1:6" x14ac:dyDescent="0.2">
      <c r="A15817" t="s">
        <v>26315</v>
      </c>
      <c r="B15817" t="s">
        <v>26316</v>
      </c>
      <c r="C15817" t="s">
        <v>71</v>
      </c>
      <c r="D15817" t="s">
        <v>14</v>
      </c>
      <c r="E15817" t="s">
        <v>733</v>
      </c>
      <c r="F15817" s="2" t="str">
        <f>HYPERLINK("http://www.otzar.org/book.asp?144014","חכמים ותורתם")</f>
        <v>חכמים ותורתם</v>
      </c>
    </row>
    <row r="15818" spans="1:6" x14ac:dyDescent="0.2">
      <c r="A15818" t="s">
        <v>26317</v>
      </c>
      <c r="B15818" t="s">
        <v>26318</v>
      </c>
      <c r="C15818" t="s">
        <v>68</v>
      </c>
      <c r="D15818" t="s">
        <v>412</v>
      </c>
      <c r="E15818" t="s">
        <v>15</v>
      </c>
      <c r="F15818" s="2" t="str">
        <f>HYPERLINK("http://www.otzar.org/book.asp?172891","חכמת אדם &lt;חיי אברהם&gt; - 2 כר'")</f>
        <v>חכמת אדם &lt;חיי אברהם&gt; - 2 כר'</v>
      </c>
    </row>
    <row r="15819" spans="1:6" x14ac:dyDescent="0.2">
      <c r="A15819" t="s">
        <v>26319</v>
      </c>
      <c r="B15819" t="s">
        <v>9751</v>
      </c>
      <c r="C15819" t="s">
        <v>189</v>
      </c>
      <c r="D15819" t="s">
        <v>1511</v>
      </c>
      <c r="E15819" t="s">
        <v>3489</v>
      </c>
      <c r="F15819" s="2" t="str">
        <f>HYPERLINK("http://www.otzar.org/book.asp?183254","חכמת אדם &lt;דרכי החכמה - 5 כר'")</f>
        <v>חכמת אדם &lt;דרכי החכמה - 5 כר'</v>
      </c>
    </row>
    <row r="15820" spans="1:6" x14ac:dyDescent="0.2">
      <c r="A15820" t="s">
        <v>26320</v>
      </c>
      <c r="B15820" t="s">
        <v>9751</v>
      </c>
      <c r="C15820" t="s">
        <v>767</v>
      </c>
      <c r="D15820" t="s">
        <v>27</v>
      </c>
      <c r="E15820" t="s">
        <v>15</v>
      </c>
      <c r="F15820" s="2" t="str">
        <f>HYPERLINK("http://www.otzar.org/book.asp?600444","חכמת אדם &lt;מהדורה חדשה&gt; - 3 כר'")</f>
        <v>חכמת אדם &lt;מהדורה חדשה&gt; - 3 כר'</v>
      </c>
    </row>
    <row r="15821" spans="1:6" x14ac:dyDescent="0.2">
      <c r="A15821" t="s">
        <v>26321</v>
      </c>
      <c r="B15821" t="s">
        <v>9751</v>
      </c>
      <c r="C15821" t="s">
        <v>985</v>
      </c>
      <c r="D15821" t="s">
        <v>412</v>
      </c>
      <c r="E15821" t="s">
        <v>15</v>
      </c>
      <c r="F15821" s="2" t="str">
        <f>HYPERLINK("http://www.otzar.org/book.asp?612230","חכמת אדם &lt;תוספות חכמה&gt;")</f>
        <v>חכמת אדם &lt;תוספות חכמה&gt;</v>
      </c>
    </row>
    <row r="15822" spans="1:6" x14ac:dyDescent="0.2">
      <c r="A15822" t="s">
        <v>26322</v>
      </c>
      <c r="B15822" t="s">
        <v>26323</v>
      </c>
      <c r="C15822" t="s">
        <v>20</v>
      </c>
      <c r="D15822" t="s">
        <v>412</v>
      </c>
      <c r="E15822" t="s">
        <v>674</v>
      </c>
      <c r="F15822" s="2" t="str">
        <f>HYPERLINK("http://www.otzar.org/book.asp?198290","חכמת אדם &lt;ביאורים והערות&gt; - צדקה, מילה, פדיון הבן, אבילות")</f>
        <v>חכמת אדם &lt;ביאורים והערות&gt; - צדקה, מילה, פדיון הבן, אבילות</v>
      </c>
    </row>
    <row r="15823" spans="1:6" x14ac:dyDescent="0.2">
      <c r="A15823" t="s">
        <v>26324</v>
      </c>
      <c r="B15823" t="s">
        <v>9751</v>
      </c>
      <c r="C15823" t="s">
        <v>989</v>
      </c>
      <c r="D15823" t="s">
        <v>14</v>
      </c>
      <c r="E15823" t="s">
        <v>172</v>
      </c>
      <c r="F15823" s="2" t="str">
        <f>HYPERLINK("http://www.otzar.org/book.asp?19412","חכמת אדם ובינת אדם")</f>
        <v>חכמת אדם ובינת אדם</v>
      </c>
    </row>
    <row r="15824" spans="1:6" x14ac:dyDescent="0.2">
      <c r="A15824" t="s">
        <v>26325</v>
      </c>
      <c r="B15824" t="s">
        <v>26326</v>
      </c>
      <c r="C15824" t="s">
        <v>1160</v>
      </c>
      <c r="D15824" t="s">
        <v>27</v>
      </c>
      <c r="F15824" s="2" t="str">
        <f>HYPERLINK("http://www.otzar.org/book.asp?190727","חכמת אדם ושערי צדק &lt;הערות בעניינים שונים&gt;")</f>
        <v>חכמת אדם ושערי צדק &lt;הערות בעניינים שונים&gt;</v>
      </c>
    </row>
    <row r="15825" spans="1:6" x14ac:dyDescent="0.2">
      <c r="A15825" t="s">
        <v>26327</v>
      </c>
      <c r="B15825" t="s">
        <v>9751</v>
      </c>
      <c r="C15825" t="s">
        <v>1609</v>
      </c>
      <c r="D15825" t="s">
        <v>27</v>
      </c>
      <c r="E15825" t="s">
        <v>15</v>
      </c>
      <c r="F15825" s="2" t="str">
        <f>HYPERLINK("http://www.otzar.org/book.asp?19373","חכמת אדם ושערי צדק")</f>
        <v>חכמת אדם ושערי צדק</v>
      </c>
    </row>
    <row r="15826" spans="1:6" x14ac:dyDescent="0.2">
      <c r="A15826" t="s">
        <v>26328</v>
      </c>
      <c r="B15826" t="s">
        <v>9751</v>
      </c>
      <c r="C15826" t="s">
        <v>473</v>
      </c>
      <c r="D15826" t="s">
        <v>283</v>
      </c>
      <c r="E15826" t="s">
        <v>15</v>
      </c>
      <c r="F15826" s="2" t="str">
        <f>HYPERLINK("http://www.otzar.org/book.asp?155502","חכמת אדם עם בינת אדם וחכמת ישראל")</f>
        <v>חכמת אדם עם בינת אדם וחכמת ישראל</v>
      </c>
    </row>
    <row r="15827" spans="1:6" x14ac:dyDescent="0.2">
      <c r="A15827" t="s">
        <v>26329</v>
      </c>
      <c r="B15827" t="s">
        <v>9751</v>
      </c>
      <c r="C15827" t="s">
        <v>1737</v>
      </c>
      <c r="D15827" t="s">
        <v>56</v>
      </c>
      <c r="E15827" t="s">
        <v>148</v>
      </c>
      <c r="F15827" s="2" t="str">
        <f>HYPERLINK("http://www.otzar.org/book.asp?148830","חכמת אדם - 4 כר'")</f>
        <v>חכמת אדם - 4 כר'</v>
      </c>
    </row>
    <row r="15828" spans="1:6" x14ac:dyDescent="0.2">
      <c r="A15828" t="s">
        <v>26330</v>
      </c>
      <c r="B15828" t="s">
        <v>26331</v>
      </c>
      <c r="C15828" t="s">
        <v>1811</v>
      </c>
      <c r="D15828" t="s">
        <v>14</v>
      </c>
      <c r="E15828" t="s">
        <v>837</v>
      </c>
      <c r="F15828" s="2" t="str">
        <f>HYPERLINK("http://www.otzar.org/book.asp?162699","חכמת אליהו - 2 כר'")</f>
        <v>חכמת אליהו - 2 כר'</v>
      </c>
    </row>
    <row r="15829" spans="1:6" x14ac:dyDescent="0.2">
      <c r="A15829" t="s">
        <v>26332</v>
      </c>
      <c r="B15829" t="s">
        <v>24946</v>
      </c>
      <c r="C15829" t="s">
        <v>71</v>
      </c>
      <c r="D15829" t="s">
        <v>14</v>
      </c>
      <c r="E15829" t="s">
        <v>674</v>
      </c>
      <c r="F15829" s="2" t="str">
        <f>HYPERLINK("http://www.otzar.org/book.asp?168875","חכמת גרשון")</f>
        <v>חכמת גרשון</v>
      </c>
    </row>
    <row r="15830" spans="1:6" x14ac:dyDescent="0.2">
      <c r="A15830" t="s">
        <v>26333</v>
      </c>
      <c r="B15830" t="s">
        <v>206</v>
      </c>
      <c r="C15830" t="s">
        <v>133</v>
      </c>
      <c r="D15830" t="s">
        <v>14</v>
      </c>
      <c r="E15830" t="s">
        <v>213</v>
      </c>
      <c r="F15830" s="2" t="str">
        <f>HYPERLINK("http://www.otzar.org/book.asp?194130","חכמת ההתמודדות")</f>
        <v>חכמת ההתמודדות</v>
      </c>
    </row>
    <row r="15831" spans="1:6" x14ac:dyDescent="0.2">
      <c r="A15831" t="s">
        <v>26334</v>
      </c>
      <c r="B15831" t="s">
        <v>26335</v>
      </c>
      <c r="C15831" t="s">
        <v>13</v>
      </c>
      <c r="D15831" t="s">
        <v>14</v>
      </c>
      <c r="E15831" t="s">
        <v>104</v>
      </c>
      <c r="F15831" s="2" t="str">
        <f>HYPERLINK("http://www.otzar.org/book.asp?61147","חכמת החינוך")</f>
        <v>חכמת החינוך</v>
      </c>
    </row>
    <row r="15832" spans="1:6" x14ac:dyDescent="0.2">
      <c r="A15832" t="s">
        <v>26336</v>
      </c>
      <c r="B15832" t="s">
        <v>14571</v>
      </c>
      <c r="C15832" t="s">
        <v>26337</v>
      </c>
      <c r="D15832" t="s">
        <v>26338</v>
      </c>
      <c r="F15832" s="2" t="str">
        <f>HYPERLINK("http://www.otzar.org/book.asp?614422","חכמת היד - 2 כר'")</f>
        <v>חכמת היד - 2 כר'</v>
      </c>
    </row>
    <row r="15833" spans="1:6" x14ac:dyDescent="0.2">
      <c r="A15833" t="s">
        <v>26339</v>
      </c>
      <c r="B15833" t="s">
        <v>26340</v>
      </c>
      <c r="C15833" t="s">
        <v>103</v>
      </c>
      <c r="D15833" t="s">
        <v>21</v>
      </c>
      <c r="E15833" t="s">
        <v>15</v>
      </c>
      <c r="F15833" s="2" t="str">
        <f>HYPERLINK("http://www.otzar.org/book.asp?198670","חכמת הלב - עירובי חצירות")</f>
        <v>חכמת הלב - עירובי חצירות</v>
      </c>
    </row>
    <row r="15834" spans="1:6" x14ac:dyDescent="0.2">
      <c r="A15834" t="s">
        <v>26341</v>
      </c>
      <c r="B15834" t="s">
        <v>26342</v>
      </c>
      <c r="C15834" t="s">
        <v>20</v>
      </c>
      <c r="D15834" t="s">
        <v>14</v>
      </c>
      <c r="E15834" t="s">
        <v>241</v>
      </c>
      <c r="F15834" s="2" t="str">
        <f>HYPERLINK("http://www.otzar.org/book.asp?628251","חכמת המוסר")</f>
        <v>חכמת המוסר</v>
      </c>
    </row>
    <row r="15835" spans="1:6" x14ac:dyDescent="0.2">
      <c r="A15835" t="s">
        <v>26343</v>
      </c>
      <c r="B15835" t="s">
        <v>26344</v>
      </c>
      <c r="C15835" t="s">
        <v>466</v>
      </c>
      <c r="D15835" t="s">
        <v>52</v>
      </c>
      <c r="E15835" t="s">
        <v>158</v>
      </c>
      <c r="F15835" s="2" t="str">
        <f>HYPERLINK("http://www.otzar.org/book.asp?22871","חכמת המצפון - 15 כר'")</f>
        <v>חכמת המצפון - 15 כר'</v>
      </c>
    </row>
    <row r="15836" spans="1:6" x14ac:dyDescent="0.2">
      <c r="A15836" t="s">
        <v>26345</v>
      </c>
      <c r="B15836" t="s">
        <v>26346</v>
      </c>
      <c r="C15836" t="s">
        <v>1629</v>
      </c>
      <c r="D15836" t="s">
        <v>1411</v>
      </c>
      <c r="F15836" s="2" t="str">
        <f>HYPERLINK("http://www.otzar.org/book.asp?85150","חכמת המשכן")</f>
        <v>חכמת המשכן</v>
      </c>
    </row>
    <row r="15837" spans="1:6" x14ac:dyDescent="0.2">
      <c r="A15837" t="s">
        <v>26347</v>
      </c>
      <c r="B15837" t="s">
        <v>26348</v>
      </c>
      <c r="C15837" t="s">
        <v>454</v>
      </c>
      <c r="D15837" t="s">
        <v>52</v>
      </c>
      <c r="E15837" t="s">
        <v>314</v>
      </c>
      <c r="F15837" s="2" t="str">
        <f>HYPERLINK("http://www.otzar.org/book.asp?61499","חכמת הנפש &lt;זכות משה&gt;")</f>
        <v>חכמת הנפש &lt;זכות משה&gt;</v>
      </c>
    </row>
    <row r="15838" spans="1:6" x14ac:dyDescent="0.2">
      <c r="A15838" t="s">
        <v>26349</v>
      </c>
      <c r="B15838" t="s">
        <v>16927</v>
      </c>
      <c r="C15838" t="s">
        <v>1124</v>
      </c>
      <c r="D15838" t="s">
        <v>1279</v>
      </c>
      <c r="E15838" t="s">
        <v>26350</v>
      </c>
      <c r="F15838" s="2" t="str">
        <f>HYPERLINK("http://www.otzar.org/book.asp?102460","חכמת הנפש - 2 כר'")</f>
        <v>חכמת הנפש - 2 כר'</v>
      </c>
    </row>
    <row r="15839" spans="1:6" x14ac:dyDescent="0.2">
      <c r="A15839" t="s">
        <v>26351</v>
      </c>
      <c r="B15839" t="s">
        <v>13881</v>
      </c>
      <c r="C15839" t="s">
        <v>20</v>
      </c>
      <c r="D15839" t="s">
        <v>90</v>
      </c>
      <c r="F15839" s="2" t="str">
        <f>HYPERLINK("http://www.otzar.org/book.asp?610227","חכמת הנפש")</f>
        <v>חכמת הנפש</v>
      </c>
    </row>
    <row r="15840" spans="1:6" x14ac:dyDescent="0.2">
      <c r="A15840" t="s">
        <v>26352</v>
      </c>
      <c r="B15840" t="s">
        <v>26353</v>
      </c>
      <c r="C15840" t="s">
        <v>151</v>
      </c>
      <c r="D15840" t="s">
        <v>412</v>
      </c>
      <c r="F15840" s="2" t="str">
        <f>HYPERLINK("http://www.otzar.org/book.asp?621817","חכמת חינוך")</f>
        <v>חכמת חינוך</v>
      </c>
    </row>
    <row r="15841" spans="1:6" x14ac:dyDescent="0.2">
      <c r="A15841" t="s">
        <v>26354</v>
      </c>
      <c r="B15841" t="s">
        <v>2063</v>
      </c>
      <c r="C15841" t="s">
        <v>18526</v>
      </c>
      <c r="D15841" t="s">
        <v>3293</v>
      </c>
      <c r="E15841" t="s">
        <v>154</v>
      </c>
      <c r="F15841" s="2" t="str">
        <f>HYPERLINK("http://www.otzar.org/book.asp?24513","חכמת ידידיה - 2 כר'")</f>
        <v>חכמת ידידיה - 2 כר'</v>
      </c>
    </row>
    <row r="15842" spans="1:6" x14ac:dyDescent="0.2">
      <c r="A15842" t="s">
        <v>26355</v>
      </c>
      <c r="B15842" t="s">
        <v>26356</v>
      </c>
      <c r="C15842" t="s">
        <v>103</v>
      </c>
      <c r="D15842" t="s">
        <v>52</v>
      </c>
      <c r="E15842" t="s">
        <v>144</v>
      </c>
      <c r="F15842" s="2" t="str">
        <f>HYPERLINK("http://www.otzar.org/book.asp?163068","חכמת לב - 2 כר'")</f>
        <v>חכמת לב - 2 כר'</v>
      </c>
    </row>
    <row r="15843" spans="1:6" x14ac:dyDescent="0.2">
      <c r="A15843" t="s">
        <v>26357</v>
      </c>
      <c r="B15843" t="s">
        <v>552</v>
      </c>
      <c r="C15843" t="s">
        <v>103</v>
      </c>
      <c r="D15843" t="s">
        <v>14</v>
      </c>
      <c r="E15843" t="s">
        <v>202</v>
      </c>
      <c r="F15843" s="2" t="str">
        <f>HYPERLINK("http://www.otzar.org/book.asp?60395","חכמת לב")</f>
        <v>חכמת לב</v>
      </c>
    </row>
    <row r="15844" spans="1:6" x14ac:dyDescent="0.2">
      <c r="A15844" t="s">
        <v>26358</v>
      </c>
      <c r="B15844" t="s">
        <v>632</v>
      </c>
      <c r="C15844" t="s">
        <v>360</v>
      </c>
      <c r="D15844" t="s">
        <v>225</v>
      </c>
      <c r="E15844" t="s">
        <v>81</v>
      </c>
      <c r="F15844" s="2" t="str">
        <f>HYPERLINK("http://www.otzar.org/book.asp?619848","חכמת מהר""ל מפראג - 2 כר'")</f>
        <v>חכמת מהר"ל מפראג - 2 כר'</v>
      </c>
    </row>
    <row r="15845" spans="1:6" x14ac:dyDescent="0.2">
      <c r="A15845" t="s">
        <v>26359</v>
      </c>
      <c r="B15845" t="s">
        <v>26360</v>
      </c>
      <c r="C15845" t="s">
        <v>26361</v>
      </c>
      <c r="D15845" t="s">
        <v>1576</v>
      </c>
      <c r="F15845" s="2" t="str">
        <f>HYPERLINK("http://www.otzar.org/book.asp?614532","חכמת מנוח")</f>
        <v>חכמת מנוח</v>
      </c>
    </row>
    <row r="15846" spans="1:6" x14ac:dyDescent="0.2">
      <c r="A15846" t="s">
        <v>26362</v>
      </c>
      <c r="B15846" t="s">
        <v>5667</v>
      </c>
      <c r="C15846" t="s">
        <v>20</v>
      </c>
      <c r="D15846" t="s">
        <v>2347</v>
      </c>
      <c r="E15846" t="s">
        <v>64</v>
      </c>
      <c r="F15846" s="2" t="str">
        <f>HYPERLINK("http://www.otzar.org/book.asp?10275","חכמת שלמה המלך")</f>
        <v>חכמת שלמה המלך</v>
      </c>
    </row>
    <row r="15847" spans="1:6" x14ac:dyDescent="0.2">
      <c r="A15847" t="s">
        <v>26363</v>
      </c>
      <c r="B15847" t="s">
        <v>26364</v>
      </c>
      <c r="C15847" t="s">
        <v>362</v>
      </c>
      <c r="D15847" t="s">
        <v>225</v>
      </c>
      <c r="E15847" t="s">
        <v>64</v>
      </c>
      <c r="F15847" s="2" t="str">
        <f>HYPERLINK("http://www.otzar.org/book.asp?727","חכמת שלמה עם פירוש ע""ט")</f>
        <v>חכמת שלמה עם פירוש ע"ט</v>
      </c>
    </row>
    <row r="15848" spans="1:6" x14ac:dyDescent="0.2">
      <c r="A15848" t="s">
        <v>26365</v>
      </c>
      <c r="B15848" t="s">
        <v>26366</v>
      </c>
      <c r="C15848" t="s">
        <v>411</v>
      </c>
      <c r="D15848" t="s">
        <v>14</v>
      </c>
      <c r="E15848" t="s">
        <v>158</v>
      </c>
      <c r="F15848" s="2" t="str">
        <f>HYPERLINK("http://www.otzar.org/book.asp?623478","חכמת שלמה")</f>
        <v>חכמת שלמה</v>
      </c>
    </row>
    <row r="15849" spans="1:6" x14ac:dyDescent="0.2">
      <c r="A15849" t="s">
        <v>26367</v>
      </c>
      <c r="B15849" t="s">
        <v>7354</v>
      </c>
      <c r="C15849" t="s">
        <v>630</v>
      </c>
      <c r="D15849" t="s">
        <v>535</v>
      </c>
      <c r="E15849" t="s">
        <v>144</v>
      </c>
      <c r="F15849" s="2" t="str">
        <f>HYPERLINK("http://www.otzar.org/book.asp?103331","חכמת שלמה - 8 כר'")</f>
        <v>חכמת שלמה - 8 כר'</v>
      </c>
    </row>
    <row r="15850" spans="1:6" x14ac:dyDescent="0.2">
      <c r="A15850" t="s">
        <v>26368</v>
      </c>
      <c r="B15850" t="s">
        <v>26369</v>
      </c>
      <c r="C15850" t="s">
        <v>581</v>
      </c>
      <c r="D15850" t="s">
        <v>283</v>
      </c>
      <c r="E15850" t="s">
        <v>64</v>
      </c>
      <c r="F15850" s="2" t="str">
        <f>HYPERLINK("http://www.otzar.org/book.asp?103036","חכמת שלמה - עם פירוש רוח חן")</f>
        <v>חכמת שלמה - עם פירוש רוח חן</v>
      </c>
    </row>
    <row r="15851" spans="1:6" x14ac:dyDescent="0.2">
      <c r="A15851" t="s">
        <v>26370</v>
      </c>
      <c r="B15851" t="s">
        <v>26371</v>
      </c>
      <c r="C15851" t="s">
        <v>189</v>
      </c>
      <c r="D15851" t="s">
        <v>412</v>
      </c>
      <c r="E15851" t="s">
        <v>144</v>
      </c>
      <c r="F15851" s="2" t="str">
        <f>HYPERLINK("http://www.otzar.org/book.asp?189823","חכמת שלמה - 2 כר'")</f>
        <v>חכמת שלמה - 2 כר'</v>
      </c>
    </row>
    <row r="15852" spans="1:6" x14ac:dyDescent="0.2">
      <c r="A15852" t="s">
        <v>26365</v>
      </c>
      <c r="B15852" t="s">
        <v>26372</v>
      </c>
      <c r="C15852" t="s">
        <v>51</v>
      </c>
      <c r="D15852" t="s">
        <v>14</v>
      </c>
      <c r="E15852" t="s">
        <v>2098</v>
      </c>
      <c r="F15852" s="2" t="str">
        <f>HYPERLINK("http://www.otzar.org/book.asp?189422","חכמת שלמה")</f>
        <v>חכמת שלמה</v>
      </c>
    </row>
    <row r="15853" spans="1:6" x14ac:dyDescent="0.2">
      <c r="A15853" t="s">
        <v>26373</v>
      </c>
      <c r="B15853" t="s">
        <v>15206</v>
      </c>
      <c r="C15853" t="s">
        <v>2543</v>
      </c>
      <c r="D15853" t="s">
        <v>267</v>
      </c>
      <c r="E15853" t="s">
        <v>104</v>
      </c>
      <c r="F15853" s="2" t="str">
        <f>HYPERLINK("http://www.otzar.org/book.asp?12777","חכמת תקופות ומזלות")</f>
        <v>חכמת תקופות ומזלות</v>
      </c>
    </row>
    <row r="15854" spans="1:6" x14ac:dyDescent="0.2">
      <c r="A15854" t="s">
        <v>26374</v>
      </c>
      <c r="B15854" t="s">
        <v>26375</v>
      </c>
      <c r="C15854" t="s">
        <v>114</v>
      </c>
      <c r="D15854" t="s">
        <v>245</v>
      </c>
      <c r="E15854" t="s">
        <v>144</v>
      </c>
      <c r="F15854" s="2" t="str">
        <f>HYPERLINK("http://www.otzar.org/book.asp?157814","חלב חגי - יבמות")</f>
        <v>חלב חגי - יבמות</v>
      </c>
    </row>
    <row r="15855" spans="1:6" x14ac:dyDescent="0.2">
      <c r="A15855" t="s">
        <v>26376</v>
      </c>
      <c r="B15855" t="s">
        <v>26377</v>
      </c>
      <c r="C15855" t="s">
        <v>103</v>
      </c>
      <c r="D15855" t="s">
        <v>657</v>
      </c>
      <c r="E15855" t="s">
        <v>144</v>
      </c>
      <c r="F15855" s="2" t="str">
        <f>HYPERLINK("http://www.otzar.org/book.asp?142107","חלב חגי - 2 כר'")</f>
        <v>חלב חגי - 2 כר'</v>
      </c>
    </row>
    <row r="15856" spans="1:6" x14ac:dyDescent="0.2">
      <c r="A15856" t="s">
        <v>26378</v>
      </c>
      <c r="B15856" t="s">
        <v>26379</v>
      </c>
      <c r="C15856" t="s">
        <v>17</v>
      </c>
      <c r="D15856" t="s">
        <v>152</v>
      </c>
      <c r="E15856" t="s">
        <v>84</v>
      </c>
      <c r="F15856" s="2" t="str">
        <f>HYPERLINK("http://www.otzar.org/book.asp?163754","חלב חטה - שביעית, תרומות, מעשרות")</f>
        <v>חלב חטה - שביעית, תרומות, מעשרות</v>
      </c>
    </row>
    <row r="15857" spans="1:6" x14ac:dyDescent="0.2">
      <c r="A15857" t="s">
        <v>26380</v>
      </c>
      <c r="B15857" t="s">
        <v>26381</v>
      </c>
      <c r="C15857" t="s">
        <v>454</v>
      </c>
      <c r="D15857" t="s">
        <v>52</v>
      </c>
      <c r="E15857" t="s">
        <v>144</v>
      </c>
      <c r="F15857" s="2" t="str">
        <f>HYPERLINK("http://www.otzar.org/book.asp?604307","חלב חטים &lt;המבואר&gt; - 2 כר'")</f>
        <v>חלב חטים &lt;המבואר&gt; - 2 כר'</v>
      </c>
    </row>
    <row r="15858" spans="1:6" x14ac:dyDescent="0.2">
      <c r="A15858" t="s">
        <v>26382</v>
      </c>
      <c r="B15858" t="s">
        <v>26381</v>
      </c>
      <c r="C15858" t="s">
        <v>411</v>
      </c>
      <c r="D15858" t="s">
        <v>14</v>
      </c>
      <c r="F15858" s="2" t="str">
        <f>HYPERLINK("http://www.otzar.org/book.asp?165470","חלב חטים &lt;מהדורה חדשה&gt; - 2 כר'")</f>
        <v>חלב חטים &lt;מהדורה חדשה&gt; - 2 כר'</v>
      </c>
    </row>
    <row r="15859" spans="1:6" x14ac:dyDescent="0.2">
      <c r="A15859" t="s">
        <v>26383</v>
      </c>
      <c r="B15859" t="s">
        <v>26381</v>
      </c>
      <c r="C15859" t="s">
        <v>1885</v>
      </c>
      <c r="D15859" t="s">
        <v>889</v>
      </c>
      <c r="E15859" t="s">
        <v>144</v>
      </c>
      <c r="F15859" s="2" t="str">
        <f>HYPERLINK("http://www.otzar.org/book.asp?51065","חלב חטים")</f>
        <v>חלב חטים</v>
      </c>
    </row>
    <row r="15860" spans="1:6" x14ac:dyDescent="0.2">
      <c r="A15860" t="s">
        <v>26384</v>
      </c>
      <c r="B15860" t="s">
        <v>26385</v>
      </c>
      <c r="C15860" t="s">
        <v>129</v>
      </c>
      <c r="D15860" t="s">
        <v>52</v>
      </c>
      <c r="E15860" t="s">
        <v>15</v>
      </c>
      <c r="F15860" s="2" t="str">
        <f>HYPERLINK("http://www.otzar.org/book.asp?157800","חלה כהלכתה")</f>
        <v>חלה כהלכתה</v>
      </c>
    </row>
    <row r="15861" spans="1:6" x14ac:dyDescent="0.2">
      <c r="A15861" t="s">
        <v>26386</v>
      </c>
      <c r="B15861" t="s">
        <v>3143</v>
      </c>
      <c r="C15861" t="s">
        <v>1335</v>
      </c>
      <c r="D15861" t="s">
        <v>535</v>
      </c>
      <c r="E15861" t="s">
        <v>15</v>
      </c>
      <c r="F15861" s="2" t="str">
        <f>HYPERLINK("http://www.otzar.org/book.asp?10476","חלוף מנהגים")</f>
        <v>חלוף מנהגים</v>
      </c>
    </row>
    <row r="15862" spans="1:6" x14ac:dyDescent="0.2">
      <c r="A15862" t="s">
        <v>26387</v>
      </c>
      <c r="B15862" t="s">
        <v>26388</v>
      </c>
      <c r="C15862" t="s">
        <v>37</v>
      </c>
      <c r="D15862" t="s">
        <v>14</v>
      </c>
      <c r="F15862" s="2" t="str">
        <f>HYPERLINK("http://www.otzar.org/book.asp?619920","חלוצים לציון")</f>
        <v>חלוצים לציון</v>
      </c>
    </row>
    <row r="15863" spans="1:6" x14ac:dyDescent="0.2">
      <c r="A15863" t="s">
        <v>26389</v>
      </c>
      <c r="B15863" t="s">
        <v>3314</v>
      </c>
      <c r="C15863" t="s">
        <v>366</v>
      </c>
      <c r="D15863" t="s">
        <v>90</v>
      </c>
      <c r="F15863" s="2" t="str">
        <f>HYPERLINK("http://www.otzar.org/book.asp?616444","חלוקא דרבנן &lt;מהדורה חדשה&gt;")</f>
        <v>חלוקא דרבנן &lt;מהדורה חדשה&gt;</v>
      </c>
    </row>
    <row r="15864" spans="1:6" x14ac:dyDescent="0.2">
      <c r="A15864" t="s">
        <v>26390</v>
      </c>
      <c r="B15864" t="s">
        <v>26391</v>
      </c>
      <c r="C15864" t="s">
        <v>1706</v>
      </c>
      <c r="D15864" t="s">
        <v>1279</v>
      </c>
      <c r="E15864" t="s">
        <v>467</v>
      </c>
      <c r="F15864" s="2" t="str">
        <f>HYPERLINK("http://www.otzar.org/book.asp?64055","חלוקא דרבנן")</f>
        <v>חלוקא דרבנן</v>
      </c>
    </row>
    <row r="15865" spans="1:6" x14ac:dyDescent="0.2">
      <c r="A15865" t="s">
        <v>26390</v>
      </c>
      <c r="B15865" t="s">
        <v>26392</v>
      </c>
      <c r="C15865" t="s">
        <v>585</v>
      </c>
      <c r="D15865" t="s">
        <v>52</v>
      </c>
      <c r="F15865" s="2" t="str">
        <f>HYPERLINK("http://www.otzar.org/book.asp?615811","חלוקא דרבנן")</f>
        <v>חלוקא דרבנן</v>
      </c>
    </row>
    <row r="15866" spans="1:6" x14ac:dyDescent="0.2">
      <c r="A15866" t="s">
        <v>26390</v>
      </c>
      <c r="B15866" t="s">
        <v>26393</v>
      </c>
      <c r="C15866" t="s">
        <v>854</v>
      </c>
      <c r="D15866" t="s">
        <v>855</v>
      </c>
      <c r="E15866" t="s">
        <v>674</v>
      </c>
      <c r="F15866" s="2" t="str">
        <f>HYPERLINK("http://www.otzar.org/book.asp?18805","חלוקא דרבנן")</f>
        <v>חלוקא דרבנן</v>
      </c>
    </row>
    <row r="15867" spans="1:6" x14ac:dyDescent="0.2">
      <c r="A15867" t="s">
        <v>26394</v>
      </c>
      <c r="B15867" t="s">
        <v>26395</v>
      </c>
      <c r="C15867" t="s">
        <v>151</v>
      </c>
      <c r="D15867" t="s">
        <v>245</v>
      </c>
      <c r="E15867" t="s">
        <v>104</v>
      </c>
      <c r="F15867" s="2" t="str">
        <f>HYPERLINK("http://www.otzar.org/book.asp?612301","חלזון התכלת במשנת הראשונים")</f>
        <v>חלזון התכלת במשנת הראשונים</v>
      </c>
    </row>
    <row r="15868" spans="1:6" x14ac:dyDescent="0.2">
      <c r="A15868" t="s">
        <v>26396</v>
      </c>
      <c r="B15868" t="s">
        <v>898</v>
      </c>
      <c r="C15868" t="s">
        <v>603</v>
      </c>
      <c r="D15868" t="s">
        <v>56</v>
      </c>
      <c r="F15868" s="2" t="str">
        <f>HYPERLINK("http://www.otzar.org/book.asp?612814","חליפות שמלות")</f>
        <v>חליפות שמלות</v>
      </c>
    </row>
    <row r="15869" spans="1:6" x14ac:dyDescent="0.2">
      <c r="A15869" t="s">
        <v>26397</v>
      </c>
      <c r="B15869" t="s">
        <v>9334</v>
      </c>
      <c r="C15869" t="s">
        <v>422</v>
      </c>
      <c r="D15869" t="s">
        <v>52</v>
      </c>
      <c r="E15869" t="s">
        <v>15</v>
      </c>
      <c r="F15869" s="2" t="str">
        <f>HYPERLINK("http://www.otzar.org/book.asp?162243","חליצה כהלכתה - 2 כר'")</f>
        <v>חליצה כהלכתה - 2 כר'</v>
      </c>
    </row>
    <row r="15870" spans="1:6" x14ac:dyDescent="0.2">
      <c r="A15870" t="s">
        <v>26398</v>
      </c>
      <c r="B15870" t="s">
        <v>732</v>
      </c>
      <c r="C15870" t="s">
        <v>609</v>
      </c>
      <c r="D15870" t="s">
        <v>27</v>
      </c>
      <c r="E15870" t="s">
        <v>202</v>
      </c>
      <c r="F15870" s="2" t="str">
        <f>HYPERLINK("http://www.otzar.org/book.asp?188641","חללי בת עמי")</f>
        <v>חללי בת עמי</v>
      </c>
    </row>
    <row r="15871" spans="1:6" x14ac:dyDescent="0.2">
      <c r="A15871" t="s">
        <v>26399</v>
      </c>
      <c r="B15871" t="s">
        <v>9358</v>
      </c>
      <c r="C15871" t="s">
        <v>482</v>
      </c>
      <c r="D15871" t="s">
        <v>5301</v>
      </c>
      <c r="E15871" t="s">
        <v>202</v>
      </c>
      <c r="F15871" s="2" t="str">
        <f>HYPERLINK("http://www.otzar.org/book.asp?106353","חלם - יזכור בוך כעלם")</f>
        <v>חלם - יזכור בוך כעלם</v>
      </c>
    </row>
    <row r="15872" spans="1:6" x14ac:dyDescent="0.2">
      <c r="A15872" t="s">
        <v>26400</v>
      </c>
      <c r="B15872" t="s">
        <v>26401</v>
      </c>
      <c r="C15872" t="s">
        <v>26402</v>
      </c>
      <c r="D15872" t="s">
        <v>661</v>
      </c>
      <c r="E15872" t="s">
        <v>158</v>
      </c>
      <c r="F15872" s="2" t="str">
        <f>HYPERLINK("http://www.otzar.org/book.asp?7623","חלפות שמלת בנימין - 3 כר'")</f>
        <v>חלפות שמלת בנימין - 3 כר'</v>
      </c>
    </row>
    <row r="15873" spans="1:6" x14ac:dyDescent="0.2">
      <c r="A15873" t="s">
        <v>26403</v>
      </c>
      <c r="B15873" t="s">
        <v>26404</v>
      </c>
      <c r="C15873" t="s">
        <v>26405</v>
      </c>
      <c r="D15873" t="s">
        <v>49</v>
      </c>
      <c r="E15873" t="s">
        <v>158</v>
      </c>
      <c r="F15873" s="2" t="str">
        <f>HYPERLINK("http://www.otzar.org/book.asp?24517","חלק בני יהודה")</f>
        <v>חלק בני יהודה</v>
      </c>
    </row>
    <row r="15874" spans="1:6" x14ac:dyDescent="0.2">
      <c r="A15874" t="s">
        <v>26406</v>
      </c>
      <c r="B15874" t="s">
        <v>17437</v>
      </c>
      <c r="C15874" t="s">
        <v>1096</v>
      </c>
      <c r="D15874" t="s">
        <v>726</v>
      </c>
      <c r="E15874" t="s">
        <v>154</v>
      </c>
      <c r="F15874" s="2" t="str">
        <f>HYPERLINK("http://www.otzar.org/book.asp?100884","חלק בנימין")</f>
        <v>חלק בנימין</v>
      </c>
    </row>
    <row r="15875" spans="1:6" x14ac:dyDescent="0.2">
      <c r="A15875" t="s">
        <v>26407</v>
      </c>
      <c r="B15875" t="s">
        <v>26408</v>
      </c>
      <c r="C15875" t="s">
        <v>1208</v>
      </c>
      <c r="D15875" t="s">
        <v>14</v>
      </c>
      <c r="E15875" t="s">
        <v>579</v>
      </c>
      <c r="F15875" s="2" t="str">
        <f>HYPERLINK("http://www.otzar.org/book.asp?157680","חלק הדקדוק &lt;דברי שלום&gt;")</f>
        <v>חלק הדקדוק &lt;דברי שלום&gt;</v>
      </c>
    </row>
    <row r="15876" spans="1:6" x14ac:dyDescent="0.2">
      <c r="A15876" t="s">
        <v>26409</v>
      </c>
      <c r="B15876" t="s">
        <v>26410</v>
      </c>
      <c r="C15876" t="s">
        <v>624</v>
      </c>
      <c r="D15876" t="s">
        <v>3406</v>
      </c>
      <c r="E15876" t="s">
        <v>10</v>
      </c>
      <c r="F15876" s="2" t="str">
        <f>HYPERLINK("http://www.otzar.org/book.asp?623941","חלק הלוי - נשיאת כפיים")</f>
        <v>חלק הלוי - נשיאת כפיים</v>
      </c>
    </row>
    <row r="15877" spans="1:6" x14ac:dyDescent="0.2">
      <c r="A15877" t="s">
        <v>26411</v>
      </c>
      <c r="B15877" t="s">
        <v>26412</v>
      </c>
      <c r="C15877" t="s">
        <v>313</v>
      </c>
      <c r="D15877" t="s">
        <v>52</v>
      </c>
      <c r="F15877" s="2" t="str">
        <f>HYPERLINK("http://www.otzar.org/book.asp?85069","חלק הלוי - 4 כר'")</f>
        <v>חלק הלוי - 4 כר'</v>
      </c>
    </row>
    <row r="15878" spans="1:6" x14ac:dyDescent="0.2">
      <c r="A15878" t="s">
        <v>26413</v>
      </c>
      <c r="B15878" t="s">
        <v>26414</v>
      </c>
      <c r="C15878" t="s">
        <v>129</v>
      </c>
      <c r="D15878" t="s">
        <v>1180</v>
      </c>
      <c r="E15878" t="s">
        <v>9527</v>
      </c>
      <c r="F15878" s="2" t="str">
        <f>HYPERLINK("http://www.otzar.org/book.asp?51922","חלק יהונתן")</f>
        <v>חלק יהונתן</v>
      </c>
    </row>
    <row r="15879" spans="1:6" x14ac:dyDescent="0.2">
      <c r="A15879" t="s">
        <v>26415</v>
      </c>
      <c r="B15879" t="s">
        <v>2216</v>
      </c>
      <c r="C15879" t="s">
        <v>37</v>
      </c>
      <c r="D15879" t="s">
        <v>147</v>
      </c>
      <c r="F15879" s="2" t="str">
        <f>HYPERLINK("http://www.otzar.org/book.asp?181853","חלק יעקב &lt;מהדורה חדשה&gt;")</f>
        <v>חלק יעקב &lt;מהדורה חדשה&gt;</v>
      </c>
    </row>
    <row r="15880" spans="1:6" x14ac:dyDescent="0.2">
      <c r="A15880" t="s">
        <v>26416</v>
      </c>
      <c r="B15880" t="s">
        <v>236</v>
      </c>
      <c r="C15880" t="s">
        <v>26417</v>
      </c>
      <c r="D15880" t="s">
        <v>9</v>
      </c>
      <c r="E15880" t="s">
        <v>3387</v>
      </c>
      <c r="F15880" s="2" t="str">
        <f>HYPERLINK("http://www.otzar.org/book.asp?103957","חלק יעקב - 2 כר'")</f>
        <v>חלק יעקב - 2 כר'</v>
      </c>
    </row>
    <row r="15881" spans="1:6" x14ac:dyDescent="0.2">
      <c r="A15881" t="s">
        <v>26418</v>
      </c>
      <c r="B15881" t="s">
        <v>26419</v>
      </c>
      <c r="C15881" t="s">
        <v>5308</v>
      </c>
      <c r="D15881" t="s">
        <v>76</v>
      </c>
      <c r="E15881" t="s">
        <v>7760</v>
      </c>
      <c r="F15881" s="2" t="str">
        <f>HYPERLINK("http://www.otzar.org/book.asp?18807","חלק יעקב")</f>
        <v>חלק יעקב</v>
      </c>
    </row>
    <row r="15882" spans="1:6" x14ac:dyDescent="0.2">
      <c r="A15882" t="s">
        <v>26418</v>
      </c>
      <c r="B15882" t="s">
        <v>26420</v>
      </c>
      <c r="C15882" t="s">
        <v>26421</v>
      </c>
      <c r="D15882" t="s">
        <v>9</v>
      </c>
      <c r="E15882" t="s">
        <v>158</v>
      </c>
      <c r="F15882" s="2" t="str">
        <f>HYPERLINK("http://www.otzar.org/book.asp?50895","חלק יעקב")</f>
        <v>חלק יעקב</v>
      </c>
    </row>
    <row r="15883" spans="1:6" x14ac:dyDescent="0.2">
      <c r="A15883" t="s">
        <v>26418</v>
      </c>
      <c r="B15883" t="s">
        <v>26422</v>
      </c>
      <c r="C15883" t="s">
        <v>812</v>
      </c>
      <c r="D15883" t="s">
        <v>26423</v>
      </c>
      <c r="E15883" t="s">
        <v>234</v>
      </c>
      <c r="F15883" s="2" t="str">
        <f>HYPERLINK("http://www.otzar.org/book.asp?172344","חלק יעקב")</f>
        <v>חלק יעקב</v>
      </c>
    </row>
    <row r="15884" spans="1:6" x14ac:dyDescent="0.2">
      <c r="A15884" t="s">
        <v>26418</v>
      </c>
      <c r="B15884" t="s">
        <v>26424</v>
      </c>
      <c r="C15884" t="s">
        <v>1202</v>
      </c>
      <c r="D15884" t="s">
        <v>100</v>
      </c>
      <c r="E15884" t="s">
        <v>12306</v>
      </c>
      <c r="F15884" s="2" t="str">
        <f>HYPERLINK("http://www.otzar.org/book.asp?101396","חלק יעקב")</f>
        <v>חלק יעקב</v>
      </c>
    </row>
    <row r="15885" spans="1:6" x14ac:dyDescent="0.2">
      <c r="A15885" t="s">
        <v>26418</v>
      </c>
      <c r="B15885" t="s">
        <v>26425</v>
      </c>
      <c r="C15885" t="s">
        <v>1228</v>
      </c>
      <c r="D15885" t="s">
        <v>56</v>
      </c>
      <c r="E15885" t="s">
        <v>508</v>
      </c>
      <c r="F15885" s="2" t="str">
        <f>HYPERLINK("http://www.otzar.org/book.asp?28591","חלק יעקב")</f>
        <v>חלק יעקב</v>
      </c>
    </row>
    <row r="15886" spans="1:6" x14ac:dyDescent="0.2">
      <c r="A15886" t="s">
        <v>26418</v>
      </c>
      <c r="B15886" t="s">
        <v>2216</v>
      </c>
      <c r="C15886" t="s">
        <v>854</v>
      </c>
      <c r="D15886" t="s">
        <v>27</v>
      </c>
      <c r="E15886" t="s">
        <v>234</v>
      </c>
      <c r="F15886" s="2" t="str">
        <f>HYPERLINK("http://www.otzar.org/book.asp?200123","חלק יעקב")</f>
        <v>חלק יעקב</v>
      </c>
    </row>
    <row r="15887" spans="1:6" x14ac:dyDescent="0.2">
      <c r="A15887" t="s">
        <v>26418</v>
      </c>
      <c r="B15887" t="s">
        <v>17437</v>
      </c>
      <c r="C15887" t="s">
        <v>473</v>
      </c>
      <c r="D15887" t="s">
        <v>225</v>
      </c>
      <c r="E15887" t="s">
        <v>399</v>
      </c>
      <c r="F15887" s="2" t="str">
        <f>HYPERLINK("http://www.otzar.org/book.asp?24519","חלק יעקב")</f>
        <v>חלק יעקב</v>
      </c>
    </row>
    <row r="15888" spans="1:6" x14ac:dyDescent="0.2">
      <c r="A15888" t="s">
        <v>26426</v>
      </c>
      <c r="B15888" t="s">
        <v>74</v>
      </c>
      <c r="C15888" t="s">
        <v>429</v>
      </c>
      <c r="D15888" t="s">
        <v>157</v>
      </c>
      <c r="E15888" t="s">
        <v>158</v>
      </c>
      <c r="F15888" s="2" t="str">
        <f>HYPERLINK("http://www.otzar.org/book.asp?22007","חלק יפה")</f>
        <v>חלק יפה</v>
      </c>
    </row>
    <row r="15889" spans="1:6" x14ac:dyDescent="0.2">
      <c r="A15889" t="s">
        <v>26427</v>
      </c>
      <c r="B15889" t="s">
        <v>16986</v>
      </c>
      <c r="C15889" t="s">
        <v>244</v>
      </c>
      <c r="D15889" t="s">
        <v>412</v>
      </c>
      <c r="E15889" t="s">
        <v>144</v>
      </c>
      <c r="F15889" s="2" t="str">
        <f>HYPERLINK("http://www.otzar.org/book.asp?199970","חלק לוי &lt;מהדורה חדשה&gt;")</f>
        <v>חלק לוי &lt;מהדורה חדשה&gt;</v>
      </c>
    </row>
    <row r="15890" spans="1:6" x14ac:dyDescent="0.2">
      <c r="A15890" t="s">
        <v>26428</v>
      </c>
      <c r="B15890" t="s">
        <v>16986</v>
      </c>
      <c r="C15890" t="s">
        <v>454</v>
      </c>
      <c r="D15890" t="s">
        <v>412</v>
      </c>
      <c r="E15890" t="s">
        <v>26429</v>
      </c>
      <c r="F15890" s="2" t="str">
        <f>HYPERLINK("http://www.otzar.org/book.asp?106880","חלק לוי - 3 כר'")</f>
        <v>חלק לוי - 3 כר'</v>
      </c>
    </row>
    <row r="15891" spans="1:6" x14ac:dyDescent="0.2">
      <c r="A15891" t="s">
        <v>26430</v>
      </c>
      <c r="B15891" t="s">
        <v>98</v>
      </c>
      <c r="C15891" t="s">
        <v>812</v>
      </c>
      <c r="D15891" t="s">
        <v>8939</v>
      </c>
      <c r="E15891" t="s">
        <v>84</v>
      </c>
      <c r="F15891" s="2" t="str">
        <f>HYPERLINK("http://www.otzar.org/book.asp?101963","חלק לעולם הבא")</f>
        <v>חלק לעולם הבא</v>
      </c>
    </row>
    <row r="15892" spans="1:6" x14ac:dyDescent="0.2">
      <c r="A15892" t="s">
        <v>26431</v>
      </c>
      <c r="B15892" t="s">
        <v>26432</v>
      </c>
      <c r="C15892" t="s">
        <v>71</v>
      </c>
      <c r="D15892" t="s">
        <v>52</v>
      </c>
      <c r="E15892" t="s">
        <v>144</v>
      </c>
      <c r="F15892" s="2" t="str">
        <f>HYPERLINK("http://www.otzar.org/book.asp?161860","חלק ראובן")</f>
        <v>חלק ראובן</v>
      </c>
    </row>
    <row r="15893" spans="1:6" x14ac:dyDescent="0.2">
      <c r="A15893" t="s">
        <v>26433</v>
      </c>
      <c r="B15893" t="s">
        <v>26434</v>
      </c>
      <c r="C15893" t="s">
        <v>466</v>
      </c>
      <c r="D15893" t="s">
        <v>52</v>
      </c>
      <c r="E15893" t="s">
        <v>144</v>
      </c>
      <c r="F15893" s="2" t="str">
        <f>HYPERLINK("http://www.otzar.org/book.asp?50535","חלק שמואל - 8 כר'")</f>
        <v>חלק שמואל - 8 כר'</v>
      </c>
    </row>
    <row r="15894" spans="1:6" x14ac:dyDescent="0.2">
      <c r="A15894" t="s">
        <v>26435</v>
      </c>
      <c r="B15894" t="s">
        <v>26436</v>
      </c>
      <c r="C15894" t="s">
        <v>10148</v>
      </c>
      <c r="D15894" t="s">
        <v>7059</v>
      </c>
      <c r="E15894" t="s">
        <v>104</v>
      </c>
      <c r="F15894" s="2" t="str">
        <f>HYPERLINK("http://www.otzar.org/book.asp?63878","חלק שמעון - 2 כר'")</f>
        <v>חלק שמעון - 2 כר'</v>
      </c>
    </row>
    <row r="15895" spans="1:6" x14ac:dyDescent="0.2">
      <c r="A15895" t="s">
        <v>26437</v>
      </c>
      <c r="B15895" t="s">
        <v>26438</v>
      </c>
      <c r="C15895" t="s">
        <v>26439</v>
      </c>
      <c r="D15895" t="s">
        <v>52</v>
      </c>
      <c r="F15895" s="2" t="str">
        <f>HYPERLINK("http://www.otzar.org/book.asp?622947","חלקו של ידיד - סוכה")</f>
        <v>חלקו של ידיד - סוכה</v>
      </c>
    </row>
    <row r="15896" spans="1:6" x14ac:dyDescent="0.2">
      <c r="A15896" t="s">
        <v>26440</v>
      </c>
      <c r="B15896" t="s">
        <v>5988</v>
      </c>
      <c r="C15896" t="s">
        <v>2269</v>
      </c>
      <c r="D15896" t="s">
        <v>76</v>
      </c>
      <c r="E15896" t="s">
        <v>15</v>
      </c>
      <c r="F15896" s="2" t="str">
        <f>HYPERLINK("http://www.otzar.org/book.asp?18808","חלקו של ידיד")</f>
        <v>חלקו של ידיד</v>
      </c>
    </row>
    <row r="15897" spans="1:6" x14ac:dyDescent="0.2">
      <c r="A15897" t="s">
        <v>26441</v>
      </c>
      <c r="B15897" t="s">
        <v>26442</v>
      </c>
      <c r="C15897" t="s">
        <v>99</v>
      </c>
      <c r="D15897" t="s">
        <v>10393</v>
      </c>
      <c r="E15897" t="s">
        <v>2495</v>
      </c>
      <c r="F15897" s="2" t="str">
        <f>HYPERLINK("http://www.otzar.org/book.asp?104859","חלקו של יוסף")</f>
        <v>חלקו של יוסף</v>
      </c>
    </row>
    <row r="15898" spans="1:6" x14ac:dyDescent="0.2">
      <c r="A15898" t="s">
        <v>26443</v>
      </c>
      <c r="B15898" t="s">
        <v>26444</v>
      </c>
      <c r="C15898" t="s">
        <v>411</v>
      </c>
      <c r="D15898" t="s">
        <v>367</v>
      </c>
      <c r="E15898" t="s">
        <v>144</v>
      </c>
      <c r="F15898" s="2" t="str">
        <f>HYPERLINK("http://www.otzar.org/book.asp?167838","חלקו של יעקב - 5 כר'")</f>
        <v>חלקו של יעקב - 5 כר'</v>
      </c>
    </row>
    <row r="15899" spans="1:6" x14ac:dyDescent="0.2">
      <c r="A15899" t="s">
        <v>26445</v>
      </c>
      <c r="B15899" t="s">
        <v>8602</v>
      </c>
      <c r="C15899" t="s">
        <v>5823</v>
      </c>
      <c r="D15899" t="s">
        <v>352</v>
      </c>
      <c r="E15899" t="s">
        <v>158</v>
      </c>
      <c r="F15899" s="2" t="str">
        <f>HYPERLINK("http://www.otzar.org/book.asp?6253","חלקי אבנים - 2 כר'")</f>
        <v>חלקי אבנים - 2 כר'</v>
      </c>
    </row>
    <row r="15900" spans="1:6" x14ac:dyDescent="0.2">
      <c r="A15900" t="s">
        <v>26446</v>
      </c>
      <c r="B15900" t="s">
        <v>11371</v>
      </c>
      <c r="C15900" t="s">
        <v>143</v>
      </c>
      <c r="D15900" t="s">
        <v>14</v>
      </c>
      <c r="E15900" t="s">
        <v>148</v>
      </c>
      <c r="F15900" s="2" t="str">
        <f>HYPERLINK("http://www.otzar.org/book.asp?51923","חלקינו בתורתך - 5 כר'")</f>
        <v>חלקינו בתורתך - 5 כר'</v>
      </c>
    </row>
    <row r="15901" spans="1:6" x14ac:dyDescent="0.2">
      <c r="A15901" t="s">
        <v>26447</v>
      </c>
      <c r="B15901" t="s">
        <v>155</v>
      </c>
      <c r="C15901" t="s">
        <v>603</v>
      </c>
      <c r="D15901" t="s">
        <v>157</v>
      </c>
      <c r="E15901" t="s">
        <v>2879</v>
      </c>
      <c r="F15901" s="2" t="str">
        <f>HYPERLINK("http://www.otzar.org/book.asp?15785","חלקם בחיים")</f>
        <v>חלקם בחיים</v>
      </c>
    </row>
    <row r="15902" spans="1:6" x14ac:dyDescent="0.2">
      <c r="A15902" t="s">
        <v>26448</v>
      </c>
      <c r="B15902" t="s">
        <v>26449</v>
      </c>
      <c r="C15902" t="s">
        <v>124</v>
      </c>
      <c r="D15902" t="s">
        <v>216</v>
      </c>
      <c r="E15902" t="s">
        <v>733</v>
      </c>
      <c r="F15902" s="2" t="str">
        <f>HYPERLINK("http://www.otzar.org/book.asp?160261","חלקם של רבנן סבוראי בתלמוד הבבלי")</f>
        <v>חלקם של רבנן סבוראי בתלמוד הבבלי</v>
      </c>
    </row>
    <row r="15903" spans="1:6" x14ac:dyDescent="0.2">
      <c r="A15903" t="s">
        <v>26450</v>
      </c>
      <c r="B15903" t="s">
        <v>26451</v>
      </c>
      <c r="C15903" t="s">
        <v>3840</v>
      </c>
      <c r="D15903" t="s">
        <v>9</v>
      </c>
      <c r="E15903" t="s">
        <v>202</v>
      </c>
      <c r="F15903" s="2" t="str">
        <f>HYPERLINK("http://www.otzar.org/book.asp?51017","חלקנו בתורתך - 2 כר'")</f>
        <v>חלקנו בתורתך - 2 כר'</v>
      </c>
    </row>
    <row r="15904" spans="1:6" x14ac:dyDescent="0.2">
      <c r="A15904" t="s">
        <v>26452</v>
      </c>
      <c r="B15904" t="s">
        <v>26453</v>
      </c>
      <c r="C15904" t="s">
        <v>37</v>
      </c>
      <c r="D15904" t="s">
        <v>21</v>
      </c>
      <c r="F15904" s="2" t="str">
        <f>HYPERLINK("http://www.otzar.org/book.asp?614713","חלקנו עמהם")</f>
        <v>חלקנו עמהם</v>
      </c>
    </row>
    <row r="15905" spans="1:6" x14ac:dyDescent="0.2">
      <c r="A15905" t="s">
        <v>26452</v>
      </c>
      <c r="B15905" t="s">
        <v>5470</v>
      </c>
      <c r="C15905" t="s">
        <v>366</v>
      </c>
      <c r="D15905" t="s">
        <v>118</v>
      </c>
      <c r="E15905" t="s">
        <v>104</v>
      </c>
      <c r="F15905" s="2" t="str">
        <f>HYPERLINK("http://www.otzar.org/book.asp?627397","חלקנו עמהם")</f>
        <v>חלקנו עמהם</v>
      </c>
    </row>
    <row r="15906" spans="1:6" x14ac:dyDescent="0.2">
      <c r="A15906" t="s">
        <v>26454</v>
      </c>
      <c r="B15906" t="s">
        <v>26455</v>
      </c>
      <c r="C15906" t="s">
        <v>133</v>
      </c>
      <c r="D15906" t="s">
        <v>1156</v>
      </c>
      <c r="E15906" t="s">
        <v>144</v>
      </c>
      <c r="F15906" s="2" t="str">
        <f>HYPERLINK("http://www.otzar.org/book.asp?173326","חלקת אברהם - 3 כר'")</f>
        <v>חלקת אברהם - 3 כר'</v>
      </c>
    </row>
    <row r="15907" spans="1:6" x14ac:dyDescent="0.2">
      <c r="A15907" t="s">
        <v>26456</v>
      </c>
      <c r="B15907" t="s">
        <v>26457</v>
      </c>
      <c r="C15907" t="s">
        <v>1663</v>
      </c>
      <c r="D15907" t="s">
        <v>26458</v>
      </c>
      <c r="E15907" t="s">
        <v>172</v>
      </c>
      <c r="F15907" s="2" t="str">
        <f>HYPERLINK("http://www.otzar.org/book.asp?143371","חלקת אהרן")</f>
        <v>חלקת אהרן</v>
      </c>
    </row>
    <row r="15908" spans="1:6" x14ac:dyDescent="0.2">
      <c r="A15908" t="s">
        <v>26459</v>
      </c>
      <c r="B15908" t="s">
        <v>7274</v>
      </c>
      <c r="C15908" t="s">
        <v>111</v>
      </c>
      <c r="D15908" t="s">
        <v>1156</v>
      </c>
      <c r="E15908" t="s">
        <v>15</v>
      </c>
      <c r="F15908" s="2" t="str">
        <f>HYPERLINK("http://www.otzar.org/book.asp?627229","חלקת אליהו - 5 כר'")</f>
        <v>חלקת אליהו - 5 כר'</v>
      </c>
    </row>
    <row r="15909" spans="1:6" x14ac:dyDescent="0.2">
      <c r="A15909" t="s">
        <v>26460</v>
      </c>
      <c r="B15909" t="s">
        <v>26461</v>
      </c>
      <c r="C15909" t="s">
        <v>133</v>
      </c>
      <c r="D15909" t="s">
        <v>412</v>
      </c>
      <c r="E15909" t="s">
        <v>158</v>
      </c>
      <c r="F15909" s="2" t="str">
        <f>HYPERLINK("http://www.otzar.org/book.asp?176655","חלקת אפרים - 2 כר'")</f>
        <v>חלקת אפרים - 2 כר'</v>
      </c>
    </row>
    <row r="15910" spans="1:6" x14ac:dyDescent="0.2">
      <c r="A15910" t="s">
        <v>26462</v>
      </c>
      <c r="B15910" t="s">
        <v>26463</v>
      </c>
      <c r="C15910" t="s">
        <v>1208</v>
      </c>
      <c r="D15910" t="s">
        <v>412</v>
      </c>
      <c r="E15910" t="s">
        <v>144</v>
      </c>
      <c r="F15910" s="2" t="str">
        <f>HYPERLINK("http://www.otzar.org/book.asp?606675","חלקת אריה - 2 כר'")</f>
        <v>חלקת אריה - 2 כר'</v>
      </c>
    </row>
    <row r="15911" spans="1:6" x14ac:dyDescent="0.2">
      <c r="A15911" t="s">
        <v>26464</v>
      </c>
      <c r="B15911" t="s">
        <v>26465</v>
      </c>
      <c r="C15911" t="s">
        <v>777</v>
      </c>
      <c r="D15911" t="s">
        <v>699</v>
      </c>
      <c r="E15911" t="s">
        <v>474</v>
      </c>
      <c r="F15911" s="2" t="str">
        <f>HYPERLINK("http://www.otzar.org/book.asp?51014","חלקת בועז - ה")</f>
        <v>חלקת בועז - ה</v>
      </c>
    </row>
    <row r="15912" spans="1:6" x14ac:dyDescent="0.2">
      <c r="A15912" t="s">
        <v>26466</v>
      </c>
      <c r="B15912" t="s">
        <v>26467</v>
      </c>
      <c r="C15912" t="s">
        <v>543</v>
      </c>
      <c r="D15912" t="s">
        <v>267</v>
      </c>
      <c r="F15912" s="2" t="str">
        <f>HYPERLINK("http://www.otzar.org/book.asp?53381","חלקת בנימין")</f>
        <v>חלקת בנימין</v>
      </c>
    </row>
    <row r="15913" spans="1:6" x14ac:dyDescent="0.2">
      <c r="A15913" t="s">
        <v>26468</v>
      </c>
      <c r="B15913" t="s">
        <v>26469</v>
      </c>
      <c r="C15913" t="s">
        <v>23</v>
      </c>
      <c r="D15913" t="s">
        <v>412</v>
      </c>
      <c r="E15913" t="s">
        <v>148</v>
      </c>
      <c r="F15913" s="2" t="str">
        <f>HYPERLINK("http://www.otzar.org/book.asp?602658","חלקת בנימין - 3 כר'")</f>
        <v>חלקת בנימין - 3 כר'</v>
      </c>
    </row>
    <row r="15914" spans="1:6" x14ac:dyDescent="0.2">
      <c r="A15914" t="s">
        <v>26466</v>
      </c>
      <c r="B15914" t="s">
        <v>26470</v>
      </c>
      <c r="C15914" t="s">
        <v>1166</v>
      </c>
      <c r="D15914" t="s">
        <v>225</v>
      </c>
      <c r="E15914" t="s">
        <v>144</v>
      </c>
      <c r="F15914" s="2" t="str">
        <f>HYPERLINK("http://www.otzar.org/book.asp?17566","חלקת בנימין")</f>
        <v>חלקת בנימין</v>
      </c>
    </row>
    <row r="15915" spans="1:6" x14ac:dyDescent="0.2">
      <c r="A15915" t="s">
        <v>26471</v>
      </c>
      <c r="B15915" t="s">
        <v>26472</v>
      </c>
      <c r="C15915" t="s">
        <v>151</v>
      </c>
      <c r="D15915" t="s">
        <v>52</v>
      </c>
      <c r="F15915" s="2" t="str">
        <f>HYPERLINK("http://www.otzar.org/book.asp?617448","חלקת בצלאל")</f>
        <v>חלקת בצלאל</v>
      </c>
    </row>
    <row r="15916" spans="1:6" x14ac:dyDescent="0.2">
      <c r="A15916" t="s">
        <v>26473</v>
      </c>
      <c r="B15916" t="s">
        <v>24582</v>
      </c>
      <c r="C15916" t="s">
        <v>419</v>
      </c>
      <c r="D15916" t="s">
        <v>52</v>
      </c>
      <c r="E15916" t="s">
        <v>15</v>
      </c>
      <c r="F15916" s="2" t="str">
        <f>HYPERLINK("http://www.otzar.org/book.asp?180740","חלקת השדה - פאה")</f>
        <v>חלקת השדה - פאה</v>
      </c>
    </row>
    <row r="15917" spans="1:6" x14ac:dyDescent="0.2">
      <c r="A15917" t="s">
        <v>26474</v>
      </c>
      <c r="B15917" t="s">
        <v>15396</v>
      </c>
      <c r="C15917" t="s">
        <v>26475</v>
      </c>
      <c r="D15917" t="s">
        <v>352</v>
      </c>
      <c r="E15917" t="s">
        <v>803</v>
      </c>
      <c r="F15917" s="2" t="str">
        <f>HYPERLINK("http://www.otzar.org/book.asp?11007","חלקת השדה")</f>
        <v>חלקת השדה</v>
      </c>
    </row>
    <row r="15918" spans="1:6" x14ac:dyDescent="0.2">
      <c r="A15918" t="s">
        <v>26476</v>
      </c>
      <c r="B15918" t="s">
        <v>9425</v>
      </c>
      <c r="C15918" t="s">
        <v>466</v>
      </c>
      <c r="D15918" t="s">
        <v>9426</v>
      </c>
      <c r="E15918" t="s">
        <v>10</v>
      </c>
      <c r="F15918" s="2" t="str">
        <f>HYPERLINK("http://www.otzar.org/book.asp?60579","חלקת השדה - 4 כר'")</f>
        <v>חלקת השדה - 4 כר'</v>
      </c>
    </row>
    <row r="15919" spans="1:6" x14ac:dyDescent="0.2">
      <c r="A15919" t="s">
        <v>26477</v>
      </c>
      <c r="B15919" t="s">
        <v>26478</v>
      </c>
      <c r="C15919" t="s">
        <v>129</v>
      </c>
      <c r="D15919" t="s">
        <v>657</v>
      </c>
      <c r="E15919" t="s">
        <v>144</v>
      </c>
      <c r="F15919" s="2" t="str">
        <f>HYPERLINK("http://www.otzar.org/book.asp?84609","חלקת חיים - 2 כר'")</f>
        <v>חלקת חיים - 2 כר'</v>
      </c>
    </row>
    <row r="15920" spans="1:6" x14ac:dyDescent="0.2">
      <c r="A15920" t="s">
        <v>26479</v>
      </c>
      <c r="B15920" t="s">
        <v>26480</v>
      </c>
      <c r="C15920" t="s">
        <v>1448</v>
      </c>
      <c r="D15920" t="s">
        <v>14</v>
      </c>
      <c r="E15920" t="s">
        <v>263</v>
      </c>
      <c r="F15920" s="2" t="str">
        <f>HYPERLINK("http://www.otzar.org/book.asp?194957","חלקת חנוך - 7 כר'")</f>
        <v>חלקת חנוך - 7 כר'</v>
      </c>
    </row>
    <row r="15921" spans="1:6" x14ac:dyDescent="0.2">
      <c r="A15921" t="s">
        <v>26481</v>
      </c>
      <c r="B15921" t="s">
        <v>23648</v>
      </c>
      <c r="C15921" t="s">
        <v>13</v>
      </c>
      <c r="D15921" t="s">
        <v>2504</v>
      </c>
      <c r="E15921" t="s">
        <v>186</v>
      </c>
      <c r="F15921" s="2" t="str">
        <f>HYPERLINK("http://www.otzar.org/book.asp?173887","חלקת ידיד - בבא מציעא")</f>
        <v>חלקת ידיד - בבא מציעא</v>
      </c>
    </row>
    <row r="15922" spans="1:6" x14ac:dyDescent="0.2">
      <c r="A15922" t="s">
        <v>26482</v>
      </c>
      <c r="B15922" t="s">
        <v>3253</v>
      </c>
      <c r="C15922" t="s">
        <v>176</v>
      </c>
      <c r="D15922" t="s">
        <v>52</v>
      </c>
      <c r="E15922" t="s">
        <v>230</v>
      </c>
      <c r="F15922" s="2" t="str">
        <f>HYPERLINK("http://www.otzar.org/book.asp?150700","חלקת יהושע על התורה - 5 כר'")</f>
        <v>חלקת יהושע על התורה - 5 כר'</v>
      </c>
    </row>
    <row r="15923" spans="1:6" x14ac:dyDescent="0.2">
      <c r="A15923" t="s">
        <v>26483</v>
      </c>
      <c r="B15923" t="s">
        <v>26484</v>
      </c>
      <c r="C15923" t="s">
        <v>366</v>
      </c>
      <c r="D15923" t="s">
        <v>412</v>
      </c>
      <c r="E15923" t="s">
        <v>3516</v>
      </c>
      <c r="F15923" s="2" t="str">
        <f>HYPERLINK("http://www.otzar.org/book.asp?606320","חלקת יהושע - 7 כר'")</f>
        <v>חלקת יהושע - 7 כר'</v>
      </c>
    </row>
    <row r="15924" spans="1:6" x14ac:dyDescent="0.2">
      <c r="A15924" t="s">
        <v>26485</v>
      </c>
      <c r="B15924" t="s">
        <v>3253</v>
      </c>
      <c r="C15924" t="s">
        <v>146</v>
      </c>
      <c r="D15924" t="s">
        <v>52</v>
      </c>
      <c r="F15924" s="2" t="str">
        <f>HYPERLINK("http://www.otzar.org/book.asp?618875","חלקת יהושע - תקנות והנהגות")</f>
        <v>חלקת יהושע - תקנות והנהגות</v>
      </c>
    </row>
    <row r="15925" spans="1:6" x14ac:dyDescent="0.2">
      <c r="A15925" t="s">
        <v>26486</v>
      </c>
      <c r="B15925" t="s">
        <v>26487</v>
      </c>
      <c r="C15925" t="s">
        <v>103</v>
      </c>
      <c r="D15925" t="s">
        <v>52</v>
      </c>
      <c r="E15925" t="s">
        <v>144</v>
      </c>
      <c r="F15925" s="2" t="str">
        <f>HYPERLINK("http://www.otzar.org/book.asp?145081","חלקת יואב על כללי הש""ס - 2 כר'")</f>
        <v>חלקת יואב על כללי הש"ס - 2 כר'</v>
      </c>
    </row>
    <row r="15926" spans="1:6" x14ac:dyDescent="0.2">
      <c r="A15926" t="s">
        <v>26488</v>
      </c>
      <c r="B15926" t="s">
        <v>26487</v>
      </c>
      <c r="C15926" t="s">
        <v>888</v>
      </c>
      <c r="D15926" t="s">
        <v>14954</v>
      </c>
      <c r="E15926" t="s">
        <v>684</v>
      </c>
      <c r="F15926" s="2" t="str">
        <f>HYPERLINK("http://www.otzar.org/book.asp?14694","חלקת יואב - 3 כר'")</f>
        <v>חלקת יואב - 3 כר'</v>
      </c>
    </row>
    <row r="15927" spans="1:6" x14ac:dyDescent="0.2">
      <c r="A15927" t="s">
        <v>26489</v>
      </c>
      <c r="B15927" t="s">
        <v>26490</v>
      </c>
      <c r="C15927" t="s">
        <v>1169</v>
      </c>
      <c r="D15927" t="s">
        <v>52</v>
      </c>
      <c r="E15927" t="s">
        <v>325</v>
      </c>
      <c r="F15927" s="2" t="str">
        <f>HYPERLINK("http://www.otzar.org/book.asp?174347","חלקת יוסף &lt;הוצאה ב&gt;")</f>
        <v>חלקת יוסף &lt;הוצאה ב&gt;</v>
      </c>
    </row>
    <row r="15928" spans="1:6" x14ac:dyDescent="0.2">
      <c r="A15928" t="s">
        <v>26491</v>
      </c>
      <c r="B15928" t="s">
        <v>26490</v>
      </c>
      <c r="C15928" t="s">
        <v>1169</v>
      </c>
      <c r="D15928" t="s">
        <v>52</v>
      </c>
      <c r="E15928" t="s">
        <v>144</v>
      </c>
      <c r="F15928" s="2" t="str">
        <f>HYPERLINK("http://www.otzar.org/book.asp?25564","חלקת יוסף &lt;הוצאה ג&gt;")</f>
        <v>חלקת יוסף &lt;הוצאה ג&gt;</v>
      </c>
    </row>
    <row r="15929" spans="1:6" x14ac:dyDescent="0.2">
      <c r="A15929" t="s">
        <v>26492</v>
      </c>
      <c r="B15929" t="s">
        <v>26493</v>
      </c>
      <c r="C15929" t="s">
        <v>438</v>
      </c>
      <c r="D15929" t="s">
        <v>412</v>
      </c>
      <c r="E15929" t="s">
        <v>3387</v>
      </c>
      <c r="F15929" s="2" t="str">
        <f>HYPERLINK("http://www.otzar.org/book.asp?21033","חלקת יוסף משה")</f>
        <v>חלקת יוסף משה</v>
      </c>
    </row>
    <row r="15930" spans="1:6" x14ac:dyDescent="0.2">
      <c r="A15930" t="s">
        <v>26494</v>
      </c>
      <c r="B15930" t="s">
        <v>26495</v>
      </c>
      <c r="C15930" t="s">
        <v>919</v>
      </c>
      <c r="D15930" t="s">
        <v>14</v>
      </c>
      <c r="E15930" t="s">
        <v>140</v>
      </c>
      <c r="F15930" s="2" t="str">
        <f>HYPERLINK("http://www.otzar.org/book.asp?63828","חלקת יוסף")</f>
        <v>חלקת יוסף</v>
      </c>
    </row>
    <row r="15931" spans="1:6" x14ac:dyDescent="0.2">
      <c r="A15931" t="s">
        <v>26496</v>
      </c>
      <c r="B15931" t="s">
        <v>26497</v>
      </c>
      <c r="C15931" t="s">
        <v>466</v>
      </c>
      <c r="D15931" t="s">
        <v>52</v>
      </c>
      <c r="E15931" t="s">
        <v>901</v>
      </c>
      <c r="F15931" s="2" t="str">
        <f>HYPERLINK("http://www.otzar.org/book.asp?160324","חלקת יוסף - 2 כר'")</f>
        <v>חלקת יוסף - 2 כר'</v>
      </c>
    </row>
    <row r="15932" spans="1:6" x14ac:dyDescent="0.2">
      <c r="A15932" t="s">
        <v>26498</v>
      </c>
      <c r="B15932" t="s">
        <v>18970</v>
      </c>
      <c r="C15932" t="s">
        <v>26499</v>
      </c>
      <c r="D15932" t="s">
        <v>27</v>
      </c>
      <c r="E15932" t="s">
        <v>154</v>
      </c>
      <c r="F15932" s="2" t="str">
        <f>HYPERLINK("http://www.otzar.org/book.asp?9453","חלקת יעקב - 7 כר'")</f>
        <v>חלקת יעקב - 7 כר'</v>
      </c>
    </row>
    <row r="15933" spans="1:6" x14ac:dyDescent="0.2">
      <c r="A15933" t="s">
        <v>26500</v>
      </c>
      <c r="B15933" t="s">
        <v>26501</v>
      </c>
      <c r="C15933" t="s">
        <v>71</v>
      </c>
      <c r="D15933" t="s">
        <v>14</v>
      </c>
      <c r="F15933" s="2" t="str">
        <f>HYPERLINK("http://www.otzar.org/book.asp?161767","חלקת יצחק - 3 כר'")</f>
        <v>חלקת יצחק - 3 כר'</v>
      </c>
    </row>
    <row r="15934" spans="1:6" x14ac:dyDescent="0.2">
      <c r="A15934" t="s">
        <v>26502</v>
      </c>
      <c r="B15934" t="s">
        <v>26503</v>
      </c>
      <c r="C15934" t="s">
        <v>114</v>
      </c>
      <c r="D15934" t="s">
        <v>90</v>
      </c>
      <c r="E15934" t="s">
        <v>10395</v>
      </c>
      <c r="F15934" s="2" t="str">
        <f>HYPERLINK("http://www.otzar.org/book.asp?162706","חלקת ישראל")</f>
        <v>חלקת ישראל</v>
      </c>
    </row>
    <row r="15935" spans="1:6" x14ac:dyDescent="0.2">
      <c r="A15935" t="s">
        <v>26504</v>
      </c>
      <c r="B15935" t="s">
        <v>26412</v>
      </c>
      <c r="C15935" t="s">
        <v>919</v>
      </c>
      <c r="D15935" t="s">
        <v>9530</v>
      </c>
      <c r="F15935" s="2" t="str">
        <f>HYPERLINK("http://www.otzar.org/book.asp?615701","חלקת לוי - סוכה, בכורות")</f>
        <v>חלקת לוי - סוכה, בכורות</v>
      </c>
    </row>
    <row r="15936" spans="1:6" x14ac:dyDescent="0.2">
      <c r="A15936" t="s">
        <v>26505</v>
      </c>
      <c r="B15936" t="s">
        <v>26506</v>
      </c>
      <c r="C15936" t="s">
        <v>180</v>
      </c>
      <c r="D15936" t="s">
        <v>412</v>
      </c>
      <c r="E15936" t="s">
        <v>15</v>
      </c>
      <c r="F15936" s="2" t="str">
        <f>HYPERLINK("http://www.otzar.org/book.asp?8994","חלקת מאיר - 2 כר'")</f>
        <v>חלקת מאיר - 2 כר'</v>
      </c>
    </row>
    <row r="15937" spans="1:6" x14ac:dyDescent="0.2">
      <c r="A15937" t="s">
        <v>26507</v>
      </c>
      <c r="B15937" t="s">
        <v>15186</v>
      </c>
      <c r="C15937" t="s">
        <v>7162</v>
      </c>
      <c r="D15937" t="s">
        <v>2461</v>
      </c>
      <c r="E15937" t="s">
        <v>158</v>
      </c>
      <c r="F15937" s="2" t="str">
        <f>HYPERLINK("http://www.otzar.org/book.asp?26424","חלקת מחוקק - 2 כר'")</f>
        <v>חלקת מחוקק - 2 כר'</v>
      </c>
    </row>
    <row r="15938" spans="1:6" x14ac:dyDescent="0.2">
      <c r="A15938" t="s">
        <v>26508</v>
      </c>
      <c r="B15938" t="s">
        <v>11839</v>
      </c>
      <c r="C15938" t="s">
        <v>362</v>
      </c>
      <c r="D15938" t="s">
        <v>27</v>
      </c>
      <c r="E15938" t="s">
        <v>104</v>
      </c>
      <c r="F15938" s="2" t="str">
        <f>HYPERLINK("http://www.otzar.org/book.asp?176710","חלקת מחוקק")</f>
        <v>חלקת מחוקק</v>
      </c>
    </row>
    <row r="15939" spans="1:6" x14ac:dyDescent="0.2">
      <c r="A15939" t="s">
        <v>26508</v>
      </c>
      <c r="B15939" t="s">
        <v>1320</v>
      </c>
      <c r="C15939" t="s">
        <v>1481</v>
      </c>
      <c r="D15939" t="s">
        <v>8592</v>
      </c>
      <c r="E15939" t="s">
        <v>241</v>
      </c>
      <c r="F15939" s="2" t="str">
        <f>HYPERLINK("http://www.otzar.org/book.asp?200071","חלקת מחוקק")</f>
        <v>חלקת מחוקק</v>
      </c>
    </row>
    <row r="15940" spans="1:6" x14ac:dyDescent="0.2">
      <c r="A15940" t="s">
        <v>26508</v>
      </c>
      <c r="B15940" t="s">
        <v>26509</v>
      </c>
      <c r="C15940" t="s">
        <v>8882</v>
      </c>
      <c r="D15940" t="s">
        <v>744</v>
      </c>
      <c r="E15940" t="s">
        <v>246</v>
      </c>
      <c r="F15940" s="2" t="str">
        <f>HYPERLINK("http://www.otzar.org/book.asp?51016","חלקת מחוקק")</f>
        <v>חלקת מחוקק</v>
      </c>
    </row>
    <row r="15941" spans="1:6" x14ac:dyDescent="0.2">
      <c r="A15941" t="s">
        <v>26510</v>
      </c>
      <c r="B15941" t="s">
        <v>686</v>
      </c>
      <c r="C15941" t="s">
        <v>37</v>
      </c>
      <c r="D15941" t="s">
        <v>52</v>
      </c>
      <c r="E15941" t="s">
        <v>104</v>
      </c>
      <c r="F15941" s="2" t="str">
        <f>HYPERLINK("http://www.otzar.org/book.asp?189247","חלקת מחקק - מטר השמים")</f>
        <v>חלקת מחקק - מטר השמים</v>
      </c>
    </row>
    <row r="15942" spans="1:6" x14ac:dyDescent="0.2">
      <c r="A15942" t="s">
        <v>26511</v>
      </c>
      <c r="B15942" t="s">
        <v>26512</v>
      </c>
      <c r="C15942" t="s">
        <v>13</v>
      </c>
      <c r="D15942" t="s">
        <v>14</v>
      </c>
      <c r="E15942" t="s">
        <v>230</v>
      </c>
      <c r="F15942" s="2" t="str">
        <f>HYPERLINK("http://www.otzar.org/book.asp?603948","חלקת מרדכי - 2 כר'")</f>
        <v>חלקת מרדכי - 2 כר'</v>
      </c>
    </row>
    <row r="15943" spans="1:6" x14ac:dyDescent="0.2">
      <c r="A15943" t="s">
        <v>26513</v>
      </c>
      <c r="B15943" t="s">
        <v>26514</v>
      </c>
      <c r="C15943" t="s">
        <v>919</v>
      </c>
      <c r="D15943" t="s">
        <v>412</v>
      </c>
      <c r="E15943" t="s">
        <v>144</v>
      </c>
      <c r="F15943" s="2" t="str">
        <f>HYPERLINK("http://www.otzar.org/book.asp?620068","חלקת משה - 3 כר'")</f>
        <v>חלקת משה - 3 כר'</v>
      </c>
    </row>
    <row r="15944" spans="1:6" x14ac:dyDescent="0.2">
      <c r="A15944" t="s">
        <v>26515</v>
      </c>
      <c r="B15944" t="s">
        <v>26516</v>
      </c>
      <c r="C15944" t="s">
        <v>313</v>
      </c>
      <c r="D15944" t="s">
        <v>21</v>
      </c>
      <c r="E15944" t="s">
        <v>15</v>
      </c>
      <c r="F15944" s="2" t="str">
        <f>HYPERLINK("http://www.otzar.org/book.asp?620116","חלקת צבי")</f>
        <v>חלקת צבי</v>
      </c>
    </row>
    <row r="15945" spans="1:6" x14ac:dyDescent="0.2">
      <c r="A15945" t="s">
        <v>26517</v>
      </c>
      <c r="B15945" t="s">
        <v>26518</v>
      </c>
      <c r="C15945" t="s">
        <v>785</v>
      </c>
      <c r="D15945" t="s">
        <v>52</v>
      </c>
      <c r="E15945" t="s">
        <v>144</v>
      </c>
      <c r="F15945" s="2" t="str">
        <f>HYPERLINK("http://www.otzar.org/book.asp?156163","חלקת צבי - גיטין")</f>
        <v>חלקת צבי - גיטין</v>
      </c>
    </row>
    <row r="15946" spans="1:6" x14ac:dyDescent="0.2">
      <c r="A15946" t="s">
        <v>26519</v>
      </c>
      <c r="B15946" t="s">
        <v>26520</v>
      </c>
      <c r="C15946" t="s">
        <v>244</v>
      </c>
      <c r="D15946" t="s">
        <v>152</v>
      </c>
      <c r="E15946" t="s">
        <v>1211</v>
      </c>
      <c r="F15946" s="2" t="str">
        <f>HYPERLINK("http://www.otzar.org/book.asp?603119","חלקת צבי - ב""מ")</f>
        <v>חלקת צבי - ב"מ</v>
      </c>
    </row>
    <row r="15947" spans="1:6" x14ac:dyDescent="0.2">
      <c r="A15947" t="s">
        <v>26515</v>
      </c>
      <c r="B15947" t="s">
        <v>26521</v>
      </c>
      <c r="C15947" t="s">
        <v>2870</v>
      </c>
      <c r="D15947" t="s">
        <v>307</v>
      </c>
      <c r="E15947" t="s">
        <v>463</v>
      </c>
      <c r="F15947" s="2" t="str">
        <f>HYPERLINK("http://www.otzar.org/book.asp?28322","חלקת צבי")</f>
        <v>חלקת צבי</v>
      </c>
    </row>
    <row r="15948" spans="1:6" x14ac:dyDescent="0.2">
      <c r="A15948" t="s">
        <v>26522</v>
      </c>
      <c r="B15948" t="s">
        <v>26523</v>
      </c>
      <c r="C15948" t="s">
        <v>2543</v>
      </c>
      <c r="D15948" t="s">
        <v>56</v>
      </c>
      <c r="E15948" t="s">
        <v>1211</v>
      </c>
      <c r="F15948" s="2" t="str">
        <f>HYPERLINK("http://www.otzar.org/book.asp?168038","חלקת ראובן")</f>
        <v>חלקת ראובן</v>
      </c>
    </row>
    <row r="15949" spans="1:6" x14ac:dyDescent="0.2">
      <c r="A15949" t="s">
        <v>26524</v>
      </c>
      <c r="B15949" t="s">
        <v>26525</v>
      </c>
      <c r="C15949" t="s">
        <v>13</v>
      </c>
      <c r="D15949" t="s">
        <v>2125</v>
      </c>
      <c r="F15949" s="2" t="str">
        <f>HYPERLINK("http://www.otzar.org/book.asp?169601","חלקת שלמה")</f>
        <v>חלקת שלמה</v>
      </c>
    </row>
    <row r="15950" spans="1:6" x14ac:dyDescent="0.2">
      <c r="A15950" t="s">
        <v>26526</v>
      </c>
      <c r="B15950" t="s">
        <v>26527</v>
      </c>
      <c r="C15950" t="s">
        <v>23</v>
      </c>
      <c r="D15950" t="s">
        <v>657</v>
      </c>
      <c r="E15950" t="s">
        <v>144</v>
      </c>
      <c r="F15950" s="2" t="str">
        <f>HYPERLINK("http://www.otzar.org/book.asp?193210","חלקת שמואל")</f>
        <v>חלקת שמואל</v>
      </c>
    </row>
    <row r="15951" spans="1:6" x14ac:dyDescent="0.2">
      <c r="A15951" t="s">
        <v>26528</v>
      </c>
      <c r="B15951" t="s">
        <v>26529</v>
      </c>
      <c r="C15951" t="s">
        <v>20</v>
      </c>
      <c r="D15951" t="s">
        <v>52</v>
      </c>
      <c r="F15951" s="2" t="str">
        <f>HYPERLINK("http://www.otzar.org/book.asp?198048","חלקת שמחה - 2 כר'")</f>
        <v>חלקת שמחה - 2 כר'</v>
      </c>
    </row>
    <row r="15952" spans="1:6" x14ac:dyDescent="0.2">
      <c r="A15952" t="s">
        <v>26530</v>
      </c>
      <c r="B15952" t="s">
        <v>2709</v>
      </c>
      <c r="C15952" t="s">
        <v>244</v>
      </c>
      <c r="D15952" t="s">
        <v>412</v>
      </c>
      <c r="E15952" t="s">
        <v>144</v>
      </c>
      <c r="F15952" s="2" t="str">
        <f>HYPERLINK("http://www.otzar.org/book.asp?602908","חלת אהרן")</f>
        <v>חלת אהרן</v>
      </c>
    </row>
    <row r="15953" spans="1:6" x14ac:dyDescent="0.2">
      <c r="A15953" t="s">
        <v>26531</v>
      </c>
      <c r="B15953" t="s">
        <v>26532</v>
      </c>
      <c r="C15953" t="s">
        <v>146</v>
      </c>
      <c r="D15953" t="s">
        <v>14</v>
      </c>
      <c r="E15953" t="s">
        <v>148</v>
      </c>
      <c r="F15953" s="2" t="str">
        <f>HYPERLINK("http://www.otzar.org/book.asp?142029","חלת דבש - 8 כר'")</f>
        <v>חלת דבש - 8 כר'</v>
      </c>
    </row>
    <row r="15954" spans="1:6" x14ac:dyDescent="0.2">
      <c r="A15954" t="s">
        <v>26533</v>
      </c>
      <c r="B15954" t="s">
        <v>26534</v>
      </c>
      <c r="C15954" t="s">
        <v>51</v>
      </c>
      <c r="D15954" t="s">
        <v>90</v>
      </c>
      <c r="E15954" t="s">
        <v>84</v>
      </c>
      <c r="F15954" s="2" t="str">
        <f>HYPERLINK("http://www.otzar.org/book.asp?53155","חלת יעקב")</f>
        <v>חלת יעקב</v>
      </c>
    </row>
    <row r="15955" spans="1:6" x14ac:dyDescent="0.2">
      <c r="A15955" t="s">
        <v>26535</v>
      </c>
      <c r="B15955" t="s">
        <v>26536</v>
      </c>
      <c r="C15955" t="s">
        <v>624</v>
      </c>
      <c r="D15955" t="s">
        <v>412</v>
      </c>
      <c r="E15955" t="s">
        <v>15</v>
      </c>
      <c r="F15955" s="2" t="str">
        <f>HYPERLINK("http://www.otzar.org/book.asp?190877","חלת לחם &lt;מהדורה חדשה&gt;")</f>
        <v>חלת לחם &lt;מהדורה חדשה&gt;</v>
      </c>
    </row>
    <row r="15956" spans="1:6" x14ac:dyDescent="0.2">
      <c r="A15956" t="s">
        <v>26537</v>
      </c>
      <c r="B15956" t="s">
        <v>26538</v>
      </c>
      <c r="C15956" t="s">
        <v>624</v>
      </c>
      <c r="D15956" t="s">
        <v>412</v>
      </c>
      <c r="E15956" t="s">
        <v>172</v>
      </c>
      <c r="F15956" s="2" t="str">
        <f>HYPERLINK("http://www.otzar.org/book.asp?151690","חלת לחם")</f>
        <v>חלת לחם</v>
      </c>
    </row>
    <row r="15957" spans="1:6" x14ac:dyDescent="0.2">
      <c r="A15957" t="s">
        <v>26537</v>
      </c>
      <c r="B15957" t="s">
        <v>26536</v>
      </c>
      <c r="C15957" t="s">
        <v>291</v>
      </c>
      <c r="D15957" t="s">
        <v>267</v>
      </c>
      <c r="E15957" t="s">
        <v>15</v>
      </c>
      <c r="F15957" s="2" t="str">
        <f>HYPERLINK("http://www.otzar.org/book.asp?8270","חלת לחם")</f>
        <v>חלת לחם</v>
      </c>
    </row>
    <row r="15958" spans="1:6" x14ac:dyDescent="0.2">
      <c r="A15958" t="s">
        <v>26539</v>
      </c>
      <c r="B15958" t="s">
        <v>26540</v>
      </c>
      <c r="C15958" t="s">
        <v>68</v>
      </c>
      <c r="D15958" t="s">
        <v>14</v>
      </c>
      <c r="E15958" t="s">
        <v>2091</v>
      </c>
      <c r="F15958" s="2" t="str">
        <f>HYPERLINK("http://www.otzar.org/book.asp?618052","חם השמש")</f>
        <v>חם השמש</v>
      </c>
    </row>
    <row r="15959" spans="1:6" x14ac:dyDescent="0.2">
      <c r="A15959" t="s">
        <v>26541</v>
      </c>
      <c r="B15959" t="s">
        <v>1308</v>
      </c>
      <c r="C15959" t="s">
        <v>728</v>
      </c>
      <c r="D15959" t="s">
        <v>212</v>
      </c>
      <c r="E15959" t="s">
        <v>219</v>
      </c>
      <c r="F15959" s="2" t="str">
        <f>HYPERLINK("http://www.otzar.org/book.asp?160511","חם לבי")</f>
        <v>חם לבי</v>
      </c>
    </row>
    <row r="15960" spans="1:6" x14ac:dyDescent="0.2">
      <c r="A15960" t="s">
        <v>26541</v>
      </c>
      <c r="B15960" t="s">
        <v>686</v>
      </c>
      <c r="C15960" t="s">
        <v>454</v>
      </c>
      <c r="D15960" t="s">
        <v>52</v>
      </c>
      <c r="E15960" t="s">
        <v>104</v>
      </c>
      <c r="F15960" s="2" t="str">
        <f>HYPERLINK("http://www.otzar.org/book.asp?189264","חם לבי")</f>
        <v>חם לבי</v>
      </c>
    </row>
    <row r="15961" spans="1:6" x14ac:dyDescent="0.2">
      <c r="A15961" t="s">
        <v>26542</v>
      </c>
      <c r="B15961" t="s">
        <v>26543</v>
      </c>
      <c r="C15961" t="s">
        <v>1609</v>
      </c>
      <c r="D15961" t="s">
        <v>52</v>
      </c>
      <c r="F15961" s="2" t="str">
        <f>HYPERLINK("http://www.otzar.org/book.asp?614694","חמד אלהים")</f>
        <v>חמד אלהים</v>
      </c>
    </row>
    <row r="15962" spans="1:6" x14ac:dyDescent="0.2">
      <c r="A15962" t="s">
        <v>26544</v>
      </c>
      <c r="B15962" t="s">
        <v>26545</v>
      </c>
      <c r="C15962" t="s">
        <v>313</v>
      </c>
      <c r="D15962" t="s">
        <v>14</v>
      </c>
      <c r="E15962" t="s">
        <v>1517</v>
      </c>
      <c r="F15962" s="2" t="str">
        <f>HYPERLINK("http://www.otzar.org/book.asp?152371","חמד אלוקים &lt;מכון הכתב&gt;")</f>
        <v>חמד אלוקים &lt;מכון הכתב&gt;</v>
      </c>
    </row>
    <row r="15963" spans="1:6" x14ac:dyDescent="0.2">
      <c r="A15963" t="s">
        <v>26546</v>
      </c>
      <c r="B15963" t="s">
        <v>26547</v>
      </c>
      <c r="C15963" t="s">
        <v>8</v>
      </c>
      <c r="D15963" t="s">
        <v>212</v>
      </c>
      <c r="E15963" t="s">
        <v>1517</v>
      </c>
      <c r="F15963" s="2" t="str">
        <f>HYPERLINK("http://www.otzar.org/book.asp?300527","חמד אלוקים")</f>
        <v>חמד אלוקים</v>
      </c>
    </row>
    <row r="15964" spans="1:6" x14ac:dyDescent="0.2">
      <c r="A15964" t="s">
        <v>26546</v>
      </c>
      <c r="B15964" t="s">
        <v>26543</v>
      </c>
      <c r="C15964" t="s">
        <v>411</v>
      </c>
      <c r="D15964" t="s">
        <v>52</v>
      </c>
      <c r="F15964" s="2" t="str">
        <f>HYPERLINK("http://www.otzar.org/book.asp?170352","חמד אלוקים")</f>
        <v>חמד אלוקים</v>
      </c>
    </row>
    <row r="15965" spans="1:6" x14ac:dyDescent="0.2">
      <c r="A15965" t="s">
        <v>26548</v>
      </c>
      <c r="B15965" t="s">
        <v>11272</v>
      </c>
      <c r="C15965" t="s">
        <v>854</v>
      </c>
      <c r="D15965" t="s">
        <v>56</v>
      </c>
      <c r="E15965" t="s">
        <v>144</v>
      </c>
      <c r="F15965" s="2" t="str">
        <f>HYPERLINK("http://www.otzar.org/book.asp?24524","חמד מרדכי")</f>
        <v>חמד מרדכי</v>
      </c>
    </row>
    <row r="15966" spans="1:6" x14ac:dyDescent="0.2">
      <c r="A15966" t="s">
        <v>26549</v>
      </c>
      <c r="B15966" t="s">
        <v>26550</v>
      </c>
      <c r="C15966" t="s">
        <v>547</v>
      </c>
      <c r="D15966" t="s">
        <v>27</v>
      </c>
      <c r="E15966" t="s">
        <v>246</v>
      </c>
      <c r="F15966" s="2" t="str">
        <f>HYPERLINK("http://www.otzar.org/book.asp?197186","חמד משה &lt;מהדורה חדשה&gt; - 2 כר'")</f>
        <v>חמד משה &lt;מהדורה חדשה&gt; - 2 כר'</v>
      </c>
    </row>
    <row r="15967" spans="1:6" x14ac:dyDescent="0.2">
      <c r="A15967" t="s">
        <v>26551</v>
      </c>
      <c r="B15967" t="s">
        <v>26550</v>
      </c>
      <c r="C15967" t="s">
        <v>547</v>
      </c>
      <c r="D15967" t="s">
        <v>27</v>
      </c>
      <c r="E15967" t="s">
        <v>15</v>
      </c>
      <c r="F15967" s="2" t="str">
        <f>HYPERLINK("http://www.otzar.org/book.asp?104632","חמד משה - 3 כר'")</f>
        <v>חמד משה - 3 כר'</v>
      </c>
    </row>
    <row r="15968" spans="1:6" x14ac:dyDescent="0.2">
      <c r="A15968" t="s">
        <v>26552</v>
      </c>
      <c r="B15968" t="s">
        <v>26553</v>
      </c>
      <c r="C15968" t="s">
        <v>6448</v>
      </c>
      <c r="D15968" t="s">
        <v>2303</v>
      </c>
      <c r="E15968" t="s">
        <v>84</v>
      </c>
      <c r="F15968" s="2" t="str">
        <f>HYPERLINK("http://www.otzar.org/book.asp?101964","חמד צבי")</f>
        <v>חמד צבי</v>
      </c>
    </row>
    <row r="15969" spans="1:6" x14ac:dyDescent="0.2">
      <c r="A15969" t="s">
        <v>26554</v>
      </c>
      <c r="B15969" t="s">
        <v>22438</v>
      </c>
      <c r="C15969" t="s">
        <v>313</v>
      </c>
      <c r="D15969" t="s">
        <v>412</v>
      </c>
      <c r="E15969" t="s">
        <v>26555</v>
      </c>
      <c r="F15969" s="2" t="str">
        <f>HYPERLINK("http://www.otzar.org/book.asp?165948","חמד שלמה - 2 כר'")</f>
        <v>חמד שלמה - 2 כר'</v>
      </c>
    </row>
    <row r="15970" spans="1:6" x14ac:dyDescent="0.2">
      <c r="A15970" t="s">
        <v>26556</v>
      </c>
      <c r="B15970" t="s">
        <v>26557</v>
      </c>
      <c r="C15970" t="s">
        <v>366</v>
      </c>
      <c r="D15970" t="s">
        <v>412</v>
      </c>
      <c r="E15970" t="s">
        <v>144</v>
      </c>
      <c r="F15970" s="2" t="str">
        <f>HYPERLINK("http://www.otzar.org/book.asp?605281","חמד שמחה - 3 כר'")</f>
        <v>חמד שמחה - 3 כר'</v>
      </c>
    </row>
    <row r="15971" spans="1:6" x14ac:dyDescent="0.2">
      <c r="A15971" t="s">
        <v>26558</v>
      </c>
      <c r="B15971" t="s">
        <v>26559</v>
      </c>
      <c r="C15971" t="s">
        <v>523</v>
      </c>
      <c r="D15971" t="s">
        <v>14</v>
      </c>
      <c r="E15971" t="s">
        <v>172</v>
      </c>
      <c r="F15971" s="2" t="str">
        <f>HYPERLINK("http://www.otzar.org/book.asp?61452","חמדה גנוזה זכר מרדכי - 2 כר'")</f>
        <v>חמדה גנוזה זכר מרדכי - 2 כר'</v>
      </c>
    </row>
    <row r="15972" spans="1:6" x14ac:dyDescent="0.2">
      <c r="A15972" t="s">
        <v>26560</v>
      </c>
      <c r="B15972" t="s">
        <v>13274</v>
      </c>
      <c r="C15972" t="s">
        <v>26561</v>
      </c>
      <c r="D15972" t="s">
        <v>26562</v>
      </c>
      <c r="F15972" s="2" t="str">
        <f>HYPERLINK("http://www.otzar.org/book.asp?612174","חמדה גנוזה")</f>
        <v>חמדה גנוזה</v>
      </c>
    </row>
    <row r="15973" spans="1:6" x14ac:dyDescent="0.2">
      <c r="A15973" t="s">
        <v>26560</v>
      </c>
      <c r="B15973" t="s">
        <v>9495</v>
      </c>
      <c r="C15973" t="s">
        <v>103</v>
      </c>
      <c r="D15973" t="s">
        <v>14</v>
      </c>
      <c r="E15973" t="s">
        <v>158</v>
      </c>
      <c r="F15973" s="2" t="str">
        <f>HYPERLINK("http://www.otzar.org/book.asp?24945","חמדה גנוזה")</f>
        <v>חמדה גנוזה</v>
      </c>
    </row>
    <row r="15974" spans="1:6" x14ac:dyDescent="0.2">
      <c r="A15974" t="s">
        <v>26560</v>
      </c>
      <c r="B15974" t="s">
        <v>206</v>
      </c>
      <c r="C15974" t="s">
        <v>71</v>
      </c>
      <c r="D15974" t="s">
        <v>14</v>
      </c>
      <c r="E15974" t="s">
        <v>241</v>
      </c>
      <c r="F15974" s="2" t="str">
        <f>HYPERLINK("http://www.otzar.org/book.asp?623532","חמדה גנוזה")</f>
        <v>חמדה גנוזה</v>
      </c>
    </row>
    <row r="15975" spans="1:6" x14ac:dyDescent="0.2">
      <c r="A15975" t="s">
        <v>26563</v>
      </c>
      <c r="B15975" t="s">
        <v>26564</v>
      </c>
      <c r="C15975" t="s">
        <v>1619</v>
      </c>
      <c r="D15975" t="s">
        <v>52</v>
      </c>
      <c r="E15975" t="s">
        <v>158</v>
      </c>
      <c r="F15975" s="2" t="str">
        <f>HYPERLINK("http://www.otzar.org/book.asp?144637","חמדה גנוזה - 3 כר'")</f>
        <v>חמדה גנוזה - 3 כר'</v>
      </c>
    </row>
    <row r="15976" spans="1:6" x14ac:dyDescent="0.2">
      <c r="A15976" t="s">
        <v>26560</v>
      </c>
      <c r="B15976" t="s">
        <v>26565</v>
      </c>
      <c r="C15976" t="s">
        <v>151</v>
      </c>
      <c r="D15976" t="s">
        <v>229</v>
      </c>
      <c r="E15976" t="s">
        <v>213</v>
      </c>
      <c r="F15976" s="2" t="str">
        <f>HYPERLINK("http://www.otzar.org/book.asp?630315","חמדה גנוזה")</f>
        <v>חמדה גנוזה</v>
      </c>
    </row>
    <row r="15977" spans="1:6" x14ac:dyDescent="0.2">
      <c r="A15977" t="s">
        <v>26560</v>
      </c>
      <c r="B15977" t="s">
        <v>26566</v>
      </c>
      <c r="C15977" t="s">
        <v>87</v>
      </c>
      <c r="D15977" t="s">
        <v>14</v>
      </c>
      <c r="E15977" t="s">
        <v>241</v>
      </c>
      <c r="F15977" s="2" t="str">
        <f>HYPERLINK("http://www.otzar.org/book.asp?171110","חמדה גנוזה")</f>
        <v>חמדה גנוזה</v>
      </c>
    </row>
    <row r="15978" spans="1:6" x14ac:dyDescent="0.2">
      <c r="A15978" t="s">
        <v>26560</v>
      </c>
      <c r="B15978" t="s">
        <v>26567</v>
      </c>
      <c r="C15978" t="s">
        <v>1458</v>
      </c>
      <c r="D15978" t="s">
        <v>267</v>
      </c>
      <c r="E15978" t="s">
        <v>508</v>
      </c>
      <c r="F15978" s="2" t="str">
        <f>HYPERLINK("http://www.otzar.org/book.asp?18810","חמדה גנוזה")</f>
        <v>חמדה גנוזה</v>
      </c>
    </row>
    <row r="15979" spans="1:6" x14ac:dyDescent="0.2">
      <c r="A15979" t="s">
        <v>26560</v>
      </c>
      <c r="B15979" t="s">
        <v>26568</v>
      </c>
      <c r="C15979" t="s">
        <v>888</v>
      </c>
      <c r="D15979" t="s">
        <v>352</v>
      </c>
      <c r="E15979" t="s">
        <v>957</v>
      </c>
      <c r="F15979" s="2" t="str">
        <f>HYPERLINK("http://www.otzar.org/book.asp?102458","חמדה גנוזה")</f>
        <v>חמדה גנוזה</v>
      </c>
    </row>
    <row r="15980" spans="1:6" x14ac:dyDescent="0.2">
      <c r="A15980" t="s">
        <v>26563</v>
      </c>
      <c r="B15980" t="s">
        <v>3949</v>
      </c>
      <c r="C15980" t="s">
        <v>124</v>
      </c>
      <c r="D15980" t="s">
        <v>14</v>
      </c>
      <c r="E15980" t="s">
        <v>791</v>
      </c>
      <c r="F15980" s="2" t="str">
        <f>HYPERLINK("http://www.otzar.org/book.asp?102811","חמדה גנוזה - 3 כר'")</f>
        <v>חמדה גנוזה - 3 כר'</v>
      </c>
    </row>
    <row r="15981" spans="1:6" x14ac:dyDescent="0.2">
      <c r="A15981" t="s">
        <v>26560</v>
      </c>
      <c r="B15981" t="s">
        <v>26569</v>
      </c>
      <c r="C15981" t="s">
        <v>2617</v>
      </c>
      <c r="D15981" t="s">
        <v>27</v>
      </c>
      <c r="E15981" t="s">
        <v>508</v>
      </c>
      <c r="F15981" s="2" t="str">
        <f>HYPERLINK("http://www.otzar.org/book.asp?105837","חמדה גנוזה")</f>
        <v>חמדה גנוזה</v>
      </c>
    </row>
    <row r="15982" spans="1:6" x14ac:dyDescent="0.2">
      <c r="A15982" t="s">
        <v>26570</v>
      </c>
      <c r="B15982" t="s">
        <v>26571</v>
      </c>
      <c r="C15982" t="s">
        <v>133</v>
      </c>
      <c r="D15982" t="s">
        <v>52</v>
      </c>
      <c r="E15982" t="s">
        <v>158</v>
      </c>
      <c r="F15982" s="2" t="str">
        <f>HYPERLINK("http://www.otzar.org/book.asp?182906","חמדה יקרה - 4 כר'")</f>
        <v>חמדה יקרה - 4 כר'</v>
      </c>
    </row>
    <row r="15983" spans="1:6" x14ac:dyDescent="0.2">
      <c r="A15983" t="s">
        <v>26572</v>
      </c>
      <c r="B15983" t="s">
        <v>26573</v>
      </c>
      <c r="C15983" t="s">
        <v>71</v>
      </c>
      <c r="D15983" t="s">
        <v>14</v>
      </c>
      <c r="E15983" t="s">
        <v>154</v>
      </c>
      <c r="F15983" s="2" t="str">
        <f>HYPERLINK("http://www.otzar.org/book.asp?50336","חמדת אברהם - 4 כר'")</f>
        <v>חמדת אברהם - 4 כר'</v>
      </c>
    </row>
    <row r="15984" spans="1:6" x14ac:dyDescent="0.2">
      <c r="A15984" t="s">
        <v>26574</v>
      </c>
      <c r="B15984" t="s">
        <v>26575</v>
      </c>
      <c r="C15984" t="s">
        <v>124</v>
      </c>
      <c r="D15984" t="s">
        <v>14</v>
      </c>
      <c r="E15984" t="s">
        <v>26576</v>
      </c>
      <c r="F15984" s="2" t="str">
        <f>HYPERLINK("http://www.otzar.org/book.asp?103038","חמדת אברהם")</f>
        <v>חמדת אברהם</v>
      </c>
    </row>
    <row r="15985" spans="1:6" x14ac:dyDescent="0.2">
      <c r="A15985" t="s">
        <v>26577</v>
      </c>
      <c r="B15985" t="s">
        <v>26578</v>
      </c>
      <c r="C15985" t="s">
        <v>422</v>
      </c>
      <c r="D15985" t="s">
        <v>52</v>
      </c>
      <c r="E15985" t="s">
        <v>144</v>
      </c>
      <c r="F15985" s="2" t="str">
        <f>HYPERLINK("http://www.otzar.org/book.asp?151712","חמדת אהרן - 2 כר'")</f>
        <v>חמדת אהרן - 2 כר'</v>
      </c>
    </row>
    <row r="15986" spans="1:6" x14ac:dyDescent="0.2">
      <c r="A15986" t="s">
        <v>26579</v>
      </c>
      <c r="B15986" t="s">
        <v>5664</v>
      </c>
      <c r="C15986" t="s">
        <v>129</v>
      </c>
      <c r="F15986" s="2" t="str">
        <f>HYPERLINK("http://www.otzar.org/book.asp?617072","חמדת אליה רבה")</f>
        <v>חמדת אליה רבה</v>
      </c>
    </row>
    <row r="15987" spans="1:6" x14ac:dyDescent="0.2">
      <c r="A15987" t="s">
        <v>26580</v>
      </c>
      <c r="B15987" t="s">
        <v>26581</v>
      </c>
      <c r="C15987" t="s">
        <v>26</v>
      </c>
      <c r="D15987" t="s">
        <v>9</v>
      </c>
      <c r="E15987" t="s">
        <v>154</v>
      </c>
      <c r="F15987" s="2" t="str">
        <f>HYPERLINK("http://www.otzar.org/book.asp?11008","חמדת אפרים - שו""ת")</f>
        <v>חמדת אפרים - שו"ת</v>
      </c>
    </row>
    <row r="15988" spans="1:6" x14ac:dyDescent="0.2">
      <c r="A15988" t="s">
        <v>26582</v>
      </c>
      <c r="B15988" t="s">
        <v>26583</v>
      </c>
      <c r="C15988" t="s">
        <v>553</v>
      </c>
      <c r="D15988" t="s">
        <v>14</v>
      </c>
      <c r="E15988" t="s">
        <v>803</v>
      </c>
      <c r="F15988" s="2" t="str">
        <f>HYPERLINK("http://www.otzar.org/book.asp?50214","חמדת אריה - 2 כר'")</f>
        <v>חמדת אריה - 2 כר'</v>
      </c>
    </row>
    <row r="15989" spans="1:6" x14ac:dyDescent="0.2">
      <c r="A15989" t="s">
        <v>26584</v>
      </c>
      <c r="B15989" t="s">
        <v>6545</v>
      </c>
      <c r="C15989" t="s">
        <v>3106</v>
      </c>
      <c r="D15989" t="s">
        <v>9</v>
      </c>
      <c r="E15989" t="s">
        <v>3387</v>
      </c>
      <c r="F15989" s="2" t="str">
        <f>HYPERLINK("http://www.otzar.org/book.asp?13701","חמדת בנימין - מכות")</f>
        <v>חמדת בנימין - מכות</v>
      </c>
    </row>
    <row r="15990" spans="1:6" x14ac:dyDescent="0.2">
      <c r="A15990" t="s">
        <v>26585</v>
      </c>
      <c r="B15990" t="s">
        <v>26586</v>
      </c>
      <c r="C15990" t="s">
        <v>547</v>
      </c>
      <c r="D15990" t="s">
        <v>691</v>
      </c>
      <c r="E15990" t="s">
        <v>26587</v>
      </c>
      <c r="F15990" s="2" t="str">
        <f>HYPERLINK("http://www.otzar.org/book.asp?10186","חמדת דוד")</f>
        <v>חמדת דוד</v>
      </c>
    </row>
    <row r="15991" spans="1:6" x14ac:dyDescent="0.2">
      <c r="A15991" t="s">
        <v>26588</v>
      </c>
      <c r="B15991" t="s">
        <v>26589</v>
      </c>
      <c r="C15991" t="s">
        <v>624</v>
      </c>
      <c r="D15991" t="s">
        <v>1550</v>
      </c>
      <c r="E15991" t="s">
        <v>144</v>
      </c>
      <c r="F15991" s="2" t="str">
        <f>HYPERLINK("http://www.otzar.org/book.asp?165147","חמדת דניאל")</f>
        <v>חמדת דניאל</v>
      </c>
    </row>
    <row r="15992" spans="1:6" x14ac:dyDescent="0.2">
      <c r="A15992" t="s">
        <v>26590</v>
      </c>
      <c r="B15992" t="s">
        <v>26591</v>
      </c>
      <c r="C15992" t="s">
        <v>26592</v>
      </c>
      <c r="D15992" t="s">
        <v>27</v>
      </c>
      <c r="F15992" s="2" t="str">
        <f>HYPERLINK("http://www.otzar.org/book.asp?620273","חמדת דניאל - 2 כר'")</f>
        <v>חמדת דניאל - 2 כר'</v>
      </c>
    </row>
    <row r="15993" spans="1:6" x14ac:dyDescent="0.2">
      <c r="A15993" t="s">
        <v>26593</v>
      </c>
      <c r="B15993" t="s">
        <v>9553</v>
      </c>
      <c r="C15993" t="s">
        <v>454</v>
      </c>
      <c r="D15993" t="s">
        <v>14</v>
      </c>
      <c r="E15993" t="s">
        <v>4160</v>
      </c>
      <c r="F15993" s="2" t="str">
        <f>HYPERLINK("http://www.otzar.org/book.asp?151185","חמדת דניאל - 3 כר'")</f>
        <v>חמדת דניאל - 3 כר'</v>
      </c>
    </row>
    <row r="15994" spans="1:6" x14ac:dyDescent="0.2">
      <c r="A15994" t="s">
        <v>26593</v>
      </c>
      <c r="B15994" t="s">
        <v>26594</v>
      </c>
      <c r="C15994" t="s">
        <v>103</v>
      </c>
      <c r="D15994" t="s">
        <v>14</v>
      </c>
      <c r="E15994" t="s">
        <v>144</v>
      </c>
      <c r="F15994" s="2" t="str">
        <f>HYPERLINK("http://www.otzar.org/book.asp?50171","חמדת דניאל - 3 כר'")</f>
        <v>חמדת דניאל - 3 כר'</v>
      </c>
    </row>
    <row r="15995" spans="1:6" x14ac:dyDescent="0.2">
      <c r="A15995" t="s">
        <v>26595</v>
      </c>
      <c r="B15995" t="s">
        <v>26566</v>
      </c>
      <c r="C15995" t="s">
        <v>143</v>
      </c>
      <c r="D15995" t="s">
        <v>14</v>
      </c>
      <c r="E15995" t="s">
        <v>241</v>
      </c>
      <c r="F15995" s="2" t="str">
        <f>HYPERLINK("http://www.otzar.org/book.asp?189708","חמדת המוסר - ב")</f>
        <v>חמדת המוסר - ב</v>
      </c>
    </row>
    <row r="15996" spans="1:6" x14ac:dyDescent="0.2">
      <c r="A15996" t="s">
        <v>26596</v>
      </c>
      <c r="B15996" t="s">
        <v>565</v>
      </c>
      <c r="C15996" t="s">
        <v>748</v>
      </c>
      <c r="D15996" t="s">
        <v>283</v>
      </c>
      <c r="E15996" t="s">
        <v>154</v>
      </c>
      <c r="F15996" s="2" t="str">
        <f>HYPERLINK("http://www.otzar.org/book.asp?102813","חמדת הנפש")</f>
        <v>חמדת הנפש</v>
      </c>
    </row>
    <row r="15997" spans="1:6" x14ac:dyDescent="0.2">
      <c r="A15997" t="s">
        <v>26597</v>
      </c>
      <c r="B15997" t="s">
        <v>6040</v>
      </c>
      <c r="C15997" t="s">
        <v>129</v>
      </c>
      <c r="F15997" s="2" t="str">
        <f>HYPERLINK("http://www.otzar.org/book.asp?617071","חמדת הרמ""ע מפאנו")</f>
        <v>חמדת הרמ"ע מפאנו</v>
      </c>
    </row>
    <row r="15998" spans="1:6" x14ac:dyDescent="0.2">
      <c r="A15998" t="s">
        <v>26598</v>
      </c>
      <c r="B15998" t="s">
        <v>6029</v>
      </c>
      <c r="C15998" t="s">
        <v>37</v>
      </c>
      <c r="D15998" t="s">
        <v>52</v>
      </c>
      <c r="E15998" t="s">
        <v>130</v>
      </c>
      <c r="F15998" s="2" t="str">
        <f>HYPERLINK("http://www.otzar.org/book.asp?195821","חמדת השבת")</f>
        <v>חמדת השבת</v>
      </c>
    </row>
    <row r="15999" spans="1:6" x14ac:dyDescent="0.2">
      <c r="A15999" t="s">
        <v>26599</v>
      </c>
      <c r="B15999" t="s">
        <v>2396</v>
      </c>
      <c r="C15999" t="s">
        <v>366</v>
      </c>
      <c r="D15999" t="s">
        <v>1076</v>
      </c>
      <c r="E15999" t="s">
        <v>158</v>
      </c>
      <c r="F15999" s="2" t="str">
        <f>HYPERLINK("http://www.otzar.org/book.asp?617274","חמדת התורה - בפסוקי התורה")</f>
        <v>חמדת התורה - בפסוקי התורה</v>
      </c>
    </row>
    <row r="16000" spans="1:6" x14ac:dyDescent="0.2">
      <c r="A16000" t="s">
        <v>26600</v>
      </c>
      <c r="B16000" t="s">
        <v>26601</v>
      </c>
      <c r="C16000" t="s">
        <v>189</v>
      </c>
      <c r="D16000" t="s">
        <v>245</v>
      </c>
      <c r="F16000" s="2" t="str">
        <f>HYPERLINK("http://www.otzar.org/book.asp?169591","חמדת חיים - 2 כר'")</f>
        <v>חמדת חיים - 2 כר'</v>
      </c>
    </row>
    <row r="16001" spans="1:6" x14ac:dyDescent="0.2">
      <c r="A16001" t="s">
        <v>26602</v>
      </c>
      <c r="B16001" t="s">
        <v>26603</v>
      </c>
      <c r="C16001" t="s">
        <v>1374</v>
      </c>
      <c r="D16001" t="s">
        <v>699</v>
      </c>
      <c r="E16001" t="s">
        <v>435</v>
      </c>
      <c r="F16001" s="2" t="str">
        <f>HYPERLINK("http://www.otzar.org/book.asp?51020","חמדת יהושע")</f>
        <v>חמדת יהושע</v>
      </c>
    </row>
    <row r="16002" spans="1:6" x14ac:dyDescent="0.2">
      <c r="A16002" t="s">
        <v>26604</v>
      </c>
      <c r="B16002" t="s">
        <v>26605</v>
      </c>
      <c r="C16002" t="s">
        <v>103</v>
      </c>
      <c r="D16002" t="s">
        <v>14</v>
      </c>
      <c r="E16002" t="s">
        <v>119</v>
      </c>
      <c r="F16002" s="2" t="str">
        <f>HYPERLINK("http://www.otzar.org/book.asp?150877","חמדת יוסף")</f>
        <v>חמדת יוסף</v>
      </c>
    </row>
    <row r="16003" spans="1:6" x14ac:dyDescent="0.2">
      <c r="A16003" t="s">
        <v>26606</v>
      </c>
      <c r="B16003" t="s">
        <v>26607</v>
      </c>
      <c r="C16003" t="s">
        <v>26608</v>
      </c>
      <c r="D16003" t="s">
        <v>26609</v>
      </c>
      <c r="E16003" t="s">
        <v>104</v>
      </c>
      <c r="F16003" s="2" t="str">
        <f>HYPERLINK("http://www.otzar.org/book.asp?625994","חמדת יוסף - ב")</f>
        <v>חמדת יוסף - ב</v>
      </c>
    </row>
    <row r="16004" spans="1:6" x14ac:dyDescent="0.2">
      <c r="A16004" t="s">
        <v>26610</v>
      </c>
      <c r="B16004" t="s">
        <v>16782</v>
      </c>
      <c r="C16004" t="s">
        <v>785</v>
      </c>
      <c r="D16004" t="s">
        <v>14</v>
      </c>
      <c r="E16004" t="s">
        <v>295</v>
      </c>
      <c r="F16004" s="2" t="str">
        <f>HYPERLINK("http://www.otzar.org/book.asp?621926","חמדת יוסף - 7 כר'")</f>
        <v>חמדת יוסף - 7 כר'</v>
      </c>
    </row>
    <row r="16005" spans="1:6" x14ac:dyDescent="0.2">
      <c r="A16005" t="s">
        <v>26611</v>
      </c>
      <c r="B16005" t="s">
        <v>1554</v>
      </c>
      <c r="C16005" t="s">
        <v>189</v>
      </c>
      <c r="D16005" t="s">
        <v>52</v>
      </c>
      <c r="E16005" t="s">
        <v>803</v>
      </c>
      <c r="F16005" s="2" t="str">
        <f>HYPERLINK("http://www.otzar.org/book.asp?157939","חמדת יחזקאל - 5 כר'")</f>
        <v>חמדת יחזקאל - 5 כר'</v>
      </c>
    </row>
    <row r="16006" spans="1:6" x14ac:dyDescent="0.2">
      <c r="A16006" t="s">
        <v>26612</v>
      </c>
      <c r="B16006" t="s">
        <v>26613</v>
      </c>
      <c r="C16006" t="s">
        <v>114</v>
      </c>
      <c r="D16006" t="s">
        <v>52</v>
      </c>
      <c r="E16006" t="s">
        <v>130</v>
      </c>
      <c r="F16006" s="2" t="str">
        <f>HYPERLINK("http://www.otzar.org/book.asp?162012","חמדת ימים &lt;מהדורה חדשה&gt; - 3 כר'")</f>
        <v>חמדת ימים &lt;מהדורה חדשה&gt; - 3 כר'</v>
      </c>
    </row>
    <row r="16007" spans="1:6" x14ac:dyDescent="0.2">
      <c r="A16007" t="s">
        <v>26613</v>
      </c>
      <c r="B16007" t="s">
        <v>2612</v>
      </c>
      <c r="C16007" t="s">
        <v>466</v>
      </c>
      <c r="D16007" t="s">
        <v>14</v>
      </c>
      <c r="E16007" t="s">
        <v>130</v>
      </c>
      <c r="F16007" s="2" t="str">
        <f>HYPERLINK("http://www.otzar.org/book.asp?161754","חמדת ימים")</f>
        <v>חמדת ימים</v>
      </c>
    </row>
    <row r="16008" spans="1:6" x14ac:dyDescent="0.2">
      <c r="A16008" t="s">
        <v>26614</v>
      </c>
      <c r="B16008" t="s">
        <v>26615</v>
      </c>
      <c r="C16008" t="s">
        <v>26616</v>
      </c>
      <c r="D16008" t="s">
        <v>157</v>
      </c>
      <c r="E16008" t="s">
        <v>399</v>
      </c>
      <c r="F16008" s="2" t="str">
        <f>HYPERLINK("http://www.otzar.org/book.asp?53382","חמדת ימים - 3 כר'")</f>
        <v>חמדת ימים - 3 כר'</v>
      </c>
    </row>
    <row r="16009" spans="1:6" x14ac:dyDescent="0.2">
      <c r="A16009" t="s">
        <v>26617</v>
      </c>
      <c r="B16009" t="s">
        <v>26618</v>
      </c>
      <c r="C16009" t="s">
        <v>26619</v>
      </c>
      <c r="D16009" t="s">
        <v>212</v>
      </c>
      <c r="E16009" t="s">
        <v>26620</v>
      </c>
      <c r="F16009" s="2" t="str">
        <f>HYPERLINK("http://www.otzar.org/book.asp?104628","חמדת ימים - 4 כר'")</f>
        <v>חמדת ימים - 4 כר'</v>
      </c>
    </row>
    <row r="16010" spans="1:6" x14ac:dyDescent="0.2">
      <c r="A16010" t="s">
        <v>26617</v>
      </c>
      <c r="B16010" t="s">
        <v>26621</v>
      </c>
      <c r="C16010" t="s">
        <v>4114</v>
      </c>
      <c r="D16010" t="s">
        <v>49</v>
      </c>
      <c r="E16010" t="s">
        <v>17007</v>
      </c>
      <c r="F16010" s="2" t="str">
        <f>HYPERLINK("http://www.otzar.org/book.asp?6185","חמדת ימים - 4 כר'")</f>
        <v>חמדת ימים - 4 כר'</v>
      </c>
    </row>
    <row r="16011" spans="1:6" x14ac:dyDescent="0.2">
      <c r="A16011" t="s">
        <v>26613</v>
      </c>
      <c r="B16011" t="s">
        <v>26622</v>
      </c>
      <c r="C16011" t="s">
        <v>383</v>
      </c>
      <c r="D16011" t="s">
        <v>21</v>
      </c>
      <c r="E16011" t="s">
        <v>158</v>
      </c>
      <c r="F16011" s="2" t="str">
        <f>HYPERLINK("http://www.otzar.org/book.asp?194924","חמדת ימים")</f>
        <v>חמדת ימים</v>
      </c>
    </row>
    <row r="16012" spans="1:6" x14ac:dyDescent="0.2">
      <c r="A16012" t="s">
        <v>26623</v>
      </c>
      <c r="B16012" t="s">
        <v>26624</v>
      </c>
      <c r="C16012" t="s">
        <v>454</v>
      </c>
      <c r="D16012" t="s">
        <v>52</v>
      </c>
      <c r="E16012" t="s">
        <v>144</v>
      </c>
      <c r="F16012" s="2" t="str">
        <f>HYPERLINK("http://www.otzar.org/book.asp?61705","חמדת ימים - שבת, פסחים, יומא, סוכה, ב""ק")</f>
        <v>חמדת ימים - שבת, פסחים, יומא, סוכה, ב"ק</v>
      </c>
    </row>
    <row r="16013" spans="1:6" x14ac:dyDescent="0.2">
      <c r="A16013" t="s">
        <v>26614</v>
      </c>
      <c r="B16013" t="s">
        <v>26625</v>
      </c>
      <c r="C16013" t="s">
        <v>1954</v>
      </c>
      <c r="D16013" t="s">
        <v>27</v>
      </c>
      <c r="E16013" t="s">
        <v>26626</v>
      </c>
      <c r="F16013" s="2" t="str">
        <f>HYPERLINK("http://www.otzar.org/book.asp?200043","חמדת ימים - 3 כר'")</f>
        <v>חמדת ימים - 3 כר'</v>
      </c>
    </row>
    <row r="16014" spans="1:6" x14ac:dyDescent="0.2">
      <c r="A16014" t="s">
        <v>26627</v>
      </c>
      <c r="B16014" t="s">
        <v>26628</v>
      </c>
      <c r="C16014" t="s">
        <v>777</v>
      </c>
      <c r="D16014" t="s">
        <v>26629</v>
      </c>
      <c r="E16014" t="s">
        <v>144</v>
      </c>
      <c r="F16014" s="2" t="str">
        <f>HYPERLINK("http://www.otzar.org/book.asp?51019","חמדת יעקב")</f>
        <v>חמדת יעקב</v>
      </c>
    </row>
    <row r="16015" spans="1:6" x14ac:dyDescent="0.2">
      <c r="A16015" t="s">
        <v>26630</v>
      </c>
      <c r="B16015" t="s">
        <v>26631</v>
      </c>
      <c r="C16015" t="s">
        <v>23</v>
      </c>
      <c r="D16015" t="s">
        <v>14</v>
      </c>
      <c r="F16015" s="2" t="str">
        <f>HYPERLINK("http://www.otzar.org/book.asp?619015","חמדת יעקב - 2 כר'")</f>
        <v>חמדת יעקב - 2 כר'</v>
      </c>
    </row>
    <row r="16016" spans="1:6" x14ac:dyDescent="0.2">
      <c r="A16016" t="s">
        <v>26632</v>
      </c>
      <c r="B16016" t="s">
        <v>26633</v>
      </c>
      <c r="C16016" t="s">
        <v>1448</v>
      </c>
      <c r="D16016" t="s">
        <v>52</v>
      </c>
      <c r="E16016" t="s">
        <v>144</v>
      </c>
      <c r="F16016" s="2" t="str">
        <f>HYPERLINK("http://www.otzar.org/book.asp?61376","חמדת יצחק - ברכות")</f>
        <v>חמדת יצחק - ברכות</v>
      </c>
    </row>
    <row r="16017" spans="1:6" x14ac:dyDescent="0.2">
      <c r="A16017" t="s">
        <v>26634</v>
      </c>
      <c r="B16017" t="s">
        <v>206</v>
      </c>
      <c r="C16017" t="s">
        <v>151</v>
      </c>
      <c r="D16017" t="s">
        <v>21</v>
      </c>
      <c r="E16017" t="s">
        <v>84</v>
      </c>
      <c r="F16017" s="2" t="str">
        <f>HYPERLINK("http://www.otzar.org/book.asp?621920","חמדת יצחק - 2 כר'")</f>
        <v>חמדת יצחק - 2 כר'</v>
      </c>
    </row>
    <row r="16018" spans="1:6" x14ac:dyDescent="0.2">
      <c r="A16018" t="s">
        <v>26635</v>
      </c>
      <c r="B16018" t="s">
        <v>12739</v>
      </c>
      <c r="C16018" t="s">
        <v>37</v>
      </c>
      <c r="D16018" t="s">
        <v>52</v>
      </c>
      <c r="F16018" s="2" t="str">
        <f>HYPERLINK("http://www.otzar.org/book.asp?183147","חמדת ירושלים - ירושלמי ברכות")</f>
        <v>חמדת ירושלים - ירושלמי ברכות</v>
      </c>
    </row>
    <row r="16019" spans="1:6" x14ac:dyDescent="0.2">
      <c r="A16019" t="s">
        <v>26636</v>
      </c>
      <c r="B16019" t="s">
        <v>26637</v>
      </c>
      <c r="C16019" t="s">
        <v>496</v>
      </c>
      <c r="D16019" t="s">
        <v>27</v>
      </c>
      <c r="E16019" t="s">
        <v>26638</v>
      </c>
      <c r="F16019" s="2" t="str">
        <f>HYPERLINK("http://www.otzar.org/book.asp?102463","חמדת ירושלם")</f>
        <v>חמדת ירושלם</v>
      </c>
    </row>
    <row r="16020" spans="1:6" x14ac:dyDescent="0.2">
      <c r="A16020" t="s">
        <v>26639</v>
      </c>
      <c r="B16020" t="s">
        <v>26640</v>
      </c>
      <c r="C16020" t="s">
        <v>13</v>
      </c>
      <c r="D16020" t="s">
        <v>26641</v>
      </c>
      <c r="E16020" t="s">
        <v>144</v>
      </c>
      <c r="F16020" s="2" t="str">
        <f>HYPERLINK("http://www.otzar.org/book.asp?195487","חמדת ישראל")</f>
        <v>חמדת ישראל</v>
      </c>
    </row>
    <row r="16021" spans="1:6" x14ac:dyDescent="0.2">
      <c r="A16021" t="s">
        <v>26642</v>
      </c>
      <c r="B16021" t="s">
        <v>26643</v>
      </c>
      <c r="C16021" t="s">
        <v>473</v>
      </c>
      <c r="D16021" t="s">
        <v>1566</v>
      </c>
      <c r="E16021" t="s">
        <v>158</v>
      </c>
      <c r="F16021" s="2" t="str">
        <f>HYPERLINK("http://www.otzar.org/book.asp?171358","חמדת ישראל - 2 כר'")</f>
        <v>חמדת ישראל - 2 כר'</v>
      </c>
    </row>
    <row r="16022" spans="1:6" x14ac:dyDescent="0.2">
      <c r="A16022" t="s">
        <v>26639</v>
      </c>
      <c r="B16022" t="s">
        <v>26644</v>
      </c>
      <c r="C16022" t="s">
        <v>23885</v>
      </c>
      <c r="D16022" t="s">
        <v>26645</v>
      </c>
      <c r="E16022" t="s">
        <v>213</v>
      </c>
      <c r="F16022" s="2" t="str">
        <f>HYPERLINK("http://www.otzar.org/book.asp?103039","חמדת ישראל")</f>
        <v>חמדת ישראל</v>
      </c>
    </row>
    <row r="16023" spans="1:6" x14ac:dyDescent="0.2">
      <c r="A16023" t="s">
        <v>26646</v>
      </c>
      <c r="B16023" t="s">
        <v>26647</v>
      </c>
      <c r="C16023" t="s">
        <v>151</v>
      </c>
      <c r="D16023" t="s">
        <v>14</v>
      </c>
      <c r="E16023" t="s">
        <v>202</v>
      </c>
      <c r="F16023" s="2" t="str">
        <f>HYPERLINK("http://www.otzar.org/book.asp?626014","חמדת ישראל - קידושין")</f>
        <v>חמדת ישראל - קידושין</v>
      </c>
    </row>
    <row r="16024" spans="1:6" x14ac:dyDescent="0.2">
      <c r="A16024" t="s">
        <v>26639</v>
      </c>
      <c r="B16024" t="s">
        <v>4095</v>
      </c>
      <c r="C16024" t="s">
        <v>985</v>
      </c>
      <c r="D16024" t="s">
        <v>27</v>
      </c>
      <c r="E16024" t="s">
        <v>199</v>
      </c>
      <c r="F16024" s="2" t="str">
        <f>HYPERLINK("http://www.otzar.org/book.asp?15054","חמדת ישראל")</f>
        <v>חמדת ישראל</v>
      </c>
    </row>
    <row r="16025" spans="1:6" x14ac:dyDescent="0.2">
      <c r="A16025" t="s">
        <v>26642</v>
      </c>
      <c r="B16025" t="s">
        <v>26648</v>
      </c>
      <c r="C16025" t="s">
        <v>8</v>
      </c>
      <c r="D16025" t="s">
        <v>225</v>
      </c>
      <c r="E16025" t="s">
        <v>424</v>
      </c>
      <c r="F16025" s="2" t="str">
        <f>HYPERLINK("http://www.otzar.org/book.asp?100883","חמדת ישראל - 2 כר'")</f>
        <v>חמדת ישראל - 2 כר'</v>
      </c>
    </row>
    <row r="16026" spans="1:6" x14ac:dyDescent="0.2">
      <c r="A16026" t="s">
        <v>26649</v>
      </c>
      <c r="B16026" t="s">
        <v>26650</v>
      </c>
      <c r="C16026" t="s">
        <v>23</v>
      </c>
      <c r="D16026" t="s">
        <v>52</v>
      </c>
      <c r="E16026" t="s">
        <v>15</v>
      </c>
      <c r="F16026" s="2" t="str">
        <f>HYPERLINK("http://www.otzar.org/book.asp?193834","חמדת מרדכי")</f>
        <v>חמדת מרדכי</v>
      </c>
    </row>
    <row r="16027" spans="1:6" x14ac:dyDescent="0.2">
      <c r="A16027" t="s">
        <v>26651</v>
      </c>
      <c r="B16027" t="s">
        <v>924</v>
      </c>
      <c r="C16027" t="s">
        <v>1169</v>
      </c>
      <c r="D16027" t="s">
        <v>9</v>
      </c>
      <c r="E16027" t="s">
        <v>15056</v>
      </c>
      <c r="F16027" s="2" t="str">
        <f>HYPERLINK("http://www.otzar.org/book.asp?13808","חמדת משה")</f>
        <v>חמדת משה</v>
      </c>
    </row>
    <row r="16028" spans="1:6" x14ac:dyDescent="0.2">
      <c r="A16028" t="s">
        <v>26651</v>
      </c>
      <c r="B16028" t="s">
        <v>26652</v>
      </c>
      <c r="C16028" t="s">
        <v>619</v>
      </c>
      <c r="D16028" t="s">
        <v>225</v>
      </c>
      <c r="E16028" t="s">
        <v>714</v>
      </c>
      <c r="F16028" s="2" t="str">
        <f>HYPERLINK("http://www.otzar.org/book.asp?161118","חמדת משה")</f>
        <v>חמדת משה</v>
      </c>
    </row>
    <row r="16029" spans="1:6" x14ac:dyDescent="0.2">
      <c r="A16029" t="s">
        <v>26653</v>
      </c>
      <c r="B16029" t="s">
        <v>26654</v>
      </c>
      <c r="C16029" t="s">
        <v>422</v>
      </c>
      <c r="D16029" t="s">
        <v>1974</v>
      </c>
      <c r="E16029" t="s">
        <v>202</v>
      </c>
      <c r="F16029" s="2" t="str">
        <f>HYPERLINK("http://www.otzar.org/book.asp?160420","חמדת משה - 2 כר'")</f>
        <v>חמדת משה - 2 כר'</v>
      </c>
    </row>
    <row r="16030" spans="1:6" x14ac:dyDescent="0.2">
      <c r="A16030" t="s">
        <v>26651</v>
      </c>
      <c r="B16030" t="s">
        <v>565</v>
      </c>
      <c r="C16030" t="s">
        <v>1885</v>
      </c>
      <c r="D16030" t="s">
        <v>283</v>
      </c>
      <c r="E16030" t="s">
        <v>952</v>
      </c>
      <c r="F16030" s="2" t="str">
        <f>HYPERLINK("http://www.otzar.org/book.asp?101395","חמדת משה")</f>
        <v>חמדת משה</v>
      </c>
    </row>
    <row r="16031" spans="1:6" x14ac:dyDescent="0.2">
      <c r="A16031" t="s">
        <v>26651</v>
      </c>
      <c r="B16031" t="s">
        <v>26655</v>
      </c>
      <c r="C16031" t="s">
        <v>366</v>
      </c>
      <c r="D16031" t="s">
        <v>14</v>
      </c>
      <c r="F16031" s="2" t="str">
        <f>HYPERLINK("http://www.otzar.org/book.asp?616164","חמדת משה")</f>
        <v>חמדת משה</v>
      </c>
    </row>
    <row r="16032" spans="1:6" x14ac:dyDescent="0.2">
      <c r="A16032" t="s">
        <v>26651</v>
      </c>
      <c r="B16032" t="s">
        <v>26656</v>
      </c>
      <c r="C16032" t="s">
        <v>454</v>
      </c>
      <c r="D16032" t="s">
        <v>115</v>
      </c>
      <c r="E16032" t="s">
        <v>104</v>
      </c>
      <c r="F16032" s="2" t="str">
        <f>HYPERLINK("http://www.otzar.org/book.asp?161939","חמדת משה")</f>
        <v>חמדת משה</v>
      </c>
    </row>
    <row r="16033" spans="1:6" x14ac:dyDescent="0.2">
      <c r="A16033" t="s">
        <v>26657</v>
      </c>
      <c r="B16033" t="s">
        <v>14181</v>
      </c>
      <c r="C16033" t="s">
        <v>812</v>
      </c>
      <c r="D16033" t="s">
        <v>26658</v>
      </c>
      <c r="E16033" t="s">
        <v>241</v>
      </c>
      <c r="F16033" s="2" t="str">
        <f>HYPERLINK("http://www.otzar.org/book.asp?192242","חמדת צאן קדשים")</f>
        <v>חמדת צאן קדשים</v>
      </c>
    </row>
    <row r="16034" spans="1:6" x14ac:dyDescent="0.2">
      <c r="A16034" t="s">
        <v>26659</v>
      </c>
      <c r="B16034" t="s">
        <v>26660</v>
      </c>
      <c r="C16034" t="s">
        <v>985</v>
      </c>
      <c r="D16034" t="s">
        <v>27</v>
      </c>
      <c r="E16034" t="s">
        <v>158</v>
      </c>
      <c r="F16034" s="2" t="str">
        <f>HYPERLINK("http://www.otzar.org/book.asp?150059","חמדת צבי ושפתי צדיקים - 2 כר'")</f>
        <v>חמדת צבי ושפתי צדיקים - 2 כר'</v>
      </c>
    </row>
    <row r="16035" spans="1:6" x14ac:dyDescent="0.2">
      <c r="A16035" t="s">
        <v>26661</v>
      </c>
      <c r="B16035" t="s">
        <v>26660</v>
      </c>
      <c r="C16035" t="s">
        <v>1535</v>
      </c>
      <c r="D16035" t="s">
        <v>27</v>
      </c>
      <c r="E16035" t="s">
        <v>158</v>
      </c>
      <c r="F16035" s="2" t="str">
        <f>HYPERLINK("http://www.otzar.org/book.asp?150057","חמדת צבי - 2 כר'")</f>
        <v>חמדת צבי - 2 כר'</v>
      </c>
    </row>
    <row r="16036" spans="1:6" x14ac:dyDescent="0.2">
      <c r="A16036" t="s">
        <v>26662</v>
      </c>
      <c r="B16036" t="s">
        <v>26663</v>
      </c>
      <c r="C16036" t="s">
        <v>1124</v>
      </c>
      <c r="D16036" t="s">
        <v>267</v>
      </c>
      <c r="E16036" t="s">
        <v>158</v>
      </c>
      <c r="F16036" s="2" t="str">
        <f>HYPERLINK("http://www.otzar.org/book.asp?18812","חמדת צבי")</f>
        <v>חמדת צבי</v>
      </c>
    </row>
    <row r="16037" spans="1:6" x14ac:dyDescent="0.2">
      <c r="A16037" t="s">
        <v>26662</v>
      </c>
      <c r="B16037" t="s">
        <v>26664</v>
      </c>
      <c r="C16037" t="s">
        <v>2140</v>
      </c>
      <c r="D16037" t="s">
        <v>26665</v>
      </c>
      <c r="E16037" t="s">
        <v>144</v>
      </c>
      <c r="F16037" s="2" t="str">
        <f>HYPERLINK("http://www.otzar.org/book.asp?100882","חמדת צבי")</f>
        <v>חמדת צבי</v>
      </c>
    </row>
    <row r="16038" spans="1:6" x14ac:dyDescent="0.2">
      <c r="A16038" t="s">
        <v>26661</v>
      </c>
      <c r="B16038" t="s">
        <v>26666</v>
      </c>
      <c r="C16038" t="s">
        <v>1096</v>
      </c>
      <c r="D16038" t="s">
        <v>283</v>
      </c>
      <c r="E16038" t="s">
        <v>2533</v>
      </c>
      <c r="F16038" s="2" t="str">
        <f>HYPERLINK("http://www.otzar.org/book.asp?83630","חמדת צבי - 2 כר'")</f>
        <v>חמדת צבי - 2 כר'</v>
      </c>
    </row>
    <row r="16039" spans="1:6" x14ac:dyDescent="0.2">
      <c r="A16039" t="s">
        <v>26667</v>
      </c>
      <c r="B16039" t="s">
        <v>1956</v>
      </c>
      <c r="C16039" t="s">
        <v>1062</v>
      </c>
      <c r="D16039" t="s">
        <v>412</v>
      </c>
      <c r="F16039" s="2" t="str">
        <f>HYPERLINK("http://www.otzar.org/book.asp?617623","חמדת ראם")</f>
        <v>חמדת ראם</v>
      </c>
    </row>
    <row r="16040" spans="1:6" x14ac:dyDescent="0.2">
      <c r="A16040" t="s">
        <v>26668</v>
      </c>
      <c r="B16040" t="s">
        <v>26669</v>
      </c>
      <c r="C16040" t="s">
        <v>427</v>
      </c>
      <c r="D16040" t="s">
        <v>14</v>
      </c>
      <c r="E16040" t="s">
        <v>791</v>
      </c>
      <c r="F16040" s="2" t="str">
        <f>HYPERLINK("http://www.otzar.org/book.asp?10692","חמדת שאול - 2 כר'")</f>
        <v>חמדת שאול - 2 כר'</v>
      </c>
    </row>
    <row r="16041" spans="1:6" x14ac:dyDescent="0.2">
      <c r="A16041" t="s">
        <v>26670</v>
      </c>
      <c r="B16041" t="s">
        <v>26671</v>
      </c>
      <c r="C16041" t="s">
        <v>888</v>
      </c>
      <c r="D16041" t="s">
        <v>5209</v>
      </c>
      <c r="E16041" t="s">
        <v>154</v>
      </c>
      <c r="F16041" s="2" t="str">
        <f>HYPERLINK("http://www.otzar.org/book.asp?18813","חמדת שאול")</f>
        <v>חמדת שאול</v>
      </c>
    </row>
    <row r="16042" spans="1:6" x14ac:dyDescent="0.2">
      <c r="A16042" t="s">
        <v>26672</v>
      </c>
      <c r="B16042" t="s">
        <v>25509</v>
      </c>
      <c r="C16042" t="s">
        <v>151</v>
      </c>
      <c r="D16042" t="s">
        <v>14</v>
      </c>
      <c r="F16042" s="2" t="str">
        <f>HYPERLINK("http://www.otzar.org/book.asp?613732","חמדת שלמה &lt;מהדורת מכון משנת ר""א&gt; - 3 כר'")</f>
        <v>חמדת שלמה &lt;מהדורת מכון משנת ר"א&gt; - 3 כר'</v>
      </c>
    </row>
    <row r="16043" spans="1:6" x14ac:dyDescent="0.2">
      <c r="A16043" t="s">
        <v>26673</v>
      </c>
      <c r="B16043" t="s">
        <v>26674</v>
      </c>
      <c r="C16043" t="s">
        <v>422</v>
      </c>
      <c r="D16043" t="s">
        <v>3406</v>
      </c>
      <c r="E16043" t="s">
        <v>158</v>
      </c>
      <c r="F16043" s="2" t="str">
        <f>HYPERLINK("http://www.otzar.org/book.asp?85832","חמדת שלמה - 2 כר'")</f>
        <v>חמדת שלמה - 2 כר'</v>
      </c>
    </row>
    <row r="16044" spans="1:6" x14ac:dyDescent="0.2">
      <c r="A16044" t="s">
        <v>26675</v>
      </c>
      <c r="B16044" t="s">
        <v>25509</v>
      </c>
      <c r="C16044" t="s">
        <v>351</v>
      </c>
      <c r="D16044" t="s">
        <v>283</v>
      </c>
      <c r="E16044" t="s">
        <v>26676</v>
      </c>
      <c r="F16044" s="2" t="str">
        <f>HYPERLINK("http://www.otzar.org/book.asp?11577","חמדת שלמה - 4 כר'")</f>
        <v>חמדת שלמה - 4 כר'</v>
      </c>
    </row>
    <row r="16045" spans="1:6" x14ac:dyDescent="0.2">
      <c r="A16045" t="s">
        <v>26677</v>
      </c>
      <c r="B16045" t="s">
        <v>26564</v>
      </c>
      <c r="C16045" t="s">
        <v>940</v>
      </c>
      <c r="D16045" t="s">
        <v>52</v>
      </c>
      <c r="E16045" t="s">
        <v>26678</v>
      </c>
      <c r="F16045" s="2" t="str">
        <f>HYPERLINK("http://www.otzar.org/book.asp?9204","חמודה גנוזה")</f>
        <v>חמודה גנוזה</v>
      </c>
    </row>
    <row r="16046" spans="1:6" x14ac:dyDescent="0.2">
      <c r="A16046" t="s">
        <v>26679</v>
      </c>
      <c r="B16046" t="s">
        <v>9866</v>
      </c>
      <c r="C16046" t="s">
        <v>124</v>
      </c>
      <c r="D16046" t="s">
        <v>14</v>
      </c>
      <c r="E16046" t="s">
        <v>144</v>
      </c>
      <c r="F16046" s="2" t="str">
        <f>HYPERLINK("http://www.otzar.org/book.asp?10750","חמודות אליהו")</f>
        <v>חמודות אליהו</v>
      </c>
    </row>
    <row r="16047" spans="1:6" x14ac:dyDescent="0.2">
      <c r="A16047" t="s">
        <v>26680</v>
      </c>
      <c r="B16047" t="s">
        <v>26681</v>
      </c>
      <c r="C16047" t="s">
        <v>146</v>
      </c>
      <c r="D16047" t="s">
        <v>52</v>
      </c>
      <c r="E16047" t="s">
        <v>15</v>
      </c>
      <c r="F16047" s="2" t="str">
        <f>HYPERLINK("http://www.otzar.org/book.asp?604539","חמודות צפונות - 4 כר'")</f>
        <v>חמודות צפונות - 4 כר'</v>
      </c>
    </row>
    <row r="16048" spans="1:6" x14ac:dyDescent="0.2">
      <c r="A16048" t="s">
        <v>26682</v>
      </c>
      <c r="B16048" t="s">
        <v>6154</v>
      </c>
      <c r="C16048" t="s">
        <v>547</v>
      </c>
      <c r="D16048" t="s">
        <v>27</v>
      </c>
      <c r="E16048" t="s">
        <v>435</v>
      </c>
      <c r="F16048" s="2" t="str">
        <f>HYPERLINK("http://www.otzar.org/book.asp?13772","חמודי אלימלך")</f>
        <v>חמודי אלימלך</v>
      </c>
    </row>
    <row r="16049" spans="1:6" x14ac:dyDescent="0.2">
      <c r="A16049" t="s">
        <v>26683</v>
      </c>
      <c r="B16049" t="s">
        <v>8023</v>
      </c>
      <c r="C16049" t="s">
        <v>946</v>
      </c>
      <c r="D16049" t="s">
        <v>8555</v>
      </c>
      <c r="E16049" t="s">
        <v>26684</v>
      </c>
      <c r="F16049" s="2" t="str">
        <f>HYPERLINK("http://www.otzar.org/book.asp?9918","חמודי אפרים")</f>
        <v>חמודי אפרים</v>
      </c>
    </row>
    <row r="16050" spans="1:6" x14ac:dyDescent="0.2">
      <c r="A16050" t="s">
        <v>26685</v>
      </c>
      <c r="B16050" t="s">
        <v>26686</v>
      </c>
      <c r="C16050" t="s">
        <v>189</v>
      </c>
      <c r="D16050" t="s">
        <v>56</v>
      </c>
      <c r="E16050" t="s">
        <v>172</v>
      </c>
      <c r="F16050" s="2" t="str">
        <f>HYPERLINK("http://www.otzar.org/book.asp?199776","חמודי דניאל &lt;מהדורה חדשה&gt;")</f>
        <v>חמודי דניאל &lt;מהדורה חדשה&gt;</v>
      </c>
    </row>
    <row r="16051" spans="1:6" x14ac:dyDescent="0.2">
      <c r="A16051" t="s">
        <v>26687</v>
      </c>
      <c r="B16051" t="s">
        <v>26688</v>
      </c>
      <c r="C16051" t="s">
        <v>129</v>
      </c>
      <c r="D16051" t="s">
        <v>486</v>
      </c>
      <c r="E16051" t="s">
        <v>148</v>
      </c>
      <c r="F16051" s="2" t="str">
        <f>HYPERLINK("http://www.otzar.org/book.asp?142136","חמודי דניאל (עם תמונות בצבעים)")</f>
        <v>חמודי דניאל (עם תמונות בצבעים)</v>
      </c>
    </row>
    <row r="16052" spans="1:6" x14ac:dyDescent="0.2">
      <c r="A16052" t="s">
        <v>26689</v>
      </c>
      <c r="B16052" t="s">
        <v>26686</v>
      </c>
      <c r="C16052" t="s">
        <v>635</v>
      </c>
      <c r="D16052" t="s">
        <v>56</v>
      </c>
      <c r="E16052" t="s">
        <v>15</v>
      </c>
      <c r="F16052" s="2" t="str">
        <f>HYPERLINK("http://www.otzar.org/book.asp?303","חמודי דניאל - 2 כר'")</f>
        <v>חמודי דניאל - 2 כר'</v>
      </c>
    </row>
    <row r="16053" spans="1:6" x14ac:dyDescent="0.2">
      <c r="A16053" t="s">
        <v>26690</v>
      </c>
      <c r="B16053" t="s">
        <v>26688</v>
      </c>
      <c r="C16053" t="s">
        <v>146</v>
      </c>
      <c r="D16053" t="s">
        <v>486</v>
      </c>
      <c r="E16053" t="s">
        <v>148</v>
      </c>
      <c r="F16053" s="2" t="str">
        <f>HYPERLINK("http://www.otzar.org/book.asp?62278","חמודי דניאל")</f>
        <v>חמודי דניאל</v>
      </c>
    </row>
    <row r="16054" spans="1:6" x14ac:dyDescent="0.2">
      <c r="A16054" t="s">
        <v>26691</v>
      </c>
      <c r="B16054" t="s">
        <v>26692</v>
      </c>
      <c r="C16054" t="s">
        <v>313</v>
      </c>
      <c r="D16054" t="s">
        <v>14</v>
      </c>
      <c r="E16054" t="s">
        <v>26693</v>
      </c>
      <c r="F16054" s="2" t="str">
        <f>HYPERLINK("http://www.otzar.org/book.asp?61078","חמודי דניאל - א")</f>
        <v>חמודי דניאל - א</v>
      </c>
    </row>
    <row r="16055" spans="1:6" x14ac:dyDescent="0.2">
      <c r="A16055" t="s">
        <v>26694</v>
      </c>
      <c r="B16055" t="s">
        <v>26695</v>
      </c>
      <c r="C16055" t="s">
        <v>411</v>
      </c>
      <c r="D16055" t="s">
        <v>14</v>
      </c>
      <c r="E16055" t="s">
        <v>148</v>
      </c>
      <c r="F16055" s="2" t="str">
        <f>HYPERLINK("http://www.otzar.org/book.asp?179808","חמודי דניאל, מעין בינה")</f>
        <v>חמודי דניאל, מעין בינה</v>
      </c>
    </row>
    <row r="16056" spans="1:6" x14ac:dyDescent="0.2">
      <c r="A16056" t="s">
        <v>26696</v>
      </c>
      <c r="B16056" t="s">
        <v>26697</v>
      </c>
      <c r="C16056" t="s">
        <v>1811</v>
      </c>
      <c r="D16056" t="s">
        <v>412</v>
      </c>
      <c r="E16056" t="s">
        <v>2071</v>
      </c>
      <c r="F16056" s="2" t="str">
        <f>HYPERLINK("http://www.otzar.org/book.asp?141929","חמודי צבי - 5 כר'")</f>
        <v>חמודי צבי - 5 כר'</v>
      </c>
    </row>
    <row r="16057" spans="1:6" x14ac:dyDescent="0.2">
      <c r="A16057" t="s">
        <v>26698</v>
      </c>
      <c r="B16057" t="s">
        <v>26699</v>
      </c>
      <c r="C16057" t="s">
        <v>1885</v>
      </c>
      <c r="D16057" t="s">
        <v>344</v>
      </c>
      <c r="E16057" t="s">
        <v>23373</v>
      </c>
      <c r="F16057" s="2" t="str">
        <f>HYPERLINK("http://www.otzar.org/book.asp?141018","חמודי צבי")</f>
        <v>חמודי צבי</v>
      </c>
    </row>
    <row r="16058" spans="1:6" x14ac:dyDescent="0.2">
      <c r="A16058" t="s">
        <v>26700</v>
      </c>
      <c r="B16058" t="s">
        <v>26701</v>
      </c>
      <c r="C16058" t="s">
        <v>146</v>
      </c>
      <c r="D16058" t="s">
        <v>3560</v>
      </c>
      <c r="E16058" t="s">
        <v>144</v>
      </c>
      <c r="F16058" s="2" t="str">
        <f>HYPERLINK("http://www.otzar.org/book.asp?166777","חמודי ציון")</f>
        <v>חמודי ציון</v>
      </c>
    </row>
    <row r="16059" spans="1:6" x14ac:dyDescent="0.2">
      <c r="A16059" t="s">
        <v>26702</v>
      </c>
      <c r="B16059" t="s">
        <v>9096</v>
      </c>
      <c r="C16059" t="s">
        <v>908</v>
      </c>
      <c r="D16059" t="s">
        <v>27</v>
      </c>
      <c r="E16059" t="s">
        <v>733</v>
      </c>
      <c r="F16059" s="2" t="str">
        <f>HYPERLINK("http://www.otzar.org/book.asp?168928","חמי טבריא")</f>
        <v>חמי טבריא</v>
      </c>
    </row>
    <row r="16060" spans="1:6" x14ac:dyDescent="0.2">
      <c r="A16060" t="s">
        <v>26703</v>
      </c>
      <c r="B16060" t="s">
        <v>26704</v>
      </c>
      <c r="C16060" t="s">
        <v>151</v>
      </c>
      <c r="D16060" t="s">
        <v>52</v>
      </c>
      <c r="F16060" s="2" t="str">
        <f>HYPERLINK("http://www.otzar.org/book.asp?623064","חמישה חומשי תורה - אוצר הראשונים- א בראשית")</f>
        <v>חמישה חומשי תורה - אוצר הראשונים- א בראשית</v>
      </c>
    </row>
    <row r="16061" spans="1:6" x14ac:dyDescent="0.2">
      <c r="A16061" t="s">
        <v>26705</v>
      </c>
      <c r="B16061" t="s">
        <v>26706</v>
      </c>
      <c r="C16061" t="s">
        <v>411</v>
      </c>
      <c r="D16061" t="s">
        <v>52</v>
      </c>
      <c r="E16061" t="s">
        <v>158</v>
      </c>
      <c r="F16061" s="2" t="str">
        <f>HYPERLINK("http://www.otzar.org/book.asp?626332","חמישה שיעורים - 5 כר'")</f>
        <v>חמישה שיעורים - 5 כר'</v>
      </c>
    </row>
    <row r="16062" spans="1:6" x14ac:dyDescent="0.2">
      <c r="A16062" t="s">
        <v>26707</v>
      </c>
      <c r="B16062" t="s">
        <v>26708</v>
      </c>
      <c r="C16062" t="s">
        <v>111</v>
      </c>
      <c r="D16062" t="s">
        <v>14</v>
      </c>
      <c r="E16062" t="s">
        <v>202</v>
      </c>
      <c r="F16062" s="2" t="str">
        <f>HYPERLINK("http://www.otzar.org/book.asp?628693","חמישים שנה של תורה בישיבת איתרי")</f>
        <v>חמישים שנה של תורה בישיבת איתרי</v>
      </c>
    </row>
    <row r="16063" spans="1:6" x14ac:dyDescent="0.2">
      <c r="A16063" t="s">
        <v>26709</v>
      </c>
      <c r="B16063" t="s">
        <v>3227</v>
      </c>
      <c r="C16063" t="s">
        <v>106</v>
      </c>
      <c r="D16063" t="s">
        <v>14</v>
      </c>
      <c r="F16063" s="2" t="str">
        <f>HYPERLINK("http://www.otzar.org/book.asp?617589","חמישים שערי חסידות")</f>
        <v>חמישים שערי חסידות</v>
      </c>
    </row>
    <row r="16064" spans="1:6" x14ac:dyDescent="0.2">
      <c r="A16064" t="s">
        <v>26710</v>
      </c>
      <c r="B16064" t="s">
        <v>26711</v>
      </c>
      <c r="C16064" t="s">
        <v>5721</v>
      </c>
      <c r="D16064" t="s">
        <v>1660</v>
      </c>
      <c r="E16064" t="s">
        <v>399</v>
      </c>
      <c r="F16064" s="2" t="str">
        <f>HYPERLINK("http://www.otzar.org/book.asp?103166","חמר חדת ועתיק")</f>
        <v>חמר חדת ועתיק</v>
      </c>
    </row>
    <row r="16065" spans="1:6" x14ac:dyDescent="0.2">
      <c r="A16065" t="s">
        <v>26712</v>
      </c>
      <c r="B16065" t="s">
        <v>26713</v>
      </c>
      <c r="C16065" t="s">
        <v>111</v>
      </c>
      <c r="D16065" t="s">
        <v>90</v>
      </c>
      <c r="E16065" t="s">
        <v>15</v>
      </c>
      <c r="F16065" s="2" t="str">
        <f>HYPERLINK("http://www.otzar.org/book.asp?627632","חמר משה")</f>
        <v>חמר משה</v>
      </c>
    </row>
    <row r="16066" spans="1:6" x14ac:dyDescent="0.2">
      <c r="A16066" t="s">
        <v>26714</v>
      </c>
      <c r="B16066" t="s">
        <v>11484</v>
      </c>
      <c r="C16066" t="s">
        <v>1208</v>
      </c>
      <c r="D16066" t="s">
        <v>27</v>
      </c>
      <c r="E16066" t="s">
        <v>144</v>
      </c>
      <c r="F16066" s="2" t="str">
        <f>HYPERLINK("http://www.otzar.org/book.asp?144923","חמרא וחיי - 2 כר'")</f>
        <v>חמרא וחיי - 2 כר'</v>
      </c>
    </row>
    <row r="16067" spans="1:6" x14ac:dyDescent="0.2">
      <c r="A16067" t="s">
        <v>26715</v>
      </c>
      <c r="B16067" t="s">
        <v>4391</v>
      </c>
      <c r="C16067" t="s">
        <v>454</v>
      </c>
      <c r="D16067" t="s">
        <v>412</v>
      </c>
      <c r="E16067" t="s">
        <v>2071</v>
      </c>
      <c r="F16067" s="2" t="str">
        <f>HYPERLINK("http://www.otzar.org/book.asp?145273","חמרא טבא - 2 כר'")</f>
        <v>חמרא טבא - 2 כר'</v>
      </c>
    </row>
    <row r="16068" spans="1:6" x14ac:dyDescent="0.2">
      <c r="A16068" t="s">
        <v>26716</v>
      </c>
      <c r="B16068" t="s">
        <v>26717</v>
      </c>
      <c r="C16068" t="s">
        <v>129</v>
      </c>
      <c r="D16068" t="s">
        <v>412</v>
      </c>
      <c r="E16068" t="s">
        <v>172</v>
      </c>
      <c r="F16068" s="2" t="str">
        <f>HYPERLINK("http://www.otzar.org/book.asp?173243","חמרא טבא")</f>
        <v>חמרא טבא</v>
      </c>
    </row>
    <row r="16069" spans="1:6" x14ac:dyDescent="0.2">
      <c r="A16069" t="s">
        <v>26718</v>
      </c>
      <c r="B16069" t="s">
        <v>26719</v>
      </c>
      <c r="C16069" t="s">
        <v>103</v>
      </c>
      <c r="D16069" t="s">
        <v>14</v>
      </c>
      <c r="E16069" t="s">
        <v>158</v>
      </c>
      <c r="F16069" s="2" t="str">
        <f>HYPERLINK("http://www.otzar.org/book.asp?22539","חמש היריעות")</f>
        <v>חמש היריעות</v>
      </c>
    </row>
    <row r="16070" spans="1:6" x14ac:dyDescent="0.2">
      <c r="A16070" t="s">
        <v>26720</v>
      </c>
      <c r="B16070" t="s">
        <v>1363</v>
      </c>
      <c r="C16070" t="s">
        <v>1374</v>
      </c>
      <c r="D16070" t="s">
        <v>216</v>
      </c>
      <c r="E16070" t="s">
        <v>104</v>
      </c>
      <c r="F16070" s="2" t="str">
        <f>HYPERLINK("http://www.otzar.org/book.asp?192240","חמש חנוכות")</f>
        <v>חמש חנוכות</v>
      </c>
    </row>
    <row r="16071" spans="1:6" x14ac:dyDescent="0.2">
      <c r="A16071" t="s">
        <v>26721</v>
      </c>
      <c r="B16071" t="s">
        <v>26722</v>
      </c>
      <c r="C16071" t="s">
        <v>106</v>
      </c>
      <c r="D16071" t="s">
        <v>216</v>
      </c>
      <c r="E16071" t="s">
        <v>4260</v>
      </c>
      <c r="F16071" s="2" t="str">
        <f>HYPERLINK("http://www.otzar.org/book.asp?142812","חמש ידות - שער בנימין")</f>
        <v>חמש ידות - שער בנימין</v>
      </c>
    </row>
    <row r="16072" spans="1:6" x14ac:dyDescent="0.2">
      <c r="A16072" t="s">
        <v>26723</v>
      </c>
      <c r="B16072" t="s">
        <v>16968</v>
      </c>
      <c r="C16072" t="s">
        <v>2644</v>
      </c>
      <c r="D16072" t="s">
        <v>56</v>
      </c>
      <c r="E16072" t="s">
        <v>26724</v>
      </c>
      <c r="F16072" s="2" t="str">
        <f>HYPERLINK("http://www.otzar.org/book.asp?103041","חמש ידות - 2 כר'")</f>
        <v>חמש ידות - 2 כר'</v>
      </c>
    </row>
    <row r="16073" spans="1:6" x14ac:dyDescent="0.2">
      <c r="A16073" t="s">
        <v>26725</v>
      </c>
      <c r="B16073" t="s">
        <v>15186</v>
      </c>
      <c r="C16073" t="s">
        <v>75</v>
      </c>
      <c r="D16073" t="s">
        <v>283</v>
      </c>
      <c r="E16073" t="s">
        <v>8469</v>
      </c>
      <c r="F16073" s="2" t="str">
        <f>HYPERLINK("http://www.otzar.org/book.asp?16038","חמש מגילות &lt;אלשיך&gt; - 3 כר'")</f>
        <v>חמש מגילות &lt;אלשיך&gt; - 3 כר'</v>
      </c>
    </row>
    <row r="16074" spans="1:6" x14ac:dyDescent="0.2">
      <c r="A16074" t="s">
        <v>26726</v>
      </c>
      <c r="B16074" t="s">
        <v>26727</v>
      </c>
      <c r="C16074" t="s">
        <v>989</v>
      </c>
      <c r="D16074" t="s">
        <v>14</v>
      </c>
      <c r="E16074" t="s">
        <v>158</v>
      </c>
      <c r="F16074" s="2" t="str">
        <f>HYPERLINK("http://www.otzar.org/book.asp?172275","חמש מגילות &lt;אורח לחיים, מחנת יהודה, החיים והשלום, דברי דוד&gt;")</f>
        <v>חמש מגילות &lt;אורח לחיים, מחנת יהודה, החיים והשלום, דברי דוד&gt;</v>
      </c>
    </row>
    <row r="16075" spans="1:6" x14ac:dyDescent="0.2">
      <c r="A16075" t="s">
        <v>26728</v>
      </c>
      <c r="B16075" t="s">
        <v>26729</v>
      </c>
      <c r="C16075" t="s">
        <v>20</v>
      </c>
      <c r="D16075" t="s">
        <v>90</v>
      </c>
      <c r="E16075" t="s">
        <v>579</v>
      </c>
      <c r="F16075" s="2" t="str">
        <f>HYPERLINK("http://www.otzar.org/book.asp?64275","חמש מגילות &lt;מוגה ומנוקד ע""פ מסורת תימן&gt;")</f>
        <v>חמש מגילות &lt;מוגה ומנוקד ע"פ מסורת תימן&gt;</v>
      </c>
    </row>
    <row r="16076" spans="1:6" x14ac:dyDescent="0.2">
      <c r="A16076" t="s">
        <v>26730</v>
      </c>
      <c r="B16076" t="s">
        <v>24038</v>
      </c>
      <c r="C16076" t="s">
        <v>20</v>
      </c>
      <c r="D16076" t="s">
        <v>118</v>
      </c>
      <c r="E16076" t="s">
        <v>158</v>
      </c>
      <c r="F16076" s="2" t="str">
        <f>HYPERLINK("http://www.otzar.org/book.asp?159500","חמש מגילות &lt;עיר התמרים&gt; - 5 כר'")</f>
        <v>חמש מגילות &lt;עיר התמרים&gt; - 5 כר'</v>
      </c>
    </row>
    <row r="16077" spans="1:6" x14ac:dyDescent="0.2">
      <c r="A16077" t="s">
        <v>26731</v>
      </c>
      <c r="B16077" t="s">
        <v>24804</v>
      </c>
      <c r="C16077" t="s">
        <v>366</v>
      </c>
      <c r="D16077" t="s">
        <v>90</v>
      </c>
      <c r="E16077" t="s">
        <v>158</v>
      </c>
      <c r="F16077" s="2" t="str">
        <f>HYPERLINK("http://www.otzar.org/book.asp?621900","חמש מגילות &lt;שימה בפיהם&gt; - 4 כר'")</f>
        <v>חמש מגילות &lt;שימה בפיהם&gt; - 4 כר'</v>
      </c>
    </row>
    <row r="16078" spans="1:6" x14ac:dyDescent="0.2">
      <c r="A16078" t="s">
        <v>26732</v>
      </c>
      <c r="B16078" t="s">
        <v>26733</v>
      </c>
      <c r="C16078" t="s">
        <v>438</v>
      </c>
      <c r="D16078" t="s">
        <v>14</v>
      </c>
      <c r="E16078" t="s">
        <v>1103</v>
      </c>
      <c r="F16078" s="2" t="str">
        <f>HYPERLINK("http://www.otzar.org/book.asp?102571","חמש מגילות &lt;עם פירושים עתיקים&gt;")</f>
        <v>חמש מגילות &lt;עם פירושים עתיקים&gt;</v>
      </c>
    </row>
    <row r="16079" spans="1:6" x14ac:dyDescent="0.2">
      <c r="A16079" t="s">
        <v>26734</v>
      </c>
      <c r="B16079" t="s">
        <v>26735</v>
      </c>
      <c r="C16079" t="s">
        <v>390</v>
      </c>
      <c r="D16079" t="s">
        <v>14</v>
      </c>
      <c r="E16079" t="s">
        <v>158</v>
      </c>
      <c r="F16079" s="2" t="str">
        <f>HYPERLINK("http://www.otzar.org/book.asp?153962","חמש מגילות &lt;תפסיר רס""ג&gt;")</f>
        <v>חמש מגילות &lt;תפסיר רס"ג&gt;</v>
      </c>
    </row>
    <row r="16080" spans="1:6" x14ac:dyDescent="0.2">
      <c r="A16080" t="s">
        <v>26736</v>
      </c>
      <c r="B16080" t="s">
        <v>15186</v>
      </c>
      <c r="C16080" t="s">
        <v>775</v>
      </c>
      <c r="D16080" t="s">
        <v>14</v>
      </c>
      <c r="E16080" t="s">
        <v>158</v>
      </c>
      <c r="F16080" s="2" t="str">
        <f>HYPERLINK("http://www.otzar.org/book.asp?105275","חמש מגילות עם פירוש אלשיך &lt;מהד' וגשל&gt; - 2 כר'")</f>
        <v>חמש מגילות עם פירוש אלשיך &lt;מהד' וגשל&gt; - 2 כר'</v>
      </c>
    </row>
    <row r="16081" spans="1:6" x14ac:dyDescent="0.2">
      <c r="A16081" t="s">
        <v>26737</v>
      </c>
      <c r="B16081" t="s">
        <v>26738</v>
      </c>
      <c r="C16081" t="s">
        <v>383</v>
      </c>
      <c r="D16081" t="s">
        <v>14</v>
      </c>
      <c r="E16081" t="s">
        <v>158</v>
      </c>
      <c r="F16081" s="2" t="str">
        <f>HYPERLINK("http://www.otzar.org/book.asp?85491","חמש מגילות עם פירוש נר לרגלי")</f>
        <v>חמש מגילות עם פירוש נר לרגלי</v>
      </c>
    </row>
    <row r="16082" spans="1:6" x14ac:dyDescent="0.2">
      <c r="A16082" t="s">
        <v>26739</v>
      </c>
      <c r="B16082" t="s">
        <v>6496</v>
      </c>
      <c r="C16082" t="s">
        <v>143</v>
      </c>
      <c r="D16082" t="s">
        <v>14</v>
      </c>
      <c r="E16082" t="s">
        <v>158</v>
      </c>
      <c r="F16082" s="2" t="str">
        <f>HYPERLINK("http://www.otzar.org/book.asp?157668","חמש מגילות עם פירושים")</f>
        <v>חמש מגילות עם פירושים</v>
      </c>
    </row>
    <row r="16083" spans="1:6" x14ac:dyDescent="0.2">
      <c r="A16083" t="s">
        <v>26740</v>
      </c>
      <c r="B16083" t="s">
        <v>15380</v>
      </c>
      <c r="C16083" t="s">
        <v>1058</v>
      </c>
      <c r="D16083" t="s">
        <v>56</v>
      </c>
      <c r="E16083" t="s">
        <v>158</v>
      </c>
      <c r="F16083" s="2" t="str">
        <f>HYPERLINK("http://www.otzar.org/book.asp?102570","חמש מגלות &lt;כפלים לתושיה, משל ומליצה, מפורש, דברי חכמים&gt;")</f>
        <v>חמש מגלות &lt;כפלים לתושיה, משל ומליצה, מפורש, דברי חכמים&gt;</v>
      </c>
    </row>
    <row r="16084" spans="1:6" x14ac:dyDescent="0.2">
      <c r="A16084" t="s">
        <v>26741</v>
      </c>
      <c r="B16084" t="s">
        <v>26742</v>
      </c>
      <c r="C16084" t="s">
        <v>5163</v>
      </c>
      <c r="D16084" t="s">
        <v>56</v>
      </c>
      <c r="E16084" t="s">
        <v>158</v>
      </c>
      <c r="F16084" s="2" t="str">
        <f>HYPERLINK("http://www.otzar.org/book.asp?19140","חמש מגלות &lt;מנחת שי, באר שבע&gt;")</f>
        <v>חמש מגלות &lt;מנחת שי, באר שבע&gt;</v>
      </c>
    </row>
    <row r="16085" spans="1:6" x14ac:dyDescent="0.2">
      <c r="A16085" t="s">
        <v>26743</v>
      </c>
      <c r="B16085" t="s">
        <v>26744</v>
      </c>
      <c r="C16085" t="s">
        <v>550</v>
      </c>
      <c r="D16085" t="s">
        <v>744</v>
      </c>
      <c r="E16085" t="s">
        <v>158</v>
      </c>
      <c r="F16085" s="2" t="str">
        <f>HYPERLINK("http://www.otzar.org/book.asp?170650","חמש מגלות &lt;עם תרגום סורי פשיטא&gt;")</f>
        <v>חמש מגלות &lt;עם תרגום סורי פשיטא&gt;</v>
      </c>
    </row>
    <row r="16086" spans="1:6" x14ac:dyDescent="0.2">
      <c r="A16086" t="s">
        <v>26745</v>
      </c>
      <c r="B16086" t="s">
        <v>26746</v>
      </c>
      <c r="C16086" t="s">
        <v>1062</v>
      </c>
      <c r="D16086" t="s">
        <v>27</v>
      </c>
      <c r="E16086" t="s">
        <v>158</v>
      </c>
      <c r="F16086" s="2" t="str">
        <f>HYPERLINK("http://www.otzar.org/book.asp?14465","חמש מגלות &lt;עם י""ב פרושים&gt;")</f>
        <v>חמש מגלות &lt;עם י"ב פרושים&gt;</v>
      </c>
    </row>
    <row r="16087" spans="1:6" x14ac:dyDescent="0.2">
      <c r="A16087" t="s">
        <v>26747</v>
      </c>
      <c r="B16087" t="s">
        <v>26748</v>
      </c>
      <c r="C16087" t="s">
        <v>411</v>
      </c>
      <c r="D16087" t="s">
        <v>1511</v>
      </c>
      <c r="E16087" t="s">
        <v>15</v>
      </c>
      <c r="F16087" s="2" t="str">
        <f>HYPERLINK("http://www.otzar.org/book.asp?176567","חמש פרוטות הן")</f>
        <v>חמש פרוטות הן</v>
      </c>
    </row>
    <row r="16088" spans="1:6" x14ac:dyDescent="0.2">
      <c r="A16088" t="s">
        <v>26749</v>
      </c>
      <c r="B16088" t="s">
        <v>26750</v>
      </c>
      <c r="C16088" t="s">
        <v>5903</v>
      </c>
      <c r="D16088" t="s">
        <v>1801</v>
      </c>
      <c r="E16088" t="s">
        <v>219</v>
      </c>
      <c r="F16088" s="2" t="str">
        <f>HYPERLINK("http://www.otzar.org/book.asp?189165","חמש תעניות")</f>
        <v>חמש תעניות</v>
      </c>
    </row>
    <row r="16089" spans="1:6" x14ac:dyDescent="0.2">
      <c r="A16089" t="s">
        <v>26749</v>
      </c>
      <c r="B16089" t="s">
        <v>26751</v>
      </c>
      <c r="C16089" t="s">
        <v>843</v>
      </c>
      <c r="D16089" t="s">
        <v>212</v>
      </c>
      <c r="E16089" t="s">
        <v>1517</v>
      </c>
      <c r="F16089" s="2" t="str">
        <f>HYPERLINK("http://www.otzar.org/book.asp?154664","חמש תעניות")</f>
        <v>חמש תעניות</v>
      </c>
    </row>
    <row r="16090" spans="1:6" x14ac:dyDescent="0.2">
      <c r="A16090" t="s">
        <v>26752</v>
      </c>
      <c r="B16090" t="s">
        <v>26753</v>
      </c>
      <c r="C16090" t="s">
        <v>473</v>
      </c>
      <c r="D16090" t="s">
        <v>56</v>
      </c>
      <c r="E16090" t="s">
        <v>158</v>
      </c>
      <c r="F16090" s="2" t="str">
        <f>HYPERLINK("http://www.otzar.org/book.asp?192239","חמשה אלפין")</f>
        <v>חמשה אלפין</v>
      </c>
    </row>
    <row r="16091" spans="1:6" x14ac:dyDescent="0.2">
      <c r="A16091" t="s">
        <v>26754</v>
      </c>
      <c r="B16091" t="s">
        <v>5203</v>
      </c>
      <c r="C16091" t="s">
        <v>395</v>
      </c>
      <c r="D16091" t="s">
        <v>27</v>
      </c>
      <c r="E16091" t="s">
        <v>5186</v>
      </c>
      <c r="F16091" s="2" t="str">
        <f>HYPERLINK("http://www.otzar.org/book.asp?102462","חמשה ואלף")</f>
        <v>חמשה ואלף</v>
      </c>
    </row>
    <row r="16092" spans="1:6" x14ac:dyDescent="0.2">
      <c r="A16092" t="s">
        <v>26755</v>
      </c>
      <c r="B16092" t="s">
        <v>26756</v>
      </c>
      <c r="C16092" t="s">
        <v>146</v>
      </c>
      <c r="D16092" t="s">
        <v>14</v>
      </c>
      <c r="E16092" t="s">
        <v>158</v>
      </c>
      <c r="F16092" s="2" t="str">
        <f>HYPERLINK("http://www.otzar.org/book.asp?63057","חמשה חומשי תורה  &lt;באר יעקב&gt; - 2 כר'")</f>
        <v>חמשה חומשי תורה  &lt;באר יעקב&gt; - 2 כר'</v>
      </c>
    </row>
    <row r="16093" spans="1:6" x14ac:dyDescent="0.2">
      <c r="A16093" t="s">
        <v>26757</v>
      </c>
      <c r="B16093" t="s">
        <v>26758</v>
      </c>
      <c r="C16093" t="s">
        <v>543</v>
      </c>
      <c r="D16093" t="s">
        <v>535</v>
      </c>
      <c r="E16093" t="s">
        <v>158</v>
      </c>
      <c r="F16093" s="2" t="str">
        <f>HYPERLINK("http://www.otzar.org/book.asp?16115","חמשה חומשי תורה &lt;תקון סופרים&gt; - 5 כר'")</f>
        <v>חמשה חומשי תורה &lt;תקון סופרים&gt; - 5 כר'</v>
      </c>
    </row>
    <row r="16094" spans="1:6" x14ac:dyDescent="0.2">
      <c r="A16094" t="s">
        <v>26759</v>
      </c>
      <c r="B16094" t="s">
        <v>26760</v>
      </c>
      <c r="C16094" t="s">
        <v>743</v>
      </c>
      <c r="D16094" t="s">
        <v>2303</v>
      </c>
      <c r="E16094" t="s">
        <v>158</v>
      </c>
      <c r="F16094" s="2" t="str">
        <f>HYPERLINK("http://www.otzar.org/book.asp?102381","חמשה חומשי תורה &lt;דרך מסילה&gt; - 5 כר'")</f>
        <v>חמשה חומשי תורה &lt;דרך מסילה&gt; - 5 כר'</v>
      </c>
    </row>
    <row r="16095" spans="1:6" x14ac:dyDescent="0.2">
      <c r="A16095" t="s">
        <v>26761</v>
      </c>
      <c r="B16095" t="s">
        <v>1363</v>
      </c>
      <c r="C16095" t="s">
        <v>411</v>
      </c>
      <c r="D16095" t="s">
        <v>412</v>
      </c>
      <c r="F16095" s="2" t="str">
        <f>HYPERLINK("http://www.otzar.org/book.asp?198082","חמשה חומשי תורה &lt;רש""ר הירש&gt; - 10 כר'")</f>
        <v>חמשה חומשי תורה &lt;רש"ר הירש&gt; - 10 כר'</v>
      </c>
    </row>
    <row r="16096" spans="1:6" x14ac:dyDescent="0.2">
      <c r="A16096" t="s">
        <v>26762</v>
      </c>
      <c r="B16096" t="s">
        <v>1363</v>
      </c>
      <c r="C16096" t="s">
        <v>1811</v>
      </c>
      <c r="D16096" t="s">
        <v>14605</v>
      </c>
      <c r="F16096" s="2" t="str">
        <f>HYPERLINK("http://www.otzar.org/book.asp?601244","חמשה חומשי תורה &lt;רש""ר הירש&gt; (באנגלית) - 6 כר'")</f>
        <v>חמשה חומשי תורה &lt;רש"ר הירש&gt; (באנגלית) - 6 כר'</v>
      </c>
    </row>
    <row r="16097" spans="1:6" x14ac:dyDescent="0.2">
      <c r="A16097" t="s">
        <v>26763</v>
      </c>
      <c r="B16097" t="s">
        <v>1363</v>
      </c>
      <c r="C16097" t="s">
        <v>1058</v>
      </c>
      <c r="D16097" t="s">
        <v>18380</v>
      </c>
      <c r="E16097" t="s">
        <v>158</v>
      </c>
      <c r="F16097" s="2" t="str">
        <f>HYPERLINK("http://www.otzar.org/book.asp?196008","חמשה חומשי תורה &lt;רש""ר הירש&gt; בגרמנית - 2 כר'")</f>
        <v>חמשה חומשי תורה &lt;רש"ר הירש&gt; בגרמנית - 2 כר'</v>
      </c>
    </row>
    <row r="16098" spans="1:6" x14ac:dyDescent="0.2">
      <c r="A16098" t="s">
        <v>26764</v>
      </c>
      <c r="B16098" t="s">
        <v>26765</v>
      </c>
      <c r="C16098" t="s">
        <v>777</v>
      </c>
      <c r="D16098" t="s">
        <v>14</v>
      </c>
      <c r="E16098" t="s">
        <v>158</v>
      </c>
      <c r="F16098" s="2" t="str">
        <f>HYPERLINK("http://www.otzar.org/book.asp?83888","חמשה חומשי תורה &lt;ע""פ רי""ץ הערץ&gt; - בראשית")</f>
        <v>חמשה חומשי תורה &lt;ע"פ רי"ץ הערץ&gt; - בראשית</v>
      </c>
    </row>
    <row r="16099" spans="1:6" x14ac:dyDescent="0.2">
      <c r="A16099" t="s">
        <v>26766</v>
      </c>
      <c r="B16099" t="s">
        <v>26767</v>
      </c>
      <c r="C16099" t="s">
        <v>1570</v>
      </c>
      <c r="D16099" t="s">
        <v>14</v>
      </c>
      <c r="E16099" t="s">
        <v>158</v>
      </c>
      <c r="F16099" s="2" t="str">
        <f>HYPERLINK("http://www.otzar.org/book.asp?83787","חמשה חומשי תורה &lt;כתב יד הללי&gt; - 2 כר'")</f>
        <v>חמשה חומשי תורה &lt;כתב יד הללי&gt; - 2 כר'</v>
      </c>
    </row>
    <row r="16100" spans="1:6" x14ac:dyDescent="0.2">
      <c r="A16100" t="s">
        <v>26768</v>
      </c>
      <c r="B16100" t="s">
        <v>26769</v>
      </c>
      <c r="C16100" t="s">
        <v>68</v>
      </c>
      <c r="D16100" t="s">
        <v>14</v>
      </c>
      <c r="E16100" t="s">
        <v>158</v>
      </c>
      <c r="F16100" s="2" t="str">
        <f>HYPERLINK("http://www.otzar.org/book.asp?195818","חמשה חומשי תורה &lt;אונקלוס מדויק - 5 כר'")</f>
        <v>חמשה חומשי תורה &lt;אונקלוס מדויק - 5 כר'</v>
      </c>
    </row>
    <row r="16101" spans="1:6" x14ac:dyDescent="0.2">
      <c r="A16101" t="s">
        <v>26770</v>
      </c>
      <c r="B16101" t="s">
        <v>26771</v>
      </c>
      <c r="C16101" t="s">
        <v>26772</v>
      </c>
      <c r="D16101" t="s">
        <v>26773</v>
      </c>
      <c r="E16101" t="s">
        <v>158</v>
      </c>
      <c r="F16101" s="2" t="str">
        <f>HYPERLINK("http://www.otzar.org/book.asp?627306","חמשה חומשי תורה &lt;עם תרגום אונקלוס מדויק ע""פ כ""י&gt; - 5 כר'")</f>
        <v>חמשה חומשי תורה &lt;עם תרגום אונקלוס מדויק ע"פ כ"י&gt; - 5 כר'</v>
      </c>
    </row>
    <row r="16102" spans="1:6" x14ac:dyDescent="0.2">
      <c r="A16102" t="s">
        <v>26774</v>
      </c>
      <c r="B16102" t="s">
        <v>24038</v>
      </c>
      <c r="C16102" t="s">
        <v>20</v>
      </c>
      <c r="D16102" t="s">
        <v>118</v>
      </c>
      <c r="E16102" t="s">
        <v>158</v>
      </c>
      <c r="F16102" s="2" t="str">
        <f>HYPERLINK("http://www.otzar.org/book.asp?159489","חמשה חומשי תורה &lt;עיר התמרים&gt; - 10 כר'")</f>
        <v>חמשה חומשי תורה &lt;עיר התמרים&gt; - 10 כר'</v>
      </c>
    </row>
    <row r="16103" spans="1:6" x14ac:dyDescent="0.2">
      <c r="A16103" t="s">
        <v>26775</v>
      </c>
      <c r="B16103" t="s">
        <v>3057</v>
      </c>
      <c r="C16103" t="s">
        <v>26776</v>
      </c>
      <c r="D16103" t="s">
        <v>283</v>
      </c>
      <c r="E16103" t="s">
        <v>158</v>
      </c>
      <c r="F16103" s="2" t="str">
        <f>HYPERLINK("http://www.otzar.org/book.asp?5115","חמשה חומשי תורה &lt;מלבי""ם&gt; - 6 כר'")</f>
        <v>חמשה חומשי תורה &lt;מלבי"ם&gt; - 6 כר'</v>
      </c>
    </row>
    <row r="16104" spans="1:6" x14ac:dyDescent="0.2">
      <c r="A16104" t="s">
        <v>26777</v>
      </c>
      <c r="B16104" t="s">
        <v>13816</v>
      </c>
      <c r="C16104" t="s">
        <v>26778</v>
      </c>
      <c r="D16104" t="s">
        <v>27</v>
      </c>
      <c r="E16104" t="s">
        <v>158</v>
      </c>
      <c r="F16104" s="2" t="str">
        <f>HYPERLINK("http://www.otzar.org/book.asp?52070","חמשה חומשי תורה &lt;תורת גבריאל&gt; - 5 כר'")</f>
        <v>חמשה חומשי תורה &lt;תורת גבריאל&gt; - 5 כר'</v>
      </c>
    </row>
    <row r="16105" spans="1:6" x14ac:dyDescent="0.2">
      <c r="A16105" t="s">
        <v>26779</v>
      </c>
      <c r="B16105" t="s">
        <v>26780</v>
      </c>
      <c r="C16105" t="s">
        <v>26781</v>
      </c>
      <c r="D16105" t="s">
        <v>27</v>
      </c>
      <c r="E16105" t="s">
        <v>579</v>
      </c>
      <c r="F16105" s="2" t="str">
        <f>HYPERLINK("http://www.otzar.org/book.asp?13060","חמשה חומשי תורה &lt;חשוקי כסף&gt; - 2 כר'")</f>
        <v>חמשה חומשי תורה &lt;חשוקי כסף&gt; - 2 כר'</v>
      </c>
    </row>
    <row r="16106" spans="1:6" x14ac:dyDescent="0.2">
      <c r="A16106" t="s">
        <v>26782</v>
      </c>
      <c r="B16106" t="s">
        <v>26783</v>
      </c>
      <c r="C16106" t="s">
        <v>538</v>
      </c>
      <c r="D16106" t="s">
        <v>18678</v>
      </c>
      <c r="E16106" t="s">
        <v>957</v>
      </c>
      <c r="F16106" s="2" t="str">
        <f>HYPERLINK("http://www.otzar.org/book.asp?104273","חמשה חומשי תורה &lt;ספורנו, אדרת אליהו, מנורת שלמה, מנחת כליל&gt;")</f>
        <v>חמשה חומשי תורה &lt;ספורנו, אדרת אליהו, מנורת שלמה, מנחת כליל&gt;</v>
      </c>
    </row>
    <row r="16107" spans="1:6" x14ac:dyDescent="0.2">
      <c r="A16107" t="s">
        <v>26784</v>
      </c>
      <c r="B16107" t="s">
        <v>26785</v>
      </c>
      <c r="C16107" t="s">
        <v>553</v>
      </c>
      <c r="D16107" t="s">
        <v>26786</v>
      </c>
      <c r="E16107" t="s">
        <v>158</v>
      </c>
      <c r="F16107" s="2" t="str">
        <f>HYPERLINK("http://www.otzar.org/book.asp?626612","חמשה חומשי תורה &lt;החלוקה על פי מסורת חז""ל&gt;")</f>
        <v>חמשה חומשי תורה &lt;החלוקה על פי מסורת חז"ל&gt;</v>
      </c>
    </row>
    <row r="16108" spans="1:6" x14ac:dyDescent="0.2">
      <c r="A16108" t="s">
        <v>26787</v>
      </c>
      <c r="B16108" t="s">
        <v>26788</v>
      </c>
      <c r="C16108" t="s">
        <v>26789</v>
      </c>
      <c r="D16108" t="s">
        <v>283</v>
      </c>
      <c r="E16108" t="s">
        <v>158</v>
      </c>
      <c r="F16108" s="2" t="str">
        <f>HYPERLINK("http://www.otzar.org/book.asp?16144","חמשה חומשי תורה &lt;ספר הברית&gt; - 5 כר'")</f>
        <v>חמשה חומשי תורה &lt;ספר הברית&gt; - 5 כר'</v>
      </c>
    </row>
    <row r="16109" spans="1:6" x14ac:dyDescent="0.2">
      <c r="A16109" t="s">
        <v>26790</v>
      </c>
      <c r="B16109" t="s">
        <v>26791</v>
      </c>
      <c r="C16109" t="s">
        <v>506</v>
      </c>
      <c r="D16109" t="s">
        <v>1862</v>
      </c>
      <c r="E16109" t="s">
        <v>158</v>
      </c>
      <c r="F16109" s="2" t="str">
        <f>HYPERLINK("http://www.otzar.org/book.asp?102368","חמשה חומשי תורה &lt;מחוקקי יהודה&gt; - 5 כר'")</f>
        <v>חמשה חומשי תורה &lt;מחוקקי יהודה&gt; - 5 כר'</v>
      </c>
    </row>
    <row r="16110" spans="1:6" x14ac:dyDescent="0.2">
      <c r="A16110" t="s">
        <v>26792</v>
      </c>
      <c r="B16110" t="s">
        <v>10628</v>
      </c>
      <c r="C16110" t="s">
        <v>523</v>
      </c>
      <c r="D16110" t="s">
        <v>118</v>
      </c>
      <c r="E16110" t="s">
        <v>158</v>
      </c>
      <c r="F16110" s="2" t="str">
        <f>HYPERLINK("http://www.otzar.org/book.asp?161816","חמשה חומשי תורה &lt;פרח שושנה&gt; - 5 כר'")</f>
        <v>חמשה חומשי תורה &lt;פרח שושנה&gt; - 5 כר'</v>
      </c>
    </row>
    <row r="16111" spans="1:6" x14ac:dyDescent="0.2">
      <c r="A16111" t="s">
        <v>26793</v>
      </c>
      <c r="B16111" t="s">
        <v>10077</v>
      </c>
      <c r="C16111" t="s">
        <v>313</v>
      </c>
      <c r="D16111" t="s">
        <v>14</v>
      </c>
      <c r="E16111" t="s">
        <v>158</v>
      </c>
      <c r="F16111" s="2" t="str">
        <f>HYPERLINK("http://www.otzar.org/book.asp?163718","חמשה חומשי תורה &lt;מדרש הלכה&gt; - 5 כר'")</f>
        <v>חמשה חומשי תורה &lt;מדרש הלכה&gt; - 5 כר'</v>
      </c>
    </row>
    <row r="16112" spans="1:6" x14ac:dyDescent="0.2">
      <c r="A16112" t="s">
        <v>26794</v>
      </c>
      <c r="B16112" t="s">
        <v>26795</v>
      </c>
      <c r="C16112" t="s">
        <v>603</v>
      </c>
      <c r="D16112" t="s">
        <v>26796</v>
      </c>
      <c r="E16112" t="s">
        <v>158</v>
      </c>
      <c r="F16112" s="2" t="str">
        <f>HYPERLINK("http://www.otzar.org/book.asp?163033","חמשה חומשי תורה &lt;אור החיים - 5 כר'")</f>
        <v>חמשה חומשי תורה &lt;אור החיים - 5 כר'</v>
      </c>
    </row>
    <row r="16113" spans="1:6" x14ac:dyDescent="0.2">
      <c r="A16113" t="s">
        <v>26797</v>
      </c>
      <c r="B16113" t="s">
        <v>26798</v>
      </c>
      <c r="C16113" t="s">
        <v>18838</v>
      </c>
      <c r="D16113" t="s">
        <v>1023</v>
      </c>
      <c r="F16113" s="2" t="str">
        <f>HYPERLINK("http://www.otzar.org/book.asp?164843","חמשה חומשי תורה &lt;שפתי חכמים&gt;")</f>
        <v>חמשה חומשי תורה &lt;שפתי חכמים&gt;</v>
      </c>
    </row>
    <row r="16114" spans="1:6" x14ac:dyDescent="0.2">
      <c r="A16114" t="s">
        <v>26799</v>
      </c>
      <c r="B16114" t="s">
        <v>26800</v>
      </c>
      <c r="C16114" t="s">
        <v>6062</v>
      </c>
      <c r="D16114" t="s">
        <v>26801</v>
      </c>
      <c r="E16114" t="s">
        <v>158</v>
      </c>
      <c r="F16114" s="2" t="str">
        <f>HYPERLINK("http://www.otzar.org/book.asp?153046","חמשה חומשי תורה &lt;תקון סופרים - 2 כר'")</f>
        <v>חמשה חומשי תורה &lt;תקון סופרים - 2 כר'</v>
      </c>
    </row>
    <row r="16115" spans="1:6" x14ac:dyDescent="0.2">
      <c r="A16115" t="s">
        <v>26802</v>
      </c>
      <c r="B16115" t="s">
        <v>26803</v>
      </c>
      <c r="C16115" t="s">
        <v>26804</v>
      </c>
      <c r="D16115" t="s">
        <v>267</v>
      </c>
      <c r="E16115" t="s">
        <v>158</v>
      </c>
      <c r="F16115" s="2" t="str">
        <f>HYPERLINK("http://www.otzar.org/book.asp?14719","חמשה חומשי תורה &lt;משכיל לדוד, היכל הברכה, מנורת שלמה&gt; - 5 כר'")</f>
        <v>חמשה חומשי תורה &lt;משכיל לדוד, היכל הברכה, מנורת שלמה&gt; - 5 כר'</v>
      </c>
    </row>
    <row r="16116" spans="1:6" x14ac:dyDescent="0.2">
      <c r="A16116" t="s">
        <v>26805</v>
      </c>
      <c r="B16116" t="s">
        <v>26806</v>
      </c>
      <c r="C16116" t="s">
        <v>888</v>
      </c>
      <c r="D16116" t="s">
        <v>283</v>
      </c>
      <c r="E16116" t="s">
        <v>158</v>
      </c>
      <c r="F16116" s="2" t="str">
        <f>HYPERLINK("http://www.otzar.org/book.asp?16128","חמשה חומשי תורה &lt;פנים יפות, מלא העומר, קומץ המנחה&gt; - 5 כר'")</f>
        <v>חמשה חומשי תורה &lt;פנים יפות, מלא העומר, קומץ המנחה&gt; - 5 כר'</v>
      </c>
    </row>
    <row r="16117" spans="1:6" x14ac:dyDescent="0.2">
      <c r="A16117" t="s">
        <v>26807</v>
      </c>
      <c r="B16117" t="s">
        <v>26808</v>
      </c>
      <c r="C16117" t="s">
        <v>8</v>
      </c>
      <c r="D16117" t="s">
        <v>6742</v>
      </c>
      <c r="E16117" t="s">
        <v>158</v>
      </c>
      <c r="F16117" s="2" t="str">
        <f>HYPERLINK("http://www.otzar.org/book.asp?5482","חמשה חומשי תורה &lt;עם מגילות&gt;")</f>
        <v>חמשה חומשי תורה &lt;עם מגילות&gt;</v>
      </c>
    </row>
    <row r="16118" spans="1:6" x14ac:dyDescent="0.2">
      <c r="A16118" t="s">
        <v>26809</v>
      </c>
      <c r="B16118" t="s">
        <v>1973</v>
      </c>
      <c r="C16118" t="s">
        <v>422</v>
      </c>
      <c r="D16118" t="s">
        <v>21</v>
      </c>
      <c r="E16118" t="s">
        <v>158</v>
      </c>
      <c r="F16118" s="2" t="str">
        <f>HYPERLINK("http://www.otzar.org/book.asp?196760","חמשה חומשי תורה ע""פ תורתך שעשועי - 5 כר'")</f>
        <v>חמשה חומשי תורה ע"פ תורתך שעשועי - 5 כר'</v>
      </c>
    </row>
    <row r="16119" spans="1:6" x14ac:dyDescent="0.2">
      <c r="A16119" t="s">
        <v>26810</v>
      </c>
      <c r="B16119" t="s">
        <v>26811</v>
      </c>
      <c r="C16119" t="s">
        <v>26812</v>
      </c>
      <c r="D16119" t="s">
        <v>19871</v>
      </c>
      <c r="E16119" t="s">
        <v>158</v>
      </c>
      <c r="F16119" s="2" t="str">
        <f>HYPERLINK("http://www.otzar.org/book.asp?146752","חמשה חומשי תורה עם התרגום")</f>
        <v>חמשה חומשי תורה עם התרגום</v>
      </c>
    </row>
    <row r="16120" spans="1:6" x14ac:dyDescent="0.2">
      <c r="A16120" t="s">
        <v>26813</v>
      </c>
      <c r="B16120" t="s">
        <v>26814</v>
      </c>
      <c r="C16120" t="s">
        <v>360</v>
      </c>
      <c r="D16120" t="s">
        <v>18380</v>
      </c>
      <c r="E16120" t="s">
        <v>158</v>
      </c>
      <c r="F16120" s="2" t="str">
        <f>HYPERLINK("http://www.otzar.org/book.asp?197655","חמשה חומשי תורה עם פירוש ותרגום גרמנית - ד (במדבר)")</f>
        <v>חמשה חומשי תורה עם פירוש ותרגום גרמנית - ד (במדבר)</v>
      </c>
    </row>
    <row r="16121" spans="1:6" x14ac:dyDescent="0.2">
      <c r="A16121" t="s">
        <v>26815</v>
      </c>
      <c r="B16121" t="s">
        <v>26816</v>
      </c>
      <c r="C16121" t="s">
        <v>20850</v>
      </c>
      <c r="D16121" t="s">
        <v>26817</v>
      </c>
      <c r="F16121" s="2" t="str">
        <f>HYPERLINK("http://www.otzar.org/book.asp?199510","חמשה חומשי תורה עם פירוש רש""י")</f>
        <v>חמשה חומשי תורה עם פירוש רש"י</v>
      </c>
    </row>
    <row r="16122" spans="1:6" x14ac:dyDescent="0.2">
      <c r="A16122" t="s">
        <v>26818</v>
      </c>
      <c r="B16122" t="s">
        <v>26798</v>
      </c>
      <c r="C16122" t="s">
        <v>23875</v>
      </c>
      <c r="D16122" t="s">
        <v>1023</v>
      </c>
      <c r="E16122" t="s">
        <v>158</v>
      </c>
      <c r="F16122" s="2" t="str">
        <f>HYPERLINK("http://www.otzar.org/book.asp?53386","חמשה חומשי תורה עם פירש""י ושפתי חכמים")</f>
        <v>חמשה חומשי תורה עם פירש"י ושפתי חכמים</v>
      </c>
    </row>
    <row r="16123" spans="1:6" x14ac:dyDescent="0.2">
      <c r="A16123" t="s">
        <v>26819</v>
      </c>
      <c r="B16123" t="s">
        <v>26820</v>
      </c>
      <c r="C16123" t="s">
        <v>143</v>
      </c>
      <c r="D16123" t="s">
        <v>14</v>
      </c>
      <c r="E16123" t="s">
        <v>158</v>
      </c>
      <c r="F16123" s="2" t="str">
        <f>HYPERLINK("http://www.otzar.org/book.asp?163555","חמשה חומשי תורה עם פרש""י מנוקד - ויקרא")</f>
        <v>חמשה חומשי תורה עם פרש"י מנוקד - ויקרא</v>
      </c>
    </row>
    <row r="16124" spans="1:6" x14ac:dyDescent="0.2">
      <c r="A16124" t="s">
        <v>26821</v>
      </c>
      <c r="B16124" t="s">
        <v>26822</v>
      </c>
      <c r="C16124" t="s">
        <v>16216</v>
      </c>
      <c r="D16124" t="s">
        <v>49</v>
      </c>
      <c r="E16124" t="s">
        <v>158</v>
      </c>
      <c r="F16124" s="2" t="str">
        <f>HYPERLINK("http://www.otzar.org/book.asp?53388","חמשה חומשי תורה עם רש""י וחזקוני &lt;ונציה רפ""ד&gt;")</f>
        <v>חמשה חומשי תורה עם רש"י וחזקוני &lt;ונציה רפ"ד&gt;</v>
      </c>
    </row>
    <row r="16125" spans="1:6" x14ac:dyDescent="0.2">
      <c r="A16125" t="s">
        <v>26823</v>
      </c>
      <c r="D16125" t="s">
        <v>412</v>
      </c>
      <c r="E16125" t="s">
        <v>158</v>
      </c>
      <c r="F16125" s="2" t="str">
        <f>HYPERLINK("http://www.otzar.org/book.asp?196069","חמשה חומשי תורה עם רש""י מתורגם לאנגלית - דברים")</f>
        <v>חמשה חומשי תורה עם רש"י מתורגם לאנגלית - דברים</v>
      </c>
    </row>
    <row r="16126" spans="1:6" x14ac:dyDescent="0.2">
      <c r="A16126" t="s">
        <v>26767</v>
      </c>
      <c r="B16126" t="s">
        <v>26824</v>
      </c>
      <c r="C16126" t="s">
        <v>13</v>
      </c>
      <c r="D16126" t="s">
        <v>52</v>
      </c>
      <c r="E16126" t="s">
        <v>158</v>
      </c>
      <c r="F16126" s="2" t="str">
        <f>HYPERLINK("http://www.otzar.org/book.asp?169383","חמשה חומשי תורה")</f>
        <v>חמשה חומשי תורה</v>
      </c>
    </row>
    <row r="16127" spans="1:6" x14ac:dyDescent="0.2">
      <c r="A16127" t="s">
        <v>26767</v>
      </c>
      <c r="B16127" t="s">
        <v>26825</v>
      </c>
      <c r="C16127" t="s">
        <v>33</v>
      </c>
      <c r="D16127" t="s">
        <v>26826</v>
      </c>
      <c r="F16127" s="2" t="str">
        <f>HYPERLINK("http://www.otzar.org/book.asp?164882","חמשה חומשי תורה")</f>
        <v>חמשה חומשי תורה</v>
      </c>
    </row>
    <row r="16128" spans="1:6" x14ac:dyDescent="0.2">
      <c r="A16128" t="s">
        <v>26767</v>
      </c>
      <c r="B16128" t="s">
        <v>26827</v>
      </c>
      <c r="C16128" t="s">
        <v>26828</v>
      </c>
      <c r="D16128" t="s">
        <v>26817</v>
      </c>
      <c r="F16128" s="2" t="str">
        <f>HYPERLINK("http://www.otzar.org/book.asp?164881","חמשה חומשי תורה")</f>
        <v>חמשה חומשי תורה</v>
      </c>
    </row>
    <row r="16129" spans="1:6" x14ac:dyDescent="0.2">
      <c r="A16129" t="s">
        <v>26767</v>
      </c>
      <c r="B16129" t="s">
        <v>26822</v>
      </c>
      <c r="C16129" t="s">
        <v>16216</v>
      </c>
      <c r="D16129" t="s">
        <v>49</v>
      </c>
      <c r="F16129" s="2" t="str">
        <f>HYPERLINK("http://www.otzar.org/book.asp?164774","חמשה חומשי תורה")</f>
        <v>חמשה חומשי תורה</v>
      </c>
    </row>
    <row r="16130" spans="1:6" x14ac:dyDescent="0.2">
      <c r="A16130" t="s">
        <v>26767</v>
      </c>
      <c r="B16130" t="s">
        <v>26829</v>
      </c>
      <c r="C16130" t="s">
        <v>26830</v>
      </c>
      <c r="D16130" t="s">
        <v>1490</v>
      </c>
      <c r="F16130" s="2" t="str">
        <f>HYPERLINK("http://www.otzar.org/book.asp?164732","חמשה חומשי תורה")</f>
        <v>חמשה חומשי תורה</v>
      </c>
    </row>
    <row r="16131" spans="1:6" x14ac:dyDescent="0.2">
      <c r="A16131" t="s">
        <v>26831</v>
      </c>
      <c r="B16131" t="s">
        <v>26832</v>
      </c>
      <c r="C16131" t="s">
        <v>26833</v>
      </c>
      <c r="D16131" t="s">
        <v>280</v>
      </c>
      <c r="F16131" s="2" t="str">
        <f>HYPERLINK("http://www.otzar.org/book.asp?189390","חמשה חומשי תורה - א בראשית")</f>
        <v>חמשה חומשי תורה - א בראשית</v>
      </c>
    </row>
    <row r="16132" spans="1:6" x14ac:dyDescent="0.2">
      <c r="A16132" t="s">
        <v>26767</v>
      </c>
      <c r="B16132" t="s">
        <v>26834</v>
      </c>
      <c r="C16132" t="s">
        <v>5991</v>
      </c>
      <c r="D16132" t="s">
        <v>8492</v>
      </c>
      <c r="E16132" t="s">
        <v>158</v>
      </c>
      <c r="F16132" s="2" t="str">
        <f>HYPERLINK("http://www.otzar.org/book.asp?158956","חמשה חומשי תורה")</f>
        <v>חמשה חומשי תורה</v>
      </c>
    </row>
    <row r="16133" spans="1:6" x14ac:dyDescent="0.2">
      <c r="A16133" t="s">
        <v>26767</v>
      </c>
      <c r="B16133" t="s">
        <v>26835</v>
      </c>
      <c r="C16133" t="s">
        <v>908</v>
      </c>
      <c r="D16133" t="s">
        <v>4352</v>
      </c>
      <c r="E16133" t="s">
        <v>158</v>
      </c>
      <c r="F16133" s="2" t="str">
        <f>HYPERLINK("http://www.otzar.org/book.asp?154212","חמשה חומשי תורה")</f>
        <v>חמשה חומשי תורה</v>
      </c>
    </row>
    <row r="16134" spans="1:6" x14ac:dyDescent="0.2">
      <c r="A16134" t="s">
        <v>26767</v>
      </c>
      <c r="B16134" t="s">
        <v>26836</v>
      </c>
      <c r="C16134" t="s">
        <v>26837</v>
      </c>
      <c r="D16134" t="s">
        <v>26838</v>
      </c>
      <c r="F16134" s="2" t="str">
        <f>HYPERLINK("http://www.otzar.org/book.asp?164775","חמשה חומשי תורה")</f>
        <v>חמשה חומשי תורה</v>
      </c>
    </row>
    <row r="16135" spans="1:6" x14ac:dyDescent="0.2">
      <c r="A16135" t="s">
        <v>26839</v>
      </c>
      <c r="B16135" t="s">
        <v>542</v>
      </c>
      <c r="C16135" t="s">
        <v>543</v>
      </c>
      <c r="D16135" t="s">
        <v>544</v>
      </c>
      <c r="E16135" t="s">
        <v>158</v>
      </c>
      <c r="F16135" s="2" t="str">
        <f>HYPERLINK("http://www.otzar.org/book.asp?104451","חמשה חלוקי אבנים")</f>
        <v>חמשה חלוקי אבנים</v>
      </c>
    </row>
    <row r="16136" spans="1:6" x14ac:dyDescent="0.2">
      <c r="A16136" t="s">
        <v>26840</v>
      </c>
      <c r="B16136" t="s">
        <v>12062</v>
      </c>
      <c r="C16136" t="s">
        <v>3106</v>
      </c>
      <c r="D16136" t="s">
        <v>24403</v>
      </c>
      <c r="E16136" t="s">
        <v>26841</v>
      </c>
      <c r="F16136" s="2" t="str">
        <f>HYPERLINK("http://www.otzar.org/book.asp?14300","חמשה מאורות הגדולים")</f>
        <v>חמשה מאורות הגדולים</v>
      </c>
    </row>
    <row r="16137" spans="1:6" x14ac:dyDescent="0.2">
      <c r="A16137" t="s">
        <v>26842</v>
      </c>
      <c r="B16137" t="s">
        <v>14446</v>
      </c>
      <c r="C16137" t="s">
        <v>422</v>
      </c>
      <c r="D16137" t="s">
        <v>14</v>
      </c>
      <c r="E16137" t="s">
        <v>158</v>
      </c>
      <c r="F16137" s="2" t="str">
        <f>HYPERLINK("http://www.otzar.org/book.asp?170723","חמשה מאמרות &lt;מהדורה חדשה&gt;")</f>
        <v>חמשה מאמרות &lt;מהדורה חדשה&gt;</v>
      </c>
    </row>
    <row r="16138" spans="1:6" x14ac:dyDescent="0.2">
      <c r="A16138" t="s">
        <v>26843</v>
      </c>
      <c r="B16138" t="s">
        <v>14446</v>
      </c>
      <c r="C16138" t="s">
        <v>649</v>
      </c>
      <c r="D16138" t="s">
        <v>4772</v>
      </c>
      <c r="E16138" t="s">
        <v>26844</v>
      </c>
      <c r="F16138" s="2" t="str">
        <f>HYPERLINK("http://www.otzar.org/book.asp?102443","חמשה מאמרות")</f>
        <v>חמשה מאמרות</v>
      </c>
    </row>
    <row r="16139" spans="1:6" x14ac:dyDescent="0.2">
      <c r="A16139" t="s">
        <v>26845</v>
      </c>
      <c r="B16139" t="s">
        <v>26846</v>
      </c>
      <c r="C16139" t="s">
        <v>26847</v>
      </c>
      <c r="D16139" t="s">
        <v>27</v>
      </c>
      <c r="E16139" t="s">
        <v>399</v>
      </c>
      <c r="F16139" s="2" t="str">
        <f>HYPERLINK("http://www.otzar.org/book.asp?102074","חמשה מאמרים מספר חיי הנפש &lt;סוד עץ הדעת&gt;")</f>
        <v>חמשה מאמרים מספר חיי הנפש &lt;סוד עץ הדעת&gt;</v>
      </c>
    </row>
    <row r="16140" spans="1:6" x14ac:dyDescent="0.2">
      <c r="A16140" t="s">
        <v>26848</v>
      </c>
      <c r="B16140" t="s">
        <v>5092</v>
      </c>
      <c r="C16140" t="s">
        <v>37</v>
      </c>
      <c r="D16140" t="s">
        <v>14</v>
      </c>
      <c r="E16140" t="s">
        <v>15</v>
      </c>
      <c r="F16140" s="2" t="str">
        <f>HYPERLINK("http://www.otzar.org/book.asp?180894","חמשה ספרים נפתחים על מצות כתיבת ספר תורה")</f>
        <v>חמשה ספרים נפתחים על מצות כתיבת ספר תורה</v>
      </c>
    </row>
    <row r="16141" spans="1:6" x14ac:dyDescent="0.2">
      <c r="A16141" t="s">
        <v>26849</v>
      </c>
      <c r="B16141" t="s">
        <v>2500</v>
      </c>
      <c r="C16141" t="s">
        <v>1208</v>
      </c>
      <c r="D16141" t="s">
        <v>412</v>
      </c>
      <c r="E16141" t="s">
        <v>15</v>
      </c>
      <c r="F16141" s="2" t="str">
        <f>HYPERLINK("http://www.otzar.org/book.asp?63255","חמשה ספרים נפתחים")</f>
        <v>חמשה ספרים נפתחים</v>
      </c>
    </row>
    <row r="16142" spans="1:6" x14ac:dyDescent="0.2">
      <c r="A16142" t="s">
        <v>26849</v>
      </c>
      <c r="B16142" t="s">
        <v>26850</v>
      </c>
      <c r="C16142" t="s">
        <v>624</v>
      </c>
      <c r="D16142" t="s">
        <v>14</v>
      </c>
      <c r="E16142" t="s">
        <v>3929</v>
      </c>
      <c r="F16142" s="2" t="str">
        <f>HYPERLINK("http://www.otzar.org/book.asp?107237","חמשה ספרים נפתחים")</f>
        <v>חמשה ספרים נפתחים</v>
      </c>
    </row>
    <row r="16143" spans="1:6" x14ac:dyDescent="0.2">
      <c r="A16143" t="s">
        <v>26851</v>
      </c>
      <c r="B16143" t="s">
        <v>6496</v>
      </c>
      <c r="C16143" t="s">
        <v>2543</v>
      </c>
      <c r="D16143" t="s">
        <v>6010</v>
      </c>
      <c r="E16143" t="s">
        <v>158</v>
      </c>
      <c r="F16143" s="2" t="str">
        <f>HYPERLINK("http://www.otzar.org/book.asp?154134","חמשה ספרים נפתחים - פירוש חמש מגילות")</f>
        <v>חמשה ספרים נפתחים - פירוש חמש מגילות</v>
      </c>
    </row>
    <row r="16144" spans="1:6" x14ac:dyDescent="0.2">
      <c r="A16144" t="s">
        <v>26852</v>
      </c>
      <c r="B16144" t="s">
        <v>3727</v>
      </c>
      <c r="C16144" t="s">
        <v>114</v>
      </c>
      <c r="D16144" t="s">
        <v>52</v>
      </c>
      <c r="E16144" t="s">
        <v>15</v>
      </c>
      <c r="F16144" s="2" t="str">
        <f>HYPERLINK("http://www.otzar.org/book.asp?168497","חמשה קולות")</f>
        <v>חמשה קולות</v>
      </c>
    </row>
    <row r="16145" spans="1:6" x14ac:dyDescent="0.2">
      <c r="A16145" t="s">
        <v>26853</v>
      </c>
      <c r="B16145" t="s">
        <v>26854</v>
      </c>
      <c r="C16145" t="s">
        <v>1844</v>
      </c>
      <c r="D16145" t="s">
        <v>1459</v>
      </c>
      <c r="E16145" t="s">
        <v>26855</v>
      </c>
      <c r="F16145" s="2" t="str">
        <f>HYPERLINK("http://www.otzar.org/book.asp?12108","חמשה קונטרסים")</f>
        <v>חמשה קונטרסים</v>
      </c>
    </row>
    <row r="16146" spans="1:6" x14ac:dyDescent="0.2">
      <c r="A16146" t="s">
        <v>26856</v>
      </c>
      <c r="B16146" t="s">
        <v>1552</v>
      </c>
      <c r="C16146" t="s">
        <v>1592</v>
      </c>
      <c r="D16146" t="s">
        <v>5665</v>
      </c>
      <c r="E16146" t="s">
        <v>144</v>
      </c>
      <c r="F16146" s="2" t="str">
        <f>HYPERLINK("http://www.otzar.org/book.asp?6993","חמשה שיטות, ר""ן סנהדרין, ריטב""א מכות, רמב""ן גיטין, רמב""ן נדה, ר""ן חולין - 2 כר'")</f>
        <v>חמשה שיטות, ר"ן סנהדרין, ריטב"א מכות, רמב"ן גיטין, רמב"ן נדה, ר"ן חולין - 2 כר'</v>
      </c>
    </row>
    <row r="16147" spans="1:6" x14ac:dyDescent="0.2">
      <c r="A16147" t="s">
        <v>26857</v>
      </c>
      <c r="B16147" t="s">
        <v>26858</v>
      </c>
      <c r="C16147" t="s">
        <v>6050</v>
      </c>
      <c r="D16147" t="s">
        <v>729</v>
      </c>
      <c r="E16147" t="s">
        <v>158</v>
      </c>
      <c r="F16147" s="2" t="str">
        <f>HYPERLINK("http://www.otzar.org/book.asp?189395","חמשים דרושים יקרים")</f>
        <v>חמשים דרושים יקרים</v>
      </c>
    </row>
    <row r="16148" spans="1:6" x14ac:dyDescent="0.2">
      <c r="A16148" t="s">
        <v>26859</v>
      </c>
      <c r="B16148" t="s">
        <v>14039</v>
      </c>
      <c r="C16148" t="s">
        <v>237</v>
      </c>
      <c r="D16148" t="s">
        <v>9</v>
      </c>
      <c r="E16148" t="s">
        <v>234</v>
      </c>
      <c r="F16148" s="2" t="str">
        <f>HYPERLINK("http://www.otzar.org/book.asp?141927","חמשים הספדים")</f>
        <v>חמשים הספדים</v>
      </c>
    </row>
    <row r="16149" spans="1:6" x14ac:dyDescent="0.2">
      <c r="A16149" t="s">
        <v>26860</v>
      </c>
      <c r="B16149" t="s">
        <v>26861</v>
      </c>
      <c r="C16149" t="s">
        <v>445</v>
      </c>
      <c r="D16149" t="s">
        <v>10109</v>
      </c>
      <c r="E16149" t="s">
        <v>158</v>
      </c>
      <c r="F16149" s="2" t="str">
        <f>HYPERLINK("http://www.otzar.org/book.asp?105847","חן אהרן")</f>
        <v>חן אהרן</v>
      </c>
    </row>
    <row r="16150" spans="1:6" x14ac:dyDescent="0.2">
      <c r="A16150" t="s">
        <v>26862</v>
      </c>
      <c r="B16150" t="s">
        <v>26863</v>
      </c>
      <c r="C16150" t="s">
        <v>151</v>
      </c>
      <c r="D16150" t="s">
        <v>139</v>
      </c>
      <c r="F16150" s="2" t="str">
        <f>HYPERLINK("http://www.otzar.org/book.asp?617979","חן בשפתותיך - 2 כר'")</f>
        <v>חן בשפתותיך - 2 כר'</v>
      </c>
    </row>
    <row r="16151" spans="1:6" x14ac:dyDescent="0.2">
      <c r="A16151" t="s">
        <v>26864</v>
      </c>
      <c r="B16151" t="s">
        <v>26865</v>
      </c>
      <c r="C16151" t="s">
        <v>13</v>
      </c>
      <c r="D16151" t="s">
        <v>152</v>
      </c>
      <c r="E16151" t="s">
        <v>144</v>
      </c>
      <c r="F16151" s="2" t="str">
        <f>HYPERLINK("http://www.otzar.org/book.asp?182922","חן המגילה")</f>
        <v>חן המגילה</v>
      </c>
    </row>
    <row r="16152" spans="1:6" x14ac:dyDescent="0.2">
      <c r="A16152" t="s">
        <v>26866</v>
      </c>
      <c r="B16152" t="s">
        <v>26867</v>
      </c>
      <c r="C16152" t="s">
        <v>20</v>
      </c>
      <c r="D16152" t="s">
        <v>52</v>
      </c>
      <c r="E16152" t="s">
        <v>15</v>
      </c>
      <c r="F16152" s="2" t="str">
        <f>HYPERLINK("http://www.otzar.org/book.asp?180219","חן המקום")</f>
        <v>חן המקום</v>
      </c>
    </row>
    <row r="16153" spans="1:6" x14ac:dyDescent="0.2">
      <c r="A16153" t="s">
        <v>26868</v>
      </c>
      <c r="B16153" t="s">
        <v>26865</v>
      </c>
      <c r="C16153" t="s">
        <v>422</v>
      </c>
      <c r="D16153" t="s">
        <v>152</v>
      </c>
      <c r="E16153" t="s">
        <v>144</v>
      </c>
      <c r="F16153" s="2" t="str">
        <f>HYPERLINK("http://www.otzar.org/book.asp?182923","חן העירוב")</f>
        <v>חן העירוב</v>
      </c>
    </row>
    <row r="16154" spans="1:6" x14ac:dyDescent="0.2">
      <c r="A16154" t="s">
        <v>26869</v>
      </c>
      <c r="B16154" t="s">
        <v>25155</v>
      </c>
      <c r="C16154" t="s">
        <v>775</v>
      </c>
      <c r="D16154" t="s">
        <v>2375</v>
      </c>
      <c r="E16154" t="s">
        <v>158</v>
      </c>
      <c r="F16154" s="2" t="str">
        <f>HYPERLINK("http://www.otzar.org/book.asp?61870","חן וחסד")</f>
        <v>חן וחסד</v>
      </c>
    </row>
    <row r="16155" spans="1:6" x14ac:dyDescent="0.2">
      <c r="A16155" t="s">
        <v>26870</v>
      </c>
      <c r="B16155" t="s">
        <v>26871</v>
      </c>
      <c r="C16155" t="s">
        <v>503</v>
      </c>
      <c r="D16155" t="s">
        <v>27</v>
      </c>
      <c r="E16155" t="s">
        <v>234</v>
      </c>
      <c r="F16155" s="2" t="str">
        <f>HYPERLINK("http://www.otzar.org/book.asp?170891","חן וכבוד")</f>
        <v>חן וכבוד</v>
      </c>
    </row>
    <row r="16156" spans="1:6" x14ac:dyDescent="0.2">
      <c r="A16156" t="s">
        <v>26870</v>
      </c>
      <c r="B16156" t="s">
        <v>26872</v>
      </c>
      <c r="C16156" t="s">
        <v>151</v>
      </c>
      <c r="D16156" t="s">
        <v>1550</v>
      </c>
      <c r="F16156" s="2" t="str">
        <f>HYPERLINK("http://www.otzar.org/book.asp?615132","חן וכבוד")</f>
        <v>חן וכבוד</v>
      </c>
    </row>
    <row r="16157" spans="1:6" x14ac:dyDescent="0.2">
      <c r="A16157" t="s">
        <v>26873</v>
      </c>
      <c r="B16157" t="s">
        <v>26874</v>
      </c>
      <c r="C16157" t="s">
        <v>13</v>
      </c>
      <c r="D16157" t="s">
        <v>90</v>
      </c>
      <c r="E16157" t="s">
        <v>22005</v>
      </c>
      <c r="F16157" s="2" t="str">
        <f>HYPERLINK("http://www.otzar.org/book.asp?64197","חן טוב &lt;מהדורה חדשה&gt;- פרד""ס אגדות התלמוד")</f>
        <v>חן טוב &lt;מהדורה חדשה&gt;- פרד"ס אגדות התלמוד</v>
      </c>
    </row>
    <row r="16158" spans="1:6" x14ac:dyDescent="0.2">
      <c r="A16158" t="s">
        <v>26875</v>
      </c>
      <c r="B16158" t="s">
        <v>26876</v>
      </c>
      <c r="C16158" t="s">
        <v>189</v>
      </c>
      <c r="D16158" t="s">
        <v>412</v>
      </c>
      <c r="E16158" t="s">
        <v>158</v>
      </c>
      <c r="F16158" s="2" t="str">
        <f>HYPERLINK("http://www.otzar.org/book.asp?173720","חן טוב &lt;מהדורה חדשה&gt; - 5 כר'")</f>
        <v>חן טוב &lt;מהדורה חדשה&gt; - 5 כר'</v>
      </c>
    </row>
    <row r="16159" spans="1:6" x14ac:dyDescent="0.2">
      <c r="A16159" t="s">
        <v>26877</v>
      </c>
      <c r="B16159" t="s">
        <v>26874</v>
      </c>
      <c r="C16159" t="s">
        <v>114</v>
      </c>
      <c r="D16159" t="s">
        <v>90</v>
      </c>
      <c r="E16159" t="s">
        <v>10</v>
      </c>
      <c r="F16159" s="2" t="str">
        <f>HYPERLINK("http://www.otzar.org/book.asp?619936","חן טוב הישנות &lt;מהדורה חדשה&gt; - חלק שו""ת")</f>
        <v>חן טוב הישנות &lt;מהדורה חדשה&gt; - חלק שו"ת</v>
      </c>
    </row>
    <row r="16160" spans="1:6" x14ac:dyDescent="0.2">
      <c r="A16160" t="s">
        <v>26878</v>
      </c>
      <c r="B16160" t="s">
        <v>26879</v>
      </c>
      <c r="C16160" t="s">
        <v>1519</v>
      </c>
      <c r="D16160" t="s">
        <v>60</v>
      </c>
      <c r="E16160" t="s">
        <v>803</v>
      </c>
      <c r="F16160" s="2" t="str">
        <f>HYPERLINK("http://www.otzar.org/book.asp?101563","חן טוב זבד טוב")</f>
        <v>חן טוב זבד טוב</v>
      </c>
    </row>
    <row r="16161" spans="1:6" x14ac:dyDescent="0.2">
      <c r="A16161" t="s">
        <v>26880</v>
      </c>
      <c r="B16161" t="s">
        <v>26881</v>
      </c>
      <c r="C16161" t="s">
        <v>985</v>
      </c>
      <c r="D16161" t="s">
        <v>1889</v>
      </c>
      <c r="E16161" t="s">
        <v>104</v>
      </c>
      <c r="F16161" s="2" t="str">
        <f>HYPERLINK("http://www.otzar.org/book.asp?169724","חן טוב למרי נפש")</f>
        <v>חן טוב למרי נפש</v>
      </c>
    </row>
    <row r="16162" spans="1:6" x14ac:dyDescent="0.2">
      <c r="A16162" t="s">
        <v>26882</v>
      </c>
      <c r="B16162" t="s">
        <v>26874</v>
      </c>
      <c r="C16162" t="s">
        <v>989</v>
      </c>
      <c r="D16162" t="s">
        <v>14</v>
      </c>
      <c r="E16162" t="s">
        <v>26883</v>
      </c>
      <c r="F16162" s="2" t="str">
        <f>HYPERLINK("http://www.otzar.org/book.asp?157469","חן טוב")</f>
        <v>חן טוב</v>
      </c>
    </row>
    <row r="16163" spans="1:6" x14ac:dyDescent="0.2">
      <c r="A16163" t="s">
        <v>26882</v>
      </c>
      <c r="B16163" t="s">
        <v>26884</v>
      </c>
      <c r="C16163" t="s">
        <v>1317</v>
      </c>
      <c r="D16163" t="s">
        <v>4364</v>
      </c>
      <c r="E16163" t="s">
        <v>144</v>
      </c>
      <c r="F16163" s="2" t="str">
        <f>HYPERLINK("http://www.otzar.org/book.asp?24533","חן טוב")</f>
        <v>חן טוב</v>
      </c>
    </row>
    <row r="16164" spans="1:6" x14ac:dyDescent="0.2">
      <c r="A16164" t="s">
        <v>26882</v>
      </c>
      <c r="B16164" t="s">
        <v>26876</v>
      </c>
      <c r="C16164" t="s">
        <v>9168</v>
      </c>
      <c r="D16164" t="s">
        <v>49</v>
      </c>
      <c r="E16164" t="s">
        <v>158</v>
      </c>
      <c r="F16164" s="2" t="str">
        <f>HYPERLINK("http://www.otzar.org/book.asp?104269","חן טוב")</f>
        <v>חן טוב</v>
      </c>
    </row>
    <row r="16165" spans="1:6" x14ac:dyDescent="0.2">
      <c r="A16165" t="s">
        <v>26882</v>
      </c>
      <c r="B16165" t="s">
        <v>5911</v>
      </c>
      <c r="C16165" t="s">
        <v>2213</v>
      </c>
      <c r="D16165" t="s">
        <v>1023</v>
      </c>
      <c r="E16165" t="s">
        <v>1626</v>
      </c>
      <c r="F16165" s="2" t="str">
        <f>HYPERLINK("http://www.otzar.org/book.asp?147310","חן טוב")</f>
        <v>חן טוב</v>
      </c>
    </row>
    <row r="16166" spans="1:6" x14ac:dyDescent="0.2">
      <c r="A16166" t="s">
        <v>26885</v>
      </c>
      <c r="B16166" t="s">
        <v>10351</v>
      </c>
      <c r="C16166" t="s">
        <v>17</v>
      </c>
      <c r="D16166" t="s">
        <v>486</v>
      </c>
      <c r="E16166" t="s">
        <v>158</v>
      </c>
      <c r="F16166" s="2" t="str">
        <f>HYPERLINK("http://www.otzar.org/book.asp?25927","חן יוסף - 2 כר'")</f>
        <v>חן יוסף - 2 כר'</v>
      </c>
    </row>
    <row r="16167" spans="1:6" x14ac:dyDescent="0.2">
      <c r="A16167" t="s">
        <v>26886</v>
      </c>
      <c r="B16167" t="s">
        <v>26887</v>
      </c>
      <c r="C16167" t="s">
        <v>624</v>
      </c>
      <c r="D16167" t="s">
        <v>721</v>
      </c>
      <c r="E16167" t="s">
        <v>119</v>
      </c>
      <c r="F16167" s="2" t="str">
        <f>HYPERLINK("http://www.otzar.org/book.asp?165874","חן יוסף - רבי יוסף המערבי מתונסיה")</f>
        <v>חן יוסף - רבי יוסף המערבי מתונסיה</v>
      </c>
    </row>
    <row r="16168" spans="1:6" x14ac:dyDescent="0.2">
      <c r="A16168" t="s">
        <v>26888</v>
      </c>
      <c r="B16168" t="s">
        <v>686</v>
      </c>
      <c r="C16168" t="s">
        <v>411</v>
      </c>
      <c r="D16168" t="s">
        <v>52</v>
      </c>
      <c r="E16168" t="s">
        <v>158</v>
      </c>
      <c r="F16168" s="2" t="str">
        <f>HYPERLINK("http://www.otzar.org/book.asp?189258","חן מלכים - דברי חכמים")</f>
        <v>חן מלכים - דברי חכמים</v>
      </c>
    </row>
    <row r="16169" spans="1:6" x14ac:dyDescent="0.2">
      <c r="A16169" t="s">
        <v>26889</v>
      </c>
      <c r="B16169" t="s">
        <v>26890</v>
      </c>
      <c r="C16169" t="s">
        <v>8</v>
      </c>
      <c r="D16169" t="s">
        <v>27</v>
      </c>
      <c r="E16169" t="s">
        <v>26891</v>
      </c>
      <c r="F16169" s="2" t="str">
        <f>HYPERLINK("http://www.otzar.org/book.asp?15999","חן מרדכי (דרכי חן)")</f>
        <v>חן מרדכי (דרכי חן)</v>
      </c>
    </row>
    <row r="16170" spans="1:6" x14ac:dyDescent="0.2">
      <c r="A16170" t="s">
        <v>26892</v>
      </c>
      <c r="B16170" t="s">
        <v>8880</v>
      </c>
      <c r="C16170" t="s">
        <v>51</v>
      </c>
      <c r="D16170" t="s">
        <v>14</v>
      </c>
      <c r="E16170" t="s">
        <v>15</v>
      </c>
      <c r="F16170" s="2" t="str">
        <f>HYPERLINK("http://www.otzar.org/book.asp?621781","חן משה")</f>
        <v>חן משה</v>
      </c>
    </row>
    <row r="16171" spans="1:6" x14ac:dyDescent="0.2">
      <c r="A16171" t="s">
        <v>26893</v>
      </c>
      <c r="B16171" t="s">
        <v>26894</v>
      </c>
      <c r="C16171" t="s">
        <v>1619</v>
      </c>
      <c r="D16171" t="s">
        <v>14</v>
      </c>
      <c r="E16171" t="s">
        <v>3987</v>
      </c>
      <c r="F16171" s="2" t="str">
        <f>HYPERLINK("http://www.otzar.org/book.asp?16636","חנה דוד")</f>
        <v>חנה דוד</v>
      </c>
    </row>
    <row r="16172" spans="1:6" x14ac:dyDescent="0.2">
      <c r="A16172" t="s">
        <v>26893</v>
      </c>
      <c r="B16172" t="s">
        <v>26895</v>
      </c>
      <c r="C16172" t="s">
        <v>3106</v>
      </c>
      <c r="D16172" t="s">
        <v>9</v>
      </c>
      <c r="E16172" t="s">
        <v>803</v>
      </c>
      <c r="F16172" s="2" t="str">
        <f>HYPERLINK("http://www.otzar.org/book.asp?50881","חנה דוד")</f>
        <v>חנה דוד</v>
      </c>
    </row>
    <row r="16173" spans="1:6" x14ac:dyDescent="0.2">
      <c r="A16173" t="s">
        <v>26893</v>
      </c>
      <c r="B16173" t="s">
        <v>10517</v>
      </c>
      <c r="C16173" t="s">
        <v>1124</v>
      </c>
      <c r="D16173" t="s">
        <v>56</v>
      </c>
      <c r="E16173" t="s">
        <v>1097</v>
      </c>
      <c r="F16173" s="2" t="str">
        <f>HYPERLINK("http://www.otzar.org/book.asp?18819","חנה דוד")</f>
        <v>חנה דוד</v>
      </c>
    </row>
    <row r="16174" spans="1:6" x14ac:dyDescent="0.2">
      <c r="A16174" t="s">
        <v>26896</v>
      </c>
      <c r="B16174" t="s">
        <v>26897</v>
      </c>
      <c r="C16174" t="s">
        <v>366</v>
      </c>
      <c r="D16174" t="s">
        <v>14</v>
      </c>
      <c r="F16174" s="2" t="str">
        <f>HYPERLINK("http://www.otzar.org/book.asp?609861","חנה ושבעת בניה")</f>
        <v>חנה ושבעת בניה</v>
      </c>
    </row>
    <row r="16175" spans="1:6" x14ac:dyDescent="0.2">
      <c r="A16175" t="s">
        <v>26896</v>
      </c>
      <c r="B16175" t="s">
        <v>5766</v>
      </c>
      <c r="C16175" t="s">
        <v>442</v>
      </c>
      <c r="D16175" t="s">
        <v>27</v>
      </c>
      <c r="E16175" t="s">
        <v>1164</v>
      </c>
      <c r="F16175" s="2" t="str">
        <f>HYPERLINK("http://www.otzar.org/book.asp?11391","חנה ושבעת בניה")</f>
        <v>חנה ושבעת בניה</v>
      </c>
    </row>
    <row r="16176" spans="1:6" x14ac:dyDescent="0.2">
      <c r="A16176" t="s">
        <v>26898</v>
      </c>
      <c r="B16176" t="s">
        <v>26899</v>
      </c>
      <c r="C16176" t="s">
        <v>51</v>
      </c>
      <c r="D16176" t="s">
        <v>14</v>
      </c>
      <c r="E16176" t="s">
        <v>24</v>
      </c>
      <c r="F16176" s="2" t="str">
        <f>HYPERLINK("http://www.otzar.org/book.asp?628139","חנה של חנה")</f>
        <v>חנה של חנה</v>
      </c>
    </row>
    <row r="16177" spans="1:6" x14ac:dyDescent="0.2">
      <c r="A16177" t="s">
        <v>26900</v>
      </c>
      <c r="B16177" t="s">
        <v>26901</v>
      </c>
      <c r="C16177" t="s">
        <v>10565</v>
      </c>
      <c r="D16177" t="s">
        <v>10985</v>
      </c>
      <c r="E16177" t="s">
        <v>579</v>
      </c>
      <c r="F16177" s="2" t="str">
        <f>HYPERLINK("http://www.otzar.org/book.asp?50882","חנוך בית יהודה")</f>
        <v>חנוך בית יהודה</v>
      </c>
    </row>
    <row r="16178" spans="1:6" x14ac:dyDescent="0.2">
      <c r="A16178" t="s">
        <v>26902</v>
      </c>
      <c r="B16178" t="s">
        <v>26903</v>
      </c>
      <c r="C16178" t="s">
        <v>1284</v>
      </c>
      <c r="D16178" t="s">
        <v>56</v>
      </c>
      <c r="E16178" t="s">
        <v>104</v>
      </c>
      <c r="F16178" s="2" t="str">
        <f>HYPERLINK("http://www.otzar.org/book.asp?106941","חנוך הבנים - 2 כר'")</f>
        <v>חנוך הבנים - 2 כר'</v>
      </c>
    </row>
    <row r="16179" spans="1:6" x14ac:dyDescent="0.2">
      <c r="A16179" t="s">
        <v>26904</v>
      </c>
      <c r="B16179" t="s">
        <v>11932</v>
      </c>
      <c r="C16179" t="s">
        <v>1448</v>
      </c>
      <c r="D16179" t="s">
        <v>14</v>
      </c>
      <c r="E16179" t="s">
        <v>674</v>
      </c>
      <c r="F16179" s="2" t="str">
        <f>HYPERLINK("http://www.otzar.org/book.asp?53216","חנוך לנער")</f>
        <v>חנוך לנער</v>
      </c>
    </row>
    <row r="16180" spans="1:6" x14ac:dyDescent="0.2">
      <c r="A16180" t="s">
        <v>26904</v>
      </c>
      <c r="B16180" t="s">
        <v>26905</v>
      </c>
      <c r="C16180" t="s">
        <v>785</v>
      </c>
      <c r="D16180" t="s">
        <v>14</v>
      </c>
      <c r="E16180" t="s">
        <v>104</v>
      </c>
      <c r="F16180" s="2" t="str">
        <f>HYPERLINK("http://www.otzar.org/book.asp?619512","חנוך לנער")</f>
        <v>חנוך לנער</v>
      </c>
    </row>
    <row r="16181" spans="1:6" x14ac:dyDescent="0.2">
      <c r="A16181" t="s">
        <v>26904</v>
      </c>
      <c r="B16181" t="s">
        <v>26904</v>
      </c>
      <c r="C16181" t="s">
        <v>1364</v>
      </c>
      <c r="D16181" t="s">
        <v>18023</v>
      </c>
      <c r="F16181" s="2" t="str">
        <f>HYPERLINK("http://www.otzar.org/book.asp?170170","חנוך לנער")</f>
        <v>חנוך לנער</v>
      </c>
    </row>
    <row r="16182" spans="1:6" x14ac:dyDescent="0.2">
      <c r="A16182" t="s">
        <v>26904</v>
      </c>
      <c r="B16182" t="s">
        <v>20652</v>
      </c>
      <c r="C16182" t="s">
        <v>558</v>
      </c>
      <c r="D16182" t="s">
        <v>6214</v>
      </c>
      <c r="F16182" s="2" t="str">
        <f>HYPERLINK("http://www.otzar.org/book.asp?192238","חנוך לנער")</f>
        <v>חנוך לנער</v>
      </c>
    </row>
    <row r="16183" spans="1:6" x14ac:dyDescent="0.2">
      <c r="A16183" t="s">
        <v>26906</v>
      </c>
      <c r="B16183" t="s">
        <v>16273</v>
      </c>
      <c r="C16183" t="s">
        <v>71</v>
      </c>
      <c r="D16183" t="s">
        <v>14</v>
      </c>
      <c r="E16183" t="s">
        <v>158</v>
      </c>
      <c r="F16183" s="2" t="str">
        <f>HYPERLINK("http://www.otzar.org/book.asp?171443","חנוך לנער - משלי")</f>
        <v>חנוך לנער - משלי</v>
      </c>
    </row>
    <row r="16184" spans="1:6" x14ac:dyDescent="0.2">
      <c r="A16184" t="s">
        <v>26904</v>
      </c>
      <c r="B16184" t="s">
        <v>8074</v>
      </c>
      <c r="C16184" t="s">
        <v>26907</v>
      </c>
      <c r="D16184" t="s">
        <v>157</v>
      </c>
      <c r="E16184" t="s">
        <v>219</v>
      </c>
      <c r="F16184" s="2" t="str">
        <f>HYPERLINK("http://www.otzar.org/book.asp?150480","חנוך לנער")</f>
        <v>חנוך לנער</v>
      </c>
    </row>
    <row r="16185" spans="1:6" x14ac:dyDescent="0.2">
      <c r="A16185" t="s">
        <v>26908</v>
      </c>
      <c r="B16185" t="s">
        <v>26909</v>
      </c>
      <c r="C16185" t="s">
        <v>180</v>
      </c>
      <c r="D16185" t="s">
        <v>52</v>
      </c>
      <c r="E16185" t="s">
        <v>1174</v>
      </c>
      <c r="F16185" s="2" t="str">
        <f>HYPERLINK("http://www.otzar.org/book.asp?180290","חנוך צאנז - 8 כר'")</f>
        <v>חנוך צאנז - 8 כר'</v>
      </c>
    </row>
    <row r="16186" spans="1:6" x14ac:dyDescent="0.2">
      <c r="A16186" t="s">
        <v>26910</v>
      </c>
      <c r="B16186" t="s">
        <v>7629</v>
      </c>
      <c r="C16186" t="s">
        <v>151</v>
      </c>
      <c r="D16186" t="s">
        <v>14</v>
      </c>
      <c r="F16186" s="2" t="str">
        <f>HYPERLINK("http://www.otzar.org/book.asp?616136","חנוכה בציון")</f>
        <v>חנוכה בציון</v>
      </c>
    </row>
    <row r="16187" spans="1:6" x14ac:dyDescent="0.2">
      <c r="A16187" t="s">
        <v>26911</v>
      </c>
      <c r="B16187" t="s">
        <v>5512</v>
      </c>
      <c r="C16187" t="s">
        <v>20</v>
      </c>
      <c r="D16187" t="s">
        <v>90</v>
      </c>
      <c r="E16187" t="s">
        <v>246</v>
      </c>
      <c r="F16187" s="2" t="str">
        <f>HYPERLINK("http://www.otzar.org/book.asp?611719","חנוכה דיליה")</f>
        <v>חנוכה דיליה</v>
      </c>
    </row>
    <row r="16188" spans="1:6" x14ac:dyDescent="0.2">
      <c r="A16188" t="s">
        <v>26912</v>
      </c>
      <c r="B16188" t="s">
        <v>26913</v>
      </c>
      <c r="C16188" t="s">
        <v>68</v>
      </c>
      <c r="D16188" t="s">
        <v>14</v>
      </c>
      <c r="F16188" s="2" t="str">
        <f>HYPERLINK("http://www.otzar.org/book.asp?182268","חנוכה עם ר""נ מברסלב")</f>
        <v>חנוכה עם ר"נ מברסלב</v>
      </c>
    </row>
    <row r="16189" spans="1:6" x14ac:dyDescent="0.2">
      <c r="A16189" t="s">
        <v>26914</v>
      </c>
      <c r="B16189" t="s">
        <v>107</v>
      </c>
      <c r="C16189" t="s">
        <v>111</v>
      </c>
      <c r="D16189" t="s">
        <v>14</v>
      </c>
      <c r="E16189" t="s">
        <v>246</v>
      </c>
      <c r="F16189" s="2" t="str">
        <f>HYPERLINK("http://www.otzar.org/book.asp?623488","חנוכה, צום עשרה בטבת, ט""ו בשבט")</f>
        <v>חנוכה, צום עשרה בטבת, ט"ו בשבט</v>
      </c>
    </row>
    <row r="16190" spans="1:6" x14ac:dyDescent="0.2">
      <c r="A16190" t="s">
        <v>26915</v>
      </c>
      <c r="B16190" t="s">
        <v>26916</v>
      </c>
      <c r="C16190" t="s">
        <v>68</v>
      </c>
      <c r="D16190" t="s">
        <v>14</v>
      </c>
      <c r="E16190" t="s">
        <v>202</v>
      </c>
      <c r="F16190" s="2" t="str">
        <f>HYPERLINK("http://www.otzar.org/book.asp?161895","חנוכת אברהם")</f>
        <v>חנוכת אברהם</v>
      </c>
    </row>
    <row r="16191" spans="1:6" x14ac:dyDescent="0.2">
      <c r="A16191" t="s">
        <v>26917</v>
      </c>
      <c r="B16191" t="s">
        <v>12079</v>
      </c>
      <c r="C16191" t="s">
        <v>366</v>
      </c>
      <c r="D16191" t="s">
        <v>14</v>
      </c>
      <c r="F16191" s="2" t="str">
        <f>HYPERLINK("http://www.otzar.org/book.asp?617006","חנוכת אברך")</f>
        <v>חנוכת אברך</v>
      </c>
    </row>
    <row r="16192" spans="1:6" x14ac:dyDescent="0.2">
      <c r="A16192" t="s">
        <v>26918</v>
      </c>
      <c r="B16192" t="s">
        <v>26919</v>
      </c>
      <c r="C16192" t="s">
        <v>523</v>
      </c>
      <c r="D16192" t="s">
        <v>21</v>
      </c>
      <c r="E16192" t="s">
        <v>15</v>
      </c>
      <c r="F16192" s="2" t="str">
        <f>HYPERLINK("http://www.otzar.org/book.asp?607253","חנוכת בית כנסת והכנסת ספר תורה")</f>
        <v>חנוכת בית כנסת והכנסת ספר תורה</v>
      </c>
    </row>
    <row r="16193" spans="1:6" x14ac:dyDescent="0.2">
      <c r="A16193" t="s">
        <v>26920</v>
      </c>
      <c r="B16193" t="s">
        <v>1390</v>
      </c>
      <c r="C16193" t="s">
        <v>146</v>
      </c>
      <c r="D16193" t="s">
        <v>27</v>
      </c>
      <c r="E16193" t="s">
        <v>3755</v>
      </c>
      <c r="F16193" s="2" t="str">
        <f>HYPERLINK("http://www.otzar.org/book.asp?83732","חנוכת הארון - 2 כר'")</f>
        <v>חנוכת הארון - 2 כר'</v>
      </c>
    </row>
    <row r="16194" spans="1:6" x14ac:dyDescent="0.2">
      <c r="A16194" t="s">
        <v>26921</v>
      </c>
      <c r="B16194" t="s">
        <v>26922</v>
      </c>
      <c r="C16194" t="s">
        <v>383</v>
      </c>
      <c r="D16194" t="s">
        <v>52</v>
      </c>
      <c r="E16194" t="s">
        <v>1517</v>
      </c>
      <c r="F16194" s="2" t="str">
        <f>HYPERLINK("http://www.otzar.org/book.asp?143554","חנוכת הבית &lt;מנורת זהב טהור&gt;")</f>
        <v>חנוכת הבית &lt;מנורת זהב טהור&gt;</v>
      </c>
    </row>
    <row r="16195" spans="1:6" x14ac:dyDescent="0.2">
      <c r="A16195" t="s">
        <v>26923</v>
      </c>
      <c r="B16195" t="s">
        <v>7693</v>
      </c>
      <c r="C16195" t="s">
        <v>411</v>
      </c>
      <c r="D16195" t="s">
        <v>14</v>
      </c>
      <c r="E16195" t="s">
        <v>219</v>
      </c>
      <c r="F16195" s="2" t="str">
        <f>HYPERLINK("http://www.otzar.org/book.asp?171650","חנוכת הבית לדוד")</f>
        <v>חנוכת הבית לדוד</v>
      </c>
    </row>
    <row r="16196" spans="1:6" x14ac:dyDescent="0.2">
      <c r="A16196" t="s">
        <v>26924</v>
      </c>
      <c r="B16196" t="s">
        <v>5203</v>
      </c>
      <c r="C16196" t="s">
        <v>1718</v>
      </c>
      <c r="D16196" t="s">
        <v>18023</v>
      </c>
      <c r="E16196" t="s">
        <v>130</v>
      </c>
      <c r="F16196" s="2" t="str">
        <f>HYPERLINK("http://www.otzar.org/book.asp?18821","חנוכת הבית לדוד - 2 כר'")</f>
        <v>חנוכת הבית לדוד - 2 כר'</v>
      </c>
    </row>
    <row r="16197" spans="1:6" x14ac:dyDescent="0.2">
      <c r="A16197" t="s">
        <v>26925</v>
      </c>
      <c r="B16197" t="s">
        <v>26926</v>
      </c>
      <c r="C16197" t="s">
        <v>411</v>
      </c>
      <c r="D16197" t="s">
        <v>147</v>
      </c>
      <c r="F16197" s="2" t="str">
        <f>HYPERLINK("http://www.otzar.org/book.asp?623186","חנוכת הבית")</f>
        <v>חנוכת הבית</v>
      </c>
    </row>
    <row r="16198" spans="1:6" x14ac:dyDescent="0.2">
      <c r="A16198" t="s">
        <v>26925</v>
      </c>
      <c r="B16198" t="s">
        <v>26927</v>
      </c>
      <c r="C16198" t="s">
        <v>10215</v>
      </c>
      <c r="D16198" t="s">
        <v>49</v>
      </c>
      <c r="E16198" t="s">
        <v>104</v>
      </c>
      <c r="F16198" s="2" t="str">
        <f>HYPERLINK("http://www.otzar.org/book.asp?142383","חנוכת הבית")</f>
        <v>חנוכת הבית</v>
      </c>
    </row>
    <row r="16199" spans="1:6" x14ac:dyDescent="0.2">
      <c r="A16199" t="s">
        <v>26925</v>
      </c>
      <c r="B16199" t="s">
        <v>10448</v>
      </c>
      <c r="C16199" t="s">
        <v>37</v>
      </c>
      <c r="D16199" t="s">
        <v>2375</v>
      </c>
      <c r="E16199" t="s">
        <v>130</v>
      </c>
      <c r="F16199" s="2" t="str">
        <f>HYPERLINK("http://www.otzar.org/book.asp?625558","חנוכת הבית")</f>
        <v>חנוכת הבית</v>
      </c>
    </row>
    <row r="16200" spans="1:6" x14ac:dyDescent="0.2">
      <c r="A16200" t="s">
        <v>26928</v>
      </c>
      <c r="B16200" t="s">
        <v>26929</v>
      </c>
      <c r="C16200" t="s">
        <v>366</v>
      </c>
      <c r="D16200" t="s">
        <v>5050</v>
      </c>
      <c r="E16200" t="s">
        <v>8385</v>
      </c>
      <c r="F16200" s="2" t="str">
        <f>HYPERLINK("http://www.otzar.org/book.asp?603477","חנוכת הבית - נישואין וימי החנוכה")</f>
        <v>חנוכת הבית - נישואין וימי החנוכה</v>
      </c>
    </row>
    <row r="16201" spans="1:6" x14ac:dyDescent="0.2">
      <c r="A16201" t="s">
        <v>26925</v>
      </c>
      <c r="B16201" t="s">
        <v>26930</v>
      </c>
      <c r="C16201" t="s">
        <v>775</v>
      </c>
      <c r="D16201" t="s">
        <v>14</v>
      </c>
      <c r="E16201" t="s">
        <v>15</v>
      </c>
      <c r="F16201" s="2" t="str">
        <f>HYPERLINK("http://www.otzar.org/book.asp?52654","חנוכת הבית")</f>
        <v>חנוכת הבית</v>
      </c>
    </row>
    <row r="16202" spans="1:6" x14ac:dyDescent="0.2">
      <c r="A16202" t="s">
        <v>26931</v>
      </c>
      <c r="B16202" t="s">
        <v>26932</v>
      </c>
      <c r="C16202" t="s">
        <v>1570</v>
      </c>
      <c r="D16202" t="s">
        <v>52</v>
      </c>
      <c r="E16202" t="s">
        <v>104</v>
      </c>
      <c r="F16202" s="2" t="str">
        <f>HYPERLINK("http://www.otzar.org/book.asp?62888","חנוכת הבית - 2 כר'")</f>
        <v>חנוכת הבית - 2 כר'</v>
      </c>
    </row>
    <row r="16203" spans="1:6" x14ac:dyDescent="0.2">
      <c r="A16203" t="s">
        <v>26933</v>
      </c>
      <c r="B16203" t="s">
        <v>26934</v>
      </c>
      <c r="C16203" t="s">
        <v>111</v>
      </c>
      <c r="D16203" t="s">
        <v>52</v>
      </c>
      <c r="E16203" t="s">
        <v>202</v>
      </c>
      <c r="F16203" s="2" t="str">
        <f>HYPERLINK("http://www.otzar.org/book.asp?626094","חנוכת המזבח")</f>
        <v>חנוכת המזבח</v>
      </c>
    </row>
    <row r="16204" spans="1:6" x14ac:dyDescent="0.2">
      <c r="A16204" t="s">
        <v>26935</v>
      </c>
      <c r="B16204" t="s">
        <v>25384</v>
      </c>
      <c r="C16204" t="s">
        <v>492</v>
      </c>
      <c r="D16204" t="s">
        <v>225</v>
      </c>
      <c r="E16204" t="s">
        <v>26936</v>
      </c>
      <c r="F16204" s="2" t="str">
        <f>HYPERLINK("http://www.otzar.org/book.asp?7566","חנוכת התורה")</f>
        <v>חנוכת התורה</v>
      </c>
    </row>
    <row r="16205" spans="1:6" x14ac:dyDescent="0.2">
      <c r="A16205" t="s">
        <v>26937</v>
      </c>
      <c r="B16205" t="s">
        <v>26938</v>
      </c>
      <c r="C16205" t="s">
        <v>129</v>
      </c>
      <c r="D16205" t="s">
        <v>52</v>
      </c>
      <c r="E16205" t="s">
        <v>144</v>
      </c>
      <c r="F16205" s="2" t="str">
        <f>HYPERLINK("http://www.otzar.org/book.asp?60180","חנוכת שלמה - 2 כר'")</f>
        <v>חנוכת שלמה - 2 כר'</v>
      </c>
    </row>
    <row r="16206" spans="1:6" x14ac:dyDescent="0.2">
      <c r="A16206" t="s">
        <v>26939</v>
      </c>
      <c r="B16206" t="s">
        <v>18321</v>
      </c>
      <c r="C16206" t="s">
        <v>13</v>
      </c>
      <c r="D16206" t="s">
        <v>90</v>
      </c>
      <c r="E16206" t="s">
        <v>246</v>
      </c>
      <c r="F16206" s="2" t="str">
        <f>HYPERLINK("http://www.otzar.org/book.asp?151095","חנוכת שמואל")</f>
        <v>חנוכת שמואל</v>
      </c>
    </row>
    <row r="16207" spans="1:6" x14ac:dyDescent="0.2">
      <c r="A16207" t="s">
        <v>26940</v>
      </c>
      <c r="B16207" t="s">
        <v>26941</v>
      </c>
      <c r="C16207" t="s">
        <v>908</v>
      </c>
      <c r="D16207" t="s">
        <v>1365</v>
      </c>
      <c r="E16207" t="s">
        <v>26942</v>
      </c>
      <c r="F16207" s="2" t="str">
        <f>HYPERLINK("http://www.otzar.org/book.asp?192237","חנינת בנימין")</f>
        <v>חנינת בנימין</v>
      </c>
    </row>
    <row r="16208" spans="1:6" x14ac:dyDescent="0.2">
      <c r="A16208" t="s">
        <v>26943</v>
      </c>
      <c r="B16208" t="s">
        <v>26944</v>
      </c>
      <c r="C16208" t="s">
        <v>133</v>
      </c>
      <c r="D16208" t="s">
        <v>9658</v>
      </c>
      <c r="E16208" t="s">
        <v>158</v>
      </c>
      <c r="F16208" s="2" t="str">
        <f>HYPERLINK("http://www.otzar.org/book.asp?194305","חנינת דוד")</f>
        <v>חנינת דוד</v>
      </c>
    </row>
    <row r="16209" spans="1:6" x14ac:dyDescent="0.2">
      <c r="A16209" t="s">
        <v>26945</v>
      </c>
      <c r="B16209" t="s">
        <v>26946</v>
      </c>
      <c r="C16209" t="s">
        <v>129</v>
      </c>
      <c r="D16209" t="s">
        <v>52</v>
      </c>
      <c r="E16209" t="s">
        <v>933</v>
      </c>
      <c r="F16209" s="2" t="str">
        <f>HYPERLINK("http://www.otzar.org/book.asp?142078","חנינת ישראל - 4 כר'")</f>
        <v>חנינת ישראל - 4 כר'</v>
      </c>
    </row>
    <row r="16210" spans="1:6" x14ac:dyDescent="0.2">
      <c r="A16210" t="s">
        <v>26947</v>
      </c>
      <c r="B16210" t="s">
        <v>3294</v>
      </c>
      <c r="C16210" t="s">
        <v>1458</v>
      </c>
      <c r="D16210" t="s">
        <v>1023</v>
      </c>
      <c r="E16210" t="s">
        <v>219</v>
      </c>
      <c r="F16210" s="2" t="str">
        <f>HYPERLINK("http://www.otzar.org/book.asp?168301","חנכת הבית")</f>
        <v>חנכת הבית</v>
      </c>
    </row>
    <row r="16211" spans="1:6" x14ac:dyDescent="0.2">
      <c r="A16211" t="s">
        <v>26948</v>
      </c>
      <c r="B16211" t="s">
        <v>26949</v>
      </c>
      <c r="C16211" t="s">
        <v>366</v>
      </c>
      <c r="D16211" t="s">
        <v>80</v>
      </c>
      <c r="F16211" s="2" t="str">
        <f>HYPERLINK("http://www.otzar.org/book.asp?609765","חנן דעה")</f>
        <v>חנן דעה</v>
      </c>
    </row>
    <row r="16212" spans="1:6" x14ac:dyDescent="0.2">
      <c r="A16212" t="s">
        <v>26950</v>
      </c>
      <c r="B16212" t="s">
        <v>26951</v>
      </c>
      <c r="C16212" t="s">
        <v>366</v>
      </c>
      <c r="D16212" t="s">
        <v>21</v>
      </c>
      <c r="E16212" t="s">
        <v>246</v>
      </c>
      <c r="F16212" s="2" t="str">
        <f>HYPERLINK("http://www.otzar.org/book.asp?607249","חנני אלוקים בזה")</f>
        <v>חנני אלוקים בזה</v>
      </c>
    </row>
    <row r="16213" spans="1:6" x14ac:dyDescent="0.2">
      <c r="A16213" t="s">
        <v>26952</v>
      </c>
      <c r="B16213" t="s">
        <v>26953</v>
      </c>
      <c r="C16213" t="s">
        <v>71</v>
      </c>
      <c r="D16213" t="s">
        <v>14</v>
      </c>
      <c r="E16213" t="s">
        <v>15</v>
      </c>
      <c r="F16213" s="2" t="str">
        <f>HYPERLINK("http://www.otzar.org/book.asp?159134","חנני אלוקים")</f>
        <v>חנני אלוקים</v>
      </c>
    </row>
    <row r="16214" spans="1:6" x14ac:dyDescent="0.2">
      <c r="A16214" t="s">
        <v>26954</v>
      </c>
      <c r="B16214" t="s">
        <v>26955</v>
      </c>
      <c r="C16214" t="s">
        <v>482</v>
      </c>
      <c r="D16214" t="s">
        <v>216</v>
      </c>
      <c r="E16214" t="s">
        <v>1235</v>
      </c>
      <c r="F16214" s="2" t="str">
        <f>HYPERLINK("http://www.otzar.org/book.asp?23718","חסד אברהם מנחם")</f>
        <v>חסד אברהם מנחם</v>
      </c>
    </row>
    <row r="16215" spans="1:6" x14ac:dyDescent="0.2">
      <c r="A16215" t="s">
        <v>26956</v>
      </c>
      <c r="B16215" t="s">
        <v>26957</v>
      </c>
      <c r="C16215" t="s">
        <v>2271</v>
      </c>
      <c r="D16215" t="s">
        <v>212</v>
      </c>
      <c r="E16215" t="s">
        <v>16980</v>
      </c>
      <c r="F16215" s="2" t="str">
        <f>HYPERLINK("http://www.otzar.org/book.asp?102465","חסד אל")</f>
        <v>חסד אל</v>
      </c>
    </row>
    <row r="16216" spans="1:6" x14ac:dyDescent="0.2">
      <c r="A16216" t="s">
        <v>26958</v>
      </c>
      <c r="B16216" t="s">
        <v>26959</v>
      </c>
      <c r="C16216" t="s">
        <v>725</v>
      </c>
      <c r="D16216" t="s">
        <v>14</v>
      </c>
      <c r="E16216" t="s">
        <v>154</v>
      </c>
      <c r="F16216" s="2" t="str">
        <f>HYPERLINK("http://www.otzar.org/book.asp?629253","חסד ה'")</f>
        <v>חסד ה'</v>
      </c>
    </row>
    <row r="16217" spans="1:6" x14ac:dyDescent="0.2">
      <c r="A16217" t="s">
        <v>26960</v>
      </c>
      <c r="B16217" t="s">
        <v>8510</v>
      </c>
      <c r="C16217" t="s">
        <v>146</v>
      </c>
      <c r="D16217" t="s">
        <v>21</v>
      </c>
      <c r="E16217" t="s">
        <v>3736</v>
      </c>
      <c r="F16217" s="2" t="str">
        <f>HYPERLINK("http://www.otzar.org/book.asp?197102","חסד ואמת &lt;מעי""ן רבי אליעזר&gt;")</f>
        <v>חסד ואמת &lt;מעי"ן רבי אליעזר&gt;</v>
      </c>
    </row>
    <row r="16218" spans="1:6" x14ac:dyDescent="0.2">
      <c r="A16218" t="s">
        <v>26961</v>
      </c>
      <c r="B16218" t="s">
        <v>1988</v>
      </c>
      <c r="C16218" t="s">
        <v>466</v>
      </c>
      <c r="D16218" t="s">
        <v>14</v>
      </c>
      <c r="E16218" t="s">
        <v>219</v>
      </c>
      <c r="F16218" s="2" t="str">
        <f>HYPERLINK("http://www.otzar.org/book.asp?155105","חסד ואמת השלם")</f>
        <v>חסד ואמת השלם</v>
      </c>
    </row>
    <row r="16219" spans="1:6" x14ac:dyDescent="0.2">
      <c r="A16219" t="s">
        <v>26962</v>
      </c>
      <c r="B16219" t="s">
        <v>11406</v>
      </c>
      <c r="C16219" t="s">
        <v>151</v>
      </c>
      <c r="D16219" t="s">
        <v>90</v>
      </c>
      <c r="E16219" t="s">
        <v>246</v>
      </c>
      <c r="F16219" s="2" t="str">
        <f>HYPERLINK("http://www.otzar.org/book.asp?629657","חסד ואמת נפגשו - סדר אושפיזין")</f>
        <v>חסד ואמת נפגשו - סדר אושפיזין</v>
      </c>
    </row>
    <row r="16220" spans="1:6" x14ac:dyDescent="0.2">
      <c r="A16220" t="s">
        <v>26963</v>
      </c>
      <c r="B16220" t="s">
        <v>26964</v>
      </c>
      <c r="C16220" t="s">
        <v>4144</v>
      </c>
      <c r="D16220" t="s">
        <v>1889</v>
      </c>
      <c r="E16220" t="s">
        <v>2879</v>
      </c>
      <c r="F16220" s="2" t="str">
        <f>HYPERLINK("http://www.otzar.org/book.asp?103043","חסד ואמת")</f>
        <v>חסד ואמת</v>
      </c>
    </row>
    <row r="16221" spans="1:6" x14ac:dyDescent="0.2">
      <c r="A16221" t="s">
        <v>26965</v>
      </c>
      <c r="B16221" t="s">
        <v>26966</v>
      </c>
      <c r="C16221" t="s">
        <v>12351</v>
      </c>
      <c r="D16221" t="s">
        <v>76</v>
      </c>
      <c r="E16221" t="s">
        <v>144</v>
      </c>
      <c r="F16221" s="2" t="str">
        <f>HYPERLINK("http://www.otzar.org/book.asp?108499","חסד ואמת - 2 כר'")</f>
        <v>חסד ואמת - 2 כר'</v>
      </c>
    </row>
    <row r="16222" spans="1:6" x14ac:dyDescent="0.2">
      <c r="A16222" t="s">
        <v>26963</v>
      </c>
      <c r="B16222" t="s">
        <v>1988</v>
      </c>
      <c r="C16222">
        <v>1976</v>
      </c>
      <c r="D16222" t="s">
        <v>118</v>
      </c>
      <c r="F16222" s="2" t="str">
        <f>HYPERLINK("http://www.otzar.org/book.asp?617030","חסד ואמת")</f>
        <v>חסד ואמת</v>
      </c>
    </row>
    <row r="16223" spans="1:6" x14ac:dyDescent="0.2">
      <c r="A16223" t="s">
        <v>26967</v>
      </c>
      <c r="B16223" t="s">
        <v>2667</v>
      </c>
      <c r="C16223" t="s">
        <v>189</v>
      </c>
      <c r="D16223" t="s">
        <v>245</v>
      </c>
      <c r="F16223" s="2" t="str">
        <f>HYPERLINK("http://www.otzar.org/book.asp?198002","חסד ומשפט אשירה")</f>
        <v>חסד ומשפט אשירה</v>
      </c>
    </row>
    <row r="16224" spans="1:6" x14ac:dyDescent="0.2">
      <c r="A16224" t="s">
        <v>26968</v>
      </c>
      <c r="B16224" t="s">
        <v>15689</v>
      </c>
      <c r="C16224" t="s">
        <v>20</v>
      </c>
      <c r="D16224" t="s">
        <v>3069</v>
      </c>
      <c r="E16224" t="s">
        <v>241</v>
      </c>
      <c r="F16224" s="2" t="str">
        <f>HYPERLINK("http://www.otzar.org/book.asp?162158","חסד ונתינה")</f>
        <v>חסד ונתינה</v>
      </c>
    </row>
    <row r="16225" spans="1:6" x14ac:dyDescent="0.2">
      <c r="A16225" t="s">
        <v>26969</v>
      </c>
      <c r="B16225" t="s">
        <v>26970</v>
      </c>
      <c r="C16225" t="s">
        <v>332</v>
      </c>
      <c r="D16225" t="s">
        <v>14</v>
      </c>
      <c r="E16225" t="s">
        <v>26971</v>
      </c>
      <c r="F16225" s="2" t="str">
        <f>HYPERLINK("http://www.otzar.org/book.asp?12867","חסד ורחמים")</f>
        <v>חסד ורחמים</v>
      </c>
    </row>
    <row r="16226" spans="1:6" x14ac:dyDescent="0.2">
      <c r="A16226" t="s">
        <v>26969</v>
      </c>
      <c r="B16226" t="s">
        <v>26972</v>
      </c>
      <c r="C16226" t="s">
        <v>103</v>
      </c>
      <c r="D16226" t="s">
        <v>423</v>
      </c>
      <c r="E16226" t="s">
        <v>2915</v>
      </c>
      <c r="F16226" s="2" t="str">
        <f>HYPERLINK("http://www.otzar.org/book.asp?160043","חסד ורחמים")</f>
        <v>חסד ורחמים</v>
      </c>
    </row>
    <row r="16227" spans="1:6" x14ac:dyDescent="0.2">
      <c r="A16227" t="s">
        <v>26973</v>
      </c>
      <c r="B16227" t="s">
        <v>26974</v>
      </c>
      <c r="C16227" t="s">
        <v>63</v>
      </c>
      <c r="D16227" t="s">
        <v>14</v>
      </c>
      <c r="E16227" t="s">
        <v>241</v>
      </c>
      <c r="F16227" s="2" t="str">
        <f>HYPERLINK("http://www.otzar.org/book.asp?6863","חסד חיים")</f>
        <v>חסד חיים</v>
      </c>
    </row>
    <row r="16228" spans="1:6" x14ac:dyDescent="0.2">
      <c r="A16228" t="s">
        <v>26975</v>
      </c>
      <c r="B16228" t="s">
        <v>26976</v>
      </c>
      <c r="C16228" t="s">
        <v>26977</v>
      </c>
      <c r="D16228" t="s">
        <v>9</v>
      </c>
      <c r="E16228" t="s">
        <v>791</v>
      </c>
      <c r="F16228" s="2" t="str">
        <f>HYPERLINK("http://www.otzar.org/book.asp?13792","חסד יהושע - 3 כר'")</f>
        <v>חסד יהושע - 3 כר'</v>
      </c>
    </row>
    <row r="16229" spans="1:6" x14ac:dyDescent="0.2">
      <c r="A16229" t="s">
        <v>26978</v>
      </c>
      <c r="B16229" t="s">
        <v>26979</v>
      </c>
      <c r="C16229" t="s">
        <v>332</v>
      </c>
      <c r="D16229" t="s">
        <v>216</v>
      </c>
      <c r="E16229" t="s">
        <v>10</v>
      </c>
      <c r="F16229" s="2" t="str">
        <f>HYPERLINK("http://www.otzar.org/book.asp?52565","חסד יצחק")</f>
        <v>חסד יצחק</v>
      </c>
    </row>
    <row r="16230" spans="1:6" x14ac:dyDescent="0.2">
      <c r="A16230" t="s">
        <v>26980</v>
      </c>
      <c r="B16230" t="s">
        <v>26981</v>
      </c>
      <c r="C16230" t="s">
        <v>1096</v>
      </c>
      <c r="D16230" t="s">
        <v>283</v>
      </c>
      <c r="E16230" t="s">
        <v>463</v>
      </c>
      <c r="F16230" s="2" t="str">
        <f>HYPERLINK("http://www.otzar.org/book.asp?15781","חסד לאברהם &lt;על התורה&gt;")</f>
        <v>חסד לאברהם &lt;על התורה&gt;</v>
      </c>
    </row>
    <row r="16231" spans="1:6" x14ac:dyDescent="0.2">
      <c r="A16231" t="s">
        <v>26982</v>
      </c>
      <c r="B16231" t="s">
        <v>26983</v>
      </c>
      <c r="C16231" t="s">
        <v>940</v>
      </c>
      <c r="D16231" t="s">
        <v>52</v>
      </c>
      <c r="F16231" s="2" t="str">
        <f>HYPERLINK("http://www.otzar.org/book.asp?618116","חסד לאברהם &lt;מגן לאברהם&gt;")</f>
        <v>חסד לאברהם &lt;מגן לאברהם&gt;</v>
      </c>
    </row>
    <row r="16232" spans="1:6" x14ac:dyDescent="0.2">
      <c r="A16232" t="s">
        <v>26984</v>
      </c>
      <c r="B16232" t="s">
        <v>1895</v>
      </c>
      <c r="C16232" t="s">
        <v>767</v>
      </c>
      <c r="D16232" t="s">
        <v>14</v>
      </c>
      <c r="E16232" t="s">
        <v>26985</v>
      </c>
      <c r="F16232" s="2" t="str">
        <f>HYPERLINK("http://www.otzar.org/book.asp?151889","חסד לאברהם &lt;מהדורה חדשה&gt;")</f>
        <v>חסד לאברהם &lt;מהדורה חדשה&gt;</v>
      </c>
    </row>
    <row r="16233" spans="1:6" x14ac:dyDescent="0.2">
      <c r="A16233" t="s">
        <v>26986</v>
      </c>
      <c r="B16233" t="s">
        <v>8281</v>
      </c>
      <c r="C16233" t="s">
        <v>2132</v>
      </c>
      <c r="D16233" t="s">
        <v>14</v>
      </c>
      <c r="E16233" t="s">
        <v>158</v>
      </c>
      <c r="F16233" s="2" t="str">
        <f>HYPERLINK("http://www.otzar.org/book.asp?168891","חסד לאברהם &lt;לך - ויחי&gt;")</f>
        <v>חסד לאברהם &lt;לך - ויחי&gt;</v>
      </c>
    </row>
    <row r="16234" spans="1:6" x14ac:dyDescent="0.2">
      <c r="A16234" t="s">
        <v>26987</v>
      </c>
      <c r="B16234" t="s">
        <v>8281</v>
      </c>
      <c r="C16234" t="s">
        <v>189</v>
      </c>
      <c r="D16234" t="s">
        <v>14</v>
      </c>
      <c r="E16234" t="s">
        <v>158</v>
      </c>
      <c r="F16234" s="2" t="str">
        <f>HYPERLINK("http://www.otzar.org/book.asp?153597","חסד לאברהם &lt;עשרה מאמרות  - מהדורה חדשה&gt;")</f>
        <v>חסד לאברהם &lt;עשרה מאמרות  - מהדורה חדשה&gt;</v>
      </c>
    </row>
    <row r="16235" spans="1:6" x14ac:dyDescent="0.2">
      <c r="A16235" t="s">
        <v>26988</v>
      </c>
      <c r="B16235" t="s">
        <v>8281</v>
      </c>
      <c r="C16235" t="s">
        <v>1718</v>
      </c>
      <c r="D16235" t="s">
        <v>8579</v>
      </c>
      <c r="E16235" t="s">
        <v>399</v>
      </c>
      <c r="F16235" s="2" t="str">
        <f>HYPERLINK("http://www.otzar.org/book.asp?15773","חסד לאברהם &lt;עשרה מאמרות&gt;")</f>
        <v>חסד לאברהם &lt;עשרה מאמרות&gt;</v>
      </c>
    </row>
    <row r="16236" spans="1:6" x14ac:dyDescent="0.2">
      <c r="A16236" t="s">
        <v>26989</v>
      </c>
      <c r="B16236" t="s">
        <v>8281</v>
      </c>
      <c r="C16236" t="s">
        <v>26990</v>
      </c>
      <c r="D16236" t="s">
        <v>14</v>
      </c>
      <c r="E16236" t="s">
        <v>158</v>
      </c>
      <c r="F16236" s="2" t="str">
        <f>HYPERLINK("http://www.otzar.org/book.asp?168892","חסד לאברהם &lt;שמות - בא&gt;")</f>
        <v>חסד לאברהם &lt;שמות - בא&gt;</v>
      </c>
    </row>
    <row r="16237" spans="1:6" x14ac:dyDescent="0.2">
      <c r="A16237" t="s">
        <v>26991</v>
      </c>
      <c r="B16237" t="s">
        <v>26992</v>
      </c>
      <c r="C16237" t="s">
        <v>1718</v>
      </c>
      <c r="D16237" t="s">
        <v>2181</v>
      </c>
      <c r="E16237" t="s">
        <v>84</v>
      </c>
      <c r="F16237" s="2" t="str">
        <f>HYPERLINK("http://www.otzar.org/book.asp?101965","חסד לאברהם &lt;על מסכת אבות&gt;")</f>
        <v>חסד לאברהם &lt;על מסכת אבות&gt;</v>
      </c>
    </row>
    <row r="16238" spans="1:6" x14ac:dyDescent="0.2">
      <c r="A16238" t="s">
        <v>26993</v>
      </c>
      <c r="B16238" t="s">
        <v>26994</v>
      </c>
      <c r="C16238" t="s">
        <v>270</v>
      </c>
      <c r="D16238" t="s">
        <v>1538</v>
      </c>
      <c r="E16238" t="s">
        <v>158</v>
      </c>
      <c r="F16238" s="2" t="str">
        <f>HYPERLINK("http://www.otzar.org/book.asp?104333","חסד לאברהם - 4 כר'")</f>
        <v>חסד לאברהם - 4 כר'</v>
      </c>
    </row>
    <row r="16239" spans="1:6" x14ac:dyDescent="0.2">
      <c r="A16239" t="s">
        <v>26995</v>
      </c>
      <c r="B16239" t="s">
        <v>26996</v>
      </c>
      <c r="C16239" t="s">
        <v>503</v>
      </c>
      <c r="D16239" t="s">
        <v>1538</v>
      </c>
      <c r="E16239" t="s">
        <v>84</v>
      </c>
      <c r="F16239" s="2" t="str">
        <f>HYPERLINK("http://www.otzar.org/book.asp?107353","חסד לאברהם")</f>
        <v>חסד לאברהם</v>
      </c>
    </row>
    <row r="16240" spans="1:6" x14ac:dyDescent="0.2">
      <c r="A16240" t="s">
        <v>26997</v>
      </c>
      <c r="B16240" t="s">
        <v>1895</v>
      </c>
      <c r="C16240" t="s">
        <v>2617</v>
      </c>
      <c r="D16240" t="s">
        <v>267</v>
      </c>
      <c r="E16240" t="s">
        <v>399</v>
      </c>
      <c r="F16240" s="2" t="str">
        <f>HYPERLINK("http://www.otzar.org/book.asp?23777","חסד לאברהם - 3 כר'")</f>
        <v>חסד לאברהם - 3 כר'</v>
      </c>
    </row>
    <row r="16241" spans="1:6" x14ac:dyDescent="0.2">
      <c r="A16241" t="s">
        <v>26998</v>
      </c>
      <c r="B16241" t="s">
        <v>23168</v>
      </c>
      <c r="C16241" t="s">
        <v>26999</v>
      </c>
      <c r="D16241" t="s">
        <v>76</v>
      </c>
      <c r="E16241" t="s">
        <v>154</v>
      </c>
      <c r="F16241" s="2" t="str">
        <f>HYPERLINK("http://www.otzar.org/book.asp?14146","חסד לאברהם - 2 כר'")</f>
        <v>חסד לאברהם - 2 כר'</v>
      </c>
    </row>
    <row r="16242" spans="1:6" x14ac:dyDescent="0.2">
      <c r="A16242" t="s">
        <v>26993</v>
      </c>
      <c r="B16242" t="s">
        <v>12183</v>
      </c>
      <c r="C16242" t="s">
        <v>10605</v>
      </c>
      <c r="D16242" t="s">
        <v>27</v>
      </c>
      <c r="E16242" t="s">
        <v>8413</v>
      </c>
      <c r="F16242" s="2" t="str">
        <f>HYPERLINK("http://www.otzar.org/book.asp?105011","חסד לאברהם - 4 כר'")</f>
        <v>חסד לאברהם - 4 כר'</v>
      </c>
    </row>
    <row r="16243" spans="1:6" x14ac:dyDescent="0.2">
      <c r="A16243" t="s">
        <v>27000</v>
      </c>
      <c r="B16243" t="s">
        <v>27001</v>
      </c>
      <c r="C16243" t="s">
        <v>20</v>
      </c>
      <c r="D16243" t="s">
        <v>2468</v>
      </c>
      <c r="E16243" t="s">
        <v>158</v>
      </c>
      <c r="F16243" s="2" t="str">
        <f>HYPERLINK("http://www.otzar.org/book.asp?610050","חסד לאברהם - בראשית")</f>
        <v>חסד לאברהם - בראשית</v>
      </c>
    </row>
    <row r="16244" spans="1:6" x14ac:dyDescent="0.2">
      <c r="A16244" t="s">
        <v>26995</v>
      </c>
      <c r="B16244" t="s">
        <v>27002</v>
      </c>
      <c r="C16244" t="s">
        <v>321</v>
      </c>
      <c r="D16244" t="s">
        <v>1008</v>
      </c>
      <c r="E16244" t="s">
        <v>435</v>
      </c>
      <c r="F16244" s="2" t="str">
        <f>HYPERLINK("http://www.otzar.org/book.asp?105012","חסד לאברהם")</f>
        <v>חסד לאברהם</v>
      </c>
    </row>
    <row r="16245" spans="1:6" x14ac:dyDescent="0.2">
      <c r="A16245" t="s">
        <v>26995</v>
      </c>
      <c r="B16245" t="s">
        <v>4945</v>
      </c>
      <c r="C16245" t="s">
        <v>946</v>
      </c>
      <c r="D16245" t="s">
        <v>225</v>
      </c>
      <c r="E16245" t="s">
        <v>241</v>
      </c>
      <c r="F16245" s="2" t="str">
        <f>HYPERLINK("http://www.otzar.org/book.asp?6394","חסד לאברהם")</f>
        <v>חסד לאברהם</v>
      </c>
    </row>
    <row r="16246" spans="1:6" x14ac:dyDescent="0.2">
      <c r="A16246" t="s">
        <v>27003</v>
      </c>
      <c r="B16246" t="s">
        <v>27004</v>
      </c>
      <c r="C16246" t="s">
        <v>13</v>
      </c>
      <c r="D16246" t="s">
        <v>12908</v>
      </c>
      <c r="E16246" t="s">
        <v>213</v>
      </c>
      <c r="F16246" s="2" t="str">
        <f>HYPERLINK("http://www.otzar.org/book.asp?62290","חסד לאברהם - 11 כר'")</f>
        <v>חסד לאברהם - 11 כר'</v>
      </c>
    </row>
    <row r="16247" spans="1:6" x14ac:dyDescent="0.2">
      <c r="A16247" t="s">
        <v>26995</v>
      </c>
      <c r="B16247" t="s">
        <v>23620</v>
      </c>
      <c r="C16247" t="s">
        <v>27005</v>
      </c>
      <c r="D16247" t="s">
        <v>27</v>
      </c>
      <c r="E16247" t="s">
        <v>241</v>
      </c>
      <c r="F16247" s="2" t="str">
        <f>HYPERLINK("http://www.otzar.org/book.asp?25465","חסד לאברהם")</f>
        <v>חסד לאברהם</v>
      </c>
    </row>
    <row r="16248" spans="1:6" x14ac:dyDescent="0.2">
      <c r="A16248" t="s">
        <v>26995</v>
      </c>
      <c r="B16248" t="s">
        <v>27006</v>
      </c>
      <c r="C16248" t="s">
        <v>20</v>
      </c>
      <c r="D16248" t="s">
        <v>14</v>
      </c>
      <c r="E16248" t="s">
        <v>202</v>
      </c>
      <c r="F16248" s="2" t="str">
        <f>HYPERLINK("http://www.otzar.org/book.asp?176838","חסד לאברהם")</f>
        <v>חסד לאברהם</v>
      </c>
    </row>
    <row r="16249" spans="1:6" x14ac:dyDescent="0.2">
      <c r="A16249" t="s">
        <v>26995</v>
      </c>
      <c r="B16249" t="s">
        <v>11886</v>
      </c>
      <c r="C16249" t="s">
        <v>13</v>
      </c>
      <c r="D16249" t="s">
        <v>486</v>
      </c>
      <c r="E16249" t="s">
        <v>579</v>
      </c>
      <c r="F16249" s="2" t="str">
        <f>HYPERLINK("http://www.otzar.org/book.asp?143433","חסד לאברהם")</f>
        <v>חסד לאברהם</v>
      </c>
    </row>
    <row r="16250" spans="1:6" x14ac:dyDescent="0.2">
      <c r="A16250" t="s">
        <v>26993</v>
      </c>
      <c r="B16250" t="s">
        <v>27007</v>
      </c>
      <c r="C16250" t="s">
        <v>411</v>
      </c>
      <c r="D16250" t="s">
        <v>14</v>
      </c>
      <c r="E16250" t="s">
        <v>84</v>
      </c>
      <c r="F16250" s="2" t="str">
        <f>HYPERLINK("http://www.otzar.org/book.asp?605687","חסד לאברהם - 4 כר'")</f>
        <v>חסד לאברהם - 4 כר'</v>
      </c>
    </row>
    <row r="16251" spans="1:6" x14ac:dyDescent="0.2">
      <c r="A16251" t="s">
        <v>26995</v>
      </c>
      <c r="B16251" t="s">
        <v>27008</v>
      </c>
      <c r="C16251" t="s">
        <v>114</v>
      </c>
      <c r="D16251" t="s">
        <v>52</v>
      </c>
      <c r="E16251" t="s">
        <v>202</v>
      </c>
      <c r="F16251" s="2" t="str">
        <f>HYPERLINK("http://www.otzar.org/book.asp?165445","חסד לאברהם")</f>
        <v>חסד לאברהם</v>
      </c>
    </row>
    <row r="16252" spans="1:6" x14ac:dyDescent="0.2">
      <c r="A16252" t="s">
        <v>26995</v>
      </c>
      <c r="B16252" t="s">
        <v>552</v>
      </c>
      <c r="C16252" t="s">
        <v>785</v>
      </c>
      <c r="D16252" t="s">
        <v>52</v>
      </c>
      <c r="E16252" t="s">
        <v>202</v>
      </c>
      <c r="F16252" s="2" t="str">
        <f>HYPERLINK("http://www.otzar.org/book.asp?12965","חסד לאברהם")</f>
        <v>חסד לאברהם</v>
      </c>
    </row>
    <row r="16253" spans="1:6" x14ac:dyDescent="0.2">
      <c r="A16253" t="s">
        <v>26995</v>
      </c>
      <c r="B16253" t="s">
        <v>16986</v>
      </c>
      <c r="C16253" t="s">
        <v>114</v>
      </c>
      <c r="D16253" t="s">
        <v>986</v>
      </c>
      <c r="E16253" t="s">
        <v>975</v>
      </c>
      <c r="F16253" s="2" t="str">
        <f>HYPERLINK("http://www.otzar.org/book.asp?605329","חסד לאברהם")</f>
        <v>חסד לאברהם</v>
      </c>
    </row>
    <row r="16254" spans="1:6" x14ac:dyDescent="0.2">
      <c r="A16254" t="s">
        <v>26998</v>
      </c>
      <c r="B16254" t="s">
        <v>27009</v>
      </c>
      <c r="C16254" t="s">
        <v>27010</v>
      </c>
      <c r="D16254" t="s">
        <v>225</v>
      </c>
      <c r="E16254" t="s">
        <v>2610</v>
      </c>
      <c r="F16254" s="2" t="str">
        <f>HYPERLINK("http://www.otzar.org/book.asp?7384","חסד לאברהם - 2 כר'")</f>
        <v>חסד לאברהם - 2 כר'</v>
      </c>
    </row>
    <row r="16255" spans="1:6" x14ac:dyDescent="0.2">
      <c r="A16255" t="s">
        <v>26995</v>
      </c>
      <c r="B16255" t="s">
        <v>12208</v>
      </c>
      <c r="C16255" t="s">
        <v>812</v>
      </c>
      <c r="D16255" t="s">
        <v>8939</v>
      </c>
      <c r="E16255" t="s">
        <v>5186</v>
      </c>
      <c r="F16255" s="2" t="str">
        <f>HYPERLINK("http://www.otzar.org/book.asp?7591","חסד לאברהם")</f>
        <v>חסד לאברהם</v>
      </c>
    </row>
    <row r="16256" spans="1:6" x14ac:dyDescent="0.2">
      <c r="A16256" t="s">
        <v>26997</v>
      </c>
      <c r="B16256" t="s">
        <v>27011</v>
      </c>
      <c r="C16256" t="s">
        <v>802</v>
      </c>
      <c r="D16256" t="s">
        <v>27012</v>
      </c>
      <c r="E16256" t="s">
        <v>154</v>
      </c>
      <c r="F16256" s="2" t="str">
        <f>HYPERLINK("http://www.otzar.org/book.asp?10994","חסד לאברהם - 3 כר'")</f>
        <v>חסד לאברהם - 3 כר'</v>
      </c>
    </row>
    <row r="16257" spans="1:6" x14ac:dyDescent="0.2">
      <c r="A16257" t="s">
        <v>27013</v>
      </c>
      <c r="B16257" t="s">
        <v>27014</v>
      </c>
      <c r="C16257" t="s">
        <v>2488</v>
      </c>
      <c r="D16257" t="s">
        <v>1411</v>
      </c>
      <c r="E16257" t="s">
        <v>219</v>
      </c>
      <c r="F16257" s="2" t="str">
        <f>HYPERLINK("http://www.otzar.org/book.asp?104255","חסד לאברהם - סידור")</f>
        <v>חסד לאברהם - סידור</v>
      </c>
    </row>
    <row r="16258" spans="1:6" x14ac:dyDescent="0.2">
      <c r="A16258" t="s">
        <v>26995</v>
      </c>
      <c r="B16258" t="s">
        <v>27015</v>
      </c>
      <c r="C16258" t="s">
        <v>5163</v>
      </c>
      <c r="D16258" t="s">
        <v>212</v>
      </c>
      <c r="E16258" t="s">
        <v>219</v>
      </c>
      <c r="F16258" s="2" t="str">
        <f>HYPERLINK("http://www.otzar.org/book.asp?104353","חסד לאברהם")</f>
        <v>חסד לאברהם</v>
      </c>
    </row>
    <row r="16259" spans="1:6" x14ac:dyDescent="0.2">
      <c r="A16259" t="s">
        <v>27016</v>
      </c>
      <c r="B16259" t="s">
        <v>5706</v>
      </c>
      <c r="C16259" t="s">
        <v>558</v>
      </c>
      <c r="D16259" t="s">
        <v>27</v>
      </c>
      <c r="E16259" t="s">
        <v>15</v>
      </c>
      <c r="F16259" s="2" t="str">
        <f>HYPERLINK("http://www.otzar.org/book.asp?143050","חסד לאלפים")</f>
        <v>חסד לאלפים</v>
      </c>
    </row>
    <row r="16260" spans="1:6" x14ac:dyDescent="0.2">
      <c r="A16260" t="s">
        <v>27017</v>
      </c>
      <c r="B16260" t="s">
        <v>4431</v>
      </c>
      <c r="C16260" t="s">
        <v>129</v>
      </c>
      <c r="D16260" t="s">
        <v>486</v>
      </c>
      <c r="E16260" t="s">
        <v>15</v>
      </c>
      <c r="F16260" s="2" t="str">
        <f>HYPERLINK("http://www.otzar.org/book.asp?53233","חסד לאלפים - 4 כר'")</f>
        <v>חסד לאלפים - 4 כר'</v>
      </c>
    </row>
    <row r="16261" spans="1:6" x14ac:dyDescent="0.2">
      <c r="A16261" t="s">
        <v>27018</v>
      </c>
      <c r="B16261" t="s">
        <v>27019</v>
      </c>
      <c r="C16261" t="s">
        <v>68</v>
      </c>
      <c r="D16261" t="s">
        <v>367</v>
      </c>
      <c r="E16261" t="s">
        <v>144</v>
      </c>
      <c r="F16261" s="2" t="str">
        <f>HYPERLINK("http://www.otzar.org/book.asp?168493","חסד לשמואל - א")</f>
        <v>חסד לשמואל - א</v>
      </c>
    </row>
    <row r="16262" spans="1:6" x14ac:dyDescent="0.2">
      <c r="A16262" t="s">
        <v>27020</v>
      </c>
      <c r="B16262" t="s">
        <v>27021</v>
      </c>
      <c r="C16262" t="s">
        <v>21898</v>
      </c>
      <c r="D16262" t="s">
        <v>1023</v>
      </c>
      <c r="E16262" t="s">
        <v>158</v>
      </c>
      <c r="F16262" s="2" t="str">
        <f>HYPERLINK("http://www.otzar.org/book.asp?24542","חסד שמו אל")</f>
        <v>חסד שמו אל</v>
      </c>
    </row>
    <row r="16263" spans="1:6" x14ac:dyDescent="0.2">
      <c r="A16263" t="s">
        <v>27022</v>
      </c>
      <c r="B16263" t="s">
        <v>1308</v>
      </c>
      <c r="C16263" t="s">
        <v>1663</v>
      </c>
      <c r="D16263" t="s">
        <v>27</v>
      </c>
      <c r="E16263" t="s">
        <v>84</v>
      </c>
      <c r="F16263" s="2" t="str">
        <f>HYPERLINK("http://www.otzar.org/book.asp?9127","חסדי אבות וראשי אבות")</f>
        <v>חסדי אבות וראשי אבות</v>
      </c>
    </row>
    <row r="16264" spans="1:6" x14ac:dyDescent="0.2">
      <c r="A16264" t="s">
        <v>27023</v>
      </c>
      <c r="B16264" t="s">
        <v>599</v>
      </c>
      <c r="C16264" t="s">
        <v>1954</v>
      </c>
      <c r="D16264" t="s">
        <v>27</v>
      </c>
      <c r="E16264" t="s">
        <v>3785</v>
      </c>
      <c r="F16264" s="2" t="str">
        <f>HYPERLINK("http://www.otzar.org/book.asp?16496","חסדי אבות על פרקי אבות")</f>
        <v>חסדי אבות על פרקי אבות</v>
      </c>
    </row>
    <row r="16265" spans="1:6" x14ac:dyDescent="0.2">
      <c r="A16265" t="s">
        <v>27024</v>
      </c>
      <c r="B16265" t="s">
        <v>27025</v>
      </c>
      <c r="C16265" t="s">
        <v>617</v>
      </c>
      <c r="D16265" t="s">
        <v>56</v>
      </c>
      <c r="E16265" t="s">
        <v>84</v>
      </c>
      <c r="F16265" s="2" t="str">
        <f>HYPERLINK("http://www.otzar.org/book.asp?23494","חסדי אבות")</f>
        <v>חסדי אבות</v>
      </c>
    </row>
    <row r="16266" spans="1:6" x14ac:dyDescent="0.2">
      <c r="A16266" t="s">
        <v>27024</v>
      </c>
      <c r="B16266" t="s">
        <v>22745</v>
      </c>
      <c r="C16266" t="s">
        <v>4087</v>
      </c>
      <c r="D16266" t="s">
        <v>60</v>
      </c>
      <c r="E16266" t="s">
        <v>27026</v>
      </c>
      <c r="F16266" s="2" t="str">
        <f>HYPERLINK("http://www.otzar.org/book.asp?151661","חסדי אבות")</f>
        <v>חסדי אבות</v>
      </c>
    </row>
    <row r="16267" spans="1:6" x14ac:dyDescent="0.2">
      <c r="A16267" t="s">
        <v>27024</v>
      </c>
      <c r="B16267" t="s">
        <v>1308</v>
      </c>
      <c r="C16267" t="s">
        <v>8</v>
      </c>
      <c r="D16267" t="s">
        <v>2313</v>
      </c>
      <c r="E16267" t="s">
        <v>84</v>
      </c>
      <c r="F16267" s="2" t="str">
        <f>HYPERLINK("http://www.otzar.org/book.asp?172479","חסדי אבות")</f>
        <v>חסדי אבות</v>
      </c>
    </row>
    <row r="16268" spans="1:6" x14ac:dyDescent="0.2">
      <c r="A16268" t="s">
        <v>27027</v>
      </c>
      <c r="B16268" t="s">
        <v>23580</v>
      </c>
      <c r="C16268" t="s">
        <v>946</v>
      </c>
      <c r="D16268" t="s">
        <v>100</v>
      </c>
      <c r="E16268" t="s">
        <v>84</v>
      </c>
      <c r="F16268" s="2" t="str">
        <f>HYPERLINK("http://www.otzar.org/book.asp?149573","חסדי אבות - 2 כר'")</f>
        <v>חסדי אבות - 2 כר'</v>
      </c>
    </row>
    <row r="16269" spans="1:6" x14ac:dyDescent="0.2">
      <c r="A16269" t="s">
        <v>27024</v>
      </c>
      <c r="B16269" t="s">
        <v>27028</v>
      </c>
      <c r="C16269" t="s">
        <v>13</v>
      </c>
      <c r="D16269" t="s">
        <v>14</v>
      </c>
      <c r="E16269" t="s">
        <v>119</v>
      </c>
      <c r="F16269" s="2" t="str">
        <f>HYPERLINK("http://www.otzar.org/book.asp?149786","חסדי אבות")</f>
        <v>חסדי אבות</v>
      </c>
    </row>
    <row r="16270" spans="1:6" x14ac:dyDescent="0.2">
      <c r="A16270" t="s">
        <v>27024</v>
      </c>
      <c r="B16270" t="s">
        <v>27029</v>
      </c>
      <c r="C16270" t="s">
        <v>27030</v>
      </c>
      <c r="D16270" t="s">
        <v>1490</v>
      </c>
      <c r="E16270" t="s">
        <v>84</v>
      </c>
      <c r="F16270" s="2" t="str">
        <f>HYPERLINK("http://www.otzar.org/book.asp?50885","חסדי אבות")</f>
        <v>חסדי אבות</v>
      </c>
    </row>
    <row r="16271" spans="1:6" x14ac:dyDescent="0.2">
      <c r="A16271" t="s">
        <v>27024</v>
      </c>
      <c r="B16271" t="s">
        <v>27031</v>
      </c>
      <c r="C16271" t="s">
        <v>496</v>
      </c>
      <c r="D16271" t="s">
        <v>56</v>
      </c>
      <c r="E16271" t="s">
        <v>84</v>
      </c>
      <c r="F16271" s="2" t="str">
        <f>HYPERLINK("http://www.otzar.org/book.asp?24544","חסדי אבות")</f>
        <v>חסדי אבות</v>
      </c>
    </row>
    <row r="16272" spans="1:6" x14ac:dyDescent="0.2">
      <c r="A16272" t="s">
        <v>27024</v>
      </c>
      <c r="B16272" t="s">
        <v>27032</v>
      </c>
      <c r="C16272" t="s">
        <v>728</v>
      </c>
      <c r="D16272" t="s">
        <v>267</v>
      </c>
      <c r="E16272" t="s">
        <v>27033</v>
      </c>
      <c r="F16272" s="2" t="str">
        <f>HYPERLINK("http://www.otzar.org/book.asp?18823","חסדי אבות")</f>
        <v>חסדי אבות</v>
      </c>
    </row>
    <row r="16273" spans="1:6" x14ac:dyDescent="0.2">
      <c r="A16273" t="s">
        <v>27034</v>
      </c>
      <c r="B16273" t="s">
        <v>4977</v>
      </c>
      <c r="C16273" t="s">
        <v>20</v>
      </c>
      <c r="D16273" t="s">
        <v>14</v>
      </c>
      <c r="E16273" t="s">
        <v>84</v>
      </c>
      <c r="F16273" s="2" t="str">
        <f>HYPERLINK("http://www.otzar.org/book.asp?153427","חסדי אבות - 3 כר'")</f>
        <v>חסדי אבות - 3 כר'</v>
      </c>
    </row>
    <row r="16274" spans="1:6" x14ac:dyDescent="0.2">
      <c r="A16274" t="s">
        <v>27035</v>
      </c>
      <c r="B16274" t="s">
        <v>27036</v>
      </c>
      <c r="C16274" t="s">
        <v>244</v>
      </c>
      <c r="D16274" t="s">
        <v>90</v>
      </c>
      <c r="E16274" t="s">
        <v>104</v>
      </c>
      <c r="F16274" s="2" t="str">
        <f>HYPERLINK("http://www.otzar.org/book.asp?600818","חסדי אליעזר")</f>
        <v>חסדי אליעזר</v>
      </c>
    </row>
    <row r="16275" spans="1:6" x14ac:dyDescent="0.2">
      <c r="A16275" t="s">
        <v>27037</v>
      </c>
      <c r="B16275" t="s">
        <v>27038</v>
      </c>
      <c r="C16275" t="s">
        <v>27039</v>
      </c>
      <c r="D16275" t="s">
        <v>212</v>
      </c>
      <c r="E16275" t="s">
        <v>43</v>
      </c>
      <c r="F16275" s="2" t="str">
        <f>HYPERLINK("http://www.otzar.org/book.asp?6944","חסדי דוד &lt;תוספתא&gt; - 13 כר'")</f>
        <v>חסדי דוד &lt;תוספתא&gt; - 13 כר'</v>
      </c>
    </row>
    <row r="16276" spans="1:6" x14ac:dyDescent="0.2">
      <c r="A16276" t="s">
        <v>27040</v>
      </c>
      <c r="B16276" t="s">
        <v>1728</v>
      </c>
      <c r="C16276" t="s">
        <v>27041</v>
      </c>
      <c r="D16276" t="s">
        <v>273</v>
      </c>
      <c r="E16276" t="s">
        <v>399</v>
      </c>
      <c r="F16276" s="2" t="str">
        <f>HYPERLINK("http://www.otzar.org/book.asp?626849","חסדי דוד הנאמנים - 12 כר'")</f>
        <v>חסדי דוד הנאמנים - 12 כר'</v>
      </c>
    </row>
    <row r="16277" spans="1:6" x14ac:dyDescent="0.2">
      <c r="A16277" t="s">
        <v>27042</v>
      </c>
      <c r="B16277" t="s">
        <v>27043</v>
      </c>
      <c r="C16277" t="s">
        <v>411</v>
      </c>
      <c r="D16277" t="s">
        <v>27044</v>
      </c>
      <c r="E16277" t="s">
        <v>144</v>
      </c>
      <c r="F16277" s="2" t="str">
        <f>HYPERLINK("http://www.otzar.org/book.asp?601471","חסדי דוד - 2 כר'")</f>
        <v>חסדי דוד - 2 כר'</v>
      </c>
    </row>
    <row r="16278" spans="1:6" x14ac:dyDescent="0.2">
      <c r="A16278" t="s">
        <v>27045</v>
      </c>
      <c r="B16278" t="s">
        <v>27046</v>
      </c>
      <c r="C16278" t="s">
        <v>1470</v>
      </c>
      <c r="D16278" t="s">
        <v>1889</v>
      </c>
      <c r="E16278" t="s">
        <v>234</v>
      </c>
      <c r="F16278" s="2" t="str">
        <f>HYPERLINK("http://www.otzar.org/book.asp?162205","חסדי דוד")</f>
        <v>חסדי דוד</v>
      </c>
    </row>
    <row r="16279" spans="1:6" x14ac:dyDescent="0.2">
      <c r="A16279" t="s">
        <v>27045</v>
      </c>
      <c r="B16279" t="s">
        <v>10351</v>
      </c>
      <c r="C16279" t="s">
        <v>466</v>
      </c>
      <c r="D16279" t="s">
        <v>486</v>
      </c>
      <c r="E16279" t="s">
        <v>579</v>
      </c>
      <c r="F16279" s="2" t="str">
        <f>HYPERLINK("http://www.otzar.org/book.asp?25714","חסדי דוד")</f>
        <v>חסדי דוד</v>
      </c>
    </row>
    <row r="16280" spans="1:6" x14ac:dyDescent="0.2">
      <c r="A16280" t="s">
        <v>27045</v>
      </c>
      <c r="B16280" t="s">
        <v>27047</v>
      </c>
      <c r="C16280" t="s">
        <v>63</v>
      </c>
      <c r="D16280" t="s">
        <v>3208</v>
      </c>
      <c r="F16280" s="2" t="str">
        <f>HYPERLINK("http://www.otzar.org/book.asp?617059","חסדי דוד")</f>
        <v>חסדי דוד</v>
      </c>
    </row>
    <row r="16281" spans="1:6" x14ac:dyDescent="0.2">
      <c r="A16281" t="s">
        <v>27045</v>
      </c>
      <c r="B16281" t="s">
        <v>27048</v>
      </c>
      <c r="C16281" t="s">
        <v>812</v>
      </c>
      <c r="D16281" t="s">
        <v>27049</v>
      </c>
      <c r="E16281" t="s">
        <v>172</v>
      </c>
      <c r="F16281" s="2" t="str">
        <f>HYPERLINK("http://www.otzar.org/book.asp?107382","חסדי דוד")</f>
        <v>חסדי דוד</v>
      </c>
    </row>
    <row r="16282" spans="1:6" x14ac:dyDescent="0.2">
      <c r="A16282" t="s">
        <v>27050</v>
      </c>
      <c r="B16282" t="s">
        <v>27051</v>
      </c>
      <c r="C16282" t="s">
        <v>466</v>
      </c>
      <c r="D16282" t="s">
        <v>2375</v>
      </c>
      <c r="E16282" t="s">
        <v>27052</v>
      </c>
      <c r="F16282" s="2" t="str">
        <f>HYPERLINK("http://www.otzar.org/book.asp?159139","חסדי ה'")</f>
        <v>חסדי ה'</v>
      </c>
    </row>
    <row r="16283" spans="1:6" x14ac:dyDescent="0.2">
      <c r="A16283" t="s">
        <v>27050</v>
      </c>
      <c r="B16283" t="s">
        <v>3673</v>
      </c>
      <c r="C16283" t="s">
        <v>908</v>
      </c>
      <c r="D16283" t="s">
        <v>27</v>
      </c>
      <c r="E16283" t="s">
        <v>234</v>
      </c>
      <c r="F16283" s="2" t="str">
        <f>HYPERLINK("http://www.otzar.org/book.asp?153551","חסדי ה'")</f>
        <v>חסדי ה'</v>
      </c>
    </row>
    <row r="16284" spans="1:6" x14ac:dyDescent="0.2">
      <c r="A16284" t="s">
        <v>27053</v>
      </c>
      <c r="B16284" t="s">
        <v>27054</v>
      </c>
      <c r="C16284" t="s">
        <v>129</v>
      </c>
      <c r="D16284" t="s">
        <v>14</v>
      </c>
      <c r="E16284" t="s">
        <v>158</v>
      </c>
      <c r="F16284" s="2" t="str">
        <f>HYPERLINK("http://www.otzar.org/book.asp?152500","חסדי ה' - 3 כר'")</f>
        <v>חסדי ה' - 3 כר'</v>
      </c>
    </row>
    <row r="16285" spans="1:6" x14ac:dyDescent="0.2">
      <c r="A16285" t="s">
        <v>27055</v>
      </c>
      <c r="B16285" t="s">
        <v>27056</v>
      </c>
      <c r="C16285" t="s">
        <v>68</v>
      </c>
      <c r="D16285" t="s">
        <v>412</v>
      </c>
      <c r="E16285" t="s">
        <v>158</v>
      </c>
      <c r="F16285" s="2" t="str">
        <f>HYPERLINK("http://www.otzar.org/book.asp?626633","חסדי השם על התורה - 5 כר'")</f>
        <v>חסדי השם על התורה - 5 כר'</v>
      </c>
    </row>
    <row r="16286" spans="1:6" x14ac:dyDescent="0.2">
      <c r="A16286" t="s">
        <v>27057</v>
      </c>
      <c r="B16286" t="s">
        <v>27056</v>
      </c>
      <c r="C16286" t="s">
        <v>37</v>
      </c>
      <c r="D16286" t="s">
        <v>412</v>
      </c>
      <c r="E16286" t="s">
        <v>144</v>
      </c>
      <c r="F16286" s="2" t="str">
        <f>HYPERLINK("http://www.otzar.org/book.asp?605748","חסדי השם על עין יעקב - 12 כר'")</f>
        <v>חסדי השם על עין יעקב - 12 כר'</v>
      </c>
    </row>
    <row r="16287" spans="1:6" x14ac:dyDescent="0.2">
      <c r="A16287" t="s">
        <v>27058</v>
      </c>
      <c r="B16287" t="s">
        <v>27056</v>
      </c>
      <c r="C16287" t="s">
        <v>454</v>
      </c>
      <c r="D16287" t="s">
        <v>412</v>
      </c>
      <c r="E16287" t="s">
        <v>158</v>
      </c>
      <c r="F16287" s="2" t="str">
        <f>HYPERLINK("http://www.otzar.org/book.asp?106898","חסדי השם - 4 כר'")</f>
        <v>חסדי השם - 4 כר'</v>
      </c>
    </row>
    <row r="16288" spans="1:6" x14ac:dyDescent="0.2">
      <c r="A16288" t="s">
        <v>27059</v>
      </c>
      <c r="B16288" t="s">
        <v>776</v>
      </c>
      <c r="C16288" t="s">
        <v>3840</v>
      </c>
      <c r="D16288" t="s">
        <v>27</v>
      </c>
      <c r="E16288" t="s">
        <v>241</v>
      </c>
      <c r="F16288" s="2" t="str">
        <f>HYPERLINK("http://www.otzar.org/book.asp?179232","חסדי חן")</f>
        <v>חסדי חן</v>
      </c>
    </row>
    <row r="16289" spans="1:6" x14ac:dyDescent="0.2">
      <c r="A16289" t="s">
        <v>27060</v>
      </c>
      <c r="B16289" t="s">
        <v>1990</v>
      </c>
      <c r="C16289" t="s">
        <v>748</v>
      </c>
      <c r="D16289" t="s">
        <v>225</v>
      </c>
      <c r="E16289" t="s">
        <v>2533</v>
      </c>
      <c r="F16289" s="2" t="str">
        <f>HYPERLINK("http://www.otzar.org/book.asp?101428","חסדי יהונתן")</f>
        <v>חסדי יהונתן</v>
      </c>
    </row>
    <row r="16290" spans="1:6" x14ac:dyDescent="0.2">
      <c r="A16290" t="s">
        <v>27061</v>
      </c>
      <c r="B16290" t="s">
        <v>3673</v>
      </c>
      <c r="C16290" t="s">
        <v>908</v>
      </c>
      <c r="D16290" t="s">
        <v>9</v>
      </c>
      <c r="E16290" t="s">
        <v>241</v>
      </c>
      <c r="F16290" s="2" t="str">
        <f>HYPERLINK("http://www.otzar.org/book.asp?6257","חסדי יי")</f>
        <v>חסדי יי</v>
      </c>
    </row>
    <row r="16291" spans="1:6" x14ac:dyDescent="0.2">
      <c r="A16291" t="s">
        <v>27062</v>
      </c>
      <c r="B16291" t="s">
        <v>8499</v>
      </c>
      <c r="C16291" t="s">
        <v>244</v>
      </c>
      <c r="D16291" t="s">
        <v>412</v>
      </c>
      <c r="F16291" s="2" t="str">
        <f>HYPERLINK("http://www.otzar.org/book.asp?601087","חסדך מחיים")</f>
        <v>חסדך מחיים</v>
      </c>
    </row>
    <row r="16292" spans="1:6" x14ac:dyDescent="0.2">
      <c r="A16292" t="s">
        <v>27063</v>
      </c>
      <c r="B16292" t="s">
        <v>27064</v>
      </c>
      <c r="C16292" t="s">
        <v>20</v>
      </c>
      <c r="D16292" t="s">
        <v>412</v>
      </c>
      <c r="E16292" t="s">
        <v>393</v>
      </c>
      <c r="F16292" s="2" t="str">
        <f>HYPERLINK("http://www.otzar.org/book.asp?180925","חסידות חב""ד")</f>
        <v>חסידות חב"ד</v>
      </c>
    </row>
    <row r="16293" spans="1:6" x14ac:dyDescent="0.2">
      <c r="A16293" t="s">
        <v>27065</v>
      </c>
      <c r="B16293" t="s">
        <v>3464</v>
      </c>
      <c r="C16293" t="s">
        <v>366</v>
      </c>
      <c r="D16293" t="s">
        <v>1180</v>
      </c>
      <c r="F16293" s="2" t="str">
        <f>HYPERLINK("http://www.otzar.org/book.asp?619820","חסידות מפורשת - 3 כר'")</f>
        <v>חסידות מפורשת - 3 כר'</v>
      </c>
    </row>
    <row r="16294" spans="1:6" x14ac:dyDescent="0.2">
      <c r="A16294" t="s">
        <v>27066</v>
      </c>
      <c r="B16294" t="s">
        <v>27067</v>
      </c>
      <c r="C16294" t="s">
        <v>1609</v>
      </c>
      <c r="D16294" t="s">
        <v>27</v>
      </c>
      <c r="E16294" t="s">
        <v>119</v>
      </c>
      <c r="F16294" s="2" t="str">
        <f>HYPERLINK("http://www.otzar.org/book.asp?18825","חסידות ספינקא ואדמוריה")</f>
        <v>חסידות ספינקא ואדמוריה</v>
      </c>
    </row>
    <row r="16295" spans="1:6" x14ac:dyDescent="0.2">
      <c r="A16295" t="s">
        <v>27068</v>
      </c>
      <c r="B16295" t="s">
        <v>6984</v>
      </c>
      <c r="C16295" t="s">
        <v>20</v>
      </c>
      <c r="D16295" t="s">
        <v>14</v>
      </c>
      <c r="E16295" t="s">
        <v>703</v>
      </c>
      <c r="F16295" s="2" t="str">
        <f>HYPERLINK("http://www.otzar.org/book.asp?23106","חסידות - 22 כר'")</f>
        <v>חסידות - 22 כר'</v>
      </c>
    </row>
    <row r="16296" spans="1:6" x14ac:dyDescent="0.2">
      <c r="A16296" t="s">
        <v>27069</v>
      </c>
      <c r="B16296" t="s">
        <v>27070</v>
      </c>
      <c r="C16296" t="s">
        <v>37</v>
      </c>
      <c r="D16296" t="s">
        <v>52</v>
      </c>
      <c r="F16296" s="2" t="str">
        <f>HYPERLINK("http://www.otzar.org/book.asp?198356","חסידים דערציילן - א")</f>
        <v>חסידים דערציילן - א</v>
      </c>
    </row>
    <row r="16297" spans="1:6" x14ac:dyDescent="0.2">
      <c r="A16297" t="s">
        <v>27071</v>
      </c>
      <c r="B16297" t="s">
        <v>5810</v>
      </c>
      <c r="C16297" t="s">
        <v>2870</v>
      </c>
      <c r="D16297" t="s">
        <v>3627</v>
      </c>
      <c r="E16297" t="s">
        <v>119</v>
      </c>
      <c r="F16297" s="2" t="str">
        <f>HYPERLINK("http://www.otzar.org/book.asp?145323","חסידים הראשונים")</f>
        <v>חסידים הראשונים</v>
      </c>
    </row>
    <row r="16298" spans="1:6" x14ac:dyDescent="0.2">
      <c r="A16298" t="s">
        <v>27072</v>
      </c>
      <c r="B16298" t="s">
        <v>10446</v>
      </c>
      <c r="C16298" t="s">
        <v>21480</v>
      </c>
      <c r="D16298" t="s">
        <v>27</v>
      </c>
      <c r="E16298" t="s">
        <v>741</v>
      </c>
      <c r="F16298" s="2" t="str">
        <f>HYPERLINK("http://www.otzar.org/book.asp?144191","חסידים מספרים - 3 כר'")</f>
        <v>חסידים מספרים - 3 כר'</v>
      </c>
    </row>
    <row r="16299" spans="1:6" x14ac:dyDescent="0.2">
      <c r="A16299" t="s">
        <v>27073</v>
      </c>
      <c r="B16299" t="s">
        <v>27074</v>
      </c>
      <c r="C16299" t="s">
        <v>1663</v>
      </c>
      <c r="D16299" t="s">
        <v>216</v>
      </c>
      <c r="E16299" t="s">
        <v>741</v>
      </c>
      <c r="F16299" s="2" t="str">
        <f>HYPERLINK("http://www.otzar.org/book.asp?156986","חסידישע מעשיות")</f>
        <v>חסידישע מעשיות</v>
      </c>
    </row>
    <row r="16300" spans="1:6" x14ac:dyDescent="0.2">
      <c r="A16300" t="s">
        <v>27073</v>
      </c>
      <c r="B16300" t="s">
        <v>24757</v>
      </c>
      <c r="C16300" t="s">
        <v>1663</v>
      </c>
      <c r="D16300" t="s">
        <v>216</v>
      </c>
      <c r="E16300" t="s">
        <v>119</v>
      </c>
      <c r="F16300" s="2" t="str">
        <f>HYPERLINK("http://www.otzar.org/book.asp?174561","חסידישע מעשיות")</f>
        <v>חסידישע מעשיות</v>
      </c>
    </row>
    <row r="16301" spans="1:6" x14ac:dyDescent="0.2">
      <c r="A16301" t="s">
        <v>27075</v>
      </c>
      <c r="B16301" t="s">
        <v>27076</v>
      </c>
      <c r="C16301" t="s">
        <v>4907</v>
      </c>
      <c r="D16301" t="s">
        <v>76</v>
      </c>
      <c r="E16301" t="s">
        <v>148</v>
      </c>
      <c r="F16301" s="2" t="str">
        <f>HYPERLINK("http://www.otzar.org/book.asp?145431","חסן ישועות")</f>
        <v>חסן ישועות</v>
      </c>
    </row>
    <row r="16302" spans="1:6" x14ac:dyDescent="0.2">
      <c r="A16302" t="s">
        <v>27077</v>
      </c>
      <c r="B16302" t="s">
        <v>27078</v>
      </c>
      <c r="C16302" t="s">
        <v>356</v>
      </c>
      <c r="D16302" t="s">
        <v>21</v>
      </c>
      <c r="F16302" s="2" t="str">
        <f>HYPERLINK("http://www.otzar.org/book.asp?614547","חסר ומלא בתנ""ך")</f>
        <v>חסר ומלא בתנ"ך</v>
      </c>
    </row>
    <row r="16303" spans="1:6" x14ac:dyDescent="0.2">
      <c r="A16303" t="s">
        <v>27079</v>
      </c>
      <c r="B16303" t="s">
        <v>27080</v>
      </c>
      <c r="C16303" t="s">
        <v>1706</v>
      </c>
      <c r="D16303" t="s">
        <v>1117</v>
      </c>
      <c r="E16303" t="s">
        <v>8341</v>
      </c>
      <c r="F16303" s="2" t="str">
        <f>HYPERLINK("http://www.otzar.org/book.asp?6580","חסרונות הש""ס")</f>
        <v>חסרונות הש"ס</v>
      </c>
    </row>
    <row r="16304" spans="1:6" x14ac:dyDescent="0.2">
      <c r="A16304" t="s">
        <v>27081</v>
      </c>
      <c r="B16304" t="s">
        <v>7645</v>
      </c>
      <c r="C16304" t="s">
        <v>23</v>
      </c>
      <c r="D16304" t="s">
        <v>2531</v>
      </c>
      <c r="F16304" s="2" t="str">
        <f>HYPERLINK("http://www.otzar.org/book.asp?197926","חפיפה כהלכתה")</f>
        <v>חפיפה כהלכתה</v>
      </c>
    </row>
    <row r="16305" spans="1:6" x14ac:dyDescent="0.2">
      <c r="A16305" t="s">
        <v>27082</v>
      </c>
      <c r="B16305" t="s">
        <v>1340</v>
      </c>
      <c r="C16305" t="s">
        <v>506</v>
      </c>
      <c r="D16305" t="s">
        <v>2940</v>
      </c>
      <c r="E16305" t="s">
        <v>144</v>
      </c>
      <c r="F16305" s="2" t="str">
        <f>HYPERLINK("http://www.otzar.org/book.asp?108486","חפץ ה' - 5 כר'")</f>
        <v>חפץ ה' - 5 כר'</v>
      </c>
    </row>
    <row r="16306" spans="1:6" x14ac:dyDescent="0.2">
      <c r="A16306" t="s">
        <v>27083</v>
      </c>
      <c r="B16306" t="s">
        <v>27084</v>
      </c>
      <c r="C16306" t="s">
        <v>244</v>
      </c>
      <c r="D16306" t="s">
        <v>14</v>
      </c>
      <c r="E16306" t="s">
        <v>15</v>
      </c>
      <c r="F16306" s="2" t="str">
        <f>HYPERLINK("http://www.otzar.org/book.asp?629731","חפץ חיים &lt;שי""ח התמר&gt;")</f>
        <v>חפץ חיים &lt;שי"ח התמר&gt;</v>
      </c>
    </row>
    <row r="16307" spans="1:6" x14ac:dyDescent="0.2">
      <c r="A16307" t="s">
        <v>27085</v>
      </c>
      <c r="B16307" t="s">
        <v>27086</v>
      </c>
      <c r="C16307" t="s">
        <v>37</v>
      </c>
      <c r="D16307" t="s">
        <v>27</v>
      </c>
      <c r="E16307" t="s">
        <v>15</v>
      </c>
      <c r="F16307" s="2" t="str">
        <f>HYPERLINK("http://www.otzar.org/book.asp?608634","חפץ חיים &lt;עם הארות&gt;")</f>
        <v>חפץ חיים &lt;עם הארות&gt;</v>
      </c>
    </row>
    <row r="16308" spans="1:6" x14ac:dyDescent="0.2">
      <c r="A16308" t="s">
        <v>27087</v>
      </c>
      <c r="B16308" t="s">
        <v>27088</v>
      </c>
      <c r="E16308" t="s">
        <v>15</v>
      </c>
      <c r="F16308" s="2" t="str">
        <f>HYPERLINK("http://www.otzar.org/book.asp?630780","חפץ חיים &lt;עם הערות&gt;")</f>
        <v>חפץ חיים &lt;עם הערות&gt;</v>
      </c>
    </row>
    <row r="16309" spans="1:6" x14ac:dyDescent="0.2">
      <c r="A16309" t="s">
        <v>27089</v>
      </c>
      <c r="B16309" t="s">
        <v>1978</v>
      </c>
      <c r="C16309" t="s">
        <v>111</v>
      </c>
      <c r="D16309" t="s">
        <v>90</v>
      </c>
      <c r="E16309" t="s">
        <v>15</v>
      </c>
      <c r="F16309" s="2" t="str">
        <f>HYPERLINK("http://www.otzar.org/book.asp?630510","חפץ חיים &lt;עקבי חיים&gt;")</f>
        <v>חפץ חיים &lt;עקבי חיים&gt;</v>
      </c>
    </row>
    <row r="16310" spans="1:6" x14ac:dyDescent="0.2">
      <c r="A16310" t="s">
        <v>27090</v>
      </c>
      <c r="B16310" t="s">
        <v>27091</v>
      </c>
      <c r="C16310" t="s">
        <v>619</v>
      </c>
      <c r="D16310" t="s">
        <v>216</v>
      </c>
      <c r="E16310" t="s">
        <v>1626</v>
      </c>
      <c r="F16310" s="2" t="str">
        <f>HYPERLINK("http://www.otzar.org/book.asp?623338","חפץ חיים &lt;משכיל על נגינות, משכיל שיר ידידות&gt;")</f>
        <v>חפץ חיים &lt;משכיל על נגינות, משכיל שיר ידידות&gt;</v>
      </c>
    </row>
    <row r="16311" spans="1:6" x14ac:dyDescent="0.2">
      <c r="A16311" t="s">
        <v>27092</v>
      </c>
      <c r="B16311" t="s">
        <v>10819</v>
      </c>
      <c r="C16311" t="s">
        <v>114</v>
      </c>
      <c r="D16311" t="s">
        <v>14</v>
      </c>
      <c r="F16311" s="2" t="str">
        <f>HYPERLINK("http://www.otzar.org/book.asp?619017","חפץ חיים &lt;באר חפרוה&gt;")</f>
        <v>חפץ חיים &lt;באר חפרוה&gt;</v>
      </c>
    </row>
    <row r="16312" spans="1:6" x14ac:dyDescent="0.2">
      <c r="A16312" t="s">
        <v>27093</v>
      </c>
      <c r="B16312" t="s">
        <v>27094</v>
      </c>
      <c r="C16312" t="s">
        <v>366</v>
      </c>
      <c r="F16312" s="2" t="str">
        <f>HYPERLINK("http://www.otzar.org/book.asp?616729","חפץ חיים המבואר &lt;לימוד יומי&gt;")</f>
        <v>חפץ חיים המבואר &lt;לימוד יומי&gt;</v>
      </c>
    </row>
    <row r="16313" spans="1:6" x14ac:dyDescent="0.2">
      <c r="A16313" t="s">
        <v>27095</v>
      </c>
      <c r="B16313" t="s">
        <v>27096</v>
      </c>
      <c r="C16313" t="s">
        <v>454</v>
      </c>
      <c r="D16313" t="s">
        <v>412</v>
      </c>
      <c r="E16313" t="s">
        <v>15</v>
      </c>
      <c r="F16313" s="2" t="str">
        <f>HYPERLINK("http://www.otzar.org/book.asp?615824","חפץ חיים ושמירת הלשון &lt;אידיש&gt;")</f>
        <v>חפץ חיים ושמירת הלשון &lt;אידיש&gt;</v>
      </c>
    </row>
    <row r="16314" spans="1:6" x14ac:dyDescent="0.2">
      <c r="A16314" t="s">
        <v>27097</v>
      </c>
      <c r="B16314" t="s">
        <v>1978</v>
      </c>
      <c r="C16314" t="s">
        <v>71</v>
      </c>
      <c r="D16314" t="s">
        <v>14</v>
      </c>
      <c r="E16314" t="s">
        <v>144</v>
      </c>
      <c r="F16314" s="2" t="str">
        <f>HYPERLINK("http://www.otzar.org/book.asp?60421","חפץ חיים על אגדות הש""ס - 2 כר'")</f>
        <v>חפץ חיים על אגדות הש"ס - 2 כר'</v>
      </c>
    </row>
    <row r="16315" spans="1:6" x14ac:dyDescent="0.2">
      <c r="A16315" t="s">
        <v>27098</v>
      </c>
      <c r="B16315" t="s">
        <v>1978</v>
      </c>
      <c r="C16315" t="s">
        <v>843</v>
      </c>
      <c r="D16315" t="s">
        <v>80</v>
      </c>
      <c r="E16315" t="s">
        <v>4940</v>
      </c>
      <c r="F16315" s="2" t="str">
        <f>HYPERLINK("http://www.otzar.org/book.asp?5456","חפץ חיים על התורה")</f>
        <v>חפץ חיים על התורה</v>
      </c>
    </row>
    <row r="16316" spans="1:6" x14ac:dyDescent="0.2">
      <c r="A16316" t="s">
        <v>27099</v>
      </c>
      <c r="B16316" t="s">
        <v>1978</v>
      </c>
      <c r="C16316" t="s">
        <v>438</v>
      </c>
      <c r="D16316" t="s">
        <v>14</v>
      </c>
      <c r="E16316" t="s">
        <v>25257</v>
      </c>
      <c r="F16316" s="2" t="str">
        <f>HYPERLINK("http://www.otzar.org/book.asp?11694","חפץ חיים על מסכת אבות")</f>
        <v>חפץ חיים על מסכת אבות</v>
      </c>
    </row>
    <row r="16317" spans="1:6" x14ac:dyDescent="0.2">
      <c r="A16317" t="s">
        <v>27100</v>
      </c>
      <c r="B16317" t="s">
        <v>1978</v>
      </c>
      <c r="C16317" t="s">
        <v>1169</v>
      </c>
      <c r="D16317" t="s">
        <v>27</v>
      </c>
      <c r="E16317" t="s">
        <v>158</v>
      </c>
      <c r="F16317" s="2" t="str">
        <f>HYPERLINK("http://www.otzar.org/book.asp?14468","חפץ חיים על נביאים וכתובים")</f>
        <v>חפץ חיים על נביאים וכתובים</v>
      </c>
    </row>
    <row r="16318" spans="1:6" x14ac:dyDescent="0.2">
      <c r="A16318" t="s">
        <v>27101</v>
      </c>
      <c r="B16318" t="s">
        <v>27102</v>
      </c>
      <c r="C16318" t="s">
        <v>151</v>
      </c>
      <c r="D16318" t="s">
        <v>21</v>
      </c>
      <c r="F16318" s="2" t="str">
        <f>HYPERLINK("http://www.otzar.org/book.asp?616808","חפץ חיים עם ביאור דעת חיים")</f>
        <v>חפץ חיים עם ביאור דעת חיים</v>
      </c>
    </row>
    <row r="16319" spans="1:6" x14ac:dyDescent="0.2">
      <c r="A16319" t="s">
        <v>27103</v>
      </c>
      <c r="B16319" t="s">
        <v>27104</v>
      </c>
      <c r="C16319" t="s">
        <v>244</v>
      </c>
      <c r="D16319" t="s">
        <v>21</v>
      </c>
      <c r="E16319" t="s">
        <v>15</v>
      </c>
      <c r="F16319" s="2" t="str">
        <f>HYPERLINK("http://www.otzar.org/book.asp?625520","חפץ חיים עם ביאור שיח התמר")</f>
        <v>חפץ חיים עם ביאור שיח התמר</v>
      </c>
    </row>
    <row r="16320" spans="1:6" x14ac:dyDescent="0.2">
      <c r="A16320" t="s">
        <v>27105</v>
      </c>
      <c r="B16320" t="s">
        <v>27106</v>
      </c>
      <c r="C16320" t="s">
        <v>114</v>
      </c>
      <c r="D16320" t="s">
        <v>52</v>
      </c>
      <c r="E16320" t="s">
        <v>15</v>
      </c>
      <c r="F16320" s="2" t="str">
        <f>HYPERLINK("http://www.otzar.org/book.asp?172067","חפץ חיים עם נתיבות חיים")</f>
        <v>חפץ חיים עם נתיבות חיים</v>
      </c>
    </row>
    <row r="16321" spans="1:6" x14ac:dyDescent="0.2">
      <c r="A16321" t="s">
        <v>27107</v>
      </c>
      <c r="B16321" t="s">
        <v>27108</v>
      </c>
      <c r="C16321" t="s">
        <v>189</v>
      </c>
      <c r="D16321" t="s">
        <v>14</v>
      </c>
      <c r="E16321" t="s">
        <v>714</v>
      </c>
      <c r="F16321" s="2" t="str">
        <f>HYPERLINK("http://www.otzar.org/book.asp?52928","חפץ חיים עם עלי באר ומקור הבאר")</f>
        <v>חפץ חיים עם עלי באר ומקור הבאר</v>
      </c>
    </row>
    <row r="16322" spans="1:6" x14ac:dyDescent="0.2">
      <c r="A16322" t="s">
        <v>27109</v>
      </c>
      <c r="B16322" t="s">
        <v>27110</v>
      </c>
      <c r="C16322" t="s">
        <v>3690</v>
      </c>
      <c r="D16322" t="s">
        <v>267</v>
      </c>
      <c r="E16322" t="s">
        <v>104</v>
      </c>
      <c r="F16322" s="2" t="str">
        <f>HYPERLINK("http://www.otzar.org/book.asp?24547","חפץ חיים")</f>
        <v>חפץ חיים</v>
      </c>
    </row>
    <row r="16323" spans="1:6" x14ac:dyDescent="0.2">
      <c r="A16323" t="s">
        <v>27111</v>
      </c>
      <c r="B16323" t="s">
        <v>1978</v>
      </c>
      <c r="C16323" t="s">
        <v>106</v>
      </c>
      <c r="D16323" t="s">
        <v>27</v>
      </c>
      <c r="E16323" t="s">
        <v>714</v>
      </c>
      <c r="F16323" s="2" t="str">
        <f>HYPERLINK("http://www.otzar.org/book.asp?5195","חפץ חיים - 4 כר'")</f>
        <v>חפץ חיים - 4 כר'</v>
      </c>
    </row>
    <row r="16324" spans="1:6" x14ac:dyDescent="0.2">
      <c r="A16324" t="s">
        <v>27109</v>
      </c>
      <c r="B16324" t="s">
        <v>27112</v>
      </c>
      <c r="C16324" t="s">
        <v>777</v>
      </c>
      <c r="D16324" t="s">
        <v>27113</v>
      </c>
      <c r="E16324" t="s">
        <v>158</v>
      </c>
      <c r="F16324" s="2" t="str">
        <f>HYPERLINK("http://www.otzar.org/book.asp?158156","חפץ חיים")</f>
        <v>חפץ חיים</v>
      </c>
    </row>
    <row r="16325" spans="1:6" x14ac:dyDescent="0.2">
      <c r="A16325" t="s">
        <v>27114</v>
      </c>
      <c r="B16325" t="s">
        <v>26625</v>
      </c>
      <c r="C16325" t="s">
        <v>523</v>
      </c>
      <c r="D16325" t="s">
        <v>14</v>
      </c>
      <c r="E16325" t="s">
        <v>1626</v>
      </c>
      <c r="F16325" s="2" t="str">
        <f>HYPERLINK("http://www.otzar.org/book.asp?64138","חפץ חיים - שירי רבי שלם שבזי")</f>
        <v>חפץ חיים - שירי רבי שלם שבזי</v>
      </c>
    </row>
    <row r="16326" spans="1:6" x14ac:dyDescent="0.2">
      <c r="A16326" t="s">
        <v>27115</v>
      </c>
      <c r="B16326" t="s">
        <v>14608</v>
      </c>
      <c r="C16326" t="s">
        <v>143</v>
      </c>
      <c r="D16326" t="s">
        <v>14</v>
      </c>
      <c r="E16326" t="s">
        <v>158</v>
      </c>
      <c r="F16326" s="2" t="str">
        <f>HYPERLINK("http://www.otzar.org/book.asp?143787","חפץ יהונתן")</f>
        <v>חפץ יהונתן</v>
      </c>
    </row>
    <row r="16327" spans="1:6" x14ac:dyDescent="0.2">
      <c r="A16327" t="s">
        <v>27116</v>
      </c>
      <c r="B16327" t="s">
        <v>1005</v>
      </c>
      <c r="C16327" t="s">
        <v>51</v>
      </c>
      <c r="D16327" t="s">
        <v>90</v>
      </c>
      <c r="E16327" t="s">
        <v>202</v>
      </c>
      <c r="F16327" s="2" t="str">
        <f>HYPERLINK("http://www.otzar.org/book.asp?600322","חפצי בה'")</f>
        <v>חפצי בה'</v>
      </c>
    </row>
    <row r="16328" spans="1:6" x14ac:dyDescent="0.2">
      <c r="A16328" t="s">
        <v>27117</v>
      </c>
      <c r="B16328" t="s">
        <v>27118</v>
      </c>
      <c r="C16328" t="s">
        <v>5163</v>
      </c>
      <c r="D16328" t="s">
        <v>1541</v>
      </c>
      <c r="E16328" t="s">
        <v>104</v>
      </c>
      <c r="F16328" s="2" t="str">
        <f>HYPERLINK("http://www.otzar.org/book.asp?179767","חפש מטמונים")</f>
        <v>חפש מטמונים</v>
      </c>
    </row>
    <row r="16329" spans="1:6" x14ac:dyDescent="0.2">
      <c r="A16329" t="s">
        <v>27119</v>
      </c>
      <c r="B16329" t="s">
        <v>27120</v>
      </c>
      <c r="C16329" t="s">
        <v>71</v>
      </c>
      <c r="D16329" t="s">
        <v>14</v>
      </c>
      <c r="E16329" t="s">
        <v>1507</v>
      </c>
      <c r="F16329" s="2" t="str">
        <f>HYPERLINK("http://www.otzar.org/book.asp?189244","חץ תשועה")</f>
        <v>חץ תשועה</v>
      </c>
    </row>
    <row r="16330" spans="1:6" x14ac:dyDescent="0.2">
      <c r="A16330" t="s">
        <v>27121</v>
      </c>
      <c r="B16330" t="s">
        <v>21684</v>
      </c>
      <c r="C16330" t="s">
        <v>103</v>
      </c>
      <c r="D16330" t="s">
        <v>52</v>
      </c>
      <c r="E16330" t="s">
        <v>714</v>
      </c>
      <c r="F16330" s="2" t="str">
        <f>HYPERLINK("http://www.otzar.org/book.asp?84680","חצות לילה אקום להודות לך על משפטי צדקך")</f>
        <v>חצות לילה אקום להודות לך על משפטי צדקך</v>
      </c>
    </row>
    <row r="16331" spans="1:6" x14ac:dyDescent="0.2">
      <c r="A16331" t="s">
        <v>27122</v>
      </c>
      <c r="B16331" t="s">
        <v>27123</v>
      </c>
      <c r="C16331" t="s">
        <v>619</v>
      </c>
      <c r="D16331" t="s">
        <v>6974</v>
      </c>
      <c r="E16331" t="s">
        <v>1517</v>
      </c>
      <c r="F16331" s="2" t="str">
        <f>HYPERLINK("http://www.otzar.org/book.asp?158157","חצות לילה אקום")</f>
        <v>חצות לילה אקום</v>
      </c>
    </row>
    <row r="16332" spans="1:6" x14ac:dyDescent="0.2">
      <c r="A16332" t="s">
        <v>27124</v>
      </c>
      <c r="B16332" t="s">
        <v>27125</v>
      </c>
      <c r="C16332" t="s">
        <v>146</v>
      </c>
      <c r="D16332" t="s">
        <v>14</v>
      </c>
      <c r="E16332" t="s">
        <v>144</v>
      </c>
      <c r="F16332" s="2" t="str">
        <f>HYPERLINK("http://www.otzar.org/book.asp?166252","חצי גבור")</f>
        <v>חצי גבור</v>
      </c>
    </row>
    <row r="16333" spans="1:6" x14ac:dyDescent="0.2">
      <c r="A16333" t="s">
        <v>27126</v>
      </c>
      <c r="B16333" t="s">
        <v>13038</v>
      </c>
      <c r="C16333" t="s">
        <v>362</v>
      </c>
      <c r="D16333" t="s">
        <v>563</v>
      </c>
      <c r="E16333" t="s">
        <v>463</v>
      </c>
      <c r="F16333" s="2" t="str">
        <f>HYPERLINK("http://www.otzar.org/book.asp?14510","חצי מנשה")</f>
        <v>חצי מנשה</v>
      </c>
    </row>
    <row r="16334" spans="1:6" x14ac:dyDescent="0.2">
      <c r="A16334" t="s">
        <v>27127</v>
      </c>
      <c r="B16334" t="s">
        <v>5076</v>
      </c>
      <c r="C16334" t="s">
        <v>244</v>
      </c>
      <c r="D16334" t="s">
        <v>52</v>
      </c>
      <c r="E16334" t="s">
        <v>246</v>
      </c>
      <c r="F16334" s="2" t="str">
        <f>HYPERLINK("http://www.otzar.org/book.asp?629133","חציו לה' וחציו לכם")</f>
        <v>חציו לה' וחציו לכם</v>
      </c>
    </row>
    <row r="16335" spans="1:6" x14ac:dyDescent="0.2">
      <c r="A16335" t="s">
        <v>27128</v>
      </c>
      <c r="B16335" t="s">
        <v>27129</v>
      </c>
      <c r="C16335" t="s">
        <v>20</v>
      </c>
      <c r="D16335" t="s">
        <v>14</v>
      </c>
      <c r="F16335" s="2" t="str">
        <f>HYPERLINK("http://www.otzar.org/book.asp?608866","חציצות בטבילה כתוצאה מתכשירים רפואיים")</f>
        <v>חציצות בטבילה כתוצאה מתכשירים רפואיים</v>
      </c>
    </row>
    <row r="16336" spans="1:6" x14ac:dyDescent="0.2">
      <c r="A16336" t="s">
        <v>27130</v>
      </c>
      <c r="B16336" t="s">
        <v>21366</v>
      </c>
      <c r="C16336" t="s">
        <v>20</v>
      </c>
      <c r="D16336" t="s">
        <v>90</v>
      </c>
      <c r="E16336" t="s">
        <v>158</v>
      </c>
      <c r="F16336" s="2" t="str">
        <f>HYPERLINK("http://www.otzar.org/book.asp?602057","חצר אהל מועד")</f>
        <v>חצר אהל מועד</v>
      </c>
    </row>
    <row r="16337" spans="1:6" x14ac:dyDescent="0.2">
      <c r="A16337" t="s">
        <v>27131</v>
      </c>
      <c r="B16337" t="s">
        <v>4437</v>
      </c>
      <c r="C16337" t="s">
        <v>185</v>
      </c>
      <c r="D16337" t="s">
        <v>52</v>
      </c>
      <c r="E16337" t="s">
        <v>140</v>
      </c>
      <c r="F16337" s="2" t="str">
        <f>HYPERLINK("http://www.otzar.org/book.asp?629619","חצר אמונים - 3 כר'")</f>
        <v>חצר אמונים - 3 כר'</v>
      </c>
    </row>
    <row r="16338" spans="1:6" x14ac:dyDescent="0.2">
      <c r="A16338" t="s">
        <v>27132</v>
      </c>
      <c r="B16338" t="s">
        <v>27133</v>
      </c>
      <c r="C16338" t="s">
        <v>146</v>
      </c>
      <c r="D16338" t="s">
        <v>14</v>
      </c>
      <c r="E16338" t="s">
        <v>733</v>
      </c>
      <c r="F16338" s="2" t="str">
        <f>HYPERLINK("http://www.otzar.org/book.asp?617632","חצר חורבת רבי יהודה החסיד")</f>
        <v>חצר חורבת רבי יהודה החסיד</v>
      </c>
    </row>
    <row r="16339" spans="1:6" x14ac:dyDescent="0.2">
      <c r="A16339" t="s">
        <v>27134</v>
      </c>
      <c r="B16339" t="s">
        <v>27135</v>
      </c>
      <c r="C16339" t="s">
        <v>356</v>
      </c>
      <c r="D16339" t="s">
        <v>14</v>
      </c>
      <c r="F16339" s="2" t="str">
        <f>HYPERLINK("http://www.otzar.org/book.asp?604079","חצרות בית ה' - 2 כר'")</f>
        <v>חצרות בית ה' - 2 כר'</v>
      </c>
    </row>
    <row r="16340" spans="1:6" x14ac:dyDescent="0.2">
      <c r="A16340" t="s">
        <v>27136</v>
      </c>
      <c r="B16340" t="s">
        <v>27137</v>
      </c>
      <c r="C16340" t="s">
        <v>111</v>
      </c>
      <c r="D16340" t="s">
        <v>14</v>
      </c>
      <c r="E16340" t="s">
        <v>803</v>
      </c>
      <c r="F16340" s="2" t="str">
        <f>HYPERLINK("http://www.otzar.org/book.asp?627497","חצרות ישע")</f>
        <v>חצרות ישע</v>
      </c>
    </row>
    <row r="16341" spans="1:6" x14ac:dyDescent="0.2">
      <c r="A16341" t="s">
        <v>27138</v>
      </c>
      <c r="B16341" t="s">
        <v>27139</v>
      </c>
      <c r="C16341" t="s">
        <v>146</v>
      </c>
      <c r="D16341" t="s">
        <v>27140</v>
      </c>
      <c r="E16341" t="s">
        <v>148</v>
      </c>
      <c r="F16341" s="2" t="str">
        <f>HYPERLINK("http://www.otzar.org/book.asp?28636","חק הטהרה")</f>
        <v>חק הטהרה</v>
      </c>
    </row>
    <row r="16342" spans="1:6" x14ac:dyDescent="0.2">
      <c r="A16342" t="s">
        <v>27141</v>
      </c>
      <c r="B16342" t="s">
        <v>27142</v>
      </c>
      <c r="C16342" t="s">
        <v>356</v>
      </c>
      <c r="D16342" t="s">
        <v>52</v>
      </c>
      <c r="E16342" t="s">
        <v>158</v>
      </c>
      <c r="F16342" s="2" t="str">
        <f>HYPERLINK("http://www.otzar.org/book.asp?623273","חק המוסר - 2 כר'")</f>
        <v>חק המוסר - 2 כר'</v>
      </c>
    </row>
    <row r="16343" spans="1:6" x14ac:dyDescent="0.2">
      <c r="A16343" t="s">
        <v>27143</v>
      </c>
      <c r="B16343" t="s">
        <v>1343</v>
      </c>
      <c r="C16343" t="s">
        <v>553</v>
      </c>
      <c r="D16343" t="s">
        <v>14</v>
      </c>
      <c r="E16343" t="s">
        <v>144</v>
      </c>
      <c r="F16343" s="2" t="str">
        <f>HYPERLINK("http://www.otzar.org/book.asp?602657","חק המלך - 2 כר'")</f>
        <v>חק המלך - 2 כר'</v>
      </c>
    </row>
    <row r="16344" spans="1:6" x14ac:dyDescent="0.2">
      <c r="A16344" t="s">
        <v>27144</v>
      </c>
      <c r="B16344" t="s">
        <v>1750</v>
      </c>
      <c r="C16344" t="s">
        <v>103</v>
      </c>
      <c r="D16344" t="s">
        <v>14</v>
      </c>
      <c r="E16344" t="s">
        <v>186</v>
      </c>
      <c r="F16344" s="2" t="str">
        <f>HYPERLINK("http://www.otzar.org/book.asp?24898","חק הקדש - זבחים")</f>
        <v>חק הקדש - זבחים</v>
      </c>
    </row>
    <row r="16345" spans="1:6" x14ac:dyDescent="0.2">
      <c r="A16345" t="s">
        <v>27145</v>
      </c>
      <c r="B16345" t="s">
        <v>27146</v>
      </c>
      <c r="C16345" t="s">
        <v>51</v>
      </c>
      <c r="D16345" t="s">
        <v>152</v>
      </c>
      <c r="E16345" t="s">
        <v>15</v>
      </c>
      <c r="F16345" s="2" t="str">
        <f>HYPERLINK("http://www.otzar.org/book.asp?156191","חק וזמן - נדה וטבילה")</f>
        <v>חק וזמן - נדה וטבילה</v>
      </c>
    </row>
    <row r="16346" spans="1:6" x14ac:dyDescent="0.2">
      <c r="A16346" t="s">
        <v>27147</v>
      </c>
      <c r="B16346" t="s">
        <v>686</v>
      </c>
      <c r="C16346" t="s">
        <v>13</v>
      </c>
      <c r="D16346" t="s">
        <v>52</v>
      </c>
      <c r="E16346" t="s">
        <v>467</v>
      </c>
      <c r="F16346" s="2" t="str">
        <f>HYPERLINK("http://www.otzar.org/book.asp?60745","חק וזמן")</f>
        <v>חק וזמן</v>
      </c>
    </row>
    <row r="16347" spans="1:6" x14ac:dyDescent="0.2">
      <c r="A16347" t="s">
        <v>27148</v>
      </c>
      <c r="B16347" t="s">
        <v>24946</v>
      </c>
      <c r="C16347" t="s">
        <v>940</v>
      </c>
      <c r="D16347" t="s">
        <v>14</v>
      </c>
      <c r="E16347" t="s">
        <v>15</v>
      </c>
      <c r="F16347" s="2" t="str">
        <f>HYPERLINK("http://www.otzar.org/book.asp?168871","חק ומשפט")</f>
        <v>חק ומשפט</v>
      </c>
    </row>
    <row r="16348" spans="1:6" x14ac:dyDescent="0.2">
      <c r="A16348" t="s">
        <v>27148</v>
      </c>
      <c r="B16348" t="s">
        <v>27149</v>
      </c>
      <c r="C16348" t="s">
        <v>1535</v>
      </c>
      <c r="D16348" t="s">
        <v>7458</v>
      </c>
      <c r="E16348" t="s">
        <v>154</v>
      </c>
      <c r="F16348" s="2" t="str">
        <f>HYPERLINK("http://www.otzar.org/book.asp?102814","חק ומשפט")</f>
        <v>חק ומשפט</v>
      </c>
    </row>
    <row r="16349" spans="1:6" x14ac:dyDescent="0.2">
      <c r="A16349" t="s">
        <v>27148</v>
      </c>
      <c r="B16349" t="s">
        <v>27150</v>
      </c>
      <c r="C16349" t="s">
        <v>244</v>
      </c>
      <c r="D16349" t="s">
        <v>412</v>
      </c>
      <c r="E16349" t="s">
        <v>674</v>
      </c>
      <c r="F16349" s="2" t="str">
        <f>HYPERLINK("http://www.otzar.org/book.asp?621375","חק ומשפט")</f>
        <v>חק ומשפט</v>
      </c>
    </row>
    <row r="16350" spans="1:6" x14ac:dyDescent="0.2">
      <c r="A16350" t="s">
        <v>27151</v>
      </c>
      <c r="B16350" t="s">
        <v>27152</v>
      </c>
      <c r="C16350" t="s">
        <v>133</v>
      </c>
      <c r="D16350" t="s">
        <v>21</v>
      </c>
      <c r="E16350" t="s">
        <v>399</v>
      </c>
      <c r="F16350" s="2" t="str">
        <f>HYPERLINK("http://www.otzar.org/book.asp?193410","חק חיים")</f>
        <v>חק חיים</v>
      </c>
    </row>
    <row r="16351" spans="1:6" x14ac:dyDescent="0.2">
      <c r="A16351" t="s">
        <v>27153</v>
      </c>
      <c r="B16351" t="s">
        <v>3286</v>
      </c>
      <c r="C16351" t="s">
        <v>585</v>
      </c>
      <c r="D16351" t="s">
        <v>52</v>
      </c>
      <c r="E16351" t="s">
        <v>234</v>
      </c>
      <c r="F16351" s="2" t="str">
        <f>HYPERLINK("http://www.otzar.org/book.asp?142292","חק יהו""א ומבטליו  -  דרש דרש א")</f>
        <v>חק יהו"א ומבטליו  -  דרש דרש א</v>
      </c>
    </row>
    <row r="16352" spans="1:6" x14ac:dyDescent="0.2">
      <c r="A16352" t="s">
        <v>27154</v>
      </c>
      <c r="B16352" t="s">
        <v>27155</v>
      </c>
      <c r="C16352" t="s">
        <v>7364</v>
      </c>
      <c r="D16352" t="s">
        <v>1023</v>
      </c>
      <c r="E16352" t="s">
        <v>172</v>
      </c>
      <c r="F16352" s="2" t="str">
        <f>HYPERLINK("http://www.otzar.org/book.asp?8666","חק יוסף")</f>
        <v>חק יוסף</v>
      </c>
    </row>
    <row r="16353" spans="1:6" x14ac:dyDescent="0.2">
      <c r="A16353" t="s">
        <v>27156</v>
      </c>
      <c r="B16353" t="s">
        <v>27157</v>
      </c>
      <c r="C16353" t="s">
        <v>10215</v>
      </c>
      <c r="D16353" t="s">
        <v>8592</v>
      </c>
      <c r="E16353" t="s">
        <v>8079</v>
      </c>
      <c r="F16353" s="2" t="str">
        <f>HYPERLINK("http://www.otzar.org/book.asp?166870","חק יעקב - 3 כר'")</f>
        <v>חק יעקב - 3 כר'</v>
      </c>
    </row>
    <row r="16354" spans="1:6" x14ac:dyDescent="0.2">
      <c r="A16354" t="s">
        <v>27158</v>
      </c>
      <c r="B16354" t="s">
        <v>2396</v>
      </c>
      <c r="C16354" t="s">
        <v>20</v>
      </c>
      <c r="D16354" t="s">
        <v>52</v>
      </c>
      <c r="E16354" t="s">
        <v>158</v>
      </c>
      <c r="F16354" s="2" t="str">
        <f>HYPERLINK("http://www.otzar.org/book.asp?165331","חק יריכות")</f>
        <v>חק יריכות</v>
      </c>
    </row>
    <row r="16355" spans="1:6" x14ac:dyDescent="0.2">
      <c r="A16355" t="s">
        <v>27159</v>
      </c>
      <c r="B16355" t="s">
        <v>27160</v>
      </c>
      <c r="C16355" t="s">
        <v>27161</v>
      </c>
      <c r="D16355" t="s">
        <v>974</v>
      </c>
      <c r="E16355" t="s">
        <v>15</v>
      </c>
      <c r="F16355" s="2" t="str">
        <f>HYPERLINK("http://www.otzar.org/book.asp?105327","חק ישראל - 2 כר'")</f>
        <v>חק ישראל - 2 כר'</v>
      </c>
    </row>
    <row r="16356" spans="1:6" x14ac:dyDescent="0.2">
      <c r="A16356" t="s">
        <v>27162</v>
      </c>
      <c r="B16356" t="s">
        <v>27163</v>
      </c>
      <c r="C16356" t="s">
        <v>1284</v>
      </c>
      <c r="D16356" t="s">
        <v>267</v>
      </c>
      <c r="E16356" t="s">
        <v>148</v>
      </c>
      <c r="F16356" s="2" t="str">
        <f>HYPERLINK("http://www.otzar.org/book.asp?166877","חק לחדש")</f>
        <v>חק לחדש</v>
      </c>
    </row>
    <row r="16357" spans="1:6" x14ac:dyDescent="0.2">
      <c r="A16357" t="s">
        <v>27164</v>
      </c>
      <c r="B16357" t="s">
        <v>27165</v>
      </c>
      <c r="C16357" t="s">
        <v>5160</v>
      </c>
      <c r="D16357" t="s">
        <v>27166</v>
      </c>
      <c r="F16357" s="2" t="str">
        <f>HYPERLINK("http://www.otzar.org/book.asp?600120","חק לישראל &lt;דפוס ראשון&gt; - 2 כר'")</f>
        <v>חק לישראל &lt;דפוס ראשון&gt; - 2 כר'</v>
      </c>
    </row>
    <row r="16358" spans="1:6" x14ac:dyDescent="0.2">
      <c r="A16358" t="s">
        <v>27167</v>
      </c>
      <c r="B16358" t="s">
        <v>1320</v>
      </c>
      <c r="C16358" t="s">
        <v>6448</v>
      </c>
      <c r="D16358" t="s">
        <v>1992</v>
      </c>
      <c r="E16358" t="s">
        <v>104</v>
      </c>
      <c r="F16358" s="2" t="str">
        <f>HYPERLINK("http://www.otzar.org/book.asp?189397","חק לישראל &lt;ספר המצות לרמב""ם&gt;")</f>
        <v>חק לישראל &lt;ספר המצות לרמב"ם&gt;</v>
      </c>
    </row>
    <row r="16359" spans="1:6" x14ac:dyDescent="0.2">
      <c r="A16359" t="s">
        <v>27168</v>
      </c>
      <c r="B16359" t="s">
        <v>513</v>
      </c>
      <c r="C16359" t="s">
        <v>17</v>
      </c>
      <c r="D16359" t="s">
        <v>80</v>
      </c>
      <c r="E16359" t="s">
        <v>399</v>
      </c>
      <c r="F16359" s="2" t="str">
        <f>HYPERLINK("http://www.otzar.org/book.asp?198055","חק לישראל זהר עם פירוש הסולם")</f>
        <v>חק לישראל זהר עם פירוש הסולם</v>
      </c>
    </row>
    <row r="16360" spans="1:6" x14ac:dyDescent="0.2">
      <c r="A16360" t="s">
        <v>27169</v>
      </c>
      <c r="B16360" t="s">
        <v>27160</v>
      </c>
      <c r="C16360" t="s">
        <v>433</v>
      </c>
      <c r="D16360" t="s">
        <v>14</v>
      </c>
      <c r="F16360" s="2" t="str">
        <f>HYPERLINK("http://www.otzar.org/book.asp?181805","חק לישראל - 3 כר'")</f>
        <v>חק לישראל - 3 כר'</v>
      </c>
    </row>
    <row r="16361" spans="1:6" x14ac:dyDescent="0.2">
      <c r="A16361" t="s">
        <v>27170</v>
      </c>
      <c r="B16361" t="s">
        <v>27171</v>
      </c>
      <c r="C16361" t="s">
        <v>20</v>
      </c>
      <c r="D16361" t="s">
        <v>212</v>
      </c>
      <c r="E16361" t="s">
        <v>5186</v>
      </c>
      <c r="F16361" s="2" t="str">
        <f>HYPERLINK("http://www.otzar.org/book.asp?153846","חק לישראל - ד דברים")</f>
        <v>חק לישראל - ד דברים</v>
      </c>
    </row>
    <row r="16362" spans="1:6" x14ac:dyDescent="0.2">
      <c r="A16362" t="s">
        <v>27172</v>
      </c>
      <c r="B16362" t="s">
        <v>27173</v>
      </c>
      <c r="C16362" t="s">
        <v>2227</v>
      </c>
      <c r="D16362" t="s">
        <v>27174</v>
      </c>
      <c r="E16362" t="s">
        <v>158</v>
      </c>
      <c r="F16362" s="2" t="str">
        <f>HYPERLINK("http://www.otzar.org/book.asp?104211","חק לישראל - 5 כר'")</f>
        <v>חק לישראל - 5 כר'</v>
      </c>
    </row>
    <row r="16363" spans="1:6" x14ac:dyDescent="0.2">
      <c r="A16363" t="s">
        <v>27172</v>
      </c>
      <c r="B16363" t="s">
        <v>27175</v>
      </c>
      <c r="C16363" t="s">
        <v>2550</v>
      </c>
      <c r="D16363" t="s">
        <v>56</v>
      </c>
      <c r="E16363" t="s">
        <v>5186</v>
      </c>
      <c r="F16363" s="2" t="str">
        <f>HYPERLINK("http://www.otzar.org/book.asp?153301","חק לישראל - 5 כר'")</f>
        <v>חק לישראל - 5 כר'</v>
      </c>
    </row>
    <row r="16364" spans="1:6" x14ac:dyDescent="0.2">
      <c r="A16364" t="s">
        <v>27169</v>
      </c>
      <c r="B16364" t="s">
        <v>27176</v>
      </c>
      <c r="C16364" t="s">
        <v>1706</v>
      </c>
      <c r="D16364" t="s">
        <v>267</v>
      </c>
      <c r="E16364" t="s">
        <v>5186</v>
      </c>
      <c r="F16364" s="2" t="str">
        <f>HYPERLINK("http://www.otzar.org/book.asp?153083","חק לישראל - 3 כר'")</f>
        <v>חק לישראל - 3 כר'</v>
      </c>
    </row>
    <row r="16365" spans="1:6" x14ac:dyDescent="0.2">
      <c r="A16365" t="s">
        <v>27172</v>
      </c>
      <c r="B16365" t="s">
        <v>27177</v>
      </c>
      <c r="C16365" t="s">
        <v>748</v>
      </c>
      <c r="D16365" t="s">
        <v>1660</v>
      </c>
      <c r="E16365" t="s">
        <v>5186</v>
      </c>
      <c r="F16365" s="2" t="str">
        <f>HYPERLINK("http://www.otzar.org/book.asp?164272","חק לישראל - 5 כר'")</f>
        <v>חק לישראל - 5 כר'</v>
      </c>
    </row>
    <row r="16366" spans="1:6" x14ac:dyDescent="0.2">
      <c r="A16366" t="s">
        <v>27178</v>
      </c>
      <c r="B16366" t="s">
        <v>27179</v>
      </c>
      <c r="C16366" t="s">
        <v>5160</v>
      </c>
      <c r="D16366" t="s">
        <v>212</v>
      </c>
      <c r="E16366" t="s">
        <v>674</v>
      </c>
      <c r="F16366" s="2" t="str">
        <f>HYPERLINK("http://www.otzar.org/book.asp?8653","חק לישראל")</f>
        <v>חק לישראל</v>
      </c>
    </row>
    <row r="16367" spans="1:6" x14ac:dyDescent="0.2">
      <c r="A16367" t="s">
        <v>27180</v>
      </c>
      <c r="B16367" t="s">
        <v>27181</v>
      </c>
      <c r="C16367" t="s">
        <v>8</v>
      </c>
      <c r="D16367" t="s">
        <v>283</v>
      </c>
      <c r="E16367" t="s">
        <v>154</v>
      </c>
      <c r="F16367" s="2" t="str">
        <f>HYPERLINK("http://www.otzar.org/book.asp?24548","חק משה - 2 כר'")</f>
        <v>חק משה - 2 כר'</v>
      </c>
    </row>
    <row r="16368" spans="1:6" x14ac:dyDescent="0.2">
      <c r="A16368" t="s">
        <v>27182</v>
      </c>
      <c r="B16368" t="s">
        <v>27183</v>
      </c>
      <c r="C16368" t="s">
        <v>366</v>
      </c>
      <c r="D16368" t="s">
        <v>80</v>
      </c>
      <c r="E16368" t="s">
        <v>9368</v>
      </c>
      <c r="F16368" s="2" t="str">
        <f>HYPERLINK("http://www.otzar.org/book.asp?607691","חק נתן &lt;מהדורה חדשה&gt;")</f>
        <v>חק נתן &lt;מהדורה חדשה&gt;</v>
      </c>
    </row>
    <row r="16369" spans="1:6" x14ac:dyDescent="0.2">
      <c r="A16369" t="s">
        <v>27184</v>
      </c>
      <c r="B16369" t="s">
        <v>27183</v>
      </c>
      <c r="C16369" t="s">
        <v>279</v>
      </c>
      <c r="D16369" t="s">
        <v>212</v>
      </c>
      <c r="E16369" t="s">
        <v>24232</v>
      </c>
      <c r="F16369" s="2" t="str">
        <f>HYPERLINK("http://www.otzar.org/book.asp?101394","חק נתן")</f>
        <v>חק נתן</v>
      </c>
    </row>
    <row r="16370" spans="1:6" x14ac:dyDescent="0.2">
      <c r="A16370" t="s">
        <v>27185</v>
      </c>
      <c r="B16370" t="s">
        <v>27186</v>
      </c>
      <c r="C16370" t="s">
        <v>1228</v>
      </c>
      <c r="D16370" t="s">
        <v>27187</v>
      </c>
      <c r="E16370" t="s">
        <v>960</v>
      </c>
      <c r="F16370" s="2" t="str">
        <f>HYPERLINK("http://www.otzar.org/book.asp?149620","חק עולם")</f>
        <v>חק עולם</v>
      </c>
    </row>
    <row r="16371" spans="1:6" x14ac:dyDescent="0.2">
      <c r="A16371" t="s">
        <v>27185</v>
      </c>
      <c r="B16371" t="s">
        <v>27188</v>
      </c>
      <c r="C16371" t="s">
        <v>5903</v>
      </c>
      <c r="D16371" t="s">
        <v>27</v>
      </c>
      <c r="E16371" t="s">
        <v>674</v>
      </c>
      <c r="F16371" s="2" t="str">
        <f>HYPERLINK("http://www.otzar.org/book.asp?18828","חק עולם")</f>
        <v>חק עולם</v>
      </c>
    </row>
    <row r="16372" spans="1:6" x14ac:dyDescent="0.2">
      <c r="A16372" t="s">
        <v>27189</v>
      </c>
      <c r="B16372" t="s">
        <v>3566</v>
      </c>
      <c r="C16372" t="s">
        <v>362</v>
      </c>
      <c r="D16372" t="s">
        <v>379</v>
      </c>
      <c r="E16372" t="s">
        <v>588</v>
      </c>
      <c r="F16372" s="2" t="str">
        <f>HYPERLINK("http://www.otzar.org/book.asp?189521","חקור דבר")</f>
        <v>חקור דבר</v>
      </c>
    </row>
    <row r="16373" spans="1:6" x14ac:dyDescent="0.2">
      <c r="A16373" t="s">
        <v>27190</v>
      </c>
      <c r="B16373" t="s">
        <v>155</v>
      </c>
      <c r="C16373" t="s">
        <v>266</v>
      </c>
      <c r="D16373" t="s">
        <v>157</v>
      </c>
      <c r="E16373" t="s">
        <v>154</v>
      </c>
      <c r="F16373" s="2" t="str">
        <f>HYPERLINK("http://www.otzar.org/book.asp?10999","חקות החיים")</f>
        <v>חקות החיים</v>
      </c>
    </row>
    <row r="16374" spans="1:6" x14ac:dyDescent="0.2">
      <c r="A16374" t="s">
        <v>27191</v>
      </c>
      <c r="B16374" t="s">
        <v>27192</v>
      </c>
      <c r="C16374" t="s">
        <v>5140</v>
      </c>
      <c r="D16374" t="s">
        <v>9748</v>
      </c>
      <c r="E16374" t="s">
        <v>172</v>
      </c>
      <c r="F16374" s="2" t="str">
        <f>HYPERLINK("http://www.otzar.org/book.asp?18829","חקי דעת")</f>
        <v>חקי דעת</v>
      </c>
    </row>
    <row r="16375" spans="1:6" x14ac:dyDescent="0.2">
      <c r="A16375" t="s">
        <v>27193</v>
      </c>
      <c r="B16375" t="s">
        <v>27194</v>
      </c>
      <c r="C16375" t="s">
        <v>1374</v>
      </c>
      <c r="D16375" t="s">
        <v>27195</v>
      </c>
      <c r="E16375" t="s">
        <v>154</v>
      </c>
      <c r="F16375" s="2" t="str">
        <f>HYPERLINK("http://www.otzar.org/book.asp?101391","חקי דעת - א")</f>
        <v>חקי דעת - א</v>
      </c>
    </row>
    <row r="16376" spans="1:6" x14ac:dyDescent="0.2">
      <c r="A16376" t="s">
        <v>27196</v>
      </c>
      <c r="B16376" t="s">
        <v>27197</v>
      </c>
      <c r="C16376" t="s">
        <v>27198</v>
      </c>
      <c r="D16376" t="s">
        <v>27199</v>
      </c>
      <c r="F16376" s="2" t="str">
        <f>HYPERLINK("http://www.otzar.org/book.asp?621597","חקי דרך")</f>
        <v>חקי דרך</v>
      </c>
    </row>
    <row r="16377" spans="1:6" x14ac:dyDescent="0.2">
      <c r="A16377" t="s">
        <v>27196</v>
      </c>
      <c r="B16377" t="s">
        <v>27192</v>
      </c>
      <c r="C16377" t="s">
        <v>282</v>
      </c>
      <c r="D16377" t="s">
        <v>9748</v>
      </c>
      <c r="E16377" t="s">
        <v>148</v>
      </c>
      <c r="F16377" s="2" t="str">
        <f>HYPERLINK("http://www.otzar.org/book.asp?18830","חקי דרך")</f>
        <v>חקי דרך</v>
      </c>
    </row>
    <row r="16378" spans="1:6" x14ac:dyDescent="0.2">
      <c r="A16378" t="s">
        <v>27200</v>
      </c>
      <c r="B16378" t="s">
        <v>17958</v>
      </c>
      <c r="C16378" t="s">
        <v>68</v>
      </c>
      <c r="D16378" t="s">
        <v>412</v>
      </c>
      <c r="F16378" s="2" t="str">
        <f>HYPERLINK("http://www.otzar.org/book.asp?615897","חקי חיים על התורה - 2 כר'")</f>
        <v>חקי חיים על התורה - 2 כר'</v>
      </c>
    </row>
    <row r="16379" spans="1:6" x14ac:dyDescent="0.2">
      <c r="A16379" t="s">
        <v>27201</v>
      </c>
      <c r="B16379" t="s">
        <v>27202</v>
      </c>
      <c r="C16379" t="s">
        <v>1494</v>
      </c>
      <c r="D16379" t="s">
        <v>280</v>
      </c>
      <c r="E16379" t="s">
        <v>104</v>
      </c>
      <c r="F16379" s="2" t="str">
        <f>HYPERLINK("http://www.otzar.org/book.asp?173159","חקי חיים")</f>
        <v>חקי חיים</v>
      </c>
    </row>
    <row r="16380" spans="1:6" x14ac:dyDescent="0.2">
      <c r="A16380" t="s">
        <v>27201</v>
      </c>
      <c r="B16380" t="s">
        <v>27203</v>
      </c>
      <c r="C16380" t="s">
        <v>492</v>
      </c>
      <c r="D16380" t="s">
        <v>283</v>
      </c>
      <c r="E16380" t="s">
        <v>15</v>
      </c>
      <c r="F16380" s="2" t="str">
        <f>HYPERLINK("http://www.otzar.org/book.asp?85916","חקי חיים")</f>
        <v>חקי חיים</v>
      </c>
    </row>
    <row r="16381" spans="1:6" x14ac:dyDescent="0.2">
      <c r="A16381" t="s">
        <v>27201</v>
      </c>
      <c r="B16381" t="s">
        <v>27204</v>
      </c>
      <c r="C16381" t="s">
        <v>946</v>
      </c>
      <c r="D16381" t="s">
        <v>100</v>
      </c>
      <c r="E16381" t="s">
        <v>148</v>
      </c>
      <c r="F16381" s="2" t="str">
        <f>HYPERLINK("http://www.otzar.org/book.asp?145","חקי חיים")</f>
        <v>חקי חיים</v>
      </c>
    </row>
    <row r="16382" spans="1:6" x14ac:dyDescent="0.2">
      <c r="A16382" t="s">
        <v>27201</v>
      </c>
      <c r="B16382" t="s">
        <v>26124</v>
      </c>
      <c r="C16382" t="s">
        <v>360</v>
      </c>
      <c r="D16382" t="s">
        <v>27</v>
      </c>
      <c r="E16382" t="s">
        <v>234</v>
      </c>
      <c r="F16382" s="2" t="str">
        <f>HYPERLINK("http://www.otzar.org/book.asp?108233","חקי חיים")</f>
        <v>חקי חיים</v>
      </c>
    </row>
    <row r="16383" spans="1:6" x14ac:dyDescent="0.2">
      <c r="A16383" t="s">
        <v>27205</v>
      </c>
      <c r="B16383" t="s">
        <v>17958</v>
      </c>
      <c r="C16383" t="s">
        <v>785</v>
      </c>
      <c r="D16383" t="s">
        <v>412</v>
      </c>
      <c r="F16383" s="2" t="str">
        <f>HYPERLINK("http://www.otzar.org/book.asp?615881","חקי חיים - 7 כר'")</f>
        <v>חקי חיים - 7 כר'</v>
      </c>
    </row>
    <row r="16384" spans="1:6" x14ac:dyDescent="0.2">
      <c r="A16384" t="s">
        <v>27206</v>
      </c>
      <c r="B16384" t="s">
        <v>27207</v>
      </c>
      <c r="C16384" t="s">
        <v>5140</v>
      </c>
      <c r="D16384" t="s">
        <v>9748</v>
      </c>
      <c r="E16384" t="s">
        <v>172</v>
      </c>
      <c r="F16384" s="2" t="str">
        <f>HYPERLINK("http://www.otzar.org/book.asp?18832","חקי משפט")</f>
        <v>חקי משפט</v>
      </c>
    </row>
    <row r="16385" spans="1:6" x14ac:dyDescent="0.2">
      <c r="A16385" t="s">
        <v>27208</v>
      </c>
      <c r="B16385" t="s">
        <v>17162</v>
      </c>
      <c r="C16385" t="s">
        <v>466</v>
      </c>
      <c r="D16385" t="s">
        <v>152</v>
      </c>
      <c r="E16385" t="s">
        <v>144</v>
      </c>
      <c r="F16385" s="2" t="str">
        <f>HYPERLINK("http://www.otzar.org/book.asp?50368","חקירות במסכת ברכות")</f>
        <v>חקירות במסכת ברכות</v>
      </c>
    </row>
    <row r="16386" spans="1:6" x14ac:dyDescent="0.2">
      <c r="A16386" t="s">
        <v>27209</v>
      </c>
      <c r="B16386" t="s">
        <v>19704</v>
      </c>
      <c r="C16386" t="s">
        <v>20</v>
      </c>
      <c r="D16386" t="s">
        <v>11652</v>
      </c>
      <c r="E16386" t="s">
        <v>144</v>
      </c>
      <c r="F16386" s="2" t="str">
        <f>HYPERLINK("http://www.otzar.org/book.asp?14206","חקירות והארות")</f>
        <v>חקירות והארות</v>
      </c>
    </row>
    <row r="16387" spans="1:6" x14ac:dyDescent="0.2">
      <c r="A16387" t="s">
        <v>27210</v>
      </c>
      <c r="B16387" t="s">
        <v>27211</v>
      </c>
      <c r="C16387" t="s">
        <v>68</v>
      </c>
      <c r="D16387" t="s">
        <v>14</v>
      </c>
      <c r="E16387" t="s">
        <v>104</v>
      </c>
      <c r="F16387" s="2" t="str">
        <f>HYPERLINK("http://www.otzar.org/book.asp?181021","חקירות שמואל")</f>
        <v>חקירות שמואל</v>
      </c>
    </row>
    <row r="16388" spans="1:6" x14ac:dyDescent="0.2">
      <c r="A16388" t="s">
        <v>27212</v>
      </c>
      <c r="B16388" t="s">
        <v>27213</v>
      </c>
      <c r="C16388" t="s">
        <v>114</v>
      </c>
      <c r="D16388" t="s">
        <v>52</v>
      </c>
      <c r="E16388" t="s">
        <v>144</v>
      </c>
      <c r="F16388" s="2" t="str">
        <f>HYPERLINK("http://www.otzar.org/book.asp?162069","חקירות")</f>
        <v>חקירות</v>
      </c>
    </row>
    <row r="16389" spans="1:6" x14ac:dyDescent="0.2">
      <c r="A16389" t="s">
        <v>27214</v>
      </c>
      <c r="B16389" t="s">
        <v>27215</v>
      </c>
      <c r="C16389" t="s">
        <v>752</v>
      </c>
      <c r="D16389" t="s">
        <v>15591</v>
      </c>
      <c r="E16389" t="s">
        <v>154</v>
      </c>
      <c r="F16389" s="2" t="str">
        <f>HYPERLINK("http://www.otzar.org/book.asp?153660","חקירת ראשית")</f>
        <v>חקירת ראשית</v>
      </c>
    </row>
    <row r="16390" spans="1:6" x14ac:dyDescent="0.2">
      <c r="A16390" t="s">
        <v>27216</v>
      </c>
      <c r="B16390" t="s">
        <v>27217</v>
      </c>
      <c r="C16390" t="s">
        <v>151</v>
      </c>
      <c r="D16390" t="s">
        <v>90</v>
      </c>
      <c r="E16390" t="s">
        <v>241</v>
      </c>
      <c r="F16390" s="2" t="str">
        <f>HYPERLINK("http://www.otzar.org/book.asp?620720","חקל חיים - 2 כר'")</f>
        <v>חקל חיים - 2 כר'</v>
      </c>
    </row>
    <row r="16391" spans="1:6" x14ac:dyDescent="0.2">
      <c r="A16391" t="s">
        <v>27218</v>
      </c>
      <c r="B16391" t="s">
        <v>20897</v>
      </c>
      <c r="C16391" t="s">
        <v>454</v>
      </c>
      <c r="D16391" t="s">
        <v>412</v>
      </c>
      <c r="E16391" t="s">
        <v>158</v>
      </c>
      <c r="F16391" s="2" t="str">
        <f>HYPERLINK("http://www.otzar.org/book.asp?174187","חקל יצחק &lt;מהדורה חדשה&gt; - 2 כר'")</f>
        <v>חקל יצחק &lt;מהדורה חדשה&gt; - 2 כר'</v>
      </c>
    </row>
    <row r="16392" spans="1:6" x14ac:dyDescent="0.2">
      <c r="A16392" t="s">
        <v>27219</v>
      </c>
      <c r="B16392" t="s">
        <v>20897</v>
      </c>
      <c r="C16392" t="s">
        <v>1062</v>
      </c>
      <c r="D16392" t="s">
        <v>412</v>
      </c>
      <c r="E16392" t="s">
        <v>158</v>
      </c>
      <c r="F16392" s="2" t="str">
        <f>HYPERLINK("http://www.otzar.org/book.asp?14299","חקל יצחק &lt;עה""ת&gt; - א")</f>
        <v>חקל יצחק &lt;עה"ת&gt; - א</v>
      </c>
    </row>
    <row r="16393" spans="1:6" x14ac:dyDescent="0.2">
      <c r="A16393" t="s">
        <v>27220</v>
      </c>
      <c r="B16393" t="s">
        <v>16792</v>
      </c>
      <c r="C16393" t="s">
        <v>27221</v>
      </c>
      <c r="D16393" t="s">
        <v>283</v>
      </c>
      <c r="E16393" t="s">
        <v>10687</v>
      </c>
      <c r="F16393" s="2" t="str">
        <f>HYPERLINK("http://www.otzar.org/book.asp?102468","חקל תפוחים")</f>
        <v>חקל תפוחים</v>
      </c>
    </row>
    <row r="16394" spans="1:6" x14ac:dyDescent="0.2">
      <c r="A16394" t="s">
        <v>27222</v>
      </c>
      <c r="B16394" t="s">
        <v>4182</v>
      </c>
      <c r="C16394" t="s">
        <v>989</v>
      </c>
      <c r="D16394" t="s">
        <v>412</v>
      </c>
      <c r="E16394" t="s">
        <v>158</v>
      </c>
      <c r="F16394" s="2" t="str">
        <f>HYPERLINK("http://www.otzar.org/book.asp?6729","חקל תפוחין")</f>
        <v>חקל תפוחין</v>
      </c>
    </row>
    <row r="16395" spans="1:6" x14ac:dyDescent="0.2">
      <c r="A16395" t="s">
        <v>27223</v>
      </c>
      <c r="B16395" t="s">
        <v>27224</v>
      </c>
      <c r="C16395" t="s">
        <v>1811</v>
      </c>
      <c r="D16395" t="s">
        <v>1153</v>
      </c>
      <c r="E16395" t="s">
        <v>1438</v>
      </c>
      <c r="F16395" s="2" t="str">
        <f>HYPERLINK("http://www.otzar.org/book.asp?602825","חקל תפוחין, סמא דחיי")</f>
        <v>חקל תפוחין, סמא דחיי</v>
      </c>
    </row>
    <row r="16396" spans="1:6" x14ac:dyDescent="0.2">
      <c r="A16396" t="s">
        <v>27225</v>
      </c>
      <c r="B16396" t="s">
        <v>155</v>
      </c>
      <c r="C16396" t="s">
        <v>27226</v>
      </c>
      <c r="D16396" t="s">
        <v>76</v>
      </c>
      <c r="E16396" t="s">
        <v>154</v>
      </c>
      <c r="F16396" s="2" t="str">
        <f>HYPERLINK("http://www.otzar.org/book.asp?750","חקקי לב - 3 כר'")</f>
        <v>חקקי לב - 3 כר'</v>
      </c>
    </row>
    <row r="16397" spans="1:6" x14ac:dyDescent="0.2">
      <c r="A16397" t="s">
        <v>27227</v>
      </c>
      <c r="B16397" t="s">
        <v>27228</v>
      </c>
      <c r="C16397" t="s">
        <v>433</v>
      </c>
      <c r="D16397" t="s">
        <v>90</v>
      </c>
      <c r="E16397" t="s">
        <v>15</v>
      </c>
      <c r="F16397" s="2" t="str">
        <f>HYPERLINK("http://www.otzar.org/book.asp?620648","חקר דבר")</f>
        <v>חקר דבר</v>
      </c>
    </row>
    <row r="16398" spans="1:6" x14ac:dyDescent="0.2">
      <c r="A16398" t="s">
        <v>27229</v>
      </c>
      <c r="B16398" t="s">
        <v>10461</v>
      </c>
      <c r="C16398" t="s">
        <v>27230</v>
      </c>
      <c r="D16398" t="s">
        <v>27</v>
      </c>
      <c r="E16398" t="s">
        <v>474</v>
      </c>
      <c r="F16398" s="2" t="str">
        <f>HYPERLINK("http://www.otzar.org/book.asp?50893","חקר דעת - 2 כר'")</f>
        <v>חקר דעת - 2 כר'</v>
      </c>
    </row>
    <row r="16399" spans="1:6" x14ac:dyDescent="0.2">
      <c r="A16399" t="s">
        <v>27231</v>
      </c>
      <c r="B16399" t="s">
        <v>2048</v>
      </c>
      <c r="C16399" t="s">
        <v>17</v>
      </c>
      <c r="D16399" t="s">
        <v>245</v>
      </c>
      <c r="E16399" t="s">
        <v>104</v>
      </c>
      <c r="F16399" s="2" t="str">
        <f>HYPERLINK("http://www.otzar.org/book.asp?168272","חקר הלכה &lt;מהדורה חדשה&gt; - 2 כר'")</f>
        <v>חקר הלכה &lt;מהדורה חדשה&gt; - 2 כר'</v>
      </c>
    </row>
    <row r="16400" spans="1:6" x14ac:dyDescent="0.2">
      <c r="A16400" t="s">
        <v>27232</v>
      </c>
      <c r="B16400" t="s">
        <v>27233</v>
      </c>
      <c r="C16400" t="s">
        <v>2644</v>
      </c>
      <c r="D16400" t="s">
        <v>790</v>
      </c>
      <c r="E16400" t="s">
        <v>154</v>
      </c>
      <c r="F16400" s="2" t="str">
        <f>HYPERLINK("http://www.otzar.org/book.asp?28593","חקר הלכה")</f>
        <v>חקר הלכה</v>
      </c>
    </row>
    <row r="16401" spans="1:6" x14ac:dyDescent="0.2">
      <c r="A16401" t="s">
        <v>27234</v>
      </c>
      <c r="B16401" t="s">
        <v>27235</v>
      </c>
      <c r="C16401" t="s">
        <v>1246</v>
      </c>
      <c r="D16401" t="s">
        <v>14</v>
      </c>
      <c r="E16401" t="s">
        <v>15</v>
      </c>
      <c r="F16401" s="2" t="str">
        <f>HYPERLINK("http://www.otzar.org/book.asp?21994","חקר הלכה - במעשר פרי הבננות")</f>
        <v>חקר הלכה - במעשר פרי הבננות</v>
      </c>
    </row>
    <row r="16402" spans="1:6" x14ac:dyDescent="0.2">
      <c r="A16402" t="s">
        <v>27232</v>
      </c>
      <c r="B16402" t="s">
        <v>2048</v>
      </c>
      <c r="C16402" t="s">
        <v>429</v>
      </c>
      <c r="D16402" t="s">
        <v>267</v>
      </c>
      <c r="E16402" t="s">
        <v>1211</v>
      </c>
      <c r="F16402" s="2" t="str">
        <f>HYPERLINK("http://www.otzar.org/book.asp?101426","חקר הלכה")</f>
        <v>חקר הלכה</v>
      </c>
    </row>
    <row r="16403" spans="1:6" x14ac:dyDescent="0.2">
      <c r="A16403" t="s">
        <v>27236</v>
      </c>
      <c r="B16403" t="s">
        <v>27237</v>
      </c>
      <c r="C16403" t="s">
        <v>1388</v>
      </c>
      <c r="D16403" t="s">
        <v>412</v>
      </c>
      <c r="F16403" s="2" t="str">
        <f>HYPERLINK("http://www.otzar.org/book.asp?617181","חקר הלכה - הלכות ריבית")</f>
        <v>חקר הלכה - הלכות ריבית</v>
      </c>
    </row>
    <row r="16404" spans="1:6" x14ac:dyDescent="0.2">
      <c r="A16404" t="s">
        <v>27232</v>
      </c>
      <c r="B16404" t="s">
        <v>3945</v>
      </c>
      <c r="C16404" t="s">
        <v>5823</v>
      </c>
      <c r="D16404" t="s">
        <v>379</v>
      </c>
      <c r="E16404" t="s">
        <v>154</v>
      </c>
      <c r="F16404" s="2" t="str">
        <f>HYPERLINK("http://www.otzar.org/book.asp?14230","חקר הלכה")</f>
        <v>חקר הלכה</v>
      </c>
    </row>
    <row r="16405" spans="1:6" x14ac:dyDescent="0.2">
      <c r="A16405" t="s">
        <v>27238</v>
      </c>
      <c r="B16405" t="s">
        <v>27239</v>
      </c>
      <c r="C16405" t="s">
        <v>51</v>
      </c>
      <c r="D16405" t="s">
        <v>14</v>
      </c>
      <c r="E16405" t="s">
        <v>674</v>
      </c>
      <c r="F16405" s="2" t="str">
        <f>HYPERLINK("http://www.otzar.org/book.asp?85425","חקר המנחה")</f>
        <v>חקר המנחה</v>
      </c>
    </row>
    <row r="16406" spans="1:6" x14ac:dyDescent="0.2">
      <c r="A16406" t="s">
        <v>27240</v>
      </c>
      <c r="B16406" t="s">
        <v>19756</v>
      </c>
      <c r="C16406" t="s">
        <v>1663</v>
      </c>
      <c r="D16406" t="s">
        <v>260</v>
      </c>
      <c r="E16406" t="s">
        <v>104</v>
      </c>
      <c r="F16406" s="2" t="str">
        <f>HYPERLINK("http://www.otzar.org/book.asp?15153","חקר ועיון - 5 כר'")</f>
        <v>חקר ועיון - 5 כר'</v>
      </c>
    </row>
    <row r="16407" spans="1:6" x14ac:dyDescent="0.2">
      <c r="A16407" t="s">
        <v>27241</v>
      </c>
      <c r="B16407" t="s">
        <v>27242</v>
      </c>
      <c r="C16407" t="s">
        <v>111</v>
      </c>
      <c r="D16407" t="s">
        <v>90</v>
      </c>
      <c r="E16407" t="s">
        <v>230</v>
      </c>
      <c r="F16407" s="2" t="str">
        <f>HYPERLINK("http://www.otzar.org/book.asp?628180","חקר ועיון - 24 כר'")</f>
        <v>חקר ועיון - 24 כר'</v>
      </c>
    </row>
    <row r="16408" spans="1:6" x14ac:dyDescent="0.2">
      <c r="A16408" t="s">
        <v>27243</v>
      </c>
      <c r="B16408" t="s">
        <v>3202</v>
      </c>
      <c r="C16408" t="s">
        <v>124</v>
      </c>
      <c r="D16408" t="s">
        <v>14</v>
      </c>
      <c r="E16408" t="s">
        <v>733</v>
      </c>
      <c r="F16408" s="2" t="str">
        <f>HYPERLINK("http://www.otzar.org/book.asp?151599","חקר יהדות תימן")</f>
        <v>חקר יהדות תימן</v>
      </c>
    </row>
    <row r="16409" spans="1:6" x14ac:dyDescent="0.2">
      <c r="A16409" t="s">
        <v>27244</v>
      </c>
      <c r="B16409" t="s">
        <v>18416</v>
      </c>
      <c r="C16409" t="s">
        <v>609</v>
      </c>
      <c r="D16409" t="s">
        <v>10393</v>
      </c>
      <c r="E16409" t="s">
        <v>144</v>
      </c>
      <c r="F16409" s="2" t="str">
        <f>HYPERLINK("http://www.otzar.org/book.asp?105014","חקר יצחק")</f>
        <v>חקר יצחק</v>
      </c>
    </row>
    <row r="16410" spans="1:6" x14ac:dyDescent="0.2">
      <c r="A16410" t="s">
        <v>27245</v>
      </c>
      <c r="B16410" t="s">
        <v>27246</v>
      </c>
      <c r="C16410" t="s">
        <v>506</v>
      </c>
      <c r="D16410" t="s">
        <v>610</v>
      </c>
      <c r="E16410" t="s">
        <v>435</v>
      </c>
      <c r="F16410" s="2" t="str">
        <f>HYPERLINK("http://www.otzar.org/book.asp?105015","חקר שמואל")</f>
        <v>חקר שמואל</v>
      </c>
    </row>
    <row r="16411" spans="1:6" x14ac:dyDescent="0.2">
      <c r="A16411" t="s">
        <v>27247</v>
      </c>
      <c r="B16411" t="s">
        <v>27248</v>
      </c>
      <c r="C16411" t="s">
        <v>27249</v>
      </c>
      <c r="D16411" t="s">
        <v>52</v>
      </c>
      <c r="F16411" s="2" t="str">
        <f>HYPERLINK("http://www.otzar.org/book.asp?197235","חקרי אור")</f>
        <v>חקרי אור</v>
      </c>
    </row>
    <row r="16412" spans="1:6" x14ac:dyDescent="0.2">
      <c r="A16412" t="s">
        <v>27250</v>
      </c>
      <c r="B16412" t="s">
        <v>27251</v>
      </c>
      <c r="C16412" t="s">
        <v>114</v>
      </c>
      <c r="D16412" t="s">
        <v>115</v>
      </c>
      <c r="E16412" t="s">
        <v>144</v>
      </c>
      <c r="F16412" s="2" t="str">
        <f>HYPERLINK("http://www.otzar.org/book.asp?85836","חקרי דוד - 3 כר'")</f>
        <v>חקרי דוד - 3 כר'</v>
      </c>
    </row>
    <row r="16413" spans="1:6" x14ac:dyDescent="0.2">
      <c r="A16413" t="s">
        <v>27252</v>
      </c>
      <c r="B16413" t="s">
        <v>21200</v>
      </c>
      <c r="C16413" t="s">
        <v>114</v>
      </c>
      <c r="D16413" t="s">
        <v>152</v>
      </c>
      <c r="E16413" t="s">
        <v>15</v>
      </c>
      <c r="F16413" s="2" t="str">
        <f>HYPERLINK("http://www.otzar.org/book.asp?163707","חקרי הלכה - 2 כר'")</f>
        <v>חקרי הלכה - 2 כר'</v>
      </c>
    </row>
    <row r="16414" spans="1:6" x14ac:dyDescent="0.2">
      <c r="A16414" t="s">
        <v>27253</v>
      </c>
      <c r="B16414" t="s">
        <v>27254</v>
      </c>
      <c r="C16414" t="s">
        <v>1458</v>
      </c>
      <c r="D16414" t="s">
        <v>56</v>
      </c>
      <c r="E16414" t="s">
        <v>144</v>
      </c>
      <c r="F16414" s="2" t="str">
        <f>HYPERLINK("http://www.otzar.org/book.asp?101393","חקרי הלכות")</f>
        <v>חקרי הלכות</v>
      </c>
    </row>
    <row r="16415" spans="1:6" x14ac:dyDescent="0.2">
      <c r="A16415" t="s">
        <v>27255</v>
      </c>
      <c r="B16415" t="s">
        <v>27256</v>
      </c>
      <c r="C16415" t="s">
        <v>442</v>
      </c>
      <c r="D16415" t="s">
        <v>563</v>
      </c>
      <c r="E16415" t="s">
        <v>154</v>
      </c>
      <c r="F16415" s="2" t="str">
        <f>HYPERLINK("http://www.otzar.org/book.asp?13806","חקרי הלכות - 2 כר'")</f>
        <v>חקרי הלכות - 2 כר'</v>
      </c>
    </row>
    <row r="16416" spans="1:6" x14ac:dyDescent="0.2">
      <c r="A16416" t="s">
        <v>27257</v>
      </c>
      <c r="B16416" t="s">
        <v>15969</v>
      </c>
      <c r="C16416" t="s">
        <v>366</v>
      </c>
      <c r="D16416" t="s">
        <v>52</v>
      </c>
      <c r="E16416" t="s">
        <v>144</v>
      </c>
      <c r="F16416" s="2" t="str">
        <f>HYPERLINK("http://www.otzar.org/book.asp?607141","חקרי טל")</f>
        <v>חקרי טל</v>
      </c>
    </row>
    <row r="16417" spans="1:6" x14ac:dyDescent="0.2">
      <c r="A16417" t="s">
        <v>27258</v>
      </c>
      <c r="B16417" t="s">
        <v>27259</v>
      </c>
      <c r="C16417" t="s">
        <v>63</v>
      </c>
      <c r="D16417" t="s">
        <v>14</v>
      </c>
      <c r="E16417" t="s">
        <v>27260</v>
      </c>
      <c r="F16417" s="2" t="str">
        <f>HYPERLINK("http://www.otzar.org/book.asp?15519","חקרי יהדות")</f>
        <v>חקרי יהדות</v>
      </c>
    </row>
    <row r="16418" spans="1:6" x14ac:dyDescent="0.2">
      <c r="A16418" t="s">
        <v>27261</v>
      </c>
      <c r="B16418" t="s">
        <v>25998</v>
      </c>
      <c r="C16418" t="s">
        <v>103</v>
      </c>
      <c r="D16418" t="s">
        <v>14</v>
      </c>
      <c r="E16418" t="s">
        <v>158</v>
      </c>
      <c r="F16418" s="2" t="str">
        <f>HYPERLINK("http://www.otzar.org/book.asp?60026","חקרי לב - 3 כר'")</f>
        <v>חקרי לב - 3 כר'</v>
      </c>
    </row>
    <row r="16419" spans="1:6" x14ac:dyDescent="0.2">
      <c r="A16419" t="s">
        <v>27262</v>
      </c>
      <c r="B16419" t="s">
        <v>27263</v>
      </c>
      <c r="C16419" t="s">
        <v>27264</v>
      </c>
      <c r="D16419" t="s">
        <v>76</v>
      </c>
      <c r="E16419" t="s">
        <v>154</v>
      </c>
      <c r="F16419" s="2" t="str">
        <f>HYPERLINK("http://www.otzar.org/book.asp?7739","חקרי לב - 14 כר'")</f>
        <v>חקרי לב - 14 כר'</v>
      </c>
    </row>
    <row r="16420" spans="1:6" x14ac:dyDescent="0.2">
      <c r="A16420" t="s">
        <v>27265</v>
      </c>
      <c r="B16420" t="s">
        <v>27266</v>
      </c>
      <c r="C16420" t="s">
        <v>1208</v>
      </c>
      <c r="D16420" t="s">
        <v>27267</v>
      </c>
      <c r="E16420" t="s">
        <v>2091</v>
      </c>
      <c r="F16420" s="2" t="str">
        <f>HYPERLINK("http://www.otzar.org/book.asp?164019","חקרי לב - א")</f>
        <v>חקרי לב - א</v>
      </c>
    </row>
    <row r="16421" spans="1:6" x14ac:dyDescent="0.2">
      <c r="A16421" t="s">
        <v>27268</v>
      </c>
      <c r="B16421" t="s">
        <v>27269</v>
      </c>
      <c r="C16421" t="s">
        <v>1166</v>
      </c>
      <c r="D16421" t="s">
        <v>225</v>
      </c>
      <c r="E16421" t="s">
        <v>435</v>
      </c>
      <c r="F16421" s="2" t="str">
        <f>HYPERLINK("http://www.otzar.org/book.asp?24553","חקרי לב")</f>
        <v>חקרי לב</v>
      </c>
    </row>
    <row r="16422" spans="1:6" x14ac:dyDescent="0.2">
      <c r="A16422" t="s">
        <v>27270</v>
      </c>
      <c r="B16422" t="s">
        <v>3901</v>
      </c>
      <c r="C16422" t="s">
        <v>87</v>
      </c>
      <c r="D16422" t="s">
        <v>52</v>
      </c>
      <c r="E16422" t="s">
        <v>241</v>
      </c>
      <c r="F16422" s="2" t="str">
        <f>HYPERLINK("http://www.otzar.org/book.asp?172226","חקרי לב - חובת הלבבות")</f>
        <v>חקרי לב - חובת הלבבות</v>
      </c>
    </row>
    <row r="16423" spans="1:6" x14ac:dyDescent="0.2">
      <c r="A16423" t="s">
        <v>27268</v>
      </c>
      <c r="B16423" t="s">
        <v>22053</v>
      </c>
      <c r="C16423" t="s">
        <v>37</v>
      </c>
      <c r="D16423" t="s">
        <v>276</v>
      </c>
      <c r="F16423" s="2" t="str">
        <f>HYPERLINK("http://www.otzar.org/book.asp?610175","חקרי לב")</f>
        <v>חקרי לב</v>
      </c>
    </row>
    <row r="16424" spans="1:6" x14ac:dyDescent="0.2">
      <c r="A16424" t="s">
        <v>27268</v>
      </c>
      <c r="B16424" t="s">
        <v>18478</v>
      </c>
      <c r="C16424" t="s">
        <v>160</v>
      </c>
      <c r="D16424" t="s">
        <v>9</v>
      </c>
      <c r="E16424" t="s">
        <v>901</v>
      </c>
      <c r="F16424" s="2" t="str">
        <f>HYPERLINK("http://www.otzar.org/book.asp?51032","חקרי לב")</f>
        <v>חקרי לב</v>
      </c>
    </row>
    <row r="16425" spans="1:6" x14ac:dyDescent="0.2">
      <c r="A16425" t="s">
        <v>27271</v>
      </c>
      <c r="B16425" t="s">
        <v>1750</v>
      </c>
      <c r="C16425" t="s">
        <v>129</v>
      </c>
      <c r="D16425" t="s">
        <v>14</v>
      </c>
      <c r="E16425" t="s">
        <v>202</v>
      </c>
      <c r="F16425" s="2" t="str">
        <f>HYPERLINK("http://www.otzar.org/book.asp?160641","חקרי תורה - א")</f>
        <v>חקרי תורה - א</v>
      </c>
    </row>
    <row r="16426" spans="1:6" x14ac:dyDescent="0.2">
      <c r="A16426" t="s">
        <v>27272</v>
      </c>
      <c r="B16426" t="s">
        <v>9479</v>
      </c>
      <c r="C16426" t="s">
        <v>106</v>
      </c>
      <c r="D16426" t="s">
        <v>14</v>
      </c>
      <c r="E16426" t="s">
        <v>13811</v>
      </c>
      <c r="F16426" s="2" t="str">
        <f>HYPERLINK("http://www.otzar.org/book.asp?143214","חקרים")</f>
        <v>חקרים</v>
      </c>
    </row>
    <row r="16427" spans="1:6" x14ac:dyDescent="0.2">
      <c r="A16427" t="s">
        <v>27273</v>
      </c>
      <c r="B16427" t="s">
        <v>27274</v>
      </c>
      <c r="C16427" t="s">
        <v>442</v>
      </c>
      <c r="D16427" t="s">
        <v>20460</v>
      </c>
      <c r="E16427" t="s">
        <v>246</v>
      </c>
      <c r="F16427" s="2" t="str">
        <f>HYPERLINK("http://www.otzar.org/book.asp?149266","חקת הפסח הקצר")</f>
        <v>חקת הפסח הקצר</v>
      </c>
    </row>
    <row r="16428" spans="1:6" x14ac:dyDescent="0.2">
      <c r="A16428" t="s">
        <v>27275</v>
      </c>
      <c r="B16428" t="s">
        <v>27276</v>
      </c>
      <c r="C16428" t="s">
        <v>3475</v>
      </c>
      <c r="D16428" t="s">
        <v>18023</v>
      </c>
      <c r="F16428" s="2" t="str">
        <f>HYPERLINK("http://www.otzar.org/book.asp?53390","חקת הפסח")</f>
        <v>חקת הפסח</v>
      </c>
    </row>
    <row r="16429" spans="1:6" x14ac:dyDescent="0.2">
      <c r="A16429" t="s">
        <v>27275</v>
      </c>
      <c r="B16429" t="s">
        <v>21859</v>
      </c>
      <c r="C16429" t="s">
        <v>291</v>
      </c>
      <c r="D16429" t="s">
        <v>212</v>
      </c>
      <c r="E16429" t="s">
        <v>872</v>
      </c>
      <c r="F16429" s="2" t="str">
        <f>HYPERLINK("http://www.otzar.org/book.asp?5761","חקת הפסח")</f>
        <v>חקת הפסח</v>
      </c>
    </row>
    <row r="16430" spans="1:6" x14ac:dyDescent="0.2">
      <c r="A16430" t="s">
        <v>27275</v>
      </c>
      <c r="B16430" t="s">
        <v>27277</v>
      </c>
      <c r="C16430" t="s">
        <v>27278</v>
      </c>
      <c r="D16430" t="s">
        <v>76</v>
      </c>
      <c r="E16430" t="s">
        <v>246</v>
      </c>
      <c r="F16430" s="2" t="str">
        <f>HYPERLINK("http://www.otzar.org/book.asp?51015","חקת הפסח")</f>
        <v>חקת הפסח</v>
      </c>
    </row>
    <row r="16431" spans="1:6" x14ac:dyDescent="0.2">
      <c r="A16431" t="s">
        <v>27275</v>
      </c>
      <c r="B16431" t="s">
        <v>24920</v>
      </c>
      <c r="C16431" t="s">
        <v>68</v>
      </c>
      <c r="D16431" t="s">
        <v>486</v>
      </c>
      <c r="E16431" t="s">
        <v>15</v>
      </c>
      <c r="F16431" s="2" t="str">
        <f>HYPERLINK("http://www.otzar.org/book.asp?156007","חקת הפסח")</f>
        <v>חקת הפסח</v>
      </c>
    </row>
    <row r="16432" spans="1:6" x14ac:dyDescent="0.2">
      <c r="A16432" t="s">
        <v>27275</v>
      </c>
      <c r="B16432" t="s">
        <v>27279</v>
      </c>
      <c r="C16432" t="s">
        <v>2617</v>
      </c>
      <c r="D16432" t="s">
        <v>535</v>
      </c>
      <c r="E16432" t="s">
        <v>27280</v>
      </c>
      <c r="F16432" s="2" t="str">
        <f>HYPERLINK("http://www.otzar.org/book.asp?189318","חקת הפסח")</f>
        <v>חקת הפסח</v>
      </c>
    </row>
    <row r="16433" spans="1:6" x14ac:dyDescent="0.2">
      <c r="A16433" t="s">
        <v>27275</v>
      </c>
      <c r="B16433" t="s">
        <v>22781</v>
      </c>
      <c r="C16433" t="s">
        <v>1458</v>
      </c>
      <c r="D16433" t="s">
        <v>212</v>
      </c>
      <c r="E16433" t="s">
        <v>1517</v>
      </c>
      <c r="F16433" s="2" t="str">
        <f>HYPERLINK("http://www.otzar.org/book.asp?104743","חקת הפסח")</f>
        <v>חקת הפסח</v>
      </c>
    </row>
    <row r="16434" spans="1:6" x14ac:dyDescent="0.2">
      <c r="A16434" t="s">
        <v>27281</v>
      </c>
      <c r="B16434" t="s">
        <v>5964</v>
      </c>
      <c r="C16434" t="s">
        <v>129</v>
      </c>
      <c r="D16434" t="s">
        <v>21</v>
      </c>
      <c r="F16434" s="2" t="str">
        <f>HYPERLINK("http://www.otzar.org/book.asp?601226","חקת משפט - 3 כר'")</f>
        <v>חקת משפט - 3 כר'</v>
      </c>
    </row>
    <row r="16435" spans="1:6" x14ac:dyDescent="0.2">
      <c r="A16435" t="s">
        <v>27282</v>
      </c>
      <c r="B16435" t="s">
        <v>24920</v>
      </c>
      <c r="C16435" t="s">
        <v>68</v>
      </c>
      <c r="D16435" t="s">
        <v>14</v>
      </c>
      <c r="E16435" t="s">
        <v>15</v>
      </c>
      <c r="F16435" s="2" t="str">
        <f>HYPERLINK("http://www.otzar.org/book.asp?168005","חקת משפט - לא תגזול")</f>
        <v>חקת משפט - לא תגזול</v>
      </c>
    </row>
    <row r="16436" spans="1:6" x14ac:dyDescent="0.2">
      <c r="A16436" t="s">
        <v>27283</v>
      </c>
      <c r="B16436" t="s">
        <v>27284</v>
      </c>
      <c r="C16436" t="s">
        <v>27285</v>
      </c>
      <c r="D16436" t="s">
        <v>592</v>
      </c>
      <c r="F16436" s="2" t="str">
        <f>HYPERLINK("http://www.otzar.org/book.asp?620975","חקת עולם - 5 כר'")</f>
        <v>חקת עולם - 5 כר'</v>
      </c>
    </row>
    <row r="16437" spans="1:6" x14ac:dyDescent="0.2">
      <c r="A16437" t="s">
        <v>27286</v>
      </c>
      <c r="B16437" t="s">
        <v>27287</v>
      </c>
      <c r="C16437" t="s">
        <v>27288</v>
      </c>
      <c r="D16437" t="s">
        <v>27</v>
      </c>
      <c r="E16437" t="s">
        <v>219</v>
      </c>
      <c r="F16437" s="2" t="str">
        <f>HYPERLINK("http://www.otzar.org/book.asp?11954","חקת עולם - ו")</f>
        <v>חקת עולם - ו</v>
      </c>
    </row>
    <row r="16438" spans="1:6" x14ac:dyDescent="0.2">
      <c r="A16438" t="s">
        <v>27289</v>
      </c>
      <c r="B16438" t="s">
        <v>1681</v>
      </c>
      <c r="C16438" t="s">
        <v>185</v>
      </c>
      <c r="D16438" t="s">
        <v>52</v>
      </c>
      <c r="E16438" t="s">
        <v>15</v>
      </c>
      <c r="F16438" s="2" t="str">
        <f>HYPERLINK("http://www.otzar.org/book.asp?629351","חרב פיפיות")</f>
        <v>חרב פיפיות</v>
      </c>
    </row>
    <row r="16439" spans="1:6" x14ac:dyDescent="0.2">
      <c r="A16439" t="s">
        <v>27289</v>
      </c>
      <c r="B16439" t="s">
        <v>27290</v>
      </c>
      <c r="C16439" t="s">
        <v>1609</v>
      </c>
      <c r="D16439" t="s">
        <v>27</v>
      </c>
      <c r="E16439" t="s">
        <v>583</v>
      </c>
      <c r="F16439" s="2" t="str">
        <f>HYPERLINK("http://www.otzar.org/book.asp?103193","חרב פיפיות")</f>
        <v>חרב פיפיות</v>
      </c>
    </row>
    <row r="16440" spans="1:6" x14ac:dyDescent="0.2">
      <c r="A16440" t="s">
        <v>27291</v>
      </c>
      <c r="B16440" t="s">
        <v>27292</v>
      </c>
      <c r="C16440" t="s">
        <v>1268</v>
      </c>
      <c r="D16440" t="s">
        <v>216</v>
      </c>
      <c r="E16440" t="s">
        <v>733</v>
      </c>
      <c r="F16440" s="2" t="str">
        <f>HYPERLINK("http://www.otzar.org/book.asp?173658","חרבות ירושלם &lt;מהדורה מוערת&gt;")</f>
        <v>חרבות ירושלם &lt;מהדורה מוערת&gt;</v>
      </c>
    </row>
    <row r="16441" spans="1:6" x14ac:dyDescent="0.2">
      <c r="A16441" t="s">
        <v>27293</v>
      </c>
      <c r="B16441" t="s">
        <v>27294</v>
      </c>
      <c r="C16441" t="s">
        <v>506</v>
      </c>
      <c r="D16441" t="s">
        <v>27</v>
      </c>
      <c r="E16441" t="s">
        <v>119</v>
      </c>
      <c r="F16441" s="2" t="str">
        <f>HYPERLINK("http://www.otzar.org/book.asp?613","חרבות ירושלם - 2 כר'")</f>
        <v>חרבות ירושלם - 2 כר'</v>
      </c>
    </row>
    <row r="16442" spans="1:6" x14ac:dyDescent="0.2">
      <c r="A16442" t="s">
        <v>27295</v>
      </c>
      <c r="B16442" t="s">
        <v>27296</v>
      </c>
      <c r="C16442" t="s">
        <v>366</v>
      </c>
      <c r="D16442" t="s">
        <v>21</v>
      </c>
      <c r="F16442" s="2" t="str">
        <f>HYPERLINK("http://www.otzar.org/book.asp?610060","חרבות צורים")</f>
        <v>חרבות צורים</v>
      </c>
    </row>
    <row r="16443" spans="1:6" x14ac:dyDescent="0.2">
      <c r="A16443" t="s">
        <v>27297</v>
      </c>
      <c r="B16443" t="s">
        <v>14773</v>
      </c>
      <c r="C16443" t="s">
        <v>454</v>
      </c>
      <c r="D16443" t="s">
        <v>14</v>
      </c>
      <c r="F16443" s="2" t="str">
        <f>HYPERLINK("http://www.otzar.org/book.asp?622319","חרדים - על התורה")</f>
        <v>חרדים - על התורה</v>
      </c>
    </row>
    <row r="16444" spans="1:6" x14ac:dyDescent="0.2">
      <c r="A16444" t="s">
        <v>27298</v>
      </c>
      <c r="B16444" t="s">
        <v>27299</v>
      </c>
      <c r="C16444" t="s">
        <v>1625</v>
      </c>
      <c r="D16444" t="s">
        <v>729</v>
      </c>
      <c r="E16444" t="s">
        <v>246</v>
      </c>
      <c r="F16444" s="2" t="str">
        <f>HYPERLINK("http://www.otzar.org/book.asp?63899","חרוז נאה על דרך הלצה לשמוח בפורים")</f>
        <v>חרוז נאה על דרך הלצה לשמוח בפורים</v>
      </c>
    </row>
    <row r="16445" spans="1:6" x14ac:dyDescent="0.2">
      <c r="A16445" t="s">
        <v>27300</v>
      </c>
      <c r="B16445" t="s">
        <v>13816</v>
      </c>
      <c r="C16445" t="s">
        <v>558</v>
      </c>
      <c r="D16445" t="s">
        <v>27</v>
      </c>
      <c r="E16445" t="s">
        <v>16980</v>
      </c>
      <c r="F16445" s="2" t="str">
        <f>HYPERLINK("http://www.otzar.org/book.asp?50883","חרוזי מרגליות - 2 כר'")</f>
        <v>חרוזי מרגליות - 2 כר'</v>
      </c>
    </row>
    <row r="16446" spans="1:6" x14ac:dyDescent="0.2">
      <c r="A16446" t="s">
        <v>27301</v>
      </c>
      <c r="B16446" t="s">
        <v>27302</v>
      </c>
      <c r="C16446" t="s">
        <v>748</v>
      </c>
      <c r="D16446" t="s">
        <v>1117</v>
      </c>
      <c r="E16446" t="s">
        <v>957</v>
      </c>
      <c r="F16446" s="2" t="str">
        <f>HYPERLINK("http://www.otzar.org/book.asp?103194","חרוזי פנינים")</f>
        <v>חרוזי פנינים</v>
      </c>
    </row>
    <row r="16447" spans="1:6" x14ac:dyDescent="0.2">
      <c r="A16447" t="s">
        <v>27303</v>
      </c>
      <c r="B16447" t="s">
        <v>27304</v>
      </c>
      <c r="C16447" t="s">
        <v>20</v>
      </c>
      <c r="D16447" t="s">
        <v>4665</v>
      </c>
      <c r="E16447" t="s">
        <v>104</v>
      </c>
      <c r="F16447" s="2" t="str">
        <f>HYPERLINK("http://www.otzar.org/book.asp?606176","חרות על הלוחות")</f>
        <v>חרות על הלוחות</v>
      </c>
    </row>
    <row r="16448" spans="1:6" x14ac:dyDescent="0.2">
      <c r="A16448" t="s">
        <v>27305</v>
      </c>
      <c r="B16448" t="s">
        <v>3454</v>
      </c>
      <c r="C16448" t="s">
        <v>767</v>
      </c>
      <c r="D16448" t="s">
        <v>14</v>
      </c>
      <c r="E16448" t="s">
        <v>8785</v>
      </c>
      <c r="F16448" s="2" t="str">
        <f>HYPERLINK("http://www.otzar.org/book.asp?156443","חרותה ליום השביעי")</f>
        <v>חרותה ליום השביעי</v>
      </c>
    </row>
    <row r="16449" spans="1:6" x14ac:dyDescent="0.2">
      <c r="A16449" t="s">
        <v>27306</v>
      </c>
      <c r="B16449" t="s">
        <v>27307</v>
      </c>
      <c r="C16449" t="s">
        <v>438</v>
      </c>
      <c r="D16449" t="s">
        <v>412</v>
      </c>
      <c r="E16449" t="s">
        <v>84</v>
      </c>
      <c r="F16449" s="2" t="str">
        <f>HYPERLINK("http://www.otzar.org/book.asp?101967","חרמש בקמה על מסכת אבות")</f>
        <v>חרמש בקמה על מסכת אבות</v>
      </c>
    </row>
    <row r="16450" spans="1:6" x14ac:dyDescent="0.2">
      <c r="A16450" t="s">
        <v>27308</v>
      </c>
      <c r="B16450" t="s">
        <v>27309</v>
      </c>
      <c r="C16450" t="s">
        <v>27310</v>
      </c>
      <c r="D16450" t="s">
        <v>9224</v>
      </c>
      <c r="E16450" t="s">
        <v>158</v>
      </c>
      <c r="F16450" s="2" t="str">
        <f>HYPERLINK("http://www.otzar.org/book.asp?149039","חרש אבן")</f>
        <v>חרש אבן</v>
      </c>
    </row>
    <row r="16451" spans="1:6" x14ac:dyDescent="0.2">
      <c r="A16451" t="s">
        <v>27311</v>
      </c>
      <c r="B16451" t="s">
        <v>24978</v>
      </c>
      <c r="C16451" t="s">
        <v>360</v>
      </c>
      <c r="D16451" t="s">
        <v>225</v>
      </c>
      <c r="E16451" t="s">
        <v>2088</v>
      </c>
      <c r="F16451" s="2" t="str">
        <f>HYPERLINK("http://www.otzar.org/book.asp?166794","חרש וחשב")</f>
        <v>חרש וחשב</v>
      </c>
    </row>
    <row r="16452" spans="1:6" x14ac:dyDescent="0.2">
      <c r="A16452" t="s">
        <v>27312</v>
      </c>
      <c r="B16452" t="s">
        <v>27313</v>
      </c>
      <c r="C16452" t="s">
        <v>20</v>
      </c>
      <c r="D16452" t="s">
        <v>14</v>
      </c>
      <c r="F16452" s="2" t="str">
        <f>HYPERLINK("http://www.otzar.org/book.asp?615991","חשב האפד - 7 כר'")</f>
        <v>חשב האפד - 7 כר'</v>
      </c>
    </row>
    <row r="16453" spans="1:6" x14ac:dyDescent="0.2">
      <c r="A16453" t="s">
        <v>27314</v>
      </c>
      <c r="B16453" t="s">
        <v>27315</v>
      </c>
      <c r="C16453" t="s">
        <v>75</v>
      </c>
      <c r="D16453" t="s">
        <v>1279</v>
      </c>
      <c r="E16453" t="s">
        <v>158</v>
      </c>
      <c r="F16453" s="2" t="str">
        <f>HYPERLINK("http://www.otzar.org/book.asp?102469","חשב האפד")</f>
        <v>חשב האפד</v>
      </c>
    </row>
    <row r="16454" spans="1:6" x14ac:dyDescent="0.2">
      <c r="A16454" t="s">
        <v>27314</v>
      </c>
      <c r="B16454" t="s">
        <v>27316</v>
      </c>
      <c r="C16454" t="s">
        <v>13</v>
      </c>
      <c r="D16454" t="s">
        <v>152</v>
      </c>
      <c r="E16454" t="s">
        <v>241</v>
      </c>
      <c r="F16454" s="2" t="str">
        <f>HYPERLINK("http://www.otzar.org/book.asp?159309","חשב האפד")</f>
        <v>חשב האפד</v>
      </c>
    </row>
    <row r="16455" spans="1:6" x14ac:dyDescent="0.2">
      <c r="A16455" t="s">
        <v>27317</v>
      </c>
      <c r="B16455" t="s">
        <v>8143</v>
      </c>
      <c r="C16455" t="s">
        <v>26</v>
      </c>
      <c r="D16455" t="s">
        <v>14</v>
      </c>
      <c r="E16455" t="s">
        <v>154</v>
      </c>
      <c r="F16455" s="2" t="str">
        <f>HYPERLINK("http://www.otzar.org/book.asp?17050","חשב האפוד - 3 כר'")</f>
        <v>חשב האפוד - 3 כר'</v>
      </c>
    </row>
    <row r="16456" spans="1:6" x14ac:dyDescent="0.2">
      <c r="A16456" t="s">
        <v>27318</v>
      </c>
      <c r="B16456" t="s">
        <v>27319</v>
      </c>
      <c r="C16456" t="s">
        <v>114</v>
      </c>
      <c r="D16456" t="s">
        <v>1356</v>
      </c>
      <c r="E16456" t="s">
        <v>172</v>
      </c>
      <c r="F16456" s="2" t="str">
        <f>HYPERLINK("http://www.otzar.org/book.asp?165433","חשב ההלכה - בשר בחלב")</f>
        <v>חשב ההלכה - בשר בחלב</v>
      </c>
    </row>
    <row r="16457" spans="1:6" x14ac:dyDescent="0.2">
      <c r="A16457" t="s">
        <v>27320</v>
      </c>
      <c r="B16457" t="s">
        <v>27321</v>
      </c>
      <c r="C16457" t="s">
        <v>87</v>
      </c>
      <c r="D16457" t="s">
        <v>14</v>
      </c>
      <c r="E16457" t="s">
        <v>803</v>
      </c>
      <c r="F16457" s="2" t="str">
        <f>HYPERLINK("http://www.otzar.org/book.asp?191046","חשב משה - מנחת שמעון - פרי זאב")</f>
        <v>חשב משה - מנחת שמעון - פרי זאב</v>
      </c>
    </row>
    <row r="16458" spans="1:6" x14ac:dyDescent="0.2">
      <c r="A16458" t="s">
        <v>27322</v>
      </c>
      <c r="B16458" t="s">
        <v>23175</v>
      </c>
      <c r="C16458" t="s">
        <v>68</v>
      </c>
      <c r="D16458" t="s">
        <v>14</v>
      </c>
      <c r="E16458" t="s">
        <v>2071</v>
      </c>
      <c r="F16458" s="2" t="str">
        <f>HYPERLINK("http://www.otzar.org/book.asp?183321","חשב סופר &lt;מהדורה חדשה&gt; - 2 כר'")</f>
        <v>חשב סופר &lt;מהדורה חדשה&gt; - 2 כר'</v>
      </c>
    </row>
    <row r="16459" spans="1:6" x14ac:dyDescent="0.2">
      <c r="A16459" t="s">
        <v>27323</v>
      </c>
      <c r="B16459" t="s">
        <v>23175</v>
      </c>
      <c r="C16459" t="s">
        <v>1160</v>
      </c>
      <c r="D16459" t="s">
        <v>14</v>
      </c>
      <c r="E16459" t="s">
        <v>325</v>
      </c>
      <c r="F16459" s="2" t="str">
        <f>HYPERLINK("http://www.otzar.org/book.asp?9715","חשב סופר - 2 כר'")</f>
        <v>חשב סופר - 2 כר'</v>
      </c>
    </row>
    <row r="16460" spans="1:6" x14ac:dyDescent="0.2">
      <c r="A16460" t="s">
        <v>27324</v>
      </c>
      <c r="B16460" t="s">
        <v>20873</v>
      </c>
      <c r="C16460" t="s">
        <v>624</v>
      </c>
      <c r="D16460" t="s">
        <v>14</v>
      </c>
      <c r="E16460" t="s">
        <v>10</v>
      </c>
      <c r="F16460" s="2" t="str">
        <f>HYPERLINK("http://www.otzar.org/book.asp?50706","חשב שלמה - א")</f>
        <v>חשב שלמה - א</v>
      </c>
    </row>
    <row r="16461" spans="1:6" x14ac:dyDescent="0.2">
      <c r="A16461" t="s">
        <v>27325</v>
      </c>
      <c r="B16461" t="s">
        <v>27326</v>
      </c>
      <c r="C16461" t="s">
        <v>114</v>
      </c>
      <c r="D16461" t="s">
        <v>14</v>
      </c>
      <c r="E16461" t="s">
        <v>27327</v>
      </c>
      <c r="F16461" s="2" t="str">
        <f>HYPERLINK("http://www.otzar.org/book.asp?161880","חשבה לטובה &lt;מהדורה חדשה&gt;")</f>
        <v>חשבה לטובה &lt;מהדורה חדשה&gt;</v>
      </c>
    </row>
    <row r="16462" spans="1:6" x14ac:dyDescent="0.2">
      <c r="A16462" t="s">
        <v>27328</v>
      </c>
      <c r="B16462" t="s">
        <v>686</v>
      </c>
      <c r="C16462" t="s">
        <v>366</v>
      </c>
      <c r="D16462" t="s">
        <v>80</v>
      </c>
      <c r="E16462" t="s">
        <v>241</v>
      </c>
      <c r="F16462" s="2" t="str">
        <f>HYPERLINK("http://www.otzar.org/book.asp?606758","חשבה לטובה")</f>
        <v>חשבה לטובה</v>
      </c>
    </row>
    <row r="16463" spans="1:6" x14ac:dyDescent="0.2">
      <c r="A16463" t="s">
        <v>27328</v>
      </c>
      <c r="B16463" t="s">
        <v>27329</v>
      </c>
      <c r="C16463" t="s">
        <v>1374</v>
      </c>
      <c r="D16463" t="s">
        <v>6201</v>
      </c>
      <c r="E16463" t="s">
        <v>154</v>
      </c>
      <c r="F16463" s="2" t="str">
        <f>HYPERLINK("http://www.otzar.org/book.asp?102816","חשבה לטובה")</f>
        <v>חשבה לטובה</v>
      </c>
    </row>
    <row r="16464" spans="1:6" x14ac:dyDescent="0.2">
      <c r="A16464" t="s">
        <v>27328</v>
      </c>
      <c r="B16464" t="s">
        <v>27326</v>
      </c>
      <c r="C16464" t="s">
        <v>609</v>
      </c>
      <c r="D16464" t="s">
        <v>225</v>
      </c>
      <c r="E16464" t="s">
        <v>27330</v>
      </c>
      <c r="F16464" s="2" t="str">
        <f>HYPERLINK("http://www.otzar.org/book.asp?7573","חשבה לטובה")</f>
        <v>חשבה לטובה</v>
      </c>
    </row>
    <row r="16465" spans="1:6" x14ac:dyDescent="0.2">
      <c r="A16465" t="s">
        <v>27331</v>
      </c>
      <c r="B16465" t="s">
        <v>206</v>
      </c>
      <c r="C16465" t="s">
        <v>244</v>
      </c>
      <c r="D16465" t="s">
        <v>367</v>
      </c>
      <c r="E16465" t="s">
        <v>1211</v>
      </c>
      <c r="F16465" s="2" t="str">
        <f>HYPERLINK("http://www.otzar.org/book.asp?199869","חשבון בית כור")</f>
        <v>חשבון בית כור</v>
      </c>
    </row>
    <row r="16466" spans="1:6" x14ac:dyDescent="0.2">
      <c r="A16466" t="s">
        <v>27332</v>
      </c>
      <c r="B16466" t="s">
        <v>27333</v>
      </c>
      <c r="C16466" t="s">
        <v>27334</v>
      </c>
      <c r="D16466" t="s">
        <v>974</v>
      </c>
      <c r="F16466" s="2" t="str">
        <f>HYPERLINK("http://www.otzar.org/book.asp?182351","חשבון ההכנסות והוצאות")</f>
        <v>חשבון ההכנסות והוצאות</v>
      </c>
    </row>
    <row r="16467" spans="1:6" x14ac:dyDescent="0.2">
      <c r="A16467" t="s">
        <v>27335</v>
      </c>
      <c r="B16467" t="s">
        <v>27336</v>
      </c>
      <c r="C16467" t="s">
        <v>919</v>
      </c>
      <c r="D16467" t="s">
        <v>14</v>
      </c>
      <c r="E16467" t="s">
        <v>241</v>
      </c>
      <c r="F16467" s="2" t="str">
        <f>HYPERLINK("http://www.otzar.org/book.asp?149660","חשבון הנפש")</f>
        <v>חשבון הנפש</v>
      </c>
    </row>
    <row r="16468" spans="1:6" x14ac:dyDescent="0.2">
      <c r="A16468" t="s">
        <v>27337</v>
      </c>
      <c r="B16468" t="s">
        <v>27338</v>
      </c>
      <c r="C16468" t="s">
        <v>462</v>
      </c>
      <c r="D16468" t="s">
        <v>56</v>
      </c>
      <c r="E16468" t="s">
        <v>241</v>
      </c>
      <c r="F16468" s="2" t="str">
        <f>HYPERLINK("http://www.otzar.org/book.asp?189372","חשבון העולם")</f>
        <v>חשבון העולם</v>
      </c>
    </row>
    <row r="16469" spans="1:6" x14ac:dyDescent="0.2">
      <c r="A16469" t="s">
        <v>27339</v>
      </c>
      <c r="B16469" t="s">
        <v>18405</v>
      </c>
      <c r="C16469" t="s">
        <v>1663</v>
      </c>
      <c r="D16469" t="s">
        <v>27340</v>
      </c>
      <c r="E16469" t="s">
        <v>104</v>
      </c>
      <c r="F16469" s="2" t="str">
        <f>HYPERLINK("http://www.otzar.org/book.asp?9058","חשבון מהלכות הכוכבים")</f>
        <v>חשבון מהלכות הכוכבים</v>
      </c>
    </row>
    <row r="16470" spans="1:6" x14ac:dyDescent="0.2">
      <c r="A16470" t="s">
        <v>27341</v>
      </c>
      <c r="B16470" t="s">
        <v>27342</v>
      </c>
      <c r="C16470" t="s">
        <v>2644</v>
      </c>
      <c r="D16470" t="s">
        <v>27</v>
      </c>
      <c r="E16470" t="s">
        <v>213</v>
      </c>
      <c r="F16470" s="2" t="str">
        <f>HYPERLINK("http://www.otzar.org/book.asp?6464","חשבון פרטי המצות")</f>
        <v>חשבון פרטי המצות</v>
      </c>
    </row>
    <row r="16471" spans="1:6" x14ac:dyDescent="0.2">
      <c r="A16471" t="s">
        <v>27343</v>
      </c>
      <c r="B16471" t="s">
        <v>22476</v>
      </c>
      <c r="C16471" t="s">
        <v>51</v>
      </c>
      <c r="D16471" t="s">
        <v>14</v>
      </c>
      <c r="E16471" t="s">
        <v>15</v>
      </c>
      <c r="F16471" s="2" t="str">
        <f>HYPERLINK("http://www.otzar.org/book.asp?173785","חשבון שבעים שנות שמיטה ויובל שלא נשתמרו")</f>
        <v>חשבון שבעים שנות שמיטה ויובל שלא נשתמרו</v>
      </c>
    </row>
    <row r="16472" spans="1:6" x14ac:dyDescent="0.2">
      <c r="A16472" t="s">
        <v>27344</v>
      </c>
      <c r="B16472" t="s">
        <v>206</v>
      </c>
      <c r="C16472" t="s">
        <v>20</v>
      </c>
      <c r="D16472" t="s">
        <v>14</v>
      </c>
      <c r="E16472" t="s">
        <v>213</v>
      </c>
      <c r="F16472" s="2" t="str">
        <f>HYPERLINK("http://www.otzar.org/book.asp?163093","חשבונו של עולם")</f>
        <v>חשבונו של עולם</v>
      </c>
    </row>
    <row r="16473" spans="1:6" x14ac:dyDescent="0.2">
      <c r="A16473" t="s">
        <v>27344</v>
      </c>
      <c r="B16473" t="s">
        <v>4886</v>
      </c>
      <c r="C16473" t="s">
        <v>26</v>
      </c>
      <c r="D16473" t="s">
        <v>52</v>
      </c>
      <c r="E16473" t="s">
        <v>213</v>
      </c>
      <c r="F16473" s="2" t="str">
        <f>HYPERLINK("http://www.otzar.org/book.asp?8789","חשבונו של עולם")</f>
        <v>חשבונו של עולם</v>
      </c>
    </row>
    <row r="16474" spans="1:6" x14ac:dyDescent="0.2">
      <c r="A16474" t="s">
        <v>27345</v>
      </c>
      <c r="B16474" t="s">
        <v>6926</v>
      </c>
      <c r="C16474" t="s">
        <v>20</v>
      </c>
      <c r="D16474" t="s">
        <v>52</v>
      </c>
      <c r="E16474" t="s">
        <v>104</v>
      </c>
      <c r="F16474" s="2" t="str">
        <f>HYPERLINK("http://www.otzar.org/book.asp?141791","חשבונות רבים")</f>
        <v>חשבונות רבים</v>
      </c>
    </row>
    <row r="16475" spans="1:6" x14ac:dyDescent="0.2">
      <c r="A16475" t="s">
        <v>27346</v>
      </c>
      <c r="B16475" t="s">
        <v>27347</v>
      </c>
      <c r="C16475" t="s">
        <v>20</v>
      </c>
      <c r="D16475" t="s">
        <v>216</v>
      </c>
      <c r="E16475" t="s">
        <v>674</v>
      </c>
      <c r="F16475" s="2" t="str">
        <f>HYPERLINK("http://www.otzar.org/book.asp?144767","חשבי מחשבות")</f>
        <v>חשבי מחשבות</v>
      </c>
    </row>
    <row r="16476" spans="1:6" x14ac:dyDescent="0.2">
      <c r="A16476" t="s">
        <v>27348</v>
      </c>
      <c r="B16476" t="s">
        <v>21861</v>
      </c>
      <c r="C16476" t="s">
        <v>422</v>
      </c>
      <c r="D16476" t="s">
        <v>52</v>
      </c>
      <c r="E16476" t="s">
        <v>144</v>
      </c>
      <c r="F16476" s="2" t="str">
        <f>HYPERLINK("http://www.otzar.org/book.asp?85455","חשוקי חמד - 26 כר'")</f>
        <v>חשוקי חמד - 26 כר'</v>
      </c>
    </row>
    <row r="16477" spans="1:6" x14ac:dyDescent="0.2">
      <c r="A16477" t="s">
        <v>27349</v>
      </c>
      <c r="B16477" t="s">
        <v>27350</v>
      </c>
      <c r="C16477" t="s">
        <v>244</v>
      </c>
      <c r="D16477" t="s">
        <v>90</v>
      </c>
      <c r="E16477" t="s">
        <v>144</v>
      </c>
      <c r="F16477" s="2" t="str">
        <f>HYPERLINK("http://www.otzar.org/book.asp?602899","חשוקי כסף")</f>
        <v>חשוקי כסף</v>
      </c>
    </row>
    <row r="16478" spans="1:6" x14ac:dyDescent="0.2">
      <c r="A16478" t="s">
        <v>27351</v>
      </c>
      <c r="B16478" t="s">
        <v>27352</v>
      </c>
      <c r="C16478" t="s">
        <v>919</v>
      </c>
      <c r="D16478" t="s">
        <v>1974</v>
      </c>
      <c r="E16478" t="s">
        <v>104</v>
      </c>
      <c r="F16478" s="2" t="str">
        <f>HYPERLINK("http://www.otzar.org/book.asp?64125","חשיפת גנוזים מתימן")</f>
        <v>חשיפת גנוזים מתימן</v>
      </c>
    </row>
    <row r="16479" spans="1:6" x14ac:dyDescent="0.2">
      <c r="A16479" t="s">
        <v>27353</v>
      </c>
      <c r="B16479" t="s">
        <v>9510</v>
      </c>
      <c r="C16479" t="s">
        <v>454</v>
      </c>
      <c r="D16479" t="s">
        <v>14</v>
      </c>
      <c r="E16479" t="s">
        <v>130</v>
      </c>
      <c r="F16479" s="2" t="str">
        <f>HYPERLINK("http://www.otzar.org/book.asp?200708","חשמונאי ובניו")</f>
        <v>חשמונאי ובניו</v>
      </c>
    </row>
    <row r="16480" spans="1:6" x14ac:dyDescent="0.2">
      <c r="A16480" t="s">
        <v>27354</v>
      </c>
      <c r="B16480" t="s">
        <v>27355</v>
      </c>
      <c r="C16480" t="s">
        <v>106</v>
      </c>
      <c r="D16480" t="s">
        <v>14</v>
      </c>
      <c r="E16480" t="s">
        <v>674</v>
      </c>
      <c r="F16480" s="2" t="str">
        <f>HYPERLINK("http://www.otzar.org/book.asp?144700","חשמל ושבת")</f>
        <v>חשמל ושבת</v>
      </c>
    </row>
    <row r="16481" spans="1:6" x14ac:dyDescent="0.2">
      <c r="A16481" t="s">
        <v>27356</v>
      </c>
      <c r="B16481" t="s">
        <v>9809</v>
      </c>
      <c r="C16481" t="s">
        <v>27161</v>
      </c>
      <c r="D16481" t="s">
        <v>283</v>
      </c>
      <c r="E16481" t="s">
        <v>148</v>
      </c>
      <c r="F16481" s="2" t="str">
        <f>HYPERLINK("http://www.otzar.org/book.asp?8407","חשן אהרן - 2 כר'")</f>
        <v>חשן אהרן - 2 כר'</v>
      </c>
    </row>
    <row r="16482" spans="1:6" x14ac:dyDescent="0.2">
      <c r="A16482" t="s">
        <v>27357</v>
      </c>
      <c r="B16482" t="s">
        <v>5667</v>
      </c>
      <c r="C16482" t="s">
        <v>3840</v>
      </c>
      <c r="D16482" t="s">
        <v>27</v>
      </c>
      <c r="E16482" t="s">
        <v>517</v>
      </c>
      <c r="F16482" s="2" t="str">
        <f>HYPERLINK("http://www.otzar.org/book.asp?14680","חשן המשפט של הכהן הגדול")</f>
        <v>חשן המשפט של הכהן הגדול</v>
      </c>
    </row>
    <row r="16483" spans="1:6" x14ac:dyDescent="0.2">
      <c r="A16483" t="s">
        <v>27358</v>
      </c>
      <c r="B16483" t="s">
        <v>27359</v>
      </c>
      <c r="C16483" t="s">
        <v>1166</v>
      </c>
      <c r="D16483" t="s">
        <v>2313</v>
      </c>
      <c r="E16483" t="s">
        <v>172</v>
      </c>
      <c r="F16483" s="2" t="str">
        <f>HYPERLINK("http://www.otzar.org/book.asp?10917","חשן ואפוד")</f>
        <v>חשן ואפוד</v>
      </c>
    </row>
    <row r="16484" spans="1:6" x14ac:dyDescent="0.2">
      <c r="A16484" t="s">
        <v>27360</v>
      </c>
      <c r="B16484" t="s">
        <v>12619</v>
      </c>
      <c r="C16484" t="s">
        <v>2076</v>
      </c>
      <c r="D16484" t="s">
        <v>56</v>
      </c>
      <c r="E16484" t="s">
        <v>158</v>
      </c>
      <c r="F16484" s="2" t="str">
        <f>HYPERLINK("http://www.otzar.org/book.asp?145218","חשק שלמה &lt;שיר השירים&gt;")</f>
        <v>חשק שלמה &lt;שיר השירים&gt;</v>
      </c>
    </row>
    <row r="16485" spans="1:6" x14ac:dyDescent="0.2">
      <c r="A16485" t="s">
        <v>27361</v>
      </c>
      <c r="B16485" t="s">
        <v>27362</v>
      </c>
      <c r="C16485" t="s">
        <v>114</v>
      </c>
      <c r="D16485" t="s">
        <v>21</v>
      </c>
      <c r="F16485" s="2" t="str">
        <f>HYPERLINK("http://www.otzar.org/book.asp?600336","חשק שלמה &lt;מהדורת מכון הכתב&gt;")</f>
        <v>חשק שלמה &lt;מהדורת מכון הכתב&gt;</v>
      </c>
    </row>
    <row r="16486" spans="1:6" x14ac:dyDescent="0.2">
      <c r="A16486" t="s">
        <v>27363</v>
      </c>
      <c r="B16486" t="s">
        <v>1120</v>
      </c>
      <c r="C16486" t="s">
        <v>151</v>
      </c>
      <c r="D16486" t="s">
        <v>2319</v>
      </c>
      <c r="F16486" s="2" t="str">
        <f>HYPERLINK("http://www.otzar.org/book.asp?616360","חשק שלמה שרשים &lt;מכון שלמה אומן&gt;")</f>
        <v>חשק שלמה שרשים &lt;מכון שלמה אומן&gt;</v>
      </c>
    </row>
    <row r="16487" spans="1:6" x14ac:dyDescent="0.2">
      <c r="A16487" t="s">
        <v>27364</v>
      </c>
      <c r="B16487" t="s">
        <v>27365</v>
      </c>
      <c r="C16487" t="s">
        <v>7571</v>
      </c>
      <c r="D16487" t="s">
        <v>49</v>
      </c>
      <c r="E16487" t="s">
        <v>158</v>
      </c>
      <c r="F16487" s="2" t="str">
        <f>HYPERLINK("http://www.otzar.org/book.asp?24554","חשק שלמה")</f>
        <v>חשק שלמה</v>
      </c>
    </row>
    <row r="16488" spans="1:6" x14ac:dyDescent="0.2">
      <c r="A16488" t="s">
        <v>27366</v>
      </c>
      <c r="B16488" t="s">
        <v>27367</v>
      </c>
      <c r="C16488" t="s">
        <v>3942</v>
      </c>
      <c r="D16488" t="s">
        <v>76</v>
      </c>
      <c r="E16488" t="s">
        <v>158</v>
      </c>
      <c r="F16488" s="2" t="str">
        <f>HYPERLINK("http://www.otzar.org/book.asp?151699","חשק שלמה - 2 כר'")</f>
        <v>חשק שלמה - 2 כר'</v>
      </c>
    </row>
    <row r="16489" spans="1:6" x14ac:dyDescent="0.2">
      <c r="A16489" t="s">
        <v>27364</v>
      </c>
      <c r="B16489" t="s">
        <v>27368</v>
      </c>
      <c r="C16489" t="s">
        <v>777</v>
      </c>
      <c r="D16489" t="s">
        <v>1889</v>
      </c>
      <c r="E16489" t="s">
        <v>158</v>
      </c>
      <c r="F16489" s="2" t="str">
        <f>HYPERLINK("http://www.otzar.org/book.asp?300563","חשק שלמה")</f>
        <v>חשק שלמה</v>
      </c>
    </row>
    <row r="16490" spans="1:6" x14ac:dyDescent="0.2">
      <c r="A16490" t="s">
        <v>27364</v>
      </c>
      <c r="B16490" t="s">
        <v>27362</v>
      </c>
      <c r="C16490" t="s">
        <v>6624</v>
      </c>
      <c r="D16490" t="s">
        <v>1490</v>
      </c>
      <c r="E16490" t="s">
        <v>172</v>
      </c>
      <c r="F16490" s="2" t="str">
        <f>HYPERLINK("http://www.otzar.org/book.asp?101424","חשק שלמה")</f>
        <v>חשק שלמה</v>
      </c>
    </row>
    <row r="16491" spans="1:6" x14ac:dyDescent="0.2">
      <c r="A16491" t="s">
        <v>27364</v>
      </c>
      <c r="B16491" t="s">
        <v>27369</v>
      </c>
      <c r="C16491" t="s">
        <v>429</v>
      </c>
      <c r="D16491" t="s">
        <v>283</v>
      </c>
      <c r="E16491" t="s">
        <v>13324</v>
      </c>
      <c r="F16491" s="2" t="str">
        <f>HYPERLINK("http://www.otzar.org/book.asp?10995","חשק שלמה")</f>
        <v>חשק שלמה</v>
      </c>
    </row>
    <row r="16492" spans="1:6" x14ac:dyDescent="0.2">
      <c r="A16492" t="s">
        <v>27366</v>
      </c>
      <c r="B16492" t="s">
        <v>27370</v>
      </c>
      <c r="C16492" t="s">
        <v>313</v>
      </c>
      <c r="D16492" t="s">
        <v>2375</v>
      </c>
      <c r="E16492" t="s">
        <v>144</v>
      </c>
      <c r="F16492" s="2" t="str">
        <f>HYPERLINK("http://www.otzar.org/book.asp?51125","חשק שלמה - 2 כר'")</f>
        <v>חשק שלמה - 2 כר'</v>
      </c>
    </row>
    <row r="16493" spans="1:6" x14ac:dyDescent="0.2">
      <c r="A16493" t="s">
        <v>27364</v>
      </c>
      <c r="B16493" t="s">
        <v>27371</v>
      </c>
      <c r="C16493" t="s">
        <v>13138</v>
      </c>
      <c r="D16493" t="s">
        <v>27372</v>
      </c>
      <c r="E16493" t="s">
        <v>104</v>
      </c>
      <c r="F16493" s="2" t="str">
        <f>HYPERLINK("http://www.otzar.org/book.asp?174362","חשק שלמה")</f>
        <v>חשק שלמה</v>
      </c>
    </row>
    <row r="16494" spans="1:6" x14ac:dyDescent="0.2">
      <c r="A16494" t="s">
        <v>27373</v>
      </c>
      <c r="B16494" t="s">
        <v>5634</v>
      </c>
      <c r="C16494" t="s">
        <v>411</v>
      </c>
      <c r="D16494" t="s">
        <v>52</v>
      </c>
      <c r="E16494" t="s">
        <v>213</v>
      </c>
      <c r="F16494" s="2" t="str">
        <f>HYPERLINK("http://www.otzar.org/book.asp?168258","חשקת התורה")</f>
        <v>חשקת התורה</v>
      </c>
    </row>
    <row r="16495" spans="1:6" x14ac:dyDescent="0.2">
      <c r="A16495" t="s">
        <v>27374</v>
      </c>
      <c r="B16495" t="s">
        <v>27375</v>
      </c>
      <c r="C16495" t="s">
        <v>411</v>
      </c>
      <c r="D16495" t="s">
        <v>245</v>
      </c>
      <c r="E16495" t="s">
        <v>786</v>
      </c>
      <c r="F16495" s="2" t="str">
        <f>HYPERLINK("http://www.otzar.org/book.asp?170767","חשקת שלמה - 3 כר'")</f>
        <v>חשקת שלמה - 3 כר'</v>
      </c>
    </row>
    <row r="16496" spans="1:6" x14ac:dyDescent="0.2">
      <c r="A16496" t="s">
        <v>27376</v>
      </c>
      <c r="B16496" t="s">
        <v>17135</v>
      </c>
      <c r="C16496" t="s">
        <v>114</v>
      </c>
      <c r="D16496" t="s">
        <v>14</v>
      </c>
      <c r="E16496" t="s">
        <v>144</v>
      </c>
      <c r="F16496" s="2" t="str">
        <f>HYPERLINK("http://www.otzar.org/book.asp?600917","חשקת שלמה")</f>
        <v>חשקת שלמה</v>
      </c>
    </row>
    <row r="16497" spans="1:6" x14ac:dyDescent="0.2">
      <c r="A16497" t="s">
        <v>27377</v>
      </c>
      <c r="B16497" t="s">
        <v>27378</v>
      </c>
      <c r="C16497" t="s">
        <v>13</v>
      </c>
      <c r="D16497" t="s">
        <v>412</v>
      </c>
      <c r="E16497" t="s">
        <v>148</v>
      </c>
      <c r="F16497" s="2" t="str">
        <f>HYPERLINK("http://www.otzar.org/book.asp?177157","חשרת מים")</f>
        <v>חשרת מים</v>
      </c>
    </row>
    <row r="16498" spans="1:6" x14ac:dyDescent="0.2">
      <c r="A16498" t="s">
        <v>27377</v>
      </c>
      <c r="B16498" t="s">
        <v>27379</v>
      </c>
      <c r="C16498" t="s">
        <v>2644</v>
      </c>
      <c r="D16498" t="s">
        <v>225</v>
      </c>
      <c r="E16498" t="s">
        <v>508</v>
      </c>
      <c r="F16498" s="2" t="str">
        <f>HYPERLINK("http://www.otzar.org/book.asp?9263","חשרת מים")</f>
        <v>חשרת מים</v>
      </c>
    </row>
    <row r="16499" spans="1:6" x14ac:dyDescent="0.2">
      <c r="A16499" t="s">
        <v>27380</v>
      </c>
      <c r="B16499" t="s">
        <v>27381</v>
      </c>
      <c r="C16499" t="s">
        <v>114</v>
      </c>
      <c r="D16499" t="s">
        <v>152</v>
      </c>
      <c r="E16499" t="s">
        <v>28</v>
      </c>
      <c r="F16499" s="2" t="str">
        <f>HYPERLINK("http://www.otzar.org/book.asp?163419","חת""ם משה")</f>
        <v>חת"ם משה</v>
      </c>
    </row>
    <row r="16500" spans="1:6" x14ac:dyDescent="0.2">
      <c r="A16500" t="s">
        <v>27382</v>
      </c>
      <c r="B16500" t="s">
        <v>3614</v>
      </c>
      <c r="C16500" t="s">
        <v>23</v>
      </c>
      <c r="D16500" t="s">
        <v>21</v>
      </c>
      <c r="E16500" t="s">
        <v>104</v>
      </c>
      <c r="F16500" s="2" t="str">
        <f>HYPERLINK("http://www.otzar.org/book.asp?196436","חתונה ונישואין")</f>
        <v>חתונה ונישואין</v>
      </c>
    </row>
    <row r="16501" spans="1:6" x14ac:dyDescent="0.2">
      <c r="A16501" t="s">
        <v>27383</v>
      </c>
      <c r="B16501" t="s">
        <v>3299</v>
      </c>
      <c r="C16501" t="s">
        <v>27384</v>
      </c>
      <c r="D16501" t="s">
        <v>30</v>
      </c>
      <c r="E16501" t="s">
        <v>467</v>
      </c>
      <c r="F16501" s="2" t="str">
        <f>HYPERLINK("http://www.otzar.org/book.asp?602602","חתם סופר &lt;דרשות&gt; - 4 כר'")</f>
        <v>חתם סופר &lt;דרשות&gt; - 4 כר'</v>
      </c>
    </row>
    <row r="16502" spans="1:6" x14ac:dyDescent="0.2">
      <c r="A16502" t="s">
        <v>27385</v>
      </c>
      <c r="B16502" t="s">
        <v>3299</v>
      </c>
      <c r="C16502" t="s">
        <v>1208</v>
      </c>
      <c r="D16502" t="s">
        <v>14</v>
      </c>
      <c r="E16502" t="s">
        <v>144</v>
      </c>
      <c r="F16502" s="2" t="str">
        <f>HYPERLINK("http://www.otzar.org/book.asp?53112","חתם סופר &lt;על הש""ס&gt; - 18 כר'")</f>
        <v>חתם סופר &lt;על הש"ס&gt; - 18 כר'</v>
      </c>
    </row>
    <row r="16503" spans="1:6" x14ac:dyDescent="0.2">
      <c r="A16503" t="s">
        <v>27386</v>
      </c>
      <c r="B16503" t="s">
        <v>3299</v>
      </c>
      <c r="C16503" t="s">
        <v>129</v>
      </c>
      <c r="D16503" t="s">
        <v>14</v>
      </c>
      <c r="E16503" t="s">
        <v>158</v>
      </c>
      <c r="F16503" s="2" t="str">
        <f>HYPERLINK("http://www.otzar.org/book.asp?53193","חתם סופר &lt;על התורה&gt; - 7 כר'")</f>
        <v>חתם סופר &lt;על התורה&gt; - 7 כר'</v>
      </c>
    </row>
    <row r="16504" spans="1:6" x14ac:dyDescent="0.2">
      <c r="A16504" t="s">
        <v>27387</v>
      </c>
      <c r="B16504" t="s">
        <v>3299</v>
      </c>
      <c r="C16504" t="s">
        <v>1885</v>
      </c>
      <c r="D16504" t="s">
        <v>225</v>
      </c>
      <c r="E16504" t="s">
        <v>144</v>
      </c>
      <c r="F16504" s="2" t="str">
        <f>HYPERLINK("http://www.otzar.org/book.asp?101352","חתם סופר &lt;ש""ס&gt; - 8 כר'")</f>
        <v>חתם סופר &lt;ש"ס&gt; - 8 כר'</v>
      </c>
    </row>
    <row r="16505" spans="1:6" x14ac:dyDescent="0.2">
      <c r="A16505" t="s">
        <v>27388</v>
      </c>
      <c r="B16505" t="s">
        <v>3299</v>
      </c>
      <c r="D16505" t="s">
        <v>14</v>
      </c>
      <c r="E16505" t="s">
        <v>154</v>
      </c>
      <c r="F16505" s="2" t="str">
        <f>HYPERLINK("http://www.otzar.org/book.asp?155825","חתם סופר &lt;שו""ת. מהדורה חדשה&gt; - 8 כר'")</f>
        <v>חתם סופר &lt;שו"ת. מהדורה חדשה&gt; - 8 כר'</v>
      </c>
    </row>
    <row r="16506" spans="1:6" x14ac:dyDescent="0.2">
      <c r="A16506" t="s">
        <v>27389</v>
      </c>
      <c r="B16506" t="s">
        <v>3299</v>
      </c>
      <c r="C16506" t="s">
        <v>989</v>
      </c>
      <c r="D16506" t="s">
        <v>118</v>
      </c>
      <c r="E16506" t="s">
        <v>154</v>
      </c>
      <c r="F16506" s="2" t="str">
        <f>HYPERLINK("http://www.otzar.org/book.asp?10992","חתם סופר &lt;שו""ת&gt; - 8 כר'")</f>
        <v>חתם סופר &lt;שו"ת&gt; - 8 כר'</v>
      </c>
    </row>
    <row r="16507" spans="1:6" x14ac:dyDescent="0.2">
      <c r="A16507" t="s">
        <v>27390</v>
      </c>
      <c r="B16507" t="s">
        <v>3299</v>
      </c>
      <c r="C16507" t="s">
        <v>313</v>
      </c>
      <c r="D16507" t="s">
        <v>14</v>
      </c>
      <c r="E16507" t="s">
        <v>3107</v>
      </c>
      <c r="F16507" s="2" t="str">
        <f>HYPERLINK("http://www.otzar.org/book.asp?7508","חתם סופר החדש על התורה")</f>
        <v>חתם סופר החדש על התורה</v>
      </c>
    </row>
    <row r="16508" spans="1:6" x14ac:dyDescent="0.2">
      <c r="A16508" t="s">
        <v>27391</v>
      </c>
      <c r="B16508" t="s">
        <v>3299</v>
      </c>
      <c r="C16508" t="s">
        <v>366</v>
      </c>
      <c r="D16508" t="s">
        <v>14</v>
      </c>
      <c r="E16508" t="s">
        <v>14089</v>
      </c>
      <c r="F16508" s="2" t="str">
        <f>HYPERLINK("http://www.otzar.org/book.asp?606085","חתם סופר מאמרים חדשים")</f>
        <v>חתם סופר מאמרים חדשים</v>
      </c>
    </row>
    <row r="16509" spans="1:6" x14ac:dyDescent="0.2">
      <c r="A16509" t="s">
        <v>27392</v>
      </c>
      <c r="B16509" t="s">
        <v>3299</v>
      </c>
      <c r="C16509" t="s">
        <v>725</v>
      </c>
      <c r="D16509" t="s">
        <v>5659</v>
      </c>
      <c r="E16509" t="s">
        <v>158</v>
      </c>
      <c r="F16509" s="2" t="str">
        <f>HYPERLINK("http://www.otzar.org/book.asp?14440","חתם סופר על התורה - 7 כר'")</f>
        <v>חתם סופר על התורה - 7 כר'</v>
      </c>
    </row>
    <row r="16510" spans="1:6" x14ac:dyDescent="0.2">
      <c r="A16510" t="s">
        <v>27393</v>
      </c>
      <c r="B16510" t="s">
        <v>3299</v>
      </c>
      <c r="C16510" t="s">
        <v>20</v>
      </c>
      <c r="D16510" t="s">
        <v>2347</v>
      </c>
      <c r="E16510" t="s">
        <v>84</v>
      </c>
      <c r="F16510" s="2" t="str">
        <f>HYPERLINK("http://www.otzar.org/book.asp?10417","חתם סופר על מסכת אבות")</f>
        <v>חתם סופר על מסכת אבות</v>
      </c>
    </row>
    <row r="16511" spans="1:6" x14ac:dyDescent="0.2">
      <c r="A16511" t="s">
        <v>27394</v>
      </c>
      <c r="B16511" t="s">
        <v>27395</v>
      </c>
      <c r="C16511" t="s">
        <v>454</v>
      </c>
      <c r="D16511" t="s">
        <v>14</v>
      </c>
      <c r="E16511" t="s">
        <v>2840</v>
      </c>
      <c r="F16511" s="2" t="str">
        <f>HYPERLINK("http://www.otzar.org/book.asp?153520","חתם סופר - מילה")</f>
        <v>חתם סופר - מילה</v>
      </c>
    </row>
    <row r="16512" spans="1:6" x14ac:dyDescent="0.2">
      <c r="A16512" t="s">
        <v>27396</v>
      </c>
      <c r="B16512" t="s">
        <v>3299</v>
      </c>
      <c r="C16512" t="s">
        <v>63</v>
      </c>
      <c r="D16512" t="s">
        <v>118</v>
      </c>
      <c r="E16512" t="s">
        <v>144</v>
      </c>
      <c r="F16512" s="2" t="str">
        <f>HYPERLINK("http://www.otzar.org/book.asp?9746","חתם סופר - 10 כר'")</f>
        <v>חתם סופר - 10 כר'</v>
      </c>
    </row>
    <row r="16513" spans="1:6" x14ac:dyDescent="0.2">
      <c r="A16513" t="s">
        <v>27397</v>
      </c>
      <c r="B16513" t="s">
        <v>686</v>
      </c>
      <c r="C16513" t="s">
        <v>111</v>
      </c>
      <c r="D16513" t="s">
        <v>52</v>
      </c>
      <c r="E16513" t="s">
        <v>213</v>
      </c>
      <c r="F16513" s="2" t="str">
        <f>HYPERLINK("http://www.otzar.org/book.asp?621703","חתם קדש לה'")</f>
        <v>חתם קדש לה'</v>
      </c>
    </row>
    <row r="16514" spans="1:6" x14ac:dyDescent="0.2">
      <c r="A16514" t="s">
        <v>27398</v>
      </c>
      <c r="B16514" t="s">
        <v>27399</v>
      </c>
      <c r="C16514" t="s">
        <v>8882</v>
      </c>
      <c r="D16514" t="s">
        <v>744</v>
      </c>
      <c r="E16514" t="s">
        <v>2332</v>
      </c>
      <c r="F16514" s="2" t="str">
        <f>HYPERLINK("http://www.otzar.org/book.asp?12405","חתן דמים")</f>
        <v>חתן דמים</v>
      </c>
    </row>
    <row r="16515" spans="1:6" x14ac:dyDescent="0.2">
      <c r="A16515" t="s">
        <v>27400</v>
      </c>
      <c r="B16515" t="s">
        <v>11386</v>
      </c>
      <c r="C16515" t="s">
        <v>185</v>
      </c>
      <c r="D16515" t="s">
        <v>14</v>
      </c>
      <c r="F16515" s="2" t="str">
        <f>HYPERLINK("http://www.otzar.org/book.asp?629632","חתן ותורה")</f>
        <v>חתן ותורה</v>
      </c>
    </row>
    <row r="16516" spans="1:6" x14ac:dyDescent="0.2">
      <c r="A16516" t="s">
        <v>27401</v>
      </c>
      <c r="B16516" t="s">
        <v>25588</v>
      </c>
      <c r="C16516" t="s">
        <v>63</v>
      </c>
      <c r="D16516" t="s">
        <v>412</v>
      </c>
      <c r="E16516" t="s">
        <v>230</v>
      </c>
      <c r="F16516" s="2" t="str">
        <f>HYPERLINK("http://www.otzar.org/book.asp?84905","חתן ישעי'")</f>
        <v>חתן ישעי'</v>
      </c>
    </row>
    <row r="16517" spans="1:6" x14ac:dyDescent="0.2">
      <c r="A16517" t="s">
        <v>27402</v>
      </c>
      <c r="B16517" t="s">
        <v>12468</v>
      </c>
      <c r="C16517" t="s">
        <v>37</v>
      </c>
      <c r="D16517" t="s">
        <v>14</v>
      </c>
      <c r="E16517" t="s">
        <v>15</v>
      </c>
      <c r="F16517" s="2" t="str">
        <f>HYPERLINK("http://www.otzar.org/book.asp?189906","חתן מצוה")</f>
        <v>חתן מצוה</v>
      </c>
    </row>
    <row r="16518" spans="1:6" x14ac:dyDescent="0.2">
      <c r="A16518" t="s">
        <v>27403</v>
      </c>
      <c r="B16518" t="s">
        <v>16488</v>
      </c>
      <c r="C16518" t="s">
        <v>603</v>
      </c>
      <c r="D16518" t="s">
        <v>929</v>
      </c>
      <c r="E16518" t="s">
        <v>435</v>
      </c>
      <c r="F16518" s="2" t="str">
        <f>HYPERLINK("http://www.otzar.org/book.asp?101423","חתן סופר - 11 כר'")</f>
        <v>חתן סופר - 11 כר'</v>
      </c>
    </row>
    <row r="16519" spans="1:6" x14ac:dyDescent="0.2">
      <c r="A16519" t="s">
        <v>27404</v>
      </c>
      <c r="B16519" t="s">
        <v>1728</v>
      </c>
      <c r="C16519" t="s">
        <v>146</v>
      </c>
      <c r="D16519" t="s">
        <v>273</v>
      </c>
      <c r="E16519" t="s">
        <v>741</v>
      </c>
      <c r="F16519" s="2" t="str">
        <f>HYPERLINK("http://www.otzar.org/book.asp?628549","חתן עם הכלה")</f>
        <v>חתן עם הכלה</v>
      </c>
    </row>
    <row r="16520" spans="1:6" x14ac:dyDescent="0.2">
      <c r="A16520" t="s">
        <v>27405</v>
      </c>
      <c r="B16520" t="s">
        <v>8998</v>
      </c>
      <c r="C16520" t="s">
        <v>51</v>
      </c>
      <c r="D16520" t="s">
        <v>52</v>
      </c>
      <c r="E16520" t="s">
        <v>246</v>
      </c>
      <c r="F16520" s="2" t="str">
        <f>HYPERLINK("http://www.otzar.org/book.asp?623292","ט""ו בשבט בהלכה")</f>
        <v>ט"ו בשבט בהלכה</v>
      </c>
    </row>
    <row r="16521" spans="1:6" x14ac:dyDescent="0.2">
      <c r="A16521" t="s">
        <v>27406</v>
      </c>
      <c r="B16521" t="s">
        <v>27407</v>
      </c>
      <c r="C16521" t="s">
        <v>68</v>
      </c>
      <c r="D16521" t="s">
        <v>14</v>
      </c>
      <c r="E16521" t="s">
        <v>130</v>
      </c>
      <c r="F16521" s="2" t="str">
        <f>HYPERLINK("http://www.otzar.org/book.asp?160056","ט""ו בשבט ללא תולעים")</f>
        <v>ט"ו בשבט ללא תולעים</v>
      </c>
    </row>
    <row r="16522" spans="1:6" x14ac:dyDescent="0.2">
      <c r="A16522" t="s">
        <v>27408</v>
      </c>
      <c r="B16522" t="s">
        <v>9342</v>
      </c>
      <c r="C16522" t="s">
        <v>103</v>
      </c>
      <c r="D16522" t="s">
        <v>52</v>
      </c>
      <c r="E16522" t="s">
        <v>246</v>
      </c>
      <c r="F16522" s="2" t="str">
        <f>HYPERLINK("http://www.otzar.org/book.asp?26728","ט""ו בשבט לענין תחנון ונפילת אפים")</f>
        <v>ט"ו בשבט לענין תחנון ונפילת אפים</v>
      </c>
    </row>
    <row r="16523" spans="1:6" x14ac:dyDescent="0.2">
      <c r="A16523" t="s">
        <v>27409</v>
      </c>
      <c r="B16523" t="s">
        <v>27410</v>
      </c>
      <c r="C16523" t="s">
        <v>775</v>
      </c>
      <c r="D16523" t="s">
        <v>52</v>
      </c>
      <c r="F16523" s="2" t="str">
        <f>HYPERLINK("http://www.otzar.org/book.asp?617449","ט""ו בשבט ראש השנה לאילנות")</f>
        <v>ט"ו בשבט ראש השנה לאילנות</v>
      </c>
    </row>
    <row r="16524" spans="1:6" x14ac:dyDescent="0.2">
      <c r="A16524" t="s">
        <v>27411</v>
      </c>
      <c r="B16524" t="s">
        <v>27412</v>
      </c>
      <c r="C16524" t="s">
        <v>71</v>
      </c>
      <c r="D16524" t="s">
        <v>21</v>
      </c>
      <c r="E16524" t="s">
        <v>246</v>
      </c>
      <c r="F16524" s="2" t="str">
        <f>HYPERLINK("http://www.otzar.org/book.asp?623764","ט""ו בשבט - הלכות ומנהגים")</f>
        <v>ט"ו בשבט - הלכות ומנהגים</v>
      </c>
    </row>
    <row r="16525" spans="1:6" x14ac:dyDescent="0.2">
      <c r="A16525" t="s">
        <v>27413</v>
      </c>
      <c r="B16525" t="s">
        <v>27414</v>
      </c>
      <c r="C16525" t="s">
        <v>63</v>
      </c>
      <c r="D16525" t="s">
        <v>260</v>
      </c>
      <c r="E16525" t="s">
        <v>1262</v>
      </c>
      <c r="F16525" s="2" t="str">
        <f>HYPERLINK("http://www.otzar.org/book.asp?603914","ט""ו מאמרים")</f>
        <v>ט"ו מאמרים</v>
      </c>
    </row>
    <row r="16526" spans="1:6" x14ac:dyDescent="0.2">
      <c r="A16526" t="s">
        <v>27415</v>
      </c>
      <c r="B16526" t="s">
        <v>27416</v>
      </c>
      <c r="C16526" t="s">
        <v>3840</v>
      </c>
      <c r="D16526" t="s">
        <v>27</v>
      </c>
      <c r="E16526" t="s">
        <v>104</v>
      </c>
      <c r="F16526" s="2" t="str">
        <f>HYPERLINK("http://www.otzar.org/book.asp?106987","ט""ו מעלות יחיאל")</f>
        <v>ט"ו מעלות יחיאל</v>
      </c>
    </row>
    <row r="16527" spans="1:6" x14ac:dyDescent="0.2">
      <c r="A16527" t="s">
        <v>27417</v>
      </c>
      <c r="B16527" t="s">
        <v>8909</v>
      </c>
      <c r="C16527" t="s">
        <v>68</v>
      </c>
      <c r="D16527" t="s">
        <v>14</v>
      </c>
      <c r="F16527" s="2" t="str">
        <f>HYPERLINK("http://www.otzar.org/book.asp?157189","ט""ל מלאכות שבת")</f>
        <v>ט"ל מלאכות שבת</v>
      </c>
    </row>
    <row r="16528" spans="1:6" x14ac:dyDescent="0.2">
      <c r="A16528" t="s">
        <v>27418</v>
      </c>
      <c r="B16528" t="s">
        <v>17145</v>
      </c>
      <c r="C16528" t="s">
        <v>1570</v>
      </c>
      <c r="D16528" t="s">
        <v>14</v>
      </c>
      <c r="F16528" s="2" t="str">
        <f>HYPERLINK("http://www.otzar.org/book.asp?181584","טאשנד")</f>
        <v>טאשנד</v>
      </c>
    </row>
    <row r="16529" spans="1:6" x14ac:dyDescent="0.2">
      <c r="A16529" t="s">
        <v>27419</v>
      </c>
      <c r="B16529" t="s">
        <v>23216</v>
      </c>
      <c r="C16529" t="s">
        <v>1640</v>
      </c>
      <c r="D16529" t="s">
        <v>27</v>
      </c>
      <c r="E16529" t="s">
        <v>104</v>
      </c>
      <c r="F16529" s="2" t="str">
        <f>HYPERLINK("http://www.otzar.org/book.asp?618486","טבור הארץ - 2 כר'")</f>
        <v>טבור הארץ - 2 כר'</v>
      </c>
    </row>
    <row r="16530" spans="1:6" x14ac:dyDescent="0.2">
      <c r="A16530" t="s">
        <v>27420</v>
      </c>
      <c r="B16530" t="s">
        <v>27421</v>
      </c>
      <c r="C16530" t="s">
        <v>71</v>
      </c>
      <c r="D16530" t="s">
        <v>115</v>
      </c>
      <c r="E16530" t="s">
        <v>15</v>
      </c>
      <c r="F16530" s="2" t="str">
        <f>HYPERLINK("http://www.otzar.org/book.asp?623346","טבח והכן &lt;מהדורה חדשה&gt;")</f>
        <v>טבח והכן &lt;מהדורה חדשה&gt;</v>
      </c>
    </row>
    <row r="16531" spans="1:6" x14ac:dyDescent="0.2">
      <c r="A16531" t="s">
        <v>27422</v>
      </c>
      <c r="B16531" t="s">
        <v>23627</v>
      </c>
      <c r="C16531" t="s">
        <v>286</v>
      </c>
      <c r="D16531" t="s">
        <v>5659</v>
      </c>
      <c r="E16531" t="s">
        <v>15</v>
      </c>
      <c r="F16531" s="2" t="str">
        <f>HYPERLINK("http://www.otzar.org/book.asp?84137","טבח והכן")</f>
        <v>טבח והכן</v>
      </c>
    </row>
    <row r="16532" spans="1:6" x14ac:dyDescent="0.2">
      <c r="A16532" t="s">
        <v>27422</v>
      </c>
      <c r="B16532" t="s">
        <v>27421</v>
      </c>
      <c r="C16532" t="s">
        <v>1706</v>
      </c>
      <c r="D16532" t="s">
        <v>56</v>
      </c>
      <c r="E16532" t="s">
        <v>345</v>
      </c>
      <c r="F16532" s="2" t="str">
        <f>HYPERLINK("http://www.otzar.org/book.asp?101259","טבח והכן")</f>
        <v>טבח והכן</v>
      </c>
    </row>
    <row r="16533" spans="1:6" x14ac:dyDescent="0.2">
      <c r="A16533" t="s">
        <v>27423</v>
      </c>
      <c r="B16533" t="s">
        <v>27424</v>
      </c>
      <c r="C16533" t="s">
        <v>617</v>
      </c>
      <c r="D16533" t="s">
        <v>56</v>
      </c>
      <c r="E16533" t="s">
        <v>674</v>
      </c>
      <c r="F16533" s="2" t="str">
        <f>HYPERLINK("http://www.otzar.org/book.asp?19147","טביחת הבהמה")</f>
        <v>טביחת הבהמה</v>
      </c>
    </row>
    <row r="16534" spans="1:6" x14ac:dyDescent="0.2">
      <c r="A16534" t="s">
        <v>27425</v>
      </c>
      <c r="B16534" t="s">
        <v>18510</v>
      </c>
      <c r="C16534" t="s">
        <v>366</v>
      </c>
      <c r="D16534" t="s">
        <v>1907</v>
      </c>
      <c r="E16534" t="s">
        <v>15</v>
      </c>
      <c r="F16534" s="2" t="str">
        <f>HYPERLINK("http://www.otzar.org/book.asp?601394","טבילת כלים חדשים")</f>
        <v>טבילת כלים חדשים</v>
      </c>
    </row>
    <row r="16535" spans="1:6" x14ac:dyDescent="0.2">
      <c r="A16535" t="s">
        <v>27426</v>
      </c>
      <c r="B16535" t="s">
        <v>19646</v>
      </c>
      <c r="C16535" t="s">
        <v>366</v>
      </c>
      <c r="D16535" t="s">
        <v>21</v>
      </c>
      <c r="F16535" s="2" t="str">
        <f>HYPERLINK("http://www.otzar.org/book.asp?616835","טבילת כלים")</f>
        <v>טבילת כלים</v>
      </c>
    </row>
    <row r="16536" spans="1:6" x14ac:dyDescent="0.2">
      <c r="A16536" t="s">
        <v>27427</v>
      </c>
      <c r="B16536" t="s">
        <v>206</v>
      </c>
      <c r="C16536" t="s">
        <v>23</v>
      </c>
      <c r="D16536" t="s">
        <v>8564</v>
      </c>
      <c r="E16536" t="s">
        <v>144</v>
      </c>
      <c r="F16536" s="2" t="str">
        <f>HYPERLINK("http://www.otzar.org/book.asp?606032","טבלאות חזרה על הש""ס")</f>
        <v>טבלאות חזרה על הש"ס</v>
      </c>
    </row>
    <row r="16537" spans="1:6" x14ac:dyDescent="0.2">
      <c r="A16537" t="s">
        <v>27428</v>
      </c>
      <c r="B16537" t="s">
        <v>27429</v>
      </c>
      <c r="C16537" t="s">
        <v>133</v>
      </c>
      <c r="D16537" t="s">
        <v>14</v>
      </c>
      <c r="E16537" t="s">
        <v>130</v>
      </c>
      <c r="F16537" s="2" t="str">
        <f>HYPERLINK("http://www.otzar.org/book.asp?172771","טבלת הכשרת כלים לפסח")</f>
        <v>טבלת הכשרת כלים לפסח</v>
      </c>
    </row>
    <row r="16538" spans="1:6" x14ac:dyDescent="0.2">
      <c r="A16538" t="s">
        <v>27430</v>
      </c>
      <c r="B16538" t="s">
        <v>107</v>
      </c>
      <c r="C16538" t="s">
        <v>313</v>
      </c>
      <c r="D16538" t="s">
        <v>14</v>
      </c>
      <c r="E16538" t="s">
        <v>241</v>
      </c>
      <c r="F16538" s="2" t="str">
        <f>HYPERLINK("http://www.otzar.org/book.asp?6353","טבע הבריאה והתשובה")</f>
        <v>טבע הבריאה והתשובה</v>
      </c>
    </row>
    <row r="16539" spans="1:6" x14ac:dyDescent="0.2">
      <c r="A16539" t="s">
        <v>27431</v>
      </c>
      <c r="B16539" t="s">
        <v>27432</v>
      </c>
      <c r="C16539" t="s">
        <v>37</v>
      </c>
      <c r="D16539" t="s">
        <v>14</v>
      </c>
      <c r="E16539" t="s">
        <v>172</v>
      </c>
      <c r="F16539" s="2" t="str">
        <f>HYPERLINK("http://www.otzar.org/book.asp?182538","טבעות השולחן - תולעים")</f>
        <v>טבעות השולחן - תולעים</v>
      </c>
    </row>
    <row r="16540" spans="1:6" x14ac:dyDescent="0.2">
      <c r="A16540" t="s">
        <v>27433</v>
      </c>
      <c r="B16540" t="s">
        <v>27434</v>
      </c>
      <c r="C16540" t="s">
        <v>1954</v>
      </c>
      <c r="D16540" t="s">
        <v>14</v>
      </c>
      <c r="E16540" t="s">
        <v>837</v>
      </c>
      <c r="F16540" s="2" t="str">
        <f>HYPERLINK("http://www.otzar.org/book.asp?23552","טבעות זהב - 2 כר'")</f>
        <v>טבעות זהב - 2 כר'</v>
      </c>
    </row>
    <row r="16541" spans="1:6" x14ac:dyDescent="0.2">
      <c r="A16541" t="s">
        <v>27435</v>
      </c>
      <c r="B16541" t="s">
        <v>1281</v>
      </c>
      <c r="C16541" t="s">
        <v>427</v>
      </c>
      <c r="D16541" t="s">
        <v>14</v>
      </c>
      <c r="E16541" t="s">
        <v>172</v>
      </c>
      <c r="F16541" s="2" t="str">
        <f>HYPERLINK("http://www.otzar.org/book.asp?142353","טבעת החושן - 5 כר'")</f>
        <v>טבעת החושן - 5 כר'</v>
      </c>
    </row>
    <row r="16542" spans="1:6" x14ac:dyDescent="0.2">
      <c r="A16542" t="s">
        <v>27436</v>
      </c>
      <c r="B16542" t="s">
        <v>4785</v>
      </c>
      <c r="C16542" t="s">
        <v>111</v>
      </c>
      <c r="D16542" t="s">
        <v>52</v>
      </c>
      <c r="F16542" s="2" t="str">
        <f>HYPERLINK("http://www.otzar.org/book.asp?632027","טבעת המלך")</f>
        <v>טבעת המלך</v>
      </c>
    </row>
    <row r="16543" spans="1:6" x14ac:dyDescent="0.2">
      <c r="A16543" t="s">
        <v>27437</v>
      </c>
      <c r="B16543" t="s">
        <v>27438</v>
      </c>
      <c r="C16543" t="s">
        <v>23</v>
      </c>
      <c r="D16543" t="s">
        <v>14</v>
      </c>
      <c r="E16543" t="s">
        <v>144</v>
      </c>
      <c r="F16543" s="2" t="str">
        <f>HYPERLINK("http://www.otzar.org/book.asp?189908","טבעת המלך - קידושין")</f>
        <v>טבעת המלך - קידושין</v>
      </c>
    </row>
    <row r="16544" spans="1:6" x14ac:dyDescent="0.2">
      <c r="A16544" t="s">
        <v>1076</v>
      </c>
      <c r="B16544" t="s">
        <v>25953</v>
      </c>
      <c r="C16544" t="s">
        <v>433</v>
      </c>
      <c r="D16544" t="s">
        <v>27</v>
      </c>
      <c r="E16544" t="s">
        <v>27439</v>
      </c>
      <c r="F16544" s="2" t="str">
        <f>HYPERLINK("http://www.otzar.org/book.asp?15231","טבריה")</f>
        <v>טבריה</v>
      </c>
    </row>
    <row r="16545" spans="1:6" x14ac:dyDescent="0.2">
      <c r="A16545" t="s">
        <v>1076</v>
      </c>
      <c r="B16545" t="s">
        <v>27440</v>
      </c>
      <c r="C16545" t="s">
        <v>985</v>
      </c>
      <c r="D16545" t="s">
        <v>27</v>
      </c>
      <c r="E16545" t="s">
        <v>104</v>
      </c>
      <c r="F16545" s="2" t="str">
        <f>HYPERLINK("http://www.otzar.org/book.asp?181582","טבריה")</f>
        <v>טבריה</v>
      </c>
    </row>
    <row r="16546" spans="1:6" x14ac:dyDescent="0.2">
      <c r="A16546" t="s">
        <v>27441</v>
      </c>
      <c r="B16546" t="s">
        <v>27442</v>
      </c>
      <c r="C16546" t="s">
        <v>20</v>
      </c>
      <c r="D16546" t="s">
        <v>56</v>
      </c>
      <c r="F16546" s="2" t="str">
        <f>HYPERLINK("http://www.otzar.org/book.asp?197408","טהויער פון גיהנם")</f>
        <v>טהויער פון גיהנם</v>
      </c>
    </row>
    <row r="16547" spans="1:6" x14ac:dyDescent="0.2">
      <c r="A16547" t="s">
        <v>27443</v>
      </c>
      <c r="B16547" t="s">
        <v>27444</v>
      </c>
      <c r="C16547" t="s">
        <v>1885</v>
      </c>
      <c r="D16547" t="s">
        <v>283</v>
      </c>
      <c r="F16547" s="2" t="str">
        <f>HYPERLINK("http://www.otzar.org/book.asp?24635","טהור רעיונים - 2 כר'")</f>
        <v>טהור רעיונים - 2 כר'</v>
      </c>
    </row>
    <row r="16548" spans="1:6" x14ac:dyDescent="0.2">
      <c r="A16548" t="s">
        <v>27445</v>
      </c>
      <c r="B16548" t="s">
        <v>21675</v>
      </c>
      <c r="C16548" t="s">
        <v>422</v>
      </c>
      <c r="D16548" t="s">
        <v>412</v>
      </c>
      <c r="F16548" s="2" t="str">
        <f>HYPERLINK("http://www.otzar.org/book.asp?603078","טהר לבנו")</f>
        <v>טהר לבנו</v>
      </c>
    </row>
    <row r="16549" spans="1:6" x14ac:dyDescent="0.2">
      <c r="A16549" t="s">
        <v>27446</v>
      </c>
      <c r="B16549" t="s">
        <v>21578</v>
      </c>
      <c r="C16549" t="s">
        <v>129</v>
      </c>
      <c r="D16549" t="s">
        <v>1153</v>
      </c>
      <c r="E16549" t="s">
        <v>15</v>
      </c>
      <c r="F16549" s="2" t="str">
        <f>HYPERLINK("http://www.otzar.org/book.asp?84664","טהרה הריון ולידה כהלכה")</f>
        <v>טהרה הריון ולידה כהלכה</v>
      </c>
    </row>
    <row r="16550" spans="1:6" x14ac:dyDescent="0.2">
      <c r="A16550" t="s">
        <v>27447</v>
      </c>
      <c r="B16550" t="s">
        <v>27448</v>
      </c>
      <c r="C16550" t="s">
        <v>244</v>
      </c>
      <c r="D16550" t="s">
        <v>52</v>
      </c>
      <c r="E16550" t="s">
        <v>15</v>
      </c>
      <c r="F16550" s="2" t="str">
        <f>HYPERLINK("http://www.otzar.org/book.asp?196135","טהרה כהלכה")</f>
        <v>טהרה כהלכה</v>
      </c>
    </row>
    <row r="16551" spans="1:6" x14ac:dyDescent="0.2">
      <c r="A16551" t="s">
        <v>27449</v>
      </c>
      <c r="B16551" t="s">
        <v>27450</v>
      </c>
      <c r="C16551" t="s">
        <v>402</v>
      </c>
      <c r="D16551" t="s">
        <v>1023</v>
      </c>
      <c r="E16551" t="s">
        <v>26638</v>
      </c>
      <c r="F16551" s="2" t="str">
        <f>HYPERLINK("http://www.otzar.org/book.asp?102470","טהרות הקודש")</f>
        <v>טהרות הקודש</v>
      </c>
    </row>
    <row r="16552" spans="1:6" x14ac:dyDescent="0.2">
      <c r="A16552" t="s">
        <v>27451</v>
      </c>
      <c r="B16552" t="s">
        <v>255</v>
      </c>
      <c r="C16552" t="s">
        <v>189</v>
      </c>
      <c r="D16552" t="s">
        <v>14</v>
      </c>
      <c r="F16552" s="2" t="str">
        <f>HYPERLINK("http://www.otzar.org/book.asp?152690","טהרות הקודש - טהרות")</f>
        <v>טהרות הקודש - טהרות</v>
      </c>
    </row>
    <row r="16553" spans="1:6" x14ac:dyDescent="0.2">
      <c r="A16553" t="s">
        <v>27452</v>
      </c>
      <c r="B16553" t="s">
        <v>27453</v>
      </c>
      <c r="C16553" t="s">
        <v>366</v>
      </c>
      <c r="D16553" t="s">
        <v>14</v>
      </c>
      <c r="E16553" t="s">
        <v>84</v>
      </c>
      <c r="F16553" s="2" t="str">
        <f>HYPERLINK("http://www.otzar.org/book.asp?606658","טהרת אליהו - 2 כר'")</f>
        <v>טהרת אליהו - 2 כר'</v>
      </c>
    </row>
    <row r="16554" spans="1:6" x14ac:dyDescent="0.2">
      <c r="A16554" t="s">
        <v>27454</v>
      </c>
      <c r="B16554" t="s">
        <v>9866</v>
      </c>
      <c r="C16554" t="s">
        <v>124</v>
      </c>
      <c r="D16554" t="s">
        <v>14</v>
      </c>
      <c r="E16554" t="s">
        <v>15</v>
      </c>
      <c r="F16554" s="2" t="str">
        <f>HYPERLINK("http://www.otzar.org/book.asp?10744","טהרת אליהו")</f>
        <v>טהרת אליהו</v>
      </c>
    </row>
    <row r="16555" spans="1:6" x14ac:dyDescent="0.2">
      <c r="A16555" t="s">
        <v>27455</v>
      </c>
      <c r="B16555" t="s">
        <v>27456</v>
      </c>
      <c r="C16555" t="s">
        <v>17</v>
      </c>
      <c r="D16555" t="s">
        <v>1180</v>
      </c>
      <c r="E16555" t="s">
        <v>786</v>
      </c>
      <c r="F16555" s="2" t="str">
        <f>HYPERLINK("http://www.otzar.org/book.asp?197128","טהרת אליעזר")</f>
        <v>טהרת אליעזר</v>
      </c>
    </row>
    <row r="16556" spans="1:6" x14ac:dyDescent="0.2">
      <c r="A16556" t="s">
        <v>27457</v>
      </c>
      <c r="B16556" t="s">
        <v>7589</v>
      </c>
      <c r="C16556" t="s">
        <v>224</v>
      </c>
      <c r="D16556" t="s">
        <v>27</v>
      </c>
      <c r="E16556" t="s">
        <v>15</v>
      </c>
      <c r="F16556" s="2" t="str">
        <f>HYPERLINK("http://www.otzar.org/book.asp?13748","טהרת בנות ישראל")</f>
        <v>טהרת בנות ישראל</v>
      </c>
    </row>
    <row r="16557" spans="1:6" x14ac:dyDescent="0.2">
      <c r="A16557" t="s">
        <v>27458</v>
      </c>
      <c r="B16557" t="s">
        <v>18117</v>
      </c>
      <c r="C16557" t="s">
        <v>37</v>
      </c>
      <c r="D16557" t="s">
        <v>90</v>
      </c>
      <c r="F16557" s="2" t="str">
        <f>HYPERLINK("http://www.otzar.org/book.asp?198358","טהרת ברוך")</f>
        <v>טהרת ברוך</v>
      </c>
    </row>
    <row r="16558" spans="1:6" x14ac:dyDescent="0.2">
      <c r="A16558" t="s">
        <v>27459</v>
      </c>
      <c r="B16558" t="s">
        <v>19756</v>
      </c>
      <c r="C16558" t="s">
        <v>2008</v>
      </c>
      <c r="D16558" t="s">
        <v>14</v>
      </c>
      <c r="E16558" t="s">
        <v>15</v>
      </c>
      <c r="F16558" s="2" t="str">
        <f>HYPERLINK("http://www.otzar.org/book.asp?179069","טהרת בת ישראל - 3 כר'")</f>
        <v>טהרת בת ישראל - 3 כר'</v>
      </c>
    </row>
    <row r="16559" spans="1:6" x14ac:dyDescent="0.2">
      <c r="A16559" t="s">
        <v>27460</v>
      </c>
      <c r="B16559" t="s">
        <v>27461</v>
      </c>
      <c r="C16559" t="s">
        <v>1169</v>
      </c>
      <c r="D16559" t="s">
        <v>412</v>
      </c>
      <c r="E16559" t="s">
        <v>15</v>
      </c>
      <c r="F16559" s="2" t="str">
        <f>HYPERLINK("http://www.otzar.org/book.asp?13071","טהרת בת ישראל")</f>
        <v>טהרת בת ישראל</v>
      </c>
    </row>
    <row r="16560" spans="1:6" x14ac:dyDescent="0.2">
      <c r="A16560" t="s">
        <v>27462</v>
      </c>
      <c r="B16560" t="s">
        <v>27463</v>
      </c>
      <c r="C16560" t="s">
        <v>411</v>
      </c>
      <c r="D16560" t="s">
        <v>52</v>
      </c>
      <c r="E16560" t="s">
        <v>84</v>
      </c>
      <c r="F16560" s="2" t="str">
        <f>HYPERLINK("http://www.otzar.org/book.asp?166073","טהרת דוד")</f>
        <v>טהרת דוד</v>
      </c>
    </row>
    <row r="16561" spans="1:6" x14ac:dyDescent="0.2">
      <c r="A16561" t="s">
        <v>27464</v>
      </c>
      <c r="B16561" t="s">
        <v>27465</v>
      </c>
      <c r="C16561" t="s">
        <v>37</v>
      </c>
      <c r="D16561" t="s">
        <v>412</v>
      </c>
      <c r="E16561" t="s">
        <v>130</v>
      </c>
      <c r="F16561" s="2" t="str">
        <f>HYPERLINK("http://www.otzar.org/book.asp?175833","טהרת האתרוגים")</f>
        <v>טהרת האתרוגים</v>
      </c>
    </row>
    <row r="16562" spans="1:6" x14ac:dyDescent="0.2">
      <c r="A16562" t="s">
        <v>27466</v>
      </c>
      <c r="B16562" t="s">
        <v>27467</v>
      </c>
      <c r="C16562" t="s">
        <v>37</v>
      </c>
      <c r="D16562" t="s">
        <v>780</v>
      </c>
      <c r="E16562" t="s">
        <v>714</v>
      </c>
      <c r="F16562" s="2" t="str">
        <f>HYPERLINK("http://www.otzar.org/book.asp?195148","טהרת הגוף והנפש")</f>
        <v>טהרת הגוף והנפש</v>
      </c>
    </row>
    <row r="16563" spans="1:6" x14ac:dyDescent="0.2">
      <c r="A16563" t="s">
        <v>27468</v>
      </c>
      <c r="B16563" t="s">
        <v>27469</v>
      </c>
      <c r="C16563" t="s">
        <v>51</v>
      </c>
      <c r="D16563" t="s">
        <v>367</v>
      </c>
      <c r="E16563" t="s">
        <v>15</v>
      </c>
      <c r="F16563" s="2" t="str">
        <f>HYPERLINK("http://www.otzar.org/book.asp?160032","טהרת הכהנים כהלכתה")</f>
        <v>טהרת הכהנים כהלכתה</v>
      </c>
    </row>
    <row r="16564" spans="1:6" x14ac:dyDescent="0.2">
      <c r="A16564" t="s">
        <v>27470</v>
      </c>
      <c r="B16564" t="s">
        <v>27471</v>
      </c>
      <c r="C16564" t="s">
        <v>51</v>
      </c>
      <c r="D16564" t="s">
        <v>14</v>
      </c>
      <c r="E16564" t="s">
        <v>837</v>
      </c>
      <c r="F16564" s="2" t="str">
        <f>HYPERLINK("http://www.otzar.org/book.asp?28084","טהרת הכהנים")</f>
        <v>טהרת הכהנים</v>
      </c>
    </row>
    <row r="16565" spans="1:6" x14ac:dyDescent="0.2">
      <c r="A16565" t="s">
        <v>27472</v>
      </c>
      <c r="B16565" t="s">
        <v>27473</v>
      </c>
      <c r="C16565" t="s">
        <v>37</v>
      </c>
      <c r="D16565" t="s">
        <v>14</v>
      </c>
      <c r="E16565" t="s">
        <v>15</v>
      </c>
      <c r="F16565" s="2" t="str">
        <f>HYPERLINK("http://www.otzar.org/book.asp?186823","טהרת הכלים - 5 כר'")</f>
        <v>טהרת הכלים - 5 כר'</v>
      </c>
    </row>
    <row r="16566" spans="1:6" x14ac:dyDescent="0.2">
      <c r="A16566" t="s">
        <v>27474</v>
      </c>
      <c r="B16566" t="s">
        <v>9520</v>
      </c>
      <c r="C16566" t="s">
        <v>800</v>
      </c>
      <c r="D16566" t="s">
        <v>212</v>
      </c>
      <c r="E16566" t="s">
        <v>15</v>
      </c>
      <c r="F16566" s="2" t="str">
        <f>HYPERLINK("http://www.otzar.org/book.asp?200663","טהרת הכסף")</f>
        <v>טהרת הכסף</v>
      </c>
    </row>
    <row r="16567" spans="1:6" x14ac:dyDescent="0.2">
      <c r="A16567" t="s">
        <v>27475</v>
      </c>
      <c r="B16567" t="s">
        <v>4756</v>
      </c>
      <c r="C16567" t="s">
        <v>20</v>
      </c>
      <c r="D16567" t="s">
        <v>90</v>
      </c>
      <c r="E16567" t="s">
        <v>15</v>
      </c>
      <c r="F16567" s="2" t="str">
        <f>HYPERLINK("http://www.otzar.org/book.asp?180668","טהרת הלשון")</f>
        <v>טהרת הלשון</v>
      </c>
    </row>
    <row r="16568" spans="1:6" x14ac:dyDescent="0.2">
      <c r="A16568" t="s">
        <v>27476</v>
      </c>
      <c r="B16568" t="s">
        <v>9755</v>
      </c>
      <c r="C16568" t="s">
        <v>1177</v>
      </c>
      <c r="D16568" t="s">
        <v>76</v>
      </c>
      <c r="E16568" t="s">
        <v>104</v>
      </c>
      <c r="F16568" s="2" t="str">
        <f>HYPERLINK("http://www.otzar.org/book.asp?101421","טהרת המים")</f>
        <v>טהרת המים</v>
      </c>
    </row>
    <row r="16569" spans="1:6" x14ac:dyDescent="0.2">
      <c r="A16569" t="s">
        <v>27477</v>
      </c>
      <c r="B16569" t="s">
        <v>27478</v>
      </c>
      <c r="C16569" t="s">
        <v>427</v>
      </c>
      <c r="D16569" t="s">
        <v>14</v>
      </c>
      <c r="E16569" t="s">
        <v>15</v>
      </c>
      <c r="F16569" s="2" t="str">
        <f>HYPERLINK("http://www.otzar.org/book.asp?179091","טהרת המשפחה והיקף השפעתה")</f>
        <v>טהרת המשפחה והיקף השפעתה</v>
      </c>
    </row>
    <row r="16570" spans="1:6" x14ac:dyDescent="0.2">
      <c r="A16570" t="s">
        <v>27479</v>
      </c>
      <c r="B16570" t="s">
        <v>11190</v>
      </c>
      <c r="C16570" t="s">
        <v>725</v>
      </c>
      <c r="D16570" t="s">
        <v>5050</v>
      </c>
      <c r="E16570" t="s">
        <v>15</v>
      </c>
      <c r="F16570" s="2" t="str">
        <f>HYPERLINK("http://www.otzar.org/book.asp?178999","טהרת המשפחה")</f>
        <v>טהרת המשפחה</v>
      </c>
    </row>
    <row r="16571" spans="1:6" x14ac:dyDescent="0.2">
      <c r="A16571" t="s">
        <v>27479</v>
      </c>
      <c r="B16571" t="s">
        <v>27480</v>
      </c>
      <c r="C16571" t="s">
        <v>23</v>
      </c>
      <c r="D16571" t="s">
        <v>147</v>
      </c>
      <c r="E16571" t="s">
        <v>15</v>
      </c>
      <c r="F16571" s="2" t="str">
        <f>HYPERLINK("http://www.otzar.org/book.asp?194110","טהרת המשפחה")</f>
        <v>טהרת המשפחה</v>
      </c>
    </row>
    <row r="16572" spans="1:6" x14ac:dyDescent="0.2">
      <c r="A16572" t="s">
        <v>27479</v>
      </c>
      <c r="B16572" t="s">
        <v>27481</v>
      </c>
      <c r="C16572" t="s">
        <v>1202</v>
      </c>
      <c r="D16572" t="s">
        <v>15290</v>
      </c>
      <c r="F16572" s="2" t="str">
        <f>HYPERLINK("http://www.otzar.org/book.asp?152945","טהרת המשפחה")</f>
        <v>טהרת המשפחה</v>
      </c>
    </row>
    <row r="16573" spans="1:6" x14ac:dyDescent="0.2">
      <c r="A16573" t="s">
        <v>27479</v>
      </c>
      <c r="B16573" t="s">
        <v>1973</v>
      </c>
      <c r="C16573" t="s">
        <v>103</v>
      </c>
      <c r="D16573" t="s">
        <v>1974</v>
      </c>
      <c r="E16573" t="s">
        <v>15</v>
      </c>
      <c r="F16573" s="2" t="str">
        <f>HYPERLINK("http://www.otzar.org/book.asp?196756","טהרת המשפחה")</f>
        <v>טהרת המשפחה</v>
      </c>
    </row>
    <row r="16574" spans="1:6" x14ac:dyDescent="0.2">
      <c r="A16574" t="s">
        <v>27482</v>
      </c>
      <c r="B16574" t="s">
        <v>27483</v>
      </c>
      <c r="C16574" t="s">
        <v>603</v>
      </c>
      <c r="D16574" t="s">
        <v>1538</v>
      </c>
      <c r="E16574" t="s">
        <v>15</v>
      </c>
      <c r="F16574" s="2" t="str">
        <f>HYPERLINK("http://www.otzar.org/book.asp?24557","טהרת הנפש")</f>
        <v>טהרת הנפש</v>
      </c>
    </row>
    <row r="16575" spans="1:6" x14ac:dyDescent="0.2">
      <c r="A16575" t="s">
        <v>27482</v>
      </c>
      <c r="B16575" t="s">
        <v>206</v>
      </c>
      <c r="C16575" t="s">
        <v>244</v>
      </c>
      <c r="D16575" t="s">
        <v>52</v>
      </c>
      <c r="F16575" s="2" t="str">
        <f>HYPERLINK("http://www.otzar.org/book.asp?198311","טהרת הנפש")</f>
        <v>טהרת הנפש</v>
      </c>
    </row>
    <row r="16576" spans="1:6" x14ac:dyDescent="0.2">
      <c r="A16576" t="s">
        <v>27484</v>
      </c>
      <c r="B16576" t="s">
        <v>27485</v>
      </c>
      <c r="C16576" t="s">
        <v>940</v>
      </c>
      <c r="D16576" t="s">
        <v>245</v>
      </c>
      <c r="E16576" t="s">
        <v>144</v>
      </c>
      <c r="F16576" s="2" t="str">
        <f>HYPERLINK("http://www.otzar.org/book.asp?5316","טהרת הקדש &lt;מהדורה חדשה&gt; - זבחים")</f>
        <v>טהרת הקדש &lt;מהדורה חדשה&gt; - זבחים</v>
      </c>
    </row>
    <row r="16577" spans="1:6" x14ac:dyDescent="0.2">
      <c r="A16577" t="s">
        <v>27486</v>
      </c>
      <c r="B16577" t="s">
        <v>27485</v>
      </c>
      <c r="C16577" t="s">
        <v>27487</v>
      </c>
      <c r="D16577" t="s">
        <v>267</v>
      </c>
      <c r="E16577" t="s">
        <v>144</v>
      </c>
      <c r="F16577" s="2" t="str">
        <f>HYPERLINK("http://www.otzar.org/book.asp?101420","טהרת הקדש - 2 כר'")</f>
        <v>טהרת הקדש - 2 כר'</v>
      </c>
    </row>
    <row r="16578" spans="1:6" x14ac:dyDescent="0.2">
      <c r="A16578" t="s">
        <v>27488</v>
      </c>
      <c r="B16578" t="s">
        <v>27489</v>
      </c>
      <c r="C16578" t="s">
        <v>547</v>
      </c>
      <c r="D16578" t="s">
        <v>225</v>
      </c>
      <c r="E16578" t="s">
        <v>1211</v>
      </c>
      <c r="F16578" s="2" t="str">
        <f>HYPERLINK("http://www.otzar.org/book.asp?24558","טהרת הקדש")</f>
        <v>טהרת הקדש</v>
      </c>
    </row>
    <row r="16579" spans="1:6" x14ac:dyDescent="0.2">
      <c r="A16579" t="s">
        <v>27490</v>
      </c>
      <c r="B16579" t="s">
        <v>1393</v>
      </c>
      <c r="C16579" t="s">
        <v>624</v>
      </c>
      <c r="D16579" t="s">
        <v>14</v>
      </c>
      <c r="E16579" t="s">
        <v>703</v>
      </c>
      <c r="F16579" s="2" t="str">
        <f>HYPERLINK("http://www.otzar.org/book.asp?159781","טהרת הקודש &lt;המנוקד&gt; - 3 כר'")</f>
        <v>טהרת הקודש &lt;המנוקד&gt; - 3 כר'</v>
      </c>
    </row>
    <row r="16580" spans="1:6" x14ac:dyDescent="0.2">
      <c r="A16580" t="s">
        <v>27491</v>
      </c>
      <c r="B16580" t="s">
        <v>1821</v>
      </c>
      <c r="C16580" t="s">
        <v>624</v>
      </c>
      <c r="D16580" t="s">
        <v>52</v>
      </c>
      <c r="E16580" t="s">
        <v>43</v>
      </c>
      <c r="F16580" s="2" t="str">
        <f>HYPERLINK("http://www.otzar.org/book.asp?60028","טהרת הקודש - 2 כר'")</f>
        <v>טהרת הקודש - 2 כר'</v>
      </c>
    </row>
    <row r="16581" spans="1:6" x14ac:dyDescent="0.2">
      <c r="A16581" t="s">
        <v>27492</v>
      </c>
      <c r="B16581" t="s">
        <v>6446</v>
      </c>
      <c r="C16581" t="s">
        <v>506</v>
      </c>
      <c r="D16581" t="s">
        <v>646</v>
      </c>
      <c r="F16581" s="2" t="str">
        <f>HYPERLINK("http://www.otzar.org/book.asp?610490","טהרת הקודש - א")</f>
        <v>טהרת הקודש - א</v>
      </c>
    </row>
    <row r="16582" spans="1:6" x14ac:dyDescent="0.2">
      <c r="A16582" t="s">
        <v>27493</v>
      </c>
      <c r="B16582" t="s">
        <v>1393</v>
      </c>
      <c r="C16582" t="s">
        <v>313</v>
      </c>
      <c r="D16582" t="s">
        <v>52</v>
      </c>
      <c r="E16582" t="s">
        <v>241</v>
      </c>
      <c r="F16582" s="2" t="str">
        <f>HYPERLINK("http://www.otzar.org/book.asp?153839","טהרת הקודש - א-ב")</f>
        <v>טהרת הקודש - א-ב</v>
      </c>
    </row>
    <row r="16583" spans="1:6" x14ac:dyDescent="0.2">
      <c r="A16583" t="s">
        <v>27494</v>
      </c>
      <c r="B16583" t="s">
        <v>6333</v>
      </c>
      <c r="C16583" t="s">
        <v>553</v>
      </c>
      <c r="D16583" t="s">
        <v>52</v>
      </c>
      <c r="E16583" t="s">
        <v>15</v>
      </c>
      <c r="F16583" s="2" t="str">
        <f>HYPERLINK("http://www.otzar.org/book.asp?191717","טהרת השבת כהלכתה - 2 כר'")</f>
        <v>טהרת השבת כהלכתה - 2 כר'</v>
      </c>
    </row>
    <row r="16584" spans="1:6" x14ac:dyDescent="0.2">
      <c r="A16584" t="s">
        <v>27495</v>
      </c>
      <c r="B16584" t="s">
        <v>179</v>
      </c>
      <c r="C16584" t="s">
        <v>146</v>
      </c>
      <c r="D16584" t="s">
        <v>412</v>
      </c>
      <c r="E16584" t="s">
        <v>2596</v>
      </c>
      <c r="F16584" s="2" t="str">
        <f>HYPERLINK("http://www.otzar.org/book.asp?157762","טהרת השולחן")</f>
        <v>טהרת השולחן</v>
      </c>
    </row>
    <row r="16585" spans="1:6" x14ac:dyDescent="0.2">
      <c r="A16585" t="s">
        <v>27496</v>
      </c>
      <c r="B16585" t="s">
        <v>15378</v>
      </c>
      <c r="C16585" t="s">
        <v>956</v>
      </c>
      <c r="D16585" t="s">
        <v>216</v>
      </c>
      <c r="E16585" t="s">
        <v>15</v>
      </c>
      <c r="F16585" s="2" t="str">
        <f>HYPERLINK("http://www.otzar.org/book.asp?144589","טהרת השלחן")</f>
        <v>טהרת השלחן</v>
      </c>
    </row>
    <row r="16586" spans="1:6" x14ac:dyDescent="0.2">
      <c r="A16586" t="s">
        <v>27496</v>
      </c>
      <c r="B16586" t="s">
        <v>1393</v>
      </c>
      <c r="C16586" t="s">
        <v>624</v>
      </c>
      <c r="D16586" t="s">
        <v>367</v>
      </c>
      <c r="E16586" t="s">
        <v>16417</v>
      </c>
      <c r="F16586" s="2" t="str">
        <f>HYPERLINK("http://www.otzar.org/book.asp?159632","טהרת השלחן")</f>
        <v>טהרת השלחן</v>
      </c>
    </row>
    <row r="16587" spans="1:6" x14ac:dyDescent="0.2">
      <c r="A16587" t="s">
        <v>27497</v>
      </c>
      <c r="B16587" t="s">
        <v>18792</v>
      </c>
      <c r="C16587" t="s">
        <v>189</v>
      </c>
      <c r="D16587" t="s">
        <v>52</v>
      </c>
      <c r="E16587" t="s">
        <v>15</v>
      </c>
      <c r="F16587" s="2" t="str">
        <f>HYPERLINK("http://www.otzar.org/book.asp?61266","טהרת התורה - 2 כר'")</f>
        <v>טהרת התורה - 2 כר'</v>
      </c>
    </row>
    <row r="16588" spans="1:6" x14ac:dyDescent="0.2">
      <c r="A16588" t="s">
        <v>27498</v>
      </c>
      <c r="B16588" t="s">
        <v>13424</v>
      </c>
      <c r="C16588" t="s">
        <v>383</v>
      </c>
      <c r="D16588" t="s">
        <v>52</v>
      </c>
      <c r="E16588" t="s">
        <v>148</v>
      </c>
      <c r="F16588" s="2" t="str">
        <f>HYPERLINK("http://www.otzar.org/book.asp?85057","טהרת התפלה - 2 כר'")</f>
        <v>טהרת התפלה - 2 כר'</v>
      </c>
    </row>
    <row r="16589" spans="1:6" x14ac:dyDescent="0.2">
      <c r="A16589" t="s">
        <v>27499</v>
      </c>
      <c r="B16589" t="s">
        <v>27500</v>
      </c>
      <c r="C16589" t="s">
        <v>23</v>
      </c>
      <c r="D16589" t="s">
        <v>2285</v>
      </c>
      <c r="E16589" t="s">
        <v>325</v>
      </c>
      <c r="F16589" s="2" t="str">
        <f>HYPERLINK("http://www.otzar.org/book.asp?190232","טהרת זאב - נדה")</f>
        <v>טהרת זאב - נדה</v>
      </c>
    </row>
    <row r="16590" spans="1:6" x14ac:dyDescent="0.2">
      <c r="A16590" t="s">
        <v>27501</v>
      </c>
      <c r="B16590" t="s">
        <v>6033</v>
      </c>
      <c r="C16590" t="s">
        <v>168</v>
      </c>
      <c r="D16590" t="s">
        <v>52</v>
      </c>
      <c r="E16590" t="s">
        <v>84</v>
      </c>
      <c r="F16590" s="2" t="str">
        <f>HYPERLINK("http://www.otzar.org/book.asp?52234","טהרת חיים - כלים")</f>
        <v>טהרת חיים - כלים</v>
      </c>
    </row>
    <row r="16591" spans="1:6" x14ac:dyDescent="0.2">
      <c r="A16591" t="s">
        <v>27502</v>
      </c>
      <c r="B16591" t="s">
        <v>21958</v>
      </c>
      <c r="C16591" t="s">
        <v>129</v>
      </c>
      <c r="D16591" t="s">
        <v>657</v>
      </c>
      <c r="E16591" t="s">
        <v>3489</v>
      </c>
      <c r="F16591" s="2" t="str">
        <f>HYPERLINK("http://www.otzar.org/book.asp?63618","טהרת יד")</f>
        <v>טהרת יד</v>
      </c>
    </row>
    <row r="16592" spans="1:6" x14ac:dyDescent="0.2">
      <c r="A16592" t="s">
        <v>27503</v>
      </c>
      <c r="B16592" t="s">
        <v>11184</v>
      </c>
      <c r="C16592" t="s">
        <v>87</v>
      </c>
      <c r="D16592" t="s">
        <v>52</v>
      </c>
      <c r="E16592" t="s">
        <v>15</v>
      </c>
      <c r="F16592" s="2" t="str">
        <f>HYPERLINK("http://www.otzar.org/book.asp?157810","טהרת ידים")</f>
        <v>טהרת ידים</v>
      </c>
    </row>
    <row r="16593" spans="1:6" x14ac:dyDescent="0.2">
      <c r="A16593" t="s">
        <v>27503</v>
      </c>
      <c r="B16593" t="s">
        <v>107</v>
      </c>
      <c r="C16593" t="s">
        <v>523</v>
      </c>
      <c r="D16593" t="s">
        <v>14</v>
      </c>
      <c r="E16593" t="s">
        <v>15</v>
      </c>
      <c r="F16593" s="2" t="str">
        <f>HYPERLINK("http://www.otzar.org/book.asp?148247","טהרת ידים")</f>
        <v>טהרת ידים</v>
      </c>
    </row>
    <row r="16594" spans="1:6" x14ac:dyDescent="0.2">
      <c r="A16594" t="s">
        <v>27504</v>
      </c>
      <c r="B16594" t="s">
        <v>27505</v>
      </c>
      <c r="C16594" t="s">
        <v>1811</v>
      </c>
      <c r="D16594" t="s">
        <v>52</v>
      </c>
      <c r="E16594" t="s">
        <v>84</v>
      </c>
      <c r="F16594" s="2" t="str">
        <f>HYPERLINK("http://www.otzar.org/book.asp?153531","טהרת יוסף - כלים")</f>
        <v>טהרת יוסף - כלים</v>
      </c>
    </row>
    <row r="16595" spans="1:6" x14ac:dyDescent="0.2">
      <c r="A16595" t="s">
        <v>27506</v>
      </c>
      <c r="B16595" t="s">
        <v>11138</v>
      </c>
      <c r="C16595" t="s">
        <v>785</v>
      </c>
      <c r="D16595" t="s">
        <v>14</v>
      </c>
      <c r="E16595" t="s">
        <v>148</v>
      </c>
      <c r="F16595" s="2" t="str">
        <f>HYPERLINK("http://www.otzar.org/book.asp?50188","טהרת יעקב")</f>
        <v>טהרת יעקב</v>
      </c>
    </row>
    <row r="16596" spans="1:6" x14ac:dyDescent="0.2">
      <c r="A16596" t="s">
        <v>27507</v>
      </c>
      <c r="B16596" t="s">
        <v>4728</v>
      </c>
      <c r="C16596" t="s">
        <v>146</v>
      </c>
      <c r="D16596" t="s">
        <v>14</v>
      </c>
      <c r="E16596" t="s">
        <v>399</v>
      </c>
      <c r="F16596" s="2" t="str">
        <f>HYPERLINK("http://www.otzar.org/book.asp?156583","טהרת יצחק")</f>
        <v>טהרת יצחק</v>
      </c>
    </row>
    <row r="16597" spans="1:6" x14ac:dyDescent="0.2">
      <c r="A16597" t="s">
        <v>27508</v>
      </c>
      <c r="B16597" t="s">
        <v>27509</v>
      </c>
      <c r="C16597" t="s">
        <v>185</v>
      </c>
      <c r="D16597" t="s">
        <v>27510</v>
      </c>
      <c r="F16597" s="2" t="str">
        <f>HYPERLINK("http://www.otzar.org/book.asp?632832","טהרת ישראל")</f>
        <v>טהרת ישראל</v>
      </c>
    </row>
    <row r="16598" spans="1:6" x14ac:dyDescent="0.2">
      <c r="A16598" t="s">
        <v>27511</v>
      </c>
      <c r="B16598" t="s">
        <v>27512</v>
      </c>
      <c r="C16598" t="s">
        <v>111</v>
      </c>
      <c r="D16598" t="s">
        <v>21</v>
      </c>
      <c r="E16598" t="s">
        <v>38</v>
      </c>
      <c r="F16598" s="2" t="str">
        <f>HYPERLINK("http://www.otzar.org/book.asp?630585","טהרת ישראל - א")</f>
        <v>טהרת ישראל - א</v>
      </c>
    </row>
    <row r="16599" spans="1:6" x14ac:dyDescent="0.2">
      <c r="A16599" t="s">
        <v>27508</v>
      </c>
      <c r="B16599" t="s">
        <v>5501</v>
      </c>
      <c r="C16599" t="s">
        <v>1284</v>
      </c>
      <c r="D16599" t="s">
        <v>27</v>
      </c>
      <c r="E16599" t="s">
        <v>15</v>
      </c>
      <c r="F16599" s="2" t="str">
        <f>HYPERLINK("http://www.otzar.org/book.asp?200125","טהרת ישראל")</f>
        <v>טהרת ישראל</v>
      </c>
    </row>
    <row r="16600" spans="1:6" x14ac:dyDescent="0.2">
      <c r="A16600" t="s">
        <v>27513</v>
      </c>
      <c r="B16600" t="s">
        <v>4050</v>
      </c>
      <c r="C16600" t="s">
        <v>27514</v>
      </c>
      <c r="D16600" t="s">
        <v>691</v>
      </c>
      <c r="E16600" t="s">
        <v>15</v>
      </c>
      <c r="F16600" s="2" t="str">
        <f>HYPERLINK("http://www.otzar.org/book.asp?1000","טהרת ישראל - 4 כר'")</f>
        <v>טהרת ישראל - 4 כר'</v>
      </c>
    </row>
    <row r="16601" spans="1:6" x14ac:dyDescent="0.2">
      <c r="A16601" t="s">
        <v>27508</v>
      </c>
      <c r="B16601" t="s">
        <v>1978</v>
      </c>
      <c r="C16601" t="s">
        <v>2644</v>
      </c>
      <c r="D16601" t="s">
        <v>225</v>
      </c>
      <c r="E16601" t="s">
        <v>3902</v>
      </c>
      <c r="F16601" s="2" t="str">
        <f>HYPERLINK("http://www.otzar.org/book.asp?101266","טהרת ישראל")</f>
        <v>טהרת ישראל</v>
      </c>
    </row>
    <row r="16602" spans="1:6" x14ac:dyDescent="0.2">
      <c r="A16602" t="s">
        <v>27515</v>
      </c>
      <c r="B16602" t="s">
        <v>27516</v>
      </c>
      <c r="C16602" t="s">
        <v>133</v>
      </c>
      <c r="D16602" t="s">
        <v>14</v>
      </c>
      <c r="E16602" t="s">
        <v>5935</v>
      </c>
      <c r="F16602" s="2" t="str">
        <f>HYPERLINK("http://www.otzar.org/book.asp?179700","טהרת כהן")</f>
        <v>טהרת כהן</v>
      </c>
    </row>
    <row r="16603" spans="1:6" x14ac:dyDescent="0.2">
      <c r="A16603" t="s">
        <v>27517</v>
      </c>
      <c r="B16603" t="s">
        <v>27518</v>
      </c>
      <c r="C16603" t="s">
        <v>383</v>
      </c>
      <c r="D16603" t="s">
        <v>52</v>
      </c>
      <c r="E16603" t="s">
        <v>84</v>
      </c>
      <c r="F16603" s="2" t="str">
        <f>HYPERLINK("http://www.otzar.org/book.asp?161209","טהרת כלים - 2 כר'")</f>
        <v>טהרת כלים - 2 כר'</v>
      </c>
    </row>
    <row r="16604" spans="1:6" x14ac:dyDescent="0.2">
      <c r="A16604" t="s">
        <v>27519</v>
      </c>
      <c r="B16604" t="s">
        <v>22263</v>
      </c>
      <c r="C16604" t="s">
        <v>51</v>
      </c>
      <c r="D16604" t="s">
        <v>1974</v>
      </c>
      <c r="E16604" t="s">
        <v>15</v>
      </c>
      <c r="F16604" s="2" t="str">
        <f>HYPERLINK("http://www.otzar.org/book.asp?52538","טהרת כלים")</f>
        <v>טהרת כלים</v>
      </c>
    </row>
    <row r="16605" spans="1:6" x14ac:dyDescent="0.2">
      <c r="A16605" t="s">
        <v>27520</v>
      </c>
      <c r="E16605" t="s">
        <v>104</v>
      </c>
      <c r="F16605" s="2" t="str">
        <f>HYPERLINK("http://www.otzar.org/book.asp?605416","טהרת לשון הקודש")</f>
        <v>טהרת לשון הקודש</v>
      </c>
    </row>
    <row r="16606" spans="1:6" x14ac:dyDescent="0.2">
      <c r="A16606" t="s">
        <v>27521</v>
      </c>
      <c r="B16606" t="s">
        <v>27522</v>
      </c>
      <c r="C16606" t="s">
        <v>244</v>
      </c>
      <c r="D16606" t="s">
        <v>21</v>
      </c>
      <c r="F16606" s="2" t="str">
        <f>HYPERLINK("http://www.otzar.org/book.asp?198744","טהרת מים חיים - הבלנית בהלכה")</f>
        <v>טהרת מים חיים - הבלנית בהלכה</v>
      </c>
    </row>
    <row r="16607" spans="1:6" x14ac:dyDescent="0.2">
      <c r="A16607" t="s">
        <v>27523</v>
      </c>
      <c r="B16607" t="s">
        <v>253</v>
      </c>
      <c r="C16607" t="s">
        <v>68</v>
      </c>
      <c r="D16607" t="s">
        <v>52</v>
      </c>
      <c r="E16607" t="s">
        <v>1157</v>
      </c>
      <c r="F16607" s="2" t="str">
        <f>HYPERLINK("http://www.otzar.org/book.asp?623779","טהרת מירון - הר המערות")</f>
        <v>טהרת מירון - הר המערות</v>
      </c>
    </row>
    <row r="16608" spans="1:6" x14ac:dyDescent="0.2">
      <c r="A16608" t="s">
        <v>27524</v>
      </c>
      <c r="B16608" t="s">
        <v>27525</v>
      </c>
      <c r="C16608" t="s">
        <v>23</v>
      </c>
      <c r="D16608" t="s">
        <v>423</v>
      </c>
      <c r="F16608" s="2" t="str">
        <f>HYPERLINK("http://www.otzar.org/book.asp?616456","טהרת מש""ה")</f>
        <v>טהרת מש"ה</v>
      </c>
    </row>
    <row r="16609" spans="1:6" x14ac:dyDescent="0.2">
      <c r="A16609" t="s">
        <v>27526</v>
      </c>
      <c r="B16609" t="s">
        <v>27527</v>
      </c>
      <c r="C16609" t="s">
        <v>422</v>
      </c>
      <c r="D16609" t="s">
        <v>14</v>
      </c>
      <c r="E16609" t="s">
        <v>148</v>
      </c>
      <c r="F16609" s="2" t="str">
        <f>HYPERLINK("http://www.otzar.org/book.asp?157740","טהרת משה &lt;מקוואות&gt; - 2 כר'")</f>
        <v>טהרת משה &lt;מקוואות&gt; - 2 כר'</v>
      </c>
    </row>
    <row r="16610" spans="1:6" x14ac:dyDescent="0.2">
      <c r="A16610" t="s">
        <v>27528</v>
      </c>
      <c r="B16610" t="s">
        <v>27529</v>
      </c>
      <c r="C16610" t="s">
        <v>129</v>
      </c>
      <c r="D16610" t="s">
        <v>14</v>
      </c>
      <c r="E16610" t="s">
        <v>768</v>
      </c>
      <c r="F16610" s="2" t="str">
        <f>HYPERLINK("http://www.otzar.org/book.asp?154546","טהרת משה &lt;קובץ&gt; - מקוואות")</f>
        <v>טהרת משה &lt;קובץ&gt; - מקוואות</v>
      </c>
    </row>
    <row r="16611" spans="1:6" x14ac:dyDescent="0.2">
      <c r="A16611" t="s">
        <v>27530</v>
      </c>
      <c r="B16611" t="s">
        <v>27531</v>
      </c>
      <c r="C16611" t="s">
        <v>37</v>
      </c>
      <c r="D16611" t="s">
        <v>21</v>
      </c>
      <c r="E16611" t="s">
        <v>84</v>
      </c>
      <c r="F16611" s="2" t="str">
        <f>HYPERLINK("http://www.otzar.org/book.asp?605635","טהרת משה - פרה")</f>
        <v>טהרת משה - פרה</v>
      </c>
    </row>
    <row r="16612" spans="1:6" x14ac:dyDescent="0.2">
      <c r="A16612" t="s">
        <v>27532</v>
      </c>
      <c r="B16612" t="s">
        <v>5490</v>
      </c>
      <c r="C16612" t="s">
        <v>940</v>
      </c>
      <c r="D16612" t="s">
        <v>412</v>
      </c>
      <c r="E16612" t="s">
        <v>674</v>
      </c>
      <c r="F16612" s="2" t="str">
        <f>HYPERLINK("http://www.otzar.org/book.asp?943","טהרת משפחה")</f>
        <v>טהרת משפחה</v>
      </c>
    </row>
    <row r="16613" spans="1:6" x14ac:dyDescent="0.2">
      <c r="A16613" t="s">
        <v>27533</v>
      </c>
      <c r="B16613" t="s">
        <v>15804</v>
      </c>
      <c r="C16613" t="s">
        <v>767</v>
      </c>
      <c r="D16613" t="s">
        <v>14</v>
      </c>
      <c r="E16613" t="s">
        <v>15</v>
      </c>
      <c r="F16613" s="2" t="str">
        <f>HYPERLINK("http://www.otzar.org/book.asp?61913","טהרת פנחס - נדה")</f>
        <v>טהרת פנחס - נדה</v>
      </c>
    </row>
    <row r="16614" spans="1:6" x14ac:dyDescent="0.2">
      <c r="A16614" t="s">
        <v>27534</v>
      </c>
      <c r="B16614" t="s">
        <v>5753</v>
      </c>
      <c r="C16614" t="s">
        <v>51</v>
      </c>
      <c r="D16614" t="s">
        <v>14</v>
      </c>
      <c r="E16614" t="s">
        <v>2775</v>
      </c>
      <c r="F16614" s="2" t="str">
        <f>HYPERLINK("http://www.otzar.org/book.asp?106134","טהרת פתחים")</f>
        <v>טהרת פתחים</v>
      </c>
    </row>
    <row r="16615" spans="1:6" x14ac:dyDescent="0.2">
      <c r="A16615" t="s">
        <v>27535</v>
      </c>
      <c r="B16615" t="s">
        <v>27536</v>
      </c>
      <c r="C16615" t="s">
        <v>68</v>
      </c>
      <c r="D16615" t="s">
        <v>14</v>
      </c>
      <c r="E16615" t="s">
        <v>186</v>
      </c>
      <c r="F16615" s="2" t="str">
        <f>HYPERLINK("http://www.otzar.org/book.asp?161037","טהרת רפאל - 2 כר'")</f>
        <v>טהרת רפאל - 2 כר'</v>
      </c>
    </row>
    <row r="16616" spans="1:6" x14ac:dyDescent="0.2">
      <c r="A16616" t="s">
        <v>27537</v>
      </c>
      <c r="B16616" t="s">
        <v>19856</v>
      </c>
      <c r="C16616" t="s">
        <v>13</v>
      </c>
      <c r="D16616" t="s">
        <v>657</v>
      </c>
      <c r="E16616" t="s">
        <v>15</v>
      </c>
      <c r="F16616" s="2" t="str">
        <f>HYPERLINK("http://www.otzar.org/book.asp?191918","טהרת שלמה")</f>
        <v>טהרת שלמה</v>
      </c>
    </row>
    <row r="16617" spans="1:6" x14ac:dyDescent="0.2">
      <c r="A16617" t="s">
        <v>27538</v>
      </c>
      <c r="B16617" t="s">
        <v>27539</v>
      </c>
      <c r="C16617" t="s">
        <v>68</v>
      </c>
      <c r="D16617" t="s">
        <v>52</v>
      </c>
      <c r="F16617" s="2" t="str">
        <f>HYPERLINK("http://www.otzar.org/book.asp?163788","טהרת שלמה - אהלות, מקואות, ידים")</f>
        <v>טהרת שלמה - אהלות, מקואות, ידים</v>
      </c>
    </row>
    <row r="16618" spans="1:6" x14ac:dyDescent="0.2">
      <c r="A16618" t="s">
        <v>27540</v>
      </c>
      <c r="B16618" t="s">
        <v>27541</v>
      </c>
      <c r="C16618" t="s">
        <v>151</v>
      </c>
      <c r="D16618" t="s">
        <v>14</v>
      </c>
      <c r="F16618" s="2" t="str">
        <f>HYPERLINK("http://www.otzar.org/book.asp?616424","טהרת שלמה - 2 כר'")</f>
        <v>טהרת שלמה - 2 כר'</v>
      </c>
    </row>
    <row r="16619" spans="1:6" x14ac:dyDescent="0.2">
      <c r="A16619" t="s">
        <v>27542</v>
      </c>
      <c r="B16619" t="s">
        <v>4398</v>
      </c>
      <c r="C16619" t="s">
        <v>23</v>
      </c>
      <c r="D16619" t="s">
        <v>216</v>
      </c>
      <c r="F16619" s="2" t="str">
        <f>HYPERLINK("http://www.otzar.org/book.asp?616327","טהרת שמחה")</f>
        <v>טהרת שמחה</v>
      </c>
    </row>
    <row r="16620" spans="1:6" x14ac:dyDescent="0.2">
      <c r="A16620" t="s">
        <v>27543</v>
      </c>
      <c r="B16620" t="s">
        <v>98</v>
      </c>
      <c r="C16620" t="s">
        <v>422</v>
      </c>
      <c r="D16620" t="s">
        <v>118</v>
      </c>
      <c r="E16620" t="s">
        <v>246</v>
      </c>
      <c r="F16620" s="2" t="str">
        <f>HYPERLINK("http://www.otzar.org/book.asp?176735","טוב דברך - 2 כר'")</f>
        <v>טוב דברך - 2 כר'</v>
      </c>
    </row>
    <row r="16621" spans="1:6" x14ac:dyDescent="0.2">
      <c r="A16621" t="s">
        <v>27544</v>
      </c>
      <c r="B16621" t="s">
        <v>24445</v>
      </c>
      <c r="C16621" t="s">
        <v>17</v>
      </c>
      <c r="D16621" t="s">
        <v>52</v>
      </c>
      <c r="E16621" t="s">
        <v>241</v>
      </c>
      <c r="F16621" s="2" t="str">
        <f>HYPERLINK("http://www.otzar.org/book.asp?23092","טוב דעת - 6 כר'")</f>
        <v>טוב דעת - 6 כר'</v>
      </c>
    </row>
    <row r="16622" spans="1:6" x14ac:dyDescent="0.2">
      <c r="A16622" t="s">
        <v>27545</v>
      </c>
      <c r="B16622" t="s">
        <v>1510</v>
      </c>
      <c r="C16622" t="s">
        <v>51</v>
      </c>
      <c r="D16622" t="s">
        <v>1511</v>
      </c>
      <c r="E16622" t="s">
        <v>15</v>
      </c>
      <c r="F16622" s="2" t="str">
        <f>HYPERLINK("http://www.otzar.org/book.asp?52620","טוב הארץ - 2 כר'")</f>
        <v>טוב הארץ - 2 כר'</v>
      </c>
    </row>
    <row r="16623" spans="1:6" x14ac:dyDescent="0.2">
      <c r="A16623" t="s">
        <v>27545</v>
      </c>
      <c r="B16623" t="s">
        <v>27546</v>
      </c>
      <c r="C16623" t="s">
        <v>114</v>
      </c>
      <c r="D16623" t="s">
        <v>52</v>
      </c>
      <c r="E16623" t="s">
        <v>104</v>
      </c>
      <c r="F16623" s="2" t="str">
        <f>HYPERLINK("http://www.otzar.org/book.asp?162171","טוב הארץ - 2 כר'")</f>
        <v>טוב הארץ - 2 כר'</v>
      </c>
    </row>
    <row r="16624" spans="1:6" x14ac:dyDescent="0.2">
      <c r="A16624" t="s">
        <v>27547</v>
      </c>
      <c r="B16624" t="s">
        <v>27548</v>
      </c>
      <c r="C16624" t="s">
        <v>103</v>
      </c>
      <c r="D16624" t="s">
        <v>52</v>
      </c>
      <c r="F16624" s="2" t="str">
        <f>HYPERLINK("http://www.otzar.org/book.asp?620376","טוב הארץ - הערות הגר""ב רוזנברג")</f>
        <v>טוב הארץ - הערות הגר"ב רוזנברג</v>
      </c>
    </row>
    <row r="16625" spans="1:6" x14ac:dyDescent="0.2">
      <c r="A16625" t="s">
        <v>27549</v>
      </c>
      <c r="B16625" t="s">
        <v>27550</v>
      </c>
      <c r="C16625" t="s">
        <v>146</v>
      </c>
      <c r="D16625" t="s">
        <v>21</v>
      </c>
      <c r="E16625" t="s">
        <v>1438</v>
      </c>
      <c r="F16625" s="2" t="str">
        <f>HYPERLINK("http://www.otzar.org/book.asp?196054","טוב הארץ - סוד מצות מילה- קדושת הארץ - דרושי הרמ""ז &lt;מהדורה חדשה&gt;")</f>
        <v>טוב הארץ - סוד מצות מילה- קדושת הארץ - דרושי הרמ"ז &lt;מהדורה חדשה&gt;</v>
      </c>
    </row>
    <row r="16626" spans="1:6" x14ac:dyDescent="0.2">
      <c r="A16626" t="s">
        <v>27545</v>
      </c>
      <c r="B16626" t="s">
        <v>27551</v>
      </c>
      <c r="C16626" t="s">
        <v>3690</v>
      </c>
      <c r="D16626" t="s">
        <v>27</v>
      </c>
      <c r="E16626" t="s">
        <v>27552</v>
      </c>
      <c r="F16626" s="2" t="str">
        <f>HYPERLINK("http://www.otzar.org/book.asp?23880","טוב הארץ - 2 כר'")</f>
        <v>טוב הארץ - 2 כר'</v>
      </c>
    </row>
    <row r="16627" spans="1:6" x14ac:dyDescent="0.2">
      <c r="A16627" t="s">
        <v>27553</v>
      </c>
      <c r="B16627" t="s">
        <v>25920</v>
      </c>
      <c r="C16627" t="s">
        <v>51</v>
      </c>
      <c r="D16627" t="s">
        <v>52</v>
      </c>
      <c r="E16627" t="s">
        <v>144</v>
      </c>
      <c r="F16627" s="2" t="str">
        <f>HYPERLINK("http://www.otzar.org/book.asp?108376","טוב החיים - 12 כר'")</f>
        <v>טוב החיים - 12 כר'</v>
      </c>
    </row>
    <row r="16628" spans="1:6" x14ac:dyDescent="0.2">
      <c r="A16628" t="s">
        <v>27554</v>
      </c>
      <c r="B16628" t="s">
        <v>27555</v>
      </c>
      <c r="C16628" t="s">
        <v>266</v>
      </c>
      <c r="D16628" t="s">
        <v>56</v>
      </c>
      <c r="E16628" t="s">
        <v>19801</v>
      </c>
      <c r="F16628" s="2" t="str">
        <f>HYPERLINK("http://www.otzar.org/book.asp?6923","טוב החיים")</f>
        <v>טוב החיים</v>
      </c>
    </row>
    <row r="16629" spans="1:6" x14ac:dyDescent="0.2">
      <c r="A16629" t="s">
        <v>27556</v>
      </c>
      <c r="B16629" t="s">
        <v>18539</v>
      </c>
      <c r="C16629" t="s">
        <v>111</v>
      </c>
      <c r="D16629" t="s">
        <v>14</v>
      </c>
      <c r="E16629" t="s">
        <v>158</v>
      </c>
      <c r="F16629" s="2" t="str">
        <f>HYPERLINK("http://www.otzar.org/book.asp?627845","טוב הלל")</f>
        <v>טוב הלל</v>
      </c>
    </row>
    <row r="16630" spans="1:6" x14ac:dyDescent="0.2">
      <c r="A16630" t="s">
        <v>27557</v>
      </c>
      <c r="B16630" t="s">
        <v>24640</v>
      </c>
      <c r="C16630" t="s">
        <v>13</v>
      </c>
      <c r="D16630" t="s">
        <v>14</v>
      </c>
      <c r="E16630" t="s">
        <v>230</v>
      </c>
      <c r="F16630" s="2" t="str">
        <f>HYPERLINK("http://www.otzar.org/book.asp?172122","טוב הפנינים - 2 כר'")</f>
        <v>טוב הפנינים - 2 כר'</v>
      </c>
    </row>
    <row r="16631" spans="1:6" x14ac:dyDescent="0.2">
      <c r="A16631" t="s">
        <v>27558</v>
      </c>
      <c r="B16631" t="s">
        <v>27559</v>
      </c>
      <c r="C16631" t="s">
        <v>133</v>
      </c>
      <c r="D16631" t="s">
        <v>276</v>
      </c>
      <c r="E16631" t="s">
        <v>186</v>
      </c>
      <c r="F16631" s="2" t="str">
        <f>HYPERLINK("http://www.otzar.org/book.asp?171175","טוב הצפון - גיטין")</f>
        <v>טוב הצפון - גיטין</v>
      </c>
    </row>
    <row r="16632" spans="1:6" x14ac:dyDescent="0.2">
      <c r="A16632" t="s">
        <v>27560</v>
      </c>
      <c r="B16632" t="s">
        <v>1493</v>
      </c>
      <c r="C16632" t="s">
        <v>4059</v>
      </c>
      <c r="D16632" t="s">
        <v>1833</v>
      </c>
      <c r="E16632" t="s">
        <v>104</v>
      </c>
      <c r="F16632" s="2" t="str">
        <f>HYPERLINK("http://www.otzar.org/book.asp?151610","טוב ויפה")</f>
        <v>טוב ויפה</v>
      </c>
    </row>
    <row r="16633" spans="1:6" x14ac:dyDescent="0.2">
      <c r="A16633" t="s">
        <v>27561</v>
      </c>
      <c r="B16633" t="s">
        <v>552</v>
      </c>
      <c r="C16633" t="s">
        <v>87</v>
      </c>
      <c r="D16633" t="s">
        <v>14</v>
      </c>
      <c r="E16633" t="s">
        <v>384</v>
      </c>
      <c r="F16633" s="2" t="str">
        <f>HYPERLINK("http://www.otzar.org/book.asp?64189","טוב וישר")</f>
        <v>טוב וישר</v>
      </c>
    </row>
    <row r="16634" spans="1:6" x14ac:dyDescent="0.2">
      <c r="A16634" t="s">
        <v>27562</v>
      </c>
      <c r="B16634" t="s">
        <v>776</v>
      </c>
      <c r="C16634" t="s">
        <v>79</v>
      </c>
      <c r="D16634" t="s">
        <v>27</v>
      </c>
      <c r="E16634" t="s">
        <v>241</v>
      </c>
      <c r="F16634" s="2" t="str">
        <f>HYPERLINK("http://www.otzar.org/book.asp?179217","טוב חן")</f>
        <v>טוב חן</v>
      </c>
    </row>
    <row r="16635" spans="1:6" x14ac:dyDescent="0.2">
      <c r="A16635" t="s">
        <v>27563</v>
      </c>
      <c r="B16635" t="s">
        <v>18840</v>
      </c>
      <c r="C16635" t="s">
        <v>1388</v>
      </c>
      <c r="D16635" t="s">
        <v>14</v>
      </c>
      <c r="E16635" t="s">
        <v>27564</v>
      </c>
      <c r="F16635" s="2" t="str">
        <f>HYPERLINK("http://www.otzar.org/book.asp?152374","טוב טעם &lt;מכון הכתב&gt;")</f>
        <v>טוב טעם &lt;מכון הכתב&gt;</v>
      </c>
    </row>
    <row r="16636" spans="1:6" x14ac:dyDescent="0.2">
      <c r="A16636" t="s">
        <v>27565</v>
      </c>
      <c r="B16636" t="s">
        <v>305</v>
      </c>
      <c r="C16636" t="s">
        <v>27566</v>
      </c>
      <c r="D16636" t="s">
        <v>267</v>
      </c>
      <c r="E16636" t="s">
        <v>154</v>
      </c>
      <c r="F16636" s="2" t="str">
        <f>HYPERLINK("http://www.otzar.org/book.asp?101418","טוב טעם ודעת - 4 כר'")</f>
        <v>טוב טעם ודעת - 4 כר'</v>
      </c>
    </row>
    <row r="16637" spans="1:6" x14ac:dyDescent="0.2">
      <c r="A16637" t="s">
        <v>27567</v>
      </c>
      <c r="B16637" t="s">
        <v>27568</v>
      </c>
      <c r="C16637" t="s">
        <v>1778</v>
      </c>
      <c r="D16637" t="s">
        <v>4703</v>
      </c>
      <c r="F16637" s="2" t="str">
        <f>HYPERLINK("http://www.otzar.org/book.asp?182585","טוב טעם")</f>
        <v>טוב טעם</v>
      </c>
    </row>
    <row r="16638" spans="1:6" x14ac:dyDescent="0.2">
      <c r="A16638" t="s">
        <v>27567</v>
      </c>
      <c r="B16638" t="s">
        <v>18840</v>
      </c>
      <c r="C16638" t="s">
        <v>1844</v>
      </c>
      <c r="D16638" t="s">
        <v>212</v>
      </c>
      <c r="E16638" t="s">
        <v>27569</v>
      </c>
      <c r="F16638" s="2" t="str">
        <f>HYPERLINK("http://www.otzar.org/book.asp?189398","טוב טעם")</f>
        <v>טוב טעם</v>
      </c>
    </row>
    <row r="16639" spans="1:6" x14ac:dyDescent="0.2">
      <c r="A16639" t="s">
        <v>27570</v>
      </c>
      <c r="B16639" t="s">
        <v>27571</v>
      </c>
      <c r="C16639" t="s">
        <v>462</v>
      </c>
      <c r="D16639" t="s">
        <v>6742</v>
      </c>
      <c r="E16639" t="s">
        <v>674</v>
      </c>
      <c r="F16639" s="2" t="str">
        <f>HYPERLINK("http://www.otzar.org/book.asp?105018","טוב טעם - 2 כר'")</f>
        <v>טוב טעם - 2 כר'</v>
      </c>
    </row>
    <row r="16640" spans="1:6" x14ac:dyDescent="0.2">
      <c r="A16640" t="s">
        <v>27572</v>
      </c>
      <c r="B16640" t="s">
        <v>27573</v>
      </c>
      <c r="C16640" t="s">
        <v>111</v>
      </c>
      <c r="D16640" t="s">
        <v>7116</v>
      </c>
      <c r="E16640" t="s">
        <v>144</v>
      </c>
      <c r="F16640" s="2" t="str">
        <f>HYPERLINK("http://www.otzar.org/book.asp?629647","טוב טעם - כריתות")</f>
        <v>טוב טעם - כריתות</v>
      </c>
    </row>
    <row r="16641" spans="1:6" x14ac:dyDescent="0.2">
      <c r="A16641" t="s">
        <v>27567</v>
      </c>
      <c r="B16641" t="s">
        <v>2000</v>
      </c>
      <c r="C16641" t="s">
        <v>1437</v>
      </c>
      <c r="D16641" t="s">
        <v>283</v>
      </c>
      <c r="E16641" t="s">
        <v>158</v>
      </c>
      <c r="F16641" s="2" t="str">
        <f>HYPERLINK("http://www.otzar.org/book.asp?140990","טוב טעם")</f>
        <v>טוב טעם</v>
      </c>
    </row>
    <row r="16642" spans="1:6" x14ac:dyDescent="0.2">
      <c r="A16642" t="s">
        <v>27574</v>
      </c>
      <c r="B16642" t="s">
        <v>5768</v>
      </c>
      <c r="C16642" t="s">
        <v>99</v>
      </c>
      <c r="D16642" t="s">
        <v>27575</v>
      </c>
      <c r="E16642" t="s">
        <v>930</v>
      </c>
      <c r="F16642" s="2" t="str">
        <f>HYPERLINK("http://www.otzar.org/book.asp?171526","טוב יגאל")</f>
        <v>טוב יגאל</v>
      </c>
    </row>
    <row r="16643" spans="1:6" x14ac:dyDescent="0.2">
      <c r="A16643" t="s">
        <v>27576</v>
      </c>
      <c r="B16643" t="s">
        <v>27577</v>
      </c>
      <c r="C16643" t="s">
        <v>313</v>
      </c>
      <c r="D16643" t="s">
        <v>90</v>
      </c>
      <c r="E16643" t="s">
        <v>246</v>
      </c>
      <c r="F16643" s="2" t="str">
        <f>HYPERLINK("http://www.otzar.org/book.asp?161014","טוב ימים - 2 כר'")</f>
        <v>טוב ימים - 2 כר'</v>
      </c>
    </row>
    <row r="16644" spans="1:6" x14ac:dyDescent="0.2">
      <c r="A16644" t="s">
        <v>27578</v>
      </c>
      <c r="B16644" t="s">
        <v>27579</v>
      </c>
      <c r="C16644" t="s">
        <v>23</v>
      </c>
      <c r="D16644" t="s">
        <v>21</v>
      </c>
      <c r="F16644" s="2" t="str">
        <f>HYPERLINK("http://www.otzar.org/book.asp?194677","טוב ירושלים")</f>
        <v>טוב ירושלים</v>
      </c>
    </row>
    <row r="16645" spans="1:6" x14ac:dyDescent="0.2">
      <c r="A16645" t="s">
        <v>27578</v>
      </c>
      <c r="B16645" t="s">
        <v>23066</v>
      </c>
      <c r="C16645" t="s">
        <v>908</v>
      </c>
      <c r="D16645" t="s">
        <v>4772</v>
      </c>
      <c r="E16645" t="s">
        <v>733</v>
      </c>
      <c r="F16645" s="2" t="str">
        <f>HYPERLINK("http://www.otzar.org/book.asp?18837","טוב ירושלים")</f>
        <v>טוב ירושלים</v>
      </c>
    </row>
    <row r="16646" spans="1:6" x14ac:dyDescent="0.2">
      <c r="A16646" t="s">
        <v>27580</v>
      </c>
      <c r="B16646" t="s">
        <v>1508</v>
      </c>
      <c r="C16646" t="s">
        <v>23</v>
      </c>
      <c r="D16646" t="s">
        <v>1509</v>
      </c>
      <c r="E16646" t="s">
        <v>158</v>
      </c>
      <c r="F16646" s="2" t="str">
        <f>HYPERLINK("http://www.otzar.org/book.asp?603849","טוב לב על מגילת אסתר")</f>
        <v>טוב לב על מגילת אסתר</v>
      </c>
    </row>
    <row r="16647" spans="1:6" x14ac:dyDescent="0.2">
      <c r="A16647" t="s">
        <v>27581</v>
      </c>
      <c r="B16647" t="s">
        <v>27582</v>
      </c>
      <c r="C16647" t="s">
        <v>151</v>
      </c>
      <c r="D16647" t="s">
        <v>1156</v>
      </c>
      <c r="F16647" s="2" t="str">
        <f>HYPERLINK("http://www.otzar.org/book.asp?616227","טוב להודות לה'")</f>
        <v>טוב להודות לה'</v>
      </c>
    </row>
    <row r="16648" spans="1:6" x14ac:dyDescent="0.2">
      <c r="A16648" t="s">
        <v>27581</v>
      </c>
      <c r="B16648" t="s">
        <v>22663</v>
      </c>
      <c r="C16648" t="s">
        <v>151</v>
      </c>
      <c r="D16648" t="s">
        <v>90</v>
      </c>
      <c r="E16648" t="s">
        <v>104</v>
      </c>
      <c r="F16648" s="2" t="str">
        <f>HYPERLINK("http://www.otzar.org/book.asp?625822","טוב להודות לה'")</f>
        <v>טוב להודות לה'</v>
      </c>
    </row>
    <row r="16649" spans="1:6" x14ac:dyDescent="0.2">
      <c r="A16649" t="s">
        <v>27583</v>
      </c>
      <c r="B16649" t="s">
        <v>27584</v>
      </c>
      <c r="C16649" t="s">
        <v>20</v>
      </c>
      <c r="D16649" t="s">
        <v>90</v>
      </c>
      <c r="E16649" t="s">
        <v>241</v>
      </c>
      <c r="F16649" s="2" t="str">
        <f>HYPERLINK("http://www.otzar.org/book.asp?627748","טוב להודות - על מזמור לתודה")</f>
        <v>טוב להודות - על מזמור לתודה</v>
      </c>
    </row>
    <row r="16650" spans="1:6" x14ac:dyDescent="0.2">
      <c r="A16650" t="s">
        <v>27585</v>
      </c>
      <c r="B16650" t="s">
        <v>12403</v>
      </c>
      <c r="C16650" t="s">
        <v>37</v>
      </c>
      <c r="D16650" t="s">
        <v>14</v>
      </c>
      <c r="E16650" t="s">
        <v>2054</v>
      </c>
      <c r="F16650" s="2" t="str">
        <f>HYPERLINK("http://www.otzar.org/book.asp?195053","טוב להודות")</f>
        <v>טוב להודות</v>
      </c>
    </row>
    <row r="16651" spans="1:6" x14ac:dyDescent="0.2">
      <c r="A16651" t="s">
        <v>27585</v>
      </c>
      <c r="B16651" t="s">
        <v>27586</v>
      </c>
      <c r="C16651" t="s">
        <v>151</v>
      </c>
      <c r="D16651" t="s">
        <v>14</v>
      </c>
      <c r="E16651" t="s">
        <v>213</v>
      </c>
      <c r="F16651" s="2" t="str">
        <f>HYPERLINK("http://www.otzar.org/book.asp?621310","טוב להודות")</f>
        <v>טוב להודות</v>
      </c>
    </row>
    <row r="16652" spans="1:6" x14ac:dyDescent="0.2">
      <c r="A16652" t="s">
        <v>27587</v>
      </c>
      <c r="B16652" t="s">
        <v>3166</v>
      </c>
      <c r="C16652" t="s">
        <v>176</v>
      </c>
      <c r="D16652" t="s">
        <v>14</v>
      </c>
      <c r="E16652" t="s">
        <v>158</v>
      </c>
      <c r="F16652" s="2" t="str">
        <f>HYPERLINK("http://www.otzar.org/book.asp?53884","טוב להודות - 3 כר'")</f>
        <v>טוב להודות - 3 כר'</v>
      </c>
    </row>
    <row r="16653" spans="1:6" x14ac:dyDescent="0.2">
      <c r="A16653" t="s">
        <v>27588</v>
      </c>
      <c r="B16653" t="s">
        <v>27589</v>
      </c>
      <c r="C16653" t="s">
        <v>1885</v>
      </c>
      <c r="D16653" t="s">
        <v>56</v>
      </c>
      <c r="E16653" t="s">
        <v>15</v>
      </c>
      <c r="F16653" s="2" t="str">
        <f>HYPERLINK("http://www.otzar.org/book.asp?300506","טוב לזכרון")</f>
        <v>טוב לזכרון</v>
      </c>
    </row>
    <row r="16654" spans="1:6" x14ac:dyDescent="0.2">
      <c r="A16654" t="s">
        <v>27590</v>
      </c>
      <c r="B16654" t="s">
        <v>27591</v>
      </c>
      <c r="C16654" t="s">
        <v>1058</v>
      </c>
      <c r="D16654" t="s">
        <v>14</v>
      </c>
      <c r="E16654" t="s">
        <v>15</v>
      </c>
      <c r="F16654" s="2" t="str">
        <f>HYPERLINK("http://www.otzar.org/book.asp?101417","טוב לישראל")</f>
        <v>טוב לישראל</v>
      </c>
    </row>
    <row r="16655" spans="1:6" x14ac:dyDescent="0.2">
      <c r="A16655" t="s">
        <v>27592</v>
      </c>
      <c r="B16655" t="s">
        <v>27593</v>
      </c>
      <c r="C16655" t="s">
        <v>10155</v>
      </c>
      <c r="D16655" t="s">
        <v>27594</v>
      </c>
      <c r="E16655" t="s">
        <v>148</v>
      </c>
      <c r="F16655" s="2" t="str">
        <f>HYPERLINK("http://www.otzar.org/book.asp?84333","טוב לכת")</f>
        <v>טוב לכת</v>
      </c>
    </row>
    <row r="16656" spans="1:6" x14ac:dyDescent="0.2">
      <c r="A16656" t="s">
        <v>27595</v>
      </c>
      <c r="B16656" t="s">
        <v>27596</v>
      </c>
      <c r="C16656" t="s">
        <v>767</v>
      </c>
      <c r="E16656" t="s">
        <v>241</v>
      </c>
      <c r="F16656" s="2" t="str">
        <f>HYPERLINK("http://www.otzar.org/book.asp?85050","טוב לקח")</f>
        <v>טוב לקח</v>
      </c>
    </row>
    <row r="16657" spans="1:6" x14ac:dyDescent="0.2">
      <c r="A16657" t="s">
        <v>27597</v>
      </c>
      <c r="B16657" t="s">
        <v>27598</v>
      </c>
      <c r="C16657" t="s">
        <v>1047</v>
      </c>
      <c r="D16657" t="s">
        <v>27</v>
      </c>
      <c r="E16657" t="s">
        <v>213</v>
      </c>
      <c r="F16657" s="2" t="str">
        <f>HYPERLINK("http://www.otzar.org/book.asp?24561","טוב מאד")</f>
        <v>טוב מאד</v>
      </c>
    </row>
    <row r="16658" spans="1:6" x14ac:dyDescent="0.2">
      <c r="A16658" t="s">
        <v>27599</v>
      </c>
      <c r="B16658" t="s">
        <v>12884</v>
      </c>
      <c r="C16658" t="s">
        <v>462</v>
      </c>
      <c r="D16658" t="s">
        <v>27</v>
      </c>
      <c r="E16658" t="s">
        <v>119</v>
      </c>
      <c r="F16658" s="2" t="str">
        <f>HYPERLINK("http://www.otzar.org/book.asp?19117","טוב מצרים - 3 כר'")</f>
        <v>טוב מצרים - 3 כר'</v>
      </c>
    </row>
    <row r="16659" spans="1:6" x14ac:dyDescent="0.2">
      <c r="A16659" t="s">
        <v>27600</v>
      </c>
      <c r="B16659" t="s">
        <v>27601</v>
      </c>
      <c r="C16659" t="s">
        <v>13</v>
      </c>
      <c r="D16659" t="s">
        <v>52</v>
      </c>
      <c r="E16659" t="s">
        <v>202</v>
      </c>
      <c r="F16659" s="2" t="str">
        <f>HYPERLINK("http://www.otzar.org/book.asp?157417","טוב משה")</f>
        <v>טוב משה</v>
      </c>
    </row>
    <row r="16660" spans="1:6" x14ac:dyDescent="0.2">
      <c r="A16660" t="s">
        <v>27602</v>
      </c>
      <c r="B16660" t="s">
        <v>4128</v>
      </c>
      <c r="C16660" t="s">
        <v>313</v>
      </c>
      <c r="D16660" t="s">
        <v>14</v>
      </c>
      <c r="E16660" t="s">
        <v>104</v>
      </c>
      <c r="F16660" s="2" t="str">
        <f>HYPERLINK("http://www.otzar.org/book.asp?84222","טוב נהורך")</f>
        <v>טוב נהורך</v>
      </c>
    </row>
    <row r="16661" spans="1:6" x14ac:dyDescent="0.2">
      <c r="A16661" t="s">
        <v>27603</v>
      </c>
      <c r="B16661" t="s">
        <v>27604</v>
      </c>
      <c r="C16661" t="s">
        <v>129</v>
      </c>
      <c r="D16661" t="s">
        <v>27605</v>
      </c>
      <c r="E16661" t="s">
        <v>803</v>
      </c>
      <c r="F16661" s="2" t="str">
        <f>HYPERLINK("http://www.otzar.org/book.asp?63332","טוב סחרה - 2 כר'")</f>
        <v>טוב סחרה - 2 כר'</v>
      </c>
    </row>
    <row r="16662" spans="1:6" x14ac:dyDescent="0.2">
      <c r="A16662" t="s">
        <v>27606</v>
      </c>
      <c r="B16662" t="s">
        <v>5797</v>
      </c>
      <c r="C16662" t="s">
        <v>51</v>
      </c>
      <c r="D16662" t="s">
        <v>5798</v>
      </c>
      <c r="E16662" t="s">
        <v>15</v>
      </c>
      <c r="F16662" s="2" t="str">
        <f>HYPERLINK("http://www.otzar.org/book.asp?145366","טוב סחרה")</f>
        <v>טוב סחרה</v>
      </c>
    </row>
    <row r="16663" spans="1:6" x14ac:dyDescent="0.2">
      <c r="A16663" t="s">
        <v>27607</v>
      </c>
      <c r="B16663" t="s">
        <v>107</v>
      </c>
      <c r="C16663" t="s">
        <v>51</v>
      </c>
      <c r="D16663" t="s">
        <v>14</v>
      </c>
      <c r="E16663" t="s">
        <v>241</v>
      </c>
      <c r="F16663" s="2" t="str">
        <f>HYPERLINK("http://www.otzar.org/book.asp?623497","טוב עין הוא יבורך")</f>
        <v>טוב עין הוא יבורך</v>
      </c>
    </row>
    <row r="16664" spans="1:6" x14ac:dyDescent="0.2">
      <c r="A16664" t="s">
        <v>27608</v>
      </c>
      <c r="B16664" t="s">
        <v>1308</v>
      </c>
      <c r="C16664" t="s">
        <v>2644</v>
      </c>
      <c r="D16664" t="s">
        <v>6459</v>
      </c>
      <c r="E16664" t="s">
        <v>15</v>
      </c>
      <c r="F16664" s="2" t="str">
        <f>HYPERLINK("http://www.otzar.org/book.asp?101263","טוב עין - 2 כר'")</f>
        <v>טוב עין - 2 כר'</v>
      </c>
    </row>
    <row r="16665" spans="1:6" x14ac:dyDescent="0.2">
      <c r="A16665" t="s">
        <v>27609</v>
      </c>
      <c r="B16665" t="s">
        <v>27610</v>
      </c>
      <c r="C16665" t="s">
        <v>224</v>
      </c>
      <c r="D16665" t="s">
        <v>1117</v>
      </c>
      <c r="E16665" t="s">
        <v>1097</v>
      </c>
      <c r="F16665" s="2" t="str">
        <f>HYPERLINK("http://www.otzar.org/book.asp?83998","טוב עין")</f>
        <v>טוב עין</v>
      </c>
    </row>
    <row r="16666" spans="1:6" x14ac:dyDescent="0.2">
      <c r="A16666" t="s">
        <v>27609</v>
      </c>
      <c r="B16666" t="s">
        <v>27611</v>
      </c>
      <c r="C16666" t="s">
        <v>576</v>
      </c>
      <c r="D16666" t="s">
        <v>691</v>
      </c>
      <c r="E16666" t="s">
        <v>15</v>
      </c>
      <c r="F16666" s="2" t="str">
        <f>HYPERLINK("http://www.otzar.org/book.asp?15341","טוב עין")</f>
        <v>טוב עין</v>
      </c>
    </row>
    <row r="16667" spans="1:6" x14ac:dyDescent="0.2">
      <c r="A16667" t="s">
        <v>27612</v>
      </c>
      <c r="B16667" t="s">
        <v>686</v>
      </c>
      <c r="C16667" t="s">
        <v>129</v>
      </c>
      <c r="D16667" t="s">
        <v>52</v>
      </c>
      <c r="E16667" t="s">
        <v>1262</v>
      </c>
      <c r="F16667" s="2" t="str">
        <f>HYPERLINK("http://www.otzar.org/book.asp?60730","טוב ציון")</f>
        <v>טוב ציון</v>
      </c>
    </row>
    <row r="16668" spans="1:6" x14ac:dyDescent="0.2">
      <c r="A16668" t="s">
        <v>27613</v>
      </c>
      <c r="B16668" t="s">
        <v>1469</v>
      </c>
      <c r="C16668" t="s">
        <v>366</v>
      </c>
      <c r="D16668" t="s">
        <v>14</v>
      </c>
      <c r="E16668" t="s">
        <v>144</v>
      </c>
      <c r="F16668" s="2" t="str">
        <f>HYPERLINK("http://www.otzar.org/book.asp?608511","טוב ראי - 4 כר'")</f>
        <v>טוב ראי - 4 כר'</v>
      </c>
    </row>
    <row r="16669" spans="1:6" x14ac:dyDescent="0.2">
      <c r="A16669" t="s">
        <v>27614</v>
      </c>
      <c r="B16669" t="s">
        <v>27615</v>
      </c>
      <c r="C16669" t="s">
        <v>4053</v>
      </c>
      <c r="D16669" t="s">
        <v>322</v>
      </c>
      <c r="E16669" t="s">
        <v>158</v>
      </c>
      <c r="F16669" s="2" t="str">
        <f>HYPERLINK("http://www.otzar.org/book.asp?151473","טוב רואי")</f>
        <v>טוב רואי</v>
      </c>
    </row>
    <row r="16670" spans="1:6" x14ac:dyDescent="0.2">
      <c r="A16670" t="s">
        <v>27614</v>
      </c>
      <c r="B16670" t="s">
        <v>4749</v>
      </c>
      <c r="C16670" t="s">
        <v>1096</v>
      </c>
      <c r="D16670" t="s">
        <v>212</v>
      </c>
      <c r="E16670" t="s">
        <v>84</v>
      </c>
      <c r="F16670" s="2" t="str">
        <f>HYPERLINK("http://www.otzar.org/book.asp?52483","טוב רואי")</f>
        <v>טוב רואי</v>
      </c>
    </row>
    <row r="16671" spans="1:6" x14ac:dyDescent="0.2">
      <c r="A16671" t="s">
        <v>27614</v>
      </c>
      <c r="B16671" t="s">
        <v>2663</v>
      </c>
      <c r="C16671" t="s">
        <v>383</v>
      </c>
      <c r="D16671" t="s">
        <v>1076</v>
      </c>
      <c r="E16671" t="s">
        <v>202</v>
      </c>
      <c r="F16671" s="2" t="str">
        <f>HYPERLINK("http://www.otzar.org/book.asp?195810","טוב רואי")</f>
        <v>טוב רואי</v>
      </c>
    </row>
    <row r="16672" spans="1:6" x14ac:dyDescent="0.2">
      <c r="A16672" t="s">
        <v>27616</v>
      </c>
      <c r="B16672" t="s">
        <v>27617</v>
      </c>
      <c r="C16672" t="s">
        <v>8882</v>
      </c>
      <c r="D16672" t="s">
        <v>49</v>
      </c>
      <c r="E16672" t="s">
        <v>213</v>
      </c>
      <c r="F16672" s="2" t="str">
        <f>HYPERLINK("http://www.otzar.org/book.asp?146900","טוב שם - 2 כר'")</f>
        <v>טוב שם - 2 כר'</v>
      </c>
    </row>
    <row r="16673" spans="1:6" x14ac:dyDescent="0.2">
      <c r="A16673" t="s">
        <v>27618</v>
      </c>
      <c r="B16673" t="s">
        <v>24445</v>
      </c>
      <c r="C16673" t="s">
        <v>244</v>
      </c>
      <c r="D16673" t="s">
        <v>52</v>
      </c>
      <c r="F16673" s="2" t="str">
        <f>HYPERLINK("http://www.otzar.org/book.asp?611484","טוב תורה - פסח")</f>
        <v>טוב תורה - פסח</v>
      </c>
    </row>
    <row r="16674" spans="1:6" x14ac:dyDescent="0.2">
      <c r="A16674" t="s">
        <v>27619</v>
      </c>
      <c r="B16674" t="s">
        <v>1681</v>
      </c>
      <c r="C16674" t="s">
        <v>411</v>
      </c>
      <c r="D16674" t="s">
        <v>80</v>
      </c>
      <c r="E16674" t="s">
        <v>993</v>
      </c>
      <c r="F16674" s="2" t="str">
        <f>HYPERLINK("http://www.otzar.org/book.asp?606822","טוב")</f>
        <v>טוב</v>
      </c>
    </row>
    <row r="16675" spans="1:6" x14ac:dyDescent="0.2">
      <c r="A16675" t="s">
        <v>27620</v>
      </c>
      <c r="B16675" t="s">
        <v>27621</v>
      </c>
      <c r="C16675" t="s">
        <v>133</v>
      </c>
      <c r="D16675" t="s">
        <v>14</v>
      </c>
      <c r="E16675" t="s">
        <v>5186</v>
      </c>
      <c r="F16675" s="2" t="str">
        <f>HYPERLINK("http://www.otzar.org/book.asp?174635","טובה חכמה")</f>
        <v>טובה חכמה</v>
      </c>
    </row>
    <row r="16676" spans="1:6" x14ac:dyDescent="0.2">
      <c r="A16676" t="s">
        <v>27622</v>
      </c>
      <c r="B16676" t="s">
        <v>27623</v>
      </c>
      <c r="C16676" t="s">
        <v>1570</v>
      </c>
      <c r="D16676" t="s">
        <v>14</v>
      </c>
      <c r="E16676" t="s">
        <v>27624</v>
      </c>
      <c r="F16676" s="2" t="str">
        <f>HYPERLINK("http://www.otzar.org/book.asp?724","טובה ראייתה")</f>
        <v>טובה ראייתה</v>
      </c>
    </row>
    <row r="16677" spans="1:6" x14ac:dyDescent="0.2">
      <c r="A16677" t="s">
        <v>27625</v>
      </c>
      <c r="B16677" t="s">
        <v>2396</v>
      </c>
      <c r="C16677" t="s">
        <v>411</v>
      </c>
      <c r="D16677" t="s">
        <v>1076</v>
      </c>
      <c r="E16677" t="s">
        <v>158</v>
      </c>
      <c r="F16677" s="2" t="str">
        <f>HYPERLINK("http://www.otzar.org/book.asp?617281","טובה ראייתה - בפסוקי התורה")</f>
        <v>טובה ראייתה - בפסוקי התורה</v>
      </c>
    </row>
    <row r="16678" spans="1:6" x14ac:dyDescent="0.2">
      <c r="A16678" t="s">
        <v>27626</v>
      </c>
      <c r="B16678" t="s">
        <v>27627</v>
      </c>
      <c r="E16678" t="s">
        <v>119</v>
      </c>
      <c r="F16678" s="2" t="str">
        <f>HYPERLINK("http://www.otzar.org/book.asp?627929","טובה ראייתו -מסלונים עד טבריה")</f>
        <v>טובה ראייתו -מסלונים עד טבריה</v>
      </c>
    </row>
    <row r="16679" spans="1:6" x14ac:dyDescent="0.2">
      <c r="A16679" t="s">
        <v>27628</v>
      </c>
      <c r="B16679" t="s">
        <v>27629</v>
      </c>
      <c r="C16679" t="s">
        <v>1811</v>
      </c>
      <c r="D16679" t="s">
        <v>14</v>
      </c>
      <c r="E16679" t="s">
        <v>158</v>
      </c>
      <c r="F16679" s="2" t="str">
        <f>HYPERLINK("http://www.otzar.org/book.asp?85231","טובה תוכחת - משלי")</f>
        <v>טובה תוכחת - משלי</v>
      </c>
    </row>
    <row r="16680" spans="1:6" x14ac:dyDescent="0.2">
      <c r="A16680" t="s">
        <v>27630</v>
      </c>
      <c r="B16680" t="s">
        <v>10002</v>
      </c>
      <c r="C16680" t="s">
        <v>411</v>
      </c>
      <c r="D16680" t="s">
        <v>90</v>
      </c>
      <c r="E16680" t="s">
        <v>140</v>
      </c>
      <c r="F16680" s="2" t="str">
        <f>HYPERLINK("http://www.otzar.org/book.asp?183056","טובו אהליך")</f>
        <v>טובו אהליך</v>
      </c>
    </row>
    <row r="16681" spans="1:6" x14ac:dyDescent="0.2">
      <c r="A16681" t="s">
        <v>27631</v>
      </c>
      <c r="B16681" t="s">
        <v>27632</v>
      </c>
      <c r="C16681" t="s">
        <v>3840</v>
      </c>
      <c r="D16681" t="s">
        <v>14</v>
      </c>
      <c r="E16681" t="s">
        <v>140</v>
      </c>
      <c r="F16681" s="2" t="str">
        <f>HYPERLINK("http://www.otzar.org/book.asp?7025","טובות זכרונות")</f>
        <v>טובות זכרונות</v>
      </c>
    </row>
    <row r="16682" spans="1:6" x14ac:dyDescent="0.2">
      <c r="A16682" t="s">
        <v>27631</v>
      </c>
      <c r="B16682" t="s">
        <v>27633</v>
      </c>
      <c r="C16682" t="s">
        <v>244</v>
      </c>
      <c r="D16682" t="s">
        <v>1356</v>
      </c>
      <c r="F16682" s="2" t="str">
        <f>HYPERLINK("http://www.otzar.org/book.asp?603541","טובות זכרונות")</f>
        <v>טובות זכרונות</v>
      </c>
    </row>
    <row r="16683" spans="1:6" x14ac:dyDescent="0.2">
      <c r="A16683" t="s">
        <v>27634</v>
      </c>
      <c r="B16683" t="s">
        <v>8412</v>
      </c>
      <c r="C16683" t="s">
        <v>360</v>
      </c>
      <c r="D16683" t="s">
        <v>2295</v>
      </c>
      <c r="E16683" t="s">
        <v>234</v>
      </c>
      <c r="F16683" s="2" t="str">
        <f>HYPERLINK("http://www.otzar.org/book.asp?28491","טובי החיים")</f>
        <v>טובי החיים</v>
      </c>
    </row>
    <row r="16684" spans="1:6" x14ac:dyDescent="0.2">
      <c r="A16684" t="s">
        <v>27635</v>
      </c>
      <c r="B16684" t="s">
        <v>5590</v>
      </c>
      <c r="C16684" t="s">
        <v>313</v>
      </c>
      <c r="D16684" t="s">
        <v>14</v>
      </c>
      <c r="E16684" t="s">
        <v>148</v>
      </c>
      <c r="F16684" s="2" t="str">
        <f>HYPERLINK("http://www.otzar.org/book.asp?61680","טובי העיר - הלכות נבחרי ציבור, תקנות ציבור, יחיד וציבור")</f>
        <v>טובי העיר - הלכות נבחרי ציבור, תקנות ציבור, יחיד וציבור</v>
      </c>
    </row>
    <row r="16685" spans="1:6" x14ac:dyDescent="0.2">
      <c r="A16685" t="s">
        <v>27636</v>
      </c>
      <c r="B16685" t="s">
        <v>27637</v>
      </c>
      <c r="C16685" t="s">
        <v>581</v>
      </c>
      <c r="D16685" t="s">
        <v>280</v>
      </c>
      <c r="E16685" t="s">
        <v>104</v>
      </c>
      <c r="F16685" s="2" t="str">
        <f>HYPERLINK("http://www.otzar.org/book.asp?166832","טוביה הרופא")</f>
        <v>טוביה הרופא</v>
      </c>
    </row>
    <row r="16686" spans="1:6" x14ac:dyDescent="0.2">
      <c r="A16686" t="s">
        <v>27638</v>
      </c>
      <c r="B16686" t="s">
        <v>27639</v>
      </c>
      <c r="C16686" t="s">
        <v>334</v>
      </c>
      <c r="D16686" t="s">
        <v>14</v>
      </c>
      <c r="F16686" s="2" t="str">
        <f>HYPERLINK("http://www.otzar.org/book.asp?150867","טובים השנים")</f>
        <v>טובים השנים</v>
      </c>
    </row>
    <row r="16687" spans="1:6" x14ac:dyDescent="0.2">
      <c r="A16687" t="s">
        <v>27640</v>
      </c>
      <c r="B16687" t="s">
        <v>1750</v>
      </c>
      <c r="C16687" t="s">
        <v>411</v>
      </c>
      <c r="D16687" t="s">
        <v>52</v>
      </c>
      <c r="E16687" t="s">
        <v>154</v>
      </c>
      <c r="F16687" s="2" t="str">
        <f>HYPERLINK("http://www.otzar.org/book.asp?179991","טובים השנים - 7 כר'")</f>
        <v>טובים השנים - 7 כר'</v>
      </c>
    </row>
    <row r="16688" spans="1:6" x14ac:dyDescent="0.2">
      <c r="A16688" t="s">
        <v>27641</v>
      </c>
      <c r="B16688" t="s">
        <v>10119</v>
      </c>
      <c r="C16688" t="s">
        <v>2550</v>
      </c>
      <c r="D16688" t="s">
        <v>27</v>
      </c>
      <c r="E16688" t="s">
        <v>213</v>
      </c>
      <c r="F16688" s="2" t="str">
        <f>HYPERLINK("http://www.otzar.org/book.asp?103197","טובים מאורות")</f>
        <v>טובים מאורות</v>
      </c>
    </row>
    <row r="16689" spans="1:6" x14ac:dyDescent="0.2">
      <c r="A16689" t="s">
        <v>27641</v>
      </c>
      <c r="B16689" t="s">
        <v>27642</v>
      </c>
      <c r="C16689" t="s">
        <v>189</v>
      </c>
      <c r="D16689" t="s">
        <v>52</v>
      </c>
      <c r="E16689" t="s">
        <v>27643</v>
      </c>
      <c r="F16689" s="2" t="str">
        <f>HYPERLINK("http://www.otzar.org/book.asp?51905","טובים מאורות")</f>
        <v>טובים מאורות</v>
      </c>
    </row>
    <row r="16690" spans="1:6" x14ac:dyDescent="0.2">
      <c r="A16690" t="s">
        <v>27644</v>
      </c>
      <c r="B16690" t="s">
        <v>27645</v>
      </c>
      <c r="C16690" t="s">
        <v>748</v>
      </c>
      <c r="D16690" t="s">
        <v>27</v>
      </c>
      <c r="E16690" t="s">
        <v>27260</v>
      </c>
      <c r="F16690" s="2" t="str">
        <f>HYPERLINK("http://www.otzar.org/book.asp?103198","טובת מראה")</f>
        <v>טובת מראה</v>
      </c>
    </row>
    <row r="16691" spans="1:6" x14ac:dyDescent="0.2">
      <c r="A16691" t="s">
        <v>27646</v>
      </c>
      <c r="B16691" t="s">
        <v>27647</v>
      </c>
      <c r="C16691" t="s">
        <v>13</v>
      </c>
      <c r="D16691" t="s">
        <v>14</v>
      </c>
      <c r="F16691" s="2" t="str">
        <f>HYPERLINK("http://www.otzar.org/book.asp?614700","טוהר הלשון")</f>
        <v>טוהר הלשון</v>
      </c>
    </row>
    <row r="16692" spans="1:6" x14ac:dyDescent="0.2">
      <c r="A16692" t="s">
        <v>27648</v>
      </c>
      <c r="B16692" t="s">
        <v>19171</v>
      </c>
      <c r="C16692" t="s">
        <v>37</v>
      </c>
      <c r="D16692" t="s">
        <v>9909</v>
      </c>
      <c r="E16692" t="s">
        <v>714</v>
      </c>
      <c r="F16692" s="2" t="str">
        <f>HYPERLINK("http://www.otzar.org/book.asp?196778","טוהר המעשים")</f>
        <v>טוהר המעשים</v>
      </c>
    </row>
    <row r="16693" spans="1:6" x14ac:dyDescent="0.2">
      <c r="A16693" t="s">
        <v>27649</v>
      </c>
      <c r="B16693" t="s">
        <v>107</v>
      </c>
      <c r="C16693" t="s">
        <v>466</v>
      </c>
      <c r="D16693" t="s">
        <v>14</v>
      </c>
      <c r="E16693" t="s">
        <v>15</v>
      </c>
      <c r="F16693" s="2" t="str">
        <f>HYPERLINK("http://www.otzar.org/book.asp?6345","טוטפת ותפילין")</f>
        <v>טוטפת ותפילין</v>
      </c>
    </row>
    <row r="16694" spans="1:6" x14ac:dyDescent="0.2">
      <c r="A16694" t="s">
        <v>27650</v>
      </c>
      <c r="B16694" t="s">
        <v>4975</v>
      </c>
      <c r="C16694" t="s">
        <v>46</v>
      </c>
      <c r="D16694" t="s">
        <v>27651</v>
      </c>
      <c r="E16694" t="s">
        <v>104</v>
      </c>
      <c r="F16694" s="2" t="str">
        <f>HYPERLINK("http://www.otzar.org/book.asp?144848","טויזנט יאר אידיש לעבן אין אונגארן")</f>
        <v>טויזנט יאר אידיש לעבן אין אונגארן</v>
      </c>
    </row>
    <row r="16695" spans="1:6" x14ac:dyDescent="0.2">
      <c r="A16695" t="s">
        <v>27652</v>
      </c>
      <c r="B16695" t="s">
        <v>206</v>
      </c>
      <c r="C16695" t="s">
        <v>151</v>
      </c>
      <c r="D16695" t="s">
        <v>90</v>
      </c>
      <c r="F16695" s="2" t="str">
        <f>HYPERLINK("http://www.otzar.org/book.asp?611420","טועמיה חיים זכו")</f>
        <v>טועמיה חיים זכו</v>
      </c>
    </row>
    <row r="16696" spans="1:6" x14ac:dyDescent="0.2">
      <c r="A16696" t="s">
        <v>27653</v>
      </c>
      <c r="B16696" t="s">
        <v>9669</v>
      </c>
      <c r="C16696" t="s">
        <v>27654</v>
      </c>
      <c r="D16696" t="s">
        <v>27</v>
      </c>
      <c r="E16696" t="s">
        <v>399</v>
      </c>
      <c r="F16696" s="2" t="str">
        <f>HYPERLINK("http://www.otzar.org/book.asp?101530","טועמיה חיים זכו - 3 כר'")</f>
        <v>טועמיה חיים זכו - 3 כר'</v>
      </c>
    </row>
    <row r="16697" spans="1:6" x14ac:dyDescent="0.2">
      <c r="A16697" t="s">
        <v>27652</v>
      </c>
      <c r="B16697" t="s">
        <v>107</v>
      </c>
      <c r="C16697" t="s">
        <v>313</v>
      </c>
      <c r="D16697" t="s">
        <v>14</v>
      </c>
      <c r="E16697" t="s">
        <v>130</v>
      </c>
      <c r="F16697" s="2" t="str">
        <f>HYPERLINK("http://www.otzar.org/book.asp?6370","טועמיה חיים זכו")</f>
        <v>טועמיה חיים זכו</v>
      </c>
    </row>
    <row r="16698" spans="1:6" x14ac:dyDescent="0.2">
      <c r="A16698" t="s">
        <v>27655</v>
      </c>
      <c r="B16698" t="s">
        <v>27656</v>
      </c>
      <c r="C16698" t="s">
        <v>919</v>
      </c>
      <c r="D16698" t="s">
        <v>216</v>
      </c>
      <c r="F16698" s="2" t="str">
        <f>HYPERLINK("http://www.otzar.org/book.asp?169540","טועמיה חיים")</f>
        <v>טועמיה חיים</v>
      </c>
    </row>
    <row r="16699" spans="1:6" x14ac:dyDescent="0.2">
      <c r="A16699" t="s">
        <v>27655</v>
      </c>
      <c r="B16699" t="s">
        <v>27657</v>
      </c>
      <c r="C16699" t="s">
        <v>133</v>
      </c>
      <c r="D16699" t="s">
        <v>486</v>
      </c>
      <c r="E16699" t="s">
        <v>119</v>
      </c>
      <c r="F16699" s="2" t="str">
        <f>HYPERLINK("http://www.otzar.org/book.asp?193046","טועמיה חיים")</f>
        <v>טועמיה חיים</v>
      </c>
    </row>
    <row r="16700" spans="1:6" x14ac:dyDescent="0.2">
      <c r="A16700" t="s">
        <v>27658</v>
      </c>
      <c r="B16700" t="s">
        <v>17331</v>
      </c>
      <c r="C16700" t="s">
        <v>176</v>
      </c>
      <c r="D16700" t="s">
        <v>52</v>
      </c>
      <c r="E16700" t="s">
        <v>15</v>
      </c>
      <c r="F16700" s="2" t="str">
        <f>HYPERLINK("http://www.otzar.org/book.asp?52546","טופס כתובות")</f>
        <v>טופס כתובות</v>
      </c>
    </row>
    <row r="16701" spans="1:6" x14ac:dyDescent="0.2">
      <c r="A16701" t="s">
        <v>27659</v>
      </c>
      <c r="B16701" t="s">
        <v>13030</v>
      </c>
      <c r="C16701" t="s">
        <v>189</v>
      </c>
      <c r="D16701" t="s">
        <v>2196</v>
      </c>
      <c r="E16701" t="s">
        <v>144</v>
      </c>
      <c r="F16701" s="2" t="str">
        <f>HYPERLINK("http://www.otzar.org/book.asp?603850","טופסי גיטין - צמידי זהב")</f>
        <v>טופסי גיטין - צמידי זהב</v>
      </c>
    </row>
    <row r="16702" spans="1:6" x14ac:dyDescent="0.2">
      <c r="A16702" t="s">
        <v>27660</v>
      </c>
      <c r="B16702" t="s">
        <v>27661</v>
      </c>
      <c r="C16702" t="s">
        <v>23</v>
      </c>
      <c r="D16702" t="s">
        <v>14</v>
      </c>
      <c r="E16702" t="s">
        <v>144</v>
      </c>
      <c r="F16702" s="2" t="str">
        <f>HYPERLINK("http://www.otzar.org/book.asp?615505","טופסי גיטין - כתובות, גיטין")</f>
        <v>טופסי גיטין - כתובות, גיטין</v>
      </c>
    </row>
    <row r="16703" spans="1:6" x14ac:dyDescent="0.2">
      <c r="A16703" t="s">
        <v>27662</v>
      </c>
      <c r="B16703" t="s">
        <v>27663</v>
      </c>
      <c r="C16703" t="s">
        <v>27664</v>
      </c>
      <c r="D16703" t="s">
        <v>283</v>
      </c>
      <c r="E16703" t="s">
        <v>15</v>
      </c>
      <c r="F16703" s="2" t="str">
        <f>HYPERLINK("http://www.otzar.org/book.asp?105268","טור &lt;הרגיל&gt; - 7 כר'")</f>
        <v>טור &lt;הרגיל&gt; - 7 כר'</v>
      </c>
    </row>
    <row r="16704" spans="1:6" x14ac:dyDescent="0.2">
      <c r="A16704" t="s">
        <v>27665</v>
      </c>
      <c r="B16704" t="s">
        <v>27663</v>
      </c>
      <c r="C16704" t="s">
        <v>422</v>
      </c>
      <c r="D16704" t="s">
        <v>14</v>
      </c>
      <c r="E16704" t="s">
        <v>15</v>
      </c>
      <c r="F16704" s="2" t="str">
        <f>HYPERLINK("http://www.otzar.org/book.asp?149274","טור &lt;מכון שירת דבורה&gt; - 22 כר'")</f>
        <v>טור &lt;מכון שירת דבורה&gt; - 22 כר'</v>
      </c>
    </row>
    <row r="16705" spans="1:6" x14ac:dyDescent="0.2">
      <c r="A16705" t="s">
        <v>27666</v>
      </c>
      <c r="B16705" t="s">
        <v>9476</v>
      </c>
      <c r="C16705" t="s">
        <v>1609</v>
      </c>
      <c r="D16705" t="s">
        <v>14</v>
      </c>
      <c r="E16705" t="s">
        <v>15</v>
      </c>
      <c r="F16705" s="2" t="str">
        <f>HYPERLINK("http://www.otzar.org/book.asp?151126","טור &lt;אל המקורות - 7 כר'")</f>
        <v>טור &lt;אל המקורות - 7 כר'</v>
      </c>
    </row>
    <row r="16706" spans="1:6" x14ac:dyDescent="0.2">
      <c r="A16706" t="s">
        <v>27667</v>
      </c>
      <c r="B16706" t="s">
        <v>27668</v>
      </c>
      <c r="C16706" t="s">
        <v>343</v>
      </c>
      <c r="D16706" t="s">
        <v>6776</v>
      </c>
      <c r="E16706" t="s">
        <v>396</v>
      </c>
      <c r="F16706" s="2" t="str">
        <f>HYPERLINK("http://www.otzar.org/book.asp?101416","טור האבן")</f>
        <v>טור האבן</v>
      </c>
    </row>
    <row r="16707" spans="1:6" x14ac:dyDescent="0.2">
      <c r="A16707" t="s">
        <v>27669</v>
      </c>
      <c r="B16707" t="s">
        <v>2396</v>
      </c>
      <c r="C16707" t="s">
        <v>20</v>
      </c>
      <c r="D16707" t="s">
        <v>90</v>
      </c>
      <c r="E16707" t="s">
        <v>158</v>
      </c>
      <c r="F16707" s="2" t="str">
        <f>HYPERLINK("http://www.otzar.org/book.asp?153807","טור יהלם")</f>
        <v>טור יהלם</v>
      </c>
    </row>
    <row r="16708" spans="1:6" x14ac:dyDescent="0.2">
      <c r="A16708" t="s">
        <v>27670</v>
      </c>
      <c r="B16708" t="s">
        <v>10276</v>
      </c>
      <c r="C16708" t="s">
        <v>27671</v>
      </c>
      <c r="D16708" t="s">
        <v>1769</v>
      </c>
      <c r="F16708" s="2" t="str">
        <f>HYPERLINK("http://www.otzar.org/book.asp?614558","טור יורה דעה - 2 כר'")</f>
        <v>טור יורה דעה - 2 כר'</v>
      </c>
    </row>
    <row r="16709" spans="1:6" x14ac:dyDescent="0.2">
      <c r="A16709" t="s">
        <v>27672</v>
      </c>
      <c r="B16709" t="s">
        <v>27663</v>
      </c>
      <c r="C16709" t="s">
        <v>27673</v>
      </c>
      <c r="D16709" t="s">
        <v>27674</v>
      </c>
      <c r="E16709" t="s">
        <v>15</v>
      </c>
      <c r="F16709" s="2" t="str">
        <f>HYPERLINK("http://www.otzar.org/book.asp?104313","טור - 28 כר'")</f>
        <v>טור - 28 כר'</v>
      </c>
    </row>
    <row r="16710" spans="1:6" x14ac:dyDescent="0.2">
      <c r="A16710" t="s">
        <v>27675</v>
      </c>
      <c r="B16710" t="s">
        <v>27676</v>
      </c>
      <c r="C16710" t="s">
        <v>37</v>
      </c>
      <c r="D16710" t="s">
        <v>4996</v>
      </c>
      <c r="E16710" t="s">
        <v>144</v>
      </c>
      <c r="F16710" s="2" t="str">
        <f>HYPERLINK("http://www.otzar.org/book.asp?183333","טורי אבן &lt;ברכת צבי&gt; - חגיגה")</f>
        <v>טורי אבן &lt;ברכת צבי&gt; - חגיגה</v>
      </c>
    </row>
    <row r="16711" spans="1:6" x14ac:dyDescent="0.2">
      <c r="A16711" t="s">
        <v>27677</v>
      </c>
      <c r="B16711" t="s">
        <v>13054</v>
      </c>
      <c r="C16711" t="s">
        <v>111</v>
      </c>
      <c r="D16711" t="s">
        <v>245</v>
      </c>
      <c r="E16711" t="s">
        <v>144</v>
      </c>
      <c r="F16711" s="2" t="str">
        <f>HYPERLINK("http://www.otzar.org/book.asp?632634","טורי אבן &lt;מהדורה חדשה&gt; - ראש השנה")</f>
        <v>טורי אבן &lt;מהדורה חדשה&gt; - ראש השנה</v>
      </c>
    </row>
    <row r="16712" spans="1:6" x14ac:dyDescent="0.2">
      <c r="A16712" t="s">
        <v>27678</v>
      </c>
      <c r="B16712" t="s">
        <v>13054</v>
      </c>
      <c r="C16712" t="s">
        <v>313</v>
      </c>
      <c r="D16712" t="s">
        <v>14</v>
      </c>
      <c r="E16712" t="s">
        <v>144</v>
      </c>
      <c r="F16712" s="2" t="str">
        <f>HYPERLINK("http://www.otzar.org/book.asp?161358","טורי אבן &lt;מלואת אבן&gt; - 3 כר'")</f>
        <v>טורי אבן &lt;מלואת אבן&gt; - 3 כר'</v>
      </c>
    </row>
    <row r="16713" spans="1:6" x14ac:dyDescent="0.2">
      <c r="A16713" t="s">
        <v>27679</v>
      </c>
      <c r="B16713" t="s">
        <v>13054</v>
      </c>
      <c r="C16713" t="s">
        <v>1219</v>
      </c>
      <c r="D16713" t="s">
        <v>1516</v>
      </c>
      <c r="E16713" t="s">
        <v>2088</v>
      </c>
      <c r="F16713" s="2" t="str">
        <f>HYPERLINK("http://www.otzar.org/book.asp?104866","טורי אבן - 2 כר'")</f>
        <v>טורי אבן - 2 כר'</v>
      </c>
    </row>
    <row r="16714" spans="1:6" x14ac:dyDescent="0.2">
      <c r="A16714" t="s">
        <v>27680</v>
      </c>
      <c r="B16714" t="s">
        <v>1291</v>
      </c>
      <c r="C16714" t="s">
        <v>5721</v>
      </c>
      <c r="D16714" t="s">
        <v>56</v>
      </c>
      <c r="E16714" t="s">
        <v>606</v>
      </c>
      <c r="F16714" s="2" t="str">
        <f>HYPERLINK("http://www.otzar.org/book.asp?11085","טיב גטין")</f>
        <v>טיב גטין</v>
      </c>
    </row>
    <row r="16715" spans="1:6" x14ac:dyDescent="0.2">
      <c r="A16715" t="s">
        <v>27681</v>
      </c>
      <c r="B16715" t="s">
        <v>27682</v>
      </c>
      <c r="C16715" t="s">
        <v>26</v>
      </c>
      <c r="D16715" t="s">
        <v>412</v>
      </c>
      <c r="F16715" s="2" t="str">
        <f>HYPERLINK("http://www.otzar.org/book.asp?85153","טיב גיטין וקידושין &lt;חלקי&gt;")</f>
        <v>טיב גיטין וקידושין &lt;חלקי&gt;</v>
      </c>
    </row>
    <row r="16716" spans="1:6" x14ac:dyDescent="0.2">
      <c r="A16716" t="s">
        <v>27683</v>
      </c>
      <c r="B16716" t="s">
        <v>27682</v>
      </c>
      <c r="C16716" t="s">
        <v>1058</v>
      </c>
      <c r="D16716" t="s">
        <v>929</v>
      </c>
      <c r="E16716" t="s">
        <v>144</v>
      </c>
      <c r="F16716" s="2" t="str">
        <f>HYPERLINK("http://www.otzar.org/book.asp?85165","טיב גיטין וקידושין")</f>
        <v>טיב גיטין וקידושין</v>
      </c>
    </row>
    <row r="16717" spans="1:6" x14ac:dyDescent="0.2">
      <c r="A16717" t="s">
        <v>27684</v>
      </c>
      <c r="B16717" t="s">
        <v>26114</v>
      </c>
      <c r="C16717" t="s">
        <v>13</v>
      </c>
      <c r="D16717" t="s">
        <v>27</v>
      </c>
      <c r="E16717" t="s">
        <v>15</v>
      </c>
      <c r="F16717" s="2" t="str">
        <f>HYPERLINK("http://www.otzar.org/book.asp?62087","טיב גיטין")</f>
        <v>טיב גיטין</v>
      </c>
    </row>
    <row r="16718" spans="1:6" x14ac:dyDescent="0.2">
      <c r="A16718" t="s">
        <v>27684</v>
      </c>
      <c r="B16718" t="s">
        <v>1291</v>
      </c>
      <c r="C16718" t="s">
        <v>1036</v>
      </c>
      <c r="D16718" t="s">
        <v>267</v>
      </c>
      <c r="E16718" t="s">
        <v>22875</v>
      </c>
      <c r="F16718" s="2" t="str">
        <f>HYPERLINK("http://www.otzar.org/book.asp?101341","טיב גיטין")</f>
        <v>טיב גיטין</v>
      </c>
    </row>
    <row r="16719" spans="1:6" x14ac:dyDescent="0.2">
      <c r="A16719" t="s">
        <v>27685</v>
      </c>
      <c r="B16719" t="s">
        <v>27686</v>
      </c>
      <c r="C16719" t="s">
        <v>13</v>
      </c>
      <c r="D16719" t="s">
        <v>14</v>
      </c>
      <c r="E16719" t="s">
        <v>213</v>
      </c>
      <c r="F16719" s="2" t="str">
        <f>HYPERLINK("http://www.otzar.org/book.asp?148361","טיב האמונה - 2 כר'")</f>
        <v>טיב האמונה - 2 כר'</v>
      </c>
    </row>
    <row r="16720" spans="1:6" x14ac:dyDescent="0.2">
      <c r="A16720" t="s">
        <v>27687</v>
      </c>
      <c r="B16720" t="s">
        <v>27688</v>
      </c>
      <c r="C16720" t="s">
        <v>20</v>
      </c>
      <c r="D16720" t="s">
        <v>52</v>
      </c>
      <c r="E16720" t="s">
        <v>219</v>
      </c>
      <c r="F16720" s="2" t="str">
        <f>HYPERLINK("http://www.otzar.org/book.asp?615102","טיב הברכה - 2 כר'")</f>
        <v>טיב הברכה - 2 כר'</v>
      </c>
    </row>
    <row r="16721" spans="1:6" x14ac:dyDescent="0.2">
      <c r="A16721" t="s">
        <v>27689</v>
      </c>
      <c r="B16721" t="s">
        <v>27686</v>
      </c>
      <c r="C16721" t="s">
        <v>422</v>
      </c>
      <c r="D16721" t="s">
        <v>14</v>
      </c>
      <c r="E16721" t="s">
        <v>246</v>
      </c>
      <c r="F16721" s="2" t="str">
        <f>HYPERLINK("http://www.otzar.org/book.asp?194263","טיב ההגדה על הגדה של פסח")</f>
        <v>טיב ההגדה על הגדה של פסח</v>
      </c>
    </row>
    <row r="16722" spans="1:6" x14ac:dyDescent="0.2">
      <c r="A16722" t="s">
        <v>27690</v>
      </c>
      <c r="B16722" t="s">
        <v>27688</v>
      </c>
      <c r="C16722" t="s">
        <v>20</v>
      </c>
      <c r="D16722" t="s">
        <v>52</v>
      </c>
      <c r="E16722" t="s">
        <v>246</v>
      </c>
      <c r="F16722" s="2" t="str">
        <f>HYPERLINK("http://www.otzar.org/book.asp?624893","טיב ההגדה - ג")</f>
        <v>טיב ההגדה - ג</v>
      </c>
    </row>
    <row r="16723" spans="1:6" x14ac:dyDescent="0.2">
      <c r="A16723" t="s">
        <v>27691</v>
      </c>
      <c r="B16723" t="s">
        <v>27686</v>
      </c>
      <c r="C16723" t="s">
        <v>114</v>
      </c>
      <c r="D16723" t="s">
        <v>14</v>
      </c>
      <c r="E16723" t="s">
        <v>345</v>
      </c>
      <c r="F16723" s="2" t="str">
        <f>HYPERLINK("http://www.otzar.org/book.asp?161706","טיב ההלכה - או""ח")</f>
        <v>טיב ההלכה - או"ח</v>
      </c>
    </row>
    <row r="16724" spans="1:6" x14ac:dyDescent="0.2">
      <c r="A16724" t="s">
        <v>27692</v>
      </c>
      <c r="B16724" t="s">
        <v>27686</v>
      </c>
      <c r="C16724" t="s">
        <v>68</v>
      </c>
      <c r="D16724" t="s">
        <v>14</v>
      </c>
      <c r="E16724" t="s">
        <v>241</v>
      </c>
      <c r="F16724" s="2" t="str">
        <f>HYPERLINK("http://www.otzar.org/book.asp?163409","טיב החסד")</f>
        <v>טיב החסד</v>
      </c>
    </row>
    <row r="16725" spans="1:6" x14ac:dyDescent="0.2">
      <c r="A16725" t="s">
        <v>27693</v>
      </c>
      <c r="B16725" t="s">
        <v>27686</v>
      </c>
      <c r="C16725" t="s">
        <v>114</v>
      </c>
      <c r="D16725" t="s">
        <v>14</v>
      </c>
      <c r="E16725" t="s">
        <v>399</v>
      </c>
      <c r="F16725" s="2" t="str">
        <f>HYPERLINK("http://www.otzar.org/book.asp?159747","טיב הכונות - 5 כר'")</f>
        <v>טיב הכונות - 5 כר'</v>
      </c>
    </row>
    <row r="16726" spans="1:6" x14ac:dyDescent="0.2">
      <c r="A16726" t="s">
        <v>27694</v>
      </c>
      <c r="B16726" t="s">
        <v>27686</v>
      </c>
      <c r="C16726" t="s">
        <v>37</v>
      </c>
      <c r="D16726" t="s">
        <v>14</v>
      </c>
      <c r="F16726" s="2" t="str">
        <f>HYPERLINK("http://www.otzar.org/book.asp?198580","טיב הליקוטים")</f>
        <v>טיב הליקוטים</v>
      </c>
    </row>
    <row r="16727" spans="1:6" x14ac:dyDescent="0.2">
      <c r="A16727" t="s">
        <v>27695</v>
      </c>
      <c r="B16727" t="s">
        <v>27686</v>
      </c>
      <c r="C16727" t="s">
        <v>133</v>
      </c>
      <c r="D16727" t="s">
        <v>14</v>
      </c>
      <c r="F16727" s="2" t="str">
        <f>HYPERLINK("http://www.otzar.org/book.asp?198581","טיב המועדים - 3 כר'")</f>
        <v>טיב המועדים - 3 כר'</v>
      </c>
    </row>
    <row r="16728" spans="1:6" x14ac:dyDescent="0.2">
      <c r="A16728" t="s">
        <v>27696</v>
      </c>
      <c r="B16728" t="s">
        <v>27686</v>
      </c>
      <c r="C16728" t="s">
        <v>13</v>
      </c>
      <c r="D16728" t="s">
        <v>52</v>
      </c>
      <c r="E16728" t="s">
        <v>1164</v>
      </c>
      <c r="F16728" s="2" t="str">
        <f>HYPERLINK("http://www.otzar.org/book.asp?169523","טיב הנחמה")</f>
        <v>טיב הנחמה</v>
      </c>
    </row>
    <row r="16729" spans="1:6" x14ac:dyDescent="0.2">
      <c r="A16729" t="s">
        <v>27697</v>
      </c>
      <c r="B16729" t="s">
        <v>27686</v>
      </c>
      <c r="C16729" t="s">
        <v>20</v>
      </c>
      <c r="D16729" t="s">
        <v>52</v>
      </c>
      <c r="E16729" t="s">
        <v>399</v>
      </c>
      <c r="F16729" s="2" t="str">
        <f>HYPERLINK("http://www.otzar.org/book.asp?142150","טיב הנסתר")</f>
        <v>טיב הנסתר</v>
      </c>
    </row>
    <row r="16730" spans="1:6" x14ac:dyDescent="0.2">
      <c r="A16730" t="s">
        <v>27698</v>
      </c>
      <c r="B16730" t="s">
        <v>27686</v>
      </c>
      <c r="C16730" t="s">
        <v>422</v>
      </c>
      <c r="D16730" t="s">
        <v>14</v>
      </c>
      <c r="E16730" t="s">
        <v>246</v>
      </c>
      <c r="F16730" s="2" t="str">
        <f>HYPERLINK("http://www.otzar.org/book.asp?83778","טיב הנרות")</f>
        <v>טיב הנרות</v>
      </c>
    </row>
    <row r="16731" spans="1:6" x14ac:dyDescent="0.2">
      <c r="A16731" t="s">
        <v>27699</v>
      </c>
      <c r="B16731" t="s">
        <v>27686</v>
      </c>
      <c r="C16731" t="s">
        <v>129</v>
      </c>
      <c r="D16731" t="s">
        <v>14</v>
      </c>
      <c r="E16731" t="s">
        <v>467</v>
      </c>
      <c r="F16731" s="2" t="str">
        <f>HYPERLINK("http://www.otzar.org/book.asp?163410","טיב העבודה")</f>
        <v>טיב העבודה</v>
      </c>
    </row>
    <row r="16732" spans="1:6" x14ac:dyDescent="0.2">
      <c r="A16732" t="s">
        <v>27700</v>
      </c>
      <c r="B16732" t="s">
        <v>27686</v>
      </c>
      <c r="C16732" t="s">
        <v>13</v>
      </c>
      <c r="D16732" t="s">
        <v>14</v>
      </c>
      <c r="E16732" t="s">
        <v>230</v>
      </c>
      <c r="F16732" s="2" t="str">
        <f>HYPERLINK("http://www.otzar.org/book.asp?61873","טיב הפורים")</f>
        <v>טיב הפורים</v>
      </c>
    </row>
    <row r="16733" spans="1:6" x14ac:dyDescent="0.2">
      <c r="A16733" t="s">
        <v>27701</v>
      </c>
      <c r="B16733" t="s">
        <v>27688</v>
      </c>
      <c r="C16733" t="s">
        <v>20</v>
      </c>
      <c r="D16733" t="s">
        <v>52</v>
      </c>
      <c r="E16733" t="s">
        <v>158</v>
      </c>
      <c r="F16733" s="2" t="str">
        <f>HYPERLINK("http://www.otzar.org/book.asp?28137","טיב הפרשה - 5 כר'")</f>
        <v>טיב הפרשה - 5 כר'</v>
      </c>
    </row>
    <row r="16734" spans="1:6" x14ac:dyDescent="0.2">
      <c r="A16734" t="s">
        <v>27702</v>
      </c>
      <c r="B16734" t="s">
        <v>27686</v>
      </c>
      <c r="C16734" t="s">
        <v>151</v>
      </c>
      <c r="D16734" t="s">
        <v>14</v>
      </c>
      <c r="E16734" t="s">
        <v>158</v>
      </c>
      <c r="F16734" s="2" t="str">
        <f>HYPERLINK("http://www.otzar.org/book.asp?628203","טיב הקהילה - 3 כר'")</f>
        <v>טיב הקהילה - 3 כר'</v>
      </c>
    </row>
    <row r="16735" spans="1:6" x14ac:dyDescent="0.2">
      <c r="A16735" t="s">
        <v>27703</v>
      </c>
      <c r="B16735" t="s">
        <v>27704</v>
      </c>
      <c r="C16735" t="s">
        <v>366</v>
      </c>
      <c r="D16735" t="s">
        <v>52</v>
      </c>
      <c r="E16735" t="s">
        <v>158</v>
      </c>
      <c r="F16735" s="2" t="str">
        <f>HYPERLINK("http://www.otzar.org/book.asp?611191","טיב הרש""י - 5 כר'")</f>
        <v>טיב הרש"י - 5 כר'</v>
      </c>
    </row>
    <row r="16736" spans="1:6" x14ac:dyDescent="0.2">
      <c r="A16736" t="s">
        <v>27705</v>
      </c>
      <c r="B16736" t="s">
        <v>27688</v>
      </c>
      <c r="C16736" t="s">
        <v>20</v>
      </c>
      <c r="D16736" t="s">
        <v>52</v>
      </c>
      <c r="E16736" t="s">
        <v>158</v>
      </c>
      <c r="F16736" s="2" t="str">
        <f>HYPERLINK("http://www.otzar.org/book.asp?83758","טיב השבוע - מאמרים")</f>
        <v>טיב השבוע - מאמרים</v>
      </c>
    </row>
    <row r="16737" spans="1:6" x14ac:dyDescent="0.2">
      <c r="A16737" t="s">
        <v>27706</v>
      </c>
      <c r="B16737" t="s">
        <v>27686</v>
      </c>
      <c r="C16737" t="s">
        <v>13</v>
      </c>
      <c r="D16737" t="s">
        <v>14</v>
      </c>
      <c r="E16737" t="s">
        <v>104</v>
      </c>
      <c r="F16737" s="2" t="str">
        <f>HYPERLINK("http://www.otzar.org/book.asp?61908","טיב השידוכים")</f>
        <v>טיב השידוכים</v>
      </c>
    </row>
    <row r="16738" spans="1:6" x14ac:dyDescent="0.2">
      <c r="A16738" t="s">
        <v>27707</v>
      </c>
      <c r="B16738" t="s">
        <v>27686</v>
      </c>
      <c r="C16738" t="s">
        <v>466</v>
      </c>
      <c r="D16738" t="s">
        <v>52</v>
      </c>
      <c r="E16738" t="s">
        <v>158</v>
      </c>
      <c r="F16738" s="2" t="str">
        <f>HYPERLINK("http://www.otzar.org/book.asp?169524","טיב התהילות")</f>
        <v>טיב התהילות</v>
      </c>
    </row>
    <row r="16739" spans="1:6" x14ac:dyDescent="0.2">
      <c r="A16739" t="s">
        <v>27708</v>
      </c>
      <c r="B16739" t="s">
        <v>27686</v>
      </c>
      <c r="C16739" t="s">
        <v>103</v>
      </c>
      <c r="D16739" t="s">
        <v>14</v>
      </c>
      <c r="E16739" t="s">
        <v>158</v>
      </c>
      <c r="F16739" s="2" t="str">
        <f>HYPERLINK("http://www.otzar.org/book.asp?28096","טיב התורה - 6 כר'")</f>
        <v>טיב התורה - 6 כר'</v>
      </c>
    </row>
    <row r="16740" spans="1:6" x14ac:dyDescent="0.2">
      <c r="A16740" t="s">
        <v>27709</v>
      </c>
      <c r="B16740" t="s">
        <v>27686</v>
      </c>
      <c r="C16740" t="s">
        <v>111</v>
      </c>
      <c r="D16740" t="s">
        <v>14</v>
      </c>
      <c r="E16740" t="s">
        <v>241</v>
      </c>
      <c r="F16740" s="2" t="str">
        <f>HYPERLINK("http://www.otzar.org/book.asp?628204","טיב התחזקות - ב")</f>
        <v>טיב התחזקות - ב</v>
      </c>
    </row>
    <row r="16741" spans="1:6" x14ac:dyDescent="0.2">
      <c r="A16741" t="s">
        <v>27710</v>
      </c>
      <c r="B16741" t="s">
        <v>27688</v>
      </c>
      <c r="C16741" t="s">
        <v>366</v>
      </c>
      <c r="D16741" t="s">
        <v>52</v>
      </c>
      <c r="F16741" s="2" t="str">
        <f>HYPERLINK("http://www.otzar.org/book.asp?611196","טיב התפילה - 2 כר'")</f>
        <v>טיב התפילה - 2 כר'</v>
      </c>
    </row>
    <row r="16742" spans="1:6" x14ac:dyDescent="0.2">
      <c r="A16742" t="s">
        <v>27711</v>
      </c>
      <c r="B16742" t="s">
        <v>27686</v>
      </c>
      <c r="C16742" t="s">
        <v>146</v>
      </c>
      <c r="D16742" t="s">
        <v>14</v>
      </c>
      <c r="E16742" t="s">
        <v>714</v>
      </c>
      <c r="F16742" s="2" t="str">
        <f>HYPERLINK("http://www.otzar.org/book.asp?50760","טיב התפילה")</f>
        <v>טיב התפילה</v>
      </c>
    </row>
    <row r="16743" spans="1:6" x14ac:dyDescent="0.2">
      <c r="A16743" t="s">
        <v>27712</v>
      </c>
      <c r="B16743" t="s">
        <v>27686</v>
      </c>
      <c r="C16743" t="s">
        <v>624</v>
      </c>
      <c r="D16743" t="s">
        <v>14</v>
      </c>
      <c r="E16743" t="s">
        <v>3798</v>
      </c>
      <c r="F16743" s="2" t="str">
        <f>HYPERLINK("http://www.otzar.org/book.asp?28100","טיב התשובה")</f>
        <v>טיב התשובה</v>
      </c>
    </row>
    <row r="16744" spans="1:6" x14ac:dyDescent="0.2">
      <c r="A16744" t="s">
        <v>27713</v>
      </c>
      <c r="B16744" t="s">
        <v>5253</v>
      </c>
      <c r="C16744" t="s">
        <v>843</v>
      </c>
      <c r="D16744" t="s">
        <v>986</v>
      </c>
      <c r="E16744" t="s">
        <v>15</v>
      </c>
      <c r="F16744" s="2" t="str">
        <f>HYPERLINK("http://www.otzar.org/book.asp?14405","טיב חליצה - 2 כר'")</f>
        <v>טיב חליצה - 2 כר'</v>
      </c>
    </row>
    <row r="16745" spans="1:6" x14ac:dyDescent="0.2">
      <c r="A16745" t="s">
        <v>27714</v>
      </c>
      <c r="B16745" t="s">
        <v>21387</v>
      </c>
      <c r="C16745" t="s">
        <v>168</v>
      </c>
      <c r="D16745" t="s">
        <v>80</v>
      </c>
      <c r="E16745" t="s">
        <v>104</v>
      </c>
      <c r="F16745" s="2" t="str">
        <f>HYPERLINK("http://www.otzar.org/book.asp?600331","טיב לשון הקודש")</f>
        <v>טיב לשון הקודש</v>
      </c>
    </row>
    <row r="16746" spans="1:6" x14ac:dyDescent="0.2">
      <c r="A16746" t="s">
        <v>27715</v>
      </c>
      <c r="B16746" t="s">
        <v>27686</v>
      </c>
      <c r="C16746" t="s">
        <v>13</v>
      </c>
      <c r="D16746" t="s">
        <v>14</v>
      </c>
      <c r="E16746" t="s">
        <v>18910</v>
      </c>
      <c r="F16746" s="2" t="str">
        <f>HYPERLINK("http://www.otzar.org/book.asp?61747","טיב מירון")</f>
        <v>טיב מירון</v>
      </c>
    </row>
    <row r="16747" spans="1:6" x14ac:dyDescent="0.2">
      <c r="A16747" t="s">
        <v>27716</v>
      </c>
      <c r="B16747" t="s">
        <v>5253</v>
      </c>
      <c r="C16747" t="s">
        <v>114</v>
      </c>
      <c r="D16747" t="s">
        <v>486</v>
      </c>
      <c r="E16747" t="s">
        <v>172</v>
      </c>
      <c r="F16747" s="2" t="str">
        <f>HYPERLINK("http://www.otzar.org/book.asp?166578","טיב קדושין &lt;מהדורה חדשה&gt; - 2 כר'")</f>
        <v>טיב קדושין &lt;מהדורה חדשה&gt; - 2 כר'</v>
      </c>
    </row>
    <row r="16748" spans="1:6" x14ac:dyDescent="0.2">
      <c r="A16748" t="s">
        <v>27717</v>
      </c>
      <c r="B16748" t="s">
        <v>5253</v>
      </c>
      <c r="C16748" t="s">
        <v>1414</v>
      </c>
      <c r="D16748" t="s">
        <v>283</v>
      </c>
      <c r="E16748" t="s">
        <v>172</v>
      </c>
      <c r="F16748" s="2" t="str">
        <f>HYPERLINK("http://www.otzar.org/book.asp?159785","טיב קדושין - 2 כר'")</f>
        <v>טיב קדושין - 2 כר'</v>
      </c>
    </row>
    <row r="16749" spans="1:6" x14ac:dyDescent="0.2">
      <c r="A16749" t="s">
        <v>27718</v>
      </c>
      <c r="B16749" t="s">
        <v>5967</v>
      </c>
      <c r="C16749" t="s">
        <v>558</v>
      </c>
      <c r="D16749" t="s">
        <v>27</v>
      </c>
      <c r="E16749" t="s">
        <v>7754</v>
      </c>
      <c r="F16749" s="2" t="str">
        <f>HYPERLINK("http://www.otzar.org/book.asp?17654","טיב קידושין")</f>
        <v>טיב קידושין</v>
      </c>
    </row>
    <row r="16750" spans="1:6" x14ac:dyDescent="0.2">
      <c r="A16750" t="s">
        <v>27719</v>
      </c>
      <c r="B16750" t="s">
        <v>10570</v>
      </c>
      <c r="C16750" t="s">
        <v>266</v>
      </c>
      <c r="D16750" t="s">
        <v>56</v>
      </c>
      <c r="E16750" t="s">
        <v>15</v>
      </c>
      <c r="F16750" s="2" t="str">
        <f>HYPERLINK("http://www.otzar.org/book.asp?169704","טיב שמות גיטין")</f>
        <v>טיב שמות גיטין</v>
      </c>
    </row>
    <row r="16751" spans="1:6" x14ac:dyDescent="0.2">
      <c r="A16751" t="s">
        <v>27720</v>
      </c>
      <c r="B16751" t="s">
        <v>27721</v>
      </c>
      <c r="C16751" t="s">
        <v>1228</v>
      </c>
      <c r="D16751" t="s">
        <v>225</v>
      </c>
      <c r="E16751" t="s">
        <v>467</v>
      </c>
      <c r="F16751" s="2" t="str">
        <f>HYPERLINK("http://www.otzar.org/book.asp?24565","טיול בגן")</f>
        <v>טיול בגן</v>
      </c>
    </row>
    <row r="16752" spans="1:6" x14ac:dyDescent="0.2">
      <c r="A16752" t="s">
        <v>27722</v>
      </c>
      <c r="B16752" t="s">
        <v>27723</v>
      </c>
      <c r="C16752" t="s">
        <v>785</v>
      </c>
      <c r="D16752" t="s">
        <v>14</v>
      </c>
      <c r="E16752" t="s">
        <v>9092</v>
      </c>
      <c r="F16752" s="2" t="str">
        <f>HYPERLINK("http://www.otzar.org/book.asp?175865","טיול בפרד""ס בפרק אין דורשין")</f>
        <v>טיול בפרד"ס בפרק אין דורשין</v>
      </c>
    </row>
    <row r="16753" spans="1:6" x14ac:dyDescent="0.2">
      <c r="A16753" t="s">
        <v>27724</v>
      </c>
      <c r="B16753" t="s">
        <v>578</v>
      </c>
      <c r="C16753" t="s">
        <v>27725</v>
      </c>
      <c r="D16753" t="s">
        <v>27726</v>
      </c>
      <c r="E16753" t="s">
        <v>399</v>
      </c>
      <c r="F16753" s="2" t="str">
        <f>HYPERLINK("http://www.otzar.org/book.asp?23504","טיול בפרדס - 2 כר'")</f>
        <v>טיול בפרדס - 2 כר'</v>
      </c>
    </row>
    <row r="16754" spans="1:6" x14ac:dyDescent="0.2">
      <c r="A16754" t="s">
        <v>27727</v>
      </c>
      <c r="B16754" t="s">
        <v>7854</v>
      </c>
      <c r="C16754" t="s">
        <v>114</v>
      </c>
      <c r="D16754" t="s">
        <v>14</v>
      </c>
      <c r="E16754" t="s">
        <v>4656</v>
      </c>
      <c r="F16754" s="2" t="str">
        <f>HYPERLINK("http://www.otzar.org/book.asp?165064","טיול בשבילי החיים")</f>
        <v>טיול בשבילי החיים</v>
      </c>
    </row>
    <row r="16755" spans="1:6" x14ac:dyDescent="0.2">
      <c r="A16755" t="s">
        <v>27728</v>
      </c>
      <c r="B16755" t="s">
        <v>27729</v>
      </c>
      <c r="C16755" t="s">
        <v>75</v>
      </c>
      <c r="D16755" t="s">
        <v>5258</v>
      </c>
      <c r="E16755" t="s">
        <v>158</v>
      </c>
      <c r="F16755" s="2" t="str">
        <f>HYPERLINK("http://www.otzar.org/book.asp?148151","טיול הגן")</f>
        <v>טיול הגן</v>
      </c>
    </row>
    <row r="16756" spans="1:6" x14ac:dyDescent="0.2">
      <c r="A16756" t="s">
        <v>27730</v>
      </c>
      <c r="B16756" t="s">
        <v>27731</v>
      </c>
      <c r="C16756" t="s">
        <v>1625</v>
      </c>
      <c r="D16756" t="s">
        <v>49</v>
      </c>
      <c r="E16756" t="s">
        <v>119</v>
      </c>
      <c r="F16756" s="2" t="str">
        <f>HYPERLINK("http://www.otzar.org/book.asp?167052","טיט היון - 2 כר'")</f>
        <v>טיט היון - 2 כר'</v>
      </c>
    </row>
    <row r="16757" spans="1:6" x14ac:dyDescent="0.2">
      <c r="A16757" t="s">
        <v>27732</v>
      </c>
      <c r="B16757" t="s">
        <v>12971</v>
      </c>
      <c r="C16757" t="s">
        <v>151</v>
      </c>
      <c r="D16757" t="s">
        <v>14</v>
      </c>
      <c r="E16757" t="s">
        <v>27733</v>
      </c>
      <c r="F16757" s="2" t="str">
        <f>HYPERLINK("http://www.otzar.org/book.asp?628695","טיסה נעימה")</f>
        <v>טיסה נעימה</v>
      </c>
    </row>
    <row r="16758" spans="1:6" x14ac:dyDescent="0.2">
      <c r="A16758" t="s">
        <v>27734</v>
      </c>
      <c r="B16758" t="s">
        <v>9358</v>
      </c>
      <c r="C16758" t="s">
        <v>1570</v>
      </c>
      <c r="D16758" t="s">
        <v>216</v>
      </c>
      <c r="E16758" t="s">
        <v>202</v>
      </c>
      <c r="F16758" s="2" t="str">
        <f>HYPERLINK("http://www.otzar.org/book.asp?83887","טיסמעניץ - ספר יזכור")</f>
        <v>טיסמעניץ - ספר יזכור</v>
      </c>
    </row>
    <row r="16759" spans="1:6" x14ac:dyDescent="0.2">
      <c r="A16759" t="s">
        <v>27735</v>
      </c>
      <c r="B16759" t="s">
        <v>27736</v>
      </c>
      <c r="C16759" t="s">
        <v>216</v>
      </c>
      <c r="D16759" t="s">
        <v>20</v>
      </c>
      <c r="E16759" t="s">
        <v>27737</v>
      </c>
      <c r="F16759" s="2" t="str">
        <f>HYPERLINK("http://www.otzar.org/book.asp?178911","טיפ טיפה מן הים - 6 כר'")</f>
        <v>טיפ טיפה מן הים - 6 כר'</v>
      </c>
    </row>
    <row r="16760" spans="1:6" x14ac:dyDescent="0.2">
      <c r="A16760" t="s">
        <v>27738</v>
      </c>
      <c r="B16760" t="s">
        <v>27739</v>
      </c>
      <c r="C16760" t="s">
        <v>20</v>
      </c>
      <c r="D16760" t="s">
        <v>152</v>
      </c>
      <c r="E16760" t="s">
        <v>144</v>
      </c>
      <c r="F16760" s="2" t="str">
        <f>HYPERLINK("http://www.otzar.org/book.asp?620986","טיפה מן הדבש")</f>
        <v>טיפה מן הדבש</v>
      </c>
    </row>
    <row r="16761" spans="1:6" x14ac:dyDescent="0.2">
      <c r="A16761" t="s">
        <v>27740</v>
      </c>
      <c r="B16761" t="s">
        <v>27741</v>
      </c>
      <c r="C16761" t="s">
        <v>176</v>
      </c>
      <c r="D16761" t="s">
        <v>14</v>
      </c>
      <c r="E16761" t="s">
        <v>15</v>
      </c>
      <c r="F16761" s="2" t="str">
        <f>HYPERLINK("http://www.otzar.org/book.asp?143756","טיפול בפצע בשבת")</f>
        <v>טיפול בפצע בשבת</v>
      </c>
    </row>
    <row r="16762" spans="1:6" x14ac:dyDescent="0.2">
      <c r="A16762" t="s">
        <v>27742</v>
      </c>
      <c r="B16762" t="s">
        <v>9358</v>
      </c>
      <c r="D16762" t="s">
        <v>2362</v>
      </c>
      <c r="F16762" s="2" t="str">
        <f>HYPERLINK("http://www.otzar.org/book.asp?620040","טיקטין - פנקס טיקטין")</f>
        <v>טיקטין - פנקס טיקטין</v>
      </c>
    </row>
    <row r="16763" spans="1:6" x14ac:dyDescent="0.2">
      <c r="A16763" t="s">
        <v>27743</v>
      </c>
      <c r="B16763" t="s">
        <v>27744</v>
      </c>
      <c r="C16763" t="s">
        <v>356</v>
      </c>
      <c r="D16763" t="s">
        <v>27745</v>
      </c>
      <c r="E16763" t="s">
        <v>202</v>
      </c>
      <c r="F16763" s="2" t="str">
        <f>HYPERLINK("http://www.otzar.org/book.asp?166120","טירת כסף - ב")</f>
        <v>טירת כסף - ב</v>
      </c>
    </row>
    <row r="16764" spans="1:6" x14ac:dyDescent="0.2">
      <c r="A16764" t="s">
        <v>27746</v>
      </c>
      <c r="B16764" t="s">
        <v>27747</v>
      </c>
      <c r="C16764" t="s">
        <v>22961</v>
      </c>
      <c r="D16764" t="s">
        <v>76</v>
      </c>
      <c r="E16764" t="s">
        <v>27748</v>
      </c>
      <c r="F16764" s="2" t="str">
        <f>HYPERLINK("http://www.otzar.org/book.asp?15749","טירת כסף")</f>
        <v>טירת כסף</v>
      </c>
    </row>
    <row r="16765" spans="1:6" x14ac:dyDescent="0.2">
      <c r="A16765" t="s">
        <v>27746</v>
      </c>
      <c r="B16765" t="s">
        <v>27749</v>
      </c>
      <c r="C16765" t="s">
        <v>1650</v>
      </c>
      <c r="D16765" t="s">
        <v>3627</v>
      </c>
      <c r="E16765" t="s">
        <v>10</v>
      </c>
      <c r="F16765" s="2" t="str">
        <f>HYPERLINK("http://www.otzar.org/book.asp?18838","טירת כסף")</f>
        <v>טירת כסף</v>
      </c>
    </row>
    <row r="16766" spans="1:6" x14ac:dyDescent="0.2">
      <c r="A16766" t="s">
        <v>27746</v>
      </c>
      <c r="B16766" t="s">
        <v>27750</v>
      </c>
      <c r="C16766" t="s">
        <v>888</v>
      </c>
      <c r="D16766" t="s">
        <v>1419</v>
      </c>
      <c r="E16766" t="s">
        <v>7477</v>
      </c>
      <c r="F16766" s="2" t="str">
        <f>HYPERLINK("http://www.otzar.org/book.asp?103199","טירת כסף")</f>
        <v>טירת כסף</v>
      </c>
    </row>
    <row r="16767" spans="1:6" x14ac:dyDescent="0.2">
      <c r="A16767" t="s">
        <v>27746</v>
      </c>
      <c r="B16767" t="s">
        <v>27751</v>
      </c>
      <c r="C16767" t="s">
        <v>748</v>
      </c>
      <c r="D16767" t="s">
        <v>1117</v>
      </c>
      <c r="E16767" t="s">
        <v>158</v>
      </c>
      <c r="F16767" s="2" t="str">
        <f>HYPERLINK("http://www.otzar.org/book.asp?24568","טירת כסף")</f>
        <v>טירת כסף</v>
      </c>
    </row>
    <row r="16768" spans="1:6" x14ac:dyDescent="0.2">
      <c r="A16768" t="s">
        <v>27746</v>
      </c>
      <c r="B16768" t="s">
        <v>1222</v>
      </c>
      <c r="C16768" t="s">
        <v>103</v>
      </c>
      <c r="D16768" t="s">
        <v>14</v>
      </c>
      <c r="E16768" t="s">
        <v>144</v>
      </c>
      <c r="F16768" s="2" t="str">
        <f>HYPERLINK("http://www.otzar.org/book.asp?172567","טירת כסף")</f>
        <v>טירת כסף</v>
      </c>
    </row>
    <row r="16769" spans="1:6" x14ac:dyDescent="0.2">
      <c r="A16769" t="s">
        <v>27752</v>
      </c>
      <c r="B16769" t="s">
        <v>27753</v>
      </c>
      <c r="C16769" t="s">
        <v>553</v>
      </c>
      <c r="D16769" t="s">
        <v>14</v>
      </c>
      <c r="E16769" t="s">
        <v>674</v>
      </c>
      <c r="F16769" s="2" t="str">
        <f>HYPERLINK("http://www.otzar.org/book.asp?173621","טל אורות &lt;מהדורת אור ודרך&gt; - 2 כר'")</f>
        <v>טל אורות &lt;מהדורת אור ודרך&gt; - 2 כר'</v>
      </c>
    </row>
    <row r="16770" spans="1:6" x14ac:dyDescent="0.2">
      <c r="A16770" t="s">
        <v>27754</v>
      </c>
      <c r="B16770" t="s">
        <v>27755</v>
      </c>
      <c r="C16770" t="s">
        <v>27756</v>
      </c>
      <c r="D16770" t="s">
        <v>744</v>
      </c>
      <c r="E16770" t="s">
        <v>15</v>
      </c>
      <c r="F16770" s="2" t="str">
        <f>HYPERLINK("http://www.otzar.org/book.asp?106207","טל אורות &lt;הקדמון&gt; - 2 כר'")</f>
        <v>טל אורות &lt;הקדמון&gt; - 2 כר'</v>
      </c>
    </row>
    <row r="16771" spans="1:6" x14ac:dyDescent="0.2">
      <c r="A16771" t="s">
        <v>27757</v>
      </c>
      <c r="B16771" t="s">
        <v>27758</v>
      </c>
      <c r="C16771" t="s">
        <v>553</v>
      </c>
      <c r="D16771" t="s">
        <v>52</v>
      </c>
      <c r="E16771" t="s">
        <v>202</v>
      </c>
      <c r="F16771" s="2" t="str">
        <f>HYPERLINK("http://www.otzar.org/book.asp?169120","טל אורות &lt;קובץ&gt; - 8 כר'")</f>
        <v>טל אורות &lt;קובץ&gt; - 8 כר'</v>
      </c>
    </row>
    <row r="16772" spans="1:6" x14ac:dyDescent="0.2">
      <c r="A16772" t="s">
        <v>27759</v>
      </c>
      <c r="B16772" t="s">
        <v>667</v>
      </c>
      <c r="C16772" t="s">
        <v>23</v>
      </c>
      <c r="D16772" t="s">
        <v>14</v>
      </c>
      <c r="E16772" t="s">
        <v>399</v>
      </c>
      <c r="F16772" s="2" t="str">
        <f>HYPERLINK("http://www.otzar.org/book.asp?619036","טל אורות &lt;מהדורה חדשה&gt;")</f>
        <v>טל אורות &lt;מהדורה חדשה&gt;</v>
      </c>
    </row>
    <row r="16773" spans="1:6" x14ac:dyDescent="0.2">
      <c r="A16773" t="s">
        <v>27760</v>
      </c>
      <c r="B16773" t="s">
        <v>10535</v>
      </c>
      <c r="C16773" t="s">
        <v>4266</v>
      </c>
      <c r="D16773" t="s">
        <v>535</v>
      </c>
      <c r="E16773" t="s">
        <v>1847</v>
      </c>
      <c r="F16773" s="2" t="str">
        <f>HYPERLINK("http://www.otzar.org/book.asp?102526","טל אורות")</f>
        <v>טל אורות</v>
      </c>
    </row>
    <row r="16774" spans="1:6" x14ac:dyDescent="0.2">
      <c r="A16774" t="s">
        <v>27760</v>
      </c>
      <c r="B16774" t="s">
        <v>27753</v>
      </c>
      <c r="C16774" t="s">
        <v>3957</v>
      </c>
      <c r="D16774" t="s">
        <v>76</v>
      </c>
      <c r="E16774" t="s">
        <v>27761</v>
      </c>
      <c r="F16774" s="2" t="str">
        <f>HYPERLINK("http://www.otzar.org/book.asp?8148","טל אורות")</f>
        <v>טל אורות</v>
      </c>
    </row>
    <row r="16775" spans="1:6" x14ac:dyDescent="0.2">
      <c r="A16775" t="s">
        <v>27762</v>
      </c>
      <c r="B16775" t="s">
        <v>206</v>
      </c>
      <c r="C16775" t="s">
        <v>189</v>
      </c>
      <c r="D16775" t="s">
        <v>14</v>
      </c>
      <c r="E16775" t="s">
        <v>213</v>
      </c>
      <c r="F16775" s="2" t="str">
        <f>HYPERLINK("http://www.otzar.org/book.asp?166222","טל אורות - החזקת תורה")</f>
        <v>טל אורות - החזקת תורה</v>
      </c>
    </row>
    <row r="16776" spans="1:6" x14ac:dyDescent="0.2">
      <c r="A16776" t="s">
        <v>27760</v>
      </c>
      <c r="B16776" t="s">
        <v>27763</v>
      </c>
      <c r="C16776" t="s">
        <v>103</v>
      </c>
      <c r="D16776" t="s">
        <v>1076</v>
      </c>
      <c r="E16776" t="s">
        <v>15</v>
      </c>
      <c r="F16776" s="2" t="str">
        <f>HYPERLINK("http://www.otzar.org/book.asp?148708","טל אורות")</f>
        <v>טל אורות</v>
      </c>
    </row>
    <row r="16777" spans="1:6" x14ac:dyDescent="0.2">
      <c r="A16777" t="s">
        <v>27764</v>
      </c>
      <c r="B16777" t="s">
        <v>294</v>
      </c>
      <c r="C16777" t="s">
        <v>27765</v>
      </c>
      <c r="D16777" t="s">
        <v>260</v>
      </c>
      <c r="E16777" t="s">
        <v>384</v>
      </c>
      <c r="F16777" s="2" t="str">
        <f>HYPERLINK("http://www.otzar.org/book.asp?15219","טל אורות - 3 כר'")</f>
        <v>טל אורות - 3 כר'</v>
      </c>
    </row>
    <row r="16778" spans="1:6" x14ac:dyDescent="0.2">
      <c r="A16778" t="s">
        <v>27760</v>
      </c>
      <c r="B16778" t="s">
        <v>27766</v>
      </c>
      <c r="C16778" t="s">
        <v>143</v>
      </c>
      <c r="D16778" t="s">
        <v>14</v>
      </c>
      <c r="E16778" t="s">
        <v>144</v>
      </c>
      <c r="F16778" s="2" t="str">
        <f>HYPERLINK("http://www.otzar.org/book.asp?143702","טל אורות")</f>
        <v>טל אורות</v>
      </c>
    </row>
    <row r="16779" spans="1:6" x14ac:dyDescent="0.2">
      <c r="A16779" t="s">
        <v>27767</v>
      </c>
      <c r="B16779" t="s">
        <v>27768</v>
      </c>
      <c r="C16779" t="s">
        <v>27769</v>
      </c>
      <c r="D16779" t="s">
        <v>27</v>
      </c>
      <c r="E16779" t="s">
        <v>15</v>
      </c>
      <c r="F16779" s="2" t="str">
        <f>HYPERLINK("http://www.otzar.org/book.asp?23431","טל אורות - 2 כר'")</f>
        <v>טל אורות - 2 כר'</v>
      </c>
    </row>
    <row r="16780" spans="1:6" x14ac:dyDescent="0.2">
      <c r="A16780" t="s">
        <v>27767</v>
      </c>
      <c r="B16780" t="s">
        <v>1493</v>
      </c>
      <c r="C16780" t="s">
        <v>250</v>
      </c>
      <c r="D16780" t="s">
        <v>1833</v>
      </c>
      <c r="E16780" t="s">
        <v>241</v>
      </c>
      <c r="F16780" s="2" t="str">
        <f>HYPERLINK("http://www.otzar.org/book.asp?146700","טל אורות - 2 כר'")</f>
        <v>טל אורות - 2 כר'</v>
      </c>
    </row>
    <row r="16781" spans="1:6" x14ac:dyDescent="0.2">
      <c r="A16781" t="s">
        <v>27760</v>
      </c>
      <c r="B16781" t="s">
        <v>3731</v>
      </c>
      <c r="C16781" t="s">
        <v>360</v>
      </c>
      <c r="D16781" t="s">
        <v>283</v>
      </c>
      <c r="E16781" t="s">
        <v>158</v>
      </c>
      <c r="F16781" s="2" t="str">
        <f>HYPERLINK("http://www.otzar.org/book.asp?102475","טל אורות")</f>
        <v>טל אורות</v>
      </c>
    </row>
    <row r="16782" spans="1:6" x14ac:dyDescent="0.2">
      <c r="A16782" t="s">
        <v>27760</v>
      </c>
      <c r="B16782" t="s">
        <v>6252</v>
      </c>
      <c r="C16782" t="s">
        <v>1166</v>
      </c>
      <c r="D16782" t="s">
        <v>27770</v>
      </c>
      <c r="F16782" s="2" t="str">
        <f>HYPERLINK("http://www.otzar.org/book.asp?621388","טל אורות")</f>
        <v>טל אורות</v>
      </c>
    </row>
    <row r="16783" spans="1:6" x14ac:dyDescent="0.2">
      <c r="A16783" t="s">
        <v>27760</v>
      </c>
      <c r="B16783" t="s">
        <v>27771</v>
      </c>
      <c r="C16783" t="s">
        <v>728</v>
      </c>
      <c r="D16783" t="s">
        <v>2276</v>
      </c>
      <c r="E16783" t="s">
        <v>219</v>
      </c>
      <c r="F16783" s="2" t="str">
        <f>HYPERLINK("http://www.otzar.org/book.asp?168139","טל אורות")</f>
        <v>טל אורות</v>
      </c>
    </row>
    <row r="16784" spans="1:6" x14ac:dyDescent="0.2">
      <c r="A16784" t="s">
        <v>27772</v>
      </c>
      <c r="B16784" t="s">
        <v>667</v>
      </c>
      <c r="C16784" t="s">
        <v>27773</v>
      </c>
      <c r="D16784" t="s">
        <v>267</v>
      </c>
      <c r="E16784" t="s">
        <v>27774</v>
      </c>
      <c r="F16784" s="2" t="str">
        <f>HYPERLINK("http://www.otzar.org/book.asp?102471","טל אורות - 4 כר'")</f>
        <v>טל אורות - 4 כר'</v>
      </c>
    </row>
    <row r="16785" spans="1:6" x14ac:dyDescent="0.2">
      <c r="A16785" t="s">
        <v>27775</v>
      </c>
      <c r="B16785" t="s">
        <v>8132</v>
      </c>
      <c r="C16785" t="s">
        <v>68</v>
      </c>
      <c r="D16785" t="s">
        <v>14</v>
      </c>
      <c r="E16785" t="s">
        <v>130</v>
      </c>
      <c r="F16785" s="2" t="str">
        <f>HYPERLINK("http://www.otzar.org/book.asp?166570","טל אמרתי")</f>
        <v>טל אמרתי</v>
      </c>
    </row>
    <row r="16786" spans="1:6" x14ac:dyDescent="0.2">
      <c r="A16786" t="s">
        <v>27776</v>
      </c>
      <c r="B16786" t="s">
        <v>1402</v>
      </c>
      <c r="C16786" t="s">
        <v>51</v>
      </c>
      <c r="D16786" t="s">
        <v>52</v>
      </c>
      <c r="E16786" t="s">
        <v>130</v>
      </c>
      <c r="F16786" s="2" t="str">
        <f>HYPERLINK("http://www.otzar.org/book.asp?157863","טל אמרתי - חורש")</f>
        <v>טל אמרתי - חורש</v>
      </c>
    </row>
    <row r="16787" spans="1:6" x14ac:dyDescent="0.2">
      <c r="A16787" t="s">
        <v>27775</v>
      </c>
      <c r="B16787" t="s">
        <v>27777</v>
      </c>
      <c r="C16787" t="s">
        <v>422</v>
      </c>
      <c r="D16787" t="s">
        <v>14</v>
      </c>
      <c r="E16787" t="s">
        <v>15</v>
      </c>
      <c r="F16787" s="2" t="str">
        <f>HYPERLINK("http://www.otzar.org/book.asp?158535","טל אמרתי")</f>
        <v>טל אמרתי</v>
      </c>
    </row>
    <row r="16788" spans="1:6" x14ac:dyDescent="0.2">
      <c r="A16788" t="s">
        <v>27775</v>
      </c>
      <c r="B16788" t="s">
        <v>686</v>
      </c>
      <c r="C16788" t="s">
        <v>51</v>
      </c>
      <c r="D16788" t="s">
        <v>52</v>
      </c>
      <c r="E16788" t="s">
        <v>104</v>
      </c>
      <c r="F16788" s="2" t="str">
        <f>HYPERLINK("http://www.otzar.org/book.asp?189262","טל אמרתי")</f>
        <v>טל אמרתי</v>
      </c>
    </row>
    <row r="16789" spans="1:6" x14ac:dyDescent="0.2">
      <c r="A16789" t="s">
        <v>27775</v>
      </c>
      <c r="B16789" t="s">
        <v>27778</v>
      </c>
      <c r="C16789" t="s">
        <v>146</v>
      </c>
      <c r="D16789" t="s">
        <v>4665</v>
      </c>
      <c r="F16789" s="2" t="str">
        <f>HYPERLINK("http://www.otzar.org/book.asp?163802","טל אמרתי")</f>
        <v>טל אמרתי</v>
      </c>
    </row>
    <row r="16790" spans="1:6" x14ac:dyDescent="0.2">
      <c r="A16790" t="s">
        <v>27779</v>
      </c>
      <c r="B16790" t="s">
        <v>27780</v>
      </c>
      <c r="C16790" t="s">
        <v>103</v>
      </c>
      <c r="D16790" t="s">
        <v>108</v>
      </c>
      <c r="E16790" t="s">
        <v>144</v>
      </c>
      <c r="F16790" s="2" t="str">
        <f>HYPERLINK("http://www.otzar.org/book.asp?26116","טל ברכות")</f>
        <v>טל ברכות</v>
      </c>
    </row>
    <row r="16791" spans="1:6" x14ac:dyDescent="0.2">
      <c r="A16791" t="s">
        <v>27781</v>
      </c>
      <c r="B16791" t="s">
        <v>27782</v>
      </c>
      <c r="C16791" t="s">
        <v>23</v>
      </c>
      <c r="D16791" t="s">
        <v>367</v>
      </c>
      <c r="E16791" t="s">
        <v>2091</v>
      </c>
      <c r="F16791" s="2" t="str">
        <f>HYPERLINK("http://www.otzar.org/book.asp?192816","טל דוד - 2 כר'")</f>
        <v>טל דוד - 2 כר'</v>
      </c>
    </row>
    <row r="16792" spans="1:6" x14ac:dyDescent="0.2">
      <c r="A16792" t="s">
        <v>27783</v>
      </c>
      <c r="B16792" t="s">
        <v>27784</v>
      </c>
      <c r="C16792" t="s">
        <v>313</v>
      </c>
      <c r="D16792" t="s">
        <v>423</v>
      </c>
      <c r="E16792" t="s">
        <v>3516</v>
      </c>
      <c r="F16792" s="2" t="str">
        <f>HYPERLINK("http://www.otzar.org/book.asp?24978","טל דשא - 2 כר'")</f>
        <v>טל דשא - 2 כר'</v>
      </c>
    </row>
    <row r="16793" spans="1:6" x14ac:dyDescent="0.2">
      <c r="A16793" t="s">
        <v>27785</v>
      </c>
      <c r="B16793" t="s">
        <v>12135</v>
      </c>
      <c r="C16793" t="s">
        <v>1609</v>
      </c>
      <c r="D16793" t="s">
        <v>9</v>
      </c>
      <c r="E16793" t="s">
        <v>2071</v>
      </c>
      <c r="F16793" s="2" t="str">
        <f>HYPERLINK("http://www.otzar.org/book.asp?144611","טל השמים")</f>
        <v>טל השמים</v>
      </c>
    </row>
    <row r="16794" spans="1:6" x14ac:dyDescent="0.2">
      <c r="A16794" t="s">
        <v>27785</v>
      </c>
      <c r="B16794" t="s">
        <v>27786</v>
      </c>
      <c r="C16794" t="s">
        <v>27787</v>
      </c>
      <c r="D16794" t="s">
        <v>15715</v>
      </c>
      <c r="E16794" t="s">
        <v>130</v>
      </c>
      <c r="F16794" s="2" t="str">
        <f>HYPERLINK("http://www.otzar.org/book.asp?623921","טל השמים")</f>
        <v>טל השמים</v>
      </c>
    </row>
    <row r="16795" spans="1:6" x14ac:dyDescent="0.2">
      <c r="A16795" t="s">
        <v>27785</v>
      </c>
      <c r="B16795" t="s">
        <v>27788</v>
      </c>
      <c r="C16795" t="s">
        <v>609</v>
      </c>
      <c r="D16795" t="s">
        <v>563</v>
      </c>
      <c r="E16795" t="s">
        <v>15</v>
      </c>
      <c r="F16795" s="2" t="str">
        <f>HYPERLINK("http://www.otzar.org/book.asp?52053","טל השמים")</f>
        <v>טל השמים</v>
      </c>
    </row>
    <row r="16796" spans="1:6" x14ac:dyDescent="0.2">
      <c r="A16796" t="s">
        <v>27789</v>
      </c>
      <c r="B16796" t="s">
        <v>27790</v>
      </c>
      <c r="C16796" t="s">
        <v>133</v>
      </c>
      <c r="D16796" t="s">
        <v>90</v>
      </c>
      <c r="F16796" s="2" t="str">
        <f>HYPERLINK("http://www.otzar.org/book.asp?194301","טל חיים &lt;באנגלית&gt;")</f>
        <v>טל חיים &lt;באנגלית&gt;</v>
      </c>
    </row>
    <row r="16797" spans="1:6" x14ac:dyDescent="0.2">
      <c r="A16797" t="s">
        <v>27791</v>
      </c>
      <c r="B16797" t="s">
        <v>17346</v>
      </c>
      <c r="C16797" t="s">
        <v>422</v>
      </c>
      <c r="D16797" t="s">
        <v>90</v>
      </c>
      <c r="E16797" t="s">
        <v>158</v>
      </c>
      <c r="F16797" s="2" t="str">
        <f>HYPERLINK("http://www.otzar.org/book.asp?166253","טל חיים &lt;מהדורה חדשה&gt;")</f>
        <v>טל חיים &lt;מהדורה חדשה&gt;</v>
      </c>
    </row>
    <row r="16798" spans="1:6" x14ac:dyDescent="0.2">
      <c r="A16798" t="s">
        <v>27792</v>
      </c>
      <c r="B16798" t="s">
        <v>17346</v>
      </c>
      <c r="C16798" t="s">
        <v>5823</v>
      </c>
      <c r="D16798" t="s">
        <v>855</v>
      </c>
      <c r="E16798" t="s">
        <v>144</v>
      </c>
      <c r="F16798" s="2" t="str">
        <f>HYPERLINK("http://www.otzar.org/book.asp?101412","טל חיים והברכה")</f>
        <v>טל חיים והברכה</v>
      </c>
    </row>
    <row r="16799" spans="1:6" x14ac:dyDescent="0.2">
      <c r="A16799" t="s">
        <v>27793</v>
      </c>
      <c r="B16799" t="s">
        <v>27794</v>
      </c>
      <c r="C16799" t="s">
        <v>422</v>
      </c>
      <c r="D16799" t="s">
        <v>118</v>
      </c>
      <c r="E16799" t="s">
        <v>144</v>
      </c>
      <c r="F16799" s="2" t="str">
        <f>HYPERLINK("http://www.otzar.org/book.asp?161900","טל חיים - תמורה")</f>
        <v>טל חיים - תמורה</v>
      </c>
    </row>
    <row r="16800" spans="1:6" x14ac:dyDescent="0.2">
      <c r="A16800" t="s">
        <v>27795</v>
      </c>
      <c r="B16800" t="s">
        <v>17755</v>
      </c>
      <c r="C16800" t="s">
        <v>422</v>
      </c>
      <c r="D16800" t="s">
        <v>52</v>
      </c>
      <c r="E16800" t="s">
        <v>130</v>
      </c>
      <c r="F16800" s="2" t="str">
        <f>HYPERLINK("http://www.otzar.org/book.asp?157826","טל חיים - מלאכות שבת")</f>
        <v>טל חיים - מלאכות שבת</v>
      </c>
    </row>
    <row r="16801" spans="1:6" x14ac:dyDescent="0.2">
      <c r="A16801" t="s">
        <v>27796</v>
      </c>
      <c r="B16801" t="s">
        <v>27797</v>
      </c>
      <c r="C16801" t="s">
        <v>114</v>
      </c>
      <c r="D16801" t="s">
        <v>968</v>
      </c>
      <c r="E16801" t="s">
        <v>144</v>
      </c>
      <c r="F16801" s="2" t="str">
        <f>HYPERLINK("http://www.otzar.org/book.asp?168298","טל חיים - סנהדרין")</f>
        <v>טל חיים - סנהדרין</v>
      </c>
    </row>
    <row r="16802" spans="1:6" x14ac:dyDescent="0.2">
      <c r="A16802" t="s">
        <v>27798</v>
      </c>
      <c r="B16802" t="s">
        <v>27790</v>
      </c>
      <c r="C16802" t="s">
        <v>129</v>
      </c>
      <c r="D16802" t="s">
        <v>15682</v>
      </c>
      <c r="E16802" t="s">
        <v>803</v>
      </c>
      <c r="F16802" s="2" t="str">
        <f>HYPERLINK("http://www.otzar.org/book.asp?60150","טל חיים - 9 כר'")</f>
        <v>טל חיים - 9 כר'</v>
      </c>
    </row>
    <row r="16803" spans="1:6" x14ac:dyDescent="0.2">
      <c r="A16803" t="s">
        <v>27799</v>
      </c>
      <c r="B16803" t="s">
        <v>27800</v>
      </c>
      <c r="C16803" t="s">
        <v>1160</v>
      </c>
      <c r="D16803" t="s">
        <v>52</v>
      </c>
      <c r="E16803" t="s">
        <v>144</v>
      </c>
      <c r="F16803" s="2" t="str">
        <f>HYPERLINK("http://www.otzar.org/book.asp?50067","טל חיים")</f>
        <v>טל חיים</v>
      </c>
    </row>
    <row r="16804" spans="1:6" x14ac:dyDescent="0.2">
      <c r="A16804" t="s">
        <v>27799</v>
      </c>
      <c r="B16804" t="s">
        <v>3166</v>
      </c>
      <c r="C16804" t="s">
        <v>87</v>
      </c>
      <c r="D16804" t="s">
        <v>14</v>
      </c>
      <c r="E16804" t="s">
        <v>158</v>
      </c>
      <c r="F16804" s="2" t="str">
        <f>HYPERLINK("http://www.otzar.org/book.asp?200380","טל חיים")</f>
        <v>טל חיים</v>
      </c>
    </row>
    <row r="16805" spans="1:6" x14ac:dyDescent="0.2">
      <c r="A16805" t="s">
        <v>27801</v>
      </c>
      <c r="B16805" t="s">
        <v>17346</v>
      </c>
      <c r="C16805" t="s">
        <v>496</v>
      </c>
      <c r="D16805" t="s">
        <v>10985</v>
      </c>
      <c r="E16805" t="s">
        <v>158</v>
      </c>
      <c r="F16805" s="2" t="str">
        <f>HYPERLINK("http://www.otzar.org/book.asp?300089","טל חיים - א")</f>
        <v>טל חיים - א</v>
      </c>
    </row>
    <row r="16806" spans="1:6" x14ac:dyDescent="0.2">
      <c r="A16806" t="s">
        <v>27801</v>
      </c>
      <c r="B16806" t="s">
        <v>27802</v>
      </c>
      <c r="C16806" t="s">
        <v>624</v>
      </c>
      <c r="D16806" t="s">
        <v>52</v>
      </c>
      <c r="E16806" t="s">
        <v>186</v>
      </c>
      <c r="F16806" s="2" t="str">
        <f>HYPERLINK("http://www.otzar.org/book.asp?160600","טל חיים - א")</f>
        <v>טל חיים - א</v>
      </c>
    </row>
    <row r="16807" spans="1:6" x14ac:dyDescent="0.2">
      <c r="A16807" t="s">
        <v>27799</v>
      </c>
      <c r="B16807" t="s">
        <v>23321</v>
      </c>
      <c r="C16807" t="s">
        <v>550</v>
      </c>
      <c r="D16807" t="s">
        <v>267</v>
      </c>
      <c r="E16807" t="s">
        <v>144</v>
      </c>
      <c r="F16807" s="2" t="str">
        <f>HYPERLINK("http://www.otzar.org/book.asp?18839","טל חיים")</f>
        <v>טל חיים</v>
      </c>
    </row>
    <row r="16808" spans="1:6" x14ac:dyDescent="0.2">
      <c r="A16808" t="s">
        <v>27803</v>
      </c>
      <c r="B16808" t="s">
        <v>3768</v>
      </c>
      <c r="C16808" t="s">
        <v>20</v>
      </c>
      <c r="D16808" t="s">
        <v>139</v>
      </c>
      <c r="E16808" t="s">
        <v>144</v>
      </c>
      <c r="F16808" s="2" t="str">
        <f>HYPERLINK("http://www.otzar.org/book.asp?171628","טל חרמון")</f>
        <v>טל חרמון</v>
      </c>
    </row>
    <row r="16809" spans="1:6" x14ac:dyDescent="0.2">
      <c r="A16809" t="s">
        <v>27803</v>
      </c>
      <c r="B16809" t="s">
        <v>27307</v>
      </c>
      <c r="C16809" t="s">
        <v>438</v>
      </c>
      <c r="D16809" t="s">
        <v>412</v>
      </c>
      <c r="E16809" t="s">
        <v>3518</v>
      </c>
      <c r="F16809" s="2" t="str">
        <f>HYPERLINK("http://www.otzar.org/book.asp?103201","טל חרמון")</f>
        <v>טל חרמון</v>
      </c>
    </row>
    <row r="16810" spans="1:6" x14ac:dyDescent="0.2">
      <c r="A16810" t="s">
        <v>27804</v>
      </c>
      <c r="B16810" t="s">
        <v>27805</v>
      </c>
      <c r="C16810" t="s">
        <v>940</v>
      </c>
      <c r="D16810" t="s">
        <v>14</v>
      </c>
      <c r="E16810" t="s">
        <v>234</v>
      </c>
      <c r="F16810" s="2" t="str">
        <f>HYPERLINK("http://www.otzar.org/book.asp?165357","טל ילדות")</f>
        <v>טל ילדות</v>
      </c>
    </row>
    <row r="16811" spans="1:6" x14ac:dyDescent="0.2">
      <c r="A16811" t="s">
        <v>27806</v>
      </c>
      <c r="B16811" t="s">
        <v>27807</v>
      </c>
      <c r="C16811" t="s">
        <v>114</v>
      </c>
      <c r="D16811" t="s">
        <v>147</v>
      </c>
      <c r="E16811" t="s">
        <v>148</v>
      </c>
      <c r="F16811" s="2" t="str">
        <f>HYPERLINK("http://www.otzar.org/book.asp?169516","טל ילדותך")</f>
        <v>טל ילדותך</v>
      </c>
    </row>
    <row r="16812" spans="1:6" x14ac:dyDescent="0.2">
      <c r="A16812" t="s">
        <v>27808</v>
      </c>
      <c r="B16812" t="s">
        <v>27809</v>
      </c>
      <c r="C16812" t="s">
        <v>20</v>
      </c>
      <c r="D16812" t="s">
        <v>14</v>
      </c>
      <c r="E16812" t="s">
        <v>733</v>
      </c>
      <c r="F16812" s="2" t="str">
        <f>HYPERLINK("http://www.otzar.org/book.asp?15173","טל ירושלים")</f>
        <v>טל ירושלים</v>
      </c>
    </row>
    <row r="16813" spans="1:6" x14ac:dyDescent="0.2">
      <c r="A16813" t="s">
        <v>27810</v>
      </c>
      <c r="B16813" t="s">
        <v>27811</v>
      </c>
      <c r="C16813" t="s">
        <v>313</v>
      </c>
      <c r="D16813" t="s">
        <v>52</v>
      </c>
      <c r="E16813" t="s">
        <v>144</v>
      </c>
      <c r="F16813" s="2" t="str">
        <f>HYPERLINK("http://www.otzar.org/book.asp?22573","טל לישראל - א")</f>
        <v>טל לישראל - א</v>
      </c>
    </row>
    <row r="16814" spans="1:6" x14ac:dyDescent="0.2">
      <c r="A16814" t="s">
        <v>27812</v>
      </c>
      <c r="B16814" t="s">
        <v>27813</v>
      </c>
      <c r="C16814" t="s">
        <v>146</v>
      </c>
      <c r="D16814" t="s">
        <v>14</v>
      </c>
      <c r="E16814" t="s">
        <v>2840</v>
      </c>
      <c r="F16814" s="2" t="str">
        <f>HYPERLINK("http://www.otzar.org/book.asp?26391","טל לישראל")</f>
        <v>טל לישראל</v>
      </c>
    </row>
    <row r="16815" spans="1:6" x14ac:dyDescent="0.2">
      <c r="A16815" t="s">
        <v>27814</v>
      </c>
      <c r="B16815" t="s">
        <v>27815</v>
      </c>
      <c r="C16815" t="s">
        <v>1570</v>
      </c>
      <c r="D16815" t="s">
        <v>412</v>
      </c>
      <c r="E16815" t="s">
        <v>144</v>
      </c>
      <c r="F16815" s="2" t="str">
        <f>HYPERLINK("http://www.otzar.org/book.asp?61362","טל לישראל - 8 כר'")</f>
        <v>טל לישראל - 8 כר'</v>
      </c>
    </row>
    <row r="16816" spans="1:6" x14ac:dyDescent="0.2">
      <c r="A16816" t="s">
        <v>27816</v>
      </c>
      <c r="B16816" t="s">
        <v>294</v>
      </c>
      <c r="C16816" t="s">
        <v>146</v>
      </c>
      <c r="D16816" t="s">
        <v>14</v>
      </c>
      <c r="E16816" t="s">
        <v>241</v>
      </c>
      <c r="F16816" s="2" t="str">
        <f>HYPERLINK("http://www.otzar.org/book.asp?153755","טל לישראל - 2 כר'")</f>
        <v>טל לישראל - 2 כר'</v>
      </c>
    </row>
    <row r="16817" spans="1:6" x14ac:dyDescent="0.2">
      <c r="A16817" t="s">
        <v>27817</v>
      </c>
      <c r="B16817" t="s">
        <v>14381</v>
      </c>
      <c r="C16817" t="s">
        <v>129</v>
      </c>
      <c r="D16817" t="s">
        <v>52</v>
      </c>
      <c r="E16817" t="s">
        <v>130</v>
      </c>
      <c r="F16817" s="2" t="str">
        <f>HYPERLINK("http://www.otzar.org/book.asp?85478","טל נתן")</f>
        <v>טל נתן</v>
      </c>
    </row>
    <row r="16818" spans="1:6" x14ac:dyDescent="0.2">
      <c r="A16818" t="s">
        <v>27818</v>
      </c>
      <c r="B16818" t="s">
        <v>776</v>
      </c>
      <c r="C16818" t="s">
        <v>985</v>
      </c>
      <c r="D16818" t="s">
        <v>27</v>
      </c>
      <c r="E16818" t="s">
        <v>246</v>
      </c>
      <c r="F16818" s="2" t="str">
        <f>HYPERLINK("http://www.otzar.org/book.asp?158930","טל שבת")</f>
        <v>טל שבת</v>
      </c>
    </row>
    <row r="16819" spans="1:6" x14ac:dyDescent="0.2">
      <c r="A16819" t="s">
        <v>27819</v>
      </c>
      <c r="B16819" t="s">
        <v>27820</v>
      </c>
      <c r="C16819" t="s">
        <v>698</v>
      </c>
      <c r="D16819" t="s">
        <v>699</v>
      </c>
      <c r="E16819" t="s">
        <v>467</v>
      </c>
      <c r="F16819" s="2" t="str">
        <f>HYPERLINK("http://www.otzar.org/book.asp?52055","טל שחקים")</f>
        <v>טל שחקים</v>
      </c>
    </row>
    <row r="16820" spans="1:6" x14ac:dyDescent="0.2">
      <c r="A16820" t="s">
        <v>27821</v>
      </c>
      <c r="B16820" t="s">
        <v>27822</v>
      </c>
      <c r="C16820" t="s">
        <v>445</v>
      </c>
      <c r="D16820" t="s">
        <v>446</v>
      </c>
      <c r="E16820" t="s">
        <v>154</v>
      </c>
      <c r="F16820" s="2" t="str">
        <f>HYPERLINK("http://www.otzar.org/book.asp?52178","טל של תחיה - ב (זכרון דוד)")</f>
        <v>טל של תחיה - ב (זכרון דוד)</v>
      </c>
    </row>
    <row r="16821" spans="1:6" x14ac:dyDescent="0.2">
      <c r="A16821" t="s">
        <v>27823</v>
      </c>
      <c r="B16821" t="s">
        <v>6439</v>
      </c>
      <c r="C16821" t="s">
        <v>189</v>
      </c>
      <c r="D16821" t="s">
        <v>9</v>
      </c>
      <c r="E16821" t="s">
        <v>2533</v>
      </c>
      <c r="F16821" s="2" t="str">
        <f>HYPERLINK("http://www.otzar.org/book.asp?600101","טל תורה &lt;מהדורה חדשה&gt;")</f>
        <v>טל תורה &lt;מהדורה חדשה&gt;</v>
      </c>
    </row>
    <row r="16822" spans="1:6" x14ac:dyDescent="0.2">
      <c r="A16822" t="s">
        <v>27824</v>
      </c>
      <c r="B16822" t="s">
        <v>6439</v>
      </c>
      <c r="C16822" t="s">
        <v>1650</v>
      </c>
      <c r="D16822" t="s">
        <v>535</v>
      </c>
      <c r="E16822" t="s">
        <v>2533</v>
      </c>
      <c r="F16822" s="2" t="str">
        <f>HYPERLINK("http://www.otzar.org/book.asp?12035","טל תורה - 2 כר'")</f>
        <v>טל תורה - 2 כר'</v>
      </c>
    </row>
    <row r="16823" spans="1:6" x14ac:dyDescent="0.2">
      <c r="A16823" t="s">
        <v>27825</v>
      </c>
      <c r="B16823" t="s">
        <v>27826</v>
      </c>
      <c r="C16823" t="s">
        <v>103</v>
      </c>
      <c r="D16823" t="s">
        <v>52</v>
      </c>
      <c r="E16823" t="s">
        <v>14900</v>
      </c>
      <c r="F16823" s="2" t="str">
        <f>HYPERLINK("http://www.otzar.org/book.asp?199605","טל תורה")</f>
        <v>טל תורה</v>
      </c>
    </row>
    <row r="16824" spans="1:6" x14ac:dyDescent="0.2">
      <c r="A16824" t="s">
        <v>27827</v>
      </c>
      <c r="B16824" t="s">
        <v>2396</v>
      </c>
      <c r="C16824" t="s">
        <v>244</v>
      </c>
      <c r="D16824" t="s">
        <v>1076</v>
      </c>
      <c r="E16824" t="s">
        <v>144</v>
      </c>
      <c r="F16824" s="2" t="str">
        <f>HYPERLINK("http://www.otzar.org/book.asp?617322","טל תורה - בסוגיות הש""ס")</f>
        <v>טל תורה - בסוגיות הש"ס</v>
      </c>
    </row>
    <row r="16825" spans="1:6" x14ac:dyDescent="0.2">
      <c r="A16825" t="s">
        <v>27828</v>
      </c>
      <c r="B16825" t="s">
        <v>1083</v>
      </c>
      <c r="C16825" t="s">
        <v>17</v>
      </c>
      <c r="D16825" t="s">
        <v>152</v>
      </c>
      <c r="E16825" t="s">
        <v>803</v>
      </c>
      <c r="F16825" s="2" t="str">
        <f>HYPERLINK("http://www.otzar.org/book.asp?50459","טל תחיה")</f>
        <v>טל תחיה</v>
      </c>
    </row>
    <row r="16826" spans="1:6" x14ac:dyDescent="0.2">
      <c r="A16826" t="s">
        <v>27829</v>
      </c>
      <c r="B16826" t="s">
        <v>27830</v>
      </c>
      <c r="C16826" t="s">
        <v>20</v>
      </c>
      <c r="D16826" t="s">
        <v>90</v>
      </c>
      <c r="E16826" t="s">
        <v>140</v>
      </c>
      <c r="F16826" s="2" t="str">
        <f>HYPERLINK("http://www.otzar.org/book.asp?622517","טלא דבדולחא")</f>
        <v>טלא דבדולחא</v>
      </c>
    </row>
    <row r="16827" spans="1:6" x14ac:dyDescent="0.2">
      <c r="A16827" t="s">
        <v>27831</v>
      </c>
      <c r="B16827" t="s">
        <v>27832</v>
      </c>
      <c r="C16827" t="s">
        <v>114</v>
      </c>
      <c r="D16827" t="s">
        <v>1511</v>
      </c>
      <c r="E16827" t="s">
        <v>15</v>
      </c>
      <c r="F16827" s="2" t="str">
        <f>HYPERLINK("http://www.otzar.org/book.asp?625745","טלה חלב")</f>
        <v>טלה חלב</v>
      </c>
    </row>
    <row r="16828" spans="1:6" x14ac:dyDescent="0.2">
      <c r="A16828" t="s">
        <v>27833</v>
      </c>
      <c r="B16828" t="s">
        <v>27834</v>
      </c>
      <c r="C16828" t="s">
        <v>1268</v>
      </c>
      <c r="D16828" t="s">
        <v>1273</v>
      </c>
      <c r="F16828" s="2" t="str">
        <f>HYPERLINK("http://www.otzar.org/book.asp?617721","טלטולי שבת")</f>
        <v>טלטולי שבת</v>
      </c>
    </row>
    <row r="16829" spans="1:6" x14ac:dyDescent="0.2">
      <c r="A16829" t="s">
        <v>27835</v>
      </c>
      <c r="B16829" t="s">
        <v>24417</v>
      </c>
      <c r="C16829" t="s">
        <v>908</v>
      </c>
      <c r="D16829" t="s">
        <v>535</v>
      </c>
      <c r="E16829" t="s">
        <v>213</v>
      </c>
      <c r="F16829" s="2" t="str">
        <f>HYPERLINK("http://www.otzar.org/book.asp?103202","טלי נחמיה")</f>
        <v>טלי נחמיה</v>
      </c>
    </row>
    <row r="16830" spans="1:6" x14ac:dyDescent="0.2">
      <c r="A16830" t="s">
        <v>27836</v>
      </c>
      <c r="B16830" t="s">
        <v>27837</v>
      </c>
      <c r="C16830" t="s">
        <v>6052</v>
      </c>
      <c r="D16830" t="s">
        <v>1324</v>
      </c>
      <c r="E16830" t="s">
        <v>15</v>
      </c>
      <c r="F16830" s="2" t="str">
        <f>HYPERLINK("http://www.otzar.org/book.asp?196851","טלית קטן")</f>
        <v>טלית קטן</v>
      </c>
    </row>
    <row r="16831" spans="1:6" x14ac:dyDescent="0.2">
      <c r="A16831" t="s">
        <v>27838</v>
      </c>
      <c r="B16831" t="s">
        <v>27839</v>
      </c>
      <c r="C16831" t="s">
        <v>37</v>
      </c>
      <c r="D16831" t="s">
        <v>52</v>
      </c>
      <c r="E16831" t="s">
        <v>2098</v>
      </c>
      <c r="F16831" s="2" t="str">
        <f>HYPERLINK("http://www.otzar.org/book.asp?193394","טללי אורות &lt;מהדורה חדשה&gt;")</f>
        <v>טללי אורות &lt;מהדורה חדשה&gt;</v>
      </c>
    </row>
    <row r="16832" spans="1:6" x14ac:dyDescent="0.2">
      <c r="A16832" t="s">
        <v>27840</v>
      </c>
      <c r="B16832" t="s">
        <v>27841</v>
      </c>
      <c r="C16832" t="s">
        <v>454</v>
      </c>
      <c r="D16832" t="s">
        <v>52</v>
      </c>
      <c r="E16832" t="s">
        <v>219</v>
      </c>
      <c r="F16832" s="2" t="str">
        <f>HYPERLINK("http://www.otzar.org/book.asp?147675","טללי אורות &lt;ביאורי תפילה&gt; - 4 כר'")</f>
        <v>טללי אורות &lt;ביאורי תפילה&gt; - 4 כר'</v>
      </c>
    </row>
    <row r="16833" spans="1:6" x14ac:dyDescent="0.2">
      <c r="A16833" t="s">
        <v>27842</v>
      </c>
      <c r="B16833" t="s">
        <v>27841</v>
      </c>
      <c r="C16833" t="s">
        <v>87</v>
      </c>
      <c r="D16833" t="s">
        <v>52</v>
      </c>
      <c r="E16833" t="s">
        <v>246</v>
      </c>
      <c r="F16833" s="2" t="str">
        <f>HYPERLINK("http://www.otzar.org/book.asp?147668","טללי אורות &lt;על מועדי השנה&gt; - 7 כר'")</f>
        <v>טללי אורות &lt;על מועדי השנה&gt; - 7 כר'</v>
      </c>
    </row>
    <row r="16834" spans="1:6" x14ac:dyDescent="0.2">
      <c r="A16834" t="s">
        <v>27843</v>
      </c>
      <c r="B16834" t="s">
        <v>27841</v>
      </c>
      <c r="C16834" t="s">
        <v>523</v>
      </c>
      <c r="D16834" t="s">
        <v>52</v>
      </c>
      <c r="E16834" t="s">
        <v>158</v>
      </c>
      <c r="F16834" s="2" t="str">
        <f>HYPERLINK("http://www.otzar.org/book.asp?147658","טללי אורות &lt;על פרשיות התורה&gt; - 10 כר'")</f>
        <v>טללי אורות &lt;על פרשיות התורה&gt; - 10 כר'</v>
      </c>
    </row>
    <row r="16835" spans="1:6" x14ac:dyDescent="0.2">
      <c r="A16835" t="s">
        <v>27844</v>
      </c>
      <c r="B16835" t="s">
        <v>27841</v>
      </c>
      <c r="C16835" t="s">
        <v>13</v>
      </c>
      <c r="D16835" t="s">
        <v>52</v>
      </c>
      <c r="E16835" t="s">
        <v>158</v>
      </c>
      <c r="F16835" s="2" t="str">
        <f>HYPERLINK("http://www.otzar.org/book.asp?147679","טללי אורות &lt;שנים מקרא&gt; - 5 כר'")</f>
        <v>טללי אורות &lt;שנים מקרא&gt; - 5 כר'</v>
      </c>
    </row>
    <row r="16836" spans="1:6" x14ac:dyDescent="0.2">
      <c r="A16836" t="s">
        <v>27845</v>
      </c>
      <c r="B16836" t="s">
        <v>953</v>
      </c>
      <c r="C16836" t="s">
        <v>1535</v>
      </c>
      <c r="D16836" t="s">
        <v>17353</v>
      </c>
      <c r="E16836" t="s">
        <v>158</v>
      </c>
      <c r="F16836" s="2" t="str">
        <f>HYPERLINK("http://www.otzar.org/book.asp?52054","טללי אורות על תהלים")</f>
        <v>טללי אורות על תהלים</v>
      </c>
    </row>
    <row r="16837" spans="1:6" x14ac:dyDescent="0.2">
      <c r="A16837" t="s">
        <v>27846</v>
      </c>
      <c r="B16837" t="s">
        <v>27839</v>
      </c>
      <c r="C16837" t="s">
        <v>286</v>
      </c>
      <c r="D16837" t="s">
        <v>726</v>
      </c>
      <c r="E16837" t="s">
        <v>1185</v>
      </c>
      <c r="F16837" s="2" t="str">
        <f>HYPERLINK("http://www.otzar.org/book.asp?5096","טללי אורות")</f>
        <v>טללי אורות</v>
      </c>
    </row>
    <row r="16838" spans="1:6" x14ac:dyDescent="0.2">
      <c r="A16838" t="s">
        <v>27847</v>
      </c>
      <c r="B16838" t="s">
        <v>27848</v>
      </c>
      <c r="C16838" t="s">
        <v>68</v>
      </c>
      <c r="D16838" t="s">
        <v>52</v>
      </c>
      <c r="F16838" s="2" t="str">
        <f>HYPERLINK("http://www.otzar.org/book.asp?617523","טללי ברכה - ברכת אירוסין ושבע ברכות")</f>
        <v>טללי ברכה - ברכת אירוסין ושבע ברכות</v>
      </c>
    </row>
    <row r="16839" spans="1:6" x14ac:dyDescent="0.2">
      <c r="A16839" t="s">
        <v>27849</v>
      </c>
      <c r="B16839" t="s">
        <v>27841</v>
      </c>
      <c r="C16839" t="s">
        <v>68</v>
      </c>
      <c r="D16839" t="s">
        <v>52</v>
      </c>
      <c r="E16839" t="s">
        <v>241</v>
      </c>
      <c r="F16839" s="2" t="str">
        <f>HYPERLINK("http://www.otzar.org/book.asp?166381","טללי חכמה")</f>
        <v>טללי חכמה</v>
      </c>
    </row>
    <row r="16840" spans="1:6" x14ac:dyDescent="0.2">
      <c r="A16840" t="s">
        <v>27850</v>
      </c>
      <c r="B16840" t="s">
        <v>27777</v>
      </c>
      <c r="C16840" t="s">
        <v>366</v>
      </c>
      <c r="D16840" t="s">
        <v>14</v>
      </c>
      <c r="E16840" t="s">
        <v>15</v>
      </c>
      <c r="F16840" s="2" t="str">
        <f>HYPERLINK("http://www.otzar.org/book.asp?606177","טללי טהר - נדה")</f>
        <v>טללי טהר - נדה</v>
      </c>
    </row>
    <row r="16841" spans="1:6" x14ac:dyDescent="0.2">
      <c r="A16841" t="s">
        <v>27851</v>
      </c>
      <c r="B16841" t="s">
        <v>27852</v>
      </c>
      <c r="C16841" t="s">
        <v>411</v>
      </c>
      <c r="D16841" t="s">
        <v>4478</v>
      </c>
      <c r="E16841" t="s">
        <v>213</v>
      </c>
      <c r="F16841" s="2" t="str">
        <f>HYPERLINK("http://www.otzar.org/book.asp?167187","טללי מדרש")</f>
        <v>טללי מדרש</v>
      </c>
    </row>
    <row r="16842" spans="1:6" x14ac:dyDescent="0.2">
      <c r="A16842" t="s">
        <v>27853</v>
      </c>
      <c r="B16842" t="s">
        <v>27854</v>
      </c>
      <c r="C16842" t="s">
        <v>454</v>
      </c>
      <c r="D16842" t="s">
        <v>3560</v>
      </c>
      <c r="E16842" t="s">
        <v>1072</v>
      </c>
      <c r="F16842" s="2" t="str">
        <f>HYPERLINK("http://www.otzar.org/book.asp?157796","טללי שמואל - דיני המורדת")</f>
        <v>טללי שמואל - דיני המורדת</v>
      </c>
    </row>
    <row r="16843" spans="1:6" x14ac:dyDescent="0.2">
      <c r="A16843" t="s">
        <v>27855</v>
      </c>
      <c r="B16843" t="s">
        <v>27856</v>
      </c>
      <c r="C16843" t="s">
        <v>547</v>
      </c>
      <c r="D16843" t="s">
        <v>18654</v>
      </c>
      <c r="E16843" t="s">
        <v>508</v>
      </c>
      <c r="F16843" s="2" t="str">
        <f>HYPERLINK("http://www.otzar.org/book.asp?13688","טללי שנה")</f>
        <v>טללי שנה</v>
      </c>
    </row>
    <row r="16844" spans="1:6" x14ac:dyDescent="0.2">
      <c r="A16844" t="s">
        <v>27857</v>
      </c>
      <c r="B16844" t="s">
        <v>5364</v>
      </c>
      <c r="C16844" t="s">
        <v>411</v>
      </c>
      <c r="D16844" t="s">
        <v>90</v>
      </c>
      <c r="E16844" t="s">
        <v>508</v>
      </c>
      <c r="F16844" s="2" t="str">
        <f>HYPERLINK("http://www.otzar.org/book.asp?603922","טנא דקשייתא")</f>
        <v>טנא דקשייתא</v>
      </c>
    </row>
    <row r="16845" spans="1:6" x14ac:dyDescent="0.2">
      <c r="A16845" t="s">
        <v>27858</v>
      </c>
      <c r="B16845" t="s">
        <v>27859</v>
      </c>
      <c r="C16845" t="s">
        <v>151</v>
      </c>
      <c r="D16845" t="s">
        <v>52</v>
      </c>
      <c r="E16845" t="s">
        <v>158</v>
      </c>
      <c r="F16845" s="2" t="str">
        <f>HYPERLINK("http://www.otzar.org/book.asp?627168","טנא פירות העמל - 11 כר'")</f>
        <v>טנא פירות העמל - 11 כר'</v>
      </c>
    </row>
    <row r="16846" spans="1:6" x14ac:dyDescent="0.2">
      <c r="A16846" t="s">
        <v>27860</v>
      </c>
      <c r="B16846" t="s">
        <v>27861</v>
      </c>
      <c r="E16846" t="s">
        <v>104</v>
      </c>
      <c r="F16846" s="2" t="str">
        <f>HYPERLINK("http://www.otzar.org/book.asp?627089","טנא")</f>
        <v>טנא</v>
      </c>
    </row>
    <row r="16847" spans="1:6" x14ac:dyDescent="0.2">
      <c r="A16847" t="s">
        <v>27862</v>
      </c>
      <c r="B16847" t="s">
        <v>27863</v>
      </c>
      <c r="C16847" t="s">
        <v>1470</v>
      </c>
      <c r="D16847" t="s">
        <v>27864</v>
      </c>
      <c r="E16847" t="s">
        <v>202</v>
      </c>
      <c r="F16847" s="2" t="str">
        <f>HYPERLINK("http://www.otzar.org/book.asp?172456","טעטיקייס באריכט פון אגודת הרבנים")</f>
        <v>טעטיקייס באריכט פון אגודת הרבנים</v>
      </c>
    </row>
    <row r="16848" spans="1:6" x14ac:dyDescent="0.2">
      <c r="A16848" t="s">
        <v>27865</v>
      </c>
      <c r="B16848" t="s">
        <v>9358</v>
      </c>
      <c r="C16848" t="s">
        <v>87</v>
      </c>
      <c r="D16848" t="s">
        <v>2798</v>
      </c>
      <c r="E16848" t="s">
        <v>733</v>
      </c>
      <c r="F16848" s="2" t="str">
        <f>HYPERLINK("http://www.otzar.org/book.asp?621070","טעטש - תפוח, קובץ שמות ופרטים מתולדות קהילת טעטש")</f>
        <v>טעטש - תפוח, קובץ שמות ופרטים מתולדות קהילת טעטש</v>
      </c>
    </row>
    <row r="16849" spans="1:6" x14ac:dyDescent="0.2">
      <c r="A16849" t="s">
        <v>27866</v>
      </c>
      <c r="B16849" t="s">
        <v>27867</v>
      </c>
      <c r="C16849" t="s">
        <v>23</v>
      </c>
      <c r="D16849" t="s">
        <v>1467</v>
      </c>
      <c r="F16849" s="2" t="str">
        <f>HYPERLINK("http://www.otzar.org/book.asp?198088","טעם ברוך &lt;מהדורה חדשה&gt;")</f>
        <v>טעם ברוך &lt;מהדורה חדשה&gt;</v>
      </c>
    </row>
    <row r="16850" spans="1:6" x14ac:dyDescent="0.2">
      <c r="A16850" t="s">
        <v>27868</v>
      </c>
      <c r="B16850" t="s">
        <v>6235</v>
      </c>
      <c r="C16850" t="s">
        <v>506</v>
      </c>
      <c r="D16850" t="s">
        <v>947</v>
      </c>
      <c r="E16850" t="s">
        <v>158</v>
      </c>
      <c r="F16850" s="2" t="str">
        <f>HYPERLINK("http://www.otzar.org/book.asp?172271","טעם ברוך")</f>
        <v>טעם ברוך</v>
      </c>
    </row>
    <row r="16851" spans="1:6" x14ac:dyDescent="0.2">
      <c r="A16851" t="s">
        <v>27868</v>
      </c>
      <c r="B16851" t="s">
        <v>27867</v>
      </c>
      <c r="C16851" t="s">
        <v>334</v>
      </c>
      <c r="D16851" t="s">
        <v>1467</v>
      </c>
      <c r="E16851" t="s">
        <v>154</v>
      </c>
      <c r="F16851" s="2" t="str">
        <f>HYPERLINK("http://www.otzar.org/book.asp?84920","טעם ברוך")</f>
        <v>טעם ברוך</v>
      </c>
    </row>
    <row r="16852" spans="1:6" x14ac:dyDescent="0.2">
      <c r="A16852" t="s">
        <v>27869</v>
      </c>
      <c r="B16852" t="s">
        <v>27870</v>
      </c>
      <c r="C16852" t="s">
        <v>419</v>
      </c>
      <c r="D16852" t="s">
        <v>52</v>
      </c>
      <c r="E16852" t="s">
        <v>474</v>
      </c>
      <c r="F16852" s="2" t="str">
        <f>HYPERLINK("http://www.otzar.org/book.asp?149095","טעם הצבי - 8 כר'")</f>
        <v>טעם הצבי - 8 כר'</v>
      </c>
    </row>
    <row r="16853" spans="1:6" x14ac:dyDescent="0.2">
      <c r="A16853" t="s">
        <v>27871</v>
      </c>
      <c r="B16853" t="s">
        <v>206</v>
      </c>
      <c r="C16853" t="s">
        <v>20</v>
      </c>
      <c r="D16853" t="s">
        <v>152</v>
      </c>
      <c r="E16853" t="s">
        <v>144</v>
      </c>
      <c r="F16853" s="2" t="str">
        <f>HYPERLINK("http://www.otzar.org/book.asp?621296","טעם הצבי - 4 כר'")</f>
        <v>טעם הצבי - 4 כר'</v>
      </c>
    </row>
    <row r="16854" spans="1:6" x14ac:dyDescent="0.2">
      <c r="A16854" t="s">
        <v>27872</v>
      </c>
      <c r="B16854" t="s">
        <v>27873</v>
      </c>
      <c r="C16854" t="s">
        <v>27874</v>
      </c>
      <c r="D16854" t="s">
        <v>3592</v>
      </c>
      <c r="E16854" t="s">
        <v>674</v>
      </c>
      <c r="F16854" s="2" t="str">
        <f>HYPERLINK("http://www.otzar.org/book.asp?181177","טעם ודעת")</f>
        <v>טעם ודעת</v>
      </c>
    </row>
    <row r="16855" spans="1:6" x14ac:dyDescent="0.2">
      <c r="A16855" t="s">
        <v>27872</v>
      </c>
      <c r="B16855" t="s">
        <v>27875</v>
      </c>
      <c r="C16855" t="s">
        <v>244</v>
      </c>
      <c r="D16855" t="s">
        <v>21</v>
      </c>
      <c r="E16855" t="s">
        <v>144</v>
      </c>
      <c r="F16855" s="2" t="str">
        <f>HYPERLINK("http://www.otzar.org/book.asp?605409","טעם ודעת")</f>
        <v>טעם ודעת</v>
      </c>
    </row>
    <row r="16856" spans="1:6" x14ac:dyDescent="0.2">
      <c r="A16856" t="s">
        <v>27872</v>
      </c>
      <c r="B16856" t="s">
        <v>4019</v>
      </c>
      <c r="C16856" t="s">
        <v>37</v>
      </c>
      <c r="D16856" t="s">
        <v>14</v>
      </c>
      <c r="E16856" t="s">
        <v>144</v>
      </c>
      <c r="F16856" s="2" t="str">
        <f>HYPERLINK("http://www.otzar.org/book.asp?182051","טעם ודעת")</f>
        <v>טעם ודעת</v>
      </c>
    </row>
    <row r="16857" spans="1:6" x14ac:dyDescent="0.2">
      <c r="A16857" t="s">
        <v>27876</v>
      </c>
      <c r="B16857" t="s">
        <v>27877</v>
      </c>
      <c r="C16857" t="s">
        <v>454</v>
      </c>
      <c r="D16857" t="s">
        <v>14</v>
      </c>
      <c r="E16857" t="s">
        <v>15</v>
      </c>
      <c r="F16857" s="2" t="str">
        <f>HYPERLINK("http://www.otzar.org/book.asp?20993","טעם ודעת - 2 כר'")</f>
        <v>טעם ודעת - 2 כר'</v>
      </c>
    </row>
    <row r="16858" spans="1:6" x14ac:dyDescent="0.2">
      <c r="A16858" t="s">
        <v>27878</v>
      </c>
      <c r="B16858" t="s">
        <v>4606</v>
      </c>
      <c r="C16858" t="s">
        <v>20</v>
      </c>
      <c r="D16858" t="s">
        <v>90</v>
      </c>
      <c r="E16858" t="s">
        <v>158</v>
      </c>
      <c r="F16858" s="2" t="str">
        <f>HYPERLINK("http://www.otzar.org/book.asp?50518","טעם ודעת - 3 כר'")</f>
        <v>טעם ודעת - 3 כר'</v>
      </c>
    </row>
    <row r="16859" spans="1:6" x14ac:dyDescent="0.2">
      <c r="A16859" t="s">
        <v>27879</v>
      </c>
      <c r="B16859" t="s">
        <v>27880</v>
      </c>
      <c r="C16859" t="s">
        <v>1721</v>
      </c>
      <c r="D16859" t="s">
        <v>6742</v>
      </c>
      <c r="E16859" t="s">
        <v>27881</v>
      </c>
      <c r="F16859" s="2" t="str">
        <f>HYPERLINK("http://www.otzar.org/book.asp?60","טעם זקנים")</f>
        <v>טעם זקנים</v>
      </c>
    </row>
    <row r="16860" spans="1:6" x14ac:dyDescent="0.2">
      <c r="A16860" t="s">
        <v>27882</v>
      </c>
      <c r="B16860" t="s">
        <v>776</v>
      </c>
      <c r="C16860" t="s">
        <v>3840</v>
      </c>
      <c r="D16860" t="s">
        <v>27</v>
      </c>
      <c r="E16860" t="s">
        <v>241</v>
      </c>
      <c r="F16860" s="2" t="str">
        <f>HYPERLINK("http://www.otzar.org/book.asp?179233","טעם חן")</f>
        <v>טעם חן</v>
      </c>
    </row>
    <row r="16861" spans="1:6" x14ac:dyDescent="0.2">
      <c r="A16861" t="s">
        <v>27883</v>
      </c>
      <c r="B16861" t="s">
        <v>27884</v>
      </c>
      <c r="C16861" t="s">
        <v>8256</v>
      </c>
      <c r="D16861" t="s">
        <v>49</v>
      </c>
      <c r="F16861" s="2" t="str">
        <f>HYPERLINK("http://www.otzar.org/book.asp?84146","טעם למוסף תקנת שבת")</f>
        <v>טעם למוסף תקנת שבת</v>
      </c>
    </row>
    <row r="16862" spans="1:6" x14ac:dyDescent="0.2">
      <c r="A16862" t="s">
        <v>27885</v>
      </c>
      <c r="B16862" t="s">
        <v>27886</v>
      </c>
      <c r="C16862" t="s">
        <v>919</v>
      </c>
      <c r="D16862" t="s">
        <v>216</v>
      </c>
      <c r="E16862" t="s">
        <v>684</v>
      </c>
      <c r="F16862" s="2" t="str">
        <f>HYPERLINK("http://www.otzar.org/book.asp?179332","טעם לעיקר")</f>
        <v>טעם לעיקר</v>
      </c>
    </row>
    <row r="16863" spans="1:6" x14ac:dyDescent="0.2">
      <c r="A16863" t="s">
        <v>27887</v>
      </c>
      <c r="B16863" t="s">
        <v>5289</v>
      </c>
      <c r="C16863" t="s">
        <v>2617</v>
      </c>
      <c r="D16863" t="s">
        <v>23185</v>
      </c>
      <c r="E16863" t="s">
        <v>241</v>
      </c>
      <c r="F16863" s="2" t="str">
        <f>HYPERLINK("http://www.otzar.org/book.asp?18840","טעם לש""ד")</f>
        <v>טעם לש"ד</v>
      </c>
    </row>
    <row r="16864" spans="1:6" x14ac:dyDescent="0.2">
      <c r="A16864" t="s">
        <v>27888</v>
      </c>
      <c r="B16864" t="s">
        <v>27889</v>
      </c>
      <c r="C16864" t="s">
        <v>146</v>
      </c>
      <c r="D16864" t="s">
        <v>14</v>
      </c>
      <c r="E16864" t="s">
        <v>933</v>
      </c>
      <c r="F16864" s="2" t="str">
        <f>HYPERLINK("http://www.otzar.org/book.asp?60212","טעם לשבח")</f>
        <v>טעם לשבח</v>
      </c>
    </row>
    <row r="16865" spans="1:6" x14ac:dyDescent="0.2">
      <c r="A16865" t="s">
        <v>27890</v>
      </c>
      <c r="B16865" t="s">
        <v>27891</v>
      </c>
      <c r="C16865" t="s">
        <v>37</v>
      </c>
      <c r="D16865" t="s">
        <v>367</v>
      </c>
      <c r="E16865" t="s">
        <v>15</v>
      </c>
      <c r="F16865" s="2" t="str">
        <f>HYPERLINK("http://www.otzar.org/book.asp?191124","טעם לשבח - 2 כר'")</f>
        <v>טעם לשבח - 2 כר'</v>
      </c>
    </row>
    <row r="16866" spans="1:6" x14ac:dyDescent="0.2">
      <c r="A16866" t="s">
        <v>27892</v>
      </c>
      <c r="B16866" t="s">
        <v>27893</v>
      </c>
      <c r="C16866" t="s">
        <v>411</v>
      </c>
      <c r="D16866" t="s">
        <v>152</v>
      </c>
      <c r="E16866" t="s">
        <v>15</v>
      </c>
      <c r="F16866" s="2" t="str">
        <f>HYPERLINK("http://www.otzar.org/book.asp?172910","טעם לשבח - ברכת האילנות")</f>
        <v>טעם לשבח - ברכת האילנות</v>
      </c>
    </row>
    <row r="16867" spans="1:6" x14ac:dyDescent="0.2">
      <c r="A16867" t="s">
        <v>27894</v>
      </c>
      <c r="B16867" t="s">
        <v>27895</v>
      </c>
      <c r="C16867" t="s">
        <v>785</v>
      </c>
      <c r="D16867" t="s">
        <v>14</v>
      </c>
      <c r="E16867" t="s">
        <v>148</v>
      </c>
      <c r="F16867" s="2" t="str">
        <f>HYPERLINK("http://www.otzar.org/book.asp?165376","טעם ריבית")</f>
        <v>טעם ריבית</v>
      </c>
    </row>
    <row r="16868" spans="1:6" x14ac:dyDescent="0.2">
      <c r="A16868" t="s">
        <v>27896</v>
      </c>
      <c r="B16868" t="s">
        <v>27897</v>
      </c>
      <c r="C16868" t="s">
        <v>27898</v>
      </c>
      <c r="D16868" t="s">
        <v>52</v>
      </c>
      <c r="E16868" t="s">
        <v>148</v>
      </c>
      <c r="F16868" s="2" t="str">
        <f>HYPERLINK("http://www.otzar.org/book.asp?85428","טעמא דהלכתא")</f>
        <v>טעמא דהלכתא</v>
      </c>
    </row>
    <row r="16869" spans="1:6" x14ac:dyDescent="0.2">
      <c r="A16869" t="s">
        <v>27899</v>
      </c>
      <c r="B16869" t="s">
        <v>7604</v>
      </c>
      <c r="C16869" t="s">
        <v>133</v>
      </c>
      <c r="D16869" t="s">
        <v>52</v>
      </c>
      <c r="E16869" t="s">
        <v>27900</v>
      </c>
      <c r="F16869" s="2" t="str">
        <f>HYPERLINK("http://www.otzar.org/book.asp?173771","טעמא דקרא - 2 כר'")</f>
        <v>טעמא דקרא - 2 כר'</v>
      </c>
    </row>
    <row r="16870" spans="1:6" x14ac:dyDescent="0.2">
      <c r="A16870" t="s">
        <v>27901</v>
      </c>
      <c r="B16870" t="s">
        <v>27902</v>
      </c>
      <c r="C16870" t="s">
        <v>454</v>
      </c>
      <c r="D16870" t="s">
        <v>486</v>
      </c>
      <c r="E16870" t="s">
        <v>158</v>
      </c>
      <c r="F16870" s="2" t="str">
        <f>HYPERLINK("http://www.otzar.org/book.asp?189582","טעמו וראו - 2 כר'")</f>
        <v>טעמו וראו - 2 כר'</v>
      </c>
    </row>
    <row r="16871" spans="1:6" x14ac:dyDescent="0.2">
      <c r="A16871" t="s">
        <v>27903</v>
      </c>
      <c r="B16871" t="s">
        <v>27904</v>
      </c>
      <c r="C16871" t="s">
        <v>383</v>
      </c>
      <c r="D16871" t="s">
        <v>52</v>
      </c>
      <c r="E16871" t="s">
        <v>158</v>
      </c>
      <c r="F16871" s="2" t="str">
        <f>HYPERLINK("http://www.otzar.org/book.asp?7605","טעמו וראו - 4 כר'")</f>
        <v>טעמו וראו - 4 כר'</v>
      </c>
    </row>
    <row r="16872" spans="1:6" x14ac:dyDescent="0.2">
      <c r="A16872" t="s">
        <v>27905</v>
      </c>
      <c r="B16872" t="s">
        <v>27906</v>
      </c>
      <c r="C16872" t="s">
        <v>17</v>
      </c>
      <c r="D16872" t="s">
        <v>52</v>
      </c>
      <c r="E16872" t="s">
        <v>158</v>
      </c>
      <c r="F16872" s="2" t="str">
        <f>HYPERLINK("http://www.otzar.org/book.asp?606249","טעמו וראו")</f>
        <v>טעמו וראו</v>
      </c>
    </row>
    <row r="16873" spans="1:6" x14ac:dyDescent="0.2">
      <c r="A16873" t="s">
        <v>27907</v>
      </c>
      <c r="B16873" t="s">
        <v>27908</v>
      </c>
      <c r="C16873" t="s">
        <v>17</v>
      </c>
      <c r="D16873" t="s">
        <v>367</v>
      </c>
      <c r="E16873" t="s">
        <v>15</v>
      </c>
      <c r="F16873" s="2" t="str">
        <f>HYPERLINK("http://www.otzar.org/book.asp?51596","טעמו וראו - איסור והיתר")</f>
        <v>טעמו וראו - איסור והיתר</v>
      </c>
    </row>
    <row r="16874" spans="1:6" x14ac:dyDescent="0.2">
      <c r="A16874" t="s">
        <v>27905</v>
      </c>
      <c r="B16874" t="s">
        <v>11760</v>
      </c>
      <c r="C16874" t="s">
        <v>23</v>
      </c>
      <c r="D16874" t="s">
        <v>5172</v>
      </c>
      <c r="F16874" s="2" t="str">
        <f>HYPERLINK("http://www.otzar.org/book.asp?191578","טעמו וראו")</f>
        <v>טעמו וראו</v>
      </c>
    </row>
    <row r="16875" spans="1:6" x14ac:dyDescent="0.2">
      <c r="A16875" t="s">
        <v>27909</v>
      </c>
      <c r="B16875" t="s">
        <v>27910</v>
      </c>
      <c r="C16875" t="s">
        <v>2480</v>
      </c>
      <c r="D16875" t="s">
        <v>27</v>
      </c>
      <c r="E16875" t="s">
        <v>399</v>
      </c>
      <c r="F16875" s="2" t="str">
        <f>HYPERLINK("http://www.otzar.org/book.asp?148464","טעמי הטעמים")</f>
        <v>טעמי הטעמים</v>
      </c>
    </row>
    <row r="16876" spans="1:6" x14ac:dyDescent="0.2">
      <c r="A16876" t="s">
        <v>27911</v>
      </c>
      <c r="B16876" t="s">
        <v>27912</v>
      </c>
      <c r="C16876" t="s">
        <v>496</v>
      </c>
      <c r="D16876" t="s">
        <v>1722</v>
      </c>
      <c r="E16876" t="s">
        <v>15</v>
      </c>
      <c r="F16876" s="2" t="str">
        <f>HYPERLINK("http://www.otzar.org/book.asp?106147","טעמי המנהגים &lt;אידיש&gt; - 2 כר'")</f>
        <v>טעמי המנהגים &lt;אידיש&gt; - 2 כר'</v>
      </c>
    </row>
    <row r="16877" spans="1:6" x14ac:dyDescent="0.2">
      <c r="A16877" t="s">
        <v>27913</v>
      </c>
      <c r="B16877" t="s">
        <v>27912</v>
      </c>
      <c r="C16877" t="s">
        <v>506</v>
      </c>
      <c r="D16877" t="s">
        <v>267</v>
      </c>
      <c r="E16877" t="s">
        <v>15</v>
      </c>
      <c r="F16877" s="2" t="str">
        <f>HYPERLINK("http://www.otzar.org/book.asp?11514","טעמי המנהגים - א")</f>
        <v>טעמי המנהגים - א</v>
      </c>
    </row>
    <row r="16878" spans="1:6" x14ac:dyDescent="0.2">
      <c r="A16878" t="s">
        <v>27914</v>
      </c>
      <c r="B16878" t="s">
        <v>27915</v>
      </c>
      <c r="C16878" t="s">
        <v>27916</v>
      </c>
      <c r="D16878" t="s">
        <v>1023</v>
      </c>
      <c r="E16878" t="s">
        <v>957</v>
      </c>
      <c r="F16878" s="2" t="str">
        <f>HYPERLINK("http://www.otzar.org/book.asp?12922","טעמי המסורה")</f>
        <v>טעמי המסורה</v>
      </c>
    </row>
    <row r="16879" spans="1:6" x14ac:dyDescent="0.2">
      <c r="A16879" t="s">
        <v>27917</v>
      </c>
      <c r="B16879" t="s">
        <v>27918</v>
      </c>
      <c r="C16879" t="s">
        <v>160</v>
      </c>
      <c r="D16879" t="s">
        <v>260</v>
      </c>
      <c r="E16879" t="s">
        <v>674</v>
      </c>
      <c r="F16879" s="2" t="str">
        <f>HYPERLINK("http://www.otzar.org/book.asp?103200","טעמי המצוות")</f>
        <v>טעמי המצוות</v>
      </c>
    </row>
    <row r="16880" spans="1:6" x14ac:dyDescent="0.2">
      <c r="A16880" t="s">
        <v>27919</v>
      </c>
      <c r="B16880" t="s">
        <v>27920</v>
      </c>
      <c r="C16880" t="s">
        <v>13</v>
      </c>
      <c r="D16880" t="s">
        <v>27921</v>
      </c>
      <c r="E16880" t="s">
        <v>674</v>
      </c>
      <c r="F16880" s="2" t="str">
        <f>HYPERLINK("http://www.otzar.org/book.asp?621866","טעמי המצות &lt;ליקוטי דודאים&gt;")</f>
        <v>טעמי המצות &lt;ליקוטי דודאים&gt;</v>
      </c>
    </row>
    <row r="16881" spans="1:6" x14ac:dyDescent="0.2">
      <c r="A16881" t="s">
        <v>27922</v>
      </c>
      <c r="B16881" t="s">
        <v>27923</v>
      </c>
      <c r="C16881" t="s">
        <v>27924</v>
      </c>
      <c r="D16881" t="s">
        <v>25818</v>
      </c>
      <c r="E16881" t="s">
        <v>15</v>
      </c>
      <c r="F16881" s="2" t="str">
        <f>HYPERLINK("http://www.otzar.org/book.asp?19284","טעמי המצות - 3 כר'")</f>
        <v>טעמי המצות - 3 כר'</v>
      </c>
    </row>
    <row r="16882" spans="1:6" x14ac:dyDescent="0.2">
      <c r="A16882" t="s">
        <v>27925</v>
      </c>
      <c r="B16882" t="s">
        <v>27926</v>
      </c>
      <c r="C16882" t="s">
        <v>1811</v>
      </c>
      <c r="D16882" t="s">
        <v>14</v>
      </c>
      <c r="E16882" t="s">
        <v>15</v>
      </c>
      <c r="F16882" s="2" t="str">
        <f>HYPERLINK("http://www.otzar.org/book.asp?176744","טעמי המצות")</f>
        <v>טעמי המצות</v>
      </c>
    </row>
    <row r="16883" spans="1:6" x14ac:dyDescent="0.2">
      <c r="A16883" t="s">
        <v>27925</v>
      </c>
      <c r="B16883" t="s">
        <v>27927</v>
      </c>
      <c r="C16883" t="s">
        <v>79</v>
      </c>
      <c r="D16883" t="s">
        <v>27</v>
      </c>
      <c r="E16883" t="s">
        <v>15</v>
      </c>
      <c r="F16883" s="2" t="str">
        <f>HYPERLINK("http://www.otzar.org/book.asp?11473","טעמי המצות")</f>
        <v>טעמי המצות</v>
      </c>
    </row>
    <row r="16884" spans="1:6" x14ac:dyDescent="0.2">
      <c r="A16884" t="s">
        <v>27928</v>
      </c>
      <c r="B16884" t="s">
        <v>12390</v>
      </c>
      <c r="C16884" t="s">
        <v>26</v>
      </c>
      <c r="D16884" t="s">
        <v>646</v>
      </c>
      <c r="E16884" t="s">
        <v>8854</v>
      </c>
      <c r="F16884" s="2" t="str">
        <f>HYPERLINK("http://www.otzar.org/book.asp?14356","טעמי המצות - 4 כר'")</f>
        <v>טעמי המצות - 4 כר'</v>
      </c>
    </row>
    <row r="16885" spans="1:6" x14ac:dyDescent="0.2">
      <c r="A16885" t="s">
        <v>27925</v>
      </c>
      <c r="B16885" t="s">
        <v>27929</v>
      </c>
      <c r="C16885" t="s">
        <v>129</v>
      </c>
      <c r="D16885" t="s">
        <v>52</v>
      </c>
      <c r="E16885" t="s">
        <v>15</v>
      </c>
      <c r="F16885" s="2" t="str">
        <f>HYPERLINK("http://www.otzar.org/book.asp?161022","טעמי המצות")</f>
        <v>טעמי המצות</v>
      </c>
    </row>
    <row r="16886" spans="1:6" x14ac:dyDescent="0.2">
      <c r="A16886" t="s">
        <v>27930</v>
      </c>
      <c r="B16886" t="s">
        <v>27931</v>
      </c>
      <c r="C16886" t="s">
        <v>114</v>
      </c>
      <c r="D16886" t="s">
        <v>90</v>
      </c>
      <c r="E16886" t="s">
        <v>2135</v>
      </c>
      <c r="F16886" s="2" t="str">
        <f>HYPERLINK("http://www.otzar.org/book.asp?176575","טעמי המקרא בהלכה ובאגדה - 5 כר'")</f>
        <v>טעמי המקרא בהלכה ובאגדה - 5 כר'</v>
      </c>
    </row>
    <row r="16887" spans="1:6" x14ac:dyDescent="0.2">
      <c r="A16887" t="s">
        <v>27932</v>
      </c>
      <c r="B16887" t="s">
        <v>27933</v>
      </c>
      <c r="C16887" t="s">
        <v>5544</v>
      </c>
      <c r="D16887" t="s">
        <v>1731</v>
      </c>
      <c r="E16887" t="s">
        <v>104</v>
      </c>
      <c r="F16887" s="2" t="str">
        <f>HYPERLINK("http://www.otzar.org/book.asp?147294","טעמי המקרא")</f>
        <v>טעמי המקרא</v>
      </c>
    </row>
    <row r="16888" spans="1:6" x14ac:dyDescent="0.2">
      <c r="A16888" t="s">
        <v>27932</v>
      </c>
      <c r="B16888" t="s">
        <v>27934</v>
      </c>
      <c r="C16888" t="s">
        <v>356</v>
      </c>
      <c r="D16888" t="s">
        <v>1356</v>
      </c>
      <c r="E16888" t="s">
        <v>4940</v>
      </c>
      <c r="F16888" s="2" t="str">
        <f>HYPERLINK("http://www.otzar.org/book.asp?7278","טעמי המקרא")</f>
        <v>טעמי המקרא</v>
      </c>
    </row>
    <row r="16889" spans="1:6" x14ac:dyDescent="0.2">
      <c r="A16889" t="s">
        <v>27935</v>
      </c>
      <c r="B16889" t="s">
        <v>27936</v>
      </c>
      <c r="C16889" t="s">
        <v>133</v>
      </c>
      <c r="D16889" t="s">
        <v>657</v>
      </c>
      <c r="E16889" t="s">
        <v>10013</v>
      </c>
      <c r="F16889" s="2" t="str">
        <f>HYPERLINK("http://www.otzar.org/book.asp?171124","טעמי המשניות - 5 כר'")</f>
        <v>טעמי המשניות - 5 כר'</v>
      </c>
    </row>
    <row r="16890" spans="1:6" x14ac:dyDescent="0.2">
      <c r="A16890" t="s">
        <v>27937</v>
      </c>
      <c r="B16890" t="s">
        <v>27938</v>
      </c>
      <c r="C16890" t="s">
        <v>87</v>
      </c>
      <c r="D16890" t="s">
        <v>14</v>
      </c>
      <c r="E16890" t="s">
        <v>15</v>
      </c>
      <c r="F16890" s="2" t="str">
        <f>HYPERLINK("http://www.otzar.org/book.asp?189270","טעמי השחיטה")</f>
        <v>טעמי השחיטה</v>
      </c>
    </row>
    <row r="16891" spans="1:6" x14ac:dyDescent="0.2">
      <c r="A16891" t="s">
        <v>27939</v>
      </c>
      <c r="B16891" t="s">
        <v>1286</v>
      </c>
      <c r="C16891" t="s">
        <v>23</v>
      </c>
      <c r="D16891" t="s">
        <v>412</v>
      </c>
      <c r="E16891" t="s">
        <v>158</v>
      </c>
      <c r="F16891" s="2" t="str">
        <f>HYPERLINK("http://www.otzar.org/book.asp?195116","טעמי התורה - בראשית")</f>
        <v>טעמי התורה - בראשית</v>
      </c>
    </row>
    <row r="16892" spans="1:6" x14ac:dyDescent="0.2">
      <c r="A16892" t="s">
        <v>27940</v>
      </c>
      <c r="B16892" t="s">
        <v>16927</v>
      </c>
      <c r="C16892" t="s">
        <v>51</v>
      </c>
      <c r="D16892" t="s">
        <v>412</v>
      </c>
      <c r="E16892" t="s">
        <v>1517</v>
      </c>
      <c r="F16892" s="2" t="str">
        <f>HYPERLINK("http://www.otzar.org/book.asp?85926","טעמי וסודות התפילות להושענות ופיוטי שמח""ת")</f>
        <v>טעמי וסודות התפילות להושענות ופיוטי שמח"ת</v>
      </c>
    </row>
    <row r="16893" spans="1:6" x14ac:dyDescent="0.2">
      <c r="A16893" t="s">
        <v>27941</v>
      </c>
      <c r="B16893" t="s">
        <v>27942</v>
      </c>
      <c r="C16893" t="s">
        <v>1284</v>
      </c>
      <c r="D16893" t="s">
        <v>27</v>
      </c>
      <c r="E16893" t="s">
        <v>15</v>
      </c>
      <c r="F16893" s="2" t="str">
        <f>HYPERLINK("http://www.otzar.org/book.asp?15343","טעמי זבחים")</f>
        <v>טעמי זבחים</v>
      </c>
    </row>
    <row r="16894" spans="1:6" x14ac:dyDescent="0.2">
      <c r="A16894" t="s">
        <v>27943</v>
      </c>
      <c r="B16894" t="s">
        <v>6044</v>
      </c>
      <c r="C16894" t="s">
        <v>1268</v>
      </c>
      <c r="D16894" t="s">
        <v>14</v>
      </c>
      <c r="E16894" t="s">
        <v>579</v>
      </c>
      <c r="F16894" s="2" t="str">
        <f>HYPERLINK("http://www.otzar.org/book.asp?155882","טעמי מסורת המקרא")</f>
        <v>טעמי מסורת המקרא</v>
      </c>
    </row>
    <row r="16895" spans="1:6" x14ac:dyDescent="0.2">
      <c r="A16895" t="s">
        <v>27944</v>
      </c>
      <c r="B16895" t="s">
        <v>27945</v>
      </c>
      <c r="C16895" t="s">
        <v>41</v>
      </c>
      <c r="D16895" t="s">
        <v>1023</v>
      </c>
      <c r="E16895" t="s">
        <v>104</v>
      </c>
      <c r="F16895" s="2" t="str">
        <f>HYPERLINK("http://www.otzar.org/book.asp?24574","טעמי מסורת")</f>
        <v>טעמי מסורת</v>
      </c>
    </row>
    <row r="16896" spans="1:6" x14ac:dyDescent="0.2">
      <c r="A16896" t="s">
        <v>27946</v>
      </c>
      <c r="B16896" t="s">
        <v>27947</v>
      </c>
      <c r="C16896" t="s">
        <v>429</v>
      </c>
      <c r="D16896" t="s">
        <v>2276</v>
      </c>
      <c r="E16896" t="s">
        <v>674</v>
      </c>
      <c r="F16896" s="2" t="str">
        <f>HYPERLINK("http://www.otzar.org/book.asp?23584","טעמי מצות - 3 כר'")</f>
        <v>טעמי מצות - 3 כר'</v>
      </c>
    </row>
    <row r="16897" spans="1:6" x14ac:dyDescent="0.2">
      <c r="A16897" t="s">
        <v>27948</v>
      </c>
      <c r="B16897" t="s">
        <v>27949</v>
      </c>
      <c r="C16897" t="s">
        <v>854</v>
      </c>
      <c r="D16897" t="s">
        <v>352</v>
      </c>
      <c r="E16897" t="s">
        <v>234</v>
      </c>
      <c r="F16897" s="2" t="str">
        <f>HYPERLINK("http://www.otzar.org/book.asp?102477","טעמי סוכה")</f>
        <v>טעמי סוכה</v>
      </c>
    </row>
    <row r="16898" spans="1:6" x14ac:dyDescent="0.2">
      <c r="A16898" t="s">
        <v>27950</v>
      </c>
      <c r="B16898" t="s">
        <v>27951</v>
      </c>
      <c r="C16898" t="s">
        <v>244</v>
      </c>
      <c r="D16898" t="s">
        <v>14</v>
      </c>
      <c r="F16898" s="2" t="str">
        <f>HYPERLINK("http://www.otzar.org/book.asp?197213","טעמי ספר החינוך")</f>
        <v>טעמי ספר החינוך</v>
      </c>
    </row>
    <row r="16899" spans="1:6" x14ac:dyDescent="0.2">
      <c r="A16899" t="s">
        <v>27952</v>
      </c>
      <c r="B16899" t="s">
        <v>27953</v>
      </c>
      <c r="C16899" t="s">
        <v>4240</v>
      </c>
      <c r="D16899" t="s">
        <v>56</v>
      </c>
      <c r="E16899" t="s">
        <v>104</v>
      </c>
      <c r="F16899" s="2" t="str">
        <f>HYPERLINK("http://www.otzar.org/book.asp?147074","טעמי תורה")</f>
        <v>טעמי תורה</v>
      </c>
    </row>
    <row r="16900" spans="1:6" x14ac:dyDescent="0.2">
      <c r="A16900" t="s">
        <v>27952</v>
      </c>
      <c r="B16900" t="s">
        <v>27954</v>
      </c>
      <c r="C16900" t="s">
        <v>4087</v>
      </c>
      <c r="D16900" t="s">
        <v>60</v>
      </c>
      <c r="E16900" t="s">
        <v>104</v>
      </c>
      <c r="F16900" s="2" t="str">
        <f>HYPERLINK("http://www.otzar.org/book.asp?189608","טעמי תורה")</f>
        <v>טעמי תורה</v>
      </c>
    </row>
    <row r="16901" spans="1:6" x14ac:dyDescent="0.2">
      <c r="A16901" t="s">
        <v>27955</v>
      </c>
      <c r="B16901" t="s">
        <v>4837</v>
      </c>
      <c r="C16901" t="s">
        <v>332</v>
      </c>
      <c r="D16901" t="s">
        <v>21</v>
      </c>
      <c r="E16901" t="s">
        <v>579</v>
      </c>
      <c r="F16901" s="2" t="str">
        <f>HYPERLINK("http://www.otzar.org/book.asp?603217","טעמים ומשמעותם במקרא - א")</f>
        <v>טעמים ומשמעותם במקרא - א</v>
      </c>
    </row>
    <row r="16902" spans="1:6" x14ac:dyDescent="0.2">
      <c r="A16902" t="s">
        <v>27956</v>
      </c>
      <c r="B16902" t="s">
        <v>27957</v>
      </c>
      <c r="C16902" t="s">
        <v>427</v>
      </c>
      <c r="D16902" t="s">
        <v>216</v>
      </c>
      <c r="F16902" s="2" t="str">
        <f>HYPERLINK("http://www.otzar.org/book.asp?617100","טעמים וניקוד")</f>
        <v>טעמים וניקוד</v>
      </c>
    </row>
    <row r="16903" spans="1:6" x14ac:dyDescent="0.2">
      <c r="A16903" t="s">
        <v>27958</v>
      </c>
      <c r="B16903" t="s">
        <v>3089</v>
      </c>
      <c r="C16903" t="s">
        <v>27959</v>
      </c>
      <c r="D16903" t="s">
        <v>3208</v>
      </c>
      <c r="E16903" t="s">
        <v>144</v>
      </c>
      <c r="F16903" s="2" t="str">
        <f>HYPERLINK("http://www.otzar.org/book.asp?625373","טפה מן הים")</f>
        <v>טפה מן הים</v>
      </c>
    </row>
    <row r="16904" spans="1:6" x14ac:dyDescent="0.2">
      <c r="A16904" t="s">
        <v>27960</v>
      </c>
      <c r="B16904" t="s">
        <v>27961</v>
      </c>
      <c r="C16904" t="s">
        <v>1535</v>
      </c>
      <c r="D16904" t="s">
        <v>412</v>
      </c>
      <c r="E16904" t="s">
        <v>27962</v>
      </c>
      <c r="F16904" s="2" t="str">
        <f>HYPERLINK("http://www.otzar.org/book.asp?103845","טקסטים ומחקרים - גאונים ראשונים")</f>
        <v>טקסטים ומחקרים - גאונים ראשונים</v>
      </c>
    </row>
    <row r="16905" spans="1:6" x14ac:dyDescent="0.2">
      <c r="A16905" t="s">
        <v>27963</v>
      </c>
      <c r="B16905" t="s">
        <v>27964</v>
      </c>
      <c r="C16905" t="s">
        <v>37</v>
      </c>
      <c r="D16905" t="s">
        <v>115</v>
      </c>
      <c r="E16905" t="s">
        <v>202</v>
      </c>
      <c r="F16905" s="2" t="str">
        <f>HYPERLINK("http://www.otzar.org/book.asp?191067","טראבלס של מעלה - 60 כר'")</f>
        <v>טראבלס של מעלה - 60 כר'</v>
      </c>
    </row>
    <row r="16906" spans="1:6" x14ac:dyDescent="0.2">
      <c r="A16906" t="s">
        <v>27965</v>
      </c>
      <c r="B16906" t="s">
        <v>9358</v>
      </c>
      <c r="C16906" t="s">
        <v>1246</v>
      </c>
      <c r="D16906" t="s">
        <v>27966</v>
      </c>
      <c r="E16906" t="s">
        <v>2633</v>
      </c>
      <c r="F16906" s="2" t="str">
        <f>HYPERLINK("http://www.otzar.org/book.asp?63417","טרנופול - אנציקלופדיה של גלויות")</f>
        <v>טרנופול - אנציקלופדיה של גלויות</v>
      </c>
    </row>
    <row r="16907" spans="1:6" x14ac:dyDescent="0.2">
      <c r="A16907" t="s">
        <v>27967</v>
      </c>
      <c r="B16907" t="s">
        <v>9358</v>
      </c>
      <c r="C16907" t="s">
        <v>1160</v>
      </c>
      <c r="D16907" t="s">
        <v>216</v>
      </c>
      <c r="E16907" t="s">
        <v>119</v>
      </c>
      <c r="F16907" s="2" t="str">
        <f>HYPERLINK("http://www.otzar.org/book.asp?157234","טשענגר, פורצלמה וסביבתה - ספר יזכור")</f>
        <v>טשענגר, פורצלמה וסביבתה - ספר יזכור</v>
      </c>
    </row>
    <row r="16908" spans="1:6" x14ac:dyDescent="0.2">
      <c r="A16908" t="s">
        <v>27968</v>
      </c>
      <c r="B16908" t="s">
        <v>1007</v>
      </c>
      <c r="C16908" t="s">
        <v>568</v>
      </c>
      <c r="D16908" t="s">
        <v>327</v>
      </c>
      <c r="E16908" t="s">
        <v>467</v>
      </c>
      <c r="F16908" s="2" t="str">
        <f>HYPERLINK("http://www.otzar.org/book.asp?16548","י""ב דרשות לריב""א")</f>
        <v>י"ב דרשות לריב"א</v>
      </c>
    </row>
    <row r="16909" spans="1:6" x14ac:dyDescent="0.2">
      <c r="A16909" t="s">
        <v>27969</v>
      </c>
      <c r="B16909" t="s">
        <v>3286</v>
      </c>
      <c r="C16909" t="s">
        <v>356</v>
      </c>
      <c r="D16909" t="s">
        <v>52</v>
      </c>
      <c r="E16909" t="s">
        <v>27970</v>
      </c>
      <c r="F16909" s="2" t="str">
        <f>HYPERLINK("http://www.otzar.org/book.asp?12709","י""ג מאמרות")</f>
        <v>י"ג מאמרות</v>
      </c>
    </row>
    <row r="16910" spans="1:6" x14ac:dyDescent="0.2">
      <c r="A16910" t="s">
        <v>27971</v>
      </c>
      <c r="B16910" t="s">
        <v>27972</v>
      </c>
      <c r="C16910" t="s">
        <v>411</v>
      </c>
      <c r="D16910" t="s">
        <v>52</v>
      </c>
      <c r="F16910" s="2" t="str">
        <f>HYPERLINK("http://www.otzar.org/book.asp?603676","י""ג מידות של רחמים")</f>
        <v>י"ג מידות של רחמים</v>
      </c>
    </row>
    <row r="16911" spans="1:6" x14ac:dyDescent="0.2">
      <c r="A16911" t="s">
        <v>27973</v>
      </c>
      <c r="B16911" t="s">
        <v>27974</v>
      </c>
      <c r="C16911" t="s">
        <v>146</v>
      </c>
      <c r="D16911" t="s">
        <v>134</v>
      </c>
      <c r="E16911" t="s">
        <v>241</v>
      </c>
      <c r="F16911" s="2" t="str">
        <f>HYPERLINK("http://www.otzar.org/book.asp?159554","י""ג עיקרי האמונה עם פירוש חזון יואל")</f>
        <v>י"ג עיקרי האמונה עם פירוש חזון יואל</v>
      </c>
    </row>
    <row r="16912" spans="1:6" x14ac:dyDescent="0.2">
      <c r="A16912" t="s">
        <v>27975</v>
      </c>
      <c r="B16912" t="s">
        <v>27976</v>
      </c>
      <c r="C16912" t="s">
        <v>422</v>
      </c>
      <c r="D16912" t="s">
        <v>14</v>
      </c>
      <c r="E16912" t="s">
        <v>241</v>
      </c>
      <c r="F16912" s="2" t="str">
        <f>HYPERLINK("http://www.otzar.org/book.asp?152483","י""ג עיקרים להרמב""ם עם ביאור הקדמות ושערים")</f>
        <v>י"ג עיקרים להרמב"ם עם ביאור הקדמות ושערים</v>
      </c>
    </row>
    <row r="16913" spans="1:6" x14ac:dyDescent="0.2">
      <c r="A16913" t="s">
        <v>27977</v>
      </c>
      <c r="B16913" t="s">
        <v>27978</v>
      </c>
      <c r="C16913" t="s">
        <v>617</v>
      </c>
      <c r="D16913" t="s">
        <v>76</v>
      </c>
      <c r="E16913" t="s">
        <v>5778</v>
      </c>
      <c r="F16913" s="2" t="str">
        <f>HYPERLINK("http://www.otzar.org/book.asp?101411","יאודה יעלה")</f>
        <v>יאודה יעלה</v>
      </c>
    </row>
    <row r="16914" spans="1:6" x14ac:dyDescent="0.2">
      <c r="A16914" t="s">
        <v>27979</v>
      </c>
      <c r="B16914" t="s">
        <v>3057</v>
      </c>
      <c r="C16914" t="s">
        <v>5903</v>
      </c>
      <c r="D16914" t="s">
        <v>283</v>
      </c>
      <c r="E16914" t="s">
        <v>104</v>
      </c>
      <c r="F16914" s="2" t="str">
        <f>HYPERLINK("http://www.otzar.org/book.asp?100585","יאיר אור - 2 כר'")</f>
        <v>יאיר אור - 2 כר'</v>
      </c>
    </row>
    <row r="16915" spans="1:6" x14ac:dyDescent="0.2">
      <c r="A16915" t="s">
        <v>27980</v>
      </c>
      <c r="B16915" t="s">
        <v>27981</v>
      </c>
      <c r="C16915" t="s">
        <v>189</v>
      </c>
      <c r="D16915" t="s">
        <v>52</v>
      </c>
      <c r="E16915" t="s">
        <v>144</v>
      </c>
      <c r="F16915" s="2" t="str">
        <f>HYPERLINK("http://www.otzar.org/book.asp?159380","יאיר אור")</f>
        <v>יאיר אור</v>
      </c>
    </row>
    <row r="16916" spans="1:6" x14ac:dyDescent="0.2">
      <c r="A16916" t="s">
        <v>27982</v>
      </c>
      <c r="B16916" t="s">
        <v>1402</v>
      </c>
      <c r="C16916" t="s">
        <v>151</v>
      </c>
      <c r="D16916" t="s">
        <v>21</v>
      </c>
      <c r="E16916" t="s">
        <v>158</v>
      </c>
      <c r="F16916" s="2" t="str">
        <f>HYPERLINK("http://www.otzar.org/book.asp?621825","יאיר דעת - 2 כר'")</f>
        <v>יאיר דעת - 2 כר'</v>
      </c>
    </row>
    <row r="16917" spans="1:6" x14ac:dyDescent="0.2">
      <c r="A16917" t="s">
        <v>27983</v>
      </c>
      <c r="B16917" t="s">
        <v>27984</v>
      </c>
      <c r="C16917" t="s">
        <v>624</v>
      </c>
      <c r="D16917" t="s">
        <v>52</v>
      </c>
      <c r="E16917" t="s">
        <v>144</v>
      </c>
      <c r="F16917" s="2" t="str">
        <f>HYPERLINK("http://www.otzar.org/book.asp?174082","יאיר דרך - פרק ארבעה אבות")</f>
        <v>יאיר דרך - פרק ארבעה אבות</v>
      </c>
    </row>
    <row r="16918" spans="1:6" x14ac:dyDescent="0.2">
      <c r="A16918" t="s">
        <v>27985</v>
      </c>
      <c r="B16918" t="s">
        <v>1402</v>
      </c>
      <c r="C16918" t="s">
        <v>20</v>
      </c>
      <c r="D16918" t="s">
        <v>52</v>
      </c>
      <c r="E16918" t="s">
        <v>219</v>
      </c>
      <c r="F16918" s="2" t="str">
        <f>HYPERLINK("http://www.otzar.org/book.asp?157883","יאיר הבוקר - ביאור תפילת נשמת")</f>
        <v>יאיר הבוקר - ביאור תפילת נשמת</v>
      </c>
    </row>
    <row r="16919" spans="1:6" x14ac:dyDescent="0.2">
      <c r="A16919" t="s">
        <v>27986</v>
      </c>
      <c r="B16919" t="s">
        <v>27987</v>
      </c>
      <c r="C16919" t="s">
        <v>37</v>
      </c>
      <c r="D16919" t="s">
        <v>6853</v>
      </c>
      <c r="E16919" t="s">
        <v>172</v>
      </c>
      <c r="F16919" s="2" t="str">
        <f>HYPERLINK("http://www.otzar.org/book.asp?607105","יאיר השולחן - 2 כר'")</f>
        <v>יאיר השולחן - 2 כר'</v>
      </c>
    </row>
    <row r="16920" spans="1:6" x14ac:dyDescent="0.2">
      <c r="A16920" t="s">
        <v>27988</v>
      </c>
      <c r="B16920" t="s">
        <v>27989</v>
      </c>
      <c r="C16920" t="s">
        <v>68</v>
      </c>
      <c r="D16920" t="s">
        <v>486</v>
      </c>
      <c r="E16920" t="s">
        <v>172</v>
      </c>
      <c r="F16920" s="2" t="str">
        <f>HYPERLINK("http://www.otzar.org/book.asp?182498","יאיר חיים")</f>
        <v>יאיר חיים</v>
      </c>
    </row>
    <row r="16921" spans="1:6" x14ac:dyDescent="0.2">
      <c r="A16921" t="s">
        <v>27990</v>
      </c>
      <c r="B16921" t="s">
        <v>27991</v>
      </c>
      <c r="C16921" t="s">
        <v>553</v>
      </c>
      <c r="D16921" t="s">
        <v>27</v>
      </c>
      <c r="E16921" t="s">
        <v>674</v>
      </c>
      <c r="F16921" s="2" t="str">
        <f>HYPERLINK("http://www.otzar.org/book.asp?152375","יאיר מבין")</f>
        <v>יאיר מבין</v>
      </c>
    </row>
    <row r="16922" spans="1:6" x14ac:dyDescent="0.2">
      <c r="A16922" t="s">
        <v>27990</v>
      </c>
      <c r="B16922" t="s">
        <v>27830</v>
      </c>
      <c r="C16922" t="s">
        <v>20</v>
      </c>
      <c r="D16922" t="s">
        <v>90</v>
      </c>
      <c r="E16922" t="s">
        <v>399</v>
      </c>
      <c r="F16922" s="2" t="str">
        <f>HYPERLINK("http://www.otzar.org/book.asp?622526","יאיר מבין")</f>
        <v>יאיר מבין</v>
      </c>
    </row>
    <row r="16923" spans="1:6" x14ac:dyDescent="0.2">
      <c r="A16923" t="s">
        <v>27992</v>
      </c>
      <c r="B16923" t="s">
        <v>27993</v>
      </c>
      <c r="C16923" t="s">
        <v>129</v>
      </c>
      <c r="D16923" t="s">
        <v>14</v>
      </c>
      <c r="E16923" t="s">
        <v>172</v>
      </c>
      <c r="F16923" s="2" t="str">
        <f>HYPERLINK("http://www.otzar.org/book.asp?166148","יאיר משפט - 2 כר'")</f>
        <v>יאיר משפט - 2 כר'</v>
      </c>
    </row>
    <row r="16924" spans="1:6" x14ac:dyDescent="0.2">
      <c r="A16924" t="s">
        <v>27994</v>
      </c>
      <c r="B16924" t="s">
        <v>686</v>
      </c>
      <c r="C16924" t="s">
        <v>133</v>
      </c>
      <c r="D16924" t="s">
        <v>52</v>
      </c>
      <c r="E16924" t="s">
        <v>104</v>
      </c>
      <c r="F16924" s="2" t="str">
        <f>HYPERLINK("http://www.otzar.org/book.asp?175968","יאיר נרי")</f>
        <v>יאיר נרי</v>
      </c>
    </row>
    <row r="16925" spans="1:6" x14ac:dyDescent="0.2">
      <c r="A16925" t="s">
        <v>27994</v>
      </c>
      <c r="B16925" t="s">
        <v>3727</v>
      </c>
      <c r="C16925" t="s">
        <v>37</v>
      </c>
      <c r="D16925" t="s">
        <v>52</v>
      </c>
      <c r="E16925" t="s">
        <v>246</v>
      </c>
      <c r="F16925" s="2" t="str">
        <f>HYPERLINK("http://www.otzar.org/book.asp?179975","יאיר נרי")</f>
        <v>יאיר נרי</v>
      </c>
    </row>
    <row r="16926" spans="1:6" x14ac:dyDescent="0.2">
      <c r="A16926" t="s">
        <v>27995</v>
      </c>
      <c r="B16926" t="s">
        <v>13483</v>
      </c>
      <c r="C16926" t="s">
        <v>1177</v>
      </c>
      <c r="D16926" t="s">
        <v>283</v>
      </c>
      <c r="E16926" t="s">
        <v>15</v>
      </c>
      <c r="F16926" s="2" t="str">
        <f>HYPERLINK("http://www.otzar.org/book.asp?101410","יאיר נתיב &lt;דברי מרדכי&gt;")</f>
        <v>יאיר נתיב &lt;דברי מרדכי&gt;</v>
      </c>
    </row>
    <row r="16927" spans="1:6" x14ac:dyDescent="0.2">
      <c r="A16927" t="s">
        <v>27996</v>
      </c>
      <c r="B16927" t="s">
        <v>13483</v>
      </c>
      <c r="C16927" t="s">
        <v>13</v>
      </c>
      <c r="D16927" t="s">
        <v>14</v>
      </c>
      <c r="E16927" t="s">
        <v>15</v>
      </c>
      <c r="F16927" s="2" t="str">
        <f>HYPERLINK("http://www.otzar.org/book.asp?64091","יאיר נתיב &lt;מהדורת ישמח לב&gt;")</f>
        <v>יאיר נתיב &lt;מהדורת ישמח לב&gt;</v>
      </c>
    </row>
    <row r="16928" spans="1:6" x14ac:dyDescent="0.2">
      <c r="A16928" t="s">
        <v>27997</v>
      </c>
      <c r="B16928" t="s">
        <v>13483</v>
      </c>
      <c r="C16928" t="s">
        <v>635</v>
      </c>
      <c r="D16928" t="s">
        <v>283</v>
      </c>
      <c r="E16928" t="s">
        <v>15</v>
      </c>
      <c r="F16928" s="2" t="str">
        <f>HYPERLINK("http://www.otzar.org/book.asp?107026","יאיר נתיב")</f>
        <v>יאיר נתיב</v>
      </c>
    </row>
    <row r="16929" spans="1:6" x14ac:dyDescent="0.2">
      <c r="A16929" t="s">
        <v>27997</v>
      </c>
      <c r="B16929" t="s">
        <v>1949</v>
      </c>
      <c r="C16929" t="s">
        <v>725</v>
      </c>
      <c r="D16929" t="s">
        <v>27</v>
      </c>
      <c r="E16929" t="s">
        <v>27998</v>
      </c>
      <c r="F16929" s="2" t="str">
        <f>HYPERLINK("http://www.otzar.org/book.asp?13646","יאיר נתיב")</f>
        <v>יאיר נתיב</v>
      </c>
    </row>
    <row r="16930" spans="1:6" x14ac:dyDescent="0.2">
      <c r="A16930" t="s">
        <v>27999</v>
      </c>
      <c r="B16930" t="s">
        <v>28000</v>
      </c>
      <c r="C16930" t="s">
        <v>151</v>
      </c>
      <c r="D16930" t="s">
        <v>14</v>
      </c>
      <c r="E16930" t="s">
        <v>154</v>
      </c>
      <c r="F16930" s="2" t="str">
        <f>HYPERLINK("http://www.otzar.org/book.asp?625530","יאיר נתיב - א")</f>
        <v>יאיר נתיב - א</v>
      </c>
    </row>
    <row r="16931" spans="1:6" x14ac:dyDescent="0.2">
      <c r="A16931" t="s">
        <v>27997</v>
      </c>
      <c r="B16931" t="s">
        <v>28001</v>
      </c>
      <c r="C16931" t="s">
        <v>20</v>
      </c>
      <c r="D16931" t="s">
        <v>486</v>
      </c>
      <c r="F16931" s="2" t="str">
        <f>HYPERLINK("http://www.otzar.org/book.asp?614466","יאיר נתיב")</f>
        <v>יאיר נתיב</v>
      </c>
    </row>
    <row r="16932" spans="1:6" x14ac:dyDescent="0.2">
      <c r="A16932" t="s">
        <v>28002</v>
      </c>
      <c r="B16932" t="s">
        <v>1402</v>
      </c>
      <c r="C16932" t="s">
        <v>454</v>
      </c>
      <c r="D16932" t="s">
        <v>52</v>
      </c>
      <c r="E16932" t="s">
        <v>84</v>
      </c>
      <c r="F16932" s="2" t="str">
        <f>HYPERLINK("http://www.otzar.org/book.asp?60036","יאיר נתיבות - 3 כר'")</f>
        <v>יאיר נתיבות - 3 כר'</v>
      </c>
    </row>
    <row r="16933" spans="1:6" x14ac:dyDescent="0.2">
      <c r="A16933" t="s">
        <v>28003</v>
      </c>
      <c r="B16933" t="s">
        <v>627</v>
      </c>
      <c r="C16933" t="s">
        <v>466</v>
      </c>
      <c r="D16933" t="s">
        <v>14</v>
      </c>
      <c r="E16933" t="s">
        <v>241</v>
      </c>
      <c r="F16933" s="2" t="str">
        <f>HYPERLINK("http://www.otzar.org/book.asp?25773","יאיר נתיבות - 2 כר'")</f>
        <v>יאיר נתיבות - 2 כר'</v>
      </c>
    </row>
    <row r="16934" spans="1:6" x14ac:dyDescent="0.2">
      <c r="A16934" t="s">
        <v>28004</v>
      </c>
      <c r="B16934" t="s">
        <v>28005</v>
      </c>
      <c r="C16934" t="s">
        <v>176</v>
      </c>
      <c r="D16934" t="s">
        <v>52</v>
      </c>
      <c r="E16934" t="s">
        <v>144</v>
      </c>
      <c r="F16934" s="2" t="str">
        <f>HYPERLINK("http://www.otzar.org/book.asp?85662","יאיר נתיבים")</f>
        <v>יאיר נתיבים</v>
      </c>
    </row>
    <row r="16935" spans="1:6" x14ac:dyDescent="0.2">
      <c r="A16935" t="s">
        <v>28006</v>
      </c>
      <c r="B16935" t="s">
        <v>1402</v>
      </c>
      <c r="C16935" t="s">
        <v>103</v>
      </c>
      <c r="D16935" t="s">
        <v>52</v>
      </c>
      <c r="E16935" t="s">
        <v>219</v>
      </c>
      <c r="F16935" s="2" t="str">
        <f>HYPERLINK("http://www.otzar.org/book.asp?157866","יאיר שיח - ביאורי תפילה")</f>
        <v>יאיר שיח - ביאורי תפילה</v>
      </c>
    </row>
    <row r="16936" spans="1:6" x14ac:dyDescent="0.2">
      <c r="A16936" t="s">
        <v>28007</v>
      </c>
      <c r="B16936" t="s">
        <v>4918</v>
      </c>
      <c r="C16936" t="s">
        <v>466</v>
      </c>
      <c r="D16936" t="s">
        <v>4919</v>
      </c>
      <c r="E16936" t="s">
        <v>158</v>
      </c>
      <c r="F16936" s="2" t="str">
        <f>HYPERLINK("http://www.otzar.org/book.asp?63973","יאיר שמשי - 2 כר'")</f>
        <v>יאיר שמשי - 2 כר'</v>
      </c>
    </row>
    <row r="16937" spans="1:6" x14ac:dyDescent="0.2">
      <c r="A16937" t="s">
        <v>28008</v>
      </c>
      <c r="B16937" t="s">
        <v>27582</v>
      </c>
      <c r="C16937" t="s">
        <v>411</v>
      </c>
      <c r="D16937" t="s">
        <v>1156</v>
      </c>
      <c r="E16937" t="s">
        <v>399</v>
      </c>
      <c r="F16937" s="2" t="str">
        <f>HYPERLINK("http://www.otzar.org/book.asp?173616","יאירו שבעת הנרות")</f>
        <v>יאירו שבעת הנרות</v>
      </c>
    </row>
    <row r="16938" spans="1:6" x14ac:dyDescent="0.2">
      <c r="A16938" t="s">
        <v>28009</v>
      </c>
      <c r="B16938" t="s">
        <v>2325</v>
      </c>
      <c r="C16938" t="s">
        <v>244</v>
      </c>
      <c r="D16938" t="s">
        <v>28010</v>
      </c>
      <c r="F16938" s="2" t="str">
        <f>HYPERLINK("http://www.otzar.org/book.asp?609543","יאכלו ענוים וישבעו - 2 כר'")</f>
        <v>יאכלו ענוים וישבעו - 2 כר'</v>
      </c>
    </row>
    <row r="16939" spans="1:6" x14ac:dyDescent="0.2">
      <c r="A16939" t="s">
        <v>28011</v>
      </c>
      <c r="B16939" t="s">
        <v>28012</v>
      </c>
      <c r="C16939" t="s">
        <v>114</v>
      </c>
      <c r="D16939" t="s">
        <v>52</v>
      </c>
      <c r="F16939" s="2" t="str">
        <f>HYPERLINK("http://www.otzar.org/book.asp?198440","יאמר בספר - בכורות")</f>
        <v>יאמר בספר - בכורות</v>
      </c>
    </row>
    <row r="16940" spans="1:6" x14ac:dyDescent="0.2">
      <c r="A16940" t="s">
        <v>28013</v>
      </c>
      <c r="B16940" t="s">
        <v>28014</v>
      </c>
      <c r="C16940" t="s">
        <v>71</v>
      </c>
      <c r="E16940" t="s">
        <v>1211</v>
      </c>
      <c r="F16940" s="2" t="str">
        <f>HYPERLINK("http://www.otzar.org/book.asp?195977","יאמר ליעקב ולישראל")</f>
        <v>יאמר ליעקב ולישראל</v>
      </c>
    </row>
    <row r="16941" spans="1:6" x14ac:dyDescent="0.2">
      <c r="A16941" t="s">
        <v>28015</v>
      </c>
      <c r="B16941" t="s">
        <v>13019</v>
      </c>
      <c r="C16941" t="s">
        <v>133</v>
      </c>
      <c r="D16941" t="s">
        <v>147</v>
      </c>
      <c r="F16941" s="2" t="str">
        <f>HYPERLINK("http://www.otzar.org/book.asp?177210","יאמרו גאולי ה' - 3 כר'")</f>
        <v>יאמרו גאולי ה' - 3 כר'</v>
      </c>
    </row>
    <row r="16942" spans="1:6" x14ac:dyDescent="0.2">
      <c r="A16942" t="s">
        <v>28016</v>
      </c>
      <c r="B16942" t="s">
        <v>28017</v>
      </c>
      <c r="C16942" t="s">
        <v>133</v>
      </c>
      <c r="D16942" t="s">
        <v>152</v>
      </c>
      <c r="F16942" s="2" t="str">
        <f>HYPERLINK("http://www.otzar.org/book.asp?616198","יאמרו המושלים - 8 כר'")</f>
        <v>יאמרו המושלים - 8 כר'</v>
      </c>
    </row>
    <row r="16943" spans="1:6" x14ac:dyDescent="0.2">
      <c r="A16943" t="s">
        <v>28018</v>
      </c>
      <c r="B16943" t="s">
        <v>28019</v>
      </c>
      <c r="C16943" t="s">
        <v>51</v>
      </c>
      <c r="D16943" t="s">
        <v>52</v>
      </c>
      <c r="E16943" t="s">
        <v>104</v>
      </c>
      <c r="F16943" s="2" t="str">
        <f>HYPERLINK("http://www.otzar.org/book.asp?61393","יאמרו המושלים")</f>
        <v>יאמרו המושלים</v>
      </c>
    </row>
    <row r="16944" spans="1:6" x14ac:dyDescent="0.2">
      <c r="A16944" t="s">
        <v>28020</v>
      </c>
      <c r="B16944" t="s">
        <v>28021</v>
      </c>
      <c r="C16944" t="s">
        <v>37</v>
      </c>
      <c r="D16944" t="s">
        <v>152</v>
      </c>
      <c r="E16944" t="s">
        <v>144</v>
      </c>
      <c r="F16944" s="2" t="str">
        <f>HYPERLINK("http://www.otzar.org/book.asp?194096","יאר ה'")</f>
        <v>יאר ה'</v>
      </c>
    </row>
    <row r="16945" spans="1:6" x14ac:dyDescent="0.2">
      <c r="A16945" t="s">
        <v>28022</v>
      </c>
      <c r="B16945" t="s">
        <v>4923</v>
      </c>
      <c r="C16945" t="s">
        <v>585</v>
      </c>
      <c r="D16945" t="s">
        <v>14</v>
      </c>
      <c r="E16945" t="s">
        <v>4104</v>
      </c>
      <c r="F16945" s="2" t="str">
        <f>HYPERLINK("http://www.otzar.org/book.asp?13113","יאר הפסיק - לבאר הפסיקים שבתורה")</f>
        <v>יאר הפסיק - לבאר הפסיקים שבתורה</v>
      </c>
    </row>
    <row r="16946" spans="1:6" x14ac:dyDescent="0.2">
      <c r="A16946" t="s">
        <v>28023</v>
      </c>
      <c r="B16946" t="s">
        <v>28024</v>
      </c>
      <c r="C16946" t="s">
        <v>111</v>
      </c>
      <c r="D16946" t="s">
        <v>90</v>
      </c>
      <c r="E16946" t="s">
        <v>246</v>
      </c>
      <c r="F16946" s="2" t="str">
        <f>HYPERLINK("http://www.otzar.org/book.asp?627412","יאר יעקב")</f>
        <v>יאר יעקב</v>
      </c>
    </row>
    <row r="16947" spans="1:6" x14ac:dyDescent="0.2">
      <c r="A16947" t="s">
        <v>28025</v>
      </c>
      <c r="B16947" t="s">
        <v>28026</v>
      </c>
      <c r="C16947" t="s">
        <v>151</v>
      </c>
      <c r="D16947" t="s">
        <v>52</v>
      </c>
      <c r="F16947" s="2" t="str">
        <f>HYPERLINK("http://www.otzar.org/book.asp?616717","יאר יצחק")</f>
        <v>יאר יצחק</v>
      </c>
    </row>
    <row r="16948" spans="1:6" x14ac:dyDescent="0.2">
      <c r="A16948" t="s">
        <v>28027</v>
      </c>
      <c r="B16948" t="s">
        <v>28028</v>
      </c>
      <c r="C16948" t="s">
        <v>151</v>
      </c>
      <c r="D16948" t="s">
        <v>52</v>
      </c>
      <c r="E16948" t="s">
        <v>144</v>
      </c>
      <c r="F16948" s="2" t="str">
        <f>HYPERLINK("http://www.otzar.org/book.asp?629316","יאר פנים - עבודה זרה")</f>
        <v>יאר פנים - עבודה זרה</v>
      </c>
    </row>
    <row r="16949" spans="1:6" x14ac:dyDescent="0.2">
      <c r="A16949" t="s">
        <v>28029</v>
      </c>
      <c r="B16949" t="s">
        <v>28030</v>
      </c>
      <c r="C16949" t="s">
        <v>75</v>
      </c>
      <c r="D16949" t="s">
        <v>1490</v>
      </c>
      <c r="E16949" t="s">
        <v>28031</v>
      </c>
      <c r="F16949" s="2" t="str">
        <f>HYPERLINK("http://www.otzar.org/book.asp?101409","יבא הלוי")</f>
        <v>יבא הלוי</v>
      </c>
    </row>
    <row r="16950" spans="1:6" x14ac:dyDescent="0.2">
      <c r="A16950" t="s">
        <v>28032</v>
      </c>
      <c r="B16950" t="s">
        <v>28033</v>
      </c>
      <c r="C16950" t="s">
        <v>28034</v>
      </c>
      <c r="D16950" t="s">
        <v>3627</v>
      </c>
      <c r="E16950" t="s">
        <v>1880</v>
      </c>
      <c r="F16950" s="2" t="str">
        <f>HYPERLINK("http://www.otzar.org/book.asp?24575","יבא חיים - 2 כר'")</f>
        <v>יבא חיים - 2 כר'</v>
      </c>
    </row>
    <row r="16951" spans="1:6" x14ac:dyDescent="0.2">
      <c r="A16951" t="s">
        <v>28035</v>
      </c>
      <c r="B16951" t="s">
        <v>28036</v>
      </c>
      <c r="C16951" t="s">
        <v>37</v>
      </c>
      <c r="D16951" t="s">
        <v>14</v>
      </c>
      <c r="E16951" t="s">
        <v>154</v>
      </c>
      <c r="F16951" s="2" t="str">
        <f>HYPERLINK("http://www.otzar.org/book.asp?183082","יבא ידיד - א")</f>
        <v>יבא ידיד - א</v>
      </c>
    </row>
    <row r="16952" spans="1:6" x14ac:dyDescent="0.2">
      <c r="A16952" t="s">
        <v>28037</v>
      </c>
      <c r="B16952" t="s">
        <v>28038</v>
      </c>
      <c r="C16952" t="s">
        <v>151</v>
      </c>
      <c r="D16952" t="s">
        <v>14</v>
      </c>
      <c r="E16952" t="s">
        <v>154</v>
      </c>
      <c r="F16952" s="2" t="str">
        <f>HYPERLINK("http://www.otzar.org/book.asp?621065","יבא ידיד - ב")</f>
        <v>יבא ידיד - ב</v>
      </c>
    </row>
    <row r="16953" spans="1:6" x14ac:dyDescent="0.2">
      <c r="A16953" t="s">
        <v>28039</v>
      </c>
      <c r="B16953" t="s">
        <v>28040</v>
      </c>
      <c r="C16953" t="s">
        <v>99</v>
      </c>
      <c r="D16953" t="s">
        <v>3293</v>
      </c>
      <c r="E16953" t="s">
        <v>28041</v>
      </c>
      <c r="F16953" s="2" t="str">
        <f>HYPERLINK("http://www.otzar.org/book.asp?18841","יבא שילה")</f>
        <v>יבא שילה</v>
      </c>
    </row>
    <row r="16954" spans="1:6" x14ac:dyDescent="0.2">
      <c r="A16954" t="s">
        <v>28042</v>
      </c>
      <c r="B16954" t="s">
        <v>7097</v>
      </c>
      <c r="C16954" t="s">
        <v>114</v>
      </c>
      <c r="D16954" t="s">
        <v>152</v>
      </c>
      <c r="E16954" t="s">
        <v>246</v>
      </c>
      <c r="F16954" s="2" t="str">
        <f>HYPERLINK("http://www.otzar.org/book.asp?166068","יבא שילה - שבת קודש")</f>
        <v>יבא שילה - שבת קודש</v>
      </c>
    </row>
    <row r="16955" spans="1:6" x14ac:dyDescent="0.2">
      <c r="A16955" t="s">
        <v>28043</v>
      </c>
      <c r="B16955" t="s">
        <v>28044</v>
      </c>
      <c r="C16955" t="s">
        <v>1268</v>
      </c>
      <c r="D16955" t="s">
        <v>216</v>
      </c>
      <c r="E16955" t="s">
        <v>172</v>
      </c>
      <c r="F16955" s="2" t="str">
        <f>HYPERLINK("http://www.otzar.org/book.asp?169208","יבא שילה - 2 כר'")</f>
        <v>יבא שילה - 2 כר'</v>
      </c>
    </row>
    <row r="16956" spans="1:6" x14ac:dyDescent="0.2">
      <c r="A16956" t="s">
        <v>28045</v>
      </c>
      <c r="B16956" t="s">
        <v>28046</v>
      </c>
      <c r="C16956" t="s">
        <v>940</v>
      </c>
      <c r="D16956" t="s">
        <v>412</v>
      </c>
      <c r="E16956" t="s">
        <v>202</v>
      </c>
      <c r="F16956" s="2" t="str">
        <f>HYPERLINK("http://www.otzar.org/book.asp?175759","יבול היובלות")</f>
        <v>יבול היובלות</v>
      </c>
    </row>
    <row r="16957" spans="1:6" x14ac:dyDescent="0.2">
      <c r="A16957" t="s">
        <v>28047</v>
      </c>
      <c r="B16957" t="s">
        <v>28048</v>
      </c>
      <c r="C16957" t="s">
        <v>17</v>
      </c>
      <c r="D16957" t="s">
        <v>9426</v>
      </c>
      <c r="E16957" t="s">
        <v>24256</v>
      </c>
      <c r="F16957" s="2" t="str">
        <f>HYPERLINK("http://www.otzar.org/book.asp?60587","יבולי השדה - א")</f>
        <v>יבולי השדה - א</v>
      </c>
    </row>
    <row r="16958" spans="1:6" x14ac:dyDescent="0.2">
      <c r="A16958" t="s">
        <v>28049</v>
      </c>
      <c r="B16958" t="s">
        <v>28050</v>
      </c>
      <c r="C16958" t="s">
        <v>13</v>
      </c>
      <c r="D16958" t="s">
        <v>21</v>
      </c>
      <c r="E16958" t="s">
        <v>15</v>
      </c>
      <c r="F16958" s="2" t="str">
        <f>HYPERLINK("http://www.otzar.org/book.asp?600147","יבולי רון")</f>
        <v>יבולי רון</v>
      </c>
    </row>
    <row r="16959" spans="1:6" x14ac:dyDescent="0.2">
      <c r="A16959" t="s">
        <v>28051</v>
      </c>
      <c r="B16959" t="s">
        <v>28052</v>
      </c>
      <c r="C16959" t="s">
        <v>1437</v>
      </c>
      <c r="D16959" t="s">
        <v>889</v>
      </c>
      <c r="E16959" t="s">
        <v>15</v>
      </c>
      <c r="F16959" s="2" t="str">
        <f>HYPERLINK("http://www.otzar.org/book.asp?22358","יבורך גבר")</f>
        <v>יבורך גבר</v>
      </c>
    </row>
    <row r="16960" spans="1:6" x14ac:dyDescent="0.2">
      <c r="A16960" t="s">
        <v>28053</v>
      </c>
      <c r="B16960" t="s">
        <v>28054</v>
      </c>
      <c r="C16960" t="s">
        <v>767</v>
      </c>
      <c r="E16960" t="s">
        <v>213</v>
      </c>
      <c r="F16960" s="2" t="str">
        <f>HYPERLINK("http://www.otzar.org/book.asp?84606","יבחר וידבש")</f>
        <v>יבחר וידבש</v>
      </c>
    </row>
    <row r="16961" spans="1:6" x14ac:dyDescent="0.2">
      <c r="A16961" t="s">
        <v>28055</v>
      </c>
      <c r="B16961" t="s">
        <v>28056</v>
      </c>
      <c r="C16961" t="s">
        <v>37</v>
      </c>
      <c r="D16961" t="s">
        <v>90</v>
      </c>
      <c r="F16961" s="2" t="str">
        <f>HYPERLINK("http://www.otzar.org/book.asp?181892","יבין דעה")</f>
        <v>יבין דעה</v>
      </c>
    </row>
    <row r="16962" spans="1:6" x14ac:dyDescent="0.2">
      <c r="A16962" t="s">
        <v>28057</v>
      </c>
      <c r="B16962" t="s">
        <v>28058</v>
      </c>
      <c r="C16962" t="s">
        <v>619</v>
      </c>
      <c r="D16962" t="s">
        <v>18723</v>
      </c>
      <c r="E16962" t="s">
        <v>28059</v>
      </c>
      <c r="F16962" s="2" t="str">
        <f>HYPERLINK("http://www.otzar.org/book.asp?155047","יבין דעת &lt;חסדי אבות - גרם המעלות&gt;")</f>
        <v>יבין דעת &lt;חסדי אבות - גרם המעלות&gt;</v>
      </c>
    </row>
    <row r="16963" spans="1:6" x14ac:dyDescent="0.2">
      <c r="A16963" t="s">
        <v>28060</v>
      </c>
      <c r="B16963" t="s">
        <v>28061</v>
      </c>
      <c r="C16963" t="s">
        <v>151</v>
      </c>
      <c r="D16963" t="s">
        <v>14</v>
      </c>
      <c r="E16963" t="s">
        <v>28062</v>
      </c>
      <c r="F16963" s="2" t="str">
        <f>HYPERLINK("http://www.otzar.org/book.asp?620833","יבין שמועה &lt;מהדורת אהבת שלום&gt;")</f>
        <v>יבין שמועה &lt;מהדורת אהבת שלום&gt;</v>
      </c>
    </row>
    <row r="16964" spans="1:6" x14ac:dyDescent="0.2">
      <c r="A16964" t="s">
        <v>28063</v>
      </c>
      <c r="B16964" t="s">
        <v>2620</v>
      </c>
      <c r="C16964" t="s">
        <v>422</v>
      </c>
      <c r="D16964" t="s">
        <v>14</v>
      </c>
      <c r="E16964" t="s">
        <v>15</v>
      </c>
      <c r="F16964" s="2" t="str">
        <f>HYPERLINK("http://www.otzar.org/book.asp?154634","יבין שמועה &lt;מהדורה חדשה&gt;")</f>
        <v>יבין שמועה &lt;מהדורה חדשה&gt;</v>
      </c>
    </row>
    <row r="16965" spans="1:6" x14ac:dyDescent="0.2">
      <c r="A16965" t="s">
        <v>28064</v>
      </c>
      <c r="B16965" t="s">
        <v>2620</v>
      </c>
      <c r="C16965" t="s">
        <v>244</v>
      </c>
      <c r="D16965" t="s">
        <v>2319</v>
      </c>
      <c r="F16965" s="2" t="str">
        <f>HYPERLINK("http://www.otzar.org/book.asp?616427","יבין שמועה &lt;מכון שלמה אומן&gt;")</f>
        <v>יבין שמועה &lt;מכון שלמה אומן&gt;</v>
      </c>
    </row>
    <row r="16966" spans="1:6" x14ac:dyDescent="0.2">
      <c r="A16966" t="s">
        <v>28065</v>
      </c>
      <c r="B16966" t="s">
        <v>28066</v>
      </c>
      <c r="C16966" t="s">
        <v>114</v>
      </c>
      <c r="D16966" t="s">
        <v>486</v>
      </c>
      <c r="E16966" t="s">
        <v>172</v>
      </c>
      <c r="F16966" s="2" t="str">
        <f>HYPERLINK("http://www.otzar.org/book.asp?174571","יבין שמועה - יורה דעה")</f>
        <v>יבין שמועה - יורה דעה</v>
      </c>
    </row>
    <row r="16967" spans="1:6" x14ac:dyDescent="0.2">
      <c r="A16967" t="s">
        <v>28067</v>
      </c>
      <c r="B16967" t="s">
        <v>28061</v>
      </c>
      <c r="C16967" t="s">
        <v>189</v>
      </c>
      <c r="D16967" t="s">
        <v>14</v>
      </c>
      <c r="E16967" t="s">
        <v>144</v>
      </c>
      <c r="F16967" s="2" t="str">
        <f>HYPERLINK("http://www.otzar.org/book.asp?63175","יבין שמועה - 2 כר'")</f>
        <v>יבין שמועה - 2 כר'</v>
      </c>
    </row>
    <row r="16968" spans="1:6" x14ac:dyDescent="0.2">
      <c r="A16968" t="s">
        <v>28068</v>
      </c>
      <c r="B16968" t="s">
        <v>28069</v>
      </c>
      <c r="C16968" t="s">
        <v>244</v>
      </c>
      <c r="D16968" t="s">
        <v>80</v>
      </c>
      <c r="E16968" t="s">
        <v>172</v>
      </c>
      <c r="F16968" s="2" t="str">
        <f>HYPERLINK("http://www.otzar.org/book.asp?601195","יבין שמועה")</f>
        <v>יבין שמועה</v>
      </c>
    </row>
    <row r="16969" spans="1:6" x14ac:dyDescent="0.2">
      <c r="A16969" t="s">
        <v>28068</v>
      </c>
      <c r="B16969" t="s">
        <v>2620</v>
      </c>
      <c r="C16969" t="s">
        <v>9995</v>
      </c>
      <c r="D16969" t="s">
        <v>212</v>
      </c>
      <c r="E16969" t="s">
        <v>21451</v>
      </c>
      <c r="F16969" s="2" t="str">
        <f>HYPERLINK("http://www.otzar.org/book.asp?89","יבין שמועה")</f>
        <v>יבין שמועה</v>
      </c>
    </row>
    <row r="16970" spans="1:6" x14ac:dyDescent="0.2">
      <c r="A16970" t="s">
        <v>28070</v>
      </c>
      <c r="B16970" t="s">
        <v>19505</v>
      </c>
      <c r="C16970" t="s">
        <v>2044</v>
      </c>
      <c r="D16970" t="s">
        <v>49</v>
      </c>
      <c r="E16970" t="s">
        <v>1211</v>
      </c>
      <c r="F16970" s="2" t="str">
        <f>HYPERLINK("http://www.otzar.org/book.asp?182134","יבין שמועה - 3 כר'")</f>
        <v>יבין שמועה - 3 כר'</v>
      </c>
    </row>
    <row r="16971" spans="1:6" x14ac:dyDescent="0.2">
      <c r="A16971" t="s">
        <v>28067</v>
      </c>
      <c r="B16971" t="s">
        <v>23424</v>
      </c>
      <c r="C16971" t="s">
        <v>1019</v>
      </c>
      <c r="D16971" t="s">
        <v>744</v>
      </c>
      <c r="E16971" t="s">
        <v>158</v>
      </c>
      <c r="F16971" s="2" t="str">
        <f>HYPERLINK("http://www.otzar.org/book.asp?173077","יבין שמועה - 2 כר'")</f>
        <v>יבין שמועה - 2 כר'</v>
      </c>
    </row>
    <row r="16972" spans="1:6" x14ac:dyDescent="0.2">
      <c r="A16972" t="s">
        <v>28071</v>
      </c>
      <c r="B16972" t="s">
        <v>28072</v>
      </c>
      <c r="C16972" t="s">
        <v>114</v>
      </c>
      <c r="D16972" t="s">
        <v>1974</v>
      </c>
      <c r="E16972" t="s">
        <v>15</v>
      </c>
      <c r="F16972" s="2" t="str">
        <f>HYPERLINK("http://www.otzar.org/book.asp?606076","יבין שמועה - פסקי הלכות")</f>
        <v>יבין שמועה - פסקי הלכות</v>
      </c>
    </row>
    <row r="16973" spans="1:6" x14ac:dyDescent="0.2">
      <c r="A16973" t="s">
        <v>28068</v>
      </c>
      <c r="B16973" t="s">
        <v>28073</v>
      </c>
      <c r="C16973" t="s">
        <v>71</v>
      </c>
      <c r="D16973" t="s">
        <v>4508</v>
      </c>
      <c r="E16973" t="s">
        <v>15</v>
      </c>
      <c r="F16973" s="2" t="str">
        <f>HYPERLINK("http://www.otzar.org/book.asp?85406","יבין שמועה")</f>
        <v>יבין שמועה</v>
      </c>
    </row>
    <row r="16974" spans="1:6" x14ac:dyDescent="0.2">
      <c r="A16974" t="s">
        <v>28074</v>
      </c>
      <c r="B16974" t="s">
        <v>28075</v>
      </c>
      <c r="C16974" t="s">
        <v>581</v>
      </c>
      <c r="D16974" t="s">
        <v>27</v>
      </c>
      <c r="E16974" t="s">
        <v>15</v>
      </c>
      <c r="F16974" s="2" t="str">
        <f>HYPERLINK("http://www.otzar.org/book.asp?52139","יביע אומר")</f>
        <v>יביע אומר</v>
      </c>
    </row>
    <row r="16975" spans="1:6" x14ac:dyDescent="0.2">
      <c r="A16975" t="s">
        <v>28074</v>
      </c>
      <c r="B16975" t="s">
        <v>15191</v>
      </c>
      <c r="C16975" t="s">
        <v>286</v>
      </c>
      <c r="D16975" t="s">
        <v>947</v>
      </c>
      <c r="E16975" t="s">
        <v>230</v>
      </c>
      <c r="F16975" s="2" t="str">
        <f>HYPERLINK("http://www.otzar.org/book.asp?18842","יביע אומר")</f>
        <v>יביע אומר</v>
      </c>
    </row>
    <row r="16976" spans="1:6" x14ac:dyDescent="0.2">
      <c r="A16976" t="s">
        <v>28076</v>
      </c>
      <c r="B16976" t="s">
        <v>28077</v>
      </c>
      <c r="C16976" t="s">
        <v>133</v>
      </c>
      <c r="D16976" t="s">
        <v>28078</v>
      </c>
      <c r="E16976" t="s">
        <v>144</v>
      </c>
      <c r="F16976" s="2" t="str">
        <f>HYPERLINK("http://www.otzar.org/book.asp?629673","יבמה כאשת איש")</f>
        <v>יבמה כאשת איש</v>
      </c>
    </row>
    <row r="16977" spans="1:6" x14ac:dyDescent="0.2">
      <c r="A16977" t="s">
        <v>28079</v>
      </c>
      <c r="B16977" t="s">
        <v>206</v>
      </c>
      <c r="C16977" t="s">
        <v>23</v>
      </c>
      <c r="D16977" t="s">
        <v>14</v>
      </c>
      <c r="F16977" s="2" t="str">
        <f>HYPERLINK("http://www.otzar.org/book.asp?197219","יבנה המקדש")</f>
        <v>יבנה המקדש</v>
      </c>
    </row>
    <row r="16978" spans="1:6" x14ac:dyDescent="0.2">
      <c r="A16978" t="s">
        <v>28079</v>
      </c>
      <c r="B16978" t="s">
        <v>28080</v>
      </c>
      <c r="C16978" t="s">
        <v>313</v>
      </c>
      <c r="D16978" t="s">
        <v>412</v>
      </c>
      <c r="E16978" t="s">
        <v>104</v>
      </c>
      <c r="F16978" s="2" t="str">
        <f>HYPERLINK("http://www.otzar.org/book.asp?62121","יבנה המקדש")</f>
        <v>יבנה המקדש</v>
      </c>
    </row>
    <row r="16979" spans="1:6" x14ac:dyDescent="0.2">
      <c r="A16979" t="s">
        <v>28081</v>
      </c>
      <c r="B16979" t="s">
        <v>520</v>
      </c>
      <c r="C16979" t="s">
        <v>28082</v>
      </c>
      <c r="D16979" t="s">
        <v>27</v>
      </c>
      <c r="E16979" t="s">
        <v>202</v>
      </c>
      <c r="F16979" s="2" t="str">
        <f>HYPERLINK("http://www.otzar.org/book.asp?106189","יבנה - ב [ד-ו]")</f>
        <v>יבנה - ב [ד-ו]</v>
      </c>
    </row>
    <row r="16980" spans="1:6" x14ac:dyDescent="0.2">
      <c r="A16980" t="s">
        <v>520</v>
      </c>
      <c r="B16980" t="s">
        <v>1750</v>
      </c>
      <c r="C16980" t="s">
        <v>581</v>
      </c>
      <c r="D16980" t="s">
        <v>28083</v>
      </c>
      <c r="E16980" t="s">
        <v>202</v>
      </c>
      <c r="F16980" s="2" t="str">
        <f>HYPERLINK("http://www.otzar.org/book.asp?18843","יבנה")</f>
        <v>יבנה</v>
      </c>
    </row>
    <row r="16981" spans="1:6" x14ac:dyDescent="0.2">
      <c r="A16981" t="s">
        <v>28084</v>
      </c>
      <c r="B16981" t="s">
        <v>28085</v>
      </c>
      <c r="C16981" t="s">
        <v>313</v>
      </c>
      <c r="D16981" t="s">
        <v>14</v>
      </c>
      <c r="E16981" t="s">
        <v>246</v>
      </c>
      <c r="F16981" s="2" t="str">
        <f>HYPERLINK("http://www.otzar.org/book.asp?105255","יבקש תורה - 9 כר'")</f>
        <v>יבקש תורה - 9 כר'</v>
      </c>
    </row>
    <row r="16982" spans="1:6" x14ac:dyDescent="0.2">
      <c r="A16982" t="s">
        <v>28086</v>
      </c>
      <c r="B16982" t="s">
        <v>4977</v>
      </c>
      <c r="C16982" t="s">
        <v>20</v>
      </c>
      <c r="D16982" t="s">
        <v>14</v>
      </c>
      <c r="E16982" t="s">
        <v>1262</v>
      </c>
      <c r="F16982" s="2" t="str">
        <f>HYPERLINK("http://www.otzar.org/book.asp?153430","יבקשו תורה מפיהו")</f>
        <v>יבקשו תורה מפיהו</v>
      </c>
    </row>
    <row r="16983" spans="1:6" x14ac:dyDescent="0.2">
      <c r="A16983" t="s">
        <v>28087</v>
      </c>
      <c r="B16983" t="s">
        <v>27830</v>
      </c>
      <c r="C16983" t="s">
        <v>20</v>
      </c>
      <c r="D16983" t="s">
        <v>90</v>
      </c>
      <c r="E16983" t="s">
        <v>104</v>
      </c>
      <c r="F16983" s="2" t="str">
        <f>HYPERLINK("http://www.otzar.org/book.asp?622521","יברך את עמו בשלום")</f>
        <v>יברך את עמו בשלום</v>
      </c>
    </row>
    <row r="16984" spans="1:6" x14ac:dyDescent="0.2">
      <c r="A16984" t="s">
        <v>28088</v>
      </c>
      <c r="B16984" t="s">
        <v>28089</v>
      </c>
      <c r="C16984" t="s">
        <v>71</v>
      </c>
      <c r="D16984" t="s">
        <v>14</v>
      </c>
      <c r="E16984" t="s">
        <v>144</v>
      </c>
      <c r="F16984" s="2" t="str">
        <f>HYPERLINK("http://www.otzar.org/book.asp?106063","יברך ישראל - 26 כר'")</f>
        <v>יברך ישראל - 26 כר'</v>
      </c>
    </row>
    <row r="16985" spans="1:6" x14ac:dyDescent="0.2">
      <c r="A16985" t="s">
        <v>28090</v>
      </c>
      <c r="B16985" t="s">
        <v>28091</v>
      </c>
      <c r="C16985" t="s">
        <v>585</v>
      </c>
      <c r="D16985" t="s">
        <v>1840</v>
      </c>
      <c r="F16985" s="2" t="str">
        <f>HYPERLINK("http://www.otzar.org/book.asp?617073","יברך ישראל - 6 כר'")</f>
        <v>יברך ישראל - 6 כר'</v>
      </c>
    </row>
    <row r="16986" spans="1:6" x14ac:dyDescent="0.2">
      <c r="A16986" t="s">
        <v>28092</v>
      </c>
      <c r="B16986" t="s">
        <v>28093</v>
      </c>
      <c r="C16986" t="s">
        <v>114</v>
      </c>
      <c r="D16986" t="s">
        <v>14</v>
      </c>
      <c r="F16986" s="2" t="str">
        <f>HYPERLINK("http://www.otzar.org/book.asp?182930","יברכך ה' - 4 כר'")</f>
        <v>יברכך ה' - 4 כר'</v>
      </c>
    </row>
    <row r="16987" spans="1:6" x14ac:dyDescent="0.2">
      <c r="A16987" t="s">
        <v>28094</v>
      </c>
      <c r="B16987" t="s">
        <v>10892</v>
      </c>
      <c r="C16987" t="s">
        <v>1418</v>
      </c>
      <c r="D16987" t="s">
        <v>56</v>
      </c>
      <c r="E16987" t="s">
        <v>154</v>
      </c>
      <c r="F16987" s="2" t="str">
        <f>HYPERLINK("http://www.otzar.org/book.asp?108218","יבשר טוב")</f>
        <v>יבשר טוב</v>
      </c>
    </row>
    <row r="16988" spans="1:6" x14ac:dyDescent="0.2">
      <c r="A16988" t="s">
        <v>28095</v>
      </c>
      <c r="B16988" t="s">
        <v>28096</v>
      </c>
      <c r="C16988" t="s">
        <v>23255</v>
      </c>
      <c r="D16988" t="s">
        <v>28097</v>
      </c>
      <c r="E16988" t="s">
        <v>28098</v>
      </c>
      <c r="F16988" s="2" t="str">
        <f>HYPERLINK("http://www.otzar.org/book.asp?150152","יגדיל תורה &lt;אודסה&gt; - 4 כר'")</f>
        <v>יגדיל תורה &lt;אודסה&gt; - 4 כר'</v>
      </c>
    </row>
    <row r="16989" spans="1:6" x14ac:dyDescent="0.2">
      <c r="A16989" t="s">
        <v>28099</v>
      </c>
      <c r="B16989" t="s">
        <v>28096</v>
      </c>
      <c r="C16989" t="s">
        <v>506</v>
      </c>
      <c r="D16989" t="s">
        <v>446</v>
      </c>
      <c r="E16989" t="s">
        <v>202</v>
      </c>
      <c r="F16989" s="2" t="str">
        <f>HYPERLINK("http://www.otzar.org/book.asp?167164","יגדיל תורה &lt;הרב אבמרסקי&gt; - 2 כר'")</f>
        <v>יגדיל תורה &lt;הרב אבמרסקי&gt; - 2 כר'</v>
      </c>
    </row>
    <row r="16990" spans="1:6" x14ac:dyDescent="0.2">
      <c r="A16990" t="s">
        <v>28100</v>
      </c>
      <c r="B16990" t="s">
        <v>28096</v>
      </c>
      <c r="C16990" t="s">
        <v>28101</v>
      </c>
      <c r="D16990" t="s">
        <v>446</v>
      </c>
      <c r="E16990" t="s">
        <v>202</v>
      </c>
      <c r="F16990" s="2" t="str">
        <f>HYPERLINK("http://www.otzar.org/book.asp?397","יגדיל תורה &lt;סלוצק&gt; - 7 כר'")</f>
        <v>יגדיל תורה &lt;סלוצק&gt; - 7 כר'</v>
      </c>
    </row>
    <row r="16991" spans="1:6" x14ac:dyDescent="0.2">
      <c r="A16991" t="s">
        <v>28102</v>
      </c>
      <c r="B16991" t="s">
        <v>28103</v>
      </c>
      <c r="C16991" t="s">
        <v>1208</v>
      </c>
      <c r="D16991" t="s">
        <v>646</v>
      </c>
      <c r="E16991" t="s">
        <v>202</v>
      </c>
      <c r="F16991" s="2" t="str">
        <f>HYPERLINK("http://www.otzar.org/book.asp?179415","יגדיל תורה &lt;לונדון&gt; - 34 כר'")</f>
        <v>יגדיל תורה &lt;לונדון&gt; - 34 כר'</v>
      </c>
    </row>
    <row r="16992" spans="1:6" x14ac:dyDescent="0.2">
      <c r="A16992" t="s">
        <v>28104</v>
      </c>
      <c r="B16992" t="s">
        <v>28105</v>
      </c>
      <c r="C16992" t="s">
        <v>8</v>
      </c>
      <c r="D16992" t="s">
        <v>14954</v>
      </c>
      <c r="E16992" t="s">
        <v>202</v>
      </c>
      <c r="F16992" s="2" t="str">
        <f>HYPERLINK("http://www.otzar.org/book.asp?84523","יגדיל תורה &lt;ורשא&gt; - 5 כר'")</f>
        <v>יגדיל תורה &lt;ורשא&gt; - 5 כר'</v>
      </c>
    </row>
    <row r="16993" spans="1:6" x14ac:dyDescent="0.2">
      <c r="A16993" t="s">
        <v>28096</v>
      </c>
      <c r="B16993" t="s">
        <v>28106</v>
      </c>
      <c r="C16993" t="s">
        <v>854</v>
      </c>
      <c r="D16993" t="s">
        <v>1117</v>
      </c>
      <c r="E16993" t="s">
        <v>952</v>
      </c>
      <c r="F16993" s="2" t="str">
        <f>HYPERLINK("http://www.otzar.org/book.asp?167272","יגדיל תורה")</f>
        <v>יגדיל תורה</v>
      </c>
    </row>
    <row r="16994" spans="1:6" x14ac:dyDescent="0.2">
      <c r="A16994" t="s">
        <v>28107</v>
      </c>
      <c r="B16994" t="s">
        <v>28096</v>
      </c>
      <c r="C16994" t="s">
        <v>28108</v>
      </c>
      <c r="D16994" t="s">
        <v>412</v>
      </c>
      <c r="E16994" t="s">
        <v>202</v>
      </c>
      <c r="F16994" s="2" t="str">
        <f>HYPERLINK("http://www.otzar.org/book.asp?19225","יגדיל תורה - 6 כר'")</f>
        <v>יגדיל תורה - 6 כר'</v>
      </c>
    </row>
    <row r="16995" spans="1:6" x14ac:dyDescent="0.2">
      <c r="A16995" t="s">
        <v>28109</v>
      </c>
      <c r="B16995" t="s">
        <v>28110</v>
      </c>
      <c r="C16995" t="s">
        <v>133</v>
      </c>
      <c r="D16995" t="s">
        <v>21</v>
      </c>
      <c r="E16995" t="s">
        <v>234</v>
      </c>
      <c r="F16995" s="2" t="str">
        <f>HYPERLINK("http://www.otzar.org/book.asp?603994","יגדיל תורה - 2 כר'")</f>
        <v>יגדיל תורה - 2 כר'</v>
      </c>
    </row>
    <row r="16996" spans="1:6" x14ac:dyDescent="0.2">
      <c r="A16996" t="s">
        <v>28111</v>
      </c>
      <c r="B16996" t="s">
        <v>28112</v>
      </c>
      <c r="C16996" t="s">
        <v>609</v>
      </c>
      <c r="D16996" t="s">
        <v>283</v>
      </c>
      <c r="E16996" t="s">
        <v>148</v>
      </c>
      <c r="F16996" s="2" t="str">
        <f>HYPERLINK("http://www.otzar.org/book.asp?84117","יגדיל תורה - זכרון יהודה")</f>
        <v>יגדיל תורה - זכרון יהודה</v>
      </c>
    </row>
    <row r="16997" spans="1:6" x14ac:dyDescent="0.2">
      <c r="A16997" t="s">
        <v>28096</v>
      </c>
      <c r="B16997" t="s">
        <v>3166</v>
      </c>
      <c r="C16997" t="s">
        <v>176</v>
      </c>
      <c r="D16997" t="s">
        <v>14</v>
      </c>
      <c r="F16997" s="2" t="str">
        <f>HYPERLINK("http://www.otzar.org/book.asp?53889","יגדיל תורה")</f>
        <v>יגדיל תורה</v>
      </c>
    </row>
    <row r="16998" spans="1:6" x14ac:dyDescent="0.2">
      <c r="A16998" t="s">
        <v>28113</v>
      </c>
      <c r="B16998" t="s">
        <v>28114</v>
      </c>
      <c r="C16998" t="s">
        <v>111</v>
      </c>
      <c r="D16998" t="s">
        <v>90</v>
      </c>
      <c r="E16998" t="s">
        <v>399</v>
      </c>
      <c r="F16998" s="2" t="str">
        <f>HYPERLINK("http://www.otzar.org/book.asp?628697","יגיה שביב - 1")</f>
        <v>יגיה שביב - 1</v>
      </c>
    </row>
    <row r="16999" spans="1:6" x14ac:dyDescent="0.2">
      <c r="A16999" t="s">
        <v>28115</v>
      </c>
      <c r="B16999" t="s">
        <v>28116</v>
      </c>
      <c r="C16999" t="s">
        <v>28117</v>
      </c>
      <c r="D16999" t="s">
        <v>225</v>
      </c>
      <c r="E16999" t="s">
        <v>786</v>
      </c>
      <c r="F16999" s="2" t="str">
        <f>HYPERLINK("http://www.otzar.org/book.asp?104840","יגיעות מרדכי - 4 כר'")</f>
        <v>יגיעות מרדכי - 4 כר'</v>
      </c>
    </row>
    <row r="17000" spans="1:6" x14ac:dyDescent="0.2">
      <c r="A17000" t="s">
        <v>28118</v>
      </c>
      <c r="B17000" t="s">
        <v>28119</v>
      </c>
      <c r="C17000" t="s">
        <v>433</v>
      </c>
      <c r="D17000" t="s">
        <v>27</v>
      </c>
      <c r="E17000" t="s">
        <v>7935</v>
      </c>
      <c r="F17000" s="2" t="str">
        <f>HYPERLINK("http://www.otzar.org/book.asp?143208","יגיעת מרדכי")</f>
        <v>יגיעת מרדכי</v>
      </c>
    </row>
    <row r="17001" spans="1:6" x14ac:dyDescent="0.2">
      <c r="A17001" t="s">
        <v>28120</v>
      </c>
      <c r="B17001" t="s">
        <v>28121</v>
      </c>
      <c r="C17001" t="s">
        <v>11821</v>
      </c>
      <c r="D17001" t="s">
        <v>744</v>
      </c>
      <c r="E17001" t="s">
        <v>130</v>
      </c>
      <c r="F17001" s="2" t="str">
        <f>HYPERLINK("http://www.otzar.org/book.asp?147301","יגיעת שמואל")</f>
        <v>יגיעת שמואל</v>
      </c>
    </row>
    <row r="17002" spans="1:6" x14ac:dyDescent="0.2">
      <c r="A17002" t="s">
        <v>28122</v>
      </c>
      <c r="B17002" t="s">
        <v>28123</v>
      </c>
      <c r="C17002" t="s">
        <v>1640</v>
      </c>
      <c r="D17002" t="s">
        <v>27966</v>
      </c>
      <c r="E17002" t="s">
        <v>1626</v>
      </c>
      <c r="F17002" s="2" t="str">
        <f>HYPERLINK("http://www.otzar.org/book.asp?15531","יגל חזון")</f>
        <v>יגל חזון</v>
      </c>
    </row>
    <row r="17003" spans="1:6" x14ac:dyDescent="0.2">
      <c r="A17003" t="s">
        <v>28124</v>
      </c>
      <c r="B17003" t="s">
        <v>239</v>
      </c>
      <c r="C17003" t="s">
        <v>20</v>
      </c>
      <c r="D17003" t="s">
        <v>240</v>
      </c>
      <c r="F17003" s="2" t="str">
        <f>HYPERLINK("http://www.otzar.org/book.asp?610782","יגל יעקב &lt;המבואר&gt;")</f>
        <v>יגל יעקב &lt;המבואר&gt;</v>
      </c>
    </row>
    <row r="17004" spans="1:6" x14ac:dyDescent="0.2">
      <c r="A17004" t="s">
        <v>28125</v>
      </c>
      <c r="B17004" t="s">
        <v>28126</v>
      </c>
      <c r="C17004" t="s">
        <v>37</v>
      </c>
      <c r="D17004" t="s">
        <v>1180</v>
      </c>
      <c r="E17004" t="s">
        <v>158</v>
      </c>
      <c r="F17004" s="2" t="str">
        <f>HYPERLINK("http://www.otzar.org/book.asp?193496","יגל יעקב &lt;מהדורה חדשה&gt; - 2 כר'")</f>
        <v>יגל יעקב &lt;מהדורה חדשה&gt; - 2 כר'</v>
      </c>
    </row>
    <row r="17005" spans="1:6" x14ac:dyDescent="0.2">
      <c r="A17005" t="s">
        <v>28127</v>
      </c>
      <c r="B17005" t="s">
        <v>28126</v>
      </c>
      <c r="C17005" t="s">
        <v>523</v>
      </c>
      <c r="D17005" t="s">
        <v>1180</v>
      </c>
      <c r="E17005" t="s">
        <v>158</v>
      </c>
      <c r="F17005" s="2" t="str">
        <f>HYPERLINK("http://www.otzar.org/book.asp?85773","יגל יעקב &lt;על התורה&gt; - 2 כר'")</f>
        <v>יגל יעקב &lt;על התורה&gt; - 2 כר'</v>
      </c>
    </row>
    <row r="17006" spans="1:6" x14ac:dyDescent="0.2">
      <c r="A17006" t="s">
        <v>28128</v>
      </c>
      <c r="B17006" t="s">
        <v>28129</v>
      </c>
      <c r="C17006" t="s">
        <v>176</v>
      </c>
      <c r="D17006" t="s">
        <v>14</v>
      </c>
      <c r="E17006" t="s">
        <v>219</v>
      </c>
      <c r="F17006" s="2" t="str">
        <f>HYPERLINK("http://www.otzar.org/book.asp?165325","יגל יעקב ע""פ אברהם יגל")</f>
        <v>יגל יעקב ע"פ אברהם יגל</v>
      </c>
    </row>
    <row r="17007" spans="1:6" x14ac:dyDescent="0.2">
      <c r="A17007" t="s">
        <v>28130</v>
      </c>
      <c r="B17007" t="s">
        <v>239</v>
      </c>
      <c r="C17007" t="s">
        <v>438</v>
      </c>
      <c r="D17007" t="s">
        <v>14</v>
      </c>
      <c r="E17007" t="s">
        <v>219</v>
      </c>
      <c r="F17007" s="2" t="str">
        <f>HYPERLINK("http://www.otzar.org/book.asp?151682","יגל יעקב - 2 כר'")</f>
        <v>יגל יעקב - 2 כר'</v>
      </c>
    </row>
    <row r="17008" spans="1:6" x14ac:dyDescent="0.2">
      <c r="A17008" t="s">
        <v>28130</v>
      </c>
      <c r="B17008" t="s">
        <v>28131</v>
      </c>
      <c r="C17008" t="s">
        <v>189</v>
      </c>
      <c r="D17008" t="s">
        <v>367</v>
      </c>
      <c r="E17008" t="s">
        <v>158</v>
      </c>
      <c r="F17008" s="2" t="str">
        <f>HYPERLINK("http://www.otzar.org/book.asp?144411","יגל יעקב - 2 כר'")</f>
        <v>יגל יעקב - 2 כר'</v>
      </c>
    </row>
    <row r="17009" spans="1:6" x14ac:dyDescent="0.2">
      <c r="A17009" t="s">
        <v>28132</v>
      </c>
      <c r="B17009" t="s">
        <v>28133</v>
      </c>
      <c r="C17009" t="s">
        <v>114</v>
      </c>
      <c r="D17009" t="s">
        <v>14</v>
      </c>
      <c r="E17009" t="s">
        <v>28134</v>
      </c>
      <c r="F17009" s="2" t="str">
        <f>HYPERLINK("http://www.otzar.org/book.asp?166380","יגל יעקב")</f>
        <v>יגל יעקב</v>
      </c>
    </row>
    <row r="17010" spans="1:6" x14ac:dyDescent="0.2">
      <c r="A17010" t="s">
        <v>28132</v>
      </c>
      <c r="B17010" t="s">
        <v>28135</v>
      </c>
      <c r="C17010" t="s">
        <v>1718</v>
      </c>
      <c r="D17010" t="s">
        <v>27</v>
      </c>
      <c r="E17010" t="s">
        <v>3755</v>
      </c>
      <c r="F17010" s="2" t="str">
        <f>HYPERLINK("http://www.otzar.org/book.asp?102476","יגל יעקב")</f>
        <v>יגל יעקב</v>
      </c>
    </row>
    <row r="17011" spans="1:6" x14ac:dyDescent="0.2">
      <c r="A17011" t="s">
        <v>28132</v>
      </c>
      <c r="B17011" t="s">
        <v>28136</v>
      </c>
      <c r="C17011" t="s">
        <v>728</v>
      </c>
      <c r="D17011" t="s">
        <v>212</v>
      </c>
      <c r="F17011" s="2" t="str">
        <f>HYPERLINK("http://www.otzar.org/book.asp?182359","יגל יעקב")</f>
        <v>יגל יעקב</v>
      </c>
    </row>
    <row r="17012" spans="1:6" x14ac:dyDescent="0.2">
      <c r="A17012" t="s">
        <v>28137</v>
      </c>
      <c r="B17012" t="s">
        <v>28126</v>
      </c>
      <c r="C17012" t="s">
        <v>785</v>
      </c>
      <c r="D17012" t="s">
        <v>1180</v>
      </c>
      <c r="E17012" t="s">
        <v>22888</v>
      </c>
      <c r="F17012" s="2" t="str">
        <f>HYPERLINK("http://www.otzar.org/book.asp?23869","יגל יעקב - 3 כר'")</f>
        <v>יגל יעקב - 3 כר'</v>
      </c>
    </row>
    <row r="17013" spans="1:6" x14ac:dyDescent="0.2">
      <c r="A17013" t="s">
        <v>28132</v>
      </c>
      <c r="B17013" t="s">
        <v>4048</v>
      </c>
      <c r="C17013" t="s">
        <v>146</v>
      </c>
      <c r="D17013" t="s">
        <v>14</v>
      </c>
      <c r="E17013" t="s">
        <v>213</v>
      </c>
      <c r="F17013" s="2" t="str">
        <f>HYPERLINK("http://www.otzar.org/book.asp?141910","יגל יעקב")</f>
        <v>יגל יעקב</v>
      </c>
    </row>
    <row r="17014" spans="1:6" x14ac:dyDescent="0.2">
      <c r="A17014" t="s">
        <v>28132</v>
      </c>
      <c r="B17014" t="s">
        <v>28138</v>
      </c>
      <c r="C17014" t="s">
        <v>4087</v>
      </c>
      <c r="D17014" t="s">
        <v>76</v>
      </c>
      <c r="E17014" t="s">
        <v>158</v>
      </c>
      <c r="F17014" s="2" t="str">
        <f>HYPERLINK("http://www.otzar.org/book.asp?151491","יגל יעקב")</f>
        <v>יגל יעקב</v>
      </c>
    </row>
    <row r="17015" spans="1:6" x14ac:dyDescent="0.2">
      <c r="A17015" t="s">
        <v>28132</v>
      </c>
      <c r="B17015" t="s">
        <v>26124</v>
      </c>
      <c r="C17015" t="s">
        <v>28139</v>
      </c>
      <c r="D17015" t="s">
        <v>27</v>
      </c>
      <c r="E17015" t="s">
        <v>158</v>
      </c>
      <c r="F17015" s="2" t="str">
        <f>HYPERLINK("http://www.otzar.org/book.asp?108234","יגל יעקב")</f>
        <v>יגל יעקב</v>
      </c>
    </row>
    <row r="17016" spans="1:6" x14ac:dyDescent="0.2">
      <c r="A17016" t="s">
        <v>28132</v>
      </c>
      <c r="B17016" t="s">
        <v>28140</v>
      </c>
      <c r="C17016" t="s">
        <v>1619</v>
      </c>
      <c r="D17016" t="s">
        <v>52</v>
      </c>
      <c r="E17016" t="s">
        <v>741</v>
      </c>
      <c r="F17016" s="2" t="str">
        <f>HYPERLINK("http://www.otzar.org/book.asp?7124","יגל יעקב")</f>
        <v>יגל יעקב</v>
      </c>
    </row>
    <row r="17017" spans="1:6" x14ac:dyDescent="0.2">
      <c r="A17017" t="s">
        <v>28141</v>
      </c>
      <c r="B17017" t="s">
        <v>18434</v>
      </c>
      <c r="C17017" t="s">
        <v>114</v>
      </c>
      <c r="D17017" t="s">
        <v>14</v>
      </c>
      <c r="E17017" t="s">
        <v>28142</v>
      </c>
      <c r="F17017" s="2" t="str">
        <f>HYPERLINK("http://www.otzar.org/book.asp?160086","יגל לבי - 3 כר'")</f>
        <v>יגל לבי - 3 כר'</v>
      </c>
    </row>
    <row r="17018" spans="1:6" x14ac:dyDescent="0.2">
      <c r="A17018" t="s">
        <v>28143</v>
      </c>
      <c r="B17018" t="s">
        <v>28144</v>
      </c>
      <c r="C17018" t="s">
        <v>466</v>
      </c>
      <c r="D17018" t="s">
        <v>14</v>
      </c>
      <c r="E17018" t="s">
        <v>119</v>
      </c>
      <c r="F17018" s="2" t="str">
        <f>HYPERLINK("http://www.otzar.org/book.asp?175985","יגל לבנו")</f>
        <v>יגל לבנו</v>
      </c>
    </row>
    <row r="17019" spans="1:6" x14ac:dyDescent="0.2">
      <c r="A17019" t="s">
        <v>28145</v>
      </c>
      <c r="B17019" t="s">
        <v>107</v>
      </c>
      <c r="C17019" t="s">
        <v>533</v>
      </c>
      <c r="D17019" t="s">
        <v>14</v>
      </c>
      <c r="E17019" t="s">
        <v>104</v>
      </c>
      <c r="F17019" s="2" t="str">
        <f>HYPERLINK("http://www.otzar.org/book.asp?6107","יגעת ומצאת")</f>
        <v>יגעת ומצאת</v>
      </c>
    </row>
    <row r="17020" spans="1:6" x14ac:dyDescent="0.2">
      <c r="A17020" t="s">
        <v>28146</v>
      </c>
      <c r="B17020" t="s">
        <v>28147</v>
      </c>
      <c r="C17020" t="s">
        <v>17</v>
      </c>
      <c r="D17020" t="s">
        <v>14</v>
      </c>
      <c r="E17020" t="s">
        <v>241</v>
      </c>
      <c r="F17020" s="2" t="str">
        <f>HYPERLINK("http://www.otzar.org/book.asp?167430","יד אב - 2 כר'")</f>
        <v>יד אב - 2 כר'</v>
      </c>
    </row>
    <row r="17021" spans="1:6" x14ac:dyDescent="0.2">
      <c r="A17021" t="s">
        <v>28148</v>
      </c>
      <c r="B17021" t="s">
        <v>28149</v>
      </c>
      <c r="C17021" t="s">
        <v>17</v>
      </c>
      <c r="D17021" t="s">
        <v>5130</v>
      </c>
      <c r="E17021" t="s">
        <v>158</v>
      </c>
      <c r="F17021" s="2" t="str">
        <f>HYPERLINK("http://www.otzar.org/book.asp?163685","יד אב - תורה")</f>
        <v>יד אב - תורה</v>
      </c>
    </row>
    <row r="17022" spans="1:6" x14ac:dyDescent="0.2">
      <c r="A17022" t="s">
        <v>28150</v>
      </c>
      <c r="B17022" t="s">
        <v>28151</v>
      </c>
      <c r="C17022" t="s">
        <v>10538</v>
      </c>
      <c r="D17022" t="s">
        <v>7163</v>
      </c>
      <c r="E17022" t="s">
        <v>2143</v>
      </c>
      <c r="F17022" s="2" t="str">
        <f>HYPERLINK("http://www.otzar.org/book.asp?103184","יד אבי שלום")</f>
        <v>יד אבי שלום</v>
      </c>
    </row>
    <row r="17023" spans="1:6" x14ac:dyDescent="0.2">
      <c r="A17023" t="s">
        <v>28152</v>
      </c>
      <c r="B17023" t="s">
        <v>5066</v>
      </c>
      <c r="C17023" t="s">
        <v>1921</v>
      </c>
      <c r="D17023" t="s">
        <v>212</v>
      </c>
      <c r="F17023" s="2" t="str">
        <f>HYPERLINK("http://www.otzar.org/book.asp?64053","יד אבישלום")</f>
        <v>יד אבישלום</v>
      </c>
    </row>
    <row r="17024" spans="1:6" x14ac:dyDescent="0.2">
      <c r="A17024" t="s">
        <v>28153</v>
      </c>
      <c r="B17024" t="s">
        <v>28154</v>
      </c>
      <c r="C17024" t="s">
        <v>4687</v>
      </c>
      <c r="D17024" t="s">
        <v>1023</v>
      </c>
      <c r="F17024" s="2" t="str">
        <f>HYPERLINK("http://www.otzar.org/book.asp?53400","יד אברהם")</f>
        <v>יד אברהם</v>
      </c>
    </row>
    <row r="17025" spans="1:6" x14ac:dyDescent="0.2">
      <c r="A17025" t="s">
        <v>28153</v>
      </c>
      <c r="B17025" t="s">
        <v>28155</v>
      </c>
      <c r="C17025" t="s">
        <v>189</v>
      </c>
      <c r="D17025" t="s">
        <v>14</v>
      </c>
      <c r="E17025" t="s">
        <v>15</v>
      </c>
      <c r="F17025" s="2" t="str">
        <f>HYPERLINK("http://www.otzar.org/book.asp?29232","יד אברהם")</f>
        <v>יד אברהם</v>
      </c>
    </row>
    <row r="17026" spans="1:6" x14ac:dyDescent="0.2">
      <c r="A17026" t="s">
        <v>28156</v>
      </c>
      <c r="B17026" t="s">
        <v>28157</v>
      </c>
      <c r="C17026" t="s">
        <v>51</v>
      </c>
      <c r="D17026" t="s">
        <v>14</v>
      </c>
      <c r="E17026" t="s">
        <v>84</v>
      </c>
      <c r="F17026" s="2" t="str">
        <f>HYPERLINK("http://www.otzar.org/book.asp?62723","יד אברהם - 6 כר'")</f>
        <v>יד אברהם - 6 כר'</v>
      </c>
    </row>
    <row r="17027" spans="1:6" x14ac:dyDescent="0.2">
      <c r="A17027" t="s">
        <v>28158</v>
      </c>
      <c r="B17027" t="s">
        <v>28159</v>
      </c>
      <c r="C17027" t="s">
        <v>23</v>
      </c>
      <c r="D17027" t="s">
        <v>90</v>
      </c>
      <c r="E17027" t="s">
        <v>234</v>
      </c>
      <c r="F17027" s="2" t="str">
        <f>HYPERLINK("http://www.otzar.org/book.asp?193524","יד אהרן &lt;מהדורה חדשה&gt; דרוש שבת הגדול")</f>
        <v>יד אהרן &lt;מהדורה חדשה&gt; דרוש שבת הגדול</v>
      </c>
    </row>
    <row r="17028" spans="1:6" x14ac:dyDescent="0.2">
      <c r="A17028" t="s">
        <v>28160</v>
      </c>
      <c r="B17028" t="s">
        <v>28159</v>
      </c>
      <c r="C17028" t="s">
        <v>37</v>
      </c>
      <c r="D17028" t="s">
        <v>90</v>
      </c>
      <c r="E17028" t="s">
        <v>234</v>
      </c>
      <c r="F17028" s="2" t="str">
        <f>HYPERLINK("http://www.otzar.org/book.asp?193535","יד אהרן &lt;מהדורה חדשה&gt; ראש השנה, שבת שובה, כפור")</f>
        <v>יד אהרן &lt;מהדורה חדשה&gt; ראש השנה, שבת שובה, כפור</v>
      </c>
    </row>
    <row r="17029" spans="1:6" x14ac:dyDescent="0.2">
      <c r="A17029" t="s">
        <v>28161</v>
      </c>
      <c r="B17029" t="s">
        <v>28159</v>
      </c>
      <c r="C17029" t="s">
        <v>23</v>
      </c>
      <c r="D17029" t="s">
        <v>90</v>
      </c>
      <c r="E17029" t="s">
        <v>467</v>
      </c>
      <c r="F17029" s="2" t="str">
        <f>HYPERLINK("http://www.otzar.org/book.asp?193555","יד אהרן &lt;מהדורה חדשה&gt; שבת הגדול, פירוש חד גדיא ואחד מי יודע")</f>
        <v>יד אהרן &lt;מהדורה חדשה&gt; שבת הגדול, פירוש חד גדיא ואחד מי יודע</v>
      </c>
    </row>
    <row r="17030" spans="1:6" x14ac:dyDescent="0.2">
      <c r="A17030" t="s">
        <v>28162</v>
      </c>
      <c r="B17030" t="s">
        <v>552</v>
      </c>
      <c r="C17030" t="s">
        <v>71</v>
      </c>
      <c r="D17030" t="s">
        <v>14</v>
      </c>
      <c r="E17030" t="s">
        <v>202</v>
      </c>
      <c r="F17030" s="2" t="str">
        <f>HYPERLINK("http://www.otzar.org/book.asp?23717","יד אהרן &lt;לר' אהרן ברנשטיין&gt;")</f>
        <v>יד אהרן &lt;לר' אהרן ברנשטיין&gt;</v>
      </c>
    </row>
    <row r="17031" spans="1:6" x14ac:dyDescent="0.2">
      <c r="A17031" t="s">
        <v>28163</v>
      </c>
      <c r="B17031" t="s">
        <v>7389</v>
      </c>
      <c r="C17031" t="s">
        <v>6052</v>
      </c>
      <c r="D17031" t="s">
        <v>76</v>
      </c>
      <c r="E17031" t="s">
        <v>241</v>
      </c>
      <c r="F17031" s="2" t="str">
        <f>HYPERLINK("http://www.otzar.org/book.asp?24580","יד אהרן")</f>
        <v>יד אהרן</v>
      </c>
    </row>
    <row r="17032" spans="1:6" x14ac:dyDescent="0.2">
      <c r="A17032" t="s">
        <v>28164</v>
      </c>
      <c r="B17032" t="s">
        <v>28165</v>
      </c>
      <c r="C17032" t="s">
        <v>28166</v>
      </c>
      <c r="D17032" t="s">
        <v>157</v>
      </c>
      <c r="E17032" t="s">
        <v>15</v>
      </c>
      <c r="F17032" s="2" t="str">
        <f>HYPERLINK("http://www.otzar.org/book.asp?625197","יד אהרן - 6 כר'")</f>
        <v>יד אהרן - 6 כר'</v>
      </c>
    </row>
    <row r="17033" spans="1:6" x14ac:dyDescent="0.2">
      <c r="A17033" t="s">
        <v>28163</v>
      </c>
      <c r="B17033" t="s">
        <v>28167</v>
      </c>
      <c r="C17033" t="s">
        <v>20</v>
      </c>
      <c r="D17033" t="s">
        <v>1205</v>
      </c>
      <c r="E17033" t="s">
        <v>241</v>
      </c>
      <c r="F17033" s="2" t="str">
        <f>HYPERLINK("http://www.otzar.org/book.asp?172353","יד אהרן")</f>
        <v>יד אהרן</v>
      </c>
    </row>
    <row r="17034" spans="1:6" x14ac:dyDescent="0.2">
      <c r="A17034" t="s">
        <v>28163</v>
      </c>
      <c r="B17034" t="s">
        <v>28168</v>
      </c>
      <c r="C17034" t="s">
        <v>11383</v>
      </c>
      <c r="D17034" t="s">
        <v>90</v>
      </c>
      <c r="E17034" t="s">
        <v>463</v>
      </c>
      <c r="F17034" s="2" t="str">
        <f>HYPERLINK("http://www.otzar.org/book.asp?168094","יד אהרן")</f>
        <v>יד אהרן</v>
      </c>
    </row>
    <row r="17035" spans="1:6" x14ac:dyDescent="0.2">
      <c r="A17035" t="s">
        <v>28169</v>
      </c>
      <c r="B17035" t="s">
        <v>28159</v>
      </c>
      <c r="C17035" t="s">
        <v>1058</v>
      </c>
      <c r="D17035" t="s">
        <v>1422</v>
      </c>
      <c r="E17035" t="s">
        <v>234</v>
      </c>
      <c r="F17035" s="2" t="str">
        <f>HYPERLINK("http://www.otzar.org/book.asp?103176","יד אהרן - 2 כר'")</f>
        <v>יד אהרן - 2 כר'</v>
      </c>
    </row>
    <row r="17036" spans="1:6" x14ac:dyDescent="0.2">
      <c r="A17036" t="s">
        <v>28163</v>
      </c>
      <c r="B17036" t="s">
        <v>28170</v>
      </c>
      <c r="C17036" t="s">
        <v>492</v>
      </c>
      <c r="D17036" t="s">
        <v>267</v>
      </c>
      <c r="E17036" t="s">
        <v>1847</v>
      </c>
      <c r="F17036" s="2" t="str">
        <f>HYPERLINK("http://www.otzar.org/book.asp?10167","יד אהרן")</f>
        <v>יד אהרן</v>
      </c>
    </row>
    <row r="17037" spans="1:6" x14ac:dyDescent="0.2">
      <c r="A17037" t="s">
        <v>28163</v>
      </c>
      <c r="B17037" t="s">
        <v>28171</v>
      </c>
      <c r="C17037" t="s">
        <v>496</v>
      </c>
      <c r="D17037" t="s">
        <v>225</v>
      </c>
      <c r="E17037" t="s">
        <v>579</v>
      </c>
      <c r="F17037" s="2" t="str">
        <f>HYPERLINK("http://www.otzar.org/book.asp?103207","יד אהרן")</f>
        <v>יד אהרן</v>
      </c>
    </row>
    <row r="17038" spans="1:6" x14ac:dyDescent="0.2">
      <c r="A17038" t="s">
        <v>28163</v>
      </c>
      <c r="B17038" t="s">
        <v>552</v>
      </c>
      <c r="C17038" t="s">
        <v>26</v>
      </c>
      <c r="D17038" t="s">
        <v>14</v>
      </c>
      <c r="E17038" t="s">
        <v>202</v>
      </c>
      <c r="F17038" s="2" t="str">
        <f>HYPERLINK("http://www.otzar.org/book.asp?278","יד אהרן")</f>
        <v>יד אהרן</v>
      </c>
    </row>
    <row r="17039" spans="1:6" x14ac:dyDescent="0.2">
      <c r="A17039" t="s">
        <v>28163</v>
      </c>
      <c r="B17039" t="s">
        <v>19284</v>
      </c>
      <c r="C17039" t="s">
        <v>1202</v>
      </c>
      <c r="D17039" t="s">
        <v>225</v>
      </c>
      <c r="E17039" t="s">
        <v>144</v>
      </c>
      <c r="F17039" s="2" t="str">
        <f>HYPERLINK("http://www.otzar.org/book.asp?24581","יד אהרן")</f>
        <v>יד אהרן</v>
      </c>
    </row>
    <row r="17040" spans="1:6" x14ac:dyDescent="0.2">
      <c r="A17040" t="s">
        <v>28172</v>
      </c>
      <c r="B17040" t="s">
        <v>28173</v>
      </c>
      <c r="C17040" t="s">
        <v>332</v>
      </c>
      <c r="D17040" t="s">
        <v>412</v>
      </c>
      <c r="E17040" t="s">
        <v>119</v>
      </c>
      <c r="F17040" s="2" t="str">
        <f>HYPERLINK("http://www.otzar.org/book.asp?148789","יד אור החיים הקדוש ותולדותיו")</f>
        <v>יד אור החיים הקדוש ותולדותיו</v>
      </c>
    </row>
    <row r="17041" spans="1:6" x14ac:dyDescent="0.2">
      <c r="A17041" t="s">
        <v>28174</v>
      </c>
      <c r="B17041" t="s">
        <v>28175</v>
      </c>
      <c r="C17041" t="s">
        <v>28176</v>
      </c>
      <c r="D17041" t="s">
        <v>28177</v>
      </c>
      <c r="E17041" t="s">
        <v>28178</v>
      </c>
      <c r="F17041" s="2" t="str">
        <f>HYPERLINK("http://www.otzar.org/book.asp?9455","יד אליהו - 2 כר'")</f>
        <v>יד אליהו - 2 כר'</v>
      </c>
    </row>
    <row r="17042" spans="1:6" x14ac:dyDescent="0.2">
      <c r="A17042" t="s">
        <v>28179</v>
      </c>
      <c r="B17042" t="s">
        <v>28180</v>
      </c>
      <c r="C17042" t="s">
        <v>1228</v>
      </c>
      <c r="D17042" t="s">
        <v>582</v>
      </c>
      <c r="E17042" t="s">
        <v>154</v>
      </c>
      <c r="F17042" s="2" t="str">
        <f>HYPERLINK("http://www.otzar.org/book.asp?13764","יד אליהו")</f>
        <v>יד אליהו</v>
      </c>
    </row>
    <row r="17043" spans="1:6" x14ac:dyDescent="0.2">
      <c r="A17043" t="s">
        <v>28179</v>
      </c>
      <c r="B17043" t="s">
        <v>28181</v>
      </c>
      <c r="C17043" t="s">
        <v>5619</v>
      </c>
      <c r="D17043" t="s">
        <v>1023</v>
      </c>
      <c r="E17043" t="s">
        <v>791</v>
      </c>
      <c r="F17043" s="2" t="str">
        <f>HYPERLINK("http://www.otzar.org/book.asp?833","יד אליהו")</f>
        <v>יד אליהו</v>
      </c>
    </row>
    <row r="17044" spans="1:6" x14ac:dyDescent="0.2">
      <c r="A17044" t="s">
        <v>28182</v>
      </c>
      <c r="B17044" t="s">
        <v>1838</v>
      </c>
      <c r="C17044" t="s">
        <v>20</v>
      </c>
      <c r="D17044" t="s">
        <v>14</v>
      </c>
      <c r="E17044" t="s">
        <v>144</v>
      </c>
      <c r="F17044" s="2" t="str">
        <f>HYPERLINK("http://www.otzar.org/book.asp?608075","יד אליהו - 4 כר'")</f>
        <v>יד אליהו - 4 כר'</v>
      </c>
    </row>
    <row r="17045" spans="1:6" x14ac:dyDescent="0.2">
      <c r="A17045" t="s">
        <v>28179</v>
      </c>
      <c r="B17045" t="s">
        <v>28183</v>
      </c>
      <c r="C17045" t="s">
        <v>26</v>
      </c>
      <c r="D17045" t="s">
        <v>14</v>
      </c>
      <c r="E17045" t="s">
        <v>1438</v>
      </c>
      <c r="F17045" s="2" t="str">
        <f>HYPERLINK("http://www.otzar.org/book.asp?154015","יד אליהו")</f>
        <v>יד אליהו</v>
      </c>
    </row>
    <row r="17046" spans="1:6" x14ac:dyDescent="0.2">
      <c r="A17046" t="s">
        <v>28179</v>
      </c>
      <c r="B17046" t="s">
        <v>28184</v>
      </c>
      <c r="C17046" t="s">
        <v>28185</v>
      </c>
      <c r="D17046" t="s">
        <v>28186</v>
      </c>
      <c r="E17046" t="s">
        <v>172</v>
      </c>
      <c r="F17046" s="2" t="str">
        <f>HYPERLINK("http://www.otzar.org/book.asp?620600","יד אליהו")</f>
        <v>יד אליהו</v>
      </c>
    </row>
    <row r="17047" spans="1:6" x14ac:dyDescent="0.2">
      <c r="A17047" t="s">
        <v>28179</v>
      </c>
      <c r="B17047" t="s">
        <v>28187</v>
      </c>
      <c r="C17047" t="s">
        <v>1047</v>
      </c>
      <c r="D17047" t="s">
        <v>56</v>
      </c>
      <c r="E17047" t="s">
        <v>144</v>
      </c>
      <c r="F17047" s="2" t="str">
        <f>HYPERLINK("http://www.otzar.org/book.asp?189346","יד אליהו")</f>
        <v>יד אליהו</v>
      </c>
    </row>
    <row r="17048" spans="1:6" x14ac:dyDescent="0.2">
      <c r="A17048" t="s">
        <v>28179</v>
      </c>
      <c r="B17048" t="s">
        <v>28188</v>
      </c>
      <c r="C17048" t="s">
        <v>79</v>
      </c>
      <c r="D17048" t="s">
        <v>986</v>
      </c>
      <c r="E17048" t="s">
        <v>508</v>
      </c>
      <c r="F17048" s="2" t="str">
        <f>HYPERLINK("http://www.otzar.org/book.asp?52142","יד אליהו")</f>
        <v>יד אליהו</v>
      </c>
    </row>
    <row r="17049" spans="1:6" x14ac:dyDescent="0.2">
      <c r="A17049" t="s">
        <v>28179</v>
      </c>
      <c r="B17049" t="s">
        <v>9866</v>
      </c>
      <c r="C17049" t="s">
        <v>124</v>
      </c>
      <c r="D17049" t="s">
        <v>14</v>
      </c>
      <c r="E17049" t="s">
        <v>144</v>
      </c>
      <c r="F17049" s="2" t="str">
        <f>HYPERLINK("http://www.otzar.org/book.asp?10745","יד אליהו")</f>
        <v>יד אליהו</v>
      </c>
    </row>
    <row r="17050" spans="1:6" x14ac:dyDescent="0.2">
      <c r="A17050" t="s">
        <v>28189</v>
      </c>
      <c r="B17050" t="s">
        <v>6154</v>
      </c>
      <c r="C17050" t="s">
        <v>1706</v>
      </c>
      <c r="D17050" t="s">
        <v>283</v>
      </c>
      <c r="E17050" t="s">
        <v>13324</v>
      </c>
      <c r="F17050" s="2" t="str">
        <f>HYPERLINK("http://www.otzar.org/book.asp?18849","יד אלימלך")</f>
        <v>יד אלימלך</v>
      </c>
    </row>
    <row r="17051" spans="1:6" x14ac:dyDescent="0.2">
      <c r="A17051" t="s">
        <v>28190</v>
      </c>
      <c r="B17051" t="s">
        <v>28191</v>
      </c>
      <c r="C17051" t="s">
        <v>146</v>
      </c>
      <c r="D17051" t="s">
        <v>276</v>
      </c>
      <c r="E17051" t="s">
        <v>202</v>
      </c>
      <c r="F17051" s="2" t="str">
        <f>HYPERLINK("http://www.otzar.org/book.asp?199553","יד אליעזר - קידושין")</f>
        <v>יד אליעזר - קידושין</v>
      </c>
    </row>
    <row r="17052" spans="1:6" x14ac:dyDescent="0.2">
      <c r="A17052" t="s">
        <v>28192</v>
      </c>
      <c r="B17052" t="s">
        <v>14327</v>
      </c>
      <c r="C17052" t="s">
        <v>1535</v>
      </c>
      <c r="D17052" t="s">
        <v>283</v>
      </c>
      <c r="E17052" t="s">
        <v>172</v>
      </c>
      <c r="F17052" s="2" t="str">
        <f>HYPERLINK("http://www.otzar.org/book.asp?24582","יד אליעזר - 2 כר'")</f>
        <v>יד אליעזר - 2 כר'</v>
      </c>
    </row>
    <row r="17053" spans="1:6" x14ac:dyDescent="0.2">
      <c r="A17053" t="s">
        <v>28193</v>
      </c>
      <c r="B17053" t="s">
        <v>1750</v>
      </c>
      <c r="C17053" t="s">
        <v>106</v>
      </c>
      <c r="D17053" t="s">
        <v>14</v>
      </c>
      <c r="E17053" t="s">
        <v>202</v>
      </c>
      <c r="F17053" s="2" t="str">
        <f>HYPERLINK("http://www.otzar.org/book.asp?148844","יד אליעזר - 11 כר'")</f>
        <v>יד אליעזר - 11 כר'</v>
      </c>
    </row>
    <row r="17054" spans="1:6" x14ac:dyDescent="0.2">
      <c r="A17054" t="s">
        <v>28194</v>
      </c>
      <c r="B17054" t="s">
        <v>28195</v>
      </c>
      <c r="C17054" t="s">
        <v>600</v>
      </c>
      <c r="D17054" t="s">
        <v>535</v>
      </c>
      <c r="E17054" t="s">
        <v>154</v>
      </c>
      <c r="F17054" s="2" t="str">
        <f>HYPERLINK("http://www.otzar.org/book.asp?11001","יד אלעזר")</f>
        <v>יד אלעזר</v>
      </c>
    </row>
    <row r="17055" spans="1:6" x14ac:dyDescent="0.2">
      <c r="A17055" t="s">
        <v>28196</v>
      </c>
      <c r="B17055" t="s">
        <v>28197</v>
      </c>
      <c r="C17055" t="s">
        <v>1811</v>
      </c>
      <c r="D17055" t="s">
        <v>646</v>
      </c>
      <c r="E17055" t="s">
        <v>202</v>
      </c>
      <c r="F17055" s="2" t="str">
        <f>HYPERLINK("http://www.otzar.org/book.asp?619450","יד אלעזר - א")</f>
        <v>יד אלעזר - א</v>
      </c>
    </row>
    <row r="17056" spans="1:6" x14ac:dyDescent="0.2">
      <c r="A17056" t="s">
        <v>28198</v>
      </c>
      <c r="B17056" t="s">
        <v>28199</v>
      </c>
      <c r="C17056" t="s">
        <v>1208</v>
      </c>
      <c r="D17056" t="s">
        <v>52</v>
      </c>
      <c r="E17056" t="s">
        <v>674</v>
      </c>
      <c r="F17056" s="2" t="str">
        <f>HYPERLINK("http://www.otzar.org/book.asp?160336","יד אפרים על ספר בן איש חי - א")</f>
        <v>יד אפרים על ספר בן איש חי - א</v>
      </c>
    </row>
    <row r="17057" spans="1:6" x14ac:dyDescent="0.2">
      <c r="A17057" t="s">
        <v>28200</v>
      </c>
      <c r="B17057" t="s">
        <v>28201</v>
      </c>
      <c r="C17057" t="s">
        <v>1163</v>
      </c>
      <c r="D17057" t="s">
        <v>1163</v>
      </c>
      <c r="E17057" t="s">
        <v>104</v>
      </c>
      <c r="F17057" s="2" t="str">
        <f>HYPERLINK("http://www.otzar.org/book.asp?167664","יד אפרים - 15 כר'")</f>
        <v>יד אפרים - 15 כר'</v>
      </c>
    </row>
    <row r="17058" spans="1:6" x14ac:dyDescent="0.2">
      <c r="A17058" t="s">
        <v>28202</v>
      </c>
      <c r="B17058" t="s">
        <v>28203</v>
      </c>
      <c r="C17058" t="s">
        <v>124</v>
      </c>
      <c r="D17058" t="s">
        <v>216</v>
      </c>
      <c r="E17058" t="s">
        <v>10</v>
      </c>
      <c r="F17058" s="2" t="str">
        <f>HYPERLINK("http://www.otzar.org/book.asp?144702","יד אפרים")</f>
        <v>יד אפרים</v>
      </c>
    </row>
    <row r="17059" spans="1:6" x14ac:dyDescent="0.2">
      <c r="A17059" t="s">
        <v>28204</v>
      </c>
      <c r="B17059" t="s">
        <v>28205</v>
      </c>
      <c r="C17059" t="s">
        <v>20</v>
      </c>
      <c r="D17059" t="s">
        <v>90</v>
      </c>
      <c r="E17059" t="s">
        <v>104</v>
      </c>
      <c r="F17059" s="2" t="str">
        <f>HYPERLINK("http://www.otzar.org/book.asp?619802","יד אריה - לוח זמני היום")</f>
        <v>יד אריה - לוח זמני היום</v>
      </c>
    </row>
    <row r="17060" spans="1:6" x14ac:dyDescent="0.2">
      <c r="A17060" t="s">
        <v>28206</v>
      </c>
      <c r="B17060" t="s">
        <v>28207</v>
      </c>
      <c r="C17060" t="s">
        <v>767</v>
      </c>
      <c r="D17060" t="s">
        <v>764</v>
      </c>
      <c r="E17060" t="s">
        <v>144</v>
      </c>
      <c r="F17060" s="2" t="str">
        <f>HYPERLINK("http://www.otzar.org/book.asp?149739","יד אשר - 2 כר'")</f>
        <v>יד אשר - 2 כר'</v>
      </c>
    </row>
    <row r="17061" spans="1:6" x14ac:dyDescent="0.2">
      <c r="A17061" t="s">
        <v>28208</v>
      </c>
      <c r="B17061" t="s">
        <v>28209</v>
      </c>
      <c r="C17061" t="s">
        <v>71</v>
      </c>
      <c r="D17061" t="s">
        <v>52</v>
      </c>
      <c r="E17061" t="s">
        <v>130</v>
      </c>
      <c r="F17061" s="2" t="str">
        <f>HYPERLINK("http://www.otzar.org/book.asp?83697","יד בבין המצרים")</f>
        <v>יד בבין המצרים</v>
      </c>
    </row>
    <row r="17062" spans="1:6" x14ac:dyDescent="0.2">
      <c r="A17062" t="s">
        <v>28210</v>
      </c>
      <c r="B17062" t="s">
        <v>28211</v>
      </c>
      <c r="C17062" t="s">
        <v>17</v>
      </c>
      <c r="D17062" t="s">
        <v>14</v>
      </c>
      <c r="E17062" t="s">
        <v>144</v>
      </c>
      <c r="F17062" s="2" t="str">
        <f>HYPERLINK("http://www.otzar.org/book.asp?50360","יד בנימין - 8 כר'")</f>
        <v>יד בנימין - 8 כר'</v>
      </c>
    </row>
    <row r="17063" spans="1:6" x14ac:dyDescent="0.2">
      <c r="A17063" t="s">
        <v>15682</v>
      </c>
      <c r="B17063" t="s">
        <v>28212</v>
      </c>
      <c r="C17063" t="s">
        <v>989</v>
      </c>
      <c r="D17063" t="s">
        <v>1076</v>
      </c>
      <c r="E17063" t="s">
        <v>84</v>
      </c>
      <c r="F17063" s="2" t="str">
        <f>HYPERLINK("http://www.otzar.org/book.asp?191394","יד בנימין")</f>
        <v>יד בנימין</v>
      </c>
    </row>
    <row r="17064" spans="1:6" x14ac:dyDescent="0.2">
      <c r="A17064" t="s">
        <v>15682</v>
      </c>
      <c r="B17064" t="s">
        <v>28213</v>
      </c>
      <c r="C17064" t="s">
        <v>313</v>
      </c>
      <c r="D17064" t="s">
        <v>14</v>
      </c>
      <c r="E17064" t="s">
        <v>1438</v>
      </c>
      <c r="F17064" s="2" t="str">
        <f>HYPERLINK("http://www.otzar.org/book.asp?63978","יד בנימין")</f>
        <v>יד בנימין</v>
      </c>
    </row>
    <row r="17065" spans="1:6" x14ac:dyDescent="0.2">
      <c r="A17065" t="s">
        <v>28214</v>
      </c>
      <c r="B17065" t="s">
        <v>28209</v>
      </c>
      <c r="C17065" t="s">
        <v>454</v>
      </c>
      <c r="D17065" t="s">
        <v>52</v>
      </c>
      <c r="E17065" t="s">
        <v>130</v>
      </c>
      <c r="F17065" s="2" t="str">
        <f>HYPERLINK("http://www.otzar.org/book.asp?83693","יד בספירת העומר ובשבועות")</f>
        <v>יד בספירת העומר ובשבועות</v>
      </c>
    </row>
    <row r="17066" spans="1:6" x14ac:dyDescent="0.2">
      <c r="A17066" t="s">
        <v>28215</v>
      </c>
      <c r="B17066" t="s">
        <v>28209</v>
      </c>
      <c r="C17066" t="s">
        <v>624</v>
      </c>
      <c r="D17066" t="s">
        <v>52</v>
      </c>
      <c r="E17066" t="s">
        <v>130</v>
      </c>
      <c r="F17066" s="2" t="str">
        <f>HYPERLINK("http://www.otzar.org/book.asp?83692","יד בפורים")</f>
        <v>יד בפורים</v>
      </c>
    </row>
    <row r="17067" spans="1:6" x14ac:dyDescent="0.2">
      <c r="A17067" t="s">
        <v>28216</v>
      </c>
      <c r="B17067" t="s">
        <v>28209</v>
      </c>
      <c r="C17067" t="s">
        <v>51</v>
      </c>
      <c r="D17067" t="s">
        <v>52</v>
      </c>
      <c r="E17067" t="s">
        <v>15</v>
      </c>
      <c r="F17067" s="2" t="str">
        <f>HYPERLINK("http://www.otzar.org/book.asp?83694","יד בקריאת התורה")</f>
        <v>יד בקריאת התורה</v>
      </c>
    </row>
    <row r="17068" spans="1:6" x14ac:dyDescent="0.2">
      <c r="A17068" t="s">
        <v>28217</v>
      </c>
      <c r="B17068" t="s">
        <v>28218</v>
      </c>
      <c r="C17068" t="s">
        <v>37</v>
      </c>
      <c r="D17068" t="s">
        <v>52</v>
      </c>
      <c r="E17068" t="s">
        <v>158</v>
      </c>
      <c r="F17068" s="2" t="str">
        <f>HYPERLINK("http://www.otzar.org/book.asp?189682","יד בתורה - בראשית")</f>
        <v>יד בתורה - בראשית</v>
      </c>
    </row>
    <row r="17069" spans="1:6" x14ac:dyDescent="0.2">
      <c r="A17069" t="s">
        <v>28219</v>
      </c>
      <c r="B17069" t="s">
        <v>28220</v>
      </c>
      <c r="C17069" t="s">
        <v>151</v>
      </c>
      <c r="D17069" t="s">
        <v>52</v>
      </c>
      <c r="E17069" t="s">
        <v>154</v>
      </c>
      <c r="F17069" s="2" t="str">
        <f>HYPERLINK("http://www.otzar.org/book.asp?621298","יד בתשובה - א")</f>
        <v>יד בתשובה - א</v>
      </c>
    </row>
    <row r="17070" spans="1:6" x14ac:dyDescent="0.2">
      <c r="A17070" t="s">
        <v>28221</v>
      </c>
      <c r="B17070" t="s">
        <v>11051</v>
      </c>
      <c r="C17070" t="s">
        <v>433</v>
      </c>
      <c r="D17070" t="s">
        <v>1889</v>
      </c>
      <c r="E17070" t="s">
        <v>241</v>
      </c>
      <c r="F17070" s="2" t="str">
        <f>HYPERLINK("http://www.otzar.org/book.asp?23485","יד בתשובה")</f>
        <v>יד בתשובה</v>
      </c>
    </row>
    <row r="17071" spans="1:6" x14ac:dyDescent="0.2">
      <c r="A17071" t="s">
        <v>28222</v>
      </c>
      <c r="B17071" t="s">
        <v>28223</v>
      </c>
      <c r="C17071" t="s">
        <v>6052</v>
      </c>
      <c r="D17071" t="s">
        <v>6785</v>
      </c>
      <c r="E17071" t="s">
        <v>148</v>
      </c>
      <c r="F17071" s="2" t="str">
        <f>HYPERLINK("http://www.otzar.org/book.asp?149696","יד גבריאל")</f>
        <v>יד גבריאל</v>
      </c>
    </row>
    <row r="17072" spans="1:6" x14ac:dyDescent="0.2">
      <c r="A17072" t="s">
        <v>28224</v>
      </c>
      <c r="B17072" t="s">
        <v>28225</v>
      </c>
      <c r="C17072" t="s">
        <v>68</v>
      </c>
      <c r="D17072" t="s">
        <v>52</v>
      </c>
      <c r="F17072" s="2" t="str">
        <f>HYPERLINK("http://www.otzar.org/book.asp?156470","יד גדליה")</f>
        <v>יד גדליה</v>
      </c>
    </row>
    <row r="17073" spans="1:6" x14ac:dyDescent="0.2">
      <c r="A17073" t="s">
        <v>28226</v>
      </c>
      <c r="B17073" t="s">
        <v>28227</v>
      </c>
      <c r="C17073" t="s">
        <v>156</v>
      </c>
      <c r="D17073" t="s">
        <v>267</v>
      </c>
      <c r="E17073" t="s">
        <v>930</v>
      </c>
      <c r="F17073" s="2" t="str">
        <f>HYPERLINK("http://www.otzar.org/book.asp?103208","יד דוד טעבלי")</f>
        <v>יד דוד טעבלי</v>
      </c>
    </row>
    <row r="17074" spans="1:6" x14ac:dyDescent="0.2">
      <c r="A17074" t="s">
        <v>28228</v>
      </c>
      <c r="B17074" t="s">
        <v>28229</v>
      </c>
      <c r="C17074" t="s">
        <v>23</v>
      </c>
      <c r="D17074" t="s">
        <v>412</v>
      </c>
      <c r="E17074" t="s">
        <v>158</v>
      </c>
      <c r="F17074" s="2" t="str">
        <f>HYPERLINK("http://www.otzar.org/book.asp?191865","יד דוד - על התורה")</f>
        <v>יד דוד - על התורה</v>
      </c>
    </row>
    <row r="17075" spans="1:6" x14ac:dyDescent="0.2">
      <c r="A17075" t="s">
        <v>28230</v>
      </c>
      <c r="B17075" t="s">
        <v>28231</v>
      </c>
      <c r="C17075" t="s">
        <v>1036</v>
      </c>
      <c r="D17075" t="s">
        <v>76</v>
      </c>
      <c r="E17075" t="s">
        <v>15</v>
      </c>
      <c r="F17075" s="2" t="str">
        <f>HYPERLINK("http://www.otzar.org/book.asp?83622","יד דוד")</f>
        <v>יד דוד</v>
      </c>
    </row>
    <row r="17076" spans="1:6" x14ac:dyDescent="0.2">
      <c r="A17076" t="s">
        <v>28230</v>
      </c>
      <c r="B17076" t="s">
        <v>28232</v>
      </c>
      <c r="C17076" t="s">
        <v>1228</v>
      </c>
      <c r="D17076" t="s">
        <v>379</v>
      </c>
      <c r="E17076" t="s">
        <v>23932</v>
      </c>
      <c r="F17076" s="2" t="str">
        <f>HYPERLINK("http://www.otzar.org/book.asp?103205","יד דוד")</f>
        <v>יד דוד</v>
      </c>
    </row>
    <row r="17077" spans="1:6" x14ac:dyDescent="0.2">
      <c r="A17077" t="s">
        <v>28233</v>
      </c>
      <c r="B17077" t="s">
        <v>28234</v>
      </c>
      <c r="C17077" t="s">
        <v>1937</v>
      </c>
      <c r="D17077" t="s">
        <v>7163</v>
      </c>
      <c r="E17077" t="s">
        <v>144</v>
      </c>
      <c r="F17077" s="2" t="str">
        <f>HYPERLINK("http://www.otzar.org/book.asp?25573","יד דוד - 20 כר'")</f>
        <v>יד דוד - 20 כר'</v>
      </c>
    </row>
    <row r="17078" spans="1:6" x14ac:dyDescent="0.2">
      <c r="A17078" t="s">
        <v>28235</v>
      </c>
      <c r="B17078" t="s">
        <v>28236</v>
      </c>
      <c r="C17078" t="s">
        <v>624</v>
      </c>
      <c r="D17078" t="s">
        <v>52</v>
      </c>
      <c r="E17078" t="s">
        <v>2418</v>
      </c>
      <c r="F17078" s="2" t="str">
        <f>HYPERLINK("http://www.otzar.org/book.asp?171590","יד דוד - דברי ירמיהו")</f>
        <v>יד דוד - דברי ירמיהו</v>
      </c>
    </row>
    <row r="17079" spans="1:6" x14ac:dyDescent="0.2">
      <c r="A17079" t="s">
        <v>28237</v>
      </c>
      <c r="B17079" t="s">
        <v>7</v>
      </c>
      <c r="C17079" t="s">
        <v>1202</v>
      </c>
      <c r="D17079" t="s">
        <v>412</v>
      </c>
      <c r="E17079" t="s">
        <v>158</v>
      </c>
      <c r="F17079" s="2" t="str">
        <f>HYPERLINK("http://www.otzar.org/book.asp?52143","יד ה'")</f>
        <v>יד ה'</v>
      </c>
    </row>
    <row r="17080" spans="1:6" x14ac:dyDescent="0.2">
      <c r="A17080" t="s">
        <v>28238</v>
      </c>
      <c r="B17080" t="s">
        <v>20109</v>
      </c>
      <c r="C17080" t="s">
        <v>1047</v>
      </c>
      <c r="D17080" t="s">
        <v>267</v>
      </c>
      <c r="E17080" t="s">
        <v>2088</v>
      </c>
      <c r="F17080" s="2" t="str">
        <f>HYPERLINK("http://www.otzar.org/book.asp?18851","יד החזקה")</f>
        <v>יד החזקה</v>
      </c>
    </row>
    <row r="17081" spans="1:6" x14ac:dyDescent="0.2">
      <c r="A17081" t="s">
        <v>28239</v>
      </c>
      <c r="B17081" t="s">
        <v>28240</v>
      </c>
      <c r="C17081" t="s">
        <v>99</v>
      </c>
      <c r="D17081" t="s">
        <v>691</v>
      </c>
      <c r="E17081" t="s">
        <v>28241</v>
      </c>
      <c r="F17081" s="2" t="str">
        <f>HYPERLINK("http://www.otzar.org/book.asp?8439","יד הים")</f>
        <v>יד הים</v>
      </c>
    </row>
    <row r="17082" spans="1:6" x14ac:dyDescent="0.2">
      <c r="A17082" t="s">
        <v>28242</v>
      </c>
      <c r="B17082" t="s">
        <v>18364</v>
      </c>
      <c r="C17082" t="s">
        <v>1640</v>
      </c>
      <c r="D17082" t="s">
        <v>14</v>
      </c>
      <c r="E17082" t="s">
        <v>154</v>
      </c>
      <c r="F17082" s="2" t="str">
        <f>HYPERLINK("http://www.otzar.org/book.asp?10676","יד הלוי - 4 כר'")</f>
        <v>יד הלוי - 4 כר'</v>
      </c>
    </row>
    <row r="17083" spans="1:6" x14ac:dyDescent="0.2">
      <c r="A17083" t="s">
        <v>28243</v>
      </c>
      <c r="B17083" t="s">
        <v>28244</v>
      </c>
      <c r="C17083" t="s">
        <v>37</v>
      </c>
      <c r="D17083" t="s">
        <v>52</v>
      </c>
      <c r="F17083" s="2" t="str">
        <f>HYPERLINK("http://www.otzar.org/book.asp?197506","יד הלוי - 2 כר'")</f>
        <v>יד הלוי - 2 כר'</v>
      </c>
    </row>
    <row r="17084" spans="1:6" x14ac:dyDescent="0.2">
      <c r="A17084" t="s">
        <v>28245</v>
      </c>
      <c r="B17084" t="s">
        <v>28246</v>
      </c>
      <c r="C17084" t="s">
        <v>237</v>
      </c>
      <c r="D17084" t="s">
        <v>9</v>
      </c>
      <c r="E17084" t="s">
        <v>28247</v>
      </c>
      <c r="F17084" s="2" t="str">
        <f>HYPERLINK("http://www.otzar.org/book.asp?7058","יד הלוי")</f>
        <v>יד הלוי</v>
      </c>
    </row>
    <row r="17085" spans="1:6" x14ac:dyDescent="0.2">
      <c r="A17085" t="s">
        <v>28245</v>
      </c>
      <c r="B17085" t="s">
        <v>28248</v>
      </c>
      <c r="C17085" t="s">
        <v>2543</v>
      </c>
      <c r="D17085" t="s">
        <v>225</v>
      </c>
      <c r="E17085" t="s">
        <v>144</v>
      </c>
      <c r="F17085" s="2" t="str">
        <f>HYPERLINK("http://www.otzar.org/book.asp?200224","יד הלוי")</f>
        <v>יד הלוי</v>
      </c>
    </row>
    <row r="17086" spans="1:6" x14ac:dyDescent="0.2">
      <c r="A17086" t="s">
        <v>28249</v>
      </c>
      <c r="B17086" t="s">
        <v>28250</v>
      </c>
      <c r="C17086" t="s">
        <v>466</v>
      </c>
      <c r="D17086" t="s">
        <v>14</v>
      </c>
      <c r="E17086" t="s">
        <v>3489</v>
      </c>
      <c r="F17086" s="2" t="str">
        <f>HYPERLINK("http://www.otzar.org/book.asp?61302","יד הלוי - 7 כר'")</f>
        <v>יד הלוי - 7 כר'</v>
      </c>
    </row>
    <row r="17087" spans="1:6" x14ac:dyDescent="0.2">
      <c r="A17087" t="s">
        <v>28251</v>
      </c>
      <c r="B17087" t="s">
        <v>24169</v>
      </c>
      <c r="C17087" t="s">
        <v>1284</v>
      </c>
      <c r="D17087" t="s">
        <v>379</v>
      </c>
      <c r="E17087" t="s">
        <v>43</v>
      </c>
      <c r="F17087" s="2" t="str">
        <f>HYPERLINK("http://www.otzar.org/book.asp?24586","יד המאיר")</f>
        <v>יד המאיר</v>
      </c>
    </row>
    <row r="17088" spans="1:6" x14ac:dyDescent="0.2">
      <c r="A17088" t="s">
        <v>28251</v>
      </c>
      <c r="B17088" t="s">
        <v>28252</v>
      </c>
      <c r="C17088" t="s">
        <v>20</v>
      </c>
      <c r="D17088" t="s">
        <v>1180</v>
      </c>
      <c r="E17088" t="s">
        <v>474</v>
      </c>
      <c r="F17088" s="2" t="str">
        <f>HYPERLINK("http://www.otzar.org/book.asp?7578","יד המאיר")</f>
        <v>יד המאיר</v>
      </c>
    </row>
    <row r="17089" spans="1:6" x14ac:dyDescent="0.2">
      <c r="A17089" t="s">
        <v>28251</v>
      </c>
      <c r="B17089" t="s">
        <v>28253</v>
      </c>
      <c r="C17089" t="s">
        <v>603</v>
      </c>
      <c r="D17089" t="s">
        <v>283</v>
      </c>
      <c r="E17089" t="s">
        <v>144</v>
      </c>
      <c r="F17089" s="2" t="str">
        <f>HYPERLINK("http://www.otzar.org/book.asp?102808","יד המאיר")</f>
        <v>יד המאיר</v>
      </c>
    </row>
    <row r="17090" spans="1:6" x14ac:dyDescent="0.2">
      <c r="A17090" t="s">
        <v>28254</v>
      </c>
      <c r="B17090" t="s">
        <v>25087</v>
      </c>
      <c r="C17090" t="s">
        <v>25088</v>
      </c>
      <c r="D17090" t="s">
        <v>49</v>
      </c>
      <c r="E17090" t="s">
        <v>158</v>
      </c>
      <c r="F17090" s="2" t="str">
        <f>HYPERLINK("http://www.otzar.org/book.asp?102608","יד המלך")</f>
        <v>יד המלך</v>
      </c>
    </row>
    <row r="17091" spans="1:6" x14ac:dyDescent="0.2">
      <c r="A17091" t="s">
        <v>28255</v>
      </c>
      <c r="B17091" t="s">
        <v>28256</v>
      </c>
      <c r="C17091" t="s">
        <v>28257</v>
      </c>
      <c r="D17091" t="s">
        <v>267</v>
      </c>
      <c r="E17091" t="s">
        <v>15</v>
      </c>
      <c r="F17091" s="2" t="str">
        <f>HYPERLINK("http://www.otzar.org/book.asp?8923","יד המלך - 3 כר'")</f>
        <v>יד המלך - 3 כר'</v>
      </c>
    </row>
    <row r="17092" spans="1:6" x14ac:dyDescent="0.2">
      <c r="A17092" t="s">
        <v>28254</v>
      </c>
      <c r="B17092" t="s">
        <v>28258</v>
      </c>
      <c r="C17092" t="s">
        <v>538</v>
      </c>
      <c r="D17092" t="s">
        <v>76</v>
      </c>
      <c r="E17092" t="s">
        <v>28259</v>
      </c>
      <c r="F17092" s="2" t="str">
        <f>HYPERLINK("http://www.otzar.org/book.asp?18853","יד המלך")</f>
        <v>יד המלך</v>
      </c>
    </row>
    <row r="17093" spans="1:6" x14ac:dyDescent="0.2">
      <c r="A17093" t="s">
        <v>28260</v>
      </c>
      <c r="B17093" t="s">
        <v>28261</v>
      </c>
      <c r="C17093" t="s">
        <v>189</v>
      </c>
      <c r="D17093" t="s">
        <v>52</v>
      </c>
      <c r="E17093" t="s">
        <v>148</v>
      </c>
      <c r="F17093" s="2" t="str">
        <f>HYPERLINK("http://www.otzar.org/book.asp?151805","יד המשפט")</f>
        <v>יד המשפט</v>
      </c>
    </row>
    <row r="17094" spans="1:6" x14ac:dyDescent="0.2">
      <c r="A17094" t="s">
        <v>28262</v>
      </c>
      <c r="B17094" t="s">
        <v>28263</v>
      </c>
      <c r="C17094" t="s">
        <v>163</v>
      </c>
      <c r="D17094" t="s">
        <v>22971</v>
      </c>
      <c r="E17094" t="s">
        <v>234</v>
      </c>
      <c r="F17094" s="2" t="str">
        <f>HYPERLINK("http://www.otzar.org/book.asp?18854","יד הנהר")</f>
        <v>יד הנהר</v>
      </c>
    </row>
    <row r="17095" spans="1:6" x14ac:dyDescent="0.2">
      <c r="A17095" t="s">
        <v>28264</v>
      </c>
      <c r="B17095" t="s">
        <v>26037</v>
      </c>
      <c r="C17095" t="s">
        <v>422</v>
      </c>
      <c r="D17095" t="s">
        <v>21</v>
      </c>
      <c r="E17095" t="s">
        <v>15</v>
      </c>
      <c r="F17095" s="2" t="str">
        <f>HYPERLINK("http://www.otzar.org/book.asp?603726","יד הקטנה &lt;מהדורה חדשה&gt; - 2 כר'")</f>
        <v>יד הקטנה &lt;מהדורה חדשה&gt; - 2 כר'</v>
      </c>
    </row>
    <row r="17096" spans="1:6" x14ac:dyDescent="0.2">
      <c r="A17096" t="s">
        <v>28265</v>
      </c>
      <c r="B17096" t="s">
        <v>26037</v>
      </c>
      <c r="C17096" t="s">
        <v>28266</v>
      </c>
      <c r="D17096" t="s">
        <v>28267</v>
      </c>
      <c r="E17096" t="s">
        <v>15</v>
      </c>
      <c r="F17096" s="2" t="str">
        <f>HYPERLINK("http://www.otzar.org/book.asp?625364","יד הקטנה - 4 כר'")</f>
        <v>יד הקטנה - 4 כר'</v>
      </c>
    </row>
    <row r="17097" spans="1:6" x14ac:dyDescent="0.2">
      <c r="A17097" t="s">
        <v>28268</v>
      </c>
      <c r="B17097" t="s">
        <v>1750</v>
      </c>
      <c r="C17097" t="s">
        <v>20</v>
      </c>
      <c r="D17097" t="s">
        <v>52</v>
      </c>
      <c r="E17097" t="s">
        <v>186</v>
      </c>
      <c r="F17097" s="2" t="str">
        <f>HYPERLINK("http://www.otzar.org/book.asp?14591","יד הרש""ז - ב (סוכה)")</f>
        <v>יד הרש"ז - ב (סוכה)</v>
      </c>
    </row>
    <row r="17098" spans="1:6" x14ac:dyDescent="0.2">
      <c r="A17098" t="s">
        <v>28269</v>
      </c>
      <c r="B17098" t="s">
        <v>28270</v>
      </c>
      <c r="C17098" t="s">
        <v>1811</v>
      </c>
      <c r="D17098" t="s">
        <v>27921</v>
      </c>
      <c r="E17098" t="s">
        <v>172</v>
      </c>
      <c r="F17098" s="2" t="str">
        <f>HYPERLINK("http://www.otzar.org/book.asp?172967","יד השולחן")</f>
        <v>יד השולחן</v>
      </c>
    </row>
    <row r="17099" spans="1:6" x14ac:dyDescent="0.2">
      <c r="A17099" t="s">
        <v>28271</v>
      </c>
      <c r="B17099" t="s">
        <v>28272</v>
      </c>
      <c r="C17099" t="s">
        <v>237</v>
      </c>
      <c r="D17099" t="s">
        <v>9</v>
      </c>
      <c r="E17099" t="s">
        <v>15</v>
      </c>
      <c r="F17099" s="2" t="str">
        <f>HYPERLINK("http://www.otzar.org/book.asp?158453","יד ושם - 5 כר'")</f>
        <v>יד ושם - 5 כר'</v>
      </c>
    </row>
    <row r="17100" spans="1:6" x14ac:dyDescent="0.2">
      <c r="A17100" t="s">
        <v>28273</v>
      </c>
      <c r="B17100" t="s">
        <v>206</v>
      </c>
      <c r="C17100" t="s">
        <v>13</v>
      </c>
      <c r="D17100" t="s">
        <v>90</v>
      </c>
      <c r="E17100" t="s">
        <v>144</v>
      </c>
      <c r="F17100" s="2" t="str">
        <f>HYPERLINK("http://www.otzar.org/book.asp?168351","יד חזקה")</f>
        <v>יד חזקה</v>
      </c>
    </row>
    <row r="17101" spans="1:6" x14ac:dyDescent="0.2">
      <c r="A17101" t="s">
        <v>28274</v>
      </c>
      <c r="B17101" t="s">
        <v>28275</v>
      </c>
      <c r="C17101" t="s">
        <v>429</v>
      </c>
      <c r="D17101" t="s">
        <v>28276</v>
      </c>
      <c r="E17101" t="s">
        <v>144</v>
      </c>
      <c r="F17101" s="2" t="str">
        <f>HYPERLINK("http://www.otzar.org/book.asp?166875","יד חיים")</f>
        <v>יד חיים</v>
      </c>
    </row>
    <row r="17102" spans="1:6" x14ac:dyDescent="0.2">
      <c r="A17102" t="s">
        <v>28274</v>
      </c>
      <c r="B17102" t="s">
        <v>28277</v>
      </c>
      <c r="C17102" t="s">
        <v>1268</v>
      </c>
      <c r="D17102" t="s">
        <v>14</v>
      </c>
      <c r="E17102" t="s">
        <v>674</v>
      </c>
      <c r="F17102" s="2" t="str">
        <f>HYPERLINK("http://www.otzar.org/book.asp?153729","יד חיים")</f>
        <v>יד חיים</v>
      </c>
    </row>
    <row r="17103" spans="1:6" x14ac:dyDescent="0.2">
      <c r="A17103" t="s">
        <v>28278</v>
      </c>
      <c r="B17103" t="s">
        <v>28279</v>
      </c>
      <c r="C17103" t="s">
        <v>313</v>
      </c>
      <c r="D17103" t="s">
        <v>412</v>
      </c>
      <c r="E17103" t="s">
        <v>10</v>
      </c>
      <c r="F17103" s="2" t="str">
        <f>HYPERLINK("http://www.otzar.org/book.asp?145207","יד חנוך")</f>
        <v>יד חנוך</v>
      </c>
    </row>
    <row r="17104" spans="1:6" x14ac:dyDescent="0.2">
      <c r="A17104" t="s">
        <v>28280</v>
      </c>
      <c r="B17104" t="s">
        <v>28281</v>
      </c>
      <c r="C17104" t="s">
        <v>5160</v>
      </c>
      <c r="D17104" t="s">
        <v>49</v>
      </c>
      <c r="E17104" t="s">
        <v>104</v>
      </c>
      <c r="F17104" s="2" t="str">
        <f>HYPERLINK("http://www.otzar.org/book.asp?141997","יד חרוזים")</f>
        <v>יד חרוזים</v>
      </c>
    </row>
    <row r="17105" spans="1:6" x14ac:dyDescent="0.2">
      <c r="A17105" t="s">
        <v>28282</v>
      </c>
      <c r="B17105" t="s">
        <v>28283</v>
      </c>
      <c r="C17105" t="s">
        <v>4562</v>
      </c>
      <c r="D17105" t="s">
        <v>49</v>
      </c>
      <c r="E17105" t="s">
        <v>104</v>
      </c>
      <c r="F17105" s="2" t="str">
        <f>HYPERLINK("http://www.otzar.org/book.asp?147280","יד חרוצים")</f>
        <v>יד חרוצים</v>
      </c>
    </row>
    <row r="17106" spans="1:6" x14ac:dyDescent="0.2">
      <c r="A17106" t="s">
        <v>28284</v>
      </c>
      <c r="B17106" t="s">
        <v>28285</v>
      </c>
      <c r="C17106" t="s">
        <v>151</v>
      </c>
      <c r="D17106" t="s">
        <v>14</v>
      </c>
      <c r="F17106" s="2" t="str">
        <f>HYPERLINK("http://www.otzar.org/book.asp?615146","יד יהודה &lt;מהדורה חדשה&gt; - 4 כר'")</f>
        <v>יד יהודה &lt;מהדורה חדשה&gt; - 4 כר'</v>
      </c>
    </row>
    <row r="17107" spans="1:6" x14ac:dyDescent="0.2">
      <c r="A17107" t="s">
        <v>28286</v>
      </c>
      <c r="B17107" t="s">
        <v>13033</v>
      </c>
      <c r="C17107" t="s">
        <v>5826</v>
      </c>
      <c r="D17107" t="s">
        <v>76</v>
      </c>
      <c r="E17107" t="s">
        <v>144</v>
      </c>
      <c r="F17107" s="2" t="str">
        <f>HYPERLINK("http://www.otzar.org/book.asp?5881","יד יהודה")</f>
        <v>יד יהודה</v>
      </c>
    </row>
    <row r="17108" spans="1:6" x14ac:dyDescent="0.2">
      <c r="A17108" t="s">
        <v>28287</v>
      </c>
      <c r="B17108" t="s">
        <v>28285</v>
      </c>
      <c r="C17108" t="s">
        <v>5903</v>
      </c>
      <c r="D17108" t="s">
        <v>28288</v>
      </c>
      <c r="E17108" t="s">
        <v>148</v>
      </c>
      <c r="F17108" s="2" t="str">
        <f>HYPERLINK("http://www.otzar.org/book.asp?85334","יד יהודה - 6 כר'")</f>
        <v>יד יהודה - 6 כר'</v>
      </c>
    </row>
    <row r="17109" spans="1:6" x14ac:dyDescent="0.2">
      <c r="A17109" t="s">
        <v>28286</v>
      </c>
      <c r="B17109" t="s">
        <v>28289</v>
      </c>
      <c r="C17109" t="s">
        <v>752</v>
      </c>
      <c r="D17109" t="s">
        <v>267</v>
      </c>
      <c r="E17109" t="s">
        <v>144</v>
      </c>
      <c r="F17109" s="2" t="str">
        <f>HYPERLINK("http://www.otzar.org/book.asp?18855","יד יהודה")</f>
        <v>יד יהודה</v>
      </c>
    </row>
    <row r="17110" spans="1:6" x14ac:dyDescent="0.2">
      <c r="A17110" t="s">
        <v>28286</v>
      </c>
      <c r="B17110" t="s">
        <v>9908</v>
      </c>
      <c r="C17110" t="s">
        <v>168</v>
      </c>
      <c r="D17110" t="s">
        <v>21</v>
      </c>
      <c r="E17110" t="s">
        <v>158</v>
      </c>
      <c r="F17110" s="2" t="str">
        <f>HYPERLINK("http://www.otzar.org/book.asp?195619","יד יהודה")</f>
        <v>יד יהודה</v>
      </c>
    </row>
    <row r="17111" spans="1:6" x14ac:dyDescent="0.2">
      <c r="A17111" t="s">
        <v>28286</v>
      </c>
      <c r="B17111" t="s">
        <v>28290</v>
      </c>
      <c r="C17111" t="s">
        <v>748</v>
      </c>
      <c r="D17111" t="s">
        <v>9</v>
      </c>
      <c r="E17111" t="s">
        <v>474</v>
      </c>
      <c r="F17111" s="2" t="str">
        <f>HYPERLINK("http://www.otzar.org/book.asp?102481","יד יהודה")</f>
        <v>יד יהודה</v>
      </c>
    </row>
    <row r="17112" spans="1:6" x14ac:dyDescent="0.2">
      <c r="A17112" t="s">
        <v>28291</v>
      </c>
      <c r="B17112" t="s">
        <v>14687</v>
      </c>
      <c r="C17112" t="s">
        <v>28292</v>
      </c>
      <c r="D17112" t="s">
        <v>1422</v>
      </c>
      <c r="E17112" t="s">
        <v>28293</v>
      </c>
      <c r="F17112" s="2" t="str">
        <f>HYPERLINK("http://www.otzar.org/book.asp?8435","יד יוסף ורביד הזהב - 3 כר'")</f>
        <v>יד יוסף ורביד הזהב - 3 כר'</v>
      </c>
    </row>
    <row r="17113" spans="1:6" x14ac:dyDescent="0.2">
      <c r="A17113" t="s">
        <v>28294</v>
      </c>
      <c r="B17113" t="s">
        <v>28295</v>
      </c>
      <c r="C17113" t="s">
        <v>506</v>
      </c>
      <c r="D17113" t="s">
        <v>1188</v>
      </c>
      <c r="E17113" t="s">
        <v>15</v>
      </c>
      <c r="F17113" s="2" t="str">
        <f>HYPERLINK("http://www.otzar.org/book.asp?8658","יד יוסף")</f>
        <v>יד יוסף</v>
      </c>
    </row>
    <row r="17114" spans="1:6" x14ac:dyDescent="0.2">
      <c r="A17114" t="s">
        <v>28294</v>
      </c>
      <c r="B17114" t="s">
        <v>28296</v>
      </c>
      <c r="C17114" t="s">
        <v>767</v>
      </c>
      <c r="D17114" t="s">
        <v>229</v>
      </c>
      <c r="E17114" t="s">
        <v>2509</v>
      </c>
      <c r="F17114" s="2" t="str">
        <f>HYPERLINK("http://www.otzar.org/book.asp?168710","יד יוסף")</f>
        <v>יד יוסף</v>
      </c>
    </row>
    <row r="17115" spans="1:6" x14ac:dyDescent="0.2">
      <c r="A17115" t="s">
        <v>28294</v>
      </c>
      <c r="B17115" t="s">
        <v>28297</v>
      </c>
      <c r="C17115" t="s">
        <v>360</v>
      </c>
      <c r="D17115" t="s">
        <v>726</v>
      </c>
      <c r="E17115" t="s">
        <v>3387</v>
      </c>
      <c r="F17115" s="2" t="str">
        <f>HYPERLINK("http://www.otzar.org/book.asp?200220","יד יוסף")</f>
        <v>יד יוסף</v>
      </c>
    </row>
    <row r="17116" spans="1:6" x14ac:dyDescent="0.2">
      <c r="A17116" t="s">
        <v>28294</v>
      </c>
      <c r="B17116" t="s">
        <v>28298</v>
      </c>
      <c r="C17116" t="s">
        <v>1458</v>
      </c>
      <c r="D17116" t="s">
        <v>756</v>
      </c>
      <c r="E17116" t="s">
        <v>154</v>
      </c>
      <c r="F17116" s="2" t="str">
        <f>HYPERLINK("http://www.otzar.org/book.asp?10677","יד יוסף")</f>
        <v>יד יוסף</v>
      </c>
    </row>
    <row r="17117" spans="1:6" x14ac:dyDescent="0.2">
      <c r="A17117" t="s">
        <v>28294</v>
      </c>
      <c r="B17117" t="s">
        <v>28299</v>
      </c>
      <c r="D17117" t="s">
        <v>21</v>
      </c>
      <c r="E17117" t="s">
        <v>2135</v>
      </c>
      <c r="F17117" s="2" t="str">
        <f>HYPERLINK("http://www.otzar.org/book.asp?197208","יד יוסף")</f>
        <v>יד יוסף</v>
      </c>
    </row>
    <row r="17118" spans="1:6" x14ac:dyDescent="0.2">
      <c r="A17118" t="s">
        <v>28300</v>
      </c>
      <c r="B17118" t="s">
        <v>28301</v>
      </c>
      <c r="C17118" t="s">
        <v>99</v>
      </c>
      <c r="D17118" t="s">
        <v>30</v>
      </c>
      <c r="E17118" t="s">
        <v>158</v>
      </c>
      <c r="F17118" s="2" t="str">
        <f>HYPERLINK("http://www.otzar.org/book.asp?24589","יד יוסף - 4 כר'")</f>
        <v>יד יוסף - 4 כר'</v>
      </c>
    </row>
    <row r="17119" spans="1:6" x14ac:dyDescent="0.2">
      <c r="A17119" t="s">
        <v>28294</v>
      </c>
      <c r="B17119" t="s">
        <v>9908</v>
      </c>
      <c r="C17119" t="s">
        <v>1388</v>
      </c>
      <c r="D17119" t="s">
        <v>21</v>
      </c>
      <c r="F17119" s="2" t="str">
        <f>HYPERLINK("http://www.otzar.org/book.asp?615284","יד יוסף")</f>
        <v>יד יוסף</v>
      </c>
    </row>
    <row r="17120" spans="1:6" x14ac:dyDescent="0.2">
      <c r="A17120" t="s">
        <v>28302</v>
      </c>
      <c r="B17120" t="s">
        <v>28303</v>
      </c>
      <c r="C17120" t="s">
        <v>28304</v>
      </c>
      <c r="D17120" t="s">
        <v>1023</v>
      </c>
      <c r="E17120" t="s">
        <v>474</v>
      </c>
      <c r="F17120" s="2" t="str">
        <f>HYPERLINK("http://www.otzar.org/book.asp?9207","יד יוסף - 2 כר'")</f>
        <v>יד יוסף - 2 כר'</v>
      </c>
    </row>
    <row r="17121" spans="1:6" x14ac:dyDescent="0.2">
      <c r="A17121" t="s">
        <v>28302</v>
      </c>
      <c r="B17121" t="s">
        <v>28305</v>
      </c>
      <c r="C17121" t="s">
        <v>28306</v>
      </c>
      <c r="D17121" t="s">
        <v>27</v>
      </c>
      <c r="E17121" t="s">
        <v>7754</v>
      </c>
      <c r="F17121" s="2" t="str">
        <f>HYPERLINK("http://www.otzar.org/book.asp?11090","יד יוסף - 2 כר'")</f>
        <v>יד יוסף - 2 כר'</v>
      </c>
    </row>
    <row r="17122" spans="1:6" x14ac:dyDescent="0.2">
      <c r="A17122" t="s">
        <v>28300</v>
      </c>
      <c r="B17122" t="s">
        <v>28307</v>
      </c>
      <c r="C17122" t="s">
        <v>13</v>
      </c>
      <c r="D17122" t="s">
        <v>3283</v>
      </c>
      <c r="E17122" t="s">
        <v>144</v>
      </c>
      <c r="F17122" s="2" t="str">
        <f>HYPERLINK("http://www.otzar.org/book.asp?62895","יד יוסף - 4 כר'")</f>
        <v>יד יוסף - 4 כר'</v>
      </c>
    </row>
    <row r="17123" spans="1:6" x14ac:dyDescent="0.2">
      <c r="A17123" t="s">
        <v>28308</v>
      </c>
      <c r="B17123" t="s">
        <v>28309</v>
      </c>
      <c r="C17123" t="s">
        <v>940</v>
      </c>
      <c r="D17123" t="s">
        <v>52</v>
      </c>
      <c r="E17123" t="s">
        <v>23215</v>
      </c>
      <c r="F17123" s="2" t="str">
        <f>HYPERLINK("http://www.otzar.org/book.asp?144636","יד יוסף, אבני מנחם")</f>
        <v>יד יוסף, אבני מנחם</v>
      </c>
    </row>
    <row r="17124" spans="1:6" x14ac:dyDescent="0.2">
      <c r="A17124" t="s">
        <v>28310</v>
      </c>
      <c r="B17124" t="s">
        <v>28311</v>
      </c>
      <c r="C17124" t="s">
        <v>28312</v>
      </c>
      <c r="D17124" t="s">
        <v>563</v>
      </c>
      <c r="E17124" t="s">
        <v>467</v>
      </c>
      <c r="F17124" s="2" t="str">
        <f>HYPERLINK("http://www.otzar.org/book.asp?181290","יד יחזקאל")</f>
        <v>יד יחזקאל</v>
      </c>
    </row>
    <row r="17125" spans="1:6" x14ac:dyDescent="0.2">
      <c r="A17125" t="s">
        <v>28310</v>
      </c>
      <c r="B17125" t="s">
        <v>1204</v>
      </c>
      <c r="C17125" t="s">
        <v>523</v>
      </c>
      <c r="D17125" t="s">
        <v>90</v>
      </c>
      <c r="E17125" t="s">
        <v>158</v>
      </c>
      <c r="F17125" s="2" t="str">
        <f>HYPERLINK("http://www.otzar.org/book.asp?176747","יד יחזקאל")</f>
        <v>יד יחזקאל</v>
      </c>
    </row>
    <row r="17126" spans="1:6" x14ac:dyDescent="0.2">
      <c r="A17126" t="s">
        <v>28313</v>
      </c>
      <c r="B17126" t="s">
        <v>28314</v>
      </c>
      <c r="C17126" t="s">
        <v>1036</v>
      </c>
      <c r="D17126" t="s">
        <v>157</v>
      </c>
      <c r="E17126" t="s">
        <v>172</v>
      </c>
      <c r="F17126" s="2" t="str">
        <f>HYPERLINK("http://www.otzar.org/book.asp?200078","יד ימין")</f>
        <v>יד ימין</v>
      </c>
    </row>
    <row r="17127" spans="1:6" x14ac:dyDescent="0.2">
      <c r="A17127" t="s">
        <v>28315</v>
      </c>
      <c r="B17127" t="s">
        <v>22194</v>
      </c>
      <c r="C17127" t="s">
        <v>176</v>
      </c>
      <c r="E17127" t="s">
        <v>2088</v>
      </c>
      <c r="F17127" s="2" t="str">
        <f>HYPERLINK("http://www.otzar.org/book.asp?9564","יד יעקב - קדשים")</f>
        <v>יד יעקב - קדשים</v>
      </c>
    </row>
    <row r="17128" spans="1:6" x14ac:dyDescent="0.2">
      <c r="A17128" t="s">
        <v>28316</v>
      </c>
      <c r="B17128" t="s">
        <v>28317</v>
      </c>
      <c r="C17128" t="s">
        <v>5823</v>
      </c>
      <c r="D17128" t="s">
        <v>56</v>
      </c>
      <c r="E17128" t="s">
        <v>28318</v>
      </c>
      <c r="F17128" s="2" t="str">
        <f>HYPERLINK("http://www.otzar.org/book.asp?200221","יד יצחק - על הש""ס")</f>
        <v>יד יצחק - על הש"ס</v>
      </c>
    </row>
    <row r="17129" spans="1:6" x14ac:dyDescent="0.2">
      <c r="A17129" t="s">
        <v>28319</v>
      </c>
      <c r="B17129" t="s">
        <v>8461</v>
      </c>
      <c r="C17129" t="s">
        <v>28320</v>
      </c>
      <c r="D17129" t="s">
        <v>28321</v>
      </c>
      <c r="E17129" t="s">
        <v>154</v>
      </c>
      <c r="F17129" s="2" t="str">
        <f>HYPERLINK("http://www.otzar.org/book.asp?9389","יד יצחק - 4 כר'")</f>
        <v>יד יצחק - 4 כר'</v>
      </c>
    </row>
    <row r="17130" spans="1:6" x14ac:dyDescent="0.2">
      <c r="A17130" t="s">
        <v>28322</v>
      </c>
      <c r="B17130" t="s">
        <v>28323</v>
      </c>
      <c r="C17130" t="s">
        <v>454</v>
      </c>
      <c r="D17130" t="s">
        <v>118</v>
      </c>
      <c r="E17130" t="s">
        <v>733</v>
      </c>
      <c r="F17130" s="2" t="str">
        <f>HYPERLINK("http://www.otzar.org/book.asp?105643","יד יצחק")</f>
        <v>יד יצחק</v>
      </c>
    </row>
    <row r="17131" spans="1:6" x14ac:dyDescent="0.2">
      <c r="A17131" t="s">
        <v>28322</v>
      </c>
      <c r="B17131" t="s">
        <v>28324</v>
      </c>
      <c r="C17131" t="s">
        <v>785</v>
      </c>
      <c r="D17131" t="s">
        <v>52</v>
      </c>
      <c r="E17131" t="s">
        <v>172</v>
      </c>
      <c r="F17131" s="2" t="str">
        <f>HYPERLINK("http://www.otzar.org/book.asp?165953","יד יצחק")</f>
        <v>יד יצחק</v>
      </c>
    </row>
    <row r="17132" spans="1:6" x14ac:dyDescent="0.2">
      <c r="A17132" t="s">
        <v>28325</v>
      </c>
      <c r="B17132" t="s">
        <v>28326</v>
      </c>
      <c r="C17132" t="s">
        <v>558</v>
      </c>
      <c r="D17132" t="s">
        <v>1117</v>
      </c>
      <c r="E17132" t="s">
        <v>234</v>
      </c>
      <c r="F17132" s="2" t="str">
        <f>HYPERLINK("http://www.otzar.org/book.asp?188581","יד יקותיאל")</f>
        <v>יד יקותיאל</v>
      </c>
    </row>
    <row r="17133" spans="1:6" x14ac:dyDescent="0.2">
      <c r="A17133" t="s">
        <v>28327</v>
      </c>
      <c r="B17133" t="s">
        <v>28328</v>
      </c>
      <c r="C17133" t="s">
        <v>99</v>
      </c>
      <c r="D17133" t="s">
        <v>2710</v>
      </c>
      <c r="E17133" t="s">
        <v>7477</v>
      </c>
      <c r="F17133" s="2" t="str">
        <f>HYPERLINK("http://www.otzar.org/book.asp?102945","יד ישראל")</f>
        <v>יד ישראל</v>
      </c>
    </row>
    <row r="17134" spans="1:6" x14ac:dyDescent="0.2">
      <c r="A17134" t="s">
        <v>28327</v>
      </c>
      <c r="B17134" t="s">
        <v>28329</v>
      </c>
      <c r="C17134" t="s">
        <v>429</v>
      </c>
      <c r="D17134" t="s">
        <v>56</v>
      </c>
      <c r="E17134" t="s">
        <v>43</v>
      </c>
      <c r="F17134" s="2" t="str">
        <f>HYPERLINK("http://www.otzar.org/book.asp?200015","יד ישראל")</f>
        <v>יד ישראל</v>
      </c>
    </row>
    <row r="17135" spans="1:6" x14ac:dyDescent="0.2">
      <c r="A17135" t="s">
        <v>28330</v>
      </c>
      <c r="B17135" t="s">
        <v>28331</v>
      </c>
      <c r="C17135" t="s">
        <v>411</v>
      </c>
      <c r="D17135" t="s">
        <v>14</v>
      </c>
      <c r="E17135" t="s">
        <v>144</v>
      </c>
      <c r="F17135" s="2" t="str">
        <f>HYPERLINK("http://www.otzar.org/book.asp?172032","יד כהן באמצע")</f>
        <v>יד כהן באמצע</v>
      </c>
    </row>
    <row r="17136" spans="1:6" x14ac:dyDescent="0.2">
      <c r="A17136" t="s">
        <v>28332</v>
      </c>
      <c r="B17136" t="s">
        <v>17589</v>
      </c>
      <c r="C17136" t="s">
        <v>1388</v>
      </c>
      <c r="D17136" t="s">
        <v>14</v>
      </c>
      <c r="E17136" t="s">
        <v>144</v>
      </c>
      <c r="F17136" s="2" t="str">
        <f>HYPERLINK("http://www.otzar.org/book.asp?148683","יד כהן - 9 כר'")</f>
        <v>יד כהן - 9 כר'</v>
      </c>
    </row>
    <row r="17137" spans="1:6" x14ac:dyDescent="0.2">
      <c r="A17137" t="s">
        <v>28333</v>
      </c>
      <c r="B17137" t="s">
        <v>3854</v>
      </c>
      <c r="C17137" t="s">
        <v>189</v>
      </c>
      <c r="D17137" t="s">
        <v>14</v>
      </c>
      <c r="E17137" t="s">
        <v>144</v>
      </c>
      <c r="F17137" s="2" t="str">
        <f>HYPERLINK("http://www.otzar.org/book.asp?60310","יד כהן - 5 כר'")</f>
        <v>יד כהן - 5 כר'</v>
      </c>
    </row>
    <row r="17138" spans="1:6" x14ac:dyDescent="0.2">
      <c r="A17138" t="s">
        <v>28334</v>
      </c>
      <c r="B17138" t="s">
        <v>28335</v>
      </c>
      <c r="C17138" t="s">
        <v>68</v>
      </c>
      <c r="D17138" t="s">
        <v>14</v>
      </c>
      <c r="E17138" t="s">
        <v>15</v>
      </c>
      <c r="F17138" s="2" t="str">
        <f>HYPERLINK("http://www.otzar.org/book.asp?154328","יד כהן - 2 כר'")</f>
        <v>יד כהן - 2 כר'</v>
      </c>
    </row>
    <row r="17139" spans="1:6" x14ac:dyDescent="0.2">
      <c r="A17139" t="s">
        <v>28336</v>
      </c>
      <c r="B17139" t="s">
        <v>28337</v>
      </c>
      <c r="C17139" t="s">
        <v>23</v>
      </c>
      <c r="D17139" t="s">
        <v>14</v>
      </c>
      <c r="F17139" s="2" t="str">
        <f>HYPERLINK("http://www.otzar.org/book.asp?198150","יד כהן - 3 כר'")</f>
        <v>יד כהן - 3 כר'</v>
      </c>
    </row>
    <row r="17140" spans="1:6" x14ac:dyDescent="0.2">
      <c r="A17140" t="s">
        <v>28338</v>
      </c>
      <c r="B17140" t="s">
        <v>28339</v>
      </c>
      <c r="C17140" t="s">
        <v>68</v>
      </c>
      <c r="D17140" t="s">
        <v>245</v>
      </c>
      <c r="E17140" t="s">
        <v>144</v>
      </c>
      <c r="F17140" s="2" t="str">
        <f>HYPERLINK("http://www.otzar.org/book.asp?169838","יד כהן - שבת, כריתות")</f>
        <v>יד כהן - שבת, כריתות</v>
      </c>
    </row>
    <row r="17141" spans="1:6" x14ac:dyDescent="0.2">
      <c r="A17141" t="s">
        <v>28340</v>
      </c>
      <c r="B17141" t="s">
        <v>28341</v>
      </c>
      <c r="C17141" t="s">
        <v>103</v>
      </c>
      <c r="D17141" t="s">
        <v>14</v>
      </c>
      <c r="E17141" t="s">
        <v>920</v>
      </c>
      <c r="F17141" s="2" t="str">
        <f>HYPERLINK("http://www.otzar.org/book.asp?23258","יד כהן")</f>
        <v>יד כהן</v>
      </c>
    </row>
    <row r="17142" spans="1:6" x14ac:dyDescent="0.2">
      <c r="A17142" t="s">
        <v>28342</v>
      </c>
      <c r="B17142" t="s">
        <v>8602</v>
      </c>
      <c r="C17142" t="s">
        <v>8890</v>
      </c>
      <c r="D17142" t="s">
        <v>6042</v>
      </c>
      <c r="E17142" t="s">
        <v>158</v>
      </c>
      <c r="F17142" s="2" t="str">
        <f>HYPERLINK("http://www.otzar.org/book.asp?147195","יד כל בו - 2 כר'")</f>
        <v>יד כל בו - 2 כר'</v>
      </c>
    </row>
    <row r="17143" spans="1:6" x14ac:dyDescent="0.2">
      <c r="A17143" t="s">
        <v>28343</v>
      </c>
      <c r="B17143" t="s">
        <v>28344</v>
      </c>
      <c r="C17143" t="s">
        <v>1609</v>
      </c>
      <c r="D17143" t="s">
        <v>216</v>
      </c>
      <c r="E17143" t="s">
        <v>202</v>
      </c>
      <c r="F17143" s="2" t="str">
        <f>HYPERLINK("http://www.otzar.org/book.asp?154407","יד לאחים - 3 כר'")</f>
        <v>יד לאחים - 3 כר'</v>
      </c>
    </row>
    <row r="17144" spans="1:6" x14ac:dyDescent="0.2">
      <c r="A17144" t="s">
        <v>28345</v>
      </c>
      <c r="B17144" t="s">
        <v>28346</v>
      </c>
      <c r="D17144" t="s">
        <v>14</v>
      </c>
      <c r="E17144" t="s">
        <v>15</v>
      </c>
      <c r="F17144" s="2" t="str">
        <f>HYPERLINK("http://www.otzar.org/book.asp?620883","יד להשם")</f>
        <v>יד להשם</v>
      </c>
    </row>
    <row r="17145" spans="1:6" x14ac:dyDescent="0.2">
      <c r="A17145" t="s">
        <v>28347</v>
      </c>
      <c r="B17145" t="s">
        <v>28348</v>
      </c>
      <c r="C17145" t="s">
        <v>37</v>
      </c>
      <c r="D17145" t="s">
        <v>245</v>
      </c>
      <c r="E17145" t="s">
        <v>144</v>
      </c>
      <c r="F17145" s="2" t="str">
        <f>HYPERLINK("http://www.otzar.org/book.asp?186843","יד למיגו")</f>
        <v>יד למיגו</v>
      </c>
    </row>
    <row r="17146" spans="1:6" x14ac:dyDescent="0.2">
      <c r="A17146" t="s">
        <v>28349</v>
      </c>
      <c r="B17146" t="s">
        <v>12230</v>
      </c>
      <c r="C17146" t="s">
        <v>20</v>
      </c>
      <c r="E17146" t="s">
        <v>104</v>
      </c>
      <c r="F17146" s="2" t="str">
        <f>HYPERLINK("http://www.otzar.org/book.asp?624769","יד לנתיבתי")</f>
        <v>יד לנתיבתי</v>
      </c>
    </row>
    <row r="17147" spans="1:6" x14ac:dyDescent="0.2">
      <c r="A17147" t="s">
        <v>28350</v>
      </c>
      <c r="B17147" t="s">
        <v>28351</v>
      </c>
      <c r="C17147" t="s">
        <v>1160</v>
      </c>
      <c r="D17147" t="s">
        <v>52</v>
      </c>
      <c r="E17147" t="s">
        <v>3489</v>
      </c>
      <c r="F17147" s="2" t="str">
        <f>HYPERLINK("http://www.otzar.org/book.asp?11235","יד לפאה")</f>
        <v>יד לפאה</v>
      </c>
    </row>
    <row r="17148" spans="1:6" x14ac:dyDescent="0.2">
      <c r="A17148" t="s">
        <v>28352</v>
      </c>
      <c r="B17148" t="s">
        <v>28353</v>
      </c>
      <c r="C17148" t="s">
        <v>244</v>
      </c>
      <c r="D17148" t="s">
        <v>245</v>
      </c>
      <c r="E17148" t="s">
        <v>144</v>
      </c>
      <c r="F17148" s="2" t="str">
        <f>HYPERLINK("http://www.otzar.org/book.asp?600249","יד לשומרים")</f>
        <v>יד לשומרים</v>
      </c>
    </row>
    <row r="17149" spans="1:6" x14ac:dyDescent="0.2">
      <c r="A17149" t="s">
        <v>28354</v>
      </c>
      <c r="B17149" t="s">
        <v>28173</v>
      </c>
      <c r="C17149" t="s">
        <v>356</v>
      </c>
      <c r="D17149" t="s">
        <v>412</v>
      </c>
      <c r="E17149" t="s">
        <v>579</v>
      </c>
      <c r="F17149" s="2" t="str">
        <f>HYPERLINK("http://www.otzar.org/book.asp?148788","יד מאור ושמש ותולדותיו")</f>
        <v>יד מאור ושמש ותולדותיו</v>
      </c>
    </row>
    <row r="17150" spans="1:6" x14ac:dyDescent="0.2">
      <c r="A17150" t="s">
        <v>28355</v>
      </c>
      <c r="B17150" t="s">
        <v>28356</v>
      </c>
      <c r="C17150" t="s">
        <v>1166</v>
      </c>
      <c r="D17150" t="s">
        <v>8830</v>
      </c>
      <c r="E17150" t="s">
        <v>508</v>
      </c>
      <c r="F17150" s="2" t="str">
        <f>HYPERLINK("http://www.otzar.org/book.asp?18857","יד מאיר")</f>
        <v>יד מאיר</v>
      </c>
    </row>
    <row r="17151" spans="1:6" x14ac:dyDescent="0.2">
      <c r="A17151" t="s">
        <v>28355</v>
      </c>
      <c r="B17151" t="s">
        <v>28357</v>
      </c>
      <c r="C17151" t="s">
        <v>728</v>
      </c>
      <c r="D17151" t="s">
        <v>267</v>
      </c>
      <c r="E17151" t="s">
        <v>154</v>
      </c>
      <c r="F17151" s="2" t="str">
        <f>HYPERLINK("http://www.otzar.org/book.asp?101415","יד מאיר")</f>
        <v>יד מאיר</v>
      </c>
    </row>
    <row r="17152" spans="1:6" x14ac:dyDescent="0.2">
      <c r="A17152" t="s">
        <v>28358</v>
      </c>
      <c r="B17152" t="s">
        <v>28359</v>
      </c>
      <c r="C17152" t="s">
        <v>37</v>
      </c>
      <c r="D17152" t="s">
        <v>90</v>
      </c>
      <c r="E17152" t="s">
        <v>144</v>
      </c>
      <c r="F17152" s="2" t="str">
        <f>HYPERLINK("http://www.otzar.org/book.asp?603363","יד מהרש""א - 44 כר'")</f>
        <v>יד מהרש"א - 44 כר'</v>
      </c>
    </row>
    <row r="17153" spans="1:6" x14ac:dyDescent="0.2">
      <c r="A17153" t="s">
        <v>28360</v>
      </c>
      <c r="B17153" t="s">
        <v>28361</v>
      </c>
      <c r="C17153" t="s">
        <v>454</v>
      </c>
      <c r="D17153" t="s">
        <v>14</v>
      </c>
      <c r="E17153" t="s">
        <v>202</v>
      </c>
      <c r="F17153" s="2" t="str">
        <f>HYPERLINK("http://www.otzar.org/book.asp?624561","יד מיכאל")</f>
        <v>יד מיכאל</v>
      </c>
    </row>
    <row r="17154" spans="1:6" x14ac:dyDescent="0.2">
      <c r="A17154" t="s">
        <v>28362</v>
      </c>
      <c r="B17154" t="s">
        <v>28363</v>
      </c>
      <c r="C17154" t="s">
        <v>17</v>
      </c>
      <c r="D17154" t="s">
        <v>52</v>
      </c>
      <c r="E17154" t="s">
        <v>1211</v>
      </c>
      <c r="F17154" s="2" t="str">
        <f>HYPERLINK("http://www.otzar.org/book.asp?60702","יד מלאכי &lt;הוצאת מישור&gt;")</f>
        <v>יד מלאכי &lt;הוצאת מישור&gt;</v>
      </c>
    </row>
    <row r="17155" spans="1:6" x14ac:dyDescent="0.2">
      <c r="A17155" t="s">
        <v>28364</v>
      </c>
      <c r="B17155" t="s">
        <v>28363</v>
      </c>
      <c r="C17155" t="s">
        <v>635</v>
      </c>
      <c r="D17155" t="s">
        <v>855</v>
      </c>
      <c r="E17155" t="s">
        <v>1211</v>
      </c>
      <c r="F17155" s="2" t="str">
        <f>HYPERLINK("http://www.otzar.org/book.asp?104951","יד מלאכי - 3 כר'")</f>
        <v>יד מלאכי - 3 כר'</v>
      </c>
    </row>
    <row r="17156" spans="1:6" x14ac:dyDescent="0.2">
      <c r="A17156" t="s">
        <v>28365</v>
      </c>
      <c r="B17156" t="s">
        <v>8563</v>
      </c>
      <c r="C17156" t="s">
        <v>775</v>
      </c>
      <c r="D17156" t="s">
        <v>8564</v>
      </c>
      <c r="E17156" t="s">
        <v>15</v>
      </c>
      <c r="F17156" s="2" t="str">
        <f>HYPERLINK("http://www.otzar.org/book.asp?22186","יד מלך - 3 כר'")</f>
        <v>יד מלך - 3 כר'</v>
      </c>
    </row>
    <row r="17157" spans="1:6" x14ac:dyDescent="0.2">
      <c r="A17157" t="s">
        <v>28366</v>
      </c>
      <c r="B17157" t="s">
        <v>28367</v>
      </c>
      <c r="C17157" t="s">
        <v>146</v>
      </c>
      <c r="D17157" t="s">
        <v>52</v>
      </c>
      <c r="E17157" t="s">
        <v>15</v>
      </c>
      <c r="F17157" s="2" t="str">
        <f>HYPERLINK("http://www.otzar.org/book.asp?626485","יד מלכים")</f>
        <v>יד מלכים</v>
      </c>
    </row>
    <row r="17158" spans="1:6" x14ac:dyDescent="0.2">
      <c r="A17158" t="s">
        <v>28368</v>
      </c>
      <c r="B17158" t="s">
        <v>28369</v>
      </c>
      <c r="C17158" t="s">
        <v>176</v>
      </c>
      <c r="D17158" t="s">
        <v>14</v>
      </c>
      <c r="E17158" t="s">
        <v>144</v>
      </c>
      <c r="F17158" s="2" t="str">
        <f>HYPERLINK("http://www.otzar.org/book.asp?153519","יד מרדכי - סוכה")</f>
        <v>יד מרדכי - סוכה</v>
      </c>
    </row>
    <row r="17159" spans="1:6" x14ac:dyDescent="0.2">
      <c r="A17159" t="s">
        <v>28370</v>
      </c>
      <c r="B17159" t="s">
        <v>11272</v>
      </c>
      <c r="C17159" t="s">
        <v>2076</v>
      </c>
      <c r="D17159" t="s">
        <v>56</v>
      </c>
      <c r="E17159" t="s">
        <v>2533</v>
      </c>
      <c r="F17159" s="2" t="str">
        <f>HYPERLINK("http://www.otzar.org/book.asp?9258","יד מרדכי - א")</f>
        <v>יד מרדכי - א</v>
      </c>
    </row>
    <row r="17160" spans="1:6" x14ac:dyDescent="0.2">
      <c r="A17160" t="s">
        <v>28371</v>
      </c>
      <c r="B17160" t="s">
        <v>10394</v>
      </c>
      <c r="C17160" t="s">
        <v>1246</v>
      </c>
      <c r="D17160" t="s">
        <v>27</v>
      </c>
      <c r="E17160" t="s">
        <v>579</v>
      </c>
      <c r="F17160" s="2" t="str">
        <f>HYPERLINK("http://www.otzar.org/book.asp?14243","יד מרדכי")</f>
        <v>יד מרדכי</v>
      </c>
    </row>
    <row r="17161" spans="1:6" x14ac:dyDescent="0.2">
      <c r="A17161" t="s">
        <v>28371</v>
      </c>
      <c r="B17161" t="s">
        <v>28372</v>
      </c>
      <c r="C17161" t="s">
        <v>533</v>
      </c>
      <c r="D17161" t="s">
        <v>134</v>
      </c>
      <c r="E17161" t="s">
        <v>559</v>
      </c>
      <c r="F17161" s="2" t="str">
        <f>HYPERLINK("http://www.otzar.org/book.asp?63649","יד מרדכי")</f>
        <v>יד מרדכי</v>
      </c>
    </row>
    <row r="17162" spans="1:6" x14ac:dyDescent="0.2">
      <c r="A17162" t="s">
        <v>28373</v>
      </c>
      <c r="B17162" t="s">
        <v>28374</v>
      </c>
      <c r="C17162" t="s">
        <v>12024</v>
      </c>
      <c r="D17162" t="s">
        <v>1023</v>
      </c>
      <c r="E17162" t="s">
        <v>2879</v>
      </c>
      <c r="F17162" s="2" t="str">
        <f>HYPERLINK("http://www.otzar.org/book.asp?103209","יד משה")</f>
        <v>יד משה</v>
      </c>
    </row>
    <row r="17163" spans="1:6" x14ac:dyDescent="0.2">
      <c r="A17163" t="s">
        <v>28373</v>
      </c>
      <c r="B17163" t="s">
        <v>14169</v>
      </c>
      <c r="C17163" t="s">
        <v>10859</v>
      </c>
      <c r="D17163" t="s">
        <v>76</v>
      </c>
      <c r="E17163" t="s">
        <v>28375</v>
      </c>
      <c r="F17163" s="2" t="str">
        <f>HYPERLINK("http://www.otzar.org/book.asp?15751","יד משה")</f>
        <v>יד משה</v>
      </c>
    </row>
    <row r="17164" spans="1:6" x14ac:dyDescent="0.2">
      <c r="A17164" t="s">
        <v>28376</v>
      </c>
      <c r="B17164" t="s">
        <v>28377</v>
      </c>
      <c r="C17164" t="s">
        <v>20</v>
      </c>
      <c r="D17164" t="s">
        <v>90</v>
      </c>
      <c r="E17164" t="s">
        <v>144</v>
      </c>
      <c r="F17164" s="2" t="str">
        <f>HYPERLINK("http://www.otzar.org/book.asp?172536","יד משה - 8 כר'")</f>
        <v>יד משה - 8 כר'</v>
      </c>
    </row>
    <row r="17165" spans="1:6" x14ac:dyDescent="0.2">
      <c r="A17165" t="s">
        <v>28378</v>
      </c>
      <c r="B17165" t="s">
        <v>28379</v>
      </c>
      <c r="C17165" t="s">
        <v>146</v>
      </c>
      <c r="D17165" t="s">
        <v>52</v>
      </c>
      <c r="E17165" t="s">
        <v>186</v>
      </c>
      <c r="F17165" s="2" t="str">
        <f>HYPERLINK("http://www.otzar.org/book.asp?162112","יד משה - בבא בתרא")</f>
        <v>יד משה - בבא בתרא</v>
      </c>
    </row>
    <row r="17166" spans="1:6" x14ac:dyDescent="0.2">
      <c r="A17166" t="s">
        <v>28380</v>
      </c>
      <c r="B17166" t="s">
        <v>11051</v>
      </c>
      <c r="C17166" t="s">
        <v>433</v>
      </c>
      <c r="D17166" t="s">
        <v>1889</v>
      </c>
      <c r="E17166" t="s">
        <v>158</v>
      </c>
      <c r="F17166" s="2" t="str">
        <f>HYPERLINK("http://www.otzar.org/book.asp?300528","יד משה - א")</f>
        <v>יד משה - א</v>
      </c>
    </row>
    <row r="17167" spans="1:6" x14ac:dyDescent="0.2">
      <c r="A17167" t="s">
        <v>28373</v>
      </c>
      <c r="B17167" t="s">
        <v>28381</v>
      </c>
      <c r="C17167" t="s">
        <v>624</v>
      </c>
      <c r="D17167" t="s">
        <v>21</v>
      </c>
      <c r="E17167" t="s">
        <v>202</v>
      </c>
      <c r="F17167" s="2" t="str">
        <f>HYPERLINK("http://www.otzar.org/book.asp?605886","יד משה")</f>
        <v>יד משה</v>
      </c>
    </row>
    <row r="17168" spans="1:6" x14ac:dyDescent="0.2">
      <c r="A17168" t="s">
        <v>28373</v>
      </c>
      <c r="B17168" t="s">
        <v>565</v>
      </c>
      <c r="C17168" t="s">
        <v>4705</v>
      </c>
      <c r="D17168" t="s">
        <v>283</v>
      </c>
      <c r="E17168" t="s">
        <v>508</v>
      </c>
      <c r="F17168" s="2" t="str">
        <f>HYPERLINK("http://www.otzar.org/book.asp?200223","יד משה")</f>
        <v>יד משה</v>
      </c>
    </row>
    <row r="17169" spans="1:6" x14ac:dyDescent="0.2">
      <c r="A17169" t="s">
        <v>28373</v>
      </c>
      <c r="B17169" t="s">
        <v>489</v>
      </c>
      <c r="C17169" t="s">
        <v>189</v>
      </c>
      <c r="D17169" t="s">
        <v>8245</v>
      </c>
      <c r="E17169" t="s">
        <v>202</v>
      </c>
      <c r="F17169" s="2" t="str">
        <f>HYPERLINK("http://www.otzar.org/book.asp?152429","יד משה")</f>
        <v>יד משה</v>
      </c>
    </row>
    <row r="17170" spans="1:6" x14ac:dyDescent="0.2">
      <c r="A17170" t="s">
        <v>28373</v>
      </c>
      <c r="B17170" t="s">
        <v>28382</v>
      </c>
      <c r="C17170" t="s">
        <v>1166</v>
      </c>
      <c r="D17170" t="s">
        <v>225</v>
      </c>
      <c r="E17170" t="s">
        <v>474</v>
      </c>
      <c r="F17170" s="2" t="str">
        <f>HYPERLINK("http://www.otzar.org/book.asp?18858","יד משה")</f>
        <v>יד משה</v>
      </c>
    </row>
    <row r="17171" spans="1:6" x14ac:dyDescent="0.2">
      <c r="A17171" t="s">
        <v>28383</v>
      </c>
      <c r="B17171" t="s">
        <v>16182</v>
      </c>
      <c r="C17171" t="s">
        <v>538</v>
      </c>
      <c r="D17171" t="s">
        <v>76</v>
      </c>
      <c r="E17171" t="s">
        <v>22155</v>
      </c>
      <c r="F17171" s="2" t="str">
        <f>HYPERLINK("http://www.otzar.org/book.asp?200225","יד נאמ""ן")</f>
        <v>יד נאמ"ן</v>
      </c>
    </row>
    <row r="17172" spans="1:6" x14ac:dyDescent="0.2">
      <c r="A17172" t="s">
        <v>28384</v>
      </c>
      <c r="B17172" t="s">
        <v>206</v>
      </c>
      <c r="C17172" t="s">
        <v>466</v>
      </c>
      <c r="D17172" t="s">
        <v>52</v>
      </c>
      <c r="F17172" s="2" t="str">
        <f>HYPERLINK("http://www.otzar.org/book.asp?157592","יד נחמיה &lt;מנהגי ליל הסדר דק""ק תימן&gt;")</f>
        <v>יד נחמיה &lt;מנהגי ליל הסדר דק"ק תימן&gt;</v>
      </c>
    </row>
    <row r="17173" spans="1:6" x14ac:dyDescent="0.2">
      <c r="A17173" t="s">
        <v>28385</v>
      </c>
      <c r="B17173" t="s">
        <v>8048</v>
      </c>
      <c r="C17173" t="s">
        <v>1160</v>
      </c>
      <c r="D17173" t="s">
        <v>52</v>
      </c>
      <c r="E17173" t="s">
        <v>246</v>
      </c>
      <c r="F17173" s="2" t="str">
        <f>HYPERLINK("http://www.otzar.org/book.asp?63766","יד נתן - 3 כר'")</f>
        <v>יד נתן - 3 כר'</v>
      </c>
    </row>
    <row r="17174" spans="1:6" x14ac:dyDescent="0.2">
      <c r="A17174" t="s">
        <v>28386</v>
      </c>
      <c r="B17174" t="s">
        <v>28387</v>
      </c>
      <c r="D17174" t="s">
        <v>1156</v>
      </c>
      <c r="F17174" s="2" t="str">
        <f>HYPERLINK("http://www.otzar.org/book.asp?614443","יד נתן - נדה")</f>
        <v>יד נתן - נדה</v>
      </c>
    </row>
    <row r="17175" spans="1:6" x14ac:dyDescent="0.2">
      <c r="A17175" t="s">
        <v>28388</v>
      </c>
      <c r="B17175" t="s">
        <v>28389</v>
      </c>
      <c r="C17175" t="s">
        <v>8</v>
      </c>
      <c r="D17175" t="s">
        <v>592</v>
      </c>
      <c r="E17175" t="s">
        <v>104</v>
      </c>
      <c r="F17175" s="2" t="str">
        <f>HYPERLINK("http://www.otzar.org/book.asp?626411","יד נתן")</f>
        <v>יד נתן</v>
      </c>
    </row>
    <row r="17176" spans="1:6" x14ac:dyDescent="0.2">
      <c r="A17176" t="s">
        <v>28390</v>
      </c>
      <c r="B17176" t="s">
        <v>28391</v>
      </c>
      <c r="C17176" t="s">
        <v>553</v>
      </c>
      <c r="D17176" t="s">
        <v>14</v>
      </c>
      <c r="E17176" t="s">
        <v>154</v>
      </c>
      <c r="F17176" s="2" t="str">
        <f>HYPERLINK("http://www.otzar.org/book.asp?26734","יד סופר &lt;תשובות&gt; - א ב")</f>
        <v>יד סופר &lt;תשובות&gt; - א ב</v>
      </c>
    </row>
    <row r="17177" spans="1:6" x14ac:dyDescent="0.2">
      <c r="A17177" t="s">
        <v>28392</v>
      </c>
      <c r="B17177" t="s">
        <v>28391</v>
      </c>
      <c r="C17177" t="s">
        <v>237</v>
      </c>
      <c r="D17177" t="s">
        <v>974</v>
      </c>
      <c r="E17177" t="s">
        <v>154</v>
      </c>
      <c r="F17177" s="2" t="str">
        <f>HYPERLINK("http://www.otzar.org/book.asp?13765","יד סופר - 2 כר'")</f>
        <v>יד סופר - 2 כר'</v>
      </c>
    </row>
    <row r="17178" spans="1:6" x14ac:dyDescent="0.2">
      <c r="A17178" t="s">
        <v>28393</v>
      </c>
      <c r="B17178" t="s">
        <v>28394</v>
      </c>
      <c r="C17178" t="s">
        <v>422</v>
      </c>
      <c r="D17178" t="s">
        <v>52</v>
      </c>
      <c r="F17178" s="2" t="str">
        <f>HYPERLINK("http://www.otzar.org/book.asp?169689","יד על כס")</f>
        <v>יד על כס</v>
      </c>
    </row>
    <row r="17179" spans="1:6" x14ac:dyDescent="0.2">
      <c r="A17179" t="s">
        <v>28395</v>
      </c>
      <c r="E17179" t="s">
        <v>674</v>
      </c>
      <c r="F17179" s="2" t="str">
        <f>HYPERLINK("http://www.otzar.org/book.asp?615464","יד עם קודש")</f>
        <v>יד עם קודש</v>
      </c>
    </row>
    <row r="17180" spans="1:6" x14ac:dyDescent="0.2">
      <c r="A17180" t="s">
        <v>28396</v>
      </c>
      <c r="B17180" t="s">
        <v>206</v>
      </c>
      <c r="C17180" t="s">
        <v>114</v>
      </c>
      <c r="D17180" t="s">
        <v>52</v>
      </c>
      <c r="E17180" t="s">
        <v>144</v>
      </c>
      <c r="F17180" s="2" t="str">
        <f>HYPERLINK("http://www.otzar.org/book.asp?162539","יד עני - הוצאה")</f>
        <v>יד עני - הוצאה</v>
      </c>
    </row>
    <row r="17181" spans="1:6" x14ac:dyDescent="0.2">
      <c r="A17181" t="s">
        <v>28397</v>
      </c>
      <c r="B17181" t="s">
        <v>28398</v>
      </c>
      <c r="C17181" t="s">
        <v>609</v>
      </c>
      <c r="D17181" t="s">
        <v>563</v>
      </c>
      <c r="E17181" t="s">
        <v>234</v>
      </c>
      <c r="F17181" s="2" t="str">
        <f>HYPERLINK("http://www.otzar.org/book.asp?158863","יד פינחס")</f>
        <v>יד פינחס</v>
      </c>
    </row>
    <row r="17182" spans="1:6" x14ac:dyDescent="0.2">
      <c r="A17182" t="s">
        <v>28399</v>
      </c>
      <c r="B17182" t="s">
        <v>28400</v>
      </c>
      <c r="C17182" t="s">
        <v>37</v>
      </c>
      <c r="D17182" t="s">
        <v>412</v>
      </c>
      <c r="E17182" t="s">
        <v>20725</v>
      </c>
      <c r="F17182" s="2" t="str">
        <f>HYPERLINK("http://www.otzar.org/book.asp?182292","יד פלטיאל - 2 כר'")</f>
        <v>יד פלטיאל - 2 כר'</v>
      </c>
    </row>
    <row r="17183" spans="1:6" x14ac:dyDescent="0.2">
      <c r="A17183" t="s">
        <v>28401</v>
      </c>
      <c r="B17183" t="s">
        <v>301</v>
      </c>
      <c r="C17183" t="s">
        <v>1663</v>
      </c>
      <c r="D17183" t="s">
        <v>260</v>
      </c>
      <c r="E17183" t="s">
        <v>28402</v>
      </c>
      <c r="F17183" s="2" t="str">
        <f>HYPERLINK("http://www.otzar.org/book.asp?102731","יד רא""ם &lt;סמיכת חכמים, ספר תירוכין&gt;")</f>
        <v>יד רא"ם &lt;סמיכת חכמים, ספר תירוכין&gt;</v>
      </c>
    </row>
    <row r="17184" spans="1:6" x14ac:dyDescent="0.2">
      <c r="A17184" t="s">
        <v>28403</v>
      </c>
      <c r="B17184" t="s">
        <v>552</v>
      </c>
      <c r="C17184" t="s">
        <v>106</v>
      </c>
      <c r="D17184" t="s">
        <v>14</v>
      </c>
      <c r="E17184" t="s">
        <v>186</v>
      </c>
      <c r="F17184" s="2" t="str">
        <f>HYPERLINK("http://www.otzar.org/book.asp?15028","יד רא""ם [ליפשיץ]")</f>
        <v>יד רא"ם [ליפשיץ]</v>
      </c>
    </row>
    <row r="17185" spans="1:6" x14ac:dyDescent="0.2">
      <c r="A17185" t="s">
        <v>28404</v>
      </c>
      <c r="B17185" t="s">
        <v>16795</v>
      </c>
      <c r="C17185" t="s">
        <v>550</v>
      </c>
      <c r="D17185" t="s">
        <v>1279</v>
      </c>
      <c r="E17185" t="s">
        <v>674</v>
      </c>
      <c r="F17185" s="2" t="str">
        <f>HYPERLINK("http://www.otzar.org/book.asp?25650","יד רמ""א")</f>
        <v>יד רמ"א</v>
      </c>
    </row>
    <row r="17186" spans="1:6" x14ac:dyDescent="0.2">
      <c r="A17186" t="s">
        <v>28405</v>
      </c>
      <c r="B17186" t="s">
        <v>28406</v>
      </c>
      <c r="C17186" t="s">
        <v>1202</v>
      </c>
      <c r="D17186" t="s">
        <v>691</v>
      </c>
      <c r="E17186" t="s">
        <v>172</v>
      </c>
      <c r="F17186" s="2" t="str">
        <f>HYPERLINK("http://www.otzar.org/book.asp?101338","יד רמ""ה")</f>
        <v>יד רמ"ה</v>
      </c>
    </row>
    <row r="17187" spans="1:6" x14ac:dyDescent="0.2">
      <c r="A17187" t="s">
        <v>28407</v>
      </c>
      <c r="B17187" t="s">
        <v>25449</v>
      </c>
      <c r="C17187" t="s">
        <v>395</v>
      </c>
      <c r="D17187" t="s">
        <v>283</v>
      </c>
      <c r="E17187" t="s">
        <v>144</v>
      </c>
      <c r="F17187" s="2" t="str">
        <f>HYPERLINK("http://www.otzar.org/book.asp?150090","יד רמה - 7 כר'")</f>
        <v>יד רמה - 7 כר'</v>
      </c>
    </row>
    <row r="17188" spans="1:6" x14ac:dyDescent="0.2">
      <c r="A17188" t="s">
        <v>28408</v>
      </c>
      <c r="B17188" t="s">
        <v>28409</v>
      </c>
      <c r="C17188" t="s">
        <v>1470</v>
      </c>
      <c r="D17188" t="s">
        <v>2009</v>
      </c>
      <c r="E17188" t="s">
        <v>154</v>
      </c>
      <c r="F17188" s="2" t="str">
        <f>HYPERLINK("http://www.otzar.org/book.asp?17049","יד רמה")</f>
        <v>יד רמה</v>
      </c>
    </row>
    <row r="17189" spans="1:6" x14ac:dyDescent="0.2">
      <c r="A17189" t="s">
        <v>28410</v>
      </c>
      <c r="B17189" t="s">
        <v>27573</v>
      </c>
      <c r="C17189" t="s">
        <v>244</v>
      </c>
      <c r="D17189" t="s">
        <v>7116</v>
      </c>
      <c r="F17189" s="2" t="str">
        <f>HYPERLINK("http://www.otzar.org/book.asp?601110","יד רפאל - יומא")</f>
        <v>יד רפאל - יומא</v>
      </c>
    </row>
    <row r="17190" spans="1:6" x14ac:dyDescent="0.2">
      <c r="A17190" t="s">
        <v>28411</v>
      </c>
      <c r="B17190" t="s">
        <v>28412</v>
      </c>
      <c r="C17190" t="s">
        <v>422</v>
      </c>
      <c r="D17190" t="s">
        <v>52</v>
      </c>
      <c r="E17190" t="s">
        <v>158</v>
      </c>
      <c r="F17190" s="2" t="str">
        <f>HYPERLINK("http://www.otzar.org/book.asp?156400","יד שאול ונהר שלום")</f>
        <v>יד שאול ונהר שלום</v>
      </c>
    </row>
    <row r="17191" spans="1:6" x14ac:dyDescent="0.2">
      <c r="A17191" t="s">
        <v>28413</v>
      </c>
      <c r="B17191" t="s">
        <v>28414</v>
      </c>
      <c r="C17191" t="s">
        <v>224</v>
      </c>
      <c r="D17191" t="s">
        <v>27</v>
      </c>
      <c r="E17191" t="s">
        <v>837</v>
      </c>
      <c r="F17191" s="2" t="str">
        <f>HYPERLINK("http://www.otzar.org/book.asp?11960","יד שאול")</f>
        <v>יד שאול</v>
      </c>
    </row>
    <row r="17192" spans="1:6" x14ac:dyDescent="0.2">
      <c r="A17192" t="s">
        <v>28413</v>
      </c>
      <c r="B17192" t="s">
        <v>28415</v>
      </c>
      <c r="C17192" t="s">
        <v>3106</v>
      </c>
      <c r="D17192" t="s">
        <v>260</v>
      </c>
      <c r="E17192" t="s">
        <v>202</v>
      </c>
      <c r="F17192" s="2" t="str">
        <f>HYPERLINK("http://www.otzar.org/book.asp?14986","יד שאול")</f>
        <v>יד שאול</v>
      </c>
    </row>
    <row r="17193" spans="1:6" x14ac:dyDescent="0.2">
      <c r="A17193" t="s">
        <v>28416</v>
      </c>
      <c r="B17193" t="s">
        <v>6073</v>
      </c>
      <c r="C17193" t="s">
        <v>270</v>
      </c>
      <c r="D17193" t="s">
        <v>267</v>
      </c>
      <c r="E17193" t="s">
        <v>148</v>
      </c>
      <c r="F17193" s="2" t="str">
        <f>HYPERLINK("http://www.otzar.org/book.asp?17564","יד שאול - 2 כר'")</f>
        <v>יד שאול - 2 כר'</v>
      </c>
    </row>
    <row r="17194" spans="1:6" x14ac:dyDescent="0.2">
      <c r="A17194" t="s">
        <v>28417</v>
      </c>
      <c r="B17194" t="s">
        <v>28418</v>
      </c>
      <c r="C17194" t="s">
        <v>1058</v>
      </c>
      <c r="D17194" t="s">
        <v>283</v>
      </c>
      <c r="E17194" t="s">
        <v>144</v>
      </c>
      <c r="F17194" s="2" t="str">
        <f>HYPERLINK("http://www.otzar.org/book.asp?18859","יד של שלמה")</f>
        <v>יד של שלמה</v>
      </c>
    </row>
    <row r="17195" spans="1:6" x14ac:dyDescent="0.2">
      <c r="A17195" t="s">
        <v>28419</v>
      </c>
      <c r="B17195" t="s">
        <v>16968</v>
      </c>
      <c r="C17195" t="s">
        <v>1166</v>
      </c>
      <c r="D17195" t="s">
        <v>1913</v>
      </c>
      <c r="E17195" t="s">
        <v>154</v>
      </c>
      <c r="F17195" s="2" t="str">
        <f>HYPERLINK("http://www.otzar.org/book.asp?18860","יד שלוחה")</f>
        <v>יד שלוחה</v>
      </c>
    </row>
    <row r="17196" spans="1:6" x14ac:dyDescent="0.2">
      <c r="A17196" t="s">
        <v>28420</v>
      </c>
      <c r="B17196" t="s">
        <v>28421</v>
      </c>
      <c r="C17196" t="s">
        <v>360</v>
      </c>
      <c r="D17196" t="s">
        <v>8463</v>
      </c>
      <c r="E17196" t="s">
        <v>154</v>
      </c>
      <c r="F17196" s="2" t="str">
        <f>HYPERLINK("http://www.otzar.org/book.asp?11002","יד שלום - 2 כר'")</f>
        <v>יד שלום - 2 כר'</v>
      </c>
    </row>
    <row r="17197" spans="1:6" x14ac:dyDescent="0.2">
      <c r="A17197" t="s">
        <v>28422</v>
      </c>
      <c r="B17197" t="s">
        <v>28423</v>
      </c>
      <c r="C17197" t="s">
        <v>445</v>
      </c>
      <c r="D17197" t="s">
        <v>225</v>
      </c>
      <c r="E17197" t="s">
        <v>28424</v>
      </c>
      <c r="F17197" s="2" t="str">
        <f>HYPERLINK("http://www.otzar.org/book.asp?18861","יד שלום")</f>
        <v>יד שלום</v>
      </c>
    </row>
    <row r="17198" spans="1:6" x14ac:dyDescent="0.2">
      <c r="A17198" t="s">
        <v>28420</v>
      </c>
      <c r="B17198" t="s">
        <v>2630</v>
      </c>
      <c r="C17198" t="s">
        <v>366</v>
      </c>
      <c r="D17198" t="s">
        <v>14</v>
      </c>
      <c r="E17198" t="s">
        <v>144</v>
      </c>
      <c r="F17198" s="2" t="str">
        <f>HYPERLINK("http://www.otzar.org/book.asp?606712","יד שלום - 2 כר'")</f>
        <v>יד שלום - 2 כר'</v>
      </c>
    </row>
    <row r="17199" spans="1:6" x14ac:dyDescent="0.2">
      <c r="A17199" t="s">
        <v>28425</v>
      </c>
      <c r="B17199" t="s">
        <v>28426</v>
      </c>
      <c r="C17199" t="s">
        <v>244</v>
      </c>
      <c r="D17199" t="s">
        <v>412</v>
      </c>
      <c r="E17199" t="s">
        <v>230</v>
      </c>
      <c r="F17199" s="2" t="str">
        <f>HYPERLINK("http://www.otzar.org/book.asp?198077","יד שלום - 3 כר'")</f>
        <v>יד שלום - 3 כר'</v>
      </c>
    </row>
    <row r="17200" spans="1:6" x14ac:dyDescent="0.2">
      <c r="A17200" t="s">
        <v>28427</v>
      </c>
      <c r="B17200" t="s">
        <v>552</v>
      </c>
      <c r="C17200" t="s">
        <v>553</v>
      </c>
      <c r="D17200" t="s">
        <v>412</v>
      </c>
      <c r="E17200" t="s">
        <v>2248</v>
      </c>
      <c r="F17200" s="2" t="str">
        <f>HYPERLINK("http://www.otzar.org/book.asp?12952","יד שלמה [נוסבאום]")</f>
        <v>יד שלמה [נוסבאום]</v>
      </c>
    </row>
    <row r="17201" spans="1:6" x14ac:dyDescent="0.2">
      <c r="A17201" t="s">
        <v>28428</v>
      </c>
      <c r="B17201" t="s">
        <v>28429</v>
      </c>
      <c r="C17201" t="s">
        <v>2271</v>
      </c>
      <c r="D17201" t="s">
        <v>76</v>
      </c>
      <c r="E17201" t="s">
        <v>234</v>
      </c>
      <c r="F17201" s="2" t="str">
        <f>HYPERLINK("http://www.otzar.org/book.asp?103180","יד שלמה")</f>
        <v>יד שלמה</v>
      </c>
    </row>
    <row r="17202" spans="1:6" x14ac:dyDescent="0.2">
      <c r="A17202" t="s">
        <v>28428</v>
      </c>
      <c r="B17202" t="s">
        <v>28430</v>
      </c>
      <c r="C17202" t="s">
        <v>17</v>
      </c>
      <c r="D17202" t="s">
        <v>14</v>
      </c>
      <c r="E17202" t="s">
        <v>144</v>
      </c>
      <c r="F17202" s="2" t="str">
        <f>HYPERLINK("http://www.otzar.org/book.asp?146474","יד שלמה")</f>
        <v>יד שלמה</v>
      </c>
    </row>
    <row r="17203" spans="1:6" x14ac:dyDescent="0.2">
      <c r="A17203" t="s">
        <v>28431</v>
      </c>
      <c r="B17203" t="s">
        <v>28432</v>
      </c>
      <c r="C17203" t="s">
        <v>114</v>
      </c>
      <c r="D17203" t="s">
        <v>412</v>
      </c>
      <c r="E17203" t="s">
        <v>144</v>
      </c>
      <c r="F17203" s="2" t="str">
        <f>HYPERLINK("http://www.otzar.org/book.asp?194272","יד שלמה - יבמות")</f>
        <v>יד שלמה - יבמות</v>
      </c>
    </row>
    <row r="17204" spans="1:6" x14ac:dyDescent="0.2">
      <c r="A17204" t="s">
        <v>28428</v>
      </c>
      <c r="B17204" t="s">
        <v>28433</v>
      </c>
      <c r="C17204" t="s">
        <v>888</v>
      </c>
      <c r="D17204" t="s">
        <v>283</v>
      </c>
      <c r="E17204" t="s">
        <v>154</v>
      </c>
      <c r="F17204" s="2" t="str">
        <f>HYPERLINK("http://www.otzar.org/book.asp?102732","יד שלמה")</f>
        <v>יד שלמה</v>
      </c>
    </row>
    <row r="17205" spans="1:6" x14ac:dyDescent="0.2">
      <c r="A17205" t="s">
        <v>28428</v>
      </c>
      <c r="B17205" t="s">
        <v>28434</v>
      </c>
      <c r="C17205" t="s">
        <v>411</v>
      </c>
      <c r="D17205" t="s">
        <v>52</v>
      </c>
      <c r="E17205" t="s">
        <v>15</v>
      </c>
      <c r="F17205" s="2" t="str">
        <f>HYPERLINK("http://www.otzar.org/book.asp?175430","יד שלמה")</f>
        <v>יד שלמה</v>
      </c>
    </row>
    <row r="17206" spans="1:6" x14ac:dyDescent="0.2">
      <c r="A17206" t="s">
        <v>28428</v>
      </c>
      <c r="B17206" t="s">
        <v>28435</v>
      </c>
      <c r="C17206" t="s">
        <v>390</v>
      </c>
      <c r="D17206" t="s">
        <v>14</v>
      </c>
      <c r="E17206" t="s">
        <v>144</v>
      </c>
      <c r="F17206" s="2" t="str">
        <f>HYPERLINK("http://www.otzar.org/book.asp?63829","יד שלמה")</f>
        <v>יד שלמה</v>
      </c>
    </row>
    <row r="17207" spans="1:6" x14ac:dyDescent="0.2">
      <c r="A17207" t="s">
        <v>28428</v>
      </c>
      <c r="B17207" t="s">
        <v>28436</v>
      </c>
      <c r="C17207" t="s">
        <v>635</v>
      </c>
      <c r="D17207" t="s">
        <v>283</v>
      </c>
      <c r="E17207" t="s">
        <v>529</v>
      </c>
      <c r="F17207" s="2" t="str">
        <f>HYPERLINK("http://www.otzar.org/book.asp?101824","יד שלמה")</f>
        <v>יד שלמה</v>
      </c>
    </row>
    <row r="17208" spans="1:6" x14ac:dyDescent="0.2">
      <c r="A17208" t="s">
        <v>28437</v>
      </c>
      <c r="B17208" t="s">
        <v>28438</v>
      </c>
      <c r="C17208" t="s">
        <v>20</v>
      </c>
      <c r="D17208" t="s">
        <v>2458</v>
      </c>
      <c r="E17208" t="s">
        <v>144</v>
      </c>
      <c r="F17208" s="2" t="str">
        <f>HYPERLINK("http://www.otzar.org/book.asp?180890","יד שמואל")</f>
        <v>יד שמואל</v>
      </c>
    </row>
    <row r="17209" spans="1:6" x14ac:dyDescent="0.2">
      <c r="A17209" t="s">
        <v>28439</v>
      </c>
      <c r="B17209" t="s">
        <v>6762</v>
      </c>
      <c r="C17209" t="s">
        <v>114</v>
      </c>
      <c r="D17209" t="s">
        <v>21</v>
      </c>
      <c r="E17209" t="s">
        <v>8469</v>
      </c>
      <c r="F17209" s="2" t="str">
        <f>HYPERLINK("http://www.otzar.org/book.asp?193126","יד שמעון - מגילת רות, איכה, קהלת פרקי אבות")</f>
        <v>יד שמעון - מגילת רות, איכה, קהלת פרקי אבות</v>
      </c>
    </row>
    <row r="17210" spans="1:6" x14ac:dyDescent="0.2">
      <c r="A17210" t="s">
        <v>28440</v>
      </c>
      <c r="B17210" t="s">
        <v>6663</v>
      </c>
      <c r="C17210" t="s">
        <v>129</v>
      </c>
      <c r="D17210" t="s">
        <v>90</v>
      </c>
      <c r="E17210" t="s">
        <v>154</v>
      </c>
      <c r="F17210" s="2" t="str">
        <f>HYPERLINK("http://www.otzar.org/book.asp?147966","ידבר פי - ב")</f>
        <v>ידבר פי - ב</v>
      </c>
    </row>
    <row r="17211" spans="1:6" x14ac:dyDescent="0.2">
      <c r="A17211" t="s">
        <v>28441</v>
      </c>
      <c r="B17211" t="s">
        <v>1112</v>
      </c>
      <c r="C17211" t="s">
        <v>1310</v>
      </c>
      <c r="D17211" t="s">
        <v>157</v>
      </c>
      <c r="E17211" t="s">
        <v>28442</v>
      </c>
      <c r="F17211" s="2" t="str">
        <f>HYPERLINK("http://www.otzar.org/book.asp?15766","ידו בכל")</f>
        <v>ידו בכל</v>
      </c>
    </row>
    <row r="17212" spans="1:6" x14ac:dyDescent="0.2">
      <c r="A17212" t="s">
        <v>28443</v>
      </c>
      <c r="B17212" t="s">
        <v>206</v>
      </c>
      <c r="C17212" t="s">
        <v>411</v>
      </c>
      <c r="D17212" t="s">
        <v>14</v>
      </c>
      <c r="E17212" t="s">
        <v>246</v>
      </c>
      <c r="F17212" s="2" t="str">
        <f>HYPERLINK("http://www.otzar.org/book.asp?167150","ידון משה")</f>
        <v>ידון משה</v>
      </c>
    </row>
    <row r="17213" spans="1:6" x14ac:dyDescent="0.2">
      <c r="A17213" t="s">
        <v>28444</v>
      </c>
      <c r="B17213" t="s">
        <v>28445</v>
      </c>
      <c r="C17213" t="s">
        <v>2870</v>
      </c>
      <c r="D17213" t="s">
        <v>23921</v>
      </c>
      <c r="E17213" t="s">
        <v>144</v>
      </c>
      <c r="F17213" s="2" t="str">
        <f>HYPERLINK("http://www.otzar.org/book.asp?19441","ידות אפרים &lt;שארית יעקב&gt;")</f>
        <v>ידות אפרים &lt;שארית יעקב&gt;</v>
      </c>
    </row>
    <row r="17214" spans="1:6" x14ac:dyDescent="0.2">
      <c r="A17214" t="s">
        <v>28446</v>
      </c>
      <c r="B17214" t="s">
        <v>15264</v>
      </c>
      <c r="C17214" t="s">
        <v>422</v>
      </c>
      <c r="D17214" t="s">
        <v>14</v>
      </c>
      <c r="E17214" t="s">
        <v>14089</v>
      </c>
      <c r="F17214" s="2" t="str">
        <f>HYPERLINK("http://www.otzar.org/book.asp?163240","ידות אפרים - 2 כר'")</f>
        <v>ידות אפרים - 2 כר'</v>
      </c>
    </row>
    <row r="17215" spans="1:6" x14ac:dyDescent="0.2">
      <c r="A17215" t="s">
        <v>28447</v>
      </c>
      <c r="B17215" t="s">
        <v>17357</v>
      </c>
      <c r="C17215" t="s">
        <v>37</v>
      </c>
      <c r="D17215" t="s">
        <v>646</v>
      </c>
      <c r="F17215" s="2" t="str">
        <f>HYPERLINK("http://www.otzar.org/book.asp?612286","ידות דרכים")</f>
        <v>ידות דרכים</v>
      </c>
    </row>
    <row r="17216" spans="1:6" x14ac:dyDescent="0.2">
      <c r="A17216" t="s">
        <v>28448</v>
      </c>
      <c r="B17216" t="s">
        <v>17357</v>
      </c>
      <c r="C17216" t="s">
        <v>244</v>
      </c>
      <c r="D17216" t="s">
        <v>646</v>
      </c>
      <c r="F17216" s="2" t="str">
        <f>HYPERLINK("http://www.otzar.org/book.asp?612411","ידות החיים - א")</f>
        <v>ידות החיים - א</v>
      </c>
    </row>
    <row r="17217" spans="1:6" x14ac:dyDescent="0.2">
      <c r="A17217" t="s">
        <v>28449</v>
      </c>
      <c r="B17217" t="s">
        <v>17357</v>
      </c>
      <c r="C17217" t="s">
        <v>366</v>
      </c>
      <c r="D17217" t="s">
        <v>646</v>
      </c>
      <c r="F17217" s="2" t="str">
        <f>HYPERLINK("http://www.otzar.org/book.asp?612287","ידות הלוי")</f>
        <v>ידות הלוי</v>
      </c>
    </row>
    <row r="17218" spans="1:6" x14ac:dyDescent="0.2">
      <c r="A17218" t="s">
        <v>28450</v>
      </c>
      <c r="B17218" t="s">
        <v>28451</v>
      </c>
      <c r="C17218" t="s">
        <v>445</v>
      </c>
      <c r="D17218" t="s">
        <v>28452</v>
      </c>
      <c r="E17218" t="s">
        <v>241</v>
      </c>
      <c r="F17218" s="2" t="str">
        <f>HYPERLINK("http://www.otzar.org/book.asp?106361","ידות המדות")</f>
        <v>ידות המדות</v>
      </c>
    </row>
    <row r="17219" spans="1:6" x14ac:dyDescent="0.2">
      <c r="A17219" t="s">
        <v>28453</v>
      </c>
      <c r="B17219" t="s">
        <v>28454</v>
      </c>
      <c r="C17219" t="s">
        <v>129</v>
      </c>
      <c r="D17219" t="s">
        <v>14</v>
      </c>
      <c r="E17219" t="s">
        <v>674</v>
      </c>
      <c r="F17219" s="2" t="str">
        <f>HYPERLINK("http://www.otzar.org/book.asp?151158","ידות המשנה - 2 כר'")</f>
        <v>ידות המשנה - 2 כר'</v>
      </c>
    </row>
    <row r="17220" spans="1:6" x14ac:dyDescent="0.2">
      <c r="A17220" t="s">
        <v>28455</v>
      </c>
      <c r="B17220" t="s">
        <v>28456</v>
      </c>
      <c r="C17220" t="s">
        <v>13</v>
      </c>
      <c r="D17220" t="s">
        <v>52</v>
      </c>
      <c r="E17220" t="s">
        <v>84</v>
      </c>
      <c r="F17220" s="2" t="str">
        <f>HYPERLINK("http://www.otzar.org/book.asp?160332","ידות כלים")</f>
        <v>ידות כלים</v>
      </c>
    </row>
    <row r="17221" spans="1:6" x14ac:dyDescent="0.2">
      <c r="A17221" t="s">
        <v>28457</v>
      </c>
      <c r="B17221" t="s">
        <v>16509</v>
      </c>
      <c r="C17221" t="s">
        <v>17</v>
      </c>
      <c r="D17221" t="s">
        <v>14</v>
      </c>
      <c r="E17221" t="s">
        <v>15</v>
      </c>
      <c r="F17221" s="2" t="str">
        <f>HYPERLINK("http://www.otzar.org/book.asp?52337","ידות לטהרה")</f>
        <v>ידות לטהרה</v>
      </c>
    </row>
    <row r="17222" spans="1:6" x14ac:dyDescent="0.2">
      <c r="A17222" t="s">
        <v>28458</v>
      </c>
      <c r="B17222" t="s">
        <v>5667</v>
      </c>
      <c r="C17222" t="s">
        <v>23</v>
      </c>
      <c r="D17222" t="s">
        <v>14</v>
      </c>
      <c r="E17222" t="s">
        <v>144</v>
      </c>
      <c r="F17222" s="2" t="str">
        <f>HYPERLINK("http://www.otzar.org/book.asp?193200","ידות נדרים &lt;מהדורה חדשה&gt;")</f>
        <v>ידות נדרים &lt;מהדורה חדשה&gt;</v>
      </c>
    </row>
    <row r="17223" spans="1:6" x14ac:dyDescent="0.2">
      <c r="A17223" t="s">
        <v>28459</v>
      </c>
      <c r="B17223" t="s">
        <v>5667</v>
      </c>
      <c r="C17223" t="s">
        <v>1954</v>
      </c>
      <c r="D17223" t="s">
        <v>9</v>
      </c>
      <c r="E17223" t="s">
        <v>8341</v>
      </c>
      <c r="F17223" s="2" t="str">
        <f>HYPERLINK("http://www.otzar.org/book.asp?7466","ידות נדרים - 2 כר'")</f>
        <v>ידות נדרים - 2 כר'</v>
      </c>
    </row>
    <row r="17224" spans="1:6" x14ac:dyDescent="0.2">
      <c r="A17224" t="s">
        <v>28460</v>
      </c>
      <c r="B17224" t="s">
        <v>28461</v>
      </c>
      <c r="C17224" t="s">
        <v>20</v>
      </c>
      <c r="D17224" t="s">
        <v>1156</v>
      </c>
      <c r="F17224" s="2" t="str">
        <f>HYPERLINK("http://www.otzar.org/book.asp?609555","ידי אהרן - 4 כר'")</f>
        <v>ידי אהרן - 4 כר'</v>
      </c>
    </row>
    <row r="17225" spans="1:6" x14ac:dyDescent="0.2">
      <c r="A17225" t="s">
        <v>28462</v>
      </c>
      <c r="B17225" t="s">
        <v>28463</v>
      </c>
      <c r="C17225" t="s">
        <v>41</v>
      </c>
      <c r="D17225" t="s">
        <v>1490</v>
      </c>
      <c r="E17225" t="s">
        <v>803</v>
      </c>
      <c r="F17225" s="2" t="str">
        <f>HYPERLINK("http://www.otzar.org/book.asp?101337","ידי אליהו")</f>
        <v>ידי אליהו</v>
      </c>
    </row>
    <row r="17226" spans="1:6" x14ac:dyDescent="0.2">
      <c r="A17226" t="s">
        <v>28462</v>
      </c>
      <c r="B17226" t="s">
        <v>6144</v>
      </c>
      <c r="C17226" t="s">
        <v>244</v>
      </c>
      <c r="D17226" t="s">
        <v>52</v>
      </c>
      <c r="E17226" t="s">
        <v>399</v>
      </c>
      <c r="F17226" s="2" t="str">
        <f>HYPERLINK("http://www.otzar.org/book.asp?607143","ידי אליהו")</f>
        <v>ידי אליהו</v>
      </c>
    </row>
    <row r="17227" spans="1:6" x14ac:dyDescent="0.2">
      <c r="A17227" t="s">
        <v>28464</v>
      </c>
      <c r="B17227" t="s">
        <v>28465</v>
      </c>
      <c r="C17227" t="s">
        <v>6054</v>
      </c>
      <c r="D17227" t="s">
        <v>27</v>
      </c>
      <c r="E17227" t="s">
        <v>14422</v>
      </c>
      <c r="F17227" s="2" t="str">
        <f>HYPERLINK("http://www.otzar.org/book.asp?150071","ידי אליהו - 2 כר'")</f>
        <v>ידי אליהו - 2 כר'</v>
      </c>
    </row>
    <row r="17228" spans="1:6" x14ac:dyDescent="0.2">
      <c r="A17228" t="s">
        <v>28466</v>
      </c>
      <c r="B17228" t="s">
        <v>489</v>
      </c>
      <c r="C17228" t="s">
        <v>68</v>
      </c>
      <c r="D17228" t="s">
        <v>14</v>
      </c>
      <c r="E17228" t="s">
        <v>186</v>
      </c>
      <c r="F17228" s="2" t="str">
        <f>HYPERLINK("http://www.otzar.org/book.asp?154419","ידי אמן - בבא מציעא")</f>
        <v>ידי אמן - בבא מציעא</v>
      </c>
    </row>
    <row r="17229" spans="1:6" x14ac:dyDescent="0.2">
      <c r="A17229" t="s">
        <v>28467</v>
      </c>
      <c r="B17229" t="s">
        <v>28468</v>
      </c>
      <c r="C17229" t="s">
        <v>13</v>
      </c>
      <c r="D17229" t="s">
        <v>14</v>
      </c>
      <c r="F17229" s="2" t="str">
        <f>HYPERLINK("http://www.otzar.org/book.asp?613948","ידי אריאל")</f>
        <v>ידי אריאל</v>
      </c>
    </row>
    <row r="17230" spans="1:6" x14ac:dyDescent="0.2">
      <c r="A17230" t="s">
        <v>28469</v>
      </c>
      <c r="B17230" t="s">
        <v>8078</v>
      </c>
      <c r="C17230" t="s">
        <v>291</v>
      </c>
      <c r="D17230" t="s">
        <v>22873</v>
      </c>
      <c r="E17230" t="s">
        <v>144</v>
      </c>
      <c r="F17230" s="2" t="str">
        <f>HYPERLINK("http://www.otzar.org/book.asp?18862","ידי דוד")</f>
        <v>ידי דוד</v>
      </c>
    </row>
    <row r="17231" spans="1:6" x14ac:dyDescent="0.2">
      <c r="A17231" t="s">
        <v>28469</v>
      </c>
      <c r="B17231" t="s">
        <v>28470</v>
      </c>
      <c r="C17231" t="s">
        <v>1310</v>
      </c>
      <c r="D17231" t="s">
        <v>76</v>
      </c>
      <c r="E17231" t="s">
        <v>154</v>
      </c>
      <c r="F17231" s="2" t="str">
        <f>HYPERLINK("http://www.otzar.org/book.asp?52152","ידי דוד")</f>
        <v>ידי דוד</v>
      </c>
    </row>
    <row r="17232" spans="1:6" x14ac:dyDescent="0.2">
      <c r="A17232" t="s">
        <v>28471</v>
      </c>
      <c r="B17232" t="s">
        <v>28472</v>
      </c>
      <c r="C17232" t="s">
        <v>244</v>
      </c>
      <c r="D17232" t="s">
        <v>412</v>
      </c>
      <c r="E17232" t="s">
        <v>4683</v>
      </c>
      <c r="F17232" s="2" t="str">
        <f>HYPERLINK("http://www.otzar.org/book.asp?601492","ידי הלוי")</f>
        <v>ידי הלוי</v>
      </c>
    </row>
    <row r="17233" spans="1:6" x14ac:dyDescent="0.2">
      <c r="A17233" t="s">
        <v>28473</v>
      </c>
      <c r="B17233" t="s">
        <v>28474</v>
      </c>
      <c r="C17233" t="s">
        <v>111</v>
      </c>
      <c r="D17233" t="s">
        <v>1156</v>
      </c>
      <c r="E17233" t="s">
        <v>148</v>
      </c>
      <c r="F17233" s="2" t="str">
        <f>HYPERLINK("http://www.otzar.org/book.asp?629978","ידי השלחן")</f>
        <v>ידי השלחן</v>
      </c>
    </row>
    <row r="17234" spans="1:6" x14ac:dyDescent="0.2">
      <c r="A17234" t="s">
        <v>28475</v>
      </c>
      <c r="B17234" t="s">
        <v>28476</v>
      </c>
      <c r="C17234" t="s">
        <v>129</v>
      </c>
      <c r="D17234" t="s">
        <v>14</v>
      </c>
      <c r="E17234" t="s">
        <v>28477</v>
      </c>
      <c r="F17234" s="2" t="str">
        <f>HYPERLINK("http://www.otzar.org/book.asp?159102","ידי יצחק")</f>
        <v>ידי יצחק</v>
      </c>
    </row>
    <row r="17235" spans="1:6" x14ac:dyDescent="0.2">
      <c r="A17235" t="s">
        <v>28478</v>
      </c>
      <c r="B17235" t="s">
        <v>28335</v>
      </c>
      <c r="C17235" t="s">
        <v>129</v>
      </c>
      <c r="D17235" t="s">
        <v>1156</v>
      </c>
      <c r="E17235" t="s">
        <v>15</v>
      </c>
      <c r="F17235" s="2" t="str">
        <f>HYPERLINK("http://www.otzar.org/book.asp?623978","ידי כהן - 28 כר'")</f>
        <v>ידי כהן - 28 כר'</v>
      </c>
    </row>
    <row r="17236" spans="1:6" x14ac:dyDescent="0.2">
      <c r="A17236" t="s">
        <v>28479</v>
      </c>
      <c r="B17236" t="s">
        <v>1884</v>
      </c>
      <c r="C17236" t="s">
        <v>313</v>
      </c>
      <c r="D17236" t="s">
        <v>52</v>
      </c>
      <c r="E17236" t="s">
        <v>241</v>
      </c>
      <c r="F17236" s="2" t="str">
        <f>HYPERLINK("http://www.otzar.org/book.asp?623327","ידי משה ותורה אור &lt;מהדורה חדשה&gt;")</f>
        <v>ידי משה ותורה אור &lt;מהדורה חדשה&gt;</v>
      </c>
    </row>
    <row r="17237" spans="1:6" x14ac:dyDescent="0.2">
      <c r="A17237" t="s">
        <v>28480</v>
      </c>
      <c r="B17237" t="s">
        <v>1884</v>
      </c>
      <c r="C17237" t="s">
        <v>748</v>
      </c>
      <c r="D17237" t="s">
        <v>283</v>
      </c>
      <c r="E17237" t="s">
        <v>241</v>
      </c>
      <c r="F17237" s="2" t="str">
        <f>HYPERLINK("http://www.otzar.org/book.asp?24601","ידי משה ותורה אור")</f>
        <v>ידי משה ותורה אור</v>
      </c>
    </row>
    <row r="17238" spans="1:6" x14ac:dyDescent="0.2">
      <c r="A17238" t="s">
        <v>28481</v>
      </c>
      <c r="B17238" t="s">
        <v>28482</v>
      </c>
      <c r="C17238" t="s">
        <v>1666</v>
      </c>
      <c r="D17238" t="s">
        <v>49</v>
      </c>
      <c r="E17238" t="s">
        <v>158</v>
      </c>
      <c r="F17238" s="2" t="str">
        <f>HYPERLINK("http://www.otzar.org/book.asp?103206","ידי משה - 6 כר'")</f>
        <v>ידי משה - 6 כר'</v>
      </c>
    </row>
    <row r="17239" spans="1:6" x14ac:dyDescent="0.2">
      <c r="A17239" t="s">
        <v>28483</v>
      </c>
      <c r="B17239" t="s">
        <v>19744</v>
      </c>
      <c r="C17239" t="s">
        <v>767</v>
      </c>
      <c r="D17239" t="s">
        <v>52</v>
      </c>
      <c r="E17239" t="s">
        <v>144</v>
      </c>
      <c r="F17239" s="2" t="str">
        <f>HYPERLINK("http://www.otzar.org/book.asp?85665","ידי משה - 4 כר'")</f>
        <v>ידי משה - 4 כר'</v>
      </c>
    </row>
    <row r="17240" spans="1:6" x14ac:dyDescent="0.2">
      <c r="A17240" t="s">
        <v>28484</v>
      </c>
      <c r="B17240" t="s">
        <v>206</v>
      </c>
      <c r="C17240" t="s">
        <v>151</v>
      </c>
      <c r="D17240" t="s">
        <v>52</v>
      </c>
      <c r="E17240" t="s">
        <v>84</v>
      </c>
      <c r="F17240" s="2" t="str">
        <f>HYPERLINK("http://www.otzar.org/book.asp?621342","ידי משה - ידים")</f>
        <v>ידי משה - ידים</v>
      </c>
    </row>
    <row r="17241" spans="1:6" x14ac:dyDescent="0.2">
      <c r="A17241" t="s">
        <v>28485</v>
      </c>
      <c r="B17241" t="s">
        <v>28486</v>
      </c>
      <c r="C17241" t="s">
        <v>1228</v>
      </c>
      <c r="D17241" t="s">
        <v>661</v>
      </c>
      <c r="E17241" t="s">
        <v>674</v>
      </c>
      <c r="F17241" s="2" t="str">
        <f>HYPERLINK("http://www.otzar.org/book.asp?10370","ידי משה")</f>
        <v>ידי משה</v>
      </c>
    </row>
    <row r="17242" spans="1:6" x14ac:dyDescent="0.2">
      <c r="A17242" t="s">
        <v>28487</v>
      </c>
      <c r="B17242" t="s">
        <v>28488</v>
      </c>
      <c r="C17242" t="s">
        <v>383</v>
      </c>
      <c r="D17242" t="s">
        <v>14</v>
      </c>
      <c r="E17242" t="s">
        <v>144</v>
      </c>
      <c r="F17242" s="2" t="str">
        <f>HYPERLINK("http://www.otzar.org/book.asp?164983","ידי משה - עבד עברי")</f>
        <v>ידי משה - עבד עברי</v>
      </c>
    </row>
    <row r="17243" spans="1:6" x14ac:dyDescent="0.2">
      <c r="A17243" t="s">
        <v>28485</v>
      </c>
      <c r="B17243" t="s">
        <v>28489</v>
      </c>
      <c r="C17243" t="s">
        <v>3690</v>
      </c>
      <c r="D17243" t="s">
        <v>582</v>
      </c>
      <c r="E17243" t="s">
        <v>154</v>
      </c>
      <c r="F17243" s="2" t="str">
        <f>HYPERLINK("http://www.otzar.org/book.asp?104028","ידי משה")</f>
        <v>ידי משה</v>
      </c>
    </row>
    <row r="17244" spans="1:6" x14ac:dyDescent="0.2">
      <c r="A17244" t="s">
        <v>28490</v>
      </c>
      <c r="B17244" t="s">
        <v>16916</v>
      </c>
      <c r="C17244" t="s">
        <v>146</v>
      </c>
      <c r="D17244" t="s">
        <v>90</v>
      </c>
      <c r="E17244" t="s">
        <v>144</v>
      </c>
      <c r="F17244" s="2" t="str">
        <f>HYPERLINK("http://www.otzar.org/book.asp?85606","ידי משה - 3 כר'")</f>
        <v>ידי משה - 3 כר'</v>
      </c>
    </row>
    <row r="17245" spans="1:6" x14ac:dyDescent="0.2">
      <c r="A17245" t="s">
        <v>28485</v>
      </c>
      <c r="B17245" t="s">
        <v>2851</v>
      </c>
      <c r="C17245" t="s">
        <v>3246</v>
      </c>
      <c r="D17245" t="s">
        <v>8830</v>
      </c>
      <c r="E17245" t="s">
        <v>2338</v>
      </c>
      <c r="F17245" s="2" t="str">
        <f>HYPERLINK("http://www.otzar.org/book.asp?103423","ידי משה")</f>
        <v>ידי משה</v>
      </c>
    </row>
    <row r="17246" spans="1:6" x14ac:dyDescent="0.2">
      <c r="A17246" t="s">
        <v>28485</v>
      </c>
      <c r="B17246" t="s">
        <v>28491</v>
      </c>
      <c r="C17246" t="s">
        <v>7625</v>
      </c>
      <c r="D17246" t="s">
        <v>14</v>
      </c>
      <c r="E17246" t="s">
        <v>733</v>
      </c>
      <c r="F17246" s="2" t="str">
        <f>HYPERLINK("http://www.otzar.org/book.asp?13305","ידי משה")</f>
        <v>ידי משה</v>
      </c>
    </row>
    <row r="17247" spans="1:6" x14ac:dyDescent="0.2">
      <c r="A17247" t="s">
        <v>28492</v>
      </c>
      <c r="B17247" t="s">
        <v>22430</v>
      </c>
      <c r="C17247" t="s">
        <v>17</v>
      </c>
      <c r="D17247" t="s">
        <v>118</v>
      </c>
      <c r="F17247" s="2" t="str">
        <f>HYPERLINK("http://www.otzar.org/book.asp?610760","ידי משה - 2 כר'")</f>
        <v>ידי משה - 2 כר'</v>
      </c>
    </row>
    <row r="17248" spans="1:6" x14ac:dyDescent="0.2">
      <c r="A17248" t="s">
        <v>28490</v>
      </c>
      <c r="B17248" t="s">
        <v>28493</v>
      </c>
      <c r="C17248" t="s">
        <v>506</v>
      </c>
      <c r="D17248" t="s">
        <v>4441</v>
      </c>
      <c r="F17248" s="2" t="str">
        <f>HYPERLINK("http://www.otzar.org/book.asp?624656","ידי משה - 3 כר'")</f>
        <v>ידי משה - 3 כר'</v>
      </c>
    </row>
    <row r="17249" spans="1:6" x14ac:dyDescent="0.2">
      <c r="A17249" t="s">
        <v>28494</v>
      </c>
      <c r="B17249" t="s">
        <v>28495</v>
      </c>
      <c r="C17249" t="s">
        <v>114</v>
      </c>
      <c r="D17249" t="s">
        <v>52</v>
      </c>
      <c r="F17249" s="2" t="str">
        <f>HYPERLINK("http://www.otzar.org/book.asp?163845","ידי משה - הוריות")</f>
        <v>ידי משה - הוריות</v>
      </c>
    </row>
    <row r="17250" spans="1:6" x14ac:dyDescent="0.2">
      <c r="A17250" t="s">
        <v>28496</v>
      </c>
      <c r="B17250" t="s">
        <v>28497</v>
      </c>
      <c r="C17250" t="s">
        <v>812</v>
      </c>
      <c r="D17250" t="s">
        <v>17328</v>
      </c>
      <c r="E17250" t="s">
        <v>144</v>
      </c>
      <c r="F17250" s="2" t="str">
        <f>HYPERLINK("http://www.otzar.org/book.asp?24486","ידי סופר")</f>
        <v>ידי סופר</v>
      </c>
    </row>
    <row r="17251" spans="1:6" x14ac:dyDescent="0.2">
      <c r="A17251" t="s">
        <v>28498</v>
      </c>
      <c r="B17251" t="s">
        <v>28499</v>
      </c>
      <c r="C17251" t="s">
        <v>114</v>
      </c>
      <c r="D17251" t="s">
        <v>367</v>
      </c>
      <c r="E17251" t="s">
        <v>144</v>
      </c>
      <c r="F17251" s="2" t="str">
        <f>HYPERLINK("http://www.otzar.org/book.asp?611235","ידי עלמ""א - אורח חיים")</f>
        <v>ידי עלמ"א - אורח חיים</v>
      </c>
    </row>
    <row r="17252" spans="1:6" x14ac:dyDescent="0.2">
      <c r="A17252" t="s">
        <v>28500</v>
      </c>
      <c r="B17252" t="s">
        <v>28501</v>
      </c>
      <c r="C17252" t="s">
        <v>767</v>
      </c>
      <c r="D17252" t="s">
        <v>14</v>
      </c>
      <c r="E17252" t="s">
        <v>15</v>
      </c>
      <c r="F17252" s="2" t="str">
        <f>HYPERLINK("http://www.otzar.org/book.asp?85175","ידי קידוש")</f>
        <v>ידי קידוש</v>
      </c>
    </row>
    <row r="17253" spans="1:6" x14ac:dyDescent="0.2">
      <c r="A17253" t="s">
        <v>28502</v>
      </c>
      <c r="B17253" t="s">
        <v>28503</v>
      </c>
      <c r="C17253" t="s">
        <v>422</v>
      </c>
      <c r="D17253" t="s">
        <v>4508</v>
      </c>
      <c r="E17253" t="s">
        <v>154</v>
      </c>
      <c r="F17253" s="2" t="str">
        <f>HYPERLINK("http://www.otzar.org/book.asp?149534","ידיד ה' - א")</f>
        <v>ידיד ה' - א</v>
      </c>
    </row>
    <row r="17254" spans="1:6" x14ac:dyDescent="0.2">
      <c r="A17254" t="s">
        <v>28504</v>
      </c>
      <c r="B17254" t="s">
        <v>1793</v>
      </c>
      <c r="C17254" t="s">
        <v>189</v>
      </c>
      <c r="D17254" t="s">
        <v>115</v>
      </c>
      <c r="E17254" t="s">
        <v>144</v>
      </c>
      <c r="F17254" s="2" t="str">
        <f>HYPERLINK("http://www.otzar.org/book.asp?159873","ידיד נפש על תלמוד בבלי - 10 כר'")</f>
        <v>ידיד נפש על תלמוד בבלי - 10 כר'</v>
      </c>
    </row>
    <row r="17255" spans="1:6" x14ac:dyDescent="0.2">
      <c r="A17255" t="s">
        <v>28505</v>
      </c>
      <c r="B17255" t="s">
        <v>1793</v>
      </c>
      <c r="C17255" t="s">
        <v>189</v>
      </c>
      <c r="D17255" t="s">
        <v>115</v>
      </c>
      <c r="E17255" t="s">
        <v>1097</v>
      </c>
      <c r="F17255" s="2" t="str">
        <f>HYPERLINK("http://www.otzar.org/book.asp?159827","ידיד נפש על תלמוד ירושלמי - 38 כר'")</f>
        <v>ידיד נפש על תלמוד ירושלמי - 38 כר'</v>
      </c>
    </row>
    <row r="17256" spans="1:6" x14ac:dyDescent="0.2">
      <c r="A17256" t="s">
        <v>28506</v>
      </c>
      <c r="B17256" t="s">
        <v>1793</v>
      </c>
      <c r="C17256" t="s">
        <v>553</v>
      </c>
      <c r="D17256" t="s">
        <v>115</v>
      </c>
      <c r="E17256" t="s">
        <v>399</v>
      </c>
      <c r="F17256" s="2" t="str">
        <f>HYPERLINK("http://www.otzar.org/book.asp?24453","ידיד נפש - 9 כר'")</f>
        <v>ידיד נפש - 9 כר'</v>
      </c>
    </row>
    <row r="17257" spans="1:6" x14ac:dyDescent="0.2">
      <c r="A17257" t="s">
        <v>28507</v>
      </c>
      <c r="B17257" t="s">
        <v>4785</v>
      </c>
      <c r="C17257" t="s">
        <v>151</v>
      </c>
      <c r="D17257" t="s">
        <v>52</v>
      </c>
      <c r="E17257" t="s">
        <v>246</v>
      </c>
      <c r="F17257" s="2" t="str">
        <f>HYPERLINK("http://www.otzar.org/book.asp?618892","ידיד נפש - ימים נוראים")</f>
        <v>ידיד נפש - ימים נוראים</v>
      </c>
    </row>
    <row r="17258" spans="1:6" x14ac:dyDescent="0.2">
      <c r="A17258" t="s">
        <v>28508</v>
      </c>
      <c r="B17258" t="s">
        <v>28509</v>
      </c>
      <c r="C17258" t="s">
        <v>23</v>
      </c>
      <c r="D17258" t="s">
        <v>14</v>
      </c>
      <c r="F17258" s="2" t="str">
        <f>HYPERLINK("http://www.otzar.org/book.asp?603611","ידיד נפש")</f>
        <v>ידיד נפש</v>
      </c>
    </row>
    <row r="17259" spans="1:6" x14ac:dyDescent="0.2">
      <c r="A17259" t="s">
        <v>28510</v>
      </c>
      <c r="B17259" t="s">
        <v>28511</v>
      </c>
      <c r="C17259" t="s">
        <v>114</v>
      </c>
      <c r="D17259" t="s">
        <v>15470</v>
      </c>
      <c r="E17259" t="s">
        <v>104</v>
      </c>
      <c r="F17259" s="2" t="str">
        <f>HYPERLINK("http://www.otzar.org/book.asp?170406","ידידות משכנותיך")</f>
        <v>ידידות משכנותיך</v>
      </c>
    </row>
    <row r="17260" spans="1:6" x14ac:dyDescent="0.2">
      <c r="A17260" t="s">
        <v>28512</v>
      </c>
      <c r="B17260" t="s">
        <v>382</v>
      </c>
      <c r="C17260" t="s">
        <v>71</v>
      </c>
      <c r="D17260" t="s">
        <v>9909</v>
      </c>
      <c r="E17260" t="s">
        <v>202</v>
      </c>
      <c r="F17260" s="2" t="str">
        <f>HYPERLINK("http://www.otzar.org/book.asp?195990","ידידות")</f>
        <v>ידידות</v>
      </c>
    </row>
    <row r="17261" spans="1:6" x14ac:dyDescent="0.2">
      <c r="A17261" t="s">
        <v>28513</v>
      </c>
      <c r="B17261" t="s">
        <v>28514</v>
      </c>
      <c r="C17261" t="s">
        <v>334</v>
      </c>
      <c r="D17261" t="s">
        <v>14</v>
      </c>
      <c r="E17261" t="s">
        <v>28515</v>
      </c>
      <c r="F17261" s="2" t="str">
        <f>HYPERLINK("http://www.otzar.org/book.asp?5318","ידיו אמונה")</f>
        <v>ידיו אמונה</v>
      </c>
    </row>
    <row r="17262" spans="1:6" x14ac:dyDescent="0.2">
      <c r="A17262" t="s">
        <v>28516</v>
      </c>
      <c r="B17262" t="s">
        <v>28517</v>
      </c>
      <c r="C17262" t="s">
        <v>111</v>
      </c>
      <c r="D17262" t="s">
        <v>3069</v>
      </c>
      <c r="E17262" t="s">
        <v>15</v>
      </c>
      <c r="F17262" s="2" t="str">
        <f>HYPERLINK("http://www.otzar.org/book.asp?623557","ידיו אמונה - 3 כר'")</f>
        <v>ידיו אמונה - 3 כר'</v>
      </c>
    </row>
    <row r="17263" spans="1:6" x14ac:dyDescent="0.2">
      <c r="A17263" t="s">
        <v>28513</v>
      </c>
      <c r="B17263" t="s">
        <v>11403</v>
      </c>
      <c r="C17263" t="s">
        <v>156</v>
      </c>
      <c r="D17263" t="s">
        <v>283</v>
      </c>
      <c r="E17263" t="s">
        <v>213</v>
      </c>
      <c r="F17263" s="2" t="str">
        <f>HYPERLINK("http://www.otzar.org/book.asp?102482","ידיו אמונה")</f>
        <v>ידיו אמונה</v>
      </c>
    </row>
    <row r="17264" spans="1:6" x14ac:dyDescent="0.2">
      <c r="A17264" t="s">
        <v>28518</v>
      </c>
      <c r="B17264" t="s">
        <v>28519</v>
      </c>
      <c r="C17264" t="s">
        <v>630</v>
      </c>
      <c r="D17264" t="s">
        <v>76</v>
      </c>
      <c r="E17264" t="s">
        <v>28520</v>
      </c>
      <c r="F17264" s="2" t="str">
        <f>HYPERLINK("http://www.otzar.org/book.asp?102733","ידיו של משה - א-ב")</f>
        <v>ידיו של משה - א-ב</v>
      </c>
    </row>
    <row r="17265" spans="1:6" x14ac:dyDescent="0.2">
      <c r="A17265" t="s">
        <v>28521</v>
      </c>
      <c r="B17265" t="s">
        <v>107</v>
      </c>
      <c r="C17265" t="s">
        <v>20</v>
      </c>
      <c r="D17265" t="s">
        <v>14</v>
      </c>
      <c r="E17265" t="s">
        <v>15</v>
      </c>
      <c r="F17265" s="2" t="str">
        <f>HYPERLINK("http://www.otzar.org/book.asp?161006","ידיעון בענין חרקים במזון")</f>
        <v>ידיעון בענין חרקים במזון</v>
      </c>
    </row>
    <row r="17266" spans="1:6" x14ac:dyDescent="0.2">
      <c r="A17266" t="s">
        <v>28522</v>
      </c>
      <c r="B17266" t="s">
        <v>4015</v>
      </c>
      <c r="C17266" t="s">
        <v>7225</v>
      </c>
      <c r="D17266" t="s">
        <v>6214</v>
      </c>
      <c r="E17266" t="s">
        <v>1211</v>
      </c>
      <c r="F17266" s="2" t="str">
        <f>HYPERLINK("http://www.otzar.org/book.asp?626368","ידיעות הטבע שבתלמוד")</f>
        <v>ידיעות הטבע שבתלמוד</v>
      </c>
    </row>
    <row r="17267" spans="1:6" x14ac:dyDescent="0.2">
      <c r="A17267" t="s">
        <v>28523</v>
      </c>
      <c r="B17267" t="s">
        <v>1750</v>
      </c>
      <c r="C17267" t="s">
        <v>946</v>
      </c>
      <c r="D17267" t="s">
        <v>14</v>
      </c>
      <c r="E17267" t="s">
        <v>733</v>
      </c>
      <c r="F17267" s="2" t="str">
        <f>HYPERLINK("http://www.otzar.org/book.asp?14834","ידיעות המכון למדעי היהדות - א")</f>
        <v>ידיעות המכון למדעי היהדות - א</v>
      </c>
    </row>
    <row r="17268" spans="1:6" x14ac:dyDescent="0.2">
      <c r="A17268" t="s">
        <v>28524</v>
      </c>
      <c r="B17268" t="s">
        <v>8053</v>
      </c>
      <c r="C17268" t="s">
        <v>427</v>
      </c>
      <c r="D17268" t="s">
        <v>14</v>
      </c>
      <c r="E17268" t="s">
        <v>674</v>
      </c>
      <c r="F17268" s="2" t="str">
        <f>HYPERLINK("http://www.otzar.org/book.asp?625460","ידיעות המכון - תשכ""ט")</f>
        <v>ידיעות המכון - תשכ"ט</v>
      </c>
    </row>
    <row r="17269" spans="1:6" x14ac:dyDescent="0.2">
      <c r="A17269" t="s">
        <v>28525</v>
      </c>
      <c r="B17269" t="s">
        <v>28526</v>
      </c>
      <c r="C17269" t="s">
        <v>146</v>
      </c>
      <c r="D17269" t="s">
        <v>52</v>
      </c>
      <c r="E17269" t="s">
        <v>15</v>
      </c>
      <c r="F17269" s="2" t="str">
        <f>HYPERLINK("http://www.otzar.org/book.asp?28166","ידיעות השבת")</f>
        <v>ידיעות השבת</v>
      </c>
    </row>
    <row r="17270" spans="1:6" x14ac:dyDescent="0.2">
      <c r="A17270" t="s">
        <v>28527</v>
      </c>
      <c r="B17270" t="s">
        <v>28528</v>
      </c>
      <c r="C17270" t="s">
        <v>950</v>
      </c>
      <c r="D17270" t="s">
        <v>283</v>
      </c>
      <c r="E17270" t="s">
        <v>104</v>
      </c>
      <c r="F17270" s="2" t="str">
        <f>HYPERLINK("http://www.otzar.org/book.asp?149654","ידיעות השיעורים")</f>
        <v>ידיעות השיעורים</v>
      </c>
    </row>
    <row r="17271" spans="1:6" x14ac:dyDescent="0.2">
      <c r="A17271" t="s">
        <v>28529</v>
      </c>
      <c r="B17271" t="s">
        <v>28530</v>
      </c>
      <c r="C17271" t="s">
        <v>124</v>
      </c>
      <c r="D17271" t="s">
        <v>3161</v>
      </c>
      <c r="E17271" t="s">
        <v>104</v>
      </c>
      <c r="F17271" s="2" t="str">
        <f>HYPERLINK("http://www.otzar.org/book.asp?623893","ידיעות חדשות על תוספות גורניש ועניינן")</f>
        <v>ידיעות חדשות על תוספות גורניש ועניינן</v>
      </c>
    </row>
    <row r="17272" spans="1:6" x14ac:dyDescent="0.2">
      <c r="A17272" t="s">
        <v>28531</v>
      </c>
      <c r="B17272" t="s">
        <v>28532</v>
      </c>
      <c r="C17272" t="s">
        <v>103</v>
      </c>
      <c r="D17272" t="s">
        <v>52</v>
      </c>
      <c r="E17272" t="s">
        <v>15</v>
      </c>
      <c r="F17272" s="2" t="str">
        <f>HYPERLINK("http://www.otzar.org/book.asp?51868","ידיעת הטהרה")</f>
        <v>ידיעת הטהרה</v>
      </c>
    </row>
    <row r="17273" spans="1:6" x14ac:dyDescent="0.2">
      <c r="A17273" t="s">
        <v>28533</v>
      </c>
      <c r="B17273" t="s">
        <v>28534</v>
      </c>
      <c r="C17273" t="s">
        <v>23</v>
      </c>
      <c r="D17273" t="s">
        <v>21</v>
      </c>
      <c r="E17273" t="s">
        <v>144</v>
      </c>
      <c r="F17273" s="2" t="str">
        <f>HYPERLINK("http://www.otzar.org/book.asp?195701","ידיעת הספק - ספק דאורייתא")</f>
        <v>ידיעת הספק - ספק דאורייתא</v>
      </c>
    </row>
    <row r="17274" spans="1:6" x14ac:dyDescent="0.2">
      <c r="A17274" t="s">
        <v>28535</v>
      </c>
      <c r="B17274" t="s">
        <v>28536</v>
      </c>
      <c r="C17274" t="s">
        <v>244</v>
      </c>
      <c r="D17274" t="s">
        <v>486</v>
      </c>
      <c r="F17274" s="2" t="str">
        <f>HYPERLINK("http://www.otzar.org/book.asp?198382","ידיעת הש""ס - 3 כר'")</f>
        <v>ידיעת הש"ס - 3 כר'</v>
      </c>
    </row>
    <row r="17275" spans="1:6" x14ac:dyDescent="0.2">
      <c r="A17275" t="s">
        <v>28537</v>
      </c>
      <c r="B17275" t="s">
        <v>28538</v>
      </c>
      <c r="C17275" t="s">
        <v>13</v>
      </c>
      <c r="D17275" t="s">
        <v>90</v>
      </c>
      <c r="E17275" t="s">
        <v>872</v>
      </c>
      <c r="F17275" s="2" t="str">
        <f>HYPERLINK("http://www.otzar.org/book.asp?166503","ידך המלאה")</f>
        <v>ידך המלאה</v>
      </c>
    </row>
    <row r="17276" spans="1:6" x14ac:dyDescent="0.2">
      <c r="A17276" t="s">
        <v>28539</v>
      </c>
      <c r="B17276" t="s">
        <v>206</v>
      </c>
      <c r="C17276" t="s">
        <v>129</v>
      </c>
      <c r="D17276" t="s">
        <v>14</v>
      </c>
      <c r="E17276" t="s">
        <v>246</v>
      </c>
      <c r="F17276" s="2" t="str">
        <f>HYPERLINK("http://www.otzar.org/book.asp?622137","ידעו דורותיכם - 3 כר'")</f>
        <v>ידעו דורותיכם - 3 כר'</v>
      </c>
    </row>
    <row r="17277" spans="1:6" x14ac:dyDescent="0.2">
      <c r="A17277" t="s">
        <v>28540</v>
      </c>
      <c r="B17277" t="s">
        <v>28541</v>
      </c>
      <c r="C17277" t="s">
        <v>146</v>
      </c>
      <c r="D17277" t="s">
        <v>14</v>
      </c>
      <c r="E17277" t="s">
        <v>104</v>
      </c>
      <c r="F17277" s="2" t="str">
        <f>HYPERLINK("http://www.otzar.org/book.asp?625470","ידעת ומצאת")</f>
        <v>ידעת ומצאת</v>
      </c>
    </row>
    <row r="17278" spans="1:6" x14ac:dyDescent="0.2">
      <c r="A17278" t="s">
        <v>28542</v>
      </c>
      <c r="B17278" t="s">
        <v>28543</v>
      </c>
      <c r="C17278" t="s">
        <v>23</v>
      </c>
      <c r="D17278" t="s">
        <v>52</v>
      </c>
      <c r="F17278" s="2" t="str">
        <f>HYPERLINK("http://www.otzar.org/book.asp?194762","ידרוש לציון")</f>
        <v>ידרוש לציון</v>
      </c>
    </row>
    <row r="17279" spans="1:6" x14ac:dyDescent="0.2">
      <c r="A17279" t="s">
        <v>28544</v>
      </c>
      <c r="B17279" t="s">
        <v>28545</v>
      </c>
      <c r="C17279" t="s">
        <v>419</v>
      </c>
      <c r="D17279" t="s">
        <v>14</v>
      </c>
      <c r="E17279" t="s">
        <v>241</v>
      </c>
      <c r="F17279" s="2" t="str">
        <f>HYPERLINK("http://www.otzar.org/book.asp?629301","ידרך ענוים")</f>
        <v>ידרך ענוים</v>
      </c>
    </row>
    <row r="17280" spans="1:6" x14ac:dyDescent="0.2">
      <c r="A17280" t="s">
        <v>28546</v>
      </c>
      <c r="B17280" t="s">
        <v>2396</v>
      </c>
      <c r="C17280" t="s">
        <v>37</v>
      </c>
      <c r="D17280" t="s">
        <v>1076</v>
      </c>
      <c r="E17280" t="s">
        <v>158</v>
      </c>
      <c r="F17280" s="2" t="str">
        <f>HYPERLINK("http://www.otzar.org/book.asp?617279","יהא שלמא רבה - בפסוקי התורה")</f>
        <v>יהא שלמא רבה - בפסוקי התורה</v>
      </c>
    </row>
    <row r="17281" spans="1:6" x14ac:dyDescent="0.2">
      <c r="A17281" t="s">
        <v>28547</v>
      </c>
      <c r="B17281" t="s">
        <v>28548</v>
      </c>
      <c r="C17281" t="s">
        <v>20</v>
      </c>
      <c r="D17281" t="s">
        <v>90</v>
      </c>
      <c r="E17281" t="s">
        <v>786</v>
      </c>
      <c r="F17281" s="2" t="str">
        <f>HYPERLINK("http://www.otzar.org/book.asp?155407","יהגה האריה")</f>
        <v>יהגה האריה</v>
      </c>
    </row>
    <row r="17282" spans="1:6" x14ac:dyDescent="0.2">
      <c r="A17282" t="s">
        <v>28549</v>
      </c>
      <c r="B17282" t="s">
        <v>28550</v>
      </c>
      <c r="C17282" t="s">
        <v>13</v>
      </c>
      <c r="D17282" t="s">
        <v>152</v>
      </c>
      <c r="E17282" t="s">
        <v>1211</v>
      </c>
      <c r="F17282" s="2" t="str">
        <f>HYPERLINK("http://www.otzar.org/book.asp?156182","יהגה חכמה")</f>
        <v>יהגה חכמה</v>
      </c>
    </row>
    <row r="17283" spans="1:6" x14ac:dyDescent="0.2">
      <c r="A17283" t="s">
        <v>28551</v>
      </c>
      <c r="B17283" t="s">
        <v>28552</v>
      </c>
      <c r="C17283" t="s">
        <v>151</v>
      </c>
      <c r="D17283" t="s">
        <v>4549</v>
      </c>
      <c r="E17283" t="s">
        <v>246</v>
      </c>
      <c r="F17283" s="2" t="str">
        <f>HYPERLINK("http://www.otzar.org/book.asp?629735","יהגה חכמה - 2 כר'")</f>
        <v>יהגה חכמה - 2 כר'</v>
      </c>
    </row>
    <row r="17284" spans="1:6" x14ac:dyDescent="0.2">
      <c r="A17284" t="s">
        <v>28549</v>
      </c>
      <c r="B17284" t="s">
        <v>28553</v>
      </c>
      <c r="C17284" t="s">
        <v>8375</v>
      </c>
      <c r="D17284" t="s">
        <v>56</v>
      </c>
      <c r="E17284" t="s">
        <v>803</v>
      </c>
      <c r="F17284" s="2" t="str">
        <f>HYPERLINK("http://www.otzar.org/book.asp?141073","יהגה חכמה")</f>
        <v>יהגה חכמה</v>
      </c>
    </row>
    <row r="17285" spans="1:6" x14ac:dyDescent="0.2">
      <c r="A17285" t="s">
        <v>28554</v>
      </c>
      <c r="B17285" t="s">
        <v>28555</v>
      </c>
      <c r="C17285" t="s">
        <v>20</v>
      </c>
      <c r="D17285" t="s">
        <v>412</v>
      </c>
      <c r="E17285" t="s">
        <v>674</v>
      </c>
      <c r="F17285" s="2" t="str">
        <f>HYPERLINK("http://www.otzar.org/book.asp?190006","יהדות &lt;אידיש&gt;")</f>
        <v>יהדות &lt;אידיש&gt;</v>
      </c>
    </row>
    <row r="17286" spans="1:6" x14ac:dyDescent="0.2">
      <c r="A17286" t="s">
        <v>28556</v>
      </c>
      <c r="B17286" t="s">
        <v>28557</v>
      </c>
      <c r="C17286" t="s">
        <v>189</v>
      </c>
      <c r="D17286" t="s">
        <v>21</v>
      </c>
      <c r="E17286" t="s">
        <v>119</v>
      </c>
      <c r="F17286" s="2" t="str">
        <f>HYPERLINK("http://www.otzar.org/book.asp?184762","יהדות אתיופיה")</f>
        <v>יהדות אתיופיה</v>
      </c>
    </row>
    <row r="17287" spans="1:6" x14ac:dyDescent="0.2">
      <c r="A17287" t="s">
        <v>28558</v>
      </c>
      <c r="B17287" t="s">
        <v>28559</v>
      </c>
      <c r="C17287" t="s">
        <v>124</v>
      </c>
      <c r="D17287" t="s">
        <v>52</v>
      </c>
      <c r="E17287" t="s">
        <v>28560</v>
      </c>
      <c r="F17287" s="2" t="str">
        <f>HYPERLINK("http://www.otzar.org/book.asp?11883","יהדות בבל")</f>
        <v>יהדות בבל</v>
      </c>
    </row>
    <row r="17288" spans="1:6" x14ac:dyDescent="0.2">
      <c r="A17288" t="s">
        <v>28561</v>
      </c>
      <c r="B17288" t="s">
        <v>13219</v>
      </c>
      <c r="C17288" t="s">
        <v>13</v>
      </c>
      <c r="D17288" t="s">
        <v>14</v>
      </c>
      <c r="E17288" t="s">
        <v>3567</v>
      </c>
      <c r="F17288" s="2" t="str">
        <f>HYPERLINK("http://www.otzar.org/book.asp?84972","יהדות בוכארה, גדוליה ומנהגיה")</f>
        <v>יהדות בוכארה, גדוליה ומנהגיה</v>
      </c>
    </row>
    <row r="17289" spans="1:6" x14ac:dyDescent="0.2">
      <c r="A17289" t="s">
        <v>28562</v>
      </c>
      <c r="B17289" t="s">
        <v>28563</v>
      </c>
      <c r="C17289" t="s">
        <v>411</v>
      </c>
      <c r="D17289" t="s">
        <v>27</v>
      </c>
      <c r="E17289" t="s">
        <v>241</v>
      </c>
      <c r="F17289" s="2" t="str">
        <f>HYPERLINK("http://www.otzar.org/book.asp?170082","יהדות התורה והמדינה - 2 כר'")</f>
        <v>יהדות התורה והמדינה - 2 כר'</v>
      </c>
    </row>
    <row r="17290" spans="1:6" x14ac:dyDescent="0.2">
      <c r="A17290" t="s">
        <v>28564</v>
      </c>
      <c r="B17290" t="s">
        <v>206</v>
      </c>
      <c r="C17290" t="s">
        <v>111</v>
      </c>
      <c r="D17290" t="s">
        <v>90</v>
      </c>
      <c r="E17290" t="s">
        <v>1438</v>
      </c>
      <c r="F17290" s="2" t="str">
        <f>HYPERLINK("http://www.otzar.org/book.asp?629959","יהדות ומיסטיקה")</f>
        <v>יהדות ומיסטיקה</v>
      </c>
    </row>
    <row r="17291" spans="1:6" x14ac:dyDescent="0.2">
      <c r="A17291" t="s">
        <v>28565</v>
      </c>
      <c r="B17291" t="s">
        <v>28566</v>
      </c>
      <c r="C17291" t="s">
        <v>553</v>
      </c>
      <c r="D17291" t="s">
        <v>216</v>
      </c>
      <c r="E17291" t="s">
        <v>733</v>
      </c>
      <c r="F17291" s="2" t="str">
        <f>HYPERLINK("http://www.otzar.org/book.asp?64372","יהדות חבאן בדורות האחרונים")</f>
        <v>יהדות חבאן בדורות האחרונים</v>
      </c>
    </row>
    <row r="17292" spans="1:6" x14ac:dyDescent="0.2">
      <c r="A17292" t="s">
        <v>28567</v>
      </c>
      <c r="B17292" t="s">
        <v>9358</v>
      </c>
      <c r="C17292" t="s">
        <v>3205</v>
      </c>
      <c r="D17292" t="s">
        <v>260</v>
      </c>
      <c r="F17292" s="2" t="str">
        <f>HYPERLINK("http://www.otzar.org/book.asp?199557","יהדות ליטא - 4 כר'")</f>
        <v>יהדות ליטא - 4 כר'</v>
      </c>
    </row>
    <row r="17293" spans="1:6" x14ac:dyDescent="0.2">
      <c r="A17293" t="s">
        <v>28568</v>
      </c>
      <c r="B17293" t="s">
        <v>28569</v>
      </c>
      <c r="C17293" t="s">
        <v>87</v>
      </c>
      <c r="D17293" t="s">
        <v>721</v>
      </c>
      <c r="E17293" t="s">
        <v>119</v>
      </c>
      <c r="F17293" s="2" t="str">
        <f>HYPERLINK("http://www.otzar.org/book.asp?174468","יהדות מרוקו")</f>
        <v>יהדות מרוקו</v>
      </c>
    </row>
    <row r="17294" spans="1:6" x14ac:dyDescent="0.2">
      <c r="A17294" t="s">
        <v>28570</v>
      </c>
      <c r="B17294" t="s">
        <v>28571</v>
      </c>
      <c r="C17294" t="s">
        <v>20</v>
      </c>
      <c r="D17294" t="s">
        <v>52</v>
      </c>
      <c r="E17294" t="s">
        <v>119</v>
      </c>
      <c r="F17294" s="2" t="str">
        <f>HYPERLINK("http://www.otzar.org/book.asp?107039","יהדות פיורדא")</f>
        <v>יהדות פיורדא</v>
      </c>
    </row>
    <row r="17295" spans="1:6" x14ac:dyDescent="0.2">
      <c r="A17295" t="s">
        <v>28572</v>
      </c>
      <c r="B17295" t="s">
        <v>12960</v>
      </c>
      <c r="C17295" t="s">
        <v>68</v>
      </c>
      <c r="D17295" t="s">
        <v>14</v>
      </c>
      <c r="E17295" t="s">
        <v>733</v>
      </c>
      <c r="F17295" s="2" t="str">
        <f>HYPERLINK("http://www.otzar.org/book.asp?168444","יהדות צפון אפריקה (ביביליוגרפיה)")</f>
        <v>יהדות צפון אפריקה (ביביליוגרפיה)</v>
      </c>
    </row>
    <row r="17296" spans="1:6" x14ac:dyDescent="0.2">
      <c r="A17296" t="s">
        <v>28573</v>
      </c>
      <c r="B17296" t="s">
        <v>28574</v>
      </c>
      <c r="C17296" t="s">
        <v>1268</v>
      </c>
      <c r="D17296" t="s">
        <v>216</v>
      </c>
      <c r="E17296" t="s">
        <v>119</v>
      </c>
      <c r="F17296" s="2" t="str">
        <f>HYPERLINK("http://www.otzar.org/book.asp?168949","יהדות קרים מקדמותה ועד השואה")</f>
        <v>יהדות קרים מקדמותה ועד השואה</v>
      </c>
    </row>
    <row r="17297" spans="1:6" x14ac:dyDescent="0.2">
      <c r="A17297" t="s">
        <v>28575</v>
      </c>
      <c r="B17297" t="s">
        <v>28576</v>
      </c>
      <c r="C17297" t="s">
        <v>1268</v>
      </c>
      <c r="D17297" t="s">
        <v>216</v>
      </c>
      <c r="E17297" t="s">
        <v>119</v>
      </c>
      <c r="F17297" s="2" t="str">
        <f>HYPERLINK("http://www.otzar.org/book.asp?626584","יהדות רומניה - 1")</f>
        <v>יהדות רומניה - 1</v>
      </c>
    </row>
    <row r="17298" spans="1:6" x14ac:dyDescent="0.2">
      <c r="A17298" t="s">
        <v>28577</v>
      </c>
      <c r="B17298" t="s">
        <v>28578</v>
      </c>
      <c r="C17298" t="s">
        <v>1811</v>
      </c>
      <c r="D17298" t="s">
        <v>90</v>
      </c>
      <c r="E17298" t="s">
        <v>104</v>
      </c>
      <c r="F17298" s="2" t="str">
        <f>HYPERLINK("http://www.otzar.org/book.asp?64238","יהדות תימן ויצירותיה")</f>
        <v>יהדות תימן ויצירותיה</v>
      </c>
    </row>
    <row r="17299" spans="1:6" x14ac:dyDescent="0.2">
      <c r="A17299" t="s">
        <v>28579</v>
      </c>
      <c r="B17299" t="s">
        <v>28580</v>
      </c>
      <c r="C17299" t="s">
        <v>919</v>
      </c>
      <c r="D17299" t="s">
        <v>423</v>
      </c>
      <c r="F17299" s="2" t="str">
        <f>HYPERLINK("http://www.otzar.org/book.asp?618597","יהדות - 11 כר'")</f>
        <v>יהדות - 11 כר'</v>
      </c>
    </row>
    <row r="17300" spans="1:6" x14ac:dyDescent="0.2">
      <c r="A17300" t="s">
        <v>28581</v>
      </c>
      <c r="B17300" t="s">
        <v>28555</v>
      </c>
      <c r="C17300" t="s">
        <v>20</v>
      </c>
      <c r="D17300" t="s">
        <v>412</v>
      </c>
      <c r="E17300" t="s">
        <v>15</v>
      </c>
      <c r="F17300" s="2" t="str">
        <f>HYPERLINK("http://www.otzar.org/book.asp?178931","יהדות - 2 כר'")</f>
        <v>יהדות - 2 כר'</v>
      </c>
    </row>
    <row r="17301" spans="1:6" x14ac:dyDescent="0.2">
      <c r="A17301" t="s">
        <v>28582</v>
      </c>
      <c r="B17301" t="s">
        <v>78</v>
      </c>
      <c r="C17301" t="s">
        <v>160</v>
      </c>
      <c r="D17301" t="s">
        <v>80</v>
      </c>
      <c r="E17301" t="s">
        <v>4940</v>
      </c>
      <c r="F17301" s="2" t="str">
        <f>HYPERLINK("http://www.otzar.org/book.asp?11899","יהודה וישראל")</f>
        <v>יהודה וישראל</v>
      </c>
    </row>
    <row r="17302" spans="1:6" x14ac:dyDescent="0.2">
      <c r="A17302" t="s">
        <v>28583</v>
      </c>
      <c r="B17302" t="s">
        <v>28584</v>
      </c>
      <c r="C17302" t="s">
        <v>313</v>
      </c>
      <c r="D17302" t="s">
        <v>21</v>
      </c>
      <c r="E17302" t="s">
        <v>28585</v>
      </c>
      <c r="F17302" s="2" t="str">
        <f>HYPERLINK("http://www.otzar.org/book.asp?196056","יהודה יעלה")</f>
        <v>יהודה יעלה</v>
      </c>
    </row>
    <row r="17303" spans="1:6" x14ac:dyDescent="0.2">
      <c r="A17303" t="s">
        <v>28586</v>
      </c>
      <c r="B17303" t="s">
        <v>28587</v>
      </c>
      <c r="C17303" t="s">
        <v>28588</v>
      </c>
      <c r="D17303" t="s">
        <v>27</v>
      </c>
      <c r="E17303" t="s">
        <v>158</v>
      </c>
      <c r="F17303" s="2" t="str">
        <f>HYPERLINK("http://www.otzar.org/book.asp?24602","יהודה יעלה - 2 כר'")</f>
        <v>יהודה יעלה - 2 כר'</v>
      </c>
    </row>
    <row r="17304" spans="1:6" x14ac:dyDescent="0.2">
      <c r="A17304" t="s">
        <v>28583</v>
      </c>
      <c r="B17304" t="s">
        <v>28589</v>
      </c>
      <c r="C17304" t="s">
        <v>351</v>
      </c>
      <c r="D17304" t="s">
        <v>27</v>
      </c>
      <c r="E17304" t="s">
        <v>3261</v>
      </c>
      <c r="F17304" s="2" t="str">
        <f>HYPERLINK("http://www.otzar.org/book.asp?17346","יהודה יעלה")</f>
        <v>יהודה יעלה</v>
      </c>
    </row>
    <row r="17305" spans="1:6" x14ac:dyDescent="0.2">
      <c r="A17305" t="s">
        <v>28590</v>
      </c>
      <c r="B17305" t="s">
        <v>28591</v>
      </c>
      <c r="C17305" t="s">
        <v>422</v>
      </c>
      <c r="D17305" t="s">
        <v>657</v>
      </c>
      <c r="E17305" t="s">
        <v>4163</v>
      </c>
      <c r="F17305" s="2" t="str">
        <f>HYPERLINK("http://www.otzar.org/book.asp?152424","יהודה לקדשו")</f>
        <v>יהודה לקדשו</v>
      </c>
    </row>
    <row r="17306" spans="1:6" x14ac:dyDescent="0.2">
      <c r="A17306" t="s">
        <v>28592</v>
      </c>
      <c r="B17306" t="s">
        <v>28593</v>
      </c>
      <c r="C17306" t="s">
        <v>14</v>
      </c>
      <c r="D17306" t="s">
        <v>151</v>
      </c>
      <c r="E17306" t="s">
        <v>144</v>
      </c>
      <c r="F17306" s="2" t="str">
        <f>HYPERLINK("http://www.otzar.org/book.asp?609647","יהודה לקדשו - זבחים, מנחות, מעילה")</f>
        <v>יהודה לקדשו - זבחים, מנחות, מעילה</v>
      </c>
    </row>
    <row r="17307" spans="1:6" x14ac:dyDescent="0.2">
      <c r="A17307" t="s">
        <v>28594</v>
      </c>
      <c r="B17307" t="s">
        <v>6881</v>
      </c>
      <c r="C17307" t="s">
        <v>767</v>
      </c>
      <c r="D17307" t="s">
        <v>14</v>
      </c>
      <c r="E17307" t="s">
        <v>15</v>
      </c>
      <c r="F17307" s="2" t="str">
        <f>HYPERLINK("http://www.otzar.org/book.asp?21715","יהודה מחוקקי")</f>
        <v>יהודה מחוקקי</v>
      </c>
    </row>
    <row r="17308" spans="1:6" x14ac:dyDescent="0.2">
      <c r="A17308" t="s">
        <v>28595</v>
      </c>
      <c r="B17308" t="s">
        <v>3027</v>
      </c>
      <c r="C17308" t="s">
        <v>1448</v>
      </c>
      <c r="D17308" t="s">
        <v>14</v>
      </c>
      <c r="E17308" t="s">
        <v>119</v>
      </c>
      <c r="F17308" s="2" t="str">
        <f>HYPERLINK("http://www.otzar.org/book.asp?191309","יהודי בבל בארץ ישראל")</f>
        <v>יהודי בבל בארץ ישראל</v>
      </c>
    </row>
    <row r="17309" spans="1:6" x14ac:dyDescent="0.2">
      <c r="A17309" t="s">
        <v>28596</v>
      </c>
      <c r="B17309" t="s">
        <v>3027</v>
      </c>
      <c r="C17309" t="s">
        <v>168</v>
      </c>
      <c r="D17309" t="s">
        <v>14</v>
      </c>
      <c r="E17309" t="s">
        <v>119</v>
      </c>
      <c r="F17309" s="2" t="str">
        <f>HYPERLINK("http://www.otzar.org/book.asp?191307","יהודי בבל בתפוצות")</f>
        <v>יהודי בבל בתפוצות</v>
      </c>
    </row>
    <row r="17310" spans="1:6" x14ac:dyDescent="0.2">
      <c r="A17310" t="s">
        <v>28597</v>
      </c>
      <c r="B17310" t="s">
        <v>3027</v>
      </c>
      <c r="C17310" t="s">
        <v>775</v>
      </c>
      <c r="D17310" t="s">
        <v>14</v>
      </c>
      <c r="E17310" t="s">
        <v>119</v>
      </c>
      <c r="F17310" s="2" t="str">
        <f>HYPERLINK("http://www.otzar.org/book.asp?145004","יהודי בבל בתקופות האחרונות")</f>
        <v>יהודי בבל בתקופות האחרונות</v>
      </c>
    </row>
    <row r="17311" spans="1:6" x14ac:dyDescent="0.2">
      <c r="A17311" t="s">
        <v>28598</v>
      </c>
      <c r="B17311" t="s">
        <v>3027</v>
      </c>
      <c r="C17311" t="s">
        <v>334</v>
      </c>
      <c r="D17311" t="s">
        <v>14</v>
      </c>
      <c r="E17311" t="s">
        <v>119</v>
      </c>
      <c r="F17311" s="2" t="str">
        <f>HYPERLINK("http://www.otzar.org/book.asp?177245","יהודי בבל מסוף תקופת הגאונים עד ימינו")</f>
        <v>יהודי בבל מסוף תקופת הגאונים עד ימינו</v>
      </c>
    </row>
    <row r="17312" spans="1:6" x14ac:dyDescent="0.2">
      <c r="A17312" t="s">
        <v>28599</v>
      </c>
      <c r="B17312" t="s">
        <v>4735</v>
      </c>
      <c r="C17312" t="s">
        <v>103</v>
      </c>
      <c r="D17312" t="s">
        <v>14</v>
      </c>
      <c r="E17312" t="s">
        <v>579</v>
      </c>
      <c r="F17312" s="2" t="str">
        <f>HYPERLINK("http://www.otzar.org/book.asp?63677","יהודי בסוד ויכלו")</f>
        <v>יהודי בסוד ויכלו</v>
      </c>
    </row>
    <row r="17313" spans="1:6" x14ac:dyDescent="0.2">
      <c r="A17313" t="s">
        <v>28600</v>
      </c>
      <c r="B17313" t="s">
        <v>28601</v>
      </c>
      <c r="C17313" t="s">
        <v>1448</v>
      </c>
      <c r="D17313" t="s">
        <v>216</v>
      </c>
      <c r="E17313" t="s">
        <v>119</v>
      </c>
      <c r="F17313" s="2" t="str">
        <f>HYPERLINK("http://www.otzar.org/book.asp?83795","יהודי הונגריה")</f>
        <v>יהודי הונגריה</v>
      </c>
    </row>
    <row r="17314" spans="1:6" x14ac:dyDescent="0.2">
      <c r="A17314" t="s">
        <v>28602</v>
      </c>
      <c r="B17314" t="s">
        <v>26296</v>
      </c>
      <c r="C17314" t="s">
        <v>28603</v>
      </c>
      <c r="D17314" t="s">
        <v>27</v>
      </c>
      <c r="E17314" t="s">
        <v>733</v>
      </c>
      <c r="F17314" s="2" t="str">
        <f>HYPERLINK("http://www.otzar.org/book.asp?15394","יהודי המזרח בארץ ישראל - 2 כר'")</f>
        <v>יהודי המזרח בארץ ישראל - 2 כר'</v>
      </c>
    </row>
    <row r="17315" spans="1:6" x14ac:dyDescent="0.2">
      <c r="A17315" t="s">
        <v>28604</v>
      </c>
      <c r="B17315" t="s">
        <v>28605</v>
      </c>
      <c r="C17315" t="s">
        <v>79</v>
      </c>
      <c r="D17315" t="s">
        <v>27</v>
      </c>
      <c r="E17315" t="s">
        <v>119</v>
      </c>
      <c r="F17315" s="2" t="str">
        <f>HYPERLINK("http://www.otzar.org/book.asp?168943","יהודי כורדיסתאן")</f>
        <v>יהודי כורדיסתאן</v>
      </c>
    </row>
    <row r="17316" spans="1:6" x14ac:dyDescent="0.2">
      <c r="A17316" t="s">
        <v>28606</v>
      </c>
      <c r="B17316" t="s">
        <v>28607</v>
      </c>
      <c r="C17316" t="s">
        <v>1268</v>
      </c>
      <c r="D17316" t="s">
        <v>28608</v>
      </c>
      <c r="E17316" t="s">
        <v>119</v>
      </c>
      <c r="F17316" s="2" t="str">
        <f>HYPERLINK("http://www.otzar.org/book.asp?189660","יהודי מוצל")</f>
        <v>יהודי מוצל</v>
      </c>
    </row>
    <row r="17317" spans="1:6" x14ac:dyDescent="0.2">
      <c r="A17317" t="s">
        <v>28609</v>
      </c>
      <c r="B17317" t="s">
        <v>28610</v>
      </c>
      <c r="C17317" t="s">
        <v>124</v>
      </c>
      <c r="D17317" t="s">
        <v>216</v>
      </c>
      <c r="E17317" t="s">
        <v>241</v>
      </c>
      <c r="F17317" s="2" t="str">
        <f>HYPERLINK("http://www.otzar.org/book.asp?172280","יהודי מיהו ומהו")</f>
        <v>יהודי מיהו ומהו</v>
      </c>
    </row>
    <row r="17318" spans="1:6" x14ac:dyDescent="0.2">
      <c r="A17318" t="s">
        <v>28611</v>
      </c>
      <c r="B17318" t="s">
        <v>21003</v>
      </c>
      <c r="C17318" t="s">
        <v>956</v>
      </c>
      <c r="D17318" t="s">
        <v>216</v>
      </c>
      <c r="E17318" t="s">
        <v>119</v>
      </c>
      <c r="F17318" s="2" t="str">
        <f>HYPERLINK("http://www.otzar.org/book.asp?189897","יהודי ספרד בארץ ישראל")</f>
        <v>יהודי ספרד בארץ ישראל</v>
      </c>
    </row>
    <row r="17319" spans="1:6" x14ac:dyDescent="0.2">
      <c r="A17319" t="s">
        <v>28612</v>
      </c>
      <c r="B17319" t="s">
        <v>28613</v>
      </c>
      <c r="C17319" t="s">
        <v>129</v>
      </c>
      <c r="D17319" t="s">
        <v>14</v>
      </c>
      <c r="E17319" t="s">
        <v>733</v>
      </c>
      <c r="F17319" s="2" t="str">
        <f>HYPERLINK("http://www.otzar.org/book.asp?176818","יהודי עדן")</f>
        <v>יהודי עדן</v>
      </c>
    </row>
    <row r="17320" spans="1:6" x14ac:dyDescent="0.2">
      <c r="A17320" t="s">
        <v>28614</v>
      </c>
      <c r="B17320" t="s">
        <v>28615</v>
      </c>
      <c r="C17320" t="s">
        <v>411</v>
      </c>
      <c r="D17320" t="s">
        <v>118</v>
      </c>
      <c r="F17320" s="2" t="str">
        <f>HYPERLINK("http://www.otzar.org/book.asp?169559","יהודי צעדה וסביבותיה")</f>
        <v>יהודי צעדה וסביבותיה</v>
      </c>
    </row>
    <row r="17321" spans="1:6" x14ac:dyDescent="0.2">
      <c r="A17321" t="s">
        <v>28616</v>
      </c>
      <c r="B17321" t="s">
        <v>28617</v>
      </c>
      <c r="C17321" t="s">
        <v>124</v>
      </c>
      <c r="D17321" t="s">
        <v>216</v>
      </c>
      <c r="F17321" s="2" t="str">
        <f>HYPERLINK("http://www.otzar.org/book.asp?152939","יהודי תימן במאה הי""ט")</f>
        <v>יהודי תימן במאה הי"ט</v>
      </c>
    </row>
    <row r="17322" spans="1:6" x14ac:dyDescent="0.2">
      <c r="A17322" t="s">
        <v>28618</v>
      </c>
      <c r="B17322" t="s">
        <v>732</v>
      </c>
      <c r="C17322" t="s">
        <v>224</v>
      </c>
      <c r="D17322" t="s">
        <v>21</v>
      </c>
      <c r="E17322" t="s">
        <v>733</v>
      </c>
      <c r="F17322" s="2" t="str">
        <f>HYPERLINK("http://www.otzar.org/book.asp?197022","יהודי תימן בתל אביב")</f>
        <v>יהודי תימן בתל אביב</v>
      </c>
    </row>
    <row r="17323" spans="1:6" x14ac:dyDescent="0.2">
      <c r="A17323" t="s">
        <v>28619</v>
      </c>
      <c r="B17323" t="s">
        <v>11573</v>
      </c>
      <c r="C17323" t="s">
        <v>20</v>
      </c>
      <c r="D17323" t="s">
        <v>14</v>
      </c>
      <c r="E17323" t="s">
        <v>119</v>
      </c>
      <c r="F17323" s="2" t="str">
        <f>HYPERLINK("http://www.otzar.org/book.asp?16537","יהודים אל יאוש - 2 כר'")</f>
        <v>יהודים אל יאוש - 2 כר'</v>
      </c>
    </row>
    <row r="17324" spans="1:6" x14ac:dyDescent="0.2">
      <c r="A17324" t="s">
        <v>28620</v>
      </c>
      <c r="B17324" t="s">
        <v>28621</v>
      </c>
      <c r="C17324" t="s">
        <v>1388</v>
      </c>
      <c r="D17324" t="s">
        <v>216</v>
      </c>
      <c r="E17324" t="s">
        <v>119</v>
      </c>
      <c r="F17324" s="2" t="str">
        <f>HYPERLINK("http://www.otzar.org/book.asp?173659","יהודים בדרכי השיירות ובמכרות הכסף של מקדוניה")</f>
        <v>יהודים בדרכי השיירות ובמכרות הכסף של מקדוניה</v>
      </c>
    </row>
    <row r="17325" spans="1:6" x14ac:dyDescent="0.2">
      <c r="A17325" t="s">
        <v>28622</v>
      </c>
      <c r="B17325" t="s">
        <v>28623</v>
      </c>
      <c r="C17325" t="s">
        <v>989</v>
      </c>
      <c r="D17325" t="s">
        <v>14</v>
      </c>
      <c r="E17325" t="s">
        <v>119</v>
      </c>
      <c r="F17325" s="2" t="str">
        <f>HYPERLINK("http://www.otzar.org/book.asp?15497","יהודים ויהדות בברית המועצות")</f>
        <v>יהודים ויהדות בברית המועצות</v>
      </c>
    </row>
    <row r="17326" spans="1:6" x14ac:dyDescent="0.2">
      <c r="A17326" t="s">
        <v>28624</v>
      </c>
      <c r="B17326" t="s">
        <v>28625</v>
      </c>
      <c r="C17326" t="s">
        <v>1177</v>
      </c>
      <c r="D17326" t="s">
        <v>563</v>
      </c>
      <c r="E17326" t="s">
        <v>733</v>
      </c>
      <c r="F17326" s="2" t="str">
        <f>HYPERLINK("http://www.otzar.org/book.asp?161582","יהודית &lt;חלקי&gt;")</f>
        <v>יהודית &lt;חלקי&gt;</v>
      </c>
    </row>
    <row r="17327" spans="1:6" x14ac:dyDescent="0.2">
      <c r="A17327" t="s">
        <v>28626</v>
      </c>
      <c r="B17327" t="s">
        <v>28627</v>
      </c>
      <c r="C17327" t="s">
        <v>28628</v>
      </c>
      <c r="D17327" t="s">
        <v>563</v>
      </c>
      <c r="E17327" t="s">
        <v>202</v>
      </c>
      <c r="F17327" s="2" t="str">
        <f>HYPERLINK("http://www.otzar.org/book.asp?170904","יהודית - 2 כר'")</f>
        <v>יהודית - 2 כר'</v>
      </c>
    </row>
    <row r="17328" spans="1:6" x14ac:dyDescent="0.2">
      <c r="A17328" t="s">
        <v>28629</v>
      </c>
      <c r="B17328" t="s">
        <v>28630</v>
      </c>
      <c r="C17328" t="s">
        <v>180</v>
      </c>
      <c r="D17328" t="s">
        <v>52</v>
      </c>
      <c r="E17328" t="s">
        <v>202</v>
      </c>
      <c r="F17328" s="2" t="str">
        <f>HYPERLINK("http://www.otzar.org/book.asp?180298","יהודית - 7 כר'")</f>
        <v>יהודית - 7 כר'</v>
      </c>
    </row>
    <row r="17329" spans="1:6" x14ac:dyDescent="0.2">
      <c r="A17329" t="s">
        <v>28631</v>
      </c>
      <c r="B17329" t="s">
        <v>28625</v>
      </c>
      <c r="C17329" t="s">
        <v>1177</v>
      </c>
      <c r="D17329" t="s">
        <v>563</v>
      </c>
      <c r="F17329" s="2" t="str">
        <f>HYPERLINK("http://www.otzar.org/book.asp?182097","יהודית")</f>
        <v>יהודית</v>
      </c>
    </row>
    <row r="17330" spans="1:6" x14ac:dyDescent="0.2">
      <c r="A17330" t="s">
        <v>28632</v>
      </c>
      <c r="B17330" t="s">
        <v>1750</v>
      </c>
      <c r="C17330" t="s">
        <v>180</v>
      </c>
      <c r="D17330" t="s">
        <v>52</v>
      </c>
      <c r="E17330" t="s">
        <v>384</v>
      </c>
      <c r="F17330" s="2" t="str">
        <f>HYPERLINK("http://www.otzar.org/book.asp?52397","יהודית - א")</f>
        <v>יהודית - א</v>
      </c>
    </row>
    <row r="17331" spans="1:6" x14ac:dyDescent="0.2">
      <c r="A17331" t="s">
        <v>28633</v>
      </c>
      <c r="B17331" t="s">
        <v>14105</v>
      </c>
      <c r="C17331" t="s">
        <v>1811</v>
      </c>
      <c r="D17331" t="s">
        <v>423</v>
      </c>
      <c r="E17331" t="s">
        <v>1215</v>
      </c>
      <c r="F17331" s="2" t="str">
        <f>HYPERLINK("http://www.otzar.org/book.asp?154371","יהי אור")</f>
        <v>יהי אור</v>
      </c>
    </row>
    <row r="17332" spans="1:6" x14ac:dyDescent="0.2">
      <c r="A17332" t="s">
        <v>28634</v>
      </c>
      <c r="B17332" t="s">
        <v>28635</v>
      </c>
      <c r="C17332" t="s">
        <v>37</v>
      </c>
      <c r="D17332" t="s">
        <v>10373</v>
      </c>
      <c r="E17332" t="s">
        <v>144</v>
      </c>
      <c r="F17332" s="2" t="str">
        <f>HYPERLINK("http://www.otzar.org/book.asp?196427","יהי אור - קידושין")</f>
        <v>יהי אור - קידושין</v>
      </c>
    </row>
    <row r="17333" spans="1:6" x14ac:dyDescent="0.2">
      <c r="A17333" t="s">
        <v>28633</v>
      </c>
      <c r="B17333" t="s">
        <v>28636</v>
      </c>
      <c r="C17333" t="s">
        <v>624</v>
      </c>
      <c r="D17333" t="s">
        <v>21</v>
      </c>
      <c r="E17333" t="s">
        <v>140</v>
      </c>
      <c r="F17333" s="2" t="str">
        <f>HYPERLINK("http://www.otzar.org/book.asp?605545","יהי אור")</f>
        <v>יהי אור</v>
      </c>
    </row>
    <row r="17334" spans="1:6" x14ac:dyDescent="0.2">
      <c r="A17334" t="s">
        <v>28637</v>
      </c>
      <c r="B17334" t="s">
        <v>206</v>
      </c>
      <c r="C17334" t="s">
        <v>20</v>
      </c>
      <c r="D17334" t="s">
        <v>90</v>
      </c>
      <c r="E17334" t="s">
        <v>241</v>
      </c>
      <c r="F17334" s="2" t="str">
        <f>HYPERLINK("http://www.otzar.org/book.asp?628142","יהי שלום בחילך - לנשים")</f>
        <v>יהי שלום בחילך - לנשים</v>
      </c>
    </row>
    <row r="17335" spans="1:6" x14ac:dyDescent="0.2">
      <c r="A17335" t="s">
        <v>28638</v>
      </c>
      <c r="B17335" t="s">
        <v>1137</v>
      </c>
      <c r="C17335" t="s">
        <v>1519</v>
      </c>
      <c r="D17335" t="s">
        <v>42</v>
      </c>
      <c r="E17335" t="s">
        <v>144</v>
      </c>
      <c r="F17335" s="2" t="str">
        <f>HYPERLINK("http://www.otzar.org/book.asp?147347","יהי שמו לעולם")</f>
        <v>יהי שמו לעולם</v>
      </c>
    </row>
    <row r="17336" spans="1:6" x14ac:dyDescent="0.2">
      <c r="A17336" t="s">
        <v>28639</v>
      </c>
      <c r="B17336" t="s">
        <v>4398</v>
      </c>
      <c r="C17336" t="s">
        <v>146</v>
      </c>
      <c r="D17336" t="s">
        <v>216</v>
      </c>
      <c r="E17336" t="s">
        <v>508</v>
      </c>
      <c r="F17336" s="2" t="str">
        <f>HYPERLINK("http://www.otzar.org/book.asp?148454","יהי שמו - ברכות. שימו יהושע - שו""ת")</f>
        <v>יהי שמו - ברכות. שימו יהושע - שו"ת</v>
      </c>
    </row>
    <row r="17337" spans="1:6" x14ac:dyDescent="0.2">
      <c r="A17337" t="s">
        <v>28640</v>
      </c>
      <c r="B17337" t="s">
        <v>28641</v>
      </c>
      <c r="C17337" t="s">
        <v>506</v>
      </c>
      <c r="D17337" t="s">
        <v>225</v>
      </c>
      <c r="E17337" t="s">
        <v>28642</v>
      </c>
      <c r="F17337" s="2" t="str">
        <f>HYPERLINK("http://www.otzar.org/book.asp?18867","יהל אור (מתוך מנחת יהודה)")</f>
        <v>יהל אור (מתוך מנחת יהודה)</v>
      </c>
    </row>
    <row r="17338" spans="1:6" x14ac:dyDescent="0.2">
      <c r="A17338" t="s">
        <v>28643</v>
      </c>
      <c r="B17338" t="s">
        <v>1821</v>
      </c>
      <c r="C17338" t="s">
        <v>4705</v>
      </c>
      <c r="D17338" t="s">
        <v>56</v>
      </c>
      <c r="E17338" t="s">
        <v>399</v>
      </c>
      <c r="F17338" s="2" t="str">
        <f>HYPERLINK("http://www.otzar.org/book.asp?106038","יהל אור")</f>
        <v>יהל אור</v>
      </c>
    </row>
    <row r="17339" spans="1:6" x14ac:dyDescent="0.2">
      <c r="A17339" t="s">
        <v>28644</v>
      </c>
      <c r="B17339" t="s">
        <v>28645</v>
      </c>
      <c r="C17339" t="s">
        <v>28646</v>
      </c>
      <c r="D17339" t="s">
        <v>6042</v>
      </c>
      <c r="E17339" t="s">
        <v>104</v>
      </c>
      <c r="F17339" s="2" t="str">
        <f>HYPERLINK("http://www.otzar.org/book.asp?168756","יהל לנר ברוך - ב")</f>
        <v>יהל לנר ברוך - ב</v>
      </c>
    </row>
    <row r="17340" spans="1:6" x14ac:dyDescent="0.2">
      <c r="A17340" t="s">
        <v>28647</v>
      </c>
      <c r="B17340" t="s">
        <v>28648</v>
      </c>
      <c r="C17340" t="s">
        <v>1954</v>
      </c>
      <c r="D17340" t="s">
        <v>27</v>
      </c>
      <c r="E17340" t="s">
        <v>1174</v>
      </c>
      <c r="F17340" s="2" t="str">
        <f>HYPERLINK("http://www.otzar.org/book.asp?175409","יהל")</f>
        <v>יהל</v>
      </c>
    </row>
    <row r="17341" spans="1:6" x14ac:dyDescent="0.2">
      <c r="A17341" t="s">
        <v>28649</v>
      </c>
      <c r="B17341" t="s">
        <v>28650</v>
      </c>
      <c r="C17341" t="s">
        <v>20</v>
      </c>
      <c r="D17341" t="s">
        <v>90</v>
      </c>
      <c r="E17341" t="s">
        <v>202</v>
      </c>
      <c r="F17341" s="2" t="str">
        <f>HYPERLINK("http://www.otzar.org/book.asp?602915","יובל היא")</f>
        <v>יובל היא</v>
      </c>
    </row>
    <row r="17342" spans="1:6" x14ac:dyDescent="0.2">
      <c r="A17342" t="s">
        <v>28651</v>
      </c>
      <c r="B17342" t="s">
        <v>28652</v>
      </c>
      <c r="C17342" t="s">
        <v>160</v>
      </c>
      <c r="D17342" t="s">
        <v>115</v>
      </c>
      <c r="E17342" t="s">
        <v>202</v>
      </c>
      <c r="F17342" s="2" t="str">
        <f>HYPERLINK("http://www.otzar.org/book.asp?608105","יובל העשרים של הישיבה הגדולה ישיבת פתח תקוה")</f>
        <v>יובל העשרים של הישיבה הגדולה ישיבת פתח תקוה</v>
      </c>
    </row>
    <row r="17343" spans="1:6" x14ac:dyDescent="0.2">
      <c r="A17343" t="s">
        <v>28653</v>
      </c>
      <c r="B17343" t="s">
        <v>28654</v>
      </c>
      <c r="C17343" t="s">
        <v>114</v>
      </c>
      <c r="D17343" t="s">
        <v>14</v>
      </c>
      <c r="E17343" t="s">
        <v>28655</v>
      </c>
      <c r="F17343" s="2" t="str">
        <f>HYPERLINK("http://www.otzar.org/book.asp?608282","יובלי צבי")</f>
        <v>יובלי צבי</v>
      </c>
    </row>
    <row r="17344" spans="1:6" x14ac:dyDescent="0.2">
      <c r="A17344" t="s">
        <v>28656</v>
      </c>
      <c r="B17344" t="s">
        <v>28657</v>
      </c>
      <c r="C17344" t="s">
        <v>99</v>
      </c>
      <c r="D17344" t="s">
        <v>307</v>
      </c>
      <c r="E17344" t="s">
        <v>384</v>
      </c>
      <c r="F17344" s="2" t="str">
        <f>HYPERLINK("http://www.otzar.org/book.asp?196044","יוגענד קרעפטען")</f>
        <v>יוגענד קרעפטען</v>
      </c>
    </row>
    <row r="17345" spans="1:6" x14ac:dyDescent="0.2">
      <c r="A17345" t="s">
        <v>28658</v>
      </c>
      <c r="B17345" t="s">
        <v>21877</v>
      </c>
      <c r="C17345" t="s">
        <v>767</v>
      </c>
      <c r="D17345" t="s">
        <v>14</v>
      </c>
      <c r="E17345" t="s">
        <v>104</v>
      </c>
      <c r="F17345" s="2" t="str">
        <f>HYPERLINK("http://www.otzar.org/book.asp?171264","יודאיקה ירושלים - 80 כר'")</f>
        <v>יודאיקה ירושלים - 80 כר'</v>
      </c>
    </row>
    <row r="17346" spans="1:6" x14ac:dyDescent="0.2">
      <c r="A17346" t="s">
        <v>28659</v>
      </c>
      <c r="B17346" t="s">
        <v>28660</v>
      </c>
      <c r="C17346" t="s">
        <v>4699</v>
      </c>
      <c r="D17346" t="s">
        <v>28661</v>
      </c>
      <c r="F17346" s="2" t="str">
        <f>HYPERLINK("http://www.otzar.org/book.asp?170312","יודישר טירייאק")</f>
        <v>יודישר טירייאק</v>
      </c>
    </row>
    <row r="17347" spans="1:6" x14ac:dyDescent="0.2">
      <c r="A17347" t="s">
        <v>28662</v>
      </c>
      <c r="B17347" t="s">
        <v>28663</v>
      </c>
      <c r="C17347" t="s">
        <v>1458</v>
      </c>
      <c r="D17347" t="s">
        <v>6537</v>
      </c>
      <c r="F17347" s="2" t="str">
        <f>HYPERLINK("http://www.otzar.org/book.asp?600024","יודע ספר")</f>
        <v>יודע ספר</v>
      </c>
    </row>
    <row r="17348" spans="1:6" x14ac:dyDescent="0.2">
      <c r="A17348" t="s">
        <v>28664</v>
      </c>
      <c r="B17348" t="s">
        <v>28665</v>
      </c>
      <c r="C17348" t="s">
        <v>37</v>
      </c>
      <c r="D17348" t="s">
        <v>90</v>
      </c>
      <c r="E17348" t="s">
        <v>2071</v>
      </c>
      <c r="F17348" s="2" t="str">
        <f>HYPERLINK("http://www.otzar.org/book.asp?182283","יודעי בינה &lt;הבינה והברכה&gt;")</f>
        <v>יודעי בינה &lt;הבינה והברכה&gt;</v>
      </c>
    </row>
    <row r="17349" spans="1:6" x14ac:dyDescent="0.2">
      <c r="A17349" t="s">
        <v>28666</v>
      </c>
      <c r="B17349" t="s">
        <v>28667</v>
      </c>
      <c r="C17349" t="s">
        <v>17</v>
      </c>
      <c r="D17349" t="s">
        <v>118</v>
      </c>
      <c r="E17349" t="s">
        <v>104</v>
      </c>
      <c r="F17349" s="2" t="str">
        <f>HYPERLINK("http://www.otzar.org/book.asp?179765","יודעי בינה - 5 כר'")</f>
        <v>יודעי בינה - 5 כר'</v>
      </c>
    </row>
    <row r="17350" spans="1:6" x14ac:dyDescent="0.2">
      <c r="A17350" t="s">
        <v>28668</v>
      </c>
      <c r="B17350" t="s">
        <v>28669</v>
      </c>
      <c r="C17350" t="s">
        <v>68</v>
      </c>
      <c r="D17350" t="s">
        <v>21168</v>
      </c>
      <c r="E17350" t="s">
        <v>399</v>
      </c>
      <c r="F17350" s="2" t="str">
        <f>HYPERLINK("http://www.otzar.org/book.asp?165274","יודעי בינה")</f>
        <v>יודעי בינה</v>
      </c>
    </row>
    <row r="17351" spans="1:6" x14ac:dyDescent="0.2">
      <c r="A17351" t="s">
        <v>28668</v>
      </c>
      <c r="B17351" t="s">
        <v>28670</v>
      </c>
      <c r="C17351" t="s">
        <v>244</v>
      </c>
      <c r="D17351" t="s">
        <v>14</v>
      </c>
      <c r="F17351" s="2" t="str">
        <f>HYPERLINK("http://www.otzar.org/book.asp?198380","יודעי בינה")</f>
        <v>יודעי בינה</v>
      </c>
    </row>
    <row r="17352" spans="1:6" x14ac:dyDescent="0.2">
      <c r="A17352" t="s">
        <v>28668</v>
      </c>
      <c r="B17352" t="s">
        <v>28671</v>
      </c>
      <c r="C17352" t="s">
        <v>360</v>
      </c>
      <c r="D17352" t="s">
        <v>855</v>
      </c>
      <c r="E17352" t="s">
        <v>158</v>
      </c>
      <c r="F17352" s="2" t="str">
        <f>HYPERLINK("http://www.otzar.org/book.asp?23726","יודעי בינה")</f>
        <v>יודעי בינה</v>
      </c>
    </row>
    <row r="17353" spans="1:6" x14ac:dyDescent="0.2">
      <c r="A17353" t="s">
        <v>28672</v>
      </c>
      <c r="B17353" t="s">
        <v>1750</v>
      </c>
      <c r="C17353" t="s">
        <v>151</v>
      </c>
      <c r="D17353" t="s">
        <v>14605</v>
      </c>
      <c r="F17353" s="2" t="str">
        <f>HYPERLINK("http://www.otzar.org/book.asp?615342","יודעי העתים - 3 כר'")</f>
        <v>יודעי העתים - 3 כר'</v>
      </c>
    </row>
    <row r="17354" spans="1:6" x14ac:dyDescent="0.2">
      <c r="A17354" t="s">
        <v>28673</v>
      </c>
      <c r="B17354" t="s">
        <v>776</v>
      </c>
      <c r="C17354" t="s">
        <v>1062</v>
      </c>
      <c r="D17354" t="s">
        <v>27</v>
      </c>
      <c r="E17354" t="s">
        <v>104</v>
      </c>
      <c r="F17354" s="2" t="str">
        <f>HYPERLINK("http://www.otzar.org/book.asp?146788","יודעי חן")</f>
        <v>יודעי חן</v>
      </c>
    </row>
    <row r="17355" spans="1:6" x14ac:dyDescent="0.2">
      <c r="A17355" t="s">
        <v>28674</v>
      </c>
      <c r="B17355" t="s">
        <v>28675</v>
      </c>
      <c r="C17355" t="s">
        <v>366</v>
      </c>
      <c r="D17355" t="s">
        <v>52</v>
      </c>
      <c r="F17355" s="2" t="str">
        <f>HYPERLINK("http://www.otzar.org/book.asp?610873","יודעי שמך - דרך הרמח""ל בתכנית הבריאה")</f>
        <v>יודעי שמך - דרך הרמח"ל בתכנית הבריאה</v>
      </c>
    </row>
    <row r="17356" spans="1:6" x14ac:dyDescent="0.2">
      <c r="A17356" t="s">
        <v>28676</v>
      </c>
      <c r="B17356" t="s">
        <v>28677</v>
      </c>
      <c r="C17356" t="s">
        <v>68</v>
      </c>
      <c r="D17356" t="s">
        <v>14</v>
      </c>
      <c r="E17356" t="s">
        <v>104</v>
      </c>
      <c r="F17356" s="2" t="str">
        <f>HYPERLINK("http://www.otzar.org/book.asp?168448","יום בבית המקדש")</f>
        <v>יום בבית המקדש</v>
      </c>
    </row>
    <row r="17357" spans="1:6" x14ac:dyDescent="0.2">
      <c r="A17357" t="s">
        <v>28678</v>
      </c>
      <c r="B17357" t="s">
        <v>107</v>
      </c>
      <c r="C17357" t="s">
        <v>23</v>
      </c>
      <c r="D17357" t="s">
        <v>14</v>
      </c>
      <c r="E17357" t="s">
        <v>104</v>
      </c>
      <c r="F17357" s="2" t="str">
        <f>HYPERLINK("http://www.otzar.org/book.asp?625807","יום הבר מצוה")</f>
        <v>יום הבר מצוה</v>
      </c>
    </row>
    <row r="17358" spans="1:6" x14ac:dyDescent="0.2">
      <c r="A17358" t="s">
        <v>28679</v>
      </c>
      <c r="B17358" t="s">
        <v>28680</v>
      </c>
      <c r="C17358" t="s">
        <v>133</v>
      </c>
      <c r="D17358" t="s">
        <v>152</v>
      </c>
      <c r="F17358" s="2" t="str">
        <f>HYPERLINK("http://www.otzar.org/book.asp?614902","יום ההולדת ומשמעותו")</f>
        <v>יום ההולדת ומשמעותו</v>
      </c>
    </row>
    <row r="17359" spans="1:6" x14ac:dyDescent="0.2">
      <c r="A17359" t="s">
        <v>28681</v>
      </c>
      <c r="B17359" t="s">
        <v>3888</v>
      </c>
      <c r="C17359" t="s">
        <v>68</v>
      </c>
      <c r="D17359" t="s">
        <v>21</v>
      </c>
      <c r="F17359" s="2" t="str">
        <f>HYPERLINK("http://www.otzar.org/book.asp?622924","יום הנשואין")</f>
        <v>יום הנשואין</v>
      </c>
    </row>
    <row r="17360" spans="1:6" x14ac:dyDescent="0.2">
      <c r="A17360" t="s">
        <v>28682</v>
      </c>
      <c r="B17360" t="s">
        <v>1066</v>
      </c>
      <c r="C17360" t="s">
        <v>422</v>
      </c>
      <c r="D17360" t="s">
        <v>412</v>
      </c>
      <c r="E17360" t="s">
        <v>15</v>
      </c>
      <c r="F17360" s="2" t="str">
        <f>HYPERLINK("http://www.otzar.org/book.asp?175359","יום הקדוש - 3 כר'")</f>
        <v>יום הקדוש - 3 כר'</v>
      </c>
    </row>
    <row r="17361" spans="1:6" x14ac:dyDescent="0.2">
      <c r="A17361" t="s">
        <v>28683</v>
      </c>
      <c r="B17361" t="s">
        <v>28684</v>
      </c>
      <c r="C17361" t="s">
        <v>23</v>
      </c>
      <c r="D17361" t="s">
        <v>14</v>
      </c>
      <c r="F17361" s="2" t="str">
        <f>HYPERLINK("http://www.otzar.org/book.asp?611477","יום ולילה של תורה")</f>
        <v>יום ולילה של תורה</v>
      </c>
    </row>
    <row r="17362" spans="1:6" x14ac:dyDescent="0.2">
      <c r="A17362" t="s">
        <v>28685</v>
      </c>
      <c r="B17362" t="s">
        <v>28686</v>
      </c>
      <c r="C17362" t="s">
        <v>133</v>
      </c>
      <c r="D17362" t="s">
        <v>52</v>
      </c>
      <c r="E17362" t="s">
        <v>15</v>
      </c>
      <c r="F17362" s="2" t="str">
        <f>HYPERLINK("http://www.otzar.org/book.asp?175433","יום טוב וחול המועד כהלכתם")</f>
        <v>יום טוב וחול המועד כהלכתם</v>
      </c>
    </row>
    <row r="17363" spans="1:6" x14ac:dyDescent="0.2">
      <c r="A17363" t="s">
        <v>28687</v>
      </c>
      <c r="B17363" t="s">
        <v>28688</v>
      </c>
      <c r="C17363" t="s">
        <v>23</v>
      </c>
      <c r="D17363" t="s">
        <v>90</v>
      </c>
      <c r="E17363" t="s">
        <v>15</v>
      </c>
      <c r="F17363" s="2" t="str">
        <f>HYPERLINK("http://www.otzar.org/book.asp?188906","יום טוב כהלכתו")</f>
        <v>יום טוב כהלכתו</v>
      </c>
    </row>
    <row r="17364" spans="1:6" x14ac:dyDescent="0.2">
      <c r="A17364" t="s">
        <v>28689</v>
      </c>
      <c r="B17364" t="s">
        <v>8007</v>
      </c>
      <c r="C17364" t="s">
        <v>915</v>
      </c>
      <c r="D17364" t="s">
        <v>212</v>
      </c>
      <c r="E17364" t="s">
        <v>246</v>
      </c>
      <c r="F17364" s="2" t="str">
        <f>HYPERLINK("http://www.otzar.org/book.asp?18868","יום טוב מקרא קדש הזה")</f>
        <v>יום טוב מקרא קדש הזה</v>
      </c>
    </row>
    <row r="17365" spans="1:6" x14ac:dyDescent="0.2">
      <c r="A17365" t="s">
        <v>28690</v>
      </c>
      <c r="B17365" t="s">
        <v>28691</v>
      </c>
      <c r="C17365" t="s">
        <v>13</v>
      </c>
      <c r="D17365" t="s">
        <v>14</v>
      </c>
      <c r="E17365" t="s">
        <v>15</v>
      </c>
      <c r="F17365" s="2" t="str">
        <f>HYPERLINK("http://www.otzar.org/book.asp?199382","יום טוב שני כהלכתו")</f>
        <v>יום טוב שני כהלכתו</v>
      </c>
    </row>
    <row r="17366" spans="1:6" x14ac:dyDescent="0.2">
      <c r="A17366" t="s">
        <v>28692</v>
      </c>
      <c r="B17366" t="s">
        <v>16715</v>
      </c>
      <c r="C17366" t="s">
        <v>313</v>
      </c>
      <c r="D17366" t="s">
        <v>52</v>
      </c>
      <c r="F17366" s="2" t="str">
        <f>HYPERLINK("http://www.otzar.org/book.asp?617240","יום טוב שני של גלויות בהלכה")</f>
        <v>יום טוב שני של גלויות בהלכה</v>
      </c>
    </row>
    <row r="17367" spans="1:6" x14ac:dyDescent="0.2">
      <c r="A17367" t="s">
        <v>28693</v>
      </c>
      <c r="B17367" t="s">
        <v>17599</v>
      </c>
      <c r="C17367" t="s">
        <v>129</v>
      </c>
      <c r="D17367" t="s">
        <v>52</v>
      </c>
      <c r="E17367" t="s">
        <v>15</v>
      </c>
      <c r="F17367" s="2" t="str">
        <f>HYPERLINK("http://www.otzar.org/book.asp?154044","יום טוב שני של גלויות להלכה")</f>
        <v>יום טוב שני של גלויות להלכה</v>
      </c>
    </row>
    <row r="17368" spans="1:6" x14ac:dyDescent="0.2">
      <c r="A17368" t="s">
        <v>28694</v>
      </c>
      <c r="B17368" t="s">
        <v>5506</v>
      </c>
      <c r="C17368" t="s">
        <v>176</v>
      </c>
      <c r="D17368" t="s">
        <v>14</v>
      </c>
      <c r="E17368" t="s">
        <v>130</v>
      </c>
      <c r="F17368" s="2" t="str">
        <f>HYPERLINK("http://www.otzar.org/book.asp?155024","יום יום חג")</f>
        <v>יום יום חג</v>
      </c>
    </row>
    <row r="17369" spans="1:6" x14ac:dyDescent="0.2">
      <c r="A17369" t="s">
        <v>28695</v>
      </c>
      <c r="B17369" t="s">
        <v>28696</v>
      </c>
      <c r="C17369" t="s">
        <v>79</v>
      </c>
      <c r="D17369" t="s">
        <v>1889</v>
      </c>
      <c r="E17369" t="s">
        <v>1517</v>
      </c>
      <c r="F17369" s="2" t="str">
        <f>HYPERLINK("http://www.otzar.org/book.asp?151415","יום סליחה")</f>
        <v>יום סליחה</v>
      </c>
    </row>
    <row r="17370" spans="1:6" x14ac:dyDescent="0.2">
      <c r="A17370" t="s">
        <v>28697</v>
      </c>
      <c r="B17370" t="s">
        <v>28698</v>
      </c>
      <c r="C17370" t="s">
        <v>244</v>
      </c>
      <c r="D17370" t="s">
        <v>21</v>
      </c>
      <c r="E17370" t="s">
        <v>15</v>
      </c>
      <c r="F17370" s="2" t="str">
        <f>HYPERLINK("http://www.otzar.org/book.asp?602066","יום צום תעניתנו")</f>
        <v>יום צום תעניתנו</v>
      </c>
    </row>
    <row r="17371" spans="1:6" x14ac:dyDescent="0.2">
      <c r="A17371" t="s">
        <v>28699</v>
      </c>
      <c r="B17371" t="s">
        <v>3111</v>
      </c>
      <c r="C17371" t="s">
        <v>129</v>
      </c>
      <c r="D17371" t="s">
        <v>14</v>
      </c>
      <c r="E17371" t="s">
        <v>4494</v>
      </c>
      <c r="F17371" s="2" t="str">
        <f>HYPERLINK("http://www.otzar.org/book.asp?50251","יום שבתון - 2 כר'")</f>
        <v>יום שבתון - 2 כר'</v>
      </c>
    </row>
    <row r="17372" spans="1:6" x14ac:dyDescent="0.2">
      <c r="A17372" t="s">
        <v>28700</v>
      </c>
      <c r="B17372" t="s">
        <v>905</v>
      </c>
      <c r="C17372" t="s">
        <v>114</v>
      </c>
      <c r="D17372" t="s">
        <v>14</v>
      </c>
      <c r="F17372" s="2" t="str">
        <f>HYPERLINK("http://www.otzar.org/book.asp?630392","יום שמחת כהן")</f>
        <v>יום שמחת כהן</v>
      </c>
    </row>
    <row r="17373" spans="1:6" x14ac:dyDescent="0.2">
      <c r="A17373" t="s">
        <v>28701</v>
      </c>
      <c r="B17373" t="s">
        <v>21980</v>
      </c>
      <c r="C17373" t="s">
        <v>103</v>
      </c>
      <c r="D17373" t="s">
        <v>21</v>
      </c>
      <c r="E17373" t="s">
        <v>246</v>
      </c>
      <c r="F17373" s="2" t="str">
        <f>HYPERLINK("http://www.otzar.org/book.asp?606831","יום שמחת לבו")</f>
        <v>יום שמחת לבו</v>
      </c>
    </row>
    <row r="17374" spans="1:6" x14ac:dyDescent="0.2">
      <c r="A17374" t="s">
        <v>28702</v>
      </c>
      <c r="B17374" t="s">
        <v>28703</v>
      </c>
      <c r="C17374" t="s">
        <v>4351</v>
      </c>
      <c r="D17374" t="s">
        <v>42</v>
      </c>
      <c r="E17374" t="s">
        <v>241</v>
      </c>
      <c r="F17374" s="2" t="str">
        <f>HYPERLINK("http://www.otzar.org/book.asp?151549","יום תוכחה")</f>
        <v>יום תוכחה</v>
      </c>
    </row>
    <row r="17375" spans="1:6" x14ac:dyDescent="0.2">
      <c r="A17375" t="s">
        <v>28704</v>
      </c>
      <c r="B17375" t="s">
        <v>9096</v>
      </c>
      <c r="C17375" t="s">
        <v>1663</v>
      </c>
      <c r="D17375" t="s">
        <v>412</v>
      </c>
      <c r="E17375" t="s">
        <v>130</v>
      </c>
      <c r="F17375" s="2" t="str">
        <f>HYPERLINK("http://www.otzar.org/book.asp?151249","יום תרועה יום יבבא")</f>
        <v>יום תרועה יום יבבא</v>
      </c>
    </row>
    <row r="17376" spans="1:6" x14ac:dyDescent="0.2">
      <c r="A17376" t="s">
        <v>28705</v>
      </c>
      <c r="B17376" t="s">
        <v>28706</v>
      </c>
      <c r="C17376" t="s">
        <v>46</v>
      </c>
      <c r="D17376" t="s">
        <v>1889</v>
      </c>
      <c r="E17376" t="s">
        <v>1517</v>
      </c>
      <c r="F17376" s="2" t="str">
        <f>HYPERLINK("http://www.otzar.org/book.asp?151166","יום תרועה")</f>
        <v>יום תרועה</v>
      </c>
    </row>
    <row r="17377" spans="1:6" x14ac:dyDescent="0.2">
      <c r="A17377" t="s">
        <v>28707</v>
      </c>
      <c r="B17377" t="s">
        <v>28708</v>
      </c>
      <c r="C17377" t="s">
        <v>51</v>
      </c>
      <c r="D17377" t="s">
        <v>423</v>
      </c>
      <c r="E17377" t="s">
        <v>230</v>
      </c>
      <c r="F17377" s="2" t="str">
        <f>HYPERLINK("http://www.otzar.org/book.asp?171588","יומא דאורייתא - חג השבועות")</f>
        <v>יומא דאורייתא - חג השבועות</v>
      </c>
    </row>
    <row r="17378" spans="1:6" x14ac:dyDescent="0.2">
      <c r="A17378" t="s">
        <v>28709</v>
      </c>
      <c r="B17378" t="s">
        <v>5213</v>
      </c>
      <c r="C17378" t="s">
        <v>37</v>
      </c>
      <c r="D17378" t="s">
        <v>14</v>
      </c>
      <c r="E17378" t="s">
        <v>246</v>
      </c>
      <c r="F17378" s="2" t="str">
        <f>HYPERLINK("http://www.otzar.org/book.asp?191131","יומא דעצרתא")</f>
        <v>יומא דעצרתא</v>
      </c>
    </row>
    <row r="17379" spans="1:6" x14ac:dyDescent="0.2">
      <c r="A17379" t="s">
        <v>28710</v>
      </c>
      <c r="B17379" t="s">
        <v>28711</v>
      </c>
      <c r="C17379" t="s">
        <v>103</v>
      </c>
      <c r="D17379" t="s">
        <v>152</v>
      </c>
      <c r="E17379" t="s">
        <v>15</v>
      </c>
      <c r="F17379" s="2" t="str">
        <f>HYPERLINK("http://www.otzar.org/book.asp?85067","יומא טבא לרבנן")</f>
        <v>יומא טבא לרבנן</v>
      </c>
    </row>
    <row r="17380" spans="1:6" x14ac:dyDescent="0.2">
      <c r="A17380" t="s">
        <v>28712</v>
      </c>
      <c r="B17380" t="s">
        <v>28713</v>
      </c>
      <c r="C17380" t="s">
        <v>21397</v>
      </c>
      <c r="D17380" t="s">
        <v>412</v>
      </c>
      <c r="E17380" t="s">
        <v>144</v>
      </c>
      <c r="F17380" s="2" t="str">
        <f>HYPERLINK("http://www.otzar.org/book.asp?190347","יומא טבא לרבנן - חידושי מהר""ל פישלס")</f>
        <v>יומא טבא לרבנן - חידושי מהר"ל פישלס</v>
      </c>
    </row>
    <row r="17381" spans="1:6" x14ac:dyDescent="0.2">
      <c r="A17381" t="s">
        <v>28714</v>
      </c>
      <c r="B17381" t="s">
        <v>28715</v>
      </c>
      <c r="D17381" t="s">
        <v>14</v>
      </c>
      <c r="E17381" t="s">
        <v>144</v>
      </c>
      <c r="F17381" s="2" t="str">
        <f>HYPERLINK("http://www.otzar.org/book.asp?607204","יומא טובא לרבנן - ביצה")</f>
        <v>יומא טובא לרבנן - ביצה</v>
      </c>
    </row>
    <row r="17382" spans="1:6" x14ac:dyDescent="0.2">
      <c r="A17382" t="s">
        <v>28716</v>
      </c>
      <c r="B17382" t="s">
        <v>14797</v>
      </c>
      <c r="C17382" t="s">
        <v>37</v>
      </c>
      <c r="D17382" t="s">
        <v>2285</v>
      </c>
      <c r="F17382" s="2" t="str">
        <f>HYPERLINK("http://www.otzar.org/book.asp?630389","יומי דפגרי")</f>
        <v>יומי דפגרי</v>
      </c>
    </row>
    <row r="17383" spans="1:6" x14ac:dyDescent="0.2">
      <c r="A17383" t="s">
        <v>28717</v>
      </c>
      <c r="B17383" t="s">
        <v>1331</v>
      </c>
      <c r="C17383" t="s">
        <v>454</v>
      </c>
      <c r="D17383" t="s">
        <v>14</v>
      </c>
      <c r="E17383" t="s">
        <v>130</v>
      </c>
      <c r="F17383" s="2" t="str">
        <f>HYPERLINK("http://www.otzar.org/book.asp?26056","יומין דחנוכה - 2 כר'")</f>
        <v>יומין דחנוכה - 2 כר'</v>
      </c>
    </row>
    <row r="17384" spans="1:6" x14ac:dyDescent="0.2">
      <c r="A17384" t="s">
        <v>28718</v>
      </c>
      <c r="B17384" t="s">
        <v>28719</v>
      </c>
      <c r="C17384" t="s">
        <v>1208</v>
      </c>
      <c r="D17384" t="s">
        <v>14</v>
      </c>
      <c r="E17384" t="s">
        <v>140</v>
      </c>
      <c r="F17384" s="2" t="str">
        <f>HYPERLINK("http://www.otzar.org/book.asp?189448","יומן אומאן - עיר הגעגועים")</f>
        <v>יומן אומאן - עיר הגעגועים</v>
      </c>
    </row>
    <row r="17385" spans="1:6" x14ac:dyDescent="0.2">
      <c r="A17385" t="s">
        <v>28720</v>
      </c>
      <c r="B17385" t="s">
        <v>28721</v>
      </c>
      <c r="C17385" t="s">
        <v>843</v>
      </c>
      <c r="D17385" t="s">
        <v>9</v>
      </c>
      <c r="E17385" t="s">
        <v>119</v>
      </c>
      <c r="F17385" s="2" t="str">
        <f>HYPERLINK("http://www.otzar.org/book.asp?107003","יומן גיטו ווארשה")</f>
        <v>יומן גיטו ווארשה</v>
      </c>
    </row>
    <row r="17386" spans="1:6" x14ac:dyDescent="0.2">
      <c r="A17386" t="s">
        <v>28722</v>
      </c>
      <c r="B17386" t="s">
        <v>28723</v>
      </c>
      <c r="D17386" t="s">
        <v>1163</v>
      </c>
      <c r="F17386" s="2" t="str">
        <f>HYPERLINK("http://www.otzar.org/book.asp?616234","יומן הבריתות והנדוניות (כתב יד)")</f>
        <v>יומן הבריתות והנדוניות (כתב יד)</v>
      </c>
    </row>
    <row r="17387" spans="1:6" x14ac:dyDescent="0.2">
      <c r="A17387" t="s">
        <v>28724</v>
      </c>
      <c r="B17387" t="s">
        <v>28725</v>
      </c>
      <c r="C17387" t="s">
        <v>956</v>
      </c>
      <c r="D17387" t="s">
        <v>14</v>
      </c>
      <c r="E17387" t="s">
        <v>733</v>
      </c>
      <c r="F17387" s="2" t="str">
        <f>HYPERLINK("http://www.otzar.org/book.asp?15661","יומן הכותל המערבי")</f>
        <v>יומן הכותל המערבי</v>
      </c>
    </row>
    <row r="17388" spans="1:6" x14ac:dyDescent="0.2">
      <c r="A17388" t="s">
        <v>28726</v>
      </c>
      <c r="B17388" t="s">
        <v>28727</v>
      </c>
      <c r="C17388" t="s">
        <v>533</v>
      </c>
      <c r="D17388" t="s">
        <v>21</v>
      </c>
      <c r="E17388" t="s">
        <v>104</v>
      </c>
      <c r="F17388" s="2" t="str">
        <f>HYPERLINK("http://www.otzar.org/book.asp?192249","יומן מסע לארץ הקודש")</f>
        <v>יומן מסע לארץ הקודש</v>
      </c>
    </row>
    <row r="17389" spans="1:6" x14ac:dyDescent="0.2">
      <c r="A17389" t="s">
        <v>28728</v>
      </c>
      <c r="B17389" t="s">
        <v>28729</v>
      </c>
      <c r="C17389" t="s">
        <v>609</v>
      </c>
      <c r="D17389" t="s">
        <v>14</v>
      </c>
      <c r="E17389" t="s">
        <v>393</v>
      </c>
      <c r="F17389" s="2" t="str">
        <f>HYPERLINK("http://www.otzar.org/book.asp?168849","יומן רשמי בקורי כ""ק אדמו""ר שליט""א מליובאוויטש")</f>
        <v>יומן רשמי בקורי כ"ק אדמו"ר שליט"א מליובאוויטש</v>
      </c>
    </row>
    <row r="17390" spans="1:6" x14ac:dyDescent="0.2">
      <c r="A17390" t="s">
        <v>28730</v>
      </c>
      <c r="B17390" t="s">
        <v>28731</v>
      </c>
      <c r="C17390" t="s">
        <v>87</v>
      </c>
      <c r="D17390" t="s">
        <v>14</v>
      </c>
      <c r="E17390" t="s">
        <v>104</v>
      </c>
      <c r="F17390" s="2" t="str">
        <f>HYPERLINK("http://www.otzar.org/book.asp?619592","יומנו של רבי אלעזר אזכרי")</f>
        <v>יומנו של רבי אלעזר אזכרי</v>
      </c>
    </row>
    <row r="17391" spans="1:6" x14ac:dyDescent="0.2">
      <c r="A17391" t="s">
        <v>28732</v>
      </c>
      <c r="B17391" t="s">
        <v>28733</v>
      </c>
      <c r="C17391" t="s">
        <v>143</v>
      </c>
      <c r="D17391" t="s">
        <v>13187</v>
      </c>
      <c r="E17391" t="s">
        <v>119</v>
      </c>
      <c r="F17391" s="2" t="str">
        <f>HYPERLINK("http://www.otzar.org/book.asp?180881","יון מצולה - מגילת עיפה &lt;מהדורת סץ&gt;")</f>
        <v>יון מצולה - מגילת עיפה &lt;מהדורת סץ&gt;</v>
      </c>
    </row>
    <row r="17392" spans="1:6" x14ac:dyDescent="0.2">
      <c r="A17392" t="s">
        <v>28734</v>
      </c>
      <c r="B17392" t="s">
        <v>27949</v>
      </c>
      <c r="C17392" t="s">
        <v>1885</v>
      </c>
      <c r="D17392" t="s">
        <v>14445</v>
      </c>
      <c r="E17392" t="s">
        <v>119</v>
      </c>
      <c r="F17392" s="2" t="str">
        <f>HYPERLINK("http://www.otzar.org/book.asp?603628","יון מצולה - 4 כר'")</f>
        <v>יון מצולה - 4 כר'</v>
      </c>
    </row>
    <row r="17393" spans="1:6" x14ac:dyDescent="0.2">
      <c r="A17393" t="s">
        <v>28735</v>
      </c>
      <c r="B17393" t="s">
        <v>28736</v>
      </c>
      <c r="C17393" t="s">
        <v>87</v>
      </c>
      <c r="D17393" t="s">
        <v>4478</v>
      </c>
      <c r="E17393" t="s">
        <v>158</v>
      </c>
      <c r="F17393" s="2" t="str">
        <f>HYPERLINK("http://www.otzar.org/book.asp?63128","יונה בן אמתי ואליהו")</f>
        <v>יונה בן אמתי ואליהו</v>
      </c>
    </row>
    <row r="17394" spans="1:6" x14ac:dyDescent="0.2">
      <c r="A17394" t="s">
        <v>28737</v>
      </c>
      <c r="B17394" t="s">
        <v>28738</v>
      </c>
      <c r="C17394" t="s">
        <v>286</v>
      </c>
      <c r="D17394" t="s">
        <v>18436</v>
      </c>
      <c r="E17394" t="s">
        <v>15</v>
      </c>
      <c r="F17394" s="2" t="str">
        <f>HYPERLINK("http://www.otzar.org/book.asp?181797","יונה הומיה")</f>
        <v>יונה הומיה</v>
      </c>
    </row>
    <row r="17395" spans="1:6" x14ac:dyDescent="0.2">
      <c r="A17395" t="s">
        <v>28739</v>
      </c>
      <c r="B17395" t="s">
        <v>8100</v>
      </c>
      <c r="C17395" t="s">
        <v>189</v>
      </c>
      <c r="D17395" t="s">
        <v>367</v>
      </c>
      <c r="E17395" t="s">
        <v>158</v>
      </c>
      <c r="F17395" s="2" t="str">
        <f>HYPERLINK("http://www.otzar.org/book.asp?28919","יונה מצא מנוח")</f>
        <v>יונה מצא מנוח</v>
      </c>
    </row>
    <row r="17396" spans="1:6" x14ac:dyDescent="0.2">
      <c r="A17396" t="s">
        <v>28740</v>
      </c>
      <c r="B17396" t="s">
        <v>16508</v>
      </c>
      <c r="C17396" t="s">
        <v>429</v>
      </c>
      <c r="D17396" t="s">
        <v>2181</v>
      </c>
      <c r="E17396" t="s">
        <v>399</v>
      </c>
      <c r="F17396" s="2" t="str">
        <f>HYPERLINK("http://www.otzar.org/book.asp?149968","יונה תמה")</f>
        <v>יונה תמה</v>
      </c>
    </row>
    <row r="17397" spans="1:6" x14ac:dyDescent="0.2">
      <c r="A17397" t="s">
        <v>28741</v>
      </c>
      <c r="B17397" t="s">
        <v>1821</v>
      </c>
      <c r="C17397" t="s">
        <v>558</v>
      </c>
      <c r="D17397" t="s">
        <v>225</v>
      </c>
      <c r="E17397" t="s">
        <v>158</v>
      </c>
      <c r="F17397" s="2" t="str">
        <f>HYPERLINK("http://www.otzar.org/book.asp?102511","יונה - &lt;הגר""א&gt;")</f>
        <v>יונה - &lt;הגר"א&gt;</v>
      </c>
    </row>
    <row r="17398" spans="1:6" x14ac:dyDescent="0.2">
      <c r="A17398" t="s">
        <v>28742</v>
      </c>
      <c r="B17398" t="s">
        <v>6040</v>
      </c>
      <c r="C17398" t="s">
        <v>1036</v>
      </c>
      <c r="D17398" t="s">
        <v>1279</v>
      </c>
      <c r="E17398" t="s">
        <v>399</v>
      </c>
      <c r="F17398" s="2" t="str">
        <f>HYPERLINK("http://www.otzar.org/book.asp?20200","יונת אלם")</f>
        <v>יונת אלם</v>
      </c>
    </row>
    <row r="17399" spans="1:6" x14ac:dyDescent="0.2">
      <c r="A17399" t="s">
        <v>28742</v>
      </c>
      <c r="B17399" t="s">
        <v>28743</v>
      </c>
      <c r="C17399" t="s">
        <v>433</v>
      </c>
      <c r="D17399" t="s">
        <v>13419</v>
      </c>
      <c r="E17399" t="s">
        <v>920</v>
      </c>
      <c r="F17399" s="2" t="str">
        <f>HYPERLINK("http://www.otzar.org/book.asp?11584","יונת אלם")</f>
        <v>יונת אלם</v>
      </c>
    </row>
    <row r="17400" spans="1:6" x14ac:dyDescent="0.2">
      <c r="A17400" t="s">
        <v>28744</v>
      </c>
      <c r="B17400" t="s">
        <v>28745</v>
      </c>
      <c r="D17400" t="s">
        <v>276</v>
      </c>
      <c r="F17400" s="2" t="str">
        <f>HYPERLINK("http://www.otzar.org/book.asp?604895","יונת צבי - 2 כר'")</f>
        <v>יונת צבי - 2 כר'</v>
      </c>
    </row>
    <row r="17401" spans="1:6" x14ac:dyDescent="0.2">
      <c r="A17401" t="s">
        <v>28746</v>
      </c>
      <c r="B17401" t="s">
        <v>4294</v>
      </c>
      <c r="C17401" t="s">
        <v>37</v>
      </c>
      <c r="D17401" t="s">
        <v>14</v>
      </c>
      <c r="E17401" t="s">
        <v>241</v>
      </c>
      <c r="F17401" s="2" t="str">
        <f>HYPERLINK("http://www.otzar.org/book.asp?605681","יונתי תמתי")</f>
        <v>יונתי תמתי</v>
      </c>
    </row>
    <row r="17402" spans="1:6" x14ac:dyDescent="0.2">
      <c r="A17402" t="s">
        <v>28746</v>
      </c>
      <c r="B17402" t="s">
        <v>28747</v>
      </c>
      <c r="C17402" t="s">
        <v>244</v>
      </c>
      <c r="D17402" t="s">
        <v>52</v>
      </c>
      <c r="E17402" t="s">
        <v>148</v>
      </c>
      <c r="F17402" s="2" t="str">
        <f>HYPERLINK("http://www.otzar.org/book.asp?199528","יונתי תמתי")</f>
        <v>יונתי תמתי</v>
      </c>
    </row>
    <row r="17403" spans="1:6" x14ac:dyDescent="0.2">
      <c r="A17403" t="s">
        <v>28748</v>
      </c>
      <c r="B17403" t="s">
        <v>28749</v>
      </c>
      <c r="C17403" t="s">
        <v>356</v>
      </c>
      <c r="D17403" t="s">
        <v>216</v>
      </c>
      <c r="E17403" t="s">
        <v>241</v>
      </c>
      <c r="F17403" s="2" t="str">
        <f>HYPERLINK("http://www.otzar.org/book.asp?177199","יוסיף אומץ &lt;פרקי חינוך&gt;")</f>
        <v>יוסיף אומץ &lt;פרקי חינוך&gt;</v>
      </c>
    </row>
    <row r="17404" spans="1:6" x14ac:dyDescent="0.2">
      <c r="A17404" t="s">
        <v>28750</v>
      </c>
      <c r="B17404" t="s">
        <v>28751</v>
      </c>
      <c r="C17404" t="s">
        <v>585</v>
      </c>
      <c r="D17404" t="s">
        <v>52</v>
      </c>
      <c r="E17404" t="s">
        <v>230</v>
      </c>
      <c r="F17404" s="2" t="str">
        <f>HYPERLINK("http://www.otzar.org/book.asp?623618","יוסיף אור")</f>
        <v>יוסיף אור</v>
      </c>
    </row>
    <row r="17405" spans="1:6" x14ac:dyDescent="0.2">
      <c r="A17405" t="s">
        <v>28752</v>
      </c>
      <c r="B17405" t="s">
        <v>8078</v>
      </c>
      <c r="C17405" t="s">
        <v>1414</v>
      </c>
      <c r="D17405" t="s">
        <v>212</v>
      </c>
      <c r="E17405" t="s">
        <v>234</v>
      </c>
      <c r="F17405" s="2" t="str">
        <f>HYPERLINK("http://www.otzar.org/book.asp?63862","יוסיף דוד")</f>
        <v>יוסיף דוד</v>
      </c>
    </row>
    <row r="17406" spans="1:6" x14ac:dyDescent="0.2">
      <c r="A17406" t="s">
        <v>28753</v>
      </c>
      <c r="B17406" t="s">
        <v>28754</v>
      </c>
      <c r="C17406" t="s">
        <v>767</v>
      </c>
      <c r="D17406" t="s">
        <v>27</v>
      </c>
      <c r="E17406" t="s">
        <v>219</v>
      </c>
      <c r="F17406" s="2" t="str">
        <f>HYPERLINK("http://www.otzar.org/book.asp?163699","יוסיף דעת - לקט פירושים על ברכת המזון")</f>
        <v>יוסיף דעת - לקט פירושים על ברכת המזון</v>
      </c>
    </row>
    <row r="17407" spans="1:6" x14ac:dyDescent="0.2">
      <c r="A17407" t="s">
        <v>28755</v>
      </c>
      <c r="B17407" t="s">
        <v>8936</v>
      </c>
      <c r="C17407" t="s">
        <v>244</v>
      </c>
      <c r="D17407" t="s">
        <v>52</v>
      </c>
      <c r="F17407" s="2" t="str">
        <f>HYPERLINK("http://www.otzar.org/book.asp?198313","יוסיף דעת - גליונות תשע""ד-תשע""ה")</f>
        <v>יוסיף דעת - גליונות תשע"ד-תשע"ה</v>
      </c>
    </row>
    <row r="17408" spans="1:6" x14ac:dyDescent="0.2">
      <c r="A17408" t="s">
        <v>28756</v>
      </c>
      <c r="B17408" t="s">
        <v>28757</v>
      </c>
      <c r="C17408" t="s">
        <v>1096</v>
      </c>
      <c r="D17408" t="s">
        <v>283</v>
      </c>
      <c r="E17408" t="s">
        <v>435</v>
      </c>
      <c r="F17408" s="2" t="str">
        <f>HYPERLINK("http://www.otzar.org/book.asp?300496","יוסיף חיים")</f>
        <v>יוסיף חיים</v>
      </c>
    </row>
    <row r="17409" spans="1:6" x14ac:dyDescent="0.2">
      <c r="A17409" t="s">
        <v>28756</v>
      </c>
      <c r="B17409" t="s">
        <v>28758</v>
      </c>
      <c r="C17409" t="s">
        <v>313</v>
      </c>
      <c r="D17409" t="s">
        <v>14</v>
      </c>
      <c r="E17409" t="s">
        <v>674</v>
      </c>
      <c r="F17409" s="2" t="str">
        <f>HYPERLINK("http://www.otzar.org/book.asp?159697","יוסיף חיים")</f>
        <v>יוסיף חיים</v>
      </c>
    </row>
    <row r="17410" spans="1:6" x14ac:dyDescent="0.2">
      <c r="A17410" t="s">
        <v>28759</v>
      </c>
      <c r="B17410" t="s">
        <v>28760</v>
      </c>
      <c r="C17410" t="s">
        <v>1954</v>
      </c>
      <c r="D17410" t="s">
        <v>27</v>
      </c>
      <c r="E17410" t="s">
        <v>119</v>
      </c>
      <c r="F17410" s="2" t="str">
        <f>HYPERLINK("http://www.otzar.org/book.asp?14616","יוסיפון - 3 כר'")</f>
        <v>יוסיפון - 3 כר'</v>
      </c>
    </row>
    <row r="17411" spans="1:6" x14ac:dyDescent="0.2">
      <c r="A17411" t="s">
        <v>28761</v>
      </c>
      <c r="B17411" t="s">
        <v>28762</v>
      </c>
      <c r="C17411" t="s">
        <v>390</v>
      </c>
      <c r="D17411" t="s">
        <v>216</v>
      </c>
      <c r="E17411" t="s">
        <v>119</v>
      </c>
      <c r="F17411" s="2" t="str">
        <f>HYPERLINK("http://www.otzar.org/book.asp?180077","יוסלה רוזנבלט")</f>
        <v>יוסלה רוזנבלט</v>
      </c>
    </row>
    <row r="17412" spans="1:6" x14ac:dyDescent="0.2">
      <c r="A17412" t="s">
        <v>28763</v>
      </c>
      <c r="B17412" t="s">
        <v>28764</v>
      </c>
      <c r="C17412" t="s">
        <v>51</v>
      </c>
      <c r="D17412" t="s">
        <v>14</v>
      </c>
      <c r="E17412" t="s">
        <v>144</v>
      </c>
      <c r="F17412" s="2" t="str">
        <f>HYPERLINK("http://www.otzar.org/book.asp?163323","יוסף  לקח - שבת")</f>
        <v>יוסף  לקח - שבת</v>
      </c>
    </row>
    <row r="17413" spans="1:6" x14ac:dyDescent="0.2">
      <c r="A17413" t="s">
        <v>28765</v>
      </c>
      <c r="B17413" t="s">
        <v>28766</v>
      </c>
      <c r="C17413" t="s">
        <v>1150</v>
      </c>
      <c r="D17413" t="s">
        <v>76</v>
      </c>
      <c r="E17413" t="s">
        <v>158</v>
      </c>
      <c r="F17413" s="2" t="str">
        <f>HYPERLINK("http://www.otzar.org/book.asp?179368","יוסף אברהם - 5 כר'")</f>
        <v>יוסף אברהם - 5 כר'</v>
      </c>
    </row>
    <row r="17414" spans="1:6" x14ac:dyDescent="0.2">
      <c r="A17414" t="s">
        <v>28767</v>
      </c>
      <c r="B17414" t="s">
        <v>28749</v>
      </c>
      <c r="C17414" t="s">
        <v>244</v>
      </c>
      <c r="D17414" t="s">
        <v>2319</v>
      </c>
      <c r="F17414" s="2" t="str">
        <f>HYPERLINK("http://www.otzar.org/book.asp?616426","יוסף אומץ &lt;מכון שלמה אומן&gt;")</f>
        <v>יוסף אומץ &lt;מכון שלמה אומן&gt;</v>
      </c>
    </row>
    <row r="17415" spans="1:6" x14ac:dyDescent="0.2">
      <c r="A17415" t="s">
        <v>28768</v>
      </c>
      <c r="B17415" t="s">
        <v>1308</v>
      </c>
      <c r="C17415" t="s">
        <v>390</v>
      </c>
      <c r="D17415" t="s">
        <v>14</v>
      </c>
      <c r="E17415" t="s">
        <v>154</v>
      </c>
      <c r="F17415" s="2" t="str">
        <f>HYPERLINK("http://www.otzar.org/book.asp?13157","יוסף אומץ - 3 כר'")</f>
        <v>יוסף אומץ - 3 כר'</v>
      </c>
    </row>
    <row r="17416" spans="1:6" x14ac:dyDescent="0.2">
      <c r="A17416" t="s">
        <v>28768</v>
      </c>
      <c r="B17416" t="s">
        <v>28749</v>
      </c>
      <c r="C17416" t="s">
        <v>506</v>
      </c>
      <c r="D17416" t="s">
        <v>322</v>
      </c>
      <c r="E17416" t="s">
        <v>3902</v>
      </c>
      <c r="F17416" s="2" t="str">
        <f>HYPERLINK("http://www.otzar.org/book.asp?8437","יוסף אומץ - 3 כר'")</f>
        <v>יוסף אומץ - 3 כר'</v>
      </c>
    </row>
    <row r="17417" spans="1:6" x14ac:dyDescent="0.2">
      <c r="A17417" t="s">
        <v>28769</v>
      </c>
      <c r="B17417" t="s">
        <v>28770</v>
      </c>
      <c r="C17417" t="s">
        <v>6995</v>
      </c>
      <c r="D17417" t="s">
        <v>1023</v>
      </c>
      <c r="E17417" t="s">
        <v>158</v>
      </c>
      <c r="F17417" s="2" t="str">
        <f>HYPERLINK("http://www.otzar.org/book.asp?24605","יוסף אומץ")</f>
        <v>יוסף אומץ</v>
      </c>
    </row>
    <row r="17418" spans="1:6" x14ac:dyDescent="0.2">
      <c r="A17418" t="s">
        <v>28769</v>
      </c>
      <c r="B17418" t="s">
        <v>2694</v>
      </c>
      <c r="C17418" t="s">
        <v>1718</v>
      </c>
      <c r="D17418" t="s">
        <v>283</v>
      </c>
      <c r="E17418" t="s">
        <v>933</v>
      </c>
      <c r="F17418" s="2" t="str">
        <f>HYPERLINK("http://www.otzar.org/book.asp?18871","יוסף אומץ")</f>
        <v>יוסף אומץ</v>
      </c>
    </row>
    <row r="17419" spans="1:6" x14ac:dyDescent="0.2">
      <c r="A17419" t="s">
        <v>28771</v>
      </c>
      <c r="B17419" t="s">
        <v>28772</v>
      </c>
      <c r="C17419" t="s">
        <v>189</v>
      </c>
      <c r="D17419" t="s">
        <v>90</v>
      </c>
      <c r="E17419" t="s">
        <v>15</v>
      </c>
      <c r="F17419" s="2" t="str">
        <f>HYPERLINK("http://www.otzar.org/book.asp?85261","יוסף את אחיו &lt;מהדורה חדשה&gt;")</f>
        <v>יוסף את אחיו &lt;מהדורה חדשה&gt;</v>
      </c>
    </row>
    <row r="17420" spans="1:6" x14ac:dyDescent="0.2">
      <c r="A17420" t="s">
        <v>28773</v>
      </c>
      <c r="B17420" t="s">
        <v>28772</v>
      </c>
      <c r="C17420" t="s">
        <v>1885</v>
      </c>
      <c r="D17420" t="s">
        <v>157</v>
      </c>
      <c r="E17420" t="s">
        <v>104</v>
      </c>
      <c r="F17420" s="2" t="str">
        <f>HYPERLINK("http://www.otzar.org/book.asp?104532","יוסף את אחיו")</f>
        <v>יוסף את אחיו</v>
      </c>
    </row>
    <row r="17421" spans="1:6" x14ac:dyDescent="0.2">
      <c r="A17421" t="s">
        <v>28774</v>
      </c>
      <c r="B17421" t="s">
        <v>2033</v>
      </c>
      <c r="C17421" t="s">
        <v>728</v>
      </c>
      <c r="D17421" t="s">
        <v>56</v>
      </c>
      <c r="E17421" t="s">
        <v>158</v>
      </c>
      <c r="F17421" s="2" t="str">
        <f>HYPERLINK("http://www.otzar.org/book.asp?102576","יוסף באור")</f>
        <v>יוסף באור</v>
      </c>
    </row>
    <row r="17422" spans="1:6" x14ac:dyDescent="0.2">
      <c r="A17422" t="s">
        <v>28775</v>
      </c>
      <c r="B17422" t="s">
        <v>1308</v>
      </c>
      <c r="C17422" t="s">
        <v>3709</v>
      </c>
      <c r="D17422" t="s">
        <v>212</v>
      </c>
      <c r="F17422" s="2" t="str">
        <f>HYPERLINK("http://www.otzar.org/book.asp?169538","יוסף בסד""ר")</f>
        <v>יוסף בסד"ר</v>
      </c>
    </row>
    <row r="17423" spans="1:6" x14ac:dyDescent="0.2">
      <c r="A17423" t="s">
        <v>28776</v>
      </c>
      <c r="B17423" t="s">
        <v>28777</v>
      </c>
      <c r="C17423" t="s">
        <v>28778</v>
      </c>
      <c r="D17423" t="s">
        <v>14</v>
      </c>
      <c r="E17423" t="s">
        <v>144</v>
      </c>
      <c r="F17423" s="2" t="str">
        <f>HYPERLINK("http://www.otzar.org/book.asp?22258","יוסף דעת - 42 כר'")</f>
        <v>יוסף דעת - 42 כר'</v>
      </c>
    </row>
    <row r="17424" spans="1:6" x14ac:dyDescent="0.2">
      <c r="A17424" t="s">
        <v>28779</v>
      </c>
      <c r="B17424" t="s">
        <v>9734</v>
      </c>
      <c r="C17424" t="s">
        <v>383</v>
      </c>
      <c r="D17424" t="s">
        <v>52</v>
      </c>
      <c r="E17424" t="s">
        <v>15</v>
      </c>
      <c r="F17424" s="2" t="str">
        <f>HYPERLINK("http://www.otzar.org/book.asp?26380","יוסף דעת - 4 כר'")</f>
        <v>יוסף דעת - 4 כר'</v>
      </c>
    </row>
    <row r="17425" spans="1:6" x14ac:dyDescent="0.2">
      <c r="A17425" t="s">
        <v>28780</v>
      </c>
      <c r="B17425" t="s">
        <v>12303</v>
      </c>
      <c r="C17425" t="s">
        <v>383</v>
      </c>
      <c r="D17425" t="s">
        <v>52</v>
      </c>
      <c r="E17425" t="s">
        <v>154</v>
      </c>
      <c r="F17425" s="2" t="str">
        <f>HYPERLINK("http://www.otzar.org/book.asp?22786","יוסף דעת")</f>
        <v>יוסף דעת</v>
      </c>
    </row>
    <row r="17426" spans="1:6" x14ac:dyDescent="0.2">
      <c r="A17426" t="s">
        <v>28780</v>
      </c>
      <c r="B17426" t="s">
        <v>28781</v>
      </c>
      <c r="C17426" t="s">
        <v>466</v>
      </c>
      <c r="D17426" t="s">
        <v>52</v>
      </c>
      <c r="E17426" t="s">
        <v>28782</v>
      </c>
      <c r="F17426" s="2" t="str">
        <f>HYPERLINK("http://www.otzar.org/book.asp?143469","יוסף דעת")</f>
        <v>יוסף דעת</v>
      </c>
    </row>
    <row r="17427" spans="1:6" x14ac:dyDescent="0.2">
      <c r="A17427" t="s">
        <v>28783</v>
      </c>
      <c r="B17427" t="s">
        <v>6012</v>
      </c>
      <c r="C17427" t="s">
        <v>8820</v>
      </c>
      <c r="D17427" t="s">
        <v>744</v>
      </c>
      <c r="F17427" s="2" t="str">
        <f>HYPERLINK("http://www.otzar.org/book.asp?619182","יוסף דעת - 2 כר'")</f>
        <v>יוסף דעת - 2 כר'</v>
      </c>
    </row>
    <row r="17428" spans="1:6" x14ac:dyDescent="0.2">
      <c r="A17428" t="s">
        <v>28784</v>
      </c>
      <c r="B17428" t="s">
        <v>28785</v>
      </c>
      <c r="C17428" t="s">
        <v>466</v>
      </c>
      <c r="D17428" t="s">
        <v>14</v>
      </c>
      <c r="E17428" t="s">
        <v>508</v>
      </c>
      <c r="F17428" s="2" t="str">
        <f>HYPERLINK("http://www.otzar.org/book.asp?22676","יוסף דעת, דובר שלום")</f>
        <v>יוסף דעת, דובר שלום</v>
      </c>
    </row>
    <row r="17429" spans="1:6" x14ac:dyDescent="0.2">
      <c r="A17429" t="s">
        <v>28786</v>
      </c>
      <c r="B17429" t="s">
        <v>2396</v>
      </c>
      <c r="C17429" t="s">
        <v>366</v>
      </c>
      <c r="D17429" t="s">
        <v>1076</v>
      </c>
      <c r="E17429" t="s">
        <v>158</v>
      </c>
      <c r="F17429" s="2" t="str">
        <f>HYPERLINK("http://www.otzar.org/book.asp?617273","יוסף ה' עליכם - בפסוקי התורה")</f>
        <v>יוסף ה' עליכם - בפסוקי התורה</v>
      </c>
    </row>
    <row r="17430" spans="1:6" x14ac:dyDescent="0.2">
      <c r="A17430" t="s">
        <v>28787</v>
      </c>
      <c r="B17430" t="s">
        <v>28788</v>
      </c>
      <c r="C17430" t="s">
        <v>553</v>
      </c>
      <c r="D17430" t="s">
        <v>1180</v>
      </c>
      <c r="E17430" t="s">
        <v>158</v>
      </c>
      <c r="F17430" s="2" t="str">
        <f>HYPERLINK("http://www.otzar.org/book.asp?14030","יוסף הלל - 2 כר'")</f>
        <v>יוסף הלל - 2 כר'</v>
      </c>
    </row>
    <row r="17431" spans="1:6" x14ac:dyDescent="0.2">
      <c r="A17431" t="s">
        <v>28789</v>
      </c>
      <c r="B17431" t="s">
        <v>28790</v>
      </c>
      <c r="C17431" t="s">
        <v>143</v>
      </c>
      <c r="D17431" t="s">
        <v>90</v>
      </c>
      <c r="E17431" t="s">
        <v>241</v>
      </c>
      <c r="F17431" s="2" t="str">
        <f>HYPERLINK("http://www.otzar.org/book.asp?617340","יוסף הצדיק - על שמירת הברית ותיקונו")</f>
        <v>יוסף הצדיק - על שמירת הברית ותיקונו</v>
      </c>
    </row>
    <row r="17432" spans="1:6" x14ac:dyDescent="0.2">
      <c r="A17432" t="s">
        <v>28791</v>
      </c>
      <c r="B17432" t="s">
        <v>28792</v>
      </c>
      <c r="C17432" t="s">
        <v>46</v>
      </c>
      <c r="D17432" t="s">
        <v>1889</v>
      </c>
      <c r="E17432" t="s">
        <v>3567</v>
      </c>
      <c r="F17432" s="2" t="str">
        <f>HYPERLINK("http://www.otzar.org/book.asp?300523","יוסף חי")</f>
        <v>יוסף חי</v>
      </c>
    </row>
    <row r="17433" spans="1:6" x14ac:dyDescent="0.2">
      <c r="A17433" t="s">
        <v>28793</v>
      </c>
      <c r="B17433" t="s">
        <v>26605</v>
      </c>
      <c r="C17433" t="s">
        <v>523</v>
      </c>
      <c r="D17433" t="s">
        <v>14</v>
      </c>
      <c r="E17433" t="s">
        <v>24</v>
      </c>
      <c r="F17433" s="2" t="str">
        <f>HYPERLINK("http://www.otzar.org/book.asp?51968","יוסף חיים")</f>
        <v>יוסף חיים</v>
      </c>
    </row>
    <row r="17434" spans="1:6" x14ac:dyDescent="0.2">
      <c r="A17434" t="s">
        <v>28793</v>
      </c>
      <c r="B17434" t="s">
        <v>28794</v>
      </c>
      <c r="C17434" t="s">
        <v>624</v>
      </c>
      <c r="D17434" t="s">
        <v>216</v>
      </c>
      <c r="E17434" t="s">
        <v>7138</v>
      </c>
      <c r="F17434" s="2" t="str">
        <f>HYPERLINK("http://www.otzar.org/book.asp?176508","יוסף חיים")</f>
        <v>יוסף חיים</v>
      </c>
    </row>
    <row r="17435" spans="1:6" x14ac:dyDescent="0.2">
      <c r="A17435" t="s">
        <v>28795</v>
      </c>
      <c r="B17435" t="s">
        <v>776</v>
      </c>
      <c r="C17435" t="s">
        <v>79</v>
      </c>
      <c r="D17435" t="s">
        <v>27</v>
      </c>
      <c r="E17435" t="s">
        <v>241</v>
      </c>
      <c r="F17435" s="2" t="str">
        <f>HYPERLINK("http://www.otzar.org/book.asp?179218","יוסף חן")</f>
        <v>יוסף חן</v>
      </c>
    </row>
    <row r="17436" spans="1:6" x14ac:dyDescent="0.2">
      <c r="A17436" t="s">
        <v>28795</v>
      </c>
      <c r="B17436" t="s">
        <v>28796</v>
      </c>
      <c r="C17436" t="s">
        <v>20</v>
      </c>
      <c r="D17436" t="s">
        <v>14</v>
      </c>
      <c r="E17436" t="s">
        <v>158</v>
      </c>
      <c r="F17436" s="2" t="str">
        <f>HYPERLINK("http://www.otzar.org/book.asp?168380","יוסף חן")</f>
        <v>יוסף חן</v>
      </c>
    </row>
    <row r="17437" spans="1:6" x14ac:dyDescent="0.2">
      <c r="A17437" t="s">
        <v>28795</v>
      </c>
      <c r="B17437" t="s">
        <v>28797</v>
      </c>
      <c r="C17437" t="s">
        <v>28798</v>
      </c>
      <c r="D17437" t="s">
        <v>283</v>
      </c>
      <c r="E17437" t="s">
        <v>104</v>
      </c>
      <c r="F17437" s="2" t="str">
        <f>HYPERLINK("http://www.otzar.org/book.asp?167527","יוסף חן")</f>
        <v>יוסף חן</v>
      </c>
    </row>
    <row r="17438" spans="1:6" x14ac:dyDescent="0.2">
      <c r="A17438" t="s">
        <v>28795</v>
      </c>
      <c r="B17438" t="s">
        <v>9141</v>
      </c>
      <c r="C17438" t="s">
        <v>2140</v>
      </c>
      <c r="D17438" t="s">
        <v>212</v>
      </c>
      <c r="E17438" t="s">
        <v>28799</v>
      </c>
      <c r="F17438" s="2" t="str">
        <f>HYPERLINK("http://www.otzar.org/book.asp?103210","יוסף חן")</f>
        <v>יוסף חן</v>
      </c>
    </row>
    <row r="17439" spans="1:6" x14ac:dyDescent="0.2">
      <c r="A17439" t="s">
        <v>28800</v>
      </c>
      <c r="B17439" t="s">
        <v>28801</v>
      </c>
      <c r="C17439" t="s">
        <v>114</v>
      </c>
      <c r="D17439" t="s">
        <v>486</v>
      </c>
      <c r="E17439" t="s">
        <v>474</v>
      </c>
      <c r="F17439" s="2" t="str">
        <f>HYPERLINK("http://www.otzar.org/book.asp?179839","יוסף חן - מיני מרקחת - חכמי לוב")</f>
        <v>יוסף חן - מיני מרקחת - חכמי לוב</v>
      </c>
    </row>
    <row r="17440" spans="1:6" x14ac:dyDescent="0.2">
      <c r="A17440" t="s">
        <v>28795</v>
      </c>
      <c r="B17440" t="s">
        <v>28802</v>
      </c>
      <c r="C17440" t="s">
        <v>114</v>
      </c>
      <c r="D17440" t="s">
        <v>486</v>
      </c>
      <c r="E17440" t="s">
        <v>474</v>
      </c>
      <c r="F17440" s="2" t="str">
        <f>HYPERLINK("http://www.otzar.org/book.asp?179699","יוסף חן")</f>
        <v>יוסף חן</v>
      </c>
    </row>
    <row r="17441" spans="1:6" x14ac:dyDescent="0.2">
      <c r="A17441" t="s">
        <v>28803</v>
      </c>
      <c r="B17441" t="s">
        <v>23787</v>
      </c>
      <c r="C17441" t="s">
        <v>383</v>
      </c>
      <c r="D17441" t="s">
        <v>14</v>
      </c>
      <c r="E17441" t="s">
        <v>241</v>
      </c>
      <c r="F17441" s="2" t="str">
        <f>HYPERLINK("http://www.otzar.org/book.asp?146350","יוסף לחק, לקחת מוסר")</f>
        <v>יוסף לחק, לקחת מוסר</v>
      </c>
    </row>
    <row r="17442" spans="1:6" x14ac:dyDescent="0.2">
      <c r="A17442" t="s">
        <v>28804</v>
      </c>
      <c r="B17442" t="s">
        <v>28805</v>
      </c>
      <c r="C17442" t="s">
        <v>28806</v>
      </c>
      <c r="D17442" t="s">
        <v>157</v>
      </c>
      <c r="E17442" t="s">
        <v>10316</v>
      </c>
      <c r="F17442" s="2" t="str">
        <f>HYPERLINK("http://www.otzar.org/book.asp?105353","יוסף לקח - 3 כר'")</f>
        <v>יוסף לקח - 3 כר'</v>
      </c>
    </row>
    <row r="17443" spans="1:6" x14ac:dyDescent="0.2">
      <c r="A17443" t="s">
        <v>28807</v>
      </c>
      <c r="B17443" t="s">
        <v>17512</v>
      </c>
      <c r="C17443" t="s">
        <v>1659</v>
      </c>
      <c r="D17443" t="s">
        <v>60</v>
      </c>
      <c r="E17443" t="s">
        <v>158</v>
      </c>
      <c r="F17443" s="2" t="str">
        <f>HYPERLINK("http://www.otzar.org/book.asp?27991","יוסף לקח - 2 כר'")</f>
        <v>יוסף לקח - 2 כר'</v>
      </c>
    </row>
    <row r="17444" spans="1:6" x14ac:dyDescent="0.2">
      <c r="A17444" t="s">
        <v>28808</v>
      </c>
      <c r="B17444" t="s">
        <v>8745</v>
      </c>
      <c r="E17444" t="s">
        <v>234</v>
      </c>
      <c r="F17444" s="2" t="str">
        <f>HYPERLINK("http://www.otzar.org/book.asp?619933","יוסף לקח")</f>
        <v>יוסף לקח</v>
      </c>
    </row>
    <row r="17445" spans="1:6" x14ac:dyDescent="0.2">
      <c r="A17445" t="s">
        <v>28809</v>
      </c>
      <c r="B17445" t="s">
        <v>27480</v>
      </c>
      <c r="C17445" t="s">
        <v>133</v>
      </c>
      <c r="D17445" t="s">
        <v>147</v>
      </c>
      <c r="E17445" t="s">
        <v>154</v>
      </c>
      <c r="F17445" s="2" t="str">
        <f>HYPERLINK("http://www.otzar.org/book.asp?173486","יוסף לקח - שו""ת")</f>
        <v>יוסף לקח - שו"ת</v>
      </c>
    </row>
    <row r="17446" spans="1:6" x14ac:dyDescent="0.2">
      <c r="A17446" t="s">
        <v>28810</v>
      </c>
      <c r="B17446" t="s">
        <v>6667</v>
      </c>
      <c r="C17446" t="s">
        <v>68</v>
      </c>
      <c r="D17446" t="s">
        <v>52</v>
      </c>
      <c r="E17446" t="s">
        <v>154</v>
      </c>
      <c r="F17446" s="2" t="str">
        <f>HYPERLINK("http://www.otzar.org/book.asp?159160","יוסף לקח - 4 כר'")</f>
        <v>יוסף לקח - 4 כר'</v>
      </c>
    </row>
    <row r="17447" spans="1:6" x14ac:dyDescent="0.2">
      <c r="A17447" t="s">
        <v>28807</v>
      </c>
      <c r="B17447" t="s">
        <v>28811</v>
      </c>
      <c r="C17447" t="s">
        <v>28812</v>
      </c>
      <c r="D17447" t="s">
        <v>27</v>
      </c>
      <c r="E17447" t="s">
        <v>144</v>
      </c>
      <c r="F17447" s="2" t="str">
        <f>HYPERLINK("http://www.otzar.org/book.asp?200226","יוסף לקח - 2 כר'")</f>
        <v>יוסף לקח - 2 כר'</v>
      </c>
    </row>
    <row r="17448" spans="1:6" x14ac:dyDescent="0.2">
      <c r="A17448" t="s">
        <v>28810</v>
      </c>
      <c r="B17448" t="s">
        <v>28813</v>
      </c>
      <c r="C17448" t="s">
        <v>454</v>
      </c>
      <c r="D17448" t="s">
        <v>14</v>
      </c>
      <c r="E17448" t="s">
        <v>144</v>
      </c>
      <c r="F17448" s="2" t="str">
        <f>HYPERLINK("http://www.otzar.org/book.asp?23288","יוסף לקח - 4 כר'")</f>
        <v>יוסף לקח - 4 כר'</v>
      </c>
    </row>
    <row r="17449" spans="1:6" x14ac:dyDescent="0.2">
      <c r="A17449" t="s">
        <v>28804</v>
      </c>
      <c r="B17449" t="s">
        <v>28814</v>
      </c>
      <c r="C17449" t="s">
        <v>28815</v>
      </c>
      <c r="D17449" t="s">
        <v>28816</v>
      </c>
      <c r="E17449" t="s">
        <v>158</v>
      </c>
      <c r="F17449" s="2" t="str">
        <f>HYPERLINK("http://www.otzar.org/book.asp?618110","יוסף לקח - 3 כר'")</f>
        <v>יוסף לקח - 3 כר'</v>
      </c>
    </row>
    <row r="17450" spans="1:6" x14ac:dyDescent="0.2">
      <c r="A17450" t="s">
        <v>28817</v>
      </c>
      <c r="B17450" t="s">
        <v>28818</v>
      </c>
      <c r="C17450" t="s">
        <v>8799</v>
      </c>
      <c r="D17450" t="s">
        <v>23031</v>
      </c>
      <c r="E17450" t="s">
        <v>28819</v>
      </c>
      <c r="F17450" s="2" t="str">
        <f>HYPERLINK("http://www.otzar.org/book.asp?101968","יוסף עליו")</f>
        <v>יוסף עליו</v>
      </c>
    </row>
    <row r="17451" spans="1:6" x14ac:dyDescent="0.2">
      <c r="A17451" t="s">
        <v>28820</v>
      </c>
      <c r="B17451" t="s">
        <v>28821</v>
      </c>
      <c r="C17451" t="s">
        <v>313</v>
      </c>
      <c r="D17451" t="s">
        <v>14</v>
      </c>
      <c r="E17451" t="s">
        <v>119</v>
      </c>
      <c r="F17451" s="2" t="str">
        <f>HYPERLINK("http://www.otzar.org/book.asp?162797","יוסף קדישא  - תולדות רבי יוסף קדיש קרישבסקי")</f>
        <v>יוסף קדישא  - תולדות רבי יוסף קדיש קרישבסקי</v>
      </c>
    </row>
    <row r="17452" spans="1:6" x14ac:dyDescent="0.2">
      <c r="A17452" t="s">
        <v>28822</v>
      </c>
      <c r="B17452" t="s">
        <v>28823</v>
      </c>
      <c r="C17452" t="s">
        <v>37</v>
      </c>
      <c r="D17452" t="s">
        <v>21</v>
      </c>
      <c r="E17452" t="s">
        <v>144</v>
      </c>
      <c r="F17452" s="2" t="str">
        <f>HYPERLINK("http://www.otzar.org/book.asp?191839","יוסף שאלה - סוכה")</f>
        <v>יוסף שאלה - סוכה</v>
      </c>
    </row>
    <row r="17453" spans="1:6" x14ac:dyDescent="0.2">
      <c r="A17453" t="s">
        <v>28824</v>
      </c>
      <c r="B17453" t="s">
        <v>28825</v>
      </c>
      <c r="C17453" t="s">
        <v>366</v>
      </c>
      <c r="D17453" t="s">
        <v>14</v>
      </c>
      <c r="E17453" t="s">
        <v>144</v>
      </c>
      <c r="F17453" s="2" t="str">
        <f>HYPERLINK("http://www.otzar.org/book.asp?611002","יוסף שיח - הוצאה")</f>
        <v>יוסף שיח - הוצאה</v>
      </c>
    </row>
    <row r="17454" spans="1:6" x14ac:dyDescent="0.2">
      <c r="A17454" t="s">
        <v>28826</v>
      </c>
      <c r="B17454" t="s">
        <v>28827</v>
      </c>
      <c r="C17454" t="s">
        <v>3840</v>
      </c>
      <c r="D17454" t="s">
        <v>216</v>
      </c>
      <c r="E17454" t="s">
        <v>733</v>
      </c>
      <c r="F17454" s="2" t="str">
        <f>HYPERLINK("http://www.otzar.org/book.asp?12842","יוסף שלמה דילמדיגו")</f>
        <v>יוסף שלמה דילמדיגו</v>
      </c>
    </row>
    <row r="17455" spans="1:6" x14ac:dyDescent="0.2">
      <c r="A17455" t="s">
        <v>28828</v>
      </c>
      <c r="B17455" t="s">
        <v>1308</v>
      </c>
      <c r="C17455" t="s">
        <v>2243</v>
      </c>
      <c r="D17455" t="s">
        <v>212</v>
      </c>
      <c r="E17455" t="s">
        <v>158</v>
      </c>
      <c r="F17455" s="2" t="str">
        <f>HYPERLINK("http://www.otzar.org/book.asp?104366","יוסף תהלות - 3 כר'")</f>
        <v>יוסף תהלות - 3 כר'</v>
      </c>
    </row>
    <row r="17456" spans="1:6" x14ac:dyDescent="0.2">
      <c r="A17456" t="s">
        <v>28829</v>
      </c>
      <c r="B17456" t="s">
        <v>28830</v>
      </c>
      <c r="C17456" t="s">
        <v>454</v>
      </c>
      <c r="D17456" t="s">
        <v>52</v>
      </c>
      <c r="E17456" t="s">
        <v>1211</v>
      </c>
      <c r="F17456" s="2" t="str">
        <f>HYPERLINK("http://www.otzar.org/book.asp?141788","יוסף תואר")</f>
        <v>יוסף תואר</v>
      </c>
    </row>
    <row r="17457" spans="1:6" x14ac:dyDescent="0.2">
      <c r="A17457" t="s">
        <v>28831</v>
      </c>
      <c r="B17457" t="s">
        <v>28832</v>
      </c>
      <c r="C17457" t="s">
        <v>111</v>
      </c>
      <c r="F17457" s="2" t="str">
        <f>HYPERLINK("http://www.otzar.org/book.asp?622582","יוסף תודה")</f>
        <v>יוסף תודה</v>
      </c>
    </row>
    <row r="17458" spans="1:6" x14ac:dyDescent="0.2">
      <c r="A17458" t="s">
        <v>28833</v>
      </c>
      <c r="B17458" t="s">
        <v>9978</v>
      </c>
      <c r="C17458" t="s">
        <v>20</v>
      </c>
      <c r="D17458" t="s">
        <v>90</v>
      </c>
      <c r="E17458" t="s">
        <v>3055</v>
      </c>
      <c r="F17458" s="2" t="str">
        <f>HYPERLINK("http://www.otzar.org/book.asp?9295","יוצר אור - 2 כר'")</f>
        <v>יוצר אור - 2 כר'</v>
      </c>
    </row>
    <row r="17459" spans="1:6" x14ac:dyDescent="0.2">
      <c r="A17459" t="s">
        <v>28834</v>
      </c>
      <c r="B17459" t="s">
        <v>6991</v>
      </c>
      <c r="C17459" t="s">
        <v>553</v>
      </c>
      <c r="D17459" t="s">
        <v>14</v>
      </c>
      <c r="E17459" t="s">
        <v>1517</v>
      </c>
      <c r="F17459" s="2" t="str">
        <f>HYPERLINK("http://www.otzar.org/book.asp?625506","יוצרות המבואורת")</f>
        <v>יוצרות המבואורת</v>
      </c>
    </row>
    <row r="17460" spans="1:6" x14ac:dyDescent="0.2">
      <c r="A17460" t="s">
        <v>28835</v>
      </c>
      <c r="B17460" t="s">
        <v>20921</v>
      </c>
      <c r="C17460" t="s">
        <v>16493</v>
      </c>
      <c r="D17460" t="s">
        <v>1117</v>
      </c>
      <c r="E17460" t="s">
        <v>219</v>
      </c>
      <c r="F17460" s="2" t="str">
        <f>HYPERLINK("http://www.otzar.org/book.asp?147308","יוצרות כמנהג פולן ופיהם ומערהרן")</f>
        <v>יוצרות כמנהג פולן ופיהם ומערהרן</v>
      </c>
    </row>
    <row r="17461" spans="1:6" x14ac:dyDescent="0.2">
      <c r="A17461" t="s">
        <v>28836</v>
      </c>
      <c r="B17461" t="s">
        <v>11725</v>
      </c>
      <c r="C17461" t="s">
        <v>28837</v>
      </c>
      <c r="D17461" t="s">
        <v>744</v>
      </c>
      <c r="E17461" t="s">
        <v>219</v>
      </c>
      <c r="F17461" s="2" t="str">
        <f>HYPERLINK("http://www.otzar.org/book.asp?167054","יוצרות מכל השנה")</f>
        <v>יוצרות מכל השנה</v>
      </c>
    </row>
    <row r="17462" spans="1:6" x14ac:dyDescent="0.2">
      <c r="A17462" t="s">
        <v>28838</v>
      </c>
      <c r="B17462" t="s">
        <v>23622</v>
      </c>
      <c r="C17462" t="s">
        <v>422</v>
      </c>
      <c r="D17462" t="s">
        <v>28839</v>
      </c>
      <c r="E17462" t="s">
        <v>202</v>
      </c>
      <c r="F17462" s="2" t="str">
        <f>HYPERLINK("http://www.otzar.org/book.asp?606013","יוצרות - 3 כר'")</f>
        <v>יוצרות - 3 כר'</v>
      </c>
    </row>
    <row r="17463" spans="1:6" x14ac:dyDescent="0.2">
      <c r="A17463" t="s">
        <v>28840</v>
      </c>
      <c r="B17463" t="s">
        <v>28841</v>
      </c>
      <c r="C17463" t="s">
        <v>68</v>
      </c>
      <c r="D17463" t="s">
        <v>28842</v>
      </c>
      <c r="E17463" t="s">
        <v>2091</v>
      </c>
      <c r="F17463" s="2" t="str">
        <f>HYPERLINK("http://www.otzar.org/book.asp?155338","יוצרות - (תש""ע)")</f>
        <v>יוצרות - (תש"ע)</v>
      </c>
    </row>
    <row r="17464" spans="1:6" x14ac:dyDescent="0.2">
      <c r="A17464" t="s">
        <v>28843</v>
      </c>
      <c r="B17464" t="s">
        <v>9755</v>
      </c>
      <c r="C17464" t="s">
        <v>728</v>
      </c>
      <c r="D17464" t="s">
        <v>76</v>
      </c>
      <c r="E17464" t="s">
        <v>933</v>
      </c>
      <c r="F17464" s="2" t="str">
        <f>HYPERLINK("http://www.otzar.org/book.asp?18874","יוקח נא")</f>
        <v>יוקח נא</v>
      </c>
    </row>
    <row r="17465" spans="1:6" x14ac:dyDescent="0.2">
      <c r="A17465" t="s">
        <v>28844</v>
      </c>
      <c r="B17465" t="s">
        <v>28845</v>
      </c>
      <c r="F17465" s="2" t="str">
        <f>HYPERLINK("http://www.otzar.org/book.asp?197278","יורה דעה - א")</f>
        <v>יורה דעה - א</v>
      </c>
    </row>
    <row r="17466" spans="1:6" x14ac:dyDescent="0.2">
      <c r="A17466" t="s">
        <v>28846</v>
      </c>
      <c r="B17466" t="s">
        <v>28847</v>
      </c>
      <c r="C17466" t="s">
        <v>946</v>
      </c>
      <c r="D17466" t="s">
        <v>100</v>
      </c>
      <c r="E17466" t="s">
        <v>786</v>
      </c>
      <c r="F17466" s="2" t="str">
        <f>HYPERLINK("http://www.otzar.org/book.asp?105046","יורה דרך")</f>
        <v>יורה דרך</v>
      </c>
    </row>
    <row r="17467" spans="1:6" x14ac:dyDescent="0.2">
      <c r="A17467" t="s">
        <v>28848</v>
      </c>
      <c r="B17467" t="s">
        <v>27421</v>
      </c>
      <c r="C17467" t="s">
        <v>1706</v>
      </c>
      <c r="D17467" t="s">
        <v>56</v>
      </c>
      <c r="E17467" t="s">
        <v>2879</v>
      </c>
      <c r="F17467" s="2" t="str">
        <f>HYPERLINK("http://www.otzar.org/book.asp?102483","יורה ומלקוש")</f>
        <v>יורה ומלקוש</v>
      </c>
    </row>
    <row r="17468" spans="1:6" x14ac:dyDescent="0.2">
      <c r="A17468" t="s">
        <v>28849</v>
      </c>
      <c r="B17468" t="s">
        <v>28850</v>
      </c>
      <c r="C17468" t="s">
        <v>9998</v>
      </c>
      <c r="D17468" t="s">
        <v>2303</v>
      </c>
      <c r="F17468" s="2" t="str">
        <f>HYPERLINK("http://www.otzar.org/book.asp?170178","יורה חטאים - 4 כר'")</f>
        <v>יורה חטאים - 4 כר'</v>
      </c>
    </row>
    <row r="17469" spans="1:6" x14ac:dyDescent="0.2">
      <c r="A17469" t="s">
        <v>28851</v>
      </c>
      <c r="B17469" t="s">
        <v>10845</v>
      </c>
      <c r="C17469" t="s">
        <v>114</v>
      </c>
      <c r="D17469" t="s">
        <v>412</v>
      </c>
      <c r="E17469" t="s">
        <v>1072</v>
      </c>
      <c r="F17469" s="2" t="str">
        <f>HYPERLINK("http://www.otzar.org/book.asp?163623","יורה חכימא &lt;מהדורה חדשה&gt;")</f>
        <v>יורה חכימא &lt;מהדורה חדשה&gt;</v>
      </c>
    </row>
    <row r="17470" spans="1:6" x14ac:dyDescent="0.2">
      <c r="A17470" t="s">
        <v>28852</v>
      </c>
      <c r="B17470" t="s">
        <v>239</v>
      </c>
      <c r="C17470" t="s">
        <v>20</v>
      </c>
      <c r="D17470" t="s">
        <v>240</v>
      </c>
      <c r="F17470" s="2" t="str">
        <f>HYPERLINK("http://www.otzar.org/book.asp?604606","יורו משפטיך ליעקב &lt;המבואר&gt; - 2 כר'")</f>
        <v>יורו משפטיך ליעקב &lt;המבואר&gt; - 2 כר'</v>
      </c>
    </row>
    <row r="17471" spans="1:6" x14ac:dyDescent="0.2">
      <c r="A17471" t="s">
        <v>28853</v>
      </c>
      <c r="B17471" t="s">
        <v>239</v>
      </c>
      <c r="C17471" t="s">
        <v>68</v>
      </c>
      <c r="D17471" t="s">
        <v>27</v>
      </c>
      <c r="E17471" t="s">
        <v>154</v>
      </c>
      <c r="F17471" s="2" t="str">
        <f>HYPERLINK("http://www.otzar.org/book.asp?176795","יורו משפטיך ליעקב &lt;מהדורת מכון באר יעקב&gt; - 2 כר'")</f>
        <v>יורו משפטיך ליעקב &lt;מהדורת מכון באר יעקב&gt; - 2 כר'</v>
      </c>
    </row>
    <row r="17472" spans="1:6" x14ac:dyDescent="0.2">
      <c r="A17472" t="s">
        <v>28854</v>
      </c>
      <c r="B17472" t="s">
        <v>22386</v>
      </c>
      <c r="C17472" t="s">
        <v>940</v>
      </c>
      <c r="D17472" t="s">
        <v>21</v>
      </c>
      <c r="E17472" t="s">
        <v>5935</v>
      </c>
      <c r="F17472" s="2" t="str">
        <f>HYPERLINK("http://www.otzar.org/book.asp?197227","יורו משפטיך ליעקב &lt;מהדורה חדשה&gt;")</f>
        <v>יורו משפטיך ליעקב &lt;מהדורה חדשה&gt;</v>
      </c>
    </row>
    <row r="17473" spans="1:6" x14ac:dyDescent="0.2">
      <c r="A17473" t="s">
        <v>28855</v>
      </c>
      <c r="B17473" t="s">
        <v>239</v>
      </c>
      <c r="C17473" t="s">
        <v>411</v>
      </c>
      <c r="D17473" t="s">
        <v>2375</v>
      </c>
      <c r="E17473" t="s">
        <v>154</v>
      </c>
      <c r="F17473" s="2" t="str">
        <f>HYPERLINK("http://www.otzar.org/book.asp?173128","יורו משפטיך ליעקב - 5 כר'")</f>
        <v>יורו משפטיך ליעקב - 5 כר'</v>
      </c>
    </row>
    <row r="17474" spans="1:6" x14ac:dyDescent="0.2">
      <c r="A17474" t="s">
        <v>28856</v>
      </c>
      <c r="B17474" t="s">
        <v>22386</v>
      </c>
      <c r="C17474" t="s">
        <v>4705</v>
      </c>
      <c r="D17474" t="s">
        <v>18023</v>
      </c>
      <c r="E17474" t="s">
        <v>246</v>
      </c>
      <c r="F17474" s="2" t="str">
        <f>HYPERLINK("http://www.otzar.org/book.asp?146080","יורו משפטיך ליעקב")</f>
        <v>יורו משפטיך ליעקב</v>
      </c>
    </row>
    <row r="17475" spans="1:6" x14ac:dyDescent="0.2">
      <c r="A17475" t="s">
        <v>28855</v>
      </c>
      <c r="B17475" t="s">
        <v>489</v>
      </c>
      <c r="C17475" t="s">
        <v>313</v>
      </c>
      <c r="D17475" t="s">
        <v>6283</v>
      </c>
      <c r="E17475" t="s">
        <v>202</v>
      </c>
      <c r="F17475" s="2" t="str">
        <f>HYPERLINK("http://www.otzar.org/book.asp?175796","יורו משפטיך ליעקב - 5 כר'")</f>
        <v>יורו משפטיך ליעקב - 5 כר'</v>
      </c>
    </row>
    <row r="17476" spans="1:6" x14ac:dyDescent="0.2">
      <c r="A17476" t="s">
        <v>28857</v>
      </c>
      <c r="B17476" t="s">
        <v>8176</v>
      </c>
      <c r="C17476" t="s">
        <v>20</v>
      </c>
      <c r="D17476" t="s">
        <v>3161</v>
      </c>
      <c r="E17476" t="s">
        <v>144</v>
      </c>
      <c r="F17476" s="2" t="str">
        <f>HYPERLINK("http://www.otzar.org/book.asp?603692","יושב אהלים - כתובות,  קידושין")</f>
        <v>יושב אהלים - כתובות,  קידושין</v>
      </c>
    </row>
    <row r="17477" spans="1:6" x14ac:dyDescent="0.2">
      <c r="A17477" t="s">
        <v>28858</v>
      </c>
      <c r="B17477" t="s">
        <v>28859</v>
      </c>
      <c r="C17477" t="s">
        <v>466</v>
      </c>
      <c r="D17477" t="s">
        <v>21</v>
      </c>
      <c r="E17477" t="s">
        <v>230</v>
      </c>
      <c r="F17477" s="2" t="str">
        <f>HYPERLINK("http://www.otzar.org/book.asp?623737","יושב אהלים")</f>
        <v>יושב אהלים</v>
      </c>
    </row>
    <row r="17478" spans="1:6" x14ac:dyDescent="0.2">
      <c r="A17478" t="s">
        <v>28860</v>
      </c>
      <c r="B17478" t="s">
        <v>2260</v>
      </c>
      <c r="C17478" t="s">
        <v>956</v>
      </c>
      <c r="D17478" t="s">
        <v>14</v>
      </c>
      <c r="E17478" t="s">
        <v>158</v>
      </c>
      <c r="F17478" s="2" t="str">
        <f>HYPERLINK("http://www.otzar.org/book.asp?176883","יושב אהלים - 3 כר'")</f>
        <v>יושב אהלים - 3 כר'</v>
      </c>
    </row>
    <row r="17479" spans="1:6" x14ac:dyDescent="0.2">
      <c r="A17479" t="s">
        <v>28858</v>
      </c>
      <c r="B17479" t="s">
        <v>28861</v>
      </c>
      <c r="C17479" t="s">
        <v>111</v>
      </c>
      <c r="D17479" t="s">
        <v>90</v>
      </c>
      <c r="E17479" t="s">
        <v>15</v>
      </c>
      <c r="F17479" s="2" t="str">
        <f>HYPERLINK("http://www.otzar.org/book.asp?624828","יושב אהלים")</f>
        <v>יושב אהלים</v>
      </c>
    </row>
    <row r="17480" spans="1:6" x14ac:dyDescent="0.2">
      <c r="A17480" t="s">
        <v>28862</v>
      </c>
      <c r="B17480" t="s">
        <v>8070</v>
      </c>
      <c r="C17480" t="s">
        <v>111</v>
      </c>
      <c r="D17480" t="s">
        <v>152</v>
      </c>
      <c r="E17480" t="s">
        <v>241</v>
      </c>
      <c r="F17480" s="2" t="str">
        <f>HYPERLINK("http://www.otzar.org/book.asp?620801","יושב כרובים - 7 כר'")</f>
        <v>יושב כרובים - 7 כר'</v>
      </c>
    </row>
    <row r="17481" spans="1:6" x14ac:dyDescent="0.2">
      <c r="A17481" t="s">
        <v>28863</v>
      </c>
      <c r="B17481" t="s">
        <v>28864</v>
      </c>
      <c r="C17481" t="s">
        <v>422</v>
      </c>
      <c r="D17481" t="s">
        <v>412</v>
      </c>
      <c r="E17481" t="s">
        <v>241</v>
      </c>
      <c r="F17481" s="2" t="str">
        <f>HYPERLINK("http://www.otzar.org/book.asp?163317","יושבי אהל")</f>
        <v>יושבי אהל</v>
      </c>
    </row>
    <row r="17482" spans="1:6" x14ac:dyDescent="0.2">
      <c r="A17482" t="s">
        <v>28865</v>
      </c>
      <c r="B17482" t="s">
        <v>28866</v>
      </c>
      <c r="C17482" t="s">
        <v>422</v>
      </c>
      <c r="D17482" t="s">
        <v>52</v>
      </c>
      <c r="E17482" t="s">
        <v>1174</v>
      </c>
      <c r="F17482" s="2" t="str">
        <f>HYPERLINK("http://www.otzar.org/book.asp?193064","יושבי אהלים")</f>
        <v>יושבי אהלים</v>
      </c>
    </row>
    <row r="17483" spans="1:6" x14ac:dyDescent="0.2">
      <c r="A17483" t="s">
        <v>28867</v>
      </c>
      <c r="B17483" t="s">
        <v>686</v>
      </c>
      <c r="C17483" t="s">
        <v>244</v>
      </c>
      <c r="D17483" t="s">
        <v>80</v>
      </c>
      <c r="E17483" t="s">
        <v>241</v>
      </c>
      <c r="F17483" s="2" t="str">
        <f>HYPERLINK("http://www.otzar.org/book.asp?606748","יושבי ביתך")</f>
        <v>יושבי ביתך</v>
      </c>
    </row>
    <row r="17484" spans="1:6" x14ac:dyDescent="0.2">
      <c r="A17484" t="s">
        <v>28868</v>
      </c>
      <c r="B17484" t="s">
        <v>28869</v>
      </c>
      <c r="C17484" t="s">
        <v>11383</v>
      </c>
      <c r="D17484" t="s">
        <v>7163</v>
      </c>
      <c r="E17484" t="s">
        <v>213</v>
      </c>
      <c r="F17484" s="2" t="str">
        <f>HYPERLINK("http://www.otzar.org/book.asp?151338","יושבי תבל")</f>
        <v>יושבי תבל</v>
      </c>
    </row>
    <row r="17485" spans="1:6" x14ac:dyDescent="0.2">
      <c r="A17485" t="s">
        <v>28870</v>
      </c>
      <c r="B17485" t="s">
        <v>28871</v>
      </c>
      <c r="C17485" t="s">
        <v>71</v>
      </c>
      <c r="D17485" t="s">
        <v>245</v>
      </c>
      <c r="E17485" t="s">
        <v>658</v>
      </c>
      <c r="F17485" s="2" t="str">
        <f>HYPERLINK("http://www.otzar.org/book.asp?188927","יושבת בגנים - 2 כר'")</f>
        <v>יושבת בגנים - 2 כר'</v>
      </c>
    </row>
    <row r="17486" spans="1:6" x14ac:dyDescent="0.2">
      <c r="A17486" t="s">
        <v>28872</v>
      </c>
      <c r="B17486" t="s">
        <v>28873</v>
      </c>
      <c r="C17486" t="s">
        <v>28874</v>
      </c>
      <c r="D17486" t="s">
        <v>1889</v>
      </c>
      <c r="E17486" t="s">
        <v>7445</v>
      </c>
      <c r="F17486" s="2" t="str">
        <f>HYPERLINK("http://www.otzar.org/book.asp?162200","יושיע ציון")</f>
        <v>יושיע ציון</v>
      </c>
    </row>
    <row r="17487" spans="1:6" x14ac:dyDescent="0.2">
      <c r="A17487" t="s">
        <v>28875</v>
      </c>
      <c r="B17487" t="s">
        <v>16361</v>
      </c>
      <c r="C17487" t="s">
        <v>244</v>
      </c>
      <c r="D17487" t="s">
        <v>14</v>
      </c>
      <c r="E17487" t="s">
        <v>1185</v>
      </c>
      <c r="F17487" s="2" t="str">
        <f>HYPERLINK("http://www.otzar.org/book.asp?600055","יושר דברי אמת &lt;מהדורה חדשה&gt;")</f>
        <v>יושר דברי אמת &lt;מהדורה חדשה&gt;</v>
      </c>
    </row>
    <row r="17488" spans="1:6" x14ac:dyDescent="0.2">
      <c r="A17488" t="s">
        <v>28876</v>
      </c>
      <c r="B17488" t="s">
        <v>16361</v>
      </c>
      <c r="C17488" t="s">
        <v>1228</v>
      </c>
      <c r="D17488" t="s">
        <v>379</v>
      </c>
      <c r="E17488" t="s">
        <v>28877</v>
      </c>
      <c r="F17488" s="2" t="str">
        <f>HYPERLINK("http://www.otzar.org/book.asp?102485","יושר דברי אמת - 2 כר'")</f>
        <v>יושר דברי אמת - 2 כר'</v>
      </c>
    </row>
    <row r="17489" spans="1:6" x14ac:dyDescent="0.2">
      <c r="A17489" t="s">
        <v>28878</v>
      </c>
      <c r="B17489" t="s">
        <v>28879</v>
      </c>
      <c r="C17489" t="s">
        <v>244</v>
      </c>
      <c r="D17489" t="s">
        <v>152</v>
      </c>
      <c r="F17489" s="2" t="str">
        <f>HYPERLINK("http://www.otzar.org/book.asp?610335","יושר הורי")</f>
        <v>יושר הורי</v>
      </c>
    </row>
    <row r="17490" spans="1:6" x14ac:dyDescent="0.2">
      <c r="A17490" t="s">
        <v>28878</v>
      </c>
      <c r="B17490" t="s">
        <v>9328</v>
      </c>
      <c r="C17490" t="s">
        <v>114</v>
      </c>
      <c r="D17490" t="s">
        <v>52</v>
      </c>
      <c r="E17490" t="s">
        <v>148</v>
      </c>
      <c r="F17490" s="2" t="str">
        <f>HYPERLINK("http://www.otzar.org/book.asp?183181","יושר הורי")</f>
        <v>יושר הורי</v>
      </c>
    </row>
    <row r="17491" spans="1:6" x14ac:dyDescent="0.2">
      <c r="A17491" t="s">
        <v>28880</v>
      </c>
      <c r="B17491" t="s">
        <v>28879</v>
      </c>
      <c r="C17491" t="s">
        <v>366</v>
      </c>
      <c r="D17491" t="s">
        <v>152</v>
      </c>
      <c r="F17491" s="2" t="str">
        <f>HYPERLINK("http://www.otzar.org/book.asp?610336","יושר לבב")</f>
        <v>יושר לבב</v>
      </c>
    </row>
    <row r="17492" spans="1:6" x14ac:dyDescent="0.2">
      <c r="A17492" t="s">
        <v>28881</v>
      </c>
      <c r="B17492" t="s">
        <v>1827</v>
      </c>
      <c r="C17492" t="s">
        <v>351</v>
      </c>
      <c r="D17492" t="s">
        <v>1117</v>
      </c>
      <c r="E17492" t="s">
        <v>399</v>
      </c>
      <c r="F17492" s="2" t="str">
        <f>HYPERLINK("http://www.otzar.org/book.asp?12744","יושר לבב - 4 כר'")</f>
        <v>יושר לבב - 4 כר'</v>
      </c>
    </row>
    <row r="17493" spans="1:6" x14ac:dyDescent="0.2">
      <c r="A17493" t="s">
        <v>28882</v>
      </c>
      <c r="B17493" t="s">
        <v>28883</v>
      </c>
      <c r="C17493" t="s">
        <v>6054</v>
      </c>
      <c r="D17493" t="s">
        <v>27</v>
      </c>
      <c r="F17493" s="2" t="str">
        <f>HYPERLINK("http://www.otzar.org/book.asp?160509","יזכר")</f>
        <v>יזכר</v>
      </c>
    </row>
    <row r="17494" spans="1:6" x14ac:dyDescent="0.2">
      <c r="A17494" t="s">
        <v>28884</v>
      </c>
      <c r="B17494" t="s">
        <v>4090</v>
      </c>
      <c r="C17494" t="s">
        <v>422</v>
      </c>
      <c r="D17494" t="s">
        <v>52</v>
      </c>
      <c r="E17494" t="s">
        <v>158</v>
      </c>
      <c r="F17494" s="2" t="str">
        <f>HYPERLINK("http://www.otzar.org/book.asp?167120","יזל מים מדליו - תורה")</f>
        <v>יזל מים מדליו - תורה</v>
      </c>
    </row>
    <row r="17495" spans="1:6" x14ac:dyDescent="0.2">
      <c r="A17495" t="s">
        <v>28885</v>
      </c>
      <c r="B17495" t="s">
        <v>28886</v>
      </c>
      <c r="C17495" t="s">
        <v>624</v>
      </c>
      <c r="D17495" t="s">
        <v>52</v>
      </c>
      <c r="E17495" t="s">
        <v>144</v>
      </c>
      <c r="F17495" s="2" t="str">
        <f>HYPERLINK("http://www.otzar.org/book.asp?25643","יזל מים")</f>
        <v>יזל מים</v>
      </c>
    </row>
    <row r="17496" spans="1:6" x14ac:dyDescent="0.2">
      <c r="A17496" t="s">
        <v>28887</v>
      </c>
      <c r="B17496" t="s">
        <v>28888</v>
      </c>
      <c r="C17496" t="s">
        <v>146</v>
      </c>
      <c r="D17496" t="s">
        <v>412</v>
      </c>
      <c r="E17496" t="s">
        <v>144</v>
      </c>
      <c r="F17496" s="2" t="str">
        <f>HYPERLINK("http://www.otzar.org/book.asp?170549","יזמרך כבוד &lt;מהדורה חדשה&gt;")</f>
        <v>יזמרך כבוד &lt;מהדורה חדשה&gt;</v>
      </c>
    </row>
    <row r="17497" spans="1:6" x14ac:dyDescent="0.2">
      <c r="A17497" t="s">
        <v>28889</v>
      </c>
      <c r="B17497" t="s">
        <v>28890</v>
      </c>
      <c r="C17497" t="s">
        <v>1863</v>
      </c>
      <c r="D17497" t="s">
        <v>60</v>
      </c>
      <c r="E17497" t="s">
        <v>144</v>
      </c>
      <c r="F17497" s="2" t="str">
        <f>HYPERLINK("http://www.otzar.org/book.asp?62185","יזמרך כבוד")</f>
        <v>יזמרך כבוד</v>
      </c>
    </row>
    <row r="17498" spans="1:6" x14ac:dyDescent="0.2">
      <c r="A17498" t="s">
        <v>28891</v>
      </c>
      <c r="B17498" t="s">
        <v>28892</v>
      </c>
      <c r="C17498" t="s">
        <v>422</v>
      </c>
      <c r="D17498" t="s">
        <v>9</v>
      </c>
      <c r="E17498" t="s">
        <v>24</v>
      </c>
      <c r="F17498" s="2" t="str">
        <f>HYPERLINK("http://www.otzar.org/book.asp?160983","יזרח אור &lt;מהדורה חדשה&gt;")</f>
        <v>יזרח אור &lt;מהדורה חדשה&gt;</v>
      </c>
    </row>
    <row r="17499" spans="1:6" x14ac:dyDescent="0.2">
      <c r="A17499" t="s">
        <v>28893</v>
      </c>
      <c r="B17499" t="s">
        <v>28892</v>
      </c>
      <c r="C17499" t="s">
        <v>1062</v>
      </c>
      <c r="D17499" t="s">
        <v>9</v>
      </c>
      <c r="E17499" t="s">
        <v>219</v>
      </c>
      <c r="F17499" s="2" t="str">
        <f>HYPERLINK("http://www.otzar.org/book.asp?13500","יזרח אור")</f>
        <v>יזרח אור</v>
      </c>
    </row>
    <row r="17500" spans="1:6" x14ac:dyDescent="0.2">
      <c r="A17500" t="s">
        <v>28894</v>
      </c>
      <c r="B17500" t="s">
        <v>28895</v>
      </c>
      <c r="C17500" t="s">
        <v>1640</v>
      </c>
      <c r="D17500" t="s">
        <v>14</v>
      </c>
      <c r="E17500" t="s">
        <v>4940</v>
      </c>
      <c r="F17500" s="2" t="str">
        <f>HYPERLINK("http://www.otzar.org/book.asp?103214","יזרעאלי")</f>
        <v>יזרעאלי</v>
      </c>
    </row>
    <row r="17501" spans="1:6" x14ac:dyDescent="0.2">
      <c r="A17501" t="s">
        <v>28896</v>
      </c>
      <c r="B17501" t="s">
        <v>28897</v>
      </c>
      <c r="C17501" t="s">
        <v>87</v>
      </c>
      <c r="D17501" t="s">
        <v>1356</v>
      </c>
      <c r="E17501" t="s">
        <v>158</v>
      </c>
      <c r="F17501" s="2" t="str">
        <f>HYPERLINK("http://www.otzar.org/book.asp?173537","יחד הרים ירננו")</f>
        <v>יחד הרים ירננו</v>
      </c>
    </row>
    <row r="17502" spans="1:6" x14ac:dyDescent="0.2">
      <c r="A17502" t="s">
        <v>28898</v>
      </c>
      <c r="B17502" t="s">
        <v>5062</v>
      </c>
      <c r="C17502" t="s">
        <v>23</v>
      </c>
      <c r="D17502" t="s">
        <v>21</v>
      </c>
      <c r="E17502" t="s">
        <v>246</v>
      </c>
      <c r="F17502" s="2" t="str">
        <f>HYPERLINK("http://www.otzar.org/book.asp?603724","יחוד ברכה וקדושה - שבת קודש")</f>
        <v>יחוד ברכה וקדושה - שבת קודש</v>
      </c>
    </row>
    <row r="17503" spans="1:6" x14ac:dyDescent="0.2">
      <c r="A17503" t="s">
        <v>28899</v>
      </c>
      <c r="B17503" t="s">
        <v>4854</v>
      </c>
      <c r="C17503" t="s">
        <v>151</v>
      </c>
      <c r="D17503" t="s">
        <v>367</v>
      </c>
      <c r="E17503" t="s">
        <v>140</v>
      </c>
      <c r="F17503" s="2" t="str">
        <f>HYPERLINK("http://www.otzar.org/book.asp?626259","יחוד ההתבודדות (אנגלית)")</f>
        <v>יחוד ההתבודדות (אנגלית)</v>
      </c>
    </row>
    <row r="17504" spans="1:6" x14ac:dyDescent="0.2">
      <c r="A17504" t="s">
        <v>28900</v>
      </c>
      <c r="B17504" t="s">
        <v>4854</v>
      </c>
      <c r="C17504" t="s">
        <v>20</v>
      </c>
      <c r="D17504" t="s">
        <v>367</v>
      </c>
      <c r="E17504" t="s">
        <v>104</v>
      </c>
      <c r="F17504" s="2" t="str">
        <f>HYPERLINK("http://www.otzar.org/book.asp?605449","יחוד ההתבודדות")</f>
        <v>יחוד ההתבודדות</v>
      </c>
    </row>
    <row r="17505" spans="1:6" x14ac:dyDescent="0.2">
      <c r="A17505" t="s">
        <v>28901</v>
      </c>
      <c r="B17505" t="s">
        <v>4854</v>
      </c>
      <c r="C17505" t="s">
        <v>20</v>
      </c>
      <c r="D17505" t="s">
        <v>367</v>
      </c>
      <c r="E17505" t="s">
        <v>246</v>
      </c>
      <c r="F17505" s="2" t="str">
        <f>HYPERLINK("http://www.otzar.org/book.asp?605469","יחוד השבת - 2 כר'")</f>
        <v>יחוד השבת - 2 כר'</v>
      </c>
    </row>
    <row r="17506" spans="1:6" x14ac:dyDescent="0.2">
      <c r="A17506" t="s">
        <v>28902</v>
      </c>
      <c r="E17506" t="s">
        <v>15</v>
      </c>
      <c r="F17506" s="2" t="str">
        <f>HYPERLINK("http://www.otzar.org/book.asp?630877","יחוד")</f>
        <v>יחוד</v>
      </c>
    </row>
    <row r="17507" spans="1:6" x14ac:dyDescent="0.2">
      <c r="A17507" t="s">
        <v>28903</v>
      </c>
      <c r="B17507" t="s">
        <v>28904</v>
      </c>
      <c r="C17507" t="s">
        <v>1811</v>
      </c>
      <c r="D17507" t="s">
        <v>21</v>
      </c>
      <c r="E17507" t="s">
        <v>15</v>
      </c>
      <c r="F17507" s="2" t="str">
        <f>HYPERLINK("http://www.otzar.org/book.asp?605516","יחוד - הלכותיו בקצרה")</f>
        <v>יחוד - הלכותיו בקצרה</v>
      </c>
    </row>
    <row r="17508" spans="1:6" x14ac:dyDescent="0.2">
      <c r="A17508" t="s">
        <v>28905</v>
      </c>
      <c r="B17508" t="s">
        <v>28906</v>
      </c>
      <c r="C17508" t="s">
        <v>37</v>
      </c>
      <c r="D17508" t="s">
        <v>90</v>
      </c>
      <c r="E17508" t="s">
        <v>2758</v>
      </c>
      <c r="F17508" s="2" t="str">
        <f>HYPERLINK("http://www.otzar.org/book.asp?619769","יחודים ועליות כמוך - פורים")</f>
        <v>יחודים ועליות כמוך - פורים</v>
      </c>
    </row>
    <row r="17509" spans="1:6" x14ac:dyDescent="0.2">
      <c r="A17509" t="s">
        <v>28907</v>
      </c>
      <c r="B17509" t="s">
        <v>28906</v>
      </c>
      <c r="C17509" t="s">
        <v>20</v>
      </c>
      <c r="D17509" t="s">
        <v>52</v>
      </c>
      <c r="E17509" t="s">
        <v>2758</v>
      </c>
      <c r="F17509" s="2" t="str">
        <f>HYPERLINK("http://www.otzar.org/book.asp?619774","יחודים ועליות כמותך - סוכות")</f>
        <v>יחודים ועליות כמותך - סוכות</v>
      </c>
    </row>
    <row r="17510" spans="1:6" x14ac:dyDescent="0.2">
      <c r="A17510" t="s">
        <v>28908</v>
      </c>
      <c r="B17510" t="s">
        <v>28906</v>
      </c>
      <c r="C17510" t="s">
        <v>151</v>
      </c>
      <c r="D17510" t="s">
        <v>90</v>
      </c>
      <c r="E17510" t="s">
        <v>2758</v>
      </c>
      <c r="F17510" s="2" t="str">
        <f>HYPERLINK("http://www.otzar.org/book.asp?619768","יחודים כמותך - חנוכה")</f>
        <v>יחודים כמותך - חנוכה</v>
      </c>
    </row>
    <row r="17511" spans="1:6" x14ac:dyDescent="0.2">
      <c r="A17511" t="s">
        <v>28909</v>
      </c>
      <c r="B17511" t="s">
        <v>28910</v>
      </c>
      <c r="C17511" t="s">
        <v>13</v>
      </c>
      <c r="D17511" t="s">
        <v>14</v>
      </c>
      <c r="E17511" t="s">
        <v>154</v>
      </c>
      <c r="F17511" s="2" t="str">
        <f>HYPERLINK("http://www.otzar.org/book.asp?148017","יחוה דעת - 3 כר'")</f>
        <v>יחוה דעת - 3 כר'</v>
      </c>
    </row>
    <row r="17512" spans="1:6" x14ac:dyDescent="0.2">
      <c r="A17512" t="s">
        <v>28911</v>
      </c>
      <c r="B17512" t="s">
        <v>28912</v>
      </c>
      <c r="C17512" t="s">
        <v>419</v>
      </c>
      <c r="D17512" t="s">
        <v>14</v>
      </c>
      <c r="E17512" t="s">
        <v>148</v>
      </c>
      <c r="F17512" s="2" t="str">
        <f>HYPERLINK("http://www.otzar.org/book.asp?176841","יחוה דעת  - פרדס רמונים - &lt;קפט&gt;")</f>
        <v>יחוה דעת  - פרדס רמונים - &lt;קפט&gt;</v>
      </c>
    </row>
    <row r="17513" spans="1:6" x14ac:dyDescent="0.2">
      <c r="A17513" t="s">
        <v>28913</v>
      </c>
      <c r="B17513" t="s">
        <v>28914</v>
      </c>
      <c r="C17513" t="s">
        <v>224</v>
      </c>
      <c r="D17513" t="s">
        <v>27</v>
      </c>
      <c r="E17513" t="s">
        <v>396</v>
      </c>
      <c r="F17513" s="2" t="str">
        <f>HYPERLINK("http://www.otzar.org/book.asp?18877","יחוה דעת")</f>
        <v>יחוה דעת</v>
      </c>
    </row>
    <row r="17514" spans="1:6" x14ac:dyDescent="0.2">
      <c r="A17514" t="s">
        <v>28915</v>
      </c>
      <c r="B17514" t="s">
        <v>28916</v>
      </c>
      <c r="C17514" t="s">
        <v>383</v>
      </c>
      <c r="D17514" t="s">
        <v>14</v>
      </c>
      <c r="E17514" t="s">
        <v>104</v>
      </c>
      <c r="F17514" s="2" t="str">
        <f>HYPERLINK("http://www.otzar.org/book.asp?179102","יחוס הגדולים")</f>
        <v>יחוס הגדולים</v>
      </c>
    </row>
    <row r="17515" spans="1:6" x14ac:dyDescent="0.2">
      <c r="A17515" t="s">
        <v>28917</v>
      </c>
      <c r="B17515" t="s">
        <v>28918</v>
      </c>
      <c r="C17515" t="s">
        <v>28919</v>
      </c>
      <c r="D17515" t="s">
        <v>28920</v>
      </c>
      <c r="F17515" s="2" t="str">
        <f>HYPERLINK("http://www.otzar.org/book.asp?611744","יחוס הצדיקים")</f>
        <v>יחוס הצדיקים</v>
      </c>
    </row>
    <row r="17516" spans="1:6" x14ac:dyDescent="0.2">
      <c r="A17516" t="s">
        <v>28917</v>
      </c>
      <c r="B17516" t="s">
        <v>28921</v>
      </c>
      <c r="C17516" t="s">
        <v>332</v>
      </c>
      <c r="D17516" t="s">
        <v>27</v>
      </c>
      <c r="E17516" t="s">
        <v>28922</v>
      </c>
      <c r="F17516" s="2" t="str">
        <f>HYPERLINK("http://www.otzar.org/book.asp?729","יחוס הצדיקים")</f>
        <v>יחוס הצדיקים</v>
      </c>
    </row>
    <row r="17517" spans="1:6" x14ac:dyDescent="0.2">
      <c r="A17517" t="s">
        <v>28923</v>
      </c>
      <c r="B17517" t="s">
        <v>206</v>
      </c>
      <c r="C17517" t="s">
        <v>20</v>
      </c>
      <c r="D17517" t="s">
        <v>90</v>
      </c>
      <c r="F17517" s="2" t="str">
        <f>HYPERLINK("http://www.otzar.org/book.asp?612208","יחוס משפחת עלעפאנט -אייזנבערגער")</f>
        <v>יחוס משפחת עלעפאנט -אייזנבערגער</v>
      </c>
    </row>
    <row r="17518" spans="1:6" x14ac:dyDescent="0.2">
      <c r="A17518" t="s">
        <v>28924</v>
      </c>
      <c r="B17518" t="s">
        <v>28925</v>
      </c>
      <c r="C17518" t="s">
        <v>603</v>
      </c>
      <c r="D17518" t="s">
        <v>15591</v>
      </c>
      <c r="E17518" t="s">
        <v>733</v>
      </c>
      <c r="F17518" s="2" t="str">
        <f>HYPERLINK("http://www.otzar.org/book.asp?55","יחוסי תנאים ואמוראים")</f>
        <v>יחוסי תנאים ואמוראים</v>
      </c>
    </row>
    <row r="17519" spans="1:6" x14ac:dyDescent="0.2">
      <c r="A17519" t="s">
        <v>28926</v>
      </c>
      <c r="B17519" t="s">
        <v>28927</v>
      </c>
      <c r="C17519" t="s">
        <v>4926</v>
      </c>
      <c r="D17519" t="s">
        <v>76</v>
      </c>
      <c r="E17519" t="s">
        <v>158</v>
      </c>
      <c r="F17519" s="2" t="str">
        <f>HYPERLINK("http://www.otzar.org/book.asp?53402","יחזקאל איוב ודניאל - מתורגמים ללאדינו")</f>
        <v>יחזקאל איוב ודניאל - מתורגמים ללאדינו</v>
      </c>
    </row>
    <row r="17520" spans="1:6" x14ac:dyDescent="0.2">
      <c r="A17520" t="s">
        <v>28928</v>
      </c>
      <c r="B17520" t="s">
        <v>3166</v>
      </c>
      <c r="C17520" t="s">
        <v>143</v>
      </c>
      <c r="D17520" t="s">
        <v>14</v>
      </c>
      <c r="E17520" t="s">
        <v>104</v>
      </c>
      <c r="F17520" s="2" t="str">
        <f>HYPERLINK("http://www.otzar.org/book.asp?200370","יחי יוסף")</f>
        <v>יחי יוסף</v>
      </c>
    </row>
    <row r="17521" spans="1:6" x14ac:dyDescent="0.2">
      <c r="A17521" t="s">
        <v>28929</v>
      </c>
      <c r="B17521" t="s">
        <v>16120</v>
      </c>
      <c r="C17521" t="s">
        <v>523</v>
      </c>
      <c r="D17521" t="s">
        <v>52</v>
      </c>
      <c r="E17521" t="s">
        <v>15</v>
      </c>
      <c r="F17521" s="2" t="str">
        <f>HYPERLINK("http://www.otzar.org/book.asp?623498","יחי עזרא")</f>
        <v>יחי עזרא</v>
      </c>
    </row>
    <row r="17522" spans="1:6" x14ac:dyDescent="0.2">
      <c r="A17522" t="s">
        <v>28930</v>
      </c>
      <c r="B17522" t="s">
        <v>552</v>
      </c>
      <c r="C17522" t="s">
        <v>16924</v>
      </c>
      <c r="D17522" t="s">
        <v>14</v>
      </c>
      <c r="E17522" t="s">
        <v>28931</v>
      </c>
      <c r="F17522" s="2" t="str">
        <f>HYPERLINK("http://www.otzar.org/book.asp?23187","יחי ראובן &lt;לר' ראובן פיין&gt;")</f>
        <v>יחי ראובן &lt;לר' ראובן פיין&gt;</v>
      </c>
    </row>
    <row r="17523" spans="1:6" x14ac:dyDescent="0.2">
      <c r="A17523" t="s">
        <v>28932</v>
      </c>
      <c r="B17523" t="s">
        <v>28933</v>
      </c>
      <c r="C17523" t="s">
        <v>103</v>
      </c>
      <c r="D17523" t="s">
        <v>118</v>
      </c>
      <c r="E17523" t="s">
        <v>104</v>
      </c>
      <c r="F17523" s="2" t="str">
        <f>HYPERLINK("http://www.otzar.org/book.asp?64329","יחי ראובן ואל ימות")</f>
        <v>יחי ראובן ואל ימות</v>
      </c>
    </row>
    <row r="17524" spans="1:6" x14ac:dyDescent="0.2">
      <c r="A17524" t="s">
        <v>28934</v>
      </c>
      <c r="B17524" t="s">
        <v>28935</v>
      </c>
      <c r="C17524" t="s">
        <v>1246</v>
      </c>
      <c r="D17524" t="s">
        <v>3208</v>
      </c>
      <c r="E17524" t="s">
        <v>6975</v>
      </c>
      <c r="F17524" s="2" t="str">
        <f>HYPERLINK("http://www.otzar.org/book.asp?603244","יחי ראובן")</f>
        <v>יחי ראובן</v>
      </c>
    </row>
    <row r="17525" spans="1:6" x14ac:dyDescent="0.2">
      <c r="A17525" t="s">
        <v>28936</v>
      </c>
      <c r="B17525" t="s">
        <v>28937</v>
      </c>
      <c r="C17525" t="s">
        <v>24965</v>
      </c>
      <c r="D17525" t="s">
        <v>379</v>
      </c>
      <c r="E17525" t="s">
        <v>144</v>
      </c>
      <c r="F17525" s="2" t="str">
        <f>HYPERLINK("http://www.otzar.org/book.asp?18879","יחי ראובן - א")</f>
        <v>יחי ראובן - א</v>
      </c>
    </row>
    <row r="17526" spans="1:6" x14ac:dyDescent="0.2">
      <c r="A17526" t="s">
        <v>28934</v>
      </c>
      <c r="B17526" t="s">
        <v>28938</v>
      </c>
      <c r="C17526" t="s">
        <v>576</v>
      </c>
      <c r="D17526" t="s">
        <v>283</v>
      </c>
      <c r="E17526" t="s">
        <v>435</v>
      </c>
      <c r="F17526" s="2" t="str">
        <f>HYPERLINK("http://www.otzar.org/book.asp?18878","יחי ראובן")</f>
        <v>יחי ראובן</v>
      </c>
    </row>
    <row r="17527" spans="1:6" x14ac:dyDescent="0.2">
      <c r="A17527" t="s">
        <v>28934</v>
      </c>
      <c r="B17527" t="s">
        <v>1306</v>
      </c>
      <c r="C17527" t="s">
        <v>1663</v>
      </c>
      <c r="D17527" t="s">
        <v>27</v>
      </c>
      <c r="E17527" t="s">
        <v>202</v>
      </c>
      <c r="F17527" s="2" t="str">
        <f>HYPERLINK("http://www.otzar.org/book.asp?15063","יחי ראובן")</f>
        <v>יחי ראובן</v>
      </c>
    </row>
    <row r="17528" spans="1:6" x14ac:dyDescent="0.2">
      <c r="A17528" t="s">
        <v>28934</v>
      </c>
      <c r="B17528" t="s">
        <v>552</v>
      </c>
      <c r="C17528" t="s">
        <v>523</v>
      </c>
      <c r="D17528" t="s">
        <v>14</v>
      </c>
      <c r="E17528" t="s">
        <v>8913</v>
      </c>
      <c r="F17528" s="2" t="str">
        <f>HYPERLINK("http://www.otzar.org/book.asp?619415","יחי ראובן")</f>
        <v>יחי ראובן</v>
      </c>
    </row>
    <row r="17529" spans="1:6" x14ac:dyDescent="0.2">
      <c r="A17529" t="s">
        <v>28939</v>
      </c>
      <c r="B17529" t="s">
        <v>28940</v>
      </c>
      <c r="C17529" t="s">
        <v>366</v>
      </c>
      <c r="D17529" t="s">
        <v>14</v>
      </c>
      <c r="F17529" s="2" t="str">
        <f>HYPERLINK("http://www.otzar.org/book.asp?614023","יחי ראובן - 3 כר'")</f>
        <v>יחי ראובן - 3 כר'</v>
      </c>
    </row>
    <row r="17530" spans="1:6" x14ac:dyDescent="0.2">
      <c r="A17530" t="s">
        <v>28941</v>
      </c>
      <c r="B17530" t="s">
        <v>28942</v>
      </c>
      <c r="D17530" t="s">
        <v>52</v>
      </c>
      <c r="F17530" s="2" t="str">
        <f>HYPERLINK("http://www.otzar.org/book.asp?630384","יחי שלמה")</f>
        <v>יחי שלמה</v>
      </c>
    </row>
    <row r="17531" spans="1:6" x14ac:dyDescent="0.2">
      <c r="A17531" t="s">
        <v>28943</v>
      </c>
      <c r="B17531" t="s">
        <v>28944</v>
      </c>
      <c r="C17531" t="s">
        <v>23</v>
      </c>
      <c r="D17531" t="s">
        <v>118</v>
      </c>
      <c r="E17531" t="s">
        <v>733</v>
      </c>
      <c r="F17531" s="2" t="str">
        <f>HYPERLINK("http://www.otzar.org/book.asp?190253","יחיד בדורו")</f>
        <v>יחיד בדורו</v>
      </c>
    </row>
    <row r="17532" spans="1:6" x14ac:dyDescent="0.2">
      <c r="A17532" t="s">
        <v>28945</v>
      </c>
      <c r="B17532" t="s">
        <v>28946</v>
      </c>
      <c r="C17532" t="s">
        <v>114</v>
      </c>
      <c r="D17532" t="s">
        <v>14</v>
      </c>
      <c r="E17532" t="s">
        <v>119</v>
      </c>
      <c r="F17532" s="2" t="str">
        <f>HYPERLINK("http://www.otzar.org/book.asp?180639","יחיד ודורו - 2 כר'")</f>
        <v>יחיד ודורו - 2 כר'</v>
      </c>
    </row>
    <row r="17533" spans="1:6" x14ac:dyDescent="0.2">
      <c r="A17533" t="s">
        <v>28947</v>
      </c>
      <c r="B17533" t="s">
        <v>21538</v>
      </c>
      <c r="C17533" t="s">
        <v>3205</v>
      </c>
      <c r="D17533" t="s">
        <v>260</v>
      </c>
      <c r="E17533" t="s">
        <v>119</v>
      </c>
      <c r="F17533" s="2" t="str">
        <f>HYPERLINK("http://www.otzar.org/book.asp?174306","יחידי סגולה")</f>
        <v>יחידי סגולה</v>
      </c>
    </row>
    <row r="17534" spans="1:6" x14ac:dyDescent="0.2">
      <c r="A17534" t="s">
        <v>28948</v>
      </c>
      <c r="B17534" t="s">
        <v>28949</v>
      </c>
      <c r="C17534" t="s">
        <v>28950</v>
      </c>
      <c r="D17534" t="s">
        <v>212</v>
      </c>
      <c r="E17534" t="s">
        <v>7477</v>
      </c>
      <c r="F17534" s="2" t="str">
        <f>HYPERLINK("http://www.otzar.org/book.asp?103185","יחיו דגן")</f>
        <v>יחיו דגן</v>
      </c>
    </row>
    <row r="17535" spans="1:6" x14ac:dyDescent="0.2">
      <c r="A17535" t="s">
        <v>28951</v>
      </c>
      <c r="B17535" t="s">
        <v>28952</v>
      </c>
      <c r="C17535" t="s">
        <v>37</v>
      </c>
      <c r="D17535" t="s">
        <v>486</v>
      </c>
      <c r="E17535" t="s">
        <v>10</v>
      </c>
      <c r="F17535" s="2" t="str">
        <f>HYPERLINK("http://www.otzar.org/book.asp?629773","יחיל מדבר")</f>
        <v>יחיל מדבר</v>
      </c>
    </row>
    <row r="17536" spans="1:6" x14ac:dyDescent="0.2">
      <c r="A17536" t="s">
        <v>28953</v>
      </c>
      <c r="B17536" t="s">
        <v>18063</v>
      </c>
      <c r="C17536" t="s">
        <v>189</v>
      </c>
      <c r="D17536" t="s">
        <v>14</v>
      </c>
      <c r="E17536" t="s">
        <v>84</v>
      </c>
      <c r="F17536" s="2" t="str">
        <f>HYPERLINK("http://www.otzar.org/book.asp?50973","יחל ישראל &lt;אבות&gt; - 6 כר'")</f>
        <v>יחל ישראל &lt;אבות&gt; - 6 כר'</v>
      </c>
    </row>
    <row r="17537" spans="1:6" x14ac:dyDescent="0.2">
      <c r="A17537" t="s">
        <v>28954</v>
      </c>
      <c r="B17537" t="s">
        <v>18063</v>
      </c>
      <c r="C17537" t="s">
        <v>454</v>
      </c>
      <c r="D17537" t="s">
        <v>14</v>
      </c>
      <c r="E17537" t="s">
        <v>154</v>
      </c>
      <c r="F17537" s="2" t="str">
        <f>HYPERLINK("http://www.otzar.org/book.asp?50969","יחל ישראל &lt;שו""ת&gt; - 3 כר'")</f>
        <v>יחל ישראל &lt;שו"ת&gt; - 3 כר'</v>
      </c>
    </row>
    <row r="17538" spans="1:6" x14ac:dyDescent="0.2">
      <c r="A17538" t="s">
        <v>28955</v>
      </c>
      <c r="B17538" t="s">
        <v>28956</v>
      </c>
      <c r="C17538" t="s">
        <v>23</v>
      </c>
      <c r="D17538" t="s">
        <v>152</v>
      </c>
      <c r="E17538" t="s">
        <v>15</v>
      </c>
      <c r="F17538" s="2" t="str">
        <f>HYPERLINK("http://www.otzar.org/book.asp?600634","יחל ישראל")</f>
        <v>יחל ישראל</v>
      </c>
    </row>
    <row r="17539" spans="1:6" x14ac:dyDescent="0.2">
      <c r="A17539" t="s">
        <v>28957</v>
      </c>
      <c r="B17539" t="s">
        <v>28958</v>
      </c>
      <c r="C17539" t="s">
        <v>20</v>
      </c>
      <c r="D17539" t="s">
        <v>14</v>
      </c>
      <c r="F17539" s="2" t="str">
        <f>HYPERLINK("http://www.otzar.org/book.asp?610893","יחלק שלל - 6 כר'")</f>
        <v>יחלק שלל - 6 כר'</v>
      </c>
    </row>
    <row r="17540" spans="1:6" x14ac:dyDescent="0.2">
      <c r="A17540" t="s">
        <v>28959</v>
      </c>
      <c r="B17540" t="s">
        <v>28960</v>
      </c>
      <c r="C17540" t="s">
        <v>146</v>
      </c>
      <c r="D17540" t="s">
        <v>14</v>
      </c>
      <c r="F17540" s="2" t="str">
        <f>HYPERLINK("http://www.otzar.org/book.asp?169668","יחלק שלל - 2 כר'")</f>
        <v>יחלק שלל - 2 כר'</v>
      </c>
    </row>
    <row r="17541" spans="1:6" x14ac:dyDescent="0.2">
      <c r="A17541" t="s">
        <v>28961</v>
      </c>
      <c r="B17541" t="s">
        <v>905</v>
      </c>
      <c r="C17541" t="s">
        <v>71</v>
      </c>
      <c r="D17541" t="s">
        <v>14</v>
      </c>
      <c r="E17541" t="s">
        <v>119</v>
      </c>
      <c r="F17541" s="2" t="str">
        <f>HYPERLINK("http://www.otzar.org/book.asp?63178","יחס דבדו החדש")</f>
        <v>יחס דבדו החדש</v>
      </c>
    </row>
    <row r="17542" spans="1:6" x14ac:dyDescent="0.2">
      <c r="A17542" t="s">
        <v>28962</v>
      </c>
      <c r="B17542" t="s">
        <v>1066</v>
      </c>
      <c r="C17542" t="s">
        <v>103</v>
      </c>
      <c r="D17542" t="s">
        <v>412</v>
      </c>
      <c r="E17542" t="s">
        <v>104</v>
      </c>
      <c r="F17542" s="2" t="str">
        <f>HYPERLINK("http://www.otzar.org/book.asp?85583","יידיש השפה הקדושה - 4 כר'")</f>
        <v>יידיש השפה הקדושה - 4 כר'</v>
      </c>
    </row>
    <row r="17543" spans="1:6" x14ac:dyDescent="0.2">
      <c r="A17543" t="s">
        <v>28963</v>
      </c>
      <c r="B17543" t="s">
        <v>28964</v>
      </c>
      <c r="C17543" t="s">
        <v>1609</v>
      </c>
      <c r="D17543" t="s">
        <v>412</v>
      </c>
      <c r="E17543" t="s">
        <v>104</v>
      </c>
      <c r="F17543" s="2" t="str">
        <f>HYPERLINK("http://www.otzar.org/book.asp?623425","יידישע מאכלים")</f>
        <v>יידישע מאכלים</v>
      </c>
    </row>
    <row r="17544" spans="1:6" x14ac:dyDescent="0.2">
      <c r="A17544" t="s">
        <v>28965</v>
      </c>
      <c r="B17544" t="s">
        <v>28966</v>
      </c>
      <c r="C17544" t="s">
        <v>237</v>
      </c>
      <c r="D17544" t="s">
        <v>412</v>
      </c>
      <c r="F17544" s="2" t="str">
        <f>HYPERLINK("http://www.otzar.org/book.asp?154572","יידישע פאלקס - 2 כר'")</f>
        <v>יידישע פאלקס - 2 כר'</v>
      </c>
    </row>
    <row r="17545" spans="1:6" x14ac:dyDescent="0.2">
      <c r="A17545" t="s">
        <v>28967</v>
      </c>
      <c r="B17545" t="s">
        <v>28968</v>
      </c>
      <c r="C17545" t="s">
        <v>1246</v>
      </c>
      <c r="D17545" t="s">
        <v>5301</v>
      </c>
      <c r="F17545" s="2" t="str">
        <f>HYPERLINK("http://www.otzar.org/book.asp?153382","יידן אין יאהאנעסבורג")</f>
        <v>יידן אין יאהאנעסבורג</v>
      </c>
    </row>
    <row r="17546" spans="1:6" x14ac:dyDescent="0.2">
      <c r="A17546" t="s">
        <v>28969</v>
      </c>
      <c r="B17546" t="s">
        <v>28970</v>
      </c>
      <c r="C17546" t="s">
        <v>1418</v>
      </c>
      <c r="D17546" t="s">
        <v>157</v>
      </c>
      <c r="E17546" t="s">
        <v>234</v>
      </c>
      <c r="F17546" s="2" t="str">
        <f>HYPERLINK("http://www.otzar.org/book.asp?189487","ייטב לב")</f>
        <v>ייטב לב</v>
      </c>
    </row>
    <row r="17547" spans="1:6" x14ac:dyDescent="0.2">
      <c r="A17547" t="s">
        <v>28971</v>
      </c>
      <c r="B17547" t="s">
        <v>892</v>
      </c>
      <c r="C17547" t="s">
        <v>1458</v>
      </c>
      <c r="D17547" t="s">
        <v>756</v>
      </c>
      <c r="E17547" t="s">
        <v>158</v>
      </c>
      <c r="F17547" s="2" t="str">
        <f>HYPERLINK("http://www.otzar.org/book.asp?102486","ייטב לב - 3 כר'")</f>
        <v>ייטב לב - 3 כר'</v>
      </c>
    </row>
    <row r="17548" spans="1:6" x14ac:dyDescent="0.2">
      <c r="A17548" t="s">
        <v>28972</v>
      </c>
      <c r="B17548" t="s">
        <v>892</v>
      </c>
      <c r="C17548" t="s">
        <v>28973</v>
      </c>
      <c r="D17548" t="s">
        <v>267</v>
      </c>
      <c r="E17548" t="s">
        <v>1296</v>
      </c>
      <c r="F17548" s="2" t="str">
        <f>HYPERLINK("http://www.otzar.org/book.asp?5915","ייטב פנים - 5 כר'")</f>
        <v>ייטב פנים - 5 כר'</v>
      </c>
    </row>
    <row r="17549" spans="1:6" x14ac:dyDescent="0.2">
      <c r="A17549" t="s">
        <v>28974</v>
      </c>
      <c r="B17549" t="s">
        <v>28975</v>
      </c>
      <c r="C17549" t="s">
        <v>146</v>
      </c>
      <c r="D17549" t="s">
        <v>27</v>
      </c>
      <c r="E17549" t="s">
        <v>154</v>
      </c>
      <c r="F17549" s="2" t="str">
        <f>HYPERLINK("http://www.otzar.org/book.asp?175778","יין הטוב &lt;מהדורה חדשה&gt;")</f>
        <v>יין הטוב &lt;מהדורה חדשה&gt;</v>
      </c>
    </row>
    <row r="17550" spans="1:6" x14ac:dyDescent="0.2">
      <c r="A17550" t="s">
        <v>28976</v>
      </c>
      <c r="B17550" t="s">
        <v>28977</v>
      </c>
      <c r="C17550" t="s">
        <v>124</v>
      </c>
      <c r="D17550" t="s">
        <v>852</v>
      </c>
      <c r="E17550" t="s">
        <v>957</v>
      </c>
      <c r="F17550" s="2" t="str">
        <f>HYPERLINK("http://www.otzar.org/book.asp?103212","יין הטוב - 5 כר'")</f>
        <v>יין הטוב - 5 כר'</v>
      </c>
    </row>
    <row r="17551" spans="1:6" x14ac:dyDescent="0.2">
      <c r="A17551" t="s">
        <v>28978</v>
      </c>
      <c r="B17551" t="s">
        <v>28975</v>
      </c>
      <c r="C17551" t="s">
        <v>160</v>
      </c>
      <c r="D17551" t="s">
        <v>27</v>
      </c>
      <c r="E17551" t="s">
        <v>154</v>
      </c>
      <c r="F17551" s="2" t="str">
        <f>HYPERLINK("http://www.otzar.org/book.asp?13762","יין הטוב - א")</f>
        <v>יין הטוב - א</v>
      </c>
    </row>
    <row r="17552" spans="1:6" x14ac:dyDescent="0.2">
      <c r="A17552" t="s">
        <v>28979</v>
      </c>
      <c r="B17552" t="s">
        <v>4259</v>
      </c>
      <c r="C17552" t="s">
        <v>176</v>
      </c>
      <c r="E17552" t="s">
        <v>144</v>
      </c>
      <c r="F17552" s="2" t="str">
        <f>HYPERLINK("http://www.otzar.org/book.asp?52684","יין המלך - 2 כר'")</f>
        <v>יין המלך - 2 כר'</v>
      </c>
    </row>
    <row r="17553" spans="1:6" x14ac:dyDescent="0.2">
      <c r="A17553" t="s">
        <v>28980</v>
      </c>
      <c r="B17553" t="s">
        <v>27551</v>
      </c>
      <c r="C17553" t="s">
        <v>854</v>
      </c>
      <c r="D17553" t="s">
        <v>379</v>
      </c>
      <c r="E17553" t="s">
        <v>15</v>
      </c>
      <c r="F17553" s="2" t="str">
        <f>HYPERLINK("http://www.otzar.org/book.asp?154102","יין המשומר - 3 כר'")</f>
        <v>יין המשומר - 3 כר'</v>
      </c>
    </row>
    <row r="17554" spans="1:6" x14ac:dyDescent="0.2">
      <c r="A17554" t="s">
        <v>28981</v>
      </c>
      <c r="B17554" t="s">
        <v>5253</v>
      </c>
      <c r="C17554" t="s">
        <v>429</v>
      </c>
      <c r="D17554" t="s">
        <v>283</v>
      </c>
      <c r="E17554" t="s">
        <v>148</v>
      </c>
      <c r="F17554" s="2" t="str">
        <f>HYPERLINK("http://www.otzar.org/book.asp?8668","יין המשמח - 2 כר'")</f>
        <v>יין המשמח - 2 כר'</v>
      </c>
    </row>
    <row r="17555" spans="1:6" x14ac:dyDescent="0.2">
      <c r="A17555" t="s">
        <v>28982</v>
      </c>
      <c r="B17555" t="s">
        <v>16927</v>
      </c>
      <c r="C17555" t="s">
        <v>7367</v>
      </c>
      <c r="D17555" t="s">
        <v>726</v>
      </c>
      <c r="F17555" s="2" t="str">
        <f>HYPERLINK("http://www.otzar.org/book.asp?170164","יין הרוקח")</f>
        <v>יין הרוקח</v>
      </c>
    </row>
    <row r="17556" spans="1:6" x14ac:dyDescent="0.2">
      <c r="A17556" t="s">
        <v>28983</v>
      </c>
      <c r="B17556" t="s">
        <v>28984</v>
      </c>
      <c r="C17556" t="s">
        <v>250</v>
      </c>
      <c r="D17556" t="s">
        <v>4703</v>
      </c>
      <c r="E17556" t="s">
        <v>84</v>
      </c>
      <c r="F17556" s="2" t="str">
        <f>HYPERLINK("http://www.otzar.org/book.asp?140977","יין הרקח")</f>
        <v>יין הרקח</v>
      </c>
    </row>
    <row r="17557" spans="1:6" x14ac:dyDescent="0.2">
      <c r="A17557" t="s">
        <v>28983</v>
      </c>
      <c r="B17557" t="s">
        <v>2396</v>
      </c>
      <c r="C17557" t="s">
        <v>20</v>
      </c>
      <c r="D17557" t="s">
        <v>1076</v>
      </c>
      <c r="E17557" t="s">
        <v>158</v>
      </c>
      <c r="F17557" s="2" t="str">
        <f>HYPERLINK("http://www.otzar.org/book.asp?165240","יין הרקח")</f>
        <v>יין הרקח</v>
      </c>
    </row>
    <row r="17558" spans="1:6" x14ac:dyDescent="0.2">
      <c r="A17558" t="s">
        <v>28985</v>
      </c>
      <c r="B17558" t="s">
        <v>28986</v>
      </c>
      <c r="C17558" t="s">
        <v>411</v>
      </c>
      <c r="D17558" t="s">
        <v>486</v>
      </c>
      <c r="E17558" t="s">
        <v>144</v>
      </c>
      <c r="F17558" s="2" t="str">
        <f>HYPERLINK("http://www.otzar.org/book.asp?170060","יין ישן בקנקן חדש - 4 כר'")</f>
        <v>יין ישן בקנקן חדש - 4 כר'</v>
      </c>
    </row>
    <row r="17559" spans="1:6" x14ac:dyDescent="0.2">
      <c r="A17559" t="s">
        <v>28987</v>
      </c>
      <c r="B17559" t="s">
        <v>16468</v>
      </c>
      <c r="C17559" t="s">
        <v>1388</v>
      </c>
      <c r="D17559" t="s">
        <v>412</v>
      </c>
      <c r="E17559" t="s">
        <v>158</v>
      </c>
      <c r="F17559" s="2" t="str">
        <f>HYPERLINK("http://www.otzar.org/book.asp?615695","יין ישן - 2 כר'")</f>
        <v>יין ישן - 2 כר'</v>
      </c>
    </row>
    <row r="17560" spans="1:6" x14ac:dyDescent="0.2">
      <c r="A17560" t="s">
        <v>28988</v>
      </c>
      <c r="B17560" t="s">
        <v>28989</v>
      </c>
      <c r="C17560" t="s">
        <v>550</v>
      </c>
      <c r="D17560" t="s">
        <v>1731</v>
      </c>
      <c r="E17560" t="s">
        <v>5741</v>
      </c>
      <c r="F17560" s="2" t="str">
        <f>HYPERLINK("http://www.otzar.org/book.asp?11448","יין לבנון")</f>
        <v>יין לבנון</v>
      </c>
    </row>
    <row r="17561" spans="1:6" x14ac:dyDescent="0.2">
      <c r="A17561" t="s">
        <v>28990</v>
      </c>
      <c r="B17561" t="s">
        <v>4761</v>
      </c>
      <c r="C17561" t="s">
        <v>767</v>
      </c>
      <c r="D17561" t="s">
        <v>1156</v>
      </c>
      <c r="E17561" t="s">
        <v>148</v>
      </c>
      <c r="F17561" s="2" t="str">
        <f>HYPERLINK("http://www.otzar.org/book.asp?50556","יין לנסך")</f>
        <v>יין לנסך</v>
      </c>
    </row>
    <row r="17562" spans="1:6" x14ac:dyDescent="0.2">
      <c r="A17562" t="s">
        <v>28991</v>
      </c>
      <c r="B17562" t="s">
        <v>28992</v>
      </c>
      <c r="C17562" t="s">
        <v>20</v>
      </c>
      <c r="D17562" t="s">
        <v>52</v>
      </c>
      <c r="E17562" t="s">
        <v>15</v>
      </c>
      <c r="F17562" s="2" t="str">
        <f>HYPERLINK("http://www.otzar.org/book.asp?626221","יין לשבת")</f>
        <v>יין לשבת</v>
      </c>
    </row>
    <row r="17563" spans="1:6" x14ac:dyDescent="0.2">
      <c r="A17563" t="s">
        <v>28993</v>
      </c>
      <c r="B17563" t="s">
        <v>28994</v>
      </c>
      <c r="C17563" t="s">
        <v>17</v>
      </c>
      <c r="D17563" t="s">
        <v>52</v>
      </c>
      <c r="E17563" t="s">
        <v>158</v>
      </c>
      <c r="F17563" s="2" t="str">
        <f>HYPERLINK("http://www.otzar.org/book.asp?61425","יין מלכות")</f>
        <v>יין מלכות</v>
      </c>
    </row>
    <row r="17564" spans="1:6" x14ac:dyDescent="0.2">
      <c r="A17564" t="s">
        <v>28995</v>
      </c>
      <c r="B17564" t="s">
        <v>1728</v>
      </c>
      <c r="C17564" t="s">
        <v>28996</v>
      </c>
      <c r="D17564" t="s">
        <v>273</v>
      </c>
      <c r="E17564" t="s">
        <v>104</v>
      </c>
      <c r="F17564" s="2" t="str">
        <f>HYPERLINK("http://www.otzar.org/book.asp?626868","יין משמח - 5 כר'")</f>
        <v>יין משמח - 5 כר'</v>
      </c>
    </row>
    <row r="17565" spans="1:6" x14ac:dyDescent="0.2">
      <c r="A17565" t="s">
        <v>28997</v>
      </c>
      <c r="B17565" t="s">
        <v>3440</v>
      </c>
      <c r="C17565" t="s">
        <v>533</v>
      </c>
      <c r="D17565" t="s">
        <v>14</v>
      </c>
      <c r="E17565" t="s">
        <v>130</v>
      </c>
      <c r="F17565" s="2" t="str">
        <f>HYPERLINK("http://www.otzar.org/book.asp?22022","יינה של תורה - 7 כר'")</f>
        <v>יינה של תורה - 7 כר'</v>
      </c>
    </row>
    <row r="17566" spans="1:6" x14ac:dyDescent="0.2">
      <c r="A17566" t="s">
        <v>28998</v>
      </c>
      <c r="B17566" t="s">
        <v>8159</v>
      </c>
      <c r="C17566" t="s">
        <v>244</v>
      </c>
      <c r="D17566" t="s">
        <v>52</v>
      </c>
      <c r="E17566" t="s">
        <v>674</v>
      </c>
      <c r="F17566" s="2" t="str">
        <f>HYPERLINK("http://www.otzar.org/book.asp?602900","יינה של תורה - ב")</f>
        <v>יינה של תורה - ב</v>
      </c>
    </row>
    <row r="17567" spans="1:6" x14ac:dyDescent="0.2">
      <c r="A17567" t="s">
        <v>28999</v>
      </c>
      <c r="B17567" t="s">
        <v>2161</v>
      </c>
      <c r="C17567" t="s">
        <v>1202</v>
      </c>
      <c r="D17567" t="s">
        <v>225</v>
      </c>
      <c r="E17567" t="s">
        <v>517</v>
      </c>
      <c r="F17567" s="2" t="str">
        <f>HYPERLINK("http://www.otzar.org/book.asp?23557","יכבד אב")</f>
        <v>יכבד אב</v>
      </c>
    </row>
    <row r="17568" spans="1:6" x14ac:dyDescent="0.2">
      <c r="A17568" t="s">
        <v>29000</v>
      </c>
      <c r="B17568" t="s">
        <v>5092</v>
      </c>
      <c r="C17568" t="s">
        <v>189</v>
      </c>
      <c r="D17568" t="s">
        <v>412</v>
      </c>
      <c r="E17568" t="s">
        <v>219</v>
      </c>
      <c r="F17568" s="2" t="str">
        <f>HYPERLINK("http://www.otzar.org/book.asp?160390","יכהן פאר &lt;על זמירות שבת קודש&gt; - 2 כר'")</f>
        <v>יכהן פאר &lt;על זמירות שבת קודש&gt; - 2 כר'</v>
      </c>
    </row>
    <row r="17569" spans="1:6" x14ac:dyDescent="0.2">
      <c r="A17569" t="s">
        <v>29001</v>
      </c>
      <c r="B17569" t="s">
        <v>29002</v>
      </c>
      <c r="C17569" t="s">
        <v>180</v>
      </c>
      <c r="D17569" t="s">
        <v>14</v>
      </c>
      <c r="E17569" t="s">
        <v>29003</v>
      </c>
      <c r="F17569" s="2" t="str">
        <f>HYPERLINK("http://www.otzar.org/book.asp?10076","יכהן פאר")</f>
        <v>יכהן פאר</v>
      </c>
    </row>
    <row r="17570" spans="1:6" x14ac:dyDescent="0.2">
      <c r="A17570" t="s">
        <v>29001</v>
      </c>
      <c r="B17570" t="s">
        <v>29004</v>
      </c>
      <c r="C17570" t="s">
        <v>286</v>
      </c>
      <c r="D17570" t="s">
        <v>283</v>
      </c>
      <c r="E17570" t="s">
        <v>29005</v>
      </c>
      <c r="F17570" s="2" t="str">
        <f>HYPERLINK("http://www.otzar.org/book.asp?7080","יכהן פאר")</f>
        <v>יכהן פאר</v>
      </c>
    </row>
    <row r="17571" spans="1:6" x14ac:dyDescent="0.2">
      <c r="A17571" t="s">
        <v>29006</v>
      </c>
      <c r="B17571" t="s">
        <v>8326</v>
      </c>
      <c r="C17571" t="s">
        <v>17</v>
      </c>
      <c r="D17571" t="s">
        <v>14</v>
      </c>
      <c r="E17571" t="s">
        <v>144</v>
      </c>
      <c r="F17571" s="2" t="str">
        <f>HYPERLINK("http://www.otzar.org/book.asp?61906","יכין ובועז - הוריות")</f>
        <v>יכין ובועז - הוריות</v>
      </c>
    </row>
    <row r="17572" spans="1:6" x14ac:dyDescent="0.2">
      <c r="A17572" t="s">
        <v>29007</v>
      </c>
      <c r="B17572" t="s">
        <v>29008</v>
      </c>
      <c r="C17572" t="s">
        <v>1191</v>
      </c>
      <c r="D17572" t="s">
        <v>212</v>
      </c>
      <c r="E17572" t="s">
        <v>10</v>
      </c>
      <c r="F17572" s="2" t="str">
        <f>HYPERLINK("http://www.otzar.org/book.asp?9998","יכין ובעז - 4 כר'")</f>
        <v>יכין ובעז - 4 כר'</v>
      </c>
    </row>
    <row r="17573" spans="1:6" x14ac:dyDescent="0.2">
      <c r="A17573" t="s">
        <v>29009</v>
      </c>
      <c r="B17573" t="s">
        <v>29010</v>
      </c>
      <c r="C17573">
        <v>1979</v>
      </c>
      <c r="D17573" t="s">
        <v>21</v>
      </c>
      <c r="E17573" t="s">
        <v>733</v>
      </c>
      <c r="F17573" s="2" t="str">
        <f>HYPERLINK("http://www.otzar.org/book.asp?191746","ילדות בירושלים הישנה - 5 כר'")</f>
        <v>ילדות בירושלים הישנה - 5 כר'</v>
      </c>
    </row>
    <row r="17574" spans="1:6" x14ac:dyDescent="0.2">
      <c r="A17574" t="s">
        <v>29011</v>
      </c>
      <c r="B17574" t="s">
        <v>1406</v>
      </c>
      <c r="C17574" t="s">
        <v>4404</v>
      </c>
      <c r="D17574" t="s">
        <v>744</v>
      </c>
      <c r="F17574" s="2" t="str">
        <f>HYPERLINK("http://www.otzar.org/book.asp?182361","ילדי הזמן")</f>
        <v>ילדי הזמן</v>
      </c>
    </row>
    <row r="17575" spans="1:6" x14ac:dyDescent="0.2">
      <c r="A17575" t="s">
        <v>29012</v>
      </c>
      <c r="B17575" t="s">
        <v>9465</v>
      </c>
      <c r="C17575" t="s">
        <v>919</v>
      </c>
      <c r="D17575" t="s">
        <v>52</v>
      </c>
      <c r="E17575" t="s">
        <v>119</v>
      </c>
      <c r="F17575" s="2" t="str">
        <f>HYPERLINK("http://www.otzar.org/book.asp?61770","ילדי טהרן מאשימים")</f>
        <v>ילדי טהרן מאשימים</v>
      </c>
    </row>
    <row r="17576" spans="1:6" x14ac:dyDescent="0.2">
      <c r="A17576" t="s">
        <v>29013</v>
      </c>
      <c r="B17576" t="s">
        <v>1197</v>
      </c>
      <c r="C17576" t="s">
        <v>2008</v>
      </c>
      <c r="D17576" t="s">
        <v>3208</v>
      </c>
      <c r="F17576" s="2" t="str">
        <f>HYPERLINK("http://www.otzar.org/book.asp?616570","ילדי טיהרן מאשימים")</f>
        <v>ילדי טיהרן מאשימים</v>
      </c>
    </row>
    <row r="17577" spans="1:6" x14ac:dyDescent="0.2">
      <c r="A17577" t="s">
        <v>29014</v>
      </c>
      <c r="B17577" t="s">
        <v>10993</v>
      </c>
      <c r="C17577" t="s">
        <v>473</v>
      </c>
      <c r="D17577" t="s">
        <v>1889</v>
      </c>
      <c r="E17577" t="s">
        <v>104</v>
      </c>
      <c r="F17577" s="2" t="str">
        <f>HYPERLINK("http://www.otzar.org/book.asp?162208","ילדי יוסף")</f>
        <v>ילדי יוסף</v>
      </c>
    </row>
    <row r="17578" spans="1:6" x14ac:dyDescent="0.2">
      <c r="A17578" t="s">
        <v>29015</v>
      </c>
      <c r="B17578" t="s">
        <v>29016</v>
      </c>
      <c r="C17578" t="s">
        <v>1954</v>
      </c>
      <c r="D17578" t="s">
        <v>9</v>
      </c>
      <c r="E17578" t="s">
        <v>24</v>
      </c>
      <c r="F17578" s="2" t="str">
        <f>HYPERLINK("http://www.otzar.org/book.asp?52399","ילדי קודש")</f>
        <v>ילדי קודש</v>
      </c>
    </row>
    <row r="17579" spans="1:6" x14ac:dyDescent="0.2">
      <c r="A17579" t="s">
        <v>29017</v>
      </c>
      <c r="B17579" t="s">
        <v>21578</v>
      </c>
      <c r="C17579" t="s">
        <v>454</v>
      </c>
      <c r="D17579" t="s">
        <v>1153</v>
      </c>
      <c r="E17579" t="s">
        <v>674</v>
      </c>
      <c r="F17579" s="2" t="str">
        <f>HYPERLINK("http://www.otzar.org/book.asp?84665","ילדים כהלכה")</f>
        <v>ילדים כהלכה</v>
      </c>
    </row>
    <row r="17580" spans="1:6" x14ac:dyDescent="0.2">
      <c r="A17580" t="s">
        <v>29018</v>
      </c>
      <c r="B17580" t="s">
        <v>29019</v>
      </c>
      <c r="C17580" t="s">
        <v>1388</v>
      </c>
      <c r="D17580" t="s">
        <v>412</v>
      </c>
      <c r="E17580" t="s">
        <v>583</v>
      </c>
      <c r="F17580" s="2" t="str">
        <f>HYPERLINK("http://www.otzar.org/book.asp?103215","ילמד דעת")</f>
        <v>ילמד דעת</v>
      </c>
    </row>
    <row r="17581" spans="1:6" x14ac:dyDescent="0.2">
      <c r="A17581" t="s">
        <v>29020</v>
      </c>
      <c r="B17581" t="s">
        <v>29021</v>
      </c>
      <c r="C17581" t="s">
        <v>20</v>
      </c>
      <c r="D17581" t="s">
        <v>90</v>
      </c>
      <c r="E17581" t="s">
        <v>674</v>
      </c>
      <c r="F17581" s="2" t="str">
        <f>HYPERLINK("http://www.otzar.org/book.asp?630559","ילמדנו רבינו")</f>
        <v>ילמדנו רבינו</v>
      </c>
    </row>
    <row r="17582" spans="1:6" x14ac:dyDescent="0.2">
      <c r="A17582" t="s">
        <v>29022</v>
      </c>
      <c r="B17582" t="s">
        <v>29023</v>
      </c>
      <c r="C17582" t="s">
        <v>1437</v>
      </c>
      <c r="D17582" t="s">
        <v>283</v>
      </c>
      <c r="E17582" t="s">
        <v>213</v>
      </c>
      <c r="F17582" s="2" t="str">
        <f>HYPERLINK("http://www.otzar.org/book.asp?103216","ילקוט אבני אמונת ישראל")</f>
        <v>ילקוט אבני אמונת ישראל</v>
      </c>
    </row>
    <row r="17583" spans="1:6" x14ac:dyDescent="0.2">
      <c r="A17583" t="s">
        <v>29024</v>
      </c>
      <c r="B17583" t="s">
        <v>29025</v>
      </c>
      <c r="C17583" t="s">
        <v>454</v>
      </c>
      <c r="D17583" t="s">
        <v>21</v>
      </c>
      <c r="E17583" t="s">
        <v>230</v>
      </c>
      <c r="F17583" s="2" t="str">
        <f>HYPERLINK("http://www.otzar.org/book.asp?199606","ילקוט אבנים &lt;מהדורה חדשה&gt;")</f>
        <v>ילקוט אבנים &lt;מהדורה חדשה&gt;</v>
      </c>
    </row>
    <row r="17584" spans="1:6" x14ac:dyDescent="0.2">
      <c r="A17584" t="s">
        <v>29026</v>
      </c>
      <c r="B17584" t="s">
        <v>29025</v>
      </c>
      <c r="C17584" t="s">
        <v>1885</v>
      </c>
      <c r="D17584" t="s">
        <v>283</v>
      </c>
      <c r="E17584" t="s">
        <v>104</v>
      </c>
      <c r="F17584" s="2" t="str">
        <f>HYPERLINK("http://www.otzar.org/book.asp?155744","ילקוט אבנים - 2 כר'")</f>
        <v>ילקוט אבנים - 2 כר'</v>
      </c>
    </row>
    <row r="17585" spans="1:6" x14ac:dyDescent="0.2">
      <c r="A17585" t="s">
        <v>29027</v>
      </c>
      <c r="B17585" t="s">
        <v>29028</v>
      </c>
      <c r="C17585" t="s">
        <v>244</v>
      </c>
      <c r="D17585" t="s">
        <v>52</v>
      </c>
      <c r="E17585" t="s">
        <v>579</v>
      </c>
      <c r="F17585" s="2" t="str">
        <f>HYPERLINK("http://www.otzar.org/book.asp?618884","ילקוט אברהם - 2 כר'")</f>
        <v>ילקוט אברהם - 2 כר'</v>
      </c>
    </row>
    <row r="17586" spans="1:6" x14ac:dyDescent="0.2">
      <c r="A17586" t="s">
        <v>29029</v>
      </c>
      <c r="B17586" t="s">
        <v>29030</v>
      </c>
      <c r="C17586" t="s">
        <v>1535</v>
      </c>
      <c r="D17586" t="s">
        <v>379</v>
      </c>
      <c r="E17586" t="s">
        <v>29031</v>
      </c>
      <c r="F17586" s="2" t="str">
        <f>HYPERLINK("http://www.otzar.org/book.asp?18880","ילקוט אברהם")</f>
        <v>ילקוט אברהם</v>
      </c>
    </row>
    <row r="17587" spans="1:6" x14ac:dyDescent="0.2">
      <c r="A17587" t="s">
        <v>29032</v>
      </c>
      <c r="B17587" t="s">
        <v>12079</v>
      </c>
      <c r="C17587" t="s">
        <v>411</v>
      </c>
      <c r="D17587" t="s">
        <v>721</v>
      </c>
      <c r="F17587" s="2" t="str">
        <f>HYPERLINK("http://www.otzar.org/book.asp?617004","ילקוט אברך - 13 כר'")</f>
        <v>ילקוט אברך - 13 כר'</v>
      </c>
    </row>
    <row r="17588" spans="1:6" x14ac:dyDescent="0.2">
      <c r="A17588" t="s">
        <v>29033</v>
      </c>
      <c r="B17588" t="s">
        <v>16171</v>
      </c>
      <c r="C17588" t="s">
        <v>466</v>
      </c>
      <c r="D17588" t="s">
        <v>14</v>
      </c>
      <c r="E17588" t="s">
        <v>213</v>
      </c>
      <c r="F17588" s="2" t="str">
        <f>HYPERLINK("http://www.otzar.org/book.asp?15450","ילקוט אהבת ישראל - 2 כר'")</f>
        <v>ילקוט אהבת ישראל - 2 כר'</v>
      </c>
    </row>
    <row r="17589" spans="1:6" x14ac:dyDescent="0.2">
      <c r="A17589" t="s">
        <v>29034</v>
      </c>
      <c r="B17589" t="s">
        <v>29035</v>
      </c>
      <c r="C17589" t="s">
        <v>1619</v>
      </c>
      <c r="D17589" t="s">
        <v>216</v>
      </c>
      <c r="E17589" t="s">
        <v>29036</v>
      </c>
      <c r="F17589" s="2" t="str">
        <f>HYPERLINK("http://www.otzar.org/book.asp?612642","ילקוט אהבת שלום")</f>
        <v>ילקוט אהבת שלום</v>
      </c>
    </row>
    <row r="17590" spans="1:6" x14ac:dyDescent="0.2">
      <c r="A17590" t="s">
        <v>29037</v>
      </c>
      <c r="B17590" t="s">
        <v>29038</v>
      </c>
      <c r="C17590" t="s">
        <v>411</v>
      </c>
      <c r="D17590" t="s">
        <v>21</v>
      </c>
      <c r="E17590" t="s">
        <v>158</v>
      </c>
      <c r="F17590" s="2" t="str">
        <f>HYPERLINK("http://www.otzar.org/book.asp?194267","ילקוט אהל מועד - מגילת אסתר")</f>
        <v>ילקוט אהל מועד - מגילת אסתר</v>
      </c>
    </row>
    <row r="17591" spans="1:6" x14ac:dyDescent="0.2">
      <c r="A17591" t="s">
        <v>29039</v>
      </c>
      <c r="B17591" t="s">
        <v>29040</v>
      </c>
      <c r="C17591" t="s">
        <v>23</v>
      </c>
      <c r="D17591" t="s">
        <v>14142</v>
      </c>
      <c r="E17591" t="s">
        <v>241</v>
      </c>
      <c r="F17591" s="2" t="str">
        <f>HYPERLINK("http://www.otzar.org/book.asp?611370","ילקוט אהל רבקה")</f>
        <v>ילקוט אהל רבקה</v>
      </c>
    </row>
    <row r="17592" spans="1:6" x14ac:dyDescent="0.2">
      <c r="A17592" t="s">
        <v>29041</v>
      </c>
      <c r="B17592" t="s">
        <v>1298</v>
      </c>
      <c r="C17592" t="s">
        <v>624</v>
      </c>
      <c r="D17592" t="s">
        <v>14</v>
      </c>
      <c r="E17592" t="s">
        <v>14900</v>
      </c>
      <c r="F17592" s="2" t="str">
        <f>HYPERLINK("http://www.otzar.org/book.asp?179008","ילקוט אוהב ישראל")</f>
        <v>ילקוט אוהב ישראל</v>
      </c>
    </row>
    <row r="17593" spans="1:6" x14ac:dyDescent="0.2">
      <c r="A17593" t="s">
        <v>29042</v>
      </c>
      <c r="B17593" t="s">
        <v>19837</v>
      </c>
      <c r="C17593" t="s">
        <v>454</v>
      </c>
      <c r="D17593" t="s">
        <v>14</v>
      </c>
      <c r="E17593" t="s">
        <v>579</v>
      </c>
      <c r="F17593" s="2" t="str">
        <f>HYPERLINK("http://www.otzar.org/book.asp?22652","ילקוט אור החיים &lt;ניצוצי אור&gt; - 2 כר'")</f>
        <v>ילקוט אור החיים &lt;ניצוצי אור&gt; - 2 כר'</v>
      </c>
    </row>
    <row r="17594" spans="1:6" x14ac:dyDescent="0.2">
      <c r="A17594" t="s">
        <v>29043</v>
      </c>
      <c r="B17594" t="s">
        <v>1602</v>
      </c>
      <c r="C17594" t="s">
        <v>51</v>
      </c>
      <c r="D17594" t="s">
        <v>14</v>
      </c>
      <c r="E17594" t="s">
        <v>241</v>
      </c>
      <c r="F17594" s="2" t="str">
        <f>HYPERLINK("http://www.otzar.org/book.asp?84603","ילקוט אור החיים הקדוש")</f>
        <v>ילקוט אור החיים הקדוש</v>
      </c>
    </row>
    <row r="17595" spans="1:6" x14ac:dyDescent="0.2">
      <c r="A17595" t="s">
        <v>29044</v>
      </c>
      <c r="B17595" t="s">
        <v>29045</v>
      </c>
      <c r="C17595" t="s">
        <v>411</v>
      </c>
      <c r="D17595" t="s">
        <v>52</v>
      </c>
      <c r="E17595" t="s">
        <v>246</v>
      </c>
      <c r="F17595" s="2" t="str">
        <f>HYPERLINK("http://www.otzar.org/book.asp?168648","ילקוט אור השנה - 3 כר'")</f>
        <v>ילקוט אור השנה - 3 כר'</v>
      </c>
    </row>
    <row r="17596" spans="1:6" x14ac:dyDescent="0.2">
      <c r="A17596" t="s">
        <v>29046</v>
      </c>
      <c r="B17596" t="s">
        <v>29047</v>
      </c>
      <c r="C17596" t="s">
        <v>624</v>
      </c>
      <c r="D17596" t="s">
        <v>21</v>
      </c>
      <c r="E17596" t="s">
        <v>8385</v>
      </c>
      <c r="F17596" s="2" t="str">
        <f>HYPERLINK("http://www.otzar.org/book.asp?623834","ילקוט אורה ושמחה")</f>
        <v>ילקוט אורה ושמחה</v>
      </c>
    </row>
    <row r="17597" spans="1:6" x14ac:dyDescent="0.2">
      <c r="A17597" t="s">
        <v>29048</v>
      </c>
      <c r="B17597" t="s">
        <v>29049</v>
      </c>
      <c r="C17597" t="s">
        <v>313</v>
      </c>
      <c r="D17597" t="s">
        <v>52</v>
      </c>
      <c r="E17597" t="s">
        <v>140</v>
      </c>
      <c r="F17597" s="2" t="str">
        <f>HYPERLINK("http://www.otzar.org/book.asp?600550","ילקוט אורות רבותינו")</f>
        <v>ילקוט אורות רבותינו</v>
      </c>
    </row>
    <row r="17598" spans="1:6" x14ac:dyDescent="0.2">
      <c r="A17598" t="s">
        <v>29050</v>
      </c>
      <c r="B17598" t="s">
        <v>29051</v>
      </c>
      <c r="C17598" t="s">
        <v>20</v>
      </c>
      <c r="D17598" t="s">
        <v>216</v>
      </c>
      <c r="E17598" t="s">
        <v>741</v>
      </c>
      <c r="F17598" s="2" t="str">
        <f>HYPERLINK("http://www.otzar.org/book.asp?629313","ילקוט איים רבים - 2 כר'")</f>
        <v>ילקוט איים רבים - 2 כר'</v>
      </c>
    </row>
    <row r="17599" spans="1:6" x14ac:dyDescent="0.2">
      <c r="A17599" t="s">
        <v>29052</v>
      </c>
      <c r="B17599" t="s">
        <v>4796</v>
      </c>
      <c r="C17599" t="s">
        <v>71</v>
      </c>
      <c r="D17599" t="s">
        <v>14</v>
      </c>
      <c r="E17599" t="s">
        <v>3055</v>
      </c>
      <c r="F17599" s="2" t="str">
        <f>HYPERLINK("http://www.otzar.org/book.asp?63344","ילקוט אילנא דחיי")</f>
        <v>ילקוט אילנא דחיי</v>
      </c>
    </row>
    <row r="17600" spans="1:6" x14ac:dyDescent="0.2">
      <c r="A17600" t="s">
        <v>29053</v>
      </c>
      <c r="B17600" t="s">
        <v>15834</v>
      </c>
      <c r="C17600" t="s">
        <v>351</v>
      </c>
      <c r="D17600" t="s">
        <v>661</v>
      </c>
      <c r="E17600" t="s">
        <v>5186</v>
      </c>
      <c r="F17600" s="2" t="str">
        <f>HYPERLINK("http://www.otzar.org/book.asp?102487","ילקוט אליעזר &lt;תהלים&gt;")</f>
        <v>ילקוט אליעזר &lt;תהלים&gt;</v>
      </c>
    </row>
    <row r="17601" spans="1:6" x14ac:dyDescent="0.2">
      <c r="A17601" t="s">
        <v>29054</v>
      </c>
      <c r="B17601" t="s">
        <v>15834</v>
      </c>
      <c r="C17601" t="s">
        <v>29055</v>
      </c>
      <c r="D17601" t="s">
        <v>24211</v>
      </c>
      <c r="F17601" s="2" t="str">
        <f>HYPERLINK("http://www.otzar.org/book.asp?620043","ילקוט אליעזר - 4 כר'")</f>
        <v>ילקוט אליעזר - 4 כר'</v>
      </c>
    </row>
    <row r="17602" spans="1:6" x14ac:dyDescent="0.2">
      <c r="A17602" t="s">
        <v>29056</v>
      </c>
      <c r="B17602" t="s">
        <v>29057</v>
      </c>
      <c r="C17602" t="s">
        <v>360</v>
      </c>
      <c r="D17602" t="s">
        <v>995</v>
      </c>
      <c r="E17602" t="s">
        <v>474</v>
      </c>
      <c r="F17602" s="2" t="str">
        <f>HYPERLINK("http://www.otzar.org/book.asp?103217","ילקוט אליעזר - 2 כר'")</f>
        <v>ילקוט אליעזר - 2 כר'</v>
      </c>
    </row>
    <row r="17603" spans="1:6" x14ac:dyDescent="0.2">
      <c r="A17603" t="s">
        <v>29058</v>
      </c>
      <c r="B17603" t="s">
        <v>16171</v>
      </c>
      <c r="C17603" t="s">
        <v>17</v>
      </c>
      <c r="D17603" t="s">
        <v>14</v>
      </c>
      <c r="E17603" t="s">
        <v>213</v>
      </c>
      <c r="F17603" s="2" t="str">
        <f>HYPERLINK("http://www.otzar.org/book.asp?16521","ילקוט אמונה ובטחון")</f>
        <v>ילקוט אמונה ובטחון</v>
      </c>
    </row>
    <row r="17604" spans="1:6" x14ac:dyDescent="0.2">
      <c r="A17604" t="s">
        <v>29059</v>
      </c>
      <c r="B17604" t="s">
        <v>29060</v>
      </c>
      <c r="C17604" t="s">
        <v>13</v>
      </c>
      <c r="D17604" t="s">
        <v>90</v>
      </c>
      <c r="E17604" t="s">
        <v>104</v>
      </c>
      <c r="F17604" s="2" t="str">
        <f>HYPERLINK("http://www.otzar.org/book.asp?159611","ילקוט אמרי נועם")</f>
        <v>ילקוט אמרי נועם</v>
      </c>
    </row>
    <row r="17605" spans="1:6" x14ac:dyDescent="0.2">
      <c r="A17605" t="s">
        <v>29061</v>
      </c>
      <c r="B17605" t="s">
        <v>29062</v>
      </c>
      <c r="C17605" t="s">
        <v>111</v>
      </c>
      <c r="D17605" t="s">
        <v>90</v>
      </c>
      <c r="E17605" t="s">
        <v>140</v>
      </c>
      <c r="F17605" s="2" t="str">
        <f>HYPERLINK("http://www.otzar.org/book.asp?629504","ילקוט אמרי קודש")</f>
        <v>ילקוט אמרי קודש</v>
      </c>
    </row>
    <row r="17606" spans="1:6" x14ac:dyDescent="0.2">
      <c r="A17606" t="s">
        <v>29063</v>
      </c>
      <c r="B17606" t="s">
        <v>14662</v>
      </c>
      <c r="C17606" t="s">
        <v>454</v>
      </c>
      <c r="D17606" t="s">
        <v>14</v>
      </c>
      <c r="E17606" t="s">
        <v>213</v>
      </c>
      <c r="F17606" s="2" t="str">
        <f>HYPERLINK("http://www.otzar.org/book.asp?106542","ילקוט אמרים")</f>
        <v>ילקוט אמרים</v>
      </c>
    </row>
    <row r="17607" spans="1:6" x14ac:dyDescent="0.2">
      <c r="A17607" t="s">
        <v>29064</v>
      </c>
      <c r="B17607" t="s">
        <v>29065</v>
      </c>
      <c r="C17607" t="s">
        <v>1228</v>
      </c>
      <c r="D17607" t="s">
        <v>379</v>
      </c>
      <c r="E17607" t="s">
        <v>29066</v>
      </c>
      <c r="F17607" s="2" t="str">
        <f>HYPERLINK("http://www.otzar.org/book.asp?103204","ילקוט אפרים")</f>
        <v>ילקוט אפרים</v>
      </c>
    </row>
    <row r="17608" spans="1:6" x14ac:dyDescent="0.2">
      <c r="A17608" t="s">
        <v>29064</v>
      </c>
      <c r="B17608" t="s">
        <v>29067</v>
      </c>
      <c r="C17608" t="s">
        <v>635</v>
      </c>
      <c r="D17608" t="s">
        <v>27</v>
      </c>
      <c r="E17608" t="s">
        <v>993</v>
      </c>
      <c r="F17608" s="2" t="str">
        <f>HYPERLINK("http://www.otzar.org/book.asp?103187","ילקוט אפרים")</f>
        <v>ילקוט אפרים</v>
      </c>
    </row>
    <row r="17609" spans="1:6" x14ac:dyDescent="0.2">
      <c r="A17609" t="s">
        <v>29064</v>
      </c>
      <c r="B17609" t="s">
        <v>29068</v>
      </c>
      <c r="C17609" t="s">
        <v>473</v>
      </c>
      <c r="D17609" t="s">
        <v>27</v>
      </c>
      <c r="E17609" t="s">
        <v>158</v>
      </c>
      <c r="F17609" s="2" t="str">
        <f>HYPERLINK("http://www.otzar.org/book.asp?148696","ילקוט אפרים")</f>
        <v>ילקוט אפרים</v>
      </c>
    </row>
    <row r="17610" spans="1:6" x14ac:dyDescent="0.2">
      <c r="A17610" t="s">
        <v>29069</v>
      </c>
      <c r="B17610" t="s">
        <v>4796</v>
      </c>
      <c r="C17610" t="s">
        <v>624</v>
      </c>
      <c r="D17610" t="s">
        <v>14</v>
      </c>
      <c r="E17610" t="s">
        <v>1296</v>
      </c>
      <c r="F17610" s="2" t="str">
        <f>HYPERLINK("http://www.otzar.org/book.asp?63343","ילקוט ארבעה ערכים")</f>
        <v>ילקוט ארבעה ערכים</v>
      </c>
    </row>
    <row r="17611" spans="1:6" x14ac:dyDescent="0.2">
      <c r="A17611" t="s">
        <v>29070</v>
      </c>
      <c r="B17611" t="s">
        <v>29071</v>
      </c>
      <c r="C17611" t="s">
        <v>351</v>
      </c>
      <c r="D17611" t="s">
        <v>56</v>
      </c>
      <c r="E17611" t="s">
        <v>64</v>
      </c>
      <c r="F17611" s="2" t="str">
        <f>HYPERLINK("http://www.otzar.org/book.asp?691","ילקוט ארץ ישראל")</f>
        <v>ילקוט ארץ ישראל</v>
      </c>
    </row>
    <row r="17612" spans="1:6" x14ac:dyDescent="0.2">
      <c r="A17612" t="s">
        <v>29072</v>
      </c>
      <c r="B17612" t="s">
        <v>29073</v>
      </c>
      <c r="C17612" t="s">
        <v>767</v>
      </c>
      <c r="D17612" t="s">
        <v>1356</v>
      </c>
      <c r="E17612" t="s">
        <v>158</v>
      </c>
      <c r="F17612" s="2" t="str">
        <f>HYPERLINK("http://www.otzar.org/book.asp?159475","ילקוט באר מרים - במדבר")</f>
        <v>ילקוט באר מרים - במדבר</v>
      </c>
    </row>
    <row r="17613" spans="1:6" x14ac:dyDescent="0.2">
      <c r="A17613" t="s">
        <v>29074</v>
      </c>
      <c r="B17613" t="s">
        <v>29075</v>
      </c>
      <c r="C17613" t="s">
        <v>37</v>
      </c>
      <c r="D17613" t="s">
        <v>412</v>
      </c>
      <c r="E17613" t="s">
        <v>29076</v>
      </c>
      <c r="F17613" s="2" t="str">
        <f>HYPERLINK("http://www.otzar.org/book.asp?199386","ילקוט בגלל אבות - קול יהודה")</f>
        <v>ילקוט בגלל אבות - קול יהודה</v>
      </c>
    </row>
    <row r="17614" spans="1:6" x14ac:dyDescent="0.2">
      <c r="A17614" t="s">
        <v>29077</v>
      </c>
      <c r="B17614" t="s">
        <v>16171</v>
      </c>
      <c r="C17614" t="s">
        <v>103</v>
      </c>
      <c r="D17614" t="s">
        <v>14</v>
      </c>
      <c r="E17614" t="s">
        <v>213</v>
      </c>
      <c r="F17614" s="2" t="str">
        <f>HYPERLINK("http://www.otzar.org/book.asp?607736","ילקוט בחסד ובאמת")</f>
        <v>ילקוט בחסד ובאמת</v>
      </c>
    </row>
    <row r="17615" spans="1:6" x14ac:dyDescent="0.2">
      <c r="A17615" t="s">
        <v>29078</v>
      </c>
      <c r="B17615" t="s">
        <v>29079</v>
      </c>
      <c r="C17615" t="s">
        <v>23</v>
      </c>
      <c r="D17615" t="s">
        <v>14</v>
      </c>
      <c r="E17615" t="s">
        <v>158</v>
      </c>
      <c r="F17615" s="2" t="str">
        <f>HYPERLINK("http://www.otzar.org/book.asp?626755","ילקוט ביאור מילות רות")</f>
        <v>ילקוט ביאור מילות רות</v>
      </c>
    </row>
    <row r="17616" spans="1:6" x14ac:dyDescent="0.2">
      <c r="A17616" t="s">
        <v>29080</v>
      </c>
      <c r="B17616" t="s">
        <v>206</v>
      </c>
      <c r="C17616" t="s">
        <v>523</v>
      </c>
      <c r="D17616" t="s">
        <v>412</v>
      </c>
      <c r="F17616" s="2" t="str">
        <f>HYPERLINK("http://www.otzar.org/book.asp?632007","ילקוט ביאורים בית משה אליהו - גיטין")</f>
        <v>ילקוט ביאורים בית משה אליהו - גיטין</v>
      </c>
    </row>
    <row r="17617" spans="1:6" x14ac:dyDescent="0.2">
      <c r="A17617" t="s">
        <v>29081</v>
      </c>
      <c r="B17617" t="s">
        <v>29082</v>
      </c>
      <c r="C17617" t="s">
        <v>919</v>
      </c>
      <c r="D17617" t="s">
        <v>216</v>
      </c>
      <c r="E17617" t="s">
        <v>674</v>
      </c>
      <c r="F17617" s="2" t="str">
        <f>HYPERLINK("http://www.otzar.org/book.asp?12639","ילקוט ביקור חולים")</f>
        <v>ילקוט ביקור חולים</v>
      </c>
    </row>
    <row r="17618" spans="1:6" x14ac:dyDescent="0.2">
      <c r="A17618" t="s">
        <v>29083</v>
      </c>
      <c r="B17618" t="s">
        <v>4796</v>
      </c>
      <c r="C17618" t="s">
        <v>767</v>
      </c>
      <c r="D17618" t="s">
        <v>14</v>
      </c>
      <c r="E17618" t="s">
        <v>3055</v>
      </c>
      <c r="F17618" s="2" t="str">
        <f>HYPERLINK("http://www.otzar.org/book.asp?63342","ילקוט בני בינה")</f>
        <v>ילקוט בני בינה</v>
      </c>
    </row>
    <row r="17619" spans="1:6" x14ac:dyDescent="0.2">
      <c r="A17619" t="s">
        <v>29084</v>
      </c>
      <c r="B17619" t="s">
        <v>29085</v>
      </c>
      <c r="C17619" t="s">
        <v>29086</v>
      </c>
      <c r="D17619" t="s">
        <v>10557</v>
      </c>
      <c r="E17619" t="s">
        <v>15</v>
      </c>
      <c r="F17619" s="2" t="str">
        <f>HYPERLINK("http://www.otzar.org/book.asp?191284","ילקוט בצלאל")</f>
        <v>ילקוט בצלאל</v>
      </c>
    </row>
    <row r="17620" spans="1:6" x14ac:dyDescent="0.2">
      <c r="A17620" t="s">
        <v>29087</v>
      </c>
      <c r="B17620" t="s">
        <v>29088</v>
      </c>
      <c r="C17620" t="s">
        <v>383</v>
      </c>
      <c r="D17620" t="s">
        <v>21</v>
      </c>
      <c r="E17620" t="s">
        <v>158</v>
      </c>
      <c r="F17620" s="2" t="str">
        <f>HYPERLINK("http://www.otzar.org/book.asp?197361","ילקוט בראשי")</f>
        <v>ילקוט בראשי</v>
      </c>
    </row>
    <row r="17621" spans="1:6" x14ac:dyDescent="0.2">
      <c r="A17621" t="s">
        <v>29089</v>
      </c>
      <c r="B17621" t="s">
        <v>29090</v>
      </c>
      <c r="C17621" t="s">
        <v>3840</v>
      </c>
      <c r="D17621" t="s">
        <v>563</v>
      </c>
      <c r="E17621" t="s">
        <v>2098</v>
      </c>
      <c r="F17621" s="2" t="str">
        <f>HYPERLINK("http://www.otzar.org/book.asp?172180","ילקוט ברוך דוב")</f>
        <v>ילקוט ברוך דוב</v>
      </c>
    </row>
    <row r="17622" spans="1:6" x14ac:dyDescent="0.2">
      <c r="A17622" t="s">
        <v>29091</v>
      </c>
      <c r="B17622" t="s">
        <v>16171</v>
      </c>
      <c r="C17622" t="s">
        <v>129</v>
      </c>
      <c r="D17622" t="s">
        <v>14</v>
      </c>
      <c r="E17622" t="s">
        <v>213</v>
      </c>
      <c r="F17622" s="2" t="str">
        <f>HYPERLINK("http://www.otzar.org/book.asp?607735","ילקוט גאולת ישראל")</f>
        <v>ילקוט גאולת ישראל</v>
      </c>
    </row>
    <row r="17623" spans="1:6" x14ac:dyDescent="0.2">
      <c r="A17623" t="s">
        <v>29092</v>
      </c>
      <c r="B17623" t="s">
        <v>29093</v>
      </c>
      <c r="C17623" t="s">
        <v>23</v>
      </c>
      <c r="D17623" t="s">
        <v>14</v>
      </c>
      <c r="E17623" t="s">
        <v>148</v>
      </c>
      <c r="F17623" s="2" t="str">
        <f>HYPERLINK("http://www.otzar.org/book.asp?197181","ילקוט גבריאל - 3 כר'")</f>
        <v>ילקוט גבריאל - 3 כר'</v>
      </c>
    </row>
    <row r="17624" spans="1:6" x14ac:dyDescent="0.2">
      <c r="A17624" t="s">
        <v>29094</v>
      </c>
      <c r="B17624" t="s">
        <v>14355</v>
      </c>
      <c r="C17624" t="s">
        <v>17</v>
      </c>
      <c r="D17624" t="s">
        <v>14</v>
      </c>
      <c r="E17624" t="s">
        <v>15425</v>
      </c>
      <c r="F17624" s="2" t="str">
        <f>HYPERLINK("http://www.otzar.org/book.asp?143138","ילקוט דברי אסף")</f>
        <v>ילקוט דברי אסף</v>
      </c>
    </row>
    <row r="17625" spans="1:6" x14ac:dyDescent="0.2">
      <c r="A17625" t="s">
        <v>29095</v>
      </c>
      <c r="B17625" t="s">
        <v>29096</v>
      </c>
      <c r="C17625" t="s">
        <v>189</v>
      </c>
      <c r="D17625" t="s">
        <v>367</v>
      </c>
      <c r="E17625" t="s">
        <v>1507</v>
      </c>
      <c r="F17625" s="2" t="str">
        <f>HYPERLINK("http://www.otzar.org/book.asp?193035","ילקוט דברי חיים")</f>
        <v>ילקוט דברי חיים</v>
      </c>
    </row>
    <row r="17626" spans="1:6" x14ac:dyDescent="0.2">
      <c r="A17626" t="s">
        <v>29097</v>
      </c>
      <c r="B17626" t="s">
        <v>29098</v>
      </c>
      <c r="C17626" t="s">
        <v>79</v>
      </c>
      <c r="D17626" t="s">
        <v>27</v>
      </c>
      <c r="E17626" t="s">
        <v>104</v>
      </c>
      <c r="F17626" s="2" t="str">
        <f>HYPERLINK("http://www.otzar.org/book.asp?62056","ילקוט דברי חכמים - 6 כר'")</f>
        <v>ילקוט דברי חכמים - 6 כר'</v>
      </c>
    </row>
    <row r="17627" spans="1:6" x14ac:dyDescent="0.2">
      <c r="A17627" t="s">
        <v>29099</v>
      </c>
      <c r="B17627" t="s">
        <v>29100</v>
      </c>
      <c r="C17627" t="s">
        <v>411</v>
      </c>
      <c r="D17627" t="s">
        <v>412</v>
      </c>
      <c r="E17627" t="s">
        <v>158</v>
      </c>
      <c r="F17627" s="2" t="str">
        <f>HYPERLINK("http://www.otzar.org/book.asp?183048","ילקוט דוד &lt;מהדורה חדשה&gt;")</f>
        <v>ילקוט דוד &lt;מהדורה חדשה&gt;</v>
      </c>
    </row>
    <row r="17628" spans="1:6" x14ac:dyDescent="0.2">
      <c r="A17628" t="s">
        <v>29101</v>
      </c>
      <c r="B17628" t="s">
        <v>22353</v>
      </c>
      <c r="C17628" t="s">
        <v>1885</v>
      </c>
      <c r="D17628" t="s">
        <v>1117</v>
      </c>
      <c r="E17628" t="s">
        <v>16124</v>
      </c>
      <c r="F17628" s="2" t="str">
        <f>HYPERLINK("http://www.otzar.org/book.asp?102490","ילקוט דוד")</f>
        <v>ילקוט דוד</v>
      </c>
    </row>
    <row r="17629" spans="1:6" x14ac:dyDescent="0.2">
      <c r="A17629" t="s">
        <v>29102</v>
      </c>
      <c r="B17629" t="s">
        <v>29100</v>
      </c>
      <c r="C17629" t="s">
        <v>9998</v>
      </c>
      <c r="D17629" t="s">
        <v>4703</v>
      </c>
      <c r="F17629" s="2" t="str">
        <f>HYPERLINK("http://www.otzar.org/book.asp?164883","ילקוט דוד - 2 כר'")</f>
        <v>ילקוט דוד - 2 כר'</v>
      </c>
    </row>
    <row r="17630" spans="1:6" x14ac:dyDescent="0.2">
      <c r="A17630" t="s">
        <v>29103</v>
      </c>
      <c r="B17630" t="s">
        <v>14439</v>
      </c>
      <c r="C17630" t="s">
        <v>1166</v>
      </c>
      <c r="D17630" t="s">
        <v>1422</v>
      </c>
      <c r="E17630" t="s">
        <v>1211</v>
      </c>
      <c r="F17630" s="2" t="str">
        <f>HYPERLINK("http://www.otzar.org/book.asp?18881","ילקוט דניאל")</f>
        <v>ילקוט דניאל</v>
      </c>
    </row>
    <row r="17631" spans="1:6" x14ac:dyDescent="0.2">
      <c r="A17631" t="s">
        <v>29104</v>
      </c>
      <c r="B17631" t="s">
        <v>29105</v>
      </c>
      <c r="C17631" t="s">
        <v>1640</v>
      </c>
      <c r="D17631" t="s">
        <v>646</v>
      </c>
      <c r="E17631" t="s">
        <v>186</v>
      </c>
      <c r="F17631" s="2" t="str">
        <f>HYPERLINK("http://www.otzar.org/book.asp?181453","ילקוט דפי החידושים - קידושין")</f>
        <v>ילקוט דפי החידושים - קידושין</v>
      </c>
    </row>
    <row r="17632" spans="1:6" x14ac:dyDescent="0.2">
      <c r="A17632" t="s">
        <v>29106</v>
      </c>
      <c r="B17632" t="s">
        <v>20864</v>
      </c>
      <c r="C17632" t="s">
        <v>129</v>
      </c>
      <c r="D17632" t="s">
        <v>1651</v>
      </c>
      <c r="E17632" t="s">
        <v>15</v>
      </c>
      <c r="F17632" s="2" t="str">
        <f>HYPERLINK("http://www.otzar.org/book.asp?155815","ילקוט דת ודין &lt;מהדורה חדשה&gt;")</f>
        <v>ילקוט דת ודין &lt;מהדורה חדשה&gt;</v>
      </c>
    </row>
    <row r="17633" spans="1:6" x14ac:dyDescent="0.2">
      <c r="A17633" t="s">
        <v>29107</v>
      </c>
      <c r="B17633" t="s">
        <v>20864</v>
      </c>
      <c r="C17633" t="s">
        <v>46</v>
      </c>
      <c r="D17633" t="s">
        <v>1651</v>
      </c>
      <c r="E17633" t="s">
        <v>24</v>
      </c>
      <c r="F17633" s="2" t="str">
        <f>HYPERLINK("http://www.otzar.org/book.asp?6479","ילקוט דת ודין")</f>
        <v>ילקוט דת ודין</v>
      </c>
    </row>
    <row r="17634" spans="1:6" x14ac:dyDescent="0.2">
      <c r="A17634" t="s">
        <v>29108</v>
      </c>
      <c r="B17634" t="s">
        <v>27839</v>
      </c>
      <c r="C17634" t="s">
        <v>244</v>
      </c>
      <c r="D17634" t="s">
        <v>52</v>
      </c>
      <c r="E17634" t="s">
        <v>586</v>
      </c>
      <c r="F17634" s="2" t="str">
        <f>HYPERLINK("http://www.otzar.org/book.asp?613877","ילקוט האורים &lt;מהדורה חדשה&gt;")</f>
        <v>ילקוט האורים &lt;מהדורה חדשה&gt;</v>
      </c>
    </row>
    <row r="17635" spans="1:6" x14ac:dyDescent="0.2">
      <c r="A17635" t="s">
        <v>29109</v>
      </c>
      <c r="B17635" t="s">
        <v>27839</v>
      </c>
      <c r="C17635" t="s">
        <v>180</v>
      </c>
      <c r="D17635" t="s">
        <v>118</v>
      </c>
      <c r="E17635" t="s">
        <v>586</v>
      </c>
      <c r="F17635" s="2" t="str">
        <f>HYPERLINK("http://www.otzar.org/book.asp?23459","ילקוט האורים")</f>
        <v>ילקוט האורים</v>
      </c>
    </row>
    <row r="17636" spans="1:6" x14ac:dyDescent="0.2">
      <c r="A17636" t="s">
        <v>29110</v>
      </c>
      <c r="B17636" t="s">
        <v>29111</v>
      </c>
      <c r="C17636" t="s">
        <v>29112</v>
      </c>
      <c r="D17636" t="s">
        <v>756</v>
      </c>
      <c r="E17636" t="s">
        <v>29113</v>
      </c>
      <c r="F17636" s="2" t="str">
        <f>HYPERLINK("http://www.otzar.org/book.asp?7068","ילקוט הגרשוני &lt;אגדות הש""ס&gt; - 3 כר'")</f>
        <v>ילקוט הגרשוני &lt;אגדות הש"ס&gt; - 3 כר'</v>
      </c>
    </row>
    <row r="17637" spans="1:6" x14ac:dyDescent="0.2">
      <c r="A17637" t="s">
        <v>29114</v>
      </c>
      <c r="B17637" t="s">
        <v>29111</v>
      </c>
      <c r="C17637" t="s">
        <v>22108</v>
      </c>
      <c r="D17637" t="s">
        <v>661</v>
      </c>
      <c r="E17637" t="s">
        <v>104</v>
      </c>
      <c r="F17637" s="2" t="str">
        <f>HYPERLINK("http://www.otzar.org/book.asp?25645","ילקוט הגרשוני &lt;כללים&gt; - 5 כר'")</f>
        <v>ילקוט הגרשוני &lt;כללים&gt; - 5 כר'</v>
      </c>
    </row>
    <row r="17638" spans="1:6" x14ac:dyDescent="0.2">
      <c r="A17638" t="s">
        <v>29115</v>
      </c>
      <c r="B17638" t="s">
        <v>29111</v>
      </c>
      <c r="C17638" t="s">
        <v>29116</v>
      </c>
      <c r="D17638" t="s">
        <v>379</v>
      </c>
      <c r="E17638" t="s">
        <v>172</v>
      </c>
      <c r="F17638" s="2" t="str">
        <f>HYPERLINK("http://www.otzar.org/book.asp?8409","ילקוט הגרשוני &lt;שו""ע&gt; - 3 כר'")</f>
        <v>ילקוט הגרשוני &lt;שו"ע&gt; - 3 כר'</v>
      </c>
    </row>
    <row r="17639" spans="1:6" x14ac:dyDescent="0.2">
      <c r="A17639" t="s">
        <v>29117</v>
      </c>
      <c r="B17639" t="s">
        <v>29111</v>
      </c>
      <c r="C17639" t="s">
        <v>11235</v>
      </c>
      <c r="D17639" t="s">
        <v>661</v>
      </c>
      <c r="E17639" t="s">
        <v>158</v>
      </c>
      <c r="F17639" s="2" t="str">
        <f>HYPERLINK("http://www.otzar.org/book.asp?7433","ילקוט הגרשוני &lt;תנ""ך&gt; - 2 כר'")</f>
        <v>ילקוט הגרשוני &lt;תנ"ך&gt; - 2 כר'</v>
      </c>
    </row>
    <row r="17640" spans="1:6" x14ac:dyDescent="0.2">
      <c r="A17640" t="s">
        <v>29118</v>
      </c>
      <c r="B17640" t="s">
        <v>29111</v>
      </c>
      <c r="C17640" t="s">
        <v>1284</v>
      </c>
      <c r="D17640" t="s">
        <v>661</v>
      </c>
      <c r="E17640" t="s">
        <v>84</v>
      </c>
      <c r="F17640" s="2" t="str">
        <f>HYPERLINK("http://www.otzar.org/book.asp?172505","ילקוט הגרשוני על מסכת אבות")</f>
        <v>ילקוט הגרשוני על מסכת אבות</v>
      </c>
    </row>
    <row r="17641" spans="1:6" x14ac:dyDescent="0.2">
      <c r="A17641" t="s">
        <v>29119</v>
      </c>
      <c r="B17641" t="s">
        <v>29111</v>
      </c>
      <c r="C17641" t="s">
        <v>189</v>
      </c>
      <c r="D17641" t="s">
        <v>52</v>
      </c>
      <c r="E17641" t="s">
        <v>933</v>
      </c>
      <c r="F17641" s="2" t="str">
        <f>HYPERLINK("http://www.otzar.org/book.asp?173601","ילקוט הגרשוני - יור""ד, עגונות, חולין, שביעית")</f>
        <v>ילקוט הגרשוני - יור"ד, עגונות, חולין, שביעית</v>
      </c>
    </row>
    <row r="17642" spans="1:6" x14ac:dyDescent="0.2">
      <c r="A17642" t="s">
        <v>29120</v>
      </c>
      <c r="B17642" t="s">
        <v>29121</v>
      </c>
      <c r="C17642" t="s">
        <v>29122</v>
      </c>
      <c r="D17642" t="s">
        <v>9</v>
      </c>
      <c r="E17642" t="s">
        <v>29123</v>
      </c>
      <c r="F17642" s="2" t="str">
        <f>HYPERLINK("http://www.otzar.org/book.asp?102492","ילקוט הדרוש - 3 כר'")</f>
        <v>ילקוט הדרוש - 3 כר'</v>
      </c>
    </row>
    <row r="17643" spans="1:6" x14ac:dyDescent="0.2">
      <c r="A17643" t="s">
        <v>29124</v>
      </c>
      <c r="B17643" t="s">
        <v>29125</v>
      </c>
      <c r="C17643" t="s">
        <v>558</v>
      </c>
      <c r="D17643" t="s">
        <v>225</v>
      </c>
      <c r="E17643" t="s">
        <v>29126</v>
      </c>
      <c r="F17643" s="2" t="str">
        <f>HYPERLINK("http://www.otzar.org/book.asp?102494","ילקוט הזהר")</f>
        <v>ילקוט הזהר</v>
      </c>
    </row>
    <row r="17644" spans="1:6" x14ac:dyDescent="0.2">
      <c r="A17644" t="s">
        <v>29127</v>
      </c>
      <c r="B17644" t="s">
        <v>29128</v>
      </c>
      <c r="C17644" t="s">
        <v>1246</v>
      </c>
      <c r="D17644" t="s">
        <v>260</v>
      </c>
      <c r="E17644" t="s">
        <v>733</v>
      </c>
      <c r="F17644" s="2" t="str">
        <f>HYPERLINK("http://www.otzar.org/book.asp?14921","ילקוט החברה קדישא")</f>
        <v>ילקוט החברה קדישא</v>
      </c>
    </row>
    <row r="17645" spans="1:6" x14ac:dyDescent="0.2">
      <c r="A17645" t="s">
        <v>29129</v>
      </c>
      <c r="B17645" t="s">
        <v>29130</v>
      </c>
      <c r="C17645" t="s">
        <v>160</v>
      </c>
      <c r="D17645" t="s">
        <v>27</v>
      </c>
      <c r="E17645" t="s">
        <v>29131</v>
      </c>
      <c r="F17645" s="2" t="str">
        <f>HYPERLINK("http://www.otzar.org/book.asp?10322","ילקוט החיים")</f>
        <v>ילקוט החיים</v>
      </c>
    </row>
    <row r="17646" spans="1:6" x14ac:dyDescent="0.2">
      <c r="A17646" t="s">
        <v>29132</v>
      </c>
      <c r="B17646" t="s">
        <v>16171</v>
      </c>
      <c r="C17646" t="s">
        <v>454</v>
      </c>
      <c r="D17646" t="s">
        <v>14</v>
      </c>
      <c r="E17646" t="s">
        <v>213</v>
      </c>
      <c r="F17646" s="2" t="str">
        <f>HYPERLINK("http://www.otzar.org/book.asp?105245","ילקוט הכרת הטוב")</f>
        <v>ילקוט הכרת הטוב</v>
      </c>
    </row>
    <row r="17647" spans="1:6" x14ac:dyDescent="0.2">
      <c r="A17647" t="s">
        <v>29133</v>
      </c>
      <c r="B17647" t="s">
        <v>29134</v>
      </c>
      <c r="C17647" t="s">
        <v>279</v>
      </c>
      <c r="D17647" t="s">
        <v>212</v>
      </c>
      <c r="F17647" s="2" t="str">
        <f>HYPERLINK("http://www.otzar.org/book.asp?83934","ילקוט הלוי")</f>
        <v>ילקוט הלוי</v>
      </c>
    </row>
    <row r="17648" spans="1:6" x14ac:dyDescent="0.2">
      <c r="A17648" t="s">
        <v>29135</v>
      </c>
      <c r="B17648" t="s">
        <v>29136</v>
      </c>
      <c r="C17648" t="s">
        <v>466</v>
      </c>
      <c r="D17648" t="s">
        <v>14</v>
      </c>
      <c r="F17648" s="2" t="str">
        <f>HYPERLINK("http://www.otzar.org/book.asp?613277","ילקוט הליכות עולם")</f>
        <v>ילקוט הליכות עולם</v>
      </c>
    </row>
    <row r="17649" spans="1:6" x14ac:dyDescent="0.2">
      <c r="A17649" t="s">
        <v>29135</v>
      </c>
      <c r="B17649" t="s">
        <v>29137</v>
      </c>
      <c r="C17649" t="s">
        <v>466</v>
      </c>
      <c r="D17649" t="s">
        <v>14</v>
      </c>
      <c r="F17649" s="2" t="str">
        <f>HYPERLINK("http://www.otzar.org/book.asp?615712","ילקוט הליכות עולם")</f>
        <v>ילקוט הליכות עולם</v>
      </c>
    </row>
    <row r="17650" spans="1:6" x14ac:dyDescent="0.2">
      <c r="A17650" t="s">
        <v>29138</v>
      </c>
      <c r="B17650" t="s">
        <v>29139</v>
      </c>
      <c r="C17650" t="s">
        <v>244</v>
      </c>
      <c r="D17650" t="s">
        <v>367</v>
      </c>
      <c r="E17650" t="s">
        <v>15</v>
      </c>
      <c r="F17650" s="2" t="str">
        <f>HYPERLINK("http://www.otzar.org/book.asp?600797","ילקוט הליכות - 3 כר'")</f>
        <v>ילקוט הליכות - 3 כר'</v>
      </c>
    </row>
    <row r="17651" spans="1:6" x14ac:dyDescent="0.2">
      <c r="A17651" t="s">
        <v>29140</v>
      </c>
      <c r="B17651" t="s">
        <v>22283</v>
      </c>
      <c r="C17651" t="s">
        <v>332</v>
      </c>
      <c r="D17651" t="s">
        <v>412</v>
      </c>
      <c r="E17651" t="s">
        <v>13627</v>
      </c>
      <c r="F17651" s="2" t="str">
        <f>HYPERLINK("http://www.otzar.org/book.asp?141268","ילקוט המאירי - 2 כר'")</f>
        <v>ילקוט המאירי - 2 כר'</v>
      </c>
    </row>
    <row r="17652" spans="1:6" x14ac:dyDescent="0.2">
      <c r="A17652" t="s">
        <v>29141</v>
      </c>
      <c r="B17652" t="e">
        <f>- כהן, מיכאל בן יחזקאל</f>
        <v>#NAME?</v>
      </c>
      <c r="C17652" t="s">
        <v>334</v>
      </c>
      <c r="D17652" t="s">
        <v>14</v>
      </c>
      <c r="F17652" s="2" t="str">
        <f>HYPERLINK("http://www.otzar.org/book.asp?611222","ילקוט המוסר ואבני השהם - א")</f>
        <v>ילקוט המוסר ואבני השהם - א</v>
      </c>
    </row>
    <row r="17653" spans="1:6" x14ac:dyDescent="0.2">
      <c r="A17653" t="s">
        <v>29142</v>
      </c>
      <c r="B17653" t="e">
        <f>- כהן, שמעון בן מיכאל</f>
        <v>#NAME?</v>
      </c>
      <c r="C17653" t="s">
        <v>334</v>
      </c>
      <c r="D17653" t="s">
        <v>14</v>
      </c>
      <c r="F17653" s="2" t="str">
        <f>HYPERLINK("http://www.otzar.org/book.asp?611223","ילקוט המוסר ואבני השהם - 2 כר'")</f>
        <v>ילקוט המוסר ואבני השהם - 2 כר'</v>
      </c>
    </row>
    <row r="17654" spans="1:6" x14ac:dyDescent="0.2">
      <c r="A17654" t="s">
        <v>29143</v>
      </c>
      <c r="B17654" t="s">
        <v>29144</v>
      </c>
      <c r="C17654" t="s">
        <v>2008</v>
      </c>
      <c r="D17654" t="s">
        <v>5108</v>
      </c>
      <c r="E17654" t="s">
        <v>467</v>
      </c>
      <c r="F17654" s="2" t="str">
        <f>HYPERLINK("http://www.otzar.org/book.asp?144697","ילקוט המועדים - ב")</f>
        <v>ילקוט המועדים - ב</v>
      </c>
    </row>
    <row r="17655" spans="1:6" x14ac:dyDescent="0.2">
      <c r="A17655" t="s">
        <v>29145</v>
      </c>
      <c r="B17655" t="s">
        <v>29146</v>
      </c>
      <c r="C17655" t="s">
        <v>20</v>
      </c>
      <c r="D17655" t="s">
        <v>14</v>
      </c>
      <c r="E17655" t="s">
        <v>104</v>
      </c>
      <c r="F17655" s="2" t="str">
        <f>HYPERLINK("http://www.otzar.org/book.asp?166250","ילקוט המחדש בטובו")</f>
        <v>ילקוט המחדש בטובו</v>
      </c>
    </row>
    <row r="17656" spans="1:6" x14ac:dyDescent="0.2">
      <c r="A17656" t="s">
        <v>29147</v>
      </c>
      <c r="B17656" t="s">
        <v>29148</v>
      </c>
      <c r="C17656" t="s">
        <v>956</v>
      </c>
      <c r="D17656" t="s">
        <v>14</v>
      </c>
      <c r="E17656" t="s">
        <v>158</v>
      </c>
      <c r="F17656" s="2" t="str">
        <f>HYPERLINK("http://www.otzar.org/book.asp?200046","ילקוט המכירי - 6 כר'")</f>
        <v>ילקוט המכירי - 6 כר'</v>
      </c>
    </row>
    <row r="17657" spans="1:6" x14ac:dyDescent="0.2">
      <c r="A17657" t="s">
        <v>29149</v>
      </c>
      <c r="B17657" t="s">
        <v>29150</v>
      </c>
      <c r="C17657" t="s">
        <v>20</v>
      </c>
      <c r="D17657" t="s">
        <v>14</v>
      </c>
      <c r="E17657" t="s">
        <v>29151</v>
      </c>
      <c r="F17657" s="2" t="str">
        <f>HYPERLINK("http://www.otzar.org/book.asp?6619","ילקוט הנהגות ותקנות - א")</f>
        <v>ילקוט הנהגות ותקנות - א</v>
      </c>
    </row>
    <row r="17658" spans="1:6" x14ac:dyDescent="0.2">
      <c r="A17658" t="s">
        <v>29152</v>
      </c>
      <c r="B17658" t="s">
        <v>6936</v>
      </c>
      <c r="C17658" t="s">
        <v>63</v>
      </c>
      <c r="D17658" t="s">
        <v>52</v>
      </c>
      <c r="E17658" t="s">
        <v>64</v>
      </c>
      <c r="F17658" s="2" t="str">
        <f>HYPERLINK("http://www.otzar.org/book.asp?7528","ילקוט הנפלאות")</f>
        <v>ילקוט הנפלאות</v>
      </c>
    </row>
    <row r="17659" spans="1:6" x14ac:dyDescent="0.2">
      <c r="A17659" t="s">
        <v>29153</v>
      </c>
      <c r="B17659" t="s">
        <v>29154</v>
      </c>
      <c r="C17659" t="s">
        <v>1609</v>
      </c>
      <c r="D17659" t="s">
        <v>27</v>
      </c>
      <c r="E17659" t="s">
        <v>1626</v>
      </c>
      <c r="F17659" s="2" t="str">
        <f>HYPERLINK("http://www.otzar.org/book.asp?14625","ילקוט הפיוטים")</f>
        <v>ילקוט הפיוטים</v>
      </c>
    </row>
    <row r="17660" spans="1:6" x14ac:dyDescent="0.2">
      <c r="A17660" t="s">
        <v>29155</v>
      </c>
      <c r="B17660" t="s">
        <v>29156</v>
      </c>
      <c r="C17660" t="s">
        <v>27959</v>
      </c>
      <c r="D17660" t="s">
        <v>22561</v>
      </c>
      <c r="E17660" t="s">
        <v>241</v>
      </c>
      <c r="F17660" s="2" t="str">
        <f>HYPERLINK("http://www.otzar.org/book.asp?620046","ילקוט הפירושים")</f>
        <v>ילקוט הפירושים</v>
      </c>
    </row>
    <row r="17661" spans="1:6" x14ac:dyDescent="0.2">
      <c r="A17661" t="s">
        <v>29157</v>
      </c>
      <c r="B17661" t="s">
        <v>29158</v>
      </c>
      <c r="C17661" t="s">
        <v>812</v>
      </c>
      <c r="D17661" t="s">
        <v>29159</v>
      </c>
      <c r="E17661" t="s">
        <v>104</v>
      </c>
      <c r="F17661" s="2" t="str">
        <f>HYPERLINK("http://www.otzar.org/book.asp?149810","ילקוט הפלאות")</f>
        <v>ילקוט הפלאות</v>
      </c>
    </row>
    <row r="17662" spans="1:6" x14ac:dyDescent="0.2">
      <c r="A17662" t="s">
        <v>29160</v>
      </c>
      <c r="B17662" t="s">
        <v>29161</v>
      </c>
      <c r="C17662" t="s">
        <v>189</v>
      </c>
      <c r="D17662" t="s">
        <v>21</v>
      </c>
      <c r="E17662" t="s">
        <v>104</v>
      </c>
      <c r="F17662" s="2" t="str">
        <f>HYPERLINK("http://www.otzar.org/book.asp?191361","ילקוט הפתגמים")</f>
        <v>ילקוט הפתגמים</v>
      </c>
    </row>
    <row r="17663" spans="1:6" x14ac:dyDescent="0.2">
      <c r="A17663" t="s">
        <v>29162</v>
      </c>
      <c r="B17663" t="s">
        <v>29163</v>
      </c>
      <c r="C17663" t="s">
        <v>46</v>
      </c>
      <c r="D17663" t="s">
        <v>27</v>
      </c>
      <c r="E17663" t="s">
        <v>1211</v>
      </c>
      <c r="F17663" s="2" t="str">
        <f>HYPERLINK("http://www.otzar.org/book.asp?144244","ילקוט הצמחים")</f>
        <v>ילקוט הצמחים</v>
      </c>
    </row>
    <row r="17664" spans="1:6" x14ac:dyDescent="0.2">
      <c r="A17664" t="s">
        <v>29164</v>
      </c>
      <c r="B17664" t="s">
        <v>29165</v>
      </c>
      <c r="C17664" t="s">
        <v>1718</v>
      </c>
      <c r="D17664" t="s">
        <v>283</v>
      </c>
      <c r="E17664" t="s">
        <v>399</v>
      </c>
      <c r="F17664" s="2" t="str">
        <f>HYPERLINK("http://www.otzar.org/book.asp?102496","ילקוט הרועים")</f>
        <v>ילקוט הרועים</v>
      </c>
    </row>
    <row r="17665" spans="1:6" x14ac:dyDescent="0.2">
      <c r="A17665" t="s">
        <v>29164</v>
      </c>
      <c r="B17665" t="s">
        <v>29166</v>
      </c>
      <c r="C17665" t="s">
        <v>600</v>
      </c>
      <c r="D17665" t="s">
        <v>5209</v>
      </c>
      <c r="E17665" t="s">
        <v>14892</v>
      </c>
      <c r="F17665" s="2" t="str">
        <f>HYPERLINK("http://www.otzar.org/book.asp?102472","ילקוט הרועים")</f>
        <v>ילקוט הרועים</v>
      </c>
    </row>
    <row r="17666" spans="1:6" x14ac:dyDescent="0.2">
      <c r="A17666" t="s">
        <v>29167</v>
      </c>
      <c r="B17666" t="s">
        <v>17859</v>
      </c>
      <c r="C17666" t="s">
        <v>462</v>
      </c>
      <c r="D17666" t="s">
        <v>267</v>
      </c>
      <c r="E17666" t="s">
        <v>104</v>
      </c>
      <c r="F17666" s="2" t="str">
        <f>HYPERLINK("http://www.otzar.org/book.asp?18882","ילקוט הרועים - 2 כר'")</f>
        <v>ילקוט הרועים - 2 כר'</v>
      </c>
    </row>
    <row r="17667" spans="1:6" x14ac:dyDescent="0.2">
      <c r="A17667" t="s">
        <v>29168</v>
      </c>
      <c r="B17667" t="s">
        <v>28910</v>
      </c>
      <c r="C17667" t="s">
        <v>23</v>
      </c>
      <c r="D17667" t="s">
        <v>14</v>
      </c>
      <c r="E17667" t="s">
        <v>15</v>
      </c>
      <c r="F17667" s="2" t="str">
        <f>HYPERLINK("http://www.otzar.org/book.asp?630217","ילקוט הריח - 2 כר'")</f>
        <v>ילקוט הריח - 2 כר'</v>
      </c>
    </row>
    <row r="17668" spans="1:6" x14ac:dyDescent="0.2">
      <c r="A17668" t="s">
        <v>29169</v>
      </c>
      <c r="B17668" t="s">
        <v>29170</v>
      </c>
      <c r="C17668" t="s">
        <v>244</v>
      </c>
      <c r="D17668" t="s">
        <v>14</v>
      </c>
      <c r="E17668" t="s">
        <v>144</v>
      </c>
      <c r="F17668" s="2" t="str">
        <f>HYPERLINK("http://www.otzar.org/book.asp?608517","ילקוט השבעתי אתכם - 7 כר'")</f>
        <v>ילקוט השבעתי אתכם - 7 כר'</v>
      </c>
    </row>
    <row r="17669" spans="1:6" x14ac:dyDescent="0.2">
      <c r="A17669" t="s">
        <v>29171</v>
      </c>
      <c r="B17669" t="s">
        <v>29172</v>
      </c>
      <c r="C17669" t="s">
        <v>180</v>
      </c>
      <c r="D17669" t="s">
        <v>216</v>
      </c>
      <c r="F17669" s="2" t="str">
        <f>HYPERLINK("http://www.otzar.org/book.asp?611672","ילקוט השמות הפרטיים שבתנ""ך ומדרשיהם")</f>
        <v>ילקוט השמות הפרטיים שבתנ"ך ומדרשיהם</v>
      </c>
    </row>
    <row r="17670" spans="1:6" x14ac:dyDescent="0.2">
      <c r="A17670" t="s">
        <v>29173</v>
      </c>
      <c r="B17670" t="s">
        <v>29174</v>
      </c>
      <c r="C17670" t="s">
        <v>29175</v>
      </c>
      <c r="D17670" t="s">
        <v>260</v>
      </c>
      <c r="F17670" s="2" t="str">
        <f>HYPERLINK("http://www.otzar.org/book.asp?155708","ילקוט ווהלין - 8 כר'")</f>
        <v>ילקוט ווהלין - 8 כר'</v>
      </c>
    </row>
    <row r="17671" spans="1:6" x14ac:dyDescent="0.2">
      <c r="A17671" t="s">
        <v>29176</v>
      </c>
      <c r="B17671" t="s">
        <v>29177</v>
      </c>
      <c r="C17671" t="s">
        <v>51</v>
      </c>
      <c r="D17671" t="s">
        <v>2909</v>
      </c>
      <c r="F17671" s="2" t="str">
        <f>HYPERLINK("http://www.otzar.org/book.asp?611130","ילקוט ומקדשי תראו")</f>
        <v>ילקוט ומקדשי תראו</v>
      </c>
    </row>
    <row r="17672" spans="1:6" x14ac:dyDescent="0.2">
      <c r="A17672" t="s">
        <v>29178</v>
      </c>
      <c r="B17672" t="s">
        <v>29179</v>
      </c>
      <c r="C17672" t="s">
        <v>454</v>
      </c>
      <c r="D17672" t="s">
        <v>52</v>
      </c>
      <c r="E17672" t="s">
        <v>158</v>
      </c>
      <c r="F17672" s="2" t="str">
        <f>HYPERLINK("http://www.otzar.org/book.asp?151265","ילקוט ופירושים דברי תורה")</f>
        <v>ילקוט ופירושים דברי תורה</v>
      </c>
    </row>
    <row r="17673" spans="1:6" x14ac:dyDescent="0.2">
      <c r="A17673" t="s">
        <v>29180</v>
      </c>
      <c r="B17673" t="s">
        <v>29181</v>
      </c>
      <c r="C17673" t="s">
        <v>553</v>
      </c>
      <c r="D17673" t="s">
        <v>721</v>
      </c>
      <c r="E17673" t="s">
        <v>119</v>
      </c>
      <c r="F17673" s="2" t="str">
        <f>HYPERLINK("http://www.otzar.org/book.asp?629090","ילקוט זכרונות")</f>
        <v>ילקוט זכרונות</v>
      </c>
    </row>
    <row r="17674" spans="1:6" x14ac:dyDescent="0.2">
      <c r="A17674" t="s">
        <v>29182</v>
      </c>
      <c r="B17674" t="s">
        <v>13591</v>
      </c>
      <c r="C17674" t="s">
        <v>111</v>
      </c>
      <c r="D17674" t="s">
        <v>90</v>
      </c>
      <c r="E17674" t="s">
        <v>246</v>
      </c>
      <c r="F17674" s="2" t="str">
        <f>HYPERLINK("http://www.otzar.org/book.asp?620119","ילקוט זרע שמשון - חנוכה")</f>
        <v>ילקוט זרע שמשון - חנוכה</v>
      </c>
    </row>
    <row r="17675" spans="1:6" x14ac:dyDescent="0.2">
      <c r="A17675" t="s">
        <v>29183</v>
      </c>
      <c r="B17675" t="s">
        <v>29184</v>
      </c>
      <c r="C17675" t="s">
        <v>1163</v>
      </c>
      <c r="D17675" t="s">
        <v>1163</v>
      </c>
      <c r="E17675" t="s">
        <v>23256</v>
      </c>
      <c r="F17675" s="2" t="str">
        <f>HYPERLINK("http://www.otzar.org/book.asp?151543","ילקוט חדש &lt;כתב יד&gt;")</f>
        <v>ילקוט חדש &lt;כתב יד&gt;</v>
      </c>
    </row>
    <row r="17676" spans="1:6" x14ac:dyDescent="0.2">
      <c r="A17676" t="s">
        <v>29185</v>
      </c>
      <c r="B17676" t="s">
        <v>29186</v>
      </c>
      <c r="C17676" t="s">
        <v>1177</v>
      </c>
      <c r="D17676" t="s">
        <v>283</v>
      </c>
      <c r="E17676" t="s">
        <v>29187</v>
      </c>
      <c r="F17676" s="2" t="str">
        <f>HYPERLINK("http://www.otzar.org/book.asp?102491","ילקוט חדש - 8 כר'")</f>
        <v>ילקוט חדש - 8 כר'</v>
      </c>
    </row>
    <row r="17677" spans="1:6" x14ac:dyDescent="0.2">
      <c r="A17677" t="s">
        <v>29184</v>
      </c>
      <c r="B17677" t="s">
        <v>29188</v>
      </c>
      <c r="C17677" t="s">
        <v>1954</v>
      </c>
      <c r="D17677" t="s">
        <v>412</v>
      </c>
      <c r="E17677" t="s">
        <v>29189</v>
      </c>
      <c r="F17677" s="2" t="str">
        <f>HYPERLINK("http://www.otzar.org/book.asp?141968","ילקוט חדש")</f>
        <v>ילקוט חדש</v>
      </c>
    </row>
    <row r="17678" spans="1:6" x14ac:dyDescent="0.2">
      <c r="A17678" t="s">
        <v>29190</v>
      </c>
      <c r="B17678" t="s">
        <v>1750</v>
      </c>
      <c r="C17678" t="s">
        <v>1609</v>
      </c>
      <c r="D17678" t="s">
        <v>27</v>
      </c>
      <c r="E17678" t="s">
        <v>202</v>
      </c>
      <c r="F17678" s="2" t="str">
        <f>HYPERLINK("http://www.otzar.org/book.asp?23682","ילקוט חידושים - 3 כר'")</f>
        <v>ילקוט חידושים - 3 כר'</v>
      </c>
    </row>
    <row r="17679" spans="1:6" x14ac:dyDescent="0.2">
      <c r="A17679" t="s">
        <v>29191</v>
      </c>
      <c r="B17679" t="s">
        <v>16171</v>
      </c>
      <c r="C17679" t="s">
        <v>422</v>
      </c>
      <c r="D17679" t="s">
        <v>14</v>
      </c>
      <c r="E17679" t="s">
        <v>246</v>
      </c>
      <c r="F17679" s="2" t="str">
        <f>HYPERLINK("http://www.otzar.org/book.asp?607725","ילקוט חמישאי - 6 כר'")</f>
        <v>ילקוט חמישאי - 6 כר'</v>
      </c>
    </row>
    <row r="17680" spans="1:6" x14ac:dyDescent="0.2">
      <c r="A17680" t="s">
        <v>29192</v>
      </c>
      <c r="B17680" t="s">
        <v>17123</v>
      </c>
      <c r="C17680" t="s">
        <v>854</v>
      </c>
      <c r="D17680" t="s">
        <v>283</v>
      </c>
      <c r="E17680" t="s">
        <v>1211</v>
      </c>
      <c r="F17680" s="2" t="str">
        <f>HYPERLINK("http://www.otzar.org/book.asp?102171","ילקוט טוב")</f>
        <v>ילקוט טוב</v>
      </c>
    </row>
    <row r="17681" spans="1:6" x14ac:dyDescent="0.2">
      <c r="A17681" t="s">
        <v>29193</v>
      </c>
      <c r="B17681" t="s">
        <v>29194</v>
      </c>
      <c r="C17681" t="s">
        <v>71</v>
      </c>
      <c r="D17681" t="s">
        <v>14</v>
      </c>
      <c r="E17681" t="s">
        <v>1164</v>
      </c>
      <c r="F17681" s="2" t="str">
        <f>HYPERLINK("http://www.otzar.org/book.asp?167444","ילקוט יד חזקיה - 2 כר'")</f>
        <v>ילקוט יד חזקיה - 2 כר'</v>
      </c>
    </row>
    <row r="17682" spans="1:6" x14ac:dyDescent="0.2">
      <c r="A17682" t="s">
        <v>29195</v>
      </c>
      <c r="B17682" t="s">
        <v>1390</v>
      </c>
      <c r="C17682" t="s">
        <v>63</v>
      </c>
      <c r="D17682" t="s">
        <v>216</v>
      </c>
      <c r="E17682" t="s">
        <v>6106</v>
      </c>
      <c r="F17682" s="2" t="str">
        <f>HYPERLINK("http://www.otzar.org/book.asp?13463","ילקוט ידיעות האמת - 2 כר'")</f>
        <v>ילקוט ידיעות האמת - 2 כר'</v>
      </c>
    </row>
    <row r="17683" spans="1:6" x14ac:dyDescent="0.2">
      <c r="A17683" t="s">
        <v>29196</v>
      </c>
      <c r="B17683" t="s">
        <v>29197</v>
      </c>
      <c r="C17683" t="s">
        <v>24472</v>
      </c>
      <c r="D17683" t="s">
        <v>14725</v>
      </c>
      <c r="E17683" t="s">
        <v>158</v>
      </c>
      <c r="F17683" s="2" t="str">
        <f>HYPERLINK("http://www.otzar.org/book.asp?105605","ילקוט יהודה - 5 כר'")</f>
        <v>ילקוט יהודה - 5 כר'</v>
      </c>
    </row>
    <row r="17684" spans="1:6" x14ac:dyDescent="0.2">
      <c r="A17684" t="s">
        <v>29198</v>
      </c>
      <c r="B17684" t="s">
        <v>14654</v>
      </c>
      <c r="C17684" t="s">
        <v>1374</v>
      </c>
      <c r="D17684" t="s">
        <v>27195</v>
      </c>
      <c r="E17684" t="s">
        <v>29199</v>
      </c>
      <c r="F17684" s="2" t="str">
        <f>HYPERLINK("http://www.otzar.org/book.asp?15752","ילקוט יהושע")</f>
        <v>ילקוט יהושע</v>
      </c>
    </row>
    <row r="17685" spans="1:6" x14ac:dyDescent="0.2">
      <c r="A17685" t="s">
        <v>29200</v>
      </c>
      <c r="B17685" t="s">
        <v>29201</v>
      </c>
      <c r="C17685" t="s">
        <v>133</v>
      </c>
      <c r="D17685" t="s">
        <v>2285</v>
      </c>
      <c r="E17685" t="s">
        <v>158</v>
      </c>
      <c r="F17685" s="2" t="str">
        <f>HYPERLINK("http://www.otzar.org/book.asp?189046","ילקוט יוסיף לקח - 2 כר'")</f>
        <v>ילקוט יוסיף לקח - 2 כר'</v>
      </c>
    </row>
    <row r="17686" spans="1:6" x14ac:dyDescent="0.2">
      <c r="A17686" t="s">
        <v>29202</v>
      </c>
      <c r="B17686" t="s">
        <v>29203</v>
      </c>
      <c r="C17686" t="s">
        <v>87</v>
      </c>
      <c r="D17686" t="s">
        <v>216</v>
      </c>
      <c r="E17686" t="s">
        <v>158</v>
      </c>
      <c r="F17686" s="2" t="str">
        <f>HYPERLINK("http://www.otzar.org/book.asp?172343","ילקוט יוסף")</f>
        <v>ילקוט יוסף</v>
      </c>
    </row>
    <row r="17687" spans="1:6" x14ac:dyDescent="0.2">
      <c r="A17687" t="s">
        <v>29202</v>
      </c>
      <c r="B17687" t="s">
        <v>29204</v>
      </c>
      <c r="C17687" t="s">
        <v>71</v>
      </c>
      <c r="D17687" t="s">
        <v>2867</v>
      </c>
      <c r="E17687" t="s">
        <v>104</v>
      </c>
      <c r="F17687" s="2" t="str">
        <f>HYPERLINK("http://www.otzar.org/book.asp?611153","ילקוט יוסף")</f>
        <v>ילקוט יוסף</v>
      </c>
    </row>
    <row r="17688" spans="1:6" x14ac:dyDescent="0.2">
      <c r="A17688" t="s">
        <v>29205</v>
      </c>
      <c r="B17688" t="s">
        <v>1600</v>
      </c>
      <c r="C17688" t="s">
        <v>168</v>
      </c>
      <c r="D17688" t="s">
        <v>14</v>
      </c>
      <c r="E17688" t="s">
        <v>15</v>
      </c>
      <c r="F17688" s="2" t="str">
        <f>HYPERLINK("http://www.otzar.org/book.asp?60072","ילקוט יוסף - 50 כר'")</f>
        <v>ילקוט יוסף - 50 כר'</v>
      </c>
    </row>
    <row r="17689" spans="1:6" x14ac:dyDescent="0.2">
      <c r="A17689" t="s">
        <v>29202</v>
      </c>
      <c r="B17689" t="s">
        <v>29206</v>
      </c>
      <c r="C17689" t="s">
        <v>908</v>
      </c>
      <c r="D17689" t="s">
        <v>27</v>
      </c>
      <c r="E17689" t="s">
        <v>119</v>
      </c>
      <c r="F17689" s="2" t="str">
        <f>HYPERLINK("http://www.otzar.org/book.asp?53689","ילקוט יוסף")</f>
        <v>ילקוט יוסף</v>
      </c>
    </row>
    <row r="17690" spans="1:6" x14ac:dyDescent="0.2">
      <c r="A17690" t="s">
        <v>29207</v>
      </c>
      <c r="B17690" t="s">
        <v>29208</v>
      </c>
      <c r="C17690" t="s">
        <v>777</v>
      </c>
      <c r="D17690" t="s">
        <v>646</v>
      </c>
      <c r="E17690" t="s">
        <v>158</v>
      </c>
      <c r="F17690" s="2" t="str">
        <f>HYPERLINK("http://www.otzar.org/book.asp?158348","ילקוט יוסף - 2 כר'")</f>
        <v>ילקוט יוסף - 2 כר'</v>
      </c>
    </row>
    <row r="17691" spans="1:6" x14ac:dyDescent="0.2">
      <c r="A17691" t="s">
        <v>29209</v>
      </c>
      <c r="B17691" t="s">
        <v>29210</v>
      </c>
      <c r="C17691" t="s">
        <v>133</v>
      </c>
      <c r="D17691" t="s">
        <v>29211</v>
      </c>
      <c r="E17691" t="s">
        <v>5712</v>
      </c>
      <c r="F17691" s="2" t="str">
        <f>HYPERLINK("http://www.otzar.org/book.asp?175874","ילקוט יחזקאל")</f>
        <v>ילקוט יחזקאל</v>
      </c>
    </row>
    <row r="17692" spans="1:6" x14ac:dyDescent="0.2">
      <c r="A17692" t="s">
        <v>29212</v>
      </c>
      <c r="B17692" t="s">
        <v>29213</v>
      </c>
      <c r="C17692" t="s">
        <v>244</v>
      </c>
      <c r="D17692" t="s">
        <v>52</v>
      </c>
      <c r="E17692" t="s">
        <v>29214</v>
      </c>
      <c r="F17692" s="2" t="str">
        <f>HYPERLINK("http://www.otzar.org/book.asp?196529","ילקוט יעקב")</f>
        <v>ילקוט יעקב</v>
      </c>
    </row>
    <row r="17693" spans="1:6" x14ac:dyDescent="0.2">
      <c r="A17693" t="s">
        <v>29215</v>
      </c>
      <c r="B17693" t="s">
        <v>29216</v>
      </c>
      <c r="C17693" t="s">
        <v>576</v>
      </c>
      <c r="D17693" t="s">
        <v>2295</v>
      </c>
      <c r="E17693" t="s">
        <v>2018</v>
      </c>
      <c r="F17693" s="2" t="str">
        <f>HYPERLINK("http://www.otzar.org/book.asp?877","ילקוט יצחק")</f>
        <v>ילקוט יצחק</v>
      </c>
    </row>
    <row r="17694" spans="1:6" x14ac:dyDescent="0.2">
      <c r="A17694" t="s">
        <v>29217</v>
      </c>
      <c r="B17694" t="s">
        <v>29218</v>
      </c>
      <c r="C17694" t="s">
        <v>29219</v>
      </c>
      <c r="D17694" t="s">
        <v>283</v>
      </c>
      <c r="E17694" t="s">
        <v>674</v>
      </c>
      <c r="F17694" s="2" t="str">
        <f>HYPERLINK("http://www.otzar.org/book.asp?6313","ילקוט יצחק - 4 כר'")</f>
        <v>ילקוט יצחק - 4 כר'</v>
      </c>
    </row>
    <row r="17695" spans="1:6" x14ac:dyDescent="0.2">
      <c r="A17695" t="s">
        <v>29215</v>
      </c>
      <c r="B17695" t="s">
        <v>29220</v>
      </c>
      <c r="C17695" t="s">
        <v>1374</v>
      </c>
      <c r="D17695" t="s">
        <v>9</v>
      </c>
      <c r="E17695" t="s">
        <v>29221</v>
      </c>
      <c r="F17695" s="2" t="str">
        <f>HYPERLINK("http://www.otzar.org/book.asp?100727","ילקוט יצחק")</f>
        <v>ילקוט יצחק</v>
      </c>
    </row>
    <row r="17696" spans="1:6" x14ac:dyDescent="0.2">
      <c r="A17696" t="s">
        <v>29222</v>
      </c>
      <c r="B17696" t="s">
        <v>29223</v>
      </c>
      <c r="C17696" t="s">
        <v>63</v>
      </c>
      <c r="D17696" t="s">
        <v>29224</v>
      </c>
      <c r="E17696" t="s">
        <v>674</v>
      </c>
      <c r="F17696" s="2" t="str">
        <f>HYPERLINK("http://www.otzar.org/book.asp?165994","ילקוט יצחקי - פני יצחק")</f>
        <v>ילקוט יצחקי - פני יצחק</v>
      </c>
    </row>
    <row r="17697" spans="1:6" x14ac:dyDescent="0.2">
      <c r="A17697" t="s">
        <v>29225</v>
      </c>
      <c r="B17697" t="s">
        <v>6899</v>
      </c>
      <c r="C17697" t="s">
        <v>2076</v>
      </c>
      <c r="D17697" t="s">
        <v>283</v>
      </c>
      <c r="E17697" t="s">
        <v>29226</v>
      </c>
      <c r="F17697" s="2" t="str">
        <f>HYPERLINK("http://www.otzar.org/book.asp?15691","ילקוט ירח למועדים")</f>
        <v>ילקוט ירח למועדים</v>
      </c>
    </row>
    <row r="17698" spans="1:6" x14ac:dyDescent="0.2">
      <c r="A17698" t="s">
        <v>29227</v>
      </c>
      <c r="B17698" t="s">
        <v>29228</v>
      </c>
      <c r="C17698" t="s">
        <v>13</v>
      </c>
      <c r="D17698" t="s">
        <v>14</v>
      </c>
      <c r="E17698" t="s">
        <v>144</v>
      </c>
      <c r="F17698" s="2" t="str">
        <f>HYPERLINK("http://www.otzar.org/book.asp?61006","ילקוט ישעיהו - 5 כר'")</f>
        <v>ילקוט ישעיהו - 5 כר'</v>
      </c>
    </row>
    <row r="17699" spans="1:6" x14ac:dyDescent="0.2">
      <c r="A17699" t="s">
        <v>29229</v>
      </c>
      <c r="B17699" t="s">
        <v>29230</v>
      </c>
      <c r="C17699" t="s">
        <v>956</v>
      </c>
      <c r="D17699" t="s">
        <v>14</v>
      </c>
      <c r="E17699" t="s">
        <v>104</v>
      </c>
      <c r="F17699" s="2" t="str">
        <f>HYPERLINK("http://www.otzar.org/book.asp?179030","ילקוט ישר - ילקוט משה")</f>
        <v>ילקוט ישר - ילקוט משה</v>
      </c>
    </row>
    <row r="17700" spans="1:6" x14ac:dyDescent="0.2">
      <c r="A17700" t="s">
        <v>29231</v>
      </c>
      <c r="B17700" t="s">
        <v>29232</v>
      </c>
      <c r="C17700" t="s">
        <v>812</v>
      </c>
      <c r="D17700" t="s">
        <v>691</v>
      </c>
      <c r="E17700" t="s">
        <v>29233</v>
      </c>
      <c r="F17700" s="2" t="str">
        <f>HYPERLINK("http://www.otzar.org/book.asp?105836","ילקוט ישר")</f>
        <v>ילקוט ישר</v>
      </c>
    </row>
    <row r="17701" spans="1:6" x14ac:dyDescent="0.2">
      <c r="A17701" t="s">
        <v>29234</v>
      </c>
      <c r="B17701" t="s">
        <v>23233</v>
      </c>
      <c r="C17701" t="s">
        <v>506</v>
      </c>
      <c r="D17701" t="s">
        <v>225</v>
      </c>
      <c r="E17701" t="s">
        <v>5935</v>
      </c>
      <c r="F17701" s="2" t="str">
        <f>HYPERLINK("http://www.otzar.org/book.asp?18885","ילקוט ישראל")</f>
        <v>ילקוט ישראל</v>
      </c>
    </row>
    <row r="17702" spans="1:6" x14ac:dyDescent="0.2">
      <c r="A17702" t="s">
        <v>29234</v>
      </c>
      <c r="B17702" t="s">
        <v>29235</v>
      </c>
      <c r="C17702" t="s">
        <v>1663</v>
      </c>
      <c r="D17702" t="s">
        <v>260</v>
      </c>
      <c r="E17702" t="s">
        <v>14089</v>
      </c>
      <c r="F17702" s="2" t="str">
        <f>HYPERLINK("http://www.otzar.org/book.asp?174057","ילקוט ישראל")</f>
        <v>ילקוט ישראל</v>
      </c>
    </row>
    <row r="17703" spans="1:6" x14ac:dyDescent="0.2">
      <c r="A17703" t="s">
        <v>29236</v>
      </c>
      <c r="B17703" t="s">
        <v>29237</v>
      </c>
      <c r="C17703" t="s">
        <v>419</v>
      </c>
      <c r="D17703" t="s">
        <v>118</v>
      </c>
      <c r="E17703" t="s">
        <v>1103</v>
      </c>
      <c r="F17703" s="2" t="str">
        <f>HYPERLINK("http://www.otzar.org/book.asp?154585","ילקוט ישראל - 3 כר'")</f>
        <v>ילקוט ישראל - 3 כר'</v>
      </c>
    </row>
    <row r="17704" spans="1:6" x14ac:dyDescent="0.2">
      <c r="A17704" t="s">
        <v>29238</v>
      </c>
      <c r="B17704" t="s">
        <v>29239</v>
      </c>
      <c r="C17704" t="s">
        <v>419</v>
      </c>
      <c r="D17704" t="s">
        <v>216</v>
      </c>
      <c r="E17704" t="s">
        <v>15</v>
      </c>
      <c r="F17704" s="2" t="str">
        <f>HYPERLINK("http://www.otzar.org/book.asp?617934","ילקוט כבוד המת")</f>
        <v>ילקוט כבוד המת</v>
      </c>
    </row>
    <row r="17705" spans="1:6" x14ac:dyDescent="0.2">
      <c r="A17705" t="s">
        <v>29240</v>
      </c>
      <c r="B17705" t="s">
        <v>29241</v>
      </c>
      <c r="C17705" t="s">
        <v>68</v>
      </c>
      <c r="D17705" t="s">
        <v>52</v>
      </c>
      <c r="E17705" t="s">
        <v>172</v>
      </c>
      <c r="F17705" s="2" t="str">
        <f>HYPERLINK("http://www.otzar.org/book.asp?156413","ילקוט כהונה - 3 כר'")</f>
        <v>ילקוט כהונה - 3 כר'</v>
      </c>
    </row>
    <row r="17706" spans="1:6" x14ac:dyDescent="0.2">
      <c r="A17706" t="s">
        <v>29242</v>
      </c>
      <c r="B17706" t="s">
        <v>29243</v>
      </c>
      <c r="C17706" t="s">
        <v>390</v>
      </c>
      <c r="D17706" t="s">
        <v>14</v>
      </c>
      <c r="E17706" t="s">
        <v>741</v>
      </c>
      <c r="F17706" s="2" t="str">
        <f>HYPERLINK("http://www.otzar.org/book.asp?172209","ילקוט כתבי קודש")</f>
        <v>ילקוט כתבי קודש</v>
      </c>
    </row>
    <row r="17707" spans="1:6" x14ac:dyDescent="0.2">
      <c r="A17707" t="s">
        <v>29244</v>
      </c>
      <c r="B17707" t="s">
        <v>24495</v>
      </c>
      <c r="C17707" t="s">
        <v>553</v>
      </c>
      <c r="D17707" t="s">
        <v>52</v>
      </c>
      <c r="E17707" t="s">
        <v>15</v>
      </c>
      <c r="F17707" s="2" t="str">
        <f>HYPERLINK("http://www.otzar.org/book.asp?62860","ילקוט כתרי אותיות - 2 כר'")</f>
        <v>ילקוט כתרי אותיות - 2 כר'</v>
      </c>
    </row>
    <row r="17708" spans="1:6" x14ac:dyDescent="0.2">
      <c r="A17708" t="s">
        <v>29245</v>
      </c>
      <c r="B17708" t="s">
        <v>25061</v>
      </c>
      <c r="C17708" t="s">
        <v>1169</v>
      </c>
      <c r="D17708" t="s">
        <v>29246</v>
      </c>
      <c r="E17708" t="s">
        <v>104</v>
      </c>
      <c r="F17708" s="2" t="str">
        <f>HYPERLINK("http://www.otzar.org/book.asp?602650","ילקוט לוים")</f>
        <v>ילקוט לוים</v>
      </c>
    </row>
    <row r="17709" spans="1:6" x14ac:dyDescent="0.2">
      <c r="A17709" t="s">
        <v>29247</v>
      </c>
      <c r="B17709" t="s">
        <v>18065</v>
      </c>
      <c r="C17709" t="s">
        <v>106</v>
      </c>
      <c r="D17709" t="s">
        <v>14</v>
      </c>
      <c r="E17709" t="s">
        <v>246</v>
      </c>
      <c r="F17709" s="2" t="str">
        <f>HYPERLINK("http://www.otzar.org/book.asp?196565","ילקוט למועדים - 4 כר'")</f>
        <v>ילקוט למועדים - 4 כר'</v>
      </c>
    </row>
    <row r="17710" spans="1:6" x14ac:dyDescent="0.2">
      <c r="A17710" t="s">
        <v>29248</v>
      </c>
      <c r="B17710" t="s">
        <v>1960</v>
      </c>
      <c r="C17710" t="s">
        <v>13</v>
      </c>
      <c r="D17710" t="s">
        <v>118</v>
      </c>
      <c r="E17710" t="s">
        <v>130</v>
      </c>
      <c r="F17710" s="2" t="str">
        <f>HYPERLINK("http://www.otzar.org/book.asp?172903","ילקוט לפורים המשולש")</f>
        <v>ילקוט לפורים המשולש</v>
      </c>
    </row>
    <row r="17711" spans="1:6" x14ac:dyDescent="0.2">
      <c r="A17711" t="s">
        <v>29249</v>
      </c>
      <c r="B17711" t="s">
        <v>29201</v>
      </c>
      <c r="C17711" t="s">
        <v>313</v>
      </c>
      <c r="D17711" t="s">
        <v>2285</v>
      </c>
      <c r="E17711" t="s">
        <v>993</v>
      </c>
      <c r="F17711" s="2" t="str">
        <f>HYPERLINK("http://www.otzar.org/book.asp?53135","ילקוט לקח טוב &lt;חיים של תורה&gt; - 3 כר'")</f>
        <v>ילקוט לקח טוב &lt;חיים של תורה&gt; - 3 כר'</v>
      </c>
    </row>
    <row r="17712" spans="1:6" x14ac:dyDescent="0.2">
      <c r="A17712" t="s">
        <v>29250</v>
      </c>
      <c r="B17712" t="s">
        <v>29201</v>
      </c>
      <c r="C17712" t="s">
        <v>466</v>
      </c>
      <c r="D17712" t="s">
        <v>2285</v>
      </c>
      <c r="E17712" t="s">
        <v>3798</v>
      </c>
      <c r="F17712" s="2" t="str">
        <f>HYPERLINK("http://www.otzar.org/book.asp?53132","ילקוט לקח טוב &lt;על מועדי השנה&gt; - 2 כר'")</f>
        <v>ילקוט לקח טוב &lt;על מועדי השנה&gt; - 2 כר'</v>
      </c>
    </row>
    <row r="17713" spans="1:6" x14ac:dyDescent="0.2">
      <c r="A17713" t="s">
        <v>29251</v>
      </c>
      <c r="B17713" t="s">
        <v>29201</v>
      </c>
      <c r="C17713" t="s">
        <v>785</v>
      </c>
      <c r="D17713" t="s">
        <v>2285</v>
      </c>
      <c r="E17713" t="s">
        <v>158</v>
      </c>
      <c r="F17713" s="2" t="str">
        <f>HYPERLINK("http://www.otzar.org/book.asp?53138","ילקוט לקח טוב &lt;על פרשיות השבוע&gt; - 6 כר'")</f>
        <v>ילקוט לקח טוב &lt;על פרשיות השבוע&gt; - 6 כר'</v>
      </c>
    </row>
    <row r="17714" spans="1:6" x14ac:dyDescent="0.2">
      <c r="A17714" t="s">
        <v>29252</v>
      </c>
      <c r="B17714" t="s">
        <v>29201</v>
      </c>
      <c r="C17714" t="s">
        <v>114</v>
      </c>
      <c r="D17714" t="s">
        <v>2285</v>
      </c>
      <c r="E17714" t="s">
        <v>241</v>
      </c>
      <c r="F17714" s="2" t="str">
        <f>HYPERLINK("http://www.otzar.org/book.asp?189045","ילקוט לקח טוב - 4 כר'")</f>
        <v>ילקוט לקח טוב - 4 כר'</v>
      </c>
    </row>
    <row r="17715" spans="1:6" x14ac:dyDescent="0.2">
      <c r="A17715" t="s">
        <v>29253</v>
      </c>
      <c r="B17715" t="s">
        <v>29254</v>
      </c>
      <c r="C17715" t="s">
        <v>20</v>
      </c>
      <c r="D17715" t="s">
        <v>52</v>
      </c>
      <c r="E17715" t="s">
        <v>213</v>
      </c>
      <c r="F17715" s="2" t="str">
        <f>HYPERLINK("http://www.otzar.org/book.asp?62791","ילקוט מאמרים לחיזוק אהבת תורה ושקידתה - 2 כר'")</f>
        <v>ילקוט מאמרים לחיזוק אהבת תורה ושקידתה - 2 כר'</v>
      </c>
    </row>
    <row r="17716" spans="1:6" x14ac:dyDescent="0.2">
      <c r="A17716" t="s">
        <v>29255</v>
      </c>
      <c r="B17716" t="s">
        <v>29256</v>
      </c>
      <c r="C17716" t="s">
        <v>189</v>
      </c>
      <c r="D17716" t="s">
        <v>412</v>
      </c>
      <c r="E17716" t="s">
        <v>230</v>
      </c>
      <c r="F17716" s="2" t="str">
        <f>HYPERLINK("http://www.otzar.org/book.asp?160859","ילקוט מגן אבות")</f>
        <v>ילקוט מגן אבות</v>
      </c>
    </row>
    <row r="17717" spans="1:6" x14ac:dyDescent="0.2">
      <c r="A17717" t="s">
        <v>29257</v>
      </c>
      <c r="B17717" t="s">
        <v>15928</v>
      </c>
      <c r="C17717" t="s">
        <v>843</v>
      </c>
      <c r="D17717" t="s">
        <v>216</v>
      </c>
      <c r="F17717" s="2" t="str">
        <f>HYPERLINK("http://www.otzar.org/book.asp?608963","ילקוט מגן - 3 כר'")</f>
        <v>ילקוט מגן - 3 כר'</v>
      </c>
    </row>
    <row r="17718" spans="1:6" x14ac:dyDescent="0.2">
      <c r="A17718" t="s">
        <v>29258</v>
      </c>
      <c r="B17718" t="s">
        <v>29259</v>
      </c>
      <c r="C17718" t="s">
        <v>523</v>
      </c>
      <c r="D17718" t="s">
        <v>14</v>
      </c>
      <c r="E17718" t="s">
        <v>579</v>
      </c>
      <c r="F17718" s="2" t="str">
        <f>HYPERLINK("http://www.otzar.org/book.asp?83719","ילקוט מדרשי תימן - 2 כר'")</f>
        <v>ילקוט מדרשי תימן - 2 כר'</v>
      </c>
    </row>
    <row r="17719" spans="1:6" x14ac:dyDescent="0.2">
      <c r="A17719" t="s">
        <v>29260</v>
      </c>
      <c r="B17719" t="s">
        <v>29261</v>
      </c>
      <c r="C17719" t="s">
        <v>422</v>
      </c>
      <c r="D17719" t="s">
        <v>139</v>
      </c>
      <c r="E17719" t="s">
        <v>43</v>
      </c>
      <c r="F17719" s="2" t="str">
        <f>HYPERLINK("http://www.otzar.org/book.asp?180114","ילקוט מדרשים - 7 כר'")</f>
        <v>ילקוט מדרשים - 7 כר'</v>
      </c>
    </row>
    <row r="17720" spans="1:6" x14ac:dyDescent="0.2">
      <c r="A17720" t="s">
        <v>29262</v>
      </c>
      <c r="B17720" t="s">
        <v>6446</v>
      </c>
      <c r="C17720" t="s">
        <v>547</v>
      </c>
      <c r="D17720" t="s">
        <v>563</v>
      </c>
      <c r="E17720" t="s">
        <v>1097</v>
      </c>
      <c r="F17720" s="2" t="str">
        <f>HYPERLINK("http://www.otzar.org/book.asp?23571","ילקוט מהרי""ח")</f>
        <v>ילקוט מהרי"ח</v>
      </c>
    </row>
    <row r="17721" spans="1:6" x14ac:dyDescent="0.2">
      <c r="A17721" t="s">
        <v>29263</v>
      </c>
      <c r="B17721" t="s">
        <v>16636</v>
      </c>
      <c r="C17721" t="s">
        <v>523</v>
      </c>
      <c r="D17721" t="s">
        <v>52</v>
      </c>
      <c r="F17721" s="2" t="str">
        <f>HYPERLINK("http://www.otzar.org/book.asp?182812","ילקוט מועדי ישראל - 2 כר'")</f>
        <v>ילקוט מועדי ישראל - 2 כר'</v>
      </c>
    </row>
    <row r="17722" spans="1:6" x14ac:dyDescent="0.2">
      <c r="A17722" t="s">
        <v>29264</v>
      </c>
      <c r="B17722" t="s">
        <v>16171</v>
      </c>
      <c r="C17722" t="s">
        <v>189</v>
      </c>
      <c r="D17722" t="s">
        <v>14</v>
      </c>
      <c r="E17722" t="s">
        <v>246</v>
      </c>
      <c r="F17722" s="2" t="str">
        <f>HYPERLINK("http://www.otzar.org/book.asp?607739","ילקוט מועדי ישראל - פסח, שבועות, סוכות")</f>
        <v>ילקוט מועדי ישראל - פסח, שבועות, סוכות</v>
      </c>
    </row>
    <row r="17723" spans="1:6" x14ac:dyDescent="0.2">
      <c r="A17723" t="s">
        <v>29265</v>
      </c>
      <c r="B17723" t="s">
        <v>29266</v>
      </c>
      <c r="C17723" t="s">
        <v>146</v>
      </c>
      <c r="D17723" t="s">
        <v>412</v>
      </c>
      <c r="E17723" t="s">
        <v>3055</v>
      </c>
      <c r="F17723" s="2" t="str">
        <f>HYPERLINK("http://www.otzar.org/book.asp?168513","ילקוט מועדי קדשיך - חג הפסח")</f>
        <v>ילקוט מועדי קדשיך - חג הפסח</v>
      </c>
    </row>
    <row r="17724" spans="1:6" x14ac:dyDescent="0.2">
      <c r="A17724" t="s">
        <v>29267</v>
      </c>
      <c r="B17724" t="s">
        <v>29268</v>
      </c>
      <c r="C17724" t="s">
        <v>168</v>
      </c>
      <c r="D17724" t="s">
        <v>52</v>
      </c>
      <c r="E17724" t="s">
        <v>2775</v>
      </c>
      <c r="F17724" s="2" t="str">
        <f>HYPERLINK("http://www.otzar.org/book.asp?160281","ילקוט מחיר כסף")</f>
        <v>ילקוט מחיר כסף</v>
      </c>
    </row>
    <row r="17725" spans="1:6" x14ac:dyDescent="0.2">
      <c r="A17725" t="s">
        <v>29269</v>
      </c>
      <c r="B17725" t="s">
        <v>29270</v>
      </c>
      <c r="C17725" t="s">
        <v>6054</v>
      </c>
      <c r="D17725" t="s">
        <v>610</v>
      </c>
      <c r="F17725" s="2" t="str">
        <f>HYPERLINK("http://www.otzar.org/book.asp?620921","ילקוט מילואים")</f>
        <v>ילקוט מילואים</v>
      </c>
    </row>
    <row r="17726" spans="1:6" x14ac:dyDescent="0.2">
      <c r="A17726" t="s">
        <v>29271</v>
      </c>
      <c r="B17726" t="s">
        <v>29272</v>
      </c>
      <c r="C17726" t="s">
        <v>356</v>
      </c>
      <c r="D17726" t="s">
        <v>14</v>
      </c>
      <c r="E17726" t="s">
        <v>15</v>
      </c>
      <c r="F17726" s="2" t="str">
        <f>HYPERLINK("http://www.otzar.org/book.asp?162791","ילקוט מנהגים")</f>
        <v>ילקוט מנהגים</v>
      </c>
    </row>
    <row r="17727" spans="1:6" x14ac:dyDescent="0.2">
      <c r="A17727" t="s">
        <v>29273</v>
      </c>
      <c r="B17727" t="s">
        <v>29274</v>
      </c>
      <c r="C17727" t="s">
        <v>103</v>
      </c>
      <c r="D17727" t="s">
        <v>14</v>
      </c>
      <c r="E17727" t="s">
        <v>246</v>
      </c>
      <c r="F17727" s="2" t="str">
        <f>HYPERLINK("http://www.otzar.org/book.asp?159312","ילקוט מנוחת אשר - מנוחת משה - פסח")</f>
        <v>ילקוט מנוחת אשר - מנוחת משה - פסח</v>
      </c>
    </row>
    <row r="17728" spans="1:6" x14ac:dyDescent="0.2">
      <c r="A17728" t="s">
        <v>29275</v>
      </c>
      <c r="B17728" t="s">
        <v>29276</v>
      </c>
      <c r="C17728" t="s">
        <v>946</v>
      </c>
      <c r="D17728" t="s">
        <v>29277</v>
      </c>
      <c r="E17728" t="s">
        <v>104</v>
      </c>
      <c r="F17728" s="2" t="str">
        <f>HYPERLINK("http://www.otzar.org/book.asp?143025","ילקוט מנחם")</f>
        <v>ילקוט מנחם</v>
      </c>
    </row>
    <row r="17729" spans="1:6" x14ac:dyDescent="0.2">
      <c r="A17729" t="s">
        <v>29275</v>
      </c>
      <c r="B17729" t="s">
        <v>29278</v>
      </c>
      <c r="C17729" t="s">
        <v>473</v>
      </c>
      <c r="D17729" t="s">
        <v>225</v>
      </c>
      <c r="E17729" t="s">
        <v>64</v>
      </c>
      <c r="F17729" s="2" t="str">
        <f>HYPERLINK("http://www.otzar.org/book.asp?24631","ילקוט מנחם")</f>
        <v>ילקוט מנחם</v>
      </c>
    </row>
    <row r="17730" spans="1:6" x14ac:dyDescent="0.2">
      <c r="A17730" t="s">
        <v>29279</v>
      </c>
      <c r="B17730" t="e">
        <f>- ארגואיטי, יצחק - מאגריסו, יצחק</f>
        <v>#NAME?</v>
      </c>
      <c r="C17730" t="s">
        <v>956</v>
      </c>
      <c r="D17730" t="s">
        <v>14</v>
      </c>
      <c r="E17730" t="s">
        <v>158</v>
      </c>
      <c r="F17730" s="2" t="str">
        <f>HYPERLINK("http://www.otzar.org/book.asp?105659","ילקוט מעם לועז - 2 כר'")</f>
        <v>ילקוט מעם לועז - 2 כר'</v>
      </c>
    </row>
    <row r="17731" spans="1:6" x14ac:dyDescent="0.2">
      <c r="A17731" t="s">
        <v>29279</v>
      </c>
      <c r="B17731" t="e">
        <f>- ארגואיטי, יצחק</f>
        <v>#NAME?</v>
      </c>
      <c r="C17731" t="s">
        <v>956</v>
      </c>
      <c r="D17731" t="s">
        <v>14</v>
      </c>
      <c r="E17731" t="s">
        <v>158</v>
      </c>
      <c r="F17731" s="2" t="str">
        <f>HYPERLINK("http://www.otzar.org/book.asp?105657","ילקוט מעם לועז - 2 כר'")</f>
        <v>ילקוט מעם לועז - 2 כר'</v>
      </c>
    </row>
    <row r="17732" spans="1:6" x14ac:dyDescent="0.2">
      <c r="A17732" t="s">
        <v>29280</v>
      </c>
      <c r="B17732" t="e">
        <f>- כולי, יעקב</f>
        <v>#NAME?</v>
      </c>
      <c r="C17732" t="s">
        <v>1160</v>
      </c>
      <c r="D17732" t="s">
        <v>14</v>
      </c>
      <c r="E17732" t="s">
        <v>158</v>
      </c>
      <c r="F17732" s="2" t="str">
        <f>HYPERLINK("http://www.otzar.org/book.asp?105203","ילקוט מעם לועז - 5 כר'")</f>
        <v>ילקוט מעם לועז - 5 כר'</v>
      </c>
    </row>
    <row r="17733" spans="1:6" x14ac:dyDescent="0.2">
      <c r="A17733" t="s">
        <v>29279</v>
      </c>
      <c r="B17733" t="e">
        <f>- מאגריסו, יצחק</f>
        <v>#NAME?</v>
      </c>
      <c r="C17733" t="s">
        <v>427</v>
      </c>
      <c r="D17733" t="s">
        <v>14</v>
      </c>
      <c r="E17733" t="s">
        <v>158</v>
      </c>
      <c r="F17733" s="2" t="str">
        <f>HYPERLINK("http://www.otzar.org/book.asp?105655","ילקוט מעם לועז - 2 כר'")</f>
        <v>ילקוט מעם לועז - 2 כר'</v>
      </c>
    </row>
    <row r="17734" spans="1:6" x14ac:dyDescent="0.2">
      <c r="A17734" t="s">
        <v>29281</v>
      </c>
      <c r="B17734" t="e">
        <f>- מיטראני, רחמים מנחם</f>
        <v>#NAME?</v>
      </c>
      <c r="C17734" t="s">
        <v>956</v>
      </c>
      <c r="D17734" t="s">
        <v>14</v>
      </c>
      <c r="E17734" t="s">
        <v>158</v>
      </c>
      <c r="F17734" s="2" t="str">
        <f>HYPERLINK("http://www.otzar.org/book.asp?105202","ילקוט מעם לועז - יב (יהושע)")</f>
        <v>ילקוט מעם לועז - יב (יהושע)</v>
      </c>
    </row>
    <row r="17735" spans="1:6" x14ac:dyDescent="0.2">
      <c r="A17735" t="s">
        <v>29282</v>
      </c>
      <c r="B17735" t="e">
        <f>- קרויזר, שמואל בן חיים יוסף</f>
        <v>#NAME?</v>
      </c>
      <c r="C17735" t="s">
        <v>956</v>
      </c>
      <c r="D17735" t="s">
        <v>14</v>
      </c>
      <c r="E17735" t="s">
        <v>158</v>
      </c>
      <c r="F17735" s="2" t="str">
        <f>HYPERLINK("http://www.otzar.org/book.asp?105661","ילקוט מעם לועז - 20 כר'")</f>
        <v>ילקוט מעם לועז - 20 כר'</v>
      </c>
    </row>
    <row r="17736" spans="1:6" x14ac:dyDescent="0.2">
      <c r="A17736" t="s">
        <v>29283</v>
      </c>
      <c r="B17736" t="s">
        <v>29284</v>
      </c>
      <c r="C17736" t="s">
        <v>51</v>
      </c>
      <c r="D17736" t="s">
        <v>14</v>
      </c>
      <c r="E17736" t="s">
        <v>84</v>
      </c>
      <c r="F17736" s="2" t="str">
        <f>HYPERLINK("http://www.otzar.org/book.asp?107354","ילקוט מפרשים על מסכת כלים")</f>
        <v>ילקוט מפרשים על מסכת כלים</v>
      </c>
    </row>
    <row r="17737" spans="1:6" x14ac:dyDescent="0.2">
      <c r="A17737" t="s">
        <v>29285</v>
      </c>
      <c r="B17737" t="s">
        <v>29286</v>
      </c>
      <c r="C17737" t="s">
        <v>151</v>
      </c>
      <c r="D17737" t="s">
        <v>14</v>
      </c>
      <c r="E17737" t="s">
        <v>144</v>
      </c>
      <c r="F17737" s="2" t="str">
        <f>HYPERLINK("http://www.otzar.org/book.asp?614647","ילקוט מפרשים - מעילה")</f>
        <v>ילקוט מפרשים - מעילה</v>
      </c>
    </row>
    <row r="17738" spans="1:6" x14ac:dyDescent="0.2">
      <c r="A17738" t="s">
        <v>29287</v>
      </c>
      <c r="B17738" t="s">
        <v>3759</v>
      </c>
      <c r="C17738" t="s">
        <v>8</v>
      </c>
      <c r="D17738" t="s">
        <v>1279</v>
      </c>
      <c r="E17738" t="s">
        <v>4333</v>
      </c>
      <c r="F17738" s="2" t="str">
        <f>HYPERLINK("http://www.otzar.org/book.asp?19185","ילקוט מרגליות")</f>
        <v>ילקוט מרגליות</v>
      </c>
    </row>
    <row r="17739" spans="1:6" x14ac:dyDescent="0.2">
      <c r="A17739" t="s">
        <v>29288</v>
      </c>
      <c r="B17739" t="s">
        <v>206</v>
      </c>
      <c r="C17739" t="s">
        <v>244</v>
      </c>
      <c r="D17739" t="s">
        <v>14</v>
      </c>
      <c r="E17739" t="s">
        <v>172</v>
      </c>
      <c r="F17739" s="2" t="str">
        <f>HYPERLINK("http://www.otzar.org/book.asp?621629","ילקוט משה - א")</f>
        <v>ילקוט משה - א</v>
      </c>
    </row>
    <row r="17740" spans="1:6" x14ac:dyDescent="0.2">
      <c r="A17740" t="s">
        <v>29289</v>
      </c>
      <c r="B17740" t="s">
        <v>29290</v>
      </c>
      <c r="C17740" t="s">
        <v>20</v>
      </c>
      <c r="D17740" t="s">
        <v>216</v>
      </c>
      <c r="E17740" t="s">
        <v>158</v>
      </c>
      <c r="F17740" s="2" t="str">
        <f>HYPERLINK("http://www.otzar.org/book.asp?169891","ילקוט משה")</f>
        <v>ילקוט משה</v>
      </c>
    </row>
    <row r="17741" spans="1:6" x14ac:dyDescent="0.2">
      <c r="A17741" t="s">
        <v>29289</v>
      </c>
      <c r="B17741" t="s">
        <v>29291</v>
      </c>
      <c r="C17741" t="s">
        <v>1706</v>
      </c>
      <c r="D17741" t="s">
        <v>379</v>
      </c>
      <c r="E17741" t="s">
        <v>29292</v>
      </c>
      <c r="F17741" s="2" t="str">
        <f>HYPERLINK("http://www.otzar.org/book.asp?200116","ילקוט משה")</f>
        <v>ילקוט משה</v>
      </c>
    </row>
    <row r="17742" spans="1:6" x14ac:dyDescent="0.2">
      <c r="A17742" t="s">
        <v>29293</v>
      </c>
      <c r="B17742" t="s">
        <v>29294</v>
      </c>
      <c r="C17742" t="s">
        <v>151</v>
      </c>
      <c r="D17742" t="s">
        <v>423</v>
      </c>
      <c r="F17742" s="2" t="str">
        <f>HYPERLINK("http://www.otzar.org/book.asp?616457","ילקוט משה - הלכות תפילה")</f>
        <v>ילקוט משה - הלכות תפילה</v>
      </c>
    </row>
    <row r="17743" spans="1:6" x14ac:dyDescent="0.2">
      <c r="A17743" t="s">
        <v>29289</v>
      </c>
      <c r="B17743" t="s">
        <v>29295</v>
      </c>
      <c r="C17743" t="s">
        <v>473</v>
      </c>
      <c r="D17743" t="s">
        <v>225</v>
      </c>
      <c r="E17743" t="s">
        <v>2010</v>
      </c>
      <c r="F17743" s="2" t="str">
        <f>HYPERLINK("http://www.otzar.org/book.asp?18886","ילקוט משה")</f>
        <v>ילקוט משה</v>
      </c>
    </row>
    <row r="17744" spans="1:6" x14ac:dyDescent="0.2">
      <c r="A17744" t="s">
        <v>29296</v>
      </c>
      <c r="B17744" t="s">
        <v>29297</v>
      </c>
      <c r="C17744" t="s">
        <v>13</v>
      </c>
      <c r="D17744" t="s">
        <v>412</v>
      </c>
      <c r="F17744" s="2" t="str">
        <f>HYPERLINK("http://www.otzar.org/book.asp?619265","ילקוט משיב נפש")</f>
        <v>ילקוט משיב נפש</v>
      </c>
    </row>
    <row r="17745" spans="1:6" x14ac:dyDescent="0.2">
      <c r="A17745" t="s">
        <v>29298</v>
      </c>
      <c r="B17745" t="s">
        <v>29299</v>
      </c>
      <c r="C17745" t="s">
        <v>1268</v>
      </c>
      <c r="D17745" t="s">
        <v>118</v>
      </c>
      <c r="F17745" s="2" t="str">
        <f>HYPERLINK("http://www.otzar.org/book.asp?156912","ילקוט משלי החפץ חיים - סגולת התורה")</f>
        <v>ילקוט משלי החפץ חיים - סגולת התורה</v>
      </c>
    </row>
    <row r="17746" spans="1:6" x14ac:dyDescent="0.2">
      <c r="A17746" t="s">
        <v>29300</v>
      </c>
      <c r="B17746" t="s">
        <v>29301</v>
      </c>
      <c r="C17746" t="s">
        <v>68</v>
      </c>
      <c r="D17746" t="s">
        <v>21</v>
      </c>
      <c r="E17746" t="s">
        <v>246</v>
      </c>
      <c r="F17746" s="2" t="str">
        <f>HYPERLINK("http://www.otzar.org/book.asp?602667","ילקוט מתן תורתנו - שבועות")</f>
        <v>ילקוט מתן תורתנו - שבועות</v>
      </c>
    </row>
    <row r="17747" spans="1:6" x14ac:dyDescent="0.2">
      <c r="A17747" t="s">
        <v>29302</v>
      </c>
      <c r="B17747" t="s">
        <v>29303</v>
      </c>
      <c r="C17747" t="s">
        <v>3840</v>
      </c>
      <c r="D17747" t="s">
        <v>412</v>
      </c>
      <c r="E17747" t="s">
        <v>158</v>
      </c>
      <c r="F17747" s="2" t="str">
        <f>HYPERLINK("http://www.otzar.org/book.asp?196463","ילקוט נח - שמות")</f>
        <v>ילקוט נח - שמות</v>
      </c>
    </row>
    <row r="17748" spans="1:6" x14ac:dyDescent="0.2">
      <c r="A17748" t="s">
        <v>29304</v>
      </c>
      <c r="B17748" t="s">
        <v>29305</v>
      </c>
      <c r="C17748" t="s">
        <v>576</v>
      </c>
      <c r="D17748" t="s">
        <v>283</v>
      </c>
      <c r="E17748" t="s">
        <v>29306</v>
      </c>
      <c r="F17748" s="2" t="str">
        <f>HYPERLINK("http://www.otzar.org/book.asp?103273","ילקוט נחמני - 2 כר'")</f>
        <v>ילקוט נחמני - 2 כר'</v>
      </c>
    </row>
    <row r="17749" spans="1:6" x14ac:dyDescent="0.2">
      <c r="A17749" t="s">
        <v>29307</v>
      </c>
      <c r="B17749" t="s">
        <v>29308</v>
      </c>
      <c r="C17749" t="s">
        <v>411</v>
      </c>
      <c r="D17749" t="s">
        <v>14</v>
      </c>
      <c r="E17749" t="s">
        <v>399</v>
      </c>
      <c r="F17749" s="2" t="str">
        <f>HYPERLINK("http://www.otzar.org/book.asp?179717","ילקוט סוד")</f>
        <v>ילקוט סוד</v>
      </c>
    </row>
    <row r="17750" spans="1:6" x14ac:dyDescent="0.2">
      <c r="A17750" t="s">
        <v>29309</v>
      </c>
      <c r="B17750" t="s">
        <v>16988</v>
      </c>
      <c r="C17750" t="s">
        <v>37</v>
      </c>
      <c r="D17750" t="s">
        <v>412</v>
      </c>
      <c r="E17750" t="s">
        <v>158</v>
      </c>
      <c r="F17750" s="2" t="str">
        <f>HYPERLINK("http://www.otzar.org/book.asp?183319","ילקוט סופר החדש - 2 כר'")</f>
        <v>ילקוט סופר החדש - 2 כר'</v>
      </c>
    </row>
    <row r="17751" spans="1:6" x14ac:dyDescent="0.2">
      <c r="A17751" t="s">
        <v>29310</v>
      </c>
      <c r="B17751" t="s">
        <v>16988</v>
      </c>
      <c r="C17751" t="s">
        <v>26145</v>
      </c>
      <c r="D17751" t="s">
        <v>661</v>
      </c>
      <c r="E17751" t="s">
        <v>29066</v>
      </c>
      <c r="F17751" s="2" t="str">
        <f>HYPERLINK("http://www.otzar.org/book.asp?7594","ילקוט סופר - 3 כר'")</f>
        <v>ילקוט סופר - 3 כר'</v>
      </c>
    </row>
    <row r="17752" spans="1:6" x14ac:dyDescent="0.2">
      <c r="A17752" t="s">
        <v>29311</v>
      </c>
      <c r="B17752" t="s">
        <v>1750</v>
      </c>
      <c r="C17752" t="s">
        <v>180</v>
      </c>
      <c r="D17752" t="s">
        <v>14</v>
      </c>
      <c r="E17752" t="s">
        <v>26985</v>
      </c>
      <c r="F17752" s="2" t="str">
        <f>HYPERLINK("http://www.otzar.org/book.asp?200044","ילקוט סיני")</f>
        <v>ילקוט סיני</v>
      </c>
    </row>
    <row r="17753" spans="1:6" x14ac:dyDescent="0.2">
      <c r="A17753" t="s">
        <v>29312</v>
      </c>
      <c r="B17753" t="s">
        <v>29313</v>
      </c>
      <c r="C17753" t="s">
        <v>1202</v>
      </c>
      <c r="D17753" t="s">
        <v>283</v>
      </c>
      <c r="E17753" t="s">
        <v>14275</v>
      </c>
      <c r="F17753" s="2" t="str">
        <f>HYPERLINK("http://www.otzar.org/book.asp?102473","ילקוט ספורים ומדרשים - 2 כר'")</f>
        <v>ילקוט ספורים ומדרשים - 2 כר'</v>
      </c>
    </row>
    <row r="17754" spans="1:6" x14ac:dyDescent="0.2">
      <c r="A17754" t="s">
        <v>29314</v>
      </c>
      <c r="B17754" t="s">
        <v>29313</v>
      </c>
      <c r="C17754" t="s">
        <v>1096</v>
      </c>
      <c r="D17754" t="s">
        <v>283</v>
      </c>
      <c r="E17754" t="s">
        <v>12983</v>
      </c>
      <c r="F17754" s="2" t="str">
        <f>HYPERLINK("http://www.otzar.org/book.asp?11759","ילקוט ספורים - 2 כר'")</f>
        <v>ילקוט ספורים - 2 כר'</v>
      </c>
    </row>
    <row r="17755" spans="1:6" x14ac:dyDescent="0.2">
      <c r="A17755" t="s">
        <v>29315</v>
      </c>
      <c r="B17755" t="s">
        <v>29316</v>
      </c>
      <c r="C17755" t="s">
        <v>13</v>
      </c>
      <c r="D17755" t="s">
        <v>52</v>
      </c>
      <c r="E17755" t="s">
        <v>8854</v>
      </c>
      <c r="F17755" s="2" t="str">
        <f>HYPERLINK("http://www.otzar.org/book.asp?169872","ילקוט ספר הזהר על ברית מילה")</f>
        <v>ילקוט ספר הזהר על ברית מילה</v>
      </c>
    </row>
    <row r="17756" spans="1:6" x14ac:dyDescent="0.2">
      <c r="A17756" t="s">
        <v>29317</v>
      </c>
      <c r="B17756" t="s">
        <v>1012</v>
      </c>
      <c r="C17756" t="s">
        <v>17</v>
      </c>
      <c r="D17756" t="s">
        <v>152</v>
      </c>
      <c r="E17756" t="s">
        <v>1211</v>
      </c>
      <c r="F17756" s="2" t="str">
        <f>HYPERLINK("http://www.otzar.org/book.asp?142793","ילקוט ספר החינוך")</f>
        <v>ילקוט ספר החינוך</v>
      </c>
    </row>
    <row r="17757" spans="1:6" x14ac:dyDescent="0.2">
      <c r="A17757" t="s">
        <v>29318</v>
      </c>
      <c r="B17757" t="s">
        <v>29319</v>
      </c>
      <c r="C17757" t="s">
        <v>20</v>
      </c>
      <c r="D17757" t="s">
        <v>90</v>
      </c>
      <c r="F17757" s="2" t="str">
        <f>HYPERLINK("http://www.otzar.org/book.asp?196113","ילקוט סת""ם")</f>
        <v>ילקוט סת"ם</v>
      </c>
    </row>
    <row r="17758" spans="1:6" x14ac:dyDescent="0.2">
      <c r="A17758" t="s">
        <v>29320</v>
      </c>
      <c r="B17758" t="s">
        <v>29321</v>
      </c>
      <c r="C17758" t="s">
        <v>103</v>
      </c>
      <c r="D17758" t="s">
        <v>412</v>
      </c>
      <c r="E17758" t="s">
        <v>4779</v>
      </c>
      <c r="F17758" s="2" t="str">
        <f>HYPERLINK("http://www.otzar.org/book.asp?171581","ילקוט עבודת ישראל")</f>
        <v>ילקוט עבודת ישראל</v>
      </c>
    </row>
    <row r="17759" spans="1:6" x14ac:dyDescent="0.2">
      <c r="A17759" t="s">
        <v>29320</v>
      </c>
      <c r="B17759" t="s">
        <v>4049</v>
      </c>
      <c r="C17759" t="s">
        <v>114</v>
      </c>
      <c r="D17759" t="s">
        <v>14</v>
      </c>
      <c r="E17759" t="s">
        <v>834</v>
      </c>
      <c r="F17759" s="2" t="str">
        <f>HYPERLINK("http://www.otzar.org/book.asp?179009","ילקוט עבודת ישראל")</f>
        <v>ילקוט עבודת ישראל</v>
      </c>
    </row>
    <row r="17760" spans="1:6" x14ac:dyDescent="0.2">
      <c r="A17760" t="s">
        <v>29322</v>
      </c>
      <c r="B17760" t="s">
        <v>14198</v>
      </c>
      <c r="C17760" t="s">
        <v>20680</v>
      </c>
      <c r="D17760" t="s">
        <v>885</v>
      </c>
      <c r="F17760" s="2" t="str">
        <f>HYPERLINK("http://www.otzar.org/book.asp?152837","ילקוט על התורה &lt;ילקוט ראובני&gt;")</f>
        <v>ילקוט על התורה &lt;ילקוט ראובני&gt;</v>
      </c>
    </row>
    <row r="17761" spans="1:6" x14ac:dyDescent="0.2">
      <c r="A17761" t="s">
        <v>29323</v>
      </c>
      <c r="B17761" t="s">
        <v>29324</v>
      </c>
      <c r="C17761" t="s">
        <v>940</v>
      </c>
      <c r="D17761" t="s">
        <v>14</v>
      </c>
      <c r="E17761" t="s">
        <v>219</v>
      </c>
      <c r="F17761" s="2" t="str">
        <f>HYPERLINK("http://www.otzar.org/book.asp?142154","ילקוט על התפלה")</f>
        <v>ילקוט על התפלה</v>
      </c>
    </row>
    <row r="17762" spans="1:6" x14ac:dyDescent="0.2">
      <c r="A17762" t="s">
        <v>29325</v>
      </c>
      <c r="B17762" t="s">
        <v>290</v>
      </c>
      <c r="C17762" t="s">
        <v>603</v>
      </c>
      <c r="D17762" t="s">
        <v>283</v>
      </c>
      <c r="E17762" t="s">
        <v>64</v>
      </c>
      <c r="F17762" s="2" t="str">
        <f>HYPERLINK("http://www.otzar.org/book.asp?25726","ילקוט על פטירת אהרן ומשה")</f>
        <v>ילקוט על פטירת אהרן ומשה</v>
      </c>
    </row>
    <row r="17763" spans="1:6" x14ac:dyDescent="0.2">
      <c r="A17763" t="s">
        <v>29326</v>
      </c>
      <c r="B17763" t="s">
        <v>16171</v>
      </c>
      <c r="C17763" t="s">
        <v>624</v>
      </c>
      <c r="D17763" t="s">
        <v>14</v>
      </c>
      <c r="E17763" t="s">
        <v>241</v>
      </c>
      <c r="F17763" s="2" t="str">
        <f>HYPERLINK("http://www.otzar.org/book.asp?607740","ילקוט עמוד התפילה")</f>
        <v>ילקוט עמוד התפילה</v>
      </c>
    </row>
    <row r="17764" spans="1:6" x14ac:dyDescent="0.2">
      <c r="A17764" t="s">
        <v>29327</v>
      </c>
      <c r="B17764" t="s">
        <v>29328</v>
      </c>
      <c r="C17764" t="s">
        <v>433</v>
      </c>
      <c r="D17764" t="s">
        <v>260</v>
      </c>
      <c r="E17764" t="s">
        <v>230</v>
      </c>
      <c r="F17764" s="2" t="str">
        <f>HYPERLINK("http://www.otzar.org/book.asp?158031","ילקוט עני")</f>
        <v>ילקוט עני</v>
      </c>
    </row>
    <row r="17765" spans="1:6" x14ac:dyDescent="0.2">
      <c r="A17765" t="s">
        <v>29329</v>
      </c>
      <c r="B17765" t="s">
        <v>1978</v>
      </c>
      <c r="C17765" t="s">
        <v>17</v>
      </c>
      <c r="D17765" t="s">
        <v>90</v>
      </c>
      <c r="E17765" t="s">
        <v>241</v>
      </c>
      <c r="F17765" s="2" t="str">
        <f>HYPERLINK("http://www.otzar.org/book.asp?173002","ילקוט עצות והדרכות מספרי החפץ חיים")</f>
        <v>ילקוט עצות והדרכות מספרי החפץ חיים</v>
      </c>
    </row>
    <row r="17766" spans="1:6" x14ac:dyDescent="0.2">
      <c r="A17766" t="s">
        <v>29330</v>
      </c>
      <c r="B17766" t="s">
        <v>29331</v>
      </c>
      <c r="C17766" t="s">
        <v>1954</v>
      </c>
      <c r="D17766" t="s">
        <v>27</v>
      </c>
      <c r="E17766" t="s">
        <v>213</v>
      </c>
      <c r="F17766" s="2" t="str">
        <f>HYPERLINK("http://www.otzar.org/book.asp?11502","ילקוט ערבות הילדים")</f>
        <v>ילקוט ערבות הילדים</v>
      </c>
    </row>
    <row r="17767" spans="1:6" x14ac:dyDescent="0.2">
      <c r="A17767" t="s">
        <v>29332</v>
      </c>
      <c r="B17767" t="s">
        <v>29332</v>
      </c>
      <c r="C17767" t="s">
        <v>411</v>
      </c>
      <c r="D17767" t="s">
        <v>1156</v>
      </c>
      <c r="E17767" t="s">
        <v>741</v>
      </c>
      <c r="F17767" s="2" t="str">
        <f>HYPERLINK("http://www.otzar.org/book.asp?168572","ילקוט עת דודים")</f>
        <v>ילקוט עת דודים</v>
      </c>
    </row>
    <row r="17768" spans="1:6" x14ac:dyDescent="0.2">
      <c r="A17768" t="s">
        <v>29333</v>
      </c>
      <c r="B17768" t="s">
        <v>7209</v>
      </c>
      <c r="C17768" t="s">
        <v>51</v>
      </c>
      <c r="D17768" t="s">
        <v>14</v>
      </c>
      <c r="F17768" s="2" t="str">
        <f>HYPERLINK("http://www.otzar.org/book.asp?156975","ילקוט פירושים &lt;משלי&gt; - 2 כר'")</f>
        <v>ילקוט פירושים &lt;משלי&gt; - 2 כר'</v>
      </c>
    </row>
    <row r="17769" spans="1:6" x14ac:dyDescent="0.2">
      <c r="A17769" t="s">
        <v>29334</v>
      </c>
      <c r="B17769" t="s">
        <v>7209</v>
      </c>
      <c r="C17769" t="s">
        <v>103</v>
      </c>
      <c r="D17769" t="s">
        <v>14</v>
      </c>
      <c r="F17769" s="2" t="str">
        <f>HYPERLINK("http://www.otzar.org/book.asp?156976","ילקוט פירושים &lt;פרקי אבות&gt; - 2 כר'")</f>
        <v>ילקוט פירושים &lt;פרקי אבות&gt; - 2 כר'</v>
      </c>
    </row>
    <row r="17770" spans="1:6" x14ac:dyDescent="0.2">
      <c r="A17770" t="s">
        <v>29335</v>
      </c>
      <c r="B17770" t="s">
        <v>7209</v>
      </c>
      <c r="C17770" t="s">
        <v>454</v>
      </c>
      <c r="D17770" t="s">
        <v>14</v>
      </c>
      <c r="F17770" s="2" t="str">
        <f>HYPERLINK("http://www.otzar.org/book.asp?156970","ילקוט פירושים &lt;תהילים&gt; - 4 כר'")</f>
        <v>ילקוט פירושים &lt;תהילים&gt; - 4 כר'</v>
      </c>
    </row>
    <row r="17771" spans="1:6" x14ac:dyDescent="0.2">
      <c r="A17771" t="s">
        <v>29336</v>
      </c>
      <c r="B17771" t="s">
        <v>29337</v>
      </c>
      <c r="C17771">
        <v>1971</v>
      </c>
      <c r="D17771" t="s">
        <v>21</v>
      </c>
      <c r="E17771" t="s">
        <v>158</v>
      </c>
      <c r="F17771" s="2" t="str">
        <f>HYPERLINK("http://www.otzar.org/book.asp?610983","ילקוט פירושים לתורה")</f>
        <v>ילקוט פירושים לתורה</v>
      </c>
    </row>
    <row r="17772" spans="1:6" x14ac:dyDescent="0.2">
      <c r="A17772" t="s">
        <v>29338</v>
      </c>
      <c r="B17772" t="s">
        <v>12062</v>
      </c>
      <c r="C17772" t="s">
        <v>427</v>
      </c>
      <c r="D17772" t="s">
        <v>14</v>
      </c>
      <c r="E17772" t="s">
        <v>957</v>
      </c>
      <c r="F17772" s="2" t="str">
        <f>HYPERLINK("http://www.otzar.org/book.asp?14539","ילקוט פירושים על התורה")</f>
        <v>ילקוט פירושים על התורה</v>
      </c>
    </row>
    <row r="17773" spans="1:6" x14ac:dyDescent="0.2">
      <c r="A17773" t="s">
        <v>29339</v>
      </c>
      <c r="B17773" t="s">
        <v>29340</v>
      </c>
      <c r="C17773" t="s">
        <v>427</v>
      </c>
      <c r="D17773" t="s">
        <v>216</v>
      </c>
      <c r="E17773" t="s">
        <v>2088</v>
      </c>
      <c r="F17773" s="2" t="str">
        <f>HYPERLINK("http://www.otzar.org/book.asp?17589","ילקוט פירושים - 7 כר'")</f>
        <v>ילקוט פירושים - 7 כר'</v>
      </c>
    </row>
    <row r="17774" spans="1:6" x14ac:dyDescent="0.2">
      <c r="A17774" t="s">
        <v>29341</v>
      </c>
      <c r="B17774" t="s">
        <v>14657</v>
      </c>
      <c r="C17774" t="s">
        <v>68</v>
      </c>
      <c r="D17774" t="s">
        <v>52</v>
      </c>
      <c r="F17774" s="2" t="str">
        <f>HYPERLINK("http://www.otzar.org/book.asp?156363","ילקוט פירושים - 40 כר'")</f>
        <v>ילקוט פירושים - 40 כר'</v>
      </c>
    </row>
    <row r="17775" spans="1:6" x14ac:dyDescent="0.2">
      <c r="A17775" t="s">
        <v>29342</v>
      </c>
      <c r="B17775" t="s">
        <v>29343</v>
      </c>
      <c r="C17775" t="s">
        <v>383</v>
      </c>
      <c r="D17775" t="s">
        <v>52</v>
      </c>
      <c r="E17775" t="s">
        <v>463</v>
      </c>
      <c r="F17775" s="2" t="str">
        <f>HYPERLINK("http://www.otzar.org/book.asp?50777","ילקוט פני מבין")</f>
        <v>ילקוט פני מבין</v>
      </c>
    </row>
    <row r="17776" spans="1:6" x14ac:dyDescent="0.2">
      <c r="A17776" t="s">
        <v>29344</v>
      </c>
      <c r="B17776" t="s">
        <v>4015</v>
      </c>
      <c r="C17776" t="s">
        <v>160</v>
      </c>
      <c r="D17776" t="s">
        <v>9</v>
      </c>
      <c r="E17776" t="s">
        <v>957</v>
      </c>
      <c r="F17776" s="2" t="str">
        <f>HYPERLINK("http://www.otzar.org/book.asp?167180","ילקוט פנינים")</f>
        <v>ילקוט פנינים</v>
      </c>
    </row>
    <row r="17777" spans="1:6" x14ac:dyDescent="0.2">
      <c r="A17777" t="s">
        <v>29344</v>
      </c>
      <c r="B17777" t="s">
        <v>3759</v>
      </c>
      <c r="C17777" t="s">
        <v>609</v>
      </c>
      <c r="D17777" t="s">
        <v>1279</v>
      </c>
      <c r="E17777" t="s">
        <v>1262</v>
      </c>
      <c r="F17777" s="2" t="str">
        <f>HYPERLINK("http://www.otzar.org/book.asp?18887","ילקוט פנינים")</f>
        <v>ילקוט פנינים</v>
      </c>
    </row>
    <row r="17778" spans="1:6" x14ac:dyDescent="0.2">
      <c r="A17778" t="s">
        <v>29345</v>
      </c>
      <c r="B17778" t="s">
        <v>693</v>
      </c>
      <c r="C17778" t="s">
        <v>1096</v>
      </c>
      <c r="D17778" t="s">
        <v>10557</v>
      </c>
      <c r="E17778" t="s">
        <v>130</v>
      </c>
      <c r="F17778" s="2" t="str">
        <f>HYPERLINK("http://www.otzar.org/book.asp?191406","ילקוט פרי עץ הדר")</f>
        <v>ילקוט פרי עץ הדר</v>
      </c>
    </row>
    <row r="17779" spans="1:6" x14ac:dyDescent="0.2">
      <c r="A17779" t="s">
        <v>29346</v>
      </c>
      <c r="B17779" t="s">
        <v>16171</v>
      </c>
      <c r="C17779" t="s">
        <v>103</v>
      </c>
      <c r="D17779" t="s">
        <v>14</v>
      </c>
      <c r="E17779" t="s">
        <v>241</v>
      </c>
      <c r="F17779" s="2" t="str">
        <f>HYPERLINK("http://www.otzar.org/book.asp?607734","ילקוט צדקה וחסד")</f>
        <v>ילקוט צדקה וחסד</v>
      </c>
    </row>
    <row r="17780" spans="1:6" x14ac:dyDescent="0.2">
      <c r="A17780" t="s">
        <v>29347</v>
      </c>
      <c r="B17780" t="s">
        <v>29348</v>
      </c>
      <c r="C17780" t="s">
        <v>533</v>
      </c>
      <c r="D17780" t="s">
        <v>412</v>
      </c>
      <c r="E17780" t="s">
        <v>15</v>
      </c>
      <c r="F17780" s="2" t="str">
        <f>HYPERLINK("http://www.otzar.org/book.asp?195834","ילקוט צורת האותיות")</f>
        <v>ילקוט צורת האותיות</v>
      </c>
    </row>
    <row r="17781" spans="1:6" x14ac:dyDescent="0.2">
      <c r="A17781" t="s">
        <v>29349</v>
      </c>
      <c r="B17781" t="s">
        <v>12130</v>
      </c>
      <c r="C17781" t="s">
        <v>956</v>
      </c>
      <c r="D17781" t="s">
        <v>52</v>
      </c>
      <c r="E17781" t="s">
        <v>158</v>
      </c>
      <c r="F17781" s="2" t="str">
        <f>HYPERLINK("http://www.otzar.org/book.asp?11930","ילקוט ציוני דרך - 7 כר'")</f>
        <v>ילקוט ציוני דרך - 7 כר'</v>
      </c>
    </row>
    <row r="17782" spans="1:6" x14ac:dyDescent="0.2">
      <c r="A17782" t="s">
        <v>29350</v>
      </c>
      <c r="B17782" t="s">
        <v>29351</v>
      </c>
      <c r="C17782" t="s">
        <v>37</v>
      </c>
      <c r="D17782" t="s">
        <v>52</v>
      </c>
      <c r="E17782" t="s">
        <v>246</v>
      </c>
      <c r="F17782" s="2" t="str">
        <f>HYPERLINK("http://www.otzar.org/book.asp?182392","ילקוט ציצים ופרחים")</f>
        <v>ילקוט ציצים ופרחים</v>
      </c>
    </row>
    <row r="17783" spans="1:6" x14ac:dyDescent="0.2">
      <c r="A17783" t="s">
        <v>29352</v>
      </c>
      <c r="B17783" t="s">
        <v>14198</v>
      </c>
      <c r="C17783" t="s">
        <v>5151</v>
      </c>
      <c r="D17783" t="s">
        <v>1023</v>
      </c>
      <c r="E17783" t="s">
        <v>29353</v>
      </c>
      <c r="F17783" s="2" t="str">
        <f>HYPERLINK("http://www.otzar.org/book.asp?103274","ילקוט ראובני - 6 כר'")</f>
        <v>ילקוט ראובני - 6 כר'</v>
      </c>
    </row>
    <row r="17784" spans="1:6" x14ac:dyDescent="0.2">
      <c r="A17784" t="s">
        <v>29354</v>
      </c>
      <c r="B17784" t="s">
        <v>29355</v>
      </c>
      <c r="C17784" t="s">
        <v>1388</v>
      </c>
      <c r="D17784" t="s">
        <v>14</v>
      </c>
      <c r="E17784" t="s">
        <v>2088</v>
      </c>
      <c r="F17784" s="2" t="str">
        <f>HYPERLINK("http://www.otzar.org/book.asp?9691","ילקוט ראשונים - יבמות &lt;עם הגהות&gt;")</f>
        <v>ילקוט ראשונים - יבמות &lt;עם הגהות&gt;</v>
      </c>
    </row>
    <row r="17785" spans="1:6" x14ac:dyDescent="0.2">
      <c r="A17785" t="s">
        <v>29356</v>
      </c>
      <c r="B17785" t="s">
        <v>29357</v>
      </c>
      <c r="C17785" t="s">
        <v>422</v>
      </c>
      <c r="D17785" t="s">
        <v>14</v>
      </c>
      <c r="E17785" t="s">
        <v>84</v>
      </c>
      <c r="F17785" s="2" t="str">
        <f>HYPERLINK("http://www.otzar.org/book.asp?152248","ילקוט רבה")</f>
        <v>ילקוט רבה</v>
      </c>
    </row>
    <row r="17786" spans="1:6" x14ac:dyDescent="0.2">
      <c r="A17786" t="s">
        <v>29358</v>
      </c>
      <c r="B17786" t="s">
        <v>24057</v>
      </c>
      <c r="C17786" t="s">
        <v>313</v>
      </c>
      <c r="D17786" t="s">
        <v>423</v>
      </c>
      <c r="E17786" t="s">
        <v>230</v>
      </c>
      <c r="F17786" s="2" t="str">
        <f>HYPERLINK("http://www.otzar.org/book.asp?162394","ילקוט רני ושמחי")</f>
        <v>ילקוט רני ושמחי</v>
      </c>
    </row>
    <row r="17787" spans="1:6" x14ac:dyDescent="0.2">
      <c r="A17787" t="s">
        <v>29359</v>
      </c>
      <c r="B17787" t="s">
        <v>5332</v>
      </c>
      <c r="C17787" t="s">
        <v>777</v>
      </c>
      <c r="D17787" t="s">
        <v>29360</v>
      </c>
      <c r="E17787" t="s">
        <v>733</v>
      </c>
      <c r="F17787" s="2" t="str">
        <f>HYPERLINK("http://www.otzar.org/book.asp?492","ילקוט רש""י")</f>
        <v>ילקוט רש"י</v>
      </c>
    </row>
    <row r="17788" spans="1:6" x14ac:dyDescent="0.2">
      <c r="A17788" t="s">
        <v>29361</v>
      </c>
      <c r="B17788" t="s">
        <v>29362</v>
      </c>
      <c r="C17788" t="s">
        <v>1374</v>
      </c>
      <c r="D17788" t="s">
        <v>5108</v>
      </c>
      <c r="E17788" t="s">
        <v>84</v>
      </c>
      <c r="F17788" s="2" t="str">
        <f>HYPERLINK("http://www.otzar.org/book.asp?149572","ילקוט ש""י על פרקי אבות")</f>
        <v>ילקוט ש"י על פרקי אבות</v>
      </c>
    </row>
    <row r="17789" spans="1:6" x14ac:dyDescent="0.2">
      <c r="A17789" t="s">
        <v>29363</v>
      </c>
      <c r="B17789" t="s">
        <v>29364</v>
      </c>
      <c r="C17789" t="s">
        <v>37</v>
      </c>
      <c r="D17789" t="s">
        <v>14</v>
      </c>
      <c r="F17789" s="2" t="str">
        <f>HYPERLINK("http://www.otzar.org/book.asp?182557","ילקוט שארית ישראל")</f>
        <v>ילקוט שארית ישראל</v>
      </c>
    </row>
    <row r="17790" spans="1:6" x14ac:dyDescent="0.2">
      <c r="A17790" t="s">
        <v>29365</v>
      </c>
      <c r="B17790" t="s">
        <v>4394</v>
      </c>
      <c r="C17790" t="s">
        <v>553</v>
      </c>
      <c r="D17790" t="s">
        <v>18543</v>
      </c>
      <c r="E17790" t="s">
        <v>15</v>
      </c>
      <c r="F17790" s="2" t="str">
        <f>HYPERLINK("http://www.otzar.org/book.asp?161685","ילקוט שבע - 16 כר'")</f>
        <v>ילקוט שבע - 16 כר'</v>
      </c>
    </row>
    <row r="17791" spans="1:6" x14ac:dyDescent="0.2">
      <c r="A17791" t="s">
        <v>29366</v>
      </c>
      <c r="B17791" t="s">
        <v>29367</v>
      </c>
      <c r="C17791" t="s">
        <v>383</v>
      </c>
      <c r="D17791" t="s">
        <v>14</v>
      </c>
      <c r="F17791" s="2" t="str">
        <f>HYPERLINK("http://www.otzar.org/book.asp?614512","ילקוט שבת אחים")</f>
        <v>ילקוט שבת אחים</v>
      </c>
    </row>
    <row r="17792" spans="1:6" x14ac:dyDescent="0.2">
      <c r="A17792" t="s">
        <v>29368</v>
      </c>
      <c r="B17792" t="s">
        <v>16171</v>
      </c>
      <c r="C17792" t="s">
        <v>103</v>
      </c>
      <c r="D17792" t="s">
        <v>14</v>
      </c>
      <c r="E17792" t="s">
        <v>246</v>
      </c>
      <c r="F17792" s="2" t="str">
        <f>HYPERLINK("http://www.otzar.org/book.asp?607738","ילקוט שבת קודש")</f>
        <v>ילקוט שבת קודש</v>
      </c>
    </row>
    <row r="17793" spans="1:6" x14ac:dyDescent="0.2">
      <c r="A17793" t="s">
        <v>29369</v>
      </c>
      <c r="B17793" t="s">
        <v>2824</v>
      </c>
      <c r="C17793" t="s">
        <v>68</v>
      </c>
      <c r="D17793" t="s">
        <v>29370</v>
      </c>
      <c r="E17793" t="s">
        <v>154</v>
      </c>
      <c r="F17793" s="2" t="str">
        <f>HYPERLINK("http://www.otzar.org/book.asp?179260","ילקוט שו""ת בעניני הלכה ומנהג - 3 כר'")</f>
        <v>ילקוט שו"ת בעניני הלכה ומנהג - 3 כר'</v>
      </c>
    </row>
    <row r="17794" spans="1:6" x14ac:dyDescent="0.2">
      <c r="A17794" t="s">
        <v>29371</v>
      </c>
      <c r="B17794" t="s">
        <v>29372</v>
      </c>
      <c r="C17794" t="s">
        <v>168</v>
      </c>
      <c r="D17794" t="s">
        <v>646</v>
      </c>
      <c r="E17794" t="s">
        <v>573</v>
      </c>
      <c r="F17794" s="2" t="str">
        <f>HYPERLINK("http://www.otzar.org/book.asp?615599","ילקוט שיחות מוסר")</f>
        <v>ילקוט שיחות מוסר</v>
      </c>
    </row>
    <row r="17795" spans="1:6" x14ac:dyDescent="0.2">
      <c r="A17795" t="s">
        <v>29373</v>
      </c>
      <c r="B17795" t="s">
        <v>29374</v>
      </c>
      <c r="C17795" t="s">
        <v>523</v>
      </c>
      <c r="D17795" t="s">
        <v>14</v>
      </c>
      <c r="E17795" t="s">
        <v>144</v>
      </c>
      <c r="F17795" s="2" t="str">
        <f>HYPERLINK("http://www.otzar.org/book.asp?165798","ילקוט שיעורים - 3 כר'")</f>
        <v>ילקוט שיעורים - 3 כר'</v>
      </c>
    </row>
    <row r="17796" spans="1:6" x14ac:dyDescent="0.2">
      <c r="A17796" t="s">
        <v>29375</v>
      </c>
      <c r="B17796" t="s">
        <v>29376</v>
      </c>
      <c r="C17796" t="s">
        <v>87</v>
      </c>
      <c r="D17796" t="s">
        <v>14</v>
      </c>
      <c r="E17796" t="s">
        <v>144</v>
      </c>
      <c r="F17796" s="2" t="str">
        <f>HYPERLINK("http://www.otzar.org/book.asp?169014","ילקוט שיעורים - פסחים")</f>
        <v>ילקוט שיעורים - פסחים</v>
      </c>
    </row>
    <row r="17797" spans="1:6" x14ac:dyDescent="0.2">
      <c r="A17797" t="s">
        <v>29377</v>
      </c>
      <c r="B17797" t="s">
        <v>29378</v>
      </c>
      <c r="C17797" t="s">
        <v>422</v>
      </c>
      <c r="D17797" t="s">
        <v>90</v>
      </c>
      <c r="E17797" t="s">
        <v>144</v>
      </c>
      <c r="F17797" s="2" t="str">
        <f>HYPERLINK("http://www.otzar.org/book.asp?155905","ילקוט שיעורים")</f>
        <v>ילקוט שיעורים</v>
      </c>
    </row>
    <row r="17798" spans="1:6" x14ac:dyDescent="0.2">
      <c r="A17798" t="s">
        <v>29379</v>
      </c>
      <c r="B17798" t="s">
        <v>29372</v>
      </c>
      <c r="C17798" t="s">
        <v>332</v>
      </c>
      <c r="D17798" t="s">
        <v>646</v>
      </c>
      <c r="E17798" t="s">
        <v>144</v>
      </c>
      <c r="F17798" s="2" t="str">
        <f>HYPERLINK("http://www.otzar.org/book.asp?615612","ילקוט שיעורים - 6 כר'")</f>
        <v>ילקוט שיעורים - 6 כר'</v>
      </c>
    </row>
    <row r="17799" spans="1:6" x14ac:dyDescent="0.2">
      <c r="A17799" t="s">
        <v>29380</v>
      </c>
      <c r="B17799" t="s">
        <v>18630</v>
      </c>
      <c r="C17799" t="s">
        <v>366</v>
      </c>
      <c r="D17799" t="s">
        <v>14</v>
      </c>
      <c r="F17799" s="2" t="str">
        <f>HYPERLINK("http://www.otzar.org/book.asp?619341","ילקוט שלמה")</f>
        <v>ילקוט שלמה</v>
      </c>
    </row>
    <row r="17800" spans="1:6" x14ac:dyDescent="0.2">
      <c r="A17800" t="s">
        <v>29380</v>
      </c>
      <c r="B17800" t="s">
        <v>29381</v>
      </c>
      <c r="C17800" t="s">
        <v>812</v>
      </c>
      <c r="D17800" t="s">
        <v>9</v>
      </c>
      <c r="E17800" t="s">
        <v>1072</v>
      </c>
      <c r="F17800" s="2" t="str">
        <f>HYPERLINK("http://www.otzar.org/book.asp?5767","ילקוט שלמה")</f>
        <v>ילקוט שלמה</v>
      </c>
    </row>
    <row r="17801" spans="1:6" x14ac:dyDescent="0.2">
      <c r="A17801" t="s">
        <v>29382</v>
      </c>
      <c r="B17801" t="s">
        <v>5453</v>
      </c>
      <c r="C17801" t="s">
        <v>224</v>
      </c>
      <c r="D17801" t="s">
        <v>699</v>
      </c>
      <c r="E17801" t="s">
        <v>234</v>
      </c>
      <c r="F17801" s="2" t="str">
        <f>HYPERLINK("http://www.otzar.org/book.asp?52150","ילקוט שמואל")</f>
        <v>ילקוט שמואל</v>
      </c>
    </row>
    <row r="17802" spans="1:6" x14ac:dyDescent="0.2">
      <c r="A17802" t="s">
        <v>29383</v>
      </c>
      <c r="B17802" t="s">
        <v>27211</v>
      </c>
      <c r="C17802" t="s">
        <v>411</v>
      </c>
      <c r="D17802" t="s">
        <v>14</v>
      </c>
      <c r="F17802" s="2" t="str">
        <f>HYPERLINK("http://www.otzar.org/book.asp?182490","ילקוט שמואל - 2 כר'")</f>
        <v>ילקוט שמואל - 2 כר'</v>
      </c>
    </row>
    <row r="17803" spans="1:6" x14ac:dyDescent="0.2">
      <c r="A17803" t="s">
        <v>29384</v>
      </c>
      <c r="B17803" t="s">
        <v>29385</v>
      </c>
      <c r="C17803" t="s">
        <v>68</v>
      </c>
      <c r="D17803" t="s">
        <v>412</v>
      </c>
      <c r="E17803" t="s">
        <v>29386</v>
      </c>
      <c r="F17803" s="2" t="str">
        <f>HYPERLINK("http://www.otzar.org/book.asp?628808","ילקוט שמחת ירושלים")</f>
        <v>ילקוט שמחת ירושלים</v>
      </c>
    </row>
    <row r="17804" spans="1:6" x14ac:dyDescent="0.2">
      <c r="A17804" t="s">
        <v>29387</v>
      </c>
      <c r="B17804" t="s">
        <v>13777</v>
      </c>
      <c r="C17804" t="s">
        <v>313</v>
      </c>
      <c r="D17804" t="s">
        <v>486</v>
      </c>
      <c r="E17804" t="s">
        <v>158</v>
      </c>
      <c r="F17804" s="2" t="str">
        <f>HYPERLINK("http://www.otzar.org/book.asp?163663","ילקוט שמעון")</f>
        <v>ילקוט שמעון</v>
      </c>
    </row>
    <row r="17805" spans="1:6" x14ac:dyDescent="0.2">
      <c r="A17805" t="s">
        <v>29388</v>
      </c>
      <c r="B17805" t="s">
        <v>29389</v>
      </c>
      <c r="C17805" t="s">
        <v>29390</v>
      </c>
      <c r="D17805" t="s">
        <v>76</v>
      </c>
      <c r="E17805" t="s">
        <v>43</v>
      </c>
      <c r="F17805" s="2" t="str">
        <f>HYPERLINK("http://www.otzar.org/book.asp?53406","ילקוט שמעוני &lt;דפו""ר&gt; - ב")</f>
        <v>ילקוט שמעוני &lt;דפו"ר&gt; - ב</v>
      </c>
    </row>
    <row r="17806" spans="1:6" x14ac:dyDescent="0.2">
      <c r="A17806" t="s">
        <v>29391</v>
      </c>
      <c r="B17806" t="s">
        <v>29389</v>
      </c>
      <c r="C17806" t="s">
        <v>29390</v>
      </c>
      <c r="D17806" t="s">
        <v>76</v>
      </c>
      <c r="E17806" t="s">
        <v>1103</v>
      </c>
      <c r="F17806" s="2" t="str">
        <f>HYPERLINK("http://www.otzar.org/book.asp?703","ילקוט שמעוני &lt;דפוס ראשון&gt; - 5 כר'")</f>
        <v>ילקוט שמעוני &lt;דפוס ראשון&gt; - 5 כר'</v>
      </c>
    </row>
    <row r="17807" spans="1:6" x14ac:dyDescent="0.2">
      <c r="A17807" t="s">
        <v>29392</v>
      </c>
      <c r="B17807" t="s">
        <v>29389</v>
      </c>
      <c r="C17807" t="s">
        <v>1844</v>
      </c>
      <c r="D17807" t="s">
        <v>56</v>
      </c>
      <c r="E17807" t="s">
        <v>29393</v>
      </c>
      <c r="F17807" s="2" t="str">
        <f>HYPERLINK("http://www.otzar.org/book.asp?15787","ילקוט שמעוני &lt;שמן רענן והיכל רענן&gt; - 4 כר'")</f>
        <v>ילקוט שמעוני &lt;שמן רענן והיכל רענן&gt; - 4 כר'</v>
      </c>
    </row>
    <row r="17808" spans="1:6" x14ac:dyDescent="0.2">
      <c r="A17808" t="s">
        <v>29394</v>
      </c>
      <c r="B17808" t="s">
        <v>29395</v>
      </c>
      <c r="C17808" t="s">
        <v>466</v>
      </c>
      <c r="D17808" t="s">
        <v>14</v>
      </c>
      <c r="E17808" t="s">
        <v>43</v>
      </c>
      <c r="F17808" s="2" t="str">
        <f>HYPERLINK("http://www.otzar.org/book.asp?613802","ילקוט שמעוני המנוקד והמבואר - 10 כר'")</f>
        <v>ילקוט שמעוני המנוקד והמבואר - 10 כר'</v>
      </c>
    </row>
    <row r="17809" spans="1:6" x14ac:dyDescent="0.2">
      <c r="A17809" t="s">
        <v>29396</v>
      </c>
      <c r="B17809" t="s">
        <v>29389</v>
      </c>
      <c r="C17809" t="s">
        <v>454</v>
      </c>
      <c r="D17809" t="s">
        <v>14</v>
      </c>
      <c r="E17809" t="s">
        <v>43</v>
      </c>
      <c r="F17809" s="2" t="str">
        <f>HYPERLINK("http://www.otzar.org/book.asp?200310","ילקוט שמעוני השלם  &lt;מהדורת וגשל&gt; - 5 כר'")</f>
        <v>ילקוט שמעוני השלם  &lt;מהדורת וגשל&gt; - 5 כר'</v>
      </c>
    </row>
    <row r="17810" spans="1:6" x14ac:dyDescent="0.2">
      <c r="A17810" t="s">
        <v>29397</v>
      </c>
      <c r="B17810" t="s">
        <v>29398</v>
      </c>
      <c r="C17810" t="s">
        <v>843</v>
      </c>
      <c r="D17810" t="s">
        <v>9</v>
      </c>
      <c r="E17810" t="s">
        <v>9780</v>
      </c>
      <c r="F17810" s="2" t="str">
        <f>HYPERLINK("http://www.otzar.org/book.asp?715","ילקוט שמעוני - פרקי אבות")</f>
        <v>ילקוט שמעוני - פרקי אבות</v>
      </c>
    </row>
    <row r="17811" spans="1:6" x14ac:dyDescent="0.2">
      <c r="A17811" t="s">
        <v>29399</v>
      </c>
      <c r="B17811" t="s">
        <v>29389</v>
      </c>
      <c r="C17811" t="s">
        <v>496</v>
      </c>
      <c r="D17811" t="s">
        <v>56</v>
      </c>
      <c r="E17811" t="s">
        <v>29400</v>
      </c>
      <c r="F17811" s="2" t="str">
        <f>HYPERLINK("http://www.otzar.org/book.asp?6549","ילקוט שמעוני - 3 כר'")</f>
        <v>ילקוט שמעוני - 3 כר'</v>
      </c>
    </row>
    <row r="17812" spans="1:6" x14ac:dyDescent="0.2">
      <c r="A17812" t="s">
        <v>29401</v>
      </c>
      <c r="B17812" t="s">
        <v>1574</v>
      </c>
      <c r="C17812" t="s">
        <v>1470</v>
      </c>
      <c r="D17812" t="s">
        <v>27</v>
      </c>
      <c r="E17812" t="s">
        <v>241</v>
      </c>
      <c r="F17812" s="2" t="str">
        <f>HYPERLINK("http://www.otzar.org/book.asp?25478","ילקוט שערים לרבנו יונה")</f>
        <v>ילקוט שערים לרבנו יונה</v>
      </c>
    </row>
    <row r="17813" spans="1:6" x14ac:dyDescent="0.2">
      <c r="A17813" t="s">
        <v>29402</v>
      </c>
      <c r="B17813" t="s">
        <v>29351</v>
      </c>
      <c r="C17813" t="s">
        <v>37</v>
      </c>
      <c r="D17813" t="s">
        <v>52</v>
      </c>
      <c r="E17813" t="s">
        <v>741</v>
      </c>
      <c r="F17813" s="2" t="str">
        <f>HYPERLINK("http://www.otzar.org/book.asp?182391","ילקוט ששון ושמחה")</f>
        <v>ילקוט ששון ושמחה</v>
      </c>
    </row>
    <row r="17814" spans="1:6" x14ac:dyDescent="0.2">
      <c r="A17814" t="s">
        <v>29403</v>
      </c>
      <c r="B17814" t="s">
        <v>29404</v>
      </c>
      <c r="C17814" t="s">
        <v>176</v>
      </c>
      <c r="D17814" t="s">
        <v>90</v>
      </c>
      <c r="E17814" t="s">
        <v>158</v>
      </c>
      <c r="F17814" s="2" t="str">
        <f>HYPERLINK("http://www.otzar.org/book.asp?605984","ילקוט שתי המילים")</f>
        <v>ילקוט שתי המילים</v>
      </c>
    </row>
    <row r="17815" spans="1:6" x14ac:dyDescent="0.2">
      <c r="A17815" t="s">
        <v>29405</v>
      </c>
      <c r="B17815" t="s">
        <v>29406</v>
      </c>
      <c r="C17815" t="s">
        <v>68</v>
      </c>
      <c r="D17815" t="s">
        <v>14</v>
      </c>
      <c r="E17815" t="s">
        <v>703</v>
      </c>
      <c r="F17815" s="2" t="str">
        <f>HYPERLINK("http://www.otzar.org/book.asp?161793","ילקוט תורתך שעשעי - טשורקוב")</f>
        <v>ילקוט תורתך שעשעי - טשורקוב</v>
      </c>
    </row>
    <row r="17816" spans="1:6" x14ac:dyDescent="0.2">
      <c r="A17816" t="s">
        <v>29407</v>
      </c>
      <c r="B17816" t="s">
        <v>29408</v>
      </c>
      <c r="C17816" t="s">
        <v>19578</v>
      </c>
      <c r="D17816" t="s">
        <v>14</v>
      </c>
      <c r="E17816" t="s">
        <v>579</v>
      </c>
      <c r="F17816" s="2" t="str">
        <f>HYPERLINK("http://www.otzar.org/book.asp?103280","ילקוט תלמוד תורה - 8 כר'")</f>
        <v>ילקוט תלמוד תורה - 8 כר'</v>
      </c>
    </row>
    <row r="17817" spans="1:6" x14ac:dyDescent="0.2">
      <c r="A17817" t="s">
        <v>29409</v>
      </c>
      <c r="B17817" t="s">
        <v>16171</v>
      </c>
      <c r="C17817" t="s">
        <v>624</v>
      </c>
      <c r="D17817" t="s">
        <v>14</v>
      </c>
      <c r="E17817" t="s">
        <v>241</v>
      </c>
      <c r="F17817" s="2" t="str">
        <f>HYPERLINK("http://www.otzar.org/book.asp?607741","ילקוט תלמוד תורה")</f>
        <v>ילקוט תלמוד תורה</v>
      </c>
    </row>
    <row r="17818" spans="1:6" x14ac:dyDescent="0.2">
      <c r="A17818" t="s">
        <v>29410</v>
      </c>
      <c r="B17818" t="s">
        <v>16171</v>
      </c>
      <c r="C17818" t="s">
        <v>20</v>
      </c>
      <c r="D17818" t="s">
        <v>14</v>
      </c>
      <c r="E17818" t="s">
        <v>29411</v>
      </c>
      <c r="F17818" s="2" t="str">
        <f>HYPERLINK("http://www.otzar.org/book.asp?15449","ילקוט תשובת ישראל")</f>
        <v>ילקוט תשובת ישראל</v>
      </c>
    </row>
    <row r="17819" spans="1:6" x14ac:dyDescent="0.2">
      <c r="A17819" t="s">
        <v>29412</v>
      </c>
      <c r="B17819" t="s">
        <v>29413</v>
      </c>
      <c r="C17819" t="s">
        <v>775</v>
      </c>
      <c r="D17819" t="s">
        <v>14</v>
      </c>
      <c r="E17819" t="s">
        <v>474</v>
      </c>
      <c r="F17819" s="2" t="str">
        <f>HYPERLINK("http://www.otzar.org/book.asp?151807","ילקוטי אליהו - 2 כר'")</f>
        <v>ילקוטי אליהו - 2 כר'</v>
      </c>
    </row>
    <row r="17820" spans="1:6" x14ac:dyDescent="0.2">
      <c r="A17820" t="s">
        <v>29414</v>
      </c>
      <c r="B17820" t="s">
        <v>2851</v>
      </c>
      <c r="C17820" t="s">
        <v>1535</v>
      </c>
      <c r="D17820" t="s">
        <v>303</v>
      </c>
      <c r="E17820" t="s">
        <v>29415</v>
      </c>
      <c r="F17820" s="2" t="str">
        <f>HYPERLINK("http://www.otzar.org/book.asp?19148","ים הגדול")</f>
        <v>ים הגדול</v>
      </c>
    </row>
    <row r="17821" spans="1:6" x14ac:dyDescent="0.2">
      <c r="A17821" t="s">
        <v>29416</v>
      </c>
      <c r="B17821" t="s">
        <v>29417</v>
      </c>
      <c r="C17821" t="s">
        <v>23</v>
      </c>
      <c r="D17821" t="s">
        <v>90</v>
      </c>
      <c r="E17821" t="s">
        <v>15</v>
      </c>
      <c r="F17821" s="2" t="str">
        <f>HYPERLINK("http://www.otzar.org/book.asp?629500","ים ההלכה - הלכות תפילה")</f>
        <v>ים ההלכה - הלכות תפילה</v>
      </c>
    </row>
    <row r="17822" spans="1:6" x14ac:dyDescent="0.2">
      <c r="A17822" t="s">
        <v>29418</v>
      </c>
      <c r="B17822" t="s">
        <v>29419</v>
      </c>
      <c r="C17822" t="s">
        <v>767</v>
      </c>
      <c r="D17822" t="s">
        <v>14</v>
      </c>
      <c r="E17822" t="s">
        <v>186</v>
      </c>
      <c r="F17822" s="2" t="str">
        <f>HYPERLINK("http://www.otzar.org/book.asp?22674","ים ההלכה - 2 כר'")</f>
        <v>ים ההלכה - 2 כר'</v>
      </c>
    </row>
    <row r="17823" spans="1:6" x14ac:dyDescent="0.2">
      <c r="A17823" t="s">
        <v>29420</v>
      </c>
      <c r="B17823" t="s">
        <v>29421</v>
      </c>
      <c r="C17823" t="s">
        <v>151</v>
      </c>
      <c r="D17823" t="s">
        <v>14</v>
      </c>
      <c r="E17823" t="s">
        <v>158</v>
      </c>
      <c r="F17823" s="2" t="str">
        <f>HYPERLINK("http://www.otzar.org/book.asp?612690","ים החיים - קהלת")</f>
        <v>ים החיים - קהלת</v>
      </c>
    </row>
    <row r="17824" spans="1:6" x14ac:dyDescent="0.2">
      <c r="A17824" t="s">
        <v>29422</v>
      </c>
      <c r="B17824" t="s">
        <v>15901</v>
      </c>
      <c r="C17824" t="s">
        <v>422</v>
      </c>
      <c r="D17824" t="s">
        <v>14</v>
      </c>
      <c r="E17824" t="s">
        <v>154</v>
      </c>
      <c r="F17824" s="2" t="str">
        <f>HYPERLINK("http://www.otzar.org/book.asp?85540","ים החכמה - 14 כר'")</f>
        <v>ים החכמה - 14 כר'</v>
      </c>
    </row>
    <row r="17825" spans="1:6" x14ac:dyDescent="0.2">
      <c r="A17825" t="s">
        <v>29423</v>
      </c>
      <c r="B17825" t="s">
        <v>29424</v>
      </c>
      <c r="C17825" t="s">
        <v>2465</v>
      </c>
      <c r="D17825" t="s">
        <v>3817</v>
      </c>
      <c r="F17825" s="2" t="str">
        <f>HYPERLINK("http://www.otzar.org/book.asp?164932","ים החכמה")</f>
        <v>ים החכמה</v>
      </c>
    </row>
    <row r="17826" spans="1:6" x14ac:dyDescent="0.2">
      <c r="A17826" t="s">
        <v>29425</v>
      </c>
      <c r="B17826" t="s">
        <v>29426</v>
      </c>
      <c r="C17826" t="s">
        <v>422</v>
      </c>
      <c r="D17826" t="s">
        <v>21</v>
      </c>
      <c r="E17826" t="s">
        <v>230</v>
      </c>
      <c r="F17826" s="2" t="str">
        <f>HYPERLINK("http://www.otzar.org/book.asp?195103","ים המוסר - 2 כר'")</f>
        <v>ים המוסר - 2 כר'</v>
      </c>
    </row>
    <row r="17827" spans="1:6" x14ac:dyDescent="0.2">
      <c r="A17827" t="s">
        <v>29427</v>
      </c>
      <c r="B17827" t="s">
        <v>29428</v>
      </c>
      <c r="C17827" t="s">
        <v>4144</v>
      </c>
      <c r="D17827" t="s">
        <v>283</v>
      </c>
      <c r="E17827" t="s">
        <v>2840</v>
      </c>
      <c r="F17827" s="2" t="str">
        <f>HYPERLINK("http://www.otzar.org/book.asp?140991","ים הפלפול")</f>
        <v>ים הפלפול</v>
      </c>
    </row>
    <row r="17828" spans="1:6" x14ac:dyDescent="0.2">
      <c r="A17828" t="s">
        <v>29429</v>
      </c>
      <c r="B17828" t="s">
        <v>29430</v>
      </c>
      <c r="C17828" t="s">
        <v>919</v>
      </c>
      <c r="D17828" t="s">
        <v>412</v>
      </c>
      <c r="E17828" t="s">
        <v>29431</v>
      </c>
      <c r="F17828" s="2" t="str">
        <f>HYPERLINK("http://www.otzar.org/book.asp?7082","ים הרחב - 2 כר'")</f>
        <v>ים הרחב - 2 כר'</v>
      </c>
    </row>
    <row r="17829" spans="1:6" x14ac:dyDescent="0.2">
      <c r="A17829" t="s">
        <v>29432</v>
      </c>
      <c r="B17829" t="s">
        <v>29433</v>
      </c>
      <c r="C17829" t="s">
        <v>151</v>
      </c>
      <c r="D17829" t="s">
        <v>14</v>
      </c>
      <c r="E17829" t="s">
        <v>4779</v>
      </c>
      <c r="F17829" s="2" t="str">
        <f>HYPERLINK("http://www.otzar.org/book.asp?612402","ים התורה")</f>
        <v>ים התורה</v>
      </c>
    </row>
    <row r="17830" spans="1:6" x14ac:dyDescent="0.2">
      <c r="A17830" t="s">
        <v>29432</v>
      </c>
      <c r="B17830" t="s">
        <v>29434</v>
      </c>
      <c r="C17830" t="s">
        <v>767</v>
      </c>
      <c r="D17830" t="s">
        <v>3406</v>
      </c>
      <c r="E17830" t="s">
        <v>104</v>
      </c>
      <c r="F17830" s="2" t="str">
        <f>HYPERLINK("http://www.otzar.org/book.asp?195798","ים התורה")</f>
        <v>ים התורה</v>
      </c>
    </row>
    <row r="17831" spans="1:6" x14ac:dyDescent="0.2">
      <c r="A17831" t="s">
        <v>29435</v>
      </c>
      <c r="B17831" t="s">
        <v>29436</v>
      </c>
      <c r="C17831" t="s">
        <v>5903</v>
      </c>
      <c r="D17831" t="s">
        <v>283</v>
      </c>
      <c r="E17831" t="s">
        <v>508</v>
      </c>
      <c r="F17831" s="2" t="str">
        <f>HYPERLINK("http://www.otzar.org/book.asp?149184","ים התלמוד &lt;מפרשי הים&gt; - 2 כר'")</f>
        <v>ים התלמוד &lt;מפרשי הים&gt; - 2 כר'</v>
      </c>
    </row>
    <row r="17832" spans="1:6" x14ac:dyDescent="0.2">
      <c r="A17832" t="s">
        <v>29437</v>
      </c>
      <c r="B17832" t="s">
        <v>19441</v>
      </c>
      <c r="C17832" t="s">
        <v>13</v>
      </c>
      <c r="D17832" t="s">
        <v>152</v>
      </c>
      <c r="E17832" t="s">
        <v>2091</v>
      </c>
      <c r="F17832" s="2" t="str">
        <f>HYPERLINK("http://www.otzar.org/book.asp?159652","ים התלמוד")</f>
        <v>ים התלמוד</v>
      </c>
    </row>
    <row r="17833" spans="1:6" x14ac:dyDescent="0.2">
      <c r="A17833" t="s">
        <v>29437</v>
      </c>
      <c r="B17833" t="s">
        <v>29438</v>
      </c>
      <c r="C17833" t="s">
        <v>8678</v>
      </c>
      <c r="D17833" t="s">
        <v>60</v>
      </c>
      <c r="F17833" s="2" t="str">
        <f>HYPERLINK("http://www.otzar.org/book.asp?151662","ים התלמוד")</f>
        <v>ים התלמוד</v>
      </c>
    </row>
    <row r="17834" spans="1:6" x14ac:dyDescent="0.2">
      <c r="A17834" t="s">
        <v>29439</v>
      </c>
      <c r="B17834" t="s">
        <v>29440</v>
      </c>
      <c r="C17834" t="s">
        <v>7625</v>
      </c>
      <c r="D17834" t="s">
        <v>1516</v>
      </c>
      <c r="E17834" t="s">
        <v>29441</v>
      </c>
      <c r="F17834" s="2" t="str">
        <f>HYPERLINK("http://www.otzar.org/book.asp?18889","ים יששכר")</f>
        <v>ים יששכר</v>
      </c>
    </row>
    <row r="17835" spans="1:6" x14ac:dyDescent="0.2">
      <c r="A17835" t="s">
        <v>29442</v>
      </c>
      <c r="B17835" t="s">
        <v>29443</v>
      </c>
      <c r="C17835" t="s">
        <v>99</v>
      </c>
      <c r="D17835" t="s">
        <v>3627</v>
      </c>
      <c r="E17835" t="s">
        <v>701</v>
      </c>
      <c r="F17835" s="2" t="str">
        <f>HYPERLINK("http://www.otzar.org/book.asp?7584","ים של יהודה")</f>
        <v>ים של יהודה</v>
      </c>
    </row>
    <row r="17836" spans="1:6" x14ac:dyDescent="0.2">
      <c r="A17836" t="s">
        <v>29444</v>
      </c>
      <c r="B17836" t="s">
        <v>7354</v>
      </c>
      <c r="C17836" t="s">
        <v>185</v>
      </c>
      <c r="D17836" t="s">
        <v>245</v>
      </c>
      <c r="E17836" t="s">
        <v>144</v>
      </c>
      <c r="F17836" s="2" t="str">
        <f>HYPERLINK("http://www.otzar.org/book.asp?632823","ים של שלמה &lt;מכון משנת רבי אהרן&gt; ב""ק א")</f>
        <v>ים של שלמה &lt;מכון משנת רבי אהרן&gt; ב"ק א</v>
      </c>
    </row>
    <row r="17837" spans="1:6" x14ac:dyDescent="0.2">
      <c r="A17837" t="s">
        <v>29445</v>
      </c>
      <c r="B17837" t="s">
        <v>7354</v>
      </c>
      <c r="C17837" t="s">
        <v>185</v>
      </c>
      <c r="D17837" t="s">
        <v>245</v>
      </c>
      <c r="E17837" t="s">
        <v>144</v>
      </c>
      <c r="F17837" s="2" t="str">
        <f>HYPERLINK("http://www.otzar.org/book.asp?632824","ים של שלמה &lt;מכון משנת רבי אהרן&gt; ב""ק ב")</f>
        <v>ים של שלמה &lt;מכון משנת רבי אהרן&gt; ב"ק ב</v>
      </c>
    </row>
    <row r="17838" spans="1:6" x14ac:dyDescent="0.2">
      <c r="A17838" t="s">
        <v>29446</v>
      </c>
      <c r="B17838" t="s">
        <v>29447</v>
      </c>
      <c r="C17838" t="s">
        <v>568</v>
      </c>
      <c r="D17838" t="s">
        <v>29448</v>
      </c>
      <c r="E17838" t="s">
        <v>144</v>
      </c>
      <c r="F17838" s="2" t="str">
        <f>HYPERLINK("http://www.otzar.org/book.asp?606978","ים של שלמה - 4 כר'")</f>
        <v>ים של שלמה - 4 כר'</v>
      </c>
    </row>
    <row r="17839" spans="1:6" x14ac:dyDescent="0.2">
      <c r="A17839" t="s">
        <v>29449</v>
      </c>
      <c r="B17839" t="s">
        <v>7354</v>
      </c>
      <c r="C17839" t="s">
        <v>29450</v>
      </c>
      <c r="D17839" t="s">
        <v>2038</v>
      </c>
      <c r="F17839" s="2" t="str">
        <f>HYPERLINK("http://www.otzar.org/book.asp?611769","ים של שלמה - 7 כר'")</f>
        <v>ים של שלמה - 7 כר'</v>
      </c>
    </row>
    <row r="17840" spans="1:6" x14ac:dyDescent="0.2">
      <c r="A17840" t="s">
        <v>29451</v>
      </c>
      <c r="B17840" t="s">
        <v>29452</v>
      </c>
      <c r="C17840" t="s">
        <v>1208</v>
      </c>
      <c r="D17840" t="s">
        <v>118</v>
      </c>
      <c r="E17840" t="s">
        <v>29453</v>
      </c>
      <c r="F17840" s="2" t="str">
        <f>HYPERLINK("http://www.otzar.org/book.asp?10090","ים של שמואל")</f>
        <v>ים של שמואל</v>
      </c>
    </row>
    <row r="17841" spans="1:6" x14ac:dyDescent="0.2">
      <c r="A17841" t="s">
        <v>29454</v>
      </c>
      <c r="B17841" t="s">
        <v>29455</v>
      </c>
      <c r="C17841" t="s">
        <v>129</v>
      </c>
      <c r="D17841" t="s">
        <v>412</v>
      </c>
      <c r="E17841" t="s">
        <v>29456</v>
      </c>
      <c r="F17841" s="2" t="str">
        <f>HYPERLINK("http://www.otzar.org/book.asp?159266","ים שמחה - 4 כר'")</f>
        <v>ים שמחה - 4 כר'</v>
      </c>
    </row>
    <row r="17842" spans="1:6" x14ac:dyDescent="0.2">
      <c r="A17842" t="s">
        <v>29457</v>
      </c>
      <c r="B17842" t="s">
        <v>24055</v>
      </c>
      <c r="C17842" t="s">
        <v>624</v>
      </c>
      <c r="D17842" t="s">
        <v>52</v>
      </c>
      <c r="E17842" t="s">
        <v>140</v>
      </c>
      <c r="F17842" s="2" t="str">
        <f>HYPERLINK("http://www.otzar.org/book.asp?600560","ימ""י שמחה")</f>
        <v>ימ"י שמחה</v>
      </c>
    </row>
    <row r="17843" spans="1:6" x14ac:dyDescent="0.2">
      <c r="A17843" t="s">
        <v>29458</v>
      </c>
      <c r="B17843" t="s">
        <v>29459</v>
      </c>
      <c r="C17843" t="s">
        <v>419</v>
      </c>
      <c r="D17843" t="s">
        <v>2458</v>
      </c>
      <c r="E17843" t="s">
        <v>20073</v>
      </c>
      <c r="F17843" s="2" t="str">
        <f>HYPERLINK("http://www.otzar.org/book.asp?148913","ימה וקדמה")</f>
        <v>ימה וקדמה</v>
      </c>
    </row>
    <row r="17844" spans="1:6" x14ac:dyDescent="0.2">
      <c r="A17844" t="s">
        <v>29460</v>
      </c>
      <c r="E17844" t="s">
        <v>119</v>
      </c>
      <c r="F17844" s="2" t="str">
        <f>HYPERLINK("http://www.otzar.org/book.asp?603142","ימות החמ""ה - על בעל האמרי חיים מויז'ניץ")</f>
        <v>ימות החמ"ה - על בעל האמרי חיים מויז'ניץ</v>
      </c>
    </row>
    <row r="17845" spans="1:6" x14ac:dyDescent="0.2">
      <c r="A17845" t="s">
        <v>29461</v>
      </c>
      <c r="B17845" t="s">
        <v>29462</v>
      </c>
      <c r="C17845" t="s">
        <v>576</v>
      </c>
      <c r="D17845" t="s">
        <v>379</v>
      </c>
      <c r="E17845" t="s">
        <v>15</v>
      </c>
      <c r="F17845" s="2" t="str">
        <f>HYPERLINK("http://www.otzar.org/book.asp?176859","ימות המשיח")</f>
        <v>ימות המשיח</v>
      </c>
    </row>
    <row r="17846" spans="1:6" x14ac:dyDescent="0.2">
      <c r="A17846" t="s">
        <v>29461</v>
      </c>
      <c r="B17846" t="s">
        <v>14446</v>
      </c>
      <c r="C17846" t="s">
        <v>989</v>
      </c>
      <c r="D17846" t="s">
        <v>14</v>
      </c>
      <c r="E17846" t="s">
        <v>16006</v>
      </c>
      <c r="F17846" s="2" t="str">
        <f>HYPERLINK("http://www.otzar.org/book.asp?7957","ימות המשיח")</f>
        <v>ימות המשיח</v>
      </c>
    </row>
    <row r="17847" spans="1:6" x14ac:dyDescent="0.2">
      <c r="A17847" t="s">
        <v>29463</v>
      </c>
      <c r="B17847" t="s">
        <v>7272</v>
      </c>
      <c r="C17847" t="s">
        <v>775</v>
      </c>
      <c r="D17847" t="s">
        <v>4646</v>
      </c>
      <c r="E17847" t="s">
        <v>104</v>
      </c>
      <c r="F17847" s="2" t="str">
        <f>HYPERLINK("http://www.otzar.org/book.asp?174413","ימות המשיח, תחיית המתים והעולם הבא")</f>
        <v>ימות המשיח, תחיית המתים והעולם הבא</v>
      </c>
    </row>
    <row r="17848" spans="1:6" x14ac:dyDescent="0.2">
      <c r="A17848" t="s">
        <v>29464</v>
      </c>
      <c r="B17848" t="s">
        <v>107</v>
      </c>
      <c r="C17848" t="s">
        <v>1448</v>
      </c>
      <c r="D17848" t="s">
        <v>14</v>
      </c>
      <c r="E17848" t="s">
        <v>241</v>
      </c>
      <c r="F17848" s="2" t="str">
        <f>HYPERLINK("http://www.otzar.org/book.asp?84446","ימות עולם")</f>
        <v>ימות עולם</v>
      </c>
    </row>
    <row r="17849" spans="1:6" x14ac:dyDescent="0.2">
      <c r="A17849" t="s">
        <v>29465</v>
      </c>
      <c r="B17849" t="s">
        <v>21772</v>
      </c>
      <c r="C17849" t="s">
        <v>523</v>
      </c>
      <c r="D17849" t="s">
        <v>14</v>
      </c>
      <c r="E17849" t="s">
        <v>144</v>
      </c>
      <c r="F17849" s="2" t="str">
        <f>HYPERLINK("http://www.otzar.org/book.asp?143701","ימי אברהם &lt;מהדורה חדשה&gt;")</f>
        <v>ימי אברהם &lt;מהדורה חדשה&gt;</v>
      </c>
    </row>
    <row r="17850" spans="1:6" x14ac:dyDescent="0.2">
      <c r="A17850" t="s">
        <v>29466</v>
      </c>
      <c r="B17850" t="s">
        <v>11283</v>
      </c>
      <c r="C17850" t="s">
        <v>466</v>
      </c>
      <c r="D17850" t="s">
        <v>14</v>
      </c>
      <c r="E17850" t="s">
        <v>246</v>
      </c>
      <c r="F17850" s="2" t="str">
        <f>HYPERLINK("http://www.otzar.org/book.asp?174301","ימי בין המצרים")</f>
        <v>ימי בין המצרים</v>
      </c>
    </row>
    <row r="17851" spans="1:6" x14ac:dyDescent="0.2">
      <c r="A17851" t="s">
        <v>29467</v>
      </c>
      <c r="B17851" t="s">
        <v>29468</v>
      </c>
      <c r="C17851" t="s">
        <v>129</v>
      </c>
      <c r="D17851" t="s">
        <v>657</v>
      </c>
      <c r="E17851" t="s">
        <v>901</v>
      </c>
      <c r="F17851" s="2" t="str">
        <f>HYPERLINK("http://www.otzar.org/book.asp?147628","ימי ברכה")</f>
        <v>ימי ברכה</v>
      </c>
    </row>
    <row r="17852" spans="1:6" x14ac:dyDescent="0.2">
      <c r="A17852" t="s">
        <v>29469</v>
      </c>
      <c r="B17852" t="s">
        <v>9924</v>
      </c>
      <c r="C17852" t="s">
        <v>129</v>
      </c>
      <c r="D17852" t="s">
        <v>1180</v>
      </c>
      <c r="E17852" t="s">
        <v>2840</v>
      </c>
      <c r="F17852" s="2" t="str">
        <f>HYPERLINK("http://www.otzar.org/book.asp?180185","ימי דוד &lt;מהדורה חדשה&gt;")</f>
        <v>ימי דוד &lt;מהדורה חדשה&gt;</v>
      </c>
    </row>
    <row r="17853" spans="1:6" x14ac:dyDescent="0.2">
      <c r="A17853" t="s">
        <v>29470</v>
      </c>
      <c r="B17853" t="s">
        <v>9924</v>
      </c>
      <c r="C17853" t="s">
        <v>321</v>
      </c>
      <c r="D17853" t="s">
        <v>76</v>
      </c>
      <c r="E17853" t="s">
        <v>1262</v>
      </c>
      <c r="F17853" s="2" t="str">
        <f>HYPERLINK("http://www.otzar.org/book.asp?141010","ימי דוד")</f>
        <v>ימי דוד</v>
      </c>
    </row>
    <row r="17854" spans="1:6" x14ac:dyDescent="0.2">
      <c r="A17854" t="s">
        <v>29471</v>
      </c>
      <c r="B17854" t="s">
        <v>17792</v>
      </c>
      <c r="C17854" t="s">
        <v>411</v>
      </c>
      <c r="D17854" t="s">
        <v>14</v>
      </c>
      <c r="E17854" t="s">
        <v>246</v>
      </c>
      <c r="F17854" s="2" t="str">
        <f>HYPERLINK("http://www.otzar.org/book.asp?179524","ימי האורים")</f>
        <v>ימי האורים</v>
      </c>
    </row>
    <row r="17855" spans="1:6" x14ac:dyDescent="0.2">
      <c r="A17855" t="s">
        <v>29471</v>
      </c>
      <c r="B17855" t="s">
        <v>11311</v>
      </c>
      <c r="C17855" t="s">
        <v>51</v>
      </c>
      <c r="D17855" t="s">
        <v>14</v>
      </c>
      <c r="E17855" t="s">
        <v>130</v>
      </c>
      <c r="F17855" s="2" t="str">
        <f>HYPERLINK("http://www.otzar.org/book.asp?22551","ימי האורים")</f>
        <v>ימי האורים</v>
      </c>
    </row>
    <row r="17856" spans="1:6" x14ac:dyDescent="0.2">
      <c r="A17856" t="s">
        <v>29472</v>
      </c>
      <c r="B17856" t="s">
        <v>29473</v>
      </c>
      <c r="C17856" t="s">
        <v>180</v>
      </c>
      <c r="D17856" t="s">
        <v>14</v>
      </c>
      <c r="E17856" t="s">
        <v>119</v>
      </c>
      <c r="F17856" s="2" t="str">
        <f>HYPERLINK("http://www.otzar.org/book.asp?15233","ימי הבית השני")</f>
        <v>ימי הבית השני</v>
      </c>
    </row>
    <row r="17857" spans="1:6" x14ac:dyDescent="0.2">
      <c r="A17857" t="s">
        <v>29474</v>
      </c>
      <c r="B17857" t="s">
        <v>29468</v>
      </c>
      <c r="C17857" t="s">
        <v>422</v>
      </c>
      <c r="D17857" t="s">
        <v>657</v>
      </c>
      <c r="E17857" t="s">
        <v>246</v>
      </c>
      <c r="F17857" s="2" t="str">
        <f>HYPERLINK("http://www.otzar.org/book.asp?161005","ימי החג - ב")</f>
        <v>ימי החג - ב</v>
      </c>
    </row>
    <row r="17858" spans="1:6" x14ac:dyDescent="0.2">
      <c r="A17858" t="s">
        <v>29475</v>
      </c>
      <c r="B17858" t="s">
        <v>1750</v>
      </c>
      <c r="C17858" t="s">
        <v>37</v>
      </c>
      <c r="D17858" t="s">
        <v>14</v>
      </c>
      <c r="E17858" t="s">
        <v>130</v>
      </c>
      <c r="F17858" s="2" t="str">
        <f>HYPERLINK("http://www.otzar.org/book.asp?195115","ימי החנוכה בהלכה ובאגדה - 2 כר'")</f>
        <v>ימי החנוכה בהלכה ובאגדה - 2 כר'</v>
      </c>
    </row>
    <row r="17859" spans="1:6" x14ac:dyDescent="0.2">
      <c r="A17859" t="s">
        <v>29476</v>
      </c>
      <c r="B17859" t="s">
        <v>24475</v>
      </c>
      <c r="C17859" t="s">
        <v>624</v>
      </c>
      <c r="D17859" t="s">
        <v>52</v>
      </c>
      <c r="E17859" t="s">
        <v>130</v>
      </c>
      <c r="F17859" s="2" t="str">
        <f>HYPERLINK("http://www.otzar.org/book.asp?143841","ימי החנוכה")</f>
        <v>ימי החנוכה</v>
      </c>
    </row>
    <row r="17860" spans="1:6" x14ac:dyDescent="0.2">
      <c r="A17860" t="s">
        <v>29476</v>
      </c>
      <c r="B17860" t="s">
        <v>9138</v>
      </c>
      <c r="C17860" t="s">
        <v>103</v>
      </c>
      <c r="D17860" t="s">
        <v>14</v>
      </c>
      <c r="E17860" t="s">
        <v>246</v>
      </c>
      <c r="F17860" s="2" t="str">
        <f>HYPERLINK("http://www.otzar.org/book.asp?175941","ימי החנוכה")</f>
        <v>ימי החנוכה</v>
      </c>
    </row>
    <row r="17861" spans="1:6" x14ac:dyDescent="0.2">
      <c r="A17861" t="s">
        <v>29476</v>
      </c>
      <c r="B17861" t="s">
        <v>107</v>
      </c>
      <c r="C17861" t="s">
        <v>785</v>
      </c>
      <c r="D17861" t="s">
        <v>14</v>
      </c>
      <c r="E17861" t="s">
        <v>1164</v>
      </c>
      <c r="F17861" s="2" t="str">
        <f>HYPERLINK("http://www.otzar.org/book.asp?6286","ימי החנוכה")</f>
        <v>ימי החנוכה</v>
      </c>
    </row>
    <row r="17862" spans="1:6" x14ac:dyDescent="0.2">
      <c r="A17862" t="s">
        <v>29477</v>
      </c>
      <c r="B17862" t="s">
        <v>24493</v>
      </c>
      <c r="C17862" t="s">
        <v>143</v>
      </c>
      <c r="D17862" t="s">
        <v>52</v>
      </c>
      <c r="E17862" t="s">
        <v>130</v>
      </c>
      <c r="F17862" s="2" t="str">
        <f>HYPERLINK("http://www.otzar.org/book.asp?143014","ימי החנוכה - 2 כר'")</f>
        <v>ימי החנוכה - 2 כר'</v>
      </c>
    </row>
    <row r="17863" spans="1:6" x14ac:dyDescent="0.2">
      <c r="A17863" t="s">
        <v>29478</v>
      </c>
      <c r="B17863" t="s">
        <v>11471</v>
      </c>
      <c r="C17863" t="s">
        <v>454</v>
      </c>
      <c r="D17863" t="s">
        <v>11472</v>
      </c>
      <c r="E17863" t="s">
        <v>130</v>
      </c>
      <c r="F17863" s="2" t="str">
        <f>HYPERLINK("http://www.otzar.org/book.asp?163120","ימי הלל והודאה")</f>
        <v>ימי הלל והודאה</v>
      </c>
    </row>
    <row r="17864" spans="1:6" x14ac:dyDescent="0.2">
      <c r="A17864" t="s">
        <v>29479</v>
      </c>
      <c r="B17864" t="s">
        <v>1750</v>
      </c>
      <c r="C17864" t="s">
        <v>133</v>
      </c>
      <c r="D17864" t="s">
        <v>14</v>
      </c>
      <c r="E17864" t="s">
        <v>130</v>
      </c>
      <c r="F17864" s="2" t="str">
        <f>HYPERLINK("http://www.otzar.org/book.asp?195114","ימי הפורים בהלכה ובאגדה")</f>
        <v>ימי הפורים בהלכה ובאגדה</v>
      </c>
    </row>
    <row r="17865" spans="1:6" x14ac:dyDescent="0.2">
      <c r="A17865" t="s">
        <v>29480</v>
      </c>
      <c r="B17865" t="s">
        <v>21486</v>
      </c>
      <c r="C17865" t="s">
        <v>411</v>
      </c>
      <c r="D17865" t="s">
        <v>14</v>
      </c>
      <c r="F17865" s="2" t="str">
        <f>HYPERLINK("http://www.otzar.org/book.asp?616795","ימי הפורים במשנתם של רבותינו")</f>
        <v>ימי הפורים במשנתם של רבותינו</v>
      </c>
    </row>
    <row r="17866" spans="1:6" x14ac:dyDescent="0.2">
      <c r="A17866" t="s">
        <v>29481</v>
      </c>
      <c r="B17866" t="s">
        <v>29482</v>
      </c>
      <c r="C17866" t="s">
        <v>189</v>
      </c>
      <c r="D17866" t="s">
        <v>486</v>
      </c>
      <c r="E17866" t="s">
        <v>1157</v>
      </c>
      <c r="F17866" s="2" t="str">
        <f>HYPERLINK("http://www.otzar.org/book.asp?142790","ימי הפורים")</f>
        <v>ימי הפורים</v>
      </c>
    </row>
    <row r="17867" spans="1:6" x14ac:dyDescent="0.2">
      <c r="A17867" t="s">
        <v>29481</v>
      </c>
      <c r="B17867" t="s">
        <v>6614</v>
      </c>
      <c r="C17867" t="s">
        <v>23</v>
      </c>
      <c r="D17867" t="s">
        <v>14</v>
      </c>
      <c r="E17867" t="s">
        <v>130</v>
      </c>
      <c r="F17867" s="2" t="str">
        <f>HYPERLINK("http://www.otzar.org/book.asp?620998","ימי הפורים")</f>
        <v>ימי הפורים</v>
      </c>
    </row>
    <row r="17868" spans="1:6" x14ac:dyDescent="0.2">
      <c r="A17868" t="s">
        <v>29481</v>
      </c>
      <c r="B17868" t="s">
        <v>12812</v>
      </c>
      <c r="C17868" t="s">
        <v>133</v>
      </c>
      <c r="D17868" t="s">
        <v>21</v>
      </c>
      <c r="E17868" t="s">
        <v>246</v>
      </c>
      <c r="F17868" s="2" t="str">
        <f>HYPERLINK("http://www.otzar.org/book.asp?600089","ימי הפורים")</f>
        <v>ימי הפורים</v>
      </c>
    </row>
    <row r="17869" spans="1:6" x14ac:dyDescent="0.2">
      <c r="A17869" t="s">
        <v>29481</v>
      </c>
      <c r="B17869" t="s">
        <v>17792</v>
      </c>
      <c r="C17869" t="s">
        <v>366</v>
      </c>
      <c r="D17869" t="s">
        <v>14</v>
      </c>
      <c r="E17869" t="s">
        <v>246</v>
      </c>
      <c r="F17869" s="2" t="str">
        <f>HYPERLINK("http://www.otzar.org/book.asp?603717","ימי הפורים")</f>
        <v>ימי הפורים</v>
      </c>
    </row>
    <row r="17870" spans="1:6" x14ac:dyDescent="0.2">
      <c r="A17870" t="s">
        <v>29481</v>
      </c>
      <c r="B17870" t="s">
        <v>24475</v>
      </c>
      <c r="C17870" t="s">
        <v>71</v>
      </c>
      <c r="D17870" t="s">
        <v>52</v>
      </c>
      <c r="E17870" t="s">
        <v>1507</v>
      </c>
      <c r="F17870" s="2" t="str">
        <f>HYPERLINK("http://www.otzar.org/book.asp?143840","ימי הפורים")</f>
        <v>ימי הפורים</v>
      </c>
    </row>
    <row r="17871" spans="1:6" x14ac:dyDescent="0.2">
      <c r="A17871" t="s">
        <v>29481</v>
      </c>
      <c r="B17871" t="s">
        <v>5281</v>
      </c>
      <c r="C17871" t="s">
        <v>985</v>
      </c>
      <c r="D17871" t="s">
        <v>21</v>
      </c>
      <c r="E17871" t="s">
        <v>246</v>
      </c>
      <c r="F17871" s="2" t="str">
        <f>HYPERLINK("http://www.otzar.org/book.asp?196349","ימי הפורים")</f>
        <v>ימי הפורים</v>
      </c>
    </row>
    <row r="17872" spans="1:6" x14ac:dyDescent="0.2">
      <c r="A17872" t="s">
        <v>29481</v>
      </c>
      <c r="B17872" t="s">
        <v>107</v>
      </c>
      <c r="C17872" t="s">
        <v>20</v>
      </c>
      <c r="D17872" t="s">
        <v>14</v>
      </c>
      <c r="E17872" t="s">
        <v>246</v>
      </c>
      <c r="F17872" s="2" t="str">
        <f>HYPERLINK("http://www.otzar.org/book.asp?6102","ימי הפורים")</f>
        <v>ימי הפורים</v>
      </c>
    </row>
    <row r="17873" spans="1:6" x14ac:dyDescent="0.2">
      <c r="A17873" t="s">
        <v>29481</v>
      </c>
      <c r="B17873" t="s">
        <v>24493</v>
      </c>
      <c r="C17873" t="s">
        <v>143</v>
      </c>
      <c r="D17873" t="s">
        <v>52</v>
      </c>
      <c r="E17873" t="s">
        <v>4494</v>
      </c>
      <c r="F17873" s="2" t="str">
        <f>HYPERLINK("http://www.otzar.org/book.asp?143013","ימי הפורים")</f>
        <v>ימי הפורים</v>
      </c>
    </row>
    <row r="17874" spans="1:6" x14ac:dyDescent="0.2">
      <c r="A17874" t="s">
        <v>29483</v>
      </c>
      <c r="B17874" t="s">
        <v>24493</v>
      </c>
      <c r="C17874" t="s">
        <v>143</v>
      </c>
      <c r="D17874" t="s">
        <v>52</v>
      </c>
      <c r="E17874" t="s">
        <v>130</v>
      </c>
      <c r="F17874" s="2" t="str">
        <f>HYPERLINK("http://www.otzar.org/book.asp?143872","ימי הפסח")</f>
        <v>ימי הפסח</v>
      </c>
    </row>
    <row r="17875" spans="1:6" x14ac:dyDescent="0.2">
      <c r="A17875" t="s">
        <v>29484</v>
      </c>
      <c r="B17875" t="s">
        <v>29485</v>
      </c>
      <c r="C17875" t="s">
        <v>767</v>
      </c>
      <c r="D17875" t="s">
        <v>52</v>
      </c>
      <c r="E17875" t="s">
        <v>6078</v>
      </c>
      <c r="F17875" s="2" t="str">
        <f>HYPERLINK("http://www.otzar.org/book.asp?148865","ימי הרחמים והסליחות")</f>
        <v>ימי הרחמים והסליחות</v>
      </c>
    </row>
    <row r="17876" spans="1:6" x14ac:dyDescent="0.2">
      <c r="A17876" t="s">
        <v>29484</v>
      </c>
      <c r="B17876" t="s">
        <v>107</v>
      </c>
      <c r="C17876" t="s">
        <v>785</v>
      </c>
      <c r="D17876" t="s">
        <v>14</v>
      </c>
      <c r="E17876" t="s">
        <v>246</v>
      </c>
      <c r="F17876" s="2" t="str">
        <f>HYPERLINK("http://www.otzar.org/book.asp?84440","ימי הרחמים והסליחות")</f>
        <v>ימי הרחמים והסליחות</v>
      </c>
    </row>
    <row r="17877" spans="1:6" x14ac:dyDescent="0.2">
      <c r="A17877" t="s">
        <v>29486</v>
      </c>
      <c r="B17877" t="s">
        <v>29487</v>
      </c>
      <c r="C17877" t="s">
        <v>68</v>
      </c>
      <c r="D17877" t="s">
        <v>52</v>
      </c>
      <c r="E17877" t="s">
        <v>564</v>
      </c>
      <c r="F17877" s="2" t="str">
        <f>HYPERLINK("http://www.otzar.org/book.asp?85753","ימי הרצון (ר""ה, יו""כ)")</f>
        <v>ימי הרצון (ר"ה, יו"כ)</v>
      </c>
    </row>
    <row r="17878" spans="1:6" x14ac:dyDescent="0.2">
      <c r="A17878" t="s">
        <v>29488</v>
      </c>
      <c r="B17878" t="s">
        <v>24095</v>
      </c>
      <c r="C17878" t="s">
        <v>37</v>
      </c>
      <c r="D17878" t="s">
        <v>52</v>
      </c>
      <c r="E17878" t="s">
        <v>104</v>
      </c>
      <c r="F17878" s="2" t="str">
        <f>HYPERLINK("http://www.otzar.org/book.asp?621788","ימי השובבי""ם")</f>
        <v>ימי השובבי"ם</v>
      </c>
    </row>
    <row r="17879" spans="1:6" x14ac:dyDescent="0.2">
      <c r="A17879" t="s">
        <v>29488</v>
      </c>
      <c r="B17879" t="s">
        <v>6661</v>
      </c>
      <c r="C17879" t="s">
        <v>366</v>
      </c>
      <c r="D17879" t="s">
        <v>90</v>
      </c>
      <c r="E17879" t="s">
        <v>15</v>
      </c>
      <c r="F17879" s="2" t="str">
        <f>HYPERLINK("http://www.otzar.org/book.asp?626076","ימי השובבי""ם")</f>
        <v>ימי השובבי"ם</v>
      </c>
    </row>
    <row r="17880" spans="1:6" x14ac:dyDescent="0.2">
      <c r="A17880" t="s">
        <v>29489</v>
      </c>
      <c r="B17880" t="s">
        <v>4977</v>
      </c>
      <c r="C17880" t="s">
        <v>20</v>
      </c>
      <c r="D17880" t="s">
        <v>14</v>
      </c>
      <c r="E17880" t="s">
        <v>15425</v>
      </c>
      <c r="F17880" s="2" t="str">
        <f>HYPERLINK("http://www.otzar.org/book.asp?153423","ימי השובבים")</f>
        <v>ימי השובבים</v>
      </c>
    </row>
    <row r="17881" spans="1:6" x14ac:dyDescent="0.2">
      <c r="A17881" t="s">
        <v>29490</v>
      </c>
      <c r="B17881" t="s">
        <v>17692</v>
      </c>
      <c r="C17881" t="s">
        <v>189</v>
      </c>
      <c r="D17881" t="s">
        <v>14</v>
      </c>
      <c r="E17881" t="s">
        <v>3798</v>
      </c>
      <c r="F17881" s="2" t="str">
        <f>HYPERLINK("http://www.otzar.org/book.asp?620246","ימי התשובה")</f>
        <v>ימי התשובה</v>
      </c>
    </row>
    <row r="17882" spans="1:6" x14ac:dyDescent="0.2">
      <c r="A17882" t="s">
        <v>29491</v>
      </c>
      <c r="B17882" t="s">
        <v>654</v>
      </c>
      <c r="C17882" t="s">
        <v>419</v>
      </c>
      <c r="D17882" t="s">
        <v>52</v>
      </c>
      <c r="E17882" t="s">
        <v>467</v>
      </c>
      <c r="F17882" s="2" t="str">
        <f>HYPERLINK("http://www.otzar.org/book.asp?84583","ימי זכרון - 11 כר'")</f>
        <v>ימי זכרון - 11 כר'</v>
      </c>
    </row>
    <row r="17883" spans="1:6" x14ac:dyDescent="0.2">
      <c r="A17883" t="s">
        <v>29492</v>
      </c>
      <c r="B17883" t="s">
        <v>29493</v>
      </c>
      <c r="C17883" t="s">
        <v>360</v>
      </c>
      <c r="D17883" t="s">
        <v>379</v>
      </c>
      <c r="E17883" t="s">
        <v>158</v>
      </c>
      <c r="F17883" s="2" t="str">
        <f>HYPERLINK("http://www.otzar.org/book.asp?108843","ימי חייך הימים")</f>
        <v>ימי חייך הימים</v>
      </c>
    </row>
    <row r="17884" spans="1:6" x14ac:dyDescent="0.2">
      <c r="A17884" t="s">
        <v>29494</v>
      </c>
      <c r="B17884" t="s">
        <v>12812</v>
      </c>
      <c r="C17884" t="s">
        <v>23</v>
      </c>
      <c r="D17884" t="s">
        <v>14</v>
      </c>
      <c r="E17884" t="s">
        <v>246</v>
      </c>
      <c r="F17884" s="2" t="str">
        <f>HYPERLINK("http://www.otzar.org/book.asp?600090","ימי חנוכה")</f>
        <v>ימי חנוכה</v>
      </c>
    </row>
    <row r="17885" spans="1:6" x14ac:dyDescent="0.2">
      <c r="A17885" t="s">
        <v>29495</v>
      </c>
      <c r="B17885" t="s">
        <v>29496</v>
      </c>
      <c r="C17885" t="s">
        <v>146</v>
      </c>
      <c r="D17885" t="s">
        <v>14</v>
      </c>
      <c r="E17885" t="s">
        <v>15</v>
      </c>
      <c r="F17885" s="2" t="str">
        <f>HYPERLINK("http://www.otzar.org/book.asp?50899","ימי טוהר - א-ב")</f>
        <v>ימי טוהר - א-ב</v>
      </c>
    </row>
    <row r="17886" spans="1:6" x14ac:dyDescent="0.2">
      <c r="A17886" t="s">
        <v>29497</v>
      </c>
      <c r="B17886" t="s">
        <v>12508</v>
      </c>
      <c r="C17886" t="s">
        <v>1166</v>
      </c>
      <c r="D17886" t="s">
        <v>27</v>
      </c>
      <c r="E17886" t="s">
        <v>154</v>
      </c>
      <c r="F17886" s="2" t="str">
        <f>HYPERLINK("http://www.otzar.org/book.asp?18892","ימי יוסף - 2 כר'")</f>
        <v>ימי יוסף - 2 כר'</v>
      </c>
    </row>
    <row r="17887" spans="1:6" x14ac:dyDescent="0.2">
      <c r="A17887" t="s">
        <v>29498</v>
      </c>
      <c r="B17887" t="s">
        <v>26000</v>
      </c>
      <c r="C17887" t="s">
        <v>2105</v>
      </c>
      <c r="D17887" t="s">
        <v>21416</v>
      </c>
      <c r="E17887" t="s">
        <v>226</v>
      </c>
      <c r="F17887" s="2" t="str">
        <f>HYPERLINK("http://www.otzar.org/book.asp?200668","ימי מהרנ""ת")</f>
        <v>ימי מהרנ"ת</v>
      </c>
    </row>
    <row r="17888" spans="1:6" x14ac:dyDescent="0.2">
      <c r="A17888" t="s">
        <v>29499</v>
      </c>
      <c r="B17888" t="s">
        <v>26000</v>
      </c>
      <c r="C17888" t="s">
        <v>585</v>
      </c>
      <c r="D17888" t="s">
        <v>14</v>
      </c>
      <c r="E17888" t="s">
        <v>226</v>
      </c>
      <c r="F17888" s="2" t="str">
        <f>HYPERLINK("http://www.otzar.org/book.asp?16535","ימי מוהרנ""ת - א ב")</f>
        <v>ימי מוהרנ"ת - א ב</v>
      </c>
    </row>
    <row r="17889" spans="1:6" x14ac:dyDescent="0.2">
      <c r="A17889" t="s">
        <v>29500</v>
      </c>
      <c r="B17889" t="s">
        <v>29501</v>
      </c>
      <c r="C17889" t="s">
        <v>244</v>
      </c>
      <c r="D17889" t="s">
        <v>3750</v>
      </c>
      <c r="E17889" t="s">
        <v>202</v>
      </c>
      <c r="F17889" s="2" t="str">
        <f>HYPERLINK("http://www.otzar.org/book.asp?604777","ימי מועד - ביצה")</f>
        <v>ימי מועד - ביצה</v>
      </c>
    </row>
    <row r="17890" spans="1:6" x14ac:dyDescent="0.2">
      <c r="A17890" t="s">
        <v>29502</v>
      </c>
      <c r="B17890" t="s">
        <v>29503</v>
      </c>
      <c r="C17890" t="s">
        <v>114</v>
      </c>
      <c r="D17890" t="s">
        <v>52</v>
      </c>
      <c r="E17890" t="s">
        <v>246</v>
      </c>
      <c r="F17890" s="2" t="str">
        <f>HYPERLINK("http://www.otzar.org/book.asp?171332","ימי משתה ושמחה")</f>
        <v>ימי משתה ושמחה</v>
      </c>
    </row>
    <row r="17891" spans="1:6" x14ac:dyDescent="0.2">
      <c r="A17891" t="s">
        <v>29504</v>
      </c>
      <c r="B17891" t="s">
        <v>11471</v>
      </c>
      <c r="C17891" t="s">
        <v>146</v>
      </c>
      <c r="D17891" t="s">
        <v>14</v>
      </c>
      <c r="E17891" t="s">
        <v>130</v>
      </c>
      <c r="F17891" s="2" t="str">
        <f>HYPERLINK("http://www.otzar.org/book.asp?162799","ימי משתה ושמחה - הלכות פורים")</f>
        <v>ימי משתה ושמחה - הלכות פורים</v>
      </c>
    </row>
    <row r="17892" spans="1:6" x14ac:dyDescent="0.2">
      <c r="A17892" t="s">
        <v>29505</v>
      </c>
      <c r="B17892" t="s">
        <v>1286</v>
      </c>
      <c r="C17892" t="s">
        <v>23</v>
      </c>
      <c r="D17892" t="s">
        <v>412</v>
      </c>
      <c r="E17892" t="s">
        <v>230</v>
      </c>
      <c r="F17892" s="2" t="str">
        <f>HYPERLINK("http://www.otzar.org/book.asp?195112","ימי נחמה - שערי נחמה")</f>
        <v>ימי נחמה - שערי נחמה</v>
      </c>
    </row>
    <row r="17893" spans="1:6" x14ac:dyDescent="0.2">
      <c r="A17893" t="s">
        <v>29506</v>
      </c>
      <c r="B17893" t="s">
        <v>4480</v>
      </c>
      <c r="C17893" t="s">
        <v>533</v>
      </c>
      <c r="D17893" t="s">
        <v>14</v>
      </c>
      <c r="E17893" t="s">
        <v>3261</v>
      </c>
      <c r="F17893" s="2" t="str">
        <f>HYPERLINK("http://www.otzar.org/book.asp?12806","ימי נחמיה")</f>
        <v>ימי נחמיה</v>
      </c>
    </row>
    <row r="17894" spans="1:6" x14ac:dyDescent="0.2">
      <c r="A17894" t="s">
        <v>29507</v>
      </c>
      <c r="B17894" t="s">
        <v>29508</v>
      </c>
      <c r="C17894" t="s">
        <v>1268</v>
      </c>
      <c r="D17894" t="s">
        <v>52</v>
      </c>
      <c r="E17894" t="s">
        <v>119</v>
      </c>
      <c r="F17894" s="2" t="str">
        <f>HYPERLINK("http://www.otzar.org/book.asp?626266","ימי סופר המלך א")</f>
        <v>ימי סופר המלך א</v>
      </c>
    </row>
    <row r="17895" spans="1:6" x14ac:dyDescent="0.2">
      <c r="A17895" t="s">
        <v>29509</v>
      </c>
      <c r="B17895" t="s">
        <v>1286</v>
      </c>
      <c r="C17895" t="s">
        <v>366</v>
      </c>
      <c r="D17895" t="s">
        <v>412</v>
      </c>
      <c r="E17895" t="s">
        <v>241</v>
      </c>
      <c r="F17895" s="2" t="str">
        <f>HYPERLINK("http://www.otzar.org/book.asp?608687","ימי רצון")</f>
        <v>ימי רצון</v>
      </c>
    </row>
    <row r="17896" spans="1:6" x14ac:dyDescent="0.2">
      <c r="A17896" t="s">
        <v>29509</v>
      </c>
      <c r="B17896" t="s">
        <v>5762</v>
      </c>
      <c r="C17896" t="s">
        <v>422</v>
      </c>
      <c r="E17896" t="s">
        <v>246</v>
      </c>
      <c r="F17896" s="2" t="str">
        <f>HYPERLINK("http://www.otzar.org/book.asp?153333","ימי רצון")</f>
        <v>ימי רצון</v>
      </c>
    </row>
    <row r="17897" spans="1:6" x14ac:dyDescent="0.2">
      <c r="A17897" t="s">
        <v>29509</v>
      </c>
      <c r="B17897" t="s">
        <v>28080</v>
      </c>
      <c r="C17897" t="s">
        <v>523</v>
      </c>
      <c r="D17897" t="s">
        <v>14</v>
      </c>
      <c r="E17897" t="s">
        <v>467</v>
      </c>
      <c r="F17897" s="2" t="str">
        <f>HYPERLINK("http://www.otzar.org/book.asp?146961","ימי רצון")</f>
        <v>ימי רצון</v>
      </c>
    </row>
    <row r="17898" spans="1:6" x14ac:dyDescent="0.2">
      <c r="A17898" t="s">
        <v>29510</v>
      </c>
      <c r="B17898" t="s">
        <v>4174</v>
      </c>
      <c r="C17898" t="s">
        <v>114</v>
      </c>
      <c r="D17898" t="s">
        <v>14</v>
      </c>
      <c r="F17898" s="2" t="str">
        <f>HYPERLINK("http://www.otzar.org/book.asp?622930","ימי רצון - אלול וסליחות")</f>
        <v>ימי רצון - אלול וסליחות</v>
      </c>
    </row>
    <row r="17899" spans="1:6" x14ac:dyDescent="0.2">
      <c r="A17899" t="s">
        <v>29511</v>
      </c>
      <c r="B17899" t="s">
        <v>29512</v>
      </c>
      <c r="C17899" t="s">
        <v>603</v>
      </c>
      <c r="D17899" t="s">
        <v>157</v>
      </c>
      <c r="E17899" t="s">
        <v>15</v>
      </c>
      <c r="F17899" s="2" t="str">
        <f>HYPERLINK("http://www.otzar.org/book.asp?18891","ימי שלמה")</f>
        <v>ימי שלמה</v>
      </c>
    </row>
    <row r="17900" spans="1:6" x14ac:dyDescent="0.2">
      <c r="A17900" t="s">
        <v>29513</v>
      </c>
      <c r="B17900" t="s">
        <v>28916</v>
      </c>
      <c r="C17900" t="s">
        <v>383</v>
      </c>
      <c r="D17900" t="s">
        <v>14</v>
      </c>
      <c r="E17900" t="s">
        <v>119</v>
      </c>
      <c r="F17900" s="2" t="str">
        <f>HYPERLINK("http://www.otzar.org/book.asp?178972","ימי שמואל - 3 כר'")</f>
        <v>ימי שמואל - 3 כר'</v>
      </c>
    </row>
    <row r="17901" spans="1:6" x14ac:dyDescent="0.2">
      <c r="A17901" t="s">
        <v>29514</v>
      </c>
      <c r="B17901" t="s">
        <v>29515</v>
      </c>
      <c r="C17901" t="s">
        <v>422</v>
      </c>
      <c r="D17901" t="s">
        <v>52</v>
      </c>
      <c r="E17901" t="s">
        <v>1517</v>
      </c>
      <c r="F17901" s="2" t="str">
        <f>HYPERLINK("http://www.otzar.org/book.asp?157686","ימי שמונה - חנוכה")</f>
        <v>ימי שמונה - חנוכה</v>
      </c>
    </row>
    <row r="17902" spans="1:6" x14ac:dyDescent="0.2">
      <c r="A17902" t="s">
        <v>29516</v>
      </c>
      <c r="B17902" t="s">
        <v>5364</v>
      </c>
      <c r="C17902" t="s">
        <v>244</v>
      </c>
      <c r="D17902" t="s">
        <v>90</v>
      </c>
      <c r="E17902" t="s">
        <v>104</v>
      </c>
      <c r="F17902" s="2" t="str">
        <f>HYPERLINK("http://www.otzar.org/book.asp?603925","ימי שמחה")</f>
        <v>ימי שמחה</v>
      </c>
    </row>
    <row r="17903" spans="1:6" x14ac:dyDescent="0.2">
      <c r="A17903" t="s">
        <v>29516</v>
      </c>
      <c r="B17903" t="s">
        <v>29517</v>
      </c>
      <c r="C17903" t="s">
        <v>37</v>
      </c>
      <c r="D17903" t="s">
        <v>52</v>
      </c>
      <c r="E17903" t="s">
        <v>674</v>
      </c>
      <c r="F17903" s="2" t="str">
        <f>HYPERLINK("http://www.otzar.org/book.asp?193567","ימי שמחה")</f>
        <v>ימי שמחה</v>
      </c>
    </row>
    <row r="17904" spans="1:6" x14ac:dyDescent="0.2">
      <c r="A17904" t="s">
        <v>29518</v>
      </c>
      <c r="B17904" t="s">
        <v>2688</v>
      </c>
      <c r="C17904" t="s">
        <v>17</v>
      </c>
      <c r="D17904" t="s">
        <v>412</v>
      </c>
      <c r="E17904" t="s">
        <v>4731</v>
      </c>
      <c r="F17904" s="2" t="str">
        <f>HYPERLINK("http://www.otzar.org/book.asp?21714","ימי שמנה")</f>
        <v>ימי שמנה</v>
      </c>
    </row>
    <row r="17905" spans="1:6" x14ac:dyDescent="0.2">
      <c r="A17905" t="s">
        <v>29519</v>
      </c>
      <c r="B17905" t="s">
        <v>29520</v>
      </c>
      <c r="C17905" t="s">
        <v>4462</v>
      </c>
      <c r="D17905" t="s">
        <v>49</v>
      </c>
      <c r="F17905" s="2" t="str">
        <f>HYPERLINK("http://www.otzar.org/book.asp?64064","ימי תמימים")</f>
        <v>ימי תמימים</v>
      </c>
    </row>
    <row r="17906" spans="1:6" x14ac:dyDescent="0.2">
      <c r="A17906" t="s">
        <v>29521</v>
      </c>
      <c r="B17906" t="s">
        <v>29522</v>
      </c>
      <c r="C17906" t="s">
        <v>698</v>
      </c>
      <c r="D17906" t="s">
        <v>1654</v>
      </c>
      <c r="E17906" t="s">
        <v>246</v>
      </c>
      <c r="F17906" s="2" t="str">
        <f>HYPERLINK("http://www.otzar.org/book.asp?626354","ימי תשובה")</f>
        <v>ימי תשובה</v>
      </c>
    </row>
    <row r="17907" spans="1:6" x14ac:dyDescent="0.2">
      <c r="A17907" t="s">
        <v>29523</v>
      </c>
      <c r="B17907" t="s">
        <v>1005</v>
      </c>
      <c r="C17907" t="s">
        <v>51</v>
      </c>
      <c r="D17907" t="s">
        <v>14</v>
      </c>
      <c r="E17907" t="s">
        <v>202</v>
      </c>
      <c r="F17907" s="2" t="str">
        <f>HYPERLINK("http://www.otzar.org/book.asp?145169","ימיך אמלא")</f>
        <v>ימיך אמלא</v>
      </c>
    </row>
    <row r="17908" spans="1:6" x14ac:dyDescent="0.2">
      <c r="A17908" t="s">
        <v>29524</v>
      </c>
      <c r="B17908" t="s">
        <v>29525</v>
      </c>
      <c r="C17908" t="s">
        <v>2040</v>
      </c>
      <c r="D17908" t="s">
        <v>212</v>
      </c>
      <c r="E17908" t="s">
        <v>234</v>
      </c>
      <c r="F17908" s="2" t="str">
        <f>HYPERLINK("http://www.otzar.org/book.asp?151705","ימים אחדים")</f>
        <v>ימים אחדים</v>
      </c>
    </row>
    <row r="17909" spans="1:6" x14ac:dyDescent="0.2">
      <c r="A17909" t="s">
        <v>29526</v>
      </c>
      <c r="B17909" t="s">
        <v>29527</v>
      </c>
      <c r="C17909" t="s">
        <v>133</v>
      </c>
      <c r="D17909" t="s">
        <v>412</v>
      </c>
      <c r="E17909" t="s">
        <v>241</v>
      </c>
      <c r="F17909" s="2" t="str">
        <f>HYPERLINK("http://www.otzar.org/book.asp?181949","ימים ידברו")</f>
        <v>ימים ידברו</v>
      </c>
    </row>
    <row r="17910" spans="1:6" x14ac:dyDescent="0.2">
      <c r="A17910" t="s">
        <v>29528</v>
      </c>
      <c r="B17910" t="s">
        <v>29529</v>
      </c>
      <c r="C17910" t="s">
        <v>466</v>
      </c>
      <c r="D17910" t="s">
        <v>14</v>
      </c>
      <c r="E17910" t="s">
        <v>733</v>
      </c>
      <c r="F17910" s="2" t="str">
        <f>HYPERLINK("http://www.otzar.org/book.asp?22502","ימים כי יסערו")</f>
        <v>ימים כי יסערו</v>
      </c>
    </row>
    <row r="17911" spans="1:6" x14ac:dyDescent="0.2">
      <c r="A17911" t="s">
        <v>29530</v>
      </c>
      <c r="B17911" t="s">
        <v>206</v>
      </c>
      <c r="E17911" t="s">
        <v>140</v>
      </c>
      <c r="F17911" s="2" t="str">
        <f>HYPERLINK("http://www.otzar.org/book.asp?624804","ימים מקדם")</f>
        <v>ימים מקדם</v>
      </c>
    </row>
    <row r="17912" spans="1:6" x14ac:dyDescent="0.2">
      <c r="A17912" t="s">
        <v>29530</v>
      </c>
      <c r="B17912" t="s">
        <v>29531</v>
      </c>
      <c r="C17912" t="s">
        <v>87</v>
      </c>
      <c r="D17912" t="s">
        <v>1180</v>
      </c>
      <c r="E17912" t="s">
        <v>733</v>
      </c>
      <c r="F17912" s="2" t="str">
        <f>HYPERLINK("http://www.otzar.org/book.asp?624948","ימים מקדם")</f>
        <v>ימים מקדם</v>
      </c>
    </row>
    <row r="17913" spans="1:6" x14ac:dyDescent="0.2">
      <c r="A17913" t="s">
        <v>29532</v>
      </c>
      <c r="B17913" t="s">
        <v>29533</v>
      </c>
      <c r="C17913" t="s">
        <v>390</v>
      </c>
      <c r="D17913" t="s">
        <v>4338</v>
      </c>
      <c r="E17913" t="s">
        <v>1262</v>
      </c>
      <c r="F17913" s="2" t="str">
        <f>HYPERLINK("http://www.otzar.org/book.asp?604269","ימים נוראים אלמאנאך")</f>
        <v>ימים נוראים אלמאנאך</v>
      </c>
    </row>
    <row r="17914" spans="1:6" x14ac:dyDescent="0.2">
      <c r="A17914" t="s">
        <v>29534</v>
      </c>
      <c r="B17914" t="s">
        <v>10448</v>
      </c>
      <c r="C17914" t="s">
        <v>23</v>
      </c>
      <c r="D17914" t="s">
        <v>2375</v>
      </c>
      <c r="E17914" t="s">
        <v>1157</v>
      </c>
      <c r="F17914" s="2" t="str">
        <f>HYPERLINK("http://www.otzar.org/book.asp?625557","ימים נוראים")</f>
        <v>ימים נוראים</v>
      </c>
    </row>
    <row r="17915" spans="1:6" x14ac:dyDescent="0.2">
      <c r="A17915" t="s">
        <v>29535</v>
      </c>
      <c r="B17915" t="s">
        <v>29536</v>
      </c>
      <c r="C17915" t="s">
        <v>23</v>
      </c>
      <c r="D17915" t="s">
        <v>147</v>
      </c>
      <c r="E17915" t="s">
        <v>325</v>
      </c>
      <c r="F17915" s="2" t="str">
        <f>HYPERLINK("http://www.otzar.org/book.asp?193170","ימין דוד - 3 כר'")</f>
        <v>ימין דוד - 3 כר'</v>
      </c>
    </row>
    <row r="17916" spans="1:6" x14ac:dyDescent="0.2">
      <c r="A17916" t="s">
        <v>29537</v>
      </c>
      <c r="B17916" t="s">
        <v>29538</v>
      </c>
      <c r="C17916" t="s">
        <v>23</v>
      </c>
      <c r="D17916" t="s">
        <v>147</v>
      </c>
      <c r="E17916" t="s">
        <v>933</v>
      </c>
      <c r="F17916" s="2" t="str">
        <f>HYPERLINK("http://www.otzar.org/book.asp?193176","ימין דוד - סוכה וברכת חתנים")</f>
        <v>ימין דוד - סוכה וברכת חתנים</v>
      </c>
    </row>
    <row r="17917" spans="1:6" x14ac:dyDescent="0.2">
      <c r="A17917" t="s">
        <v>29539</v>
      </c>
      <c r="B17917" t="s">
        <v>2396</v>
      </c>
      <c r="C17917" t="s">
        <v>114</v>
      </c>
      <c r="D17917" t="s">
        <v>1076</v>
      </c>
      <c r="E17917" t="s">
        <v>158</v>
      </c>
      <c r="F17917" s="2" t="str">
        <f>HYPERLINK("http://www.otzar.org/book.asp?165258","ימין ה' רוממה - 2 כר'")</f>
        <v>ימין ה' רוממה - 2 כר'</v>
      </c>
    </row>
    <row r="17918" spans="1:6" x14ac:dyDescent="0.2">
      <c r="A17918" t="s">
        <v>29540</v>
      </c>
      <c r="B17918" t="s">
        <v>686</v>
      </c>
      <c r="C17918" t="s">
        <v>13</v>
      </c>
      <c r="D17918" t="s">
        <v>52</v>
      </c>
      <c r="E17918" t="s">
        <v>1776</v>
      </c>
      <c r="F17918" s="2" t="str">
        <f>HYPERLINK("http://www.otzar.org/book.asp?60744","ימין ה'")</f>
        <v>ימין ה'</v>
      </c>
    </row>
    <row r="17919" spans="1:6" x14ac:dyDescent="0.2">
      <c r="A17919" t="s">
        <v>29541</v>
      </c>
      <c r="B17919" t="s">
        <v>29542</v>
      </c>
      <c r="C17919" t="s">
        <v>919</v>
      </c>
      <c r="D17919" t="s">
        <v>412</v>
      </c>
      <c r="E17919" t="s">
        <v>606</v>
      </c>
      <c r="F17919" s="2" t="str">
        <f>HYPERLINK("http://www.otzar.org/book.asp?144886","ימין המלך")</f>
        <v>ימין המלך</v>
      </c>
    </row>
    <row r="17920" spans="1:6" x14ac:dyDescent="0.2">
      <c r="A17920" t="s">
        <v>29543</v>
      </c>
      <c r="B17920" t="s">
        <v>15191</v>
      </c>
      <c r="C17920" t="s">
        <v>547</v>
      </c>
      <c r="D17920" t="s">
        <v>947</v>
      </c>
      <c r="E17920" t="s">
        <v>241</v>
      </c>
      <c r="F17920" s="2" t="str">
        <f>HYPERLINK("http://www.otzar.org/book.asp?18895","ימין ושמאל")</f>
        <v>ימין ושמאל</v>
      </c>
    </row>
    <row r="17921" spans="1:6" x14ac:dyDescent="0.2">
      <c r="A17921" t="s">
        <v>29544</v>
      </c>
      <c r="B17921" t="s">
        <v>29545</v>
      </c>
      <c r="C17921" t="s">
        <v>843</v>
      </c>
      <c r="D17921" t="s">
        <v>27</v>
      </c>
      <c r="E17921" t="s">
        <v>26276</v>
      </c>
      <c r="F17921" s="2" t="str">
        <f>HYPERLINK("http://www.otzar.org/book.asp?62181","ימין יוסף")</f>
        <v>ימין יוסף</v>
      </c>
    </row>
    <row r="17922" spans="1:6" x14ac:dyDescent="0.2">
      <c r="A17922" t="s">
        <v>29546</v>
      </c>
      <c r="B17922" t="s">
        <v>29547</v>
      </c>
      <c r="C17922" t="s">
        <v>103</v>
      </c>
      <c r="D17922" t="s">
        <v>412</v>
      </c>
      <c r="E17922" t="s">
        <v>158</v>
      </c>
      <c r="F17922" s="2" t="str">
        <f>HYPERLINK("http://www.otzar.org/book.asp?62760","ימין יעקב")</f>
        <v>ימין יעקב</v>
      </c>
    </row>
    <row r="17923" spans="1:6" x14ac:dyDescent="0.2">
      <c r="A17923" t="s">
        <v>29548</v>
      </c>
      <c r="B17923" t="s">
        <v>29549</v>
      </c>
      <c r="C17923" t="s">
        <v>20</v>
      </c>
      <c r="D17923" t="s">
        <v>90</v>
      </c>
      <c r="E17923" t="s">
        <v>219</v>
      </c>
      <c r="F17923" s="2" t="str">
        <f>HYPERLINK("http://www.otzar.org/book.asp?28229","ימין לארמוני")</f>
        <v>ימין לארמוני</v>
      </c>
    </row>
    <row r="17924" spans="1:6" x14ac:dyDescent="0.2">
      <c r="A17924" t="s">
        <v>29550</v>
      </c>
      <c r="B17924" t="s">
        <v>29551</v>
      </c>
      <c r="C17924" t="s">
        <v>29552</v>
      </c>
      <c r="D17924" t="s">
        <v>29553</v>
      </c>
      <c r="E17924" t="s">
        <v>148</v>
      </c>
      <c r="F17924" s="2" t="str">
        <f>HYPERLINK("http://www.otzar.org/book.asp?166878","ימין משה &lt;באר מיים חיים&gt;")</f>
        <v>ימין משה &lt;באר מיים חיים&gt;</v>
      </c>
    </row>
    <row r="17925" spans="1:6" x14ac:dyDescent="0.2">
      <c r="A17925" t="s">
        <v>29554</v>
      </c>
      <c r="B17925" t="s">
        <v>29551</v>
      </c>
      <c r="C17925" t="s">
        <v>1163</v>
      </c>
      <c r="D17925" t="s">
        <v>1163</v>
      </c>
      <c r="E17925" t="s">
        <v>148</v>
      </c>
      <c r="F17925" s="2" t="str">
        <f>HYPERLINK("http://www.otzar.org/book.asp?165842","ימין משה (כתב יד)")</f>
        <v>ימין משה (כתב יד)</v>
      </c>
    </row>
    <row r="17926" spans="1:6" x14ac:dyDescent="0.2">
      <c r="A17926" t="s">
        <v>29555</v>
      </c>
      <c r="B17926" t="s">
        <v>29556</v>
      </c>
      <c r="C17926" t="s">
        <v>366</v>
      </c>
      <c r="D17926" t="s">
        <v>90</v>
      </c>
      <c r="E17926" t="s">
        <v>130</v>
      </c>
      <c r="F17926" s="2" t="str">
        <f>HYPERLINK("http://www.otzar.org/book.asp?625409","ימין משה")</f>
        <v>ימין משה</v>
      </c>
    </row>
    <row r="17927" spans="1:6" x14ac:dyDescent="0.2">
      <c r="A17927" t="s">
        <v>29557</v>
      </c>
      <c r="B17927" t="s">
        <v>29551</v>
      </c>
      <c r="C17927" t="s">
        <v>1537</v>
      </c>
      <c r="D17927" t="s">
        <v>1279</v>
      </c>
      <c r="E17927" t="s">
        <v>148</v>
      </c>
      <c r="F17927" s="2" t="str">
        <f>HYPERLINK("http://www.otzar.org/book.asp?84161","ימין משה - 2 כר'")</f>
        <v>ימין משה - 2 כר'</v>
      </c>
    </row>
    <row r="17928" spans="1:6" x14ac:dyDescent="0.2">
      <c r="A17928" t="s">
        <v>29555</v>
      </c>
      <c r="B17928" t="s">
        <v>29558</v>
      </c>
      <c r="C17928" t="s">
        <v>422</v>
      </c>
      <c r="D17928" t="s">
        <v>152</v>
      </c>
      <c r="E17928" t="s">
        <v>15</v>
      </c>
      <c r="F17928" s="2" t="str">
        <f>HYPERLINK("http://www.otzar.org/book.asp?150950","ימין משה")</f>
        <v>ימין משה</v>
      </c>
    </row>
    <row r="17929" spans="1:6" x14ac:dyDescent="0.2">
      <c r="A17929" t="s">
        <v>29555</v>
      </c>
      <c r="B17929" t="s">
        <v>29559</v>
      </c>
      <c r="C17929" t="s">
        <v>3816</v>
      </c>
      <c r="D17929" t="s">
        <v>1008</v>
      </c>
      <c r="E17929" t="s">
        <v>25902</v>
      </c>
      <c r="F17929" s="2" t="str">
        <f>HYPERLINK("http://www.otzar.org/book.asp?103219","ימין משה")</f>
        <v>ימין משה</v>
      </c>
    </row>
    <row r="17930" spans="1:6" x14ac:dyDescent="0.2">
      <c r="A17930" t="s">
        <v>29560</v>
      </c>
      <c r="B17930" t="s">
        <v>29561</v>
      </c>
      <c r="C17930" t="s">
        <v>1535</v>
      </c>
      <c r="D17930" t="s">
        <v>726</v>
      </c>
      <c r="E17930" t="s">
        <v>144</v>
      </c>
      <c r="F17930" s="2" t="str">
        <f>HYPERLINK("http://www.otzar.org/book.asp?7063","ימין שמואל")</f>
        <v>ימין שמואל</v>
      </c>
    </row>
    <row r="17931" spans="1:6" x14ac:dyDescent="0.2">
      <c r="A17931" t="s">
        <v>29560</v>
      </c>
      <c r="B17931" t="s">
        <v>29562</v>
      </c>
      <c r="C17931" t="s">
        <v>454</v>
      </c>
      <c r="D17931" t="s">
        <v>152</v>
      </c>
      <c r="E17931" t="s">
        <v>144</v>
      </c>
      <c r="F17931" s="2" t="str">
        <f>HYPERLINK("http://www.otzar.org/book.asp?160931","ימין שמואל")</f>
        <v>ימין שמואל</v>
      </c>
    </row>
    <row r="17932" spans="1:6" x14ac:dyDescent="0.2">
      <c r="A17932" t="s">
        <v>29563</v>
      </c>
      <c r="B17932" t="s">
        <v>686</v>
      </c>
      <c r="C17932" t="s">
        <v>523</v>
      </c>
      <c r="D17932" t="s">
        <v>52</v>
      </c>
      <c r="E17932" t="s">
        <v>104</v>
      </c>
      <c r="F17932" s="2" t="str">
        <f>HYPERLINK("http://www.otzar.org/book.asp?189714","ימינו תחבקני")</f>
        <v>ימינו תחבקני</v>
      </c>
    </row>
    <row r="17933" spans="1:6" x14ac:dyDescent="0.2">
      <c r="A17933" t="s">
        <v>29564</v>
      </c>
      <c r="B17933" t="s">
        <v>1353</v>
      </c>
      <c r="C17933" t="s">
        <v>37</v>
      </c>
      <c r="D17933" t="s">
        <v>52</v>
      </c>
      <c r="E17933" t="s">
        <v>241</v>
      </c>
      <c r="F17933" s="2" t="str">
        <f>HYPERLINK("http://www.otzar.org/book.asp?618993","ימלא פי תהלתך - 7 כר'")</f>
        <v>ימלא פי תהלתך - 7 כר'</v>
      </c>
    </row>
    <row r="17934" spans="1:6" x14ac:dyDescent="0.2">
      <c r="A17934" t="s">
        <v>29565</v>
      </c>
      <c r="B17934" t="s">
        <v>210</v>
      </c>
      <c r="C17934" t="s">
        <v>503</v>
      </c>
      <c r="D17934" t="s">
        <v>18023</v>
      </c>
      <c r="F17934" s="2" t="str">
        <f>HYPERLINK("http://www.otzar.org/book.asp?170163","ימלט נפשו - 2 כר'")</f>
        <v>ימלט נפשו - 2 כר'</v>
      </c>
    </row>
    <row r="17935" spans="1:6" x14ac:dyDescent="0.2">
      <c r="A17935" t="s">
        <v>29566</v>
      </c>
      <c r="B17935" t="s">
        <v>155</v>
      </c>
      <c r="C17935" t="s">
        <v>2617</v>
      </c>
      <c r="D17935" t="s">
        <v>157</v>
      </c>
      <c r="E17935" t="s">
        <v>960</v>
      </c>
      <c r="F17935" s="2" t="str">
        <f>HYPERLINK("http://www.otzar.org/book.asp?941","ימצא חיים")</f>
        <v>ימצא חיים</v>
      </c>
    </row>
    <row r="17936" spans="1:6" x14ac:dyDescent="0.2">
      <c r="A17936" t="s">
        <v>29567</v>
      </c>
      <c r="B17936" t="s">
        <v>29568</v>
      </c>
      <c r="C17936" t="s">
        <v>383</v>
      </c>
      <c r="D17936" t="s">
        <v>52</v>
      </c>
      <c r="E17936" t="s">
        <v>3363</v>
      </c>
      <c r="F17936" s="2" t="str">
        <f>HYPERLINK("http://www.otzar.org/book.asp?161502","ימצא חן")</f>
        <v>ימצא חן</v>
      </c>
    </row>
    <row r="17937" spans="1:6" x14ac:dyDescent="0.2">
      <c r="A17937" t="s">
        <v>29569</v>
      </c>
      <c r="B17937" t="s">
        <v>29570</v>
      </c>
      <c r="C17937" t="s">
        <v>51</v>
      </c>
      <c r="D17937" t="s">
        <v>52</v>
      </c>
      <c r="E17937" t="s">
        <v>158</v>
      </c>
      <c r="F17937" s="2" t="str">
        <f>HYPERLINK("http://www.otzar.org/book.asp?84429","ינון ואליה - בראשית")</f>
        <v>ינון ואליה - בראשית</v>
      </c>
    </row>
    <row r="17938" spans="1:6" x14ac:dyDescent="0.2">
      <c r="A17938" t="s">
        <v>29571</v>
      </c>
      <c r="B17938" t="s">
        <v>29572</v>
      </c>
      <c r="C17938" t="s">
        <v>29573</v>
      </c>
      <c r="D17938" t="s">
        <v>283</v>
      </c>
      <c r="E17938" t="s">
        <v>29574</v>
      </c>
      <c r="F17938" s="2" t="str">
        <f>HYPERLINK("http://www.otzar.org/book.asp?19145","ינחנו")</f>
        <v>ינחנו</v>
      </c>
    </row>
    <row r="17939" spans="1:6" x14ac:dyDescent="0.2">
      <c r="A17939" t="s">
        <v>29575</v>
      </c>
      <c r="B17939" t="s">
        <v>29576</v>
      </c>
      <c r="C17939" t="s">
        <v>29577</v>
      </c>
      <c r="D17939" t="s">
        <v>157</v>
      </c>
      <c r="E17939" t="s">
        <v>234</v>
      </c>
      <c r="F17939" s="2" t="str">
        <f>HYPERLINK("http://www.otzar.org/book.asp?165164","יסד המלך")</f>
        <v>יסד המלך</v>
      </c>
    </row>
    <row r="17940" spans="1:6" x14ac:dyDescent="0.2">
      <c r="A17940" t="s">
        <v>29578</v>
      </c>
      <c r="B17940" t="s">
        <v>29579</v>
      </c>
      <c r="C17940" t="s">
        <v>151</v>
      </c>
      <c r="D17940" t="s">
        <v>14</v>
      </c>
      <c r="F17940" s="2" t="str">
        <f>HYPERLINK("http://www.otzar.org/book.asp?616483","יסדת עוז")</f>
        <v>יסדת עוז</v>
      </c>
    </row>
    <row r="17941" spans="1:6" x14ac:dyDescent="0.2">
      <c r="A17941" t="s">
        <v>29580</v>
      </c>
      <c r="B17941" t="s">
        <v>2663</v>
      </c>
      <c r="C17941" t="s">
        <v>422</v>
      </c>
      <c r="D17941" t="s">
        <v>152</v>
      </c>
      <c r="E17941" t="s">
        <v>202</v>
      </c>
      <c r="F17941" s="2" t="str">
        <f>HYPERLINK("http://www.otzar.org/book.asp?152434","יסדת עז")</f>
        <v>יסדת עז</v>
      </c>
    </row>
    <row r="17942" spans="1:6" x14ac:dyDescent="0.2">
      <c r="A17942" t="s">
        <v>29581</v>
      </c>
      <c r="B17942" t="s">
        <v>2137</v>
      </c>
      <c r="C17942" t="s">
        <v>1124</v>
      </c>
      <c r="D17942" t="s">
        <v>1279</v>
      </c>
      <c r="E17942" t="s">
        <v>27569</v>
      </c>
      <c r="F17942" s="2" t="str">
        <f>HYPERLINK("http://www.otzar.org/book.asp?102502","יסוד אוהל מועד")</f>
        <v>יסוד אוהל מועד</v>
      </c>
    </row>
    <row r="17943" spans="1:6" x14ac:dyDescent="0.2">
      <c r="A17943" t="s">
        <v>29582</v>
      </c>
      <c r="B17943" t="s">
        <v>29583</v>
      </c>
      <c r="C17943" t="s">
        <v>2455</v>
      </c>
      <c r="D17943" t="s">
        <v>283</v>
      </c>
      <c r="E17943" t="s">
        <v>158</v>
      </c>
      <c r="F17943" s="2" t="str">
        <f>HYPERLINK("http://www.otzar.org/book.asp?189334","יסוד אמונה ומדה ענוה")</f>
        <v>יסוד אמונה ומדה ענוה</v>
      </c>
    </row>
    <row r="17944" spans="1:6" x14ac:dyDescent="0.2">
      <c r="A17944" t="s">
        <v>29584</v>
      </c>
      <c r="B17944" t="s">
        <v>15779</v>
      </c>
      <c r="C17944" t="s">
        <v>87</v>
      </c>
      <c r="D17944" t="s">
        <v>14</v>
      </c>
      <c r="E17944" t="s">
        <v>606</v>
      </c>
      <c r="F17944" s="2" t="str">
        <f>HYPERLINK("http://www.otzar.org/book.asp?17521","יסוד אמונה")</f>
        <v>יסוד אמונה</v>
      </c>
    </row>
    <row r="17945" spans="1:6" x14ac:dyDescent="0.2">
      <c r="A17945" t="s">
        <v>29585</v>
      </c>
      <c r="B17945" t="s">
        <v>29586</v>
      </c>
      <c r="C17945" t="s">
        <v>366</v>
      </c>
      <c r="D17945" t="s">
        <v>90</v>
      </c>
      <c r="E17945" t="s">
        <v>213</v>
      </c>
      <c r="F17945" s="2" t="str">
        <f>HYPERLINK("http://www.otzar.org/book.asp?628562","יסוד האחדות")</f>
        <v>יסוד האחדות</v>
      </c>
    </row>
    <row r="17946" spans="1:6" x14ac:dyDescent="0.2">
      <c r="A17946" t="s">
        <v>29587</v>
      </c>
      <c r="B17946" t="s">
        <v>29588</v>
      </c>
      <c r="C17946" t="s">
        <v>133</v>
      </c>
      <c r="D17946" t="s">
        <v>412</v>
      </c>
      <c r="F17946" s="2" t="str">
        <f>HYPERLINK("http://www.otzar.org/book.asp?170524","יסוד האמונה &lt;מהדורה חדשה&gt;")</f>
        <v>יסוד האמונה &lt;מהדורה חדשה&gt;</v>
      </c>
    </row>
    <row r="17947" spans="1:6" x14ac:dyDescent="0.2">
      <c r="A17947" t="s">
        <v>29589</v>
      </c>
      <c r="B17947" t="s">
        <v>29590</v>
      </c>
      <c r="C17947" t="s">
        <v>29591</v>
      </c>
      <c r="D17947" t="s">
        <v>29592</v>
      </c>
      <c r="E17947" t="s">
        <v>241</v>
      </c>
      <c r="F17947" s="2" t="str">
        <f>HYPERLINK("http://www.otzar.org/book.asp?197027","יסוד האמונה ושרש הבטחון - 2 כר'")</f>
        <v>יסוד האמונה ושרש הבטחון - 2 כר'</v>
      </c>
    </row>
    <row r="17948" spans="1:6" x14ac:dyDescent="0.2">
      <c r="A17948" t="s">
        <v>29593</v>
      </c>
      <c r="B17948" t="s">
        <v>29588</v>
      </c>
      <c r="C17948" t="s">
        <v>503</v>
      </c>
      <c r="D17948" t="s">
        <v>8579</v>
      </c>
      <c r="E17948" t="s">
        <v>29594</v>
      </c>
      <c r="F17948" s="2" t="str">
        <f>HYPERLINK("http://www.otzar.org/book.asp?486","יסוד האמונה - 2 כר'")</f>
        <v>יסוד האמונה - 2 כר'</v>
      </c>
    </row>
    <row r="17949" spans="1:6" x14ac:dyDescent="0.2">
      <c r="A17949" t="s">
        <v>29593</v>
      </c>
      <c r="B17949" t="s">
        <v>3673</v>
      </c>
      <c r="C17949" t="s">
        <v>6784</v>
      </c>
      <c r="D17949" t="s">
        <v>267</v>
      </c>
      <c r="E17949" t="s">
        <v>241</v>
      </c>
      <c r="F17949" s="2" t="str">
        <f>HYPERLINK("http://www.otzar.org/book.asp?6477","יסוד האמונה - 2 כר'")</f>
        <v>יסוד האמונה - 2 כר'</v>
      </c>
    </row>
    <row r="17950" spans="1:6" x14ac:dyDescent="0.2">
      <c r="A17950" t="s">
        <v>29595</v>
      </c>
      <c r="B17950" t="s">
        <v>3614</v>
      </c>
      <c r="C17950" t="s">
        <v>3106</v>
      </c>
      <c r="D17950" t="s">
        <v>27</v>
      </c>
      <c r="E17950" t="s">
        <v>703</v>
      </c>
      <c r="F17950" s="2" t="str">
        <f>HYPERLINK("http://www.otzar.org/book.asp?158084","יסוד האמונה")</f>
        <v>יסוד האמונה</v>
      </c>
    </row>
    <row r="17951" spans="1:6" x14ac:dyDescent="0.2">
      <c r="A17951" t="s">
        <v>29595</v>
      </c>
      <c r="B17951" t="s">
        <v>3754</v>
      </c>
      <c r="C17951" t="s">
        <v>114</v>
      </c>
      <c r="D17951" t="s">
        <v>27</v>
      </c>
      <c r="E17951" t="s">
        <v>29596</v>
      </c>
      <c r="F17951" s="2" t="str">
        <f>HYPERLINK("http://www.otzar.org/book.asp?173633","יסוד האמונה")</f>
        <v>יסוד האמונה</v>
      </c>
    </row>
    <row r="17952" spans="1:6" x14ac:dyDescent="0.2">
      <c r="A17952" t="s">
        <v>29597</v>
      </c>
      <c r="B17952" t="s">
        <v>1693</v>
      </c>
      <c r="C17952" t="s">
        <v>189</v>
      </c>
      <c r="D17952" t="s">
        <v>14</v>
      </c>
      <c r="E17952" t="s">
        <v>579</v>
      </c>
      <c r="F17952" s="2" t="str">
        <f>HYPERLINK("http://www.otzar.org/book.asp?143913","יסוד הבריאה - 2 כר'")</f>
        <v>יסוד הבריאה - 2 כר'</v>
      </c>
    </row>
    <row r="17953" spans="1:6" x14ac:dyDescent="0.2">
      <c r="A17953" t="s">
        <v>29598</v>
      </c>
      <c r="B17953" t="s">
        <v>206</v>
      </c>
      <c r="C17953" t="s">
        <v>585</v>
      </c>
      <c r="D17953" t="s">
        <v>486</v>
      </c>
      <c r="E17953" t="s">
        <v>104</v>
      </c>
      <c r="F17953" s="2" t="str">
        <f>HYPERLINK("http://www.otzar.org/book.asp?160604","יסוד הגאולה")</f>
        <v>יסוד הגאולה</v>
      </c>
    </row>
    <row r="17954" spans="1:6" x14ac:dyDescent="0.2">
      <c r="A17954" t="s">
        <v>29599</v>
      </c>
      <c r="B17954" t="s">
        <v>29600</v>
      </c>
      <c r="C17954" t="s">
        <v>558</v>
      </c>
      <c r="D17954" t="s">
        <v>283</v>
      </c>
      <c r="E17954" t="s">
        <v>399</v>
      </c>
      <c r="F17954" s="2" t="str">
        <f>HYPERLINK("http://www.otzar.org/book.asp?108844","יסוד הדעת")</f>
        <v>יסוד הדעת</v>
      </c>
    </row>
    <row r="17955" spans="1:6" x14ac:dyDescent="0.2">
      <c r="A17955" t="s">
        <v>29601</v>
      </c>
      <c r="B17955" t="s">
        <v>3462</v>
      </c>
      <c r="C17955" t="s">
        <v>71</v>
      </c>
      <c r="D17955" t="s">
        <v>52</v>
      </c>
      <c r="E17955" t="s">
        <v>399</v>
      </c>
      <c r="F17955" s="2" t="str">
        <f>HYPERLINK("http://www.otzar.org/book.asp?61415","יסוד החכמה &lt;שרשי חכמת הקבלה&gt;")</f>
        <v>יסוד החכמה &lt;שרשי חכמת הקבלה&gt;</v>
      </c>
    </row>
    <row r="17956" spans="1:6" x14ac:dyDescent="0.2">
      <c r="A17956" t="s">
        <v>29602</v>
      </c>
      <c r="B17956" t="s">
        <v>29603</v>
      </c>
      <c r="C17956" t="s">
        <v>129</v>
      </c>
      <c r="D17956" t="s">
        <v>52</v>
      </c>
      <c r="E17956" t="s">
        <v>15</v>
      </c>
      <c r="F17956" s="2" t="str">
        <f>HYPERLINK("http://www.otzar.org/book.asp?52205","יסוד הטהרה (באנגלית)")</f>
        <v>יסוד הטהרה (באנגלית)</v>
      </c>
    </row>
    <row r="17957" spans="1:6" x14ac:dyDescent="0.2">
      <c r="A17957" t="s">
        <v>29604</v>
      </c>
      <c r="B17957" t="s">
        <v>29603</v>
      </c>
      <c r="C17957" t="s">
        <v>454</v>
      </c>
      <c r="D17957" t="s">
        <v>52</v>
      </c>
      <c r="E17957" t="s">
        <v>15</v>
      </c>
      <c r="F17957" s="2" t="str">
        <f>HYPERLINK("http://www.otzar.org/book.asp?51870","יסוד הטהרה")</f>
        <v>יסוד הטהרה</v>
      </c>
    </row>
    <row r="17958" spans="1:6" x14ac:dyDescent="0.2">
      <c r="A17958" t="s">
        <v>29605</v>
      </c>
      <c r="B17958" t="s">
        <v>29606</v>
      </c>
      <c r="C17958" t="s">
        <v>20</v>
      </c>
      <c r="D17958" t="s">
        <v>52</v>
      </c>
      <c r="E17958" t="s">
        <v>246</v>
      </c>
      <c r="F17958" s="2" t="str">
        <f>HYPERLINK("http://www.otzar.org/book.asp?631137","יסוד המועדים - 2 כר'")</f>
        <v>יסוד המועדים - 2 כר'</v>
      </c>
    </row>
    <row r="17959" spans="1:6" x14ac:dyDescent="0.2">
      <c r="A17959" t="s">
        <v>29607</v>
      </c>
      <c r="B17959" t="s">
        <v>1693</v>
      </c>
      <c r="C17959" t="s">
        <v>129</v>
      </c>
      <c r="D17959" t="s">
        <v>14</v>
      </c>
      <c r="E17959" t="s">
        <v>1164</v>
      </c>
      <c r="F17959" s="2" t="str">
        <f>HYPERLINK("http://www.otzar.org/book.asp?143953","יסוד המועדים")</f>
        <v>יסוד המועדים</v>
      </c>
    </row>
    <row r="17960" spans="1:6" x14ac:dyDescent="0.2">
      <c r="A17960" t="s">
        <v>29608</v>
      </c>
      <c r="B17960" t="s">
        <v>3554</v>
      </c>
      <c r="C17960" t="s">
        <v>585</v>
      </c>
      <c r="D17960" t="s">
        <v>52</v>
      </c>
      <c r="E17960" t="s">
        <v>226</v>
      </c>
      <c r="F17960" s="2" t="str">
        <f>HYPERLINK("http://www.otzar.org/book.asp?143522","יסוד המעלה - 2 כר'")</f>
        <v>יסוד המעלה - 2 כר'</v>
      </c>
    </row>
    <row r="17961" spans="1:6" x14ac:dyDescent="0.2">
      <c r="A17961" t="s">
        <v>29609</v>
      </c>
      <c r="B17961" t="s">
        <v>11375</v>
      </c>
      <c r="C17961" t="s">
        <v>7364</v>
      </c>
      <c r="D17961" t="s">
        <v>1023</v>
      </c>
      <c r="E17961" t="s">
        <v>104</v>
      </c>
      <c r="F17961" s="2" t="str">
        <f>HYPERLINK("http://www.otzar.org/book.asp?100582","יסוד הניקוד")</f>
        <v>יסוד הניקוד</v>
      </c>
    </row>
    <row r="17962" spans="1:6" x14ac:dyDescent="0.2">
      <c r="A17962" t="s">
        <v>29610</v>
      </c>
      <c r="B17962" t="s">
        <v>8281</v>
      </c>
      <c r="C17962" t="s">
        <v>129</v>
      </c>
      <c r="D17962" t="s">
        <v>14</v>
      </c>
      <c r="E17962" t="s">
        <v>140</v>
      </c>
      <c r="F17962" s="2" t="str">
        <f>HYPERLINK("http://www.otzar.org/book.asp?50013","יסוד העבודה &lt;טקסט&gt;")</f>
        <v>יסוד העבודה &lt;טקסט&gt;</v>
      </c>
    </row>
    <row r="17963" spans="1:6" x14ac:dyDescent="0.2">
      <c r="A17963" t="s">
        <v>29611</v>
      </c>
      <c r="B17963" t="s">
        <v>29612</v>
      </c>
      <c r="C17963" t="s">
        <v>351</v>
      </c>
      <c r="D17963" t="s">
        <v>2295</v>
      </c>
      <c r="E17963" t="s">
        <v>960</v>
      </c>
      <c r="F17963" s="2" t="str">
        <f>HYPERLINK("http://www.otzar.org/book.asp?18897","יסוד העבודה")</f>
        <v>יסוד העבודה</v>
      </c>
    </row>
    <row r="17964" spans="1:6" x14ac:dyDescent="0.2">
      <c r="A17964" t="s">
        <v>29611</v>
      </c>
      <c r="B17964" t="s">
        <v>8281</v>
      </c>
      <c r="C17964" t="s">
        <v>5903</v>
      </c>
      <c r="D17964" t="s">
        <v>283</v>
      </c>
      <c r="E17964" t="s">
        <v>5935</v>
      </c>
      <c r="F17964" s="2" t="str">
        <f>HYPERLINK("http://www.otzar.org/book.asp?8249","יסוד העבודה")</f>
        <v>יסוד העבודה</v>
      </c>
    </row>
    <row r="17965" spans="1:6" x14ac:dyDescent="0.2">
      <c r="A17965" t="s">
        <v>29613</v>
      </c>
      <c r="B17965" t="s">
        <v>29614</v>
      </c>
      <c r="C17965" t="s">
        <v>129</v>
      </c>
      <c r="E17965" t="s">
        <v>241</v>
      </c>
      <c r="F17965" s="2" t="str">
        <f>HYPERLINK("http://www.otzar.org/book.asp?52593","יסוד השאיפה")</f>
        <v>יסוד השאיפה</v>
      </c>
    </row>
    <row r="17966" spans="1:6" x14ac:dyDescent="0.2">
      <c r="A17966" t="s">
        <v>29615</v>
      </c>
      <c r="B17966" t="s">
        <v>29616</v>
      </c>
      <c r="C17966" t="s">
        <v>442</v>
      </c>
      <c r="D17966" t="s">
        <v>986</v>
      </c>
      <c r="E17966" t="s">
        <v>10</v>
      </c>
      <c r="F17966" s="2" t="str">
        <f>HYPERLINK("http://www.otzar.org/book.asp?52161","יסוד השבת")</f>
        <v>יסוד השבת</v>
      </c>
    </row>
    <row r="17967" spans="1:6" x14ac:dyDescent="0.2">
      <c r="A17967" t="s">
        <v>29617</v>
      </c>
      <c r="B17967" t="s">
        <v>16395</v>
      </c>
      <c r="C17967" t="s">
        <v>547</v>
      </c>
      <c r="D17967" t="s">
        <v>27</v>
      </c>
      <c r="E17967" t="s">
        <v>3785</v>
      </c>
      <c r="F17967" s="2" t="str">
        <f>HYPERLINK("http://www.otzar.org/book.asp?103224","יסוד התורה")</f>
        <v>יסוד התורה</v>
      </c>
    </row>
    <row r="17968" spans="1:6" x14ac:dyDescent="0.2">
      <c r="A17968" t="s">
        <v>29618</v>
      </c>
      <c r="B17968" t="s">
        <v>29619</v>
      </c>
      <c r="C17968" t="s">
        <v>422</v>
      </c>
      <c r="D17968" t="s">
        <v>16390</v>
      </c>
      <c r="E17968" t="s">
        <v>241</v>
      </c>
      <c r="F17968" s="2" t="str">
        <f>HYPERLINK("http://www.otzar.org/book.asp?180704","יסוד התשובה &lt;משיבת נפש&gt;")</f>
        <v>יסוד התשובה &lt;משיבת נפש&gt;</v>
      </c>
    </row>
    <row r="17969" spans="1:6" x14ac:dyDescent="0.2">
      <c r="A17969" t="s">
        <v>29618</v>
      </c>
      <c r="B17969" t="s">
        <v>1574</v>
      </c>
      <c r="C17969" t="s">
        <v>114</v>
      </c>
      <c r="D17969" t="s">
        <v>1301</v>
      </c>
      <c r="E17969" t="s">
        <v>241</v>
      </c>
      <c r="F17969" s="2" t="str">
        <f>HYPERLINK("http://www.otzar.org/book.asp?601013","יסוד התשובה &lt;משיבת נפש&gt;")</f>
        <v>יסוד התשובה &lt;משיבת נפש&gt;</v>
      </c>
    </row>
    <row r="17970" spans="1:6" x14ac:dyDescent="0.2">
      <c r="A17970" t="s">
        <v>29620</v>
      </c>
      <c r="B17970" t="s">
        <v>29621</v>
      </c>
      <c r="C17970" t="s">
        <v>748</v>
      </c>
      <c r="D17970" t="s">
        <v>379</v>
      </c>
      <c r="E17970" t="s">
        <v>241</v>
      </c>
      <c r="F17970" s="2" t="str">
        <f>HYPERLINK("http://www.otzar.org/book.asp?152915","יסוד התשובה")</f>
        <v>יסוד התשובה</v>
      </c>
    </row>
    <row r="17971" spans="1:6" x14ac:dyDescent="0.2">
      <c r="A17971" t="s">
        <v>29622</v>
      </c>
      <c r="B17971" t="s">
        <v>19974</v>
      </c>
      <c r="C17971" t="s">
        <v>244</v>
      </c>
      <c r="D17971" t="s">
        <v>147</v>
      </c>
      <c r="E17971" t="s">
        <v>15</v>
      </c>
      <c r="F17971" s="2" t="str">
        <f>HYPERLINK("http://www.otzar.org/book.asp?197364","יסוד ושורש המוקצה")</f>
        <v>יסוד ושורש המוקצה</v>
      </c>
    </row>
    <row r="17972" spans="1:6" x14ac:dyDescent="0.2">
      <c r="A17972" t="s">
        <v>29623</v>
      </c>
      <c r="B17972" t="s">
        <v>29624</v>
      </c>
      <c r="C17972" t="s">
        <v>553</v>
      </c>
      <c r="D17972" t="s">
        <v>52</v>
      </c>
      <c r="E17972" t="s">
        <v>714</v>
      </c>
      <c r="F17972" s="2" t="str">
        <f>HYPERLINK("http://www.otzar.org/book.asp?155236","יסוד ושורש העבודה &lt;מהדורה חדשה&gt; - 2 כר'")</f>
        <v>יסוד ושורש העבודה &lt;מהדורה חדשה&gt; - 2 כר'</v>
      </c>
    </row>
    <row r="17973" spans="1:6" x14ac:dyDescent="0.2">
      <c r="A17973" t="s">
        <v>29625</v>
      </c>
      <c r="B17973" t="s">
        <v>29624</v>
      </c>
      <c r="C17973" t="s">
        <v>351</v>
      </c>
      <c r="D17973" t="s">
        <v>283</v>
      </c>
      <c r="E17973" t="s">
        <v>960</v>
      </c>
      <c r="F17973" s="2" t="str">
        <f>HYPERLINK("http://www.otzar.org/book.asp?107291","יסוד ושורש העבודה - 4 כר'")</f>
        <v>יסוד ושורש העבודה - 4 כר'</v>
      </c>
    </row>
    <row r="17974" spans="1:6" x14ac:dyDescent="0.2">
      <c r="A17974" t="s">
        <v>29626</v>
      </c>
      <c r="B17974" t="s">
        <v>17429</v>
      </c>
      <c r="C17974" t="s">
        <v>23</v>
      </c>
      <c r="D17974" t="s">
        <v>14</v>
      </c>
      <c r="E17974" t="s">
        <v>15</v>
      </c>
      <c r="F17974" s="2" t="str">
        <f>HYPERLINK("http://www.otzar.org/book.asp?189909","יסוד טעות המתירים")</f>
        <v>יסוד טעות המתירים</v>
      </c>
    </row>
    <row r="17975" spans="1:6" x14ac:dyDescent="0.2">
      <c r="A17975" t="s">
        <v>29627</v>
      </c>
      <c r="B17975" t="s">
        <v>29628</v>
      </c>
      <c r="C17975" t="s">
        <v>29629</v>
      </c>
      <c r="D17975" t="s">
        <v>29630</v>
      </c>
      <c r="E17975" t="s">
        <v>7780</v>
      </c>
      <c r="F17975" s="2" t="str">
        <f>HYPERLINK("http://www.otzar.org/book.asp?8154","יסוד יוסף &lt;טהרת יום טוב&gt; - 20 כר'")</f>
        <v>יסוד יוסף &lt;טהרת יום טוב&gt; - 20 כר'</v>
      </c>
    </row>
    <row r="17976" spans="1:6" x14ac:dyDescent="0.2">
      <c r="A17976" t="s">
        <v>29631</v>
      </c>
      <c r="B17976" t="s">
        <v>29632</v>
      </c>
      <c r="D17976" t="s">
        <v>486</v>
      </c>
      <c r="E17976" t="s">
        <v>3616</v>
      </c>
      <c r="F17976" s="2" t="str">
        <f>HYPERLINK("http://www.otzar.org/book.asp?53665","יסוד יוסף &lt;המבואר&gt; - נעימה קדושה - יראי חן")</f>
        <v>יסוד יוסף &lt;המבואר&gt; - נעימה קדושה - יראי חן</v>
      </c>
    </row>
    <row r="17977" spans="1:6" x14ac:dyDescent="0.2">
      <c r="A17977" t="s">
        <v>29633</v>
      </c>
      <c r="B17977" t="s">
        <v>29632</v>
      </c>
      <c r="C17977" t="s">
        <v>151</v>
      </c>
      <c r="D17977" t="s">
        <v>486</v>
      </c>
      <c r="E17977" t="s">
        <v>16417</v>
      </c>
      <c r="F17977" s="2" t="str">
        <f>HYPERLINK("http://www.otzar.org/book.asp?620505","יסוד יוסף &lt;המבואר&gt;, נעימה קדושה, יראי חן")</f>
        <v>יסוד יוסף &lt;המבואר&gt;, נעימה קדושה, יראי חן</v>
      </c>
    </row>
    <row r="17978" spans="1:6" x14ac:dyDescent="0.2">
      <c r="A17978" t="s">
        <v>29634</v>
      </c>
      <c r="B17978" t="s">
        <v>29635</v>
      </c>
      <c r="C17978" t="s">
        <v>473</v>
      </c>
      <c r="D17978" t="s">
        <v>225</v>
      </c>
      <c r="E17978" t="s">
        <v>12089</v>
      </c>
      <c r="F17978" s="2" t="str">
        <f>HYPERLINK("http://www.otzar.org/book.asp?6445","יסוד יוסף - 4 כר'")</f>
        <v>יסוד יוסף - 4 כר'</v>
      </c>
    </row>
    <row r="17979" spans="1:6" x14ac:dyDescent="0.2">
      <c r="A17979" t="s">
        <v>29636</v>
      </c>
      <c r="B17979" t="s">
        <v>29632</v>
      </c>
      <c r="C17979" t="s">
        <v>1310</v>
      </c>
      <c r="D17979" t="s">
        <v>1419</v>
      </c>
      <c r="E17979" t="s">
        <v>3616</v>
      </c>
      <c r="F17979" s="2" t="str">
        <f>HYPERLINK("http://www.otzar.org/book.asp?15723","יסוד יוסף")</f>
        <v>יסוד יוסף</v>
      </c>
    </row>
    <row r="17980" spans="1:6" x14ac:dyDescent="0.2">
      <c r="A17980" t="s">
        <v>29636</v>
      </c>
      <c r="B17980" t="s">
        <v>29637</v>
      </c>
      <c r="C17980" t="s">
        <v>11127</v>
      </c>
      <c r="D17980" t="s">
        <v>6933</v>
      </c>
      <c r="E17980" t="s">
        <v>399</v>
      </c>
      <c r="F17980" s="2" t="str">
        <f>HYPERLINK("http://www.otzar.org/book.asp?103171","יסוד יוסף")</f>
        <v>יסוד יוסף</v>
      </c>
    </row>
    <row r="17981" spans="1:6" x14ac:dyDescent="0.2">
      <c r="A17981" t="s">
        <v>29636</v>
      </c>
      <c r="B17981" t="s">
        <v>29638</v>
      </c>
      <c r="C17981" t="s">
        <v>29639</v>
      </c>
      <c r="D17981" t="s">
        <v>1117</v>
      </c>
      <c r="E17981" t="s">
        <v>84</v>
      </c>
      <c r="F17981" s="2" t="str">
        <f>HYPERLINK("http://www.otzar.org/book.asp?52162","יסוד יוסף")</f>
        <v>יסוד יוסף</v>
      </c>
    </row>
    <row r="17982" spans="1:6" x14ac:dyDescent="0.2">
      <c r="A17982" t="s">
        <v>29640</v>
      </c>
      <c r="B17982" t="s">
        <v>29641</v>
      </c>
      <c r="C17982" t="s">
        <v>366</v>
      </c>
      <c r="E17982" t="s">
        <v>148</v>
      </c>
      <c r="F17982" s="2" t="str">
        <f>HYPERLINK("http://www.otzar.org/book.asp?605352","יסוד יוסף - יחוד")</f>
        <v>יסוד יוסף - יחוד</v>
      </c>
    </row>
    <row r="17983" spans="1:6" x14ac:dyDescent="0.2">
      <c r="A17983" t="s">
        <v>29642</v>
      </c>
      <c r="B17983" t="s">
        <v>4818</v>
      </c>
      <c r="C17983" t="s">
        <v>445</v>
      </c>
      <c r="D17983" t="s">
        <v>855</v>
      </c>
      <c r="E17983" t="s">
        <v>29643</v>
      </c>
      <c r="F17983" s="2" t="str">
        <f>HYPERLINK("http://www.otzar.org/book.asp?100752","יסוד יצחק")</f>
        <v>יסוד יצחק</v>
      </c>
    </row>
    <row r="17984" spans="1:6" x14ac:dyDescent="0.2">
      <c r="A17984" t="s">
        <v>29644</v>
      </c>
      <c r="B17984" t="s">
        <v>29645</v>
      </c>
      <c r="C17984" t="s">
        <v>946</v>
      </c>
      <c r="D17984" t="s">
        <v>27</v>
      </c>
      <c r="E17984" t="s">
        <v>29646</v>
      </c>
      <c r="F17984" s="2" t="str">
        <f>HYPERLINK("http://www.otzar.org/book.asp?14956","יסוד לקרא")</f>
        <v>יסוד לקרא</v>
      </c>
    </row>
    <row r="17985" spans="1:6" x14ac:dyDescent="0.2">
      <c r="A17985" t="s">
        <v>29647</v>
      </c>
      <c r="B17985" t="s">
        <v>29645</v>
      </c>
      <c r="C17985" t="s">
        <v>103</v>
      </c>
      <c r="D17985" t="s">
        <v>27</v>
      </c>
      <c r="E17985" t="s">
        <v>1626</v>
      </c>
      <c r="F17985" s="2" t="str">
        <f>HYPERLINK("http://www.otzar.org/book.asp?84677","יסוד לקרא, אהל רחל אמנו")</f>
        <v>יסוד לקרא, אהל רחל אמנו</v>
      </c>
    </row>
    <row r="17986" spans="1:6" x14ac:dyDescent="0.2">
      <c r="A17986" t="s">
        <v>29648</v>
      </c>
      <c r="B17986" t="s">
        <v>531</v>
      </c>
      <c r="C17986" t="s">
        <v>29649</v>
      </c>
      <c r="D17986" t="s">
        <v>1490</v>
      </c>
      <c r="E17986" t="s">
        <v>674</v>
      </c>
      <c r="F17986" s="2" t="str">
        <f>HYPERLINK("http://www.otzar.org/book.asp?13111","יסוד מורא וסוד תורה - 2 כר'")</f>
        <v>יסוד מורא וסוד תורה - 2 כר'</v>
      </c>
    </row>
    <row r="17987" spans="1:6" x14ac:dyDescent="0.2">
      <c r="A17987" t="s">
        <v>29650</v>
      </c>
      <c r="B17987" t="s">
        <v>531</v>
      </c>
      <c r="C17987" t="s">
        <v>1609</v>
      </c>
      <c r="D17987" t="s">
        <v>27</v>
      </c>
      <c r="E17987" t="s">
        <v>674</v>
      </c>
      <c r="F17987" s="2" t="str">
        <f>HYPERLINK("http://www.otzar.org/book.asp?179080","יסוד מורא - 4 כר'")</f>
        <v>יסוד מורא - 4 כר'</v>
      </c>
    </row>
    <row r="17988" spans="1:6" x14ac:dyDescent="0.2">
      <c r="A17988" t="s">
        <v>29651</v>
      </c>
      <c r="B17988" t="s">
        <v>27645</v>
      </c>
      <c r="C17988" t="s">
        <v>767</v>
      </c>
      <c r="D17988" t="s">
        <v>216</v>
      </c>
      <c r="F17988" s="2" t="str">
        <f>HYPERLINK("http://www.otzar.org/book.asp?613997","יסוד מערבי - 2 כר'")</f>
        <v>יסוד מערבי - 2 כר'</v>
      </c>
    </row>
    <row r="17989" spans="1:6" x14ac:dyDescent="0.2">
      <c r="A17989" t="s">
        <v>29652</v>
      </c>
      <c r="B17989" t="s">
        <v>29653</v>
      </c>
      <c r="C17989" t="s">
        <v>454</v>
      </c>
      <c r="D17989" t="s">
        <v>1356</v>
      </c>
      <c r="E17989" t="s">
        <v>15</v>
      </c>
      <c r="F17989" s="2" t="str">
        <f>HYPERLINK("http://www.otzar.org/book.asp?168463","יסוד משנה תורה - 7 כר'")</f>
        <v>יסוד משנה תורה - 7 כר'</v>
      </c>
    </row>
    <row r="17990" spans="1:6" x14ac:dyDescent="0.2">
      <c r="A17990" t="s">
        <v>29654</v>
      </c>
      <c r="B17990" t="s">
        <v>29655</v>
      </c>
      <c r="C17990" t="s">
        <v>2213</v>
      </c>
      <c r="D17990" t="s">
        <v>76</v>
      </c>
      <c r="E17990" t="s">
        <v>714</v>
      </c>
      <c r="F17990" s="2" t="str">
        <f>HYPERLINK("http://www.otzar.org/book.asp?151660","יסוד עולם")</f>
        <v>יסוד עולם</v>
      </c>
    </row>
    <row r="17991" spans="1:6" x14ac:dyDescent="0.2">
      <c r="A17991" t="s">
        <v>29656</v>
      </c>
      <c r="B17991" t="s">
        <v>29657</v>
      </c>
      <c r="C17991" t="s">
        <v>1981</v>
      </c>
      <c r="D17991" t="s">
        <v>280</v>
      </c>
      <c r="E17991" t="s">
        <v>182</v>
      </c>
      <c r="F17991" s="2" t="str">
        <f>HYPERLINK("http://www.otzar.org/book.asp?54","יסוד עולם - 3 כר'")</f>
        <v>יסוד עולם - 3 כר'</v>
      </c>
    </row>
    <row r="17992" spans="1:6" x14ac:dyDescent="0.2">
      <c r="A17992" t="s">
        <v>29656</v>
      </c>
      <c r="B17992" t="s">
        <v>1314</v>
      </c>
      <c r="C17992" t="s">
        <v>603</v>
      </c>
      <c r="D17992" t="s">
        <v>22797</v>
      </c>
      <c r="E17992" t="s">
        <v>213</v>
      </c>
      <c r="F17992" s="2" t="str">
        <f>HYPERLINK("http://www.otzar.org/book.asp?197060","יסוד עולם - 3 כר'")</f>
        <v>יסוד עולם - 3 כר'</v>
      </c>
    </row>
    <row r="17993" spans="1:6" x14ac:dyDescent="0.2">
      <c r="A17993" t="s">
        <v>29658</v>
      </c>
      <c r="B17993" t="s">
        <v>3652</v>
      </c>
      <c r="C17993" t="s">
        <v>940</v>
      </c>
      <c r="D17993" t="s">
        <v>18218</v>
      </c>
      <c r="E17993" t="s">
        <v>29659</v>
      </c>
      <c r="F17993" s="2" t="str">
        <f>HYPERLINK("http://www.otzar.org/book.asp?142781","יסוד עולם - רמח""ל")</f>
        <v>יסוד עולם - רמח"ל</v>
      </c>
    </row>
    <row r="17994" spans="1:6" x14ac:dyDescent="0.2">
      <c r="A17994" t="s">
        <v>29660</v>
      </c>
      <c r="B17994" t="s">
        <v>29661</v>
      </c>
      <c r="C17994" t="s">
        <v>114</v>
      </c>
      <c r="D17994" t="s">
        <v>14</v>
      </c>
      <c r="E17994" t="s">
        <v>29662</v>
      </c>
      <c r="F17994" s="2" t="str">
        <f>HYPERLINK("http://www.otzar.org/book.asp?610796","יסוד צדיק")</f>
        <v>יסוד צדיק</v>
      </c>
    </row>
    <row r="17995" spans="1:6" x14ac:dyDescent="0.2">
      <c r="A17995" t="s">
        <v>29663</v>
      </c>
      <c r="B17995" t="s">
        <v>3374</v>
      </c>
      <c r="C17995" t="s">
        <v>20</v>
      </c>
      <c r="D17995" t="s">
        <v>52</v>
      </c>
      <c r="E17995" t="s">
        <v>1256</v>
      </c>
      <c r="F17995" s="2" t="str">
        <f>HYPERLINK("http://www.otzar.org/book.asp?161511","יסוד צדיק - סילוקן של צדיקים")</f>
        <v>יסוד צדיק - סילוקן של צדיקים</v>
      </c>
    </row>
    <row r="17996" spans="1:6" x14ac:dyDescent="0.2">
      <c r="A17996" t="s">
        <v>29660</v>
      </c>
      <c r="B17996" t="s">
        <v>3614</v>
      </c>
      <c r="C17996" t="s">
        <v>1609</v>
      </c>
      <c r="D17996" t="s">
        <v>27</v>
      </c>
      <c r="E17996" t="s">
        <v>4513</v>
      </c>
      <c r="F17996" s="2" t="str">
        <f>HYPERLINK("http://www.otzar.org/book.asp?103220","יסוד צדיק")</f>
        <v>יסוד צדיק</v>
      </c>
    </row>
    <row r="17997" spans="1:6" x14ac:dyDescent="0.2">
      <c r="A17997" t="s">
        <v>29664</v>
      </c>
      <c r="B17997" t="s">
        <v>7629</v>
      </c>
      <c r="C17997" t="s">
        <v>151</v>
      </c>
      <c r="D17997" t="s">
        <v>14</v>
      </c>
      <c r="F17997" s="2" t="str">
        <f>HYPERLINK("http://www.otzar.org/book.asp?616134","יסוד ציון")</f>
        <v>יסוד ציון</v>
      </c>
    </row>
    <row r="17998" spans="1:6" x14ac:dyDescent="0.2">
      <c r="A17998" t="s">
        <v>29665</v>
      </c>
      <c r="B17998" t="s">
        <v>22651</v>
      </c>
      <c r="C17998" t="s">
        <v>17</v>
      </c>
      <c r="D17998" t="s">
        <v>118</v>
      </c>
      <c r="E17998" t="s">
        <v>15</v>
      </c>
      <c r="F17998" s="2" t="str">
        <f>HYPERLINK("http://www.otzar.org/book.asp?161899","יסוד ציון - ג - ד")</f>
        <v>יסוד ציון - ג - ד</v>
      </c>
    </row>
    <row r="17999" spans="1:6" x14ac:dyDescent="0.2">
      <c r="A17999" t="s">
        <v>29666</v>
      </c>
      <c r="B17999" t="s">
        <v>29667</v>
      </c>
      <c r="C17999" t="s">
        <v>9307</v>
      </c>
      <c r="D17999" t="s">
        <v>1117</v>
      </c>
      <c r="E17999" t="s">
        <v>158</v>
      </c>
      <c r="F17999" s="2" t="str">
        <f>HYPERLINK("http://www.otzar.org/book.asp?189399","יסוד שירים")</f>
        <v>יסוד שירים</v>
      </c>
    </row>
    <row r="18000" spans="1:6" x14ac:dyDescent="0.2">
      <c r="A18000" t="s">
        <v>29668</v>
      </c>
      <c r="B18000" t="s">
        <v>21700</v>
      </c>
      <c r="C18000" t="s">
        <v>422</v>
      </c>
      <c r="D18000" t="s">
        <v>216</v>
      </c>
      <c r="E18000" t="s">
        <v>158</v>
      </c>
      <c r="F18000" s="2" t="str">
        <f>HYPERLINK("http://www.otzar.org/book.asp?191899","יסוד שלום")</f>
        <v>יסוד שלום</v>
      </c>
    </row>
    <row r="18001" spans="1:6" x14ac:dyDescent="0.2">
      <c r="A18001" t="s">
        <v>29669</v>
      </c>
      <c r="B18001" t="s">
        <v>28850</v>
      </c>
      <c r="C18001" t="s">
        <v>15870</v>
      </c>
      <c r="D18001" t="s">
        <v>29670</v>
      </c>
      <c r="E18001" t="s">
        <v>714</v>
      </c>
      <c r="F18001" s="2" t="str">
        <f>HYPERLINK("http://www.otzar.org/book.asp?83652","יסוד תשובה")</f>
        <v>יסוד תשובה</v>
      </c>
    </row>
    <row r="18002" spans="1:6" x14ac:dyDescent="0.2">
      <c r="A18002" t="s">
        <v>29671</v>
      </c>
      <c r="B18002" t="s">
        <v>29672</v>
      </c>
      <c r="C18002" t="s">
        <v>411</v>
      </c>
      <c r="D18002" t="s">
        <v>14</v>
      </c>
      <c r="E18002" t="s">
        <v>130</v>
      </c>
      <c r="F18002" s="2" t="str">
        <f>HYPERLINK("http://www.otzar.org/book.asp?166641","יסודות בהלכות שבת")</f>
        <v>יסודות בהלכות שבת</v>
      </c>
    </row>
    <row r="18003" spans="1:6" x14ac:dyDescent="0.2">
      <c r="A18003" t="s">
        <v>29673</v>
      </c>
      <c r="B18003" t="s">
        <v>29674</v>
      </c>
      <c r="C18003" t="s">
        <v>114</v>
      </c>
      <c r="D18003" t="s">
        <v>52</v>
      </c>
      <c r="E18003" t="s">
        <v>172</v>
      </c>
      <c r="F18003" s="2" t="str">
        <f>HYPERLINK("http://www.otzar.org/book.asp?161019","יסודות בחושן משפט - 4 כר'")</f>
        <v>יסודות בחושן משפט - 4 כר'</v>
      </c>
    </row>
    <row r="18004" spans="1:6" x14ac:dyDescent="0.2">
      <c r="A18004" t="s">
        <v>29675</v>
      </c>
      <c r="B18004" t="s">
        <v>206</v>
      </c>
      <c r="C18004" t="s">
        <v>1150</v>
      </c>
      <c r="D18004" t="s">
        <v>157</v>
      </c>
      <c r="E18004" t="s">
        <v>104</v>
      </c>
      <c r="F18004" s="2" t="str">
        <f>HYPERLINK("http://www.otzar.org/book.asp?25146","יסודות דקדוק לשון הקדש")</f>
        <v>יסודות דקדוק לשון הקדש</v>
      </c>
    </row>
    <row r="18005" spans="1:6" x14ac:dyDescent="0.2">
      <c r="A18005" t="s">
        <v>29676</v>
      </c>
      <c r="B18005" t="s">
        <v>29677</v>
      </c>
      <c r="C18005" t="s">
        <v>1208</v>
      </c>
      <c r="D18005" t="s">
        <v>1153</v>
      </c>
      <c r="E18005" t="s">
        <v>213</v>
      </c>
      <c r="F18005" s="2" t="str">
        <f>HYPERLINK("http://www.otzar.org/book.asp?64110","יסודות האמונה וביאורם")</f>
        <v>יסודות האמונה וביאורם</v>
      </c>
    </row>
    <row r="18006" spans="1:6" x14ac:dyDescent="0.2">
      <c r="A18006" t="s">
        <v>29678</v>
      </c>
      <c r="B18006" t="s">
        <v>29679</v>
      </c>
      <c r="C18006" t="s">
        <v>151</v>
      </c>
      <c r="D18006" t="s">
        <v>90</v>
      </c>
      <c r="F18006" s="2" t="str">
        <f>HYPERLINK("http://www.otzar.org/book.asp?616440","יסודות הבית היהודי - מספר החינוך")</f>
        <v>יסודות הבית היהודי - מספר החינוך</v>
      </c>
    </row>
    <row r="18007" spans="1:6" x14ac:dyDescent="0.2">
      <c r="A18007" t="s">
        <v>29680</v>
      </c>
      <c r="B18007" t="s">
        <v>206</v>
      </c>
      <c r="C18007" t="s">
        <v>13</v>
      </c>
      <c r="D18007" t="s">
        <v>14</v>
      </c>
      <c r="E18007" t="s">
        <v>674</v>
      </c>
      <c r="F18007" s="2" t="str">
        <f>HYPERLINK("http://www.otzar.org/book.asp?151279","יסודות הבית וקדושתו")</f>
        <v>יסודות הבית וקדושתו</v>
      </c>
    </row>
    <row r="18008" spans="1:6" x14ac:dyDescent="0.2">
      <c r="A18008" t="s">
        <v>29681</v>
      </c>
      <c r="B18008" t="s">
        <v>12242</v>
      </c>
      <c r="C18008" t="s">
        <v>111</v>
      </c>
      <c r="D18008" t="s">
        <v>14</v>
      </c>
      <c r="E18008" t="s">
        <v>213</v>
      </c>
      <c r="F18008" s="2" t="str">
        <f>HYPERLINK("http://www.otzar.org/book.asp?625440","יסודות הבית")</f>
        <v>יסודות הבית</v>
      </c>
    </row>
    <row r="18009" spans="1:6" x14ac:dyDescent="0.2">
      <c r="A18009" t="s">
        <v>29682</v>
      </c>
      <c r="B18009" t="s">
        <v>1363</v>
      </c>
      <c r="C18009" t="s">
        <v>1609</v>
      </c>
      <c r="D18009" t="s">
        <v>260</v>
      </c>
      <c r="E18009" t="s">
        <v>104</v>
      </c>
      <c r="F18009" s="2" t="str">
        <f>HYPERLINK("http://www.otzar.org/book.asp?22682","יסודות החינוך - 2 כר'")</f>
        <v>יסודות החינוך - 2 כר'</v>
      </c>
    </row>
    <row r="18010" spans="1:6" x14ac:dyDescent="0.2">
      <c r="A18010" t="s">
        <v>29683</v>
      </c>
      <c r="B18010" t="s">
        <v>8045</v>
      </c>
      <c r="C18010" t="s">
        <v>133</v>
      </c>
      <c r="D18010" t="s">
        <v>14</v>
      </c>
      <c r="F18010" s="2" t="str">
        <f>HYPERLINK("http://www.otzar.org/book.asp?623044","יסודות החתם סופר - 2 כר'")</f>
        <v>יסודות החתם סופר - 2 כר'</v>
      </c>
    </row>
    <row r="18011" spans="1:6" x14ac:dyDescent="0.2">
      <c r="A18011" t="s">
        <v>29684</v>
      </c>
      <c r="B18011" t="s">
        <v>8045</v>
      </c>
      <c r="C18011" t="s">
        <v>111</v>
      </c>
      <c r="D18011" t="s">
        <v>1156</v>
      </c>
      <c r="F18011" s="2" t="str">
        <f>HYPERLINK("http://www.otzar.org/book.asp?622963","יסודות הכתב סופר")</f>
        <v>יסודות הכתב סופר</v>
      </c>
    </row>
    <row r="18012" spans="1:6" x14ac:dyDescent="0.2">
      <c r="A18012" t="s">
        <v>29685</v>
      </c>
      <c r="B18012" t="s">
        <v>1621</v>
      </c>
      <c r="C18012" t="s">
        <v>940</v>
      </c>
      <c r="D18012" t="s">
        <v>14</v>
      </c>
      <c r="E18012" t="s">
        <v>130</v>
      </c>
      <c r="F18012" s="2" t="str">
        <f>HYPERLINK("http://www.otzar.org/book.asp?15463","יסודות הלכות שבת")</f>
        <v>יסודות הלכות שבת</v>
      </c>
    </row>
    <row r="18013" spans="1:6" x14ac:dyDescent="0.2">
      <c r="A18013" t="s">
        <v>29686</v>
      </c>
      <c r="B18013" t="s">
        <v>29687</v>
      </c>
      <c r="C18013" t="s">
        <v>20</v>
      </c>
      <c r="D18013" t="s">
        <v>14</v>
      </c>
      <c r="E18013" t="s">
        <v>15</v>
      </c>
      <c r="F18013" s="2" t="str">
        <f>HYPERLINK("http://www.otzar.org/book.asp?6073","יסודות הלכות תערובות")</f>
        <v>יסודות הלכות תערובות</v>
      </c>
    </row>
    <row r="18014" spans="1:6" x14ac:dyDescent="0.2">
      <c r="A18014" t="s">
        <v>29688</v>
      </c>
      <c r="B18014" t="s">
        <v>29689</v>
      </c>
      <c r="C18014" t="s">
        <v>1811</v>
      </c>
      <c r="D18014" t="s">
        <v>52</v>
      </c>
      <c r="E18014" t="s">
        <v>241</v>
      </c>
      <c r="F18014" s="2" t="str">
        <f>HYPERLINK("http://www.otzar.org/book.asp?159230","יסודות המשפחה היהודית")</f>
        <v>יסודות המשפחה היהודית</v>
      </c>
    </row>
    <row r="18015" spans="1:6" x14ac:dyDescent="0.2">
      <c r="A18015" t="s">
        <v>29690</v>
      </c>
      <c r="B18015" t="s">
        <v>2802</v>
      </c>
      <c r="C18015" t="s">
        <v>624</v>
      </c>
      <c r="D18015" t="s">
        <v>14</v>
      </c>
      <c r="E18015" t="s">
        <v>703</v>
      </c>
      <c r="F18015" s="2" t="str">
        <f>HYPERLINK("http://www.otzar.org/book.asp?51888","יסודות הערבי נחל")</f>
        <v>יסודות הערבי נחל</v>
      </c>
    </row>
    <row r="18016" spans="1:6" x14ac:dyDescent="0.2">
      <c r="A18016" t="s">
        <v>29691</v>
      </c>
      <c r="B18016" t="s">
        <v>22316</v>
      </c>
      <c r="C18016" t="s">
        <v>366</v>
      </c>
      <c r="D18016" t="s">
        <v>367</v>
      </c>
      <c r="E18016" t="s">
        <v>15</v>
      </c>
      <c r="F18016" s="2" t="str">
        <f>HYPERLINK("http://www.otzar.org/book.asp?608430","יסודות הריבית")</f>
        <v>יסודות הריבית</v>
      </c>
    </row>
    <row r="18017" spans="1:6" x14ac:dyDescent="0.2">
      <c r="A18017" t="s">
        <v>29692</v>
      </c>
      <c r="B18017" t="s">
        <v>29693</v>
      </c>
      <c r="C18017" t="s">
        <v>13</v>
      </c>
      <c r="D18017" t="s">
        <v>14</v>
      </c>
      <c r="E18017" t="s">
        <v>130</v>
      </c>
      <c r="F18017" s="2" t="str">
        <f>HYPERLINK("http://www.otzar.org/book.asp?175949","יסודות השבת - מלאכת הזורע")</f>
        <v>יסודות השבת - מלאכת הזורע</v>
      </c>
    </row>
    <row r="18018" spans="1:6" x14ac:dyDescent="0.2">
      <c r="A18018" t="s">
        <v>29694</v>
      </c>
      <c r="B18018" t="s">
        <v>29695</v>
      </c>
      <c r="C18018" t="s">
        <v>411</v>
      </c>
      <c r="D18018" t="s">
        <v>52</v>
      </c>
      <c r="E18018" t="s">
        <v>144</v>
      </c>
      <c r="F18018" s="2" t="str">
        <f>HYPERLINK("http://www.otzar.org/book.asp?170961","יסודות השמועה")</f>
        <v>יסודות השמועה</v>
      </c>
    </row>
    <row r="18019" spans="1:6" x14ac:dyDescent="0.2">
      <c r="A18019" t="s">
        <v>29696</v>
      </c>
      <c r="B18019" t="s">
        <v>20697</v>
      </c>
      <c r="C18019" t="s">
        <v>1609</v>
      </c>
      <c r="D18019" t="s">
        <v>29697</v>
      </c>
      <c r="E18019" t="s">
        <v>3083</v>
      </c>
      <c r="F18019" s="2" t="str">
        <f>HYPERLINK("http://www.otzar.org/book.asp?162717","יסודות התפלה")</f>
        <v>יסודות התפלה</v>
      </c>
    </row>
    <row r="18020" spans="1:6" x14ac:dyDescent="0.2">
      <c r="A18020" t="s">
        <v>29698</v>
      </c>
      <c r="B18020" t="s">
        <v>29699</v>
      </c>
      <c r="C18020" t="s">
        <v>146</v>
      </c>
      <c r="D18020" t="s">
        <v>1356</v>
      </c>
      <c r="E18020" t="s">
        <v>15</v>
      </c>
      <c r="F18020" s="2" t="str">
        <f>HYPERLINK("http://www.otzar.org/book.asp?193062","יסודות ועקרים בהלכות שבת")</f>
        <v>יסודות ועקרים בהלכות שבת</v>
      </c>
    </row>
    <row r="18021" spans="1:6" x14ac:dyDescent="0.2">
      <c r="A18021" t="s">
        <v>29700</v>
      </c>
      <c r="B18021" t="s">
        <v>29701</v>
      </c>
      <c r="C18021" t="s">
        <v>17</v>
      </c>
      <c r="D18021" t="s">
        <v>52</v>
      </c>
      <c r="E18021" t="s">
        <v>104</v>
      </c>
      <c r="F18021" s="2" t="str">
        <f>HYPERLINK("http://www.otzar.org/book.asp?147606","יסודות ושרשים במשמעת - הדרכה בחינוך לשמירת הלשון")</f>
        <v>יסודות ושרשים במשמעת - הדרכה בחינוך לשמירת הלשון</v>
      </c>
    </row>
    <row r="18022" spans="1:6" x14ac:dyDescent="0.2">
      <c r="A18022" t="s">
        <v>29702</v>
      </c>
      <c r="B18022" t="s">
        <v>22038</v>
      </c>
      <c r="C18022" t="s">
        <v>422</v>
      </c>
      <c r="D18022" t="s">
        <v>52</v>
      </c>
      <c r="E18022" t="s">
        <v>104</v>
      </c>
      <c r="F18022" s="2" t="str">
        <f>HYPERLINK("http://www.otzar.org/book.asp?157807","יסודות לחינוך")</f>
        <v>יסודות לחינוך</v>
      </c>
    </row>
    <row r="18023" spans="1:6" x14ac:dyDescent="0.2">
      <c r="A18023" t="s">
        <v>29703</v>
      </c>
      <c r="B18023" t="s">
        <v>29704</v>
      </c>
      <c r="C18023" t="s">
        <v>87</v>
      </c>
      <c r="D18023" t="s">
        <v>52</v>
      </c>
      <c r="F18023" s="2" t="str">
        <f>HYPERLINK("http://www.otzar.org/book.asp?615324","יסודות נאמנים - 2 כר'")</f>
        <v>יסודות נאמנים - 2 כר'</v>
      </c>
    </row>
    <row r="18024" spans="1:6" x14ac:dyDescent="0.2">
      <c r="A18024" t="s">
        <v>29705</v>
      </c>
      <c r="B18024" t="s">
        <v>29706</v>
      </c>
      <c r="C18024" t="s">
        <v>244</v>
      </c>
      <c r="D18024" t="s">
        <v>147</v>
      </c>
      <c r="E18024" t="s">
        <v>241</v>
      </c>
      <c r="F18024" s="2" t="str">
        <f>HYPERLINK("http://www.otzar.org/book.asp?631199","יסודות קודש - בפרדס התשובה")</f>
        <v>יסודות קודש - בפרדס התשובה</v>
      </c>
    </row>
    <row r="18025" spans="1:6" x14ac:dyDescent="0.2">
      <c r="A18025" t="s">
        <v>29707</v>
      </c>
      <c r="B18025" t="s">
        <v>2014</v>
      </c>
      <c r="C18025" t="s">
        <v>2312</v>
      </c>
      <c r="D18025" t="s">
        <v>2295</v>
      </c>
      <c r="E18025" t="s">
        <v>6305</v>
      </c>
      <c r="F18025" s="2" t="str">
        <f>HYPERLINK("http://www.otzar.org/book.asp?16964","יסודי הדעת")</f>
        <v>יסודי הדעת</v>
      </c>
    </row>
    <row r="18026" spans="1:6" x14ac:dyDescent="0.2">
      <c r="A18026" t="s">
        <v>29708</v>
      </c>
      <c r="B18026" t="s">
        <v>5614</v>
      </c>
      <c r="C18026" t="s">
        <v>4144</v>
      </c>
      <c r="D18026" t="s">
        <v>3208</v>
      </c>
      <c r="E18026" t="s">
        <v>28</v>
      </c>
      <c r="F18026" s="2" t="str">
        <f>HYPERLINK("http://www.otzar.org/book.asp?196035","יסודי הדת")</f>
        <v>יסודי הדת</v>
      </c>
    </row>
    <row r="18027" spans="1:6" x14ac:dyDescent="0.2">
      <c r="A18027" t="s">
        <v>29709</v>
      </c>
      <c r="B18027" t="s">
        <v>12780</v>
      </c>
      <c r="C18027" t="s">
        <v>146</v>
      </c>
      <c r="D18027" t="s">
        <v>2798</v>
      </c>
      <c r="F18027" s="2" t="str">
        <f>HYPERLINK("http://www.otzar.org/book.asp?609077","יסודי הלכה - 8 כר'")</f>
        <v>יסודי הלכה - 8 כר'</v>
      </c>
    </row>
    <row r="18028" spans="1:6" x14ac:dyDescent="0.2">
      <c r="A18028" t="s">
        <v>29710</v>
      </c>
      <c r="B18028" t="s">
        <v>29711</v>
      </c>
      <c r="C18028" t="s">
        <v>445</v>
      </c>
      <c r="D18028" t="s">
        <v>1419</v>
      </c>
      <c r="E18028" t="s">
        <v>144</v>
      </c>
      <c r="F18028" s="2" t="str">
        <f>HYPERLINK("http://www.otzar.org/book.asp?105048","יסודי המקרא והתלמוד")</f>
        <v>יסודי המקרא והתלמוד</v>
      </c>
    </row>
    <row r="18029" spans="1:6" x14ac:dyDescent="0.2">
      <c r="A18029" t="s">
        <v>29712</v>
      </c>
      <c r="B18029" t="s">
        <v>5614</v>
      </c>
      <c r="C18029" t="s">
        <v>29713</v>
      </c>
      <c r="D18029" t="s">
        <v>283</v>
      </c>
      <c r="E18029" t="s">
        <v>29714</v>
      </c>
      <c r="F18029" s="2" t="str">
        <f>HYPERLINK("http://www.otzar.org/book.asp?15721","יסודי העקרים - 2 כר'")</f>
        <v>יסודי העקרים - 2 כר'</v>
      </c>
    </row>
    <row r="18030" spans="1:6" x14ac:dyDescent="0.2">
      <c r="A18030" t="s">
        <v>29715</v>
      </c>
      <c r="B18030" t="s">
        <v>29716</v>
      </c>
      <c r="C18030" t="s">
        <v>422</v>
      </c>
      <c r="D18030" t="s">
        <v>14</v>
      </c>
      <c r="E18030" t="s">
        <v>15</v>
      </c>
      <c r="F18030" s="2" t="str">
        <f>HYPERLINK("http://www.otzar.org/book.asp?626157","יסודי הצדקה")</f>
        <v>יסודי הצדקה</v>
      </c>
    </row>
    <row r="18031" spans="1:6" x14ac:dyDescent="0.2">
      <c r="A18031" t="s">
        <v>29717</v>
      </c>
      <c r="B18031" t="s">
        <v>29718</v>
      </c>
      <c r="C18031" t="s">
        <v>411</v>
      </c>
      <c r="D18031" t="s">
        <v>27</v>
      </c>
      <c r="E18031" t="s">
        <v>158</v>
      </c>
      <c r="F18031" s="2" t="str">
        <f>HYPERLINK("http://www.otzar.org/book.asp?172229","יסודי התורה - 2 כר'")</f>
        <v>יסודי התורה - 2 כר'</v>
      </c>
    </row>
    <row r="18032" spans="1:6" x14ac:dyDescent="0.2">
      <c r="A18032" t="s">
        <v>29717</v>
      </c>
      <c r="B18032" t="s">
        <v>489</v>
      </c>
      <c r="C18032" t="s">
        <v>1640</v>
      </c>
      <c r="D18032" t="s">
        <v>216</v>
      </c>
      <c r="E18032" t="s">
        <v>202</v>
      </c>
      <c r="F18032" s="2" t="str">
        <f>HYPERLINK("http://www.otzar.org/book.asp?142221","יסודי התורה - 2 כר'")</f>
        <v>יסודי התורה - 2 כר'</v>
      </c>
    </row>
    <row r="18033" spans="1:6" x14ac:dyDescent="0.2">
      <c r="A18033" t="s">
        <v>29719</v>
      </c>
      <c r="B18033" t="s">
        <v>29720</v>
      </c>
      <c r="C18033" t="s">
        <v>151</v>
      </c>
      <c r="D18033" t="s">
        <v>14</v>
      </c>
      <c r="F18033" s="2" t="str">
        <f>HYPERLINK("http://www.otzar.org/book.asp?616275","יסודי חיים - מגילה")</f>
        <v>יסודי חיים - מגילה</v>
      </c>
    </row>
    <row r="18034" spans="1:6" x14ac:dyDescent="0.2">
      <c r="A18034" t="s">
        <v>29721</v>
      </c>
      <c r="B18034" t="s">
        <v>3057</v>
      </c>
      <c r="C18034" t="s">
        <v>492</v>
      </c>
      <c r="D18034" t="s">
        <v>283</v>
      </c>
      <c r="E18034" t="s">
        <v>213</v>
      </c>
      <c r="F18034" s="2" t="str">
        <f>HYPERLINK("http://www.otzar.org/book.asp?100581","יסודי חכמת ההגיון")</f>
        <v>יסודי חכמת ההגיון</v>
      </c>
    </row>
    <row r="18035" spans="1:6" x14ac:dyDescent="0.2">
      <c r="A18035" t="s">
        <v>29722</v>
      </c>
      <c r="B18035" t="s">
        <v>29723</v>
      </c>
      <c r="C18035" t="s">
        <v>244</v>
      </c>
      <c r="D18035" t="s">
        <v>2285</v>
      </c>
      <c r="F18035" s="2" t="str">
        <f>HYPERLINK("http://www.otzar.org/book.asp?197937","יסודי טהרה")</f>
        <v>יסודי טהרה</v>
      </c>
    </row>
    <row r="18036" spans="1:6" x14ac:dyDescent="0.2">
      <c r="A18036" t="s">
        <v>29724</v>
      </c>
      <c r="B18036" t="s">
        <v>13631</v>
      </c>
      <c r="C18036" t="s">
        <v>29725</v>
      </c>
      <c r="D18036" t="s">
        <v>13632</v>
      </c>
      <c r="E18036" t="s">
        <v>24</v>
      </c>
      <c r="F18036" s="2" t="str">
        <f>HYPERLINK("http://www.otzar.org/book.asp?105377","יסודי ישרון - 11 כר'")</f>
        <v>יסודי ישרון - 11 כר'</v>
      </c>
    </row>
    <row r="18037" spans="1:6" x14ac:dyDescent="0.2">
      <c r="A18037" t="s">
        <v>29726</v>
      </c>
      <c r="B18037" t="s">
        <v>29727</v>
      </c>
      <c r="C18037" t="s">
        <v>23</v>
      </c>
      <c r="D18037" t="s">
        <v>14</v>
      </c>
      <c r="F18037" s="2" t="str">
        <f>HYPERLINK("http://www.otzar.org/book.asp?612153","יסודי עולם - 2 כר'")</f>
        <v>יסודי עולם - 2 כר'</v>
      </c>
    </row>
    <row r="18038" spans="1:6" x14ac:dyDescent="0.2">
      <c r="A18038" t="s">
        <v>29728</v>
      </c>
      <c r="B18038" t="s">
        <v>1010</v>
      </c>
      <c r="C18038" t="s">
        <v>20</v>
      </c>
      <c r="D18038" t="s">
        <v>1156</v>
      </c>
      <c r="F18038" s="2" t="str">
        <f>HYPERLINK("http://www.otzar.org/book.asp?160813","יסודי שבת")</f>
        <v>יסודי שבת</v>
      </c>
    </row>
    <row r="18039" spans="1:6" x14ac:dyDescent="0.2">
      <c r="A18039" t="s">
        <v>29729</v>
      </c>
      <c r="B18039" t="s">
        <v>12316</v>
      </c>
      <c r="C18039" t="s">
        <v>87</v>
      </c>
      <c r="D18039" t="s">
        <v>14</v>
      </c>
      <c r="E18039" t="s">
        <v>733</v>
      </c>
      <c r="F18039" s="2" t="str">
        <f>HYPERLINK("http://www.otzar.org/book.asp?156890","יסופר לדור")</f>
        <v>יסופר לדור</v>
      </c>
    </row>
    <row r="18040" spans="1:6" x14ac:dyDescent="0.2">
      <c r="A18040" t="s">
        <v>29730</v>
      </c>
      <c r="B18040" t="s">
        <v>29731</v>
      </c>
      <c r="C18040" t="s">
        <v>129</v>
      </c>
      <c r="D18040" t="s">
        <v>52</v>
      </c>
      <c r="E18040" t="s">
        <v>119</v>
      </c>
      <c r="F18040" s="2" t="str">
        <f>HYPERLINK("http://www.otzar.org/book.asp?600816","יסור יסרני - 3 כר'")</f>
        <v>יסור יסרני - 3 כר'</v>
      </c>
    </row>
    <row r="18041" spans="1:6" x14ac:dyDescent="0.2">
      <c r="A18041" t="s">
        <v>29732</v>
      </c>
      <c r="B18041" t="s">
        <v>29733</v>
      </c>
      <c r="C18041" t="s">
        <v>180</v>
      </c>
      <c r="D18041" t="s">
        <v>646</v>
      </c>
      <c r="E18041" t="s">
        <v>241</v>
      </c>
      <c r="F18041" s="2" t="str">
        <f>HYPERLINK("http://www.otzar.org/book.asp?181448","יסורים")</f>
        <v>יסורים</v>
      </c>
    </row>
    <row r="18042" spans="1:6" x14ac:dyDescent="0.2">
      <c r="A18042" t="s">
        <v>29734</v>
      </c>
      <c r="B18042" t="s">
        <v>12920</v>
      </c>
      <c r="C18042" t="s">
        <v>151</v>
      </c>
      <c r="D18042" t="s">
        <v>14</v>
      </c>
      <c r="E18042" t="s">
        <v>241</v>
      </c>
      <c r="F18042" s="2" t="str">
        <f>HYPERLINK("http://www.otzar.org/book.asp?618746","יסרתני ואוסר")</f>
        <v>יסרתני ואוסר</v>
      </c>
    </row>
    <row r="18043" spans="1:6" x14ac:dyDescent="0.2">
      <c r="A18043" t="s">
        <v>29735</v>
      </c>
      <c r="B18043" t="s">
        <v>29736</v>
      </c>
      <c r="C18043" t="s">
        <v>189</v>
      </c>
      <c r="D18043" t="s">
        <v>14</v>
      </c>
      <c r="E18043" t="s">
        <v>158</v>
      </c>
      <c r="F18043" s="2" t="str">
        <f>HYPERLINK("http://www.otzar.org/book.asp?28403","יעטה מורה - 4 כר'")</f>
        <v>יעטה מורה - 4 כר'</v>
      </c>
    </row>
    <row r="18044" spans="1:6" x14ac:dyDescent="0.2">
      <c r="A18044" t="s">
        <v>29737</v>
      </c>
      <c r="B18044" t="s">
        <v>29738</v>
      </c>
      <c r="C18044" t="s">
        <v>224</v>
      </c>
      <c r="D18044" t="s">
        <v>691</v>
      </c>
      <c r="E18044" t="s">
        <v>104</v>
      </c>
      <c r="F18044" s="2" t="str">
        <f>HYPERLINK("http://www.otzar.org/book.asp?108848","יעיר אזן &lt;עין זוכר&gt; עם תוספות יעקב - א")</f>
        <v>יעיר אזן &lt;עין זוכר&gt; עם תוספות יעקב - א</v>
      </c>
    </row>
    <row r="18045" spans="1:6" x14ac:dyDescent="0.2">
      <c r="A18045" t="s">
        <v>29739</v>
      </c>
      <c r="B18045" t="s">
        <v>1308</v>
      </c>
      <c r="C18045" t="s">
        <v>438</v>
      </c>
      <c r="D18045" t="s">
        <v>14</v>
      </c>
      <c r="E18045" t="s">
        <v>104</v>
      </c>
      <c r="F18045" s="2" t="str">
        <f>HYPERLINK("http://www.otzar.org/book.asp?83898","יעיר אזן &lt;עין זוכר&gt; - 2 כר'")</f>
        <v>יעיר אזן &lt;עין זוכר&gt; - 2 כר'</v>
      </c>
    </row>
    <row r="18046" spans="1:6" x14ac:dyDescent="0.2">
      <c r="A18046" t="s">
        <v>29740</v>
      </c>
      <c r="B18046" t="s">
        <v>1308</v>
      </c>
      <c r="C18046" t="s">
        <v>1940</v>
      </c>
      <c r="D18046" t="s">
        <v>212</v>
      </c>
      <c r="E18046" t="s">
        <v>104</v>
      </c>
      <c r="F18046" s="2" t="str">
        <f>HYPERLINK("http://www.otzar.org/book.asp?182185","יעיר אזן - 2 כר'")</f>
        <v>יעיר אזן - 2 כר'</v>
      </c>
    </row>
    <row r="18047" spans="1:6" x14ac:dyDescent="0.2">
      <c r="A18047" t="s">
        <v>29741</v>
      </c>
      <c r="B18047" t="s">
        <v>29742</v>
      </c>
      <c r="C18047" t="s">
        <v>68</v>
      </c>
      <c r="D18047" t="s">
        <v>90</v>
      </c>
      <c r="E18047" t="s">
        <v>130</v>
      </c>
      <c r="F18047" s="2" t="str">
        <f>HYPERLINK("http://www.otzar.org/book.asp?156682","יעיר לי אוזן - 2 כר'")</f>
        <v>יעיר לי אוזן - 2 כר'</v>
      </c>
    </row>
    <row r="18048" spans="1:6" x14ac:dyDescent="0.2">
      <c r="A18048" t="s">
        <v>29743</v>
      </c>
      <c r="B18048" t="s">
        <v>2547</v>
      </c>
      <c r="C18048" t="s">
        <v>75</v>
      </c>
      <c r="D18048" t="s">
        <v>56</v>
      </c>
      <c r="E18048" t="s">
        <v>84</v>
      </c>
      <c r="F18048" s="2" t="str">
        <f>HYPERLINK("http://www.otzar.org/book.asp?19473","יעיר קנו")</f>
        <v>יעיר קנו</v>
      </c>
    </row>
    <row r="18049" spans="1:6" x14ac:dyDescent="0.2">
      <c r="A18049" t="s">
        <v>29744</v>
      </c>
      <c r="B18049" t="s">
        <v>29745</v>
      </c>
      <c r="C18049" t="s">
        <v>1570</v>
      </c>
      <c r="D18049" t="s">
        <v>118</v>
      </c>
      <c r="E18049" t="s">
        <v>13347</v>
      </c>
      <c r="F18049" s="2" t="str">
        <f>HYPERLINK("http://www.otzar.org/book.asp?172721","יעלה הד""ס")</f>
        <v>יעלה הד"ס</v>
      </c>
    </row>
    <row r="18050" spans="1:6" x14ac:dyDescent="0.2">
      <c r="A18050" t="s">
        <v>29746</v>
      </c>
      <c r="B18050" t="s">
        <v>1750</v>
      </c>
      <c r="C18050" t="s">
        <v>20</v>
      </c>
      <c r="D18050" t="s">
        <v>52</v>
      </c>
      <c r="E18050" t="s">
        <v>202</v>
      </c>
      <c r="F18050" s="2" t="str">
        <f>HYPERLINK("http://www.otzar.org/book.asp?627468","יעלה הדס")</f>
        <v>יעלה הדס</v>
      </c>
    </row>
    <row r="18051" spans="1:6" x14ac:dyDescent="0.2">
      <c r="A18051" t="s">
        <v>29747</v>
      </c>
      <c r="B18051" t="s">
        <v>4431</v>
      </c>
      <c r="C18051" t="s">
        <v>2076</v>
      </c>
      <c r="D18051" t="s">
        <v>27</v>
      </c>
      <c r="F18051" s="2" t="str">
        <f>HYPERLINK("http://www.otzar.org/book.asp?612551","יעלזו חסידים")</f>
        <v>יעלזו חסידים</v>
      </c>
    </row>
    <row r="18052" spans="1:6" x14ac:dyDescent="0.2">
      <c r="A18052" t="s">
        <v>29748</v>
      </c>
      <c r="B18052" t="s">
        <v>3614</v>
      </c>
      <c r="C18052" t="s">
        <v>189</v>
      </c>
      <c r="D18052" t="s">
        <v>29749</v>
      </c>
      <c r="E18052" t="s">
        <v>140</v>
      </c>
      <c r="F18052" s="2" t="str">
        <f>HYPERLINK("http://www.otzar.org/book.asp?191026","יעלת חן &lt;מהדורה חדשה&gt;")</f>
        <v>יעלת חן &lt;מהדורה חדשה&gt;</v>
      </c>
    </row>
    <row r="18053" spans="1:6" x14ac:dyDescent="0.2">
      <c r="A18053" t="s">
        <v>29750</v>
      </c>
      <c r="B18053" t="s">
        <v>23346</v>
      </c>
      <c r="C18053" t="s">
        <v>422</v>
      </c>
      <c r="D18053" t="s">
        <v>14</v>
      </c>
      <c r="E18053" t="s">
        <v>154</v>
      </c>
      <c r="F18053" s="2" t="str">
        <f>HYPERLINK("http://www.otzar.org/book.asp?84752","יעלת חן - א")</f>
        <v>יעלת חן - א</v>
      </c>
    </row>
    <row r="18054" spans="1:6" x14ac:dyDescent="0.2">
      <c r="A18054" t="s">
        <v>29751</v>
      </c>
      <c r="B18054" t="s">
        <v>686</v>
      </c>
      <c r="C18054" t="s">
        <v>103</v>
      </c>
      <c r="D18054" t="s">
        <v>52</v>
      </c>
      <c r="E18054" t="s">
        <v>474</v>
      </c>
      <c r="F18054" s="2" t="str">
        <f>HYPERLINK("http://www.otzar.org/book.asp?50413","יעלת חן")</f>
        <v>יעלת חן</v>
      </c>
    </row>
    <row r="18055" spans="1:6" x14ac:dyDescent="0.2">
      <c r="A18055" t="s">
        <v>29751</v>
      </c>
      <c r="B18055" t="s">
        <v>3614</v>
      </c>
      <c r="C18055" t="s">
        <v>29752</v>
      </c>
      <c r="D18055" t="s">
        <v>27</v>
      </c>
      <c r="E18055" t="s">
        <v>140</v>
      </c>
      <c r="F18055" s="2" t="str">
        <f>HYPERLINK("http://www.otzar.org/book.asp?108411","יעלת חן")</f>
        <v>יעלת חן</v>
      </c>
    </row>
    <row r="18056" spans="1:6" x14ac:dyDescent="0.2">
      <c r="A18056" t="s">
        <v>29753</v>
      </c>
      <c r="B18056" t="s">
        <v>5253</v>
      </c>
      <c r="C18056" t="s">
        <v>5903</v>
      </c>
      <c r="D18056" t="s">
        <v>283</v>
      </c>
      <c r="E18056" t="s">
        <v>15</v>
      </c>
      <c r="F18056" s="2" t="str">
        <f>HYPERLINK("http://www.otzar.org/book.asp?106184","יעלת חן - 2 כר'")</f>
        <v>יעלת חן - 2 כר'</v>
      </c>
    </row>
    <row r="18057" spans="1:6" x14ac:dyDescent="0.2">
      <c r="A18057" t="s">
        <v>29754</v>
      </c>
      <c r="B18057" t="s">
        <v>5256</v>
      </c>
      <c r="C18057" t="s">
        <v>313</v>
      </c>
      <c r="D18057" t="s">
        <v>2196</v>
      </c>
      <c r="E18057" t="s">
        <v>158</v>
      </c>
      <c r="F18057" s="2" t="str">
        <f>HYPERLINK("http://www.otzar.org/book.asp?25870","יעלת חן - 3 כר'")</f>
        <v>יעלת חן - 3 כר'</v>
      </c>
    </row>
    <row r="18058" spans="1:6" x14ac:dyDescent="0.2">
      <c r="A18058" t="s">
        <v>29755</v>
      </c>
      <c r="B18058" t="s">
        <v>5289</v>
      </c>
      <c r="C18058" t="s">
        <v>1284</v>
      </c>
      <c r="D18058" t="s">
        <v>212</v>
      </c>
      <c r="E18058" t="s">
        <v>154</v>
      </c>
      <c r="F18058" s="2" t="str">
        <f>HYPERLINK("http://www.otzar.org/book.asp?151703","יענה באש")</f>
        <v>יענה באש</v>
      </c>
    </row>
    <row r="18059" spans="1:6" x14ac:dyDescent="0.2">
      <c r="A18059" t="s">
        <v>29756</v>
      </c>
      <c r="B18059" t="s">
        <v>29757</v>
      </c>
      <c r="C18059" t="s">
        <v>129</v>
      </c>
      <c r="D18059" t="s">
        <v>14</v>
      </c>
      <c r="E18059" t="s">
        <v>154</v>
      </c>
      <c r="F18059" s="2" t="str">
        <f>HYPERLINK("http://www.otzar.org/book.asp?142208","יענה ברוך")</f>
        <v>יענה ברוך</v>
      </c>
    </row>
    <row r="18060" spans="1:6" x14ac:dyDescent="0.2">
      <c r="A18060" t="s">
        <v>29758</v>
      </c>
      <c r="B18060" t="s">
        <v>3286</v>
      </c>
      <c r="C18060" t="s">
        <v>51</v>
      </c>
      <c r="D18060" t="s">
        <v>52</v>
      </c>
      <c r="E18060" t="s">
        <v>15</v>
      </c>
      <c r="F18060" s="2" t="str">
        <f>HYPERLINK("http://www.otzar.org/book.asp?142293","יעננו בקול")</f>
        <v>יעננו בקול</v>
      </c>
    </row>
    <row r="18061" spans="1:6" x14ac:dyDescent="0.2">
      <c r="A18061" t="s">
        <v>29759</v>
      </c>
      <c r="B18061" t="s">
        <v>29760</v>
      </c>
      <c r="C18061" t="s">
        <v>383</v>
      </c>
      <c r="D18061" t="s">
        <v>52</v>
      </c>
      <c r="E18061" t="s">
        <v>2572</v>
      </c>
      <c r="F18061" s="2" t="str">
        <f>HYPERLINK("http://www.otzar.org/book.asp?161883","יעקב איש וביתו - 2 כר'")</f>
        <v>יעקב איש וביתו - 2 כר'</v>
      </c>
    </row>
    <row r="18062" spans="1:6" x14ac:dyDescent="0.2">
      <c r="A18062" t="s">
        <v>29761</v>
      </c>
      <c r="B18062" t="s">
        <v>29762</v>
      </c>
      <c r="C18062" t="s">
        <v>1124</v>
      </c>
      <c r="D18062" t="s">
        <v>157</v>
      </c>
      <c r="E18062" t="s">
        <v>474</v>
      </c>
      <c r="F18062" s="2" t="str">
        <f>HYPERLINK("http://www.otzar.org/book.asp?108850","יעקב בעזרו")</f>
        <v>יעקב בעזרו</v>
      </c>
    </row>
    <row r="18063" spans="1:6" x14ac:dyDescent="0.2">
      <c r="A18063" t="s">
        <v>29763</v>
      </c>
      <c r="B18063" t="s">
        <v>1005</v>
      </c>
      <c r="C18063" t="s">
        <v>20</v>
      </c>
      <c r="D18063" t="s">
        <v>90</v>
      </c>
      <c r="E18063" t="s">
        <v>202</v>
      </c>
      <c r="F18063" s="2" t="str">
        <f>HYPERLINK("http://www.otzar.org/book.asp?181726","יעקב דסקל הי""ד")</f>
        <v>יעקב דסקל הי"ד</v>
      </c>
    </row>
    <row r="18064" spans="1:6" x14ac:dyDescent="0.2">
      <c r="A18064" t="s">
        <v>29764</v>
      </c>
      <c r="B18064" t="s">
        <v>28138</v>
      </c>
      <c r="C18064" t="s">
        <v>562</v>
      </c>
      <c r="D18064" t="s">
        <v>76</v>
      </c>
      <c r="E18064" t="s">
        <v>158</v>
      </c>
      <c r="F18064" s="2" t="str">
        <f>HYPERLINK("http://www.otzar.org/book.asp?18846","יעקב חבל")</f>
        <v>יעקב חבל</v>
      </c>
    </row>
    <row r="18065" spans="1:6" x14ac:dyDescent="0.2">
      <c r="A18065" t="s">
        <v>29765</v>
      </c>
      <c r="B18065" t="s">
        <v>12517</v>
      </c>
      <c r="C18065" t="s">
        <v>37</v>
      </c>
      <c r="D18065" t="s">
        <v>412</v>
      </c>
      <c r="E18065" t="s">
        <v>158</v>
      </c>
      <c r="F18065" s="2" t="str">
        <f>HYPERLINK("http://www.otzar.org/book.asp?199388","יעקב לחק")</f>
        <v>יעקב לחק</v>
      </c>
    </row>
    <row r="18066" spans="1:6" x14ac:dyDescent="0.2">
      <c r="A18066" t="s">
        <v>29765</v>
      </c>
      <c r="B18066" t="s">
        <v>249</v>
      </c>
      <c r="C18066" t="s">
        <v>1519</v>
      </c>
      <c r="D18066" t="s">
        <v>1660</v>
      </c>
      <c r="E18066" t="s">
        <v>144</v>
      </c>
      <c r="F18066" s="2" t="str">
        <f>HYPERLINK("http://www.otzar.org/book.asp?101785","יעקב לחק")</f>
        <v>יעקב לחק</v>
      </c>
    </row>
    <row r="18067" spans="1:6" x14ac:dyDescent="0.2">
      <c r="A18067" t="s">
        <v>29766</v>
      </c>
      <c r="B18067" t="s">
        <v>29762</v>
      </c>
      <c r="C18067" t="s">
        <v>156</v>
      </c>
      <c r="D18067" t="s">
        <v>157</v>
      </c>
      <c r="E18067" t="s">
        <v>158</v>
      </c>
      <c r="F18067" s="2" t="str">
        <f>HYPERLINK("http://www.otzar.org/book.asp?108851","יעקב סלה")</f>
        <v>יעקב סלה</v>
      </c>
    </row>
    <row r="18068" spans="1:6" x14ac:dyDescent="0.2">
      <c r="A18068" t="s">
        <v>29767</v>
      </c>
      <c r="B18068" t="s">
        <v>4785</v>
      </c>
      <c r="C18068" t="s">
        <v>151</v>
      </c>
      <c r="D18068" t="s">
        <v>52</v>
      </c>
      <c r="E18068" t="s">
        <v>104</v>
      </c>
      <c r="F18068" s="2" t="str">
        <f>HYPERLINK("http://www.otzar.org/book.asp?618891","יער הלבנון")</f>
        <v>יער הלבנון</v>
      </c>
    </row>
    <row r="18069" spans="1:6" x14ac:dyDescent="0.2">
      <c r="A18069" t="s">
        <v>29767</v>
      </c>
      <c r="B18069" t="s">
        <v>29768</v>
      </c>
      <c r="C18069" t="s">
        <v>366</v>
      </c>
      <c r="D18069" t="s">
        <v>90</v>
      </c>
      <c r="F18069" s="2" t="str">
        <f>HYPERLINK("http://www.otzar.org/book.asp?609067","יער הלבנון")</f>
        <v>יער הלבנון</v>
      </c>
    </row>
    <row r="18070" spans="1:6" x14ac:dyDescent="0.2">
      <c r="A18070" t="s">
        <v>29769</v>
      </c>
      <c r="B18070" t="s">
        <v>29770</v>
      </c>
      <c r="C18070" t="s">
        <v>411</v>
      </c>
      <c r="D18070" t="s">
        <v>14</v>
      </c>
      <c r="F18070" s="2" t="str">
        <f>HYPERLINK("http://www.otzar.org/book.asp?85878","יערב שיחי - 3 כר'")</f>
        <v>יערב שיחי - 3 כר'</v>
      </c>
    </row>
    <row r="18071" spans="1:6" x14ac:dyDescent="0.2">
      <c r="A18071" t="s">
        <v>29771</v>
      </c>
      <c r="B18071" t="s">
        <v>1990</v>
      </c>
      <c r="C18071" t="s">
        <v>411</v>
      </c>
      <c r="D18071" t="s">
        <v>14</v>
      </c>
      <c r="E18071" t="s">
        <v>234</v>
      </c>
      <c r="F18071" s="2" t="str">
        <f>HYPERLINK("http://www.otzar.org/book.asp?193619","יערות דבש &lt;מנוקד&gt; - 2 כר'")</f>
        <v>יערות דבש &lt;מנוקד&gt; - 2 כר'</v>
      </c>
    </row>
    <row r="18072" spans="1:6" x14ac:dyDescent="0.2">
      <c r="A18072" t="s">
        <v>29772</v>
      </c>
      <c r="B18072" t="s">
        <v>1990</v>
      </c>
      <c r="C18072" t="s">
        <v>2617</v>
      </c>
      <c r="D18072" t="s">
        <v>267</v>
      </c>
      <c r="F18072" s="2" t="str">
        <f>HYPERLINK("http://www.otzar.org/book.asp?194816","יערות דבש - 7 כר'")</f>
        <v>יערות דבש - 7 כר'</v>
      </c>
    </row>
    <row r="18073" spans="1:6" x14ac:dyDescent="0.2">
      <c r="A18073" t="s">
        <v>29773</v>
      </c>
      <c r="B18073" t="s">
        <v>27830</v>
      </c>
      <c r="C18073" t="s">
        <v>20</v>
      </c>
      <c r="D18073" t="s">
        <v>90</v>
      </c>
      <c r="E18073" t="s">
        <v>241</v>
      </c>
      <c r="F18073" s="2" t="str">
        <f>HYPERLINK("http://www.otzar.org/book.asp?622522","יערות האושר")</f>
        <v>יערות האושר</v>
      </c>
    </row>
    <row r="18074" spans="1:6" x14ac:dyDescent="0.2">
      <c r="A18074" t="s">
        <v>29774</v>
      </c>
      <c r="B18074" t="s">
        <v>686</v>
      </c>
      <c r="C18074" t="s">
        <v>585</v>
      </c>
      <c r="D18074" t="s">
        <v>52</v>
      </c>
      <c r="E18074" t="s">
        <v>2071</v>
      </c>
      <c r="F18074" s="2" t="str">
        <f>HYPERLINK("http://www.otzar.org/book.asp?7585","יערי ודבשי")</f>
        <v>יערי ודבשי</v>
      </c>
    </row>
    <row r="18075" spans="1:6" x14ac:dyDescent="0.2">
      <c r="A18075" t="s">
        <v>29775</v>
      </c>
      <c r="B18075" t="s">
        <v>4640</v>
      </c>
      <c r="C18075" t="s">
        <v>71</v>
      </c>
      <c r="D18075" t="s">
        <v>14</v>
      </c>
      <c r="E18075" t="s">
        <v>104</v>
      </c>
      <c r="F18075" s="2" t="str">
        <f>HYPERLINK("http://www.otzar.org/book.asp?150587","יערי עם דבשי")</f>
        <v>יערי עם דבשי</v>
      </c>
    </row>
    <row r="18076" spans="1:6" x14ac:dyDescent="0.2">
      <c r="A18076" t="s">
        <v>29776</v>
      </c>
      <c r="B18076" t="s">
        <v>29777</v>
      </c>
      <c r="C18076" t="s">
        <v>1364</v>
      </c>
      <c r="D18076" t="s">
        <v>18244</v>
      </c>
      <c r="E18076" t="s">
        <v>1211</v>
      </c>
      <c r="F18076" s="2" t="str">
        <f>HYPERLINK("http://www.otzar.org/book.asp?189485","יערת הדבש")</f>
        <v>יערת הדבש</v>
      </c>
    </row>
    <row r="18077" spans="1:6" x14ac:dyDescent="0.2">
      <c r="A18077" t="s">
        <v>29778</v>
      </c>
      <c r="B18077" t="s">
        <v>12100</v>
      </c>
      <c r="C18077" t="s">
        <v>12101</v>
      </c>
      <c r="D18077" t="s">
        <v>6214</v>
      </c>
      <c r="F18077" s="2" t="str">
        <f>HYPERLINK("http://www.otzar.org/book.asp?620908","יפאר ענוים")</f>
        <v>יפאר ענוים</v>
      </c>
    </row>
    <row r="18078" spans="1:6" x14ac:dyDescent="0.2">
      <c r="A18078" t="s">
        <v>29779</v>
      </c>
      <c r="B18078" t="s">
        <v>29780</v>
      </c>
      <c r="C18078" t="s">
        <v>624</v>
      </c>
      <c r="D18078" t="s">
        <v>115</v>
      </c>
      <c r="E18078" t="s">
        <v>241</v>
      </c>
      <c r="F18078" s="2" t="str">
        <f>HYPERLINK("http://www.otzar.org/book.asp?191712","יפה בנעימים")</f>
        <v>יפה בנעימים</v>
      </c>
    </row>
    <row r="18079" spans="1:6" x14ac:dyDescent="0.2">
      <c r="A18079" t="s">
        <v>29781</v>
      </c>
      <c r="B18079" t="s">
        <v>6663</v>
      </c>
      <c r="C18079" t="s">
        <v>129</v>
      </c>
      <c r="D18079" t="s">
        <v>90</v>
      </c>
      <c r="E18079" t="s">
        <v>234</v>
      </c>
      <c r="F18079" s="2" t="str">
        <f>HYPERLINK("http://www.otzar.org/book.asp?147973","יפה בעיתו")</f>
        <v>יפה בעיתו</v>
      </c>
    </row>
    <row r="18080" spans="1:6" x14ac:dyDescent="0.2">
      <c r="A18080" t="s">
        <v>29782</v>
      </c>
      <c r="B18080" t="s">
        <v>29783</v>
      </c>
      <c r="C18080" t="s">
        <v>785</v>
      </c>
      <c r="D18080" t="s">
        <v>14</v>
      </c>
      <c r="E18080" t="s">
        <v>29784</v>
      </c>
      <c r="F18080" s="2" t="str">
        <f>HYPERLINK("http://www.otzar.org/book.asp?7062","יפה דעת")</f>
        <v>יפה דעת</v>
      </c>
    </row>
    <row r="18081" spans="1:6" x14ac:dyDescent="0.2">
      <c r="A18081" t="s">
        <v>29785</v>
      </c>
      <c r="B18081" t="s">
        <v>29786</v>
      </c>
      <c r="C18081" t="s">
        <v>286</v>
      </c>
      <c r="D18081" t="s">
        <v>29224</v>
      </c>
      <c r="E18081" t="s">
        <v>158</v>
      </c>
      <c r="F18081" s="2" t="str">
        <f>HYPERLINK("http://www.otzar.org/book.asp?624681","יפה וברה")</f>
        <v>יפה וברה</v>
      </c>
    </row>
    <row r="18082" spans="1:6" x14ac:dyDescent="0.2">
      <c r="A18082" t="s">
        <v>29787</v>
      </c>
      <c r="B18082" t="s">
        <v>29788</v>
      </c>
      <c r="C18082" t="s">
        <v>189</v>
      </c>
      <c r="D18082" t="s">
        <v>29789</v>
      </c>
      <c r="E18082" t="s">
        <v>202</v>
      </c>
      <c r="F18082" s="2" t="str">
        <f>HYPERLINK("http://www.otzar.org/book.asp?190920","יפה ירושתנו")</f>
        <v>יפה ירושתנו</v>
      </c>
    </row>
    <row r="18083" spans="1:6" x14ac:dyDescent="0.2">
      <c r="A18083" t="s">
        <v>29790</v>
      </c>
      <c r="B18083" t="s">
        <v>25526</v>
      </c>
      <c r="C18083" t="s">
        <v>366</v>
      </c>
      <c r="D18083" t="s">
        <v>90</v>
      </c>
      <c r="E18083" t="s">
        <v>15</v>
      </c>
      <c r="F18083" s="2" t="str">
        <f>HYPERLINK("http://www.otzar.org/book.asp?628043","יפה לב")</f>
        <v>יפה לב</v>
      </c>
    </row>
    <row r="18084" spans="1:6" x14ac:dyDescent="0.2">
      <c r="A18084" t="s">
        <v>29791</v>
      </c>
      <c r="B18084" t="s">
        <v>29792</v>
      </c>
      <c r="C18084" t="s">
        <v>1470</v>
      </c>
      <c r="D18084" t="s">
        <v>27</v>
      </c>
      <c r="E18084" t="s">
        <v>674</v>
      </c>
      <c r="F18084" s="2" t="str">
        <f>HYPERLINK("http://www.otzar.org/book.asp?606033","יפה לבשמים - 3 כר'")</f>
        <v>יפה לבשמים - 3 כר'</v>
      </c>
    </row>
    <row r="18085" spans="1:6" x14ac:dyDescent="0.2">
      <c r="A18085" t="s">
        <v>29793</v>
      </c>
      <c r="B18085" t="s">
        <v>74</v>
      </c>
      <c r="C18085" t="s">
        <v>29794</v>
      </c>
      <c r="D18085" t="s">
        <v>157</v>
      </c>
      <c r="E18085" t="s">
        <v>172</v>
      </c>
      <c r="F18085" s="2" t="str">
        <f>HYPERLINK("http://www.otzar.org/book.asp?8723","יפה ללב - 9 כר'")</f>
        <v>יפה ללב - 9 כר'</v>
      </c>
    </row>
    <row r="18086" spans="1:6" x14ac:dyDescent="0.2">
      <c r="A18086" t="s">
        <v>29795</v>
      </c>
      <c r="B18086" t="s">
        <v>29796</v>
      </c>
      <c r="C18086" t="s">
        <v>29797</v>
      </c>
      <c r="D18086" t="s">
        <v>280</v>
      </c>
      <c r="E18086" t="s">
        <v>29798</v>
      </c>
      <c r="F18086" s="2" t="str">
        <f>HYPERLINK("http://www.otzar.org/book.asp?9599","יפה מראה - 2 כר'")</f>
        <v>יפה מראה - 2 כר'</v>
      </c>
    </row>
    <row r="18087" spans="1:6" x14ac:dyDescent="0.2">
      <c r="A18087" t="s">
        <v>29799</v>
      </c>
      <c r="B18087" t="s">
        <v>29800</v>
      </c>
      <c r="C18087" t="s">
        <v>68</v>
      </c>
      <c r="D18087" t="s">
        <v>52</v>
      </c>
      <c r="E18087" t="s">
        <v>144</v>
      </c>
      <c r="F18087" s="2" t="str">
        <f>HYPERLINK("http://www.otzar.org/book.asp?165103","יפה מראה - 13 כר'")</f>
        <v>יפה מראה - 13 כר'</v>
      </c>
    </row>
    <row r="18088" spans="1:6" x14ac:dyDescent="0.2">
      <c r="A18088" t="s">
        <v>29801</v>
      </c>
      <c r="B18088" t="s">
        <v>6663</v>
      </c>
      <c r="C18088" t="s">
        <v>313</v>
      </c>
      <c r="D18088" t="s">
        <v>90</v>
      </c>
      <c r="E18088" t="s">
        <v>154</v>
      </c>
      <c r="F18088" s="2" t="str">
        <f>HYPERLINK("http://www.otzar.org/book.asp?147972","יפה מראה")</f>
        <v>יפה מראה</v>
      </c>
    </row>
    <row r="18089" spans="1:6" x14ac:dyDescent="0.2">
      <c r="A18089" t="s">
        <v>29801</v>
      </c>
      <c r="B18089" t="s">
        <v>29802</v>
      </c>
      <c r="C18089" t="s">
        <v>29803</v>
      </c>
      <c r="D18089" t="s">
        <v>49</v>
      </c>
      <c r="F18089" s="2" t="str">
        <f>HYPERLINK("http://www.otzar.org/book.asp?164833","יפה מראה")</f>
        <v>יפה מראה</v>
      </c>
    </row>
    <row r="18090" spans="1:6" x14ac:dyDescent="0.2">
      <c r="A18090" t="s">
        <v>29804</v>
      </c>
      <c r="B18090" t="s">
        <v>6666</v>
      </c>
      <c r="C18090" t="s">
        <v>244</v>
      </c>
      <c r="D18090" t="s">
        <v>412</v>
      </c>
      <c r="E18090" t="s">
        <v>2071</v>
      </c>
      <c r="F18090" s="2" t="str">
        <f>HYPERLINK("http://www.otzar.org/book.asp?601093","יפה נדרשת - 11 כר'")</f>
        <v>יפה נדרשת - 11 כר'</v>
      </c>
    </row>
    <row r="18091" spans="1:6" x14ac:dyDescent="0.2">
      <c r="A18091" t="s">
        <v>29805</v>
      </c>
      <c r="B18091" t="s">
        <v>29796</v>
      </c>
      <c r="C18091" t="s">
        <v>313</v>
      </c>
      <c r="D18091" t="s">
        <v>14</v>
      </c>
      <c r="F18091" s="2" t="str">
        <f>HYPERLINK("http://www.otzar.org/book.asp?152445","יפה נוף")</f>
        <v>יפה נוף</v>
      </c>
    </row>
    <row r="18092" spans="1:6" x14ac:dyDescent="0.2">
      <c r="A18092" t="s">
        <v>29805</v>
      </c>
      <c r="B18092" t="s">
        <v>29806</v>
      </c>
      <c r="C18092" t="s">
        <v>462</v>
      </c>
      <c r="D18092" t="s">
        <v>225</v>
      </c>
      <c r="E18092" t="s">
        <v>14551</v>
      </c>
      <c r="F18092" s="2" t="str">
        <f>HYPERLINK("http://www.otzar.org/book.asp?52154","יפה נוף")</f>
        <v>יפה נוף</v>
      </c>
    </row>
    <row r="18093" spans="1:6" x14ac:dyDescent="0.2">
      <c r="A18093" t="s">
        <v>29807</v>
      </c>
      <c r="B18093" t="s">
        <v>29805</v>
      </c>
      <c r="C18093" t="s">
        <v>29808</v>
      </c>
      <c r="D18093" t="s">
        <v>49</v>
      </c>
      <c r="F18093" s="2" t="str">
        <f>HYPERLINK("http://www.otzar.org/book.asp?619191","יפה נוף - 2 כר'")</f>
        <v>יפה נוף - 2 כר'</v>
      </c>
    </row>
    <row r="18094" spans="1:6" x14ac:dyDescent="0.2">
      <c r="A18094" t="s">
        <v>29805</v>
      </c>
      <c r="B18094" t="s">
        <v>6663</v>
      </c>
      <c r="C18094" t="s">
        <v>313</v>
      </c>
      <c r="D18094" t="s">
        <v>90</v>
      </c>
      <c r="E18094" t="s">
        <v>154</v>
      </c>
      <c r="F18094" s="2" t="str">
        <f>HYPERLINK("http://www.otzar.org/book.asp?147967","יפה נוף")</f>
        <v>יפה נוף</v>
      </c>
    </row>
    <row r="18095" spans="1:6" x14ac:dyDescent="0.2">
      <c r="A18095" t="s">
        <v>29805</v>
      </c>
      <c r="B18095" t="s">
        <v>29809</v>
      </c>
      <c r="C18095" t="s">
        <v>3690</v>
      </c>
      <c r="D18095" t="s">
        <v>267</v>
      </c>
      <c r="E18095" t="s">
        <v>15</v>
      </c>
      <c r="F18095" s="2" t="str">
        <f>HYPERLINK("http://www.otzar.org/book.asp?84990","יפה נוף")</f>
        <v>יפה נוף</v>
      </c>
    </row>
    <row r="18096" spans="1:6" x14ac:dyDescent="0.2">
      <c r="A18096" t="s">
        <v>29810</v>
      </c>
      <c r="B18096" t="s">
        <v>29796</v>
      </c>
      <c r="C18096" t="s">
        <v>23</v>
      </c>
      <c r="D18096" t="s">
        <v>14</v>
      </c>
      <c r="E18096" t="s">
        <v>158</v>
      </c>
      <c r="F18096" s="2" t="str">
        <f>HYPERLINK("http://www.otzar.org/book.asp?199885","יפה עינים &lt;מהדורה חדשה&gt; - ב")</f>
        <v>יפה עינים &lt;מהדורה חדשה&gt; - ב</v>
      </c>
    </row>
    <row r="18097" spans="1:6" x14ac:dyDescent="0.2">
      <c r="A18097" t="s">
        <v>29811</v>
      </c>
      <c r="B18097" t="s">
        <v>29812</v>
      </c>
      <c r="C18097" t="s">
        <v>411</v>
      </c>
      <c r="D18097" t="s">
        <v>646</v>
      </c>
      <c r="E18097" t="s">
        <v>158</v>
      </c>
      <c r="F18097" s="2" t="str">
        <f>HYPERLINK("http://www.otzar.org/book.asp?167904","יפה עינים &lt;הוצאה חדשה&gt;")</f>
        <v>יפה עינים &lt;הוצאה חדשה&gt;</v>
      </c>
    </row>
    <row r="18098" spans="1:6" x14ac:dyDescent="0.2">
      <c r="A18098" t="s">
        <v>29813</v>
      </c>
      <c r="B18098" t="s">
        <v>29796</v>
      </c>
      <c r="C18098" t="s">
        <v>29814</v>
      </c>
      <c r="D18098" t="s">
        <v>49</v>
      </c>
      <c r="E18098" t="s">
        <v>474</v>
      </c>
      <c r="F18098" s="2" t="str">
        <f>HYPERLINK("http://www.otzar.org/book.asp?7327","יפה עינים")</f>
        <v>יפה עינים</v>
      </c>
    </row>
    <row r="18099" spans="1:6" x14ac:dyDescent="0.2">
      <c r="A18099" t="s">
        <v>29813</v>
      </c>
      <c r="B18099" t="s">
        <v>206</v>
      </c>
      <c r="C18099" t="s">
        <v>129</v>
      </c>
      <c r="D18099" t="s">
        <v>14</v>
      </c>
      <c r="E18099" t="s">
        <v>158</v>
      </c>
      <c r="F18099" s="2" t="str">
        <f>HYPERLINK("http://www.otzar.org/book.asp?172027","יפה עינים")</f>
        <v>יפה עינים</v>
      </c>
    </row>
    <row r="18100" spans="1:6" x14ac:dyDescent="0.2">
      <c r="A18100" t="s">
        <v>29813</v>
      </c>
      <c r="B18100" t="s">
        <v>29812</v>
      </c>
      <c r="C18100" t="s">
        <v>1937</v>
      </c>
      <c r="D18100" t="s">
        <v>267</v>
      </c>
      <c r="E18100" t="s">
        <v>158</v>
      </c>
      <c r="F18100" s="2" t="str">
        <f>HYPERLINK("http://www.otzar.org/book.asp?108855","יפה עינים")</f>
        <v>יפה עינים</v>
      </c>
    </row>
    <row r="18101" spans="1:6" x14ac:dyDescent="0.2">
      <c r="A18101" t="s">
        <v>29815</v>
      </c>
      <c r="B18101" t="s">
        <v>4749</v>
      </c>
      <c r="C18101" t="s">
        <v>492</v>
      </c>
      <c r="D18101" t="s">
        <v>212</v>
      </c>
      <c r="E18101" t="s">
        <v>246</v>
      </c>
      <c r="F18101" s="2" t="str">
        <f>HYPERLINK("http://www.otzar.org/book.asp?52153","יפה עינים, בדרכי שמים")</f>
        <v>יפה עינים, בדרכי שמים</v>
      </c>
    </row>
    <row r="18102" spans="1:6" x14ac:dyDescent="0.2">
      <c r="A18102" t="s">
        <v>29816</v>
      </c>
      <c r="B18102" t="s">
        <v>29796</v>
      </c>
      <c r="C18102" t="s">
        <v>10215</v>
      </c>
      <c r="D18102" t="s">
        <v>2290</v>
      </c>
      <c r="E18102" t="s">
        <v>43</v>
      </c>
      <c r="F18102" s="2" t="str">
        <f>HYPERLINK("http://www.otzar.org/book.asp?103295","יפה ענף - רות אסתר ואיכה")</f>
        <v>יפה ענף - רות אסתר ואיכה</v>
      </c>
    </row>
    <row r="18103" spans="1:6" x14ac:dyDescent="0.2">
      <c r="A18103" t="s">
        <v>29817</v>
      </c>
      <c r="B18103" t="s">
        <v>29818</v>
      </c>
      <c r="C18103" t="s">
        <v>635</v>
      </c>
      <c r="D18103" t="s">
        <v>157</v>
      </c>
      <c r="E18103" t="s">
        <v>29819</v>
      </c>
      <c r="F18103" s="2" t="str">
        <f>HYPERLINK("http://www.otzar.org/book.asp?18902","יפה ענף")</f>
        <v>יפה ענף</v>
      </c>
    </row>
    <row r="18104" spans="1:6" x14ac:dyDescent="0.2">
      <c r="A18104" t="s">
        <v>29820</v>
      </c>
      <c r="B18104" t="s">
        <v>29796</v>
      </c>
      <c r="C18104" t="s">
        <v>10572</v>
      </c>
      <c r="D18104" t="s">
        <v>157</v>
      </c>
      <c r="E18104" t="s">
        <v>43</v>
      </c>
      <c r="F18104" s="2" t="str">
        <f>HYPERLINK("http://www.otzar.org/book.asp?103294","יפה קול - שיר השירים")</f>
        <v>יפה קול - שיר השירים</v>
      </c>
    </row>
    <row r="18105" spans="1:6" x14ac:dyDescent="0.2">
      <c r="A18105" t="s">
        <v>29821</v>
      </c>
      <c r="B18105" t="s">
        <v>6370</v>
      </c>
      <c r="C18105" t="s">
        <v>20</v>
      </c>
      <c r="D18105" t="s">
        <v>412</v>
      </c>
      <c r="E18105" t="s">
        <v>140</v>
      </c>
      <c r="F18105" s="2" t="str">
        <f>HYPERLINK("http://www.otzar.org/book.asp?163691","יפה שיחתן")</f>
        <v>יפה שיחתן</v>
      </c>
    </row>
    <row r="18106" spans="1:6" x14ac:dyDescent="0.2">
      <c r="A18106" t="s">
        <v>29822</v>
      </c>
      <c r="B18106" t="s">
        <v>29823</v>
      </c>
      <c r="C18106" t="s">
        <v>151</v>
      </c>
      <c r="D18106" t="s">
        <v>14</v>
      </c>
      <c r="F18106" s="2" t="str">
        <f>HYPERLINK("http://www.otzar.org/book.asp?617174","יפה שעה אחת")</f>
        <v>יפה שעה אחת</v>
      </c>
    </row>
    <row r="18107" spans="1:6" x14ac:dyDescent="0.2">
      <c r="A18107" t="s">
        <v>29824</v>
      </c>
      <c r="B18107" t="s">
        <v>29825</v>
      </c>
      <c r="C18107" t="s">
        <v>919</v>
      </c>
      <c r="D18107" t="s">
        <v>14</v>
      </c>
      <c r="E18107" t="s">
        <v>154</v>
      </c>
      <c r="F18107" s="2" t="str">
        <f>HYPERLINK("http://www.otzar.org/book.asp?187177","יפה שעה - 2 כר'")</f>
        <v>יפה שעה - 2 כר'</v>
      </c>
    </row>
    <row r="18108" spans="1:6" x14ac:dyDescent="0.2">
      <c r="A18108" t="s">
        <v>29826</v>
      </c>
      <c r="B18108" t="s">
        <v>18896</v>
      </c>
      <c r="C18108" t="s">
        <v>854</v>
      </c>
      <c r="D18108" t="s">
        <v>14</v>
      </c>
      <c r="E18108" t="s">
        <v>399</v>
      </c>
      <c r="F18108" s="2" t="str">
        <f>HYPERLINK("http://www.otzar.org/book.asp?163184","יפה שעה - 3 כר'")</f>
        <v>יפה שעה - 3 כר'</v>
      </c>
    </row>
    <row r="18109" spans="1:6" x14ac:dyDescent="0.2">
      <c r="A18109" t="s">
        <v>29827</v>
      </c>
      <c r="B18109" t="s">
        <v>6663</v>
      </c>
      <c r="C18109" t="s">
        <v>313</v>
      </c>
      <c r="D18109" t="s">
        <v>90</v>
      </c>
      <c r="E18109" t="s">
        <v>2441</v>
      </c>
      <c r="F18109" s="2" t="str">
        <f>HYPERLINK("http://www.otzar.org/book.asp?147971","יפה תאר")</f>
        <v>יפה תאר</v>
      </c>
    </row>
    <row r="18110" spans="1:6" x14ac:dyDescent="0.2">
      <c r="A18110" t="s">
        <v>29828</v>
      </c>
      <c r="B18110" t="s">
        <v>29796</v>
      </c>
      <c r="C18110" t="s">
        <v>29829</v>
      </c>
      <c r="D18110" t="s">
        <v>49</v>
      </c>
      <c r="F18110" s="2" t="str">
        <f>HYPERLINK("http://www.otzar.org/book.asp?152838","יפה תואר - 2 כר'")</f>
        <v>יפה תואר - 2 כר'</v>
      </c>
    </row>
    <row r="18111" spans="1:6" x14ac:dyDescent="0.2">
      <c r="A18111" t="s">
        <v>29830</v>
      </c>
      <c r="B18111" t="s">
        <v>74</v>
      </c>
      <c r="C18111" t="s">
        <v>29831</v>
      </c>
      <c r="D18111" t="s">
        <v>157</v>
      </c>
      <c r="E18111" t="s">
        <v>24232</v>
      </c>
      <c r="F18111" s="2" t="str">
        <f>HYPERLINK("http://www.otzar.org/book.asp?101335","יפה תלמוד - 3 כר'")</f>
        <v>יפה תלמוד - 3 כר'</v>
      </c>
    </row>
    <row r="18112" spans="1:6" x14ac:dyDescent="0.2">
      <c r="A18112" t="s">
        <v>29832</v>
      </c>
      <c r="B18112" t="s">
        <v>20990</v>
      </c>
      <c r="C18112" t="s">
        <v>29833</v>
      </c>
      <c r="D18112" t="s">
        <v>1422</v>
      </c>
      <c r="E18112" t="s">
        <v>604</v>
      </c>
      <c r="F18112" s="2" t="str">
        <f>HYPERLINK("http://www.otzar.org/book.asp?15715","יפח לקץ")</f>
        <v>יפח לקץ</v>
      </c>
    </row>
    <row r="18113" spans="1:6" x14ac:dyDescent="0.2">
      <c r="A18113" t="s">
        <v>29834</v>
      </c>
      <c r="B18113" t="s">
        <v>4979</v>
      </c>
      <c r="C18113" t="s">
        <v>523</v>
      </c>
      <c r="D18113" t="s">
        <v>4478</v>
      </c>
      <c r="E18113" t="s">
        <v>158</v>
      </c>
      <c r="F18113" s="2" t="str">
        <f>HYPERLINK("http://www.otzar.org/book.asp?63134","יפיות מלכות וזמירות")</f>
        <v>יפיות מלכות וזמירות</v>
      </c>
    </row>
    <row r="18114" spans="1:6" x14ac:dyDescent="0.2">
      <c r="A18114" t="s">
        <v>29835</v>
      </c>
      <c r="B18114" t="s">
        <v>29836</v>
      </c>
      <c r="C18114" t="s">
        <v>29837</v>
      </c>
      <c r="D18114" t="s">
        <v>56</v>
      </c>
      <c r="E18114" t="s">
        <v>241</v>
      </c>
      <c r="F18114" s="2" t="str">
        <f>HYPERLINK("http://www.otzar.org/book.asp?189347","יפיח אמונה - 2 כר'")</f>
        <v>יפיח אמונה - 2 כר'</v>
      </c>
    </row>
    <row r="18115" spans="1:6" x14ac:dyDescent="0.2">
      <c r="A18115" t="s">
        <v>29838</v>
      </c>
      <c r="B18115" t="s">
        <v>29839</v>
      </c>
      <c r="C18115" t="s">
        <v>37</v>
      </c>
      <c r="D18115" t="s">
        <v>276</v>
      </c>
      <c r="E18115" t="s">
        <v>202</v>
      </c>
      <c r="F18115" s="2" t="str">
        <f>HYPERLINK("http://www.otzar.org/book.asp?195073","יפיק תבונה")</f>
        <v>יפיק תבונה</v>
      </c>
    </row>
    <row r="18116" spans="1:6" x14ac:dyDescent="0.2">
      <c r="A18116" t="s">
        <v>29840</v>
      </c>
      <c r="B18116" t="s">
        <v>29841</v>
      </c>
      <c r="C18116" t="s">
        <v>775</v>
      </c>
      <c r="D18116" t="s">
        <v>115</v>
      </c>
      <c r="F18116" s="2" t="str">
        <f>HYPERLINK("http://www.otzar.org/book.asp?614007","יפיק תבונה - 8 כר'")</f>
        <v>יפיק תבונה - 8 כר'</v>
      </c>
    </row>
    <row r="18117" spans="1:6" x14ac:dyDescent="0.2">
      <c r="A18117" t="s">
        <v>29842</v>
      </c>
      <c r="B18117" t="s">
        <v>27029</v>
      </c>
      <c r="C18117" t="s">
        <v>9307</v>
      </c>
      <c r="D18117" t="s">
        <v>1490</v>
      </c>
      <c r="E18117" t="s">
        <v>158</v>
      </c>
      <c r="F18117" s="2" t="str">
        <f>HYPERLINK("http://www.otzar.org/book.asp?62170","יפק רצון")</f>
        <v>יפק רצון</v>
      </c>
    </row>
    <row r="18118" spans="1:6" x14ac:dyDescent="0.2">
      <c r="A18118" t="s">
        <v>29843</v>
      </c>
      <c r="B18118" t="s">
        <v>686</v>
      </c>
      <c r="C18118" t="s">
        <v>114</v>
      </c>
      <c r="D18118" t="s">
        <v>52</v>
      </c>
      <c r="E18118" t="s">
        <v>104</v>
      </c>
      <c r="F18118" s="2" t="str">
        <f>HYPERLINK("http://www.otzar.org/book.asp?172426","יפרוש כנפיו")</f>
        <v>יפרוש כנפיו</v>
      </c>
    </row>
    <row r="18119" spans="1:6" x14ac:dyDescent="0.2">
      <c r="A18119" t="s">
        <v>29844</v>
      </c>
      <c r="B18119" t="s">
        <v>1371</v>
      </c>
      <c r="C18119" t="s">
        <v>124</v>
      </c>
      <c r="D18119" t="s">
        <v>14</v>
      </c>
      <c r="E18119" t="s">
        <v>12174</v>
      </c>
      <c r="F18119" s="2" t="str">
        <f>HYPERLINK("http://www.otzar.org/book.asp?149676","יפרח בימיו צדיק")</f>
        <v>יפרח בימיו צדיק</v>
      </c>
    </row>
    <row r="18120" spans="1:6" x14ac:dyDescent="0.2">
      <c r="A18120" t="s">
        <v>29845</v>
      </c>
      <c r="B18120" t="s">
        <v>29846</v>
      </c>
      <c r="C18120" t="s">
        <v>20</v>
      </c>
      <c r="D18120" t="s">
        <v>14</v>
      </c>
      <c r="E18120" t="s">
        <v>8580</v>
      </c>
      <c r="F18120" s="2" t="str">
        <f>HYPERLINK("http://www.otzar.org/book.asp?51152","יפרח כשושנה")</f>
        <v>יפרח כשושנה</v>
      </c>
    </row>
    <row r="18121" spans="1:6" x14ac:dyDescent="0.2">
      <c r="A18121" t="s">
        <v>29847</v>
      </c>
      <c r="B18121" t="s">
        <v>2396</v>
      </c>
      <c r="C18121" t="s">
        <v>366</v>
      </c>
      <c r="D18121" t="s">
        <v>1076</v>
      </c>
      <c r="E18121" t="s">
        <v>213</v>
      </c>
      <c r="F18121" s="2" t="str">
        <f>HYPERLINK("http://www.otzar.org/book.asp?602672","יפרח כשושנה - 4 כר'")</f>
        <v>יפרח כשושנה - 4 כר'</v>
      </c>
    </row>
    <row r="18122" spans="1:6" x14ac:dyDescent="0.2">
      <c r="A18122" t="s">
        <v>29848</v>
      </c>
      <c r="B18122" t="s">
        <v>29849</v>
      </c>
      <c r="C18122" t="s">
        <v>313</v>
      </c>
      <c r="D18122" t="s">
        <v>486</v>
      </c>
      <c r="E18122" t="s">
        <v>213</v>
      </c>
      <c r="F18122" s="2" t="str">
        <f>HYPERLINK("http://www.otzar.org/book.asp?50115","יצאת לישע עמך")</f>
        <v>יצאת לישע עמך</v>
      </c>
    </row>
    <row r="18123" spans="1:6" x14ac:dyDescent="0.2">
      <c r="A18123" t="s">
        <v>29850</v>
      </c>
      <c r="B18123" t="s">
        <v>29851</v>
      </c>
      <c r="C18123" t="s">
        <v>37</v>
      </c>
      <c r="D18123" t="s">
        <v>90</v>
      </c>
      <c r="E18123" t="s">
        <v>158</v>
      </c>
      <c r="F18123" s="2" t="str">
        <f>HYPERLINK("http://www.otzar.org/book.asp?180206","יצב אברהם - 3 כר'")</f>
        <v>יצב אברהם - 3 כר'</v>
      </c>
    </row>
    <row r="18124" spans="1:6" x14ac:dyDescent="0.2">
      <c r="A18124" t="s">
        <v>29852</v>
      </c>
      <c r="B18124" t="s">
        <v>29853</v>
      </c>
      <c r="C18124" t="s">
        <v>2644</v>
      </c>
      <c r="D18124" t="s">
        <v>27</v>
      </c>
      <c r="E18124" t="s">
        <v>517</v>
      </c>
      <c r="F18124" s="2" t="str">
        <f>HYPERLINK("http://www.otzar.org/book.asp?16966","יצב גבולות")</f>
        <v>יצב גבולות</v>
      </c>
    </row>
    <row r="18125" spans="1:6" x14ac:dyDescent="0.2">
      <c r="A18125" t="s">
        <v>29854</v>
      </c>
      <c r="B18125" t="s">
        <v>29855</v>
      </c>
      <c r="C18125" t="s">
        <v>334</v>
      </c>
      <c r="D18125" t="s">
        <v>412</v>
      </c>
      <c r="E18125" t="s">
        <v>219</v>
      </c>
      <c r="F18125" s="2" t="str">
        <f>HYPERLINK("http://www.otzar.org/book.asp?184807","יצחק בן אברהם אבן עזרא - שירים")</f>
        <v>יצחק בן אברהם אבן עזרא - שירים</v>
      </c>
    </row>
    <row r="18126" spans="1:6" x14ac:dyDescent="0.2">
      <c r="A18126" t="s">
        <v>29856</v>
      </c>
      <c r="B18126" t="s">
        <v>29857</v>
      </c>
      <c r="C18126" t="s">
        <v>411</v>
      </c>
      <c r="D18126" t="s">
        <v>1840</v>
      </c>
      <c r="E18126" t="s">
        <v>154</v>
      </c>
      <c r="F18126" s="2" t="str">
        <f>HYPERLINK("http://www.otzar.org/book.asp?190734","יצחק ירנן - 18 כר'")</f>
        <v>יצחק ירנן - 18 כר'</v>
      </c>
    </row>
    <row r="18127" spans="1:6" x14ac:dyDescent="0.2">
      <c r="A18127" t="s">
        <v>29858</v>
      </c>
      <c r="B18127" t="s">
        <v>1218</v>
      </c>
      <c r="C18127" t="s">
        <v>4404</v>
      </c>
      <c r="D18127" t="s">
        <v>76</v>
      </c>
      <c r="E18127" t="s">
        <v>674</v>
      </c>
      <c r="F18127" s="2" t="str">
        <f>HYPERLINK("http://www.otzar.org/book.asp?18904","יצחק ירנן")</f>
        <v>יצחק ירנן</v>
      </c>
    </row>
    <row r="18128" spans="1:6" x14ac:dyDescent="0.2">
      <c r="A18128" t="s">
        <v>29858</v>
      </c>
      <c r="B18128" t="s">
        <v>29859</v>
      </c>
      <c r="D18128" t="s">
        <v>1365</v>
      </c>
      <c r="F18128" s="2" t="str">
        <f>HYPERLINK("http://www.otzar.org/book.asp?625981","יצחק ירנן")</f>
        <v>יצחק ירנן</v>
      </c>
    </row>
    <row r="18129" spans="1:6" x14ac:dyDescent="0.2">
      <c r="A18129" t="s">
        <v>29858</v>
      </c>
      <c r="B18129" t="s">
        <v>29860</v>
      </c>
      <c r="C18129" t="s">
        <v>20</v>
      </c>
      <c r="D18129" t="s">
        <v>52</v>
      </c>
      <c r="E18129" t="s">
        <v>674</v>
      </c>
      <c r="F18129" s="2" t="str">
        <f>HYPERLINK("http://www.otzar.org/book.asp?603814","יצחק ירנן")</f>
        <v>יצחק ירנן</v>
      </c>
    </row>
    <row r="18130" spans="1:6" x14ac:dyDescent="0.2">
      <c r="A18130" t="s">
        <v>29858</v>
      </c>
      <c r="B18130" t="s">
        <v>757</v>
      </c>
      <c r="C18130" t="s">
        <v>1437</v>
      </c>
      <c r="D18130" t="s">
        <v>267</v>
      </c>
      <c r="E18130" t="s">
        <v>684</v>
      </c>
      <c r="F18130" s="2" t="str">
        <f>HYPERLINK("http://www.otzar.org/book.asp?18903","יצחק ירנן")</f>
        <v>יצחק ירנן</v>
      </c>
    </row>
    <row r="18131" spans="1:6" x14ac:dyDescent="0.2">
      <c r="A18131" t="s">
        <v>29858</v>
      </c>
      <c r="B18131" t="s">
        <v>29861</v>
      </c>
      <c r="C18131" t="s">
        <v>114</v>
      </c>
      <c r="D18131" t="s">
        <v>486</v>
      </c>
      <c r="E18131" t="s">
        <v>219</v>
      </c>
      <c r="F18131" s="2" t="str">
        <f>HYPERLINK("http://www.otzar.org/book.asp?193119","יצחק ירנן")</f>
        <v>יצחק ירנן</v>
      </c>
    </row>
    <row r="18132" spans="1:6" x14ac:dyDescent="0.2">
      <c r="A18132" t="s">
        <v>29858</v>
      </c>
      <c r="B18132" t="s">
        <v>29862</v>
      </c>
      <c r="C18132" t="s">
        <v>313</v>
      </c>
      <c r="D18132" t="s">
        <v>52</v>
      </c>
      <c r="E18132" t="s">
        <v>119</v>
      </c>
      <c r="F18132" s="2" t="str">
        <f>HYPERLINK("http://www.otzar.org/book.asp?169365","יצחק ירנן")</f>
        <v>יצחק ירנן</v>
      </c>
    </row>
    <row r="18133" spans="1:6" x14ac:dyDescent="0.2">
      <c r="A18133" t="s">
        <v>29863</v>
      </c>
      <c r="B18133" t="s">
        <v>2500</v>
      </c>
      <c r="C18133" t="s">
        <v>1268</v>
      </c>
      <c r="D18133" t="s">
        <v>412</v>
      </c>
      <c r="E18133" t="s">
        <v>4333</v>
      </c>
      <c r="F18133" s="2" t="str">
        <f>HYPERLINK("http://www.otzar.org/book.asp?63253","יצחק לשוח")</f>
        <v>יצחק לשוח</v>
      </c>
    </row>
    <row r="18134" spans="1:6" x14ac:dyDescent="0.2">
      <c r="A18134" t="s">
        <v>29864</v>
      </c>
      <c r="B18134" t="s">
        <v>29865</v>
      </c>
      <c r="C18134" t="s">
        <v>454</v>
      </c>
      <c r="D18134" t="s">
        <v>412</v>
      </c>
      <c r="E18134" t="s">
        <v>130</v>
      </c>
      <c r="F18134" s="2" t="str">
        <f>HYPERLINK("http://www.otzar.org/book.asp?149763","יציאות השבת")</f>
        <v>יציאות השבת</v>
      </c>
    </row>
    <row r="18135" spans="1:6" x14ac:dyDescent="0.2">
      <c r="A18135" t="s">
        <v>29866</v>
      </c>
      <c r="B18135" t="s">
        <v>29867</v>
      </c>
      <c r="C18135" t="s">
        <v>37</v>
      </c>
      <c r="D18135" t="s">
        <v>14</v>
      </c>
      <c r="E18135" t="s">
        <v>144</v>
      </c>
      <c r="F18135" s="2" t="str">
        <f>HYPERLINK("http://www.otzar.org/book.asp?189273","יציאות השבת - פרק יציאות השבת ופרק הזורק")</f>
        <v>יציאות השבת - פרק יציאות השבת ופרק הזורק</v>
      </c>
    </row>
    <row r="18136" spans="1:6" x14ac:dyDescent="0.2">
      <c r="A18136" t="s">
        <v>29868</v>
      </c>
      <c r="B18136" t="s">
        <v>18584</v>
      </c>
      <c r="C18136" t="s">
        <v>29869</v>
      </c>
      <c r="D18136" t="s">
        <v>27</v>
      </c>
      <c r="E18136" t="s">
        <v>213</v>
      </c>
      <c r="F18136" s="2" t="str">
        <f>HYPERLINK("http://www.otzar.org/book.asp?154055","יציאת מצרים והזמן הזה")</f>
        <v>יציאת מצרים והזמן הזה</v>
      </c>
    </row>
    <row r="18137" spans="1:6" x14ac:dyDescent="0.2">
      <c r="A18137" t="s">
        <v>29870</v>
      </c>
      <c r="B18137" t="s">
        <v>107</v>
      </c>
      <c r="C18137" t="s">
        <v>20</v>
      </c>
      <c r="D18137" t="s">
        <v>14</v>
      </c>
      <c r="E18137" t="s">
        <v>246</v>
      </c>
      <c r="F18137" s="2" t="str">
        <f>HYPERLINK("http://www.otzar.org/book.asp?6518","יציאת מצרים וחודש ניסן")</f>
        <v>יציאת מצרים וחודש ניסן</v>
      </c>
    </row>
    <row r="18138" spans="1:6" x14ac:dyDescent="0.2">
      <c r="A18138" t="s">
        <v>29871</v>
      </c>
      <c r="B18138" t="s">
        <v>29872</v>
      </c>
      <c r="C18138" t="s">
        <v>1570</v>
      </c>
      <c r="D18138" t="s">
        <v>14</v>
      </c>
      <c r="E18138" t="s">
        <v>230</v>
      </c>
      <c r="F18138" s="2" t="str">
        <f>HYPERLINK("http://www.otzar.org/book.asp?84861","יציאת מצרים - 2 כר'")</f>
        <v>יציאת מצרים - 2 כר'</v>
      </c>
    </row>
    <row r="18139" spans="1:6" x14ac:dyDescent="0.2">
      <c r="A18139" t="s">
        <v>29873</v>
      </c>
      <c r="B18139" t="s">
        <v>3374</v>
      </c>
      <c r="C18139" t="s">
        <v>366</v>
      </c>
      <c r="D18139" t="s">
        <v>423</v>
      </c>
      <c r="E18139" t="s">
        <v>158</v>
      </c>
      <c r="F18139" s="2" t="str">
        <f>HYPERLINK("http://www.otzar.org/book.asp?629396","יציב פתגם - 10 כר'")</f>
        <v>יציב פתגם - 10 כר'</v>
      </c>
    </row>
    <row r="18140" spans="1:6" x14ac:dyDescent="0.2">
      <c r="A18140" t="s">
        <v>29874</v>
      </c>
      <c r="B18140" t="s">
        <v>1417</v>
      </c>
      <c r="C18140" t="s">
        <v>896</v>
      </c>
      <c r="D18140" t="s">
        <v>6238</v>
      </c>
      <c r="E18140" t="s">
        <v>119</v>
      </c>
      <c r="F18140" s="2" t="str">
        <f>HYPERLINK("http://www.otzar.org/book.asp?151530","יציב פתגם - 2 כר'")</f>
        <v>יציב פתגם - 2 כר'</v>
      </c>
    </row>
    <row r="18141" spans="1:6" x14ac:dyDescent="0.2">
      <c r="A18141" t="s">
        <v>29875</v>
      </c>
      <c r="B18141" t="s">
        <v>22432</v>
      </c>
      <c r="C18141" t="s">
        <v>13</v>
      </c>
      <c r="D18141" t="s">
        <v>21</v>
      </c>
      <c r="E18141" t="s">
        <v>2840</v>
      </c>
      <c r="F18141" s="2" t="str">
        <f>HYPERLINK("http://www.otzar.org/book.asp?195967","יציץ נזרו")</f>
        <v>יציץ נזרו</v>
      </c>
    </row>
    <row r="18142" spans="1:6" x14ac:dyDescent="0.2">
      <c r="A18142" t="s">
        <v>29876</v>
      </c>
      <c r="B18142" t="s">
        <v>13881</v>
      </c>
      <c r="C18142" t="s">
        <v>20</v>
      </c>
      <c r="D18142" t="s">
        <v>14</v>
      </c>
      <c r="E18142" t="s">
        <v>399</v>
      </c>
      <c r="F18142" s="2" t="str">
        <f>HYPERLINK("http://www.otzar.org/book.asp?629910","יצירת אדם")</f>
        <v>יצירת אדם</v>
      </c>
    </row>
    <row r="18143" spans="1:6" x14ac:dyDescent="0.2">
      <c r="A18143" t="s">
        <v>29877</v>
      </c>
      <c r="B18143" t="s">
        <v>7220</v>
      </c>
      <c r="C18143" t="s">
        <v>1388</v>
      </c>
      <c r="D18143" t="s">
        <v>52</v>
      </c>
      <c r="E18143" t="s">
        <v>26841</v>
      </c>
      <c r="F18143" s="2" t="str">
        <f>HYPERLINK("http://www.otzar.org/book.asp?7586","יצפן לישרים תושיה")</f>
        <v>יצפן לישרים תושיה</v>
      </c>
    </row>
    <row r="18144" spans="1:6" x14ac:dyDescent="0.2">
      <c r="A18144" t="s">
        <v>29878</v>
      </c>
      <c r="B18144" t="s">
        <v>7220</v>
      </c>
      <c r="C18144" t="s">
        <v>466</v>
      </c>
      <c r="D18144" t="s">
        <v>52</v>
      </c>
      <c r="E18144" t="s">
        <v>246</v>
      </c>
      <c r="F18144" s="2" t="str">
        <f>HYPERLINK("http://www.otzar.org/book.asp?148279","יצפנני בסכה")</f>
        <v>יצפנני בסכה</v>
      </c>
    </row>
    <row r="18145" spans="1:6" x14ac:dyDescent="0.2">
      <c r="A18145" t="s">
        <v>29879</v>
      </c>
      <c r="B18145" t="s">
        <v>29880</v>
      </c>
      <c r="C18145" t="s">
        <v>71</v>
      </c>
      <c r="D18145" t="s">
        <v>52</v>
      </c>
      <c r="E18145" t="s">
        <v>29881</v>
      </c>
      <c r="F18145" s="2" t="str">
        <f>HYPERLINK("http://www.otzar.org/book.asp?154823","יקב אליעזר")</f>
        <v>יקב אליעזר</v>
      </c>
    </row>
    <row r="18146" spans="1:6" x14ac:dyDescent="0.2">
      <c r="A18146" t="s">
        <v>29882</v>
      </c>
      <c r="B18146" t="s">
        <v>29883</v>
      </c>
      <c r="C18146" t="s">
        <v>168</v>
      </c>
      <c r="D18146" t="s">
        <v>412</v>
      </c>
      <c r="E18146" t="s">
        <v>15</v>
      </c>
      <c r="F18146" s="2" t="str">
        <f>HYPERLINK("http://www.otzar.org/book.asp?161995","יקב אפרים - 10 כר'")</f>
        <v>יקב אפרים - 10 כר'</v>
      </c>
    </row>
    <row r="18147" spans="1:6" x14ac:dyDescent="0.2">
      <c r="A18147" t="s">
        <v>29884</v>
      </c>
      <c r="B18147" t="s">
        <v>29885</v>
      </c>
      <c r="C18147" t="s">
        <v>3840</v>
      </c>
      <c r="D18147" t="s">
        <v>9</v>
      </c>
      <c r="E18147" t="s">
        <v>8035</v>
      </c>
      <c r="F18147" s="2" t="str">
        <f>HYPERLINK("http://www.otzar.org/book.asp?52156","יקב זאב")</f>
        <v>יקב זאב</v>
      </c>
    </row>
    <row r="18148" spans="1:6" x14ac:dyDescent="0.2">
      <c r="A18148" t="s">
        <v>29886</v>
      </c>
      <c r="B18148" t="s">
        <v>29512</v>
      </c>
      <c r="C18148" t="s">
        <v>950</v>
      </c>
      <c r="D18148" t="s">
        <v>157</v>
      </c>
      <c r="E18148" t="s">
        <v>172</v>
      </c>
      <c r="F18148" s="2" t="str">
        <f>HYPERLINK("http://www.otzar.org/book.asp?101274","יקהיל שלמה")</f>
        <v>יקהיל שלמה</v>
      </c>
    </row>
    <row r="18149" spans="1:6" x14ac:dyDescent="0.2">
      <c r="A18149" t="s">
        <v>29887</v>
      </c>
      <c r="B18149" t="s">
        <v>10536</v>
      </c>
      <c r="C18149" t="s">
        <v>4404</v>
      </c>
      <c r="D18149" t="s">
        <v>212</v>
      </c>
      <c r="E18149" t="s">
        <v>158</v>
      </c>
      <c r="F18149" s="2" t="str">
        <f>HYPERLINK("http://www.otzar.org/book.asp?103188","יקהל שלמה")</f>
        <v>יקהל שלמה</v>
      </c>
    </row>
    <row r="18150" spans="1:6" x14ac:dyDescent="0.2">
      <c r="A18150" t="s">
        <v>29888</v>
      </c>
      <c r="B18150" t="s">
        <v>29889</v>
      </c>
      <c r="C18150" t="s">
        <v>585</v>
      </c>
      <c r="D18150" t="s">
        <v>412</v>
      </c>
      <c r="E18150" t="s">
        <v>5712</v>
      </c>
      <c r="F18150" s="2" t="str">
        <f>HYPERLINK("http://www.otzar.org/book.asp?625951","יקהל שלמה, בית שלמה, עטרת תפארת")</f>
        <v>יקהל שלמה, בית שלמה, עטרת תפארת</v>
      </c>
    </row>
    <row r="18151" spans="1:6" x14ac:dyDescent="0.2">
      <c r="A18151" t="s">
        <v>29890</v>
      </c>
      <c r="B18151" t="s">
        <v>29891</v>
      </c>
      <c r="C18151" t="s">
        <v>114</v>
      </c>
      <c r="D18151" t="s">
        <v>152</v>
      </c>
      <c r="E18151" t="s">
        <v>104</v>
      </c>
      <c r="F18151" s="2" t="str">
        <f>HYPERLINK("http://www.otzar.org/book.asp?164102","יקהת עמים")</f>
        <v>יקהת עמים</v>
      </c>
    </row>
    <row r="18152" spans="1:6" x14ac:dyDescent="0.2">
      <c r="A18152" t="s">
        <v>29892</v>
      </c>
      <c r="B18152" t="s">
        <v>3625</v>
      </c>
      <c r="C18152" t="s">
        <v>224</v>
      </c>
      <c r="D18152" t="s">
        <v>7196</v>
      </c>
      <c r="E18152" t="s">
        <v>234</v>
      </c>
      <c r="F18152" s="2" t="str">
        <f>HYPERLINK("http://www.otzar.org/book.asp?8120","יקו לאור - מאמר סמיכות התורה")</f>
        <v>יקו לאור - מאמר סמיכות התורה</v>
      </c>
    </row>
    <row r="18153" spans="1:6" x14ac:dyDescent="0.2">
      <c r="A18153" t="s">
        <v>29893</v>
      </c>
      <c r="B18153" t="s">
        <v>29894</v>
      </c>
      <c r="C18153" t="s">
        <v>1177</v>
      </c>
      <c r="D18153" t="s">
        <v>212</v>
      </c>
      <c r="E18153" t="s">
        <v>104</v>
      </c>
      <c r="F18153" s="2" t="str">
        <f>HYPERLINK("http://www.otzar.org/book.asp?148140","יקובל האמת")</f>
        <v>יקובל האמת</v>
      </c>
    </row>
    <row r="18154" spans="1:6" x14ac:dyDescent="0.2">
      <c r="A18154" t="s">
        <v>29895</v>
      </c>
      <c r="B18154" t="s">
        <v>206</v>
      </c>
      <c r="C18154" t="s">
        <v>20</v>
      </c>
      <c r="D18154" t="s">
        <v>21</v>
      </c>
      <c r="E18154" t="s">
        <v>158</v>
      </c>
      <c r="F18154" s="2" t="str">
        <f>HYPERLINK("http://www.otzar.org/book.asp?196428","יקוו המים - 2 כר'")</f>
        <v>יקוו המים - 2 כר'</v>
      </c>
    </row>
    <row r="18155" spans="1:6" x14ac:dyDescent="0.2">
      <c r="A18155" t="s">
        <v>29896</v>
      </c>
      <c r="B18155" t="s">
        <v>29897</v>
      </c>
      <c r="C18155" t="s">
        <v>20</v>
      </c>
      <c r="D18155" t="s">
        <v>486</v>
      </c>
      <c r="E18155" t="s">
        <v>213</v>
      </c>
      <c r="F18155" s="2" t="str">
        <f>HYPERLINK("http://www.otzar.org/book.asp?191916","יקום דבר")</f>
        <v>יקום דבר</v>
      </c>
    </row>
    <row r="18156" spans="1:6" x14ac:dyDescent="0.2">
      <c r="A18156" t="s">
        <v>29898</v>
      </c>
      <c r="B18156" t="s">
        <v>29899</v>
      </c>
      <c r="C18156" t="s">
        <v>244</v>
      </c>
      <c r="D18156" t="s">
        <v>90</v>
      </c>
      <c r="E18156" t="s">
        <v>144</v>
      </c>
      <c r="F18156" s="2" t="str">
        <f>HYPERLINK("http://www.otzar.org/book.asp?623252","יקום דבר - מכות")</f>
        <v>יקום דבר - מכות</v>
      </c>
    </row>
    <row r="18157" spans="1:6" x14ac:dyDescent="0.2">
      <c r="A18157" t="s">
        <v>29900</v>
      </c>
      <c r="B18157" t="s">
        <v>29901</v>
      </c>
      <c r="C18157" t="s">
        <v>68</v>
      </c>
      <c r="D18157" t="s">
        <v>52</v>
      </c>
      <c r="E18157" t="s">
        <v>15</v>
      </c>
      <c r="F18157" s="2" t="str">
        <f>HYPERLINK("http://www.otzar.org/book.asp?157689","יקח מצוות - 5 כר'")</f>
        <v>יקח מצוות - 5 כר'</v>
      </c>
    </row>
    <row r="18158" spans="1:6" x14ac:dyDescent="0.2">
      <c r="A18158" t="s">
        <v>29902</v>
      </c>
      <c r="B18158" t="s">
        <v>29903</v>
      </c>
      <c r="C18158" t="s">
        <v>1268</v>
      </c>
      <c r="D18158" t="s">
        <v>115</v>
      </c>
      <c r="E18158" t="s">
        <v>144</v>
      </c>
      <c r="F18158" s="2" t="str">
        <f>HYPERLINK("http://www.otzar.org/book.asp?25461","יקח מצוות - 2 כר'")</f>
        <v>יקח מצוות - 2 כר'</v>
      </c>
    </row>
    <row r="18159" spans="1:6" x14ac:dyDescent="0.2">
      <c r="A18159" t="s">
        <v>29904</v>
      </c>
      <c r="B18159" t="s">
        <v>29905</v>
      </c>
      <c r="C18159" t="s">
        <v>13</v>
      </c>
      <c r="D18159" t="s">
        <v>14</v>
      </c>
      <c r="E18159" t="s">
        <v>144</v>
      </c>
      <c r="F18159" s="2" t="str">
        <f>HYPERLINK("http://www.otzar.org/book.asp?166508","יקר הערך &lt;מהדורה חדשה&gt;")</f>
        <v>יקר הערך &lt;מהדורה חדשה&gt;</v>
      </c>
    </row>
    <row r="18160" spans="1:6" x14ac:dyDescent="0.2">
      <c r="A18160" t="s">
        <v>29906</v>
      </c>
      <c r="B18160" t="s">
        <v>29905</v>
      </c>
      <c r="C18160" t="s">
        <v>2465</v>
      </c>
      <c r="D18160" t="s">
        <v>76</v>
      </c>
      <c r="E18160" t="s">
        <v>29907</v>
      </c>
      <c r="F18160" s="2" t="str">
        <f>HYPERLINK("http://www.otzar.org/book.asp?18906","יקר הערך")</f>
        <v>יקר הערך</v>
      </c>
    </row>
    <row r="18161" spans="1:6" x14ac:dyDescent="0.2">
      <c r="A18161" t="s">
        <v>29906</v>
      </c>
      <c r="B18161" t="s">
        <v>29908</v>
      </c>
      <c r="C18161" t="s">
        <v>1470</v>
      </c>
      <c r="D18161" t="s">
        <v>1889</v>
      </c>
      <c r="E18161" t="s">
        <v>104</v>
      </c>
      <c r="F18161" s="2" t="str">
        <f>HYPERLINK("http://www.otzar.org/book.asp?10054","יקר הערך")</f>
        <v>יקר הערך</v>
      </c>
    </row>
    <row r="18162" spans="1:6" x14ac:dyDescent="0.2">
      <c r="A18162" t="s">
        <v>29909</v>
      </c>
      <c r="B18162" t="s">
        <v>686</v>
      </c>
      <c r="C18162" t="s">
        <v>244</v>
      </c>
      <c r="D18162" t="s">
        <v>80</v>
      </c>
      <c r="E18162" t="s">
        <v>246</v>
      </c>
      <c r="F18162" s="2" t="str">
        <f>HYPERLINK("http://www.otzar.org/book.asp?606744","יקר וגדולה")</f>
        <v>יקר וגדולה</v>
      </c>
    </row>
    <row r="18163" spans="1:6" x14ac:dyDescent="0.2">
      <c r="A18163" t="s">
        <v>29910</v>
      </c>
      <c r="B18163" t="s">
        <v>5297</v>
      </c>
      <c r="C18163" t="s">
        <v>20</v>
      </c>
      <c r="D18163" t="s">
        <v>52</v>
      </c>
      <c r="E18163" t="s">
        <v>213</v>
      </c>
      <c r="F18163" s="2" t="str">
        <f>HYPERLINK("http://www.otzar.org/book.asp?629397","יקר חכמים")</f>
        <v>יקר חכמים</v>
      </c>
    </row>
    <row r="18164" spans="1:6" x14ac:dyDescent="0.2">
      <c r="A18164" t="s">
        <v>29911</v>
      </c>
      <c r="B18164" t="s">
        <v>29912</v>
      </c>
      <c r="C18164" t="s">
        <v>13</v>
      </c>
      <c r="D18164" t="s">
        <v>486</v>
      </c>
      <c r="E18164" t="s">
        <v>234</v>
      </c>
      <c r="F18164" s="2" t="str">
        <f>HYPERLINK("http://www.otzar.org/book.asp?193074","יקר טוטפתא")</f>
        <v>יקר טוטפתא</v>
      </c>
    </row>
    <row r="18165" spans="1:6" x14ac:dyDescent="0.2">
      <c r="A18165" t="s">
        <v>29913</v>
      </c>
      <c r="B18165" t="s">
        <v>4049</v>
      </c>
      <c r="C18165" t="s">
        <v>103</v>
      </c>
      <c r="D18165" t="s">
        <v>412</v>
      </c>
      <c r="E18165" t="s">
        <v>158</v>
      </c>
      <c r="F18165" s="2" t="str">
        <f>HYPERLINK("http://www.otzar.org/book.asp?161126","יקר מפז - 3 כר'")</f>
        <v>יקר מפז - 3 כר'</v>
      </c>
    </row>
    <row r="18166" spans="1:6" x14ac:dyDescent="0.2">
      <c r="A18166" t="s">
        <v>29914</v>
      </c>
      <c r="B18166" t="s">
        <v>29915</v>
      </c>
      <c r="C18166" t="s">
        <v>619</v>
      </c>
      <c r="D18166" t="s">
        <v>283</v>
      </c>
      <c r="E18166" t="s">
        <v>29916</v>
      </c>
      <c r="F18166" s="2" t="str">
        <f>HYPERLINK("http://www.otzar.org/book.asp?5144","יקר מפז")</f>
        <v>יקר מפז</v>
      </c>
    </row>
    <row r="18167" spans="1:6" x14ac:dyDescent="0.2">
      <c r="A18167" t="s">
        <v>29917</v>
      </c>
      <c r="B18167" t="s">
        <v>29918</v>
      </c>
      <c r="C18167" t="s">
        <v>1718</v>
      </c>
      <c r="D18167" t="s">
        <v>2718</v>
      </c>
      <c r="E18167" t="s">
        <v>234</v>
      </c>
      <c r="F18167" s="2" t="str">
        <f>HYPERLINK("http://www.otzar.org/book.asp?192285","יקר משה")</f>
        <v>יקר משה</v>
      </c>
    </row>
    <row r="18168" spans="1:6" x14ac:dyDescent="0.2">
      <c r="A18168" t="s">
        <v>29919</v>
      </c>
      <c r="B18168" t="s">
        <v>29920</v>
      </c>
      <c r="C18168" t="s">
        <v>20</v>
      </c>
      <c r="D18168" t="s">
        <v>90</v>
      </c>
      <c r="E18168" t="s">
        <v>202</v>
      </c>
      <c r="F18168" s="2" t="str">
        <f>HYPERLINK("http://www.otzar.org/book.asp?616016","יקר תפארת גדולתו")</f>
        <v>יקר תפארת גדולתו</v>
      </c>
    </row>
    <row r="18169" spans="1:6" x14ac:dyDescent="0.2">
      <c r="A18169" t="s">
        <v>29921</v>
      </c>
      <c r="B18169" t="s">
        <v>29922</v>
      </c>
      <c r="C18169" t="s">
        <v>366</v>
      </c>
      <c r="D18169" t="s">
        <v>14</v>
      </c>
      <c r="F18169" s="2" t="str">
        <f>HYPERLINK("http://www.otzar.org/book.asp?609525","יקר תפארת - יבמות")</f>
        <v>יקר תפארת - יבמות</v>
      </c>
    </row>
    <row r="18170" spans="1:6" x14ac:dyDescent="0.2">
      <c r="A18170" t="s">
        <v>29923</v>
      </c>
      <c r="B18170" t="s">
        <v>29924</v>
      </c>
      <c r="C18170" t="s">
        <v>23</v>
      </c>
      <c r="D18170" t="s">
        <v>14</v>
      </c>
      <c r="E18170" t="s">
        <v>158</v>
      </c>
      <c r="F18170" s="2" t="str">
        <f>HYPERLINK("http://www.otzar.org/book.asp?182981","יקר תפארת - 7 כר'")</f>
        <v>יקר תפארת - 7 כר'</v>
      </c>
    </row>
    <row r="18171" spans="1:6" x14ac:dyDescent="0.2">
      <c r="A18171" t="s">
        <v>29925</v>
      </c>
      <c r="B18171" t="s">
        <v>29926</v>
      </c>
      <c r="C18171" t="s">
        <v>20</v>
      </c>
      <c r="D18171" t="s">
        <v>152</v>
      </c>
      <c r="E18171" t="s">
        <v>186</v>
      </c>
      <c r="F18171" s="2" t="str">
        <f>HYPERLINK("http://www.otzar.org/book.asp?628691","יקרא דאורייתא - גיטין")</f>
        <v>יקרא דאורייתא - גיטין</v>
      </c>
    </row>
    <row r="18172" spans="1:6" x14ac:dyDescent="0.2">
      <c r="A18172" t="s">
        <v>29927</v>
      </c>
      <c r="B18172" t="s">
        <v>2948</v>
      </c>
      <c r="C18172" t="s">
        <v>17</v>
      </c>
      <c r="D18172" t="s">
        <v>14</v>
      </c>
      <c r="E18172" t="s">
        <v>18910</v>
      </c>
      <c r="F18172" s="2" t="str">
        <f>HYPERLINK("http://www.otzar.org/book.asp?105244","יקרא דאורייתא")</f>
        <v>יקרא דאורייתא</v>
      </c>
    </row>
    <row r="18173" spans="1:6" x14ac:dyDescent="0.2">
      <c r="A18173" t="s">
        <v>29928</v>
      </c>
      <c r="B18173" t="s">
        <v>29929</v>
      </c>
      <c r="C18173" t="s">
        <v>129</v>
      </c>
      <c r="D18173" t="s">
        <v>52</v>
      </c>
      <c r="E18173" t="s">
        <v>158</v>
      </c>
      <c r="F18173" s="2" t="str">
        <f>HYPERLINK("http://www.otzar.org/book.asp?52803","יקרא דאורייתא - 9 כר'")</f>
        <v>יקרא דאורייתא - 9 כר'</v>
      </c>
    </row>
    <row r="18174" spans="1:6" x14ac:dyDescent="0.2">
      <c r="A18174" t="s">
        <v>29927</v>
      </c>
      <c r="B18174" t="s">
        <v>29930</v>
      </c>
      <c r="C18174" t="s">
        <v>748</v>
      </c>
      <c r="D18174" t="s">
        <v>267</v>
      </c>
      <c r="F18174" s="2" t="str">
        <f>HYPERLINK("http://www.otzar.org/book.asp?149688","יקרא דאורייתא")</f>
        <v>יקרא דאורייתא</v>
      </c>
    </row>
    <row r="18175" spans="1:6" x14ac:dyDescent="0.2">
      <c r="A18175" t="s">
        <v>29927</v>
      </c>
      <c r="B18175" t="s">
        <v>2820</v>
      </c>
      <c r="C18175" t="s">
        <v>523</v>
      </c>
      <c r="D18175" t="s">
        <v>14</v>
      </c>
      <c r="E18175" t="s">
        <v>213</v>
      </c>
      <c r="F18175" s="2" t="str">
        <f>HYPERLINK("http://www.otzar.org/book.asp?103226","יקרא דאורייתא")</f>
        <v>יקרא דאורייתא</v>
      </c>
    </row>
    <row r="18176" spans="1:6" x14ac:dyDescent="0.2">
      <c r="A18176" t="s">
        <v>29931</v>
      </c>
      <c r="B18176" t="s">
        <v>6686</v>
      </c>
      <c r="C18176" t="s">
        <v>492</v>
      </c>
      <c r="D18176" t="s">
        <v>1279</v>
      </c>
      <c r="E18176" t="s">
        <v>234</v>
      </c>
      <c r="F18176" s="2" t="str">
        <f>HYPERLINK("http://www.otzar.org/book.asp?167597","יקרא דחי'")</f>
        <v>יקרא דחי'</v>
      </c>
    </row>
    <row r="18177" spans="1:6" x14ac:dyDescent="0.2">
      <c r="A18177" t="s">
        <v>29932</v>
      </c>
      <c r="B18177" t="s">
        <v>1557</v>
      </c>
      <c r="C18177" t="s">
        <v>244</v>
      </c>
      <c r="D18177" t="s">
        <v>152</v>
      </c>
      <c r="F18177" s="2" t="str">
        <f>HYPERLINK("http://www.otzar.org/book.asp?610315","יקרא דחיי ודשכבי")</f>
        <v>יקרא דחיי ודשכבי</v>
      </c>
    </row>
    <row r="18178" spans="1:6" x14ac:dyDescent="0.2">
      <c r="A18178" t="s">
        <v>29933</v>
      </c>
      <c r="B18178" t="s">
        <v>29934</v>
      </c>
      <c r="C18178" t="s">
        <v>129</v>
      </c>
      <c r="D18178" t="s">
        <v>52</v>
      </c>
      <c r="E18178" t="s">
        <v>15</v>
      </c>
      <c r="F18178" s="2" t="str">
        <f>HYPERLINK("http://www.otzar.org/book.asp?621469","יקרא דחיי - 2 כר'")</f>
        <v>יקרא דחיי - 2 כר'</v>
      </c>
    </row>
    <row r="18179" spans="1:6" x14ac:dyDescent="0.2">
      <c r="A18179" t="s">
        <v>29933</v>
      </c>
      <c r="B18179" t="s">
        <v>914</v>
      </c>
      <c r="C18179" t="s">
        <v>2465</v>
      </c>
      <c r="D18179" t="s">
        <v>7163</v>
      </c>
      <c r="E18179" t="s">
        <v>2391</v>
      </c>
      <c r="F18179" s="2" t="str">
        <f>HYPERLINK("http://www.otzar.org/book.asp?140992","יקרא דחיי - 2 כר'")</f>
        <v>יקרא דחיי - 2 כר'</v>
      </c>
    </row>
    <row r="18180" spans="1:6" x14ac:dyDescent="0.2">
      <c r="A18180" t="s">
        <v>29935</v>
      </c>
      <c r="B18180" t="s">
        <v>294</v>
      </c>
      <c r="C18180" t="s">
        <v>237</v>
      </c>
      <c r="D18180" t="s">
        <v>1188</v>
      </c>
      <c r="E18180" t="s">
        <v>29936</v>
      </c>
      <c r="F18180" s="2" t="str">
        <f>HYPERLINK("http://www.otzar.org/book.asp?16896","יקרא דחיי")</f>
        <v>יקרא דחיי</v>
      </c>
    </row>
    <row r="18181" spans="1:6" x14ac:dyDescent="0.2">
      <c r="A18181" t="s">
        <v>29935</v>
      </c>
      <c r="B18181" t="s">
        <v>3109</v>
      </c>
      <c r="C18181" t="s">
        <v>609</v>
      </c>
      <c r="D18181" t="s">
        <v>29937</v>
      </c>
      <c r="E18181" t="s">
        <v>733</v>
      </c>
      <c r="F18181" s="2" t="str">
        <f>HYPERLINK("http://www.otzar.org/book.asp?140975","יקרא דחיי")</f>
        <v>יקרא דחיי</v>
      </c>
    </row>
    <row r="18182" spans="1:6" x14ac:dyDescent="0.2">
      <c r="A18182" t="s">
        <v>29938</v>
      </c>
      <c r="B18182" t="s">
        <v>578</v>
      </c>
      <c r="C18182" t="s">
        <v>576</v>
      </c>
      <c r="D18182" t="s">
        <v>8316</v>
      </c>
      <c r="E18182" t="s">
        <v>234</v>
      </c>
      <c r="F18182" s="2" t="str">
        <f>HYPERLINK("http://www.otzar.org/book.asp?12067","יקרא דחיי""ם")</f>
        <v>יקרא דחיי"ם</v>
      </c>
    </row>
    <row r="18183" spans="1:6" x14ac:dyDescent="0.2">
      <c r="A18183" t="s">
        <v>29939</v>
      </c>
      <c r="B18183" t="s">
        <v>29940</v>
      </c>
      <c r="C18183" t="s">
        <v>313</v>
      </c>
      <c r="D18183" t="s">
        <v>14</v>
      </c>
      <c r="E18183" t="s">
        <v>15</v>
      </c>
      <c r="F18183" s="2" t="str">
        <f>HYPERLINK("http://www.otzar.org/book.asp?618757","יקרא דחיי - ביקור חולים, אבילות")</f>
        <v>יקרא דחיי - ביקור חולים, אבילות</v>
      </c>
    </row>
    <row r="18184" spans="1:6" x14ac:dyDescent="0.2">
      <c r="A18184" t="s">
        <v>29941</v>
      </c>
      <c r="B18184" t="s">
        <v>29942</v>
      </c>
      <c r="C18184" t="s">
        <v>12351</v>
      </c>
      <c r="D18184" t="s">
        <v>76</v>
      </c>
      <c r="E18184" t="s">
        <v>5186</v>
      </c>
      <c r="F18184" s="2" t="str">
        <f>HYPERLINK("http://www.otzar.org/book.asp?165166","יקרא דחיים")</f>
        <v>יקרא דחיים</v>
      </c>
    </row>
    <row r="18185" spans="1:6" x14ac:dyDescent="0.2">
      <c r="A18185" t="s">
        <v>29941</v>
      </c>
      <c r="B18185" t="s">
        <v>29943</v>
      </c>
      <c r="C18185" t="s">
        <v>767</v>
      </c>
      <c r="D18185" t="s">
        <v>412</v>
      </c>
      <c r="E18185" t="s">
        <v>202</v>
      </c>
      <c r="F18185" s="2" t="str">
        <f>HYPERLINK("http://www.otzar.org/book.asp?625371","יקרא דחיים")</f>
        <v>יקרא דחיים</v>
      </c>
    </row>
    <row r="18186" spans="1:6" x14ac:dyDescent="0.2">
      <c r="A18186" t="s">
        <v>29944</v>
      </c>
      <c r="B18186" t="s">
        <v>29945</v>
      </c>
      <c r="C18186" t="s">
        <v>767</v>
      </c>
      <c r="D18186" t="s">
        <v>14</v>
      </c>
      <c r="E18186" t="s">
        <v>158</v>
      </c>
      <c r="F18186" s="2" t="str">
        <f>HYPERLINK("http://www.otzar.org/book.asp?26417","יקרא דמלכא - 5 כר'")</f>
        <v>יקרא דמלכא - 5 כר'</v>
      </c>
    </row>
    <row r="18187" spans="1:6" x14ac:dyDescent="0.2">
      <c r="A18187" t="s">
        <v>29946</v>
      </c>
      <c r="B18187" t="s">
        <v>29947</v>
      </c>
      <c r="C18187" t="s">
        <v>111</v>
      </c>
      <c r="D18187" t="s">
        <v>852</v>
      </c>
      <c r="E18187" t="s">
        <v>674</v>
      </c>
      <c r="F18187" s="2" t="str">
        <f>HYPERLINK("http://www.otzar.org/book.asp?627090","יקרא דצבורא")</f>
        <v>יקרא דצבורא</v>
      </c>
    </row>
    <row r="18188" spans="1:6" x14ac:dyDescent="0.2">
      <c r="A18188" t="s">
        <v>29948</v>
      </c>
      <c r="B18188" t="s">
        <v>29949</v>
      </c>
      <c r="C18188" t="s">
        <v>133</v>
      </c>
      <c r="D18188" t="s">
        <v>152</v>
      </c>
      <c r="E18188" t="s">
        <v>15</v>
      </c>
      <c r="F18188" s="2" t="str">
        <f>HYPERLINK("http://www.otzar.org/book.asp?622305","יקרא דשבתא - 2 כר'")</f>
        <v>יקרא דשבתא - 2 כר'</v>
      </c>
    </row>
    <row r="18189" spans="1:6" x14ac:dyDescent="0.2">
      <c r="A18189" t="s">
        <v>29950</v>
      </c>
      <c r="B18189" t="s">
        <v>16506</v>
      </c>
      <c r="C18189" t="s">
        <v>1570</v>
      </c>
      <c r="D18189" t="s">
        <v>14</v>
      </c>
      <c r="E18189" t="s">
        <v>8385</v>
      </c>
      <c r="F18189" s="2" t="str">
        <f>HYPERLINK("http://www.otzar.org/book.asp?154481","יקרא דשבתא - קדושת שבת")</f>
        <v>יקרא דשבתא - קדושת שבת</v>
      </c>
    </row>
    <row r="18190" spans="1:6" x14ac:dyDescent="0.2">
      <c r="A18190" t="s">
        <v>29951</v>
      </c>
      <c r="B18190" t="s">
        <v>9924</v>
      </c>
      <c r="C18190" t="s">
        <v>6895</v>
      </c>
      <c r="D18190" t="s">
        <v>76</v>
      </c>
      <c r="E18190" t="s">
        <v>29952</v>
      </c>
      <c r="F18190" s="2" t="str">
        <f>HYPERLINK("http://www.otzar.org/book.asp?15912","יקרא דשכבי")</f>
        <v>יקרא דשכבי</v>
      </c>
    </row>
    <row r="18191" spans="1:6" x14ac:dyDescent="0.2">
      <c r="A18191" t="s">
        <v>29953</v>
      </c>
      <c r="B18191" t="s">
        <v>29954</v>
      </c>
      <c r="C18191" t="s">
        <v>51</v>
      </c>
      <c r="D18191" t="s">
        <v>21</v>
      </c>
      <c r="E18191" t="s">
        <v>202</v>
      </c>
      <c r="F18191" s="2" t="str">
        <f>HYPERLINK("http://www.otzar.org/book.asp?191391","יקרא דשכביה")</f>
        <v>יקרא דשכביה</v>
      </c>
    </row>
    <row r="18192" spans="1:6" x14ac:dyDescent="0.2">
      <c r="A18192" t="s">
        <v>29955</v>
      </c>
      <c r="B18192" t="s">
        <v>4900</v>
      </c>
      <c r="C18192" t="s">
        <v>20</v>
      </c>
      <c r="D18192" t="s">
        <v>4901</v>
      </c>
      <c r="E18192" t="s">
        <v>144</v>
      </c>
      <c r="F18192" s="2" t="str">
        <f>HYPERLINK("http://www.otzar.org/book.asp?103953","יקרה דחיה")</f>
        <v>יקרה דחיה</v>
      </c>
    </row>
    <row r="18193" spans="1:6" x14ac:dyDescent="0.2">
      <c r="A18193" t="s">
        <v>29956</v>
      </c>
      <c r="B18193" t="s">
        <v>29957</v>
      </c>
      <c r="C18193" t="s">
        <v>151</v>
      </c>
      <c r="D18193" t="s">
        <v>1646</v>
      </c>
      <c r="E18193" t="s">
        <v>158</v>
      </c>
      <c r="F18193" s="2" t="str">
        <f>HYPERLINK("http://www.otzar.org/book.asp?630045","יקרה היא מפנינים")</f>
        <v>יקרה היא מפנינים</v>
      </c>
    </row>
    <row r="18194" spans="1:6" x14ac:dyDescent="0.2">
      <c r="A18194" t="s">
        <v>29958</v>
      </c>
      <c r="B18194" t="s">
        <v>29959</v>
      </c>
      <c r="C18194" t="s">
        <v>624</v>
      </c>
      <c r="D18194" t="s">
        <v>134</v>
      </c>
      <c r="E18194" t="s">
        <v>241</v>
      </c>
      <c r="F18194" s="2" t="str">
        <f>HYPERLINK("http://www.otzar.org/book.asp?28896","יקרה מפנינים")</f>
        <v>יקרה מפנינים</v>
      </c>
    </row>
    <row r="18195" spans="1:6" x14ac:dyDescent="0.2">
      <c r="A18195" t="s">
        <v>29960</v>
      </c>
      <c r="B18195" t="s">
        <v>29961</v>
      </c>
      <c r="C18195" t="s">
        <v>51</v>
      </c>
      <c r="D18195" t="s">
        <v>52</v>
      </c>
      <c r="E18195" t="s">
        <v>230</v>
      </c>
      <c r="F18195" s="2" t="str">
        <f>HYPERLINK("http://www.otzar.org/book.asp?148079","יקרה מפנינים - 3 כר'")</f>
        <v>יקרה מפנינים - 3 כר'</v>
      </c>
    </row>
    <row r="18196" spans="1:6" x14ac:dyDescent="0.2">
      <c r="A18196" t="s">
        <v>29958</v>
      </c>
      <c r="B18196" t="s">
        <v>29962</v>
      </c>
      <c r="C18196" t="s">
        <v>146</v>
      </c>
      <c r="D18196" t="s">
        <v>486</v>
      </c>
      <c r="E18196" t="s">
        <v>508</v>
      </c>
      <c r="F18196" s="2" t="str">
        <f>HYPERLINK("http://www.otzar.org/book.asp?143436","יקרה מפנינים")</f>
        <v>יקרה מפנינים</v>
      </c>
    </row>
    <row r="18197" spans="1:6" x14ac:dyDescent="0.2">
      <c r="A18197" t="s">
        <v>29963</v>
      </c>
      <c r="B18197" t="s">
        <v>29964</v>
      </c>
      <c r="C18197" t="s">
        <v>151</v>
      </c>
      <c r="D18197" t="s">
        <v>52</v>
      </c>
      <c r="E18197" t="s">
        <v>158</v>
      </c>
      <c r="F18197" s="2" t="str">
        <f>HYPERLINK("http://www.otzar.org/book.asp?615611","יראו וישמחו - 3 כר'")</f>
        <v>יראו וישמחו - 3 כר'</v>
      </c>
    </row>
    <row r="18198" spans="1:6" x14ac:dyDescent="0.2">
      <c r="A18198" t="s">
        <v>29965</v>
      </c>
      <c r="B18198" t="s">
        <v>29966</v>
      </c>
      <c r="C18198" t="s">
        <v>411</v>
      </c>
      <c r="D18198" t="s">
        <v>14</v>
      </c>
      <c r="E18198" t="s">
        <v>15</v>
      </c>
      <c r="F18198" s="2" t="str">
        <f>HYPERLINK("http://www.otzar.org/book.asp?174285","יראו עינינו")</f>
        <v>יראו עינינו</v>
      </c>
    </row>
    <row r="18199" spans="1:6" x14ac:dyDescent="0.2">
      <c r="A18199" t="s">
        <v>29967</v>
      </c>
      <c r="B18199" t="s">
        <v>7887</v>
      </c>
      <c r="C18199" t="s">
        <v>244</v>
      </c>
      <c r="D18199" t="s">
        <v>7888</v>
      </c>
      <c r="E18199" t="s">
        <v>241</v>
      </c>
      <c r="F18199" s="2" t="str">
        <f>HYPERLINK("http://www.otzar.org/book.asp?603851","יראו עיננו")</f>
        <v>יראו עיננו</v>
      </c>
    </row>
    <row r="18200" spans="1:6" x14ac:dyDescent="0.2">
      <c r="A18200" t="s">
        <v>29968</v>
      </c>
      <c r="B18200" t="s">
        <v>29969</v>
      </c>
      <c r="C18200" t="s">
        <v>114</v>
      </c>
      <c r="D18200" t="s">
        <v>14</v>
      </c>
      <c r="E18200" t="s">
        <v>399</v>
      </c>
      <c r="F18200" s="2" t="str">
        <f>HYPERLINK("http://www.otzar.org/book.asp?173309","יראוך עם שמ""ש")</f>
        <v>יראוך עם שמ"ש</v>
      </c>
    </row>
    <row r="18201" spans="1:6" x14ac:dyDescent="0.2">
      <c r="A18201" t="s">
        <v>29970</v>
      </c>
      <c r="B18201" t="s">
        <v>1465</v>
      </c>
      <c r="C18201" t="s">
        <v>29971</v>
      </c>
      <c r="D18201" t="s">
        <v>29972</v>
      </c>
      <c r="E18201" t="s">
        <v>241</v>
      </c>
      <c r="F18201" s="2" t="str">
        <f>HYPERLINK("http://www.otzar.org/book.asp?614607","יראת ה' לחיים")</f>
        <v>יראת ה' לחיים</v>
      </c>
    </row>
    <row r="18202" spans="1:6" x14ac:dyDescent="0.2">
      <c r="A18202" t="s">
        <v>29973</v>
      </c>
      <c r="B18202" t="s">
        <v>29974</v>
      </c>
      <c r="C18202" t="s">
        <v>37</v>
      </c>
      <c r="D18202" t="s">
        <v>52</v>
      </c>
      <c r="F18202" s="2" t="str">
        <f>HYPERLINK("http://www.otzar.org/book.asp?182049","יראת ההוראה")</f>
        <v>יראת ההוראה</v>
      </c>
    </row>
    <row r="18203" spans="1:6" x14ac:dyDescent="0.2">
      <c r="A18203" t="s">
        <v>29975</v>
      </c>
      <c r="B18203" t="s">
        <v>29976</v>
      </c>
      <c r="C18203" t="s">
        <v>87</v>
      </c>
      <c r="D18203" t="s">
        <v>14</v>
      </c>
      <c r="E18203" t="s">
        <v>2071</v>
      </c>
      <c r="F18203" s="2" t="str">
        <f>HYPERLINK("http://www.otzar.org/book.asp?173044","יראת השם")</f>
        <v>יראת השם</v>
      </c>
    </row>
    <row r="18204" spans="1:6" x14ac:dyDescent="0.2">
      <c r="A18204" t="s">
        <v>29977</v>
      </c>
      <c r="B18204" t="s">
        <v>29978</v>
      </c>
      <c r="C18204" t="s">
        <v>5169</v>
      </c>
      <c r="D18204" t="s">
        <v>8592</v>
      </c>
      <c r="E18204" t="s">
        <v>29979</v>
      </c>
      <c r="F18204" s="2" t="str">
        <f>HYPERLINK("http://www.otzar.org/book.asp?101276","יראת שמים")</f>
        <v>יראת שמים</v>
      </c>
    </row>
    <row r="18205" spans="1:6" x14ac:dyDescent="0.2">
      <c r="A18205" t="s">
        <v>29980</v>
      </c>
      <c r="B18205" t="s">
        <v>29981</v>
      </c>
      <c r="C18205" t="s">
        <v>23</v>
      </c>
      <c r="D18205" t="s">
        <v>52</v>
      </c>
      <c r="E18205" t="s">
        <v>15</v>
      </c>
      <c r="F18205" s="2" t="str">
        <f>HYPERLINK("http://www.otzar.org/book.asp?190697","ירון ושמח - תוכחה וחינוך קטן")</f>
        <v>ירון ושמח - תוכחה וחינוך קטן</v>
      </c>
    </row>
    <row r="18206" spans="1:6" x14ac:dyDescent="0.2">
      <c r="A18206" t="s">
        <v>29982</v>
      </c>
      <c r="B18206" t="s">
        <v>29983</v>
      </c>
      <c r="C18206" t="s">
        <v>20</v>
      </c>
      <c r="D18206" t="s">
        <v>3939</v>
      </c>
      <c r="E18206" t="s">
        <v>12089</v>
      </c>
      <c r="F18206" s="2" t="str">
        <f>HYPERLINK("http://www.otzar.org/book.asp?190765","ירון ישראל")</f>
        <v>ירון ישראל</v>
      </c>
    </row>
    <row r="18207" spans="1:6" x14ac:dyDescent="0.2">
      <c r="A18207" t="s">
        <v>29984</v>
      </c>
      <c r="B18207" t="s">
        <v>22868</v>
      </c>
      <c r="C18207" t="s">
        <v>20</v>
      </c>
      <c r="D18207" t="s">
        <v>14</v>
      </c>
      <c r="E18207" t="s">
        <v>837</v>
      </c>
      <c r="F18207" s="2" t="str">
        <f>HYPERLINK("http://www.otzar.org/book.asp?8614","ירוץ דברו")</f>
        <v>ירוץ דברו</v>
      </c>
    </row>
    <row r="18208" spans="1:6" x14ac:dyDescent="0.2">
      <c r="A18208" t="s">
        <v>29985</v>
      </c>
      <c r="B18208" t="s">
        <v>6845</v>
      </c>
      <c r="C18208" t="s">
        <v>111</v>
      </c>
      <c r="D18208" t="s">
        <v>852</v>
      </c>
      <c r="E18208" t="s">
        <v>10</v>
      </c>
      <c r="F18208" s="2" t="str">
        <f>HYPERLINK("http://www.otzar.org/book.asp?624671","ירוץ דברו - 2 כר'")</f>
        <v>ירוץ דברו - 2 כר'</v>
      </c>
    </row>
    <row r="18209" spans="1:6" x14ac:dyDescent="0.2">
      <c r="A18209" t="s">
        <v>29986</v>
      </c>
      <c r="B18209" t="s">
        <v>10968</v>
      </c>
      <c r="C18209" t="s">
        <v>20</v>
      </c>
      <c r="D18209" t="s">
        <v>52</v>
      </c>
      <c r="E18209" t="s">
        <v>15</v>
      </c>
      <c r="F18209" s="2" t="str">
        <f>HYPERLINK("http://www.otzar.org/book.asp?165790","ירושה וחזקה בשררה")</f>
        <v>ירושה וחזקה בשררה</v>
      </c>
    </row>
    <row r="18210" spans="1:6" x14ac:dyDescent="0.2">
      <c r="A18210" t="s">
        <v>29987</v>
      </c>
      <c r="B18210" t="s">
        <v>29988</v>
      </c>
      <c r="C18210" t="s">
        <v>356</v>
      </c>
      <c r="D18210" t="s">
        <v>14</v>
      </c>
      <c r="E18210" t="s">
        <v>733</v>
      </c>
      <c r="F18210" s="2" t="str">
        <f>HYPERLINK("http://www.otzar.org/book.asp?15522","ירושלים בין החומות &lt;מגילת יוחסין&gt;")</f>
        <v>ירושלים בין החומות &lt;מגילת יוחסין&gt;</v>
      </c>
    </row>
    <row r="18211" spans="1:6" x14ac:dyDescent="0.2">
      <c r="A18211" t="s">
        <v>29989</v>
      </c>
      <c r="B18211" t="s">
        <v>9598</v>
      </c>
      <c r="C18211" t="s">
        <v>129</v>
      </c>
      <c r="D18211" t="s">
        <v>14</v>
      </c>
      <c r="E18211" t="s">
        <v>29990</v>
      </c>
      <c r="F18211" s="2" t="str">
        <f>HYPERLINK("http://www.otzar.org/book.asp?60317","ירושלים במועדיה - 8 כר'")</f>
        <v>ירושלים במועדיה - 8 כר'</v>
      </c>
    </row>
    <row r="18212" spans="1:6" x14ac:dyDescent="0.2">
      <c r="A18212" t="s">
        <v>29991</v>
      </c>
      <c r="B18212" t="s">
        <v>7771</v>
      </c>
      <c r="C18212" t="s">
        <v>180</v>
      </c>
      <c r="D18212" t="s">
        <v>14</v>
      </c>
      <c r="E18212" t="s">
        <v>104</v>
      </c>
      <c r="F18212" s="2" t="str">
        <f>HYPERLINK("http://www.otzar.org/book.asp?144560","ירושלים בספרותנו")</f>
        <v>ירושלים בספרותנו</v>
      </c>
    </row>
    <row r="18213" spans="1:6" x14ac:dyDescent="0.2">
      <c r="A18213" t="s">
        <v>29992</v>
      </c>
      <c r="B18213" t="s">
        <v>29993</v>
      </c>
      <c r="C18213" t="s">
        <v>989</v>
      </c>
      <c r="D18213" t="s">
        <v>14</v>
      </c>
      <c r="E18213" t="s">
        <v>733</v>
      </c>
      <c r="F18213" s="2" t="str">
        <f>HYPERLINK("http://www.otzar.org/book.asp?15548","ירושלים בעיני רואיה")</f>
        <v>ירושלים בעיני רואיה</v>
      </c>
    </row>
    <row r="18214" spans="1:6" x14ac:dyDescent="0.2">
      <c r="A18214" t="s">
        <v>29994</v>
      </c>
      <c r="B18214" t="s">
        <v>29995</v>
      </c>
      <c r="C18214" t="s">
        <v>445</v>
      </c>
      <c r="D18214" t="s">
        <v>2181</v>
      </c>
      <c r="E18214" t="s">
        <v>29996</v>
      </c>
      <c r="F18214" s="2" t="str">
        <f>HYPERLINK("http://www.otzar.org/book.asp?13544","ירושלים דדהבא")</f>
        <v>ירושלים דדהבא</v>
      </c>
    </row>
    <row r="18215" spans="1:6" x14ac:dyDescent="0.2">
      <c r="A18215" t="s">
        <v>29997</v>
      </c>
      <c r="B18215" t="s">
        <v>8498</v>
      </c>
      <c r="C18215" t="s">
        <v>581</v>
      </c>
      <c r="D18215" t="s">
        <v>9</v>
      </c>
      <c r="E18215" t="s">
        <v>234</v>
      </c>
      <c r="F18215" s="2" t="str">
        <f>HYPERLINK("http://www.otzar.org/book.asp?52157","ירושלים הבנויה")</f>
        <v>ירושלים הבנויה</v>
      </c>
    </row>
    <row r="18216" spans="1:6" x14ac:dyDescent="0.2">
      <c r="A18216" t="s">
        <v>29997</v>
      </c>
      <c r="B18216" t="s">
        <v>7075</v>
      </c>
      <c r="C18216" t="s">
        <v>1284</v>
      </c>
      <c r="D18216" t="s">
        <v>27</v>
      </c>
      <c r="E18216" t="s">
        <v>1097</v>
      </c>
      <c r="F18216" s="2" t="str">
        <f>HYPERLINK("http://www.otzar.org/book.asp?189472","ירושלים הבנויה")</f>
        <v>ירושלים הבנויה</v>
      </c>
    </row>
    <row r="18217" spans="1:6" x14ac:dyDescent="0.2">
      <c r="A18217" t="s">
        <v>29997</v>
      </c>
      <c r="B18217" t="s">
        <v>29998</v>
      </c>
      <c r="C18217" t="s">
        <v>156</v>
      </c>
      <c r="D18217" t="s">
        <v>1117</v>
      </c>
      <c r="E18217" t="s">
        <v>27439</v>
      </c>
      <c r="F18217" s="2" t="str">
        <f>HYPERLINK("http://www.otzar.org/book.asp?104882","ירושלים הבנויה")</f>
        <v>ירושלים הבנויה</v>
      </c>
    </row>
    <row r="18218" spans="1:6" x14ac:dyDescent="0.2">
      <c r="A18218" t="s">
        <v>29997</v>
      </c>
      <c r="B18218" t="s">
        <v>29997</v>
      </c>
      <c r="C18218" t="s">
        <v>5163</v>
      </c>
      <c r="D18218" t="s">
        <v>60</v>
      </c>
      <c r="E18218" t="s">
        <v>517</v>
      </c>
      <c r="F18218" s="2" t="str">
        <f>HYPERLINK("http://www.otzar.org/book.asp?16806","ירושלים הבנויה")</f>
        <v>ירושלים הבנויה</v>
      </c>
    </row>
    <row r="18219" spans="1:6" x14ac:dyDescent="0.2">
      <c r="A18219" t="s">
        <v>29999</v>
      </c>
      <c r="B18219" t="s">
        <v>30000</v>
      </c>
      <c r="C18219" t="s">
        <v>244</v>
      </c>
      <c r="D18219" t="s">
        <v>14</v>
      </c>
      <c r="F18219" s="2" t="str">
        <f>HYPERLINK("http://www.otzar.org/book.asp?198164","ירושלים העיר שחוברה")</f>
        <v>ירושלים העיר שחוברה</v>
      </c>
    </row>
    <row r="18220" spans="1:6" x14ac:dyDescent="0.2">
      <c r="A18220" t="s">
        <v>30001</v>
      </c>
      <c r="B18220" t="s">
        <v>30002</v>
      </c>
      <c r="C18220" t="s">
        <v>1609</v>
      </c>
      <c r="D18220" t="s">
        <v>27</v>
      </c>
      <c r="E18220" t="s">
        <v>30003</v>
      </c>
      <c r="F18220" s="2" t="str">
        <f>HYPERLINK("http://www.otzar.org/book.asp?573","ירושלים העתיקה")</f>
        <v>ירושלים העתיקה</v>
      </c>
    </row>
    <row r="18221" spans="1:6" x14ac:dyDescent="0.2">
      <c r="A18221" t="s">
        <v>30004</v>
      </c>
      <c r="B18221" t="s">
        <v>3286</v>
      </c>
      <c r="C18221" t="s">
        <v>30005</v>
      </c>
      <c r="D18221" t="s">
        <v>52</v>
      </c>
      <c r="E18221" t="s">
        <v>17488</v>
      </c>
      <c r="F18221" s="2" t="str">
        <f>HYPERLINK("http://www.otzar.org/book.asp?13104","ירושלים הרים סביב לה")</f>
        <v>ירושלים הרים סביב לה</v>
      </c>
    </row>
    <row r="18222" spans="1:6" x14ac:dyDescent="0.2">
      <c r="A18222" t="s">
        <v>30006</v>
      </c>
      <c r="B18222" t="s">
        <v>21119</v>
      </c>
      <c r="C18222" t="s">
        <v>20</v>
      </c>
      <c r="D18222" t="s">
        <v>14</v>
      </c>
      <c r="E18222" t="s">
        <v>733</v>
      </c>
      <c r="F18222" s="2" t="str">
        <f>HYPERLINK("http://www.otzar.org/book.asp?14877","ירושלים חומות העיר")</f>
        <v>ירושלים חומות העיר</v>
      </c>
    </row>
    <row r="18223" spans="1:6" x14ac:dyDescent="0.2">
      <c r="A18223" t="s">
        <v>30007</v>
      </c>
      <c r="B18223" t="s">
        <v>1750</v>
      </c>
      <c r="C18223" t="s">
        <v>356</v>
      </c>
      <c r="D18223" t="s">
        <v>14</v>
      </c>
      <c r="E18223" t="s">
        <v>13834</v>
      </c>
      <c r="F18223" s="2" t="str">
        <f>HYPERLINK("http://www.otzar.org/book.asp?14835","ירושלים עיר הקודש והמקדש - 2 כר'")</f>
        <v>ירושלים עיר הקודש והמקדש - 2 כר'</v>
      </c>
    </row>
    <row r="18224" spans="1:6" x14ac:dyDescent="0.2">
      <c r="A18224" t="s">
        <v>30008</v>
      </c>
      <c r="B18224" t="s">
        <v>107</v>
      </c>
      <c r="C18224" t="s">
        <v>71</v>
      </c>
      <c r="D18224" t="s">
        <v>14</v>
      </c>
      <c r="E18224" t="s">
        <v>104</v>
      </c>
      <c r="F18224" s="2" t="str">
        <f>HYPERLINK("http://www.otzar.org/book.asp?84441","ירושלים עיר הקודש והנצח")</f>
        <v>ירושלים עיר הקודש והנצח</v>
      </c>
    </row>
    <row r="18225" spans="1:6" x14ac:dyDescent="0.2">
      <c r="A18225" t="s">
        <v>30009</v>
      </c>
      <c r="B18225" t="s">
        <v>12971</v>
      </c>
      <c r="C18225" t="s">
        <v>334</v>
      </c>
      <c r="D18225" t="s">
        <v>14</v>
      </c>
      <c r="E18225" t="s">
        <v>733</v>
      </c>
      <c r="F18225" s="2" t="str">
        <f>HYPERLINK("http://www.otzar.org/book.asp?28661","ירושלים שכונות סביב לה")</f>
        <v>ירושלים שכונות סביב לה</v>
      </c>
    </row>
    <row r="18226" spans="1:6" x14ac:dyDescent="0.2">
      <c r="A18226" t="s">
        <v>30010</v>
      </c>
      <c r="B18226" t="s">
        <v>30011</v>
      </c>
      <c r="C18226" t="s">
        <v>23</v>
      </c>
      <c r="D18226" t="s">
        <v>21</v>
      </c>
      <c r="E18226" t="s">
        <v>104</v>
      </c>
      <c r="F18226" s="2" t="str">
        <f>HYPERLINK("http://www.otzar.org/book.asp?193222","ירושלים של זהב - 9 כר'")</f>
        <v>ירושלים של זהב - 9 כר'</v>
      </c>
    </row>
    <row r="18227" spans="1:6" x14ac:dyDescent="0.2">
      <c r="A18227" t="s">
        <v>30012</v>
      </c>
      <c r="B18227" t="s">
        <v>4980</v>
      </c>
      <c r="C18227" t="s">
        <v>533</v>
      </c>
      <c r="D18227" t="s">
        <v>14</v>
      </c>
      <c r="E18227" t="s">
        <v>104</v>
      </c>
      <c r="F18227" s="2" t="str">
        <f>HYPERLINK("http://www.otzar.org/book.asp?20998","ירושלים של מעלה - 5 כר'")</f>
        <v>ירושלים של מעלה - 5 כר'</v>
      </c>
    </row>
    <row r="18228" spans="1:6" x14ac:dyDescent="0.2">
      <c r="A18228" t="s">
        <v>30013</v>
      </c>
      <c r="B18228" t="s">
        <v>29010</v>
      </c>
      <c r="C18228">
        <v>1979</v>
      </c>
      <c r="D18228" t="s">
        <v>21</v>
      </c>
      <c r="E18228" t="s">
        <v>733</v>
      </c>
      <c r="F18228" s="2" t="str">
        <f>HYPERLINK("http://www.otzar.org/book.asp?191348","ירושלים תמול שלשום - 2 כר'")</f>
        <v>ירושלים תמול שלשום - 2 כר'</v>
      </c>
    </row>
    <row r="18229" spans="1:6" x14ac:dyDescent="0.2">
      <c r="A18229" t="s">
        <v>30014</v>
      </c>
      <c r="B18229" t="s">
        <v>30015</v>
      </c>
      <c r="C18229" t="s">
        <v>1160</v>
      </c>
      <c r="D18229" t="s">
        <v>14</v>
      </c>
      <c r="E18229" t="s">
        <v>104</v>
      </c>
      <c r="F18229" s="2" t="str">
        <f>HYPERLINK("http://www.otzar.org/book.asp?624572","ירושלים - אתרים קדומים")</f>
        <v>ירושלים - אתרים קדומים</v>
      </c>
    </row>
    <row r="18230" spans="1:6" x14ac:dyDescent="0.2">
      <c r="A18230" t="s">
        <v>30016</v>
      </c>
      <c r="B18230" t="s">
        <v>14</v>
      </c>
      <c r="C18230" t="s">
        <v>30017</v>
      </c>
      <c r="D18230" t="s">
        <v>27</v>
      </c>
      <c r="E18230" t="s">
        <v>2633</v>
      </c>
      <c r="F18230" s="2" t="str">
        <f>HYPERLINK("http://www.otzar.org/book.asp?16797","ירושלים - 5 כר'")</f>
        <v>ירושלים - 5 כר'</v>
      </c>
    </row>
    <row r="18231" spans="1:6" x14ac:dyDescent="0.2">
      <c r="A18231" t="s">
        <v>30018</v>
      </c>
      <c r="B18231" t="s">
        <v>30019</v>
      </c>
      <c r="C18231" t="s">
        <v>30020</v>
      </c>
      <c r="D18231" t="s">
        <v>535</v>
      </c>
      <c r="E18231" t="s">
        <v>384</v>
      </c>
      <c r="F18231" s="2" t="str">
        <f>HYPERLINK("http://www.otzar.org/book.asp?108570","ירושלים - 2 כר'")</f>
        <v>ירושלים - 2 כר'</v>
      </c>
    </row>
    <row r="18232" spans="1:6" x14ac:dyDescent="0.2">
      <c r="A18232" t="s">
        <v>30018</v>
      </c>
      <c r="B18232" t="s">
        <v>27440</v>
      </c>
      <c r="C18232" t="s">
        <v>46</v>
      </c>
      <c r="D18232" t="s">
        <v>27</v>
      </c>
      <c r="E18232" t="s">
        <v>104</v>
      </c>
      <c r="F18232" s="2" t="str">
        <f>HYPERLINK("http://www.otzar.org/book.asp?182107","ירושלים - 2 כר'")</f>
        <v>ירושלים - 2 כר'</v>
      </c>
    </row>
    <row r="18233" spans="1:6" x14ac:dyDescent="0.2">
      <c r="A18233" t="s">
        <v>30021</v>
      </c>
      <c r="B18233" t="s">
        <v>30022</v>
      </c>
      <c r="C18233" t="s">
        <v>151</v>
      </c>
      <c r="D18233" t="s">
        <v>90</v>
      </c>
      <c r="E18233" t="s">
        <v>104</v>
      </c>
      <c r="F18233" s="2" t="str">
        <f>HYPERLINK("http://www.otzar.org/book.asp?626754","ירושת הארץ")</f>
        <v>ירושת הארץ</v>
      </c>
    </row>
    <row r="18234" spans="1:6" x14ac:dyDescent="0.2">
      <c r="A18234" t="s">
        <v>30023</v>
      </c>
      <c r="B18234" t="s">
        <v>30024</v>
      </c>
      <c r="C18234" t="s">
        <v>146</v>
      </c>
      <c r="D18234" t="s">
        <v>14</v>
      </c>
      <c r="E18234" t="s">
        <v>7138</v>
      </c>
      <c r="F18234" s="2" t="str">
        <f>HYPERLINK("http://www.otzar.org/book.asp?26057","ירושת פליטה - 2 כר'")</f>
        <v>ירושת פליטה - 2 כר'</v>
      </c>
    </row>
    <row r="18235" spans="1:6" x14ac:dyDescent="0.2">
      <c r="A18235" t="s">
        <v>30025</v>
      </c>
      <c r="B18235" t="s">
        <v>30026</v>
      </c>
      <c r="C18235" t="s">
        <v>151</v>
      </c>
      <c r="D18235" t="s">
        <v>52</v>
      </c>
      <c r="F18235" s="2" t="str">
        <f>HYPERLINK("http://www.otzar.org/book.asp?616811","ירושתנו - 2 כר'")</f>
        <v>ירושתנו - 2 כר'</v>
      </c>
    </row>
    <row r="18236" spans="1:6" x14ac:dyDescent="0.2">
      <c r="A18236" t="s">
        <v>30027</v>
      </c>
      <c r="B18236" t="s">
        <v>30028</v>
      </c>
      <c r="C18236" t="s">
        <v>129</v>
      </c>
      <c r="D18236" t="s">
        <v>52</v>
      </c>
      <c r="E18236" t="s">
        <v>2091</v>
      </c>
      <c r="F18236" s="2" t="str">
        <f>HYPERLINK("http://www.otzar.org/book.asp?162534","ירושתנו - 7 כר'")</f>
        <v>ירושתנו - 7 כר'</v>
      </c>
    </row>
    <row r="18237" spans="1:6" x14ac:dyDescent="0.2">
      <c r="A18237" t="s">
        <v>30029</v>
      </c>
      <c r="B18237" t="s">
        <v>3423</v>
      </c>
      <c r="C18237" t="s">
        <v>37</v>
      </c>
      <c r="D18237" t="s">
        <v>367</v>
      </c>
      <c r="F18237" s="2" t="str">
        <f>HYPERLINK("http://www.otzar.org/book.asp?616585","ירח האיתנים במשנת הספורנו")</f>
        <v>ירח האיתנים במשנת הספורנו</v>
      </c>
    </row>
    <row r="18238" spans="1:6" x14ac:dyDescent="0.2">
      <c r="A18238" t="s">
        <v>30030</v>
      </c>
      <c r="B18238" t="s">
        <v>30031</v>
      </c>
      <c r="C18238" t="s">
        <v>180</v>
      </c>
      <c r="D18238" t="s">
        <v>216</v>
      </c>
      <c r="E18238" t="s">
        <v>246</v>
      </c>
      <c r="F18238" s="2" t="str">
        <f>HYPERLINK("http://www.otzar.org/book.asp?174552","ירח האיתנים")</f>
        <v>ירח האיתנים</v>
      </c>
    </row>
    <row r="18239" spans="1:6" x14ac:dyDescent="0.2">
      <c r="A18239" t="s">
        <v>30030</v>
      </c>
      <c r="B18239" t="s">
        <v>16506</v>
      </c>
      <c r="C18239" t="s">
        <v>3840</v>
      </c>
      <c r="D18239" t="s">
        <v>27</v>
      </c>
      <c r="E18239" t="s">
        <v>30032</v>
      </c>
      <c r="F18239" s="2" t="str">
        <f>HYPERLINK("http://www.otzar.org/book.asp?7024","ירח האיתנים")</f>
        <v>ירח האיתנים</v>
      </c>
    </row>
    <row r="18240" spans="1:6" x14ac:dyDescent="0.2">
      <c r="A18240" t="s">
        <v>30030</v>
      </c>
      <c r="B18240" t="s">
        <v>15154</v>
      </c>
      <c r="C18240" t="s">
        <v>1062</v>
      </c>
      <c r="D18240" t="s">
        <v>9</v>
      </c>
      <c r="E18240" t="s">
        <v>6305</v>
      </c>
      <c r="F18240" s="2" t="str">
        <f>HYPERLINK("http://www.otzar.org/book.asp?11710","ירח האיתנים")</f>
        <v>ירח האיתנים</v>
      </c>
    </row>
    <row r="18241" spans="1:6" x14ac:dyDescent="0.2">
      <c r="A18241" t="s">
        <v>30030</v>
      </c>
      <c r="B18241" t="s">
        <v>30033</v>
      </c>
      <c r="C18241" t="s">
        <v>17</v>
      </c>
      <c r="D18241" t="s">
        <v>14</v>
      </c>
      <c r="F18241" s="2" t="str">
        <f>HYPERLINK("http://www.otzar.org/book.asp?183169","ירח האיתנים")</f>
        <v>ירח האיתנים</v>
      </c>
    </row>
    <row r="18242" spans="1:6" x14ac:dyDescent="0.2">
      <c r="A18242" t="s">
        <v>30034</v>
      </c>
      <c r="B18242" t="s">
        <v>30035</v>
      </c>
      <c r="C18242" t="s">
        <v>37</v>
      </c>
      <c r="D18242" t="s">
        <v>2196</v>
      </c>
      <c r="E18242" t="s">
        <v>246</v>
      </c>
      <c r="F18242" s="2" t="str">
        <f>HYPERLINK("http://www.otzar.org/book.asp?186852","ירח למועדים - חנוכה")</f>
        <v>ירח למועדים - חנוכה</v>
      </c>
    </row>
    <row r="18243" spans="1:6" x14ac:dyDescent="0.2">
      <c r="A18243" t="s">
        <v>30036</v>
      </c>
      <c r="B18243" t="s">
        <v>30037</v>
      </c>
      <c r="C18243" t="s">
        <v>30038</v>
      </c>
      <c r="D18243" t="s">
        <v>30039</v>
      </c>
      <c r="F18243" s="2" t="str">
        <f>HYPERLINK("http://www.otzar.org/book.asp?198069","ירח למועדים")</f>
        <v>ירח למועדים</v>
      </c>
    </row>
    <row r="18244" spans="1:6" x14ac:dyDescent="0.2">
      <c r="A18244" t="s">
        <v>30040</v>
      </c>
      <c r="B18244" t="s">
        <v>30041</v>
      </c>
      <c r="C18244" t="s">
        <v>366</v>
      </c>
      <c r="D18244" t="s">
        <v>90</v>
      </c>
      <c r="F18244" s="2" t="str">
        <f>HYPERLINK("http://www.otzar.org/book.asp?605396","ירחון האוצר - 37 כר'")</f>
        <v>ירחון האוצר - 37 כר'</v>
      </c>
    </row>
    <row r="18245" spans="1:6" x14ac:dyDescent="0.2">
      <c r="A18245" t="s">
        <v>30042</v>
      </c>
      <c r="B18245" t="s">
        <v>30043</v>
      </c>
      <c r="C18245" t="s">
        <v>777</v>
      </c>
      <c r="D18245" t="s">
        <v>30044</v>
      </c>
      <c r="E18245" t="s">
        <v>202</v>
      </c>
      <c r="F18245" s="2" t="str">
        <f>HYPERLINK("http://www.otzar.org/book.asp?612429","ירחון מרכז התורה - ב")</f>
        <v>ירחון מרכז התורה - ב</v>
      </c>
    </row>
    <row r="18246" spans="1:6" x14ac:dyDescent="0.2">
      <c r="A18246" t="s">
        <v>30045</v>
      </c>
      <c r="B18246" t="s">
        <v>1750</v>
      </c>
      <c r="C18246" t="s">
        <v>383</v>
      </c>
      <c r="D18246" t="s">
        <v>646</v>
      </c>
      <c r="F18246" s="2" t="str">
        <f>HYPERLINK("http://www.otzar.org/book.asp?615290","ירחי כלה אירופה - 2 כר'")</f>
        <v>ירחי כלה אירופה - 2 כר'</v>
      </c>
    </row>
    <row r="18247" spans="1:6" x14ac:dyDescent="0.2">
      <c r="A18247" t="s">
        <v>30046</v>
      </c>
      <c r="B18247" t="s">
        <v>30046</v>
      </c>
      <c r="C18247" t="s">
        <v>26</v>
      </c>
      <c r="D18247" t="s">
        <v>8985</v>
      </c>
      <c r="E18247" t="s">
        <v>202</v>
      </c>
      <c r="F18247" s="2" t="str">
        <f>HYPERLINK("http://www.otzar.org/book.asp?178988","ירחי כלה גיטסהד")</f>
        <v>ירחי כלה גיטסהד</v>
      </c>
    </row>
    <row r="18248" spans="1:6" x14ac:dyDescent="0.2">
      <c r="A18248" t="s">
        <v>30047</v>
      </c>
      <c r="B18248" t="s">
        <v>1750</v>
      </c>
      <c r="C18248" t="s">
        <v>466</v>
      </c>
      <c r="D18248" t="s">
        <v>52</v>
      </c>
      <c r="E18248" t="s">
        <v>786</v>
      </c>
      <c r="F18248" s="2" t="str">
        <f>HYPERLINK("http://www.otzar.org/book.asp?61877","ירחי כלה - 6 כר'")</f>
        <v>ירחי כלה - 6 כר'</v>
      </c>
    </row>
    <row r="18249" spans="1:6" x14ac:dyDescent="0.2">
      <c r="A18249" t="s">
        <v>30048</v>
      </c>
      <c r="B18249" t="s">
        <v>206</v>
      </c>
      <c r="C18249" t="s">
        <v>87</v>
      </c>
      <c r="D18249" t="s">
        <v>52</v>
      </c>
      <c r="E18249" t="s">
        <v>213</v>
      </c>
      <c r="F18249" s="2" t="str">
        <f>HYPERLINK("http://www.otzar.org/book.asp?50031","ירידת הדורות לאור התפתחות המדע")</f>
        <v>ירידת הדורות לאור התפתחות המדע</v>
      </c>
    </row>
    <row r="18250" spans="1:6" x14ac:dyDescent="0.2">
      <c r="A18250" t="s">
        <v>30049</v>
      </c>
      <c r="B18250" t="s">
        <v>30050</v>
      </c>
      <c r="C18250" t="s">
        <v>244</v>
      </c>
      <c r="D18250" t="s">
        <v>14</v>
      </c>
      <c r="F18250" s="2" t="str">
        <f>HYPERLINK("http://www.otzar.org/book.asp?608851","ירים משה &lt;מנחת שלום&gt;")</f>
        <v>ירים משה &lt;מנחת שלום&gt;</v>
      </c>
    </row>
    <row r="18251" spans="1:6" x14ac:dyDescent="0.2">
      <c r="A18251" t="s">
        <v>30051</v>
      </c>
      <c r="B18251" t="s">
        <v>30052</v>
      </c>
      <c r="C18251" t="s">
        <v>313</v>
      </c>
      <c r="D18251" t="s">
        <v>14</v>
      </c>
      <c r="E18251" t="s">
        <v>30053</v>
      </c>
      <c r="F18251" s="2" t="str">
        <f>HYPERLINK("http://www.otzar.org/book.asp?50113","ירים משה - 3 כר'")</f>
        <v>ירים משה - 3 כר'</v>
      </c>
    </row>
    <row r="18252" spans="1:6" x14ac:dyDescent="0.2">
      <c r="A18252" t="s">
        <v>30054</v>
      </c>
      <c r="B18252" t="s">
        <v>15186</v>
      </c>
      <c r="C18252" t="s">
        <v>1135</v>
      </c>
      <c r="D18252" t="s">
        <v>2303</v>
      </c>
      <c r="E18252" t="s">
        <v>84</v>
      </c>
      <c r="F18252" s="2" t="str">
        <f>HYPERLINK("http://www.otzar.org/book.asp?23457","ירים משה")</f>
        <v>ירים משה</v>
      </c>
    </row>
    <row r="18253" spans="1:6" x14ac:dyDescent="0.2">
      <c r="A18253" t="s">
        <v>30054</v>
      </c>
      <c r="B18253" t="s">
        <v>1390</v>
      </c>
      <c r="C18253" t="s">
        <v>438</v>
      </c>
      <c r="D18253" t="s">
        <v>14</v>
      </c>
      <c r="E18253" t="s">
        <v>81</v>
      </c>
      <c r="F18253" s="2" t="str">
        <f>HYPERLINK("http://www.otzar.org/book.asp?159681","ירים משה")</f>
        <v>ירים משה</v>
      </c>
    </row>
    <row r="18254" spans="1:6" x14ac:dyDescent="0.2">
      <c r="A18254" t="s">
        <v>30054</v>
      </c>
      <c r="B18254" t="s">
        <v>30055</v>
      </c>
      <c r="C18254" t="s">
        <v>351</v>
      </c>
      <c r="D18254" t="s">
        <v>76</v>
      </c>
      <c r="E18254" t="s">
        <v>10</v>
      </c>
      <c r="F18254" s="2" t="str">
        <f>HYPERLINK("http://www.otzar.org/book.asp?19297","ירים משה")</f>
        <v>ירים משה</v>
      </c>
    </row>
    <row r="18255" spans="1:6" x14ac:dyDescent="0.2">
      <c r="A18255" t="s">
        <v>30056</v>
      </c>
      <c r="B18255" t="s">
        <v>30057</v>
      </c>
      <c r="C18255" t="s">
        <v>75</v>
      </c>
      <c r="D18255" t="s">
        <v>2295</v>
      </c>
      <c r="E18255" t="s">
        <v>84</v>
      </c>
      <c r="F18255" s="2" t="str">
        <f>HYPERLINK("http://www.otzar.org/book.asp?101334","ירים משה, חסדי אבות - 2 כר'")</f>
        <v>ירים משה, חסדי אבות - 2 כר'</v>
      </c>
    </row>
    <row r="18256" spans="1:6" x14ac:dyDescent="0.2">
      <c r="A18256" t="s">
        <v>30058</v>
      </c>
      <c r="B18256" t="s">
        <v>30059</v>
      </c>
      <c r="C18256" t="s">
        <v>1160</v>
      </c>
      <c r="D18256" t="s">
        <v>14</v>
      </c>
      <c r="E18256" t="s">
        <v>104</v>
      </c>
      <c r="F18256" s="2" t="str">
        <f>HYPERLINK("http://www.otzar.org/book.asp?12133","ירים ראש - תכנית בית הבחירה")</f>
        <v>ירים ראש - תכנית בית הבחירה</v>
      </c>
    </row>
    <row r="18257" spans="1:6" x14ac:dyDescent="0.2">
      <c r="A18257" t="s">
        <v>30060</v>
      </c>
      <c r="B18257" t="s">
        <v>30061</v>
      </c>
      <c r="C18257" t="s">
        <v>1335</v>
      </c>
      <c r="D18257" t="s">
        <v>327</v>
      </c>
      <c r="E18257" t="s">
        <v>674</v>
      </c>
      <c r="F18257" s="2" t="str">
        <f>HYPERLINK("http://www.otzar.org/book.asp?176926","יריעות האהל")</f>
        <v>יריעות האהל</v>
      </c>
    </row>
    <row r="18258" spans="1:6" x14ac:dyDescent="0.2">
      <c r="A18258" t="s">
        <v>30062</v>
      </c>
      <c r="B18258" t="s">
        <v>418</v>
      </c>
      <c r="C18258" t="s">
        <v>13</v>
      </c>
      <c r="D18258" t="s">
        <v>14</v>
      </c>
      <c r="E18258" t="s">
        <v>172</v>
      </c>
      <c r="F18258" s="2" t="str">
        <f>HYPERLINK("http://www.otzar.org/book.asp?60554","יריעות החושן - 2 כר'")</f>
        <v>יריעות החושן - 2 כר'</v>
      </c>
    </row>
    <row r="18259" spans="1:6" x14ac:dyDescent="0.2">
      <c r="A18259" t="s">
        <v>30063</v>
      </c>
      <c r="B18259" t="s">
        <v>2663</v>
      </c>
      <c r="C18259" t="s">
        <v>124</v>
      </c>
      <c r="D18259" t="s">
        <v>52</v>
      </c>
      <c r="E18259" t="s">
        <v>186</v>
      </c>
      <c r="F18259" s="2" t="str">
        <f>HYPERLINK("http://www.otzar.org/book.asp?168793","יריעות המשכן - 2 כר'")</f>
        <v>יריעות המשכן - 2 כר'</v>
      </c>
    </row>
    <row r="18260" spans="1:6" x14ac:dyDescent="0.2">
      <c r="A18260" t="s">
        <v>30064</v>
      </c>
      <c r="B18260" t="s">
        <v>30065</v>
      </c>
      <c r="C18260" t="s">
        <v>1666</v>
      </c>
      <c r="D18260" t="s">
        <v>49</v>
      </c>
      <c r="E18260" t="s">
        <v>674</v>
      </c>
      <c r="F18260" s="2" t="str">
        <f>HYPERLINK("http://www.otzar.org/book.asp?146881","יריעות עזים")</f>
        <v>יריעות עזים</v>
      </c>
    </row>
    <row r="18261" spans="1:6" x14ac:dyDescent="0.2">
      <c r="A18261" t="s">
        <v>30066</v>
      </c>
      <c r="B18261" t="s">
        <v>206</v>
      </c>
      <c r="C18261" t="s">
        <v>114</v>
      </c>
      <c r="D18261" t="s">
        <v>367</v>
      </c>
      <c r="E18261" t="s">
        <v>730</v>
      </c>
      <c r="F18261" s="2" t="str">
        <f>HYPERLINK("http://www.otzar.org/book.asp?163198","יריעות שלמה &lt;על ביאור הגר""א&gt; - הלכות רבית")</f>
        <v>יריעות שלמה &lt;על ביאור הגר"א&gt; - הלכות רבית</v>
      </c>
    </row>
    <row r="18262" spans="1:6" x14ac:dyDescent="0.2">
      <c r="A18262" t="s">
        <v>30067</v>
      </c>
      <c r="B18262" t="s">
        <v>1120</v>
      </c>
      <c r="C18262" t="s">
        <v>244</v>
      </c>
      <c r="D18262" t="s">
        <v>52</v>
      </c>
      <c r="E18262" t="s">
        <v>104</v>
      </c>
      <c r="F18262" s="2" t="str">
        <f>HYPERLINK("http://www.otzar.org/book.asp?193688","יריעות שלמה &lt;מהדורה חדשה&gt;")</f>
        <v>יריעות שלמה &lt;מהדורה חדשה&gt;</v>
      </c>
    </row>
    <row r="18263" spans="1:6" x14ac:dyDescent="0.2">
      <c r="A18263" t="s">
        <v>30068</v>
      </c>
      <c r="B18263" t="s">
        <v>2490</v>
      </c>
      <c r="C18263" t="s">
        <v>37</v>
      </c>
      <c r="D18263" t="s">
        <v>52</v>
      </c>
      <c r="E18263" t="s">
        <v>104</v>
      </c>
      <c r="F18263" s="2" t="str">
        <f>HYPERLINK("http://www.otzar.org/book.asp?180017","יריעות שלמה אהלי יעקב - יוחסין")</f>
        <v>יריעות שלמה אהלי יעקב - יוחסין</v>
      </c>
    </row>
    <row r="18264" spans="1:6" x14ac:dyDescent="0.2">
      <c r="A18264" t="s">
        <v>30069</v>
      </c>
      <c r="B18264" t="s">
        <v>30070</v>
      </c>
      <c r="C18264" t="s">
        <v>445</v>
      </c>
      <c r="D18264" t="s">
        <v>379</v>
      </c>
      <c r="E18264" t="s">
        <v>435</v>
      </c>
      <c r="F18264" s="2" t="str">
        <f>HYPERLINK("http://www.otzar.org/book.asp?300495","יריעות שלמה - 8 כר'")</f>
        <v>יריעות שלמה - 8 כר'</v>
      </c>
    </row>
    <row r="18265" spans="1:6" x14ac:dyDescent="0.2">
      <c r="A18265" t="s">
        <v>30071</v>
      </c>
      <c r="B18265" t="s">
        <v>7075</v>
      </c>
      <c r="C18265" t="s">
        <v>1885</v>
      </c>
      <c r="D18265" t="s">
        <v>283</v>
      </c>
      <c r="E18265" t="s">
        <v>43</v>
      </c>
      <c r="F18265" s="2" t="str">
        <f>HYPERLINK("http://www.otzar.org/book.asp?200655","יריעות שלמה")</f>
        <v>יריעות שלמה</v>
      </c>
    </row>
    <row r="18266" spans="1:6" x14ac:dyDescent="0.2">
      <c r="A18266" t="s">
        <v>30071</v>
      </c>
      <c r="B18266" t="s">
        <v>30072</v>
      </c>
      <c r="C18266" t="s">
        <v>3690</v>
      </c>
      <c r="D18266" t="s">
        <v>889</v>
      </c>
      <c r="E18266" t="s">
        <v>158</v>
      </c>
      <c r="F18266" s="2" t="str">
        <f>HYPERLINK("http://www.otzar.org/book.asp?24644","יריעות שלמה")</f>
        <v>יריעות שלמה</v>
      </c>
    </row>
    <row r="18267" spans="1:6" x14ac:dyDescent="0.2">
      <c r="A18267" t="s">
        <v>30073</v>
      </c>
      <c r="B18267" t="s">
        <v>30074</v>
      </c>
      <c r="C18267" t="s">
        <v>111</v>
      </c>
      <c r="D18267" t="s">
        <v>14</v>
      </c>
      <c r="E18267" t="s">
        <v>144</v>
      </c>
      <c r="F18267" s="2" t="str">
        <f>HYPERLINK("http://www.otzar.org/book.asp?628044","יריעות שלמה - בבא מציעא")</f>
        <v>יריעות שלמה - בבא מציעא</v>
      </c>
    </row>
    <row r="18268" spans="1:6" x14ac:dyDescent="0.2">
      <c r="A18268" t="s">
        <v>30071</v>
      </c>
      <c r="B18268" t="s">
        <v>7354</v>
      </c>
      <c r="C18268" t="s">
        <v>1388</v>
      </c>
      <c r="D18268" t="s">
        <v>52</v>
      </c>
      <c r="E18268" t="s">
        <v>30075</v>
      </c>
      <c r="F18268" s="2" t="str">
        <f>HYPERLINK("http://www.otzar.org/book.asp?14115","יריעות שלמה")</f>
        <v>יריעות שלמה</v>
      </c>
    </row>
    <row r="18269" spans="1:6" x14ac:dyDescent="0.2">
      <c r="A18269" t="s">
        <v>30076</v>
      </c>
      <c r="B18269" t="s">
        <v>30077</v>
      </c>
      <c r="C18269" t="s">
        <v>133</v>
      </c>
      <c r="D18269" t="s">
        <v>14</v>
      </c>
      <c r="E18269" t="s">
        <v>144</v>
      </c>
      <c r="F18269" s="2" t="str">
        <f>HYPERLINK("http://www.otzar.org/book.asp?606421","יריעות שלמה - 3 כר'")</f>
        <v>יריעות שלמה - 3 כר'</v>
      </c>
    </row>
    <row r="18270" spans="1:6" x14ac:dyDescent="0.2">
      <c r="A18270" t="s">
        <v>30071</v>
      </c>
      <c r="B18270" t="s">
        <v>30078</v>
      </c>
      <c r="C18270" t="s">
        <v>956</v>
      </c>
      <c r="D18270" t="s">
        <v>14</v>
      </c>
      <c r="E18270" t="s">
        <v>2441</v>
      </c>
      <c r="F18270" s="2" t="str">
        <f>HYPERLINK("http://www.otzar.org/book.asp?10653","יריעות שלמה")</f>
        <v>יריעות שלמה</v>
      </c>
    </row>
    <row r="18271" spans="1:6" x14ac:dyDescent="0.2">
      <c r="A18271" t="s">
        <v>30076</v>
      </c>
      <c r="B18271" t="s">
        <v>1120</v>
      </c>
      <c r="C18271" t="s">
        <v>5334</v>
      </c>
      <c r="D18271" t="s">
        <v>403</v>
      </c>
      <c r="E18271" t="s">
        <v>104</v>
      </c>
      <c r="F18271" s="2" t="str">
        <f>HYPERLINK("http://www.otzar.org/book.asp?19112","יריעות שלמה - 3 כר'")</f>
        <v>יריעות שלמה - 3 כר'</v>
      </c>
    </row>
    <row r="18272" spans="1:6" x14ac:dyDescent="0.2">
      <c r="A18272" t="s">
        <v>30071</v>
      </c>
      <c r="B18272" t="s">
        <v>30079</v>
      </c>
      <c r="C18272" t="s">
        <v>908</v>
      </c>
      <c r="D18272" t="s">
        <v>10393</v>
      </c>
      <c r="E18272" t="s">
        <v>15</v>
      </c>
      <c r="F18272" s="2" t="str">
        <f>HYPERLINK("http://www.otzar.org/book.asp?18910","יריעות שלמה")</f>
        <v>יריעות שלמה</v>
      </c>
    </row>
    <row r="18273" spans="1:6" x14ac:dyDescent="0.2">
      <c r="A18273" t="s">
        <v>30080</v>
      </c>
      <c r="B18273" t="s">
        <v>305</v>
      </c>
      <c r="C18273" t="s">
        <v>466</v>
      </c>
      <c r="D18273" t="s">
        <v>14</v>
      </c>
      <c r="E18273" t="s">
        <v>1517</v>
      </c>
      <c r="F18273" s="2" t="str">
        <f>HYPERLINK("http://www.otzar.org/book.asp?6258","יריעות שלמה - על סדר התפילה")</f>
        <v>יריעות שלמה - על סדר התפילה</v>
      </c>
    </row>
    <row r="18274" spans="1:6" x14ac:dyDescent="0.2">
      <c r="A18274" t="s">
        <v>30071</v>
      </c>
      <c r="B18274" t="s">
        <v>30081</v>
      </c>
      <c r="C18274" t="s">
        <v>30082</v>
      </c>
      <c r="D18274" t="s">
        <v>1833</v>
      </c>
      <c r="E18274" t="s">
        <v>104</v>
      </c>
      <c r="F18274" s="2" t="str">
        <f>HYPERLINK("http://www.otzar.org/book.asp?151474","יריעות שלמה")</f>
        <v>יריעות שלמה</v>
      </c>
    </row>
    <row r="18275" spans="1:6" x14ac:dyDescent="0.2">
      <c r="A18275" t="s">
        <v>30083</v>
      </c>
      <c r="B18275" t="s">
        <v>30084</v>
      </c>
      <c r="C18275" t="s">
        <v>543</v>
      </c>
      <c r="D18275" t="s">
        <v>1530</v>
      </c>
      <c r="E18275" t="s">
        <v>154</v>
      </c>
      <c r="F18275" s="2" t="str">
        <f>HYPERLINK("http://www.otzar.org/book.asp?106208","יריעת האהל")</f>
        <v>יריעת האהל</v>
      </c>
    </row>
    <row r="18276" spans="1:6" x14ac:dyDescent="0.2">
      <c r="A18276" t="s">
        <v>30085</v>
      </c>
      <c r="B18276" t="s">
        <v>10850</v>
      </c>
      <c r="C18276" t="s">
        <v>3695</v>
      </c>
      <c r="D18276" t="s">
        <v>76</v>
      </c>
      <c r="E18276" t="s">
        <v>154</v>
      </c>
      <c r="F18276" s="2" t="str">
        <f>HYPERLINK("http://www.otzar.org/book.asp?18912","ירך אברהם א -ב")</f>
        <v>ירך אברהם א -ב</v>
      </c>
    </row>
    <row r="18277" spans="1:6" x14ac:dyDescent="0.2">
      <c r="A18277" t="s">
        <v>30086</v>
      </c>
      <c r="B18277" t="s">
        <v>30087</v>
      </c>
      <c r="C18277" t="s">
        <v>1470</v>
      </c>
      <c r="D18277" t="s">
        <v>1490</v>
      </c>
      <c r="E18277" t="s">
        <v>154</v>
      </c>
      <c r="F18277" s="2" t="str">
        <f>HYPERLINK("http://www.otzar.org/book.asp?102735","ירך יעקב - א ב")</f>
        <v>ירך יעקב - א ב</v>
      </c>
    </row>
    <row r="18278" spans="1:6" x14ac:dyDescent="0.2">
      <c r="A18278" t="s">
        <v>30088</v>
      </c>
      <c r="B18278" t="s">
        <v>30089</v>
      </c>
      <c r="C18278" t="s">
        <v>244</v>
      </c>
      <c r="D18278" t="s">
        <v>367</v>
      </c>
      <c r="E18278" t="s">
        <v>144</v>
      </c>
      <c r="F18278" s="2" t="str">
        <f>HYPERLINK("http://www.otzar.org/book.asp?603992","ירך יעקב")</f>
        <v>ירך יעקב</v>
      </c>
    </row>
    <row r="18279" spans="1:6" x14ac:dyDescent="0.2">
      <c r="A18279" t="s">
        <v>30088</v>
      </c>
      <c r="B18279" t="s">
        <v>11943</v>
      </c>
      <c r="C18279" t="s">
        <v>3709</v>
      </c>
      <c r="D18279" t="s">
        <v>212</v>
      </c>
      <c r="E18279" t="s">
        <v>30090</v>
      </c>
      <c r="F18279" s="2" t="str">
        <f>HYPERLINK("http://www.otzar.org/book.asp?18913","ירך יעקב")</f>
        <v>ירך יעקב</v>
      </c>
    </row>
    <row r="18280" spans="1:6" x14ac:dyDescent="0.2">
      <c r="A18280" t="s">
        <v>30091</v>
      </c>
      <c r="B18280" t="s">
        <v>30092</v>
      </c>
      <c r="C18280" t="s">
        <v>454</v>
      </c>
      <c r="D18280" t="s">
        <v>412</v>
      </c>
      <c r="E18280" t="s">
        <v>1097</v>
      </c>
      <c r="F18280" s="2" t="str">
        <f>HYPERLINK("http://www.otzar.org/book.asp?150438","ירכתי צפון - 2 כר'")</f>
        <v>ירכתי צפון - 2 כר'</v>
      </c>
    </row>
    <row r="18281" spans="1:6" x14ac:dyDescent="0.2">
      <c r="A18281" t="s">
        <v>30093</v>
      </c>
      <c r="B18281" t="s">
        <v>30094</v>
      </c>
      <c r="C18281" t="s">
        <v>244</v>
      </c>
      <c r="D18281" t="s">
        <v>14</v>
      </c>
      <c r="E18281" t="s">
        <v>144</v>
      </c>
      <c r="F18281" s="2" t="str">
        <f>HYPERLINK("http://www.otzar.org/book.asp?617168","ירכתי צפון - יבמות")</f>
        <v>ירכתי צפון - יבמות</v>
      </c>
    </row>
    <row r="18282" spans="1:6" x14ac:dyDescent="0.2">
      <c r="A18282" t="s">
        <v>30095</v>
      </c>
      <c r="B18282" t="s">
        <v>30096</v>
      </c>
      <c r="C18282" t="s">
        <v>71</v>
      </c>
      <c r="D18282" t="s">
        <v>52</v>
      </c>
      <c r="E18282" t="s">
        <v>144</v>
      </c>
      <c r="F18282" s="2" t="str">
        <f>HYPERLINK("http://www.otzar.org/book.asp?85684","ירכתי צפון - ברכות")</f>
        <v>ירכתי צפון - ברכות</v>
      </c>
    </row>
    <row r="18283" spans="1:6" x14ac:dyDescent="0.2">
      <c r="A18283" t="s">
        <v>30097</v>
      </c>
      <c r="B18283" t="s">
        <v>30098</v>
      </c>
      <c r="C18283" t="s">
        <v>27278</v>
      </c>
      <c r="D18283" t="s">
        <v>76</v>
      </c>
      <c r="E18283" t="s">
        <v>158</v>
      </c>
      <c r="F18283" s="2" t="str">
        <f>HYPERLINK("http://www.otzar.org/book.asp?53408","ירמיהו - מתורגם ללאדינו")</f>
        <v>ירמיהו - מתורגם ללאדינו</v>
      </c>
    </row>
    <row r="18284" spans="1:6" x14ac:dyDescent="0.2">
      <c r="A18284" t="s">
        <v>30099</v>
      </c>
      <c r="B18284" t="s">
        <v>15161</v>
      </c>
      <c r="C18284" t="s">
        <v>176</v>
      </c>
      <c r="D18284" t="s">
        <v>52</v>
      </c>
      <c r="E18284" t="s">
        <v>241</v>
      </c>
      <c r="F18284" s="2" t="str">
        <f>HYPERLINK("http://www.otzar.org/book.asp?146454","יש בורא עולם")</f>
        <v>יש בורא עולם</v>
      </c>
    </row>
    <row r="18285" spans="1:6" x14ac:dyDescent="0.2">
      <c r="A18285" t="s">
        <v>30100</v>
      </c>
      <c r="B18285" t="s">
        <v>19650</v>
      </c>
      <c r="C18285" t="s">
        <v>454</v>
      </c>
      <c r="D18285" t="s">
        <v>423</v>
      </c>
      <c r="E18285" t="s">
        <v>154</v>
      </c>
      <c r="F18285" s="2" t="str">
        <f>HYPERLINK("http://www.otzar.org/book.asp?85811","יש מאין &lt;מהדורה חדשה&gt; - א")</f>
        <v>יש מאין &lt;מהדורה חדשה&gt; - א</v>
      </c>
    </row>
    <row r="18286" spans="1:6" x14ac:dyDescent="0.2">
      <c r="A18286" t="s">
        <v>30101</v>
      </c>
      <c r="B18286" t="s">
        <v>30102</v>
      </c>
      <c r="C18286" t="s">
        <v>13</v>
      </c>
      <c r="D18286" t="s">
        <v>14</v>
      </c>
      <c r="E18286" t="s">
        <v>241</v>
      </c>
      <c r="F18286" s="2" t="str">
        <f>HYPERLINK("http://www.otzar.org/book.asp?189441","יש מאין")</f>
        <v>יש מאין</v>
      </c>
    </row>
    <row r="18287" spans="1:6" x14ac:dyDescent="0.2">
      <c r="A18287" t="s">
        <v>30103</v>
      </c>
      <c r="B18287" t="s">
        <v>19650</v>
      </c>
      <c r="C18287" t="s">
        <v>18590</v>
      </c>
      <c r="D18287" t="s">
        <v>27</v>
      </c>
      <c r="E18287" t="s">
        <v>154</v>
      </c>
      <c r="F18287" s="2" t="str">
        <f>HYPERLINK("http://www.otzar.org/book.asp?155291","יש מאין - 2 כר'")</f>
        <v>יש מאין - 2 כר'</v>
      </c>
    </row>
    <row r="18288" spans="1:6" x14ac:dyDescent="0.2">
      <c r="A18288" t="s">
        <v>30104</v>
      </c>
      <c r="B18288" t="s">
        <v>30105</v>
      </c>
      <c r="C18288" t="s">
        <v>332</v>
      </c>
      <c r="D18288" t="s">
        <v>27</v>
      </c>
      <c r="E18288" t="s">
        <v>158</v>
      </c>
      <c r="F18288" s="2" t="str">
        <f>HYPERLINK("http://www.otzar.org/book.asp?169896","יש מאין - א")</f>
        <v>יש מאין - א</v>
      </c>
    </row>
    <row r="18289" spans="1:6" x14ac:dyDescent="0.2">
      <c r="A18289" t="s">
        <v>30106</v>
      </c>
      <c r="B18289" t="s">
        <v>30107</v>
      </c>
      <c r="C18289" t="s">
        <v>940</v>
      </c>
      <c r="D18289" t="s">
        <v>14</v>
      </c>
      <c r="E18289" t="s">
        <v>119</v>
      </c>
      <c r="F18289" s="2" t="str">
        <f>HYPERLINK("http://www.otzar.org/book.asp?26735","יש מנחילין")</f>
        <v>יש מנחילין</v>
      </c>
    </row>
    <row r="18290" spans="1:6" x14ac:dyDescent="0.2">
      <c r="A18290" t="s">
        <v>30108</v>
      </c>
      <c r="B18290" t="s">
        <v>11884</v>
      </c>
      <c r="C18290" t="s">
        <v>8002</v>
      </c>
      <c r="D18290" t="s">
        <v>1023</v>
      </c>
      <c r="E18290" t="s">
        <v>5935</v>
      </c>
      <c r="F18290" s="2" t="str">
        <f>HYPERLINK("http://www.otzar.org/book.asp?15719","יש נוחלין - 3 כר'")</f>
        <v>יש נוחלין - 3 כר'</v>
      </c>
    </row>
    <row r="18291" spans="1:6" x14ac:dyDescent="0.2">
      <c r="A18291" t="s">
        <v>30109</v>
      </c>
      <c r="B18291" t="s">
        <v>11884</v>
      </c>
      <c r="C18291" t="s">
        <v>523</v>
      </c>
      <c r="D18291" t="s">
        <v>14</v>
      </c>
      <c r="E18291" t="s">
        <v>241</v>
      </c>
      <c r="F18291" s="2" t="str">
        <f>HYPERLINK("http://www.otzar.org/book.asp?168114","יש נוחלין, ברית אברהם &lt;מהדורה חדשה&gt;")</f>
        <v>יש נוחלין, ברית אברהם &lt;מהדורה חדשה&gt;</v>
      </c>
    </row>
    <row r="18292" spans="1:6" x14ac:dyDescent="0.2">
      <c r="A18292" t="s">
        <v>30110</v>
      </c>
      <c r="B18292" t="s">
        <v>30111</v>
      </c>
      <c r="C18292" t="s">
        <v>422</v>
      </c>
      <c r="D18292" t="s">
        <v>118</v>
      </c>
      <c r="E18292" t="s">
        <v>202</v>
      </c>
      <c r="F18292" s="2" t="str">
        <f>HYPERLINK("http://www.otzar.org/book.asp?172016","יש קונה עולמו")</f>
        <v>יש קונה עולמו</v>
      </c>
    </row>
    <row r="18293" spans="1:6" x14ac:dyDescent="0.2">
      <c r="A18293" t="s">
        <v>30112</v>
      </c>
      <c r="B18293" t="s">
        <v>6210</v>
      </c>
      <c r="C18293" t="s">
        <v>523</v>
      </c>
      <c r="D18293" t="s">
        <v>14</v>
      </c>
      <c r="E18293" t="s">
        <v>8854</v>
      </c>
      <c r="F18293" s="2" t="str">
        <f>HYPERLINK("http://www.otzar.org/book.asp?156110","יש שכר &lt;מהדורה חדשה&gt;")</f>
        <v>יש שכר &lt;מהדורה חדשה&gt;</v>
      </c>
    </row>
    <row r="18294" spans="1:6" x14ac:dyDescent="0.2">
      <c r="A18294" t="s">
        <v>30113</v>
      </c>
      <c r="B18294" t="s">
        <v>30114</v>
      </c>
      <c r="C18294" t="s">
        <v>1062</v>
      </c>
      <c r="D18294" t="s">
        <v>27</v>
      </c>
      <c r="E18294" t="s">
        <v>1880</v>
      </c>
      <c r="F18294" s="2" t="str">
        <f>HYPERLINK("http://www.otzar.org/book.asp?174050","יש שכר")</f>
        <v>יש שכר</v>
      </c>
    </row>
    <row r="18295" spans="1:6" x14ac:dyDescent="0.2">
      <c r="A18295" t="s">
        <v>30115</v>
      </c>
      <c r="B18295" t="s">
        <v>6210</v>
      </c>
      <c r="C18295" t="s">
        <v>1047</v>
      </c>
      <c r="D18295" t="s">
        <v>283</v>
      </c>
      <c r="E18295" t="s">
        <v>399</v>
      </c>
      <c r="F18295" s="2" t="str">
        <f>HYPERLINK("http://www.otzar.org/book.asp?23505","יש שכר - 4 כר'")</f>
        <v>יש שכר - 4 כר'</v>
      </c>
    </row>
    <row r="18296" spans="1:6" x14ac:dyDescent="0.2">
      <c r="A18296" t="s">
        <v>30116</v>
      </c>
      <c r="B18296" t="s">
        <v>30117</v>
      </c>
      <c r="C18296" t="s">
        <v>23</v>
      </c>
      <c r="D18296" t="s">
        <v>1156</v>
      </c>
      <c r="E18296" t="s">
        <v>241</v>
      </c>
      <c r="F18296" s="2" t="str">
        <f>HYPERLINK("http://www.otzar.org/book.asp?193518","יש תקוה")</f>
        <v>יש תקוה</v>
      </c>
    </row>
    <row r="18297" spans="1:6" x14ac:dyDescent="0.2">
      <c r="A18297" t="s">
        <v>30118</v>
      </c>
      <c r="B18297" t="s">
        <v>14310</v>
      </c>
      <c r="C18297" t="s">
        <v>68</v>
      </c>
      <c r="D18297" t="s">
        <v>1076</v>
      </c>
      <c r="F18297" s="2" t="str">
        <f>HYPERLINK("http://www.otzar.org/book.asp?617535","יש""א ברכה")</f>
        <v>יש"א ברכה</v>
      </c>
    </row>
    <row r="18298" spans="1:6" x14ac:dyDescent="0.2">
      <c r="A18298" t="s">
        <v>30119</v>
      </c>
      <c r="B18298" t="s">
        <v>5358</v>
      </c>
      <c r="C18298" t="s">
        <v>1885</v>
      </c>
      <c r="D18298" t="s">
        <v>27</v>
      </c>
      <c r="E18298" t="s">
        <v>930</v>
      </c>
      <c r="F18298" s="2" t="str">
        <f>HYPERLINK("http://www.otzar.org/book.asp?14161","ישא איש")</f>
        <v>ישא איש</v>
      </c>
    </row>
    <row r="18299" spans="1:6" x14ac:dyDescent="0.2">
      <c r="A18299" t="s">
        <v>30120</v>
      </c>
      <c r="B18299" t="s">
        <v>4417</v>
      </c>
      <c r="C18299" t="s">
        <v>20</v>
      </c>
      <c r="D18299" t="s">
        <v>2285</v>
      </c>
      <c r="E18299" t="s">
        <v>15</v>
      </c>
      <c r="F18299" s="2" t="str">
        <f>HYPERLINK("http://www.otzar.org/book.asp?159523","ישא ברכה")</f>
        <v>ישא ברכה</v>
      </c>
    </row>
    <row r="18300" spans="1:6" x14ac:dyDescent="0.2">
      <c r="A18300" t="s">
        <v>30121</v>
      </c>
      <c r="B18300" t="s">
        <v>30122</v>
      </c>
      <c r="C18300" t="s">
        <v>103</v>
      </c>
      <c r="D18300" t="s">
        <v>646</v>
      </c>
      <c r="E18300" t="s">
        <v>144</v>
      </c>
      <c r="F18300" s="2" t="str">
        <f>HYPERLINK("http://www.otzar.org/book.asp?169006","ישא ברכה - 3 כר'")</f>
        <v>ישא ברכה - 3 כר'</v>
      </c>
    </row>
    <row r="18301" spans="1:6" x14ac:dyDescent="0.2">
      <c r="A18301" t="s">
        <v>30123</v>
      </c>
      <c r="B18301" t="s">
        <v>30124</v>
      </c>
      <c r="C18301" t="s">
        <v>775</v>
      </c>
      <c r="D18301" t="s">
        <v>412</v>
      </c>
      <c r="E18301" t="s">
        <v>2418</v>
      </c>
      <c r="F18301" s="2" t="str">
        <f>HYPERLINK("http://www.otzar.org/book.asp?10133","ישא ברכה - 5 כר'")</f>
        <v>ישא ברכה - 5 כר'</v>
      </c>
    </row>
    <row r="18302" spans="1:6" x14ac:dyDescent="0.2">
      <c r="A18302" t="s">
        <v>30120</v>
      </c>
      <c r="B18302" t="s">
        <v>30125</v>
      </c>
      <c r="C18302" t="s">
        <v>4240</v>
      </c>
      <c r="D18302" t="s">
        <v>212</v>
      </c>
      <c r="E18302" t="s">
        <v>674</v>
      </c>
      <c r="F18302" s="2" t="str">
        <f>HYPERLINK("http://www.otzar.org/book.asp?18915","ישא ברכה")</f>
        <v>ישא ברכה</v>
      </c>
    </row>
    <row r="18303" spans="1:6" x14ac:dyDescent="0.2">
      <c r="A18303" t="s">
        <v>30120</v>
      </c>
      <c r="B18303" t="s">
        <v>17153</v>
      </c>
      <c r="C18303" t="s">
        <v>1166</v>
      </c>
      <c r="D18303" t="s">
        <v>56</v>
      </c>
      <c r="E18303" t="s">
        <v>24</v>
      </c>
      <c r="F18303" s="2" t="str">
        <f>HYPERLINK("http://www.otzar.org/book.asp?103227","ישא ברכה")</f>
        <v>ישא ברכה</v>
      </c>
    </row>
    <row r="18304" spans="1:6" x14ac:dyDescent="0.2">
      <c r="A18304" t="s">
        <v>30126</v>
      </c>
      <c r="B18304" t="s">
        <v>30127</v>
      </c>
      <c r="C18304" t="s">
        <v>68</v>
      </c>
      <c r="D18304" t="s">
        <v>14</v>
      </c>
      <c r="E18304" t="s">
        <v>15</v>
      </c>
      <c r="F18304" s="2" t="str">
        <f>HYPERLINK("http://www.otzar.org/book.asp?199708","ישא יוסף - 5 כר'")</f>
        <v>ישא יוסף - 5 כר'</v>
      </c>
    </row>
    <row r="18305" spans="1:6" x14ac:dyDescent="0.2">
      <c r="A18305" t="s">
        <v>30128</v>
      </c>
      <c r="B18305" t="s">
        <v>30129</v>
      </c>
      <c r="C18305" t="s">
        <v>20</v>
      </c>
      <c r="D18305" t="s">
        <v>52</v>
      </c>
      <c r="E18305" t="s">
        <v>144</v>
      </c>
      <c r="F18305" s="2" t="str">
        <f>HYPERLINK("http://www.otzar.org/book.asp?621249","ישא מדברותיך - 2 כר'")</f>
        <v>ישא מדברותיך - 2 כר'</v>
      </c>
    </row>
    <row r="18306" spans="1:6" x14ac:dyDescent="0.2">
      <c r="A18306" t="s">
        <v>30130</v>
      </c>
      <c r="B18306" t="s">
        <v>30131</v>
      </c>
      <c r="C18306" t="s">
        <v>13</v>
      </c>
      <c r="D18306" t="s">
        <v>52</v>
      </c>
      <c r="E18306" t="s">
        <v>144</v>
      </c>
      <c r="F18306" s="2" t="str">
        <f>HYPERLINK("http://www.otzar.org/book.asp?159607","ישא מדברותיך")</f>
        <v>ישא מדברותיך</v>
      </c>
    </row>
    <row r="18307" spans="1:6" x14ac:dyDescent="0.2">
      <c r="A18307" t="s">
        <v>30132</v>
      </c>
      <c r="B18307" t="s">
        <v>30133</v>
      </c>
      <c r="C18307" t="s">
        <v>244</v>
      </c>
      <c r="D18307" t="s">
        <v>14</v>
      </c>
      <c r="E18307" t="s">
        <v>144</v>
      </c>
      <c r="F18307" s="2" t="str">
        <f>HYPERLINK("http://www.otzar.org/book.asp?608491","ישא מדברותיך - 9 כר'")</f>
        <v>ישא מדברותיך - 9 כר'</v>
      </c>
    </row>
    <row r="18308" spans="1:6" x14ac:dyDescent="0.2">
      <c r="A18308" t="s">
        <v>30134</v>
      </c>
      <c r="B18308" t="s">
        <v>30135</v>
      </c>
      <c r="C18308" t="s">
        <v>422</v>
      </c>
      <c r="D18308" t="s">
        <v>52</v>
      </c>
      <c r="E18308" t="s">
        <v>158</v>
      </c>
      <c r="F18308" s="2" t="str">
        <f>HYPERLINK("http://www.otzar.org/book.asp?163005","ישא מדברתיך")</f>
        <v>ישא מדברתיך</v>
      </c>
    </row>
    <row r="18309" spans="1:6" x14ac:dyDescent="0.2">
      <c r="A18309" t="s">
        <v>30136</v>
      </c>
      <c r="B18309" t="s">
        <v>8070</v>
      </c>
      <c r="C18309" t="s">
        <v>111</v>
      </c>
      <c r="D18309" t="s">
        <v>5172</v>
      </c>
      <c r="E18309" t="s">
        <v>15</v>
      </c>
      <c r="F18309" s="2" t="str">
        <f>HYPERLINK("http://www.otzar.org/book.asp?621846","ישא פניו")</f>
        <v>ישא פניו</v>
      </c>
    </row>
    <row r="18310" spans="1:6" x14ac:dyDescent="0.2">
      <c r="A18310" t="s">
        <v>30137</v>
      </c>
      <c r="B18310" t="s">
        <v>30138</v>
      </c>
      <c r="C18310" t="s">
        <v>20</v>
      </c>
      <c r="D18310" t="s">
        <v>14</v>
      </c>
      <c r="E18310" t="s">
        <v>733</v>
      </c>
      <c r="F18310" s="2" t="str">
        <f>HYPERLINK("http://www.otzar.org/book.asp?152928","ישאו הרים שלום")</f>
        <v>ישאו הרים שלום</v>
      </c>
    </row>
    <row r="18311" spans="1:6" x14ac:dyDescent="0.2">
      <c r="A18311" t="s">
        <v>30139</v>
      </c>
      <c r="B18311" t="s">
        <v>30140</v>
      </c>
      <c r="C18311" t="s">
        <v>2269</v>
      </c>
      <c r="D18311" t="s">
        <v>30141</v>
      </c>
      <c r="E18311" t="s">
        <v>219</v>
      </c>
      <c r="F18311" s="2" t="str">
        <f>HYPERLINK("http://www.otzar.org/book.asp?163362","ישאו נהרות מדהרות דהרות אסירים")</f>
        <v>ישאו נהרות מדהרות דהרות אסירים</v>
      </c>
    </row>
    <row r="18312" spans="1:6" x14ac:dyDescent="0.2">
      <c r="A18312" t="s">
        <v>30142</v>
      </c>
      <c r="B18312" t="s">
        <v>1750</v>
      </c>
      <c r="C18312" t="s">
        <v>114</v>
      </c>
      <c r="D18312" t="s">
        <v>14</v>
      </c>
      <c r="E18312" t="s">
        <v>2091</v>
      </c>
      <c r="F18312" s="2" t="str">
        <f>HYPERLINK("http://www.otzar.org/book.asp?626227","ישב אהלים")</f>
        <v>ישב אהלים</v>
      </c>
    </row>
    <row r="18313" spans="1:6" x14ac:dyDescent="0.2">
      <c r="A18313" t="s">
        <v>30143</v>
      </c>
      <c r="B18313" t="s">
        <v>30144</v>
      </c>
      <c r="C18313" t="s">
        <v>492</v>
      </c>
      <c r="D18313" t="s">
        <v>3627</v>
      </c>
      <c r="E18313" t="s">
        <v>15</v>
      </c>
      <c r="F18313" s="2" t="str">
        <f>HYPERLINK("http://www.otzar.org/book.asp?53409","ישב מצרף")</f>
        <v>ישב מצרף</v>
      </c>
    </row>
    <row r="18314" spans="1:6" x14ac:dyDescent="0.2">
      <c r="A18314" t="s">
        <v>30145</v>
      </c>
      <c r="B18314" t="s">
        <v>1809</v>
      </c>
      <c r="C18314" t="s">
        <v>1535</v>
      </c>
      <c r="D18314" t="s">
        <v>27</v>
      </c>
      <c r="E18314" t="s">
        <v>3755</v>
      </c>
      <c r="F18314" s="2" t="str">
        <f>HYPERLINK("http://www.otzar.org/book.asp?5990","ישב רוחו")</f>
        <v>ישב רוחו</v>
      </c>
    </row>
    <row r="18315" spans="1:6" x14ac:dyDescent="0.2">
      <c r="A18315" t="s">
        <v>30146</v>
      </c>
      <c r="B18315" t="s">
        <v>30147</v>
      </c>
      <c r="C18315" t="s">
        <v>124</v>
      </c>
      <c r="D18315" t="s">
        <v>14</v>
      </c>
      <c r="E18315" t="s">
        <v>10711</v>
      </c>
      <c r="F18315" s="2" t="str">
        <f>HYPERLINK("http://www.otzar.org/book.asp?9381","ישבב סופר - סנהדרין")</f>
        <v>ישבב סופר - סנהדרין</v>
      </c>
    </row>
    <row r="18316" spans="1:6" x14ac:dyDescent="0.2">
      <c r="A18316" t="s">
        <v>30148</v>
      </c>
      <c r="B18316" t="s">
        <v>30149</v>
      </c>
      <c r="C18316" t="s">
        <v>366</v>
      </c>
      <c r="D18316" t="s">
        <v>21</v>
      </c>
      <c r="E18316" t="s">
        <v>130</v>
      </c>
      <c r="F18316" s="2" t="str">
        <f>HYPERLINK("http://www.otzar.org/book.asp?609781","ישבו בסוכות")</f>
        <v>ישבו בסוכות</v>
      </c>
    </row>
    <row r="18317" spans="1:6" x14ac:dyDescent="0.2">
      <c r="A18317" t="s">
        <v>30150</v>
      </c>
      <c r="B18317" t="s">
        <v>20092</v>
      </c>
      <c r="C18317" t="s">
        <v>624</v>
      </c>
      <c r="D18317" t="s">
        <v>52</v>
      </c>
      <c r="E18317" t="s">
        <v>144</v>
      </c>
      <c r="F18317" s="2" t="str">
        <f>HYPERLINK("http://www.otzar.org/book.asp?26815","ישבת ציון")</f>
        <v>ישבת ציון</v>
      </c>
    </row>
    <row r="18318" spans="1:6" x14ac:dyDescent="0.2">
      <c r="A18318" t="s">
        <v>30150</v>
      </c>
      <c r="B18318" t="s">
        <v>30151</v>
      </c>
      <c r="C18318" t="s">
        <v>985</v>
      </c>
      <c r="D18318" t="s">
        <v>27</v>
      </c>
      <c r="E18318" t="s">
        <v>733</v>
      </c>
      <c r="F18318" s="2" t="str">
        <f>HYPERLINK("http://www.otzar.org/book.asp?142876","ישבת ציון")</f>
        <v>ישבת ציון</v>
      </c>
    </row>
    <row r="18319" spans="1:6" x14ac:dyDescent="0.2">
      <c r="A18319" t="s">
        <v>30152</v>
      </c>
      <c r="B18319" t="s">
        <v>30153</v>
      </c>
      <c r="C18319" t="s">
        <v>151</v>
      </c>
      <c r="D18319" t="s">
        <v>14</v>
      </c>
      <c r="E18319" t="s">
        <v>12089</v>
      </c>
      <c r="F18319" s="2" t="str">
        <f>HYPERLINK("http://www.otzar.org/book.asp?624839","ישגא בקודש")</f>
        <v>ישגא בקודש</v>
      </c>
    </row>
    <row r="18320" spans="1:6" x14ac:dyDescent="0.2">
      <c r="A18320" t="s">
        <v>30154</v>
      </c>
      <c r="B18320" t="s">
        <v>686</v>
      </c>
      <c r="C18320" t="s">
        <v>244</v>
      </c>
      <c r="D18320" t="s">
        <v>80</v>
      </c>
      <c r="E18320" t="s">
        <v>241</v>
      </c>
      <c r="F18320" s="2" t="str">
        <f>HYPERLINK("http://www.otzar.org/book.asp?606745","ישגיב בכוחו")</f>
        <v>ישגיב בכוחו</v>
      </c>
    </row>
    <row r="18321" spans="1:6" x14ac:dyDescent="0.2">
      <c r="A18321" t="s">
        <v>30155</v>
      </c>
      <c r="B18321" t="s">
        <v>8100</v>
      </c>
      <c r="C18321" t="s">
        <v>244</v>
      </c>
      <c r="D18321" t="s">
        <v>367</v>
      </c>
      <c r="F18321" s="2" t="str">
        <f>HYPERLINK("http://www.otzar.org/book.asp?198096","ישגיב בכוחו - איוב")</f>
        <v>ישגיב בכוחו - איוב</v>
      </c>
    </row>
    <row r="18322" spans="1:6" x14ac:dyDescent="0.2">
      <c r="A18322" t="s">
        <v>30156</v>
      </c>
      <c r="B18322" t="s">
        <v>3188</v>
      </c>
      <c r="C18322" t="s">
        <v>26</v>
      </c>
      <c r="D18322" t="s">
        <v>14</v>
      </c>
      <c r="E18322" t="s">
        <v>104</v>
      </c>
      <c r="F18322" s="2" t="str">
        <f>HYPERLINK("http://www.otzar.org/book.asp?625666","ישוב ארץ ישראל בזמן הזה")</f>
        <v>ישוב ארץ ישראל בזמן הזה</v>
      </c>
    </row>
    <row r="18323" spans="1:6" x14ac:dyDescent="0.2">
      <c r="A18323" t="s">
        <v>30157</v>
      </c>
      <c r="B18323" t="s">
        <v>19286</v>
      </c>
      <c r="C18323" t="s">
        <v>547</v>
      </c>
      <c r="D18323" t="s">
        <v>27</v>
      </c>
      <c r="E18323" t="s">
        <v>3261</v>
      </c>
      <c r="F18323" s="2" t="str">
        <f>HYPERLINK("http://www.otzar.org/book.asp?8314","ישוב ארץ ישראל")</f>
        <v>ישוב ארץ ישראל</v>
      </c>
    </row>
    <row r="18324" spans="1:6" x14ac:dyDescent="0.2">
      <c r="A18324" t="s">
        <v>30158</v>
      </c>
      <c r="B18324" t="s">
        <v>30159</v>
      </c>
      <c r="C18324" t="s">
        <v>1166</v>
      </c>
      <c r="D18324" t="s">
        <v>27</v>
      </c>
      <c r="F18324" s="2" t="str">
        <f>HYPERLINK("http://www.otzar.org/book.asp?84057","ישוב הארץ")</f>
        <v>ישוב הארץ</v>
      </c>
    </row>
    <row r="18325" spans="1:6" x14ac:dyDescent="0.2">
      <c r="A18325" t="s">
        <v>30160</v>
      </c>
      <c r="B18325" t="s">
        <v>7604</v>
      </c>
      <c r="C18325" t="s">
        <v>356</v>
      </c>
      <c r="D18325" t="s">
        <v>52</v>
      </c>
      <c r="E18325" t="s">
        <v>16725</v>
      </c>
      <c r="F18325" s="2" t="str">
        <f>HYPERLINK("http://www.otzar.org/book.asp?5738","ישוב הדעת")</f>
        <v>ישוב הדעת</v>
      </c>
    </row>
    <row r="18326" spans="1:6" x14ac:dyDescent="0.2">
      <c r="A18326" t="s">
        <v>30161</v>
      </c>
      <c r="B18326" t="s">
        <v>30162</v>
      </c>
      <c r="C18326" t="s">
        <v>649</v>
      </c>
      <c r="D18326" t="s">
        <v>30</v>
      </c>
      <c r="E18326" t="s">
        <v>714</v>
      </c>
      <c r="F18326" s="2" t="str">
        <f>HYPERLINK("http://www.otzar.org/book.asp?53410","ישוב משפט")</f>
        <v>ישוב משפט</v>
      </c>
    </row>
    <row r="18327" spans="1:6" x14ac:dyDescent="0.2">
      <c r="A18327" t="s">
        <v>30163</v>
      </c>
      <c r="B18327" t="s">
        <v>30164</v>
      </c>
      <c r="C18327" t="s">
        <v>366</v>
      </c>
      <c r="D18327" t="s">
        <v>52</v>
      </c>
      <c r="E18327" t="s">
        <v>674</v>
      </c>
      <c r="F18327" s="2" t="str">
        <f>HYPERLINK("http://www.otzar.org/book.asp?613178","ישועה בישראל &lt;מהדורה חדשה&gt;")</f>
        <v>ישועה בישראל &lt;מהדורה חדשה&gt;</v>
      </c>
    </row>
    <row r="18328" spans="1:6" x14ac:dyDescent="0.2">
      <c r="A18328" t="s">
        <v>30165</v>
      </c>
      <c r="B18328" t="s">
        <v>30164</v>
      </c>
      <c r="C18328" t="s">
        <v>10538</v>
      </c>
      <c r="D18328" t="s">
        <v>322</v>
      </c>
      <c r="E18328" t="s">
        <v>2463</v>
      </c>
      <c r="F18328" s="2" t="str">
        <f>HYPERLINK("http://www.otzar.org/book.asp?18916","ישועה בישראל - 2 כר'")</f>
        <v>ישועה בישראל - 2 כר'</v>
      </c>
    </row>
    <row r="18329" spans="1:6" x14ac:dyDescent="0.2">
      <c r="A18329" t="s">
        <v>30166</v>
      </c>
      <c r="B18329" t="s">
        <v>30167</v>
      </c>
      <c r="C18329" t="s">
        <v>11298</v>
      </c>
      <c r="D18329" t="s">
        <v>544</v>
      </c>
      <c r="E18329" t="s">
        <v>1211</v>
      </c>
      <c r="F18329" s="2" t="str">
        <f>HYPERLINK("http://www.otzar.org/book.asp?105045","ישועה בראש")</f>
        <v>ישועה בראש</v>
      </c>
    </row>
    <row r="18330" spans="1:6" x14ac:dyDescent="0.2">
      <c r="A18330" t="s">
        <v>30168</v>
      </c>
      <c r="B18330" t="s">
        <v>3292</v>
      </c>
      <c r="C18330" t="s">
        <v>2644</v>
      </c>
      <c r="D18330" t="s">
        <v>30169</v>
      </c>
      <c r="E18330" t="s">
        <v>144</v>
      </c>
      <c r="F18330" s="2" t="str">
        <f>HYPERLINK("http://www.otzar.org/book.asp?52158","ישועה גדולה")</f>
        <v>ישועה גדולה</v>
      </c>
    </row>
    <row r="18331" spans="1:6" x14ac:dyDescent="0.2">
      <c r="A18331" t="s">
        <v>30170</v>
      </c>
      <c r="B18331" t="s">
        <v>3384</v>
      </c>
      <c r="C18331" t="s">
        <v>68</v>
      </c>
      <c r="D18331" t="s">
        <v>14</v>
      </c>
      <c r="E18331" t="s">
        <v>104</v>
      </c>
      <c r="F18331" s="2" t="str">
        <f>HYPERLINK("http://www.otzar.org/book.asp?154231","ישועה והצלחה")</f>
        <v>ישועה והצלחה</v>
      </c>
    </row>
    <row r="18332" spans="1:6" x14ac:dyDescent="0.2">
      <c r="A18332" t="s">
        <v>30171</v>
      </c>
      <c r="B18332" t="s">
        <v>30172</v>
      </c>
      <c r="C18332" t="s">
        <v>10303</v>
      </c>
      <c r="D18332" t="s">
        <v>30173</v>
      </c>
      <c r="F18332" s="2" t="str">
        <f>HYPERLINK("http://www.otzar.org/book.asp?620586","ישועה ונחמה")</f>
        <v>ישועה ונחמה</v>
      </c>
    </row>
    <row r="18333" spans="1:6" x14ac:dyDescent="0.2">
      <c r="A18333" t="s">
        <v>30174</v>
      </c>
      <c r="B18333" t="s">
        <v>30175</v>
      </c>
      <c r="C18333" t="s">
        <v>558</v>
      </c>
      <c r="D18333" t="s">
        <v>27</v>
      </c>
      <c r="E18333" t="s">
        <v>30176</v>
      </c>
      <c r="F18333" s="2" t="str">
        <f>HYPERLINK("http://www.otzar.org/book.asp?200120","ישועה ורחמים")</f>
        <v>ישועה ורחמים</v>
      </c>
    </row>
    <row r="18334" spans="1:6" x14ac:dyDescent="0.2">
      <c r="A18334" t="s">
        <v>30177</v>
      </c>
      <c r="B18334" t="s">
        <v>30178</v>
      </c>
      <c r="C18334" t="s">
        <v>17</v>
      </c>
      <c r="D18334" t="s">
        <v>52</v>
      </c>
      <c r="E18334" t="s">
        <v>154</v>
      </c>
      <c r="F18334" s="2" t="str">
        <f>HYPERLINK("http://www.otzar.org/book.asp?51085","ישועה ורחמים - 2 כר'")</f>
        <v>ישועה ורחמים - 2 כר'</v>
      </c>
    </row>
    <row r="18335" spans="1:6" x14ac:dyDescent="0.2">
      <c r="A18335" t="s">
        <v>30179</v>
      </c>
      <c r="B18335" t="s">
        <v>30180</v>
      </c>
      <c r="C18335" t="s">
        <v>103</v>
      </c>
      <c r="D18335" t="s">
        <v>52</v>
      </c>
      <c r="E18335" t="s">
        <v>144</v>
      </c>
      <c r="F18335" s="2" t="str">
        <f>HYPERLINK("http://www.otzar.org/book.asp?615757","ישועות אהרן")</f>
        <v>ישועות אהרן</v>
      </c>
    </row>
    <row r="18336" spans="1:6" x14ac:dyDescent="0.2">
      <c r="A18336" t="s">
        <v>30181</v>
      </c>
      <c r="B18336" t="s">
        <v>24063</v>
      </c>
      <c r="C18336" t="s">
        <v>422</v>
      </c>
      <c r="D18336" t="s">
        <v>412</v>
      </c>
      <c r="E18336" t="s">
        <v>4731</v>
      </c>
      <c r="F18336" s="2" t="str">
        <f>HYPERLINK("http://www.otzar.org/book.asp?163621","ישועות אליעזר - סדר הושענות &lt;כובע ישועה&gt;")</f>
        <v>ישועות אליעזר - סדר הושענות &lt;כובע ישועה&gt;</v>
      </c>
    </row>
    <row r="18337" spans="1:6" x14ac:dyDescent="0.2">
      <c r="A18337" t="s">
        <v>30182</v>
      </c>
      <c r="B18337" t="s">
        <v>21980</v>
      </c>
      <c r="C18337" t="s">
        <v>51</v>
      </c>
      <c r="D18337" t="s">
        <v>52</v>
      </c>
      <c r="E18337" t="s">
        <v>803</v>
      </c>
      <c r="F18337" s="2" t="str">
        <f>HYPERLINK("http://www.otzar.org/book.asp?84371","ישועות אריה - 2 כר'")</f>
        <v>ישועות אריה - 2 כר'</v>
      </c>
    </row>
    <row r="18338" spans="1:6" x14ac:dyDescent="0.2">
      <c r="A18338" t="s">
        <v>30183</v>
      </c>
      <c r="B18338" t="s">
        <v>30184</v>
      </c>
      <c r="C18338" t="s">
        <v>133</v>
      </c>
      <c r="D18338" t="s">
        <v>14</v>
      </c>
      <c r="E18338" t="s">
        <v>30185</v>
      </c>
      <c r="F18338" s="2" t="str">
        <f>HYPERLINK("http://www.otzar.org/book.asp?177170","ישועות אשא")</f>
        <v>ישועות אשא</v>
      </c>
    </row>
    <row r="18339" spans="1:6" x14ac:dyDescent="0.2">
      <c r="A18339" t="s">
        <v>30186</v>
      </c>
      <c r="B18339" t="s">
        <v>30187</v>
      </c>
      <c r="C18339" t="s">
        <v>11723</v>
      </c>
      <c r="D18339" t="s">
        <v>729</v>
      </c>
      <c r="F18339" s="2" t="str">
        <f>HYPERLINK("http://www.otzar.org/book.asp?163369","ישועות ונחמות")</f>
        <v>ישועות ונחמות</v>
      </c>
    </row>
    <row r="18340" spans="1:6" x14ac:dyDescent="0.2">
      <c r="A18340" t="s">
        <v>30188</v>
      </c>
      <c r="B18340" t="s">
        <v>12440</v>
      </c>
      <c r="C18340" t="s">
        <v>1718</v>
      </c>
      <c r="D18340" t="s">
        <v>283</v>
      </c>
      <c r="E18340" t="s">
        <v>148</v>
      </c>
      <c r="F18340" s="2" t="str">
        <f>HYPERLINK("http://www.otzar.org/book.asp?11957","ישועות חיים")</f>
        <v>ישועות חיים</v>
      </c>
    </row>
    <row r="18341" spans="1:6" x14ac:dyDescent="0.2">
      <c r="A18341" t="s">
        <v>30189</v>
      </c>
      <c r="B18341" t="s">
        <v>3166</v>
      </c>
      <c r="C18341" t="s">
        <v>466</v>
      </c>
      <c r="D18341" t="s">
        <v>14</v>
      </c>
      <c r="E18341" t="s">
        <v>15</v>
      </c>
      <c r="F18341" s="2" t="str">
        <f>HYPERLINK("http://www.otzar.org/book.asp?62371","ישועות חיים - 2 כר'")</f>
        <v>ישועות חיים - 2 כר'</v>
      </c>
    </row>
    <row r="18342" spans="1:6" x14ac:dyDescent="0.2">
      <c r="A18342" t="s">
        <v>30190</v>
      </c>
      <c r="B18342" t="s">
        <v>12440</v>
      </c>
      <c r="C18342" t="s">
        <v>362</v>
      </c>
      <c r="D18342" t="s">
        <v>726</v>
      </c>
      <c r="E18342" t="s">
        <v>674</v>
      </c>
      <c r="F18342" s="2" t="str">
        <f>HYPERLINK("http://www.otzar.org/book.asp?25589","ישועות חכמה")</f>
        <v>ישועות חכמה</v>
      </c>
    </row>
    <row r="18343" spans="1:6" x14ac:dyDescent="0.2">
      <c r="A18343" t="s">
        <v>30191</v>
      </c>
      <c r="B18343" t="s">
        <v>30192</v>
      </c>
      <c r="C18343" t="s">
        <v>429</v>
      </c>
      <c r="D18343" t="s">
        <v>56</v>
      </c>
      <c r="E18343" t="s">
        <v>10013</v>
      </c>
      <c r="F18343" s="2" t="str">
        <f>HYPERLINK("http://www.otzar.org/book.asp?200239","ישועות יהושע")</f>
        <v>ישועות יהושע</v>
      </c>
    </row>
    <row r="18344" spans="1:6" x14ac:dyDescent="0.2">
      <c r="A18344" t="s">
        <v>30193</v>
      </c>
      <c r="B18344" t="s">
        <v>359</v>
      </c>
      <c r="C18344" t="s">
        <v>362</v>
      </c>
      <c r="D18344" t="s">
        <v>283</v>
      </c>
      <c r="E18344" t="s">
        <v>463</v>
      </c>
      <c r="F18344" s="2" t="str">
        <f>HYPERLINK("http://www.otzar.org/book.asp?18918","ישועות יעקב אחרון")</f>
        <v>ישועות יעקב אחרון</v>
      </c>
    </row>
    <row r="18345" spans="1:6" x14ac:dyDescent="0.2">
      <c r="A18345" t="s">
        <v>30194</v>
      </c>
      <c r="B18345" t="s">
        <v>30195</v>
      </c>
      <c r="C18345" t="s">
        <v>20</v>
      </c>
      <c r="D18345" t="s">
        <v>21</v>
      </c>
      <c r="F18345" s="2" t="str">
        <f>HYPERLINK("http://www.otzar.org/book.asp?601626","ישועות יעקב - 6 כר'")</f>
        <v>ישועות יעקב - 6 כר'</v>
      </c>
    </row>
    <row r="18346" spans="1:6" x14ac:dyDescent="0.2">
      <c r="A18346" t="s">
        <v>30196</v>
      </c>
      <c r="B18346" t="s">
        <v>30197</v>
      </c>
      <c r="C18346" t="s">
        <v>15405</v>
      </c>
      <c r="D18346" t="s">
        <v>212</v>
      </c>
      <c r="E18346" t="s">
        <v>993</v>
      </c>
      <c r="F18346" s="2" t="str">
        <f>HYPERLINK("http://www.otzar.org/book.asp?83607","ישועות יעקב")</f>
        <v>ישועות יעקב</v>
      </c>
    </row>
    <row r="18347" spans="1:6" x14ac:dyDescent="0.2">
      <c r="A18347" t="s">
        <v>30196</v>
      </c>
      <c r="B18347" t="s">
        <v>24294</v>
      </c>
      <c r="C18347" t="s">
        <v>5334</v>
      </c>
      <c r="D18347" t="s">
        <v>212</v>
      </c>
      <c r="E18347" t="s">
        <v>158</v>
      </c>
      <c r="F18347" s="2" t="str">
        <f>HYPERLINK("http://www.otzar.org/book.asp?24648","ישועות יעקב")</f>
        <v>ישועות יעקב</v>
      </c>
    </row>
    <row r="18348" spans="1:6" x14ac:dyDescent="0.2">
      <c r="A18348" t="s">
        <v>30198</v>
      </c>
      <c r="B18348" t="s">
        <v>206</v>
      </c>
      <c r="C18348" t="s">
        <v>1246</v>
      </c>
      <c r="D18348" t="s">
        <v>27</v>
      </c>
      <c r="E18348" t="s">
        <v>741</v>
      </c>
      <c r="F18348" s="2" t="str">
        <f>HYPERLINK("http://www.otzar.org/book.asp?19149","ישועות ישראל")</f>
        <v>ישועות ישראל</v>
      </c>
    </row>
    <row r="18349" spans="1:6" x14ac:dyDescent="0.2">
      <c r="A18349" t="s">
        <v>30198</v>
      </c>
      <c r="B18349" t="s">
        <v>30199</v>
      </c>
      <c r="C18349" t="s">
        <v>395</v>
      </c>
      <c r="D18349" t="s">
        <v>855</v>
      </c>
      <c r="E18349" t="s">
        <v>140</v>
      </c>
      <c r="F18349" s="2" t="str">
        <f>HYPERLINK("http://www.otzar.org/book.asp?24649","ישועות ישראל")</f>
        <v>ישועות ישראל</v>
      </c>
    </row>
    <row r="18350" spans="1:6" x14ac:dyDescent="0.2">
      <c r="A18350" t="s">
        <v>30200</v>
      </c>
      <c r="B18350" t="s">
        <v>30201</v>
      </c>
      <c r="C18350" t="s">
        <v>600</v>
      </c>
      <c r="D18350" t="s">
        <v>283</v>
      </c>
      <c r="F18350" s="2" t="str">
        <f>HYPERLINK("http://www.otzar.org/book.asp?155048","ישועות ישראל - 2 כר'")</f>
        <v>ישועות ישראל - 2 כר'</v>
      </c>
    </row>
    <row r="18351" spans="1:6" x14ac:dyDescent="0.2">
      <c r="A18351" t="s">
        <v>30198</v>
      </c>
      <c r="B18351" t="s">
        <v>30202</v>
      </c>
      <c r="C18351" t="s">
        <v>2644</v>
      </c>
      <c r="D18351" t="s">
        <v>352</v>
      </c>
      <c r="E18351" t="s">
        <v>119</v>
      </c>
      <c r="F18351" s="2" t="str">
        <f>HYPERLINK("http://www.otzar.org/book.asp?149591","ישועות ישראל")</f>
        <v>ישועות ישראל</v>
      </c>
    </row>
    <row r="18352" spans="1:6" x14ac:dyDescent="0.2">
      <c r="A18352" t="s">
        <v>30203</v>
      </c>
      <c r="B18352" t="s">
        <v>30204</v>
      </c>
      <c r="C18352" t="s">
        <v>23</v>
      </c>
      <c r="D18352" t="s">
        <v>52</v>
      </c>
      <c r="E18352" t="s">
        <v>144</v>
      </c>
      <c r="F18352" s="2" t="str">
        <f>HYPERLINK("http://www.otzar.org/book.asp?630519","ישועות כהן - 29 כר'")</f>
        <v>ישועות כהן - 29 כר'</v>
      </c>
    </row>
    <row r="18353" spans="1:6" x14ac:dyDescent="0.2">
      <c r="A18353" t="s">
        <v>30205</v>
      </c>
      <c r="B18353" t="s">
        <v>30201</v>
      </c>
      <c r="C18353" t="s">
        <v>8</v>
      </c>
      <c r="D18353" t="s">
        <v>225</v>
      </c>
      <c r="E18353" t="s">
        <v>10</v>
      </c>
      <c r="F18353" s="2" t="str">
        <f>HYPERLINK("http://www.otzar.org/book.asp?155046","ישועות מלכו &lt;קרית ארבע&gt;")</f>
        <v>ישועות מלכו &lt;קרית ארבע&gt;</v>
      </c>
    </row>
    <row r="18354" spans="1:6" x14ac:dyDescent="0.2">
      <c r="A18354" t="s">
        <v>30206</v>
      </c>
      <c r="B18354" t="s">
        <v>30201</v>
      </c>
      <c r="C18354" t="s">
        <v>1609</v>
      </c>
      <c r="D18354" t="s">
        <v>986</v>
      </c>
      <c r="E18354" t="s">
        <v>396</v>
      </c>
      <c r="F18354" s="2" t="str">
        <f>HYPERLINK("http://www.otzar.org/book.asp?10686","ישועות מלכו")</f>
        <v>ישועות מלכו</v>
      </c>
    </row>
    <row r="18355" spans="1:6" x14ac:dyDescent="0.2">
      <c r="A18355" t="s">
        <v>30206</v>
      </c>
      <c r="B18355" t="s">
        <v>30207</v>
      </c>
      <c r="C18355" t="s">
        <v>1570</v>
      </c>
      <c r="D18355" t="s">
        <v>14</v>
      </c>
      <c r="F18355" s="2" t="str">
        <f>HYPERLINK("http://www.otzar.org/book.asp?616075","ישועות מלכו")</f>
        <v>ישועות מלכו</v>
      </c>
    </row>
    <row r="18356" spans="1:6" x14ac:dyDescent="0.2">
      <c r="A18356" t="s">
        <v>30208</v>
      </c>
      <c r="B18356" t="s">
        <v>30209</v>
      </c>
      <c r="C18356" t="s">
        <v>20</v>
      </c>
      <c r="D18356" t="s">
        <v>90</v>
      </c>
      <c r="E18356" t="s">
        <v>6134</v>
      </c>
      <c r="F18356" s="2" t="str">
        <f>HYPERLINK("http://www.otzar.org/book.asp?603136","ישועות מנחם")</f>
        <v>ישועות מנחם</v>
      </c>
    </row>
    <row r="18357" spans="1:6" x14ac:dyDescent="0.2">
      <c r="A18357" t="s">
        <v>30210</v>
      </c>
      <c r="B18357" t="s">
        <v>2861</v>
      </c>
      <c r="C18357" t="s">
        <v>23</v>
      </c>
      <c r="D18357" t="s">
        <v>52</v>
      </c>
      <c r="E18357" t="s">
        <v>1185</v>
      </c>
      <c r="F18357" s="2" t="str">
        <f>HYPERLINK("http://www.otzar.org/book.asp?612937","ישועות משה - 9 כר'")</f>
        <v>ישועות משה - 9 כר'</v>
      </c>
    </row>
    <row r="18358" spans="1:6" x14ac:dyDescent="0.2">
      <c r="A18358" t="s">
        <v>30211</v>
      </c>
      <c r="B18358" t="s">
        <v>17467</v>
      </c>
      <c r="C18358" t="s">
        <v>1737</v>
      </c>
      <c r="D18358" t="s">
        <v>20339</v>
      </c>
      <c r="F18358" s="2" t="str">
        <f>HYPERLINK("http://www.otzar.org/book.asp?152810","ישועות משיחו - 2 כר'")</f>
        <v>ישועות משיחו - 2 כר'</v>
      </c>
    </row>
    <row r="18359" spans="1:6" x14ac:dyDescent="0.2">
      <c r="A18359" t="s">
        <v>30212</v>
      </c>
      <c r="B18359" t="s">
        <v>30213</v>
      </c>
      <c r="C18359" t="s">
        <v>151</v>
      </c>
      <c r="D18359" t="s">
        <v>21</v>
      </c>
      <c r="E18359" t="s">
        <v>144</v>
      </c>
      <c r="F18359" s="2" t="str">
        <f>HYPERLINK("http://www.otzar.org/book.asp?622090","ישועות שלום - סוכה")</f>
        <v>ישועות שלום - סוכה</v>
      </c>
    </row>
    <row r="18360" spans="1:6" x14ac:dyDescent="0.2">
      <c r="A18360" t="s">
        <v>30214</v>
      </c>
      <c r="B18360" t="s">
        <v>30215</v>
      </c>
      <c r="C18360" t="s">
        <v>18447</v>
      </c>
      <c r="D18360" t="s">
        <v>56</v>
      </c>
      <c r="E18360" t="s">
        <v>5580</v>
      </c>
      <c r="F18360" s="2" t="str">
        <f>HYPERLINK("http://www.otzar.org/book.asp?103228","ישועות שמשון - 2 כר'")</f>
        <v>ישועות שמשון - 2 כר'</v>
      </c>
    </row>
    <row r="18361" spans="1:6" x14ac:dyDescent="0.2">
      <c r="A18361" t="s">
        <v>30216</v>
      </c>
      <c r="B18361" t="s">
        <v>4886</v>
      </c>
      <c r="C18361" t="s">
        <v>775</v>
      </c>
      <c r="D18361" t="s">
        <v>52</v>
      </c>
      <c r="E18361" t="s">
        <v>2071</v>
      </c>
      <c r="F18361" s="2" t="str">
        <f>HYPERLINK("http://www.otzar.org/book.asp?61385","ישועת בנימן")</f>
        <v>ישועת בנימן</v>
      </c>
    </row>
    <row r="18362" spans="1:6" x14ac:dyDescent="0.2">
      <c r="A18362" t="s">
        <v>30217</v>
      </c>
      <c r="B18362" t="s">
        <v>30218</v>
      </c>
      <c r="C18362" t="s">
        <v>111</v>
      </c>
      <c r="D18362" t="s">
        <v>1156</v>
      </c>
      <c r="E18362" t="s">
        <v>144</v>
      </c>
      <c r="F18362" s="2" t="str">
        <f>HYPERLINK("http://www.otzar.org/book.asp?622260","ישועת ברוך - 2 כר'")</f>
        <v>ישועת ברוך - 2 כר'</v>
      </c>
    </row>
    <row r="18363" spans="1:6" x14ac:dyDescent="0.2">
      <c r="A18363" t="s">
        <v>30219</v>
      </c>
      <c r="B18363" t="s">
        <v>30220</v>
      </c>
      <c r="C18363" t="s">
        <v>129</v>
      </c>
      <c r="D18363" t="s">
        <v>486</v>
      </c>
      <c r="E18363" t="s">
        <v>144</v>
      </c>
      <c r="F18363" s="2" t="str">
        <f>HYPERLINK("http://www.otzar.org/book.asp?157311","ישועת ברוך - 3 כר'")</f>
        <v>ישועת ברוך - 3 כר'</v>
      </c>
    </row>
    <row r="18364" spans="1:6" x14ac:dyDescent="0.2">
      <c r="A18364" t="s">
        <v>30221</v>
      </c>
      <c r="B18364" t="s">
        <v>30222</v>
      </c>
      <c r="C18364" t="s">
        <v>438</v>
      </c>
      <c r="D18364" t="s">
        <v>80</v>
      </c>
      <c r="E18364" t="s">
        <v>172</v>
      </c>
      <c r="F18364" s="2" t="str">
        <f>HYPERLINK("http://www.otzar.org/book.asp?106708","ישועת דוד - 7 כר'")</f>
        <v>ישועת דוד - 7 כר'</v>
      </c>
    </row>
    <row r="18365" spans="1:6" x14ac:dyDescent="0.2">
      <c r="A18365" t="s">
        <v>30223</v>
      </c>
      <c r="B18365" t="s">
        <v>30224</v>
      </c>
      <c r="C18365" t="s">
        <v>13</v>
      </c>
      <c r="D18365" t="s">
        <v>152</v>
      </c>
      <c r="E18365" t="s">
        <v>872</v>
      </c>
      <c r="F18365" s="2" t="str">
        <f>HYPERLINK("http://www.otzar.org/book.asp?61981","ישועת דניאל - 4 כר'")</f>
        <v>ישועת דניאל - 4 כר'</v>
      </c>
    </row>
    <row r="18366" spans="1:6" x14ac:dyDescent="0.2">
      <c r="A18366" t="s">
        <v>30225</v>
      </c>
      <c r="B18366" t="s">
        <v>10216</v>
      </c>
      <c r="C18366" t="s">
        <v>30226</v>
      </c>
      <c r="D18366" t="s">
        <v>25125</v>
      </c>
      <c r="E18366" t="s">
        <v>15</v>
      </c>
      <c r="F18366" s="2" t="str">
        <f>HYPERLINK("http://www.otzar.org/book.asp?602607","ישועת יעקב")</f>
        <v>ישועת יעקב</v>
      </c>
    </row>
    <row r="18367" spans="1:6" x14ac:dyDescent="0.2">
      <c r="A18367" t="s">
        <v>30227</v>
      </c>
      <c r="B18367" t="s">
        <v>30228</v>
      </c>
      <c r="C18367" t="s">
        <v>2543</v>
      </c>
      <c r="D18367" t="s">
        <v>4124</v>
      </c>
      <c r="E18367" t="s">
        <v>158</v>
      </c>
      <c r="F18367" s="2" t="str">
        <f>HYPERLINK("http://www.otzar.org/book.asp?154146","ישועת יעקב - 2 כר'")</f>
        <v>ישועת יעקב - 2 כר'</v>
      </c>
    </row>
    <row r="18368" spans="1:6" x14ac:dyDescent="0.2">
      <c r="A18368" t="s">
        <v>30229</v>
      </c>
      <c r="B18368" t="s">
        <v>30230</v>
      </c>
      <c r="C18368" t="s">
        <v>775</v>
      </c>
      <c r="D18368" t="s">
        <v>115</v>
      </c>
      <c r="E18368" t="s">
        <v>463</v>
      </c>
      <c r="F18368" s="2" t="str">
        <f>HYPERLINK("http://www.otzar.org/book.asp?148750","ישועת ישכר")</f>
        <v>ישועת ישכר</v>
      </c>
    </row>
    <row r="18369" spans="1:6" x14ac:dyDescent="0.2">
      <c r="A18369" t="s">
        <v>30231</v>
      </c>
      <c r="B18369" t="s">
        <v>4073</v>
      </c>
      <c r="C18369" t="s">
        <v>888</v>
      </c>
      <c r="D18369" t="s">
        <v>283</v>
      </c>
      <c r="E18369" t="s">
        <v>154</v>
      </c>
      <c r="F18369" s="2" t="str">
        <f>HYPERLINK("http://www.otzar.org/book.asp?153393","ישועת ישראל")</f>
        <v>ישועת ישראל</v>
      </c>
    </row>
    <row r="18370" spans="1:6" x14ac:dyDescent="0.2">
      <c r="A18370" t="s">
        <v>30232</v>
      </c>
      <c r="B18370" t="s">
        <v>30233</v>
      </c>
      <c r="C18370" t="s">
        <v>30234</v>
      </c>
      <c r="D18370" t="s">
        <v>216</v>
      </c>
      <c r="E18370" t="s">
        <v>154</v>
      </c>
      <c r="F18370" s="2" t="str">
        <f>HYPERLINK("http://www.otzar.org/book.asp?12935","ישועת משה - 4 כר'")</f>
        <v>ישועת משה - 4 כר'</v>
      </c>
    </row>
    <row r="18371" spans="1:6" x14ac:dyDescent="0.2">
      <c r="A18371" t="s">
        <v>30235</v>
      </c>
      <c r="B18371" t="s">
        <v>30236</v>
      </c>
      <c r="C18371" t="s">
        <v>585</v>
      </c>
      <c r="D18371" t="s">
        <v>14</v>
      </c>
      <c r="E18371" t="s">
        <v>2695</v>
      </c>
      <c r="F18371" s="2" t="str">
        <f>HYPERLINK("http://www.otzar.org/book.asp?160844","ישועת משה")</f>
        <v>ישועת משה</v>
      </c>
    </row>
    <row r="18372" spans="1:6" x14ac:dyDescent="0.2">
      <c r="A18372" t="s">
        <v>30237</v>
      </c>
      <c r="B18372" t="s">
        <v>30041</v>
      </c>
      <c r="C18372" t="s">
        <v>473</v>
      </c>
      <c r="D18372" t="s">
        <v>4352</v>
      </c>
      <c r="F18372" s="2" t="str">
        <f>HYPERLINK("http://www.otzar.org/book.asp?628339","ישורון &lt;גרמנית&gt; - 130 כר'")</f>
        <v>ישורון &lt;גרמנית&gt; - 130 כר'</v>
      </c>
    </row>
    <row r="18373" spans="1:6" x14ac:dyDescent="0.2">
      <c r="A18373" t="s">
        <v>30238</v>
      </c>
      <c r="B18373" t="s">
        <v>382</v>
      </c>
      <c r="C18373" t="s">
        <v>767</v>
      </c>
      <c r="D18373" t="s">
        <v>14</v>
      </c>
      <c r="E18373" t="s">
        <v>202</v>
      </c>
      <c r="F18373" s="2" t="str">
        <f>HYPERLINK("http://www.otzar.org/book.asp?625583","ישורון - 42 כר'")</f>
        <v>ישורון - 42 כר'</v>
      </c>
    </row>
    <row r="18374" spans="1:6" x14ac:dyDescent="0.2">
      <c r="A18374" t="s">
        <v>30239</v>
      </c>
      <c r="B18374" t="s">
        <v>30240</v>
      </c>
      <c r="C18374" t="s">
        <v>176</v>
      </c>
      <c r="D18374" t="s">
        <v>14</v>
      </c>
      <c r="E18374" t="s">
        <v>172</v>
      </c>
      <c r="F18374" s="2" t="str">
        <f>HYPERLINK("http://www.otzar.org/book.asp?26309","ישיב יצחק &lt;שו""ע&gt; - 13 כר'")</f>
        <v>ישיב יצחק &lt;שו"ע&gt; - 13 כר'</v>
      </c>
    </row>
    <row r="18375" spans="1:6" x14ac:dyDescent="0.2">
      <c r="A18375" t="s">
        <v>30241</v>
      </c>
      <c r="B18375" t="s">
        <v>30240</v>
      </c>
      <c r="C18375" t="s">
        <v>313</v>
      </c>
      <c r="D18375" t="s">
        <v>14</v>
      </c>
      <c r="E18375" t="s">
        <v>154</v>
      </c>
      <c r="F18375" s="2" t="str">
        <f>HYPERLINK("http://www.otzar.org/book.asp?26317","ישיב יצחק &lt;שו""ת&gt; - 10 כר'")</f>
        <v>ישיב יצחק &lt;שו"ת&gt; - 10 כר'</v>
      </c>
    </row>
    <row r="18376" spans="1:6" x14ac:dyDescent="0.2">
      <c r="A18376" t="s">
        <v>30242</v>
      </c>
      <c r="B18376" t="s">
        <v>30243</v>
      </c>
      <c r="C18376" t="s">
        <v>10994</v>
      </c>
      <c r="D18376" t="s">
        <v>1889</v>
      </c>
      <c r="E18376" t="s">
        <v>154</v>
      </c>
      <c r="F18376" s="2" t="str">
        <f>HYPERLINK("http://www.otzar.org/book.asp?300569","ישיב משה - 3 כר'")</f>
        <v>ישיב משה - 3 כר'</v>
      </c>
    </row>
    <row r="18377" spans="1:6" x14ac:dyDescent="0.2">
      <c r="A18377" t="s">
        <v>30244</v>
      </c>
      <c r="B18377" t="s">
        <v>1750</v>
      </c>
      <c r="C18377" t="s">
        <v>114</v>
      </c>
      <c r="D18377" t="s">
        <v>21</v>
      </c>
      <c r="E18377" t="s">
        <v>104</v>
      </c>
      <c r="F18377" s="2" t="str">
        <f>HYPERLINK("http://www.otzar.org/book.asp?193133","ישיבה - מהותה יחודה וחשיבותה")</f>
        <v>ישיבה - מהותה יחודה וחשיבותה</v>
      </c>
    </row>
    <row r="18378" spans="1:6" x14ac:dyDescent="0.2">
      <c r="A18378" t="s">
        <v>30245</v>
      </c>
      <c r="B18378" t="s">
        <v>17145</v>
      </c>
      <c r="C18378" t="s">
        <v>334</v>
      </c>
      <c r="D18378" t="s">
        <v>14</v>
      </c>
      <c r="F18378" s="2" t="str">
        <f>HYPERLINK("http://www.otzar.org/book.asp?600413","ישיבות הונגריה בגדולתן ובחורבנן - 2 כר'")</f>
        <v>ישיבות הונגריה בגדולתן ובחורבנן - 2 כר'</v>
      </c>
    </row>
    <row r="18379" spans="1:6" x14ac:dyDescent="0.2">
      <c r="A18379" t="s">
        <v>30246</v>
      </c>
      <c r="B18379" t="s">
        <v>30247</v>
      </c>
      <c r="D18379" t="s">
        <v>412</v>
      </c>
      <c r="E18379" t="s">
        <v>104</v>
      </c>
      <c r="F18379" s="2" t="str">
        <f>HYPERLINK("http://www.otzar.org/book.asp?192355","ישיבת אהבת תורה ברנוביץ - 22 כר'")</f>
        <v>ישיבת אהבת תורה ברנוביץ - 22 כר'</v>
      </c>
    </row>
    <row r="18380" spans="1:6" x14ac:dyDescent="0.2">
      <c r="A18380" t="s">
        <v>30248</v>
      </c>
      <c r="B18380" t="s">
        <v>26302</v>
      </c>
      <c r="C18380" t="s">
        <v>176</v>
      </c>
      <c r="D18380" t="s">
        <v>52</v>
      </c>
      <c r="E18380" t="s">
        <v>119</v>
      </c>
      <c r="F18380" s="2" t="str">
        <f>HYPERLINK("http://www.otzar.org/book.asp?154576","ישיבת חכמי לובלין ומחוללו")</f>
        <v>ישיבת חכמי לובלין ומחוללו</v>
      </c>
    </row>
    <row r="18381" spans="1:6" x14ac:dyDescent="0.2">
      <c r="A18381" t="s">
        <v>30249</v>
      </c>
      <c r="B18381" t="s">
        <v>12291</v>
      </c>
      <c r="C18381" t="s">
        <v>87</v>
      </c>
      <c r="D18381" t="s">
        <v>52</v>
      </c>
      <c r="E18381" t="s">
        <v>119</v>
      </c>
      <c r="F18381" s="2" t="str">
        <f>HYPERLINK("http://www.otzar.org/book.asp?106706","ישיבת חכמי לובלין - 2 כר'")</f>
        <v>ישיבת חכמי לובלין - 2 כר'</v>
      </c>
    </row>
    <row r="18382" spans="1:6" x14ac:dyDescent="0.2">
      <c r="A18382" t="s">
        <v>30250</v>
      </c>
      <c r="B18382" t="s">
        <v>30251</v>
      </c>
      <c r="C18382" t="s">
        <v>466</v>
      </c>
      <c r="D18382" t="s">
        <v>8564</v>
      </c>
      <c r="F18382" s="2" t="str">
        <f>HYPERLINK("http://www.otzar.org/book.asp?163705","ישיבת כנסת חזקיהו")</f>
        <v>ישיבת כנסת חזקיהו</v>
      </c>
    </row>
    <row r="18383" spans="1:6" x14ac:dyDescent="0.2">
      <c r="A18383" t="s">
        <v>30252</v>
      </c>
      <c r="B18383" t="s">
        <v>30253</v>
      </c>
      <c r="C18383" t="s">
        <v>129</v>
      </c>
      <c r="D18383" t="s">
        <v>14</v>
      </c>
      <c r="E18383" t="s">
        <v>186</v>
      </c>
      <c r="F18383" s="2" t="str">
        <f>HYPERLINK("http://www.otzar.org/book.asp?144793","ישיבת נחלת ישראל - נדרים")</f>
        <v>ישיבת נחלת ישראל - נדרים</v>
      </c>
    </row>
    <row r="18384" spans="1:6" x14ac:dyDescent="0.2">
      <c r="A18384" t="s">
        <v>30254</v>
      </c>
      <c r="B18384" t="s">
        <v>25953</v>
      </c>
      <c r="C18384" t="s">
        <v>224</v>
      </c>
      <c r="D18384" t="s">
        <v>260</v>
      </c>
      <c r="E18384" t="s">
        <v>119</v>
      </c>
      <c r="F18384" s="2" t="str">
        <f>HYPERLINK("http://www.otzar.org/book.asp?168090","ישיבת פומבדיתא בימי האמוראים")</f>
        <v>ישיבת פומבדיתא בימי האמוראים</v>
      </c>
    </row>
    <row r="18385" spans="1:6" x14ac:dyDescent="0.2">
      <c r="A18385" t="s">
        <v>30255</v>
      </c>
      <c r="B18385" t="s">
        <v>30256</v>
      </c>
      <c r="C18385" t="s">
        <v>1663</v>
      </c>
      <c r="D18385" t="s">
        <v>260</v>
      </c>
      <c r="E18385" t="s">
        <v>119</v>
      </c>
      <c r="F18385" s="2" t="str">
        <f>HYPERLINK("http://www.otzar.org/book.asp?106476","ישיבת קישינוב")</f>
        <v>ישיבת קישינוב</v>
      </c>
    </row>
    <row r="18386" spans="1:6" x14ac:dyDescent="0.2">
      <c r="A18386" t="s">
        <v>30257</v>
      </c>
      <c r="B18386" t="s">
        <v>1750</v>
      </c>
      <c r="C18386" t="s">
        <v>1388</v>
      </c>
      <c r="D18386" t="s">
        <v>14</v>
      </c>
      <c r="E18386" t="s">
        <v>202</v>
      </c>
      <c r="F18386" s="2" t="str">
        <f>HYPERLINK("http://www.otzar.org/book.asp?25966","ישיבת ראמיילעס נצח ישראל 160 שנה של תורה")</f>
        <v>ישיבת ראמיילעס נצח ישראל 160 שנה של תורה</v>
      </c>
    </row>
    <row r="18387" spans="1:6" x14ac:dyDescent="0.2">
      <c r="A18387" t="s">
        <v>30258</v>
      </c>
      <c r="B18387" t="s">
        <v>30259</v>
      </c>
      <c r="C18387" t="s">
        <v>103</v>
      </c>
      <c r="D18387" t="s">
        <v>14</v>
      </c>
      <c r="E18387" t="s">
        <v>8785</v>
      </c>
      <c r="F18387" s="2" t="str">
        <f>HYPERLINK("http://www.otzar.org/book.asp?152373","ישיר משה &lt;מכון הכתב&gt;")</f>
        <v>ישיר משה &lt;מכון הכתב&gt;</v>
      </c>
    </row>
    <row r="18388" spans="1:6" x14ac:dyDescent="0.2">
      <c r="A18388" t="s">
        <v>30260</v>
      </c>
      <c r="B18388" t="s">
        <v>12619</v>
      </c>
      <c r="C18388" t="s">
        <v>1364</v>
      </c>
      <c r="D18388" t="s">
        <v>56</v>
      </c>
      <c r="E18388" t="s">
        <v>43</v>
      </c>
      <c r="F18388" s="2" t="str">
        <f>HYPERLINK("http://www.otzar.org/book.asp?189520","ישיר משה &lt;פרק שירה&gt;")</f>
        <v>ישיר משה &lt;פרק שירה&gt;</v>
      </c>
    </row>
    <row r="18389" spans="1:6" x14ac:dyDescent="0.2">
      <c r="A18389" t="s">
        <v>30261</v>
      </c>
      <c r="B18389" t="s">
        <v>30259</v>
      </c>
      <c r="C18389" t="s">
        <v>1169</v>
      </c>
      <c r="D18389" t="s">
        <v>6974</v>
      </c>
      <c r="E18389" t="s">
        <v>1626</v>
      </c>
      <c r="F18389" s="2" t="str">
        <f>HYPERLINK("http://www.otzar.org/book.asp?170997","ישיר משה - 2 כר'")</f>
        <v>ישיר משה - 2 כר'</v>
      </c>
    </row>
    <row r="18390" spans="1:6" x14ac:dyDescent="0.2">
      <c r="A18390" t="s">
        <v>30262</v>
      </c>
      <c r="B18390" t="s">
        <v>30263</v>
      </c>
      <c r="C18390" t="s">
        <v>1981</v>
      </c>
      <c r="D18390" t="s">
        <v>212</v>
      </c>
      <c r="E18390" t="s">
        <v>219</v>
      </c>
      <c r="F18390" s="2" t="str">
        <f>HYPERLINK("http://www.otzar.org/book.asp?142386","ישיר משה")</f>
        <v>ישיר משה</v>
      </c>
    </row>
    <row r="18391" spans="1:6" x14ac:dyDescent="0.2">
      <c r="A18391" t="s">
        <v>30262</v>
      </c>
      <c r="B18391" t="s">
        <v>30264</v>
      </c>
      <c r="C18391" t="s">
        <v>5277</v>
      </c>
      <c r="D18391" t="s">
        <v>1411</v>
      </c>
      <c r="E18391" t="s">
        <v>579</v>
      </c>
      <c r="F18391" s="2" t="str">
        <f>HYPERLINK("http://www.otzar.org/book.asp?62188","ישיר משה")</f>
        <v>ישיר משה</v>
      </c>
    </row>
    <row r="18392" spans="1:6" x14ac:dyDescent="0.2">
      <c r="A18392" t="s">
        <v>30262</v>
      </c>
      <c r="B18392" t="s">
        <v>30265</v>
      </c>
      <c r="C18392" t="s">
        <v>1494</v>
      </c>
      <c r="D18392" t="s">
        <v>212</v>
      </c>
      <c r="F18392" s="2" t="str">
        <f>HYPERLINK("http://www.otzar.org/book.asp?152747","ישיר משה")</f>
        <v>ישיר משה</v>
      </c>
    </row>
    <row r="18393" spans="1:6" x14ac:dyDescent="0.2">
      <c r="A18393" t="s">
        <v>30262</v>
      </c>
      <c r="B18393" t="s">
        <v>30266</v>
      </c>
      <c r="C18393" t="s">
        <v>11821</v>
      </c>
      <c r="D18393" t="s">
        <v>76</v>
      </c>
      <c r="E18393" t="s">
        <v>158</v>
      </c>
      <c r="F18393" s="2" t="str">
        <f>HYPERLINK("http://www.otzar.org/book.asp?151512","ישיר משה")</f>
        <v>ישיר משה</v>
      </c>
    </row>
    <row r="18394" spans="1:6" x14ac:dyDescent="0.2">
      <c r="A18394" t="s">
        <v>30267</v>
      </c>
      <c r="B18394" t="s">
        <v>15898</v>
      </c>
      <c r="C18394" t="s">
        <v>30268</v>
      </c>
      <c r="D18394" t="s">
        <v>27</v>
      </c>
      <c r="E18394" t="s">
        <v>791</v>
      </c>
      <c r="F18394" s="2" t="str">
        <f>HYPERLINK("http://www.otzar.org/book.asp?8554","ישכיל עבדי - 9 כר'")</f>
        <v>ישכיל עבדי - 9 כר'</v>
      </c>
    </row>
    <row r="18395" spans="1:6" x14ac:dyDescent="0.2">
      <c r="A18395" t="s">
        <v>30269</v>
      </c>
      <c r="B18395" t="s">
        <v>30270</v>
      </c>
      <c r="C18395" t="s">
        <v>146</v>
      </c>
      <c r="D18395" t="s">
        <v>147</v>
      </c>
      <c r="E18395" t="s">
        <v>186</v>
      </c>
      <c r="F18395" s="2" t="str">
        <f>HYPERLINK("http://www.otzar.org/book.asp?50711","ישכן אור")</f>
        <v>ישכן אור</v>
      </c>
    </row>
    <row r="18396" spans="1:6" x14ac:dyDescent="0.2">
      <c r="A18396" t="s">
        <v>30271</v>
      </c>
      <c r="B18396" t="s">
        <v>28952</v>
      </c>
      <c r="C18396" t="s">
        <v>366</v>
      </c>
      <c r="D18396" t="s">
        <v>3406</v>
      </c>
      <c r="E18396" t="s">
        <v>325</v>
      </c>
      <c r="F18396" s="2" t="str">
        <f>HYPERLINK("http://www.otzar.org/book.asp?629775","ישלח דברו - א")</f>
        <v>ישלח דברו - א</v>
      </c>
    </row>
    <row r="18397" spans="1:6" x14ac:dyDescent="0.2">
      <c r="A18397" t="s">
        <v>30272</v>
      </c>
      <c r="B18397" t="s">
        <v>4398</v>
      </c>
      <c r="C18397" t="s">
        <v>106</v>
      </c>
      <c r="D18397" t="s">
        <v>216</v>
      </c>
      <c r="E18397" t="s">
        <v>158</v>
      </c>
      <c r="F18397" s="2" t="str">
        <f>HYPERLINK("http://www.otzar.org/book.asp?20975","ישמח אב - 3 כר'")</f>
        <v>ישמח אב - 3 כר'</v>
      </c>
    </row>
    <row r="18398" spans="1:6" x14ac:dyDescent="0.2">
      <c r="A18398" t="s">
        <v>30273</v>
      </c>
      <c r="B18398" t="s">
        <v>11244</v>
      </c>
      <c r="C18398" t="s">
        <v>411</v>
      </c>
      <c r="D18398" t="s">
        <v>412</v>
      </c>
      <c r="E18398" t="s">
        <v>144</v>
      </c>
      <c r="F18398" s="2" t="str">
        <f>HYPERLINK("http://www.otzar.org/book.asp?167883","ישמח אב - 8 כר'")</f>
        <v>ישמח אב - 8 כר'</v>
      </c>
    </row>
    <row r="18399" spans="1:6" x14ac:dyDescent="0.2">
      <c r="A18399" t="s">
        <v>30274</v>
      </c>
      <c r="B18399" t="s">
        <v>4398</v>
      </c>
      <c r="C18399" t="s">
        <v>313</v>
      </c>
      <c r="D18399" t="s">
        <v>216</v>
      </c>
      <c r="E18399" t="s">
        <v>1880</v>
      </c>
      <c r="F18399" s="2" t="str">
        <f>HYPERLINK("http://www.otzar.org/book.asp?63308","ישמח השם - שמחת לבו")</f>
        <v>ישמח השם - שמחת לבו</v>
      </c>
    </row>
    <row r="18400" spans="1:6" x14ac:dyDescent="0.2">
      <c r="A18400" t="s">
        <v>30275</v>
      </c>
      <c r="B18400" t="s">
        <v>30276</v>
      </c>
      <c r="C18400" t="s">
        <v>8</v>
      </c>
      <c r="D18400" t="s">
        <v>27</v>
      </c>
      <c r="E18400" t="s">
        <v>43</v>
      </c>
      <c r="F18400" s="2" t="str">
        <f>HYPERLINK("http://www.otzar.org/book.asp?16403","ישמח חיים")</f>
        <v>ישמח חיים</v>
      </c>
    </row>
    <row r="18401" spans="1:6" x14ac:dyDescent="0.2">
      <c r="A18401" t="s">
        <v>30275</v>
      </c>
      <c r="B18401" t="s">
        <v>155</v>
      </c>
      <c r="C18401" t="s">
        <v>603</v>
      </c>
      <c r="D18401" t="s">
        <v>157</v>
      </c>
      <c r="E18401" t="s">
        <v>3261</v>
      </c>
      <c r="F18401" s="2" t="str">
        <f>HYPERLINK("http://www.otzar.org/book.asp?101144","ישמח חיים")</f>
        <v>ישמח חיים</v>
      </c>
    </row>
    <row r="18402" spans="1:6" x14ac:dyDescent="0.2">
      <c r="A18402" t="s">
        <v>30277</v>
      </c>
      <c r="B18402" t="s">
        <v>30278</v>
      </c>
      <c r="C18402" t="s">
        <v>624</v>
      </c>
      <c r="D18402" t="s">
        <v>2196</v>
      </c>
      <c r="E18402" t="s">
        <v>230</v>
      </c>
      <c r="F18402" s="2" t="str">
        <f>HYPERLINK("http://www.otzar.org/book.asp?196713","ישמח יהודה - 5 כר'")</f>
        <v>ישמח יהודה - 5 כר'</v>
      </c>
    </row>
    <row r="18403" spans="1:6" x14ac:dyDescent="0.2">
      <c r="A18403" t="s">
        <v>30279</v>
      </c>
      <c r="B18403" t="s">
        <v>30280</v>
      </c>
      <c r="C18403" t="s">
        <v>13</v>
      </c>
      <c r="D18403" t="s">
        <v>2196</v>
      </c>
      <c r="E18403" t="s">
        <v>158</v>
      </c>
      <c r="F18403" s="2" t="str">
        <f>HYPERLINK("http://www.otzar.org/book.asp?85724","ישמח יהודה - 9 כר'")</f>
        <v>ישמח יהודה - 9 כר'</v>
      </c>
    </row>
    <row r="18404" spans="1:6" x14ac:dyDescent="0.2">
      <c r="A18404" t="s">
        <v>30281</v>
      </c>
      <c r="B18404" t="s">
        <v>4398</v>
      </c>
      <c r="C18404" t="s">
        <v>20</v>
      </c>
      <c r="D18404" t="s">
        <v>216</v>
      </c>
      <c r="E18404" t="s">
        <v>144</v>
      </c>
      <c r="F18404" s="2" t="str">
        <f>HYPERLINK("http://www.otzar.org/book.asp?616323","ישמח יעקב")</f>
        <v>ישמח יעקב</v>
      </c>
    </row>
    <row r="18405" spans="1:6" x14ac:dyDescent="0.2">
      <c r="A18405" t="s">
        <v>30282</v>
      </c>
      <c r="B18405" t="s">
        <v>30283</v>
      </c>
      <c r="C18405" t="s">
        <v>427</v>
      </c>
      <c r="D18405" t="s">
        <v>412</v>
      </c>
      <c r="E18405" t="s">
        <v>246</v>
      </c>
      <c r="F18405" s="2" t="str">
        <f>HYPERLINK("http://www.otzar.org/book.asp?174546","ישמח יצחק")</f>
        <v>ישמח יצחק</v>
      </c>
    </row>
    <row r="18406" spans="1:6" x14ac:dyDescent="0.2">
      <c r="A18406" t="s">
        <v>30284</v>
      </c>
      <c r="B18406" t="s">
        <v>30285</v>
      </c>
      <c r="C18406" t="s">
        <v>411</v>
      </c>
      <c r="D18406" t="s">
        <v>14</v>
      </c>
      <c r="F18406" s="2" t="str">
        <f>HYPERLINK("http://www.otzar.org/book.asp?627158","ישמח יצירך")</f>
        <v>ישמח יצירך</v>
      </c>
    </row>
    <row r="18407" spans="1:6" x14ac:dyDescent="0.2">
      <c r="A18407" t="s">
        <v>30286</v>
      </c>
      <c r="B18407" t="s">
        <v>30287</v>
      </c>
      <c r="C18407" t="s">
        <v>244</v>
      </c>
      <c r="D18407" t="s">
        <v>412</v>
      </c>
      <c r="E18407" t="s">
        <v>2098</v>
      </c>
      <c r="F18407" s="2" t="str">
        <f>HYPERLINK("http://www.otzar.org/book.asp?627273","ישמח ישראל &lt;מהדורה חדשה&gt;")</f>
        <v>ישמח ישראל &lt;מהדורה חדשה&gt;</v>
      </c>
    </row>
    <row r="18408" spans="1:6" x14ac:dyDescent="0.2">
      <c r="A18408" t="s">
        <v>30288</v>
      </c>
      <c r="B18408" t="s">
        <v>30289</v>
      </c>
      <c r="C18408" t="s">
        <v>22770</v>
      </c>
      <c r="D18408" t="s">
        <v>1117</v>
      </c>
      <c r="E18408" t="s">
        <v>15</v>
      </c>
      <c r="F18408" s="2" t="str">
        <f>HYPERLINK("http://www.otzar.org/book.asp?146741","ישמח ישראל בעושיו")</f>
        <v>ישמח ישראל בעושיו</v>
      </c>
    </row>
    <row r="18409" spans="1:6" x14ac:dyDescent="0.2">
      <c r="A18409" t="s">
        <v>30288</v>
      </c>
      <c r="B18409" t="s">
        <v>11725</v>
      </c>
      <c r="C18409" t="s">
        <v>1535</v>
      </c>
      <c r="D18409" t="s">
        <v>14830</v>
      </c>
      <c r="E18409" t="s">
        <v>219</v>
      </c>
      <c r="F18409" s="2" t="str">
        <f>HYPERLINK("http://www.otzar.org/book.asp?152746","ישמח ישראל בעושיו")</f>
        <v>ישמח ישראל בעושיו</v>
      </c>
    </row>
    <row r="18410" spans="1:6" x14ac:dyDescent="0.2">
      <c r="A18410" t="s">
        <v>30290</v>
      </c>
      <c r="B18410" t="s">
        <v>30291</v>
      </c>
      <c r="C18410" t="s">
        <v>20</v>
      </c>
      <c r="E18410" t="s">
        <v>241</v>
      </c>
      <c r="F18410" s="2" t="str">
        <f>HYPERLINK("http://www.otzar.org/book.asp?600209","ישמח ישראל המבואר - 6 כר'")</f>
        <v>ישמח ישראל המבואר - 6 כר'</v>
      </c>
    </row>
    <row r="18411" spans="1:6" x14ac:dyDescent="0.2">
      <c r="A18411" t="s">
        <v>30292</v>
      </c>
      <c r="B18411" t="s">
        <v>30293</v>
      </c>
      <c r="C18411" t="s">
        <v>68</v>
      </c>
      <c r="D18411" t="s">
        <v>14</v>
      </c>
      <c r="E18411" t="s">
        <v>15</v>
      </c>
      <c r="F18411" s="2" t="str">
        <f>HYPERLINK("http://www.otzar.org/book.asp?155904","ישמח ישראל")</f>
        <v>ישמח ישראל</v>
      </c>
    </row>
    <row r="18412" spans="1:6" x14ac:dyDescent="0.2">
      <c r="A18412" t="s">
        <v>30292</v>
      </c>
      <c r="B18412" t="s">
        <v>28135</v>
      </c>
      <c r="C18412" t="s">
        <v>1458</v>
      </c>
      <c r="D18412" t="s">
        <v>27</v>
      </c>
      <c r="F18412" s="2" t="str">
        <f>HYPERLINK("http://www.otzar.org/book.asp?53411","ישמח ישראל")</f>
        <v>ישמח ישראל</v>
      </c>
    </row>
    <row r="18413" spans="1:6" x14ac:dyDescent="0.2">
      <c r="A18413" t="s">
        <v>30294</v>
      </c>
      <c r="B18413" t="s">
        <v>17584</v>
      </c>
      <c r="C18413" t="s">
        <v>129</v>
      </c>
      <c r="D18413" t="s">
        <v>52</v>
      </c>
      <c r="E18413" t="s">
        <v>2071</v>
      </c>
      <c r="F18413" s="2" t="str">
        <f>HYPERLINK("http://www.otzar.org/book.asp?145072","ישמח ישראל - 4 כר'")</f>
        <v>ישמח ישראל - 4 כר'</v>
      </c>
    </row>
    <row r="18414" spans="1:6" x14ac:dyDescent="0.2">
      <c r="A18414" t="s">
        <v>30292</v>
      </c>
      <c r="B18414" t="s">
        <v>4048</v>
      </c>
      <c r="C18414" t="s">
        <v>103</v>
      </c>
      <c r="D18414" t="s">
        <v>14</v>
      </c>
      <c r="E18414" t="s">
        <v>130</v>
      </c>
      <c r="F18414" s="2" t="str">
        <f>HYPERLINK("http://www.otzar.org/book.asp?141908","ישמח ישראל")</f>
        <v>ישמח ישראל</v>
      </c>
    </row>
    <row r="18415" spans="1:6" x14ac:dyDescent="0.2">
      <c r="A18415" t="s">
        <v>30292</v>
      </c>
      <c r="B18415" t="s">
        <v>1602</v>
      </c>
      <c r="C18415" t="s">
        <v>244</v>
      </c>
      <c r="D18415" t="s">
        <v>14</v>
      </c>
      <c r="E18415" t="s">
        <v>241</v>
      </c>
      <c r="F18415" s="2" t="str">
        <f>HYPERLINK("http://www.otzar.org/book.asp?618698","ישמח ישראל")</f>
        <v>ישמח ישראל</v>
      </c>
    </row>
    <row r="18416" spans="1:6" x14ac:dyDescent="0.2">
      <c r="A18416" t="s">
        <v>30292</v>
      </c>
      <c r="B18416" t="s">
        <v>30295</v>
      </c>
      <c r="C18416" t="s">
        <v>1609</v>
      </c>
      <c r="D18416" t="s">
        <v>563</v>
      </c>
      <c r="E18416" t="s">
        <v>104</v>
      </c>
      <c r="F18416" s="2" t="str">
        <f>HYPERLINK("http://www.otzar.org/book.asp?167526","ישמח ישראל")</f>
        <v>ישמח ישראל</v>
      </c>
    </row>
    <row r="18417" spans="1:6" x14ac:dyDescent="0.2">
      <c r="A18417" t="s">
        <v>30296</v>
      </c>
      <c r="B18417" t="s">
        <v>26124</v>
      </c>
      <c r="C18417" t="s">
        <v>785</v>
      </c>
      <c r="D18417" t="s">
        <v>14</v>
      </c>
      <c r="E18417" t="s">
        <v>158</v>
      </c>
      <c r="F18417" s="2" t="str">
        <f>HYPERLINK("http://www.otzar.org/book.asp?108235","ישמח ישראל - 2 כר'")</f>
        <v>ישמח ישראל - 2 כר'</v>
      </c>
    </row>
    <row r="18418" spans="1:6" x14ac:dyDescent="0.2">
      <c r="A18418" t="s">
        <v>30296</v>
      </c>
      <c r="B18418" t="s">
        <v>29136</v>
      </c>
      <c r="C18418" t="s">
        <v>1374</v>
      </c>
      <c r="D18418" t="s">
        <v>535</v>
      </c>
      <c r="E18418" t="s">
        <v>140</v>
      </c>
      <c r="F18418" s="2" t="str">
        <f>HYPERLINK("http://www.otzar.org/book.asp?15708","ישמח ישראל - 2 כר'")</f>
        <v>ישמח ישראל - 2 כר'</v>
      </c>
    </row>
    <row r="18419" spans="1:6" x14ac:dyDescent="0.2">
      <c r="A18419" t="s">
        <v>30292</v>
      </c>
      <c r="B18419" t="s">
        <v>30289</v>
      </c>
      <c r="C18419" t="s">
        <v>950</v>
      </c>
      <c r="D18419" t="s">
        <v>535</v>
      </c>
      <c r="E18419" t="s">
        <v>172</v>
      </c>
      <c r="F18419" s="2" t="str">
        <f>HYPERLINK("http://www.otzar.org/book.asp?169448","ישמח ישראל")</f>
        <v>ישמח ישראל</v>
      </c>
    </row>
    <row r="18420" spans="1:6" x14ac:dyDescent="0.2">
      <c r="A18420" t="s">
        <v>30292</v>
      </c>
      <c r="B18420" t="s">
        <v>30287</v>
      </c>
      <c r="C18420" t="s">
        <v>63</v>
      </c>
      <c r="D18420" t="s">
        <v>30297</v>
      </c>
      <c r="E18420" t="s">
        <v>2098</v>
      </c>
      <c r="F18420" s="2" t="str">
        <f>HYPERLINK("http://www.otzar.org/book.asp?168797","ישמח ישראל")</f>
        <v>ישמח ישראל</v>
      </c>
    </row>
    <row r="18421" spans="1:6" x14ac:dyDescent="0.2">
      <c r="A18421" t="s">
        <v>30292</v>
      </c>
      <c r="B18421" t="s">
        <v>4073</v>
      </c>
      <c r="C18421" t="s">
        <v>496</v>
      </c>
      <c r="D18421" t="s">
        <v>283</v>
      </c>
      <c r="E18421" t="s">
        <v>30298</v>
      </c>
      <c r="F18421" s="2" t="str">
        <f>HYPERLINK("http://www.otzar.org/book.asp?153390","ישמח ישראל")</f>
        <v>ישמח ישראל</v>
      </c>
    </row>
    <row r="18422" spans="1:6" x14ac:dyDescent="0.2">
      <c r="A18422" t="s">
        <v>30299</v>
      </c>
      <c r="B18422" t="s">
        <v>9425</v>
      </c>
      <c r="C18422" t="s">
        <v>366</v>
      </c>
      <c r="D18422" t="s">
        <v>147</v>
      </c>
      <c r="E18422" t="s">
        <v>104</v>
      </c>
      <c r="F18422" s="2" t="str">
        <f>HYPERLINK("http://www.otzar.org/book.asp?609908","ישמח ישראל - א")</f>
        <v>ישמח ישראל - א</v>
      </c>
    </row>
    <row r="18423" spans="1:6" x14ac:dyDescent="0.2">
      <c r="A18423" t="s">
        <v>30300</v>
      </c>
      <c r="B18423" t="s">
        <v>26304</v>
      </c>
      <c r="C18423" t="s">
        <v>422</v>
      </c>
      <c r="D18423" t="s">
        <v>14</v>
      </c>
      <c r="E18423" t="s">
        <v>202</v>
      </c>
      <c r="F18423" s="2" t="str">
        <f>HYPERLINK("http://www.otzar.org/book.asp?150881","ישמח לב &lt;קובץ&gt; - 5 כר'")</f>
        <v>ישמח לב &lt;קובץ&gt; - 5 כר'</v>
      </c>
    </row>
    <row r="18424" spans="1:6" x14ac:dyDescent="0.2">
      <c r="A18424" t="s">
        <v>30301</v>
      </c>
      <c r="B18424" t="s">
        <v>30302</v>
      </c>
      <c r="C18424" t="s">
        <v>11343</v>
      </c>
      <c r="D18424" t="s">
        <v>157</v>
      </c>
      <c r="E18424" t="s">
        <v>14342</v>
      </c>
      <c r="F18424" s="2" t="str">
        <f>HYPERLINK("http://www.otzar.org/book.asp?101332","ישמח לב א-ב")</f>
        <v>ישמח לב א-ב</v>
      </c>
    </row>
    <row r="18425" spans="1:6" x14ac:dyDescent="0.2">
      <c r="A18425" t="s">
        <v>30303</v>
      </c>
      <c r="B18425" t="s">
        <v>30304</v>
      </c>
      <c r="C18425" t="s">
        <v>1335</v>
      </c>
      <c r="D18425" t="s">
        <v>27</v>
      </c>
      <c r="E18425" t="s">
        <v>30305</v>
      </c>
      <c r="F18425" s="2" t="str">
        <f>HYPERLINK("http://www.otzar.org/book.asp?101331","ישמח לב")</f>
        <v>ישמח לב</v>
      </c>
    </row>
    <row r="18426" spans="1:6" x14ac:dyDescent="0.2">
      <c r="A18426" t="s">
        <v>30306</v>
      </c>
      <c r="B18426" t="s">
        <v>25586</v>
      </c>
      <c r="C18426" t="s">
        <v>1904</v>
      </c>
      <c r="D18426" t="s">
        <v>974</v>
      </c>
      <c r="E18426" t="s">
        <v>158</v>
      </c>
      <c r="F18426" s="2" t="str">
        <f>HYPERLINK("http://www.otzar.org/book.asp?141058","ישמח לב - 5 כר'")</f>
        <v>ישמח לב - 5 כר'</v>
      </c>
    </row>
    <row r="18427" spans="1:6" x14ac:dyDescent="0.2">
      <c r="A18427" t="s">
        <v>30307</v>
      </c>
      <c r="B18427" t="s">
        <v>30308</v>
      </c>
      <c r="C18427" t="s">
        <v>533</v>
      </c>
      <c r="D18427" t="s">
        <v>2468</v>
      </c>
      <c r="E18427" t="s">
        <v>30309</v>
      </c>
      <c r="F18427" s="2" t="str">
        <f>HYPERLINK("http://www.otzar.org/book.asp?10221","ישמח לב - 4 כר'")</f>
        <v>ישמח לב - 4 כר'</v>
      </c>
    </row>
    <row r="18428" spans="1:6" x14ac:dyDescent="0.2">
      <c r="A18428" t="s">
        <v>30310</v>
      </c>
      <c r="B18428" t="s">
        <v>4398</v>
      </c>
      <c r="C18428" t="s">
        <v>332</v>
      </c>
      <c r="D18428" t="s">
        <v>216</v>
      </c>
      <c r="E18428" t="s">
        <v>234</v>
      </c>
      <c r="F18428" s="2" t="str">
        <f>HYPERLINK("http://www.otzar.org/book.asp?63299","ישמח לב - א")</f>
        <v>ישמח לב - א</v>
      </c>
    </row>
    <row r="18429" spans="1:6" x14ac:dyDescent="0.2">
      <c r="A18429" t="s">
        <v>30311</v>
      </c>
      <c r="B18429" t="s">
        <v>18132</v>
      </c>
      <c r="C18429" t="s">
        <v>6448</v>
      </c>
      <c r="D18429" t="s">
        <v>27174</v>
      </c>
      <c r="F18429" s="2" t="str">
        <f>HYPERLINK("http://www.otzar.org/book.asp?170259","ישמח לב - 3 כר'")</f>
        <v>ישמח לב - 3 כר'</v>
      </c>
    </row>
    <row r="18430" spans="1:6" x14ac:dyDescent="0.2">
      <c r="A18430" t="s">
        <v>30303</v>
      </c>
      <c r="B18430" t="s">
        <v>30312</v>
      </c>
      <c r="C18430" t="s">
        <v>366</v>
      </c>
      <c r="D18430" t="s">
        <v>14</v>
      </c>
      <c r="E18430" t="s">
        <v>15</v>
      </c>
      <c r="F18430" s="2" t="str">
        <f>HYPERLINK("http://www.otzar.org/book.asp?608150","ישמח לב")</f>
        <v>ישמח לב</v>
      </c>
    </row>
    <row r="18431" spans="1:6" x14ac:dyDescent="0.2">
      <c r="A18431" t="s">
        <v>30313</v>
      </c>
      <c r="B18431" t="s">
        <v>30314</v>
      </c>
      <c r="C18431" t="s">
        <v>111</v>
      </c>
      <c r="D18431" t="s">
        <v>52</v>
      </c>
      <c r="E18431" t="s">
        <v>202</v>
      </c>
      <c r="F18431" s="2" t="str">
        <f>HYPERLINK("http://www.otzar.org/book.asp?626195","ישמח לב - ריבית")</f>
        <v>ישמח לב - ריבית</v>
      </c>
    </row>
    <row r="18432" spans="1:6" x14ac:dyDescent="0.2">
      <c r="A18432" t="s">
        <v>30303</v>
      </c>
      <c r="B18432" t="s">
        <v>30315</v>
      </c>
      <c r="C18432" t="s">
        <v>383</v>
      </c>
      <c r="D18432" t="s">
        <v>14</v>
      </c>
      <c r="E18432" t="s">
        <v>30316</v>
      </c>
      <c r="F18432" s="2" t="str">
        <f>HYPERLINK("http://www.otzar.org/book.asp?52908","ישמח לב")</f>
        <v>ישמח לב</v>
      </c>
    </row>
    <row r="18433" spans="1:6" x14ac:dyDescent="0.2">
      <c r="A18433" t="s">
        <v>30307</v>
      </c>
      <c r="B18433" t="s">
        <v>30317</v>
      </c>
      <c r="C18433" t="s">
        <v>103</v>
      </c>
      <c r="D18433" t="s">
        <v>2125</v>
      </c>
      <c r="E18433" t="s">
        <v>674</v>
      </c>
      <c r="F18433" s="2" t="str">
        <f>HYPERLINK("http://www.otzar.org/book.asp?151058","ישמח לב - 4 כר'")</f>
        <v>ישמח לב - 4 כר'</v>
      </c>
    </row>
    <row r="18434" spans="1:6" x14ac:dyDescent="0.2">
      <c r="A18434" t="s">
        <v>30318</v>
      </c>
      <c r="B18434" t="s">
        <v>4398</v>
      </c>
      <c r="C18434" t="s">
        <v>624</v>
      </c>
      <c r="D18434" t="s">
        <v>216</v>
      </c>
      <c r="E18434" t="s">
        <v>930</v>
      </c>
      <c r="F18434" s="2" t="str">
        <f>HYPERLINK("http://www.otzar.org/book.asp?148546","ישמח לבב &lt;שו""ת&gt;")</f>
        <v>ישמח לבב &lt;שו"ת&gt;</v>
      </c>
    </row>
    <row r="18435" spans="1:6" x14ac:dyDescent="0.2">
      <c r="A18435" t="s">
        <v>30319</v>
      </c>
      <c r="B18435" t="s">
        <v>30320</v>
      </c>
      <c r="C18435" t="s">
        <v>1062</v>
      </c>
      <c r="D18435" t="s">
        <v>1889</v>
      </c>
      <c r="E18435" t="s">
        <v>684</v>
      </c>
      <c r="F18435" s="2" t="str">
        <f>HYPERLINK("http://www.otzar.org/book.asp?52164","ישמח לבב - 2 כר'")</f>
        <v>ישמח לבב - 2 כר'</v>
      </c>
    </row>
    <row r="18436" spans="1:6" x14ac:dyDescent="0.2">
      <c r="A18436" t="s">
        <v>30321</v>
      </c>
      <c r="B18436" t="s">
        <v>4398</v>
      </c>
      <c r="C18436" t="s">
        <v>71</v>
      </c>
      <c r="D18436" t="s">
        <v>216</v>
      </c>
      <c r="E18436" t="s">
        <v>158</v>
      </c>
      <c r="F18436" s="2" t="str">
        <f>HYPERLINK("http://www.otzar.org/book.asp?148461","ישמח לבי - משלי")</f>
        <v>ישמח לבי - משלי</v>
      </c>
    </row>
    <row r="18437" spans="1:6" x14ac:dyDescent="0.2">
      <c r="A18437" t="s">
        <v>30322</v>
      </c>
      <c r="B18437" t="s">
        <v>4398</v>
      </c>
      <c r="C18437" t="s">
        <v>523</v>
      </c>
      <c r="D18437" t="s">
        <v>216</v>
      </c>
      <c r="E18437" t="s">
        <v>154</v>
      </c>
      <c r="F18437" s="2" t="str">
        <f>HYPERLINK("http://www.otzar.org/book.asp?148462","ישמח לבנו &lt;שו""ת&gt;")</f>
        <v>ישמח לבנו &lt;שו"ת&gt;</v>
      </c>
    </row>
    <row r="18438" spans="1:6" x14ac:dyDescent="0.2">
      <c r="A18438" t="s">
        <v>30323</v>
      </c>
      <c r="B18438" t="s">
        <v>4398</v>
      </c>
      <c r="C18438" t="s">
        <v>151</v>
      </c>
      <c r="D18438" t="s">
        <v>216</v>
      </c>
      <c r="E18438" t="s">
        <v>158</v>
      </c>
      <c r="F18438" s="2" t="str">
        <f>HYPERLINK("http://www.otzar.org/book.asp?616290","ישמח מלך - שמות, ויקרא")</f>
        <v>ישמח מלך - שמות, ויקרא</v>
      </c>
    </row>
    <row r="18439" spans="1:6" x14ac:dyDescent="0.2">
      <c r="A18439" t="s">
        <v>30324</v>
      </c>
      <c r="B18439" t="s">
        <v>17976</v>
      </c>
      <c r="C18439" t="s">
        <v>624</v>
      </c>
      <c r="D18439" t="s">
        <v>216</v>
      </c>
      <c r="E18439" t="s">
        <v>104</v>
      </c>
      <c r="F18439" s="2" t="str">
        <f>HYPERLINK("http://www.otzar.org/book.asp?163469","ישמח מלך")</f>
        <v>ישמח מלך</v>
      </c>
    </row>
    <row r="18440" spans="1:6" x14ac:dyDescent="0.2">
      <c r="A18440" t="s">
        <v>30325</v>
      </c>
      <c r="B18440" t="s">
        <v>21278</v>
      </c>
      <c r="C18440" t="s">
        <v>133</v>
      </c>
      <c r="D18440" t="s">
        <v>412</v>
      </c>
      <c r="E18440" t="s">
        <v>30326</v>
      </c>
      <c r="F18440" s="2" t="str">
        <f>HYPERLINK("http://www.otzar.org/book.asp?182048","ישמח משה  &lt;איכה&gt; - תהלה למשה")</f>
        <v>ישמח משה  &lt;איכה&gt; - תהלה למשה</v>
      </c>
    </row>
    <row r="18441" spans="1:6" x14ac:dyDescent="0.2">
      <c r="A18441" t="s">
        <v>30327</v>
      </c>
      <c r="B18441" t="s">
        <v>30328</v>
      </c>
      <c r="C18441" t="s">
        <v>366</v>
      </c>
      <c r="D18441" t="s">
        <v>14</v>
      </c>
      <c r="E18441" t="s">
        <v>144</v>
      </c>
      <c r="F18441" s="2" t="str">
        <f>HYPERLINK("http://www.otzar.org/book.asp?621502","ישמח משה &lt;שיעורים&gt; - 3 כר'")</f>
        <v>ישמח משה &lt;שיעורים&gt; - 3 כר'</v>
      </c>
    </row>
    <row r="18442" spans="1:6" x14ac:dyDescent="0.2">
      <c r="A18442" t="s">
        <v>30329</v>
      </c>
      <c r="B18442" t="s">
        <v>21278</v>
      </c>
      <c r="C18442" t="s">
        <v>366</v>
      </c>
      <c r="D18442" t="s">
        <v>412</v>
      </c>
      <c r="F18442" s="2" t="str">
        <f>HYPERLINK("http://www.otzar.org/book.asp?632834","ישמח משה &lt;ליקוטים&gt; - 3 כר'")</f>
        <v>ישמח משה &lt;ליקוטים&gt; - 3 כר'</v>
      </c>
    </row>
    <row r="18443" spans="1:6" x14ac:dyDescent="0.2">
      <c r="A18443" t="s">
        <v>30330</v>
      </c>
      <c r="B18443" t="s">
        <v>21278</v>
      </c>
      <c r="C18443" t="s">
        <v>624</v>
      </c>
      <c r="D18443" t="s">
        <v>412</v>
      </c>
      <c r="E18443" t="s">
        <v>158</v>
      </c>
      <c r="F18443" s="2" t="str">
        <f>HYPERLINK("http://www.otzar.org/book.asp?629390","ישמח משה &lt;מהדורה חדשה&gt; - 2 כר'")</f>
        <v>ישמח משה &lt;מהדורה חדשה&gt; - 2 כר'</v>
      </c>
    </row>
    <row r="18444" spans="1:6" x14ac:dyDescent="0.2">
      <c r="A18444" t="s">
        <v>30331</v>
      </c>
      <c r="B18444" t="s">
        <v>21278</v>
      </c>
      <c r="C18444" t="s">
        <v>30332</v>
      </c>
      <c r="D18444" t="s">
        <v>26796</v>
      </c>
      <c r="F18444" s="2" t="str">
        <f>HYPERLINK("http://www.otzar.org/book.asp?625634","ישמח משה &lt;מהדורה ראשונה&gt; - 5 כר'")</f>
        <v>ישמח משה &lt;מהדורה ראשונה&gt; - 5 כר'</v>
      </c>
    </row>
    <row r="18445" spans="1:6" x14ac:dyDescent="0.2">
      <c r="A18445" t="s">
        <v>30333</v>
      </c>
      <c r="B18445" t="s">
        <v>30334</v>
      </c>
      <c r="C18445" t="s">
        <v>366</v>
      </c>
      <c r="D18445" t="s">
        <v>52</v>
      </c>
      <c r="E18445" t="s">
        <v>230</v>
      </c>
      <c r="F18445" s="2" t="str">
        <f>HYPERLINK("http://www.otzar.org/book.asp?629402","ישמח משה על התורה")</f>
        <v>ישמח משה על התורה</v>
      </c>
    </row>
    <row r="18446" spans="1:6" x14ac:dyDescent="0.2">
      <c r="A18446" t="s">
        <v>30335</v>
      </c>
      <c r="B18446" t="s">
        <v>30336</v>
      </c>
      <c r="C18446" t="s">
        <v>151</v>
      </c>
      <c r="D18446" t="s">
        <v>1156</v>
      </c>
      <c r="F18446" s="2" t="str">
        <f>HYPERLINK("http://www.otzar.org/book.asp?616521","ישמח משה")</f>
        <v>ישמח משה</v>
      </c>
    </row>
    <row r="18447" spans="1:6" x14ac:dyDescent="0.2">
      <c r="A18447" t="s">
        <v>30335</v>
      </c>
      <c r="B18447" t="s">
        <v>30337</v>
      </c>
      <c r="C18447" t="s">
        <v>624</v>
      </c>
      <c r="D18447" t="s">
        <v>14</v>
      </c>
      <c r="E18447" t="s">
        <v>144</v>
      </c>
      <c r="F18447" s="2" t="str">
        <f>HYPERLINK("http://www.otzar.org/book.asp?63758","ישמח משה")</f>
        <v>ישמח משה</v>
      </c>
    </row>
    <row r="18448" spans="1:6" x14ac:dyDescent="0.2">
      <c r="A18448" t="s">
        <v>30335</v>
      </c>
      <c r="B18448" t="s">
        <v>30338</v>
      </c>
      <c r="C18448" t="s">
        <v>390</v>
      </c>
      <c r="D18448" t="s">
        <v>14</v>
      </c>
      <c r="E18448" t="s">
        <v>1072</v>
      </c>
      <c r="F18448" s="2" t="str">
        <f>HYPERLINK("http://www.otzar.org/book.asp?10211","ישמח משה")</f>
        <v>ישמח משה</v>
      </c>
    </row>
    <row r="18449" spans="1:6" x14ac:dyDescent="0.2">
      <c r="A18449" t="s">
        <v>30335</v>
      </c>
      <c r="B18449" t="s">
        <v>30339</v>
      </c>
      <c r="C18449" t="s">
        <v>1418</v>
      </c>
      <c r="D18449" t="s">
        <v>157</v>
      </c>
      <c r="E18449" t="s">
        <v>234</v>
      </c>
      <c r="F18449" s="2" t="str">
        <f>HYPERLINK("http://www.otzar.org/book.asp?22613","ישמח משה")</f>
        <v>ישמח משה</v>
      </c>
    </row>
    <row r="18450" spans="1:6" x14ac:dyDescent="0.2">
      <c r="A18450" t="s">
        <v>30335</v>
      </c>
      <c r="B18450" t="s">
        <v>30340</v>
      </c>
      <c r="C18450" t="s">
        <v>2617</v>
      </c>
      <c r="D18450" t="s">
        <v>212</v>
      </c>
      <c r="E18450" t="s">
        <v>246</v>
      </c>
      <c r="F18450" s="2" t="str">
        <f>HYPERLINK("http://www.otzar.org/book.asp?52165","ישמח משה")</f>
        <v>ישמח משה</v>
      </c>
    </row>
    <row r="18451" spans="1:6" x14ac:dyDescent="0.2">
      <c r="A18451" t="s">
        <v>30341</v>
      </c>
      <c r="B18451" t="s">
        <v>30334</v>
      </c>
      <c r="C18451" t="s">
        <v>244</v>
      </c>
      <c r="D18451" t="s">
        <v>52</v>
      </c>
      <c r="E18451" t="s">
        <v>144</v>
      </c>
      <c r="F18451" s="2" t="str">
        <f>HYPERLINK("http://www.otzar.org/book.asp?629399","ישמח משה - 3 כר'")</f>
        <v>ישמח משה - 3 כר'</v>
      </c>
    </row>
    <row r="18452" spans="1:6" x14ac:dyDescent="0.2">
      <c r="A18452" t="s">
        <v>30335</v>
      </c>
      <c r="B18452" t="s">
        <v>30342</v>
      </c>
      <c r="C18452" t="s">
        <v>189</v>
      </c>
      <c r="D18452" t="s">
        <v>1076</v>
      </c>
      <c r="E18452" t="s">
        <v>230</v>
      </c>
      <c r="F18452" s="2" t="str">
        <f>HYPERLINK("http://www.otzar.org/book.asp?160153","ישמח משה")</f>
        <v>ישמח משה</v>
      </c>
    </row>
    <row r="18453" spans="1:6" x14ac:dyDescent="0.2">
      <c r="A18453" t="s">
        <v>30335</v>
      </c>
      <c r="B18453" t="s">
        <v>30343</v>
      </c>
      <c r="C18453" t="s">
        <v>7193</v>
      </c>
      <c r="D18453" t="s">
        <v>157</v>
      </c>
      <c r="E18453" t="s">
        <v>12983</v>
      </c>
      <c r="F18453" s="2" t="str">
        <f>HYPERLINK("http://www.otzar.org/book.asp?104168","ישמח משה")</f>
        <v>ישמח משה</v>
      </c>
    </row>
    <row r="18454" spans="1:6" x14ac:dyDescent="0.2">
      <c r="A18454" t="s">
        <v>30335</v>
      </c>
      <c r="B18454" t="s">
        <v>30344</v>
      </c>
      <c r="D18454" t="s">
        <v>14</v>
      </c>
      <c r="E18454" t="s">
        <v>154</v>
      </c>
      <c r="F18454" s="2" t="str">
        <f>HYPERLINK("http://www.otzar.org/book.asp?625966","ישמח משה")</f>
        <v>ישמח משה</v>
      </c>
    </row>
    <row r="18455" spans="1:6" x14ac:dyDescent="0.2">
      <c r="A18455" t="s">
        <v>30345</v>
      </c>
      <c r="B18455" t="s">
        <v>2074</v>
      </c>
      <c r="C18455" t="s">
        <v>422</v>
      </c>
      <c r="D18455" t="s">
        <v>14</v>
      </c>
      <c r="F18455" s="2" t="str">
        <f>HYPERLINK("http://www.otzar.org/book.asp?150854","ישמח משה - החיים יודוך")</f>
        <v>ישמח משה - החיים יודוך</v>
      </c>
    </row>
    <row r="18456" spans="1:6" x14ac:dyDescent="0.2">
      <c r="A18456" t="s">
        <v>30346</v>
      </c>
      <c r="B18456" t="s">
        <v>30347</v>
      </c>
      <c r="C18456" t="s">
        <v>244</v>
      </c>
      <c r="D18456" t="s">
        <v>14</v>
      </c>
      <c r="E18456" t="s">
        <v>15</v>
      </c>
      <c r="F18456" s="2" t="str">
        <f>HYPERLINK("http://www.otzar.org/book.asp?600228","ישמח משה - שו""ת א")</f>
        <v>ישמח משה - שו"ת א</v>
      </c>
    </row>
    <row r="18457" spans="1:6" x14ac:dyDescent="0.2">
      <c r="A18457" t="s">
        <v>30348</v>
      </c>
      <c r="B18457" t="s">
        <v>30328</v>
      </c>
      <c r="C18457" t="s">
        <v>366</v>
      </c>
      <c r="D18457" t="s">
        <v>14</v>
      </c>
      <c r="E18457" t="s">
        <v>144</v>
      </c>
      <c r="F18457" s="2" t="str">
        <f>HYPERLINK("http://www.otzar.org/book.asp?621732","ישמח משה - 9 כר'")</f>
        <v>ישמח משה - 9 כר'</v>
      </c>
    </row>
    <row r="18458" spans="1:6" x14ac:dyDescent="0.2">
      <c r="A18458" t="s">
        <v>30349</v>
      </c>
      <c r="B18458" t="s">
        <v>21278</v>
      </c>
      <c r="C18458" t="s">
        <v>30350</v>
      </c>
      <c r="D18458" t="s">
        <v>9</v>
      </c>
      <c r="E18458" t="s">
        <v>30351</v>
      </c>
      <c r="F18458" s="2" t="str">
        <f>HYPERLINK("http://www.otzar.org/book.asp?156164","ישמח משה - 6 כר'")</f>
        <v>ישמח משה - 6 כר'</v>
      </c>
    </row>
    <row r="18459" spans="1:6" x14ac:dyDescent="0.2">
      <c r="A18459" t="s">
        <v>30335</v>
      </c>
      <c r="B18459" t="s">
        <v>30352</v>
      </c>
      <c r="C18459" t="s">
        <v>2302</v>
      </c>
      <c r="D18459" t="s">
        <v>15176</v>
      </c>
      <c r="F18459" s="2" t="str">
        <f>HYPERLINK("http://www.otzar.org/book.asp?28402","ישמח משה")</f>
        <v>ישמח משה</v>
      </c>
    </row>
    <row r="18460" spans="1:6" x14ac:dyDescent="0.2">
      <c r="A18460" t="s">
        <v>30353</v>
      </c>
      <c r="B18460" t="s">
        <v>30354</v>
      </c>
      <c r="C18460" t="s">
        <v>411</v>
      </c>
      <c r="D18460" t="s">
        <v>147</v>
      </c>
      <c r="E18460" t="s">
        <v>172</v>
      </c>
      <c r="F18460" s="2" t="str">
        <f>HYPERLINK("http://www.otzar.org/book.asp?175826","ישמח משה - 2 כר'")</f>
        <v>ישמח משה - 2 כר'</v>
      </c>
    </row>
    <row r="18461" spans="1:6" x14ac:dyDescent="0.2">
      <c r="A18461" t="s">
        <v>30355</v>
      </c>
      <c r="B18461" t="s">
        <v>30356</v>
      </c>
      <c r="C18461" t="s">
        <v>956</v>
      </c>
      <c r="D18461" t="s">
        <v>115</v>
      </c>
      <c r="E18461" t="s">
        <v>15</v>
      </c>
      <c r="F18461" s="2" t="str">
        <f>HYPERLINK("http://www.otzar.org/book.asp?142267","ישמח משה, מלאכת שלמה, בריתי יעקב")</f>
        <v>ישמח משה, מלאכת שלמה, בריתי יעקב</v>
      </c>
    </row>
    <row r="18462" spans="1:6" x14ac:dyDescent="0.2">
      <c r="A18462" t="s">
        <v>30357</v>
      </c>
      <c r="B18462" t="s">
        <v>29645</v>
      </c>
      <c r="C18462" t="s">
        <v>411</v>
      </c>
      <c r="D18462" t="s">
        <v>14</v>
      </c>
      <c r="F18462" s="2" t="str">
        <f>HYPERLINK("http://www.otzar.org/book.asp?611305","ישמח צדיק &lt;מהדורה חדשה&gt;")</f>
        <v>ישמח צדיק &lt;מהדורה חדשה&gt;</v>
      </c>
    </row>
    <row r="18463" spans="1:6" x14ac:dyDescent="0.2">
      <c r="A18463" t="s">
        <v>30358</v>
      </c>
      <c r="B18463" t="s">
        <v>29645</v>
      </c>
      <c r="C18463" t="s">
        <v>360</v>
      </c>
      <c r="D18463" t="s">
        <v>225</v>
      </c>
      <c r="E18463" t="s">
        <v>314</v>
      </c>
      <c r="F18463" s="2" t="str">
        <f>HYPERLINK("http://www.otzar.org/book.asp?141001","ישמח צדיק")</f>
        <v>ישמח צדיק</v>
      </c>
    </row>
    <row r="18464" spans="1:6" x14ac:dyDescent="0.2">
      <c r="A18464" t="s">
        <v>30359</v>
      </c>
      <c r="B18464" t="s">
        <v>4398</v>
      </c>
      <c r="C18464" t="s">
        <v>422</v>
      </c>
      <c r="D18464" t="s">
        <v>216</v>
      </c>
      <c r="E18464" t="s">
        <v>84</v>
      </c>
      <c r="F18464" s="2" t="str">
        <f>HYPERLINK("http://www.otzar.org/book.asp?148455","ישמחו בך - מסכת אבות")</f>
        <v>ישמחו בך - מסכת אבות</v>
      </c>
    </row>
    <row r="18465" spans="1:6" x14ac:dyDescent="0.2">
      <c r="A18465" t="s">
        <v>30360</v>
      </c>
      <c r="B18465" t="s">
        <v>10056</v>
      </c>
      <c r="C18465" t="s">
        <v>189</v>
      </c>
      <c r="D18465" t="s">
        <v>1180</v>
      </c>
      <c r="F18465" s="2" t="str">
        <f>HYPERLINK("http://www.otzar.org/book.asp?199172","ישמחו במלכותך")</f>
        <v>ישמחו במלכותך</v>
      </c>
    </row>
    <row r="18466" spans="1:6" x14ac:dyDescent="0.2">
      <c r="A18466" t="s">
        <v>30361</v>
      </c>
      <c r="B18466" t="s">
        <v>30362</v>
      </c>
      <c r="C18466" t="s">
        <v>30363</v>
      </c>
      <c r="D18466" t="s">
        <v>21</v>
      </c>
      <c r="E18466" t="s">
        <v>3518</v>
      </c>
      <c r="F18466" s="2" t="str">
        <f>HYPERLINK("http://www.otzar.org/book.asp?602676","ישמע דברו")</f>
        <v>ישמע דברו</v>
      </c>
    </row>
    <row r="18467" spans="1:6" x14ac:dyDescent="0.2">
      <c r="A18467" t="s">
        <v>30364</v>
      </c>
      <c r="B18467" t="s">
        <v>11221</v>
      </c>
      <c r="C18467" t="s">
        <v>114</v>
      </c>
      <c r="D18467" t="s">
        <v>21</v>
      </c>
      <c r="E18467" t="s">
        <v>15</v>
      </c>
      <c r="F18467" s="2" t="str">
        <f>HYPERLINK("http://www.otzar.org/book.asp?607228","ישמע מהיכלו קולי")</f>
        <v>ישמע מהיכלו קולי</v>
      </c>
    </row>
    <row r="18468" spans="1:6" x14ac:dyDescent="0.2">
      <c r="A18468" t="s">
        <v>30365</v>
      </c>
      <c r="B18468" t="s">
        <v>30366</v>
      </c>
      <c r="C18468" t="s">
        <v>5140</v>
      </c>
      <c r="D18468" t="s">
        <v>1279</v>
      </c>
      <c r="E18468" t="s">
        <v>246</v>
      </c>
      <c r="F18468" s="2" t="str">
        <f>HYPERLINK("http://www.otzar.org/book.asp?148153","ישע אלהים &lt;הגדה של פסח&gt;")</f>
        <v>ישע אלהים &lt;הגדה של פסח&gt;</v>
      </c>
    </row>
    <row r="18469" spans="1:6" x14ac:dyDescent="0.2">
      <c r="A18469" t="s">
        <v>30367</v>
      </c>
      <c r="B18469" t="s">
        <v>27277</v>
      </c>
      <c r="C18469" t="s">
        <v>27278</v>
      </c>
      <c r="D18469" t="s">
        <v>76</v>
      </c>
      <c r="F18469" s="2" t="str">
        <f>HYPERLINK("http://www.otzar.org/book.asp?619152","ישע אלהים - 3 כר'")</f>
        <v>ישע אלהים - 3 כר'</v>
      </c>
    </row>
    <row r="18470" spans="1:6" x14ac:dyDescent="0.2">
      <c r="A18470" t="s">
        <v>30367</v>
      </c>
      <c r="B18470" t="s">
        <v>28283</v>
      </c>
      <c r="C18470" t="s">
        <v>5823</v>
      </c>
      <c r="D18470" t="s">
        <v>14445</v>
      </c>
      <c r="E18470" t="s">
        <v>158</v>
      </c>
      <c r="F18470" s="2" t="str">
        <f>HYPERLINK("http://www.otzar.org/book.asp?84513","ישע אלהים - 3 כר'")</f>
        <v>ישע אלהים - 3 כר'</v>
      </c>
    </row>
    <row r="18471" spans="1:6" x14ac:dyDescent="0.2">
      <c r="A18471" t="s">
        <v>30368</v>
      </c>
      <c r="B18471" t="s">
        <v>30369</v>
      </c>
      <c r="C18471" t="s">
        <v>454</v>
      </c>
      <c r="D18471" t="s">
        <v>14</v>
      </c>
      <c r="E18471" t="s">
        <v>246</v>
      </c>
      <c r="F18471" s="2" t="str">
        <f>HYPERLINK("http://www.otzar.org/book.asp?50540","ישע אלוקים")</f>
        <v>ישע אלוקים</v>
      </c>
    </row>
    <row r="18472" spans="1:6" x14ac:dyDescent="0.2">
      <c r="A18472" t="s">
        <v>30370</v>
      </c>
      <c r="B18472" t="s">
        <v>30371</v>
      </c>
      <c r="C18472" t="s">
        <v>366</v>
      </c>
      <c r="D18472" t="s">
        <v>367</v>
      </c>
      <c r="E18472" t="s">
        <v>140</v>
      </c>
      <c r="F18472" s="2" t="str">
        <f>HYPERLINK("http://www.otzar.org/book.asp?615541","ישע דוד")</f>
        <v>ישע דוד</v>
      </c>
    </row>
    <row r="18473" spans="1:6" x14ac:dyDescent="0.2">
      <c r="A18473" t="s">
        <v>30372</v>
      </c>
      <c r="B18473" t="s">
        <v>16531</v>
      </c>
      <c r="C18473" t="s">
        <v>30373</v>
      </c>
      <c r="D18473" t="s">
        <v>49</v>
      </c>
      <c r="E18473" t="s">
        <v>104</v>
      </c>
      <c r="F18473" s="2" t="str">
        <f>HYPERLINK("http://www.otzar.org/book.asp?147137","ישע יה")</f>
        <v>ישע יה</v>
      </c>
    </row>
    <row r="18474" spans="1:6" x14ac:dyDescent="0.2">
      <c r="A18474" t="s">
        <v>30374</v>
      </c>
      <c r="B18474" t="s">
        <v>30375</v>
      </c>
      <c r="C18474" t="s">
        <v>366</v>
      </c>
      <c r="D18474" t="s">
        <v>14</v>
      </c>
      <c r="F18474" s="2" t="str">
        <f>HYPERLINK("http://www.otzar.org/book.asp?609623","ישע שלמה - דיינים ועדות")</f>
        <v>ישע שלמה - דיינים ועדות</v>
      </c>
    </row>
    <row r="18475" spans="1:6" x14ac:dyDescent="0.2">
      <c r="A18475" t="s">
        <v>30376</v>
      </c>
      <c r="B18475" t="s">
        <v>11760</v>
      </c>
      <c r="C18475" t="s">
        <v>133</v>
      </c>
      <c r="D18475" t="s">
        <v>5172</v>
      </c>
      <c r="F18475" s="2" t="str">
        <f>HYPERLINK("http://www.otzar.org/book.asp?197214","ישעיהו כפשוטו")</f>
        <v>ישעיהו כפשוטו</v>
      </c>
    </row>
    <row r="18476" spans="1:6" x14ac:dyDescent="0.2">
      <c r="A18476" t="s">
        <v>30377</v>
      </c>
      <c r="B18476" t="s">
        <v>30378</v>
      </c>
      <c r="C18476" t="s">
        <v>20850</v>
      </c>
      <c r="D18476" t="s">
        <v>30379</v>
      </c>
      <c r="E18476" t="s">
        <v>158</v>
      </c>
      <c r="F18476" s="2" t="str">
        <f>HYPERLINK("http://www.otzar.org/book.asp?53412","ישעיהו - עם רד""ק")</f>
        <v>ישעיהו - עם רד"ק</v>
      </c>
    </row>
    <row r="18477" spans="1:6" x14ac:dyDescent="0.2">
      <c r="A18477" t="s">
        <v>30380</v>
      </c>
      <c r="B18477" t="s">
        <v>30381</v>
      </c>
      <c r="C18477" t="s">
        <v>37</v>
      </c>
      <c r="D18477" t="s">
        <v>14</v>
      </c>
      <c r="E18477" t="s">
        <v>144</v>
      </c>
      <c r="F18477" s="2" t="str">
        <f>HYPERLINK("http://www.otzar.org/book.asp?626693","ישפה")</f>
        <v>ישפה</v>
      </c>
    </row>
    <row r="18478" spans="1:6" x14ac:dyDescent="0.2">
      <c r="A18478" t="s">
        <v>30382</v>
      </c>
      <c r="B18478" t="s">
        <v>6229</v>
      </c>
      <c r="C18478" t="s">
        <v>533</v>
      </c>
      <c r="D18478" t="s">
        <v>52</v>
      </c>
      <c r="E18478" t="s">
        <v>144</v>
      </c>
      <c r="F18478" s="2" t="str">
        <f>HYPERLINK("http://www.otzar.org/book.asp?23016","ישר הורי")</f>
        <v>ישר הורי</v>
      </c>
    </row>
    <row r="18479" spans="1:6" x14ac:dyDescent="0.2">
      <c r="A18479" t="s">
        <v>30383</v>
      </c>
      <c r="B18479" t="s">
        <v>30384</v>
      </c>
      <c r="C18479" t="s">
        <v>1284</v>
      </c>
      <c r="D18479" t="s">
        <v>225</v>
      </c>
      <c r="E18479" t="s">
        <v>144</v>
      </c>
      <c r="F18479" s="2" t="str">
        <f>HYPERLINK("http://www.otzar.org/book.asp?19313","ישר וטוב - 2 כר'")</f>
        <v>ישר וטוב - 2 כר'</v>
      </c>
    </row>
    <row r="18480" spans="1:6" x14ac:dyDescent="0.2">
      <c r="A18480" t="s">
        <v>30385</v>
      </c>
      <c r="B18480" t="s">
        <v>30386</v>
      </c>
      <c r="C18480" t="s">
        <v>1166</v>
      </c>
      <c r="D18480" t="s">
        <v>283</v>
      </c>
      <c r="E18480" t="s">
        <v>241</v>
      </c>
      <c r="F18480" s="2" t="str">
        <f>HYPERLINK("http://www.otzar.org/book.asp?107094","ישראל באדם")</f>
        <v>ישראל באדם</v>
      </c>
    </row>
    <row r="18481" spans="1:6" x14ac:dyDescent="0.2">
      <c r="A18481" t="s">
        <v>30387</v>
      </c>
      <c r="B18481" t="s">
        <v>30388</v>
      </c>
      <c r="C18481" t="s">
        <v>422</v>
      </c>
      <c r="D18481" t="s">
        <v>4665</v>
      </c>
      <c r="F18481" s="2" t="str">
        <f>HYPERLINK("http://www.otzar.org/book.asp?163816","ישראל באומות כלב באברים &lt;אנגלית&gt;")</f>
        <v>ישראל באומות כלב באברים &lt;אנגלית&gt;</v>
      </c>
    </row>
    <row r="18482" spans="1:6" x14ac:dyDescent="0.2">
      <c r="A18482" t="s">
        <v>30389</v>
      </c>
      <c r="B18482" t="s">
        <v>4854</v>
      </c>
      <c r="C18482" t="s">
        <v>20</v>
      </c>
      <c r="D18482" t="s">
        <v>367</v>
      </c>
      <c r="E18482" t="s">
        <v>241</v>
      </c>
      <c r="F18482" s="2" t="str">
        <f>HYPERLINK("http://www.otzar.org/book.asp?605461","ישראל בחירי - 2 כר'")</f>
        <v>ישראל בחירי - 2 כר'</v>
      </c>
    </row>
    <row r="18483" spans="1:6" x14ac:dyDescent="0.2">
      <c r="A18483" t="s">
        <v>30390</v>
      </c>
      <c r="B18483" t="s">
        <v>30391</v>
      </c>
      <c r="C18483" t="s">
        <v>2550</v>
      </c>
      <c r="D18483" t="s">
        <v>756</v>
      </c>
      <c r="E18483" t="s">
        <v>241</v>
      </c>
      <c r="F18483" s="2" t="str">
        <f>HYPERLINK("http://www.otzar.org/book.asp?102225","ישראל בין העמים")</f>
        <v>ישראל בין העמים</v>
      </c>
    </row>
    <row r="18484" spans="1:6" x14ac:dyDescent="0.2">
      <c r="A18484" t="s">
        <v>30392</v>
      </c>
      <c r="B18484" t="s">
        <v>30393</v>
      </c>
      <c r="C18484" t="s">
        <v>189</v>
      </c>
      <c r="D18484" t="s">
        <v>412</v>
      </c>
      <c r="E18484" t="s">
        <v>15</v>
      </c>
      <c r="F18484" s="2" t="str">
        <f>HYPERLINK("http://www.otzar.org/book.asp?173113","ישראל במעמדם - 2 כר'")</f>
        <v>ישראל במעמדם - 2 כר'</v>
      </c>
    </row>
    <row r="18485" spans="1:6" x14ac:dyDescent="0.2">
      <c r="A18485" t="s">
        <v>30394</v>
      </c>
      <c r="B18485" t="s">
        <v>14311</v>
      </c>
      <c r="C18485" t="s">
        <v>473</v>
      </c>
      <c r="D18485" t="s">
        <v>56</v>
      </c>
      <c r="E18485" t="s">
        <v>564</v>
      </c>
      <c r="F18485" s="2" t="str">
        <f>HYPERLINK("http://www.otzar.org/book.asp?15710","ישראל בעמים")</f>
        <v>ישראל בעמים</v>
      </c>
    </row>
    <row r="18486" spans="1:6" x14ac:dyDescent="0.2">
      <c r="A18486" t="s">
        <v>30395</v>
      </c>
      <c r="B18486" t="s">
        <v>30396</v>
      </c>
      <c r="C18486" t="s">
        <v>482</v>
      </c>
      <c r="D18486" t="s">
        <v>216</v>
      </c>
      <c r="E18486" t="s">
        <v>733</v>
      </c>
      <c r="F18486" s="2" t="str">
        <f>HYPERLINK("http://www.otzar.org/book.asp?14831","ישראל הדתית - א")</f>
        <v>ישראל הדתית - א</v>
      </c>
    </row>
    <row r="18487" spans="1:6" x14ac:dyDescent="0.2">
      <c r="A18487" t="s">
        <v>30397</v>
      </c>
      <c r="B18487" t="s">
        <v>15402</v>
      </c>
      <c r="C18487" t="s">
        <v>189</v>
      </c>
      <c r="D18487" t="s">
        <v>412</v>
      </c>
      <c r="E18487" t="s">
        <v>241</v>
      </c>
      <c r="F18487" s="2" t="str">
        <f>HYPERLINK("http://www.otzar.org/book.asp?52691","ישראל ואורייתא")</f>
        <v>ישראל ואורייתא</v>
      </c>
    </row>
    <row r="18488" spans="1:6" x14ac:dyDescent="0.2">
      <c r="A18488" t="s">
        <v>30397</v>
      </c>
      <c r="B18488" t="s">
        <v>1750</v>
      </c>
      <c r="E18488" t="s">
        <v>202</v>
      </c>
      <c r="F18488" s="2" t="str">
        <f>HYPERLINK("http://www.otzar.org/book.asp?606105","ישראל ואורייתא")</f>
        <v>ישראל ואורייתא</v>
      </c>
    </row>
    <row r="18489" spans="1:6" x14ac:dyDescent="0.2">
      <c r="A18489" t="s">
        <v>30398</v>
      </c>
      <c r="B18489" t="s">
        <v>30399</v>
      </c>
      <c r="C18489" t="s">
        <v>366</v>
      </c>
      <c r="D18489" t="s">
        <v>3750</v>
      </c>
      <c r="E18489" t="s">
        <v>246</v>
      </c>
      <c r="F18489" s="2" t="str">
        <f>HYPERLINK("http://www.otzar.org/book.asp?604004","ישראל ואורייתא - 4 כר'")</f>
        <v>ישראל ואורייתא - 4 כר'</v>
      </c>
    </row>
    <row r="18490" spans="1:6" x14ac:dyDescent="0.2">
      <c r="A18490" t="s">
        <v>30400</v>
      </c>
      <c r="B18490" t="s">
        <v>15402</v>
      </c>
      <c r="C18490" t="s">
        <v>51</v>
      </c>
      <c r="D18490" t="s">
        <v>412</v>
      </c>
      <c r="E18490" t="s">
        <v>674</v>
      </c>
      <c r="F18490" s="2" t="str">
        <f>HYPERLINK("http://www.otzar.org/book.asp?52590","ישראל והזמנים - 2 כר'")</f>
        <v>ישראל והזמנים - 2 כר'</v>
      </c>
    </row>
    <row r="18491" spans="1:6" x14ac:dyDescent="0.2">
      <c r="A18491" t="s">
        <v>30401</v>
      </c>
      <c r="B18491" t="s">
        <v>30402</v>
      </c>
      <c r="C18491" t="s">
        <v>23</v>
      </c>
      <c r="D18491" t="s">
        <v>152</v>
      </c>
      <c r="F18491" s="2" t="str">
        <f>HYPERLINK("http://www.otzar.org/book.asp?197518","ישראל והזמנים")</f>
        <v>ישראל והזמנים</v>
      </c>
    </row>
    <row r="18492" spans="1:6" x14ac:dyDescent="0.2">
      <c r="A18492" t="s">
        <v>30403</v>
      </c>
      <c r="B18492" t="s">
        <v>8929</v>
      </c>
      <c r="C18492" t="s">
        <v>422</v>
      </c>
      <c r="D18492" t="s">
        <v>14</v>
      </c>
      <c r="E18492" t="s">
        <v>246</v>
      </c>
      <c r="F18492" s="2" t="str">
        <f>HYPERLINK("http://www.otzar.org/book.asp?161154","ישראל והזמנים - 3 כר'")</f>
        <v>ישראל והזמנים - 3 כר'</v>
      </c>
    </row>
    <row r="18493" spans="1:6" x14ac:dyDescent="0.2">
      <c r="A18493" t="s">
        <v>30404</v>
      </c>
      <c r="B18493" t="s">
        <v>2516</v>
      </c>
      <c r="C18493" t="s">
        <v>30405</v>
      </c>
      <c r="D18493" t="s">
        <v>30406</v>
      </c>
      <c r="F18493" s="2" t="str">
        <f>HYPERLINK("http://www.otzar.org/book.asp?608913","ישראל וקדושתו")</f>
        <v>ישראל וקדושתו</v>
      </c>
    </row>
    <row r="18494" spans="1:6" x14ac:dyDescent="0.2">
      <c r="A18494" t="s">
        <v>30407</v>
      </c>
      <c r="B18494" t="s">
        <v>20278</v>
      </c>
      <c r="C18494" t="s">
        <v>180</v>
      </c>
      <c r="D18494" t="s">
        <v>14</v>
      </c>
      <c r="E18494" t="s">
        <v>246</v>
      </c>
      <c r="F18494" s="2" t="str">
        <f>HYPERLINK("http://www.otzar.org/book.asp?158102","ישראל ושבתו")</f>
        <v>ישראל ושבתו</v>
      </c>
    </row>
    <row r="18495" spans="1:6" x14ac:dyDescent="0.2">
      <c r="A18495" t="s">
        <v>30408</v>
      </c>
      <c r="B18495" t="s">
        <v>18416</v>
      </c>
      <c r="C18495" t="s">
        <v>445</v>
      </c>
      <c r="D18495" t="s">
        <v>283</v>
      </c>
      <c r="E18495" t="s">
        <v>4333</v>
      </c>
      <c r="F18495" s="2" t="str">
        <f>HYPERLINK("http://www.otzar.org/book.asp?12888","ישראל ותורתו")</f>
        <v>ישראל ותורתו</v>
      </c>
    </row>
    <row r="18496" spans="1:6" x14ac:dyDescent="0.2">
      <c r="A18496" t="s">
        <v>30409</v>
      </c>
      <c r="B18496" t="s">
        <v>4735</v>
      </c>
      <c r="C18496" t="s">
        <v>146</v>
      </c>
      <c r="D18496" t="s">
        <v>14</v>
      </c>
      <c r="E18496" t="s">
        <v>104</v>
      </c>
      <c r="F18496" s="2" t="str">
        <f>HYPERLINK("http://www.otzar.org/book.asp?154323","ישראל ישמעאל בדילוגי אותיות בתורה")</f>
        <v>ישראל ישמעאל בדילוגי אותיות בתורה</v>
      </c>
    </row>
    <row r="18497" spans="1:6" x14ac:dyDescent="0.2">
      <c r="A18497" t="s">
        <v>30410</v>
      </c>
      <c r="B18497" t="s">
        <v>4781</v>
      </c>
      <c r="C18497" t="s">
        <v>23</v>
      </c>
      <c r="D18497" t="s">
        <v>52</v>
      </c>
      <c r="E18497" t="s">
        <v>130</v>
      </c>
      <c r="F18497" s="2" t="str">
        <f>HYPERLINK("http://www.otzar.org/book.asp?183289","ישראל לסגולתו - סוכות")</f>
        <v>ישראל לסגולתו - סוכות</v>
      </c>
    </row>
    <row r="18498" spans="1:6" x14ac:dyDescent="0.2">
      <c r="A18498" t="s">
        <v>30411</v>
      </c>
      <c r="B18498" t="s">
        <v>338</v>
      </c>
      <c r="C18498" t="s">
        <v>23</v>
      </c>
      <c r="D18498" t="s">
        <v>14</v>
      </c>
      <c r="E18498" t="s">
        <v>246</v>
      </c>
      <c r="F18498" s="2" t="str">
        <f>HYPERLINK("http://www.otzar.org/book.asp?608588","ישראל לסגולתו - הגדה של פסח")</f>
        <v>ישראל לסגולתו - הגדה של פסח</v>
      </c>
    </row>
    <row r="18499" spans="1:6" x14ac:dyDescent="0.2">
      <c r="A18499" t="s">
        <v>30412</v>
      </c>
      <c r="B18499" t="s">
        <v>1602</v>
      </c>
      <c r="C18499" t="s">
        <v>13</v>
      </c>
      <c r="D18499" t="s">
        <v>14</v>
      </c>
      <c r="E18499" t="s">
        <v>104</v>
      </c>
      <c r="F18499" s="2" t="str">
        <f>HYPERLINK("http://www.otzar.org/book.asp?84599","ישראל לסגולתו")</f>
        <v>ישראל לסגולתו</v>
      </c>
    </row>
    <row r="18500" spans="1:6" x14ac:dyDescent="0.2">
      <c r="A18500" t="s">
        <v>30413</v>
      </c>
      <c r="B18500" t="s">
        <v>21399</v>
      </c>
      <c r="C18500" t="s">
        <v>3106</v>
      </c>
      <c r="D18500" t="s">
        <v>1180</v>
      </c>
      <c r="E18500" t="s">
        <v>202</v>
      </c>
      <c r="F18500" s="2" t="str">
        <f>HYPERLINK("http://www.otzar.org/book.asp?180316","ישראל סבא &lt;ארה""ב&gt; - 4 כר'")</f>
        <v>ישראל סבא &lt;ארה"ב&gt; - 4 כר'</v>
      </c>
    </row>
    <row r="18501" spans="1:6" x14ac:dyDescent="0.2">
      <c r="A18501" t="s">
        <v>30414</v>
      </c>
      <c r="B18501" t="s">
        <v>26018</v>
      </c>
      <c r="C18501" t="s">
        <v>20</v>
      </c>
      <c r="D18501" t="s">
        <v>14</v>
      </c>
      <c r="E18501" t="s">
        <v>140</v>
      </c>
      <c r="F18501" s="2" t="str">
        <f>HYPERLINK("http://www.otzar.org/book.asp?164998","ישראל סבא")</f>
        <v>ישראל סבא</v>
      </c>
    </row>
    <row r="18502" spans="1:6" x14ac:dyDescent="0.2">
      <c r="A18502" t="s">
        <v>30415</v>
      </c>
      <c r="B18502" t="s">
        <v>1750</v>
      </c>
      <c r="C18502" t="s">
        <v>30416</v>
      </c>
      <c r="D18502" t="s">
        <v>423</v>
      </c>
      <c r="E18502" t="s">
        <v>1174</v>
      </c>
      <c r="F18502" s="2" t="str">
        <f>HYPERLINK("http://www.otzar.org/book.asp?13698","ישראל סבא - 77 כר'")</f>
        <v>ישראל סבא - 77 כר'</v>
      </c>
    </row>
    <row r="18503" spans="1:6" x14ac:dyDescent="0.2">
      <c r="A18503" t="s">
        <v>30417</v>
      </c>
      <c r="B18503" t="s">
        <v>30418</v>
      </c>
      <c r="C18503" t="s">
        <v>106</v>
      </c>
      <c r="D18503" t="s">
        <v>14</v>
      </c>
      <c r="E18503" t="s">
        <v>202</v>
      </c>
      <c r="F18503" s="2" t="str">
        <f>HYPERLINK("http://www.otzar.org/book.asp?154560","ישראל עושה חיל")</f>
        <v>ישראל עושה חיל</v>
      </c>
    </row>
    <row r="18504" spans="1:6" x14ac:dyDescent="0.2">
      <c r="A18504" t="s">
        <v>30419</v>
      </c>
      <c r="B18504" t="s">
        <v>15402</v>
      </c>
      <c r="C18504" t="s">
        <v>189</v>
      </c>
      <c r="D18504" t="s">
        <v>412</v>
      </c>
      <c r="E18504" t="s">
        <v>104</v>
      </c>
      <c r="F18504" s="2" t="str">
        <f>HYPERLINK("http://www.otzar.org/book.asp?52689","ישראל ערבים")</f>
        <v>ישראל ערבים</v>
      </c>
    </row>
    <row r="18505" spans="1:6" x14ac:dyDescent="0.2">
      <c r="A18505" t="s">
        <v>30420</v>
      </c>
      <c r="B18505" t="s">
        <v>2993</v>
      </c>
      <c r="C18505" t="s">
        <v>313</v>
      </c>
      <c r="D18505" t="s">
        <v>14919</v>
      </c>
      <c r="E18505" t="s">
        <v>241</v>
      </c>
      <c r="F18505" s="2" t="str">
        <f>HYPERLINK("http://www.otzar.org/book.asp?84174","ישראל קדושים &lt;מהדורת הר ברכה&gt;")</f>
        <v>ישראל קדושים &lt;מהדורת הר ברכה&gt;</v>
      </c>
    </row>
    <row r="18506" spans="1:6" x14ac:dyDescent="0.2">
      <c r="A18506" t="s">
        <v>30421</v>
      </c>
      <c r="B18506" t="s">
        <v>15402</v>
      </c>
      <c r="C18506" t="s">
        <v>129</v>
      </c>
      <c r="D18506" t="s">
        <v>412</v>
      </c>
      <c r="E18506" t="s">
        <v>213</v>
      </c>
      <c r="F18506" s="2" t="str">
        <f>HYPERLINK("http://www.otzar.org/book.asp?52690","ישראל קדושים")</f>
        <v>ישראל קדושים</v>
      </c>
    </row>
    <row r="18507" spans="1:6" x14ac:dyDescent="0.2">
      <c r="A18507" t="s">
        <v>30421</v>
      </c>
      <c r="B18507" t="s">
        <v>2993</v>
      </c>
      <c r="C18507" t="s">
        <v>506</v>
      </c>
      <c r="D18507" t="s">
        <v>726</v>
      </c>
      <c r="E18507" t="s">
        <v>140</v>
      </c>
      <c r="F18507" s="2" t="str">
        <f>HYPERLINK("http://www.otzar.org/book.asp?10371","ישראל קדושים")</f>
        <v>ישראל קדושים</v>
      </c>
    </row>
    <row r="18508" spans="1:6" x14ac:dyDescent="0.2">
      <c r="A18508" t="s">
        <v>30422</v>
      </c>
      <c r="B18508" t="s">
        <v>30423</v>
      </c>
      <c r="C18508" t="s">
        <v>16924</v>
      </c>
      <c r="D18508" t="s">
        <v>14</v>
      </c>
      <c r="E18508" t="s">
        <v>674</v>
      </c>
      <c r="F18508" s="2" t="str">
        <f>HYPERLINK("http://www.otzar.org/book.asp?22703","ישרו בערבה מסילה")</f>
        <v>ישרו בערבה מסילה</v>
      </c>
    </row>
    <row r="18509" spans="1:6" x14ac:dyDescent="0.2">
      <c r="A18509" t="s">
        <v>30424</v>
      </c>
      <c r="B18509" t="s">
        <v>30425</v>
      </c>
      <c r="C18509" t="s">
        <v>1418</v>
      </c>
      <c r="D18509" t="s">
        <v>30426</v>
      </c>
      <c r="E18509" t="s">
        <v>3790</v>
      </c>
      <c r="F18509" s="2" t="str">
        <f>HYPERLINK("http://www.otzar.org/book.asp?16807","ישרון - ו")</f>
        <v>ישרון - ו</v>
      </c>
    </row>
    <row r="18510" spans="1:6" x14ac:dyDescent="0.2">
      <c r="A18510" t="s">
        <v>30427</v>
      </c>
      <c r="B18510" t="s">
        <v>28970</v>
      </c>
      <c r="C18510" t="s">
        <v>600</v>
      </c>
      <c r="D18510" t="s">
        <v>157</v>
      </c>
      <c r="E18510" t="s">
        <v>21952</v>
      </c>
      <c r="F18510" s="2" t="str">
        <f>HYPERLINK("http://www.otzar.org/book.asp?18921","ישרי לב")</f>
        <v>ישרי לב</v>
      </c>
    </row>
    <row r="18511" spans="1:6" x14ac:dyDescent="0.2">
      <c r="A18511" t="s">
        <v>30427</v>
      </c>
      <c r="B18511" t="s">
        <v>30428</v>
      </c>
      <c r="C18511" t="s">
        <v>775</v>
      </c>
      <c r="D18511" t="s">
        <v>80</v>
      </c>
      <c r="E18511" t="s">
        <v>241</v>
      </c>
      <c r="F18511" s="2" t="str">
        <f>HYPERLINK("http://www.otzar.org/book.asp?600309","ישרי לב")</f>
        <v>ישרי לב</v>
      </c>
    </row>
    <row r="18512" spans="1:6" x14ac:dyDescent="0.2">
      <c r="A18512" t="s">
        <v>30429</v>
      </c>
      <c r="B18512" t="s">
        <v>1750</v>
      </c>
      <c r="C18512" t="s">
        <v>189</v>
      </c>
      <c r="D18512" t="s">
        <v>657</v>
      </c>
      <c r="E18512" t="s">
        <v>202</v>
      </c>
      <c r="F18512" s="2" t="str">
        <f>HYPERLINK("http://www.otzar.org/book.asp?61878","ישרי לב - שבת")</f>
        <v>ישרי לב - שבת</v>
      </c>
    </row>
    <row r="18513" spans="1:6" x14ac:dyDescent="0.2">
      <c r="A18513" t="s">
        <v>30427</v>
      </c>
      <c r="B18513" t="s">
        <v>30430</v>
      </c>
      <c r="C18513" t="s">
        <v>180</v>
      </c>
      <c r="D18513" t="s">
        <v>52</v>
      </c>
      <c r="E18513" t="s">
        <v>246</v>
      </c>
      <c r="F18513" s="2" t="str">
        <f>HYPERLINK("http://www.otzar.org/book.asp?617082","ישרי לב")</f>
        <v>ישרי לב</v>
      </c>
    </row>
    <row r="18514" spans="1:6" x14ac:dyDescent="0.2">
      <c r="A18514" t="s">
        <v>30427</v>
      </c>
      <c r="B18514" t="s">
        <v>14379</v>
      </c>
      <c r="C18514" t="s">
        <v>1284</v>
      </c>
      <c r="D18514" t="s">
        <v>726</v>
      </c>
      <c r="E18514" t="s">
        <v>3055</v>
      </c>
      <c r="F18514" s="2" t="str">
        <f>HYPERLINK("http://www.otzar.org/book.asp?15791","ישרי לב")</f>
        <v>ישרי לב</v>
      </c>
    </row>
    <row r="18515" spans="1:6" x14ac:dyDescent="0.2">
      <c r="A18515" t="s">
        <v>30431</v>
      </c>
      <c r="B18515" t="s">
        <v>30432</v>
      </c>
      <c r="C18515" t="s">
        <v>133</v>
      </c>
      <c r="D18515" t="s">
        <v>412</v>
      </c>
      <c r="E18515" t="s">
        <v>172</v>
      </c>
      <c r="F18515" s="2" t="str">
        <f>HYPERLINK("http://www.otzar.org/book.asp?616232","ישרי לב - 2 כר'")</f>
        <v>ישרי לב - 2 כר'</v>
      </c>
    </row>
    <row r="18516" spans="1:6" x14ac:dyDescent="0.2">
      <c r="A18516" t="s">
        <v>30431</v>
      </c>
      <c r="B18516" t="s">
        <v>30433</v>
      </c>
      <c r="C18516" t="s">
        <v>68</v>
      </c>
      <c r="D18516" t="s">
        <v>152</v>
      </c>
      <c r="F18516" s="2" t="str">
        <f>HYPERLINK("http://www.otzar.org/book.asp?198336","ישרי לב - 2 כר'")</f>
        <v>ישרי לב - 2 כר'</v>
      </c>
    </row>
    <row r="18517" spans="1:6" x14ac:dyDescent="0.2">
      <c r="A18517" t="s">
        <v>30434</v>
      </c>
      <c r="B18517" t="s">
        <v>10531</v>
      </c>
      <c r="C18517" t="s">
        <v>68</v>
      </c>
      <c r="D18517" t="s">
        <v>14</v>
      </c>
      <c r="E18517" t="s">
        <v>144</v>
      </c>
      <c r="F18517" s="2" t="str">
        <f>HYPERLINK("http://www.otzar.org/book.asp?158135","ישרש יעקב &lt;מהדורה חדשה&gt; - 2 כר'")</f>
        <v>ישרש יעקב &lt;מהדורה חדשה&gt; - 2 כר'</v>
      </c>
    </row>
    <row r="18518" spans="1:6" x14ac:dyDescent="0.2">
      <c r="A18518" t="s">
        <v>30435</v>
      </c>
      <c r="B18518" t="s">
        <v>30436</v>
      </c>
      <c r="C18518" t="s">
        <v>133</v>
      </c>
      <c r="D18518" t="s">
        <v>52</v>
      </c>
      <c r="E18518" t="s">
        <v>8785</v>
      </c>
      <c r="F18518" s="2" t="str">
        <f>HYPERLINK("http://www.otzar.org/book.asp?171461","ישרש יעקב &lt;מהדורה חדשה&gt;")</f>
        <v>ישרש יעקב &lt;מהדורה חדשה&gt;</v>
      </c>
    </row>
    <row r="18519" spans="1:6" x14ac:dyDescent="0.2">
      <c r="A18519" t="s">
        <v>30435</v>
      </c>
      <c r="B18519" t="s">
        <v>6900</v>
      </c>
      <c r="D18519" t="s">
        <v>14</v>
      </c>
      <c r="E18519" t="s">
        <v>399</v>
      </c>
      <c r="F18519" s="2" t="str">
        <f>HYPERLINK("http://www.otzar.org/book.asp?180199","ישרש יעקב &lt;מהדורה חדשה&gt;")</f>
        <v>ישרש יעקב &lt;מהדורה חדשה&gt;</v>
      </c>
    </row>
    <row r="18520" spans="1:6" x14ac:dyDescent="0.2">
      <c r="A18520" t="s">
        <v>30437</v>
      </c>
      <c r="B18520" t="s">
        <v>28805</v>
      </c>
      <c r="C18520" t="s">
        <v>8476</v>
      </c>
      <c r="D18520" t="s">
        <v>157</v>
      </c>
      <c r="E18520" t="s">
        <v>11780</v>
      </c>
      <c r="F18520" s="2" t="str">
        <f>HYPERLINK("http://www.otzar.org/book.asp?104492","ישרש יעקב")</f>
        <v>ישרש יעקב</v>
      </c>
    </row>
    <row r="18521" spans="1:6" x14ac:dyDescent="0.2">
      <c r="A18521" t="s">
        <v>30437</v>
      </c>
      <c r="B18521" t="s">
        <v>30438</v>
      </c>
      <c r="C18521" t="s">
        <v>6624</v>
      </c>
      <c r="D18521" t="s">
        <v>42</v>
      </c>
      <c r="E18521" t="s">
        <v>104</v>
      </c>
      <c r="F18521" s="2" t="str">
        <f>HYPERLINK("http://www.otzar.org/book.asp?63912","ישרש יעקב")</f>
        <v>ישרש יעקב</v>
      </c>
    </row>
    <row r="18522" spans="1:6" x14ac:dyDescent="0.2">
      <c r="A18522" t="s">
        <v>30439</v>
      </c>
      <c r="B18522" t="s">
        <v>30440</v>
      </c>
      <c r="C18522" t="s">
        <v>189</v>
      </c>
      <c r="D18522" t="s">
        <v>657</v>
      </c>
      <c r="F18522" s="2" t="str">
        <f>HYPERLINK("http://www.otzar.org/book.asp?157162","ישרש יעקב - יסוד הקיום")</f>
        <v>ישרש יעקב - יסוד הקיום</v>
      </c>
    </row>
    <row r="18523" spans="1:6" x14ac:dyDescent="0.2">
      <c r="A18523" t="s">
        <v>30437</v>
      </c>
      <c r="B18523" t="s">
        <v>10531</v>
      </c>
      <c r="C18523" t="s">
        <v>2617</v>
      </c>
      <c r="D18523" t="s">
        <v>267</v>
      </c>
      <c r="E18523" t="s">
        <v>144</v>
      </c>
      <c r="F18523" s="2" t="str">
        <f>HYPERLINK("http://www.otzar.org/book.asp?254","ישרש יעקב")</f>
        <v>ישרש יעקב</v>
      </c>
    </row>
    <row r="18524" spans="1:6" x14ac:dyDescent="0.2">
      <c r="A18524" t="s">
        <v>30437</v>
      </c>
      <c r="B18524" t="s">
        <v>30436</v>
      </c>
      <c r="C18524" t="s">
        <v>547</v>
      </c>
      <c r="D18524" t="s">
        <v>283</v>
      </c>
      <c r="E18524" t="s">
        <v>30441</v>
      </c>
      <c r="F18524" s="2" t="str">
        <f>HYPERLINK("http://www.otzar.org/book.asp?10569","ישרש יעקב")</f>
        <v>ישרש יעקב</v>
      </c>
    </row>
    <row r="18525" spans="1:6" x14ac:dyDescent="0.2">
      <c r="A18525" t="s">
        <v>30437</v>
      </c>
      <c r="B18525" t="s">
        <v>6900</v>
      </c>
      <c r="C18525" t="s">
        <v>1663</v>
      </c>
      <c r="D18525" t="s">
        <v>412</v>
      </c>
      <c r="E18525" t="s">
        <v>399</v>
      </c>
      <c r="F18525" s="2" t="str">
        <f>HYPERLINK("http://www.otzar.org/book.asp?15711","ישרש יעקב")</f>
        <v>ישרש יעקב</v>
      </c>
    </row>
    <row r="18526" spans="1:6" x14ac:dyDescent="0.2">
      <c r="A18526" t="s">
        <v>30437</v>
      </c>
      <c r="B18526" t="s">
        <v>30442</v>
      </c>
      <c r="C18526" t="s">
        <v>454</v>
      </c>
      <c r="D18526" t="s">
        <v>412</v>
      </c>
      <c r="E18526" t="s">
        <v>2071</v>
      </c>
      <c r="F18526" s="2" t="str">
        <f>HYPERLINK("http://www.otzar.org/book.asp?172359","ישרש יעקב")</f>
        <v>ישרש יעקב</v>
      </c>
    </row>
    <row r="18527" spans="1:6" x14ac:dyDescent="0.2">
      <c r="A18527" t="s">
        <v>30443</v>
      </c>
      <c r="B18527" t="s">
        <v>30444</v>
      </c>
      <c r="C18527" t="s">
        <v>17</v>
      </c>
      <c r="D18527" t="s">
        <v>14</v>
      </c>
      <c r="E18527" t="s">
        <v>474</v>
      </c>
      <c r="F18527" s="2" t="str">
        <f>HYPERLINK("http://www.otzar.org/book.asp?28067","ישרש יעקב - 2 כר'")</f>
        <v>ישרש יעקב - 2 כר'</v>
      </c>
    </row>
    <row r="18528" spans="1:6" x14ac:dyDescent="0.2">
      <c r="A18528" t="s">
        <v>30445</v>
      </c>
      <c r="B18528" t="s">
        <v>30446</v>
      </c>
      <c r="C18528" t="s">
        <v>2870</v>
      </c>
      <c r="D18528" t="s">
        <v>27</v>
      </c>
      <c r="E18528" t="s">
        <v>158</v>
      </c>
      <c r="F18528" s="2" t="str">
        <f>HYPERLINK("http://www.otzar.org/book.asp?24657","ישרת התורה")</f>
        <v>ישרת התורה</v>
      </c>
    </row>
    <row r="18529" spans="1:6" x14ac:dyDescent="0.2">
      <c r="A18529" t="s">
        <v>30447</v>
      </c>
      <c r="B18529" t="s">
        <v>30448</v>
      </c>
      <c r="C18529" t="s">
        <v>133</v>
      </c>
      <c r="D18529" t="s">
        <v>14</v>
      </c>
      <c r="F18529" s="2" t="str">
        <f>HYPERLINK("http://www.otzar.org/book.asp?610481","יששכר באהליך")</f>
        <v>יששכר באהליך</v>
      </c>
    </row>
    <row r="18530" spans="1:6" x14ac:dyDescent="0.2">
      <c r="A18530" t="s">
        <v>30447</v>
      </c>
      <c r="B18530" t="s">
        <v>30449</v>
      </c>
      <c r="C18530" t="s">
        <v>334</v>
      </c>
      <c r="D18530" t="s">
        <v>14</v>
      </c>
      <c r="E18530" t="s">
        <v>202</v>
      </c>
      <c r="F18530" s="2" t="str">
        <f>HYPERLINK("http://www.otzar.org/book.asp?151235","יששכר באהליך")</f>
        <v>יששכר באהליך</v>
      </c>
    </row>
    <row r="18531" spans="1:6" x14ac:dyDescent="0.2">
      <c r="A18531" t="s">
        <v>30450</v>
      </c>
      <c r="B18531" t="s">
        <v>30451</v>
      </c>
      <c r="C18531" t="s">
        <v>1166</v>
      </c>
      <c r="D18531" t="s">
        <v>592</v>
      </c>
      <c r="E18531" t="s">
        <v>1391</v>
      </c>
      <c r="F18531" s="2" t="str">
        <f>HYPERLINK("http://www.otzar.org/book.asp?196326","יששכר וזבולון")</f>
        <v>יששכר וזבולון</v>
      </c>
    </row>
    <row r="18532" spans="1:6" x14ac:dyDescent="0.2">
      <c r="A18532" t="s">
        <v>30450</v>
      </c>
      <c r="B18532" t="s">
        <v>30452</v>
      </c>
      <c r="C18532" t="s">
        <v>13</v>
      </c>
      <c r="D18532" t="s">
        <v>152</v>
      </c>
      <c r="E18532" t="s">
        <v>104</v>
      </c>
      <c r="F18532" s="2" t="str">
        <f>HYPERLINK("http://www.otzar.org/book.asp?143175","יששכר וזבולון")</f>
        <v>יששכר וזבולון</v>
      </c>
    </row>
    <row r="18533" spans="1:6" x14ac:dyDescent="0.2">
      <c r="A18533" t="s">
        <v>30450</v>
      </c>
      <c r="B18533" t="s">
        <v>30453</v>
      </c>
      <c r="C18533" t="s">
        <v>111</v>
      </c>
      <c r="D18533" t="s">
        <v>90</v>
      </c>
      <c r="E18533" t="s">
        <v>241</v>
      </c>
      <c r="F18533" s="2" t="str">
        <f>HYPERLINK("http://www.otzar.org/book.asp?626222","יששכר וזבולון")</f>
        <v>יששכר וזבולון</v>
      </c>
    </row>
    <row r="18534" spans="1:6" x14ac:dyDescent="0.2">
      <c r="A18534" t="s">
        <v>30454</v>
      </c>
      <c r="B18534" t="s">
        <v>30455</v>
      </c>
      <c r="C18534" t="s">
        <v>624</v>
      </c>
      <c r="D18534" t="s">
        <v>52</v>
      </c>
      <c r="E18534" t="s">
        <v>104</v>
      </c>
      <c r="F18534" s="2" t="str">
        <f>HYPERLINK("http://www.otzar.org/book.asp?61514","יששכר וזבולון - 2 כר'")</f>
        <v>יששכר וזבולון - 2 כר'</v>
      </c>
    </row>
    <row r="18535" spans="1:6" x14ac:dyDescent="0.2">
      <c r="A18535" t="s">
        <v>30456</v>
      </c>
      <c r="B18535" t="s">
        <v>3768</v>
      </c>
      <c r="C18535" t="s">
        <v>68</v>
      </c>
      <c r="D18535" t="s">
        <v>14</v>
      </c>
      <c r="E18535" t="s">
        <v>241</v>
      </c>
      <c r="F18535" s="2" t="str">
        <f>HYPERLINK("http://www.otzar.org/book.asp?173707","יתגבר כארי &lt;מהדורה מנוקדת&gt;")</f>
        <v>יתגבר כארי &lt;מהדורה מנוקדת&gt;</v>
      </c>
    </row>
    <row r="18536" spans="1:6" x14ac:dyDescent="0.2">
      <c r="A18536" t="s">
        <v>30457</v>
      </c>
      <c r="B18536" t="s">
        <v>3768</v>
      </c>
      <c r="C18536" t="s">
        <v>129</v>
      </c>
      <c r="D18536" t="s">
        <v>14</v>
      </c>
      <c r="E18536" t="s">
        <v>15</v>
      </c>
      <c r="F18536" s="2" t="str">
        <f>HYPERLINK("http://www.otzar.org/book.asp?84864","יתגבר כארי")</f>
        <v>יתגבר כארי</v>
      </c>
    </row>
    <row r="18537" spans="1:6" x14ac:dyDescent="0.2">
      <c r="A18537" t="s">
        <v>30458</v>
      </c>
      <c r="B18537" t="s">
        <v>206</v>
      </c>
      <c r="C18537" t="s">
        <v>37</v>
      </c>
      <c r="D18537" t="s">
        <v>90</v>
      </c>
      <c r="E18537" t="s">
        <v>15</v>
      </c>
      <c r="F18537" s="2" t="str">
        <f>HYPERLINK("http://www.otzar.org/book.asp?183287","יתגדל ויתקדש שמיה רבא")</f>
        <v>יתגדל ויתקדש שמיה רבא</v>
      </c>
    </row>
    <row r="18538" spans="1:6" x14ac:dyDescent="0.2">
      <c r="A18538" t="s">
        <v>30459</v>
      </c>
      <c r="B18538" t="s">
        <v>4369</v>
      </c>
      <c r="C18538" t="s">
        <v>103</v>
      </c>
      <c r="D18538" t="s">
        <v>139</v>
      </c>
      <c r="F18538" s="2" t="str">
        <f>HYPERLINK("http://www.otzar.org/book.asp?618011","יתד המאיר - 119 כר'")</f>
        <v>יתד המאיר - 119 כר'</v>
      </c>
    </row>
    <row r="18539" spans="1:6" x14ac:dyDescent="0.2">
      <c r="A18539" t="s">
        <v>30460</v>
      </c>
      <c r="B18539" t="s">
        <v>30461</v>
      </c>
      <c r="C18539" t="s">
        <v>51</v>
      </c>
      <c r="D18539" t="s">
        <v>52</v>
      </c>
      <c r="E18539" t="s">
        <v>234</v>
      </c>
      <c r="F18539" s="2" t="str">
        <f>HYPERLINK("http://www.otzar.org/book.asp?190924","יתד נאמן - 3 כר'")</f>
        <v>יתד נאמן - 3 כר'</v>
      </c>
    </row>
    <row r="18540" spans="1:6" x14ac:dyDescent="0.2">
      <c r="A18540" t="s">
        <v>30462</v>
      </c>
      <c r="B18540" t="s">
        <v>30463</v>
      </c>
      <c r="C18540" t="s">
        <v>11298</v>
      </c>
      <c r="D18540" t="s">
        <v>280</v>
      </c>
      <c r="E18540" t="s">
        <v>165</v>
      </c>
      <c r="F18540" s="2" t="str">
        <f>HYPERLINK("http://www.otzar.org/book.asp?15905","יתדות אוהלים")</f>
        <v>יתדות אוהלים</v>
      </c>
    </row>
    <row r="18541" spans="1:6" x14ac:dyDescent="0.2">
      <c r="A18541" t="s">
        <v>30464</v>
      </c>
      <c r="B18541" t="s">
        <v>30465</v>
      </c>
      <c r="C18541" t="s">
        <v>68</v>
      </c>
      <c r="D18541" t="s">
        <v>4549</v>
      </c>
      <c r="E18541" t="s">
        <v>172</v>
      </c>
      <c r="F18541" s="2" t="str">
        <f>HYPERLINK("http://www.otzar.org/book.asp?602917","יתדות החצר")</f>
        <v>יתדות החצר</v>
      </c>
    </row>
    <row r="18542" spans="1:6" x14ac:dyDescent="0.2">
      <c r="A18542" t="s">
        <v>30466</v>
      </c>
      <c r="B18542" t="s">
        <v>5293</v>
      </c>
      <c r="C18542" t="s">
        <v>151</v>
      </c>
      <c r="D18542" t="s">
        <v>14</v>
      </c>
      <c r="E18542" t="s">
        <v>241</v>
      </c>
      <c r="F18542" s="2" t="str">
        <f>HYPERLINK("http://www.otzar.org/book.asp?625402","יתום ואלמנה יעודד")</f>
        <v>יתום ואלמנה יעודד</v>
      </c>
    </row>
    <row r="18543" spans="1:6" x14ac:dyDescent="0.2">
      <c r="A18543" t="s">
        <v>30467</v>
      </c>
      <c r="B18543" t="s">
        <v>30468</v>
      </c>
      <c r="C18543" t="s">
        <v>313</v>
      </c>
      <c r="D18543" t="s">
        <v>118</v>
      </c>
      <c r="E18543" t="s">
        <v>8345</v>
      </c>
      <c r="F18543" s="2" t="str">
        <f>HYPERLINK("http://www.otzar.org/book.asp?51154","יתן מציון - ב")</f>
        <v>יתן מציון - ב</v>
      </c>
    </row>
    <row r="18544" spans="1:6" x14ac:dyDescent="0.2">
      <c r="A18544" t="s">
        <v>30469</v>
      </c>
      <c r="B18544" t="s">
        <v>30470</v>
      </c>
      <c r="C18544" t="s">
        <v>1448</v>
      </c>
      <c r="D18544" t="s">
        <v>1840</v>
      </c>
      <c r="F18544" s="2" t="str">
        <f>HYPERLINK("http://www.otzar.org/book.asp?198663","יתן מציון - ברכות, ביצה")</f>
        <v>יתן מציון - ברכות, ביצה</v>
      </c>
    </row>
    <row r="18545" spans="1:6" x14ac:dyDescent="0.2">
      <c r="A18545" t="s">
        <v>30471</v>
      </c>
      <c r="B18545" t="s">
        <v>30472</v>
      </c>
      <c r="C18545" t="s">
        <v>6062</v>
      </c>
      <c r="D18545" t="s">
        <v>212</v>
      </c>
      <c r="E18545" t="s">
        <v>144</v>
      </c>
      <c r="F18545" s="2" t="str">
        <f>HYPERLINK("http://www.otzar.org/book.asp?9572","יתר הבז - 2 כר'")</f>
        <v>יתר הבז - 2 כר'</v>
      </c>
    </row>
    <row r="18546" spans="1:6" x14ac:dyDescent="0.2">
      <c r="A18546" t="s">
        <v>30473</v>
      </c>
      <c r="B18546" t="s">
        <v>10642</v>
      </c>
      <c r="C18546" t="s">
        <v>603</v>
      </c>
      <c r="D18546" t="s">
        <v>1279</v>
      </c>
      <c r="E18546" t="s">
        <v>158</v>
      </c>
      <c r="F18546" s="2" t="str">
        <f>HYPERLINK("http://www.otzar.org/book.asp?103211","יתרון לחכמה")</f>
        <v>יתרון לחכמה</v>
      </c>
    </row>
    <row r="18547" spans="1:6" x14ac:dyDescent="0.2">
      <c r="A18547" t="s">
        <v>30474</v>
      </c>
      <c r="B18547" t="s">
        <v>30475</v>
      </c>
      <c r="C18547" t="s">
        <v>129</v>
      </c>
      <c r="D18547" t="s">
        <v>216</v>
      </c>
      <c r="E18547" t="s">
        <v>674</v>
      </c>
      <c r="F18547" s="2" t="str">
        <f>HYPERLINK("http://www.otzar.org/book.asp?169369","כ""ה לחי - 2 כר'")</f>
        <v>כ"ה לחי - 2 כר'</v>
      </c>
    </row>
    <row r="18548" spans="1:6" x14ac:dyDescent="0.2">
      <c r="A18548" t="s">
        <v>30476</v>
      </c>
      <c r="B18548" t="s">
        <v>14682</v>
      </c>
      <c r="C18548" t="s">
        <v>37</v>
      </c>
      <c r="D18548" t="s">
        <v>14</v>
      </c>
      <c r="E18548" t="s">
        <v>15</v>
      </c>
      <c r="F18548" s="2" t="str">
        <f>HYPERLINK("http://www.otzar.org/book.asp?178933","כ""פ אחת")</f>
        <v>כ"פ אחת</v>
      </c>
    </row>
    <row r="18549" spans="1:6" x14ac:dyDescent="0.2">
      <c r="A18549" t="s">
        <v>30477</v>
      </c>
      <c r="B18549" t="s">
        <v>5867</v>
      </c>
      <c r="C18549" t="s">
        <v>332</v>
      </c>
      <c r="D18549" t="s">
        <v>52</v>
      </c>
      <c r="E18549" t="s">
        <v>226</v>
      </c>
      <c r="F18549" s="2" t="str">
        <f>HYPERLINK("http://www.otzar.org/book.asp?626323","כ""ק מרן אדמו""ר מנדבורנה זצוקללה""ה")</f>
        <v>כ"ק מרן אדמו"ר מנדבורנה זצוקללה"ה</v>
      </c>
    </row>
    <row r="18550" spans="1:6" x14ac:dyDescent="0.2">
      <c r="A18550" t="s">
        <v>30478</v>
      </c>
      <c r="B18550" t="s">
        <v>30479</v>
      </c>
      <c r="F18550" s="2" t="str">
        <f>HYPERLINK("http://www.otzar.org/book.asp?630271","כ""ק מרן האדמו""ר מגור זצוקלל""ה")</f>
        <v>כ"ק מרן האדמו"ר מגור זצוקלל"ה</v>
      </c>
    </row>
    <row r="18551" spans="1:6" x14ac:dyDescent="0.2">
      <c r="A18551" t="s">
        <v>30480</v>
      </c>
      <c r="B18551" t="s">
        <v>30481</v>
      </c>
      <c r="C18551" t="s">
        <v>383</v>
      </c>
      <c r="D18551" t="s">
        <v>14</v>
      </c>
      <c r="E18551" t="s">
        <v>158</v>
      </c>
      <c r="F18551" s="2" t="str">
        <f>HYPERLINK("http://www.otzar.org/book.asp?148811","כאור החמה מזהיר")</f>
        <v>כאור החמה מזהיר</v>
      </c>
    </row>
    <row r="18552" spans="1:6" x14ac:dyDescent="0.2">
      <c r="A18552" t="s">
        <v>30480</v>
      </c>
      <c r="B18552" t="s">
        <v>3454</v>
      </c>
      <c r="C18552" t="s">
        <v>151</v>
      </c>
      <c r="D18552" t="s">
        <v>21</v>
      </c>
      <c r="E18552" t="s">
        <v>246</v>
      </c>
      <c r="F18552" s="2" t="str">
        <f>HYPERLINK("http://www.otzar.org/book.asp?616904","כאור החמה מזהיר")</f>
        <v>כאור החמה מזהיר</v>
      </c>
    </row>
    <row r="18553" spans="1:6" x14ac:dyDescent="0.2">
      <c r="A18553" t="s">
        <v>30482</v>
      </c>
      <c r="B18553" t="s">
        <v>30483</v>
      </c>
      <c r="C18553" t="s">
        <v>71</v>
      </c>
      <c r="D18553" t="s">
        <v>52</v>
      </c>
      <c r="E18553" t="s">
        <v>104</v>
      </c>
      <c r="F18553" s="2" t="str">
        <f>HYPERLINK("http://www.otzar.org/book.asp?189030","כאור נגה")</f>
        <v>כאור נגה</v>
      </c>
    </row>
    <row r="18554" spans="1:6" x14ac:dyDescent="0.2">
      <c r="A18554" t="s">
        <v>30482</v>
      </c>
      <c r="B18554" t="s">
        <v>12629</v>
      </c>
      <c r="C18554" t="s">
        <v>5826</v>
      </c>
      <c r="D18554" t="s">
        <v>1008</v>
      </c>
      <c r="E18554" t="s">
        <v>104</v>
      </c>
      <c r="F18554" s="2" t="str">
        <f>HYPERLINK("http://www.otzar.org/book.asp?148148","כאור נגה")</f>
        <v>כאור נגה</v>
      </c>
    </row>
    <row r="18555" spans="1:6" x14ac:dyDescent="0.2">
      <c r="A18555" t="s">
        <v>30484</v>
      </c>
      <c r="B18555" t="s">
        <v>2396</v>
      </c>
      <c r="C18555" t="s">
        <v>17</v>
      </c>
      <c r="D18555" t="s">
        <v>1076</v>
      </c>
      <c r="E18555" t="s">
        <v>579</v>
      </c>
      <c r="F18555" s="2" t="str">
        <f>HYPERLINK("http://www.otzar.org/book.asp?22912","כאייל תערוג")</f>
        <v>כאייל תערוג</v>
      </c>
    </row>
    <row r="18556" spans="1:6" x14ac:dyDescent="0.2">
      <c r="A18556" t="s">
        <v>30485</v>
      </c>
      <c r="B18556" t="s">
        <v>30486</v>
      </c>
      <c r="C18556" t="s">
        <v>313</v>
      </c>
      <c r="D18556" t="s">
        <v>1511</v>
      </c>
      <c r="E18556" t="s">
        <v>144</v>
      </c>
      <c r="F18556" s="2" t="str">
        <f>HYPERLINK("http://www.otzar.org/book.asp?190168","כאיל תערג")</f>
        <v>כאיל תערג</v>
      </c>
    </row>
    <row r="18557" spans="1:6" x14ac:dyDescent="0.2">
      <c r="A18557" t="s">
        <v>30485</v>
      </c>
      <c r="B18557" t="s">
        <v>552</v>
      </c>
      <c r="C18557" t="s">
        <v>23</v>
      </c>
      <c r="D18557" t="s">
        <v>21</v>
      </c>
      <c r="E18557" t="s">
        <v>202</v>
      </c>
      <c r="F18557" s="2" t="str">
        <f>HYPERLINK("http://www.otzar.org/book.asp?191829","כאיל תערג")</f>
        <v>כאיל תערג</v>
      </c>
    </row>
    <row r="18558" spans="1:6" x14ac:dyDescent="0.2">
      <c r="A18558" t="s">
        <v>30485</v>
      </c>
      <c r="B18558" t="s">
        <v>2483</v>
      </c>
      <c r="C18558" t="s">
        <v>146</v>
      </c>
      <c r="D18558" t="s">
        <v>52</v>
      </c>
      <c r="E18558" t="s">
        <v>154</v>
      </c>
      <c r="F18558" s="2" t="str">
        <f>HYPERLINK("http://www.otzar.org/book.asp?142052","כאיל תערג")</f>
        <v>כאיל תערג</v>
      </c>
    </row>
    <row r="18559" spans="1:6" x14ac:dyDescent="0.2">
      <c r="A18559" t="s">
        <v>30487</v>
      </c>
      <c r="B18559" t="s">
        <v>1353</v>
      </c>
      <c r="C18559" t="s">
        <v>37</v>
      </c>
      <c r="D18559" t="s">
        <v>52</v>
      </c>
      <c r="E18559" t="s">
        <v>158</v>
      </c>
      <c r="F18559" s="2" t="str">
        <f>HYPERLINK("http://www.otzar.org/book.asp?600672","כאיל תערוג &lt;עלון שבועי&gt; - 5 כר'")</f>
        <v>כאיל תערוג &lt;עלון שבועי&gt; - 5 כר'</v>
      </c>
    </row>
    <row r="18560" spans="1:6" x14ac:dyDescent="0.2">
      <c r="A18560" t="s">
        <v>30488</v>
      </c>
      <c r="B18560" t="s">
        <v>30489</v>
      </c>
      <c r="C18560" t="s">
        <v>37</v>
      </c>
      <c r="F18560" s="2" t="str">
        <f>HYPERLINK("http://www.otzar.org/book.asp?604882","כאיל תערוג")</f>
        <v>כאיל תערוג</v>
      </c>
    </row>
    <row r="18561" spans="1:6" x14ac:dyDescent="0.2">
      <c r="A18561" t="s">
        <v>30488</v>
      </c>
      <c r="B18561" t="s">
        <v>17786</v>
      </c>
      <c r="C18561" t="s">
        <v>133</v>
      </c>
      <c r="D18561" t="s">
        <v>2867</v>
      </c>
      <c r="F18561" s="2" t="str">
        <f>HYPERLINK("http://www.otzar.org/book.asp?603640","כאיל תערוג")</f>
        <v>כאיל תערוג</v>
      </c>
    </row>
    <row r="18562" spans="1:6" x14ac:dyDescent="0.2">
      <c r="A18562" t="s">
        <v>30490</v>
      </c>
      <c r="B18562" t="s">
        <v>30491</v>
      </c>
      <c r="C18562" t="s">
        <v>103</v>
      </c>
      <c r="D18562" t="s">
        <v>52</v>
      </c>
      <c r="E18562" t="s">
        <v>104</v>
      </c>
      <c r="F18562" s="2" t="str">
        <f>HYPERLINK("http://www.otzar.org/book.asp?62881","כאיל תערוג - 4 כר'")</f>
        <v>כאיל תערוג - 4 כר'</v>
      </c>
    </row>
    <row r="18563" spans="1:6" x14ac:dyDescent="0.2">
      <c r="A18563" t="s">
        <v>30492</v>
      </c>
      <c r="B18563" t="s">
        <v>1353</v>
      </c>
      <c r="C18563" t="s">
        <v>151</v>
      </c>
      <c r="D18563" t="s">
        <v>52</v>
      </c>
      <c r="E18563" t="s">
        <v>2840</v>
      </c>
      <c r="F18563" s="2" t="str">
        <f>HYPERLINK("http://www.otzar.org/book.asp?621125","כאיל תערוג - 10 כר'")</f>
        <v>כאיל תערוג - 10 כר'</v>
      </c>
    </row>
    <row r="18564" spans="1:6" x14ac:dyDescent="0.2">
      <c r="A18564" t="s">
        <v>30493</v>
      </c>
      <c r="B18564" t="s">
        <v>30494</v>
      </c>
      <c r="C18564" t="s">
        <v>68</v>
      </c>
      <c r="D18564" t="s">
        <v>14</v>
      </c>
      <c r="E18564" t="s">
        <v>241</v>
      </c>
      <c r="F18564" s="2" t="str">
        <f>HYPERLINK("http://www.otzar.org/book.asp?190928","כארז בלבנון ישגה")</f>
        <v>כארז בלבנון ישגה</v>
      </c>
    </row>
    <row r="18565" spans="1:6" x14ac:dyDescent="0.2">
      <c r="A18565" t="s">
        <v>30495</v>
      </c>
      <c r="B18565" t="s">
        <v>686</v>
      </c>
      <c r="C18565" t="s">
        <v>37</v>
      </c>
      <c r="D18565" t="s">
        <v>14</v>
      </c>
      <c r="E18565" t="s">
        <v>104</v>
      </c>
      <c r="F18565" s="2" t="str">
        <f>HYPERLINK("http://www.otzar.org/book.asp?182809","כארי יתנשא")</f>
        <v>כארי יתנשא</v>
      </c>
    </row>
    <row r="18566" spans="1:6" x14ac:dyDescent="0.2">
      <c r="A18566" t="s">
        <v>30496</v>
      </c>
      <c r="B18566" t="s">
        <v>30497</v>
      </c>
      <c r="C18566" t="s">
        <v>68</v>
      </c>
      <c r="D18566" t="s">
        <v>14</v>
      </c>
      <c r="F18566" s="2" t="str">
        <f>HYPERLINK("http://www.otzar.org/book.asp?611115","כארי יתנשא - רבי יצחק פלקסר")</f>
        <v>כארי יתנשא - רבי יצחק פלקסר</v>
      </c>
    </row>
    <row r="18567" spans="1:6" x14ac:dyDescent="0.2">
      <c r="A18567" t="s">
        <v>30498</v>
      </c>
      <c r="B18567" t="s">
        <v>30499</v>
      </c>
      <c r="C18567" t="s">
        <v>244</v>
      </c>
      <c r="D18567" t="s">
        <v>14</v>
      </c>
      <c r="E18567" t="s">
        <v>15</v>
      </c>
      <c r="F18567" s="2" t="str">
        <f>HYPERLINK("http://www.otzar.org/book.asp?627032","כאשר צוה השם")</f>
        <v>כאשר צוה השם</v>
      </c>
    </row>
    <row r="18568" spans="1:6" x14ac:dyDescent="0.2">
      <c r="A18568" t="s">
        <v>30500</v>
      </c>
      <c r="B18568" t="s">
        <v>30501</v>
      </c>
      <c r="C18568" t="s">
        <v>334</v>
      </c>
      <c r="D18568" t="s">
        <v>52</v>
      </c>
      <c r="E18568" t="s">
        <v>234</v>
      </c>
      <c r="F18568" s="2" t="str">
        <f>HYPERLINK("http://www.otzar.org/book.asp?25494","כבא השמש")</f>
        <v>כבא השמש</v>
      </c>
    </row>
    <row r="18569" spans="1:6" x14ac:dyDescent="0.2">
      <c r="A18569" t="s">
        <v>30502</v>
      </c>
      <c r="B18569" t="s">
        <v>30503</v>
      </c>
      <c r="C18569" t="s">
        <v>419</v>
      </c>
      <c r="D18569" t="s">
        <v>21</v>
      </c>
      <c r="F18569" s="2" t="str">
        <f>HYPERLINK("http://www.otzar.org/book.asp?603224","כבה נר המערבי")</f>
        <v>כבה נר המערבי</v>
      </c>
    </row>
    <row r="18570" spans="1:6" x14ac:dyDescent="0.2">
      <c r="A18570" t="s">
        <v>30504</v>
      </c>
      <c r="B18570" t="s">
        <v>30505</v>
      </c>
      <c r="C18570" t="s">
        <v>103</v>
      </c>
      <c r="D18570" t="s">
        <v>14</v>
      </c>
      <c r="E18570" t="s">
        <v>234</v>
      </c>
      <c r="F18570" s="2" t="str">
        <f>HYPERLINK("http://www.otzar.org/book.asp?151786","כבה נר ישראל - 2 כר'")</f>
        <v>כבה נר ישראל - 2 כר'</v>
      </c>
    </row>
    <row r="18571" spans="1:6" x14ac:dyDescent="0.2">
      <c r="A18571" t="s">
        <v>30506</v>
      </c>
      <c r="B18571" t="s">
        <v>206</v>
      </c>
      <c r="C18571" t="s">
        <v>133</v>
      </c>
      <c r="D18571" t="s">
        <v>118</v>
      </c>
      <c r="E18571" t="s">
        <v>15</v>
      </c>
      <c r="F18571" s="2" t="str">
        <f>HYPERLINK("http://www.otzar.org/book.asp?195111","כבוד אב ואם בהלכה ובאגדה")</f>
        <v>כבוד אב ואם בהלכה ובאגדה</v>
      </c>
    </row>
    <row r="18572" spans="1:6" x14ac:dyDescent="0.2">
      <c r="A18572" t="s">
        <v>30507</v>
      </c>
      <c r="B18572" t="s">
        <v>1604</v>
      </c>
      <c r="C18572" t="s">
        <v>20</v>
      </c>
      <c r="D18572" t="s">
        <v>14</v>
      </c>
      <c r="E18572" t="s">
        <v>15</v>
      </c>
      <c r="F18572" s="2" t="str">
        <f>HYPERLINK("http://www.otzar.org/book.asp?52634","כבוד אב ואם לגיל הרך")</f>
        <v>כבוד אב ואם לגיל הרך</v>
      </c>
    </row>
    <row r="18573" spans="1:6" x14ac:dyDescent="0.2">
      <c r="A18573" t="s">
        <v>30508</v>
      </c>
      <c r="B18573" t="s">
        <v>18533</v>
      </c>
      <c r="C18573" t="s">
        <v>20</v>
      </c>
      <c r="D18573" t="s">
        <v>412</v>
      </c>
      <c r="E18573" t="s">
        <v>15</v>
      </c>
      <c r="F18573" s="2" t="str">
        <f>HYPERLINK("http://www.otzar.org/book.asp?158612","כבוד אב ואם")</f>
        <v>כבוד אב ואם</v>
      </c>
    </row>
    <row r="18574" spans="1:6" x14ac:dyDescent="0.2">
      <c r="A18574" t="s">
        <v>30508</v>
      </c>
      <c r="B18574" t="s">
        <v>30509</v>
      </c>
      <c r="C18574" t="s">
        <v>1448</v>
      </c>
      <c r="D18574" t="s">
        <v>14</v>
      </c>
      <c r="E18574" t="s">
        <v>15</v>
      </c>
      <c r="F18574" s="2" t="str">
        <f>HYPERLINK("http://www.otzar.org/book.asp?174309","כבוד אב ואם")</f>
        <v>כבוד אב ואם</v>
      </c>
    </row>
    <row r="18575" spans="1:6" x14ac:dyDescent="0.2">
      <c r="A18575" t="s">
        <v>30510</v>
      </c>
      <c r="B18575" t="s">
        <v>30511</v>
      </c>
      <c r="C18575" t="s">
        <v>2644</v>
      </c>
      <c r="D18575" t="s">
        <v>1913</v>
      </c>
      <c r="E18575" t="s">
        <v>241</v>
      </c>
      <c r="F18575" s="2" t="str">
        <f>HYPERLINK("http://www.otzar.org/book.asp?188722","כבוד אכסניא")</f>
        <v>כבוד אכסניא</v>
      </c>
    </row>
    <row r="18576" spans="1:6" x14ac:dyDescent="0.2">
      <c r="A18576" t="s">
        <v>30512</v>
      </c>
      <c r="B18576" t="s">
        <v>30513</v>
      </c>
      <c r="C18576" t="s">
        <v>30514</v>
      </c>
      <c r="D18576" t="s">
        <v>1490</v>
      </c>
      <c r="E18576" t="s">
        <v>16006</v>
      </c>
      <c r="F18576" s="2" t="str">
        <f>HYPERLINK("http://www.otzar.org/book.asp?17015","כבוד אלוהים - 2 כר'")</f>
        <v>כבוד אלוהים - 2 כר'</v>
      </c>
    </row>
    <row r="18577" spans="1:6" x14ac:dyDescent="0.2">
      <c r="A18577" t="s">
        <v>30515</v>
      </c>
      <c r="B18577" t="s">
        <v>30516</v>
      </c>
      <c r="C18577" t="s">
        <v>1670</v>
      </c>
      <c r="D18577" t="s">
        <v>3963</v>
      </c>
      <c r="E18577" t="s">
        <v>241</v>
      </c>
      <c r="F18577" s="2" t="str">
        <f>HYPERLINK("http://www.otzar.org/book.asp?103229","כבוד אלוהים")</f>
        <v>כבוד אלוהים</v>
      </c>
    </row>
    <row r="18578" spans="1:6" x14ac:dyDescent="0.2">
      <c r="A18578" t="s">
        <v>30517</v>
      </c>
      <c r="B18578" t="s">
        <v>30518</v>
      </c>
      <c r="C18578" t="s">
        <v>133</v>
      </c>
      <c r="D18578" t="s">
        <v>14</v>
      </c>
      <c r="E18578" t="s">
        <v>158</v>
      </c>
      <c r="F18578" s="2" t="str">
        <f>HYPERLINK("http://www.otzar.org/book.asp?181616","כבוד דוד")</f>
        <v>כבוד דוד</v>
      </c>
    </row>
    <row r="18579" spans="1:6" x14ac:dyDescent="0.2">
      <c r="A18579" t="s">
        <v>30519</v>
      </c>
      <c r="B18579" t="s">
        <v>30520</v>
      </c>
      <c r="C18579" t="s">
        <v>4707</v>
      </c>
      <c r="D18579" t="s">
        <v>4288</v>
      </c>
      <c r="E18579" t="s">
        <v>144</v>
      </c>
      <c r="F18579" s="2" t="str">
        <f>HYPERLINK("http://www.otzar.org/book.asp?18922","כבוד הבית")</f>
        <v>כבוד הבית</v>
      </c>
    </row>
    <row r="18580" spans="1:6" x14ac:dyDescent="0.2">
      <c r="A18580" t="s">
        <v>30521</v>
      </c>
      <c r="B18580" t="s">
        <v>20770</v>
      </c>
      <c r="C18580" t="s">
        <v>454</v>
      </c>
      <c r="D18580" t="s">
        <v>3859</v>
      </c>
      <c r="E18580" t="s">
        <v>15</v>
      </c>
      <c r="F18580" s="2" t="str">
        <f>HYPERLINK("http://www.otzar.org/book.asp?52845","כבוד הורים כהלכתו")</f>
        <v>כבוד הורים כהלכתו</v>
      </c>
    </row>
    <row r="18581" spans="1:6" x14ac:dyDescent="0.2">
      <c r="A18581" t="s">
        <v>30522</v>
      </c>
      <c r="B18581" t="s">
        <v>941</v>
      </c>
      <c r="C18581" t="s">
        <v>133</v>
      </c>
      <c r="D18581" t="s">
        <v>14</v>
      </c>
      <c r="E18581" t="s">
        <v>15</v>
      </c>
      <c r="F18581" s="2" t="str">
        <f>HYPERLINK("http://www.otzar.org/book.asp?608253","כבוד הורים")</f>
        <v>כבוד הורים</v>
      </c>
    </row>
    <row r="18582" spans="1:6" x14ac:dyDescent="0.2">
      <c r="A18582" t="s">
        <v>30523</v>
      </c>
      <c r="B18582" t="s">
        <v>6987</v>
      </c>
      <c r="C18582" t="s">
        <v>189</v>
      </c>
      <c r="D18582" t="s">
        <v>52</v>
      </c>
      <c r="E18582" t="s">
        <v>104</v>
      </c>
      <c r="F18582" s="2" t="str">
        <f>HYPERLINK("http://www.otzar.org/book.asp?62039","כבוד הכהן")</f>
        <v>כבוד הכהן</v>
      </c>
    </row>
    <row r="18583" spans="1:6" x14ac:dyDescent="0.2">
      <c r="A18583" t="s">
        <v>30524</v>
      </c>
      <c r="B18583" t="s">
        <v>30525</v>
      </c>
      <c r="C18583" t="s">
        <v>888</v>
      </c>
      <c r="D18583" t="s">
        <v>7161</v>
      </c>
      <c r="E18583" t="s">
        <v>1684</v>
      </c>
      <c r="F18583" s="2" t="str">
        <f>HYPERLINK("http://www.otzar.org/book.asp?189602","כבוד הלבנון")</f>
        <v>כבוד הלבנון</v>
      </c>
    </row>
    <row r="18584" spans="1:6" x14ac:dyDescent="0.2">
      <c r="A18584" t="s">
        <v>30524</v>
      </c>
      <c r="B18584" t="s">
        <v>23085</v>
      </c>
      <c r="C18584" t="s">
        <v>1228</v>
      </c>
      <c r="D18584" t="s">
        <v>2181</v>
      </c>
      <c r="E18584" t="s">
        <v>144</v>
      </c>
      <c r="F18584" s="2" t="str">
        <f>HYPERLINK("http://www.otzar.org/book.asp?24658","כבוד הלבנון")</f>
        <v>כבוד הלבנון</v>
      </c>
    </row>
    <row r="18585" spans="1:6" x14ac:dyDescent="0.2">
      <c r="A18585" t="s">
        <v>30526</v>
      </c>
      <c r="B18585" t="s">
        <v>30527</v>
      </c>
      <c r="C18585" t="s">
        <v>111</v>
      </c>
      <c r="D18585" t="s">
        <v>14</v>
      </c>
      <c r="E18585" t="s">
        <v>104</v>
      </c>
      <c r="F18585" s="2" t="str">
        <f>HYPERLINK("http://www.otzar.org/book.asp?630363","כבוד המת")</f>
        <v>כבוד המת</v>
      </c>
    </row>
    <row r="18586" spans="1:6" x14ac:dyDescent="0.2">
      <c r="A18586" t="s">
        <v>30526</v>
      </c>
      <c r="B18586" t="s">
        <v>1733</v>
      </c>
      <c r="C18586" t="s">
        <v>63</v>
      </c>
      <c r="D18586" t="s">
        <v>14</v>
      </c>
      <c r="E18586" t="s">
        <v>104</v>
      </c>
      <c r="F18586" s="2" t="str">
        <f>HYPERLINK("http://www.otzar.org/book.asp?149153","כבוד המת")</f>
        <v>כבוד המת</v>
      </c>
    </row>
    <row r="18587" spans="1:6" x14ac:dyDescent="0.2">
      <c r="A18587" t="s">
        <v>30528</v>
      </c>
      <c r="B18587" t="s">
        <v>30529</v>
      </c>
      <c r="C18587" t="s">
        <v>13</v>
      </c>
      <c r="D18587" t="s">
        <v>14</v>
      </c>
      <c r="E18587" t="s">
        <v>674</v>
      </c>
      <c r="F18587" s="2" t="str">
        <f>HYPERLINK("http://www.otzar.org/book.asp?161129","כבוד הספרים")</f>
        <v>כבוד הספרים</v>
      </c>
    </row>
    <row r="18588" spans="1:6" x14ac:dyDescent="0.2">
      <c r="A18588" t="s">
        <v>30530</v>
      </c>
      <c r="B18588" t="s">
        <v>107</v>
      </c>
      <c r="C18588" t="s">
        <v>189</v>
      </c>
      <c r="D18588" t="s">
        <v>14</v>
      </c>
      <c r="E18588" t="s">
        <v>241</v>
      </c>
      <c r="F18588" s="2" t="str">
        <f>HYPERLINK("http://www.otzar.org/book.asp?148244","כבוד העצמי החדש, הכבוד האמיתי")</f>
        <v>כבוד העצמי החדש, הכבוד האמיתי</v>
      </c>
    </row>
    <row r="18589" spans="1:6" x14ac:dyDescent="0.2">
      <c r="A18589" t="s">
        <v>30531</v>
      </c>
      <c r="B18589" t="s">
        <v>30532</v>
      </c>
      <c r="C18589" t="s">
        <v>1388</v>
      </c>
      <c r="D18589" t="s">
        <v>412</v>
      </c>
      <c r="E18589" t="s">
        <v>202</v>
      </c>
      <c r="F18589" s="2" t="str">
        <f>HYPERLINK("http://www.otzar.org/book.asp?15004","כבוד הרב")</f>
        <v>כבוד הרב</v>
      </c>
    </row>
    <row r="18590" spans="1:6" x14ac:dyDescent="0.2">
      <c r="A18590" t="s">
        <v>30533</v>
      </c>
      <c r="B18590" t="s">
        <v>30534</v>
      </c>
      <c r="C18590" t="s">
        <v>313</v>
      </c>
      <c r="D18590" t="s">
        <v>14</v>
      </c>
      <c r="E18590" t="s">
        <v>15</v>
      </c>
      <c r="F18590" s="2" t="str">
        <f>HYPERLINK("http://www.otzar.org/book.asp?61863","כבוד השבת")</f>
        <v>כבוד השבת</v>
      </c>
    </row>
    <row r="18591" spans="1:6" x14ac:dyDescent="0.2">
      <c r="A18591" t="s">
        <v>30535</v>
      </c>
      <c r="B18591" t="s">
        <v>30536</v>
      </c>
      <c r="C18591" t="s">
        <v>99</v>
      </c>
      <c r="D18591" t="s">
        <v>691</v>
      </c>
      <c r="E18591" t="s">
        <v>30537</v>
      </c>
      <c r="F18591" s="2" t="str">
        <f>HYPERLINK("http://www.otzar.org/book.asp?107093","כבוד התורה בארגאנטינא")</f>
        <v>כבוד התורה בארגאנטינא</v>
      </c>
    </row>
    <row r="18592" spans="1:6" x14ac:dyDescent="0.2">
      <c r="A18592" t="s">
        <v>30538</v>
      </c>
      <c r="B18592" t="s">
        <v>206</v>
      </c>
      <c r="C18592" t="s">
        <v>17</v>
      </c>
      <c r="D18592" t="s">
        <v>52</v>
      </c>
      <c r="E18592" t="s">
        <v>213</v>
      </c>
      <c r="F18592" s="2" t="str">
        <f>HYPERLINK("http://www.otzar.org/book.asp?160831","כבוד התורה - 3 כר'")</f>
        <v>כבוד התורה - 3 כר'</v>
      </c>
    </row>
    <row r="18593" spans="1:6" x14ac:dyDescent="0.2">
      <c r="A18593" t="s">
        <v>30539</v>
      </c>
      <c r="B18593" t="s">
        <v>13305</v>
      </c>
      <c r="C18593" t="s">
        <v>919</v>
      </c>
      <c r="D18593" t="s">
        <v>14</v>
      </c>
      <c r="E18593" t="s">
        <v>213</v>
      </c>
      <c r="F18593" s="2" t="str">
        <f>HYPERLINK("http://www.otzar.org/book.asp?169176","כבוד התורה")</f>
        <v>כבוד התורה</v>
      </c>
    </row>
    <row r="18594" spans="1:6" x14ac:dyDescent="0.2">
      <c r="A18594" t="s">
        <v>30539</v>
      </c>
      <c r="B18594" t="s">
        <v>30540</v>
      </c>
      <c r="C18594" t="s">
        <v>266</v>
      </c>
      <c r="D18594" t="s">
        <v>1279</v>
      </c>
      <c r="E18594" t="s">
        <v>158</v>
      </c>
      <c r="F18594" s="2" t="str">
        <f>HYPERLINK("http://www.otzar.org/book.asp?18923","כבוד התורה")</f>
        <v>כבוד התורה</v>
      </c>
    </row>
    <row r="18595" spans="1:6" x14ac:dyDescent="0.2">
      <c r="A18595" t="s">
        <v>30541</v>
      </c>
      <c r="B18595" t="s">
        <v>1681</v>
      </c>
      <c r="C18595" t="s">
        <v>133</v>
      </c>
      <c r="D18595" t="s">
        <v>80</v>
      </c>
      <c r="E18595" t="s">
        <v>15</v>
      </c>
      <c r="F18595" s="2" t="str">
        <f>HYPERLINK("http://www.otzar.org/book.asp?606788","כבוד והדר")</f>
        <v>כבוד והדר</v>
      </c>
    </row>
    <row r="18596" spans="1:6" x14ac:dyDescent="0.2">
      <c r="A18596" t="s">
        <v>30542</v>
      </c>
      <c r="B18596" t="s">
        <v>18610</v>
      </c>
      <c r="C18596" t="s">
        <v>114</v>
      </c>
      <c r="D18596" t="s">
        <v>367</v>
      </c>
      <c r="E18596" t="s">
        <v>130</v>
      </c>
      <c r="F18596" s="2" t="str">
        <f>HYPERLINK("http://www.otzar.org/book.asp?179962","כבוד והדר - 2 כר'")</f>
        <v>כבוד והדר - 2 כר'</v>
      </c>
    </row>
    <row r="18597" spans="1:6" x14ac:dyDescent="0.2">
      <c r="A18597" t="s">
        <v>30543</v>
      </c>
      <c r="B18597" t="s">
        <v>19305</v>
      </c>
      <c r="C18597" t="s">
        <v>87</v>
      </c>
      <c r="D18597" t="s">
        <v>1550</v>
      </c>
      <c r="E18597" t="s">
        <v>674</v>
      </c>
      <c r="F18597" s="2" t="str">
        <f>HYPERLINK("http://www.otzar.org/book.asp?60997","כבוד והידור")</f>
        <v>כבוד והידור</v>
      </c>
    </row>
    <row r="18598" spans="1:6" x14ac:dyDescent="0.2">
      <c r="A18598" t="s">
        <v>30544</v>
      </c>
      <c r="B18598" t="s">
        <v>686</v>
      </c>
      <c r="C18598" t="s">
        <v>13</v>
      </c>
      <c r="D18598" t="s">
        <v>52</v>
      </c>
      <c r="E18598" t="s">
        <v>104</v>
      </c>
      <c r="F18598" s="2" t="str">
        <f>HYPERLINK("http://www.otzar.org/book.asp?61395","כבוד ועז")</f>
        <v>כבוד ועז</v>
      </c>
    </row>
    <row r="18599" spans="1:6" x14ac:dyDescent="0.2">
      <c r="A18599" t="s">
        <v>30545</v>
      </c>
      <c r="B18599" t="s">
        <v>10435</v>
      </c>
      <c r="C18599" t="s">
        <v>429</v>
      </c>
      <c r="D18599" t="s">
        <v>6742</v>
      </c>
      <c r="E18599" t="s">
        <v>26855</v>
      </c>
      <c r="F18599" s="2" t="str">
        <f>HYPERLINK("http://www.otzar.org/book.asp?103321","כבוד חופה")</f>
        <v>כבוד חופה</v>
      </c>
    </row>
    <row r="18600" spans="1:6" x14ac:dyDescent="0.2">
      <c r="A18600" t="s">
        <v>30546</v>
      </c>
      <c r="B18600" t="s">
        <v>30547</v>
      </c>
      <c r="C18600" t="s">
        <v>146</v>
      </c>
      <c r="D18600" t="s">
        <v>657</v>
      </c>
      <c r="E18600" t="s">
        <v>104</v>
      </c>
      <c r="F18600" s="2" t="str">
        <f>HYPERLINK("http://www.otzar.org/book.asp?60135","כבוד חכמים")</f>
        <v>כבוד חכמים</v>
      </c>
    </row>
    <row r="18601" spans="1:6" x14ac:dyDescent="0.2">
      <c r="A18601" t="s">
        <v>30546</v>
      </c>
      <c r="B18601" t="s">
        <v>23685</v>
      </c>
      <c r="C18601" t="s">
        <v>854</v>
      </c>
      <c r="D18601" t="s">
        <v>56</v>
      </c>
      <c r="E18601" t="s">
        <v>104</v>
      </c>
      <c r="F18601" s="2" t="str">
        <f>HYPERLINK("http://www.otzar.org/book.asp?24660","כבוד חכמים")</f>
        <v>כבוד חכמים</v>
      </c>
    </row>
    <row r="18602" spans="1:6" x14ac:dyDescent="0.2">
      <c r="A18602" t="s">
        <v>30548</v>
      </c>
      <c r="B18602" t="s">
        <v>30549</v>
      </c>
      <c r="C18602" t="s">
        <v>854</v>
      </c>
      <c r="D18602" t="s">
        <v>27</v>
      </c>
      <c r="E18602" t="s">
        <v>314</v>
      </c>
      <c r="F18602" s="2" t="str">
        <f>HYPERLINK("http://www.otzar.org/book.asp?28341","כבוד חכמים - 2 כר'")</f>
        <v>כבוד חכמים - 2 כר'</v>
      </c>
    </row>
    <row r="18603" spans="1:6" x14ac:dyDescent="0.2">
      <c r="A18603" t="s">
        <v>30548</v>
      </c>
      <c r="B18603" t="s">
        <v>30550</v>
      </c>
      <c r="C18603" t="s">
        <v>462</v>
      </c>
      <c r="D18603" t="s">
        <v>2234</v>
      </c>
      <c r="E18603" t="s">
        <v>104</v>
      </c>
      <c r="F18603" s="2" t="str">
        <f>HYPERLINK("http://www.otzar.org/book.asp?626089","כבוד חכמים - 2 כר'")</f>
        <v>כבוד חכמים - 2 כר'</v>
      </c>
    </row>
    <row r="18604" spans="1:6" x14ac:dyDescent="0.2">
      <c r="A18604" t="s">
        <v>30546</v>
      </c>
      <c r="B18604" t="s">
        <v>30551</v>
      </c>
      <c r="C18604" t="s">
        <v>224</v>
      </c>
      <c r="D18604" t="s">
        <v>16325</v>
      </c>
      <c r="E18604" t="s">
        <v>202</v>
      </c>
      <c r="F18604" s="2" t="str">
        <f>HYPERLINK("http://www.otzar.org/book.asp?14225","כבוד חכמים")</f>
        <v>כבוד חכמים</v>
      </c>
    </row>
    <row r="18605" spans="1:6" x14ac:dyDescent="0.2">
      <c r="A18605" t="s">
        <v>30548</v>
      </c>
      <c r="B18605" t="s">
        <v>5550</v>
      </c>
      <c r="C18605" t="s">
        <v>30552</v>
      </c>
      <c r="D18605" t="s">
        <v>49</v>
      </c>
      <c r="E18605" t="s">
        <v>26350</v>
      </c>
      <c r="F18605" s="2" t="str">
        <f>HYPERLINK("http://www.otzar.org/book.asp?147002","כבוד חכמים - 2 כר'")</f>
        <v>כבוד חכמים - 2 כר'</v>
      </c>
    </row>
    <row r="18606" spans="1:6" x14ac:dyDescent="0.2">
      <c r="A18606" t="s">
        <v>30546</v>
      </c>
      <c r="B18606" t="s">
        <v>30553</v>
      </c>
      <c r="C18606" t="s">
        <v>989</v>
      </c>
      <c r="D18606" t="s">
        <v>52</v>
      </c>
      <c r="E18606" t="s">
        <v>104</v>
      </c>
      <c r="F18606" s="2" t="str">
        <f>HYPERLINK("http://www.otzar.org/book.asp?144463","כבוד חכמים")</f>
        <v>כבוד חכמים</v>
      </c>
    </row>
    <row r="18607" spans="1:6" x14ac:dyDescent="0.2">
      <c r="A18607" t="s">
        <v>30546</v>
      </c>
      <c r="B18607" t="s">
        <v>14133</v>
      </c>
      <c r="C18607" t="s">
        <v>30554</v>
      </c>
      <c r="D18607" t="s">
        <v>855</v>
      </c>
      <c r="E18607" t="s">
        <v>4104</v>
      </c>
      <c r="F18607" s="2" t="str">
        <f>HYPERLINK("http://www.otzar.org/book.asp?15714","כבוד חכמים")</f>
        <v>כבוד חכמים</v>
      </c>
    </row>
    <row r="18608" spans="1:6" x14ac:dyDescent="0.2">
      <c r="A18608" t="s">
        <v>30546</v>
      </c>
      <c r="B18608" t="s">
        <v>30555</v>
      </c>
      <c r="C18608" t="s">
        <v>748</v>
      </c>
      <c r="D18608" t="s">
        <v>4269</v>
      </c>
      <c r="E18608" t="s">
        <v>234</v>
      </c>
      <c r="F18608" s="2" t="str">
        <f>HYPERLINK("http://www.otzar.org/book.asp?18924","כבוד חכמים")</f>
        <v>כבוד חכמים</v>
      </c>
    </row>
    <row r="18609" spans="1:6" x14ac:dyDescent="0.2">
      <c r="A18609" t="s">
        <v>30546</v>
      </c>
      <c r="B18609" t="s">
        <v>30520</v>
      </c>
      <c r="C18609" t="s">
        <v>4304</v>
      </c>
      <c r="D18609" t="s">
        <v>4288</v>
      </c>
      <c r="E18609" t="s">
        <v>1097</v>
      </c>
      <c r="F18609" s="2" t="str">
        <f>HYPERLINK("http://www.otzar.org/book.asp?447","כבוד חכמים")</f>
        <v>כבוד חכמים</v>
      </c>
    </row>
    <row r="18610" spans="1:6" x14ac:dyDescent="0.2">
      <c r="A18610" t="s">
        <v>30556</v>
      </c>
      <c r="B18610" t="s">
        <v>1005</v>
      </c>
      <c r="C18610" t="s">
        <v>13</v>
      </c>
      <c r="D18610" t="s">
        <v>27</v>
      </c>
      <c r="E18610" t="s">
        <v>119</v>
      </c>
      <c r="F18610" s="2" t="str">
        <f>HYPERLINK("http://www.otzar.org/book.asp?152357","כבוד יום טוב &lt;ידיד הלוי&gt;")</f>
        <v>כבוד יום טוב &lt;ידיד הלוי&gt;</v>
      </c>
    </row>
    <row r="18611" spans="1:6" x14ac:dyDescent="0.2">
      <c r="A18611" t="s">
        <v>30557</v>
      </c>
      <c r="B18611" t="s">
        <v>30558</v>
      </c>
      <c r="C18611" t="s">
        <v>321</v>
      </c>
      <c r="D18611" t="s">
        <v>76</v>
      </c>
      <c r="E18611" t="s">
        <v>2840</v>
      </c>
      <c r="F18611" s="2" t="str">
        <f>HYPERLINK("http://www.otzar.org/book.asp?18926","כבוד יום טוב")</f>
        <v>כבוד יום טוב</v>
      </c>
    </row>
    <row r="18612" spans="1:6" x14ac:dyDescent="0.2">
      <c r="A18612" t="s">
        <v>30557</v>
      </c>
      <c r="B18612" t="s">
        <v>30559</v>
      </c>
      <c r="C18612" t="s">
        <v>1515</v>
      </c>
      <c r="D18612" t="s">
        <v>56</v>
      </c>
      <c r="E18612" t="s">
        <v>158</v>
      </c>
      <c r="F18612" s="2" t="str">
        <f>HYPERLINK("http://www.otzar.org/book.asp?24661","כבוד יום טוב")</f>
        <v>כבוד יום טוב</v>
      </c>
    </row>
    <row r="18613" spans="1:6" x14ac:dyDescent="0.2">
      <c r="A18613" t="s">
        <v>30560</v>
      </c>
      <c r="B18613" t="s">
        <v>1046</v>
      </c>
      <c r="C18613" t="s">
        <v>5903</v>
      </c>
      <c r="D18613" t="s">
        <v>157</v>
      </c>
      <c r="E18613" t="s">
        <v>154</v>
      </c>
      <c r="F18613" s="2" t="str">
        <f>HYPERLINK("http://www.otzar.org/book.asp?22451","כבוד יעקב")</f>
        <v>כבוד יעקב</v>
      </c>
    </row>
    <row r="18614" spans="1:6" x14ac:dyDescent="0.2">
      <c r="A18614" t="s">
        <v>30561</v>
      </c>
      <c r="B18614" t="s">
        <v>3193</v>
      </c>
      <c r="C18614" t="s">
        <v>547</v>
      </c>
      <c r="D18614" t="s">
        <v>27</v>
      </c>
      <c r="E18614" t="s">
        <v>791</v>
      </c>
      <c r="F18614" s="2" t="str">
        <f>HYPERLINK("http://www.otzar.org/book.asp?23523","כבוד ירושלים")</f>
        <v>כבוד ירושלים</v>
      </c>
    </row>
    <row r="18615" spans="1:6" x14ac:dyDescent="0.2">
      <c r="A18615" t="s">
        <v>30562</v>
      </c>
      <c r="B18615" t="s">
        <v>30563</v>
      </c>
      <c r="C18615" t="s">
        <v>445</v>
      </c>
      <c r="D18615" t="s">
        <v>14</v>
      </c>
      <c r="E18615" t="s">
        <v>234</v>
      </c>
      <c r="F18615" s="2" t="str">
        <f>HYPERLINK("http://www.otzar.org/book.asp?101726","כבוד לאיש")</f>
        <v>כבוד לאיש</v>
      </c>
    </row>
    <row r="18616" spans="1:6" x14ac:dyDescent="0.2">
      <c r="A18616" t="s">
        <v>30564</v>
      </c>
      <c r="B18616" t="s">
        <v>686</v>
      </c>
      <c r="C18616" t="s">
        <v>422</v>
      </c>
      <c r="D18616" t="s">
        <v>52</v>
      </c>
      <c r="E18616" t="s">
        <v>158</v>
      </c>
      <c r="F18616" s="2" t="str">
        <f>HYPERLINK("http://www.otzar.org/book.asp?182744","כבוד מלכים")</f>
        <v>כבוד מלכים</v>
      </c>
    </row>
    <row r="18617" spans="1:6" x14ac:dyDescent="0.2">
      <c r="A18617" t="s">
        <v>30565</v>
      </c>
      <c r="B18617" t="s">
        <v>16585</v>
      </c>
      <c r="C18617" t="s">
        <v>114</v>
      </c>
      <c r="D18617" t="s">
        <v>139</v>
      </c>
      <c r="E18617" t="s">
        <v>246</v>
      </c>
      <c r="F18617" s="2" t="str">
        <f>HYPERLINK("http://www.otzar.org/book.asp?162067","כבוד מלכים - 2 כר'")</f>
        <v>כבוד מלכים - 2 כר'</v>
      </c>
    </row>
    <row r="18618" spans="1:6" x14ac:dyDescent="0.2">
      <c r="A18618" t="s">
        <v>30564</v>
      </c>
      <c r="B18618" t="s">
        <v>30566</v>
      </c>
      <c r="C18618" t="s">
        <v>908</v>
      </c>
      <c r="D18618" t="s">
        <v>23921</v>
      </c>
      <c r="E18618" t="s">
        <v>15</v>
      </c>
      <c r="F18618" s="2" t="str">
        <f>HYPERLINK("http://www.otzar.org/book.asp?7753","כבוד מלכים")</f>
        <v>כבוד מלכים</v>
      </c>
    </row>
    <row r="18619" spans="1:6" x14ac:dyDescent="0.2">
      <c r="A18619" t="s">
        <v>30567</v>
      </c>
      <c r="B18619" t="s">
        <v>30567</v>
      </c>
      <c r="C18619" t="s">
        <v>1268</v>
      </c>
      <c r="D18619" t="s">
        <v>14</v>
      </c>
      <c r="E18619" t="s">
        <v>104</v>
      </c>
      <c r="F18619" s="2" t="str">
        <f>HYPERLINK("http://www.otzar.org/book.asp?140809","כבוד צדיקים")</f>
        <v>כבוד צדיקים</v>
      </c>
    </row>
    <row r="18620" spans="1:6" x14ac:dyDescent="0.2">
      <c r="A18620" t="s">
        <v>30568</v>
      </c>
      <c r="B18620" t="s">
        <v>30569</v>
      </c>
      <c r="C18620" t="s">
        <v>985</v>
      </c>
      <c r="D18620" t="s">
        <v>27</v>
      </c>
      <c r="E18620" t="s">
        <v>30570</v>
      </c>
      <c r="F18620" s="2" t="str">
        <f>HYPERLINK("http://www.otzar.org/book.asp?16533","כבוד שבת")</f>
        <v>כבוד שבת</v>
      </c>
    </row>
    <row r="18621" spans="1:6" x14ac:dyDescent="0.2">
      <c r="A18621" t="s">
        <v>30568</v>
      </c>
      <c r="B18621" t="s">
        <v>1910</v>
      </c>
      <c r="C18621" t="s">
        <v>224</v>
      </c>
      <c r="D18621" t="s">
        <v>225</v>
      </c>
      <c r="E18621" t="s">
        <v>246</v>
      </c>
      <c r="F18621" s="2" t="str">
        <f>HYPERLINK("http://www.otzar.org/book.asp?24664","כבוד שבת")</f>
        <v>כבוד שבת</v>
      </c>
    </row>
    <row r="18622" spans="1:6" x14ac:dyDescent="0.2">
      <c r="A18622" t="s">
        <v>30568</v>
      </c>
      <c r="B18622" t="s">
        <v>20330</v>
      </c>
      <c r="C18622" t="s">
        <v>23</v>
      </c>
      <c r="D18622" t="s">
        <v>1974</v>
      </c>
      <c r="E18622" t="s">
        <v>1517</v>
      </c>
      <c r="F18622" s="2" t="str">
        <f>HYPERLINK("http://www.otzar.org/book.asp?627462","כבוד שבת")</f>
        <v>כבוד שבת</v>
      </c>
    </row>
    <row r="18623" spans="1:6" x14ac:dyDescent="0.2">
      <c r="A18623" t="s">
        <v>30568</v>
      </c>
      <c r="B18623" t="s">
        <v>30571</v>
      </c>
      <c r="C18623" t="s">
        <v>946</v>
      </c>
      <c r="D18623" t="s">
        <v>756</v>
      </c>
      <c r="F18623" s="2" t="str">
        <f>HYPERLINK("http://www.otzar.org/book.asp?24663","כבוד שבת")</f>
        <v>כבוד שבת</v>
      </c>
    </row>
    <row r="18624" spans="1:6" x14ac:dyDescent="0.2">
      <c r="A18624" t="s">
        <v>30572</v>
      </c>
      <c r="B18624" t="s">
        <v>23830</v>
      </c>
      <c r="C18624" t="s">
        <v>114</v>
      </c>
      <c r="D18624" t="s">
        <v>367</v>
      </c>
      <c r="E18624" t="s">
        <v>714</v>
      </c>
      <c r="F18624" s="2" t="str">
        <f>HYPERLINK("http://www.otzar.org/book.asp?179306","כבוד שלם - תשובה שלימה")</f>
        <v>כבוד שלם - תשובה שלימה</v>
      </c>
    </row>
    <row r="18625" spans="1:6" x14ac:dyDescent="0.2">
      <c r="A18625" t="s">
        <v>30573</v>
      </c>
      <c r="B18625" t="s">
        <v>1978</v>
      </c>
      <c r="C18625" t="s">
        <v>1640</v>
      </c>
      <c r="D18625" t="s">
        <v>14</v>
      </c>
      <c r="E18625" t="s">
        <v>241</v>
      </c>
      <c r="F18625" s="2" t="str">
        <f>HYPERLINK("http://www.otzar.org/book.asp?103753","כבוד שמים - 2 כר'")</f>
        <v>כבוד שמים - 2 כר'</v>
      </c>
    </row>
    <row r="18626" spans="1:6" x14ac:dyDescent="0.2">
      <c r="A18626" t="s">
        <v>30574</v>
      </c>
      <c r="B18626" t="s">
        <v>13899</v>
      </c>
      <c r="C18626" t="s">
        <v>8</v>
      </c>
      <c r="D18626" t="s">
        <v>8555</v>
      </c>
      <c r="E18626" t="s">
        <v>158</v>
      </c>
      <c r="F18626" s="2" t="str">
        <f>HYPERLINK("http://www.otzar.org/book.asp?300536","כבוד שמים")</f>
        <v>כבוד שמים</v>
      </c>
    </row>
    <row r="18627" spans="1:6" x14ac:dyDescent="0.2">
      <c r="A18627" t="s">
        <v>30575</v>
      </c>
      <c r="B18627" t="s">
        <v>30576</v>
      </c>
      <c r="C18627" t="s">
        <v>1268</v>
      </c>
      <c r="D18627" t="s">
        <v>412</v>
      </c>
      <c r="E18627" t="s">
        <v>393</v>
      </c>
      <c r="F18627" s="2" t="str">
        <f>HYPERLINK("http://www.otzar.org/book.asp?53159","כבודה בת מלך")</f>
        <v>כבודה בת מלך</v>
      </c>
    </row>
    <row r="18628" spans="1:6" x14ac:dyDescent="0.2">
      <c r="A18628" t="s">
        <v>30577</v>
      </c>
      <c r="B18628" t="s">
        <v>17514</v>
      </c>
      <c r="C18628" t="s">
        <v>956</v>
      </c>
      <c r="D18628" t="s">
        <v>14</v>
      </c>
      <c r="E18628" t="s">
        <v>158</v>
      </c>
      <c r="F18628" s="2" t="str">
        <f>HYPERLINK("http://www.otzar.org/book.asp?103230","כבודה של תורה - 4 כר'")</f>
        <v>כבודה של תורה - 4 כר'</v>
      </c>
    </row>
    <row r="18629" spans="1:6" x14ac:dyDescent="0.2">
      <c r="A18629" t="s">
        <v>30578</v>
      </c>
      <c r="B18629" t="s">
        <v>14414</v>
      </c>
      <c r="C18629" t="s">
        <v>547</v>
      </c>
      <c r="D18629" t="s">
        <v>2295</v>
      </c>
      <c r="E18629" t="s">
        <v>158</v>
      </c>
      <c r="F18629" s="2" t="str">
        <f>HYPERLINK("http://www.otzar.org/book.asp?18929","כבודה של תורה")</f>
        <v>כבודה של תורה</v>
      </c>
    </row>
    <row r="18630" spans="1:6" x14ac:dyDescent="0.2">
      <c r="A18630" t="s">
        <v>30578</v>
      </c>
      <c r="B18630" t="s">
        <v>30579</v>
      </c>
      <c r="C18630" t="s">
        <v>244</v>
      </c>
      <c r="D18630" t="s">
        <v>21</v>
      </c>
      <c r="E18630" t="s">
        <v>202</v>
      </c>
      <c r="F18630" s="2" t="str">
        <f>HYPERLINK("http://www.otzar.org/book.asp?603501","כבודה של תורה")</f>
        <v>כבודה של תורה</v>
      </c>
    </row>
    <row r="18631" spans="1:6" x14ac:dyDescent="0.2">
      <c r="A18631" t="s">
        <v>30580</v>
      </c>
      <c r="B18631" t="s">
        <v>5634</v>
      </c>
      <c r="C18631" t="s">
        <v>114</v>
      </c>
      <c r="D18631" t="s">
        <v>52</v>
      </c>
      <c r="E18631" t="s">
        <v>104</v>
      </c>
      <c r="F18631" s="2" t="str">
        <f>HYPERLINK("http://www.otzar.org/book.asp?161026","כבודה של תורה - אגרות המשמר")</f>
        <v>כבודה של תורה - אגרות המשמר</v>
      </c>
    </row>
    <row r="18632" spans="1:6" x14ac:dyDescent="0.2">
      <c r="A18632" t="s">
        <v>30581</v>
      </c>
      <c r="B18632" t="s">
        <v>206</v>
      </c>
      <c r="C18632" t="s">
        <v>422</v>
      </c>
      <c r="D18632" t="s">
        <v>412</v>
      </c>
      <c r="E18632" t="s">
        <v>241</v>
      </c>
      <c r="F18632" s="2" t="str">
        <f>HYPERLINK("http://www.otzar.org/book.asp?602916","כבודו מלא עולם")</f>
        <v>כבודו מלא עולם</v>
      </c>
    </row>
    <row r="18633" spans="1:6" x14ac:dyDescent="0.2">
      <c r="A18633" t="s">
        <v>30582</v>
      </c>
      <c r="B18633" t="s">
        <v>23830</v>
      </c>
      <c r="C18633" t="s">
        <v>454</v>
      </c>
      <c r="D18633" t="s">
        <v>30583</v>
      </c>
      <c r="E18633" t="s">
        <v>325</v>
      </c>
      <c r="F18633" s="2" t="str">
        <f>HYPERLINK("http://www.otzar.org/book.asp?176917","כבולעו כך פולטו - מליחה")</f>
        <v>כבולעו כך פולטו - מליחה</v>
      </c>
    </row>
    <row r="18634" spans="1:6" x14ac:dyDescent="0.2">
      <c r="A18634" t="s">
        <v>30584</v>
      </c>
      <c r="B18634" t="s">
        <v>13721</v>
      </c>
      <c r="C18634" t="s">
        <v>20</v>
      </c>
      <c r="D18634" t="s">
        <v>486</v>
      </c>
      <c r="E18634" t="s">
        <v>104</v>
      </c>
      <c r="F18634" s="2" t="str">
        <f>HYPERLINK("http://www.otzar.org/book.asp?188797","כבני מירון")</f>
        <v>כבני מירון</v>
      </c>
    </row>
    <row r="18635" spans="1:6" x14ac:dyDescent="0.2">
      <c r="A18635" t="s">
        <v>30585</v>
      </c>
      <c r="B18635" t="s">
        <v>686</v>
      </c>
      <c r="C18635" t="s">
        <v>244</v>
      </c>
      <c r="D18635" t="s">
        <v>80</v>
      </c>
      <c r="E18635" t="s">
        <v>241</v>
      </c>
      <c r="F18635" s="2" t="str">
        <f>HYPERLINK("http://www.otzar.org/book.asp?606754","כבש לעולה")</f>
        <v>כבש לעולה</v>
      </c>
    </row>
    <row r="18636" spans="1:6" x14ac:dyDescent="0.2">
      <c r="A18636" t="s">
        <v>30586</v>
      </c>
      <c r="B18636" t="s">
        <v>30587</v>
      </c>
      <c r="C18636" t="s">
        <v>20</v>
      </c>
      <c r="D18636" t="s">
        <v>5421</v>
      </c>
      <c r="E18636" t="s">
        <v>241</v>
      </c>
      <c r="F18636" s="2" t="str">
        <f>HYPERLINK("http://www.otzar.org/book.asp?151424","כבשונה של תקופתנו ודרך הקודש")</f>
        <v>כבשונה של תקופתנו ודרך הקודש</v>
      </c>
    </row>
    <row r="18637" spans="1:6" x14ac:dyDescent="0.2">
      <c r="A18637" t="s">
        <v>30588</v>
      </c>
      <c r="B18637" t="s">
        <v>30589</v>
      </c>
      <c r="C18637" t="s">
        <v>496</v>
      </c>
      <c r="D18637" t="s">
        <v>27</v>
      </c>
      <c r="E18637" t="s">
        <v>399</v>
      </c>
      <c r="F18637" s="2" t="str">
        <f>HYPERLINK("http://www.otzar.org/book.asp?105854","כג""ן הירק")</f>
        <v>כג"ן הירק</v>
      </c>
    </row>
    <row r="18638" spans="1:6" x14ac:dyDescent="0.2">
      <c r="A18638" t="s">
        <v>30590</v>
      </c>
      <c r="B18638" t="s">
        <v>7693</v>
      </c>
      <c r="C18638" t="s">
        <v>624</v>
      </c>
      <c r="D18638" t="s">
        <v>14</v>
      </c>
      <c r="E18638" t="s">
        <v>583</v>
      </c>
      <c r="F18638" s="2" t="str">
        <f>HYPERLINK("http://www.otzar.org/book.asp?50616","כגבר יאזור חלציו")</f>
        <v>כגבר יאזור חלציו</v>
      </c>
    </row>
    <row r="18639" spans="1:6" x14ac:dyDescent="0.2">
      <c r="A18639" t="s">
        <v>30591</v>
      </c>
      <c r="B18639" t="s">
        <v>489</v>
      </c>
      <c r="C18639" t="s">
        <v>133</v>
      </c>
      <c r="D18639" t="s">
        <v>14</v>
      </c>
      <c r="E18639" t="s">
        <v>202</v>
      </c>
      <c r="F18639" s="2" t="str">
        <f>HYPERLINK("http://www.otzar.org/book.asp?171674","כגונא - 2 כר'")</f>
        <v>כגונא - 2 כר'</v>
      </c>
    </row>
    <row r="18640" spans="1:6" x14ac:dyDescent="0.2">
      <c r="A18640" t="s">
        <v>30592</v>
      </c>
      <c r="B18640" t="s">
        <v>30593</v>
      </c>
      <c r="C18640" t="s">
        <v>17</v>
      </c>
      <c r="D18640" t="s">
        <v>14</v>
      </c>
      <c r="E18640" t="s">
        <v>9368</v>
      </c>
      <c r="F18640" s="2" t="str">
        <f>HYPERLINK("http://www.otzar.org/book.asp?144032","כגן עדנים")</f>
        <v>כגן עדנים</v>
      </c>
    </row>
    <row r="18641" spans="1:6" x14ac:dyDescent="0.2">
      <c r="A18641" t="s">
        <v>30594</v>
      </c>
      <c r="B18641" t="s">
        <v>7693</v>
      </c>
      <c r="C18641" t="s">
        <v>13</v>
      </c>
      <c r="D18641" t="s">
        <v>14</v>
      </c>
      <c r="E18641" t="s">
        <v>399</v>
      </c>
      <c r="F18641" s="2" t="str">
        <f>HYPERLINK("http://www.otzar.org/book.asp?61198","כגן רוה")</f>
        <v>כגן רוה</v>
      </c>
    </row>
    <row r="18642" spans="1:6" x14ac:dyDescent="0.2">
      <c r="A18642" t="s">
        <v>30594</v>
      </c>
      <c r="B18642" t="s">
        <v>30593</v>
      </c>
      <c r="C18642" t="s">
        <v>383</v>
      </c>
      <c r="D18642" t="s">
        <v>14</v>
      </c>
      <c r="E18642" t="s">
        <v>234</v>
      </c>
      <c r="F18642" s="2" t="str">
        <f>HYPERLINK("http://www.otzar.org/book.asp?143695","כגן רוה")</f>
        <v>כגן רוה</v>
      </c>
    </row>
    <row r="18643" spans="1:6" x14ac:dyDescent="0.2">
      <c r="A18643" t="s">
        <v>30595</v>
      </c>
      <c r="B18643" t="s">
        <v>4244</v>
      </c>
      <c r="C18643" t="s">
        <v>411</v>
      </c>
      <c r="D18643" t="s">
        <v>14</v>
      </c>
      <c r="E18643" t="s">
        <v>84</v>
      </c>
      <c r="F18643" s="2" t="str">
        <f>HYPERLINK("http://www.otzar.org/book.asp?168249","כגנות עלי נהר")</f>
        <v>כגנות עלי נהר</v>
      </c>
    </row>
    <row r="18644" spans="1:6" x14ac:dyDescent="0.2">
      <c r="A18644" t="s">
        <v>30596</v>
      </c>
      <c r="B18644" t="s">
        <v>686</v>
      </c>
      <c r="C18644" t="s">
        <v>624</v>
      </c>
      <c r="D18644" t="s">
        <v>52</v>
      </c>
      <c r="E18644" t="s">
        <v>104</v>
      </c>
      <c r="F18644" s="2" t="str">
        <f>HYPERLINK("http://www.otzar.org/book.asp?618483","כד המים")</f>
        <v>כד המים</v>
      </c>
    </row>
    <row r="18645" spans="1:6" x14ac:dyDescent="0.2">
      <c r="A18645" t="s">
        <v>30597</v>
      </c>
      <c r="B18645" t="s">
        <v>7899</v>
      </c>
      <c r="C18645" t="s">
        <v>1096</v>
      </c>
      <c r="D18645" t="s">
        <v>2276</v>
      </c>
      <c r="E18645" t="s">
        <v>154</v>
      </c>
      <c r="F18645" s="2" t="str">
        <f>HYPERLINK("http://www.otzar.org/book.asp?101225","כד הקמח")</f>
        <v>כד הקמח</v>
      </c>
    </row>
    <row r="18646" spans="1:6" x14ac:dyDescent="0.2">
      <c r="A18646" t="s">
        <v>30598</v>
      </c>
      <c r="B18646" t="s">
        <v>9164</v>
      </c>
      <c r="C18646" t="s">
        <v>752</v>
      </c>
      <c r="D18646" t="s">
        <v>283</v>
      </c>
      <c r="E18646" t="s">
        <v>16263</v>
      </c>
      <c r="F18646" s="2" t="str">
        <f>HYPERLINK("http://www.otzar.org/book.asp?6331","כד הקמח - 7 כר'")</f>
        <v>כד הקמח - 7 כר'</v>
      </c>
    </row>
    <row r="18647" spans="1:6" x14ac:dyDescent="0.2">
      <c r="A18647" t="s">
        <v>30599</v>
      </c>
      <c r="B18647" t="s">
        <v>11066</v>
      </c>
      <c r="C18647" t="s">
        <v>37</v>
      </c>
      <c r="D18647" t="s">
        <v>14</v>
      </c>
      <c r="E18647" t="s">
        <v>246</v>
      </c>
      <c r="F18647" s="2" t="str">
        <f>HYPERLINK("http://www.otzar.org/book.asp?606268","כדאי הוא רבי שמעון")</f>
        <v>כדאי הוא רבי שמעון</v>
      </c>
    </row>
    <row r="18648" spans="1:6" x14ac:dyDescent="0.2">
      <c r="A18648" t="s">
        <v>30600</v>
      </c>
      <c r="B18648" t="s">
        <v>21913</v>
      </c>
      <c r="C18648" t="s">
        <v>411</v>
      </c>
      <c r="D18648" t="s">
        <v>412</v>
      </c>
      <c r="E18648" t="s">
        <v>84</v>
      </c>
      <c r="F18648" s="2" t="str">
        <f>HYPERLINK("http://www.otzar.org/book.asp?180461","כדבר אליהו - אהלות")</f>
        <v>כדבר אליהו - אהלות</v>
      </c>
    </row>
    <row r="18649" spans="1:6" x14ac:dyDescent="0.2">
      <c r="A18649" t="s">
        <v>30601</v>
      </c>
      <c r="B18649" t="s">
        <v>30602</v>
      </c>
      <c r="C18649" t="s">
        <v>244</v>
      </c>
      <c r="D18649" t="s">
        <v>412</v>
      </c>
      <c r="E18649" t="s">
        <v>84</v>
      </c>
      <c r="F18649" s="2" t="str">
        <f>HYPERLINK("http://www.otzar.org/book.asp?610321","כדבר משה - מסכת פרה")</f>
        <v>כדבר משה - מסכת פרה</v>
      </c>
    </row>
    <row r="18650" spans="1:6" x14ac:dyDescent="0.2">
      <c r="A18650" t="s">
        <v>30603</v>
      </c>
      <c r="B18650" t="s">
        <v>7645</v>
      </c>
      <c r="C18650" t="s">
        <v>411</v>
      </c>
      <c r="D18650" t="s">
        <v>2531</v>
      </c>
      <c r="E18650" t="s">
        <v>15</v>
      </c>
      <c r="F18650" s="2" t="str">
        <f>HYPERLINK("http://www.otzar.org/book.asp?171644","כדי גאולתו")</f>
        <v>כדי גאולתו</v>
      </c>
    </row>
    <row r="18651" spans="1:6" x14ac:dyDescent="0.2">
      <c r="A18651" t="s">
        <v>30604</v>
      </c>
      <c r="B18651" t="s">
        <v>1750</v>
      </c>
      <c r="C18651" t="s">
        <v>23</v>
      </c>
      <c r="D18651" t="s">
        <v>245</v>
      </c>
      <c r="E18651" t="s">
        <v>186</v>
      </c>
      <c r="F18651" s="2" t="str">
        <f>HYPERLINK("http://www.otzar.org/book.asp?600251","כדרבנות וכמסמרות - 3 כר'")</f>
        <v>כדרבנות וכמסמרות - 3 כר'</v>
      </c>
    </row>
    <row r="18652" spans="1:6" x14ac:dyDescent="0.2">
      <c r="A18652" t="s">
        <v>30605</v>
      </c>
      <c r="B18652" t="s">
        <v>28346</v>
      </c>
      <c r="C18652" t="s">
        <v>411</v>
      </c>
      <c r="D18652" t="s">
        <v>14</v>
      </c>
      <c r="E18652" t="s">
        <v>158</v>
      </c>
      <c r="F18652" s="2" t="str">
        <f>HYPERLINK("http://www.otzar.org/book.asp?620877","כדת היום")</f>
        <v>כדת היום</v>
      </c>
    </row>
    <row r="18653" spans="1:6" x14ac:dyDescent="0.2">
      <c r="A18653" t="s">
        <v>30606</v>
      </c>
      <c r="B18653" t="s">
        <v>27453</v>
      </c>
      <c r="C18653" t="s">
        <v>71</v>
      </c>
      <c r="D18653" t="s">
        <v>14</v>
      </c>
      <c r="E18653" t="s">
        <v>674</v>
      </c>
      <c r="F18653" s="2" t="str">
        <f>HYPERLINK("http://www.otzar.org/book.asp?166126","כדת וכדין")</f>
        <v>כדת וכדין</v>
      </c>
    </row>
    <row r="18654" spans="1:6" x14ac:dyDescent="0.2">
      <c r="A18654" t="s">
        <v>30607</v>
      </c>
      <c r="B18654" t="s">
        <v>2722</v>
      </c>
      <c r="C18654" t="s">
        <v>13</v>
      </c>
      <c r="D18654" t="s">
        <v>14</v>
      </c>
      <c r="E18654" t="s">
        <v>246</v>
      </c>
      <c r="F18654" s="2" t="str">
        <f>HYPERLINK("http://www.otzar.org/book.asp?63571","כדת נפש משיבת")</f>
        <v>כדת נפש משיבת</v>
      </c>
    </row>
    <row r="18655" spans="1:6" x14ac:dyDescent="0.2">
      <c r="A18655" t="s">
        <v>30608</v>
      </c>
      <c r="B18655" t="s">
        <v>30609</v>
      </c>
      <c r="C18655" t="s">
        <v>133</v>
      </c>
      <c r="D18655" t="s">
        <v>3560</v>
      </c>
      <c r="F18655" s="2" t="str">
        <f>HYPERLINK("http://www.otzar.org/book.asp?609760","כה לחי")</f>
        <v>כה לחי</v>
      </c>
    </row>
    <row r="18656" spans="1:6" x14ac:dyDescent="0.2">
      <c r="A18656" t="s">
        <v>30610</v>
      </c>
      <c r="B18656" t="s">
        <v>30611</v>
      </c>
      <c r="C18656" t="s">
        <v>940</v>
      </c>
      <c r="D18656" t="s">
        <v>14</v>
      </c>
      <c r="E18656" t="s">
        <v>246</v>
      </c>
      <c r="F18656" s="2" t="str">
        <f>HYPERLINK("http://www.otzar.org/book.asp?151259","כה לחי - הגדה של פסח")</f>
        <v>כה לחי - הגדה של פסח</v>
      </c>
    </row>
    <row r="18657" spans="1:6" x14ac:dyDescent="0.2">
      <c r="A18657" t="s">
        <v>30608</v>
      </c>
      <c r="B18657" t="s">
        <v>30612</v>
      </c>
      <c r="C18657" t="s">
        <v>2105</v>
      </c>
      <c r="D18657" t="s">
        <v>1889</v>
      </c>
      <c r="E18657" t="s">
        <v>474</v>
      </c>
      <c r="F18657" s="2" t="str">
        <f>HYPERLINK("http://www.otzar.org/book.asp?83631","כה לחי")</f>
        <v>כה לחי</v>
      </c>
    </row>
    <row r="18658" spans="1:6" x14ac:dyDescent="0.2">
      <c r="A18658" t="s">
        <v>30608</v>
      </c>
      <c r="B18658" t="s">
        <v>30613</v>
      </c>
      <c r="C18658" t="s">
        <v>5823</v>
      </c>
      <c r="D18658" t="s">
        <v>8545</v>
      </c>
      <c r="F18658" s="2" t="str">
        <f>HYPERLINK("http://www.otzar.org/book.asp?619956","כה לחי")</f>
        <v>כה לחי</v>
      </c>
    </row>
    <row r="18659" spans="1:6" x14ac:dyDescent="0.2">
      <c r="A18659" t="s">
        <v>30608</v>
      </c>
      <c r="B18659" t="s">
        <v>30614</v>
      </c>
      <c r="C18659" t="s">
        <v>748</v>
      </c>
      <c r="D18659" t="s">
        <v>30615</v>
      </c>
      <c r="F18659" s="2" t="str">
        <f>HYPERLINK("http://www.otzar.org/book.asp?182207","כה לחי")</f>
        <v>כה לחי</v>
      </c>
    </row>
    <row r="18660" spans="1:6" x14ac:dyDescent="0.2">
      <c r="A18660" t="s">
        <v>30616</v>
      </c>
      <c r="B18660" t="s">
        <v>3374</v>
      </c>
      <c r="C18660" t="s">
        <v>533</v>
      </c>
      <c r="D18660" t="s">
        <v>412</v>
      </c>
      <c r="E18660" t="s">
        <v>213</v>
      </c>
      <c r="F18660" s="2" t="str">
        <f>HYPERLINK("http://www.otzar.org/book.asp?180126","כה תאמר לבית יעקב")</f>
        <v>כה תאמר לבית יעקב</v>
      </c>
    </row>
    <row r="18661" spans="1:6" x14ac:dyDescent="0.2">
      <c r="A18661" t="s">
        <v>30617</v>
      </c>
      <c r="B18661" t="s">
        <v>30618</v>
      </c>
      <c r="C18661" t="s">
        <v>103</v>
      </c>
      <c r="D18661" t="s">
        <v>412</v>
      </c>
      <c r="F18661" s="2" t="str">
        <f>HYPERLINK("http://www.otzar.org/book.asp?612048","כה תאמר - שפתי עני")</f>
        <v>כה תאמר - שפתי עני</v>
      </c>
    </row>
    <row r="18662" spans="1:6" x14ac:dyDescent="0.2">
      <c r="A18662" t="s">
        <v>30619</v>
      </c>
      <c r="B18662" t="s">
        <v>21814</v>
      </c>
      <c r="C18662" t="s">
        <v>13</v>
      </c>
      <c r="D18662" t="s">
        <v>14</v>
      </c>
      <c r="E18662" t="s">
        <v>140</v>
      </c>
      <c r="F18662" s="2" t="str">
        <f>HYPERLINK("http://www.otzar.org/book.asp?159562","כה תברכו")</f>
        <v>כה תברכו</v>
      </c>
    </row>
    <row r="18663" spans="1:6" x14ac:dyDescent="0.2">
      <c r="A18663" t="s">
        <v>30620</v>
      </c>
      <c r="B18663" t="s">
        <v>22469</v>
      </c>
      <c r="C18663" t="s">
        <v>728</v>
      </c>
      <c r="D18663" t="s">
        <v>76</v>
      </c>
      <c r="E18663" t="s">
        <v>104</v>
      </c>
      <c r="F18663" s="2" t="str">
        <f>HYPERLINK("http://www.otzar.org/book.asp?104534","כה תברכו - 3 כר'")</f>
        <v>כה תברכו - 3 כר'</v>
      </c>
    </row>
    <row r="18664" spans="1:6" x14ac:dyDescent="0.2">
      <c r="A18664" t="s">
        <v>30621</v>
      </c>
      <c r="B18664" t="s">
        <v>6154</v>
      </c>
      <c r="C18664" t="s">
        <v>492</v>
      </c>
      <c r="D18664" t="s">
        <v>726</v>
      </c>
      <c r="E18664" t="s">
        <v>6565</v>
      </c>
      <c r="F18664" s="2" t="str">
        <f>HYPERLINK("http://www.otzar.org/book.asp?300399","כהונת אלימלך")</f>
        <v>כהונת אלימלך</v>
      </c>
    </row>
    <row r="18665" spans="1:6" x14ac:dyDescent="0.2">
      <c r="A18665" t="s">
        <v>30622</v>
      </c>
      <c r="B18665" t="s">
        <v>30623</v>
      </c>
      <c r="C18665" t="s">
        <v>5160</v>
      </c>
      <c r="D18665" t="s">
        <v>1490</v>
      </c>
      <c r="E18665" t="s">
        <v>8786</v>
      </c>
      <c r="F18665" s="2" t="str">
        <f>HYPERLINK("http://www.otzar.org/book.asp?101322","כהונת עולם")</f>
        <v>כהונת עולם</v>
      </c>
    </row>
    <row r="18666" spans="1:6" x14ac:dyDescent="0.2">
      <c r="A18666" t="s">
        <v>30624</v>
      </c>
      <c r="B18666" t="s">
        <v>30625</v>
      </c>
      <c r="C18666" t="s">
        <v>17</v>
      </c>
      <c r="D18666" t="s">
        <v>14</v>
      </c>
      <c r="E18666" t="s">
        <v>30626</v>
      </c>
      <c r="F18666" s="2" t="str">
        <f>HYPERLINK("http://www.otzar.org/book.asp?50215","כהונת רפאל - 3 כר'")</f>
        <v>כהונת רפאל - 3 כר'</v>
      </c>
    </row>
    <row r="18667" spans="1:6" x14ac:dyDescent="0.2">
      <c r="A18667" t="s">
        <v>30627</v>
      </c>
      <c r="B18667" t="s">
        <v>98</v>
      </c>
      <c r="C18667" t="s">
        <v>533</v>
      </c>
      <c r="D18667" t="s">
        <v>90</v>
      </c>
      <c r="E18667" t="s">
        <v>30628</v>
      </c>
      <c r="F18667" s="2" t="str">
        <f>HYPERLINK("http://www.otzar.org/book.asp?176739","כהיום תמצאון")</f>
        <v>כהיום תמצאון</v>
      </c>
    </row>
    <row r="18668" spans="1:6" x14ac:dyDescent="0.2">
      <c r="A18668" t="s">
        <v>30629</v>
      </c>
      <c r="B18668" t="s">
        <v>11441</v>
      </c>
      <c r="D18668" t="s">
        <v>21</v>
      </c>
      <c r="E18668" t="s">
        <v>130</v>
      </c>
      <c r="F18668" s="2" t="str">
        <f>HYPERLINK("http://www.otzar.org/book.asp?622732","כהלכות הפסח")</f>
        <v>כהלכות הפסח</v>
      </c>
    </row>
    <row r="18669" spans="1:6" x14ac:dyDescent="0.2">
      <c r="A18669" t="s">
        <v>30629</v>
      </c>
      <c r="B18669" t="s">
        <v>9326</v>
      </c>
      <c r="C18669" t="s">
        <v>114</v>
      </c>
      <c r="D18669" t="s">
        <v>486</v>
      </c>
      <c r="E18669" t="s">
        <v>130</v>
      </c>
      <c r="F18669" s="2" t="str">
        <f>HYPERLINK("http://www.otzar.org/book.asp?172098","כהלכות הפסח")</f>
        <v>כהלכות הפסח</v>
      </c>
    </row>
    <row r="18670" spans="1:6" x14ac:dyDescent="0.2">
      <c r="A18670" t="s">
        <v>30630</v>
      </c>
      <c r="B18670" t="s">
        <v>5867</v>
      </c>
      <c r="C18670" t="s">
        <v>51</v>
      </c>
      <c r="D18670" t="s">
        <v>52</v>
      </c>
      <c r="E18670" t="s">
        <v>119</v>
      </c>
      <c r="F18670" s="2" t="str">
        <f>HYPERLINK("http://www.otzar.org/book.asp?153869","כהן גדול משרת")</f>
        <v>כהן גדול משרת</v>
      </c>
    </row>
    <row r="18671" spans="1:6" x14ac:dyDescent="0.2">
      <c r="A18671" t="s">
        <v>30631</v>
      </c>
      <c r="B18671" t="s">
        <v>30632</v>
      </c>
      <c r="C18671" t="s">
        <v>146</v>
      </c>
      <c r="D18671" t="s">
        <v>52</v>
      </c>
      <c r="F18671" s="2" t="str">
        <f>HYPERLINK("http://www.otzar.org/book.asp?610169","כהן הגדול ביום הכיפורים")</f>
        <v>כהן הגדול ביום הכיפורים</v>
      </c>
    </row>
    <row r="18672" spans="1:6" x14ac:dyDescent="0.2">
      <c r="A18672" t="s">
        <v>30633</v>
      </c>
      <c r="B18672" t="s">
        <v>18153</v>
      </c>
      <c r="C18672" t="s">
        <v>812</v>
      </c>
      <c r="D18672" t="s">
        <v>1541</v>
      </c>
      <c r="E18672" t="s">
        <v>154</v>
      </c>
      <c r="F18672" s="2" t="str">
        <f>HYPERLINK("http://www.otzar.org/book.asp?108828","כהנא מסייע כהנא")</f>
        <v>כהנא מסייע כהנא</v>
      </c>
    </row>
    <row r="18673" spans="1:6" x14ac:dyDescent="0.2">
      <c r="A18673" t="s">
        <v>30634</v>
      </c>
      <c r="B18673" t="s">
        <v>30635</v>
      </c>
      <c r="C18673" t="s">
        <v>30636</v>
      </c>
      <c r="D18673" t="s">
        <v>1324</v>
      </c>
      <c r="E18673" t="s">
        <v>158</v>
      </c>
      <c r="F18673" s="2" t="str">
        <f>HYPERLINK("http://www.otzar.org/book.asp?611753","כהנת אברהם")</f>
        <v>כהנת אברהם</v>
      </c>
    </row>
    <row r="18674" spans="1:6" x14ac:dyDescent="0.2">
      <c r="A18674" t="s">
        <v>30637</v>
      </c>
      <c r="B18674" t="s">
        <v>30638</v>
      </c>
      <c r="C18674" t="s">
        <v>422</v>
      </c>
      <c r="D18674" t="s">
        <v>412</v>
      </c>
      <c r="E18674" t="s">
        <v>144</v>
      </c>
      <c r="F18674" s="2" t="str">
        <f>HYPERLINK("http://www.otzar.org/book.asp?176529","כהנת עולם &lt;מהדורה חדשה&gt;")</f>
        <v>כהנת עולם &lt;מהדורה חדשה&gt;</v>
      </c>
    </row>
    <row r="18675" spans="1:6" x14ac:dyDescent="0.2">
      <c r="A18675" t="s">
        <v>30639</v>
      </c>
      <c r="B18675" t="s">
        <v>30640</v>
      </c>
      <c r="C18675" t="s">
        <v>20</v>
      </c>
      <c r="D18675" t="s">
        <v>90</v>
      </c>
      <c r="E18675" t="s">
        <v>172</v>
      </c>
      <c r="F18675" s="2" t="str">
        <f>HYPERLINK("http://www.otzar.org/book.asp?621667","כהנת עולם")</f>
        <v>כהנת עולם</v>
      </c>
    </row>
    <row r="18676" spans="1:6" x14ac:dyDescent="0.2">
      <c r="A18676" t="s">
        <v>30639</v>
      </c>
      <c r="B18676" t="s">
        <v>30638</v>
      </c>
      <c r="C18676" t="s">
        <v>99</v>
      </c>
      <c r="D18676" t="s">
        <v>18654</v>
      </c>
      <c r="F18676" s="2" t="str">
        <f>HYPERLINK("http://www.otzar.org/book.asp?174570","כהנת עולם")</f>
        <v>כהנת עולם</v>
      </c>
    </row>
    <row r="18677" spans="1:6" x14ac:dyDescent="0.2">
      <c r="A18677" t="s">
        <v>30641</v>
      </c>
      <c r="B18677" t="s">
        <v>30642</v>
      </c>
      <c r="C18677" t="s">
        <v>429</v>
      </c>
      <c r="D18677" t="s">
        <v>283</v>
      </c>
      <c r="E18677" t="s">
        <v>2088</v>
      </c>
      <c r="F18677" s="2" t="str">
        <f>HYPERLINK("http://www.otzar.org/book.asp?7057","כובע ישועה")</f>
        <v>כובע ישועה</v>
      </c>
    </row>
    <row r="18678" spans="1:6" x14ac:dyDescent="0.2">
      <c r="A18678" t="s">
        <v>30643</v>
      </c>
      <c r="B18678" t="s">
        <v>27299</v>
      </c>
      <c r="C18678" t="s">
        <v>1625</v>
      </c>
      <c r="D18678" t="s">
        <v>1023</v>
      </c>
      <c r="E18678" t="s">
        <v>158</v>
      </c>
      <c r="F18678" s="2" t="str">
        <f>HYPERLINK("http://www.otzar.org/book.asp?147252","כוונות ישרות")</f>
        <v>כוונות ישרות</v>
      </c>
    </row>
    <row r="18679" spans="1:6" x14ac:dyDescent="0.2">
      <c r="A18679" t="s">
        <v>30644</v>
      </c>
      <c r="B18679" t="s">
        <v>30645</v>
      </c>
      <c r="C18679" t="s">
        <v>8</v>
      </c>
      <c r="D18679" t="s">
        <v>412</v>
      </c>
      <c r="E18679" t="s">
        <v>219</v>
      </c>
      <c r="F18679" s="2" t="str">
        <f>HYPERLINK("http://www.otzar.org/book.asp?107294","כוונת התפלה")</f>
        <v>כוונת התפלה</v>
      </c>
    </row>
    <row r="18680" spans="1:6" x14ac:dyDescent="0.2">
      <c r="A18680" t="s">
        <v>30646</v>
      </c>
      <c r="B18680" t="s">
        <v>6876</v>
      </c>
      <c r="C18680" t="s">
        <v>473</v>
      </c>
      <c r="D18680" t="s">
        <v>27</v>
      </c>
      <c r="E18680" t="s">
        <v>2758</v>
      </c>
      <c r="F18680" s="2" t="str">
        <f>HYPERLINK("http://www.otzar.org/book.asp?170882","כוונת ספירת העומר")</f>
        <v>כוונת ספירת העומר</v>
      </c>
    </row>
    <row r="18681" spans="1:6" x14ac:dyDescent="0.2">
      <c r="A18681" t="s">
        <v>30647</v>
      </c>
      <c r="B18681" t="s">
        <v>30648</v>
      </c>
      <c r="C18681" t="s">
        <v>24721</v>
      </c>
      <c r="D18681" t="s">
        <v>4349</v>
      </c>
      <c r="E18681" t="s">
        <v>158</v>
      </c>
      <c r="F18681" s="2" t="str">
        <f>HYPERLINK("http://www.otzar.org/book.asp?63893","כוונת תהלים")</f>
        <v>כוונת תהלים</v>
      </c>
    </row>
    <row r="18682" spans="1:6" x14ac:dyDescent="0.2">
      <c r="A18682" t="s">
        <v>30649</v>
      </c>
      <c r="B18682" t="s">
        <v>3235</v>
      </c>
      <c r="C18682" t="s">
        <v>176</v>
      </c>
      <c r="D18682" t="s">
        <v>21</v>
      </c>
      <c r="E18682" t="s">
        <v>104</v>
      </c>
      <c r="F18682" s="2" t="str">
        <f>HYPERLINK("http://www.otzar.org/book.asp?603404","כוחה של מלה")</f>
        <v>כוחה של מלה</v>
      </c>
    </row>
    <row r="18683" spans="1:6" x14ac:dyDescent="0.2">
      <c r="A18683" t="s">
        <v>30650</v>
      </c>
      <c r="B18683" t="s">
        <v>4991</v>
      </c>
      <c r="C18683" t="s">
        <v>71</v>
      </c>
      <c r="D18683" t="s">
        <v>14</v>
      </c>
      <c r="E18683" t="s">
        <v>104</v>
      </c>
      <c r="F18683" s="2" t="str">
        <f>HYPERLINK("http://www.otzar.org/book.asp?6130","כוחה של צניעות")</f>
        <v>כוחה של צניעות</v>
      </c>
    </row>
    <row r="18684" spans="1:6" x14ac:dyDescent="0.2">
      <c r="A18684" t="s">
        <v>30651</v>
      </c>
      <c r="B18684" t="s">
        <v>6987</v>
      </c>
      <c r="C18684" t="s">
        <v>133</v>
      </c>
      <c r="D18684" t="s">
        <v>21</v>
      </c>
      <c r="E18684" t="s">
        <v>1164</v>
      </c>
      <c r="F18684" s="2" t="str">
        <f>HYPERLINK("http://www.otzar.org/book.asp?193102","כוחה של שבת - 2 כר'")</f>
        <v>כוחה של שבת - 2 כר'</v>
      </c>
    </row>
    <row r="18685" spans="1:6" x14ac:dyDescent="0.2">
      <c r="A18685" t="s">
        <v>30652</v>
      </c>
      <c r="B18685" t="s">
        <v>3621</v>
      </c>
      <c r="C18685" t="s">
        <v>20</v>
      </c>
      <c r="D18685" t="s">
        <v>14</v>
      </c>
      <c r="E18685" t="s">
        <v>30653</v>
      </c>
      <c r="F18685" s="2" t="str">
        <f>HYPERLINK("http://www.otzar.org/book.asp?159476","כוחה של תורה לשמה בתיקון היסוד")</f>
        <v>כוחה של תורה לשמה בתיקון היסוד</v>
      </c>
    </row>
    <row r="18686" spans="1:6" x14ac:dyDescent="0.2">
      <c r="A18686" t="s">
        <v>30654</v>
      </c>
      <c r="B18686" t="s">
        <v>4991</v>
      </c>
      <c r="C18686" t="s">
        <v>767</v>
      </c>
      <c r="D18686" t="s">
        <v>14</v>
      </c>
      <c r="E18686" t="s">
        <v>241</v>
      </c>
      <c r="F18686" s="2" t="str">
        <f>HYPERLINK("http://www.otzar.org/book.asp?6525","כוחה של תפילה")</f>
        <v>כוחה של תפילה</v>
      </c>
    </row>
    <row r="18687" spans="1:6" x14ac:dyDescent="0.2">
      <c r="A18687" t="s">
        <v>30655</v>
      </c>
      <c r="B18687" t="s">
        <v>4480</v>
      </c>
      <c r="C18687" t="s">
        <v>411</v>
      </c>
      <c r="D18687" t="s">
        <v>14</v>
      </c>
      <c r="E18687" t="s">
        <v>104</v>
      </c>
      <c r="F18687" s="2" t="str">
        <f>HYPERLINK("http://www.otzar.org/book.asp?166490","כוכב השחר")</f>
        <v>כוכב השחר</v>
      </c>
    </row>
    <row r="18688" spans="1:6" x14ac:dyDescent="0.2">
      <c r="A18688" t="s">
        <v>30655</v>
      </c>
      <c r="B18688" t="s">
        <v>30656</v>
      </c>
      <c r="C18688" t="s">
        <v>6054</v>
      </c>
      <c r="D18688" t="s">
        <v>30657</v>
      </c>
      <c r="E18688" t="s">
        <v>930</v>
      </c>
      <c r="F18688" s="2" t="str">
        <f>HYPERLINK("http://www.otzar.org/book.asp?625980","כוכב השחר")</f>
        <v>כוכב השחר</v>
      </c>
    </row>
    <row r="18689" spans="1:6" x14ac:dyDescent="0.2">
      <c r="A18689" t="s">
        <v>30655</v>
      </c>
      <c r="B18689" t="s">
        <v>5427</v>
      </c>
      <c r="C18689" t="s">
        <v>454</v>
      </c>
      <c r="D18689" t="s">
        <v>14</v>
      </c>
      <c r="E18689" t="s">
        <v>140</v>
      </c>
      <c r="F18689" s="2" t="str">
        <f>HYPERLINK("http://www.otzar.org/book.asp?190838","כוכב השחר")</f>
        <v>כוכב השחר</v>
      </c>
    </row>
    <row r="18690" spans="1:6" x14ac:dyDescent="0.2">
      <c r="A18690" t="s">
        <v>30658</v>
      </c>
      <c r="B18690" t="s">
        <v>30659</v>
      </c>
      <c r="C18690" t="s">
        <v>37</v>
      </c>
      <c r="D18690" t="s">
        <v>14</v>
      </c>
      <c r="E18690" t="s">
        <v>920</v>
      </c>
      <c r="F18690" s="2" t="str">
        <f>HYPERLINK("http://www.otzar.org/book.asp?199861","כוכב מיעקב &lt;מהדורה חדשה&gt;")</f>
        <v>כוכב מיעקב &lt;מהדורה חדשה&gt;</v>
      </c>
    </row>
    <row r="18691" spans="1:6" x14ac:dyDescent="0.2">
      <c r="A18691" t="s">
        <v>30660</v>
      </c>
      <c r="B18691" t="s">
        <v>30659</v>
      </c>
      <c r="C18691" t="s">
        <v>812</v>
      </c>
      <c r="D18691" t="s">
        <v>283</v>
      </c>
      <c r="E18691" t="s">
        <v>144</v>
      </c>
      <c r="F18691" s="2" t="str">
        <f>HYPERLINK("http://www.otzar.org/book.asp?182158","כוכב מיעקב")</f>
        <v>כוכב מיעקב</v>
      </c>
    </row>
    <row r="18692" spans="1:6" x14ac:dyDescent="0.2">
      <c r="A18692" t="s">
        <v>30660</v>
      </c>
      <c r="B18692" t="s">
        <v>30661</v>
      </c>
      <c r="C18692" t="s">
        <v>180</v>
      </c>
      <c r="D18692" t="s">
        <v>14</v>
      </c>
      <c r="E18692" t="s">
        <v>30662</v>
      </c>
      <c r="F18692" s="2" t="str">
        <f>HYPERLINK("http://www.otzar.org/book.asp?9583","כוכב מיעקב")</f>
        <v>כוכב מיעקב</v>
      </c>
    </row>
    <row r="18693" spans="1:6" x14ac:dyDescent="0.2">
      <c r="A18693" t="s">
        <v>30663</v>
      </c>
      <c r="B18693" t="s">
        <v>30664</v>
      </c>
      <c r="C18693" t="s">
        <v>1374</v>
      </c>
      <c r="D18693" t="s">
        <v>691</v>
      </c>
      <c r="E18693" t="s">
        <v>30665</v>
      </c>
      <c r="F18693" s="2" t="str">
        <f>HYPERLINK("http://www.otzar.org/book.asp?51496","כוכב מיעקב - 3 כר'")</f>
        <v>כוכב מיעקב - 3 כר'</v>
      </c>
    </row>
    <row r="18694" spans="1:6" x14ac:dyDescent="0.2">
      <c r="A18694" t="s">
        <v>30660</v>
      </c>
      <c r="B18694" t="s">
        <v>30666</v>
      </c>
      <c r="C18694" t="s">
        <v>3246</v>
      </c>
      <c r="D18694" t="s">
        <v>23031</v>
      </c>
      <c r="E18694" t="s">
        <v>930</v>
      </c>
      <c r="F18694" s="2" t="str">
        <f>HYPERLINK("http://www.otzar.org/book.asp?21800","כוכב מיעקב")</f>
        <v>כוכב מיעקב</v>
      </c>
    </row>
    <row r="18695" spans="1:6" x14ac:dyDescent="0.2">
      <c r="A18695" t="s">
        <v>30663</v>
      </c>
      <c r="B18695" t="s">
        <v>2220</v>
      </c>
      <c r="C18695" t="s">
        <v>156</v>
      </c>
      <c r="D18695" t="s">
        <v>283</v>
      </c>
      <c r="E18695" t="s">
        <v>579</v>
      </c>
      <c r="F18695" s="2" t="str">
        <f>HYPERLINK("http://www.otzar.org/book.asp?15718","כוכב מיעקב - 3 כר'")</f>
        <v>כוכב מיעקב - 3 כר'</v>
      </c>
    </row>
    <row r="18696" spans="1:6" x14ac:dyDescent="0.2">
      <c r="A18696" t="s">
        <v>30660</v>
      </c>
      <c r="B18696" t="s">
        <v>255</v>
      </c>
      <c r="C18696" t="s">
        <v>189</v>
      </c>
      <c r="D18696" t="s">
        <v>14</v>
      </c>
      <c r="E18696" t="s">
        <v>158</v>
      </c>
      <c r="F18696" s="2" t="str">
        <f>HYPERLINK("http://www.otzar.org/book.asp?152696","כוכב מיעקב")</f>
        <v>כוכב מיעקב</v>
      </c>
    </row>
    <row r="18697" spans="1:6" x14ac:dyDescent="0.2">
      <c r="A18697" t="s">
        <v>30667</v>
      </c>
      <c r="B18697" t="s">
        <v>1014</v>
      </c>
      <c r="C18697" t="s">
        <v>189</v>
      </c>
      <c r="D18697" t="s">
        <v>27</v>
      </c>
      <c r="E18697" t="s">
        <v>741</v>
      </c>
      <c r="F18697" s="2" t="str">
        <f>HYPERLINK("http://www.otzar.org/book.asp?178950","כוכבי אור השלם &lt;מהדות משך הנחל&gt;")</f>
        <v>כוכבי אור השלם &lt;מהדות משך הנחל&gt;</v>
      </c>
    </row>
    <row r="18698" spans="1:6" x14ac:dyDescent="0.2">
      <c r="A18698" t="s">
        <v>30668</v>
      </c>
      <c r="B18698" t="s">
        <v>23693</v>
      </c>
      <c r="C18698" t="s">
        <v>506</v>
      </c>
      <c r="D18698" t="s">
        <v>56</v>
      </c>
      <c r="F18698" s="2" t="str">
        <f>HYPERLINK("http://www.otzar.org/book.asp?608921","כוכבי אור")</f>
        <v>כוכבי אור</v>
      </c>
    </row>
    <row r="18699" spans="1:6" x14ac:dyDescent="0.2">
      <c r="A18699" t="s">
        <v>30668</v>
      </c>
      <c r="B18699" t="s">
        <v>30669</v>
      </c>
      <c r="C18699" t="s">
        <v>1570</v>
      </c>
      <c r="D18699" t="s">
        <v>14</v>
      </c>
      <c r="E18699" t="s">
        <v>81</v>
      </c>
      <c r="F18699" s="2" t="str">
        <f>HYPERLINK("http://www.otzar.org/book.asp?103235","כוכבי אור")</f>
        <v>כוכבי אור</v>
      </c>
    </row>
    <row r="18700" spans="1:6" x14ac:dyDescent="0.2">
      <c r="A18700" t="s">
        <v>30668</v>
      </c>
      <c r="B18700" t="s">
        <v>1014</v>
      </c>
      <c r="C18700" t="s">
        <v>1619</v>
      </c>
      <c r="D18700" t="s">
        <v>27</v>
      </c>
      <c r="E18700" t="s">
        <v>741</v>
      </c>
      <c r="F18700" s="2" t="str">
        <f>HYPERLINK("http://www.otzar.org/book.asp?164287","כוכבי אור")</f>
        <v>כוכבי אור</v>
      </c>
    </row>
    <row r="18701" spans="1:6" x14ac:dyDescent="0.2">
      <c r="A18701" t="s">
        <v>30668</v>
      </c>
      <c r="B18701" t="s">
        <v>30670</v>
      </c>
      <c r="C18701" t="s">
        <v>635</v>
      </c>
      <c r="D18701" t="s">
        <v>56</v>
      </c>
      <c r="E18701" t="s">
        <v>119</v>
      </c>
      <c r="F18701" s="2" t="str">
        <f>HYPERLINK("http://www.otzar.org/book.asp?18931","כוכבי אור")</f>
        <v>כוכבי אור</v>
      </c>
    </row>
    <row r="18702" spans="1:6" x14ac:dyDescent="0.2">
      <c r="A18702" t="s">
        <v>30671</v>
      </c>
      <c r="B18702" t="s">
        <v>12962</v>
      </c>
      <c r="C18702" t="s">
        <v>87</v>
      </c>
      <c r="D18702" t="s">
        <v>90</v>
      </c>
      <c r="E18702" t="s">
        <v>140</v>
      </c>
      <c r="F18702" s="2" t="str">
        <f>HYPERLINK("http://www.otzar.org/book.asp?154235","כוכבי אור - ביאלא")</f>
        <v>כוכבי אור - ביאלא</v>
      </c>
    </row>
    <row r="18703" spans="1:6" x14ac:dyDescent="0.2">
      <c r="A18703" t="s">
        <v>30672</v>
      </c>
      <c r="B18703" t="s">
        <v>23903</v>
      </c>
      <c r="C18703" t="s">
        <v>454</v>
      </c>
      <c r="D18703" t="s">
        <v>52</v>
      </c>
      <c r="E18703" t="s">
        <v>733</v>
      </c>
      <c r="F18703" s="2" t="str">
        <f>HYPERLINK("http://www.otzar.org/book.asp?107241","כוכבי אור - 2 כר'")</f>
        <v>כוכבי אור - 2 כר'</v>
      </c>
    </row>
    <row r="18704" spans="1:6" x14ac:dyDescent="0.2">
      <c r="A18704" t="s">
        <v>30668</v>
      </c>
      <c r="B18704" t="s">
        <v>30673</v>
      </c>
      <c r="C18704" t="s">
        <v>189</v>
      </c>
      <c r="D18704" t="s">
        <v>14</v>
      </c>
      <c r="E18704" t="s">
        <v>733</v>
      </c>
      <c r="F18704" s="2" t="str">
        <f>HYPERLINK("http://www.otzar.org/book.asp?143119","כוכבי אור")</f>
        <v>כוכבי אור</v>
      </c>
    </row>
    <row r="18705" spans="1:6" x14ac:dyDescent="0.2">
      <c r="A18705" t="s">
        <v>30674</v>
      </c>
      <c r="B18705" t="s">
        <v>9549</v>
      </c>
      <c r="C18705" t="s">
        <v>1640</v>
      </c>
      <c r="D18705" t="s">
        <v>260</v>
      </c>
      <c r="E18705" t="s">
        <v>474</v>
      </c>
      <c r="F18705" s="2" t="str">
        <f>HYPERLINK("http://www.otzar.org/book.asp?158163","כוכבי אשר")</f>
        <v>כוכבי אשר</v>
      </c>
    </row>
    <row r="18706" spans="1:6" x14ac:dyDescent="0.2">
      <c r="A18706" t="s">
        <v>30675</v>
      </c>
      <c r="B18706" t="s">
        <v>4180</v>
      </c>
      <c r="C18706" t="s">
        <v>111</v>
      </c>
      <c r="D18706" t="s">
        <v>412</v>
      </c>
      <c r="E18706" t="s">
        <v>144</v>
      </c>
      <c r="F18706" s="2" t="str">
        <f>HYPERLINK("http://www.otzar.org/book.asp?625020","כוכבי בוקר - 2 כר'")</f>
        <v>כוכבי בוקר - 2 כר'</v>
      </c>
    </row>
    <row r="18707" spans="1:6" x14ac:dyDescent="0.2">
      <c r="A18707" t="s">
        <v>30676</v>
      </c>
      <c r="B18707" t="s">
        <v>30677</v>
      </c>
      <c r="C18707" t="s">
        <v>1619</v>
      </c>
      <c r="D18707" t="s">
        <v>1180</v>
      </c>
      <c r="E18707" t="s">
        <v>30678</v>
      </c>
      <c r="F18707" s="2" t="str">
        <f>HYPERLINK("http://www.otzar.org/book.asp?9951","כוכבי יצחק - 5 כר'")</f>
        <v>כוכבי יצחק - 5 כר'</v>
      </c>
    </row>
    <row r="18708" spans="1:6" x14ac:dyDescent="0.2">
      <c r="A18708" t="s">
        <v>30679</v>
      </c>
      <c r="B18708" t="s">
        <v>26164</v>
      </c>
      <c r="C18708" t="s">
        <v>313</v>
      </c>
      <c r="D18708" t="s">
        <v>52</v>
      </c>
      <c r="E18708" t="s">
        <v>684</v>
      </c>
      <c r="F18708" s="2" t="str">
        <f>HYPERLINK("http://www.otzar.org/book.asp?50754","כולו מחמדים")</f>
        <v>כולו מחמדים</v>
      </c>
    </row>
    <row r="18709" spans="1:6" x14ac:dyDescent="0.2">
      <c r="A18709" t="s">
        <v>30680</v>
      </c>
      <c r="B18709" t="s">
        <v>30681</v>
      </c>
      <c r="C18709" t="s">
        <v>334</v>
      </c>
      <c r="D18709" t="s">
        <v>14</v>
      </c>
      <c r="E18709" t="s">
        <v>144</v>
      </c>
      <c r="F18709" s="2" t="str">
        <f>HYPERLINK("http://www.otzar.org/book.asp?179174","כולל פורת יוסף  - ב""ק")</f>
        <v>כולל פורת יוסף  - ב"ק</v>
      </c>
    </row>
    <row r="18710" spans="1:6" x14ac:dyDescent="0.2">
      <c r="A18710" t="s">
        <v>30682</v>
      </c>
      <c r="B18710" t="s">
        <v>30683</v>
      </c>
      <c r="C18710" t="s">
        <v>1284</v>
      </c>
      <c r="D18710" t="s">
        <v>756</v>
      </c>
      <c r="E18710" t="s">
        <v>8854</v>
      </c>
      <c r="F18710" s="2" t="str">
        <f>HYPERLINK("http://www.otzar.org/book.asp?150176","כולם אהובים")</f>
        <v>כולם אהובים</v>
      </c>
    </row>
    <row r="18711" spans="1:6" x14ac:dyDescent="0.2">
      <c r="A18711" t="s">
        <v>30682</v>
      </c>
      <c r="B18711" t="s">
        <v>30684</v>
      </c>
      <c r="C18711" t="s">
        <v>1659</v>
      </c>
      <c r="D18711" t="s">
        <v>3642</v>
      </c>
      <c r="E18711" t="s">
        <v>241</v>
      </c>
      <c r="F18711" s="2" t="str">
        <f>HYPERLINK("http://www.otzar.org/book.asp?195560","כולם אהובים")</f>
        <v>כולם אהובים</v>
      </c>
    </row>
    <row r="18712" spans="1:6" x14ac:dyDescent="0.2">
      <c r="A18712" t="s">
        <v>30685</v>
      </c>
      <c r="B18712" t="s">
        <v>5293</v>
      </c>
      <c r="C18712" t="s">
        <v>244</v>
      </c>
      <c r="D18712" t="s">
        <v>14</v>
      </c>
      <c r="F18712" s="2" t="str">
        <f>HYPERLINK("http://www.otzar.org/book.asp?614847","כולם בחכמה עשית")</f>
        <v>כולם בחכמה עשית</v>
      </c>
    </row>
    <row r="18713" spans="1:6" x14ac:dyDescent="0.2">
      <c r="A18713" t="s">
        <v>30686</v>
      </c>
      <c r="B18713" t="s">
        <v>30687</v>
      </c>
      <c r="C18713" t="s">
        <v>3739</v>
      </c>
      <c r="D18713" t="s">
        <v>729</v>
      </c>
      <c r="E18713" t="s">
        <v>30688</v>
      </c>
      <c r="F18713" s="2" t="str">
        <f>HYPERLINK("http://www.otzar.org/book.asp?19438","כונות האגדות &lt;כפתר ופרח&gt;")</f>
        <v>כונות האגדות &lt;כפתר ופרח&gt;</v>
      </c>
    </row>
    <row r="18714" spans="1:6" x14ac:dyDescent="0.2">
      <c r="A18714" t="s">
        <v>30689</v>
      </c>
      <c r="B18714" t="s">
        <v>30687</v>
      </c>
      <c r="C18714" t="s">
        <v>30690</v>
      </c>
      <c r="D18714" t="s">
        <v>30691</v>
      </c>
      <c r="E18714" t="s">
        <v>399</v>
      </c>
      <c r="F18714" s="2" t="str">
        <f>HYPERLINK("http://www.otzar.org/book.asp?614579","כונות האגדות - 2 כר'")</f>
        <v>כונות האגדות - 2 כר'</v>
      </c>
    </row>
    <row r="18715" spans="1:6" x14ac:dyDescent="0.2">
      <c r="A18715" t="s">
        <v>30692</v>
      </c>
      <c r="B18715" t="s">
        <v>6977</v>
      </c>
      <c r="C18715" t="s">
        <v>843</v>
      </c>
      <c r="D18715" t="s">
        <v>27</v>
      </c>
      <c r="E18715" t="s">
        <v>399</v>
      </c>
      <c r="F18715" s="2" t="str">
        <f>HYPERLINK("http://www.otzar.org/book.asp?25668","כונות נפלאות")</f>
        <v>כונות נפלאות</v>
      </c>
    </row>
    <row r="18716" spans="1:6" x14ac:dyDescent="0.2">
      <c r="A18716" t="s">
        <v>30693</v>
      </c>
      <c r="B18716" t="s">
        <v>6876</v>
      </c>
      <c r="C18716" t="s">
        <v>360</v>
      </c>
      <c r="D18716" t="s">
        <v>27</v>
      </c>
      <c r="E18716" t="s">
        <v>399</v>
      </c>
      <c r="F18716" s="2" t="str">
        <f>HYPERLINK("http://www.otzar.org/book.asp?170883","כונות פרטיות")</f>
        <v>כונות פרטיות</v>
      </c>
    </row>
    <row r="18717" spans="1:6" x14ac:dyDescent="0.2">
      <c r="A18717" t="s">
        <v>30694</v>
      </c>
      <c r="B18717" t="s">
        <v>5648</v>
      </c>
      <c r="C18717" t="s">
        <v>748</v>
      </c>
      <c r="D18717" t="s">
        <v>283</v>
      </c>
      <c r="E18717" t="s">
        <v>154</v>
      </c>
      <c r="F18717" s="2" t="str">
        <f>HYPERLINK("http://www.otzar.org/book.asp?24665","כונן הדעת")</f>
        <v>כונן הדעת</v>
      </c>
    </row>
    <row r="18718" spans="1:6" x14ac:dyDescent="0.2">
      <c r="A18718" t="s">
        <v>30695</v>
      </c>
      <c r="B18718" t="s">
        <v>10750</v>
      </c>
      <c r="C18718" t="s">
        <v>466</v>
      </c>
      <c r="D18718" t="s">
        <v>1180</v>
      </c>
      <c r="E18718" t="s">
        <v>786</v>
      </c>
      <c r="F18718" s="2" t="str">
        <f>HYPERLINK("http://www.otzar.org/book.asp?51446","כוננת מאז")</f>
        <v>כוננת מאז</v>
      </c>
    </row>
    <row r="18719" spans="1:6" x14ac:dyDescent="0.2">
      <c r="A18719" t="s">
        <v>30696</v>
      </c>
      <c r="B18719" t="s">
        <v>27807</v>
      </c>
      <c r="C18719" t="s">
        <v>313</v>
      </c>
      <c r="D18719" t="s">
        <v>14</v>
      </c>
      <c r="E18719" t="s">
        <v>674</v>
      </c>
      <c r="F18719" s="2" t="str">
        <f>HYPERLINK("http://www.otzar.org/book.asp?159687","כוננת מישרים")</f>
        <v>כוננת מישרים</v>
      </c>
    </row>
    <row r="18720" spans="1:6" x14ac:dyDescent="0.2">
      <c r="A18720" t="s">
        <v>30697</v>
      </c>
      <c r="B18720" t="s">
        <v>30698</v>
      </c>
      <c r="C18720" t="s">
        <v>71</v>
      </c>
      <c r="D18720" t="s">
        <v>412</v>
      </c>
      <c r="E18720" t="s">
        <v>2071</v>
      </c>
      <c r="F18720" s="2" t="str">
        <f>HYPERLINK("http://www.otzar.org/book.asp?163297","כונת הלב - 2 כר'")</f>
        <v>כונת הלב - 2 כר'</v>
      </c>
    </row>
    <row r="18721" spans="1:6" x14ac:dyDescent="0.2">
      <c r="A18721" t="s">
        <v>30699</v>
      </c>
      <c r="B18721" t="s">
        <v>30700</v>
      </c>
      <c r="C18721" t="s">
        <v>30701</v>
      </c>
      <c r="D18721" t="s">
        <v>9896</v>
      </c>
      <c r="E18721" t="s">
        <v>399</v>
      </c>
      <c r="F18721" s="2" t="str">
        <f>HYPERLINK("http://www.otzar.org/book.asp?166874","כונת המצות - קונטרס ב")</f>
        <v>כונת המצות - קונטרס ב</v>
      </c>
    </row>
    <row r="18722" spans="1:6" x14ac:dyDescent="0.2">
      <c r="A18722" t="s">
        <v>30702</v>
      </c>
      <c r="B18722" t="s">
        <v>30703</v>
      </c>
      <c r="C18722" t="s">
        <v>2274</v>
      </c>
      <c r="D18722" t="s">
        <v>49</v>
      </c>
      <c r="E18722" t="s">
        <v>30704</v>
      </c>
      <c r="F18722" s="2" t="str">
        <f>HYPERLINK("http://www.otzar.org/book.asp?104498","כונת שלמה - 2 כר'")</f>
        <v>כונת שלמה - 2 כר'</v>
      </c>
    </row>
    <row r="18723" spans="1:6" x14ac:dyDescent="0.2">
      <c r="A18723" t="s">
        <v>30705</v>
      </c>
      <c r="B18723" t="s">
        <v>30706</v>
      </c>
      <c r="C18723" t="s">
        <v>2644</v>
      </c>
      <c r="D18723" t="s">
        <v>352</v>
      </c>
      <c r="E18723" t="s">
        <v>144</v>
      </c>
      <c r="F18723" s="2" t="str">
        <f>HYPERLINK("http://www.otzar.org/book.asp?6779","כוס הישועות")</f>
        <v>כוס הישועות</v>
      </c>
    </row>
    <row r="18724" spans="1:6" x14ac:dyDescent="0.2">
      <c r="A18724" t="s">
        <v>30707</v>
      </c>
      <c r="B18724" t="s">
        <v>9096</v>
      </c>
      <c r="C18724" t="s">
        <v>433</v>
      </c>
      <c r="D18724" t="s">
        <v>9</v>
      </c>
      <c r="E18724" t="s">
        <v>246</v>
      </c>
      <c r="F18724" s="2" t="str">
        <f>HYPERLINK("http://www.otzar.org/book.asp?20203","כוס חמישי")</f>
        <v>כוס חמישי</v>
      </c>
    </row>
    <row r="18725" spans="1:6" x14ac:dyDescent="0.2">
      <c r="A18725" t="s">
        <v>30708</v>
      </c>
      <c r="B18725" t="s">
        <v>28797</v>
      </c>
      <c r="C18725" t="s">
        <v>1036</v>
      </c>
      <c r="D18725" t="s">
        <v>1008</v>
      </c>
      <c r="E18725" t="s">
        <v>104</v>
      </c>
      <c r="F18725" s="2" t="str">
        <f>HYPERLINK("http://www.otzar.org/book.asp?166805","כוס ישועה ונחמה")</f>
        <v>כוס ישועה ונחמה</v>
      </c>
    </row>
    <row r="18726" spans="1:6" x14ac:dyDescent="0.2">
      <c r="A18726" t="s">
        <v>30709</v>
      </c>
      <c r="B18726" t="s">
        <v>30710</v>
      </c>
      <c r="C18726" t="s">
        <v>445</v>
      </c>
      <c r="D18726" t="s">
        <v>283</v>
      </c>
      <c r="E18726" t="s">
        <v>14523</v>
      </c>
      <c r="F18726" s="2" t="str">
        <f>HYPERLINK("http://www.otzar.org/book.asp?101290","כוס ישועות - 2 כר'")</f>
        <v>כוס ישועות - 2 כר'</v>
      </c>
    </row>
    <row r="18727" spans="1:6" x14ac:dyDescent="0.2">
      <c r="A18727" t="s">
        <v>30711</v>
      </c>
      <c r="B18727" t="s">
        <v>30712</v>
      </c>
      <c r="C18727" t="s">
        <v>111</v>
      </c>
      <c r="D18727" t="s">
        <v>52</v>
      </c>
      <c r="E18727" t="s">
        <v>172</v>
      </c>
      <c r="F18727" s="2" t="str">
        <f>HYPERLINK("http://www.otzar.org/book.asp?623545","כוס ישועות")</f>
        <v>כוס ישועות</v>
      </c>
    </row>
    <row r="18728" spans="1:6" x14ac:dyDescent="0.2">
      <c r="A18728" t="s">
        <v>30711</v>
      </c>
      <c r="B18728" t="s">
        <v>3854</v>
      </c>
      <c r="C18728" t="s">
        <v>160</v>
      </c>
      <c r="D18728" t="s">
        <v>7894</v>
      </c>
      <c r="E18728" t="s">
        <v>130</v>
      </c>
      <c r="F18728" s="2" t="str">
        <f>HYPERLINK("http://www.otzar.org/book.asp?166354","כוס ישועות")</f>
        <v>כוס ישועות</v>
      </c>
    </row>
    <row r="18729" spans="1:6" x14ac:dyDescent="0.2">
      <c r="A18729" t="s">
        <v>30711</v>
      </c>
      <c r="B18729" t="s">
        <v>28797</v>
      </c>
      <c r="C18729" t="s">
        <v>1036</v>
      </c>
      <c r="D18729" t="s">
        <v>1023</v>
      </c>
      <c r="E18729" t="s">
        <v>1262</v>
      </c>
      <c r="F18729" s="2" t="str">
        <f>HYPERLINK("http://www.otzar.org/book.asp?102183","כוס ישועות")</f>
        <v>כוס ישועות</v>
      </c>
    </row>
    <row r="18730" spans="1:6" x14ac:dyDescent="0.2">
      <c r="A18730" t="s">
        <v>30713</v>
      </c>
      <c r="B18730" t="s">
        <v>30714</v>
      </c>
      <c r="C18730" t="s">
        <v>366</v>
      </c>
      <c r="D18730" t="s">
        <v>14</v>
      </c>
      <c r="E18730" t="s">
        <v>15</v>
      </c>
      <c r="F18730" s="2" t="str">
        <f>HYPERLINK("http://www.otzar.org/book.asp?606326","כוס של אליהו - טבילת כלים")</f>
        <v>כוס של אליהו - טבילת כלים</v>
      </c>
    </row>
    <row r="18731" spans="1:6" x14ac:dyDescent="0.2">
      <c r="A18731" t="s">
        <v>30715</v>
      </c>
      <c r="B18731" t="s">
        <v>4366</v>
      </c>
      <c r="C18731" t="s">
        <v>1310</v>
      </c>
      <c r="D18731" t="s">
        <v>739</v>
      </c>
      <c r="E18731" t="s">
        <v>241</v>
      </c>
      <c r="F18731" s="2" t="str">
        <f>HYPERLINK("http://www.otzar.org/book.asp?189483","כוס תנחומים")</f>
        <v>כוס תנחומים</v>
      </c>
    </row>
    <row r="18732" spans="1:6" x14ac:dyDescent="0.2">
      <c r="A18732" t="s">
        <v>30716</v>
      </c>
      <c r="B18732" t="s">
        <v>30717</v>
      </c>
      <c r="C18732" t="s">
        <v>13</v>
      </c>
      <c r="D18732" t="s">
        <v>1907</v>
      </c>
      <c r="E18732" t="s">
        <v>158</v>
      </c>
      <c r="F18732" s="2" t="str">
        <f>HYPERLINK("http://www.otzar.org/book.asp?159150","כוסי רויה - 3 כר'")</f>
        <v>כוסי רויה - 3 כר'</v>
      </c>
    </row>
    <row r="18733" spans="1:6" x14ac:dyDescent="0.2">
      <c r="A18733" t="s">
        <v>30718</v>
      </c>
      <c r="B18733" t="s">
        <v>30719</v>
      </c>
      <c r="C18733" t="s">
        <v>5912</v>
      </c>
      <c r="D18733" t="s">
        <v>1008</v>
      </c>
      <c r="E18733" t="s">
        <v>154</v>
      </c>
      <c r="F18733" s="2" t="str">
        <f>HYPERLINK("http://www.otzar.org/book.asp?28597","כור הבחינה משו""ת ודרשות משכן שיל""ה")</f>
        <v>כור הבחינה משו"ת ודרשות משכן שיל"ה</v>
      </c>
    </row>
    <row r="18734" spans="1:6" x14ac:dyDescent="0.2">
      <c r="A18734" t="s">
        <v>30720</v>
      </c>
      <c r="B18734" t="s">
        <v>30721</v>
      </c>
      <c r="C18734" t="s">
        <v>133</v>
      </c>
      <c r="D18734" t="s">
        <v>14</v>
      </c>
      <c r="F18734" s="2" t="str">
        <f>HYPERLINK("http://www.otzar.org/book.asp?622356","כור הברזל")</f>
        <v>כור הברזל</v>
      </c>
    </row>
    <row r="18735" spans="1:6" x14ac:dyDescent="0.2">
      <c r="A18735" t="s">
        <v>30722</v>
      </c>
      <c r="B18735" t="s">
        <v>30723</v>
      </c>
      <c r="C18735" t="s">
        <v>151</v>
      </c>
      <c r="D18735" t="s">
        <v>14</v>
      </c>
      <c r="E18735" t="s">
        <v>172</v>
      </c>
      <c r="F18735" s="2" t="str">
        <f>HYPERLINK("http://www.otzar.org/book.asp?623740","כור ההלכה - 11 כר'")</f>
        <v>כור ההלכה - 11 כר'</v>
      </c>
    </row>
    <row r="18736" spans="1:6" x14ac:dyDescent="0.2">
      <c r="A18736" t="s">
        <v>30724</v>
      </c>
      <c r="B18736" t="s">
        <v>686</v>
      </c>
      <c r="C18736" t="s">
        <v>37</v>
      </c>
      <c r="D18736" t="s">
        <v>14</v>
      </c>
      <c r="E18736" t="s">
        <v>104</v>
      </c>
      <c r="F18736" s="2" t="str">
        <f>HYPERLINK("http://www.otzar.org/book.asp?182731","כור הזהב")</f>
        <v>כור הזהב</v>
      </c>
    </row>
    <row r="18737" spans="1:6" x14ac:dyDescent="0.2">
      <c r="A18737" t="s">
        <v>30725</v>
      </c>
      <c r="B18737" t="s">
        <v>30726</v>
      </c>
      <c r="C18737" t="s">
        <v>383</v>
      </c>
      <c r="D18737" t="s">
        <v>14</v>
      </c>
      <c r="E18737" t="s">
        <v>15</v>
      </c>
      <c r="F18737" s="2" t="str">
        <f>HYPERLINK("http://www.otzar.org/book.asp?192884","כור המבחן &lt;מהדורה חדשה&gt; - 2 כר'")</f>
        <v>כור המבחן &lt;מהדורה חדשה&gt; - 2 כר'</v>
      </c>
    </row>
    <row r="18738" spans="1:6" x14ac:dyDescent="0.2">
      <c r="A18738" t="s">
        <v>30727</v>
      </c>
      <c r="B18738" t="s">
        <v>30728</v>
      </c>
      <c r="C18738" t="s">
        <v>785</v>
      </c>
      <c r="D18738" t="s">
        <v>52</v>
      </c>
      <c r="E18738" t="s">
        <v>144</v>
      </c>
      <c r="F18738" s="2" t="str">
        <f>HYPERLINK("http://www.otzar.org/book.asp?629128","כור המבחן - סנהדרין")</f>
        <v>כור המבחן - סנהדרין</v>
      </c>
    </row>
    <row r="18739" spans="1:6" x14ac:dyDescent="0.2">
      <c r="A18739" t="s">
        <v>30729</v>
      </c>
      <c r="B18739" t="s">
        <v>30730</v>
      </c>
      <c r="C18739" t="s">
        <v>1208</v>
      </c>
      <c r="D18739" t="s">
        <v>9909</v>
      </c>
      <c r="E18739" t="s">
        <v>144</v>
      </c>
      <c r="F18739" s="2" t="str">
        <f>HYPERLINK("http://www.otzar.org/book.asp?63687","כור המבחן - 2 כר'")</f>
        <v>כור המבחן - 2 כר'</v>
      </c>
    </row>
    <row r="18740" spans="1:6" x14ac:dyDescent="0.2">
      <c r="A18740" t="s">
        <v>30731</v>
      </c>
      <c r="B18740" t="s">
        <v>30726</v>
      </c>
      <c r="C18740" t="s">
        <v>956</v>
      </c>
      <c r="D18740" t="s">
        <v>14</v>
      </c>
      <c r="E18740" t="s">
        <v>730</v>
      </c>
      <c r="F18740" s="2" t="str">
        <f>HYPERLINK("http://www.otzar.org/book.asp?17452","כור המבחן - 3 כר'")</f>
        <v>כור המבחן - 3 כר'</v>
      </c>
    </row>
    <row r="18741" spans="1:6" x14ac:dyDescent="0.2">
      <c r="A18741" t="s">
        <v>30732</v>
      </c>
      <c r="B18741" t="s">
        <v>30733</v>
      </c>
      <c r="C18741" t="s">
        <v>133</v>
      </c>
      <c r="D18741" t="s">
        <v>14</v>
      </c>
      <c r="E18741" t="s">
        <v>84</v>
      </c>
      <c r="F18741" s="2" t="str">
        <f>HYPERLINK("http://www.otzar.org/book.asp?624482","כור המשנה - 7 כר'")</f>
        <v>כור המשנה - 7 כר'</v>
      </c>
    </row>
    <row r="18742" spans="1:6" x14ac:dyDescent="0.2">
      <c r="A18742" t="s">
        <v>30734</v>
      </c>
      <c r="B18742" t="s">
        <v>30735</v>
      </c>
      <c r="C18742" t="s">
        <v>286</v>
      </c>
      <c r="D18742" t="s">
        <v>27</v>
      </c>
      <c r="E18742" t="s">
        <v>579</v>
      </c>
      <c r="F18742" s="2" t="str">
        <f>HYPERLINK("http://www.otzar.org/book.asp?7598","כור זהב")</f>
        <v>כור זהב</v>
      </c>
    </row>
    <row r="18743" spans="1:6" x14ac:dyDescent="0.2">
      <c r="A18743" t="s">
        <v>30736</v>
      </c>
      <c r="B18743" t="s">
        <v>4925</v>
      </c>
      <c r="C18743" t="s">
        <v>30737</v>
      </c>
      <c r="D18743" t="s">
        <v>7163</v>
      </c>
      <c r="F18743" s="2" t="str">
        <f>HYPERLINK("http://www.otzar.org/book.asp?182209","כור לזהב - 2 כר'")</f>
        <v>כור לזהב - 2 כר'</v>
      </c>
    </row>
    <row r="18744" spans="1:6" x14ac:dyDescent="0.2">
      <c r="A18744" t="s">
        <v>30738</v>
      </c>
      <c r="B18744" t="s">
        <v>20679</v>
      </c>
      <c r="C18744" t="s">
        <v>20680</v>
      </c>
      <c r="D18744" t="s">
        <v>1833</v>
      </c>
      <c r="E18744" t="s">
        <v>241</v>
      </c>
      <c r="F18744" s="2" t="str">
        <f>HYPERLINK("http://www.otzar.org/book.asp?172984","כור לזהב")</f>
        <v>כור לזהב</v>
      </c>
    </row>
    <row r="18745" spans="1:6" x14ac:dyDescent="0.2">
      <c r="A18745" t="s">
        <v>30739</v>
      </c>
      <c r="B18745" t="s">
        <v>30740</v>
      </c>
      <c r="C18745" t="s">
        <v>15405</v>
      </c>
      <c r="D18745" t="s">
        <v>30741</v>
      </c>
      <c r="F18745" s="2" t="str">
        <f>HYPERLINK("http://www.otzar.org/book.asp?620375","כור מצרף האמונות ומראה האמת")</f>
        <v>כור מצרף האמונות ומראה האמת</v>
      </c>
    </row>
    <row r="18746" spans="1:6" x14ac:dyDescent="0.2">
      <c r="A18746" t="s">
        <v>30742</v>
      </c>
      <c r="B18746" t="s">
        <v>5622</v>
      </c>
      <c r="C18746" t="s">
        <v>617</v>
      </c>
      <c r="D18746" t="s">
        <v>267</v>
      </c>
      <c r="E18746" t="s">
        <v>30743</v>
      </c>
      <c r="F18746" s="2" t="str">
        <f>HYPERLINK("http://www.otzar.org/book.asp?100662","כורת הברית")</f>
        <v>כורת הברית</v>
      </c>
    </row>
    <row r="18747" spans="1:6" x14ac:dyDescent="0.2">
      <c r="A18747" t="s">
        <v>30744</v>
      </c>
      <c r="B18747" t="s">
        <v>30745</v>
      </c>
      <c r="C18747" t="s">
        <v>244</v>
      </c>
      <c r="D18747" t="s">
        <v>3560</v>
      </c>
      <c r="F18747" s="2" t="str">
        <f>HYPERLINK("http://www.otzar.org/book.asp?609764","כורתי בריתי עלי זבח")</f>
        <v>כורתי בריתי עלי זבח</v>
      </c>
    </row>
    <row r="18748" spans="1:6" x14ac:dyDescent="0.2">
      <c r="A18748" t="s">
        <v>30746</v>
      </c>
      <c r="B18748" t="s">
        <v>3035</v>
      </c>
      <c r="C18748" t="s">
        <v>1160</v>
      </c>
      <c r="D18748" t="s">
        <v>14</v>
      </c>
      <c r="E18748" t="s">
        <v>104</v>
      </c>
      <c r="F18748" s="2" t="str">
        <f>HYPERLINK("http://www.otzar.org/book.asp?23690","כותל מערבי")</f>
        <v>כותל מערבי</v>
      </c>
    </row>
    <row r="18749" spans="1:6" x14ac:dyDescent="0.2">
      <c r="A18749" t="s">
        <v>30747</v>
      </c>
      <c r="B18749" t="s">
        <v>30748</v>
      </c>
      <c r="C18749" t="s">
        <v>20</v>
      </c>
      <c r="D18749" t="s">
        <v>118</v>
      </c>
      <c r="E18749" t="s">
        <v>104</v>
      </c>
      <c r="F18749" s="2" t="str">
        <f>HYPERLINK("http://www.otzar.org/book.asp?12823","כזה ראה וחדש")</f>
        <v>כזה ראה וחדש</v>
      </c>
    </row>
    <row r="18750" spans="1:6" x14ac:dyDescent="0.2">
      <c r="A18750" t="s">
        <v>30749</v>
      </c>
      <c r="B18750" t="s">
        <v>30750</v>
      </c>
      <c r="C18750" t="s">
        <v>111</v>
      </c>
      <c r="D18750" t="s">
        <v>30751</v>
      </c>
      <c r="E18750" t="s">
        <v>154</v>
      </c>
      <c r="F18750" s="2" t="str">
        <f>HYPERLINK("http://www.otzar.org/book.asp?625816","כזוהר הרקיע")</f>
        <v>כזוהר הרקיע</v>
      </c>
    </row>
    <row r="18751" spans="1:6" x14ac:dyDescent="0.2">
      <c r="A18751" t="s">
        <v>30752</v>
      </c>
      <c r="B18751" t="s">
        <v>3834</v>
      </c>
      <c r="C18751" t="s">
        <v>244</v>
      </c>
      <c r="D18751" t="s">
        <v>14</v>
      </c>
      <c r="E18751" t="s">
        <v>104</v>
      </c>
      <c r="F18751" s="2" t="str">
        <f>HYPERLINK("http://www.otzar.org/book.asp?600639","כזית בזמננו")</f>
        <v>כזית בזמננו</v>
      </c>
    </row>
    <row r="18752" spans="1:6" x14ac:dyDescent="0.2">
      <c r="A18752" t="s">
        <v>30753</v>
      </c>
      <c r="B18752" t="s">
        <v>30754</v>
      </c>
      <c r="C18752" t="s">
        <v>383</v>
      </c>
      <c r="D18752" t="s">
        <v>14</v>
      </c>
      <c r="E18752" t="s">
        <v>15</v>
      </c>
      <c r="F18752" s="2" t="str">
        <f>HYPERLINK("http://www.otzar.org/book.asp?22086","כח בי""ד יפה")</f>
        <v>כח בי"ד יפה</v>
      </c>
    </row>
    <row r="18753" spans="1:6" x14ac:dyDescent="0.2">
      <c r="A18753" t="s">
        <v>30755</v>
      </c>
      <c r="B18753" t="s">
        <v>30756</v>
      </c>
      <c r="C18753" t="s">
        <v>151</v>
      </c>
      <c r="D18753" t="s">
        <v>90</v>
      </c>
      <c r="E18753" t="s">
        <v>144</v>
      </c>
      <c r="F18753" s="2" t="str">
        <f>HYPERLINK("http://www.otzar.org/book.asp?619209","כח הטענה")</f>
        <v>כח הטענה</v>
      </c>
    </row>
    <row r="18754" spans="1:6" x14ac:dyDescent="0.2">
      <c r="A18754" t="s">
        <v>30757</v>
      </c>
      <c r="B18754" t="s">
        <v>1443</v>
      </c>
      <c r="C18754" t="s">
        <v>23</v>
      </c>
      <c r="D18754" t="s">
        <v>1205</v>
      </c>
      <c r="E18754" t="s">
        <v>714</v>
      </c>
      <c r="F18754" s="2" t="str">
        <f>HYPERLINK("http://www.otzar.org/book.asp?194262","כח המוסר בדין")</f>
        <v>כח המוסר בדין</v>
      </c>
    </row>
    <row r="18755" spans="1:6" x14ac:dyDescent="0.2">
      <c r="A18755" t="s">
        <v>30758</v>
      </c>
      <c r="B18755" t="s">
        <v>30759</v>
      </c>
      <c r="C18755" t="s">
        <v>454</v>
      </c>
      <c r="D18755" t="s">
        <v>14</v>
      </c>
      <c r="E18755" t="s">
        <v>714</v>
      </c>
      <c r="F18755" s="2" t="str">
        <f>HYPERLINK("http://www.otzar.org/book.asp?50034","כח הפה היהודי")</f>
        <v>כח הפה היהודי</v>
      </c>
    </row>
    <row r="18756" spans="1:6" x14ac:dyDescent="0.2">
      <c r="A18756" t="s">
        <v>30760</v>
      </c>
      <c r="B18756" t="s">
        <v>30761</v>
      </c>
      <c r="C18756" t="s">
        <v>581</v>
      </c>
      <c r="D18756" t="s">
        <v>9</v>
      </c>
      <c r="E18756" t="s">
        <v>3567</v>
      </c>
      <c r="F18756" s="2" t="str">
        <f>HYPERLINK("http://www.otzar.org/book.asp?5914","כח התורה")</f>
        <v>כח התורה</v>
      </c>
    </row>
    <row r="18757" spans="1:6" x14ac:dyDescent="0.2">
      <c r="A18757" t="s">
        <v>30762</v>
      </c>
      <c r="B18757" t="s">
        <v>922</v>
      </c>
      <c r="C18757" t="s">
        <v>533</v>
      </c>
      <c r="D18757" t="s">
        <v>14</v>
      </c>
      <c r="E18757" t="s">
        <v>15</v>
      </c>
      <c r="F18757" s="2" t="str">
        <f>HYPERLINK("http://www.otzar.org/book.asp?144230","כח התשובה")</f>
        <v>כח התשובה</v>
      </c>
    </row>
    <row r="18758" spans="1:6" x14ac:dyDescent="0.2">
      <c r="A18758" t="s">
        <v>30763</v>
      </c>
      <c r="B18758" t="s">
        <v>30764</v>
      </c>
      <c r="C18758" t="s">
        <v>466</v>
      </c>
      <c r="D18758" t="s">
        <v>52</v>
      </c>
      <c r="E18758" t="s">
        <v>1072</v>
      </c>
      <c r="F18758" s="2" t="str">
        <f>HYPERLINK("http://www.otzar.org/book.asp?603727","כח ליעף - ביצה")</f>
        <v>כח ליעף - ביצה</v>
      </c>
    </row>
    <row r="18759" spans="1:6" x14ac:dyDescent="0.2">
      <c r="A18759" t="s">
        <v>30765</v>
      </c>
      <c r="B18759" t="s">
        <v>30766</v>
      </c>
      <c r="C18759" t="s">
        <v>313</v>
      </c>
      <c r="D18759" t="s">
        <v>21</v>
      </c>
      <c r="E18759" t="s">
        <v>144</v>
      </c>
      <c r="F18759" s="2" t="str">
        <f>HYPERLINK("http://www.otzar.org/book.asp?195469","כח מחיצות")</f>
        <v>כח מחיצות</v>
      </c>
    </row>
    <row r="18760" spans="1:6" x14ac:dyDescent="0.2">
      <c r="A18760" t="s">
        <v>30767</v>
      </c>
      <c r="B18760" t="s">
        <v>21373</v>
      </c>
      <c r="C18760" t="s">
        <v>99</v>
      </c>
      <c r="D18760" t="s">
        <v>9</v>
      </c>
      <c r="E18760" t="s">
        <v>733</v>
      </c>
      <c r="F18760" s="2" t="str">
        <f>HYPERLINK("http://www.otzar.org/book.asp?6431","כח מכתבי קודש")</f>
        <v>כח מכתבי קודש</v>
      </c>
    </row>
    <row r="18761" spans="1:6" x14ac:dyDescent="0.2">
      <c r="A18761" t="s">
        <v>30768</v>
      </c>
      <c r="B18761" t="s">
        <v>10973</v>
      </c>
      <c r="C18761" t="s">
        <v>1284</v>
      </c>
      <c r="D18761" t="s">
        <v>27</v>
      </c>
      <c r="E18761" t="s">
        <v>30769</v>
      </c>
      <c r="F18761" s="2" t="str">
        <f>HYPERLINK("http://www.otzar.org/book.asp?103373","כח מעשיו הגיד לעמו")</f>
        <v>כח מעשיו הגיד לעמו</v>
      </c>
    </row>
    <row r="18762" spans="1:6" x14ac:dyDescent="0.2">
      <c r="A18762" t="s">
        <v>30770</v>
      </c>
      <c r="B18762" t="s">
        <v>30771</v>
      </c>
      <c r="C18762" t="s">
        <v>176</v>
      </c>
      <c r="D18762" t="s">
        <v>21</v>
      </c>
      <c r="F18762" s="2" t="str">
        <f>HYPERLINK("http://www.otzar.org/book.asp?198431","כח מעשיו")</f>
        <v>כח מעשיו</v>
      </c>
    </row>
    <row r="18763" spans="1:6" x14ac:dyDescent="0.2">
      <c r="A18763" t="s">
        <v>30770</v>
      </c>
      <c r="B18763" t="s">
        <v>30772</v>
      </c>
      <c r="C18763" t="s">
        <v>151</v>
      </c>
      <c r="D18763" t="s">
        <v>423</v>
      </c>
      <c r="E18763" t="s">
        <v>5712</v>
      </c>
      <c r="F18763" s="2" t="str">
        <f>HYPERLINK("http://www.otzar.org/book.asp?623516","כח מעשיו")</f>
        <v>כח מעשיו</v>
      </c>
    </row>
    <row r="18764" spans="1:6" x14ac:dyDescent="0.2">
      <c r="A18764" t="s">
        <v>30773</v>
      </c>
      <c r="B18764" t="s">
        <v>30774</v>
      </c>
      <c r="C18764" t="s">
        <v>429</v>
      </c>
      <c r="D18764" t="s">
        <v>6238</v>
      </c>
      <c r="F18764" s="2" t="str">
        <f>HYPERLINK("http://www.otzar.org/book.asp?174353","כח שור")</f>
        <v>כח שור</v>
      </c>
    </row>
    <row r="18765" spans="1:6" x14ac:dyDescent="0.2">
      <c r="A18765" t="s">
        <v>30773</v>
      </c>
      <c r="B18765" t="s">
        <v>23629</v>
      </c>
      <c r="C18765" t="s">
        <v>5308</v>
      </c>
      <c r="D18765" t="s">
        <v>4539</v>
      </c>
      <c r="E18765" t="s">
        <v>1211</v>
      </c>
      <c r="F18765" s="2" t="str">
        <f>HYPERLINK("http://www.otzar.org/book.asp?15934","כח שור")</f>
        <v>כח שור</v>
      </c>
    </row>
    <row r="18766" spans="1:6" x14ac:dyDescent="0.2">
      <c r="A18766" t="s">
        <v>30775</v>
      </c>
      <c r="B18766" t="s">
        <v>3240</v>
      </c>
      <c r="C18766" t="s">
        <v>13</v>
      </c>
      <c r="D18766" t="s">
        <v>367</v>
      </c>
      <c r="E18766" t="s">
        <v>241</v>
      </c>
      <c r="F18766" s="2" t="str">
        <f>HYPERLINK("http://www.otzar.org/book.asp?608238","כחה של תפילה")</f>
        <v>כחה של תפילה</v>
      </c>
    </row>
    <row r="18767" spans="1:6" x14ac:dyDescent="0.2">
      <c r="A18767" t="s">
        <v>30776</v>
      </c>
      <c r="B18767" t="s">
        <v>1809</v>
      </c>
      <c r="C18767" t="s">
        <v>20</v>
      </c>
      <c r="D18767" t="s">
        <v>2347</v>
      </c>
      <c r="F18767" s="2" t="str">
        <f>HYPERLINK("http://www.otzar.org/book.asp?104921","כחו דרבי אלעזר ברשב""י")</f>
        <v>כחו דרבי אלעזר ברשב"י</v>
      </c>
    </row>
    <row r="18768" spans="1:6" x14ac:dyDescent="0.2">
      <c r="A18768" t="s">
        <v>30777</v>
      </c>
      <c r="B18768" t="s">
        <v>1809</v>
      </c>
      <c r="C18768" t="s">
        <v>79</v>
      </c>
      <c r="D18768" t="s">
        <v>27</v>
      </c>
      <c r="E18768" t="s">
        <v>1318</v>
      </c>
      <c r="F18768" s="2" t="str">
        <f>HYPERLINK("http://www.otzar.org/book.asp?10318","כחו דרשב""י")</f>
        <v>כחו דרשב"י</v>
      </c>
    </row>
    <row r="18769" spans="1:6" x14ac:dyDescent="0.2">
      <c r="A18769" t="s">
        <v>30778</v>
      </c>
      <c r="B18769" t="s">
        <v>6014</v>
      </c>
      <c r="C18769" t="s">
        <v>23</v>
      </c>
      <c r="D18769" t="s">
        <v>115</v>
      </c>
      <c r="E18769" t="s">
        <v>226</v>
      </c>
      <c r="F18769" s="2" t="str">
        <f>HYPERLINK("http://www.otzar.org/book.asp?611357","כחותם על לבי - על אדמו""ר מסד""ג")</f>
        <v>כחותם על לבי - על אדמו"ר מסד"ג</v>
      </c>
    </row>
    <row r="18770" spans="1:6" x14ac:dyDescent="0.2">
      <c r="A18770" t="s">
        <v>30779</v>
      </c>
      <c r="B18770" t="s">
        <v>30780</v>
      </c>
      <c r="C18770" t="s">
        <v>411</v>
      </c>
      <c r="D18770" t="s">
        <v>52</v>
      </c>
      <c r="E18770" t="s">
        <v>1164</v>
      </c>
      <c r="F18770" s="2" t="str">
        <f>HYPERLINK("http://www.otzar.org/book.asp?167133","כחתן יכהן פאר")</f>
        <v>כחתן יכהן פאר</v>
      </c>
    </row>
    <row r="18771" spans="1:6" x14ac:dyDescent="0.2">
      <c r="A18771" t="s">
        <v>30781</v>
      </c>
      <c r="B18771" t="s">
        <v>4751</v>
      </c>
      <c r="C18771" t="s">
        <v>411</v>
      </c>
      <c r="D18771" t="s">
        <v>14</v>
      </c>
      <c r="E18771" t="s">
        <v>15</v>
      </c>
      <c r="F18771" s="2" t="str">
        <f>HYPERLINK("http://www.otzar.org/book.asp?167786","כחתן יכהן פאר - סדר החופה וברכותיה")</f>
        <v>כחתן יכהן פאר - סדר החופה וברכותיה</v>
      </c>
    </row>
    <row r="18772" spans="1:6" x14ac:dyDescent="0.2">
      <c r="A18772" t="s">
        <v>30779</v>
      </c>
      <c r="B18772" t="s">
        <v>10797</v>
      </c>
      <c r="C18772" t="s">
        <v>23</v>
      </c>
      <c r="D18772" t="s">
        <v>1156</v>
      </c>
      <c r="F18772" s="2" t="str">
        <f>HYPERLINK("http://www.otzar.org/book.asp?612692","כחתן יכהן פאר")</f>
        <v>כחתן יכהן פאר</v>
      </c>
    </row>
    <row r="18773" spans="1:6" x14ac:dyDescent="0.2">
      <c r="A18773" t="s">
        <v>30779</v>
      </c>
      <c r="B18773" t="s">
        <v>30782</v>
      </c>
      <c r="E18773" t="s">
        <v>140</v>
      </c>
      <c r="F18773" s="2" t="str">
        <f>HYPERLINK("http://www.otzar.org/book.asp?620694","כחתן יכהן פאר")</f>
        <v>כחתן יכהן פאר</v>
      </c>
    </row>
    <row r="18774" spans="1:6" x14ac:dyDescent="0.2">
      <c r="A18774" t="s">
        <v>30783</v>
      </c>
      <c r="B18774" t="s">
        <v>11629</v>
      </c>
      <c r="C18774" t="s">
        <v>244</v>
      </c>
      <c r="D18774" t="s">
        <v>52</v>
      </c>
      <c r="E18774" t="s">
        <v>10</v>
      </c>
      <c r="F18774" s="2" t="str">
        <f>HYPERLINK("http://www.otzar.org/book.asp?617436","כטל אמרתי - ב")</f>
        <v>כטל אמרתי - ב</v>
      </c>
    </row>
    <row r="18775" spans="1:6" x14ac:dyDescent="0.2">
      <c r="A18775" t="s">
        <v>30784</v>
      </c>
      <c r="B18775" t="s">
        <v>8642</v>
      </c>
      <c r="C18775" t="s">
        <v>466</v>
      </c>
      <c r="D18775" t="s">
        <v>52</v>
      </c>
      <c r="E18775" t="s">
        <v>241</v>
      </c>
      <c r="F18775" s="2" t="str">
        <f>HYPERLINK("http://www.otzar.org/book.asp?83705","כי אליך אתפלל")</f>
        <v>כי אליך אתפלל</v>
      </c>
    </row>
    <row r="18776" spans="1:6" x14ac:dyDescent="0.2">
      <c r="A18776" t="s">
        <v>30785</v>
      </c>
      <c r="B18776" t="s">
        <v>30786</v>
      </c>
      <c r="C18776" t="s">
        <v>189</v>
      </c>
      <c r="D18776" t="s">
        <v>14</v>
      </c>
      <c r="E18776" t="s">
        <v>4333</v>
      </c>
      <c r="F18776" s="2" t="str">
        <f>HYPERLINK("http://www.otzar.org/book.asp?63735","כי אם ברוחי")</f>
        <v>כי אם ברוחי</v>
      </c>
    </row>
    <row r="18777" spans="1:6" x14ac:dyDescent="0.2">
      <c r="A18777" t="s">
        <v>30787</v>
      </c>
      <c r="B18777" t="s">
        <v>8337</v>
      </c>
      <c r="C18777" t="s">
        <v>20</v>
      </c>
      <c r="D18777" t="s">
        <v>9</v>
      </c>
      <c r="E18777" t="s">
        <v>104</v>
      </c>
      <c r="F18777" s="2" t="str">
        <f>HYPERLINK("http://www.otzar.org/book.asp?176731","כי אם לבינה תקרא")</f>
        <v>כי אם לבינה תקרא</v>
      </c>
    </row>
    <row r="18778" spans="1:6" x14ac:dyDescent="0.2">
      <c r="A18778" t="s">
        <v>30788</v>
      </c>
      <c r="B18778" t="s">
        <v>13110</v>
      </c>
      <c r="C18778" t="s">
        <v>533</v>
      </c>
      <c r="D18778" t="s">
        <v>115</v>
      </c>
      <c r="E18778" t="s">
        <v>119</v>
      </c>
      <c r="F18778" s="2" t="str">
        <f>HYPERLINK("http://www.otzar.org/book.asp?158359","כי אם - לדמותו של הגאון רבי מרדכי שולמן")</f>
        <v>כי אם - לדמותו של הגאון רבי מרדכי שולמן</v>
      </c>
    </row>
    <row r="18779" spans="1:6" x14ac:dyDescent="0.2">
      <c r="A18779" t="s">
        <v>30789</v>
      </c>
      <c r="B18779" t="s">
        <v>9120</v>
      </c>
      <c r="C18779" t="s">
        <v>114</v>
      </c>
      <c r="D18779" t="s">
        <v>21</v>
      </c>
      <c r="E18779" t="s">
        <v>241</v>
      </c>
      <c r="F18779" s="2" t="str">
        <f>HYPERLINK("http://www.otzar.org/book.asp?603596","כי אתה עמדי - 11 כר'")</f>
        <v>כי אתה עמדי - 11 כר'</v>
      </c>
    </row>
    <row r="18780" spans="1:6" x14ac:dyDescent="0.2">
      <c r="A18780" t="s">
        <v>30790</v>
      </c>
      <c r="B18780" t="s">
        <v>30791</v>
      </c>
      <c r="C18780" t="s">
        <v>133</v>
      </c>
      <c r="D18780" t="s">
        <v>30792</v>
      </c>
      <c r="E18780" t="s">
        <v>144</v>
      </c>
      <c r="F18780" s="2" t="str">
        <f>HYPERLINK("http://www.otzar.org/book.asp?193633","כי בא מועד - מו""ק")</f>
        <v>כי בא מועד - מו"ק</v>
      </c>
    </row>
    <row r="18781" spans="1:6" x14ac:dyDescent="0.2">
      <c r="A18781" t="s">
        <v>30793</v>
      </c>
      <c r="B18781" t="s">
        <v>11908</v>
      </c>
      <c r="C18781" t="s">
        <v>68</v>
      </c>
      <c r="D18781" t="s">
        <v>14</v>
      </c>
      <c r="E18781" t="s">
        <v>130</v>
      </c>
      <c r="F18781" s="2" t="str">
        <f>HYPERLINK("http://www.otzar.org/book.asp?156466","כי בא מועד - &lt;מהדורה ישנה&gt; ד' תעניות ובין המצרים")</f>
        <v>כי בא מועד - &lt;מהדורה ישנה&gt; ד' תעניות ובין המצרים</v>
      </c>
    </row>
    <row r="18782" spans="1:6" x14ac:dyDescent="0.2">
      <c r="A18782" t="s">
        <v>30794</v>
      </c>
      <c r="B18782" t="s">
        <v>13716</v>
      </c>
      <c r="C18782" t="s">
        <v>3906</v>
      </c>
      <c r="D18782" t="s">
        <v>27</v>
      </c>
      <c r="E18782" t="s">
        <v>202</v>
      </c>
      <c r="F18782" s="2" t="str">
        <f>HYPERLINK("http://www.otzar.org/book.asp?18933","כי ביצחק - 2 כר'")</f>
        <v>כי ביצחק - 2 כר'</v>
      </c>
    </row>
    <row r="18783" spans="1:6" x14ac:dyDescent="0.2">
      <c r="A18783" t="s">
        <v>30795</v>
      </c>
      <c r="B18783" t="s">
        <v>9037</v>
      </c>
      <c r="C18783" t="s">
        <v>114</v>
      </c>
      <c r="D18783" t="s">
        <v>412</v>
      </c>
      <c r="F18783" s="2" t="str">
        <f>HYPERLINK("http://www.otzar.org/book.asp?181860","כי בם חייתני")</f>
        <v>כי בם חייתני</v>
      </c>
    </row>
    <row r="18784" spans="1:6" x14ac:dyDescent="0.2">
      <c r="A18784" t="s">
        <v>30796</v>
      </c>
      <c r="B18784" t="s">
        <v>7031</v>
      </c>
      <c r="C18784" t="s">
        <v>133</v>
      </c>
      <c r="D18784" t="s">
        <v>52</v>
      </c>
      <c r="E18784" t="s">
        <v>104</v>
      </c>
      <c r="F18784" s="2" t="str">
        <f>HYPERLINK("http://www.otzar.org/book.asp?175514","כי במקלי")</f>
        <v>כי במקלי</v>
      </c>
    </row>
    <row r="18785" spans="1:6" x14ac:dyDescent="0.2">
      <c r="A18785" t="s">
        <v>30797</v>
      </c>
      <c r="B18785" t="s">
        <v>30798</v>
      </c>
      <c r="C18785" t="s">
        <v>3138</v>
      </c>
      <c r="D18785" t="s">
        <v>100</v>
      </c>
      <c r="E18785" t="s">
        <v>30799</v>
      </c>
      <c r="F18785" s="2" t="str">
        <f>HYPERLINK("http://www.otzar.org/book.asp?101763","כי האדם עץ השדה")</f>
        <v>כי האדם עץ השדה</v>
      </c>
    </row>
    <row r="18786" spans="1:6" x14ac:dyDescent="0.2">
      <c r="A18786" t="s">
        <v>30800</v>
      </c>
      <c r="B18786" t="s">
        <v>10819</v>
      </c>
      <c r="C18786" t="s">
        <v>146</v>
      </c>
      <c r="D18786" t="s">
        <v>14</v>
      </c>
      <c r="E18786" t="s">
        <v>104</v>
      </c>
      <c r="F18786" s="2" t="str">
        <f>HYPERLINK("http://www.otzar.org/book.asp?52948","כי היא חכמתכם")</f>
        <v>כי היא חכמתכם</v>
      </c>
    </row>
    <row r="18787" spans="1:6" x14ac:dyDescent="0.2">
      <c r="A18787" t="s">
        <v>30801</v>
      </c>
      <c r="B18787" t="s">
        <v>30802</v>
      </c>
      <c r="C18787" t="s">
        <v>13</v>
      </c>
      <c r="D18787" t="s">
        <v>3560</v>
      </c>
      <c r="E18787" t="s">
        <v>241</v>
      </c>
      <c r="F18787" s="2" t="str">
        <f>HYPERLINK("http://www.otzar.org/book.asp?193037","כי הם חיינו - 2 כר'")</f>
        <v>כי הם חיינו - 2 כר'</v>
      </c>
    </row>
    <row r="18788" spans="1:6" x14ac:dyDescent="0.2">
      <c r="A18788" t="s">
        <v>30803</v>
      </c>
      <c r="B18788" t="s">
        <v>107</v>
      </c>
      <c r="C18788" t="s">
        <v>20</v>
      </c>
      <c r="D18788" t="s">
        <v>14</v>
      </c>
      <c r="E18788" t="s">
        <v>241</v>
      </c>
      <c r="F18788" s="2" t="str">
        <f>HYPERLINK("http://www.otzar.org/book.asp?164066","כי הם חיינו")</f>
        <v>כי הם חיינו</v>
      </c>
    </row>
    <row r="18789" spans="1:6" x14ac:dyDescent="0.2">
      <c r="A18789" t="s">
        <v>30803</v>
      </c>
      <c r="B18789" t="s">
        <v>8274</v>
      </c>
      <c r="C18789" t="s">
        <v>23</v>
      </c>
      <c r="D18789" t="s">
        <v>5798</v>
      </c>
      <c r="E18789" t="s">
        <v>241</v>
      </c>
      <c r="F18789" s="2" t="str">
        <f>HYPERLINK("http://www.otzar.org/book.asp?605363","כי הם חיינו")</f>
        <v>כי הם חיינו</v>
      </c>
    </row>
    <row r="18790" spans="1:6" x14ac:dyDescent="0.2">
      <c r="A18790" t="s">
        <v>30804</v>
      </c>
      <c r="B18790" t="s">
        <v>9096</v>
      </c>
      <c r="C18790" t="s">
        <v>26</v>
      </c>
      <c r="D18790" t="s">
        <v>14</v>
      </c>
      <c r="E18790" t="s">
        <v>144</v>
      </c>
      <c r="F18790" s="2" t="str">
        <f>HYPERLINK("http://www.otzar.org/book.asp?151245","כי יונית כ""ף יונית")</f>
        <v>כי יונית כ"ף יונית</v>
      </c>
    </row>
    <row r="18791" spans="1:6" x14ac:dyDescent="0.2">
      <c r="A18791" t="s">
        <v>30805</v>
      </c>
      <c r="B18791" t="s">
        <v>2396</v>
      </c>
      <c r="C18791" t="s">
        <v>151</v>
      </c>
      <c r="D18791" t="s">
        <v>1076</v>
      </c>
      <c r="E18791" t="s">
        <v>13627</v>
      </c>
      <c r="F18791" s="2" t="str">
        <f>HYPERLINK("http://www.otzar.org/book.asp?617290","כי לעולם חסדו - בסוגיות הש""ס")</f>
        <v>כי לעולם חסדו - בסוגיות הש"ס</v>
      </c>
    </row>
    <row r="18792" spans="1:6" x14ac:dyDescent="0.2">
      <c r="A18792" t="s">
        <v>30806</v>
      </c>
      <c r="B18792" t="s">
        <v>20092</v>
      </c>
      <c r="C18792" t="s">
        <v>23</v>
      </c>
      <c r="D18792" t="s">
        <v>52</v>
      </c>
      <c r="E18792" t="s">
        <v>158</v>
      </c>
      <c r="F18792" s="2" t="str">
        <f>HYPERLINK("http://www.otzar.org/book.asp?610748","כי מציון תצא תורה")</f>
        <v>כי מציון תצא תורה</v>
      </c>
    </row>
    <row r="18793" spans="1:6" x14ac:dyDescent="0.2">
      <c r="A18793" t="s">
        <v>30807</v>
      </c>
      <c r="B18793" t="s">
        <v>30808</v>
      </c>
      <c r="C18793" t="s">
        <v>244</v>
      </c>
      <c r="F18793" s="2" t="str">
        <f>HYPERLINK("http://www.otzar.org/book.asp?601048","כי מתאמצת")</f>
        <v>כי מתאמצת</v>
      </c>
    </row>
    <row r="18794" spans="1:6" x14ac:dyDescent="0.2">
      <c r="A18794" t="s">
        <v>30809</v>
      </c>
      <c r="B18794" t="s">
        <v>30810</v>
      </c>
      <c r="C18794" t="s">
        <v>366</v>
      </c>
      <c r="D18794" t="s">
        <v>90</v>
      </c>
      <c r="E18794" t="s">
        <v>246</v>
      </c>
      <c r="F18794" s="2" t="str">
        <f>HYPERLINK("http://www.otzar.org/book.asp?626744","כי עץ נשא פריו")</f>
        <v>כי עץ נשא פריו</v>
      </c>
    </row>
    <row r="18795" spans="1:6" x14ac:dyDescent="0.2">
      <c r="A18795" t="s">
        <v>30811</v>
      </c>
      <c r="B18795" t="s">
        <v>206</v>
      </c>
      <c r="D18795" t="s">
        <v>486</v>
      </c>
      <c r="E18795" t="s">
        <v>15</v>
      </c>
      <c r="F18795" s="2" t="str">
        <f>HYPERLINK("http://www.otzar.org/book.asp?624712","כי תצא למלחמה")</f>
        <v>כי תצא למלחמה</v>
      </c>
    </row>
    <row r="18796" spans="1:6" x14ac:dyDescent="0.2">
      <c r="A18796" t="s">
        <v>30812</v>
      </c>
      <c r="B18796" t="s">
        <v>17175</v>
      </c>
      <c r="C18796" t="s">
        <v>454</v>
      </c>
      <c r="D18796" t="s">
        <v>52</v>
      </c>
      <c r="E18796" t="s">
        <v>15</v>
      </c>
      <c r="F18796" s="2" t="str">
        <f>HYPERLINK("http://www.otzar.org/book.asp?26358","כיבוד אב ואם ומוראם")</f>
        <v>כיבוד אב ואם ומוראם</v>
      </c>
    </row>
    <row r="18797" spans="1:6" x14ac:dyDescent="0.2">
      <c r="A18797" t="s">
        <v>30813</v>
      </c>
      <c r="B18797" t="s">
        <v>30814</v>
      </c>
      <c r="C18797" t="s">
        <v>146</v>
      </c>
      <c r="D18797" t="s">
        <v>52</v>
      </c>
      <c r="E18797" t="s">
        <v>15</v>
      </c>
      <c r="F18797" s="2" t="str">
        <f>HYPERLINK("http://www.otzar.org/book.asp?26786","כיבוד אב ואם - זכר יצחק")</f>
        <v>כיבוד אב ואם - זכר יצחק</v>
      </c>
    </row>
    <row r="18798" spans="1:6" x14ac:dyDescent="0.2">
      <c r="A18798" t="s">
        <v>30815</v>
      </c>
      <c r="B18798" t="s">
        <v>5305</v>
      </c>
      <c r="C18798" t="s">
        <v>366</v>
      </c>
      <c r="D18798" t="s">
        <v>52</v>
      </c>
      <c r="E18798" t="s">
        <v>15</v>
      </c>
      <c r="F18798" s="2" t="str">
        <f>HYPERLINK("http://www.otzar.org/book.asp?622029","כיבוד הורים בהלכה ובאגדה")</f>
        <v>כיבוד הורים בהלכה ובאגדה</v>
      </c>
    </row>
    <row r="18799" spans="1:6" x14ac:dyDescent="0.2">
      <c r="A18799" t="s">
        <v>30816</v>
      </c>
      <c r="B18799" t="s">
        <v>19305</v>
      </c>
      <c r="C18799" t="s">
        <v>940</v>
      </c>
      <c r="D18799" t="s">
        <v>14</v>
      </c>
      <c r="E18799" t="s">
        <v>15</v>
      </c>
      <c r="F18799" s="2" t="str">
        <f>HYPERLINK("http://www.otzar.org/book.asp?61091","כיבוד ומורא")</f>
        <v>כיבוד ומורא</v>
      </c>
    </row>
    <row r="18800" spans="1:6" x14ac:dyDescent="0.2">
      <c r="A18800" t="s">
        <v>30817</v>
      </c>
      <c r="B18800" t="s">
        <v>30818</v>
      </c>
      <c r="C18800" t="s">
        <v>17</v>
      </c>
      <c r="D18800" t="s">
        <v>657</v>
      </c>
      <c r="E18800" t="s">
        <v>144</v>
      </c>
      <c r="F18800" s="2" t="str">
        <f>HYPERLINK("http://www.otzar.org/book.asp?160570","כיד המלך - אסתר - ציונים עמ""ס מגילה")</f>
        <v>כיד המלך - אסתר - ציונים עמ"ס מגילה</v>
      </c>
    </row>
    <row r="18801" spans="1:6" x14ac:dyDescent="0.2">
      <c r="A18801" t="s">
        <v>30819</v>
      </c>
      <c r="B18801" t="s">
        <v>30820</v>
      </c>
      <c r="C18801" t="s">
        <v>1844</v>
      </c>
      <c r="D18801" t="s">
        <v>212</v>
      </c>
      <c r="E18801" t="s">
        <v>213</v>
      </c>
      <c r="F18801" s="2" t="str">
        <f>HYPERLINK("http://www.otzar.org/book.asp?168096","כיום יאיר - 2 כר'")</f>
        <v>כיום יאיר - 2 כר'</v>
      </c>
    </row>
    <row r="18802" spans="1:6" x14ac:dyDescent="0.2">
      <c r="A18802" t="s">
        <v>30821</v>
      </c>
      <c r="B18802" t="s">
        <v>30822</v>
      </c>
      <c r="C18802" t="s">
        <v>13</v>
      </c>
      <c r="D18802" t="s">
        <v>367</v>
      </c>
      <c r="F18802" s="2" t="str">
        <f>HYPERLINK("http://www.otzar.org/book.asp?613055","כיום יאיר - 4 כר'")</f>
        <v>כיום יאיר - 4 כר'</v>
      </c>
    </row>
    <row r="18803" spans="1:6" x14ac:dyDescent="0.2">
      <c r="A18803" t="s">
        <v>30823</v>
      </c>
      <c r="B18803" t="s">
        <v>9314</v>
      </c>
      <c r="C18803" t="s">
        <v>68</v>
      </c>
      <c r="D18803" t="s">
        <v>14</v>
      </c>
      <c r="E18803" t="s">
        <v>230</v>
      </c>
      <c r="F18803" s="2" t="str">
        <f>HYPERLINK("http://www.otzar.org/book.asp?628060","כיונה מארץ אשור")</f>
        <v>כיונה מארץ אשור</v>
      </c>
    </row>
    <row r="18804" spans="1:6" x14ac:dyDescent="0.2">
      <c r="A18804" t="s">
        <v>30824</v>
      </c>
      <c r="B18804" t="s">
        <v>686</v>
      </c>
      <c r="C18804" t="s">
        <v>37</v>
      </c>
      <c r="D18804" t="s">
        <v>52</v>
      </c>
      <c r="E18804" t="s">
        <v>104</v>
      </c>
      <c r="F18804" s="2" t="str">
        <f>HYPERLINK("http://www.otzar.org/book.asp?182739","כיין לבנון")</f>
        <v>כיין לבנון</v>
      </c>
    </row>
    <row r="18805" spans="1:6" x14ac:dyDescent="0.2">
      <c r="A18805" t="s">
        <v>30825</v>
      </c>
      <c r="B18805" t="s">
        <v>5470</v>
      </c>
      <c r="C18805" t="s">
        <v>20</v>
      </c>
      <c r="D18805" t="s">
        <v>412</v>
      </c>
      <c r="E18805" t="s">
        <v>130</v>
      </c>
      <c r="F18805" s="2" t="str">
        <f>HYPERLINK("http://www.otzar.org/book.asp?173238","כיסו וכוסו")</f>
        <v>כיסו וכוסו</v>
      </c>
    </row>
    <row r="18806" spans="1:6" x14ac:dyDescent="0.2">
      <c r="A18806" t="s">
        <v>30826</v>
      </c>
      <c r="B18806" t="s">
        <v>20737</v>
      </c>
      <c r="C18806" t="s">
        <v>51</v>
      </c>
      <c r="D18806" t="s">
        <v>14</v>
      </c>
      <c r="E18806" t="s">
        <v>15</v>
      </c>
      <c r="F18806" s="2" t="str">
        <f>HYPERLINK("http://www.otzar.org/book.asp?108448","כיסוי הראש כהלכה וכיפה כהלכה")</f>
        <v>כיסוי הראש כהלכה וכיפה כהלכה</v>
      </c>
    </row>
    <row r="18807" spans="1:6" x14ac:dyDescent="0.2">
      <c r="A18807" t="s">
        <v>30827</v>
      </c>
      <c r="B18807" t="s">
        <v>30828</v>
      </c>
      <c r="C18807" t="s">
        <v>160</v>
      </c>
      <c r="D18807" t="s">
        <v>592</v>
      </c>
      <c r="E18807" t="s">
        <v>15</v>
      </c>
      <c r="F18807" s="2" t="str">
        <f>HYPERLINK("http://www.otzar.org/book.asp?624909","כיצד אטפל בילדי בשבת ובחג - 2 כר'")</f>
        <v>כיצד אטפל בילדי בשבת ובחג - 2 כר'</v>
      </c>
    </row>
    <row r="18808" spans="1:6" x14ac:dyDescent="0.2">
      <c r="A18808" t="s">
        <v>30829</v>
      </c>
      <c r="B18808" t="s">
        <v>27129</v>
      </c>
      <c r="C18808" t="s">
        <v>111</v>
      </c>
      <c r="D18808" t="s">
        <v>14</v>
      </c>
      <c r="E18808" t="s">
        <v>104</v>
      </c>
      <c r="F18808" s="2" t="str">
        <f>HYPERLINK("http://www.otzar.org/book.asp?625436","כיצד יעלו לרגל לבית המקדש")</f>
        <v>כיצד יעלו לרגל לבית המקדש</v>
      </c>
    </row>
    <row r="18809" spans="1:6" x14ac:dyDescent="0.2">
      <c r="A18809" t="s">
        <v>30830</v>
      </c>
      <c r="B18809" t="s">
        <v>27129</v>
      </c>
      <c r="C18809" t="s">
        <v>111</v>
      </c>
      <c r="D18809" t="s">
        <v>14</v>
      </c>
      <c r="E18809" t="s">
        <v>104</v>
      </c>
      <c r="F18809" s="2" t="str">
        <f>HYPERLINK("http://www.otzar.org/book.asp?625559","כיצד ישירו וינגנו בבית המקדש")</f>
        <v>כיצד ישירו וינגנו בבית המקדש</v>
      </c>
    </row>
    <row r="18810" spans="1:6" x14ac:dyDescent="0.2">
      <c r="A18810" t="s">
        <v>30831</v>
      </c>
      <c r="B18810" t="s">
        <v>107</v>
      </c>
      <c r="C18810" t="s">
        <v>1388</v>
      </c>
      <c r="D18810" t="s">
        <v>14</v>
      </c>
      <c r="E18810" t="s">
        <v>15</v>
      </c>
      <c r="F18810" s="2" t="str">
        <f>HYPERLINK("http://www.otzar.org/book.asp?148249","כיצד להמנע מאיסור אכילת שרצים")</f>
        <v>כיצד להמנע מאיסור אכילת שרצים</v>
      </c>
    </row>
    <row r="18811" spans="1:6" x14ac:dyDescent="0.2">
      <c r="A18811" t="s">
        <v>30832</v>
      </c>
      <c r="B18811" t="s">
        <v>4991</v>
      </c>
      <c r="C18811" t="s">
        <v>466</v>
      </c>
      <c r="D18811" t="s">
        <v>14</v>
      </c>
      <c r="E18811" t="s">
        <v>241</v>
      </c>
      <c r="F18811" s="2" t="str">
        <f>HYPERLINK("http://www.otzar.org/book.asp?6293","כיצד להנות ולשמוח")</f>
        <v>כיצד להנות ולשמוח</v>
      </c>
    </row>
    <row r="18812" spans="1:6" x14ac:dyDescent="0.2">
      <c r="A18812" t="s">
        <v>30833</v>
      </c>
      <c r="B18812" t="s">
        <v>19628</v>
      </c>
      <c r="C18812" t="s">
        <v>51</v>
      </c>
      <c r="D18812" t="s">
        <v>52</v>
      </c>
      <c r="E18812" t="s">
        <v>15</v>
      </c>
      <c r="F18812" s="2" t="str">
        <f>HYPERLINK("http://www.otzar.org/book.asp?26777","כיצד מברכים")</f>
        <v>כיצד מברכים</v>
      </c>
    </row>
    <row r="18813" spans="1:6" x14ac:dyDescent="0.2">
      <c r="A18813" t="s">
        <v>30834</v>
      </c>
      <c r="B18813" t="s">
        <v>30835</v>
      </c>
      <c r="C18813" t="s">
        <v>313</v>
      </c>
      <c r="D18813" t="s">
        <v>646</v>
      </c>
      <c r="E18813" t="s">
        <v>15</v>
      </c>
      <c r="F18813" s="2" t="str">
        <f>HYPERLINK("http://www.otzar.org/book.asp?61272","כיצד מזמנין - 2 כר'")</f>
        <v>כיצד מזמנין - 2 כר'</v>
      </c>
    </row>
    <row r="18814" spans="1:6" x14ac:dyDescent="0.2">
      <c r="A18814" t="s">
        <v>30836</v>
      </c>
      <c r="B18814" t="s">
        <v>2919</v>
      </c>
      <c r="C18814" t="s">
        <v>20</v>
      </c>
      <c r="D18814" t="s">
        <v>90</v>
      </c>
      <c r="E18814" t="s">
        <v>246</v>
      </c>
      <c r="F18814" s="2" t="str">
        <f>HYPERLINK("http://www.otzar.org/book.asp?627648","כיצד מנקים לפסח בשמחה ובקלות")</f>
        <v>כיצד מנקים לפסח בשמחה ובקלות</v>
      </c>
    </row>
    <row r="18815" spans="1:6" x14ac:dyDescent="0.2">
      <c r="A18815" t="s">
        <v>30837</v>
      </c>
      <c r="B18815" t="s">
        <v>7596</v>
      </c>
      <c r="C18815" t="s">
        <v>133</v>
      </c>
      <c r="D18815" t="s">
        <v>276</v>
      </c>
      <c r="E18815" t="s">
        <v>144</v>
      </c>
      <c r="F18815" s="2" t="str">
        <f>HYPERLINK("http://www.otzar.org/book.asp?603740","כיצד מערבין")</f>
        <v>כיצד מערבין</v>
      </c>
    </row>
    <row r="18816" spans="1:6" x14ac:dyDescent="0.2">
      <c r="A18816" t="s">
        <v>30838</v>
      </c>
      <c r="B18816" t="s">
        <v>7870</v>
      </c>
      <c r="C18816" t="s">
        <v>103</v>
      </c>
      <c r="D18816" t="s">
        <v>412</v>
      </c>
      <c r="E18816" t="s">
        <v>15</v>
      </c>
      <c r="F18816" s="2" t="str">
        <f>HYPERLINK("http://www.otzar.org/book.asp?174190","כיצד מרקדין")</f>
        <v>כיצד מרקדין</v>
      </c>
    </row>
    <row r="18817" spans="1:6" x14ac:dyDescent="0.2">
      <c r="A18817" t="s">
        <v>30839</v>
      </c>
      <c r="B18817" t="s">
        <v>12481</v>
      </c>
      <c r="C18817" t="s">
        <v>146</v>
      </c>
      <c r="D18817" t="s">
        <v>14</v>
      </c>
      <c r="E18817" t="s">
        <v>213</v>
      </c>
      <c r="F18817" s="2" t="str">
        <f>HYPERLINK("http://www.otzar.org/book.asp?50654","כיצד מתמודדים - א")</f>
        <v>כיצד מתמודדים - א</v>
      </c>
    </row>
    <row r="18818" spans="1:6" x14ac:dyDescent="0.2">
      <c r="A18818" t="s">
        <v>30840</v>
      </c>
      <c r="B18818" t="s">
        <v>30841</v>
      </c>
      <c r="C18818" t="s">
        <v>20</v>
      </c>
      <c r="D18818" t="s">
        <v>367</v>
      </c>
      <c r="E18818" t="s">
        <v>104</v>
      </c>
      <c r="F18818" s="2" t="str">
        <f>HYPERLINK("http://www.otzar.org/book.asp?620104","כיצד נחנך לתפילה בבית הכנסת")</f>
        <v>כיצד נחנך לתפילה בבית הכנסת</v>
      </c>
    </row>
    <row r="18819" spans="1:6" x14ac:dyDescent="0.2">
      <c r="A18819" t="s">
        <v>30842</v>
      </c>
      <c r="B18819" t="s">
        <v>30843</v>
      </c>
      <c r="C18819" t="s">
        <v>27671</v>
      </c>
      <c r="D18819" t="s">
        <v>30844</v>
      </c>
      <c r="E18819" t="s">
        <v>241</v>
      </c>
      <c r="F18819" s="2" t="str">
        <f>HYPERLINK("http://www.otzar.org/book.asp?148145","כיצד סדר משנה")</f>
        <v>כיצד סדר משנה</v>
      </c>
    </row>
    <row r="18820" spans="1:6" x14ac:dyDescent="0.2">
      <c r="A18820" t="s">
        <v>30845</v>
      </c>
      <c r="B18820" t="s">
        <v>4606</v>
      </c>
      <c r="C18820" t="s">
        <v>17</v>
      </c>
      <c r="D18820" t="s">
        <v>14</v>
      </c>
      <c r="E18820" t="s">
        <v>714</v>
      </c>
      <c r="F18820" s="2" t="str">
        <f>HYPERLINK("http://www.otzar.org/book.asp?61521","כיצד תשובה")</f>
        <v>כיצד תשובה</v>
      </c>
    </row>
    <row r="18821" spans="1:6" x14ac:dyDescent="0.2">
      <c r="A18821" t="s">
        <v>30846</v>
      </c>
      <c r="B18821" t="s">
        <v>13426</v>
      </c>
      <c r="C18821" t="s">
        <v>411</v>
      </c>
      <c r="D18821" t="s">
        <v>14</v>
      </c>
      <c r="E18821" t="s">
        <v>15</v>
      </c>
      <c r="F18821" s="2" t="str">
        <f>HYPERLINK("http://www.otzar.org/book.asp?171704","כיתרון האור")</f>
        <v>כיתרון האור</v>
      </c>
    </row>
    <row r="18822" spans="1:6" x14ac:dyDescent="0.2">
      <c r="A18822" t="s">
        <v>30847</v>
      </c>
      <c r="B18822" t="s">
        <v>30848</v>
      </c>
      <c r="C18822" t="s">
        <v>1208</v>
      </c>
      <c r="D18822" t="s">
        <v>1153</v>
      </c>
      <c r="E18822" t="s">
        <v>733</v>
      </c>
      <c r="F18822" s="2" t="str">
        <f>HYPERLINK("http://www.otzar.org/book.asp?64113","כך ברחתי מתימן")</f>
        <v>כך ברחתי מתימן</v>
      </c>
    </row>
    <row r="18823" spans="1:6" x14ac:dyDescent="0.2">
      <c r="A18823" t="s">
        <v>30849</v>
      </c>
      <c r="B18823" t="s">
        <v>19204</v>
      </c>
      <c r="C18823" t="s">
        <v>332</v>
      </c>
      <c r="D18823" t="s">
        <v>14</v>
      </c>
      <c r="E18823" t="s">
        <v>158</v>
      </c>
      <c r="F18823" s="2" t="str">
        <f>HYPERLINK("http://www.otzar.org/book.asp?625471","כך בתנ""ך")</f>
        <v>כך בתנ"ך</v>
      </c>
    </row>
    <row r="18824" spans="1:6" x14ac:dyDescent="0.2">
      <c r="A18824" t="s">
        <v>30850</v>
      </c>
      <c r="B18824" t="s">
        <v>30851</v>
      </c>
      <c r="C18824" t="s">
        <v>5208</v>
      </c>
      <c r="D18824" t="s">
        <v>10109</v>
      </c>
      <c r="E18824" t="s">
        <v>3387</v>
      </c>
      <c r="F18824" s="2" t="str">
        <f>HYPERLINK("http://www.otzar.org/book.asp?105040","כך היא דרכה של תורה - 2 כר'")</f>
        <v>כך היא דרכה של תורה - 2 כר'</v>
      </c>
    </row>
    <row r="18825" spans="1:6" x14ac:dyDescent="0.2">
      <c r="A18825" t="s">
        <v>30852</v>
      </c>
      <c r="B18825" t="s">
        <v>1750</v>
      </c>
      <c r="C18825" t="s">
        <v>313</v>
      </c>
      <c r="D18825" t="s">
        <v>14</v>
      </c>
      <c r="E18825" t="s">
        <v>384</v>
      </c>
      <c r="F18825" s="2" t="str">
        <f>HYPERLINK("http://www.otzar.org/book.asp?60192","כך היא דרכה של תורה")</f>
        <v>כך היא דרכה של תורה</v>
      </c>
    </row>
    <row r="18826" spans="1:6" x14ac:dyDescent="0.2">
      <c r="A18826" t="s">
        <v>30853</v>
      </c>
      <c r="B18826" t="s">
        <v>4980</v>
      </c>
      <c r="C18826" t="s">
        <v>1268</v>
      </c>
      <c r="D18826" t="s">
        <v>14</v>
      </c>
      <c r="F18826" s="2" t="str">
        <f>HYPERLINK("http://www.otzar.org/book.asp?612460","כך נפרצו החומות")</f>
        <v>כך נפרצו החומות</v>
      </c>
    </row>
    <row r="18827" spans="1:6" x14ac:dyDescent="0.2">
      <c r="A18827" t="s">
        <v>30854</v>
      </c>
      <c r="B18827" t="s">
        <v>30855</v>
      </c>
      <c r="C18827" t="s">
        <v>129</v>
      </c>
      <c r="D18827" t="s">
        <v>423</v>
      </c>
      <c r="E18827" t="s">
        <v>172</v>
      </c>
      <c r="F18827" s="2" t="str">
        <f>HYPERLINK("http://www.otzar.org/book.asp?172328","ככב יעקב &lt;מהדורה חדשה&gt;")</f>
        <v>ככב יעקב &lt;מהדורה חדשה&gt;</v>
      </c>
    </row>
    <row r="18828" spans="1:6" x14ac:dyDescent="0.2">
      <c r="A18828" t="s">
        <v>30856</v>
      </c>
      <c r="B18828" t="s">
        <v>30855</v>
      </c>
      <c r="C18828" t="s">
        <v>6895</v>
      </c>
      <c r="D18828" t="s">
        <v>60</v>
      </c>
      <c r="E18828" t="s">
        <v>148</v>
      </c>
      <c r="F18828" s="2" t="str">
        <f>HYPERLINK("http://www.otzar.org/book.asp?62184","ככב יעקב")</f>
        <v>ככב יעקב</v>
      </c>
    </row>
    <row r="18829" spans="1:6" x14ac:dyDescent="0.2">
      <c r="A18829" t="s">
        <v>30857</v>
      </c>
      <c r="B18829" t="s">
        <v>30858</v>
      </c>
      <c r="C18829" t="s">
        <v>1937</v>
      </c>
      <c r="D18829" t="s">
        <v>76</v>
      </c>
      <c r="E18829" t="s">
        <v>6567</v>
      </c>
      <c r="F18829" s="2" t="str">
        <f>HYPERLINK("http://www.otzar.org/book.asp?101291","ככבא דשביט")</f>
        <v>ככבא דשביט</v>
      </c>
    </row>
    <row r="18830" spans="1:6" x14ac:dyDescent="0.2">
      <c r="A18830" t="s">
        <v>30859</v>
      </c>
      <c r="B18830" t="s">
        <v>30860</v>
      </c>
      <c r="C18830" t="s">
        <v>37</v>
      </c>
      <c r="D18830" t="s">
        <v>14</v>
      </c>
      <c r="E18830" t="s">
        <v>9356</v>
      </c>
      <c r="F18830" s="2" t="str">
        <f>HYPERLINK("http://www.otzar.org/book.asp?197976","ככל אשר שאלת - 2 כר'")</f>
        <v>ככל אשר שאלת - 2 כר'</v>
      </c>
    </row>
    <row r="18831" spans="1:6" x14ac:dyDescent="0.2">
      <c r="A18831" t="s">
        <v>30861</v>
      </c>
      <c r="B18831" t="s">
        <v>30862</v>
      </c>
      <c r="C18831" t="s">
        <v>1062</v>
      </c>
      <c r="D18831" t="s">
        <v>1889</v>
      </c>
      <c r="E18831" t="s">
        <v>11780</v>
      </c>
      <c r="F18831" s="2" t="str">
        <f>HYPERLINK("http://www.otzar.org/book.asp?300543","ככר זהב")</f>
        <v>ככר זהב</v>
      </c>
    </row>
    <row r="18832" spans="1:6" x14ac:dyDescent="0.2">
      <c r="A18832" t="s">
        <v>30863</v>
      </c>
      <c r="B18832" t="s">
        <v>1308</v>
      </c>
      <c r="C18832" t="s">
        <v>2243</v>
      </c>
      <c r="D18832" t="s">
        <v>212</v>
      </c>
      <c r="F18832" s="2" t="str">
        <f>HYPERLINK("http://www.otzar.org/book.asp?164797","ככר לאדן - 3 כר'")</f>
        <v>ככר לאדן - 3 כר'</v>
      </c>
    </row>
    <row r="18833" spans="1:6" x14ac:dyDescent="0.2">
      <c r="A18833" t="s">
        <v>30864</v>
      </c>
      <c r="B18833" t="s">
        <v>30865</v>
      </c>
      <c r="C18833" t="s">
        <v>30866</v>
      </c>
      <c r="D18833" t="s">
        <v>30867</v>
      </c>
      <c r="E18833" t="s">
        <v>144</v>
      </c>
      <c r="F18833" s="2" t="str">
        <f>HYPERLINK("http://www.otzar.org/book.asp?191192","ככרות של בעל הבית")</f>
        <v>ככרות של בעל הבית</v>
      </c>
    </row>
    <row r="18834" spans="1:6" x14ac:dyDescent="0.2">
      <c r="A18834" t="s">
        <v>30868</v>
      </c>
      <c r="B18834" t="s">
        <v>686</v>
      </c>
      <c r="C18834" t="s">
        <v>23</v>
      </c>
      <c r="D18834" t="s">
        <v>80</v>
      </c>
      <c r="E18834" t="s">
        <v>1164</v>
      </c>
      <c r="F18834" s="2" t="str">
        <f>HYPERLINK("http://www.otzar.org/book.asp?193022","ככרי זהב")</f>
        <v>ככרי זהב</v>
      </c>
    </row>
    <row r="18835" spans="1:6" x14ac:dyDescent="0.2">
      <c r="A18835" t="s">
        <v>30869</v>
      </c>
      <c r="B18835" t="s">
        <v>30870</v>
      </c>
      <c r="C18835" t="s">
        <v>422</v>
      </c>
      <c r="D18835" t="s">
        <v>14</v>
      </c>
      <c r="E18835" t="s">
        <v>15</v>
      </c>
      <c r="F18835" s="2" t="str">
        <f>HYPERLINK("http://www.otzar.org/book.asp?169974","כל בו &lt;עם הגהות וביאורים&gt; - 8 כר'")</f>
        <v>כל בו &lt;עם הגהות וביאורים&gt; - 8 כר'</v>
      </c>
    </row>
    <row r="18836" spans="1:6" x14ac:dyDescent="0.2">
      <c r="A18836" t="s">
        <v>30871</v>
      </c>
      <c r="B18836" t="s">
        <v>30872</v>
      </c>
      <c r="C18836" t="s">
        <v>33</v>
      </c>
      <c r="D18836" t="s">
        <v>5758</v>
      </c>
      <c r="E18836" t="s">
        <v>15</v>
      </c>
      <c r="F18836" s="2" t="str">
        <f>HYPERLINK("http://www.otzar.org/book.asp?53413","כל בו &lt;דפו""ר&gt;")</f>
        <v>כל בו &lt;דפו"ר&gt;</v>
      </c>
    </row>
    <row r="18837" spans="1:6" x14ac:dyDescent="0.2">
      <c r="A18837" t="s">
        <v>30873</v>
      </c>
      <c r="B18837" t="s">
        <v>30874</v>
      </c>
      <c r="C18837" t="s">
        <v>26830</v>
      </c>
      <c r="D18837" t="s">
        <v>49</v>
      </c>
      <c r="E18837" t="s">
        <v>15</v>
      </c>
      <c r="F18837" s="2" t="str">
        <f>HYPERLINK("http://www.otzar.org/book.asp?53414","כל בו &lt;ונציה ש""ז&gt;")</f>
        <v>כל בו &lt;ונציה ש"ז&gt;</v>
      </c>
    </row>
    <row r="18838" spans="1:6" x14ac:dyDescent="0.2">
      <c r="A18838" t="s">
        <v>30875</v>
      </c>
      <c r="B18838" t="s">
        <v>30876</v>
      </c>
      <c r="C18838" t="s">
        <v>1570</v>
      </c>
      <c r="D18838" t="s">
        <v>4338</v>
      </c>
      <c r="E18838" t="s">
        <v>172</v>
      </c>
      <c r="F18838" s="2" t="str">
        <f>HYPERLINK("http://www.otzar.org/book.asp?601238","כל בו החדש")</f>
        <v>כל בו החדש</v>
      </c>
    </row>
    <row r="18839" spans="1:6" x14ac:dyDescent="0.2">
      <c r="A18839" t="s">
        <v>30877</v>
      </c>
      <c r="B18839" t="s">
        <v>30878</v>
      </c>
      <c r="C18839" t="s">
        <v>1721</v>
      </c>
      <c r="D18839" t="s">
        <v>1279</v>
      </c>
      <c r="E18839" t="s">
        <v>246</v>
      </c>
      <c r="F18839" s="2" t="str">
        <f>HYPERLINK("http://www.otzar.org/book.asp?142065","כל בו לפורים ומסכת פורים")</f>
        <v>כל בו לפורים ומסכת פורים</v>
      </c>
    </row>
    <row r="18840" spans="1:6" x14ac:dyDescent="0.2">
      <c r="A18840" t="s">
        <v>30879</v>
      </c>
      <c r="B18840" t="s">
        <v>30880</v>
      </c>
      <c r="C18840" t="s">
        <v>1208</v>
      </c>
      <c r="D18840" t="s">
        <v>14</v>
      </c>
      <c r="E18840" t="s">
        <v>1507</v>
      </c>
      <c r="F18840" s="2" t="str">
        <f>HYPERLINK("http://www.otzar.org/book.asp?63668","כל בו לפורים")</f>
        <v>כל בו לפורים</v>
      </c>
    </row>
    <row r="18841" spans="1:6" x14ac:dyDescent="0.2">
      <c r="A18841" t="s">
        <v>30881</v>
      </c>
      <c r="B18841" t="s">
        <v>4975</v>
      </c>
      <c r="C18841" t="s">
        <v>30882</v>
      </c>
      <c r="D18841" t="s">
        <v>9</v>
      </c>
      <c r="E18841" t="s">
        <v>15</v>
      </c>
      <c r="F18841" s="2" t="str">
        <f>HYPERLINK("http://www.otzar.org/book.asp?200085","כל בו על אבלות - 3 כר'")</f>
        <v>כל בו על אבלות - 3 כר'</v>
      </c>
    </row>
    <row r="18842" spans="1:6" x14ac:dyDescent="0.2">
      <c r="A18842" t="s">
        <v>30883</v>
      </c>
      <c r="B18842" t="s">
        <v>30884</v>
      </c>
      <c r="C18842" t="s">
        <v>1388</v>
      </c>
      <c r="D18842" t="s">
        <v>412</v>
      </c>
      <c r="E18842" t="s">
        <v>15</v>
      </c>
      <c r="F18842" s="2" t="str">
        <f>HYPERLINK("http://www.otzar.org/book.asp?15441","כל בו - עירובין")</f>
        <v>כל בו - עירובין</v>
      </c>
    </row>
    <row r="18843" spans="1:6" x14ac:dyDescent="0.2">
      <c r="A18843" t="s">
        <v>30885</v>
      </c>
      <c r="B18843" t="s">
        <v>30886</v>
      </c>
      <c r="C18843" t="s">
        <v>30887</v>
      </c>
      <c r="D18843" t="s">
        <v>49</v>
      </c>
      <c r="E18843" t="s">
        <v>10</v>
      </c>
      <c r="F18843" s="2" t="str">
        <f>HYPERLINK("http://www.otzar.org/book.asp?103894","כל בו")</f>
        <v>כל בו</v>
      </c>
    </row>
    <row r="18844" spans="1:6" x14ac:dyDescent="0.2">
      <c r="A18844" t="s">
        <v>30885</v>
      </c>
      <c r="B18844" t="s">
        <v>30888</v>
      </c>
      <c r="C18844" t="s">
        <v>1191</v>
      </c>
      <c r="D18844" t="s">
        <v>2303</v>
      </c>
      <c r="E18844" t="s">
        <v>10</v>
      </c>
      <c r="F18844" s="2" t="str">
        <f>HYPERLINK("http://www.otzar.org/book.asp?103893","כל בו")</f>
        <v>כל בו</v>
      </c>
    </row>
    <row r="18845" spans="1:6" x14ac:dyDescent="0.2">
      <c r="A18845" t="s">
        <v>30885</v>
      </c>
      <c r="B18845" t="s">
        <v>30889</v>
      </c>
      <c r="C18845" t="s">
        <v>800</v>
      </c>
      <c r="D18845" t="s">
        <v>267</v>
      </c>
      <c r="E18845" t="s">
        <v>2775</v>
      </c>
      <c r="F18845" s="2" t="str">
        <f>HYPERLINK("http://www.otzar.org/book.asp?16516","כל בו")</f>
        <v>כל בו</v>
      </c>
    </row>
    <row r="18846" spans="1:6" x14ac:dyDescent="0.2">
      <c r="A18846" t="s">
        <v>30890</v>
      </c>
      <c r="B18846" t="s">
        <v>30891</v>
      </c>
      <c r="C18846" t="s">
        <v>30892</v>
      </c>
      <c r="D18846" t="s">
        <v>974</v>
      </c>
      <c r="E18846" t="s">
        <v>144</v>
      </c>
      <c r="F18846" s="2" t="str">
        <f>HYPERLINK("http://www.otzar.org/book.asp?20884","כל דאמר רחמנא - 3 כר'")</f>
        <v>כל דאמר רחמנא - 3 כר'</v>
      </c>
    </row>
    <row r="18847" spans="1:6" x14ac:dyDescent="0.2">
      <c r="A18847" t="s">
        <v>30893</v>
      </c>
      <c r="B18847" t="s">
        <v>155</v>
      </c>
      <c r="C18847" t="s">
        <v>603</v>
      </c>
      <c r="D18847" t="s">
        <v>157</v>
      </c>
      <c r="E18847" t="s">
        <v>3261</v>
      </c>
      <c r="F18847" s="2" t="str">
        <f>HYPERLINK("http://www.otzar.org/book.asp?101143","כל החיים")</f>
        <v>כל החיים</v>
      </c>
    </row>
    <row r="18848" spans="1:6" x14ac:dyDescent="0.2">
      <c r="A18848" t="s">
        <v>30894</v>
      </c>
      <c r="B18848" t="s">
        <v>30895</v>
      </c>
      <c r="C18848" t="s">
        <v>366</v>
      </c>
      <c r="D18848" t="s">
        <v>14</v>
      </c>
      <c r="E18848" t="s">
        <v>104</v>
      </c>
      <c r="F18848" s="2" t="str">
        <f>HYPERLINK("http://www.otzar.org/book.asp?607412","כל החיים, באר החיים, יודוך סלה")</f>
        <v>כל החיים, באר החיים, יודוך סלה</v>
      </c>
    </row>
    <row r="18849" spans="1:6" x14ac:dyDescent="0.2">
      <c r="A18849" t="s">
        <v>30896</v>
      </c>
      <c r="B18849" t="s">
        <v>16738</v>
      </c>
      <c r="C18849" t="s">
        <v>438</v>
      </c>
      <c r="D18849" t="s">
        <v>14</v>
      </c>
      <c r="E18849" t="s">
        <v>140</v>
      </c>
      <c r="F18849" s="2" t="str">
        <f>HYPERLINK("http://www.otzar.org/book.asp?144165","כל הכתוב לחיים &lt;דרכי חיים&gt;")</f>
        <v>כל הכתוב לחיים &lt;דרכי חיים&gt;</v>
      </c>
    </row>
    <row r="18850" spans="1:6" x14ac:dyDescent="0.2">
      <c r="A18850" t="s">
        <v>30897</v>
      </c>
      <c r="B18850" t="s">
        <v>1465</v>
      </c>
      <c r="C18850" t="s">
        <v>422</v>
      </c>
      <c r="D18850" t="s">
        <v>14</v>
      </c>
      <c r="E18850" t="s">
        <v>104</v>
      </c>
      <c r="F18850" s="2" t="str">
        <f>HYPERLINK("http://www.otzar.org/book.asp?190062","כל הכתוב לחיים")</f>
        <v>כל הכתוב לחיים</v>
      </c>
    </row>
    <row r="18851" spans="1:6" x14ac:dyDescent="0.2">
      <c r="A18851" t="s">
        <v>30897</v>
      </c>
      <c r="B18851" t="s">
        <v>30898</v>
      </c>
      <c r="C18851" t="s">
        <v>2132</v>
      </c>
      <c r="D18851" t="s">
        <v>14</v>
      </c>
      <c r="E18851" t="s">
        <v>202</v>
      </c>
      <c r="F18851" s="2" t="str">
        <f>HYPERLINK("http://www.otzar.org/book.asp?171535","כל הכתוב לחיים")</f>
        <v>כל הכתוב לחיים</v>
      </c>
    </row>
    <row r="18852" spans="1:6" x14ac:dyDescent="0.2">
      <c r="A18852" t="s">
        <v>30899</v>
      </c>
      <c r="B18852" t="s">
        <v>5613</v>
      </c>
      <c r="C18852" t="s">
        <v>1437</v>
      </c>
      <c r="D18852" t="s">
        <v>27</v>
      </c>
      <c r="E18852" t="s">
        <v>674</v>
      </c>
      <c r="F18852" s="2" t="str">
        <f>HYPERLINK("http://www.otzar.org/book.asp?149260","כל המצוה - א")</f>
        <v>כל המצוה - א</v>
      </c>
    </row>
    <row r="18853" spans="1:6" x14ac:dyDescent="0.2">
      <c r="A18853" t="s">
        <v>30900</v>
      </c>
      <c r="B18853" t="s">
        <v>11471</v>
      </c>
      <c r="C18853" t="s">
        <v>133</v>
      </c>
      <c r="D18853" t="s">
        <v>14</v>
      </c>
      <c r="E18853" t="s">
        <v>130</v>
      </c>
      <c r="F18853" s="2" t="str">
        <f>HYPERLINK("http://www.otzar.org/book.asp?175823","כל המתאבל עליה - הלכות בין המצרים ות""ב")</f>
        <v>כל המתאבל עליה - הלכות בין המצרים ות"ב</v>
      </c>
    </row>
    <row r="18854" spans="1:6" x14ac:dyDescent="0.2">
      <c r="A18854" t="s">
        <v>30901</v>
      </c>
      <c r="B18854" t="s">
        <v>1809</v>
      </c>
      <c r="C18854" t="s">
        <v>124</v>
      </c>
      <c r="D18854" t="s">
        <v>14</v>
      </c>
      <c r="E18854" t="s">
        <v>399</v>
      </c>
      <c r="F18854" s="2" t="str">
        <f>HYPERLINK("http://www.otzar.org/book.asp?12732","כל הנקרא בשמי")</f>
        <v>כל הנקרא בשמי</v>
      </c>
    </row>
    <row r="18855" spans="1:6" x14ac:dyDescent="0.2">
      <c r="A18855" t="s">
        <v>30902</v>
      </c>
      <c r="B18855" t="s">
        <v>3663</v>
      </c>
      <c r="C18855" t="s">
        <v>23</v>
      </c>
      <c r="D18855" t="s">
        <v>2285</v>
      </c>
      <c r="E18855" t="s">
        <v>15</v>
      </c>
      <c r="F18855" s="2" t="str">
        <f>HYPERLINK("http://www.otzar.org/book.asp?191861","כל השביעין")</f>
        <v>כל השביעין</v>
      </c>
    </row>
    <row r="18856" spans="1:6" x14ac:dyDescent="0.2">
      <c r="A18856" t="s">
        <v>30903</v>
      </c>
      <c r="B18856" t="s">
        <v>1275</v>
      </c>
      <c r="C18856" t="s">
        <v>411</v>
      </c>
      <c r="D18856" t="s">
        <v>14</v>
      </c>
      <c r="E18856" t="s">
        <v>104</v>
      </c>
      <c r="F18856" s="2" t="str">
        <f>HYPERLINK("http://www.otzar.org/book.asp?172862","כל חפציך לא ישוו בה")</f>
        <v>כל חפציך לא ישוו בה</v>
      </c>
    </row>
    <row r="18857" spans="1:6" x14ac:dyDescent="0.2">
      <c r="A18857" t="s">
        <v>30904</v>
      </c>
      <c r="B18857" t="s">
        <v>2005</v>
      </c>
      <c r="C18857" t="s">
        <v>442</v>
      </c>
      <c r="D18857" t="s">
        <v>699</v>
      </c>
      <c r="E18857" t="s">
        <v>467</v>
      </c>
      <c r="F18857" s="2" t="str">
        <f>HYPERLINK("http://www.otzar.org/book.asp?51501","כל ישראל חברים - א")</f>
        <v>כל ישראל חברים - א</v>
      </c>
    </row>
    <row r="18858" spans="1:6" x14ac:dyDescent="0.2">
      <c r="A18858" t="s">
        <v>30905</v>
      </c>
      <c r="B18858" t="s">
        <v>30906</v>
      </c>
      <c r="C18858" t="s">
        <v>129</v>
      </c>
      <c r="D18858" t="s">
        <v>412</v>
      </c>
      <c r="E18858" t="s">
        <v>144</v>
      </c>
      <c r="F18858" s="2" t="str">
        <f>HYPERLINK("http://www.otzar.org/book.asp?172135","כל ישראל - 2 כר'")</f>
        <v>כל ישראל - 2 כר'</v>
      </c>
    </row>
    <row r="18859" spans="1:6" x14ac:dyDescent="0.2">
      <c r="A18859" t="s">
        <v>30907</v>
      </c>
      <c r="B18859" t="s">
        <v>30908</v>
      </c>
      <c r="C18859" t="s">
        <v>111</v>
      </c>
      <c r="D18859" t="s">
        <v>245</v>
      </c>
      <c r="F18859" s="2" t="str">
        <f>HYPERLINK("http://www.otzar.org/book.asp?623116","כל כתבי המשכנות יעקב והבית אפרים בענין אתו רבים ומבטלי מחיצות")</f>
        <v>כל כתבי המשכנות יעקב והבית אפרים בענין אתו רבים ומבטלי מחיצות</v>
      </c>
    </row>
    <row r="18860" spans="1:6" x14ac:dyDescent="0.2">
      <c r="A18860" t="s">
        <v>30909</v>
      </c>
      <c r="B18860" t="s">
        <v>30910</v>
      </c>
      <c r="C18860" t="s">
        <v>5721</v>
      </c>
      <c r="D18860" t="s">
        <v>21</v>
      </c>
      <c r="E18860" t="s">
        <v>104</v>
      </c>
      <c r="F18860" s="2" t="str">
        <f>HYPERLINK("http://www.otzar.org/book.asp?197029","כל כתבי רבי יעקב ספיר ז""ל")</f>
        <v>כל כתבי רבי יעקב ספיר ז"ל</v>
      </c>
    </row>
    <row r="18861" spans="1:6" x14ac:dyDescent="0.2">
      <c r="A18861" t="s">
        <v>30911</v>
      </c>
      <c r="B18861" t="s">
        <v>30912</v>
      </c>
      <c r="C18861" t="s">
        <v>1725</v>
      </c>
      <c r="D18861" t="s">
        <v>13372</v>
      </c>
      <c r="E18861" t="s">
        <v>3261</v>
      </c>
      <c r="F18861" s="2" t="str">
        <f>HYPERLINK("http://www.otzar.org/book.asp?102140","כל מלאכת הגיון לארסטוטלוס")</f>
        <v>כל מלאכת הגיון לארסטוטלוס</v>
      </c>
    </row>
    <row r="18862" spans="1:6" x14ac:dyDescent="0.2">
      <c r="A18862" t="s">
        <v>30913</v>
      </c>
      <c r="B18862" t="s">
        <v>22056</v>
      </c>
      <c r="C18862" t="s">
        <v>37</v>
      </c>
      <c r="D18862" t="s">
        <v>21</v>
      </c>
      <c r="E18862" t="s">
        <v>15</v>
      </c>
      <c r="F18862" s="2" t="str">
        <f>HYPERLINK("http://www.otzar.org/book.asp?190932","כל מצותיך אמונה")</f>
        <v>כל מצותיך אמונה</v>
      </c>
    </row>
    <row r="18863" spans="1:6" x14ac:dyDescent="0.2">
      <c r="A18863" t="s">
        <v>30914</v>
      </c>
      <c r="B18863" t="s">
        <v>3111</v>
      </c>
      <c r="C18863" t="s">
        <v>37</v>
      </c>
      <c r="D18863" t="s">
        <v>14</v>
      </c>
      <c r="F18863" s="2" t="str">
        <f>HYPERLINK("http://www.otzar.org/book.asp?616737","כל מקדש שביעית")</f>
        <v>כל מקדש שביעית</v>
      </c>
    </row>
    <row r="18864" spans="1:6" x14ac:dyDescent="0.2">
      <c r="A18864" t="s">
        <v>30915</v>
      </c>
      <c r="B18864" t="s">
        <v>1602</v>
      </c>
      <c r="C18864" t="s">
        <v>23</v>
      </c>
      <c r="D18864" t="s">
        <v>14</v>
      </c>
      <c r="F18864" s="2" t="str">
        <f>HYPERLINK("http://www.otzar.org/book.asp?618700","כל משבריך")</f>
        <v>כל משבריך</v>
      </c>
    </row>
    <row r="18865" spans="1:6" x14ac:dyDescent="0.2">
      <c r="A18865" t="s">
        <v>30916</v>
      </c>
      <c r="B18865" t="s">
        <v>30917</v>
      </c>
      <c r="C18865" t="s">
        <v>23</v>
      </c>
      <c r="D18865" t="s">
        <v>14</v>
      </c>
      <c r="F18865" s="2" t="str">
        <f>HYPERLINK("http://www.otzar.org/book.asp?194610","כל נדרי - על הלכות נדרים")</f>
        <v>כל נדרי - על הלכות נדרים</v>
      </c>
    </row>
    <row r="18866" spans="1:6" x14ac:dyDescent="0.2">
      <c r="A18866" t="s">
        <v>30918</v>
      </c>
      <c r="B18866" t="s">
        <v>1733</v>
      </c>
      <c r="C18866" t="s">
        <v>356</v>
      </c>
      <c r="D18866" t="s">
        <v>52</v>
      </c>
      <c r="E18866" t="s">
        <v>741</v>
      </c>
      <c r="F18866" s="2" t="str">
        <f>HYPERLINK("http://www.otzar.org/book.asp?154211","כל סיפורי בעל שם טוב - 3 כר'")</f>
        <v>כל סיפורי בעל שם טוב - 3 כר'</v>
      </c>
    </row>
    <row r="18867" spans="1:6" x14ac:dyDescent="0.2">
      <c r="A18867" t="s">
        <v>30919</v>
      </c>
      <c r="B18867" t="s">
        <v>30920</v>
      </c>
      <c r="C18867" t="s">
        <v>20</v>
      </c>
      <c r="D18867" t="s">
        <v>216</v>
      </c>
      <c r="E18867" t="s">
        <v>30921</v>
      </c>
      <c r="F18867" s="2" t="str">
        <f>HYPERLINK("http://www.otzar.org/book.asp?11078","כל ספרי מוהר""ץ חיות - 2 כר'")</f>
        <v>כל ספרי מוהר"ץ חיות - 2 כר'</v>
      </c>
    </row>
    <row r="18868" spans="1:6" x14ac:dyDescent="0.2">
      <c r="A18868" t="s">
        <v>30922</v>
      </c>
      <c r="B18868" t="s">
        <v>12568</v>
      </c>
      <c r="C18868" t="s">
        <v>411</v>
      </c>
      <c r="D18868" t="s">
        <v>21</v>
      </c>
      <c r="E18868" t="s">
        <v>234</v>
      </c>
      <c r="F18868" s="2" t="str">
        <f>HYPERLINK("http://www.otzar.org/book.asp?199359","כל פניות לימין")</f>
        <v>כל פניות לימין</v>
      </c>
    </row>
    <row r="18869" spans="1:6" x14ac:dyDescent="0.2">
      <c r="A18869" t="s">
        <v>30923</v>
      </c>
      <c r="B18869" t="s">
        <v>15595</v>
      </c>
      <c r="C18869" t="s">
        <v>445</v>
      </c>
      <c r="D18869" t="s">
        <v>283</v>
      </c>
      <c r="E18869" t="s">
        <v>219</v>
      </c>
      <c r="F18869" s="2" t="str">
        <f>HYPERLINK("http://www.otzar.org/book.asp?51499","כל שירי ר' שמואל הנגיד")</f>
        <v>כל שירי ר' שמואל הנגיד</v>
      </c>
    </row>
    <row r="18870" spans="1:6" x14ac:dyDescent="0.2">
      <c r="A18870" t="s">
        <v>30924</v>
      </c>
      <c r="B18870" t="s">
        <v>20246</v>
      </c>
      <c r="C18870" t="s">
        <v>1047</v>
      </c>
      <c r="D18870" t="s">
        <v>267</v>
      </c>
      <c r="E18870" t="s">
        <v>219</v>
      </c>
      <c r="F18870" s="2" t="str">
        <f>HYPERLINK("http://www.otzar.org/book.asp?168135","כל שירי רב האי גאון")</f>
        <v>כל שירי רב האי גאון</v>
      </c>
    </row>
    <row r="18871" spans="1:6" x14ac:dyDescent="0.2">
      <c r="A18871" t="s">
        <v>30925</v>
      </c>
      <c r="B18871" t="s">
        <v>12911</v>
      </c>
      <c r="C18871" t="s">
        <v>180</v>
      </c>
      <c r="D18871" t="s">
        <v>216</v>
      </c>
      <c r="E18871" t="s">
        <v>219</v>
      </c>
      <c r="F18871" s="2" t="str">
        <f>HYPERLINK("http://www.otzar.org/book.asp?13455","כל שירי רבי יהודה הלוי &lt;יוצרות רשיות&gt;")</f>
        <v>כל שירי רבי יהודה הלוי &lt;יוצרות רשיות&gt;</v>
      </c>
    </row>
    <row r="18872" spans="1:6" x14ac:dyDescent="0.2">
      <c r="A18872" t="s">
        <v>30926</v>
      </c>
      <c r="B18872" t="s">
        <v>12911</v>
      </c>
      <c r="C18872" t="s">
        <v>180</v>
      </c>
      <c r="D18872" t="s">
        <v>260</v>
      </c>
      <c r="E18872" t="s">
        <v>1626</v>
      </c>
      <c r="F18872" s="2" t="str">
        <f>HYPERLINK("http://www.otzar.org/book.asp?13454","כל שירי רבי יהודה הלוי &lt;קרובות וסליחות&gt;")</f>
        <v>כל שירי רבי יהודה הלוי &lt;קרובות וסליחות&gt;</v>
      </c>
    </row>
    <row r="18873" spans="1:6" x14ac:dyDescent="0.2">
      <c r="A18873" t="s">
        <v>30927</v>
      </c>
      <c r="B18873" t="s">
        <v>12911</v>
      </c>
      <c r="C18873" t="s">
        <v>180</v>
      </c>
      <c r="D18873" t="s">
        <v>216</v>
      </c>
      <c r="F18873" s="2" t="str">
        <f>HYPERLINK("http://www.otzar.org/book.asp?613689","כל שירי רבי יהודה הלוי &lt;שירי חול&gt;")</f>
        <v>כל שירי רבי יהודה הלוי &lt;שירי חול&gt;</v>
      </c>
    </row>
    <row r="18874" spans="1:6" x14ac:dyDescent="0.2">
      <c r="A18874" t="s">
        <v>30928</v>
      </c>
      <c r="B18874" t="s">
        <v>12911</v>
      </c>
      <c r="C18874" t="s">
        <v>180</v>
      </c>
      <c r="D18874" t="s">
        <v>216</v>
      </c>
      <c r="E18874" t="s">
        <v>1626</v>
      </c>
      <c r="F18874" s="2" t="str">
        <f>HYPERLINK("http://www.otzar.org/book.asp?13461","כל שירי רבי יהודה הלוי &lt;שירי ידידות&gt;")</f>
        <v>כל שירי רבי יהודה הלוי &lt;שירי ידידות&gt;</v>
      </c>
    </row>
    <row r="18875" spans="1:6" x14ac:dyDescent="0.2">
      <c r="A18875" t="s">
        <v>30929</v>
      </c>
      <c r="B18875" t="s">
        <v>12911</v>
      </c>
      <c r="C18875" t="s">
        <v>180</v>
      </c>
      <c r="D18875" t="s">
        <v>216</v>
      </c>
      <c r="E18875" t="s">
        <v>1626</v>
      </c>
      <c r="F18875" s="2" t="str">
        <f>HYPERLINK("http://www.otzar.org/book.asp?13453","כל שירי רבי יהודה הלוי &lt;שירי ציון, שירי דודים, שבחים ומשלים&gt;")</f>
        <v>כל שירי רבי יהודה הלוי &lt;שירי ציון, שירי דודים, שבחים ומשלים&gt;</v>
      </c>
    </row>
    <row r="18876" spans="1:6" x14ac:dyDescent="0.2">
      <c r="A18876" t="s">
        <v>30930</v>
      </c>
      <c r="B18876" t="s">
        <v>12911</v>
      </c>
      <c r="C18876" t="s">
        <v>180</v>
      </c>
      <c r="D18876" t="s">
        <v>216</v>
      </c>
      <c r="E18876" t="s">
        <v>1626</v>
      </c>
      <c r="F18876" s="2" t="str">
        <f>HYPERLINK("http://www.otzar.org/book.asp?13460","כל שירי רבי יהודה הלוי &lt;שירי קינה והספד, מכתמים וחידות&gt;")</f>
        <v>כל שירי רבי יהודה הלוי &lt;שירי קינה והספד, מכתמים וחידות&gt;</v>
      </c>
    </row>
    <row r="18877" spans="1:6" x14ac:dyDescent="0.2">
      <c r="A18877" t="s">
        <v>30931</v>
      </c>
      <c r="B18877" t="s">
        <v>15595</v>
      </c>
      <c r="C18877" t="s">
        <v>30932</v>
      </c>
      <c r="D18877" t="s">
        <v>1654</v>
      </c>
      <c r="F18877" s="2" t="str">
        <f>HYPERLINK("http://www.otzar.org/book.asp?613688","כל שירי רבי שמואל הנגיד - 4 כר'")</f>
        <v>כל שירי רבי שמואל הנגיד - 4 כר'</v>
      </c>
    </row>
    <row r="18878" spans="1:6" x14ac:dyDescent="0.2">
      <c r="A18878" t="s">
        <v>30933</v>
      </c>
      <c r="B18878" t="s">
        <v>686</v>
      </c>
      <c r="C18878" t="s">
        <v>111</v>
      </c>
      <c r="D18878" t="s">
        <v>52</v>
      </c>
      <c r="E18878" t="s">
        <v>104</v>
      </c>
      <c r="F18878" s="2" t="str">
        <f>HYPERLINK("http://www.otzar.org/book.asp?621700","כלביא שכן")</f>
        <v>כלביא שכן</v>
      </c>
    </row>
    <row r="18879" spans="1:6" x14ac:dyDescent="0.2">
      <c r="A18879" t="s">
        <v>30934</v>
      </c>
      <c r="B18879" t="s">
        <v>30935</v>
      </c>
      <c r="C18879" t="s">
        <v>20</v>
      </c>
      <c r="D18879" t="s">
        <v>21</v>
      </c>
      <c r="E18879" t="s">
        <v>579</v>
      </c>
      <c r="F18879" s="2" t="str">
        <f>HYPERLINK("http://www.otzar.org/book.asp?198209","כלביא שכן - בראשית, שמות")</f>
        <v>כלביא שכן - בראשית, שמות</v>
      </c>
    </row>
    <row r="18880" spans="1:6" x14ac:dyDescent="0.2">
      <c r="A18880" t="s">
        <v>30936</v>
      </c>
      <c r="B18880" t="s">
        <v>30937</v>
      </c>
      <c r="C18880" t="s">
        <v>23</v>
      </c>
      <c r="D18880" t="s">
        <v>14</v>
      </c>
      <c r="E18880" t="s">
        <v>741</v>
      </c>
      <c r="F18880" s="2" t="str">
        <f>HYPERLINK("http://www.otzar.org/book.asp?620771","כלולות אברהם")</f>
        <v>כלולות אברהם</v>
      </c>
    </row>
    <row r="18881" spans="1:6" x14ac:dyDescent="0.2">
      <c r="A18881" t="s">
        <v>30938</v>
      </c>
      <c r="B18881" t="s">
        <v>6984</v>
      </c>
      <c r="C18881" t="s">
        <v>17</v>
      </c>
      <c r="D18881" t="s">
        <v>14</v>
      </c>
      <c r="E18881" t="s">
        <v>16417</v>
      </c>
      <c r="F18881" s="2" t="str">
        <f>HYPERLINK("http://www.otzar.org/book.asp?23073","כלולות אפריון")</f>
        <v>כלולות אפריון</v>
      </c>
    </row>
    <row r="18882" spans="1:6" x14ac:dyDescent="0.2">
      <c r="A18882" t="s">
        <v>30939</v>
      </c>
      <c r="B18882" t="s">
        <v>1681</v>
      </c>
      <c r="C18882" t="s">
        <v>13</v>
      </c>
      <c r="D18882" t="s">
        <v>52</v>
      </c>
      <c r="E18882" t="s">
        <v>674</v>
      </c>
      <c r="F18882" s="2" t="str">
        <f>HYPERLINK("http://www.otzar.org/book.asp?159594","כלולות חתנים")</f>
        <v>כלולות חתנים</v>
      </c>
    </row>
    <row r="18883" spans="1:6" x14ac:dyDescent="0.2">
      <c r="A18883" t="s">
        <v>30940</v>
      </c>
      <c r="B18883" t="s">
        <v>30941</v>
      </c>
      <c r="C18883" t="s">
        <v>775</v>
      </c>
      <c r="D18883" t="s">
        <v>14</v>
      </c>
      <c r="E18883" t="s">
        <v>325</v>
      </c>
      <c r="F18883" s="2" t="str">
        <f>HYPERLINK("http://www.otzar.org/book.asp?147953","כלי גולה וסופרי שמעון - 4 כר'")</f>
        <v>כלי גולה וסופרי שמעון - 4 כר'</v>
      </c>
    </row>
    <row r="18884" spans="1:6" x14ac:dyDescent="0.2">
      <c r="A18884" t="s">
        <v>30942</v>
      </c>
      <c r="B18884" t="s">
        <v>30941</v>
      </c>
      <c r="C18884" t="s">
        <v>133</v>
      </c>
      <c r="D18884" t="s">
        <v>14</v>
      </c>
      <c r="E18884" t="s">
        <v>579</v>
      </c>
      <c r="F18884" s="2" t="str">
        <f>HYPERLINK("http://www.otzar.org/book.asp?190178","כלי גולה - על התורה ומנחת חינוך")</f>
        <v>כלי גולה - על התורה ומנחת חינוך</v>
      </c>
    </row>
    <row r="18885" spans="1:6" x14ac:dyDescent="0.2">
      <c r="A18885" t="s">
        <v>30943</v>
      </c>
      <c r="B18885" t="s">
        <v>4263</v>
      </c>
      <c r="C18885" t="s">
        <v>767</v>
      </c>
      <c r="D18885" t="s">
        <v>412</v>
      </c>
      <c r="E18885" t="s">
        <v>30944</v>
      </c>
      <c r="F18885" s="2" t="str">
        <f>HYPERLINK("http://www.otzar.org/book.asp?154455","כלי גולה - זכור לאברהם")</f>
        <v>כלי גולה - זכור לאברהם</v>
      </c>
    </row>
    <row r="18886" spans="1:6" x14ac:dyDescent="0.2">
      <c r="A18886" t="s">
        <v>30945</v>
      </c>
      <c r="B18886" t="s">
        <v>29343</v>
      </c>
      <c r="C18886" t="s">
        <v>383</v>
      </c>
      <c r="D18886" t="s">
        <v>52</v>
      </c>
      <c r="E18886" t="s">
        <v>158</v>
      </c>
      <c r="F18886" s="2" t="str">
        <f>HYPERLINK("http://www.otzar.org/book.asp?50776","כלי גמא")</f>
        <v>כלי גמא</v>
      </c>
    </row>
    <row r="18887" spans="1:6" x14ac:dyDescent="0.2">
      <c r="A18887" t="s">
        <v>30946</v>
      </c>
      <c r="B18887" t="s">
        <v>28229</v>
      </c>
      <c r="C18887" t="s">
        <v>2008</v>
      </c>
      <c r="D18887" t="s">
        <v>9</v>
      </c>
      <c r="E18887" t="s">
        <v>154</v>
      </c>
      <c r="F18887" s="2" t="str">
        <f>HYPERLINK("http://www.otzar.org/book.asp?101244","כלי הרואים")</f>
        <v>כלי הרואים</v>
      </c>
    </row>
    <row r="18888" spans="1:6" x14ac:dyDescent="0.2">
      <c r="A18888" t="s">
        <v>30946</v>
      </c>
      <c r="B18888" t="s">
        <v>1264</v>
      </c>
      <c r="C18888" t="s">
        <v>2076</v>
      </c>
      <c r="D18888" t="s">
        <v>855</v>
      </c>
      <c r="E18888" t="s">
        <v>957</v>
      </c>
      <c r="F18888" s="2" t="str">
        <f>HYPERLINK("http://www.otzar.org/book.asp?15704","כלי הרואים")</f>
        <v>כלי הרואים</v>
      </c>
    </row>
    <row r="18889" spans="1:6" x14ac:dyDescent="0.2">
      <c r="A18889" t="s">
        <v>30947</v>
      </c>
      <c r="B18889" t="s">
        <v>14936</v>
      </c>
      <c r="C18889" t="s">
        <v>37</v>
      </c>
      <c r="D18889" t="s">
        <v>1550</v>
      </c>
      <c r="E18889" t="s">
        <v>172</v>
      </c>
      <c r="F18889" s="2" t="str">
        <f>HYPERLINK("http://www.otzar.org/book.asp?197988","כלי השלחן &lt;בשר בחלב&gt; - 2 כר'")</f>
        <v>כלי השלחן &lt;בשר בחלב&gt; - 2 כר'</v>
      </c>
    </row>
    <row r="18890" spans="1:6" x14ac:dyDescent="0.2">
      <c r="A18890" t="s">
        <v>30948</v>
      </c>
      <c r="B18890" t="s">
        <v>14936</v>
      </c>
      <c r="C18890" t="s">
        <v>411</v>
      </c>
      <c r="D18890" t="s">
        <v>1550</v>
      </c>
      <c r="E18890" t="s">
        <v>172</v>
      </c>
      <c r="F18890" s="2" t="str">
        <f>HYPERLINK("http://www.otzar.org/book.asp?176011","כלי השלחן &lt;שבת&gt; - 3 כר'")</f>
        <v>כלי השלחן &lt;שבת&gt; - 3 כר'</v>
      </c>
    </row>
    <row r="18891" spans="1:6" x14ac:dyDescent="0.2">
      <c r="A18891" t="s">
        <v>30949</v>
      </c>
      <c r="B18891" t="s">
        <v>14936</v>
      </c>
      <c r="C18891" t="s">
        <v>411</v>
      </c>
      <c r="D18891" t="s">
        <v>1550</v>
      </c>
      <c r="E18891" t="s">
        <v>172</v>
      </c>
      <c r="F18891" s="2" t="str">
        <f>HYPERLINK("http://www.otzar.org/book.asp?176009","כלי השלחן &lt;תערובות&gt; - 2 כר'")</f>
        <v>כלי השלחן &lt;תערובות&gt; - 2 כר'</v>
      </c>
    </row>
    <row r="18892" spans="1:6" x14ac:dyDescent="0.2">
      <c r="A18892" t="s">
        <v>30950</v>
      </c>
      <c r="B18892" t="s">
        <v>14936</v>
      </c>
      <c r="C18892" t="s">
        <v>466</v>
      </c>
      <c r="D18892" t="s">
        <v>1550</v>
      </c>
      <c r="E18892" t="s">
        <v>148</v>
      </c>
      <c r="F18892" s="2" t="str">
        <f>HYPERLINK("http://www.otzar.org/book.asp?159778","כלי השלחן - &lt;דם ומליחה&gt;")</f>
        <v>כלי השלחן - &lt;דם ומליחה&gt;</v>
      </c>
    </row>
    <row r="18893" spans="1:6" x14ac:dyDescent="0.2">
      <c r="A18893" t="s">
        <v>30951</v>
      </c>
      <c r="B18893" t="s">
        <v>26648</v>
      </c>
      <c r="F18893" s="2" t="str">
        <f>HYPERLINK("http://www.otzar.org/book.asp?623020","כלי חמדה &lt;מהדורת מכון אבני שהם&gt; - 2 כר'")</f>
        <v>כלי חמדה &lt;מהדורת מכון אבני שהם&gt; - 2 כר'</v>
      </c>
    </row>
    <row r="18894" spans="1:6" x14ac:dyDescent="0.2">
      <c r="A18894" t="s">
        <v>30952</v>
      </c>
      <c r="B18894" t="s">
        <v>26648</v>
      </c>
      <c r="C18894" t="s">
        <v>17</v>
      </c>
      <c r="D18894" t="s">
        <v>52</v>
      </c>
      <c r="E18894" t="s">
        <v>15</v>
      </c>
      <c r="F18894" s="2" t="str">
        <f>HYPERLINK("http://www.otzar.org/book.asp?107233","כלי חמדה &lt;מועדי השנה&gt; - 4 כר'")</f>
        <v>כלי חמדה &lt;מועדי השנה&gt; - 4 כר'</v>
      </c>
    </row>
    <row r="18895" spans="1:6" x14ac:dyDescent="0.2">
      <c r="A18895" t="s">
        <v>30953</v>
      </c>
      <c r="B18895" t="s">
        <v>11739</v>
      </c>
      <c r="C18895" t="s">
        <v>1718</v>
      </c>
      <c r="D18895" t="s">
        <v>855</v>
      </c>
      <c r="E18895" t="s">
        <v>158</v>
      </c>
      <c r="F18895" s="2" t="str">
        <f>HYPERLINK("http://www.otzar.org/book.asp?24667","כלי חמדה")</f>
        <v>כלי חמדה</v>
      </c>
    </row>
    <row r="18896" spans="1:6" x14ac:dyDescent="0.2">
      <c r="A18896" t="s">
        <v>30954</v>
      </c>
      <c r="B18896" t="s">
        <v>30955</v>
      </c>
      <c r="C18896" t="s">
        <v>30956</v>
      </c>
      <c r="D18896" t="s">
        <v>49</v>
      </c>
      <c r="F18896" s="2" t="str">
        <f>HYPERLINK("http://www.otzar.org/book.asp?164824","כלי חמדה - 6 כר'")</f>
        <v>כלי חמדה - 6 כר'</v>
      </c>
    </row>
    <row r="18897" spans="1:6" x14ac:dyDescent="0.2">
      <c r="A18897" t="s">
        <v>30957</v>
      </c>
      <c r="B18897" t="s">
        <v>26648</v>
      </c>
      <c r="C18897" t="s">
        <v>30958</v>
      </c>
      <c r="D18897" t="s">
        <v>225</v>
      </c>
      <c r="E18897" t="s">
        <v>1103</v>
      </c>
      <c r="F18897" s="2" t="str">
        <f>HYPERLINK("http://www.otzar.org/book.asp?102227","כלי חמדה - 10 כר'")</f>
        <v>כלי חמדה - 10 כר'</v>
      </c>
    </row>
    <row r="18898" spans="1:6" x14ac:dyDescent="0.2">
      <c r="A18898" t="s">
        <v>30959</v>
      </c>
      <c r="B18898" t="s">
        <v>30960</v>
      </c>
      <c r="C18898" t="s">
        <v>129</v>
      </c>
      <c r="D18898" t="s">
        <v>52</v>
      </c>
      <c r="E18898" t="s">
        <v>84</v>
      </c>
      <c r="F18898" s="2" t="str">
        <f>HYPERLINK("http://www.otzar.org/book.asp?160331","כלי טהור - כלים א")</f>
        <v>כלי טהור - כלים א</v>
      </c>
    </row>
    <row r="18899" spans="1:6" x14ac:dyDescent="0.2">
      <c r="A18899" t="s">
        <v>30961</v>
      </c>
      <c r="B18899" t="s">
        <v>4556</v>
      </c>
      <c r="C18899" t="s">
        <v>6773</v>
      </c>
      <c r="D18899" t="s">
        <v>26609</v>
      </c>
      <c r="F18899" s="2" t="str">
        <f>HYPERLINK("http://www.otzar.org/book.asp?611766","כלי יקר &lt;דפו""ר&gt;")</f>
        <v>כלי יקר &lt;דפו"ר&gt;</v>
      </c>
    </row>
    <row r="18900" spans="1:6" x14ac:dyDescent="0.2">
      <c r="A18900" t="s">
        <v>30962</v>
      </c>
      <c r="B18900" t="s">
        <v>4556</v>
      </c>
      <c r="C18900" t="s">
        <v>168</v>
      </c>
      <c r="D18900" t="s">
        <v>52</v>
      </c>
      <c r="E18900" t="s">
        <v>158</v>
      </c>
      <c r="F18900" s="2" t="str">
        <f>HYPERLINK("http://www.otzar.org/book.asp?154075","כלי יקר השלם - 2 כר'")</f>
        <v>כלי יקר השלם - 2 כר'</v>
      </c>
    </row>
    <row r="18901" spans="1:6" x14ac:dyDescent="0.2">
      <c r="A18901" t="s">
        <v>30963</v>
      </c>
      <c r="B18901" t="s">
        <v>7379</v>
      </c>
      <c r="C18901" t="s">
        <v>454</v>
      </c>
      <c r="D18901" t="s">
        <v>14</v>
      </c>
      <c r="E18901" t="s">
        <v>714</v>
      </c>
      <c r="F18901" s="2" t="str">
        <f>HYPERLINK("http://www.otzar.org/book.asp?141983","כלי יקר שפתי דעת")</f>
        <v>כלי יקר שפתי דעת</v>
      </c>
    </row>
    <row r="18902" spans="1:6" x14ac:dyDescent="0.2">
      <c r="A18902" t="s">
        <v>30964</v>
      </c>
      <c r="B18902" t="s">
        <v>30955</v>
      </c>
      <c r="C18902" t="s">
        <v>168</v>
      </c>
      <c r="D18902" t="s">
        <v>14</v>
      </c>
      <c r="E18902" t="s">
        <v>158</v>
      </c>
      <c r="F18902" s="2" t="str">
        <f>HYPERLINK("http://www.otzar.org/book.asp?152461","כלי יקר - 11 כר'")</f>
        <v>כלי יקר - 11 כר'</v>
      </c>
    </row>
    <row r="18903" spans="1:6" x14ac:dyDescent="0.2">
      <c r="A18903" t="s">
        <v>30965</v>
      </c>
      <c r="B18903" t="s">
        <v>30966</v>
      </c>
      <c r="C18903" t="s">
        <v>30967</v>
      </c>
      <c r="D18903" t="s">
        <v>49</v>
      </c>
      <c r="E18903" t="s">
        <v>158</v>
      </c>
      <c r="F18903" s="2" t="str">
        <f>HYPERLINK("http://www.otzar.org/book.asp?53415","כלי יקר - נביאים ראשונים")</f>
        <v>כלי יקר - נביאים ראשונים</v>
      </c>
    </row>
    <row r="18904" spans="1:6" x14ac:dyDescent="0.2">
      <c r="A18904" t="s">
        <v>30968</v>
      </c>
      <c r="B18904" t="s">
        <v>15052</v>
      </c>
      <c r="C18904" t="s">
        <v>1811</v>
      </c>
      <c r="D18904" t="s">
        <v>14</v>
      </c>
      <c r="E18904" t="s">
        <v>158</v>
      </c>
      <c r="F18904" s="2" t="str">
        <f>HYPERLINK("http://www.otzar.org/book.asp?181316","כלי כסף - 2 כר'")</f>
        <v>כלי כסף - 2 כר'</v>
      </c>
    </row>
    <row r="18905" spans="1:6" x14ac:dyDescent="0.2">
      <c r="A18905" t="s">
        <v>30969</v>
      </c>
      <c r="B18905" t="s">
        <v>24017</v>
      </c>
      <c r="C18905" t="s">
        <v>466</v>
      </c>
      <c r="D18905" t="s">
        <v>14</v>
      </c>
      <c r="E18905" t="s">
        <v>15</v>
      </c>
      <c r="F18905" s="2" t="str">
        <f>HYPERLINK("http://www.otzar.org/book.asp?144512","כלי מחזיק ברכה &lt;מהד""ח&gt;")</f>
        <v>כלי מחזיק ברכה &lt;מהד"ח&gt;</v>
      </c>
    </row>
    <row r="18906" spans="1:6" x14ac:dyDescent="0.2">
      <c r="A18906" t="s">
        <v>30970</v>
      </c>
      <c r="B18906" t="s">
        <v>24017</v>
      </c>
      <c r="C18906" t="s">
        <v>8222</v>
      </c>
      <c r="D18906" t="s">
        <v>49</v>
      </c>
      <c r="E18906" t="s">
        <v>30971</v>
      </c>
      <c r="F18906" s="2" t="str">
        <f>HYPERLINK("http://www.otzar.org/book.asp?13290","כלי מחזיק ברכה - 2 כר'")</f>
        <v>כלי מחזיק ברכה - 2 כר'</v>
      </c>
    </row>
    <row r="18907" spans="1:6" x14ac:dyDescent="0.2">
      <c r="A18907" t="s">
        <v>30972</v>
      </c>
      <c r="B18907" t="s">
        <v>24565</v>
      </c>
      <c r="C18907" t="s">
        <v>30973</v>
      </c>
      <c r="D18907" t="s">
        <v>27</v>
      </c>
      <c r="E18907" t="s">
        <v>241</v>
      </c>
      <c r="F18907" s="2" t="str">
        <f>HYPERLINK("http://www.otzar.org/book.asp?174603","כלי מלחמה - 3 כר'")</f>
        <v>כלי מלחמה - 3 כר'</v>
      </c>
    </row>
    <row r="18908" spans="1:6" x14ac:dyDescent="0.2">
      <c r="A18908" t="s">
        <v>30974</v>
      </c>
      <c r="B18908" t="s">
        <v>531</v>
      </c>
      <c r="C18908" t="s">
        <v>5163</v>
      </c>
      <c r="D18908" t="s">
        <v>164</v>
      </c>
      <c r="E18908" t="s">
        <v>104</v>
      </c>
      <c r="F18908" s="2" t="str">
        <f>HYPERLINK("http://www.otzar.org/book.asp?13674","כלי נחושת - 2 כר'")</f>
        <v>כלי נחושת - 2 כר'</v>
      </c>
    </row>
    <row r="18909" spans="1:6" x14ac:dyDescent="0.2">
      <c r="A18909" t="s">
        <v>30975</v>
      </c>
      <c r="B18909" t="s">
        <v>30955</v>
      </c>
      <c r="C18909" t="s">
        <v>4057</v>
      </c>
      <c r="D18909" t="s">
        <v>49</v>
      </c>
      <c r="F18909" s="2" t="str">
        <f>HYPERLINK("http://www.otzar.org/book.asp?164805","כלי פז - 5 כר'")</f>
        <v>כלי פז - 5 כר'</v>
      </c>
    </row>
    <row r="18910" spans="1:6" x14ac:dyDescent="0.2">
      <c r="A18910" t="s">
        <v>30976</v>
      </c>
      <c r="B18910" t="s">
        <v>30977</v>
      </c>
      <c r="C18910" t="s">
        <v>843</v>
      </c>
      <c r="D18910" t="s">
        <v>30978</v>
      </c>
      <c r="E18910" t="s">
        <v>30979</v>
      </c>
      <c r="F18910" s="2" t="str">
        <f>HYPERLINK("http://www.otzar.org/book.asp?300518","כלי שרת - 2 כר'")</f>
        <v>כלי שרת - 2 כר'</v>
      </c>
    </row>
    <row r="18911" spans="1:6" x14ac:dyDescent="0.2">
      <c r="A18911" t="s">
        <v>30980</v>
      </c>
      <c r="B18911" t="s">
        <v>30981</v>
      </c>
      <c r="C18911" t="s">
        <v>17</v>
      </c>
      <c r="D18911" t="s">
        <v>14</v>
      </c>
      <c r="E18911" t="s">
        <v>803</v>
      </c>
      <c r="F18911" s="2" t="str">
        <f>HYPERLINK("http://www.otzar.org/book.asp?161896","כליות יועצות")</f>
        <v>כליות יועצות</v>
      </c>
    </row>
    <row r="18912" spans="1:6" x14ac:dyDescent="0.2">
      <c r="A18912" t="s">
        <v>30982</v>
      </c>
      <c r="B18912" t="s">
        <v>30983</v>
      </c>
      <c r="C18912" t="s">
        <v>5140</v>
      </c>
      <c r="D18912" t="s">
        <v>60</v>
      </c>
      <c r="E18912" t="s">
        <v>104</v>
      </c>
      <c r="F18912" s="2" t="str">
        <f>HYPERLINK("http://www.otzar.org/book.asp?200394","כליל החשבון - 2 כר'")</f>
        <v>כליל החשבון - 2 כר'</v>
      </c>
    </row>
    <row r="18913" spans="1:6" x14ac:dyDescent="0.2">
      <c r="A18913" t="s">
        <v>30984</v>
      </c>
      <c r="B18913" t="s">
        <v>7105</v>
      </c>
      <c r="C18913" t="s">
        <v>523</v>
      </c>
      <c r="D18913" t="s">
        <v>14</v>
      </c>
      <c r="E18913" t="s">
        <v>30985</v>
      </c>
      <c r="F18913" s="2" t="str">
        <f>HYPERLINK("http://www.otzar.org/book.asp?15278","כליל תכלת")</f>
        <v>כליל תכלת</v>
      </c>
    </row>
    <row r="18914" spans="1:6" x14ac:dyDescent="0.2">
      <c r="A18914" t="s">
        <v>30986</v>
      </c>
      <c r="B18914" t="s">
        <v>25756</v>
      </c>
      <c r="C18914" t="s">
        <v>146</v>
      </c>
      <c r="D18914" t="s">
        <v>14</v>
      </c>
      <c r="E18914" t="s">
        <v>230</v>
      </c>
      <c r="F18914" s="2" t="str">
        <f>HYPERLINK("http://www.otzar.org/book.asp?172118","כליל תפארת &lt;מהדורה חדשה&gt;")</f>
        <v>כליל תפארת &lt;מהדורה חדשה&gt;</v>
      </c>
    </row>
    <row r="18915" spans="1:6" x14ac:dyDescent="0.2">
      <c r="A18915" t="s">
        <v>30987</v>
      </c>
      <c r="B18915" t="s">
        <v>30988</v>
      </c>
      <c r="C18915" t="s">
        <v>1177</v>
      </c>
      <c r="D18915" t="s">
        <v>9091</v>
      </c>
      <c r="E18915" t="s">
        <v>119</v>
      </c>
      <c r="F18915" s="2" t="str">
        <f>HYPERLINK("http://www.otzar.org/book.asp?168854","כליל תפארת משה")</f>
        <v>כליל תפארת משה</v>
      </c>
    </row>
    <row r="18916" spans="1:6" x14ac:dyDescent="0.2">
      <c r="A18916" t="s">
        <v>30989</v>
      </c>
      <c r="B18916" t="s">
        <v>22868</v>
      </c>
      <c r="C18916" t="s">
        <v>1208</v>
      </c>
      <c r="D18916" t="s">
        <v>14</v>
      </c>
      <c r="E18916" t="s">
        <v>104</v>
      </c>
      <c r="F18916" s="2" t="str">
        <f>HYPERLINK("http://www.otzar.org/book.asp?625536","כליל תפארת")</f>
        <v>כליל תפארת</v>
      </c>
    </row>
    <row r="18917" spans="1:6" x14ac:dyDescent="0.2">
      <c r="A18917" t="s">
        <v>30989</v>
      </c>
      <c r="B18917" t="s">
        <v>29926</v>
      </c>
      <c r="C18917" t="s">
        <v>422</v>
      </c>
      <c r="D18917" t="s">
        <v>152</v>
      </c>
      <c r="E18917" t="s">
        <v>186</v>
      </c>
      <c r="F18917" s="2" t="str">
        <f>HYPERLINK("http://www.otzar.org/book.asp?84382","כליל תפארת")</f>
        <v>כליל תפארת</v>
      </c>
    </row>
    <row r="18918" spans="1:6" x14ac:dyDescent="0.2">
      <c r="A18918" t="s">
        <v>30989</v>
      </c>
      <c r="B18918" t="s">
        <v>30990</v>
      </c>
      <c r="C18918" t="s">
        <v>68</v>
      </c>
      <c r="D18918" t="s">
        <v>14</v>
      </c>
      <c r="F18918" s="2" t="str">
        <f>HYPERLINK("http://www.otzar.org/book.asp?609520","כליל תפארת")</f>
        <v>כליל תפארת</v>
      </c>
    </row>
    <row r="18919" spans="1:6" x14ac:dyDescent="0.2">
      <c r="A18919" t="s">
        <v>30989</v>
      </c>
      <c r="B18919" t="s">
        <v>29922</v>
      </c>
      <c r="C18919" t="s">
        <v>129</v>
      </c>
      <c r="D18919" t="s">
        <v>14</v>
      </c>
      <c r="E18919" t="s">
        <v>202</v>
      </c>
      <c r="F18919" s="2" t="str">
        <f>HYPERLINK("http://www.otzar.org/book.asp?85211","כליל תפארת")</f>
        <v>כליל תפארת</v>
      </c>
    </row>
    <row r="18920" spans="1:6" x14ac:dyDescent="0.2">
      <c r="A18920" t="s">
        <v>30991</v>
      </c>
      <c r="B18920" t="s">
        <v>30992</v>
      </c>
      <c r="C18920" t="s">
        <v>37</v>
      </c>
      <c r="D18920" t="s">
        <v>1156</v>
      </c>
      <c r="E18920" t="s">
        <v>144</v>
      </c>
      <c r="F18920" s="2" t="str">
        <f>HYPERLINK("http://www.otzar.org/book.asp?189145","כליל תפארת - 2 כר'")</f>
        <v>כליל תפארת - 2 כר'</v>
      </c>
    </row>
    <row r="18921" spans="1:6" x14ac:dyDescent="0.2">
      <c r="A18921" t="s">
        <v>30989</v>
      </c>
      <c r="B18921" t="s">
        <v>30993</v>
      </c>
      <c r="C18921" t="s">
        <v>5169</v>
      </c>
      <c r="D18921" t="s">
        <v>1008</v>
      </c>
      <c r="E18921" t="s">
        <v>474</v>
      </c>
      <c r="F18921" s="2" t="str">
        <f>HYPERLINK("http://www.otzar.org/book.asp?103237","כליל תפארת")</f>
        <v>כליל תפארת</v>
      </c>
    </row>
    <row r="18922" spans="1:6" x14ac:dyDescent="0.2">
      <c r="A18922" t="s">
        <v>30989</v>
      </c>
      <c r="B18922" t="s">
        <v>24171</v>
      </c>
      <c r="C18922" t="s">
        <v>1437</v>
      </c>
      <c r="D18922" t="s">
        <v>27</v>
      </c>
      <c r="E18922" t="s">
        <v>104</v>
      </c>
      <c r="F18922" s="2" t="str">
        <f>HYPERLINK("http://www.otzar.org/book.asp?53416","כליל תפארת")</f>
        <v>כליל תפארת</v>
      </c>
    </row>
    <row r="18923" spans="1:6" x14ac:dyDescent="0.2">
      <c r="A18923" t="s">
        <v>30991</v>
      </c>
      <c r="B18923" t="s">
        <v>25756</v>
      </c>
      <c r="C18923" t="s">
        <v>20</v>
      </c>
      <c r="D18923" t="s">
        <v>90</v>
      </c>
      <c r="E18923" t="s">
        <v>2071</v>
      </c>
      <c r="F18923" s="2" t="str">
        <f>HYPERLINK("http://www.otzar.org/book.asp?149678","כליל תפארת - 2 כר'")</f>
        <v>כליל תפארת - 2 כר'</v>
      </c>
    </row>
    <row r="18924" spans="1:6" x14ac:dyDescent="0.2">
      <c r="A18924" t="s">
        <v>30989</v>
      </c>
      <c r="B18924" t="s">
        <v>30994</v>
      </c>
      <c r="F18924" s="2" t="str">
        <f>HYPERLINK("http://www.otzar.org/book.asp?616270","כליל תפארת")</f>
        <v>כליל תפארת</v>
      </c>
    </row>
    <row r="18925" spans="1:6" x14ac:dyDescent="0.2">
      <c r="A18925" t="s">
        <v>30995</v>
      </c>
      <c r="B18925" t="s">
        <v>30555</v>
      </c>
      <c r="C18925" t="s">
        <v>5903</v>
      </c>
      <c r="D18925" t="s">
        <v>4269</v>
      </c>
      <c r="E18925" t="s">
        <v>21952</v>
      </c>
      <c r="F18925" s="2" t="str">
        <f>HYPERLINK("http://www.otzar.org/book.asp?18934","כלילת המנורה")</f>
        <v>כלילת המנורה</v>
      </c>
    </row>
    <row r="18926" spans="1:6" x14ac:dyDescent="0.2">
      <c r="A18926" t="s">
        <v>30996</v>
      </c>
      <c r="B18926" t="s">
        <v>776</v>
      </c>
      <c r="C18926" t="s">
        <v>79</v>
      </c>
      <c r="D18926" t="s">
        <v>27</v>
      </c>
      <c r="E18926" t="s">
        <v>213</v>
      </c>
      <c r="F18926" s="2" t="str">
        <f>HYPERLINK("http://www.otzar.org/book.asp?179219","כלילת חן")</f>
        <v>כלילת חן</v>
      </c>
    </row>
    <row r="18927" spans="1:6" x14ac:dyDescent="0.2">
      <c r="A18927" t="s">
        <v>30997</v>
      </c>
      <c r="B18927" t="s">
        <v>301</v>
      </c>
      <c r="C18927" t="s">
        <v>445</v>
      </c>
      <c r="D18927" t="s">
        <v>303</v>
      </c>
      <c r="E18927" t="s">
        <v>674</v>
      </c>
      <c r="F18927" s="2" t="str">
        <f>HYPERLINK("http://www.otzar.org/book.asp?60658","כלילת חתנים")</f>
        <v>כלילת חתנים</v>
      </c>
    </row>
    <row r="18928" spans="1:6" x14ac:dyDescent="0.2">
      <c r="A18928" t="s">
        <v>30998</v>
      </c>
      <c r="B18928" t="s">
        <v>6775</v>
      </c>
      <c r="C18928" t="s">
        <v>2488</v>
      </c>
      <c r="D18928" t="s">
        <v>1495</v>
      </c>
      <c r="E18928" t="s">
        <v>4586</v>
      </c>
      <c r="F18928" s="2" t="str">
        <f>HYPERLINK("http://www.otzar.org/book.asp?101245","כלילת יופי")</f>
        <v>כלילת יופי</v>
      </c>
    </row>
    <row r="18929" spans="1:6" x14ac:dyDescent="0.2">
      <c r="A18929" t="s">
        <v>30999</v>
      </c>
      <c r="B18929" t="s">
        <v>31000</v>
      </c>
      <c r="C18929" t="s">
        <v>31001</v>
      </c>
      <c r="D18929" t="s">
        <v>1117</v>
      </c>
      <c r="E18929" t="s">
        <v>119</v>
      </c>
      <c r="F18929" s="2" t="str">
        <f>HYPERLINK("http://www.otzar.org/book.asp?580","כלילת יופי - 2 כר'")</f>
        <v>כלילת יופי - 2 כר'</v>
      </c>
    </row>
    <row r="18930" spans="1:6" x14ac:dyDescent="0.2">
      <c r="A18930" t="s">
        <v>30998</v>
      </c>
      <c r="B18930" t="s">
        <v>30998</v>
      </c>
      <c r="C18930" t="s">
        <v>332</v>
      </c>
      <c r="D18930" t="s">
        <v>14</v>
      </c>
      <c r="E18930" t="s">
        <v>104</v>
      </c>
      <c r="F18930" s="2" t="str">
        <f>HYPERLINK("http://www.otzar.org/book.asp?200656","כלילת יופי")</f>
        <v>כלילת יופי</v>
      </c>
    </row>
    <row r="18931" spans="1:6" x14ac:dyDescent="0.2">
      <c r="A18931" t="s">
        <v>30998</v>
      </c>
      <c r="B18931" t="s">
        <v>31002</v>
      </c>
      <c r="C18931" t="s">
        <v>12351</v>
      </c>
      <c r="D18931" t="s">
        <v>6801</v>
      </c>
      <c r="E18931" t="s">
        <v>952</v>
      </c>
      <c r="F18931" s="2" t="str">
        <f>HYPERLINK("http://www.otzar.org/book.asp?101246","כלילת יופי")</f>
        <v>כלילת יופי</v>
      </c>
    </row>
    <row r="18932" spans="1:6" x14ac:dyDescent="0.2">
      <c r="A18932" t="s">
        <v>31003</v>
      </c>
      <c r="B18932" t="s">
        <v>31004</v>
      </c>
      <c r="C18932" t="s">
        <v>1177</v>
      </c>
      <c r="D18932" t="s">
        <v>56</v>
      </c>
      <c r="E18932" t="s">
        <v>1211</v>
      </c>
      <c r="F18932" s="2" t="str">
        <f>HYPERLINK("http://www.otzar.org/book.asp?7077","כלילת שאול")</f>
        <v>כלילת שאול</v>
      </c>
    </row>
    <row r="18933" spans="1:6" x14ac:dyDescent="0.2">
      <c r="A18933" t="s">
        <v>31005</v>
      </c>
      <c r="B18933" t="s">
        <v>31006</v>
      </c>
      <c r="C18933" t="s">
        <v>989</v>
      </c>
      <c r="D18933" t="s">
        <v>52</v>
      </c>
      <c r="E18933" t="s">
        <v>684</v>
      </c>
      <c r="F18933" s="2" t="str">
        <f>HYPERLINK("http://www.otzar.org/book.asp?158319","כלים של שלמה")</f>
        <v>כלים של שלמה</v>
      </c>
    </row>
    <row r="18934" spans="1:6" x14ac:dyDescent="0.2">
      <c r="A18934" t="s">
        <v>31007</v>
      </c>
      <c r="B18934" t="s">
        <v>2802</v>
      </c>
      <c r="C18934" t="s">
        <v>466</v>
      </c>
      <c r="D18934" t="s">
        <v>31008</v>
      </c>
      <c r="E18934" t="s">
        <v>144</v>
      </c>
      <c r="F18934" s="2" t="str">
        <f>HYPERLINK("http://www.otzar.org/book.asp?617642","כלכלת שבת")</f>
        <v>כלכלת שבת</v>
      </c>
    </row>
    <row r="18935" spans="1:6" x14ac:dyDescent="0.2">
      <c r="A18935" t="s">
        <v>31009</v>
      </c>
      <c r="B18935" t="s">
        <v>1728</v>
      </c>
      <c r="C18935" t="s">
        <v>466</v>
      </c>
      <c r="D18935" t="s">
        <v>273</v>
      </c>
      <c r="E18935" t="s">
        <v>1185</v>
      </c>
      <c r="F18935" s="2" t="str">
        <f>HYPERLINK("http://www.otzar.org/book.asp?628550","כלל גדול בתורה")</f>
        <v>כלל גדול בתורה</v>
      </c>
    </row>
    <row r="18936" spans="1:6" x14ac:dyDescent="0.2">
      <c r="A18936" t="s">
        <v>31010</v>
      </c>
      <c r="B18936" t="s">
        <v>31011</v>
      </c>
      <c r="C18936" t="s">
        <v>31012</v>
      </c>
      <c r="D18936" t="s">
        <v>1490</v>
      </c>
      <c r="E18936" t="s">
        <v>158</v>
      </c>
      <c r="F18936" s="2" t="str">
        <f>HYPERLINK("http://www.otzar.org/book.asp?24670","כלל קטן")</f>
        <v>כלל קטן</v>
      </c>
    </row>
    <row r="18937" spans="1:6" x14ac:dyDescent="0.2">
      <c r="A18937" t="s">
        <v>31013</v>
      </c>
      <c r="B18937" t="s">
        <v>16215</v>
      </c>
      <c r="C18937" t="s">
        <v>286</v>
      </c>
      <c r="D18937" t="s">
        <v>27</v>
      </c>
      <c r="E18937" t="s">
        <v>241</v>
      </c>
      <c r="F18937" s="2" t="str">
        <f>HYPERLINK("http://www.otzar.org/book.asp?83932","כלל קצר")</f>
        <v>כלל קצר</v>
      </c>
    </row>
    <row r="18938" spans="1:6" x14ac:dyDescent="0.2">
      <c r="A18938" t="s">
        <v>31014</v>
      </c>
      <c r="B18938" t="s">
        <v>4742</v>
      </c>
      <c r="C18938" t="s">
        <v>466</v>
      </c>
      <c r="D18938" t="s">
        <v>52</v>
      </c>
      <c r="E18938" t="s">
        <v>10</v>
      </c>
      <c r="F18938" s="2" t="str">
        <f>HYPERLINK("http://www.otzar.org/book.asp?52992","כללא דאבדתא")</f>
        <v>כללא דאבדתא</v>
      </c>
    </row>
    <row r="18939" spans="1:6" x14ac:dyDescent="0.2">
      <c r="A18939" t="s">
        <v>31015</v>
      </c>
      <c r="B18939" t="s">
        <v>31016</v>
      </c>
      <c r="C18939" t="s">
        <v>37</v>
      </c>
      <c r="D18939" t="s">
        <v>2285</v>
      </c>
      <c r="F18939" s="2" t="str">
        <f>HYPERLINK("http://www.otzar.org/book.asp?198584","כללא דרביתא")</f>
        <v>כללא דרביתא</v>
      </c>
    </row>
    <row r="18940" spans="1:6" x14ac:dyDescent="0.2">
      <c r="A18940" t="s">
        <v>31017</v>
      </c>
      <c r="B18940" t="s">
        <v>31018</v>
      </c>
      <c r="C18940" t="s">
        <v>1811</v>
      </c>
      <c r="D18940" t="s">
        <v>52</v>
      </c>
      <c r="E18940" t="s">
        <v>15</v>
      </c>
      <c r="F18940" s="2" t="str">
        <f>HYPERLINK("http://www.otzar.org/book.asp?150486","כללא דריביתא")</f>
        <v>כללא דריביתא</v>
      </c>
    </row>
    <row r="18941" spans="1:6" x14ac:dyDescent="0.2">
      <c r="A18941" t="s">
        <v>31019</v>
      </c>
      <c r="B18941" t="s">
        <v>31020</v>
      </c>
      <c r="C18941" t="s">
        <v>11298</v>
      </c>
      <c r="D18941" t="s">
        <v>267</v>
      </c>
      <c r="F18941" s="2" t="str">
        <f>HYPERLINK("http://www.otzar.org/book.asp?170177","כללות תיקון ועליות העולמות")</f>
        <v>כללות תיקון ועליות העולמות</v>
      </c>
    </row>
    <row r="18942" spans="1:6" x14ac:dyDescent="0.2">
      <c r="A18942" t="s">
        <v>31021</v>
      </c>
      <c r="B18942" t="s">
        <v>31022</v>
      </c>
      <c r="C18942" t="s">
        <v>313</v>
      </c>
      <c r="D18942" t="s">
        <v>80</v>
      </c>
      <c r="E18942" t="s">
        <v>15</v>
      </c>
      <c r="F18942" s="2" t="str">
        <f>HYPERLINK("http://www.otzar.org/book.asp?601234","כללי אמירה לנכרי")</f>
        <v>כללי אמירה לנכרי</v>
      </c>
    </row>
    <row r="18943" spans="1:6" x14ac:dyDescent="0.2">
      <c r="A18943" t="s">
        <v>31023</v>
      </c>
      <c r="B18943" t="s">
        <v>31024</v>
      </c>
      <c r="C18943" t="s">
        <v>411</v>
      </c>
      <c r="D18943" t="s">
        <v>52</v>
      </c>
      <c r="E18943" t="s">
        <v>144</v>
      </c>
      <c r="F18943" s="2" t="str">
        <f>HYPERLINK("http://www.otzar.org/book.asp?601337","כללי דברים שבלב")</f>
        <v>כללי דברים שבלב</v>
      </c>
    </row>
    <row r="18944" spans="1:6" x14ac:dyDescent="0.2">
      <c r="A18944" t="s">
        <v>31025</v>
      </c>
      <c r="B18944" t="s">
        <v>3651</v>
      </c>
      <c r="C18944" t="s">
        <v>151</v>
      </c>
      <c r="D18944" t="s">
        <v>14</v>
      </c>
      <c r="E18944" t="s">
        <v>144</v>
      </c>
      <c r="F18944" s="2" t="str">
        <f>HYPERLINK("http://www.otzar.org/book.asp?621877","כללי דיחוי")</f>
        <v>כללי דיחוי</v>
      </c>
    </row>
    <row r="18945" spans="1:6" x14ac:dyDescent="0.2">
      <c r="A18945" t="s">
        <v>31026</v>
      </c>
      <c r="B18945" t="s">
        <v>31027</v>
      </c>
      <c r="C18945" t="s">
        <v>473</v>
      </c>
      <c r="D18945" t="s">
        <v>31028</v>
      </c>
      <c r="E18945" t="s">
        <v>104</v>
      </c>
      <c r="F18945" s="2" t="str">
        <f>HYPERLINK("http://www.otzar.org/book.asp?142491","כללי דקדוק הקריאה")</f>
        <v>כללי דקדוק הקריאה</v>
      </c>
    </row>
    <row r="18946" spans="1:6" x14ac:dyDescent="0.2">
      <c r="A18946" t="s">
        <v>31029</v>
      </c>
      <c r="B18946" t="s">
        <v>1600</v>
      </c>
      <c r="C18946" t="s">
        <v>20</v>
      </c>
      <c r="D18946" t="s">
        <v>90</v>
      </c>
      <c r="E18946" t="s">
        <v>15</v>
      </c>
      <c r="F18946" s="2" t="str">
        <f>HYPERLINK("http://www.otzar.org/book.asp?193565","כללי הגיור")</f>
        <v>כללי הגיור</v>
      </c>
    </row>
    <row r="18947" spans="1:6" x14ac:dyDescent="0.2">
      <c r="A18947" t="s">
        <v>31030</v>
      </c>
      <c r="B18947" t="s">
        <v>31031</v>
      </c>
      <c r="C18947" t="s">
        <v>31032</v>
      </c>
      <c r="D18947" t="s">
        <v>28920</v>
      </c>
      <c r="E18947" t="s">
        <v>104</v>
      </c>
      <c r="F18947" s="2" t="str">
        <f>HYPERLINK("http://www.otzar.org/book.asp?605030","כללי הדקדוק")</f>
        <v>כללי הדקדוק</v>
      </c>
    </row>
    <row r="18948" spans="1:6" x14ac:dyDescent="0.2">
      <c r="A18948" t="s">
        <v>31033</v>
      </c>
      <c r="B18948" t="s">
        <v>5732</v>
      </c>
      <c r="C18948" t="s">
        <v>1885</v>
      </c>
      <c r="D18948" t="s">
        <v>267</v>
      </c>
      <c r="E18948" t="s">
        <v>31034</v>
      </c>
      <c r="F18948" s="2" t="str">
        <f>HYPERLINK("http://www.otzar.org/book.asp?8665","כללי הוראה")</f>
        <v>כללי הוראה</v>
      </c>
    </row>
    <row r="18949" spans="1:6" x14ac:dyDescent="0.2">
      <c r="A18949" t="s">
        <v>31035</v>
      </c>
      <c r="B18949" t="s">
        <v>31036</v>
      </c>
      <c r="C18949" t="s">
        <v>422</v>
      </c>
      <c r="D18949" t="s">
        <v>14</v>
      </c>
      <c r="E18949" t="s">
        <v>104</v>
      </c>
      <c r="F18949" s="2" t="str">
        <f>HYPERLINK("http://www.otzar.org/book.asp?153713","כללי הוראת איסור והיתר")</f>
        <v>כללי הוראת איסור והיתר</v>
      </c>
    </row>
    <row r="18950" spans="1:6" x14ac:dyDescent="0.2">
      <c r="A18950" t="s">
        <v>31035</v>
      </c>
      <c r="B18950" t="s">
        <v>19647</v>
      </c>
      <c r="C18950" t="s">
        <v>422</v>
      </c>
      <c r="D18950" t="s">
        <v>14</v>
      </c>
      <c r="E18950" t="s">
        <v>104</v>
      </c>
      <c r="F18950" s="2" t="str">
        <f>HYPERLINK("http://www.otzar.org/book.asp?159631","כללי הוראת איסור והיתר")</f>
        <v>כללי הוראת איסור והיתר</v>
      </c>
    </row>
    <row r="18951" spans="1:6" x14ac:dyDescent="0.2">
      <c r="A18951" t="s">
        <v>31037</v>
      </c>
      <c r="B18951" t="s">
        <v>20147</v>
      </c>
      <c r="C18951" t="s">
        <v>168</v>
      </c>
      <c r="D18951" t="s">
        <v>216</v>
      </c>
      <c r="E18951" t="s">
        <v>158</v>
      </c>
      <c r="F18951" s="2" t="str">
        <f>HYPERLINK("http://www.otzar.org/book.asp?177100","כללי הטעמים של ספרי אמ""ת - 4 כר'")</f>
        <v>כללי הטעמים של ספרי אמ"ת - 4 כר'</v>
      </c>
    </row>
    <row r="18952" spans="1:6" x14ac:dyDescent="0.2">
      <c r="A18952" t="s">
        <v>31038</v>
      </c>
      <c r="B18952" t="s">
        <v>1600</v>
      </c>
      <c r="C18952" t="s">
        <v>129</v>
      </c>
      <c r="D18952" t="s">
        <v>14</v>
      </c>
      <c r="E18952" t="s">
        <v>674</v>
      </c>
      <c r="F18952" s="2" t="str">
        <f>HYPERLINK("http://www.otzar.org/book.asp?606700","כללי המנהגים")</f>
        <v>כללי המנהגים</v>
      </c>
    </row>
    <row r="18953" spans="1:6" x14ac:dyDescent="0.2">
      <c r="A18953" t="s">
        <v>31038</v>
      </c>
      <c r="B18953" t="s">
        <v>31039</v>
      </c>
      <c r="C18953" t="s">
        <v>185</v>
      </c>
      <c r="D18953" t="s">
        <v>1974</v>
      </c>
      <c r="E18953" t="s">
        <v>15</v>
      </c>
      <c r="F18953" s="2" t="str">
        <f>HYPERLINK("http://www.otzar.org/book.asp?630020","כללי המנהגים")</f>
        <v>כללי המנהגים</v>
      </c>
    </row>
    <row r="18954" spans="1:6" x14ac:dyDescent="0.2">
      <c r="A18954" t="s">
        <v>31040</v>
      </c>
      <c r="B18954" t="s">
        <v>13868</v>
      </c>
      <c r="C18954" t="s">
        <v>383</v>
      </c>
      <c r="D18954" t="s">
        <v>412</v>
      </c>
      <c r="E18954" t="s">
        <v>15</v>
      </c>
      <c r="F18954" s="2" t="str">
        <f>HYPERLINK("http://www.otzar.org/book.asp?61543","כללי המצוות")</f>
        <v>כללי המצוות</v>
      </c>
    </row>
    <row r="18955" spans="1:6" x14ac:dyDescent="0.2">
      <c r="A18955" t="s">
        <v>31041</v>
      </c>
      <c r="B18955" t="s">
        <v>13868</v>
      </c>
      <c r="C18955" t="s">
        <v>383</v>
      </c>
      <c r="D18955" t="s">
        <v>139</v>
      </c>
      <c r="E18955" t="s">
        <v>104</v>
      </c>
      <c r="F18955" s="2" t="str">
        <f>HYPERLINK("http://www.otzar.org/book.asp?22997","כללי המצות")</f>
        <v>כללי המצות</v>
      </c>
    </row>
    <row r="18956" spans="1:6" x14ac:dyDescent="0.2">
      <c r="A18956" t="s">
        <v>31042</v>
      </c>
      <c r="B18956" t="s">
        <v>4837</v>
      </c>
      <c r="C18956" t="s">
        <v>332</v>
      </c>
      <c r="D18956" t="s">
        <v>21</v>
      </c>
      <c r="E18956" t="s">
        <v>579</v>
      </c>
      <c r="F18956" s="2" t="str">
        <f>HYPERLINK("http://www.otzar.org/book.asp?603218","כללי המקרא בתורת הפרשנות - א")</f>
        <v>כללי המקרא בתורת הפרשנות - א</v>
      </c>
    </row>
    <row r="18957" spans="1:6" x14ac:dyDescent="0.2">
      <c r="A18957" t="s">
        <v>31043</v>
      </c>
      <c r="B18957" t="s">
        <v>31044</v>
      </c>
      <c r="C18957" t="s">
        <v>1202</v>
      </c>
      <c r="D18957" t="s">
        <v>563</v>
      </c>
      <c r="E18957" t="s">
        <v>674</v>
      </c>
      <c r="F18957" s="2" t="str">
        <f>HYPERLINK("http://www.otzar.org/book.asp?104535","כללי הפוסקים")</f>
        <v>כללי הפוסקים</v>
      </c>
    </row>
    <row r="18958" spans="1:6" x14ac:dyDescent="0.2">
      <c r="A18958" t="s">
        <v>31045</v>
      </c>
      <c r="B18958" t="s">
        <v>1600</v>
      </c>
      <c r="C18958" t="s">
        <v>13</v>
      </c>
      <c r="D18958" t="s">
        <v>14</v>
      </c>
      <c r="E18958" t="s">
        <v>674</v>
      </c>
      <c r="F18958" s="2" t="str">
        <f>HYPERLINK("http://www.otzar.org/book.asp?606699","כללי הפוסקים - אחרונים")</f>
        <v>כללי הפוסקים - אחרונים</v>
      </c>
    </row>
    <row r="18959" spans="1:6" x14ac:dyDescent="0.2">
      <c r="A18959" t="s">
        <v>31046</v>
      </c>
      <c r="B18959" t="s">
        <v>3724</v>
      </c>
      <c r="C18959" t="s">
        <v>617</v>
      </c>
      <c r="D18959" t="s">
        <v>283</v>
      </c>
      <c r="E18959" t="s">
        <v>399</v>
      </c>
      <c r="F18959" s="2" t="str">
        <f>HYPERLINK("http://www.otzar.org/book.asp?12790","כללי התחלת החכמה")</f>
        <v>כללי התחלת החכמה</v>
      </c>
    </row>
    <row r="18960" spans="1:6" x14ac:dyDescent="0.2">
      <c r="A18960" t="s">
        <v>31047</v>
      </c>
      <c r="B18960" t="s">
        <v>7150</v>
      </c>
      <c r="C18960" t="s">
        <v>473</v>
      </c>
      <c r="D18960" t="s">
        <v>280</v>
      </c>
      <c r="E18960" t="s">
        <v>144</v>
      </c>
      <c r="F18960" s="2" t="str">
        <f>HYPERLINK("http://www.otzar.org/book.asp?63854","כללי התלמוד")</f>
        <v>כללי התלמוד</v>
      </c>
    </row>
    <row r="18961" spans="1:6" x14ac:dyDescent="0.2">
      <c r="A18961" t="s">
        <v>31048</v>
      </c>
      <c r="B18961" t="s">
        <v>1035</v>
      </c>
      <c r="C18961" t="s">
        <v>1425</v>
      </c>
      <c r="D18961" t="s">
        <v>76</v>
      </c>
      <c r="E18961" t="s">
        <v>144</v>
      </c>
      <c r="F18961" s="2" t="str">
        <f>HYPERLINK("http://www.otzar.org/book.asp?182144","כללי התלמוד - 2 כר'")</f>
        <v>כללי התלמוד - 2 כר'</v>
      </c>
    </row>
    <row r="18962" spans="1:6" x14ac:dyDescent="0.2">
      <c r="A18962" t="s">
        <v>31049</v>
      </c>
      <c r="B18962" t="s">
        <v>31050</v>
      </c>
      <c r="C18962" t="s">
        <v>71</v>
      </c>
      <c r="D18962" t="s">
        <v>52</v>
      </c>
      <c r="E18962" t="s">
        <v>144</v>
      </c>
      <c r="F18962" s="2" t="str">
        <f>HYPERLINK("http://www.otzar.org/book.asp?85843","כללי חיים - 6 כר'")</f>
        <v>כללי חיים - 6 כר'</v>
      </c>
    </row>
    <row r="18963" spans="1:6" x14ac:dyDescent="0.2">
      <c r="A18963" t="s">
        <v>31051</v>
      </c>
      <c r="B18963" t="s">
        <v>1390</v>
      </c>
      <c r="C18963" t="s">
        <v>1047</v>
      </c>
      <c r="D18963" t="s">
        <v>307</v>
      </c>
      <c r="E18963" t="s">
        <v>399</v>
      </c>
      <c r="F18963" s="2" t="str">
        <f>HYPERLINK("http://www.otzar.org/book.asp?23481","כללי חכמת האמת")</f>
        <v>כללי חכמת האמת</v>
      </c>
    </row>
    <row r="18964" spans="1:6" x14ac:dyDescent="0.2">
      <c r="A18964" t="s">
        <v>31052</v>
      </c>
      <c r="B18964" t="s">
        <v>31053</v>
      </c>
      <c r="C18964" t="s">
        <v>133</v>
      </c>
      <c r="D18964" t="s">
        <v>14</v>
      </c>
      <c r="E18964" t="s">
        <v>15</v>
      </c>
      <c r="F18964" s="2" t="str">
        <f>HYPERLINK("http://www.otzar.org/book.asp?620165","כללי טהרה קנה בשם")</f>
        <v>כללי טהרה קנה בשם</v>
      </c>
    </row>
    <row r="18965" spans="1:6" x14ac:dyDescent="0.2">
      <c r="A18965" t="s">
        <v>31054</v>
      </c>
      <c r="B18965" t="s">
        <v>31055</v>
      </c>
      <c r="C18965" t="s">
        <v>151</v>
      </c>
      <c r="D18965" t="s">
        <v>152</v>
      </c>
      <c r="E18965" t="s">
        <v>1211</v>
      </c>
      <c r="F18965" s="2" t="str">
        <f>HYPERLINK("http://www.otzar.org/book.asp?621874","כללי טעמא דקרא")</f>
        <v>כללי טעמא דקרא</v>
      </c>
    </row>
    <row r="18966" spans="1:6" x14ac:dyDescent="0.2">
      <c r="A18966" t="s">
        <v>31056</v>
      </c>
      <c r="B18966" t="s">
        <v>31057</v>
      </c>
      <c r="C18966" t="s">
        <v>624</v>
      </c>
      <c r="D18966" t="s">
        <v>412</v>
      </c>
      <c r="F18966" s="2" t="str">
        <f>HYPERLINK("http://www.otzar.org/book.asp?617098","כללי טעמי המקרא")</f>
        <v>כללי טעמי המקרא</v>
      </c>
    </row>
    <row r="18967" spans="1:6" x14ac:dyDescent="0.2">
      <c r="A18967" t="s">
        <v>31058</v>
      </c>
      <c r="B18967" t="s">
        <v>31059</v>
      </c>
      <c r="C18967" t="s">
        <v>176</v>
      </c>
      <c r="D18967" t="s">
        <v>14</v>
      </c>
      <c r="E18967" t="s">
        <v>9760</v>
      </c>
      <c r="F18967" s="2" t="str">
        <f>HYPERLINK("http://www.otzar.org/book.asp?6533","כללי כסף נבחר - 4 כר'")</f>
        <v>כללי כסף נבחר - 4 כר'</v>
      </c>
    </row>
    <row r="18968" spans="1:6" x14ac:dyDescent="0.2">
      <c r="A18968" t="s">
        <v>31060</v>
      </c>
      <c r="B18968" t="s">
        <v>31061</v>
      </c>
      <c r="C18968" t="s">
        <v>411</v>
      </c>
      <c r="D18968" t="s">
        <v>14</v>
      </c>
      <c r="E18968" t="s">
        <v>144</v>
      </c>
      <c r="F18968" s="2" t="str">
        <f>HYPERLINK("http://www.otzar.org/book.asp?180970","כללי מיגו")</f>
        <v>כללי מיגו</v>
      </c>
    </row>
    <row r="18969" spans="1:6" x14ac:dyDescent="0.2">
      <c r="A18969" t="s">
        <v>31062</v>
      </c>
      <c r="B18969" t="s">
        <v>27139</v>
      </c>
      <c r="C18969" t="s">
        <v>422</v>
      </c>
      <c r="D18969" t="s">
        <v>52</v>
      </c>
      <c r="E18969" t="s">
        <v>1211</v>
      </c>
      <c r="F18969" s="2" t="str">
        <f>HYPERLINK("http://www.otzar.org/book.asp?153096","כללי ספק ספיקא המבואר")</f>
        <v>כללי ספק ספיקא המבואר</v>
      </c>
    </row>
    <row r="18970" spans="1:6" x14ac:dyDescent="0.2">
      <c r="A18970" t="s">
        <v>31063</v>
      </c>
      <c r="B18970" t="s">
        <v>31064</v>
      </c>
      <c r="C18970" t="s">
        <v>23</v>
      </c>
      <c r="D18970" t="s">
        <v>245</v>
      </c>
      <c r="E18970" t="s">
        <v>674</v>
      </c>
      <c r="F18970" s="2" t="str">
        <f>HYPERLINK("http://www.otzar.org/book.asp?183149","כללי ספק ספיקא לש""ך - קונטרס הספיקות &lt;בירורי הספיקות&gt;")</f>
        <v>כללי ספק ספיקא לש"ך - קונטרס הספיקות &lt;בירורי הספיקות&gt;</v>
      </c>
    </row>
    <row r="18971" spans="1:6" x14ac:dyDescent="0.2">
      <c r="A18971" t="s">
        <v>31065</v>
      </c>
      <c r="B18971" t="s">
        <v>671</v>
      </c>
      <c r="C18971" t="s">
        <v>366</v>
      </c>
      <c r="D18971" t="s">
        <v>21</v>
      </c>
      <c r="F18971" s="2" t="str">
        <f>HYPERLINK("http://www.otzar.org/book.asp?609661","כללי ספק ספיקא מספרי מרן יביע אומר")</f>
        <v>כללי ספק ספיקא מספרי מרן יביע אומר</v>
      </c>
    </row>
    <row r="18972" spans="1:6" x14ac:dyDescent="0.2">
      <c r="A18972" t="s">
        <v>31066</v>
      </c>
      <c r="B18972" t="s">
        <v>9683</v>
      </c>
      <c r="C18972" t="s">
        <v>37</v>
      </c>
      <c r="D18972" t="s">
        <v>14</v>
      </c>
      <c r="F18972" s="2" t="str">
        <f>HYPERLINK("http://www.otzar.org/book.asp?610301","כללי קלב""מ")</f>
        <v>כללי קלב"מ</v>
      </c>
    </row>
    <row r="18973" spans="1:6" x14ac:dyDescent="0.2">
      <c r="A18973" t="s">
        <v>31066</v>
      </c>
      <c r="B18973" t="s">
        <v>12327</v>
      </c>
      <c r="C18973" t="s">
        <v>129</v>
      </c>
      <c r="D18973" t="s">
        <v>14</v>
      </c>
      <c r="E18973" t="s">
        <v>1211</v>
      </c>
      <c r="F18973" s="2" t="str">
        <f>HYPERLINK("http://www.otzar.org/book.asp?145304","כללי קלב""מ")</f>
        <v>כללי קלב"מ</v>
      </c>
    </row>
    <row r="18974" spans="1:6" x14ac:dyDescent="0.2">
      <c r="A18974" t="s">
        <v>31067</v>
      </c>
      <c r="B18974" t="s">
        <v>31068</v>
      </c>
      <c r="C18974" t="s">
        <v>31069</v>
      </c>
      <c r="D18974" t="s">
        <v>27</v>
      </c>
      <c r="F18974" s="2" t="str">
        <f>HYPERLINK("http://www.otzar.org/book.asp?170288","כללי קצור ספר הפליאה")</f>
        <v>כללי קצור ספר הפליאה</v>
      </c>
    </row>
    <row r="18975" spans="1:6" x14ac:dyDescent="0.2">
      <c r="A18975" t="s">
        <v>31070</v>
      </c>
      <c r="B18975" t="s">
        <v>31071</v>
      </c>
      <c r="C18975" t="s">
        <v>37</v>
      </c>
      <c r="D18975" t="s">
        <v>1156</v>
      </c>
      <c r="E18975" t="s">
        <v>104</v>
      </c>
      <c r="F18975" s="2" t="str">
        <f>HYPERLINK("http://www.otzar.org/book.asp?607587","כללי רש""י ותוספות")</f>
        <v>כללי רש"י ותוספות</v>
      </c>
    </row>
    <row r="18976" spans="1:6" x14ac:dyDescent="0.2">
      <c r="A18976" t="s">
        <v>31072</v>
      </c>
      <c r="B18976" t="s">
        <v>31073</v>
      </c>
      <c r="C18976" t="s">
        <v>1619</v>
      </c>
      <c r="D18976" t="s">
        <v>14</v>
      </c>
      <c r="E18976" t="s">
        <v>3387</v>
      </c>
      <c r="F18976" s="2" t="str">
        <f>HYPERLINK("http://www.otzar.org/book.asp?10524","כללי שמואל")</f>
        <v>כללי שמואל</v>
      </c>
    </row>
    <row r="18977" spans="1:6" x14ac:dyDescent="0.2">
      <c r="A18977" t="s">
        <v>31074</v>
      </c>
      <c r="B18977" t="s">
        <v>758</v>
      </c>
      <c r="C18977" t="s">
        <v>2008</v>
      </c>
      <c r="D18977" t="s">
        <v>260</v>
      </c>
      <c r="E18977" t="s">
        <v>733</v>
      </c>
      <c r="F18977" s="2" t="str">
        <f>HYPERLINK("http://www.otzar.org/book.asp?13067","כללי תורה - 2 כר'")</f>
        <v>כללי תורה - 2 כר'</v>
      </c>
    </row>
    <row r="18978" spans="1:6" x14ac:dyDescent="0.2">
      <c r="A18978" t="s">
        <v>31075</v>
      </c>
      <c r="B18978" t="s">
        <v>11936</v>
      </c>
      <c r="C18978" t="s">
        <v>20</v>
      </c>
      <c r="D18978" t="s">
        <v>14</v>
      </c>
      <c r="E18978" t="s">
        <v>674</v>
      </c>
      <c r="F18978" s="2" t="str">
        <f>HYPERLINK("http://www.otzar.org/book.asp?606639","כללים בהלכה - שבת א")</f>
        <v>כללים בהלכה - שבת א</v>
      </c>
    </row>
    <row r="18979" spans="1:6" x14ac:dyDescent="0.2">
      <c r="A18979" t="s">
        <v>31076</v>
      </c>
      <c r="B18979" t="s">
        <v>31077</v>
      </c>
      <c r="C18979" t="s">
        <v>37</v>
      </c>
      <c r="D18979" t="s">
        <v>52</v>
      </c>
      <c r="E18979" t="s">
        <v>15</v>
      </c>
      <c r="F18979" s="2" t="str">
        <f>HYPERLINK("http://www.otzar.org/book.asp?199915","כללים בהלכות שבת - 8 כר'")</f>
        <v>כללים בהלכות שבת - 8 כר'</v>
      </c>
    </row>
    <row r="18980" spans="1:6" x14ac:dyDescent="0.2">
      <c r="A18980" t="s">
        <v>31078</v>
      </c>
      <c r="B18980" t="s">
        <v>31079</v>
      </c>
      <c r="C18980" t="s">
        <v>366</v>
      </c>
      <c r="D18980" t="s">
        <v>1156</v>
      </c>
      <c r="E18980" t="s">
        <v>15</v>
      </c>
      <c r="F18980" s="2" t="str">
        <f>HYPERLINK("http://www.otzar.org/book.asp?610201","כללים הערות וביאורים בענין תליה במכה")</f>
        <v>כללים הערות וביאורים בענין תליה במכה</v>
      </c>
    </row>
    <row r="18981" spans="1:6" x14ac:dyDescent="0.2">
      <c r="A18981" t="s">
        <v>31080</v>
      </c>
      <c r="B18981" t="s">
        <v>31081</v>
      </c>
      <c r="C18981" t="s">
        <v>133</v>
      </c>
      <c r="D18981" t="s">
        <v>52</v>
      </c>
      <c r="F18981" s="2" t="str">
        <f>HYPERLINK("http://www.otzar.org/book.asp?170353","כמה ענינים בסוגיות הש""ס")</f>
        <v>כמה ענינים בסוגיות הש"ס</v>
      </c>
    </row>
    <row r="18982" spans="1:6" x14ac:dyDescent="0.2">
      <c r="A18982" t="s">
        <v>31082</v>
      </c>
      <c r="B18982" t="s">
        <v>31083</v>
      </c>
      <c r="C18982" t="s">
        <v>68</v>
      </c>
      <c r="D18982" t="s">
        <v>14</v>
      </c>
      <c r="E18982" t="s">
        <v>104</v>
      </c>
      <c r="F18982" s="2" t="str">
        <f>HYPERLINK("http://www.otzar.org/book.asp?174021","כמו השחר &lt;מהדורה חדשה&gt; - צפית לישועה, ים התלמוד")</f>
        <v>כמו השחר &lt;מהדורה חדשה&gt; - צפית לישועה, ים התלמוד</v>
      </c>
    </row>
    <row r="18983" spans="1:6" x14ac:dyDescent="0.2">
      <c r="A18983" t="s">
        <v>31084</v>
      </c>
      <c r="B18983" t="s">
        <v>31085</v>
      </c>
      <c r="C18983" t="s">
        <v>2644</v>
      </c>
      <c r="D18983" t="s">
        <v>352</v>
      </c>
      <c r="E18983" t="s">
        <v>1211</v>
      </c>
      <c r="F18983" s="2" t="str">
        <f>HYPERLINK("http://www.otzar.org/book.asp?101292","כמו השחר")</f>
        <v>כמו השחר</v>
      </c>
    </row>
    <row r="18984" spans="1:6" x14ac:dyDescent="0.2">
      <c r="A18984" t="s">
        <v>31086</v>
      </c>
      <c r="B18984" t="s">
        <v>31087</v>
      </c>
      <c r="C18984" t="s">
        <v>624</v>
      </c>
      <c r="D18984" t="s">
        <v>2375</v>
      </c>
      <c r="E18984" t="s">
        <v>20972</v>
      </c>
      <c r="F18984" s="2" t="str">
        <f>HYPERLINK("http://www.otzar.org/book.asp?156412","כמוס עמדי - ב")</f>
        <v>כמוס עמדי - ב</v>
      </c>
    </row>
    <row r="18985" spans="1:6" x14ac:dyDescent="0.2">
      <c r="A18985" t="s">
        <v>31086</v>
      </c>
      <c r="B18985" t="s">
        <v>31088</v>
      </c>
      <c r="C18985" t="s">
        <v>775</v>
      </c>
      <c r="D18985" t="s">
        <v>423</v>
      </c>
      <c r="E18985" t="s">
        <v>588</v>
      </c>
      <c r="F18985" s="2" t="str">
        <f>HYPERLINK("http://www.otzar.org/book.asp?191238","כמוס עמדי - ב")</f>
        <v>כמוס עמדי - ב</v>
      </c>
    </row>
    <row r="18986" spans="1:6" x14ac:dyDescent="0.2">
      <c r="A18986" t="s">
        <v>31089</v>
      </c>
      <c r="B18986" t="s">
        <v>206</v>
      </c>
      <c r="C18986" t="s">
        <v>20</v>
      </c>
      <c r="D18986" t="s">
        <v>14</v>
      </c>
      <c r="F18986" s="2" t="str">
        <f>HYPERLINK("http://www.otzar.org/book.asp?608393","כמות ואיכות בעבודת השי""ת")</f>
        <v>כמות ואיכות בעבודת השי"ת</v>
      </c>
    </row>
    <row r="18987" spans="1:6" x14ac:dyDescent="0.2">
      <c r="A18987" t="s">
        <v>31090</v>
      </c>
      <c r="B18987" t="s">
        <v>552</v>
      </c>
      <c r="C18987" t="s">
        <v>37</v>
      </c>
      <c r="D18987" t="s">
        <v>14</v>
      </c>
      <c r="E18987" t="s">
        <v>5392</v>
      </c>
      <c r="F18987" s="2" t="str">
        <f>HYPERLINK("http://www.otzar.org/book.asp?198244","כמטר לקחי - 2 כר'")</f>
        <v>כמטר לקחי - 2 כר'</v>
      </c>
    </row>
    <row r="18988" spans="1:6" x14ac:dyDescent="0.2">
      <c r="A18988" t="s">
        <v>31091</v>
      </c>
      <c r="B18988" t="s">
        <v>31092</v>
      </c>
      <c r="C18988" t="s">
        <v>244</v>
      </c>
      <c r="D18988" t="s">
        <v>21</v>
      </c>
      <c r="E18988" t="s">
        <v>158</v>
      </c>
      <c r="F18988" s="2" t="str">
        <f>HYPERLINK("http://www.otzar.org/book.asp?197182","כמעיין המתגבר")</f>
        <v>כמעיין המתגבר</v>
      </c>
    </row>
    <row r="18989" spans="1:6" x14ac:dyDescent="0.2">
      <c r="A18989" t="s">
        <v>31093</v>
      </c>
      <c r="B18989" t="s">
        <v>206</v>
      </c>
      <c r="C18989" t="s">
        <v>20</v>
      </c>
      <c r="D18989" t="s">
        <v>90</v>
      </c>
      <c r="F18989" s="2" t="str">
        <f>HYPERLINK("http://www.otzar.org/book.asp?630088","כן ירבה")</f>
        <v>כן ירבה</v>
      </c>
    </row>
    <row r="18990" spans="1:6" x14ac:dyDescent="0.2">
      <c r="A18990" t="s">
        <v>31094</v>
      </c>
      <c r="B18990" t="s">
        <v>31095</v>
      </c>
      <c r="C18990" t="s">
        <v>31096</v>
      </c>
      <c r="D18990" t="s">
        <v>27</v>
      </c>
      <c r="E18990" t="s">
        <v>621</v>
      </c>
      <c r="F18990" s="2" t="str">
        <f>HYPERLINK("http://www.otzar.org/book.asp?20886","כנגה צדקה - 2 כר'")</f>
        <v>כנגה צדקה - 2 כר'</v>
      </c>
    </row>
    <row r="18991" spans="1:6" x14ac:dyDescent="0.2">
      <c r="A18991" t="s">
        <v>31097</v>
      </c>
      <c r="B18991" t="s">
        <v>31098</v>
      </c>
      <c r="C18991" t="s">
        <v>68</v>
      </c>
      <c r="D18991" t="s">
        <v>412</v>
      </c>
      <c r="E18991" t="s">
        <v>140</v>
      </c>
      <c r="F18991" s="2" t="str">
        <f>HYPERLINK("http://www.otzar.org/book.asp?168570","כנגן המנגן - 2 כר'")</f>
        <v>כנגן המנגן - 2 כר'</v>
      </c>
    </row>
    <row r="18992" spans="1:6" x14ac:dyDescent="0.2">
      <c r="A18992" t="s">
        <v>31099</v>
      </c>
      <c r="B18992" t="s">
        <v>31100</v>
      </c>
      <c r="C18992" t="s">
        <v>37</v>
      </c>
      <c r="D18992" t="s">
        <v>14</v>
      </c>
      <c r="E18992" t="s">
        <v>219</v>
      </c>
      <c r="F18992" s="2" t="str">
        <f>HYPERLINK("http://www.otzar.org/book.asp?179662","כנור דוד")</f>
        <v>כנור דוד</v>
      </c>
    </row>
    <row r="18993" spans="1:6" x14ac:dyDescent="0.2">
      <c r="A18993" t="s">
        <v>31101</v>
      </c>
      <c r="B18993" t="s">
        <v>31102</v>
      </c>
      <c r="C18993" t="s">
        <v>63</v>
      </c>
      <c r="D18993" t="s">
        <v>646</v>
      </c>
      <c r="F18993" s="2" t="str">
        <f>HYPERLINK("http://www.otzar.org/book.asp?615656","כנור של דוד - 2 כר'")</f>
        <v>כנור של דוד - 2 כר'</v>
      </c>
    </row>
    <row r="18994" spans="1:6" x14ac:dyDescent="0.2">
      <c r="A18994" t="s">
        <v>31103</v>
      </c>
      <c r="B18994" t="s">
        <v>31104</v>
      </c>
      <c r="C18994" t="s">
        <v>23</v>
      </c>
      <c r="D18994" t="s">
        <v>14</v>
      </c>
      <c r="E18994" t="s">
        <v>674</v>
      </c>
      <c r="F18994" s="2" t="str">
        <f>HYPERLINK("http://www.otzar.org/book.asp?198165","כנס הדיינים - 3 כר'")</f>
        <v>כנס הדיינים - 3 כר'</v>
      </c>
    </row>
    <row r="18995" spans="1:6" x14ac:dyDescent="0.2">
      <c r="A18995" t="s">
        <v>31105</v>
      </c>
      <c r="B18995" t="s">
        <v>31027</v>
      </c>
      <c r="C18995" t="s">
        <v>129</v>
      </c>
      <c r="D18995" t="s">
        <v>27</v>
      </c>
      <c r="E18995" t="s">
        <v>154</v>
      </c>
      <c r="F18995" s="2" t="str">
        <f>HYPERLINK("http://www.otzar.org/book.asp?193645","כנסיה לשם שמים &lt;מהדורה חדשה&gt;")</f>
        <v>כנסיה לשם שמים &lt;מהדורה חדשה&gt;</v>
      </c>
    </row>
    <row r="18996" spans="1:6" x14ac:dyDescent="0.2">
      <c r="A18996" t="s">
        <v>31106</v>
      </c>
      <c r="B18996" t="s">
        <v>31027</v>
      </c>
      <c r="C18996" t="s">
        <v>603</v>
      </c>
      <c r="D18996" t="s">
        <v>27</v>
      </c>
      <c r="E18996" t="s">
        <v>31107</v>
      </c>
      <c r="F18996" s="2" t="str">
        <f>HYPERLINK("http://www.otzar.org/book.asp?101247","כנסיה לשם שמים")</f>
        <v>כנסיה לשם שמים</v>
      </c>
    </row>
    <row r="18997" spans="1:6" x14ac:dyDescent="0.2">
      <c r="A18997" t="s">
        <v>31108</v>
      </c>
      <c r="B18997" t="s">
        <v>31109</v>
      </c>
      <c r="C18997" t="s">
        <v>146</v>
      </c>
      <c r="D18997" t="s">
        <v>14</v>
      </c>
      <c r="E18997" t="s">
        <v>144</v>
      </c>
      <c r="F18997" s="2" t="str">
        <f>HYPERLINK("http://www.otzar.org/book.asp?50143","כנסת אברהם - 2 כר'")</f>
        <v>כנסת אברהם - 2 כר'</v>
      </c>
    </row>
    <row r="18998" spans="1:6" x14ac:dyDescent="0.2">
      <c r="A18998" t="s">
        <v>31110</v>
      </c>
      <c r="B18998" t="s">
        <v>31111</v>
      </c>
      <c r="C18998" t="s">
        <v>133</v>
      </c>
      <c r="D18998" t="s">
        <v>21</v>
      </c>
      <c r="E18998" t="s">
        <v>148</v>
      </c>
      <c r="F18998" s="2" t="str">
        <f>HYPERLINK("http://www.otzar.org/book.asp?603941","כנסת אהרן")</f>
        <v>כנסת אהרן</v>
      </c>
    </row>
    <row r="18999" spans="1:6" x14ac:dyDescent="0.2">
      <c r="A18999" t="s">
        <v>31112</v>
      </c>
      <c r="B18999" t="s">
        <v>1005</v>
      </c>
      <c r="C18999" t="s">
        <v>13</v>
      </c>
      <c r="D18999" t="s">
        <v>14</v>
      </c>
      <c r="E18999" t="s">
        <v>202</v>
      </c>
      <c r="F18999" s="2" t="str">
        <f>HYPERLINK("http://www.otzar.org/book.asp?166990","כנסת אליהו אהרן")</f>
        <v>כנסת אליהו אהרן</v>
      </c>
    </row>
    <row r="19000" spans="1:6" x14ac:dyDescent="0.2">
      <c r="A19000" t="s">
        <v>31113</v>
      </c>
      <c r="B19000" t="s">
        <v>1842</v>
      </c>
      <c r="C19000" t="s">
        <v>244</v>
      </c>
      <c r="D19000" t="s">
        <v>1840</v>
      </c>
      <c r="E19000" t="s">
        <v>158</v>
      </c>
      <c r="F19000" s="2" t="str">
        <f>HYPERLINK("http://www.otzar.org/book.asp?197392","כנסת אליהו - 2 כר'")</f>
        <v>כנסת אליהו - 2 כר'</v>
      </c>
    </row>
    <row r="19001" spans="1:6" x14ac:dyDescent="0.2">
      <c r="A19001" t="s">
        <v>31114</v>
      </c>
      <c r="B19001" t="s">
        <v>5658</v>
      </c>
      <c r="C19001" t="s">
        <v>1535</v>
      </c>
      <c r="D19001" t="s">
        <v>27</v>
      </c>
      <c r="E19001" t="s">
        <v>31115</v>
      </c>
      <c r="F19001" s="2" t="str">
        <f>HYPERLINK("http://www.otzar.org/book.asp?200140","כנסת אליהו")</f>
        <v>כנסת אליהו</v>
      </c>
    </row>
    <row r="19002" spans="1:6" x14ac:dyDescent="0.2">
      <c r="A19002" t="s">
        <v>31116</v>
      </c>
      <c r="B19002" t="s">
        <v>31116</v>
      </c>
      <c r="C19002" t="s">
        <v>482</v>
      </c>
      <c r="D19002" t="s">
        <v>27</v>
      </c>
      <c r="E19002" t="s">
        <v>202</v>
      </c>
      <c r="F19002" s="2" t="str">
        <f>HYPERLINK("http://www.otzar.org/book.asp?20204","כנסת בית יצחק")</f>
        <v>כנסת בית יצחק</v>
      </c>
    </row>
    <row r="19003" spans="1:6" x14ac:dyDescent="0.2">
      <c r="A19003" t="s">
        <v>31117</v>
      </c>
      <c r="B19003" t="s">
        <v>31118</v>
      </c>
      <c r="C19003" t="s">
        <v>492</v>
      </c>
      <c r="D19003" t="s">
        <v>14</v>
      </c>
      <c r="E19003" t="s">
        <v>15</v>
      </c>
      <c r="F19003" s="2" t="str">
        <f>HYPERLINK("http://www.otzar.org/book.asp?193904","כנסת דוד")</f>
        <v>כנסת דוד</v>
      </c>
    </row>
    <row r="19004" spans="1:6" x14ac:dyDescent="0.2">
      <c r="A19004" t="s">
        <v>31117</v>
      </c>
      <c r="B19004" t="s">
        <v>12288</v>
      </c>
      <c r="C19004" t="s">
        <v>189</v>
      </c>
      <c r="D19004" t="s">
        <v>14</v>
      </c>
      <c r="E19004" t="s">
        <v>119</v>
      </c>
      <c r="F19004" s="2" t="str">
        <f>HYPERLINK("http://www.otzar.org/book.asp?159171","כנסת דוד")</f>
        <v>כנסת דוד</v>
      </c>
    </row>
    <row r="19005" spans="1:6" x14ac:dyDescent="0.2">
      <c r="A19005" t="s">
        <v>31119</v>
      </c>
      <c r="B19005" t="s">
        <v>11484</v>
      </c>
      <c r="C19005" t="s">
        <v>553</v>
      </c>
      <c r="D19005" t="s">
        <v>14</v>
      </c>
      <c r="E19005" t="s">
        <v>15</v>
      </c>
      <c r="F19005" s="2" t="str">
        <f>HYPERLINK("http://www.otzar.org/book.asp?85593","כנסת הגדולה &lt;מכון הכתב&gt; - 29 כר'")</f>
        <v>כנסת הגדולה &lt;מכון הכתב&gt; - 29 כר'</v>
      </c>
    </row>
    <row r="19006" spans="1:6" x14ac:dyDescent="0.2">
      <c r="A19006" t="s">
        <v>31120</v>
      </c>
      <c r="B19006" t="s">
        <v>11484</v>
      </c>
      <c r="C19006" t="s">
        <v>4266</v>
      </c>
      <c r="D19006" t="s">
        <v>212</v>
      </c>
      <c r="E19006" t="s">
        <v>15</v>
      </c>
      <c r="F19006" s="2" t="str">
        <f>HYPERLINK("http://www.otzar.org/book.asp?141303","כנסת הגדולה &lt;שיירי כנה""ג&gt; - 5 כר'")</f>
        <v>כנסת הגדולה &lt;שיירי כנה"ג&gt; - 5 כר'</v>
      </c>
    </row>
    <row r="19007" spans="1:6" x14ac:dyDescent="0.2">
      <c r="A19007" t="s">
        <v>31121</v>
      </c>
      <c r="B19007" t="s">
        <v>11484</v>
      </c>
      <c r="C19007" t="s">
        <v>568</v>
      </c>
      <c r="D19007" t="s">
        <v>267</v>
      </c>
      <c r="E19007" t="s">
        <v>15</v>
      </c>
      <c r="F19007" s="2" t="str">
        <f>HYPERLINK("http://www.otzar.org/book.asp?22225","כנסת הגדולה - 14 כר'")</f>
        <v>כנסת הגדולה - 14 כר'</v>
      </c>
    </row>
    <row r="19008" spans="1:6" x14ac:dyDescent="0.2">
      <c r="A19008" t="s">
        <v>31122</v>
      </c>
      <c r="B19008" t="s">
        <v>301</v>
      </c>
      <c r="C19008" t="s">
        <v>31123</v>
      </c>
      <c r="D19008" t="s">
        <v>18157</v>
      </c>
      <c r="E19008" t="s">
        <v>202</v>
      </c>
      <c r="F19008" s="2" t="str">
        <f>HYPERLINK("http://www.otzar.org/book.asp?168085","כנסת הגדולה - 2 כר'")</f>
        <v>כנסת הגדולה - 2 כר'</v>
      </c>
    </row>
    <row r="19009" spans="1:6" x14ac:dyDescent="0.2">
      <c r="A19009" t="s">
        <v>31124</v>
      </c>
      <c r="B19009" t="s">
        <v>25949</v>
      </c>
      <c r="C19009" t="s">
        <v>9957</v>
      </c>
      <c r="D19009" t="s">
        <v>283</v>
      </c>
      <c r="E19009" t="s">
        <v>202</v>
      </c>
      <c r="F19009" s="2" t="str">
        <f>HYPERLINK("http://www.otzar.org/book.asp?18935","כנסת הגדולה - 4 כר'")</f>
        <v>כנסת הגדולה - 4 כר'</v>
      </c>
    </row>
    <row r="19010" spans="1:6" x14ac:dyDescent="0.2">
      <c r="A19010" t="s">
        <v>31125</v>
      </c>
      <c r="B19010" t="s">
        <v>31126</v>
      </c>
      <c r="C19010" t="s">
        <v>68</v>
      </c>
      <c r="D19010" t="s">
        <v>14</v>
      </c>
      <c r="E19010" t="s">
        <v>202</v>
      </c>
      <c r="F19010" s="2" t="str">
        <f>HYPERLINK("http://www.otzar.org/book.asp?620498","כנסת המוסר")</f>
        <v>כנסת המוסר</v>
      </c>
    </row>
    <row r="19011" spans="1:6" x14ac:dyDescent="0.2">
      <c r="A19011" t="s">
        <v>31127</v>
      </c>
      <c r="B19011" t="s">
        <v>31128</v>
      </c>
      <c r="C19011" t="s">
        <v>51</v>
      </c>
      <c r="D19011" t="s">
        <v>52</v>
      </c>
      <c r="E19011" t="s">
        <v>803</v>
      </c>
      <c r="F19011" s="2" t="str">
        <f>HYPERLINK("http://www.otzar.org/book.asp?53005","כנסת הראשונים - 3 כר'")</f>
        <v>כנסת הראשונים - 3 כר'</v>
      </c>
    </row>
    <row r="19012" spans="1:6" x14ac:dyDescent="0.2">
      <c r="A19012" t="s">
        <v>31129</v>
      </c>
      <c r="B19012" t="s">
        <v>31130</v>
      </c>
      <c r="C19012" t="s">
        <v>454</v>
      </c>
      <c r="D19012" t="s">
        <v>52</v>
      </c>
      <c r="E19012" t="s">
        <v>144</v>
      </c>
      <c r="F19012" s="2" t="str">
        <f>HYPERLINK("http://www.otzar.org/book.asp?52297","כנסת הראשונים - 2 כר'")</f>
        <v>כנסת הראשונים - 2 כר'</v>
      </c>
    </row>
    <row r="19013" spans="1:6" x14ac:dyDescent="0.2">
      <c r="A19013" t="s">
        <v>31131</v>
      </c>
      <c r="B19013" t="s">
        <v>31132</v>
      </c>
      <c r="C19013" t="s">
        <v>1650</v>
      </c>
      <c r="D19013" t="s">
        <v>412</v>
      </c>
      <c r="E19013" t="s">
        <v>119</v>
      </c>
      <c r="F19013" s="2" t="str">
        <f>HYPERLINK("http://www.otzar.org/book.asp?21703","כנסת הרבנים האורתודאקסים באמעריקא")</f>
        <v>כנסת הרבנים האורתודאקסים באמעריקא</v>
      </c>
    </row>
    <row r="19014" spans="1:6" x14ac:dyDescent="0.2">
      <c r="A19014" t="s">
        <v>31133</v>
      </c>
      <c r="B19014" t="s">
        <v>3166</v>
      </c>
      <c r="C19014" t="s">
        <v>523</v>
      </c>
      <c r="D19014" t="s">
        <v>14</v>
      </c>
      <c r="E19014" t="s">
        <v>31134</v>
      </c>
      <c r="F19014" s="2" t="str">
        <f>HYPERLINK("http://www.otzar.org/book.asp?200378","כנסת חיים")</f>
        <v>כנסת חיים</v>
      </c>
    </row>
    <row r="19015" spans="1:6" x14ac:dyDescent="0.2">
      <c r="A19015" t="s">
        <v>31135</v>
      </c>
      <c r="B19015" t="s">
        <v>31136</v>
      </c>
      <c r="C19015" t="s">
        <v>27010</v>
      </c>
      <c r="D19015" t="s">
        <v>5209</v>
      </c>
      <c r="E19015" t="s">
        <v>7138</v>
      </c>
      <c r="F19015" s="2" t="str">
        <f>HYPERLINK("http://www.otzar.org/book.asp?18936","כנסת חכמי ישראל &lt;קובץ&gt; - 15 כר'")</f>
        <v>כנסת חכמי ישראל &lt;קובץ&gt; - 15 כר'</v>
      </c>
    </row>
    <row r="19016" spans="1:6" x14ac:dyDescent="0.2">
      <c r="A19016" t="s">
        <v>31137</v>
      </c>
      <c r="B19016" t="s">
        <v>31137</v>
      </c>
      <c r="C19016" t="s">
        <v>1228</v>
      </c>
      <c r="D19016" t="s">
        <v>13153</v>
      </c>
      <c r="E19016" t="s">
        <v>202</v>
      </c>
      <c r="F19016" s="2" t="str">
        <f>HYPERLINK("http://www.otzar.org/book.asp?151620","כנסת חכמים")</f>
        <v>כנסת חכמים</v>
      </c>
    </row>
    <row r="19017" spans="1:6" x14ac:dyDescent="0.2">
      <c r="A19017" t="s">
        <v>31138</v>
      </c>
      <c r="B19017" t="s">
        <v>31139</v>
      </c>
      <c r="C19017" t="s">
        <v>3690</v>
      </c>
      <c r="D19017" t="s">
        <v>17752</v>
      </c>
      <c r="E19017" t="s">
        <v>64</v>
      </c>
      <c r="F19017" s="2" t="str">
        <f>HYPERLINK("http://www.otzar.org/book.asp?149561","כנסת חקקי ישרון")</f>
        <v>כנסת חקקי ישרון</v>
      </c>
    </row>
    <row r="19018" spans="1:6" x14ac:dyDescent="0.2">
      <c r="A19018" t="s">
        <v>31140</v>
      </c>
      <c r="B19018" t="s">
        <v>31141</v>
      </c>
      <c r="C19018" t="s">
        <v>775</v>
      </c>
      <c r="D19018" t="s">
        <v>14</v>
      </c>
      <c r="E19018" t="s">
        <v>202</v>
      </c>
      <c r="F19018" s="2" t="str">
        <f>HYPERLINK("http://www.otzar.org/book.asp?179387","כנסת יהודה &lt;קובץ&gt; - 2 כר'")</f>
        <v>כנסת יהודה &lt;קובץ&gt; - 2 כר'</v>
      </c>
    </row>
    <row r="19019" spans="1:6" x14ac:dyDescent="0.2">
      <c r="A19019" t="s">
        <v>31142</v>
      </c>
      <c r="B19019" t="s">
        <v>31143</v>
      </c>
      <c r="C19019" t="s">
        <v>332</v>
      </c>
      <c r="D19019" t="s">
        <v>14</v>
      </c>
      <c r="E19019" t="s">
        <v>202</v>
      </c>
      <c r="F19019" s="2" t="str">
        <f>HYPERLINK("http://www.otzar.org/book.asp?171493","כנסת יהודה - א")</f>
        <v>כנסת יהודה - א</v>
      </c>
    </row>
    <row r="19020" spans="1:6" x14ac:dyDescent="0.2">
      <c r="A19020" t="s">
        <v>31144</v>
      </c>
      <c r="B19020" t="s">
        <v>31145</v>
      </c>
      <c r="C19020" t="s">
        <v>427</v>
      </c>
      <c r="D19020" t="s">
        <v>14</v>
      </c>
      <c r="E19020" t="s">
        <v>144</v>
      </c>
      <c r="F19020" s="2" t="str">
        <f>HYPERLINK("http://www.otzar.org/book.asp?618928","כנסת יהושע - בבא מציעא")</f>
        <v>כנסת יהושע - בבא מציעא</v>
      </c>
    </row>
    <row r="19021" spans="1:6" x14ac:dyDescent="0.2">
      <c r="A19021" t="s">
        <v>31146</v>
      </c>
      <c r="B19021" t="s">
        <v>31147</v>
      </c>
      <c r="C19021" t="s">
        <v>919</v>
      </c>
      <c r="D19021" t="s">
        <v>216</v>
      </c>
      <c r="E19021" t="s">
        <v>202</v>
      </c>
      <c r="F19021" s="2" t="str">
        <f>HYPERLINK("http://www.otzar.org/book.asp?13535","כנסת יחזקאל &lt;ספר זכרון לר' יחזקאל סרנא&gt;")</f>
        <v>כנסת יחזקאל &lt;ספר זכרון לר' יחזקאל סרנא&gt;</v>
      </c>
    </row>
    <row r="19022" spans="1:6" x14ac:dyDescent="0.2">
      <c r="A19022" t="s">
        <v>31148</v>
      </c>
      <c r="B19022" t="s">
        <v>31149</v>
      </c>
      <c r="D19022" t="s">
        <v>412</v>
      </c>
      <c r="E19022" t="s">
        <v>234</v>
      </c>
      <c r="F19022" s="2" t="str">
        <f>HYPERLINK("http://www.otzar.org/book.asp?610905","כנסת יחזקאל &lt;מהדורה חדשה&gt; - 2 כר'")</f>
        <v>כנסת יחזקאל &lt;מהדורה חדשה&gt; - 2 כר'</v>
      </c>
    </row>
    <row r="19023" spans="1:6" x14ac:dyDescent="0.2">
      <c r="A19023" t="s">
        <v>31150</v>
      </c>
      <c r="B19023" t="s">
        <v>28591</v>
      </c>
      <c r="C19023" t="s">
        <v>146</v>
      </c>
      <c r="D19023" t="s">
        <v>147</v>
      </c>
      <c r="E19023" t="s">
        <v>186</v>
      </c>
      <c r="F19023" s="2" t="str">
        <f>HYPERLINK("http://www.otzar.org/book.asp?148665","כנסת יחזקאל - 2 כר'")</f>
        <v>כנסת יחזקאל - 2 כר'</v>
      </c>
    </row>
    <row r="19024" spans="1:6" x14ac:dyDescent="0.2">
      <c r="A19024" t="s">
        <v>31151</v>
      </c>
      <c r="B19024" t="s">
        <v>31152</v>
      </c>
      <c r="C19024" t="s">
        <v>422</v>
      </c>
      <c r="D19024" t="s">
        <v>14</v>
      </c>
      <c r="E19024" t="s">
        <v>154</v>
      </c>
      <c r="F19024" s="2" t="str">
        <f>HYPERLINK("http://www.otzar.org/book.asp?161072","כנסת יחזקאל - 3 כר'")</f>
        <v>כנסת יחזקאל - 3 כר'</v>
      </c>
    </row>
    <row r="19025" spans="1:6" x14ac:dyDescent="0.2">
      <c r="A19025" t="s">
        <v>31147</v>
      </c>
      <c r="B19025" t="s">
        <v>31149</v>
      </c>
      <c r="C19025" t="s">
        <v>1535</v>
      </c>
      <c r="D19025" t="s">
        <v>30</v>
      </c>
      <c r="E19025" t="s">
        <v>474</v>
      </c>
      <c r="F19025" s="2" t="str">
        <f>HYPERLINK("http://www.otzar.org/book.asp?150039","כנסת יחזקאל")</f>
        <v>כנסת יחזקאל</v>
      </c>
    </row>
    <row r="19026" spans="1:6" x14ac:dyDescent="0.2">
      <c r="A19026" t="s">
        <v>31150</v>
      </c>
      <c r="B19026" t="s">
        <v>31153</v>
      </c>
      <c r="C19026" t="s">
        <v>282</v>
      </c>
      <c r="D19026" t="s">
        <v>9748</v>
      </c>
      <c r="E19026" t="s">
        <v>154</v>
      </c>
      <c r="F19026" s="2" t="str">
        <f>HYPERLINK("http://www.otzar.org/book.asp?144879","כנסת יחזקאל - 2 כר'")</f>
        <v>כנסת יחזקאל - 2 כר'</v>
      </c>
    </row>
    <row r="19027" spans="1:6" x14ac:dyDescent="0.2">
      <c r="A19027" t="s">
        <v>31147</v>
      </c>
      <c r="B19027" t="s">
        <v>31154</v>
      </c>
      <c r="C19027" t="s">
        <v>1166</v>
      </c>
      <c r="D19027" t="s">
        <v>31155</v>
      </c>
      <c r="E19027" t="s">
        <v>31156</v>
      </c>
      <c r="F19027" s="2" t="str">
        <f>HYPERLINK("http://www.otzar.org/book.asp?7416","כנסת יחזקאל")</f>
        <v>כנסת יחזקאל</v>
      </c>
    </row>
    <row r="19028" spans="1:6" x14ac:dyDescent="0.2">
      <c r="A19028" t="s">
        <v>31157</v>
      </c>
      <c r="B19028" t="s">
        <v>3166</v>
      </c>
      <c r="C19028" t="s">
        <v>785</v>
      </c>
      <c r="D19028" t="s">
        <v>14</v>
      </c>
      <c r="E19028" t="s">
        <v>733</v>
      </c>
      <c r="F19028" s="2" t="str">
        <f>HYPERLINK("http://www.otzar.org/book.asp?200372","כנסת יעקב")</f>
        <v>כנסת יעקב</v>
      </c>
    </row>
    <row r="19029" spans="1:6" x14ac:dyDescent="0.2">
      <c r="A19029" t="s">
        <v>31158</v>
      </c>
      <c r="B19029" t="s">
        <v>31159</v>
      </c>
      <c r="C19029" t="s">
        <v>2008</v>
      </c>
      <c r="D19029" t="s">
        <v>412</v>
      </c>
      <c r="E19029" t="s">
        <v>202</v>
      </c>
      <c r="F19029" s="2" t="str">
        <f>HYPERLINK("http://www.otzar.org/book.asp?181247","כנסת ישראל &lt;ארה""ב&gt; - 5 כר'")</f>
        <v>כנסת ישראל &lt;ארה"ב&gt; - 5 כר'</v>
      </c>
    </row>
    <row r="19030" spans="1:6" x14ac:dyDescent="0.2">
      <c r="A19030" t="s">
        <v>31160</v>
      </c>
      <c r="B19030" t="s">
        <v>31161</v>
      </c>
      <c r="C19030" t="s">
        <v>176</v>
      </c>
      <c r="D19030" t="s">
        <v>14</v>
      </c>
      <c r="E19030" t="s">
        <v>186</v>
      </c>
      <c r="F19030" s="2" t="str">
        <f>HYPERLINK("http://www.otzar.org/book.asp?624953","כנסת ישראל &lt;ישיבת חברון כנסת ישראל&gt; - 2 כר'")</f>
        <v>כנסת ישראל &lt;ישיבת חברון כנסת ישראל&gt; - 2 כר'</v>
      </c>
    </row>
    <row r="19031" spans="1:6" x14ac:dyDescent="0.2">
      <c r="A19031" t="s">
        <v>31162</v>
      </c>
      <c r="B19031" t="s">
        <v>489</v>
      </c>
      <c r="F19031" s="2" t="str">
        <f>HYPERLINK("http://www.otzar.org/book.asp?619311","כנסת ישראל &lt;חברון ירושלים סדרה חדשה&gt; - יבמות")</f>
        <v>כנסת ישראל &lt;חברון ירושלים סדרה חדשה&gt; - יבמות</v>
      </c>
    </row>
    <row r="19032" spans="1:6" x14ac:dyDescent="0.2">
      <c r="A19032" t="s">
        <v>31163</v>
      </c>
      <c r="B19032" t="s">
        <v>31164</v>
      </c>
      <c r="C19032" t="s">
        <v>31165</v>
      </c>
      <c r="D19032" t="s">
        <v>582</v>
      </c>
      <c r="E19032" t="s">
        <v>202</v>
      </c>
      <c r="F19032" s="2" t="str">
        <f>HYPERLINK("http://www.otzar.org/book.asp?393","כנסת ישראל (וילנא)")</f>
        <v>כנסת ישראל (וילנא)</v>
      </c>
    </row>
    <row r="19033" spans="1:6" x14ac:dyDescent="0.2">
      <c r="A19033" t="s">
        <v>31166</v>
      </c>
      <c r="B19033" t="s">
        <v>2942</v>
      </c>
      <c r="C19033" t="s">
        <v>1811</v>
      </c>
      <c r="D19033" t="s">
        <v>14</v>
      </c>
      <c r="E19033" t="s">
        <v>202</v>
      </c>
      <c r="F19033" s="2" t="str">
        <f>HYPERLINK("http://www.otzar.org/book.asp?181263","כנסת ישראל (סלבודקה בני ברק) - 4 כר'")</f>
        <v>כנסת ישראל (סלבודקה בני ברק) - 4 כר'</v>
      </c>
    </row>
    <row r="19034" spans="1:6" x14ac:dyDescent="0.2">
      <c r="A19034" t="s">
        <v>31167</v>
      </c>
      <c r="B19034" t="s">
        <v>31168</v>
      </c>
      <c r="C19034" t="s">
        <v>189</v>
      </c>
      <c r="D19034" t="s">
        <v>52</v>
      </c>
      <c r="E19034" t="s">
        <v>202</v>
      </c>
      <c r="F19034" s="2" t="str">
        <f>HYPERLINK("http://www.otzar.org/book.asp?157694","כנסת ישראל (סלבודקה בני ברק) - קובץ זכרון")</f>
        <v>כנסת ישראל (סלבודקה בני ברק) - קובץ זכרון</v>
      </c>
    </row>
    <row r="19035" spans="1:6" x14ac:dyDescent="0.2">
      <c r="A19035" t="s">
        <v>31167</v>
      </c>
      <c r="B19035" t="s">
        <v>31169</v>
      </c>
      <c r="C19035" t="s">
        <v>37</v>
      </c>
      <c r="D19035" t="s">
        <v>52</v>
      </c>
      <c r="E19035" t="s">
        <v>202</v>
      </c>
      <c r="F19035" s="2" t="str">
        <f>HYPERLINK("http://www.otzar.org/book.asp?177108","כנסת ישראל (סלבודקה בני ברק) - קובץ זכרון")</f>
        <v>כנסת ישראל (סלבודקה בני ברק) - קובץ זכרון</v>
      </c>
    </row>
    <row r="19036" spans="1:6" x14ac:dyDescent="0.2">
      <c r="A19036" t="s">
        <v>31170</v>
      </c>
      <c r="B19036" t="s">
        <v>1750</v>
      </c>
      <c r="C19036" t="s">
        <v>624</v>
      </c>
      <c r="D19036" t="s">
        <v>52</v>
      </c>
      <c r="F19036" s="2" t="str">
        <f>HYPERLINK("http://www.otzar.org/book.asp?197158","כנסת ישראל (סלבודקה בני ברק) - 5 כר'")</f>
        <v>כנסת ישראל (סלבודקה בני ברק) - 5 כר'</v>
      </c>
    </row>
    <row r="19037" spans="1:6" x14ac:dyDescent="0.2">
      <c r="A19037" t="s">
        <v>31171</v>
      </c>
      <c r="B19037" t="s">
        <v>2942</v>
      </c>
      <c r="C19037" t="s">
        <v>17270</v>
      </c>
      <c r="D19037" t="s">
        <v>14</v>
      </c>
      <c r="E19037" t="s">
        <v>3790</v>
      </c>
      <c r="F19037" s="2" t="str">
        <f>HYPERLINK("http://www.otzar.org/book.asp?21953","כנסת ישראל (סלבודקה ירושלים) - 6 כר'")</f>
        <v>כנסת ישראל (סלבודקה ירושלים) - 6 כר'</v>
      </c>
    </row>
    <row r="19038" spans="1:6" x14ac:dyDescent="0.2">
      <c r="A19038" t="s">
        <v>31172</v>
      </c>
      <c r="B19038" t="s">
        <v>2942</v>
      </c>
      <c r="C19038" t="s">
        <v>1470</v>
      </c>
      <c r="D19038" t="s">
        <v>31173</v>
      </c>
      <c r="E19038" t="s">
        <v>3790</v>
      </c>
      <c r="F19038" s="2" t="str">
        <f>HYPERLINK("http://www.otzar.org/book.asp?21954","כנסת ישראל (סלבודקה) - 10 כר'")</f>
        <v>כנסת ישראל (סלבודקה) - 10 כר'</v>
      </c>
    </row>
    <row r="19039" spans="1:6" x14ac:dyDescent="0.2">
      <c r="A19039" t="s">
        <v>31174</v>
      </c>
      <c r="B19039" t="s">
        <v>1750</v>
      </c>
      <c r="C19039" t="s">
        <v>956</v>
      </c>
      <c r="D19039" t="s">
        <v>14</v>
      </c>
      <c r="E19039" t="s">
        <v>3790</v>
      </c>
      <c r="F19039" s="2" t="str">
        <f>HYPERLINK("http://www.otzar.org/book.asp?141949","כנסת ישראל ירושלים - 4 כר'")</f>
        <v>כנסת ישראל ירושלים - 4 כר'</v>
      </c>
    </row>
    <row r="19040" spans="1:6" x14ac:dyDescent="0.2">
      <c r="A19040" t="s">
        <v>31175</v>
      </c>
      <c r="B19040" t="s">
        <v>469</v>
      </c>
      <c r="C19040" t="s">
        <v>462</v>
      </c>
      <c r="D19040" t="s">
        <v>10985</v>
      </c>
      <c r="E19040" t="s">
        <v>714</v>
      </c>
      <c r="F19040" s="2" t="str">
        <f>HYPERLINK("http://www.otzar.org/book.asp?176861","כנסת ישראל - 2 כר'")</f>
        <v>כנסת ישראל - 2 כר'</v>
      </c>
    </row>
    <row r="19041" spans="1:6" x14ac:dyDescent="0.2">
      <c r="A19041" t="s">
        <v>31176</v>
      </c>
      <c r="B19041" t="s">
        <v>31177</v>
      </c>
      <c r="C19041" t="s">
        <v>23003</v>
      </c>
      <c r="D19041" t="s">
        <v>100</v>
      </c>
      <c r="E19041" t="s">
        <v>84</v>
      </c>
      <c r="F19041" s="2" t="str">
        <f>HYPERLINK("http://www.otzar.org/book.asp?51424","כנסת ישראל - 6 כר'")</f>
        <v>כנסת ישראל - 6 כר'</v>
      </c>
    </row>
    <row r="19042" spans="1:6" x14ac:dyDescent="0.2">
      <c r="A19042" t="s">
        <v>31164</v>
      </c>
      <c r="B19042" t="s">
        <v>4547</v>
      </c>
      <c r="C19042" t="s">
        <v>454</v>
      </c>
      <c r="D19042" t="s">
        <v>14</v>
      </c>
      <c r="E19042" t="s">
        <v>154</v>
      </c>
      <c r="F19042" s="2" t="str">
        <f>HYPERLINK("http://www.otzar.org/book.asp?51568","כנסת ישראל")</f>
        <v>כנסת ישראל</v>
      </c>
    </row>
    <row r="19043" spans="1:6" x14ac:dyDescent="0.2">
      <c r="A19043" t="s">
        <v>31164</v>
      </c>
      <c r="B19043" t="s">
        <v>31178</v>
      </c>
      <c r="C19043" t="s">
        <v>87</v>
      </c>
      <c r="D19043" t="s">
        <v>14</v>
      </c>
      <c r="E19043" t="s">
        <v>1157</v>
      </c>
      <c r="F19043" s="2" t="str">
        <f>HYPERLINK("http://www.otzar.org/book.asp?191590","כנסת ישראל")</f>
        <v>כנסת ישראל</v>
      </c>
    </row>
    <row r="19044" spans="1:6" x14ac:dyDescent="0.2">
      <c r="A19044" t="s">
        <v>31175</v>
      </c>
      <c r="B19044" t="s">
        <v>10299</v>
      </c>
      <c r="C19044" t="s">
        <v>1169</v>
      </c>
      <c r="D19044" t="s">
        <v>80</v>
      </c>
      <c r="F19044" s="2" t="str">
        <f>HYPERLINK("http://www.otzar.org/book.asp?156073","כנסת ישראל - 2 כר'")</f>
        <v>כנסת ישראל - 2 כר'</v>
      </c>
    </row>
    <row r="19045" spans="1:6" x14ac:dyDescent="0.2">
      <c r="A19045" t="s">
        <v>31164</v>
      </c>
      <c r="B19045" t="s">
        <v>31179</v>
      </c>
      <c r="C19045" t="s">
        <v>445</v>
      </c>
      <c r="D19045" t="s">
        <v>31180</v>
      </c>
      <c r="E19045" t="s">
        <v>234</v>
      </c>
      <c r="F19045" s="2" t="str">
        <f>HYPERLINK("http://www.otzar.org/book.asp?158905","כנסת ישראל")</f>
        <v>כנסת ישראל</v>
      </c>
    </row>
    <row r="19046" spans="1:6" x14ac:dyDescent="0.2">
      <c r="A19046" t="s">
        <v>31164</v>
      </c>
      <c r="B19046" t="s">
        <v>31181</v>
      </c>
      <c r="C19046" t="s">
        <v>619</v>
      </c>
      <c r="D19046" t="s">
        <v>9</v>
      </c>
      <c r="E19046" t="s">
        <v>3790</v>
      </c>
      <c r="F19046" s="2" t="str">
        <f>HYPERLINK("http://www.otzar.org/book.asp?16978","כנסת ישראל")</f>
        <v>כנסת ישראל</v>
      </c>
    </row>
    <row r="19047" spans="1:6" x14ac:dyDescent="0.2">
      <c r="A19047" t="s">
        <v>31164</v>
      </c>
      <c r="B19047" t="s">
        <v>170</v>
      </c>
      <c r="C19047" t="s">
        <v>343</v>
      </c>
      <c r="D19047" t="s">
        <v>1008</v>
      </c>
      <c r="E19047" t="s">
        <v>31182</v>
      </c>
      <c r="F19047" s="2" t="str">
        <f>HYPERLINK("http://www.otzar.org/book.asp?101248","כנסת ישראל")</f>
        <v>כנסת ישראל</v>
      </c>
    </row>
    <row r="19048" spans="1:6" x14ac:dyDescent="0.2">
      <c r="A19048" t="s">
        <v>31164</v>
      </c>
      <c r="B19048" t="s">
        <v>31183</v>
      </c>
      <c r="C19048" t="s">
        <v>896</v>
      </c>
      <c r="D19048" t="s">
        <v>283</v>
      </c>
      <c r="E19048" t="s">
        <v>144</v>
      </c>
      <c r="F19048" s="2" t="str">
        <f>HYPERLINK("http://www.otzar.org/book.asp?200235","כנסת ישראל")</f>
        <v>כנסת ישראל</v>
      </c>
    </row>
    <row r="19049" spans="1:6" x14ac:dyDescent="0.2">
      <c r="A19049" t="s">
        <v>31184</v>
      </c>
      <c r="B19049" t="s">
        <v>1005</v>
      </c>
      <c r="C19049" t="s">
        <v>785</v>
      </c>
      <c r="D19049" t="s">
        <v>52</v>
      </c>
      <c r="E19049" t="s">
        <v>31185</v>
      </c>
      <c r="F19049" s="2" t="str">
        <f>HYPERLINK("http://www.otzar.org/book.asp?13518","כנסת ישראל - 3 כר'")</f>
        <v>כנסת ישראל - 3 כר'</v>
      </c>
    </row>
    <row r="19050" spans="1:6" x14ac:dyDescent="0.2">
      <c r="A19050" t="s">
        <v>31186</v>
      </c>
      <c r="B19050" t="s">
        <v>1750</v>
      </c>
      <c r="C19050" t="s">
        <v>129</v>
      </c>
      <c r="D19050" t="s">
        <v>14</v>
      </c>
      <c r="E19050" t="s">
        <v>202</v>
      </c>
      <c r="F19050" s="2" t="str">
        <f>HYPERLINK("http://www.otzar.org/book.asp?50541","כנסת ישראל - זכרון מרדכי")</f>
        <v>כנסת ישראל - זכרון מרדכי</v>
      </c>
    </row>
    <row r="19051" spans="1:6" x14ac:dyDescent="0.2">
      <c r="A19051" t="s">
        <v>31164</v>
      </c>
      <c r="B19051" t="s">
        <v>31187</v>
      </c>
      <c r="C19051" t="s">
        <v>1414</v>
      </c>
      <c r="D19051" t="s">
        <v>212</v>
      </c>
      <c r="E19051" t="s">
        <v>930</v>
      </c>
      <c r="F19051" s="2" t="str">
        <f>HYPERLINK("http://www.otzar.org/book.asp?18938","כנסת ישראל")</f>
        <v>כנסת ישראל</v>
      </c>
    </row>
    <row r="19052" spans="1:6" x14ac:dyDescent="0.2">
      <c r="A19052" t="s">
        <v>31188</v>
      </c>
      <c r="B19052" t="s">
        <v>31188</v>
      </c>
      <c r="C19052" t="s">
        <v>812</v>
      </c>
      <c r="D19052" t="s">
        <v>855</v>
      </c>
      <c r="E19052" t="s">
        <v>1174</v>
      </c>
      <c r="F19052" s="2" t="str">
        <f>HYPERLINK("http://www.otzar.org/book.asp?18939","כנסת מרדכי")</f>
        <v>כנסת מרדכי</v>
      </c>
    </row>
    <row r="19053" spans="1:6" x14ac:dyDescent="0.2">
      <c r="A19053" t="s">
        <v>31189</v>
      </c>
      <c r="B19053" t="s">
        <v>31190</v>
      </c>
      <c r="C19053" t="s">
        <v>767</v>
      </c>
      <c r="D19053" t="s">
        <v>31191</v>
      </c>
      <c r="E19053" t="s">
        <v>158</v>
      </c>
      <c r="F19053" s="2" t="str">
        <f>HYPERLINK("http://www.otzar.org/book.asp?163467","כנסת מרדכי - 3 כר'")</f>
        <v>כנסת מרדכי - 3 כר'</v>
      </c>
    </row>
    <row r="19054" spans="1:6" x14ac:dyDescent="0.2">
      <c r="A19054" t="s">
        <v>31192</v>
      </c>
      <c r="B19054" t="s">
        <v>31193</v>
      </c>
      <c r="C19054" t="s">
        <v>13</v>
      </c>
      <c r="D19054" t="s">
        <v>412</v>
      </c>
      <c r="E19054" t="s">
        <v>15</v>
      </c>
      <c r="F19054" s="2" t="str">
        <f>HYPERLINK("http://www.otzar.org/book.asp?183276","כנסת סופרים - פרעשבורג")</f>
        <v>כנסת סופרים - פרעשבורג</v>
      </c>
    </row>
    <row r="19055" spans="1:6" x14ac:dyDescent="0.2">
      <c r="A19055" t="s">
        <v>31194</v>
      </c>
      <c r="B19055" t="s">
        <v>26000</v>
      </c>
      <c r="C19055" t="s">
        <v>20</v>
      </c>
      <c r="D19055" t="s">
        <v>14</v>
      </c>
      <c r="E19055" t="s">
        <v>140</v>
      </c>
      <c r="F19055" s="2" t="str">
        <f>HYPERLINK("http://www.otzar.org/book.asp?154512","כנסת קהל צבאות &lt;ליקוטי עצות המשולש&gt;")</f>
        <v>כנסת קהל צבאות &lt;ליקוטי עצות המשולש&gt;</v>
      </c>
    </row>
    <row r="19056" spans="1:6" x14ac:dyDescent="0.2">
      <c r="A19056" t="s">
        <v>31195</v>
      </c>
      <c r="B19056" t="s">
        <v>13424</v>
      </c>
      <c r="C19056" t="s">
        <v>466</v>
      </c>
      <c r="D19056" t="s">
        <v>52</v>
      </c>
      <c r="E19056" t="s">
        <v>148</v>
      </c>
      <c r="F19056" s="2" t="str">
        <f>HYPERLINK("http://www.otzar.org/book.asp?180102","כנף איש יהודי")</f>
        <v>כנף איש יהודי</v>
      </c>
    </row>
    <row r="19057" spans="1:6" x14ac:dyDescent="0.2">
      <c r="A19057" t="s">
        <v>31196</v>
      </c>
      <c r="B19057" t="s">
        <v>31197</v>
      </c>
      <c r="C19057" t="s">
        <v>17</v>
      </c>
      <c r="D19057" t="s">
        <v>52</v>
      </c>
      <c r="E19057" t="s">
        <v>148</v>
      </c>
      <c r="F19057" s="2" t="str">
        <f>HYPERLINK("http://www.otzar.org/book.asp?61473","כנף הבגד")</f>
        <v>כנף הבגד</v>
      </c>
    </row>
    <row r="19058" spans="1:6" x14ac:dyDescent="0.2">
      <c r="A19058" t="s">
        <v>31198</v>
      </c>
      <c r="B19058" t="s">
        <v>31085</v>
      </c>
      <c r="C19058" t="s">
        <v>31199</v>
      </c>
      <c r="D19058" t="s">
        <v>855</v>
      </c>
      <c r="E19058" t="s">
        <v>31200</v>
      </c>
      <c r="F19058" s="2" t="str">
        <f>HYPERLINK("http://www.otzar.org/book.asp?889","כנף רננה - 2 כר'")</f>
        <v>כנף רננה - 2 כר'</v>
      </c>
    </row>
    <row r="19059" spans="1:6" x14ac:dyDescent="0.2">
      <c r="A19059" t="s">
        <v>31201</v>
      </c>
      <c r="B19059" t="s">
        <v>1895</v>
      </c>
      <c r="C19059" t="s">
        <v>383</v>
      </c>
      <c r="D19059" t="s">
        <v>14</v>
      </c>
      <c r="E19059" t="s">
        <v>3755</v>
      </c>
      <c r="F19059" s="2" t="str">
        <f>HYPERLINK("http://www.otzar.org/book.asp?23099","כנף רננים - 2 כר'")</f>
        <v>כנף רננים - 2 כר'</v>
      </c>
    </row>
    <row r="19060" spans="1:6" x14ac:dyDescent="0.2">
      <c r="A19060" t="s">
        <v>31202</v>
      </c>
      <c r="B19060" t="s">
        <v>14857</v>
      </c>
      <c r="C19060" t="s">
        <v>244</v>
      </c>
      <c r="D19060" t="s">
        <v>721</v>
      </c>
      <c r="F19060" s="2" t="str">
        <f>HYPERLINK("http://www.otzar.org/book.asp?609869","כנף רננים - 3 כר'")</f>
        <v>כנף רננים - 3 כר'</v>
      </c>
    </row>
    <row r="19061" spans="1:6" x14ac:dyDescent="0.2">
      <c r="A19061" t="s">
        <v>31203</v>
      </c>
      <c r="B19061" t="s">
        <v>31204</v>
      </c>
      <c r="C19061" t="s">
        <v>14336</v>
      </c>
      <c r="D19061" t="s">
        <v>1365</v>
      </c>
      <c r="E19061" t="s">
        <v>43</v>
      </c>
      <c r="F19061" s="2" t="str">
        <f>HYPERLINK("http://www.otzar.org/book.asp?624731","כנף רננים - 5 כר'")</f>
        <v>כנף רננים - 5 כר'</v>
      </c>
    </row>
    <row r="19062" spans="1:6" x14ac:dyDescent="0.2">
      <c r="A19062" t="s">
        <v>31205</v>
      </c>
      <c r="B19062" t="s">
        <v>7430</v>
      </c>
      <c r="C19062" t="s">
        <v>594</v>
      </c>
      <c r="D19062" t="s">
        <v>212</v>
      </c>
      <c r="E19062" t="s">
        <v>158</v>
      </c>
      <c r="F19062" s="2" t="str">
        <f>HYPERLINK("http://www.otzar.org/book.asp?189519","כנף רננים")</f>
        <v>כנף רננים</v>
      </c>
    </row>
    <row r="19063" spans="1:6" x14ac:dyDescent="0.2">
      <c r="A19063" t="s">
        <v>31201</v>
      </c>
      <c r="B19063" t="s">
        <v>31206</v>
      </c>
      <c r="C19063" t="s">
        <v>4790</v>
      </c>
      <c r="D19063" t="s">
        <v>49</v>
      </c>
      <c r="E19063" t="s">
        <v>219</v>
      </c>
      <c r="F19063" s="2" t="str">
        <f>HYPERLINK("http://www.otzar.org/book.asp?146948","כנף רננים - 2 כר'")</f>
        <v>כנף רננים - 2 כר'</v>
      </c>
    </row>
    <row r="19064" spans="1:6" x14ac:dyDescent="0.2">
      <c r="A19064" t="s">
        <v>31207</v>
      </c>
      <c r="B19064" t="s">
        <v>26323</v>
      </c>
      <c r="C19064" t="s">
        <v>411</v>
      </c>
      <c r="D19064" t="s">
        <v>412</v>
      </c>
      <c r="F19064" s="2" t="str">
        <f>HYPERLINK("http://www.otzar.org/book.asp?198282","כנפי הנשר")</f>
        <v>כנפי הנשר</v>
      </c>
    </row>
    <row r="19065" spans="1:6" x14ac:dyDescent="0.2">
      <c r="A19065" t="s">
        <v>31208</v>
      </c>
      <c r="B19065" t="s">
        <v>7457</v>
      </c>
      <c r="C19065" t="s">
        <v>176</v>
      </c>
      <c r="D19065" t="s">
        <v>52</v>
      </c>
      <c r="E19065" t="s">
        <v>15</v>
      </c>
      <c r="F19065" s="2" t="str">
        <f>HYPERLINK("http://www.otzar.org/book.asp?153740","כנפי יונה")</f>
        <v>כנפי יונה</v>
      </c>
    </row>
    <row r="19066" spans="1:6" x14ac:dyDescent="0.2">
      <c r="A19066" t="s">
        <v>31209</v>
      </c>
      <c r="B19066" t="s">
        <v>31210</v>
      </c>
      <c r="C19066" t="s">
        <v>26</v>
      </c>
      <c r="D19066" t="s">
        <v>646</v>
      </c>
      <c r="E19066" t="s">
        <v>104</v>
      </c>
      <c r="F19066" s="2" t="str">
        <f>HYPERLINK("http://www.otzar.org/book.asp?623895","כנפי יונה - 3 כר'")</f>
        <v>כנפי יונה - 3 כר'</v>
      </c>
    </row>
    <row r="19067" spans="1:6" x14ac:dyDescent="0.2">
      <c r="A19067" t="s">
        <v>31208</v>
      </c>
      <c r="B19067" t="s">
        <v>8880</v>
      </c>
      <c r="C19067" t="s">
        <v>51</v>
      </c>
      <c r="D19067" t="s">
        <v>14</v>
      </c>
      <c r="E19067" t="s">
        <v>674</v>
      </c>
      <c r="F19067" s="2" t="str">
        <f>HYPERLINK("http://www.otzar.org/book.asp?24897","כנפי יונה")</f>
        <v>כנפי יונה</v>
      </c>
    </row>
    <row r="19068" spans="1:6" x14ac:dyDescent="0.2">
      <c r="A19068" t="s">
        <v>31211</v>
      </c>
      <c r="B19068" t="s">
        <v>9457</v>
      </c>
      <c r="C19068" t="s">
        <v>23</v>
      </c>
      <c r="D19068" t="s">
        <v>6283</v>
      </c>
      <c r="E19068" t="s">
        <v>15</v>
      </c>
      <c r="F19068" s="2" t="str">
        <f>HYPERLINK("http://www.otzar.org/book.asp?199379","כנפי יונה - הלכות שמחות")</f>
        <v>כנפי יונה - הלכות שמחות</v>
      </c>
    </row>
    <row r="19069" spans="1:6" x14ac:dyDescent="0.2">
      <c r="A19069" t="s">
        <v>31212</v>
      </c>
      <c r="B19069" t="s">
        <v>31213</v>
      </c>
      <c r="C19069" t="s">
        <v>466</v>
      </c>
      <c r="D19069" t="s">
        <v>52</v>
      </c>
      <c r="E19069" t="s">
        <v>158</v>
      </c>
      <c r="F19069" s="2" t="str">
        <f>HYPERLINK("http://www.otzar.org/book.asp?151810","כנפי יונה - 4 כר'")</f>
        <v>כנפי יונה - 4 כר'</v>
      </c>
    </row>
    <row r="19070" spans="1:6" x14ac:dyDescent="0.2">
      <c r="A19070" t="s">
        <v>31208</v>
      </c>
      <c r="B19070" t="s">
        <v>11126</v>
      </c>
      <c r="C19070" t="s">
        <v>630</v>
      </c>
      <c r="D19070" t="s">
        <v>744</v>
      </c>
      <c r="E19070" t="s">
        <v>31214</v>
      </c>
      <c r="F19070" s="2" t="str">
        <f>HYPERLINK("http://www.otzar.org/book.asp?8420","כנפי יונה")</f>
        <v>כנפי יונה</v>
      </c>
    </row>
    <row r="19071" spans="1:6" x14ac:dyDescent="0.2">
      <c r="A19071" t="s">
        <v>31208</v>
      </c>
      <c r="B19071" t="s">
        <v>31215</v>
      </c>
      <c r="C19071" t="s">
        <v>176</v>
      </c>
      <c r="D19071" t="s">
        <v>52</v>
      </c>
      <c r="F19071" s="2" t="str">
        <f>HYPERLINK("http://www.otzar.org/book.asp?611230","כנפי יונה")</f>
        <v>כנפי יונה</v>
      </c>
    </row>
    <row r="19072" spans="1:6" x14ac:dyDescent="0.2">
      <c r="A19072" t="s">
        <v>31216</v>
      </c>
      <c r="B19072" t="s">
        <v>31217</v>
      </c>
      <c r="C19072" t="s">
        <v>114</v>
      </c>
      <c r="D19072" t="s">
        <v>14</v>
      </c>
      <c r="E19072" t="s">
        <v>154</v>
      </c>
      <c r="F19072" s="2" t="str">
        <f>HYPERLINK("http://www.otzar.org/book.asp?168186","כנפי יונה - 2 כר'")</f>
        <v>כנפי יונה - 2 כר'</v>
      </c>
    </row>
    <row r="19073" spans="1:6" x14ac:dyDescent="0.2">
      <c r="A19073" t="s">
        <v>31208</v>
      </c>
      <c r="B19073" t="s">
        <v>552</v>
      </c>
      <c r="C19073" t="s">
        <v>422</v>
      </c>
      <c r="D19073" t="s">
        <v>14</v>
      </c>
      <c r="E19073" t="s">
        <v>202</v>
      </c>
      <c r="F19073" s="2" t="str">
        <f>HYPERLINK("http://www.otzar.org/book.asp?151207","כנפי יונה")</f>
        <v>כנפי יונה</v>
      </c>
    </row>
    <row r="19074" spans="1:6" x14ac:dyDescent="0.2">
      <c r="A19074" t="s">
        <v>31212</v>
      </c>
      <c r="B19074" t="s">
        <v>6040</v>
      </c>
      <c r="C19074" t="s">
        <v>4404</v>
      </c>
      <c r="D19074" t="s">
        <v>4364</v>
      </c>
      <c r="E19074" t="s">
        <v>399</v>
      </c>
      <c r="F19074" s="2" t="str">
        <f>HYPERLINK("http://www.otzar.org/book.asp?101249","כנפי יונה - 4 כר'")</f>
        <v>כנפי יונה - 4 כר'</v>
      </c>
    </row>
    <row r="19075" spans="1:6" x14ac:dyDescent="0.2">
      <c r="A19075" t="s">
        <v>31208</v>
      </c>
      <c r="B19075" t="s">
        <v>28187</v>
      </c>
      <c r="C19075" t="s">
        <v>1124</v>
      </c>
      <c r="D19075" t="s">
        <v>56</v>
      </c>
      <c r="E19075" t="s">
        <v>154</v>
      </c>
      <c r="F19075" s="2" t="str">
        <f>HYPERLINK("http://www.otzar.org/book.asp?24671","כנפי יונה")</f>
        <v>כנפי יונה</v>
      </c>
    </row>
    <row r="19076" spans="1:6" x14ac:dyDescent="0.2">
      <c r="A19076" t="s">
        <v>31208</v>
      </c>
      <c r="B19076" t="s">
        <v>31218</v>
      </c>
      <c r="C19076" t="s">
        <v>37</v>
      </c>
      <c r="D19076" t="s">
        <v>14</v>
      </c>
      <c r="E19076" t="s">
        <v>4022</v>
      </c>
      <c r="F19076" s="2" t="str">
        <f>HYPERLINK("http://www.otzar.org/book.asp?183071","כנפי יונה")</f>
        <v>כנפי יונה</v>
      </c>
    </row>
    <row r="19077" spans="1:6" x14ac:dyDescent="0.2">
      <c r="A19077" t="s">
        <v>31219</v>
      </c>
      <c r="B19077" t="s">
        <v>9393</v>
      </c>
      <c r="C19077" t="s">
        <v>133</v>
      </c>
      <c r="D19077" t="s">
        <v>21</v>
      </c>
      <c r="E19077" t="s">
        <v>144</v>
      </c>
      <c r="F19077" s="2" t="str">
        <f>HYPERLINK("http://www.otzar.org/book.asp?195944","כנפי יונה - כתובות")</f>
        <v>כנפי יונה - כתובות</v>
      </c>
    </row>
    <row r="19078" spans="1:6" x14ac:dyDescent="0.2">
      <c r="A19078" t="s">
        <v>31220</v>
      </c>
      <c r="B19078" t="s">
        <v>31221</v>
      </c>
      <c r="C19078" t="s">
        <v>568</v>
      </c>
      <c r="D19078" t="s">
        <v>8370</v>
      </c>
      <c r="E19078" t="s">
        <v>15</v>
      </c>
      <c r="F19078" s="2" t="str">
        <f>HYPERLINK("http://www.otzar.org/book.asp?171573","כנפי נשרים")</f>
        <v>כנפי נשרים</v>
      </c>
    </row>
    <row r="19079" spans="1:6" x14ac:dyDescent="0.2">
      <c r="A19079" t="s">
        <v>31220</v>
      </c>
      <c r="B19079" t="s">
        <v>629</v>
      </c>
      <c r="C19079" t="s">
        <v>1166</v>
      </c>
      <c r="D19079" t="s">
        <v>56</v>
      </c>
      <c r="E19079" t="s">
        <v>579</v>
      </c>
      <c r="F19079" s="2" t="str">
        <f>HYPERLINK("http://www.otzar.org/book.asp?102232","כנפי נשרים")</f>
        <v>כנפי נשרים</v>
      </c>
    </row>
    <row r="19080" spans="1:6" x14ac:dyDescent="0.2">
      <c r="A19080" t="s">
        <v>31220</v>
      </c>
      <c r="B19080" t="s">
        <v>31222</v>
      </c>
      <c r="C19080" t="s">
        <v>919</v>
      </c>
      <c r="D19080" t="s">
        <v>14</v>
      </c>
      <c r="E19080" t="s">
        <v>2091</v>
      </c>
      <c r="F19080" s="2" t="str">
        <f>HYPERLINK("http://www.otzar.org/book.asp?8998","כנפי נשרים")</f>
        <v>כנפי נשרים</v>
      </c>
    </row>
    <row r="19081" spans="1:6" x14ac:dyDescent="0.2">
      <c r="A19081" t="s">
        <v>31223</v>
      </c>
      <c r="B19081" t="s">
        <v>31224</v>
      </c>
      <c r="C19081" t="s">
        <v>133</v>
      </c>
      <c r="D19081" t="s">
        <v>4549</v>
      </c>
      <c r="E19081" t="s">
        <v>837</v>
      </c>
      <c r="F19081" s="2" t="str">
        <f>HYPERLINK("http://www.otzar.org/book.asp?602934","כנפי שחר &lt;מהדורה חדשה&gt;")</f>
        <v>כנפי שחר &lt;מהדורה חדשה&gt;</v>
      </c>
    </row>
    <row r="19082" spans="1:6" x14ac:dyDescent="0.2">
      <c r="A19082" t="s">
        <v>31225</v>
      </c>
      <c r="B19082" t="s">
        <v>31224</v>
      </c>
      <c r="C19082" t="s">
        <v>224</v>
      </c>
      <c r="D19082" t="s">
        <v>225</v>
      </c>
      <c r="E19082" t="s">
        <v>144</v>
      </c>
      <c r="F19082" s="2" t="str">
        <f>HYPERLINK("http://www.otzar.org/book.asp?18942","כנפי שחר")</f>
        <v>כנפי שחר</v>
      </c>
    </row>
    <row r="19083" spans="1:6" x14ac:dyDescent="0.2">
      <c r="A19083" t="s">
        <v>31225</v>
      </c>
      <c r="B19083" t="s">
        <v>984</v>
      </c>
      <c r="C19083" t="s">
        <v>812</v>
      </c>
      <c r="D19083" t="s">
        <v>986</v>
      </c>
      <c r="E19083" t="s">
        <v>2071</v>
      </c>
      <c r="F19083" s="2" t="str">
        <f>HYPERLINK("http://www.otzar.org/book.asp?51477","כנפי שחר")</f>
        <v>כנפי שחר</v>
      </c>
    </row>
    <row r="19084" spans="1:6" x14ac:dyDescent="0.2">
      <c r="A19084" t="s">
        <v>31226</v>
      </c>
      <c r="B19084" t="s">
        <v>1845</v>
      </c>
      <c r="C19084" t="s">
        <v>313</v>
      </c>
      <c r="D19084" t="s">
        <v>14</v>
      </c>
      <c r="E19084" t="s">
        <v>172</v>
      </c>
      <c r="F19084" s="2" t="str">
        <f>HYPERLINK("http://www.otzar.org/book.asp?62078","כסא אליהו - 2 כר'")</f>
        <v>כסא אליהו - 2 כר'</v>
      </c>
    </row>
    <row r="19085" spans="1:6" x14ac:dyDescent="0.2">
      <c r="A19085" t="s">
        <v>31227</v>
      </c>
      <c r="B19085" t="s">
        <v>31228</v>
      </c>
      <c r="C19085" t="s">
        <v>698</v>
      </c>
      <c r="D19085" t="s">
        <v>1889</v>
      </c>
      <c r="E19085" t="s">
        <v>4940</v>
      </c>
      <c r="F19085" s="2" t="str">
        <f>HYPERLINK("http://www.otzar.org/book.asp?168113","כסא אליהו")</f>
        <v>כסא אליהו</v>
      </c>
    </row>
    <row r="19086" spans="1:6" x14ac:dyDescent="0.2">
      <c r="A19086" t="s">
        <v>31227</v>
      </c>
      <c r="B19086" t="s">
        <v>31229</v>
      </c>
      <c r="C19086" t="s">
        <v>950</v>
      </c>
      <c r="D19086" t="s">
        <v>27</v>
      </c>
      <c r="E19086" t="s">
        <v>399</v>
      </c>
      <c r="F19086" s="2" t="str">
        <f>HYPERLINK("http://www.otzar.org/book.asp?17014","כסא אליהו")</f>
        <v>כסא אליהו</v>
      </c>
    </row>
    <row r="19087" spans="1:6" x14ac:dyDescent="0.2">
      <c r="A19087" t="s">
        <v>31227</v>
      </c>
      <c r="B19087" t="s">
        <v>28188</v>
      </c>
      <c r="C19087" t="s">
        <v>1246</v>
      </c>
      <c r="D19087" t="s">
        <v>986</v>
      </c>
      <c r="E19087" t="s">
        <v>154</v>
      </c>
      <c r="F19087" s="2" t="str">
        <f>HYPERLINK("http://www.otzar.org/book.asp?28599","כסא אליהו")</f>
        <v>כסא אליהו</v>
      </c>
    </row>
    <row r="19088" spans="1:6" x14ac:dyDescent="0.2">
      <c r="A19088" t="s">
        <v>31230</v>
      </c>
      <c r="B19088" t="s">
        <v>31231</v>
      </c>
      <c r="C19088" t="s">
        <v>71</v>
      </c>
      <c r="D19088" t="s">
        <v>14</v>
      </c>
      <c r="F19088" s="2" t="str">
        <f>HYPERLINK("http://www.otzar.org/book.asp?177045","כסא דוד השלם &lt;צמח דוד, רצון מנחם&gt;")</f>
        <v>כסא דוד השלם &lt;צמח דוד, רצון מנחם&gt;</v>
      </c>
    </row>
    <row r="19089" spans="1:6" x14ac:dyDescent="0.2">
      <c r="A19089" t="s">
        <v>31232</v>
      </c>
      <c r="B19089" t="s">
        <v>1308</v>
      </c>
      <c r="C19089" t="s">
        <v>775</v>
      </c>
      <c r="D19089" t="s">
        <v>14</v>
      </c>
      <c r="F19089" s="2" t="str">
        <f>HYPERLINK("http://www.otzar.org/book.asp?617607","כסא דוד - 2 כר'")</f>
        <v>כסא דוד - 2 כר'</v>
      </c>
    </row>
    <row r="19090" spans="1:6" x14ac:dyDescent="0.2">
      <c r="A19090" t="s">
        <v>31233</v>
      </c>
      <c r="B19090" t="s">
        <v>1308</v>
      </c>
      <c r="C19090" t="s">
        <v>543</v>
      </c>
      <c r="D19090" t="s">
        <v>212</v>
      </c>
      <c r="F19090" s="2" t="str">
        <f>HYPERLINK("http://www.otzar.org/book.asp?164759","כסא דוד, גאולת עולם - 2 כר'")</f>
        <v>כסא דוד, גאולת עולם - 2 כר'</v>
      </c>
    </row>
    <row r="19091" spans="1:6" x14ac:dyDescent="0.2">
      <c r="A19091" t="s">
        <v>31234</v>
      </c>
      <c r="B19091" t="s">
        <v>5618</v>
      </c>
      <c r="C19091" t="s">
        <v>422</v>
      </c>
      <c r="D19091" t="s">
        <v>90</v>
      </c>
      <c r="E19091" t="s">
        <v>234</v>
      </c>
      <c r="F19091" s="2" t="str">
        <f>HYPERLINK("http://www.otzar.org/book.asp?195795","כסא דנחמתא")</f>
        <v>כסא דנחמתא</v>
      </c>
    </row>
    <row r="19092" spans="1:6" x14ac:dyDescent="0.2">
      <c r="A19092" t="s">
        <v>31235</v>
      </c>
      <c r="B19092" t="s">
        <v>5239</v>
      </c>
      <c r="C19092" t="s">
        <v>411</v>
      </c>
      <c r="D19092" t="s">
        <v>14</v>
      </c>
      <c r="E19092" t="s">
        <v>158</v>
      </c>
      <c r="F19092" s="2" t="str">
        <f>HYPERLINK("http://www.otzar.org/book.asp?172601","כסא דפלפלי - מגילת אסתר")</f>
        <v>כסא דפלפלי - מגילת אסתר</v>
      </c>
    </row>
    <row r="19093" spans="1:6" x14ac:dyDescent="0.2">
      <c r="A19093" t="s">
        <v>31236</v>
      </c>
      <c r="B19093" t="s">
        <v>31237</v>
      </c>
      <c r="C19093" t="s">
        <v>31238</v>
      </c>
      <c r="D19093" t="s">
        <v>14</v>
      </c>
      <c r="F19093" s="2" t="str">
        <f>HYPERLINK("http://www.otzar.org/book.asp?612893","כסא דפסחא")</f>
        <v>כסא דפסחא</v>
      </c>
    </row>
    <row r="19094" spans="1:6" x14ac:dyDescent="0.2">
      <c r="A19094" t="s">
        <v>31239</v>
      </c>
      <c r="B19094" t="s">
        <v>15040</v>
      </c>
      <c r="C19094" t="s">
        <v>7625</v>
      </c>
      <c r="D19094" t="s">
        <v>1023</v>
      </c>
      <c r="E19094" t="s">
        <v>399</v>
      </c>
      <c r="F19094" s="2" t="str">
        <f>HYPERLINK("http://www.otzar.org/book.asp?102233","כסא מלך")</f>
        <v>כסא מלך</v>
      </c>
    </row>
    <row r="19095" spans="1:6" x14ac:dyDescent="0.2">
      <c r="A19095" t="s">
        <v>31240</v>
      </c>
      <c r="B19095" t="s">
        <v>31241</v>
      </c>
      <c r="C19095" t="s">
        <v>37</v>
      </c>
      <c r="D19095" t="s">
        <v>1632</v>
      </c>
      <c r="E19095" t="s">
        <v>684</v>
      </c>
      <c r="F19095" s="2" t="str">
        <f>HYPERLINK("http://www.otzar.org/book.asp?606322","כסא משפט")</f>
        <v>כסא משפט</v>
      </c>
    </row>
    <row r="19096" spans="1:6" x14ac:dyDescent="0.2">
      <c r="A19096" t="s">
        <v>31242</v>
      </c>
      <c r="B19096" t="s">
        <v>4211</v>
      </c>
      <c r="C19096" t="s">
        <v>624</v>
      </c>
      <c r="D19096" t="s">
        <v>14</v>
      </c>
      <c r="E19096" t="s">
        <v>1847</v>
      </c>
      <c r="F19096" s="2" t="str">
        <f>HYPERLINK("http://www.otzar.org/book.asp?50086","כסא נכון")</f>
        <v>כסא נכון</v>
      </c>
    </row>
    <row r="19097" spans="1:6" x14ac:dyDescent="0.2">
      <c r="A19097" t="s">
        <v>31243</v>
      </c>
      <c r="B19097" t="s">
        <v>1308</v>
      </c>
      <c r="C19097" t="s">
        <v>454</v>
      </c>
      <c r="D19097" t="s">
        <v>14</v>
      </c>
      <c r="E19097" t="s">
        <v>43</v>
      </c>
      <c r="F19097" s="2" t="str">
        <f>HYPERLINK("http://www.otzar.org/book.asp?83865","כסא רחמים - 4 כר'")</f>
        <v>כסא רחמים - 4 כר'</v>
      </c>
    </row>
    <row r="19098" spans="1:6" x14ac:dyDescent="0.2">
      <c r="A19098" t="s">
        <v>31244</v>
      </c>
      <c r="B19098" t="s">
        <v>31245</v>
      </c>
      <c r="C19098" t="s">
        <v>1619</v>
      </c>
      <c r="D19098" t="s">
        <v>14</v>
      </c>
      <c r="E19098" t="s">
        <v>144</v>
      </c>
      <c r="F19098" s="2" t="str">
        <f>HYPERLINK("http://www.otzar.org/book.asp?85283","כסא רחמים - 5 כר'")</f>
        <v>כסא רחמים - 5 כר'</v>
      </c>
    </row>
    <row r="19099" spans="1:6" x14ac:dyDescent="0.2">
      <c r="A19099" t="s">
        <v>31246</v>
      </c>
      <c r="B19099" t="s">
        <v>31247</v>
      </c>
      <c r="C19099" t="s">
        <v>168</v>
      </c>
      <c r="D19099" t="s">
        <v>2375</v>
      </c>
      <c r="E19099" t="s">
        <v>144</v>
      </c>
      <c r="F19099" s="2" t="str">
        <f>HYPERLINK("http://www.otzar.org/book.asp?174392","כסא רחמים - 2 כר'")</f>
        <v>כסא רחמים - 2 כר'</v>
      </c>
    </row>
    <row r="19100" spans="1:6" x14ac:dyDescent="0.2">
      <c r="A19100" t="s">
        <v>31248</v>
      </c>
      <c r="B19100" t="s">
        <v>31249</v>
      </c>
      <c r="C19100" t="s">
        <v>445</v>
      </c>
      <c r="D19100" t="s">
        <v>27</v>
      </c>
      <c r="E19100" t="s">
        <v>31250</v>
      </c>
      <c r="F19100" s="2" t="str">
        <f>HYPERLINK("http://www.otzar.org/book.asp?51071","כסא רחמים")</f>
        <v>כסא רחמים</v>
      </c>
    </row>
    <row r="19101" spans="1:6" x14ac:dyDescent="0.2">
      <c r="A19101" t="s">
        <v>31248</v>
      </c>
      <c r="B19101" t="s">
        <v>23884</v>
      </c>
      <c r="C19101" t="s">
        <v>360</v>
      </c>
      <c r="D19101" t="s">
        <v>27</v>
      </c>
      <c r="E19101" t="s">
        <v>158</v>
      </c>
      <c r="F19101" s="2" t="str">
        <f>HYPERLINK("http://www.otzar.org/book.asp?10152","כסא רחמים")</f>
        <v>כסא רחמים</v>
      </c>
    </row>
    <row r="19102" spans="1:6" x14ac:dyDescent="0.2">
      <c r="A19102" t="s">
        <v>31251</v>
      </c>
      <c r="B19102" t="s">
        <v>9944</v>
      </c>
      <c r="C19102" t="s">
        <v>1388</v>
      </c>
      <c r="D19102" t="s">
        <v>27</v>
      </c>
      <c r="E19102" t="s">
        <v>154</v>
      </c>
      <c r="F19102" s="2" t="str">
        <f>HYPERLINK("http://www.otzar.org/book.asp?152285","כסא שלמה &lt;מכון הכתב&gt;")</f>
        <v>כסא שלמה &lt;מכון הכתב&gt;</v>
      </c>
    </row>
    <row r="19103" spans="1:6" x14ac:dyDescent="0.2">
      <c r="A19103" t="s">
        <v>31252</v>
      </c>
      <c r="B19103" t="s">
        <v>31253</v>
      </c>
      <c r="C19103" t="s">
        <v>8375</v>
      </c>
      <c r="D19103" t="s">
        <v>212</v>
      </c>
      <c r="E19103" t="s">
        <v>144</v>
      </c>
      <c r="F19103" s="2" t="str">
        <f>HYPERLINK("http://www.otzar.org/book.asp?84899","כסא שלמה")</f>
        <v>כסא שלמה</v>
      </c>
    </row>
    <row r="19104" spans="1:6" x14ac:dyDescent="0.2">
      <c r="A19104" t="s">
        <v>31252</v>
      </c>
      <c r="B19104" t="s">
        <v>31254</v>
      </c>
      <c r="C19104" t="s">
        <v>15405</v>
      </c>
      <c r="D19104" t="s">
        <v>76</v>
      </c>
      <c r="E19104" t="s">
        <v>234</v>
      </c>
      <c r="F19104" s="2" t="str">
        <f>HYPERLINK("http://www.otzar.org/book.asp?24673","כסא שלמה")</f>
        <v>כסא שלמה</v>
      </c>
    </row>
    <row r="19105" spans="1:6" x14ac:dyDescent="0.2">
      <c r="A19105" t="s">
        <v>31252</v>
      </c>
      <c r="B19105" t="s">
        <v>9944</v>
      </c>
      <c r="C19105" t="s">
        <v>492</v>
      </c>
      <c r="D19105" t="s">
        <v>27</v>
      </c>
      <c r="E19105" t="s">
        <v>154</v>
      </c>
      <c r="F19105" s="2" t="str">
        <f>HYPERLINK("http://www.otzar.org/book.asp?101250","כסא שלמה")</f>
        <v>כסא שלמה</v>
      </c>
    </row>
    <row r="19106" spans="1:6" x14ac:dyDescent="0.2">
      <c r="A19106" t="s">
        <v>31252</v>
      </c>
      <c r="B19106" t="s">
        <v>27370</v>
      </c>
      <c r="C19106" t="s">
        <v>553</v>
      </c>
      <c r="D19106" t="s">
        <v>2375</v>
      </c>
      <c r="E19106" t="s">
        <v>684</v>
      </c>
      <c r="F19106" s="2" t="str">
        <f>HYPERLINK("http://www.otzar.org/book.asp?51056","כסא שלמה")</f>
        <v>כסא שלמה</v>
      </c>
    </row>
    <row r="19107" spans="1:6" x14ac:dyDescent="0.2">
      <c r="A19107" t="s">
        <v>31255</v>
      </c>
      <c r="B19107" t="s">
        <v>31256</v>
      </c>
      <c r="C19107" t="s">
        <v>31257</v>
      </c>
      <c r="D19107" t="s">
        <v>15675</v>
      </c>
      <c r="E19107" t="s">
        <v>6305</v>
      </c>
      <c r="F19107" s="2" t="str">
        <f>HYPERLINK("http://www.otzar.org/book.asp?102234","כסאות לבית דוד")</f>
        <v>כסאות לבית דוד</v>
      </c>
    </row>
    <row r="19108" spans="1:6" x14ac:dyDescent="0.2">
      <c r="A19108" t="s">
        <v>31258</v>
      </c>
      <c r="B19108" t="s">
        <v>31259</v>
      </c>
      <c r="C19108" t="s">
        <v>51</v>
      </c>
      <c r="D19108" t="s">
        <v>3283</v>
      </c>
      <c r="E19108" t="s">
        <v>10</v>
      </c>
      <c r="F19108" s="2" t="str">
        <f>HYPERLINK("http://www.otzar.org/book.asp?151150","כסאות לבית דוד - 2 כר'")</f>
        <v>כסאות לבית דוד - 2 כר'</v>
      </c>
    </row>
    <row r="19109" spans="1:6" x14ac:dyDescent="0.2">
      <c r="A19109" t="s">
        <v>31260</v>
      </c>
      <c r="B19109" t="s">
        <v>26637</v>
      </c>
      <c r="C19109" t="s">
        <v>888</v>
      </c>
      <c r="D19109" t="s">
        <v>27</v>
      </c>
      <c r="E19109" t="s">
        <v>213</v>
      </c>
      <c r="F19109" s="2" t="str">
        <f>HYPERLINK("http://www.otzar.org/book.asp?191429","כסאות למשפט")</f>
        <v>כסאות למשפט</v>
      </c>
    </row>
    <row r="19110" spans="1:6" x14ac:dyDescent="0.2">
      <c r="A19110" t="s">
        <v>31261</v>
      </c>
      <c r="B19110" t="s">
        <v>255</v>
      </c>
      <c r="C19110" t="s">
        <v>189</v>
      </c>
      <c r="D19110" t="s">
        <v>14</v>
      </c>
      <c r="E19110" t="s">
        <v>144</v>
      </c>
      <c r="F19110" s="2" t="str">
        <f>HYPERLINK("http://www.otzar.org/book.asp?152688","כסאות למשפט - סנהדרין")</f>
        <v>כסאות למשפט - סנהדרין</v>
      </c>
    </row>
    <row r="19111" spans="1:6" x14ac:dyDescent="0.2">
      <c r="A19111" t="s">
        <v>31262</v>
      </c>
      <c r="B19111" t="s">
        <v>24141</v>
      </c>
      <c r="C19111" t="s">
        <v>5903</v>
      </c>
      <c r="D19111" t="s">
        <v>27</v>
      </c>
      <c r="F19111" s="2" t="str">
        <f>HYPERLINK("http://www.otzar.org/book.asp?18943","כסף הכפורים")</f>
        <v>כסף הכפורים</v>
      </c>
    </row>
    <row r="19112" spans="1:6" x14ac:dyDescent="0.2">
      <c r="A19112" t="s">
        <v>31263</v>
      </c>
      <c r="B19112" t="s">
        <v>31264</v>
      </c>
      <c r="C19112" t="s">
        <v>37</v>
      </c>
      <c r="D19112" t="s">
        <v>134</v>
      </c>
      <c r="F19112" s="2" t="str">
        <f>HYPERLINK("http://www.otzar.org/book.asp?198513","כסף הקדשים")</f>
        <v>כסף הקדשים</v>
      </c>
    </row>
    <row r="19113" spans="1:6" x14ac:dyDescent="0.2">
      <c r="A19113" t="s">
        <v>31265</v>
      </c>
      <c r="B19113" t="s">
        <v>31266</v>
      </c>
      <c r="C19113" t="s">
        <v>71</v>
      </c>
      <c r="D19113" t="s">
        <v>14</v>
      </c>
      <c r="E19113" t="s">
        <v>158</v>
      </c>
      <c r="F19113" s="2" t="str">
        <f>HYPERLINK("http://www.otzar.org/book.asp?171035","כסף ישיב - 2 כר'")</f>
        <v>כסף ישיב - 2 כר'</v>
      </c>
    </row>
    <row r="19114" spans="1:6" x14ac:dyDescent="0.2">
      <c r="A19114" t="s">
        <v>31267</v>
      </c>
      <c r="B19114" t="s">
        <v>31268</v>
      </c>
      <c r="C19114" t="s">
        <v>111</v>
      </c>
      <c r="D19114" t="s">
        <v>14</v>
      </c>
      <c r="E19114" t="s">
        <v>15</v>
      </c>
      <c r="F19114" s="2" t="str">
        <f>HYPERLINK("http://www.otzar.org/book.asp?630201","כסף כשר")</f>
        <v>כסף כשר</v>
      </c>
    </row>
    <row r="19115" spans="1:6" x14ac:dyDescent="0.2">
      <c r="A19115" t="s">
        <v>31267</v>
      </c>
      <c r="B19115" t="s">
        <v>31269</v>
      </c>
      <c r="C19115" t="s">
        <v>87</v>
      </c>
      <c r="D19115" t="s">
        <v>21</v>
      </c>
      <c r="E19115" t="s">
        <v>714</v>
      </c>
      <c r="F19115" s="2" t="str">
        <f>HYPERLINK("http://www.otzar.org/book.asp?191362","כסף כשר")</f>
        <v>כסף כשר</v>
      </c>
    </row>
    <row r="19116" spans="1:6" x14ac:dyDescent="0.2">
      <c r="A19116" t="s">
        <v>31270</v>
      </c>
      <c r="B19116" t="s">
        <v>3435</v>
      </c>
      <c r="C19116" t="s">
        <v>6607</v>
      </c>
      <c r="D19116" t="s">
        <v>49</v>
      </c>
      <c r="E19116" t="s">
        <v>158</v>
      </c>
      <c r="F19116" s="2" t="str">
        <f>HYPERLINK("http://www.otzar.org/book.asp?144970","כסף מזוקק")</f>
        <v>כסף מזוקק</v>
      </c>
    </row>
    <row r="19117" spans="1:6" x14ac:dyDescent="0.2">
      <c r="A19117" t="s">
        <v>31271</v>
      </c>
      <c r="B19117" t="s">
        <v>31272</v>
      </c>
      <c r="C19117" t="s">
        <v>5823</v>
      </c>
      <c r="D19117" t="s">
        <v>267</v>
      </c>
      <c r="E19117" t="s">
        <v>579</v>
      </c>
      <c r="F19117" s="2" t="str">
        <f>HYPERLINK("http://www.otzar.org/book.asp?18944","כסף מזקק")</f>
        <v>כסף מזקק</v>
      </c>
    </row>
    <row r="19118" spans="1:6" x14ac:dyDescent="0.2">
      <c r="A19118" t="s">
        <v>31271</v>
      </c>
      <c r="B19118" t="s">
        <v>15964</v>
      </c>
      <c r="C19118" t="s">
        <v>1202</v>
      </c>
      <c r="D19118" t="s">
        <v>283</v>
      </c>
      <c r="E19118" t="s">
        <v>1211</v>
      </c>
      <c r="F19118" s="2" t="str">
        <f>HYPERLINK("http://www.otzar.org/book.asp?101251","כסף מזקק")</f>
        <v>כסף מזקק</v>
      </c>
    </row>
    <row r="19119" spans="1:6" x14ac:dyDescent="0.2">
      <c r="A19119" t="s">
        <v>31273</v>
      </c>
      <c r="B19119" t="s">
        <v>31274</v>
      </c>
      <c r="C19119" t="s">
        <v>454</v>
      </c>
      <c r="D19119" t="s">
        <v>412</v>
      </c>
      <c r="E19119" t="s">
        <v>158</v>
      </c>
      <c r="F19119" s="2" t="str">
        <f>HYPERLINK("http://www.otzar.org/book.asp?170551","כסף נבחר &lt;מהדורה חדשה&gt; - 2 כר'")</f>
        <v>כסף נבחר &lt;מהדורה חדשה&gt; - 2 כר'</v>
      </c>
    </row>
    <row r="19120" spans="1:6" x14ac:dyDescent="0.2">
      <c r="A19120" t="s">
        <v>31275</v>
      </c>
      <c r="B19120" t="s">
        <v>305</v>
      </c>
      <c r="C19120" t="s">
        <v>20</v>
      </c>
      <c r="D19120" t="s">
        <v>2347</v>
      </c>
      <c r="E19120" t="s">
        <v>21952</v>
      </c>
      <c r="F19120" s="2" t="str">
        <f>HYPERLINK("http://www.otzar.org/book.asp?104936","כסף נבחר לשון צדיק - 2 כר'")</f>
        <v>כסף נבחר לשון צדיק - 2 כר'</v>
      </c>
    </row>
    <row r="19121" spans="1:6" x14ac:dyDescent="0.2">
      <c r="A19121" t="s">
        <v>31276</v>
      </c>
      <c r="B19121" t="s">
        <v>31059</v>
      </c>
      <c r="C19121" t="s">
        <v>1437</v>
      </c>
      <c r="D19121" t="s">
        <v>267</v>
      </c>
      <c r="E19121" t="s">
        <v>424</v>
      </c>
      <c r="F19121" s="2" t="str">
        <f>HYPERLINK("http://www.otzar.org/book.asp?101258","כסף נבחר")</f>
        <v>כסף נבחר</v>
      </c>
    </row>
    <row r="19122" spans="1:6" x14ac:dyDescent="0.2">
      <c r="A19122" t="s">
        <v>31277</v>
      </c>
      <c r="B19122" t="s">
        <v>31274</v>
      </c>
      <c r="C19122" t="s">
        <v>543</v>
      </c>
      <c r="D19122" t="s">
        <v>212</v>
      </c>
      <c r="E19122" t="s">
        <v>158</v>
      </c>
      <c r="F19122" s="2" t="str">
        <f>HYPERLINK("http://www.otzar.org/book.asp?151489","כסף נבחר - 2 כר'")</f>
        <v>כסף נבחר - 2 כר'</v>
      </c>
    </row>
    <row r="19123" spans="1:6" x14ac:dyDescent="0.2">
      <c r="A19123" t="s">
        <v>31278</v>
      </c>
      <c r="B19123" t="s">
        <v>3292</v>
      </c>
      <c r="C19123" t="s">
        <v>31279</v>
      </c>
      <c r="D19123" t="s">
        <v>17874</v>
      </c>
      <c r="E19123" t="s">
        <v>234</v>
      </c>
      <c r="F19123" s="2" t="str">
        <f>HYPERLINK("http://www.otzar.org/book.asp?16973","כסף נבחר - 3 כר'")</f>
        <v>כסף נבחר - 3 כר'</v>
      </c>
    </row>
    <row r="19124" spans="1:6" x14ac:dyDescent="0.2">
      <c r="A19124" t="s">
        <v>31276</v>
      </c>
      <c r="B19124" t="s">
        <v>3435</v>
      </c>
      <c r="C19124" t="s">
        <v>10425</v>
      </c>
      <c r="D19124" t="s">
        <v>49</v>
      </c>
      <c r="E19124" t="s">
        <v>158</v>
      </c>
      <c r="F19124" s="2" t="str">
        <f>HYPERLINK("http://www.otzar.org/book.asp?18945","כסף נבחר")</f>
        <v>כסף נבחר</v>
      </c>
    </row>
    <row r="19125" spans="1:6" x14ac:dyDescent="0.2">
      <c r="A19125" t="s">
        <v>31280</v>
      </c>
      <c r="B19125" t="s">
        <v>627</v>
      </c>
      <c r="C19125" t="s">
        <v>124</v>
      </c>
      <c r="D19125" t="s">
        <v>14</v>
      </c>
      <c r="E19125" t="s">
        <v>952</v>
      </c>
      <c r="F19125" s="2" t="str">
        <f>HYPERLINK("http://www.otzar.org/book.asp?159232","כסף נבחר - א")</f>
        <v>כסף נבחר - א</v>
      </c>
    </row>
    <row r="19126" spans="1:6" x14ac:dyDescent="0.2">
      <c r="A19126" t="s">
        <v>31281</v>
      </c>
      <c r="B19126" t="s">
        <v>31282</v>
      </c>
      <c r="C19126" t="s">
        <v>1535</v>
      </c>
      <c r="D19126" t="s">
        <v>27</v>
      </c>
      <c r="E19126" t="s">
        <v>2569</v>
      </c>
      <c r="F19126" s="2" t="str">
        <f>HYPERLINK("http://www.otzar.org/book.asp?157471","כסף צרוף &lt;שמן זית זך&gt;")</f>
        <v>כסף צרוף &lt;שמן זית זך&gt;</v>
      </c>
    </row>
    <row r="19127" spans="1:6" x14ac:dyDescent="0.2">
      <c r="A19127" t="s">
        <v>31283</v>
      </c>
      <c r="B19127" t="s">
        <v>31284</v>
      </c>
      <c r="C19127" t="s">
        <v>99</v>
      </c>
      <c r="D19127" t="s">
        <v>27</v>
      </c>
      <c r="E19127" t="s">
        <v>158</v>
      </c>
      <c r="F19127" s="2" t="str">
        <f>HYPERLINK("http://www.otzar.org/book.asp?170988","כסף צרוף")</f>
        <v>כסף צרוף</v>
      </c>
    </row>
    <row r="19128" spans="1:6" x14ac:dyDescent="0.2">
      <c r="A19128" t="s">
        <v>31283</v>
      </c>
      <c r="B19128" t="s">
        <v>27875</v>
      </c>
      <c r="C19128" t="s">
        <v>244</v>
      </c>
      <c r="D19128" t="s">
        <v>21</v>
      </c>
      <c r="E19128" t="s">
        <v>230</v>
      </c>
      <c r="F19128" s="2" t="str">
        <f>HYPERLINK("http://www.otzar.org/book.asp?612289","כסף צרוף")</f>
        <v>כסף צרוף</v>
      </c>
    </row>
    <row r="19129" spans="1:6" x14ac:dyDescent="0.2">
      <c r="A19129" t="s">
        <v>31283</v>
      </c>
      <c r="B19129" t="s">
        <v>26930</v>
      </c>
      <c r="C19129" t="s">
        <v>775</v>
      </c>
      <c r="D19129" t="s">
        <v>14</v>
      </c>
      <c r="E19129" t="s">
        <v>674</v>
      </c>
      <c r="F19129" s="2" t="str">
        <f>HYPERLINK("http://www.otzar.org/book.asp?52748","כסף צרוף")</f>
        <v>כסף צרוף</v>
      </c>
    </row>
    <row r="19130" spans="1:6" x14ac:dyDescent="0.2">
      <c r="A19130" t="s">
        <v>31283</v>
      </c>
      <c r="B19130" t="s">
        <v>3435</v>
      </c>
      <c r="C19130" t="s">
        <v>8476</v>
      </c>
      <c r="D19130" t="s">
        <v>1023</v>
      </c>
      <c r="E19130" t="s">
        <v>158</v>
      </c>
      <c r="F19130" s="2" t="str">
        <f>HYPERLINK("http://www.otzar.org/book.asp?102237","כסף צרוף")</f>
        <v>כסף צרוף</v>
      </c>
    </row>
    <row r="19131" spans="1:6" x14ac:dyDescent="0.2">
      <c r="A19131" t="s">
        <v>31285</v>
      </c>
      <c r="B19131" t="s">
        <v>31282</v>
      </c>
      <c r="C19131" t="s">
        <v>1885</v>
      </c>
      <c r="D19131" t="s">
        <v>27</v>
      </c>
      <c r="E19131" t="s">
        <v>158</v>
      </c>
      <c r="F19131" s="2" t="str">
        <f>HYPERLINK("http://www.otzar.org/book.asp?153051","כסף צרוף - בראשית")</f>
        <v>כסף צרוף - בראשית</v>
      </c>
    </row>
    <row r="19132" spans="1:6" x14ac:dyDescent="0.2">
      <c r="A19132" t="s">
        <v>31286</v>
      </c>
      <c r="B19132" t="s">
        <v>686</v>
      </c>
      <c r="C19132" t="s">
        <v>114</v>
      </c>
      <c r="D19132" t="s">
        <v>52</v>
      </c>
      <c r="E19132" t="s">
        <v>104</v>
      </c>
      <c r="F19132" s="2" t="str">
        <f>HYPERLINK("http://www.otzar.org/book.asp?172422","כספא דכיא")</f>
        <v>כספא דכיא</v>
      </c>
    </row>
    <row r="19133" spans="1:6" x14ac:dyDescent="0.2">
      <c r="A19133" t="s">
        <v>31287</v>
      </c>
      <c r="B19133" t="s">
        <v>3663</v>
      </c>
      <c r="C19133" t="s">
        <v>20</v>
      </c>
      <c r="D19133" t="s">
        <v>2285</v>
      </c>
      <c r="E19133" t="s">
        <v>15</v>
      </c>
      <c r="F19133" s="2" t="str">
        <f>HYPERLINK("http://www.otzar.org/book.asp?193548","כעין תער")</f>
        <v>כעין תער</v>
      </c>
    </row>
    <row r="19134" spans="1:6" x14ac:dyDescent="0.2">
      <c r="A19134" t="s">
        <v>31288</v>
      </c>
      <c r="B19134" t="s">
        <v>31289</v>
      </c>
      <c r="C19134" t="s">
        <v>609</v>
      </c>
      <c r="D19134" t="s">
        <v>412</v>
      </c>
      <c r="E19134" t="s">
        <v>104</v>
      </c>
      <c r="F19134" s="2" t="str">
        <f>HYPERLINK("http://www.otzar.org/book.asp?196475","כעלמער נאראנים")</f>
        <v>כעלמער נאראנים</v>
      </c>
    </row>
    <row r="19135" spans="1:6" x14ac:dyDescent="0.2">
      <c r="A19135" t="s">
        <v>31290</v>
      </c>
      <c r="B19135" t="s">
        <v>31291</v>
      </c>
      <c r="C19135" t="s">
        <v>146</v>
      </c>
      <c r="D19135" t="s">
        <v>412</v>
      </c>
      <c r="E19135" t="s">
        <v>15</v>
      </c>
      <c r="F19135" s="2" t="str">
        <f>HYPERLINK("http://www.otzar.org/book.asp?168747","כעמיר גורנה")</f>
        <v>כעמיר גורנה</v>
      </c>
    </row>
    <row r="19136" spans="1:6" x14ac:dyDescent="0.2">
      <c r="A19136" t="s">
        <v>31292</v>
      </c>
      <c r="B19136" t="s">
        <v>686</v>
      </c>
      <c r="C19136" t="s">
        <v>411</v>
      </c>
      <c r="D19136" t="s">
        <v>52</v>
      </c>
      <c r="E19136" t="s">
        <v>104</v>
      </c>
      <c r="F19136" s="2" t="str">
        <f>HYPERLINK("http://www.otzar.org/book.asp?169088","כענבים במדבר")</f>
        <v>כענבים במדבר</v>
      </c>
    </row>
    <row r="19137" spans="1:6" x14ac:dyDescent="0.2">
      <c r="A19137" t="s">
        <v>31293</v>
      </c>
      <c r="B19137" t="s">
        <v>31294</v>
      </c>
      <c r="C19137" t="s">
        <v>20</v>
      </c>
      <c r="D19137" t="s">
        <v>14</v>
      </c>
      <c r="E19137" t="s">
        <v>636</v>
      </c>
      <c r="F19137" s="2" t="str">
        <f>HYPERLINK("http://www.otzar.org/book.asp?6348","כעס ועצבים אפשר לצאת מזה")</f>
        <v>כעס ועצבים אפשר לצאת מזה</v>
      </c>
    </row>
    <row r="19138" spans="1:6" x14ac:dyDescent="0.2">
      <c r="A19138" t="s">
        <v>31295</v>
      </c>
      <c r="B19138" t="s">
        <v>31296</v>
      </c>
      <c r="C19138" t="s">
        <v>23</v>
      </c>
      <c r="D19138" t="s">
        <v>646</v>
      </c>
      <c r="E19138" t="s">
        <v>768</v>
      </c>
      <c r="F19138" s="2" t="str">
        <f>HYPERLINK("http://www.otzar.org/book.asp?189239","כעץ שתול - 2 כר'")</f>
        <v>כעץ שתול - 2 כר'</v>
      </c>
    </row>
    <row r="19139" spans="1:6" x14ac:dyDescent="0.2">
      <c r="A19139" t="s">
        <v>31295</v>
      </c>
      <c r="B19139" t="s">
        <v>31297</v>
      </c>
      <c r="C19139" t="s">
        <v>111</v>
      </c>
      <c r="D19139" t="s">
        <v>90</v>
      </c>
      <c r="E19139" t="s">
        <v>158</v>
      </c>
      <c r="F19139" s="2" t="str">
        <f>HYPERLINK("http://www.otzar.org/book.asp?628127","כעץ שתול - 2 כר'")</f>
        <v>כעץ שתול - 2 כר'</v>
      </c>
    </row>
    <row r="19140" spans="1:6" x14ac:dyDescent="0.2">
      <c r="A19140" t="s">
        <v>31298</v>
      </c>
      <c r="B19140" t="s">
        <v>11669</v>
      </c>
      <c r="C19140" t="s">
        <v>466</v>
      </c>
      <c r="D19140" t="s">
        <v>14</v>
      </c>
      <c r="E19140" t="s">
        <v>119</v>
      </c>
      <c r="F19140" s="2" t="str">
        <f>HYPERLINK("http://www.otzar.org/book.asp?155044","כערער בערבה")</f>
        <v>כערער בערבה</v>
      </c>
    </row>
    <row r="19141" spans="1:6" x14ac:dyDescent="0.2">
      <c r="A19141" t="s">
        <v>31299</v>
      </c>
      <c r="B19141" t="s">
        <v>3951</v>
      </c>
      <c r="C19141" t="s">
        <v>51</v>
      </c>
      <c r="D19141" t="s">
        <v>52</v>
      </c>
      <c r="E19141" t="s">
        <v>246</v>
      </c>
      <c r="F19141" s="2" t="str">
        <f>HYPERLINK("http://www.otzar.org/book.asp?626328","כעת חיה")</f>
        <v>כעת חיה</v>
      </c>
    </row>
    <row r="19142" spans="1:6" x14ac:dyDescent="0.2">
      <c r="A19142" t="s">
        <v>31300</v>
      </c>
      <c r="B19142" t="s">
        <v>25176</v>
      </c>
      <c r="C19142" t="s">
        <v>146</v>
      </c>
      <c r="D19142" t="s">
        <v>147</v>
      </c>
      <c r="E19142" t="s">
        <v>144</v>
      </c>
      <c r="F19142" s="2" t="str">
        <f>HYPERLINK("http://www.otzar.org/book.asp?52349","כעת חיה - ברכות, שבת")</f>
        <v>כעת חיה - ברכות, שבת</v>
      </c>
    </row>
    <row r="19143" spans="1:6" x14ac:dyDescent="0.2">
      <c r="A19143" t="s">
        <v>31301</v>
      </c>
      <c r="B19143" t="s">
        <v>31302</v>
      </c>
      <c r="C19143" t="s">
        <v>523</v>
      </c>
      <c r="D19143" t="s">
        <v>2285</v>
      </c>
      <c r="E19143" t="s">
        <v>84</v>
      </c>
      <c r="F19143" s="2" t="str">
        <f>HYPERLINK("http://www.otzar.org/book.asp?630178","כעת יאמר - 2 כר'")</f>
        <v>כעת יאמר - 2 כר'</v>
      </c>
    </row>
    <row r="19144" spans="1:6" x14ac:dyDescent="0.2">
      <c r="A19144" t="s">
        <v>31303</v>
      </c>
      <c r="B19144" t="s">
        <v>15052</v>
      </c>
      <c r="C19144" t="s">
        <v>956</v>
      </c>
      <c r="D19144" t="s">
        <v>14</v>
      </c>
      <c r="E19144" t="s">
        <v>786</v>
      </c>
      <c r="F19144" s="2" t="str">
        <f>HYPERLINK("http://www.otzar.org/book.asp?199526","כף אחת")</f>
        <v>כף אחת</v>
      </c>
    </row>
    <row r="19145" spans="1:6" x14ac:dyDescent="0.2">
      <c r="A19145" t="s">
        <v>31303</v>
      </c>
      <c r="B19145" t="s">
        <v>1308</v>
      </c>
      <c r="C19145" t="s">
        <v>3709</v>
      </c>
      <c r="D19145" t="s">
        <v>1660</v>
      </c>
      <c r="F19145" s="2" t="str">
        <f>HYPERLINK("http://www.otzar.org/book.asp?169535","כף אחת")</f>
        <v>כף אחת</v>
      </c>
    </row>
    <row r="19146" spans="1:6" x14ac:dyDescent="0.2">
      <c r="A19146" t="s">
        <v>31304</v>
      </c>
      <c r="B19146" t="s">
        <v>31305</v>
      </c>
      <c r="C19146" t="s">
        <v>189</v>
      </c>
      <c r="D19146" t="s">
        <v>367</v>
      </c>
      <c r="E19146" t="s">
        <v>15</v>
      </c>
      <c r="F19146" s="2" t="str">
        <f>HYPERLINK("http://www.otzar.org/book.asp?195715","כף הדן")</f>
        <v>כף הדן</v>
      </c>
    </row>
    <row r="19147" spans="1:6" x14ac:dyDescent="0.2">
      <c r="A19147" t="s">
        <v>31306</v>
      </c>
      <c r="B19147" t="s">
        <v>31307</v>
      </c>
      <c r="C19147" t="s">
        <v>37</v>
      </c>
      <c r="D19147" t="s">
        <v>14</v>
      </c>
      <c r="E19147" t="s">
        <v>172</v>
      </c>
      <c r="F19147" s="2" t="str">
        <f>HYPERLINK("http://www.otzar.org/book.asp?193507","כף הזהב - נדה")</f>
        <v>כף הזהב - נדה</v>
      </c>
    </row>
    <row r="19148" spans="1:6" x14ac:dyDescent="0.2">
      <c r="A19148" t="s">
        <v>31308</v>
      </c>
      <c r="B19148" t="s">
        <v>26124</v>
      </c>
      <c r="C19148" t="s">
        <v>37</v>
      </c>
      <c r="D19148" t="s">
        <v>27</v>
      </c>
      <c r="E19148" t="s">
        <v>148</v>
      </c>
      <c r="F19148" s="2" t="str">
        <f>HYPERLINK("http://www.otzar.org/book.asp?616916","כף החיים &lt;מהדורה חדשה&gt; - 10 כר'")</f>
        <v>כף החיים &lt;מהדורה חדשה&gt; - 10 כר'</v>
      </c>
    </row>
    <row r="19149" spans="1:6" x14ac:dyDescent="0.2">
      <c r="A19149" t="s">
        <v>31309</v>
      </c>
      <c r="B19149" t="s">
        <v>155</v>
      </c>
      <c r="C19149" t="s">
        <v>37</v>
      </c>
      <c r="D19149" t="s">
        <v>52</v>
      </c>
      <c r="E19149" t="s">
        <v>15</v>
      </c>
      <c r="F19149" s="2" t="str">
        <f>HYPERLINK("http://www.otzar.org/book.asp?175815","כף החיים &lt;מהדורה חדשה&gt;")</f>
        <v>כף החיים &lt;מהדורה חדשה&gt;</v>
      </c>
    </row>
    <row r="19150" spans="1:6" x14ac:dyDescent="0.2">
      <c r="A19150" t="s">
        <v>31310</v>
      </c>
      <c r="B19150" t="s">
        <v>26124</v>
      </c>
      <c r="C19150" t="s">
        <v>1228</v>
      </c>
      <c r="D19150" t="s">
        <v>27</v>
      </c>
      <c r="E19150" t="s">
        <v>23414</v>
      </c>
      <c r="F19150" s="2" t="str">
        <f>HYPERLINK("http://www.otzar.org/book.asp?104979","כף החיים - 11 כר'")</f>
        <v>כף החיים - 11 כר'</v>
      </c>
    </row>
    <row r="19151" spans="1:6" x14ac:dyDescent="0.2">
      <c r="A19151" t="s">
        <v>31311</v>
      </c>
      <c r="B19151" t="s">
        <v>155</v>
      </c>
      <c r="C19151" t="s">
        <v>1036</v>
      </c>
      <c r="D19151" t="s">
        <v>76</v>
      </c>
      <c r="E19151" t="s">
        <v>15</v>
      </c>
      <c r="F19151" s="2" t="str">
        <f>HYPERLINK("http://www.otzar.org/book.asp?925","כף החיים")</f>
        <v>כף החיים</v>
      </c>
    </row>
    <row r="19152" spans="1:6" x14ac:dyDescent="0.2">
      <c r="A19152" t="s">
        <v>31312</v>
      </c>
      <c r="B19152" t="s">
        <v>31313</v>
      </c>
      <c r="C19152" t="s">
        <v>950</v>
      </c>
      <c r="D19152" t="s">
        <v>212</v>
      </c>
      <c r="E19152" t="s">
        <v>1684</v>
      </c>
      <c r="F19152" s="2" t="str">
        <f>HYPERLINK("http://www.otzar.org/book.asp?64028","כף הכהן")</f>
        <v>כף הכהן</v>
      </c>
    </row>
    <row r="19153" spans="1:6" x14ac:dyDescent="0.2">
      <c r="A19153" t="s">
        <v>31314</v>
      </c>
      <c r="B19153" t="s">
        <v>31315</v>
      </c>
      <c r="C19153" t="s">
        <v>748</v>
      </c>
      <c r="D19153" t="s">
        <v>283</v>
      </c>
      <c r="E19153" t="s">
        <v>467</v>
      </c>
      <c r="F19153" s="2" t="str">
        <f>HYPERLINK("http://www.otzar.org/book.asp?102238","כף המאזנים")</f>
        <v>כף המאזנים</v>
      </c>
    </row>
    <row r="19154" spans="1:6" x14ac:dyDescent="0.2">
      <c r="A19154" t="s">
        <v>31316</v>
      </c>
      <c r="B19154" t="s">
        <v>31317</v>
      </c>
      <c r="C19154" t="s">
        <v>523</v>
      </c>
      <c r="D19154" t="s">
        <v>14</v>
      </c>
      <c r="F19154" s="2" t="str">
        <f>HYPERLINK("http://www.otzar.org/book.asp?182805","כף זכות")</f>
        <v>כף זכות</v>
      </c>
    </row>
    <row r="19155" spans="1:6" x14ac:dyDescent="0.2">
      <c r="A19155" t="s">
        <v>31318</v>
      </c>
      <c r="B19155" t="s">
        <v>776</v>
      </c>
      <c r="C19155" t="s">
        <v>1062</v>
      </c>
      <c r="D19155" t="s">
        <v>27</v>
      </c>
      <c r="E19155" t="s">
        <v>104</v>
      </c>
      <c r="F19155" s="2" t="str">
        <f>HYPERLINK("http://www.otzar.org/book.asp?146789","כף חן")</f>
        <v>כף חן</v>
      </c>
    </row>
    <row r="19156" spans="1:6" x14ac:dyDescent="0.2">
      <c r="A19156" t="s">
        <v>31319</v>
      </c>
      <c r="B19156" t="s">
        <v>7235</v>
      </c>
      <c r="C19156" t="s">
        <v>111</v>
      </c>
      <c r="D19156" t="s">
        <v>52</v>
      </c>
      <c r="E19156" t="s">
        <v>104</v>
      </c>
      <c r="F19156" s="2" t="str">
        <f>HYPERLINK("http://www.otzar.org/book.asp?623802","כף נחת")</f>
        <v>כף נחת</v>
      </c>
    </row>
    <row r="19157" spans="1:6" x14ac:dyDescent="0.2">
      <c r="A19157" t="s">
        <v>31320</v>
      </c>
      <c r="B19157" t="s">
        <v>31321</v>
      </c>
      <c r="C19157" t="s">
        <v>146</v>
      </c>
      <c r="D19157" t="s">
        <v>42</v>
      </c>
      <c r="E19157" t="s">
        <v>84</v>
      </c>
      <c r="F19157" s="2" t="str">
        <f>HYPERLINK("http://www.otzar.org/book.asp?142786","כף נחת - 2 כר'")</f>
        <v>כף נחת - 2 כר'</v>
      </c>
    </row>
    <row r="19158" spans="1:6" x14ac:dyDescent="0.2">
      <c r="A19158" t="s">
        <v>31322</v>
      </c>
      <c r="B19158" t="s">
        <v>31323</v>
      </c>
      <c r="C19158" t="s">
        <v>31324</v>
      </c>
      <c r="D19158" t="s">
        <v>721</v>
      </c>
      <c r="F19158" s="2" t="str">
        <f>HYPERLINK("http://www.otzar.org/book.asp?609886","כף נקי השלם")</f>
        <v>כף נקי השלם</v>
      </c>
    </row>
    <row r="19159" spans="1:6" x14ac:dyDescent="0.2">
      <c r="A19159" t="s">
        <v>31325</v>
      </c>
      <c r="B19159" t="s">
        <v>31323</v>
      </c>
      <c r="C19159" t="s">
        <v>411</v>
      </c>
      <c r="D19159" t="s">
        <v>721</v>
      </c>
      <c r="E19159" t="s">
        <v>24</v>
      </c>
      <c r="F19159" s="2" t="str">
        <f>HYPERLINK("http://www.otzar.org/book.asp?174442","כף נקי")</f>
        <v>כף נקי</v>
      </c>
    </row>
    <row r="19160" spans="1:6" x14ac:dyDescent="0.2">
      <c r="A19160" t="s">
        <v>31326</v>
      </c>
      <c r="B19160" t="s">
        <v>31327</v>
      </c>
      <c r="C19160" t="s">
        <v>1470</v>
      </c>
      <c r="D19160" t="s">
        <v>1889</v>
      </c>
      <c r="E19160" t="s">
        <v>219</v>
      </c>
      <c r="F19160" s="2" t="str">
        <f>HYPERLINK("http://www.otzar.org/book.asp?170998","כפור קטן")</f>
        <v>כפור קטן</v>
      </c>
    </row>
    <row r="19161" spans="1:6" x14ac:dyDescent="0.2">
      <c r="A19161" t="s">
        <v>31328</v>
      </c>
      <c r="B19161" t="s">
        <v>31329</v>
      </c>
      <c r="C19161" t="s">
        <v>224</v>
      </c>
      <c r="D19161" t="s">
        <v>1801</v>
      </c>
      <c r="E19161" t="s">
        <v>1517</v>
      </c>
      <c r="F19161" s="2" t="str">
        <f>HYPERLINK("http://www.otzar.org/book.asp?152235","כפור תמים - ב")</f>
        <v>כפור תמים - ב</v>
      </c>
    </row>
    <row r="19162" spans="1:6" x14ac:dyDescent="0.2">
      <c r="A19162" t="s">
        <v>31330</v>
      </c>
      <c r="B19162" t="s">
        <v>31331</v>
      </c>
      <c r="C19162" t="s">
        <v>8375</v>
      </c>
      <c r="D19162" t="s">
        <v>56</v>
      </c>
      <c r="E19162" t="s">
        <v>1262</v>
      </c>
      <c r="F19162" s="2" t="str">
        <f>HYPERLINK("http://www.otzar.org/book.asp?18946","כפות זהב")</f>
        <v>כפות זהב</v>
      </c>
    </row>
    <row r="19163" spans="1:6" x14ac:dyDescent="0.2">
      <c r="A19163" t="s">
        <v>31332</v>
      </c>
      <c r="B19163" t="s">
        <v>19708</v>
      </c>
      <c r="C19163" t="s">
        <v>133</v>
      </c>
      <c r="D19163" t="s">
        <v>14</v>
      </c>
      <c r="E19163" t="s">
        <v>2071</v>
      </c>
      <c r="F19163" s="2" t="str">
        <f>HYPERLINK("http://www.otzar.org/book.asp?171202","כפטיש יפוצץ")</f>
        <v>כפטיש יפוצץ</v>
      </c>
    </row>
    <row r="19164" spans="1:6" x14ac:dyDescent="0.2">
      <c r="A19164" t="s">
        <v>31333</v>
      </c>
      <c r="B19164" t="s">
        <v>1306</v>
      </c>
      <c r="C19164" t="s">
        <v>956</v>
      </c>
      <c r="D19164" t="s">
        <v>27</v>
      </c>
      <c r="E19164" t="s">
        <v>104</v>
      </c>
      <c r="F19164" s="2" t="str">
        <f>HYPERLINK("http://www.otzar.org/book.asp?26026","כפי אהרן תליתאה")</f>
        <v>כפי אהרן תליתאה</v>
      </c>
    </row>
    <row r="19165" spans="1:6" x14ac:dyDescent="0.2">
      <c r="A19165" t="s">
        <v>31334</v>
      </c>
      <c r="B19165" t="s">
        <v>31335</v>
      </c>
      <c r="C19165" t="s">
        <v>1374</v>
      </c>
      <c r="D19165" t="s">
        <v>379</v>
      </c>
      <c r="E19165" t="s">
        <v>930</v>
      </c>
      <c r="F19165" s="2" t="str">
        <f>HYPERLINK("http://www.otzar.org/book.asp?18947","כפי אהרן")</f>
        <v>כפי אהרן</v>
      </c>
    </row>
    <row r="19166" spans="1:6" x14ac:dyDescent="0.2">
      <c r="A19166" t="s">
        <v>31334</v>
      </c>
      <c r="B19166" t="s">
        <v>1306</v>
      </c>
      <c r="C19166" t="s">
        <v>1246</v>
      </c>
      <c r="D19166" t="s">
        <v>27</v>
      </c>
      <c r="E19166" t="s">
        <v>1211</v>
      </c>
      <c r="F19166" s="2" t="str">
        <f>HYPERLINK("http://www.otzar.org/book.asp?5298","כפי אהרן")</f>
        <v>כפי אהרן</v>
      </c>
    </row>
    <row r="19167" spans="1:6" x14ac:dyDescent="0.2">
      <c r="A19167" t="s">
        <v>31336</v>
      </c>
      <c r="B19167" t="s">
        <v>4958</v>
      </c>
      <c r="C19167" t="s">
        <v>31337</v>
      </c>
      <c r="D19167" t="s">
        <v>27</v>
      </c>
      <c r="E19167" t="s">
        <v>23414</v>
      </c>
      <c r="F19167" s="2" t="str">
        <f>HYPERLINK("http://www.otzar.org/book.asp?10685","כפי אהרן - 2 כר'")</f>
        <v>כפי אהרן - 2 כר'</v>
      </c>
    </row>
    <row r="19168" spans="1:6" x14ac:dyDescent="0.2">
      <c r="A19168" t="s">
        <v>31338</v>
      </c>
      <c r="B19168" t="s">
        <v>206</v>
      </c>
      <c r="C19168" t="s">
        <v>17</v>
      </c>
      <c r="D19168" t="s">
        <v>14</v>
      </c>
      <c r="E19168" t="s">
        <v>130</v>
      </c>
      <c r="F19168" s="2" t="str">
        <f>HYPERLINK("http://www.otzar.org/book.asp?153475","כפי חיים - כף איש")</f>
        <v>כפי חיים - כף איש</v>
      </c>
    </row>
    <row r="19169" spans="1:6" x14ac:dyDescent="0.2">
      <c r="A19169" t="s">
        <v>31339</v>
      </c>
      <c r="B19169" t="s">
        <v>31340</v>
      </c>
      <c r="C19169" t="s">
        <v>523</v>
      </c>
      <c r="D19169" t="s">
        <v>6540</v>
      </c>
      <c r="E19169" t="s">
        <v>130</v>
      </c>
      <c r="F19169" s="2" t="str">
        <f>HYPERLINK("http://www.otzar.org/book.asp?153222","כפי חיים")</f>
        <v>כפי חיים</v>
      </c>
    </row>
    <row r="19170" spans="1:6" x14ac:dyDescent="0.2">
      <c r="A19170" t="s">
        <v>31341</v>
      </c>
      <c r="B19170" t="s">
        <v>3768</v>
      </c>
      <c r="C19170" t="s">
        <v>71</v>
      </c>
      <c r="D19170" t="s">
        <v>14</v>
      </c>
      <c r="F19170" s="2" t="str">
        <f>HYPERLINK("http://www.otzar.org/book.asp?611239","כפי תהיה")</f>
        <v>כפי תהיה</v>
      </c>
    </row>
    <row r="19171" spans="1:6" x14ac:dyDescent="0.2">
      <c r="A19171" t="s">
        <v>31342</v>
      </c>
      <c r="B19171" t="s">
        <v>31343</v>
      </c>
      <c r="C19171" t="s">
        <v>23</v>
      </c>
      <c r="D19171" t="s">
        <v>80</v>
      </c>
      <c r="E19171" t="s">
        <v>158</v>
      </c>
      <c r="F19171" s="2" t="str">
        <f>HYPERLINK("http://www.otzar.org/book.asp?195578","כפל לשון")</f>
        <v>כפל לשון</v>
      </c>
    </row>
    <row r="19172" spans="1:6" x14ac:dyDescent="0.2">
      <c r="A19172" t="s">
        <v>31344</v>
      </c>
      <c r="B19172" t="s">
        <v>11403</v>
      </c>
      <c r="C19172" t="s">
        <v>1437</v>
      </c>
      <c r="D19172" t="s">
        <v>4269</v>
      </c>
      <c r="E19172" t="s">
        <v>158</v>
      </c>
      <c r="F19172" s="2" t="str">
        <f>HYPERLINK("http://www.otzar.org/book.asp?147088","כפלים לתושיה")</f>
        <v>כפלים לתושיה</v>
      </c>
    </row>
    <row r="19173" spans="1:6" x14ac:dyDescent="0.2">
      <c r="A19173" t="s">
        <v>31345</v>
      </c>
      <c r="B19173" t="s">
        <v>31346</v>
      </c>
      <c r="C19173" t="s">
        <v>266</v>
      </c>
      <c r="D19173" t="s">
        <v>283</v>
      </c>
      <c r="E19173" t="s">
        <v>158</v>
      </c>
      <c r="F19173" s="2" t="str">
        <f>HYPERLINK("http://www.otzar.org/book.asp?102578","כפלים לתשיה")</f>
        <v>כפלים לתשיה</v>
      </c>
    </row>
    <row r="19174" spans="1:6" x14ac:dyDescent="0.2">
      <c r="A19174" t="s">
        <v>31347</v>
      </c>
      <c r="B19174" t="s">
        <v>31348</v>
      </c>
      <c r="C19174" t="s">
        <v>313</v>
      </c>
      <c r="D19174" t="s">
        <v>31349</v>
      </c>
      <c r="E19174" t="s">
        <v>393</v>
      </c>
      <c r="F19174" s="2" t="str">
        <f>HYPERLINK("http://www.otzar.org/book.asp?27831","כפר חב""ד - 0001-0012")</f>
        <v>כפר חב"ד - 0001-0012</v>
      </c>
    </row>
    <row r="19175" spans="1:6" x14ac:dyDescent="0.2">
      <c r="A19175" t="s">
        <v>31350</v>
      </c>
      <c r="B19175" t="s">
        <v>155</v>
      </c>
      <c r="C19175" t="s">
        <v>1418</v>
      </c>
      <c r="D19175" t="s">
        <v>157</v>
      </c>
      <c r="E19175" t="s">
        <v>1517</v>
      </c>
      <c r="F19175" s="2" t="str">
        <f>HYPERLINK("http://www.otzar.org/book.asp?102239","כפר לחיים")</f>
        <v>כפר לחיים</v>
      </c>
    </row>
    <row r="19176" spans="1:6" x14ac:dyDescent="0.2">
      <c r="A19176" t="s">
        <v>31351</v>
      </c>
      <c r="B19176" t="s">
        <v>31352</v>
      </c>
      <c r="C19176" t="s">
        <v>366</v>
      </c>
      <c r="D19176" t="s">
        <v>90</v>
      </c>
      <c r="E19176" t="s">
        <v>474</v>
      </c>
      <c r="F19176" s="2" t="str">
        <f>HYPERLINK("http://www.otzar.org/book.asp?615539","כפר ליצחק")</f>
        <v>כפר ליצחק</v>
      </c>
    </row>
    <row r="19177" spans="1:6" x14ac:dyDescent="0.2">
      <c r="A19177" t="s">
        <v>31353</v>
      </c>
      <c r="B19177" t="s">
        <v>15329</v>
      </c>
      <c r="C19177" t="s">
        <v>244</v>
      </c>
      <c r="D19177" t="s">
        <v>52</v>
      </c>
      <c r="E19177" t="s">
        <v>104</v>
      </c>
      <c r="F19177" s="2" t="str">
        <f>HYPERLINK("http://www.otzar.org/book.asp?605768","כפרת מלקות")</f>
        <v>כפרת מלקות</v>
      </c>
    </row>
    <row r="19178" spans="1:6" x14ac:dyDescent="0.2">
      <c r="A19178" t="s">
        <v>31354</v>
      </c>
      <c r="B19178" t="s">
        <v>31355</v>
      </c>
      <c r="C19178" t="s">
        <v>343</v>
      </c>
      <c r="D19178" t="s">
        <v>535</v>
      </c>
      <c r="E19178" t="s">
        <v>84</v>
      </c>
      <c r="F19178" s="2" t="str">
        <f>HYPERLINK("http://www.otzar.org/book.asp?51478","כפת המנעול")</f>
        <v>כפת המנעול</v>
      </c>
    </row>
    <row r="19179" spans="1:6" x14ac:dyDescent="0.2">
      <c r="A19179" t="s">
        <v>31356</v>
      </c>
      <c r="B19179" t="s">
        <v>31357</v>
      </c>
      <c r="C19179" t="s">
        <v>103</v>
      </c>
      <c r="D19179" t="s">
        <v>14</v>
      </c>
      <c r="E19179" t="s">
        <v>15</v>
      </c>
      <c r="F19179" s="2" t="str">
        <f>HYPERLINK("http://www.otzar.org/book.asp?153392","כפתור ופרח &lt;הוצאת ביהמ""ד להלכה בהתישבות&gt; - 3 כר'")</f>
        <v>כפתור ופרח &lt;הוצאת ביהמ"ד להלכה בהתישבות&gt; - 3 כר'</v>
      </c>
    </row>
    <row r="19180" spans="1:6" x14ac:dyDescent="0.2">
      <c r="A19180" t="s">
        <v>31358</v>
      </c>
      <c r="B19180" t="s">
        <v>31359</v>
      </c>
      <c r="C19180" t="s">
        <v>87</v>
      </c>
      <c r="D19180" t="s">
        <v>14</v>
      </c>
      <c r="E19180" t="s">
        <v>15</v>
      </c>
      <c r="F19180" s="2" t="str">
        <f>HYPERLINK("http://www.otzar.org/book.asp?172975","כפתור ופרח &lt;שביעית&gt; - עיוני שמועה")</f>
        <v>כפתור ופרח &lt;שביעית&gt; - עיוני שמועה</v>
      </c>
    </row>
    <row r="19181" spans="1:6" x14ac:dyDescent="0.2">
      <c r="A19181" t="s">
        <v>31360</v>
      </c>
      <c r="B19181" t="s">
        <v>31357</v>
      </c>
      <c r="C19181" t="s">
        <v>8923</v>
      </c>
      <c r="D19181" t="s">
        <v>49</v>
      </c>
      <c r="F19181" s="2" t="str">
        <f>HYPERLINK("http://www.otzar.org/book.asp?164884","כפתור ופרח - 5 כר'")</f>
        <v>כפתור ופרח - 5 כר'</v>
      </c>
    </row>
    <row r="19182" spans="1:6" x14ac:dyDescent="0.2">
      <c r="A19182" t="s">
        <v>31361</v>
      </c>
      <c r="B19182" t="s">
        <v>30687</v>
      </c>
      <c r="C19182" t="s">
        <v>3690</v>
      </c>
      <c r="D19182" t="s">
        <v>267</v>
      </c>
      <c r="E19182" t="s">
        <v>10943</v>
      </c>
      <c r="F19182" s="2" t="str">
        <f>HYPERLINK("http://www.otzar.org/book.asp?84536","כפתור ופרח")</f>
        <v>כפתור ופרח</v>
      </c>
    </row>
    <row r="19183" spans="1:6" x14ac:dyDescent="0.2">
      <c r="A19183" t="s">
        <v>31361</v>
      </c>
      <c r="B19183" t="s">
        <v>24469</v>
      </c>
      <c r="C19183" t="s">
        <v>3205</v>
      </c>
      <c r="D19183" t="s">
        <v>14</v>
      </c>
      <c r="E19183" t="s">
        <v>104</v>
      </c>
      <c r="F19183" s="2" t="str">
        <f>HYPERLINK("http://www.otzar.org/book.asp?156186","כפתור ופרח")</f>
        <v>כפתור ופרח</v>
      </c>
    </row>
    <row r="19184" spans="1:6" x14ac:dyDescent="0.2">
      <c r="A19184" t="s">
        <v>31362</v>
      </c>
      <c r="B19184" t="s">
        <v>18045</v>
      </c>
      <c r="C19184" t="s">
        <v>20</v>
      </c>
      <c r="D19184" t="s">
        <v>216</v>
      </c>
      <c r="E19184" t="s">
        <v>158</v>
      </c>
      <c r="F19184" s="2" t="str">
        <f>HYPERLINK("http://www.otzar.org/book.asp?623984","כפתור ופרח - בראשית, שמות")</f>
        <v>כפתור ופרח - בראשית, שמות</v>
      </c>
    </row>
    <row r="19185" spans="1:6" x14ac:dyDescent="0.2">
      <c r="A19185" t="s">
        <v>31363</v>
      </c>
      <c r="B19185" t="s">
        <v>31364</v>
      </c>
      <c r="C19185" t="s">
        <v>775</v>
      </c>
      <c r="D19185" t="s">
        <v>14</v>
      </c>
      <c r="E19185" t="s">
        <v>186</v>
      </c>
      <c r="F19185" s="2" t="str">
        <f>HYPERLINK("http://www.otzar.org/book.asp?155597","כצאן יוסף")</f>
        <v>כצאן יוסף</v>
      </c>
    </row>
    <row r="19186" spans="1:6" x14ac:dyDescent="0.2">
      <c r="A19186" t="s">
        <v>31365</v>
      </c>
      <c r="B19186" t="s">
        <v>206</v>
      </c>
      <c r="C19186" t="s">
        <v>37</v>
      </c>
      <c r="D19186" t="s">
        <v>14</v>
      </c>
      <c r="F19186" s="2" t="str">
        <f>HYPERLINK("http://www.otzar.org/book.asp?617892","כצאת השמש - 3 כר'")</f>
        <v>כצאת השמש - 3 כר'</v>
      </c>
    </row>
    <row r="19187" spans="1:6" x14ac:dyDescent="0.2">
      <c r="A19187" t="s">
        <v>31366</v>
      </c>
      <c r="B19187" t="s">
        <v>31367</v>
      </c>
      <c r="C19187" t="s">
        <v>624</v>
      </c>
      <c r="D19187" t="s">
        <v>14</v>
      </c>
      <c r="E19187" t="s">
        <v>384</v>
      </c>
      <c r="F19187" s="2" t="str">
        <f>HYPERLINK("http://www.otzar.org/book.asp?85180","כצאת השמש")</f>
        <v>כצאת השמש</v>
      </c>
    </row>
    <row r="19188" spans="1:6" x14ac:dyDescent="0.2">
      <c r="A19188" t="s">
        <v>31368</v>
      </c>
      <c r="B19188" t="s">
        <v>31369</v>
      </c>
      <c r="C19188" t="s">
        <v>13</v>
      </c>
      <c r="D19188" t="s">
        <v>90</v>
      </c>
      <c r="E19188" t="s">
        <v>104</v>
      </c>
      <c r="F19188" s="2" t="str">
        <f>HYPERLINK("http://www.otzar.org/book.asp?63747","כצרף הכסף")</f>
        <v>כצרף הכסף</v>
      </c>
    </row>
    <row r="19189" spans="1:6" x14ac:dyDescent="0.2">
      <c r="A19189" t="s">
        <v>31370</v>
      </c>
      <c r="B19189" t="s">
        <v>31371</v>
      </c>
      <c r="C19189" t="s">
        <v>176</v>
      </c>
      <c r="D19189" t="s">
        <v>646</v>
      </c>
      <c r="E19189" t="s">
        <v>104</v>
      </c>
      <c r="F19189" s="2" t="str">
        <f>HYPERLINK("http://www.otzar.org/book.asp?172977","כרביבים עלי עשב")</f>
        <v>כרביבים עלי עשב</v>
      </c>
    </row>
    <row r="19190" spans="1:6" x14ac:dyDescent="0.2">
      <c r="A19190" t="s">
        <v>31372</v>
      </c>
      <c r="B19190" t="s">
        <v>31373</v>
      </c>
      <c r="C19190" t="s">
        <v>1036</v>
      </c>
      <c r="D19190" t="s">
        <v>212</v>
      </c>
      <c r="E19190" t="s">
        <v>9368</v>
      </c>
      <c r="F19190" s="2" t="str">
        <f>HYPERLINK("http://www.otzar.org/book.asp?18948","כרוב ממשח")</f>
        <v>כרוב ממשח</v>
      </c>
    </row>
    <row r="19191" spans="1:6" x14ac:dyDescent="0.2">
      <c r="A19191" t="s">
        <v>31374</v>
      </c>
      <c r="B19191" t="s">
        <v>11012</v>
      </c>
      <c r="C19191" t="s">
        <v>17</v>
      </c>
      <c r="D19191" t="s">
        <v>14</v>
      </c>
      <c r="E19191" t="s">
        <v>579</v>
      </c>
      <c r="F19191" s="2" t="str">
        <f>HYPERLINK("http://www.otzar.org/book.asp?62080","כרוב ממשח - 2 כר'")</f>
        <v>כרוב ממשח - 2 כר'</v>
      </c>
    </row>
    <row r="19192" spans="1:6" x14ac:dyDescent="0.2">
      <c r="A19192" t="s">
        <v>31375</v>
      </c>
      <c r="B19192" t="s">
        <v>31376</v>
      </c>
      <c r="C19192" t="s">
        <v>79</v>
      </c>
      <c r="D19192" t="s">
        <v>7894</v>
      </c>
      <c r="E19192" t="s">
        <v>158</v>
      </c>
      <c r="F19192" s="2" t="str">
        <f>HYPERLINK("http://www.otzar.org/book.asp?166355","כרחם אב - א")</f>
        <v>כרחם אב - א</v>
      </c>
    </row>
    <row r="19193" spans="1:6" x14ac:dyDescent="0.2">
      <c r="A19193" t="s">
        <v>31377</v>
      </c>
      <c r="E19193" t="s">
        <v>15</v>
      </c>
      <c r="F19193" s="2" t="str">
        <f>HYPERLINK("http://www.otzar.org/book.asp?621863","כרטיסי אשראי, הגמ""ח המרכזי, פריטת שיק במט""ח")</f>
        <v>כרטיסי אשראי, הגמ"ח המרכזי, פריטת שיק במט"ח</v>
      </c>
    </row>
    <row r="19194" spans="1:6" x14ac:dyDescent="0.2">
      <c r="A19194" t="s">
        <v>31378</v>
      </c>
      <c r="B19194" t="s">
        <v>31379</v>
      </c>
      <c r="C19194" t="s">
        <v>244</v>
      </c>
      <c r="D19194" t="s">
        <v>14</v>
      </c>
      <c r="E19194" t="s">
        <v>158</v>
      </c>
      <c r="F19194" s="2" t="str">
        <f>HYPERLINK("http://www.otzar.org/book.asp?606090","כריח שדה")</f>
        <v>כריח שדה</v>
      </c>
    </row>
    <row r="19195" spans="1:6" x14ac:dyDescent="0.2">
      <c r="A19195" t="s">
        <v>31380</v>
      </c>
      <c r="B19195" t="s">
        <v>16715</v>
      </c>
      <c r="C19195" t="s">
        <v>422</v>
      </c>
      <c r="D19195" t="s">
        <v>52</v>
      </c>
      <c r="E19195" t="s">
        <v>130</v>
      </c>
      <c r="F19195" s="2" t="str">
        <f>HYPERLINK("http://www.otzar.org/book.asp?165865","כרך של ירושלים")</f>
        <v>כרך של ירושלים</v>
      </c>
    </row>
    <row r="19196" spans="1:6" x14ac:dyDescent="0.2">
      <c r="A19196" t="s">
        <v>31381</v>
      </c>
      <c r="B19196" t="s">
        <v>31382</v>
      </c>
      <c r="C19196" t="s">
        <v>1124</v>
      </c>
      <c r="D19196" t="s">
        <v>212</v>
      </c>
      <c r="E19196" t="s">
        <v>154</v>
      </c>
      <c r="F19196" s="2" t="str">
        <f>HYPERLINK("http://www.otzar.org/book.asp?101294","כרך של רומי")</f>
        <v>כרך של רומי</v>
      </c>
    </row>
    <row r="19197" spans="1:6" x14ac:dyDescent="0.2">
      <c r="A19197" t="s">
        <v>31383</v>
      </c>
      <c r="B19197" t="s">
        <v>9611</v>
      </c>
      <c r="C19197" t="s">
        <v>438</v>
      </c>
      <c r="D19197" t="s">
        <v>14</v>
      </c>
      <c r="F19197" s="2" t="str">
        <f>HYPERLINK("http://www.otzar.org/book.asp?142210","כרכים המוקפים חומה")</f>
        <v>כרכים המוקפים חומה</v>
      </c>
    </row>
    <row r="19198" spans="1:6" x14ac:dyDescent="0.2">
      <c r="A19198" t="s">
        <v>31384</v>
      </c>
      <c r="B19198" t="s">
        <v>31385</v>
      </c>
      <c r="C19198" t="s">
        <v>244</v>
      </c>
      <c r="D19198" t="s">
        <v>14</v>
      </c>
      <c r="F19198" s="2" t="str">
        <f>HYPERLINK("http://www.otzar.org/book.asp?198756","כרכים ומוקפים")</f>
        <v>כרכים ומוקפים</v>
      </c>
    </row>
    <row r="19199" spans="1:6" x14ac:dyDescent="0.2">
      <c r="A19199" t="s">
        <v>31386</v>
      </c>
      <c r="B19199" t="s">
        <v>31387</v>
      </c>
      <c r="C19199" t="s">
        <v>1388</v>
      </c>
      <c r="D19199" t="s">
        <v>14</v>
      </c>
      <c r="E19199" t="s">
        <v>9368</v>
      </c>
      <c r="F19199" s="2" t="str">
        <f>HYPERLINK("http://www.otzar.org/book.asp?7047","כרם אברהם")</f>
        <v>כרם אברהם</v>
      </c>
    </row>
    <row r="19200" spans="1:6" x14ac:dyDescent="0.2">
      <c r="A19200" t="s">
        <v>31386</v>
      </c>
      <c r="B19200" t="s">
        <v>31388</v>
      </c>
      <c r="C19200" t="s">
        <v>168</v>
      </c>
      <c r="D19200" t="s">
        <v>16149</v>
      </c>
      <c r="E19200" t="s">
        <v>158</v>
      </c>
      <c r="F19200" s="2" t="str">
        <f>HYPERLINK("http://www.otzar.org/book.asp?166346","כרם אברהם")</f>
        <v>כרם אברהם</v>
      </c>
    </row>
    <row r="19201" spans="1:6" x14ac:dyDescent="0.2">
      <c r="A19201" t="s">
        <v>31389</v>
      </c>
      <c r="B19201" t="s">
        <v>31390</v>
      </c>
      <c r="C19201" t="s">
        <v>1535</v>
      </c>
      <c r="D19201" t="s">
        <v>283</v>
      </c>
      <c r="E19201" t="s">
        <v>435</v>
      </c>
      <c r="F19201" s="2" t="str">
        <f>HYPERLINK("http://www.otzar.org/book.asp?200199","כרם אהרן")</f>
        <v>כרם אהרן</v>
      </c>
    </row>
    <row r="19202" spans="1:6" x14ac:dyDescent="0.2">
      <c r="A19202" t="s">
        <v>31391</v>
      </c>
      <c r="B19202" t="s">
        <v>24906</v>
      </c>
      <c r="C19202" t="s">
        <v>133</v>
      </c>
      <c r="D19202" t="s">
        <v>21</v>
      </c>
      <c r="E19202" t="s">
        <v>573</v>
      </c>
      <c r="F19202" s="2" t="str">
        <f>HYPERLINK("http://www.otzar.org/book.asp?193092","כרם אליהו")</f>
        <v>כרם אליהו</v>
      </c>
    </row>
    <row r="19203" spans="1:6" x14ac:dyDescent="0.2">
      <c r="A19203" t="s">
        <v>31392</v>
      </c>
      <c r="B19203" t="s">
        <v>26209</v>
      </c>
      <c r="C19203" t="s">
        <v>23</v>
      </c>
      <c r="D19203" t="s">
        <v>367</v>
      </c>
      <c r="E19203" t="s">
        <v>246</v>
      </c>
      <c r="F19203" s="2" t="str">
        <f>HYPERLINK("http://www.otzar.org/book.asp?194199","כרם אליעזר - 6 כר'")</f>
        <v>כרם אליעזר - 6 כר'</v>
      </c>
    </row>
    <row r="19204" spans="1:6" x14ac:dyDescent="0.2">
      <c r="A19204" t="s">
        <v>31393</v>
      </c>
      <c r="B19204" t="s">
        <v>31394</v>
      </c>
      <c r="C19204" t="s">
        <v>13</v>
      </c>
      <c r="D19204" t="s">
        <v>657</v>
      </c>
      <c r="E19204" t="s">
        <v>144</v>
      </c>
      <c r="F19204" s="2" t="str">
        <f>HYPERLINK("http://www.otzar.org/book.asp?158902","כרם אלעזר - 3 כר'")</f>
        <v>כרם אלעזר - 3 כר'</v>
      </c>
    </row>
    <row r="19205" spans="1:6" x14ac:dyDescent="0.2">
      <c r="A19205" t="s">
        <v>31395</v>
      </c>
      <c r="B19205" t="s">
        <v>31396</v>
      </c>
      <c r="C19205" t="s">
        <v>313</v>
      </c>
      <c r="D19205" t="s">
        <v>21</v>
      </c>
      <c r="E19205" t="s">
        <v>15</v>
      </c>
      <c r="F19205" s="2" t="str">
        <f>HYPERLINK("http://www.otzar.org/book.asp?601175","כרם אפרים")</f>
        <v>כרם אפרים</v>
      </c>
    </row>
    <row r="19206" spans="1:6" x14ac:dyDescent="0.2">
      <c r="A19206" t="s">
        <v>31395</v>
      </c>
      <c r="B19206" t="s">
        <v>31397</v>
      </c>
      <c r="C19206" t="s">
        <v>576</v>
      </c>
      <c r="D19206" t="s">
        <v>225</v>
      </c>
      <c r="E19206" t="s">
        <v>508</v>
      </c>
      <c r="F19206" s="2" t="str">
        <f>HYPERLINK("http://www.otzar.org/book.asp?18950","כרם אפרים")</f>
        <v>כרם אפרים</v>
      </c>
    </row>
    <row r="19207" spans="1:6" x14ac:dyDescent="0.2">
      <c r="A19207" t="s">
        <v>31398</v>
      </c>
      <c r="B19207" t="s">
        <v>31399</v>
      </c>
      <c r="C19207" t="s">
        <v>13</v>
      </c>
      <c r="D19207" t="s">
        <v>80</v>
      </c>
      <c r="E19207" t="s">
        <v>186</v>
      </c>
      <c r="F19207" s="2" t="str">
        <f>HYPERLINK("http://www.otzar.org/book.asp?191826","כרם אריאל")</f>
        <v>כרם אריאל</v>
      </c>
    </row>
    <row r="19208" spans="1:6" x14ac:dyDescent="0.2">
      <c r="A19208" t="s">
        <v>31400</v>
      </c>
      <c r="B19208" t="s">
        <v>9372</v>
      </c>
      <c r="C19208" t="s">
        <v>129</v>
      </c>
      <c r="D19208" t="s">
        <v>14</v>
      </c>
      <c r="E19208" t="s">
        <v>3818</v>
      </c>
      <c r="F19208" s="2" t="str">
        <f>HYPERLINK("http://www.otzar.org/book.asp?52673","כרם אריה")</f>
        <v>כרם אריה</v>
      </c>
    </row>
    <row r="19209" spans="1:6" x14ac:dyDescent="0.2">
      <c r="A19209" t="s">
        <v>31401</v>
      </c>
      <c r="B19209" t="s">
        <v>2663</v>
      </c>
      <c r="C19209" t="s">
        <v>313</v>
      </c>
      <c r="D19209" t="s">
        <v>412</v>
      </c>
      <c r="F19209" s="2" t="str">
        <f>HYPERLINK("http://www.otzar.org/book.asp?630374","כרם ביבנה - 4 כר'")</f>
        <v>כרם ביבנה - 4 כר'</v>
      </c>
    </row>
    <row r="19210" spans="1:6" x14ac:dyDescent="0.2">
      <c r="A19210" t="s">
        <v>31402</v>
      </c>
      <c r="B19210" t="s">
        <v>19517</v>
      </c>
      <c r="C19210" t="s">
        <v>332</v>
      </c>
      <c r="D19210" t="s">
        <v>52</v>
      </c>
      <c r="E19210" t="s">
        <v>104</v>
      </c>
      <c r="F19210" s="2" t="str">
        <f>HYPERLINK("http://www.otzar.org/book.asp?25739","כרם בית ישראל")</f>
        <v>כרם בית ישראל</v>
      </c>
    </row>
    <row r="19211" spans="1:6" x14ac:dyDescent="0.2">
      <c r="A19211" t="s">
        <v>31403</v>
      </c>
      <c r="B19211" t="s">
        <v>31404</v>
      </c>
      <c r="C19211" t="s">
        <v>8736</v>
      </c>
      <c r="D19211" t="s">
        <v>225</v>
      </c>
      <c r="E19211" t="s">
        <v>202</v>
      </c>
      <c r="F19211" s="2" t="str">
        <f>HYPERLINK("http://www.otzar.org/book.asp?626813","כרם בית שמואל &lt;שנה א&gt; - 3 כר'")</f>
        <v>כרם בית שמואל &lt;שנה א&gt; - 3 כר'</v>
      </c>
    </row>
    <row r="19212" spans="1:6" x14ac:dyDescent="0.2">
      <c r="A19212" t="s">
        <v>31405</v>
      </c>
      <c r="B19212" t="s">
        <v>31404</v>
      </c>
      <c r="C19212" t="s">
        <v>8736</v>
      </c>
      <c r="D19212" t="s">
        <v>225</v>
      </c>
      <c r="E19212" t="s">
        <v>202</v>
      </c>
      <c r="F19212" s="2" t="str">
        <f>HYPERLINK("http://www.otzar.org/book.asp?189539","כרם בית שמואל &lt;שנה ב&gt; - 4 כר'")</f>
        <v>כרם בית שמואל &lt;שנה ב&gt; - 4 כר'</v>
      </c>
    </row>
    <row r="19213" spans="1:6" x14ac:dyDescent="0.2">
      <c r="A19213" t="s">
        <v>31406</v>
      </c>
      <c r="B19213" t="s">
        <v>9500</v>
      </c>
      <c r="C19213" t="s">
        <v>523</v>
      </c>
      <c r="D19213" t="s">
        <v>52</v>
      </c>
      <c r="E19213" t="s">
        <v>202</v>
      </c>
      <c r="F19213" s="2" t="str">
        <f>HYPERLINK("http://www.otzar.org/book.asp?605892","כרם בית שמואל - 4 כר'")</f>
        <v>כרם בית שמואל - 4 כר'</v>
      </c>
    </row>
    <row r="19214" spans="1:6" x14ac:dyDescent="0.2">
      <c r="A19214" t="s">
        <v>31407</v>
      </c>
      <c r="B19214" t="s">
        <v>31408</v>
      </c>
      <c r="C19214" t="s">
        <v>1718</v>
      </c>
      <c r="D19214" t="s">
        <v>56</v>
      </c>
      <c r="E19214" t="s">
        <v>144</v>
      </c>
      <c r="F19214" s="2" t="str">
        <f>HYPERLINK("http://www.otzar.org/book.asp?189482","כרם בנימין - 3 כר'")</f>
        <v>כרם בנימין - 3 כר'</v>
      </c>
    </row>
    <row r="19215" spans="1:6" x14ac:dyDescent="0.2">
      <c r="A19215" t="s">
        <v>31409</v>
      </c>
      <c r="B19215" t="s">
        <v>31410</v>
      </c>
      <c r="C19215" t="s">
        <v>13</v>
      </c>
      <c r="D19215" t="s">
        <v>52</v>
      </c>
      <c r="E19215" t="s">
        <v>144</v>
      </c>
      <c r="F19215" s="2" t="str">
        <f>HYPERLINK("http://www.otzar.org/book.asp?161748","כרם בנימין  - שבת")</f>
        <v>כרם בנימין  - שבת</v>
      </c>
    </row>
    <row r="19216" spans="1:6" x14ac:dyDescent="0.2">
      <c r="A19216" t="s">
        <v>31411</v>
      </c>
      <c r="B19216" t="s">
        <v>31412</v>
      </c>
      <c r="C19216" t="s">
        <v>1663</v>
      </c>
      <c r="D19216" t="s">
        <v>260</v>
      </c>
      <c r="E19216" t="s">
        <v>158</v>
      </c>
      <c r="F19216" s="2" t="str">
        <f>HYPERLINK("http://www.otzar.org/book.asp?142882","כרם ד""ל")</f>
        <v>כרם ד"ל</v>
      </c>
    </row>
    <row r="19217" spans="1:6" x14ac:dyDescent="0.2">
      <c r="A19217" t="s">
        <v>31413</v>
      </c>
      <c r="B19217" t="s">
        <v>31414</v>
      </c>
      <c r="C19217" t="s">
        <v>422</v>
      </c>
      <c r="D19217" t="s">
        <v>14</v>
      </c>
      <c r="E19217" t="s">
        <v>84</v>
      </c>
      <c r="F19217" s="2" t="str">
        <f>HYPERLINK("http://www.otzar.org/book.asp?168009","כרם דוד (באנגלית)")</f>
        <v>כרם דוד (באנגלית)</v>
      </c>
    </row>
    <row r="19218" spans="1:6" x14ac:dyDescent="0.2">
      <c r="A19218" t="s">
        <v>31415</v>
      </c>
      <c r="B19218" t="s">
        <v>31414</v>
      </c>
      <c r="C19218" t="s">
        <v>422</v>
      </c>
      <c r="D19218" t="s">
        <v>14</v>
      </c>
      <c r="E19218" t="s">
        <v>84</v>
      </c>
      <c r="F19218" s="2" t="str">
        <f>HYPERLINK("http://www.otzar.org/book.asp?168014","כרם דוד (בצרפתית)")</f>
        <v>כרם דוד (בצרפתית)</v>
      </c>
    </row>
    <row r="19219" spans="1:6" x14ac:dyDescent="0.2">
      <c r="A19219" t="s">
        <v>31416</v>
      </c>
      <c r="B19219" t="s">
        <v>31414</v>
      </c>
      <c r="C19219" t="s">
        <v>422</v>
      </c>
      <c r="D19219" t="s">
        <v>14</v>
      </c>
      <c r="E19219" t="s">
        <v>84</v>
      </c>
      <c r="F19219" s="2" t="str">
        <f>HYPERLINK("http://www.otzar.org/book.asp?155839","כרם דוד")</f>
        <v>כרם דוד</v>
      </c>
    </row>
    <row r="19220" spans="1:6" x14ac:dyDescent="0.2">
      <c r="A19220" t="s">
        <v>31417</v>
      </c>
      <c r="B19220" t="s">
        <v>5967</v>
      </c>
      <c r="C19220" t="s">
        <v>2008</v>
      </c>
      <c r="D19220" t="s">
        <v>27</v>
      </c>
      <c r="E19220" t="s">
        <v>130</v>
      </c>
      <c r="F19220" s="2" t="str">
        <f>HYPERLINK("http://www.otzar.org/book.asp?979","כרם הארץ")</f>
        <v>כרם הארץ</v>
      </c>
    </row>
    <row r="19221" spans="1:6" x14ac:dyDescent="0.2">
      <c r="A19221" t="s">
        <v>31418</v>
      </c>
      <c r="B19221" t="s">
        <v>31419</v>
      </c>
      <c r="C19221" t="s">
        <v>1268</v>
      </c>
      <c r="D19221" t="s">
        <v>52</v>
      </c>
      <c r="E19221" t="s">
        <v>140</v>
      </c>
      <c r="F19221" s="2" t="str">
        <f>HYPERLINK("http://www.otzar.org/book.asp?155018","כרם החסידות - 5 כר'")</f>
        <v>כרם החסידות - 5 כר'</v>
      </c>
    </row>
    <row r="19222" spans="1:6" x14ac:dyDescent="0.2">
      <c r="A19222" t="s">
        <v>31420</v>
      </c>
      <c r="B19222" t="s">
        <v>8129</v>
      </c>
      <c r="C19222" t="s">
        <v>31421</v>
      </c>
      <c r="D19222" t="s">
        <v>535</v>
      </c>
      <c r="E19222" t="s">
        <v>158</v>
      </c>
      <c r="F19222" s="2" t="str">
        <f>HYPERLINK("http://www.otzar.org/book.asp?161185","כרם הצבי - 7 כר'")</f>
        <v>כרם הצבי - 7 כר'</v>
      </c>
    </row>
    <row r="19223" spans="1:6" x14ac:dyDescent="0.2">
      <c r="A19223" t="s">
        <v>31422</v>
      </c>
      <c r="B19223" t="s">
        <v>31423</v>
      </c>
      <c r="C19223" t="s">
        <v>366</v>
      </c>
      <c r="D19223" t="s">
        <v>31424</v>
      </c>
      <c r="E19223" t="s">
        <v>241</v>
      </c>
      <c r="F19223" s="2" t="str">
        <f>HYPERLINK("http://www.otzar.org/book.asp?605286","כרם התורה")</f>
        <v>כרם התורה</v>
      </c>
    </row>
    <row r="19224" spans="1:6" x14ac:dyDescent="0.2">
      <c r="A19224" t="s">
        <v>31425</v>
      </c>
      <c r="B19224" t="s">
        <v>28888</v>
      </c>
      <c r="C19224" t="s">
        <v>146</v>
      </c>
      <c r="D19224" t="s">
        <v>412</v>
      </c>
      <c r="E19224" t="s">
        <v>158</v>
      </c>
      <c r="F19224" s="2" t="str">
        <f>HYPERLINK("http://www.otzar.org/book.asp?170548","כרם חמד &lt;מהדורה חדשה&gt;")</f>
        <v>כרם חמד &lt;מהדורה חדשה&gt;</v>
      </c>
    </row>
    <row r="19225" spans="1:6" x14ac:dyDescent="0.2">
      <c r="A19225" t="s">
        <v>31426</v>
      </c>
      <c r="B19225" t="s">
        <v>28888</v>
      </c>
      <c r="C19225" t="s">
        <v>10538</v>
      </c>
      <c r="D19225" t="s">
        <v>4703</v>
      </c>
      <c r="E19225" t="s">
        <v>158</v>
      </c>
      <c r="F19225" s="2" t="str">
        <f>HYPERLINK("http://www.otzar.org/book.asp?24678","כרם חמד")</f>
        <v>כרם חמד</v>
      </c>
    </row>
    <row r="19226" spans="1:6" x14ac:dyDescent="0.2">
      <c r="A19226" t="s">
        <v>31427</v>
      </c>
      <c r="B19226" t="s">
        <v>31428</v>
      </c>
      <c r="C19226" t="s">
        <v>888</v>
      </c>
      <c r="D19226" t="s">
        <v>27</v>
      </c>
      <c r="E19226" t="s">
        <v>2071</v>
      </c>
      <c r="F19226" s="2" t="str">
        <f>HYPERLINK("http://www.otzar.org/book.asp?189518","כרם חמד - 2 כר'")</f>
        <v>כרם חמד - 2 כר'</v>
      </c>
    </row>
    <row r="19227" spans="1:6" x14ac:dyDescent="0.2">
      <c r="A19227" t="s">
        <v>31426</v>
      </c>
      <c r="B19227" t="s">
        <v>31429</v>
      </c>
      <c r="C19227" t="s">
        <v>360</v>
      </c>
      <c r="D19227" t="s">
        <v>56</v>
      </c>
      <c r="E19227" t="s">
        <v>31430</v>
      </c>
      <c r="F19227" s="2" t="str">
        <f>HYPERLINK("http://www.otzar.org/book.asp?105039","כרם חמד")</f>
        <v>כרם חמד</v>
      </c>
    </row>
    <row r="19228" spans="1:6" x14ac:dyDescent="0.2">
      <c r="A19228" t="s">
        <v>31426</v>
      </c>
      <c r="B19228" t="s">
        <v>31431</v>
      </c>
      <c r="C19228" t="s">
        <v>1954</v>
      </c>
      <c r="D19228" t="s">
        <v>14</v>
      </c>
      <c r="E19228" t="s">
        <v>172</v>
      </c>
      <c r="F19228" s="2" t="str">
        <f>HYPERLINK("http://www.otzar.org/book.asp?154063","כרם חמד")</f>
        <v>כרם חמד</v>
      </c>
    </row>
    <row r="19229" spans="1:6" x14ac:dyDescent="0.2">
      <c r="A19229" t="s">
        <v>31427</v>
      </c>
      <c r="B19229" t="s">
        <v>31432</v>
      </c>
      <c r="C19229" t="s">
        <v>313</v>
      </c>
      <c r="D19229" t="s">
        <v>52</v>
      </c>
      <c r="E19229" t="s">
        <v>10</v>
      </c>
      <c r="F19229" s="2" t="str">
        <f>HYPERLINK("http://www.otzar.org/book.asp?50972","כרם חמד - 2 כר'")</f>
        <v>כרם חמד - 2 כר'</v>
      </c>
    </row>
    <row r="19230" spans="1:6" x14ac:dyDescent="0.2">
      <c r="A19230" t="s">
        <v>31433</v>
      </c>
      <c r="B19230" t="s">
        <v>31434</v>
      </c>
      <c r="C19230" t="s">
        <v>1310</v>
      </c>
      <c r="D19230" t="s">
        <v>56</v>
      </c>
      <c r="E19230" t="s">
        <v>148</v>
      </c>
      <c r="F19230" s="2" t="str">
        <f>HYPERLINK("http://www.otzar.org/book.asp?51489","כרם חמד - 3 כר'")</f>
        <v>כרם חמד - 3 כר'</v>
      </c>
    </row>
    <row r="19231" spans="1:6" x14ac:dyDescent="0.2">
      <c r="A19231" t="s">
        <v>31433</v>
      </c>
      <c r="B19231" t="s">
        <v>11662</v>
      </c>
      <c r="C19231" t="s">
        <v>189</v>
      </c>
      <c r="D19231" t="s">
        <v>14</v>
      </c>
      <c r="E19231" t="s">
        <v>144</v>
      </c>
      <c r="F19231" s="2" t="str">
        <f>HYPERLINK("http://www.otzar.org/book.asp?611313","כרם חמד - 3 כר'")</f>
        <v>כרם חמד - 3 כר'</v>
      </c>
    </row>
    <row r="19232" spans="1:6" x14ac:dyDescent="0.2">
      <c r="A19232" t="s">
        <v>31435</v>
      </c>
      <c r="B19232" t="s">
        <v>31436</v>
      </c>
      <c r="C19232" t="s">
        <v>31437</v>
      </c>
      <c r="D19232" t="s">
        <v>1889</v>
      </c>
      <c r="E19232" t="s">
        <v>22024</v>
      </c>
      <c r="F19232" s="2" t="str">
        <f>HYPERLINK("http://www.otzar.org/book.asp?16979","כרם חמדה")</f>
        <v>כרם חמדה</v>
      </c>
    </row>
    <row r="19233" spans="1:6" x14ac:dyDescent="0.2">
      <c r="A19233" t="s">
        <v>31438</v>
      </c>
      <c r="B19233" t="s">
        <v>1308</v>
      </c>
      <c r="C19233" t="s">
        <v>1659</v>
      </c>
      <c r="D19233" t="s">
        <v>212</v>
      </c>
      <c r="E19233" t="s">
        <v>219</v>
      </c>
      <c r="F19233" s="2" t="str">
        <f>HYPERLINK("http://www.otzar.org/book.asp?199497","כרם חמר")</f>
        <v>כרם חמר</v>
      </c>
    </row>
    <row r="19234" spans="1:6" x14ac:dyDescent="0.2">
      <c r="A19234" t="s">
        <v>31439</v>
      </c>
      <c r="B19234" t="s">
        <v>9520</v>
      </c>
      <c r="C19234" t="s">
        <v>6199</v>
      </c>
      <c r="D19234" t="s">
        <v>212</v>
      </c>
      <c r="E19234" t="s">
        <v>588</v>
      </c>
      <c r="F19234" s="2" t="str">
        <f>HYPERLINK("http://www.otzar.org/book.asp?101295","כרם חמר - 2 כר'")</f>
        <v>כרם חמר - 2 כר'</v>
      </c>
    </row>
    <row r="19235" spans="1:6" x14ac:dyDescent="0.2">
      <c r="A19235" t="s">
        <v>31438</v>
      </c>
      <c r="B19235" t="s">
        <v>31440</v>
      </c>
      <c r="C19235" t="s">
        <v>151</v>
      </c>
      <c r="D19235" t="s">
        <v>14</v>
      </c>
      <c r="E19235" t="s">
        <v>130</v>
      </c>
      <c r="F19235" s="2" t="str">
        <f>HYPERLINK("http://www.otzar.org/book.asp?612277","כרם חמר")</f>
        <v>כרם חמר</v>
      </c>
    </row>
    <row r="19236" spans="1:6" x14ac:dyDescent="0.2">
      <c r="A19236" t="s">
        <v>31441</v>
      </c>
      <c r="B19236" t="s">
        <v>31442</v>
      </c>
      <c r="C19236" t="s">
        <v>189</v>
      </c>
      <c r="D19236" t="s">
        <v>52</v>
      </c>
      <c r="E19236" t="s">
        <v>573</v>
      </c>
      <c r="F19236" s="2" t="str">
        <f>HYPERLINK("http://www.otzar.org/book.asp?26766","כרם טוביה")</f>
        <v>כרם טוביה</v>
      </c>
    </row>
    <row r="19237" spans="1:6" x14ac:dyDescent="0.2">
      <c r="A19237" t="s">
        <v>31443</v>
      </c>
      <c r="B19237" t="s">
        <v>489</v>
      </c>
      <c r="C19237" t="s">
        <v>411</v>
      </c>
      <c r="D19237" t="s">
        <v>412</v>
      </c>
      <c r="E19237" t="s">
        <v>202</v>
      </c>
      <c r="F19237" s="2" t="str">
        <f>HYPERLINK("http://www.otzar.org/book.asp?169518","כרם יבנה")</f>
        <v>כרם יבנה</v>
      </c>
    </row>
    <row r="19238" spans="1:6" x14ac:dyDescent="0.2">
      <c r="A19238" t="s">
        <v>31444</v>
      </c>
      <c r="B19238" t="s">
        <v>31445</v>
      </c>
      <c r="C19238" t="s">
        <v>1096</v>
      </c>
      <c r="D19238" t="s">
        <v>267</v>
      </c>
      <c r="E19238" t="s">
        <v>1262</v>
      </c>
      <c r="F19238" s="2" t="str">
        <f>HYPERLINK("http://www.otzar.org/book.asp?9489","כרם יהושע")</f>
        <v>כרם יהושע</v>
      </c>
    </row>
    <row r="19239" spans="1:6" x14ac:dyDescent="0.2">
      <c r="A19239" t="s">
        <v>31444</v>
      </c>
      <c r="B19239" t="s">
        <v>25224</v>
      </c>
      <c r="C19239" t="s">
        <v>1124</v>
      </c>
      <c r="D19239" t="s">
        <v>56</v>
      </c>
      <c r="E19239" t="s">
        <v>2088</v>
      </c>
      <c r="F19239" s="2" t="str">
        <f>HYPERLINK("http://www.otzar.org/book.asp?101297","כרם יהושע")</f>
        <v>כרם יהושע</v>
      </c>
    </row>
    <row r="19240" spans="1:6" x14ac:dyDescent="0.2">
      <c r="A19240" t="s">
        <v>31446</v>
      </c>
      <c r="B19240" t="s">
        <v>7982</v>
      </c>
      <c r="C19240" t="s">
        <v>37</v>
      </c>
      <c r="D19240" t="s">
        <v>14</v>
      </c>
      <c r="E19240" t="s">
        <v>144</v>
      </c>
      <c r="F19240" s="2" t="str">
        <f>HYPERLINK("http://www.otzar.org/book.asp?609969","כרם יוסף - 7 כר'")</f>
        <v>כרם יוסף - 7 כר'</v>
      </c>
    </row>
    <row r="19241" spans="1:6" x14ac:dyDescent="0.2">
      <c r="A19241" t="s">
        <v>31447</v>
      </c>
      <c r="B19241" t="s">
        <v>3166</v>
      </c>
      <c r="C19241" t="s">
        <v>785</v>
      </c>
      <c r="D19241" t="s">
        <v>14</v>
      </c>
      <c r="E19241" t="s">
        <v>674</v>
      </c>
      <c r="F19241" s="2" t="str">
        <f>HYPERLINK("http://www.otzar.org/book.asp?200381","כרם יעקב")</f>
        <v>כרם יעקב</v>
      </c>
    </row>
    <row r="19242" spans="1:6" x14ac:dyDescent="0.2">
      <c r="A19242" t="s">
        <v>31448</v>
      </c>
      <c r="B19242" t="s">
        <v>552</v>
      </c>
      <c r="C19242" t="s">
        <v>244</v>
      </c>
      <c r="D19242" t="s">
        <v>152</v>
      </c>
      <c r="E19242" t="s">
        <v>202</v>
      </c>
      <c r="F19242" s="2" t="str">
        <f>HYPERLINK("http://www.otzar.org/book.asp?199808","כרם יצחק")</f>
        <v>כרם יצחק</v>
      </c>
    </row>
    <row r="19243" spans="1:6" x14ac:dyDescent="0.2">
      <c r="A19243" t="s">
        <v>31449</v>
      </c>
      <c r="B19243" t="s">
        <v>31450</v>
      </c>
      <c r="C19243" t="s">
        <v>609</v>
      </c>
      <c r="D19243" t="s">
        <v>225</v>
      </c>
      <c r="E19243" t="s">
        <v>234</v>
      </c>
      <c r="F19243" s="2" t="str">
        <f>HYPERLINK("http://www.otzar.org/book.asp?162257","כרם ישראל")</f>
        <v>כרם ישראל</v>
      </c>
    </row>
    <row r="19244" spans="1:6" x14ac:dyDescent="0.2">
      <c r="A19244" t="s">
        <v>31449</v>
      </c>
      <c r="B19244" t="s">
        <v>10299</v>
      </c>
      <c r="C19244" t="s">
        <v>547</v>
      </c>
      <c r="D19244" t="s">
        <v>726</v>
      </c>
      <c r="E19244" t="s">
        <v>31451</v>
      </c>
      <c r="F19244" s="2" t="str">
        <f>HYPERLINK("http://www.otzar.org/book.asp?8004","כרם ישראל")</f>
        <v>כרם ישראל</v>
      </c>
    </row>
    <row r="19245" spans="1:6" x14ac:dyDescent="0.2">
      <c r="A19245" t="s">
        <v>31452</v>
      </c>
      <c r="B19245" t="s">
        <v>31453</v>
      </c>
      <c r="C19245" t="s">
        <v>68</v>
      </c>
      <c r="D19245" t="s">
        <v>14</v>
      </c>
      <c r="E19245" t="s">
        <v>5186</v>
      </c>
      <c r="F19245" s="2" t="str">
        <f>HYPERLINK("http://www.otzar.org/book.asp?159674","כרם כהונה")</f>
        <v>כרם כהונה</v>
      </c>
    </row>
    <row r="19246" spans="1:6" x14ac:dyDescent="0.2">
      <c r="A19246" t="s">
        <v>31454</v>
      </c>
      <c r="B19246" t="s">
        <v>31085</v>
      </c>
      <c r="C19246" t="s">
        <v>1437</v>
      </c>
      <c r="D19246" t="s">
        <v>14445</v>
      </c>
      <c r="E19246" t="s">
        <v>144</v>
      </c>
      <c r="F19246" s="2" t="str">
        <f>HYPERLINK("http://www.otzar.org/book.asp?25529","כרם נטע - סוטה")</f>
        <v>כרם נטע - סוטה</v>
      </c>
    </row>
    <row r="19247" spans="1:6" x14ac:dyDescent="0.2">
      <c r="A19247" t="s">
        <v>31455</v>
      </c>
      <c r="B19247" t="s">
        <v>19194</v>
      </c>
      <c r="C19247" t="s">
        <v>3957</v>
      </c>
      <c r="D19247" t="s">
        <v>31456</v>
      </c>
      <c r="E19247" t="s">
        <v>1517</v>
      </c>
      <c r="F19247" s="2" t="str">
        <f>HYPERLINK("http://www.otzar.org/book.asp?51491","כרם עין גדי - 2 כר'")</f>
        <v>כרם עין גדי - 2 כר'</v>
      </c>
    </row>
    <row r="19248" spans="1:6" x14ac:dyDescent="0.2">
      <c r="A19248" t="s">
        <v>31457</v>
      </c>
      <c r="B19248" t="s">
        <v>4645</v>
      </c>
      <c r="C19248" t="s">
        <v>13</v>
      </c>
      <c r="D19248" t="s">
        <v>118</v>
      </c>
      <c r="E19248" t="s">
        <v>144</v>
      </c>
      <c r="F19248" s="2" t="str">
        <f>HYPERLINK("http://www.otzar.org/book.asp?163237","כרם פתחיה - 4 כר'")</f>
        <v>כרם פתחיה - 4 כר'</v>
      </c>
    </row>
    <row r="19249" spans="1:6" x14ac:dyDescent="0.2">
      <c r="A19249" t="s">
        <v>31458</v>
      </c>
      <c r="B19249" t="s">
        <v>31459</v>
      </c>
      <c r="C19249" t="s">
        <v>1470</v>
      </c>
      <c r="D19249" t="s">
        <v>31460</v>
      </c>
      <c r="E19249" t="s">
        <v>474</v>
      </c>
      <c r="F19249" s="2" t="str">
        <f>HYPERLINK("http://www.otzar.org/book.asp?23839","כרם צבי")</f>
        <v>כרם צבי</v>
      </c>
    </row>
    <row r="19250" spans="1:6" x14ac:dyDescent="0.2">
      <c r="A19250" t="s">
        <v>31458</v>
      </c>
      <c r="B19250" t="s">
        <v>31461</v>
      </c>
      <c r="C19250" t="s">
        <v>1650</v>
      </c>
      <c r="D19250" t="s">
        <v>9</v>
      </c>
      <c r="E19250" t="s">
        <v>14089</v>
      </c>
      <c r="F19250" s="2" t="str">
        <f>HYPERLINK("http://www.otzar.org/book.asp?102240","כרם צבי")</f>
        <v>כרם צבי</v>
      </c>
    </row>
    <row r="19251" spans="1:6" x14ac:dyDescent="0.2">
      <c r="A19251" t="s">
        <v>31458</v>
      </c>
      <c r="B19251" t="s">
        <v>31462</v>
      </c>
      <c r="C19251" t="s">
        <v>1811</v>
      </c>
      <c r="D19251" t="s">
        <v>412</v>
      </c>
      <c r="E19251" t="s">
        <v>10</v>
      </c>
      <c r="F19251" s="2" t="str">
        <f>HYPERLINK("http://www.otzar.org/book.asp?10675","כרם צבי")</f>
        <v>כרם צבי</v>
      </c>
    </row>
    <row r="19252" spans="1:6" x14ac:dyDescent="0.2">
      <c r="A19252" t="s">
        <v>31463</v>
      </c>
      <c r="B19252" t="s">
        <v>19851</v>
      </c>
      <c r="C19252" t="s">
        <v>1640</v>
      </c>
      <c r="D19252" t="s">
        <v>14</v>
      </c>
      <c r="E19252" t="s">
        <v>2091</v>
      </c>
      <c r="F19252" s="2" t="str">
        <f>HYPERLINK("http://www.otzar.org/book.asp?14377","כרם ציון השלם - 6 כר'")</f>
        <v>כרם ציון השלם - 6 כר'</v>
      </c>
    </row>
    <row r="19253" spans="1:6" x14ac:dyDescent="0.2">
      <c r="A19253" t="s">
        <v>31464</v>
      </c>
      <c r="B19253" t="s">
        <v>31465</v>
      </c>
      <c r="C19253" t="s">
        <v>31466</v>
      </c>
      <c r="D19253" t="s">
        <v>27</v>
      </c>
      <c r="E19253" t="s">
        <v>2091</v>
      </c>
      <c r="F19253" s="2" t="str">
        <f>HYPERLINK("http://www.otzar.org/book.asp?12222","כרם ציון - 14 כר'")</f>
        <v>כרם ציון - 14 כר'</v>
      </c>
    </row>
    <row r="19254" spans="1:6" x14ac:dyDescent="0.2">
      <c r="A19254" t="s">
        <v>31465</v>
      </c>
      <c r="B19254" t="s">
        <v>1750</v>
      </c>
      <c r="C19254" t="s">
        <v>168</v>
      </c>
      <c r="D19254" t="s">
        <v>3406</v>
      </c>
      <c r="E19254" t="s">
        <v>202</v>
      </c>
      <c r="F19254" s="2" t="str">
        <f>HYPERLINK("http://www.otzar.org/book.asp?142918","כרם ציון")</f>
        <v>כרם ציון</v>
      </c>
    </row>
    <row r="19255" spans="1:6" x14ac:dyDescent="0.2">
      <c r="A19255" t="s">
        <v>31467</v>
      </c>
      <c r="B19255" t="s">
        <v>19851</v>
      </c>
      <c r="C19255" t="s">
        <v>533</v>
      </c>
      <c r="D19255" t="s">
        <v>14</v>
      </c>
      <c r="E19255" t="s">
        <v>15</v>
      </c>
      <c r="F19255" s="2" t="str">
        <f>HYPERLINK("http://www.otzar.org/book.asp?84857","כרם ציון - 3 כר'")</f>
        <v>כרם ציון - 3 כר'</v>
      </c>
    </row>
    <row r="19256" spans="1:6" x14ac:dyDescent="0.2">
      <c r="A19256" t="s">
        <v>31468</v>
      </c>
      <c r="B19256" t="s">
        <v>31453</v>
      </c>
      <c r="C19256" t="s">
        <v>146</v>
      </c>
      <c r="D19256" t="s">
        <v>14</v>
      </c>
      <c r="E19256" t="s">
        <v>3610</v>
      </c>
      <c r="F19256" s="2" t="str">
        <f>HYPERLINK("http://www.otzar.org/book.asp?61176","כרם ראובן")</f>
        <v>כרם ראובן</v>
      </c>
    </row>
    <row r="19257" spans="1:6" x14ac:dyDescent="0.2">
      <c r="A19257" t="s">
        <v>31469</v>
      </c>
      <c r="B19257" t="s">
        <v>31470</v>
      </c>
      <c r="C19257" t="s">
        <v>13</v>
      </c>
      <c r="D19257" t="s">
        <v>14</v>
      </c>
      <c r="E19257" t="s">
        <v>202</v>
      </c>
      <c r="F19257" s="2" t="str">
        <f>HYPERLINK("http://www.otzar.org/book.asp?60510","כרם רבנן")</f>
        <v>כרם רבנן</v>
      </c>
    </row>
    <row r="19258" spans="1:6" x14ac:dyDescent="0.2">
      <c r="A19258" t="s">
        <v>31471</v>
      </c>
      <c r="B19258" t="s">
        <v>7982</v>
      </c>
      <c r="C19258" t="s">
        <v>68</v>
      </c>
      <c r="D19258" t="s">
        <v>14</v>
      </c>
      <c r="E19258" t="s">
        <v>241</v>
      </c>
      <c r="F19258" s="2" t="str">
        <f>HYPERLINK("http://www.otzar.org/book.asp?176000","כרם רבנן - חכמה ומוסר")</f>
        <v>כרם רבנן - חכמה ומוסר</v>
      </c>
    </row>
    <row r="19259" spans="1:6" x14ac:dyDescent="0.2">
      <c r="A19259" t="s">
        <v>31472</v>
      </c>
      <c r="B19259" t="s">
        <v>31473</v>
      </c>
      <c r="C19259" t="s">
        <v>13</v>
      </c>
      <c r="D19259" t="s">
        <v>2798</v>
      </c>
      <c r="E19259" t="s">
        <v>15</v>
      </c>
      <c r="F19259" s="2" t="str">
        <f>HYPERLINK("http://www.otzar.org/book.asp?171096","כרם שביעית")</f>
        <v>כרם שביעית</v>
      </c>
    </row>
    <row r="19260" spans="1:6" x14ac:dyDescent="0.2">
      <c r="A19260" t="s">
        <v>31474</v>
      </c>
      <c r="B19260" t="s">
        <v>31475</v>
      </c>
      <c r="C19260" t="s">
        <v>1284</v>
      </c>
      <c r="D19260" t="s">
        <v>379</v>
      </c>
      <c r="E19260" t="s">
        <v>588</v>
      </c>
      <c r="F19260" s="2" t="str">
        <f>HYPERLINK("http://www.otzar.org/book.asp?101233","כרם שלמה &lt;שו""ת&gt;")</f>
        <v>כרם שלמה &lt;שו"ת&gt;</v>
      </c>
    </row>
    <row r="19261" spans="1:6" x14ac:dyDescent="0.2">
      <c r="A19261" t="s">
        <v>31476</v>
      </c>
      <c r="B19261" t="s">
        <v>26663</v>
      </c>
      <c r="C19261" t="s">
        <v>1058</v>
      </c>
      <c r="D19261" t="s">
        <v>60</v>
      </c>
      <c r="E19261" t="s">
        <v>345</v>
      </c>
      <c r="F19261" s="2" t="str">
        <f>HYPERLINK("http://www.otzar.org/book.asp?150164","כרם שלמה וגדולי צבי")</f>
        <v>כרם שלמה וגדולי צבי</v>
      </c>
    </row>
    <row r="19262" spans="1:6" x14ac:dyDescent="0.2">
      <c r="A19262" t="s">
        <v>31477</v>
      </c>
      <c r="B19262" t="s">
        <v>7859</v>
      </c>
      <c r="C19262" t="s">
        <v>1208</v>
      </c>
      <c r="D19262" t="s">
        <v>52</v>
      </c>
      <c r="E19262" t="s">
        <v>144</v>
      </c>
      <c r="F19262" s="2" t="str">
        <f>HYPERLINK("http://www.otzar.org/book.asp?171923","כרם שלמה - יבמות")</f>
        <v>כרם שלמה - יבמות</v>
      </c>
    </row>
    <row r="19263" spans="1:6" x14ac:dyDescent="0.2">
      <c r="A19263" t="s">
        <v>31478</v>
      </c>
      <c r="B19263" t="s">
        <v>31479</v>
      </c>
      <c r="C19263" t="s">
        <v>96</v>
      </c>
      <c r="D19263" t="s">
        <v>76</v>
      </c>
      <c r="E19263" t="s">
        <v>148</v>
      </c>
      <c r="F19263" s="2" t="str">
        <f>HYPERLINK("http://www.otzar.org/book.asp?101298","כרם שלמה")</f>
        <v>כרם שלמה</v>
      </c>
    </row>
    <row r="19264" spans="1:6" x14ac:dyDescent="0.2">
      <c r="A19264" t="s">
        <v>31478</v>
      </c>
      <c r="B19264" t="s">
        <v>31480</v>
      </c>
      <c r="C19264" t="s">
        <v>4348</v>
      </c>
      <c r="D19264" t="s">
        <v>4349</v>
      </c>
      <c r="E19264" t="s">
        <v>158</v>
      </c>
      <c r="F19264" s="2" t="str">
        <f>HYPERLINK("http://www.otzar.org/book.asp?24683","כרם שלמה")</f>
        <v>כרם שלמה</v>
      </c>
    </row>
    <row r="19265" spans="1:6" x14ac:dyDescent="0.2">
      <c r="A19265" t="s">
        <v>31478</v>
      </c>
      <c r="B19265" t="s">
        <v>1681</v>
      </c>
      <c r="C19265" t="s">
        <v>1448</v>
      </c>
      <c r="D19265" t="s">
        <v>52</v>
      </c>
      <c r="F19265" s="2" t="str">
        <f>HYPERLINK("http://www.otzar.org/book.asp?153599","כרם שלמה")</f>
        <v>כרם שלמה</v>
      </c>
    </row>
    <row r="19266" spans="1:6" x14ac:dyDescent="0.2">
      <c r="A19266" t="s">
        <v>31481</v>
      </c>
      <c r="B19266" t="s">
        <v>31475</v>
      </c>
      <c r="C19266" t="s">
        <v>1570</v>
      </c>
      <c r="D19266" t="s">
        <v>14</v>
      </c>
      <c r="E19266" t="s">
        <v>172</v>
      </c>
      <c r="F19266" s="2" t="str">
        <f>HYPERLINK("http://www.otzar.org/book.asp?174395","כרם שלמה - 2 כר'")</f>
        <v>כרם שלמה - 2 כר'</v>
      </c>
    </row>
    <row r="19267" spans="1:6" x14ac:dyDescent="0.2">
      <c r="A19267" t="s">
        <v>31478</v>
      </c>
      <c r="B19267" t="s">
        <v>31482</v>
      </c>
      <c r="C19267" t="s">
        <v>748</v>
      </c>
      <c r="D19267" t="s">
        <v>2181</v>
      </c>
      <c r="E19267" t="s">
        <v>119</v>
      </c>
      <c r="F19267" s="2" t="str">
        <f>HYPERLINK("http://www.otzar.org/book.asp?18952","כרם שלמה")</f>
        <v>כרם שלמה</v>
      </c>
    </row>
    <row r="19268" spans="1:6" x14ac:dyDescent="0.2">
      <c r="A19268" t="s">
        <v>31478</v>
      </c>
      <c r="B19268" t="s">
        <v>31483</v>
      </c>
      <c r="C19268" t="s">
        <v>1519</v>
      </c>
      <c r="D19268" t="s">
        <v>1660</v>
      </c>
      <c r="E19268" t="s">
        <v>31484</v>
      </c>
      <c r="F19268" s="2" t="str">
        <f>HYPERLINK("http://www.otzar.org/book.asp?189221","כרם שלמה")</f>
        <v>כרם שלמה</v>
      </c>
    </row>
    <row r="19269" spans="1:6" x14ac:dyDescent="0.2">
      <c r="A19269" t="s">
        <v>31478</v>
      </c>
      <c r="B19269" t="s">
        <v>30613</v>
      </c>
      <c r="C19269" t="s">
        <v>362</v>
      </c>
      <c r="D19269" t="s">
        <v>855</v>
      </c>
      <c r="E19269" t="s">
        <v>144</v>
      </c>
      <c r="F19269" s="2" t="str">
        <f>HYPERLINK("http://www.otzar.org/book.asp?19433","כרם שלמה")</f>
        <v>כרם שלמה</v>
      </c>
    </row>
    <row r="19270" spans="1:6" x14ac:dyDescent="0.2">
      <c r="A19270" t="s">
        <v>31485</v>
      </c>
      <c r="B19270" t="s">
        <v>27370</v>
      </c>
      <c r="C19270" t="s">
        <v>533</v>
      </c>
      <c r="D19270" t="s">
        <v>90</v>
      </c>
      <c r="E19270" t="s">
        <v>5778</v>
      </c>
      <c r="F19270" s="2" t="str">
        <f>HYPERLINK("http://www.otzar.org/book.asp?51055","כרם שלמה - ריבית")</f>
        <v>כרם שלמה - ריבית</v>
      </c>
    </row>
    <row r="19271" spans="1:6" x14ac:dyDescent="0.2">
      <c r="A19271" t="s">
        <v>31478</v>
      </c>
      <c r="B19271" t="s">
        <v>31486</v>
      </c>
      <c r="C19271" t="s">
        <v>635</v>
      </c>
      <c r="D19271" t="s">
        <v>56</v>
      </c>
      <c r="E19271" t="s">
        <v>104</v>
      </c>
      <c r="F19271" s="2" t="str">
        <f>HYPERLINK("http://www.otzar.org/book.asp?167522","כרם שלמה")</f>
        <v>כרם שלמה</v>
      </c>
    </row>
    <row r="19272" spans="1:6" x14ac:dyDescent="0.2">
      <c r="A19272" t="s">
        <v>31481</v>
      </c>
      <c r="B19272" t="s">
        <v>12242</v>
      </c>
      <c r="C19272" t="s">
        <v>466</v>
      </c>
      <c r="D19272" t="s">
        <v>9426</v>
      </c>
      <c r="E19272" t="s">
        <v>10</v>
      </c>
      <c r="F19272" s="2" t="str">
        <f>HYPERLINK("http://www.otzar.org/book.asp?60581","כרם שלמה - 2 כר'")</f>
        <v>כרם שלמה - 2 כר'</v>
      </c>
    </row>
    <row r="19273" spans="1:6" x14ac:dyDescent="0.2">
      <c r="A19273" t="s">
        <v>31478</v>
      </c>
      <c r="B19273" t="s">
        <v>10544</v>
      </c>
      <c r="C19273" t="s">
        <v>919</v>
      </c>
      <c r="D19273" t="s">
        <v>14</v>
      </c>
      <c r="E19273" t="s">
        <v>791</v>
      </c>
      <c r="F19273" s="2" t="str">
        <f>HYPERLINK("http://www.otzar.org/book.asp?102737","כרם שלמה")</f>
        <v>כרם שלמה</v>
      </c>
    </row>
    <row r="19274" spans="1:6" x14ac:dyDescent="0.2">
      <c r="A19274" t="s">
        <v>31478</v>
      </c>
      <c r="B19274" t="s">
        <v>2396</v>
      </c>
      <c r="C19274" t="s">
        <v>313</v>
      </c>
      <c r="D19274" t="s">
        <v>1076</v>
      </c>
      <c r="E19274" t="s">
        <v>144</v>
      </c>
      <c r="F19274" s="2" t="str">
        <f>HYPERLINK("http://www.otzar.org/book.asp?165296","כרם שלמה")</f>
        <v>כרם שלמה</v>
      </c>
    </row>
    <row r="19275" spans="1:6" x14ac:dyDescent="0.2">
      <c r="A19275" t="s">
        <v>31478</v>
      </c>
      <c r="B19275" t="s">
        <v>305</v>
      </c>
      <c r="C19275" t="s">
        <v>1202</v>
      </c>
      <c r="D19275" t="s">
        <v>855</v>
      </c>
      <c r="E19275" t="s">
        <v>1164</v>
      </c>
      <c r="F19275" s="2" t="str">
        <f>HYPERLINK("http://www.otzar.org/book.asp?24684","כרם שלמה")</f>
        <v>כרם שלמה</v>
      </c>
    </row>
    <row r="19276" spans="1:6" x14ac:dyDescent="0.2">
      <c r="A19276" t="s">
        <v>31478</v>
      </c>
      <c r="B19276" t="s">
        <v>7589</v>
      </c>
      <c r="C19276" t="s">
        <v>31487</v>
      </c>
      <c r="D19276" t="s">
        <v>27</v>
      </c>
      <c r="E19276" t="s">
        <v>31488</v>
      </c>
      <c r="F19276" s="2" t="str">
        <f>HYPERLINK("http://www.otzar.org/book.asp?149209","כרם שלמה")</f>
        <v>כרם שלמה</v>
      </c>
    </row>
    <row r="19277" spans="1:6" x14ac:dyDescent="0.2">
      <c r="A19277" t="s">
        <v>31478</v>
      </c>
      <c r="B19277" t="s">
        <v>31489</v>
      </c>
      <c r="C19277" t="s">
        <v>429</v>
      </c>
      <c r="D19277" t="s">
        <v>1117</v>
      </c>
      <c r="E19277" t="s">
        <v>158</v>
      </c>
      <c r="F19277" s="2" t="str">
        <f>HYPERLINK("http://www.otzar.org/book.asp?189516","כרם שלמה")</f>
        <v>כרם שלמה</v>
      </c>
    </row>
    <row r="19278" spans="1:6" x14ac:dyDescent="0.2">
      <c r="A19278" t="s">
        <v>31478</v>
      </c>
      <c r="B19278" t="s">
        <v>31490</v>
      </c>
      <c r="C19278" t="s">
        <v>743</v>
      </c>
      <c r="D19278" t="s">
        <v>283</v>
      </c>
      <c r="E19278" t="s">
        <v>4260</v>
      </c>
      <c r="F19278" s="2" t="str">
        <f>HYPERLINK("http://www.otzar.org/book.asp?101234","כרם שלמה")</f>
        <v>כרם שלמה</v>
      </c>
    </row>
    <row r="19279" spans="1:6" x14ac:dyDescent="0.2">
      <c r="A19279" t="s">
        <v>31478</v>
      </c>
      <c r="B19279" t="s">
        <v>31491</v>
      </c>
      <c r="C19279" t="s">
        <v>558</v>
      </c>
      <c r="D19279" t="s">
        <v>10404</v>
      </c>
      <c r="E19279" t="s">
        <v>2879</v>
      </c>
      <c r="F19279" s="2" t="str">
        <f>HYPERLINK("http://www.otzar.org/book.asp?102241","כרם שלמה")</f>
        <v>כרם שלמה</v>
      </c>
    </row>
    <row r="19280" spans="1:6" x14ac:dyDescent="0.2">
      <c r="A19280" t="s">
        <v>31492</v>
      </c>
      <c r="B19280" t="s">
        <v>31493</v>
      </c>
      <c r="C19280" t="s">
        <v>767</v>
      </c>
      <c r="D19280" t="s">
        <v>118</v>
      </c>
      <c r="E19280" t="s">
        <v>148</v>
      </c>
      <c r="F19280" s="2" t="str">
        <f>HYPERLINK("http://www.otzar.org/book.asp?6575","כרם שמואל")</f>
        <v>כרם שמואל</v>
      </c>
    </row>
    <row r="19281" spans="1:6" x14ac:dyDescent="0.2">
      <c r="A19281" t="s">
        <v>31494</v>
      </c>
      <c r="B19281" t="s">
        <v>31495</v>
      </c>
      <c r="C19281" t="s">
        <v>114</v>
      </c>
      <c r="D19281" t="s">
        <v>14</v>
      </c>
      <c r="E19281" t="s">
        <v>158</v>
      </c>
      <c r="F19281" s="2" t="str">
        <f>HYPERLINK("http://www.otzar.org/book.asp?166640","כרם שמעון חיים")</f>
        <v>כרם שמעון חיים</v>
      </c>
    </row>
    <row r="19282" spans="1:6" x14ac:dyDescent="0.2">
      <c r="A19282" t="s">
        <v>31496</v>
      </c>
      <c r="B19282" t="s">
        <v>31497</v>
      </c>
      <c r="C19282" t="s">
        <v>31498</v>
      </c>
      <c r="D19282" t="s">
        <v>9</v>
      </c>
      <c r="E19282" t="s">
        <v>202</v>
      </c>
      <c r="F19282" s="2" t="str">
        <f>HYPERLINK("http://www.otzar.org/book.asp?160765","כרם - 11 כר'")</f>
        <v>כרם - 11 כר'</v>
      </c>
    </row>
    <row r="19283" spans="1:6" x14ac:dyDescent="0.2">
      <c r="A19283" t="s">
        <v>31499</v>
      </c>
      <c r="B19283" t="s">
        <v>31500</v>
      </c>
      <c r="C19283" t="s">
        <v>23</v>
      </c>
      <c r="D19283" t="s">
        <v>52</v>
      </c>
      <c r="E19283" t="s">
        <v>4435</v>
      </c>
      <c r="F19283" s="2" t="str">
        <f>HYPERLINK("http://www.otzar.org/book.asp?196155","כרמי אברהם")</f>
        <v>כרמי אברהם</v>
      </c>
    </row>
    <row r="19284" spans="1:6" x14ac:dyDescent="0.2">
      <c r="A19284" t="s">
        <v>31501</v>
      </c>
      <c r="B19284" t="s">
        <v>3227</v>
      </c>
      <c r="C19284" t="s">
        <v>775</v>
      </c>
      <c r="D19284" t="s">
        <v>14</v>
      </c>
      <c r="E19284" t="s">
        <v>31502</v>
      </c>
      <c r="F19284" s="2" t="str">
        <f>HYPERLINK("http://www.otzar.org/book.asp?7579","כרמי ישראל")</f>
        <v>כרמי ישראל</v>
      </c>
    </row>
    <row r="19285" spans="1:6" x14ac:dyDescent="0.2">
      <c r="A19285" t="s">
        <v>31503</v>
      </c>
      <c r="B19285" t="s">
        <v>31504</v>
      </c>
      <c r="C19285" t="s">
        <v>270</v>
      </c>
      <c r="D19285" t="s">
        <v>322</v>
      </c>
      <c r="E19285" t="s">
        <v>2633</v>
      </c>
      <c r="F19285" s="2" t="str">
        <f>HYPERLINK("http://www.otzar.org/book.asp?15112","כרמי שומרון")</f>
        <v>כרמי שומרון</v>
      </c>
    </row>
    <row r="19286" spans="1:6" x14ac:dyDescent="0.2">
      <c r="A19286" t="s">
        <v>31505</v>
      </c>
      <c r="B19286" t="s">
        <v>31506</v>
      </c>
      <c r="C19286" t="s">
        <v>1811</v>
      </c>
      <c r="D19286" t="s">
        <v>14</v>
      </c>
      <c r="E19286" t="s">
        <v>920</v>
      </c>
      <c r="F19286" s="2" t="str">
        <f>HYPERLINK("http://www.otzar.org/book.asp?12878","כרמי שלי - 3 כר'")</f>
        <v>כרמי שלי - 3 כר'</v>
      </c>
    </row>
    <row r="19287" spans="1:6" x14ac:dyDescent="0.2">
      <c r="A19287" t="s">
        <v>31507</v>
      </c>
      <c r="B19287" t="s">
        <v>31508</v>
      </c>
      <c r="C19287" t="s">
        <v>334</v>
      </c>
      <c r="D19287" t="s">
        <v>52</v>
      </c>
      <c r="F19287" s="2" t="str">
        <f>HYPERLINK("http://www.otzar.org/book.asp?169346","כרמנו - 51 כר'")</f>
        <v>כרמנו - 51 כר'</v>
      </c>
    </row>
    <row r="19288" spans="1:6" x14ac:dyDescent="0.2">
      <c r="A19288" t="s">
        <v>31509</v>
      </c>
      <c r="B19288" t="s">
        <v>31510</v>
      </c>
      <c r="C19288" t="s">
        <v>1268</v>
      </c>
      <c r="D19288" t="s">
        <v>52</v>
      </c>
      <c r="E19288" t="s">
        <v>186</v>
      </c>
      <c r="F19288" s="2" t="str">
        <f>HYPERLINK("http://www.otzar.org/book.asp?600549","כרמנו - מכות")</f>
        <v>כרמנו - מכות</v>
      </c>
    </row>
    <row r="19289" spans="1:6" x14ac:dyDescent="0.2">
      <c r="A19289" t="s">
        <v>31511</v>
      </c>
      <c r="B19289" t="s">
        <v>31512</v>
      </c>
      <c r="C19289" t="s">
        <v>1284</v>
      </c>
      <c r="D19289" t="s">
        <v>27</v>
      </c>
      <c r="E19289" t="s">
        <v>31513</v>
      </c>
      <c r="F19289" s="2" t="str">
        <f>HYPERLINK("http://www.otzar.org/book.asp?102242","כרסייא דאליהו")</f>
        <v>כרסייא דאליהו</v>
      </c>
    </row>
    <row r="19290" spans="1:6" x14ac:dyDescent="0.2">
      <c r="A19290" t="s">
        <v>31514</v>
      </c>
      <c r="B19290" t="s">
        <v>8863</v>
      </c>
      <c r="C19290" t="s">
        <v>767</v>
      </c>
      <c r="D19290" t="s">
        <v>14</v>
      </c>
      <c r="E19290" t="s">
        <v>15</v>
      </c>
      <c r="F19290" s="2" t="str">
        <f>HYPERLINK("http://www.otzar.org/book.asp?621147","כרע רבץ")</f>
        <v>כרע רבץ</v>
      </c>
    </row>
    <row r="19291" spans="1:6" x14ac:dyDescent="0.2">
      <c r="A19291" t="s">
        <v>31515</v>
      </c>
      <c r="B19291" t="s">
        <v>31516</v>
      </c>
      <c r="C19291" t="s">
        <v>146</v>
      </c>
      <c r="D19291" t="s">
        <v>646</v>
      </c>
      <c r="F19291" s="2" t="str">
        <f>HYPERLINK("http://www.otzar.org/book.asp?615294","כרעיה דאבוה")</f>
        <v>כרעיה דאבוה</v>
      </c>
    </row>
    <row r="19292" spans="1:6" x14ac:dyDescent="0.2">
      <c r="A19292" t="s">
        <v>31517</v>
      </c>
      <c r="B19292" t="s">
        <v>1990</v>
      </c>
      <c r="C19292" t="s">
        <v>4114</v>
      </c>
      <c r="D19292" t="s">
        <v>42</v>
      </c>
      <c r="F19292" s="2" t="str">
        <f>HYPERLINK("http://www.otzar.org/book.asp?182153","כרתי ופלתי &lt;דפו""ר&gt;")</f>
        <v>כרתי ופלתי &lt;דפו"ר&gt;</v>
      </c>
    </row>
    <row r="19293" spans="1:6" x14ac:dyDescent="0.2">
      <c r="A19293" t="s">
        <v>31518</v>
      </c>
      <c r="B19293" t="s">
        <v>31519</v>
      </c>
      <c r="C19293" t="s">
        <v>454</v>
      </c>
      <c r="D19293" t="s">
        <v>14</v>
      </c>
      <c r="E19293" t="s">
        <v>172</v>
      </c>
      <c r="F19293" s="2" t="str">
        <f>HYPERLINK("http://www.otzar.org/book.asp?21632","כרתי ופלתי המבואר - 2 כר'")</f>
        <v>כרתי ופלתי המבואר - 2 כר'</v>
      </c>
    </row>
    <row r="19294" spans="1:6" x14ac:dyDescent="0.2">
      <c r="A19294" t="s">
        <v>31520</v>
      </c>
      <c r="B19294" t="s">
        <v>31521</v>
      </c>
      <c r="C19294" t="s">
        <v>68</v>
      </c>
      <c r="D19294" t="s">
        <v>14</v>
      </c>
      <c r="E19294" t="s">
        <v>172</v>
      </c>
      <c r="F19294" s="2" t="str">
        <f>HYPERLINK("http://www.otzar.org/book.asp?170762","כרתי ופלתי - הלכות נדה &lt;ליקוטי הערות&gt;")</f>
        <v>כרתי ופלתי - הלכות נדה &lt;ליקוטי הערות&gt;</v>
      </c>
    </row>
    <row r="19295" spans="1:6" x14ac:dyDescent="0.2">
      <c r="A19295" t="s">
        <v>31522</v>
      </c>
      <c r="B19295" t="s">
        <v>1990</v>
      </c>
      <c r="C19295" t="s">
        <v>1335</v>
      </c>
      <c r="D19295" t="s">
        <v>283</v>
      </c>
      <c r="E19295" t="s">
        <v>172</v>
      </c>
      <c r="F19295" s="2" t="str">
        <f>HYPERLINK("http://www.otzar.org/book.asp?5360","כרתי ופלתי - 2 כר'")</f>
        <v>כרתי ופלתי - 2 כר'</v>
      </c>
    </row>
    <row r="19296" spans="1:6" x14ac:dyDescent="0.2">
      <c r="A19296" t="s">
        <v>31523</v>
      </c>
      <c r="B19296" t="s">
        <v>31524</v>
      </c>
      <c r="C19296" t="s">
        <v>366</v>
      </c>
      <c r="D19296" t="s">
        <v>52</v>
      </c>
      <c r="E19296" t="s">
        <v>15</v>
      </c>
      <c r="F19296" s="2" t="str">
        <f>HYPERLINK("http://www.otzar.org/book.asp?627631","כשחר אורך")</f>
        <v>כשחר אורך</v>
      </c>
    </row>
    <row r="19297" spans="1:6" x14ac:dyDescent="0.2">
      <c r="A19297" t="s">
        <v>31525</v>
      </c>
      <c r="B19297" t="s">
        <v>22479</v>
      </c>
      <c r="C19297" t="s">
        <v>454</v>
      </c>
      <c r="D19297" t="s">
        <v>14</v>
      </c>
      <c r="E19297" t="s">
        <v>241</v>
      </c>
      <c r="F19297" s="2" t="str">
        <f>HYPERLINK("http://www.otzar.org/book.asp?152501","כשלג ילבינו")</f>
        <v>כשלג ילבינו</v>
      </c>
    </row>
    <row r="19298" spans="1:6" x14ac:dyDescent="0.2">
      <c r="A19298" t="s">
        <v>31526</v>
      </c>
      <c r="B19298" t="s">
        <v>31527</v>
      </c>
      <c r="C19298" t="s">
        <v>111</v>
      </c>
      <c r="D19298" t="s">
        <v>31528</v>
      </c>
      <c r="F19298" s="2" t="str">
        <f>HYPERLINK("http://www.otzar.org/book.asp?623094","כשר או חלק")</f>
        <v>כשר או חלק</v>
      </c>
    </row>
    <row r="19299" spans="1:6" x14ac:dyDescent="0.2">
      <c r="A19299" t="s">
        <v>31529</v>
      </c>
      <c r="B19299" t="s">
        <v>1091</v>
      </c>
      <c r="C19299" t="s">
        <v>383</v>
      </c>
      <c r="D19299" t="s">
        <v>14</v>
      </c>
      <c r="F19299" s="2" t="str">
        <f>HYPERLINK("http://www.otzar.org/book.asp?175931","כשרות ארבעת המינים (צבעוני)")</f>
        <v>כשרות ארבעת המינים (צבעוני)</v>
      </c>
    </row>
    <row r="19300" spans="1:6" x14ac:dyDescent="0.2">
      <c r="A19300" t="s">
        <v>31530</v>
      </c>
      <c r="B19300" t="s">
        <v>1091</v>
      </c>
      <c r="C19300" t="s">
        <v>383</v>
      </c>
      <c r="D19300" t="s">
        <v>14</v>
      </c>
      <c r="E19300" t="s">
        <v>15</v>
      </c>
      <c r="F19300" s="2" t="str">
        <f>HYPERLINK("http://www.otzar.org/book.asp?26799","כשרות ארבעת המינים")</f>
        <v>כשרות ארבעת המינים</v>
      </c>
    </row>
    <row r="19301" spans="1:6" x14ac:dyDescent="0.2">
      <c r="A19301" t="s">
        <v>31531</v>
      </c>
      <c r="B19301" t="s">
        <v>4638</v>
      </c>
      <c r="C19301" t="s">
        <v>168</v>
      </c>
      <c r="D19301" t="s">
        <v>14</v>
      </c>
      <c r="E19301" t="s">
        <v>104</v>
      </c>
      <c r="F19301" s="2" t="str">
        <f>HYPERLINK("http://www.otzar.org/book.asp?193494","כשרות בבית")</f>
        <v>כשרות בבית</v>
      </c>
    </row>
    <row r="19302" spans="1:6" x14ac:dyDescent="0.2">
      <c r="A19302" t="s">
        <v>31532</v>
      </c>
      <c r="B19302" t="s">
        <v>7036</v>
      </c>
      <c r="C19302" t="s">
        <v>103</v>
      </c>
      <c r="D19302" t="s">
        <v>14</v>
      </c>
      <c r="E19302" t="s">
        <v>15</v>
      </c>
      <c r="F19302" s="2" t="str">
        <f>HYPERLINK("http://www.otzar.org/book.asp?60986","כשרות בפסח")</f>
        <v>כשרות בפסח</v>
      </c>
    </row>
    <row r="19303" spans="1:6" x14ac:dyDescent="0.2">
      <c r="A19303" t="s">
        <v>31533</v>
      </c>
      <c r="B19303" t="s">
        <v>31534</v>
      </c>
      <c r="C19303" t="s">
        <v>71</v>
      </c>
      <c r="E19303" t="s">
        <v>15</v>
      </c>
      <c r="F19303" s="2" t="str">
        <f>HYPERLINK("http://www.otzar.org/book.asp?618764","כשרות החלב ומוצריו")</f>
        <v>כשרות החלב ומוצריו</v>
      </c>
    </row>
    <row r="19304" spans="1:6" x14ac:dyDescent="0.2">
      <c r="A19304" t="s">
        <v>31535</v>
      </c>
      <c r="B19304" t="s">
        <v>15230</v>
      </c>
      <c r="C19304" t="s">
        <v>244</v>
      </c>
      <c r="D19304" t="s">
        <v>2909</v>
      </c>
      <c r="E19304" t="s">
        <v>148</v>
      </c>
      <c r="F19304" s="2" t="str">
        <f>HYPERLINK("http://www.otzar.org/book.asp?611783","כשרות הכלים")</f>
        <v>כשרות הכלים</v>
      </c>
    </row>
    <row r="19305" spans="1:6" x14ac:dyDescent="0.2">
      <c r="A19305" t="s">
        <v>31536</v>
      </c>
      <c r="B19305" t="s">
        <v>15230</v>
      </c>
      <c r="C19305" t="s">
        <v>133</v>
      </c>
      <c r="D19305" t="s">
        <v>2909</v>
      </c>
      <c r="E19305" t="s">
        <v>148</v>
      </c>
      <c r="F19305" s="2" t="str">
        <f>HYPERLINK("http://www.otzar.org/book.asp?611784","כשרות המאכלים")</f>
        <v>כשרות המאכלים</v>
      </c>
    </row>
    <row r="19306" spans="1:6" x14ac:dyDescent="0.2">
      <c r="A19306" t="s">
        <v>31537</v>
      </c>
      <c r="B19306" t="s">
        <v>257</v>
      </c>
      <c r="C19306" t="s">
        <v>523</v>
      </c>
      <c r="D19306" t="s">
        <v>486</v>
      </c>
      <c r="E19306" t="s">
        <v>674</v>
      </c>
      <c r="F19306" s="2" t="str">
        <f>HYPERLINK("http://www.otzar.org/book.asp?53637","כשרות המזון כהלכה")</f>
        <v>כשרות המזון כהלכה</v>
      </c>
    </row>
    <row r="19307" spans="1:6" x14ac:dyDescent="0.2">
      <c r="A19307" t="s">
        <v>31538</v>
      </c>
      <c r="B19307" t="s">
        <v>107</v>
      </c>
      <c r="C19307" t="s">
        <v>785</v>
      </c>
      <c r="D19307" t="s">
        <v>14</v>
      </c>
      <c r="E19307" t="s">
        <v>15</v>
      </c>
      <c r="F19307" s="2" t="str">
        <f>HYPERLINK("http://www.otzar.org/book.asp?84450","כשרות המזון - 4 כר'")</f>
        <v>כשרות המזון - 4 כר'</v>
      </c>
    </row>
    <row r="19308" spans="1:6" x14ac:dyDescent="0.2">
      <c r="A19308" t="s">
        <v>31539</v>
      </c>
      <c r="B19308" t="s">
        <v>206</v>
      </c>
      <c r="C19308" t="s">
        <v>411</v>
      </c>
      <c r="D19308" t="s">
        <v>118</v>
      </c>
      <c r="E19308" t="s">
        <v>15</v>
      </c>
      <c r="F19308" s="2" t="str">
        <f>HYPERLINK("http://www.otzar.org/book.asp?195110","כשרות המטבח בהלכה ובאגדה")</f>
        <v>כשרות המטבח בהלכה ובאגדה</v>
      </c>
    </row>
    <row r="19309" spans="1:6" x14ac:dyDescent="0.2">
      <c r="A19309" t="s">
        <v>31540</v>
      </c>
      <c r="B19309" t="s">
        <v>31541</v>
      </c>
      <c r="C19309" t="s">
        <v>20</v>
      </c>
      <c r="D19309" t="s">
        <v>90</v>
      </c>
      <c r="E19309" t="s">
        <v>15</v>
      </c>
      <c r="F19309" s="2" t="str">
        <f>HYPERLINK("http://www.otzar.org/book.asp?61639","כשרות המטבח - מושגים וערכים")</f>
        <v>כשרות המטבח - מושגים וערכים</v>
      </c>
    </row>
    <row r="19310" spans="1:6" x14ac:dyDescent="0.2">
      <c r="A19310" t="s">
        <v>31542</v>
      </c>
      <c r="B19310" t="s">
        <v>1750</v>
      </c>
      <c r="C19310" t="s">
        <v>146</v>
      </c>
      <c r="D19310" t="s">
        <v>14</v>
      </c>
      <c r="E19310" t="s">
        <v>15</v>
      </c>
      <c r="F19310" s="2" t="str">
        <f>HYPERLINK("http://www.otzar.org/book.asp?168408","כשרות המטבח")</f>
        <v>כשרות המטבח</v>
      </c>
    </row>
    <row r="19311" spans="1:6" x14ac:dyDescent="0.2">
      <c r="A19311" t="s">
        <v>31543</v>
      </c>
      <c r="B19311" t="s">
        <v>7036</v>
      </c>
      <c r="C19311" t="s">
        <v>13</v>
      </c>
      <c r="D19311" t="s">
        <v>14</v>
      </c>
      <c r="E19311" t="s">
        <v>15</v>
      </c>
      <c r="F19311" s="2" t="str">
        <f>HYPERLINK("http://www.otzar.org/book.asp?61193","כשרות המשקאות")</f>
        <v>כשרות המשקאות</v>
      </c>
    </row>
    <row r="19312" spans="1:6" x14ac:dyDescent="0.2">
      <c r="A19312" t="s">
        <v>31544</v>
      </c>
      <c r="B19312" t="s">
        <v>3440</v>
      </c>
      <c r="C19312" t="s">
        <v>334</v>
      </c>
      <c r="D19312" t="s">
        <v>14</v>
      </c>
      <c r="E19312" t="s">
        <v>15</v>
      </c>
      <c r="F19312" s="2" t="str">
        <f>HYPERLINK("http://www.otzar.org/book.asp?22087","כשרות וטרפות בעוף")</f>
        <v>כשרות וטרפות בעוף</v>
      </c>
    </row>
    <row r="19313" spans="1:6" x14ac:dyDescent="0.2">
      <c r="A19313" t="s">
        <v>31545</v>
      </c>
      <c r="B19313" t="s">
        <v>5753</v>
      </c>
      <c r="C19313" t="s">
        <v>334</v>
      </c>
      <c r="D19313" t="s">
        <v>14</v>
      </c>
      <c r="E19313" t="s">
        <v>674</v>
      </c>
      <c r="F19313" s="2" t="str">
        <f>HYPERLINK("http://www.otzar.org/book.asp?106144","כשרות ושבת במטבח המודרני")</f>
        <v>כשרות ושבת במטבח המודרני</v>
      </c>
    </row>
    <row r="19314" spans="1:6" x14ac:dyDescent="0.2">
      <c r="A19314" t="s">
        <v>31546</v>
      </c>
      <c r="B19314" t="s">
        <v>31547</v>
      </c>
      <c r="C19314" t="s">
        <v>111</v>
      </c>
      <c r="D19314" t="s">
        <v>31548</v>
      </c>
      <c r="E19314" t="s">
        <v>674</v>
      </c>
      <c r="F19314" s="2" t="str">
        <f>HYPERLINK("http://www.otzar.org/book.asp?626576","כשרות כהלכה - א")</f>
        <v>כשרות כהלכה - א</v>
      </c>
    </row>
    <row r="19315" spans="1:6" x14ac:dyDescent="0.2">
      <c r="A19315" t="s">
        <v>31549</v>
      </c>
      <c r="B19315" t="s">
        <v>31550</v>
      </c>
      <c r="C19315" t="s">
        <v>244</v>
      </c>
      <c r="D19315" t="s">
        <v>852</v>
      </c>
      <c r="E19315" t="s">
        <v>674</v>
      </c>
      <c r="F19315" s="2" t="str">
        <f>HYPERLINK("http://www.otzar.org/book.asp?600192","כשרות להלכה ולמעשה")</f>
        <v>כשרות להלכה ולמעשה</v>
      </c>
    </row>
    <row r="19316" spans="1:6" x14ac:dyDescent="0.2">
      <c r="A19316" t="s">
        <v>31551</v>
      </c>
      <c r="B19316" t="s">
        <v>31552</v>
      </c>
      <c r="C19316" t="s">
        <v>244</v>
      </c>
      <c r="D19316" t="s">
        <v>52</v>
      </c>
      <c r="E19316" t="s">
        <v>15</v>
      </c>
      <c r="F19316" s="2" t="str">
        <f>HYPERLINK("http://www.otzar.org/book.asp?602071","כשרות מכונות הגילוח")</f>
        <v>כשרות מכונות הגילוח</v>
      </c>
    </row>
    <row r="19317" spans="1:6" x14ac:dyDescent="0.2">
      <c r="A19317" t="s">
        <v>31553</v>
      </c>
      <c r="B19317" t="s">
        <v>31554</v>
      </c>
      <c r="C19317" t="s">
        <v>17</v>
      </c>
      <c r="D19317" t="s">
        <v>216</v>
      </c>
      <c r="E19317" t="s">
        <v>104</v>
      </c>
      <c r="F19317" s="2" t="str">
        <f>HYPERLINK("http://www.otzar.org/book.asp?173653","כתאב אלנתף")</f>
        <v>כתאב אלנתף</v>
      </c>
    </row>
    <row r="19318" spans="1:6" x14ac:dyDescent="0.2">
      <c r="A19318" t="s">
        <v>31555</v>
      </c>
      <c r="B19318" t="s">
        <v>25449</v>
      </c>
      <c r="C19318" t="s">
        <v>594</v>
      </c>
      <c r="D19318" t="s">
        <v>1731</v>
      </c>
      <c r="E19318" t="s">
        <v>81</v>
      </c>
      <c r="F19318" s="2" t="str">
        <f>HYPERLINK("http://www.otzar.org/book.asp?12178","כתאב אלרסאייל (ספר האיגרות)")</f>
        <v>כתאב אלרסאייל (ספר האיגרות)</v>
      </c>
    </row>
    <row r="19319" spans="1:6" x14ac:dyDescent="0.2">
      <c r="A19319" t="s">
        <v>31556</v>
      </c>
      <c r="B19319" t="s">
        <v>31557</v>
      </c>
      <c r="C19319" t="s">
        <v>37</v>
      </c>
      <c r="D19319" t="s">
        <v>14</v>
      </c>
      <c r="E19319" t="s">
        <v>144</v>
      </c>
      <c r="F19319" s="2" t="str">
        <f>HYPERLINK("http://www.otzar.org/book.asp?180769","כתב איש - 4 כר'")</f>
        <v>כתב איש - 4 כר'</v>
      </c>
    </row>
    <row r="19320" spans="1:6" x14ac:dyDescent="0.2">
      <c r="A19320" t="s">
        <v>31558</v>
      </c>
      <c r="B19320" t="s">
        <v>31559</v>
      </c>
      <c r="C19320" t="s">
        <v>37</v>
      </c>
      <c r="D19320" t="s">
        <v>1180</v>
      </c>
      <c r="E19320" t="s">
        <v>4779</v>
      </c>
      <c r="F19320" s="2" t="str">
        <f>HYPERLINK("http://www.otzar.org/book.asp?199136","כתב אמת")</f>
        <v>כתב אמת</v>
      </c>
    </row>
    <row r="19321" spans="1:6" x14ac:dyDescent="0.2">
      <c r="A19321" t="s">
        <v>31560</v>
      </c>
      <c r="B19321" t="s">
        <v>16644</v>
      </c>
      <c r="C19321" t="s">
        <v>146</v>
      </c>
      <c r="D19321" t="s">
        <v>52</v>
      </c>
      <c r="E19321" t="s">
        <v>241</v>
      </c>
      <c r="F19321" s="2" t="str">
        <f>HYPERLINK("http://www.otzar.org/book.asp?51551","כתב אמת - 3 כר'")</f>
        <v>כתב אמת - 3 כר'</v>
      </c>
    </row>
    <row r="19322" spans="1:6" x14ac:dyDescent="0.2">
      <c r="A19322" t="s">
        <v>31561</v>
      </c>
      <c r="B19322" t="s">
        <v>31562</v>
      </c>
      <c r="C19322" t="s">
        <v>8</v>
      </c>
      <c r="D19322" t="s">
        <v>100</v>
      </c>
      <c r="E19322" t="s">
        <v>674</v>
      </c>
      <c r="F19322" s="2" t="str">
        <f>HYPERLINK("http://www.otzar.org/book.asp?168133","כתב בית ישראל")</f>
        <v>כתב בית ישראל</v>
      </c>
    </row>
    <row r="19323" spans="1:6" x14ac:dyDescent="0.2">
      <c r="A19323" t="s">
        <v>31563</v>
      </c>
      <c r="B19323" t="s">
        <v>17097</v>
      </c>
      <c r="C19323" t="s">
        <v>492</v>
      </c>
      <c r="D19323" t="s">
        <v>9</v>
      </c>
      <c r="E19323" t="s">
        <v>213</v>
      </c>
      <c r="F19323" s="2" t="str">
        <f>HYPERLINK("http://www.otzar.org/book.asp?167997","כתב הדת")</f>
        <v>כתב הדת</v>
      </c>
    </row>
    <row r="19324" spans="1:6" x14ac:dyDescent="0.2">
      <c r="A19324" t="s">
        <v>31564</v>
      </c>
      <c r="B19324" t="s">
        <v>31565</v>
      </c>
      <c r="C19324" t="s">
        <v>9946</v>
      </c>
      <c r="D19324" t="s">
        <v>31566</v>
      </c>
      <c r="E19324" t="s">
        <v>119</v>
      </c>
      <c r="F19324" s="2" t="str">
        <f>HYPERLINK("http://www.otzar.org/book.asp?84546","כתב המלצה - &lt;חכמי איטליה, קושטא, יוון&gt;")</f>
        <v>כתב המלצה - &lt;חכמי איטליה, קושטא, יוון&gt;</v>
      </c>
    </row>
    <row r="19325" spans="1:6" x14ac:dyDescent="0.2">
      <c r="A19325" t="s">
        <v>31567</v>
      </c>
      <c r="B19325" t="s">
        <v>21435</v>
      </c>
      <c r="C19325" t="s">
        <v>313</v>
      </c>
      <c r="D19325" t="s">
        <v>14</v>
      </c>
      <c r="E19325" t="s">
        <v>1880</v>
      </c>
      <c r="F19325" s="2" t="str">
        <f>HYPERLINK("http://www.otzar.org/book.asp?612519","כתב הנשתון - 5 כר'")</f>
        <v>כתב הנשתון - 5 כר'</v>
      </c>
    </row>
    <row r="19326" spans="1:6" x14ac:dyDescent="0.2">
      <c r="A19326" t="s">
        <v>31568</v>
      </c>
      <c r="B19326" t="s">
        <v>31569</v>
      </c>
      <c r="C19326" t="s">
        <v>151</v>
      </c>
      <c r="D19326" t="s">
        <v>367</v>
      </c>
      <c r="E19326" t="s">
        <v>15</v>
      </c>
      <c r="F19326" s="2" t="str">
        <f>HYPERLINK("http://www.otzar.org/book.asp?622112","כתב הסופר - צורת האותיות")</f>
        <v>כתב הסופר - צורת האותיות</v>
      </c>
    </row>
    <row r="19327" spans="1:6" x14ac:dyDescent="0.2">
      <c r="A19327" t="s">
        <v>31570</v>
      </c>
      <c r="B19327" t="s">
        <v>17217</v>
      </c>
      <c r="C19327" t="s">
        <v>244</v>
      </c>
      <c r="D19327" t="s">
        <v>52</v>
      </c>
      <c r="E19327" t="s">
        <v>144</v>
      </c>
      <c r="F19327" s="2" t="str">
        <f>HYPERLINK("http://www.otzar.org/book.asp?628689","כתב הקדש - כתובות")</f>
        <v>כתב הקדש - כתובות</v>
      </c>
    </row>
    <row r="19328" spans="1:6" x14ac:dyDescent="0.2">
      <c r="A19328" t="s">
        <v>31571</v>
      </c>
      <c r="B19328" t="s">
        <v>31572</v>
      </c>
      <c r="C19328" t="s">
        <v>31573</v>
      </c>
      <c r="D19328" t="s">
        <v>726</v>
      </c>
      <c r="E19328" t="s">
        <v>104</v>
      </c>
      <c r="F19328" s="2" t="str">
        <f>HYPERLINK("http://www.otzar.org/book.asp?146706","כתב התנצלות לדרשנים")</f>
        <v>כתב התנצלות לדרשנים</v>
      </c>
    </row>
    <row r="19329" spans="1:6" x14ac:dyDescent="0.2">
      <c r="A19329" t="s">
        <v>31574</v>
      </c>
      <c r="B19329" t="s">
        <v>25512</v>
      </c>
      <c r="C19329" t="s">
        <v>785</v>
      </c>
      <c r="D19329" t="s">
        <v>412</v>
      </c>
      <c r="E19329" t="s">
        <v>474</v>
      </c>
      <c r="F19329" s="2" t="str">
        <f>HYPERLINK("http://www.otzar.org/book.asp?160852","כתב וחתם סופר")</f>
        <v>כתב וחתם סופר</v>
      </c>
    </row>
    <row r="19330" spans="1:6" x14ac:dyDescent="0.2">
      <c r="A19330" t="s">
        <v>31575</v>
      </c>
      <c r="B19330" t="s">
        <v>31576</v>
      </c>
      <c r="C19330" t="s">
        <v>124</v>
      </c>
      <c r="D19330" t="s">
        <v>14</v>
      </c>
      <c r="E19330" t="s">
        <v>733</v>
      </c>
      <c r="F19330" s="2" t="str">
        <f>HYPERLINK("http://www.otzar.org/book.asp?21038","כתב זאת זכרון")</f>
        <v>כתב זאת זכרון</v>
      </c>
    </row>
    <row r="19331" spans="1:6" x14ac:dyDescent="0.2">
      <c r="A19331" t="s">
        <v>31575</v>
      </c>
      <c r="B19331" t="s">
        <v>31577</v>
      </c>
      <c r="C19331" t="s">
        <v>244</v>
      </c>
      <c r="D19331" t="s">
        <v>14</v>
      </c>
      <c r="F19331" s="2" t="str">
        <f>HYPERLINK("http://www.otzar.org/book.asp?621632","כתב זאת זכרון")</f>
        <v>כתב זאת זכרון</v>
      </c>
    </row>
    <row r="19332" spans="1:6" x14ac:dyDescent="0.2">
      <c r="A19332" t="s">
        <v>31578</v>
      </c>
      <c r="B19332" t="s">
        <v>31579</v>
      </c>
      <c r="C19332" t="s">
        <v>896</v>
      </c>
      <c r="D19332" t="s">
        <v>283</v>
      </c>
      <c r="E19332" t="s">
        <v>104</v>
      </c>
      <c r="F19332" s="2" t="str">
        <f>HYPERLINK("http://www.otzar.org/book.asp?84528","כתב י""ד - 2 כר'")</f>
        <v>כתב י"ד - 2 כר'</v>
      </c>
    </row>
    <row r="19333" spans="1:6" x14ac:dyDescent="0.2">
      <c r="A19333" t="s">
        <v>31580</v>
      </c>
      <c r="B19333" t="s">
        <v>31580</v>
      </c>
      <c r="C19333" t="s">
        <v>775</v>
      </c>
      <c r="D19333" t="s">
        <v>14</v>
      </c>
      <c r="E19333" t="s">
        <v>104</v>
      </c>
      <c r="F19333" s="2" t="str">
        <f>HYPERLINK("http://www.otzar.org/book.asp?160803","כתב יד וספר")</f>
        <v>כתב יד וספר</v>
      </c>
    </row>
    <row r="19334" spans="1:6" x14ac:dyDescent="0.2">
      <c r="A19334" t="s">
        <v>1163</v>
      </c>
      <c r="B19334" t="s">
        <v>28331</v>
      </c>
      <c r="C19334" t="s">
        <v>103</v>
      </c>
      <c r="D19334" t="s">
        <v>14</v>
      </c>
      <c r="E19334" t="s">
        <v>144</v>
      </c>
      <c r="F19334" s="2" t="str">
        <f>HYPERLINK("http://www.otzar.org/book.asp?154244","כתב יד")</f>
        <v>כתב יד</v>
      </c>
    </row>
    <row r="19335" spans="1:6" x14ac:dyDescent="0.2">
      <c r="A19335" t="s">
        <v>31581</v>
      </c>
      <c r="B19335" t="s">
        <v>31582</v>
      </c>
      <c r="C19335" t="s">
        <v>23</v>
      </c>
      <c r="D19335" t="s">
        <v>229</v>
      </c>
      <c r="E19335" t="s">
        <v>674</v>
      </c>
      <c r="F19335" s="2" t="str">
        <f>HYPERLINK("http://www.otzar.org/book.asp?191889","כתב יוחסין")</f>
        <v>כתב יוחסין</v>
      </c>
    </row>
    <row r="19336" spans="1:6" x14ac:dyDescent="0.2">
      <c r="A19336" t="s">
        <v>31583</v>
      </c>
      <c r="B19336" t="s">
        <v>19190</v>
      </c>
      <c r="C19336" t="s">
        <v>4266</v>
      </c>
      <c r="D19336" t="s">
        <v>212</v>
      </c>
      <c r="E19336" t="s">
        <v>119</v>
      </c>
      <c r="F19336" s="2" t="str">
        <f>HYPERLINK("http://www.otzar.org/book.asp?84635","כתב יושר לשליח &lt;בשבטי ישראל מודעת&gt;")</f>
        <v>כתב יושר לשליח &lt;בשבטי ישראל מודעת&gt;</v>
      </c>
    </row>
    <row r="19337" spans="1:6" x14ac:dyDescent="0.2">
      <c r="A19337" t="s">
        <v>31584</v>
      </c>
      <c r="B19337" t="s">
        <v>31585</v>
      </c>
      <c r="C19337" t="s">
        <v>31586</v>
      </c>
      <c r="D19337" t="s">
        <v>1482</v>
      </c>
      <c r="F19337" s="2" t="str">
        <f>HYPERLINK("http://www.otzar.org/book.asp?182336","כתב יושר")</f>
        <v>כתב יושר</v>
      </c>
    </row>
    <row r="19338" spans="1:6" x14ac:dyDescent="0.2">
      <c r="A19338" t="s">
        <v>31587</v>
      </c>
      <c r="B19338" t="s">
        <v>31588</v>
      </c>
      <c r="C19338" t="s">
        <v>553</v>
      </c>
      <c r="D19338" t="s">
        <v>14</v>
      </c>
      <c r="E19338" t="s">
        <v>872</v>
      </c>
      <c r="F19338" s="2" t="str">
        <f>HYPERLINK("http://www.otzar.org/book.asp?152727","כתב משה - 2 כר'")</f>
        <v>כתב משה - 2 כר'</v>
      </c>
    </row>
    <row r="19339" spans="1:6" x14ac:dyDescent="0.2">
      <c r="A19339" t="s">
        <v>31589</v>
      </c>
      <c r="B19339" t="s">
        <v>31590</v>
      </c>
      <c r="C19339" t="s">
        <v>14518</v>
      </c>
      <c r="D19339" t="s">
        <v>744</v>
      </c>
      <c r="E19339" t="s">
        <v>104</v>
      </c>
      <c r="F19339" s="2" t="str">
        <f>HYPERLINK("http://www.otzar.org/book.asp?146943","כתב נבחר &lt;עט סופר&gt;")</f>
        <v>כתב נבחר &lt;עט סופר&gt;</v>
      </c>
    </row>
    <row r="19340" spans="1:6" x14ac:dyDescent="0.2">
      <c r="A19340" t="s">
        <v>31591</v>
      </c>
      <c r="B19340" t="s">
        <v>17865</v>
      </c>
      <c r="C19340" t="s">
        <v>777</v>
      </c>
      <c r="D19340" t="s">
        <v>974</v>
      </c>
      <c r="E19340" t="s">
        <v>435</v>
      </c>
      <c r="F19340" s="2" t="str">
        <f>HYPERLINK("http://www.otzar.org/book.asp?10380","כתב סופר &lt;דרשות&gt; - 2 כר'")</f>
        <v>כתב סופר &lt;דרשות&gt; - 2 כר'</v>
      </c>
    </row>
    <row r="19341" spans="1:6" x14ac:dyDescent="0.2">
      <c r="A19341" t="s">
        <v>31592</v>
      </c>
      <c r="B19341" t="s">
        <v>17865</v>
      </c>
      <c r="C19341" t="s">
        <v>624</v>
      </c>
      <c r="D19341" t="s">
        <v>14</v>
      </c>
      <c r="E19341" t="s">
        <v>144</v>
      </c>
      <c r="F19341" s="2" t="str">
        <f>HYPERLINK("http://www.otzar.org/book.asp?163047","כתב סופר &lt;על הש""ס&gt; - 8 כר'")</f>
        <v>כתב סופר &lt;על הש"ס&gt; - 8 כר'</v>
      </c>
    </row>
    <row r="19342" spans="1:6" x14ac:dyDescent="0.2">
      <c r="A19342" t="s">
        <v>31593</v>
      </c>
      <c r="B19342" t="s">
        <v>17865</v>
      </c>
      <c r="C19342" t="s">
        <v>31594</v>
      </c>
      <c r="D19342" t="s">
        <v>1422</v>
      </c>
      <c r="E19342" t="s">
        <v>4940</v>
      </c>
      <c r="F19342" s="2" t="str">
        <f>HYPERLINK("http://www.otzar.org/book.asp?14474","כתב סופר &lt;על התורה&gt; - 2 כר'")</f>
        <v>כתב סופר &lt;על התורה&gt; - 2 כר'</v>
      </c>
    </row>
    <row r="19343" spans="1:6" x14ac:dyDescent="0.2">
      <c r="A19343" t="s">
        <v>31595</v>
      </c>
      <c r="B19343" t="s">
        <v>17865</v>
      </c>
      <c r="C19343" t="s">
        <v>31594</v>
      </c>
      <c r="D19343" t="s">
        <v>1422</v>
      </c>
      <c r="E19343" t="s">
        <v>588</v>
      </c>
      <c r="F19343" s="2" t="str">
        <f>HYPERLINK("http://www.otzar.org/book.asp?11092","כתב סופר &lt;שו""ת&gt; - 4 כר'")</f>
        <v>כתב סופר &lt;שו"ת&gt; - 4 כר'</v>
      </c>
    </row>
    <row r="19344" spans="1:6" x14ac:dyDescent="0.2">
      <c r="A19344" t="s">
        <v>31596</v>
      </c>
      <c r="B19344" t="s">
        <v>17865</v>
      </c>
      <c r="C19344" t="s">
        <v>785</v>
      </c>
      <c r="D19344" t="s">
        <v>14</v>
      </c>
      <c r="E19344" t="s">
        <v>8945</v>
      </c>
      <c r="F19344" s="2" t="str">
        <f>HYPERLINK("http://www.otzar.org/book.asp?156432","כתב סופר החדש על התורה")</f>
        <v>כתב סופר החדש על התורה</v>
      </c>
    </row>
    <row r="19345" spans="1:6" x14ac:dyDescent="0.2">
      <c r="A19345" t="s">
        <v>31597</v>
      </c>
      <c r="B19345" t="s">
        <v>17865</v>
      </c>
      <c r="C19345" t="s">
        <v>785</v>
      </c>
      <c r="D19345" t="s">
        <v>14</v>
      </c>
      <c r="E19345" t="s">
        <v>154</v>
      </c>
      <c r="F19345" s="2" t="str">
        <f>HYPERLINK("http://www.otzar.org/book.asp?11155","כתב סופר החדשות")</f>
        <v>כתב סופר החדשות</v>
      </c>
    </row>
    <row r="19346" spans="1:6" x14ac:dyDescent="0.2">
      <c r="A19346" t="s">
        <v>31598</v>
      </c>
      <c r="B19346" t="s">
        <v>17865</v>
      </c>
      <c r="C19346" t="s">
        <v>1570</v>
      </c>
      <c r="D19346" t="s">
        <v>14</v>
      </c>
      <c r="E19346" t="s">
        <v>144</v>
      </c>
      <c r="F19346" s="2" t="str">
        <f>HYPERLINK("http://www.otzar.org/book.asp?171435","כתב סופר - 3 כר'")</f>
        <v>כתב סופר - 3 כר'</v>
      </c>
    </row>
    <row r="19347" spans="1:6" x14ac:dyDescent="0.2">
      <c r="A19347" t="s">
        <v>31599</v>
      </c>
      <c r="B19347" t="s">
        <v>31600</v>
      </c>
      <c r="C19347" t="s">
        <v>454</v>
      </c>
      <c r="D19347" t="s">
        <v>115</v>
      </c>
      <c r="E19347" t="s">
        <v>202</v>
      </c>
      <c r="F19347" s="2" t="str">
        <f>HYPERLINK("http://www.otzar.org/book.asp?63757","כתבו לכם")</f>
        <v>כתבו לכם</v>
      </c>
    </row>
    <row r="19348" spans="1:6" x14ac:dyDescent="0.2">
      <c r="A19348" t="s">
        <v>31599</v>
      </c>
      <c r="B19348" t="s">
        <v>31599</v>
      </c>
      <c r="C19348" t="s">
        <v>68</v>
      </c>
      <c r="D19348" t="s">
        <v>80</v>
      </c>
      <c r="E19348" t="s">
        <v>803</v>
      </c>
      <c r="F19348" s="2" t="str">
        <f>HYPERLINK("http://www.otzar.org/book.asp?196779","כתבו לכם")</f>
        <v>כתבו לכם</v>
      </c>
    </row>
    <row r="19349" spans="1:6" x14ac:dyDescent="0.2">
      <c r="A19349" t="s">
        <v>31599</v>
      </c>
      <c r="B19349" t="s">
        <v>31601</v>
      </c>
      <c r="C19349" t="s">
        <v>20</v>
      </c>
      <c r="D19349" t="s">
        <v>90</v>
      </c>
      <c r="E19349" t="s">
        <v>15</v>
      </c>
      <c r="F19349" s="2" t="str">
        <f>HYPERLINK("http://www.otzar.org/book.asp?64389","כתבו לכם")</f>
        <v>כתבו לכם</v>
      </c>
    </row>
    <row r="19350" spans="1:6" x14ac:dyDescent="0.2">
      <c r="A19350" t="s">
        <v>31602</v>
      </c>
      <c r="B19350" t="s">
        <v>14293</v>
      </c>
      <c r="C19350" t="s">
        <v>133</v>
      </c>
      <c r="D19350" t="s">
        <v>14</v>
      </c>
      <c r="E19350" t="s">
        <v>104</v>
      </c>
      <c r="F19350" s="2" t="str">
        <f>HYPERLINK("http://www.otzar.org/book.asp?175466","כתבוני לדורות")</f>
        <v>כתבוני לדורות</v>
      </c>
    </row>
    <row r="19351" spans="1:6" x14ac:dyDescent="0.2">
      <c r="A19351" t="s">
        <v>31602</v>
      </c>
      <c r="B19351" t="s">
        <v>2074</v>
      </c>
      <c r="C19351" t="s">
        <v>624</v>
      </c>
      <c r="D19351" t="s">
        <v>14</v>
      </c>
      <c r="E19351" t="s">
        <v>2075</v>
      </c>
      <c r="F19351" s="2" t="str">
        <f>HYPERLINK("http://www.otzar.org/book.asp?150428","כתבוני לדורות")</f>
        <v>כתבוני לדורות</v>
      </c>
    </row>
    <row r="19352" spans="1:6" x14ac:dyDescent="0.2">
      <c r="A19352" t="s">
        <v>31602</v>
      </c>
      <c r="B19352" t="s">
        <v>25655</v>
      </c>
      <c r="C19352" t="s">
        <v>103</v>
      </c>
      <c r="D19352" t="s">
        <v>14</v>
      </c>
      <c r="E19352" t="s">
        <v>104</v>
      </c>
      <c r="F19352" s="2" t="str">
        <f>HYPERLINK("http://www.otzar.org/book.asp?602666","כתבוני לדורות")</f>
        <v>כתבוני לדורות</v>
      </c>
    </row>
    <row r="19353" spans="1:6" x14ac:dyDescent="0.2">
      <c r="A19353" t="s">
        <v>31602</v>
      </c>
      <c r="B19353" t="s">
        <v>11553</v>
      </c>
      <c r="C19353" t="s">
        <v>411</v>
      </c>
      <c r="D19353" t="s">
        <v>52</v>
      </c>
      <c r="E19353" t="s">
        <v>199</v>
      </c>
      <c r="F19353" s="2" t="str">
        <f>HYPERLINK("http://www.otzar.org/book.asp?176948","כתבוני לדורות")</f>
        <v>כתבוני לדורות</v>
      </c>
    </row>
    <row r="19354" spans="1:6" x14ac:dyDescent="0.2">
      <c r="A19354" t="s">
        <v>31603</v>
      </c>
      <c r="B19354" t="s">
        <v>732</v>
      </c>
      <c r="C19354" t="s">
        <v>1374</v>
      </c>
      <c r="D19354" t="s">
        <v>27</v>
      </c>
      <c r="E19354" t="s">
        <v>119</v>
      </c>
      <c r="F19354" s="2" t="str">
        <f>HYPERLINK("http://www.otzar.org/book.asp?188642","כתבות עתיקות")</f>
        <v>כתבות עתיקות</v>
      </c>
    </row>
    <row r="19355" spans="1:6" x14ac:dyDescent="0.2">
      <c r="A19355" t="s">
        <v>31604</v>
      </c>
      <c r="B19355" t="s">
        <v>31605</v>
      </c>
      <c r="C19355" t="s">
        <v>585</v>
      </c>
      <c r="D19355" t="s">
        <v>412</v>
      </c>
      <c r="E19355" t="s">
        <v>31606</v>
      </c>
      <c r="F19355" s="2" t="str">
        <f>HYPERLINK("http://www.otzar.org/book.asp?7056","כתבי אבא מרי - 2 כר'")</f>
        <v>כתבי אבא מרי - 2 כר'</v>
      </c>
    </row>
    <row r="19356" spans="1:6" x14ac:dyDescent="0.2">
      <c r="A19356" t="s">
        <v>31607</v>
      </c>
      <c r="B19356" t="s">
        <v>31608</v>
      </c>
      <c r="C19356" t="s">
        <v>244</v>
      </c>
      <c r="D19356" t="s">
        <v>21</v>
      </c>
      <c r="F19356" s="2" t="str">
        <f>HYPERLINK("http://www.otzar.org/book.asp?197226","כתבי אבינו הר""ר יונה עמנואל ז""ל")</f>
        <v>כתבי אבינו הר"ר יונה עמנואל ז"ל</v>
      </c>
    </row>
    <row r="19357" spans="1:6" x14ac:dyDescent="0.2">
      <c r="A19357" t="s">
        <v>31609</v>
      </c>
      <c r="B19357" t="s">
        <v>31610</v>
      </c>
      <c r="C19357" t="s">
        <v>908</v>
      </c>
      <c r="D19357" t="s">
        <v>592</v>
      </c>
      <c r="E19357" t="s">
        <v>104</v>
      </c>
      <c r="F19357" s="2" t="str">
        <f>HYPERLINK("http://www.otzar.org/book.asp?191428","כתבי אחים - א (בהלכה ובאגדה)")</f>
        <v>כתבי אחים - א (בהלכה ובאגדה)</v>
      </c>
    </row>
    <row r="19358" spans="1:6" x14ac:dyDescent="0.2">
      <c r="A19358" t="s">
        <v>31611</v>
      </c>
      <c r="B19358" t="s">
        <v>13899</v>
      </c>
      <c r="C19358" t="s">
        <v>1535</v>
      </c>
      <c r="D19358" t="s">
        <v>8555</v>
      </c>
      <c r="E19358" t="s">
        <v>144</v>
      </c>
      <c r="F19358" s="2" t="str">
        <f>HYPERLINK("http://www.otzar.org/book.asp?25567","כתבי אש")</f>
        <v>כתבי אש</v>
      </c>
    </row>
    <row r="19359" spans="1:6" x14ac:dyDescent="0.2">
      <c r="A19359" t="s">
        <v>31612</v>
      </c>
      <c r="B19359" t="s">
        <v>10043</v>
      </c>
      <c r="C19359" t="s">
        <v>558</v>
      </c>
      <c r="D19359" t="s">
        <v>4269</v>
      </c>
      <c r="E19359" t="s">
        <v>31613</v>
      </c>
      <c r="F19359" s="2" t="str">
        <f>HYPERLINK("http://www.otzar.org/book.asp?300453","כתבי בית המדרש")</f>
        <v>כתבי בית המדרש</v>
      </c>
    </row>
    <row r="19360" spans="1:6" x14ac:dyDescent="0.2">
      <c r="A19360" t="s">
        <v>31614</v>
      </c>
      <c r="B19360" t="s">
        <v>31615</v>
      </c>
      <c r="C19360" t="s">
        <v>31616</v>
      </c>
      <c r="D19360" t="s">
        <v>280</v>
      </c>
      <c r="E19360" t="s">
        <v>144</v>
      </c>
      <c r="F19360" s="2" t="str">
        <f>HYPERLINK("http://www.otzar.org/book.asp?85144","כתבי בית ישראל &lt;מהדורה חדשה&gt;")</f>
        <v>כתבי בית ישראל &lt;מהדורה חדשה&gt;</v>
      </c>
    </row>
    <row r="19361" spans="1:6" x14ac:dyDescent="0.2">
      <c r="A19361" t="s">
        <v>31617</v>
      </c>
      <c r="B19361" t="s">
        <v>31615</v>
      </c>
      <c r="C19361" t="s">
        <v>31616</v>
      </c>
      <c r="D19361" t="s">
        <v>280</v>
      </c>
      <c r="E19361" t="s">
        <v>2091</v>
      </c>
      <c r="F19361" s="2" t="str">
        <f>HYPERLINK("http://www.otzar.org/book.asp?104898","כתבי בית ישראל - 3 כר'")</f>
        <v>כתבי בית ישראל - 3 כר'</v>
      </c>
    </row>
    <row r="19362" spans="1:6" x14ac:dyDescent="0.2">
      <c r="A19362" t="s">
        <v>31618</v>
      </c>
      <c r="B19362" t="s">
        <v>13052</v>
      </c>
      <c r="C19362" t="s">
        <v>1268</v>
      </c>
      <c r="D19362" t="s">
        <v>412</v>
      </c>
      <c r="E19362" t="s">
        <v>104</v>
      </c>
      <c r="F19362" s="2" t="str">
        <f>HYPERLINK("http://www.otzar.org/book.asp?144268","כתבי הגאון רבי יוסף אליהו הענקין זצ""ל - 2 כר'")</f>
        <v>כתבי הגאון רבי יוסף אליהו הענקין זצ"ל - 2 כר'</v>
      </c>
    </row>
    <row r="19363" spans="1:6" x14ac:dyDescent="0.2">
      <c r="A19363" t="s">
        <v>31619</v>
      </c>
      <c r="B19363" t="s">
        <v>8135</v>
      </c>
      <c r="C19363" t="s">
        <v>624</v>
      </c>
      <c r="D19363" t="s">
        <v>412</v>
      </c>
      <c r="E19363" t="s">
        <v>154</v>
      </c>
      <c r="F19363" s="2" t="str">
        <f>HYPERLINK("http://www.otzar.org/book.asp?25747","כתבי הגאון רבי יחיאל יעקב ויינברג - 2 כר'")</f>
        <v>כתבי הגאון רבי יחיאל יעקב ויינברג - 2 כר'</v>
      </c>
    </row>
    <row r="19364" spans="1:6" x14ac:dyDescent="0.2">
      <c r="A19364" t="s">
        <v>31620</v>
      </c>
      <c r="B19364" t="s">
        <v>31621</v>
      </c>
      <c r="C19364" t="s">
        <v>506</v>
      </c>
      <c r="D19364" t="s">
        <v>225</v>
      </c>
      <c r="E19364" t="s">
        <v>104</v>
      </c>
      <c r="F19364" s="2" t="str">
        <f>HYPERLINK("http://www.otzar.org/book.asp?18954","כתבי הגאונים")</f>
        <v>כתבי הגאונים</v>
      </c>
    </row>
    <row r="19365" spans="1:6" x14ac:dyDescent="0.2">
      <c r="A19365" t="s">
        <v>31622</v>
      </c>
      <c r="B19365" t="s">
        <v>31623</v>
      </c>
      <c r="E19365" t="s">
        <v>9368</v>
      </c>
      <c r="F19365" s="2" t="str">
        <f>HYPERLINK("http://www.otzar.org/book.asp?626170","כתבי הגר""ח והגרי""ז")</f>
        <v>כתבי הגר"ח והגרי"ז</v>
      </c>
    </row>
    <row r="19366" spans="1:6" x14ac:dyDescent="0.2">
      <c r="A19366" t="s">
        <v>31624</v>
      </c>
      <c r="B19366" t="s">
        <v>31625</v>
      </c>
      <c r="C19366" t="s">
        <v>13</v>
      </c>
      <c r="D19366" t="s">
        <v>14</v>
      </c>
      <c r="E19366" t="s">
        <v>559</v>
      </c>
      <c r="F19366" s="2" t="str">
        <f>HYPERLINK("http://www.otzar.org/book.asp?62048","כתבי הגר""י")</f>
        <v>כתבי הגר"י</v>
      </c>
    </row>
    <row r="19367" spans="1:6" x14ac:dyDescent="0.2">
      <c r="A19367" t="s">
        <v>31626</v>
      </c>
      <c r="B19367" t="s">
        <v>14293</v>
      </c>
      <c r="C19367" t="s">
        <v>133</v>
      </c>
      <c r="D19367" t="s">
        <v>14</v>
      </c>
      <c r="E19367" t="s">
        <v>246</v>
      </c>
      <c r="F19367" s="2" t="str">
        <f>HYPERLINK("http://www.otzar.org/book.asp?614016","כתבי הגרי""ש - 2 כר'")</f>
        <v>כתבי הגרי"ש - 2 כר'</v>
      </c>
    </row>
    <row r="19368" spans="1:6" x14ac:dyDescent="0.2">
      <c r="A19368" t="s">
        <v>31627</v>
      </c>
      <c r="B19368" t="s">
        <v>1803</v>
      </c>
      <c r="C19368" t="s">
        <v>17</v>
      </c>
      <c r="D19368" t="s">
        <v>14</v>
      </c>
      <c r="E19368" t="s">
        <v>2075</v>
      </c>
      <c r="F19368" s="2" t="str">
        <f>HYPERLINK("http://www.otzar.org/book.asp?105755","כתבי הגרמ""מ ז""ל - 2 כר'")</f>
        <v>כתבי הגרמ"מ ז"ל - 2 כר'</v>
      </c>
    </row>
    <row r="19369" spans="1:6" x14ac:dyDescent="0.2">
      <c r="A19369" t="s">
        <v>31628</v>
      </c>
      <c r="B19369" t="s">
        <v>6053</v>
      </c>
      <c r="C19369" t="s">
        <v>767</v>
      </c>
      <c r="D19369" t="s">
        <v>14</v>
      </c>
      <c r="E19369" t="s">
        <v>172</v>
      </c>
      <c r="F19369" s="2" t="str">
        <f>HYPERLINK("http://www.otzar.org/book.asp?15265","כתבי הדעת קדושים")</f>
        <v>כתבי הדעת קדושים</v>
      </c>
    </row>
    <row r="19370" spans="1:6" x14ac:dyDescent="0.2">
      <c r="A19370" t="s">
        <v>31629</v>
      </c>
      <c r="B19370" t="s">
        <v>31630</v>
      </c>
      <c r="C19370" t="s">
        <v>1388</v>
      </c>
      <c r="D19370" t="s">
        <v>14</v>
      </c>
      <c r="E19370" t="s">
        <v>104</v>
      </c>
      <c r="F19370" s="2" t="str">
        <f>HYPERLINK("http://www.otzar.org/book.asp?144023","כתבי החפץ חיים")</f>
        <v>כתבי החפץ חיים</v>
      </c>
    </row>
    <row r="19371" spans="1:6" x14ac:dyDescent="0.2">
      <c r="A19371" t="s">
        <v>31631</v>
      </c>
      <c r="B19371" t="s">
        <v>28617</v>
      </c>
      <c r="C19371" t="s">
        <v>585</v>
      </c>
      <c r="D19371" t="s">
        <v>14</v>
      </c>
      <c r="E19371" t="s">
        <v>104</v>
      </c>
      <c r="F19371" s="2" t="str">
        <f>HYPERLINK("http://www.otzar.org/book.asp?171300","כתבי היד התימניים במכון בן צבי")</f>
        <v>כתבי היד התימניים במכון בן צבי</v>
      </c>
    </row>
    <row r="19372" spans="1:6" x14ac:dyDescent="0.2">
      <c r="A19372" t="s">
        <v>31632</v>
      </c>
      <c r="B19372" t="s">
        <v>11253</v>
      </c>
      <c r="C19372" t="s">
        <v>523</v>
      </c>
      <c r="D19372" t="s">
        <v>14</v>
      </c>
      <c r="E19372" t="s">
        <v>104</v>
      </c>
      <c r="F19372" s="2" t="str">
        <f>HYPERLINK("http://www.otzar.org/book.asp?170972","כתבי היד של יהודי המגרב במכון בן צבי")</f>
        <v>כתבי היד של יהודי המגרב במכון בן צבי</v>
      </c>
    </row>
    <row r="19373" spans="1:6" x14ac:dyDescent="0.2">
      <c r="A19373" t="s">
        <v>31633</v>
      </c>
      <c r="B19373" t="s">
        <v>31634</v>
      </c>
      <c r="C19373" t="s">
        <v>940</v>
      </c>
      <c r="D19373" t="s">
        <v>14</v>
      </c>
      <c r="E19373" t="s">
        <v>104</v>
      </c>
      <c r="F19373" s="2" t="str">
        <f>HYPERLINK("http://www.otzar.org/book.asp?171299","כתבי היד של יהודי פרס במכון בן צבי")</f>
        <v>כתבי היד של יהודי פרס במכון בן צבי</v>
      </c>
    </row>
    <row r="19374" spans="1:6" x14ac:dyDescent="0.2">
      <c r="A19374" t="s">
        <v>31635</v>
      </c>
      <c r="B19374" t="s">
        <v>2220</v>
      </c>
      <c r="C19374" t="s">
        <v>20653</v>
      </c>
      <c r="D19374" t="s">
        <v>260</v>
      </c>
      <c r="E19374" t="s">
        <v>4104</v>
      </c>
      <c r="F19374" s="2" t="str">
        <f>HYPERLINK("http://www.otzar.org/book.asp?14649","כתבי המגיד מדובנה - 2 כר'")</f>
        <v>כתבי המגיד מדובנה - 2 כר'</v>
      </c>
    </row>
    <row r="19375" spans="1:6" x14ac:dyDescent="0.2">
      <c r="A19375" t="s">
        <v>31636</v>
      </c>
      <c r="B19375" t="s">
        <v>4307</v>
      </c>
      <c r="C19375" t="s">
        <v>383</v>
      </c>
      <c r="D19375" t="s">
        <v>52</v>
      </c>
      <c r="E19375" t="s">
        <v>241</v>
      </c>
      <c r="F19375" s="2" t="str">
        <f>HYPERLINK("http://www.otzar.org/book.asp?50690","כתבי הסבא מקלם - 6 כר'")</f>
        <v>כתבי הסבא מקלם - 6 כר'</v>
      </c>
    </row>
    <row r="19376" spans="1:6" x14ac:dyDescent="0.2">
      <c r="A19376" t="s">
        <v>31637</v>
      </c>
      <c r="B19376" t="s">
        <v>31638</v>
      </c>
      <c r="C19376" t="s">
        <v>576</v>
      </c>
      <c r="D19376" t="s">
        <v>260</v>
      </c>
      <c r="E19376" t="s">
        <v>119</v>
      </c>
      <c r="F19376" s="2" t="str">
        <f>HYPERLINK("http://www.otzar.org/book.asp?179013","כתבי הסטוריה")</f>
        <v>כתבי הסטוריה</v>
      </c>
    </row>
    <row r="19377" spans="1:6" x14ac:dyDescent="0.2">
      <c r="A19377" t="s">
        <v>31639</v>
      </c>
      <c r="B19377" t="s">
        <v>31640</v>
      </c>
      <c r="C19377" t="s">
        <v>26</v>
      </c>
      <c r="D19377" t="s">
        <v>118</v>
      </c>
      <c r="E19377" t="s">
        <v>31641</v>
      </c>
      <c r="F19377" s="2" t="str">
        <f>HYPERLINK("http://www.otzar.org/book.asp?11571","כתבי העלוי מראקוב")</f>
        <v>כתבי העלוי מראקוב</v>
      </c>
    </row>
    <row r="19378" spans="1:6" x14ac:dyDescent="0.2">
      <c r="A19378" t="s">
        <v>31642</v>
      </c>
      <c r="B19378" t="s">
        <v>31643</v>
      </c>
      <c r="C19378" t="s">
        <v>334</v>
      </c>
      <c r="D19378" t="s">
        <v>14</v>
      </c>
      <c r="E19378" t="s">
        <v>399</v>
      </c>
      <c r="F19378" s="2" t="str">
        <f>HYPERLINK("http://www.otzar.org/book.asp?153557","כתבי הקבלה שלרמח""ל")</f>
        <v>כתבי הקבלה שלרמח"ל</v>
      </c>
    </row>
    <row r="19379" spans="1:6" x14ac:dyDescent="0.2">
      <c r="A19379" t="s">
        <v>31644</v>
      </c>
      <c r="B19379" t="s">
        <v>31645</v>
      </c>
      <c r="C19379" t="s">
        <v>775</v>
      </c>
      <c r="D19379" t="s">
        <v>52</v>
      </c>
      <c r="E19379" t="s">
        <v>172</v>
      </c>
      <c r="F19379" s="2" t="str">
        <f>HYPERLINK("http://www.otzar.org/book.asp?616010","כתבי הקדוש")</f>
        <v>כתבי הקדוש</v>
      </c>
    </row>
    <row r="19380" spans="1:6" x14ac:dyDescent="0.2">
      <c r="A19380" t="s">
        <v>31646</v>
      </c>
      <c r="B19380" t="s">
        <v>1363</v>
      </c>
      <c r="C19380" t="s">
        <v>79</v>
      </c>
      <c r="D19380" t="s">
        <v>14</v>
      </c>
      <c r="E19380" t="s">
        <v>104</v>
      </c>
      <c r="F19380" s="2" t="str">
        <f>HYPERLINK("http://www.otzar.org/book.asp?179109","כתבי הרב הירש - טבת שבט אדר")</f>
        <v>כתבי הרב הירש - טבת שבט אדר</v>
      </c>
    </row>
    <row r="19381" spans="1:6" x14ac:dyDescent="0.2">
      <c r="A19381" t="s">
        <v>31647</v>
      </c>
      <c r="B19381" t="s">
        <v>31648</v>
      </c>
      <c r="C19381" t="s">
        <v>985</v>
      </c>
      <c r="D19381" t="s">
        <v>27</v>
      </c>
      <c r="E19381" t="s">
        <v>104</v>
      </c>
      <c r="F19381" s="2" t="str">
        <f>HYPERLINK("http://www.otzar.org/book.asp?171570","כתבי הרב י. ל. הכהן פישמן")</f>
        <v>כתבי הרב י. ל. הכהן פישמן</v>
      </c>
    </row>
    <row r="19382" spans="1:6" x14ac:dyDescent="0.2">
      <c r="A19382" t="s">
        <v>31649</v>
      </c>
      <c r="B19382" t="s">
        <v>19669</v>
      </c>
      <c r="C19382" t="s">
        <v>1954</v>
      </c>
      <c r="D19382" t="s">
        <v>19410</v>
      </c>
      <c r="E19382" t="s">
        <v>15</v>
      </c>
      <c r="F19382" s="2" t="str">
        <f>HYPERLINK("http://www.otzar.org/book.asp?626379","כתבי הריטב""א")</f>
        <v>כתבי הריטב"א</v>
      </c>
    </row>
    <row r="19383" spans="1:6" x14ac:dyDescent="0.2">
      <c r="A19383" t="s">
        <v>31650</v>
      </c>
      <c r="B19383" t="s">
        <v>31651</v>
      </c>
      <c r="C19383" t="s">
        <v>143</v>
      </c>
      <c r="D19383" t="s">
        <v>52</v>
      </c>
      <c r="E19383" t="s">
        <v>1157</v>
      </c>
      <c r="F19383" s="2" t="str">
        <f>HYPERLINK("http://www.otzar.org/book.asp?61617","כתבי וחידושי הגאון רבי יעקב שור")</f>
        <v>כתבי וחידושי הגאון רבי יעקב שור</v>
      </c>
    </row>
    <row r="19384" spans="1:6" x14ac:dyDescent="0.2">
      <c r="A19384" t="s">
        <v>31652</v>
      </c>
      <c r="B19384" t="s">
        <v>31653</v>
      </c>
      <c r="C19384" t="s">
        <v>68</v>
      </c>
      <c r="D19384" t="s">
        <v>14</v>
      </c>
      <c r="E19384" t="s">
        <v>31654</v>
      </c>
      <c r="F19384" s="2" t="str">
        <f>HYPERLINK("http://www.otzar.org/book.asp?159092","כתבי וחכמי תלמסאן")</f>
        <v>כתבי וחכמי תלמסאן</v>
      </c>
    </row>
    <row r="19385" spans="1:6" x14ac:dyDescent="0.2">
      <c r="A19385" t="s">
        <v>31655</v>
      </c>
      <c r="B19385" t="s">
        <v>31656</v>
      </c>
      <c r="C19385" t="s">
        <v>366</v>
      </c>
      <c r="D19385" t="s">
        <v>412</v>
      </c>
      <c r="E19385" t="s">
        <v>2071</v>
      </c>
      <c r="F19385" s="2" t="str">
        <f>HYPERLINK("http://www.otzar.org/book.asp?604553","כתבי חיים - 3 כר'")</f>
        <v>כתבי חיים - 3 כר'</v>
      </c>
    </row>
    <row r="19386" spans="1:6" x14ac:dyDescent="0.2">
      <c r="A19386" t="s">
        <v>31657</v>
      </c>
      <c r="B19386" t="s">
        <v>31658</v>
      </c>
      <c r="C19386" t="s">
        <v>523</v>
      </c>
      <c r="D19386" t="s">
        <v>21</v>
      </c>
      <c r="E19386" t="s">
        <v>140</v>
      </c>
      <c r="F19386" s="2" t="str">
        <f>HYPERLINK("http://www.otzar.org/book.asp?605317","כתבי חסידים ראשונים לבית רוזין")</f>
        <v>כתבי חסידים ראשונים לבית רוזין</v>
      </c>
    </row>
    <row r="19387" spans="1:6" x14ac:dyDescent="0.2">
      <c r="A19387" t="s">
        <v>31659</v>
      </c>
      <c r="B19387" t="s">
        <v>31660</v>
      </c>
      <c r="C19387" t="s">
        <v>189</v>
      </c>
      <c r="D19387" t="s">
        <v>2468</v>
      </c>
      <c r="E19387" t="s">
        <v>31661</v>
      </c>
      <c r="F19387" s="2" t="str">
        <f>HYPERLINK("http://www.otzar.org/book.asp?60345","כתבי י""ד")</f>
        <v>כתבי י"ד</v>
      </c>
    </row>
    <row r="19388" spans="1:6" x14ac:dyDescent="0.2">
      <c r="A19388" t="s">
        <v>31662</v>
      </c>
      <c r="B19388" t="s">
        <v>31663</v>
      </c>
      <c r="C19388" t="s">
        <v>168</v>
      </c>
      <c r="D19388" t="s">
        <v>14</v>
      </c>
      <c r="F19388" s="2" t="str">
        <f>HYPERLINK("http://www.otzar.org/book.asp?622320","כתבי יד ודפוסים נבחרים מאוצרות בית הספרים הלאומי")</f>
        <v>כתבי יד ודפוסים נבחרים מאוצרות בית הספרים הלאומי</v>
      </c>
    </row>
    <row r="19389" spans="1:6" x14ac:dyDescent="0.2">
      <c r="A19389" t="s">
        <v>31664</v>
      </c>
      <c r="B19389" t="s">
        <v>31663</v>
      </c>
      <c r="C19389" t="s">
        <v>168</v>
      </c>
      <c r="D19389" t="s">
        <v>14</v>
      </c>
      <c r="E19389" t="s">
        <v>104</v>
      </c>
      <c r="F19389" s="2" t="str">
        <f>HYPERLINK("http://www.otzar.org/book.asp?176024","כתבי יד עבריים מאוצרות ספריית הפאלאטינה בפארמא")</f>
        <v>כתבי יד עבריים מאוצרות ספריית הפאלאטינה בפארמא</v>
      </c>
    </row>
    <row r="19390" spans="1:6" x14ac:dyDescent="0.2">
      <c r="A19390" t="s">
        <v>31665</v>
      </c>
      <c r="B19390" t="s">
        <v>1320</v>
      </c>
      <c r="C19390" t="s">
        <v>1163</v>
      </c>
      <c r="D19390" t="s">
        <v>1163</v>
      </c>
      <c r="F19390" s="2" t="str">
        <f>HYPERLINK("http://www.otzar.org/book.asp?142241","כתבי יד של הרמב""ם - 6 כר'")</f>
        <v>כתבי יד של הרמב"ם - 6 כר'</v>
      </c>
    </row>
    <row r="19391" spans="1:6" x14ac:dyDescent="0.2">
      <c r="A19391" t="s">
        <v>31666</v>
      </c>
      <c r="B19391" t="s">
        <v>31667</v>
      </c>
      <c r="C19391" t="s">
        <v>1570</v>
      </c>
      <c r="D19391" t="s">
        <v>14</v>
      </c>
      <c r="E19391" t="s">
        <v>144</v>
      </c>
      <c r="F19391" s="2" t="str">
        <f>HYPERLINK("http://www.otzar.org/book.asp?176719","כתבי יד של התלמוד הבבלי")</f>
        <v>כתבי יד של התלמוד הבבלי</v>
      </c>
    </row>
    <row r="19392" spans="1:6" x14ac:dyDescent="0.2">
      <c r="A19392" t="s">
        <v>31668</v>
      </c>
      <c r="B19392" t="s">
        <v>31669</v>
      </c>
      <c r="C19392" t="s">
        <v>31670</v>
      </c>
      <c r="D19392" t="s">
        <v>280</v>
      </c>
      <c r="E19392" t="s">
        <v>104</v>
      </c>
      <c r="F19392" s="2" t="str">
        <f>HYPERLINK("http://www.otzar.org/book.asp?52496","כתבי יד")</f>
        <v>כתבי יד</v>
      </c>
    </row>
    <row r="19393" spans="1:6" x14ac:dyDescent="0.2">
      <c r="A19393" t="s">
        <v>31671</v>
      </c>
      <c r="B19393" t="s">
        <v>31672</v>
      </c>
      <c r="C19393" t="s">
        <v>908</v>
      </c>
      <c r="D19393" t="s">
        <v>27</v>
      </c>
      <c r="E19393" t="s">
        <v>104</v>
      </c>
      <c r="F19393" s="2" t="str">
        <f>HYPERLINK("http://www.otzar.org/book.asp?181059","כתבי יצחק יפה")</f>
        <v>כתבי יצחק יפה</v>
      </c>
    </row>
    <row r="19394" spans="1:6" x14ac:dyDescent="0.2">
      <c r="A19394" t="s">
        <v>31673</v>
      </c>
      <c r="B19394" t="s">
        <v>12828</v>
      </c>
      <c r="C19394" t="s">
        <v>111</v>
      </c>
      <c r="D19394" t="s">
        <v>14</v>
      </c>
      <c r="E19394" t="s">
        <v>213</v>
      </c>
      <c r="F19394" s="2" t="str">
        <f>HYPERLINK("http://www.otzar.org/book.asp?623198","כתבי מא""ה")</f>
        <v>כתבי מא"ה</v>
      </c>
    </row>
    <row r="19395" spans="1:6" x14ac:dyDescent="0.2">
      <c r="A19395" t="s">
        <v>31674</v>
      </c>
      <c r="B19395" t="s">
        <v>31675</v>
      </c>
      <c r="C19395" t="s">
        <v>609</v>
      </c>
      <c r="D19395" t="s">
        <v>9</v>
      </c>
      <c r="E19395" t="s">
        <v>733</v>
      </c>
      <c r="F19395" s="2" t="str">
        <f>HYPERLINK("http://www.otzar.org/book.asp?51495","כתבי מאסליאנסקי - ב")</f>
        <v>כתבי מאסליאנסקי - ב</v>
      </c>
    </row>
    <row r="19396" spans="1:6" x14ac:dyDescent="0.2">
      <c r="A19396" t="s">
        <v>31676</v>
      </c>
      <c r="B19396" t="s">
        <v>31677</v>
      </c>
      <c r="C19396" t="s">
        <v>13</v>
      </c>
      <c r="D19396" t="s">
        <v>14</v>
      </c>
      <c r="E19396" t="s">
        <v>2775</v>
      </c>
      <c r="F19396" s="2" t="str">
        <f>HYPERLINK("http://www.otzar.org/book.asp?180960","כתבי מהר""ם איררה")</f>
        <v>כתבי מהר"ם איררה</v>
      </c>
    </row>
    <row r="19397" spans="1:6" x14ac:dyDescent="0.2">
      <c r="A19397" t="s">
        <v>31678</v>
      </c>
      <c r="B19397" t="s">
        <v>31679</v>
      </c>
      <c r="C19397" t="s">
        <v>360</v>
      </c>
      <c r="D19397" t="s">
        <v>3627</v>
      </c>
      <c r="E19397" t="s">
        <v>5712</v>
      </c>
      <c r="F19397" s="2" t="str">
        <f>HYPERLINK("http://www.otzar.org/book.asp?161093","כתבי מהרי""ח")</f>
        <v>כתבי מהרי"ח</v>
      </c>
    </row>
    <row r="19398" spans="1:6" x14ac:dyDescent="0.2">
      <c r="A19398" t="s">
        <v>31680</v>
      </c>
      <c r="B19398" t="s">
        <v>2571</v>
      </c>
      <c r="C19398" t="s">
        <v>454</v>
      </c>
      <c r="D19398" t="s">
        <v>14</v>
      </c>
      <c r="E19398" t="s">
        <v>172</v>
      </c>
      <c r="F19398" s="2" t="str">
        <f>HYPERLINK("http://www.otzar.org/book.asp?149491","כתבי מהרי""ל דיסקין (או""ח)")</f>
        <v>כתבי מהרי"ל דיסקין (או"ח)</v>
      </c>
    </row>
    <row r="19399" spans="1:6" x14ac:dyDescent="0.2">
      <c r="A19399" t="s">
        <v>31681</v>
      </c>
      <c r="B19399" t="s">
        <v>25601</v>
      </c>
      <c r="C19399" t="s">
        <v>888</v>
      </c>
      <c r="D19399" t="s">
        <v>3627</v>
      </c>
      <c r="E19399" t="s">
        <v>920</v>
      </c>
      <c r="F19399" s="2" t="str">
        <f>HYPERLINK("http://www.otzar.org/book.asp?9372","כתבי מהרש""ג")</f>
        <v>כתבי מהרש"ג</v>
      </c>
    </row>
    <row r="19400" spans="1:6" x14ac:dyDescent="0.2">
      <c r="A19400" t="s">
        <v>31682</v>
      </c>
      <c r="B19400" t="s">
        <v>31683</v>
      </c>
      <c r="C19400" t="s">
        <v>576</v>
      </c>
      <c r="D19400" t="s">
        <v>27</v>
      </c>
      <c r="E19400" t="s">
        <v>2088</v>
      </c>
      <c r="F19400" s="2" t="str">
        <f>HYPERLINK("http://www.otzar.org/book.asp?104026","כתבי מכון הערי פישעל &lt;ראשונים למו""ק&gt;")</f>
        <v>כתבי מכון הערי פישעל &lt;ראשונים למו"ק&gt;</v>
      </c>
    </row>
    <row r="19401" spans="1:6" x14ac:dyDescent="0.2">
      <c r="A19401" t="s">
        <v>31684</v>
      </c>
      <c r="B19401" t="s">
        <v>31685</v>
      </c>
      <c r="C19401" t="s">
        <v>31686</v>
      </c>
      <c r="D19401" t="s">
        <v>27</v>
      </c>
      <c r="E19401" t="s">
        <v>104</v>
      </c>
      <c r="F19401" s="2" t="str">
        <f>HYPERLINK("http://www.otzar.org/book.asp?176858","כתבי מנחם מבש""ן")</f>
        <v>כתבי מנחם מבש"ן</v>
      </c>
    </row>
    <row r="19402" spans="1:6" x14ac:dyDescent="0.2">
      <c r="A19402" t="s">
        <v>31687</v>
      </c>
      <c r="B19402" t="s">
        <v>31688</v>
      </c>
      <c r="C19402" t="s">
        <v>111</v>
      </c>
      <c r="D19402" t="s">
        <v>2531</v>
      </c>
      <c r="E19402" t="s">
        <v>172</v>
      </c>
      <c r="F19402" s="2" t="str">
        <f>HYPERLINK("http://www.otzar.org/book.asp?629605","כתבי מרדכי - 4 כר'")</f>
        <v>כתבי מרדכי - 4 כר'</v>
      </c>
    </row>
    <row r="19403" spans="1:6" x14ac:dyDescent="0.2">
      <c r="A19403" t="s">
        <v>31689</v>
      </c>
      <c r="B19403" t="s">
        <v>31690</v>
      </c>
      <c r="C19403" t="s">
        <v>313</v>
      </c>
      <c r="D19403" t="s">
        <v>412</v>
      </c>
      <c r="E19403" t="s">
        <v>8551</v>
      </c>
      <c r="F19403" s="2" t="str">
        <f>HYPERLINK("http://www.otzar.org/book.asp?141776","כתבי משה")</f>
        <v>כתבי משה</v>
      </c>
    </row>
    <row r="19404" spans="1:6" x14ac:dyDescent="0.2">
      <c r="A19404" t="s">
        <v>31691</v>
      </c>
      <c r="B19404" t="s">
        <v>31692</v>
      </c>
      <c r="C19404" t="s">
        <v>454</v>
      </c>
      <c r="D19404" t="s">
        <v>14</v>
      </c>
      <c r="E19404" t="s">
        <v>579</v>
      </c>
      <c r="F19404" s="2" t="str">
        <f>HYPERLINK("http://www.otzar.org/book.asp?159108","כתבי פז")</f>
        <v>כתבי פז</v>
      </c>
    </row>
    <row r="19405" spans="1:6" x14ac:dyDescent="0.2">
      <c r="A19405" t="s">
        <v>31693</v>
      </c>
      <c r="B19405" t="s">
        <v>3484</v>
      </c>
      <c r="C19405" t="s">
        <v>129</v>
      </c>
      <c r="D19405" t="s">
        <v>14</v>
      </c>
      <c r="E19405" t="s">
        <v>399</v>
      </c>
      <c r="F19405" s="2" t="str">
        <f>HYPERLINK("http://www.otzar.org/book.asp?60403","כתבי קבלה לבעל התוספות יו""ט")</f>
        <v>כתבי קבלה לבעל התוספות יו"ט</v>
      </c>
    </row>
    <row r="19406" spans="1:6" x14ac:dyDescent="0.2">
      <c r="A19406" t="s">
        <v>31694</v>
      </c>
      <c r="B19406" t="s">
        <v>31695</v>
      </c>
      <c r="C19406" t="s">
        <v>31696</v>
      </c>
      <c r="D19406" t="s">
        <v>283</v>
      </c>
      <c r="E19406" t="s">
        <v>158</v>
      </c>
      <c r="F19406" s="2" t="str">
        <f>HYPERLINK("http://www.otzar.org/book.asp?148835","כתבי קדש עשרים וארבעה - ב")</f>
        <v>כתבי קדש עשרים וארבעה - ב</v>
      </c>
    </row>
    <row r="19407" spans="1:6" x14ac:dyDescent="0.2">
      <c r="A19407" t="s">
        <v>31697</v>
      </c>
      <c r="B19407" t="s">
        <v>5355</v>
      </c>
      <c r="C19407" t="s">
        <v>624</v>
      </c>
      <c r="D19407" t="s">
        <v>52</v>
      </c>
      <c r="E19407" t="s">
        <v>786</v>
      </c>
      <c r="F19407" s="2" t="str">
        <f>HYPERLINK("http://www.otzar.org/book.asp?26371","כתבי קהלות יעקב החדשים - 5 כר'")</f>
        <v>כתבי קהלות יעקב החדשים - 5 כר'</v>
      </c>
    </row>
    <row r="19408" spans="1:6" x14ac:dyDescent="0.2">
      <c r="A19408" t="s">
        <v>31698</v>
      </c>
      <c r="B19408" t="s">
        <v>31699</v>
      </c>
      <c r="C19408" t="s">
        <v>31700</v>
      </c>
      <c r="D19408" t="s">
        <v>21010</v>
      </c>
      <c r="F19408" s="2" t="str">
        <f>HYPERLINK("http://www.otzar.org/book.asp?611728","כתבי קודש ומליצות")</f>
        <v>כתבי קודש ומליצות</v>
      </c>
    </row>
    <row r="19409" spans="1:6" x14ac:dyDescent="0.2">
      <c r="A19409" t="s">
        <v>31701</v>
      </c>
      <c r="B19409" t="s">
        <v>31702</v>
      </c>
      <c r="C19409" t="s">
        <v>503</v>
      </c>
      <c r="D19409" t="s">
        <v>283</v>
      </c>
      <c r="F19409" s="2" t="str">
        <f>HYPERLINK("http://www.otzar.org/book.asp?156083","כתבי קודש מחכמי אמת")</f>
        <v>כתבי קודש מחכמי אמת</v>
      </c>
    </row>
    <row r="19410" spans="1:6" x14ac:dyDescent="0.2">
      <c r="A19410" t="s">
        <v>29243</v>
      </c>
      <c r="B19410" t="s">
        <v>25352</v>
      </c>
      <c r="C19410" t="s">
        <v>99</v>
      </c>
      <c r="D19410" t="s">
        <v>283</v>
      </c>
      <c r="E19410" t="s">
        <v>20725</v>
      </c>
      <c r="F19410" s="2" t="str">
        <f>HYPERLINK("http://www.otzar.org/book.asp?12916","כתבי קודש")</f>
        <v>כתבי קודש</v>
      </c>
    </row>
    <row r="19411" spans="1:6" x14ac:dyDescent="0.2">
      <c r="A19411" t="s">
        <v>31703</v>
      </c>
      <c r="B19411" t="s">
        <v>31703</v>
      </c>
      <c r="C19411" t="s">
        <v>20</v>
      </c>
      <c r="D19411" t="s">
        <v>14</v>
      </c>
      <c r="E19411" t="s">
        <v>119</v>
      </c>
      <c r="F19411" s="2" t="str">
        <f>HYPERLINK("http://www.otzar.org/book.asp?149156","כתבי ר' יאשע שו""ב")</f>
        <v>כתבי ר' יאשע שו"ב</v>
      </c>
    </row>
    <row r="19412" spans="1:6" x14ac:dyDescent="0.2">
      <c r="A19412" t="s">
        <v>31704</v>
      </c>
      <c r="B19412" t="s">
        <v>31705</v>
      </c>
      <c r="C19412" t="s">
        <v>624</v>
      </c>
      <c r="D19412" t="s">
        <v>52</v>
      </c>
      <c r="E19412" t="s">
        <v>4260</v>
      </c>
      <c r="F19412" s="2" t="str">
        <f>HYPERLINK("http://www.otzar.org/book.asp?147935","כתבי רבי אח""ה - 2 כר'")</f>
        <v>כתבי רבי אח"ה - 2 כר'</v>
      </c>
    </row>
    <row r="19413" spans="1:6" x14ac:dyDescent="0.2">
      <c r="A19413" t="s">
        <v>31706</v>
      </c>
      <c r="B19413" t="s">
        <v>31707</v>
      </c>
      <c r="C19413" t="s">
        <v>51</v>
      </c>
      <c r="D19413" t="s">
        <v>52</v>
      </c>
      <c r="E19413" t="s">
        <v>10678</v>
      </c>
      <c r="F19413" s="2" t="str">
        <f>HYPERLINK("http://www.otzar.org/book.asp?107213","כתבי רבי יחיאל - 2 כר'")</f>
        <v>כתבי רבי יחיאל - 2 כר'</v>
      </c>
    </row>
    <row r="19414" spans="1:6" x14ac:dyDescent="0.2">
      <c r="A19414" t="s">
        <v>31708</v>
      </c>
      <c r="B19414" t="s">
        <v>31709</v>
      </c>
      <c r="C19414" t="s">
        <v>20</v>
      </c>
      <c r="D19414" t="s">
        <v>14</v>
      </c>
      <c r="E19414" t="s">
        <v>517</v>
      </c>
      <c r="F19414" s="2" t="str">
        <f>HYPERLINK("http://www.otzar.org/book.asp?12821","כתבי רבי יעקב עמדין ביבליוגראפיה")</f>
        <v>כתבי רבי יעקב עמדין ביבליוגראפיה</v>
      </c>
    </row>
    <row r="19415" spans="1:6" x14ac:dyDescent="0.2">
      <c r="A19415" t="s">
        <v>31710</v>
      </c>
      <c r="B19415" t="s">
        <v>25700</v>
      </c>
      <c r="C19415" t="s">
        <v>133</v>
      </c>
      <c r="D19415" t="s">
        <v>412</v>
      </c>
      <c r="E19415" t="s">
        <v>733</v>
      </c>
      <c r="F19415" s="2" t="str">
        <f>HYPERLINK("http://www.otzar.org/book.asp?180936","כתבי רבי מענדיל")</f>
        <v>כתבי רבי מענדיל</v>
      </c>
    </row>
    <row r="19416" spans="1:6" x14ac:dyDescent="0.2">
      <c r="A19416" t="s">
        <v>31711</v>
      </c>
      <c r="B19416" t="s">
        <v>24655</v>
      </c>
      <c r="C19416" t="s">
        <v>533</v>
      </c>
      <c r="D19416" t="s">
        <v>27</v>
      </c>
      <c r="F19416" s="2" t="str">
        <f>HYPERLINK("http://www.otzar.org/book.asp?611071","כתבי רבי משה בלוי")</f>
        <v>כתבי רבי משה בלוי</v>
      </c>
    </row>
    <row r="19417" spans="1:6" x14ac:dyDescent="0.2">
      <c r="A19417" t="s">
        <v>31712</v>
      </c>
      <c r="B19417" t="s">
        <v>26306</v>
      </c>
      <c r="C19417" t="s">
        <v>3840</v>
      </c>
      <c r="D19417" t="s">
        <v>27</v>
      </c>
      <c r="E19417" t="s">
        <v>1438</v>
      </c>
      <c r="F19417" s="2" t="str">
        <f>HYPERLINK("http://www.otzar.org/book.asp?12713","כתבי רבי משה חיים לוצאטו")</f>
        <v>כתבי רבי משה חיים לוצאטו</v>
      </c>
    </row>
    <row r="19418" spans="1:6" x14ac:dyDescent="0.2">
      <c r="A19418" t="s">
        <v>31713</v>
      </c>
      <c r="B19418" t="s">
        <v>31714</v>
      </c>
      <c r="C19418" t="s">
        <v>1156</v>
      </c>
      <c r="D19418" t="s">
        <v>454</v>
      </c>
      <c r="E19418" t="s">
        <v>15</v>
      </c>
      <c r="F19418" s="2" t="str">
        <f>HYPERLINK("http://www.otzar.org/book.asp?619946","כתבי רבי שמואל אדוני - 3 כר'")</f>
        <v>כתבי רבי שמואל אדוני - 3 כר'</v>
      </c>
    </row>
    <row r="19419" spans="1:6" x14ac:dyDescent="0.2">
      <c r="A19419" t="s">
        <v>31715</v>
      </c>
      <c r="B19419" t="s">
        <v>31716</v>
      </c>
      <c r="C19419" t="s">
        <v>176</v>
      </c>
      <c r="D19419" t="s">
        <v>14</v>
      </c>
      <c r="E19419" t="s">
        <v>15</v>
      </c>
      <c r="F19419" s="2" t="str">
        <f>HYPERLINK("http://www.otzar.org/book.asp?618404","כתבי רבינו חיים הכהן מארם צובה - 3 כר'")</f>
        <v>כתבי רבינו חיים הכהן מארם צובה - 3 כר'</v>
      </c>
    </row>
    <row r="19420" spans="1:6" x14ac:dyDescent="0.2">
      <c r="A19420" t="s">
        <v>31717</v>
      </c>
      <c r="B19420" t="s">
        <v>18364</v>
      </c>
      <c r="C19420" t="s">
        <v>383</v>
      </c>
      <c r="D19420" t="s">
        <v>118</v>
      </c>
      <c r="E19420" t="s">
        <v>31718</v>
      </c>
      <c r="F19420" s="2" t="str">
        <f>HYPERLINK("http://www.otzar.org/book.asp?9698","כתבי רבינו יצחק דב הלוי מווירצבורג - 2 כר'")</f>
        <v>כתבי רבינו יצחק דב הלוי מווירצבורג - 2 כר'</v>
      </c>
    </row>
    <row r="19421" spans="1:6" x14ac:dyDescent="0.2">
      <c r="A19421" t="s">
        <v>31719</v>
      </c>
      <c r="B19421" t="s">
        <v>23938</v>
      </c>
      <c r="C19421" t="s">
        <v>244</v>
      </c>
      <c r="D19421" t="s">
        <v>52</v>
      </c>
      <c r="F19421" s="2" t="str">
        <f>HYPERLINK("http://www.otzar.org/book.asp?616255","כתבי שיעורי הגאון רבי שמואל רוזובסקי - נדרים")</f>
        <v>כתבי שיעורי הגאון רבי שמואל רוזובסקי - נדרים</v>
      </c>
    </row>
    <row r="19422" spans="1:6" x14ac:dyDescent="0.2">
      <c r="A19422" t="s">
        <v>31720</v>
      </c>
      <c r="B19422" t="s">
        <v>6297</v>
      </c>
      <c r="C19422" t="s">
        <v>2543</v>
      </c>
      <c r="D19422" t="s">
        <v>1117</v>
      </c>
      <c r="E19422" t="s">
        <v>104</v>
      </c>
      <c r="F19422" s="2" t="str">
        <f>HYPERLINK("http://www.otzar.org/book.asp?175757","כתבי שמואל")</f>
        <v>כתבי שמואל</v>
      </c>
    </row>
    <row r="19423" spans="1:6" x14ac:dyDescent="0.2">
      <c r="A19423" t="s">
        <v>31721</v>
      </c>
      <c r="B19423" t="s">
        <v>31722</v>
      </c>
      <c r="C19423" t="s">
        <v>854</v>
      </c>
      <c r="D19423" t="s">
        <v>31723</v>
      </c>
      <c r="E19423" t="s">
        <v>119</v>
      </c>
      <c r="F19423" s="2" t="str">
        <f>HYPERLINK("http://www.otzar.org/book.asp?151965","כתבים בספר")</f>
        <v>כתבים בספר</v>
      </c>
    </row>
    <row r="19424" spans="1:6" x14ac:dyDescent="0.2">
      <c r="A19424" t="s">
        <v>31724</v>
      </c>
      <c r="B19424" t="s">
        <v>31725</v>
      </c>
      <c r="C19424" t="s">
        <v>160</v>
      </c>
      <c r="D19424" t="s">
        <v>260</v>
      </c>
      <c r="E19424" t="s">
        <v>241</v>
      </c>
      <c r="F19424" s="2" t="str">
        <f>HYPERLINK("http://www.otzar.org/book.asp?159243","כתבים לבת ישראל")</f>
        <v>כתבים לבת ישראל</v>
      </c>
    </row>
    <row r="19425" spans="1:6" x14ac:dyDescent="0.2">
      <c r="A19425" t="s">
        <v>31726</v>
      </c>
      <c r="B19425" t="s">
        <v>31727</v>
      </c>
      <c r="C19425" t="s">
        <v>244</v>
      </c>
      <c r="D19425" t="s">
        <v>21</v>
      </c>
      <c r="E19425" t="s">
        <v>119</v>
      </c>
      <c r="F19425" s="2" t="str">
        <f>HYPERLINK("http://www.otzar.org/book.asp?601136","כתבים מימי השואה")</f>
        <v>כתבים מימי השואה</v>
      </c>
    </row>
    <row r="19426" spans="1:6" x14ac:dyDescent="0.2">
      <c r="A19426" t="s">
        <v>31728</v>
      </c>
      <c r="B19426" t="s">
        <v>31729</v>
      </c>
      <c r="C19426" t="s">
        <v>2008</v>
      </c>
      <c r="D19426" t="s">
        <v>27</v>
      </c>
      <c r="E19426" t="s">
        <v>583</v>
      </c>
      <c r="F19426" s="2" t="str">
        <f>HYPERLINK("http://www.otzar.org/book.asp?13669","כתבים נבחרים")</f>
        <v>כתבים נבחרים</v>
      </c>
    </row>
    <row r="19427" spans="1:6" x14ac:dyDescent="0.2">
      <c r="A19427" t="s">
        <v>31728</v>
      </c>
      <c r="B19427" t="s">
        <v>16878</v>
      </c>
      <c r="C19427" t="s">
        <v>1246</v>
      </c>
      <c r="D19427" t="s">
        <v>260</v>
      </c>
      <c r="E19427" t="s">
        <v>583</v>
      </c>
      <c r="F19427" s="2" t="str">
        <f>HYPERLINK("http://www.otzar.org/book.asp?11946","כתבים נבחרים")</f>
        <v>כתבים נבחרים</v>
      </c>
    </row>
    <row r="19428" spans="1:6" x14ac:dyDescent="0.2">
      <c r="A19428" t="s">
        <v>31728</v>
      </c>
      <c r="B19428" t="s">
        <v>31730</v>
      </c>
      <c r="C19428" t="s">
        <v>2870</v>
      </c>
      <c r="D19428" t="s">
        <v>9</v>
      </c>
      <c r="E19428" t="s">
        <v>158</v>
      </c>
      <c r="F19428" s="2" t="str">
        <f>HYPERLINK("http://www.otzar.org/book.asp?168049","כתבים נבחרים")</f>
        <v>כתבים נבחרים</v>
      </c>
    </row>
    <row r="19429" spans="1:6" x14ac:dyDescent="0.2">
      <c r="A19429" t="s">
        <v>31731</v>
      </c>
      <c r="B19429" t="s">
        <v>31732</v>
      </c>
      <c r="C19429" t="s">
        <v>31733</v>
      </c>
      <c r="D19429" t="s">
        <v>27</v>
      </c>
      <c r="E19429" t="s">
        <v>733</v>
      </c>
      <c r="F19429" s="2" t="str">
        <f>HYPERLINK("http://www.otzar.org/book.asp?15583","כתבים נבחרים - 2 כר'")</f>
        <v>כתבים נבחרים - 2 כר'</v>
      </c>
    </row>
    <row r="19430" spans="1:6" x14ac:dyDescent="0.2">
      <c r="A19430" t="s">
        <v>31728</v>
      </c>
      <c r="B19430" t="s">
        <v>31734</v>
      </c>
      <c r="C19430" t="s">
        <v>1388</v>
      </c>
      <c r="D19430" t="s">
        <v>14</v>
      </c>
      <c r="E19430" t="s">
        <v>31735</v>
      </c>
      <c r="F19430" s="2" t="str">
        <f>HYPERLINK("http://www.otzar.org/book.asp?5048","כתבים נבחרים")</f>
        <v>כתבים נבחרים</v>
      </c>
    </row>
    <row r="19431" spans="1:6" x14ac:dyDescent="0.2">
      <c r="A19431" t="s">
        <v>31728</v>
      </c>
      <c r="B19431" t="s">
        <v>1230</v>
      </c>
      <c r="C19431" t="s">
        <v>581</v>
      </c>
      <c r="D19431" t="s">
        <v>9</v>
      </c>
      <c r="E19431" t="s">
        <v>241</v>
      </c>
      <c r="F19431" s="2" t="str">
        <f>HYPERLINK("http://www.otzar.org/book.asp?7145","כתבים נבחרים")</f>
        <v>כתבים נבחרים</v>
      </c>
    </row>
    <row r="19432" spans="1:6" x14ac:dyDescent="0.2">
      <c r="A19432" t="s">
        <v>31731</v>
      </c>
      <c r="B19432" t="s">
        <v>27064</v>
      </c>
      <c r="C19432" t="s">
        <v>2832</v>
      </c>
      <c r="D19432" t="s">
        <v>12967</v>
      </c>
      <c r="E19432" t="s">
        <v>104</v>
      </c>
      <c r="F19432" s="2" t="str">
        <f>HYPERLINK("http://www.otzar.org/book.asp?196358","כתבים נבחרים - 2 כר'")</f>
        <v>כתבים נבחרים - 2 כר'</v>
      </c>
    </row>
    <row r="19433" spans="1:6" x14ac:dyDescent="0.2">
      <c r="A19433" t="s">
        <v>31736</v>
      </c>
      <c r="B19433" t="s">
        <v>11507</v>
      </c>
      <c r="C19433" t="s">
        <v>442</v>
      </c>
      <c r="D19433" t="s">
        <v>260</v>
      </c>
      <c r="E19433" t="s">
        <v>104</v>
      </c>
      <c r="F19433" s="2" t="str">
        <f>HYPERLINK("http://www.otzar.org/book.asp?11406","כתבים")</f>
        <v>כתבים</v>
      </c>
    </row>
    <row r="19434" spans="1:6" x14ac:dyDescent="0.2">
      <c r="A19434" t="s">
        <v>31737</v>
      </c>
      <c r="B19434" t="s">
        <v>1306</v>
      </c>
      <c r="C19434" t="s">
        <v>180</v>
      </c>
      <c r="D19434" t="s">
        <v>14</v>
      </c>
      <c r="E19434" t="s">
        <v>803</v>
      </c>
      <c r="F19434" s="2" t="str">
        <f>HYPERLINK("http://www.otzar.org/book.asp?25861","כתבים - 3 כר'")</f>
        <v>כתבים - 3 כר'</v>
      </c>
    </row>
    <row r="19435" spans="1:6" x14ac:dyDescent="0.2">
      <c r="A19435" t="s">
        <v>31737</v>
      </c>
      <c r="B19435" t="s">
        <v>26733</v>
      </c>
      <c r="C19435" t="s">
        <v>785</v>
      </c>
      <c r="D19435" t="s">
        <v>14</v>
      </c>
      <c r="E19435" t="s">
        <v>733</v>
      </c>
      <c r="F19435" s="2" t="str">
        <f>HYPERLINK("http://www.otzar.org/book.asp?16982","כתבים - 3 כר'")</f>
        <v>כתבים - 3 כר'</v>
      </c>
    </row>
    <row r="19436" spans="1:6" x14ac:dyDescent="0.2">
      <c r="A19436" t="s">
        <v>31738</v>
      </c>
      <c r="B19436" t="s">
        <v>23984</v>
      </c>
      <c r="C19436" t="s">
        <v>989</v>
      </c>
      <c r="D19436" t="s">
        <v>52</v>
      </c>
      <c r="F19436" s="2" t="str">
        <f>HYPERLINK("http://www.otzar.org/book.asp?156261","כתבים - 2 כר'")</f>
        <v>כתבים - 2 כר'</v>
      </c>
    </row>
    <row r="19437" spans="1:6" x14ac:dyDescent="0.2">
      <c r="A19437" t="s">
        <v>31739</v>
      </c>
      <c r="B19437" t="s">
        <v>5634</v>
      </c>
      <c r="C19437" t="s">
        <v>114</v>
      </c>
      <c r="D19437" t="s">
        <v>52</v>
      </c>
      <c r="E19437" t="s">
        <v>213</v>
      </c>
      <c r="F19437" s="2" t="str">
        <f>HYPERLINK("http://www.otzar.org/book.asp?170945","כתבם על לוח")</f>
        <v>כתבם על לוח</v>
      </c>
    </row>
    <row r="19438" spans="1:6" x14ac:dyDescent="0.2">
      <c r="A19438" t="s">
        <v>31740</v>
      </c>
      <c r="B19438" t="s">
        <v>31741</v>
      </c>
      <c r="C19438" t="s">
        <v>896</v>
      </c>
      <c r="D19438" t="s">
        <v>1117</v>
      </c>
      <c r="E19438" t="s">
        <v>213</v>
      </c>
      <c r="F19438" s="2" t="str">
        <f>HYPERLINK("http://www.otzar.org/book.asp?140994","כתוב זאת זכרון בספר")</f>
        <v>כתוב זאת זכרון בספר</v>
      </c>
    </row>
    <row r="19439" spans="1:6" x14ac:dyDescent="0.2">
      <c r="A19439" t="s">
        <v>31740</v>
      </c>
      <c r="B19439" t="s">
        <v>31742</v>
      </c>
      <c r="C19439" t="s">
        <v>224</v>
      </c>
      <c r="D19439" t="s">
        <v>31743</v>
      </c>
      <c r="E19439" t="s">
        <v>241</v>
      </c>
      <c r="F19439" s="2" t="str">
        <f>HYPERLINK("http://www.otzar.org/book.asp?142485","כתוב זאת זכרון בספר")</f>
        <v>כתוב זאת זכרון בספר</v>
      </c>
    </row>
    <row r="19440" spans="1:6" x14ac:dyDescent="0.2">
      <c r="A19440" t="s">
        <v>31744</v>
      </c>
      <c r="B19440" t="s">
        <v>31745</v>
      </c>
      <c r="C19440" t="s">
        <v>946</v>
      </c>
      <c r="D19440" t="s">
        <v>1538</v>
      </c>
      <c r="F19440" s="2" t="str">
        <f>HYPERLINK("http://www.otzar.org/book.asp?152943","כתוב ישר דברי אמת ומשיב מלחמות שערה")</f>
        <v>כתוב ישר דברי אמת ומשיב מלחמות שערה</v>
      </c>
    </row>
    <row r="19441" spans="1:6" x14ac:dyDescent="0.2">
      <c r="A19441" t="s">
        <v>31746</v>
      </c>
      <c r="B19441" t="s">
        <v>31747</v>
      </c>
      <c r="C19441" t="s">
        <v>111</v>
      </c>
      <c r="D19441" t="s">
        <v>90</v>
      </c>
      <c r="E19441" t="s">
        <v>104</v>
      </c>
      <c r="F19441" s="2" t="str">
        <f>HYPERLINK("http://www.otzar.org/book.asp?627198","כתוב לאמר")</f>
        <v>כתוב לאמר</v>
      </c>
    </row>
    <row r="19442" spans="1:6" x14ac:dyDescent="0.2">
      <c r="A19442" t="s">
        <v>31748</v>
      </c>
      <c r="B19442" t="s">
        <v>31749</v>
      </c>
      <c r="C19442" t="s">
        <v>1278</v>
      </c>
      <c r="D19442" t="s">
        <v>56</v>
      </c>
      <c r="E19442" t="s">
        <v>15</v>
      </c>
      <c r="F19442" s="2" t="str">
        <f>HYPERLINK("http://www.otzar.org/book.asp?101241","כתוב לחיים")</f>
        <v>כתוב לחיים</v>
      </c>
    </row>
    <row r="19443" spans="1:6" x14ac:dyDescent="0.2">
      <c r="A19443" t="s">
        <v>31750</v>
      </c>
      <c r="B19443" t="s">
        <v>11501</v>
      </c>
      <c r="C19443" t="s">
        <v>454</v>
      </c>
      <c r="D19443" t="s">
        <v>52</v>
      </c>
      <c r="E19443" t="s">
        <v>15</v>
      </c>
      <c r="F19443" s="2" t="str">
        <f>HYPERLINK("http://www.otzar.org/book.asp?172169","כתוב שם &lt;מהדורת פריימן&gt;")</f>
        <v>כתוב שם &lt;מהדורת פריימן&gt;</v>
      </c>
    </row>
    <row r="19444" spans="1:6" x14ac:dyDescent="0.2">
      <c r="A19444" t="s">
        <v>31751</v>
      </c>
      <c r="B19444" t="s">
        <v>11501</v>
      </c>
      <c r="C19444" t="s">
        <v>427</v>
      </c>
      <c r="D19444" t="s">
        <v>14</v>
      </c>
      <c r="E19444" t="s">
        <v>29431</v>
      </c>
      <c r="F19444" s="2" t="str">
        <f>HYPERLINK("http://www.otzar.org/book.asp?11539","כתוב שם השלם")</f>
        <v>כתוב שם השלם</v>
      </c>
    </row>
    <row r="19445" spans="1:6" x14ac:dyDescent="0.2">
      <c r="A19445" t="s">
        <v>31752</v>
      </c>
      <c r="B19445" t="s">
        <v>11501</v>
      </c>
      <c r="C19445" t="s">
        <v>843</v>
      </c>
      <c r="D19445" t="s">
        <v>27</v>
      </c>
      <c r="E19445" t="s">
        <v>3387</v>
      </c>
      <c r="F19445" s="2" t="str">
        <f>HYPERLINK("http://www.otzar.org/book.asp?103853","כתוב שם - 2 כר'")</f>
        <v>כתוב שם - 2 כר'</v>
      </c>
    </row>
    <row r="19446" spans="1:6" x14ac:dyDescent="0.2">
      <c r="A19446" t="s">
        <v>31753</v>
      </c>
      <c r="B19446" t="s">
        <v>13438</v>
      </c>
      <c r="C19446" t="s">
        <v>767</v>
      </c>
      <c r="D19446" t="s">
        <v>52</v>
      </c>
      <c r="E19446" t="s">
        <v>15</v>
      </c>
      <c r="F19446" s="2" t="str">
        <f>HYPERLINK("http://www.otzar.org/book.asp?50480","כתובה כהלכתה")</f>
        <v>כתובה כהלכתה</v>
      </c>
    </row>
    <row r="19447" spans="1:6" x14ac:dyDescent="0.2">
      <c r="A19447" t="s">
        <v>31754</v>
      </c>
      <c r="B19447" t="s">
        <v>31754</v>
      </c>
      <c r="C19447" t="s">
        <v>20</v>
      </c>
      <c r="D19447" t="s">
        <v>52</v>
      </c>
      <c r="E19447" t="s">
        <v>674</v>
      </c>
      <c r="F19447" s="2" t="str">
        <f>HYPERLINK("http://www.otzar.org/book.asp?107460","כתובה נוסח תימן")</f>
        <v>כתובה נוסח תימן</v>
      </c>
    </row>
    <row r="19448" spans="1:6" x14ac:dyDescent="0.2">
      <c r="A19448" t="s">
        <v>31755</v>
      </c>
      <c r="B19448" t="s">
        <v>31756</v>
      </c>
      <c r="C19448" t="s">
        <v>366</v>
      </c>
      <c r="D19448" t="s">
        <v>4919</v>
      </c>
      <c r="E19448" t="s">
        <v>172</v>
      </c>
      <c r="F19448" s="2" t="str">
        <f>HYPERLINK("http://www.otzar.org/book.asp?605114","כתובים במשפט")</f>
        <v>כתובים במשפט</v>
      </c>
    </row>
    <row r="19449" spans="1:6" x14ac:dyDescent="0.2">
      <c r="A19449" t="s">
        <v>31757</v>
      </c>
      <c r="B19449" t="s">
        <v>31758</v>
      </c>
      <c r="C19449" t="s">
        <v>31759</v>
      </c>
      <c r="D19449" t="s">
        <v>340</v>
      </c>
      <c r="F19449" s="2" t="str">
        <f>HYPERLINK("http://www.otzar.org/book.asp?53612","כתובים עם פירוש רש""י ורלב""ג")</f>
        <v>כתובים עם פירוש רש"י ורלב"ג</v>
      </c>
    </row>
    <row r="19450" spans="1:6" x14ac:dyDescent="0.2">
      <c r="A19450" t="s">
        <v>31760</v>
      </c>
      <c r="B19450" t="s">
        <v>4840</v>
      </c>
      <c r="C19450" t="s">
        <v>2740</v>
      </c>
      <c r="D19450" t="s">
        <v>2740</v>
      </c>
      <c r="E19450" t="s">
        <v>579</v>
      </c>
      <c r="F19450" s="2" t="str">
        <f>HYPERLINK("http://www.otzar.org/book.asp?64235","כתובים עם תרגום ופירוש רס""ג &lt;כת""י בלשון ערב&gt;")</f>
        <v>כתובים עם תרגום ופירוש רס"ג &lt;כת"י בלשון ערב&gt;</v>
      </c>
    </row>
    <row r="19451" spans="1:6" x14ac:dyDescent="0.2">
      <c r="A19451" t="s">
        <v>31761</v>
      </c>
      <c r="B19451" t="s">
        <v>31762</v>
      </c>
      <c r="C19451" t="s">
        <v>237</v>
      </c>
      <c r="D19451" t="s">
        <v>646</v>
      </c>
      <c r="E19451" t="s">
        <v>158</v>
      </c>
      <c r="F19451" s="2" t="str">
        <f>HYPERLINK("http://www.otzar.org/book.asp?154221","כתובים")</f>
        <v>כתובים</v>
      </c>
    </row>
    <row r="19452" spans="1:6" x14ac:dyDescent="0.2">
      <c r="A19452" t="s">
        <v>31763</v>
      </c>
      <c r="B19452" t="s">
        <v>14671</v>
      </c>
      <c r="C19452" t="s">
        <v>31764</v>
      </c>
      <c r="D19452" t="s">
        <v>8830</v>
      </c>
      <c r="F19452" s="2" t="str">
        <f>HYPERLINK("http://www.otzar.org/book.asp?85907","כתונת יוסף - 5 כר'")</f>
        <v>כתונת יוסף - 5 כר'</v>
      </c>
    </row>
    <row r="19453" spans="1:6" x14ac:dyDescent="0.2">
      <c r="A19453" t="s">
        <v>31765</v>
      </c>
      <c r="B19453" t="s">
        <v>8808</v>
      </c>
      <c r="C19453" t="s">
        <v>13</v>
      </c>
      <c r="D19453" t="s">
        <v>3436</v>
      </c>
      <c r="E19453" t="s">
        <v>158</v>
      </c>
      <c r="F19453" s="2" t="str">
        <f>HYPERLINK("http://www.otzar.org/book.asp?189449","כתונת יוסף")</f>
        <v>כתונת יוסף</v>
      </c>
    </row>
    <row r="19454" spans="1:6" x14ac:dyDescent="0.2">
      <c r="A19454" t="s">
        <v>31765</v>
      </c>
      <c r="B19454" t="s">
        <v>31766</v>
      </c>
      <c r="C19454" t="s">
        <v>4114</v>
      </c>
      <c r="D19454" t="s">
        <v>76</v>
      </c>
      <c r="E19454" t="s">
        <v>31767</v>
      </c>
      <c r="F19454" s="2" t="str">
        <f>HYPERLINK("http://www.otzar.org/book.asp?101299","כתונת יוסף")</f>
        <v>כתונת יוסף</v>
      </c>
    </row>
    <row r="19455" spans="1:6" x14ac:dyDescent="0.2">
      <c r="A19455" t="s">
        <v>31765</v>
      </c>
      <c r="B19455" t="s">
        <v>552</v>
      </c>
      <c r="C19455" t="s">
        <v>17</v>
      </c>
      <c r="D19455" t="s">
        <v>412</v>
      </c>
      <c r="E19455" t="s">
        <v>202</v>
      </c>
      <c r="F19455" s="2" t="str">
        <f>HYPERLINK("http://www.otzar.org/book.asp?172281","כתונת יוסף")</f>
        <v>כתונת יוסף</v>
      </c>
    </row>
    <row r="19456" spans="1:6" x14ac:dyDescent="0.2">
      <c r="A19456" t="s">
        <v>31768</v>
      </c>
      <c r="B19456" t="s">
        <v>206</v>
      </c>
      <c r="C19456" t="s">
        <v>20</v>
      </c>
      <c r="D19456" t="s">
        <v>90</v>
      </c>
      <c r="E19456" t="s">
        <v>508</v>
      </c>
      <c r="F19456" s="2" t="str">
        <f>HYPERLINK("http://www.otzar.org/book.asp?50216","כתונת יוסף, וליוסף אמר")</f>
        <v>כתונת יוסף, וליוסף אמר</v>
      </c>
    </row>
    <row r="19457" spans="1:6" x14ac:dyDescent="0.2">
      <c r="A19457" t="s">
        <v>31769</v>
      </c>
      <c r="B19457" t="s">
        <v>10989</v>
      </c>
      <c r="C19457" t="s">
        <v>114</v>
      </c>
      <c r="D19457" t="s">
        <v>21</v>
      </c>
      <c r="E19457" t="s">
        <v>158</v>
      </c>
      <c r="F19457" s="2" t="str">
        <f>HYPERLINK("http://www.otzar.org/book.asp?191882","כתונת פסים &lt;מהדורה חדשה&gt;")</f>
        <v>כתונת פסים &lt;מהדורה חדשה&gt;</v>
      </c>
    </row>
    <row r="19458" spans="1:6" x14ac:dyDescent="0.2">
      <c r="A19458" t="s">
        <v>31770</v>
      </c>
      <c r="B19458" t="s">
        <v>13145</v>
      </c>
      <c r="C19458" t="s">
        <v>31771</v>
      </c>
      <c r="D19458" t="s">
        <v>726</v>
      </c>
      <c r="E19458" t="s">
        <v>1262</v>
      </c>
      <c r="F19458" s="2" t="str">
        <f>HYPERLINK("http://www.otzar.org/book.asp?146723","כתונת פסים")</f>
        <v>כתונת פסים</v>
      </c>
    </row>
    <row r="19459" spans="1:6" x14ac:dyDescent="0.2">
      <c r="A19459" t="s">
        <v>31770</v>
      </c>
      <c r="B19459" t="s">
        <v>31772</v>
      </c>
      <c r="C19459" t="s">
        <v>9998</v>
      </c>
      <c r="D19459" t="s">
        <v>726</v>
      </c>
      <c r="E19459" t="s">
        <v>467</v>
      </c>
      <c r="F19459" s="2" t="str">
        <f>HYPERLINK("http://www.otzar.org/book.asp?147286","כתונת פסים")</f>
        <v>כתונת פסים</v>
      </c>
    </row>
    <row r="19460" spans="1:6" x14ac:dyDescent="0.2">
      <c r="A19460" t="s">
        <v>31770</v>
      </c>
      <c r="B19460" t="s">
        <v>10989</v>
      </c>
      <c r="C19460" t="s">
        <v>550</v>
      </c>
      <c r="D19460" t="s">
        <v>267</v>
      </c>
      <c r="E19460" t="s">
        <v>140</v>
      </c>
      <c r="F19460" s="2" t="str">
        <f>HYPERLINK("http://www.otzar.org/book.asp?102245","כתונת פסים")</f>
        <v>כתונת פסים</v>
      </c>
    </row>
    <row r="19461" spans="1:6" x14ac:dyDescent="0.2">
      <c r="A19461" t="s">
        <v>31770</v>
      </c>
      <c r="B19461" t="s">
        <v>17891</v>
      </c>
      <c r="C19461" t="s">
        <v>1278</v>
      </c>
      <c r="D19461" t="s">
        <v>164</v>
      </c>
      <c r="E19461" t="s">
        <v>1211</v>
      </c>
      <c r="F19461" s="2" t="str">
        <f>HYPERLINK("http://www.otzar.org/book.asp?6448","כתונת פסים")</f>
        <v>כתונת פסים</v>
      </c>
    </row>
    <row r="19462" spans="1:6" x14ac:dyDescent="0.2">
      <c r="A19462" t="s">
        <v>31773</v>
      </c>
      <c r="B19462" t="s">
        <v>31774</v>
      </c>
      <c r="C19462" t="s">
        <v>103</v>
      </c>
      <c r="D19462" t="s">
        <v>14</v>
      </c>
      <c r="E19462" t="s">
        <v>786</v>
      </c>
      <c r="F19462" s="2" t="str">
        <f>HYPERLINK("http://www.otzar.org/book.asp?158620","כתועפות ראם")</f>
        <v>כתועפות ראם</v>
      </c>
    </row>
    <row r="19463" spans="1:6" x14ac:dyDescent="0.2">
      <c r="A19463" t="s">
        <v>31775</v>
      </c>
      <c r="B19463" t="s">
        <v>31638</v>
      </c>
      <c r="C19463" t="s">
        <v>248</v>
      </c>
      <c r="D19463" t="s">
        <v>4539</v>
      </c>
      <c r="E19463" t="s">
        <v>119</v>
      </c>
      <c r="F19463" s="2" t="str">
        <f>HYPERLINK("http://www.otzar.org/book.asp?102455","כתות מני קדם")</f>
        <v>כתות מני קדם</v>
      </c>
    </row>
    <row r="19464" spans="1:6" x14ac:dyDescent="0.2">
      <c r="A19464" t="s">
        <v>31776</v>
      </c>
      <c r="B19464" t="s">
        <v>206</v>
      </c>
      <c r="C19464" t="s">
        <v>114</v>
      </c>
      <c r="D19464" t="s">
        <v>657</v>
      </c>
      <c r="E19464" t="s">
        <v>148</v>
      </c>
      <c r="F19464" s="2" t="str">
        <f>HYPERLINK("http://www.otzar.org/book.asp?165023","כתיבה ברורה - כתיבת ספר תורה")</f>
        <v>כתיבה ברורה - כתיבת ספר תורה</v>
      </c>
    </row>
    <row r="19465" spans="1:6" x14ac:dyDescent="0.2">
      <c r="A19465" t="s">
        <v>31777</v>
      </c>
      <c r="B19465" t="s">
        <v>31778</v>
      </c>
      <c r="C19465" t="s">
        <v>146</v>
      </c>
      <c r="D19465" t="s">
        <v>1356</v>
      </c>
      <c r="E19465" t="s">
        <v>15</v>
      </c>
      <c r="F19465" s="2" t="str">
        <f>HYPERLINK("http://www.otzar.org/book.asp?52859","כתיבה כהלכתה")</f>
        <v>כתיבה כהלכתה</v>
      </c>
    </row>
    <row r="19466" spans="1:6" x14ac:dyDescent="0.2">
      <c r="A19466" t="s">
        <v>31779</v>
      </c>
      <c r="B19466" t="s">
        <v>31780</v>
      </c>
      <c r="C19466" t="s">
        <v>767</v>
      </c>
      <c r="D19466" t="s">
        <v>412</v>
      </c>
      <c r="E19466" t="s">
        <v>158</v>
      </c>
      <c r="F19466" s="2" t="str">
        <f>HYPERLINK("http://www.otzar.org/book.asp?23766","כתיבה לחיים")</f>
        <v>כתיבה לחיים</v>
      </c>
    </row>
    <row r="19467" spans="1:6" x14ac:dyDescent="0.2">
      <c r="A19467" t="s">
        <v>31781</v>
      </c>
      <c r="B19467" t="s">
        <v>2396</v>
      </c>
      <c r="C19467" t="s">
        <v>20</v>
      </c>
      <c r="D19467" t="s">
        <v>52</v>
      </c>
      <c r="E19467" t="s">
        <v>15</v>
      </c>
      <c r="F19467" s="2" t="str">
        <f>HYPERLINK("http://www.otzar.org/book.asp?148790","כתיבה תמה")</f>
        <v>כתיבה תמה</v>
      </c>
    </row>
    <row r="19468" spans="1:6" x14ac:dyDescent="0.2">
      <c r="A19468" t="s">
        <v>31782</v>
      </c>
      <c r="B19468" t="s">
        <v>31783</v>
      </c>
      <c r="C19468" t="s">
        <v>20</v>
      </c>
      <c r="D19468" t="s">
        <v>486</v>
      </c>
      <c r="E19468" t="s">
        <v>15</v>
      </c>
      <c r="F19468" s="2" t="str">
        <f>HYPERLINK("http://www.otzar.org/book.asp?602977","כתיבת סת""ם בקולמוס נירוסטה")</f>
        <v>כתיבת סת"ם בקולמוס נירוסטה</v>
      </c>
    </row>
    <row r="19469" spans="1:6" x14ac:dyDescent="0.2">
      <c r="A19469" t="s">
        <v>31784</v>
      </c>
      <c r="B19469" t="s">
        <v>998</v>
      </c>
      <c r="C19469" t="s">
        <v>129</v>
      </c>
      <c r="D19469" t="s">
        <v>14</v>
      </c>
      <c r="E19469" t="s">
        <v>15</v>
      </c>
      <c r="F19469" s="2" t="str">
        <f>HYPERLINK("http://www.otzar.org/book.asp?60210","כתיבת תורה")</f>
        <v>כתיבת תורה</v>
      </c>
    </row>
    <row r="19470" spans="1:6" x14ac:dyDescent="0.2">
      <c r="A19470" t="s">
        <v>31785</v>
      </c>
      <c r="B19470" t="s">
        <v>686</v>
      </c>
      <c r="C19470" t="s">
        <v>454</v>
      </c>
      <c r="D19470" t="s">
        <v>52</v>
      </c>
      <c r="E19470" t="s">
        <v>2840</v>
      </c>
      <c r="F19470" s="2" t="str">
        <f>HYPERLINK("http://www.otzar.org/book.asp?84401","כתית למאור")</f>
        <v>כתית למאור</v>
      </c>
    </row>
    <row r="19471" spans="1:6" x14ac:dyDescent="0.2">
      <c r="A19471" t="s">
        <v>31786</v>
      </c>
      <c r="B19471" t="s">
        <v>31787</v>
      </c>
      <c r="C19471" t="s">
        <v>244</v>
      </c>
      <c r="D19471" t="s">
        <v>657</v>
      </c>
      <c r="F19471" s="2" t="str">
        <f>HYPERLINK("http://www.otzar.org/book.asp?601111","כתית למאור - 3 כר'")</f>
        <v>כתית למאור - 3 כר'</v>
      </c>
    </row>
    <row r="19472" spans="1:6" x14ac:dyDescent="0.2">
      <c r="A19472" t="s">
        <v>31788</v>
      </c>
      <c r="B19472" t="s">
        <v>22906</v>
      </c>
      <c r="C19472" t="s">
        <v>244</v>
      </c>
      <c r="D19472" t="s">
        <v>14</v>
      </c>
      <c r="E19472" t="s">
        <v>144</v>
      </c>
      <c r="F19472" s="2" t="str">
        <f>HYPERLINK("http://www.otzar.org/book.asp?630545","כתית למאור - 9 כר'")</f>
        <v>כתית למאור - 9 כר'</v>
      </c>
    </row>
    <row r="19473" spans="1:6" x14ac:dyDescent="0.2">
      <c r="A19473" t="s">
        <v>31785</v>
      </c>
      <c r="B19473" t="s">
        <v>31789</v>
      </c>
      <c r="C19473" t="s">
        <v>4266</v>
      </c>
      <c r="D19473" t="s">
        <v>535</v>
      </c>
      <c r="E19473" t="s">
        <v>144</v>
      </c>
      <c r="F19473" s="2" t="str">
        <f>HYPERLINK("http://www.otzar.org/book.asp?23336","כתית למאור")</f>
        <v>כתית למאור</v>
      </c>
    </row>
    <row r="19474" spans="1:6" x14ac:dyDescent="0.2">
      <c r="A19474" t="s">
        <v>31790</v>
      </c>
      <c r="B19474" t="s">
        <v>5515</v>
      </c>
      <c r="C19474" t="s">
        <v>103</v>
      </c>
      <c r="D19474" t="s">
        <v>14</v>
      </c>
      <c r="E19474" t="s">
        <v>202</v>
      </c>
      <c r="F19474" s="2" t="str">
        <f>HYPERLINK("http://www.otzar.org/book.asp?84702","כתלי בית המדרש - 7 כר'")</f>
        <v>כתלי בית המדרש - 7 כר'</v>
      </c>
    </row>
    <row r="19475" spans="1:6" x14ac:dyDescent="0.2">
      <c r="A19475" t="s">
        <v>31791</v>
      </c>
      <c r="E19475" t="s">
        <v>186</v>
      </c>
      <c r="F19475" s="2" t="str">
        <f>HYPERLINK("http://www.otzar.org/book.asp?197752","כתלי היכל - בבא בתרא")</f>
        <v>כתלי היכל - בבא בתרא</v>
      </c>
    </row>
    <row r="19476" spans="1:6" x14ac:dyDescent="0.2">
      <c r="A19476" t="s">
        <v>31792</v>
      </c>
      <c r="B19476" t="s">
        <v>31793</v>
      </c>
      <c r="C19476" t="s">
        <v>366</v>
      </c>
      <c r="D19476" t="s">
        <v>14</v>
      </c>
      <c r="E19476" t="s">
        <v>202</v>
      </c>
      <c r="F19476" s="2" t="str">
        <f>HYPERLINK("http://www.otzar.org/book.asp?626736","כתלנו - ספר היובל")</f>
        <v>כתלנו - ספר היובל</v>
      </c>
    </row>
    <row r="19477" spans="1:6" x14ac:dyDescent="0.2">
      <c r="A19477" t="s">
        <v>31794</v>
      </c>
      <c r="B19477" t="s">
        <v>31795</v>
      </c>
      <c r="C19477" t="s">
        <v>103</v>
      </c>
      <c r="D19477" t="s">
        <v>14</v>
      </c>
      <c r="E19477" t="s">
        <v>202</v>
      </c>
      <c r="F19477" s="2" t="str">
        <f>HYPERLINK("http://www.otzar.org/book.asp?161906","כתלנו - 15 כר'")</f>
        <v>כתלנו - 15 כר'</v>
      </c>
    </row>
    <row r="19478" spans="1:6" x14ac:dyDescent="0.2">
      <c r="A19478" t="s">
        <v>31796</v>
      </c>
      <c r="B19478" t="s">
        <v>8308</v>
      </c>
      <c r="C19478" t="s">
        <v>129</v>
      </c>
      <c r="D19478" t="s">
        <v>14</v>
      </c>
      <c r="E19478" t="s">
        <v>158</v>
      </c>
      <c r="F19478" s="2" t="str">
        <f>HYPERLINK("http://www.otzar.org/book.asp?159084","כתם אופיר על מגילת אסתר")</f>
        <v>כתם אופיר על מגילת אסתר</v>
      </c>
    </row>
    <row r="19479" spans="1:6" x14ac:dyDescent="0.2">
      <c r="A19479" t="s">
        <v>31797</v>
      </c>
      <c r="B19479" t="s">
        <v>3623</v>
      </c>
      <c r="C19479" t="s">
        <v>17</v>
      </c>
      <c r="D19479" t="s">
        <v>6138</v>
      </c>
      <c r="E19479" t="s">
        <v>15</v>
      </c>
      <c r="F19479" s="2" t="str">
        <f>HYPERLINK("http://www.otzar.org/book.asp?50447","כתם אופיר - 3 כר'")</f>
        <v>כתם אופיר - 3 כר'</v>
      </c>
    </row>
    <row r="19480" spans="1:6" x14ac:dyDescent="0.2">
      <c r="A19480" t="s">
        <v>31798</v>
      </c>
      <c r="B19480" t="s">
        <v>1720</v>
      </c>
      <c r="C19480" t="s">
        <v>411</v>
      </c>
      <c r="D19480" t="s">
        <v>14</v>
      </c>
      <c r="E19480" t="s">
        <v>158</v>
      </c>
      <c r="F19480" s="2" t="str">
        <f>HYPERLINK("http://www.otzar.org/book.asp?199714","כתם אופיר - 2 כר'")</f>
        <v>כתם אופיר - 2 כר'</v>
      </c>
    </row>
    <row r="19481" spans="1:6" x14ac:dyDescent="0.2">
      <c r="A19481" t="s">
        <v>31799</v>
      </c>
      <c r="B19481" t="s">
        <v>31800</v>
      </c>
      <c r="C19481" t="s">
        <v>37</v>
      </c>
      <c r="D19481" t="s">
        <v>14</v>
      </c>
      <c r="E19481" t="s">
        <v>399</v>
      </c>
      <c r="F19481" s="2" t="str">
        <f>HYPERLINK("http://www.otzar.org/book.asp?183258","כתם פז &lt;מהדורה חדשה&gt; - 4 כר'")</f>
        <v>כתם פז &lt;מהדורה חדשה&gt; - 4 כר'</v>
      </c>
    </row>
    <row r="19482" spans="1:6" x14ac:dyDescent="0.2">
      <c r="A19482" t="s">
        <v>31801</v>
      </c>
      <c r="B19482" t="s">
        <v>31802</v>
      </c>
      <c r="C19482" t="s">
        <v>244</v>
      </c>
      <c r="D19482" t="s">
        <v>21</v>
      </c>
      <c r="E19482" t="s">
        <v>219</v>
      </c>
      <c r="F19482" s="2" t="str">
        <f>HYPERLINK("http://www.otzar.org/book.asp?605854","כתם פז &lt;מהדורה חדשה&gt;")</f>
        <v>כתם פז &lt;מהדורה חדשה&gt;</v>
      </c>
    </row>
    <row r="19483" spans="1:6" x14ac:dyDescent="0.2">
      <c r="A19483" t="s">
        <v>31803</v>
      </c>
      <c r="B19483" t="s">
        <v>31800</v>
      </c>
      <c r="C19483" t="s">
        <v>1470</v>
      </c>
      <c r="D19483" t="s">
        <v>1889</v>
      </c>
      <c r="E19483" t="s">
        <v>1847</v>
      </c>
      <c r="F19483" s="2" t="str">
        <f>HYPERLINK("http://www.otzar.org/book.asp?5929","כתם פז - 4 כר'")</f>
        <v>כתם פז - 4 כר'</v>
      </c>
    </row>
    <row r="19484" spans="1:6" x14ac:dyDescent="0.2">
      <c r="A19484" t="s">
        <v>31804</v>
      </c>
      <c r="B19484" t="s">
        <v>31802</v>
      </c>
      <c r="C19484" t="s">
        <v>55</v>
      </c>
      <c r="D19484" t="s">
        <v>19789</v>
      </c>
      <c r="E19484" t="s">
        <v>1438</v>
      </c>
      <c r="F19484" s="2" t="str">
        <f>HYPERLINK("http://www.otzar.org/book.asp?149960","כתם פז - 2 כר'")</f>
        <v>כתם פז - 2 כר'</v>
      </c>
    </row>
    <row r="19485" spans="1:6" x14ac:dyDescent="0.2">
      <c r="A19485" t="s">
        <v>31805</v>
      </c>
      <c r="B19485" t="s">
        <v>686</v>
      </c>
      <c r="C19485" t="s">
        <v>244</v>
      </c>
      <c r="D19485" t="s">
        <v>80</v>
      </c>
      <c r="E19485" t="s">
        <v>241</v>
      </c>
      <c r="F19485" s="2" t="str">
        <f>HYPERLINK("http://www.otzar.org/book.asp?606756","כתמר יפרח")</f>
        <v>כתמר יפרח</v>
      </c>
    </row>
    <row r="19486" spans="1:6" x14ac:dyDescent="0.2">
      <c r="A19486" t="s">
        <v>31806</v>
      </c>
      <c r="B19486" t="s">
        <v>31807</v>
      </c>
      <c r="C19486" t="s">
        <v>133</v>
      </c>
      <c r="D19486" t="s">
        <v>14</v>
      </c>
      <c r="E19486" t="s">
        <v>158</v>
      </c>
      <c r="F19486" s="2" t="str">
        <f>HYPERLINK("http://www.otzar.org/book.asp?173765","כתנות אור &lt;מהדורה חדשה&gt;")</f>
        <v>כתנות אור &lt;מהדורה חדשה&gt;</v>
      </c>
    </row>
    <row r="19487" spans="1:6" x14ac:dyDescent="0.2">
      <c r="A19487" t="s">
        <v>31808</v>
      </c>
      <c r="B19487" t="s">
        <v>1137</v>
      </c>
      <c r="C19487" t="s">
        <v>5154</v>
      </c>
      <c r="D19487" t="s">
        <v>1023</v>
      </c>
      <c r="E19487" t="s">
        <v>144</v>
      </c>
      <c r="F19487" s="2" t="str">
        <f>HYPERLINK("http://www.otzar.org/book.asp?23323","כתנות אור")</f>
        <v>כתנות אור</v>
      </c>
    </row>
    <row r="19488" spans="1:6" x14ac:dyDescent="0.2">
      <c r="A19488" t="s">
        <v>31808</v>
      </c>
      <c r="B19488" t="s">
        <v>31807</v>
      </c>
      <c r="C19488" t="s">
        <v>2323</v>
      </c>
      <c r="D19488" t="s">
        <v>1833</v>
      </c>
      <c r="E19488" t="s">
        <v>158</v>
      </c>
      <c r="F19488" s="2" t="str">
        <f>HYPERLINK("http://www.otzar.org/book.asp?24687","כתנות אור")</f>
        <v>כתנות אור</v>
      </c>
    </row>
    <row r="19489" spans="1:6" x14ac:dyDescent="0.2">
      <c r="A19489" t="s">
        <v>31809</v>
      </c>
      <c r="B19489" t="s">
        <v>4213</v>
      </c>
      <c r="C19489" t="s">
        <v>5826</v>
      </c>
      <c r="D19489" t="s">
        <v>4269</v>
      </c>
      <c r="F19489" s="2" t="str">
        <f>HYPERLINK("http://www.otzar.org/book.asp?170197","כתנות אור - 2 כר'")</f>
        <v>כתנות אור - 2 כר'</v>
      </c>
    </row>
    <row r="19490" spans="1:6" x14ac:dyDescent="0.2">
      <c r="A19490" t="s">
        <v>31809</v>
      </c>
      <c r="B19490" t="s">
        <v>2396</v>
      </c>
      <c r="C19490" t="s">
        <v>313</v>
      </c>
      <c r="D19490" t="s">
        <v>1076</v>
      </c>
      <c r="E19490" t="s">
        <v>158</v>
      </c>
      <c r="F19490" s="2" t="str">
        <f>HYPERLINK("http://www.otzar.org/book.asp?22906","כתנות אור - 2 כר'")</f>
        <v>כתנות אור - 2 כר'</v>
      </c>
    </row>
    <row r="19491" spans="1:6" x14ac:dyDescent="0.2">
      <c r="A19491" t="s">
        <v>31810</v>
      </c>
      <c r="B19491" t="s">
        <v>15284</v>
      </c>
      <c r="C19491" t="s">
        <v>1954</v>
      </c>
      <c r="D19491" t="s">
        <v>15285</v>
      </c>
      <c r="E19491" t="s">
        <v>15</v>
      </c>
      <c r="F19491" s="2" t="str">
        <f>HYPERLINK("http://www.otzar.org/book.asp?172319","כתנות עור")</f>
        <v>כתנות עור</v>
      </c>
    </row>
    <row r="19492" spans="1:6" x14ac:dyDescent="0.2">
      <c r="A19492" t="s">
        <v>31811</v>
      </c>
      <c r="B19492" t="s">
        <v>15284</v>
      </c>
      <c r="C19492" t="s">
        <v>1169</v>
      </c>
      <c r="D19492" t="s">
        <v>15285</v>
      </c>
      <c r="E19492" t="s">
        <v>15</v>
      </c>
      <c r="F19492" s="2" t="str">
        <f>HYPERLINK("http://www.otzar.org/book.asp?149195","כתנת יוסף")</f>
        <v>כתנת יוסף</v>
      </c>
    </row>
    <row r="19493" spans="1:6" x14ac:dyDescent="0.2">
      <c r="A19493" t="s">
        <v>31812</v>
      </c>
      <c r="B19493" t="s">
        <v>15284</v>
      </c>
      <c r="C19493" t="s">
        <v>180</v>
      </c>
      <c r="D19493" t="s">
        <v>15285</v>
      </c>
      <c r="E19493" t="s">
        <v>104</v>
      </c>
      <c r="F19493" s="2" t="str">
        <f>HYPERLINK("http://www.otzar.org/book.asp?158317","כתנת כהונה")</f>
        <v>כתנת כהונה</v>
      </c>
    </row>
    <row r="19494" spans="1:6" x14ac:dyDescent="0.2">
      <c r="A19494" t="s">
        <v>31813</v>
      </c>
      <c r="B19494" t="s">
        <v>338</v>
      </c>
      <c r="C19494" t="s">
        <v>454</v>
      </c>
      <c r="D19494" t="s">
        <v>14</v>
      </c>
      <c r="E19494" t="s">
        <v>43</v>
      </c>
      <c r="F19494" s="2" t="str">
        <f>HYPERLINK("http://www.otzar.org/book.asp?108253","כתפוח בעצי היער &lt;מדרש קדמון&gt;")</f>
        <v>כתפוח בעצי היער &lt;מדרש קדמון&gt;</v>
      </c>
    </row>
    <row r="19495" spans="1:6" x14ac:dyDescent="0.2">
      <c r="A19495" t="s">
        <v>31814</v>
      </c>
      <c r="B19495" t="s">
        <v>338</v>
      </c>
      <c r="C19495" t="s">
        <v>17</v>
      </c>
      <c r="D19495" t="s">
        <v>14</v>
      </c>
      <c r="E19495" t="s">
        <v>241</v>
      </c>
      <c r="F19495" s="2" t="str">
        <f>HYPERLINK("http://www.otzar.org/book.asp?107265","כתפוח בעצי היער")</f>
        <v>כתפוח בעצי היער</v>
      </c>
    </row>
    <row r="19496" spans="1:6" x14ac:dyDescent="0.2">
      <c r="A19496" t="s">
        <v>31815</v>
      </c>
      <c r="B19496" t="s">
        <v>27315</v>
      </c>
      <c r="C19496" t="s">
        <v>1437</v>
      </c>
      <c r="D19496" t="s">
        <v>855</v>
      </c>
      <c r="E19496" t="s">
        <v>158</v>
      </c>
      <c r="F19496" s="2" t="str">
        <f>HYPERLINK("http://www.otzar.org/book.asp?102247","כתפת האפד")</f>
        <v>כתפת האפד</v>
      </c>
    </row>
    <row r="19497" spans="1:6" x14ac:dyDescent="0.2">
      <c r="A19497" t="s">
        <v>31816</v>
      </c>
      <c r="B19497" t="s">
        <v>21804</v>
      </c>
      <c r="C19497" t="s">
        <v>466</v>
      </c>
      <c r="D19497" t="s">
        <v>14</v>
      </c>
      <c r="E19497" t="s">
        <v>202</v>
      </c>
      <c r="F19497" s="2" t="str">
        <f>HYPERLINK("http://www.otzar.org/book.asp?85099","כתר אורייתא - קובץ")</f>
        <v>כתר אורייתא - קובץ</v>
      </c>
    </row>
    <row r="19498" spans="1:6" x14ac:dyDescent="0.2">
      <c r="A19498" t="s">
        <v>31817</v>
      </c>
      <c r="B19498" t="s">
        <v>13295</v>
      </c>
      <c r="C19498" t="s">
        <v>1160</v>
      </c>
      <c r="D19498" t="s">
        <v>216</v>
      </c>
      <c r="E19498" t="s">
        <v>10</v>
      </c>
      <c r="F19498" s="2" t="str">
        <f>HYPERLINK("http://www.otzar.org/book.asp?149026","כתר אפרים")</f>
        <v>כתר אפרים</v>
      </c>
    </row>
    <row r="19499" spans="1:6" x14ac:dyDescent="0.2">
      <c r="A19499" t="s">
        <v>31818</v>
      </c>
      <c r="B19499" t="s">
        <v>31819</v>
      </c>
      <c r="C19499" t="s">
        <v>533</v>
      </c>
      <c r="D19499" t="s">
        <v>646</v>
      </c>
      <c r="E19499" t="s">
        <v>144</v>
      </c>
      <c r="F19499" s="2" t="str">
        <f>HYPERLINK("http://www.otzar.org/book.asp?146629","כתר דוד תנינא - תולדות נח")</f>
        <v>כתר דוד תנינא - תולדות נח</v>
      </c>
    </row>
    <row r="19500" spans="1:6" x14ac:dyDescent="0.2">
      <c r="A19500" t="s">
        <v>31820</v>
      </c>
      <c r="B19500" t="s">
        <v>15514</v>
      </c>
      <c r="C19500" t="s">
        <v>17</v>
      </c>
      <c r="D19500" t="s">
        <v>2319</v>
      </c>
      <c r="E19500" t="s">
        <v>158</v>
      </c>
      <c r="F19500" s="2" t="str">
        <f>HYPERLINK("http://www.otzar.org/book.asp?85607","כתר דוד")</f>
        <v>כתר דוד</v>
      </c>
    </row>
    <row r="19501" spans="1:6" x14ac:dyDescent="0.2">
      <c r="A19501" t="s">
        <v>31820</v>
      </c>
      <c r="B19501" t="s">
        <v>552</v>
      </c>
      <c r="C19501" t="s">
        <v>23</v>
      </c>
      <c r="D19501" t="s">
        <v>2531</v>
      </c>
      <c r="E19501" t="s">
        <v>202</v>
      </c>
      <c r="F19501" s="2" t="str">
        <f>HYPERLINK("http://www.otzar.org/book.asp?605233","כתר דוד")</f>
        <v>כתר דוד</v>
      </c>
    </row>
    <row r="19502" spans="1:6" x14ac:dyDescent="0.2">
      <c r="A19502" t="s">
        <v>31820</v>
      </c>
      <c r="B19502" t="s">
        <v>31819</v>
      </c>
      <c r="C19502" t="s">
        <v>956</v>
      </c>
      <c r="D19502" t="s">
        <v>14</v>
      </c>
      <c r="E19502" t="s">
        <v>1211</v>
      </c>
      <c r="F19502" s="2" t="str">
        <f>HYPERLINK("http://www.otzar.org/book.asp?200197","כתר דוד")</f>
        <v>כתר דוד</v>
      </c>
    </row>
    <row r="19503" spans="1:6" x14ac:dyDescent="0.2">
      <c r="A19503" t="s">
        <v>31821</v>
      </c>
      <c r="B19503" t="s">
        <v>206</v>
      </c>
      <c r="C19503" t="s">
        <v>133</v>
      </c>
      <c r="D19503" t="s">
        <v>14</v>
      </c>
      <c r="E19503" t="s">
        <v>158</v>
      </c>
      <c r="F19503" s="2" t="str">
        <f>HYPERLINK("http://www.otzar.org/book.asp?605779","כתר הדעת - חוקת-מסעי")</f>
        <v>כתר הדעת - חוקת-מסעי</v>
      </c>
    </row>
    <row r="19504" spans="1:6" x14ac:dyDescent="0.2">
      <c r="A19504" t="s">
        <v>31822</v>
      </c>
      <c r="B19504" t="s">
        <v>23246</v>
      </c>
      <c r="C19504" t="s">
        <v>609</v>
      </c>
      <c r="D19504" t="s">
        <v>27</v>
      </c>
      <c r="E19504" t="s">
        <v>31823</v>
      </c>
      <c r="F19504" s="2" t="str">
        <f>HYPERLINK("http://www.otzar.org/book.asp?10532","כתר היהודי")</f>
        <v>כתר היהודי</v>
      </c>
    </row>
    <row r="19505" spans="1:6" x14ac:dyDescent="0.2">
      <c r="A19505" t="s">
        <v>31824</v>
      </c>
      <c r="B19505" t="s">
        <v>13777</v>
      </c>
      <c r="C19505" t="s">
        <v>103</v>
      </c>
      <c r="D19505" t="s">
        <v>486</v>
      </c>
      <c r="E19505" t="s">
        <v>15</v>
      </c>
      <c r="F19505" s="2" t="str">
        <f>HYPERLINK("http://www.otzar.org/book.asp?163660","כתר המלך (הלכות סת""ם)")</f>
        <v>כתר המלך (הלכות סת"ם)</v>
      </c>
    </row>
    <row r="19506" spans="1:6" x14ac:dyDescent="0.2">
      <c r="A19506" t="s">
        <v>31825</v>
      </c>
      <c r="B19506" t="s">
        <v>31826</v>
      </c>
      <c r="C19506" t="s">
        <v>1885</v>
      </c>
      <c r="D19506" t="s">
        <v>283</v>
      </c>
      <c r="E19506" t="s">
        <v>15</v>
      </c>
      <c r="F19506" s="2" t="str">
        <f>HYPERLINK("http://www.otzar.org/book.asp?101300","כתר המלך")</f>
        <v>כתר המלך</v>
      </c>
    </row>
    <row r="19507" spans="1:6" x14ac:dyDescent="0.2">
      <c r="A19507" t="s">
        <v>31827</v>
      </c>
      <c r="B19507" t="s">
        <v>29197</v>
      </c>
      <c r="C19507" t="s">
        <v>698</v>
      </c>
      <c r="D19507" t="s">
        <v>699</v>
      </c>
      <c r="E19507" t="s">
        <v>31828</v>
      </c>
      <c r="F19507" s="2" t="str">
        <f>HYPERLINK("http://www.otzar.org/book.asp?6618","כתר השבת")</f>
        <v>כתר השבת</v>
      </c>
    </row>
    <row r="19508" spans="1:6" x14ac:dyDescent="0.2">
      <c r="A19508" t="s">
        <v>31829</v>
      </c>
      <c r="B19508" t="s">
        <v>31830</v>
      </c>
      <c r="C19508" t="s">
        <v>624</v>
      </c>
      <c r="D19508" t="s">
        <v>14</v>
      </c>
      <c r="E19508" t="s">
        <v>1235</v>
      </c>
      <c r="F19508" s="2" t="str">
        <f>HYPERLINK("http://www.otzar.org/book.asp?163999","כתר חיים")</f>
        <v>כתר חיים</v>
      </c>
    </row>
    <row r="19509" spans="1:6" x14ac:dyDescent="0.2">
      <c r="A19509" t="s">
        <v>31831</v>
      </c>
      <c r="B19509" t="s">
        <v>9457</v>
      </c>
      <c r="C19509" t="s">
        <v>244</v>
      </c>
      <c r="D19509" t="s">
        <v>1511</v>
      </c>
      <c r="E19509" t="s">
        <v>15</v>
      </c>
      <c r="F19509" s="2" t="str">
        <f>HYPERLINK("http://www.otzar.org/book.asp?199384","כתר טוב - מצוות")</f>
        <v>כתר טוב - מצוות</v>
      </c>
    </row>
    <row r="19510" spans="1:6" x14ac:dyDescent="0.2">
      <c r="A19510" t="s">
        <v>31832</v>
      </c>
      <c r="B19510" t="s">
        <v>31833</v>
      </c>
      <c r="C19510" t="s">
        <v>15119</v>
      </c>
      <c r="D19510" t="s">
        <v>280</v>
      </c>
      <c r="E19510" t="s">
        <v>219</v>
      </c>
      <c r="F19510" s="2" t="str">
        <f>HYPERLINK("http://www.otzar.org/book.asp?141157","כתר יוסף, כתר כהונה - על תהלים ומעמדות")</f>
        <v>כתר יוסף, כתר כהונה - על תהלים ומעמדות</v>
      </c>
    </row>
    <row r="19511" spans="1:6" x14ac:dyDescent="0.2">
      <c r="A19511" t="s">
        <v>31834</v>
      </c>
      <c r="B19511" t="s">
        <v>31835</v>
      </c>
      <c r="C19511" t="s">
        <v>4687</v>
      </c>
      <c r="D19511" t="s">
        <v>90</v>
      </c>
      <c r="E19511" t="s">
        <v>158</v>
      </c>
      <c r="F19511" s="2" t="str">
        <f>HYPERLINK("http://www.otzar.org/book.asp?147350","כתר ישועה")</f>
        <v>כתר ישועה</v>
      </c>
    </row>
    <row r="19512" spans="1:6" x14ac:dyDescent="0.2">
      <c r="A19512" t="s">
        <v>31834</v>
      </c>
      <c r="B19512" t="s">
        <v>30642</v>
      </c>
      <c r="C19512" t="s">
        <v>1166</v>
      </c>
      <c r="D19512" t="s">
        <v>225</v>
      </c>
      <c r="E19512" t="s">
        <v>144</v>
      </c>
      <c r="F19512" s="2" t="str">
        <f>HYPERLINK("http://www.otzar.org/book.asp?9164","כתר ישועה")</f>
        <v>כתר ישועה</v>
      </c>
    </row>
    <row r="19513" spans="1:6" x14ac:dyDescent="0.2">
      <c r="A19513" t="s">
        <v>31836</v>
      </c>
      <c r="B19513" t="s">
        <v>31837</v>
      </c>
      <c r="C19513" t="s">
        <v>785</v>
      </c>
      <c r="D19513" t="s">
        <v>52</v>
      </c>
      <c r="E19513" t="s">
        <v>154</v>
      </c>
      <c r="F19513" s="2" t="str">
        <f>HYPERLINK("http://www.otzar.org/book.asp?161857","כתר כהונה &lt;מהדורה חדשה&gt; - 2 כר'")</f>
        <v>כתר כהונה &lt;מהדורה חדשה&gt; - 2 כר'</v>
      </c>
    </row>
    <row r="19514" spans="1:6" x14ac:dyDescent="0.2">
      <c r="A19514" t="s">
        <v>31838</v>
      </c>
      <c r="B19514" t="s">
        <v>31839</v>
      </c>
      <c r="C19514" t="s">
        <v>31840</v>
      </c>
      <c r="D19514" t="s">
        <v>4288</v>
      </c>
      <c r="E19514" t="s">
        <v>144</v>
      </c>
      <c r="F19514" s="2" t="str">
        <f>HYPERLINK("http://www.otzar.org/book.asp?192284","כתר כהונה")</f>
        <v>כתר כהונה</v>
      </c>
    </row>
    <row r="19515" spans="1:6" x14ac:dyDescent="0.2">
      <c r="A19515" t="s">
        <v>31841</v>
      </c>
      <c r="B19515" t="s">
        <v>7973</v>
      </c>
      <c r="C19515" t="s">
        <v>124</v>
      </c>
      <c r="D19515" t="s">
        <v>14</v>
      </c>
      <c r="E19515" t="s">
        <v>1684</v>
      </c>
      <c r="F19515" s="2" t="str">
        <f>HYPERLINK("http://www.otzar.org/book.asp?153627","כתר כהונה - 2 כר'")</f>
        <v>כתר כהונה - 2 כר'</v>
      </c>
    </row>
    <row r="19516" spans="1:6" x14ac:dyDescent="0.2">
      <c r="A19516" t="s">
        <v>31838</v>
      </c>
      <c r="B19516" t="s">
        <v>31313</v>
      </c>
      <c r="C19516" t="s">
        <v>2644</v>
      </c>
      <c r="D19516" t="s">
        <v>889</v>
      </c>
      <c r="E19516" t="s">
        <v>4561</v>
      </c>
      <c r="F19516" s="2" t="str">
        <f>HYPERLINK("http://www.otzar.org/book.asp?167181","כתר כהונה")</f>
        <v>כתר כהונה</v>
      </c>
    </row>
    <row r="19517" spans="1:6" x14ac:dyDescent="0.2">
      <c r="A19517" t="s">
        <v>31842</v>
      </c>
      <c r="B19517" t="s">
        <v>31837</v>
      </c>
      <c r="C19517" t="s">
        <v>2269</v>
      </c>
      <c r="D19517" t="s">
        <v>60</v>
      </c>
      <c r="E19517" t="s">
        <v>396</v>
      </c>
      <c r="F19517" s="2" t="str">
        <f>HYPERLINK("http://www.otzar.org/book.asp?9977","כתר כהונה - א")</f>
        <v>כתר כהונה - א</v>
      </c>
    </row>
    <row r="19518" spans="1:6" x14ac:dyDescent="0.2">
      <c r="A19518" t="s">
        <v>31838</v>
      </c>
      <c r="B19518" t="s">
        <v>31843</v>
      </c>
      <c r="C19518" t="s">
        <v>20</v>
      </c>
      <c r="D19518" t="s">
        <v>90</v>
      </c>
      <c r="E19518" t="s">
        <v>104</v>
      </c>
      <c r="F19518" s="2" t="str">
        <f>HYPERLINK("http://www.otzar.org/book.asp?151060","כתר כהונה")</f>
        <v>כתר כהונה</v>
      </c>
    </row>
    <row r="19519" spans="1:6" x14ac:dyDescent="0.2">
      <c r="A19519" t="s">
        <v>31838</v>
      </c>
      <c r="B19519" t="s">
        <v>1750</v>
      </c>
      <c r="C19519" t="s">
        <v>1388</v>
      </c>
      <c r="D19519" t="s">
        <v>412</v>
      </c>
      <c r="E19519" t="s">
        <v>2633</v>
      </c>
      <c r="F19519" s="2" t="str">
        <f>HYPERLINK("http://www.otzar.org/book.asp?14614","כתר כהונה")</f>
        <v>כתר כהונה</v>
      </c>
    </row>
    <row r="19520" spans="1:6" x14ac:dyDescent="0.2">
      <c r="A19520" t="s">
        <v>31844</v>
      </c>
      <c r="B19520" t="s">
        <v>31845</v>
      </c>
      <c r="C19520" t="s">
        <v>619</v>
      </c>
      <c r="D19520" t="s">
        <v>27</v>
      </c>
      <c r="E19520" t="s">
        <v>1262</v>
      </c>
      <c r="F19520" s="2" t="str">
        <f>HYPERLINK("http://www.otzar.org/book.asp?11528","כתר כהונה - 3 כר'")</f>
        <v>כתר כהונה - 3 כר'</v>
      </c>
    </row>
    <row r="19521" spans="1:6" x14ac:dyDescent="0.2">
      <c r="A19521" t="s">
        <v>31846</v>
      </c>
      <c r="B19521" t="s">
        <v>10458</v>
      </c>
      <c r="C19521" t="s">
        <v>5823</v>
      </c>
      <c r="D19521" t="s">
        <v>2181</v>
      </c>
      <c r="E19521" t="s">
        <v>119</v>
      </c>
      <c r="F19521" s="2" t="str">
        <f>HYPERLINK("http://www.otzar.org/book.asp?611341","כתר כהנה")</f>
        <v>כתר כהנה</v>
      </c>
    </row>
    <row r="19522" spans="1:6" x14ac:dyDescent="0.2">
      <c r="A19522" t="s">
        <v>31847</v>
      </c>
      <c r="B19522" t="s">
        <v>31848</v>
      </c>
      <c r="C19522" t="s">
        <v>3244</v>
      </c>
      <c r="D19522" t="s">
        <v>1279</v>
      </c>
      <c r="E19522" t="s">
        <v>674</v>
      </c>
      <c r="F19522" s="2" t="str">
        <f>HYPERLINK("http://www.otzar.org/book.asp?149140","כתר לתורה")</f>
        <v>כתר לתורה</v>
      </c>
    </row>
    <row r="19523" spans="1:6" x14ac:dyDescent="0.2">
      <c r="A19523" t="s">
        <v>31849</v>
      </c>
      <c r="B19523" t="s">
        <v>31850</v>
      </c>
      <c r="C19523" t="s">
        <v>114</v>
      </c>
      <c r="D19523" t="s">
        <v>52</v>
      </c>
      <c r="F19523" s="2" t="str">
        <f>HYPERLINK("http://www.otzar.org/book.asp?618421","כתר מלוכה - 18 כר'")</f>
        <v>כתר מלוכה - 18 כר'</v>
      </c>
    </row>
    <row r="19524" spans="1:6" x14ac:dyDescent="0.2">
      <c r="A19524" t="s">
        <v>31851</v>
      </c>
      <c r="B19524" t="s">
        <v>31852</v>
      </c>
      <c r="C19524" t="s">
        <v>133</v>
      </c>
      <c r="D19524" t="s">
        <v>1076</v>
      </c>
      <c r="E19524" t="s">
        <v>15</v>
      </c>
      <c r="F19524" s="2" t="str">
        <f>HYPERLINK("http://www.otzar.org/book.asp?600927","כתר מלוכה")</f>
        <v>כתר מלוכה</v>
      </c>
    </row>
    <row r="19525" spans="1:6" x14ac:dyDescent="0.2">
      <c r="A19525" t="s">
        <v>31853</v>
      </c>
      <c r="B19525" t="s">
        <v>31854</v>
      </c>
      <c r="C19525" t="s">
        <v>13</v>
      </c>
      <c r="D19525" t="s">
        <v>1550</v>
      </c>
      <c r="E19525" t="s">
        <v>234</v>
      </c>
      <c r="F19525" s="2" t="str">
        <f>HYPERLINK("http://www.otzar.org/book.asp?158804","כתר מלוכה - 3 כר'")</f>
        <v>כתר מלוכה - 3 כר'</v>
      </c>
    </row>
    <row r="19526" spans="1:6" x14ac:dyDescent="0.2">
      <c r="A19526" t="s">
        <v>31855</v>
      </c>
      <c r="B19526" t="s">
        <v>9318</v>
      </c>
      <c r="C19526" t="s">
        <v>20</v>
      </c>
      <c r="D19526" t="s">
        <v>14</v>
      </c>
      <c r="E19526" t="s">
        <v>15</v>
      </c>
      <c r="F19526" s="2" t="str">
        <f>HYPERLINK("http://www.otzar.org/book.asp?179005","כתר מלוכה - ענייני עניית אמן")</f>
        <v>כתר מלוכה - ענייני עניית אמן</v>
      </c>
    </row>
    <row r="19527" spans="1:6" x14ac:dyDescent="0.2">
      <c r="A19527" t="s">
        <v>31856</v>
      </c>
      <c r="B19527" t="s">
        <v>25091</v>
      </c>
      <c r="C19527" t="s">
        <v>129</v>
      </c>
      <c r="D19527" t="s">
        <v>14</v>
      </c>
      <c r="E19527" t="s">
        <v>467</v>
      </c>
      <c r="F19527" s="2" t="str">
        <f>HYPERLINK("http://www.otzar.org/book.asp?60289","כתר מלוכה - מערכי לב")</f>
        <v>כתר מלוכה - מערכי לב</v>
      </c>
    </row>
    <row r="19528" spans="1:6" x14ac:dyDescent="0.2">
      <c r="A19528" t="s">
        <v>31857</v>
      </c>
      <c r="B19528" t="s">
        <v>4925</v>
      </c>
      <c r="C19528" t="s">
        <v>1437</v>
      </c>
      <c r="D19528" t="s">
        <v>27</v>
      </c>
      <c r="E19528" t="s">
        <v>219</v>
      </c>
      <c r="F19528" s="2" t="str">
        <f>HYPERLINK("http://www.otzar.org/book.asp?159543","כתר מלכות (עם העתקה בלשון פארסי)")</f>
        <v>כתר מלכות (עם העתקה בלשון פארסי)</v>
      </c>
    </row>
    <row r="19529" spans="1:6" x14ac:dyDescent="0.2">
      <c r="A19529" t="s">
        <v>31858</v>
      </c>
      <c r="B19529" t="s">
        <v>4925</v>
      </c>
      <c r="C19529" t="s">
        <v>433</v>
      </c>
      <c r="D19529" t="s">
        <v>27</v>
      </c>
      <c r="E19529" t="s">
        <v>1626</v>
      </c>
      <c r="F19529" s="2" t="str">
        <f>HYPERLINK("http://www.otzar.org/book.asp?13256","כתר מלכות - 2 כר'")</f>
        <v>כתר מלכות - 2 כר'</v>
      </c>
    </row>
    <row r="19530" spans="1:6" x14ac:dyDescent="0.2">
      <c r="A19530" t="s">
        <v>31859</v>
      </c>
      <c r="B19530" t="s">
        <v>4303</v>
      </c>
      <c r="C19530" t="s">
        <v>68</v>
      </c>
      <c r="D19530" t="s">
        <v>52</v>
      </c>
      <c r="E19530" t="s">
        <v>219</v>
      </c>
      <c r="F19530" s="2" t="str">
        <f>HYPERLINK("http://www.otzar.org/book.asp?155318","כתר מלכות")</f>
        <v>כתר מלכות</v>
      </c>
    </row>
    <row r="19531" spans="1:6" x14ac:dyDescent="0.2">
      <c r="A19531" t="s">
        <v>31859</v>
      </c>
      <c r="B19531" t="s">
        <v>31860</v>
      </c>
      <c r="C19531" t="s">
        <v>31861</v>
      </c>
      <c r="D19531" t="s">
        <v>592</v>
      </c>
      <c r="F19531" s="2" t="str">
        <f>HYPERLINK("http://www.otzar.org/book.asp?617974","כתר מלכות")</f>
        <v>כתר מלכות</v>
      </c>
    </row>
    <row r="19532" spans="1:6" x14ac:dyDescent="0.2">
      <c r="A19532" t="s">
        <v>31859</v>
      </c>
      <c r="B19532" t="s">
        <v>10997</v>
      </c>
      <c r="C19532" t="s">
        <v>767</v>
      </c>
      <c r="D19532" t="s">
        <v>52</v>
      </c>
      <c r="E19532" t="s">
        <v>226</v>
      </c>
      <c r="F19532" s="2" t="str">
        <f>HYPERLINK("http://www.otzar.org/book.asp?158756","כתר מלכות")</f>
        <v>כתר מלכות</v>
      </c>
    </row>
    <row r="19533" spans="1:6" x14ac:dyDescent="0.2">
      <c r="A19533" t="s">
        <v>31859</v>
      </c>
      <c r="B19533" t="s">
        <v>4343</v>
      </c>
      <c r="C19533" t="s">
        <v>68</v>
      </c>
      <c r="D19533" t="s">
        <v>14</v>
      </c>
      <c r="F19533" s="2" t="str">
        <f>HYPERLINK("http://www.otzar.org/book.asp?156896","כתר מלכות")</f>
        <v>כתר מלכות</v>
      </c>
    </row>
    <row r="19534" spans="1:6" x14ac:dyDescent="0.2">
      <c r="A19534" t="s">
        <v>31862</v>
      </c>
      <c r="B19534" t="s">
        <v>12198</v>
      </c>
      <c r="C19534" t="s">
        <v>482</v>
      </c>
      <c r="D19534" t="s">
        <v>260</v>
      </c>
      <c r="E19534" t="s">
        <v>140</v>
      </c>
      <c r="F19534" s="2" t="str">
        <f>HYPERLINK("http://www.otzar.org/book.asp?20208","כתר מלכים")</f>
        <v>כתר מלכים</v>
      </c>
    </row>
    <row r="19535" spans="1:6" x14ac:dyDescent="0.2">
      <c r="A19535" t="s">
        <v>31863</v>
      </c>
      <c r="B19535" t="s">
        <v>31864</v>
      </c>
      <c r="C19535" t="s">
        <v>143</v>
      </c>
      <c r="D19535" t="s">
        <v>486</v>
      </c>
      <c r="E19535" t="s">
        <v>230</v>
      </c>
      <c r="F19535" s="2" t="str">
        <f>HYPERLINK("http://www.otzar.org/book.asp?151681","כתר מרדכי")</f>
        <v>כתר מרדכי</v>
      </c>
    </row>
    <row r="19536" spans="1:6" x14ac:dyDescent="0.2">
      <c r="A19536" t="s">
        <v>31865</v>
      </c>
      <c r="B19536" t="s">
        <v>3634</v>
      </c>
      <c r="C19536" t="s">
        <v>114</v>
      </c>
      <c r="D19536" t="s">
        <v>412</v>
      </c>
      <c r="E19536" t="s">
        <v>219</v>
      </c>
      <c r="F19536" s="2" t="str">
        <f>HYPERLINK("http://www.otzar.org/book.asp?183112","כתר נהורא &lt;פירוש התפילה מתוך סידור תפילה ישרה&gt;")</f>
        <v>כתר נהורא &lt;פירוש התפילה מתוך סידור תפילה ישרה&gt;</v>
      </c>
    </row>
    <row r="19537" spans="1:6" x14ac:dyDescent="0.2">
      <c r="A19537" t="s">
        <v>31866</v>
      </c>
      <c r="B19537" t="s">
        <v>31819</v>
      </c>
      <c r="C19537" t="s">
        <v>103</v>
      </c>
      <c r="D19537" t="s">
        <v>14</v>
      </c>
      <c r="E19537" t="s">
        <v>508</v>
      </c>
      <c r="F19537" s="2" t="str">
        <f>HYPERLINK("http://www.otzar.org/book.asp?53750","כתר נהורא")</f>
        <v>כתר נהורא</v>
      </c>
    </row>
    <row r="19538" spans="1:6" x14ac:dyDescent="0.2">
      <c r="A19538" t="s">
        <v>31867</v>
      </c>
      <c r="B19538" t="s">
        <v>31868</v>
      </c>
      <c r="C19538" t="s">
        <v>244</v>
      </c>
      <c r="D19538" t="s">
        <v>21</v>
      </c>
      <c r="E19538" t="s">
        <v>202</v>
      </c>
      <c r="F19538" s="2" t="str">
        <f>HYPERLINK("http://www.otzar.org/book.asp?601487","כתר נחום שלמה")</f>
        <v>כתר נחום שלמה</v>
      </c>
    </row>
    <row r="19539" spans="1:6" x14ac:dyDescent="0.2">
      <c r="A19539" t="s">
        <v>31869</v>
      </c>
      <c r="B19539" t="s">
        <v>206</v>
      </c>
      <c r="C19539" t="s">
        <v>20</v>
      </c>
      <c r="D19539" t="s">
        <v>245</v>
      </c>
      <c r="E19539" t="s">
        <v>158</v>
      </c>
      <c r="F19539" s="2" t="str">
        <f>HYPERLINK("http://www.otzar.org/book.asp?176905","כתר עמרם ישעיהו")</f>
        <v>כתר עמרם ישעיהו</v>
      </c>
    </row>
    <row r="19540" spans="1:6" x14ac:dyDescent="0.2">
      <c r="A19540" t="s">
        <v>31870</v>
      </c>
      <c r="B19540" t="s">
        <v>31871</v>
      </c>
      <c r="C19540" t="s">
        <v>1284</v>
      </c>
      <c r="D19540" t="s">
        <v>27</v>
      </c>
      <c r="E19540" t="s">
        <v>104</v>
      </c>
      <c r="F19540" s="2" t="str">
        <f>HYPERLINK("http://www.otzar.org/book.asp?168126","כתר צבי")</f>
        <v>כתר צבי</v>
      </c>
    </row>
    <row r="19541" spans="1:6" x14ac:dyDescent="0.2">
      <c r="A19541" t="s">
        <v>31872</v>
      </c>
      <c r="B19541" t="s">
        <v>1800</v>
      </c>
      <c r="C19541" t="s">
        <v>785</v>
      </c>
      <c r="D19541" t="s">
        <v>27</v>
      </c>
      <c r="E19541" t="s">
        <v>158</v>
      </c>
      <c r="F19541" s="2" t="str">
        <f>HYPERLINK("http://www.otzar.org/book.asp?196338","כתר צדיק - שמות, ויקרא")</f>
        <v>כתר צדיק - שמות, ויקרא</v>
      </c>
    </row>
    <row r="19542" spans="1:6" x14ac:dyDescent="0.2">
      <c r="A19542" t="s">
        <v>31873</v>
      </c>
      <c r="B19542" t="s">
        <v>31874</v>
      </c>
      <c r="C19542" t="s">
        <v>114</v>
      </c>
      <c r="D19542" t="s">
        <v>3436</v>
      </c>
      <c r="E19542" t="s">
        <v>119</v>
      </c>
      <c r="F19542" s="2" t="str">
        <f>HYPERLINK("http://www.otzar.org/book.asp?604327","כתר קדושה")</f>
        <v>כתר קדושה</v>
      </c>
    </row>
    <row r="19543" spans="1:6" x14ac:dyDescent="0.2">
      <c r="A19543" t="s">
        <v>31875</v>
      </c>
      <c r="B19543" t="s">
        <v>15514</v>
      </c>
      <c r="C19543" t="s">
        <v>189</v>
      </c>
      <c r="D19543" t="s">
        <v>2319</v>
      </c>
      <c r="E19543" t="s">
        <v>158</v>
      </c>
      <c r="F19543" s="2" t="str">
        <f>HYPERLINK("http://www.otzar.org/book.asp?85608","כתר שלמה - 2 כר'")</f>
        <v>כתר שלמה - 2 כר'</v>
      </c>
    </row>
    <row r="19544" spans="1:6" x14ac:dyDescent="0.2">
      <c r="A19544" t="s">
        <v>31876</v>
      </c>
      <c r="B19544" t="s">
        <v>31877</v>
      </c>
      <c r="C19544" t="s">
        <v>619</v>
      </c>
      <c r="D19544" t="s">
        <v>225</v>
      </c>
      <c r="E19544" t="s">
        <v>144</v>
      </c>
      <c r="F19544" s="2" t="str">
        <f>HYPERLINK("http://www.otzar.org/book.asp?7087","כתר שלמה")</f>
        <v>כתר שלמה</v>
      </c>
    </row>
    <row r="19545" spans="1:6" x14ac:dyDescent="0.2">
      <c r="A19545" t="s">
        <v>31876</v>
      </c>
      <c r="B19545" t="s">
        <v>31878</v>
      </c>
      <c r="C19545" t="s">
        <v>68</v>
      </c>
      <c r="D19545" t="s">
        <v>118</v>
      </c>
      <c r="E19545" t="s">
        <v>158</v>
      </c>
      <c r="F19545" s="2" t="str">
        <f>HYPERLINK("http://www.otzar.org/book.asp?160762","כתר שלמה")</f>
        <v>כתר שלמה</v>
      </c>
    </row>
    <row r="19546" spans="1:6" x14ac:dyDescent="0.2">
      <c r="A19546" t="s">
        <v>31879</v>
      </c>
      <c r="B19546" t="s">
        <v>31880</v>
      </c>
      <c r="E19546" t="s">
        <v>119</v>
      </c>
      <c r="F19546" s="2" t="str">
        <f>HYPERLINK("http://www.otzar.org/book.asp?625578","כתר שם טוב")</f>
        <v>כתר שם טוב</v>
      </c>
    </row>
    <row r="19547" spans="1:6" x14ac:dyDescent="0.2">
      <c r="A19547" t="s">
        <v>31881</v>
      </c>
      <c r="B19547" t="s">
        <v>338</v>
      </c>
      <c r="C19547" t="s">
        <v>313</v>
      </c>
      <c r="D19547" t="s">
        <v>14</v>
      </c>
      <c r="E19547" t="s">
        <v>15</v>
      </c>
      <c r="F19547" s="2" t="str">
        <f>HYPERLINK("http://www.otzar.org/book.asp?107267","כתר שם טוב - 2 כר'")</f>
        <v>כתר שם טוב - 2 כר'</v>
      </c>
    </row>
    <row r="19548" spans="1:6" x14ac:dyDescent="0.2">
      <c r="A19548" t="s">
        <v>31882</v>
      </c>
      <c r="B19548" t="s">
        <v>31883</v>
      </c>
      <c r="C19548" t="s">
        <v>843</v>
      </c>
      <c r="D19548" t="s">
        <v>80</v>
      </c>
      <c r="E19548" t="s">
        <v>140</v>
      </c>
      <c r="F19548" s="2" t="str">
        <f>HYPERLINK("http://www.otzar.org/book.asp?102249","כתר שם טוב - 3 כר'")</f>
        <v>כתר שם טוב - 3 כר'</v>
      </c>
    </row>
    <row r="19549" spans="1:6" x14ac:dyDescent="0.2">
      <c r="A19549" t="s">
        <v>31879</v>
      </c>
      <c r="B19549" t="s">
        <v>31884</v>
      </c>
      <c r="C19549" t="s">
        <v>51</v>
      </c>
      <c r="D19549" t="s">
        <v>14546</v>
      </c>
      <c r="E19549" t="s">
        <v>246</v>
      </c>
      <c r="F19549" s="2" t="str">
        <f>HYPERLINK("http://www.otzar.org/book.asp?197212","כתר שם טוב")</f>
        <v>כתר שם טוב</v>
      </c>
    </row>
    <row r="19550" spans="1:6" x14ac:dyDescent="0.2">
      <c r="A19550" t="s">
        <v>31882</v>
      </c>
      <c r="B19550" t="s">
        <v>31885</v>
      </c>
      <c r="C19550" t="s">
        <v>14216</v>
      </c>
      <c r="D19550" t="s">
        <v>49</v>
      </c>
      <c r="E19550" t="s">
        <v>158</v>
      </c>
      <c r="F19550" s="2" t="str">
        <f>HYPERLINK("http://www.otzar.org/book.asp?104260","כתר שם טוב - 3 כר'")</f>
        <v>כתר שם טוב - 3 כר'</v>
      </c>
    </row>
    <row r="19551" spans="1:6" x14ac:dyDescent="0.2">
      <c r="A19551" t="s">
        <v>31886</v>
      </c>
      <c r="B19551" t="s">
        <v>31887</v>
      </c>
      <c r="C19551" t="s">
        <v>411</v>
      </c>
      <c r="D19551" t="s">
        <v>412</v>
      </c>
      <c r="E19551" t="s">
        <v>31888</v>
      </c>
      <c r="F19551" s="2" t="str">
        <f>HYPERLINK("http://www.otzar.org/book.asp?170851","כתר תורה &lt;מהדורה חדשה&gt;")</f>
        <v>כתר תורה &lt;מהדורה חדשה&gt;</v>
      </c>
    </row>
    <row r="19552" spans="1:6" x14ac:dyDescent="0.2">
      <c r="A19552" t="s">
        <v>31889</v>
      </c>
      <c r="B19552" t="s">
        <v>1750</v>
      </c>
      <c r="C19552" t="s">
        <v>51</v>
      </c>
      <c r="D19552" t="s">
        <v>52</v>
      </c>
      <c r="E19552" t="s">
        <v>202</v>
      </c>
      <c r="F19552" s="2" t="str">
        <f>HYPERLINK("http://www.otzar.org/book.asp?171603","כתר תורה &lt;רדומסק&gt; - 7 כר'")</f>
        <v>כתר תורה &lt;רדומסק&gt; - 7 כר'</v>
      </c>
    </row>
    <row r="19553" spans="1:6" x14ac:dyDescent="0.2">
      <c r="A19553" t="s">
        <v>31890</v>
      </c>
      <c r="B19553" t="s">
        <v>31891</v>
      </c>
      <c r="C19553" t="s">
        <v>725</v>
      </c>
      <c r="D19553" t="s">
        <v>1769</v>
      </c>
      <c r="E19553" t="s">
        <v>202</v>
      </c>
      <c r="F19553" s="2" t="str">
        <f>HYPERLINK("http://www.otzar.org/book.asp?60695","כתר תורה (ירחון) - א")</f>
        <v>כתר תורה (ירחון) - א</v>
      </c>
    </row>
    <row r="19554" spans="1:6" x14ac:dyDescent="0.2">
      <c r="A19554" t="s">
        <v>31892</v>
      </c>
      <c r="B19554" t="s">
        <v>31893</v>
      </c>
      <c r="C19554" t="s">
        <v>20</v>
      </c>
      <c r="D19554" t="s">
        <v>412</v>
      </c>
      <c r="E19554" t="s">
        <v>16263</v>
      </c>
      <c r="F19554" s="2" t="str">
        <f>HYPERLINK("http://www.otzar.org/book.asp?13047","כתר תורה (קונטרס)")</f>
        <v>כתר תורה (קונטרס)</v>
      </c>
    </row>
    <row r="19555" spans="1:6" x14ac:dyDescent="0.2">
      <c r="A19555" t="s">
        <v>31894</v>
      </c>
      <c r="B19555" t="s">
        <v>31895</v>
      </c>
      <c r="C19555" t="s">
        <v>286</v>
      </c>
      <c r="D19555" t="s">
        <v>27</v>
      </c>
      <c r="E19555" t="s">
        <v>119</v>
      </c>
      <c r="F19555" s="2" t="str">
        <f>HYPERLINK("http://www.otzar.org/book.asp?25477","כתר תורה וסדר הכתרת הרבנות")</f>
        <v>כתר תורה וסדר הכתרת הרבנות</v>
      </c>
    </row>
    <row r="19556" spans="1:6" x14ac:dyDescent="0.2">
      <c r="A19556" t="s">
        <v>31896</v>
      </c>
      <c r="B19556" t="s">
        <v>31897</v>
      </c>
      <c r="C19556" t="s">
        <v>492</v>
      </c>
      <c r="D19556" t="s">
        <v>27</v>
      </c>
      <c r="E19556" t="s">
        <v>104</v>
      </c>
      <c r="F19556" s="2" t="str">
        <f>HYPERLINK("http://www.otzar.org/book.asp?10408","כתר תורה לדוד")</f>
        <v>כתר תורה לדוד</v>
      </c>
    </row>
    <row r="19557" spans="1:6" x14ac:dyDescent="0.2">
      <c r="A19557" t="s">
        <v>31898</v>
      </c>
      <c r="B19557" t="s">
        <v>31899</v>
      </c>
      <c r="C19557" t="s">
        <v>313</v>
      </c>
      <c r="D19557" t="s">
        <v>14</v>
      </c>
      <c r="E19557" t="s">
        <v>579</v>
      </c>
      <c r="F19557" s="2" t="str">
        <f>HYPERLINK("http://www.otzar.org/book.asp?64148","כתר תורה תאג' &lt;חמשים מפרשים&gt; - 5 כר'")</f>
        <v>כתר תורה תאג' &lt;חמשים מפרשים&gt; - 5 כר'</v>
      </c>
    </row>
    <row r="19558" spans="1:6" x14ac:dyDescent="0.2">
      <c r="A19558" t="s">
        <v>31900</v>
      </c>
      <c r="B19558" t="s">
        <v>31901</v>
      </c>
      <c r="C19558" t="s">
        <v>31902</v>
      </c>
      <c r="D19558" t="s">
        <v>14</v>
      </c>
      <c r="E19558" t="s">
        <v>579</v>
      </c>
      <c r="F19558" s="2" t="str">
        <f>HYPERLINK("http://www.otzar.org/book.asp?64146","כתר תורה תאג' - 7 כר'")</f>
        <v>כתר תורה תאג' - 7 כר'</v>
      </c>
    </row>
    <row r="19559" spans="1:6" x14ac:dyDescent="0.2">
      <c r="A19559" t="s">
        <v>31893</v>
      </c>
      <c r="B19559" t="s">
        <v>11283</v>
      </c>
      <c r="C19559" t="s">
        <v>133</v>
      </c>
      <c r="D19559" t="s">
        <v>14</v>
      </c>
      <c r="E19559" t="s">
        <v>2758</v>
      </c>
      <c r="F19559" s="2" t="str">
        <f>HYPERLINK("http://www.otzar.org/book.asp?173974","כתר תורה")</f>
        <v>כתר תורה</v>
      </c>
    </row>
    <row r="19560" spans="1:6" x14ac:dyDescent="0.2">
      <c r="A19560" t="s">
        <v>31893</v>
      </c>
      <c r="B19560" t="s">
        <v>2671</v>
      </c>
      <c r="C19560" t="s">
        <v>7158</v>
      </c>
      <c r="D19560" t="s">
        <v>1023</v>
      </c>
      <c r="E19560" t="s">
        <v>8341</v>
      </c>
      <c r="F19560" s="2" t="str">
        <f>HYPERLINK("http://www.otzar.org/book.asp?18961","כתר תורה")</f>
        <v>כתר תורה</v>
      </c>
    </row>
    <row r="19561" spans="1:6" x14ac:dyDescent="0.2">
      <c r="A19561" t="s">
        <v>31893</v>
      </c>
      <c r="B19561" t="s">
        <v>4461</v>
      </c>
      <c r="C19561" t="s">
        <v>8678</v>
      </c>
      <c r="D19561" t="s">
        <v>729</v>
      </c>
      <c r="E19561" t="s">
        <v>104</v>
      </c>
      <c r="F19561" s="2" t="str">
        <f>HYPERLINK("http://www.otzar.org/book.asp?163367","כתר תורה")</f>
        <v>כתר תורה</v>
      </c>
    </row>
    <row r="19562" spans="1:6" x14ac:dyDescent="0.2">
      <c r="A19562" t="s">
        <v>31893</v>
      </c>
      <c r="B19562" t="s">
        <v>12440</v>
      </c>
      <c r="C19562" t="s">
        <v>362</v>
      </c>
      <c r="D19562" t="s">
        <v>726</v>
      </c>
      <c r="E19562" t="s">
        <v>993</v>
      </c>
      <c r="F19562" s="2" t="str">
        <f>HYPERLINK("http://www.otzar.org/book.asp?10353","כתר תורה")</f>
        <v>כתר תורה</v>
      </c>
    </row>
    <row r="19563" spans="1:6" x14ac:dyDescent="0.2">
      <c r="A19563" t="s">
        <v>31893</v>
      </c>
      <c r="B19563" t="s">
        <v>16377</v>
      </c>
      <c r="C19563" t="s">
        <v>160</v>
      </c>
      <c r="D19563" t="s">
        <v>27</v>
      </c>
      <c r="E19563" t="s">
        <v>213</v>
      </c>
      <c r="F19563" s="2" t="str">
        <f>HYPERLINK("http://www.otzar.org/book.asp?16985","כתר תורה")</f>
        <v>כתר תורה</v>
      </c>
    </row>
    <row r="19564" spans="1:6" x14ac:dyDescent="0.2">
      <c r="A19564" t="s">
        <v>31893</v>
      </c>
      <c r="B19564" t="s">
        <v>31903</v>
      </c>
      <c r="C19564" t="s">
        <v>189</v>
      </c>
      <c r="D19564" t="s">
        <v>412</v>
      </c>
      <c r="E19564" t="s">
        <v>15</v>
      </c>
      <c r="F19564" s="2" t="str">
        <f>HYPERLINK("http://www.otzar.org/book.asp?142524","כתר תורה")</f>
        <v>כתר תורה</v>
      </c>
    </row>
    <row r="19565" spans="1:6" x14ac:dyDescent="0.2">
      <c r="A19565" t="s">
        <v>31904</v>
      </c>
      <c r="B19565" t="s">
        <v>31905</v>
      </c>
      <c r="C19565" t="s">
        <v>20088</v>
      </c>
      <c r="D19565" t="s">
        <v>1490</v>
      </c>
      <c r="E19565" t="s">
        <v>104</v>
      </c>
      <c r="F19565" s="2" t="str">
        <f>HYPERLINK("http://www.otzar.org/book.asp?153316","כתר תורה - תרי""ג מצות")</f>
        <v>כתר תורה - תרי"ג מצות</v>
      </c>
    </row>
    <row r="19566" spans="1:6" x14ac:dyDescent="0.2">
      <c r="A19566" t="s">
        <v>31906</v>
      </c>
      <c r="B19566" t="s">
        <v>31907</v>
      </c>
      <c r="C19566" t="s">
        <v>129</v>
      </c>
      <c r="D19566" t="s">
        <v>52</v>
      </c>
      <c r="F19566" s="2" t="str">
        <f>HYPERLINK("http://www.otzar.org/book.asp?613993","כתר תורה - כללי התלמוד מרבותינו בעלי התוספות")</f>
        <v>כתר תורה - כללי התלמוד מרבותינו בעלי התוספות</v>
      </c>
    </row>
    <row r="19567" spans="1:6" x14ac:dyDescent="0.2">
      <c r="A19567" t="s">
        <v>31893</v>
      </c>
      <c r="B19567" t="s">
        <v>31908</v>
      </c>
      <c r="C19567" t="s">
        <v>129</v>
      </c>
      <c r="D19567" t="s">
        <v>52</v>
      </c>
      <c r="E19567" t="s">
        <v>144</v>
      </c>
      <c r="F19567" s="2" t="str">
        <f>HYPERLINK("http://www.otzar.org/book.asp?85258","כתר תורה")</f>
        <v>כתר תורה</v>
      </c>
    </row>
    <row r="19568" spans="1:6" x14ac:dyDescent="0.2">
      <c r="A19568" t="s">
        <v>31909</v>
      </c>
      <c r="B19568" t="s">
        <v>4369</v>
      </c>
      <c r="C19568" t="s">
        <v>812</v>
      </c>
      <c r="D19568" t="s">
        <v>7894</v>
      </c>
      <c r="E19568" t="s">
        <v>202</v>
      </c>
      <c r="F19568" s="2" t="str">
        <f>HYPERLINK("http://www.otzar.org/book.asp?146352","כתר תורה - 2 כר'")</f>
        <v>כתר תורה - 2 כר'</v>
      </c>
    </row>
    <row r="19569" spans="1:6" x14ac:dyDescent="0.2">
      <c r="A19569" t="s">
        <v>31893</v>
      </c>
      <c r="B19569" t="s">
        <v>31910</v>
      </c>
      <c r="C19569" t="s">
        <v>10667</v>
      </c>
      <c r="D19569" t="s">
        <v>17587</v>
      </c>
      <c r="E19569" t="s">
        <v>202</v>
      </c>
      <c r="F19569" s="2" t="str">
        <f>HYPERLINK("http://www.otzar.org/book.asp?144259","כתר תורה")</f>
        <v>כתר תורה</v>
      </c>
    </row>
    <row r="19570" spans="1:6" x14ac:dyDescent="0.2">
      <c r="A19570" t="s">
        <v>31893</v>
      </c>
      <c r="B19570" t="s">
        <v>31887</v>
      </c>
      <c r="C19570" t="s">
        <v>1284</v>
      </c>
      <c r="D19570" t="s">
        <v>283</v>
      </c>
      <c r="E19570" t="s">
        <v>22169</v>
      </c>
      <c r="F19570" s="2" t="str">
        <f>HYPERLINK("http://www.otzar.org/book.asp?101237","כתר תורה")</f>
        <v>כתר תורה</v>
      </c>
    </row>
    <row r="19571" spans="1:6" x14ac:dyDescent="0.2">
      <c r="A19571" t="s">
        <v>31911</v>
      </c>
      <c r="B19571" t="s">
        <v>31912</v>
      </c>
      <c r="C19571" t="s">
        <v>366</v>
      </c>
      <c r="D19571" t="s">
        <v>216</v>
      </c>
      <c r="E19571" t="s">
        <v>10893</v>
      </c>
      <c r="F19571" s="2" t="str">
        <f>HYPERLINK("http://www.otzar.org/book.asp?629305","כתר תורה - שבועות ומסכת אבות")</f>
        <v>כתר תורה - שבועות ומסכת אבות</v>
      </c>
    </row>
    <row r="19572" spans="1:6" x14ac:dyDescent="0.2">
      <c r="A19572" t="s">
        <v>31893</v>
      </c>
      <c r="B19572" t="s">
        <v>31913</v>
      </c>
      <c r="C19572" t="s">
        <v>1885</v>
      </c>
      <c r="D19572" t="s">
        <v>27</v>
      </c>
      <c r="E19572" t="s">
        <v>213</v>
      </c>
      <c r="F19572" s="2" t="str">
        <f>HYPERLINK("http://www.otzar.org/book.asp?6275","כתר תורה")</f>
        <v>כתר תורה</v>
      </c>
    </row>
    <row r="19573" spans="1:6" x14ac:dyDescent="0.2">
      <c r="A19573" t="s">
        <v>31909</v>
      </c>
      <c r="B19573" t="s">
        <v>31914</v>
      </c>
      <c r="C19573" t="s">
        <v>594</v>
      </c>
      <c r="D19573" t="s">
        <v>56</v>
      </c>
      <c r="E19573" t="s">
        <v>104</v>
      </c>
      <c r="F19573" s="2" t="str">
        <f>HYPERLINK("http://www.otzar.org/book.asp?149649","כתר תורה - 2 כר'")</f>
        <v>כתר תורה - 2 כר'</v>
      </c>
    </row>
    <row r="19574" spans="1:6" x14ac:dyDescent="0.2">
      <c r="A19574" t="s">
        <v>31893</v>
      </c>
      <c r="B19574" t="s">
        <v>31915</v>
      </c>
      <c r="C19574" t="s">
        <v>244</v>
      </c>
      <c r="D19574" t="s">
        <v>23490</v>
      </c>
      <c r="E19574" t="s">
        <v>202</v>
      </c>
      <c r="F19574" s="2" t="str">
        <f>HYPERLINK("http://www.otzar.org/book.asp?197225","כתר תורה")</f>
        <v>כתר תורה</v>
      </c>
    </row>
    <row r="19575" spans="1:6" x14ac:dyDescent="0.2">
      <c r="A19575" t="s">
        <v>31916</v>
      </c>
      <c r="B19575" t="s">
        <v>489</v>
      </c>
      <c r="C19575" t="s">
        <v>143</v>
      </c>
      <c r="D19575" t="s">
        <v>52</v>
      </c>
      <c r="F19575" s="2" t="str">
        <f>HYPERLINK("http://www.otzar.org/book.asp?614413","כתר תורה - 4 כר'")</f>
        <v>כתר תורה - 4 כר'</v>
      </c>
    </row>
    <row r="19576" spans="1:6" x14ac:dyDescent="0.2">
      <c r="A19576" t="s">
        <v>31893</v>
      </c>
      <c r="B19576" t="s">
        <v>24171</v>
      </c>
      <c r="C19576" t="s">
        <v>600</v>
      </c>
      <c r="D19576" t="s">
        <v>56</v>
      </c>
      <c r="E19576" t="s">
        <v>31917</v>
      </c>
      <c r="F19576" s="2" t="str">
        <f>HYPERLINK("http://www.otzar.org/book.asp?102251","כתר תורה")</f>
        <v>כתר תורה</v>
      </c>
    </row>
    <row r="19577" spans="1:6" x14ac:dyDescent="0.2">
      <c r="A19577" t="s">
        <v>31893</v>
      </c>
      <c r="B19577" t="s">
        <v>31918</v>
      </c>
      <c r="C19577" t="s">
        <v>2543</v>
      </c>
      <c r="D19577" t="s">
        <v>6459</v>
      </c>
      <c r="E19577" t="s">
        <v>104</v>
      </c>
      <c r="F19577" s="2" t="str">
        <f>HYPERLINK("http://www.otzar.org/book.asp?24689","כתר תורה")</f>
        <v>כתר תורה</v>
      </c>
    </row>
    <row r="19578" spans="1:6" x14ac:dyDescent="0.2">
      <c r="A19578" t="s">
        <v>31893</v>
      </c>
      <c r="B19578" t="s">
        <v>31919</v>
      </c>
      <c r="C19578" t="s">
        <v>1844</v>
      </c>
      <c r="D19578" t="s">
        <v>2373</v>
      </c>
      <c r="F19578" s="2" t="str">
        <f>HYPERLINK("http://www.otzar.org/book.asp?615691","כתר תורה")</f>
        <v>כתר תורה</v>
      </c>
    </row>
    <row r="19579" spans="1:6" x14ac:dyDescent="0.2">
      <c r="A19579" t="s">
        <v>31920</v>
      </c>
      <c r="B19579" t="s">
        <v>31921</v>
      </c>
      <c r="C19579" t="s">
        <v>466</v>
      </c>
      <c r="D19579" t="s">
        <v>118</v>
      </c>
      <c r="E19579" t="s">
        <v>674</v>
      </c>
      <c r="F19579" s="2" t="str">
        <f>HYPERLINK("http://www.otzar.org/book.asp?170837","כתר - 7 כר'")</f>
        <v>כתר - 7 כר'</v>
      </c>
    </row>
    <row r="19580" spans="1:6" x14ac:dyDescent="0.2">
      <c r="A19580" t="s">
        <v>31922</v>
      </c>
      <c r="B19580" t="s">
        <v>31923</v>
      </c>
      <c r="C19580" t="s">
        <v>68</v>
      </c>
      <c r="D19580" t="s">
        <v>10588</v>
      </c>
      <c r="E19580" t="s">
        <v>1174</v>
      </c>
      <c r="F19580" s="2" t="str">
        <f>HYPERLINK("http://www.otzar.org/book.asp?158710","כתרא דמלכא - ב")</f>
        <v>כתרא דמלכא - ב</v>
      </c>
    </row>
    <row r="19581" spans="1:6" x14ac:dyDescent="0.2">
      <c r="A19581" t="s">
        <v>31924</v>
      </c>
      <c r="B19581" t="s">
        <v>1750</v>
      </c>
      <c r="C19581" t="s">
        <v>767</v>
      </c>
      <c r="D19581" t="s">
        <v>1205</v>
      </c>
      <c r="E19581" t="s">
        <v>202</v>
      </c>
      <c r="F19581" s="2" t="str">
        <f>HYPERLINK("http://www.otzar.org/book.asp?61949","כתרה של תורה &lt;כנסת שלמה&gt;")</f>
        <v>כתרה של תורה &lt;כנסת שלמה&gt;</v>
      </c>
    </row>
    <row r="19582" spans="1:6" x14ac:dyDescent="0.2">
      <c r="A19582" t="s">
        <v>31925</v>
      </c>
      <c r="B19582" t="s">
        <v>31926</v>
      </c>
      <c r="C19582" t="s">
        <v>37</v>
      </c>
      <c r="D19582" t="s">
        <v>229</v>
      </c>
      <c r="E19582" t="s">
        <v>202</v>
      </c>
      <c r="F19582" s="2" t="str">
        <f>HYPERLINK("http://www.otzar.org/book.asp?622209","כתרה של תורה")</f>
        <v>כתרה של תורה</v>
      </c>
    </row>
    <row r="19583" spans="1:6" x14ac:dyDescent="0.2">
      <c r="A19583" t="s">
        <v>31927</v>
      </c>
      <c r="B19583" t="s">
        <v>31928</v>
      </c>
      <c r="C19583" t="s">
        <v>422</v>
      </c>
      <c r="D19583" t="s">
        <v>14</v>
      </c>
      <c r="E19583" t="s">
        <v>104</v>
      </c>
      <c r="F19583" s="2" t="str">
        <f>HYPERLINK("http://www.otzar.org/book.asp?149519","כתרי אותיות")</f>
        <v>כתרי אותיות</v>
      </c>
    </row>
    <row r="19584" spans="1:6" x14ac:dyDescent="0.2">
      <c r="A19584" t="s">
        <v>31929</v>
      </c>
      <c r="B19584" t="s">
        <v>489</v>
      </c>
      <c r="C19584" t="s">
        <v>189</v>
      </c>
      <c r="D19584" t="s">
        <v>412</v>
      </c>
      <c r="E19584" t="s">
        <v>202</v>
      </c>
      <c r="F19584" s="2" t="str">
        <f>HYPERLINK("http://www.otzar.org/book.asp?195465","כתרי אלעזר - 2 כר'")</f>
        <v>כתרי אלעזר - 2 כר'</v>
      </c>
    </row>
    <row r="19585" spans="1:6" x14ac:dyDescent="0.2">
      <c r="A19585" t="s">
        <v>31930</v>
      </c>
      <c r="B19585" t="s">
        <v>31930</v>
      </c>
      <c r="C19585" t="s">
        <v>767</v>
      </c>
      <c r="D19585" t="s">
        <v>14</v>
      </c>
      <c r="E19585" t="s">
        <v>246</v>
      </c>
      <c r="F19585" s="2" t="str">
        <f>HYPERLINK("http://www.otzar.org/book.asp?143039","ל""ג בעמר")</f>
        <v>ל"ג בעמר</v>
      </c>
    </row>
    <row r="19586" spans="1:6" x14ac:dyDescent="0.2">
      <c r="A19586" t="s">
        <v>31931</v>
      </c>
      <c r="B19586" t="s">
        <v>1733</v>
      </c>
      <c r="C19586" t="s">
        <v>356</v>
      </c>
      <c r="D19586" t="s">
        <v>52</v>
      </c>
      <c r="E19586" t="s">
        <v>140</v>
      </c>
      <c r="F19586" s="2" t="str">
        <f>HYPERLINK("http://www.otzar.org/book.asp?5009","ל""ו צדיקים נסתרים - 2 כר'")</f>
        <v>ל"ו צדיקים נסתרים - 2 כר'</v>
      </c>
    </row>
    <row r="19587" spans="1:6" x14ac:dyDescent="0.2">
      <c r="A19587" t="s">
        <v>31932</v>
      </c>
      <c r="B19587" t="s">
        <v>9226</v>
      </c>
      <c r="C19587" t="s">
        <v>1470</v>
      </c>
      <c r="D19587" t="s">
        <v>27</v>
      </c>
      <c r="E19587" t="s">
        <v>15</v>
      </c>
      <c r="F19587" s="2" t="str">
        <f>HYPERLINK("http://www.otzar.org/book.asp?13511","ל""ו שערים")</f>
        <v>ל"ו שערים</v>
      </c>
    </row>
    <row r="19588" spans="1:6" x14ac:dyDescent="0.2">
      <c r="A19588" t="s">
        <v>31932</v>
      </c>
      <c r="B19588" t="s">
        <v>16927</v>
      </c>
      <c r="C19588" t="s">
        <v>698</v>
      </c>
      <c r="D19588" t="s">
        <v>9</v>
      </c>
      <c r="E19588" t="s">
        <v>15</v>
      </c>
      <c r="F19588" s="2" t="str">
        <f>HYPERLINK("http://www.otzar.org/book.asp?7789","ל""ו שערים")</f>
        <v>ל"ו שערים</v>
      </c>
    </row>
    <row r="19589" spans="1:6" x14ac:dyDescent="0.2">
      <c r="A19589" t="s">
        <v>31933</v>
      </c>
      <c r="B19589" t="s">
        <v>7320</v>
      </c>
      <c r="C19589" t="s">
        <v>37</v>
      </c>
      <c r="D19589" t="s">
        <v>14</v>
      </c>
      <c r="E19589" t="s">
        <v>130</v>
      </c>
      <c r="F19589" s="2" t="str">
        <f>HYPERLINK("http://www.otzar.org/book.asp?630580","ל""ט מלאכות שבת - לתלמידים")</f>
        <v>ל"ט מלאכות שבת - לתלמידים</v>
      </c>
    </row>
    <row r="19590" spans="1:6" x14ac:dyDescent="0.2">
      <c r="A19590" t="s">
        <v>31934</v>
      </c>
      <c r="B19590" t="s">
        <v>31935</v>
      </c>
      <c r="C19590" t="s">
        <v>1663</v>
      </c>
      <c r="D19590" t="s">
        <v>1889</v>
      </c>
      <c r="E19590" t="s">
        <v>246</v>
      </c>
      <c r="F19590" s="2" t="str">
        <f>HYPERLINK("http://www.otzar.org/book.asp?51538","לא אמות כי אחיה")</f>
        <v>לא אמות כי אחיה</v>
      </c>
    </row>
    <row r="19591" spans="1:6" x14ac:dyDescent="0.2">
      <c r="A19591" t="s">
        <v>31934</v>
      </c>
      <c r="B19591" t="s">
        <v>31936</v>
      </c>
      <c r="C19591" t="s">
        <v>553</v>
      </c>
      <c r="D19591" t="s">
        <v>14591</v>
      </c>
      <c r="E19591" t="s">
        <v>119</v>
      </c>
      <c r="F19591" s="2" t="str">
        <f>HYPERLINK("http://www.otzar.org/book.asp?172354","לא אמות כי אחיה")</f>
        <v>לא אמות כי אחיה</v>
      </c>
    </row>
    <row r="19592" spans="1:6" x14ac:dyDescent="0.2">
      <c r="A19592" t="s">
        <v>31937</v>
      </c>
      <c r="B19592" t="s">
        <v>22059</v>
      </c>
      <c r="C19592" t="s">
        <v>20</v>
      </c>
      <c r="D19592" t="s">
        <v>27</v>
      </c>
      <c r="E19592" t="s">
        <v>241</v>
      </c>
      <c r="F19592" s="2" t="str">
        <f>HYPERLINK("http://www.otzar.org/book.asp?180437","לא גבה לבי - אני קהלת - אתה לבדך ידעת - בכה ר""ע")</f>
        <v>לא גבה לבי - אני קהלת - אתה לבדך ידעת - בכה ר"ע</v>
      </c>
    </row>
    <row r="19593" spans="1:6" x14ac:dyDescent="0.2">
      <c r="A19593" t="s">
        <v>31938</v>
      </c>
      <c r="B19593" t="s">
        <v>31939</v>
      </c>
      <c r="C19593" t="s">
        <v>176</v>
      </c>
      <c r="D19593" t="s">
        <v>14</v>
      </c>
      <c r="E19593" t="s">
        <v>684</v>
      </c>
      <c r="F19593" s="2" t="str">
        <f>HYPERLINK("http://www.otzar.org/book.asp?166195","לא יסור שבט מיהודה")</f>
        <v>לא יסור שבט מיהודה</v>
      </c>
    </row>
    <row r="19594" spans="1:6" x14ac:dyDescent="0.2">
      <c r="A19594" t="s">
        <v>31940</v>
      </c>
      <c r="B19594" t="s">
        <v>12426</v>
      </c>
      <c r="C19594" t="s">
        <v>17</v>
      </c>
      <c r="D19594" t="s">
        <v>657</v>
      </c>
      <c r="E19594" t="s">
        <v>104</v>
      </c>
      <c r="F19594" s="2" t="str">
        <f>HYPERLINK("http://www.otzar.org/book.asp?19332","לא כל הזכויות שמורות")</f>
        <v>לא כל הזכויות שמורות</v>
      </c>
    </row>
    <row r="19595" spans="1:6" x14ac:dyDescent="0.2">
      <c r="A19595" t="s">
        <v>31941</v>
      </c>
      <c r="B19595" t="s">
        <v>31942</v>
      </c>
      <c r="C19595" t="s">
        <v>37</v>
      </c>
      <c r="D19595" t="s">
        <v>14</v>
      </c>
      <c r="E19595" t="s">
        <v>241</v>
      </c>
      <c r="F19595" s="2" t="str">
        <f>HYPERLINK("http://www.otzar.org/book.asp?621753","לא מעבר לים")</f>
        <v>לא מעבר לים</v>
      </c>
    </row>
    <row r="19596" spans="1:6" x14ac:dyDescent="0.2">
      <c r="A19596" t="s">
        <v>31943</v>
      </c>
      <c r="B19596" t="s">
        <v>20928</v>
      </c>
      <c r="C19596" t="s">
        <v>68</v>
      </c>
      <c r="D19596" t="s">
        <v>52</v>
      </c>
      <c r="E19596" t="s">
        <v>674</v>
      </c>
      <c r="F19596" s="2" t="str">
        <f>HYPERLINK("http://www.otzar.org/book.asp?191469","לא נחש ביעקב")</f>
        <v>לא נחש ביעקב</v>
      </c>
    </row>
    <row r="19597" spans="1:6" x14ac:dyDescent="0.2">
      <c r="A19597" t="s">
        <v>31944</v>
      </c>
      <c r="B19597" t="s">
        <v>102</v>
      </c>
      <c r="C19597" t="s">
        <v>87</v>
      </c>
      <c r="D19597" t="s">
        <v>14</v>
      </c>
      <c r="E19597" t="s">
        <v>241</v>
      </c>
      <c r="F19597" s="2" t="str">
        <f>HYPERLINK("http://www.otzar.org/book.asp?157693","לא נתנו צאנס")</f>
        <v>לא נתנו צאנס</v>
      </c>
    </row>
    <row r="19598" spans="1:6" x14ac:dyDescent="0.2">
      <c r="A19598" t="s">
        <v>31945</v>
      </c>
      <c r="B19598" t="s">
        <v>8100</v>
      </c>
      <c r="C19598" t="s">
        <v>23</v>
      </c>
      <c r="D19598" t="s">
        <v>90</v>
      </c>
      <c r="E19598" t="s">
        <v>393</v>
      </c>
      <c r="F19598" s="2" t="str">
        <f>HYPERLINK("http://www.otzar.org/book.asp?193307","לא סתם ליקוט")</f>
        <v>לא סתם ליקוט</v>
      </c>
    </row>
    <row r="19599" spans="1:6" x14ac:dyDescent="0.2">
      <c r="A19599" t="s">
        <v>31946</v>
      </c>
      <c r="B19599" t="s">
        <v>19768</v>
      </c>
      <c r="C19599" t="s">
        <v>624</v>
      </c>
      <c r="D19599" t="s">
        <v>52</v>
      </c>
      <c r="E19599" t="s">
        <v>15</v>
      </c>
      <c r="F19599" s="2" t="str">
        <f>HYPERLINK("http://www.otzar.org/book.asp?604661","לא תחנם")</f>
        <v>לא תחנם</v>
      </c>
    </row>
    <row r="19600" spans="1:6" x14ac:dyDescent="0.2">
      <c r="A19600" t="s">
        <v>31947</v>
      </c>
      <c r="B19600" t="s">
        <v>5293</v>
      </c>
      <c r="C19600" t="s">
        <v>37</v>
      </c>
      <c r="D19600" t="s">
        <v>14</v>
      </c>
      <c r="E19600" t="s">
        <v>104</v>
      </c>
      <c r="F19600" s="2" t="str">
        <f>HYPERLINK("http://www.otzar.org/book.asp?614849","לא תסור ימין ושמאל")</f>
        <v>לא תסור ימין ושמאל</v>
      </c>
    </row>
    <row r="19601" spans="1:6" x14ac:dyDescent="0.2">
      <c r="A19601" t="s">
        <v>31948</v>
      </c>
      <c r="B19601" t="s">
        <v>31949</v>
      </c>
      <c r="C19601" t="s">
        <v>71</v>
      </c>
      <c r="D19601" t="s">
        <v>14</v>
      </c>
      <c r="E19601" t="s">
        <v>213</v>
      </c>
      <c r="F19601" s="2" t="str">
        <f>HYPERLINK("http://www.otzar.org/book.asp?6066","לא תעמוד על דם רעך")</f>
        <v>לא תעמוד על דם רעך</v>
      </c>
    </row>
    <row r="19602" spans="1:6" x14ac:dyDescent="0.2">
      <c r="A19602" t="s">
        <v>31950</v>
      </c>
      <c r="B19602" t="s">
        <v>17109</v>
      </c>
      <c r="C19602" t="s">
        <v>189</v>
      </c>
      <c r="D19602" t="s">
        <v>52</v>
      </c>
      <c r="E19602" t="s">
        <v>803</v>
      </c>
      <c r="F19602" s="2" t="str">
        <f>HYPERLINK("http://www.otzar.org/book.asp?51084","לא תשיך")</f>
        <v>לא תשיך</v>
      </c>
    </row>
    <row r="19603" spans="1:6" x14ac:dyDescent="0.2">
      <c r="A19603" t="s">
        <v>31951</v>
      </c>
      <c r="B19603" t="s">
        <v>31952</v>
      </c>
      <c r="C19603" t="s">
        <v>237</v>
      </c>
      <c r="D19603" t="s">
        <v>90</v>
      </c>
      <c r="E19603" t="s">
        <v>119</v>
      </c>
      <c r="F19603" s="2" t="str">
        <f>HYPERLINK("http://www.otzar.org/book.asp?164992","לא תשכח")</f>
        <v>לא תשכח</v>
      </c>
    </row>
    <row r="19604" spans="1:6" x14ac:dyDescent="0.2">
      <c r="A19604" t="s">
        <v>31951</v>
      </c>
      <c r="B19604" t="s">
        <v>3431</v>
      </c>
      <c r="C19604" t="s">
        <v>176</v>
      </c>
      <c r="D19604" t="s">
        <v>1356</v>
      </c>
      <c r="E19604" t="s">
        <v>15</v>
      </c>
      <c r="F19604" s="2" t="str">
        <f>HYPERLINK("http://www.otzar.org/book.asp?141789","לא תשכח")</f>
        <v>לא תשכח</v>
      </c>
    </row>
    <row r="19605" spans="1:6" x14ac:dyDescent="0.2">
      <c r="A19605" t="s">
        <v>31953</v>
      </c>
      <c r="B19605" t="s">
        <v>19661</v>
      </c>
      <c r="C19605" t="s">
        <v>133</v>
      </c>
      <c r="D19605" t="s">
        <v>80</v>
      </c>
      <c r="E19605" t="s">
        <v>714</v>
      </c>
      <c r="F19605" s="2" t="str">
        <f>HYPERLINK("http://www.otzar.org/book.asp?600262","לא תשנא את אחיך")</f>
        <v>לא תשנא את אחיך</v>
      </c>
    </row>
    <row r="19606" spans="1:6" x14ac:dyDescent="0.2">
      <c r="A19606" t="s">
        <v>31954</v>
      </c>
      <c r="B19606" t="s">
        <v>8998</v>
      </c>
      <c r="C19606" t="s">
        <v>111</v>
      </c>
      <c r="D19606" t="s">
        <v>52</v>
      </c>
      <c r="E19606" t="s">
        <v>15</v>
      </c>
      <c r="F19606" s="2" t="str">
        <f>HYPERLINK("http://www.otzar.org/book.asp?627451","לא תתגודדו בהלכה ואגדה")</f>
        <v>לא תתגודדו בהלכה ואגדה</v>
      </c>
    </row>
    <row r="19607" spans="1:6" x14ac:dyDescent="0.2">
      <c r="A19607" t="s">
        <v>31955</v>
      </c>
      <c r="B19607" t="s">
        <v>22284</v>
      </c>
      <c r="C19607" t="s">
        <v>433</v>
      </c>
      <c r="D19607" t="s">
        <v>1889</v>
      </c>
      <c r="E19607" t="s">
        <v>10</v>
      </c>
      <c r="F19607" s="2" t="str">
        <f>HYPERLINK("http://www.otzar.org/book.asp?28600","לאברהם למקנה (מתוך ויען אברהם)")</f>
        <v>לאברהם למקנה (מתוך ויען אברהם)</v>
      </c>
    </row>
    <row r="19608" spans="1:6" x14ac:dyDescent="0.2">
      <c r="A19608" t="s">
        <v>31956</v>
      </c>
      <c r="B19608" t="s">
        <v>31957</v>
      </c>
      <c r="C19608" t="s">
        <v>594</v>
      </c>
      <c r="D19608" t="s">
        <v>76</v>
      </c>
      <c r="E19608" t="s">
        <v>803</v>
      </c>
      <c r="F19608" s="2" t="str">
        <f>HYPERLINK("http://www.otzar.org/book.asp?101311","לאברהם למקנה")</f>
        <v>לאברהם למקנה</v>
      </c>
    </row>
    <row r="19609" spans="1:6" x14ac:dyDescent="0.2">
      <c r="A19609" t="s">
        <v>31958</v>
      </c>
      <c r="B19609" t="s">
        <v>206</v>
      </c>
      <c r="E19609" t="s">
        <v>241</v>
      </c>
      <c r="F19609" s="2" t="str">
        <f>HYPERLINK("http://www.otzar.org/book.asp?622738","לאהבה וליראה")</f>
        <v>לאהבה וליראה</v>
      </c>
    </row>
    <row r="19610" spans="1:6" x14ac:dyDescent="0.2">
      <c r="A19610" t="s">
        <v>31959</v>
      </c>
      <c r="B19610" t="s">
        <v>31960</v>
      </c>
      <c r="C19610" t="s">
        <v>13</v>
      </c>
      <c r="D19610" t="s">
        <v>273</v>
      </c>
      <c r="E19610" t="s">
        <v>104</v>
      </c>
      <c r="F19610" s="2" t="str">
        <f>HYPERLINK("http://www.otzar.org/book.asp?148475","לאהוב ולחנך")</f>
        <v>לאהוב ולחנך</v>
      </c>
    </row>
    <row r="19611" spans="1:6" x14ac:dyDescent="0.2">
      <c r="A19611" t="s">
        <v>31961</v>
      </c>
      <c r="B19611" t="s">
        <v>5651</v>
      </c>
      <c r="C19611" t="s">
        <v>411</v>
      </c>
      <c r="D19611" t="s">
        <v>14</v>
      </c>
      <c r="F19611" s="2" t="str">
        <f>HYPERLINK("http://www.otzar.org/book.asp?169502","לאוקמי גירסא - 2 כר'")</f>
        <v>לאוקמי גירסא - 2 כר'</v>
      </c>
    </row>
    <row r="19612" spans="1:6" x14ac:dyDescent="0.2">
      <c r="A19612" t="s">
        <v>31962</v>
      </c>
      <c r="B19612" t="s">
        <v>31963</v>
      </c>
      <c r="C19612" t="s">
        <v>775</v>
      </c>
      <c r="D19612" t="s">
        <v>14</v>
      </c>
      <c r="E19612" t="s">
        <v>144</v>
      </c>
      <c r="F19612" s="2" t="str">
        <f>HYPERLINK("http://www.otzar.org/book.asp?149720","לאוקמי גירסא")</f>
        <v>לאוקמי גירסא</v>
      </c>
    </row>
    <row r="19613" spans="1:6" x14ac:dyDescent="0.2">
      <c r="A19613" t="s">
        <v>31964</v>
      </c>
      <c r="B19613" t="s">
        <v>10829</v>
      </c>
      <c r="C19613" t="s">
        <v>114</v>
      </c>
      <c r="D19613" t="s">
        <v>118</v>
      </c>
      <c r="E19613" t="s">
        <v>158</v>
      </c>
      <c r="F19613" s="2" t="str">
        <f>HYPERLINK("http://www.otzar.org/book.asp?161036","לאור באור החיים - 2 כר'")</f>
        <v>לאור באור החיים - 2 כר'</v>
      </c>
    </row>
    <row r="19614" spans="1:6" x14ac:dyDescent="0.2">
      <c r="A19614" t="s">
        <v>31965</v>
      </c>
      <c r="B19614" t="s">
        <v>31966</v>
      </c>
      <c r="C19614" t="s">
        <v>1246</v>
      </c>
      <c r="D19614" t="s">
        <v>9</v>
      </c>
      <c r="F19614" s="2" t="str">
        <f>HYPERLINK("http://www.otzar.org/book.asp?51524","לאור האגדה")</f>
        <v>לאור האגדה</v>
      </c>
    </row>
    <row r="19615" spans="1:6" x14ac:dyDescent="0.2">
      <c r="A19615" t="s">
        <v>31967</v>
      </c>
      <c r="B19615" t="s">
        <v>5574</v>
      </c>
      <c r="C19615" t="s">
        <v>1609</v>
      </c>
      <c r="D19615" t="s">
        <v>9</v>
      </c>
      <c r="E19615" t="s">
        <v>213</v>
      </c>
      <c r="F19615" s="2" t="str">
        <f>HYPERLINK("http://www.otzar.org/book.asp?16987","לאור האמונה")</f>
        <v>לאור האמונה</v>
      </c>
    </row>
    <row r="19616" spans="1:6" x14ac:dyDescent="0.2">
      <c r="A19616" t="s">
        <v>31968</v>
      </c>
      <c r="B19616" t="s">
        <v>31969</v>
      </c>
      <c r="C19616" t="s">
        <v>313</v>
      </c>
      <c r="D19616" t="s">
        <v>14</v>
      </c>
      <c r="E19616" t="s">
        <v>674</v>
      </c>
      <c r="F19616" s="2" t="str">
        <f>HYPERLINK("http://www.otzar.org/book.asp?171997","לאור ההלכה - ב")</f>
        <v>לאור ההלכה - ב</v>
      </c>
    </row>
    <row r="19617" spans="1:6" x14ac:dyDescent="0.2">
      <c r="A19617" t="s">
        <v>31970</v>
      </c>
      <c r="B19617" t="s">
        <v>5449</v>
      </c>
      <c r="C19617" t="s">
        <v>103</v>
      </c>
      <c r="D19617" t="s">
        <v>14</v>
      </c>
      <c r="E19617" t="s">
        <v>674</v>
      </c>
      <c r="F19617" s="2" t="str">
        <f>HYPERLINK("http://www.otzar.org/book.asp?144241","לאור ההלכה - 2 כר'")</f>
        <v>לאור ההלכה - 2 כר'</v>
      </c>
    </row>
    <row r="19618" spans="1:6" x14ac:dyDescent="0.2">
      <c r="A19618" t="s">
        <v>31971</v>
      </c>
      <c r="B19618" t="s">
        <v>31972</v>
      </c>
      <c r="C19618" t="s">
        <v>438</v>
      </c>
      <c r="D19618" t="s">
        <v>412</v>
      </c>
      <c r="E19618" t="s">
        <v>213</v>
      </c>
      <c r="F19618" s="2" t="str">
        <f>HYPERLINK("http://www.otzar.org/book.asp?16990","לאור הנצח")</f>
        <v>לאור הנצח</v>
      </c>
    </row>
    <row r="19619" spans="1:6" x14ac:dyDescent="0.2">
      <c r="A19619" t="s">
        <v>31973</v>
      </c>
      <c r="B19619" t="s">
        <v>31974</v>
      </c>
      <c r="C19619" t="s">
        <v>111</v>
      </c>
      <c r="D19619" t="s">
        <v>21</v>
      </c>
      <c r="E19619" t="s">
        <v>230</v>
      </c>
      <c r="F19619" s="2" t="str">
        <f>HYPERLINK("http://www.otzar.org/book.asp?622259","לאור קדושת לוי")</f>
        <v>לאור קדושת לוי</v>
      </c>
    </row>
    <row r="19620" spans="1:6" x14ac:dyDescent="0.2">
      <c r="A19620" t="s">
        <v>31975</v>
      </c>
      <c r="B19620" t="s">
        <v>1973</v>
      </c>
      <c r="C19620" t="s">
        <v>454</v>
      </c>
      <c r="D19620" t="s">
        <v>1974</v>
      </c>
      <c r="E19620" t="s">
        <v>733</v>
      </c>
      <c r="F19620" s="2" t="str">
        <f>HYPERLINK("http://www.otzar.org/book.asp?23642","לאורו נלך")</f>
        <v>לאורו נלך</v>
      </c>
    </row>
    <row r="19621" spans="1:6" x14ac:dyDescent="0.2">
      <c r="A19621" t="s">
        <v>31976</v>
      </c>
      <c r="B19621" t="s">
        <v>11669</v>
      </c>
      <c r="C19621" t="s">
        <v>422</v>
      </c>
      <c r="D19621" t="s">
        <v>14</v>
      </c>
      <c r="E19621" t="s">
        <v>199</v>
      </c>
      <c r="F19621" s="2" t="str">
        <f>HYPERLINK("http://www.otzar.org/book.asp?155041","לאורך ימים ושנים")</f>
        <v>לאורך ימים ושנים</v>
      </c>
    </row>
    <row r="19622" spans="1:6" x14ac:dyDescent="0.2">
      <c r="A19622" t="s">
        <v>31977</v>
      </c>
      <c r="B19622" t="s">
        <v>21184</v>
      </c>
      <c r="C19622" t="s">
        <v>940</v>
      </c>
      <c r="D19622" t="s">
        <v>14</v>
      </c>
      <c r="E19622" t="s">
        <v>119</v>
      </c>
      <c r="F19622" s="2" t="str">
        <f>HYPERLINK("http://www.otzar.org/book.asp?156799","לאורם של גדולי ישראל וראשי עם")</f>
        <v>לאורם של גדולי ישראל וראשי עם</v>
      </c>
    </row>
    <row r="19623" spans="1:6" x14ac:dyDescent="0.2">
      <c r="A19623" t="s">
        <v>31978</v>
      </c>
      <c r="B19623" t="s">
        <v>686</v>
      </c>
      <c r="C19623" t="s">
        <v>68</v>
      </c>
      <c r="D19623" t="s">
        <v>52</v>
      </c>
      <c r="E19623" t="s">
        <v>234</v>
      </c>
      <c r="F19623" s="2" t="str">
        <f>HYPERLINK("http://www.otzar.org/book.asp?172429","לאות ולזכרון")</f>
        <v>לאות ולזכרון</v>
      </c>
    </row>
    <row r="19624" spans="1:6" x14ac:dyDescent="0.2">
      <c r="A19624" t="s">
        <v>31978</v>
      </c>
      <c r="B19624" t="s">
        <v>31979</v>
      </c>
      <c r="C19624" t="s">
        <v>777</v>
      </c>
      <c r="D19624" t="s">
        <v>9</v>
      </c>
      <c r="E19624" t="s">
        <v>1776</v>
      </c>
      <c r="F19624" s="2" t="str">
        <f>HYPERLINK("http://www.otzar.org/book.asp?13140","לאות ולזכרון")</f>
        <v>לאות ולזכרון</v>
      </c>
    </row>
    <row r="19625" spans="1:6" x14ac:dyDescent="0.2">
      <c r="A19625" t="s">
        <v>31980</v>
      </c>
      <c r="B19625" t="s">
        <v>31972</v>
      </c>
      <c r="C19625" t="s">
        <v>1811</v>
      </c>
      <c r="D19625" t="s">
        <v>216</v>
      </c>
      <c r="F19625" s="2" t="str">
        <f>HYPERLINK("http://www.otzar.org/book.asp?614722","לאות ולעד - פנקס זכרון לבתי עלמין שנהרסו וחוללו")</f>
        <v>לאות ולעד - פנקס זכרון לבתי עלמין שנהרסו וחוללו</v>
      </c>
    </row>
    <row r="19626" spans="1:6" x14ac:dyDescent="0.2">
      <c r="A19626" t="s">
        <v>31981</v>
      </c>
      <c r="B19626" t="s">
        <v>107</v>
      </c>
      <c r="C19626" t="s">
        <v>767</v>
      </c>
      <c r="D19626" t="s">
        <v>14</v>
      </c>
      <c r="E19626" t="s">
        <v>104</v>
      </c>
      <c r="F19626" s="2" t="str">
        <f>HYPERLINK("http://www.otzar.org/book.asp?6514","לאחדות האומה")</f>
        <v>לאחדות האומה</v>
      </c>
    </row>
    <row r="19627" spans="1:6" x14ac:dyDescent="0.2">
      <c r="A19627" t="s">
        <v>31982</v>
      </c>
      <c r="B19627" t="s">
        <v>552</v>
      </c>
      <c r="C19627" t="s">
        <v>71</v>
      </c>
      <c r="D19627" t="s">
        <v>14</v>
      </c>
      <c r="E19627" t="s">
        <v>202</v>
      </c>
      <c r="F19627" s="2" t="str">
        <f>HYPERLINK("http://www.otzar.org/book.asp?19402","לאחוז בכוכבים [גורא]")</f>
        <v>לאחוז בכוכבים [גורא]</v>
      </c>
    </row>
    <row r="19628" spans="1:6" x14ac:dyDescent="0.2">
      <c r="A19628" t="s">
        <v>31983</v>
      </c>
      <c r="B19628" t="s">
        <v>17552</v>
      </c>
      <c r="C19628" t="s">
        <v>37</v>
      </c>
      <c r="D19628" t="s">
        <v>486</v>
      </c>
      <c r="E19628" t="s">
        <v>104</v>
      </c>
      <c r="F19628" s="2" t="str">
        <f>HYPERLINK("http://www.otzar.org/book.asp?189707","לאילן ריח - 4 כר'")</f>
        <v>לאילן ריח - 4 כר'</v>
      </c>
    </row>
    <row r="19629" spans="1:6" x14ac:dyDescent="0.2">
      <c r="A19629" t="s">
        <v>31984</v>
      </c>
      <c r="B19629" t="s">
        <v>31985</v>
      </c>
      <c r="C19629" t="s">
        <v>151</v>
      </c>
      <c r="D19629" t="s">
        <v>276</v>
      </c>
      <c r="E19629" t="s">
        <v>15</v>
      </c>
      <c r="F19629" s="2" t="str">
        <f>HYPERLINK("http://www.otzar.org/book.asp?620555","לאיש שלום")</f>
        <v>לאיש שלום</v>
      </c>
    </row>
    <row r="19630" spans="1:6" x14ac:dyDescent="0.2">
      <c r="A19630" t="s">
        <v>31986</v>
      </c>
      <c r="B19630" t="s">
        <v>272</v>
      </c>
      <c r="C19630" t="s">
        <v>37</v>
      </c>
      <c r="D19630" t="s">
        <v>273</v>
      </c>
      <c r="F19630" s="2" t="str">
        <f>HYPERLINK("http://www.otzar.org/book.asp?607932","לאכול כשר - יסודות הכשרות")</f>
        <v>לאכול כשר - יסודות הכשרות</v>
      </c>
    </row>
    <row r="19631" spans="1:6" x14ac:dyDescent="0.2">
      <c r="A19631" t="s">
        <v>31987</v>
      </c>
      <c r="B19631" t="s">
        <v>31988</v>
      </c>
      <c r="C19631" t="s">
        <v>2040</v>
      </c>
      <c r="D19631" t="s">
        <v>31989</v>
      </c>
      <c r="E19631" t="s">
        <v>1262</v>
      </c>
      <c r="F19631" s="2" t="str">
        <f>HYPERLINK("http://www.otzar.org/book.asp?104206","לאלהי מעוזים רני תודות")</f>
        <v>לאלהי מעוזים רני תודות</v>
      </c>
    </row>
    <row r="19632" spans="1:6" x14ac:dyDescent="0.2">
      <c r="A19632" t="s">
        <v>31990</v>
      </c>
      <c r="B19632" t="s">
        <v>31991</v>
      </c>
      <c r="C19632" t="s">
        <v>1570</v>
      </c>
      <c r="D19632" t="s">
        <v>14</v>
      </c>
      <c r="E19632" t="s">
        <v>213</v>
      </c>
      <c r="F19632" s="2" t="str">
        <f>HYPERLINK("http://www.otzar.org/book.asp?106493","לאן &lt;אגרת לבן ישיבה&gt; - ט")</f>
        <v>לאן &lt;אגרת לבן ישיבה&gt; - ט</v>
      </c>
    </row>
    <row r="19633" spans="1:6" x14ac:dyDescent="0.2">
      <c r="A19633" t="s">
        <v>31992</v>
      </c>
      <c r="B19633" t="s">
        <v>4222</v>
      </c>
      <c r="C19633" t="s">
        <v>313</v>
      </c>
      <c r="D19633" t="s">
        <v>118</v>
      </c>
      <c r="E19633" t="s">
        <v>241</v>
      </c>
      <c r="F19633" s="2" t="str">
        <f>HYPERLINK("http://www.otzar.org/book.asp?177127","לאן")</f>
        <v>לאן</v>
      </c>
    </row>
    <row r="19634" spans="1:6" x14ac:dyDescent="0.2">
      <c r="A19634" t="s">
        <v>31993</v>
      </c>
      <c r="B19634" t="s">
        <v>3901</v>
      </c>
      <c r="C19634" t="s">
        <v>624</v>
      </c>
      <c r="D19634" t="s">
        <v>52</v>
      </c>
      <c r="E19634" t="s">
        <v>104</v>
      </c>
      <c r="F19634" s="2" t="str">
        <f>HYPERLINK("http://www.otzar.org/book.asp?172227","לאנוש בינה")</f>
        <v>לאנוש בינה</v>
      </c>
    </row>
    <row r="19635" spans="1:6" x14ac:dyDescent="0.2">
      <c r="A19635" t="s">
        <v>31994</v>
      </c>
      <c r="B19635" t="s">
        <v>31995</v>
      </c>
      <c r="C19635" t="s">
        <v>422</v>
      </c>
      <c r="D19635" t="s">
        <v>657</v>
      </c>
      <c r="F19635" s="2" t="str">
        <f>HYPERLINK("http://www.otzar.org/book.asp?622808","לאסוקי שמעתתא - 12 כר'")</f>
        <v>לאסוקי שמעתתא - 12 כר'</v>
      </c>
    </row>
    <row r="19636" spans="1:6" x14ac:dyDescent="0.2">
      <c r="A19636" t="s">
        <v>31996</v>
      </c>
      <c r="B19636" t="s">
        <v>31997</v>
      </c>
      <c r="C19636" t="s">
        <v>146</v>
      </c>
      <c r="D19636" t="s">
        <v>14</v>
      </c>
      <c r="E19636" t="s">
        <v>144</v>
      </c>
      <c r="F19636" s="2" t="str">
        <f>HYPERLINK("http://www.otzar.org/book.asp?165895","לאסור איסר")</f>
        <v>לאסור איסר</v>
      </c>
    </row>
    <row r="19637" spans="1:6" x14ac:dyDescent="0.2">
      <c r="A19637" t="s">
        <v>31998</v>
      </c>
      <c r="B19637" t="s">
        <v>17431</v>
      </c>
      <c r="C19637" t="s">
        <v>114</v>
      </c>
      <c r="D19637" t="s">
        <v>52</v>
      </c>
      <c r="E19637" t="s">
        <v>15</v>
      </c>
      <c r="F19637" s="2" t="str">
        <f>HYPERLINK("http://www.otzar.org/book.asp?165094","לאפרושי מאיסורא - תולעים בדגים")</f>
        <v>לאפרושי מאיסורא - תולעים בדגים</v>
      </c>
    </row>
    <row r="19638" spans="1:6" x14ac:dyDescent="0.2">
      <c r="A19638" t="s">
        <v>31999</v>
      </c>
      <c r="B19638" t="s">
        <v>9358</v>
      </c>
      <c r="C19638" t="s">
        <v>26</v>
      </c>
      <c r="D19638" t="s">
        <v>14</v>
      </c>
      <c r="E19638" t="s">
        <v>119</v>
      </c>
      <c r="F19638" s="2" t="str">
        <f>HYPERLINK("http://www.otzar.org/book.asp?651","לאקענבך - קהלה קדושה לאקענבך")</f>
        <v>לאקענבך - קהלה קדושה לאקענבך</v>
      </c>
    </row>
    <row r="19639" spans="1:6" x14ac:dyDescent="0.2">
      <c r="A19639" t="s">
        <v>32000</v>
      </c>
      <c r="B19639" t="s">
        <v>21968</v>
      </c>
      <c r="C19639" t="s">
        <v>767</v>
      </c>
      <c r="D19639" t="s">
        <v>52</v>
      </c>
      <c r="E19639" t="s">
        <v>104</v>
      </c>
      <c r="F19639" s="2" t="str">
        <f>HYPERLINK("http://www.otzar.org/book.asp?196725","לב אבות על בנים")</f>
        <v>לב אבות על בנים</v>
      </c>
    </row>
    <row r="19640" spans="1:6" x14ac:dyDescent="0.2">
      <c r="A19640" t="s">
        <v>32001</v>
      </c>
      <c r="B19640" t="s">
        <v>32002</v>
      </c>
      <c r="C19640" t="s">
        <v>4741</v>
      </c>
      <c r="D19640" t="s">
        <v>76</v>
      </c>
      <c r="F19640" s="2" t="str">
        <f>HYPERLINK("http://www.otzar.org/book.asp?164895","לב אבות")</f>
        <v>לב אבות</v>
      </c>
    </row>
    <row r="19641" spans="1:6" x14ac:dyDescent="0.2">
      <c r="A19641" t="s">
        <v>32003</v>
      </c>
      <c r="B19641" t="s">
        <v>32004</v>
      </c>
      <c r="C19641" t="s">
        <v>129</v>
      </c>
      <c r="D19641" t="s">
        <v>14</v>
      </c>
      <c r="E19641" t="s">
        <v>25257</v>
      </c>
      <c r="F19641" s="2" t="str">
        <f>HYPERLINK("http://www.otzar.org/book.asp?154294","לב אבות - בנים על אבותם - א")</f>
        <v>לב אבות - בנים על אבותם - א</v>
      </c>
    </row>
    <row r="19642" spans="1:6" x14ac:dyDescent="0.2">
      <c r="A19642" t="s">
        <v>32001</v>
      </c>
      <c r="B19642" t="s">
        <v>32005</v>
      </c>
      <c r="C19642" t="s">
        <v>989</v>
      </c>
      <c r="D19642" t="s">
        <v>14</v>
      </c>
      <c r="E19642" t="s">
        <v>84</v>
      </c>
      <c r="F19642" s="2" t="str">
        <f>HYPERLINK("http://www.otzar.org/book.asp?167025","לב אבות")</f>
        <v>לב אבות</v>
      </c>
    </row>
    <row r="19643" spans="1:6" x14ac:dyDescent="0.2">
      <c r="A19643" t="s">
        <v>32001</v>
      </c>
      <c r="B19643" t="s">
        <v>1750</v>
      </c>
      <c r="C19643" t="s">
        <v>168</v>
      </c>
      <c r="D19643" t="s">
        <v>412</v>
      </c>
      <c r="E19643" t="s">
        <v>32006</v>
      </c>
      <c r="F19643" s="2" t="str">
        <f>HYPERLINK("http://www.otzar.org/book.asp?101969","לב אבות")</f>
        <v>לב אבות</v>
      </c>
    </row>
    <row r="19644" spans="1:6" x14ac:dyDescent="0.2">
      <c r="A19644" t="s">
        <v>32007</v>
      </c>
      <c r="B19644" t="s">
        <v>32008</v>
      </c>
      <c r="C19644" t="s">
        <v>454</v>
      </c>
      <c r="D19644" t="s">
        <v>14</v>
      </c>
      <c r="E19644" t="s">
        <v>241</v>
      </c>
      <c r="F19644" s="2" t="str">
        <f>HYPERLINK("http://www.otzar.org/book.asp?62898","לב אביגדור")</f>
        <v>לב אביגדור</v>
      </c>
    </row>
    <row r="19645" spans="1:6" x14ac:dyDescent="0.2">
      <c r="A19645" t="s">
        <v>32009</v>
      </c>
      <c r="B19645" t="s">
        <v>17727</v>
      </c>
      <c r="C19645" t="s">
        <v>356</v>
      </c>
      <c r="D19645" t="s">
        <v>412</v>
      </c>
      <c r="E19645" t="s">
        <v>154</v>
      </c>
      <c r="F19645" s="2" t="str">
        <f>HYPERLINK("http://www.otzar.org/book.asp?171485","לב אברהם &lt;שו""ת&gt; - א")</f>
        <v>לב אברהם &lt;שו"ת&gt; - א</v>
      </c>
    </row>
    <row r="19646" spans="1:6" x14ac:dyDescent="0.2">
      <c r="A19646" t="s">
        <v>32010</v>
      </c>
      <c r="B19646" t="s">
        <v>17727</v>
      </c>
      <c r="C19646" t="s">
        <v>151</v>
      </c>
      <c r="D19646" t="s">
        <v>412</v>
      </c>
      <c r="E19646" t="s">
        <v>2071</v>
      </c>
      <c r="F19646" s="2" t="str">
        <f>HYPERLINK("http://www.otzar.org/book.asp?612832","לב אברהם על התורה והמועדים")</f>
        <v>לב אברהם על התורה והמועדים</v>
      </c>
    </row>
    <row r="19647" spans="1:6" x14ac:dyDescent="0.2">
      <c r="A19647" t="s">
        <v>32011</v>
      </c>
      <c r="B19647" t="s">
        <v>32012</v>
      </c>
      <c r="C19647" t="s">
        <v>332</v>
      </c>
      <c r="D19647" t="s">
        <v>14</v>
      </c>
      <c r="E19647" t="s">
        <v>674</v>
      </c>
      <c r="F19647" s="2" t="str">
        <f>HYPERLINK("http://www.otzar.org/book.asp?12629","לב אברהם - 2 כר'")</f>
        <v>לב אברהם - 2 כר'</v>
      </c>
    </row>
    <row r="19648" spans="1:6" x14ac:dyDescent="0.2">
      <c r="A19648" t="s">
        <v>32013</v>
      </c>
      <c r="B19648" t="s">
        <v>17727</v>
      </c>
      <c r="C19648" t="s">
        <v>244</v>
      </c>
      <c r="D19648" t="s">
        <v>412</v>
      </c>
      <c r="E19648" t="s">
        <v>10893</v>
      </c>
      <c r="F19648" s="2" t="str">
        <f>HYPERLINK("http://www.otzar.org/book.asp?600751","לב אברהם - פרקי אבות")</f>
        <v>לב אברהם - פרקי אבות</v>
      </c>
    </row>
    <row r="19649" spans="1:6" x14ac:dyDescent="0.2">
      <c r="A19649" t="s">
        <v>32014</v>
      </c>
      <c r="B19649" t="s">
        <v>32015</v>
      </c>
      <c r="C19649" t="s">
        <v>8820</v>
      </c>
      <c r="D19649" t="s">
        <v>49</v>
      </c>
      <c r="E19649" t="s">
        <v>24849</v>
      </c>
      <c r="F19649" s="2" t="str">
        <f>HYPERLINK("http://www.otzar.org/book.asp?7421","לב אהרן - 2 כר'")</f>
        <v>לב אהרן - 2 כר'</v>
      </c>
    </row>
    <row r="19650" spans="1:6" x14ac:dyDescent="0.2">
      <c r="A19650" t="s">
        <v>32016</v>
      </c>
      <c r="B19650" t="s">
        <v>32017</v>
      </c>
      <c r="C19650" t="s">
        <v>99</v>
      </c>
      <c r="D19650" t="s">
        <v>9</v>
      </c>
      <c r="E19650" t="s">
        <v>104</v>
      </c>
      <c r="F19650" s="2" t="str">
        <f>HYPERLINK("http://www.otzar.org/book.asp?51525","לב אהרן")</f>
        <v>לב אהרן</v>
      </c>
    </row>
    <row r="19651" spans="1:6" x14ac:dyDescent="0.2">
      <c r="A19651" t="s">
        <v>32016</v>
      </c>
      <c r="B19651" t="s">
        <v>32018</v>
      </c>
      <c r="C19651" t="s">
        <v>585</v>
      </c>
      <c r="D19651" t="s">
        <v>27</v>
      </c>
      <c r="E19651" t="s">
        <v>241</v>
      </c>
      <c r="F19651" s="2" t="str">
        <f>HYPERLINK("http://www.otzar.org/book.asp?163301","לב אהרן")</f>
        <v>לב אהרן</v>
      </c>
    </row>
    <row r="19652" spans="1:6" x14ac:dyDescent="0.2">
      <c r="A19652" t="s">
        <v>32014</v>
      </c>
      <c r="B19652" t="s">
        <v>12210</v>
      </c>
      <c r="C19652" t="s">
        <v>129</v>
      </c>
      <c r="D19652" t="s">
        <v>14</v>
      </c>
      <c r="E19652" t="s">
        <v>154</v>
      </c>
      <c r="F19652" s="2" t="str">
        <f>HYPERLINK("http://www.otzar.org/book.asp?178899","לב אהרן - 2 כר'")</f>
        <v>לב אהרן - 2 כר'</v>
      </c>
    </row>
    <row r="19653" spans="1:6" x14ac:dyDescent="0.2">
      <c r="A19653" t="s">
        <v>32016</v>
      </c>
      <c r="B19653" t="s">
        <v>20926</v>
      </c>
      <c r="C19653" t="s">
        <v>383</v>
      </c>
      <c r="D19653" t="s">
        <v>90</v>
      </c>
      <c r="E19653" t="s">
        <v>144</v>
      </c>
      <c r="F19653" s="2" t="str">
        <f>HYPERLINK("http://www.otzar.org/book.asp?63868","לב אהרן")</f>
        <v>לב אהרן</v>
      </c>
    </row>
    <row r="19654" spans="1:6" x14ac:dyDescent="0.2">
      <c r="A19654" t="s">
        <v>32016</v>
      </c>
      <c r="B19654" t="s">
        <v>206</v>
      </c>
      <c r="C19654" t="s">
        <v>366</v>
      </c>
      <c r="D19654" t="s">
        <v>90</v>
      </c>
      <c r="E19654" t="s">
        <v>202</v>
      </c>
      <c r="F19654" s="2" t="str">
        <f>HYPERLINK("http://www.otzar.org/book.asp?612305","לב אהרן")</f>
        <v>לב אהרן</v>
      </c>
    </row>
    <row r="19655" spans="1:6" x14ac:dyDescent="0.2">
      <c r="A19655" t="s">
        <v>32019</v>
      </c>
      <c r="B19655" t="s">
        <v>25815</v>
      </c>
      <c r="C19655" t="s">
        <v>114</v>
      </c>
      <c r="D19655" t="s">
        <v>412</v>
      </c>
      <c r="E19655" t="s">
        <v>84</v>
      </c>
      <c r="F19655" s="2" t="str">
        <f>HYPERLINK("http://www.otzar.org/book.asp?180965","לב אהרן - 5 כר'")</f>
        <v>לב אהרן - 5 כר'</v>
      </c>
    </row>
    <row r="19656" spans="1:6" x14ac:dyDescent="0.2">
      <c r="A19656" t="s">
        <v>32016</v>
      </c>
      <c r="B19656" t="s">
        <v>32020</v>
      </c>
      <c r="C19656" t="s">
        <v>124</v>
      </c>
      <c r="D19656" t="s">
        <v>14</v>
      </c>
      <c r="E19656" t="s">
        <v>144</v>
      </c>
      <c r="F19656" s="2" t="str">
        <f>HYPERLINK("http://www.otzar.org/book.asp?602459","לב אהרן")</f>
        <v>לב אהרן</v>
      </c>
    </row>
    <row r="19657" spans="1:6" x14ac:dyDescent="0.2">
      <c r="A19657" t="s">
        <v>32016</v>
      </c>
      <c r="B19657" t="s">
        <v>32021</v>
      </c>
      <c r="C19657" t="s">
        <v>777</v>
      </c>
      <c r="D19657" t="s">
        <v>27</v>
      </c>
      <c r="E19657" t="s">
        <v>213</v>
      </c>
      <c r="F19657" s="2" t="str">
        <f>HYPERLINK("http://www.otzar.org/book.asp?141053","לב אהרן")</f>
        <v>לב אהרן</v>
      </c>
    </row>
    <row r="19658" spans="1:6" x14ac:dyDescent="0.2">
      <c r="A19658" t="s">
        <v>32022</v>
      </c>
      <c r="B19658" t="s">
        <v>32023</v>
      </c>
      <c r="C19658" t="s">
        <v>17</v>
      </c>
      <c r="D19658" t="s">
        <v>229</v>
      </c>
      <c r="E19658" t="s">
        <v>144</v>
      </c>
      <c r="F19658" s="2" t="str">
        <f>HYPERLINK("http://www.otzar.org/book.asp?167410","לב איש - 2 כר'")</f>
        <v>לב איש - 2 כר'</v>
      </c>
    </row>
    <row r="19659" spans="1:6" x14ac:dyDescent="0.2">
      <c r="A19659" t="s">
        <v>32024</v>
      </c>
      <c r="B19659" t="s">
        <v>32025</v>
      </c>
      <c r="C19659" t="s">
        <v>496</v>
      </c>
      <c r="D19659" t="s">
        <v>283</v>
      </c>
      <c r="E19659" t="s">
        <v>952</v>
      </c>
      <c r="F19659" s="2" t="str">
        <f>HYPERLINK("http://www.otzar.org/book.asp?200196","לב אליהו")</f>
        <v>לב אליהו</v>
      </c>
    </row>
    <row r="19660" spans="1:6" x14ac:dyDescent="0.2">
      <c r="A19660" t="s">
        <v>32026</v>
      </c>
      <c r="B19660" t="s">
        <v>32027</v>
      </c>
      <c r="C19660" t="s">
        <v>168</v>
      </c>
      <c r="D19660" t="s">
        <v>14</v>
      </c>
      <c r="E19660" t="s">
        <v>2088</v>
      </c>
      <c r="F19660" s="2" t="str">
        <f>HYPERLINK("http://www.otzar.org/book.asp?153502","לב ארי")</f>
        <v>לב ארי</v>
      </c>
    </row>
    <row r="19661" spans="1:6" x14ac:dyDescent="0.2">
      <c r="A19661" t="s">
        <v>32028</v>
      </c>
      <c r="B19661" t="s">
        <v>552</v>
      </c>
      <c r="C19661" t="s">
        <v>176</v>
      </c>
      <c r="D19661" t="s">
        <v>14</v>
      </c>
      <c r="E19661" t="s">
        <v>202</v>
      </c>
      <c r="F19661" s="2" t="str">
        <f>HYPERLINK("http://www.otzar.org/book.asp?23798","לב אריה &lt;לר' אריה לייב קאליש&gt;")</f>
        <v>לב אריה &lt;לר' אריה לייב קאליש&gt;</v>
      </c>
    </row>
    <row r="19662" spans="1:6" x14ac:dyDescent="0.2">
      <c r="A19662" t="s">
        <v>32029</v>
      </c>
      <c r="B19662" t="s">
        <v>32030</v>
      </c>
      <c r="C19662" t="s">
        <v>1374</v>
      </c>
      <c r="D19662" t="s">
        <v>27</v>
      </c>
      <c r="E19662" t="s">
        <v>158</v>
      </c>
      <c r="F19662" s="2" t="str">
        <f>HYPERLINK("http://www.otzar.org/book.asp?165927","לב אריה החדש - 2 כר'")</f>
        <v>לב אריה החדש - 2 כר'</v>
      </c>
    </row>
    <row r="19663" spans="1:6" x14ac:dyDescent="0.2">
      <c r="A19663" t="s">
        <v>32031</v>
      </c>
      <c r="B19663" t="s">
        <v>32032</v>
      </c>
      <c r="C19663" t="s">
        <v>1335</v>
      </c>
      <c r="D19663" t="s">
        <v>8579</v>
      </c>
      <c r="E19663" t="s">
        <v>144</v>
      </c>
      <c r="F19663" s="2" t="str">
        <f>HYPERLINK("http://www.otzar.org/book.asp?19279","לב אריה - 2 כר'")</f>
        <v>לב אריה - 2 כר'</v>
      </c>
    </row>
    <row r="19664" spans="1:6" x14ac:dyDescent="0.2">
      <c r="A19664" t="s">
        <v>32031</v>
      </c>
      <c r="B19664" t="s">
        <v>32033</v>
      </c>
      <c r="C19664" t="s">
        <v>1609</v>
      </c>
      <c r="D19664" t="s">
        <v>563</v>
      </c>
      <c r="E19664" t="s">
        <v>154</v>
      </c>
      <c r="F19664" s="2" t="str">
        <f>HYPERLINK("http://www.otzar.org/book.asp?13804","לב אריה - 2 כר'")</f>
        <v>לב אריה - 2 כר'</v>
      </c>
    </row>
    <row r="19665" spans="1:6" x14ac:dyDescent="0.2">
      <c r="A19665" t="s">
        <v>32034</v>
      </c>
      <c r="B19665" t="s">
        <v>32035</v>
      </c>
      <c r="C19665" t="s">
        <v>103</v>
      </c>
      <c r="D19665" t="s">
        <v>52</v>
      </c>
      <c r="E19665" t="s">
        <v>325</v>
      </c>
      <c r="F19665" s="2" t="str">
        <f>HYPERLINK("http://www.otzar.org/book.asp?61297","לב אריה")</f>
        <v>לב אריה</v>
      </c>
    </row>
    <row r="19666" spans="1:6" x14ac:dyDescent="0.2">
      <c r="A19666" t="s">
        <v>32031</v>
      </c>
      <c r="B19666" t="s">
        <v>32036</v>
      </c>
      <c r="C19666" t="s">
        <v>1768</v>
      </c>
      <c r="D19666" t="s">
        <v>885</v>
      </c>
      <c r="E19666" t="s">
        <v>158</v>
      </c>
      <c r="F19666" s="2" t="str">
        <f>HYPERLINK("http://www.otzar.org/book.asp?151490","לב אריה - 2 כר'")</f>
        <v>לב אריה - 2 כר'</v>
      </c>
    </row>
    <row r="19667" spans="1:6" x14ac:dyDescent="0.2">
      <c r="A19667" t="s">
        <v>32037</v>
      </c>
      <c r="B19667" t="s">
        <v>32038</v>
      </c>
      <c r="C19667" t="s">
        <v>23</v>
      </c>
      <c r="D19667" t="s">
        <v>276</v>
      </c>
      <c r="E19667" t="s">
        <v>144</v>
      </c>
      <c r="F19667" s="2" t="str">
        <f>HYPERLINK("http://www.otzar.org/book.asp?603171","לב אריה - פסחים")</f>
        <v>לב אריה - פסחים</v>
      </c>
    </row>
    <row r="19668" spans="1:6" x14ac:dyDescent="0.2">
      <c r="A19668" t="s">
        <v>32034</v>
      </c>
      <c r="B19668" t="s">
        <v>14931</v>
      </c>
      <c r="C19668" t="s">
        <v>812</v>
      </c>
      <c r="D19668" t="s">
        <v>260</v>
      </c>
      <c r="E19668" t="s">
        <v>508</v>
      </c>
      <c r="F19668" s="2" t="str">
        <f>HYPERLINK("http://www.otzar.org/book.asp?12886","לב אריה")</f>
        <v>לב אריה</v>
      </c>
    </row>
    <row r="19669" spans="1:6" x14ac:dyDescent="0.2">
      <c r="A19669" t="s">
        <v>32034</v>
      </c>
      <c r="B19669" t="s">
        <v>32039</v>
      </c>
      <c r="C19669" t="s">
        <v>32040</v>
      </c>
      <c r="D19669" t="s">
        <v>267</v>
      </c>
      <c r="E19669" t="s">
        <v>154</v>
      </c>
      <c r="F19669" s="2" t="str">
        <f>HYPERLINK("http://www.otzar.org/book.asp?18965","לב אריה")</f>
        <v>לב אריה</v>
      </c>
    </row>
    <row r="19670" spans="1:6" x14ac:dyDescent="0.2">
      <c r="A19670" t="s">
        <v>32034</v>
      </c>
      <c r="B19670" t="s">
        <v>32021</v>
      </c>
      <c r="C19670" t="s">
        <v>46</v>
      </c>
      <c r="D19670" t="s">
        <v>27</v>
      </c>
      <c r="E19670" t="s">
        <v>213</v>
      </c>
      <c r="F19670" s="2" t="str">
        <f>HYPERLINK("http://www.otzar.org/book.asp?140995","לב אריה")</f>
        <v>לב אריה</v>
      </c>
    </row>
    <row r="19671" spans="1:6" x14ac:dyDescent="0.2">
      <c r="A19671" t="s">
        <v>32041</v>
      </c>
      <c r="B19671" t="s">
        <v>32042</v>
      </c>
      <c r="C19671" t="s">
        <v>176</v>
      </c>
      <c r="D19671" t="s">
        <v>14</v>
      </c>
      <c r="E19671" t="s">
        <v>144</v>
      </c>
      <c r="F19671" s="2" t="str">
        <f>HYPERLINK("http://www.otzar.org/book.asp?161739","לב בנים - בן סורר ומורה")</f>
        <v>לב בנים - בן סורר ומורה</v>
      </c>
    </row>
    <row r="19672" spans="1:6" x14ac:dyDescent="0.2">
      <c r="A19672" t="s">
        <v>32043</v>
      </c>
      <c r="B19672" t="s">
        <v>23648</v>
      </c>
      <c r="C19672" t="s">
        <v>129</v>
      </c>
      <c r="D19672" t="s">
        <v>2504</v>
      </c>
      <c r="E19672" t="s">
        <v>202</v>
      </c>
      <c r="F19672" s="2" t="str">
        <f>HYPERLINK("http://www.otzar.org/book.asp?173888","לב בנימין - קידושין")</f>
        <v>לב בנימין - קידושין</v>
      </c>
    </row>
    <row r="19673" spans="1:6" x14ac:dyDescent="0.2">
      <c r="A19673" t="s">
        <v>32044</v>
      </c>
      <c r="B19673" t="s">
        <v>1308</v>
      </c>
      <c r="C19673" t="s">
        <v>51</v>
      </c>
      <c r="D19673" t="s">
        <v>52</v>
      </c>
      <c r="E19673" t="s">
        <v>241</v>
      </c>
      <c r="F19673" s="2" t="str">
        <f>HYPERLINK("http://www.otzar.org/book.asp?154582","לב דוד &lt;מהדורת מישור&gt;")</f>
        <v>לב דוד &lt;מהדורת מישור&gt;</v>
      </c>
    </row>
    <row r="19674" spans="1:6" x14ac:dyDescent="0.2">
      <c r="A19674" t="s">
        <v>32045</v>
      </c>
      <c r="B19674" t="s">
        <v>1308</v>
      </c>
      <c r="C19674" t="s">
        <v>1124</v>
      </c>
      <c r="D19674" t="s">
        <v>283</v>
      </c>
      <c r="E19674" t="s">
        <v>213</v>
      </c>
      <c r="F19674" s="2" t="str">
        <f>HYPERLINK("http://www.otzar.org/book.asp?11472","לב דוד - 7 כר'")</f>
        <v>לב דוד - 7 כר'</v>
      </c>
    </row>
    <row r="19675" spans="1:6" x14ac:dyDescent="0.2">
      <c r="A19675" t="s">
        <v>32046</v>
      </c>
      <c r="B19675" t="s">
        <v>32047</v>
      </c>
      <c r="C19675" t="s">
        <v>146</v>
      </c>
      <c r="D19675" t="s">
        <v>1550</v>
      </c>
      <c r="E19675" t="s">
        <v>2135</v>
      </c>
      <c r="F19675" s="2" t="str">
        <f>HYPERLINK("http://www.otzar.org/book.asp?605105","לב דוד")</f>
        <v>לב דוד</v>
      </c>
    </row>
    <row r="19676" spans="1:6" x14ac:dyDescent="0.2">
      <c r="A19676" t="s">
        <v>32046</v>
      </c>
      <c r="B19676" t="s">
        <v>405</v>
      </c>
      <c r="C19676" t="s">
        <v>1163</v>
      </c>
      <c r="D19676" t="s">
        <v>1163</v>
      </c>
      <c r="E19676" t="s">
        <v>241</v>
      </c>
      <c r="F19676" s="2" t="str">
        <f>HYPERLINK("http://www.otzar.org/book.asp?23500","לב דוד")</f>
        <v>לב דוד</v>
      </c>
    </row>
    <row r="19677" spans="1:6" x14ac:dyDescent="0.2">
      <c r="A19677" t="s">
        <v>32046</v>
      </c>
      <c r="B19677" t="s">
        <v>32048</v>
      </c>
      <c r="C19677" t="s">
        <v>313</v>
      </c>
      <c r="D19677" t="s">
        <v>646</v>
      </c>
      <c r="E19677" t="s">
        <v>295</v>
      </c>
      <c r="F19677" s="2" t="str">
        <f>HYPERLINK("http://www.otzar.org/book.asp?51584","לב דוד")</f>
        <v>לב דוד</v>
      </c>
    </row>
    <row r="19678" spans="1:6" x14ac:dyDescent="0.2">
      <c r="A19678" t="s">
        <v>32049</v>
      </c>
      <c r="B19678" t="s">
        <v>32050</v>
      </c>
      <c r="C19678" t="s">
        <v>143</v>
      </c>
      <c r="D19678" t="s">
        <v>52</v>
      </c>
      <c r="E19678" t="s">
        <v>32051</v>
      </c>
      <c r="F19678" s="2" t="str">
        <f>HYPERLINK("http://www.otzar.org/book.asp?165454","לב דוד - 2 כר'")</f>
        <v>לב דוד - 2 כר'</v>
      </c>
    </row>
    <row r="19679" spans="1:6" x14ac:dyDescent="0.2">
      <c r="A19679" t="s">
        <v>32049</v>
      </c>
      <c r="B19679" t="s">
        <v>22651</v>
      </c>
      <c r="C19679" t="s">
        <v>51</v>
      </c>
      <c r="D19679" t="s">
        <v>118</v>
      </c>
      <c r="E19679" t="s">
        <v>10</v>
      </c>
      <c r="F19679" s="2" t="str">
        <f>HYPERLINK("http://www.otzar.org/book.asp?161897","לב דוד - 2 כר'")</f>
        <v>לב דוד - 2 כר'</v>
      </c>
    </row>
    <row r="19680" spans="1:6" x14ac:dyDescent="0.2">
      <c r="A19680" t="s">
        <v>32052</v>
      </c>
      <c r="B19680" t="s">
        <v>32053</v>
      </c>
      <c r="C19680" t="s">
        <v>143</v>
      </c>
      <c r="D19680" t="s">
        <v>14</v>
      </c>
      <c r="E19680" t="s">
        <v>714</v>
      </c>
      <c r="F19680" s="2" t="str">
        <f>HYPERLINK("http://www.otzar.org/book.asp?624709","לב האדם לאדם")</f>
        <v>לב האדם לאדם</v>
      </c>
    </row>
    <row r="19681" spans="1:6" x14ac:dyDescent="0.2">
      <c r="A19681" t="s">
        <v>32054</v>
      </c>
      <c r="B19681" t="s">
        <v>32055</v>
      </c>
      <c r="C19681" t="s">
        <v>17</v>
      </c>
      <c r="D19681" t="s">
        <v>52</v>
      </c>
      <c r="E19681" t="s">
        <v>226</v>
      </c>
      <c r="F19681" s="2" t="str">
        <f>HYPERLINK("http://www.otzar.org/book.asp?191485","לב האר""י")</f>
        <v>לב האר"י</v>
      </c>
    </row>
    <row r="19682" spans="1:6" x14ac:dyDescent="0.2">
      <c r="A19682" t="s">
        <v>32056</v>
      </c>
      <c r="B19682" t="s">
        <v>32057</v>
      </c>
      <c r="C19682" t="s">
        <v>366</v>
      </c>
      <c r="D19682" t="s">
        <v>657</v>
      </c>
      <c r="E19682" t="s">
        <v>15</v>
      </c>
      <c r="F19682" s="2" t="str">
        <f>HYPERLINK("http://www.otzar.org/book.asp?621827","לב הארי - 5 כר'")</f>
        <v>לב הארי - 5 כר'</v>
      </c>
    </row>
    <row r="19683" spans="1:6" x14ac:dyDescent="0.2">
      <c r="A19683" t="s">
        <v>32058</v>
      </c>
      <c r="B19683" t="s">
        <v>32059</v>
      </c>
      <c r="C19683" t="s">
        <v>775</v>
      </c>
      <c r="D19683" t="s">
        <v>14</v>
      </c>
      <c r="E19683" t="s">
        <v>148</v>
      </c>
      <c r="F19683" s="2" t="str">
        <f>HYPERLINK("http://www.otzar.org/book.asp?8421","לב הארי - 2 כר'")</f>
        <v>לב הארי - 2 כר'</v>
      </c>
    </row>
    <row r="19684" spans="1:6" x14ac:dyDescent="0.2">
      <c r="A19684" t="s">
        <v>32060</v>
      </c>
      <c r="B19684" t="s">
        <v>32061</v>
      </c>
      <c r="C19684" t="s">
        <v>609</v>
      </c>
      <c r="D19684" t="s">
        <v>12052</v>
      </c>
      <c r="E19684" t="s">
        <v>213</v>
      </c>
      <c r="F19684" s="2" t="str">
        <f>HYPERLINK("http://www.otzar.org/book.asp?16988","לב האריה")</f>
        <v>לב האריה</v>
      </c>
    </row>
    <row r="19685" spans="1:6" x14ac:dyDescent="0.2">
      <c r="A19685" t="s">
        <v>32062</v>
      </c>
      <c r="B19685" t="s">
        <v>1387</v>
      </c>
      <c r="C19685" t="s">
        <v>5277</v>
      </c>
      <c r="D19685" t="s">
        <v>49</v>
      </c>
      <c r="F19685" s="2" t="str">
        <f>HYPERLINK("http://www.otzar.org/book.asp?152803","לב האריה - 2 כר'")</f>
        <v>לב האריה - 2 כר'</v>
      </c>
    </row>
    <row r="19686" spans="1:6" x14ac:dyDescent="0.2">
      <c r="A19686" t="s">
        <v>32063</v>
      </c>
      <c r="B19686" t="s">
        <v>20101</v>
      </c>
      <c r="C19686" t="s">
        <v>37</v>
      </c>
      <c r="D19686" t="s">
        <v>486</v>
      </c>
      <c r="E19686" t="s">
        <v>15</v>
      </c>
      <c r="F19686" s="2" t="str">
        <f>HYPERLINK("http://www.otzar.org/book.asp?189001","לב הטהרה")</f>
        <v>לב הטהרה</v>
      </c>
    </row>
    <row r="19687" spans="1:6" x14ac:dyDescent="0.2">
      <c r="A19687" t="s">
        <v>32064</v>
      </c>
      <c r="B19687" t="s">
        <v>13862</v>
      </c>
      <c r="C19687" t="s">
        <v>68</v>
      </c>
      <c r="D19687" t="s">
        <v>412</v>
      </c>
      <c r="F19687" s="2" t="str">
        <f>HYPERLINK("http://www.otzar.org/book.asp?169498","לב המלך - 4 כר'")</f>
        <v>לב המלך - 4 כר'</v>
      </c>
    </row>
    <row r="19688" spans="1:6" x14ac:dyDescent="0.2">
      <c r="A19688" t="s">
        <v>32065</v>
      </c>
      <c r="B19688" t="s">
        <v>32066</v>
      </c>
      <c r="C19688" t="s">
        <v>411</v>
      </c>
      <c r="D19688" t="s">
        <v>1205</v>
      </c>
      <c r="E19688" t="s">
        <v>144</v>
      </c>
      <c r="F19688" s="2" t="str">
        <f>HYPERLINK("http://www.otzar.org/book.asp?182939","לב הסוגיא - 4 כר'")</f>
        <v>לב הסוגיא - 4 כר'</v>
      </c>
    </row>
    <row r="19689" spans="1:6" x14ac:dyDescent="0.2">
      <c r="A19689" t="s">
        <v>32067</v>
      </c>
      <c r="B19689" t="s">
        <v>32068</v>
      </c>
      <c r="C19689" t="s">
        <v>32069</v>
      </c>
      <c r="D19689" t="s">
        <v>592</v>
      </c>
      <c r="F19689" s="2" t="str">
        <f>HYPERLINK("http://www.otzar.org/book.asp?617368","לב העיברי - א")</f>
        <v>לב העיברי - א</v>
      </c>
    </row>
    <row r="19690" spans="1:6" x14ac:dyDescent="0.2">
      <c r="A19690" t="s">
        <v>32070</v>
      </c>
      <c r="B19690" t="s">
        <v>32071</v>
      </c>
      <c r="C19690" t="s">
        <v>32069</v>
      </c>
      <c r="D19690" t="s">
        <v>592</v>
      </c>
      <c r="E19690" t="s">
        <v>733</v>
      </c>
      <c r="F19690" s="2" t="str">
        <f>HYPERLINK("http://www.otzar.org/book.asp?617369","לב העיברי - ב")</f>
        <v>לב העיברי - ב</v>
      </c>
    </row>
    <row r="19691" spans="1:6" x14ac:dyDescent="0.2">
      <c r="A19691" t="s">
        <v>32072</v>
      </c>
      <c r="B19691" t="s">
        <v>32073</v>
      </c>
      <c r="C19691" t="s">
        <v>32074</v>
      </c>
      <c r="D19691" t="s">
        <v>267</v>
      </c>
      <c r="E19691" t="s">
        <v>16263</v>
      </c>
      <c r="F19691" s="2" t="str">
        <f>HYPERLINK("http://www.otzar.org/book.asp?10571","לב העיברי - 2 כר'")</f>
        <v>לב העיברי - 2 כר'</v>
      </c>
    </row>
    <row r="19692" spans="1:6" x14ac:dyDescent="0.2">
      <c r="A19692" t="s">
        <v>32075</v>
      </c>
      <c r="B19692" t="s">
        <v>32076</v>
      </c>
      <c r="C19692" t="s">
        <v>427</v>
      </c>
      <c r="D19692" t="s">
        <v>2347</v>
      </c>
      <c r="E19692" t="s">
        <v>16148</v>
      </c>
      <c r="F19692" s="2" t="str">
        <f>HYPERLINK("http://www.otzar.org/book.asp?7110","לב ולשון")</f>
        <v>לב ולשון</v>
      </c>
    </row>
    <row r="19693" spans="1:6" x14ac:dyDescent="0.2">
      <c r="A19693" t="s">
        <v>32077</v>
      </c>
      <c r="B19693" t="s">
        <v>32078</v>
      </c>
      <c r="C19693" t="s">
        <v>383</v>
      </c>
      <c r="D19693" t="s">
        <v>14</v>
      </c>
      <c r="E19693" t="s">
        <v>28293</v>
      </c>
      <c r="F19693" s="2" t="str">
        <f>HYPERLINK("http://www.otzar.org/book.asp?15274","לב חיים")</f>
        <v>לב חיים</v>
      </c>
    </row>
    <row r="19694" spans="1:6" x14ac:dyDescent="0.2">
      <c r="A19694" t="s">
        <v>32077</v>
      </c>
      <c r="B19694" t="s">
        <v>8412</v>
      </c>
      <c r="C19694" t="s">
        <v>1706</v>
      </c>
      <c r="D19694" t="s">
        <v>225</v>
      </c>
      <c r="E19694" t="s">
        <v>564</v>
      </c>
      <c r="F19694" s="2" t="str">
        <f>HYPERLINK("http://www.otzar.org/book.asp?100418","לב חיים")</f>
        <v>לב חיים</v>
      </c>
    </row>
    <row r="19695" spans="1:6" x14ac:dyDescent="0.2">
      <c r="A19695" t="s">
        <v>32079</v>
      </c>
      <c r="B19695" t="s">
        <v>155</v>
      </c>
      <c r="C19695" t="s">
        <v>32080</v>
      </c>
      <c r="D19695" t="s">
        <v>76</v>
      </c>
      <c r="E19695" t="s">
        <v>684</v>
      </c>
      <c r="F19695" s="2" t="str">
        <f>HYPERLINK("http://www.otzar.org/book.asp?818","לב חיים - 3 כר'")</f>
        <v>לב חיים - 3 כר'</v>
      </c>
    </row>
    <row r="19696" spans="1:6" x14ac:dyDescent="0.2">
      <c r="A19696" t="s">
        <v>32081</v>
      </c>
      <c r="B19696" t="s">
        <v>107</v>
      </c>
      <c r="C19696" t="s">
        <v>20</v>
      </c>
      <c r="D19696" t="s">
        <v>14</v>
      </c>
      <c r="E19696" t="s">
        <v>15</v>
      </c>
      <c r="F19696" s="2" t="str">
        <f>HYPERLINK("http://www.otzar.org/book.asp?84020","לב חכם לימינו")</f>
        <v>לב חכם לימינו</v>
      </c>
    </row>
    <row r="19697" spans="1:6" x14ac:dyDescent="0.2">
      <c r="A19697" t="s">
        <v>32082</v>
      </c>
      <c r="B19697" t="s">
        <v>318</v>
      </c>
      <c r="C19697" t="s">
        <v>366</v>
      </c>
      <c r="D19697" t="s">
        <v>14</v>
      </c>
      <c r="E19697" t="s">
        <v>1438</v>
      </c>
      <c r="F19697" s="2" t="str">
        <f>HYPERLINK("http://www.otzar.org/book.asp?607102","לב חכם על ספר תורת חכם - 4 כר'")</f>
        <v>לב חכם על ספר תורת חכם - 4 כר'</v>
      </c>
    </row>
    <row r="19698" spans="1:6" x14ac:dyDescent="0.2">
      <c r="A19698" t="s">
        <v>32083</v>
      </c>
      <c r="B19698" t="s">
        <v>1146</v>
      </c>
      <c r="C19698" t="s">
        <v>25088</v>
      </c>
      <c r="D19698" t="s">
        <v>1490</v>
      </c>
      <c r="E19698" t="s">
        <v>158</v>
      </c>
      <c r="F19698" s="2" t="str">
        <f>HYPERLINK("http://www.otzar.org/book.asp?18966","לב חכם - 2 כר'")</f>
        <v>לב חכם - 2 כר'</v>
      </c>
    </row>
    <row r="19699" spans="1:6" x14ac:dyDescent="0.2">
      <c r="A19699" t="s">
        <v>32084</v>
      </c>
      <c r="B19699" t="s">
        <v>461</v>
      </c>
      <c r="C19699" t="s">
        <v>445</v>
      </c>
      <c r="D19699" t="s">
        <v>2313</v>
      </c>
      <c r="F19699" s="2" t="str">
        <f>HYPERLINK("http://www.otzar.org/book.asp?28483","לב חכמים")</f>
        <v>לב חכמים</v>
      </c>
    </row>
    <row r="19700" spans="1:6" x14ac:dyDescent="0.2">
      <c r="A19700" t="s">
        <v>32085</v>
      </c>
      <c r="B19700" t="s">
        <v>32086</v>
      </c>
      <c r="C19700" t="s">
        <v>466</v>
      </c>
      <c r="D19700" t="s">
        <v>21</v>
      </c>
      <c r="E19700" t="s">
        <v>154</v>
      </c>
      <c r="F19700" s="2" t="str">
        <f>HYPERLINK("http://www.otzar.org/book.asp?191809","לב חנון - 2 כר'")</f>
        <v>לב חנון - 2 כר'</v>
      </c>
    </row>
    <row r="19701" spans="1:6" x14ac:dyDescent="0.2">
      <c r="A19701" t="s">
        <v>32087</v>
      </c>
      <c r="B19701" t="s">
        <v>6977</v>
      </c>
      <c r="C19701" t="s">
        <v>1954</v>
      </c>
      <c r="D19701" t="s">
        <v>27</v>
      </c>
      <c r="E19701" t="s">
        <v>8049</v>
      </c>
      <c r="F19701" s="2" t="str">
        <f>HYPERLINK("http://www.otzar.org/book.asp?5355","לב טהור")</f>
        <v>לב טהור</v>
      </c>
    </row>
    <row r="19702" spans="1:6" x14ac:dyDescent="0.2">
      <c r="A19702" t="s">
        <v>32087</v>
      </c>
      <c r="B19702" t="s">
        <v>2318</v>
      </c>
      <c r="C19702" t="s">
        <v>383</v>
      </c>
      <c r="D19702" t="s">
        <v>14</v>
      </c>
      <c r="E19702" t="s">
        <v>148</v>
      </c>
      <c r="F19702" s="2" t="str">
        <f>HYPERLINK("http://www.otzar.org/book.asp?144146","לב טהור")</f>
        <v>לב טהור</v>
      </c>
    </row>
    <row r="19703" spans="1:6" x14ac:dyDescent="0.2">
      <c r="A19703" t="s">
        <v>32087</v>
      </c>
      <c r="B19703" t="s">
        <v>32088</v>
      </c>
      <c r="C19703" t="s">
        <v>32089</v>
      </c>
      <c r="D19703" t="s">
        <v>26609</v>
      </c>
      <c r="F19703" s="2" t="str">
        <f>HYPERLINK("http://www.otzar.org/book.asp?624779","לב טהור")</f>
        <v>לב טהור</v>
      </c>
    </row>
    <row r="19704" spans="1:6" x14ac:dyDescent="0.2">
      <c r="A19704" t="s">
        <v>32090</v>
      </c>
      <c r="B19704" t="s">
        <v>32091</v>
      </c>
      <c r="C19704" t="s">
        <v>13</v>
      </c>
      <c r="D19704" t="s">
        <v>14</v>
      </c>
      <c r="E19704" t="s">
        <v>158</v>
      </c>
      <c r="F19704" s="2" t="str">
        <f>HYPERLINK("http://www.otzar.org/book.asp?168790","לב טהור - 2 כר'")</f>
        <v>לב טהור - 2 כר'</v>
      </c>
    </row>
    <row r="19705" spans="1:6" x14ac:dyDescent="0.2">
      <c r="A19705" t="s">
        <v>32092</v>
      </c>
      <c r="B19705" t="s">
        <v>2929</v>
      </c>
      <c r="C19705" t="s">
        <v>133</v>
      </c>
      <c r="D19705" t="s">
        <v>412</v>
      </c>
      <c r="F19705" s="2" t="str">
        <f>HYPERLINK("http://www.otzar.org/book.asp?606137","לב טוב")</f>
        <v>לב טוב</v>
      </c>
    </row>
    <row r="19706" spans="1:6" x14ac:dyDescent="0.2">
      <c r="A19706" t="s">
        <v>32092</v>
      </c>
      <c r="B19706" t="s">
        <v>206</v>
      </c>
      <c r="C19706" t="s">
        <v>32093</v>
      </c>
      <c r="D19706" t="s">
        <v>32094</v>
      </c>
      <c r="F19706" s="2" t="str">
        <f>HYPERLINK("http://www.otzar.org/book.asp?196447","לב טוב")</f>
        <v>לב טוב</v>
      </c>
    </row>
    <row r="19707" spans="1:6" x14ac:dyDescent="0.2">
      <c r="A19707" t="s">
        <v>32092</v>
      </c>
      <c r="B19707" t="s">
        <v>32095</v>
      </c>
      <c r="C19707" t="s">
        <v>124</v>
      </c>
      <c r="D19707" t="s">
        <v>1646</v>
      </c>
      <c r="E19707" t="s">
        <v>714</v>
      </c>
      <c r="F19707" s="2" t="str">
        <f>HYPERLINK("http://www.otzar.org/book.asp?51150","לב טוב")</f>
        <v>לב טוב</v>
      </c>
    </row>
    <row r="19708" spans="1:6" x14ac:dyDescent="0.2">
      <c r="A19708" t="s">
        <v>32096</v>
      </c>
      <c r="B19708" t="s">
        <v>32097</v>
      </c>
      <c r="C19708" t="s">
        <v>1921</v>
      </c>
      <c r="D19708" t="s">
        <v>76</v>
      </c>
      <c r="E19708" t="s">
        <v>241</v>
      </c>
      <c r="F19708" s="2" t="str">
        <f>HYPERLINK("http://www.otzar.org/book.asp?165177","לב יאושע")</f>
        <v>לב יאושע</v>
      </c>
    </row>
    <row r="19709" spans="1:6" x14ac:dyDescent="0.2">
      <c r="A19709" t="s">
        <v>32098</v>
      </c>
      <c r="B19709" t="s">
        <v>32099</v>
      </c>
      <c r="C19709" t="s">
        <v>462</v>
      </c>
      <c r="D19709" t="s">
        <v>1459</v>
      </c>
      <c r="E19709" t="s">
        <v>9557</v>
      </c>
      <c r="F19709" s="2" t="str">
        <f>HYPERLINK("http://www.otzar.org/book.asp?200201","לב יהודה")</f>
        <v>לב יהודה</v>
      </c>
    </row>
    <row r="19710" spans="1:6" x14ac:dyDescent="0.2">
      <c r="A19710" t="s">
        <v>32100</v>
      </c>
      <c r="B19710" t="s">
        <v>13035</v>
      </c>
      <c r="C19710" t="s">
        <v>286</v>
      </c>
      <c r="D19710" t="s">
        <v>18421</v>
      </c>
      <c r="E19710" t="s">
        <v>8786</v>
      </c>
      <c r="F19710" s="2" t="str">
        <f>HYPERLINK("http://www.otzar.org/book.asp?144175","לב יהודה - 2 כר'")</f>
        <v>לב יהודה - 2 כר'</v>
      </c>
    </row>
    <row r="19711" spans="1:6" x14ac:dyDescent="0.2">
      <c r="A19711" t="s">
        <v>32101</v>
      </c>
      <c r="B19711" t="s">
        <v>32102</v>
      </c>
      <c r="C19711" t="s">
        <v>1609</v>
      </c>
      <c r="D19711" t="s">
        <v>9</v>
      </c>
      <c r="E19711" t="s">
        <v>144</v>
      </c>
      <c r="F19711" s="2" t="str">
        <f>HYPERLINK("http://www.otzar.org/book.asp?200202","לב יוסף")</f>
        <v>לב יוסף</v>
      </c>
    </row>
    <row r="19712" spans="1:6" x14ac:dyDescent="0.2">
      <c r="A19712" t="s">
        <v>32101</v>
      </c>
      <c r="B19712" t="s">
        <v>18687</v>
      </c>
      <c r="C19712" t="s">
        <v>581</v>
      </c>
      <c r="D19712" t="s">
        <v>3293</v>
      </c>
      <c r="E19712" t="s">
        <v>15025</v>
      </c>
      <c r="F19712" s="2" t="str">
        <f>HYPERLINK("http://www.otzar.org/book.asp?101239","לב יוסף")</f>
        <v>לב יוסף</v>
      </c>
    </row>
    <row r="19713" spans="1:6" x14ac:dyDescent="0.2">
      <c r="A19713" t="s">
        <v>32103</v>
      </c>
      <c r="B19713" t="s">
        <v>32104</v>
      </c>
      <c r="C19713" t="s">
        <v>5823</v>
      </c>
      <c r="D19713" t="s">
        <v>56</v>
      </c>
      <c r="E19713" t="s">
        <v>154</v>
      </c>
      <c r="F19713" s="2" t="str">
        <f>HYPERLINK("http://www.otzar.org/book.asp?18967","לב ים")</f>
        <v>לב ים</v>
      </c>
    </row>
    <row r="19714" spans="1:6" x14ac:dyDescent="0.2">
      <c r="A19714" t="s">
        <v>32105</v>
      </c>
      <c r="B19714" t="s">
        <v>9444</v>
      </c>
      <c r="C19714" t="s">
        <v>87</v>
      </c>
      <c r="D19714" t="s">
        <v>14</v>
      </c>
      <c r="E19714" t="s">
        <v>144</v>
      </c>
      <c r="F19714" s="2" t="str">
        <f>HYPERLINK("http://www.otzar.org/book.asp?26409","לב ים - 5 כר'")</f>
        <v>לב ים - 5 כר'</v>
      </c>
    </row>
    <row r="19715" spans="1:6" x14ac:dyDescent="0.2">
      <c r="A19715" t="s">
        <v>32106</v>
      </c>
      <c r="B19715" t="s">
        <v>32107</v>
      </c>
      <c r="C19715" t="s">
        <v>17</v>
      </c>
      <c r="D19715" t="s">
        <v>14</v>
      </c>
      <c r="F19715" s="2" t="str">
        <f>HYPERLINK("http://www.otzar.org/book.asp?163722","לב ים - 2 כר'")</f>
        <v>לב ים - 2 כר'</v>
      </c>
    </row>
    <row r="19716" spans="1:6" x14ac:dyDescent="0.2">
      <c r="A19716" t="s">
        <v>32103</v>
      </c>
      <c r="B19716" t="s">
        <v>32108</v>
      </c>
      <c r="C19716" t="s">
        <v>189</v>
      </c>
      <c r="D19716" t="s">
        <v>14816</v>
      </c>
      <c r="E19716" t="s">
        <v>144</v>
      </c>
      <c r="F19716" s="2" t="str">
        <f>HYPERLINK("http://www.otzar.org/book.asp?199995","לב ים")</f>
        <v>לב ים</v>
      </c>
    </row>
    <row r="19717" spans="1:6" x14ac:dyDescent="0.2">
      <c r="A19717" t="s">
        <v>32109</v>
      </c>
      <c r="B19717" t="s">
        <v>32110</v>
      </c>
      <c r="C19717" t="s">
        <v>146</v>
      </c>
      <c r="D19717" t="s">
        <v>52</v>
      </c>
      <c r="E19717" t="s">
        <v>158</v>
      </c>
      <c r="F19717" s="2" t="str">
        <f>HYPERLINK("http://www.otzar.org/book.asp?161241","לב יצחק - ביאור לתרגום יוב""ע - יהושע, שופטים")</f>
        <v>לב יצחק - ביאור לתרגום יוב"ע - יהושע, שופטים</v>
      </c>
    </row>
    <row r="19718" spans="1:6" x14ac:dyDescent="0.2">
      <c r="A19718" t="s">
        <v>32111</v>
      </c>
      <c r="B19718" t="s">
        <v>32112</v>
      </c>
      <c r="C19718" t="s">
        <v>624</v>
      </c>
      <c r="D19718" t="s">
        <v>14142</v>
      </c>
      <c r="E19718" t="s">
        <v>674</v>
      </c>
      <c r="F19718" s="2" t="str">
        <f>HYPERLINK("http://www.otzar.org/book.asp?152667","לב יצחק")</f>
        <v>לב יצחק</v>
      </c>
    </row>
    <row r="19719" spans="1:6" x14ac:dyDescent="0.2">
      <c r="A19719" t="s">
        <v>32113</v>
      </c>
      <c r="B19719" t="s">
        <v>4547</v>
      </c>
      <c r="C19719" t="s">
        <v>13</v>
      </c>
      <c r="D19719" t="s">
        <v>14</v>
      </c>
      <c r="E19719" t="s">
        <v>158</v>
      </c>
      <c r="F19719" s="2" t="str">
        <f>HYPERLINK("http://www.otzar.org/book.asp?161775","לב ישראל")</f>
        <v>לב ישראל</v>
      </c>
    </row>
    <row r="19720" spans="1:6" x14ac:dyDescent="0.2">
      <c r="A19720" t="s">
        <v>32114</v>
      </c>
      <c r="B19720" t="s">
        <v>22563</v>
      </c>
      <c r="C19720" t="s">
        <v>366</v>
      </c>
      <c r="D19720" t="s">
        <v>2285</v>
      </c>
      <c r="E19720" t="s">
        <v>246</v>
      </c>
      <c r="F19720" s="2" t="str">
        <f>HYPERLINK("http://www.otzar.org/book.asp?608499","לב לדעת - 5 כר'")</f>
        <v>לב לדעת - 5 כר'</v>
      </c>
    </row>
    <row r="19721" spans="1:6" x14ac:dyDescent="0.2">
      <c r="A19721" t="s">
        <v>32114</v>
      </c>
      <c r="B19721" t="s">
        <v>32115</v>
      </c>
      <c r="C19721" t="s">
        <v>133</v>
      </c>
      <c r="D19721" t="s">
        <v>52</v>
      </c>
      <c r="E19721" t="s">
        <v>144</v>
      </c>
      <c r="F19721" s="2" t="str">
        <f>HYPERLINK("http://www.otzar.org/book.asp?621503","לב לדעת - 5 כר'")</f>
        <v>לב לדעת - 5 כר'</v>
      </c>
    </row>
    <row r="19722" spans="1:6" x14ac:dyDescent="0.2">
      <c r="A19722" t="s">
        <v>32116</v>
      </c>
      <c r="B19722" t="s">
        <v>32117</v>
      </c>
      <c r="C19722" t="s">
        <v>698</v>
      </c>
      <c r="D19722" t="s">
        <v>14830</v>
      </c>
      <c r="E19722" t="s">
        <v>154</v>
      </c>
      <c r="F19722" s="2" t="str">
        <f>HYPERLINK("http://www.otzar.org/book.asp?25084","לב מבין - פני מבין")</f>
        <v>לב מבין - פני מבין</v>
      </c>
    </row>
    <row r="19723" spans="1:6" x14ac:dyDescent="0.2">
      <c r="A19723" t="s">
        <v>32118</v>
      </c>
      <c r="B19723" t="s">
        <v>32119</v>
      </c>
      <c r="C19723" t="s">
        <v>1515</v>
      </c>
      <c r="D19723" t="s">
        <v>76</v>
      </c>
      <c r="E19723" t="s">
        <v>15</v>
      </c>
      <c r="F19723" s="2" t="str">
        <f>HYPERLINK("http://www.otzar.org/book.asp?18968","לב מבין")</f>
        <v>לב מבין</v>
      </c>
    </row>
    <row r="19724" spans="1:6" x14ac:dyDescent="0.2">
      <c r="A19724" t="s">
        <v>32118</v>
      </c>
      <c r="B19724" t="s">
        <v>32120</v>
      </c>
      <c r="C19724" t="s">
        <v>111</v>
      </c>
      <c r="D19724" t="s">
        <v>1840</v>
      </c>
      <c r="E19724" t="s">
        <v>154</v>
      </c>
      <c r="F19724" s="2" t="str">
        <f>HYPERLINK("http://www.otzar.org/book.asp?629686","לב מבין")</f>
        <v>לב מבין</v>
      </c>
    </row>
    <row r="19725" spans="1:6" x14ac:dyDescent="0.2">
      <c r="A19725" t="s">
        <v>32121</v>
      </c>
      <c r="B19725" t="s">
        <v>32122</v>
      </c>
      <c r="C19725" t="s">
        <v>151</v>
      </c>
      <c r="D19725" t="s">
        <v>90</v>
      </c>
      <c r="E19725" t="s">
        <v>148</v>
      </c>
      <c r="F19725" s="2" t="str">
        <f>HYPERLINK("http://www.otzar.org/book.asp?629255","לב מלכים")</f>
        <v>לב מלכים</v>
      </c>
    </row>
    <row r="19726" spans="1:6" x14ac:dyDescent="0.2">
      <c r="A19726" t="s">
        <v>32123</v>
      </c>
      <c r="B19726" t="s">
        <v>32124</v>
      </c>
      <c r="C19726" t="s">
        <v>133</v>
      </c>
      <c r="D19726" t="s">
        <v>412</v>
      </c>
      <c r="E19726" t="s">
        <v>158</v>
      </c>
      <c r="F19726" s="2" t="str">
        <f>HYPERLINK("http://www.otzar.org/book.asp?177149","לב מנחם")</f>
        <v>לב מנחם</v>
      </c>
    </row>
    <row r="19727" spans="1:6" x14ac:dyDescent="0.2">
      <c r="A19727" t="s">
        <v>32125</v>
      </c>
      <c r="B19727" t="s">
        <v>20737</v>
      </c>
      <c r="C19727" t="s">
        <v>244</v>
      </c>
      <c r="D19727" t="s">
        <v>52</v>
      </c>
      <c r="E19727" t="s">
        <v>144</v>
      </c>
      <c r="F19727" s="2" t="str">
        <f>HYPERLINK("http://www.otzar.org/book.asp?600045","לב מפרשי התלמוד - 2 כר'")</f>
        <v>לב מפרשי התלמוד - 2 כר'</v>
      </c>
    </row>
    <row r="19728" spans="1:6" x14ac:dyDescent="0.2">
      <c r="A19728" t="s">
        <v>32126</v>
      </c>
      <c r="B19728" t="s">
        <v>32127</v>
      </c>
      <c r="C19728" t="s">
        <v>176</v>
      </c>
      <c r="D19728" t="s">
        <v>14546</v>
      </c>
      <c r="E19728" t="s">
        <v>15</v>
      </c>
      <c r="F19728" s="2" t="str">
        <f>HYPERLINK("http://www.otzar.org/book.asp?62639","לב מרדכי")</f>
        <v>לב מרדכי</v>
      </c>
    </row>
    <row r="19729" spans="1:6" x14ac:dyDescent="0.2">
      <c r="A19729" t="s">
        <v>32126</v>
      </c>
      <c r="B19729" t="s">
        <v>32128</v>
      </c>
      <c r="C19729" t="s">
        <v>189</v>
      </c>
      <c r="D19729" t="s">
        <v>14</v>
      </c>
      <c r="E19729" t="s">
        <v>3482</v>
      </c>
      <c r="F19729" s="2" t="str">
        <f>HYPERLINK("http://www.otzar.org/book.asp?50683","לב מרדכי")</f>
        <v>לב מרדכי</v>
      </c>
    </row>
    <row r="19730" spans="1:6" x14ac:dyDescent="0.2">
      <c r="A19730" t="s">
        <v>32129</v>
      </c>
      <c r="B19730" t="s">
        <v>32130</v>
      </c>
      <c r="C19730" t="s">
        <v>395</v>
      </c>
      <c r="D19730" t="s">
        <v>27</v>
      </c>
      <c r="E19730" t="s">
        <v>295</v>
      </c>
      <c r="F19730" s="2" t="str">
        <f>HYPERLINK("http://www.otzar.org/book.asp?101312","לב מרפ""א")</f>
        <v>לב מרפ"א</v>
      </c>
    </row>
    <row r="19731" spans="1:6" x14ac:dyDescent="0.2">
      <c r="A19731" t="s">
        <v>32131</v>
      </c>
      <c r="B19731" t="s">
        <v>32132</v>
      </c>
      <c r="C19731" t="s">
        <v>133</v>
      </c>
      <c r="D19731" t="s">
        <v>80</v>
      </c>
      <c r="E19731" t="s">
        <v>202</v>
      </c>
      <c r="F19731" s="2" t="str">
        <f>HYPERLINK("http://www.otzar.org/book.asp?600318","לב משה")</f>
        <v>לב משה</v>
      </c>
    </row>
    <row r="19732" spans="1:6" x14ac:dyDescent="0.2">
      <c r="A19732" t="s">
        <v>32131</v>
      </c>
      <c r="B19732" t="s">
        <v>31387</v>
      </c>
      <c r="C19732" t="s">
        <v>334</v>
      </c>
      <c r="D19732" t="s">
        <v>21</v>
      </c>
      <c r="E19732" t="s">
        <v>104</v>
      </c>
      <c r="F19732" s="2" t="str">
        <f>HYPERLINK("http://www.otzar.org/book.asp?196390","לב משה")</f>
        <v>לב משה</v>
      </c>
    </row>
    <row r="19733" spans="1:6" x14ac:dyDescent="0.2">
      <c r="A19733" t="s">
        <v>32131</v>
      </c>
      <c r="B19733" t="s">
        <v>32133</v>
      </c>
      <c r="C19733" t="s">
        <v>466</v>
      </c>
      <c r="D19733" t="s">
        <v>52</v>
      </c>
      <c r="E19733" t="s">
        <v>230</v>
      </c>
      <c r="F19733" s="2" t="str">
        <f>HYPERLINK("http://www.otzar.org/book.asp?618467","לב משה")</f>
        <v>לב משה</v>
      </c>
    </row>
    <row r="19734" spans="1:6" x14ac:dyDescent="0.2">
      <c r="A19734" t="s">
        <v>32134</v>
      </c>
      <c r="B19734" t="s">
        <v>32135</v>
      </c>
      <c r="C19734" t="s">
        <v>146</v>
      </c>
      <c r="D19734" t="s">
        <v>1180</v>
      </c>
      <c r="E19734" t="s">
        <v>803</v>
      </c>
      <c r="F19734" s="2" t="str">
        <f>HYPERLINK("http://www.otzar.org/book.asp?60776","לב משה - 2 כר'")</f>
        <v>לב משה - 2 כר'</v>
      </c>
    </row>
    <row r="19735" spans="1:6" x14ac:dyDescent="0.2">
      <c r="A19735" t="s">
        <v>32136</v>
      </c>
      <c r="B19735" t="s">
        <v>32137</v>
      </c>
      <c r="C19735" t="s">
        <v>146</v>
      </c>
      <c r="D19735" t="s">
        <v>14</v>
      </c>
      <c r="E19735" t="s">
        <v>213</v>
      </c>
      <c r="F19735" s="2" t="str">
        <f>HYPERLINK("http://www.otzar.org/book.asp?62783","לב נאמן")</f>
        <v>לב נאמן</v>
      </c>
    </row>
    <row r="19736" spans="1:6" x14ac:dyDescent="0.2">
      <c r="A19736" t="s">
        <v>32138</v>
      </c>
      <c r="B19736" t="s">
        <v>32139</v>
      </c>
      <c r="C19736" t="s">
        <v>1335</v>
      </c>
      <c r="D19736" t="s">
        <v>157</v>
      </c>
      <c r="E19736" t="s">
        <v>2509</v>
      </c>
      <c r="F19736" s="2" t="str">
        <f>HYPERLINK("http://www.otzar.org/book.asp?101240","לב נשבר")</f>
        <v>לב נשבר</v>
      </c>
    </row>
    <row r="19737" spans="1:6" x14ac:dyDescent="0.2">
      <c r="A19737" t="s">
        <v>32140</v>
      </c>
      <c r="B19737" t="s">
        <v>32141</v>
      </c>
      <c r="C19737" t="s">
        <v>366</v>
      </c>
      <c r="D19737" t="s">
        <v>14</v>
      </c>
      <c r="E19737" t="s">
        <v>15</v>
      </c>
      <c r="F19737" s="2" t="str">
        <f>HYPERLINK("http://www.otzar.org/book.asp?610636","לב צדיק")</f>
        <v>לב צדיק</v>
      </c>
    </row>
    <row r="19738" spans="1:6" x14ac:dyDescent="0.2">
      <c r="A19738" t="s">
        <v>32142</v>
      </c>
      <c r="B19738" t="s">
        <v>32143</v>
      </c>
      <c r="C19738" t="s">
        <v>466</v>
      </c>
      <c r="D19738" t="s">
        <v>14</v>
      </c>
      <c r="E19738" t="s">
        <v>158</v>
      </c>
      <c r="F19738" s="2" t="str">
        <f>HYPERLINK("http://www.otzar.org/book.asp?155972","לב ציון")</f>
        <v>לב ציון</v>
      </c>
    </row>
    <row r="19739" spans="1:6" x14ac:dyDescent="0.2">
      <c r="A19739" t="s">
        <v>32144</v>
      </c>
      <c r="B19739" t="s">
        <v>32145</v>
      </c>
      <c r="C19739" t="s">
        <v>1448</v>
      </c>
      <c r="D19739" t="s">
        <v>14</v>
      </c>
      <c r="E19739" t="s">
        <v>144</v>
      </c>
      <c r="F19739" s="2" t="str">
        <f>HYPERLINK("http://www.otzar.org/book.asp?141969","לב רחב &lt;על הש""ס&gt; - 3 כר'")</f>
        <v>לב רחב &lt;על הש"ס&gt; - 3 כר'</v>
      </c>
    </row>
    <row r="19740" spans="1:6" x14ac:dyDescent="0.2">
      <c r="A19740" t="s">
        <v>32146</v>
      </c>
      <c r="B19740" t="s">
        <v>32145</v>
      </c>
      <c r="C19740" t="s">
        <v>332</v>
      </c>
      <c r="D19740" t="s">
        <v>52</v>
      </c>
      <c r="E19740" t="s">
        <v>158</v>
      </c>
      <c r="F19740" s="2" t="str">
        <f>HYPERLINK("http://www.otzar.org/book.asp?53201","לב רחב &lt;על התורה&gt; - 2 כר'")</f>
        <v>לב רחב &lt;על התורה&gt; - 2 כר'</v>
      </c>
    </row>
    <row r="19741" spans="1:6" x14ac:dyDescent="0.2">
      <c r="A19741" t="s">
        <v>32147</v>
      </c>
      <c r="B19741" t="s">
        <v>32145</v>
      </c>
      <c r="C19741" t="s">
        <v>17</v>
      </c>
      <c r="D19741" t="s">
        <v>14</v>
      </c>
      <c r="E19741" t="s">
        <v>158</v>
      </c>
      <c r="F19741" s="2" t="str">
        <f>HYPERLINK("http://www.otzar.org/book.asp?141972","לב רחב - 6 כר'")</f>
        <v>לב רחב - 6 כר'</v>
      </c>
    </row>
    <row r="19742" spans="1:6" x14ac:dyDescent="0.2">
      <c r="A19742" t="s">
        <v>32148</v>
      </c>
      <c r="B19742" t="s">
        <v>5611</v>
      </c>
      <c r="C19742" t="s">
        <v>176</v>
      </c>
      <c r="D19742" t="s">
        <v>1840</v>
      </c>
      <c r="E19742" t="s">
        <v>144</v>
      </c>
      <c r="F19742" s="2" t="str">
        <f>HYPERLINK("http://www.otzar.org/book.asp?198412","לב שומע &lt;מהדורה חדשה&gt;")</f>
        <v>לב שומע &lt;מהדורה חדשה&gt;</v>
      </c>
    </row>
    <row r="19743" spans="1:6" x14ac:dyDescent="0.2">
      <c r="A19743" t="s">
        <v>32149</v>
      </c>
      <c r="B19743" t="s">
        <v>32150</v>
      </c>
      <c r="C19743" t="s">
        <v>37</v>
      </c>
      <c r="D19743" t="s">
        <v>52</v>
      </c>
      <c r="E19743" t="s">
        <v>15</v>
      </c>
      <c r="F19743" s="2" t="str">
        <f>HYPERLINK("http://www.otzar.org/book.asp?600084","לב שומע לשלמה - 2 כר'")</f>
        <v>לב שומע לשלמה - 2 כר'</v>
      </c>
    </row>
    <row r="19744" spans="1:6" x14ac:dyDescent="0.2">
      <c r="A19744" t="s">
        <v>32151</v>
      </c>
      <c r="B19744" t="s">
        <v>5611</v>
      </c>
      <c r="C19744" t="s">
        <v>1718</v>
      </c>
      <c r="D19744" t="s">
        <v>212</v>
      </c>
      <c r="E19744" t="s">
        <v>27260</v>
      </c>
      <c r="F19744" s="2" t="str">
        <f>HYPERLINK("http://www.otzar.org/book.asp?11074","לב שומע")</f>
        <v>לב שומע</v>
      </c>
    </row>
    <row r="19745" spans="1:6" x14ac:dyDescent="0.2">
      <c r="A19745" t="s">
        <v>32152</v>
      </c>
      <c r="B19745" t="s">
        <v>26189</v>
      </c>
      <c r="C19745" t="s">
        <v>411</v>
      </c>
      <c r="D19745" t="s">
        <v>646</v>
      </c>
      <c r="F19745" s="2" t="str">
        <f>HYPERLINK("http://www.otzar.org/book.asp?182000","לב שומע - 8 כר'")</f>
        <v>לב שומע - 8 כר'</v>
      </c>
    </row>
    <row r="19746" spans="1:6" x14ac:dyDescent="0.2">
      <c r="A19746" t="s">
        <v>32153</v>
      </c>
      <c r="B19746" t="s">
        <v>32154</v>
      </c>
      <c r="C19746" t="s">
        <v>411</v>
      </c>
      <c r="D19746" t="s">
        <v>14</v>
      </c>
      <c r="F19746" s="2" t="str">
        <f>HYPERLINK("http://www.otzar.org/book.asp?169501","לב שלום")</f>
        <v>לב שלום</v>
      </c>
    </row>
    <row r="19747" spans="1:6" x14ac:dyDescent="0.2">
      <c r="A19747" t="s">
        <v>32155</v>
      </c>
      <c r="B19747" t="s">
        <v>15099</v>
      </c>
      <c r="C19747" t="s">
        <v>7384</v>
      </c>
      <c r="D19747" t="s">
        <v>1023</v>
      </c>
      <c r="E19747" t="s">
        <v>674</v>
      </c>
      <c r="F19747" s="2" t="str">
        <f>HYPERLINK("http://www.otzar.org/book.asp?101313","לב שלם")</f>
        <v>לב שלם</v>
      </c>
    </row>
    <row r="19748" spans="1:6" x14ac:dyDescent="0.2">
      <c r="A19748" t="s">
        <v>32156</v>
      </c>
      <c r="B19748" t="s">
        <v>32157</v>
      </c>
      <c r="C19748" t="s">
        <v>2970</v>
      </c>
      <c r="D19748" t="s">
        <v>76</v>
      </c>
      <c r="E19748" t="s">
        <v>345</v>
      </c>
      <c r="F19748" s="2" t="str">
        <f>HYPERLINK("http://www.otzar.org/book.asp?101304","לב שלמה")</f>
        <v>לב שלמה</v>
      </c>
    </row>
    <row r="19749" spans="1:6" x14ac:dyDescent="0.2">
      <c r="A19749" t="s">
        <v>32156</v>
      </c>
      <c r="B19749" t="s">
        <v>32158</v>
      </c>
      <c r="C19749" t="s">
        <v>20</v>
      </c>
      <c r="D19749" t="s">
        <v>2798</v>
      </c>
      <c r="E19749" t="s">
        <v>604</v>
      </c>
      <c r="F19749" s="2" t="str">
        <f>HYPERLINK("http://www.otzar.org/book.asp?83738","לב שלמה")</f>
        <v>לב שלמה</v>
      </c>
    </row>
    <row r="19750" spans="1:6" x14ac:dyDescent="0.2">
      <c r="A19750" t="s">
        <v>32159</v>
      </c>
      <c r="B19750" t="s">
        <v>16465</v>
      </c>
      <c r="C19750" t="s">
        <v>286</v>
      </c>
      <c r="D19750" t="s">
        <v>2009</v>
      </c>
      <c r="E19750" t="s">
        <v>32160</v>
      </c>
      <c r="F19750" s="2" t="str">
        <f>HYPERLINK("http://www.otzar.org/book.asp?18970","לב שמח החדש - 2 כר'")</f>
        <v>לב שמח החדש - 2 כר'</v>
      </c>
    </row>
    <row r="19751" spans="1:6" x14ac:dyDescent="0.2">
      <c r="A19751" t="s">
        <v>32161</v>
      </c>
      <c r="B19751" t="s">
        <v>5634</v>
      </c>
      <c r="C19751" t="s">
        <v>411</v>
      </c>
      <c r="D19751" t="s">
        <v>52</v>
      </c>
      <c r="E19751" t="s">
        <v>213</v>
      </c>
      <c r="F19751" s="2" t="str">
        <f>HYPERLINK("http://www.otzar.org/book.asp?170946","לב שמח יטיב פנים")</f>
        <v>לב שמח יטיב פנים</v>
      </c>
    </row>
    <row r="19752" spans="1:6" x14ac:dyDescent="0.2">
      <c r="A19752" t="s">
        <v>32162</v>
      </c>
      <c r="B19752" t="s">
        <v>5634</v>
      </c>
      <c r="C19752" t="s">
        <v>23</v>
      </c>
      <c r="D19752" t="s">
        <v>52</v>
      </c>
      <c r="E19752" t="s">
        <v>104</v>
      </c>
      <c r="F19752" s="2" t="str">
        <f>HYPERLINK("http://www.otzar.org/book.asp?193177","לב שמח ייטיב פנים")</f>
        <v>לב שמח ייטיב פנים</v>
      </c>
    </row>
    <row r="19753" spans="1:6" x14ac:dyDescent="0.2">
      <c r="A19753" t="s">
        <v>32163</v>
      </c>
      <c r="B19753" t="s">
        <v>32164</v>
      </c>
      <c r="C19753" t="s">
        <v>1940</v>
      </c>
      <c r="D19753" t="s">
        <v>76</v>
      </c>
      <c r="E19753" t="s">
        <v>396</v>
      </c>
      <c r="F19753" s="2" t="str">
        <f>HYPERLINK("http://www.otzar.org/book.asp?101303","לב שמח - רוח יעקב")</f>
        <v>לב שמח - רוח יעקב</v>
      </c>
    </row>
    <row r="19754" spans="1:6" x14ac:dyDescent="0.2">
      <c r="A19754" t="s">
        <v>32165</v>
      </c>
      <c r="B19754" t="s">
        <v>32166</v>
      </c>
      <c r="C19754" t="s">
        <v>4907</v>
      </c>
      <c r="D19754" t="s">
        <v>1490</v>
      </c>
      <c r="E19754" t="s">
        <v>15</v>
      </c>
      <c r="F19754" s="2" t="str">
        <f>HYPERLINK("http://www.otzar.org/book.asp?160753","לב שמח")</f>
        <v>לב שמח</v>
      </c>
    </row>
    <row r="19755" spans="1:6" x14ac:dyDescent="0.2">
      <c r="A19755" t="s">
        <v>32165</v>
      </c>
      <c r="B19755" t="s">
        <v>16465</v>
      </c>
      <c r="C19755" t="s">
        <v>1437</v>
      </c>
      <c r="D19755" t="s">
        <v>2276</v>
      </c>
      <c r="E19755" t="s">
        <v>158</v>
      </c>
      <c r="F19755" s="2" t="str">
        <f>HYPERLINK("http://www.otzar.org/book.asp?23648","לב שמח")</f>
        <v>לב שמח</v>
      </c>
    </row>
    <row r="19756" spans="1:6" x14ac:dyDescent="0.2">
      <c r="A19756" t="s">
        <v>32167</v>
      </c>
      <c r="B19756" t="s">
        <v>4174</v>
      </c>
      <c r="C19756" t="s">
        <v>37</v>
      </c>
      <c r="D19756" t="s">
        <v>14</v>
      </c>
      <c r="F19756" s="2" t="str">
        <f>HYPERLINK("http://www.otzar.org/book.asp?622933","לב שמח - פורים")</f>
        <v>לב שמח - פורים</v>
      </c>
    </row>
    <row r="19757" spans="1:6" x14ac:dyDescent="0.2">
      <c r="A19757" t="s">
        <v>32165</v>
      </c>
      <c r="B19757" t="s">
        <v>32168</v>
      </c>
      <c r="C19757" t="s">
        <v>32169</v>
      </c>
      <c r="D19757" t="s">
        <v>267</v>
      </c>
      <c r="E19757" t="s">
        <v>219</v>
      </c>
      <c r="F19757" s="2" t="str">
        <f>HYPERLINK("http://www.otzar.org/book.asp?104416","לב שמח")</f>
        <v>לב שמח</v>
      </c>
    </row>
    <row r="19758" spans="1:6" x14ac:dyDescent="0.2">
      <c r="A19758" t="s">
        <v>32170</v>
      </c>
      <c r="B19758" t="s">
        <v>4398</v>
      </c>
      <c r="C19758" t="s">
        <v>17</v>
      </c>
      <c r="D19758" t="s">
        <v>216</v>
      </c>
      <c r="E19758" t="s">
        <v>1880</v>
      </c>
      <c r="F19758" s="2" t="str">
        <f>HYPERLINK("http://www.otzar.org/book.asp?148458","לב שמח, ראש שמחתי")</f>
        <v>לב שמח, ראש שמחתי</v>
      </c>
    </row>
    <row r="19759" spans="1:6" x14ac:dyDescent="0.2">
      <c r="A19759" t="s">
        <v>32171</v>
      </c>
      <c r="B19759" t="s">
        <v>4398</v>
      </c>
      <c r="C19759" t="s">
        <v>767</v>
      </c>
      <c r="D19759" t="s">
        <v>216</v>
      </c>
      <c r="E19759" t="s">
        <v>154</v>
      </c>
      <c r="F19759" s="2" t="str">
        <f>HYPERLINK("http://www.otzar.org/book.asp?148459","לב שמחה &lt;שו""ת&gt;")</f>
        <v>לב שמחה &lt;שו"ת&gt;</v>
      </c>
    </row>
    <row r="19760" spans="1:6" x14ac:dyDescent="0.2">
      <c r="A19760" t="s">
        <v>32172</v>
      </c>
      <c r="B19760" t="s">
        <v>2039</v>
      </c>
      <c r="C19760" t="s">
        <v>4538</v>
      </c>
      <c r="D19760" t="s">
        <v>60</v>
      </c>
      <c r="E19760" t="s">
        <v>230</v>
      </c>
      <c r="F19760" s="2" t="str">
        <f>HYPERLINK("http://www.otzar.org/book.asp?63886","לב שמחה")</f>
        <v>לב שמחה</v>
      </c>
    </row>
    <row r="19761" spans="1:6" x14ac:dyDescent="0.2">
      <c r="A19761" t="s">
        <v>32173</v>
      </c>
      <c r="B19761" t="s">
        <v>32038</v>
      </c>
      <c r="C19761" t="s">
        <v>366</v>
      </c>
      <c r="D19761" t="s">
        <v>276</v>
      </c>
      <c r="F19761" s="2" t="str">
        <f>HYPERLINK("http://www.otzar.org/book.asp?603172","לבאר שבע - שבע מצות בני נח")</f>
        <v>לבאר שבע - שבע מצות בני נח</v>
      </c>
    </row>
    <row r="19762" spans="1:6" x14ac:dyDescent="0.2">
      <c r="A19762" t="s">
        <v>32174</v>
      </c>
      <c r="B19762" t="s">
        <v>8078</v>
      </c>
      <c r="C19762" t="s">
        <v>1537</v>
      </c>
      <c r="D19762" t="s">
        <v>212</v>
      </c>
      <c r="E19762" t="s">
        <v>15</v>
      </c>
      <c r="F19762" s="2" t="str">
        <f>HYPERLINK("http://www.otzar.org/book.asp?149407","לבב דוד")</f>
        <v>לבב דוד</v>
      </c>
    </row>
    <row r="19763" spans="1:6" x14ac:dyDescent="0.2">
      <c r="A19763" t="s">
        <v>32175</v>
      </c>
      <c r="B19763" t="s">
        <v>32176</v>
      </c>
      <c r="C19763" t="s">
        <v>422</v>
      </c>
      <c r="D19763" t="s">
        <v>52</v>
      </c>
      <c r="E19763" t="s">
        <v>130</v>
      </c>
      <c r="F19763" s="2" t="str">
        <f>HYPERLINK("http://www.otzar.org/book.asp?85638","לבב דוד - 4 כר'")</f>
        <v>לבב דוד - 4 כר'</v>
      </c>
    </row>
    <row r="19764" spans="1:6" x14ac:dyDescent="0.2">
      <c r="A19764" t="s">
        <v>32177</v>
      </c>
      <c r="B19764" t="s">
        <v>32178</v>
      </c>
      <c r="C19764" t="s">
        <v>111</v>
      </c>
      <c r="D19764" t="s">
        <v>412</v>
      </c>
      <c r="E19764" t="s">
        <v>158</v>
      </c>
      <c r="F19764" s="2" t="str">
        <f>HYPERLINK("http://www.otzar.org/book.asp?630547","לבב חכמה &lt;על התורה&gt; - א")</f>
        <v>לבב חכמה &lt;על התורה&gt; - א</v>
      </c>
    </row>
    <row r="19765" spans="1:6" x14ac:dyDescent="0.2">
      <c r="A19765" t="s">
        <v>32179</v>
      </c>
      <c r="B19765" t="s">
        <v>32178</v>
      </c>
      <c r="C19765" t="s">
        <v>103</v>
      </c>
      <c r="D19765" t="s">
        <v>412</v>
      </c>
      <c r="F19765" s="2" t="str">
        <f>HYPERLINK("http://www.otzar.org/book.asp?600268","לבב חכמה")</f>
        <v>לבב חכמה</v>
      </c>
    </row>
    <row r="19766" spans="1:6" x14ac:dyDescent="0.2">
      <c r="A19766" t="s">
        <v>32180</v>
      </c>
      <c r="B19766" t="s">
        <v>32181</v>
      </c>
      <c r="C19766" t="s">
        <v>17</v>
      </c>
      <c r="D19766" t="s">
        <v>14</v>
      </c>
      <c r="E19766" t="s">
        <v>230</v>
      </c>
      <c r="F19766" s="2" t="str">
        <f>HYPERLINK("http://www.otzar.org/book.asp?619792","לבב ימים")</f>
        <v>לבב ימים</v>
      </c>
    </row>
    <row r="19767" spans="1:6" x14ac:dyDescent="0.2">
      <c r="A19767" t="s">
        <v>32182</v>
      </c>
      <c r="B19767" t="s">
        <v>552</v>
      </c>
      <c r="C19767" t="s">
        <v>919</v>
      </c>
      <c r="D19767" t="s">
        <v>14</v>
      </c>
      <c r="E19767" t="s">
        <v>2633</v>
      </c>
      <c r="F19767" s="2" t="str">
        <f>HYPERLINK("http://www.otzar.org/book.asp?14959","לבב שלם")</f>
        <v>לבב שלם</v>
      </c>
    </row>
    <row r="19768" spans="1:6" x14ac:dyDescent="0.2">
      <c r="A19768" t="s">
        <v>32183</v>
      </c>
      <c r="B19768" t="s">
        <v>9358</v>
      </c>
      <c r="C19768" t="s">
        <v>1954</v>
      </c>
      <c r="D19768" t="s">
        <v>14</v>
      </c>
      <c r="F19768" s="2" t="str">
        <f>HYPERLINK("http://www.otzar.org/book.asp?614678","לבוב - אנציקלופדיה של גלויות")</f>
        <v>לבוב - אנציקלופדיה של גלויות</v>
      </c>
    </row>
    <row r="19769" spans="1:6" x14ac:dyDescent="0.2">
      <c r="A19769" t="s">
        <v>32184</v>
      </c>
      <c r="B19769" t="s">
        <v>27235</v>
      </c>
      <c r="C19769" t="s">
        <v>143</v>
      </c>
      <c r="D19769" t="s">
        <v>14</v>
      </c>
      <c r="E19769" t="s">
        <v>15</v>
      </c>
      <c r="F19769" s="2" t="str">
        <f>HYPERLINK("http://www.otzar.org/book.asp?21993","לבון הלכה - 2 כר'")</f>
        <v>לבון הלכה - 2 כר'</v>
      </c>
    </row>
    <row r="19770" spans="1:6" x14ac:dyDescent="0.2">
      <c r="A19770" t="s">
        <v>32185</v>
      </c>
      <c r="B19770" t="s">
        <v>239</v>
      </c>
      <c r="C19770" t="s">
        <v>20</v>
      </c>
      <c r="D19770" t="s">
        <v>240</v>
      </c>
      <c r="F19770" s="2" t="str">
        <f>HYPERLINK("http://www.otzar.org/book.asp?604592","לבונה זכה &lt;המבואר&gt;")</f>
        <v>לבונה זכה &lt;המבואר&gt;</v>
      </c>
    </row>
    <row r="19771" spans="1:6" x14ac:dyDescent="0.2">
      <c r="A19771" t="s">
        <v>32186</v>
      </c>
      <c r="B19771" t="s">
        <v>239</v>
      </c>
      <c r="C19771" t="s">
        <v>523</v>
      </c>
      <c r="D19771" t="s">
        <v>486</v>
      </c>
      <c r="E19771" t="s">
        <v>158</v>
      </c>
      <c r="F19771" s="2" t="str">
        <f>HYPERLINK("http://www.otzar.org/book.asp?53630","לבונה זכה - 2 כר'")</f>
        <v>לבונה זכה - 2 כר'</v>
      </c>
    </row>
    <row r="19772" spans="1:6" x14ac:dyDescent="0.2">
      <c r="A19772" t="s">
        <v>32187</v>
      </c>
      <c r="B19772" t="s">
        <v>686</v>
      </c>
      <c r="C19772" t="s">
        <v>13</v>
      </c>
      <c r="D19772" t="s">
        <v>52</v>
      </c>
      <c r="E19772" t="s">
        <v>104</v>
      </c>
      <c r="F19772" s="2" t="str">
        <f>HYPERLINK("http://www.otzar.org/book.asp?63334","לבונה זכה")</f>
        <v>לבונה זכה</v>
      </c>
    </row>
    <row r="19773" spans="1:6" x14ac:dyDescent="0.2">
      <c r="A19773" t="s">
        <v>32188</v>
      </c>
      <c r="B19773" t="s">
        <v>32189</v>
      </c>
      <c r="C19773" t="s">
        <v>775</v>
      </c>
      <c r="D19773" t="s">
        <v>14</v>
      </c>
      <c r="E19773" t="s">
        <v>104</v>
      </c>
      <c r="F19773" s="2" t="str">
        <f>HYPERLINK("http://www.otzar.org/book.asp?149546","לבונת המנחה &lt;על מנחת חינוך&gt; - 5 כר'")</f>
        <v>לבונת המנחה &lt;על מנחת חינוך&gt; - 5 כר'</v>
      </c>
    </row>
    <row r="19774" spans="1:6" x14ac:dyDescent="0.2">
      <c r="A19774" t="s">
        <v>32190</v>
      </c>
      <c r="B19774" t="s">
        <v>32191</v>
      </c>
      <c r="C19774" t="s">
        <v>23</v>
      </c>
      <c r="D19774" t="s">
        <v>90</v>
      </c>
      <c r="E19774" t="s">
        <v>104</v>
      </c>
      <c r="F19774" s="2" t="str">
        <f>HYPERLINK("http://www.otzar.org/book.asp?606524","לבוש הארון")</f>
        <v>לבוש הארון</v>
      </c>
    </row>
    <row r="19775" spans="1:6" x14ac:dyDescent="0.2">
      <c r="A19775" t="s">
        <v>32192</v>
      </c>
      <c r="B19775" t="s">
        <v>32193</v>
      </c>
      <c r="C19775" t="s">
        <v>454</v>
      </c>
      <c r="D19775" t="s">
        <v>14</v>
      </c>
      <c r="E19775" t="s">
        <v>234</v>
      </c>
      <c r="F19775" s="2" t="str">
        <f>HYPERLINK("http://www.otzar.org/book.asp?26329","לבוש יוסף &lt;מועדים&gt; - 2 כר'")</f>
        <v>לבוש יוסף &lt;מועדים&gt; - 2 כר'</v>
      </c>
    </row>
    <row r="19776" spans="1:6" x14ac:dyDescent="0.2">
      <c r="A19776" t="s">
        <v>32194</v>
      </c>
      <c r="B19776" t="s">
        <v>32193</v>
      </c>
      <c r="C19776" t="s">
        <v>114</v>
      </c>
      <c r="D19776" t="s">
        <v>14</v>
      </c>
      <c r="E19776" t="s">
        <v>234</v>
      </c>
      <c r="F19776" s="2" t="str">
        <f>HYPERLINK("http://www.otzar.org/book.asp?169467","לבוש יוסף &lt;על השמחות&gt; - 4 כר'")</f>
        <v>לבוש יוסף &lt;על השמחות&gt; - 4 כר'</v>
      </c>
    </row>
    <row r="19777" spans="1:6" x14ac:dyDescent="0.2">
      <c r="A19777" t="s">
        <v>32195</v>
      </c>
      <c r="B19777" t="s">
        <v>32193</v>
      </c>
      <c r="C19777" t="s">
        <v>454</v>
      </c>
      <c r="D19777" t="s">
        <v>14</v>
      </c>
      <c r="E19777" t="s">
        <v>158</v>
      </c>
      <c r="F19777" s="2" t="str">
        <f>HYPERLINK("http://www.otzar.org/book.asp?26330","לבוש יוסף &lt;על התורה&gt; - 5 כר'")</f>
        <v>לבוש יוסף &lt;על התורה&gt; - 5 כר'</v>
      </c>
    </row>
    <row r="19778" spans="1:6" x14ac:dyDescent="0.2">
      <c r="A19778" t="s">
        <v>32196</v>
      </c>
      <c r="B19778" t="s">
        <v>32197</v>
      </c>
      <c r="C19778" t="s">
        <v>20</v>
      </c>
      <c r="D19778" t="s">
        <v>14</v>
      </c>
      <c r="E19778" t="s">
        <v>144</v>
      </c>
      <c r="F19778" s="2" t="str">
        <f>HYPERLINK("http://www.otzar.org/book.asp?630012","לבוש יוסף")</f>
        <v>לבוש יוסף</v>
      </c>
    </row>
    <row r="19779" spans="1:6" x14ac:dyDescent="0.2">
      <c r="A19779" t="s">
        <v>32198</v>
      </c>
      <c r="B19779" t="s">
        <v>29641</v>
      </c>
      <c r="C19779" t="s">
        <v>244</v>
      </c>
      <c r="E19779" t="s">
        <v>148</v>
      </c>
      <c r="F19779" s="2" t="str">
        <f>HYPERLINK("http://www.otzar.org/book.asp?605368","לבוש יוסף - 4 כר'")</f>
        <v>לבוש יוסף - 4 כר'</v>
      </c>
    </row>
    <row r="19780" spans="1:6" x14ac:dyDescent="0.2">
      <c r="A19780" t="s">
        <v>32199</v>
      </c>
      <c r="B19780" t="s">
        <v>32200</v>
      </c>
      <c r="C19780" t="s">
        <v>37</v>
      </c>
      <c r="D19780" t="s">
        <v>27</v>
      </c>
      <c r="F19780" s="2" t="str">
        <f>HYPERLINK("http://www.otzar.org/book.asp?608166","לבוש ישע &lt;מהדורה חדשה&gt;")</f>
        <v>לבוש ישע &lt;מהדורה חדשה&gt;</v>
      </c>
    </row>
    <row r="19781" spans="1:6" x14ac:dyDescent="0.2">
      <c r="A19781" t="s">
        <v>32201</v>
      </c>
      <c r="B19781" t="s">
        <v>32200</v>
      </c>
      <c r="C19781" t="s">
        <v>1470</v>
      </c>
      <c r="D19781" t="s">
        <v>27</v>
      </c>
      <c r="E19781" t="s">
        <v>508</v>
      </c>
      <c r="F19781" s="2" t="str">
        <f>HYPERLINK("http://www.otzar.org/book.asp?19269","לבוש ישע")</f>
        <v>לבוש ישע</v>
      </c>
    </row>
    <row r="19782" spans="1:6" x14ac:dyDescent="0.2">
      <c r="A19782" t="s">
        <v>32202</v>
      </c>
      <c r="B19782" t="s">
        <v>32203</v>
      </c>
      <c r="C19782" t="s">
        <v>13</v>
      </c>
      <c r="D19782" t="s">
        <v>152</v>
      </c>
      <c r="E19782" t="s">
        <v>241</v>
      </c>
      <c r="F19782" s="2" t="str">
        <f>HYPERLINK("http://www.otzar.org/book.asp?159315","לבוש מחלצות")</f>
        <v>לבוש מחלצות</v>
      </c>
    </row>
    <row r="19783" spans="1:6" x14ac:dyDescent="0.2">
      <c r="A19783" t="s">
        <v>32204</v>
      </c>
      <c r="B19783" t="s">
        <v>32205</v>
      </c>
      <c r="C19783" t="s">
        <v>32206</v>
      </c>
      <c r="D19783" t="s">
        <v>49</v>
      </c>
      <c r="F19783" s="2" t="str">
        <f>HYPERLINK("http://www.otzar.org/book.asp?53787","לבוש מלכות &lt;ונציה ש""פ&gt; - 3 כר'")</f>
        <v>לבוש מלכות &lt;ונציה ש"פ&gt; - 3 כר'</v>
      </c>
    </row>
    <row r="19784" spans="1:6" x14ac:dyDescent="0.2">
      <c r="A19784" t="s">
        <v>32207</v>
      </c>
      <c r="B19784" t="s">
        <v>4961</v>
      </c>
      <c r="C19784" t="s">
        <v>888</v>
      </c>
      <c r="D19784" t="s">
        <v>27</v>
      </c>
      <c r="E19784" t="s">
        <v>219</v>
      </c>
      <c r="F19784" s="2" t="str">
        <f>HYPERLINK("http://www.otzar.org/book.asp?104360","לבוש מלכות")</f>
        <v>לבוש מלכות</v>
      </c>
    </row>
    <row r="19785" spans="1:6" x14ac:dyDescent="0.2">
      <c r="A19785" t="s">
        <v>32207</v>
      </c>
      <c r="B19785" t="s">
        <v>32208</v>
      </c>
      <c r="C19785" t="s">
        <v>558</v>
      </c>
      <c r="D19785" t="s">
        <v>947</v>
      </c>
      <c r="E19785" t="s">
        <v>32209</v>
      </c>
      <c r="F19785" s="2" t="str">
        <f>HYPERLINK("http://www.otzar.org/book.asp?24695","לבוש מלכות")</f>
        <v>לבוש מלכות</v>
      </c>
    </row>
    <row r="19786" spans="1:6" x14ac:dyDescent="0.2">
      <c r="A19786" t="s">
        <v>32207</v>
      </c>
      <c r="B19786" t="s">
        <v>24958</v>
      </c>
      <c r="C19786" t="s">
        <v>68</v>
      </c>
      <c r="D19786" t="s">
        <v>14</v>
      </c>
      <c r="E19786" t="s">
        <v>15</v>
      </c>
      <c r="F19786" s="2" t="str">
        <f>HYPERLINK("http://www.otzar.org/book.asp?159638","לבוש מלכות")</f>
        <v>לבוש מלכות</v>
      </c>
    </row>
    <row r="19787" spans="1:6" x14ac:dyDescent="0.2">
      <c r="A19787" t="s">
        <v>32210</v>
      </c>
      <c r="B19787" t="s">
        <v>32205</v>
      </c>
      <c r="C19787" t="s">
        <v>1640</v>
      </c>
      <c r="D19787" t="s">
        <v>412</v>
      </c>
      <c r="E19787" t="s">
        <v>158</v>
      </c>
      <c r="F19787" s="2" t="str">
        <f>HYPERLINK("http://www.otzar.org/book.asp?8714","לבוש מלכות - 6 כר'")</f>
        <v>לבוש מלכות - 6 כר'</v>
      </c>
    </row>
    <row r="19788" spans="1:6" x14ac:dyDescent="0.2">
      <c r="A19788" t="s">
        <v>32211</v>
      </c>
      <c r="B19788" t="s">
        <v>32212</v>
      </c>
      <c r="C19788" t="s">
        <v>581</v>
      </c>
      <c r="D19788" t="s">
        <v>9</v>
      </c>
      <c r="E19788" t="s">
        <v>144</v>
      </c>
      <c r="F19788" s="2" t="str">
        <f>HYPERLINK("http://www.otzar.org/book.asp?100249","לבוש מרדכי - 8 כר'")</f>
        <v>לבוש מרדכי - 8 כר'</v>
      </c>
    </row>
    <row r="19789" spans="1:6" x14ac:dyDescent="0.2">
      <c r="A19789" t="s">
        <v>32213</v>
      </c>
      <c r="B19789" t="s">
        <v>32214</v>
      </c>
      <c r="C19789" t="s">
        <v>111</v>
      </c>
      <c r="D19789" t="s">
        <v>52</v>
      </c>
      <c r="E19789" t="s">
        <v>674</v>
      </c>
      <c r="F19789" s="2" t="str">
        <f>HYPERLINK("http://www.otzar.org/book.asp?624890","לבוש מרדכי - 2 כר'")</f>
        <v>לבוש מרדכי - 2 כר'</v>
      </c>
    </row>
    <row r="19790" spans="1:6" x14ac:dyDescent="0.2">
      <c r="A19790" t="s">
        <v>32215</v>
      </c>
      <c r="B19790" t="s">
        <v>32216</v>
      </c>
      <c r="C19790" t="s">
        <v>146</v>
      </c>
      <c r="D19790" t="s">
        <v>14</v>
      </c>
      <c r="E19790" t="s">
        <v>15</v>
      </c>
      <c r="F19790" s="2" t="str">
        <f>HYPERLINK("http://www.otzar.org/book.asp?25746","לבוש צדק")</f>
        <v>לבוש צדק</v>
      </c>
    </row>
    <row r="19791" spans="1:6" x14ac:dyDescent="0.2">
      <c r="A19791" t="s">
        <v>32217</v>
      </c>
      <c r="B19791" t="s">
        <v>32218</v>
      </c>
      <c r="C19791" t="s">
        <v>129</v>
      </c>
      <c r="D19791" t="s">
        <v>14</v>
      </c>
      <c r="E19791" t="s">
        <v>15</v>
      </c>
      <c r="F19791" s="2" t="str">
        <f>HYPERLINK("http://www.otzar.org/book.asp?154957","לבושה של תורה - 2 כר'")</f>
        <v>לבושה של תורה - 2 כר'</v>
      </c>
    </row>
    <row r="19792" spans="1:6" x14ac:dyDescent="0.2">
      <c r="A19792" t="s">
        <v>32219</v>
      </c>
      <c r="B19792" t="s">
        <v>32220</v>
      </c>
      <c r="C19792" t="s">
        <v>366</v>
      </c>
      <c r="D19792" t="s">
        <v>412</v>
      </c>
      <c r="E19792" t="s">
        <v>158</v>
      </c>
      <c r="F19792" s="2" t="str">
        <f>HYPERLINK("http://www.otzar.org/book.asp?608114","לבושי אהרן - 3 כר'")</f>
        <v>לבושי אהרן - 3 כר'</v>
      </c>
    </row>
    <row r="19793" spans="1:6" x14ac:dyDescent="0.2">
      <c r="A19793" t="s">
        <v>32221</v>
      </c>
      <c r="B19793" t="s">
        <v>32205</v>
      </c>
      <c r="C19793" t="s">
        <v>26776</v>
      </c>
      <c r="D19793" t="s">
        <v>267</v>
      </c>
      <c r="E19793" t="s">
        <v>957</v>
      </c>
      <c r="F19793" s="2" t="str">
        <f>HYPERLINK("http://www.otzar.org/book.asp?11905","לבושי אור יקרות (ריקאנטי) - 2 כר'")</f>
        <v>לבושי אור יקרות (ריקאנטי) - 2 כר'</v>
      </c>
    </row>
    <row r="19794" spans="1:6" x14ac:dyDescent="0.2">
      <c r="A19794" t="s">
        <v>32222</v>
      </c>
      <c r="B19794" t="s">
        <v>12390</v>
      </c>
      <c r="C19794" t="s">
        <v>32223</v>
      </c>
      <c r="D19794" t="s">
        <v>26609</v>
      </c>
      <c r="F19794" s="2" t="str">
        <f>HYPERLINK("http://www.otzar.org/book.asp?611735","לבושי אור יקרות (ריקאנטי)")</f>
        <v>לבושי אור יקרות (ריקאנטי)</v>
      </c>
    </row>
    <row r="19795" spans="1:6" x14ac:dyDescent="0.2">
      <c r="A19795" t="s">
        <v>32224</v>
      </c>
      <c r="B19795" t="s">
        <v>1763</v>
      </c>
      <c r="C19795" t="s">
        <v>1208</v>
      </c>
      <c r="D19795" t="s">
        <v>14</v>
      </c>
      <c r="E19795" t="s">
        <v>467</v>
      </c>
      <c r="F19795" s="2" t="str">
        <f>HYPERLINK("http://www.otzar.org/book.asp?17031","לבושי בדים")</f>
        <v>לבושי בדים</v>
      </c>
    </row>
    <row r="19796" spans="1:6" x14ac:dyDescent="0.2">
      <c r="A19796" t="s">
        <v>32225</v>
      </c>
      <c r="B19796" t="s">
        <v>6987</v>
      </c>
      <c r="C19796" t="s">
        <v>624</v>
      </c>
      <c r="D19796" t="s">
        <v>52</v>
      </c>
      <c r="E19796" t="s">
        <v>38</v>
      </c>
      <c r="F19796" s="2" t="str">
        <f>HYPERLINK("http://www.otzar.org/book.asp?60015","לבושי האריה")</f>
        <v>לבושי האריה</v>
      </c>
    </row>
    <row r="19797" spans="1:6" x14ac:dyDescent="0.2">
      <c r="A19797" t="s">
        <v>32226</v>
      </c>
      <c r="B19797" t="s">
        <v>32227</v>
      </c>
      <c r="C19797" t="s">
        <v>13</v>
      </c>
      <c r="D19797" t="s">
        <v>14</v>
      </c>
      <c r="E19797" t="s">
        <v>172</v>
      </c>
      <c r="F19797" s="2" t="str">
        <f>HYPERLINK("http://www.otzar.org/book.asp?147602","לבושי חושן - 4 כר'")</f>
        <v>לבושי חושן - 4 כר'</v>
      </c>
    </row>
    <row r="19798" spans="1:6" x14ac:dyDescent="0.2">
      <c r="A19798" t="s">
        <v>32228</v>
      </c>
      <c r="B19798" t="s">
        <v>32229</v>
      </c>
      <c r="C19798" t="s">
        <v>111</v>
      </c>
      <c r="D19798" t="s">
        <v>52</v>
      </c>
      <c r="F19798" s="2" t="str">
        <f>HYPERLINK("http://www.otzar.org/book.asp?623086","לבושי יהודה - בראשית")</f>
        <v>לבושי יהודה - בראשית</v>
      </c>
    </row>
    <row r="19799" spans="1:6" x14ac:dyDescent="0.2">
      <c r="A19799" t="s">
        <v>32230</v>
      </c>
      <c r="B19799" t="s">
        <v>32231</v>
      </c>
      <c r="C19799" t="s">
        <v>989</v>
      </c>
      <c r="D19799" t="s">
        <v>412</v>
      </c>
      <c r="E19799" t="s">
        <v>154</v>
      </c>
      <c r="F19799" s="2" t="str">
        <f>HYPERLINK("http://www.otzar.org/book.asp?102743","לבושי יום טוב - 4 כר'")</f>
        <v>לבושי יום טוב - 4 כר'</v>
      </c>
    </row>
    <row r="19800" spans="1:6" x14ac:dyDescent="0.2">
      <c r="A19800" t="s">
        <v>32232</v>
      </c>
      <c r="B19800" t="s">
        <v>32233</v>
      </c>
      <c r="C19800" t="s">
        <v>523</v>
      </c>
      <c r="D19800" t="s">
        <v>52</v>
      </c>
      <c r="E19800" t="s">
        <v>674</v>
      </c>
      <c r="F19800" s="2" t="str">
        <f>HYPERLINK("http://www.otzar.org/book.asp?61727","לבושי יוסף - על הלכות כלאי בגדים להרא""ש")</f>
        <v>לבושי יוסף - על הלכות כלאי בגדים להרא"ש</v>
      </c>
    </row>
    <row r="19801" spans="1:6" x14ac:dyDescent="0.2">
      <c r="A19801" t="s">
        <v>32234</v>
      </c>
      <c r="B19801" t="s">
        <v>18724</v>
      </c>
      <c r="C19801" t="s">
        <v>1228</v>
      </c>
      <c r="D19801" t="s">
        <v>379</v>
      </c>
      <c r="E19801" t="s">
        <v>295</v>
      </c>
      <c r="F19801" s="2" t="str">
        <f>HYPERLINK("http://www.otzar.org/book.asp?16022","לבושי מכלול")</f>
        <v>לבושי מכלול</v>
      </c>
    </row>
    <row r="19802" spans="1:6" x14ac:dyDescent="0.2">
      <c r="A19802" t="s">
        <v>32235</v>
      </c>
      <c r="B19802" t="s">
        <v>30144</v>
      </c>
      <c r="C19802" t="s">
        <v>114</v>
      </c>
      <c r="D19802" t="s">
        <v>412</v>
      </c>
      <c r="E19802" t="s">
        <v>154</v>
      </c>
      <c r="F19802" s="2" t="str">
        <f>HYPERLINK("http://www.otzar.org/book.asp?168290","לבושי מרדכי &lt;מהדורה חדשה&gt; - 4 כר'")</f>
        <v>לבושי מרדכי &lt;מהדורה חדשה&gt; - 4 כר'</v>
      </c>
    </row>
    <row r="19803" spans="1:6" x14ac:dyDescent="0.2">
      <c r="A19803" t="s">
        <v>32236</v>
      </c>
      <c r="B19803" t="s">
        <v>30144</v>
      </c>
      <c r="C19803" t="s">
        <v>24600</v>
      </c>
      <c r="D19803" t="s">
        <v>8463</v>
      </c>
      <c r="E19803" t="s">
        <v>154</v>
      </c>
      <c r="F19803" s="2" t="str">
        <f>HYPERLINK("http://www.otzar.org/book.asp?11088","לבושי מרדכי - 7 כר'")</f>
        <v>לבושי מרדכי - 7 כר'</v>
      </c>
    </row>
    <row r="19804" spans="1:6" x14ac:dyDescent="0.2">
      <c r="A19804" t="s">
        <v>32237</v>
      </c>
      <c r="B19804" t="s">
        <v>2993</v>
      </c>
      <c r="C19804" t="s">
        <v>609</v>
      </c>
      <c r="D19804" t="s">
        <v>726</v>
      </c>
      <c r="E19804" t="s">
        <v>32238</v>
      </c>
      <c r="F19804" s="2" t="str">
        <f>HYPERLINK("http://www.otzar.org/book.asp?5187","לבושי צדקה")</f>
        <v>לבושי צדקה</v>
      </c>
    </row>
    <row r="19805" spans="1:6" x14ac:dyDescent="0.2">
      <c r="A19805" t="s">
        <v>32239</v>
      </c>
      <c r="B19805" t="s">
        <v>32240</v>
      </c>
      <c r="C19805" t="s">
        <v>503</v>
      </c>
      <c r="D19805" t="s">
        <v>267</v>
      </c>
      <c r="E19805" t="s">
        <v>933</v>
      </c>
      <c r="F19805" s="2" t="str">
        <f>HYPERLINK("http://www.otzar.org/book.asp?51821","לבושי שרד - תבואות שור")</f>
        <v>לבושי שרד - תבואות שור</v>
      </c>
    </row>
    <row r="19806" spans="1:6" x14ac:dyDescent="0.2">
      <c r="A19806" t="s">
        <v>32241</v>
      </c>
      <c r="B19806" t="s">
        <v>7899</v>
      </c>
      <c r="C19806" t="s">
        <v>55</v>
      </c>
      <c r="D19806" t="s">
        <v>9748</v>
      </c>
      <c r="E19806" t="s">
        <v>148</v>
      </c>
      <c r="F19806" s="2" t="str">
        <f>HYPERLINK("http://www.otzar.org/book.asp?166848","לבושי שרד - 7 כר'")</f>
        <v>לבושי שרד - 7 כר'</v>
      </c>
    </row>
    <row r="19807" spans="1:6" x14ac:dyDescent="0.2">
      <c r="A19807" t="s">
        <v>32242</v>
      </c>
      <c r="B19807" t="s">
        <v>32243</v>
      </c>
      <c r="C19807" t="s">
        <v>411</v>
      </c>
      <c r="D19807" t="s">
        <v>32244</v>
      </c>
      <c r="E19807" t="s">
        <v>202</v>
      </c>
      <c r="F19807" s="2" t="str">
        <f>HYPERLINK("http://www.otzar.org/book.asp?171240","לבי במזרח")</f>
        <v>לבי במזרח</v>
      </c>
    </row>
    <row r="19808" spans="1:6" x14ac:dyDescent="0.2">
      <c r="A19808" t="s">
        <v>32245</v>
      </c>
      <c r="B19808" t="s">
        <v>686</v>
      </c>
      <c r="C19808" t="s">
        <v>244</v>
      </c>
      <c r="D19808" t="s">
        <v>80</v>
      </c>
      <c r="E19808" t="s">
        <v>246</v>
      </c>
      <c r="F19808" s="2" t="str">
        <f>HYPERLINK("http://www.otzar.org/book.asp?606743","לבי ובשרי ירננו")</f>
        <v>לבי ובשרי ירננו</v>
      </c>
    </row>
    <row r="19809" spans="1:6" x14ac:dyDescent="0.2">
      <c r="A19809" t="s">
        <v>32246</v>
      </c>
      <c r="B19809" t="s">
        <v>686</v>
      </c>
      <c r="C19809" t="s">
        <v>23</v>
      </c>
      <c r="D19809" t="s">
        <v>52</v>
      </c>
      <c r="E19809" t="s">
        <v>158</v>
      </c>
      <c r="F19809" s="2" t="str">
        <f>HYPERLINK("http://www.otzar.org/book.asp?193038","לבי ער")</f>
        <v>לבי ער</v>
      </c>
    </row>
    <row r="19810" spans="1:6" x14ac:dyDescent="0.2">
      <c r="A19810" t="s">
        <v>32246</v>
      </c>
      <c r="B19810" t="s">
        <v>32247</v>
      </c>
      <c r="C19810" t="s">
        <v>624</v>
      </c>
      <c r="D19810" t="s">
        <v>14</v>
      </c>
      <c r="E19810" t="s">
        <v>24</v>
      </c>
      <c r="F19810" s="2" t="str">
        <f>HYPERLINK("http://www.otzar.org/book.asp?50918","לבי ער")</f>
        <v>לבי ער</v>
      </c>
    </row>
    <row r="19811" spans="1:6" x14ac:dyDescent="0.2">
      <c r="A19811" t="s">
        <v>32248</v>
      </c>
      <c r="B19811" t="s">
        <v>4398</v>
      </c>
      <c r="C19811" t="s">
        <v>466</v>
      </c>
      <c r="D19811" t="s">
        <v>216</v>
      </c>
      <c r="E19811" t="s">
        <v>158</v>
      </c>
      <c r="F19811" s="2" t="str">
        <f>HYPERLINK("http://www.otzar.org/book.asp?148460","לבי שמח")</f>
        <v>לבי שמח</v>
      </c>
    </row>
    <row r="19812" spans="1:6" x14ac:dyDescent="0.2">
      <c r="A19812" t="s">
        <v>32249</v>
      </c>
      <c r="B19812" t="s">
        <v>2702</v>
      </c>
      <c r="C19812" t="s">
        <v>985</v>
      </c>
      <c r="D19812" t="s">
        <v>27</v>
      </c>
      <c r="E19812" t="s">
        <v>1336</v>
      </c>
      <c r="F19812" s="2" t="str">
        <f>HYPERLINK("http://www.otzar.org/book.asp?19182","לבירור שאלת חליבה בשבת")</f>
        <v>לבירור שאלת חליבה בשבת</v>
      </c>
    </row>
    <row r="19813" spans="1:6" x14ac:dyDescent="0.2">
      <c r="A19813" t="s">
        <v>32250</v>
      </c>
      <c r="B19813" t="s">
        <v>32251</v>
      </c>
      <c r="C19813" t="s">
        <v>51</v>
      </c>
      <c r="D19813" t="s">
        <v>52</v>
      </c>
      <c r="E19813" t="s">
        <v>2071</v>
      </c>
      <c r="F19813" s="2" t="str">
        <f>HYPERLINK("http://www.otzar.org/book.asp?61559","לבית יעקב - 3 כר'")</f>
        <v>לבית יעקב - 3 כר'</v>
      </c>
    </row>
    <row r="19814" spans="1:6" x14ac:dyDescent="0.2">
      <c r="A19814" t="s">
        <v>32252</v>
      </c>
      <c r="B19814" t="s">
        <v>32253</v>
      </c>
      <c r="C19814" t="s">
        <v>843</v>
      </c>
      <c r="D19814" t="s">
        <v>27</v>
      </c>
      <c r="E19814" t="s">
        <v>219</v>
      </c>
      <c r="F19814" s="2" t="str">
        <f>HYPERLINK("http://www.otzar.org/book.asp?107104","לבית ישראל")</f>
        <v>לבית ישראל</v>
      </c>
    </row>
    <row r="19815" spans="1:6" x14ac:dyDescent="0.2">
      <c r="A19815" t="s">
        <v>32254</v>
      </c>
      <c r="B19815" t="s">
        <v>4638</v>
      </c>
      <c r="C19815" t="s">
        <v>1448</v>
      </c>
      <c r="D19815" t="s">
        <v>14</v>
      </c>
      <c r="E19815" t="s">
        <v>241</v>
      </c>
      <c r="F19815" s="2" t="str">
        <f>HYPERLINK("http://www.otzar.org/book.asp?615780","לבן הישיבה")</f>
        <v>לבן הישיבה</v>
      </c>
    </row>
    <row r="19816" spans="1:6" x14ac:dyDescent="0.2">
      <c r="A19816" t="s">
        <v>32255</v>
      </c>
      <c r="B19816" t="s">
        <v>32256</v>
      </c>
      <c r="C19816" t="s">
        <v>151</v>
      </c>
      <c r="D19816" t="s">
        <v>152</v>
      </c>
      <c r="E19816" t="s">
        <v>15</v>
      </c>
      <c r="F19816" s="2" t="str">
        <f>HYPERLINK("http://www.otzar.org/book.asp?620482","לבנה בחידושה")</f>
        <v>לבנה בחידושה</v>
      </c>
    </row>
    <row r="19817" spans="1:6" x14ac:dyDescent="0.2">
      <c r="A19817" t="s">
        <v>32257</v>
      </c>
      <c r="B19817" t="s">
        <v>4398</v>
      </c>
      <c r="C19817" t="s">
        <v>454</v>
      </c>
      <c r="D19817" t="s">
        <v>216</v>
      </c>
      <c r="E19817" t="s">
        <v>158</v>
      </c>
      <c r="F19817" s="2" t="str">
        <f>HYPERLINK("http://www.otzar.org/book.asp?148452","לבנו ישמח - ויקרא")</f>
        <v>לבנו ישמח - ויקרא</v>
      </c>
    </row>
    <row r="19818" spans="1:6" x14ac:dyDescent="0.2">
      <c r="A19818" t="s">
        <v>32258</v>
      </c>
      <c r="B19818" t="s">
        <v>31085</v>
      </c>
      <c r="C19818" t="s">
        <v>37</v>
      </c>
      <c r="D19818" t="s">
        <v>646</v>
      </c>
      <c r="E19818" t="s">
        <v>148</v>
      </c>
      <c r="F19818" s="2" t="str">
        <f>HYPERLINK("http://www.otzar.org/book.asp?622046","לבנון נטע &lt;מהדורה חדשה&gt;")</f>
        <v>לבנון נטע &lt;מהדורה חדשה&gt;</v>
      </c>
    </row>
    <row r="19819" spans="1:6" x14ac:dyDescent="0.2">
      <c r="A19819" t="s">
        <v>32259</v>
      </c>
      <c r="B19819" t="s">
        <v>31085</v>
      </c>
      <c r="C19819" t="s">
        <v>362</v>
      </c>
      <c r="D19819" t="s">
        <v>352</v>
      </c>
      <c r="E19819" t="s">
        <v>345</v>
      </c>
      <c r="F19819" s="2" t="str">
        <f>HYPERLINK("http://www.otzar.org/book.asp?8430","לבנון נטע")</f>
        <v>לבנון נטע</v>
      </c>
    </row>
    <row r="19820" spans="1:6" x14ac:dyDescent="0.2">
      <c r="A19820" t="s">
        <v>32260</v>
      </c>
      <c r="B19820" t="s">
        <v>32261</v>
      </c>
      <c r="C19820" t="s">
        <v>37</v>
      </c>
      <c r="D19820" t="s">
        <v>90</v>
      </c>
      <c r="E19820" t="s">
        <v>15</v>
      </c>
      <c r="F19820" s="2" t="str">
        <f>HYPERLINK("http://www.otzar.org/book.asp?622015","לבנות בית נאמן")</f>
        <v>לבנות בית נאמן</v>
      </c>
    </row>
    <row r="19821" spans="1:6" x14ac:dyDescent="0.2">
      <c r="A19821" t="s">
        <v>32262</v>
      </c>
      <c r="B19821" t="s">
        <v>32263</v>
      </c>
      <c r="C19821" t="s">
        <v>20</v>
      </c>
      <c r="D19821" t="s">
        <v>14</v>
      </c>
      <c r="E19821" t="s">
        <v>1211</v>
      </c>
      <c r="F19821" s="2" t="str">
        <f>HYPERLINK("http://www.otzar.org/book.asp?623235","לבני בנימן &lt;דברי יעקב&gt;")</f>
        <v>לבני בנימן &lt;דברי יעקב&gt;</v>
      </c>
    </row>
    <row r="19822" spans="1:6" x14ac:dyDescent="0.2">
      <c r="A19822" t="s">
        <v>32264</v>
      </c>
      <c r="B19822" t="s">
        <v>32263</v>
      </c>
      <c r="C19822" t="s">
        <v>600</v>
      </c>
      <c r="D19822" t="s">
        <v>283</v>
      </c>
      <c r="E19822" t="s">
        <v>144</v>
      </c>
      <c r="F19822" s="2" t="str">
        <f>HYPERLINK("http://www.otzar.org/book.asp?200207","לבני בנימן")</f>
        <v>לבני בנימן</v>
      </c>
    </row>
    <row r="19823" spans="1:6" x14ac:dyDescent="0.2">
      <c r="A19823" t="s">
        <v>32265</v>
      </c>
      <c r="B19823" t="s">
        <v>32266</v>
      </c>
      <c r="C19823" t="s">
        <v>523</v>
      </c>
      <c r="D19823" t="s">
        <v>52</v>
      </c>
      <c r="E19823" t="s">
        <v>1507</v>
      </c>
      <c r="F19823" s="2" t="str">
        <f>HYPERLINK("http://www.otzar.org/book.asp?165966","לבני ישראל &lt;מכת""י&gt;")</f>
        <v>לבני ישראל &lt;מכת"י&gt;</v>
      </c>
    </row>
    <row r="19824" spans="1:6" x14ac:dyDescent="0.2">
      <c r="A19824" t="s">
        <v>32267</v>
      </c>
      <c r="B19824" t="s">
        <v>32266</v>
      </c>
      <c r="C19824" t="s">
        <v>462</v>
      </c>
      <c r="D19824" t="s">
        <v>2440</v>
      </c>
      <c r="E19824" t="s">
        <v>564</v>
      </c>
      <c r="F19824" s="2" t="str">
        <f>HYPERLINK("http://www.otzar.org/book.asp?25510","לבני ישראל")</f>
        <v>לבני ישראל</v>
      </c>
    </row>
    <row r="19825" spans="1:6" x14ac:dyDescent="0.2">
      <c r="A19825" t="s">
        <v>32268</v>
      </c>
      <c r="B19825" t="s">
        <v>32269</v>
      </c>
      <c r="C19825" t="s">
        <v>13</v>
      </c>
      <c r="D19825" t="s">
        <v>52</v>
      </c>
      <c r="E19825" t="s">
        <v>2071</v>
      </c>
      <c r="F19825" s="2" t="str">
        <f>HYPERLINK("http://www.otzar.org/book.asp?84245","לבני ישראל - 2 כר'")</f>
        <v>לבני ישראל - 2 כר'</v>
      </c>
    </row>
    <row r="19826" spans="1:6" x14ac:dyDescent="0.2">
      <c r="A19826" t="s">
        <v>32270</v>
      </c>
      <c r="B19826" t="s">
        <v>13038</v>
      </c>
      <c r="C19826" t="s">
        <v>1096</v>
      </c>
      <c r="D19826" t="s">
        <v>6042</v>
      </c>
      <c r="E19826" t="s">
        <v>154</v>
      </c>
      <c r="F19826" s="2" t="str">
        <f>HYPERLINK("http://www.otzar.org/book.asp?24696","לבני מנשה  (מתוך גבול מנשה)")</f>
        <v>לבני מנשה  (מתוך גבול מנשה)</v>
      </c>
    </row>
    <row r="19827" spans="1:6" x14ac:dyDescent="0.2">
      <c r="A19827" t="s">
        <v>32271</v>
      </c>
      <c r="B19827" t="s">
        <v>32272</v>
      </c>
      <c r="C19827" t="s">
        <v>313</v>
      </c>
      <c r="D19827" t="s">
        <v>52</v>
      </c>
      <c r="E19827" t="s">
        <v>104</v>
      </c>
      <c r="F19827" s="2" t="str">
        <f>HYPERLINK("http://www.otzar.org/book.asp?64339","לבניכם ספרו")</f>
        <v>לבניכם ספרו</v>
      </c>
    </row>
    <row r="19828" spans="1:6" x14ac:dyDescent="0.2">
      <c r="A19828" t="s">
        <v>32273</v>
      </c>
      <c r="B19828" t="s">
        <v>32274</v>
      </c>
      <c r="C19828" t="s">
        <v>1228</v>
      </c>
      <c r="D19828" t="s">
        <v>661</v>
      </c>
      <c r="E19828" t="s">
        <v>144</v>
      </c>
      <c r="F19828" s="2" t="str">
        <f>HYPERLINK("http://www.otzar.org/book.asp?144847","לבנימין אמר")</f>
        <v>לבנימין אמר</v>
      </c>
    </row>
    <row r="19829" spans="1:6" x14ac:dyDescent="0.2">
      <c r="A19829" t="s">
        <v>32273</v>
      </c>
      <c r="B19829" t="s">
        <v>32275</v>
      </c>
      <c r="C19829" t="s">
        <v>37</v>
      </c>
      <c r="D19829" t="s">
        <v>21</v>
      </c>
      <c r="E19829" t="s">
        <v>104</v>
      </c>
      <c r="F19829" s="2" t="str">
        <f>HYPERLINK("http://www.otzar.org/book.asp?197737","לבנימין אמר")</f>
        <v>לבנימין אמר</v>
      </c>
    </row>
    <row r="19830" spans="1:6" x14ac:dyDescent="0.2">
      <c r="A19830" t="s">
        <v>32273</v>
      </c>
      <c r="B19830" t="s">
        <v>32276</v>
      </c>
      <c r="C19830" t="s">
        <v>37</v>
      </c>
      <c r="D19830" t="s">
        <v>367</v>
      </c>
      <c r="F19830" s="2" t="str">
        <f>HYPERLINK("http://www.otzar.org/book.asp?182293","לבנימין אמר")</f>
        <v>לבנימין אמר</v>
      </c>
    </row>
    <row r="19831" spans="1:6" x14ac:dyDescent="0.2">
      <c r="A19831" t="s">
        <v>32273</v>
      </c>
      <c r="B19831" t="s">
        <v>32277</v>
      </c>
      <c r="C19831" t="s">
        <v>87</v>
      </c>
      <c r="D19831" t="s">
        <v>90</v>
      </c>
      <c r="E19831" t="s">
        <v>20073</v>
      </c>
      <c r="F19831" s="2" t="str">
        <f>HYPERLINK("http://www.otzar.org/book.asp?193053","לבנימין אמר")</f>
        <v>לבנימין אמר</v>
      </c>
    </row>
    <row r="19832" spans="1:6" x14ac:dyDescent="0.2">
      <c r="A19832" t="s">
        <v>32273</v>
      </c>
      <c r="B19832" t="s">
        <v>13139</v>
      </c>
      <c r="C19832" t="s">
        <v>185</v>
      </c>
      <c r="D19832" t="s">
        <v>2375</v>
      </c>
      <c r="E19832" t="s">
        <v>148</v>
      </c>
      <c r="F19832" s="2" t="str">
        <f>HYPERLINK("http://www.otzar.org/book.asp?628066","לבנימין אמר")</f>
        <v>לבנימין אמר</v>
      </c>
    </row>
    <row r="19833" spans="1:6" x14ac:dyDescent="0.2">
      <c r="A19833" t="s">
        <v>32278</v>
      </c>
      <c r="B19833" t="s">
        <v>32279</v>
      </c>
      <c r="C19833" t="s">
        <v>1166</v>
      </c>
      <c r="D19833" t="s">
        <v>27</v>
      </c>
      <c r="E19833" t="s">
        <v>11950</v>
      </c>
      <c r="F19833" s="2" t="str">
        <f>HYPERLINK("http://www.otzar.org/book.asp?6179","לבנת הספיר")</f>
        <v>לבנת הספיר</v>
      </c>
    </row>
    <row r="19834" spans="1:6" x14ac:dyDescent="0.2">
      <c r="A19834" t="s">
        <v>32278</v>
      </c>
      <c r="B19834" t="s">
        <v>2396</v>
      </c>
      <c r="C19834" t="s">
        <v>51</v>
      </c>
      <c r="D19834" t="s">
        <v>1076</v>
      </c>
      <c r="E19834" t="s">
        <v>158</v>
      </c>
      <c r="F19834" s="2" t="str">
        <f>HYPERLINK("http://www.otzar.org/book.asp?22911","לבנת הספיר")</f>
        <v>לבנת הספיר</v>
      </c>
    </row>
    <row r="19835" spans="1:6" x14ac:dyDescent="0.2">
      <c r="A19835" t="s">
        <v>32280</v>
      </c>
      <c r="B19835" t="s">
        <v>32281</v>
      </c>
      <c r="C19835" t="s">
        <v>411</v>
      </c>
      <c r="D19835" t="s">
        <v>14</v>
      </c>
      <c r="E19835" t="s">
        <v>246</v>
      </c>
      <c r="F19835" s="2" t="str">
        <f>HYPERLINK("http://www.otzar.org/book.asp?608142","לבסומי בפוריא")</f>
        <v>לבסומי בפוריא</v>
      </c>
    </row>
    <row r="19836" spans="1:6" x14ac:dyDescent="0.2">
      <c r="A19836" t="s">
        <v>32282</v>
      </c>
      <c r="B19836" t="s">
        <v>32283</v>
      </c>
      <c r="C19836" t="s">
        <v>37</v>
      </c>
      <c r="D19836" t="s">
        <v>10790</v>
      </c>
      <c r="F19836" s="2" t="str">
        <f>HYPERLINK("http://www.otzar.org/book.asp?603425","לבקר בהיכלו - על הרב בן ציון פריימן")</f>
        <v>לבקר בהיכלו - על הרב בן ציון פריימן</v>
      </c>
    </row>
    <row r="19837" spans="1:6" x14ac:dyDescent="0.2">
      <c r="A19837" t="s">
        <v>32284</v>
      </c>
      <c r="B19837" t="s">
        <v>32285</v>
      </c>
      <c r="C19837" t="s">
        <v>422</v>
      </c>
      <c r="D19837" t="s">
        <v>412</v>
      </c>
      <c r="E19837" t="s">
        <v>393</v>
      </c>
      <c r="F19837" s="2" t="str">
        <f>HYPERLINK("http://www.otzar.org/book.asp?150942","לבקר בהיכלו - 2 כר'")</f>
        <v>לבקר בהיכלו - 2 כר'</v>
      </c>
    </row>
    <row r="19838" spans="1:6" x14ac:dyDescent="0.2">
      <c r="A19838" t="s">
        <v>32286</v>
      </c>
      <c r="B19838" t="s">
        <v>32287</v>
      </c>
      <c r="C19838" t="s">
        <v>20</v>
      </c>
      <c r="D19838" t="s">
        <v>5172</v>
      </c>
      <c r="E19838" t="s">
        <v>960</v>
      </c>
      <c r="F19838" s="2" t="str">
        <f>HYPERLINK("http://www.otzar.org/book.asp?166409","לבקר רינה - 3 כר'")</f>
        <v>לבקר רינה - 3 כר'</v>
      </c>
    </row>
    <row r="19839" spans="1:6" x14ac:dyDescent="0.2">
      <c r="A19839" t="s">
        <v>32288</v>
      </c>
      <c r="B19839" t="s">
        <v>21652</v>
      </c>
      <c r="C19839" t="s">
        <v>176</v>
      </c>
      <c r="D19839" t="s">
        <v>412</v>
      </c>
      <c r="E19839" t="s">
        <v>15</v>
      </c>
      <c r="F19839" s="2" t="str">
        <f>HYPERLINK("http://www.otzar.org/book.asp?162685","לברית הבט")</f>
        <v>לברית הבט</v>
      </c>
    </row>
    <row r="19840" spans="1:6" x14ac:dyDescent="0.2">
      <c r="A19840" t="s">
        <v>32289</v>
      </c>
      <c r="B19840" t="s">
        <v>9479</v>
      </c>
      <c r="C19840" t="s">
        <v>1570</v>
      </c>
      <c r="D19840" t="s">
        <v>21</v>
      </c>
      <c r="F19840" s="2" t="str">
        <f>HYPERLINK("http://www.otzar.org/book.asp?601255","לבת ישראל - 2 כר'")</f>
        <v>לבת ישראל - 2 כר'</v>
      </c>
    </row>
    <row r="19841" spans="1:6" x14ac:dyDescent="0.2">
      <c r="A19841" t="s">
        <v>32290</v>
      </c>
      <c r="B19841" t="s">
        <v>32290</v>
      </c>
      <c r="C19841" t="s">
        <v>366</v>
      </c>
      <c r="D19841" t="s">
        <v>118</v>
      </c>
      <c r="F19841" s="2" t="str">
        <f>HYPERLINK("http://www.otzar.org/book.asp?622207","לגדור פרץ")</f>
        <v>לגדור פרץ</v>
      </c>
    </row>
    <row r="19842" spans="1:6" x14ac:dyDescent="0.2">
      <c r="A19842" t="s">
        <v>32291</v>
      </c>
      <c r="B19842" t="s">
        <v>32292</v>
      </c>
      <c r="C19842" t="s">
        <v>146</v>
      </c>
      <c r="D19842" t="s">
        <v>273</v>
      </c>
      <c r="E19842" t="s">
        <v>393</v>
      </c>
      <c r="F19842" s="2" t="str">
        <f>HYPERLINK("http://www.otzar.org/book.asp?141678","לגלות את האור הפנימי")</f>
        <v>לגלות את האור הפנימי</v>
      </c>
    </row>
    <row r="19843" spans="1:6" x14ac:dyDescent="0.2">
      <c r="A19843" t="s">
        <v>32293</v>
      </c>
      <c r="B19843" t="s">
        <v>32294</v>
      </c>
      <c r="C19843" t="s">
        <v>362</v>
      </c>
      <c r="D19843" t="s">
        <v>225</v>
      </c>
      <c r="E19843" t="s">
        <v>684</v>
      </c>
      <c r="F19843" s="2" t="str">
        <f>HYPERLINK("http://www.otzar.org/book.asp?18971","לדובר מישרים")</f>
        <v>לדובר מישרים</v>
      </c>
    </row>
    <row r="19844" spans="1:6" x14ac:dyDescent="0.2">
      <c r="A19844" t="s">
        <v>32295</v>
      </c>
      <c r="B19844" t="s">
        <v>1308</v>
      </c>
      <c r="C19844" t="s">
        <v>32296</v>
      </c>
      <c r="D19844" t="s">
        <v>212</v>
      </c>
      <c r="E19844" t="s">
        <v>15</v>
      </c>
      <c r="F19844" s="2" t="str">
        <f>HYPERLINK("http://www.otzar.org/book.asp?166867","לדוד אמת - 4 כר'")</f>
        <v>לדוד אמת - 4 כר'</v>
      </c>
    </row>
    <row r="19845" spans="1:6" x14ac:dyDescent="0.2">
      <c r="A19845" t="s">
        <v>32297</v>
      </c>
      <c r="B19845" t="s">
        <v>32298</v>
      </c>
      <c r="C19845" t="s">
        <v>624</v>
      </c>
      <c r="D19845" t="s">
        <v>14</v>
      </c>
      <c r="E19845" t="s">
        <v>158</v>
      </c>
      <c r="F19845" s="2" t="str">
        <f>HYPERLINK("http://www.otzar.org/book.asp?50112","לדוד ברוך")</f>
        <v>לדוד ברוך</v>
      </c>
    </row>
    <row r="19846" spans="1:6" x14ac:dyDescent="0.2">
      <c r="A19846" t="s">
        <v>32299</v>
      </c>
      <c r="B19846" t="s">
        <v>32300</v>
      </c>
      <c r="C19846" t="s">
        <v>189</v>
      </c>
      <c r="D19846" t="s">
        <v>52</v>
      </c>
      <c r="E19846" t="s">
        <v>15</v>
      </c>
      <c r="F19846" s="2" t="str">
        <f>HYPERLINK("http://www.otzar.org/book.asp?158698","לדוד ה' אורי וישעי")</f>
        <v>לדוד ה' אורי וישעי</v>
      </c>
    </row>
    <row r="19847" spans="1:6" x14ac:dyDescent="0.2">
      <c r="A19847" t="s">
        <v>32301</v>
      </c>
      <c r="C19847" t="s">
        <v>20</v>
      </c>
      <c r="D19847" t="s">
        <v>32302</v>
      </c>
      <c r="E19847" t="s">
        <v>104</v>
      </c>
      <c r="F19847" s="2" t="str">
        <f>HYPERLINK("http://www.otzar.org/book.asp?628151","לדוד ולזרעו")</f>
        <v>לדוד ולזרעו</v>
      </c>
    </row>
    <row r="19848" spans="1:6" x14ac:dyDescent="0.2">
      <c r="A19848" t="s">
        <v>32301</v>
      </c>
      <c r="B19848" t="s">
        <v>32303</v>
      </c>
      <c r="C19848" t="s">
        <v>37</v>
      </c>
      <c r="D19848" t="s">
        <v>32304</v>
      </c>
      <c r="E19848" t="s">
        <v>22049</v>
      </c>
      <c r="F19848" s="2" t="str">
        <f>HYPERLINK("http://www.otzar.org/book.asp?611059","לדוד ולזרעו")</f>
        <v>לדוד ולזרעו</v>
      </c>
    </row>
    <row r="19849" spans="1:6" x14ac:dyDescent="0.2">
      <c r="A19849" t="s">
        <v>32305</v>
      </c>
      <c r="B19849" t="s">
        <v>32306</v>
      </c>
      <c r="C19849" t="s">
        <v>422</v>
      </c>
      <c r="D19849" t="s">
        <v>14</v>
      </c>
      <c r="F19849" s="2" t="str">
        <f>HYPERLINK("http://www.otzar.org/book.asp?182317","לדוד מזמור - פיוטי דוד הנשיא")</f>
        <v>לדוד מזמור - פיוטי דוד הנשיא</v>
      </c>
    </row>
    <row r="19850" spans="1:6" x14ac:dyDescent="0.2">
      <c r="A19850" t="s">
        <v>32307</v>
      </c>
      <c r="B19850" t="s">
        <v>32308</v>
      </c>
      <c r="C19850" t="s">
        <v>20</v>
      </c>
      <c r="D19850" t="s">
        <v>14</v>
      </c>
      <c r="E19850" t="s">
        <v>144</v>
      </c>
      <c r="F19850" s="2" t="str">
        <f>HYPERLINK("http://www.otzar.org/book.asp?616025","לדוד מזמור - נשים")</f>
        <v>לדוד מזמור - נשים</v>
      </c>
    </row>
    <row r="19851" spans="1:6" x14ac:dyDescent="0.2">
      <c r="A19851" t="s">
        <v>32309</v>
      </c>
      <c r="B19851" t="s">
        <v>552</v>
      </c>
      <c r="C19851" t="s">
        <v>427</v>
      </c>
      <c r="D19851" t="s">
        <v>14</v>
      </c>
      <c r="E19851" t="s">
        <v>199</v>
      </c>
      <c r="F19851" s="2" t="str">
        <f>HYPERLINK("http://www.otzar.org/book.asp?15029","לדוד עד עולם [לנדאו]")</f>
        <v>לדוד עד עולם [לנדאו]</v>
      </c>
    </row>
    <row r="19852" spans="1:6" x14ac:dyDescent="0.2">
      <c r="A19852" t="s">
        <v>32310</v>
      </c>
      <c r="B19852" t="s">
        <v>20270</v>
      </c>
      <c r="C19852" t="s">
        <v>473</v>
      </c>
      <c r="D19852" t="s">
        <v>280</v>
      </c>
      <c r="E19852" t="s">
        <v>202</v>
      </c>
      <c r="F19852" s="2" t="str">
        <f>HYPERLINK("http://www.otzar.org/book.asp?612385","לדוד צבי &lt;ספר היובל לרד""צ הופמן&gt; - 3 כר'")</f>
        <v>לדוד צבי &lt;ספר היובל לרד"צ הופמן&gt; - 3 כר'</v>
      </c>
    </row>
    <row r="19853" spans="1:6" x14ac:dyDescent="0.2">
      <c r="A19853" t="s">
        <v>32311</v>
      </c>
      <c r="B19853" t="s">
        <v>32312</v>
      </c>
      <c r="C19853" t="s">
        <v>466</v>
      </c>
      <c r="D19853" t="s">
        <v>52</v>
      </c>
      <c r="E19853" t="s">
        <v>104</v>
      </c>
      <c r="F19853" s="2" t="str">
        <f>HYPERLINK("http://www.otzar.org/book.asp?159885","לדוד שיר")</f>
        <v>לדוד שיר</v>
      </c>
    </row>
    <row r="19854" spans="1:6" x14ac:dyDescent="0.2">
      <c r="A19854" t="s">
        <v>32313</v>
      </c>
      <c r="B19854" t="s">
        <v>32314</v>
      </c>
      <c r="C19854" t="s">
        <v>244</v>
      </c>
      <c r="D19854" t="s">
        <v>21</v>
      </c>
      <c r="E19854" t="s">
        <v>15</v>
      </c>
      <c r="F19854" s="2" t="str">
        <f>HYPERLINK("http://www.otzar.org/book.asp?601485","לדופקי בתשובה")</f>
        <v>לדופקי בתשובה</v>
      </c>
    </row>
    <row r="19855" spans="1:6" x14ac:dyDescent="0.2">
      <c r="A19855" t="s">
        <v>32315</v>
      </c>
      <c r="B19855" t="s">
        <v>32316</v>
      </c>
      <c r="C19855" t="s">
        <v>68</v>
      </c>
      <c r="D19855" t="s">
        <v>14</v>
      </c>
      <c r="F19855" s="2" t="str">
        <f>HYPERLINK("http://www.otzar.org/book.asp?151287","לדופקי בתשובה - 2 כר'")</f>
        <v>לדופקי בתשובה - 2 כר'</v>
      </c>
    </row>
    <row r="19856" spans="1:6" x14ac:dyDescent="0.2">
      <c r="A19856" t="s">
        <v>32317</v>
      </c>
      <c r="B19856" t="s">
        <v>32318</v>
      </c>
      <c r="C19856" t="s">
        <v>576</v>
      </c>
      <c r="D19856" t="s">
        <v>9</v>
      </c>
      <c r="E19856" t="s">
        <v>81</v>
      </c>
      <c r="F19856" s="2" t="str">
        <f>HYPERLINK("http://www.otzar.org/book.asp?14881","לדור אחרון")</f>
        <v>לדור אחרון</v>
      </c>
    </row>
    <row r="19857" spans="1:6" x14ac:dyDescent="0.2">
      <c r="A19857" t="s">
        <v>32319</v>
      </c>
      <c r="B19857" t="s">
        <v>32320</v>
      </c>
      <c r="C19857" t="s">
        <v>37</v>
      </c>
      <c r="D19857" t="s">
        <v>14</v>
      </c>
      <c r="E19857" t="s">
        <v>202</v>
      </c>
      <c r="F19857" s="2" t="str">
        <f>HYPERLINK("http://www.otzar.org/book.asp?627902","לדורותם - 5 כר'")</f>
        <v>לדורותם - 5 כר'</v>
      </c>
    </row>
    <row r="19858" spans="1:6" x14ac:dyDescent="0.2">
      <c r="A19858" t="s">
        <v>32321</v>
      </c>
      <c r="B19858" t="s">
        <v>24673</v>
      </c>
      <c r="C19858" t="s">
        <v>20</v>
      </c>
      <c r="D19858" t="s">
        <v>52</v>
      </c>
      <c r="E19858" t="s">
        <v>15</v>
      </c>
      <c r="F19858" s="2" t="str">
        <f>HYPERLINK("http://www.otzar.org/book.asp?180660","לדורשי האמת - פאה נכרית")</f>
        <v>לדורשי האמת - פאה נכרית</v>
      </c>
    </row>
    <row r="19859" spans="1:6" x14ac:dyDescent="0.2">
      <c r="A19859" t="s">
        <v>32322</v>
      </c>
      <c r="B19859" t="s">
        <v>13017</v>
      </c>
      <c r="C19859" t="s">
        <v>20</v>
      </c>
      <c r="D19859" t="s">
        <v>90</v>
      </c>
      <c r="E19859" t="s">
        <v>119</v>
      </c>
      <c r="F19859" s="2" t="str">
        <f>HYPERLINK("http://www.otzar.org/book.asp?199481","לדמותו של חסיד")</f>
        <v>לדמותו של חסיד</v>
      </c>
    </row>
    <row r="19860" spans="1:6" x14ac:dyDescent="0.2">
      <c r="A19860" t="s">
        <v>32323</v>
      </c>
      <c r="B19860" t="s">
        <v>32324</v>
      </c>
      <c r="C19860" t="s">
        <v>767</v>
      </c>
      <c r="D19860" t="s">
        <v>14</v>
      </c>
      <c r="E19860" t="s">
        <v>213</v>
      </c>
      <c r="F19860" s="2" t="str">
        <f>HYPERLINK("http://www.otzar.org/book.asp?174344","לדעת בארץ דרכך")</f>
        <v>לדעת בארץ דרכך</v>
      </c>
    </row>
    <row r="19861" spans="1:6" x14ac:dyDescent="0.2">
      <c r="A19861" t="s">
        <v>32325</v>
      </c>
      <c r="B19861" t="s">
        <v>32326</v>
      </c>
      <c r="C19861" t="s">
        <v>20</v>
      </c>
      <c r="D19861" t="s">
        <v>32327</v>
      </c>
      <c r="E19861" t="s">
        <v>104</v>
      </c>
      <c r="F19861" s="2" t="str">
        <f>HYPERLINK("http://www.otzar.org/book.asp?621041","לדעת חכמה ומוסר")</f>
        <v>לדעת חכמה ומוסר</v>
      </c>
    </row>
    <row r="19862" spans="1:6" x14ac:dyDescent="0.2">
      <c r="A19862" t="s">
        <v>32325</v>
      </c>
      <c r="B19862" t="s">
        <v>11753</v>
      </c>
      <c r="C19862" t="s">
        <v>20</v>
      </c>
      <c r="D19862" t="s">
        <v>90</v>
      </c>
      <c r="E19862" t="s">
        <v>104</v>
      </c>
      <c r="F19862" s="2" t="str">
        <f>HYPERLINK("http://www.otzar.org/book.asp?620381","לדעת חכמה ומוסר")</f>
        <v>לדעת חכמה ומוסר</v>
      </c>
    </row>
    <row r="19863" spans="1:6" x14ac:dyDescent="0.2">
      <c r="A19863" t="s">
        <v>32328</v>
      </c>
      <c r="B19863" t="s">
        <v>32329</v>
      </c>
      <c r="C19863" t="s">
        <v>466</v>
      </c>
      <c r="D19863" t="s">
        <v>14</v>
      </c>
      <c r="E19863" t="s">
        <v>474</v>
      </c>
      <c r="F19863" s="2" t="str">
        <f>HYPERLINK("http://www.otzar.org/book.asp?50294","לדעת חכמה ומוסר - 2 כר'")</f>
        <v>לדעת חכמה ומוסר - 2 כר'</v>
      </c>
    </row>
    <row r="19864" spans="1:6" x14ac:dyDescent="0.2">
      <c r="A19864" t="s">
        <v>32330</v>
      </c>
      <c r="B19864" t="s">
        <v>32331</v>
      </c>
      <c r="C19864" t="s">
        <v>151</v>
      </c>
      <c r="D19864" t="s">
        <v>14</v>
      </c>
      <c r="E19864" t="s">
        <v>104</v>
      </c>
      <c r="F19864" s="2" t="str">
        <f>HYPERLINK("http://www.otzar.org/book.asp?613775","לדעת לכתוב")</f>
        <v>לדעת לכתוב</v>
      </c>
    </row>
    <row r="19865" spans="1:6" x14ac:dyDescent="0.2">
      <c r="A19865" t="s">
        <v>32332</v>
      </c>
      <c r="B19865" t="s">
        <v>5084</v>
      </c>
      <c r="C19865" t="s">
        <v>133</v>
      </c>
      <c r="D19865" t="s">
        <v>14</v>
      </c>
      <c r="E19865" t="s">
        <v>144</v>
      </c>
      <c r="F19865" s="2" t="str">
        <f>HYPERLINK("http://www.otzar.org/book.asp?181051","לדעת ללמוד")</f>
        <v>לדעת ללמוד</v>
      </c>
    </row>
    <row r="19866" spans="1:6" x14ac:dyDescent="0.2">
      <c r="A19866" t="s">
        <v>32333</v>
      </c>
      <c r="B19866" t="s">
        <v>5975</v>
      </c>
      <c r="C19866" t="s">
        <v>553</v>
      </c>
      <c r="D19866" t="s">
        <v>2458</v>
      </c>
      <c r="E19866" t="s">
        <v>104</v>
      </c>
      <c r="F19866" s="2" t="str">
        <f>HYPERLINK("http://www.otzar.org/book.asp?158884","לדרך הציון וההפניה בשמות מסכתות ופרקים אצל הראשונים  -  תדפיס")</f>
        <v>לדרך הציון וההפניה בשמות מסכתות ופרקים אצל הראשונים  -  תדפיס</v>
      </c>
    </row>
    <row r="19867" spans="1:6" x14ac:dyDescent="0.2">
      <c r="A19867" t="s">
        <v>32334</v>
      </c>
      <c r="B19867" t="s">
        <v>9846</v>
      </c>
      <c r="C19867" t="s">
        <v>1177</v>
      </c>
      <c r="D19867" t="s">
        <v>212</v>
      </c>
      <c r="E19867" t="s">
        <v>104</v>
      </c>
      <c r="F19867" s="2" t="str">
        <f>HYPERLINK("http://www.otzar.org/book.asp?618469","לדרש אלהים - 3 כר'")</f>
        <v>לדרש אלהים - 3 כר'</v>
      </c>
    </row>
    <row r="19868" spans="1:6" x14ac:dyDescent="0.2">
      <c r="A19868" t="s">
        <v>32335</v>
      </c>
      <c r="B19868" t="s">
        <v>13424</v>
      </c>
      <c r="C19868" t="s">
        <v>13</v>
      </c>
      <c r="D19868" t="s">
        <v>52</v>
      </c>
      <c r="E19868" t="s">
        <v>148</v>
      </c>
      <c r="F19868" s="2" t="str">
        <f>HYPERLINK("http://www.otzar.org/book.asp?85065","לה' הארץ ומלואה - 3 כר'")</f>
        <v>לה' הארץ ומלואה - 3 כר'</v>
      </c>
    </row>
    <row r="19869" spans="1:6" x14ac:dyDescent="0.2">
      <c r="A19869" t="s">
        <v>32336</v>
      </c>
      <c r="B19869" t="s">
        <v>32337</v>
      </c>
      <c r="C19869" t="s">
        <v>114</v>
      </c>
      <c r="D19869" t="s">
        <v>412</v>
      </c>
      <c r="E19869" t="s">
        <v>202</v>
      </c>
      <c r="F19869" s="2" t="str">
        <f>HYPERLINK("http://www.otzar.org/book.asp?603802","להאיר באור החיים - ב")</f>
        <v>להאיר באור החיים - ב</v>
      </c>
    </row>
    <row r="19870" spans="1:6" x14ac:dyDescent="0.2">
      <c r="A19870" t="s">
        <v>32338</v>
      </c>
      <c r="B19870" t="s">
        <v>1750</v>
      </c>
      <c r="C19870" t="s">
        <v>133</v>
      </c>
      <c r="D19870" t="s">
        <v>90</v>
      </c>
      <c r="F19870" s="2" t="str">
        <f>HYPERLINK("http://www.otzar.org/book.asp?198718","להאיר באור החיים - 5 כר'")</f>
        <v>להאיר באור החיים - 5 כר'</v>
      </c>
    </row>
    <row r="19871" spans="1:6" x14ac:dyDescent="0.2">
      <c r="A19871" t="s">
        <v>32339</v>
      </c>
      <c r="B19871" t="s">
        <v>32340</v>
      </c>
      <c r="C19871" t="s">
        <v>466</v>
      </c>
      <c r="D19871" t="s">
        <v>14</v>
      </c>
      <c r="E19871" t="s">
        <v>104</v>
      </c>
      <c r="F19871" s="2" t="str">
        <f>HYPERLINK("http://www.otzar.org/book.asp?15459","להאיר מתוך חשכה")</f>
        <v>להאיר מתוך חשכה</v>
      </c>
    </row>
    <row r="19872" spans="1:6" x14ac:dyDescent="0.2">
      <c r="A19872" t="s">
        <v>32341</v>
      </c>
      <c r="B19872" t="s">
        <v>32342</v>
      </c>
      <c r="C19872" t="s">
        <v>185</v>
      </c>
      <c r="D19872" t="s">
        <v>52</v>
      </c>
      <c r="E19872" t="s">
        <v>1164</v>
      </c>
      <c r="F19872" s="2" t="str">
        <f>HYPERLINK("http://www.otzar.org/book.asp?629556","להאיר - חנוכה")</f>
        <v>להאיר - חנוכה</v>
      </c>
    </row>
    <row r="19873" spans="1:6" x14ac:dyDescent="0.2">
      <c r="A19873" t="s">
        <v>32343</v>
      </c>
      <c r="B19873" t="s">
        <v>10623</v>
      </c>
      <c r="C19873" t="s">
        <v>20</v>
      </c>
      <c r="D19873" t="s">
        <v>90</v>
      </c>
      <c r="E19873" t="s">
        <v>213</v>
      </c>
      <c r="F19873" s="2" t="str">
        <f>HYPERLINK("http://www.otzar.org/book.asp?193243","להאיר - 2 כר'")</f>
        <v>להאיר - 2 כר'</v>
      </c>
    </row>
    <row r="19874" spans="1:6" x14ac:dyDescent="0.2">
      <c r="A19874" t="s">
        <v>32344</v>
      </c>
      <c r="B19874" t="s">
        <v>32345</v>
      </c>
      <c r="C19874" t="s">
        <v>224</v>
      </c>
      <c r="D19874" t="s">
        <v>225</v>
      </c>
      <c r="E19874" t="s">
        <v>226</v>
      </c>
      <c r="F19874" s="2" t="str">
        <f>HYPERLINK("http://www.otzar.org/book.asp?23725","להב אש - 2 כר'")</f>
        <v>להב אש - 2 כר'</v>
      </c>
    </row>
    <row r="19875" spans="1:6" x14ac:dyDescent="0.2">
      <c r="A19875" t="s">
        <v>32346</v>
      </c>
      <c r="B19875" t="s">
        <v>32347</v>
      </c>
      <c r="C19875" t="s">
        <v>20</v>
      </c>
      <c r="D19875" t="s">
        <v>14</v>
      </c>
      <c r="E19875" t="s">
        <v>104</v>
      </c>
      <c r="F19875" s="2" t="str">
        <f>HYPERLINK("http://www.otzar.org/book.asp?156751","להבדיל בין תכלת לארגמן")</f>
        <v>להבדיל בין תכלת לארגמן</v>
      </c>
    </row>
    <row r="19876" spans="1:6" x14ac:dyDescent="0.2">
      <c r="A19876" t="s">
        <v>32348</v>
      </c>
      <c r="B19876" t="s">
        <v>5362</v>
      </c>
      <c r="C19876" t="s">
        <v>189</v>
      </c>
      <c r="D19876" t="s">
        <v>52</v>
      </c>
      <c r="E19876" t="s">
        <v>17698</v>
      </c>
      <c r="F19876" s="2" t="str">
        <f>HYPERLINK("http://www.otzar.org/book.asp?163875","להבות אש - אלול תשרי")</f>
        <v>להבות אש - אלול תשרי</v>
      </c>
    </row>
    <row r="19877" spans="1:6" x14ac:dyDescent="0.2">
      <c r="A19877" t="s">
        <v>32349</v>
      </c>
      <c r="B19877" t="s">
        <v>24083</v>
      </c>
      <c r="C19877" t="s">
        <v>151</v>
      </c>
      <c r="D19877" t="s">
        <v>14</v>
      </c>
      <c r="E19877" t="s">
        <v>140</v>
      </c>
      <c r="F19877" s="2" t="str">
        <f>HYPERLINK("http://www.otzar.org/book.asp?616098","להבות אש - תשע""ח")</f>
        <v>להבות אש - תשע"ח</v>
      </c>
    </row>
    <row r="19878" spans="1:6" x14ac:dyDescent="0.2">
      <c r="A19878" t="s">
        <v>32350</v>
      </c>
      <c r="B19878" t="s">
        <v>107</v>
      </c>
      <c r="C19878" t="s">
        <v>51</v>
      </c>
      <c r="D19878" t="s">
        <v>14</v>
      </c>
      <c r="E19878" t="s">
        <v>119</v>
      </c>
      <c r="F19878" s="2" t="str">
        <f>HYPERLINK("http://www.otzar.org/book.asp?148255","להבות באמריקה")</f>
        <v>להבות באמריקה</v>
      </c>
    </row>
    <row r="19879" spans="1:6" x14ac:dyDescent="0.2">
      <c r="A19879" t="s">
        <v>32351</v>
      </c>
      <c r="B19879" t="s">
        <v>2417</v>
      </c>
      <c r="C19879" t="s">
        <v>1448</v>
      </c>
      <c r="D19879" t="s">
        <v>27</v>
      </c>
      <c r="E19879" t="s">
        <v>3593</v>
      </c>
      <c r="F19879" s="2" t="str">
        <f>HYPERLINK("http://www.otzar.org/book.asp?164268","להבות קודש")</f>
        <v>להבות קודש</v>
      </c>
    </row>
    <row r="19880" spans="1:6" x14ac:dyDescent="0.2">
      <c r="A19880" t="s">
        <v>32352</v>
      </c>
      <c r="B19880" t="s">
        <v>32353</v>
      </c>
      <c r="C19880" t="s">
        <v>37</v>
      </c>
      <c r="D19880" t="s">
        <v>152</v>
      </c>
      <c r="E19880" t="s">
        <v>202</v>
      </c>
      <c r="F19880" s="2" t="str">
        <f>HYPERLINK("http://www.otzar.org/book.asp?602918","להבין ולהשכיל - 4 כר'")</f>
        <v>להבין ולהשכיל - 4 כר'</v>
      </c>
    </row>
    <row r="19881" spans="1:6" x14ac:dyDescent="0.2">
      <c r="A19881" t="s">
        <v>32352</v>
      </c>
      <c r="B19881" t="s">
        <v>32354</v>
      </c>
      <c r="C19881" t="s">
        <v>189</v>
      </c>
      <c r="D19881" t="s">
        <v>14</v>
      </c>
      <c r="E19881" t="s">
        <v>202</v>
      </c>
      <c r="F19881" s="2" t="str">
        <f>HYPERLINK("http://www.otzar.org/book.asp?52941","להבין ולהשכיל - 4 כר'")</f>
        <v>להבין ולהשכיל - 4 כר'</v>
      </c>
    </row>
    <row r="19882" spans="1:6" x14ac:dyDescent="0.2">
      <c r="A19882" t="s">
        <v>32355</v>
      </c>
      <c r="B19882" t="s">
        <v>11324</v>
      </c>
      <c r="C19882" t="s">
        <v>523</v>
      </c>
      <c r="D19882" t="s">
        <v>14</v>
      </c>
      <c r="E19882" t="s">
        <v>158</v>
      </c>
      <c r="F19882" s="2" t="str">
        <f>HYPERLINK("http://www.otzar.org/book.asp?61255","להבין ולהשכיל")</f>
        <v>להבין ולהשכיל</v>
      </c>
    </row>
    <row r="19883" spans="1:6" x14ac:dyDescent="0.2">
      <c r="A19883" t="s">
        <v>32356</v>
      </c>
      <c r="B19883" t="s">
        <v>32357</v>
      </c>
      <c r="C19883" t="s">
        <v>20</v>
      </c>
      <c r="D19883" t="s">
        <v>52</v>
      </c>
      <c r="E19883" t="s">
        <v>144</v>
      </c>
      <c r="F19883" s="2" t="str">
        <f>HYPERLINK("http://www.otzar.org/book.asp?193814","להבין צורתא דשמעתתא - 2 כר'")</f>
        <v>להבין צורתא דשמעתתא - 2 כר'</v>
      </c>
    </row>
    <row r="19884" spans="1:6" x14ac:dyDescent="0.2">
      <c r="A19884" t="s">
        <v>32358</v>
      </c>
      <c r="B19884" t="s">
        <v>6056</v>
      </c>
      <c r="C19884" t="s">
        <v>129</v>
      </c>
      <c r="D19884" t="s">
        <v>14</v>
      </c>
      <c r="E19884" t="s">
        <v>186</v>
      </c>
      <c r="F19884" s="2" t="str">
        <f>HYPERLINK("http://www.otzar.org/book.asp?61367","להבין שמועות - 4 כר'")</f>
        <v>להבין שמועות - 4 כר'</v>
      </c>
    </row>
    <row r="19885" spans="1:6" x14ac:dyDescent="0.2">
      <c r="A19885" t="s">
        <v>32359</v>
      </c>
      <c r="B19885" t="s">
        <v>32360</v>
      </c>
      <c r="C19885" t="s">
        <v>189</v>
      </c>
      <c r="D19885" t="s">
        <v>14</v>
      </c>
      <c r="E19885" t="s">
        <v>144</v>
      </c>
      <c r="F19885" s="2" t="str">
        <f>HYPERLINK("http://www.otzar.org/book.asp?154040","להבין שמועות - שבת ב")</f>
        <v>להבין שמועות - שבת ב</v>
      </c>
    </row>
    <row r="19886" spans="1:6" x14ac:dyDescent="0.2">
      <c r="A19886" t="s">
        <v>32361</v>
      </c>
      <c r="B19886" t="s">
        <v>32362</v>
      </c>
      <c r="C19886" t="s">
        <v>244</v>
      </c>
      <c r="D19886" t="s">
        <v>14</v>
      </c>
      <c r="F19886" s="2" t="str">
        <f>HYPERLINK("http://www.otzar.org/book.asp?196107","להבין שמועות - 6 כר'")</f>
        <v>להבין שמועות - 6 כר'</v>
      </c>
    </row>
    <row r="19887" spans="1:6" x14ac:dyDescent="0.2">
      <c r="A19887" t="s">
        <v>32363</v>
      </c>
      <c r="B19887" t="s">
        <v>32364</v>
      </c>
      <c r="C19887" t="s">
        <v>411</v>
      </c>
      <c r="D19887" t="s">
        <v>115</v>
      </c>
      <c r="E19887" t="s">
        <v>246</v>
      </c>
      <c r="F19887" s="2" t="str">
        <f>HYPERLINK("http://www.otzar.org/book.asp?170875","להבין - ליל הסדר, הגדה של פסח")</f>
        <v>להבין - ליל הסדר, הגדה של פסח</v>
      </c>
    </row>
    <row r="19888" spans="1:6" x14ac:dyDescent="0.2">
      <c r="A19888" t="s">
        <v>32365</v>
      </c>
      <c r="B19888" t="s">
        <v>32366</v>
      </c>
      <c r="C19888" t="s">
        <v>411</v>
      </c>
      <c r="D19888" t="s">
        <v>14</v>
      </c>
      <c r="F19888" s="2" t="str">
        <f>HYPERLINK("http://www.otzar.org/book.asp?169497","להבת אש - שבועות")</f>
        <v>להבת אש - שבועות</v>
      </c>
    </row>
    <row r="19889" spans="1:6" x14ac:dyDescent="0.2">
      <c r="A19889" t="s">
        <v>32367</v>
      </c>
      <c r="B19889" t="s">
        <v>4604</v>
      </c>
      <c r="C19889" t="s">
        <v>129</v>
      </c>
      <c r="D19889" t="s">
        <v>52</v>
      </c>
      <c r="E19889" t="s">
        <v>158</v>
      </c>
      <c r="F19889" s="2" t="str">
        <f>HYPERLINK("http://www.otzar.org/book.asp?609914","להבת דוד - 6 כר'")</f>
        <v>להבת דוד - 6 כר'</v>
      </c>
    </row>
    <row r="19890" spans="1:6" x14ac:dyDescent="0.2">
      <c r="A19890" t="s">
        <v>32368</v>
      </c>
      <c r="B19890" t="s">
        <v>32369</v>
      </c>
      <c r="C19890" t="s">
        <v>146</v>
      </c>
      <c r="D19890" t="s">
        <v>118</v>
      </c>
      <c r="E19890" t="s">
        <v>2071</v>
      </c>
      <c r="F19890" s="2" t="str">
        <f>HYPERLINK("http://www.otzar.org/book.asp?189988","להגות באמרי שפר")</f>
        <v>להגות באמרי שפר</v>
      </c>
    </row>
    <row r="19891" spans="1:6" x14ac:dyDescent="0.2">
      <c r="A19891" t="s">
        <v>32370</v>
      </c>
      <c r="B19891" t="s">
        <v>32371</v>
      </c>
      <c r="C19891" t="s">
        <v>20</v>
      </c>
      <c r="D19891" t="s">
        <v>90</v>
      </c>
      <c r="E19891" t="s">
        <v>202</v>
      </c>
      <c r="F19891" s="2" t="str">
        <f>HYPERLINK("http://www.otzar.org/book.asp?188902","להגיד בבוקר חסדך")</f>
        <v>להגיד בבוקר חסדך</v>
      </c>
    </row>
    <row r="19892" spans="1:6" x14ac:dyDescent="0.2">
      <c r="A19892" t="s">
        <v>32372</v>
      </c>
      <c r="B19892" t="s">
        <v>32373</v>
      </c>
      <c r="C19892" t="s">
        <v>146</v>
      </c>
      <c r="D19892" t="s">
        <v>14</v>
      </c>
      <c r="F19892" s="2" t="str">
        <f>HYPERLINK("http://www.otzar.org/book.asp?180090","להגיד - 4 כר'")</f>
        <v>להגיד - 4 כר'</v>
      </c>
    </row>
    <row r="19893" spans="1:6" x14ac:dyDescent="0.2">
      <c r="A19893" t="s">
        <v>32374</v>
      </c>
      <c r="B19893" t="s">
        <v>29974</v>
      </c>
      <c r="C19893" t="s">
        <v>244</v>
      </c>
      <c r="D19893" t="s">
        <v>52</v>
      </c>
      <c r="F19893" s="2" t="str">
        <f>HYPERLINK("http://www.otzar.org/book.asp?609843","להדליק ולברך")</f>
        <v>להדליק ולברך</v>
      </c>
    </row>
    <row r="19894" spans="1:6" x14ac:dyDescent="0.2">
      <c r="A19894" t="s">
        <v>32375</v>
      </c>
      <c r="B19894" t="s">
        <v>32376</v>
      </c>
      <c r="C19894" t="s">
        <v>20</v>
      </c>
      <c r="D19894" t="s">
        <v>52</v>
      </c>
      <c r="F19894" s="2" t="str">
        <f>HYPERLINK("http://www.otzar.org/book.asp?603472","להודות ולבקש")</f>
        <v>להודות ולבקש</v>
      </c>
    </row>
    <row r="19895" spans="1:6" x14ac:dyDescent="0.2">
      <c r="A19895" t="s">
        <v>32377</v>
      </c>
      <c r="B19895" t="s">
        <v>28080</v>
      </c>
      <c r="C19895" t="s">
        <v>13</v>
      </c>
      <c r="D19895" t="s">
        <v>412</v>
      </c>
      <c r="E19895" t="s">
        <v>1517</v>
      </c>
      <c r="F19895" s="2" t="str">
        <f>HYPERLINK("http://www.otzar.org/book.asp?62112","להודות ולהלל - חנוכה")</f>
        <v>להודות ולהלל - חנוכה</v>
      </c>
    </row>
    <row r="19896" spans="1:6" x14ac:dyDescent="0.2">
      <c r="A19896" t="s">
        <v>32378</v>
      </c>
      <c r="B19896" t="s">
        <v>3727</v>
      </c>
      <c r="C19896" t="s">
        <v>189</v>
      </c>
      <c r="D19896" t="s">
        <v>52</v>
      </c>
      <c r="E19896" t="s">
        <v>246</v>
      </c>
      <c r="F19896" s="2" t="str">
        <f>HYPERLINK("http://www.otzar.org/book.asp?85673","להודות ולהלל - אוצר ההלכה והדרוש על הלל")</f>
        <v>להודות ולהלל - אוצר ההלכה והדרוש על הלל</v>
      </c>
    </row>
    <row r="19897" spans="1:6" x14ac:dyDescent="0.2">
      <c r="A19897" t="s">
        <v>32379</v>
      </c>
      <c r="B19897" t="s">
        <v>32380</v>
      </c>
      <c r="C19897" t="s">
        <v>114</v>
      </c>
      <c r="D19897" t="s">
        <v>412</v>
      </c>
      <c r="E19897" t="s">
        <v>1262</v>
      </c>
      <c r="F19897" s="2" t="str">
        <f>HYPERLINK("http://www.otzar.org/book.asp?177252","להודות ולהלל - 3 כר'")</f>
        <v>להודות ולהלל - 3 כר'</v>
      </c>
    </row>
    <row r="19898" spans="1:6" x14ac:dyDescent="0.2">
      <c r="A19898" t="s">
        <v>32381</v>
      </c>
      <c r="B19898" t="s">
        <v>11015</v>
      </c>
      <c r="C19898" t="s">
        <v>767</v>
      </c>
      <c r="D19898" t="s">
        <v>14</v>
      </c>
      <c r="E19898" t="s">
        <v>246</v>
      </c>
      <c r="F19898" s="2" t="str">
        <f>HYPERLINK("http://www.otzar.org/book.asp?171602","להודות ולהלל")</f>
        <v>להודות ולהלל</v>
      </c>
    </row>
    <row r="19899" spans="1:6" x14ac:dyDescent="0.2">
      <c r="A19899" t="s">
        <v>32381</v>
      </c>
      <c r="B19899" t="s">
        <v>32382</v>
      </c>
      <c r="C19899" t="s">
        <v>185</v>
      </c>
      <c r="D19899" t="s">
        <v>1156</v>
      </c>
      <c r="E19899" t="s">
        <v>246</v>
      </c>
      <c r="F19899" s="2" t="str">
        <f>HYPERLINK("http://www.otzar.org/book.asp?629630","להודות ולהלל")</f>
        <v>להודות ולהלל</v>
      </c>
    </row>
    <row r="19900" spans="1:6" x14ac:dyDescent="0.2">
      <c r="A19900" t="s">
        <v>32381</v>
      </c>
      <c r="B19900" t="s">
        <v>132</v>
      </c>
      <c r="C19900" t="s">
        <v>523</v>
      </c>
      <c r="D19900" t="s">
        <v>245</v>
      </c>
      <c r="E19900" t="s">
        <v>15</v>
      </c>
      <c r="F19900" s="2" t="str">
        <f>HYPERLINK("http://www.otzar.org/book.asp?107326","להודות ולהלל")</f>
        <v>להודות ולהלל</v>
      </c>
    </row>
    <row r="19901" spans="1:6" x14ac:dyDescent="0.2">
      <c r="A19901" t="s">
        <v>32383</v>
      </c>
      <c r="B19901" t="s">
        <v>32384</v>
      </c>
      <c r="C19901" t="s">
        <v>20</v>
      </c>
      <c r="D19901" t="s">
        <v>14</v>
      </c>
      <c r="E19901" t="s">
        <v>213</v>
      </c>
      <c r="F19901" s="2" t="str">
        <f>HYPERLINK("http://www.otzar.org/book.asp?62280","להודות ולשבח - 2 כר'")</f>
        <v>להודות ולשבח - 2 כר'</v>
      </c>
    </row>
    <row r="19902" spans="1:6" x14ac:dyDescent="0.2">
      <c r="A19902" t="s">
        <v>32385</v>
      </c>
      <c r="B19902" t="s">
        <v>7235</v>
      </c>
      <c r="C19902" t="s">
        <v>111</v>
      </c>
      <c r="D19902" t="s">
        <v>52</v>
      </c>
      <c r="E19902" t="s">
        <v>104</v>
      </c>
      <c r="F19902" s="2" t="str">
        <f>HYPERLINK("http://www.otzar.org/book.asp?623803","להודות לה'")</f>
        <v>להודות לה'</v>
      </c>
    </row>
    <row r="19903" spans="1:6" x14ac:dyDescent="0.2">
      <c r="A19903" t="s">
        <v>32386</v>
      </c>
      <c r="B19903" t="s">
        <v>12130</v>
      </c>
      <c r="C19903" t="s">
        <v>143</v>
      </c>
      <c r="D19903" t="s">
        <v>52</v>
      </c>
      <c r="E19903" t="s">
        <v>246</v>
      </c>
      <c r="F19903" s="2" t="str">
        <f>HYPERLINK("http://www.otzar.org/book.asp?60389","להודיע שכל קוויך לא יבושו")</f>
        <v>להודיע שכל קוויך לא יבושו</v>
      </c>
    </row>
    <row r="19904" spans="1:6" x14ac:dyDescent="0.2">
      <c r="A19904" t="s">
        <v>32387</v>
      </c>
      <c r="B19904" t="s">
        <v>8861</v>
      </c>
      <c r="C19904" t="s">
        <v>244</v>
      </c>
      <c r="D19904" t="s">
        <v>152</v>
      </c>
      <c r="E19904" t="s">
        <v>158</v>
      </c>
      <c r="F19904" s="2" t="str">
        <f>HYPERLINK("http://www.otzar.org/book.asp?601652","להוסיף לקח ופלפול")</f>
        <v>להוסיף לקח ופלפול</v>
      </c>
    </row>
    <row r="19905" spans="1:6" x14ac:dyDescent="0.2">
      <c r="A19905" t="s">
        <v>32388</v>
      </c>
      <c r="B19905" t="s">
        <v>32389</v>
      </c>
      <c r="C19905" t="s">
        <v>111</v>
      </c>
      <c r="D19905" t="s">
        <v>14</v>
      </c>
      <c r="E19905" t="s">
        <v>119</v>
      </c>
      <c r="F19905" s="2" t="str">
        <f>HYPERLINK("http://www.otzar.org/book.asp?627502","להורות חכמה ומשפט")</f>
        <v>להורות חכמה ומשפט</v>
      </c>
    </row>
    <row r="19906" spans="1:6" x14ac:dyDescent="0.2">
      <c r="A19906" t="s">
        <v>32390</v>
      </c>
      <c r="B19906" t="s">
        <v>32391</v>
      </c>
      <c r="C19906" t="s">
        <v>133</v>
      </c>
      <c r="D19906" t="s">
        <v>245</v>
      </c>
      <c r="E19906" t="s">
        <v>84</v>
      </c>
      <c r="F19906" s="2" t="str">
        <f>HYPERLINK("http://www.otzar.org/book.asp?186844","להורות לפניו - נגעים")</f>
        <v>להורות לפניו - נגעים</v>
      </c>
    </row>
    <row r="19907" spans="1:6" x14ac:dyDescent="0.2">
      <c r="A19907" t="s">
        <v>32392</v>
      </c>
      <c r="B19907" t="s">
        <v>14381</v>
      </c>
      <c r="C19907" t="s">
        <v>533</v>
      </c>
      <c r="D19907" t="s">
        <v>52</v>
      </c>
      <c r="E19907" t="s">
        <v>467</v>
      </c>
      <c r="F19907" s="2" t="str">
        <f>HYPERLINK("http://www.otzar.org/book.asp?84788","להורות נתן &lt;מועדים&gt; - 5 כר'")</f>
        <v>להורות נתן &lt;מועדים&gt; - 5 כר'</v>
      </c>
    </row>
    <row r="19908" spans="1:6" x14ac:dyDescent="0.2">
      <c r="A19908" t="s">
        <v>32393</v>
      </c>
      <c r="B19908" t="s">
        <v>14381</v>
      </c>
      <c r="C19908" t="s">
        <v>133</v>
      </c>
      <c r="D19908" t="s">
        <v>52</v>
      </c>
      <c r="E19908" t="s">
        <v>158</v>
      </c>
      <c r="F19908" s="2" t="str">
        <f>HYPERLINK("http://www.otzar.org/book.asp?631559","להורות נתן &lt;תורה&gt; - 5 כר'")</f>
        <v>להורות נתן &lt;תורה&gt; - 5 כר'</v>
      </c>
    </row>
    <row r="19909" spans="1:6" x14ac:dyDescent="0.2">
      <c r="A19909" t="s">
        <v>32394</v>
      </c>
      <c r="B19909" t="s">
        <v>14381</v>
      </c>
      <c r="C19909" t="s">
        <v>1811</v>
      </c>
      <c r="D19909" t="s">
        <v>52</v>
      </c>
      <c r="E19909" t="s">
        <v>154</v>
      </c>
      <c r="F19909" s="2" t="str">
        <f>HYPERLINK("http://www.otzar.org/book.asp?108194","להורות נתן - 21 כר'")</f>
        <v>להורות נתן - 21 כר'</v>
      </c>
    </row>
    <row r="19910" spans="1:6" x14ac:dyDescent="0.2">
      <c r="A19910" t="s">
        <v>32395</v>
      </c>
      <c r="B19910" t="s">
        <v>19060</v>
      </c>
      <c r="C19910" t="s">
        <v>1388</v>
      </c>
      <c r="D19910" t="s">
        <v>14</v>
      </c>
      <c r="E19910" t="s">
        <v>15</v>
      </c>
      <c r="F19910" s="2" t="str">
        <f>HYPERLINK("http://www.otzar.org/book.asp?13079","להחזרת עטרה ליושנה בעשית הגבהת ס""ת כהלכתה")</f>
        <v>להחזרת עטרה ליושנה בעשית הגבהת ס"ת כהלכתה</v>
      </c>
    </row>
    <row r="19911" spans="1:6" x14ac:dyDescent="0.2">
      <c r="A19911" t="s">
        <v>32396</v>
      </c>
      <c r="B19911" t="s">
        <v>1557</v>
      </c>
      <c r="C19911" t="s">
        <v>114</v>
      </c>
      <c r="D19911" t="s">
        <v>152</v>
      </c>
      <c r="E19911" t="s">
        <v>15</v>
      </c>
      <c r="F19911" s="2" t="str">
        <f>HYPERLINK("http://www.otzar.org/book.asp?610314","להחיות רוח ולב")</f>
        <v>להחיות רוח ולב</v>
      </c>
    </row>
    <row r="19912" spans="1:6" x14ac:dyDescent="0.2">
      <c r="A19912" t="s">
        <v>32397</v>
      </c>
      <c r="B19912" t="s">
        <v>15332</v>
      </c>
      <c r="C19912" t="s">
        <v>124</v>
      </c>
      <c r="D19912" t="s">
        <v>412</v>
      </c>
      <c r="E19912" t="s">
        <v>32398</v>
      </c>
      <c r="F19912" s="2" t="str">
        <f>HYPERLINK("http://www.otzar.org/book.asp?142122","להט החרב המתהפכת")</f>
        <v>להט החרב המתהפכת</v>
      </c>
    </row>
    <row r="19913" spans="1:6" x14ac:dyDescent="0.2">
      <c r="A19913" t="s">
        <v>32399</v>
      </c>
      <c r="B19913" t="s">
        <v>32400</v>
      </c>
      <c r="C19913" t="s">
        <v>1310</v>
      </c>
      <c r="D19913" t="s">
        <v>56</v>
      </c>
      <c r="E19913" t="s">
        <v>241</v>
      </c>
      <c r="F19913" s="2" t="str">
        <f>HYPERLINK("http://www.otzar.org/book.asp?21978","להט החרב")</f>
        <v>להט החרב</v>
      </c>
    </row>
    <row r="19914" spans="1:6" x14ac:dyDescent="0.2">
      <c r="A19914" t="s">
        <v>32401</v>
      </c>
      <c r="B19914" t="s">
        <v>22663</v>
      </c>
      <c r="C19914" t="s">
        <v>366</v>
      </c>
      <c r="D19914" t="s">
        <v>90</v>
      </c>
      <c r="E19914" t="s">
        <v>213</v>
      </c>
      <c r="F19914" s="2" t="str">
        <f>HYPERLINK("http://www.otzar.org/book.asp?625823","להיות בשמחה תמיד")</f>
        <v>להיות בשמחה תמיד</v>
      </c>
    </row>
    <row r="19915" spans="1:6" x14ac:dyDescent="0.2">
      <c r="A19915" t="s">
        <v>32402</v>
      </c>
      <c r="B19915" t="s">
        <v>32403</v>
      </c>
      <c r="C19915" t="s">
        <v>411</v>
      </c>
      <c r="D19915" t="s">
        <v>21</v>
      </c>
      <c r="F19915" s="2" t="str">
        <f>HYPERLINK("http://www.otzar.org/book.asp?603912","להכות שורש")</f>
        <v>להכות שורש</v>
      </c>
    </row>
    <row r="19916" spans="1:6" x14ac:dyDescent="0.2">
      <c r="A19916" t="s">
        <v>32404</v>
      </c>
      <c r="B19916" t="s">
        <v>32405</v>
      </c>
      <c r="C19916" t="s">
        <v>23</v>
      </c>
      <c r="D19916" t="s">
        <v>14</v>
      </c>
      <c r="E19916" t="s">
        <v>241</v>
      </c>
      <c r="F19916" s="2" t="str">
        <f>HYPERLINK("http://www.otzar.org/book.asp?616165","להמשיך לחיות")</f>
        <v>להמשיך לחיות</v>
      </c>
    </row>
    <row r="19917" spans="1:6" x14ac:dyDescent="0.2">
      <c r="A19917" t="s">
        <v>32406</v>
      </c>
      <c r="B19917" t="s">
        <v>4785</v>
      </c>
      <c r="C19917" t="s">
        <v>111</v>
      </c>
      <c r="D19917" t="s">
        <v>52</v>
      </c>
      <c r="F19917" s="2" t="str">
        <f>HYPERLINK("http://www.otzar.org/book.asp?632029","להנחיל אהבי יש")</f>
        <v>להנחיל אהבי יש</v>
      </c>
    </row>
    <row r="19918" spans="1:6" x14ac:dyDescent="0.2">
      <c r="A19918" t="s">
        <v>32407</v>
      </c>
      <c r="B19918" t="s">
        <v>32408</v>
      </c>
      <c r="C19918" t="s">
        <v>189</v>
      </c>
      <c r="D19918" t="s">
        <v>14</v>
      </c>
      <c r="E19918" t="s">
        <v>144</v>
      </c>
      <c r="F19918" s="2" t="str">
        <f>HYPERLINK("http://www.otzar.org/book.asp?142074","להנחיל אוהבי יש - 3 כר'")</f>
        <v>להנחיל אוהבי יש - 3 כר'</v>
      </c>
    </row>
    <row r="19919" spans="1:6" x14ac:dyDescent="0.2">
      <c r="A19919" t="s">
        <v>32409</v>
      </c>
      <c r="B19919" t="s">
        <v>32410</v>
      </c>
      <c r="C19919" t="s">
        <v>87</v>
      </c>
      <c r="D19919" t="s">
        <v>115</v>
      </c>
      <c r="E19919" t="s">
        <v>119</v>
      </c>
      <c r="F19919" s="2" t="str">
        <f>HYPERLINK("http://www.otzar.org/book.asp?177198","להנחיל לדורות")</f>
        <v>להנחיל לדורות</v>
      </c>
    </row>
    <row r="19920" spans="1:6" x14ac:dyDescent="0.2">
      <c r="A19920" t="s">
        <v>32411</v>
      </c>
      <c r="B19920" t="s">
        <v>32412</v>
      </c>
      <c r="C19920" t="s">
        <v>244</v>
      </c>
      <c r="D19920" t="s">
        <v>21</v>
      </c>
      <c r="E19920" t="s">
        <v>84</v>
      </c>
      <c r="F19920" s="2" t="str">
        <f>HYPERLINK("http://www.otzar.org/book.asp?196803","להניח ברכה - עמ""ס חלה")</f>
        <v>להניח ברכה - עמ"ס חלה</v>
      </c>
    </row>
    <row r="19921" spans="1:6" x14ac:dyDescent="0.2">
      <c r="A19921" t="s">
        <v>32413</v>
      </c>
      <c r="B19921" t="s">
        <v>16636</v>
      </c>
      <c r="C19921" t="s">
        <v>785</v>
      </c>
      <c r="D19921" t="s">
        <v>90</v>
      </c>
      <c r="E19921" t="s">
        <v>7827</v>
      </c>
      <c r="F19921" s="2" t="str">
        <f>HYPERLINK("http://www.otzar.org/book.asp?180153","להניח ברכה")</f>
        <v>להניח ברכה</v>
      </c>
    </row>
    <row r="19922" spans="1:6" x14ac:dyDescent="0.2">
      <c r="A19922" t="s">
        <v>32414</v>
      </c>
      <c r="B19922" t="s">
        <v>32415</v>
      </c>
      <c r="C19922" t="s">
        <v>433</v>
      </c>
      <c r="D19922" t="s">
        <v>27</v>
      </c>
      <c r="F19922" s="2" t="str">
        <f>HYPERLINK("http://www.otzar.org/book.asp?182438","להסיר המסוה")</f>
        <v>להסיר המסוה</v>
      </c>
    </row>
    <row r="19923" spans="1:6" x14ac:dyDescent="0.2">
      <c r="A19923" t="s">
        <v>32416</v>
      </c>
      <c r="B19923" t="s">
        <v>32417</v>
      </c>
      <c r="C19923" t="s">
        <v>17</v>
      </c>
      <c r="D19923" t="s">
        <v>52</v>
      </c>
      <c r="E19923" t="s">
        <v>241</v>
      </c>
      <c r="F19923" s="2" t="str">
        <f>HYPERLINK("http://www.otzar.org/book.asp?23090","להעיר להורות ולהשכיל - 4 כר'")</f>
        <v>להעיר להורות ולהשכיל - 4 כר'</v>
      </c>
    </row>
    <row r="19924" spans="1:6" x14ac:dyDescent="0.2">
      <c r="A19924" t="s">
        <v>32418</v>
      </c>
      <c r="B19924" t="s">
        <v>22533</v>
      </c>
      <c r="C19924" t="s">
        <v>383</v>
      </c>
      <c r="D19924" t="s">
        <v>14</v>
      </c>
      <c r="E19924" t="s">
        <v>32419</v>
      </c>
      <c r="F19924" s="2" t="str">
        <f>HYPERLINK("http://www.otzar.org/book.asp?52608","להצדיק קודש")</f>
        <v>להצדיק קודש</v>
      </c>
    </row>
    <row r="19925" spans="1:6" x14ac:dyDescent="0.2">
      <c r="A19925" t="s">
        <v>32420</v>
      </c>
      <c r="B19925" t="s">
        <v>20593</v>
      </c>
      <c r="C19925" t="s">
        <v>176</v>
      </c>
      <c r="D19925" t="s">
        <v>52</v>
      </c>
      <c r="E19925" t="s">
        <v>803</v>
      </c>
      <c r="F19925" s="2" t="str">
        <f>HYPERLINK("http://www.otzar.org/book.asp?62975","להקים לאחיו שם")</f>
        <v>להקים לאחיו שם</v>
      </c>
    </row>
    <row r="19926" spans="1:6" x14ac:dyDescent="0.2">
      <c r="A19926" t="s">
        <v>32421</v>
      </c>
      <c r="B19926" t="s">
        <v>19697</v>
      </c>
      <c r="C19926" t="s">
        <v>506</v>
      </c>
      <c r="D19926" t="s">
        <v>1651</v>
      </c>
      <c r="E19926" t="s">
        <v>733</v>
      </c>
      <c r="F19926" s="2" t="str">
        <f>HYPERLINK("http://www.otzar.org/book.asp?103854","להקים שם")</f>
        <v>להקים שם</v>
      </c>
    </row>
    <row r="19927" spans="1:6" x14ac:dyDescent="0.2">
      <c r="A19927" t="s">
        <v>32422</v>
      </c>
      <c r="B19927" t="s">
        <v>32423</v>
      </c>
      <c r="C19927" t="s">
        <v>13</v>
      </c>
      <c r="D19927" t="s">
        <v>14</v>
      </c>
      <c r="E19927" t="s">
        <v>733</v>
      </c>
      <c r="F19927" s="2" t="str">
        <f>HYPERLINK("http://www.otzar.org/book.asp?152417","להשאר יהודי")</f>
        <v>להשאר יהודי</v>
      </c>
    </row>
    <row r="19928" spans="1:6" x14ac:dyDescent="0.2">
      <c r="A19928" t="s">
        <v>32424</v>
      </c>
      <c r="B19928" t="s">
        <v>32425</v>
      </c>
      <c r="C19928" t="s">
        <v>2076</v>
      </c>
      <c r="D19928" t="s">
        <v>14</v>
      </c>
      <c r="E19928" t="s">
        <v>119</v>
      </c>
      <c r="F19928" s="2" t="str">
        <f>HYPERLINK("http://www.otzar.org/book.asp?85921","להשיב לשואלנו")</f>
        <v>להשיב לשואלנו</v>
      </c>
    </row>
    <row r="19929" spans="1:6" x14ac:dyDescent="0.2">
      <c r="A19929" t="s">
        <v>32426</v>
      </c>
      <c r="B19929" t="s">
        <v>3768</v>
      </c>
      <c r="C19929" t="s">
        <v>51</v>
      </c>
      <c r="D19929" t="s">
        <v>52</v>
      </c>
      <c r="E19929" t="s">
        <v>104</v>
      </c>
      <c r="F19929" s="2" t="str">
        <f>HYPERLINK("http://www.otzar.org/book.asp?147601","להתגבר - מכתבי נחמיה לנחום (להפיג יגון מלב)")</f>
        <v>להתגבר - מכתבי נחמיה לנחום (להפיג יגון מלב)</v>
      </c>
    </row>
    <row r="19930" spans="1:6" x14ac:dyDescent="0.2">
      <c r="A19930" t="s">
        <v>32427</v>
      </c>
      <c r="B19930" t="s">
        <v>32428</v>
      </c>
      <c r="C19930" t="s">
        <v>13</v>
      </c>
      <c r="D19930" t="s">
        <v>1356</v>
      </c>
      <c r="E19930" t="s">
        <v>213</v>
      </c>
      <c r="F19930" s="2" t="str">
        <f>HYPERLINK("http://www.otzar.org/book.asp?159162","להתעלות - א")</f>
        <v>להתעלות - א</v>
      </c>
    </row>
    <row r="19931" spans="1:6" x14ac:dyDescent="0.2">
      <c r="A19931" t="s">
        <v>32429</v>
      </c>
      <c r="B19931" t="s">
        <v>8443</v>
      </c>
      <c r="C19931" t="s">
        <v>366</v>
      </c>
      <c r="D19931" t="s">
        <v>14</v>
      </c>
      <c r="E19931" t="s">
        <v>241</v>
      </c>
      <c r="F19931" s="2" t="str">
        <f>HYPERLINK("http://www.otzar.org/book.asp?616520","להתענג על ה'")</f>
        <v>להתענג על ה'</v>
      </c>
    </row>
    <row r="19932" spans="1:6" x14ac:dyDescent="0.2">
      <c r="A19932" t="s">
        <v>32430</v>
      </c>
      <c r="B19932" t="s">
        <v>206</v>
      </c>
      <c r="C19932" t="s">
        <v>111</v>
      </c>
      <c r="D19932" t="s">
        <v>90</v>
      </c>
      <c r="E19932" t="s">
        <v>241</v>
      </c>
      <c r="F19932" s="2" t="str">
        <f>HYPERLINK("http://www.otzar.org/book.asp?628081","להתענג")</f>
        <v>להתענג</v>
      </c>
    </row>
    <row r="19933" spans="1:6" x14ac:dyDescent="0.2">
      <c r="A19933" t="s">
        <v>32431</v>
      </c>
      <c r="B19933" t="s">
        <v>17786</v>
      </c>
      <c r="C19933" t="s">
        <v>366</v>
      </c>
      <c r="D19933" t="s">
        <v>2867</v>
      </c>
      <c r="E19933" t="s">
        <v>158</v>
      </c>
      <c r="F19933" s="2" t="str">
        <f>HYPERLINK("http://www.otzar.org/book.asp?612320","להתענג - 2 כר'")</f>
        <v>להתענג - 2 כר'</v>
      </c>
    </row>
    <row r="19934" spans="1:6" x14ac:dyDescent="0.2">
      <c r="A19934" t="s">
        <v>32432</v>
      </c>
      <c r="B19934" t="s">
        <v>32433</v>
      </c>
      <c r="C19934" t="s">
        <v>37</v>
      </c>
      <c r="D19934" t="s">
        <v>14</v>
      </c>
      <c r="E19934" t="s">
        <v>158</v>
      </c>
      <c r="F19934" s="2" t="str">
        <f>HYPERLINK("http://www.otzar.org/book.asp?612034","להתענג - 6 כר'")</f>
        <v>להתענג - 6 כר'</v>
      </c>
    </row>
    <row r="19935" spans="1:6" x14ac:dyDescent="0.2">
      <c r="A19935" t="s">
        <v>32434</v>
      </c>
      <c r="B19935" t="s">
        <v>32435</v>
      </c>
      <c r="C19935" t="s">
        <v>68</v>
      </c>
      <c r="D19935" t="s">
        <v>273</v>
      </c>
      <c r="E19935" t="s">
        <v>393</v>
      </c>
      <c r="F19935" s="2" t="str">
        <f>HYPERLINK("http://www.otzar.org/book.asp?164083","להתפרנס")</f>
        <v>להתפרנס</v>
      </c>
    </row>
    <row r="19936" spans="1:6" x14ac:dyDescent="0.2">
      <c r="A19936" t="s">
        <v>1769</v>
      </c>
      <c r="B19936" t="s">
        <v>32436</v>
      </c>
      <c r="C19936" t="s">
        <v>3840</v>
      </c>
      <c r="D19936" t="s">
        <v>13632</v>
      </c>
      <c r="E19936" t="s">
        <v>119</v>
      </c>
      <c r="F19936" s="2" t="str">
        <f>HYPERLINK("http://www.otzar.org/book.asp?199620","לובלין")</f>
        <v>לובלין</v>
      </c>
    </row>
    <row r="19937" spans="1:6" x14ac:dyDescent="0.2">
      <c r="A19937" t="s">
        <v>32437</v>
      </c>
      <c r="B19937" t="s">
        <v>32438</v>
      </c>
      <c r="C19937" t="s">
        <v>5823</v>
      </c>
      <c r="D19937" t="s">
        <v>283</v>
      </c>
      <c r="F19937" s="2" t="str">
        <f>HYPERLINK("http://www.otzar.org/book.asp?197598","לוח אוצר החכמה ועשר עולמים")</f>
        <v>לוח אוצר החכמה ועשר עולמים</v>
      </c>
    </row>
    <row r="19938" spans="1:6" x14ac:dyDescent="0.2">
      <c r="A19938" t="s">
        <v>32439</v>
      </c>
      <c r="B19938" t="s">
        <v>32440</v>
      </c>
      <c r="C19938" t="s">
        <v>3246</v>
      </c>
      <c r="D19938" t="s">
        <v>535</v>
      </c>
      <c r="E19938" t="s">
        <v>4940</v>
      </c>
      <c r="F19938" s="2" t="str">
        <f>HYPERLINK("http://www.otzar.org/book.asp?102253","לוח ארז החדש")</f>
        <v>לוח ארז החדש</v>
      </c>
    </row>
    <row r="19939" spans="1:6" x14ac:dyDescent="0.2">
      <c r="A19939" t="s">
        <v>32441</v>
      </c>
      <c r="B19939" t="s">
        <v>155</v>
      </c>
      <c r="C19939" t="s">
        <v>728</v>
      </c>
      <c r="D19939" t="s">
        <v>157</v>
      </c>
      <c r="E19939" t="s">
        <v>43</v>
      </c>
      <c r="F19939" s="2" t="str">
        <f>HYPERLINK("http://www.otzar.org/book.asp?167097","לוח ארז - 2 כר'")</f>
        <v>לוח ארז - 2 כר'</v>
      </c>
    </row>
    <row r="19940" spans="1:6" x14ac:dyDescent="0.2">
      <c r="A19940" t="s">
        <v>32441</v>
      </c>
      <c r="B19940" t="s">
        <v>32440</v>
      </c>
      <c r="C19940" t="s">
        <v>32442</v>
      </c>
      <c r="D19940" t="s">
        <v>1117</v>
      </c>
      <c r="E19940" t="s">
        <v>158</v>
      </c>
      <c r="F19940" s="2" t="str">
        <f>HYPERLINK("http://www.otzar.org/book.asp?24699","לוח ארז - 2 כר'")</f>
        <v>לוח ארז - 2 כר'</v>
      </c>
    </row>
    <row r="19941" spans="1:6" x14ac:dyDescent="0.2">
      <c r="A19941" t="s">
        <v>32443</v>
      </c>
      <c r="B19941" t="s">
        <v>32444</v>
      </c>
      <c r="C19941" t="s">
        <v>1650</v>
      </c>
      <c r="D19941" t="s">
        <v>27</v>
      </c>
      <c r="E19941" t="s">
        <v>104</v>
      </c>
      <c r="F19941" s="2" t="str">
        <f>HYPERLINK("http://www.otzar.org/book.asp?12836","לוח ארץ ישראל על מאה וחמשים שנה")</f>
        <v>לוח ארץ ישראל על מאה וחמשים שנה</v>
      </c>
    </row>
    <row r="19942" spans="1:6" x14ac:dyDescent="0.2">
      <c r="A19942" t="s">
        <v>32445</v>
      </c>
      <c r="B19942" t="s">
        <v>32446</v>
      </c>
      <c r="C19942" t="s">
        <v>1437</v>
      </c>
      <c r="D19942" t="s">
        <v>14</v>
      </c>
      <c r="E19942" t="s">
        <v>104</v>
      </c>
      <c r="F19942" s="2" t="str">
        <f>HYPERLINK("http://www.otzar.org/book.asp?613263","לוח ארץ ישראל - 15 כר'")</f>
        <v>לוח ארץ ישראל - 15 כר'</v>
      </c>
    </row>
    <row r="19943" spans="1:6" x14ac:dyDescent="0.2">
      <c r="A19943" t="s">
        <v>32447</v>
      </c>
      <c r="B19943" t="s">
        <v>1417</v>
      </c>
      <c r="C19943" t="s">
        <v>17</v>
      </c>
      <c r="D19943" t="s">
        <v>32448</v>
      </c>
      <c r="E19943" t="s">
        <v>219</v>
      </c>
      <c r="F19943" s="2" t="str">
        <f>HYPERLINK("http://www.otzar.org/book.asp?188996","לוח ארש &lt;מהדורת אוצרנו&gt;")</f>
        <v>לוח ארש &lt;מהדורת אוצרנו&gt;</v>
      </c>
    </row>
    <row r="19944" spans="1:6" x14ac:dyDescent="0.2">
      <c r="A19944" t="s">
        <v>32449</v>
      </c>
      <c r="B19944" t="s">
        <v>1417</v>
      </c>
      <c r="C19944" t="s">
        <v>7625</v>
      </c>
      <c r="D19944" t="s">
        <v>42</v>
      </c>
      <c r="E19944" t="s">
        <v>104</v>
      </c>
      <c r="F19944" s="2" t="str">
        <f>HYPERLINK("http://www.otzar.org/book.asp?151526","לוח ארש")</f>
        <v>לוח ארש</v>
      </c>
    </row>
    <row r="19945" spans="1:6" x14ac:dyDescent="0.2">
      <c r="A19945" t="s">
        <v>32450</v>
      </c>
      <c r="B19945" t="s">
        <v>32451</v>
      </c>
      <c r="C19945" t="s">
        <v>313</v>
      </c>
      <c r="D19945" t="s">
        <v>14</v>
      </c>
      <c r="E19945" t="s">
        <v>104</v>
      </c>
      <c r="F19945" s="2" t="str">
        <f>HYPERLINK("http://www.otzar.org/book.asp?13320","לוח בכורי יוסף - 2 כר'")</f>
        <v>לוח בכורי יוסף - 2 כר'</v>
      </c>
    </row>
    <row r="19946" spans="1:6" x14ac:dyDescent="0.2">
      <c r="A19946" t="s">
        <v>32452</v>
      </c>
      <c r="B19946" t="s">
        <v>7485</v>
      </c>
      <c r="C19946" t="s">
        <v>13</v>
      </c>
      <c r="D19946" t="s">
        <v>14</v>
      </c>
      <c r="E19946" t="s">
        <v>15</v>
      </c>
      <c r="F19946" s="2" t="str">
        <f>HYPERLINK("http://www.otzar.org/book.asp?63999","לוח ברכות")</f>
        <v>לוח ברכות</v>
      </c>
    </row>
    <row r="19947" spans="1:6" x14ac:dyDescent="0.2">
      <c r="A19947" t="s">
        <v>32453</v>
      </c>
      <c r="B19947" t="s">
        <v>32454</v>
      </c>
      <c r="C19947" t="s">
        <v>775</v>
      </c>
      <c r="D19947" t="s">
        <v>52</v>
      </c>
      <c r="E19947" t="s">
        <v>674</v>
      </c>
      <c r="F19947" s="2" t="str">
        <f>HYPERLINK("http://www.otzar.org/book.asp?13335","לוח דבר בעתו - 38 כר'")</f>
        <v>לוח דבר בעתו - 38 כר'</v>
      </c>
    </row>
    <row r="19948" spans="1:6" x14ac:dyDescent="0.2">
      <c r="A19948" t="s">
        <v>32455</v>
      </c>
      <c r="B19948" t="s">
        <v>32456</v>
      </c>
      <c r="F19948" s="2" t="str">
        <f>HYPERLINK("http://www.otzar.org/book.asp?618102","לוח דינים ומנהגים לק""ק יוצאי לוב - תשע""ה")</f>
        <v>לוח דינים ומנהגים לק"ק יוצאי לוב - תשע"ה</v>
      </c>
    </row>
    <row r="19949" spans="1:6" x14ac:dyDescent="0.2">
      <c r="A19949" t="s">
        <v>32457</v>
      </c>
      <c r="B19949" t="s">
        <v>32458</v>
      </c>
      <c r="C19949" t="s">
        <v>106</v>
      </c>
      <c r="D19949" t="s">
        <v>52</v>
      </c>
      <c r="E19949" t="s">
        <v>104</v>
      </c>
      <c r="F19949" s="2" t="str">
        <f>HYPERLINK("http://www.otzar.org/book.asp?619904","לוח דף היומי - 2 כר'")</f>
        <v>לוח דף היומי - 2 כר'</v>
      </c>
    </row>
    <row r="19950" spans="1:6" x14ac:dyDescent="0.2">
      <c r="A19950" t="s">
        <v>32459</v>
      </c>
      <c r="B19950" t="s">
        <v>32460</v>
      </c>
      <c r="C19950" t="s">
        <v>68</v>
      </c>
      <c r="D19950" t="s">
        <v>367</v>
      </c>
      <c r="F19950" s="2" t="str">
        <f>HYPERLINK("http://www.otzar.org/book.asp?153615","לוח ההלכות והמנהגים - 13 כר'")</f>
        <v>לוח ההלכות והמנהגים - 13 כר'</v>
      </c>
    </row>
    <row r="19951" spans="1:6" x14ac:dyDescent="0.2">
      <c r="A19951" t="s">
        <v>32461</v>
      </c>
      <c r="B19951" t="s">
        <v>3865</v>
      </c>
      <c r="C19951" t="s">
        <v>20</v>
      </c>
      <c r="D19951" t="s">
        <v>14</v>
      </c>
      <c r="E19951" t="s">
        <v>104</v>
      </c>
      <c r="F19951" s="2" t="str">
        <f>HYPERLINK("http://www.otzar.org/book.asp?629690","לוח הזמנים כהלכתם - תש""פ")</f>
        <v>לוח הזמנים כהלכתם - תש"פ</v>
      </c>
    </row>
    <row r="19952" spans="1:6" x14ac:dyDescent="0.2">
      <c r="A19952" t="s">
        <v>32462</v>
      </c>
      <c r="B19952" t="s">
        <v>23486</v>
      </c>
      <c r="C19952" t="s">
        <v>286</v>
      </c>
      <c r="D19952" t="s">
        <v>9</v>
      </c>
      <c r="E19952" t="s">
        <v>733</v>
      </c>
      <c r="F19952" s="2" t="str">
        <f>HYPERLINK("http://www.otzar.org/book.asp?258","לוח היובל של עזרת תורה")</f>
        <v>לוח היובל של עזרת תורה</v>
      </c>
    </row>
    <row r="19953" spans="1:6" x14ac:dyDescent="0.2">
      <c r="A19953" t="s">
        <v>32463</v>
      </c>
      <c r="B19953" t="s">
        <v>32464</v>
      </c>
      <c r="C19953" t="s">
        <v>160</v>
      </c>
      <c r="D19953" t="s">
        <v>260</v>
      </c>
      <c r="E19953" t="s">
        <v>104</v>
      </c>
      <c r="F19953" s="2" t="str">
        <f>HYPERLINK("http://www.otzar.org/book.asp?12780","לוח הלוחות של המאה העשרים")</f>
        <v>לוח הלוחות של המאה העשרים</v>
      </c>
    </row>
    <row r="19954" spans="1:6" x14ac:dyDescent="0.2">
      <c r="A19954" t="s">
        <v>32465</v>
      </c>
      <c r="B19954" t="s">
        <v>32466</v>
      </c>
      <c r="C19954" t="s">
        <v>1448</v>
      </c>
      <c r="D19954" t="s">
        <v>216</v>
      </c>
      <c r="E19954" t="s">
        <v>15</v>
      </c>
      <c r="F19954" s="2" t="str">
        <f>HYPERLINK("http://www.otzar.org/book.asp?624702","לוח הלכות ומנהגים - 2 כר'")</f>
        <v>לוח הלכות ומנהגים - 2 כר'</v>
      </c>
    </row>
    <row r="19955" spans="1:6" x14ac:dyDescent="0.2">
      <c r="A19955" t="s">
        <v>32465</v>
      </c>
      <c r="B19955" t="s">
        <v>18048</v>
      </c>
      <c r="C19955" t="s">
        <v>2132</v>
      </c>
      <c r="D19955" t="s">
        <v>14</v>
      </c>
      <c r="F19955" s="2" t="str">
        <f>HYPERLINK("http://www.otzar.org/book.asp?617560","לוח הלכות ומנהגים - 2 כר'")</f>
        <v>לוח הלכות ומנהגים - 2 כר'</v>
      </c>
    </row>
    <row r="19956" spans="1:6" x14ac:dyDescent="0.2">
      <c r="A19956" t="s">
        <v>32467</v>
      </c>
      <c r="B19956" t="s">
        <v>32468</v>
      </c>
      <c r="C19956" t="s">
        <v>32469</v>
      </c>
      <c r="D19956" t="s">
        <v>49</v>
      </c>
      <c r="E19956" t="s">
        <v>104</v>
      </c>
      <c r="F19956" s="2" t="str">
        <f>HYPERLINK("http://www.otzar.org/book.asp?146909","לוח המועדים וראשי חדשים")</f>
        <v>לוח המועדים וראשי חדשים</v>
      </c>
    </row>
    <row r="19957" spans="1:6" x14ac:dyDescent="0.2">
      <c r="A19957" t="s">
        <v>32470</v>
      </c>
      <c r="B19957" t="s">
        <v>32471</v>
      </c>
      <c r="C19957" t="s">
        <v>51</v>
      </c>
      <c r="D19957" t="s">
        <v>14</v>
      </c>
      <c r="E19957" t="s">
        <v>130</v>
      </c>
      <c r="F19957" s="2" t="str">
        <f>HYPERLINK("http://www.otzar.org/book.asp?22749","לוח המוקצה")</f>
        <v>לוח המוקצה</v>
      </c>
    </row>
    <row r="19958" spans="1:6" x14ac:dyDescent="0.2">
      <c r="A19958" t="s">
        <v>32472</v>
      </c>
      <c r="B19958" t="s">
        <v>32473</v>
      </c>
      <c r="C19958" t="s">
        <v>558</v>
      </c>
      <c r="D19958" t="s">
        <v>1163</v>
      </c>
      <c r="F19958" s="2" t="str">
        <f>HYPERLINK("http://www.otzar.org/book.asp?631550","לוח הנץ ושקיעת החמה לרבי נתנאל סופר - ובסופו טבלה מעודכנת")</f>
        <v>לוח הנץ ושקיעת החמה לרבי נתנאל סופר - ובסופו טבלה מעודכנת</v>
      </c>
    </row>
    <row r="19959" spans="1:6" x14ac:dyDescent="0.2">
      <c r="A19959" t="s">
        <v>32474</v>
      </c>
      <c r="B19959" t="s">
        <v>32475</v>
      </c>
      <c r="C19959" t="s">
        <v>698</v>
      </c>
      <c r="D19959" t="s">
        <v>9955</v>
      </c>
      <c r="E19959" t="s">
        <v>104</v>
      </c>
      <c r="F19959" s="2" t="str">
        <f>HYPERLINK("http://www.otzar.org/book.asp?617591","לוח העיבור של שארית העולם")</f>
        <v>לוח העיבור של שארית העולם</v>
      </c>
    </row>
    <row r="19960" spans="1:6" x14ac:dyDescent="0.2">
      <c r="A19960" t="s">
        <v>32476</v>
      </c>
      <c r="B19960" t="s">
        <v>32477</v>
      </c>
      <c r="C19960" t="s">
        <v>1202</v>
      </c>
      <c r="D19960" t="s">
        <v>32478</v>
      </c>
      <c r="E19960" t="s">
        <v>104</v>
      </c>
      <c r="F19960" s="2" t="str">
        <f>HYPERLINK("http://www.otzar.org/book.asp?626073","לוח הפעלים המשכלל")</f>
        <v>לוח הפעלים המשכלל</v>
      </c>
    </row>
    <row r="19961" spans="1:6" x14ac:dyDescent="0.2">
      <c r="A19961" t="s">
        <v>32479</v>
      </c>
      <c r="B19961" t="s">
        <v>32480</v>
      </c>
      <c r="C19961" t="s">
        <v>989</v>
      </c>
      <c r="D19961" t="s">
        <v>27</v>
      </c>
      <c r="E19961" t="s">
        <v>579</v>
      </c>
      <c r="F19961" s="2" t="str">
        <f>HYPERLINK("http://www.otzar.org/book.asp?154488","לוח הפעלים השלם")</f>
        <v>לוח הפעלים השלם</v>
      </c>
    </row>
    <row r="19962" spans="1:6" x14ac:dyDescent="0.2">
      <c r="A19962" t="s">
        <v>32481</v>
      </c>
      <c r="B19962" t="s">
        <v>32482</v>
      </c>
      <c r="C19962" t="s">
        <v>6624</v>
      </c>
      <c r="D19962" t="s">
        <v>2303</v>
      </c>
      <c r="E19962" t="s">
        <v>104</v>
      </c>
      <c r="F19962" s="2" t="str">
        <f>HYPERLINK("http://www.otzar.org/book.asp?173202","לוח הפעלים")</f>
        <v>לוח הפעלים</v>
      </c>
    </row>
    <row r="19963" spans="1:6" x14ac:dyDescent="0.2">
      <c r="A19963" t="s">
        <v>32483</v>
      </c>
      <c r="B19963" t="s">
        <v>32484</v>
      </c>
      <c r="C19963" t="s">
        <v>1570</v>
      </c>
      <c r="D19963" t="s">
        <v>412</v>
      </c>
      <c r="E19963" t="s">
        <v>119</v>
      </c>
      <c r="F19963" s="2" t="str">
        <f>HYPERLINK("http://www.otzar.org/book.asp?620981","לוח השואה של יהדות פולין")</f>
        <v>לוח השואה של יהדות פולין</v>
      </c>
    </row>
    <row r="19964" spans="1:6" x14ac:dyDescent="0.2">
      <c r="A19964" t="s">
        <v>32485</v>
      </c>
      <c r="B19964" t="s">
        <v>32485</v>
      </c>
      <c r="C19964" t="s">
        <v>390</v>
      </c>
      <c r="D19964" t="s">
        <v>14</v>
      </c>
      <c r="E19964" t="s">
        <v>837</v>
      </c>
      <c r="F19964" s="2" t="str">
        <f>HYPERLINK("http://www.otzar.org/book.asp?5499","לוח התקון של  ט""ס שבספר משנה ברורה")</f>
        <v>לוח התקון של  ט"ס שבספר משנה ברורה</v>
      </c>
    </row>
    <row r="19965" spans="1:6" x14ac:dyDescent="0.2">
      <c r="A19965" t="s">
        <v>32486</v>
      </c>
      <c r="B19965" t="s">
        <v>32487</v>
      </c>
      <c r="C19965" t="s">
        <v>185</v>
      </c>
      <c r="D19965" t="s">
        <v>118</v>
      </c>
      <c r="F19965" s="2" t="str">
        <f>HYPERLINK("http://www.otzar.org/book.asp?629409","לוח זמן כהלכתו &lt;רוז'ין סאדיגורה&gt; - 4 כר'")</f>
        <v>לוח זמן כהלכתו &lt;רוז'ין סאדיגורה&gt; - 4 כר'</v>
      </c>
    </row>
    <row r="19966" spans="1:6" x14ac:dyDescent="0.2">
      <c r="A19966" t="s">
        <v>32488</v>
      </c>
      <c r="B19966" t="s">
        <v>32489</v>
      </c>
      <c r="C19966" t="s">
        <v>946</v>
      </c>
      <c r="D19966" t="s">
        <v>322</v>
      </c>
      <c r="E19966" t="s">
        <v>1626</v>
      </c>
      <c r="F19966" s="2" t="str">
        <f>HYPERLINK("http://www.otzar.org/book.asp?13418","לוח חרמון - תרפ""ה")</f>
        <v>לוח חרמון - תרפ"ה</v>
      </c>
    </row>
    <row r="19967" spans="1:6" x14ac:dyDescent="0.2">
      <c r="A19967" t="s">
        <v>32490</v>
      </c>
      <c r="B19967" t="s">
        <v>1821</v>
      </c>
      <c r="C19967" t="s">
        <v>1470</v>
      </c>
      <c r="D19967" t="s">
        <v>27</v>
      </c>
      <c r="E19967" t="s">
        <v>119</v>
      </c>
      <c r="F19967" s="2" t="str">
        <f>HYPERLINK("http://www.otzar.org/book.asp?100568","לוח חשבון השנים של השופטים ומלכי ישראל ויהודה - 2 כר'")</f>
        <v>לוח חשבון השנים של השופטים ומלכי ישראל ויהודה - 2 כר'</v>
      </c>
    </row>
    <row r="19968" spans="1:6" x14ac:dyDescent="0.2">
      <c r="A19968" t="s">
        <v>32491</v>
      </c>
      <c r="B19968" t="s">
        <v>7622</v>
      </c>
      <c r="D19968" t="s">
        <v>216</v>
      </c>
      <c r="E19968" t="s">
        <v>241</v>
      </c>
      <c r="F19968" s="2" t="str">
        <f>HYPERLINK("http://www.otzar.org/book.asp?171718","לוח יומי למוסר ומידות")</f>
        <v>לוח יומי למוסר ומידות</v>
      </c>
    </row>
    <row r="19969" spans="1:6" x14ac:dyDescent="0.2">
      <c r="A19969" t="s">
        <v>32492</v>
      </c>
      <c r="B19969" t="s">
        <v>32493</v>
      </c>
      <c r="C19969" t="s">
        <v>698</v>
      </c>
      <c r="D19969" t="s">
        <v>14</v>
      </c>
      <c r="E19969" t="s">
        <v>674</v>
      </c>
      <c r="F19969" s="2" t="str">
        <f>HYPERLINK("http://www.otzar.org/book.asp?160255","לוח ירושלים - 10 כר'")</f>
        <v>לוח ירושלים - 10 כר'</v>
      </c>
    </row>
    <row r="19970" spans="1:6" x14ac:dyDescent="0.2">
      <c r="A19970" t="s">
        <v>32494</v>
      </c>
      <c r="B19970" t="s">
        <v>32495</v>
      </c>
      <c r="C19970" t="s">
        <v>558</v>
      </c>
      <c r="D19970" t="s">
        <v>27</v>
      </c>
      <c r="F19970" s="2" t="str">
        <f>HYPERLINK("http://www.otzar.org/book.asp?170297","לוח ירושלמי")</f>
        <v>לוח ירושלמי</v>
      </c>
    </row>
    <row r="19971" spans="1:6" x14ac:dyDescent="0.2">
      <c r="A19971" t="s">
        <v>32496</v>
      </c>
      <c r="B19971" t="s">
        <v>32497</v>
      </c>
      <c r="C19971">
        <v>1885</v>
      </c>
      <c r="D19971" t="s">
        <v>2373</v>
      </c>
      <c r="F19971" s="2" t="str">
        <f>HYPERLINK("http://www.otzar.org/book.asp?626349","לוח ל216 שנים תקמ""ה- תש""ס")</f>
        <v>לוח ל216 שנים תקמ"ה- תש"ס</v>
      </c>
    </row>
    <row r="19972" spans="1:6" x14ac:dyDescent="0.2">
      <c r="A19972" t="s">
        <v>32498</v>
      </c>
      <c r="B19972" t="s">
        <v>32499</v>
      </c>
      <c r="C19972" t="s">
        <v>422</v>
      </c>
      <c r="D19972" t="s">
        <v>657</v>
      </c>
      <c r="E19972" t="s">
        <v>202</v>
      </c>
      <c r="F19972" s="2" t="str">
        <f>HYPERLINK("http://www.otzar.org/book.asp?150987","לוח לבך - א")</f>
        <v>לוח לבך - א</v>
      </c>
    </row>
    <row r="19973" spans="1:6" x14ac:dyDescent="0.2">
      <c r="A19973" t="s">
        <v>32500</v>
      </c>
      <c r="B19973" t="s">
        <v>32444</v>
      </c>
      <c r="C19973" t="s">
        <v>989</v>
      </c>
      <c r="D19973" t="s">
        <v>14</v>
      </c>
      <c r="E19973" t="s">
        <v>104</v>
      </c>
      <c r="F19973" s="2" t="str">
        <f>HYPERLINK("http://www.otzar.org/book.asp?12835","לוח למאה ועשרים שנה")</f>
        <v>לוח למאה ועשרים שנה</v>
      </c>
    </row>
    <row r="19974" spans="1:6" x14ac:dyDescent="0.2">
      <c r="A19974" t="s">
        <v>32501</v>
      </c>
      <c r="B19974" t="s">
        <v>32444</v>
      </c>
      <c r="C19974" t="s">
        <v>180</v>
      </c>
      <c r="D19974" t="s">
        <v>14</v>
      </c>
      <c r="E19974" t="s">
        <v>104</v>
      </c>
      <c r="F19974" s="2" t="str">
        <f>HYPERLINK("http://www.otzar.org/book.asp?144763","לוח למאה שנה")</f>
        <v>לוח למאה שנה</v>
      </c>
    </row>
    <row r="19975" spans="1:6" x14ac:dyDescent="0.2">
      <c r="A19975" t="s">
        <v>32502</v>
      </c>
      <c r="B19975" t="s">
        <v>32503</v>
      </c>
      <c r="C19975" t="s">
        <v>1706</v>
      </c>
      <c r="D19975" t="s">
        <v>27</v>
      </c>
      <c r="E19975" t="s">
        <v>104</v>
      </c>
      <c r="F19975" s="2" t="str">
        <f>HYPERLINK("http://www.otzar.org/book.asp?151598","לוח לקביעות השנים")</f>
        <v>לוח לקביעות השנים</v>
      </c>
    </row>
    <row r="19976" spans="1:6" x14ac:dyDescent="0.2">
      <c r="A19976" t="s">
        <v>32504</v>
      </c>
      <c r="B19976" t="s">
        <v>32505</v>
      </c>
      <c r="C19976" t="s">
        <v>985</v>
      </c>
      <c r="D19976" t="s">
        <v>14</v>
      </c>
      <c r="F19976" s="2" t="str">
        <f>HYPERLINK("http://www.otzar.org/book.asp?626489","לוח לשנת תש""ז")</f>
        <v>לוח לשנת תש"ז</v>
      </c>
    </row>
    <row r="19977" spans="1:6" x14ac:dyDescent="0.2">
      <c r="A19977" t="s">
        <v>32506</v>
      </c>
      <c r="B19977" t="s">
        <v>32505</v>
      </c>
      <c r="C19977" t="s">
        <v>160</v>
      </c>
      <c r="D19977" t="s">
        <v>14</v>
      </c>
      <c r="F19977" s="2" t="str">
        <f>HYPERLINK("http://www.otzar.org/book.asp?626490","לוח לשנת תש""ח")</f>
        <v>לוח לשנת תש"ח</v>
      </c>
    </row>
    <row r="19978" spans="1:6" x14ac:dyDescent="0.2">
      <c r="A19978" t="s">
        <v>32507</v>
      </c>
      <c r="B19978" t="s">
        <v>32505</v>
      </c>
      <c r="C19978" t="s">
        <v>1448</v>
      </c>
      <c r="D19978" t="s">
        <v>14</v>
      </c>
      <c r="F19978" s="2" t="str">
        <f>HYPERLINK("http://www.otzar.org/book.asp?626492","לוח לשנת תשמ""א")</f>
        <v>לוח לשנת תשמ"א</v>
      </c>
    </row>
    <row r="19979" spans="1:6" x14ac:dyDescent="0.2">
      <c r="A19979" t="s">
        <v>32508</v>
      </c>
      <c r="B19979" t="s">
        <v>32505</v>
      </c>
      <c r="C19979" t="s">
        <v>585</v>
      </c>
      <c r="D19979" t="s">
        <v>14</v>
      </c>
      <c r="F19979" s="2" t="str">
        <f>HYPERLINK("http://www.otzar.org/book.asp?626491","לוח לשנת תשמ""ג")</f>
        <v>לוח לשנת תשמ"ג</v>
      </c>
    </row>
    <row r="19980" spans="1:6" x14ac:dyDescent="0.2">
      <c r="A19980" t="s">
        <v>32509</v>
      </c>
      <c r="B19980" t="s">
        <v>32510</v>
      </c>
      <c r="C19980" t="s">
        <v>454</v>
      </c>
      <c r="D19980" t="s">
        <v>412</v>
      </c>
      <c r="E19980" t="s">
        <v>1256</v>
      </c>
      <c r="F19980" s="2" t="str">
        <f>HYPERLINK("http://www.otzar.org/book.asp?83828","לוח מעגל השנה &lt;סקווירא&gt; - 8 כר'")</f>
        <v>לוח מעגל השנה &lt;סקווירא&gt; - 8 כר'</v>
      </c>
    </row>
    <row r="19981" spans="1:6" x14ac:dyDescent="0.2">
      <c r="A19981" t="s">
        <v>32511</v>
      </c>
      <c r="B19981" t="s">
        <v>32512</v>
      </c>
      <c r="F19981" s="2" t="str">
        <f>HYPERLINK("http://www.otzar.org/book.asp?616100","לוח מתמידים - תשע""ז תשע""ח")</f>
        <v>לוח מתמידים - תשע"ז תשע"ח</v>
      </c>
    </row>
    <row r="19982" spans="1:6" x14ac:dyDescent="0.2">
      <c r="A19982" t="s">
        <v>32513</v>
      </c>
      <c r="B19982" t="s">
        <v>32514</v>
      </c>
      <c r="C19982" t="s">
        <v>1470</v>
      </c>
      <c r="D19982" t="s">
        <v>27</v>
      </c>
      <c r="E19982" t="s">
        <v>104</v>
      </c>
      <c r="F19982" s="2" t="str">
        <f>HYPERLINK("http://www.otzar.org/book.asp?165837","לוח נחוץ לארבע מאות שנה")</f>
        <v>לוח נחוץ לארבע מאות שנה</v>
      </c>
    </row>
    <row r="19983" spans="1:6" x14ac:dyDescent="0.2">
      <c r="A19983" t="s">
        <v>32515</v>
      </c>
      <c r="B19983" t="s">
        <v>32516</v>
      </c>
      <c r="C19983" t="s">
        <v>37</v>
      </c>
      <c r="D19983" t="s">
        <v>367</v>
      </c>
      <c r="E19983" t="s">
        <v>15</v>
      </c>
      <c r="F19983" s="2" t="str">
        <f>HYPERLINK("http://www.otzar.org/book.asp?176775","לוח עבודת היום - תשע""ד")</f>
        <v>לוח עבודת היום - תשע"ד</v>
      </c>
    </row>
    <row r="19984" spans="1:6" x14ac:dyDescent="0.2">
      <c r="A19984" t="s">
        <v>32517</v>
      </c>
      <c r="C19984" t="s">
        <v>6054</v>
      </c>
      <c r="D19984" t="s">
        <v>412</v>
      </c>
      <c r="F19984" s="2" t="str">
        <f>HYPERLINK("http://www.otzar.org/book.asp?626088","לוח עברי טייטש - תר""ץ")</f>
        <v>לוח עברי טייטש - תר"ץ</v>
      </c>
    </row>
    <row r="19985" spans="1:6" x14ac:dyDescent="0.2">
      <c r="A19985" t="s">
        <v>32518</v>
      </c>
      <c r="B19985" t="s">
        <v>32519</v>
      </c>
      <c r="C19985" t="s">
        <v>2870</v>
      </c>
      <c r="D19985" t="s">
        <v>32520</v>
      </c>
      <c r="F19985" s="2" t="str">
        <f>HYPERLINK("http://www.otzar.org/book.asp?626166","לוח עברי טייטש - תרע""ח")</f>
        <v>לוח עברי טייטש - תרע"ח</v>
      </c>
    </row>
    <row r="19986" spans="1:6" x14ac:dyDescent="0.2">
      <c r="A19986" t="s">
        <v>32521</v>
      </c>
      <c r="B19986" t="s">
        <v>32522</v>
      </c>
      <c r="C19986" t="s">
        <v>20</v>
      </c>
      <c r="D19986" t="s">
        <v>118</v>
      </c>
      <c r="E19986" t="s">
        <v>674</v>
      </c>
      <c r="F19986" s="2" t="str">
        <f>HYPERLINK("http://www.otzar.org/book.asp?103856","לוח עזר לפירושים מתקופת הגאונים")</f>
        <v>לוח עזר לפירושים מתקופת הגאונים</v>
      </c>
    </row>
    <row r="19987" spans="1:6" x14ac:dyDescent="0.2">
      <c r="A19987" t="s">
        <v>32523</v>
      </c>
      <c r="B19987" t="s">
        <v>32524</v>
      </c>
      <c r="C19987" t="s">
        <v>748</v>
      </c>
      <c r="D19987" t="s">
        <v>27</v>
      </c>
      <c r="F19987" s="2" t="str">
        <f>HYPERLINK("http://www.otzar.org/book.asp?164901","לוח על כח שנה")</f>
        <v>לוח על כח שנה</v>
      </c>
    </row>
    <row r="19988" spans="1:6" x14ac:dyDescent="0.2">
      <c r="A19988" t="s">
        <v>32525</v>
      </c>
      <c r="B19988" t="s">
        <v>32526</v>
      </c>
      <c r="C19988" t="s">
        <v>619</v>
      </c>
      <c r="D19988" t="s">
        <v>14</v>
      </c>
      <c r="E19988" t="s">
        <v>104</v>
      </c>
      <c r="F19988" s="2" t="str">
        <f>HYPERLINK("http://www.otzar.org/book.asp?106362","לוח עץ חיים - תרצ""ב")</f>
        <v>לוח עץ חיים - תרצ"ב</v>
      </c>
    </row>
    <row r="19989" spans="1:6" x14ac:dyDescent="0.2">
      <c r="A19989" t="s">
        <v>32527</v>
      </c>
      <c r="B19989" t="s">
        <v>32528</v>
      </c>
      <c r="C19989" t="s">
        <v>244</v>
      </c>
      <c r="D19989" t="s">
        <v>412</v>
      </c>
      <c r="F19989" s="2" t="str">
        <f>HYPERLINK("http://www.otzar.org/book.asp?601466","לוח עקבי היום - 10 כר'")</f>
        <v>לוח עקבי היום - 10 כר'</v>
      </c>
    </row>
    <row r="19990" spans="1:6" x14ac:dyDescent="0.2">
      <c r="A19990" t="s">
        <v>32529</v>
      </c>
      <c r="B19990" t="s">
        <v>32530</v>
      </c>
      <c r="C19990" t="s">
        <v>411</v>
      </c>
      <c r="D19990" t="s">
        <v>52</v>
      </c>
      <c r="E19990" t="s">
        <v>104</v>
      </c>
      <c r="F19990" s="2" t="str">
        <f>HYPERLINK("http://www.otzar.org/book.asp?168594","לוח עתים לתורה")</f>
        <v>לוח עתים לתורה</v>
      </c>
    </row>
    <row r="19991" spans="1:6" x14ac:dyDescent="0.2">
      <c r="A19991" t="s">
        <v>32531</v>
      </c>
      <c r="B19991" t="s">
        <v>2728</v>
      </c>
      <c r="C19991" t="s">
        <v>185</v>
      </c>
      <c r="D19991" t="s">
        <v>14</v>
      </c>
      <c r="F19991" s="2" t="str">
        <f>HYPERLINK("http://www.otzar.org/book.asp?629002","לוח שנה עיתים לבינה - 434 כר'")</f>
        <v>לוח שנה עיתים לבינה - 434 כר'</v>
      </c>
    </row>
    <row r="19992" spans="1:6" x14ac:dyDescent="0.2">
      <c r="A19992" t="s">
        <v>32532</v>
      </c>
      <c r="B19992" t="s">
        <v>32533</v>
      </c>
      <c r="C19992" t="s">
        <v>32534</v>
      </c>
      <c r="D19992" t="s">
        <v>32535</v>
      </c>
      <c r="E19992" t="s">
        <v>104</v>
      </c>
      <c r="F19992" s="2" t="str">
        <f>HYPERLINK("http://www.otzar.org/book.asp?84551","לוח שנת רנ""ג")</f>
        <v>לוח שנת רנ"ג</v>
      </c>
    </row>
    <row r="19993" spans="1:6" x14ac:dyDescent="0.2">
      <c r="A19993" t="s">
        <v>32536</v>
      </c>
      <c r="B19993" t="s">
        <v>32537</v>
      </c>
      <c r="F19993" s="2" t="str">
        <f>HYPERLINK("http://www.otzar.org/book.asp?618100","לוח שנתי לתכנית לימוד השולחן ערוך")</f>
        <v>לוח שנתי לתכנית לימוד השולחן ערוך</v>
      </c>
    </row>
    <row r="19994" spans="1:6" x14ac:dyDescent="0.2">
      <c r="A19994" t="s">
        <v>32538</v>
      </c>
      <c r="B19994" t="s">
        <v>32539</v>
      </c>
      <c r="C19994" t="s">
        <v>79</v>
      </c>
      <c r="D19994" t="s">
        <v>14</v>
      </c>
      <c r="E19994" t="s">
        <v>104</v>
      </c>
      <c r="F19994" s="2" t="str">
        <f>HYPERLINK("http://www.otzar.org/book.asp?163503","לוח תורת הארץ - תש""ח")</f>
        <v>לוח תורת הארץ - תש"ח</v>
      </c>
    </row>
    <row r="19995" spans="1:6" x14ac:dyDescent="0.2">
      <c r="A19995" t="s">
        <v>32540</v>
      </c>
      <c r="B19995" t="s">
        <v>32541</v>
      </c>
      <c r="C19995" t="s">
        <v>103</v>
      </c>
      <c r="D19995" t="s">
        <v>52</v>
      </c>
      <c r="E19995" t="s">
        <v>144</v>
      </c>
      <c r="F19995" s="2" t="str">
        <f>HYPERLINK("http://www.otzar.org/book.asp?63041","לוחות אבן - 2 כר'")</f>
        <v>לוחות אבן - 2 כר'</v>
      </c>
    </row>
    <row r="19996" spans="1:6" x14ac:dyDescent="0.2">
      <c r="A19996" t="s">
        <v>32540</v>
      </c>
      <c r="B19996" t="s">
        <v>32542</v>
      </c>
      <c r="C19996" t="s">
        <v>189</v>
      </c>
      <c r="E19996" t="s">
        <v>144</v>
      </c>
      <c r="F19996" s="2" t="str">
        <f>HYPERLINK("http://www.otzar.org/book.asp?193227","לוחות אבן - 2 כר'")</f>
        <v>לוחות אבן - 2 כר'</v>
      </c>
    </row>
    <row r="19997" spans="1:6" x14ac:dyDescent="0.2">
      <c r="A19997" t="s">
        <v>32543</v>
      </c>
      <c r="E19997" t="s">
        <v>4455</v>
      </c>
      <c r="F19997" s="2" t="str">
        <f>HYPERLINK("http://www.otzar.org/book.asp?603079","לוחות אבנים")</f>
        <v>לוחות אבנים</v>
      </c>
    </row>
    <row r="19998" spans="1:6" x14ac:dyDescent="0.2">
      <c r="A19998" t="s">
        <v>32544</v>
      </c>
      <c r="B19998" t="s">
        <v>32545</v>
      </c>
      <c r="C19998" t="s">
        <v>950</v>
      </c>
      <c r="D19998" t="s">
        <v>267</v>
      </c>
      <c r="E19998" t="s">
        <v>84</v>
      </c>
      <c r="F19998" s="2" t="str">
        <f>HYPERLINK("http://www.otzar.org/book.asp?63426","לוחות העדות - 2 כר'")</f>
        <v>לוחות העדות - 2 כר'</v>
      </c>
    </row>
    <row r="19999" spans="1:6" x14ac:dyDescent="0.2">
      <c r="A19999" t="s">
        <v>32546</v>
      </c>
      <c r="B19999" t="s">
        <v>32547</v>
      </c>
      <c r="C19999" t="s">
        <v>32548</v>
      </c>
      <c r="D19999" t="s">
        <v>15176</v>
      </c>
      <c r="E19999" t="s">
        <v>104</v>
      </c>
      <c r="F19999" s="2" t="str">
        <f>HYPERLINK("http://www.otzar.org/book.asp?23549","לוחות העיבור - 2 כר'")</f>
        <v>לוחות העיבור - 2 כר'</v>
      </c>
    </row>
    <row r="20000" spans="1:6" x14ac:dyDescent="0.2">
      <c r="A20000" t="s">
        <v>32549</v>
      </c>
      <c r="B20000" t="s">
        <v>32550</v>
      </c>
      <c r="C20000" t="s">
        <v>143</v>
      </c>
      <c r="D20000" t="s">
        <v>52</v>
      </c>
      <c r="E20000" t="s">
        <v>199</v>
      </c>
      <c r="F20000" s="2" t="str">
        <f>HYPERLINK("http://www.otzar.org/book.asp?159419","לוחות ושברי לוחות")</f>
        <v>לוחות ושברי לוחות</v>
      </c>
    </row>
    <row r="20001" spans="1:6" x14ac:dyDescent="0.2">
      <c r="A20001" t="s">
        <v>32551</v>
      </c>
      <c r="B20001" t="s">
        <v>10458</v>
      </c>
      <c r="C20001" t="s">
        <v>2644</v>
      </c>
      <c r="D20001" t="s">
        <v>322</v>
      </c>
      <c r="E20001" t="s">
        <v>119</v>
      </c>
      <c r="F20001" s="2" t="str">
        <f>HYPERLINK("http://www.otzar.org/book.asp?18972","לוחות זכרון")</f>
        <v>לוחות זכרון</v>
      </c>
    </row>
    <row r="20002" spans="1:6" x14ac:dyDescent="0.2">
      <c r="A20002" t="s">
        <v>32552</v>
      </c>
      <c r="B20002" t="s">
        <v>32553</v>
      </c>
      <c r="C20002" t="s">
        <v>23</v>
      </c>
      <c r="D20002" t="s">
        <v>90</v>
      </c>
      <c r="E20002" t="s">
        <v>15</v>
      </c>
      <c r="F20002" s="2" t="str">
        <f>HYPERLINK("http://www.otzar.org/book.asp?194172","לוחות זמנים שביעית תשע""ה")</f>
        <v>לוחות זמנים שביעית תשע"ה</v>
      </c>
    </row>
    <row r="20003" spans="1:6" x14ac:dyDescent="0.2">
      <c r="A20003" t="s">
        <v>32554</v>
      </c>
      <c r="B20003" t="s">
        <v>1990</v>
      </c>
      <c r="C20003" t="s">
        <v>1718</v>
      </c>
      <c r="D20003" t="s">
        <v>283</v>
      </c>
      <c r="E20003" t="s">
        <v>81</v>
      </c>
      <c r="F20003" s="2" t="str">
        <f>HYPERLINK("http://www.otzar.org/book.asp?12843","לוחות עדות")</f>
        <v>לוחות עדות</v>
      </c>
    </row>
    <row r="20004" spans="1:6" x14ac:dyDescent="0.2">
      <c r="A20004" t="s">
        <v>32555</v>
      </c>
      <c r="B20004" t="s">
        <v>32556</v>
      </c>
      <c r="C20004" t="s">
        <v>6784</v>
      </c>
      <c r="D20004" t="s">
        <v>95</v>
      </c>
      <c r="F20004" s="2" t="str">
        <f>HYPERLINK("http://www.otzar.org/book.asp?181376","לוחות שנה ישנים - 49 כר'")</f>
        <v>לוחות שנה ישנים - 49 כר'</v>
      </c>
    </row>
    <row r="20005" spans="1:6" x14ac:dyDescent="0.2">
      <c r="A20005" t="s">
        <v>32557</v>
      </c>
      <c r="B20005" t="s">
        <v>32558</v>
      </c>
      <c r="C20005" t="s">
        <v>1317</v>
      </c>
      <c r="D20005" t="s">
        <v>32559</v>
      </c>
      <c r="F20005" s="2" t="str">
        <f>HYPERLINK("http://www.otzar.org/book.asp?181230","לוחות שנה ישנים - 9 כר'")</f>
        <v>לוחות שנה ישנים - 9 כר'</v>
      </c>
    </row>
    <row r="20006" spans="1:6" x14ac:dyDescent="0.2">
      <c r="A20006" t="s">
        <v>32560</v>
      </c>
      <c r="B20006" t="s">
        <v>32561</v>
      </c>
      <c r="C20006" t="s">
        <v>1374</v>
      </c>
      <c r="D20006" t="s">
        <v>32562</v>
      </c>
      <c r="F20006" s="2" t="str">
        <f>HYPERLINK("http://www.otzar.org/book.asp?181421","לוחות שנה ישנים - 5 כר'")</f>
        <v>לוחות שנה ישנים - 5 כר'</v>
      </c>
    </row>
    <row r="20007" spans="1:6" x14ac:dyDescent="0.2">
      <c r="A20007" t="s">
        <v>32563</v>
      </c>
      <c r="B20007" t="s">
        <v>32564</v>
      </c>
      <c r="C20007" t="s">
        <v>800</v>
      </c>
      <c r="D20007" t="s">
        <v>32565</v>
      </c>
      <c r="F20007" s="2" t="str">
        <f>HYPERLINK("http://www.otzar.org/book.asp?181433","לוחות שנה ישנים - 68 כר'")</f>
        <v>לוחות שנה ישנים - 68 כר'</v>
      </c>
    </row>
    <row r="20008" spans="1:6" x14ac:dyDescent="0.2">
      <c r="A20008" t="s">
        <v>32566</v>
      </c>
      <c r="B20008" t="s">
        <v>32567</v>
      </c>
      <c r="C20008" t="s">
        <v>576</v>
      </c>
      <c r="D20008" t="s">
        <v>32568</v>
      </c>
      <c r="E20008" t="s">
        <v>104</v>
      </c>
      <c r="F20008" s="2" t="str">
        <f>HYPERLINK("http://www.otzar.org/book.asp?181419","לוחות שנה ישנים - 7 כר'")</f>
        <v>לוחות שנה ישנים - 7 כר'</v>
      </c>
    </row>
    <row r="20009" spans="1:6" x14ac:dyDescent="0.2">
      <c r="A20009" t="s">
        <v>32569</v>
      </c>
      <c r="B20009" t="s">
        <v>32570</v>
      </c>
      <c r="C20009" t="s">
        <v>1219</v>
      </c>
      <c r="D20009" t="s">
        <v>32571</v>
      </c>
      <c r="E20009" t="s">
        <v>104</v>
      </c>
      <c r="F20009" s="2" t="str">
        <f>HYPERLINK("http://www.otzar.org/book.asp?181216","לוחות שנה ישנים - 2 כר'")</f>
        <v>לוחות שנה ישנים - 2 כר'</v>
      </c>
    </row>
    <row r="20010" spans="1:6" x14ac:dyDescent="0.2">
      <c r="A20010" t="s">
        <v>32572</v>
      </c>
      <c r="B20010" t="s">
        <v>1990</v>
      </c>
      <c r="C20010" t="s">
        <v>8678</v>
      </c>
      <c r="D20010" t="s">
        <v>42</v>
      </c>
      <c r="F20010" s="2" t="str">
        <f>HYPERLINK("http://www.otzar.org/book.asp?28414","לוחת עדות - 2 כר'")</f>
        <v>לוחת עדות - 2 כר'</v>
      </c>
    </row>
    <row r="20011" spans="1:6" x14ac:dyDescent="0.2">
      <c r="A20011" t="s">
        <v>32573</v>
      </c>
      <c r="B20011" t="s">
        <v>32574</v>
      </c>
      <c r="C20011" t="s">
        <v>1863</v>
      </c>
      <c r="D20011" t="s">
        <v>49</v>
      </c>
      <c r="E20011" t="s">
        <v>463</v>
      </c>
      <c r="F20011" s="2" t="str">
        <f>HYPERLINK("http://www.otzar.org/book.asp?102254","לוית חן ואור יקרות")</f>
        <v>לוית חן ואור יקרות</v>
      </c>
    </row>
    <row r="20012" spans="1:6" x14ac:dyDescent="0.2">
      <c r="A20012" t="s">
        <v>32575</v>
      </c>
      <c r="B20012" t="s">
        <v>206</v>
      </c>
      <c r="C20012" t="s">
        <v>13</v>
      </c>
      <c r="D20012" t="s">
        <v>90</v>
      </c>
      <c r="E20012" t="s">
        <v>15</v>
      </c>
      <c r="F20012" s="2" t="str">
        <f>HYPERLINK("http://www.otzar.org/book.asp?617167","לוית חן לראשך")</f>
        <v>לוית חן לראשך</v>
      </c>
    </row>
    <row r="20013" spans="1:6" x14ac:dyDescent="0.2">
      <c r="A20013" t="s">
        <v>32576</v>
      </c>
      <c r="B20013" t="s">
        <v>32577</v>
      </c>
      <c r="C20013" t="s">
        <v>1410</v>
      </c>
      <c r="D20013" t="s">
        <v>1411</v>
      </c>
      <c r="F20013" s="2" t="str">
        <f>HYPERLINK("http://www.otzar.org/book.asp?617134","לוית חן - 2 כר'")</f>
        <v>לוית חן - 2 כר'</v>
      </c>
    </row>
    <row r="20014" spans="1:6" x14ac:dyDescent="0.2">
      <c r="A20014" t="s">
        <v>32578</v>
      </c>
      <c r="B20014" t="s">
        <v>1777</v>
      </c>
      <c r="C20014" t="s">
        <v>24235</v>
      </c>
      <c r="D20014" t="s">
        <v>42</v>
      </c>
      <c r="E20014" t="s">
        <v>144</v>
      </c>
      <c r="F20014" s="2" t="str">
        <f>HYPERLINK("http://www.otzar.org/book.asp?5675","לוית חן")</f>
        <v>לוית חן</v>
      </c>
    </row>
    <row r="20015" spans="1:6" x14ac:dyDescent="0.2">
      <c r="A20015" t="s">
        <v>32578</v>
      </c>
      <c r="B20015" t="s">
        <v>776</v>
      </c>
      <c r="C20015" t="s">
        <v>79</v>
      </c>
      <c r="D20015" t="s">
        <v>27</v>
      </c>
      <c r="E20015" t="s">
        <v>241</v>
      </c>
      <c r="F20015" s="2" t="str">
        <f>HYPERLINK("http://www.otzar.org/book.asp?179220","לוית חן")</f>
        <v>לוית חן</v>
      </c>
    </row>
    <row r="20016" spans="1:6" x14ac:dyDescent="0.2">
      <c r="A20016" t="s">
        <v>32579</v>
      </c>
      <c r="B20016" t="s">
        <v>6711</v>
      </c>
      <c r="C20016" t="s">
        <v>103</v>
      </c>
      <c r="D20016" t="s">
        <v>152</v>
      </c>
      <c r="E20016" t="s">
        <v>2071</v>
      </c>
      <c r="F20016" s="2" t="str">
        <f>HYPERLINK("http://www.otzar.org/book.asp?60979","לוית חן - 3 כר'")</f>
        <v>לוית חן - 3 כר'</v>
      </c>
    </row>
    <row r="20017" spans="1:6" x14ac:dyDescent="0.2">
      <c r="A20017" t="s">
        <v>32580</v>
      </c>
      <c r="B20017" t="s">
        <v>25534</v>
      </c>
      <c r="C20017" t="s">
        <v>17</v>
      </c>
      <c r="D20017" t="s">
        <v>52</v>
      </c>
      <c r="E20017" t="s">
        <v>4940</v>
      </c>
      <c r="F20017" s="2" t="str">
        <f>HYPERLINK("http://www.otzar.org/book.asp?107259","לוית חן - משלי")</f>
        <v>לוית חן - משלי</v>
      </c>
    </row>
    <row r="20018" spans="1:6" x14ac:dyDescent="0.2">
      <c r="A20018" t="s">
        <v>32578</v>
      </c>
      <c r="B20018" t="s">
        <v>32581</v>
      </c>
      <c r="C20018" t="s">
        <v>160</v>
      </c>
      <c r="D20018" t="s">
        <v>20154</v>
      </c>
      <c r="F20018" s="2" t="str">
        <f>HYPERLINK("http://www.otzar.org/book.asp?620618","לוית חן")</f>
        <v>לוית חן</v>
      </c>
    </row>
    <row r="20019" spans="1:6" x14ac:dyDescent="0.2">
      <c r="A20019" t="s">
        <v>32582</v>
      </c>
      <c r="B20019" t="s">
        <v>32583</v>
      </c>
      <c r="C20019" t="s">
        <v>23</v>
      </c>
      <c r="D20019" t="s">
        <v>14</v>
      </c>
      <c r="E20019" t="s">
        <v>84</v>
      </c>
      <c r="F20019" s="2" t="str">
        <f>HYPERLINK("http://www.otzar.org/book.asp?600620","לוית חן - מעשרות")</f>
        <v>לוית חן - מעשרות</v>
      </c>
    </row>
    <row r="20020" spans="1:6" x14ac:dyDescent="0.2">
      <c r="A20020" t="s">
        <v>32578</v>
      </c>
      <c r="B20020" t="s">
        <v>32584</v>
      </c>
      <c r="C20020" t="s">
        <v>313</v>
      </c>
      <c r="D20020" t="s">
        <v>14</v>
      </c>
      <c r="E20020" t="s">
        <v>202</v>
      </c>
      <c r="F20020" s="2" t="str">
        <f>HYPERLINK("http://www.otzar.org/book.asp?85096","לוית חן")</f>
        <v>לוית חן</v>
      </c>
    </row>
    <row r="20021" spans="1:6" x14ac:dyDescent="0.2">
      <c r="A20021" t="s">
        <v>32578</v>
      </c>
      <c r="B20021" t="s">
        <v>32585</v>
      </c>
      <c r="C20021" t="s">
        <v>412</v>
      </c>
      <c r="D20021" t="s">
        <v>146</v>
      </c>
      <c r="E20021" t="s">
        <v>474</v>
      </c>
      <c r="F20021" s="2" t="str">
        <f>HYPERLINK("http://www.otzar.org/book.asp?194942","לוית חן")</f>
        <v>לוית חן</v>
      </c>
    </row>
    <row r="20022" spans="1:6" x14ac:dyDescent="0.2">
      <c r="A20022" t="s">
        <v>32578</v>
      </c>
      <c r="B20022" t="s">
        <v>2396</v>
      </c>
      <c r="C20022" t="s">
        <v>20</v>
      </c>
      <c r="D20022" t="s">
        <v>90</v>
      </c>
      <c r="E20022" t="s">
        <v>158</v>
      </c>
      <c r="F20022" s="2" t="str">
        <f>HYPERLINK("http://www.otzar.org/book.asp?153803","לוית חן")</f>
        <v>לוית חן</v>
      </c>
    </row>
    <row r="20023" spans="1:6" x14ac:dyDescent="0.2">
      <c r="A20023" t="s">
        <v>32586</v>
      </c>
      <c r="B20023" t="s">
        <v>32587</v>
      </c>
      <c r="C20023" t="s">
        <v>940</v>
      </c>
      <c r="D20023" t="s">
        <v>14</v>
      </c>
      <c r="E20023" t="s">
        <v>144</v>
      </c>
      <c r="F20023" s="2" t="str">
        <f>HYPERLINK("http://www.otzar.org/book.asp?162805","לוית חן - סוכה")</f>
        <v>לוית חן - סוכה</v>
      </c>
    </row>
    <row r="20024" spans="1:6" x14ac:dyDescent="0.2">
      <c r="A20024" t="s">
        <v>32588</v>
      </c>
      <c r="B20024" t="s">
        <v>32589</v>
      </c>
      <c r="C20024" t="s">
        <v>313</v>
      </c>
      <c r="D20024" t="s">
        <v>14</v>
      </c>
      <c r="E20024" t="s">
        <v>104</v>
      </c>
      <c r="F20024" s="2" t="str">
        <f>HYPERLINK("http://www.otzar.org/book.asp?621739","לולאות התכלת")</f>
        <v>לולאות התכלת</v>
      </c>
    </row>
    <row r="20025" spans="1:6" x14ac:dyDescent="0.2">
      <c r="A20025" t="s">
        <v>32590</v>
      </c>
      <c r="B20025" t="s">
        <v>32591</v>
      </c>
      <c r="C20025" t="s">
        <v>585</v>
      </c>
      <c r="D20025" t="s">
        <v>14</v>
      </c>
      <c r="E20025" t="s">
        <v>199</v>
      </c>
      <c r="F20025" s="2" t="str">
        <f>HYPERLINK("http://www.otzar.org/book.asp?15061","לזכר הר""ר שלום קלזאן")</f>
        <v>לזכר הר"ר שלום קלזאן</v>
      </c>
    </row>
    <row r="20026" spans="1:6" x14ac:dyDescent="0.2">
      <c r="A20026" t="s">
        <v>32592</v>
      </c>
      <c r="B20026" t="s">
        <v>32593</v>
      </c>
      <c r="C20026" t="s">
        <v>282</v>
      </c>
      <c r="D20026" t="s">
        <v>56</v>
      </c>
      <c r="E20026" t="s">
        <v>84</v>
      </c>
      <c r="F20026" s="2" t="str">
        <f>HYPERLINK("http://www.otzar.org/book.asp?106176","לזכר לישראל")</f>
        <v>לזכר לישראל</v>
      </c>
    </row>
    <row r="20027" spans="1:6" x14ac:dyDescent="0.2">
      <c r="A20027" t="s">
        <v>32594</v>
      </c>
      <c r="B20027" t="s">
        <v>32595</v>
      </c>
      <c r="C20027" t="s">
        <v>37</v>
      </c>
      <c r="D20027" t="s">
        <v>52</v>
      </c>
      <c r="E20027" t="s">
        <v>104</v>
      </c>
      <c r="F20027" s="2" t="str">
        <f>HYPERLINK("http://www.otzar.org/book.asp?182780","לזכר עולם")</f>
        <v>לזכר עולם</v>
      </c>
    </row>
    <row r="20028" spans="1:6" x14ac:dyDescent="0.2">
      <c r="A20028" t="s">
        <v>32596</v>
      </c>
      <c r="B20028" t="s">
        <v>32597</v>
      </c>
      <c r="C20028" t="s">
        <v>2008</v>
      </c>
      <c r="D20028" t="s">
        <v>260</v>
      </c>
      <c r="E20028" t="s">
        <v>119</v>
      </c>
      <c r="F20028" s="2" t="str">
        <f>HYPERLINK("http://www.otzar.org/book.asp?176981","לזכר תשעים ושלש מאחיותינו בפולין")</f>
        <v>לזכר תשעים ושלש מאחיותינו בפולין</v>
      </c>
    </row>
    <row r="20029" spans="1:6" x14ac:dyDescent="0.2">
      <c r="A20029" t="s">
        <v>32598</v>
      </c>
      <c r="B20029" t="s">
        <v>32599</v>
      </c>
      <c r="C20029" t="s">
        <v>956</v>
      </c>
      <c r="D20029" t="s">
        <v>512</v>
      </c>
      <c r="E20029" t="s">
        <v>199</v>
      </c>
      <c r="F20029" s="2" t="str">
        <f>HYPERLINK("http://www.otzar.org/book.asp?151962","לזכרו של הרב משה אשר דורף")</f>
        <v>לזכרו של הרב משה אשר דורף</v>
      </c>
    </row>
    <row r="20030" spans="1:6" x14ac:dyDescent="0.2">
      <c r="A20030" t="s">
        <v>32600</v>
      </c>
      <c r="B20030" t="s">
        <v>32601</v>
      </c>
      <c r="C20030" t="s">
        <v>20</v>
      </c>
      <c r="D20030" t="s">
        <v>412</v>
      </c>
      <c r="E20030" t="s">
        <v>119</v>
      </c>
      <c r="F20030" s="2" t="str">
        <f>HYPERLINK("http://www.otzar.org/book.asp?189486","לזכרון עולם")</f>
        <v>לזכרון עולם</v>
      </c>
    </row>
    <row r="20031" spans="1:6" x14ac:dyDescent="0.2">
      <c r="A20031" t="s">
        <v>32602</v>
      </c>
      <c r="B20031" t="s">
        <v>1306</v>
      </c>
      <c r="C20031" t="s">
        <v>956</v>
      </c>
      <c r="D20031" t="s">
        <v>14</v>
      </c>
      <c r="E20031" t="s">
        <v>202</v>
      </c>
      <c r="F20031" s="2" t="str">
        <f>HYPERLINK("http://www.otzar.org/book.asp?142936","לזכרון")</f>
        <v>לזכרון</v>
      </c>
    </row>
    <row r="20032" spans="1:6" x14ac:dyDescent="0.2">
      <c r="A20032" t="s">
        <v>32603</v>
      </c>
      <c r="B20032" t="s">
        <v>11491</v>
      </c>
      <c r="C20032" t="s">
        <v>23</v>
      </c>
      <c r="D20032" t="s">
        <v>6853</v>
      </c>
      <c r="E20032" t="s">
        <v>104</v>
      </c>
      <c r="F20032" s="2" t="str">
        <f>HYPERLINK("http://www.otzar.org/book.asp?195169","לזמן הזה - יום ירושלים")</f>
        <v>לזמן הזה - יום ירושלים</v>
      </c>
    </row>
    <row r="20033" spans="1:6" x14ac:dyDescent="0.2">
      <c r="A20033" t="s">
        <v>32604</v>
      </c>
      <c r="B20033" t="s">
        <v>30810</v>
      </c>
      <c r="C20033" t="s">
        <v>366</v>
      </c>
      <c r="D20033" t="s">
        <v>90</v>
      </c>
      <c r="E20033" t="s">
        <v>246</v>
      </c>
      <c r="F20033" s="2" t="str">
        <f>HYPERLINK("http://www.otzar.org/book.asp?627088","לזמן חרותנו")</f>
        <v>לזמן חרותנו</v>
      </c>
    </row>
    <row r="20034" spans="1:6" x14ac:dyDescent="0.2">
      <c r="A20034" t="s">
        <v>32605</v>
      </c>
      <c r="B20034" t="s">
        <v>20432</v>
      </c>
      <c r="C20034" t="s">
        <v>956</v>
      </c>
      <c r="D20034" t="s">
        <v>216</v>
      </c>
      <c r="E20034" t="s">
        <v>246</v>
      </c>
      <c r="F20034" s="2" t="str">
        <f>HYPERLINK("http://www.otzar.org/book.asp?626598","לחג החרות")</f>
        <v>לחג החרות</v>
      </c>
    </row>
    <row r="20035" spans="1:6" x14ac:dyDescent="0.2">
      <c r="A20035" t="s">
        <v>32606</v>
      </c>
      <c r="B20035" t="s">
        <v>1750</v>
      </c>
      <c r="C20035" t="s">
        <v>13</v>
      </c>
      <c r="D20035" t="s">
        <v>152</v>
      </c>
      <c r="E20035" t="s">
        <v>186</v>
      </c>
      <c r="F20035" s="2" t="str">
        <f>HYPERLINK("http://www.otzar.org/book.asp?61885","לחדשיו יבכר - ב")</f>
        <v>לחדשיו יבכר - ב</v>
      </c>
    </row>
    <row r="20036" spans="1:6" x14ac:dyDescent="0.2">
      <c r="A20036" t="s">
        <v>32607</v>
      </c>
      <c r="B20036" t="s">
        <v>32608</v>
      </c>
      <c r="C20036" t="s">
        <v>23</v>
      </c>
      <c r="D20036" t="s">
        <v>52</v>
      </c>
      <c r="E20036" t="s">
        <v>154</v>
      </c>
      <c r="F20036" s="2" t="str">
        <f>HYPERLINK("http://www.otzar.org/book.asp?193721","לחושבי שמו")</f>
        <v>לחושבי שמו</v>
      </c>
    </row>
    <row r="20037" spans="1:6" x14ac:dyDescent="0.2">
      <c r="A20037" t="s">
        <v>32609</v>
      </c>
      <c r="B20037" t="s">
        <v>1750</v>
      </c>
      <c r="C20037" t="s">
        <v>176</v>
      </c>
      <c r="D20037" t="s">
        <v>52</v>
      </c>
      <c r="E20037" t="s">
        <v>3790</v>
      </c>
      <c r="F20037" s="2" t="str">
        <f>HYPERLINK("http://www.otzar.org/book.asp?26714","לחושבי שמו - 4 כר'")</f>
        <v>לחושבי שמו - 4 כר'</v>
      </c>
    </row>
    <row r="20038" spans="1:6" x14ac:dyDescent="0.2">
      <c r="A20038" t="s">
        <v>32610</v>
      </c>
      <c r="B20038" t="s">
        <v>12187</v>
      </c>
      <c r="C20038" t="s">
        <v>32611</v>
      </c>
      <c r="D20038" t="s">
        <v>739</v>
      </c>
      <c r="E20038" t="s">
        <v>104</v>
      </c>
      <c r="F20038" s="2" t="str">
        <f>HYPERLINK("http://www.otzar.org/book.asp?189492","לחות אבנים")</f>
        <v>לחות אבנים</v>
      </c>
    </row>
    <row r="20039" spans="1:6" x14ac:dyDescent="0.2">
      <c r="A20039" t="s">
        <v>32612</v>
      </c>
      <c r="B20039" t="s">
        <v>32613</v>
      </c>
      <c r="C20039" t="s">
        <v>129</v>
      </c>
      <c r="D20039" t="s">
        <v>90</v>
      </c>
      <c r="E20039" t="s">
        <v>230</v>
      </c>
      <c r="F20039" s="2" t="str">
        <f>HYPERLINK("http://www.otzar.org/book.asp?165227","לחזור בתשובה ע""פ המגילה")</f>
        <v>לחזור בתשובה ע"פ המגילה</v>
      </c>
    </row>
    <row r="20040" spans="1:6" x14ac:dyDescent="0.2">
      <c r="A20040" t="s">
        <v>32614</v>
      </c>
      <c r="B20040" t="s">
        <v>5084</v>
      </c>
      <c r="C20040" t="s">
        <v>133</v>
      </c>
      <c r="D20040" t="s">
        <v>14</v>
      </c>
      <c r="E20040" t="s">
        <v>241</v>
      </c>
      <c r="F20040" s="2" t="str">
        <f>HYPERLINK("http://www.otzar.org/book.asp?181050","לחזור בתשובה")</f>
        <v>לחזור בתשובה</v>
      </c>
    </row>
    <row r="20041" spans="1:6" x14ac:dyDescent="0.2">
      <c r="A20041" t="s">
        <v>32615</v>
      </c>
      <c r="B20041" t="s">
        <v>206</v>
      </c>
      <c r="C20041" t="s">
        <v>146</v>
      </c>
      <c r="D20041" t="s">
        <v>52</v>
      </c>
      <c r="E20041" t="s">
        <v>144</v>
      </c>
      <c r="F20041" s="2" t="str">
        <f>HYPERLINK("http://www.otzar.org/book.asp?85621","לחזות בנועם - 4 כר'")</f>
        <v>לחזות בנועם - 4 כר'</v>
      </c>
    </row>
    <row r="20042" spans="1:6" x14ac:dyDescent="0.2">
      <c r="A20042" t="s">
        <v>32616</v>
      </c>
      <c r="B20042" t="s">
        <v>32617</v>
      </c>
      <c r="C20042" t="s">
        <v>366</v>
      </c>
      <c r="D20042" t="s">
        <v>52</v>
      </c>
      <c r="E20042" t="s">
        <v>1174</v>
      </c>
      <c r="F20042" s="2" t="str">
        <f>HYPERLINK("http://www.otzar.org/book.asp?629410","לחזות בנועם - 8 כר'")</f>
        <v>לחזות בנועם - 8 כר'</v>
      </c>
    </row>
    <row r="20043" spans="1:6" x14ac:dyDescent="0.2">
      <c r="A20043" t="s">
        <v>32618</v>
      </c>
      <c r="B20043" t="s">
        <v>8009</v>
      </c>
      <c r="C20043" t="s">
        <v>133</v>
      </c>
      <c r="D20043" t="s">
        <v>52</v>
      </c>
      <c r="E20043" t="s">
        <v>144</v>
      </c>
      <c r="F20043" s="2" t="str">
        <f>HYPERLINK("http://www.otzar.org/book.asp?171181","לחזות בנועם - תמורה")</f>
        <v>לחזות בנועם - תמורה</v>
      </c>
    </row>
    <row r="20044" spans="1:6" x14ac:dyDescent="0.2">
      <c r="A20044" t="s">
        <v>32619</v>
      </c>
      <c r="B20044" t="s">
        <v>32620</v>
      </c>
      <c r="C20044" t="s">
        <v>366</v>
      </c>
      <c r="D20044" t="s">
        <v>32621</v>
      </c>
      <c r="E20044" t="s">
        <v>1097</v>
      </c>
      <c r="F20044" s="2" t="str">
        <f>HYPERLINK("http://www.otzar.org/book.asp?611656","לחזות בנעם - אורו של התלמוד הירושלמי")</f>
        <v>לחזות בנעם - אורו של התלמוד הירושלמי</v>
      </c>
    </row>
    <row r="20045" spans="1:6" x14ac:dyDescent="0.2">
      <c r="A20045" t="s">
        <v>32622</v>
      </c>
      <c r="B20045" t="s">
        <v>32623</v>
      </c>
      <c r="C20045" t="s">
        <v>114</v>
      </c>
      <c r="D20045" t="s">
        <v>152</v>
      </c>
      <c r="E20045" t="s">
        <v>241</v>
      </c>
      <c r="F20045" s="2" t="str">
        <f>HYPERLINK("http://www.otzar.org/book.asp?189759","לחזות בנעם - 5 כר'")</f>
        <v>לחזות בנעם - 5 כר'</v>
      </c>
    </row>
    <row r="20046" spans="1:6" x14ac:dyDescent="0.2">
      <c r="A20046" t="s">
        <v>32624</v>
      </c>
      <c r="B20046" t="s">
        <v>32625</v>
      </c>
      <c r="C20046" t="s">
        <v>151</v>
      </c>
      <c r="D20046" t="s">
        <v>412</v>
      </c>
      <c r="E20046" t="s">
        <v>357</v>
      </c>
      <c r="F20046" s="2" t="str">
        <f>HYPERLINK("http://www.otzar.org/book.asp?621312","לחי ראי")</f>
        <v>לחי ראי</v>
      </c>
    </row>
    <row r="20047" spans="1:6" x14ac:dyDescent="0.2">
      <c r="A20047" t="s">
        <v>32626</v>
      </c>
      <c r="B20047" t="s">
        <v>32627</v>
      </c>
      <c r="C20047" t="s">
        <v>133</v>
      </c>
      <c r="D20047" t="s">
        <v>152</v>
      </c>
      <c r="E20047" t="s">
        <v>158</v>
      </c>
      <c r="F20047" s="2" t="str">
        <f>HYPERLINK("http://www.otzar.org/book.asp?170807","לחי רואי")</f>
        <v>לחי רואי</v>
      </c>
    </row>
    <row r="20048" spans="1:6" x14ac:dyDescent="0.2">
      <c r="A20048" t="s">
        <v>32628</v>
      </c>
      <c r="B20048" t="s">
        <v>32629</v>
      </c>
      <c r="C20048" t="s">
        <v>20</v>
      </c>
      <c r="D20048" t="s">
        <v>14</v>
      </c>
      <c r="E20048" t="s">
        <v>104</v>
      </c>
      <c r="F20048" s="2" t="str">
        <f>HYPERLINK("http://www.otzar.org/book.asp?163553","לחיות אל סף האושר")</f>
        <v>לחיות אל סף האושר</v>
      </c>
    </row>
    <row r="20049" spans="1:6" x14ac:dyDescent="0.2">
      <c r="A20049" t="s">
        <v>32630</v>
      </c>
      <c r="B20049" t="s">
        <v>107</v>
      </c>
      <c r="C20049" t="s">
        <v>20</v>
      </c>
      <c r="D20049" t="s">
        <v>14</v>
      </c>
      <c r="E20049" t="s">
        <v>241</v>
      </c>
      <c r="F20049" s="2" t="str">
        <f>HYPERLINK("http://www.otzar.org/book.asp?6105","לחיות אמונה")</f>
        <v>לחיות אמונה</v>
      </c>
    </row>
    <row r="20050" spans="1:6" x14ac:dyDescent="0.2">
      <c r="A20050" t="s">
        <v>32631</v>
      </c>
      <c r="B20050" t="s">
        <v>1728</v>
      </c>
      <c r="C20050" t="s">
        <v>129</v>
      </c>
      <c r="D20050" t="s">
        <v>273</v>
      </c>
      <c r="E20050" t="s">
        <v>20641</v>
      </c>
      <c r="F20050" s="2" t="str">
        <f>HYPERLINK("http://www.otzar.org/book.asp?628552","לחיות במרחב אלוקי")</f>
        <v>לחיות במרחב אלוקי</v>
      </c>
    </row>
    <row r="20051" spans="1:6" x14ac:dyDescent="0.2">
      <c r="A20051" t="s">
        <v>32632</v>
      </c>
      <c r="B20051" t="s">
        <v>206</v>
      </c>
      <c r="C20051" t="s">
        <v>23</v>
      </c>
      <c r="D20051" t="s">
        <v>52</v>
      </c>
      <c r="F20051" s="2" t="str">
        <f>HYPERLINK("http://www.otzar.org/book.asp?198516","לחיות כהלכה")</f>
        <v>לחיות כהלכה</v>
      </c>
    </row>
    <row r="20052" spans="1:6" x14ac:dyDescent="0.2">
      <c r="A20052" t="s">
        <v>32633</v>
      </c>
      <c r="B20052" t="s">
        <v>1728</v>
      </c>
      <c r="C20052" t="s">
        <v>32634</v>
      </c>
      <c r="D20052" t="s">
        <v>273</v>
      </c>
      <c r="E20052" t="s">
        <v>393</v>
      </c>
      <c r="F20052" s="2" t="str">
        <f>HYPERLINK("http://www.otzar.org/book.asp?626888","לחיות עם הזמן - 5 כר'")</f>
        <v>לחיות עם הזמן - 5 כר'</v>
      </c>
    </row>
    <row r="20053" spans="1:6" x14ac:dyDescent="0.2">
      <c r="A20053" t="s">
        <v>32635</v>
      </c>
      <c r="B20053" t="s">
        <v>155</v>
      </c>
      <c r="C20053" t="s">
        <v>1335</v>
      </c>
      <c r="D20053" t="s">
        <v>157</v>
      </c>
      <c r="E20053" t="s">
        <v>1097</v>
      </c>
      <c r="F20053" s="2" t="str">
        <f>HYPERLINK("http://www.otzar.org/book.asp?9622","לחיים בירושלם")</f>
        <v>לחיים בירושלם</v>
      </c>
    </row>
    <row r="20054" spans="1:6" x14ac:dyDescent="0.2">
      <c r="A20054" t="s">
        <v>32636</v>
      </c>
      <c r="B20054" t="s">
        <v>1540</v>
      </c>
      <c r="C20054" t="s">
        <v>1679</v>
      </c>
      <c r="D20054" t="s">
        <v>32637</v>
      </c>
      <c r="E20054" t="s">
        <v>104</v>
      </c>
      <c r="F20054" s="2" t="str">
        <f>HYPERLINK("http://www.otzar.org/book.asp?147326","לחישת שרף &lt;למען דעת כל עמי הארץ&gt;")</f>
        <v>לחישת שרף &lt;למען דעת כל עמי הארץ&gt;</v>
      </c>
    </row>
    <row r="20055" spans="1:6" x14ac:dyDescent="0.2">
      <c r="A20055" t="s">
        <v>32638</v>
      </c>
      <c r="B20055" t="s">
        <v>32639</v>
      </c>
      <c r="C20055" t="s">
        <v>68</v>
      </c>
      <c r="D20055" t="s">
        <v>14</v>
      </c>
      <c r="E20055" t="s">
        <v>144</v>
      </c>
      <c r="F20055" s="2" t="str">
        <f>HYPERLINK("http://www.otzar.org/book.asp?182822","לחם אבירים &lt;מהדורה חדשה&gt; - 3 כר'")</f>
        <v>לחם אבירים &lt;מהדורה חדשה&gt; - 3 כר'</v>
      </c>
    </row>
    <row r="20056" spans="1:6" x14ac:dyDescent="0.2">
      <c r="A20056" t="s">
        <v>32640</v>
      </c>
      <c r="B20056" t="s">
        <v>32639</v>
      </c>
      <c r="C20056" t="s">
        <v>9168</v>
      </c>
      <c r="D20056" t="s">
        <v>49</v>
      </c>
      <c r="E20056" t="s">
        <v>144</v>
      </c>
      <c r="F20056" s="2" t="str">
        <f>HYPERLINK("http://www.otzar.org/book.asp?1034","לחם אבירים")</f>
        <v>לחם אבירים</v>
      </c>
    </row>
    <row r="20057" spans="1:6" x14ac:dyDescent="0.2">
      <c r="A20057" t="s">
        <v>32640</v>
      </c>
      <c r="B20057" t="s">
        <v>32641</v>
      </c>
      <c r="C20057" t="s">
        <v>1885</v>
      </c>
      <c r="D20057" t="s">
        <v>283</v>
      </c>
      <c r="E20057" t="s">
        <v>803</v>
      </c>
      <c r="F20057" s="2" t="str">
        <f>HYPERLINK("http://www.otzar.org/book.asp?18973","לחם אבירים")</f>
        <v>לחם אבירים</v>
      </c>
    </row>
    <row r="20058" spans="1:6" x14ac:dyDescent="0.2">
      <c r="A20058" t="s">
        <v>32640</v>
      </c>
      <c r="B20058" t="s">
        <v>32642</v>
      </c>
      <c r="C20058" t="s">
        <v>114</v>
      </c>
      <c r="D20058" t="s">
        <v>90</v>
      </c>
      <c r="E20058" t="s">
        <v>803</v>
      </c>
      <c r="F20058" s="2" t="str">
        <f>HYPERLINK("http://www.otzar.org/book.asp?171624","לחם אבירים")</f>
        <v>לחם אבירים</v>
      </c>
    </row>
    <row r="20059" spans="1:6" x14ac:dyDescent="0.2">
      <c r="A20059" t="s">
        <v>32640</v>
      </c>
      <c r="B20059" t="s">
        <v>32643</v>
      </c>
      <c r="C20059" t="s">
        <v>168</v>
      </c>
      <c r="D20059" t="s">
        <v>14</v>
      </c>
      <c r="E20059" t="s">
        <v>399</v>
      </c>
      <c r="F20059" s="2" t="str">
        <f>HYPERLINK("http://www.otzar.org/book.asp?154462","לחם אבירים")</f>
        <v>לחם אבירים</v>
      </c>
    </row>
    <row r="20060" spans="1:6" x14ac:dyDescent="0.2">
      <c r="A20060" t="s">
        <v>32640</v>
      </c>
      <c r="B20060" t="s">
        <v>32644</v>
      </c>
      <c r="C20060" t="s">
        <v>176</v>
      </c>
      <c r="D20060" t="s">
        <v>14</v>
      </c>
      <c r="E20060" t="s">
        <v>158</v>
      </c>
      <c r="F20060" s="2" t="str">
        <f>HYPERLINK("http://www.otzar.org/book.asp?154822","לחם אבירים")</f>
        <v>לחם אבירים</v>
      </c>
    </row>
    <row r="20061" spans="1:6" x14ac:dyDescent="0.2">
      <c r="A20061" t="s">
        <v>32645</v>
      </c>
      <c r="B20061" t="s">
        <v>2443</v>
      </c>
      <c r="C20061" t="s">
        <v>244</v>
      </c>
      <c r="D20061" t="s">
        <v>52</v>
      </c>
      <c r="E20061" t="s">
        <v>130</v>
      </c>
      <c r="F20061" s="2" t="str">
        <f>HYPERLINK("http://www.otzar.org/book.asp?600674","לחם איש - לחם משנה")</f>
        <v>לחם איש - לחם משנה</v>
      </c>
    </row>
    <row r="20062" spans="1:6" x14ac:dyDescent="0.2">
      <c r="A20062" t="s">
        <v>32646</v>
      </c>
      <c r="B20062" t="s">
        <v>32647</v>
      </c>
      <c r="C20062" t="s">
        <v>87</v>
      </c>
      <c r="D20062" t="s">
        <v>14</v>
      </c>
      <c r="E20062" t="s">
        <v>158</v>
      </c>
      <c r="F20062" s="2" t="str">
        <f>HYPERLINK("http://www.otzar.org/book.asp?85792","לחם אשי &lt;מהדורה חדשה&gt; - 2 כר'")</f>
        <v>לחם אשי &lt;מהדורה חדשה&gt; - 2 כר'</v>
      </c>
    </row>
    <row r="20063" spans="1:6" x14ac:dyDescent="0.2">
      <c r="A20063" t="s">
        <v>32648</v>
      </c>
      <c r="B20063" t="s">
        <v>32647</v>
      </c>
      <c r="C20063" t="s">
        <v>390</v>
      </c>
      <c r="D20063" t="s">
        <v>139</v>
      </c>
      <c r="E20063" t="s">
        <v>32649</v>
      </c>
      <c r="F20063" s="2" t="str">
        <f>HYPERLINK("http://www.otzar.org/book.asp?7729","לחם אשי - בראשית")</f>
        <v>לחם אשי - בראשית</v>
      </c>
    </row>
    <row r="20064" spans="1:6" x14ac:dyDescent="0.2">
      <c r="A20064" t="s">
        <v>32650</v>
      </c>
      <c r="B20064" t="s">
        <v>25933</v>
      </c>
      <c r="C20064" t="s">
        <v>609</v>
      </c>
      <c r="D20064" t="s">
        <v>100</v>
      </c>
      <c r="E20064" t="s">
        <v>158</v>
      </c>
      <c r="F20064" s="2" t="str">
        <f>HYPERLINK("http://www.otzar.org/book.asp?24704","לחם אשר - 2 כר'")</f>
        <v>לחם אשר - 2 כר'</v>
      </c>
    </row>
    <row r="20065" spans="1:6" x14ac:dyDescent="0.2">
      <c r="A20065" t="s">
        <v>32651</v>
      </c>
      <c r="B20065" t="s">
        <v>32652</v>
      </c>
      <c r="C20065" t="s">
        <v>13</v>
      </c>
      <c r="D20065" t="s">
        <v>14</v>
      </c>
      <c r="E20065" t="s">
        <v>172</v>
      </c>
      <c r="F20065" s="2" t="str">
        <f>HYPERLINK("http://www.otzar.org/book.asp?149758","לחם בכורים")</f>
        <v>לחם בכורים</v>
      </c>
    </row>
    <row r="20066" spans="1:6" x14ac:dyDescent="0.2">
      <c r="A20066" t="s">
        <v>32653</v>
      </c>
      <c r="B20066" t="s">
        <v>1665</v>
      </c>
      <c r="C20066" t="s">
        <v>1058</v>
      </c>
      <c r="D20066" t="s">
        <v>307</v>
      </c>
      <c r="E20066" t="s">
        <v>158</v>
      </c>
      <c r="F20066" s="2" t="str">
        <f>HYPERLINK("http://www.otzar.org/book.asp?140984","לחם דמעה")</f>
        <v>לחם דמעה</v>
      </c>
    </row>
    <row r="20067" spans="1:6" x14ac:dyDescent="0.2">
      <c r="A20067" t="s">
        <v>32654</v>
      </c>
      <c r="B20067" t="s">
        <v>5967</v>
      </c>
      <c r="C20067" t="s">
        <v>433</v>
      </c>
      <c r="D20067" t="s">
        <v>27</v>
      </c>
      <c r="E20067" t="s">
        <v>606</v>
      </c>
      <c r="F20067" s="2" t="str">
        <f>HYPERLINK("http://www.otzar.org/book.asp?19431","לחם הארץ")</f>
        <v>לחם הארץ</v>
      </c>
    </row>
    <row r="20068" spans="1:6" x14ac:dyDescent="0.2">
      <c r="A20068" t="s">
        <v>32655</v>
      </c>
      <c r="B20068" t="s">
        <v>24736</v>
      </c>
      <c r="C20068" t="s">
        <v>32656</v>
      </c>
      <c r="D20068" t="s">
        <v>212</v>
      </c>
      <c r="E20068" t="s">
        <v>579</v>
      </c>
      <c r="F20068" s="2" t="str">
        <f>HYPERLINK("http://www.otzar.org/book.asp?18975","לחם הבכורים")</f>
        <v>לחם הבכורים</v>
      </c>
    </row>
    <row r="20069" spans="1:6" x14ac:dyDescent="0.2">
      <c r="A20069" t="s">
        <v>32657</v>
      </c>
      <c r="B20069" t="s">
        <v>9924</v>
      </c>
      <c r="C20069" t="s">
        <v>129</v>
      </c>
      <c r="D20069" t="s">
        <v>1180</v>
      </c>
      <c r="E20069" t="s">
        <v>467</v>
      </c>
      <c r="F20069" s="2" t="str">
        <f>HYPERLINK("http://www.otzar.org/book.asp?180184","לחם הפנים &lt;מהדורה חדשה&gt;")</f>
        <v>לחם הפנים &lt;מהדורה חדשה&gt;</v>
      </c>
    </row>
    <row r="20070" spans="1:6" x14ac:dyDescent="0.2">
      <c r="A20070" t="s">
        <v>32658</v>
      </c>
      <c r="B20070" t="s">
        <v>686</v>
      </c>
      <c r="C20070" t="s">
        <v>411</v>
      </c>
      <c r="D20070" t="s">
        <v>52</v>
      </c>
      <c r="E20070" t="s">
        <v>104</v>
      </c>
      <c r="F20070" s="2" t="str">
        <f>HYPERLINK("http://www.otzar.org/book.asp?166186","לחם הפנים")</f>
        <v>לחם הפנים</v>
      </c>
    </row>
    <row r="20071" spans="1:6" x14ac:dyDescent="0.2">
      <c r="A20071" t="s">
        <v>32658</v>
      </c>
      <c r="B20071" t="s">
        <v>9924</v>
      </c>
      <c r="C20071" t="s">
        <v>10572</v>
      </c>
      <c r="D20071" t="s">
        <v>76</v>
      </c>
      <c r="E20071" t="s">
        <v>246</v>
      </c>
      <c r="F20071" s="2" t="str">
        <f>HYPERLINK("http://www.otzar.org/book.asp?51520","לחם הפנים")</f>
        <v>לחם הפנים</v>
      </c>
    </row>
    <row r="20072" spans="1:6" x14ac:dyDescent="0.2">
      <c r="A20072" t="s">
        <v>32659</v>
      </c>
      <c r="B20072" t="s">
        <v>27197</v>
      </c>
      <c r="C20072" t="s">
        <v>2269</v>
      </c>
      <c r="D20072" t="s">
        <v>4227</v>
      </c>
      <c r="E20072" t="s">
        <v>172</v>
      </c>
      <c r="F20072" s="2" t="str">
        <f>HYPERLINK("http://www.otzar.org/book.asp?101320","לחם הפנים - 4 כר'")</f>
        <v>לחם הפנים - 4 כר'</v>
      </c>
    </row>
    <row r="20073" spans="1:6" x14ac:dyDescent="0.2">
      <c r="A20073" t="s">
        <v>32658</v>
      </c>
      <c r="B20073" t="s">
        <v>3614</v>
      </c>
      <c r="C20073" t="s">
        <v>32660</v>
      </c>
      <c r="D20073" t="s">
        <v>14</v>
      </c>
      <c r="E20073" t="s">
        <v>4656</v>
      </c>
      <c r="F20073" s="2" t="str">
        <f>HYPERLINK("http://www.otzar.org/book.asp?10767","לחם הפנים")</f>
        <v>לחם הפנים</v>
      </c>
    </row>
    <row r="20074" spans="1:6" x14ac:dyDescent="0.2">
      <c r="A20074" t="s">
        <v>32658</v>
      </c>
      <c r="B20074" t="s">
        <v>23034</v>
      </c>
      <c r="C20074" t="s">
        <v>133</v>
      </c>
      <c r="D20074" t="s">
        <v>21</v>
      </c>
      <c r="E20074" t="s">
        <v>104</v>
      </c>
      <c r="F20074" s="2" t="str">
        <f>HYPERLINK("http://www.otzar.org/book.asp?626414","לחם הפנים")</f>
        <v>לחם הפנים</v>
      </c>
    </row>
    <row r="20075" spans="1:6" x14ac:dyDescent="0.2">
      <c r="A20075" t="s">
        <v>32661</v>
      </c>
      <c r="B20075" t="s">
        <v>32662</v>
      </c>
      <c r="C20075" t="s">
        <v>454</v>
      </c>
      <c r="D20075" t="s">
        <v>14</v>
      </c>
      <c r="E20075" t="s">
        <v>104</v>
      </c>
      <c r="F20075" s="2" t="str">
        <f>HYPERLINK("http://www.otzar.org/book.asp?168693","לחם התמיד גביעי זהב")</f>
        <v>לחם התמיד גביעי זהב</v>
      </c>
    </row>
    <row r="20076" spans="1:6" x14ac:dyDescent="0.2">
      <c r="A20076" t="s">
        <v>32663</v>
      </c>
      <c r="B20076" t="s">
        <v>2528</v>
      </c>
      <c r="C20076" t="s">
        <v>146</v>
      </c>
      <c r="D20076" t="s">
        <v>52</v>
      </c>
      <c r="F20076" s="2" t="str">
        <f>HYPERLINK("http://www.otzar.org/book.asp?632587","לחם ושמלה &lt;מהדורה חדשה&gt;")</f>
        <v>לחם ושמלה &lt;מהדורה חדשה&gt;</v>
      </c>
    </row>
    <row r="20077" spans="1:6" x14ac:dyDescent="0.2">
      <c r="A20077" t="s">
        <v>32664</v>
      </c>
      <c r="B20077" t="s">
        <v>898</v>
      </c>
      <c r="C20077" t="s">
        <v>32665</v>
      </c>
      <c r="D20077" t="s">
        <v>56</v>
      </c>
      <c r="E20077" t="s">
        <v>158</v>
      </c>
      <c r="F20077" s="2" t="str">
        <f>HYPERLINK("http://www.otzar.org/book.asp?472","לחם ושמלה")</f>
        <v>לחם ושמלה</v>
      </c>
    </row>
    <row r="20078" spans="1:6" x14ac:dyDescent="0.2">
      <c r="A20078" t="s">
        <v>32666</v>
      </c>
      <c r="B20078" t="s">
        <v>2528</v>
      </c>
      <c r="C20078" t="s">
        <v>462</v>
      </c>
      <c r="D20078" t="s">
        <v>10985</v>
      </c>
      <c r="E20078" t="s">
        <v>148</v>
      </c>
      <c r="F20078" s="2" t="str">
        <f>HYPERLINK("http://www.otzar.org/book.asp?106228","לחם ושמלה - 2 כר'")</f>
        <v>לחם ושמלה - 2 כר'</v>
      </c>
    </row>
    <row r="20079" spans="1:6" x14ac:dyDescent="0.2">
      <c r="A20079" t="s">
        <v>32667</v>
      </c>
      <c r="B20079" t="s">
        <v>30092</v>
      </c>
      <c r="C20079" t="s">
        <v>422</v>
      </c>
      <c r="D20079" t="s">
        <v>412</v>
      </c>
      <c r="E20079" t="s">
        <v>158</v>
      </c>
      <c r="F20079" s="2" t="str">
        <f>HYPERLINK("http://www.otzar.org/book.asp?150466","לחם חקי")</f>
        <v>לחם חקי</v>
      </c>
    </row>
    <row r="20080" spans="1:6" x14ac:dyDescent="0.2">
      <c r="A20080" t="s">
        <v>32667</v>
      </c>
      <c r="B20080" t="s">
        <v>686</v>
      </c>
      <c r="C20080" t="s">
        <v>13</v>
      </c>
      <c r="D20080" t="s">
        <v>52</v>
      </c>
      <c r="E20080" t="s">
        <v>104</v>
      </c>
      <c r="F20080" s="2" t="str">
        <f>HYPERLINK("http://www.otzar.org/book.asp?61413","לחם חקי")</f>
        <v>לחם חקי</v>
      </c>
    </row>
    <row r="20081" spans="1:6" x14ac:dyDescent="0.2">
      <c r="A20081" t="s">
        <v>32668</v>
      </c>
      <c r="B20081" t="s">
        <v>5262</v>
      </c>
      <c r="C20081" t="s">
        <v>168</v>
      </c>
      <c r="D20081" t="s">
        <v>412</v>
      </c>
      <c r="F20081" s="2" t="str">
        <f>HYPERLINK("http://www.otzar.org/book.asp?153322","לחם חקי - 2 כר'")</f>
        <v>לחם חקי - 2 כר'</v>
      </c>
    </row>
    <row r="20082" spans="1:6" x14ac:dyDescent="0.2">
      <c r="A20082" t="s">
        <v>32669</v>
      </c>
      <c r="B20082" t="s">
        <v>32670</v>
      </c>
      <c r="C20082" t="s">
        <v>32671</v>
      </c>
      <c r="D20082" t="s">
        <v>19871</v>
      </c>
      <c r="E20082" t="s">
        <v>84</v>
      </c>
      <c r="F20082" s="2" t="str">
        <f>HYPERLINK("http://www.otzar.org/book.asp?141214","לחם יהודה &lt;ר' יהודה לירמה&gt;")</f>
        <v>לחם יהודה &lt;ר' יהודה לירמה&gt;</v>
      </c>
    </row>
    <row r="20083" spans="1:6" x14ac:dyDescent="0.2">
      <c r="A20083" t="s">
        <v>32672</v>
      </c>
      <c r="B20083" t="s">
        <v>32673</v>
      </c>
      <c r="C20083" t="s">
        <v>1725</v>
      </c>
      <c r="D20083" t="s">
        <v>1490</v>
      </c>
      <c r="E20083" t="s">
        <v>1626</v>
      </c>
      <c r="F20083" s="2" t="str">
        <f>HYPERLINK("http://www.otzar.org/book.asp?146908","לחם יהודה - 2 כר'")</f>
        <v>לחם יהודה - 2 כר'</v>
      </c>
    </row>
    <row r="20084" spans="1:6" x14ac:dyDescent="0.2">
      <c r="A20084" t="s">
        <v>32672</v>
      </c>
      <c r="B20084" t="s">
        <v>10154</v>
      </c>
      <c r="C20084" t="s">
        <v>4351</v>
      </c>
      <c r="D20084" t="s">
        <v>212</v>
      </c>
      <c r="E20084" t="s">
        <v>15</v>
      </c>
      <c r="F20084" s="2" t="str">
        <f>HYPERLINK("http://www.otzar.org/book.asp?101321","לחם יהודה - 2 כר'")</f>
        <v>לחם יהודה - 2 כר'</v>
      </c>
    </row>
    <row r="20085" spans="1:6" x14ac:dyDescent="0.2">
      <c r="A20085" t="s">
        <v>32674</v>
      </c>
      <c r="B20085" t="s">
        <v>32675</v>
      </c>
      <c r="C20085" t="s">
        <v>1470</v>
      </c>
      <c r="D20085" t="s">
        <v>1889</v>
      </c>
      <c r="E20085" t="s">
        <v>104</v>
      </c>
      <c r="F20085" s="2" t="str">
        <f>HYPERLINK("http://www.otzar.org/book.asp?168226","לחם לפי הטף - 2 כר'")</f>
        <v>לחם לפי הטף - 2 כר'</v>
      </c>
    </row>
    <row r="20086" spans="1:6" x14ac:dyDescent="0.2">
      <c r="A20086" t="s">
        <v>32676</v>
      </c>
      <c r="B20086" t="s">
        <v>1308</v>
      </c>
      <c r="C20086" t="s">
        <v>775</v>
      </c>
      <c r="D20086" t="s">
        <v>14</v>
      </c>
      <c r="E20086" t="s">
        <v>474</v>
      </c>
      <c r="F20086" s="2" t="str">
        <f>HYPERLINK("http://www.otzar.org/book.asp?83864","לחם מן השמים")</f>
        <v>לחם מן השמים</v>
      </c>
    </row>
    <row r="20087" spans="1:6" x14ac:dyDescent="0.2">
      <c r="A20087" t="s">
        <v>32677</v>
      </c>
      <c r="B20087" t="s">
        <v>23806</v>
      </c>
      <c r="C20087" t="s">
        <v>32678</v>
      </c>
      <c r="D20087" t="s">
        <v>212</v>
      </c>
      <c r="E20087" t="s">
        <v>2388</v>
      </c>
      <c r="F20087" s="2" t="str">
        <f>HYPERLINK("http://www.otzar.org/book.asp?14724","לחם מן השמים - 2 כר'")</f>
        <v>לחם מן השמים - 2 כר'</v>
      </c>
    </row>
    <row r="20088" spans="1:6" x14ac:dyDescent="0.2">
      <c r="A20088" t="s">
        <v>32676</v>
      </c>
      <c r="B20088" t="s">
        <v>23047</v>
      </c>
      <c r="C20088" t="s">
        <v>1228</v>
      </c>
      <c r="D20088" t="s">
        <v>379</v>
      </c>
      <c r="E20088" t="s">
        <v>399</v>
      </c>
      <c r="F20088" s="2" t="str">
        <f>HYPERLINK("http://www.otzar.org/book.asp?105842","לחם מן השמים")</f>
        <v>לחם מן השמים</v>
      </c>
    </row>
    <row r="20089" spans="1:6" x14ac:dyDescent="0.2">
      <c r="A20089" t="s">
        <v>32679</v>
      </c>
      <c r="B20089" t="s">
        <v>32680</v>
      </c>
      <c r="C20089" t="s">
        <v>32681</v>
      </c>
      <c r="D20089" t="s">
        <v>726</v>
      </c>
      <c r="E20089" t="s">
        <v>84</v>
      </c>
      <c r="F20089" s="2" t="str">
        <f>HYPERLINK("http://www.otzar.org/book.asp?62153","לחם משנה על מסכת אבות")</f>
        <v>לחם משנה על מסכת אבות</v>
      </c>
    </row>
    <row r="20090" spans="1:6" x14ac:dyDescent="0.2">
      <c r="A20090" t="s">
        <v>32682</v>
      </c>
      <c r="B20090" t="s">
        <v>32683</v>
      </c>
      <c r="C20090" t="s">
        <v>32684</v>
      </c>
      <c r="D20090" t="s">
        <v>1023</v>
      </c>
      <c r="E20090" t="s">
        <v>15</v>
      </c>
      <c r="F20090" s="2" t="str">
        <f>HYPERLINK("http://www.otzar.org/book.asp?104387","לחם משנה - 2 כר'")</f>
        <v>לחם משנה - 2 כר'</v>
      </c>
    </row>
    <row r="20091" spans="1:6" x14ac:dyDescent="0.2">
      <c r="A20091" t="s">
        <v>32685</v>
      </c>
      <c r="B20091" t="s">
        <v>32680</v>
      </c>
      <c r="C20091" t="s">
        <v>30373</v>
      </c>
      <c r="D20091" t="s">
        <v>1117</v>
      </c>
      <c r="E20091" t="s">
        <v>32686</v>
      </c>
      <c r="F20091" s="2" t="str">
        <f>HYPERLINK("http://www.otzar.org/book.asp?147265","לחם משנה - 5 כר'")</f>
        <v>לחם משנה - 5 כר'</v>
      </c>
    </row>
    <row r="20092" spans="1:6" x14ac:dyDescent="0.2">
      <c r="A20092" t="s">
        <v>32687</v>
      </c>
      <c r="B20092" t="s">
        <v>2023</v>
      </c>
      <c r="C20092" t="s">
        <v>1981</v>
      </c>
      <c r="D20092" t="s">
        <v>32688</v>
      </c>
      <c r="E20092" t="s">
        <v>9557</v>
      </c>
      <c r="F20092" s="2" t="str">
        <f>HYPERLINK("http://www.otzar.org/book.asp?144875","לחם סתרים - 3 כר'")</f>
        <v>לחם סתרים - 3 כר'</v>
      </c>
    </row>
    <row r="20093" spans="1:6" x14ac:dyDescent="0.2">
      <c r="A20093" t="s">
        <v>32687</v>
      </c>
      <c r="B20093" t="s">
        <v>32689</v>
      </c>
      <c r="C20093" t="s">
        <v>313</v>
      </c>
      <c r="D20093" t="s">
        <v>14</v>
      </c>
      <c r="E20093" t="s">
        <v>158</v>
      </c>
      <c r="F20093" s="2" t="str">
        <f>HYPERLINK("http://www.otzar.org/book.asp?63063","לחם סתרים - 3 כר'")</f>
        <v>לחם סתרים - 3 כר'</v>
      </c>
    </row>
    <row r="20094" spans="1:6" x14ac:dyDescent="0.2">
      <c r="A20094" t="s">
        <v>32690</v>
      </c>
      <c r="B20094" t="s">
        <v>32691</v>
      </c>
      <c r="C20094" t="s">
        <v>5334</v>
      </c>
      <c r="D20094" t="s">
        <v>563</v>
      </c>
      <c r="E20094" t="s">
        <v>246</v>
      </c>
      <c r="F20094" s="2" t="str">
        <f>HYPERLINK("http://www.otzar.org/book.asp?51522","לחם עוני")</f>
        <v>לחם עוני</v>
      </c>
    </row>
    <row r="20095" spans="1:6" x14ac:dyDescent="0.2">
      <c r="A20095" t="s">
        <v>32690</v>
      </c>
      <c r="B20095" t="s">
        <v>6858</v>
      </c>
      <c r="C20095" t="s">
        <v>462</v>
      </c>
      <c r="D20095" t="s">
        <v>4269</v>
      </c>
      <c r="E20095" t="s">
        <v>104</v>
      </c>
      <c r="F20095" s="2" t="str">
        <f>HYPERLINK("http://www.otzar.org/book.asp?102170","לחם עוני")</f>
        <v>לחם עוני</v>
      </c>
    </row>
    <row r="20096" spans="1:6" x14ac:dyDescent="0.2">
      <c r="A20096" t="s">
        <v>32692</v>
      </c>
      <c r="B20096" t="s">
        <v>32693</v>
      </c>
      <c r="C20096" t="s">
        <v>20</v>
      </c>
      <c r="D20096" t="s">
        <v>14</v>
      </c>
      <c r="E20096" t="s">
        <v>32694</v>
      </c>
      <c r="F20096" s="2" t="str">
        <f>HYPERLINK("http://www.otzar.org/book.asp?174018","לחם עני - דברות שלמה יהודה")</f>
        <v>לחם עני - דברות שלמה יהודה</v>
      </c>
    </row>
    <row r="20097" spans="1:6" x14ac:dyDescent="0.2">
      <c r="A20097" t="s">
        <v>32695</v>
      </c>
      <c r="B20097" t="s">
        <v>32696</v>
      </c>
      <c r="C20097" t="s">
        <v>454</v>
      </c>
      <c r="D20097" t="s">
        <v>14</v>
      </c>
      <c r="E20097" t="s">
        <v>84</v>
      </c>
      <c r="F20097" s="2" t="str">
        <f>HYPERLINK("http://www.otzar.org/book.asp?149510","לחם עני")</f>
        <v>לחם עני</v>
      </c>
    </row>
    <row r="20098" spans="1:6" x14ac:dyDescent="0.2">
      <c r="A20098" t="s">
        <v>32697</v>
      </c>
      <c r="B20098" t="s">
        <v>12183</v>
      </c>
      <c r="C20098" t="s">
        <v>12184</v>
      </c>
      <c r="D20098" t="s">
        <v>56</v>
      </c>
      <c r="F20098" s="2" t="str">
        <f>HYPERLINK("http://www.otzar.org/book.asp?28563","לחם ערב (מתוך ברכת אברהם)")</f>
        <v>לחם ערב (מתוך ברכת אברהם)</v>
      </c>
    </row>
    <row r="20099" spans="1:6" x14ac:dyDescent="0.2">
      <c r="A20099" t="s">
        <v>32698</v>
      </c>
      <c r="B20099" t="s">
        <v>25534</v>
      </c>
      <c r="C20099" t="s">
        <v>1570</v>
      </c>
      <c r="D20099" t="s">
        <v>14</v>
      </c>
      <c r="E20099" t="s">
        <v>219</v>
      </c>
      <c r="F20099" s="2" t="str">
        <f>HYPERLINK("http://www.otzar.org/book.asp?144595","לחם רב השלם")</f>
        <v>לחם רב השלם</v>
      </c>
    </row>
    <row r="20100" spans="1:6" x14ac:dyDescent="0.2">
      <c r="A20100" t="s">
        <v>32699</v>
      </c>
      <c r="B20100" t="s">
        <v>32683</v>
      </c>
      <c r="C20100" t="s">
        <v>1718</v>
      </c>
      <c r="D20100" t="s">
        <v>1117</v>
      </c>
      <c r="E20100" t="s">
        <v>154</v>
      </c>
      <c r="F20100" s="2" t="str">
        <f>HYPERLINK("http://www.otzar.org/book.asp?101301","לחם רב")</f>
        <v>לחם רב</v>
      </c>
    </row>
    <row r="20101" spans="1:6" x14ac:dyDescent="0.2">
      <c r="A20101" t="s">
        <v>32700</v>
      </c>
      <c r="B20101" t="s">
        <v>32701</v>
      </c>
      <c r="C20101" t="s">
        <v>1650</v>
      </c>
      <c r="D20101" t="s">
        <v>32702</v>
      </c>
      <c r="E20101" t="s">
        <v>219</v>
      </c>
      <c r="F20101" s="2" t="str">
        <f>HYPERLINK("http://www.otzar.org/book.asp?102255","לחם רב - 2 כר'")</f>
        <v>לחם רב - 2 כר'</v>
      </c>
    </row>
    <row r="20102" spans="1:6" x14ac:dyDescent="0.2">
      <c r="A20102" t="s">
        <v>32700</v>
      </c>
      <c r="B20102" t="s">
        <v>25534</v>
      </c>
      <c r="C20102" t="s">
        <v>114</v>
      </c>
      <c r="D20102" t="s">
        <v>14</v>
      </c>
      <c r="E20102" t="s">
        <v>219</v>
      </c>
      <c r="F20102" s="2" t="str">
        <f>HYPERLINK("http://www.otzar.org/book.asp?165366","לחם רב - 2 כר'")</f>
        <v>לחם רב - 2 כר'</v>
      </c>
    </row>
    <row r="20103" spans="1:6" x14ac:dyDescent="0.2">
      <c r="A20103" t="s">
        <v>32699</v>
      </c>
      <c r="B20103" t="s">
        <v>32703</v>
      </c>
      <c r="C20103" t="s">
        <v>7367</v>
      </c>
      <c r="D20103" t="s">
        <v>744</v>
      </c>
      <c r="E20103" t="s">
        <v>172</v>
      </c>
      <c r="F20103" s="2" t="str">
        <f>HYPERLINK("http://www.otzar.org/book.asp?12913","לחם רב")</f>
        <v>לחם רב</v>
      </c>
    </row>
    <row r="20104" spans="1:6" x14ac:dyDescent="0.2">
      <c r="A20104" t="s">
        <v>32704</v>
      </c>
      <c r="B20104" t="s">
        <v>9944</v>
      </c>
      <c r="C20104" t="s">
        <v>1388</v>
      </c>
      <c r="D20104" t="s">
        <v>14</v>
      </c>
      <c r="E20104" t="s">
        <v>424</v>
      </c>
      <c r="F20104" s="2" t="str">
        <f>HYPERLINK("http://www.otzar.org/book.asp?152451","לחם שלמה &lt;מכון הכתב&gt;")</f>
        <v>לחם שלמה &lt;מכון הכתב&gt;</v>
      </c>
    </row>
    <row r="20105" spans="1:6" x14ac:dyDescent="0.2">
      <c r="A20105" t="s">
        <v>32705</v>
      </c>
      <c r="B20105" t="s">
        <v>578</v>
      </c>
      <c r="C20105" t="s">
        <v>3789</v>
      </c>
      <c r="D20105" t="s">
        <v>8316</v>
      </c>
      <c r="E20105" t="s">
        <v>154</v>
      </c>
      <c r="F20105" s="2" t="str">
        <f>HYPERLINK("http://www.otzar.org/book.asp?11120","לחם שלמה - 5 כר'")</f>
        <v>לחם שלמה - 5 כר'</v>
      </c>
    </row>
    <row r="20106" spans="1:6" x14ac:dyDescent="0.2">
      <c r="A20106" t="s">
        <v>32706</v>
      </c>
      <c r="B20106" t="s">
        <v>32707</v>
      </c>
      <c r="C20106" t="s">
        <v>3957</v>
      </c>
      <c r="D20106" t="s">
        <v>76</v>
      </c>
      <c r="E20106" t="s">
        <v>144</v>
      </c>
      <c r="F20106" s="2" t="str">
        <f>HYPERLINK("http://www.otzar.org/book.asp?101289","לחם שלמה")</f>
        <v>לחם שלמה</v>
      </c>
    </row>
    <row r="20107" spans="1:6" x14ac:dyDescent="0.2">
      <c r="A20107" t="s">
        <v>32706</v>
      </c>
      <c r="B20107" t="s">
        <v>15083</v>
      </c>
      <c r="C20107" t="s">
        <v>1666</v>
      </c>
      <c r="D20107" t="s">
        <v>49</v>
      </c>
      <c r="E20107" t="s">
        <v>564</v>
      </c>
      <c r="F20107" s="2" t="str">
        <f>HYPERLINK("http://www.otzar.org/book.asp?24707","לחם שלמה")</f>
        <v>לחם שלמה</v>
      </c>
    </row>
    <row r="20108" spans="1:6" x14ac:dyDescent="0.2">
      <c r="A20108" t="s">
        <v>32706</v>
      </c>
      <c r="B20108" t="s">
        <v>22351</v>
      </c>
      <c r="C20108" t="s">
        <v>558</v>
      </c>
      <c r="D20108" t="s">
        <v>32708</v>
      </c>
      <c r="E20108" t="s">
        <v>140</v>
      </c>
      <c r="F20108" s="2" t="str">
        <f>HYPERLINK("http://www.otzar.org/book.asp?100733","לחם שלמה")</f>
        <v>לחם שלמה</v>
      </c>
    </row>
    <row r="20109" spans="1:6" x14ac:dyDescent="0.2">
      <c r="A20109" t="s">
        <v>32709</v>
      </c>
      <c r="B20109" t="s">
        <v>1417</v>
      </c>
      <c r="C20109" t="s">
        <v>32710</v>
      </c>
      <c r="D20109" t="s">
        <v>12235</v>
      </c>
      <c r="E20109" t="s">
        <v>84</v>
      </c>
      <c r="F20109" s="2" t="str">
        <f>HYPERLINK("http://www.otzar.org/book.asp?101319","לחם שמים - 6 כר'")</f>
        <v>לחם שמים - 6 כר'</v>
      </c>
    </row>
    <row r="20110" spans="1:6" x14ac:dyDescent="0.2">
      <c r="A20110" t="s">
        <v>32711</v>
      </c>
      <c r="B20110" t="s">
        <v>4785</v>
      </c>
      <c r="C20110" t="s">
        <v>111</v>
      </c>
      <c r="D20110" t="s">
        <v>52</v>
      </c>
      <c r="F20110" s="2" t="str">
        <f>HYPERLINK("http://www.otzar.org/book.asp?632025","לחם שמן")</f>
        <v>לחם שמן</v>
      </c>
    </row>
    <row r="20111" spans="1:6" x14ac:dyDescent="0.2">
      <c r="A20111" t="s">
        <v>32712</v>
      </c>
      <c r="B20111" t="s">
        <v>32713</v>
      </c>
      <c r="C20111" t="s">
        <v>438</v>
      </c>
      <c r="D20111" t="s">
        <v>412</v>
      </c>
      <c r="E20111" t="s">
        <v>158</v>
      </c>
      <c r="F20111" s="2" t="str">
        <f>HYPERLINK("http://www.otzar.org/book.asp?160275","לחם שמנה")</f>
        <v>לחם שמנה</v>
      </c>
    </row>
    <row r="20112" spans="1:6" x14ac:dyDescent="0.2">
      <c r="A20112" t="s">
        <v>32714</v>
      </c>
      <c r="B20112" t="s">
        <v>32715</v>
      </c>
      <c r="C20112" t="s">
        <v>462</v>
      </c>
      <c r="D20112" t="s">
        <v>27</v>
      </c>
      <c r="E20112" t="s">
        <v>154</v>
      </c>
      <c r="F20112" s="2" t="str">
        <f>HYPERLINK("http://www.otzar.org/book.asp?894","לחם שערים")</f>
        <v>לחם שערים</v>
      </c>
    </row>
    <row r="20113" spans="1:6" x14ac:dyDescent="0.2">
      <c r="A20113" t="s">
        <v>32714</v>
      </c>
      <c r="B20113" t="s">
        <v>32716</v>
      </c>
      <c r="C20113" t="s">
        <v>11298</v>
      </c>
      <c r="D20113" t="s">
        <v>14432</v>
      </c>
      <c r="E20113" t="s">
        <v>15</v>
      </c>
      <c r="F20113" s="2" t="str">
        <f>HYPERLINK("http://www.otzar.org/book.asp?197064","לחם שערים")</f>
        <v>לחם שערים</v>
      </c>
    </row>
    <row r="20114" spans="1:6" x14ac:dyDescent="0.2">
      <c r="A20114" t="s">
        <v>32717</v>
      </c>
      <c r="B20114" t="s">
        <v>8070</v>
      </c>
      <c r="C20114" t="s">
        <v>111</v>
      </c>
      <c r="D20114" t="s">
        <v>152</v>
      </c>
      <c r="E20114" t="s">
        <v>104</v>
      </c>
      <c r="F20114" s="2" t="str">
        <f>HYPERLINK("http://www.otzar.org/book.asp?630282","לחם תנופה")</f>
        <v>לחם תנופה</v>
      </c>
    </row>
    <row r="20115" spans="1:6" x14ac:dyDescent="0.2">
      <c r="A20115" t="s">
        <v>32718</v>
      </c>
      <c r="B20115" t="s">
        <v>32719</v>
      </c>
      <c r="C20115" t="s">
        <v>1219</v>
      </c>
      <c r="D20115" t="s">
        <v>2303</v>
      </c>
      <c r="E20115" t="s">
        <v>6300</v>
      </c>
      <c r="F20115" s="2" t="str">
        <f>HYPERLINK("http://www.otzar.org/book.asp?100845","לחם תרומה")</f>
        <v>לחם תרומה</v>
      </c>
    </row>
    <row r="20116" spans="1:6" x14ac:dyDescent="0.2">
      <c r="A20116" t="s">
        <v>32720</v>
      </c>
      <c r="B20116" t="s">
        <v>2663</v>
      </c>
      <c r="C20116" t="s">
        <v>37</v>
      </c>
      <c r="D20116" t="s">
        <v>412</v>
      </c>
      <c r="E20116" t="s">
        <v>202</v>
      </c>
      <c r="F20116" s="2" t="str">
        <f>HYPERLINK("http://www.otzar.org/book.asp?177060","לחמה של תורה")</f>
        <v>לחמה של תורה</v>
      </c>
    </row>
    <row r="20117" spans="1:6" x14ac:dyDescent="0.2">
      <c r="A20117" t="s">
        <v>32721</v>
      </c>
      <c r="B20117" t="s">
        <v>32722</v>
      </c>
      <c r="C20117" t="s">
        <v>114</v>
      </c>
      <c r="D20117" t="s">
        <v>2798</v>
      </c>
      <c r="E20117" t="s">
        <v>15</v>
      </c>
      <c r="F20117" s="2" t="str">
        <f>HYPERLINK("http://www.otzar.org/book.asp?622264","לחמי אבירים - הלכות נדה")</f>
        <v>לחמי אבירים - הלכות נדה</v>
      </c>
    </row>
    <row r="20118" spans="1:6" x14ac:dyDescent="0.2">
      <c r="A20118" t="s">
        <v>32723</v>
      </c>
      <c r="B20118" t="s">
        <v>4898</v>
      </c>
      <c r="C20118" t="s">
        <v>133</v>
      </c>
      <c r="D20118" t="s">
        <v>412</v>
      </c>
      <c r="E20118" t="s">
        <v>15</v>
      </c>
      <c r="F20118" s="2" t="str">
        <f>HYPERLINK("http://www.otzar.org/book.asp?198323","לחמי ברכה - 2 כר'")</f>
        <v>לחמי ברכה - 2 כר'</v>
      </c>
    </row>
    <row r="20119" spans="1:6" x14ac:dyDescent="0.2">
      <c r="A20119" t="s">
        <v>32724</v>
      </c>
      <c r="B20119" t="s">
        <v>32724</v>
      </c>
      <c r="C20119" t="s">
        <v>624</v>
      </c>
      <c r="D20119" t="s">
        <v>14</v>
      </c>
      <c r="E20119" t="s">
        <v>144</v>
      </c>
      <c r="F20119" s="2" t="str">
        <f>HYPERLINK("http://www.otzar.org/book.asp?106064","לחמי פסחים")</f>
        <v>לחמי פסחים</v>
      </c>
    </row>
    <row r="20120" spans="1:6" x14ac:dyDescent="0.2">
      <c r="A20120" t="s">
        <v>32725</v>
      </c>
      <c r="B20120" t="s">
        <v>32726</v>
      </c>
      <c r="C20120" t="s">
        <v>3573</v>
      </c>
      <c r="D20120" t="s">
        <v>95</v>
      </c>
      <c r="E20120" t="s">
        <v>154</v>
      </c>
      <c r="F20120" s="2" t="str">
        <f>HYPERLINK("http://www.otzar.org/book.asp?10661","לחמי תודה")</f>
        <v>לחמי תודה</v>
      </c>
    </row>
    <row r="20121" spans="1:6" x14ac:dyDescent="0.2">
      <c r="A20121" t="s">
        <v>32727</v>
      </c>
      <c r="B20121" t="s">
        <v>24769</v>
      </c>
      <c r="C20121" t="s">
        <v>5826</v>
      </c>
      <c r="D20121" t="s">
        <v>7163</v>
      </c>
      <c r="E20121" t="s">
        <v>234</v>
      </c>
      <c r="F20121" s="2" t="str">
        <f>HYPERLINK("http://www.otzar.org/book.asp?101317","לחמי תודה - 2 כר'")</f>
        <v>לחמי תודה - 2 כר'</v>
      </c>
    </row>
    <row r="20122" spans="1:6" x14ac:dyDescent="0.2">
      <c r="A20122" t="s">
        <v>32728</v>
      </c>
      <c r="B20122" t="s">
        <v>22347</v>
      </c>
      <c r="C20122" t="s">
        <v>454</v>
      </c>
      <c r="D20122" t="s">
        <v>52</v>
      </c>
      <c r="E20122" t="s">
        <v>15</v>
      </c>
      <c r="F20122" s="2" t="str">
        <f>HYPERLINK("http://www.otzar.org/book.asp?161501","לחמניות מזונות")</f>
        <v>לחמניות מזונות</v>
      </c>
    </row>
    <row r="20123" spans="1:6" x14ac:dyDescent="0.2">
      <c r="A20123" t="s">
        <v>32729</v>
      </c>
      <c r="B20123" t="s">
        <v>32730</v>
      </c>
      <c r="C20123" t="s">
        <v>151</v>
      </c>
      <c r="D20123" t="s">
        <v>32731</v>
      </c>
      <c r="E20123" t="s">
        <v>219</v>
      </c>
      <c r="F20123" s="2" t="str">
        <f>HYPERLINK("http://www.otzar.org/book.asp?621943","לחן ולכבוד")</f>
        <v>לחן ולכבוד</v>
      </c>
    </row>
    <row r="20124" spans="1:6" x14ac:dyDescent="0.2">
      <c r="A20124" t="s">
        <v>32732</v>
      </c>
      <c r="B20124" t="s">
        <v>20387</v>
      </c>
      <c r="C20124" t="s">
        <v>286</v>
      </c>
      <c r="D20124" t="s">
        <v>27</v>
      </c>
      <c r="E20124" t="s">
        <v>104</v>
      </c>
      <c r="F20124" s="2" t="str">
        <f>HYPERLINK("http://www.otzar.org/book.asp?18978","לחסידים מזמור")</f>
        <v>לחסידים מזמור</v>
      </c>
    </row>
    <row r="20125" spans="1:6" x14ac:dyDescent="0.2">
      <c r="A20125" t="s">
        <v>32733</v>
      </c>
      <c r="B20125" t="s">
        <v>19756</v>
      </c>
      <c r="C20125" t="s">
        <v>843</v>
      </c>
      <c r="D20125" t="s">
        <v>260</v>
      </c>
      <c r="E20125" t="s">
        <v>32734</v>
      </c>
      <c r="F20125" s="2" t="str">
        <f>HYPERLINK("http://www.otzar.org/book.asp?15182","לחקר ביאורי הגר""א")</f>
        <v>לחקר ביאורי הגר"א</v>
      </c>
    </row>
    <row r="20126" spans="1:6" x14ac:dyDescent="0.2">
      <c r="A20126" t="s">
        <v>32735</v>
      </c>
      <c r="B20126" t="s">
        <v>32736</v>
      </c>
      <c r="C20126" t="s">
        <v>1246</v>
      </c>
      <c r="D20126" t="s">
        <v>9</v>
      </c>
      <c r="E20126" t="s">
        <v>1211</v>
      </c>
      <c r="F20126" s="2" t="str">
        <f>HYPERLINK("http://www.otzar.org/book.asp?15210","לחקר התלמוד")</f>
        <v>לחקר התלמוד</v>
      </c>
    </row>
    <row r="20127" spans="1:6" x14ac:dyDescent="0.2">
      <c r="A20127" t="s">
        <v>32737</v>
      </c>
      <c r="B20127" t="s">
        <v>32738</v>
      </c>
      <c r="C20127" t="s">
        <v>3106</v>
      </c>
      <c r="D20127" t="s">
        <v>27</v>
      </c>
      <c r="E20127" t="s">
        <v>119</v>
      </c>
      <c r="F20127" s="2" t="str">
        <f>HYPERLINK("http://www.otzar.org/book.asp?144550","לחקר משפחות - 2 כר'")</f>
        <v>לחקר משפחות - 2 כר'</v>
      </c>
    </row>
    <row r="20128" spans="1:6" x14ac:dyDescent="0.2">
      <c r="A20128" t="s">
        <v>32739</v>
      </c>
      <c r="B20128" t="s">
        <v>2900</v>
      </c>
      <c r="C20128" t="s">
        <v>609</v>
      </c>
      <c r="D20128" t="s">
        <v>1651</v>
      </c>
      <c r="E20128" t="s">
        <v>674</v>
      </c>
      <c r="F20128" s="2" t="str">
        <f>HYPERLINK("http://www.otzar.org/book.asp?103858","לחקר שאילתות רב אחאי גאון")</f>
        <v>לחקר שאילתות רב אחאי גאון</v>
      </c>
    </row>
    <row r="20129" spans="1:6" x14ac:dyDescent="0.2">
      <c r="A20129" t="s">
        <v>32740</v>
      </c>
      <c r="B20129" t="s">
        <v>3759</v>
      </c>
      <c r="C20129" t="s">
        <v>1663</v>
      </c>
      <c r="D20129" t="s">
        <v>27</v>
      </c>
      <c r="E20129" t="s">
        <v>1211</v>
      </c>
      <c r="F20129" s="2" t="str">
        <f>HYPERLINK("http://www.otzar.org/book.asp?5421","לחקר שמות וכינויים בתלמוד")</f>
        <v>לחקר שמות וכינויים בתלמוד</v>
      </c>
    </row>
    <row r="20130" spans="1:6" x14ac:dyDescent="0.2">
      <c r="A20130" t="s">
        <v>32741</v>
      </c>
      <c r="B20130" t="s">
        <v>32742</v>
      </c>
      <c r="C20130" t="s">
        <v>10994</v>
      </c>
      <c r="D20130" t="s">
        <v>280</v>
      </c>
      <c r="E20130" t="s">
        <v>15</v>
      </c>
      <c r="F20130" s="2" t="str">
        <f>HYPERLINK("http://www.otzar.org/book.asp?14656","לחקרי הלכות - 2 כר'")</f>
        <v>לחקרי הלכות - 2 כר'</v>
      </c>
    </row>
    <row r="20131" spans="1:6" x14ac:dyDescent="0.2">
      <c r="A20131" t="s">
        <v>32743</v>
      </c>
      <c r="B20131" t="s">
        <v>32744</v>
      </c>
      <c r="C20131" t="s">
        <v>124</v>
      </c>
      <c r="D20131" t="s">
        <v>216</v>
      </c>
      <c r="F20131" s="2" t="str">
        <f>HYPERLINK("http://www.otzar.org/book.asp?615243","לחש וקמע")</f>
        <v>לחש וקמע</v>
      </c>
    </row>
    <row r="20132" spans="1:6" x14ac:dyDescent="0.2">
      <c r="A20132" t="s">
        <v>32745</v>
      </c>
      <c r="B20132" t="s">
        <v>32746</v>
      </c>
      <c r="C20132" t="s">
        <v>51</v>
      </c>
      <c r="D20132" t="s">
        <v>32747</v>
      </c>
      <c r="E20132" t="s">
        <v>158</v>
      </c>
      <c r="F20132" s="2" t="str">
        <f>HYPERLINK("http://www.otzar.org/book.asp?604930","לחשוב מחשבות")</f>
        <v>לחשוב מחשבות</v>
      </c>
    </row>
    <row r="20133" spans="1:6" x14ac:dyDescent="0.2">
      <c r="A20133" t="s">
        <v>32748</v>
      </c>
      <c r="B20133" t="s">
        <v>14040</v>
      </c>
      <c r="C20133" t="s">
        <v>843</v>
      </c>
      <c r="D20133" t="s">
        <v>9</v>
      </c>
      <c r="E20133" t="s">
        <v>241</v>
      </c>
      <c r="F20133" s="2" t="str">
        <f>HYPERLINK("http://www.otzar.org/book.asp?51537","לי יהושיע, דבר בעתו")</f>
        <v>לי יהושיע, דבר בעתו</v>
      </c>
    </row>
    <row r="20134" spans="1:6" x14ac:dyDescent="0.2">
      <c r="A20134" t="s">
        <v>32749</v>
      </c>
      <c r="B20134" t="s">
        <v>98</v>
      </c>
      <c r="C20134" t="s">
        <v>1228</v>
      </c>
      <c r="D20134" t="s">
        <v>661</v>
      </c>
      <c r="E20134" t="s">
        <v>1211</v>
      </c>
      <c r="F20134" s="2" t="str">
        <f>HYPERLINK("http://www.otzar.org/book.asp?200203","ליבא בעי")</f>
        <v>ליבא בעי</v>
      </c>
    </row>
    <row r="20135" spans="1:6" x14ac:dyDescent="0.2">
      <c r="A20135" t="s">
        <v>32750</v>
      </c>
      <c r="B20135" t="s">
        <v>7485</v>
      </c>
      <c r="C20135" t="s">
        <v>366</v>
      </c>
      <c r="D20135" t="s">
        <v>14</v>
      </c>
      <c r="E20135" t="s">
        <v>15</v>
      </c>
      <c r="F20135" s="2" t="str">
        <f>HYPERLINK("http://www.otzar.org/book.asp?622123","ליבון הברכה")</f>
        <v>ליבון הברכה</v>
      </c>
    </row>
    <row r="20136" spans="1:6" x14ac:dyDescent="0.2">
      <c r="A20136" t="s">
        <v>32751</v>
      </c>
      <c r="B20136" t="s">
        <v>32752</v>
      </c>
      <c r="C20136" t="s">
        <v>17</v>
      </c>
      <c r="D20136" t="s">
        <v>14</v>
      </c>
      <c r="E20136" t="s">
        <v>148</v>
      </c>
      <c r="F20136" s="2" t="str">
        <f>HYPERLINK("http://www.otzar.org/book.asp?50592","ליבון הלכות - 2 כר'")</f>
        <v>ליבון הלכות - 2 כר'</v>
      </c>
    </row>
    <row r="20137" spans="1:6" x14ac:dyDescent="0.2">
      <c r="A20137" t="s">
        <v>32753</v>
      </c>
      <c r="B20137" t="s">
        <v>32754</v>
      </c>
      <c r="C20137" t="s">
        <v>37</v>
      </c>
      <c r="D20137" t="s">
        <v>52</v>
      </c>
      <c r="E20137" t="s">
        <v>15</v>
      </c>
      <c r="F20137" s="2" t="str">
        <f>HYPERLINK("http://www.otzar.org/book.asp?178867","ליבון הלכתא - הגעלת כלים")</f>
        <v>ליבון הלכתא - הגעלת כלים</v>
      </c>
    </row>
    <row r="20138" spans="1:6" x14ac:dyDescent="0.2">
      <c r="A20138" t="s">
        <v>32755</v>
      </c>
      <c r="B20138" t="s">
        <v>6987</v>
      </c>
      <c r="C20138" t="s">
        <v>111</v>
      </c>
      <c r="D20138" t="s">
        <v>52</v>
      </c>
      <c r="E20138" t="s">
        <v>84</v>
      </c>
      <c r="F20138" s="2" t="str">
        <f>HYPERLINK("http://www.otzar.org/book.asp?630135","ליגמר איניש - כלים א")</f>
        <v>ליגמר איניש - כלים א</v>
      </c>
    </row>
    <row r="20139" spans="1:6" x14ac:dyDescent="0.2">
      <c r="A20139" t="s">
        <v>32756</v>
      </c>
      <c r="B20139" t="s">
        <v>32757</v>
      </c>
      <c r="C20139" t="s">
        <v>20</v>
      </c>
      <c r="D20139" t="s">
        <v>52</v>
      </c>
      <c r="E20139" t="s">
        <v>158</v>
      </c>
      <c r="F20139" s="2" t="str">
        <f>HYPERLINK("http://www.otzar.org/book.asp?165209","ליד שלחן שבת - 5 כר'")</f>
        <v>ליד שלחן שבת - 5 כר'</v>
      </c>
    </row>
    <row r="20140" spans="1:6" x14ac:dyDescent="0.2">
      <c r="A20140" t="s">
        <v>32758</v>
      </c>
      <c r="B20140" t="s">
        <v>32759</v>
      </c>
      <c r="C20140" t="s">
        <v>111</v>
      </c>
      <c r="D20140" t="s">
        <v>486</v>
      </c>
      <c r="E20140" t="s">
        <v>119</v>
      </c>
      <c r="F20140" s="2" t="str">
        <f>HYPERLINK("http://www.otzar.org/book.asp?627091","ליהודה ויאמר")</f>
        <v>ליהודה ויאמר</v>
      </c>
    </row>
    <row r="20141" spans="1:6" x14ac:dyDescent="0.2">
      <c r="A20141" t="s">
        <v>32760</v>
      </c>
      <c r="B20141" t="s">
        <v>9611</v>
      </c>
      <c r="C20141" t="s">
        <v>180</v>
      </c>
      <c r="D20141" t="s">
        <v>14</v>
      </c>
      <c r="E20141" t="s">
        <v>21770</v>
      </c>
      <c r="F20141" s="2" t="str">
        <f>HYPERLINK("http://www.otzar.org/book.asp?171085","ליהודים היתה אורה")</f>
        <v>ליהודים היתה אורה</v>
      </c>
    </row>
    <row r="20142" spans="1:6" x14ac:dyDescent="0.2">
      <c r="A20142" t="s">
        <v>32760</v>
      </c>
      <c r="B20142" t="s">
        <v>7220</v>
      </c>
      <c r="C20142" t="s">
        <v>133</v>
      </c>
      <c r="D20142" t="s">
        <v>52</v>
      </c>
      <c r="E20142" t="s">
        <v>467</v>
      </c>
      <c r="F20142" s="2" t="str">
        <f>HYPERLINK("http://www.otzar.org/book.asp?175469","ליהודים היתה אורה")</f>
        <v>ליהודים היתה אורה</v>
      </c>
    </row>
    <row r="20143" spans="1:6" x14ac:dyDescent="0.2">
      <c r="A20143" t="s">
        <v>32760</v>
      </c>
      <c r="B20143" t="s">
        <v>4977</v>
      </c>
      <c r="C20143" t="s">
        <v>20</v>
      </c>
      <c r="D20143" t="s">
        <v>14</v>
      </c>
      <c r="E20143" t="s">
        <v>1262</v>
      </c>
      <c r="F20143" s="2" t="str">
        <f>HYPERLINK("http://www.otzar.org/book.asp?153431","ליהודים היתה אורה")</f>
        <v>ליהודים היתה אורה</v>
      </c>
    </row>
    <row r="20144" spans="1:6" x14ac:dyDescent="0.2">
      <c r="A20144" t="s">
        <v>32761</v>
      </c>
      <c r="B20144" t="s">
        <v>2630</v>
      </c>
      <c r="C20144" t="s">
        <v>20</v>
      </c>
      <c r="D20144" t="s">
        <v>21</v>
      </c>
      <c r="E20144" t="s">
        <v>674</v>
      </c>
      <c r="F20144" s="2" t="str">
        <f>HYPERLINK("http://www.otzar.org/book.asp?605282","ליום אתמול - 2 כר'")</f>
        <v>ליום אתמול - 2 כר'</v>
      </c>
    </row>
    <row r="20145" spans="1:6" x14ac:dyDescent="0.2">
      <c r="A20145" t="s">
        <v>32762</v>
      </c>
      <c r="B20145" t="s">
        <v>32763</v>
      </c>
      <c r="C20145" t="s">
        <v>1640</v>
      </c>
      <c r="D20145" t="s">
        <v>52</v>
      </c>
      <c r="E20145" t="s">
        <v>119</v>
      </c>
      <c r="F20145" s="2" t="str">
        <f>HYPERLINK("http://www.otzar.org/book.asp?143092","ליטא - 2 כר'")</f>
        <v>ליטא - 2 כר'</v>
      </c>
    </row>
    <row r="20146" spans="1:6" x14ac:dyDescent="0.2">
      <c r="A20146" t="s">
        <v>32764</v>
      </c>
      <c r="B20146" t="s">
        <v>32765</v>
      </c>
      <c r="C20146" t="s">
        <v>1640</v>
      </c>
      <c r="D20146" t="s">
        <v>412</v>
      </c>
      <c r="F20146" s="2" t="str">
        <f>HYPERLINK("http://www.otzar.org/book.asp?191321","ליטע - ב")</f>
        <v>ליטע - ב</v>
      </c>
    </row>
    <row r="20147" spans="1:6" x14ac:dyDescent="0.2">
      <c r="A20147" t="s">
        <v>32766</v>
      </c>
      <c r="B20147" t="s">
        <v>28080</v>
      </c>
      <c r="C20147" t="s">
        <v>129</v>
      </c>
      <c r="D20147" t="s">
        <v>412</v>
      </c>
      <c r="E20147" t="s">
        <v>246</v>
      </c>
      <c r="F20147" s="2" t="str">
        <f>HYPERLINK("http://www.otzar.org/book.asp?62100","ליל שמורים")</f>
        <v>ליל שמורים</v>
      </c>
    </row>
    <row r="20148" spans="1:6" x14ac:dyDescent="0.2">
      <c r="A20148" t="s">
        <v>32767</v>
      </c>
      <c r="B20148" t="s">
        <v>32768</v>
      </c>
      <c r="C20148" t="s">
        <v>146</v>
      </c>
      <c r="D20148" t="s">
        <v>14</v>
      </c>
      <c r="E20148" t="s">
        <v>3798</v>
      </c>
      <c r="F20148" s="2" t="str">
        <f>HYPERLINK("http://www.otzar.org/book.asp?28639","לילה כיום יאיר")</f>
        <v>לילה כיום יאיר</v>
      </c>
    </row>
    <row r="20149" spans="1:6" x14ac:dyDescent="0.2">
      <c r="A20149" t="s">
        <v>32769</v>
      </c>
      <c r="B20149" t="s">
        <v>32770</v>
      </c>
      <c r="C20149" t="s">
        <v>17</v>
      </c>
      <c r="D20149" t="s">
        <v>14</v>
      </c>
      <c r="E20149" t="s">
        <v>246</v>
      </c>
      <c r="F20149" s="2" t="str">
        <f>HYPERLINK("http://www.otzar.org/book.asp?176716","לילה כיום יאיר - ליל הסדר")</f>
        <v>לילה כיום יאיר - ליל הסדר</v>
      </c>
    </row>
    <row r="20150" spans="1:6" x14ac:dyDescent="0.2">
      <c r="A20150" t="s">
        <v>32767</v>
      </c>
      <c r="B20150" t="s">
        <v>19821</v>
      </c>
      <c r="C20150" t="s">
        <v>111</v>
      </c>
      <c r="D20150" t="s">
        <v>14</v>
      </c>
      <c r="E20150" t="s">
        <v>246</v>
      </c>
      <c r="F20150" s="2" t="str">
        <f>HYPERLINK("http://www.otzar.org/book.asp?627746","לילה כיום יאיר")</f>
        <v>לילה כיום יאיר</v>
      </c>
    </row>
    <row r="20151" spans="1:6" x14ac:dyDescent="0.2">
      <c r="A20151" t="s">
        <v>32771</v>
      </c>
      <c r="B20151" t="s">
        <v>32772</v>
      </c>
      <c r="C20151" t="s">
        <v>111</v>
      </c>
      <c r="D20151" t="s">
        <v>52</v>
      </c>
      <c r="E20151" t="s">
        <v>15</v>
      </c>
      <c r="F20151" s="2" t="str">
        <f>HYPERLINK("http://www.otzar.org/book.asp?621403","לימד דעת")</f>
        <v>לימד דעת</v>
      </c>
    </row>
    <row r="20152" spans="1:6" x14ac:dyDescent="0.2">
      <c r="A20152" t="s">
        <v>32773</v>
      </c>
      <c r="B20152" t="s">
        <v>32774</v>
      </c>
      <c r="C20152" t="s">
        <v>366</v>
      </c>
      <c r="D20152" t="s">
        <v>115</v>
      </c>
      <c r="E20152" t="s">
        <v>172</v>
      </c>
      <c r="F20152" s="2" t="str">
        <f>HYPERLINK("http://www.otzar.org/book.asp?622415","לימוד בנושא - 2 כר'")</f>
        <v>לימוד בנושא - 2 כר'</v>
      </c>
    </row>
    <row r="20153" spans="1:6" x14ac:dyDescent="0.2">
      <c r="A20153" t="s">
        <v>32775</v>
      </c>
      <c r="B20153" t="s">
        <v>32776</v>
      </c>
      <c r="C20153" t="s">
        <v>151</v>
      </c>
      <c r="D20153" t="s">
        <v>273</v>
      </c>
      <c r="E20153" t="s">
        <v>393</v>
      </c>
      <c r="F20153" s="2" t="str">
        <f>HYPERLINK("http://www.otzar.org/book.asp?630548","לימוד החסידות בתומכי תמימים")</f>
        <v>לימוד החסידות בתומכי תמימים</v>
      </c>
    </row>
    <row r="20154" spans="1:6" x14ac:dyDescent="0.2">
      <c r="A20154" t="s">
        <v>32777</v>
      </c>
      <c r="B20154" t="s">
        <v>1750</v>
      </c>
      <c r="C20154" t="s">
        <v>20</v>
      </c>
      <c r="D20154" t="s">
        <v>90</v>
      </c>
      <c r="E20154" t="s">
        <v>393</v>
      </c>
      <c r="F20154" s="2" t="str">
        <f>HYPERLINK("http://www.otzar.org/book.asp?630551","לימוד הפרשה בליקוטי תורה ותורה אור")</f>
        <v>לימוד הפרשה בליקוטי תורה ותורה אור</v>
      </c>
    </row>
    <row r="20155" spans="1:6" x14ac:dyDescent="0.2">
      <c r="A20155" t="s">
        <v>32778</v>
      </c>
      <c r="B20155" t="s">
        <v>3384</v>
      </c>
      <c r="C20155" t="s">
        <v>767</v>
      </c>
      <c r="D20155" t="s">
        <v>14</v>
      </c>
      <c r="E20155" t="s">
        <v>5935</v>
      </c>
      <c r="F20155" s="2" t="str">
        <f>HYPERLINK("http://www.otzar.org/book.asp?60441","לימוד התורה")</f>
        <v>לימוד התורה</v>
      </c>
    </row>
    <row r="20156" spans="1:6" x14ac:dyDescent="0.2">
      <c r="A20156" t="s">
        <v>32779</v>
      </c>
      <c r="B20156" t="s">
        <v>32780</v>
      </c>
      <c r="C20156" t="s">
        <v>4059</v>
      </c>
      <c r="D20156" t="s">
        <v>1023</v>
      </c>
      <c r="E20156" t="s">
        <v>119</v>
      </c>
      <c r="F20156" s="2" t="str">
        <f>HYPERLINK("http://www.otzar.org/book.asp?84553","לימוד וסדר הישיבה אשר בעה""ק חברון")</f>
        <v>לימוד וסדר הישיבה אשר בעה"ק חברון</v>
      </c>
    </row>
    <row r="20157" spans="1:6" x14ac:dyDescent="0.2">
      <c r="A20157" t="s">
        <v>32781</v>
      </c>
      <c r="B20157" t="s">
        <v>7330</v>
      </c>
      <c r="C20157" t="s">
        <v>1619</v>
      </c>
      <c r="D20157" t="s">
        <v>27</v>
      </c>
      <c r="E20157" t="s">
        <v>130</v>
      </c>
      <c r="F20157" s="2" t="str">
        <f>HYPERLINK("http://www.otzar.org/book.asp?181803","לימוד זכות")</f>
        <v>לימוד זכות</v>
      </c>
    </row>
    <row r="20158" spans="1:6" x14ac:dyDescent="0.2">
      <c r="A20158" t="s">
        <v>32782</v>
      </c>
      <c r="B20158" t="s">
        <v>32783</v>
      </c>
      <c r="C20158" t="s">
        <v>438</v>
      </c>
      <c r="D20158" t="s">
        <v>14</v>
      </c>
      <c r="E20158" t="s">
        <v>158</v>
      </c>
      <c r="F20158" s="2" t="str">
        <f>HYPERLINK("http://www.otzar.org/book.asp?171763","לימוד סוגיא בתורה עפ""י המקורות - 17 כר'")</f>
        <v>לימוד סוגיא בתורה עפ"י המקורות - 17 כר'</v>
      </c>
    </row>
    <row r="20159" spans="1:6" x14ac:dyDescent="0.2">
      <c r="A20159" t="s">
        <v>32784</v>
      </c>
      <c r="B20159" t="s">
        <v>1710</v>
      </c>
      <c r="C20159" t="s">
        <v>383</v>
      </c>
      <c r="D20159" t="s">
        <v>118</v>
      </c>
      <c r="E20159" t="s">
        <v>399</v>
      </c>
      <c r="F20159" s="2" t="str">
        <f>HYPERLINK("http://www.otzar.org/book.asp?108420","לימוד סודות התורה")</f>
        <v>לימוד סודות התורה</v>
      </c>
    </row>
    <row r="20160" spans="1:6" x14ac:dyDescent="0.2">
      <c r="A20160" t="s">
        <v>32785</v>
      </c>
      <c r="B20160" t="s">
        <v>32591</v>
      </c>
      <c r="C20160" t="s">
        <v>553</v>
      </c>
      <c r="D20160" t="s">
        <v>14</v>
      </c>
      <c r="E20160" t="s">
        <v>733</v>
      </c>
      <c r="F20160" s="2" t="str">
        <f>HYPERLINK("http://www.otzar.org/book.asp?64251","לימוד תורה בתימן")</f>
        <v>לימוד תורה בתימן</v>
      </c>
    </row>
    <row r="20161" spans="1:6" x14ac:dyDescent="0.2">
      <c r="A20161" t="s">
        <v>32786</v>
      </c>
      <c r="B20161" t="s">
        <v>405</v>
      </c>
      <c r="C20161" t="s">
        <v>748</v>
      </c>
      <c r="D20161" t="s">
        <v>379</v>
      </c>
      <c r="E20161" t="s">
        <v>399</v>
      </c>
      <c r="F20161" s="2" t="str">
        <f>HYPERLINK("http://www.otzar.org/book.asp?6208","לימודי אצילות")</f>
        <v>לימודי אצילות</v>
      </c>
    </row>
    <row r="20162" spans="1:6" x14ac:dyDescent="0.2">
      <c r="A20162" t="s">
        <v>32787</v>
      </c>
      <c r="B20162" t="s">
        <v>32788</v>
      </c>
      <c r="C20162" t="s">
        <v>438</v>
      </c>
      <c r="D20162" t="s">
        <v>52</v>
      </c>
      <c r="E20162" t="s">
        <v>933</v>
      </c>
      <c r="F20162" s="2" t="str">
        <f>HYPERLINK("http://www.otzar.org/book.asp?13818","לימודי דעה - 2 כר'")</f>
        <v>לימודי דעה - 2 כר'</v>
      </c>
    </row>
    <row r="20163" spans="1:6" x14ac:dyDescent="0.2">
      <c r="A20163" t="s">
        <v>32789</v>
      </c>
      <c r="B20163" t="s">
        <v>32790</v>
      </c>
      <c r="C20163" t="s">
        <v>129</v>
      </c>
      <c r="D20163" t="s">
        <v>52</v>
      </c>
      <c r="E20163" t="s">
        <v>2338</v>
      </c>
      <c r="F20163" s="2" t="str">
        <f>HYPERLINK("http://www.otzar.org/book.asp?159018","לימודי דעת - 5 כר'")</f>
        <v>לימודי דעת - 5 כר'</v>
      </c>
    </row>
    <row r="20164" spans="1:6" x14ac:dyDescent="0.2">
      <c r="A20164" t="s">
        <v>32791</v>
      </c>
      <c r="B20164" t="s">
        <v>32792</v>
      </c>
      <c r="C20164" t="s">
        <v>37</v>
      </c>
      <c r="E20164" t="s">
        <v>202</v>
      </c>
      <c r="F20164" s="2" t="str">
        <f>HYPERLINK("http://www.otzar.org/book.asp?199409","לימודי דעת - 8 כר'")</f>
        <v>לימודי דעת - 8 כר'</v>
      </c>
    </row>
    <row r="20165" spans="1:6" x14ac:dyDescent="0.2">
      <c r="A20165" t="s">
        <v>32793</v>
      </c>
      <c r="B20165" t="s">
        <v>19016</v>
      </c>
      <c r="C20165" t="s">
        <v>1570</v>
      </c>
      <c r="D20165" t="s">
        <v>52</v>
      </c>
      <c r="E20165" t="s">
        <v>241</v>
      </c>
      <c r="F20165" s="2" t="str">
        <f>HYPERLINK("http://www.otzar.org/book.asp?158933","לימודי חול על טהרת הקודש")</f>
        <v>לימודי חול על טהרת הקודש</v>
      </c>
    </row>
    <row r="20166" spans="1:6" x14ac:dyDescent="0.2">
      <c r="A20166" t="s">
        <v>32794</v>
      </c>
      <c r="B20166" t="s">
        <v>32795</v>
      </c>
      <c r="C20166" t="s">
        <v>143</v>
      </c>
      <c r="D20166" t="s">
        <v>412</v>
      </c>
      <c r="E20166" t="s">
        <v>158</v>
      </c>
      <c r="F20166" s="2" t="str">
        <f>HYPERLINK("http://www.otzar.org/book.asp?601251","לימודי ניסן - א")</f>
        <v>לימודי ניסן - א</v>
      </c>
    </row>
    <row r="20167" spans="1:6" x14ac:dyDescent="0.2">
      <c r="A20167" t="s">
        <v>32796</v>
      </c>
      <c r="B20167" t="s">
        <v>107</v>
      </c>
      <c r="C20167" t="s">
        <v>189</v>
      </c>
      <c r="D20167" t="s">
        <v>14</v>
      </c>
      <c r="E20167" t="s">
        <v>241</v>
      </c>
      <c r="F20167" s="2" t="str">
        <f>HYPERLINK("http://www.otzar.org/book.asp?148256","לימודים שראוי ללמדם בישיבת שם ועבר")</f>
        <v>לימודים שראוי ללמדם בישיבת שם ועבר</v>
      </c>
    </row>
    <row r="20168" spans="1:6" x14ac:dyDescent="0.2">
      <c r="A20168" t="s">
        <v>32797</v>
      </c>
      <c r="B20168" t="s">
        <v>17075</v>
      </c>
      <c r="C20168" t="s">
        <v>854</v>
      </c>
      <c r="D20168" t="s">
        <v>212</v>
      </c>
      <c r="E20168" t="s">
        <v>22888</v>
      </c>
      <c r="F20168" s="2" t="str">
        <f>HYPERLINK("http://www.otzar.org/book.asp?101316","ליצחק ריח")</f>
        <v>ליצחק ריח</v>
      </c>
    </row>
    <row r="20169" spans="1:6" x14ac:dyDescent="0.2">
      <c r="A20169" t="s">
        <v>32798</v>
      </c>
      <c r="B20169" t="s">
        <v>2571</v>
      </c>
      <c r="C20169" t="s">
        <v>32799</v>
      </c>
      <c r="D20169" t="s">
        <v>27</v>
      </c>
      <c r="E20169" t="s">
        <v>158</v>
      </c>
      <c r="F20169" s="2" t="str">
        <f>HYPERLINK("http://www.otzar.org/book.asp?102256","ליקוט אמרים - 2 כר'")</f>
        <v>ליקוט אמרים - 2 כר'</v>
      </c>
    </row>
    <row r="20170" spans="1:6" x14ac:dyDescent="0.2">
      <c r="A20170" t="s">
        <v>32800</v>
      </c>
      <c r="B20170" t="s">
        <v>32801</v>
      </c>
      <c r="C20170" t="s">
        <v>20</v>
      </c>
      <c r="D20170" t="s">
        <v>21</v>
      </c>
      <c r="E20170" t="s">
        <v>158</v>
      </c>
      <c r="F20170" s="2" t="str">
        <f>HYPERLINK("http://www.otzar.org/book.asp?603804","ליקוט אשת חיל")</f>
        <v>ליקוט אשת חיל</v>
      </c>
    </row>
    <row r="20171" spans="1:6" x14ac:dyDescent="0.2">
      <c r="A20171" t="s">
        <v>32802</v>
      </c>
      <c r="B20171" t="s">
        <v>8251</v>
      </c>
      <c r="C20171" t="s">
        <v>151</v>
      </c>
      <c r="D20171" t="s">
        <v>52</v>
      </c>
      <c r="E20171" t="s">
        <v>15</v>
      </c>
      <c r="F20171" s="2" t="str">
        <f>HYPERLINK("http://www.otzar.org/book.asp?621456","ליקוט בדיני הכשר כלים")</f>
        <v>ליקוט בדיני הכשר כלים</v>
      </c>
    </row>
    <row r="20172" spans="1:6" x14ac:dyDescent="0.2">
      <c r="A20172" t="s">
        <v>32803</v>
      </c>
      <c r="B20172" t="s">
        <v>32804</v>
      </c>
      <c r="C20172" t="s">
        <v>129</v>
      </c>
      <c r="D20172" t="s">
        <v>52</v>
      </c>
      <c r="E20172" t="s">
        <v>15</v>
      </c>
      <c r="F20172" s="2" t="str">
        <f>HYPERLINK("http://www.otzar.org/book.asp?163006","ליקוט בדיני תערובות")</f>
        <v>ליקוט בדיני תערובות</v>
      </c>
    </row>
    <row r="20173" spans="1:6" x14ac:dyDescent="0.2">
      <c r="A20173" t="s">
        <v>32805</v>
      </c>
      <c r="B20173" t="s">
        <v>206</v>
      </c>
      <c r="C20173" t="s">
        <v>20</v>
      </c>
      <c r="D20173" t="s">
        <v>90</v>
      </c>
      <c r="E20173" t="s">
        <v>104</v>
      </c>
      <c r="F20173" s="2" t="str">
        <f>HYPERLINK("http://www.otzar.org/book.asp?626393","ליקוט בענין בנין בית המקדש והקרבת קרבנות בזמן הזה")</f>
        <v>ליקוט בענין בנין בית המקדש והקרבת קרבנות בזמן הזה</v>
      </c>
    </row>
    <row r="20174" spans="1:6" x14ac:dyDescent="0.2">
      <c r="A20174" t="s">
        <v>32806</v>
      </c>
      <c r="B20174" t="s">
        <v>32807</v>
      </c>
      <c r="C20174" t="s">
        <v>244</v>
      </c>
      <c r="D20174" t="s">
        <v>14</v>
      </c>
      <c r="E20174" t="s">
        <v>140</v>
      </c>
      <c r="F20174" s="2" t="str">
        <f>HYPERLINK("http://www.otzar.org/book.asp?611358","ליקוט בעניני תורה ותפילה ועבודת השי""ת - 3 כר'")</f>
        <v>ליקוט בעניני תורה ותפילה ועבודת השי"ת - 3 כר'</v>
      </c>
    </row>
    <row r="20175" spans="1:6" x14ac:dyDescent="0.2">
      <c r="A20175" t="s">
        <v>32808</v>
      </c>
      <c r="B20175" t="s">
        <v>32809</v>
      </c>
      <c r="C20175" t="s">
        <v>624</v>
      </c>
      <c r="D20175" t="s">
        <v>118</v>
      </c>
      <c r="E20175" t="s">
        <v>733</v>
      </c>
      <c r="F20175" s="2" t="str">
        <f>HYPERLINK("http://www.otzar.org/book.asp?12174","ליקוט ובירור בדין  איסור פינוי המתים")</f>
        <v>ליקוט ובירור בדין  איסור פינוי המתים</v>
      </c>
    </row>
    <row r="20176" spans="1:6" x14ac:dyDescent="0.2">
      <c r="A20176" t="s">
        <v>32810</v>
      </c>
      <c r="B20176" t="s">
        <v>1314</v>
      </c>
      <c r="C20176" t="s">
        <v>37</v>
      </c>
      <c r="D20176" t="s">
        <v>32811</v>
      </c>
      <c r="E20176" t="s">
        <v>399</v>
      </c>
      <c r="F20176" s="2" t="str">
        <f>HYPERLINK("http://www.otzar.org/book.asp?179468","ליקוט מספרי הרמ""ז על ספר הכוונות")</f>
        <v>ליקוט מספרי הרמ"ז על ספר הכוונות</v>
      </c>
    </row>
    <row r="20177" spans="1:6" x14ac:dyDescent="0.2">
      <c r="A20177" t="s">
        <v>32812</v>
      </c>
      <c r="B20177" t="s">
        <v>32813</v>
      </c>
      <c r="E20177" t="s">
        <v>104</v>
      </c>
      <c r="F20177" s="2" t="str">
        <f>HYPERLINK("http://www.otzar.org/book.asp?612110","ליקוט מראי מקומות על התורה ומועדים")</f>
        <v>ליקוט מראי מקומות על התורה ומועדים</v>
      </c>
    </row>
    <row r="20178" spans="1:6" x14ac:dyDescent="0.2">
      <c r="A20178" t="s">
        <v>32814</v>
      </c>
      <c r="B20178" t="s">
        <v>32814</v>
      </c>
      <c r="C20178" t="s">
        <v>20</v>
      </c>
      <c r="D20178" t="s">
        <v>90</v>
      </c>
      <c r="E20178" t="s">
        <v>15</v>
      </c>
      <c r="F20178" s="2" t="str">
        <f>HYPERLINK("http://www.otzar.org/book.asp?164007","ליקוט ספרי סת""ם")</f>
        <v>ליקוט ספרי סת"ם</v>
      </c>
    </row>
    <row r="20179" spans="1:6" x14ac:dyDescent="0.2">
      <c r="A20179" t="s">
        <v>32815</v>
      </c>
      <c r="B20179" t="s">
        <v>32816</v>
      </c>
      <c r="C20179" t="s">
        <v>585</v>
      </c>
      <c r="D20179" t="s">
        <v>412</v>
      </c>
      <c r="E20179" t="s">
        <v>144</v>
      </c>
      <c r="F20179" s="2" t="str">
        <f>HYPERLINK("http://www.otzar.org/book.asp?62258","ליקוט פירושי הקדמונים - ב""ק, ב""מ, ב""ב")</f>
        <v>ליקוט פירושי הקדמונים - ב"ק, ב"מ, ב"ב</v>
      </c>
    </row>
    <row r="20180" spans="1:6" x14ac:dyDescent="0.2">
      <c r="A20180" t="s">
        <v>32817</v>
      </c>
      <c r="B20180" t="s">
        <v>32818</v>
      </c>
      <c r="C20180" t="s">
        <v>32819</v>
      </c>
      <c r="D20180" t="s">
        <v>1511</v>
      </c>
      <c r="E20180" t="s">
        <v>144</v>
      </c>
      <c r="F20180" s="2" t="str">
        <f>HYPERLINK("http://www.otzar.org/book.asp?153688","ליקוט ראשונים - 21 כר'")</f>
        <v>ליקוט ראשונים - 21 כר'</v>
      </c>
    </row>
    <row r="20181" spans="1:6" x14ac:dyDescent="0.2">
      <c r="A20181" t="s">
        <v>32820</v>
      </c>
      <c r="E20181" t="s">
        <v>158</v>
      </c>
      <c r="F20181" s="2" t="str">
        <f>HYPERLINK("http://www.otzar.org/book.asp?609624","ליקוט שמחת נעים")</f>
        <v>ליקוט שמחת נעים</v>
      </c>
    </row>
    <row r="20182" spans="1:6" x14ac:dyDescent="0.2">
      <c r="A20182" t="s">
        <v>32821</v>
      </c>
      <c r="B20182" t="s">
        <v>32822</v>
      </c>
      <c r="C20182" t="s">
        <v>37</v>
      </c>
      <c r="D20182" t="s">
        <v>21</v>
      </c>
      <c r="E20182" t="s">
        <v>104</v>
      </c>
      <c r="F20182" s="2" t="str">
        <f>HYPERLINK("http://www.otzar.org/book.asp?193093","ליקוט תשובות בענין ביה""ק העתיק בבית שמש")</f>
        <v>ליקוט תשובות בענין ביה"ק העתיק בבית שמש</v>
      </c>
    </row>
    <row r="20183" spans="1:6" x14ac:dyDescent="0.2">
      <c r="A20183" t="s">
        <v>32823</v>
      </c>
      <c r="B20183" t="s">
        <v>1385</v>
      </c>
      <c r="C20183" t="s">
        <v>956</v>
      </c>
      <c r="D20183" t="s">
        <v>52</v>
      </c>
      <c r="E20183" t="s">
        <v>9867</v>
      </c>
      <c r="F20183" s="2" t="str">
        <f>HYPERLINK("http://www.otzar.org/book.asp?10825","ליקוט תשובות וחידושים מרבינו עקיבא איגר")</f>
        <v>ליקוט תשובות וחידושים מרבינו עקיבא איגר</v>
      </c>
    </row>
    <row r="20184" spans="1:6" x14ac:dyDescent="0.2">
      <c r="A20184" t="s">
        <v>32824</v>
      </c>
      <c r="B20184" t="s">
        <v>32825</v>
      </c>
      <c r="C20184" t="s">
        <v>26</v>
      </c>
      <c r="D20184" t="s">
        <v>27</v>
      </c>
      <c r="E20184" t="s">
        <v>3755</v>
      </c>
      <c r="F20184" s="2" t="str">
        <f>HYPERLINK("http://www.otzar.org/book.asp?619111","ליקוטי אבן, תפלות הבוקר")</f>
        <v>ליקוטי אבן, תפלות הבוקר</v>
      </c>
    </row>
    <row r="20185" spans="1:6" x14ac:dyDescent="0.2">
      <c r="A20185" t="s">
        <v>32826</v>
      </c>
      <c r="B20185" t="s">
        <v>25900</v>
      </c>
      <c r="C20185" t="s">
        <v>151</v>
      </c>
      <c r="D20185" t="s">
        <v>486</v>
      </c>
      <c r="E20185" t="s">
        <v>8341</v>
      </c>
      <c r="F20185" s="2" t="str">
        <f>HYPERLINK("http://www.otzar.org/book.asp?614445","ליקוטי אברהם עטרת צבי")</f>
        <v>ליקוטי אברהם עטרת צבי</v>
      </c>
    </row>
    <row r="20186" spans="1:6" x14ac:dyDescent="0.2">
      <c r="A20186" t="s">
        <v>32827</v>
      </c>
      <c r="B20186" t="s">
        <v>32828</v>
      </c>
      <c r="C20186" t="s">
        <v>1940</v>
      </c>
      <c r="D20186" t="s">
        <v>744</v>
      </c>
      <c r="E20186" t="s">
        <v>213</v>
      </c>
      <c r="F20186" s="2" t="str">
        <f>HYPERLINK("http://www.otzar.org/book.asp?143620","ליקוטי אברהם - 2 כר'")</f>
        <v>ליקוטי אברהם - 2 כר'</v>
      </c>
    </row>
    <row r="20187" spans="1:6" x14ac:dyDescent="0.2">
      <c r="A20187" t="s">
        <v>32829</v>
      </c>
      <c r="B20187" t="s">
        <v>32830</v>
      </c>
      <c r="C20187" t="s">
        <v>124</v>
      </c>
      <c r="D20187" t="s">
        <v>14</v>
      </c>
      <c r="E20187" t="s">
        <v>2569</v>
      </c>
      <c r="F20187" s="2" t="str">
        <f>HYPERLINK("http://www.otzar.org/book.asp?7697","ליקוטי אברהם")</f>
        <v>ליקוטי אברהם</v>
      </c>
    </row>
    <row r="20188" spans="1:6" x14ac:dyDescent="0.2">
      <c r="A20188" t="s">
        <v>32827</v>
      </c>
      <c r="B20188" t="s">
        <v>12198</v>
      </c>
      <c r="C20188" t="s">
        <v>32831</v>
      </c>
      <c r="D20188" t="s">
        <v>7416</v>
      </c>
      <c r="E20188" t="s">
        <v>32832</v>
      </c>
      <c r="F20188" s="2" t="str">
        <f>HYPERLINK("http://www.otzar.org/book.asp?154399","ליקוטי אברהם - 2 כר'")</f>
        <v>ליקוטי אברהם - 2 כר'</v>
      </c>
    </row>
    <row r="20189" spans="1:6" x14ac:dyDescent="0.2">
      <c r="A20189" t="s">
        <v>32833</v>
      </c>
      <c r="B20189" t="s">
        <v>32834</v>
      </c>
      <c r="C20189" t="s">
        <v>366</v>
      </c>
      <c r="D20189" t="s">
        <v>412</v>
      </c>
      <c r="E20189" t="s">
        <v>158</v>
      </c>
      <c r="F20189" s="2" t="str">
        <f>HYPERLINK("http://www.otzar.org/book.asp?615538","ליקוטי אגדה ומוסר - ב")</f>
        <v>ליקוטי אגדה ומוסר - ב</v>
      </c>
    </row>
    <row r="20190" spans="1:6" x14ac:dyDescent="0.2">
      <c r="A20190" t="s">
        <v>32835</v>
      </c>
      <c r="B20190" t="s">
        <v>32836</v>
      </c>
      <c r="C20190" t="s">
        <v>32837</v>
      </c>
      <c r="D20190" t="s">
        <v>32838</v>
      </c>
      <c r="E20190" t="s">
        <v>158</v>
      </c>
      <c r="F20190" s="2" t="str">
        <f>HYPERLINK("http://www.otzar.org/book.asp?612284","ליקוטי אגדה - 2 כר'")</f>
        <v>ליקוטי אגדה - 2 כר'</v>
      </c>
    </row>
    <row r="20191" spans="1:6" x14ac:dyDescent="0.2">
      <c r="A20191" t="s">
        <v>32839</v>
      </c>
      <c r="B20191" t="s">
        <v>32840</v>
      </c>
      <c r="C20191" t="s">
        <v>51</v>
      </c>
      <c r="D20191" t="s">
        <v>14</v>
      </c>
      <c r="E20191" t="s">
        <v>234</v>
      </c>
      <c r="F20191" s="2" t="str">
        <f>HYPERLINK("http://www.otzar.org/book.asp?63728","ליקוטי אהרן")</f>
        <v>ליקוטי אהרן</v>
      </c>
    </row>
    <row r="20192" spans="1:6" x14ac:dyDescent="0.2">
      <c r="A20192" t="s">
        <v>32841</v>
      </c>
      <c r="B20192" t="s">
        <v>14662</v>
      </c>
      <c r="C20192" t="s">
        <v>133</v>
      </c>
      <c r="D20192" t="s">
        <v>32842</v>
      </c>
      <c r="F20192" s="2" t="str">
        <f>HYPERLINK("http://www.otzar.org/book.asp?616507","ליקוטי אורה - 5 כר'")</f>
        <v>ליקוטי אורה - 5 כר'</v>
      </c>
    </row>
    <row r="20193" spans="1:6" x14ac:dyDescent="0.2">
      <c r="A20193" t="s">
        <v>32843</v>
      </c>
      <c r="B20193" t="s">
        <v>206</v>
      </c>
      <c r="C20193" t="s">
        <v>20</v>
      </c>
      <c r="D20193" t="s">
        <v>90</v>
      </c>
      <c r="F20193" s="2" t="str">
        <f>HYPERLINK("http://www.otzar.org/book.asp?199949","ליקוטי אורות בענין הבטחון")</f>
        <v>ליקוטי אורות בענין הבטחון</v>
      </c>
    </row>
    <row r="20194" spans="1:6" x14ac:dyDescent="0.2">
      <c r="A20194" t="s">
        <v>32844</v>
      </c>
      <c r="B20194" t="s">
        <v>32845</v>
      </c>
      <c r="C20194" t="s">
        <v>87</v>
      </c>
      <c r="D20194" t="s">
        <v>1356</v>
      </c>
      <c r="E20194" t="s">
        <v>158</v>
      </c>
      <c r="F20194" s="2" t="str">
        <f>HYPERLINK("http://www.otzar.org/book.asp?63076","ליקוטי אלחנן - 7 כר'")</f>
        <v>ליקוטי אלחנן - 7 כר'</v>
      </c>
    </row>
    <row r="20195" spans="1:6" x14ac:dyDescent="0.2">
      <c r="A20195" t="s">
        <v>32846</v>
      </c>
      <c r="B20195" t="s">
        <v>32847</v>
      </c>
      <c r="C20195" t="s">
        <v>1570</v>
      </c>
      <c r="D20195" t="s">
        <v>52</v>
      </c>
      <c r="E20195" t="s">
        <v>579</v>
      </c>
      <c r="F20195" s="2" t="str">
        <f>HYPERLINK("http://www.otzar.org/book.asp?61136","ליקוטי אלחנן")</f>
        <v>ליקוטי אלחנן</v>
      </c>
    </row>
    <row r="20196" spans="1:6" x14ac:dyDescent="0.2">
      <c r="A20196" t="s">
        <v>32848</v>
      </c>
      <c r="B20196" t="s">
        <v>31552</v>
      </c>
      <c r="C20196" t="s">
        <v>32849</v>
      </c>
      <c r="D20196" t="s">
        <v>13</v>
      </c>
      <c r="E20196" t="s">
        <v>2098</v>
      </c>
      <c r="F20196" s="2" t="str">
        <f>HYPERLINK("http://www.otzar.org/book.asp?165198","ליקוטי אליהו")</f>
        <v>ליקוטי אליהו</v>
      </c>
    </row>
    <row r="20197" spans="1:6" x14ac:dyDescent="0.2">
      <c r="A20197" t="s">
        <v>32850</v>
      </c>
      <c r="B20197" t="s">
        <v>5928</v>
      </c>
      <c r="C20197" t="s">
        <v>20</v>
      </c>
      <c r="D20197" t="s">
        <v>412</v>
      </c>
      <c r="E20197" t="s">
        <v>246</v>
      </c>
      <c r="F20197" s="2" t="str">
        <f>HYPERLINK("http://www.otzar.org/book.asp?172902","ליקוטי אמונת עתיך - פורים")</f>
        <v>ליקוטי אמונת עתיך - פורים</v>
      </c>
    </row>
    <row r="20198" spans="1:6" x14ac:dyDescent="0.2">
      <c r="A20198" t="s">
        <v>32851</v>
      </c>
      <c r="B20198" t="s">
        <v>32852</v>
      </c>
      <c r="C20198" t="s">
        <v>576</v>
      </c>
      <c r="D20198" t="s">
        <v>1801</v>
      </c>
      <c r="E20198" t="s">
        <v>84</v>
      </c>
      <c r="F20198" s="2" t="str">
        <f>HYPERLINK("http://www.otzar.org/book.asp?143179","ליקוטי אמרי אבות")</f>
        <v>ליקוטי אמרי אבות</v>
      </c>
    </row>
    <row r="20199" spans="1:6" x14ac:dyDescent="0.2">
      <c r="A20199" t="s">
        <v>32853</v>
      </c>
      <c r="B20199" t="s">
        <v>32852</v>
      </c>
      <c r="C20199" t="s">
        <v>1995</v>
      </c>
      <c r="D20199" t="s">
        <v>1801</v>
      </c>
      <c r="E20199" t="s">
        <v>158</v>
      </c>
      <c r="F20199" s="2" t="str">
        <f>HYPERLINK("http://www.otzar.org/book.asp?84517","ליקוטי אמרי אל - 4 כר'")</f>
        <v>ליקוטי אמרי אל - 4 כר'</v>
      </c>
    </row>
    <row r="20200" spans="1:6" x14ac:dyDescent="0.2">
      <c r="A20200" t="s">
        <v>32854</v>
      </c>
      <c r="B20200" t="s">
        <v>32852</v>
      </c>
      <c r="C20200" t="s">
        <v>725</v>
      </c>
      <c r="D20200" t="s">
        <v>1801</v>
      </c>
      <c r="E20200" t="s">
        <v>246</v>
      </c>
      <c r="F20200" s="2" t="str">
        <f>HYPERLINK("http://www.otzar.org/book.asp?152249","ליקוטי אמרי ט""ו בשבט")</f>
        <v>ליקוטי אמרי ט"ו בשבט</v>
      </c>
    </row>
    <row r="20201" spans="1:6" x14ac:dyDescent="0.2">
      <c r="A20201" t="s">
        <v>32855</v>
      </c>
      <c r="B20201" t="s">
        <v>6428</v>
      </c>
      <c r="C20201" t="s">
        <v>114</v>
      </c>
      <c r="D20201" t="s">
        <v>412</v>
      </c>
      <c r="E20201" t="s">
        <v>158</v>
      </c>
      <c r="F20201" s="2" t="str">
        <f>HYPERLINK("http://www.otzar.org/book.asp?181866","ליקוטי אמרי יוסף - 3 כר'")</f>
        <v>ליקוטי אמרי יוסף - 3 כר'</v>
      </c>
    </row>
    <row r="20202" spans="1:6" x14ac:dyDescent="0.2">
      <c r="A20202" t="s">
        <v>32856</v>
      </c>
      <c r="B20202" t="s">
        <v>32857</v>
      </c>
      <c r="C20202" t="s">
        <v>5257</v>
      </c>
      <c r="D20202" t="s">
        <v>60</v>
      </c>
      <c r="E20202" t="s">
        <v>43</v>
      </c>
      <c r="F20202" s="2" t="str">
        <f>HYPERLINK("http://www.otzar.org/book.asp?149924","ליקוטי אמרים &lt;על פרק שירה&gt;")</f>
        <v>ליקוטי אמרים &lt;על פרק שירה&gt;</v>
      </c>
    </row>
    <row r="20203" spans="1:6" x14ac:dyDescent="0.2">
      <c r="A20203" t="s">
        <v>32858</v>
      </c>
      <c r="B20203" t="s">
        <v>1536</v>
      </c>
      <c r="C20203" t="s">
        <v>32859</v>
      </c>
      <c r="D20203" t="s">
        <v>27174</v>
      </c>
      <c r="E20203" t="s">
        <v>393</v>
      </c>
      <c r="F20203" s="2" t="str">
        <f>HYPERLINK("http://www.otzar.org/book.asp?53420","ליקוטי אמרים &lt;דפו""ר&gt; - 2 כר'")</f>
        <v>ליקוטי אמרים &lt;דפו"ר&gt; - 2 כר'</v>
      </c>
    </row>
    <row r="20204" spans="1:6" x14ac:dyDescent="0.2">
      <c r="A20204" t="s">
        <v>32860</v>
      </c>
      <c r="B20204" t="s">
        <v>1529</v>
      </c>
      <c r="C20204" t="s">
        <v>360</v>
      </c>
      <c r="D20204" t="s">
        <v>267</v>
      </c>
      <c r="E20204" t="s">
        <v>32861</v>
      </c>
      <c r="F20204" s="2" t="str">
        <f>HYPERLINK("http://www.otzar.org/book.asp?51527","ליקוטי אמרים - א")</f>
        <v>ליקוטי אמרים - א</v>
      </c>
    </row>
    <row r="20205" spans="1:6" x14ac:dyDescent="0.2">
      <c r="A20205" t="s">
        <v>32862</v>
      </c>
      <c r="B20205" t="s">
        <v>32863</v>
      </c>
      <c r="C20205" t="s">
        <v>3695</v>
      </c>
      <c r="D20205" t="s">
        <v>1516</v>
      </c>
      <c r="E20205" t="s">
        <v>158</v>
      </c>
      <c r="F20205" s="2" t="str">
        <f>HYPERLINK("http://www.otzar.org/book.asp?84334","ליקוטי אפרים")</f>
        <v>ליקוטי אפרים</v>
      </c>
    </row>
    <row r="20206" spans="1:6" x14ac:dyDescent="0.2">
      <c r="A20206" t="s">
        <v>32864</v>
      </c>
      <c r="B20206" t="s">
        <v>32865</v>
      </c>
      <c r="C20206" t="s">
        <v>422</v>
      </c>
      <c r="D20206" t="s">
        <v>14</v>
      </c>
      <c r="E20206" t="s">
        <v>32866</v>
      </c>
      <c r="F20206" s="2" t="str">
        <f>HYPERLINK("http://www.otzar.org/book.asp?85649","ליקוטי אש")</f>
        <v>ליקוטי אש</v>
      </c>
    </row>
    <row r="20207" spans="1:6" x14ac:dyDescent="0.2">
      <c r="A20207" t="s">
        <v>32864</v>
      </c>
      <c r="B20207" t="s">
        <v>8909</v>
      </c>
      <c r="C20207" t="s">
        <v>114</v>
      </c>
      <c r="D20207" t="s">
        <v>14</v>
      </c>
      <c r="E20207" t="s">
        <v>230</v>
      </c>
      <c r="F20207" s="2" t="str">
        <f>HYPERLINK("http://www.otzar.org/book.asp?167953","ליקוטי אש")</f>
        <v>ליקוטי אש</v>
      </c>
    </row>
    <row r="20208" spans="1:6" x14ac:dyDescent="0.2">
      <c r="A20208" t="s">
        <v>32867</v>
      </c>
      <c r="B20208" t="s">
        <v>32868</v>
      </c>
      <c r="C20208" t="s">
        <v>482</v>
      </c>
      <c r="D20208" t="s">
        <v>14778</v>
      </c>
      <c r="E20208" t="s">
        <v>32869</v>
      </c>
      <c r="F20208" s="2" t="str">
        <f>HYPERLINK("http://www.otzar.org/book.asp?10255","ליקוטי בית אהרן")</f>
        <v>ליקוטי בית אהרן</v>
      </c>
    </row>
    <row r="20209" spans="1:6" x14ac:dyDescent="0.2">
      <c r="A20209" t="s">
        <v>32870</v>
      </c>
      <c r="B20209" t="s">
        <v>9881</v>
      </c>
      <c r="C20209" t="s">
        <v>2076</v>
      </c>
      <c r="D20209" t="s">
        <v>379</v>
      </c>
      <c r="E20209" t="s">
        <v>234</v>
      </c>
      <c r="F20209" s="2" t="str">
        <f>HYPERLINK("http://www.otzar.org/book.asp?10721","ליקוטי בית אפרים ממטה נפתלי")</f>
        <v>ליקוטי בית אפרים ממטה נפתלי</v>
      </c>
    </row>
    <row r="20210" spans="1:6" x14ac:dyDescent="0.2">
      <c r="A20210" t="s">
        <v>32871</v>
      </c>
      <c r="B20210" t="s">
        <v>9881</v>
      </c>
      <c r="C20210" t="s">
        <v>2076</v>
      </c>
      <c r="D20210" t="s">
        <v>379</v>
      </c>
      <c r="E20210" t="s">
        <v>234</v>
      </c>
      <c r="F20210" s="2" t="str">
        <f>HYPERLINK("http://www.otzar.org/book.asp?10718","ליקוטי בית אפרים - 2 כר'")</f>
        <v>ליקוטי בית אפרים - 2 כר'</v>
      </c>
    </row>
    <row r="20211" spans="1:6" x14ac:dyDescent="0.2">
      <c r="A20211" t="s">
        <v>32872</v>
      </c>
      <c r="B20211" t="s">
        <v>11206</v>
      </c>
      <c r="C20211" t="s">
        <v>87</v>
      </c>
      <c r="D20211" t="s">
        <v>52</v>
      </c>
      <c r="E20211" t="s">
        <v>32873</v>
      </c>
      <c r="F20211" s="2" t="str">
        <f>HYPERLINK("http://www.otzar.org/book.asp?21850","ליקוטי בני שלשים")</f>
        <v>ליקוטי בני שלשים</v>
      </c>
    </row>
    <row r="20212" spans="1:6" x14ac:dyDescent="0.2">
      <c r="A20212" t="s">
        <v>32874</v>
      </c>
      <c r="B20212" t="s">
        <v>31883</v>
      </c>
      <c r="C20212" t="s">
        <v>13</v>
      </c>
      <c r="D20212" t="s">
        <v>412</v>
      </c>
      <c r="E20212" t="s">
        <v>140</v>
      </c>
      <c r="F20212" s="2" t="str">
        <f>HYPERLINK("http://www.otzar.org/book.asp?191097","ליקוטי בעש""ט &lt;מהדורה חדשה&gt;")</f>
        <v>ליקוטי בעש"ט &lt;מהדורה חדשה&gt;</v>
      </c>
    </row>
    <row r="20213" spans="1:6" x14ac:dyDescent="0.2">
      <c r="A20213" t="s">
        <v>32875</v>
      </c>
      <c r="B20213" t="s">
        <v>11746</v>
      </c>
      <c r="C20213" t="s">
        <v>20</v>
      </c>
      <c r="D20213" t="s">
        <v>412</v>
      </c>
      <c r="F20213" s="2" t="str">
        <f>HYPERLINK("http://www.otzar.org/book.asp?163729","ליקוטי בר פחתי")</f>
        <v>ליקוטי בר פחתי</v>
      </c>
    </row>
    <row r="20214" spans="1:6" x14ac:dyDescent="0.2">
      <c r="A20214" t="s">
        <v>32876</v>
      </c>
      <c r="B20214" t="s">
        <v>32877</v>
      </c>
      <c r="C20214" t="s">
        <v>888</v>
      </c>
      <c r="D20214" t="s">
        <v>283</v>
      </c>
      <c r="E20214" t="s">
        <v>158</v>
      </c>
      <c r="F20214" s="2" t="str">
        <f>HYPERLINK("http://www.otzar.org/book.asp?24713","ליקוטי בשמי""ם")</f>
        <v>ליקוטי בשמי"ם</v>
      </c>
    </row>
    <row r="20215" spans="1:6" x14ac:dyDescent="0.2">
      <c r="A20215" t="s">
        <v>32878</v>
      </c>
      <c r="B20215" t="s">
        <v>32879</v>
      </c>
      <c r="C20215" t="s">
        <v>244</v>
      </c>
      <c r="D20215" t="s">
        <v>367</v>
      </c>
      <c r="E20215" t="s">
        <v>703</v>
      </c>
      <c r="F20215" s="2" t="str">
        <f>HYPERLINK("http://www.otzar.org/book.asp?600333","ליקוטי בת עין")</f>
        <v>ליקוטי בת עין</v>
      </c>
    </row>
    <row r="20216" spans="1:6" x14ac:dyDescent="0.2">
      <c r="A20216" t="s">
        <v>32880</v>
      </c>
      <c r="B20216" t="s">
        <v>32881</v>
      </c>
      <c r="C20216" t="s">
        <v>32882</v>
      </c>
      <c r="D20216" t="s">
        <v>9</v>
      </c>
      <c r="E20216" t="s">
        <v>84</v>
      </c>
      <c r="F20216" s="2" t="str">
        <f>HYPERLINK("http://www.otzar.org/book.asp?51528","ליקוטי בתר ליקוטי - 14 כר'")</f>
        <v>ליקוטי בתר ליקוטי - 14 כר'</v>
      </c>
    </row>
    <row r="20217" spans="1:6" x14ac:dyDescent="0.2">
      <c r="A20217" t="s">
        <v>32883</v>
      </c>
      <c r="B20217" t="s">
        <v>9336</v>
      </c>
      <c r="C20217" t="s">
        <v>748</v>
      </c>
      <c r="D20217" t="s">
        <v>1541</v>
      </c>
      <c r="E20217" t="s">
        <v>43</v>
      </c>
      <c r="F20217" s="2" t="str">
        <f>HYPERLINK("http://www.otzar.org/book.asp?101042","ליקוטי בתר ליקוטי")</f>
        <v>ליקוטי בתר ליקוטי</v>
      </c>
    </row>
    <row r="20218" spans="1:6" x14ac:dyDescent="0.2">
      <c r="A20218" t="s">
        <v>32884</v>
      </c>
      <c r="B20218" t="s">
        <v>7136</v>
      </c>
      <c r="C20218" t="s">
        <v>506</v>
      </c>
      <c r="D20218" t="s">
        <v>225</v>
      </c>
      <c r="E20218" t="s">
        <v>1211</v>
      </c>
      <c r="F20218" s="2" t="str">
        <f>HYPERLINK("http://www.otzar.org/book.asp?6609","ליקוטי גאונים")</f>
        <v>ליקוטי גאונים</v>
      </c>
    </row>
    <row r="20219" spans="1:6" x14ac:dyDescent="0.2">
      <c r="A20219" t="s">
        <v>32885</v>
      </c>
      <c r="B20219" t="s">
        <v>32886</v>
      </c>
      <c r="C20219" t="s">
        <v>160</v>
      </c>
      <c r="D20219" t="s">
        <v>14</v>
      </c>
      <c r="E20219" t="s">
        <v>4424</v>
      </c>
      <c r="F20219" s="2" t="str">
        <f>HYPERLINK("http://www.otzar.org/book.asp?11575","ליקוטי גמרא לכל השנה - 2 כר'")</f>
        <v>ליקוטי גמרא לכל השנה - 2 כר'</v>
      </c>
    </row>
    <row r="20220" spans="1:6" x14ac:dyDescent="0.2">
      <c r="A20220" t="s">
        <v>32887</v>
      </c>
      <c r="B20220" t="s">
        <v>32888</v>
      </c>
      <c r="C20220" t="s">
        <v>360</v>
      </c>
      <c r="D20220" t="s">
        <v>27</v>
      </c>
      <c r="E20220" t="s">
        <v>10</v>
      </c>
      <c r="F20220" s="2" t="str">
        <f>HYPERLINK("http://www.otzar.org/book.asp?101041","ליקוטי דב""ש")</f>
        <v>ליקוטי דב"ש</v>
      </c>
    </row>
    <row r="20221" spans="1:6" x14ac:dyDescent="0.2">
      <c r="A20221" t="s">
        <v>32889</v>
      </c>
      <c r="B20221" t="s">
        <v>32890</v>
      </c>
      <c r="C20221" t="s">
        <v>20</v>
      </c>
      <c r="D20221" t="s">
        <v>14</v>
      </c>
      <c r="E20221" t="s">
        <v>32891</v>
      </c>
      <c r="F20221" s="2" t="str">
        <f>HYPERLINK("http://www.otzar.org/book.asp?149158","ליקוטי דברי דוד")</f>
        <v>ליקוטי דברי דוד</v>
      </c>
    </row>
    <row r="20222" spans="1:6" x14ac:dyDescent="0.2">
      <c r="A20222" t="s">
        <v>32892</v>
      </c>
      <c r="B20222" t="s">
        <v>4485</v>
      </c>
      <c r="C20222" t="s">
        <v>143</v>
      </c>
      <c r="D20222" t="s">
        <v>423</v>
      </c>
      <c r="E20222" t="s">
        <v>144</v>
      </c>
      <c r="F20222" s="2" t="str">
        <f>HYPERLINK("http://www.otzar.org/book.asp?160040","ליקוטי דברי חיים - קדושין")</f>
        <v>ליקוטי דברי חיים - קדושין</v>
      </c>
    </row>
    <row r="20223" spans="1:6" x14ac:dyDescent="0.2">
      <c r="A20223" t="s">
        <v>32893</v>
      </c>
      <c r="B20223" t="s">
        <v>32894</v>
      </c>
      <c r="C20223" t="s">
        <v>129</v>
      </c>
      <c r="D20223" t="s">
        <v>14</v>
      </c>
      <c r="E20223" t="s">
        <v>3055</v>
      </c>
      <c r="F20223" s="2" t="str">
        <f>HYPERLINK("http://www.otzar.org/book.asp?62705","ליקוטי דברי רבוה""ק מביאלא - 2 כר'")</f>
        <v>ליקוטי דברי רבוה"ק מביאלא - 2 כר'</v>
      </c>
    </row>
    <row r="20224" spans="1:6" x14ac:dyDescent="0.2">
      <c r="A20224" t="s">
        <v>32895</v>
      </c>
      <c r="B20224" t="s">
        <v>32896</v>
      </c>
      <c r="C20224" t="s">
        <v>356</v>
      </c>
      <c r="D20224" t="s">
        <v>14</v>
      </c>
      <c r="E20224" t="s">
        <v>733</v>
      </c>
      <c r="F20224" s="2" t="str">
        <f>HYPERLINK("http://www.otzar.org/book.asp?179588","ליקוטי דוד")</f>
        <v>ליקוטי דוד</v>
      </c>
    </row>
    <row r="20225" spans="1:6" x14ac:dyDescent="0.2">
      <c r="A20225" t="s">
        <v>32895</v>
      </c>
      <c r="B20225" t="s">
        <v>1710</v>
      </c>
      <c r="C20225" t="s">
        <v>313</v>
      </c>
      <c r="D20225" t="s">
        <v>147</v>
      </c>
      <c r="E20225" t="s">
        <v>399</v>
      </c>
      <c r="F20225" s="2" t="str">
        <f>HYPERLINK("http://www.otzar.org/book.asp?108416","ליקוטי דוד")</f>
        <v>ליקוטי דוד</v>
      </c>
    </row>
    <row r="20226" spans="1:6" x14ac:dyDescent="0.2">
      <c r="A20226" t="s">
        <v>32897</v>
      </c>
      <c r="B20226" t="s">
        <v>32898</v>
      </c>
      <c r="C20226" t="s">
        <v>492</v>
      </c>
      <c r="D20226" t="s">
        <v>27</v>
      </c>
      <c r="E20226" t="s">
        <v>15</v>
      </c>
      <c r="F20226" s="2" t="str">
        <f>HYPERLINK("http://www.otzar.org/book.asp?60590","ליקוטי דינים - 6 כר'")</f>
        <v>ליקוטי דינים - 6 כר'</v>
      </c>
    </row>
    <row r="20227" spans="1:6" x14ac:dyDescent="0.2">
      <c r="A20227" t="s">
        <v>32899</v>
      </c>
      <c r="B20227" t="s">
        <v>7396</v>
      </c>
      <c r="C20227" t="s">
        <v>26</v>
      </c>
      <c r="D20227" t="s">
        <v>1356</v>
      </c>
      <c r="E20227" t="s">
        <v>15</v>
      </c>
      <c r="F20227" s="2" t="str">
        <f>HYPERLINK("http://www.otzar.org/book.asp?7556","ליקוטי דינים - הלכות שחיטה בקצרה")</f>
        <v>ליקוטי דינים - הלכות שחיטה בקצרה</v>
      </c>
    </row>
    <row r="20228" spans="1:6" x14ac:dyDescent="0.2">
      <c r="A20228" t="s">
        <v>32900</v>
      </c>
      <c r="B20228" t="s">
        <v>32901</v>
      </c>
      <c r="C20228" t="s">
        <v>20</v>
      </c>
      <c r="D20228" t="s">
        <v>52</v>
      </c>
      <c r="E20228" t="s">
        <v>104</v>
      </c>
      <c r="F20228" s="2" t="str">
        <f>HYPERLINK("http://www.otzar.org/book.asp?142231","ליקוטי דעת")</f>
        <v>ליקוטי דעת</v>
      </c>
    </row>
    <row r="20229" spans="1:6" x14ac:dyDescent="0.2">
      <c r="A20229" t="s">
        <v>32902</v>
      </c>
      <c r="B20229" t="s">
        <v>32903</v>
      </c>
      <c r="C20229" t="s">
        <v>411</v>
      </c>
      <c r="D20229" t="s">
        <v>412</v>
      </c>
      <c r="F20229" s="2" t="str">
        <f>HYPERLINK("http://www.otzar.org/book.asp?198324","ליקוטי דרשות - שמות-משפטים")</f>
        <v>ליקוטי דרשות - שמות-משפטים</v>
      </c>
    </row>
    <row r="20230" spans="1:6" x14ac:dyDescent="0.2">
      <c r="A20230" t="s">
        <v>32904</v>
      </c>
      <c r="B20230" t="s">
        <v>32905</v>
      </c>
      <c r="C20230" t="s">
        <v>103</v>
      </c>
      <c r="D20230" t="s">
        <v>14</v>
      </c>
      <c r="F20230" s="2" t="str">
        <f>HYPERLINK("http://www.otzar.org/book.asp?630378","ליקוטי דרשות - 4 כר'")</f>
        <v>ליקוטי דרשות - 4 כר'</v>
      </c>
    </row>
    <row r="20231" spans="1:6" x14ac:dyDescent="0.2">
      <c r="A20231" t="s">
        <v>32906</v>
      </c>
      <c r="B20231" t="s">
        <v>32907</v>
      </c>
      <c r="C20231" t="s">
        <v>1535</v>
      </c>
      <c r="D20231" t="s">
        <v>9</v>
      </c>
      <c r="E20231" t="s">
        <v>104</v>
      </c>
      <c r="F20231" s="2" t="str">
        <f>HYPERLINK("http://www.otzar.org/book.asp?51529","ליקוטי דשא")</f>
        <v>ליקוטי דשא</v>
      </c>
    </row>
    <row r="20232" spans="1:6" x14ac:dyDescent="0.2">
      <c r="A20232" t="s">
        <v>32908</v>
      </c>
      <c r="B20232" t="s">
        <v>32909</v>
      </c>
      <c r="C20232" t="s">
        <v>16540</v>
      </c>
      <c r="D20232" t="s">
        <v>726</v>
      </c>
      <c r="F20232" s="2" t="str">
        <f>HYPERLINK("http://www.otzar.org/book.asp?619193","ליקוטי האור - 2 כר'")</f>
        <v>ליקוטי האור - 2 כר'</v>
      </c>
    </row>
    <row r="20233" spans="1:6" x14ac:dyDescent="0.2">
      <c r="A20233" t="s">
        <v>32910</v>
      </c>
      <c r="B20233" t="s">
        <v>1821</v>
      </c>
      <c r="C20233" t="s">
        <v>1047</v>
      </c>
      <c r="D20233" t="s">
        <v>283</v>
      </c>
      <c r="E20233" t="s">
        <v>32911</v>
      </c>
      <c r="F20233" s="2" t="str">
        <f>HYPERLINK("http://www.otzar.org/book.asp?100411","ליקוטי הגר""א - 4 כר'")</f>
        <v>ליקוטי הגר"א - 4 כר'</v>
      </c>
    </row>
    <row r="20234" spans="1:6" x14ac:dyDescent="0.2">
      <c r="A20234" t="s">
        <v>32912</v>
      </c>
      <c r="B20234" t="s">
        <v>27750</v>
      </c>
      <c r="C20234" t="s">
        <v>888</v>
      </c>
      <c r="D20234" t="s">
        <v>1419</v>
      </c>
      <c r="E20234" t="s">
        <v>13999</v>
      </c>
      <c r="F20234" s="2" t="str">
        <f>HYPERLINK("http://www.otzar.org/book.asp?18984","ליקוטי הוראות")</f>
        <v>ליקוטי הוראות</v>
      </c>
    </row>
    <row r="20235" spans="1:6" x14ac:dyDescent="0.2">
      <c r="A20235" t="s">
        <v>32913</v>
      </c>
      <c r="B20235" t="s">
        <v>32914</v>
      </c>
      <c r="C20235" t="s">
        <v>635</v>
      </c>
      <c r="D20235" t="s">
        <v>283</v>
      </c>
      <c r="E20235" t="s">
        <v>213</v>
      </c>
      <c r="F20235" s="2" t="str">
        <f>HYPERLINK("http://www.otzar.org/book.asp?10635","ליקוטי הזאבי")</f>
        <v>ליקוטי הזאבי</v>
      </c>
    </row>
    <row r="20236" spans="1:6" x14ac:dyDescent="0.2">
      <c r="A20236" t="s">
        <v>32915</v>
      </c>
      <c r="B20236" t="s">
        <v>32916</v>
      </c>
      <c r="C20236" t="s">
        <v>2543</v>
      </c>
      <c r="D20236" t="s">
        <v>280</v>
      </c>
      <c r="E20236" t="s">
        <v>13193</v>
      </c>
      <c r="F20236" s="2" t="str">
        <f>HYPERLINK("http://www.otzar.org/book.asp?9700","ליקוטי הלוי")</f>
        <v>ליקוטי הלוי</v>
      </c>
    </row>
    <row r="20237" spans="1:6" x14ac:dyDescent="0.2">
      <c r="A20237" t="s">
        <v>32917</v>
      </c>
      <c r="B20237" t="s">
        <v>32918</v>
      </c>
      <c r="C20237" t="s">
        <v>1047</v>
      </c>
      <c r="D20237" t="s">
        <v>56</v>
      </c>
      <c r="E20237" t="s">
        <v>144</v>
      </c>
      <c r="F20237" s="2" t="str">
        <f>HYPERLINK("http://www.otzar.org/book.asp?623331","ליקוטי הלכות (לקח טוב)")</f>
        <v>ליקוטי הלכות (לקח טוב)</v>
      </c>
    </row>
    <row r="20238" spans="1:6" x14ac:dyDescent="0.2">
      <c r="A20238" t="s">
        <v>32917</v>
      </c>
      <c r="B20238" t="s">
        <v>32919</v>
      </c>
      <c r="C20238" t="s">
        <v>360</v>
      </c>
      <c r="D20238" t="s">
        <v>56</v>
      </c>
      <c r="E20238" t="s">
        <v>144</v>
      </c>
      <c r="F20238" s="2" t="str">
        <f>HYPERLINK("http://www.otzar.org/book.asp?149207","ליקוטי הלכות (לקח טוב)")</f>
        <v>ליקוטי הלכות (לקח טוב)</v>
      </c>
    </row>
    <row r="20239" spans="1:6" x14ac:dyDescent="0.2">
      <c r="A20239" t="s">
        <v>32920</v>
      </c>
      <c r="B20239" t="s">
        <v>32921</v>
      </c>
      <c r="C20239" t="s">
        <v>334</v>
      </c>
      <c r="D20239" t="s">
        <v>412</v>
      </c>
      <c r="E20239" t="s">
        <v>15</v>
      </c>
      <c r="F20239" s="2" t="str">
        <f>HYPERLINK("http://www.otzar.org/book.asp?84804","ליקוטי הלכות על הלכות סת""ם")</f>
        <v>ליקוטי הלכות על הלכות סת"ם</v>
      </c>
    </row>
    <row r="20240" spans="1:6" x14ac:dyDescent="0.2">
      <c r="A20240" t="s">
        <v>32922</v>
      </c>
      <c r="B20240" t="s">
        <v>32921</v>
      </c>
      <c r="C20240" t="s">
        <v>356</v>
      </c>
      <c r="D20240" t="s">
        <v>412</v>
      </c>
      <c r="E20240" t="s">
        <v>148</v>
      </c>
      <c r="F20240" s="2" t="str">
        <f>HYPERLINK("http://www.otzar.org/book.asp?84836","ליקוטי הלכות על הלכות צדקה")</f>
        <v>ליקוטי הלכות על הלכות צדקה</v>
      </c>
    </row>
    <row r="20241" spans="1:6" x14ac:dyDescent="0.2">
      <c r="A20241" t="s">
        <v>32923</v>
      </c>
      <c r="B20241" t="s">
        <v>32924</v>
      </c>
      <c r="C20241" t="s">
        <v>32925</v>
      </c>
      <c r="D20241" t="s">
        <v>225</v>
      </c>
      <c r="E20241" t="s">
        <v>15</v>
      </c>
      <c r="F20241" s="2" t="str">
        <f>HYPERLINK("http://www.otzar.org/book.asp?25593","ליקוטי הלכות - 3 כר'")</f>
        <v>ליקוטי הלכות - 3 כר'</v>
      </c>
    </row>
    <row r="20242" spans="1:6" x14ac:dyDescent="0.2">
      <c r="A20242" t="s">
        <v>32926</v>
      </c>
      <c r="B20242" t="s">
        <v>32927</v>
      </c>
      <c r="C20242" t="s">
        <v>32928</v>
      </c>
      <c r="D20242" t="s">
        <v>283</v>
      </c>
      <c r="E20242" t="s">
        <v>786</v>
      </c>
      <c r="F20242" s="2" t="str">
        <f>HYPERLINK("http://www.otzar.org/book.asp?163970","ליקוטי הלכות  - &lt;עם פירוש מרי""ד&gt;")</f>
        <v>ליקוטי הלכות  - &lt;עם פירוש מרי"ד&gt;</v>
      </c>
    </row>
    <row r="20243" spans="1:6" x14ac:dyDescent="0.2">
      <c r="A20243" t="s">
        <v>32923</v>
      </c>
      <c r="B20243" t="s">
        <v>1978</v>
      </c>
      <c r="C20243" t="s">
        <v>32928</v>
      </c>
      <c r="D20243" t="s">
        <v>283</v>
      </c>
      <c r="E20243" t="s">
        <v>32929</v>
      </c>
      <c r="F20243" s="2" t="str">
        <f>HYPERLINK("http://www.otzar.org/book.asp?16501","ליקוטי הלכות - 3 כר'")</f>
        <v>ליקוטי הלכות - 3 כר'</v>
      </c>
    </row>
    <row r="20244" spans="1:6" x14ac:dyDescent="0.2">
      <c r="A20244" t="s">
        <v>32930</v>
      </c>
      <c r="B20244" t="s">
        <v>26000</v>
      </c>
      <c r="C20244" t="s">
        <v>943</v>
      </c>
      <c r="D20244" t="s">
        <v>32931</v>
      </c>
      <c r="E20244" t="s">
        <v>32932</v>
      </c>
      <c r="F20244" s="2" t="str">
        <f>HYPERLINK("http://www.otzar.org/book.asp?168769","ליקוטי הלכות - 24 כר'")</f>
        <v>ליקוטי הלכות - 24 כר'</v>
      </c>
    </row>
    <row r="20245" spans="1:6" x14ac:dyDescent="0.2">
      <c r="A20245" t="s">
        <v>32933</v>
      </c>
      <c r="B20245" t="s">
        <v>32934</v>
      </c>
      <c r="C20245" t="s">
        <v>189</v>
      </c>
      <c r="D20245" t="s">
        <v>14</v>
      </c>
      <c r="E20245" t="s">
        <v>104</v>
      </c>
      <c r="F20245" s="2" t="str">
        <f>HYPERLINK("http://www.otzar.org/book.asp?152367","ליקוטי המליץ")</f>
        <v>ליקוטי המליץ</v>
      </c>
    </row>
    <row r="20246" spans="1:6" x14ac:dyDescent="0.2">
      <c r="A20246" t="s">
        <v>32935</v>
      </c>
      <c r="B20246" t="s">
        <v>22839</v>
      </c>
      <c r="C20246" t="s">
        <v>266</v>
      </c>
      <c r="D20246" t="s">
        <v>1008</v>
      </c>
      <c r="E20246" t="s">
        <v>84</v>
      </c>
      <c r="F20246" s="2" t="str">
        <f>HYPERLINK("http://www.otzar.org/book.asp?105037","ליקוטי המשנה")</f>
        <v>ליקוטי המשנה</v>
      </c>
    </row>
    <row r="20247" spans="1:6" x14ac:dyDescent="0.2">
      <c r="A20247" t="s">
        <v>32936</v>
      </c>
      <c r="B20247" t="s">
        <v>32937</v>
      </c>
      <c r="C20247" t="s">
        <v>940</v>
      </c>
      <c r="D20247" t="s">
        <v>14</v>
      </c>
      <c r="E20247" t="s">
        <v>730</v>
      </c>
      <c r="F20247" s="2" t="str">
        <f>HYPERLINK("http://www.otzar.org/book.asp?143954","ליקוטי הערות על ספרי תשובות חת""ס - 6 כר'")</f>
        <v>ליקוטי הערות על ספרי תשובות חת"ס - 6 כר'</v>
      </c>
    </row>
    <row r="20248" spans="1:6" x14ac:dyDescent="0.2">
      <c r="A20248" t="s">
        <v>32938</v>
      </c>
      <c r="B20248" t="s">
        <v>5332</v>
      </c>
      <c r="C20248" t="s">
        <v>9310</v>
      </c>
      <c r="D20248" t="s">
        <v>49</v>
      </c>
      <c r="E20248" t="s">
        <v>674</v>
      </c>
      <c r="F20248" s="2" t="str">
        <f>HYPERLINK("http://www.otzar.org/book.asp?103857","ליקוטי הפרדס &lt;דפו""ר&gt; - 2 כר'")</f>
        <v>ליקוטי הפרדס &lt;דפו"ר&gt; - 2 כר'</v>
      </c>
    </row>
    <row r="20249" spans="1:6" x14ac:dyDescent="0.2">
      <c r="A20249" t="s">
        <v>32939</v>
      </c>
      <c r="B20249" t="s">
        <v>5332</v>
      </c>
      <c r="C20249" t="s">
        <v>748</v>
      </c>
      <c r="D20249" t="s">
        <v>379</v>
      </c>
      <c r="E20249" t="s">
        <v>15</v>
      </c>
      <c r="F20249" s="2" t="str">
        <f>HYPERLINK("http://www.otzar.org/book.asp?11394","ליקוטי הפרדס - 2 כר'")</f>
        <v>ליקוטי הפרדס - 2 כר'</v>
      </c>
    </row>
    <row r="20250" spans="1:6" x14ac:dyDescent="0.2">
      <c r="A20250" t="s">
        <v>32940</v>
      </c>
      <c r="B20250" t="s">
        <v>32941</v>
      </c>
      <c r="D20250" t="s">
        <v>14</v>
      </c>
      <c r="E20250" t="s">
        <v>158</v>
      </c>
      <c r="F20250" s="2" t="str">
        <f>HYPERLINK("http://www.otzar.org/book.asp?626223","ליקוטי הפרשה")</f>
        <v>ליקוטי הפרשה</v>
      </c>
    </row>
    <row r="20251" spans="1:6" x14ac:dyDescent="0.2">
      <c r="A20251" t="s">
        <v>32942</v>
      </c>
      <c r="B20251" t="s">
        <v>32943</v>
      </c>
      <c r="C20251" t="s">
        <v>1640</v>
      </c>
      <c r="D20251" t="s">
        <v>52</v>
      </c>
      <c r="E20251" t="s">
        <v>399</v>
      </c>
      <c r="F20251" s="2" t="str">
        <f>HYPERLINK("http://www.otzar.org/book.asp?617177","ליקוטי הקדמות - א")</f>
        <v>ליקוטי הקדמות - א</v>
      </c>
    </row>
    <row r="20252" spans="1:6" x14ac:dyDescent="0.2">
      <c r="A20252" t="s">
        <v>32944</v>
      </c>
      <c r="B20252" t="s">
        <v>32945</v>
      </c>
      <c r="C20252" t="s">
        <v>3690</v>
      </c>
      <c r="D20252" t="s">
        <v>991</v>
      </c>
      <c r="E20252" t="s">
        <v>140</v>
      </c>
      <c r="F20252" s="2" t="str">
        <f>HYPERLINK("http://www.otzar.org/book.asp?28298","ליקוטי הרמ""ז")</f>
        <v>ליקוטי הרמ"ז</v>
      </c>
    </row>
    <row r="20253" spans="1:6" x14ac:dyDescent="0.2">
      <c r="A20253" t="s">
        <v>32946</v>
      </c>
      <c r="B20253" t="s">
        <v>32947</v>
      </c>
      <c r="C20253" t="s">
        <v>32948</v>
      </c>
      <c r="D20253" t="s">
        <v>260</v>
      </c>
      <c r="E20253" t="s">
        <v>84</v>
      </c>
      <c r="F20253" s="2" t="str">
        <f>HYPERLINK("http://www.otzar.org/book.asp?152931","ליקוטי הרמא""ה")</f>
        <v>ליקוטי הרמא"ה</v>
      </c>
    </row>
    <row r="20254" spans="1:6" x14ac:dyDescent="0.2">
      <c r="A20254" t="s">
        <v>32949</v>
      </c>
      <c r="B20254" t="s">
        <v>24828</v>
      </c>
      <c r="C20254" t="s">
        <v>21397</v>
      </c>
      <c r="D20254" t="s">
        <v>14</v>
      </c>
      <c r="E20254" t="s">
        <v>9092</v>
      </c>
      <c r="F20254" s="2" t="str">
        <f>HYPERLINK("http://www.otzar.org/book.asp?153634","ליקוטי הש""ס - 3 כר'")</f>
        <v>ליקוטי הש"ס - 3 כר'</v>
      </c>
    </row>
    <row r="20255" spans="1:6" x14ac:dyDescent="0.2">
      <c r="A20255" t="s">
        <v>32950</v>
      </c>
      <c r="B20255" t="s">
        <v>13596</v>
      </c>
      <c r="C20255" t="s">
        <v>332</v>
      </c>
      <c r="D20255" t="s">
        <v>14</v>
      </c>
      <c r="E20255" t="s">
        <v>144</v>
      </c>
      <c r="F20255" s="2" t="str">
        <f>HYPERLINK("http://www.otzar.org/book.asp?613990","ליקוטי ופסקי מהרש""ם - בבא בתרא")</f>
        <v>ליקוטי ופסקי מהרש"ם - בבא בתרא</v>
      </c>
    </row>
    <row r="20256" spans="1:6" x14ac:dyDescent="0.2">
      <c r="A20256" t="s">
        <v>32951</v>
      </c>
      <c r="B20256" t="s">
        <v>11656</v>
      </c>
      <c r="C20256" t="s">
        <v>103</v>
      </c>
      <c r="D20256" t="s">
        <v>52</v>
      </c>
      <c r="E20256" t="s">
        <v>15</v>
      </c>
      <c r="F20256" s="2" t="str">
        <f>HYPERLINK("http://www.otzar.org/book.asp?160607","ליקוטי זהב")</f>
        <v>ליקוטי זהב</v>
      </c>
    </row>
    <row r="20257" spans="1:6" x14ac:dyDescent="0.2">
      <c r="A20257" t="s">
        <v>32952</v>
      </c>
      <c r="B20257" t="s">
        <v>32953</v>
      </c>
      <c r="C20257" t="s">
        <v>32954</v>
      </c>
      <c r="D20257" t="s">
        <v>1422</v>
      </c>
      <c r="E20257" t="s">
        <v>32955</v>
      </c>
      <c r="F20257" s="2" t="str">
        <f>HYPERLINK("http://www.otzar.org/book.asp?101039","ליקוטי חבר בן חיים - 11 כר'")</f>
        <v>ליקוטי חבר בן חיים - 11 כר'</v>
      </c>
    </row>
    <row r="20258" spans="1:6" x14ac:dyDescent="0.2">
      <c r="A20258" t="s">
        <v>32956</v>
      </c>
      <c r="B20258" t="s">
        <v>32957</v>
      </c>
      <c r="C20258" t="s">
        <v>3246</v>
      </c>
      <c r="D20258" t="s">
        <v>27</v>
      </c>
      <c r="E20258" t="s">
        <v>2071</v>
      </c>
      <c r="F20258" s="2" t="str">
        <f>HYPERLINK("http://www.otzar.org/book.asp?172691","ליקוטי חז""ל")</f>
        <v>ליקוטי חז"ל</v>
      </c>
    </row>
    <row r="20259" spans="1:6" x14ac:dyDescent="0.2">
      <c r="A20259" t="s">
        <v>32958</v>
      </c>
      <c r="B20259" t="s">
        <v>32959</v>
      </c>
      <c r="C20259" t="s">
        <v>20</v>
      </c>
      <c r="D20259" t="s">
        <v>14</v>
      </c>
      <c r="E20259" t="s">
        <v>158</v>
      </c>
      <c r="F20259" s="2" t="str">
        <f>HYPERLINK("http://www.otzar.org/book.asp?191228","ליקוטי חידושי תורה - 3 כר'")</f>
        <v>ליקוטי חידושי תורה - 3 כר'</v>
      </c>
    </row>
    <row r="20260" spans="1:6" x14ac:dyDescent="0.2">
      <c r="A20260" t="s">
        <v>32960</v>
      </c>
      <c r="B20260" t="s">
        <v>32961</v>
      </c>
      <c r="C20260" t="s">
        <v>1268</v>
      </c>
      <c r="D20260" t="s">
        <v>5130</v>
      </c>
      <c r="E20260" t="s">
        <v>5712</v>
      </c>
      <c r="F20260" s="2" t="str">
        <f>HYPERLINK("http://www.otzar.org/book.asp?149605","ליקוטי חידושים ודרושים")</f>
        <v>ליקוטי חידושים ודרושים</v>
      </c>
    </row>
    <row r="20261" spans="1:6" x14ac:dyDescent="0.2">
      <c r="A20261" t="s">
        <v>32962</v>
      </c>
      <c r="B20261" t="s">
        <v>32963</v>
      </c>
      <c r="C20261" t="s">
        <v>383</v>
      </c>
      <c r="D20261" t="s">
        <v>216</v>
      </c>
      <c r="E20261" t="s">
        <v>10</v>
      </c>
      <c r="F20261" s="2" t="str">
        <f>HYPERLINK("http://www.otzar.org/book.asp?154624","ליקוטי חידושים ושו""ת &lt;הגרי""ז יוסקוביץ&gt;")</f>
        <v>ליקוטי חידושים ושו"ת &lt;הגרי"ז יוסקוביץ&gt;</v>
      </c>
    </row>
    <row r="20262" spans="1:6" x14ac:dyDescent="0.2">
      <c r="A20262" t="s">
        <v>32964</v>
      </c>
      <c r="B20262" t="s">
        <v>32965</v>
      </c>
      <c r="C20262" t="s">
        <v>146</v>
      </c>
      <c r="D20262" t="s">
        <v>5421</v>
      </c>
      <c r="E20262" t="s">
        <v>579</v>
      </c>
      <c r="F20262" s="2" t="str">
        <f>HYPERLINK("http://www.otzar.org/book.asp?64233","ליקוטי חיים")</f>
        <v>ליקוטי חיים</v>
      </c>
    </row>
    <row r="20263" spans="1:6" x14ac:dyDescent="0.2">
      <c r="A20263" t="s">
        <v>32964</v>
      </c>
      <c r="B20263" t="s">
        <v>32966</v>
      </c>
      <c r="C20263" t="s">
        <v>1160</v>
      </c>
      <c r="D20263" t="s">
        <v>14</v>
      </c>
      <c r="E20263" t="s">
        <v>957</v>
      </c>
      <c r="F20263" s="2" t="str">
        <f>HYPERLINK("http://www.otzar.org/book.asp?5841","ליקוטי חיים")</f>
        <v>ליקוטי חיים</v>
      </c>
    </row>
    <row r="20264" spans="1:6" x14ac:dyDescent="0.2">
      <c r="A20264" t="s">
        <v>32967</v>
      </c>
      <c r="B20264" t="s">
        <v>32968</v>
      </c>
      <c r="C20264" t="s">
        <v>124</v>
      </c>
      <c r="D20264" t="s">
        <v>260</v>
      </c>
      <c r="E20264" t="s">
        <v>15</v>
      </c>
      <c r="F20264" s="2" t="str">
        <f>HYPERLINK("http://www.otzar.org/book.asp?600072","ליקוטי חמד - 2 כר'")</f>
        <v>ליקוטי חמד - 2 כר'</v>
      </c>
    </row>
    <row r="20265" spans="1:6" x14ac:dyDescent="0.2">
      <c r="A20265" t="s">
        <v>32969</v>
      </c>
      <c r="B20265" t="s">
        <v>1978</v>
      </c>
      <c r="C20265" t="s">
        <v>129</v>
      </c>
      <c r="D20265" t="s">
        <v>14</v>
      </c>
      <c r="E20265" t="s">
        <v>241</v>
      </c>
      <c r="F20265" s="2" t="str">
        <f>HYPERLINK("http://www.otzar.org/book.asp?142610","ליקוטי חפץ חיים על דעה והשקפה")</f>
        <v>ליקוטי חפץ חיים על דעה והשקפה</v>
      </c>
    </row>
    <row r="20266" spans="1:6" x14ac:dyDescent="0.2">
      <c r="A20266" t="s">
        <v>32970</v>
      </c>
      <c r="B20266" t="s">
        <v>1978</v>
      </c>
      <c r="C20266" t="s">
        <v>1811</v>
      </c>
      <c r="D20266" t="s">
        <v>14</v>
      </c>
      <c r="E20266" t="s">
        <v>84</v>
      </c>
      <c r="F20266" s="2" t="str">
        <f>HYPERLINK("http://www.otzar.org/book.asp?153611","ליקוטי חפץ חיים - 5 כר'")</f>
        <v>ליקוטי חפץ חיים - 5 כר'</v>
      </c>
    </row>
    <row r="20267" spans="1:6" x14ac:dyDescent="0.2">
      <c r="A20267" t="s">
        <v>32971</v>
      </c>
      <c r="B20267" t="s">
        <v>20897</v>
      </c>
      <c r="C20267" t="s">
        <v>23</v>
      </c>
      <c r="D20267" t="s">
        <v>412</v>
      </c>
      <c r="F20267" s="2" t="str">
        <f>HYPERLINK("http://www.otzar.org/book.asp?618845","ליקוטי חקל יצחק - מועדים")</f>
        <v>ליקוטי חקל יצחק - מועדים</v>
      </c>
    </row>
    <row r="20268" spans="1:6" x14ac:dyDescent="0.2">
      <c r="A20268" t="s">
        <v>32972</v>
      </c>
      <c r="B20268" t="s">
        <v>32973</v>
      </c>
      <c r="C20268" t="s">
        <v>114</v>
      </c>
      <c r="D20268" t="s">
        <v>367</v>
      </c>
      <c r="E20268" t="s">
        <v>148</v>
      </c>
      <c r="F20268" s="2" t="str">
        <f>HYPERLINK("http://www.otzar.org/book.asp?163689","ליקוטי טהרה")</f>
        <v>ליקוטי טהרה</v>
      </c>
    </row>
    <row r="20269" spans="1:6" x14ac:dyDescent="0.2">
      <c r="A20269" t="s">
        <v>32974</v>
      </c>
      <c r="B20269" t="s">
        <v>32975</v>
      </c>
      <c r="C20269" t="s">
        <v>151</v>
      </c>
      <c r="D20269" t="s">
        <v>14</v>
      </c>
      <c r="F20269" s="2" t="str">
        <f>HYPERLINK("http://www.otzar.org/book.asp?619909","ליקוטי טוב להודות")</f>
        <v>ליקוטי טוב להודות</v>
      </c>
    </row>
    <row r="20270" spans="1:6" x14ac:dyDescent="0.2">
      <c r="A20270" t="s">
        <v>32976</v>
      </c>
      <c r="B20270" t="s">
        <v>32977</v>
      </c>
      <c r="C20270" t="s">
        <v>411</v>
      </c>
      <c r="D20270" t="s">
        <v>52</v>
      </c>
      <c r="E20270" t="s">
        <v>158</v>
      </c>
      <c r="F20270" s="2" t="str">
        <f>HYPERLINK("http://www.otzar.org/book.asp?168634","ליקוטי יהודה  &lt;מהדורה חדשה&gt; - 5 כר'")</f>
        <v>ליקוטי יהודה  &lt;מהדורה חדשה&gt; - 5 כר'</v>
      </c>
    </row>
    <row r="20271" spans="1:6" x14ac:dyDescent="0.2">
      <c r="A20271" t="s">
        <v>32978</v>
      </c>
      <c r="B20271" t="s">
        <v>32977</v>
      </c>
      <c r="C20271" t="s">
        <v>989</v>
      </c>
      <c r="D20271" t="s">
        <v>14</v>
      </c>
      <c r="E20271" t="s">
        <v>158</v>
      </c>
      <c r="F20271" s="2" t="str">
        <f>HYPERLINK("http://www.otzar.org/book.asp?619955","ליקוטי יהודה - 11 כר'")</f>
        <v>ליקוטי יהודה - 11 כר'</v>
      </c>
    </row>
    <row r="20272" spans="1:6" x14ac:dyDescent="0.2">
      <c r="A20272" t="s">
        <v>32979</v>
      </c>
      <c r="B20272" t="s">
        <v>32980</v>
      </c>
      <c r="C20272" t="s">
        <v>843</v>
      </c>
      <c r="D20272" t="s">
        <v>412</v>
      </c>
      <c r="E20272" t="s">
        <v>25517</v>
      </c>
      <c r="F20272" s="2" t="str">
        <f>HYPERLINK("http://www.otzar.org/book.asp?52512","ליקוטי יהושע")</f>
        <v>ליקוטי יהושע</v>
      </c>
    </row>
    <row r="20273" spans="1:6" x14ac:dyDescent="0.2">
      <c r="A20273" t="s">
        <v>32981</v>
      </c>
      <c r="B20273" t="s">
        <v>32982</v>
      </c>
      <c r="C20273" t="s">
        <v>103</v>
      </c>
      <c r="D20273" t="s">
        <v>14</v>
      </c>
      <c r="E20273" t="s">
        <v>144</v>
      </c>
      <c r="F20273" s="2" t="str">
        <f>HYPERLINK("http://www.otzar.org/book.asp?158520","ליקוטי יום טוב - ביצה")</f>
        <v>ליקוטי יום טוב - ביצה</v>
      </c>
    </row>
    <row r="20274" spans="1:6" x14ac:dyDescent="0.2">
      <c r="A20274" t="s">
        <v>32983</v>
      </c>
      <c r="B20274" t="s">
        <v>32984</v>
      </c>
      <c r="C20274" t="s">
        <v>168</v>
      </c>
      <c r="D20274" t="s">
        <v>14</v>
      </c>
      <c r="F20274" s="2" t="str">
        <f>HYPERLINK("http://www.otzar.org/book.asp?613282","ליקוטי יוסף מדי שבת בשבתו - 2 כר'")</f>
        <v>ליקוטי יוסף מדי שבת בשבתו - 2 כר'</v>
      </c>
    </row>
    <row r="20275" spans="1:6" x14ac:dyDescent="0.2">
      <c r="A20275" t="s">
        <v>32985</v>
      </c>
      <c r="B20275" t="s">
        <v>32986</v>
      </c>
      <c r="C20275" t="s">
        <v>168</v>
      </c>
      <c r="D20275" t="s">
        <v>14</v>
      </c>
      <c r="E20275" t="s">
        <v>13258</v>
      </c>
      <c r="F20275" s="2" t="str">
        <f>HYPERLINK("http://www.otzar.org/book.asp?179011","ליקוטי יוסף")</f>
        <v>ליקוטי יוסף</v>
      </c>
    </row>
    <row r="20276" spans="1:6" x14ac:dyDescent="0.2">
      <c r="A20276" t="s">
        <v>32987</v>
      </c>
      <c r="B20276" t="s">
        <v>32988</v>
      </c>
      <c r="C20276" t="s">
        <v>553</v>
      </c>
      <c r="D20276" t="s">
        <v>14</v>
      </c>
      <c r="F20276" s="2" t="str">
        <f>HYPERLINK("http://www.otzar.org/book.asp?157546","ליקוטי יוסף - 5 כר'")</f>
        <v>ליקוטי יוסף - 5 כר'</v>
      </c>
    </row>
    <row r="20277" spans="1:6" x14ac:dyDescent="0.2">
      <c r="A20277" t="s">
        <v>32989</v>
      </c>
      <c r="B20277" t="s">
        <v>32990</v>
      </c>
      <c r="C20277" t="s">
        <v>454</v>
      </c>
      <c r="D20277" t="s">
        <v>52</v>
      </c>
      <c r="E20277" t="s">
        <v>920</v>
      </c>
      <c r="F20277" s="2" t="str">
        <f>HYPERLINK("http://www.otzar.org/book.asp?143543","ליקוטי יוסף - 2 כר'")</f>
        <v>ליקוטי יוסף - 2 כר'</v>
      </c>
    </row>
    <row r="20278" spans="1:6" x14ac:dyDescent="0.2">
      <c r="A20278" t="s">
        <v>32985</v>
      </c>
      <c r="B20278" t="s">
        <v>13706</v>
      </c>
      <c r="C20278" t="s">
        <v>2644</v>
      </c>
      <c r="D20278" t="s">
        <v>283</v>
      </c>
      <c r="E20278" t="s">
        <v>573</v>
      </c>
      <c r="F20278" s="2" t="str">
        <f>HYPERLINK("http://www.otzar.org/book.asp?103374","ליקוטי יוסף")</f>
        <v>ליקוטי יוסף</v>
      </c>
    </row>
    <row r="20279" spans="1:6" x14ac:dyDescent="0.2">
      <c r="A20279" t="s">
        <v>32985</v>
      </c>
      <c r="B20279" t="s">
        <v>32991</v>
      </c>
      <c r="C20279" t="s">
        <v>1374</v>
      </c>
      <c r="D20279" t="s">
        <v>9</v>
      </c>
      <c r="E20279" t="s">
        <v>2098</v>
      </c>
      <c r="F20279" s="2" t="str">
        <f>HYPERLINK("http://www.otzar.org/book.asp?51535","ליקוטי יוסף")</f>
        <v>ליקוטי יוסף</v>
      </c>
    </row>
    <row r="20280" spans="1:6" x14ac:dyDescent="0.2">
      <c r="A20280" t="s">
        <v>32992</v>
      </c>
      <c r="B20280" t="s">
        <v>32993</v>
      </c>
      <c r="C20280" t="s">
        <v>13</v>
      </c>
      <c r="D20280" t="s">
        <v>14</v>
      </c>
      <c r="E20280" t="s">
        <v>144</v>
      </c>
      <c r="F20280" s="2" t="str">
        <f>HYPERLINK("http://www.otzar.org/book.asp?159314","ליקוטי יושר - לא יחפור")</f>
        <v>ליקוטי יושר - לא יחפור</v>
      </c>
    </row>
    <row r="20281" spans="1:6" x14ac:dyDescent="0.2">
      <c r="A20281" t="s">
        <v>32994</v>
      </c>
      <c r="B20281" t="s">
        <v>24766</v>
      </c>
      <c r="C20281" t="s">
        <v>1706</v>
      </c>
      <c r="D20281" t="s">
        <v>31180</v>
      </c>
      <c r="E20281" t="s">
        <v>158</v>
      </c>
      <c r="F20281" s="2" t="str">
        <f>HYPERLINK("http://www.otzar.org/book.asp?14952","ליקוטי יעב""ץ")</f>
        <v>ליקוטי יעב"ץ</v>
      </c>
    </row>
    <row r="20282" spans="1:6" x14ac:dyDescent="0.2">
      <c r="A20282" t="s">
        <v>32995</v>
      </c>
      <c r="B20282" t="s">
        <v>32996</v>
      </c>
      <c r="C20282" t="s">
        <v>1811</v>
      </c>
      <c r="D20282" t="s">
        <v>14</v>
      </c>
      <c r="E20282" t="s">
        <v>1847</v>
      </c>
      <c r="F20282" s="2" t="str">
        <f>HYPERLINK("http://www.otzar.org/book.asp?7730","ליקוטי יעקב")</f>
        <v>ליקוטי יעקב</v>
      </c>
    </row>
    <row r="20283" spans="1:6" x14ac:dyDescent="0.2">
      <c r="A20283" t="s">
        <v>32995</v>
      </c>
      <c r="B20283" t="s">
        <v>32997</v>
      </c>
      <c r="C20283" t="s">
        <v>558</v>
      </c>
      <c r="D20283" t="s">
        <v>2440</v>
      </c>
      <c r="E20283" t="s">
        <v>104</v>
      </c>
      <c r="F20283" s="2" t="str">
        <f>HYPERLINK("http://www.otzar.org/book.asp?107035","ליקוטי יעקב")</f>
        <v>ליקוטי יעקב</v>
      </c>
    </row>
    <row r="20284" spans="1:6" x14ac:dyDescent="0.2">
      <c r="A20284" t="s">
        <v>32998</v>
      </c>
      <c r="B20284" t="s">
        <v>32999</v>
      </c>
      <c r="C20284" t="s">
        <v>332</v>
      </c>
      <c r="D20284" t="s">
        <v>14</v>
      </c>
      <c r="E20284" t="s">
        <v>130</v>
      </c>
      <c r="F20284" s="2" t="str">
        <f>HYPERLINK("http://www.otzar.org/book.asp?164294","ליקוטי יצחק")</f>
        <v>ליקוטי יצחק</v>
      </c>
    </row>
    <row r="20285" spans="1:6" x14ac:dyDescent="0.2">
      <c r="A20285" t="s">
        <v>32998</v>
      </c>
      <c r="B20285" t="s">
        <v>33000</v>
      </c>
      <c r="C20285" t="s">
        <v>3840</v>
      </c>
      <c r="D20285" t="s">
        <v>27</v>
      </c>
      <c r="E20285" t="s">
        <v>140</v>
      </c>
      <c r="F20285" s="2" t="str">
        <f>HYPERLINK("http://www.otzar.org/book.asp?17003","ליקוטי יצחק")</f>
        <v>ליקוטי יצחק</v>
      </c>
    </row>
    <row r="20286" spans="1:6" x14ac:dyDescent="0.2">
      <c r="A20286" t="s">
        <v>32998</v>
      </c>
      <c r="B20286" t="s">
        <v>33001</v>
      </c>
      <c r="C20286" t="s">
        <v>362</v>
      </c>
      <c r="D20286" t="s">
        <v>56</v>
      </c>
      <c r="E20286" t="s">
        <v>158</v>
      </c>
      <c r="F20286" s="2" t="str">
        <f>HYPERLINK("http://www.otzar.org/book.asp?149250","ליקוטי יצחק")</f>
        <v>ליקוטי יצחק</v>
      </c>
    </row>
    <row r="20287" spans="1:6" x14ac:dyDescent="0.2">
      <c r="A20287" t="s">
        <v>33002</v>
      </c>
      <c r="B20287" t="s">
        <v>33003</v>
      </c>
      <c r="C20287" t="s">
        <v>6638</v>
      </c>
      <c r="D20287" t="s">
        <v>6214</v>
      </c>
      <c r="F20287" s="2" t="str">
        <f>HYPERLINK("http://www.otzar.org/book.asp?620885","ליקוטי יצחק - 2 כר'")</f>
        <v>ליקוטי יצחק - 2 כר'</v>
      </c>
    </row>
    <row r="20288" spans="1:6" x14ac:dyDescent="0.2">
      <c r="A20288" t="s">
        <v>32998</v>
      </c>
      <c r="B20288" t="s">
        <v>33004</v>
      </c>
      <c r="C20288" t="s">
        <v>5160</v>
      </c>
      <c r="D20288" t="s">
        <v>6042</v>
      </c>
      <c r="E20288" t="s">
        <v>241</v>
      </c>
      <c r="F20288" s="2" t="str">
        <f>HYPERLINK("http://www.otzar.org/book.asp?63891","ליקוטי יצחק")</f>
        <v>ליקוטי יצחק</v>
      </c>
    </row>
    <row r="20289" spans="1:6" x14ac:dyDescent="0.2">
      <c r="A20289" t="s">
        <v>33005</v>
      </c>
      <c r="B20289" t="s">
        <v>33006</v>
      </c>
      <c r="C20289" t="s">
        <v>3840</v>
      </c>
      <c r="D20289" t="s">
        <v>216</v>
      </c>
      <c r="E20289" t="s">
        <v>104</v>
      </c>
      <c r="F20289" s="2" t="str">
        <f>HYPERLINK("http://www.otzar.org/book.asp?179189","ליקוטי יקותיאל")</f>
        <v>ליקוטי יקותיאל</v>
      </c>
    </row>
    <row r="20290" spans="1:6" x14ac:dyDescent="0.2">
      <c r="A20290" t="s">
        <v>33007</v>
      </c>
      <c r="B20290" t="s">
        <v>2861</v>
      </c>
      <c r="C20290" t="s">
        <v>151</v>
      </c>
      <c r="D20290" t="s">
        <v>52</v>
      </c>
      <c r="E20290" t="s">
        <v>158</v>
      </c>
      <c r="F20290" s="2" t="str">
        <f>HYPERLINK("http://www.otzar.org/book.asp?612939","ליקוטי ישועות משה")</f>
        <v>ליקוטי ישועות משה</v>
      </c>
    </row>
    <row r="20291" spans="1:6" x14ac:dyDescent="0.2">
      <c r="A20291" t="s">
        <v>33008</v>
      </c>
      <c r="B20291" t="s">
        <v>33009</v>
      </c>
      <c r="C20291" t="s">
        <v>224</v>
      </c>
      <c r="D20291" t="s">
        <v>986</v>
      </c>
      <c r="E20291" t="s">
        <v>158</v>
      </c>
      <c r="F20291" s="2" t="str">
        <f>HYPERLINK("http://www.otzar.org/book.asp?51534","ליקוטי ישעיה - בראשית")</f>
        <v>ליקוטי ישעיה - בראשית</v>
      </c>
    </row>
    <row r="20292" spans="1:6" x14ac:dyDescent="0.2">
      <c r="A20292" t="s">
        <v>33010</v>
      </c>
      <c r="B20292" t="s">
        <v>33011</v>
      </c>
      <c r="C20292" t="s">
        <v>383</v>
      </c>
      <c r="D20292" t="s">
        <v>52</v>
      </c>
      <c r="E20292" t="s">
        <v>17488</v>
      </c>
      <c r="F20292" s="2" t="str">
        <f>HYPERLINK("http://www.otzar.org/book.asp?161198","ליקוטי ישרים - 5 כר'")</f>
        <v>ליקוטי ישרים - 5 כר'</v>
      </c>
    </row>
    <row r="20293" spans="1:6" x14ac:dyDescent="0.2">
      <c r="A20293" t="s">
        <v>33012</v>
      </c>
      <c r="B20293" t="s">
        <v>33013</v>
      </c>
      <c r="C20293" t="s">
        <v>989</v>
      </c>
      <c r="D20293" t="s">
        <v>646</v>
      </c>
      <c r="E20293" t="s">
        <v>104</v>
      </c>
      <c r="F20293" s="2" t="str">
        <f>HYPERLINK("http://www.otzar.org/book.asp?193104","ליקוטי מאיר - א")</f>
        <v>ליקוטי מאיר - א</v>
      </c>
    </row>
    <row r="20294" spans="1:6" x14ac:dyDescent="0.2">
      <c r="A20294" t="s">
        <v>33014</v>
      </c>
      <c r="B20294" t="s">
        <v>2993</v>
      </c>
      <c r="C20294" t="s">
        <v>13</v>
      </c>
      <c r="D20294" t="s">
        <v>14919</v>
      </c>
      <c r="E20294" t="s">
        <v>15425</v>
      </c>
      <c r="F20294" s="2" t="str">
        <f>HYPERLINK("http://www.otzar.org/book.asp?84180","ליקוטי מאמרים &lt;מהדורת הר ברכה&gt;")</f>
        <v>ליקוטי מאמרים &lt;מהדורת הר ברכה&gt;</v>
      </c>
    </row>
    <row r="20295" spans="1:6" x14ac:dyDescent="0.2">
      <c r="A20295" t="s">
        <v>33015</v>
      </c>
      <c r="B20295" t="s">
        <v>1978</v>
      </c>
      <c r="C20295" t="s">
        <v>989</v>
      </c>
      <c r="D20295" t="s">
        <v>52</v>
      </c>
      <c r="E20295" t="s">
        <v>213</v>
      </c>
      <c r="F20295" s="2" t="str">
        <f>HYPERLINK("http://www.otzar.org/book.asp?156528","ליקוטי מאמרים ומכתבים - 2 כר'")</f>
        <v>ליקוטי מאמרים ומכתבים - 2 כר'</v>
      </c>
    </row>
    <row r="20296" spans="1:6" x14ac:dyDescent="0.2">
      <c r="A20296" t="s">
        <v>33016</v>
      </c>
      <c r="B20296" t="s">
        <v>11066</v>
      </c>
      <c r="C20296" t="s">
        <v>411</v>
      </c>
      <c r="D20296" t="s">
        <v>14</v>
      </c>
      <c r="E20296" t="s">
        <v>158</v>
      </c>
      <c r="F20296" s="2" t="str">
        <f>HYPERLINK("http://www.otzar.org/book.asp?606270","ליקוטי מאמרים שבילי פנחס - 3 כר'")</f>
        <v>ליקוטי מאמרים שבילי פנחס - 3 כר'</v>
      </c>
    </row>
    <row r="20297" spans="1:6" x14ac:dyDescent="0.2">
      <c r="A20297" t="s">
        <v>33017</v>
      </c>
      <c r="B20297" t="s">
        <v>1978</v>
      </c>
      <c r="C20297" t="s">
        <v>6054</v>
      </c>
      <c r="D20297" t="s">
        <v>283</v>
      </c>
      <c r="E20297" t="s">
        <v>241</v>
      </c>
      <c r="F20297" s="2" t="str">
        <f>HYPERLINK("http://www.otzar.org/book.asp?169782","ליקוטי מאמרים")</f>
        <v>ליקוטי מאמרים</v>
      </c>
    </row>
    <row r="20298" spans="1:6" x14ac:dyDescent="0.2">
      <c r="A20298" t="s">
        <v>33017</v>
      </c>
      <c r="B20298" t="s">
        <v>2083</v>
      </c>
      <c r="C20298" t="s">
        <v>1208</v>
      </c>
      <c r="D20298" t="s">
        <v>52</v>
      </c>
      <c r="E20298" t="s">
        <v>241</v>
      </c>
      <c r="F20298" s="2" t="str">
        <f>HYPERLINK("http://www.otzar.org/book.asp?199996","ליקוטי מאמרים")</f>
        <v>ליקוטי מאמרים</v>
      </c>
    </row>
    <row r="20299" spans="1:6" x14ac:dyDescent="0.2">
      <c r="A20299" t="s">
        <v>33018</v>
      </c>
      <c r="B20299" t="s">
        <v>33019</v>
      </c>
      <c r="C20299" t="s">
        <v>146</v>
      </c>
      <c r="D20299" t="s">
        <v>27966</v>
      </c>
      <c r="E20299" t="s">
        <v>463</v>
      </c>
      <c r="F20299" s="2" t="str">
        <f>HYPERLINK("http://www.otzar.org/book.asp?195979","ליקוטי מהר""א &lt;מהדורה חדשה&gt;")</f>
        <v>ליקוטי מהר"א &lt;מהדורה חדשה&gt;</v>
      </c>
    </row>
    <row r="20300" spans="1:6" x14ac:dyDescent="0.2">
      <c r="A20300" t="s">
        <v>33020</v>
      </c>
      <c r="B20300" t="s">
        <v>33019</v>
      </c>
      <c r="C20300" t="s">
        <v>1160</v>
      </c>
      <c r="D20300" t="s">
        <v>14</v>
      </c>
      <c r="E20300" t="s">
        <v>33021</v>
      </c>
      <c r="F20300" s="2" t="str">
        <f>HYPERLINK("http://www.otzar.org/book.asp?5161","ליקוטי מהר""א - 2 כר'")</f>
        <v>ליקוטי מהר"א - 2 כר'</v>
      </c>
    </row>
    <row r="20301" spans="1:6" x14ac:dyDescent="0.2">
      <c r="A20301" t="s">
        <v>33022</v>
      </c>
      <c r="B20301" t="s">
        <v>33023</v>
      </c>
      <c r="C20301" t="s">
        <v>390</v>
      </c>
      <c r="D20301" t="s">
        <v>14</v>
      </c>
      <c r="E20301" t="s">
        <v>241</v>
      </c>
      <c r="F20301" s="2" t="str">
        <f>HYPERLINK("http://www.otzar.org/book.asp?181913","ליקוטי מהר""ל")</f>
        <v>ליקוטי מהר"ל</v>
      </c>
    </row>
    <row r="20302" spans="1:6" x14ac:dyDescent="0.2">
      <c r="A20302" t="s">
        <v>33024</v>
      </c>
      <c r="B20302" t="s">
        <v>1349</v>
      </c>
      <c r="C20302" t="s">
        <v>37</v>
      </c>
      <c r="D20302" t="s">
        <v>14</v>
      </c>
      <c r="E20302" t="s">
        <v>230</v>
      </c>
      <c r="F20302" s="2" t="str">
        <f>HYPERLINK("http://www.otzar.org/book.asp?183116","ליקוטי מהר""ם שיק החדש - על התורה")</f>
        <v>ליקוטי מהר"ם שיק החדש - על התורה</v>
      </c>
    </row>
    <row r="20303" spans="1:6" x14ac:dyDescent="0.2">
      <c r="A20303" t="s">
        <v>33025</v>
      </c>
      <c r="B20303" t="s">
        <v>1349</v>
      </c>
      <c r="C20303" t="s">
        <v>558</v>
      </c>
      <c r="D20303" t="s">
        <v>379</v>
      </c>
      <c r="E20303" t="s">
        <v>230</v>
      </c>
      <c r="F20303" s="2" t="str">
        <f>HYPERLINK("http://www.otzar.org/book.asp?14739","ליקוטי מהר""ם שיק")</f>
        <v>ליקוטי מהר"ם שיק</v>
      </c>
    </row>
    <row r="20304" spans="1:6" x14ac:dyDescent="0.2">
      <c r="A20304" t="s">
        <v>33026</v>
      </c>
      <c r="B20304" t="s">
        <v>5253</v>
      </c>
      <c r="C20304" t="s">
        <v>438</v>
      </c>
      <c r="D20304" t="s">
        <v>14</v>
      </c>
      <c r="E20304" t="s">
        <v>9557</v>
      </c>
      <c r="F20304" s="2" t="str">
        <f>HYPERLINK("http://www.otzar.org/book.asp?7468","ליקוטי מהרא""ל")</f>
        <v>ליקוטי מהרא"ל</v>
      </c>
    </row>
    <row r="20305" spans="1:6" x14ac:dyDescent="0.2">
      <c r="A20305" t="s">
        <v>33027</v>
      </c>
      <c r="B20305" t="s">
        <v>33028</v>
      </c>
      <c r="C20305" t="s">
        <v>351</v>
      </c>
      <c r="D20305" t="s">
        <v>267</v>
      </c>
      <c r="E20305" t="s">
        <v>23256</v>
      </c>
      <c r="F20305" s="2" t="str">
        <f>HYPERLINK("http://www.otzar.org/book.asp?102261","ליקוטי מהרי""א - 2 כר'")</f>
        <v>ליקוטי מהרי"א - 2 כר'</v>
      </c>
    </row>
    <row r="20306" spans="1:6" x14ac:dyDescent="0.2">
      <c r="A20306" t="s">
        <v>33029</v>
      </c>
      <c r="B20306" t="s">
        <v>33030</v>
      </c>
      <c r="C20306" t="s">
        <v>600</v>
      </c>
      <c r="D20306" t="s">
        <v>1279</v>
      </c>
      <c r="E20306" t="s">
        <v>144</v>
      </c>
      <c r="F20306" s="2" t="str">
        <f>HYPERLINK("http://www.otzar.org/book.asp?106910","ליקוטי מהרי""א")</f>
        <v>ליקוטי מהרי"א</v>
      </c>
    </row>
    <row r="20307" spans="1:6" x14ac:dyDescent="0.2">
      <c r="A20307" t="s">
        <v>33031</v>
      </c>
      <c r="B20307" t="s">
        <v>33032</v>
      </c>
      <c r="C20307" t="s">
        <v>133</v>
      </c>
      <c r="D20307" t="s">
        <v>14</v>
      </c>
      <c r="E20307" t="s">
        <v>15</v>
      </c>
      <c r="F20307" s="2" t="str">
        <f>HYPERLINK("http://www.otzar.org/book.asp?199896","ליקוטי מהרי""ח &lt;מהדורה חדשה&gt; - 3 כר'")</f>
        <v>ליקוטי מהרי"ח &lt;מהדורה חדשה&gt; - 3 כר'</v>
      </c>
    </row>
    <row r="20308" spans="1:6" x14ac:dyDescent="0.2">
      <c r="A20308" t="s">
        <v>33033</v>
      </c>
      <c r="B20308" t="s">
        <v>33032</v>
      </c>
      <c r="C20308" t="s">
        <v>33034</v>
      </c>
      <c r="D20308" t="s">
        <v>756</v>
      </c>
      <c r="E20308" t="s">
        <v>29643</v>
      </c>
      <c r="F20308" s="2" t="str">
        <f>HYPERLINK("http://www.otzar.org/book.asp?12944","ליקוטי מהרי""ח - 3 כר'")</f>
        <v>ליקוטי מהרי"ח - 3 כר'</v>
      </c>
    </row>
    <row r="20309" spans="1:6" x14ac:dyDescent="0.2">
      <c r="A20309" t="s">
        <v>33035</v>
      </c>
      <c r="B20309" t="s">
        <v>33036</v>
      </c>
      <c r="C20309" t="s">
        <v>492</v>
      </c>
      <c r="D20309" t="s">
        <v>726</v>
      </c>
      <c r="E20309" t="s">
        <v>463</v>
      </c>
      <c r="F20309" s="2" t="str">
        <f>HYPERLINK("http://www.otzar.org/book.asp?102262","ליקוטי מהרי""ל - 2 כר'")</f>
        <v>ליקוטי מהרי"ל - 2 כר'</v>
      </c>
    </row>
    <row r="20310" spans="1:6" x14ac:dyDescent="0.2">
      <c r="A20310" t="s">
        <v>33037</v>
      </c>
      <c r="B20310" t="s">
        <v>33038</v>
      </c>
      <c r="C20310" t="s">
        <v>250</v>
      </c>
      <c r="D20310" t="s">
        <v>4269</v>
      </c>
      <c r="E20310" t="s">
        <v>158</v>
      </c>
      <c r="F20310" s="2" t="str">
        <f>HYPERLINK("http://www.otzar.org/book.asp?104221","ליקוטי מהרי""ן ותולדות יצחק בן לוי")</f>
        <v>ליקוטי מהרי"ן ותולדות יצחק בן לוי</v>
      </c>
    </row>
    <row r="20311" spans="1:6" x14ac:dyDescent="0.2">
      <c r="A20311" t="s">
        <v>33039</v>
      </c>
      <c r="B20311" t="s">
        <v>33040</v>
      </c>
      <c r="C20311" t="s">
        <v>313</v>
      </c>
      <c r="D20311" t="s">
        <v>52</v>
      </c>
      <c r="E20311" t="s">
        <v>33041</v>
      </c>
      <c r="F20311" s="2" t="str">
        <f>HYPERLINK("http://www.otzar.org/book.asp?147937","ליקוטי מהריא""ץ")</f>
        <v>ליקוטי מהריא"ץ</v>
      </c>
    </row>
    <row r="20312" spans="1:6" x14ac:dyDescent="0.2">
      <c r="A20312" t="s">
        <v>33042</v>
      </c>
      <c r="B20312" t="s">
        <v>33043</v>
      </c>
      <c r="C20312" t="s">
        <v>224</v>
      </c>
      <c r="D20312" t="s">
        <v>1966</v>
      </c>
      <c r="E20312" t="s">
        <v>15</v>
      </c>
      <c r="F20312" s="2" t="str">
        <f>HYPERLINK("http://www.otzar.org/book.asp?145233","ליקוטי מהרמ""י")</f>
        <v>ליקוטי מהרמ"י</v>
      </c>
    </row>
    <row r="20313" spans="1:6" x14ac:dyDescent="0.2">
      <c r="A20313" t="s">
        <v>33044</v>
      </c>
      <c r="B20313" t="s">
        <v>1712</v>
      </c>
      <c r="C20313" t="s">
        <v>2076</v>
      </c>
      <c r="D20313" t="s">
        <v>267</v>
      </c>
      <c r="E20313" t="s">
        <v>399</v>
      </c>
      <c r="F20313" s="2" t="str">
        <f>HYPERLINK("http://www.otzar.org/book.asp?105951","ליקוטי מהרמ""ם")</f>
        <v>ליקוטי מהרמ"ם</v>
      </c>
    </row>
    <row r="20314" spans="1:6" x14ac:dyDescent="0.2">
      <c r="A20314" t="s">
        <v>33045</v>
      </c>
      <c r="B20314" t="s">
        <v>1264</v>
      </c>
      <c r="C20314" t="s">
        <v>17</v>
      </c>
      <c r="D20314" t="s">
        <v>52</v>
      </c>
      <c r="E20314" t="s">
        <v>1185</v>
      </c>
      <c r="F20314" s="2" t="str">
        <f>HYPERLINK("http://www.otzar.org/book.asp?50037","ליקוטי מהרצ""א - 2 כר'")</f>
        <v>ליקוטי מהרצ"א - 2 כר'</v>
      </c>
    </row>
    <row r="20315" spans="1:6" x14ac:dyDescent="0.2">
      <c r="A20315" t="s">
        <v>33046</v>
      </c>
      <c r="B20315" t="s">
        <v>33047</v>
      </c>
      <c r="C20315" t="s">
        <v>812</v>
      </c>
      <c r="D20315" t="s">
        <v>10393</v>
      </c>
      <c r="E20315" t="s">
        <v>424</v>
      </c>
      <c r="F20315" s="2" t="str">
        <f>HYPERLINK("http://www.otzar.org/book.asp?22330","ליקוטי מוהר""ם")</f>
        <v>ליקוטי מוהר"ם</v>
      </c>
    </row>
    <row r="20316" spans="1:6" x14ac:dyDescent="0.2">
      <c r="A20316" t="s">
        <v>33048</v>
      </c>
      <c r="B20316" t="s">
        <v>33049</v>
      </c>
      <c r="C20316" t="s">
        <v>23</v>
      </c>
      <c r="D20316" t="s">
        <v>52</v>
      </c>
      <c r="F20316" s="2" t="str">
        <f>HYPERLINK("http://www.otzar.org/book.asp?198339","ליקוטי מוהר""ן &lt;מקור חכמה&gt;")</f>
        <v>ליקוטי מוהר"ן &lt;מקור חכמה&gt;</v>
      </c>
    </row>
    <row r="20317" spans="1:6" x14ac:dyDescent="0.2">
      <c r="A20317" t="s">
        <v>33050</v>
      </c>
      <c r="B20317" t="s">
        <v>33051</v>
      </c>
      <c r="C20317" t="s">
        <v>103</v>
      </c>
      <c r="D20317" t="s">
        <v>14</v>
      </c>
      <c r="F20317" s="2" t="str">
        <f>HYPERLINK("http://www.otzar.org/book.asp?182247","ליקוטי מוהר""ן &lt;ע""פ נעימות נצח&gt; - 6 כר'")</f>
        <v>ליקוטי מוהר"ן &lt;ע"פ נעימות נצח&gt; - 6 כר'</v>
      </c>
    </row>
    <row r="20318" spans="1:6" x14ac:dyDescent="0.2">
      <c r="A20318" t="s">
        <v>33052</v>
      </c>
      <c r="B20318" t="s">
        <v>3614</v>
      </c>
      <c r="C20318" t="s">
        <v>33053</v>
      </c>
      <c r="D20318" t="s">
        <v>3817</v>
      </c>
      <c r="E20318" t="s">
        <v>140</v>
      </c>
      <c r="F20318" s="2" t="str">
        <f>HYPERLINK("http://www.otzar.org/book.asp?53418","ליקוטי מוהר""ן &lt;דפו""ר&gt;")</f>
        <v>ליקוטי מוהר"ן &lt;דפו"ר&gt;</v>
      </c>
    </row>
    <row r="20319" spans="1:6" x14ac:dyDescent="0.2">
      <c r="A20319" t="s">
        <v>33054</v>
      </c>
      <c r="B20319" t="s">
        <v>3614</v>
      </c>
      <c r="C20319" t="s">
        <v>13</v>
      </c>
      <c r="D20319" t="s">
        <v>14</v>
      </c>
      <c r="E20319" t="s">
        <v>140</v>
      </c>
      <c r="F20319" s="2" t="str">
        <f>HYPERLINK("http://www.otzar.org/book.asp?142500","ליקוטי מוהר""ן &lt;טקסט&gt;")</f>
        <v>ליקוטי מוהר"ן &lt;טקסט&gt;</v>
      </c>
    </row>
    <row r="20320" spans="1:6" x14ac:dyDescent="0.2">
      <c r="A20320" t="s">
        <v>33055</v>
      </c>
      <c r="B20320" t="s">
        <v>3614</v>
      </c>
      <c r="C20320" t="s">
        <v>168</v>
      </c>
      <c r="D20320" t="s">
        <v>14</v>
      </c>
      <c r="E20320" t="s">
        <v>140</v>
      </c>
      <c r="F20320" s="2" t="str">
        <f>HYPERLINK("http://www.otzar.org/book.asp?172148","ליקוטי מוהר""ן &lt;עם נוסחאות והגהות כת""י מוהרנ""ת&gt;")</f>
        <v>ליקוטי מוהר"ן &lt;עם נוסחאות והגהות כת"י מוהרנ"ת&gt;</v>
      </c>
    </row>
    <row r="20321" spans="1:6" x14ac:dyDescent="0.2">
      <c r="A20321" t="s">
        <v>33056</v>
      </c>
      <c r="B20321" t="s">
        <v>3614</v>
      </c>
      <c r="C20321" t="s">
        <v>1448</v>
      </c>
      <c r="D20321" t="s">
        <v>14</v>
      </c>
      <c r="E20321" t="s">
        <v>4656</v>
      </c>
      <c r="F20321" s="2" t="str">
        <f>HYPERLINK("http://www.otzar.org/book.asp?10801","ליקוטי מוהר""ן &lt;שפת הנחל, ליקוטי תפילות&gt;")</f>
        <v>ליקוטי מוהר"ן &lt;שפת הנחל, ליקוטי תפילות&gt;</v>
      </c>
    </row>
    <row r="20322" spans="1:6" x14ac:dyDescent="0.2">
      <c r="A20322" t="s">
        <v>33057</v>
      </c>
      <c r="B20322" t="s">
        <v>33058</v>
      </c>
      <c r="C20322" t="s">
        <v>114</v>
      </c>
      <c r="D20322" t="s">
        <v>14</v>
      </c>
      <c r="E20322" t="s">
        <v>140</v>
      </c>
      <c r="F20322" s="2" t="str">
        <f>HYPERLINK("http://www.otzar.org/book.asp?178920","ליקוטי מוהר""ן ע""פ שלום מלכות")</f>
        <v>ליקוטי מוהר"ן ע"פ שלום מלכות</v>
      </c>
    </row>
    <row r="20323" spans="1:6" x14ac:dyDescent="0.2">
      <c r="A20323" t="s">
        <v>33059</v>
      </c>
      <c r="B20323" t="s">
        <v>7854</v>
      </c>
      <c r="C20323" t="s">
        <v>114</v>
      </c>
      <c r="D20323" t="s">
        <v>14</v>
      </c>
      <c r="E20323" t="s">
        <v>140</v>
      </c>
      <c r="F20323" s="2" t="str">
        <f>HYPERLINK("http://www.otzar.org/book.asp?165070","ליקוטי מוהר""ן עם ביאור פני מנורה")</f>
        <v>ליקוטי מוהר"ן עם ביאור פני מנורה</v>
      </c>
    </row>
    <row r="20324" spans="1:6" x14ac:dyDescent="0.2">
      <c r="A20324" t="s">
        <v>33060</v>
      </c>
      <c r="B20324" t="s">
        <v>3614</v>
      </c>
      <c r="C20324" t="s">
        <v>20</v>
      </c>
      <c r="D20324" t="s">
        <v>14</v>
      </c>
      <c r="E20324" t="s">
        <v>703</v>
      </c>
      <c r="F20324" s="2" t="str">
        <f>HYPERLINK("http://www.otzar.org/book.asp?60863","ליקוטי מוהר""ן עם פירוש שפת הנחל - 2 כר'")</f>
        <v>ליקוטי מוהר"ן עם פירוש שפת הנחל - 2 כר'</v>
      </c>
    </row>
    <row r="20325" spans="1:6" x14ac:dyDescent="0.2">
      <c r="A20325" t="s">
        <v>33061</v>
      </c>
      <c r="B20325" t="s">
        <v>24140</v>
      </c>
      <c r="C20325" t="s">
        <v>33062</v>
      </c>
      <c r="D20325" t="s">
        <v>2069</v>
      </c>
      <c r="F20325" s="2" t="str">
        <f>HYPERLINK("http://www.otzar.org/book.asp?620039","ליקוטי מוהר""ן")</f>
        <v>ליקוטי מוהר"ן</v>
      </c>
    </row>
    <row r="20326" spans="1:6" x14ac:dyDescent="0.2">
      <c r="A20326" t="s">
        <v>33063</v>
      </c>
      <c r="B20326" t="s">
        <v>3614</v>
      </c>
      <c r="C20326" t="s">
        <v>286</v>
      </c>
      <c r="D20326" t="s">
        <v>27</v>
      </c>
      <c r="E20326" t="s">
        <v>140</v>
      </c>
      <c r="F20326" s="2" t="str">
        <f>HYPERLINK("http://www.otzar.org/book.asp?11680","ליקוטי מוהר""ן - 6 כר'")</f>
        <v>ליקוטי מוהר"ן - 6 כר'</v>
      </c>
    </row>
    <row r="20327" spans="1:6" x14ac:dyDescent="0.2">
      <c r="A20327" t="s">
        <v>33064</v>
      </c>
      <c r="B20327" t="s">
        <v>33065</v>
      </c>
      <c r="C20327" t="s">
        <v>168</v>
      </c>
      <c r="D20327" t="s">
        <v>52</v>
      </c>
      <c r="E20327" t="s">
        <v>241</v>
      </c>
      <c r="F20327" s="2" t="str">
        <f>HYPERLINK("http://www.otzar.org/book.asp?192890","ליקוטי מוסר מספר יערות דבש - בנתיב שלום")</f>
        <v>ליקוטי מוסר מספר יערות דבש - בנתיב שלום</v>
      </c>
    </row>
    <row r="20328" spans="1:6" x14ac:dyDescent="0.2">
      <c r="A20328" t="s">
        <v>33066</v>
      </c>
      <c r="B20328" t="s">
        <v>33067</v>
      </c>
      <c r="C20328" t="s">
        <v>1135</v>
      </c>
      <c r="D20328" t="s">
        <v>1023</v>
      </c>
      <c r="E20328" t="s">
        <v>158</v>
      </c>
      <c r="F20328" s="2" t="str">
        <f>HYPERLINK("http://www.otzar.org/book.asp?17004","ליקוטי מן")</f>
        <v>ליקוטי מן</v>
      </c>
    </row>
    <row r="20329" spans="1:6" x14ac:dyDescent="0.2">
      <c r="A20329" t="s">
        <v>33068</v>
      </c>
      <c r="B20329" t="s">
        <v>33069</v>
      </c>
      <c r="C20329" t="s">
        <v>1228</v>
      </c>
      <c r="D20329" t="s">
        <v>756</v>
      </c>
      <c r="E20329" t="s">
        <v>15</v>
      </c>
      <c r="F20329" s="2" t="str">
        <f>HYPERLINK("http://www.otzar.org/book.asp?21478","ליקוטי מנהגים")</f>
        <v>ליקוטי מנהגים</v>
      </c>
    </row>
    <row r="20330" spans="1:6" x14ac:dyDescent="0.2">
      <c r="A20330" t="s">
        <v>33070</v>
      </c>
      <c r="B20330" t="s">
        <v>33069</v>
      </c>
      <c r="C20330" t="s">
        <v>473</v>
      </c>
      <c r="D20330" t="s">
        <v>756</v>
      </c>
      <c r="E20330" t="s">
        <v>15</v>
      </c>
      <c r="F20330" s="2" t="str">
        <f>HYPERLINK("http://www.otzar.org/book.asp?23733","ליקוטי מנהגים, ליקוטי ש""ם, ליקוטי מאיר")</f>
        <v>ליקוטי מנהגים, ליקוטי ש"ם, ליקוטי מאיר</v>
      </c>
    </row>
    <row r="20331" spans="1:6" x14ac:dyDescent="0.2">
      <c r="A20331" t="s">
        <v>33071</v>
      </c>
      <c r="B20331" t="s">
        <v>33072</v>
      </c>
      <c r="C20331" t="s">
        <v>23</v>
      </c>
      <c r="D20331" t="s">
        <v>412</v>
      </c>
      <c r="E20331" t="s">
        <v>246</v>
      </c>
      <c r="F20331" s="2" t="str">
        <f>HYPERLINK("http://www.otzar.org/book.asp?623468","ליקוטי מנחת חינוך - פסח")</f>
        <v>ליקוטי מנחת חינוך - פסח</v>
      </c>
    </row>
    <row r="20332" spans="1:6" x14ac:dyDescent="0.2">
      <c r="A20332" t="s">
        <v>33073</v>
      </c>
      <c r="B20332" t="s">
        <v>33074</v>
      </c>
      <c r="C20332" t="s">
        <v>332</v>
      </c>
      <c r="D20332" t="s">
        <v>412</v>
      </c>
      <c r="E20332" t="s">
        <v>144</v>
      </c>
      <c r="F20332" s="2" t="str">
        <f>HYPERLINK("http://www.otzar.org/book.asp?193627","ליקוטי מנחת חינוך - על הש""ס")</f>
        <v>ליקוטי מנחת חינוך - על הש"ס</v>
      </c>
    </row>
    <row r="20333" spans="1:6" x14ac:dyDescent="0.2">
      <c r="A20333" t="s">
        <v>33075</v>
      </c>
      <c r="B20333" t="s">
        <v>1962</v>
      </c>
      <c r="C20333" t="s">
        <v>33076</v>
      </c>
      <c r="D20333" t="s">
        <v>27</v>
      </c>
      <c r="E20333" t="s">
        <v>33077</v>
      </c>
      <c r="F20333" s="2" t="str">
        <f>HYPERLINK("http://www.otzar.org/book.asp?6460","ליקוטי מנשה - 2 כר'")</f>
        <v>ליקוטי מנשה - 2 כר'</v>
      </c>
    </row>
    <row r="20334" spans="1:6" x14ac:dyDescent="0.2">
      <c r="A20334" t="s">
        <v>33078</v>
      </c>
      <c r="B20334" t="s">
        <v>33079</v>
      </c>
      <c r="C20334" t="s">
        <v>496</v>
      </c>
      <c r="D20334" t="s">
        <v>27</v>
      </c>
      <c r="E20334" t="s">
        <v>104</v>
      </c>
      <c r="F20334" s="2" t="str">
        <f>HYPERLINK("http://www.otzar.org/book.asp?51530","ליקוטי מעשיות")</f>
        <v>ליקוטי מעשיות</v>
      </c>
    </row>
    <row r="20335" spans="1:6" x14ac:dyDescent="0.2">
      <c r="A20335" t="s">
        <v>33080</v>
      </c>
      <c r="B20335" t="s">
        <v>15329</v>
      </c>
      <c r="C20335" t="s">
        <v>111</v>
      </c>
      <c r="D20335" t="s">
        <v>52</v>
      </c>
      <c r="E20335" t="s">
        <v>84</v>
      </c>
      <c r="F20335" s="2" t="str">
        <f>HYPERLINK("http://www.otzar.org/book.asp?625599","ליקוטי מעשרות")</f>
        <v>ליקוטי מעשרות</v>
      </c>
    </row>
    <row r="20336" spans="1:6" x14ac:dyDescent="0.2">
      <c r="A20336" t="s">
        <v>33081</v>
      </c>
      <c r="B20336" t="s">
        <v>33082</v>
      </c>
      <c r="C20336" t="s">
        <v>843</v>
      </c>
      <c r="D20336" t="s">
        <v>9</v>
      </c>
      <c r="E20336" t="s">
        <v>104</v>
      </c>
      <c r="F20336" s="2" t="str">
        <f>HYPERLINK("http://www.otzar.org/book.asp?8451","ליקוטי מרגליות")</f>
        <v>ליקוטי מרגליות</v>
      </c>
    </row>
    <row r="20337" spans="1:6" x14ac:dyDescent="0.2">
      <c r="A20337" t="s">
        <v>33083</v>
      </c>
      <c r="B20337" t="s">
        <v>33084</v>
      </c>
      <c r="C20337" t="s">
        <v>33085</v>
      </c>
      <c r="D20337" t="s">
        <v>563</v>
      </c>
      <c r="E20337" t="s">
        <v>3261</v>
      </c>
      <c r="F20337" s="2" t="str">
        <f>HYPERLINK("http://www.otzar.org/book.asp?16992","ליקוטי משמחי לב - 2 כר'")</f>
        <v>ליקוטי משמחי לב - 2 כר'</v>
      </c>
    </row>
    <row r="20338" spans="1:6" x14ac:dyDescent="0.2">
      <c r="A20338" t="s">
        <v>33086</v>
      </c>
      <c r="B20338" t="s">
        <v>13594</v>
      </c>
      <c r="C20338" t="s">
        <v>51</v>
      </c>
      <c r="D20338" t="s">
        <v>657</v>
      </c>
      <c r="F20338" s="2" t="str">
        <f>HYPERLINK("http://www.otzar.org/book.asp?85870","ליקוטי נגלות לשם שבו ואחלמה")</f>
        <v>ליקוטי נגלות לשם שבו ואחלמה</v>
      </c>
    </row>
    <row r="20339" spans="1:6" x14ac:dyDescent="0.2">
      <c r="A20339" t="s">
        <v>33087</v>
      </c>
      <c r="B20339" t="s">
        <v>33088</v>
      </c>
      <c r="C20339" t="s">
        <v>919</v>
      </c>
      <c r="D20339" t="s">
        <v>216</v>
      </c>
      <c r="E20339" t="s">
        <v>158</v>
      </c>
      <c r="F20339" s="2" t="str">
        <f>HYPERLINK("http://www.otzar.org/book.asp?167979","ליקוטי נסים")</f>
        <v>ליקוטי נסים</v>
      </c>
    </row>
    <row r="20340" spans="1:6" x14ac:dyDescent="0.2">
      <c r="A20340" t="s">
        <v>33089</v>
      </c>
      <c r="B20340" t="s">
        <v>33090</v>
      </c>
      <c r="C20340" t="s">
        <v>7625</v>
      </c>
      <c r="D20340" t="s">
        <v>2303</v>
      </c>
      <c r="E20340" t="s">
        <v>158</v>
      </c>
      <c r="F20340" s="2" t="str">
        <f>HYPERLINK("http://www.otzar.org/book.asp?17006","ליקוטי נפתלי")</f>
        <v>ליקוטי נפתלי</v>
      </c>
    </row>
    <row r="20341" spans="1:6" x14ac:dyDescent="0.2">
      <c r="A20341" t="s">
        <v>33091</v>
      </c>
      <c r="B20341" t="s">
        <v>33092</v>
      </c>
      <c r="C20341" t="s">
        <v>13</v>
      </c>
      <c r="D20341" t="s">
        <v>14</v>
      </c>
      <c r="E20341" t="s">
        <v>104</v>
      </c>
      <c r="F20341" s="2" t="str">
        <f>HYPERLINK("http://www.otzar.org/book.asp?63052","ליקוטי סגולות ישראל &lt;ישראל לסגולתו&gt;")</f>
        <v>ליקוטי סגולות ישראל &lt;ישראל לסגולתו&gt;</v>
      </c>
    </row>
    <row r="20342" spans="1:6" x14ac:dyDescent="0.2">
      <c r="A20342" t="s">
        <v>33093</v>
      </c>
      <c r="B20342" t="s">
        <v>16988</v>
      </c>
      <c r="C20342" t="s">
        <v>33094</v>
      </c>
      <c r="D20342" t="s">
        <v>661</v>
      </c>
      <c r="E20342" t="s">
        <v>674</v>
      </c>
      <c r="F20342" s="2" t="str">
        <f>HYPERLINK("http://www.otzar.org/book.asp?10193","ליקוטי סופר - א")</f>
        <v>ליקוטי סופר - א</v>
      </c>
    </row>
    <row r="20343" spans="1:6" x14ac:dyDescent="0.2">
      <c r="A20343" t="s">
        <v>33095</v>
      </c>
      <c r="B20343" t="s">
        <v>9120</v>
      </c>
      <c r="C20343" t="s">
        <v>411</v>
      </c>
      <c r="D20343" t="s">
        <v>21</v>
      </c>
      <c r="F20343" s="2" t="str">
        <f>HYPERLINK("http://www.otzar.org/book.asp?621237","ליקוטי עין יעקב - 2 כר'")</f>
        <v>ליקוטי עין יעקב - 2 כר'</v>
      </c>
    </row>
    <row r="20344" spans="1:6" x14ac:dyDescent="0.2">
      <c r="A20344" t="s">
        <v>33096</v>
      </c>
      <c r="B20344" t="s">
        <v>3614</v>
      </c>
      <c r="C20344" t="s">
        <v>1995</v>
      </c>
      <c r="D20344" t="s">
        <v>90</v>
      </c>
      <c r="E20344" t="s">
        <v>140</v>
      </c>
      <c r="F20344" s="2" t="str">
        <f>HYPERLINK("http://www.otzar.org/book.asp?154152","ליקוטי עצות &lt;עברי טייטש&gt;")</f>
        <v>ליקוטי עצות &lt;עברי טייטש&gt;</v>
      </c>
    </row>
    <row r="20345" spans="1:6" x14ac:dyDescent="0.2">
      <c r="A20345" t="s">
        <v>33097</v>
      </c>
      <c r="B20345" t="s">
        <v>26000</v>
      </c>
      <c r="C20345" t="s">
        <v>33098</v>
      </c>
      <c r="D20345" t="s">
        <v>283</v>
      </c>
      <c r="E20345" t="s">
        <v>703</v>
      </c>
      <c r="F20345" s="2" t="str">
        <f>HYPERLINK("http://www.otzar.org/book.asp?5429","ליקוטי עצות המשולש - ב")</f>
        <v>ליקוטי עצות המשולש - ב</v>
      </c>
    </row>
    <row r="20346" spans="1:6" x14ac:dyDescent="0.2">
      <c r="A20346" t="s">
        <v>33099</v>
      </c>
      <c r="B20346" t="s">
        <v>21428</v>
      </c>
      <c r="C20346" t="s">
        <v>168</v>
      </c>
      <c r="D20346" t="s">
        <v>412</v>
      </c>
      <c r="F20346" s="2" t="str">
        <f>HYPERLINK("http://www.otzar.org/book.asp?608361","ליקוטי עצות - 2 כר'")</f>
        <v>ליקוטי עצות - 2 כר'</v>
      </c>
    </row>
    <row r="20347" spans="1:6" x14ac:dyDescent="0.2">
      <c r="A20347" t="s">
        <v>33099</v>
      </c>
      <c r="B20347" t="s">
        <v>26000</v>
      </c>
      <c r="C20347" t="s">
        <v>334</v>
      </c>
      <c r="D20347" t="s">
        <v>14</v>
      </c>
      <c r="E20347" t="s">
        <v>140</v>
      </c>
      <c r="F20347" s="2" t="str">
        <f>HYPERLINK("http://www.otzar.org/book.asp?154169","ליקוטי עצות - 2 כר'")</f>
        <v>ליקוטי עצות - 2 כר'</v>
      </c>
    </row>
    <row r="20348" spans="1:6" x14ac:dyDescent="0.2">
      <c r="A20348" t="s">
        <v>33100</v>
      </c>
      <c r="B20348" t="s">
        <v>15329</v>
      </c>
      <c r="C20348" t="s">
        <v>189</v>
      </c>
      <c r="D20348" t="s">
        <v>52</v>
      </c>
      <c r="E20348" t="s">
        <v>84</v>
      </c>
      <c r="F20348" s="2" t="str">
        <f>HYPERLINK("http://www.otzar.org/book.asp?25692","ליקוטי פאה")</f>
        <v>ליקוטי פאה</v>
      </c>
    </row>
    <row r="20349" spans="1:6" x14ac:dyDescent="0.2">
      <c r="A20349" t="s">
        <v>33101</v>
      </c>
      <c r="B20349" t="s">
        <v>4431</v>
      </c>
      <c r="C20349" t="s">
        <v>129</v>
      </c>
      <c r="D20349" t="s">
        <v>27</v>
      </c>
      <c r="E20349" t="s">
        <v>241</v>
      </c>
      <c r="F20349" s="2" t="str">
        <f>HYPERLINK("http://www.otzar.org/book.asp?161792","ליקוטי פלא יועץ")</f>
        <v>ליקוטי פלא יועץ</v>
      </c>
    </row>
    <row r="20350" spans="1:6" x14ac:dyDescent="0.2">
      <c r="A20350" t="s">
        <v>33102</v>
      </c>
      <c r="B20350" t="s">
        <v>28892</v>
      </c>
      <c r="C20350" t="s">
        <v>10175</v>
      </c>
      <c r="D20350" t="s">
        <v>9896</v>
      </c>
      <c r="E20350" t="s">
        <v>148</v>
      </c>
      <c r="F20350" s="2" t="str">
        <f>HYPERLINK("http://www.otzar.org/book.asp?24608","ליקוטי פנחס")</f>
        <v>ליקוטי פנחס</v>
      </c>
    </row>
    <row r="20351" spans="1:6" x14ac:dyDescent="0.2">
      <c r="A20351" t="s">
        <v>33103</v>
      </c>
      <c r="B20351" t="s">
        <v>33104</v>
      </c>
      <c r="C20351" t="s">
        <v>114</v>
      </c>
      <c r="D20351" t="s">
        <v>14</v>
      </c>
      <c r="E20351" t="s">
        <v>23215</v>
      </c>
      <c r="F20351" s="2" t="str">
        <f>HYPERLINK("http://www.otzar.org/book.asp?183346","ליקוטי פני חסד &lt;מהדורה חדשה&gt;")</f>
        <v>ליקוטי פני חסד &lt;מהדורה חדשה&gt;</v>
      </c>
    </row>
    <row r="20352" spans="1:6" x14ac:dyDescent="0.2">
      <c r="A20352" t="s">
        <v>33105</v>
      </c>
      <c r="B20352" t="s">
        <v>10964</v>
      </c>
      <c r="C20352" t="s">
        <v>176</v>
      </c>
      <c r="D20352" t="s">
        <v>14</v>
      </c>
      <c r="E20352" t="s">
        <v>158</v>
      </c>
      <c r="F20352" s="2" t="str">
        <f>HYPERLINK("http://www.otzar.org/book.asp?155938","ליקוטי פניני בן ישכר - 2 כר'")</f>
        <v>ליקוטי פניני בן ישכר - 2 כר'</v>
      </c>
    </row>
    <row r="20353" spans="1:6" x14ac:dyDescent="0.2">
      <c r="A20353" t="s">
        <v>33106</v>
      </c>
      <c r="B20353" t="s">
        <v>3253</v>
      </c>
      <c r="C20353" t="s">
        <v>111</v>
      </c>
      <c r="D20353" t="s">
        <v>52</v>
      </c>
      <c r="E20353" t="s">
        <v>241</v>
      </c>
      <c r="F20353" s="2" t="str">
        <f>HYPERLINK("http://www.otzar.org/book.asp?631140","ליקוטי פנינים נבחרים")</f>
        <v>ליקוטי פנינים נבחרים</v>
      </c>
    </row>
    <row r="20354" spans="1:6" x14ac:dyDescent="0.2">
      <c r="A20354" t="s">
        <v>33107</v>
      </c>
      <c r="B20354" t="s">
        <v>12062</v>
      </c>
      <c r="C20354" t="s">
        <v>1640</v>
      </c>
      <c r="D20354" t="s">
        <v>14</v>
      </c>
      <c r="E20354" t="s">
        <v>158</v>
      </c>
      <c r="F20354" s="2" t="str">
        <f>HYPERLINK("http://www.otzar.org/book.asp?14462","ליקוטי פרושים על קהלת - א")</f>
        <v>ליקוטי פרושים על קהלת - א</v>
      </c>
    </row>
    <row r="20355" spans="1:6" x14ac:dyDescent="0.2">
      <c r="A20355" t="s">
        <v>33108</v>
      </c>
      <c r="B20355" t="s">
        <v>33109</v>
      </c>
      <c r="C20355" t="s">
        <v>698</v>
      </c>
      <c r="D20355" t="s">
        <v>260</v>
      </c>
      <c r="E20355" t="s">
        <v>158</v>
      </c>
      <c r="F20355" s="2" t="str">
        <f>HYPERLINK("http://www.otzar.org/book.asp?154129","ליקוטי פרושים")</f>
        <v>ליקוטי פרושים</v>
      </c>
    </row>
    <row r="20356" spans="1:6" x14ac:dyDescent="0.2">
      <c r="A20356" t="s">
        <v>33110</v>
      </c>
      <c r="B20356" t="s">
        <v>33111</v>
      </c>
      <c r="C20356" t="s">
        <v>129</v>
      </c>
      <c r="D20356" t="s">
        <v>14</v>
      </c>
      <c r="E20356" t="s">
        <v>786</v>
      </c>
      <c r="F20356" s="2" t="str">
        <f>HYPERLINK("http://www.otzar.org/book.asp?84725","ליקוטי פרי חדש - ברכות, חלה")</f>
        <v>ליקוטי פרי חדש - ברכות, חלה</v>
      </c>
    </row>
    <row r="20357" spans="1:6" x14ac:dyDescent="0.2">
      <c r="A20357" t="s">
        <v>33112</v>
      </c>
      <c r="B20357" t="s">
        <v>9982</v>
      </c>
      <c r="C20357" t="s">
        <v>4144</v>
      </c>
      <c r="D20357" t="s">
        <v>3293</v>
      </c>
      <c r="E20357" t="s">
        <v>148</v>
      </c>
      <c r="F20357" s="2" t="str">
        <f>HYPERLINK("http://www.otzar.org/book.asp?51533","ליקוטי צבי")</f>
        <v>ליקוטי צבי</v>
      </c>
    </row>
    <row r="20358" spans="1:6" x14ac:dyDescent="0.2">
      <c r="A20358" t="s">
        <v>33112</v>
      </c>
      <c r="B20358" t="s">
        <v>26663</v>
      </c>
      <c r="C20358" t="s">
        <v>75</v>
      </c>
      <c r="D20358" t="s">
        <v>60</v>
      </c>
      <c r="E20358" t="s">
        <v>8035</v>
      </c>
      <c r="F20358" s="2" t="str">
        <f>HYPERLINK("http://www.otzar.org/book.asp?101045","ליקוטי צבי")</f>
        <v>ליקוטי צבי</v>
      </c>
    </row>
    <row r="20359" spans="1:6" x14ac:dyDescent="0.2">
      <c r="A20359" t="s">
        <v>33112</v>
      </c>
      <c r="B20359" t="s">
        <v>33113</v>
      </c>
      <c r="C20359" t="s">
        <v>1268</v>
      </c>
      <c r="D20359" t="s">
        <v>216</v>
      </c>
      <c r="E20359" t="s">
        <v>4940</v>
      </c>
      <c r="F20359" s="2" t="str">
        <f>HYPERLINK("http://www.otzar.org/book.asp?7734","ליקוטי צבי")</f>
        <v>ליקוטי צבי</v>
      </c>
    </row>
    <row r="20360" spans="1:6" x14ac:dyDescent="0.2">
      <c r="A20360" t="s">
        <v>33112</v>
      </c>
      <c r="B20360" t="s">
        <v>33114</v>
      </c>
      <c r="C20360" t="s">
        <v>496</v>
      </c>
      <c r="D20360" t="s">
        <v>225</v>
      </c>
      <c r="E20360" t="s">
        <v>325</v>
      </c>
      <c r="F20360" s="2" t="str">
        <f>HYPERLINK("http://www.otzar.org/book.asp?83928","ליקוטי צבי")</f>
        <v>ליקוטי צבי</v>
      </c>
    </row>
    <row r="20361" spans="1:6" x14ac:dyDescent="0.2">
      <c r="A20361" t="s">
        <v>33112</v>
      </c>
      <c r="B20361" t="s">
        <v>33115</v>
      </c>
      <c r="C20361" t="s">
        <v>23</v>
      </c>
      <c r="D20361" t="s">
        <v>486</v>
      </c>
      <c r="F20361" s="2" t="str">
        <f>HYPERLINK("http://www.otzar.org/book.asp?197094","ליקוטי צבי")</f>
        <v>ליקוטי צבי</v>
      </c>
    </row>
    <row r="20362" spans="1:6" x14ac:dyDescent="0.2">
      <c r="A20362" t="s">
        <v>33116</v>
      </c>
      <c r="B20362" t="s">
        <v>17989</v>
      </c>
      <c r="C20362" t="s">
        <v>68</v>
      </c>
      <c r="D20362" t="s">
        <v>412</v>
      </c>
      <c r="E20362" t="s">
        <v>213</v>
      </c>
      <c r="F20362" s="2" t="str">
        <f>HYPERLINK("http://www.otzar.org/book.asp?179242","ליקוטי קול אריה")</f>
        <v>ליקוטי קול אריה</v>
      </c>
    </row>
    <row r="20363" spans="1:6" x14ac:dyDescent="0.2">
      <c r="A20363" t="s">
        <v>33117</v>
      </c>
      <c r="B20363" t="s">
        <v>33118</v>
      </c>
      <c r="C20363" t="s">
        <v>185</v>
      </c>
      <c r="D20363" t="s">
        <v>52</v>
      </c>
      <c r="E20363" t="s">
        <v>144</v>
      </c>
      <c r="F20363" s="2" t="str">
        <f>HYPERLINK("http://www.otzar.org/book.asp?627652","ליקוטי קצות החושן - בבא מציעא א")</f>
        <v>ליקוטי קצות החושן - בבא מציעא א</v>
      </c>
    </row>
    <row r="20364" spans="1:6" x14ac:dyDescent="0.2">
      <c r="A20364" t="s">
        <v>33119</v>
      </c>
      <c r="B20364" t="s">
        <v>19826</v>
      </c>
      <c r="C20364" t="s">
        <v>1062</v>
      </c>
      <c r="D20364" t="s">
        <v>33120</v>
      </c>
      <c r="E20364" t="s">
        <v>1211</v>
      </c>
      <c r="F20364" s="2" t="str">
        <f>HYPERLINK("http://www.otzar.org/book.asp?103865","ליקוטי ר' יצחק בן יהודה אבן גיאת")</f>
        <v>ליקוטי ר' יצחק בן יהודה אבן גיאת</v>
      </c>
    </row>
    <row r="20365" spans="1:6" x14ac:dyDescent="0.2">
      <c r="A20365" t="s">
        <v>33121</v>
      </c>
      <c r="B20365" t="s">
        <v>7150</v>
      </c>
      <c r="C20365" t="s">
        <v>1388</v>
      </c>
      <c r="D20365" t="s">
        <v>412</v>
      </c>
      <c r="E20365" t="s">
        <v>144</v>
      </c>
      <c r="F20365" s="2" t="str">
        <f>HYPERLINK("http://www.otzar.org/book.asp?62363","ליקוטי רבינו בצלאל אשכנזי - 2 כר'")</f>
        <v>ליקוטי רבינו בצלאל אשכנזי - 2 כר'</v>
      </c>
    </row>
    <row r="20366" spans="1:6" x14ac:dyDescent="0.2">
      <c r="A20366" t="s">
        <v>33122</v>
      </c>
      <c r="B20366" t="s">
        <v>33123</v>
      </c>
      <c r="C20366" t="s">
        <v>20</v>
      </c>
      <c r="D20366" t="s">
        <v>90</v>
      </c>
      <c r="E20366" t="s">
        <v>714</v>
      </c>
      <c r="F20366" s="2" t="str">
        <f>HYPERLINK("http://www.otzar.org/book.asp?61045","ליקוטי רבינו החפץ חיים - תשובה")</f>
        <v>ליקוטי רבינו החפץ חיים - תשובה</v>
      </c>
    </row>
    <row r="20367" spans="1:6" x14ac:dyDescent="0.2">
      <c r="A20367" t="s">
        <v>33124</v>
      </c>
      <c r="B20367" t="s">
        <v>25451</v>
      </c>
      <c r="C20367" t="s">
        <v>1414</v>
      </c>
      <c r="D20367" t="s">
        <v>1538</v>
      </c>
      <c r="E20367" t="s">
        <v>23534</v>
      </c>
      <c r="F20367" s="2" t="str">
        <f>HYPERLINK("http://www.otzar.org/book.asp?102269","ליקוטי רמ""ל - 3 כר'")</f>
        <v>ליקוטי רמ"ל - 3 כר'</v>
      </c>
    </row>
    <row r="20368" spans="1:6" x14ac:dyDescent="0.2">
      <c r="A20368" t="s">
        <v>33125</v>
      </c>
      <c r="B20368" t="s">
        <v>33126</v>
      </c>
      <c r="C20368" t="s">
        <v>124</v>
      </c>
      <c r="D20368" t="s">
        <v>14</v>
      </c>
      <c r="E20368" t="s">
        <v>158</v>
      </c>
      <c r="F20368" s="2" t="str">
        <f>HYPERLINK("http://www.otzar.org/book.asp?176918","ליקוטי רפאל - ב")</f>
        <v>ליקוטי רפאל - ב</v>
      </c>
    </row>
    <row r="20369" spans="1:6" x14ac:dyDescent="0.2">
      <c r="A20369" t="s">
        <v>33127</v>
      </c>
      <c r="B20369" t="s">
        <v>33128</v>
      </c>
      <c r="C20369" t="s">
        <v>1310</v>
      </c>
      <c r="D20369" t="s">
        <v>283</v>
      </c>
      <c r="E20369" t="s">
        <v>158</v>
      </c>
      <c r="F20369" s="2" t="str">
        <f>HYPERLINK("http://www.otzar.org/book.asp?17005","ליקוטי רצב""א")</f>
        <v>ליקוטי רצב"א</v>
      </c>
    </row>
    <row r="20370" spans="1:6" x14ac:dyDescent="0.2">
      <c r="A20370" t="s">
        <v>33129</v>
      </c>
      <c r="B20370" t="s">
        <v>24828</v>
      </c>
      <c r="C20370" t="s">
        <v>2040</v>
      </c>
      <c r="D20370" t="s">
        <v>1660</v>
      </c>
      <c r="E20370" t="s">
        <v>399</v>
      </c>
      <c r="F20370" s="2" t="str">
        <f>HYPERLINK("http://www.otzar.org/book.asp?102272","ליקוטי ש""ס")</f>
        <v>ליקוטי ש"ס</v>
      </c>
    </row>
    <row r="20371" spans="1:6" x14ac:dyDescent="0.2">
      <c r="A20371" t="s">
        <v>33130</v>
      </c>
      <c r="B20371" t="s">
        <v>33131</v>
      </c>
      <c r="C20371" t="s">
        <v>13</v>
      </c>
      <c r="D20371" t="s">
        <v>412</v>
      </c>
      <c r="E20371" t="s">
        <v>573</v>
      </c>
      <c r="F20371" s="2" t="str">
        <f>HYPERLINK("http://www.otzar.org/book.asp?170529","ליקוטי שארית ישראל")</f>
        <v>ליקוטי שארית ישראל</v>
      </c>
    </row>
    <row r="20372" spans="1:6" x14ac:dyDescent="0.2">
      <c r="A20372" t="s">
        <v>33132</v>
      </c>
      <c r="B20372" t="s">
        <v>33133</v>
      </c>
      <c r="C20372" t="s">
        <v>785</v>
      </c>
      <c r="D20372" t="s">
        <v>14</v>
      </c>
      <c r="E20372" t="s">
        <v>246</v>
      </c>
      <c r="F20372" s="2" t="str">
        <f>HYPERLINK("http://www.otzar.org/book.asp?148632","ליקוטי שדה יער")</f>
        <v>ליקוטי שדה יער</v>
      </c>
    </row>
    <row r="20373" spans="1:6" x14ac:dyDescent="0.2">
      <c r="A20373" t="s">
        <v>33134</v>
      </c>
      <c r="B20373" t="s">
        <v>33135</v>
      </c>
      <c r="C20373" t="s">
        <v>940</v>
      </c>
      <c r="D20373" t="s">
        <v>14</v>
      </c>
      <c r="E20373" t="s">
        <v>230</v>
      </c>
      <c r="F20373" s="2" t="str">
        <f>HYPERLINK("http://www.otzar.org/book.asp?165130","ליקוטי שושנים &lt;מהדורה חדשה&gt;")</f>
        <v>ליקוטי שושנים &lt;מהדורה חדשה&gt;</v>
      </c>
    </row>
    <row r="20374" spans="1:6" x14ac:dyDescent="0.2">
      <c r="A20374" t="s">
        <v>33136</v>
      </c>
      <c r="B20374" t="s">
        <v>2476</v>
      </c>
      <c r="C20374" t="s">
        <v>454</v>
      </c>
      <c r="D20374" t="s">
        <v>52</v>
      </c>
      <c r="E20374" t="s">
        <v>2775</v>
      </c>
      <c r="F20374" s="2" t="str">
        <f>HYPERLINK("http://www.otzar.org/book.asp?22572","ליקוטי שושנים &lt;שו""ת ויברך דוד&gt;")</f>
        <v>ליקוטי שושנים &lt;שו"ת ויברך דוד&gt;</v>
      </c>
    </row>
    <row r="20375" spans="1:6" x14ac:dyDescent="0.2">
      <c r="A20375" t="s">
        <v>33134</v>
      </c>
      <c r="B20375" t="s">
        <v>33137</v>
      </c>
      <c r="C20375" t="s">
        <v>87</v>
      </c>
      <c r="D20375" t="s">
        <v>14</v>
      </c>
      <c r="E20375" t="s">
        <v>104</v>
      </c>
      <c r="F20375" s="2" t="str">
        <f>HYPERLINK("http://www.otzar.org/book.asp?148388","ליקוטי שושנים &lt;מהדורה חדשה&gt;")</f>
        <v>ליקוטי שושנים &lt;מהדורה חדשה&gt;</v>
      </c>
    </row>
    <row r="20376" spans="1:6" x14ac:dyDescent="0.2">
      <c r="A20376" t="s">
        <v>33138</v>
      </c>
      <c r="B20376" t="s">
        <v>2476</v>
      </c>
      <c r="C20376" t="s">
        <v>68</v>
      </c>
      <c r="D20376" t="s">
        <v>14</v>
      </c>
      <c r="E20376" t="s">
        <v>15</v>
      </c>
      <c r="F20376" s="2" t="str">
        <f>HYPERLINK("http://www.otzar.org/book.asp?163854","ליקוטי שושנים לדוד")</f>
        <v>ליקוטי שושנים לדוד</v>
      </c>
    </row>
    <row r="20377" spans="1:6" x14ac:dyDescent="0.2">
      <c r="A20377" t="s">
        <v>33139</v>
      </c>
      <c r="B20377" t="s">
        <v>18411</v>
      </c>
      <c r="C20377" t="s">
        <v>1246</v>
      </c>
      <c r="D20377" t="s">
        <v>14778</v>
      </c>
      <c r="E20377" t="s">
        <v>2098</v>
      </c>
      <c r="F20377" s="2" t="str">
        <f>HYPERLINK("http://www.otzar.org/book.asp?51532","ליקוטי שושנים")</f>
        <v>ליקוטי שושנים</v>
      </c>
    </row>
    <row r="20378" spans="1:6" x14ac:dyDescent="0.2">
      <c r="A20378" t="s">
        <v>33140</v>
      </c>
      <c r="B20378" t="s">
        <v>33135</v>
      </c>
      <c r="C20378" t="s">
        <v>603</v>
      </c>
      <c r="D20378" t="s">
        <v>1279</v>
      </c>
      <c r="E20378" t="s">
        <v>158</v>
      </c>
      <c r="F20378" s="2" t="str">
        <f>HYPERLINK("http://www.otzar.org/book.asp?15730","ליקוטי שושנים - 4 כר'")</f>
        <v>ליקוטי שושנים - 4 כר'</v>
      </c>
    </row>
    <row r="20379" spans="1:6" x14ac:dyDescent="0.2">
      <c r="A20379" t="s">
        <v>33139</v>
      </c>
      <c r="B20379" t="s">
        <v>33141</v>
      </c>
      <c r="C20379" t="s">
        <v>1202</v>
      </c>
      <c r="D20379" t="s">
        <v>9</v>
      </c>
      <c r="E20379" t="s">
        <v>234</v>
      </c>
      <c r="F20379" s="2" t="str">
        <f>HYPERLINK("http://www.otzar.org/book.asp?18987","ליקוטי שושנים")</f>
        <v>ליקוטי שושנים</v>
      </c>
    </row>
    <row r="20380" spans="1:6" x14ac:dyDescent="0.2">
      <c r="A20380" t="s">
        <v>33139</v>
      </c>
      <c r="B20380" t="s">
        <v>12440</v>
      </c>
      <c r="C20380" t="s">
        <v>496</v>
      </c>
      <c r="D20380" t="s">
        <v>726</v>
      </c>
      <c r="E20380" t="s">
        <v>24461</v>
      </c>
      <c r="F20380" s="2" t="str">
        <f>HYPERLINK("http://www.otzar.org/book.asp?101044","ליקוטי שושנים")</f>
        <v>ליקוטי שושנים</v>
      </c>
    </row>
    <row r="20381" spans="1:6" x14ac:dyDescent="0.2">
      <c r="A20381" t="s">
        <v>33139</v>
      </c>
      <c r="B20381" t="s">
        <v>33142</v>
      </c>
      <c r="C20381" t="s">
        <v>1535</v>
      </c>
      <c r="D20381" t="s">
        <v>27</v>
      </c>
      <c r="E20381" t="s">
        <v>33143</v>
      </c>
      <c r="F20381" s="2" t="str">
        <f>HYPERLINK("http://www.otzar.org/book.asp?5273","ליקוטי שושנים")</f>
        <v>ליקוטי שושנים</v>
      </c>
    </row>
    <row r="20382" spans="1:6" x14ac:dyDescent="0.2">
      <c r="A20382" t="s">
        <v>33144</v>
      </c>
      <c r="B20382" t="s">
        <v>33145</v>
      </c>
      <c r="C20382" t="s">
        <v>1166</v>
      </c>
      <c r="D20382" t="s">
        <v>379</v>
      </c>
      <c r="E20382" t="s">
        <v>730</v>
      </c>
      <c r="F20382" s="2" t="str">
        <f>HYPERLINK("http://www.otzar.org/book.asp?144811","ליקוטי שושנים - 2 כר'")</f>
        <v>ליקוטי שושנים - 2 כר'</v>
      </c>
    </row>
    <row r="20383" spans="1:6" x14ac:dyDescent="0.2">
      <c r="A20383" t="s">
        <v>33139</v>
      </c>
      <c r="B20383" t="s">
        <v>33139</v>
      </c>
      <c r="C20383" t="s">
        <v>6773</v>
      </c>
      <c r="D20383" t="s">
        <v>49</v>
      </c>
      <c r="E20383" t="s">
        <v>957</v>
      </c>
      <c r="F20383" s="2" t="str">
        <f>HYPERLINK("http://www.otzar.org/book.asp?10144","ליקוטי שושנים")</f>
        <v>ליקוטי שושנים</v>
      </c>
    </row>
    <row r="20384" spans="1:6" x14ac:dyDescent="0.2">
      <c r="A20384" t="s">
        <v>33146</v>
      </c>
      <c r="B20384" t="s">
        <v>33147</v>
      </c>
      <c r="C20384" t="s">
        <v>12036</v>
      </c>
      <c r="D20384" t="s">
        <v>283</v>
      </c>
      <c r="E20384" t="s">
        <v>230</v>
      </c>
      <c r="F20384" s="2" t="str">
        <f>HYPERLINK("http://www.otzar.org/book.asp?182172","ליקוטי שושנים - 3 כר'")</f>
        <v>ליקוטי שושנים - 3 כר'</v>
      </c>
    </row>
    <row r="20385" spans="1:6" x14ac:dyDescent="0.2">
      <c r="A20385" t="s">
        <v>33139</v>
      </c>
      <c r="B20385" t="s">
        <v>33148</v>
      </c>
      <c r="C20385" t="s">
        <v>343</v>
      </c>
      <c r="D20385" t="s">
        <v>6776</v>
      </c>
      <c r="E20385" t="s">
        <v>213</v>
      </c>
      <c r="F20385" s="2" t="str">
        <f>HYPERLINK("http://www.otzar.org/book.asp?147014","ליקוטי שושנים")</f>
        <v>ליקוטי שושנים</v>
      </c>
    </row>
    <row r="20386" spans="1:6" x14ac:dyDescent="0.2">
      <c r="A20386" t="s">
        <v>33144</v>
      </c>
      <c r="B20386" t="s">
        <v>33149</v>
      </c>
      <c r="C20386" t="s">
        <v>13</v>
      </c>
      <c r="D20386" t="s">
        <v>2196</v>
      </c>
      <c r="E20386" t="s">
        <v>144</v>
      </c>
      <c r="F20386" s="2" t="str">
        <f>HYPERLINK("http://www.otzar.org/book.asp?152666","ליקוטי שושנים - 2 כר'")</f>
        <v>ליקוטי שושנים - 2 כר'</v>
      </c>
    </row>
    <row r="20387" spans="1:6" x14ac:dyDescent="0.2">
      <c r="A20387" t="s">
        <v>33150</v>
      </c>
      <c r="B20387" t="s">
        <v>33151</v>
      </c>
      <c r="C20387" t="s">
        <v>23</v>
      </c>
      <c r="D20387" t="s">
        <v>229</v>
      </c>
      <c r="E20387" t="s">
        <v>144</v>
      </c>
      <c r="F20387" s="2" t="str">
        <f>HYPERLINK("http://www.otzar.org/book.asp?192312","ליקוטי שושנים - השוכר את האומנין")</f>
        <v>ליקוטי שושנים - השוכר את האומנין</v>
      </c>
    </row>
    <row r="20388" spans="1:6" x14ac:dyDescent="0.2">
      <c r="A20388" t="s">
        <v>33139</v>
      </c>
      <c r="B20388" t="s">
        <v>7166</v>
      </c>
      <c r="C20388" t="s">
        <v>442</v>
      </c>
      <c r="D20388" t="s">
        <v>33152</v>
      </c>
      <c r="E20388" t="s">
        <v>11780</v>
      </c>
      <c r="F20388" s="2" t="str">
        <f>HYPERLINK("http://www.otzar.org/book.asp?52494","ליקוטי שושנים")</f>
        <v>ליקוטי שושנים</v>
      </c>
    </row>
    <row r="20389" spans="1:6" x14ac:dyDescent="0.2">
      <c r="A20389" t="s">
        <v>33139</v>
      </c>
      <c r="B20389" t="s">
        <v>33153</v>
      </c>
      <c r="C20389" t="s">
        <v>351</v>
      </c>
      <c r="D20389" t="s">
        <v>280</v>
      </c>
      <c r="E20389" t="s">
        <v>104</v>
      </c>
      <c r="F20389" s="2" t="str">
        <f>HYPERLINK("http://www.otzar.org/book.asp?146690","ליקוטי שושנים")</f>
        <v>ליקוטי שושנים</v>
      </c>
    </row>
    <row r="20390" spans="1:6" x14ac:dyDescent="0.2">
      <c r="A20390" t="s">
        <v>33139</v>
      </c>
      <c r="B20390" t="s">
        <v>33137</v>
      </c>
      <c r="C20390" t="s">
        <v>854</v>
      </c>
      <c r="D20390" t="s">
        <v>379</v>
      </c>
      <c r="E20390" t="s">
        <v>399</v>
      </c>
      <c r="F20390" s="2" t="str">
        <f>HYPERLINK("http://www.otzar.org/book.asp?100621","ליקוטי שושנים")</f>
        <v>ליקוטי שושנים</v>
      </c>
    </row>
    <row r="20391" spans="1:6" x14ac:dyDescent="0.2">
      <c r="A20391" t="s">
        <v>33144</v>
      </c>
      <c r="B20391" t="s">
        <v>6671</v>
      </c>
      <c r="C20391" t="s">
        <v>1036</v>
      </c>
      <c r="D20391" t="s">
        <v>1538</v>
      </c>
      <c r="E20391" t="s">
        <v>140</v>
      </c>
      <c r="F20391" s="2" t="str">
        <f>HYPERLINK("http://www.otzar.org/book.asp?102263","ליקוטי שושנים - 2 כר'")</f>
        <v>ליקוטי שושנים - 2 כר'</v>
      </c>
    </row>
    <row r="20392" spans="1:6" x14ac:dyDescent="0.2">
      <c r="A20392" t="s">
        <v>33154</v>
      </c>
      <c r="B20392" t="s">
        <v>33155</v>
      </c>
      <c r="C20392" t="s">
        <v>775</v>
      </c>
      <c r="D20392" t="s">
        <v>52</v>
      </c>
      <c r="E20392" t="s">
        <v>158</v>
      </c>
      <c r="F20392" s="2" t="str">
        <f>HYPERLINK("http://www.otzar.org/book.asp?23452","ליקוטי שי - 5 כר'")</f>
        <v>ליקוטי שי - 5 כר'</v>
      </c>
    </row>
    <row r="20393" spans="1:6" x14ac:dyDescent="0.2">
      <c r="A20393" t="s">
        <v>33156</v>
      </c>
      <c r="B20393" t="s">
        <v>33157</v>
      </c>
      <c r="C20393" t="s">
        <v>146</v>
      </c>
      <c r="D20393" t="s">
        <v>4549</v>
      </c>
      <c r="E20393" t="s">
        <v>144</v>
      </c>
      <c r="F20393" s="2" t="str">
        <f>HYPERLINK("http://www.otzar.org/book.asp?84694","ליקוטי שיעורים - 5 כר'")</f>
        <v>ליקוטי שיעורים - 5 כר'</v>
      </c>
    </row>
    <row r="20394" spans="1:6" x14ac:dyDescent="0.2">
      <c r="A20394" t="s">
        <v>33158</v>
      </c>
      <c r="B20394" t="s">
        <v>33159</v>
      </c>
      <c r="C20394" t="s">
        <v>1670</v>
      </c>
      <c r="D20394" t="s">
        <v>3963</v>
      </c>
      <c r="E20394" t="s">
        <v>33160</v>
      </c>
      <c r="F20394" s="2" t="str">
        <f>HYPERLINK("http://www.otzar.org/book.asp?147138","ליקוטי שכחה ופאה - 2 כר'")</f>
        <v>ליקוטי שכחה ופאה - 2 כר'</v>
      </c>
    </row>
    <row r="20395" spans="1:6" x14ac:dyDescent="0.2">
      <c r="A20395" t="s">
        <v>33161</v>
      </c>
      <c r="B20395" t="s">
        <v>33162</v>
      </c>
      <c r="C20395" t="s">
        <v>103</v>
      </c>
      <c r="D20395" t="s">
        <v>14</v>
      </c>
      <c r="E20395" t="s">
        <v>213</v>
      </c>
      <c r="F20395" s="2" t="str">
        <f>HYPERLINK("http://www.otzar.org/book.asp?144545","ליקוטי של""ה")</f>
        <v>ליקוטי של"ה</v>
      </c>
    </row>
    <row r="20396" spans="1:6" x14ac:dyDescent="0.2">
      <c r="A20396" t="s">
        <v>33163</v>
      </c>
      <c r="B20396" t="s">
        <v>33164</v>
      </c>
      <c r="C20396" t="s">
        <v>383</v>
      </c>
      <c r="D20396" t="s">
        <v>486</v>
      </c>
      <c r="E20396" t="s">
        <v>474</v>
      </c>
      <c r="F20396" s="2" t="str">
        <f>HYPERLINK("http://www.otzar.org/book.asp?195623","ליקוטי שלום")</f>
        <v>ליקוטי שלום</v>
      </c>
    </row>
    <row r="20397" spans="1:6" x14ac:dyDescent="0.2">
      <c r="A20397" t="s">
        <v>33165</v>
      </c>
      <c r="B20397" t="s">
        <v>33166</v>
      </c>
      <c r="C20397" t="s">
        <v>1706</v>
      </c>
      <c r="D20397" t="s">
        <v>661</v>
      </c>
      <c r="E20397" t="s">
        <v>33167</v>
      </c>
      <c r="F20397" s="2" t="str">
        <f>HYPERLINK("http://www.otzar.org/book.asp?200209","ליקוטי שלמה")</f>
        <v>ליקוטי שלמה</v>
      </c>
    </row>
    <row r="20398" spans="1:6" x14ac:dyDescent="0.2">
      <c r="A20398" t="s">
        <v>33168</v>
      </c>
      <c r="B20398" t="s">
        <v>33169</v>
      </c>
      <c r="C20398" t="s">
        <v>785</v>
      </c>
      <c r="D20398" t="s">
        <v>216</v>
      </c>
      <c r="E20398" t="s">
        <v>33170</v>
      </c>
      <c r="F20398" s="2" t="str">
        <f>HYPERLINK("http://www.otzar.org/book.asp?154025","ליקוטי שלמה - ספר האסיף")</f>
        <v>ליקוטי שלמה - ספר האסיף</v>
      </c>
    </row>
    <row r="20399" spans="1:6" x14ac:dyDescent="0.2">
      <c r="A20399" t="s">
        <v>33171</v>
      </c>
      <c r="B20399" t="s">
        <v>33172</v>
      </c>
      <c r="C20399" t="s">
        <v>51</v>
      </c>
      <c r="D20399" t="s">
        <v>14</v>
      </c>
      <c r="E20399" t="s">
        <v>158</v>
      </c>
      <c r="F20399" s="2" t="str">
        <f>HYPERLINK("http://www.otzar.org/book.asp?151143","ליקוטי שמאי - 2 כר'")</f>
        <v>ליקוטי שמאי - 2 כר'</v>
      </c>
    </row>
    <row r="20400" spans="1:6" x14ac:dyDescent="0.2">
      <c r="A20400" t="s">
        <v>33173</v>
      </c>
      <c r="B20400" t="s">
        <v>33174</v>
      </c>
      <c r="C20400" t="s">
        <v>334</v>
      </c>
      <c r="D20400" t="s">
        <v>14</v>
      </c>
      <c r="E20400" t="s">
        <v>2098</v>
      </c>
      <c r="F20400" s="2" t="str">
        <f>HYPERLINK("http://www.otzar.org/book.asp?143114","ליקוטי שמואל")</f>
        <v>ליקוטי שמואל</v>
      </c>
    </row>
    <row r="20401" spans="1:6" x14ac:dyDescent="0.2">
      <c r="A20401" t="s">
        <v>33175</v>
      </c>
      <c r="B20401" t="s">
        <v>33176</v>
      </c>
      <c r="C20401" t="s">
        <v>576</v>
      </c>
      <c r="D20401" t="s">
        <v>283</v>
      </c>
      <c r="E20401" t="s">
        <v>104</v>
      </c>
      <c r="F20401" s="2" t="str">
        <f>HYPERLINK("http://www.otzar.org/book.asp?28398","ליקוטי שמחה")</f>
        <v>ליקוטי שמחה</v>
      </c>
    </row>
    <row r="20402" spans="1:6" x14ac:dyDescent="0.2">
      <c r="A20402" t="s">
        <v>33177</v>
      </c>
      <c r="B20402" t="s">
        <v>33178</v>
      </c>
      <c r="C20402" t="s">
        <v>454</v>
      </c>
      <c r="D20402" t="s">
        <v>412</v>
      </c>
      <c r="E20402" t="s">
        <v>158</v>
      </c>
      <c r="F20402" s="2" t="str">
        <f>HYPERLINK("http://www.otzar.org/book.asp?141774","ליקוטי שמשון")</f>
        <v>ליקוטי שמשון</v>
      </c>
    </row>
    <row r="20403" spans="1:6" x14ac:dyDescent="0.2">
      <c r="A20403" t="s">
        <v>33179</v>
      </c>
      <c r="B20403" t="s">
        <v>3374</v>
      </c>
      <c r="C20403" t="s">
        <v>87</v>
      </c>
      <c r="D20403" t="s">
        <v>412</v>
      </c>
      <c r="E20403" t="s">
        <v>104</v>
      </c>
      <c r="F20403" s="2" t="str">
        <f>HYPERLINK("http://www.otzar.org/book.asp?180123","ליקוטי שפע חיים - 2 כר'")</f>
        <v>ליקוטי שפע חיים - 2 כר'</v>
      </c>
    </row>
    <row r="20404" spans="1:6" x14ac:dyDescent="0.2">
      <c r="A20404" t="s">
        <v>33180</v>
      </c>
      <c r="B20404" t="s">
        <v>33181</v>
      </c>
      <c r="C20404" t="s">
        <v>553</v>
      </c>
      <c r="D20404" t="s">
        <v>52</v>
      </c>
      <c r="E20404" t="s">
        <v>508</v>
      </c>
      <c r="F20404" s="2" t="str">
        <f>HYPERLINK("http://www.otzar.org/book.asp?107255","ליקוטי שפת אמת")</f>
        <v>ליקוטי שפת אמת</v>
      </c>
    </row>
    <row r="20405" spans="1:6" x14ac:dyDescent="0.2">
      <c r="A20405" t="s">
        <v>33182</v>
      </c>
      <c r="B20405" t="s">
        <v>33183</v>
      </c>
      <c r="C20405" t="s">
        <v>802</v>
      </c>
      <c r="D20405" t="s">
        <v>283</v>
      </c>
      <c r="E20405" t="s">
        <v>6253</v>
      </c>
      <c r="F20405" s="2" t="str">
        <f>HYPERLINK("http://www.otzar.org/book.asp?6760","ליקוטי תהלים &lt;על סדר אלפ""א בית""א&gt;")</f>
        <v>ליקוטי תהלים &lt;על סדר אלפ"א בית"א&gt;</v>
      </c>
    </row>
    <row r="20406" spans="1:6" x14ac:dyDescent="0.2">
      <c r="A20406" t="s">
        <v>33182</v>
      </c>
      <c r="B20406" t="s">
        <v>33184</v>
      </c>
      <c r="C20406" t="s">
        <v>5823</v>
      </c>
      <c r="D20406" t="s">
        <v>14</v>
      </c>
      <c r="E20406" t="s">
        <v>6253</v>
      </c>
      <c r="F20406" s="2" t="str">
        <f>HYPERLINK("http://www.otzar.org/book.asp?5075","ליקוטי תהלים &lt;על סדר אלפ""א בית""א&gt;")</f>
        <v>ליקוטי תהלים &lt;על סדר אלפ"א בית"א&gt;</v>
      </c>
    </row>
    <row r="20407" spans="1:6" x14ac:dyDescent="0.2">
      <c r="A20407" t="s">
        <v>33185</v>
      </c>
      <c r="B20407" t="s">
        <v>33186</v>
      </c>
      <c r="C20407" t="s">
        <v>17</v>
      </c>
      <c r="D20407" t="s">
        <v>14</v>
      </c>
      <c r="E20407" t="s">
        <v>2071</v>
      </c>
      <c r="F20407" s="2" t="str">
        <f>HYPERLINK("http://www.otzar.org/book.asp?172600","ליקוטי תורה &lt;מהדורה חדשה&gt;")</f>
        <v>ליקוטי תורה &lt;מהדורה חדשה&gt;</v>
      </c>
    </row>
    <row r="20408" spans="1:6" x14ac:dyDescent="0.2">
      <c r="A20408" t="s">
        <v>33187</v>
      </c>
      <c r="B20408" t="s">
        <v>33188</v>
      </c>
      <c r="C20408" t="s">
        <v>1169</v>
      </c>
      <c r="D20408" t="s">
        <v>2504</v>
      </c>
      <c r="E20408" t="s">
        <v>144</v>
      </c>
      <c r="F20408" s="2" t="str">
        <f>HYPERLINK("http://www.otzar.org/book.asp?144719","ליקוטי תורה (באלטימור) - 3 כר'")</f>
        <v>ליקוטי תורה (באלטימור) - 3 כר'</v>
      </c>
    </row>
    <row r="20409" spans="1:6" x14ac:dyDescent="0.2">
      <c r="A20409" t="s">
        <v>33189</v>
      </c>
      <c r="B20409" t="s">
        <v>1295</v>
      </c>
      <c r="C20409" t="s">
        <v>767</v>
      </c>
      <c r="D20409" t="s">
        <v>14</v>
      </c>
      <c r="E20409" t="s">
        <v>357</v>
      </c>
      <c r="F20409" s="2" t="str">
        <f>HYPERLINK("http://www.otzar.org/book.asp?148878","ליקוטי תורה דברי אמונה")</f>
        <v>ליקוטי תורה דברי אמונה</v>
      </c>
    </row>
    <row r="20410" spans="1:6" x14ac:dyDescent="0.2">
      <c r="A20410" t="s">
        <v>33190</v>
      </c>
      <c r="B20410" t="s">
        <v>33028</v>
      </c>
      <c r="C20410" t="s">
        <v>33191</v>
      </c>
      <c r="D20410" t="s">
        <v>267</v>
      </c>
      <c r="E20410" t="s">
        <v>158</v>
      </c>
      <c r="F20410" s="2" t="str">
        <f>HYPERLINK("http://www.otzar.org/book.asp?102275","ליקוטי תורה והש""ס - 5 כר'")</f>
        <v>ליקוטי תורה והש"ס - 5 כר'</v>
      </c>
    </row>
    <row r="20411" spans="1:6" x14ac:dyDescent="0.2">
      <c r="A20411" t="s">
        <v>33192</v>
      </c>
      <c r="B20411" t="s">
        <v>405</v>
      </c>
      <c r="C20411" t="s">
        <v>1811</v>
      </c>
      <c r="D20411" t="s">
        <v>216</v>
      </c>
      <c r="E20411" t="s">
        <v>33193</v>
      </c>
      <c r="F20411" s="2" t="str">
        <f>HYPERLINK("http://www.otzar.org/book.asp?105612","ליקוטי תורה נביאים וכתובים - 3 כר'")</f>
        <v>ליקוטי תורה נביאים וכתובים - 3 כר'</v>
      </c>
    </row>
    <row r="20412" spans="1:6" x14ac:dyDescent="0.2">
      <c r="A20412" t="s">
        <v>33194</v>
      </c>
      <c r="B20412" t="s">
        <v>33195</v>
      </c>
      <c r="C20412" t="s">
        <v>422</v>
      </c>
      <c r="D20412" t="s">
        <v>412</v>
      </c>
      <c r="E20412" t="s">
        <v>393</v>
      </c>
      <c r="F20412" s="2" t="str">
        <f>HYPERLINK("http://www.otzar.org/book.asp?150920","ליקוטי תורה עם פירוש חסידות מבוארת")</f>
        <v>ליקוטי תורה עם פירוש חסידות מבוארת</v>
      </c>
    </row>
    <row r="20413" spans="1:6" x14ac:dyDescent="0.2">
      <c r="A20413" t="s">
        <v>33196</v>
      </c>
      <c r="B20413" t="s">
        <v>1821</v>
      </c>
      <c r="C20413" t="s">
        <v>1096</v>
      </c>
      <c r="D20413" t="s">
        <v>283</v>
      </c>
      <c r="E20413" t="s">
        <v>158</v>
      </c>
      <c r="F20413" s="2" t="str">
        <f>HYPERLINK("http://www.otzar.org/book.asp?25486","ליקוטי תורה")</f>
        <v>ליקוטי תורה</v>
      </c>
    </row>
    <row r="20414" spans="1:6" x14ac:dyDescent="0.2">
      <c r="A20414" t="s">
        <v>33197</v>
      </c>
      <c r="B20414" t="s">
        <v>33186</v>
      </c>
      <c r="C20414" t="s">
        <v>2076</v>
      </c>
      <c r="D20414" t="s">
        <v>225</v>
      </c>
      <c r="E20414" t="s">
        <v>23534</v>
      </c>
      <c r="F20414" s="2" t="str">
        <f>HYPERLINK("http://www.otzar.org/book.asp?102250","ליקוטי תורה - 3 כר'")</f>
        <v>ליקוטי תורה - 3 כר'</v>
      </c>
    </row>
    <row r="20415" spans="1:6" x14ac:dyDescent="0.2">
      <c r="A20415" t="s">
        <v>33198</v>
      </c>
      <c r="B20415" t="s">
        <v>26000</v>
      </c>
      <c r="C20415" t="s">
        <v>1284</v>
      </c>
      <c r="D20415" t="s">
        <v>352</v>
      </c>
      <c r="E20415" t="s">
        <v>219</v>
      </c>
      <c r="F20415" s="2" t="str">
        <f>HYPERLINK("http://www.otzar.org/book.asp?300514","ליקוטי תפלות - 4 כר'")</f>
        <v>ליקוטי תפלות - 4 כר'</v>
      </c>
    </row>
    <row r="20416" spans="1:6" x14ac:dyDescent="0.2">
      <c r="A20416" t="s">
        <v>33199</v>
      </c>
      <c r="B20416" t="s">
        <v>33200</v>
      </c>
      <c r="C20416" t="s">
        <v>919</v>
      </c>
      <c r="D20416" t="s">
        <v>216</v>
      </c>
      <c r="E20416" t="s">
        <v>33201</v>
      </c>
      <c r="F20416" s="2" t="str">
        <f>HYPERLINK("http://www.otzar.org/book.asp?60086","ליקוטי תקון שלמה")</f>
        <v>ליקוטי תקון שלמה</v>
      </c>
    </row>
    <row r="20417" spans="1:6" x14ac:dyDescent="0.2">
      <c r="A20417" t="s">
        <v>33202</v>
      </c>
      <c r="B20417" t="s">
        <v>33203</v>
      </c>
      <c r="C20417" t="s">
        <v>940</v>
      </c>
      <c r="D20417" t="s">
        <v>412</v>
      </c>
      <c r="E20417" t="s">
        <v>508</v>
      </c>
      <c r="F20417" s="2" t="str">
        <f>HYPERLINK("http://www.otzar.org/book.asp?62241","ליקוטי תשובות הראשונים - יבמות")</f>
        <v>ליקוטי תשובות הראשונים - יבמות</v>
      </c>
    </row>
    <row r="20418" spans="1:6" x14ac:dyDescent="0.2">
      <c r="A20418" t="s">
        <v>33204</v>
      </c>
      <c r="B20418" t="s">
        <v>4606</v>
      </c>
      <c r="C20418" t="s">
        <v>37</v>
      </c>
      <c r="D20418" t="s">
        <v>14</v>
      </c>
      <c r="E20418" t="s">
        <v>246</v>
      </c>
      <c r="F20418" s="2" t="str">
        <f>HYPERLINK("http://www.otzar.org/book.asp?183110","ליקוטי תשובות והנהגות &lt;מועדים&gt; - פורים")</f>
        <v>ליקוטי תשובות והנהגות &lt;מועדים&gt; - פורים</v>
      </c>
    </row>
    <row r="20419" spans="1:6" x14ac:dyDescent="0.2">
      <c r="A20419" t="s">
        <v>33205</v>
      </c>
      <c r="B20419" t="s">
        <v>14792</v>
      </c>
      <c r="C20419" t="s">
        <v>422</v>
      </c>
      <c r="D20419" t="s">
        <v>646</v>
      </c>
      <c r="E20419" t="s">
        <v>9356</v>
      </c>
      <c r="F20419" s="2" t="str">
        <f>HYPERLINK("http://www.otzar.org/book.asp?150883","ליקוטי תשובות וחידושי אגדות מהרי""א על חג הפסח")</f>
        <v>ליקוטי תשובות וחידושי אגדות מהרי"א על חג הפסח</v>
      </c>
    </row>
    <row r="20420" spans="1:6" x14ac:dyDescent="0.2">
      <c r="A20420" t="s">
        <v>33206</v>
      </c>
      <c r="B20420" t="s">
        <v>33207</v>
      </c>
      <c r="C20420" t="s">
        <v>111</v>
      </c>
      <c r="D20420" t="s">
        <v>14</v>
      </c>
      <c r="E20420" t="s">
        <v>15</v>
      </c>
      <c r="F20420" s="2" t="str">
        <f>HYPERLINK("http://www.otzar.org/book.asp?627634","ליקוטי תשובות משנת יוסף - מילה")</f>
        <v>ליקוטי תשובות משנת יוסף - מילה</v>
      </c>
    </row>
    <row r="20421" spans="1:6" x14ac:dyDescent="0.2">
      <c r="A20421" t="s">
        <v>33208</v>
      </c>
      <c r="B20421" t="s">
        <v>33209</v>
      </c>
      <c r="C20421" t="s">
        <v>13</v>
      </c>
      <c r="D20421" t="s">
        <v>27</v>
      </c>
      <c r="E20421" t="s">
        <v>154</v>
      </c>
      <c r="F20421" s="2" t="str">
        <f>HYPERLINK("http://www.otzar.org/book.asp?62088","ליקוטי תשובות")</f>
        <v>ליקוטי תשובות</v>
      </c>
    </row>
    <row r="20422" spans="1:6" x14ac:dyDescent="0.2">
      <c r="A20422" t="s">
        <v>33210</v>
      </c>
      <c r="B20422" t="s">
        <v>33211</v>
      </c>
      <c r="C20422" t="s">
        <v>23</v>
      </c>
      <c r="D20422" t="s">
        <v>14</v>
      </c>
      <c r="E20422" t="s">
        <v>15</v>
      </c>
      <c r="F20422" s="2" t="str">
        <f>HYPERLINK("http://www.otzar.org/book.asp?193441","ליקוטי תשובות - משנת יוסף")</f>
        <v>ליקוטי תשובות - משנת יוסף</v>
      </c>
    </row>
    <row r="20423" spans="1:6" x14ac:dyDescent="0.2">
      <c r="A20423" t="s">
        <v>33212</v>
      </c>
      <c r="B20423" t="s">
        <v>33213</v>
      </c>
      <c r="C20423" t="s">
        <v>20</v>
      </c>
      <c r="D20423" t="s">
        <v>14</v>
      </c>
      <c r="F20423" s="2" t="str">
        <f>HYPERLINK("http://www.otzar.org/book.asp?157948","ליקוטים ביבליוגרפיים")</f>
        <v>ליקוטים ביבליוגרפיים</v>
      </c>
    </row>
    <row r="20424" spans="1:6" x14ac:dyDescent="0.2">
      <c r="A20424" t="s">
        <v>33214</v>
      </c>
      <c r="B20424" t="s">
        <v>19016</v>
      </c>
      <c r="C20424" t="s">
        <v>334</v>
      </c>
      <c r="D20424" t="s">
        <v>52</v>
      </c>
      <c r="E20424" t="s">
        <v>230</v>
      </c>
      <c r="F20424" s="2" t="str">
        <f>HYPERLINK("http://www.otzar.org/book.asp?143103","ליקוטים וביאורים למגילת אסתר והגדה של פסח")</f>
        <v>ליקוטים וביאורים למגילת אסתר והגדה של פסח</v>
      </c>
    </row>
    <row r="20425" spans="1:6" x14ac:dyDescent="0.2">
      <c r="A20425" t="s">
        <v>33215</v>
      </c>
      <c r="B20425" t="s">
        <v>19016</v>
      </c>
      <c r="C20425" t="s">
        <v>63</v>
      </c>
      <c r="D20425" t="s">
        <v>52</v>
      </c>
      <c r="E20425" t="s">
        <v>158</v>
      </c>
      <c r="F20425" s="2" t="str">
        <f>HYPERLINK("http://www.otzar.org/book.asp?176878","ליקוטים והערות  לספר במדבר")</f>
        <v>ליקוטים והערות  לספר במדבר</v>
      </c>
    </row>
    <row r="20426" spans="1:6" x14ac:dyDescent="0.2">
      <c r="A20426" t="s">
        <v>33216</v>
      </c>
      <c r="B20426" t="s">
        <v>19016</v>
      </c>
      <c r="C20426" t="s">
        <v>1619</v>
      </c>
      <c r="D20426" t="s">
        <v>52</v>
      </c>
      <c r="F20426" s="2" t="str">
        <f>HYPERLINK("http://www.otzar.org/book.asp?608194","ליקוטים והערות  לתפילת שמונה עשרה וברכת המזון")</f>
        <v>ליקוטים והערות  לתפילת שמונה עשרה וברכת המזון</v>
      </c>
    </row>
    <row r="20427" spans="1:6" x14ac:dyDescent="0.2">
      <c r="A20427" t="s">
        <v>33217</v>
      </c>
      <c r="B20427" t="s">
        <v>19016</v>
      </c>
      <c r="C20427" t="s">
        <v>356</v>
      </c>
      <c r="D20427" t="s">
        <v>52</v>
      </c>
      <c r="E20427" t="s">
        <v>158</v>
      </c>
      <c r="F20427" s="2" t="str">
        <f>HYPERLINK("http://www.otzar.org/book.asp?154038","ליקוטים והערות - 5 כר'")</f>
        <v>ליקוטים והערות - 5 כר'</v>
      </c>
    </row>
    <row r="20428" spans="1:6" x14ac:dyDescent="0.2">
      <c r="A20428" t="s">
        <v>33218</v>
      </c>
      <c r="B20428" t="s">
        <v>33219</v>
      </c>
      <c r="C20428" t="s">
        <v>9310</v>
      </c>
      <c r="D20428" t="s">
        <v>1490</v>
      </c>
      <c r="E20428" t="s">
        <v>104</v>
      </c>
      <c r="F20428" s="2" t="str">
        <f>HYPERLINK("http://www.otzar.org/book.asp?146582","ליקוטים וחבורים - 2 כר'")</f>
        <v>ליקוטים וחבורים - 2 כר'</v>
      </c>
    </row>
    <row r="20429" spans="1:6" x14ac:dyDescent="0.2">
      <c r="A20429" t="s">
        <v>33220</v>
      </c>
      <c r="B20429" t="s">
        <v>33221</v>
      </c>
      <c r="C20429" t="s">
        <v>168</v>
      </c>
      <c r="D20429" t="s">
        <v>14</v>
      </c>
      <c r="F20429" s="2" t="str">
        <f>HYPERLINK("http://www.otzar.org/book.asp?182277","ליקוטים חדשים מהאר""י ומהרח""ו")</f>
        <v>ליקוטים חדשים מהאר"י ומהרח"ו</v>
      </c>
    </row>
    <row r="20430" spans="1:6" x14ac:dyDescent="0.2">
      <c r="A20430" t="s">
        <v>33222</v>
      </c>
      <c r="B20430" t="s">
        <v>33223</v>
      </c>
      <c r="C20430" t="s">
        <v>1096</v>
      </c>
      <c r="D20430" t="s">
        <v>283</v>
      </c>
      <c r="E20430" t="s">
        <v>33224</v>
      </c>
      <c r="F20430" s="2" t="str">
        <f>HYPERLINK("http://www.otzar.org/book.asp?10552","ליקוטים חדשים")</f>
        <v>ליקוטים חדשים</v>
      </c>
    </row>
    <row r="20431" spans="1:6" x14ac:dyDescent="0.2">
      <c r="A20431" t="s">
        <v>33225</v>
      </c>
      <c r="B20431" t="s">
        <v>3618</v>
      </c>
      <c r="C20431" t="s">
        <v>4266</v>
      </c>
      <c r="D20431" t="s">
        <v>267</v>
      </c>
      <c r="E20431" t="s">
        <v>140</v>
      </c>
      <c r="F20431" s="2" t="str">
        <f>HYPERLINK("http://www.otzar.org/book.asp?53419","ליקוטים יקרים &lt;דפו""ר&gt;")</f>
        <v>ליקוטים יקרים &lt;דפו"ר&gt;</v>
      </c>
    </row>
    <row r="20432" spans="1:6" x14ac:dyDescent="0.2">
      <c r="A20432" t="s">
        <v>33226</v>
      </c>
      <c r="B20432" t="s">
        <v>33227</v>
      </c>
      <c r="C20432" t="s">
        <v>313</v>
      </c>
      <c r="D20432" t="s">
        <v>52</v>
      </c>
      <c r="E20432" t="s">
        <v>219</v>
      </c>
      <c r="F20432" s="2" t="str">
        <f>HYPERLINK("http://www.otzar.org/book.asp?189720","ליקוטים יקרים להשם")</f>
        <v>ליקוטים יקרים להשם</v>
      </c>
    </row>
    <row r="20433" spans="1:6" x14ac:dyDescent="0.2">
      <c r="A20433" t="s">
        <v>33228</v>
      </c>
      <c r="B20433" t="s">
        <v>3618</v>
      </c>
      <c r="C20433" t="s">
        <v>752</v>
      </c>
      <c r="D20433" t="s">
        <v>1279</v>
      </c>
      <c r="E20433" t="s">
        <v>741</v>
      </c>
      <c r="F20433" s="2" t="str">
        <f>HYPERLINK("http://www.otzar.org/book.asp?23364","ליקוטים יקרים - 3 כר'")</f>
        <v>ליקוטים יקרים - 3 כר'</v>
      </c>
    </row>
    <row r="20434" spans="1:6" x14ac:dyDescent="0.2">
      <c r="A20434" t="s">
        <v>33229</v>
      </c>
      <c r="B20434" t="s">
        <v>33230</v>
      </c>
      <c r="C20434" t="s">
        <v>950</v>
      </c>
      <c r="D20434" t="s">
        <v>11697</v>
      </c>
      <c r="E20434" t="s">
        <v>140</v>
      </c>
      <c r="F20434" s="2" t="str">
        <f>HYPERLINK("http://www.otzar.org/book.asp?10551","ליקוטים יקרים")</f>
        <v>ליקוטים יקרים</v>
      </c>
    </row>
    <row r="20435" spans="1:6" x14ac:dyDescent="0.2">
      <c r="A20435" t="s">
        <v>33229</v>
      </c>
      <c r="B20435" t="s">
        <v>6671</v>
      </c>
      <c r="C20435" t="s">
        <v>1844</v>
      </c>
      <c r="D20435" t="s">
        <v>33231</v>
      </c>
      <c r="E20435" t="s">
        <v>140</v>
      </c>
      <c r="F20435" s="2" t="str">
        <f>HYPERLINK("http://www.otzar.org/book.asp?162531","ליקוטים יקרים")</f>
        <v>ליקוטים יקרים</v>
      </c>
    </row>
    <row r="20436" spans="1:6" x14ac:dyDescent="0.2">
      <c r="A20436" t="s">
        <v>33232</v>
      </c>
      <c r="B20436" t="s">
        <v>33233</v>
      </c>
      <c r="C20436" t="s">
        <v>473</v>
      </c>
      <c r="D20436" t="s">
        <v>225</v>
      </c>
      <c r="E20436" t="s">
        <v>1438</v>
      </c>
      <c r="F20436" s="2" t="str">
        <f>HYPERLINK("http://www.otzar.org/book.asp?51536","ליקוטים מהרב ר' פנחס מקאריץ")</f>
        <v>ליקוטים מהרב ר' פנחס מקאריץ</v>
      </c>
    </row>
    <row r="20437" spans="1:6" x14ac:dyDescent="0.2">
      <c r="A20437" t="s">
        <v>33234</v>
      </c>
      <c r="B20437" t="s">
        <v>1116</v>
      </c>
      <c r="C20437" t="s">
        <v>2076</v>
      </c>
      <c r="D20437" t="s">
        <v>535</v>
      </c>
      <c r="E20437" t="s">
        <v>33235</v>
      </c>
      <c r="F20437" s="2" t="str">
        <f>HYPERLINK("http://www.otzar.org/book.asp?16948","ליקוטים ממדרש אבכיר")</f>
        <v>ליקוטים ממדרש אבכיר</v>
      </c>
    </row>
    <row r="20438" spans="1:6" x14ac:dyDescent="0.2">
      <c r="A20438" t="s">
        <v>33236</v>
      </c>
      <c r="B20438" t="s">
        <v>7075</v>
      </c>
      <c r="C20438" t="s">
        <v>1718</v>
      </c>
      <c r="D20438" t="s">
        <v>535</v>
      </c>
      <c r="E20438" t="s">
        <v>33235</v>
      </c>
      <c r="F20438" s="2" t="str">
        <f>HYPERLINK("http://www.otzar.org/book.asp?14753","ליקוטים ממדרש אלה הדברים רבה")</f>
        <v>ליקוטים ממדרש אלה הדברים רבה</v>
      </c>
    </row>
    <row r="20439" spans="1:6" x14ac:dyDescent="0.2">
      <c r="A20439" t="s">
        <v>33237</v>
      </c>
      <c r="B20439" t="s">
        <v>18617</v>
      </c>
      <c r="C20439" t="s">
        <v>33238</v>
      </c>
      <c r="D20439" t="s">
        <v>6608</v>
      </c>
      <c r="E20439" t="s">
        <v>104</v>
      </c>
      <c r="F20439" s="2" t="str">
        <f>HYPERLINK("http://www.otzar.org/book.asp?200128","ליקוטים מפרדס - 7 כר'")</f>
        <v>ליקוטים מפרדס - 7 כר'</v>
      </c>
    </row>
    <row r="20440" spans="1:6" x14ac:dyDescent="0.2">
      <c r="A20440" t="s">
        <v>33239</v>
      </c>
      <c r="B20440" t="s">
        <v>33240</v>
      </c>
      <c r="C20440" t="s">
        <v>33241</v>
      </c>
      <c r="D20440" t="s">
        <v>27</v>
      </c>
      <c r="E20440" t="s">
        <v>733</v>
      </c>
      <c r="F20440" s="2" t="str">
        <f>HYPERLINK("http://www.otzar.org/book.asp?106374","ליקוטים מפרוש על התורה - 2 כר'")</f>
        <v>ליקוטים מפרוש על התורה - 2 כר'</v>
      </c>
    </row>
    <row r="20441" spans="1:6" x14ac:dyDescent="0.2">
      <c r="A20441" t="s">
        <v>33242</v>
      </c>
      <c r="B20441" t="s">
        <v>6671</v>
      </c>
      <c r="C20441" t="s">
        <v>1844</v>
      </c>
      <c r="D20441" t="s">
        <v>11697</v>
      </c>
      <c r="E20441" t="s">
        <v>140</v>
      </c>
      <c r="F20441" s="2" t="str">
        <f>HYPERLINK("http://www.otzar.org/book.asp?10549","ליקוטים מר' פנחס מקאריץ")</f>
        <v>ליקוטים מר' פנחס מקאריץ</v>
      </c>
    </row>
    <row r="20442" spans="1:6" x14ac:dyDescent="0.2">
      <c r="A20442" t="s">
        <v>33243</v>
      </c>
      <c r="B20442" t="s">
        <v>33233</v>
      </c>
      <c r="C20442" t="s">
        <v>6448</v>
      </c>
      <c r="D20442" t="s">
        <v>283</v>
      </c>
      <c r="E20442" t="s">
        <v>399</v>
      </c>
      <c r="F20442" s="2" t="str">
        <f>HYPERLINK("http://www.otzar.org/book.asp?23583","ליקוטים מרב האי גאון")</f>
        <v>ליקוטים מרב האי גאון</v>
      </c>
    </row>
    <row r="20443" spans="1:6" x14ac:dyDescent="0.2">
      <c r="A20443" t="s">
        <v>33244</v>
      </c>
      <c r="B20443" t="s">
        <v>33245</v>
      </c>
      <c r="C20443" t="s">
        <v>3690</v>
      </c>
      <c r="D20443" t="s">
        <v>56</v>
      </c>
      <c r="E20443" t="s">
        <v>9760</v>
      </c>
      <c r="F20443" s="2" t="str">
        <f>HYPERLINK("http://www.otzar.org/book.asp?19210","ליקוטים נפלאים")</f>
        <v>ליקוטים נפלאים</v>
      </c>
    </row>
    <row r="20444" spans="1:6" x14ac:dyDescent="0.2">
      <c r="A20444" t="s">
        <v>33246</v>
      </c>
      <c r="B20444" t="s">
        <v>33247</v>
      </c>
      <c r="C20444" t="s">
        <v>1058</v>
      </c>
      <c r="D20444" t="s">
        <v>16347</v>
      </c>
      <c r="E20444" t="s">
        <v>5860</v>
      </c>
      <c r="F20444" s="2" t="str">
        <f>HYPERLINK("http://www.otzar.org/book.asp?14705","ליקוטים שונים מס' דבי אליהו")</f>
        <v>ליקוטים שונים מס' דבי אליהו</v>
      </c>
    </row>
    <row r="20445" spans="1:6" x14ac:dyDescent="0.2">
      <c r="A20445" t="s">
        <v>33248</v>
      </c>
      <c r="B20445" t="s">
        <v>11656</v>
      </c>
      <c r="C20445" t="s">
        <v>427</v>
      </c>
      <c r="D20445" t="s">
        <v>14</v>
      </c>
      <c r="F20445" s="2" t="str">
        <f>HYPERLINK("http://www.otzar.org/book.asp?617937","ליקוטים שפת אמת")</f>
        <v>ליקוטים שפת אמת</v>
      </c>
    </row>
    <row r="20446" spans="1:6" x14ac:dyDescent="0.2">
      <c r="A20446" t="s">
        <v>33249</v>
      </c>
      <c r="B20446" t="s">
        <v>10485</v>
      </c>
      <c r="C20446" t="s">
        <v>1650</v>
      </c>
      <c r="D20446" t="s">
        <v>535</v>
      </c>
      <c r="E20446" t="s">
        <v>741</v>
      </c>
      <c r="F20446" s="2" t="str">
        <f>HYPERLINK("http://www.otzar.org/book.asp?102280","ליקוטים תלפיות")</f>
        <v>ליקוטים תלפיות</v>
      </c>
    </row>
    <row r="20447" spans="1:6" x14ac:dyDescent="0.2">
      <c r="A20447" t="s">
        <v>11656</v>
      </c>
      <c r="B20447" t="s">
        <v>33250</v>
      </c>
      <c r="C20447" t="s">
        <v>168</v>
      </c>
      <c r="D20447" t="s">
        <v>52</v>
      </c>
      <c r="F20447" s="2" t="str">
        <f>HYPERLINK("http://www.otzar.org/book.asp?200654","ליקוטים")</f>
        <v>ליקוטים</v>
      </c>
    </row>
    <row r="20448" spans="1:6" x14ac:dyDescent="0.2">
      <c r="A20448" t="s">
        <v>33251</v>
      </c>
      <c r="B20448" t="s">
        <v>33251</v>
      </c>
      <c r="C20448" t="s">
        <v>71</v>
      </c>
      <c r="D20448" t="s">
        <v>14</v>
      </c>
      <c r="E20448" t="s">
        <v>241</v>
      </c>
      <c r="F20448" s="2" t="str">
        <f>HYPERLINK("http://www.otzar.org/book.asp?19329","ליראה את שמך")</f>
        <v>ליראה את שמך</v>
      </c>
    </row>
    <row r="20449" spans="1:6" x14ac:dyDescent="0.2">
      <c r="A20449" t="s">
        <v>33252</v>
      </c>
      <c r="E20449" t="s">
        <v>219</v>
      </c>
      <c r="F20449" s="2" t="str">
        <f>HYPERLINK("http://www.otzar.org/book.asp?197810","לישועתך קויתי ה'")</f>
        <v>לישועתך קויתי ה'</v>
      </c>
    </row>
    <row r="20450" spans="1:6" x14ac:dyDescent="0.2">
      <c r="A20450" t="s">
        <v>33253</v>
      </c>
      <c r="B20450" t="s">
        <v>33254</v>
      </c>
      <c r="C20450" t="s">
        <v>103</v>
      </c>
      <c r="D20450" t="s">
        <v>21</v>
      </c>
      <c r="E20450" t="s">
        <v>119</v>
      </c>
      <c r="F20450" s="2" t="str">
        <f>HYPERLINK("http://www.otzar.org/book.asp?190936","לישרי לב שמחה")</f>
        <v>לישרי לב שמחה</v>
      </c>
    </row>
    <row r="20451" spans="1:6" x14ac:dyDescent="0.2">
      <c r="A20451" t="s">
        <v>33255</v>
      </c>
      <c r="B20451" t="s">
        <v>33256</v>
      </c>
      <c r="C20451" t="s">
        <v>383</v>
      </c>
      <c r="D20451" t="s">
        <v>118</v>
      </c>
      <c r="E20451" t="s">
        <v>467</v>
      </c>
      <c r="F20451" s="2" t="str">
        <f>HYPERLINK("http://www.otzar.org/book.asp?172015","לישרים נאוה תהילה")</f>
        <v>לישרים נאוה תהילה</v>
      </c>
    </row>
    <row r="20452" spans="1:6" x14ac:dyDescent="0.2">
      <c r="A20452" t="s">
        <v>33257</v>
      </c>
      <c r="B20452" t="s">
        <v>33258</v>
      </c>
      <c r="C20452" t="s">
        <v>146</v>
      </c>
      <c r="D20452" t="s">
        <v>90</v>
      </c>
      <c r="E20452" t="s">
        <v>226</v>
      </c>
      <c r="F20452" s="2" t="str">
        <f>HYPERLINK("http://www.otzar.org/book.asp?157698","לישרים נאווה תהילה")</f>
        <v>לישרים נאווה תהילה</v>
      </c>
    </row>
    <row r="20453" spans="1:6" x14ac:dyDescent="0.2">
      <c r="A20453" t="s">
        <v>33259</v>
      </c>
      <c r="B20453" t="s">
        <v>1390</v>
      </c>
      <c r="C20453" t="s">
        <v>37</v>
      </c>
      <c r="D20453" t="s">
        <v>152</v>
      </c>
      <c r="E20453" t="s">
        <v>399</v>
      </c>
      <c r="F20453" s="2" t="str">
        <f>HYPERLINK("http://www.otzar.org/book.asp?180990","לישרים תהלה &lt;מהדורה חדשה&gt;")</f>
        <v>לישרים תהלה &lt;מהדורה חדשה&gt;</v>
      </c>
    </row>
    <row r="20454" spans="1:6" x14ac:dyDescent="0.2">
      <c r="A20454" t="s">
        <v>33260</v>
      </c>
      <c r="B20454" t="s">
        <v>33261</v>
      </c>
      <c r="C20454" t="s">
        <v>189</v>
      </c>
      <c r="D20454" t="s">
        <v>14</v>
      </c>
      <c r="F20454" s="2" t="str">
        <f>HYPERLINK("http://www.otzar.org/book.asp?153436","לישרים תהלה עם ביאור המילים")</f>
        <v>לישרים תהלה עם ביאור המילים</v>
      </c>
    </row>
    <row r="20455" spans="1:6" x14ac:dyDescent="0.2">
      <c r="A20455" t="s">
        <v>33262</v>
      </c>
      <c r="B20455" t="s">
        <v>1390</v>
      </c>
      <c r="C20455" t="s">
        <v>237</v>
      </c>
      <c r="D20455" t="s">
        <v>27</v>
      </c>
      <c r="E20455" t="s">
        <v>104</v>
      </c>
      <c r="F20455" s="2" t="str">
        <f>HYPERLINK("http://www.otzar.org/book.asp?13403","לישרים תהלה - 2 כר'")</f>
        <v>לישרים תהלה - 2 כר'</v>
      </c>
    </row>
    <row r="20456" spans="1:6" x14ac:dyDescent="0.2">
      <c r="A20456" t="s">
        <v>33263</v>
      </c>
      <c r="B20456" t="s">
        <v>16501</v>
      </c>
      <c r="C20456" t="s">
        <v>2271</v>
      </c>
      <c r="D20456" t="s">
        <v>33264</v>
      </c>
      <c r="F20456" s="2" t="str">
        <f>HYPERLINK("http://www.otzar.org/book.asp?618679","לישרים תהלה - 5 כר'")</f>
        <v>לישרים תהלה - 5 כר'</v>
      </c>
    </row>
    <row r="20457" spans="1:6" x14ac:dyDescent="0.2">
      <c r="A20457" t="s">
        <v>33265</v>
      </c>
      <c r="B20457" t="s">
        <v>4077</v>
      </c>
      <c r="C20457" t="s">
        <v>1663</v>
      </c>
      <c r="D20457" t="s">
        <v>27</v>
      </c>
      <c r="E20457" t="s">
        <v>213</v>
      </c>
      <c r="F20457" s="2" t="str">
        <f>HYPERLINK("http://www.otzar.org/book.asp?148975","לישרים תהלה")</f>
        <v>לישרים תהלה</v>
      </c>
    </row>
    <row r="20458" spans="1:6" x14ac:dyDescent="0.2">
      <c r="A20458" t="s">
        <v>33266</v>
      </c>
      <c r="B20458" t="s">
        <v>33267</v>
      </c>
      <c r="C20458" t="s">
        <v>37</v>
      </c>
      <c r="D20458" t="s">
        <v>9909</v>
      </c>
      <c r="F20458" s="2" t="str">
        <f>HYPERLINK("http://www.otzar.org/book.asp?623022","לך אלי תשוקתי - 2 כר'")</f>
        <v>לך אלי תשוקתי - 2 כר'</v>
      </c>
    </row>
    <row r="20459" spans="1:6" x14ac:dyDescent="0.2">
      <c r="A20459" t="s">
        <v>33268</v>
      </c>
      <c r="B20459" t="s">
        <v>33269</v>
      </c>
      <c r="C20459" t="s">
        <v>286</v>
      </c>
      <c r="D20459" t="s">
        <v>27</v>
      </c>
      <c r="E20459" t="s">
        <v>474</v>
      </c>
      <c r="F20459" s="2" t="str">
        <f>HYPERLINK("http://www.otzar.org/book.asp?171007","לך דוד, ולדוד ברוך")</f>
        <v>לך דוד, ולדוד ברוך</v>
      </c>
    </row>
    <row r="20460" spans="1:6" x14ac:dyDescent="0.2">
      <c r="A20460" t="s">
        <v>33270</v>
      </c>
      <c r="B20460" t="s">
        <v>16591</v>
      </c>
      <c r="C20460" t="s">
        <v>151</v>
      </c>
      <c r="D20460" t="s">
        <v>14</v>
      </c>
      <c r="F20460" s="2" t="str">
        <f>HYPERLINK("http://www.otzar.org/book.asp?616218","לך והודיעם")</f>
        <v>לך והודיעם</v>
      </c>
    </row>
    <row r="20461" spans="1:6" x14ac:dyDescent="0.2">
      <c r="A20461" t="s">
        <v>33271</v>
      </c>
      <c r="B20461" t="s">
        <v>33272</v>
      </c>
      <c r="C20461" t="s">
        <v>523</v>
      </c>
      <c r="D20461" t="s">
        <v>14</v>
      </c>
      <c r="E20461" t="s">
        <v>733</v>
      </c>
      <c r="F20461" s="2" t="str">
        <f>HYPERLINK("http://www.otzar.org/book.asp?63048","לך לך בני")</f>
        <v>לך לך בני</v>
      </c>
    </row>
    <row r="20462" spans="1:6" x14ac:dyDescent="0.2">
      <c r="A20462" t="s">
        <v>33273</v>
      </c>
      <c r="B20462" t="s">
        <v>7813</v>
      </c>
      <c r="C20462" t="s">
        <v>26</v>
      </c>
      <c r="D20462" t="s">
        <v>14</v>
      </c>
      <c r="E20462" t="s">
        <v>104</v>
      </c>
      <c r="F20462" s="2" t="str">
        <f>HYPERLINK("http://www.otzar.org/book.asp?11390","לך לך")</f>
        <v>לך לך</v>
      </c>
    </row>
    <row r="20463" spans="1:6" x14ac:dyDescent="0.2">
      <c r="A20463" t="s">
        <v>33274</v>
      </c>
      <c r="B20463" t="s">
        <v>3166</v>
      </c>
      <c r="C20463" t="s">
        <v>68</v>
      </c>
      <c r="D20463" t="s">
        <v>14</v>
      </c>
      <c r="F20463" s="2" t="str">
        <f>HYPERLINK("http://www.otzar.org/book.asp?151413","לך נאה להודות")</f>
        <v>לך נאה להודות</v>
      </c>
    </row>
    <row r="20464" spans="1:6" x14ac:dyDescent="0.2">
      <c r="A20464" t="s">
        <v>33275</v>
      </c>
      <c r="B20464" t="s">
        <v>22210</v>
      </c>
      <c r="C20464" t="s">
        <v>576</v>
      </c>
      <c r="D20464" t="s">
        <v>6974</v>
      </c>
      <c r="E20464" t="s">
        <v>154</v>
      </c>
      <c r="F20464" s="2" t="str">
        <f>HYPERLINK("http://www.otzar.org/book.asp?18979","לך שלמה")</f>
        <v>לך שלמה</v>
      </c>
    </row>
    <row r="20465" spans="1:6" x14ac:dyDescent="0.2">
      <c r="A20465" t="s">
        <v>33276</v>
      </c>
      <c r="B20465" t="s">
        <v>33277</v>
      </c>
      <c r="C20465" t="s">
        <v>68</v>
      </c>
      <c r="D20465" t="s">
        <v>14</v>
      </c>
      <c r="E20465" t="s">
        <v>230</v>
      </c>
      <c r="F20465" s="2" t="str">
        <f>HYPERLINK("http://www.otzar.org/book.asp?178977","לך תהלתי")</f>
        <v>לך תהלתי</v>
      </c>
    </row>
    <row r="20466" spans="1:6" x14ac:dyDescent="0.2">
      <c r="A20466" t="s">
        <v>33278</v>
      </c>
      <c r="B20466" t="s">
        <v>33279</v>
      </c>
      <c r="C20466" t="s">
        <v>68</v>
      </c>
      <c r="D20466" t="s">
        <v>115</v>
      </c>
      <c r="F20466" s="2" t="str">
        <f>HYPERLINK("http://www.otzar.org/book.asp?156707","לכבוד ולתפארת - 3 כר'")</f>
        <v>לכבוד ולתפארת - 3 כר'</v>
      </c>
    </row>
    <row r="20467" spans="1:6" x14ac:dyDescent="0.2">
      <c r="A20467" t="s">
        <v>33280</v>
      </c>
      <c r="B20467" t="s">
        <v>33281</v>
      </c>
      <c r="C20467" t="s">
        <v>1364</v>
      </c>
      <c r="D20467" t="s">
        <v>6742</v>
      </c>
      <c r="E20467" t="s">
        <v>15</v>
      </c>
      <c r="F20467" s="2" t="str">
        <f>HYPERLINK("http://www.otzar.org/book.asp?169430","לכבוד עמודי התורה")</f>
        <v>לכבוד עמודי התורה</v>
      </c>
    </row>
    <row r="20468" spans="1:6" x14ac:dyDescent="0.2">
      <c r="A20468" t="s">
        <v>33282</v>
      </c>
      <c r="B20468" t="s">
        <v>8822</v>
      </c>
      <c r="C20468" t="s">
        <v>3106</v>
      </c>
      <c r="D20468" t="s">
        <v>646</v>
      </c>
      <c r="F20468" s="2" t="str">
        <f>HYPERLINK("http://www.otzar.org/book.asp?152964","לכבוד פסח")</f>
        <v>לכבוד פסח</v>
      </c>
    </row>
    <row r="20469" spans="1:6" x14ac:dyDescent="0.2">
      <c r="A20469" t="s">
        <v>33283</v>
      </c>
      <c r="B20469" t="s">
        <v>8822</v>
      </c>
      <c r="C20469" t="s">
        <v>1246</v>
      </c>
      <c r="D20469" t="s">
        <v>646</v>
      </c>
      <c r="E20469" t="s">
        <v>246</v>
      </c>
      <c r="F20469" s="2" t="str">
        <f>HYPERLINK("http://www.otzar.org/book.asp?628737","לכבוד ראש השנה - 3 כר'")</f>
        <v>לכבוד ראש השנה - 3 כר'</v>
      </c>
    </row>
    <row r="20470" spans="1:6" x14ac:dyDescent="0.2">
      <c r="A20470" t="s">
        <v>33284</v>
      </c>
      <c r="B20470" t="s">
        <v>13883</v>
      </c>
      <c r="C20470" t="s">
        <v>237</v>
      </c>
      <c r="D20470" t="s">
        <v>412</v>
      </c>
      <c r="E20470" t="s">
        <v>158</v>
      </c>
      <c r="F20470" s="2" t="str">
        <f>HYPERLINK("http://www.otzar.org/book.asp?196494","לכבוד שבת")</f>
        <v>לכבוד שבת</v>
      </c>
    </row>
    <row r="20471" spans="1:6" x14ac:dyDescent="0.2">
      <c r="A20471" t="s">
        <v>33285</v>
      </c>
      <c r="B20471" t="s">
        <v>33286</v>
      </c>
      <c r="C20471" t="s">
        <v>124</v>
      </c>
      <c r="D20471" t="s">
        <v>52</v>
      </c>
      <c r="E20471" t="s">
        <v>246</v>
      </c>
      <c r="F20471" s="2" t="str">
        <f>HYPERLINK("http://www.otzar.org/book.asp?171346","לכבוד שבת - 2 כר'")</f>
        <v>לכבוד שבת - 2 כר'</v>
      </c>
    </row>
    <row r="20472" spans="1:6" x14ac:dyDescent="0.2">
      <c r="A20472" t="s">
        <v>33287</v>
      </c>
      <c r="B20472" t="s">
        <v>2396</v>
      </c>
      <c r="C20472" t="s">
        <v>20</v>
      </c>
      <c r="D20472" t="s">
        <v>1076</v>
      </c>
      <c r="E20472" t="s">
        <v>144</v>
      </c>
      <c r="F20472" s="2" t="str">
        <f>HYPERLINK("http://www.otzar.org/book.asp?148707","לכו לחמו בלחמי")</f>
        <v>לכו לחמו בלחמי</v>
      </c>
    </row>
    <row r="20473" spans="1:6" x14ac:dyDescent="0.2">
      <c r="A20473" t="s">
        <v>33288</v>
      </c>
      <c r="B20473" t="s">
        <v>4785</v>
      </c>
      <c r="C20473" t="s">
        <v>151</v>
      </c>
      <c r="D20473" t="s">
        <v>52</v>
      </c>
      <c r="E20473" t="s">
        <v>1164</v>
      </c>
      <c r="F20473" s="2" t="str">
        <f>HYPERLINK("http://www.otzar.org/book.asp?615957","לכו נרננה")</f>
        <v>לכו נרננה</v>
      </c>
    </row>
    <row r="20474" spans="1:6" x14ac:dyDescent="0.2">
      <c r="A20474" t="s">
        <v>33289</v>
      </c>
      <c r="B20474" t="s">
        <v>33290</v>
      </c>
      <c r="C20474" t="s">
        <v>411</v>
      </c>
      <c r="D20474" t="s">
        <v>152</v>
      </c>
      <c r="E20474" t="s">
        <v>246</v>
      </c>
      <c r="F20474" s="2" t="str">
        <f>HYPERLINK("http://www.otzar.org/book.asp?193048","לכל זמן ועת")</f>
        <v>לכל זמן ועת</v>
      </c>
    </row>
    <row r="20475" spans="1:6" x14ac:dyDescent="0.2">
      <c r="A20475" t="s">
        <v>33291</v>
      </c>
      <c r="B20475" t="s">
        <v>33292</v>
      </c>
      <c r="C20475" t="s">
        <v>5242</v>
      </c>
      <c r="D20475" t="s">
        <v>49</v>
      </c>
      <c r="E20475" t="s">
        <v>15</v>
      </c>
      <c r="F20475" s="2" t="str">
        <f>HYPERLINK("http://www.otzar.org/book.asp?18980","לכל חפץ - 2 כר'")</f>
        <v>לכל חפץ - 2 כר'</v>
      </c>
    </row>
    <row r="20476" spans="1:6" x14ac:dyDescent="0.2">
      <c r="A20476" t="s">
        <v>33293</v>
      </c>
      <c r="B20476" t="s">
        <v>33294</v>
      </c>
      <c r="C20476" t="s">
        <v>46</v>
      </c>
      <c r="D20476" t="s">
        <v>260</v>
      </c>
      <c r="E20476" t="s">
        <v>104</v>
      </c>
      <c r="F20476" s="2" t="str">
        <f>HYPERLINK("http://www.otzar.org/book.asp?13432","לכסיקון ראשי תיבות")</f>
        <v>לכסיקון ראשי תיבות</v>
      </c>
    </row>
    <row r="20477" spans="1:6" x14ac:dyDescent="0.2">
      <c r="A20477" t="s">
        <v>33295</v>
      </c>
      <c r="B20477" t="s">
        <v>33296</v>
      </c>
      <c r="C20477" t="s">
        <v>33297</v>
      </c>
      <c r="D20477" t="s">
        <v>563</v>
      </c>
      <c r="E20477" t="s">
        <v>11780</v>
      </c>
      <c r="F20477" s="2" t="str">
        <f>HYPERLINK("http://www.otzar.org/book.asp?7117","ללב עמי - ב")</f>
        <v>ללב עמי - ב</v>
      </c>
    </row>
    <row r="20478" spans="1:6" x14ac:dyDescent="0.2">
      <c r="A20478" t="s">
        <v>33298</v>
      </c>
      <c r="B20478" t="s">
        <v>365</v>
      </c>
      <c r="C20478" t="s">
        <v>383</v>
      </c>
      <c r="D20478" t="s">
        <v>14</v>
      </c>
      <c r="E20478" t="s">
        <v>144</v>
      </c>
      <c r="F20478" s="2" t="str">
        <f>HYPERLINK("http://www.otzar.org/book.asp?22555","ללמד על הכלל")</f>
        <v>ללמד על הכלל</v>
      </c>
    </row>
    <row r="20479" spans="1:6" x14ac:dyDescent="0.2">
      <c r="A20479" t="s">
        <v>33299</v>
      </c>
      <c r="B20479" t="s">
        <v>206</v>
      </c>
      <c r="C20479" t="s">
        <v>411</v>
      </c>
      <c r="D20479" t="s">
        <v>1156</v>
      </c>
      <c r="E20479" t="s">
        <v>104</v>
      </c>
      <c r="F20479" s="2" t="str">
        <f>HYPERLINK("http://www.otzar.org/book.asp?630568","ללמדו תורה")</f>
        <v>ללמדו תורה</v>
      </c>
    </row>
    <row r="20480" spans="1:6" x14ac:dyDescent="0.2">
      <c r="A20480" t="s">
        <v>33300</v>
      </c>
      <c r="B20480" t="s">
        <v>33301</v>
      </c>
      <c r="C20480" t="s">
        <v>908</v>
      </c>
      <c r="D20480" t="s">
        <v>30</v>
      </c>
      <c r="E20480" t="s">
        <v>104</v>
      </c>
      <c r="F20480" s="2" t="str">
        <f>HYPERLINK("http://www.otzar.org/book.asp?149419","ללמוד וללמד")</f>
        <v>ללמוד וללמד</v>
      </c>
    </row>
    <row r="20481" spans="1:6" x14ac:dyDescent="0.2">
      <c r="A20481" t="s">
        <v>33300</v>
      </c>
      <c r="B20481" t="s">
        <v>33302</v>
      </c>
      <c r="C20481" t="s">
        <v>785</v>
      </c>
      <c r="D20481" t="s">
        <v>14</v>
      </c>
      <c r="E20481" t="s">
        <v>2091</v>
      </c>
      <c r="F20481" s="2" t="str">
        <f>HYPERLINK("http://www.otzar.org/book.asp?179043","ללמוד וללמד")</f>
        <v>ללמוד וללמד</v>
      </c>
    </row>
    <row r="20482" spans="1:6" x14ac:dyDescent="0.2">
      <c r="A20482" t="s">
        <v>33303</v>
      </c>
      <c r="B20482" t="s">
        <v>33304</v>
      </c>
      <c r="C20482" t="s">
        <v>17</v>
      </c>
      <c r="D20482" t="s">
        <v>14</v>
      </c>
      <c r="E20482" t="s">
        <v>15</v>
      </c>
      <c r="F20482" s="2" t="str">
        <f>HYPERLINK("http://www.otzar.org/book.asp?108353","ללקוט שושנים - 6 כר'")</f>
        <v>ללקוט שושנים - 6 כר'</v>
      </c>
    </row>
    <row r="20483" spans="1:6" x14ac:dyDescent="0.2">
      <c r="A20483" t="s">
        <v>33305</v>
      </c>
      <c r="B20483" t="s">
        <v>33306</v>
      </c>
      <c r="C20483" t="s">
        <v>151</v>
      </c>
      <c r="E20483" t="s">
        <v>104</v>
      </c>
      <c r="F20483" s="2" t="str">
        <f>HYPERLINK("http://www.otzar.org/book.asp?626486","ללקט שושנים")</f>
        <v>ללקט שושנים</v>
      </c>
    </row>
    <row r="20484" spans="1:6" x14ac:dyDescent="0.2">
      <c r="A20484" t="s">
        <v>33307</v>
      </c>
      <c r="B20484" t="s">
        <v>4303</v>
      </c>
      <c r="C20484" t="s">
        <v>1811</v>
      </c>
      <c r="D20484" t="s">
        <v>412</v>
      </c>
      <c r="E20484" t="s">
        <v>33308</v>
      </c>
      <c r="F20484" s="2" t="str">
        <f>HYPERLINK("http://www.otzar.org/book.asp?10458","ללשונות הרמב""ם")</f>
        <v>ללשונות הרמב"ם</v>
      </c>
    </row>
    <row r="20485" spans="1:6" x14ac:dyDescent="0.2">
      <c r="A20485" t="s">
        <v>33309</v>
      </c>
      <c r="B20485" t="s">
        <v>33310</v>
      </c>
      <c r="C20485" t="s">
        <v>523</v>
      </c>
      <c r="D20485" t="s">
        <v>14</v>
      </c>
      <c r="E20485" t="s">
        <v>714</v>
      </c>
      <c r="F20485" s="2" t="str">
        <f>HYPERLINK("http://www.otzar.org/book.asp?50470","למד דעת")</f>
        <v>למד דעת</v>
      </c>
    </row>
    <row r="20486" spans="1:6" x14ac:dyDescent="0.2">
      <c r="A20486" t="s">
        <v>33311</v>
      </c>
      <c r="B20486" t="s">
        <v>33312</v>
      </c>
      <c r="C20486" t="s">
        <v>1609</v>
      </c>
      <c r="D20486" t="s">
        <v>3208</v>
      </c>
      <c r="E20486" t="s">
        <v>104</v>
      </c>
      <c r="F20486" s="2" t="str">
        <f>HYPERLINK("http://www.otzar.org/book.asp?602416","למד לכתוב במכונת כתיבה עברית")</f>
        <v>למד לכתוב במכונת כתיבה עברית</v>
      </c>
    </row>
    <row r="20487" spans="1:6" x14ac:dyDescent="0.2">
      <c r="A20487" t="s">
        <v>33313</v>
      </c>
      <c r="B20487" t="s">
        <v>33314</v>
      </c>
      <c r="C20487" t="s">
        <v>624</v>
      </c>
      <c r="D20487" t="s">
        <v>14</v>
      </c>
      <c r="E20487" t="s">
        <v>158</v>
      </c>
      <c r="F20487" s="2" t="str">
        <f>HYPERLINK("http://www.otzar.org/book.asp?85358","למדנות")</f>
        <v>למדנות</v>
      </c>
    </row>
    <row r="20488" spans="1:6" x14ac:dyDescent="0.2">
      <c r="A20488" t="s">
        <v>33315</v>
      </c>
      <c r="B20488" t="s">
        <v>11831</v>
      </c>
      <c r="C20488" t="s">
        <v>63</v>
      </c>
      <c r="D20488" t="s">
        <v>52</v>
      </c>
      <c r="E20488" t="s">
        <v>241</v>
      </c>
      <c r="F20488" s="2" t="str">
        <f>HYPERLINK("http://www.otzar.org/book.asp?174380","למה תתראו")</f>
        <v>למה תתראו</v>
      </c>
    </row>
    <row r="20489" spans="1:6" x14ac:dyDescent="0.2">
      <c r="A20489" t="s">
        <v>33316</v>
      </c>
      <c r="B20489" t="s">
        <v>18444</v>
      </c>
      <c r="C20489" t="s">
        <v>16194</v>
      </c>
      <c r="D20489" t="s">
        <v>2303</v>
      </c>
      <c r="E20489" t="s">
        <v>16725</v>
      </c>
      <c r="F20489" s="2" t="str">
        <f>HYPERLINK("http://www.otzar.org/book.asp?10422","למוד ערוך - 6 כר'")</f>
        <v>למוד ערוך - 6 כר'</v>
      </c>
    </row>
    <row r="20490" spans="1:6" x14ac:dyDescent="0.2">
      <c r="A20490" t="s">
        <v>33317</v>
      </c>
      <c r="B20490" t="s">
        <v>107</v>
      </c>
      <c r="C20490" t="s">
        <v>383</v>
      </c>
      <c r="D20490" t="s">
        <v>14</v>
      </c>
      <c r="E20490" t="s">
        <v>241</v>
      </c>
      <c r="F20490" s="2" t="str">
        <f>HYPERLINK("http://www.otzar.org/book.asp?148257","למוד תורה לשמה")</f>
        <v>למוד תורה לשמה</v>
      </c>
    </row>
    <row r="20491" spans="1:6" x14ac:dyDescent="0.2">
      <c r="A20491" t="s">
        <v>33318</v>
      </c>
      <c r="B20491" t="s">
        <v>33319</v>
      </c>
      <c r="C20491" t="s">
        <v>160</v>
      </c>
      <c r="D20491" t="s">
        <v>27</v>
      </c>
      <c r="E20491" t="s">
        <v>84</v>
      </c>
      <c r="F20491" s="2" t="str">
        <f>HYPERLINK("http://www.otzar.org/book.asp?105595","למודי אברהם - 2 כר'")</f>
        <v>למודי אברהם - 2 כר'</v>
      </c>
    </row>
    <row r="20492" spans="1:6" x14ac:dyDescent="0.2">
      <c r="A20492" t="s">
        <v>33320</v>
      </c>
      <c r="B20492" t="s">
        <v>686</v>
      </c>
      <c r="C20492" t="s">
        <v>313</v>
      </c>
      <c r="D20492" t="s">
        <v>52</v>
      </c>
      <c r="E20492" t="s">
        <v>104</v>
      </c>
      <c r="F20492" s="2" t="str">
        <f>HYPERLINK("http://www.otzar.org/book.asp?189252","למודי ה'")</f>
        <v>למודי ה'</v>
      </c>
    </row>
    <row r="20493" spans="1:6" x14ac:dyDescent="0.2">
      <c r="A20493" t="s">
        <v>33321</v>
      </c>
      <c r="B20493" t="s">
        <v>2464</v>
      </c>
      <c r="C20493" t="s">
        <v>728</v>
      </c>
      <c r="D20493" t="s">
        <v>267</v>
      </c>
      <c r="E20493" t="s">
        <v>104</v>
      </c>
      <c r="F20493" s="2" t="str">
        <f>HYPERLINK("http://www.otzar.org/book.asp?6242","למודי ה' - 2 כר'")</f>
        <v>למודי ה' - 2 כר'</v>
      </c>
    </row>
    <row r="20494" spans="1:6" x14ac:dyDescent="0.2">
      <c r="A20494" t="s">
        <v>33322</v>
      </c>
      <c r="B20494" t="s">
        <v>33323</v>
      </c>
      <c r="C20494" t="s">
        <v>1706</v>
      </c>
      <c r="D20494" t="s">
        <v>974</v>
      </c>
      <c r="E20494" t="s">
        <v>1517</v>
      </c>
      <c r="F20494" s="2" t="str">
        <f>HYPERLINK("http://www.otzar.org/book.asp?149043","למודי חמד")</f>
        <v>למודי חמד</v>
      </c>
    </row>
    <row r="20495" spans="1:6" x14ac:dyDescent="0.2">
      <c r="A20495" t="s">
        <v>33324</v>
      </c>
      <c r="B20495" t="s">
        <v>776</v>
      </c>
      <c r="C20495" t="s">
        <v>1062</v>
      </c>
      <c r="D20495" t="s">
        <v>27</v>
      </c>
      <c r="E20495" t="s">
        <v>104</v>
      </c>
      <c r="F20495" s="2" t="str">
        <f>HYPERLINK("http://www.otzar.org/book.asp?146795","למודי חן")</f>
        <v>למודי חן</v>
      </c>
    </row>
    <row r="20496" spans="1:6" x14ac:dyDescent="0.2">
      <c r="A20496" t="s">
        <v>33325</v>
      </c>
      <c r="B20496" t="s">
        <v>33326</v>
      </c>
      <c r="C20496" t="s">
        <v>775</v>
      </c>
      <c r="D20496" t="s">
        <v>14</v>
      </c>
      <c r="E20496" t="s">
        <v>158</v>
      </c>
      <c r="F20496" s="2" t="str">
        <f>HYPERLINK("http://www.otzar.org/book.asp?175706","למודי לשון - 2 כר'")</f>
        <v>למודי לשון - 2 כר'</v>
      </c>
    </row>
    <row r="20497" spans="1:6" x14ac:dyDescent="0.2">
      <c r="A20497" t="s">
        <v>33327</v>
      </c>
      <c r="B20497" t="s">
        <v>33328</v>
      </c>
      <c r="C20497" t="s">
        <v>111</v>
      </c>
      <c r="D20497" t="s">
        <v>90</v>
      </c>
      <c r="E20497" t="s">
        <v>144</v>
      </c>
      <c r="F20497" s="2" t="str">
        <f>HYPERLINK("http://www.otzar.org/book.asp?629847","למודי משה - עירובין")</f>
        <v>למודי משה - עירובין</v>
      </c>
    </row>
    <row r="20498" spans="1:6" x14ac:dyDescent="0.2">
      <c r="A20498" t="s">
        <v>33329</v>
      </c>
      <c r="B20498" t="s">
        <v>7992</v>
      </c>
      <c r="C20498" t="s">
        <v>429</v>
      </c>
      <c r="D20498" t="s">
        <v>855</v>
      </c>
      <c r="E20498" t="s">
        <v>3055</v>
      </c>
      <c r="F20498" s="2" t="str">
        <f>HYPERLINK("http://www.otzar.org/book.asp?24709","למודים בנסים")</f>
        <v>למודים בנסים</v>
      </c>
    </row>
    <row r="20499" spans="1:6" x14ac:dyDescent="0.2">
      <c r="A20499" t="s">
        <v>33330</v>
      </c>
      <c r="B20499" t="s">
        <v>33331</v>
      </c>
      <c r="C20499" t="s">
        <v>313</v>
      </c>
      <c r="D20499" t="s">
        <v>21</v>
      </c>
      <c r="E20499" t="s">
        <v>246</v>
      </c>
      <c r="F20499" s="2" t="str">
        <f>HYPERLINK("http://www.otzar.org/book.asp?190972","למועד חודש האביב")</f>
        <v>למועד חודש האביב</v>
      </c>
    </row>
    <row r="20500" spans="1:6" x14ac:dyDescent="0.2">
      <c r="A20500" t="s">
        <v>33332</v>
      </c>
      <c r="B20500" t="s">
        <v>1306</v>
      </c>
      <c r="C20500" t="s">
        <v>1062</v>
      </c>
      <c r="D20500" t="s">
        <v>27</v>
      </c>
      <c r="E20500" t="s">
        <v>621</v>
      </c>
      <c r="F20500" s="2" t="str">
        <f>HYPERLINK("http://www.otzar.org/book.asp?20214","למועד שנת השמיטה")</f>
        <v>למועד שנת השמיטה</v>
      </c>
    </row>
    <row r="20501" spans="1:6" x14ac:dyDescent="0.2">
      <c r="A20501" t="s">
        <v>33333</v>
      </c>
      <c r="B20501" t="s">
        <v>33334</v>
      </c>
      <c r="C20501" t="s">
        <v>33335</v>
      </c>
      <c r="D20501" t="s">
        <v>27</v>
      </c>
      <c r="E20501" t="s">
        <v>1164</v>
      </c>
      <c r="F20501" s="2" t="str">
        <f>HYPERLINK("http://www.otzar.org/book.asp?11697","למועד - א (סוכות, פסח, שבועות)")</f>
        <v>למועד - א (סוכות, פסח, שבועות)</v>
      </c>
    </row>
    <row r="20502" spans="1:6" x14ac:dyDescent="0.2">
      <c r="A20502" t="s">
        <v>33336</v>
      </c>
      <c r="B20502" t="s">
        <v>33337</v>
      </c>
      <c r="C20502" t="s">
        <v>1954</v>
      </c>
      <c r="D20502" t="s">
        <v>27</v>
      </c>
      <c r="E20502" t="s">
        <v>15</v>
      </c>
      <c r="F20502" s="2" t="str">
        <f>HYPERLINK("http://www.otzar.org/book.asp?11977","למזהיר ולנזהר - 2 כר'")</f>
        <v>למזהיר ולנזהר - 2 כר'</v>
      </c>
    </row>
    <row r="20503" spans="1:6" x14ac:dyDescent="0.2">
      <c r="A20503" t="s">
        <v>33338</v>
      </c>
      <c r="B20503" t="s">
        <v>33339</v>
      </c>
      <c r="C20503" t="s">
        <v>5903</v>
      </c>
      <c r="D20503" t="s">
        <v>9</v>
      </c>
      <c r="E20503" t="s">
        <v>104</v>
      </c>
      <c r="F20503" s="2" t="str">
        <f>HYPERLINK("http://www.otzar.org/book.asp?51519","למזכרת")</f>
        <v>למזכרת</v>
      </c>
    </row>
    <row r="20504" spans="1:6" x14ac:dyDescent="0.2">
      <c r="A20504" t="s">
        <v>33340</v>
      </c>
      <c r="B20504" t="s">
        <v>33341</v>
      </c>
      <c r="C20504" t="s">
        <v>1268</v>
      </c>
      <c r="D20504" t="s">
        <v>412</v>
      </c>
      <c r="E20504" t="s">
        <v>144</v>
      </c>
      <c r="F20504" s="2" t="str">
        <f>HYPERLINK("http://www.otzar.org/book.asp?600773","למטה יהודה")</f>
        <v>למטה יהודה</v>
      </c>
    </row>
    <row r="20505" spans="1:6" x14ac:dyDescent="0.2">
      <c r="A20505" t="s">
        <v>33340</v>
      </c>
      <c r="B20505" t="s">
        <v>33342</v>
      </c>
      <c r="C20505" t="s">
        <v>5903</v>
      </c>
      <c r="D20505" t="s">
        <v>283</v>
      </c>
      <c r="E20505" t="s">
        <v>33343</v>
      </c>
      <c r="F20505" s="2" t="str">
        <f>HYPERLINK("http://www.otzar.org/book.asp?18982","למטה יהודה")</f>
        <v>למטה יהודה</v>
      </c>
    </row>
    <row r="20506" spans="1:6" x14ac:dyDescent="0.2">
      <c r="A20506" t="s">
        <v>33344</v>
      </c>
      <c r="B20506" t="s">
        <v>32772</v>
      </c>
      <c r="C20506" t="s">
        <v>422</v>
      </c>
      <c r="D20506" t="s">
        <v>52</v>
      </c>
      <c r="E20506" t="s">
        <v>158</v>
      </c>
      <c r="F20506" s="2" t="str">
        <f>HYPERLINK("http://www.otzar.org/book.asp?611486","למיסבר קראי - 6 כר'")</f>
        <v>למיסבר קראי - 6 כר'</v>
      </c>
    </row>
    <row r="20507" spans="1:6" x14ac:dyDescent="0.2">
      <c r="A20507" t="s">
        <v>33345</v>
      </c>
      <c r="B20507" t="s">
        <v>30677</v>
      </c>
      <c r="C20507" t="s">
        <v>619</v>
      </c>
      <c r="D20507" t="s">
        <v>379</v>
      </c>
      <c r="E20507" t="s">
        <v>241</v>
      </c>
      <c r="F20507" s="2" t="str">
        <f>HYPERLINK("http://www.otzar.org/book.asp?142484","למכה מלכים")</f>
        <v>למכה מלכים</v>
      </c>
    </row>
    <row r="20508" spans="1:6" x14ac:dyDescent="0.2">
      <c r="A20508" t="s">
        <v>33346</v>
      </c>
      <c r="B20508" t="s">
        <v>33347</v>
      </c>
      <c r="C20508" t="s">
        <v>133</v>
      </c>
      <c r="D20508" t="s">
        <v>367</v>
      </c>
      <c r="E20508" t="s">
        <v>158</v>
      </c>
      <c r="F20508" s="2" t="str">
        <f>HYPERLINK("http://www.otzar.org/book.asp?170105","למכסה עתיק &lt;מהדורה מורחבת&gt;")</f>
        <v>למכסה עתיק &lt;מהדורה מורחבת&gt;</v>
      </c>
    </row>
    <row r="20509" spans="1:6" x14ac:dyDescent="0.2">
      <c r="A20509" t="s">
        <v>33348</v>
      </c>
      <c r="B20509" t="s">
        <v>3384</v>
      </c>
      <c r="C20509" t="s">
        <v>624</v>
      </c>
      <c r="D20509" t="s">
        <v>14</v>
      </c>
      <c r="E20509" t="s">
        <v>15</v>
      </c>
      <c r="F20509" s="2" t="str">
        <f>HYPERLINK("http://www.otzar.org/book.asp?60648","למנוע מכשול - 2 כר'")</f>
        <v>למנוע מכשול - 2 כר'</v>
      </c>
    </row>
    <row r="20510" spans="1:6" x14ac:dyDescent="0.2">
      <c r="A20510" t="s">
        <v>33349</v>
      </c>
      <c r="B20510" t="s">
        <v>27038</v>
      </c>
      <c r="C20510" t="s">
        <v>4087</v>
      </c>
      <c r="D20510" t="s">
        <v>76</v>
      </c>
      <c r="E20510" t="s">
        <v>508</v>
      </c>
      <c r="F20510" s="2" t="str">
        <f>HYPERLINK("http://www.otzar.org/book.asp?101287","למנצח לדוד")</f>
        <v>למנצח לדוד</v>
      </c>
    </row>
    <row r="20511" spans="1:6" x14ac:dyDescent="0.2">
      <c r="A20511" t="s">
        <v>33350</v>
      </c>
      <c r="B20511" t="s">
        <v>33351</v>
      </c>
      <c r="C20511" t="s">
        <v>20</v>
      </c>
      <c r="D20511" t="s">
        <v>90</v>
      </c>
      <c r="E20511" t="s">
        <v>119</v>
      </c>
      <c r="F20511" s="2" t="str">
        <f>HYPERLINK("http://www.otzar.org/book.asp?629413","למנצח על אילת השחר")</f>
        <v>למנצח על אילת השחר</v>
      </c>
    </row>
    <row r="20512" spans="1:6" x14ac:dyDescent="0.2">
      <c r="A20512" t="s">
        <v>33352</v>
      </c>
      <c r="B20512" t="s">
        <v>206</v>
      </c>
      <c r="C20512" t="s">
        <v>20</v>
      </c>
      <c r="D20512" t="s">
        <v>90</v>
      </c>
      <c r="E20512" t="s">
        <v>18457</v>
      </c>
      <c r="F20512" s="2" t="str">
        <f>HYPERLINK("http://www.otzar.org/book.asp?624378","למעלה למשכיל")</f>
        <v>למעלה למשכיל</v>
      </c>
    </row>
    <row r="20513" spans="1:6" x14ac:dyDescent="0.2">
      <c r="A20513" t="s">
        <v>33353</v>
      </c>
      <c r="B20513" t="s">
        <v>33354</v>
      </c>
      <c r="C20513" t="s">
        <v>523</v>
      </c>
      <c r="D20513" t="s">
        <v>216</v>
      </c>
      <c r="E20513" t="s">
        <v>241</v>
      </c>
      <c r="F20513" s="2" t="str">
        <f>HYPERLINK("http://www.otzar.org/book.asp?604061","למעלה מן השמש &lt;מסילות במחשבת ישראל&gt; - 5 כר'")</f>
        <v>למעלה מן השמש &lt;מסילות במחשבת ישראל&gt; - 5 כר'</v>
      </c>
    </row>
    <row r="20514" spans="1:6" x14ac:dyDescent="0.2">
      <c r="A20514" t="s">
        <v>33355</v>
      </c>
      <c r="B20514" t="s">
        <v>33356</v>
      </c>
      <c r="C20514" t="s">
        <v>1208</v>
      </c>
      <c r="D20514" t="s">
        <v>14</v>
      </c>
      <c r="E20514" t="s">
        <v>230</v>
      </c>
      <c r="F20514" s="2" t="str">
        <f>HYPERLINK("http://www.otzar.org/book.asp?623426","למען אחי ורעי")</f>
        <v>למען אחי ורעי</v>
      </c>
    </row>
    <row r="20515" spans="1:6" x14ac:dyDescent="0.2">
      <c r="A20515" t="s">
        <v>33355</v>
      </c>
      <c r="B20515" t="s">
        <v>33357</v>
      </c>
      <c r="C20515" t="s">
        <v>1268</v>
      </c>
      <c r="D20515" t="s">
        <v>52</v>
      </c>
      <c r="E20515" t="s">
        <v>202</v>
      </c>
      <c r="F20515" s="2" t="str">
        <f>HYPERLINK("http://www.otzar.org/book.asp?606998","למען אחי ורעי")</f>
        <v>למען אחי ורעי</v>
      </c>
    </row>
    <row r="20516" spans="1:6" x14ac:dyDescent="0.2">
      <c r="A20516" t="s">
        <v>33358</v>
      </c>
      <c r="B20516" t="s">
        <v>5018</v>
      </c>
      <c r="C20516" t="s">
        <v>168</v>
      </c>
      <c r="D20516" t="s">
        <v>14</v>
      </c>
      <c r="E20516" t="s">
        <v>733</v>
      </c>
      <c r="F20516" s="2" t="str">
        <f>HYPERLINK("http://www.otzar.org/book.asp?164967","למען אספרה")</f>
        <v>למען אספרה</v>
      </c>
    </row>
    <row r="20517" spans="1:6" x14ac:dyDescent="0.2">
      <c r="A20517" t="s">
        <v>33359</v>
      </c>
      <c r="B20517" t="s">
        <v>33360</v>
      </c>
      <c r="C20517" t="s">
        <v>37</v>
      </c>
      <c r="D20517" t="s">
        <v>21</v>
      </c>
      <c r="E20517" t="s">
        <v>2091</v>
      </c>
      <c r="F20517" s="2" t="str">
        <f>HYPERLINK("http://www.otzar.org/book.asp?197356","למען דעת - 2 כר'")</f>
        <v>למען דעת - 2 כר'</v>
      </c>
    </row>
    <row r="20518" spans="1:6" x14ac:dyDescent="0.2">
      <c r="A20518" t="s">
        <v>33361</v>
      </c>
      <c r="B20518" t="s">
        <v>29899</v>
      </c>
      <c r="C20518" t="s">
        <v>23</v>
      </c>
      <c r="D20518" t="s">
        <v>90</v>
      </c>
      <c r="E20518" t="s">
        <v>144</v>
      </c>
      <c r="F20518" s="2" t="str">
        <f>HYPERLINK("http://www.otzar.org/book.asp?623253","למען דעת - עבודה זרה")</f>
        <v>למען דעת - עבודה זרה</v>
      </c>
    </row>
    <row r="20519" spans="1:6" x14ac:dyDescent="0.2">
      <c r="A20519" t="s">
        <v>33362</v>
      </c>
      <c r="B20519" t="s">
        <v>33363</v>
      </c>
      <c r="C20519" t="s">
        <v>68</v>
      </c>
      <c r="D20519" t="s">
        <v>14</v>
      </c>
      <c r="F20519" s="2" t="str">
        <f>HYPERLINK("http://www.otzar.org/book.asp?164200","למען דעת - 3 כר'")</f>
        <v>למען דעת - 3 כר'</v>
      </c>
    </row>
    <row r="20520" spans="1:6" x14ac:dyDescent="0.2">
      <c r="A20520" t="s">
        <v>33364</v>
      </c>
      <c r="B20520" t="s">
        <v>9465</v>
      </c>
      <c r="C20520" t="s">
        <v>1448</v>
      </c>
      <c r="D20520" t="s">
        <v>52</v>
      </c>
      <c r="E20520" t="s">
        <v>81</v>
      </c>
      <c r="F20520" s="2" t="str">
        <f>HYPERLINK("http://www.otzar.org/book.asp?105615","למען דעת")</f>
        <v>למען דעת</v>
      </c>
    </row>
    <row r="20521" spans="1:6" x14ac:dyDescent="0.2">
      <c r="A20521" t="s">
        <v>33365</v>
      </c>
      <c r="B20521" t="s">
        <v>33365</v>
      </c>
      <c r="C20521" t="s">
        <v>1470</v>
      </c>
      <c r="D20521" t="s">
        <v>986</v>
      </c>
      <c r="E20521" t="s">
        <v>1164</v>
      </c>
      <c r="F20521" s="2" t="str">
        <f>HYPERLINK("http://www.otzar.org/book.asp?18983","למען השבת")</f>
        <v>למען השבת</v>
      </c>
    </row>
    <row r="20522" spans="1:6" x14ac:dyDescent="0.2">
      <c r="A20522" t="s">
        <v>33366</v>
      </c>
      <c r="B20522" t="s">
        <v>1604</v>
      </c>
      <c r="C20522" t="s">
        <v>553</v>
      </c>
      <c r="D20522" t="s">
        <v>14</v>
      </c>
      <c r="F20522" s="2" t="str">
        <f>HYPERLINK("http://www.otzar.org/book.asp?606652","למען יאריכון ימיך")</f>
        <v>למען יאריכון ימיך</v>
      </c>
    </row>
    <row r="20523" spans="1:6" x14ac:dyDescent="0.2">
      <c r="A20523" t="s">
        <v>33366</v>
      </c>
      <c r="B20523" t="s">
        <v>33367</v>
      </c>
      <c r="C20523" t="s">
        <v>422</v>
      </c>
      <c r="D20523" t="s">
        <v>412</v>
      </c>
      <c r="E20523" t="s">
        <v>15</v>
      </c>
      <c r="F20523" s="2" t="str">
        <f>HYPERLINK("http://www.otzar.org/book.asp?166507","למען יאריכון ימיך")</f>
        <v>למען יאריכון ימיך</v>
      </c>
    </row>
    <row r="20524" spans="1:6" x14ac:dyDescent="0.2">
      <c r="A20524" t="s">
        <v>33368</v>
      </c>
      <c r="B20524" t="s">
        <v>33369</v>
      </c>
      <c r="C20524" t="s">
        <v>20</v>
      </c>
      <c r="D20524" t="s">
        <v>90</v>
      </c>
      <c r="F20524" s="2" t="str">
        <f>HYPERLINK("http://www.otzar.org/book.asp?612221","למען ידעו")</f>
        <v>למען ידעו</v>
      </c>
    </row>
    <row r="20525" spans="1:6" x14ac:dyDescent="0.2">
      <c r="A20525" t="s">
        <v>33368</v>
      </c>
      <c r="B20525" t="s">
        <v>33370</v>
      </c>
      <c r="C20525" t="s">
        <v>383</v>
      </c>
      <c r="D20525" t="s">
        <v>14</v>
      </c>
      <c r="F20525" s="2" t="str">
        <f>HYPERLINK("http://www.otzar.org/book.asp?619687","למען ידעו")</f>
        <v>למען ידעו</v>
      </c>
    </row>
    <row r="20526" spans="1:6" x14ac:dyDescent="0.2">
      <c r="A20526" t="s">
        <v>33371</v>
      </c>
      <c r="B20526" t="s">
        <v>33372</v>
      </c>
      <c r="C20526" t="s">
        <v>506</v>
      </c>
      <c r="D20526" t="s">
        <v>592</v>
      </c>
      <c r="E20526" t="s">
        <v>213</v>
      </c>
      <c r="F20526" s="2" t="str">
        <f>HYPERLINK("http://www.otzar.org/book.asp?196230","למען ירושלים")</f>
        <v>למען ירושלים</v>
      </c>
    </row>
    <row r="20527" spans="1:6" x14ac:dyDescent="0.2">
      <c r="A20527" t="s">
        <v>33373</v>
      </c>
      <c r="B20527" t="s">
        <v>33374</v>
      </c>
      <c r="C20527" t="s">
        <v>17</v>
      </c>
      <c r="D20527" t="s">
        <v>1646</v>
      </c>
      <c r="F20527" s="2" t="str">
        <f>HYPERLINK("http://www.otzar.org/book.asp?620488","למען כבוד התורה לא אחשה")</f>
        <v>למען כבוד התורה לא אחשה</v>
      </c>
    </row>
    <row r="20528" spans="1:6" x14ac:dyDescent="0.2">
      <c r="A20528" t="s">
        <v>33375</v>
      </c>
      <c r="B20528" t="s">
        <v>8215</v>
      </c>
      <c r="C20528" t="s">
        <v>1147</v>
      </c>
      <c r="D20528" t="s">
        <v>49</v>
      </c>
      <c r="E20528" t="s">
        <v>733</v>
      </c>
      <c r="F20528" s="2" t="str">
        <f>HYPERLINK("http://www.otzar.org/book.asp?84623","למען לא תהיה האמת נעדרת &lt;נגד מאור עיניים&gt;")</f>
        <v>למען לא תהיה האמת נעדרת &lt;נגד מאור עיניים&gt;</v>
      </c>
    </row>
    <row r="20529" spans="1:6" x14ac:dyDescent="0.2">
      <c r="A20529" t="s">
        <v>33376</v>
      </c>
      <c r="B20529" t="s">
        <v>33377</v>
      </c>
      <c r="C20529" t="s">
        <v>366</v>
      </c>
      <c r="D20529" t="s">
        <v>33378</v>
      </c>
      <c r="F20529" s="2" t="str">
        <f>HYPERLINK("http://www.otzar.org/book.asp?621686","למען עמי")</f>
        <v>למען עמי</v>
      </c>
    </row>
    <row r="20530" spans="1:6" x14ac:dyDescent="0.2">
      <c r="A20530" t="s">
        <v>33379</v>
      </c>
      <c r="B20530" t="s">
        <v>1681</v>
      </c>
      <c r="C20530" t="s">
        <v>68</v>
      </c>
      <c r="D20530" t="s">
        <v>52</v>
      </c>
      <c r="E20530" t="s">
        <v>15</v>
      </c>
      <c r="F20530" s="2" t="str">
        <f>HYPERLINK("http://www.otzar.org/book.asp?166052","למען פארך")</f>
        <v>למען פארך</v>
      </c>
    </row>
    <row r="20531" spans="1:6" x14ac:dyDescent="0.2">
      <c r="A20531" t="s">
        <v>33380</v>
      </c>
      <c r="B20531" t="s">
        <v>33381</v>
      </c>
      <c r="C20531" t="s">
        <v>624</v>
      </c>
      <c r="D20531" t="s">
        <v>1840</v>
      </c>
      <c r="E20531" t="s">
        <v>119</v>
      </c>
      <c r="F20531" s="2" t="str">
        <f>HYPERLINK("http://www.otzar.org/book.asp?622645","למען ציון לא אחשה - רבי בן ציון הכהן")</f>
        <v>למען ציון לא אחשה - רבי בן ציון הכהן</v>
      </c>
    </row>
    <row r="20532" spans="1:6" x14ac:dyDescent="0.2">
      <c r="A20532" t="s">
        <v>33382</v>
      </c>
      <c r="B20532" t="s">
        <v>33383</v>
      </c>
      <c r="C20532" t="s">
        <v>1954</v>
      </c>
      <c r="D20532" t="s">
        <v>27</v>
      </c>
      <c r="F20532" s="2" t="str">
        <f>HYPERLINK("http://www.otzar.org/book.asp?169441","למען שלום בניך")</f>
        <v>למען שלום בניך</v>
      </c>
    </row>
    <row r="20533" spans="1:6" x14ac:dyDescent="0.2">
      <c r="A20533" t="s">
        <v>33384</v>
      </c>
      <c r="B20533" t="s">
        <v>33385</v>
      </c>
      <c r="C20533" t="s">
        <v>176</v>
      </c>
      <c r="D20533" t="s">
        <v>5798</v>
      </c>
      <c r="E20533" t="s">
        <v>18457</v>
      </c>
      <c r="F20533" s="2" t="str">
        <f>HYPERLINK("http://www.otzar.org/book.asp?601171","למען שמו באהבה")</f>
        <v>למען שמו באהבה</v>
      </c>
    </row>
    <row r="20534" spans="1:6" x14ac:dyDescent="0.2">
      <c r="A20534" t="s">
        <v>33386</v>
      </c>
      <c r="B20534" t="s">
        <v>21896</v>
      </c>
      <c r="C20534" t="s">
        <v>37</v>
      </c>
      <c r="D20534" t="s">
        <v>14</v>
      </c>
      <c r="E20534" t="s">
        <v>104</v>
      </c>
      <c r="F20534" s="2" t="str">
        <f>HYPERLINK("http://www.otzar.org/book.asp?182552","למען תזכור")</f>
        <v>למען תזכור</v>
      </c>
    </row>
    <row r="20535" spans="1:6" x14ac:dyDescent="0.2">
      <c r="A20535" t="s">
        <v>33387</v>
      </c>
      <c r="B20535" t="s">
        <v>33388</v>
      </c>
      <c r="C20535" t="s">
        <v>1448</v>
      </c>
      <c r="D20535" t="s">
        <v>14</v>
      </c>
      <c r="E20535" t="s">
        <v>15</v>
      </c>
      <c r="F20535" s="2" t="str">
        <f>HYPERLINK("http://www.otzar.org/book.asp?8627","למען תזכרו")</f>
        <v>למען תזכרו</v>
      </c>
    </row>
    <row r="20536" spans="1:6" x14ac:dyDescent="0.2">
      <c r="A20536" t="s">
        <v>33387</v>
      </c>
      <c r="B20536" t="s">
        <v>318</v>
      </c>
      <c r="C20536" t="s">
        <v>20</v>
      </c>
      <c r="D20536" t="s">
        <v>14</v>
      </c>
      <c r="E20536" t="s">
        <v>172</v>
      </c>
      <c r="F20536" s="2" t="str">
        <f>HYPERLINK("http://www.otzar.org/book.asp?626709","למען תזכרו")</f>
        <v>למען תזכרו</v>
      </c>
    </row>
    <row r="20537" spans="1:6" x14ac:dyDescent="0.2">
      <c r="A20537" t="s">
        <v>33389</v>
      </c>
      <c r="B20537" t="s">
        <v>33390</v>
      </c>
      <c r="C20537" t="s">
        <v>775</v>
      </c>
      <c r="D20537" t="s">
        <v>412</v>
      </c>
      <c r="E20537" t="s">
        <v>119</v>
      </c>
      <c r="F20537" s="2" t="str">
        <f>HYPERLINK("http://www.otzar.org/book.asp?162496","למען תספר")</f>
        <v>למען תספר</v>
      </c>
    </row>
    <row r="20538" spans="1:6" x14ac:dyDescent="0.2">
      <c r="A20538" t="s">
        <v>33391</v>
      </c>
      <c r="B20538" t="s">
        <v>33392</v>
      </c>
      <c r="C20538" t="s">
        <v>23</v>
      </c>
      <c r="D20538" t="s">
        <v>412</v>
      </c>
      <c r="E20538" t="s">
        <v>15</v>
      </c>
      <c r="F20538" s="2" t="str">
        <f>HYPERLINK("http://www.otzar.org/book.asp?605240","למעשה")</f>
        <v>למעשה</v>
      </c>
    </row>
    <row r="20539" spans="1:6" x14ac:dyDescent="0.2">
      <c r="A20539" t="s">
        <v>33393</v>
      </c>
      <c r="B20539" t="s">
        <v>4814</v>
      </c>
      <c r="C20539" t="s">
        <v>71</v>
      </c>
      <c r="D20539" t="s">
        <v>14</v>
      </c>
      <c r="F20539" s="2" t="str">
        <f>HYPERLINK("http://www.otzar.org/book.asp?182813","למקומו של היוצר במורשתו של ר' אלעזר בירבי קליר (תדפיס)")</f>
        <v>למקומו של היוצר במורשתו של ר' אלעזר בירבי קליר (תדפיס)</v>
      </c>
    </row>
    <row r="20540" spans="1:6" x14ac:dyDescent="0.2">
      <c r="A20540" t="s">
        <v>33394</v>
      </c>
      <c r="B20540" t="s">
        <v>531</v>
      </c>
      <c r="C20540" t="s">
        <v>20</v>
      </c>
      <c r="D20540" t="s">
        <v>2347</v>
      </c>
      <c r="E20540" t="s">
        <v>104</v>
      </c>
      <c r="F20540" s="2" t="str">
        <f>HYPERLINK("http://www.otzar.org/book.asp?13672","למשאלה בקדרות")</f>
        <v>למשאלה בקדרות</v>
      </c>
    </row>
    <row r="20541" spans="1:6" x14ac:dyDescent="0.2">
      <c r="A20541" t="s">
        <v>33395</v>
      </c>
      <c r="B20541" t="s">
        <v>8070</v>
      </c>
      <c r="C20541" t="s">
        <v>111</v>
      </c>
      <c r="D20541" t="s">
        <v>152</v>
      </c>
      <c r="E20541" t="s">
        <v>104</v>
      </c>
      <c r="F20541" s="2" t="str">
        <f>HYPERLINK("http://www.otzar.org/book.asp?630280","למשה מסיני")</f>
        <v>למשה מסיני</v>
      </c>
    </row>
    <row r="20542" spans="1:6" x14ac:dyDescent="0.2">
      <c r="A20542" t="s">
        <v>33396</v>
      </c>
      <c r="B20542" t="s">
        <v>382</v>
      </c>
      <c r="C20542" t="s">
        <v>129</v>
      </c>
      <c r="D20542" t="s">
        <v>14</v>
      </c>
      <c r="E20542" t="s">
        <v>4163</v>
      </c>
      <c r="F20542" s="2" t="str">
        <f>HYPERLINK("http://www.otzar.org/book.asp?155908","למשה מתנה - שבת")</f>
        <v>למשה מתנה - שבת</v>
      </c>
    </row>
    <row r="20543" spans="1:6" x14ac:dyDescent="0.2">
      <c r="A20543" t="s">
        <v>33397</v>
      </c>
      <c r="B20543" t="s">
        <v>33398</v>
      </c>
      <c r="C20543" t="s">
        <v>1640</v>
      </c>
      <c r="D20543" t="s">
        <v>27</v>
      </c>
      <c r="E20543" t="s">
        <v>158</v>
      </c>
      <c r="F20543" s="2" t="str">
        <f>HYPERLINK("http://www.otzar.org/book.asp?182037","למשמעות &lt;אידיש&gt; - בראשית")</f>
        <v>למשמעות &lt;אידיש&gt; - בראשית</v>
      </c>
    </row>
    <row r="20544" spans="1:6" x14ac:dyDescent="0.2">
      <c r="A20544" t="s">
        <v>33399</v>
      </c>
      <c r="B20544" t="s">
        <v>33398</v>
      </c>
      <c r="C20544" t="s">
        <v>1811</v>
      </c>
      <c r="D20544" t="s">
        <v>27</v>
      </c>
      <c r="E20544" t="s">
        <v>158</v>
      </c>
      <c r="F20544" s="2" t="str">
        <f>HYPERLINK("http://www.otzar.org/book.asp?182575","למשמעות &lt;לשה""ק&gt; - 4 כר'")</f>
        <v>למשמעות &lt;לשה"ק&gt; - 4 כר'</v>
      </c>
    </row>
    <row r="20545" spans="1:6" x14ac:dyDescent="0.2">
      <c r="A20545" t="s">
        <v>33400</v>
      </c>
      <c r="B20545" t="s">
        <v>6987</v>
      </c>
      <c r="C20545" t="s">
        <v>20</v>
      </c>
      <c r="D20545" t="s">
        <v>152</v>
      </c>
      <c r="E20545" t="s">
        <v>104</v>
      </c>
      <c r="F20545" s="2" t="str">
        <f>HYPERLINK("http://www.otzar.org/book.asp?61881","לנפש חיה &lt;על מעשה הקרבנות&gt;")</f>
        <v>לנפש חיה &lt;על מעשה הקרבנות&gt;</v>
      </c>
    </row>
    <row r="20546" spans="1:6" x14ac:dyDescent="0.2">
      <c r="A20546" t="s">
        <v>33401</v>
      </c>
      <c r="B20546" t="s">
        <v>33402</v>
      </c>
      <c r="C20546" t="s">
        <v>1663</v>
      </c>
      <c r="D20546" t="s">
        <v>216</v>
      </c>
      <c r="E20546" t="s">
        <v>158</v>
      </c>
      <c r="F20546" s="2" t="str">
        <f>HYPERLINK("http://www.otzar.org/book.asp?143536","לנפש חיה - 2 כר'")</f>
        <v>לנפש חיה - 2 כר'</v>
      </c>
    </row>
    <row r="20547" spans="1:6" x14ac:dyDescent="0.2">
      <c r="A20547" t="s">
        <v>33401</v>
      </c>
      <c r="B20547" t="s">
        <v>2663</v>
      </c>
      <c r="C20547" t="s">
        <v>68</v>
      </c>
      <c r="D20547" t="s">
        <v>14</v>
      </c>
      <c r="E20547" t="s">
        <v>202</v>
      </c>
      <c r="F20547" s="2" t="str">
        <f>HYPERLINK("http://www.otzar.org/book.asp?158511","לנפש חיה - 2 כר'")</f>
        <v>לנפש חיה - 2 כר'</v>
      </c>
    </row>
    <row r="20548" spans="1:6" x14ac:dyDescent="0.2">
      <c r="A20548" t="s">
        <v>33403</v>
      </c>
      <c r="B20548" t="s">
        <v>3286</v>
      </c>
      <c r="C20548" t="s">
        <v>466</v>
      </c>
      <c r="D20548" t="s">
        <v>52</v>
      </c>
      <c r="E20548" t="s">
        <v>467</v>
      </c>
      <c r="F20548" s="2" t="str">
        <f>HYPERLINK("http://www.otzar.org/book.asp?144945","לנפש תדרשנו - 2 כר'")</f>
        <v>לנפש תדרשנו - 2 כר'</v>
      </c>
    </row>
    <row r="20549" spans="1:6" x14ac:dyDescent="0.2">
      <c r="A20549" t="s">
        <v>33404</v>
      </c>
      <c r="B20549" t="s">
        <v>33405</v>
      </c>
      <c r="C20549" t="s">
        <v>114</v>
      </c>
      <c r="D20549" t="s">
        <v>6853</v>
      </c>
      <c r="E20549" t="s">
        <v>104</v>
      </c>
      <c r="F20549" s="2" t="str">
        <f>HYPERLINK("http://www.otzar.org/book.asp?195170","לנתיבות ישראל - ב")</f>
        <v>לנתיבות ישראל - ב</v>
      </c>
    </row>
    <row r="20550" spans="1:6" x14ac:dyDescent="0.2">
      <c r="A20550" t="s">
        <v>33406</v>
      </c>
      <c r="B20550" t="s">
        <v>33407</v>
      </c>
      <c r="C20550" t="s">
        <v>189</v>
      </c>
      <c r="D20550" t="s">
        <v>1840</v>
      </c>
      <c r="E20550" t="s">
        <v>246</v>
      </c>
      <c r="F20550" s="2" t="str">
        <f>HYPERLINK("http://www.otzar.org/book.asp?85820","לספר בציון &lt;מהדורה חדשה&gt;")</f>
        <v>לספר בציון &lt;מהדורה חדשה&gt;</v>
      </c>
    </row>
    <row r="20551" spans="1:6" x14ac:dyDescent="0.2">
      <c r="A20551" t="s">
        <v>33408</v>
      </c>
      <c r="B20551" t="s">
        <v>33409</v>
      </c>
      <c r="C20551" t="s">
        <v>1535</v>
      </c>
      <c r="D20551" t="s">
        <v>7894</v>
      </c>
      <c r="E20551" t="s">
        <v>246</v>
      </c>
      <c r="F20551" s="2" t="str">
        <f>HYPERLINK("http://www.otzar.org/book.asp?198677","לספר בציון - הגדה של פסח")</f>
        <v>לספר בציון - הגדה של פסח</v>
      </c>
    </row>
    <row r="20552" spans="1:6" x14ac:dyDescent="0.2">
      <c r="A20552" t="s">
        <v>33410</v>
      </c>
      <c r="B20552" t="s">
        <v>33411</v>
      </c>
      <c r="C20552" t="s">
        <v>433</v>
      </c>
      <c r="D20552" t="s">
        <v>1889</v>
      </c>
      <c r="E20552" t="s">
        <v>16995</v>
      </c>
      <c r="F20552" s="2" t="str">
        <f>HYPERLINK("http://www.otzar.org/book.asp?16993","לספר בציון - בראשית, במדבר")</f>
        <v>לספר בציון - בראשית, במדבר</v>
      </c>
    </row>
    <row r="20553" spans="1:6" x14ac:dyDescent="0.2">
      <c r="A20553" t="s">
        <v>33412</v>
      </c>
      <c r="B20553" t="s">
        <v>33413</v>
      </c>
      <c r="C20553" t="s">
        <v>133</v>
      </c>
      <c r="D20553" t="s">
        <v>14</v>
      </c>
      <c r="E20553" t="s">
        <v>119</v>
      </c>
      <c r="F20553" s="2" t="str">
        <f>HYPERLINK("http://www.otzar.org/book.asp?193503","לעבדו באמת")</f>
        <v>לעבדו באמת</v>
      </c>
    </row>
    <row r="20554" spans="1:6" x14ac:dyDescent="0.2">
      <c r="A20554" t="s">
        <v>33414</v>
      </c>
      <c r="B20554" t="s">
        <v>33415</v>
      </c>
      <c r="C20554" t="s">
        <v>422</v>
      </c>
      <c r="D20554" t="s">
        <v>90</v>
      </c>
      <c r="E20554" t="s">
        <v>219</v>
      </c>
      <c r="F20554" s="2" t="str">
        <f>HYPERLINK("http://www.otzar.org/book.asp?618873","לעבדו בכל לבבכם")</f>
        <v>לעבדו בכל לבבכם</v>
      </c>
    </row>
    <row r="20555" spans="1:6" x14ac:dyDescent="0.2">
      <c r="A20555" t="s">
        <v>33416</v>
      </c>
      <c r="B20555" t="s">
        <v>10728</v>
      </c>
      <c r="C20555" t="s">
        <v>68</v>
      </c>
      <c r="D20555" t="s">
        <v>412</v>
      </c>
      <c r="E20555" t="s">
        <v>119</v>
      </c>
      <c r="F20555" s="2" t="str">
        <f>HYPERLINK("http://www.otzar.org/book.asp?171329","לעבדו בלבב שלם")</f>
        <v>לעבדו בלבב שלם</v>
      </c>
    </row>
    <row r="20556" spans="1:6" x14ac:dyDescent="0.2">
      <c r="A20556" t="s">
        <v>33417</v>
      </c>
      <c r="B20556" t="s">
        <v>14797</v>
      </c>
      <c r="C20556" t="s">
        <v>411</v>
      </c>
      <c r="D20556" t="s">
        <v>2285</v>
      </c>
      <c r="E20556" t="s">
        <v>158</v>
      </c>
      <c r="F20556" s="2" t="str">
        <f>HYPERLINK("http://www.otzar.org/book.asp?171955","לעבדך באמת &lt;פרשיות השבוע&gt; - 2 כר'")</f>
        <v>לעבדך באמת &lt;פרשיות השבוע&gt; - 2 כר'</v>
      </c>
    </row>
    <row r="20557" spans="1:6" x14ac:dyDescent="0.2">
      <c r="A20557" t="s">
        <v>33418</v>
      </c>
      <c r="B20557" t="s">
        <v>206</v>
      </c>
      <c r="C20557" t="s">
        <v>133</v>
      </c>
      <c r="D20557" t="s">
        <v>52</v>
      </c>
      <c r="E20557" t="s">
        <v>241</v>
      </c>
      <c r="F20557" s="2" t="str">
        <f>HYPERLINK("http://www.otzar.org/book.asp?172772","לעבדך באמת (תשע""ג)")</f>
        <v>לעבדך באמת (תשע"ג)</v>
      </c>
    </row>
    <row r="20558" spans="1:6" x14ac:dyDescent="0.2">
      <c r="A20558" t="s">
        <v>33419</v>
      </c>
      <c r="B20558" t="s">
        <v>206</v>
      </c>
      <c r="C20558" t="s">
        <v>133</v>
      </c>
      <c r="D20558" t="s">
        <v>52</v>
      </c>
      <c r="E20558" t="s">
        <v>714</v>
      </c>
      <c r="F20558" s="2" t="str">
        <f>HYPERLINK("http://www.otzar.org/book.asp?604040","לעבדך באמת (תשע""ה)")</f>
        <v>לעבדך באמת (תשע"ה)</v>
      </c>
    </row>
    <row r="20559" spans="1:6" x14ac:dyDescent="0.2">
      <c r="A20559" t="s">
        <v>33420</v>
      </c>
      <c r="B20559" t="s">
        <v>14797</v>
      </c>
      <c r="C20559" t="s">
        <v>129</v>
      </c>
      <c r="D20559" t="s">
        <v>2285</v>
      </c>
      <c r="E20559" t="s">
        <v>4455</v>
      </c>
      <c r="F20559" s="2" t="str">
        <f>HYPERLINK("http://www.otzar.org/book.asp?61069","לעבדך באמת - 2 כר'")</f>
        <v>לעבדך באמת - 2 כר'</v>
      </c>
    </row>
    <row r="20560" spans="1:6" x14ac:dyDescent="0.2">
      <c r="A20560" t="s">
        <v>33421</v>
      </c>
      <c r="B20560" t="s">
        <v>33422</v>
      </c>
      <c r="C20560" t="s">
        <v>244</v>
      </c>
      <c r="D20560" t="s">
        <v>21</v>
      </c>
      <c r="F20560" s="2" t="str">
        <f>HYPERLINK("http://www.otzar.org/book.asp?622294","לעבדך באמת")</f>
        <v>לעבדך באמת</v>
      </c>
    </row>
    <row r="20561" spans="1:6" x14ac:dyDescent="0.2">
      <c r="A20561" t="s">
        <v>33423</v>
      </c>
      <c r="B20561" t="s">
        <v>9455</v>
      </c>
      <c r="C20561" t="s">
        <v>411</v>
      </c>
      <c r="D20561" t="s">
        <v>14</v>
      </c>
      <c r="E20561" t="s">
        <v>241</v>
      </c>
      <c r="F20561" s="2" t="str">
        <f>HYPERLINK("http://www.otzar.org/book.asp?605777","לעודד ולשמח")</f>
        <v>לעודד ולשמח</v>
      </c>
    </row>
    <row r="20562" spans="1:6" x14ac:dyDescent="0.2">
      <c r="A20562" t="s">
        <v>33424</v>
      </c>
      <c r="B20562" t="s">
        <v>33425</v>
      </c>
      <c r="C20562" t="s">
        <v>133</v>
      </c>
      <c r="D20562" t="s">
        <v>14</v>
      </c>
      <c r="E20562" t="s">
        <v>119</v>
      </c>
      <c r="F20562" s="2" t="str">
        <f>HYPERLINK("http://www.otzar.org/book.asp?179570","לעולם אודך")</f>
        <v>לעולם אודך</v>
      </c>
    </row>
    <row r="20563" spans="1:6" x14ac:dyDescent="0.2">
      <c r="A20563" t="s">
        <v>33426</v>
      </c>
      <c r="B20563" t="s">
        <v>33427</v>
      </c>
      <c r="C20563" t="s">
        <v>114</v>
      </c>
      <c r="D20563" t="s">
        <v>152</v>
      </c>
      <c r="E20563" t="s">
        <v>213</v>
      </c>
      <c r="F20563" s="2" t="str">
        <f>HYPERLINK("http://www.otzar.org/book.asp?161015","לעולם אודך - 2 כר'")</f>
        <v>לעולם אודך - 2 כר'</v>
      </c>
    </row>
    <row r="20564" spans="1:6" x14ac:dyDescent="0.2">
      <c r="A20564" t="s">
        <v>33428</v>
      </c>
      <c r="B20564" t="s">
        <v>5634</v>
      </c>
      <c r="C20564" t="s">
        <v>114</v>
      </c>
      <c r="D20564" t="s">
        <v>52</v>
      </c>
      <c r="E20564" t="s">
        <v>104</v>
      </c>
      <c r="F20564" s="2" t="str">
        <f>HYPERLINK("http://www.otzar.org/book.asp?172955","לעולם יהיה אדם מן הטובים")</f>
        <v>לעולם יהיה אדם מן הטובים</v>
      </c>
    </row>
    <row r="20565" spans="1:6" x14ac:dyDescent="0.2">
      <c r="A20565" t="s">
        <v>33429</v>
      </c>
      <c r="C20565" t="s">
        <v>244</v>
      </c>
      <c r="D20565" t="s">
        <v>152</v>
      </c>
      <c r="F20565" s="2" t="str">
        <f>HYPERLINK("http://www.otzar.org/book.asp?198751","לעומקו של מקרא - תשע""ו א")</f>
        <v>לעומקו של מקרא - תשע"ו א</v>
      </c>
    </row>
    <row r="20566" spans="1:6" x14ac:dyDescent="0.2">
      <c r="A20566" t="s">
        <v>33430</v>
      </c>
      <c r="B20566" t="s">
        <v>33431</v>
      </c>
      <c r="C20566" t="s">
        <v>37</v>
      </c>
      <c r="D20566" t="s">
        <v>14</v>
      </c>
      <c r="E20566" t="s">
        <v>158</v>
      </c>
      <c r="F20566" s="2" t="str">
        <f>HYPERLINK("http://www.otzar.org/book.asp?193835","לעומקו של רש""י - 3 כר'")</f>
        <v>לעומקו של רש"י - 3 כר'</v>
      </c>
    </row>
    <row r="20567" spans="1:6" x14ac:dyDescent="0.2">
      <c r="A20567" t="s">
        <v>33432</v>
      </c>
      <c r="B20567" t="s">
        <v>33433</v>
      </c>
      <c r="C20567" t="s">
        <v>383</v>
      </c>
      <c r="D20567" t="s">
        <v>14</v>
      </c>
      <c r="E20567" t="s">
        <v>158</v>
      </c>
      <c r="F20567" s="2" t="str">
        <f>HYPERLINK("http://www.otzar.org/book.asp?53259","לעזי רש""י בתנ""ך")</f>
        <v>לעזי רש"י בתנ"ך</v>
      </c>
    </row>
    <row r="20568" spans="1:6" x14ac:dyDescent="0.2">
      <c r="A20568" t="s">
        <v>33434</v>
      </c>
      <c r="B20568" t="s">
        <v>33435</v>
      </c>
      <c r="C20568" t="s">
        <v>422</v>
      </c>
      <c r="D20568" t="s">
        <v>412</v>
      </c>
      <c r="E20568" t="s">
        <v>148</v>
      </c>
      <c r="F20568" s="2" t="str">
        <f>HYPERLINK("http://www.otzar.org/book.asp?172586","לעטר פתורא")</f>
        <v>לעטר פתורא</v>
      </c>
    </row>
    <row r="20569" spans="1:6" x14ac:dyDescent="0.2">
      <c r="A20569" t="s">
        <v>33436</v>
      </c>
      <c r="B20569" t="s">
        <v>33437</v>
      </c>
      <c r="C20569" t="s">
        <v>366</v>
      </c>
      <c r="D20569" t="s">
        <v>14</v>
      </c>
      <c r="E20569" t="s">
        <v>144</v>
      </c>
      <c r="F20569" s="2" t="str">
        <f>HYPERLINK("http://www.otzar.org/book.asp?606178","לעיונא - נדה")</f>
        <v>לעיונא - נדה</v>
      </c>
    </row>
    <row r="20570" spans="1:6" x14ac:dyDescent="0.2">
      <c r="A20570" t="s">
        <v>33438</v>
      </c>
      <c r="B20570" t="s">
        <v>23819</v>
      </c>
      <c r="C20570" t="s">
        <v>244</v>
      </c>
      <c r="D20570" t="s">
        <v>80</v>
      </c>
      <c r="F20570" s="2" t="str">
        <f>HYPERLINK("http://www.otzar.org/book.asp?601049","לעילוי נשמה - 2 כר'")</f>
        <v>לעילוי נשמה - 2 כר'</v>
      </c>
    </row>
    <row r="20571" spans="1:6" x14ac:dyDescent="0.2">
      <c r="A20571" t="s">
        <v>33439</v>
      </c>
      <c r="B20571" t="s">
        <v>26253</v>
      </c>
      <c r="C20571" t="s">
        <v>884</v>
      </c>
      <c r="D20571" t="s">
        <v>1023</v>
      </c>
      <c r="E20571" t="s">
        <v>733</v>
      </c>
      <c r="F20571" s="2" t="str">
        <f>HYPERLINK("http://www.otzar.org/book.asp?147346","לעיני כל ישראל")</f>
        <v>לעיני כל ישראל</v>
      </c>
    </row>
    <row r="20572" spans="1:6" x14ac:dyDescent="0.2">
      <c r="A20572" t="s">
        <v>33439</v>
      </c>
      <c r="B20572" t="s">
        <v>23369</v>
      </c>
      <c r="C20572" t="s">
        <v>22369</v>
      </c>
      <c r="D20572" t="s">
        <v>1023</v>
      </c>
      <c r="E20572" t="s">
        <v>15</v>
      </c>
      <c r="F20572" s="2" t="str">
        <f>HYPERLINK("http://www.otzar.org/book.asp?147227","לעיני כל ישראל")</f>
        <v>לעיני כל ישראל</v>
      </c>
    </row>
    <row r="20573" spans="1:6" x14ac:dyDescent="0.2">
      <c r="A20573" t="s">
        <v>33440</v>
      </c>
      <c r="B20573" t="s">
        <v>7485</v>
      </c>
      <c r="C20573" t="s">
        <v>411</v>
      </c>
      <c r="D20573" t="s">
        <v>14</v>
      </c>
      <c r="F20573" s="2" t="str">
        <f>HYPERLINK("http://www.otzar.org/book.asp?85855","לעלות")</f>
        <v>לעלות</v>
      </c>
    </row>
    <row r="20574" spans="1:6" x14ac:dyDescent="0.2">
      <c r="A20574" t="s">
        <v>33441</v>
      </c>
      <c r="B20574" t="s">
        <v>33442</v>
      </c>
      <c r="C20574" t="s">
        <v>20</v>
      </c>
      <c r="D20574" t="s">
        <v>27</v>
      </c>
      <c r="E20574" t="s">
        <v>714</v>
      </c>
      <c r="F20574" s="2" t="str">
        <f>HYPERLINK("http://www.otzar.org/book.asp?154440","לעמלים בתורה")</f>
        <v>לעמלים בתורה</v>
      </c>
    </row>
    <row r="20575" spans="1:6" x14ac:dyDescent="0.2">
      <c r="A20575" t="s">
        <v>33443</v>
      </c>
      <c r="B20575" t="s">
        <v>21667</v>
      </c>
      <c r="C20575" t="s">
        <v>151</v>
      </c>
      <c r="D20575" t="s">
        <v>90</v>
      </c>
      <c r="E20575" t="s">
        <v>241</v>
      </c>
      <c r="F20575" s="2" t="str">
        <f>HYPERLINK("http://www.otzar.org/book.asp?619019","לענג את השבת בעסק התורה")</f>
        <v>לענג את השבת בעסק התורה</v>
      </c>
    </row>
    <row r="20576" spans="1:6" x14ac:dyDescent="0.2">
      <c r="A20576" t="s">
        <v>33444</v>
      </c>
      <c r="B20576" t="s">
        <v>33445</v>
      </c>
      <c r="C20576" t="s">
        <v>609</v>
      </c>
      <c r="D20576" t="s">
        <v>307</v>
      </c>
      <c r="E20576" t="s">
        <v>104</v>
      </c>
      <c r="F20576" s="2" t="str">
        <f>HYPERLINK("http://www.otzar.org/book.asp?196019","לעקסיקאן פון יודישע חכמות")</f>
        <v>לעקסיקאן פון יודישע חכמות</v>
      </c>
    </row>
    <row r="20577" spans="1:6" x14ac:dyDescent="0.2">
      <c r="A20577" t="s">
        <v>33446</v>
      </c>
      <c r="B20577" t="s">
        <v>24616</v>
      </c>
      <c r="C20577" t="s">
        <v>13</v>
      </c>
      <c r="D20577" t="s">
        <v>1840</v>
      </c>
      <c r="E20577" t="s">
        <v>130</v>
      </c>
      <c r="F20577" s="2" t="str">
        <f>HYPERLINK("http://www.otzar.org/book.asp?160347","לעשות אמת")</f>
        <v>לעשות אמת</v>
      </c>
    </row>
    <row r="20578" spans="1:6" x14ac:dyDescent="0.2">
      <c r="A20578" t="s">
        <v>33447</v>
      </c>
      <c r="B20578" t="s">
        <v>206</v>
      </c>
      <c r="D20578" t="s">
        <v>367</v>
      </c>
      <c r="E20578" t="s">
        <v>130</v>
      </c>
      <c r="F20578" s="2" t="str">
        <f>HYPERLINK("http://www.otzar.org/book.asp?616826","לעשות את השבת")</f>
        <v>לעשות את השבת</v>
      </c>
    </row>
    <row r="20579" spans="1:6" x14ac:dyDescent="0.2">
      <c r="A20579" t="s">
        <v>33448</v>
      </c>
      <c r="B20579" t="s">
        <v>5377</v>
      </c>
      <c r="C20579" t="s">
        <v>244</v>
      </c>
      <c r="D20579" t="s">
        <v>21</v>
      </c>
      <c r="F20579" s="2" t="str">
        <f>HYPERLINK("http://www.otzar.org/book.asp?622937","לעשות את השבת - 4 כר'")</f>
        <v>לעשות את השבת - 4 כר'</v>
      </c>
    </row>
    <row r="20580" spans="1:6" x14ac:dyDescent="0.2">
      <c r="A20580" t="s">
        <v>33449</v>
      </c>
      <c r="B20580" t="s">
        <v>206</v>
      </c>
      <c r="C20580" t="s">
        <v>20</v>
      </c>
      <c r="D20580" t="s">
        <v>657</v>
      </c>
      <c r="E20580" t="s">
        <v>241</v>
      </c>
      <c r="F20580" s="2" t="str">
        <f>HYPERLINK("http://www.otzar.org/book.asp?165028","לעשות רצונך")</f>
        <v>לעשות רצונך</v>
      </c>
    </row>
    <row r="20581" spans="1:6" x14ac:dyDescent="0.2">
      <c r="A20581" t="s">
        <v>33450</v>
      </c>
      <c r="B20581" t="s">
        <v>22152</v>
      </c>
      <c r="E20581" t="s">
        <v>213</v>
      </c>
      <c r="F20581" s="2" t="str">
        <f>HYPERLINK("http://www.otzar.org/book.asp?627914","לעת דודים")</f>
        <v>לעת דודים</v>
      </c>
    </row>
    <row r="20582" spans="1:6" x14ac:dyDescent="0.2">
      <c r="A20582" t="s">
        <v>33451</v>
      </c>
      <c r="B20582" t="s">
        <v>33452</v>
      </c>
      <c r="C20582" t="s">
        <v>553</v>
      </c>
      <c r="D20582" t="s">
        <v>14</v>
      </c>
      <c r="E20582" t="s">
        <v>15</v>
      </c>
      <c r="F20582" s="2" t="str">
        <f>HYPERLINK("http://www.otzar.org/book.asp?84821","לעת מצוא")</f>
        <v>לעת מצוא</v>
      </c>
    </row>
    <row r="20583" spans="1:6" x14ac:dyDescent="0.2">
      <c r="A20583" t="s">
        <v>33453</v>
      </c>
      <c r="B20583" t="s">
        <v>33454</v>
      </c>
      <c r="C20583" t="s">
        <v>20</v>
      </c>
      <c r="D20583" t="s">
        <v>90</v>
      </c>
      <c r="E20583" t="s">
        <v>234</v>
      </c>
      <c r="F20583" s="2" t="str">
        <f>HYPERLINK("http://www.otzar.org/book.asp?150591","לעת מצוא - ב")</f>
        <v>לעת מצוא - ב</v>
      </c>
    </row>
    <row r="20584" spans="1:6" x14ac:dyDescent="0.2">
      <c r="A20584" t="s">
        <v>33455</v>
      </c>
      <c r="B20584" t="s">
        <v>33456</v>
      </c>
      <c r="C20584" t="s">
        <v>23</v>
      </c>
      <c r="D20584" t="s">
        <v>14</v>
      </c>
      <c r="F20584" s="2" t="str">
        <f>HYPERLINK("http://www.otzar.org/book.asp?609860","לעת מצוא - לקט תפילות")</f>
        <v>לעת מצוא - לקט תפילות</v>
      </c>
    </row>
    <row r="20585" spans="1:6" x14ac:dyDescent="0.2">
      <c r="A20585" t="s">
        <v>33457</v>
      </c>
      <c r="B20585" t="s">
        <v>21354</v>
      </c>
      <c r="C20585" t="s">
        <v>383</v>
      </c>
      <c r="D20585" t="s">
        <v>14</v>
      </c>
      <c r="E20585" t="s">
        <v>104</v>
      </c>
      <c r="F20585" s="2" t="str">
        <f>HYPERLINK("http://www.otzar.org/book.asp?179792","לפי ספרי א-ב")</f>
        <v>לפי ספרי א-ב</v>
      </c>
    </row>
    <row r="20586" spans="1:6" x14ac:dyDescent="0.2">
      <c r="A20586" t="s">
        <v>33458</v>
      </c>
      <c r="B20586" t="s">
        <v>21354</v>
      </c>
      <c r="C20586" t="s">
        <v>523</v>
      </c>
      <c r="D20586" t="s">
        <v>14</v>
      </c>
      <c r="E20586" t="s">
        <v>33459</v>
      </c>
      <c r="F20586" s="2" t="str">
        <f>HYPERLINK("http://www.otzar.org/book.asp?179793","לפי ספרי - ג - לקט יהונתן")</f>
        <v>לפי ספרי - ג - לקט יהונתן</v>
      </c>
    </row>
    <row r="20587" spans="1:6" x14ac:dyDescent="0.2">
      <c r="A20587" t="s">
        <v>33460</v>
      </c>
      <c r="B20587" t="s">
        <v>21354</v>
      </c>
      <c r="C20587" t="s">
        <v>919</v>
      </c>
      <c r="D20587" t="s">
        <v>21</v>
      </c>
      <c r="E20587" t="s">
        <v>579</v>
      </c>
      <c r="F20587" s="2" t="str">
        <f>HYPERLINK("http://www.otzar.org/book.asp?196748","לפי ספריו - א")</f>
        <v>לפי ספריו - א</v>
      </c>
    </row>
    <row r="20588" spans="1:6" x14ac:dyDescent="0.2">
      <c r="A20588" t="s">
        <v>33461</v>
      </c>
      <c r="B20588" t="s">
        <v>33462</v>
      </c>
      <c r="C20588" t="s">
        <v>33463</v>
      </c>
      <c r="D20588" t="s">
        <v>27</v>
      </c>
      <c r="E20588" t="s">
        <v>202</v>
      </c>
      <c r="F20588" s="2" t="str">
        <f>HYPERLINK("http://www.otzar.org/book.asp?179182","לפי שעה -ז")</f>
        <v>לפי שעה -ז</v>
      </c>
    </row>
    <row r="20589" spans="1:6" x14ac:dyDescent="0.2">
      <c r="A20589" t="s">
        <v>33464</v>
      </c>
      <c r="B20589" t="s">
        <v>33465</v>
      </c>
      <c r="C20589" t="s">
        <v>523</v>
      </c>
      <c r="D20589" t="s">
        <v>14</v>
      </c>
      <c r="E20589" t="s">
        <v>119</v>
      </c>
      <c r="F20589" s="2" t="str">
        <f>HYPERLINK("http://www.otzar.org/book.asp?162370","לפיד אש נובהרדקאי")</f>
        <v>לפיד אש נובהרדקאי</v>
      </c>
    </row>
    <row r="20590" spans="1:6" x14ac:dyDescent="0.2">
      <c r="A20590" t="s">
        <v>33466</v>
      </c>
      <c r="B20590" t="s">
        <v>12861</v>
      </c>
      <c r="C20590" t="s">
        <v>482</v>
      </c>
      <c r="D20590" t="s">
        <v>27</v>
      </c>
      <c r="E20590" t="s">
        <v>119</v>
      </c>
      <c r="F20590" s="2" t="str">
        <f>HYPERLINK("http://www.otzar.org/book.asp?20216","לפיד אש")</f>
        <v>לפיד אש</v>
      </c>
    </row>
    <row r="20591" spans="1:6" x14ac:dyDescent="0.2">
      <c r="A20591" t="s">
        <v>33467</v>
      </c>
      <c r="B20591" t="s">
        <v>3554</v>
      </c>
      <c r="C20591" t="s">
        <v>71</v>
      </c>
      <c r="D20591" t="s">
        <v>52</v>
      </c>
      <c r="E20591" t="s">
        <v>119</v>
      </c>
      <c r="F20591" s="2" t="str">
        <f>HYPERLINK("http://www.otzar.org/book.asp?145567","לפיד האש - 2 כר'")</f>
        <v>לפיד האש - 2 כר'</v>
      </c>
    </row>
    <row r="20592" spans="1:6" x14ac:dyDescent="0.2">
      <c r="A20592" t="s">
        <v>33468</v>
      </c>
      <c r="B20592" t="s">
        <v>33469</v>
      </c>
      <c r="C20592" t="s">
        <v>356</v>
      </c>
      <c r="D20592" t="s">
        <v>4338</v>
      </c>
      <c r="E20592" t="s">
        <v>241</v>
      </c>
      <c r="F20592" s="2" t="str">
        <f>HYPERLINK("http://www.otzar.org/book.asp?614760","לפיד של אש")</f>
        <v>לפיד של אש</v>
      </c>
    </row>
    <row r="20593" spans="1:6" x14ac:dyDescent="0.2">
      <c r="A20593" t="s">
        <v>33470</v>
      </c>
      <c r="B20593" t="s">
        <v>1750</v>
      </c>
      <c r="C20593" t="s">
        <v>356</v>
      </c>
      <c r="D20593" t="s">
        <v>412</v>
      </c>
      <c r="E20593" t="s">
        <v>16263</v>
      </c>
      <c r="F20593" s="2" t="str">
        <f>HYPERLINK("http://www.otzar.org/book.asp?105596","לפידי אש דת - 3 כר'")</f>
        <v>לפידי אש דת - 3 כר'</v>
      </c>
    </row>
    <row r="20594" spans="1:6" x14ac:dyDescent="0.2">
      <c r="A20594" t="s">
        <v>33471</v>
      </c>
      <c r="B20594" t="s">
        <v>4975</v>
      </c>
      <c r="C20594" t="s">
        <v>609</v>
      </c>
      <c r="D20594" t="s">
        <v>2940</v>
      </c>
      <c r="E20594" t="s">
        <v>5860</v>
      </c>
      <c r="F20594" s="2" t="str">
        <f>HYPERLINK("http://www.otzar.org/book.asp?11028","לפלגות ישראל באונגריא")</f>
        <v>לפלגות ישראל באונגריא</v>
      </c>
    </row>
    <row r="20595" spans="1:6" x14ac:dyDescent="0.2">
      <c r="A20595" t="s">
        <v>33472</v>
      </c>
      <c r="B20595" t="s">
        <v>33473</v>
      </c>
      <c r="C20595" t="s">
        <v>33474</v>
      </c>
      <c r="D20595" t="s">
        <v>27</v>
      </c>
      <c r="E20595" t="s">
        <v>435</v>
      </c>
      <c r="F20595" s="2" t="str">
        <f>HYPERLINK("http://www.otzar.org/book.asp?200212","לפלגות ראובן - 11 כר'")</f>
        <v>לפלגות ראובן - 11 כר'</v>
      </c>
    </row>
    <row r="20596" spans="1:6" x14ac:dyDescent="0.2">
      <c r="A20596" t="s">
        <v>33475</v>
      </c>
      <c r="B20596" t="s">
        <v>206</v>
      </c>
      <c r="C20596" t="s">
        <v>244</v>
      </c>
      <c r="D20596" t="s">
        <v>52</v>
      </c>
      <c r="E20596" t="s">
        <v>246</v>
      </c>
      <c r="F20596" s="2" t="str">
        <f>HYPERLINK("http://www.otzar.org/book.asp?603736","לפני ד' תטהרו")</f>
        <v>לפני ד' תטהרו</v>
      </c>
    </row>
    <row r="20597" spans="1:6" x14ac:dyDescent="0.2">
      <c r="A20597" t="s">
        <v>33476</v>
      </c>
      <c r="B20597" t="s">
        <v>4503</v>
      </c>
      <c r="C20597" t="s">
        <v>442</v>
      </c>
      <c r="D20597" t="s">
        <v>260</v>
      </c>
      <c r="E20597" t="s">
        <v>241</v>
      </c>
      <c r="F20597" s="2" t="str">
        <f>HYPERLINK("http://www.otzar.org/book.asp?188441","לפני ההכרעה")</f>
        <v>לפני ההכרעה</v>
      </c>
    </row>
    <row r="20598" spans="1:6" x14ac:dyDescent="0.2">
      <c r="A20598" t="s">
        <v>33477</v>
      </c>
      <c r="B20598" t="s">
        <v>8070</v>
      </c>
      <c r="C20598" t="s">
        <v>111</v>
      </c>
      <c r="D20598" t="s">
        <v>152</v>
      </c>
      <c r="E20598" t="s">
        <v>1164</v>
      </c>
      <c r="F20598" s="2" t="str">
        <f>HYPERLINK("http://www.otzar.org/book.asp?628003","לפני המלך")</f>
        <v>לפני המלך</v>
      </c>
    </row>
    <row r="20599" spans="1:6" x14ac:dyDescent="0.2">
      <c r="A20599" t="s">
        <v>33478</v>
      </c>
      <c r="B20599" t="s">
        <v>19305</v>
      </c>
      <c r="C20599" t="s">
        <v>785</v>
      </c>
      <c r="D20599" t="s">
        <v>1550</v>
      </c>
      <c r="E20599" t="s">
        <v>674</v>
      </c>
      <c r="F20599" s="2" t="str">
        <f>HYPERLINK("http://www.otzar.org/book.asp?6520","לפני עור")</f>
        <v>לפני עור</v>
      </c>
    </row>
    <row r="20600" spans="1:6" x14ac:dyDescent="0.2">
      <c r="A20600" t="s">
        <v>33479</v>
      </c>
      <c r="B20600" t="s">
        <v>4975</v>
      </c>
      <c r="C20600" t="s">
        <v>1062</v>
      </c>
      <c r="D20600" t="s">
        <v>9</v>
      </c>
      <c r="E20600" t="s">
        <v>119</v>
      </c>
      <c r="F20600" s="2" t="str">
        <f>HYPERLINK("http://www.otzar.org/book.asp?15400","לפני שתי מאות שנה")</f>
        <v>לפני שתי מאות שנה</v>
      </c>
    </row>
    <row r="20601" spans="1:6" x14ac:dyDescent="0.2">
      <c r="A20601" t="s">
        <v>33480</v>
      </c>
      <c r="B20601" t="s">
        <v>33481</v>
      </c>
      <c r="C20601" t="s">
        <v>189</v>
      </c>
      <c r="D20601" t="s">
        <v>14</v>
      </c>
      <c r="E20601" t="s">
        <v>38</v>
      </c>
      <c r="F20601" s="2" t="str">
        <f>HYPERLINK("http://www.otzar.org/book.asp?25921","לפני תמיד")</f>
        <v>לפני תמיד</v>
      </c>
    </row>
    <row r="20602" spans="1:6" x14ac:dyDescent="0.2">
      <c r="A20602" t="s">
        <v>33482</v>
      </c>
      <c r="B20602" t="s">
        <v>32415</v>
      </c>
      <c r="C20602" t="s">
        <v>482</v>
      </c>
      <c r="D20602" t="s">
        <v>27</v>
      </c>
      <c r="E20602" t="s">
        <v>241</v>
      </c>
      <c r="F20602" s="2" t="str">
        <f>HYPERLINK("http://www.otzar.org/book.asp?167583","לפקוח עינים")</f>
        <v>לפקוח עינים</v>
      </c>
    </row>
    <row r="20603" spans="1:6" x14ac:dyDescent="0.2">
      <c r="A20603" t="s">
        <v>33483</v>
      </c>
      <c r="B20603" t="s">
        <v>8135</v>
      </c>
      <c r="C20603" t="s">
        <v>244</v>
      </c>
      <c r="D20603" t="s">
        <v>14</v>
      </c>
      <c r="E20603" t="s">
        <v>583</v>
      </c>
      <c r="F20603" s="2" t="str">
        <f>HYPERLINK("http://www.otzar.org/book.asp?600765","לפרקים &lt;מהדורה חדשה&gt; - 2 כר'")</f>
        <v>לפרקים &lt;מהדורה חדשה&gt; - 2 כר'</v>
      </c>
    </row>
    <row r="20604" spans="1:6" x14ac:dyDescent="0.2">
      <c r="A20604" t="s">
        <v>33484</v>
      </c>
      <c r="B20604" t="s">
        <v>8135</v>
      </c>
      <c r="C20604" t="s">
        <v>1160</v>
      </c>
      <c r="D20604" t="s">
        <v>14</v>
      </c>
      <c r="E20604" t="s">
        <v>4333</v>
      </c>
      <c r="F20604" s="2" t="str">
        <f>HYPERLINK("http://www.otzar.org/book.asp?16997","לפרקים")</f>
        <v>לפרקים</v>
      </c>
    </row>
    <row r="20605" spans="1:6" x14ac:dyDescent="0.2">
      <c r="A20605" t="s">
        <v>33485</v>
      </c>
      <c r="B20605" t="s">
        <v>33486</v>
      </c>
      <c r="C20605" t="s">
        <v>180</v>
      </c>
      <c r="D20605" t="s">
        <v>90</v>
      </c>
      <c r="E20605" t="s">
        <v>119</v>
      </c>
      <c r="F20605" s="2" t="str">
        <f>HYPERLINK("http://www.otzar.org/book.asp?148736","לפרשת הכשרות באנית הדגל הישראלית שלום")</f>
        <v>לפרשת הכשרות באנית הדגל הישראלית שלום</v>
      </c>
    </row>
    <row r="20606" spans="1:6" x14ac:dyDescent="0.2">
      <c r="A20606" t="s">
        <v>33487</v>
      </c>
      <c r="B20606" t="s">
        <v>33488</v>
      </c>
      <c r="C20606" t="s">
        <v>37</v>
      </c>
      <c r="D20606" t="s">
        <v>33489</v>
      </c>
      <c r="E20606" t="s">
        <v>474</v>
      </c>
      <c r="F20606" s="2" t="str">
        <f>HYPERLINK("http://www.otzar.org/book.asp?180471","לפשוטו ולמדרשו - 2 כר'")</f>
        <v>לפשוטו ולמדרשו - 2 כר'</v>
      </c>
    </row>
    <row r="20607" spans="1:6" x14ac:dyDescent="0.2">
      <c r="A20607" t="s">
        <v>33490</v>
      </c>
      <c r="B20607" t="s">
        <v>33491</v>
      </c>
      <c r="C20607" t="s">
        <v>698</v>
      </c>
      <c r="D20607" t="s">
        <v>27</v>
      </c>
      <c r="E20607" t="s">
        <v>202</v>
      </c>
      <c r="F20607" s="2" t="str">
        <f>HYPERLINK("http://www.otzar.org/book.asp?191749","לצאצאי - ב")</f>
        <v>לצאצאי - ב</v>
      </c>
    </row>
    <row r="20608" spans="1:6" x14ac:dyDescent="0.2">
      <c r="A20608" t="s">
        <v>33492</v>
      </c>
      <c r="B20608" t="s">
        <v>5790</v>
      </c>
      <c r="C20608" t="s">
        <v>20</v>
      </c>
      <c r="D20608" t="s">
        <v>90</v>
      </c>
      <c r="E20608" t="s">
        <v>15</v>
      </c>
      <c r="F20608" s="2" t="str">
        <f>HYPERLINK("http://www.otzar.org/book.asp?606247","לצאת מהבית מעוטף בטלית ומעוטר בתפילין")</f>
        <v>לצאת מהבית מעוטף בטלית ומעוטר בתפילין</v>
      </c>
    </row>
    <row r="20609" spans="1:6" x14ac:dyDescent="0.2">
      <c r="A20609" t="s">
        <v>33493</v>
      </c>
      <c r="B20609" t="s">
        <v>33494</v>
      </c>
      <c r="C20609" t="s">
        <v>23</v>
      </c>
      <c r="D20609" t="s">
        <v>147</v>
      </c>
      <c r="E20609" t="s">
        <v>119</v>
      </c>
      <c r="F20609" s="2" t="str">
        <f>HYPERLINK("http://www.otzar.org/book.asp?625358","לציון ברחמים")</f>
        <v>לציון ברחמים</v>
      </c>
    </row>
    <row r="20610" spans="1:6" x14ac:dyDescent="0.2">
      <c r="A20610" t="s">
        <v>33495</v>
      </c>
      <c r="B20610" t="s">
        <v>33496</v>
      </c>
      <c r="C20610" t="s">
        <v>151</v>
      </c>
      <c r="D20610" t="s">
        <v>486</v>
      </c>
      <c r="E20610" t="s">
        <v>241</v>
      </c>
      <c r="F20610" s="2" t="str">
        <f>HYPERLINK("http://www.otzar.org/book.asp?618091","לקבלם באהבה")</f>
        <v>לקבלם באהבה</v>
      </c>
    </row>
    <row r="20611" spans="1:6" x14ac:dyDescent="0.2">
      <c r="A20611" t="s">
        <v>33497</v>
      </c>
      <c r="B20611" t="s">
        <v>33498</v>
      </c>
      <c r="C20611" t="s">
        <v>422</v>
      </c>
      <c r="D20611" t="s">
        <v>14</v>
      </c>
      <c r="E20611" t="s">
        <v>119</v>
      </c>
      <c r="F20611" s="2" t="str">
        <f>HYPERLINK("http://www.otzar.org/book.asp?84560","לקדושים אשר באר""ץ - 2 כר'")</f>
        <v>לקדושים אשר באר"ץ - 2 כר'</v>
      </c>
    </row>
    <row r="20612" spans="1:6" x14ac:dyDescent="0.2">
      <c r="A20612" t="s">
        <v>33499</v>
      </c>
      <c r="B20612" t="s">
        <v>2074</v>
      </c>
      <c r="C20612" t="s">
        <v>23</v>
      </c>
      <c r="D20612" t="s">
        <v>14</v>
      </c>
      <c r="E20612" t="s">
        <v>219</v>
      </c>
      <c r="F20612" s="2" t="str">
        <f>HYPERLINK("http://www.otzar.org/book.asp?192388","לקדושים אשר בארץ")</f>
        <v>לקדושים אשר בארץ</v>
      </c>
    </row>
    <row r="20613" spans="1:6" x14ac:dyDescent="0.2">
      <c r="A20613" t="s">
        <v>33500</v>
      </c>
      <c r="B20613" t="s">
        <v>33501</v>
      </c>
      <c r="C20613" t="s">
        <v>20</v>
      </c>
      <c r="D20613" t="s">
        <v>90</v>
      </c>
      <c r="E20613" t="s">
        <v>104</v>
      </c>
      <c r="F20613" s="2" t="str">
        <f>HYPERLINK("http://www.otzar.org/book.asp?604649","לקדושים אשר בארץ - 7 כר'")</f>
        <v>לקדושים אשר בארץ - 7 כר'</v>
      </c>
    </row>
    <row r="20614" spans="1:6" x14ac:dyDescent="0.2">
      <c r="A20614" t="s">
        <v>33502</v>
      </c>
      <c r="B20614" t="s">
        <v>2571</v>
      </c>
      <c r="C20614" t="s">
        <v>33503</v>
      </c>
      <c r="D20614" t="s">
        <v>14</v>
      </c>
      <c r="E20614" t="s">
        <v>579</v>
      </c>
      <c r="F20614" s="2" t="str">
        <f>HYPERLINK("http://www.otzar.org/book.asp?624808","לקוט אמרים")</f>
        <v>לקוט אמרים</v>
      </c>
    </row>
    <row r="20615" spans="1:6" x14ac:dyDescent="0.2">
      <c r="A20615" t="s">
        <v>33504</v>
      </c>
      <c r="B20615" t="s">
        <v>1552</v>
      </c>
      <c r="C20615" t="s">
        <v>1991</v>
      </c>
      <c r="D20615" t="s">
        <v>76</v>
      </c>
      <c r="E20615" t="s">
        <v>144</v>
      </c>
      <c r="F20615" s="2" t="str">
        <f>HYPERLINK("http://www.otzar.org/book.asp?101286","לקוטות הרמב""ן")</f>
        <v>לקוטות הרמב"ן</v>
      </c>
    </row>
    <row r="20616" spans="1:6" x14ac:dyDescent="0.2">
      <c r="A20616" t="s">
        <v>33505</v>
      </c>
      <c r="B20616" t="s">
        <v>33506</v>
      </c>
      <c r="C20616" t="s">
        <v>1160</v>
      </c>
      <c r="D20616" t="s">
        <v>216</v>
      </c>
      <c r="E20616" t="s">
        <v>579</v>
      </c>
      <c r="F20616" s="2" t="str">
        <f>HYPERLINK("http://www.otzar.org/book.asp?172836","לקוטי אהרן")</f>
        <v>לקוטי אהרן</v>
      </c>
    </row>
    <row r="20617" spans="1:6" x14ac:dyDescent="0.2">
      <c r="A20617" t="s">
        <v>33507</v>
      </c>
      <c r="B20617" t="s">
        <v>3614</v>
      </c>
      <c r="C20617" t="s">
        <v>160</v>
      </c>
      <c r="D20617" t="s">
        <v>27</v>
      </c>
      <c r="E20617" t="s">
        <v>140</v>
      </c>
      <c r="F20617" s="2" t="str">
        <f>HYPERLINK("http://www.otzar.org/book.asp?171067","לקוטי ביאורים")</f>
        <v>לקוטי ביאורים</v>
      </c>
    </row>
    <row r="20618" spans="1:6" x14ac:dyDescent="0.2">
      <c r="A20618" t="s">
        <v>33508</v>
      </c>
      <c r="B20618" t="s">
        <v>14446</v>
      </c>
      <c r="C20618" t="s">
        <v>777</v>
      </c>
      <c r="D20618" t="s">
        <v>287</v>
      </c>
      <c r="E20618" t="s">
        <v>140</v>
      </c>
      <c r="F20618" s="2" t="str">
        <f>HYPERLINK("http://www.otzar.org/book.asp?23740","לקוטי דברי תורה")</f>
        <v>לקוטי דברי תורה</v>
      </c>
    </row>
    <row r="20619" spans="1:6" x14ac:dyDescent="0.2">
      <c r="A20619" t="s">
        <v>33509</v>
      </c>
      <c r="B20619" t="s">
        <v>33510</v>
      </c>
      <c r="C20619" t="s">
        <v>33511</v>
      </c>
      <c r="D20619" t="s">
        <v>27</v>
      </c>
      <c r="E20619" t="s">
        <v>158</v>
      </c>
      <c r="F20619" s="2" t="str">
        <f>HYPERLINK("http://www.otzar.org/book.asp?174606","לקוטי דברים - 2 כר'")</f>
        <v>לקוטי דברים - 2 כר'</v>
      </c>
    </row>
    <row r="20620" spans="1:6" x14ac:dyDescent="0.2">
      <c r="A20620" t="s">
        <v>33512</v>
      </c>
      <c r="B20620" t="s">
        <v>26000</v>
      </c>
      <c r="C20620" t="s">
        <v>291</v>
      </c>
      <c r="D20620" t="s">
        <v>26796</v>
      </c>
      <c r="E20620" t="s">
        <v>15</v>
      </c>
      <c r="F20620" s="2" t="str">
        <f>HYPERLINK("http://www.otzar.org/book.asp?625625","לקוטי הלכות &lt;מהדורה ראשונה&gt; - 2 כר'")</f>
        <v>לקוטי הלכות &lt;מהדורה ראשונה&gt; - 2 כר'</v>
      </c>
    </row>
    <row r="20621" spans="1:6" x14ac:dyDescent="0.2">
      <c r="A20621" t="s">
        <v>33513</v>
      </c>
      <c r="B20621" t="s">
        <v>26000</v>
      </c>
      <c r="F20621" s="2" t="str">
        <f>HYPERLINK("http://www.otzar.org/book.asp?164829","לקוטי הלכות")</f>
        <v>לקוטי הלכות</v>
      </c>
    </row>
    <row r="20622" spans="1:6" x14ac:dyDescent="0.2">
      <c r="A20622" t="s">
        <v>33514</v>
      </c>
      <c r="B20622" t="s">
        <v>33515</v>
      </c>
      <c r="C20622" t="s">
        <v>63</v>
      </c>
      <c r="D20622" t="s">
        <v>14</v>
      </c>
      <c r="E20622" t="s">
        <v>219</v>
      </c>
      <c r="F20622" s="2" t="str">
        <f>HYPERLINK("http://www.otzar.org/book.asp?188468","לקוטי זוודא קלילא")</f>
        <v>לקוטי זוודא קלילא</v>
      </c>
    </row>
    <row r="20623" spans="1:6" x14ac:dyDescent="0.2">
      <c r="A20623" t="s">
        <v>33516</v>
      </c>
      <c r="B20623" t="s">
        <v>1978</v>
      </c>
      <c r="C20623" t="s">
        <v>189</v>
      </c>
      <c r="D20623" t="s">
        <v>14</v>
      </c>
      <c r="E20623" t="s">
        <v>241</v>
      </c>
      <c r="F20623" s="2" t="str">
        <f>HYPERLINK("http://www.otzar.org/book.asp?167780","לקוטי חפץ חיים - קונטרס תלמוד תורה ב")</f>
        <v>לקוטי חפץ חיים - קונטרס תלמוד תורה ב</v>
      </c>
    </row>
    <row r="20624" spans="1:6" x14ac:dyDescent="0.2">
      <c r="A20624" t="s">
        <v>33517</v>
      </c>
      <c r="B20624" t="s">
        <v>30172</v>
      </c>
      <c r="C20624" t="s">
        <v>33518</v>
      </c>
      <c r="D20624" t="s">
        <v>3627</v>
      </c>
      <c r="E20624" t="s">
        <v>241</v>
      </c>
      <c r="F20624" s="2" t="str">
        <f>HYPERLINK("http://www.otzar.org/book.asp?167501","לקוטי יהודא - 2 כר'")</f>
        <v>לקוטי יהודא - 2 כר'</v>
      </c>
    </row>
    <row r="20625" spans="1:6" x14ac:dyDescent="0.2">
      <c r="A20625" t="s">
        <v>33519</v>
      </c>
      <c r="B20625" t="s">
        <v>32993</v>
      </c>
      <c r="C20625" t="s">
        <v>411</v>
      </c>
      <c r="D20625" t="s">
        <v>14</v>
      </c>
      <c r="E20625" t="s">
        <v>144</v>
      </c>
      <c r="F20625" s="2" t="str">
        <f>HYPERLINK("http://www.otzar.org/book.asp?170755","לקוטי יושר - השותפין")</f>
        <v>לקוטי יושר - השותפין</v>
      </c>
    </row>
    <row r="20626" spans="1:6" x14ac:dyDescent="0.2">
      <c r="A20626" t="s">
        <v>33520</v>
      </c>
      <c r="B20626" t="s">
        <v>33000</v>
      </c>
      <c r="C20626" t="s">
        <v>3840</v>
      </c>
      <c r="D20626" t="s">
        <v>3208</v>
      </c>
      <c r="E20626" t="s">
        <v>733</v>
      </c>
      <c r="F20626" s="2" t="str">
        <f>HYPERLINK("http://www.otzar.org/book.asp?604160","לקוטי יצחק")</f>
        <v>לקוטי יצחק</v>
      </c>
    </row>
    <row r="20627" spans="1:6" x14ac:dyDescent="0.2">
      <c r="A20627" t="s">
        <v>33521</v>
      </c>
      <c r="B20627" t="s">
        <v>33522</v>
      </c>
      <c r="C20627" t="s">
        <v>33523</v>
      </c>
      <c r="D20627" t="s">
        <v>100</v>
      </c>
      <c r="E20627" t="s">
        <v>234</v>
      </c>
      <c r="F20627" s="2" t="str">
        <f>HYPERLINK("http://www.otzar.org/book.asp?188676","לקוטי יקותיאל - 2 כר'")</f>
        <v>לקוטי יקותיאל - 2 כר'</v>
      </c>
    </row>
    <row r="20628" spans="1:6" x14ac:dyDescent="0.2">
      <c r="A20628" t="s">
        <v>33524</v>
      </c>
      <c r="B20628" t="s">
        <v>33525</v>
      </c>
      <c r="C20628" t="s">
        <v>533</v>
      </c>
      <c r="D20628" t="s">
        <v>27</v>
      </c>
      <c r="E20628" t="s">
        <v>158</v>
      </c>
      <c r="F20628" s="2" t="str">
        <f>HYPERLINK("http://www.otzar.org/book.asp?615861","לקוטי ישראל - 4 כר'")</f>
        <v>לקוטי ישראל - 4 כר'</v>
      </c>
    </row>
    <row r="20629" spans="1:6" x14ac:dyDescent="0.2">
      <c r="A20629" t="s">
        <v>33526</v>
      </c>
      <c r="B20629" t="s">
        <v>33527</v>
      </c>
      <c r="C20629" t="s">
        <v>619</v>
      </c>
      <c r="D20629" t="s">
        <v>2313</v>
      </c>
      <c r="F20629" s="2" t="str">
        <f>HYPERLINK("http://www.otzar.org/book.asp?169401","לקוטי מאיר")</f>
        <v>לקוטי מאיר</v>
      </c>
    </row>
    <row r="20630" spans="1:6" x14ac:dyDescent="0.2">
      <c r="A20630" t="s">
        <v>33528</v>
      </c>
      <c r="C20630" t="s">
        <v>20</v>
      </c>
      <c r="D20630" t="s">
        <v>90</v>
      </c>
      <c r="F20630" s="2" t="str">
        <f>HYPERLINK("http://www.otzar.org/book.asp?617661","לקוטי מהר""י")</f>
        <v>לקוטי מהר"י</v>
      </c>
    </row>
    <row r="20631" spans="1:6" x14ac:dyDescent="0.2">
      <c r="A20631" t="s">
        <v>33529</v>
      </c>
      <c r="B20631" t="s">
        <v>33028</v>
      </c>
      <c r="C20631" t="s">
        <v>356</v>
      </c>
      <c r="D20631" t="s">
        <v>412</v>
      </c>
      <c r="F20631" s="2" t="str">
        <f>HYPERLINK("http://www.otzar.org/book.asp?631548","לקוטי מהרי""א השלם על ילקוט שמעוני")</f>
        <v>לקוטי מהרי"א השלם על ילקוט שמעוני</v>
      </c>
    </row>
    <row r="20632" spans="1:6" x14ac:dyDescent="0.2">
      <c r="A20632" t="s">
        <v>33530</v>
      </c>
      <c r="B20632" t="s">
        <v>33038</v>
      </c>
      <c r="C20632" t="s">
        <v>189</v>
      </c>
      <c r="D20632" t="s">
        <v>423</v>
      </c>
      <c r="E20632" t="s">
        <v>33531</v>
      </c>
      <c r="F20632" s="2" t="str">
        <f>HYPERLINK("http://www.otzar.org/book.asp?172603","לקוטי מהרין ותולדות יצחק בן לוי &lt;מהדורה חדשה&gt;")</f>
        <v>לקוטי מהרין ותולדות יצחק בן לוי &lt;מהדורה חדשה&gt;</v>
      </c>
    </row>
    <row r="20633" spans="1:6" x14ac:dyDescent="0.2">
      <c r="A20633" t="s">
        <v>33532</v>
      </c>
      <c r="B20633" t="s">
        <v>33533</v>
      </c>
      <c r="C20633" t="s">
        <v>20</v>
      </c>
      <c r="D20633" t="s">
        <v>412</v>
      </c>
      <c r="E20633" t="s">
        <v>104</v>
      </c>
      <c r="F20633" s="2" t="str">
        <f>HYPERLINK("http://www.otzar.org/book.asp?169080","לקוטי מכתבים על עקבתא דמשיחא")</f>
        <v>לקוטי מכתבים על עקבתא דמשיחא</v>
      </c>
    </row>
    <row r="20634" spans="1:6" x14ac:dyDescent="0.2">
      <c r="A20634" t="s">
        <v>33534</v>
      </c>
      <c r="B20634" t="s">
        <v>33535</v>
      </c>
      <c r="C20634" t="s">
        <v>10425</v>
      </c>
      <c r="D20634" t="s">
        <v>76</v>
      </c>
      <c r="E20634" t="s">
        <v>399</v>
      </c>
      <c r="F20634" s="2" t="str">
        <f>HYPERLINK("http://www.otzar.org/book.asp?165175","לקוטי מנחם")</f>
        <v>לקוטי מנחם</v>
      </c>
    </row>
    <row r="20635" spans="1:6" x14ac:dyDescent="0.2">
      <c r="A20635" t="s">
        <v>33536</v>
      </c>
      <c r="B20635" t="s">
        <v>33537</v>
      </c>
      <c r="C20635" t="s">
        <v>79</v>
      </c>
      <c r="E20635" t="s">
        <v>25972</v>
      </c>
      <c r="F20635" s="2" t="str">
        <f>HYPERLINK("http://www.otzar.org/book.asp?170900","לקוטי מנחת אהבת אליהו")</f>
        <v>לקוטי מנחת אהבת אליהו</v>
      </c>
    </row>
    <row r="20636" spans="1:6" x14ac:dyDescent="0.2">
      <c r="A20636" t="s">
        <v>33538</v>
      </c>
      <c r="B20636" t="s">
        <v>6029</v>
      </c>
      <c r="C20636" t="s">
        <v>51</v>
      </c>
      <c r="D20636" t="s">
        <v>52</v>
      </c>
      <c r="E20636" t="s">
        <v>84</v>
      </c>
      <c r="F20636" s="2" t="str">
        <f>HYPERLINK("http://www.otzar.org/book.asp?605646","לקוטי משנה - 6 כר'")</f>
        <v>לקוטי משנה - 6 כר'</v>
      </c>
    </row>
    <row r="20637" spans="1:6" x14ac:dyDescent="0.2">
      <c r="A20637" t="s">
        <v>33539</v>
      </c>
      <c r="B20637" t="s">
        <v>26000</v>
      </c>
      <c r="C20637" t="s">
        <v>5826</v>
      </c>
      <c r="D20637" t="s">
        <v>31456</v>
      </c>
      <c r="E20637" t="s">
        <v>140</v>
      </c>
      <c r="F20637" s="2" t="str">
        <f>HYPERLINK("http://www.otzar.org/book.asp?170252","לקוטי עצות - 2 כר'")</f>
        <v>לקוטי עצות - 2 כר'</v>
      </c>
    </row>
    <row r="20638" spans="1:6" x14ac:dyDescent="0.2">
      <c r="A20638" t="s">
        <v>33540</v>
      </c>
      <c r="B20638" t="s">
        <v>33090</v>
      </c>
      <c r="C20638" t="s">
        <v>950</v>
      </c>
      <c r="D20638" t="s">
        <v>1419</v>
      </c>
      <c r="E20638" t="s">
        <v>1517</v>
      </c>
      <c r="F20638" s="2" t="str">
        <f>HYPERLINK("http://www.otzar.org/book.asp?181152","לקוטי צבי - 4 כר'")</f>
        <v>לקוטי צבי - 4 כר'</v>
      </c>
    </row>
    <row r="20639" spans="1:6" x14ac:dyDescent="0.2">
      <c r="A20639" t="s">
        <v>33541</v>
      </c>
      <c r="B20639" t="s">
        <v>33542</v>
      </c>
      <c r="C20639" t="s">
        <v>103</v>
      </c>
      <c r="D20639" t="s">
        <v>52</v>
      </c>
      <c r="E20639" t="s">
        <v>158</v>
      </c>
      <c r="F20639" s="2" t="str">
        <f>HYPERLINK("http://www.otzar.org/book.asp?169323","לקוטי רבי משה יעקב - 2 כר'")</f>
        <v>לקוטי רבי משה יעקב - 2 כר'</v>
      </c>
    </row>
    <row r="20640" spans="1:6" x14ac:dyDescent="0.2">
      <c r="A20640" t="s">
        <v>33543</v>
      </c>
      <c r="B20640" t="s">
        <v>24828</v>
      </c>
      <c r="C20640" t="s">
        <v>1524</v>
      </c>
      <c r="D20640" t="s">
        <v>4364</v>
      </c>
      <c r="F20640" s="2" t="str">
        <f>HYPERLINK("http://www.otzar.org/book.asp?170337","לקוטי ש""ס - 2 כר'")</f>
        <v>לקוטי ש"ס - 2 כר'</v>
      </c>
    </row>
    <row r="20641" spans="1:6" x14ac:dyDescent="0.2">
      <c r="A20641" t="s">
        <v>33544</v>
      </c>
      <c r="B20641" t="s">
        <v>33141</v>
      </c>
      <c r="C20641" t="s">
        <v>1202</v>
      </c>
      <c r="D20641" t="s">
        <v>33545</v>
      </c>
      <c r="E20641" t="s">
        <v>104</v>
      </c>
      <c r="F20641" s="2" t="str">
        <f>HYPERLINK("http://www.otzar.org/book.asp?602598","לקוטי שושנים")</f>
        <v>לקוטי שושנים</v>
      </c>
    </row>
    <row r="20642" spans="1:6" x14ac:dyDescent="0.2">
      <c r="A20642" t="s">
        <v>33546</v>
      </c>
      <c r="B20642" t="s">
        <v>12440</v>
      </c>
      <c r="C20642" t="s">
        <v>1160</v>
      </c>
      <c r="D20642" t="s">
        <v>14</v>
      </c>
      <c r="E20642" t="s">
        <v>241</v>
      </c>
      <c r="F20642" s="2" t="str">
        <f>HYPERLINK("http://www.otzar.org/book.asp?162399","לקוטי שושנים - 2 כר'")</f>
        <v>לקוטי שושנים - 2 כר'</v>
      </c>
    </row>
    <row r="20643" spans="1:6" x14ac:dyDescent="0.2">
      <c r="A20643" t="s">
        <v>33546</v>
      </c>
      <c r="B20643" t="s">
        <v>33547</v>
      </c>
      <c r="C20643" t="s">
        <v>603</v>
      </c>
      <c r="D20643" t="s">
        <v>56</v>
      </c>
      <c r="E20643" t="s">
        <v>579</v>
      </c>
      <c r="F20643" s="2" t="str">
        <f>HYPERLINK("http://www.otzar.org/book.asp?189491","לקוטי שושנים - 2 כר'")</f>
        <v>לקוטי שושנים - 2 כר'</v>
      </c>
    </row>
    <row r="20644" spans="1:6" x14ac:dyDescent="0.2">
      <c r="A20644" t="s">
        <v>33544</v>
      </c>
      <c r="B20644" t="s">
        <v>13729</v>
      </c>
      <c r="C20644" t="s">
        <v>1458</v>
      </c>
      <c r="D20644" t="s">
        <v>1365</v>
      </c>
      <c r="E20644" t="s">
        <v>104</v>
      </c>
      <c r="F20644" s="2" t="str">
        <f>HYPERLINK("http://www.otzar.org/book.asp?191427","לקוטי שושנים")</f>
        <v>לקוטי שושנים</v>
      </c>
    </row>
    <row r="20645" spans="1:6" x14ac:dyDescent="0.2">
      <c r="A20645" t="s">
        <v>33544</v>
      </c>
      <c r="B20645" t="s">
        <v>33139</v>
      </c>
      <c r="C20645" t="s">
        <v>6773</v>
      </c>
      <c r="D20645" t="s">
        <v>49</v>
      </c>
      <c r="F20645" s="2" t="str">
        <f>HYPERLINK("http://www.otzar.org/book.asp?170195","לקוטי שושנים")</f>
        <v>לקוטי שושנים</v>
      </c>
    </row>
    <row r="20646" spans="1:6" x14ac:dyDescent="0.2">
      <c r="A20646" t="s">
        <v>33544</v>
      </c>
      <c r="B20646" t="s">
        <v>33153</v>
      </c>
      <c r="C20646" t="s">
        <v>33548</v>
      </c>
      <c r="D20646" t="s">
        <v>8545</v>
      </c>
      <c r="E20646" t="s">
        <v>104</v>
      </c>
      <c r="F20646" s="2" t="str">
        <f>HYPERLINK("http://www.otzar.org/book.asp?191399","לקוטי שושנים")</f>
        <v>לקוטי שושנים</v>
      </c>
    </row>
    <row r="20647" spans="1:6" x14ac:dyDescent="0.2">
      <c r="A20647" t="s">
        <v>33549</v>
      </c>
      <c r="B20647" t="s">
        <v>33550</v>
      </c>
      <c r="C20647" t="s">
        <v>356</v>
      </c>
      <c r="D20647" t="s">
        <v>14</v>
      </c>
      <c r="E20647" t="s">
        <v>158</v>
      </c>
      <c r="F20647" s="2" t="str">
        <f>HYPERLINK("http://www.otzar.org/book.asp?608097","לקוטי שלום")</f>
        <v>לקוטי שלום</v>
      </c>
    </row>
    <row r="20648" spans="1:6" x14ac:dyDescent="0.2">
      <c r="A20648" t="s">
        <v>33551</v>
      </c>
      <c r="B20648" t="s">
        <v>33552</v>
      </c>
      <c r="C20648" t="s">
        <v>2870</v>
      </c>
      <c r="D20648" t="s">
        <v>90</v>
      </c>
      <c r="F20648" s="2" t="str">
        <f>HYPERLINK("http://www.otzar.org/book.asp?617624","לקוטי שמואל")</f>
        <v>לקוטי שמואל</v>
      </c>
    </row>
    <row r="20649" spans="1:6" x14ac:dyDescent="0.2">
      <c r="A20649" t="s">
        <v>33553</v>
      </c>
      <c r="B20649" t="s">
        <v>33554</v>
      </c>
      <c r="C20649" t="s">
        <v>23</v>
      </c>
      <c r="D20649" t="s">
        <v>14</v>
      </c>
      <c r="E20649" t="s">
        <v>463</v>
      </c>
      <c r="F20649" s="2" t="str">
        <f>HYPERLINK("http://www.otzar.org/book.asp?193506","לקוטי תורה")</f>
        <v>לקוטי תורה</v>
      </c>
    </row>
    <row r="20650" spans="1:6" x14ac:dyDescent="0.2">
      <c r="A20650" t="s">
        <v>33553</v>
      </c>
      <c r="B20650" t="s">
        <v>33555</v>
      </c>
      <c r="C20650" t="s">
        <v>1169</v>
      </c>
      <c r="D20650" t="s">
        <v>3825</v>
      </c>
      <c r="E20650" t="s">
        <v>202</v>
      </c>
      <c r="F20650" s="2" t="str">
        <f>HYPERLINK("http://www.otzar.org/book.asp?604276","לקוטי תורה")</f>
        <v>לקוטי תורה</v>
      </c>
    </row>
    <row r="20651" spans="1:6" x14ac:dyDescent="0.2">
      <c r="A20651" t="s">
        <v>33556</v>
      </c>
      <c r="B20651" t="s">
        <v>12962</v>
      </c>
      <c r="C20651" t="s">
        <v>26</v>
      </c>
      <c r="D20651" t="s">
        <v>14</v>
      </c>
      <c r="E20651" t="s">
        <v>1517</v>
      </c>
      <c r="F20651" s="2" t="str">
        <f>HYPERLINK("http://www.otzar.org/book.asp?162401","לקוטי תיקונים")</f>
        <v>לקוטי תיקונים</v>
      </c>
    </row>
    <row r="20652" spans="1:6" x14ac:dyDescent="0.2">
      <c r="A20652" t="s">
        <v>33557</v>
      </c>
      <c r="B20652" t="s">
        <v>16506</v>
      </c>
      <c r="C20652" t="s">
        <v>576</v>
      </c>
      <c r="D20652" t="s">
        <v>14</v>
      </c>
      <c r="E20652" t="s">
        <v>219</v>
      </c>
      <c r="F20652" s="2" t="str">
        <f>HYPERLINK("http://www.otzar.org/book.asp?624700","לקוטי תפלות ותחנונים")</f>
        <v>לקוטי תפלות ותחנונים</v>
      </c>
    </row>
    <row r="20653" spans="1:6" x14ac:dyDescent="0.2">
      <c r="A20653" t="s">
        <v>33558</v>
      </c>
      <c r="B20653" t="s">
        <v>33559</v>
      </c>
      <c r="C20653" t="s">
        <v>581</v>
      </c>
      <c r="D20653" t="s">
        <v>9</v>
      </c>
      <c r="E20653" t="s">
        <v>4779</v>
      </c>
      <c r="F20653" s="2" t="str">
        <f>HYPERLINK("http://www.otzar.org/book.asp?174078","לקוטים יקרים")</f>
        <v>לקוטים יקרים</v>
      </c>
    </row>
    <row r="20654" spans="1:6" x14ac:dyDescent="0.2">
      <c r="A20654" t="s">
        <v>33560</v>
      </c>
      <c r="B20654" t="s">
        <v>33240</v>
      </c>
      <c r="C20654" t="s">
        <v>1202</v>
      </c>
      <c r="D20654" t="s">
        <v>8952</v>
      </c>
      <c r="E20654" t="s">
        <v>733</v>
      </c>
      <c r="F20654" s="2" t="str">
        <f>HYPERLINK("http://www.otzar.org/book.asp?196354","לקוטים מפרוש על התורה - א")</f>
        <v>לקוטים מפרוש על התורה - א</v>
      </c>
    </row>
    <row r="20655" spans="1:6" x14ac:dyDescent="0.2">
      <c r="A20655" t="s">
        <v>33561</v>
      </c>
      <c r="B20655" t="s">
        <v>33562</v>
      </c>
      <c r="C20655" t="s">
        <v>576</v>
      </c>
      <c r="D20655" t="s">
        <v>1966</v>
      </c>
      <c r="E20655" t="s">
        <v>741</v>
      </c>
      <c r="F20655" s="2" t="str">
        <f>HYPERLINK("http://www.otzar.org/book.asp?161117","לקוטים נחמדים")</f>
        <v>לקוטים נחמדים</v>
      </c>
    </row>
    <row r="20656" spans="1:6" x14ac:dyDescent="0.2">
      <c r="A20656" t="s">
        <v>33563</v>
      </c>
      <c r="B20656" t="s">
        <v>7075</v>
      </c>
      <c r="C20656" t="s">
        <v>1718</v>
      </c>
      <c r="D20656" t="s">
        <v>535</v>
      </c>
      <c r="E20656" t="s">
        <v>43</v>
      </c>
      <c r="F20656" s="2" t="str">
        <f>HYPERLINK("http://www.otzar.org/book.asp?181178","לקוטים")</f>
        <v>לקוטים</v>
      </c>
    </row>
    <row r="20657" spans="1:6" x14ac:dyDescent="0.2">
      <c r="A20657" t="s">
        <v>33563</v>
      </c>
      <c r="B20657" t="s">
        <v>33137</v>
      </c>
      <c r="C20657" t="s">
        <v>20</v>
      </c>
      <c r="D20657" t="s">
        <v>90</v>
      </c>
      <c r="E20657" t="s">
        <v>741</v>
      </c>
      <c r="F20657" s="2" t="str">
        <f>HYPERLINK("http://www.otzar.org/book.asp?166286","לקוטים")</f>
        <v>לקוטים</v>
      </c>
    </row>
    <row r="20658" spans="1:6" x14ac:dyDescent="0.2">
      <c r="A20658" t="s">
        <v>33564</v>
      </c>
      <c r="B20658" t="s">
        <v>33565</v>
      </c>
      <c r="C20658" t="s">
        <v>3690</v>
      </c>
      <c r="D20658" t="s">
        <v>4269</v>
      </c>
      <c r="E20658" t="s">
        <v>119</v>
      </c>
      <c r="F20658" s="2" t="str">
        <f>HYPERLINK("http://www.otzar.org/book.asp?19096","לקורות בני ישראל בקיוב")</f>
        <v>לקורות בני ישראל בקיוב</v>
      </c>
    </row>
    <row r="20659" spans="1:6" x14ac:dyDescent="0.2">
      <c r="A20659" t="s">
        <v>33566</v>
      </c>
      <c r="B20659" t="s">
        <v>13802</v>
      </c>
      <c r="C20659" t="s">
        <v>21110</v>
      </c>
      <c r="D20659" t="s">
        <v>855</v>
      </c>
      <c r="E20659" t="s">
        <v>119</v>
      </c>
      <c r="F20659" s="2" t="str">
        <f>HYPERLINK("http://www.otzar.org/book.asp?63858","לקורות הגזרות על ישראל - 3 כר'")</f>
        <v>לקורות הגזרות על ישראל - 3 כר'</v>
      </c>
    </row>
    <row r="20660" spans="1:6" x14ac:dyDescent="0.2">
      <c r="A20660" t="s">
        <v>33567</v>
      </c>
      <c r="B20660" t="s">
        <v>9834</v>
      </c>
      <c r="C20660" t="s">
        <v>3840</v>
      </c>
      <c r="D20660" t="s">
        <v>9</v>
      </c>
      <c r="E20660" t="s">
        <v>119</v>
      </c>
      <c r="F20660" s="2" t="str">
        <f>HYPERLINK("http://www.otzar.org/book.asp?23785","לקורות היהדות בטרנסילבניא")</f>
        <v>לקורות היהדות בטרנסילבניא</v>
      </c>
    </row>
    <row r="20661" spans="1:6" x14ac:dyDescent="0.2">
      <c r="A20661" t="s">
        <v>33568</v>
      </c>
      <c r="B20661" t="s">
        <v>20805</v>
      </c>
      <c r="C20661" t="s">
        <v>99</v>
      </c>
      <c r="D20661" t="s">
        <v>260</v>
      </c>
      <c r="E20661" t="s">
        <v>119</v>
      </c>
      <c r="F20661" s="2" t="str">
        <f>HYPERLINK("http://www.otzar.org/book.asp?155507","לקורות היהודים בדמשק")</f>
        <v>לקורות היהודים בדמשק</v>
      </c>
    </row>
    <row r="20662" spans="1:6" x14ac:dyDescent="0.2">
      <c r="A20662" t="s">
        <v>33569</v>
      </c>
      <c r="B20662" t="s">
        <v>13895</v>
      </c>
      <c r="C20662" t="s">
        <v>492</v>
      </c>
      <c r="D20662" t="s">
        <v>726</v>
      </c>
      <c r="E20662" t="s">
        <v>119</v>
      </c>
      <c r="F20662" s="2" t="str">
        <f>HYPERLINK("http://www.otzar.org/book.asp?100563","לקורות היהודים בלובלין - 2 כר'")</f>
        <v>לקורות היהודים בלובלין - 2 כר'</v>
      </c>
    </row>
    <row r="20663" spans="1:6" x14ac:dyDescent="0.2">
      <c r="A20663" t="s">
        <v>33570</v>
      </c>
      <c r="B20663" t="s">
        <v>33571</v>
      </c>
      <c r="C20663" t="s">
        <v>2874</v>
      </c>
      <c r="D20663" t="s">
        <v>1117</v>
      </c>
      <c r="E20663" t="s">
        <v>5860</v>
      </c>
      <c r="F20663" s="2" t="str">
        <f>HYPERLINK("http://www.otzar.org/book.asp?19094","לקורות היהודים בפולין וביחוד בקראקא")</f>
        <v>לקורות היהודים בפולין וביחוד בקראקא</v>
      </c>
    </row>
    <row r="20664" spans="1:6" x14ac:dyDescent="0.2">
      <c r="A20664" t="s">
        <v>33572</v>
      </c>
      <c r="B20664" t="s">
        <v>33573</v>
      </c>
      <c r="C20664" t="s">
        <v>888</v>
      </c>
      <c r="D20664" t="s">
        <v>4269</v>
      </c>
      <c r="E20664" t="s">
        <v>119</v>
      </c>
      <c r="F20664" s="2" t="str">
        <f>HYPERLINK("http://www.otzar.org/book.asp?19095","לקורות היהודים בקיוב")</f>
        <v>לקורות היהודים בקיוב</v>
      </c>
    </row>
    <row r="20665" spans="1:6" x14ac:dyDescent="0.2">
      <c r="A20665" t="s">
        <v>33574</v>
      </c>
      <c r="B20665" t="s">
        <v>33575</v>
      </c>
      <c r="C20665" t="s">
        <v>1096</v>
      </c>
      <c r="D20665" t="s">
        <v>280</v>
      </c>
      <c r="E20665" t="s">
        <v>7877</v>
      </c>
      <c r="F20665" s="2" t="str">
        <f>HYPERLINK("http://www.otzar.org/book.asp?18988","לקורות היהודים ברוסיא פולין וליטא")</f>
        <v>לקורות היהודים ברוסיא פולין וליטא</v>
      </c>
    </row>
    <row r="20666" spans="1:6" x14ac:dyDescent="0.2">
      <c r="A20666" t="s">
        <v>33576</v>
      </c>
      <c r="B20666" t="s">
        <v>33577</v>
      </c>
      <c r="C20666" t="s">
        <v>8</v>
      </c>
      <c r="D20666" t="s">
        <v>14</v>
      </c>
      <c r="F20666" s="2" t="str">
        <f>HYPERLINK("http://www.otzar.org/book.asp?152958","לקורות הרבנות")</f>
        <v>לקורות הרבנות</v>
      </c>
    </row>
    <row r="20667" spans="1:6" x14ac:dyDescent="0.2">
      <c r="A20667" t="s">
        <v>33578</v>
      </c>
      <c r="B20667" t="s">
        <v>4975</v>
      </c>
      <c r="C20667" t="s">
        <v>558</v>
      </c>
      <c r="D20667" t="s">
        <v>3627</v>
      </c>
      <c r="E20667" t="s">
        <v>119</v>
      </c>
      <c r="F20667" s="2" t="str">
        <f>HYPERLINK("http://www.otzar.org/book.asp?21979","לקורות השבתאים באונגאריא")</f>
        <v>לקורות השבתאים באונגאריא</v>
      </c>
    </row>
    <row r="20668" spans="1:6" x14ac:dyDescent="0.2">
      <c r="A20668" t="s">
        <v>33579</v>
      </c>
      <c r="B20668" t="s">
        <v>4156</v>
      </c>
      <c r="C20668" t="s">
        <v>1885</v>
      </c>
      <c r="D20668" t="s">
        <v>412</v>
      </c>
      <c r="E20668" t="s">
        <v>119</v>
      </c>
      <c r="F20668" s="2" t="str">
        <f>HYPERLINK("http://www.otzar.org/book.asp?195559","לקורות ישראל ברוסיא")</f>
        <v>לקורות ישראל ברוסיא</v>
      </c>
    </row>
    <row r="20669" spans="1:6" x14ac:dyDescent="0.2">
      <c r="A20669" t="s">
        <v>33580</v>
      </c>
      <c r="B20669" t="s">
        <v>33581</v>
      </c>
      <c r="C20669" t="s">
        <v>1166</v>
      </c>
      <c r="D20669" t="s">
        <v>283</v>
      </c>
      <c r="E20669" t="s">
        <v>119</v>
      </c>
      <c r="F20669" s="2" t="str">
        <f>HYPERLINK("http://www.otzar.org/book.asp?19091","לקורות עיר נאוואהרדאק ורבניה")</f>
        <v>לקורות עיר נאוואהרדאק ורבניה</v>
      </c>
    </row>
    <row r="20670" spans="1:6" x14ac:dyDescent="0.2">
      <c r="A20670" t="s">
        <v>33582</v>
      </c>
      <c r="B20670" t="s">
        <v>33583</v>
      </c>
      <c r="C20670" t="s">
        <v>1166</v>
      </c>
      <c r="D20670" t="s">
        <v>283</v>
      </c>
      <c r="E20670" t="s">
        <v>119</v>
      </c>
      <c r="F20670" s="2" t="str">
        <f>HYPERLINK("http://www.otzar.org/book.asp?106562","לקורות עיר קידאן ורבניה")</f>
        <v>לקורות עיר קידאן ורבניה</v>
      </c>
    </row>
    <row r="20671" spans="1:6" x14ac:dyDescent="0.2">
      <c r="A20671" t="s">
        <v>33584</v>
      </c>
      <c r="B20671" t="s">
        <v>33583</v>
      </c>
      <c r="C20671" t="s">
        <v>1166</v>
      </c>
      <c r="D20671" t="s">
        <v>283</v>
      </c>
      <c r="E20671" t="s">
        <v>119</v>
      </c>
      <c r="F20671" s="2" t="str">
        <f>HYPERLINK("http://www.otzar.org/book.asp?106561","לקורות עיר ראסיין ורבניה")</f>
        <v>לקורות עיר ראסיין ורבניה</v>
      </c>
    </row>
    <row r="20672" spans="1:6" x14ac:dyDescent="0.2">
      <c r="A20672" t="s">
        <v>33585</v>
      </c>
      <c r="B20672" t="s">
        <v>33586</v>
      </c>
      <c r="C20672" t="s">
        <v>1609</v>
      </c>
      <c r="D20672" t="s">
        <v>27</v>
      </c>
      <c r="E20672" t="s">
        <v>119</v>
      </c>
      <c r="F20672" s="2" t="str">
        <f>HYPERLINK("http://www.otzar.org/book.asp?143205","לקורות קהלת גניזן")</f>
        <v>לקורות קהלת גניזן</v>
      </c>
    </row>
    <row r="20673" spans="1:6" x14ac:dyDescent="0.2">
      <c r="A20673" t="s">
        <v>33587</v>
      </c>
      <c r="B20673" t="s">
        <v>33588</v>
      </c>
      <c r="C20673" t="s">
        <v>146</v>
      </c>
      <c r="D20673" t="s">
        <v>14</v>
      </c>
      <c r="E20673" t="s">
        <v>158</v>
      </c>
      <c r="F20673" s="2" t="str">
        <f>HYPERLINK("http://www.otzar.org/book.asp?176708","לקח דעת")</f>
        <v>לקח דעת</v>
      </c>
    </row>
    <row r="20674" spans="1:6" x14ac:dyDescent="0.2">
      <c r="A20674" t="s">
        <v>33589</v>
      </c>
      <c r="B20674" t="s">
        <v>33590</v>
      </c>
      <c r="D20674" t="s">
        <v>14</v>
      </c>
      <c r="E20674" t="s">
        <v>104</v>
      </c>
      <c r="F20674" s="2" t="str">
        <f>HYPERLINK("http://www.otzar.org/book.asp?160767","לקח הישיבה")</f>
        <v>לקח הישיבה</v>
      </c>
    </row>
    <row r="20675" spans="1:6" x14ac:dyDescent="0.2">
      <c r="A20675" t="s">
        <v>33591</v>
      </c>
      <c r="B20675" t="s">
        <v>7272</v>
      </c>
      <c r="C20675" t="s">
        <v>1208</v>
      </c>
      <c r="D20675" t="s">
        <v>4646</v>
      </c>
      <c r="E20675" t="s">
        <v>384</v>
      </c>
      <c r="F20675" s="2" t="str">
        <f>HYPERLINK("http://www.otzar.org/book.asp?143442","לקח וליבוב")</f>
        <v>לקח וליבוב</v>
      </c>
    </row>
    <row r="20676" spans="1:6" x14ac:dyDescent="0.2">
      <c r="A20676" t="s">
        <v>33592</v>
      </c>
      <c r="B20676" t="s">
        <v>67</v>
      </c>
      <c r="C20676" t="s">
        <v>33593</v>
      </c>
      <c r="D20676" t="s">
        <v>8830</v>
      </c>
      <c r="E20676" t="s">
        <v>158</v>
      </c>
      <c r="F20676" s="2" t="str">
        <f>HYPERLINK("http://www.otzar.org/book.asp?17007","לקח טוב (מגילת אסתר)")</f>
        <v>לקח טוב (מגילת אסתר)</v>
      </c>
    </row>
    <row r="20677" spans="1:6" x14ac:dyDescent="0.2">
      <c r="A20677" t="s">
        <v>33594</v>
      </c>
      <c r="B20677" t="s">
        <v>33595</v>
      </c>
      <c r="C20677" t="s">
        <v>3635</v>
      </c>
      <c r="D20677" t="s">
        <v>212</v>
      </c>
      <c r="E20677" t="s">
        <v>154</v>
      </c>
      <c r="F20677" s="2" t="str">
        <f>HYPERLINK("http://www.otzar.org/book.asp?151656","לקח טוב")</f>
        <v>לקח טוב</v>
      </c>
    </row>
    <row r="20678" spans="1:6" x14ac:dyDescent="0.2">
      <c r="A20678" t="s">
        <v>33596</v>
      </c>
      <c r="B20678" t="s">
        <v>13413</v>
      </c>
      <c r="C20678" t="s">
        <v>635</v>
      </c>
      <c r="D20678" t="s">
        <v>56</v>
      </c>
      <c r="E20678" t="s">
        <v>8049</v>
      </c>
      <c r="F20678" s="2" t="str">
        <f>HYPERLINK("http://www.otzar.org/book.asp?15780","לקח טוב - 4 כר'")</f>
        <v>לקח טוב - 4 כר'</v>
      </c>
    </row>
    <row r="20679" spans="1:6" x14ac:dyDescent="0.2">
      <c r="A20679" t="s">
        <v>33594</v>
      </c>
      <c r="B20679" t="s">
        <v>33597</v>
      </c>
      <c r="C20679" t="s">
        <v>1022</v>
      </c>
      <c r="D20679" t="s">
        <v>2290</v>
      </c>
      <c r="E20679" t="s">
        <v>234</v>
      </c>
      <c r="F20679" s="2" t="str">
        <f>HYPERLINK("http://www.otzar.org/book.asp?102281","לקח טוב")</f>
        <v>לקח טוב</v>
      </c>
    </row>
    <row r="20680" spans="1:6" x14ac:dyDescent="0.2">
      <c r="A20680" t="s">
        <v>33598</v>
      </c>
      <c r="B20680" t="s">
        <v>33599</v>
      </c>
      <c r="C20680" t="s">
        <v>785</v>
      </c>
      <c r="D20680" t="s">
        <v>52</v>
      </c>
      <c r="E20680" t="s">
        <v>144</v>
      </c>
      <c r="F20680" s="2" t="str">
        <f>HYPERLINK("http://www.otzar.org/book.asp?160304","לקח טוב - 3 כר'")</f>
        <v>לקח טוב - 3 כר'</v>
      </c>
    </row>
    <row r="20681" spans="1:6" x14ac:dyDescent="0.2">
      <c r="A20681" t="s">
        <v>33594</v>
      </c>
      <c r="B20681" t="s">
        <v>686</v>
      </c>
      <c r="C20681" t="s">
        <v>422</v>
      </c>
      <c r="D20681" t="s">
        <v>52</v>
      </c>
      <c r="E20681" t="s">
        <v>234</v>
      </c>
      <c r="F20681" s="2" t="str">
        <f>HYPERLINK("http://www.otzar.org/book.asp?172432","לקח טוב")</f>
        <v>לקח טוב</v>
      </c>
    </row>
    <row r="20682" spans="1:6" x14ac:dyDescent="0.2">
      <c r="A20682" t="s">
        <v>33596</v>
      </c>
      <c r="B20682" t="s">
        <v>33600</v>
      </c>
      <c r="C20682" t="s">
        <v>156</v>
      </c>
      <c r="D20682" t="s">
        <v>56</v>
      </c>
      <c r="E20682" t="s">
        <v>4940</v>
      </c>
      <c r="F20682" s="2" t="str">
        <f>HYPERLINK("http://www.otzar.org/book.asp?14727","לקח טוב - 4 כר'")</f>
        <v>לקח טוב - 4 כר'</v>
      </c>
    </row>
    <row r="20683" spans="1:6" x14ac:dyDescent="0.2">
      <c r="A20683" t="s">
        <v>33594</v>
      </c>
      <c r="B20683" t="s">
        <v>13683</v>
      </c>
      <c r="C20683" t="s">
        <v>99</v>
      </c>
      <c r="D20683" t="s">
        <v>27</v>
      </c>
      <c r="E20683" t="s">
        <v>158</v>
      </c>
      <c r="F20683" s="2" t="str">
        <f>HYPERLINK("http://www.otzar.org/book.asp?149204","לקח טוב")</f>
        <v>לקח טוב</v>
      </c>
    </row>
    <row r="20684" spans="1:6" x14ac:dyDescent="0.2">
      <c r="A20684" t="s">
        <v>33601</v>
      </c>
      <c r="B20684" t="s">
        <v>33602</v>
      </c>
      <c r="C20684" t="s">
        <v>13</v>
      </c>
      <c r="D20684" t="s">
        <v>14</v>
      </c>
      <c r="E20684" t="s">
        <v>119</v>
      </c>
      <c r="F20684" s="2" t="str">
        <f>HYPERLINK("http://www.otzar.org/book.asp?143664","לקח טוב - תולדות משפחת לשצינסקי")</f>
        <v>לקח טוב - תולדות משפחת לשצינסקי</v>
      </c>
    </row>
    <row r="20685" spans="1:6" x14ac:dyDescent="0.2">
      <c r="A20685" t="s">
        <v>33594</v>
      </c>
      <c r="B20685" t="s">
        <v>33603</v>
      </c>
      <c r="C20685" t="s">
        <v>33604</v>
      </c>
      <c r="D20685" t="s">
        <v>1490</v>
      </c>
      <c r="E20685" t="s">
        <v>5166</v>
      </c>
      <c r="F20685" s="2" t="str">
        <f>HYPERLINK("http://www.otzar.org/book.asp?450","לקח טוב")</f>
        <v>לקח טוב</v>
      </c>
    </row>
    <row r="20686" spans="1:6" x14ac:dyDescent="0.2">
      <c r="A20686" t="s">
        <v>33594</v>
      </c>
      <c r="B20686" t="s">
        <v>33605</v>
      </c>
      <c r="C20686" t="s">
        <v>558</v>
      </c>
      <c r="D20686" t="s">
        <v>1801</v>
      </c>
      <c r="E20686" t="s">
        <v>714</v>
      </c>
      <c r="F20686" s="2" t="str">
        <f>HYPERLINK("http://www.otzar.org/book.asp?145382","לקח טוב")</f>
        <v>לקח טוב</v>
      </c>
    </row>
    <row r="20687" spans="1:6" x14ac:dyDescent="0.2">
      <c r="A20687" t="s">
        <v>33594</v>
      </c>
      <c r="B20687" t="s">
        <v>3493</v>
      </c>
      <c r="C20687" t="s">
        <v>617</v>
      </c>
      <c r="D20687" t="s">
        <v>283</v>
      </c>
      <c r="E20687" t="s">
        <v>1211</v>
      </c>
      <c r="F20687" s="2" t="str">
        <f>HYPERLINK("http://www.otzar.org/book.asp?13774","לקח טוב")</f>
        <v>לקח טוב</v>
      </c>
    </row>
    <row r="20688" spans="1:6" x14ac:dyDescent="0.2">
      <c r="A20688" t="s">
        <v>33598</v>
      </c>
      <c r="B20688" t="s">
        <v>33606</v>
      </c>
      <c r="C20688" t="s">
        <v>422</v>
      </c>
      <c r="D20688" t="s">
        <v>14</v>
      </c>
      <c r="E20688" t="s">
        <v>158</v>
      </c>
      <c r="F20688" s="2" t="str">
        <f>HYPERLINK("http://www.otzar.org/book.asp?85604","לקח טוב - 3 כר'")</f>
        <v>לקח טוב - 3 כר'</v>
      </c>
    </row>
    <row r="20689" spans="1:6" x14ac:dyDescent="0.2">
      <c r="A20689" t="s">
        <v>33598</v>
      </c>
      <c r="B20689" t="s">
        <v>33607</v>
      </c>
      <c r="C20689" t="s">
        <v>20</v>
      </c>
      <c r="D20689" t="s">
        <v>90</v>
      </c>
      <c r="E20689" t="s">
        <v>202</v>
      </c>
      <c r="F20689" s="2" t="str">
        <f>HYPERLINK("http://www.otzar.org/book.asp?601297","לקח טוב - 3 כר'")</f>
        <v>לקח טוב - 3 כר'</v>
      </c>
    </row>
    <row r="20690" spans="1:6" x14ac:dyDescent="0.2">
      <c r="A20690" t="s">
        <v>33608</v>
      </c>
      <c r="B20690" t="s">
        <v>33609</v>
      </c>
      <c r="C20690" t="s">
        <v>68</v>
      </c>
      <c r="D20690" t="s">
        <v>14</v>
      </c>
      <c r="E20690" t="s">
        <v>144</v>
      </c>
      <c r="F20690" s="2" t="str">
        <f>HYPERLINK("http://www.otzar.org/book.asp?157437","לקח יעקב - ברכות")</f>
        <v>לקח יעקב - ברכות</v>
      </c>
    </row>
    <row r="20691" spans="1:6" x14ac:dyDescent="0.2">
      <c r="A20691" t="s">
        <v>33610</v>
      </c>
      <c r="B20691" t="s">
        <v>33611</v>
      </c>
      <c r="C20691" t="s">
        <v>13</v>
      </c>
      <c r="D20691" t="s">
        <v>52</v>
      </c>
      <c r="E20691" t="s">
        <v>7486</v>
      </c>
      <c r="F20691" s="2" t="str">
        <f>HYPERLINK("http://www.otzar.org/book.asp?157924","לקח יצחק")</f>
        <v>לקח יצחק</v>
      </c>
    </row>
    <row r="20692" spans="1:6" x14ac:dyDescent="0.2">
      <c r="A20692" t="s">
        <v>33612</v>
      </c>
      <c r="B20692" t="s">
        <v>21126</v>
      </c>
      <c r="C20692" t="s">
        <v>20</v>
      </c>
      <c r="D20692" t="s">
        <v>14</v>
      </c>
      <c r="E20692" t="s">
        <v>241</v>
      </c>
      <c r="F20692" s="2" t="str">
        <f>HYPERLINK("http://www.otzar.org/book.asp?165217","לקחי המוסר")</f>
        <v>לקחי המוסר</v>
      </c>
    </row>
    <row r="20693" spans="1:6" x14ac:dyDescent="0.2">
      <c r="A20693" t="s">
        <v>33613</v>
      </c>
      <c r="B20693" t="s">
        <v>107</v>
      </c>
      <c r="C20693" t="s">
        <v>624</v>
      </c>
      <c r="D20693" t="s">
        <v>14</v>
      </c>
      <c r="E20693" t="s">
        <v>119</v>
      </c>
      <c r="F20693" s="2" t="str">
        <f>HYPERLINK("http://www.otzar.org/book.asp?84034","לקחי חיים")</f>
        <v>לקחי חיים</v>
      </c>
    </row>
    <row r="20694" spans="1:6" x14ac:dyDescent="0.2">
      <c r="A20694" t="s">
        <v>33614</v>
      </c>
      <c r="B20694" t="s">
        <v>3367</v>
      </c>
      <c r="C20694" t="s">
        <v>114</v>
      </c>
      <c r="D20694" t="s">
        <v>52</v>
      </c>
      <c r="E20694" t="s">
        <v>241</v>
      </c>
      <c r="F20694" s="2" t="str">
        <f>HYPERLINK("http://www.otzar.org/book.asp?162846","לקט אהבת תורה")</f>
        <v>לקט אהבת תורה</v>
      </c>
    </row>
    <row r="20695" spans="1:6" x14ac:dyDescent="0.2">
      <c r="A20695" t="s">
        <v>33615</v>
      </c>
      <c r="B20695" t="s">
        <v>33616</v>
      </c>
      <c r="C20695" t="s">
        <v>454</v>
      </c>
      <c r="D20695" t="s">
        <v>14</v>
      </c>
      <c r="E20695" t="s">
        <v>399</v>
      </c>
      <c r="F20695" s="2" t="str">
        <f>HYPERLINK("http://www.otzar.org/book.asp?627288","לקט אליהו")</f>
        <v>לקט אליהו</v>
      </c>
    </row>
    <row r="20696" spans="1:6" x14ac:dyDescent="0.2">
      <c r="A20696" t="s">
        <v>33615</v>
      </c>
      <c r="B20696" t="s">
        <v>33617</v>
      </c>
      <c r="C20696" t="s">
        <v>33618</v>
      </c>
      <c r="D20696" t="s">
        <v>1008</v>
      </c>
      <c r="E20696" t="s">
        <v>104</v>
      </c>
      <c r="F20696" s="2" t="str">
        <f>HYPERLINK("http://www.otzar.org/book.asp?18989","לקט אליהו")</f>
        <v>לקט אליהו</v>
      </c>
    </row>
    <row r="20697" spans="1:6" x14ac:dyDescent="0.2">
      <c r="A20697" t="s">
        <v>33619</v>
      </c>
      <c r="B20697" t="s">
        <v>33620</v>
      </c>
      <c r="C20697" t="s">
        <v>20</v>
      </c>
      <c r="D20697" t="s">
        <v>14</v>
      </c>
      <c r="E20697" t="s">
        <v>158</v>
      </c>
      <c r="F20697" s="2" t="str">
        <f>HYPERLINK("http://www.otzar.org/book.asp?144275","לקט אמרי קודש - 8 כר'")</f>
        <v>לקט אמרי קודש - 8 כר'</v>
      </c>
    </row>
    <row r="20698" spans="1:6" x14ac:dyDescent="0.2">
      <c r="A20698" t="s">
        <v>33621</v>
      </c>
      <c r="B20698" t="s">
        <v>2722</v>
      </c>
      <c r="C20698" t="s">
        <v>17</v>
      </c>
      <c r="D20698" t="s">
        <v>14</v>
      </c>
      <c r="E20698" t="s">
        <v>241</v>
      </c>
      <c r="F20698" s="2" t="str">
        <f>HYPERLINK("http://www.otzar.org/book.asp?108171","לקט אמרים - 2 כר'")</f>
        <v>לקט אמרים - 2 כר'</v>
      </c>
    </row>
    <row r="20699" spans="1:6" x14ac:dyDescent="0.2">
      <c r="A20699" t="s">
        <v>33622</v>
      </c>
      <c r="B20699" t="s">
        <v>33623</v>
      </c>
      <c r="C20699" t="s">
        <v>68</v>
      </c>
      <c r="D20699" t="s">
        <v>90</v>
      </c>
      <c r="E20699" t="s">
        <v>246</v>
      </c>
      <c r="F20699" s="2" t="str">
        <f>HYPERLINK("http://www.otzar.org/book.asp?603193","לקט ביאורים בעניני חנוכה")</f>
        <v>לקט ביאורים בעניני חנוכה</v>
      </c>
    </row>
    <row r="20700" spans="1:6" x14ac:dyDescent="0.2">
      <c r="A20700" t="s">
        <v>33624</v>
      </c>
      <c r="B20700" t="s">
        <v>33625</v>
      </c>
      <c r="C20700" t="s">
        <v>411</v>
      </c>
      <c r="D20700" t="s">
        <v>245</v>
      </c>
      <c r="E20700" t="s">
        <v>5186</v>
      </c>
      <c r="F20700" s="2" t="str">
        <f>HYPERLINK("http://www.otzar.org/book.asp?169207","לקט ביאורים מרבי בצלאל הכהן מווילנא")</f>
        <v>לקט ביאורים מרבי בצלאל הכהן מווילנא</v>
      </c>
    </row>
    <row r="20701" spans="1:6" x14ac:dyDescent="0.2">
      <c r="A20701" t="s">
        <v>33626</v>
      </c>
      <c r="B20701" t="s">
        <v>12568</v>
      </c>
      <c r="C20701" t="s">
        <v>133</v>
      </c>
      <c r="D20701" t="s">
        <v>21</v>
      </c>
      <c r="E20701" t="s">
        <v>3798</v>
      </c>
      <c r="F20701" s="2" t="str">
        <f>HYPERLINK("http://www.otzar.org/book.asp?199353","לקט ביאורים - אוהב את הבריות, אוהב את המקום")</f>
        <v>לקט ביאורים - אוהב את הבריות, אוהב את המקום</v>
      </c>
    </row>
    <row r="20702" spans="1:6" x14ac:dyDescent="0.2">
      <c r="A20702" t="s">
        <v>33627</v>
      </c>
      <c r="B20702" t="s">
        <v>33628</v>
      </c>
      <c r="C20702" t="s">
        <v>20</v>
      </c>
      <c r="D20702" t="s">
        <v>139</v>
      </c>
      <c r="E20702" t="s">
        <v>246</v>
      </c>
      <c r="F20702" s="2" t="str">
        <f>HYPERLINK("http://www.otzar.org/book.asp?629981","לקט בעניני חג הפורים")</f>
        <v>לקט בעניני חג הפורים</v>
      </c>
    </row>
    <row r="20703" spans="1:6" x14ac:dyDescent="0.2">
      <c r="A20703" t="s">
        <v>33629</v>
      </c>
      <c r="B20703" t="s">
        <v>33628</v>
      </c>
      <c r="C20703" t="s">
        <v>20</v>
      </c>
      <c r="D20703" t="s">
        <v>139</v>
      </c>
      <c r="E20703" t="s">
        <v>246</v>
      </c>
      <c r="F20703" s="2" t="str">
        <f>HYPERLINK("http://www.otzar.org/book.asp?629984","לקט בעניני חג הפסח - 2 כר'")</f>
        <v>לקט בעניני חג הפסח - 2 כר'</v>
      </c>
    </row>
    <row r="20704" spans="1:6" x14ac:dyDescent="0.2">
      <c r="A20704" t="s">
        <v>33630</v>
      </c>
      <c r="B20704" t="s">
        <v>33628</v>
      </c>
      <c r="C20704" t="s">
        <v>20</v>
      </c>
      <c r="D20704" t="s">
        <v>139</v>
      </c>
      <c r="E20704" t="s">
        <v>246</v>
      </c>
      <c r="F20704" s="2" t="str">
        <f>HYPERLINK("http://www.otzar.org/book.asp?629982","לקט בעניני ראש השנה")</f>
        <v>לקט בעניני ראש השנה</v>
      </c>
    </row>
    <row r="20705" spans="1:6" x14ac:dyDescent="0.2">
      <c r="A20705" t="s">
        <v>33631</v>
      </c>
      <c r="B20705" t="s">
        <v>33628</v>
      </c>
      <c r="C20705" t="s">
        <v>111</v>
      </c>
      <c r="D20705" t="s">
        <v>139</v>
      </c>
      <c r="E20705" t="s">
        <v>246</v>
      </c>
      <c r="F20705" s="2" t="str">
        <f>HYPERLINK("http://www.otzar.org/book.asp?629983","לקט בעניני שבועות")</f>
        <v>לקט בעניני שבועות</v>
      </c>
    </row>
    <row r="20706" spans="1:6" x14ac:dyDescent="0.2">
      <c r="A20706" t="s">
        <v>33632</v>
      </c>
      <c r="B20706" t="s">
        <v>33633</v>
      </c>
      <c r="C20706" t="s">
        <v>63</v>
      </c>
      <c r="D20706" t="s">
        <v>52</v>
      </c>
      <c r="E20706" t="s">
        <v>104</v>
      </c>
      <c r="F20706" s="2" t="str">
        <f>HYPERLINK("http://www.otzar.org/book.asp?180419","לקט דברי גדולים בסדר הלימוד")</f>
        <v>לקט דברי גדולים בסדר הלימוד</v>
      </c>
    </row>
    <row r="20707" spans="1:6" x14ac:dyDescent="0.2">
      <c r="A20707" t="s">
        <v>33634</v>
      </c>
      <c r="F20707" s="2" t="str">
        <f>HYPERLINK("http://www.otzar.org/book.asp?619293","לקט דברי התעוררות לימים נוראים")</f>
        <v>לקט דברי התעוררות לימים נוראים</v>
      </c>
    </row>
    <row r="20708" spans="1:6" x14ac:dyDescent="0.2">
      <c r="A20708" t="s">
        <v>33635</v>
      </c>
      <c r="B20708" t="s">
        <v>1353</v>
      </c>
      <c r="C20708" t="s">
        <v>17</v>
      </c>
      <c r="D20708" t="s">
        <v>90</v>
      </c>
      <c r="E20708" t="s">
        <v>241</v>
      </c>
      <c r="F20708" s="2" t="str">
        <f>HYPERLINK("http://www.otzar.org/book.asp?603241","לקט דברי חיזוק - 2 כר'")</f>
        <v>לקט דברי חיזוק - 2 כר'</v>
      </c>
    </row>
    <row r="20709" spans="1:6" x14ac:dyDescent="0.2">
      <c r="A20709" t="s">
        <v>33636</v>
      </c>
      <c r="B20709" t="s">
        <v>33637</v>
      </c>
      <c r="C20709" t="s">
        <v>37</v>
      </c>
      <c r="D20709" t="s">
        <v>14</v>
      </c>
      <c r="E20709" t="s">
        <v>241</v>
      </c>
      <c r="F20709" s="2" t="str">
        <f>HYPERLINK("http://www.otzar.org/book.asp?180804","לקט דברי חכמים")</f>
        <v>לקט דברי חכמים</v>
      </c>
    </row>
    <row r="20710" spans="1:6" x14ac:dyDescent="0.2">
      <c r="A20710" t="s">
        <v>33638</v>
      </c>
      <c r="B20710" t="s">
        <v>21380</v>
      </c>
      <c r="C20710" t="s">
        <v>189</v>
      </c>
      <c r="D20710" t="s">
        <v>52</v>
      </c>
      <c r="E20710" t="s">
        <v>15</v>
      </c>
      <c r="F20710" s="2" t="str">
        <f>HYPERLINK("http://www.otzar.org/book.asp?144797","לקט ההלכה - נדרים, שבועות")</f>
        <v>לקט ההלכה - נדרים, שבועות</v>
      </c>
    </row>
    <row r="20711" spans="1:6" x14ac:dyDescent="0.2">
      <c r="A20711" t="s">
        <v>33639</v>
      </c>
      <c r="B20711" t="s">
        <v>2476</v>
      </c>
      <c r="C20711" t="s">
        <v>244</v>
      </c>
      <c r="D20711" t="s">
        <v>14</v>
      </c>
      <c r="F20711" s="2" t="str">
        <f>HYPERLINK("http://www.otzar.org/book.asp?198762","לקט החנוכה זכרון דוד")</f>
        <v>לקט החנוכה זכרון דוד</v>
      </c>
    </row>
    <row r="20712" spans="1:6" x14ac:dyDescent="0.2">
      <c r="A20712" t="s">
        <v>33640</v>
      </c>
      <c r="B20712" t="s">
        <v>2476</v>
      </c>
      <c r="C20712" t="s">
        <v>454</v>
      </c>
      <c r="D20712" t="s">
        <v>14</v>
      </c>
      <c r="E20712" t="s">
        <v>6532</v>
      </c>
      <c r="F20712" s="2" t="str">
        <f>HYPERLINK("http://www.otzar.org/book.asp?22562","לקט החנוכה")</f>
        <v>לקט החנוכה</v>
      </c>
    </row>
    <row r="20713" spans="1:6" x14ac:dyDescent="0.2">
      <c r="A20713" t="s">
        <v>33641</v>
      </c>
      <c r="B20713" t="s">
        <v>33642</v>
      </c>
      <c r="C20713" t="s">
        <v>17</v>
      </c>
      <c r="D20713" t="s">
        <v>52</v>
      </c>
      <c r="E20713" t="s">
        <v>15</v>
      </c>
      <c r="F20713" s="2" t="str">
        <f>HYPERLINK("http://www.otzar.org/book.asp?623853","לקט הלכות ביעור מעשרות")</f>
        <v>לקט הלכות ביעור מעשרות</v>
      </c>
    </row>
    <row r="20714" spans="1:6" x14ac:dyDescent="0.2">
      <c r="A20714" t="s">
        <v>33643</v>
      </c>
      <c r="B20714" t="s">
        <v>33644</v>
      </c>
      <c r="C20714" t="s">
        <v>20</v>
      </c>
      <c r="D20714" t="s">
        <v>52</v>
      </c>
      <c r="E20714" t="s">
        <v>15</v>
      </c>
      <c r="F20714" s="2" t="str">
        <f>HYPERLINK("http://www.otzar.org/book.asp?615970","לקט הלכות ברכת המזון וברכות לתלמידים")</f>
        <v>לקט הלכות ברכת המזון וברכות לתלמידים</v>
      </c>
    </row>
    <row r="20715" spans="1:6" x14ac:dyDescent="0.2">
      <c r="A20715" t="s">
        <v>33645</v>
      </c>
      <c r="B20715" t="s">
        <v>7352</v>
      </c>
      <c r="C20715" t="s">
        <v>133</v>
      </c>
      <c r="D20715" t="s">
        <v>52</v>
      </c>
      <c r="E20715" t="s">
        <v>15</v>
      </c>
      <c r="F20715" s="2" t="str">
        <f>HYPERLINK("http://www.otzar.org/book.asp?197242","לקט הלכות המצויות בברכות")</f>
        <v>לקט הלכות המצויות בברכות</v>
      </c>
    </row>
    <row r="20716" spans="1:6" x14ac:dyDescent="0.2">
      <c r="A20716" t="s">
        <v>33646</v>
      </c>
      <c r="B20716" t="s">
        <v>7352</v>
      </c>
      <c r="C20716" t="s">
        <v>37</v>
      </c>
      <c r="D20716" t="s">
        <v>52</v>
      </c>
      <c r="E20716" t="s">
        <v>15</v>
      </c>
      <c r="F20716" s="2" t="str">
        <f>HYPERLINK("http://www.otzar.org/book.asp?197240","לקט הלכות המצויות במזוזה")</f>
        <v>לקט הלכות המצויות במזוזה</v>
      </c>
    </row>
    <row r="20717" spans="1:6" x14ac:dyDescent="0.2">
      <c r="A20717" t="s">
        <v>33647</v>
      </c>
      <c r="B20717" t="s">
        <v>33648</v>
      </c>
      <c r="C20717" t="s">
        <v>68</v>
      </c>
      <c r="D20717" t="s">
        <v>14</v>
      </c>
      <c r="E20717" t="s">
        <v>15</v>
      </c>
      <c r="F20717" s="2" t="str">
        <f>HYPERLINK("http://www.otzar.org/book.asp?150848","לקט הלכות ודינים הנוהגים בראש השנה שחל בשבת")</f>
        <v>לקט הלכות ודינים הנוהגים בראש השנה שחל בשבת</v>
      </c>
    </row>
    <row r="20718" spans="1:6" x14ac:dyDescent="0.2">
      <c r="A20718" t="s">
        <v>33649</v>
      </c>
      <c r="B20718" t="s">
        <v>33011</v>
      </c>
      <c r="D20718" t="s">
        <v>52</v>
      </c>
      <c r="E20718" t="s">
        <v>246</v>
      </c>
      <c r="F20718" s="2" t="str">
        <f>HYPERLINK("http://www.otzar.org/book.asp?623770","לקט הלכות ומנהגים - 7 כר'")</f>
        <v>לקט הלכות ומנהגים - 7 כר'</v>
      </c>
    </row>
    <row r="20719" spans="1:6" x14ac:dyDescent="0.2">
      <c r="A20719" t="s">
        <v>33650</v>
      </c>
      <c r="B20719" t="s">
        <v>33651</v>
      </c>
      <c r="C20719" t="s">
        <v>87</v>
      </c>
      <c r="D20719" t="s">
        <v>52</v>
      </c>
      <c r="F20719" s="2" t="str">
        <f>HYPERLINK("http://www.otzar.org/book.asp?617635","לקט הלכות ופסקי דין - 2 כר'")</f>
        <v>לקט הלכות ופסקי דין - 2 כר'</v>
      </c>
    </row>
    <row r="20720" spans="1:6" x14ac:dyDescent="0.2">
      <c r="A20720" t="s">
        <v>33652</v>
      </c>
      <c r="B20720" t="s">
        <v>7352</v>
      </c>
      <c r="C20720" t="s">
        <v>20</v>
      </c>
      <c r="D20720" t="s">
        <v>52</v>
      </c>
      <c r="F20720" s="2" t="str">
        <f>HYPERLINK("http://www.otzar.org/book.asp?197123","לקט הלכות חנוכה  - פורים")</f>
        <v>לקט הלכות חנוכה  - פורים</v>
      </c>
    </row>
    <row r="20721" spans="1:6" x14ac:dyDescent="0.2">
      <c r="A20721" t="s">
        <v>33653</v>
      </c>
      <c r="B20721" t="s">
        <v>7352</v>
      </c>
      <c r="C20721" t="s">
        <v>37</v>
      </c>
      <c r="D20721" t="s">
        <v>52</v>
      </c>
      <c r="E20721" t="s">
        <v>15</v>
      </c>
      <c r="F20721" s="2" t="str">
        <f>HYPERLINK("http://www.otzar.org/book.asp?605957","לקט הלכות יום טוב וחול המועד")</f>
        <v>לקט הלכות יום טוב וחול המועד</v>
      </c>
    </row>
    <row r="20722" spans="1:6" x14ac:dyDescent="0.2">
      <c r="A20722" t="s">
        <v>33654</v>
      </c>
      <c r="B20722" t="s">
        <v>7352</v>
      </c>
      <c r="C20722" t="s">
        <v>454</v>
      </c>
      <c r="D20722" t="s">
        <v>52</v>
      </c>
      <c r="E20722" t="s">
        <v>15</v>
      </c>
      <c r="F20722" s="2" t="str">
        <f>HYPERLINK("http://www.otzar.org/book.asp?625539","לקט הלכות יום טוב")</f>
        <v>לקט הלכות יום טוב</v>
      </c>
    </row>
    <row r="20723" spans="1:6" x14ac:dyDescent="0.2">
      <c r="A20723" t="s">
        <v>33655</v>
      </c>
      <c r="B20723" t="s">
        <v>7352</v>
      </c>
      <c r="C20723" t="s">
        <v>411</v>
      </c>
      <c r="F20723" s="2" t="str">
        <f>HYPERLINK("http://www.otzar.org/book.asp?197175","לקט הלכות לימים נוראים - 2 כר'")</f>
        <v>לקט הלכות לימים נוראים - 2 כר'</v>
      </c>
    </row>
    <row r="20724" spans="1:6" x14ac:dyDescent="0.2">
      <c r="A20724" t="s">
        <v>33656</v>
      </c>
      <c r="B20724" t="s">
        <v>3286</v>
      </c>
      <c r="C20724" t="s">
        <v>1160</v>
      </c>
      <c r="D20724" t="s">
        <v>118</v>
      </c>
      <c r="E20724" t="s">
        <v>15</v>
      </c>
      <c r="F20724" s="2" t="str">
        <f>HYPERLINK("http://www.otzar.org/book.asp?608566","לקט הלכות לישובי העולים")</f>
        <v>לקט הלכות לישובי העולים</v>
      </c>
    </row>
    <row r="20725" spans="1:6" x14ac:dyDescent="0.2">
      <c r="A20725" t="s">
        <v>33657</v>
      </c>
      <c r="B20725" t="s">
        <v>7352</v>
      </c>
      <c r="C20725" t="s">
        <v>114</v>
      </c>
      <c r="D20725" t="s">
        <v>52</v>
      </c>
      <c r="E20725" t="s">
        <v>130</v>
      </c>
      <c r="F20725" s="2" t="str">
        <f>HYPERLINK("http://www.otzar.org/book.asp?197241","לקט הלכות פסח")</f>
        <v>לקט הלכות פסח</v>
      </c>
    </row>
    <row r="20726" spans="1:6" x14ac:dyDescent="0.2">
      <c r="A20726" t="s">
        <v>33658</v>
      </c>
      <c r="B20726" t="s">
        <v>7352</v>
      </c>
      <c r="C20726" t="s">
        <v>20</v>
      </c>
      <c r="E20726" t="s">
        <v>15</v>
      </c>
      <c r="F20726" s="2" t="str">
        <f>HYPERLINK("http://www.otzar.org/book.asp?197122","לקט הלכות שביעית")</f>
        <v>לקט הלכות שביעית</v>
      </c>
    </row>
    <row r="20727" spans="1:6" x14ac:dyDescent="0.2">
      <c r="A20727" t="s">
        <v>33659</v>
      </c>
      <c r="B20727" t="s">
        <v>33660</v>
      </c>
      <c r="C20727" t="s">
        <v>20</v>
      </c>
      <c r="D20727" t="s">
        <v>14</v>
      </c>
      <c r="E20727" t="s">
        <v>15</v>
      </c>
      <c r="F20727" s="2" t="str">
        <f>HYPERLINK("http://www.otzar.org/book.asp?142927","לקט הלכות שבת בענינים המצויים בישיבה")</f>
        <v>לקט הלכות שבת בענינים המצויים בישיבה</v>
      </c>
    </row>
    <row r="20728" spans="1:6" x14ac:dyDescent="0.2">
      <c r="A20728" t="s">
        <v>33661</v>
      </c>
      <c r="B20728" t="s">
        <v>9675</v>
      </c>
      <c r="C20728" t="s">
        <v>111</v>
      </c>
      <c r="D20728" t="s">
        <v>52</v>
      </c>
      <c r="E20728" t="s">
        <v>130</v>
      </c>
      <c r="F20728" s="2" t="str">
        <f>HYPERLINK("http://www.otzar.org/book.asp?629436","לקט הלכות - 3 כר'")</f>
        <v>לקט הלכות - 3 כר'</v>
      </c>
    </row>
    <row r="20729" spans="1:6" x14ac:dyDescent="0.2">
      <c r="A20729" t="s">
        <v>33662</v>
      </c>
      <c r="B20729" t="s">
        <v>5355</v>
      </c>
      <c r="C20729" t="s">
        <v>23</v>
      </c>
      <c r="D20729" t="s">
        <v>52</v>
      </c>
      <c r="F20729" s="2" t="str">
        <f>HYPERLINK("http://www.otzar.org/book.asp?609853","לקט הנהגות לבן תורה")</f>
        <v>לקט הנהגות לבן תורה</v>
      </c>
    </row>
    <row r="20730" spans="1:6" x14ac:dyDescent="0.2">
      <c r="A20730" t="s">
        <v>33663</v>
      </c>
      <c r="B20730" t="s">
        <v>33664</v>
      </c>
      <c r="C20730" t="s">
        <v>940</v>
      </c>
      <c r="D20730" t="s">
        <v>52</v>
      </c>
      <c r="E20730" t="s">
        <v>33665</v>
      </c>
      <c r="F20730" s="2" t="str">
        <f>HYPERLINK("http://www.otzar.org/book.asp?19267","לקט הנהגות ממרן בעל החזון איש")</f>
        <v>לקט הנהגות ממרן בעל החזון איש</v>
      </c>
    </row>
    <row r="20731" spans="1:6" x14ac:dyDescent="0.2">
      <c r="A20731" t="s">
        <v>33666</v>
      </c>
      <c r="B20731" t="s">
        <v>33667</v>
      </c>
      <c r="C20731" t="s">
        <v>33668</v>
      </c>
      <c r="D20731" t="s">
        <v>14</v>
      </c>
      <c r="E20731" t="s">
        <v>4683</v>
      </c>
      <c r="F20731" s="2" t="str">
        <f>HYPERLINK("http://www.otzar.org/book.asp?60667","לקט הנמושות")</f>
        <v>לקט הנמושות</v>
      </c>
    </row>
    <row r="20732" spans="1:6" x14ac:dyDescent="0.2">
      <c r="A20732" t="s">
        <v>33669</v>
      </c>
      <c r="B20732" t="s">
        <v>33670</v>
      </c>
      <c r="C20732" t="s">
        <v>454</v>
      </c>
      <c r="D20732" t="s">
        <v>52</v>
      </c>
      <c r="E20732" t="s">
        <v>1262</v>
      </c>
      <c r="F20732" s="2" t="str">
        <f>HYPERLINK("http://www.otzar.org/book.asp?190863","לקט הספדים על הרבנית אדלשטיין")</f>
        <v>לקט הספדים על הרבנית אדלשטיין</v>
      </c>
    </row>
    <row r="20733" spans="1:6" x14ac:dyDescent="0.2">
      <c r="A20733" t="s">
        <v>33671</v>
      </c>
      <c r="B20733" t="s">
        <v>33672</v>
      </c>
      <c r="C20733" t="s">
        <v>71</v>
      </c>
      <c r="D20733" t="s">
        <v>14</v>
      </c>
      <c r="E20733" t="s">
        <v>144</v>
      </c>
      <c r="F20733" s="2" t="str">
        <f>HYPERLINK("http://www.otzar.org/book.asp?161605","לקט הערות והארות על פרק יום הכיפורים")</f>
        <v>לקט הערות והארות על פרק יום הכיפורים</v>
      </c>
    </row>
    <row r="20734" spans="1:6" x14ac:dyDescent="0.2">
      <c r="A20734" t="s">
        <v>33673</v>
      </c>
      <c r="B20734" t="s">
        <v>33674</v>
      </c>
      <c r="C20734" t="s">
        <v>454</v>
      </c>
      <c r="D20734" t="s">
        <v>14</v>
      </c>
      <c r="F20734" s="2" t="str">
        <f>HYPERLINK("http://www.otzar.org/book.asp?169373","לקט הערות והארות")</f>
        <v>לקט הערות והארות</v>
      </c>
    </row>
    <row r="20735" spans="1:6" x14ac:dyDescent="0.2">
      <c r="A20735" t="s">
        <v>33675</v>
      </c>
      <c r="B20735" t="s">
        <v>2476</v>
      </c>
      <c r="C20735" t="s">
        <v>244</v>
      </c>
      <c r="D20735" t="s">
        <v>14</v>
      </c>
      <c r="F20735" s="2" t="str">
        <f>HYPERLINK("http://www.otzar.org/book.asp?198761","לקט הפורים תהילה לדוד")</f>
        <v>לקט הפורים תהילה לדוד</v>
      </c>
    </row>
    <row r="20736" spans="1:6" x14ac:dyDescent="0.2">
      <c r="A20736" t="s">
        <v>33676</v>
      </c>
      <c r="B20736" t="s">
        <v>2476</v>
      </c>
      <c r="C20736" t="s">
        <v>23</v>
      </c>
      <c r="D20736" t="s">
        <v>14</v>
      </c>
      <c r="F20736" s="2" t="str">
        <f>HYPERLINK("http://www.otzar.org/book.asp?198758","לקט הפסח שואלין ודורשין")</f>
        <v>לקט הפסח שואלין ודורשין</v>
      </c>
    </row>
    <row r="20737" spans="1:6" x14ac:dyDescent="0.2">
      <c r="A20737" t="s">
        <v>33677</v>
      </c>
      <c r="B20737" t="s">
        <v>14942</v>
      </c>
      <c r="C20737" t="s">
        <v>1310</v>
      </c>
      <c r="D20737" t="s">
        <v>1862</v>
      </c>
      <c r="E20737" t="s">
        <v>33678</v>
      </c>
      <c r="F20737" s="2" t="str">
        <f>HYPERLINK("http://www.otzar.org/book.asp?5052","לקט הקוצרים - 2 כר'")</f>
        <v>לקט הקוצרים - 2 כר'</v>
      </c>
    </row>
    <row r="20738" spans="1:6" x14ac:dyDescent="0.2">
      <c r="A20738" t="s">
        <v>33679</v>
      </c>
      <c r="B20738" t="s">
        <v>33680</v>
      </c>
      <c r="C20738" t="s">
        <v>71</v>
      </c>
      <c r="D20738" t="s">
        <v>563</v>
      </c>
      <c r="E20738" t="s">
        <v>172</v>
      </c>
      <c r="F20738" s="2" t="str">
        <f>HYPERLINK("http://www.otzar.org/book.asp?84205","לקט הקמח החדש - 6 כר'")</f>
        <v>לקט הקמח החדש - 6 כר'</v>
      </c>
    </row>
    <row r="20739" spans="1:6" x14ac:dyDescent="0.2">
      <c r="A20739" t="s">
        <v>33681</v>
      </c>
      <c r="B20739" t="s">
        <v>1540</v>
      </c>
      <c r="C20739" t="s">
        <v>1679</v>
      </c>
      <c r="D20739" t="s">
        <v>12235</v>
      </c>
      <c r="E20739" t="s">
        <v>84</v>
      </c>
      <c r="F20739" s="2" t="str">
        <f>HYPERLINK("http://www.otzar.org/book.asp?101050","לקט הקמח - 5 כר'")</f>
        <v>לקט הקמח - 5 כר'</v>
      </c>
    </row>
    <row r="20740" spans="1:6" x14ac:dyDescent="0.2">
      <c r="A20740" t="s">
        <v>33682</v>
      </c>
      <c r="B20740" t="s">
        <v>25905</v>
      </c>
      <c r="C20740" t="s">
        <v>383</v>
      </c>
      <c r="D20740" t="s">
        <v>90</v>
      </c>
      <c r="E20740" t="s">
        <v>15</v>
      </c>
      <c r="F20740" s="2" t="str">
        <f>HYPERLINK("http://www.otzar.org/book.asp?51086","לקט הקציר")</f>
        <v>לקט הקציר</v>
      </c>
    </row>
    <row r="20741" spans="1:6" x14ac:dyDescent="0.2">
      <c r="A20741" t="s">
        <v>33683</v>
      </c>
      <c r="B20741" t="s">
        <v>2476</v>
      </c>
      <c r="C20741" t="s">
        <v>68</v>
      </c>
      <c r="D20741" t="s">
        <v>14</v>
      </c>
      <c r="E20741" t="s">
        <v>130</v>
      </c>
      <c r="F20741" s="2" t="str">
        <f>HYPERLINK("http://www.otzar.org/book.asp?157836","לקט השבת - 2 כר'")</f>
        <v>לקט השבת - 2 כר'</v>
      </c>
    </row>
    <row r="20742" spans="1:6" x14ac:dyDescent="0.2">
      <c r="A20742" t="s">
        <v>33684</v>
      </c>
      <c r="B20742" t="s">
        <v>33685</v>
      </c>
      <c r="C20742" t="s">
        <v>68</v>
      </c>
      <c r="D20742" t="s">
        <v>134</v>
      </c>
      <c r="E20742" t="s">
        <v>104</v>
      </c>
      <c r="F20742" s="2" t="str">
        <f>HYPERLINK("http://www.otzar.org/book.asp?158821","לקט חידו""ת ממרן הגר""ש ברנבוים זצוק""ל")</f>
        <v>לקט חידו"ת ממרן הגר"ש ברנבוים זצוק"ל</v>
      </c>
    </row>
    <row r="20743" spans="1:6" x14ac:dyDescent="0.2">
      <c r="A20743" t="s">
        <v>33686</v>
      </c>
      <c r="B20743" t="s">
        <v>33687</v>
      </c>
      <c r="C20743" t="s">
        <v>752</v>
      </c>
      <c r="D20743" t="s">
        <v>56</v>
      </c>
      <c r="F20743" s="2" t="str">
        <f>HYPERLINK("http://www.otzar.org/book.asp?149949","לקט יהודה")</f>
        <v>לקט יהודה</v>
      </c>
    </row>
    <row r="20744" spans="1:6" x14ac:dyDescent="0.2">
      <c r="A20744" t="s">
        <v>33688</v>
      </c>
      <c r="B20744" t="s">
        <v>22411</v>
      </c>
      <c r="C20744" t="s">
        <v>492</v>
      </c>
      <c r="D20744" t="s">
        <v>27</v>
      </c>
      <c r="E20744" t="s">
        <v>104</v>
      </c>
      <c r="F20744" s="2" t="str">
        <f>HYPERLINK("http://www.otzar.org/book.asp?19434","לקט יוסף")</f>
        <v>לקט יוסף</v>
      </c>
    </row>
    <row r="20745" spans="1:6" x14ac:dyDescent="0.2">
      <c r="A20745" t="s">
        <v>33689</v>
      </c>
      <c r="B20745" t="s">
        <v>25480</v>
      </c>
      <c r="C20745" t="s">
        <v>3739</v>
      </c>
      <c r="D20745" t="s">
        <v>76</v>
      </c>
      <c r="E20745" t="s">
        <v>579</v>
      </c>
      <c r="F20745" s="2" t="str">
        <f>HYPERLINK("http://www.otzar.org/book.asp?108498","לקט יוסף - 2 כר'")</f>
        <v>לקט יוסף - 2 כר'</v>
      </c>
    </row>
    <row r="20746" spans="1:6" x14ac:dyDescent="0.2">
      <c r="A20746" t="s">
        <v>33688</v>
      </c>
      <c r="B20746" t="s">
        <v>33690</v>
      </c>
      <c r="C20746" t="s">
        <v>1284</v>
      </c>
      <c r="D20746" t="s">
        <v>9</v>
      </c>
      <c r="E20746" t="s">
        <v>234</v>
      </c>
      <c r="F20746" s="2" t="str">
        <f>HYPERLINK("http://www.otzar.org/book.asp?15949","לקט יוסף")</f>
        <v>לקט יוסף</v>
      </c>
    </row>
    <row r="20747" spans="1:6" x14ac:dyDescent="0.2">
      <c r="A20747" t="s">
        <v>33691</v>
      </c>
      <c r="B20747" t="s">
        <v>33692</v>
      </c>
      <c r="C20747" t="s">
        <v>33693</v>
      </c>
      <c r="D20747" t="s">
        <v>280</v>
      </c>
      <c r="E20747" t="s">
        <v>606</v>
      </c>
      <c r="F20747" s="2" t="str">
        <f>HYPERLINK("http://www.otzar.org/book.asp?6080","לקט יושר - א-ב")</f>
        <v>לקט יושר - א-ב</v>
      </c>
    </row>
    <row r="20748" spans="1:6" x14ac:dyDescent="0.2">
      <c r="A20748" t="s">
        <v>33694</v>
      </c>
      <c r="B20748" t="s">
        <v>33695</v>
      </c>
      <c r="C20748" t="s">
        <v>111</v>
      </c>
      <c r="D20748" t="s">
        <v>367</v>
      </c>
      <c r="F20748" s="2" t="str">
        <f>HYPERLINK("http://www.otzar.org/book.asp?622192","לקט יסודות הקדיש")</f>
        <v>לקט יסודות הקדיש</v>
      </c>
    </row>
    <row r="20749" spans="1:6" x14ac:dyDescent="0.2">
      <c r="A20749" t="s">
        <v>33696</v>
      </c>
      <c r="B20749" t="s">
        <v>33697</v>
      </c>
      <c r="C20749" t="s">
        <v>1535</v>
      </c>
      <c r="D20749" t="s">
        <v>1654</v>
      </c>
      <c r="E20749" t="s">
        <v>104</v>
      </c>
      <c r="F20749" s="2" t="str">
        <f>HYPERLINK("http://www.otzar.org/book.asp?199522","לקט ישראל")</f>
        <v>לקט ישראל</v>
      </c>
    </row>
    <row r="20750" spans="1:6" x14ac:dyDescent="0.2">
      <c r="A20750" t="s">
        <v>33698</v>
      </c>
      <c r="B20750" t="s">
        <v>2476</v>
      </c>
      <c r="C20750" t="s">
        <v>411</v>
      </c>
      <c r="D20750" t="s">
        <v>14</v>
      </c>
      <c r="E20750" t="s">
        <v>144</v>
      </c>
      <c r="F20750" s="2" t="str">
        <f>HYPERLINK("http://www.otzar.org/book.asp?171959","לקט כללי הגמרא - 3 כר'")</f>
        <v>לקט כללי הגמרא - 3 כר'</v>
      </c>
    </row>
    <row r="20751" spans="1:6" x14ac:dyDescent="0.2">
      <c r="A20751" t="s">
        <v>33699</v>
      </c>
      <c r="B20751" t="s">
        <v>26613</v>
      </c>
      <c r="C20751" t="s">
        <v>114</v>
      </c>
      <c r="D20751" t="s">
        <v>52</v>
      </c>
      <c r="E20751" t="s">
        <v>246</v>
      </c>
      <c r="F20751" s="2" t="str">
        <f>HYPERLINK("http://www.otzar.org/book.asp?616515","לקט לחג השבועות &lt;ליקוט מחמדת ימים&gt;")</f>
        <v>לקט לחג השבועות &lt;ליקוט מחמדת ימים&gt;</v>
      </c>
    </row>
    <row r="20752" spans="1:6" x14ac:dyDescent="0.2">
      <c r="A20752" t="s">
        <v>33700</v>
      </c>
      <c r="B20752" t="s">
        <v>3333</v>
      </c>
      <c r="C20752" t="s">
        <v>124</v>
      </c>
      <c r="D20752" t="s">
        <v>14</v>
      </c>
      <c r="E20752" t="s">
        <v>140</v>
      </c>
      <c r="F20752" s="2" t="str">
        <f>HYPERLINK("http://www.otzar.org/book.asp?605152","לקט מאוצר החסידות")</f>
        <v>לקט מאוצר החסידות</v>
      </c>
    </row>
    <row r="20753" spans="1:6" x14ac:dyDescent="0.2">
      <c r="A20753" t="s">
        <v>33701</v>
      </c>
      <c r="B20753" t="s">
        <v>33702</v>
      </c>
      <c r="C20753" t="s">
        <v>51</v>
      </c>
      <c r="D20753" t="s">
        <v>52</v>
      </c>
      <c r="E20753" t="s">
        <v>241</v>
      </c>
      <c r="F20753" s="2" t="str">
        <f>HYPERLINK("http://www.otzar.org/book.asp?25923","לקט מאמרי חובת הלבבות")</f>
        <v>לקט מאמרי חובת הלבבות</v>
      </c>
    </row>
    <row r="20754" spans="1:6" x14ac:dyDescent="0.2">
      <c r="A20754" t="s">
        <v>33703</v>
      </c>
      <c r="B20754" t="s">
        <v>3800</v>
      </c>
      <c r="C20754" t="s">
        <v>146</v>
      </c>
      <c r="D20754" t="s">
        <v>14</v>
      </c>
      <c r="E20754" t="s">
        <v>246</v>
      </c>
      <c r="F20754" s="2" t="str">
        <f>HYPERLINK("http://www.otzar.org/book.asp?624844","לקט מאמרים - 2 כר'")</f>
        <v>לקט מאמרים - 2 כר'</v>
      </c>
    </row>
    <row r="20755" spans="1:6" x14ac:dyDescent="0.2">
      <c r="A20755" t="s">
        <v>33704</v>
      </c>
      <c r="B20755" t="s">
        <v>3367</v>
      </c>
      <c r="C20755" t="s">
        <v>68</v>
      </c>
      <c r="D20755" t="s">
        <v>52</v>
      </c>
      <c r="E20755" t="s">
        <v>104</v>
      </c>
      <c r="F20755" s="2" t="str">
        <f>HYPERLINK("http://www.otzar.org/book.asp?155319","לקט מבואות")</f>
        <v>לקט מבואות</v>
      </c>
    </row>
    <row r="20756" spans="1:6" x14ac:dyDescent="0.2">
      <c r="A20756" t="s">
        <v>33705</v>
      </c>
      <c r="B20756" t="s">
        <v>33706</v>
      </c>
      <c r="C20756" t="s">
        <v>466</v>
      </c>
      <c r="D20756" t="s">
        <v>14</v>
      </c>
      <c r="E20756" t="s">
        <v>144</v>
      </c>
      <c r="F20756" s="2" t="str">
        <f>HYPERLINK("http://www.otzar.org/book.asp?157588","לקט מדברי ראשונים ואחרונים - 3 כר'")</f>
        <v>לקט מדברי ראשונים ואחרונים - 3 כר'</v>
      </c>
    </row>
    <row r="20757" spans="1:6" x14ac:dyDescent="0.2">
      <c r="A20757" t="s">
        <v>33707</v>
      </c>
      <c r="B20757" t="s">
        <v>3367</v>
      </c>
      <c r="C20757" t="s">
        <v>114</v>
      </c>
      <c r="D20757" t="s">
        <v>52</v>
      </c>
      <c r="F20757" s="2" t="str">
        <f>HYPERLINK("http://www.otzar.org/book.asp?164184","לקט מהגיוני התורה")</f>
        <v>לקט מהגיוני התורה</v>
      </c>
    </row>
    <row r="20758" spans="1:6" x14ac:dyDescent="0.2">
      <c r="A20758" t="s">
        <v>33708</v>
      </c>
      <c r="B20758" t="s">
        <v>33709</v>
      </c>
      <c r="C20758" t="s">
        <v>445</v>
      </c>
      <c r="D20758" t="s">
        <v>225</v>
      </c>
      <c r="E20758" t="s">
        <v>33710</v>
      </c>
      <c r="F20758" s="2" t="str">
        <f>HYPERLINK("http://www.otzar.org/book.asp?9777","לקט מהרי""ט")</f>
        <v>לקט מהרי"ט</v>
      </c>
    </row>
    <row r="20759" spans="1:6" x14ac:dyDescent="0.2">
      <c r="A20759" t="s">
        <v>33711</v>
      </c>
      <c r="C20759" t="s">
        <v>114</v>
      </c>
      <c r="D20759" t="s">
        <v>412</v>
      </c>
      <c r="F20759" s="2" t="str">
        <f>HYPERLINK("http://www.otzar.org/book.asp?622239","לקט מנחת עני")</f>
        <v>לקט מנחת עני</v>
      </c>
    </row>
    <row r="20760" spans="1:6" x14ac:dyDescent="0.2">
      <c r="A20760" t="s">
        <v>33712</v>
      </c>
      <c r="B20760" t="s">
        <v>4431</v>
      </c>
      <c r="C20760" t="s">
        <v>20</v>
      </c>
      <c r="D20760" t="s">
        <v>90</v>
      </c>
      <c r="F20760" s="2" t="str">
        <f>HYPERLINK("http://www.otzar.org/book.asp?620405","לקט מספר פלא יועץ")</f>
        <v>לקט מספר פלא יועץ</v>
      </c>
    </row>
    <row r="20761" spans="1:6" x14ac:dyDescent="0.2">
      <c r="A20761" t="s">
        <v>33713</v>
      </c>
      <c r="B20761" t="s">
        <v>33714</v>
      </c>
      <c r="C20761" t="s">
        <v>422</v>
      </c>
      <c r="D20761" t="s">
        <v>14</v>
      </c>
      <c r="E20761" t="s">
        <v>1097</v>
      </c>
      <c r="F20761" s="2" t="str">
        <f>HYPERLINK("http://www.otzar.org/book.asp?607196","לקט מפאה")</f>
        <v>לקט מפאה</v>
      </c>
    </row>
    <row r="20762" spans="1:6" x14ac:dyDescent="0.2">
      <c r="A20762" t="s">
        <v>33715</v>
      </c>
      <c r="B20762" t="s">
        <v>3367</v>
      </c>
      <c r="C20762" t="s">
        <v>68</v>
      </c>
      <c r="D20762" t="s">
        <v>52</v>
      </c>
      <c r="F20762" s="2" t="str">
        <f>HYPERLINK("http://www.otzar.org/book.asp?157185","לקט מפתחות לספרי סוד")</f>
        <v>לקט מפתחות לספרי סוד</v>
      </c>
    </row>
    <row r="20763" spans="1:6" x14ac:dyDescent="0.2">
      <c r="A20763" t="s">
        <v>33716</v>
      </c>
      <c r="B20763" t="s">
        <v>33717</v>
      </c>
      <c r="C20763" t="s">
        <v>33718</v>
      </c>
      <c r="D20763" t="s">
        <v>1076</v>
      </c>
      <c r="E20763" t="s">
        <v>104</v>
      </c>
      <c r="F20763" s="2" t="str">
        <f>HYPERLINK("http://www.otzar.org/book.asp?613203","לקט מקורות ומאמרים על קבר רחל בטבריה")</f>
        <v>לקט מקורות ומאמרים על קבר רחל בטבריה</v>
      </c>
    </row>
    <row r="20764" spans="1:6" x14ac:dyDescent="0.2">
      <c r="A20764" t="s">
        <v>33719</v>
      </c>
      <c r="B20764" t="s">
        <v>3834</v>
      </c>
      <c r="C20764" t="s">
        <v>313</v>
      </c>
      <c r="D20764" t="s">
        <v>14</v>
      </c>
      <c r="E20764" t="s">
        <v>213</v>
      </c>
      <c r="F20764" s="2" t="str">
        <f>HYPERLINK("http://www.otzar.org/book.asp?106490","לקט נבואות")</f>
        <v>לקט נבואות</v>
      </c>
    </row>
    <row r="20765" spans="1:6" x14ac:dyDescent="0.2">
      <c r="A20765" t="s">
        <v>33720</v>
      </c>
      <c r="B20765" t="s">
        <v>33721</v>
      </c>
      <c r="C20765" t="s">
        <v>37</v>
      </c>
      <c r="D20765" t="s">
        <v>115</v>
      </c>
      <c r="E20765" t="s">
        <v>230</v>
      </c>
      <c r="F20765" s="2" t="str">
        <f>HYPERLINK("http://www.otzar.org/book.asp?603702","לקט נועם שיח")</f>
        <v>לקט נועם שיח</v>
      </c>
    </row>
    <row r="20766" spans="1:6" x14ac:dyDescent="0.2">
      <c r="A20766" t="s">
        <v>33722</v>
      </c>
      <c r="B20766" t="s">
        <v>4943</v>
      </c>
      <c r="C20766" t="s">
        <v>146</v>
      </c>
      <c r="D20766" t="s">
        <v>412</v>
      </c>
      <c r="E20766" t="s">
        <v>6635</v>
      </c>
      <c r="F20766" s="2" t="str">
        <f>HYPERLINK("http://www.otzar.org/book.asp?171033","לקט עני &lt;מהדורה חדשה&gt;")</f>
        <v>לקט עני &lt;מהדורה חדשה&gt;</v>
      </c>
    </row>
    <row r="20767" spans="1:6" x14ac:dyDescent="0.2">
      <c r="A20767" t="s">
        <v>33723</v>
      </c>
      <c r="B20767" t="s">
        <v>33724</v>
      </c>
      <c r="C20767" t="s">
        <v>79</v>
      </c>
      <c r="D20767" t="s">
        <v>33725</v>
      </c>
      <c r="E20767" t="s">
        <v>234</v>
      </c>
      <c r="F20767" s="2" t="str">
        <f>HYPERLINK("http://www.otzar.org/book.asp?170890","לקט עני")</f>
        <v>לקט עני</v>
      </c>
    </row>
    <row r="20768" spans="1:6" x14ac:dyDescent="0.2">
      <c r="A20768" t="s">
        <v>33723</v>
      </c>
      <c r="B20768" t="s">
        <v>4943</v>
      </c>
      <c r="C20768" t="s">
        <v>445</v>
      </c>
      <c r="D20768" t="s">
        <v>756</v>
      </c>
      <c r="E20768" t="s">
        <v>2071</v>
      </c>
      <c r="F20768" s="2" t="str">
        <f>HYPERLINK("http://www.otzar.org/book.asp?171032","לקט עני")</f>
        <v>לקט עני</v>
      </c>
    </row>
    <row r="20769" spans="1:6" x14ac:dyDescent="0.2">
      <c r="A20769" t="s">
        <v>33726</v>
      </c>
      <c r="B20769" t="s">
        <v>33727</v>
      </c>
      <c r="C20769" t="s">
        <v>11045</v>
      </c>
      <c r="D20769" t="s">
        <v>33728</v>
      </c>
      <c r="E20769" t="s">
        <v>5351</v>
      </c>
      <c r="F20769" s="2" t="str">
        <f>HYPERLINK("http://www.otzar.org/book.asp?188582","לקט עני - 2 כר'")</f>
        <v>לקט עני - 2 כר'</v>
      </c>
    </row>
    <row r="20770" spans="1:6" x14ac:dyDescent="0.2">
      <c r="A20770" t="s">
        <v>33729</v>
      </c>
      <c r="B20770" t="s">
        <v>33730</v>
      </c>
      <c r="C20770" t="s">
        <v>523</v>
      </c>
      <c r="D20770" t="s">
        <v>14</v>
      </c>
      <c r="F20770" s="2" t="str">
        <f>HYPERLINK("http://www.otzar.org/book.asp?612383","לקט פיוטי סליחות - 3 כר'")</f>
        <v>לקט פיוטי סליחות - 3 כר'</v>
      </c>
    </row>
    <row r="20771" spans="1:6" x14ac:dyDescent="0.2">
      <c r="A20771" t="s">
        <v>33731</v>
      </c>
      <c r="B20771" t="s">
        <v>3367</v>
      </c>
      <c r="C20771" t="s">
        <v>68</v>
      </c>
      <c r="D20771" t="s">
        <v>52</v>
      </c>
      <c r="E20771" t="s">
        <v>104</v>
      </c>
      <c r="F20771" s="2" t="str">
        <f>HYPERLINK("http://www.otzar.org/book.asp?155320","לקט פירושי אגדה - 4 כר'")</f>
        <v>לקט פירושי אגדה - 4 כר'</v>
      </c>
    </row>
    <row r="20772" spans="1:6" x14ac:dyDescent="0.2">
      <c r="A20772" t="s">
        <v>33732</v>
      </c>
      <c r="B20772" t="s">
        <v>33733</v>
      </c>
      <c r="C20772" t="s">
        <v>20</v>
      </c>
      <c r="D20772" t="s">
        <v>52</v>
      </c>
      <c r="E20772" t="s">
        <v>1517</v>
      </c>
      <c r="F20772" s="2" t="str">
        <f>HYPERLINK("http://www.otzar.org/book.asp?189317","לקט פירושים - 3 כר'")</f>
        <v>לקט פירושים - 3 כר'</v>
      </c>
    </row>
    <row r="20773" spans="1:6" x14ac:dyDescent="0.2">
      <c r="A20773" t="s">
        <v>33734</v>
      </c>
      <c r="B20773" t="s">
        <v>33735</v>
      </c>
      <c r="C20773" t="s">
        <v>20</v>
      </c>
      <c r="D20773" t="s">
        <v>33736</v>
      </c>
      <c r="E20773" t="s">
        <v>4455</v>
      </c>
      <c r="F20773" s="2" t="str">
        <f>HYPERLINK("http://www.otzar.org/book.asp?613942","לקט פנינים והערות בענייני לימוד תורה - תפארת יהושע")</f>
        <v>לקט פנינים והערות בענייני לימוד תורה - תפארת יהושע</v>
      </c>
    </row>
    <row r="20774" spans="1:6" x14ac:dyDescent="0.2">
      <c r="A20774" t="s">
        <v>33737</v>
      </c>
      <c r="B20774" t="s">
        <v>33738</v>
      </c>
      <c r="C20774" t="s">
        <v>71</v>
      </c>
      <c r="D20774" t="s">
        <v>14</v>
      </c>
      <c r="E20774" t="s">
        <v>140</v>
      </c>
      <c r="F20774" s="2" t="str">
        <f>HYPERLINK("http://www.otzar.org/book.asp?154313","לקט פתגמין קדישין")</f>
        <v>לקט פתגמין קדישין</v>
      </c>
    </row>
    <row r="20775" spans="1:6" x14ac:dyDescent="0.2">
      <c r="A20775" t="s">
        <v>33739</v>
      </c>
      <c r="B20775" t="s">
        <v>33090</v>
      </c>
      <c r="C20775" t="s">
        <v>635</v>
      </c>
      <c r="D20775" t="s">
        <v>14297</v>
      </c>
      <c r="E20775" t="s">
        <v>219</v>
      </c>
      <c r="F20775" s="2" t="str">
        <f>HYPERLINK("http://www.otzar.org/book.asp?105096","לקט צבי")</f>
        <v>לקט צבי</v>
      </c>
    </row>
    <row r="20776" spans="1:6" x14ac:dyDescent="0.2">
      <c r="A20776" t="s">
        <v>33740</v>
      </c>
      <c r="B20776" t="s">
        <v>33741</v>
      </c>
      <c r="C20776" t="s">
        <v>366</v>
      </c>
      <c r="D20776" t="s">
        <v>1273</v>
      </c>
      <c r="E20776" t="s">
        <v>104</v>
      </c>
      <c r="F20776" s="2" t="str">
        <f>HYPERLINK("http://www.otzar.org/book.asp?628748","לקט רשימות - 9 כר'")</f>
        <v>לקט רשימות - 9 כר'</v>
      </c>
    </row>
    <row r="20777" spans="1:6" x14ac:dyDescent="0.2">
      <c r="A20777" t="s">
        <v>33742</v>
      </c>
      <c r="B20777" t="s">
        <v>7352</v>
      </c>
      <c r="C20777" t="s">
        <v>189</v>
      </c>
      <c r="F20777" s="2" t="str">
        <f>HYPERLINK("http://www.otzar.org/book.asp?197120","לקט שאלות המצויות - 6 כר'")</f>
        <v>לקט שאלות המצויות - 6 כר'</v>
      </c>
    </row>
    <row r="20778" spans="1:6" x14ac:dyDescent="0.2">
      <c r="A20778" t="s">
        <v>33743</v>
      </c>
      <c r="B20778" t="s">
        <v>33744</v>
      </c>
      <c r="C20778" t="s">
        <v>103</v>
      </c>
      <c r="D20778" t="s">
        <v>14</v>
      </c>
      <c r="E20778" t="s">
        <v>15</v>
      </c>
      <c r="F20778" s="2" t="str">
        <f>HYPERLINK("http://www.otzar.org/book.asp?174055","לקט שבלים - 2 כר'")</f>
        <v>לקט שבלים - 2 כר'</v>
      </c>
    </row>
    <row r="20779" spans="1:6" x14ac:dyDescent="0.2">
      <c r="A20779" t="s">
        <v>33745</v>
      </c>
      <c r="B20779" t="s">
        <v>8270</v>
      </c>
      <c r="C20779" t="s">
        <v>454</v>
      </c>
      <c r="D20779" t="s">
        <v>90</v>
      </c>
      <c r="E20779" t="s">
        <v>467</v>
      </c>
      <c r="F20779" s="2" t="str">
        <f>HYPERLINK("http://www.otzar.org/book.asp?28227","לקט שדך")</f>
        <v>לקט שדך</v>
      </c>
    </row>
    <row r="20780" spans="1:6" x14ac:dyDescent="0.2">
      <c r="A20780" t="s">
        <v>33746</v>
      </c>
      <c r="B20780" t="s">
        <v>33747</v>
      </c>
      <c r="C20780" t="s">
        <v>1160</v>
      </c>
      <c r="D20780" t="s">
        <v>14</v>
      </c>
      <c r="E20780" t="s">
        <v>10</v>
      </c>
      <c r="F20780" s="2" t="str">
        <f>HYPERLINK("http://www.otzar.org/book.asp?152632","לקט שו""ת בענין התקנה לקדש בפני עשרה")</f>
        <v>לקט שו"ת בענין התקנה לקדש בפני עשרה</v>
      </c>
    </row>
    <row r="20781" spans="1:6" x14ac:dyDescent="0.2">
      <c r="A20781" t="s">
        <v>33748</v>
      </c>
      <c r="B20781" t="s">
        <v>2476</v>
      </c>
      <c r="C20781" t="s">
        <v>17</v>
      </c>
      <c r="D20781" t="s">
        <v>14</v>
      </c>
      <c r="E20781" t="s">
        <v>33749</v>
      </c>
      <c r="F20781" s="2" t="str">
        <f>HYPERLINK("http://www.otzar.org/book.asp?22695","לקט שו""ת")</f>
        <v>לקט שו"ת</v>
      </c>
    </row>
    <row r="20782" spans="1:6" x14ac:dyDescent="0.2">
      <c r="A20782" t="s">
        <v>33750</v>
      </c>
      <c r="B20782" t="s">
        <v>3484</v>
      </c>
      <c r="C20782" t="s">
        <v>989</v>
      </c>
      <c r="D20782" t="s">
        <v>646</v>
      </c>
      <c r="E20782" t="s">
        <v>104</v>
      </c>
      <c r="F20782" s="2" t="str">
        <f>HYPERLINK("http://www.otzar.org/book.asp?108637","לקט שושנים &lt;כתב יד&gt;")</f>
        <v>לקט שושנים &lt;כתב יד&gt;</v>
      </c>
    </row>
    <row r="20783" spans="1:6" x14ac:dyDescent="0.2">
      <c r="A20783" t="s">
        <v>33751</v>
      </c>
      <c r="B20783" t="s">
        <v>33752</v>
      </c>
      <c r="C20783" t="s">
        <v>12380</v>
      </c>
      <c r="D20783" t="s">
        <v>52</v>
      </c>
      <c r="E20783" t="s">
        <v>140</v>
      </c>
      <c r="F20783" s="2" t="str">
        <f>HYPERLINK("http://www.otzar.org/book.asp?171598","לקט שושנים - 3 כר'")</f>
        <v>לקט שושנים - 3 כר'</v>
      </c>
    </row>
    <row r="20784" spans="1:6" x14ac:dyDescent="0.2">
      <c r="A20784" t="s">
        <v>33753</v>
      </c>
      <c r="B20784" t="s">
        <v>3374</v>
      </c>
      <c r="C20784" t="s">
        <v>1208</v>
      </c>
      <c r="D20784" t="s">
        <v>412</v>
      </c>
      <c r="E20784" t="s">
        <v>6078</v>
      </c>
      <c r="F20784" s="2" t="str">
        <f>HYPERLINK("http://www.otzar.org/book.asp?180125","לקט שושנים - שבועות")</f>
        <v>לקט שושנים - שבועות</v>
      </c>
    </row>
    <row r="20785" spans="1:6" x14ac:dyDescent="0.2">
      <c r="A20785" t="s">
        <v>33754</v>
      </c>
      <c r="B20785" t="s">
        <v>3768</v>
      </c>
      <c r="C20785" t="s">
        <v>13</v>
      </c>
      <c r="D20785" t="s">
        <v>14</v>
      </c>
      <c r="E20785" t="s">
        <v>399</v>
      </c>
      <c r="F20785" s="2" t="str">
        <f>HYPERLINK("http://www.otzar.org/book.asp?160139","לקט שיח סוד")</f>
        <v>לקט שיח סוד</v>
      </c>
    </row>
    <row r="20786" spans="1:6" x14ac:dyDescent="0.2">
      <c r="A20786" t="s">
        <v>33755</v>
      </c>
      <c r="B20786" t="s">
        <v>11585</v>
      </c>
      <c r="C20786" t="s">
        <v>466</v>
      </c>
      <c r="D20786" t="s">
        <v>8245</v>
      </c>
      <c r="E20786" t="s">
        <v>474</v>
      </c>
      <c r="F20786" s="2" t="str">
        <f>HYPERLINK("http://www.otzar.org/book.asp?50650","לקט שיחות וביאורים")</f>
        <v>לקט שיחות וביאורים</v>
      </c>
    </row>
    <row r="20787" spans="1:6" x14ac:dyDescent="0.2">
      <c r="A20787" t="s">
        <v>33756</v>
      </c>
      <c r="B20787" t="s">
        <v>33757</v>
      </c>
      <c r="C20787" t="s">
        <v>176</v>
      </c>
      <c r="D20787" t="s">
        <v>52</v>
      </c>
      <c r="E20787" t="s">
        <v>4779</v>
      </c>
      <c r="F20787" s="2" t="str">
        <f>HYPERLINK("http://www.otzar.org/book.asp?161057","לקט שיחות מוסר &lt;מהדורה חדשה&gt; - 3 כר'")</f>
        <v>לקט שיחות מוסר &lt;מהדורה חדשה&gt; - 3 כר'</v>
      </c>
    </row>
    <row r="20788" spans="1:6" x14ac:dyDescent="0.2">
      <c r="A20788" t="s">
        <v>16582</v>
      </c>
      <c r="B20788" t="s">
        <v>33758</v>
      </c>
      <c r="C20788" t="s">
        <v>940</v>
      </c>
      <c r="D20788" t="s">
        <v>852</v>
      </c>
      <c r="E20788" t="s">
        <v>213</v>
      </c>
      <c r="F20788" s="2" t="str">
        <f>HYPERLINK("http://www.otzar.org/book.asp?61812","לקט שיחות מוסר")</f>
        <v>לקט שיחות מוסר</v>
      </c>
    </row>
    <row r="20789" spans="1:6" x14ac:dyDescent="0.2">
      <c r="A20789" t="s">
        <v>16582</v>
      </c>
      <c r="B20789" t="s">
        <v>33757</v>
      </c>
      <c r="C20789" t="s">
        <v>419</v>
      </c>
      <c r="D20789" t="s">
        <v>52</v>
      </c>
      <c r="E20789" t="s">
        <v>4779</v>
      </c>
      <c r="F20789" s="2" t="str">
        <f>HYPERLINK("http://www.otzar.org/book.asp?154909","לקט שיחות מוסר")</f>
        <v>לקט שיחות מוסר</v>
      </c>
    </row>
    <row r="20790" spans="1:6" x14ac:dyDescent="0.2">
      <c r="A20790" t="s">
        <v>33759</v>
      </c>
      <c r="B20790" t="s">
        <v>1353</v>
      </c>
      <c r="C20790" t="s">
        <v>20</v>
      </c>
      <c r="D20790" t="s">
        <v>90</v>
      </c>
      <c r="E20790" t="s">
        <v>104</v>
      </c>
      <c r="F20790" s="2" t="str">
        <f>HYPERLINK("http://www.otzar.org/book.asp?602863","לקט שיחות")</f>
        <v>לקט שיחות</v>
      </c>
    </row>
    <row r="20791" spans="1:6" x14ac:dyDescent="0.2">
      <c r="A20791" t="s">
        <v>33760</v>
      </c>
      <c r="B20791" t="s">
        <v>33761</v>
      </c>
      <c r="C20791" t="s">
        <v>37</v>
      </c>
      <c r="D20791" t="s">
        <v>52</v>
      </c>
      <c r="F20791" s="2" t="str">
        <f>HYPERLINK("http://www.otzar.org/book.asp?610067","לקט שיעורים &lt;ר""י סלבודקה&gt; - 2 כר'")</f>
        <v>לקט שיעורים &lt;ר"י סלבודקה&gt; - 2 כר'</v>
      </c>
    </row>
    <row r="20792" spans="1:6" x14ac:dyDescent="0.2">
      <c r="A20792" t="s">
        <v>33762</v>
      </c>
      <c r="B20792" t="s">
        <v>33763</v>
      </c>
      <c r="C20792" t="s">
        <v>411</v>
      </c>
      <c r="D20792" t="s">
        <v>52</v>
      </c>
      <c r="F20792" s="2" t="str">
        <f>HYPERLINK("http://www.otzar.org/book.asp?610064","לקט שיעורים &lt;ר""י סלבודקה&gt; - 3 כר'")</f>
        <v>לקט שיעורים &lt;ר"י סלבודקה&gt; - 3 כר'</v>
      </c>
    </row>
    <row r="20793" spans="1:6" x14ac:dyDescent="0.2">
      <c r="A20793" t="s">
        <v>33764</v>
      </c>
      <c r="B20793" t="s">
        <v>25615</v>
      </c>
      <c r="C20793" t="s">
        <v>23</v>
      </c>
      <c r="D20793" t="s">
        <v>52</v>
      </c>
      <c r="F20793" s="2" t="str">
        <f>HYPERLINK("http://www.otzar.org/book.asp?610134","לקט שיעורים &lt;ר""י סלבודקה&gt; - 9 כר'")</f>
        <v>לקט שיעורים &lt;ר"י סלבודקה&gt; - 9 כר'</v>
      </c>
    </row>
    <row r="20794" spans="1:6" x14ac:dyDescent="0.2">
      <c r="A20794" t="s">
        <v>33762</v>
      </c>
      <c r="B20794" t="s">
        <v>33765</v>
      </c>
      <c r="C20794" t="s">
        <v>37</v>
      </c>
      <c r="D20794" t="s">
        <v>52</v>
      </c>
      <c r="E20794" t="s">
        <v>144</v>
      </c>
      <c r="F20794" s="2" t="str">
        <f>HYPERLINK("http://www.otzar.org/book.asp?182447","לקט שיעורים &lt;ר""י סלבודקה&gt; - 3 כר'")</f>
        <v>לקט שיעורים &lt;ר"י סלבודקה&gt; - 3 כר'</v>
      </c>
    </row>
    <row r="20795" spans="1:6" x14ac:dyDescent="0.2">
      <c r="A20795" t="s">
        <v>33766</v>
      </c>
      <c r="B20795" t="s">
        <v>14387</v>
      </c>
      <c r="C20795" t="s">
        <v>785</v>
      </c>
      <c r="D20795" t="s">
        <v>52</v>
      </c>
      <c r="F20795" s="2" t="str">
        <f>HYPERLINK("http://www.otzar.org/book.asp?610120","לקט שיעורים &lt;ר""י סלבודקה&gt; - 16 כר'")</f>
        <v>לקט שיעורים &lt;ר"י סלבודקה&gt; - 16 כר'</v>
      </c>
    </row>
    <row r="20796" spans="1:6" x14ac:dyDescent="0.2">
      <c r="A20796" t="s">
        <v>33767</v>
      </c>
      <c r="B20796" t="s">
        <v>14391</v>
      </c>
      <c r="C20796" t="s">
        <v>533</v>
      </c>
      <c r="D20796" t="s">
        <v>52</v>
      </c>
      <c r="E20796" t="s">
        <v>144</v>
      </c>
      <c r="F20796" s="2" t="str">
        <f>HYPERLINK("http://www.otzar.org/book.asp?626536","לקט שיעורים &lt;ר""י סלבודקה&gt; - שבת א")</f>
        <v>לקט שיעורים &lt;ר"י סלבודקה&gt; - שבת א</v>
      </c>
    </row>
    <row r="20797" spans="1:6" x14ac:dyDescent="0.2">
      <c r="A20797" t="s">
        <v>33768</v>
      </c>
      <c r="B20797" t="s">
        <v>33769</v>
      </c>
      <c r="C20797" t="s">
        <v>1388</v>
      </c>
      <c r="D20797" t="s">
        <v>52</v>
      </c>
      <c r="E20797" t="s">
        <v>144</v>
      </c>
      <c r="F20797" s="2" t="str">
        <f>HYPERLINK("http://www.otzar.org/book.asp?626537","לקט שיעורים &lt;ר""י סלבודקה&gt; - שבת ב")</f>
        <v>לקט שיעורים &lt;ר"י סלבודקה&gt; - שבת ב</v>
      </c>
    </row>
    <row r="20798" spans="1:6" x14ac:dyDescent="0.2">
      <c r="A20798" t="s">
        <v>33762</v>
      </c>
      <c r="B20798" t="s">
        <v>33770</v>
      </c>
      <c r="C20798" t="s">
        <v>1448</v>
      </c>
      <c r="D20798" t="s">
        <v>52</v>
      </c>
      <c r="F20798" s="2" t="str">
        <f>HYPERLINK("http://www.otzar.org/book.asp?610124","לקט שיעורים &lt;ר""י סלבודקה&gt; - 3 כר'")</f>
        <v>לקט שיעורים &lt;ר"י סלבודקה&gt; - 3 כר'</v>
      </c>
    </row>
    <row r="20799" spans="1:6" x14ac:dyDescent="0.2">
      <c r="A20799" t="s">
        <v>33771</v>
      </c>
      <c r="B20799" t="s">
        <v>33772</v>
      </c>
      <c r="C20799" t="s">
        <v>244</v>
      </c>
      <c r="D20799" t="s">
        <v>52</v>
      </c>
      <c r="F20799" s="2" t="str">
        <f>HYPERLINK("http://www.otzar.org/book.asp?610129","לקט שיעורים &lt;ר""י סלבודקה&gt; - 4 כר'")</f>
        <v>לקט שיעורים &lt;ר"י סלבודקה&gt; - 4 כר'</v>
      </c>
    </row>
    <row r="20800" spans="1:6" x14ac:dyDescent="0.2">
      <c r="A20800" t="s">
        <v>33773</v>
      </c>
      <c r="B20800" t="s">
        <v>33774</v>
      </c>
      <c r="C20800" t="s">
        <v>13</v>
      </c>
      <c r="D20800" t="s">
        <v>52</v>
      </c>
      <c r="E20800" t="s">
        <v>144</v>
      </c>
      <c r="F20800" s="2" t="str">
        <f>HYPERLINK("http://www.otzar.org/book.asp?616196","לקט שיעורים פרק בן סורר ומורה")</f>
        <v>לקט שיעורים פרק בן סורר ומורה</v>
      </c>
    </row>
    <row r="20801" spans="1:6" x14ac:dyDescent="0.2">
      <c r="A20801" t="s">
        <v>33775</v>
      </c>
      <c r="B20801" t="s">
        <v>33776</v>
      </c>
      <c r="C20801" t="s">
        <v>23</v>
      </c>
      <c r="D20801" t="s">
        <v>21</v>
      </c>
      <c r="E20801" t="s">
        <v>144</v>
      </c>
      <c r="F20801" s="2" t="str">
        <f>HYPERLINK("http://www.otzar.org/book.asp?603502","לקט שיעורים")</f>
        <v>לקט שיעורים</v>
      </c>
    </row>
    <row r="20802" spans="1:6" x14ac:dyDescent="0.2">
      <c r="A20802" t="s">
        <v>33777</v>
      </c>
      <c r="B20802" t="s">
        <v>33778</v>
      </c>
      <c r="C20802" t="s">
        <v>20</v>
      </c>
      <c r="D20802" t="s">
        <v>1356</v>
      </c>
      <c r="E20802" t="s">
        <v>144</v>
      </c>
      <c r="F20802" s="2" t="str">
        <f>HYPERLINK("http://www.otzar.org/book.asp?51581","לקט שיעורים - ב""ב, כתובות")</f>
        <v>לקט שיעורים - ב"ב, כתובות</v>
      </c>
    </row>
    <row r="20803" spans="1:6" x14ac:dyDescent="0.2">
      <c r="A20803" t="s">
        <v>33779</v>
      </c>
      <c r="B20803" t="s">
        <v>33780</v>
      </c>
      <c r="C20803" t="s">
        <v>23</v>
      </c>
      <c r="D20803" t="s">
        <v>4665</v>
      </c>
      <c r="E20803" t="s">
        <v>144</v>
      </c>
      <c r="F20803" s="2" t="str">
        <f>HYPERLINK("http://www.otzar.org/book.asp?606275","לקט שיעורים - פסחים")</f>
        <v>לקט שיעורים - פסחים</v>
      </c>
    </row>
    <row r="20804" spans="1:6" x14ac:dyDescent="0.2">
      <c r="A20804" t="s">
        <v>33781</v>
      </c>
      <c r="B20804" t="s">
        <v>33782</v>
      </c>
      <c r="C20804" t="s">
        <v>624</v>
      </c>
      <c r="D20804" t="s">
        <v>852</v>
      </c>
      <c r="E20804" t="s">
        <v>144</v>
      </c>
      <c r="F20804" s="2" t="str">
        <f>HYPERLINK("http://www.otzar.org/book.asp?148874","לקט שיעורים - א")</f>
        <v>לקט שיעורים - א</v>
      </c>
    </row>
    <row r="20805" spans="1:6" x14ac:dyDescent="0.2">
      <c r="A20805" t="s">
        <v>33783</v>
      </c>
      <c r="B20805" t="s">
        <v>33765</v>
      </c>
      <c r="E20805" t="s">
        <v>144</v>
      </c>
      <c r="F20805" s="2" t="str">
        <f>HYPERLINK("http://www.otzar.org/book.asp?628076","לקט שיעורים - שבת")</f>
        <v>לקט שיעורים - שבת</v>
      </c>
    </row>
    <row r="20806" spans="1:6" x14ac:dyDescent="0.2">
      <c r="A20806" t="s">
        <v>33784</v>
      </c>
      <c r="B20806" t="s">
        <v>2476</v>
      </c>
      <c r="C20806" t="s">
        <v>466</v>
      </c>
      <c r="D20806" t="s">
        <v>52</v>
      </c>
      <c r="E20806" t="s">
        <v>9356</v>
      </c>
      <c r="F20806" s="2" t="str">
        <f>HYPERLINK("http://www.otzar.org/book.asp?22550","לקט שכחה וטעות - א")</f>
        <v>לקט שכחה וטעות - א</v>
      </c>
    </row>
    <row r="20807" spans="1:6" x14ac:dyDescent="0.2">
      <c r="A20807" t="s">
        <v>33785</v>
      </c>
      <c r="B20807" t="s">
        <v>33786</v>
      </c>
      <c r="C20807" t="s">
        <v>17</v>
      </c>
      <c r="D20807" t="s">
        <v>3406</v>
      </c>
      <c r="E20807" t="s">
        <v>8469</v>
      </c>
      <c r="F20807" s="2" t="str">
        <f>HYPERLINK("http://www.otzar.org/book.asp?603141","לקט שכחה")</f>
        <v>לקט שכחה</v>
      </c>
    </row>
    <row r="20808" spans="1:6" x14ac:dyDescent="0.2">
      <c r="A20808" t="s">
        <v>33787</v>
      </c>
      <c r="B20808" t="s">
        <v>33788</v>
      </c>
      <c r="C20808" t="s">
        <v>33789</v>
      </c>
      <c r="D20808" t="s">
        <v>303</v>
      </c>
      <c r="E20808" t="s">
        <v>158</v>
      </c>
      <c r="F20808" s="2" t="str">
        <f>HYPERLINK("http://www.otzar.org/book.asp?172689","לקט שכחה - 2 כר'")</f>
        <v>לקט שכחה - 2 כר'</v>
      </c>
    </row>
    <row r="20809" spans="1:6" x14ac:dyDescent="0.2">
      <c r="A20809" t="s">
        <v>33790</v>
      </c>
      <c r="B20809" t="s">
        <v>33791</v>
      </c>
      <c r="C20809" t="s">
        <v>24400</v>
      </c>
      <c r="D20809" t="s">
        <v>49</v>
      </c>
      <c r="E20809" t="s">
        <v>474</v>
      </c>
      <c r="F20809" s="2" t="str">
        <f>HYPERLINK("http://www.otzar.org/book.asp?15950","לקט שמואל - דרוש שמואל")</f>
        <v>לקט שמואל - דרוש שמואל</v>
      </c>
    </row>
    <row r="20810" spans="1:6" x14ac:dyDescent="0.2">
      <c r="A20810" t="s">
        <v>33792</v>
      </c>
      <c r="B20810" t="s">
        <v>33793</v>
      </c>
      <c r="C20810" t="s">
        <v>908</v>
      </c>
      <c r="D20810" t="s">
        <v>1966</v>
      </c>
      <c r="E20810" t="s">
        <v>202</v>
      </c>
      <c r="F20810" s="2" t="str">
        <f>HYPERLINK("http://www.otzar.org/book.asp?29100","לקט ששנ""ה - 10 כר'")</f>
        <v>לקט ששנ"ה - 10 כר'</v>
      </c>
    </row>
    <row r="20811" spans="1:6" x14ac:dyDescent="0.2">
      <c r="A20811" t="s">
        <v>33794</v>
      </c>
      <c r="B20811" t="s">
        <v>2476</v>
      </c>
      <c r="C20811" t="s">
        <v>68</v>
      </c>
      <c r="D20811" t="s">
        <v>14</v>
      </c>
      <c r="F20811" s="2" t="str">
        <f>HYPERLINK("http://www.otzar.org/book.asp?163822","לקט תשובה וצדקה (מהד""א)")</f>
        <v>לקט תשובה וצדקה (מהד"א)</v>
      </c>
    </row>
    <row r="20812" spans="1:6" x14ac:dyDescent="0.2">
      <c r="A20812" t="s">
        <v>33795</v>
      </c>
      <c r="B20812" t="s">
        <v>2476</v>
      </c>
      <c r="C20812" t="s">
        <v>189</v>
      </c>
      <c r="D20812" t="s">
        <v>14</v>
      </c>
      <c r="E20812" t="s">
        <v>15</v>
      </c>
      <c r="F20812" s="2" t="str">
        <f>HYPERLINK("http://www.otzar.org/book.asp?26357","לקט תשובה וצדקה (מהד""ב)")</f>
        <v>לקט תשובה וצדקה (מהד"ב)</v>
      </c>
    </row>
    <row r="20813" spans="1:6" x14ac:dyDescent="0.2">
      <c r="A20813" t="s">
        <v>33796</v>
      </c>
      <c r="B20813" t="s">
        <v>2476</v>
      </c>
      <c r="C20813" t="s">
        <v>68</v>
      </c>
      <c r="D20813" t="s">
        <v>14</v>
      </c>
      <c r="E20813" t="s">
        <v>15</v>
      </c>
      <c r="F20813" s="2" t="str">
        <f>HYPERLINK("http://www.otzar.org/book.asp?171952","לקט תשובה וצדקה (מהד""ג)")</f>
        <v>לקט תשובה וצדקה (מהד"ג)</v>
      </c>
    </row>
    <row r="20814" spans="1:6" x14ac:dyDescent="0.2">
      <c r="A20814" t="s">
        <v>33797</v>
      </c>
      <c r="B20814" t="s">
        <v>33798</v>
      </c>
      <c r="C20814" t="s">
        <v>5823</v>
      </c>
      <c r="D20814" t="s">
        <v>4269</v>
      </c>
      <c r="E20814" t="s">
        <v>4104</v>
      </c>
      <c r="F20814" s="2" t="str">
        <f>HYPERLINK("http://www.otzar.org/book.asp?11693","לקטים מזהירים")</f>
        <v>לקטים מזהירים</v>
      </c>
    </row>
    <row r="20815" spans="1:6" x14ac:dyDescent="0.2">
      <c r="A20815" t="s">
        <v>33799</v>
      </c>
      <c r="B20815" t="s">
        <v>9551</v>
      </c>
      <c r="C20815" t="s">
        <v>114</v>
      </c>
      <c r="D20815" t="s">
        <v>412</v>
      </c>
      <c r="E20815" t="s">
        <v>144</v>
      </c>
      <c r="F20815" s="2" t="str">
        <f>HYPERLINK("http://www.otzar.org/book.asp?603588","לקיחה תמה - לולב הגזול")</f>
        <v>לקיחה תמה - לולב הגזול</v>
      </c>
    </row>
    <row r="20816" spans="1:6" x14ac:dyDescent="0.2">
      <c r="A20816" t="s">
        <v>33800</v>
      </c>
      <c r="B20816" t="s">
        <v>2396</v>
      </c>
      <c r="C20816" t="s">
        <v>20</v>
      </c>
      <c r="D20816" t="s">
        <v>90</v>
      </c>
      <c r="E20816" t="s">
        <v>246</v>
      </c>
      <c r="F20816" s="2" t="str">
        <f>HYPERLINK("http://www.otzar.org/book.asp?165255","לקיחה תמה")</f>
        <v>לקיחה תמה</v>
      </c>
    </row>
    <row r="20817" spans="1:6" x14ac:dyDescent="0.2">
      <c r="A20817" t="s">
        <v>33801</v>
      </c>
      <c r="B20817" t="s">
        <v>33802</v>
      </c>
      <c r="C20817" t="s">
        <v>438</v>
      </c>
      <c r="D20817" t="s">
        <v>52</v>
      </c>
      <c r="E20817" t="s">
        <v>158</v>
      </c>
      <c r="F20817" s="2" t="str">
        <f>HYPERLINK("http://www.otzar.org/book.asp?158916","לקיטת יצחק בן אברהם - 2 כר'")</f>
        <v>לקיטת יצחק בן אברהם - 2 כר'</v>
      </c>
    </row>
    <row r="20818" spans="1:6" x14ac:dyDescent="0.2">
      <c r="A20818" t="s">
        <v>33803</v>
      </c>
      <c r="B20818" t="s">
        <v>2245</v>
      </c>
      <c r="C20818" t="s">
        <v>492</v>
      </c>
      <c r="D20818" t="s">
        <v>974</v>
      </c>
      <c r="F20818" s="2" t="str">
        <f>HYPERLINK("http://www.otzar.org/book.asp?181309","לקיטת יצחק")</f>
        <v>לקיטת יצחק</v>
      </c>
    </row>
    <row r="20819" spans="1:6" x14ac:dyDescent="0.2">
      <c r="A20819" t="s">
        <v>33804</v>
      </c>
      <c r="B20819" t="s">
        <v>33805</v>
      </c>
      <c r="C20819" t="s">
        <v>17</v>
      </c>
      <c r="D20819" t="s">
        <v>21</v>
      </c>
      <c r="E20819" t="s">
        <v>104</v>
      </c>
      <c r="F20819" s="2" t="str">
        <f>HYPERLINK("http://www.otzar.org/book.asp?191318","לקסיקון הכינויים בלשון הפייטנים")</f>
        <v>לקסיקון הכינויים בלשון הפייטנים</v>
      </c>
    </row>
    <row r="20820" spans="1:6" x14ac:dyDescent="0.2">
      <c r="A20820" t="s">
        <v>33806</v>
      </c>
      <c r="B20820" t="s">
        <v>33807</v>
      </c>
      <c r="C20820" t="s">
        <v>1374</v>
      </c>
      <c r="D20820" t="s">
        <v>283</v>
      </c>
      <c r="E20820" t="s">
        <v>158</v>
      </c>
      <c r="F20820" s="2" t="str">
        <f>HYPERLINK("http://www.otzar.org/book.asp?195901","לקץ הימין")</f>
        <v>לקץ הימין</v>
      </c>
    </row>
    <row r="20821" spans="1:6" x14ac:dyDescent="0.2">
      <c r="A20821" t="s">
        <v>33808</v>
      </c>
      <c r="B20821" t="s">
        <v>33809</v>
      </c>
      <c r="C20821" t="s">
        <v>286</v>
      </c>
      <c r="D20821" t="s">
        <v>260</v>
      </c>
      <c r="E20821" t="s">
        <v>104</v>
      </c>
      <c r="F20821" s="2" t="str">
        <f>HYPERLINK("http://www.otzar.org/book.asp?106094","לקראת הגאולה השלמה")</f>
        <v>לקראת הגאולה השלמה</v>
      </c>
    </row>
    <row r="20822" spans="1:6" x14ac:dyDescent="0.2">
      <c r="A20822" t="s">
        <v>33810</v>
      </c>
      <c r="B20822" t="s">
        <v>3384</v>
      </c>
      <c r="C20822" t="s">
        <v>313</v>
      </c>
      <c r="D20822" t="s">
        <v>14</v>
      </c>
      <c r="E20822" t="s">
        <v>104</v>
      </c>
      <c r="F20822" s="2" t="str">
        <f>HYPERLINK("http://www.otzar.org/book.asp?60515","לקראת הגאולה")</f>
        <v>לקראת הגאולה</v>
      </c>
    </row>
    <row r="20823" spans="1:6" x14ac:dyDescent="0.2">
      <c r="A20823" t="s">
        <v>33811</v>
      </c>
      <c r="B20823" t="s">
        <v>33812</v>
      </c>
      <c r="C20823" t="s">
        <v>146</v>
      </c>
      <c r="D20823" t="s">
        <v>412</v>
      </c>
      <c r="F20823" s="2" t="str">
        <f>HYPERLINK("http://www.otzar.org/book.asp?85721","לקראת המועדים")</f>
        <v>לקראת המועדים</v>
      </c>
    </row>
    <row r="20824" spans="1:6" x14ac:dyDescent="0.2">
      <c r="A20824" t="s">
        <v>33813</v>
      </c>
      <c r="B20824" t="s">
        <v>18298</v>
      </c>
      <c r="C20824" t="s">
        <v>411</v>
      </c>
      <c r="D20824" t="s">
        <v>14</v>
      </c>
      <c r="E20824" t="s">
        <v>104</v>
      </c>
      <c r="F20824" s="2" t="str">
        <f>HYPERLINK("http://www.otzar.org/book.asp?603959","לקראת הנישואין")</f>
        <v>לקראת הנישואין</v>
      </c>
    </row>
    <row r="20825" spans="1:6" x14ac:dyDescent="0.2">
      <c r="A20825" t="s">
        <v>33814</v>
      </c>
      <c r="B20825" t="s">
        <v>33815</v>
      </c>
      <c r="C20825" t="s">
        <v>114</v>
      </c>
      <c r="D20825" t="s">
        <v>486</v>
      </c>
      <c r="F20825" s="2" t="str">
        <f>HYPERLINK("http://www.otzar.org/book.asp?198061","לקראת כלה")</f>
        <v>לקראת כלה</v>
      </c>
    </row>
    <row r="20826" spans="1:6" x14ac:dyDescent="0.2">
      <c r="A20826" t="s">
        <v>33814</v>
      </c>
      <c r="B20826" t="s">
        <v>33816</v>
      </c>
      <c r="C20826" t="s">
        <v>454</v>
      </c>
      <c r="D20826" t="s">
        <v>14</v>
      </c>
      <c r="E20826" t="s">
        <v>234</v>
      </c>
      <c r="F20826" s="2" t="str">
        <f>HYPERLINK("http://www.otzar.org/book.asp?50913","לקראת כלה")</f>
        <v>לקראת כלה</v>
      </c>
    </row>
    <row r="20827" spans="1:6" x14ac:dyDescent="0.2">
      <c r="A20827" t="s">
        <v>33817</v>
      </c>
      <c r="B20827" t="s">
        <v>33818</v>
      </c>
      <c r="D20827" t="s">
        <v>52</v>
      </c>
      <c r="E20827" t="s">
        <v>1517</v>
      </c>
      <c r="F20827" s="2" t="str">
        <f>HYPERLINK("http://www.otzar.org/book.asp?165206","לקראת כלה - 2 כר'")</f>
        <v>לקראת כלה - 2 כר'</v>
      </c>
    </row>
    <row r="20828" spans="1:6" x14ac:dyDescent="0.2">
      <c r="A20828" t="s">
        <v>33819</v>
      </c>
      <c r="B20828" t="s">
        <v>33820</v>
      </c>
      <c r="C20828" t="s">
        <v>547</v>
      </c>
      <c r="D20828" t="s">
        <v>225</v>
      </c>
      <c r="E20828" t="s">
        <v>4333</v>
      </c>
      <c r="F20828" s="2" t="str">
        <f>HYPERLINK("http://www.otzar.org/book.asp?25483","לקראת צמא")</f>
        <v>לקראת צמא</v>
      </c>
    </row>
    <row r="20829" spans="1:6" x14ac:dyDescent="0.2">
      <c r="A20829" t="s">
        <v>33821</v>
      </c>
      <c r="B20829" t="s">
        <v>33822</v>
      </c>
      <c r="C20829" t="s">
        <v>244</v>
      </c>
      <c r="D20829" t="s">
        <v>1273</v>
      </c>
      <c r="E20829" t="s">
        <v>4022</v>
      </c>
      <c r="F20829" s="2" t="str">
        <f>HYPERLINK("http://www.otzar.org/book.asp?605280","לקראת שבת מלכתא")</f>
        <v>לקראת שבת מלכתא</v>
      </c>
    </row>
    <row r="20830" spans="1:6" x14ac:dyDescent="0.2">
      <c r="A20830" t="s">
        <v>33823</v>
      </c>
      <c r="B20830" t="s">
        <v>33824</v>
      </c>
      <c r="C20830" t="s">
        <v>129</v>
      </c>
      <c r="E20830" t="s">
        <v>15</v>
      </c>
      <c r="F20830" s="2" t="str">
        <f>HYPERLINK("http://www.otzar.org/book.asp?60159","לקראת שבת - 2 כר'")</f>
        <v>לקראת שבת - 2 כר'</v>
      </c>
    </row>
    <row r="20831" spans="1:6" x14ac:dyDescent="0.2">
      <c r="A20831" t="s">
        <v>33825</v>
      </c>
      <c r="B20831" t="s">
        <v>6984</v>
      </c>
      <c r="C20831" t="s">
        <v>313</v>
      </c>
      <c r="D20831" t="s">
        <v>14</v>
      </c>
      <c r="E20831" t="s">
        <v>1517</v>
      </c>
      <c r="F20831" s="2" t="str">
        <f>HYPERLINK("http://www.otzar.org/book.asp?23072","לקראת שבת")</f>
        <v>לקראת שבת</v>
      </c>
    </row>
    <row r="20832" spans="1:6" x14ac:dyDescent="0.2">
      <c r="A20832" t="s">
        <v>33826</v>
      </c>
      <c r="B20832" t="s">
        <v>33827</v>
      </c>
      <c r="C20832" t="s">
        <v>17</v>
      </c>
      <c r="D20832" t="s">
        <v>152</v>
      </c>
      <c r="E20832" t="s">
        <v>15</v>
      </c>
      <c r="F20832" s="2" t="str">
        <f>HYPERLINK("http://www.otzar.org/book.asp?61040","לקראת שבת - 3 כר'")</f>
        <v>לקראת שבת - 3 כר'</v>
      </c>
    </row>
    <row r="20833" spans="1:6" x14ac:dyDescent="0.2">
      <c r="A20833" t="s">
        <v>33823</v>
      </c>
      <c r="B20833" t="s">
        <v>8880</v>
      </c>
      <c r="C20833" t="s">
        <v>111</v>
      </c>
      <c r="D20833" t="s">
        <v>14</v>
      </c>
      <c r="F20833" s="2" t="str">
        <f>HYPERLINK("http://www.otzar.org/book.asp?621782","לקראת שבת - 2 כר'")</f>
        <v>לקראת שבת - 2 כר'</v>
      </c>
    </row>
    <row r="20834" spans="1:6" x14ac:dyDescent="0.2">
      <c r="A20834" t="s">
        <v>33825</v>
      </c>
      <c r="B20834" t="s">
        <v>16189</v>
      </c>
      <c r="C20834" t="s">
        <v>237</v>
      </c>
      <c r="D20834" t="s">
        <v>27</v>
      </c>
      <c r="E20834" t="s">
        <v>246</v>
      </c>
      <c r="F20834" s="2" t="str">
        <f>HYPERLINK("http://www.otzar.org/book.asp?154056","לקראת שבת")</f>
        <v>לקראת שבת</v>
      </c>
    </row>
    <row r="20835" spans="1:6" x14ac:dyDescent="0.2">
      <c r="A20835" t="s">
        <v>33825</v>
      </c>
      <c r="B20835" t="s">
        <v>33828</v>
      </c>
      <c r="C20835" t="s">
        <v>68</v>
      </c>
      <c r="D20835" t="s">
        <v>14</v>
      </c>
      <c r="E20835" t="s">
        <v>5392</v>
      </c>
      <c r="F20835" s="2" t="str">
        <f>HYPERLINK("http://www.otzar.org/book.asp?172988","לקראת שבת")</f>
        <v>לקראת שבת</v>
      </c>
    </row>
    <row r="20836" spans="1:6" x14ac:dyDescent="0.2">
      <c r="A20836" t="s">
        <v>33825</v>
      </c>
      <c r="B20836" t="s">
        <v>2107</v>
      </c>
      <c r="C20836" t="s">
        <v>366</v>
      </c>
      <c r="D20836" t="s">
        <v>90</v>
      </c>
      <c r="F20836" s="2" t="str">
        <f>HYPERLINK("http://www.otzar.org/book.asp?620769","לקראת שבת")</f>
        <v>לקראת שבת</v>
      </c>
    </row>
    <row r="20837" spans="1:6" x14ac:dyDescent="0.2">
      <c r="A20837" t="s">
        <v>33823</v>
      </c>
      <c r="B20837" t="s">
        <v>33825</v>
      </c>
      <c r="C20837" t="s">
        <v>151</v>
      </c>
      <c r="D20837" t="s">
        <v>14</v>
      </c>
      <c r="E20837" t="s">
        <v>202</v>
      </c>
      <c r="F20837" s="2" t="str">
        <f>HYPERLINK("http://www.otzar.org/book.asp?627694","לקראת שבת - 2 כר'")</f>
        <v>לקראת שבת - 2 כר'</v>
      </c>
    </row>
    <row r="20838" spans="1:6" x14ac:dyDescent="0.2">
      <c r="A20838" t="s">
        <v>33823</v>
      </c>
      <c r="B20838" t="s">
        <v>33829</v>
      </c>
      <c r="C20838" t="s">
        <v>176</v>
      </c>
      <c r="D20838" t="s">
        <v>486</v>
      </c>
      <c r="E20838" t="s">
        <v>246</v>
      </c>
      <c r="F20838" s="2" t="str">
        <f>HYPERLINK("http://www.otzar.org/book.asp?189848","לקראת שבת - 2 כר'")</f>
        <v>לקראת שבת - 2 כר'</v>
      </c>
    </row>
    <row r="20839" spans="1:6" x14ac:dyDescent="0.2">
      <c r="A20839" t="s">
        <v>33830</v>
      </c>
      <c r="B20839" t="s">
        <v>19531</v>
      </c>
      <c r="C20839" t="s">
        <v>1169</v>
      </c>
      <c r="D20839" t="s">
        <v>216</v>
      </c>
      <c r="E20839" t="s">
        <v>15</v>
      </c>
      <c r="F20839" s="2" t="str">
        <f>HYPERLINK("http://www.otzar.org/book.asp?620979","לקראת שמיטה תשי""ט")</f>
        <v>לקראת שמיטה תשי"ט</v>
      </c>
    </row>
    <row r="20840" spans="1:6" x14ac:dyDescent="0.2">
      <c r="A20840" t="s">
        <v>33831</v>
      </c>
      <c r="B20840" t="s">
        <v>33832</v>
      </c>
      <c r="C20840" t="s">
        <v>33833</v>
      </c>
      <c r="D20840" t="s">
        <v>1654</v>
      </c>
      <c r="F20840" s="2" t="str">
        <f>HYPERLINK("http://www.otzar.org/book.asp?620684","לקראת שנת השמיטה - 2 כר'")</f>
        <v>לקראת שנת השמיטה - 2 כר'</v>
      </c>
    </row>
    <row r="20841" spans="1:6" x14ac:dyDescent="0.2">
      <c r="A20841" t="s">
        <v>33834</v>
      </c>
      <c r="B20841" t="s">
        <v>19811</v>
      </c>
      <c r="C20841" t="s">
        <v>23</v>
      </c>
      <c r="D20841" t="s">
        <v>1550</v>
      </c>
      <c r="E20841" t="s">
        <v>148</v>
      </c>
      <c r="F20841" s="2" t="str">
        <f>HYPERLINK("http://www.otzar.org/book.asp?191821","לראות טוב - עירובין")</f>
        <v>לראות טוב - עירובין</v>
      </c>
    </row>
    <row r="20842" spans="1:6" x14ac:dyDescent="0.2">
      <c r="A20842" t="s">
        <v>33835</v>
      </c>
      <c r="B20842" t="s">
        <v>17881</v>
      </c>
      <c r="C20842" t="s">
        <v>248</v>
      </c>
      <c r="D20842" t="s">
        <v>1279</v>
      </c>
      <c r="E20842" t="s">
        <v>144</v>
      </c>
      <c r="F20842" s="2" t="str">
        <f>HYPERLINK("http://www.otzar.org/book.asp?18990","לראות מהרה")</f>
        <v>לראות מהרה</v>
      </c>
    </row>
    <row r="20843" spans="1:6" x14ac:dyDescent="0.2">
      <c r="A20843" t="s">
        <v>33836</v>
      </c>
      <c r="B20843" t="s">
        <v>2847</v>
      </c>
      <c r="C20843" t="s">
        <v>20</v>
      </c>
      <c r="D20843" t="s">
        <v>14</v>
      </c>
      <c r="E20843" t="s">
        <v>241</v>
      </c>
      <c r="F20843" s="2" t="str">
        <f>HYPERLINK("http://www.otzar.org/book.asp?604625","לראות פני מלך")</f>
        <v>לראות פני מלך</v>
      </c>
    </row>
    <row r="20844" spans="1:6" x14ac:dyDescent="0.2">
      <c r="A20844" t="s">
        <v>33837</v>
      </c>
      <c r="B20844" t="s">
        <v>10993</v>
      </c>
      <c r="C20844" t="s">
        <v>775</v>
      </c>
      <c r="D20844" t="s">
        <v>14</v>
      </c>
      <c r="E20844" t="s">
        <v>2264</v>
      </c>
      <c r="F20844" s="2" t="str">
        <f>HYPERLINK("http://www.otzar.org/book.asp?158092","לראש יוסף")</f>
        <v>לראש יוסף</v>
      </c>
    </row>
    <row r="20845" spans="1:6" x14ac:dyDescent="0.2">
      <c r="A20845" t="s">
        <v>33837</v>
      </c>
      <c r="B20845" t="s">
        <v>22479</v>
      </c>
      <c r="C20845" t="s">
        <v>68</v>
      </c>
      <c r="D20845" t="s">
        <v>14</v>
      </c>
      <c r="E20845" t="s">
        <v>241</v>
      </c>
      <c r="F20845" s="2" t="str">
        <f>HYPERLINK("http://www.otzar.org/book.asp?158515","לראש יוסף")</f>
        <v>לראש יוסף</v>
      </c>
    </row>
    <row r="20846" spans="1:6" x14ac:dyDescent="0.2">
      <c r="A20846" t="s">
        <v>33837</v>
      </c>
      <c r="B20846" t="s">
        <v>33838</v>
      </c>
      <c r="C20846" t="s">
        <v>17</v>
      </c>
      <c r="D20846" t="s">
        <v>6283</v>
      </c>
      <c r="E20846" t="s">
        <v>172</v>
      </c>
      <c r="F20846" s="2" t="str">
        <f>HYPERLINK("http://www.otzar.org/book.asp?196743","לראש יוסף")</f>
        <v>לראש יוסף</v>
      </c>
    </row>
    <row r="20847" spans="1:6" x14ac:dyDescent="0.2">
      <c r="A20847" t="s">
        <v>33839</v>
      </c>
      <c r="B20847" t="s">
        <v>22868</v>
      </c>
      <c r="C20847" t="s">
        <v>20</v>
      </c>
      <c r="D20847" t="s">
        <v>14</v>
      </c>
      <c r="E20847" t="s">
        <v>730</v>
      </c>
      <c r="F20847" s="2" t="str">
        <f>HYPERLINK("http://www.otzar.org/book.asp?8615","לרוץ אורח - 2 כר'")</f>
        <v>לרוץ אורח - 2 כר'</v>
      </c>
    </row>
    <row r="20848" spans="1:6" x14ac:dyDescent="0.2">
      <c r="A20848" t="s">
        <v>33840</v>
      </c>
      <c r="B20848" t="s">
        <v>33841</v>
      </c>
      <c r="C20848" t="s">
        <v>332</v>
      </c>
      <c r="D20848" t="s">
        <v>2201</v>
      </c>
      <c r="E20848" t="s">
        <v>241</v>
      </c>
      <c r="F20848" s="2" t="str">
        <f>HYPERLINK("http://www.otzar.org/book.asp?624941","לרחוק ולקרוב")</f>
        <v>לרחוק ולקרוב</v>
      </c>
    </row>
    <row r="20849" spans="1:6" x14ac:dyDescent="0.2">
      <c r="A20849" t="s">
        <v>33842</v>
      </c>
      <c r="B20849" t="s">
        <v>17403</v>
      </c>
      <c r="C20849" t="s">
        <v>244</v>
      </c>
      <c r="D20849" t="s">
        <v>412</v>
      </c>
      <c r="E20849" t="s">
        <v>148</v>
      </c>
      <c r="F20849" s="2" t="str">
        <f>HYPERLINK("http://www.otzar.org/book.asp?601493","לרעות בגנים - 2 כר'")</f>
        <v>לרעות בגנים - 2 כר'</v>
      </c>
    </row>
    <row r="20850" spans="1:6" x14ac:dyDescent="0.2">
      <c r="A20850" t="s">
        <v>33843</v>
      </c>
      <c r="B20850" t="s">
        <v>9479</v>
      </c>
      <c r="C20850" t="s">
        <v>1811</v>
      </c>
      <c r="D20850" t="s">
        <v>14</v>
      </c>
      <c r="E20850" t="s">
        <v>104</v>
      </c>
      <c r="F20850" s="2" t="str">
        <f>HYPERLINK("http://www.otzar.org/book.asp?144387","לרפואה שלמה")</f>
        <v>לרפואה שלמה</v>
      </c>
    </row>
    <row r="20851" spans="1:6" x14ac:dyDescent="0.2">
      <c r="A20851" t="s">
        <v>33844</v>
      </c>
      <c r="B20851" t="s">
        <v>15047</v>
      </c>
      <c r="C20851" t="s">
        <v>496</v>
      </c>
      <c r="D20851" t="s">
        <v>225</v>
      </c>
      <c r="E20851" t="s">
        <v>17079</v>
      </c>
      <c r="F20851" s="2" t="str">
        <f>HYPERLINK("http://www.otzar.org/book.asp?102746","לרצנכם תזבחוהו")</f>
        <v>לרצנכם תזבחוהו</v>
      </c>
    </row>
    <row r="20852" spans="1:6" x14ac:dyDescent="0.2">
      <c r="A20852" t="s">
        <v>33845</v>
      </c>
      <c r="B20852" t="s">
        <v>31709</v>
      </c>
      <c r="C20852" t="s">
        <v>20</v>
      </c>
      <c r="D20852" t="s">
        <v>14</v>
      </c>
      <c r="E20852" t="s">
        <v>674</v>
      </c>
      <c r="F20852" s="2" t="str">
        <f>HYPERLINK("http://www.otzar.org/book.asp?148731","לשאלת ניתוחי מתים")</f>
        <v>לשאלת ניתוחי מתים</v>
      </c>
    </row>
    <row r="20853" spans="1:6" x14ac:dyDescent="0.2">
      <c r="A20853" t="s">
        <v>33846</v>
      </c>
      <c r="B20853" t="s">
        <v>5501</v>
      </c>
      <c r="C20853" t="s">
        <v>989</v>
      </c>
      <c r="D20853" t="s">
        <v>90</v>
      </c>
      <c r="E20853" t="s">
        <v>104</v>
      </c>
      <c r="F20853" s="2" t="str">
        <f>HYPERLINK("http://www.otzar.org/book.asp?12649","לשאלת נתוח המת ובעלות האדם על הגוף")</f>
        <v>לשאלת נתוח המת ובעלות האדם על הגוף</v>
      </c>
    </row>
    <row r="20854" spans="1:6" x14ac:dyDescent="0.2">
      <c r="A20854" t="s">
        <v>33847</v>
      </c>
      <c r="B20854" t="s">
        <v>11489</v>
      </c>
      <c r="C20854" t="s">
        <v>1246</v>
      </c>
      <c r="D20854" t="s">
        <v>260</v>
      </c>
      <c r="E20854" t="s">
        <v>241</v>
      </c>
      <c r="F20854" s="2" t="str">
        <f>HYPERLINK("http://www.otzar.org/book.asp?152889","לשבעים ולרעבים")</f>
        <v>לשבעים ולרעבים</v>
      </c>
    </row>
    <row r="20855" spans="1:6" x14ac:dyDescent="0.2">
      <c r="A20855" t="s">
        <v>33848</v>
      </c>
      <c r="B20855" t="s">
        <v>3431</v>
      </c>
      <c r="C20855" t="s">
        <v>146</v>
      </c>
      <c r="D20855" t="s">
        <v>1356</v>
      </c>
      <c r="E20855" t="s">
        <v>15</v>
      </c>
      <c r="F20855" s="2" t="str">
        <f>HYPERLINK("http://www.otzar.org/book.asp?142004","לשבת יצרה")</f>
        <v>לשבת יצרה</v>
      </c>
    </row>
    <row r="20856" spans="1:6" x14ac:dyDescent="0.2">
      <c r="A20856" t="s">
        <v>33849</v>
      </c>
      <c r="B20856" t="s">
        <v>33850</v>
      </c>
      <c r="C20856" t="s">
        <v>15870</v>
      </c>
      <c r="D20856" t="s">
        <v>76</v>
      </c>
      <c r="E20856" t="s">
        <v>435</v>
      </c>
      <c r="F20856" s="2" t="str">
        <f>HYPERLINK("http://www.otzar.org/book.asp?147253","לשבת משה - 2 כר'")</f>
        <v>לשבת משה - 2 כר'</v>
      </c>
    </row>
    <row r="20857" spans="1:6" x14ac:dyDescent="0.2">
      <c r="A20857" t="s">
        <v>33851</v>
      </c>
      <c r="B20857" t="s">
        <v>17075</v>
      </c>
      <c r="C20857" t="s">
        <v>624</v>
      </c>
      <c r="D20857" t="s">
        <v>14</v>
      </c>
      <c r="E20857" t="s">
        <v>33852</v>
      </c>
      <c r="F20857" s="2" t="str">
        <f>HYPERLINK("http://www.otzar.org/book.asp?50119","לשד השמן")</f>
        <v>לשד השמן</v>
      </c>
    </row>
    <row r="20858" spans="1:6" x14ac:dyDescent="0.2">
      <c r="A20858" t="s">
        <v>33851</v>
      </c>
      <c r="B20858" t="s">
        <v>686</v>
      </c>
      <c r="C20858" t="s">
        <v>244</v>
      </c>
      <c r="D20858" t="s">
        <v>80</v>
      </c>
      <c r="E20858" t="s">
        <v>241</v>
      </c>
      <c r="F20858" s="2" t="str">
        <f>HYPERLINK("http://www.otzar.org/book.asp?606747","לשד השמן")</f>
        <v>לשד השמן</v>
      </c>
    </row>
    <row r="20859" spans="1:6" x14ac:dyDescent="0.2">
      <c r="A20859" t="s">
        <v>33851</v>
      </c>
      <c r="B20859" t="s">
        <v>27489</v>
      </c>
      <c r="C20859" t="s">
        <v>609</v>
      </c>
      <c r="D20859" t="s">
        <v>56</v>
      </c>
      <c r="E20859" t="s">
        <v>30665</v>
      </c>
      <c r="F20859" s="2" t="str">
        <f>HYPERLINK("http://www.otzar.org/book.asp?24719","לשד השמן")</f>
        <v>לשד השמן</v>
      </c>
    </row>
    <row r="20860" spans="1:6" x14ac:dyDescent="0.2">
      <c r="A20860" t="s">
        <v>33851</v>
      </c>
      <c r="B20860" t="s">
        <v>33853</v>
      </c>
      <c r="C20860" t="s">
        <v>51</v>
      </c>
      <c r="D20860" t="s">
        <v>14</v>
      </c>
      <c r="E20860" t="s">
        <v>172</v>
      </c>
      <c r="F20860" s="2" t="str">
        <f>HYPERLINK("http://www.otzar.org/book.asp?85815","לשד השמן")</f>
        <v>לשד השמן</v>
      </c>
    </row>
    <row r="20861" spans="1:6" x14ac:dyDescent="0.2">
      <c r="A20861" t="s">
        <v>33851</v>
      </c>
      <c r="B20861" t="s">
        <v>31491</v>
      </c>
      <c r="C20861" t="s">
        <v>1177</v>
      </c>
      <c r="D20861" t="s">
        <v>283</v>
      </c>
      <c r="E20861" t="s">
        <v>154</v>
      </c>
      <c r="F20861" s="2" t="str">
        <f>HYPERLINK("http://www.otzar.org/book.asp?102747","לשד השמן")</f>
        <v>לשד השמן</v>
      </c>
    </row>
    <row r="20862" spans="1:6" x14ac:dyDescent="0.2">
      <c r="A20862" t="s">
        <v>33854</v>
      </c>
      <c r="B20862" t="s">
        <v>1800</v>
      </c>
      <c r="C20862" t="s">
        <v>20</v>
      </c>
      <c r="D20862" t="s">
        <v>52</v>
      </c>
      <c r="E20862" t="s">
        <v>219</v>
      </c>
      <c r="F20862" s="2" t="str">
        <f>HYPERLINK("http://www.otzar.org/book.asp?618118","לשוח בשדה &lt;אסירי התקוה&gt;")</f>
        <v>לשוח בשדה &lt;אסירי התקוה&gt;</v>
      </c>
    </row>
    <row r="20863" spans="1:6" x14ac:dyDescent="0.2">
      <c r="A20863" t="s">
        <v>33855</v>
      </c>
      <c r="B20863" t="s">
        <v>33856</v>
      </c>
      <c r="C20863" t="s">
        <v>37</v>
      </c>
      <c r="D20863" t="s">
        <v>14</v>
      </c>
      <c r="E20863" t="s">
        <v>474</v>
      </c>
      <c r="F20863" s="2" t="str">
        <f>HYPERLINK("http://www.otzar.org/book.asp?192818","לשוח בשדה")</f>
        <v>לשוח בשדה</v>
      </c>
    </row>
    <row r="20864" spans="1:6" x14ac:dyDescent="0.2">
      <c r="A20864" t="s">
        <v>33857</v>
      </c>
      <c r="B20864" t="s">
        <v>30140</v>
      </c>
      <c r="C20864" t="s">
        <v>6448</v>
      </c>
      <c r="D20864" t="s">
        <v>7163</v>
      </c>
      <c r="E20864" t="s">
        <v>104</v>
      </c>
      <c r="F20864" s="2" t="str">
        <f>HYPERLINK("http://www.otzar.org/book.asp?189335","לשון אש")</f>
        <v>לשון אש</v>
      </c>
    </row>
    <row r="20865" spans="1:6" x14ac:dyDescent="0.2">
      <c r="A20865" t="s">
        <v>33858</v>
      </c>
      <c r="B20865" t="s">
        <v>9970</v>
      </c>
      <c r="C20865" t="s">
        <v>454</v>
      </c>
      <c r="D20865" t="s">
        <v>52</v>
      </c>
      <c r="F20865" s="2" t="str">
        <f>HYPERLINK("http://www.otzar.org/book.asp?621343","לשון הזהב - כיצד לדרוש ברבים")</f>
        <v>לשון הזהב - כיצד לדרוש ברבים</v>
      </c>
    </row>
    <row r="20866" spans="1:6" x14ac:dyDescent="0.2">
      <c r="A20866" t="s">
        <v>33859</v>
      </c>
      <c r="B20866" t="s">
        <v>33860</v>
      </c>
      <c r="C20866" t="s">
        <v>1231</v>
      </c>
      <c r="D20866" t="s">
        <v>283</v>
      </c>
      <c r="E20866" t="s">
        <v>144</v>
      </c>
      <c r="F20866" s="2" t="str">
        <f>HYPERLINK("http://www.otzar.org/book.asp?101284","לשון הזהב - 3 כר'")</f>
        <v>לשון הזהב - 3 כר'</v>
      </c>
    </row>
    <row r="20867" spans="1:6" x14ac:dyDescent="0.2">
      <c r="A20867" t="s">
        <v>33861</v>
      </c>
      <c r="B20867" t="s">
        <v>1406</v>
      </c>
      <c r="C20867" t="s">
        <v>2225</v>
      </c>
      <c r="D20867" t="s">
        <v>49</v>
      </c>
      <c r="E20867" t="s">
        <v>4940</v>
      </c>
      <c r="F20867" s="2" t="str">
        <f>HYPERLINK("http://www.otzar.org/book.asp?10142","לשון הזהב")</f>
        <v>לשון הזהב</v>
      </c>
    </row>
    <row r="20868" spans="1:6" x14ac:dyDescent="0.2">
      <c r="A20868" t="s">
        <v>33862</v>
      </c>
      <c r="B20868" t="s">
        <v>18315</v>
      </c>
      <c r="C20868" t="s">
        <v>224</v>
      </c>
      <c r="D20868" t="s">
        <v>33863</v>
      </c>
      <c r="E20868" t="s">
        <v>213</v>
      </c>
      <c r="F20868" s="2" t="str">
        <f>HYPERLINK("http://www.otzar.org/book.asp?189351","לשון הים")</f>
        <v>לשון הים</v>
      </c>
    </row>
    <row r="20869" spans="1:6" x14ac:dyDescent="0.2">
      <c r="A20869" t="s">
        <v>33864</v>
      </c>
      <c r="B20869" t="s">
        <v>33865</v>
      </c>
      <c r="C20869" t="s">
        <v>129</v>
      </c>
      <c r="D20869" t="s">
        <v>33866</v>
      </c>
      <c r="E20869" t="s">
        <v>144</v>
      </c>
      <c r="F20869" s="2" t="str">
        <f>HYPERLINK("http://www.otzar.org/book.asp?159881","לשון הים - 4 כר'")</f>
        <v>לשון הים - 4 כר'</v>
      </c>
    </row>
    <row r="20870" spans="1:6" x14ac:dyDescent="0.2">
      <c r="A20870" t="s">
        <v>33867</v>
      </c>
      <c r="B20870" t="s">
        <v>33868</v>
      </c>
      <c r="C20870" t="s">
        <v>1954</v>
      </c>
      <c r="D20870" t="s">
        <v>33869</v>
      </c>
      <c r="E20870" t="s">
        <v>104</v>
      </c>
      <c r="F20870" s="2" t="str">
        <f>HYPERLINK("http://www.otzar.org/book.asp?179029","לשון הקודש")</f>
        <v>לשון הקודש</v>
      </c>
    </row>
    <row r="20871" spans="1:6" x14ac:dyDescent="0.2">
      <c r="A20871" t="s">
        <v>33870</v>
      </c>
      <c r="B20871" t="s">
        <v>33871</v>
      </c>
      <c r="C20871" t="s">
        <v>433</v>
      </c>
      <c r="D20871" t="s">
        <v>260</v>
      </c>
      <c r="E20871" t="s">
        <v>579</v>
      </c>
      <c r="F20871" s="2" t="str">
        <f>HYPERLINK("http://www.otzar.org/book.asp?12662","לשון ורפואה בתנ""ך")</f>
        <v>לשון ורפואה בתנ"ך</v>
      </c>
    </row>
    <row r="20872" spans="1:6" x14ac:dyDescent="0.2">
      <c r="A20872" t="s">
        <v>33872</v>
      </c>
      <c r="B20872" t="s">
        <v>33873</v>
      </c>
      <c r="C20872" t="s">
        <v>9914</v>
      </c>
      <c r="D20872" t="s">
        <v>1023</v>
      </c>
      <c r="E20872" t="s">
        <v>104</v>
      </c>
      <c r="F20872" s="2" t="str">
        <f>HYPERLINK("http://www.otzar.org/book.asp?62228","לשון זהב")</f>
        <v>לשון זהב</v>
      </c>
    </row>
    <row r="20873" spans="1:6" x14ac:dyDescent="0.2">
      <c r="A20873" t="s">
        <v>33874</v>
      </c>
      <c r="B20873" t="s">
        <v>33875</v>
      </c>
      <c r="C20873" t="s">
        <v>33876</v>
      </c>
      <c r="D20873" t="s">
        <v>7163</v>
      </c>
      <c r="E20873" t="s">
        <v>33877</v>
      </c>
      <c r="F20873" s="2" t="str">
        <f>HYPERLINK("http://www.otzar.org/book.asp?200210","לשון זהב - 2 כר'")</f>
        <v>לשון זהב - 2 כר'</v>
      </c>
    </row>
    <row r="20874" spans="1:6" x14ac:dyDescent="0.2">
      <c r="A20874" t="s">
        <v>33872</v>
      </c>
      <c r="B20874" t="s">
        <v>33878</v>
      </c>
      <c r="C20874" t="s">
        <v>5709</v>
      </c>
      <c r="D20874" t="s">
        <v>1490</v>
      </c>
      <c r="E20874" t="s">
        <v>158</v>
      </c>
      <c r="F20874" s="2" t="str">
        <f>HYPERLINK("http://www.otzar.org/book.asp?165163","לשון זהב")</f>
        <v>לשון זהב</v>
      </c>
    </row>
    <row r="20875" spans="1:6" x14ac:dyDescent="0.2">
      <c r="A20875" t="s">
        <v>33879</v>
      </c>
      <c r="B20875" t="s">
        <v>20886</v>
      </c>
      <c r="D20875" t="s">
        <v>52</v>
      </c>
      <c r="E20875" t="s">
        <v>399</v>
      </c>
      <c r="F20875" s="2" t="str">
        <f>HYPERLINK("http://www.otzar.org/book.asp?629319","לשון זהורית - הגהות והערות")</f>
        <v>לשון זהורית - הגהות והערות</v>
      </c>
    </row>
    <row r="20876" spans="1:6" x14ac:dyDescent="0.2">
      <c r="A20876" t="s">
        <v>33880</v>
      </c>
      <c r="B20876" t="s">
        <v>33881</v>
      </c>
      <c r="C20876" t="s">
        <v>989</v>
      </c>
      <c r="D20876" t="s">
        <v>14</v>
      </c>
      <c r="E20876" t="s">
        <v>579</v>
      </c>
      <c r="F20876" s="2" t="str">
        <f>HYPERLINK("http://www.otzar.org/book.asp?14129","לשון חיים")</f>
        <v>לשון חיים</v>
      </c>
    </row>
    <row r="20877" spans="1:6" x14ac:dyDescent="0.2">
      <c r="A20877" t="s">
        <v>33880</v>
      </c>
      <c r="B20877" t="s">
        <v>33882</v>
      </c>
      <c r="C20877" t="s">
        <v>313</v>
      </c>
      <c r="D20877" t="s">
        <v>486</v>
      </c>
      <c r="E20877" t="s">
        <v>144</v>
      </c>
      <c r="F20877" s="2" t="str">
        <f>HYPERLINK("http://www.otzar.org/book.asp?85162","לשון חיים")</f>
        <v>לשון חיים</v>
      </c>
    </row>
    <row r="20878" spans="1:6" x14ac:dyDescent="0.2">
      <c r="A20878" t="s">
        <v>33883</v>
      </c>
      <c r="B20878" t="s">
        <v>33883</v>
      </c>
      <c r="C20878" t="s">
        <v>10859</v>
      </c>
      <c r="D20878" t="s">
        <v>60</v>
      </c>
      <c r="E20878" t="s">
        <v>104</v>
      </c>
      <c r="F20878" s="2" t="str">
        <f>HYPERLINK("http://www.otzar.org/book.asp?146863","לשון חכמים ולשון פז")</f>
        <v>לשון חכמים ולשון פז</v>
      </c>
    </row>
    <row r="20879" spans="1:6" x14ac:dyDescent="0.2">
      <c r="A20879" t="s">
        <v>33884</v>
      </c>
      <c r="B20879" t="s">
        <v>33885</v>
      </c>
      <c r="C20879" t="s">
        <v>3695</v>
      </c>
      <c r="D20879" t="s">
        <v>744</v>
      </c>
      <c r="E20879" t="s">
        <v>15</v>
      </c>
      <c r="F20879" s="2" t="str">
        <f>HYPERLINK("http://www.otzar.org/book.asp?18991","לשון חכמים")</f>
        <v>לשון חכמים</v>
      </c>
    </row>
    <row r="20880" spans="1:6" x14ac:dyDescent="0.2">
      <c r="A20880" t="s">
        <v>33886</v>
      </c>
      <c r="B20880" t="s">
        <v>33887</v>
      </c>
      <c r="C20880" t="s">
        <v>99</v>
      </c>
      <c r="D20880" t="s">
        <v>225</v>
      </c>
      <c r="E20880" t="s">
        <v>104</v>
      </c>
      <c r="F20880" s="2" t="str">
        <f>HYPERLINK("http://www.otzar.org/book.asp?189349","לשון חכמים - 2 כר'")</f>
        <v>לשון חכמים - 2 כר'</v>
      </c>
    </row>
    <row r="20881" spans="1:6" x14ac:dyDescent="0.2">
      <c r="A20881" t="s">
        <v>33886</v>
      </c>
      <c r="B20881" t="s">
        <v>599</v>
      </c>
      <c r="C20881" t="s">
        <v>506</v>
      </c>
      <c r="D20881" t="s">
        <v>27</v>
      </c>
      <c r="E20881" t="s">
        <v>3755</v>
      </c>
      <c r="F20881" s="2" t="str">
        <f>HYPERLINK("http://www.otzar.org/book.asp?108495","לשון חכמים - 2 כר'")</f>
        <v>לשון חכמים - 2 כר'</v>
      </c>
    </row>
    <row r="20882" spans="1:6" x14ac:dyDescent="0.2">
      <c r="A20882" t="s">
        <v>33884</v>
      </c>
      <c r="B20882" t="s">
        <v>33884</v>
      </c>
      <c r="C20882" t="s">
        <v>1219</v>
      </c>
      <c r="D20882" t="s">
        <v>212</v>
      </c>
      <c r="E20882" t="s">
        <v>25297</v>
      </c>
      <c r="F20882" s="2" t="str">
        <f>HYPERLINK("http://www.otzar.org/book.asp?101282","לשון חכמים")</f>
        <v>לשון חכמים</v>
      </c>
    </row>
    <row r="20883" spans="1:6" x14ac:dyDescent="0.2">
      <c r="A20883" t="s">
        <v>33884</v>
      </c>
      <c r="B20883" t="s">
        <v>33888</v>
      </c>
      <c r="C20883" t="s">
        <v>950</v>
      </c>
      <c r="D20883" t="s">
        <v>1279</v>
      </c>
      <c r="E20883" t="s">
        <v>1262</v>
      </c>
      <c r="F20883" s="2" t="str">
        <f>HYPERLINK("http://www.otzar.org/book.asp?189337","לשון חכמים")</f>
        <v>לשון חכמים</v>
      </c>
    </row>
    <row r="20884" spans="1:6" x14ac:dyDescent="0.2">
      <c r="A20884" t="s">
        <v>33889</v>
      </c>
      <c r="B20884" t="s">
        <v>16506</v>
      </c>
      <c r="C20884" t="s">
        <v>1124</v>
      </c>
      <c r="D20884" t="s">
        <v>267</v>
      </c>
      <c r="E20884" t="s">
        <v>741</v>
      </c>
      <c r="F20884" s="2" t="str">
        <f>HYPERLINK("http://www.otzar.org/book.asp?10258","לשון חסידים")</f>
        <v>לשון חסידים</v>
      </c>
    </row>
    <row r="20885" spans="1:6" x14ac:dyDescent="0.2">
      <c r="A20885" t="s">
        <v>33889</v>
      </c>
      <c r="B20885" t="s">
        <v>3243</v>
      </c>
      <c r="C20885" t="s">
        <v>5823</v>
      </c>
      <c r="D20885" t="s">
        <v>27</v>
      </c>
      <c r="E20885" t="s">
        <v>621</v>
      </c>
      <c r="F20885" s="2" t="str">
        <f>HYPERLINK("http://www.otzar.org/book.asp?103867","לשון חסידים")</f>
        <v>לשון חסידים</v>
      </c>
    </row>
    <row r="20886" spans="1:6" x14ac:dyDescent="0.2">
      <c r="A20886" t="s">
        <v>33890</v>
      </c>
      <c r="B20886" t="s">
        <v>33891</v>
      </c>
      <c r="C20886" t="s">
        <v>454</v>
      </c>
      <c r="D20886" t="s">
        <v>52</v>
      </c>
      <c r="E20886" t="s">
        <v>803</v>
      </c>
      <c r="F20886" s="2" t="str">
        <f>HYPERLINK("http://www.otzar.org/book.asp?25740","לשון ים - 5 כר'")</f>
        <v>לשון ים - 5 כר'</v>
      </c>
    </row>
    <row r="20887" spans="1:6" x14ac:dyDescent="0.2">
      <c r="A20887" t="s">
        <v>33892</v>
      </c>
      <c r="B20887" t="s">
        <v>1091</v>
      </c>
      <c r="C20887" t="s">
        <v>133</v>
      </c>
      <c r="D20887" t="s">
        <v>21</v>
      </c>
      <c r="E20887" t="s">
        <v>104</v>
      </c>
      <c r="F20887" s="2" t="str">
        <f>HYPERLINK("http://www.otzar.org/book.asp?605665","לשון לימודים")</f>
        <v>לשון לימודים</v>
      </c>
    </row>
    <row r="20888" spans="1:6" x14ac:dyDescent="0.2">
      <c r="A20888" t="s">
        <v>33893</v>
      </c>
      <c r="B20888" t="s">
        <v>19746</v>
      </c>
      <c r="C20888" t="s">
        <v>33894</v>
      </c>
      <c r="D20888" t="s">
        <v>1490</v>
      </c>
      <c r="F20888" s="2" t="str">
        <f>HYPERLINK("http://www.otzar.org/book.asp?152800","לשון למודים - 2 כר'")</f>
        <v>לשון למודים - 2 כר'</v>
      </c>
    </row>
    <row r="20889" spans="1:6" x14ac:dyDescent="0.2">
      <c r="A20889" t="s">
        <v>33895</v>
      </c>
      <c r="B20889" t="s">
        <v>33896</v>
      </c>
      <c r="C20889" t="s">
        <v>189</v>
      </c>
      <c r="D20889" t="s">
        <v>152</v>
      </c>
      <c r="E20889" t="s">
        <v>144</v>
      </c>
      <c r="F20889" s="2" t="str">
        <f>HYPERLINK("http://www.otzar.org/book.asp?63657","לשון למודים")</f>
        <v>לשון למודים</v>
      </c>
    </row>
    <row r="20890" spans="1:6" x14ac:dyDescent="0.2">
      <c r="A20890" t="s">
        <v>33893</v>
      </c>
      <c r="B20890" t="s">
        <v>33897</v>
      </c>
      <c r="C20890" t="s">
        <v>8678</v>
      </c>
      <c r="D20890" t="s">
        <v>157</v>
      </c>
      <c r="E20890" t="s">
        <v>148</v>
      </c>
      <c r="F20890" s="2" t="str">
        <f>HYPERLINK("http://www.otzar.org/book.asp?83799","לשון למודים - 2 כר'")</f>
        <v>לשון למודים - 2 כר'</v>
      </c>
    </row>
    <row r="20891" spans="1:6" x14ac:dyDescent="0.2">
      <c r="A20891" t="s">
        <v>33898</v>
      </c>
      <c r="B20891" t="s">
        <v>1390</v>
      </c>
      <c r="C20891" t="s">
        <v>17</v>
      </c>
      <c r="D20891" t="s">
        <v>14</v>
      </c>
      <c r="E20891" t="s">
        <v>1438</v>
      </c>
      <c r="F20891" s="2" t="str">
        <f>HYPERLINK("http://www.otzar.org/book.asp?153554","לשון למודים - 4 כר'")</f>
        <v>לשון למודים - 4 כר'</v>
      </c>
    </row>
    <row r="20892" spans="1:6" x14ac:dyDescent="0.2">
      <c r="A20892" t="s">
        <v>33895</v>
      </c>
      <c r="B20892" t="s">
        <v>33899</v>
      </c>
      <c r="C20892" t="s">
        <v>87</v>
      </c>
      <c r="D20892" t="s">
        <v>14</v>
      </c>
      <c r="E20892" t="s">
        <v>15</v>
      </c>
      <c r="F20892" s="2" t="str">
        <f>HYPERLINK("http://www.otzar.org/book.asp?154103","לשון למודים")</f>
        <v>לשון למודים</v>
      </c>
    </row>
    <row r="20893" spans="1:6" x14ac:dyDescent="0.2">
      <c r="A20893" t="s">
        <v>33900</v>
      </c>
      <c r="B20893" t="s">
        <v>33901</v>
      </c>
      <c r="C20893" t="s">
        <v>422</v>
      </c>
      <c r="D20893" t="s">
        <v>412</v>
      </c>
      <c r="E20893" t="s">
        <v>130</v>
      </c>
      <c r="F20893" s="2" t="str">
        <f>HYPERLINK("http://www.otzar.org/book.asp?627263","לשון מרפא - הלכות רפואה בשבת")</f>
        <v>לשון מרפא - הלכות רפואה בשבת</v>
      </c>
    </row>
    <row r="20894" spans="1:6" x14ac:dyDescent="0.2">
      <c r="A20894" t="s">
        <v>33902</v>
      </c>
      <c r="B20894" t="s">
        <v>338</v>
      </c>
      <c r="C20894" t="s">
        <v>37</v>
      </c>
      <c r="D20894" t="s">
        <v>14</v>
      </c>
      <c r="E20894" t="s">
        <v>158</v>
      </c>
      <c r="F20894" s="2" t="str">
        <f>HYPERLINK("http://www.otzar.org/book.asp?182457","לשון מרפא - 2 כר'")</f>
        <v>לשון מרפא - 2 כר'</v>
      </c>
    </row>
    <row r="20895" spans="1:6" x14ac:dyDescent="0.2">
      <c r="A20895" t="s">
        <v>33903</v>
      </c>
      <c r="B20895" t="s">
        <v>33904</v>
      </c>
      <c r="C20895" t="s">
        <v>176</v>
      </c>
      <c r="D20895" t="s">
        <v>115</v>
      </c>
      <c r="F20895" s="2" t="str">
        <f>HYPERLINK("http://www.otzar.org/book.asp?608176","לשון מרפא")</f>
        <v>לשון מרפא</v>
      </c>
    </row>
    <row r="20896" spans="1:6" x14ac:dyDescent="0.2">
      <c r="A20896" t="s">
        <v>33905</v>
      </c>
      <c r="B20896" t="s">
        <v>25232</v>
      </c>
      <c r="C20896" t="s">
        <v>51</v>
      </c>
      <c r="D20896" t="s">
        <v>14</v>
      </c>
      <c r="E20896" t="s">
        <v>84</v>
      </c>
      <c r="F20896" s="2" t="str">
        <f>HYPERLINK("http://www.otzar.org/book.asp?62628","לשון משנה")</f>
        <v>לשון משנה</v>
      </c>
    </row>
    <row r="20897" spans="1:6" x14ac:dyDescent="0.2">
      <c r="A20897" t="s">
        <v>33906</v>
      </c>
      <c r="B20897" t="s">
        <v>33907</v>
      </c>
      <c r="C20897" t="s">
        <v>11715</v>
      </c>
      <c r="D20897" t="s">
        <v>1023</v>
      </c>
      <c r="E20897" t="s">
        <v>579</v>
      </c>
      <c r="F20897" s="2" t="str">
        <f>HYPERLINK("http://www.otzar.org/book.asp?189352","לשון נקי")</f>
        <v>לשון נקי</v>
      </c>
    </row>
    <row r="20898" spans="1:6" x14ac:dyDescent="0.2">
      <c r="A20898" t="s">
        <v>33908</v>
      </c>
      <c r="B20898" t="s">
        <v>33897</v>
      </c>
      <c r="C20898" t="s">
        <v>4538</v>
      </c>
      <c r="D20898" t="s">
        <v>157</v>
      </c>
      <c r="E20898" t="s">
        <v>234</v>
      </c>
      <c r="F20898" s="2" t="str">
        <f>HYPERLINK("http://www.otzar.org/book.asp?18992","לשון ערומים")</f>
        <v>לשון ערומים</v>
      </c>
    </row>
    <row r="20899" spans="1:6" x14ac:dyDescent="0.2">
      <c r="A20899" t="s">
        <v>33909</v>
      </c>
      <c r="B20899" t="s">
        <v>107</v>
      </c>
      <c r="C20899" t="s">
        <v>20</v>
      </c>
      <c r="D20899" t="s">
        <v>14</v>
      </c>
      <c r="E20899" t="s">
        <v>213</v>
      </c>
      <c r="F20899" s="2" t="str">
        <f>HYPERLINK("http://www.otzar.org/book.asp?6519","לשון קדושה")</f>
        <v>לשון קדושה</v>
      </c>
    </row>
    <row r="20900" spans="1:6" x14ac:dyDescent="0.2">
      <c r="A20900" t="s">
        <v>33910</v>
      </c>
      <c r="B20900" t="s">
        <v>33911</v>
      </c>
      <c r="C20900" t="s">
        <v>111</v>
      </c>
      <c r="D20900" t="s">
        <v>14</v>
      </c>
      <c r="E20900" t="s">
        <v>144</v>
      </c>
      <c r="F20900" s="2" t="str">
        <f>HYPERLINK("http://www.otzar.org/book.asp?629415","לשונות ארגמן - 2 כר'")</f>
        <v>לשונות ארגמן - 2 כר'</v>
      </c>
    </row>
    <row r="20901" spans="1:6" x14ac:dyDescent="0.2">
      <c r="A20901" t="s">
        <v>33912</v>
      </c>
      <c r="B20901" t="s">
        <v>5975</v>
      </c>
      <c r="C20901" t="s">
        <v>533</v>
      </c>
      <c r="D20901" t="s">
        <v>216</v>
      </c>
      <c r="E20901" t="s">
        <v>1211</v>
      </c>
      <c r="F20901" s="2" t="str">
        <f>HYPERLINK("http://www.otzar.org/book.asp?158878","לשונות פירוש והוספות מאוחרות בתלמוד הבבלי - תדפיס")</f>
        <v>לשונות פירוש והוספות מאוחרות בתלמוד הבבלי - תדפיס</v>
      </c>
    </row>
    <row r="20902" spans="1:6" x14ac:dyDescent="0.2">
      <c r="A20902" t="s">
        <v>33913</v>
      </c>
      <c r="B20902" t="s">
        <v>23903</v>
      </c>
      <c r="C20902" t="s">
        <v>454</v>
      </c>
      <c r="D20902" t="s">
        <v>52</v>
      </c>
      <c r="E20902" t="s">
        <v>33914</v>
      </c>
      <c r="F20902" s="2" t="str">
        <f>HYPERLINK("http://www.otzar.org/book.asp?107204","לשונות קודש - מסכת אבות")</f>
        <v>לשונות קודש - מסכת אבות</v>
      </c>
    </row>
    <row r="20903" spans="1:6" x14ac:dyDescent="0.2">
      <c r="A20903" t="s">
        <v>33915</v>
      </c>
      <c r="B20903" t="s">
        <v>2417</v>
      </c>
      <c r="C20903" t="s">
        <v>51</v>
      </c>
      <c r="D20903" t="s">
        <v>52</v>
      </c>
      <c r="E20903" t="s">
        <v>32006</v>
      </c>
      <c r="F20903" s="2" t="str">
        <f>HYPERLINK("http://www.otzar.org/book.asp?107262","לשונות של אש - 2 כר'")</f>
        <v>לשונות של אש - 2 כר'</v>
      </c>
    </row>
    <row r="20904" spans="1:6" x14ac:dyDescent="0.2">
      <c r="A20904" t="s">
        <v>33916</v>
      </c>
      <c r="B20904" t="s">
        <v>33917</v>
      </c>
      <c r="C20904" t="s">
        <v>366</v>
      </c>
      <c r="D20904" t="s">
        <v>21</v>
      </c>
      <c r="E20904" t="s">
        <v>213</v>
      </c>
      <c r="F20904" s="2" t="str">
        <f>HYPERLINK("http://www.otzar.org/book.asp?607259","לשיח באמרתך")</f>
        <v>לשיח באמרתך</v>
      </c>
    </row>
    <row r="20905" spans="1:6" x14ac:dyDescent="0.2">
      <c r="A20905" t="s">
        <v>33918</v>
      </c>
      <c r="B20905" t="s">
        <v>33919</v>
      </c>
      <c r="C20905" t="s">
        <v>422</v>
      </c>
      <c r="D20905" t="s">
        <v>52</v>
      </c>
      <c r="E20905" t="s">
        <v>213</v>
      </c>
      <c r="F20905" s="2" t="str">
        <f>HYPERLINK("http://www.otzar.org/book.asp?611902","לשכנו תדרשו")</f>
        <v>לשכנו תדרשו</v>
      </c>
    </row>
    <row r="20906" spans="1:6" x14ac:dyDescent="0.2">
      <c r="A20906" t="s">
        <v>33920</v>
      </c>
      <c r="B20906" t="s">
        <v>28635</v>
      </c>
      <c r="C20906" t="s">
        <v>68</v>
      </c>
      <c r="D20906" t="s">
        <v>147</v>
      </c>
      <c r="E20906" t="s">
        <v>104</v>
      </c>
      <c r="F20906" s="2" t="str">
        <f>HYPERLINK("http://www.otzar.org/book.asp?625278","לשכנו תדרשו - 2 כר'")</f>
        <v>לשכנו תדרשו - 2 כר'</v>
      </c>
    </row>
    <row r="20907" spans="1:6" x14ac:dyDescent="0.2">
      <c r="A20907" t="s">
        <v>33920</v>
      </c>
      <c r="B20907" t="s">
        <v>24067</v>
      </c>
      <c r="C20907" t="s">
        <v>383</v>
      </c>
      <c r="D20907" t="s">
        <v>52</v>
      </c>
      <c r="E20907" t="s">
        <v>241</v>
      </c>
      <c r="F20907" s="2" t="str">
        <f>HYPERLINK("http://www.otzar.org/book.asp?83747","לשכנו תדרשו - 2 כר'")</f>
        <v>לשכנו תדרשו - 2 כר'</v>
      </c>
    </row>
    <row r="20908" spans="1:6" x14ac:dyDescent="0.2">
      <c r="A20908" t="s">
        <v>33921</v>
      </c>
      <c r="B20908" t="s">
        <v>33922</v>
      </c>
      <c r="C20908" t="s">
        <v>133</v>
      </c>
      <c r="D20908" t="s">
        <v>245</v>
      </c>
      <c r="E20908" t="s">
        <v>104</v>
      </c>
      <c r="F20908" s="2" t="str">
        <f>HYPERLINK("http://www.otzar.org/book.asp?172644","לשכת המלח")</f>
        <v>לשכת המלח</v>
      </c>
    </row>
    <row r="20909" spans="1:6" x14ac:dyDescent="0.2">
      <c r="A20909" t="s">
        <v>33923</v>
      </c>
      <c r="B20909" t="s">
        <v>10112</v>
      </c>
      <c r="C20909" t="s">
        <v>1058</v>
      </c>
      <c r="D20909" t="s">
        <v>56</v>
      </c>
      <c r="E20909" t="s">
        <v>15</v>
      </c>
      <c r="F20909" s="2" t="str">
        <f>HYPERLINK("http://www.otzar.org/book.asp?300078","לשכת הסופר")</f>
        <v>לשכת הסופר</v>
      </c>
    </row>
    <row r="20910" spans="1:6" x14ac:dyDescent="0.2">
      <c r="A20910" t="s">
        <v>33924</v>
      </c>
      <c r="B20910" t="s">
        <v>33925</v>
      </c>
      <c r="C20910" t="s">
        <v>146</v>
      </c>
      <c r="D20910" t="s">
        <v>14</v>
      </c>
      <c r="E20910" t="s">
        <v>2091</v>
      </c>
      <c r="F20910" s="2" t="str">
        <f>HYPERLINK("http://www.otzar.org/book.asp?156863","לשכת הקודש - 2 כר'")</f>
        <v>לשכת הקודש - 2 כר'</v>
      </c>
    </row>
    <row r="20911" spans="1:6" x14ac:dyDescent="0.2">
      <c r="A20911" t="s">
        <v>33926</v>
      </c>
      <c r="B20911" t="s">
        <v>10171</v>
      </c>
      <c r="C20911" t="s">
        <v>445</v>
      </c>
      <c r="D20911" t="s">
        <v>280</v>
      </c>
      <c r="E20911" t="s">
        <v>202</v>
      </c>
      <c r="F20911" s="2" t="str">
        <f>HYPERLINK("http://www.otzar.org/book.asp?182236","לשלמה")</f>
        <v>לשלמה</v>
      </c>
    </row>
    <row r="20912" spans="1:6" x14ac:dyDescent="0.2">
      <c r="A20912" t="s">
        <v>33927</v>
      </c>
      <c r="B20912" t="s">
        <v>33928</v>
      </c>
      <c r="C20912" t="s">
        <v>6624</v>
      </c>
      <c r="D20912" t="s">
        <v>42</v>
      </c>
      <c r="E20912" t="s">
        <v>144</v>
      </c>
      <c r="F20912" s="2" t="str">
        <f>HYPERLINK("http://www.otzar.org/book.asp?101281","לשם זבח")</f>
        <v>לשם זבח</v>
      </c>
    </row>
    <row r="20913" spans="1:6" x14ac:dyDescent="0.2">
      <c r="A20913" t="s">
        <v>33929</v>
      </c>
      <c r="B20913" t="s">
        <v>13594</v>
      </c>
      <c r="C20913" t="s">
        <v>433</v>
      </c>
      <c r="D20913" t="s">
        <v>14</v>
      </c>
      <c r="E20913" t="s">
        <v>399</v>
      </c>
      <c r="F20913" s="2" t="str">
        <f>HYPERLINK("http://www.otzar.org/book.asp?617517","לשם שבו ואחלמה - 8 כר'")</f>
        <v>לשם שבו ואחלמה - 8 כר'</v>
      </c>
    </row>
    <row r="20914" spans="1:6" x14ac:dyDescent="0.2">
      <c r="A20914" t="s">
        <v>33930</v>
      </c>
      <c r="B20914" t="s">
        <v>15380</v>
      </c>
      <c r="C20914" t="s">
        <v>1124</v>
      </c>
      <c r="D20914" t="s">
        <v>56</v>
      </c>
      <c r="E20914" t="s">
        <v>144</v>
      </c>
      <c r="F20914" s="2" t="str">
        <f>HYPERLINK("http://www.otzar.org/book.asp?101049","לשמוע בלמודים")</f>
        <v>לשמוע בלמודים</v>
      </c>
    </row>
    <row r="20915" spans="1:6" x14ac:dyDescent="0.2">
      <c r="A20915" t="s">
        <v>33931</v>
      </c>
      <c r="B20915" t="s">
        <v>2396</v>
      </c>
      <c r="C20915" t="s">
        <v>20</v>
      </c>
      <c r="D20915" t="s">
        <v>90</v>
      </c>
      <c r="E20915" t="s">
        <v>144</v>
      </c>
      <c r="F20915" s="2" t="str">
        <f>HYPERLINK("http://www.otzar.org/book.asp?63610","לשמוע בקול דברו")</f>
        <v>לשמוע בקול דברו</v>
      </c>
    </row>
    <row r="20916" spans="1:6" x14ac:dyDescent="0.2">
      <c r="A20916" t="s">
        <v>33932</v>
      </c>
      <c r="B20916" t="s">
        <v>33933</v>
      </c>
      <c r="C20916" t="s">
        <v>624</v>
      </c>
      <c r="E20916" t="s">
        <v>202</v>
      </c>
      <c r="F20916" s="2" t="str">
        <f>HYPERLINK("http://www.otzar.org/book.asp?191234","לשמוע")</f>
        <v>לשמוע</v>
      </c>
    </row>
    <row r="20917" spans="1:6" x14ac:dyDescent="0.2">
      <c r="A20917" t="s">
        <v>33934</v>
      </c>
      <c r="B20917" t="s">
        <v>33935</v>
      </c>
      <c r="C20917" t="s">
        <v>129</v>
      </c>
      <c r="D20917" t="s">
        <v>14</v>
      </c>
      <c r="E20917" t="s">
        <v>202</v>
      </c>
      <c r="F20917" s="2" t="str">
        <f>HYPERLINK("http://www.otzar.org/book.asp?52727","לשמש שם אהל - 2 כר'")</f>
        <v>לשמש שם אהל - 2 כר'</v>
      </c>
    </row>
    <row r="20918" spans="1:6" x14ac:dyDescent="0.2">
      <c r="A20918" t="s">
        <v>33936</v>
      </c>
      <c r="B20918" t="s">
        <v>33937</v>
      </c>
      <c r="C20918" t="s">
        <v>775</v>
      </c>
      <c r="D20918" t="s">
        <v>21</v>
      </c>
      <c r="E20918" t="s">
        <v>144</v>
      </c>
      <c r="F20918" s="2" t="str">
        <f>HYPERLINK("http://www.otzar.org/book.asp?605315","לשנה טובה")</f>
        <v>לשנה טובה</v>
      </c>
    </row>
    <row r="20919" spans="1:6" x14ac:dyDescent="0.2">
      <c r="A20919" t="s">
        <v>33938</v>
      </c>
      <c r="B20919" t="s">
        <v>1306</v>
      </c>
      <c r="C20919" t="s">
        <v>1619</v>
      </c>
      <c r="D20919" t="s">
        <v>27</v>
      </c>
      <c r="E20919" t="s">
        <v>15</v>
      </c>
      <c r="F20919" s="2" t="str">
        <f>HYPERLINK("http://www.otzar.org/book.asp?163698","לשנת השמיטה")</f>
        <v>לשנת השמיטה</v>
      </c>
    </row>
    <row r="20920" spans="1:6" x14ac:dyDescent="0.2">
      <c r="A20920" t="s">
        <v>33939</v>
      </c>
      <c r="B20920" t="s">
        <v>1275</v>
      </c>
      <c r="C20920" t="s">
        <v>151</v>
      </c>
      <c r="D20920" t="s">
        <v>14</v>
      </c>
      <c r="E20920" t="s">
        <v>104</v>
      </c>
      <c r="F20920" s="2" t="str">
        <f>HYPERLINK("http://www.otzar.org/book.asp?626231","לשעה ולדורות")</f>
        <v>לשעה ולדורות</v>
      </c>
    </row>
    <row r="20921" spans="1:6" x14ac:dyDescent="0.2">
      <c r="A20921" t="s">
        <v>33939</v>
      </c>
      <c r="B20921" t="s">
        <v>9479</v>
      </c>
      <c r="C20921" t="s">
        <v>1663</v>
      </c>
      <c r="D20921" t="s">
        <v>33940</v>
      </c>
      <c r="E20921" t="s">
        <v>165</v>
      </c>
      <c r="F20921" s="2" t="str">
        <f>HYPERLINK("http://www.otzar.org/book.asp?144871","לשעה ולדורות")</f>
        <v>לשעה ולדורות</v>
      </c>
    </row>
    <row r="20922" spans="1:6" x14ac:dyDescent="0.2">
      <c r="A20922" t="s">
        <v>33939</v>
      </c>
      <c r="B20922" t="s">
        <v>21538</v>
      </c>
      <c r="C20922" t="s">
        <v>427</v>
      </c>
      <c r="D20922" t="s">
        <v>216</v>
      </c>
      <c r="E20922" t="s">
        <v>230</v>
      </c>
      <c r="F20922" s="2" t="str">
        <f>HYPERLINK("http://www.otzar.org/book.asp?161543","לשעה ולדורות")</f>
        <v>לשעה ולדורות</v>
      </c>
    </row>
    <row r="20923" spans="1:6" x14ac:dyDescent="0.2">
      <c r="A20923" t="s">
        <v>33941</v>
      </c>
      <c r="B20923" t="s">
        <v>3367</v>
      </c>
      <c r="C20923" t="s">
        <v>411</v>
      </c>
      <c r="D20923" t="s">
        <v>52</v>
      </c>
      <c r="E20923" t="s">
        <v>674</v>
      </c>
      <c r="F20923" s="2" t="str">
        <f>HYPERLINK("http://www.otzar.org/book.asp?167822","לשעה ולדורות - 2 כר'")</f>
        <v>לשעה ולדורות - 2 כר'</v>
      </c>
    </row>
    <row r="20924" spans="1:6" x14ac:dyDescent="0.2">
      <c r="A20924" t="s">
        <v>33939</v>
      </c>
      <c r="B20924" t="s">
        <v>12971</v>
      </c>
      <c r="C20924" t="s">
        <v>919</v>
      </c>
      <c r="D20924" t="s">
        <v>14</v>
      </c>
      <c r="E20924" t="s">
        <v>733</v>
      </c>
      <c r="F20924" s="2" t="str">
        <f>HYPERLINK("http://www.otzar.org/book.asp?28659","לשעה ולדורות")</f>
        <v>לשעה ולדורות</v>
      </c>
    </row>
    <row r="20925" spans="1:6" x14ac:dyDescent="0.2">
      <c r="A20925" t="s">
        <v>33942</v>
      </c>
      <c r="B20925" t="s">
        <v>33943</v>
      </c>
      <c r="C20925" t="s">
        <v>2323</v>
      </c>
      <c r="D20925" t="s">
        <v>49</v>
      </c>
      <c r="E20925" t="s">
        <v>119</v>
      </c>
      <c r="F20925" s="2" t="str">
        <f>HYPERLINK("http://www.otzar.org/book.asp?84554","לשרידים אשר ה' קורא - &lt;מודעה למכירת טליתות&gt;")</f>
        <v>לשרידים אשר ה' קורא - &lt;מודעה למכירת טליתות&gt;</v>
      </c>
    </row>
    <row r="20926" spans="1:6" x14ac:dyDescent="0.2">
      <c r="A20926" t="s">
        <v>33944</v>
      </c>
      <c r="B20926" t="s">
        <v>33945</v>
      </c>
      <c r="C20926" t="s">
        <v>411</v>
      </c>
      <c r="D20926" t="s">
        <v>14</v>
      </c>
      <c r="E20926" t="s">
        <v>144</v>
      </c>
      <c r="F20926" s="2" t="str">
        <f>HYPERLINK("http://www.otzar.org/book.asp?175587","לשרת בקדש")</f>
        <v>לשרת בקדש</v>
      </c>
    </row>
    <row r="20927" spans="1:6" x14ac:dyDescent="0.2">
      <c r="A20927" t="s">
        <v>33946</v>
      </c>
      <c r="B20927" t="s">
        <v>7346</v>
      </c>
      <c r="C20927" t="s">
        <v>785</v>
      </c>
      <c r="D20927" t="s">
        <v>115</v>
      </c>
      <c r="E20927" t="s">
        <v>144</v>
      </c>
      <c r="F20927" s="2" t="str">
        <f>HYPERLINK("http://www.otzar.org/book.asp?618144","לשרת בקודש - זבחים ב")</f>
        <v>לשרת בקודש - זבחים ב</v>
      </c>
    </row>
    <row r="20928" spans="1:6" x14ac:dyDescent="0.2">
      <c r="A20928" t="s">
        <v>33947</v>
      </c>
      <c r="B20928" t="s">
        <v>33948</v>
      </c>
      <c r="C20928" t="s">
        <v>244</v>
      </c>
      <c r="D20928" t="s">
        <v>14</v>
      </c>
      <c r="F20928" s="2" t="str">
        <f>HYPERLINK("http://www.otzar.org/book.asp?610924","לשרת בקודש")</f>
        <v>לשרת בקודש</v>
      </c>
    </row>
    <row r="20929" spans="1:6" x14ac:dyDescent="0.2">
      <c r="A20929" t="s">
        <v>33949</v>
      </c>
      <c r="B20929" t="s">
        <v>7220</v>
      </c>
      <c r="C20929" t="s">
        <v>51</v>
      </c>
      <c r="D20929" t="s">
        <v>52</v>
      </c>
      <c r="E20929" t="s">
        <v>1262</v>
      </c>
      <c r="F20929" s="2" t="str">
        <f>HYPERLINK("http://www.otzar.org/book.asp?148275","לששון ולשמחה")</f>
        <v>לששון ולשמחה</v>
      </c>
    </row>
    <row r="20930" spans="1:6" x14ac:dyDescent="0.2">
      <c r="A20930" t="s">
        <v>33950</v>
      </c>
      <c r="B20930" t="s">
        <v>13893</v>
      </c>
      <c r="C20930" t="s">
        <v>438</v>
      </c>
      <c r="D20930" t="s">
        <v>412</v>
      </c>
      <c r="E20930" t="s">
        <v>119</v>
      </c>
      <c r="F20930" s="2" t="str">
        <f>HYPERLINK("http://www.otzar.org/book.asp?142209","לתולדות הגאון בעל חוות דעת זצ""ל")</f>
        <v>לתולדות הגאון בעל חוות דעת זצ"ל</v>
      </c>
    </row>
    <row r="20931" spans="1:6" x14ac:dyDescent="0.2">
      <c r="A20931" t="s">
        <v>33951</v>
      </c>
      <c r="B20931" t="s">
        <v>33952</v>
      </c>
      <c r="C20931" t="s">
        <v>1535</v>
      </c>
      <c r="D20931" t="s">
        <v>10393</v>
      </c>
      <c r="E20931" t="s">
        <v>5860</v>
      </c>
      <c r="F20931" s="2" t="str">
        <f>HYPERLINK("http://www.otzar.org/book.asp?18995","לתולדות היהודים בקובנה וסלבודקה")</f>
        <v>לתולדות היהודים בקובנה וסלבודקה</v>
      </c>
    </row>
    <row r="20932" spans="1:6" x14ac:dyDescent="0.2">
      <c r="A20932" t="s">
        <v>33953</v>
      </c>
      <c r="B20932" t="s">
        <v>33954</v>
      </c>
      <c r="C20932" t="s">
        <v>3840</v>
      </c>
      <c r="D20932" t="s">
        <v>14</v>
      </c>
      <c r="E20932" t="s">
        <v>119</v>
      </c>
      <c r="F20932" s="2" t="str">
        <f>HYPERLINK("http://www.otzar.org/book.asp?149034","לתולדות הישיבה בוולוז'ין (תדפיס)")</f>
        <v>לתולדות הישיבה בוולוז'ין (תדפיס)</v>
      </c>
    </row>
    <row r="20933" spans="1:6" x14ac:dyDescent="0.2">
      <c r="A20933" t="s">
        <v>33955</v>
      </c>
      <c r="B20933" t="s">
        <v>3027</v>
      </c>
      <c r="C20933" t="s">
        <v>237</v>
      </c>
      <c r="D20933" t="s">
        <v>14</v>
      </c>
      <c r="F20933" s="2" t="str">
        <f>HYPERLINK("http://www.otzar.org/book.asp?181815","לתולדות הישיבות כנסת יחזקאל וחסד אל בירושלים")</f>
        <v>לתולדות הישיבות כנסת יחזקאל וחסד אל בירושלים</v>
      </c>
    </row>
    <row r="20934" spans="1:6" x14ac:dyDescent="0.2">
      <c r="A20934" t="s">
        <v>33956</v>
      </c>
      <c r="B20934" t="s">
        <v>4975</v>
      </c>
      <c r="C20934" t="s">
        <v>433</v>
      </c>
      <c r="D20934" t="s">
        <v>9</v>
      </c>
      <c r="E20934" t="s">
        <v>119</v>
      </c>
      <c r="F20934" s="2" t="str">
        <f>HYPERLINK("http://www.otzar.org/book.asp?15391","לתולדות הסנהדרין בישראל")</f>
        <v>לתולדות הסנהדרין בישראל</v>
      </c>
    </row>
    <row r="20935" spans="1:6" x14ac:dyDescent="0.2">
      <c r="A20935" t="s">
        <v>33957</v>
      </c>
      <c r="B20935" t="s">
        <v>5975</v>
      </c>
      <c r="C20935" t="s">
        <v>356</v>
      </c>
      <c r="D20935" t="s">
        <v>2458</v>
      </c>
      <c r="E20935" t="s">
        <v>733</v>
      </c>
      <c r="F20935" s="2" t="str">
        <f>HYPERLINK("http://www.otzar.org/book.asp?158944","לתולדות הרב שלמה אלגאזי והדפסת ספריו - תדפיס")</f>
        <v>לתולדות הרב שלמה אלגאזי והדפסת ספריו - תדפיס</v>
      </c>
    </row>
    <row r="20936" spans="1:6" x14ac:dyDescent="0.2">
      <c r="A20936" t="s">
        <v>33958</v>
      </c>
      <c r="B20936" t="s">
        <v>4975</v>
      </c>
      <c r="C20936" t="s">
        <v>79</v>
      </c>
      <c r="D20936" t="s">
        <v>9</v>
      </c>
      <c r="E20936" t="s">
        <v>583</v>
      </c>
      <c r="F20936" s="2" t="str">
        <f>HYPERLINK("http://www.otzar.org/book.asp?15392","לתולדות הריפורמציאן הדתית בגרמניא ובאונגריא")</f>
        <v>לתולדות הריפורמציאן הדתית בגרמניא ובאונגריא</v>
      </c>
    </row>
    <row r="20937" spans="1:6" x14ac:dyDescent="0.2">
      <c r="A20937" t="s">
        <v>33959</v>
      </c>
      <c r="B20937" t="s">
        <v>33960</v>
      </c>
      <c r="C20937" t="s">
        <v>8</v>
      </c>
      <c r="D20937" t="s">
        <v>322</v>
      </c>
      <c r="E20937" t="s">
        <v>33961</v>
      </c>
      <c r="F20937" s="2" t="str">
        <f>HYPERLINK("http://www.otzar.org/book.asp?103464","לתולדות כתבי יד המשנה")</f>
        <v>לתולדות כתבי יד המשנה</v>
      </c>
    </row>
    <row r="20938" spans="1:6" x14ac:dyDescent="0.2">
      <c r="A20938" t="s">
        <v>33962</v>
      </c>
      <c r="B20938" t="s">
        <v>33963</v>
      </c>
      <c r="C20938" t="s">
        <v>103</v>
      </c>
      <c r="D20938" t="s">
        <v>52</v>
      </c>
      <c r="E20938" t="s">
        <v>119</v>
      </c>
      <c r="F20938" s="2" t="str">
        <f>HYPERLINK("http://www.otzar.org/book.asp?147976","לתולדות משפחת רוזנבוים הירש")</f>
        <v>לתולדות משפחת רוזנבוים הירש</v>
      </c>
    </row>
    <row r="20939" spans="1:6" x14ac:dyDescent="0.2">
      <c r="A20939" t="s">
        <v>33964</v>
      </c>
      <c r="B20939" t="s">
        <v>33965</v>
      </c>
      <c r="C20939" t="s">
        <v>812</v>
      </c>
      <c r="D20939" t="s">
        <v>412</v>
      </c>
      <c r="E20939" t="s">
        <v>246</v>
      </c>
      <c r="F20939" s="2" t="str">
        <f>HYPERLINK("http://www.otzar.org/book.asp?172252","לתולדות נר של שבת")</f>
        <v>לתולדות נר של שבת</v>
      </c>
    </row>
    <row r="20940" spans="1:6" x14ac:dyDescent="0.2">
      <c r="A20940" t="s">
        <v>33966</v>
      </c>
      <c r="B20940" t="s">
        <v>21069</v>
      </c>
      <c r="C20940" t="s">
        <v>23</v>
      </c>
      <c r="D20940" t="s">
        <v>21070</v>
      </c>
      <c r="F20940" s="2" t="str">
        <f>HYPERLINK("http://www.otzar.org/book.asp?603934","לתולדות פולמוס שמיטת תרמ""ט")</f>
        <v>לתולדות פולמוס שמיטת תרמ"ט</v>
      </c>
    </row>
    <row r="20941" spans="1:6" x14ac:dyDescent="0.2">
      <c r="A20941" t="s">
        <v>33967</v>
      </c>
      <c r="B20941" t="s">
        <v>33968</v>
      </c>
      <c r="C20941" t="s">
        <v>777</v>
      </c>
      <c r="D20941" t="s">
        <v>33969</v>
      </c>
      <c r="E20941" t="s">
        <v>119</v>
      </c>
      <c r="F20941" s="2" t="str">
        <f>HYPERLINK("http://www.otzar.org/book.asp?188644","לתולדות קהילת בולונייה")</f>
        <v>לתולדות קהילת בולונייה</v>
      </c>
    </row>
    <row r="20942" spans="1:6" x14ac:dyDescent="0.2">
      <c r="A20942" t="s">
        <v>33970</v>
      </c>
      <c r="B20942" t="s">
        <v>33971</v>
      </c>
      <c r="C20942" t="s">
        <v>1811</v>
      </c>
      <c r="D20942" t="s">
        <v>412</v>
      </c>
      <c r="E20942" t="s">
        <v>202</v>
      </c>
      <c r="F20942" s="2" t="str">
        <f>HYPERLINK("http://www.otzar.org/book.asp?629102","לתורה והוראה - 10 כר'")</f>
        <v>לתורה והוראה - 10 כר'</v>
      </c>
    </row>
    <row r="20943" spans="1:6" x14ac:dyDescent="0.2">
      <c r="A20943" t="s">
        <v>33972</v>
      </c>
      <c r="B20943" t="s">
        <v>33973</v>
      </c>
      <c r="C20943" t="s">
        <v>785</v>
      </c>
      <c r="D20943" t="s">
        <v>412</v>
      </c>
      <c r="E20943" t="s">
        <v>202</v>
      </c>
      <c r="F20943" s="2" t="str">
        <f>HYPERLINK("http://www.otzar.org/book.asp?171594","לתורה והוראה")</f>
        <v>לתורה והוראה</v>
      </c>
    </row>
    <row r="20944" spans="1:6" x14ac:dyDescent="0.2">
      <c r="A20944" t="s">
        <v>33974</v>
      </c>
      <c r="B20944" t="s">
        <v>5449</v>
      </c>
      <c r="C20944" t="s">
        <v>51</v>
      </c>
      <c r="D20944" t="s">
        <v>14</v>
      </c>
      <c r="E20944" t="s">
        <v>8411</v>
      </c>
      <c r="F20944" s="2" t="str">
        <f>HYPERLINK("http://www.otzar.org/book.asp?144944","לתורה ולמועדים &lt;מהדורה חדשה&gt;")</f>
        <v>לתורה ולמועדים &lt;מהדורה חדשה&gt;</v>
      </c>
    </row>
    <row r="20945" spans="1:6" x14ac:dyDescent="0.2">
      <c r="A20945" t="s">
        <v>33975</v>
      </c>
      <c r="B20945" t="s">
        <v>5449</v>
      </c>
      <c r="C20945" t="s">
        <v>334</v>
      </c>
      <c r="D20945" t="s">
        <v>14</v>
      </c>
      <c r="E20945" t="s">
        <v>2071</v>
      </c>
      <c r="F20945" s="2" t="str">
        <f>HYPERLINK("http://www.otzar.org/book.asp?7763","לתורה ולמועדים")</f>
        <v>לתורה ולמועדים</v>
      </c>
    </row>
    <row r="20946" spans="1:6" x14ac:dyDescent="0.2">
      <c r="A20946" t="s">
        <v>33976</v>
      </c>
      <c r="B20946" t="s">
        <v>4545</v>
      </c>
      <c r="C20946" t="s">
        <v>2874</v>
      </c>
      <c r="D20946" t="s">
        <v>563</v>
      </c>
      <c r="E20946" t="s">
        <v>435</v>
      </c>
      <c r="F20946" s="2" t="str">
        <f>HYPERLINK("http://www.otzar.org/book.asp?5659","לתקופת הימים")</f>
        <v>לתקופת הימים</v>
      </c>
    </row>
    <row r="20947" spans="1:6" x14ac:dyDescent="0.2">
      <c r="A20947" t="s">
        <v>33977</v>
      </c>
      <c r="B20947" t="s">
        <v>33978</v>
      </c>
      <c r="C20947" t="s">
        <v>411</v>
      </c>
      <c r="D20947" t="s">
        <v>14</v>
      </c>
      <c r="E20947" t="s">
        <v>241</v>
      </c>
      <c r="F20947" s="2" t="str">
        <f>HYPERLINK("http://www.otzar.org/book.asp?167905","לתקן את הגשר")</f>
        <v>לתקן את הגשר</v>
      </c>
    </row>
    <row r="20948" spans="1:6" x14ac:dyDescent="0.2">
      <c r="A20948" t="s">
        <v>33979</v>
      </c>
      <c r="B20948" t="s">
        <v>33980</v>
      </c>
      <c r="C20948" t="s">
        <v>160</v>
      </c>
      <c r="D20948" t="s">
        <v>27</v>
      </c>
      <c r="E20948" t="s">
        <v>30985</v>
      </c>
      <c r="F20948" s="2" t="str">
        <f>HYPERLINK("http://www.otzar.org/book.asp?101048","לתקנת עגונות")</f>
        <v>לתקנת עגונות</v>
      </c>
    </row>
    <row r="20949" spans="1:6" x14ac:dyDescent="0.2">
      <c r="A20949" t="s">
        <v>33981</v>
      </c>
      <c r="B20949" t="s">
        <v>4064</v>
      </c>
      <c r="C20949" t="s">
        <v>46</v>
      </c>
      <c r="D20949" t="s">
        <v>27</v>
      </c>
      <c r="E20949" t="s">
        <v>564</v>
      </c>
      <c r="F20949" s="2" t="str">
        <f>HYPERLINK("http://www.otzar.org/book.asp?21495","לתשובה ולתקומה")</f>
        <v>לתשובה ולתקומה</v>
      </c>
    </row>
    <row r="20950" spans="1:6" x14ac:dyDescent="0.2">
      <c r="A20950" t="s">
        <v>33982</v>
      </c>
      <c r="B20950" t="s">
        <v>9328</v>
      </c>
      <c r="C20950" t="s">
        <v>37</v>
      </c>
      <c r="D20950" t="s">
        <v>52</v>
      </c>
      <c r="E20950" t="s">
        <v>15</v>
      </c>
      <c r="F20950" s="2" t="str">
        <f>HYPERLINK("http://www.otzar.org/book.asp?183180","לתשובת השנה")</f>
        <v>לתשובת השנה</v>
      </c>
    </row>
    <row r="20951" spans="1:6" x14ac:dyDescent="0.2">
      <c r="A20951" t="s">
        <v>33983</v>
      </c>
      <c r="B20951" t="s">
        <v>1614</v>
      </c>
      <c r="C20951" t="s">
        <v>176</v>
      </c>
      <c r="D20951" t="s">
        <v>216</v>
      </c>
      <c r="E20951" t="s">
        <v>104</v>
      </c>
      <c r="F20951" s="2" t="str">
        <f>HYPERLINK("http://www.otzar.org/book.asp?62882","מ""ח דברים")</f>
        <v>מ"ח דברים</v>
      </c>
    </row>
    <row r="20952" spans="1:6" x14ac:dyDescent="0.2">
      <c r="A20952" t="s">
        <v>33984</v>
      </c>
      <c r="B20952" t="s">
        <v>10797</v>
      </c>
      <c r="C20952" t="s">
        <v>37</v>
      </c>
      <c r="D20952" t="s">
        <v>1156</v>
      </c>
      <c r="F20952" s="2" t="str">
        <f>HYPERLINK("http://www.otzar.org/book.asp?612409","מ""ח קניינים למעשה")</f>
        <v>מ"ח קניינים למעשה</v>
      </c>
    </row>
    <row r="20953" spans="1:6" x14ac:dyDescent="0.2">
      <c r="A20953" t="s">
        <v>33985</v>
      </c>
      <c r="B20953" t="s">
        <v>33986</v>
      </c>
      <c r="C20953" t="s">
        <v>151</v>
      </c>
      <c r="D20953" t="s">
        <v>152</v>
      </c>
      <c r="E20953" t="s">
        <v>148</v>
      </c>
      <c r="F20953" s="2" t="str">
        <f>HYPERLINK("http://www.otzar.org/book.asp?628165","מ""י מנוחות - נזקי שכנים ושכירות פועלים")</f>
        <v>מ"י מנוחות - נזקי שכנים ושכירות פועלים</v>
      </c>
    </row>
    <row r="20954" spans="1:6" x14ac:dyDescent="0.2">
      <c r="A20954" t="s">
        <v>33987</v>
      </c>
      <c r="B20954" t="s">
        <v>5574</v>
      </c>
      <c r="C20954" t="s">
        <v>1609</v>
      </c>
      <c r="D20954" t="s">
        <v>27</v>
      </c>
      <c r="E20954" t="s">
        <v>213</v>
      </c>
      <c r="F20954" s="2" t="str">
        <f>HYPERLINK("http://www.otzar.org/book.asp?15589","מאבדן אלי פדות")</f>
        <v>מאבדן אלי פדות</v>
      </c>
    </row>
    <row r="20955" spans="1:6" x14ac:dyDescent="0.2">
      <c r="A20955" t="s">
        <v>33988</v>
      </c>
      <c r="B20955" t="s">
        <v>33989</v>
      </c>
      <c r="C20955" t="s">
        <v>244</v>
      </c>
      <c r="D20955" t="s">
        <v>14</v>
      </c>
      <c r="E20955" t="s">
        <v>104</v>
      </c>
      <c r="F20955" s="2" t="str">
        <f>HYPERLINK("http://www.otzar.org/book.asp?600739","מאבני המקום")</f>
        <v>מאבני המקום</v>
      </c>
    </row>
    <row r="20956" spans="1:6" x14ac:dyDescent="0.2">
      <c r="A20956" t="s">
        <v>33990</v>
      </c>
      <c r="B20956" t="s">
        <v>33991</v>
      </c>
      <c r="C20956" t="s">
        <v>20</v>
      </c>
      <c r="D20956" t="s">
        <v>6853</v>
      </c>
      <c r="E20956" t="s">
        <v>202</v>
      </c>
      <c r="F20956" s="2" t="str">
        <f>HYPERLINK("http://www.otzar.org/book.asp?195505","מאבני המקום - 18 כר'")</f>
        <v>מאבני המקום - 18 כר'</v>
      </c>
    </row>
    <row r="20957" spans="1:6" x14ac:dyDescent="0.2">
      <c r="A20957" t="s">
        <v>33992</v>
      </c>
      <c r="B20957" t="s">
        <v>28670</v>
      </c>
      <c r="C20957" t="s">
        <v>37</v>
      </c>
      <c r="D20957" t="s">
        <v>14</v>
      </c>
      <c r="E20957" t="s">
        <v>154</v>
      </c>
      <c r="F20957" s="2" t="str">
        <f>HYPERLINK("http://www.otzar.org/book.asp?180142","מאבני המקום - 2 כר'")</f>
        <v>מאבני המקום - 2 כר'</v>
      </c>
    </row>
    <row r="20958" spans="1:6" x14ac:dyDescent="0.2">
      <c r="A20958" t="s">
        <v>33993</v>
      </c>
      <c r="B20958" t="s">
        <v>33994</v>
      </c>
      <c r="C20958" t="s">
        <v>143</v>
      </c>
      <c r="D20958" t="s">
        <v>11626</v>
      </c>
      <c r="E20958" t="s">
        <v>1164</v>
      </c>
      <c r="F20958" s="2" t="str">
        <f>HYPERLINK("http://www.otzar.org/book.asp?627002","מאגדות החורבן")</f>
        <v>מאגדות החורבן</v>
      </c>
    </row>
    <row r="20959" spans="1:6" x14ac:dyDescent="0.2">
      <c r="A20959" t="s">
        <v>33995</v>
      </c>
      <c r="B20959" t="s">
        <v>33996</v>
      </c>
      <c r="C20959" t="s">
        <v>71</v>
      </c>
      <c r="D20959" t="s">
        <v>5421</v>
      </c>
      <c r="E20959" t="s">
        <v>104</v>
      </c>
      <c r="F20959" s="2" t="str">
        <f>HYPERLINK("http://www.otzar.org/book.asp?150184","מאגדות תימן")</f>
        <v>מאגדות תימן</v>
      </c>
    </row>
    <row r="20960" spans="1:6" x14ac:dyDescent="0.2">
      <c r="A20960" t="s">
        <v>33997</v>
      </c>
      <c r="B20960" t="s">
        <v>33998</v>
      </c>
      <c r="C20960" t="s">
        <v>553</v>
      </c>
      <c r="D20960" t="s">
        <v>3939</v>
      </c>
      <c r="E20960" t="s">
        <v>158</v>
      </c>
      <c r="F20960" s="2" t="str">
        <f>HYPERLINK("http://www.otzar.org/book.asp?189256","מאגר לחידוני תנ""ך")</f>
        <v>מאגר לחידוני תנ"ך</v>
      </c>
    </row>
    <row r="20961" spans="1:6" x14ac:dyDescent="0.2">
      <c r="A20961" t="s">
        <v>33999</v>
      </c>
      <c r="B20961" t="s">
        <v>34000</v>
      </c>
      <c r="C20961" t="s">
        <v>366</v>
      </c>
      <c r="D20961" t="s">
        <v>486</v>
      </c>
      <c r="F20961" s="2" t="str">
        <f>HYPERLINK("http://www.otzar.org/book.asp?602112","מאגר ערכים בספרות חב""ד - 4 כר'")</f>
        <v>מאגר ערכים בספרות חב"ד - 4 כר'</v>
      </c>
    </row>
    <row r="20962" spans="1:6" x14ac:dyDescent="0.2">
      <c r="A20962" t="s">
        <v>34001</v>
      </c>
      <c r="B20962" t="s">
        <v>686</v>
      </c>
      <c r="C20962" t="s">
        <v>129</v>
      </c>
      <c r="D20962" t="s">
        <v>52</v>
      </c>
      <c r="E20962" t="s">
        <v>158</v>
      </c>
      <c r="F20962" s="2" t="str">
        <f>HYPERLINK("http://www.otzar.org/book.asp?60728","מאה אדנים")</f>
        <v>מאה אדנים</v>
      </c>
    </row>
    <row r="20963" spans="1:6" x14ac:dyDescent="0.2">
      <c r="A20963" t="s">
        <v>34002</v>
      </c>
      <c r="B20963" t="s">
        <v>5137</v>
      </c>
      <c r="C20963" t="s">
        <v>533</v>
      </c>
      <c r="D20963" t="s">
        <v>14</v>
      </c>
      <c r="E20963" t="s">
        <v>15</v>
      </c>
      <c r="F20963" s="2" t="str">
        <f>HYPERLINK("http://www.otzar.org/book.asp?167026","מאה ברכות")</f>
        <v>מאה ברכות</v>
      </c>
    </row>
    <row r="20964" spans="1:6" x14ac:dyDescent="0.2">
      <c r="A20964" t="s">
        <v>34003</v>
      </c>
      <c r="B20964" t="s">
        <v>15942</v>
      </c>
      <c r="C20964" t="s">
        <v>785</v>
      </c>
      <c r="D20964" t="s">
        <v>14</v>
      </c>
      <c r="E20964" t="s">
        <v>104</v>
      </c>
      <c r="F20964" s="2" t="str">
        <f>HYPERLINK("http://www.otzar.org/book.asp?631426","מאה שנה לחידוש התכלת")</f>
        <v>מאה שנה לחידוש התכלת</v>
      </c>
    </row>
    <row r="20965" spans="1:6" x14ac:dyDescent="0.2">
      <c r="A20965" t="s">
        <v>34004</v>
      </c>
      <c r="B20965" t="s">
        <v>34005</v>
      </c>
      <c r="C20965" t="s">
        <v>383</v>
      </c>
      <c r="D20965" t="s">
        <v>14</v>
      </c>
      <c r="E20965" t="s">
        <v>104</v>
      </c>
      <c r="F20965" s="2" t="str">
        <f>HYPERLINK("http://www.otzar.org/book.asp?176020","מאה שנה של ספרים")</f>
        <v>מאה שנה של ספרים</v>
      </c>
    </row>
    <row r="20966" spans="1:6" x14ac:dyDescent="0.2">
      <c r="A20966" t="s">
        <v>34006</v>
      </c>
      <c r="B20966" t="s">
        <v>34007</v>
      </c>
      <c r="C20966" t="s">
        <v>332</v>
      </c>
      <c r="D20966" t="s">
        <v>115</v>
      </c>
      <c r="E20966" t="s">
        <v>119</v>
      </c>
      <c r="F20966" s="2" t="str">
        <f>HYPERLINK("http://www.otzar.org/book.asp?158342","מאה שנים רבנות ורבנים בפתח תקוה")</f>
        <v>מאה שנים רבנות ורבנים בפתח תקוה</v>
      </c>
    </row>
    <row r="20967" spans="1:6" x14ac:dyDescent="0.2">
      <c r="A20967" t="s">
        <v>34008</v>
      </c>
      <c r="B20967" t="s">
        <v>12971</v>
      </c>
      <c r="C20967" t="s">
        <v>366</v>
      </c>
      <c r="D20967" t="s">
        <v>14</v>
      </c>
      <c r="E20967" t="s">
        <v>733</v>
      </c>
      <c r="F20967" s="2" t="str">
        <f>HYPERLINK("http://www.otzar.org/book.asp?628712","מאה שערים ושכונותיה")</f>
        <v>מאה שערים ושכונותיה</v>
      </c>
    </row>
    <row r="20968" spans="1:6" x14ac:dyDescent="0.2">
      <c r="A20968" t="s">
        <v>34009</v>
      </c>
      <c r="B20968" t="s">
        <v>12971</v>
      </c>
      <c r="C20968" t="s">
        <v>37</v>
      </c>
      <c r="D20968" t="s">
        <v>14</v>
      </c>
      <c r="F20968" s="2" t="str">
        <f>HYPERLINK("http://www.otzar.org/book.asp?610996","מאה שערים שלי")</f>
        <v>מאה שערים שלי</v>
      </c>
    </row>
    <row r="20969" spans="1:6" x14ac:dyDescent="0.2">
      <c r="A20969" t="s">
        <v>34010</v>
      </c>
      <c r="B20969" t="s">
        <v>14509</v>
      </c>
      <c r="C20969" t="s">
        <v>1570</v>
      </c>
      <c r="D20969" t="s">
        <v>14</v>
      </c>
      <c r="E20969" t="s">
        <v>2091</v>
      </c>
      <c r="F20969" s="2" t="str">
        <f>HYPERLINK("http://www.otzar.org/book.asp?13627","מאה שערים")</f>
        <v>מאה שערים</v>
      </c>
    </row>
    <row r="20970" spans="1:6" x14ac:dyDescent="0.2">
      <c r="A20970" t="s">
        <v>34010</v>
      </c>
      <c r="B20970" t="s">
        <v>34011</v>
      </c>
      <c r="C20970" t="s">
        <v>395</v>
      </c>
      <c r="D20970" t="s">
        <v>267</v>
      </c>
      <c r="E20970" t="s">
        <v>144</v>
      </c>
      <c r="F20970" s="2" t="str">
        <f>HYPERLINK("http://www.otzar.org/book.asp?18999","מאה שערים")</f>
        <v>מאה שערים</v>
      </c>
    </row>
    <row r="20971" spans="1:6" x14ac:dyDescent="0.2">
      <c r="A20971" t="s">
        <v>34010</v>
      </c>
      <c r="B20971" t="s">
        <v>34012</v>
      </c>
      <c r="C20971" t="s">
        <v>189</v>
      </c>
      <c r="D20971" t="s">
        <v>14</v>
      </c>
      <c r="E20971" t="s">
        <v>144</v>
      </c>
      <c r="F20971" s="2" t="str">
        <f>HYPERLINK("http://www.otzar.org/book.asp?25814","מאה שערים")</f>
        <v>מאה שערים</v>
      </c>
    </row>
    <row r="20972" spans="1:6" x14ac:dyDescent="0.2">
      <c r="A20972" t="s">
        <v>34010</v>
      </c>
      <c r="B20972" t="s">
        <v>21861</v>
      </c>
      <c r="C20972" t="s">
        <v>114</v>
      </c>
      <c r="D20972" t="s">
        <v>52</v>
      </c>
      <c r="E20972" t="s">
        <v>154</v>
      </c>
      <c r="F20972" s="2" t="str">
        <f>HYPERLINK("http://www.otzar.org/book.asp?171960","מאה שערים")</f>
        <v>מאה שערים</v>
      </c>
    </row>
    <row r="20973" spans="1:6" x14ac:dyDescent="0.2">
      <c r="A20973" t="s">
        <v>34013</v>
      </c>
      <c r="B20973" t="s">
        <v>34014</v>
      </c>
      <c r="C20973" t="s">
        <v>558</v>
      </c>
      <c r="D20973" t="s">
        <v>283</v>
      </c>
      <c r="E20973" t="s">
        <v>234</v>
      </c>
      <c r="F20973" s="2" t="str">
        <f>HYPERLINK("http://www.otzar.org/book.asp?18998","מאה שערים - 2 כר'")</f>
        <v>מאה שערים - 2 כר'</v>
      </c>
    </row>
    <row r="20974" spans="1:6" x14ac:dyDescent="0.2">
      <c r="A20974" t="s">
        <v>34010</v>
      </c>
      <c r="B20974" t="s">
        <v>34015</v>
      </c>
      <c r="C20974" t="s">
        <v>462</v>
      </c>
      <c r="D20974" t="s">
        <v>4269</v>
      </c>
      <c r="F20974" s="2" t="str">
        <f>HYPERLINK("http://www.otzar.org/book.asp?25532","מאה שערים")</f>
        <v>מאה שערים</v>
      </c>
    </row>
    <row r="20975" spans="1:6" x14ac:dyDescent="0.2">
      <c r="A20975" t="s">
        <v>34010</v>
      </c>
      <c r="B20975" t="s">
        <v>8732</v>
      </c>
      <c r="C20975" t="s">
        <v>160</v>
      </c>
      <c r="D20975" t="s">
        <v>27</v>
      </c>
      <c r="E20975" t="s">
        <v>733</v>
      </c>
      <c r="F20975" s="2" t="str">
        <f>HYPERLINK("http://www.otzar.org/book.asp?106375","מאה שערים")</f>
        <v>מאה שערים</v>
      </c>
    </row>
    <row r="20976" spans="1:6" x14ac:dyDescent="0.2">
      <c r="A20976" t="s">
        <v>34010</v>
      </c>
      <c r="B20976" t="s">
        <v>34016</v>
      </c>
      <c r="C20976" t="s">
        <v>777</v>
      </c>
      <c r="D20976" t="s">
        <v>287</v>
      </c>
      <c r="E20976" t="s">
        <v>234</v>
      </c>
      <c r="F20976" s="2" t="str">
        <f>HYPERLINK("http://www.otzar.org/book.asp?146991","מאה שערים")</f>
        <v>מאה שערים</v>
      </c>
    </row>
    <row r="20977" spans="1:6" x14ac:dyDescent="0.2">
      <c r="A20977" t="s">
        <v>34017</v>
      </c>
      <c r="B20977" t="s">
        <v>34018</v>
      </c>
      <c r="C20977" t="s">
        <v>34019</v>
      </c>
      <c r="D20977" t="s">
        <v>76</v>
      </c>
      <c r="F20977" s="2" t="str">
        <f>HYPERLINK("http://www.otzar.org/book.asp?619135","מאה שערים - 3 כר'")</f>
        <v>מאה שערים - 3 כר'</v>
      </c>
    </row>
    <row r="20978" spans="1:6" x14ac:dyDescent="0.2">
      <c r="A20978" t="s">
        <v>34010</v>
      </c>
      <c r="B20978" t="s">
        <v>34020</v>
      </c>
      <c r="C20978" t="s">
        <v>37</v>
      </c>
      <c r="D20978" t="s">
        <v>412</v>
      </c>
      <c r="E20978" t="s">
        <v>144</v>
      </c>
      <c r="F20978" s="2" t="str">
        <f>HYPERLINK("http://www.otzar.org/book.asp?182545","מאה שערים")</f>
        <v>מאה שערים</v>
      </c>
    </row>
    <row r="20979" spans="1:6" x14ac:dyDescent="0.2">
      <c r="A20979" t="s">
        <v>34021</v>
      </c>
      <c r="B20979" t="s">
        <v>8176</v>
      </c>
      <c r="C20979" t="s">
        <v>151</v>
      </c>
      <c r="D20979" t="s">
        <v>108</v>
      </c>
      <c r="E20979" t="s">
        <v>230</v>
      </c>
      <c r="F20979" s="2" t="str">
        <f>HYPERLINK("http://www.otzar.org/book.asp?627093","מאהלי תורה - 2 כר'")</f>
        <v>מאהלי תורה - 2 כר'</v>
      </c>
    </row>
    <row r="20980" spans="1:6" x14ac:dyDescent="0.2">
      <c r="A20980" t="s">
        <v>34022</v>
      </c>
      <c r="B20980" t="s">
        <v>34023</v>
      </c>
      <c r="C20980" t="s">
        <v>1619</v>
      </c>
      <c r="D20980" t="s">
        <v>216</v>
      </c>
      <c r="E20980" t="s">
        <v>104</v>
      </c>
      <c r="F20980" s="2" t="str">
        <f>HYPERLINK("http://www.otzar.org/book.asp?83965","מאוצר גנזי")</f>
        <v>מאוצר גנזי</v>
      </c>
    </row>
    <row r="20981" spans="1:6" x14ac:dyDescent="0.2">
      <c r="A20981" t="s">
        <v>34024</v>
      </c>
      <c r="B20981" t="s">
        <v>23517</v>
      </c>
      <c r="C20981" t="s">
        <v>133</v>
      </c>
      <c r="D20981" t="s">
        <v>14</v>
      </c>
      <c r="E20981" t="s">
        <v>158</v>
      </c>
      <c r="F20981" s="2" t="str">
        <f>HYPERLINK("http://www.otzar.org/book.asp?180558","מאוצר המהרש""א - 2 כר'")</f>
        <v>מאוצר המהרש"א - 2 כר'</v>
      </c>
    </row>
    <row r="20982" spans="1:6" x14ac:dyDescent="0.2">
      <c r="A20982" t="s">
        <v>34025</v>
      </c>
      <c r="B20982" t="s">
        <v>34026</v>
      </c>
      <c r="C20982" t="s">
        <v>133</v>
      </c>
      <c r="D20982" t="s">
        <v>14</v>
      </c>
      <c r="E20982" t="s">
        <v>158</v>
      </c>
      <c r="F20982" s="2" t="str">
        <f>HYPERLINK("http://www.otzar.org/book.asp?173726","מאוצר השבת שבפרשה - 5 כר'")</f>
        <v>מאוצר השבת שבפרשה - 5 כר'</v>
      </c>
    </row>
    <row r="20983" spans="1:6" x14ac:dyDescent="0.2">
      <c r="A20983" t="s">
        <v>34027</v>
      </c>
      <c r="B20983" t="s">
        <v>34028</v>
      </c>
      <c r="C20983" t="s">
        <v>442</v>
      </c>
      <c r="D20983" t="s">
        <v>260</v>
      </c>
      <c r="E20983" t="s">
        <v>144</v>
      </c>
      <c r="F20983" s="2" t="str">
        <f>HYPERLINK("http://www.otzar.org/book.asp?172963","מאוצר התלמוד - תענית ומגילה")</f>
        <v>מאוצר התלמוד - תענית ומגילה</v>
      </c>
    </row>
    <row r="20984" spans="1:6" x14ac:dyDescent="0.2">
      <c r="A20984" t="s">
        <v>34029</v>
      </c>
      <c r="B20984" t="s">
        <v>23517</v>
      </c>
      <c r="C20984" t="s">
        <v>411</v>
      </c>
      <c r="D20984" t="s">
        <v>14</v>
      </c>
      <c r="E20984" t="s">
        <v>158</v>
      </c>
      <c r="F20984" s="2" t="str">
        <f>HYPERLINK("http://www.otzar.org/book.asp?180285","מאוצר מהרש""א - 2 כר'")</f>
        <v>מאוצר מהרש"א - 2 כר'</v>
      </c>
    </row>
    <row r="20985" spans="1:6" x14ac:dyDescent="0.2">
      <c r="A20985" t="s">
        <v>34030</v>
      </c>
      <c r="B20985" t="s">
        <v>34031</v>
      </c>
      <c r="C20985" t="s">
        <v>146</v>
      </c>
      <c r="D20985" t="s">
        <v>52</v>
      </c>
      <c r="E20985" t="s">
        <v>186</v>
      </c>
      <c r="F20985" s="2" t="str">
        <f>HYPERLINK("http://www.otzar.org/book.asp?159324","מאוצרות התורה - 6 כר'")</f>
        <v>מאוצרות התורה - 6 כר'</v>
      </c>
    </row>
    <row r="20986" spans="1:6" x14ac:dyDescent="0.2">
      <c r="A20986" t="s">
        <v>34032</v>
      </c>
      <c r="B20986" t="s">
        <v>10385</v>
      </c>
      <c r="C20986" t="s">
        <v>13915</v>
      </c>
      <c r="D20986" t="s">
        <v>14</v>
      </c>
      <c r="E20986" t="s">
        <v>104</v>
      </c>
      <c r="F20986" s="2" t="str">
        <f>HYPERLINK("http://www.otzar.org/book.asp?166484","מאוצרות ספריית עץ חיים")</f>
        <v>מאוצרות ספריית עץ חיים</v>
      </c>
    </row>
    <row r="20987" spans="1:6" x14ac:dyDescent="0.2">
      <c r="A20987" t="s">
        <v>34033</v>
      </c>
      <c r="B20987" t="s">
        <v>34034</v>
      </c>
      <c r="C20987" t="s">
        <v>129</v>
      </c>
      <c r="D20987" t="s">
        <v>52</v>
      </c>
      <c r="E20987" t="s">
        <v>15</v>
      </c>
      <c r="F20987" s="2" t="str">
        <f>HYPERLINK("http://www.otzar.org/book.asp?605898","מאוצרות שבט הלוי - שביבי אש נישואין וכתובה")</f>
        <v>מאוצרות שבט הלוי - שביבי אש נישואין וכתובה</v>
      </c>
    </row>
    <row r="20988" spans="1:6" x14ac:dyDescent="0.2">
      <c r="A20988" t="s">
        <v>34035</v>
      </c>
      <c r="B20988" t="s">
        <v>34036</v>
      </c>
      <c r="C20988" t="s">
        <v>366</v>
      </c>
      <c r="D20988" t="s">
        <v>2867</v>
      </c>
      <c r="E20988" t="s">
        <v>158</v>
      </c>
      <c r="F20988" s="2" t="str">
        <f>HYPERLINK("http://www.otzar.org/book.asp?610167","מאוצרותיהם של מגידים - 2 כר'")</f>
        <v>מאוצרותיהם של מגידים - 2 כר'</v>
      </c>
    </row>
    <row r="20989" spans="1:6" x14ac:dyDescent="0.2">
      <c r="A20989" t="s">
        <v>34037</v>
      </c>
      <c r="B20989" t="s">
        <v>34038</v>
      </c>
      <c r="C20989" t="s">
        <v>129</v>
      </c>
      <c r="D20989" t="s">
        <v>367</v>
      </c>
      <c r="E20989" t="s">
        <v>246</v>
      </c>
      <c r="F20989" s="2" t="str">
        <f>HYPERLINK("http://www.otzar.org/book.asp?158818","מאוצרותיו של המגיד - 3 כר'")</f>
        <v>מאוצרותיו של המגיד - 3 כר'</v>
      </c>
    </row>
    <row r="20990" spans="1:6" x14ac:dyDescent="0.2">
      <c r="A20990" t="s">
        <v>34039</v>
      </c>
      <c r="B20990" t="s">
        <v>34040</v>
      </c>
      <c r="C20990" t="s">
        <v>124</v>
      </c>
      <c r="D20990" t="s">
        <v>216</v>
      </c>
      <c r="E20990" t="s">
        <v>14089</v>
      </c>
      <c r="F20990" s="2" t="str">
        <f>HYPERLINK("http://www.otzar.org/book.asp?155348","מאוצרנו הישן - 4 כר'")</f>
        <v>מאוצרנו הישן - 4 כר'</v>
      </c>
    </row>
    <row r="20991" spans="1:6" x14ac:dyDescent="0.2">
      <c r="A20991" t="s">
        <v>34041</v>
      </c>
      <c r="B20991" t="s">
        <v>34042</v>
      </c>
      <c r="C20991" t="s">
        <v>151</v>
      </c>
      <c r="D20991" t="s">
        <v>52</v>
      </c>
      <c r="E20991" t="s">
        <v>1174</v>
      </c>
      <c r="F20991" s="2" t="str">
        <f>HYPERLINK("http://www.otzar.org/book.asp?619940","מאור אברהם - 2 כר'")</f>
        <v>מאור אברהם - 2 כר'</v>
      </c>
    </row>
    <row r="20992" spans="1:6" x14ac:dyDescent="0.2">
      <c r="A20992" t="s">
        <v>34043</v>
      </c>
      <c r="B20992" t="s">
        <v>34044</v>
      </c>
      <c r="C20992" t="s">
        <v>114</v>
      </c>
      <c r="E20992" t="s">
        <v>463</v>
      </c>
      <c r="F20992" s="2" t="str">
        <f>HYPERLINK("http://www.otzar.org/book.asp?624806","מאור אברהם")</f>
        <v>מאור אברהם</v>
      </c>
    </row>
    <row r="20993" spans="1:6" x14ac:dyDescent="0.2">
      <c r="A20993" t="s">
        <v>34045</v>
      </c>
      <c r="B20993" t="s">
        <v>23635</v>
      </c>
      <c r="C20993" t="s">
        <v>286</v>
      </c>
      <c r="D20993" t="s">
        <v>10393</v>
      </c>
      <c r="E20993" t="s">
        <v>474</v>
      </c>
      <c r="F20993" s="2" t="str">
        <f>HYPERLINK("http://www.otzar.org/book.asp?188584","מאור אגדה")</f>
        <v>מאור אגדה</v>
      </c>
    </row>
    <row r="20994" spans="1:6" x14ac:dyDescent="0.2">
      <c r="A20994" t="s">
        <v>34046</v>
      </c>
      <c r="B20994" t="s">
        <v>638</v>
      </c>
      <c r="C20994" t="s">
        <v>422</v>
      </c>
      <c r="D20994" t="s">
        <v>6283</v>
      </c>
      <c r="E20994" t="s">
        <v>158</v>
      </c>
      <c r="F20994" s="2" t="str">
        <f>HYPERLINK("http://www.otzar.org/book.asp?157905","מאור אהרן")</f>
        <v>מאור אהרן</v>
      </c>
    </row>
    <row r="20995" spans="1:6" x14ac:dyDescent="0.2">
      <c r="A20995" t="s">
        <v>34047</v>
      </c>
      <c r="B20995" t="s">
        <v>34048</v>
      </c>
      <c r="C20995" t="s">
        <v>68</v>
      </c>
      <c r="D20995" t="s">
        <v>14</v>
      </c>
      <c r="E20995" t="s">
        <v>186</v>
      </c>
      <c r="F20995" s="2" t="str">
        <f>HYPERLINK("http://www.otzar.org/book.asp?163340","מאור ברוך - 4 כר'")</f>
        <v>מאור ברוך - 4 כר'</v>
      </c>
    </row>
    <row r="20996" spans="1:6" x14ac:dyDescent="0.2">
      <c r="A20996" t="s">
        <v>34049</v>
      </c>
      <c r="B20996" t="s">
        <v>24742</v>
      </c>
      <c r="C20996" t="s">
        <v>1640</v>
      </c>
      <c r="D20996" t="s">
        <v>27</v>
      </c>
      <c r="E20996" t="s">
        <v>1262</v>
      </c>
      <c r="F20996" s="2" t="str">
        <f>HYPERLINK("http://www.otzar.org/book.asp?178880","מאור גדול")</f>
        <v>מאור גדול</v>
      </c>
    </row>
    <row r="20997" spans="1:6" x14ac:dyDescent="0.2">
      <c r="A20997" t="s">
        <v>34050</v>
      </c>
      <c r="B20997" t="s">
        <v>34051</v>
      </c>
      <c r="C20997" t="s">
        <v>366</v>
      </c>
      <c r="D20997" t="s">
        <v>14</v>
      </c>
      <c r="E20997" t="s">
        <v>158</v>
      </c>
      <c r="F20997" s="2" t="str">
        <f>HYPERLINK("http://www.otzar.org/book.asp?606060","מאור האוהל")</f>
        <v>מאור האוהל</v>
      </c>
    </row>
    <row r="20998" spans="1:6" x14ac:dyDescent="0.2">
      <c r="A20998" t="s">
        <v>34052</v>
      </c>
      <c r="B20998" t="s">
        <v>34053</v>
      </c>
      <c r="C20998" t="s">
        <v>843</v>
      </c>
      <c r="D20998" t="s">
        <v>27</v>
      </c>
      <c r="E20998" t="s">
        <v>579</v>
      </c>
      <c r="F20998" s="2" t="str">
        <f>HYPERLINK("http://www.otzar.org/book.asp?103265","מאור האפלה")</f>
        <v>מאור האפלה</v>
      </c>
    </row>
    <row r="20999" spans="1:6" x14ac:dyDescent="0.2">
      <c r="A20999" t="s">
        <v>34054</v>
      </c>
      <c r="B20999" t="s">
        <v>9396</v>
      </c>
      <c r="C20999" t="s">
        <v>334</v>
      </c>
      <c r="D20999" t="s">
        <v>32327</v>
      </c>
      <c r="E20999" t="s">
        <v>241</v>
      </c>
      <c r="F20999" s="2" t="str">
        <f>HYPERLINK("http://www.otzar.org/book.asp?610929","מאור הבחירה")</f>
        <v>מאור הבחירה</v>
      </c>
    </row>
    <row r="21000" spans="1:6" x14ac:dyDescent="0.2">
      <c r="A21000" t="s">
        <v>34055</v>
      </c>
      <c r="B21000" t="s">
        <v>34056</v>
      </c>
      <c r="C21000" t="s">
        <v>585</v>
      </c>
      <c r="D21000" t="s">
        <v>14</v>
      </c>
      <c r="E21000" t="s">
        <v>226</v>
      </c>
      <c r="F21000" s="2" t="str">
        <f>HYPERLINK("http://www.otzar.org/book.asp?607612","מאור הגולה - 2 כר'")</f>
        <v>מאור הגולה - 2 כר'</v>
      </c>
    </row>
    <row r="21001" spans="1:6" x14ac:dyDescent="0.2">
      <c r="A21001" t="s">
        <v>34057</v>
      </c>
      <c r="B21001" t="s">
        <v>34058</v>
      </c>
      <c r="C21001" t="s">
        <v>366</v>
      </c>
      <c r="D21001" t="s">
        <v>1156</v>
      </c>
      <c r="F21001" s="2" t="str">
        <f>HYPERLINK("http://www.otzar.org/book.asp?614438","מאור הגולה - יום טוב שני של גלויות")</f>
        <v>מאור הגולה - יום טוב שני של גלויות</v>
      </c>
    </row>
    <row r="21002" spans="1:6" x14ac:dyDescent="0.2">
      <c r="A21002" t="s">
        <v>34059</v>
      </c>
      <c r="B21002" t="s">
        <v>34060</v>
      </c>
      <c r="C21002" t="s">
        <v>785</v>
      </c>
      <c r="D21002" t="s">
        <v>870</v>
      </c>
      <c r="E21002" t="s">
        <v>202</v>
      </c>
      <c r="F21002" s="2" t="str">
        <f>HYPERLINK("http://www.otzar.org/book.asp?160023","מאור הגליל - 2 כר'")</f>
        <v>מאור הגליל - 2 כר'</v>
      </c>
    </row>
    <row r="21003" spans="1:6" x14ac:dyDescent="0.2">
      <c r="A21003" t="s">
        <v>34061</v>
      </c>
      <c r="B21003" t="s">
        <v>34062</v>
      </c>
      <c r="C21003" t="s">
        <v>23</v>
      </c>
      <c r="D21003" t="s">
        <v>216</v>
      </c>
      <c r="E21003" t="s">
        <v>130</v>
      </c>
      <c r="F21003" s="2" t="str">
        <f>HYPERLINK("http://www.otzar.org/book.asp?624668","מאור ההלכה")</f>
        <v>מאור ההלכה</v>
      </c>
    </row>
    <row r="21004" spans="1:6" x14ac:dyDescent="0.2">
      <c r="A21004" t="s">
        <v>34063</v>
      </c>
      <c r="B21004" t="s">
        <v>1340</v>
      </c>
      <c r="C21004" t="s">
        <v>1663</v>
      </c>
      <c r="D21004" t="s">
        <v>563</v>
      </c>
      <c r="E21004" t="s">
        <v>158</v>
      </c>
      <c r="F21004" s="2" t="str">
        <f>HYPERLINK("http://www.otzar.org/book.asp?5941","מאור החיים")</f>
        <v>מאור החיים</v>
      </c>
    </row>
    <row r="21005" spans="1:6" x14ac:dyDescent="0.2">
      <c r="A21005" t="s">
        <v>34064</v>
      </c>
      <c r="B21005" t="s">
        <v>34065</v>
      </c>
      <c r="C21005" t="s">
        <v>1663</v>
      </c>
      <c r="D21005" t="s">
        <v>27</v>
      </c>
      <c r="E21005" t="s">
        <v>34066</v>
      </c>
      <c r="F21005" s="2" t="str">
        <f>HYPERLINK("http://www.otzar.org/book.asp?10006","מאור החיים - 2 כר'")</f>
        <v>מאור החיים - 2 כר'</v>
      </c>
    </row>
    <row r="21006" spans="1:6" x14ac:dyDescent="0.2">
      <c r="A21006" t="s">
        <v>34063</v>
      </c>
      <c r="B21006" t="s">
        <v>34067</v>
      </c>
      <c r="C21006" t="s">
        <v>422</v>
      </c>
      <c r="D21006" t="s">
        <v>52</v>
      </c>
      <c r="E21006" t="s">
        <v>144</v>
      </c>
      <c r="F21006" s="2" t="str">
        <f>HYPERLINK("http://www.otzar.org/book.asp?152256","מאור החיים")</f>
        <v>מאור החיים</v>
      </c>
    </row>
    <row r="21007" spans="1:6" x14ac:dyDescent="0.2">
      <c r="A21007" t="s">
        <v>34068</v>
      </c>
      <c r="B21007" t="s">
        <v>34069</v>
      </c>
      <c r="C21007" t="s">
        <v>422</v>
      </c>
      <c r="D21007" t="s">
        <v>245</v>
      </c>
      <c r="F21007" s="2" t="str">
        <f>HYPERLINK("http://www.otzar.org/book.asp?605920","מאור החיים - 5 כר'")</f>
        <v>מאור החיים - 5 כר'</v>
      </c>
    </row>
    <row r="21008" spans="1:6" x14ac:dyDescent="0.2">
      <c r="A21008" t="s">
        <v>34070</v>
      </c>
      <c r="B21008" t="s">
        <v>1750</v>
      </c>
      <c r="C21008" t="s">
        <v>1811</v>
      </c>
      <c r="D21008" t="s">
        <v>52</v>
      </c>
      <c r="E21008" t="s">
        <v>202</v>
      </c>
      <c r="F21008" s="2" t="str">
        <f>HYPERLINK("http://www.otzar.org/book.asp?14598","מאור החיים - 11 כר'")</f>
        <v>מאור החיים - 11 כר'</v>
      </c>
    </row>
    <row r="21009" spans="1:6" x14ac:dyDescent="0.2">
      <c r="A21009" t="s">
        <v>34063</v>
      </c>
      <c r="B21009" t="s">
        <v>34071</v>
      </c>
      <c r="C21009" t="s">
        <v>422</v>
      </c>
      <c r="D21009" t="s">
        <v>412</v>
      </c>
      <c r="E21009" t="s">
        <v>15</v>
      </c>
      <c r="F21009" s="2" t="str">
        <f>HYPERLINK("http://www.otzar.org/book.asp?173376","מאור החיים")</f>
        <v>מאור החיים</v>
      </c>
    </row>
    <row r="21010" spans="1:6" x14ac:dyDescent="0.2">
      <c r="A21010" t="s">
        <v>34072</v>
      </c>
      <c r="B21010" t="s">
        <v>5667</v>
      </c>
      <c r="C21010" t="s">
        <v>581</v>
      </c>
      <c r="D21010" t="s">
        <v>14778</v>
      </c>
      <c r="E21010" t="s">
        <v>15</v>
      </c>
      <c r="F21010" s="2" t="str">
        <f>HYPERLINK("http://www.otzar.org/book.asp?51332","מאור החשמל")</f>
        <v>מאור החשמל</v>
      </c>
    </row>
    <row r="21011" spans="1:6" x14ac:dyDescent="0.2">
      <c r="A21011" t="s">
        <v>34073</v>
      </c>
      <c r="B21011" t="s">
        <v>34074</v>
      </c>
      <c r="C21011" t="s">
        <v>366</v>
      </c>
      <c r="D21011" t="s">
        <v>14</v>
      </c>
      <c r="E21011" t="s">
        <v>246</v>
      </c>
      <c r="F21011" s="2" t="str">
        <f>HYPERLINK("http://www.otzar.org/book.asp?608479","מאור המועדים")</f>
        <v>מאור המועדים</v>
      </c>
    </row>
    <row r="21012" spans="1:6" x14ac:dyDescent="0.2">
      <c r="A21012" t="s">
        <v>34075</v>
      </c>
      <c r="B21012" t="s">
        <v>34076</v>
      </c>
      <c r="C21012" t="s">
        <v>244</v>
      </c>
      <c r="D21012" t="s">
        <v>21</v>
      </c>
      <c r="F21012" s="2" t="str">
        <f>HYPERLINK("http://www.otzar.org/book.asp?196425","מאור המילה")</f>
        <v>מאור המילה</v>
      </c>
    </row>
    <row r="21013" spans="1:6" x14ac:dyDescent="0.2">
      <c r="A21013" t="s">
        <v>34077</v>
      </c>
      <c r="B21013" t="s">
        <v>34078</v>
      </c>
      <c r="C21013" t="s">
        <v>23</v>
      </c>
      <c r="D21013" t="s">
        <v>90</v>
      </c>
      <c r="F21013" s="2" t="str">
        <f>HYPERLINK("http://www.otzar.org/book.asp?197919","מאור העין")</f>
        <v>מאור העין</v>
      </c>
    </row>
    <row r="21014" spans="1:6" x14ac:dyDescent="0.2">
      <c r="A21014" t="s">
        <v>34079</v>
      </c>
      <c r="B21014" t="s">
        <v>34080</v>
      </c>
      <c r="C21014" t="s">
        <v>143</v>
      </c>
      <c r="D21014" t="s">
        <v>14</v>
      </c>
      <c r="E21014" t="s">
        <v>144</v>
      </c>
      <c r="F21014" s="2" t="str">
        <f>HYPERLINK("http://www.otzar.org/book.asp?156439","מאור הקודש - 2 כר'")</f>
        <v>מאור הקודש - 2 כר'</v>
      </c>
    </row>
    <row r="21015" spans="1:6" x14ac:dyDescent="0.2">
      <c r="A21015" t="s">
        <v>34081</v>
      </c>
      <c r="B21015" t="s">
        <v>34082</v>
      </c>
      <c r="C21015" t="s">
        <v>16540</v>
      </c>
      <c r="D21015" t="s">
        <v>2303</v>
      </c>
      <c r="E21015" t="s">
        <v>158</v>
      </c>
      <c r="F21015" s="2" t="str">
        <f>HYPERLINK("http://www.otzar.org/book.asp?16023","מאור הקטן - 2 כר'")</f>
        <v>מאור הקטן - 2 כר'</v>
      </c>
    </row>
    <row r="21016" spans="1:6" x14ac:dyDescent="0.2">
      <c r="A21016" t="s">
        <v>34083</v>
      </c>
      <c r="B21016" t="s">
        <v>34084</v>
      </c>
      <c r="C21016" t="s">
        <v>775</v>
      </c>
      <c r="D21016" t="s">
        <v>21</v>
      </c>
      <c r="E21016" t="s">
        <v>202</v>
      </c>
      <c r="F21016" s="2" t="str">
        <f>HYPERLINK("http://www.otzar.org/book.asp?190942","מאור הרמה - ב")</f>
        <v>מאור הרמה - ב</v>
      </c>
    </row>
    <row r="21017" spans="1:6" x14ac:dyDescent="0.2">
      <c r="A21017" t="s">
        <v>34085</v>
      </c>
      <c r="B21017" t="s">
        <v>34086</v>
      </c>
      <c r="C21017" t="s">
        <v>767</v>
      </c>
      <c r="D21017" t="s">
        <v>14</v>
      </c>
      <c r="E21017" t="s">
        <v>3055</v>
      </c>
      <c r="F21017" s="2" t="str">
        <f>HYPERLINK("http://www.otzar.org/book.asp?169054","מאור השבת")</f>
        <v>מאור השבת</v>
      </c>
    </row>
    <row r="21018" spans="1:6" x14ac:dyDescent="0.2">
      <c r="A21018" t="s">
        <v>34087</v>
      </c>
      <c r="B21018" t="s">
        <v>552</v>
      </c>
      <c r="C21018" t="s">
        <v>13</v>
      </c>
      <c r="D21018" t="s">
        <v>14</v>
      </c>
      <c r="E21018" t="s">
        <v>202</v>
      </c>
      <c r="F21018" s="2" t="str">
        <f>HYPERLINK("http://www.otzar.org/book.asp?168471","מאור השמ""ש - 2 כר'")</f>
        <v>מאור השמ"ש - 2 כר'</v>
      </c>
    </row>
    <row r="21019" spans="1:6" x14ac:dyDescent="0.2">
      <c r="A21019" t="s">
        <v>34088</v>
      </c>
      <c r="B21019" t="s">
        <v>34089</v>
      </c>
      <c r="C21019" t="s">
        <v>3840</v>
      </c>
      <c r="D21019" t="s">
        <v>14</v>
      </c>
      <c r="E21019" t="s">
        <v>714</v>
      </c>
      <c r="F21019" s="2" t="str">
        <f>HYPERLINK("http://www.otzar.org/book.asp?149596","מאור התוכחה")</f>
        <v>מאור התוכחה</v>
      </c>
    </row>
    <row r="21020" spans="1:6" x14ac:dyDescent="0.2">
      <c r="A21020" t="s">
        <v>34090</v>
      </c>
      <c r="B21020" t="s">
        <v>3900</v>
      </c>
      <c r="C21020" t="s">
        <v>533</v>
      </c>
      <c r="D21020" t="s">
        <v>52</v>
      </c>
      <c r="E21020" t="s">
        <v>158</v>
      </c>
      <c r="F21020" s="2" t="str">
        <f>HYPERLINK("http://www.otzar.org/book.asp?26852","מאור התורה - 2 כר'")</f>
        <v>מאור התורה - 2 כר'</v>
      </c>
    </row>
    <row r="21021" spans="1:6" x14ac:dyDescent="0.2">
      <c r="A21021" t="s">
        <v>34091</v>
      </c>
      <c r="B21021" t="s">
        <v>1791</v>
      </c>
      <c r="C21021" t="s">
        <v>63</v>
      </c>
      <c r="D21021" t="s">
        <v>14</v>
      </c>
      <c r="E21021" t="s">
        <v>1438</v>
      </c>
      <c r="F21021" s="2" t="str">
        <f>HYPERLINK("http://www.otzar.org/book.asp?103101","מאור התורה")</f>
        <v>מאור התורה</v>
      </c>
    </row>
    <row r="21022" spans="1:6" x14ac:dyDescent="0.2">
      <c r="A21022" t="s">
        <v>34092</v>
      </c>
      <c r="B21022" t="s">
        <v>34093</v>
      </c>
      <c r="C21022" t="s">
        <v>767</v>
      </c>
      <c r="D21022" t="s">
        <v>52</v>
      </c>
      <c r="E21022" t="s">
        <v>172</v>
      </c>
      <c r="F21022" s="2" t="str">
        <f>HYPERLINK("http://www.otzar.org/book.asp?165846","מאור התורה - 7 כר'")</f>
        <v>מאור התורה - 7 כר'</v>
      </c>
    </row>
    <row r="21023" spans="1:6" x14ac:dyDescent="0.2">
      <c r="A21023" t="s">
        <v>34094</v>
      </c>
      <c r="B21023" t="s">
        <v>34095</v>
      </c>
      <c r="C21023" t="s">
        <v>438</v>
      </c>
      <c r="D21023" t="s">
        <v>14</v>
      </c>
      <c r="E21023" t="s">
        <v>957</v>
      </c>
      <c r="F21023" s="2" t="str">
        <f>HYPERLINK("http://www.otzar.org/book.asp?15468","מאור התורה, להורות נתן - 5 כר'")</f>
        <v>מאור התורה, להורות נתן - 5 כר'</v>
      </c>
    </row>
    <row r="21024" spans="1:6" x14ac:dyDescent="0.2">
      <c r="A21024" t="s">
        <v>34096</v>
      </c>
      <c r="B21024" t="s">
        <v>1791</v>
      </c>
      <c r="C21024" t="s">
        <v>176</v>
      </c>
      <c r="D21024" t="s">
        <v>14</v>
      </c>
      <c r="E21024" t="s">
        <v>3755</v>
      </c>
      <c r="F21024" s="2" t="str">
        <f>HYPERLINK("http://www.otzar.org/book.asp?106010","מאור התפילה")</f>
        <v>מאור התפילה</v>
      </c>
    </row>
    <row r="21025" spans="1:6" x14ac:dyDescent="0.2">
      <c r="A21025" t="s">
        <v>34097</v>
      </c>
      <c r="B21025" t="s">
        <v>34098</v>
      </c>
      <c r="C21025" t="s">
        <v>422</v>
      </c>
      <c r="D21025" t="s">
        <v>15290</v>
      </c>
      <c r="E21025" t="s">
        <v>2614</v>
      </c>
      <c r="F21025" s="2" t="str">
        <f>HYPERLINK("http://www.otzar.org/book.asp?159529","מאור ושמש &lt;מהדורה חדשה&gt; - 2 כר'")</f>
        <v>מאור ושמש &lt;מהדורה חדשה&gt; - 2 כר'</v>
      </c>
    </row>
    <row r="21026" spans="1:6" x14ac:dyDescent="0.2">
      <c r="A21026" t="s">
        <v>34099</v>
      </c>
      <c r="B21026" t="s">
        <v>34098</v>
      </c>
      <c r="C21026" t="s">
        <v>87</v>
      </c>
      <c r="D21026" t="s">
        <v>14</v>
      </c>
      <c r="E21026" t="s">
        <v>158</v>
      </c>
      <c r="F21026" s="2" t="str">
        <f>HYPERLINK("http://www.otzar.org/book.asp?62046","מאור ושמש השלם - 6 כר'")</f>
        <v>מאור ושמש השלם - 6 כר'</v>
      </c>
    </row>
    <row r="21027" spans="1:6" x14ac:dyDescent="0.2">
      <c r="A21027" t="s">
        <v>34100</v>
      </c>
      <c r="B21027" t="s">
        <v>34098</v>
      </c>
      <c r="C21027" t="s">
        <v>3709</v>
      </c>
      <c r="D21027" t="s">
        <v>1008</v>
      </c>
      <c r="E21027" t="s">
        <v>230</v>
      </c>
      <c r="F21027" s="2" t="str">
        <f>HYPERLINK("http://www.otzar.org/book.asp?61823","מאור ושמש - 3 כר'")</f>
        <v>מאור ושמש - 3 כר'</v>
      </c>
    </row>
    <row r="21028" spans="1:6" x14ac:dyDescent="0.2">
      <c r="A21028" t="s">
        <v>34101</v>
      </c>
      <c r="B21028" t="s">
        <v>34102</v>
      </c>
      <c r="C21028" t="s">
        <v>366</v>
      </c>
      <c r="D21028" t="s">
        <v>14</v>
      </c>
      <c r="E21028" t="s">
        <v>246</v>
      </c>
      <c r="F21028" s="2" t="str">
        <f>HYPERLINK("http://www.otzar.org/book.asp?608686","מאור ושמש - רמזי ראש השנה")</f>
        <v>מאור ושמש - רמזי ראש השנה</v>
      </c>
    </row>
    <row r="21029" spans="1:6" x14ac:dyDescent="0.2">
      <c r="A21029" t="s">
        <v>34103</v>
      </c>
      <c r="B21029" t="s">
        <v>34104</v>
      </c>
      <c r="C21029" t="s">
        <v>6052</v>
      </c>
      <c r="D21029" t="s">
        <v>212</v>
      </c>
      <c r="E21029" t="s">
        <v>3755</v>
      </c>
      <c r="F21029" s="2" t="str">
        <f>HYPERLINK("http://www.otzar.org/book.asp?102283","מאור ושמש - 2 כר'")</f>
        <v>מאור ושמש - 2 כר'</v>
      </c>
    </row>
    <row r="21030" spans="1:6" x14ac:dyDescent="0.2">
      <c r="A21030" t="s">
        <v>34105</v>
      </c>
      <c r="B21030" t="s">
        <v>34106</v>
      </c>
      <c r="C21030" t="s">
        <v>20</v>
      </c>
      <c r="D21030" t="s">
        <v>90</v>
      </c>
      <c r="E21030" t="s">
        <v>144</v>
      </c>
      <c r="F21030" s="2" t="str">
        <f>HYPERLINK("http://www.otzar.org/book.asp?629813","מאור חדש")</f>
        <v>מאור חדש</v>
      </c>
    </row>
    <row r="21031" spans="1:6" x14ac:dyDescent="0.2">
      <c r="A21031" t="s">
        <v>34105</v>
      </c>
      <c r="B21031" t="s">
        <v>34107</v>
      </c>
      <c r="C21031" t="s">
        <v>854</v>
      </c>
      <c r="D21031" t="s">
        <v>283</v>
      </c>
      <c r="E21031" t="s">
        <v>674</v>
      </c>
      <c r="F21031" s="2" t="str">
        <f>HYPERLINK("http://www.otzar.org/book.asp?19001","מאור חדש")</f>
        <v>מאור חדש</v>
      </c>
    </row>
    <row r="21032" spans="1:6" x14ac:dyDescent="0.2">
      <c r="A21032" t="s">
        <v>34108</v>
      </c>
      <c r="B21032" t="s">
        <v>1750</v>
      </c>
      <c r="C21032" t="s">
        <v>51</v>
      </c>
      <c r="D21032" t="s">
        <v>657</v>
      </c>
      <c r="E21032" t="s">
        <v>202</v>
      </c>
      <c r="F21032" s="2" t="str">
        <f>HYPERLINK("http://www.otzar.org/book.asp?61871","מאור חיים - 2 כר'")</f>
        <v>מאור חיים - 2 כר'</v>
      </c>
    </row>
    <row r="21033" spans="1:6" x14ac:dyDescent="0.2">
      <c r="A21033" t="s">
        <v>34109</v>
      </c>
      <c r="B21033" t="s">
        <v>18720</v>
      </c>
      <c r="C21033" t="s">
        <v>1160</v>
      </c>
      <c r="D21033" t="s">
        <v>14</v>
      </c>
      <c r="E21033" t="s">
        <v>154</v>
      </c>
      <c r="F21033" s="2" t="str">
        <f>HYPERLINK("http://www.otzar.org/book.asp?85393","מאור יהושע &lt;שו""ת&gt;")</f>
        <v>מאור יהושע &lt;שו"ת&gt;</v>
      </c>
    </row>
    <row r="21034" spans="1:6" x14ac:dyDescent="0.2">
      <c r="A21034" t="s">
        <v>34110</v>
      </c>
      <c r="B21034" t="s">
        <v>34111</v>
      </c>
      <c r="C21034" t="s">
        <v>422</v>
      </c>
      <c r="D21034" t="s">
        <v>118</v>
      </c>
      <c r="E21034" t="s">
        <v>172</v>
      </c>
      <c r="F21034" s="2" t="str">
        <f>HYPERLINK("http://www.otzar.org/book.asp?161470","מאור יחזקאל")</f>
        <v>מאור יחזקאל</v>
      </c>
    </row>
    <row r="21035" spans="1:6" x14ac:dyDescent="0.2">
      <c r="A21035" t="s">
        <v>34112</v>
      </c>
      <c r="B21035" t="s">
        <v>34113</v>
      </c>
      <c r="C21035" t="s">
        <v>1954</v>
      </c>
      <c r="D21035" t="s">
        <v>27</v>
      </c>
      <c r="E21035" t="s">
        <v>34114</v>
      </c>
      <c r="F21035" s="2" t="str">
        <f>HYPERLINK("http://www.otzar.org/book.asp?85918","מאור יעקב")</f>
        <v>מאור יעקב</v>
      </c>
    </row>
    <row r="21036" spans="1:6" x14ac:dyDescent="0.2">
      <c r="A21036" t="s">
        <v>34115</v>
      </c>
      <c r="B21036" t="s">
        <v>206</v>
      </c>
      <c r="C21036" t="s">
        <v>244</v>
      </c>
      <c r="D21036" t="s">
        <v>90</v>
      </c>
      <c r="E21036" t="s">
        <v>130</v>
      </c>
      <c r="F21036" s="2" t="str">
        <f>HYPERLINK("http://www.otzar.org/book.asp?605780","מאור יעקב - 8 כר'")</f>
        <v>מאור יעקב - 8 כר'</v>
      </c>
    </row>
    <row r="21037" spans="1:6" x14ac:dyDescent="0.2">
      <c r="A21037" t="s">
        <v>34112</v>
      </c>
      <c r="B21037" t="s">
        <v>34116</v>
      </c>
      <c r="C21037" t="s">
        <v>1160</v>
      </c>
      <c r="D21037" t="s">
        <v>34117</v>
      </c>
      <c r="F21037" s="2" t="str">
        <f>HYPERLINK("http://www.otzar.org/book.asp?174319","מאור יעקב")</f>
        <v>מאור יעקב</v>
      </c>
    </row>
    <row r="21038" spans="1:6" x14ac:dyDescent="0.2">
      <c r="A21038" t="s">
        <v>34118</v>
      </c>
      <c r="B21038" t="s">
        <v>34119</v>
      </c>
      <c r="C21038" t="s">
        <v>13</v>
      </c>
      <c r="D21038" t="s">
        <v>14</v>
      </c>
      <c r="E21038" t="s">
        <v>144</v>
      </c>
      <c r="F21038" s="2" t="str">
        <f>HYPERLINK("http://www.otzar.org/book.asp?150908","מאור יצחק על פרק איזהו נשך")</f>
        <v>מאור יצחק על פרק איזהו נשך</v>
      </c>
    </row>
    <row r="21039" spans="1:6" x14ac:dyDescent="0.2">
      <c r="A21039" t="s">
        <v>34120</v>
      </c>
      <c r="B21039" t="s">
        <v>34121</v>
      </c>
      <c r="C21039" t="s">
        <v>68</v>
      </c>
      <c r="D21039" t="s">
        <v>14</v>
      </c>
      <c r="E21039" t="s">
        <v>241</v>
      </c>
      <c r="F21039" s="2" t="str">
        <f>HYPERLINK("http://www.otzar.org/book.asp?173001","מאור ישעי")</f>
        <v>מאור ישעי</v>
      </c>
    </row>
    <row r="21040" spans="1:6" x14ac:dyDescent="0.2">
      <c r="A21040" t="s">
        <v>34122</v>
      </c>
      <c r="B21040" t="s">
        <v>34123</v>
      </c>
      <c r="C21040" t="s">
        <v>13</v>
      </c>
      <c r="D21040" t="s">
        <v>14</v>
      </c>
      <c r="E21040" t="s">
        <v>733</v>
      </c>
      <c r="F21040" s="2" t="str">
        <f>HYPERLINK("http://www.otzar.org/book.asp?173529","מאור ישראל &lt;מהדורה חדשה&gt;")</f>
        <v>מאור ישראל &lt;מהדורה חדשה&gt;</v>
      </c>
    </row>
    <row r="21041" spans="1:6" x14ac:dyDescent="0.2">
      <c r="A21041" t="s">
        <v>34124</v>
      </c>
      <c r="B21041" t="s">
        <v>34123</v>
      </c>
      <c r="C21041" t="s">
        <v>168</v>
      </c>
      <c r="D21041" t="s">
        <v>14</v>
      </c>
      <c r="E21041" t="s">
        <v>733</v>
      </c>
      <c r="F21041" s="2" t="str">
        <f>HYPERLINK("http://www.otzar.org/book.asp?174303","מאור ישראל")</f>
        <v>מאור ישראל</v>
      </c>
    </row>
    <row r="21042" spans="1:6" x14ac:dyDescent="0.2">
      <c r="A21042" t="s">
        <v>34125</v>
      </c>
      <c r="B21042" t="s">
        <v>34126</v>
      </c>
      <c r="C21042" t="s">
        <v>383</v>
      </c>
      <c r="D21042" t="s">
        <v>52</v>
      </c>
      <c r="E21042" t="s">
        <v>186</v>
      </c>
      <c r="F21042" s="2" t="str">
        <f>HYPERLINK("http://www.otzar.org/book.asp?150502","מאור ישראל - קדושין")</f>
        <v>מאור ישראל - קדושין</v>
      </c>
    </row>
    <row r="21043" spans="1:6" x14ac:dyDescent="0.2">
      <c r="A21043" t="s">
        <v>34127</v>
      </c>
      <c r="B21043" t="s">
        <v>6298</v>
      </c>
      <c r="C21043" t="s">
        <v>767</v>
      </c>
      <c r="D21043" t="s">
        <v>14</v>
      </c>
      <c r="E21043" t="s">
        <v>144</v>
      </c>
      <c r="F21043" s="2" t="str">
        <f>HYPERLINK("http://www.otzar.org/book.asp?50219","מאור לאש")</f>
        <v>מאור לאש</v>
      </c>
    </row>
    <row r="21044" spans="1:6" x14ac:dyDescent="0.2">
      <c r="A21044" t="s">
        <v>34128</v>
      </c>
      <c r="B21044" t="s">
        <v>15469</v>
      </c>
      <c r="C21044" t="s">
        <v>114</v>
      </c>
      <c r="D21044" t="s">
        <v>14</v>
      </c>
      <c r="F21044" s="2" t="str">
        <f>HYPERLINK("http://www.otzar.org/book.asp?194427","מאור לכשרות - 4 כר'")</f>
        <v>מאור לכשרות - 4 כר'</v>
      </c>
    </row>
    <row r="21045" spans="1:6" x14ac:dyDescent="0.2">
      <c r="A21045" t="s">
        <v>34129</v>
      </c>
      <c r="B21045" t="s">
        <v>34130</v>
      </c>
      <c r="C21045" t="s">
        <v>767</v>
      </c>
      <c r="D21045" t="s">
        <v>14</v>
      </c>
      <c r="E21045" t="s">
        <v>144</v>
      </c>
      <c r="F21045" s="2" t="str">
        <f>HYPERLINK("http://www.otzar.org/book.asp?108392","מאור למלך - 14 כר'")</f>
        <v>מאור למלך - 14 כר'</v>
      </c>
    </row>
    <row r="21046" spans="1:6" x14ac:dyDescent="0.2">
      <c r="A21046" t="s">
        <v>34131</v>
      </c>
      <c r="B21046" t="s">
        <v>15469</v>
      </c>
      <c r="C21046" t="s">
        <v>176</v>
      </c>
      <c r="D21046" t="s">
        <v>14</v>
      </c>
      <c r="F21046" s="2" t="str">
        <f>HYPERLINK("http://www.otzar.org/book.asp?194430","מאור למסכת חולין - 2 כר'")</f>
        <v>מאור למסכת חולין - 2 כר'</v>
      </c>
    </row>
    <row r="21047" spans="1:6" x14ac:dyDescent="0.2">
      <c r="A21047" t="s">
        <v>34132</v>
      </c>
      <c r="B21047" t="s">
        <v>15469</v>
      </c>
      <c r="C21047" t="s">
        <v>114</v>
      </c>
      <c r="D21047" t="s">
        <v>14</v>
      </c>
      <c r="F21047" s="2" t="str">
        <f>HYPERLINK("http://www.otzar.org/book.asp?163608","מאור למסכתות חולין זבחים בכורות")</f>
        <v>מאור למסכתות חולין זבחים בכורות</v>
      </c>
    </row>
    <row r="21048" spans="1:6" x14ac:dyDescent="0.2">
      <c r="A21048" t="s">
        <v>34133</v>
      </c>
      <c r="B21048" t="s">
        <v>34134</v>
      </c>
      <c r="C21048" t="s">
        <v>20</v>
      </c>
      <c r="D21048" t="s">
        <v>14</v>
      </c>
      <c r="E21048" t="s">
        <v>158</v>
      </c>
      <c r="F21048" s="2" t="str">
        <f>HYPERLINK("http://www.otzar.org/book.asp?159960","מאור לתורה")</f>
        <v>מאור לתורה</v>
      </c>
    </row>
    <row r="21049" spans="1:6" x14ac:dyDescent="0.2">
      <c r="A21049" t="s">
        <v>34135</v>
      </c>
      <c r="B21049" t="s">
        <v>34136</v>
      </c>
      <c r="C21049" t="s">
        <v>151</v>
      </c>
      <c r="D21049" t="s">
        <v>52</v>
      </c>
      <c r="E21049" t="s">
        <v>144</v>
      </c>
      <c r="F21049" s="2" t="str">
        <f>HYPERLINK("http://www.otzar.org/book.asp?619582","מאור מרדכי")</f>
        <v>מאור מרדכי</v>
      </c>
    </row>
    <row r="21050" spans="1:6" x14ac:dyDescent="0.2">
      <c r="A21050" t="s">
        <v>34137</v>
      </c>
      <c r="B21050" t="s">
        <v>34138</v>
      </c>
      <c r="C21050" t="s">
        <v>454</v>
      </c>
      <c r="D21050" t="s">
        <v>52</v>
      </c>
      <c r="E21050" t="s">
        <v>325</v>
      </c>
      <c r="F21050" s="2" t="str">
        <f>HYPERLINK("http://www.otzar.org/book.asp?171218","מאור מרדכי - 3 כר'")</f>
        <v>מאור מרדכי - 3 כר'</v>
      </c>
    </row>
    <row r="21051" spans="1:6" x14ac:dyDescent="0.2">
      <c r="A21051" t="s">
        <v>34139</v>
      </c>
      <c r="B21051" t="s">
        <v>34140</v>
      </c>
      <c r="C21051" t="s">
        <v>812</v>
      </c>
      <c r="D21051" t="s">
        <v>9</v>
      </c>
      <c r="E21051" t="s">
        <v>3223</v>
      </c>
      <c r="F21051" s="2" t="str">
        <f>HYPERLINK("http://www.otzar.org/book.asp?102286","מאור עינים")</f>
        <v>מאור עינים</v>
      </c>
    </row>
    <row r="21052" spans="1:6" x14ac:dyDescent="0.2">
      <c r="A21052" t="s">
        <v>34139</v>
      </c>
      <c r="B21052" t="s">
        <v>34141</v>
      </c>
      <c r="C21052" t="s">
        <v>919</v>
      </c>
      <c r="D21052" t="s">
        <v>14</v>
      </c>
      <c r="E21052" t="s">
        <v>34142</v>
      </c>
      <c r="F21052" s="2" t="str">
        <f>HYPERLINK("http://www.otzar.org/book.asp?12868","מאור עינים")</f>
        <v>מאור עינים</v>
      </c>
    </row>
    <row r="21053" spans="1:6" x14ac:dyDescent="0.2">
      <c r="A21053" t="s">
        <v>34143</v>
      </c>
      <c r="B21053" t="s">
        <v>18132</v>
      </c>
      <c r="C21053" t="s">
        <v>20</v>
      </c>
      <c r="D21053" t="s">
        <v>90</v>
      </c>
      <c r="E21053" t="s">
        <v>1185</v>
      </c>
      <c r="F21053" s="2" t="str">
        <f>HYPERLINK("http://www.otzar.org/book.asp?157967","מאור עינים - 6 כר'")</f>
        <v>מאור עינים - 6 כר'</v>
      </c>
    </row>
    <row r="21054" spans="1:6" x14ac:dyDescent="0.2">
      <c r="A21054" t="s">
        <v>34144</v>
      </c>
      <c r="B21054" t="s">
        <v>3435</v>
      </c>
      <c r="C21054" t="s">
        <v>1778</v>
      </c>
      <c r="D21054" t="s">
        <v>1411</v>
      </c>
      <c r="E21054" t="s">
        <v>144</v>
      </c>
      <c r="F21054" s="2" t="str">
        <f>HYPERLINK("http://www.otzar.org/book.asp?19002","מאור עינים - 2 כר'")</f>
        <v>מאור עינים - 2 כר'</v>
      </c>
    </row>
    <row r="21055" spans="1:6" x14ac:dyDescent="0.2">
      <c r="A21055" t="s">
        <v>34145</v>
      </c>
      <c r="B21055" t="s">
        <v>28526</v>
      </c>
      <c r="C21055" t="s">
        <v>244</v>
      </c>
      <c r="D21055" t="s">
        <v>52</v>
      </c>
      <c r="E21055" t="s">
        <v>144</v>
      </c>
      <c r="F21055" s="2" t="str">
        <f>HYPERLINK("http://www.otzar.org/book.asp?199674","מאור עינים - 11 כר'")</f>
        <v>מאור עינים - 11 כר'</v>
      </c>
    </row>
    <row r="21056" spans="1:6" x14ac:dyDescent="0.2">
      <c r="A21056" t="s">
        <v>34144</v>
      </c>
      <c r="B21056" t="s">
        <v>34146</v>
      </c>
      <c r="C21056" t="s">
        <v>31573</v>
      </c>
      <c r="D21056" t="s">
        <v>1411</v>
      </c>
      <c r="F21056" s="2" t="str">
        <f>HYPERLINK("http://www.otzar.org/book.asp?152839","מאור עינים - 2 כר'")</f>
        <v>מאור עינים - 2 כר'</v>
      </c>
    </row>
    <row r="21057" spans="1:6" x14ac:dyDescent="0.2">
      <c r="A21057" t="s">
        <v>34147</v>
      </c>
      <c r="B21057" t="s">
        <v>34148</v>
      </c>
      <c r="C21057" t="s">
        <v>189</v>
      </c>
      <c r="D21057" t="s">
        <v>90</v>
      </c>
      <c r="E21057" t="s">
        <v>144</v>
      </c>
      <c r="F21057" s="2" t="str">
        <f>HYPERLINK("http://www.otzar.org/book.asp?63733","מאור צבי")</f>
        <v>מאור צבי</v>
      </c>
    </row>
    <row r="21058" spans="1:6" x14ac:dyDescent="0.2">
      <c r="A21058" t="s">
        <v>34149</v>
      </c>
      <c r="B21058" t="s">
        <v>20216</v>
      </c>
      <c r="C21058" t="s">
        <v>103</v>
      </c>
      <c r="D21058" t="s">
        <v>21</v>
      </c>
      <c r="E21058" t="s">
        <v>158</v>
      </c>
      <c r="F21058" s="2" t="str">
        <f>HYPERLINK("http://www.otzar.org/book.asp?197345","מאור צדיק")</f>
        <v>מאור צדיק</v>
      </c>
    </row>
    <row r="21059" spans="1:6" x14ac:dyDescent="0.2">
      <c r="A21059" t="s">
        <v>34150</v>
      </c>
      <c r="B21059" t="s">
        <v>686</v>
      </c>
      <c r="C21059" t="s">
        <v>68</v>
      </c>
      <c r="D21059" t="s">
        <v>52</v>
      </c>
      <c r="E21059" t="s">
        <v>104</v>
      </c>
      <c r="F21059" s="2" t="str">
        <f>HYPERLINK("http://www.otzar.org/book.asp?163664","מאור קטן")</f>
        <v>מאור קטן</v>
      </c>
    </row>
    <row r="21060" spans="1:6" x14ac:dyDescent="0.2">
      <c r="A21060" t="s">
        <v>34151</v>
      </c>
      <c r="B21060" t="s">
        <v>34152</v>
      </c>
      <c r="C21060" t="s">
        <v>114</v>
      </c>
      <c r="D21060" t="s">
        <v>52</v>
      </c>
      <c r="E21060" t="s">
        <v>15</v>
      </c>
      <c r="F21060" s="2" t="str">
        <f>HYPERLINK("http://www.otzar.org/book.asp?162010","מאור שביעי")</f>
        <v>מאור שביעי</v>
      </c>
    </row>
    <row r="21061" spans="1:6" x14ac:dyDescent="0.2">
      <c r="A21061" t="s">
        <v>34153</v>
      </c>
      <c r="B21061" t="s">
        <v>2612</v>
      </c>
      <c r="C21061" t="s">
        <v>13</v>
      </c>
      <c r="D21061" t="s">
        <v>14</v>
      </c>
      <c r="E21061" t="s">
        <v>130</v>
      </c>
      <c r="F21061" s="2" t="str">
        <f>HYPERLINK("http://www.otzar.org/book.asp?161774","מאור שבת")</f>
        <v>מאור שבת</v>
      </c>
    </row>
    <row r="21062" spans="1:6" x14ac:dyDescent="0.2">
      <c r="A21062" t="s">
        <v>34154</v>
      </c>
      <c r="B21062" t="s">
        <v>34155</v>
      </c>
      <c r="C21062" t="s">
        <v>34156</v>
      </c>
      <c r="D21062" t="s">
        <v>3208</v>
      </c>
      <c r="F21062" s="2" t="str">
        <f>HYPERLINK("http://www.otzar.org/book.asp?612605","מאור של תורה - 2 כר'")</f>
        <v>מאור של תורה - 2 כר'</v>
      </c>
    </row>
    <row r="21063" spans="1:6" x14ac:dyDescent="0.2">
      <c r="A21063" t="s">
        <v>34157</v>
      </c>
      <c r="B21063" t="s">
        <v>34158</v>
      </c>
      <c r="C21063" t="s">
        <v>244</v>
      </c>
      <c r="D21063" t="s">
        <v>14</v>
      </c>
      <c r="F21063" s="2" t="str">
        <f>HYPERLINK("http://www.otzar.org/book.asp?197936","מאור שרגא")</f>
        <v>מאור שרגא</v>
      </c>
    </row>
    <row r="21064" spans="1:6" x14ac:dyDescent="0.2">
      <c r="A21064" t="s">
        <v>34159</v>
      </c>
      <c r="B21064" t="s">
        <v>34159</v>
      </c>
      <c r="C21064" t="s">
        <v>34160</v>
      </c>
      <c r="D21064" t="s">
        <v>34161</v>
      </c>
      <c r="E21064" t="s">
        <v>202</v>
      </c>
      <c r="F21064" s="2" t="str">
        <f>HYPERLINK("http://www.otzar.org/book.asp?106875","מאור תורה")</f>
        <v>מאור תורה</v>
      </c>
    </row>
    <row r="21065" spans="1:6" x14ac:dyDescent="0.2">
      <c r="A21065" t="s">
        <v>34162</v>
      </c>
      <c r="B21065" t="s">
        <v>16377</v>
      </c>
      <c r="C21065" t="s">
        <v>34163</v>
      </c>
      <c r="D21065" t="s">
        <v>27</v>
      </c>
      <c r="E21065" t="s">
        <v>158</v>
      </c>
      <c r="F21065" s="2" t="str">
        <f>HYPERLINK("http://www.otzar.org/book.asp?17012","מאורה של תורה - 3 כר'")</f>
        <v>מאורה של תורה - 3 כר'</v>
      </c>
    </row>
    <row r="21066" spans="1:6" x14ac:dyDescent="0.2">
      <c r="A21066" t="s">
        <v>34164</v>
      </c>
      <c r="B21066" t="s">
        <v>34165</v>
      </c>
      <c r="C21066" t="s">
        <v>124</v>
      </c>
      <c r="D21066" t="s">
        <v>14</v>
      </c>
      <c r="E21066" t="s">
        <v>158</v>
      </c>
      <c r="F21066" s="2" t="str">
        <f>HYPERLINK("http://www.otzar.org/book.asp?157462","מאורה של תורה - 5 כר'")</f>
        <v>מאורה של תורה - 5 כר'</v>
      </c>
    </row>
    <row r="21067" spans="1:6" x14ac:dyDescent="0.2">
      <c r="A21067" t="s">
        <v>34166</v>
      </c>
      <c r="B21067" t="s">
        <v>34167</v>
      </c>
      <c r="C21067" t="s">
        <v>366</v>
      </c>
      <c r="D21067" t="s">
        <v>90</v>
      </c>
      <c r="F21067" s="2" t="str">
        <f>HYPERLINK("http://www.otzar.org/book.asp?608856","מאורות אליהו - פתיחה לחכמת הקבלה")</f>
        <v>מאורות אליהו - פתיחה לחכמת הקבלה</v>
      </c>
    </row>
    <row r="21068" spans="1:6" x14ac:dyDescent="0.2">
      <c r="A21068" t="s">
        <v>34168</v>
      </c>
      <c r="B21068" t="s">
        <v>34169</v>
      </c>
      <c r="C21068" t="s">
        <v>8</v>
      </c>
      <c r="D21068" t="s">
        <v>6129</v>
      </c>
      <c r="E21068" t="s">
        <v>1684</v>
      </c>
      <c r="F21068" s="2" t="str">
        <f>HYPERLINK("http://www.otzar.org/book.asp?108267","מאורות אש")</f>
        <v>מאורות אש</v>
      </c>
    </row>
    <row r="21069" spans="1:6" x14ac:dyDescent="0.2">
      <c r="A21069" t="s">
        <v>34170</v>
      </c>
      <c r="B21069" t="s">
        <v>19004</v>
      </c>
      <c r="C21069" t="s">
        <v>189</v>
      </c>
      <c r="D21069" t="s">
        <v>216</v>
      </c>
      <c r="E21069" t="s">
        <v>226</v>
      </c>
      <c r="F21069" s="2" t="str">
        <f>HYPERLINK("http://www.otzar.org/book.asp?143456","מאורות בחסידות")</f>
        <v>מאורות בחסידות</v>
      </c>
    </row>
    <row r="21070" spans="1:6" x14ac:dyDescent="0.2">
      <c r="A21070" t="s">
        <v>34171</v>
      </c>
      <c r="B21070" t="s">
        <v>34172</v>
      </c>
      <c r="C21070" t="s">
        <v>1166</v>
      </c>
      <c r="D21070" t="s">
        <v>225</v>
      </c>
      <c r="E21070" t="s">
        <v>234</v>
      </c>
      <c r="F21070" s="2" t="str">
        <f>HYPERLINK("http://www.otzar.org/book.asp?105034","מאורות בן יצחק")</f>
        <v>מאורות בן יצחק</v>
      </c>
    </row>
    <row r="21071" spans="1:6" x14ac:dyDescent="0.2">
      <c r="A21071" t="s">
        <v>34173</v>
      </c>
      <c r="B21071" t="s">
        <v>34174</v>
      </c>
      <c r="C21071" t="s">
        <v>87</v>
      </c>
      <c r="D21071" t="s">
        <v>14</v>
      </c>
      <c r="E21071" t="s">
        <v>733</v>
      </c>
      <c r="F21071" s="2" t="str">
        <f>HYPERLINK("http://www.otzar.org/book.asp?157683","מאורות בשמי היהדות")</f>
        <v>מאורות בשמי היהדות</v>
      </c>
    </row>
    <row r="21072" spans="1:6" x14ac:dyDescent="0.2">
      <c r="A21072" t="s">
        <v>34175</v>
      </c>
      <c r="B21072" t="s">
        <v>4988</v>
      </c>
      <c r="C21072" t="s">
        <v>160</v>
      </c>
      <c r="D21072" t="s">
        <v>31460</v>
      </c>
      <c r="E21072" t="s">
        <v>241</v>
      </c>
      <c r="F21072" s="2" t="str">
        <f>HYPERLINK("http://www.otzar.org/book.asp?24894","מאורות הגדולים - 2 כר'")</f>
        <v>מאורות הגדולים - 2 כר'</v>
      </c>
    </row>
    <row r="21073" spans="1:6" x14ac:dyDescent="0.2">
      <c r="A21073" t="s">
        <v>34176</v>
      </c>
      <c r="B21073" t="s">
        <v>1821</v>
      </c>
      <c r="C21073" t="s">
        <v>1663</v>
      </c>
      <c r="D21073" t="s">
        <v>260</v>
      </c>
      <c r="E21073" t="s">
        <v>34177</v>
      </c>
      <c r="F21073" s="2" t="str">
        <f>HYPERLINK("http://www.otzar.org/book.asp?9180","מאורות הגר""א &lt;חידושי הגר""א&gt;")</f>
        <v>מאורות הגר"א &lt;חידושי הגר"א&gt;</v>
      </c>
    </row>
    <row r="21074" spans="1:6" x14ac:dyDescent="0.2">
      <c r="A21074" t="s">
        <v>34178</v>
      </c>
      <c r="B21074" t="s">
        <v>34179</v>
      </c>
      <c r="C21074" t="s">
        <v>37</v>
      </c>
      <c r="D21074" t="s">
        <v>14</v>
      </c>
      <c r="E21074" t="s">
        <v>246</v>
      </c>
      <c r="F21074" s="2" t="str">
        <f>HYPERLINK("http://www.otzar.org/book.asp?181776","מאורות ההגדה")</f>
        <v>מאורות ההגדה</v>
      </c>
    </row>
    <row r="21075" spans="1:6" x14ac:dyDescent="0.2">
      <c r="A21075" t="s">
        <v>34180</v>
      </c>
      <c r="B21075" t="s">
        <v>7056</v>
      </c>
      <c r="C21075" t="s">
        <v>68</v>
      </c>
      <c r="D21075" t="s">
        <v>90</v>
      </c>
      <c r="E21075" t="s">
        <v>399</v>
      </c>
      <c r="F21075" s="2" t="str">
        <f>HYPERLINK("http://www.otzar.org/book.asp?195716","מאורות הזהר")</f>
        <v>מאורות הזהר</v>
      </c>
    </row>
    <row r="21076" spans="1:6" x14ac:dyDescent="0.2">
      <c r="A21076" t="s">
        <v>34181</v>
      </c>
      <c r="B21076" t="s">
        <v>34182</v>
      </c>
      <c r="C21076" t="s">
        <v>151</v>
      </c>
      <c r="D21076" t="s">
        <v>412</v>
      </c>
      <c r="E21076" t="s">
        <v>384</v>
      </c>
      <c r="F21076" s="2" t="str">
        <f>HYPERLINK("http://www.otzar.org/book.asp?615537","מאורות הלב")</f>
        <v>מאורות הלב</v>
      </c>
    </row>
    <row r="21077" spans="1:6" x14ac:dyDescent="0.2">
      <c r="A21077" t="s">
        <v>34183</v>
      </c>
      <c r="B21077" t="s">
        <v>34179</v>
      </c>
      <c r="C21077" t="s">
        <v>244</v>
      </c>
      <c r="D21077" t="s">
        <v>14</v>
      </c>
      <c r="E21077" t="s">
        <v>158</v>
      </c>
      <c r="F21077" s="2" t="str">
        <f>HYPERLINK("http://www.otzar.org/book.asp?600638","מאורות המגילה")</f>
        <v>מאורות המגילה</v>
      </c>
    </row>
    <row r="21078" spans="1:6" x14ac:dyDescent="0.2">
      <c r="A21078" t="s">
        <v>34184</v>
      </c>
      <c r="B21078" t="s">
        <v>34185</v>
      </c>
      <c r="C21078" t="s">
        <v>176</v>
      </c>
      <c r="D21078" t="s">
        <v>118</v>
      </c>
      <c r="E21078" t="s">
        <v>158</v>
      </c>
      <c r="F21078" s="2" t="str">
        <f>HYPERLINK("http://www.otzar.org/book.asp?161951","מאורות המגילה - 2 כר'")</f>
        <v>מאורות המגילה - 2 כר'</v>
      </c>
    </row>
    <row r="21079" spans="1:6" x14ac:dyDescent="0.2">
      <c r="A21079" t="s">
        <v>34186</v>
      </c>
      <c r="B21079" t="s">
        <v>1791</v>
      </c>
      <c r="C21079" t="s">
        <v>411</v>
      </c>
      <c r="D21079" t="s">
        <v>14</v>
      </c>
      <c r="E21079" t="s">
        <v>674</v>
      </c>
      <c r="F21079" s="2" t="str">
        <f>HYPERLINK("http://www.otzar.org/book.asp?173725","מאורות המצוה - חג הפסח")</f>
        <v>מאורות המצוה - חג הפסח</v>
      </c>
    </row>
    <row r="21080" spans="1:6" x14ac:dyDescent="0.2">
      <c r="A21080" t="s">
        <v>34187</v>
      </c>
      <c r="B21080" t="s">
        <v>1791</v>
      </c>
      <c r="C21080" t="s">
        <v>143</v>
      </c>
      <c r="D21080" t="s">
        <v>14</v>
      </c>
      <c r="E21080" t="s">
        <v>4800</v>
      </c>
      <c r="F21080" s="2" t="str">
        <f>HYPERLINK("http://www.otzar.org/book.asp?106007","מאורות המצות")</f>
        <v>מאורות המצות</v>
      </c>
    </row>
    <row r="21081" spans="1:6" x14ac:dyDescent="0.2">
      <c r="A21081" t="s">
        <v>34188</v>
      </c>
      <c r="B21081" t="s">
        <v>34189</v>
      </c>
      <c r="C21081" t="s">
        <v>244</v>
      </c>
      <c r="D21081" t="s">
        <v>52</v>
      </c>
      <c r="E21081" t="s">
        <v>3055</v>
      </c>
      <c r="F21081" s="2" t="str">
        <f>HYPERLINK("http://www.otzar.org/book.asp?605059","מאורות הפורים")</f>
        <v>מאורות הפורים</v>
      </c>
    </row>
    <row r="21082" spans="1:6" x14ac:dyDescent="0.2">
      <c r="A21082" t="s">
        <v>34190</v>
      </c>
      <c r="B21082" t="s">
        <v>34191</v>
      </c>
      <c r="C21082" t="s">
        <v>114</v>
      </c>
      <c r="D21082" t="s">
        <v>1076</v>
      </c>
      <c r="E21082" t="s">
        <v>158</v>
      </c>
      <c r="F21082" s="2" t="str">
        <f>HYPERLINK("http://www.otzar.org/book.asp?165182","מאורות הפרד""ס")</f>
        <v>מאורות הפרד"ס</v>
      </c>
    </row>
    <row r="21083" spans="1:6" x14ac:dyDescent="0.2">
      <c r="A21083" t="s">
        <v>34192</v>
      </c>
      <c r="B21083" t="s">
        <v>34193</v>
      </c>
      <c r="C21083" t="s">
        <v>366</v>
      </c>
      <c r="D21083" t="s">
        <v>21</v>
      </c>
      <c r="E21083" t="s">
        <v>158</v>
      </c>
      <c r="F21083" s="2" t="str">
        <f>HYPERLINK("http://www.otzar.org/book.asp?615115","מאורות הפרשה")</f>
        <v>מאורות הפרשה</v>
      </c>
    </row>
    <row r="21084" spans="1:6" x14ac:dyDescent="0.2">
      <c r="A21084" t="s">
        <v>34194</v>
      </c>
      <c r="B21084" t="s">
        <v>1469</v>
      </c>
      <c r="C21084" t="s">
        <v>189</v>
      </c>
      <c r="D21084" t="s">
        <v>21</v>
      </c>
      <c r="E21084" t="s">
        <v>467</v>
      </c>
      <c r="F21084" s="2" t="str">
        <f>HYPERLINK("http://www.otzar.org/book.asp?199612","מאורות הראי""ה - 3 כר'")</f>
        <v>מאורות הראי"ה - 3 כר'</v>
      </c>
    </row>
    <row r="21085" spans="1:6" x14ac:dyDescent="0.2">
      <c r="A21085" t="s">
        <v>34195</v>
      </c>
      <c r="B21085" t="s">
        <v>34196</v>
      </c>
      <c r="C21085" t="s">
        <v>114</v>
      </c>
      <c r="D21085" t="s">
        <v>34197</v>
      </c>
      <c r="F21085" s="2" t="str">
        <f>HYPERLINK("http://www.otzar.org/book.asp?189048","מאורות הרצי""ה - ב")</f>
        <v>מאורות הרצי"ה - ב</v>
      </c>
    </row>
    <row r="21086" spans="1:6" x14ac:dyDescent="0.2">
      <c r="A21086" t="s">
        <v>34198</v>
      </c>
      <c r="B21086" t="s">
        <v>34199</v>
      </c>
      <c r="C21086" t="s">
        <v>366</v>
      </c>
      <c r="D21086" t="s">
        <v>34200</v>
      </c>
      <c r="E21086" t="s">
        <v>172</v>
      </c>
      <c r="F21086" s="2" t="str">
        <f>HYPERLINK("http://www.otzar.org/book.asp?608480","מאורות השלחן - 2 כר'")</f>
        <v>מאורות השלחן - 2 כר'</v>
      </c>
    </row>
    <row r="21087" spans="1:6" x14ac:dyDescent="0.2">
      <c r="A21087" t="s">
        <v>34201</v>
      </c>
      <c r="B21087" t="s">
        <v>34202</v>
      </c>
      <c r="C21087" t="s">
        <v>176</v>
      </c>
      <c r="D21087" t="s">
        <v>90</v>
      </c>
      <c r="E21087" t="s">
        <v>3489</v>
      </c>
      <c r="F21087" s="2" t="str">
        <f>HYPERLINK("http://www.otzar.org/book.asp?161938","מאורות חיים - תרומות")</f>
        <v>מאורות חיים - תרומות</v>
      </c>
    </row>
    <row r="21088" spans="1:6" x14ac:dyDescent="0.2">
      <c r="A21088" t="s">
        <v>34203</v>
      </c>
      <c r="B21088" t="s">
        <v>34204</v>
      </c>
      <c r="C21088" t="s">
        <v>114</v>
      </c>
      <c r="D21088" t="s">
        <v>52</v>
      </c>
      <c r="E21088" t="s">
        <v>34205</v>
      </c>
      <c r="F21088" s="2" t="str">
        <f>HYPERLINK("http://www.otzar.org/book.asp?171686","מאורות יצחק")</f>
        <v>מאורות יצחק</v>
      </c>
    </row>
    <row r="21089" spans="1:6" x14ac:dyDescent="0.2">
      <c r="A21089" t="s">
        <v>34206</v>
      </c>
      <c r="B21089" t="s">
        <v>1750</v>
      </c>
      <c r="C21089" t="s">
        <v>189</v>
      </c>
      <c r="D21089" t="s">
        <v>14</v>
      </c>
      <c r="E21089" t="s">
        <v>4022</v>
      </c>
      <c r="F21089" s="2" t="str">
        <f>HYPERLINK("http://www.otzar.org/book.asp?28891","מאורות ירושלים - 9 כר'")</f>
        <v>מאורות ירושלים - 9 כר'</v>
      </c>
    </row>
    <row r="21090" spans="1:6" x14ac:dyDescent="0.2">
      <c r="A21090" t="s">
        <v>34207</v>
      </c>
      <c r="B21090" t="s">
        <v>14060</v>
      </c>
      <c r="C21090" t="s">
        <v>189</v>
      </c>
      <c r="D21090" t="s">
        <v>14</v>
      </c>
      <c r="E21090" t="s">
        <v>202</v>
      </c>
      <c r="F21090" s="2" t="str">
        <f>HYPERLINK("http://www.otzar.org/book.asp?152001","מאורות ישראל")</f>
        <v>מאורות ישראל</v>
      </c>
    </row>
    <row r="21091" spans="1:6" x14ac:dyDescent="0.2">
      <c r="A21091" t="s">
        <v>34208</v>
      </c>
      <c r="B21091" t="s">
        <v>34209</v>
      </c>
      <c r="C21091" t="s">
        <v>37</v>
      </c>
      <c r="D21091" t="s">
        <v>21</v>
      </c>
      <c r="E21091" t="s">
        <v>246</v>
      </c>
      <c r="F21091" s="2" t="str">
        <f>HYPERLINK("http://www.otzar.org/book.asp?197749","מאורות לשבת ויאירו לישראל - 2 כר'")</f>
        <v>מאורות לשבת ויאירו לישראל - 2 כר'</v>
      </c>
    </row>
    <row r="21092" spans="1:6" x14ac:dyDescent="0.2">
      <c r="A21092" t="s">
        <v>34210</v>
      </c>
      <c r="B21092" t="s">
        <v>19004</v>
      </c>
      <c r="C21092" t="s">
        <v>189</v>
      </c>
      <c r="D21092" t="s">
        <v>14</v>
      </c>
      <c r="E21092" t="s">
        <v>733</v>
      </c>
      <c r="F21092" s="2" t="str">
        <f>HYPERLINK("http://www.otzar.org/book.asp?143466","מאורות מעולם התורה")</f>
        <v>מאורות מעולם התורה</v>
      </c>
    </row>
    <row r="21093" spans="1:6" x14ac:dyDescent="0.2">
      <c r="A21093" t="s">
        <v>34211</v>
      </c>
      <c r="B21093" t="s">
        <v>27183</v>
      </c>
      <c r="C21093" t="s">
        <v>888</v>
      </c>
      <c r="D21093" t="s">
        <v>889</v>
      </c>
      <c r="E21093" t="s">
        <v>144</v>
      </c>
      <c r="F21093" s="2" t="str">
        <f>HYPERLINK("http://www.otzar.org/book.asp?9368","מאורות נתן &lt;אבני צדק&gt; - ב""מ")</f>
        <v>מאורות נתן &lt;אבני צדק&gt; - ב"מ</v>
      </c>
    </row>
    <row r="21094" spans="1:6" x14ac:dyDescent="0.2">
      <c r="A21094" t="s">
        <v>34212</v>
      </c>
      <c r="B21094" t="s">
        <v>14381</v>
      </c>
      <c r="C21094" t="s">
        <v>1268</v>
      </c>
      <c r="D21094" t="s">
        <v>52</v>
      </c>
      <c r="E21094" t="s">
        <v>24</v>
      </c>
      <c r="F21094" s="2" t="str">
        <f>HYPERLINK("http://www.otzar.org/book.asp?21700","מאורות נתן &lt;ברכת החמה בתקופתה&gt;")</f>
        <v>מאורות נתן &lt;ברכת החמה בתקופתה&gt;</v>
      </c>
    </row>
    <row r="21095" spans="1:6" x14ac:dyDescent="0.2">
      <c r="A21095" t="s">
        <v>34213</v>
      </c>
      <c r="B21095" t="s">
        <v>18220</v>
      </c>
      <c r="C21095" t="s">
        <v>133</v>
      </c>
      <c r="D21095" t="s">
        <v>52</v>
      </c>
      <c r="E21095" t="s">
        <v>246</v>
      </c>
      <c r="F21095" s="2" t="str">
        <f>HYPERLINK("http://www.otzar.org/book.asp?620467","מאורות נתן - חנוכה")</f>
        <v>מאורות נתן - חנוכה</v>
      </c>
    </row>
    <row r="21096" spans="1:6" x14ac:dyDescent="0.2">
      <c r="A21096" t="s">
        <v>34214</v>
      </c>
      <c r="B21096" t="s">
        <v>34215</v>
      </c>
      <c r="C21096" t="s">
        <v>2644</v>
      </c>
      <c r="D21096" t="s">
        <v>2181</v>
      </c>
      <c r="E21096" t="s">
        <v>474</v>
      </c>
      <c r="F21096" s="2" t="str">
        <f>HYPERLINK("http://www.otzar.org/book.asp?10625","מאורות נתן")</f>
        <v>מאורות נתן</v>
      </c>
    </row>
    <row r="21097" spans="1:6" x14ac:dyDescent="0.2">
      <c r="A21097" t="s">
        <v>34214</v>
      </c>
      <c r="B21097" t="s">
        <v>34216</v>
      </c>
      <c r="C21097" t="s">
        <v>176</v>
      </c>
      <c r="D21097" t="s">
        <v>34217</v>
      </c>
      <c r="E21097" t="s">
        <v>144</v>
      </c>
      <c r="F21097" s="2" t="str">
        <f>HYPERLINK("http://www.otzar.org/book.asp?144614","מאורות נתן")</f>
        <v>מאורות נתן</v>
      </c>
    </row>
    <row r="21098" spans="1:6" x14ac:dyDescent="0.2">
      <c r="A21098" t="s">
        <v>34214</v>
      </c>
      <c r="B21098" t="s">
        <v>18425</v>
      </c>
      <c r="C21098" t="s">
        <v>23</v>
      </c>
      <c r="D21098" t="s">
        <v>21</v>
      </c>
      <c r="E21098" t="s">
        <v>1211</v>
      </c>
      <c r="F21098" s="2" t="str">
        <f>HYPERLINK("http://www.otzar.org/book.asp?195689","מאורות נתן")</f>
        <v>מאורות נתן</v>
      </c>
    </row>
    <row r="21099" spans="1:6" x14ac:dyDescent="0.2">
      <c r="A21099" t="s">
        <v>34214</v>
      </c>
      <c r="B21099" t="s">
        <v>34218</v>
      </c>
      <c r="C21099" t="s">
        <v>442</v>
      </c>
      <c r="D21099" t="s">
        <v>986</v>
      </c>
      <c r="E21099" t="s">
        <v>34219</v>
      </c>
      <c r="F21099" s="2" t="str">
        <f>HYPERLINK("http://www.otzar.org/book.asp?14027","מאורות נתן")</f>
        <v>מאורות נתן</v>
      </c>
    </row>
    <row r="21100" spans="1:6" x14ac:dyDescent="0.2">
      <c r="A21100" t="s">
        <v>34214</v>
      </c>
      <c r="B21100" t="s">
        <v>14539</v>
      </c>
      <c r="C21100" t="s">
        <v>286</v>
      </c>
      <c r="D21100" t="s">
        <v>225</v>
      </c>
      <c r="E21100" t="s">
        <v>154</v>
      </c>
      <c r="F21100" s="2" t="str">
        <f>HYPERLINK("http://www.otzar.org/book.asp?19003","מאורות נתן")</f>
        <v>מאורות נתן</v>
      </c>
    </row>
    <row r="21101" spans="1:6" x14ac:dyDescent="0.2">
      <c r="A21101" t="s">
        <v>34220</v>
      </c>
      <c r="B21101" t="s">
        <v>34221</v>
      </c>
      <c r="C21101" t="s">
        <v>466</v>
      </c>
      <c r="D21101" t="s">
        <v>27</v>
      </c>
      <c r="E21101" t="s">
        <v>872</v>
      </c>
      <c r="F21101" s="2" t="str">
        <f>HYPERLINK("http://www.otzar.org/book.asp?50764","מאורות נתן - 6 כר'")</f>
        <v>מאורות נתן - 6 כר'</v>
      </c>
    </row>
    <row r="21102" spans="1:6" x14ac:dyDescent="0.2">
      <c r="A21102" t="s">
        <v>34214</v>
      </c>
      <c r="B21102" t="s">
        <v>34222</v>
      </c>
      <c r="C21102" t="s">
        <v>445</v>
      </c>
      <c r="D21102" t="s">
        <v>691</v>
      </c>
      <c r="E21102" t="s">
        <v>10325</v>
      </c>
      <c r="F21102" s="2" t="str">
        <f>HYPERLINK("http://www.otzar.org/book.asp?5083","מאורות נתן")</f>
        <v>מאורות נתן</v>
      </c>
    </row>
    <row r="21103" spans="1:6" x14ac:dyDescent="0.2">
      <c r="A21103" t="s">
        <v>34223</v>
      </c>
      <c r="B21103" t="s">
        <v>2663</v>
      </c>
      <c r="C21103" t="s">
        <v>151</v>
      </c>
      <c r="D21103" t="s">
        <v>1156</v>
      </c>
      <c r="F21103" s="2" t="str">
        <f>HYPERLINK("http://www.otzar.org/book.asp?612159","מאורות שלמה מאיר")</f>
        <v>מאורות שלמה מאיר</v>
      </c>
    </row>
    <row r="21104" spans="1:6" x14ac:dyDescent="0.2">
      <c r="A21104" t="s">
        <v>34224</v>
      </c>
      <c r="B21104" t="s">
        <v>21738</v>
      </c>
      <c r="C21104" t="s">
        <v>366</v>
      </c>
      <c r="D21104" t="s">
        <v>90</v>
      </c>
      <c r="E21104" t="s">
        <v>15</v>
      </c>
      <c r="F21104" s="2" t="str">
        <f>HYPERLINK("http://www.otzar.org/book.asp?602761","מאורות תורת המשפט - 2 כר'")</f>
        <v>מאורות תורת המשפט - 2 כר'</v>
      </c>
    </row>
    <row r="21105" spans="1:6" x14ac:dyDescent="0.2">
      <c r="A21105" t="s">
        <v>34225</v>
      </c>
      <c r="B21105" t="s">
        <v>34226</v>
      </c>
      <c r="C21105" t="s">
        <v>1619</v>
      </c>
      <c r="D21105" t="s">
        <v>14</v>
      </c>
      <c r="E21105" t="s">
        <v>202</v>
      </c>
      <c r="F21105" s="2" t="str">
        <f>HYPERLINK("http://www.otzar.org/book.asp?624629","מאורות - 30 כר'")</f>
        <v>מאורות - 30 כר'</v>
      </c>
    </row>
    <row r="21106" spans="1:6" x14ac:dyDescent="0.2">
      <c r="A21106" t="s">
        <v>34227</v>
      </c>
      <c r="B21106" t="s">
        <v>34227</v>
      </c>
      <c r="C21106" t="s">
        <v>34228</v>
      </c>
      <c r="D21106" t="s">
        <v>22561</v>
      </c>
      <c r="E21106" t="s">
        <v>202</v>
      </c>
      <c r="F21106" s="2" t="str">
        <f>HYPERLINK("http://www.otzar.org/book.asp?624694","מאורות")</f>
        <v>מאורות</v>
      </c>
    </row>
    <row r="21107" spans="1:6" x14ac:dyDescent="0.2">
      <c r="A21107" t="s">
        <v>34229</v>
      </c>
      <c r="B21107" t="s">
        <v>34230</v>
      </c>
      <c r="C21107" t="s">
        <v>313</v>
      </c>
      <c r="D21107" t="s">
        <v>152</v>
      </c>
      <c r="E21107" t="s">
        <v>202</v>
      </c>
      <c r="F21107" s="2" t="str">
        <f>HYPERLINK("http://www.otzar.org/book.asp?160958","מאורות - א")</f>
        <v>מאורות - א</v>
      </c>
    </row>
    <row r="21108" spans="1:6" x14ac:dyDescent="0.2">
      <c r="A21108" t="s">
        <v>34231</v>
      </c>
      <c r="B21108" t="s">
        <v>34232</v>
      </c>
      <c r="C21108" t="s">
        <v>332</v>
      </c>
      <c r="D21108" t="s">
        <v>14</v>
      </c>
      <c r="E21108" t="s">
        <v>202</v>
      </c>
      <c r="F21108" s="2" t="str">
        <f>HYPERLINK("http://www.otzar.org/book.asp?624696","מאורות - 2 כר'")</f>
        <v>מאורות - 2 כר'</v>
      </c>
    </row>
    <row r="21109" spans="1:6" x14ac:dyDescent="0.2">
      <c r="A21109" t="s">
        <v>34233</v>
      </c>
      <c r="B21109" t="s">
        <v>34234</v>
      </c>
      <c r="C21109" t="s">
        <v>6995</v>
      </c>
      <c r="D21109" t="s">
        <v>2303</v>
      </c>
      <c r="E21109" t="s">
        <v>34235</v>
      </c>
      <c r="F21109" s="2" t="str">
        <f>HYPERLINK("http://www.otzar.org/book.asp?103376","מאורי א""ש &lt;כתונת אור&gt;")</f>
        <v>מאורי א"ש &lt;כתונת אור&gt;</v>
      </c>
    </row>
    <row r="21110" spans="1:6" x14ac:dyDescent="0.2">
      <c r="A21110" t="s">
        <v>34236</v>
      </c>
      <c r="B21110" t="s">
        <v>34237</v>
      </c>
      <c r="C21110" t="s">
        <v>34238</v>
      </c>
      <c r="D21110" t="s">
        <v>1516</v>
      </c>
      <c r="E21110" t="s">
        <v>144</v>
      </c>
      <c r="F21110" s="2" t="str">
        <f>HYPERLINK("http://www.otzar.org/book.asp?300585","מאורי אור &lt;ב""ן נו""ן&gt;")</f>
        <v>מאורי אור &lt;ב"ן נו"ן&gt;</v>
      </c>
    </row>
    <row r="21111" spans="1:6" x14ac:dyDescent="0.2">
      <c r="A21111" t="s">
        <v>34239</v>
      </c>
      <c r="B21111" t="s">
        <v>265</v>
      </c>
      <c r="C21111" t="s">
        <v>79</v>
      </c>
      <c r="D21111" t="s">
        <v>9</v>
      </c>
      <c r="E21111" t="s">
        <v>148</v>
      </c>
      <c r="F21111" s="2" t="str">
        <f>HYPERLINK("http://www.otzar.org/book.asp?8276","מאורי אור &lt;קיצור שלחן ערוך יורה דעה&gt;")</f>
        <v>מאורי אור &lt;קיצור שלחן ערוך יורה דעה&gt;</v>
      </c>
    </row>
    <row r="21112" spans="1:6" x14ac:dyDescent="0.2">
      <c r="A21112" t="s">
        <v>34240</v>
      </c>
      <c r="B21112" t="s">
        <v>34241</v>
      </c>
      <c r="C21112" t="s">
        <v>617</v>
      </c>
      <c r="D21112" t="s">
        <v>22873</v>
      </c>
      <c r="E21112" t="s">
        <v>1262</v>
      </c>
      <c r="F21112" s="2" t="str">
        <f>HYPERLINK("http://www.otzar.org/book.asp?51677","מאורי אור")</f>
        <v>מאורי אור</v>
      </c>
    </row>
    <row r="21113" spans="1:6" x14ac:dyDescent="0.2">
      <c r="A21113" t="s">
        <v>34240</v>
      </c>
      <c r="B21113" t="s">
        <v>13321</v>
      </c>
      <c r="C21113" t="s">
        <v>4858</v>
      </c>
      <c r="D21113" t="s">
        <v>76</v>
      </c>
      <c r="E21113" t="s">
        <v>158</v>
      </c>
      <c r="F21113" s="2" t="str">
        <f>HYPERLINK("http://www.otzar.org/book.asp?19004","מאורי אור")</f>
        <v>מאורי אור</v>
      </c>
    </row>
    <row r="21114" spans="1:6" x14ac:dyDescent="0.2">
      <c r="A21114" t="s">
        <v>34242</v>
      </c>
      <c r="B21114" t="s">
        <v>34237</v>
      </c>
      <c r="C21114" t="s">
        <v>34238</v>
      </c>
      <c r="D21114" t="s">
        <v>1516</v>
      </c>
      <c r="E21114" t="s">
        <v>144</v>
      </c>
      <c r="F21114" s="2" t="str">
        <f>HYPERLINK("http://www.otzar.org/book.asp?100281","מאורי אור - 7 כר'")</f>
        <v>מאורי אור - 7 כר'</v>
      </c>
    </row>
    <row r="21115" spans="1:6" x14ac:dyDescent="0.2">
      <c r="A21115" t="s">
        <v>34240</v>
      </c>
      <c r="B21115" t="s">
        <v>17127</v>
      </c>
      <c r="C21115" t="s">
        <v>51</v>
      </c>
      <c r="D21115" t="s">
        <v>486</v>
      </c>
      <c r="E21115" t="s">
        <v>1164</v>
      </c>
      <c r="F21115" s="2" t="str">
        <f>HYPERLINK("http://www.otzar.org/book.asp?168502","מאורי אור")</f>
        <v>מאורי אור</v>
      </c>
    </row>
    <row r="21116" spans="1:6" x14ac:dyDescent="0.2">
      <c r="A21116" t="s">
        <v>34240</v>
      </c>
      <c r="B21116" t="s">
        <v>255</v>
      </c>
      <c r="C21116" t="s">
        <v>189</v>
      </c>
      <c r="D21116" t="s">
        <v>14</v>
      </c>
      <c r="F21116" s="2" t="str">
        <f>HYPERLINK("http://www.otzar.org/book.asp?152699","מאורי אור")</f>
        <v>מאורי אור</v>
      </c>
    </row>
    <row r="21117" spans="1:6" x14ac:dyDescent="0.2">
      <c r="A21117" t="s">
        <v>34243</v>
      </c>
      <c r="B21117" t="s">
        <v>34244</v>
      </c>
      <c r="C21117" t="s">
        <v>619</v>
      </c>
      <c r="D21117" t="s">
        <v>1188</v>
      </c>
      <c r="E21117" t="s">
        <v>104</v>
      </c>
      <c r="F21117" s="2" t="str">
        <f>HYPERLINK("http://www.otzar.org/book.asp?149635","מאורי אליהו")</f>
        <v>מאורי אליהו</v>
      </c>
    </row>
    <row r="21118" spans="1:6" x14ac:dyDescent="0.2">
      <c r="A21118" t="s">
        <v>34245</v>
      </c>
      <c r="B21118" t="s">
        <v>3640</v>
      </c>
      <c r="C21118" t="s">
        <v>3690</v>
      </c>
      <c r="D21118" t="s">
        <v>283</v>
      </c>
      <c r="E21118" t="s">
        <v>158</v>
      </c>
      <c r="F21118" s="2" t="str">
        <f>HYPERLINK("http://www.otzar.org/book.asp?103377","מאורי אש &lt;כתנות אור&gt;")</f>
        <v>מאורי אש &lt;כתנות אור&gt;</v>
      </c>
    </row>
    <row r="21119" spans="1:6" x14ac:dyDescent="0.2">
      <c r="A21119" t="s">
        <v>34246</v>
      </c>
      <c r="B21119" t="s">
        <v>34247</v>
      </c>
      <c r="C21119" t="s">
        <v>68</v>
      </c>
      <c r="D21119" t="s">
        <v>27</v>
      </c>
      <c r="E21119" t="s">
        <v>15</v>
      </c>
      <c r="F21119" s="2" t="str">
        <f>HYPERLINK("http://www.otzar.org/book.asp?181469","מאורי אש השלם - ב - קרני אורה")</f>
        <v>מאורי אש השלם - ב - קרני אורה</v>
      </c>
    </row>
    <row r="21120" spans="1:6" x14ac:dyDescent="0.2">
      <c r="A21120" t="s">
        <v>34248</v>
      </c>
      <c r="B21120" t="s">
        <v>19533</v>
      </c>
      <c r="C21120" t="s">
        <v>68</v>
      </c>
      <c r="D21120" t="s">
        <v>27</v>
      </c>
      <c r="F21120" s="2" t="str">
        <f>HYPERLINK("http://www.otzar.org/book.asp?181412","מאורי אש השלם - א")</f>
        <v>מאורי אש השלם - א</v>
      </c>
    </row>
    <row r="21121" spans="1:6" x14ac:dyDescent="0.2">
      <c r="A21121" t="s">
        <v>34249</v>
      </c>
      <c r="B21121" t="s">
        <v>19533</v>
      </c>
      <c r="C21121" t="s">
        <v>224</v>
      </c>
      <c r="D21121" t="s">
        <v>27</v>
      </c>
      <c r="E21121" t="s">
        <v>3567</v>
      </c>
      <c r="F21121" s="2" t="str">
        <f>HYPERLINK("http://www.otzar.org/book.asp?8141","מאורי אש")</f>
        <v>מאורי אש</v>
      </c>
    </row>
    <row r="21122" spans="1:6" x14ac:dyDescent="0.2">
      <c r="A21122" t="s">
        <v>34249</v>
      </c>
      <c r="B21122" t="s">
        <v>34250</v>
      </c>
      <c r="C21122" t="s">
        <v>20</v>
      </c>
      <c r="D21122" t="s">
        <v>14</v>
      </c>
      <c r="E21122" t="s">
        <v>5398</v>
      </c>
      <c r="F21122" s="2" t="str">
        <f>HYPERLINK("http://www.otzar.org/book.asp?170468","מאורי אש")</f>
        <v>מאורי אש</v>
      </c>
    </row>
    <row r="21123" spans="1:6" x14ac:dyDescent="0.2">
      <c r="A21123" t="s">
        <v>34251</v>
      </c>
      <c r="B21123" t="s">
        <v>9948</v>
      </c>
      <c r="C21123" t="s">
        <v>17</v>
      </c>
      <c r="D21123" t="s">
        <v>52</v>
      </c>
      <c r="E21123" t="s">
        <v>130</v>
      </c>
      <c r="F21123" s="2" t="str">
        <f>HYPERLINK("http://www.otzar.org/book.asp?23594","מאורי הזמנים - 2 כר'")</f>
        <v>מאורי הזמנים - 2 כר'</v>
      </c>
    </row>
    <row r="21124" spans="1:6" x14ac:dyDescent="0.2">
      <c r="A21124" t="s">
        <v>34252</v>
      </c>
      <c r="B21124" t="s">
        <v>31077</v>
      </c>
      <c r="C21124" t="s">
        <v>68</v>
      </c>
      <c r="D21124" t="s">
        <v>52</v>
      </c>
      <c r="E21124" t="s">
        <v>130</v>
      </c>
      <c r="F21124" s="2" t="str">
        <f>HYPERLINK("http://www.otzar.org/book.asp?199923","מאורי הלכה - 8 כר'")</f>
        <v>מאורי הלכה - 8 כר'</v>
      </c>
    </row>
    <row r="21125" spans="1:6" x14ac:dyDescent="0.2">
      <c r="A21125" t="s">
        <v>34253</v>
      </c>
      <c r="B21125" t="s">
        <v>34254</v>
      </c>
      <c r="C21125" t="s">
        <v>151</v>
      </c>
      <c r="D21125" t="s">
        <v>152</v>
      </c>
      <c r="F21125" s="2" t="str">
        <f>HYPERLINK("http://www.otzar.org/book.asp?613960","מאורי הרמב""ם - 3 כר'")</f>
        <v>מאורי הרמב"ם - 3 כר'</v>
      </c>
    </row>
    <row r="21126" spans="1:6" x14ac:dyDescent="0.2">
      <c r="A21126" t="s">
        <v>34255</v>
      </c>
      <c r="B21126" t="s">
        <v>34256</v>
      </c>
      <c r="C21126" t="s">
        <v>52</v>
      </c>
      <c r="D21126" t="s">
        <v>411</v>
      </c>
      <c r="F21126" s="2" t="str">
        <f>HYPERLINK("http://www.otzar.org/book.asp?622573","מאורי חנוכה")</f>
        <v>מאורי חנוכה</v>
      </c>
    </row>
    <row r="21127" spans="1:6" x14ac:dyDescent="0.2">
      <c r="A21127" t="s">
        <v>34257</v>
      </c>
      <c r="B21127" t="s">
        <v>1750</v>
      </c>
      <c r="C21127" t="s">
        <v>775</v>
      </c>
      <c r="D21127" t="s">
        <v>52</v>
      </c>
      <c r="E21127" t="s">
        <v>202</v>
      </c>
      <c r="F21127" s="2" t="str">
        <f>HYPERLINK("http://www.otzar.org/book.asp?166488","מאורי יהושע - 4 כר'")</f>
        <v>מאורי יהושע - 4 כר'</v>
      </c>
    </row>
    <row r="21128" spans="1:6" x14ac:dyDescent="0.2">
      <c r="A21128" t="s">
        <v>34258</v>
      </c>
      <c r="B21128" t="s">
        <v>34259</v>
      </c>
      <c r="C21128" t="s">
        <v>146</v>
      </c>
      <c r="D21128" t="s">
        <v>14</v>
      </c>
      <c r="E21128" t="s">
        <v>1174</v>
      </c>
      <c r="F21128" s="2" t="str">
        <f>HYPERLINK("http://www.otzar.org/book.asp?83831","מאורי יעקב - 3 כר'")</f>
        <v>מאורי יעקב - 3 כר'</v>
      </c>
    </row>
    <row r="21129" spans="1:6" x14ac:dyDescent="0.2">
      <c r="A21129" t="s">
        <v>34260</v>
      </c>
      <c r="B21129" t="s">
        <v>34261</v>
      </c>
      <c r="C21129" t="s">
        <v>390</v>
      </c>
      <c r="D21129" t="s">
        <v>423</v>
      </c>
      <c r="E21129" t="s">
        <v>241</v>
      </c>
      <c r="F21129" s="2" t="str">
        <f>HYPERLINK("http://www.otzar.org/book.asp?166321","מאורי יעקב")</f>
        <v>מאורי יעקב</v>
      </c>
    </row>
    <row r="21130" spans="1:6" x14ac:dyDescent="0.2">
      <c r="A21130" t="s">
        <v>34262</v>
      </c>
      <c r="B21130" t="s">
        <v>34263</v>
      </c>
      <c r="C21130" t="s">
        <v>366</v>
      </c>
      <c r="D21130" t="s">
        <v>52</v>
      </c>
      <c r="E21130" t="s">
        <v>15</v>
      </c>
      <c r="F21130" s="2" t="str">
        <f>HYPERLINK("http://www.otzar.org/book.asp?605366","מאורי יעקב - סת""ם")</f>
        <v>מאורי יעקב - סת"ם</v>
      </c>
    </row>
    <row r="21131" spans="1:6" x14ac:dyDescent="0.2">
      <c r="A21131" t="s">
        <v>34264</v>
      </c>
      <c r="B21131" t="s">
        <v>34265</v>
      </c>
      <c r="C21131" t="s">
        <v>445</v>
      </c>
      <c r="D21131" t="s">
        <v>27</v>
      </c>
      <c r="E21131" t="s">
        <v>158</v>
      </c>
      <c r="F21131" s="2" t="str">
        <f>HYPERLINK("http://www.otzar.org/book.asp?102287","מאורי יצחק")</f>
        <v>מאורי יצחק</v>
      </c>
    </row>
    <row r="21132" spans="1:6" x14ac:dyDescent="0.2">
      <c r="A21132" t="s">
        <v>34266</v>
      </c>
      <c r="B21132" t="s">
        <v>34267</v>
      </c>
      <c r="C21132" t="s">
        <v>17</v>
      </c>
      <c r="D21132" t="s">
        <v>14</v>
      </c>
      <c r="E21132" t="s">
        <v>144</v>
      </c>
      <c r="F21132" s="2" t="str">
        <f>HYPERLINK("http://www.otzar.org/book.asp?50572","מאורי מהרש""א - עירובין")</f>
        <v>מאורי מהרש"א - עירובין</v>
      </c>
    </row>
    <row r="21133" spans="1:6" x14ac:dyDescent="0.2">
      <c r="A21133" t="s">
        <v>34268</v>
      </c>
      <c r="B21133" t="s">
        <v>34269</v>
      </c>
      <c r="C21133" t="s">
        <v>37</v>
      </c>
      <c r="D21133" t="s">
        <v>1550</v>
      </c>
      <c r="E21133" t="s">
        <v>144</v>
      </c>
      <c r="F21133" s="2" t="str">
        <f>HYPERLINK("http://www.otzar.org/book.asp?193106","מאורי מרדכי")</f>
        <v>מאורי מרדכי</v>
      </c>
    </row>
    <row r="21134" spans="1:6" x14ac:dyDescent="0.2">
      <c r="A21134" t="s">
        <v>34270</v>
      </c>
      <c r="B21134" t="s">
        <v>34271</v>
      </c>
      <c r="C21134" t="s">
        <v>114</v>
      </c>
      <c r="D21134" t="s">
        <v>367</v>
      </c>
      <c r="E21134" t="s">
        <v>658</v>
      </c>
      <c r="F21134" s="2" t="str">
        <f>HYPERLINK("http://www.otzar.org/book.asp?160081","מאורי סוכה")</f>
        <v>מאורי סוכה</v>
      </c>
    </row>
    <row r="21135" spans="1:6" x14ac:dyDescent="0.2">
      <c r="A21135" t="s">
        <v>34272</v>
      </c>
      <c r="B21135" t="s">
        <v>34273</v>
      </c>
      <c r="C21135" t="s">
        <v>360</v>
      </c>
      <c r="D21135" t="s">
        <v>27</v>
      </c>
      <c r="E21135" t="s">
        <v>1438</v>
      </c>
      <c r="F21135" s="2" t="str">
        <f>HYPERLINK("http://www.otzar.org/book.asp?102292","מאורי ציון")</f>
        <v>מאורי ציון</v>
      </c>
    </row>
    <row r="21136" spans="1:6" x14ac:dyDescent="0.2">
      <c r="A21136" t="s">
        <v>34272</v>
      </c>
      <c r="B21136" t="s">
        <v>2361</v>
      </c>
      <c r="C21136" t="s">
        <v>1388</v>
      </c>
      <c r="D21136" t="s">
        <v>412</v>
      </c>
      <c r="E21136" t="s">
        <v>4424</v>
      </c>
      <c r="F21136" s="2" t="str">
        <f>HYPERLINK("http://www.otzar.org/book.asp?15610","מאורי ציון")</f>
        <v>מאורי ציון</v>
      </c>
    </row>
    <row r="21137" spans="1:6" x14ac:dyDescent="0.2">
      <c r="A21137" t="s">
        <v>34274</v>
      </c>
      <c r="B21137" t="s">
        <v>7503</v>
      </c>
      <c r="C21137" t="s">
        <v>176</v>
      </c>
      <c r="D21137" t="s">
        <v>52</v>
      </c>
      <c r="E21137" t="s">
        <v>241</v>
      </c>
      <c r="F21137" s="2" t="str">
        <f>HYPERLINK("http://www.otzar.org/book.asp?52351","מאורי שערים")</f>
        <v>מאורי שערים</v>
      </c>
    </row>
    <row r="21138" spans="1:6" x14ac:dyDescent="0.2">
      <c r="A21138" t="s">
        <v>34275</v>
      </c>
      <c r="B21138" t="s">
        <v>14165</v>
      </c>
      <c r="C21138" t="s">
        <v>313</v>
      </c>
      <c r="D21138" t="s">
        <v>14</v>
      </c>
      <c r="F21138" s="2" t="str">
        <f>HYPERLINK("http://www.otzar.org/book.asp?608996","מאורי תפילה")</f>
        <v>מאורי תפילה</v>
      </c>
    </row>
    <row r="21139" spans="1:6" x14ac:dyDescent="0.2">
      <c r="A21139" t="s">
        <v>34276</v>
      </c>
      <c r="B21139" t="s">
        <v>34277</v>
      </c>
      <c r="C21139" t="s">
        <v>411</v>
      </c>
      <c r="D21139" t="s">
        <v>52</v>
      </c>
      <c r="F21139" s="2" t="str">
        <f>HYPERLINK("http://www.otzar.org/book.asp?169619","מאורם של ישראל")</f>
        <v>מאורם של ישראל</v>
      </c>
    </row>
    <row r="21140" spans="1:6" x14ac:dyDescent="0.2">
      <c r="A21140" t="s">
        <v>34278</v>
      </c>
      <c r="B21140" t="s">
        <v>17584</v>
      </c>
      <c r="C21140" t="s">
        <v>919</v>
      </c>
      <c r="D21140" t="s">
        <v>52</v>
      </c>
      <c r="E21140" t="s">
        <v>119</v>
      </c>
      <c r="F21140" s="2" t="str">
        <f>HYPERLINK("http://www.otzar.org/book.asp?156075","מאורן של ישראל")</f>
        <v>מאורן של ישראל</v>
      </c>
    </row>
    <row r="21141" spans="1:6" x14ac:dyDescent="0.2">
      <c r="A21141" t="s">
        <v>34279</v>
      </c>
      <c r="B21141" t="s">
        <v>34280</v>
      </c>
      <c r="C21141" t="s">
        <v>114</v>
      </c>
      <c r="D21141" t="s">
        <v>1180</v>
      </c>
      <c r="E21141" t="s">
        <v>119</v>
      </c>
      <c r="F21141" s="2" t="str">
        <f>HYPERLINK("http://www.otzar.org/book.asp?171316","מאורן של ישראל - א")</f>
        <v>מאורן של ישראל - א</v>
      </c>
    </row>
    <row r="21142" spans="1:6" x14ac:dyDescent="0.2">
      <c r="A21142" t="s">
        <v>34281</v>
      </c>
      <c r="B21142" t="s">
        <v>34282</v>
      </c>
      <c r="C21142" t="s">
        <v>114</v>
      </c>
      <c r="D21142" t="s">
        <v>1180</v>
      </c>
      <c r="E21142" t="s">
        <v>119</v>
      </c>
      <c r="F21142" s="2" t="str">
        <f>HYPERLINK("http://www.otzar.org/book.asp?171313","מאורן של ישראל - ב")</f>
        <v>מאורן של ישראל - ב</v>
      </c>
    </row>
    <row r="21143" spans="1:6" x14ac:dyDescent="0.2">
      <c r="A21143" t="s">
        <v>34283</v>
      </c>
      <c r="B21143" t="s">
        <v>107</v>
      </c>
      <c r="C21143" t="s">
        <v>189</v>
      </c>
      <c r="D21143" t="s">
        <v>14</v>
      </c>
      <c r="E21143" t="s">
        <v>733</v>
      </c>
      <c r="F21143" s="2" t="str">
        <f>HYPERLINK("http://www.otzar.org/book.asp?159896","מאורעות התקופה כהכנה לקראת הגאולה")</f>
        <v>מאורעות התקופה כהכנה לקראת הגאולה</v>
      </c>
    </row>
    <row r="21144" spans="1:6" x14ac:dyDescent="0.2">
      <c r="A21144" t="s">
        <v>34284</v>
      </c>
      <c r="B21144" t="s">
        <v>34285</v>
      </c>
      <c r="C21144" t="s">
        <v>37</v>
      </c>
      <c r="D21144" t="s">
        <v>147</v>
      </c>
      <c r="E21144" t="s">
        <v>119</v>
      </c>
      <c r="F21144" s="2" t="str">
        <f>HYPERLINK("http://www.otzar.org/book.asp?177213","מאורעות יוסף")</f>
        <v>מאורעות יוסף</v>
      </c>
    </row>
    <row r="21145" spans="1:6" x14ac:dyDescent="0.2">
      <c r="A21145" t="s">
        <v>34286</v>
      </c>
      <c r="B21145" t="s">
        <v>34287</v>
      </c>
      <c r="C21145" t="s">
        <v>2213</v>
      </c>
      <c r="D21145" t="s">
        <v>157</v>
      </c>
      <c r="E21145" t="s">
        <v>3083</v>
      </c>
      <c r="F21145" s="2" t="str">
        <f>HYPERLINK("http://www.otzar.org/book.asp?145464","מאורעות עולם")</f>
        <v>מאורעות עולם</v>
      </c>
    </row>
    <row r="21146" spans="1:6" x14ac:dyDescent="0.2">
      <c r="A21146" t="s">
        <v>34288</v>
      </c>
      <c r="B21146" t="s">
        <v>34289</v>
      </c>
      <c r="C21146" t="s">
        <v>2076</v>
      </c>
      <c r="D21146" t="s">
        <v>283</v>
      </c>
      <c r="E21146" t="s">
        <v>3261</v>
      </c>
      <c r="F21146" s="2" t="str">
        <f>HYPERLINK("http://www.otzar.org/book.asp?14947","מאורעות צבי")</f>
        <v>מאורעות צבי</v>
      </c>
    </row>
    <row r="21147" spans="1:6" x14ac:dyDescent="0.2">
      <c r="A21147" t="s">
        <v>34290</v>
      </c>
      <c r="B21147" t="s">
        <v>107</v>
      </c>
      <c r="C21147" t="s">
        <v>366</v>
      </c>
      <c r="D21147" t="s">
        <v>14</v>
      </c>
      <c r="E21147" t="s">
        <v>104</v>
      </c>
      <c r="F21147" s="2" t="str">
        <f>HYPERLINK("http://www.otzar.org/book.asp?625774","מאורעות תשע""ז - 2 כר'")</f>
        <v>מאורעות תשע"ז - 2 כר'</v>
      </c>
    </row>
    <row r="21148" spans="1:6" x14ac:dyDescent="0.2">
      <c r="A21148" t="s">
        <v>34291</v>
      </c>
      <c r="B21148" t="s">
        <v>3731</v>
      </c>
      <c r="C21148" t="s">
        <v>1310</v>
      </c>
      <c r="D21148" t="s">
        <v>283</v>
      </c>
      <c r="E21148" t="s">
        <v>1438</v>
      </c>
      <c r="F21148" s="2" t="str">
        <f>HYPERLINK("http://www.otzar.org/book.asp?12730","מאורת נתן &lt;מאורי אור עם יאיר נתיב&gt;")</f>
        <v>מאורת נתן &lt;מאורי אור עם יאיר נתיב&gt;</v>
      </c>
    </row>
    <row r="21149" spans="1:6" x14ac:dyDescent="0.2">
      <c r="A21149" t="s">
        <v>34292</v>
      </c>
      <c r="B21149" t="s">
        <v>3731</v>
      </c>
      <c r="C21149" t="s">
        <v>3739</v>
      </c>
      <c r="D21149" t="s">
        <v>322</v>
      </c>
      <c r="E21149" t="s">
        <v>1438</v>
      </c>
      <c r="F21149" s="2" t="str">
        <f>HYPERLINK("http://www.otzar.org/book.asp?17013","מאורת נתן &lt;מאורי אור עם פירוש יאיר נתיב&gt;")</f>
        <v>מאורת נתן &lt;מאורי אור עם פירוש יאיר נתיב&gt;</v>
      </c>
    </row>
    <row r="21150" spans="1:6" x14ac:dyDescent="0.2">
      <c r="A21150" t="s">
        <v>34293</v>
      </c>
      <c r="B21150" t="s">
        <v>34294</v>
      </c>
      <c r="C21150" t="s">
        <v>23</v>
      </c>
      <c r="D21150" t="s">
        <v>14</v>
      </c>
      <c r="F21150" s="2" t="str">
        <f>HYPERLINK("http://www.otzar.org/book.asp?198632","מאזין תרועה")</f>
        <v>מאזין תרועה</v>
      </c>
    </row>
    <row r="21151" spans="1:6" x14ac:dyDescent="0.2">
      <c r="A21151" t="s">
        <v>34295</v>
      </c>
      <c r="B21151" t="s">
        <v>531</v>
      </c>
      <c r="C21151" t="s">
        <v>1991</v>
      </c>
      <c r="D21151" t="s">
        <v>7163</v>
      </c>
      <c r="E21151" t="s">
        <v>104</v>
      </c>
      <c r="F21151" s="2" t="str">
        <f>HYPERLINK("http://www.otzar.org/book.asp?627331","מאזני לשון הקדש - 2 כר'")</f>
        <v>מאזני לשון הקדש - 2 כר'</v>
      </c>
    </row>
    <row r="21152" spans="1:6" x14ac:dyDescent="0.2">
      <c r="A21152" t="s">
        <v>34296</v>
      </c>
      <c r="B21152" t="s">
        <v>34297</v>
      </c>
      <c r="C21152" t="s">
        <v>6052</v>
      </c>
      <c r="D21152" t="s">
        <v>11133</v>
      </c>
      <c r="E21152" t="s">
        <v>213</v>
      </c>
      <c r="F21152" s="2" t="str">
        <f>HYPERLINK("http://www.otzar.org/book.asp?5265","מאזני צדק")</f>
        <v>מאזני צדק</v>
      </c>
    </row>
    <row r="21153" spans="1:6" x14ac:dyDescent="0.2">
      <c r="A21153" t="s">
        <v>34298</v>
      </c>
      <c r="B21153" t="s">
        <v>34299</v>
      </c>
      <c r="C21153" t="s">
        <v>454</v>
      </c>
      <c r="D21153" t="s">
        <v>412</v>
      </c>
      <c r="E21153" t="s">
        <v>154</v>
      </c>
      <c r="F21153" s="2" t="str">
        <f>HYPERLINK("http://www.otzar.org/book.asp?62780","מאזני צדק - ג")</f>
        <v>מאזני צדק - ג</v>
      </c>
    </row>
    <row r="21154" spans="1:6" x14ac:dyDescent="0.2">
      <c r="A21154" t="s">
        <v>34296</v>
      </c>
      <c r="B21154" t="s">
        <v>632</v>
      </c>
      <c r="C21154" t="s">
        <v>1437</v>
      </c>
      <c r="D21154" t="s">
        <v>2295</v>
      </c>
      <c r="E21154" t="s">
        <v>213</v>
      </c>
      <c r="F21154" s="2" t="str">
        <f>HYPERLINK("http://www.otzar.org/book.asp?103350","מאזני צדק")</f>
        <v>מאזני צדק</v>
      </c>
    </row>
    <row r="21155" spans="1:6" x14ac:dyDescent="0.2">
      <c r="A21155" t="s">
        <v>34296</v>
      </c>
      <c r="B21155" t="s">
        <v>19248</v>
      </c>
      <c r="C21155" t="s">
        <v>558</v>
      </c>
      <c r="D21155" t="s">
        <v>379</v>
      </c>
      <c r="E21155" t="s">
        <v>158</v>
      </c>
      <c r="F21155" s="2" t="str">
        <f>HYPERLINK("http://www.otzar.org/book.asp?24745","מאזני צדק")</f>
        <v>מאזני צדק</v>
      </c>
    </row>
    <row r="21156" spans="1:6" x14ac:dyDescent="0.2">
      <c r="A21156" t="s">
        <v>34300</v>
      </c>
      <c r="B21156" t="s">
        <v>326</v>
      </c>
      <c r="C21156" t="s">
        <v>1721</v>
      </c>
      <c r="D21156" t="s">
        <v>327</v>
      </c>
      <c r="E21156" t="s">
        <v>15</v>
      </c>
      <c r="F21156" s="2" t="str">
        <f>HYPERLINK("http://www.otzar.org/book.asp?19005","מאזניים למשפט ומשנה אחרונה - א,ב")</f>
        <v>מאזניים למשפט ומשנה אחרונה - א,ב</v>
      </c>
    </row>
    <row r="21157" spans="1:6" x14ac:dyDescent="0.2">
      <c r="A21157" t="s">
        <v>34301</v>
      </c>
      <c r="B21157" t="s">
        <v>18563</v>
      </c>
      <c r="C21157" t="s">
        <v>956</v>
      </c>
      <c r="D21157" t="s">
        <v>14</v>
      </c>
      <c r="E21157" t="s">
        <v>34302</v>
      </c>
      <c r="F21157" s="2" t="str">
        <f>HYPERLINK("http://www.otzar.org/book.asp?102749","מאזנים למשפט")</f>
        <v>מאזנים למשפט</v>
      </c>
    </row>
    <row r="21158" spans="1:6" x14ac:dyDescent="0.2">
      <c r="A21158" t="s">
        <v>34303</v>
      </c>
      <c r="B21158" t="s">
        <v>34304</v>
      </c>
      <c r="C21158" t="s">
        <v>1885</v>
      </c>
      <c r="D21158" t="s">
        <v>267</v>
      </c>
      <c r="E21158" t="s">
        <v>15</v>
      </c>
      <c r="F21158" s="2" t="str">
        <f>HYPERLINK("http://www.otzar.org/book.asp?189353","מאזנים לתורה")</f>
        <v>מאזנים לתורה</v>
      </c>
    </row>
    <row r="21159" spans="1:6" x14ac:dyDescent="0.2">
      <c r="A21159" t="s">
        <v>34305</v>
      </c>
      <c r="B21159" t="s">
        <v>34306</v>
      </c>
      <c r="C21159" t="s">
        <v>411</v>
      </c>
      <c r="D21159" t="s">
        <v>52</v>
      </c>
      <c r="E21159" t="s">
        <v>241</v>
      </c>
      <c r="F21159" s="2" t="str">
        <f>HYPERLINK("http://www.otzar.org/book.asp?180089","מאחורי הפרגוד")</f>
        <v>מאחורי הפרגוד</v>
      </c>
    </row>
    <row r="21160" spans="1:6" x14ac:dyDescent="0.2">
      <c r="A21160" t="s">
        <v>34307</v>
      </c>
      <c r="B21160" t="s">
        <v>5213</v>
      </c>
      <c r="C21160" t="s">
        <v>244</v>
      </c>
      <c r="D21160" t="s">
        <v>14</v>
      </c>
      <c r="F21160" s="2" t="str">
        <f>HYPERLINK("http://www.otzar.org/book.asp?198748","מאי חנוכה")</f>
        <v>מאי חנוכה</v>
      </c>
    </row>
    <row r="21161" spans="1:6" x14ac:dyDescent="0.2">
      <c r="A21161" t="s">
        <v>34307</v>
      </c>
      <c r="B21161" t="s">
        <v>14489</v>
      </c>
      <c r="C21161" t="s">
        <v>71</v>
      </c>
      <c r="D21161" t="s">
        <v>412</v>
      </c>
      <c r="E21161" t="s">
        <v>4494</v>
      </c>
      <c r="F21161" s="2" t="str">
        <f>HYPERLINK("http://www.otzar.org/book.asp?152869","מאי חנוכה")</f>
        <v>מאי חנוכה</v>
      </c>
    </row>
    <row r="21162" spans="1:6" x14ac:dyDescent="0.2">
      <c r="A21162" t="s">
        <v>34307</v>
      </c>
      <c r="B21162" t="s">
        <v>17331</v>
      </c>
      <c r="C21162" t="s">
        <v>624</v>
      </c>
      <c r="D21162" t="s">
        <v>52</v>
      </c>
      <c r="E21162" t="s">
        <v>1164</v>
      </c>
      <c r="F21162" s="2" t="str">
        <f>HYPERLINK("http://www.otzar.org/book.asp?107448","מאי חנוכה")</f>
        <v>מאי חנוכה</v>
      </c>
    </row>
    <row r="21163" spans="1:6" x14ac:dyDescent="0.2">
      <c r="A21163" t="s">
        <v>34307</v>
      </c>
      <c r="B21163" t="s">
        <v>107</v>
      </c>
      <c r="C21163" t="s">
        <v>168</v>
      </c>
      <c r="D21163" t="s">
        <v>14</v>
      </c>
      <c r="E21163" t="s">
        <v>130</v>
      </c>
      <c r="F21163" s="2" t="str">
        <f>HYPERLINK("http://www.otzar.org/book.asp?158096","מאי חנוכה")</f>
        <v>מאי חנוכה</v>
      </c>
    </row>
    <row r="21164" spans="1:6" x14ac:dyDescent="0.2">
      <c r="A21164" t="s">
        <v>34308</v>
      </c>
      <c r="B21164" t="s">
        <v>5213</v>
      </c>
      <c r="C21164" t="s">
        <v>114</v>
      </c>
      <c r="D21164" t="s">
        <v>14</v>
      </c>
      <c r="E21164" t="s">
        <v>158</v>
      </c>
      <c r="F21164" s="2" t="str">
        <f>HYPERLINK("http://www.otzar.org/book.asp?172450","מאי רות")</f>
        <v>מאי רות</v>
      </c>
    </row>
    <row r="21165" spans="1:6" x14ac:dyDescent="0.2">
      <c r="A21165" t="s">
        <v>34309</v>
      </c>
      <c r="E21165" t="s">
        <v>246</v>
      </c>
      <c r="F21165" s="2" t="str">
        <f>HYPERLINK("http://www.otzar.org/book.asp?628665","מאי שבת")</f>
        <v>מאי שבת</v>
      </c>
    </row>
    <row r="21166" spans="1:6" x14ac:dyDescent="0.2">
      <c r="A21166" t="s">
        <v>34310</v>
      </c>
      <c r="B21166" t="s">
        <v>34311</v>
      </c>
      <c r="C21166" t="s">
        <v>411</v>
      </c>
      <c r="D21166" t="s">
        <v>139</v>
      </c>
      <c r="E21166" t="s">
        <v>241</v>
      </c>
      <c r="F21166" s="2" t="str">
        <f>HYPERLINK("http://www.otzar.org/book.asp?183386","מאיבה לאהבה")</f>
        <v>מאיבה לאהבה</v>
      </c>
    </row>
    <row r="21167" spans="1:6" x14ac:dyDescent="0.2">
      <c r="A21167" t="s">
        <v>34312</v>
      </c>
      <c r="B21167" t="s">
        <v>10635</v>
      </c>
      <c r="C21167" t="s">
        <v>617</v>
      </c>
      <c r="D21167" t="s">
        <v>889</v>
      </c>
      <c r="E21167" t="s">
        <v>230</v>
      </c>
      <c r="F21167" s="2" t="str">
        <f>HYPERLINK("http://www.otzar.org/book.asp?103351","מאין יבא")</f>
        <v>מאין יבא</v>
      </c>
    </row>
    <row r="21168" spans="1:6" x14ac:dyDescent="0.2">
      <c r="A21168" t="s">
        <v>34313</v>
      </c>
      <c r="B21168" t="s">
        <v>206</v>
      </c>
      <c r="C21168" t="s">
        <v>20</v>
      </c>
      <c r="D21168" t="s">
        <v>14</v>
      </c>
      <c r="E21168" t="s">
        <v>714</v>
      </c>
      <c r="F21168" s="2" t="str">
        <f>HYPERLINK("http://www.otzar.org/book.asp?50420","מאין יבוא עזרנו")</f>
        <v>מאין יבוא עזרנו</v>
      </c>
    </row>
    <row r="21169" spans="1:6" x14ac:dyDescent="0.2">
      <c r="A21169" t="s">
        <v>34314</v>
      </c>
      <c r="B21169" t="s">
        <v>29825</v>
      </c>
      <c r="C21169" t="s">
        <v>919</v>
      </c>
      <c r="D21169" t="s">
        <v>14</v>
      </c>
      <c r="E21169" t="s">
        <v>674</v>
      </c>
      <c r="F21169" s="2" t="str">
        <f>HYPERLINK("http://www.otzar.org/book.asp?153373","מאין יבוא")</f>
        <v>מאין יבוא</v>
      </c>
    </row>
    <row r="21170" spans="1:6" x14ac:dyDescent="0.2">
      <c r="A21170" t="s">
        <v>34315</v>
      </c>
      <c r="B21170" t="s">
        <v>6014</v>
      </c>
      <c r="C21170" t="s">
        <v>103</v>
      </c>
      <c r="D21170" t="s">
        <v>216</v>
      </c>
      <c r="E21170" t="s">
        <v>38</v>
      </c>
      <c r="F21170" s="2" t="str">
        <f>HYPERLINK("http://www.otzar.org/book.asp?604437","מאיר אבות")</f>
        <v>מאיר אבות</v>
      </c>
    </row>
    <row r="21171" spans="1:6" x14ac:dyDescent="0.2">
      <c r="A21171" t="s">
        <v>34316</v>
      </c>
      <c r="B21171" t="s">
        <v>1807</v>
      </c>
      <c r="C21171" t="s">
        <v>422</v>
      </c>
      <c r="D21171" t="s">
        <v>90</v>
      </c>
      <c r="E21171" t="s">
        <v>399</v>
      </c>
      <c r="F21171" s="2" t="str">
        <f>HYPERLINK("http://www.otzar.org/book.asp?195149","מאיר אור לי")</f>
        <v>מאיר אור לי</v>
      </c>
    </row>
    <row r="21172" spans="1:6" x14ac:dyDescent="0.2">
      <c r="A21172" t="s">
        <v>34317</v>
      </c>
      <c r="B21172" t="s">
        <v>4708</v>
      </c>
      <c r="C21172" t="s">
        <v>34318</v>
      </c>
      <c r="D21172" t="s">
        <v>13372</v>
      </c>
      <c r="F21172" s="2" t="str">
        <f>HYPERLINK("http://www.otzar.org/book.asp?164880","מאיר איוב - 2 כר'")</f>
        <v>מאיר איוב - 2 כר'</v>
      </c>
    </row>
    <row r="21173" spans="1:6" x14ac:dyDescent="0.2">
      <c r="A21173" t="s">
        <v>34319</v>
      </c>
      <c r="B21173" t="s">
        <v>34320</v>
      </c>
      <c r="C21173" t="s">
        <v>29814</v>
      </c>
      <c r="D21173" t="s">
        <v>726</v>
      </c>
      <c r="E21173" t="s">
        <v>219</v>
      </c>
      <c r="F21173" s="2" t="str">
        <f>HYPERLINK("http://www.otzar.org/book.asp?147129","מאיר אלהים")</f>
        <v>מאיר אלהים</v>
      </c>
    </row>
    <row r="21174" spans="1:6" x14ac:dyDescent="0.2">
      <c r="A21174" t="s">
        <v>34321</v>
      </c>
      <c r="B21174" t="s">
        <v>34322</v>
      </c>
      <c r="C21174" t="s">
        <v>2008</v>
      </c>
      <c r="D21174" t="s">
        <v>260</v>
      </c>
      <c r="E21174" t="s">
        <v>119</v>
      </c>
      <c r="F21174" s="2" t="str">
        <f>HYPERLINK("http://www.otzar.org/book.asp?20217","מאיר באהבה")</f>
        <v>מאיר באהבה</v>
      </c>
    </row>
    <row r="21175" spans="1:6" x14ac:dyDescent="0.2">
      <c r="A21175" t="s">
        <v>34323</v>
      </c>
      <c r="B21175" t="s">
        <v>13321</v>
      </c>
      <c r="C21175" t="s">
        <v>411</v>
      </c>
      <c r="D21175" t="s">
        <v>52</v>
      </c>
      <c r="F21175" s="2" t="str">
        <f>HYPERLINK("http://www.otzar.org/book.asp?169005","מאיר בת עין &lt;מהדורה חדשה&gt;")</f>
        <v>מאיר בת עין &lt;מהדורה חדשה&gt;</v>
      </c>
    </row>
    <row r="21176" spans="1:6" x14ac:dyDescent="0.2">
      <c r="A21176" t="s">
        <v>34324</v>
      </c>
      <c r="B21176" t="s">
        <v>19415</v>
      </c>
      <c r="C21176" t="s">
        <v>103</v>
      </c>
      <c r="D21176" t="s">
        <v>52</v>
      </c>
      <c r="E21176" t="s">
        <v>219</v>
      </c>
      <c r="F21176" s="2" t="str">
        <f>HYPERLINK("http://www.otzar.org/book.asp?159001","מאיר בת עין השלם")</f>
        <v>מאיר בת עין השלם</v>
      </c>
    </row>
    <row r="21177" spans="1:6" x14ac:dyDescent="0.2">
      <c r="A21177" t="s">
        <v>19415</v>
      </c>
      <c r="B21177" t="s">
        <v>13321</v>
      </c>
      <c r="C21177" t="s">
        <v>8678</v>
      </c>
      <c r="D21177" t="s">
        <v>157</v>
      </c>
      <c r="E21177" t="s">
        <v>9092</v>
      </c>
      <c r="F21177" s="2" t="str">
        <f>HYPERLINK("http://www.otzar.org/book.asp?101036","מאיר בת עין")</f>
        <v>מאיר בת עין</v>
      </c>
    </row>
    <row r="21178" spans="1:6" x14ac:dyDescent="0.2">
      <c r="A21178" t="s">
        <v>19415</v>
      </c>
      <c r="B21178" t="s">
        <v>19415</v>
      </c>
      <c r="C21178" t="s">
        <v>506</v>
      </c>
      <c r="D21178" t="s">
        <v>27</v>
      </c>
      <c r="E21178" t="s">
        <v>219</v>
      </c>
      <c r="F21178" s="2" t="str">
        <f>HYPERLINK("http://www.otzar.org/book.asp?25468","מאיר בת עין")</f>
        <v>מאיר בת עין</v>
      </c>
    </row>
    <row r="21179" spans="1:6" x14ac:dyDescent="0.2">
      <c r="A21179" t="s">
        <v>34325</v>
      </c>
      <c r="B21179" t="s">
        <v>15736</v>
      </c>
      <c r="C21179" t="s">
        <v>366</v>
      </c>
      <c r="D21179" t="s">
        <v>52</v>
      </c>
      <c r="E21179" t="s">
        <v>202</v>
      </c>
      <c r="F21179" s="2" t="str">
        <f>HYPERLINK("http://www.otzar.org/book.asp?604551","מאיר דרך 1-8")</f>
        <v>מאיר דרך 1-8</v>
      </c>
    </row>
    <row r="21180" spans="1:6" x14ac:dyDescent="0.2">
      <c r="A21180" t="s">
        <v>34326</v>
      </c>
      <c r="B21180" t="s">
        <v>15736</v>
      </c>
      <c r="C21180" t="s">
        <v>151</v>
      </c>
      <c r="D21180" t="s">
        <v>52</v>
      </c>
      <c r="E21180" t="s">
        <v>202</v>
      </c>
      <c r="F21180" s="2" t="str">
        <f>HYPERLINK("http://www.otzar.org/book.asp?622762","מאיר דרך 17-21")</f>
        <v>מאיר דרך 17-21</v>
      </c>
    </row>
    <row r="21181" spans="1:6" x14ac:dyDescent="0.2">
      <c r="A21181" t="s">
        <v>34327</v>
      </c>
      <c r="B21181" t="s">
        <v>15736</v>
      </c>
      <c r="C21181" t="s">
        <v>366</v>
      </c>
      <c r="D21181" t="s">
        <v>52</v>
      </c>
      <c r="E21181" t="s">
        <v>15</v>
      </c>
      <c r="F21181" s="2" t="str">
        <f>HYPERLINK("http://www.otzar.org/book.asp?622243","מאיר דרך 9-16")</f>
        <v>מאיר דרך 9-16</v>
      </c>
    </row>
    <row r="21182" spans="1:6" x14ac:dyDescent="0.2">
      <c r="A21182" t="s">
        <v>34328</v>
      </c>
      <c r="B21182" t="s">
        <v>15736</v>
      </c>
      <c r="C21182" t="s">
        <v>20</v>
      </c>
      <c r="D21182" t="s">
        <v>52</v>
      </c>
      <c r="E21182" t="s">
        <v>144</v>
      </c>
      <c r="F21182" s="2" t="str">
        <f>HYPERLINK("http://www.otzar.org/book.asp?622242","מאיר דרך - ביצה")</f>
        <v>מאיר דרך - ביצה</v>
      </c>
    </row>
    <row r="21183" spans="1:6" x14ac:dyDescent="0.2">
      <c r="A21183" t="s">
        <v>34329</v>
      </c>
      <c r="B21183" t="s">
        <v>13767</v>
      </c>
      <c r="C21183" t="s">
        <v>411</v>
      </c>
      <c r="D21183" t="s">
        <v>14</v>
      </c>
      <c r="E21183" t="s">
        <v>144</v>
      </c>
      <c r="F21183" s="2" t="str">
        <f>HYPERLINK("http://www.otzar.org/book.asp?173339","מאיר דרך")</f>
        <v>מאיר דרך</v>
      </c>
    </row>
    <row r="21184" spans="1:6" x14ac:dyDescent="0.2">
      <c r="A21184" t="s">
        <v>34330</v>
      </c>
      <c r="B21184" t="s">
        <v>10997</v>
      </c>
      <c r="C21184" t="s">
        <v>419</v>
      </c>
      <c r="D21184" t="s">
        <v>52</v>
      </c>
      <c r="E21184" t="s">
        <v>119</v>
      </c>
      <c r="F21184" s="2" t="str">
        <f>HYPERLINK("http://www.otzar.org/book.asp?158744","מאיר החיים - 5 כר'")</f>
        <v>מאיר החיים - 5 כר'</v>
      </c>
    </row>
    <row r="21185" spans="1:6" x14ac:dyDescent="0.2">
      <c r="A21185" t="s">
        <v>34331</v>
      </c>
      <c r="B21185" t="s">
        <v>34332</v>
      </c>
      <c r="C21185" t="s">
        <v>37</v>
      </c>
      <c r="D21185" t="s">
        <v>367</v>
      </c>
      <c r="F21185" s="2" t="str">
        <f>HYPERLINK("http://www.otzar.org/book.asp?198537","מאיר הלכה - 2 כר'")</f>
        <v>מאיר הלכה - 2 כר'</v>
      </c>
    </row>
    <row r="21186" spans="1:6" x14ac:dyDescent="0.2">
      <c r="A21186" t="s">
        <v>34333</v>
      </c>
      <c r="B21186" t="s">
        <v>34334</v>
      </c>
      <c r="C21186" t="s">
        <v>411</v>
      </c>
      <c r="D21186" t="s">
        <v>412</v>
      </c>
      <c r="E21186" t="s">
        <v>15</v>
      </c>
      <c r="F21186" s="2" t="str">
        <f>HYPERLINK("http://www.otzar.org/book.asp?198236","מאיר השחר &lt;מהדורה חדשה&gt;")</f>
        <v>מאיר השחר &lt;מהדורה חדשה&gt;</v>
      </c>
    </row>
    <row r="21187" spans="1:6" x14ac:dyDescent="0.2">
      <c r="A21187" t="s">
        <v>34335</v>
      </c>
      <c r="B21187" t="s">
        <v>34334</v>
      </c>
      <c r="C21187" t="s">
        <v>11776</v>
      </c>
      <c r="D21187" t="s">
        <v>2290</v>
      </c>
      <c r="E21187" t="s">
        <v>15</v>
      </c>
      <c r="F21187" s="2" t="str">
        <f>HYPERLINK("http://www.otzar.org/book.asp?19006","מאיר השחר")</f>
        <v>מאיר השחר</v>
      </c>
    </row>
    <row r="21188" spans="1:6" x14ac:dyDescent="0.2">
      <c r="A21188" t="s">
        <v>34336</v>
      </c>
      <c r="B21188" t="s">
        <v>34337</v>
      </c>
      <c r="C21188" t="s">
        <v>366</v>
      </c>
      <c r="D21188" t="s">
        <v>90</v>
      </c>
      <c r="E21188" t="s">
        <v>172</v>
      </c>
      <c r="F21188" s="2" t="str">
        <f>HYPERLINK("http://www.otzar.org/book.asp?604547","מאיר השלחן")</f>
        <v>מאיר השלחן</v>
      </c>
    </row>
    <row r="21189" spans="1:6" x14ac:dyDescent="0.2">
      <c r="A21189" t="s">
        <v>34338</v>
      </c>
      <c r="B21189" t="s">
        <v>13321</v>
      </c>
      <c r="C21189" t="s">
        <v>7422</v>
      </c>
      <c r="D21189" t="s">
        <v>76</v>
      </c>
      <c r="E21189" t="s">
        <v>158</v>
      </c>
      <c r="F21189" s="2" t="str">
        <f>HYPERLINK("http://www.otzar.org/book.asp?19007","מאיר לארץ")</f>
        <v>מאיר לארץ</v>
      </c>
    </row>
    <row r="21190" spans="1:6" x14ac:dyDescent="0.2">
      <c r="A21190" t="s">
        <v>34339</v>
      </c>
      <c r="B21190" t="s">
        <v>2398</v>
      </c>
      <c r="C21190" t="s">
        <v>1388</v>
      </c>
      <c r="D21190" t="s">
        <v>486</v>
      </c>
      <c r="E21190" t="s">
        <v>837</v>
      </c>
      <c r="F21190" s="2" t="str">
        <f>HYPERLINK("http://www.otzar.org/book.asp?7459","מאיר לציון")</f>
        <v>מאיר לציון</v>
      </c>
    </row>
    <row r="21191" spans="1:6" x14ac:dyDescent="0.2">
      <c r="A21191" t="s">
        <v>34340</v>
      </c>
      <c r="B21191" t="s">
        <v>34341</v>
      </c>
      <c r="C21191" t="s">
        <v>37</v>
      </c>
      <c r="D21191" t="s">
        <v>21</v>
      </c>
      <c r="F21191" s="2" t="str">
        <f>HYPERLINK("http://www.otzar.org/book.asp?603168","מאיר מלהבה")</f>
        <v>מאיר מלהבה</v>
      </c>
    </row>
    <row r="21192" spans="1:6" x14ac:dyDescent="0.2">
      <c r="A21192" t="s">
        <v>34342</v>
      </c>
      <c r="B21192" t="s">
        <v>34343</v>
      </c>
      <c r="C21192" t="s">
        <v>244</v>
      </c>
      <c r="D21192" t="s">
        <v>80</v>
      </c>
      <c r="E21192" t="s">
        <v>158</v>
      </c>
      <c r="F21192" s="2" t="str">
        <f>HYPERLINK("http://www.otzar.org/book.asp?600967","מאיר נתיב - בראשית שמות")</f>
        <v>מאיר נתיב - בראשית שמות</v>
      </c>
    </row>
    <row r="21193" spans="1:6" x14ac:dyDescent="0.2">
      <c r="A21193" t="s">
        <v>34344</v>
      </c>
      <c r="B21193" t="s">
        <v>34345</v>
      </c>
      <c r="C21193" t="s">
        <v>34346</v>
      </c>
      <c r="D21193" t="s">
        <v>42</v>
      </c>
      <c r="E21193" t="s">
        <v>18381</v>
      </c>
      <c r="F21193" s="2" t="str">
        <f>HYPERLINK("http://www.otzar.org/book.asp?166851","מאיר נתיב")</f>
        <v>מאיר נתיב</v>
      </c>
    </row>
    <row r="21194" spans="1:6" x14ac:dyDescent="0.2">
      <c r="A21194" t="s">
        <v>34347</v>
      </c>
      <c r="B21194" t="s">
        <v>34121</v>
      </c>
      <c r="C21194" t="s">
        <v>189</v>
      </c>
      <c r="D21194" t="s">
        <v>14</v>
      </c>
      <c r="E21194" t="s">
        <v>241</v>
      </c>
      <c r="F21194" s="2" t="str">
        <f>HYPERLINK("http://www.otzar.org/book.asp?50280","מאיר נתיבות - 3 כר'")</f>
        <v>מאיר נתיבות - 3 כר'</v>
      </c>
    </row>
    <row r="21195" spans="1:6" x14ac:dyDescent="0.2">
      <c r="A21195" t="s">
        <v>34348</v>
      </c>
      <c r="B21195" t="s">
        <v>34349</v>
      </c>
      <c r="C21195" t="s">
        <v>129</v>
      </c>
      <c r="D21195" t="s">
        <v>52</v>
      </c>
      <c r="E21195" t="s">
        <v>730</v>
      </c>
      <c r="F21195" s="2" t="str">
        <f>HYPERLINK("http://www.otzar.org/book.asp?148282","מאיר עוז - 11 כר'")</f>
        <v>מאיר עוז - 11 כר'</v>
      </c>
    </row>
    <row r="21196" spans="1:6" x14ac:dyDescent="0.2">
      <c r="A21196" t="s">
        <v>34350</v>
      </c>
      <c r="B21196" t="s">
        <v>34351</v>
      </c>
      <c r="C21196" t="s">
        <v>1437</v>
      </c>
      <c r="D21196" t="s">
        <v>535</v>
      </c>
      <c r="E21196" t="s">
        <v>246</v>
      </c>
      <c r="F21196" s="2" t="str">
        <f>HYPERLINK("http://www.otzar.org/book.asp?102288","מאיר עין")</f>
        <v>מאיר עין</v>
      </c>
    </row>
    <row r="21197" spans="1:6" x14ac:dyDescent="0.2">
      <c r="A21197" t="s">
        <v>34352</v>
      </c>
      <c r="B21197" t="s">
        <v>34353</v>
      </c>
      <c r="C21197" t="s">
        <v>20</v>
      </c>
      <c r="D21197" t="s">
        <v>216</v>
      </c>
      <c r="E21197" t="s">
        <v>119</v>
      </c>
      <c r="F21197" s="2" t="str">
        <f>HYPERLINK("http://www.otzar.org/book.asp?63729","מאיר עיני הגולה - 3 כר'")</f>
        <v>מאיר עיני הגולה - 3 כר'</v>
      </c>
    </row>
    <row r="21198" spans="1:6" x14ac:dyDescent="0.2">
      <c r="A21198" t="s">
        <v>34354</v>
      </c>
      <c r="B21198" t="s">
        <v>4358</v>
      </c>
      <c r="C21198" t="s">
        <v>433</v>
      </c>
      <c r="D21198" t="s">
        <v>9</v>
      </c>
      <c r="E21198" t="s">
        <v>15025</v>
      </c>
      <c r="F21198" s="2" t="str">
        <f>HYPERLINK("http://www.otzar.org/book.asp?7073","מאיר עיני חכמים - 3 כר'")</f>
        <v>מאיר עיני חכמים - 3 כר'</v>
      </c>
    </row>
    <row r="21199" spans="1:6" x14ac:dyDescent="0.2">
      <c r="A21199" t="s">
        <v>34355</v>
      </c>
      <c r="B21199" t="s">
        <v>34356</v>
      </c>
      <c r="C21199" t="s">
        <v>4462</v>
      </c>
      <c r="D21199" t="s">
        <v>5665</v>
      </c>
      <c r="E21199" t="s">
        <v>144</v>
      </c>
      <c r="F21199" s="2" t="str">
        <f>HYPERLINK("http://www.otzar.org/book.asp?200189","מאיר עיני חכמים - 4 כר'")</f>
        <v>מאיר עיני חכמים - 4 כר'</v>
      </c>
    </row>
    <row r="21200" spans="1:6" x14ac:dyDescent="0.2">
      <c r="A21200" t="s">
        <v>34357</v>
      </c>
      <c r="B21200" t="s">
        <v>34358</v>
      </c>
      <c r="C21200" t="s">
        <v>2465</v>
      </c>
      <c r="D21200" t="s">
        <v>34359</v>
      </c>
      <c r="E21200" t="s">
        <v>3773</v>
      </c>
      <c r="F21200" s="2" t="str">
        <f>HYPERLINK("http://www.otzar.org/book.asp?15805","מאיר עיני חכמים - 2 כר'")</f>
        <v>מאיר עיני חכמים - 2 כר'</v>
      </c>
    </row>
    <row r="21201" spans="1:6" x14ac:dyDescent="0.2">
      <c r="A21201" t="s">
        <v>34360</v>
      </c>
      <c r="B21201" t="s">
        <v>34361</v>
      </c>
      <c r="C21201" t="s">
        <v>896</v>
      </c>
      <c r="D21201" t="s">
        <v>34362</v>
      </c>
      <c r="E21201" t="s">
        <v>241</v>
      </c>
      <c r="F21201" s="2" t="str">
        <f>HYPERLINK("http://www.otzar.org/book.asp?182157","מאיר עיני חכמים")</f>
        <v>מאיר עיני חכמים</v>
      </c>
    </row>
    <row r="21202" spans="1:6" x14ac:dyDescent="0.2">
      <c r="A21202" t="s">
        <v>34363</v>
      </c>
      <c r="B21202" t="s">
        <v>15940</v>
      </c>
      <c r="C21202" t="s">
        <v>34364</v>
      </c>
      <c r="D21202" t="s">
        <v>3293</v>
      </c>
      <c r="E21202" t="s">
        <v>158</v>
      </c>
      <c r="F21202" s="2" t="str">
        <f>HYPERLINK("http://www.otzar.org/book.asp?20903","מאיר עיני ישרים - 5 כר'")</f>
        <v>מאיר עיני ישרים - 5 כר'</v>
      </c>
    </row>
    <row r="21203" spans="1:6" x14ac:dyDescent="0.2">
      <c r="A21203" t="s">
        <v>34365</v>
      </c>
      <c r="B21203" t="s">
        <v>19508</v>
      </c>
      <c r="C21203" t="s">
        <v>1096</v>
      </c>
      <c r="D21203" t="s">
        <v>56</v>
      </c>
      <c r="E21203" t="s">
        <v>31654</v>
      </c>
      <c r="F21203" s="2" t="str">
        <f>HYPERLINK("http://www.otzar.org/book.asp?13825","מאיר עיני סופרים - 2 כר'")</f>
        <v>מאיר עיני סופרים - 2 כר'</v>
      </c>
    </row>
    <row r="21204" spans="1:6" x14ac:dyDescent="0.2">
      <c r="A21204" t="s">
        <v>34366</v>
      </c>
      <c r="B21204" t="s">
        <v>34367</v>
      </c>
      <c r="C21204" t="s">
        <v>68</v>
      </c>
      <c r="D21204" t="s">
        <v>115</v>
      </c>
      <c r="E21204" t="s">
        <v>144</v>
      </c>
      <c r="F21204" s="2" t="str">
        <f>HYPERLINK("http://www.otzar.org/book.asp?600597","מאיר עיני - 8 כר'")</f>
        <v>מאיר עיני - 8 כר'</v>
      </c>
    </row>
    <row r="21205" spans="1:6" x14ac:dyDescent="0.2">
      <c r="A21205" t="s">
        <v>34368</v>
      </c>
      <c r="B21205" t="s">
        <v>2398</v>
      </c>
      <c r="C21205" t="s">
        <v>956</v>
      </c>
      <c r="D21205" t="s">
        <v>52</v>
      </c>
      <c r="E21205" t="s">
        <v>384</v>
      </c>
      <c r="F21205" s="2" t="str">
        <f>HYPERLINK("http://www.otzar.org/book.asp?105729","מאיר עינים - 3 כר'")</f>
        <v>מאיר עינים - 3 כר'</v>
      </c>
    </row>
    <row r="21206" spans="1:6" x14ac:dyDescent="0.2">
      <c r="A21206" t="s">
        <v>34369</v>
      </c>
      <c r="B21206" t="s">
        <v>34370</v>
      </c>
      <c r="C21206" t="s">
        <v>1718</v>
      </c>
      <c r="D21206" t="s">
        <v>1023</v>
      </c>
      <c r="E21206" t="s">
        <v>674</v>
      </c>
      <c r="F21206" s="2" t="str">
        <f>HYPERLINK("http://www.otzar.org/book.asp?166823","מאיר עינים")</f>
        <v>מאיר עינים</v>
      </c>
    </row>
    <row r="21207" spans="1:6" x14ac:dyDescent="0.2">
      <c r="A21207" t="s">
        <v>34369</v>
      </c>
      <c r="B21207" t="s">
        <v>26000</v>
      </c>
      <c r="C21207" t="s">
        <v>496</v>
      </c>
      <c r="D21207" t="s">
        <v>27</v>
      </c>
      <c r="E21207" t="s">
        <v>140</v>
      </c>
      <c r="F21207" s="2" t="str">
        <f>HYPERLINK("http://www.otzar.org/book.asp?5458","מאיר עינים")</f>
        <v>מאיר עינים</v>
      </c>
    </row>
    <row r="21208" spans="1:6" x14ac:dyDescent="0.2">
      <c r="A21208" t="s">
        <v>34371</v>
      </c>
      <c r="B21208" t="s">
        <v>4708</v>
      </c>
      <c r="C21208" t="s">
        <v>5823</v>
      </c>
      <c r="D21208" t="s">
        <v>283</v>
      </c>
      <c r="E21208" t="s">
        <v>158</v>
      </c>
      <c r="F21208" s="2" t="str">
        <f>HYPERLINK("http://www.otzar.org/book.asp?102529","מאיר תהלות")</f>
        <v>מאיר תהלות</v>
      </c>
    </row>
    <row r="21209" spans="1:6" x14ac:dyDescent="0.2">
      <c r="A21209" t="s">
        <v>34372</v>
      </c>
      <c r="B21209" t="s">
        <v>6987</v>
      </c>
      <c r="C21209" t="s">
        <v>129</v>
      </c>
      <c r="D21209" t="s">
        <v>14</v>
      </c>
      <c r="E21209" t="s">
        <v>960</v>
      </c>
      <c r="F21209" s="2" t="str">
        <f>HYPERLINK("http://www.otzar.org/book.asp?60188","מאיר תפילה")</f>
        <v>מאיר תפילה</v>
      </c>
    </row>
    <row r="21210" spans="1:6" x14ac:dyDescent="0.2">
      <c r="A21210" t="s">
        <v>34373</v>
      </c>
      <c r="B21210" t="s">
        <v>4445</v>
      </c>
      <c r="C21210" t="s">
        <v>20</v>
      </c>
      <c r="D21210" t="s">
        <v>14</v>
      </c>
      <c r="F21210" s="2" t="str">
        <f>HYPERLINK("http://www.otzar.org/book.asp?617161","מאירים את העולם")</f>
        <v>מאירים את העולם</v>
      </c>
    </row>
    <row r="21211" spans="1:6" x14ac:dyDescent="0.2">
      <c r="A21211" t="s">
        <v>34374</v>
      </c>
      <c r="B21211" t="s">
        <v>34375</v>
      </c>
      <c r="C21211" t="s">
        <v>585</v>
      </c>
      <c r="D21211" t="s">
        <v>412</v>
      </c>
      <c r="E21211" t="s">
        <v>202</v>
      </c>
      <c r="F21211" s="2" t="str">
        <f>HYPERLINK("http://www.otzar.org/book.asp?178985","מאירת חיינו")</f>
        <v>מאירת חיינו</v>
      </c>
    </row>
    <row r="21212" spans="1:6" x14ac:dyDescent="0.2">
      <c r="A21212" t="s">
        <v>34376</v>
      </c>
      <c r="B21212" t="s">
        <v>34377</v>
      </c>
      <c r="C21212" t="s">
        <v>133</v>
      </c>
      <c r="D21212" t="s">
        <v>52</v>
      </c>
      <c r="F21212" s="2" t="str">
        <f>HYPERLINK("http://www.otzar.org/book.asp?611019","מאירת חיינו - 2 כר'")</f>
        <v>מאירת חיינו - 2 כר'</v>
      </c>
    </row>
    <row r="21213" spans="1:6" x14ac:dyDescent="0.2">
      <c r="A21213" t="s">
        <v>34378</v>
      </c>
      <c r="B21213" t="s">
        <v>34379</v>
      </c>
      <c r="C21213" t="s">
        <v>3709</v>
      </c>
      <c r="D21213" t="s">
        <v>60</v>
      </c>
      <c r="E21213" t="s">
        <v>15</v>
      </c>
      <c r="F21213" s="2" t="str">
        <f>HYPERLINK("http://www.otzar.org/book.asp?101035","מאירת עינים - 2 כר'")</f>
        <v>מאירת עינים - 2 כר'</v>
      </c>
    </row>
    <row r="21214" spans="1:6" x14ac:dyDescent="0.2">
      <c r="A21214" t="s">
        <v>34380</v>
      </c>
      <c r="B21214" t="s">
        <v>34381</v>
      </c>
      <c r="C21214" t="s">
        <v>1940</v>
      </c>
      <c r="D21214" t="s">
        <v>1495</v>
      </c>
      <c r="E21214" t="s">
        <v>241</v>
      </c>
      <c r="F21214" s="2" t="str">
        <f>HYPERLINK("http://www.otzar.org/book.asp?63423","מאירת עינים")</f>
        <v>מאירת עינים</v>
      </c>
    </row>
    <row r="21215" spans="1:6" x14ac:dyDescent="0.2">
      <c r="A21215" t="s">
        <v>34378</v>
      </c>
      <c r="B21215" t="s">
        <v>34382</v>
      </c>
      <c r="C21215" t="s">
        <v>10017</v>
      </c>
      <c r="D21215" t="s">
        <v>1490</v>
      </c>
      <c r="F21215" s="2" t="str">
        <f>HYPERLINK("http://www.otzar.org/book.asp?170303","מאירת עינים - 2 כר'")</f>
        <v>מאירת עינים - 2 כר'</v>
      </c>
    </row>
    <row r="21216" spans="1:6" x14ac:dyDescent="0.2">
      <c r="A21216" t="s">
        <v>34380</v>
      </c>
      <c r="B21216" t="s">
        <v>19859</v>
      </c>
      <c r="C21216" t="s">
        <v>37</v>
      </c>
      <c r="D21216" t="s">
        <v>1273</v>
      </c>
      <c r="E21216" t="s">
        <v>213</v>
      </c>
      <c r="F21216" s="2" t="str">
        <f>HYPERLINK("http://www.otzar.org/book.asp?605337","מאירת עינים")</f>
        <v>מאירת עינים</v>
      </c>
    </row>
    <row r="21217" spans="1:6" x14ac:dyDescent="0.2">
      <c r="A21217" t="s">
        <v>34380</v>
      </c>
      <c r="B21217" t="s">
        <v>2764</v>
      </c>
      <c r="C21217" t="s">
        <v>523</v>
      </c>
      <c r="D21217" t="s">
        <v>14</v>
      </c>
      <c r="E21217" t="s">
        <v>34383</v>
      </c>
      <c r="F21217" s="2" t="str">
        <f>HYPERLINK("http://www.otzar.org/book.asp?14096","מאירת עינים")</f>
        <v>מאירת עינים</v>
      </c>
    </row>
    <row r="21218" spans="1:6" x14ac:dyDescent="0.2">
      <c r="A21218" t="s">
        <v>34380</v>
      </c>
      <c r="B21218" t="s">
        <v>3292</v>
      </c>
      <c r="C21218" t="s">
        <v>581</v>
      </c>
      <c r="D21218" t="s">
        <v>14202</v>
      </c>
      <c r="E21218" t="s">
        <v>234</v>
      </c>
      <c r="F21218" s="2" t="str">
        <f>HYPERLINK("http://www.otzar.org/book.asp?19008","מאירת עינים")</f>
        <v>מאירת עינים</v>
      </c>
    </row>
    <row r="21219" spans="1:6" x14ac:dyDescent="0.2">
      <c r="A21219" t="s">
        <v>34380</v>
      </c>
      <c r="B21219" t="s">
        <v>1417</v>
      </c>
      <c r="C21219" t="s">
        <v>4462</v>
      </c>
      <c r="D21219" t="s">
        <v>42</v>
      </c>
      <c r="E21219" t="s">
        <v>104</v>
      </c>
      <c r="F21219" s="2" t="str">
        <f>HYPERLINK("http://www.otzar.org/book.asp?62232","מאירת עינים")</f>
        <v>מאירת עינים</v>
      </c>
    </row>
    <row r="21220" spans="1:6" x14ac:dyDescent="0.2">
      <c r="A21220" t="s">
        <v>34380</v>
      </c>
      <c r="B21220" t="s">
        <v>34384</v>
      </c>
      <c r="C21220" t="s">
        <v>37</v>
      </c>
      <c r="D21220" t="s">
        <v>14</v>
      </c>
      <c r="E21220" t="s">
        <v>957</v>
      </c>
      <c r="F21220" s="2" t="str">
        <f>HYPERLINK("http://www.otzar.org/book.asp?182044","מאירת עינים")</f>
        <v>מאירת עינים</v>
      </c>
    </row>
    <row r="21221" spans="1:6" x14ac:dyDescent="0.2">
      <c r="A21221" t="s">
        <v>34385</v>
      </c>
      <c r="B21221" t="s">
        <v>16395</v>
      </c>
      <c r="C21221" t="s">
        <v>286</v>
      </c>
      <c r="D21221" t="s">
        <v>27</v>
      </c>
      <c r="E21221" t="s">
        <v>6305</v>
      </c>
      <c r="F21221" s="2" t="str">
        <f>HYPERLINK("http://www.otzar.org/book.asp?103352","מאכל כשר")</f>
        <v>מאכל כשר</v>
      </c>
    </row>
    <row r="21222" spans="1:6" x14ac:dyDescent="0.2">
      <c r="A21222" t="s">
        <v>34386</v>
      </c>
      <c r="B21222" t="s">
        <v>1363</v>
      </c>
      <c r="C21222" t="s">
        <v>180</v>
      </c>
      <c r="D21222" t="s">
        <v>216</v>
      </c>
      <c r="E21222" t="s">
        <v>15</v>
      </c>
      <c r="F21222" s="2" t="str">
        <f>HYPERLINK("http://www.otzar.org/book.asp?172983","מאכלות אסורות")</f>
        <v>מאכלות אסורות</v>
      </c>
    </row>
    <row r="21223" spans="1:6" x14ac:dyDescent="0.2">
      <c r="A21223" t="s">
        <v>34387</v>
      </c>
      <c r="B21223" t="s">
        <v>34388</v>
      </c>
      <c r="C21223" t="s">
        <v>422</v>
      </c>
      <c r="D21223" t="s">
        <v>412</v>
      </c>
      <c r="E21223" t="s">
        <v>4779</v>
      </c>
      <c r="F21223" s="2" t="str">
        <f>HYPERLINK("http://www.otzar.org/book.asp?174389","מאכסניא של התורה")</f>
        <v>מאכסניא של התורה</v>
      </c>
    </row>
    <row r="21224" spans="1:6" x14ac:dyDescent="0.2">
      <c r="A21224" t="s">
        <v>34389</v>
      </c>
      <c r="B21224" t="s">
        <v>28482</v>
      </c>
      <c r="C21224" t="s">
        <v>34390</v>
      </c>
      <c r="D21224" t="s">
        <v>22983</v>
      </c>
      <c r="E21224" t="s">
        <v>234</v>
      </c>
      <c r="F21224" s="2" t="str">
        <f>HYPERLINK("http://www.otzar.org/book.asp?104158","מאמץ כח - 2 כר'")</f>
        <v>מאמץ כח - 2 כר'</v>
      </c>
    </row>
    <row r="21225" spans="1:6" x14ac:dyDescent="0.2">
      <c r="A21225" t="s">
        <v>34391</v>
      </c>
      <c r="B21225" t="s">
        <v>34392</v>
      </c>
      <c r="C21225" t="s">
        <v>4538</v>
      </c>
      <c r="D21225" t="s">
        <v>2303</v>
      </c>
      <c r="E21225" t="s">
        <v>701</v>
      </c>
      <c r="F21225" s="2" t="str">
        <f>HYPERLINK("http://www.otzar.org/book.asp?19009","מאמר אברהם &lt;זרע אברהם&gt;")</f>
        <v>מאמר אברהם &lt;זרע אברהם&gt;</v>
      </c>
    </row>
    <row r="21226" spans="1:6" x14ac:dyDescent="0.2">
      <c r="A21226" t="s">
        <v>34393</v>
      </c>
      <c r="B21226" t="s">
        <v>14446</v>
      </c>
      <c r="C21226" t="s">
        <v>286</v>
      </c>
      <c r="D21226" t="s">
        <v>379</v>
      </c>
      <c r="E21226" t="s">
        <v>399</v>
      </c>
      <c r="F21226" s="2" t="str">
        <f>HYPERLINK("http://www.otzar.org/book.asp?51636","מאמר אדון כל")</f>
        <v>מאמר אדון כל</v>
      </c>
    </row>
    <row r="21227" spans="1:6" x14ac:dyDescent="0.2">
      <c r="A21227" t="s">
        <v>34394</v>
      </c>
      <c r="B21227" t="s">
        <v>34395</v>
      </c>
      <c r="C21227" t="s">
        <v>20</v>
      </c>
      <c r="D21227" t="s">
        <v>14</v>
      </c>
      <c r="E21227" t="s">
        <v>15</v>
      </c>
      <c r="F21227" s="2" t="str">
        <f>HYPERLINK("http://www.otzar.org/book.asp?192800","מאמר איש - 2 כר'")</f>
        <v>מאמר איש - 2 כר'</v>
      </c>
    </row>
    <row r="21228" spans="1:6" x14ac:dyDescent="0.2">
      <c r="A21228" t="s">
        <v>34396</v>
      </c>
      <c r="B21228" t="s">
        <v>34397</v>
      </c>
      <c r="C21228" t="s">
        <v>454</v>
      </c>
      <c r="D21228" t="s">
        <v>31528</v>
      </c>
      <c r="E21228" t="s">
        <v>15</v>
      </c>
      <c r="F21228" s="2" t="str">
        <f>HYPERLINK("http://www.otzar.org/book.asp?628713","מאמר אסתר - איסור והיתר")</f>
        <v>מאמר אסתר - איסור והיתר</v>
      </c>
    </row>
    <row r="21229" spans="1:6" x14ac:dyDescent="0.2">
      <c r="A21229" t="s">
        <v>34398</v>
      </c>
      <c r="B21229" t="s">
        <v>32274</v>
      </c>
      <c r="C21229" t="s">
        <v>2227</v>
      </c>
      <c r="D21229" t="s">
        <v>8370</v>
      </c>
      <c r="E21229" t="s">
        <v>234</v>
      </c>
      <c r="F21229" s="2" t="str">
        <f>HYPERLINK("http://www.otzar.org/book.asp?5641","מאמר אסתר")</f>
        <v>מאמר אסתר</v>
      </c>
    </row>
    <row r="21230" spans="1:6" x14ac:dyDescent="0.2">
      <c r="A21230" t="s">
        <v>34398</v>
      </c>
      <c r="B21230" t="s">
        <v>34399</v>
      </c>
      <c r="C21230" t="s">
        <v>576</v>
      </c>
      <c r="D21230" t="s">
        <v>287</v>
      </c>
      <c r="E21230" t="s">
        <v>158</v>
      </c>
      <c r="F21230" s="2" t="str">
        <f>HYPERLINK("http://www.otzar.org/book.asp?24748","מאמר אסתר")</f>
        <v>מאמר אסתר</v>
      </c>
    </row>
    <row r="21231" spans="1:6" x14ac:dyDescent="0.2">
      <c r="A21231" t="s">
        <v>34400</v>
      </c>
      <c r="B21231" t="s">
        <v>34401</v>
      </c>
      <c r="C21231" t="s">
        <v>26</v>
      </c>
      <c r="D21231" t="s">
        <v>11104</v>
      </c>
      <c r="E21231" t="s">
        <v>158</v>
      </c>
      <c r="F21231" s="2" t="str">
        <f>HYPERLINK("http://www.otzar.org/book.asp?165215","מאמר אסתר - משלי")</f>
        <v>מאמר אסתר - משלי</v>
      </c>
    </row>
    <row r="21232" spans="1:6" x14ac:dyDescent="0.2">
      <c r="A21232" t="s">
        <v>34398</v>
      </c>
      <c r="B21232" t="s">
        <v>34402</v>
      </c>
      <c r="C21232" t="s">
        <v>985</v>
      </c>
      <c r="D21232" t="s">
        <v>1889</v>
      </c>
      <c r="E21232" t="s">
        <v>2915</v>
      </c>
      <c r="F21232" s="2" t="str">
        <f>HYPERLINK("http://www.otzar.org/book.asp?300560","מאמר אסתר")</f>
        <v>מאמר אסתר</v>
      </c>
    </row>
    <row r="21233" spans="1:6" x14ac:dyDescent="0.2">
      <c r="A21233" t="s">
        <v>34398</v>
      </c>
      <c r="B21233" t="s">
        <v>22547</v>
      </c>
      <c r="C21233" t="s">
        <v>51</v>
      </c>
      <c r="D21233" t="s">
        <v>52</v>
      </c>
      <c r="E21233" t="s">
        <v>325</v>
      </c>
      <c r="F21233" s="2" t="str">
        <f>HYPERLINK("http://www.otzar.org/book.asp?50927","מאמר אסתר")</f>
        <v>מאמר אסתר</v>
      </c>
    </row>
    <row r="21234" spans="1:6" x14ac:dyDescent="0.2">
      <c r="A21234" t="s">
        <v>34398</v>
      </c>
      <c r="B21234" t="s">
        <v>10351</v>
      </c>
      <c r="C21234" t="s">
        <v>17</v>
      </c>
      <c r="D21234" t="s">
        <v>486</v>
      </c>
      <c r="E21234" t="s">
        <v>104</v>
      </c>
      <c r="F21234" s="2" t="str">
        <f>HYPERLINK("http://www.otzar.org/book.asp?25715","מאמר אסתר")</f>
        <v>מאמר אסתר</v>
      </c>
    </row>
    <row r="21235" spans="1:6" x14ac:dyDescent="0.2">
      <c r="A21235" t="s">
        <v>34403</v>
      </c>
      <c r="B21235" t="s">
        <v>12257</v>
      </c>
      <c r="C21235" t="s">
        <v>71</v>
      </c>
      <c r="D21235" t="s">
        <v>14</v>
      </c>
      <c r="E21235" t="s">
        <v>474</v>
      </c>
      <c r="F21235" s="2" t="str">
        <f>HYPERLINK("http://www.otzar.org/book.asp?50947","מאמר אפרים - 2 כר'")</f>
        <v>מאמר אפרים - 2 כר'</v>
      </c>
    </row>
    <row r="21236" spans="1:6" x14ac:dyDescent="0.2">
      <c r="A21236" t="s">
        <v>34404</v>
      </c>
      <c r="B21236" t="s">
        <v>34405</v>
      </c>
      <c r="C21236" t="s">
        <v>1592</v>
      </c>
      <c r="D21236" t="s">
        <v>1023</v>
      </c>
      <c r="E21236" t="s">
        <v>241</v>
      </c>
      <c r="F21236" s="2" t="str">
        <f>HYPERLINK("http://www.otzar.org/book.asp?101509","מאמר אפשרית הטבעית")</f>
        <v>מאמר אפשרית הטבעית</v>
      </c>
    </row>
    <row r="21237" spans="1:6" x14ac:dyDescent="0.2">
      <c r="A21237" t="s">
        <v>34406</v>
      </c>
      <c r="B21237" t="s">
        <v>17331</v>
      </c>
      <c r="C21237" t="s">
        <v>51</v>
      </c>
      <c r="D21237" t="s">
        <v>52</v>
      </c>
      <c r="E21237" t="s">
        <v>213</v>
      </c>
      <c r="F21237" s="2" t="str">
        <f>HYPERLINK("http://www.otzar.org/book.asp?107453","מאמר בין ישראל לגויים")</f>
        <v>מאמר בין ישראל לגויים</v>
      </c>
    </row>
    <row r="21238" spans="1:6" x14ac:dyDescent="0.2">
      <c r="A21238" t="s">
        <v>34407</v>
      </c>
      <c r="B21238" t="s">
        <v>6814</v>
      </c>
      <c r="C21238" t="s">
        <v>68</v>
      </c>
      <c r="D21238" t="s">
        <v>14</v>
      </c>
      <c r="F21238" s="2" t="str">
        <f>HYPERLINK("http://www.otzar.org/book.asp?156438","מאמר במעלת לימוד הלכות טהרה")</f>
        <v>מאמר במעלת לימוד הלכות טהרה</v>
      </c>
    </row>
    <row r="21239" spans="1:6" x14ac:dyDescent="0.2">
      <c r="A21239" t="s">
        <v>34408</v>
      </c>
      <c r="B21239" t="s">
        <v>34409</v>
      </c>
      <c r="C21239" t="s">
        <v>20</v>
      </c>
      <c r="D21239" t="s">
        <v>14</v>
      </c>
      <c r="E21239" t="s">
        <v>104</v>
      </c>
      <c r="F21239" s="2" t="str">
        <f>HYPERLINK("http://www.otzar.org/book.asp?630570","מאמר בנין ירושלים")</f>
        <v>מאמר בנין ירושלים</v>
      </c>
    </row>
    <row r="21240" spans="1:6" x14ac:dyDescent="0.2">
      <c r="A21240" t="s">
        <v>34410</v>
      </c>
      <c r="B21240" t="s">
        <v>6987</v>
      </c>
      <c r="C21240" t="s">
        <v>151</v>
      </c>
      <c r="D21240" t="s">
        <v>90</v>
      </c>
      <c r="E21240" t="s">
        <v>104</v>
      </c>
      <c r="F21240" s="2" t="str">
        <f>HYPERLINK("http://www.otzar.org/book.asp?630293","מאמר בענין ימי הגשמים")</f>
        <v>מאמר בענין ימי הגשמים</v>
      </c>
    </row>
    <row r="21241" spans="1:6" x14ac:dyDescent="0.2">
      <c r="A21241" t="s">
        <v>34411</v>
      </c>
      <c r="B21241" t="s">
        <v>34412</v>
      </c>
      <c r="C21241" t="s">
        <v>151</v>
      </c>
      <c r="D21241" t="s">
        <v>14</v>
      </c>
      <c r="F21241" s="2" t="str">
        <f>HYPERLINK("http://www.otzar.org/book.asp?617096","מאמר בענין תורה שבעל פה והש""ס")</f>
        <v>מאמר בענין תורה שבעל פה והש"ס</v>
      </c>
    </row>
    <row r="21242" spans="1:6" x14ac:dyDescent="0.2">
      <c r="A21242" t="s">
        <v>34413</v>
      </c>
      <c r="B21242" t="s">
        <v>1693</v>
      </c>
      <c r="C21242" t="s">
        <v>20</v>
      </c>
      <c r="D21242" t="s">
        <v>14</v>
      </c>
      <c r="F21242" s="2" t="str">
        <f>HYPERLINK("http://www.otzar.org/book.asp?613636","מאמר גלה על ראשה - חנוכה")</f>
        <v>מאמר גלה על ראשה - חנוכה</v>
      </c>
    </row>
    <row r="21243" spans="1:6" x14ac:dyDescent="0.2">
      <c r="A21243" t="s">
        <v>34414</v>
      </c>
      <c r="B21243" t="s">
        <v>13530</v>
      </c>
      <c r="C21243" t="s">
        <v>1202</v>
      </c>
      <c r="D21243" t="s">
        <v>27</v>
      </c>
      <c r="F21243" s="2" t="str">
        <f>HYPERLINK("http://www.otzar.org/book.asp?182350","מאמר גלות וגאולה")</f>
        <v>מאמר גלות וגאולה</v>
      </c>
    </row>
    <row r="21244" spans="1:6" x14ac:dyDescent="0.2">
      <c r="A21244" t="s">
        <v>34415</v>
      </c>
      <c r="B21244" t="s">
        <v>34416</v>
      </c>
      <c r="C21244" t="s">
        <v>1364</v>
      </c>
      <c r="D21244" t="s">
        <v>283</v>
      </c>
      <c r="E21244" t="s">
        <v>3785</v>
      </c>
      <c r="F21244" s="2" t="str">
        <f>HYPERLINK("http://www.otzar.org/book.asp?150556","מאמר דבר תורה")</f>
        <v>מאמר דבר תורה</v>
      </c>
    </row>
    <row r="21245" spans="1:6" x14ac:dyDescent="0.2">
      <c r="A21245" t="s">
        <v>34417</v>
      </c>
      <c r="B21245" t="s">
        <v>17331</v>
      </c>
      <c r="C21245" t="s">
        <v>71</v>
      </c>
      <c r="D21245" t="s">
        <v>52</v>
      </c>
      <c r="E21245" t="s">
        <v>28</v>
      </c>
      <c r="F21245" s="2" t="str">
        <f>HYPERLINK("http://www.otzar.org/book.asp?107454","מאמר דברים כהוייתן")</f>
        <v>מאמר דברים כהוייתן</v>
      </c>
    </row>
    <row r="21246" spans="1:6" x14ac:dyDescent="0.2">
      <c r="A21246" t="s">
        <v>34418</v>
      </c>
      <c r="B21246" t="s">
        <v>34419</v>
      </c>
      <c r="C21246" t="s">
        <v>351</v>
      </c>
      <c r="E21246" t="s">
        <v>213</v>
      </c>
      <c r="F21246" s="2" t="str">
        <f>HYPERLINK("http://www.otzar.org/book.asp?24749","מאמר דוד")</f>
        <v>מאמר דוד</v>
      </c>
    </row>
    <row r="21247" spans="1:6" x14ac:dyDescent="0.2">
      <c r="A21247" t="s">
        <v>34420</v>
      </c>
      <c r="B21247" t="s">
        <v>29695</v>
      </c>
      <c r="C21247" t="s">
        <v>51</v>
      </c>
      <c r="D21247" t="s">
        <v>52</v>
      </c>
      <c r="E21247" t="s">
        <v>213</v>
      </c>
      <c r="F21247" s="2" t="str">
        <f>HYPERLINK("http://www.otzar.org/book.asp?190855","מאמר דרכה של תורה")</f>
        <v>מאמר דרכה של תורה</v>
      </c>
    </row>
    <row r="21248" spans="1:6" x14ac:dyDescent="0.2">
      <c r="A21248" t="s">
        <v>34421</v>
      </c>
      <c r="B21248" t="s">
        <v>3673</v>
      </c>
      <c r="C21248" t="s">
        <v>6784</v>
      </c>
      <c r="D21248" t="s">
        <v>267</v>
      </c>
      <c r="E21248" t="s">
        <v>241</v>
      </c>
      <c r="F21248" s="2" t="str">
        <f>HYPERLINK("http://www.otzar.org/book.asp?6476","מאמר האחדות - 3 כר'")</f>
        <v>מאמר האחדות - 3 כר'</v>
      </c>
    </row>
    <row r="21249" spans="1:6" x14ac:dyDescent="0.2">
      <c r="A21249" t="s">
        <v>34422</v>
      </c>
      <c r="B21249" t="s">
        <v>16383</v>
      </c>
      <c r="C21249" t="s">
        <v>189</v>
      </c>
      <c r="D21249" t="s">
        <v>14</v>
      </c>
      <c r="E21249" t="s">
        <v>1391</v>
      </c>
      <c r="F21249" s="2" t="str">
        <f>HYPERLINK("http://www.otzar.org/book.asp?83671","מאמר הגאולה &lt;אור הגאולה&gt;")</f>
        <v>מאמר הגאולה &lt;אור הגאולה&gt;</v>
      </c>
    </row>
    <row r="21250" spans="1:6" x14ac:dyDescent="0.2">
      <c r="A21250" t="s">
        <v>34423</v>
      </c>
      <c r="B21250" t="s">
        <v>34424</v>
      </c>
      <c r="C21250" t="s">
        <v>775</v>
      </c>
      <c r="D21250" t="s">
        <v>14</v>
      </c>
      <c r="E21250" t="s">
        <v>29126</v>
      </c>
      <c r="F21250" s="2" t="str">
        <f>HYPERLINK("http://www.otzar.org/book.asp?12728","מאמר הגאולה")</f>
        <v>מאמר הגאולה</v>
      </c>
    </row>
    <row r="21251" spans="1:6" x14ac:dyDescent="0.2">
      <c r="A21251" t="s">
        <v>34423</v>
      </c>
      <c r="B21251" t="s">
        <v>1390</v>
      </c>
      <c r="C21251" t="s">
        <v>725</v>
      </c>
      <c r="D21251" t="s">
        <v>27</v>
      </c>
      <c r="E21251" t="s">
        <v>1438</v>
      </c>
      <c r="F21251" s="2" t="str">
        <f>HYPERLINK("http://www.otzar.org/book.asp?12808","מאמר הגאולה")</f>
        <v>מאמר הגאולה</v>
      </c>
    </row>
    <row r="21252" spans="1:6" x14ac:dyDescent="0.2">
      <c r="A21252" t="s">
        <v>34425</v>
      </c>
      <c r="B21252" t="s">
        <v>34426</v>
      </c>
      <c r="C21252" t="s">
        <v>68</v>
      </c>
      <c r="D21252" t="s">
        <v>7468</v>
      </c>
      <c r="E21252" t="s">
        <v>202</v>
      </c>
      <c r="F21252" s="2" t="str">
        <f>HYPERLINK("http://www.otzar.org/book.asp?180224","מאמר הזבח")</f>
        <v>מאמר הזבח</v>
      </c>
    </row>
    <row r="21253" spans="1:6" x14ac:dyDescent="0.2">
      <c r="A21253" t="s">
        <v>34427</v>
      </c>
      <c r="B21253" t="s">
        <v>34428</v>
      </c>
      <c r="C21253" t="s">
        <v>37</v>
      </c>
      <c r="D21253" t="s">
        <v>14</v>
      </c>
      <c r="E21253" t="s">
        <v>30570</v>
      </c>
      <c r="F21253" s="2" t="str">
        <f>HYPERLINK("http://www.otzar.org/book.asp?600093","מאמר החכמה &lt;ביאורי חכמה,  מאמרי חכמה&gt;")</f>
        <v>מאמר החכמה &lt;ביאורי חכמה,  מאמרי חכמה&gt;</v>
      </c>
    </row>
    <row r="21254" spans="1:6" x14ac:dyDescent="0.2">
      <c r="A21254" t="s">
        <v>34429</v>
      </c>
      <c r="B21254" t="s">
        <v>16383</v>
      </c>
      <c r="C21254" t="s">
        <v>422</v>
      </c>
      <c r="D21254" t="s">
        <v>14</v>
      </c>
      <c r="E21254" t="s">
        <v>467</v>
      </c>
      <c r="F21254" s="2" t="str">
        <f>HYPERLINK("http://www.otzar.org/book.asp?180273","מאמר החכמה &lt;גילוי מלכותו&gt;")</f>
        <v>מאמר החכמה &lt;גילוי מלכותו&gt;</v>
      </c>
    </row>
    <row r="21255" spans="1:6" x14ac:dyDescent="0.2">
      <c r="A21255" t="s">
        <v>34430</v>
      </c>
      <c r="B21255" t="s">
        <v>1390</v>
      </c>
      <c r="C21255" t="s">
        <v>1166</v>
      </c>
      <c r="D21255" t="s">
        <v>947</v>
      </c>
      <c r="E21255" t="s">
        <v>399</v>
      </c>
      <c r="F21255" s="2" t="str">
        <f>HYPERLINK("http://www.otzar.org/book.asp?12758","מאמר החכמה")</f>
        <v>מאמר החכמה</v>
      </c>
    </row>
    <row r="21256" spans="1:6" x14ac:dyDescent="0.2">
      <c r="A21256" t="s">
        <v>34431</v>
      </c>
      <c r="B21256" t="s">
        <v>34395</v>
      </c>
      <c r="C21256" t="s">
        <v>20</v>
      </c>
      <c r="D21256" t="s">
        <v>14</v>
      </c>
      <c r="E21256" t="s">
        <v>84</v>
      </c>
      <c r="F21256" s="2" t="str">
        <f>HYPERLINK("http://www.otzar.org/book.asp?183382","מאמר הלוי - 15 כר'")</f>
        <v>מאמר הלוי - 15 כר'</v>
      </c>
    </row>
    <row r="21257" spans="1:6" x14ac:dyDescent="0.2">
      <c r="A21257" t="s">
        <v>34432</v>
      </c>
      <c r="B21257" t="s">
        <v>4719</v>
      </c>
      <c r="C21257" t="s">
        <v>37</v>
      </c>
      <c r="D21257" t="s">
        <v>90</v>
      </c>
      <c r="E21257" t="s">
        <v>246</v>
      </c>
      <c r="F21257" s="2" t="str">
        <f>HYPERLINK("http://www.otzar.org/book.asp?190066","מאמר המועד")</f>
        <v>מאמר המועד</v>
      </c>
    </row>
    <row r="21258" spans="1:6" x14ac:dyDescent="0.2">
      <c r="A21258" t="s">
        <v>34433</v>
      </c>
      <c r="B21258" t="s">
        <v>34434</v>
      </c>
      <c r="C21258" t="s">
        <v>1519</v>
      </c>
      <c r="D21258" t="s">
        <v>76</v>
      </c>
      <c r="E21258" t="s">
        <v>15</v>
      </c>
      <c r="F21258" s="2" t="str">
        <f>HYPERLINK("http://www.otzar.org/book.asp?19010","מאמר המלך")</f>
        <v>מאמר המלך</v>
      </c>
    </row>
    <row r="21259" spans="1:6" x14ac:dyDescent="0.2">
      <c r="A21259" t="s">
        <v>34435</v>
      </c>
      <c r="B21259" t="s">
        <v>2737</v>
      </c>
      <c r="C21259" t="s">
        <v>989</v>
      </c>
      <c r="D21259" t="s">
        <v>412</v>
      </c>
      <c r="E21259" t="s">
        <v>241</v>
      </c>
      <c r="F21259" s="2" t="str">
        <f>HYPERLINK("http://www.otzar.org/book.asp?606846","מאמר הנוגע לענינים של ההשקפה")</f>
        <v>מאמר הנוגע לענינים של ההשקפה</v>
      </c>
    </row>
    <row r="21260" spans="1:6" x14ac:dyDescent="0.2">
      <c r="A21260" t="s">
        <v>34436</v>
      </c>
      <c r="B21260" t="s">
        <v>6040</v>
      </c>
      <c r="C21260" t="s">
        <v>888</v>
      </c>
      <c r="D21260" t="s">
        <v>225</v>
      </c>
      <c r="E21260" t="s">
        <v>314</v>
      </c>
      <c r="F21260" s="2" t="str">
        <f>HYPERLINK("http://www.otzar.org/book.asp?12739","מאמר הנפש - 2 כר'")</f>
        <v>מאמר הנפש - 2 כר'</v>
      </c>
    </row>
    <row r="21261" spans="1:6" x14ac:dyDescent="0.2">
      <c r="A21261" t="s">
        <v>34437</v>
      </c>
      <c r="B21261" t="s">
        <v>17331</v>
      </c>
      <c r="C21261" t="s">
        <v>454</v>
      </c>
      <c r="D21261" t="s">
        <v>52</v>
      </c>
      <c r="E21261" t="s">
        <v>674</v>
      </c>
      <c r="F21261" s="2" t="str">
        <f>HYPERLINK("http://www.otzar.org/book.asp?107451","מאמר הנרות הללו")</f>
        <v>מאמר הנרות הללו</v>
      </c>
    </row>
    <row r="21262" spans="1:6" x14ac:dyDescent="0.2">
      <c r="A21262" t="s">
        <v>34438</v>
      </c>
      <c r="B21262" t="s">
        <v>1320</v>
      </c>
      <c r="C21262" t="s">
        <v>360</v>
      </c>
      <c r="D21262" t="s">
        <v>322</v>
      </c>
      <c r="E21262" t="s">
        <v>213</v>
      </c>
      <c r="F21262" s="2" t="str">
        <f>HYPERLINK("http://www.otzar.org/book.asp?9059","מאמר העיבור")</f>
        <v>מאמר העיבור</v>
      </c>
    </row>
    <row r="21263" spans="1:6" x14ac:dyDescent="0.2">
      <c r="A21263" t="s">
        <v>34439</v>
      </c>
      <c r="B21263" t="s">
        <v>1390</v>
      </c>
      <c r="C21263" t="s">
        <v>3906</v>
      </c>
      <c r="D21263" t="s">
        <v>34440</v>
      </c>
      <c r="E21263" t="s">
        <v>241</v>
      </c>
      <c r="F21263" s="2" t="str">
        <f>HYPERLINK("http://www.otzar.org/book.asp?200327","מאמר העיקרים - 3 כר'")</f>
        <v>מאמר העיקרים - 3 כר'</v>
      </c>
    </row>
    <row r="21264" spans="1:6" x14ac:dyDescent="0.2">
      <c r="A21264" t="s">
        <v>34441</v>
      </c>
      <c r="B21264" t="s">
        <v>206</v>
      </c>
      <c r="C21264" t="s">
        <v>20</v>
      </c>
      <c r="D21264" t="s">
        <v>90</v>
      </c>
      <c r="E21264" t="s">
        <v>158</v>
      </c>
      <c r="F21264" s="2" t="str">
        <f>HYPERLINK("http://www.otzar.org/book.asp?606429","מאמר הצחוק בתורה")</f>
        <v>מאמר הצחוק בתורה</v>
      </c>
    </row>
    <row r="21265" spans="1:6" x14ac:dyDescent="0.2">
      <c r="A21265" t="s">
        <v>34442</v>
      </c>
      <c r="B21265" t="s">
        <v>34443</v>
      </c>
      <c r="C21265" t="s">
        <v>75</v>
      </c>
      <c r="D21265" t="s">
        <v>516</v>
      </c>
      <c r="E21265" t="s">
        <v>1626</v>
      </c>
      <c r="F21265" s="2" t="str">
        <f>HYPERLINK("http://www.otzar.org/book.asp?102294","מאמר השכל - 4 כר'")</f>
        <v>מאמר השכל - 4 כר'</v>
      </c>
    </row>
    <row r="21266" spans="1:6" x14ac:dyDescent="0.2">
      <c r="A21266" t="s">
        <v>34444</v>
      </c>
      <c r="B21266" t="s">
        <v>34445</v>
      </c>
      <c r="C21266" t="s">
        <v>2302</v>
      </c>
      <c r="D21266" t="s">
        <v>563</v>
      </c>
      <c r="F21266" s="2" t="str">
        <f>HYPERLINK("http://www.otzar.org/book.asp?170144","מאמר התורה והחכמה")</f>
        <v>מאמר התורה והחכמה</v>
      </c>
    </row>
    <row r="21267" spans="1:6" x14ac:dyDescent="0.2">
      <c r="A21267" t="s">
        <v>34446</v>
      </c>
      <c r="B21267" t="s">
        <v>629</v>
      </c>
      <c r="C21267" t="s">
        <v>2455</v>
      </c>
      <c r="D21267" t="s">
        <v>56</v>
      </c>
      <c r="E21267" t="s">
        <v>1211</v>
      </c>
      <c r="F21267" s="2" t="str">
        <f>HYPERLINK("http://www.otzar.org/book.asp?83772","מאמר התורה והמצוה")</f>
        <v>מאמר התורה והמצוה</v>
      </c>
    </row>
    <row r="21268" spans="1:6" x14ac:dyDescent="0.2">
      <c r="A21268" t="s">
        <v>34447</v>
      </c>
      <c r="B21268" t="s">
        <v>7330</v>
      </c>
      <c r="C21268" t="s">
        <v>1535</v>
      </c>
      <c r="D21268" t="s">
        <v>991</v>
      </c>
      <c r="E21268" t="s">
        <v>2509</v>
      </c>
      <c r="F21268" s="2" t="str">
        <f>HYPERLINK("http://www.otzar.org/book.asp?7956","מאמר חיות אש")</f>
        <v>מאמר חיות אש</v>
      </c>
    </row>
    <row r="21269" spans="1:6" x14ac:dyDescent="0.2">
      <c r="A21269" t="s">
        <v>34448</v>
      </c>
      <c r="B21269" t="s">
        <v>34449</v>
      </c>
      <c r="C21269" t="s">
        <v>366</v>
      </c>
      <c r="D21269" t="s">
        <v>52</v>
      </c>
      <c r="E21269" t="s">
        <v>144</v>
      </c>
      <c r="F21269" s="2" t="str">
        <f>HYPERLINK("http://www.otzar.org/book.asp?621060","מאמר חיים - 2 כר'")</f>
        <v>מאמר חיים - 2 כר'</v>
      </c>
    </row>
    <row r="21270" spans="1:6" x14ac:dyDescent="0.2">
      <c r="A21270" t="s">
        <v>34450</v>
      </c>
      <c r="B21270" t="s">
        <v>12920</v>
      </c>
      <c r="C21270" t="s">
        <v>20</v>
      </c>
      <c r="D21270" t="s">
        <v>14</v>
      </c>
      <c r="F21270" s="2" t="str">
        <f>HYPERLINK("http://www.otzar.org/book.asp?618748","מאמר חנוך לנער על פי דורו")</f>
        <v>מאמר חנוך לנער על פי דורו</v>
      </c>
    </row>
    <row r="21271" spans="1:6" x14ac:dyDescent="0.2">
      <c r="A21271" t="s">
        <v>34451</v>
      </c>
      <c r="B21271" t="s">
        <v>24171</v>
      </c>
      <c r="C21271" t="s">
        <v>3690</v>
      </c>
      <c r="D21271" t="s">
        <v>27</v>
      </c>
      <c r="E21271" t="s">
        <v>104</v>
      </c>
      <c r="F21271" s="2" t="str">
        <f>HYPERLINK("http://www.otzar.org/book.asp?178889","מאמר חסד ואמת")</f>
        <v>מאמר חסד ואמת</v>
      </c>
    </row>
    <row r="21272" spans="1:6" x14ac:dyDescent="0.2">
      <c r="A21272" t="s">
        <v>34452</v>
      </c>
      <c r="B21272" t="s">
        <v>34453</v>
      </c>
      <c r="C21272" t="s">
        <v>1374</v>
      </c>
      <c r="D21272" t="s">
        <v>6608</v>
      </c>
      <c r="E21272" t="s">
        <v>579</v>
      </c>
      <c r="F21272" s="2" t="str">
        <f>HYPERLINK("http://www.otzar.org/book.asp?170645","מאמר חקירה על הכתר")</f>
        <v>מאמר חקירה על הכתר</v>
      </c>
    </row>
    <row r="21273" spans="1:6" x14ac:dyDescent="0.2">
      <c r="A21273" t="s">
        <v>34454</v>
      </c>
      <c r="B21273" t="s">
        <v>16577</v>
      </c>
      <c r="C21273" t="s">
        <v>23</v>
      </c>
      <c r="D21273" t="s">
        <v>152</v>
      </c>
      <c r="F21273" s="2" t="str">
        <f>HYPERLINK("http://www.otzar.org/book.asp?198185","מאמר יבמין")</f>
        <v>מאמר יבמין</v>
      </c>
    </row>
    <row r="21274" spans="1:6" x14ac:dyDescent="0.2">
      <c r="A21274" t="s">
        <v>34455</v>
      </c>
      <c r="B21274" t="s">
        <v>1990</v>
      </c>
      <c r="C21274" t="s">
        <v>75</v>
      </c>
      <c r="D21274" t="s">
        <v>1279</v>
      </c>
      <c r="E21274" t="s">
        <v>219</v>
      </c>
      <c r="F21274" s="2" t="str">
        <f>HYPERLINK("http://www.otzar.org/book.asp?143610","מאמר יהונתן")</f>
        <v>מאמר יהונתן</v>
      </c>
    </row>
    <row r="21275" spans="1:6" x14ac:dyDescent="0.2">
      <c r="A21275" t="s">
        <v>34456</v>
      </c>
      <c r="B21275" t="s">
        <v>3484</v>
      </c>
      <c r="C21275" t="s">
        <v>785</v>
      </c>
      <c r="D21275" t="s">
        <v>52</v>
      </c>
      <c r="E21275" t="s">
        <v>4940</v>
      </c>
      <c r="F21275" s="2" t="str">
        <f>HYPERLINK("http://www.otzar.org/book.asp?146958","מאמר יום טוב")</f>
        <v>מאמר יום טוב</v>
      </c>
    </row>
    <row r="21276" spans="1:6" x14ac:dyDescent="0.2">
      <c r="A21276" t="s">
        <v>34457</v>
      </c>
      <c r="B21276" t="s">
        <v>34458</v>
      </c>
      <c r="C21276" t="s">
        <v>291</v>
      </c>
      <c r="D21276" t="s">
        <v>1279</v>
      </c>
      <c r="E21276" t="s">
        <v>234</v>
      </c>
      <c r="F21276" s="2" t="str">
        <f>HYPERLINK("http://www.otzar.org/book.asp?149416","מאמר יום ישועה")</f>
        <v>מאמר יום ישועה</v>
      </c>
    </row>
    <row r="21277" spans="1:6" x14ac:dyDescent="0.2">
      <c r="A21277" t="s">
        <v>34459</v>
      </c>
      <c r="B21277" t="s">
        <v>6040</v>
      </c>
      <c r="C21277" t="s">
        <v>129</v>
      </c>
      <c r="D21277" t="s">
        <v>14</v>
      </c>
      <c r="E21277" t="s">
        <v>399</v>
      </c>
      <c r="F21277" s="2" t="str">
        <f>HYPERLINK("http://www.otzar.org/book.asp?148067","מאמר יונת אלם &lt;מהדורת ישמח לב&gt;")</f>
        <v>מאמר יונת אלם &lt;מהדורת ישמח לב&gt;</v>
      </c>
    </row>
    <row r="21278" spans="1:6" x14ac:dyDescent="0.2">
      <c r="A21278" t="s">
        <v>34460</v>
      </c>
      <c r="B21278" t="s">
        <v>6040</v>
      </c>
      <c r="C21278" t="s">
        <v>2213</v>
      </c>
      <c r="D21278" t="s">
        <v>60</v>
      </c>
      <c r="E21278" t="s">
        <v>399</v>
      </c>
      <c r="F21278" s="2" t="str">
        <f>HYPERLINK("http://www.otzar.org/book.asp?104430","מאמר יונת אלם - 2 כר'")</f>
        <v>מאמר יונת אלם - 2 כר'</v>
      </c>
    </row>
    <row r="21279" spans="1:6" x14ac:dyDescent="0.2">
      <c r="A21279" t="s">
        <v>34461</v>
      </c>
      <c r="B21279" t="s">
        <v>34462</v>
      </c>
      <c r="C21279" t="s">
        <v>13</v>
      </c>
      <c r="D21279" t="s">
        <v>14</v>
      </c>
      <c r="E21279" t="s">
        <v>230</v>
      </c>
      <c r="F21279" s="2" t="str">
        <f>HYPERLINK("http://www.otzar.org/book.asp?170534","מאמר יחזקאל - 2 כר'")</f>
        <v>מאמר יחזקאל - 2 כר'</v>
      </c>
    </row>
    <row r="21280" spans="1:6" x14ac:dyDescent="0.2">
      <c r="A21280" t="s">
        <v>34463</v>
      </c>
      <c r="B21280" t="s">
        <v>3166</v>
      </c>
      <c r="C21280" t="s">
        <v>51</v>
      </c>
      <c r="D21280" t="s">
        <v>14</v>
      </c>
      <c r="E21280" t="s">
        <v>1211</v>
      </c>
      <c r="F21280" s="2" t="str">
        <f>HYPERLINK("http://www.otzar.org/book.asp?147755","מאמר יעקב - 2 כר'")</f>
        <v>מאמר יעקב - 2 כר'</v>
      </c>
    </row>
    <row r="21281" spans="1:6" x14ac:dyDescent="0.2">
      <c r="A21281" t="s">
        <v>34464</v>
      </c>
      <c r="B21281" t="s">
        <v>4808</v>
      </c>
      <c r="C21281" t="s">
        <v>5912</v>
      </c>
      <c r="D21281" t="s">
        <v>1422</v>
      </c>
      <c r="E21281" t="s">
        <v>241</v>
      </c>
      <c r="F21281" s="2" t="str">
        <f>HYPERLINK("http://www.otzar.org/book.asp?102222","מאמר יקוו המים")</f>
        <v>מאמר יקוו המים</v>
      </c>
    </row>
    <row r="21282" spans="1:6" x14ac:dyDescent="0.2">
      <c r="A21282" t="s">
        <v>34465</v>
      </c>
      <c r="B21282" t="s">
        <v>34465</v>
      </c>
      <c r="C21282" t="s">
        <v>20</v>
      </c>
      <c r="D21282" t="s">
        <v>52</v>
      </c>
      <c r="E21282" t="s">
        <v>241</v>
      </c>
      <c r="F21282" s="2" t="str">
        <f>HYPERLINK("http://www.otzar.org/book.asp?6206","מאמר יראה טהורה")</f>
        <v>מאמר יראה טהורה</v>
      </c>
    </row>
    <row r="21283" spans="1:6" x14ac:dyDescent="0.2">
      <c r="A21283" t="s">
        <v>34466</v>
      </c>
      <c r="B21283" t="s">
        <v>4246</v>
      </c>
      <c r="C21283" t="s">
        <v>87</v>
      </c>
      <c r="D21283" t="s">
        <v>14</v>
      </c>
      <c r="E21283" t="s">
        <v>241</v>
      </c>
      <c r="F21283" s="2" t="str">
        <f>HYPERLINK("http://www.otzar.org/book.asp?14503","מאמר כוונות התורה")</f>
        <v>מאמר כוונות התורה</v>
      </c>
    </row>
    <row r="21284" spans="1:6" x14ac:dyDescent="0.2">
      <c r="A21284" t="s">
        <v>34467</v>
      </c>
      <c r="B21284" t="s">
        <v>24165</v>
      </c>
      <c r="C21284" t="s">
        <v>244</v>
      </c>
      <c r="D21284" t="s">
        <v>8647</v>
      </c>
      <c r="E21284" t="s">
        <v>803</v>
      </c>
      <c r="F21284" s="2" t="str">
        <f>HYPERLINK("http://www.otzar.org/book.asp?199972","מאמר כל דאי")</f>
        <v>מאמר כל דאי</v>
      </c>
    </row>
    <row r="21285" spans="1:6" x14ac:dyDescent="0.2">
      <c r="A21285" t="s">
        <v>34468</v>
      </c>
      <c r="B21285" t="s">
        <v>1809</v>
      </c>
      <c r="C21285" t="s">
        <v>26</v>
      </c>
      <c r="D21285" t="s">
        <v>14</v>
      </c>
      <c r="E21285" t="s">
        <v>24</v>
      </c>
      <c r="F21285" s="2" t="str">
        <f>HYPERLINK("http://www.otzar.org/book.asp?17016","מאמר כסא אליהו הנביא זכור לטוב")</f>
        <v>מאמר כסא אליהו הנביא זכור לטוב</v>
      </c>
    </row>
    <row r="21286" spans="1:6" x14ac:dyDescent="0.2">
      <c r="A21286" t="s">
        <v>34469</v>
      </c>
      <c r="B21286" t="s">
        <v>26211</v>
      </c>
      <c r="C21286" t="s">
        <v>1166</v>
      </c>
      <c r="D21286" t="s">
        <v>225</v>
      </c>
      <c r="E21286" t="s">
        <v>104</v>
      </c>
      <c r="F21286" s="2" t="str">
        <f>HYPERLINK("http://www.otzar.org/book.asp?51033","מאמר לגדל הבנים לתוה""ק")</f>
        <v>מאמר לגדל הבנים לתוה"ק</v>
      </c>
    </row>
    <row r="21287" spans="1:6" x14ac:dyDescent="0.2">
      <c r="A21287" t="s">
        <v>34470</v>
      </c>
      <c r="B21287" t="s">
        <v>34471</v>
      </c>
      <c r="C21287" t="s">
        <v>1166</v>
      </c>
      <c r="D21287" t="s">
        <v>4269</v>
      </c>
      <c r="F21287" s="2" t="str">
        <f>HYPERLINK("http://www.otzar.org/book.asp?152281","מאמר לחיזוק שמירת שבת ולחיזוק גמילות חסדים")</f>
        <v>מאמר לחיזוק שמירת שבת ולחיזוק גמילות חסדים</v>
      </c>
    </row>
    <row r="21288" spans="1:6" x14ac:dyDescent="0.2">
      <c r="A21288" t="s">
        <v>34472</v>
      </c>
      <c r="B21288" t="s">
        <v>20552</v>
      </c>
      <c r="C21288" t="s">
        <v>13</v>
      </c>
      <c r="D21288" t="s">
        <v>147</v>
      </c>
      <c r="E21288" t="s">
        <v>399</v>
      </c>
      <c r="F21288" s="2" t="str">
        <f>HYPERLINK("http://www.otzar.org/book.asp?155014","מאמר לימוד חכמת האמת בדורנו")</f>
        <v>מאמר לימוד חכמת האמת בדורנו</v>
      </c>
    </row>
    <row r="21289" spans="1:6" x14ac:dyDescent="0.2">
      <c r="A21289" t="s">
        <v>34473</v>
      </c>
      <c r="B21289" t="s">
        <v>17331</v>
      </c>
      <c r="C21289" t="s">
        <v>17</v>
      </c>
      <c r="D21289" t="s">
        <v>52</v>
      </c>
      <c r="E21289" t="s">
        <v>674</v>
      </c>
      <c r="F21289" s="2" t="str">
        <f>HYPERLINK("http://www.otzar.org/book.asp?107452","מאמר למען יאריכון ימיך")</f>
        <v>מאמר למען יאריכון ימיך</v>
      </c>
    </row>
    <row r="21290" spans="1:6" x14ac:dyDescent="0.2">
      <c r="A21290" t="s">
        <v>34474</v>
      </c>
      <c r="B21290" t="s">
        <v>6040</v>
      </c>
      <c r="C21290" t="s">
        <v>5903</v>
      </c>
      <c r="D21290" t="s">
        <v>379</v>
      </c>
      <c r="E21290" t="s">
        <v>3755</v>
      </c>
      <c r="F21290" s="2" t="str">
        <f>HYPERLINK("http://www.otzar.org/book.asp?102282","מאמר מאה קשיטה")</f>
        <v>מאמר מאה קשיטה</v>
      </c>
    </row>
    <row r="21291" spans="1:6" x14ac:dyDescent="0.2">
      <c r="A21291" t="s">
        <v>34475</v>
      </c>
      <c r="B21291" t="s">
        <v>34476</v>
      </c>
      <c r="C21291" t="s">
        <v>785</v>
      </c>
      <c r="D21291" t="s">
        <v>486</v>
      </c>
      <c r="E21291" t="s">
        <v>140</v>
      </c>
      <c r="F21291" s="2" t="str">
        <f>HYPERLINK("http://www.otzar.org/book.asp?191499","מאמר מגן ומושיע")</f>
        <v>מאמר מגן ומושיע</v>
      </c>
    </row>
    <row r="21292" spans="1:6" x14ac:dyDescent="0.2">
      <c r="A21292" t="s">
        <v>34477</v>
      </c>
      <c r="B21292" t="s">
        <v>34478</v>
      </c>
      <c r="C21292" t="s">
        <v>989</v>
      </c>
      <c r="D21292" t="s">
        <v>14</v>
      </c>
      <c r="F21292" s="2" t="str">
        <f>HYPERLINK("http://www.otzar.org/book.asp?615558","מאמר מזכה הרבים")</f>
        <v>מאמר מזכה הרבים</v>
      </c>
    </row>
    <row r="21293" spans="1:6" x14ac:dyDescent="0.2">
      <c r="A21293" t="s">
        <v>34479</v>
      </c>
      <c r="B21293" t="s">
        <v>14446</v>
      </c>
      <c r="C21293" t="s">
        <v>649</v>
      </c>
      <c r="D21293" t="s">
        <v>1422</v>
      </c>
      <c r="E21293" t="s">
        <v>1296</v>
      </c>
      <c r="F21293" s="2" t="str">
        <f>HYPERLINK("http://www.otzar.org/book.asp?7616","מאמר מילי דהספידא")</f>
        <v>מאמר מילי דהספידא</v>
      </c>
    </row>
    <row r="21294" spans="1:6" x14ac:dyDescent="0.2">
      <c r="A21294" t="s">
        <v>34480</v>
      </c>
      <c r="B21294" t="s">
        <v>34481</v>
      </c>
      <c r="C21294" t="s">
        <v>422</v>
      </c>
      <c r="D21294" t="s">
        <v>14</v>
      </c>
      <c r="E21294" t="s">
        <v>714</v>
      </c>
      <c r="F21294" s="2" t="str">
        <f>HYPERLINK("http://www.otzar.org/book.asp?165018","מאמר מנוחה שלמה - קונטרס דברים שבכתב")</f>
        <v>מאמר מנוחה שלמה - קונטרס דברים שבכתב</v>
      </c>
    </row>
    <row r="21295" spans="1:6" x14ac:dyDescent="0.2">
      <c r="A21295" t="s">
        <v>34482</v>
      </c>
      <c r="B21295" t="s">
        <v>34483</v>
      </c>
      <c r="C21295" t="s">
        <v>366</v>
      </c>
      <c r="E21295" t="s">
        <v>144</v>
      </c>
      <c r="F21295" s="2" t="str">
        <f>HYPERLINK("http://www.otzar.org/book.asp?624938","מאמר מנחם")</f>
        <v>מאמר מנחם</v>
      </c>
    </row>
    <row r="21296" spans="1:6" x14ac:dyDescent="0.2">
      <c r="A21296" t="s">
        <v>34484</v>
      </c>
      <c r="B21296" t="s">
        <v>17331</v>
      </c>
      <c r="C21296" t="s">
        <v>466</v>
      </c>
      <c r="D21296" t="s">
        <v>52</v>
      </c>
      <c r="E21296" t="s">
        <v>674</v>
      </c>
      <c r="F21296" s="2" t="str">
        <f>HYPERLINK("http://www.otzar.org/book.asp?107450","מאמר מסלול ודרך")</f>
        <v>מאמר מסלול ודרך</v>
      </c>
    </row>
    <row r="21297" spans="1:6" x14ac:dyDescent="0.2">
      <c r="A21297" t="s">
        <v>34485</v>
      </c>
      <c r="B21297" t="s">
        <v>6040</v>
      </c>
      <c r="C21297" t="s">
        <v>492</v>
      </c>
      <c r="D21297" t="s">
        <v>379</v>
      </c>
      <c r="E21297" t="s">
        <v>399</v>
      </c>
      <c r="F21297" s="2" t="str">
        <f>HYPERLINK("http://www.otzar.org/book.asp?23790","מאמר מעין גנים")</f>
        <v>מאמר מעין גנים</v>
      </c>
    </row>
    <row r="21298" spans="1:6" x14ac:dyDescent="0.2">
      <c r="A21298" t="s">
        <v>34486</v>
      </c>
      <c r="B21298" t="s">
        <v>34487</v>
      </c>
      <c r="C21298" t="s">
        <v>133</v>
      </c>
      <c r="D21298" t="s">
        <v>90</v>
      </c>
      <c r="F21298" s="2" t="str">
        <f>HYPERLINK("http://www.otzar.org/book.asp?616625","מאמר מר ינוקא ומר קשישא")</f>
        <v>מאמר מר ינוקא ומר קשישא</v>
      </c>
    </row>
    <row r="21299" spans="1:6" x14ac:dyDescent="0.2">
      <c r="A21299" t="s">
        <v>34488</v>
      </c>
      <c r="B21299" t="s">
        <v>34379</v>
      </c>
      <c r="C21299" t="s">
        <v>1150</v>
      </c>
      <c r="D21299" t="s">
        <v>1279</v>
      </c>
      <c r="E21299" t="s">
        <v>154</v>
      </c>
      <c r="F21299" s="2" t="str">
        <f>HYPERLINK("http://www.otzar.org/book.asp?101583","מאמר מרדכי")</f>
        <v>מאמר מרדכי</v>
      </c>
    </row>
    <row r="21300" spans="1:6" x14ac:dyDescent="0.2">
      <c r="A21300" t="s">
        <v>34489</v>
      </c>
      <c r="B21300" t="s">
        <v>14827</v>
      </c>
      <c r="C21300" t="s">
        <v>68</v>
      </c>
      <c r="D21300" t="s">
        <v>14</v>
      </c>
      <c r="E21300" t="s">
        <v>154</v>
      </c>
      <c r="F21300" s="2" t="str">
        <f>HYPERLINK("http://www.otzar.org/book.asp?168489","מאמר מרדכי - 10 כר'")</f>
        <v>מאמר מרדכי - 10 כר'</v>
      </c>
    </row>
    <row r="21301" spans="1:6" x14ac:dyDescent="0.2">
      <c r="A21301" t="s">
        <v>34488</v>
      </c>
      <c r="B21301" t="s">
        <v>34490</v>
      </c>
      <c r="C21301" t="s">
        <v>1228</v>
      </c>
      <c r="D21301" t="s">
        <v>56</v>
      </c>
      <c r="E21301" t="s">
        <v>263</v>
      </c>
      <c r="F21301" s="2" t="str">
        <f>HYPERLINK("http://www.otzar.org/book.asp?104900","מאמר מרדכי")</f>
        <v>מאמר מרדכי</v>
      </c>
    </row>
    <row r="21302" spans="1:6" x14ac:dyDescent="0.2">
      <c r="A21302" t="s">
        <v>34488</v>
      </c>
      <c r="B21302" t="s">
        <v>30159</v>
      </c>
      <c r="C21302" t="s">
        <v>23694</v>
      </c>
      <c r="D21302" t="s">
        <v>27</v>
      </c>
      <c r="E21302" t="s">
        <v>3567</v>
      </c>
      <c r="F21302" s="2" t="str">
        <f>HYPERLINK("http://www.otzar.org/book.asp?152895","מאמר מרדכי")</f>
        <v>מאמר מרדכי</v>
      </c>
    </row>
    <row r="21303" spans="1:6" x14ac:dyDescent="0.2">
      <c r="A21303" t="s">
        <v>34488</v>
      </c>
      <c r="B21303" t="s">
        <v>34491</v>
      </c>
      <c r="C21303" t="s">
        <v>2040</v>
      </c>
      <c r="D21303" t="s">
        <v>2714</v>
      </c>
      <c r="E21303" t="s">
        <v>154</v>
      </c>
      <c r="F21303" s="2" t="str">
        <f>HYPERLINK("http://www.otzar.org/book.asp?19440","מאמר מרדכי")</f>
        <v>מאמר מרדכי</v>
      </c>
    </row>
    <row r="21304" spans="1:6" x14ac:dyDescent="0.2">
      <c r="A21304" t="s">
        <v>34488</v>
      </c>
      <c r="B21304" t="s">
        <v>34492</v>
      </c>
      <c r="C21304" t="s">
        <v>96</v>
      </c>
      <c r="D21304" t="s">
        <v>4703</v>
      </c>
      <c r="E21304" t="s">
        <v>158</v>
      </c>
      <c r="F21304" s="2" t="str">
        <f>HYPERLINK("http://www.otzar.org/book.asp?24751","מאמר מרדכי")</f>
        <v>מאמר מרדכי</v>
      </c>
    </row>
    <row r="21305" spans="1:6" x14ac:dyDescent="0.2">
      <c r="A21305" t="s">
        <v>34488</v>
      </c>
      <c r="B21305" t="s">
        <v>34493</v>
      </c>
      <c r="C21305" t="s">
        <v>619</v>
      </c>
      <c r="D21305" t="s">
        <v>691</v>
      </c>
      <c r="E21305" t="s">
        <v>140</v>
      </c>
      <c r="F21305" s="2" t="str">
        <f>HYPERLINK("http://www.otzar.org/book.asp?19015","מאמר מרדכי")</f>
        <v>מאמר מרדכי</v>
      </c>
    </row>
    <row r="21306" spans="1:6" x14ac:dyDescent="0.2">
      <c r="A21306" t="s">
        <v>34488</v>
      </c>
      <c r="B21306" t="s">
        <v>34494</v>
      </c>
      <c r="C21306" t="s">
        <v>4144</v>
      </c>
      <c r="D21306" t="s">
        <v>34495</v>
      </c>
      <c r="E21306" t="s">
        <v>158</v>
      </c>
      <c r="F21306" s="2" t="str">
        <f>HYPERLINK("http://www.otzar.org/book.asp?618682","מאמר מרדכי")</f>
        <v>מאמר מרדכי</v>
      </c>
    </row>
    <row r="21307" spans="1:6" x14ac:dyDescent="0.2">
      <c r="A21307" t="s">
        <v>34488</v>
      </c>
      <c r="B21307" t="s">
        <v>34496</v>
      </c>
      <c r="C21307" t="s">
        <v>87</v>
      </c>
      <c r="D21307" t="s">
        <v>14</v>
      </c>
      <c r="E21307" t="s">
        <v>474</v>
      </c>
      <c r="F21307" s="2" t="str">
        <f>HYPERLINK("http://www.otzar.org/book.asp?159188","מאמר מרדכי")</f>
        <v>מאמר מרדכי</v>
      </c>
    </row>
    <row r="21308" spans="1:6" x14ac:dyDescent="0.2">
      <c r="A21308" t="s">
        <v>34497</v>
      </c>
      <c r="B21308" t="s">
        <v>14839</v>
      </c>
      <c r="C21308" t="s">
        <v>34498</v>
      </c>
      <c r="D21308" t="s">
        <v>212</v>
      </c>
      <c r="F21308" s="2" t="str">
        <f>HYPERLINK("http://www.otzar.org/book.asp?170778","מאמר מרדכי - 3 כר'")</f>
        <v>מאמר מרדכי - 3 כר'</v>
      </c>
    </row>
    <row r="21309" spans="1:6" x14ac:dyDescent="0.2">
      <c r="A21309" t="s">
        <v>34488</v>
      </c>
      <c r="B21309" t="s">
        <v>34499</v>
      </c>
      <c r="C21309" t="s">
        <v>635</v>
      </c>
      <c r="D21309" t="s">
        <v>267</v>
      </c>
      <c r="E21309" t="s">
        <v>559</v>
      </c>
      <c r="F21309" s="2" t="str">
        <f>HYPERLINK("http://www.otzar.org/book.asp?102291","מאמר מרדכי")</f>
        <v>מאמר מרדכי</v>
      </c>
    </row>
    <row r="21310" spans="1:6" x14ac:dyDescent="0.2">
      <c r="A21310" t="s">
        <v>34500</v>
      </c>
      <c r="B21310" t="s">
        <v>34501</v>
      </c>
      <c r="C21310" t="s">
        <v>180</v>
      </c>
      <c r="D21310" t="s">
        <v>412</v>
      </c>
      <c r="E21310" t="s">
        <v>12174</v>
      </c>
      <c r="F21310" s="2" t="str">
        <f>HYPERLINK("http://www.otzar.org/book.asp?174292","מאמר מרדכי - 2 כר'")</f>
        <v>מאמר מרדכי - 2 כר'</v>
      </c>
    </row>
    <row r="21311" spans="1:6" x14ac:dyDescent="0.2">
      <c r="A21311" t="s">
        <v>34500</v>
      </c>
      <c r="B21311" t="s">
        <v>34502</v>
      </c>
      <c r="C21311" t="s">
        <v>17</v>
      </c>
      <c r="D21311" t="s">
        <v>870</v>
      </c>
      <c r="E21311" t="s">
        <v>144</v>
      </c>
      <c r="F21311" s="2" t="str">
        <f>HYPERLINK("http://www.otzar.org/book.asp?162104","מאמר מרדכי - 2 כר'")</f>
        <v>מאמר מרדכי - 2 כר'</v>
      </c>
    </row>
    <row r="21312" spans="1:6" x14ac:dyDescent="0.2">
      <c r="A21312" t="s">
        <v>34488</v>
      </c>
      <c r="B21312" t="s">
        <v>34503</v>
      </c>
      <c r="C21312" t="s">
        <v>698</v>
      </c>
      <c r="D21312" t="s">
        <v>9</v>
      </c>
      <c r="E21312" t="s">
        <v>144</v>
      </c>
      <c r="F21312" s="2" t="str">
        <f>HYPERLINK("http://www.otzar.org/book.asp?51558","מאמר מרדכי")</f>
        <v>מאמר מרדכי</v>
      </c>
    </row>
    <row r="21313" spans="1:6" x14ac:dyDescent="0.2">
      <c r="A21313" t="s">
        <v>34488</v>
      </c>
      <c r="B21313" t="s">
        <v>34504</v>
      </c>
      <c r="C21313" t="s">
        <v>2543</v>
      </c>
      <c r="D21313" t="s">
        <v>225</v>
      </c>
      <c r="E21313" t="s">
        <v>104</v>
      </c>
      <c r="F21313" s="2" t="str">
        <f>HYPERLINK("http://www.otzar.org/book.asp?141083","מאמר מרדכי")</f>
        <v>מאמר מרדכי</v>
      </c>
    </row>
    <row r="21314" spans="1:6" x14ac:dyDescent="0.2">
      <c r="A21314" t="s">
        <v>34488</v>
      </c>
      <c r="B21314" t="s">
        <v>34505</v>
      </c>
      <c r="C21314" t="s">
        <v>854</v>
      </c>
      <c r="D21314" t="s">
        <v>283</v>
      </c>
      <c r="E21314" t="s">
        <v>158</v>
      </c>
      <c r="F21314" s="2" t="str">
        <f>HYPERLINK("http://www.otzar.org/book.asp?182408","מאמר מרדכי")</f>
        <v>מאמר מרדכי</v>
      </c>
    </row>
    <row r="21315" spans="1:6" x14ac:dyDescent="0.2">
      <c r="A21315" t="s">
        <v>34500</v>
      </c>
      <c r="B21315" t="s">
        <v>31885</v>
      </c>
      <c r="C21315" t="s">
        <v>20922</v>
      </c>
      <c r="D21315" t="s">
        <v>1490</v>
      </c>
      <c r="F21315" s="2" t="str">
        <f>HYPERLINK("http://www.otzar.org/book.asp?619202","מאמר מרדכי - 2 כר'")</f>
        <v>מאמר מרדכי - 2 כר'</v>
      </c>
    </row>
    <row r="21316" spans="1:6" x14ac:dyDescent="0.2">
      <c r="A21316" t="s">
        <v>34488</v>
      </c>
      <c r="B21316" t="s">
        <v>34506</v>
      </c>
      <c r="C21316" t="s">
        <v>29573</v>
      </c>
      <c r="D21316" t="s">
        <v>1419</v>
      </c>
      <c r="E21316" t="s">
        <v>144</v>
      </c>
      <c r="F21316" s="2" t="str">
        <f>HYPERLINK("http://www.otzar.org/book.asp?19012","מאמר מרדכי")</f>
        <v>מאמר מרדכי</v>
      </c>
    </row>
    <row r="21317" spans="1:6" x14ac:dyDescent="0.2">
      <c r="A21317" t="s">
        <v>34488</v>
      </c>
      <c r="B21317" t="s">
        <v>34507</v>
      </c>
      <c r="C21317" t="s">
        <v>250</v>
      </c>
      <c r="D21317" t="s">
        <v>2041</v>
      </c>
      <c r="E21317" t="s">
        <v>158</v>
      </c>
      <c r="F21317" s="2" t="str">
        <f>HYPERLINK("http://www.otzar.org/book.asp?104425","מאמר מרדכי")</f>
        <v>מאמר מרדכי</v>
      </c>
    </row>
    <row r="21318" spans="1:6" x14ac:dyDescent="0.2">
      <c r="A21318" t="s">
        <v>34500</v>
      </c>
      <c r="B21318" t="s">
        <v>34508</v>
      </c>
      <c r="C21318" t="s">
        <v>1135</v>
      </c>
      <c r="D21318" t="s">
        <v>4703</v>
      </c>
      <c r="E21318" t="s">
        <v>246</v>
      </c>
      <c r="F21318" s="2" t="str">
        <f>HYPERLINK("http://www.otzar.org/book.asp?51543","מאמר מרדכי - 2 כר'")</f>
        <v>מאמר מרדכי - 2 כר'</v>
      </c>
    </row>
    <row r="21319" spans="1:6" x14ac:dyDescent="0.2">
      <c r="A21319" t="s">
        <v>34488</v>
      </c>
      <c r="B21319" t="s">
        <v>34509</v>
      </c>
      <c r="C21319" t="s">
        <v>603</v>
      </c>
      <c r="D21319" t="s">
        <v>76</v>
      </c>
      <c r="E21319" t="s">
        <v>34510</v>
      </c>
      <c r="F21319" s="2" t="str">
        <f>HYPERLINK("http://www.otzar.org/book.asp?101214","מאמר מרדכי")</f>
        <v>מאמר מרדכי</v>
      </c>
    </row>
    <row r="21320" spans="1:6" x14ac:dyDescent="0.2">
      <c r="A21320" t="s">
        <v>34511</v>
      </c>
      <c r="B21320" t="s">
        <v>14825</v>
      </c>
      <c r="C21320" t="s">
        <v>79</v>
      </c>
      <c r="D21320" t="s">
        <v>1889</v>
      </c>
      <c r="E21320" t="s">
        <v>1211</v>
      </c>
      <c r="F21320" s="2" t="str">
        <f>HYPERLINK("http://www.otzar.org/book.asp?162207","מאמר מרדכי - א")</f>
        <v>מאמר מרדכי - א</v>
      </c>
    </row>
    <row r="21321" spans="1:6" x14ac:dyDescent="0.2">
      <c r="A21321" t="s">
        <v>34488</v>
      </c>
      <c r="B21321" t="s">
        <v>34512</v>
      </c>
      <c r="C21321" t="s">
        <v>1437</v>
      </c>
      <c r="D21321" t="s">
        <v>283</v>
      </c>
      <c r="E21321" t="s">
        <v>508</v>
      </c>
      <c r="F21321" s="2" t="str">
        <f>HYPERLINK("http://www.otzar.org/book.asp?105036","מאמר מרדכי")</f>
        <v>מאמר מרדכי</v>
      </c>
    </row>
    <row r="21322" spans="1:6" x14ac:dyDescent="0.2">
      <c r="A21322" t="s">
        <v>34488</v>
      </c>
      <c r="B21322" t="s">
        <v>34513</v>
      </c>
      <c r="C21322" t="s">
        <v>812</v>
      </c>
      <c r="D21322" t="s">
        <v>1100</v>
      </c>
      <c r="E21322" t="s">
        <v>920</v>
      </c>
      <c r="F21322" s="2" t="str">
        <f>HYPERLINK("http://www.otzar.org/book.asp?7039","מאמר מרדכי")</f>
        <v>מאמר מרדכי</v>
      </c>
    </row>
    <row r="21323" spans="1:6" x14ac:dyDescent="0.2">
      <c r="A21323" t="s">
        <v>34488</v>
      </c>
      <c r="B21323" t="s">
        <v>34514</v>
      </c>
      <c r="C21323" t="s">
        <v>6062</v>
      </c>
      <c r="D21323" t="s">
        <v>212</v>
      </c>
      <c r="E21323" t="s">
        <v>463</v>
      </c>
      <c r="F21323" s="2" t="str">
        <f>HYPERLINK("http://www.otzar.org/book.asp?151658","מאמר מרדכי")</f>
        <v>מאמר מרדכי</v>
      </c>
    </row>
    <row r="21324" spans="1:6" x14ac:dyDescent="0.2">
      <c r="A21324" t="s">
        <v>34488</v>
      </c>
      <c r="B21324" t="s">
        <v>34515</v>
      </c>
      <c r="C21324" t="s">
        <v>581</v>
      </c>
      <c r="D21324" t="s">
        <v>225</v>
      </c>
      <c r="E21324" t="s">
        <v>144</v>
      </c>
      <c r="F21324" s="2" t="str">
        <f>HYPERLINK("http://www.otzar.org/book.asp?19017","מאמר מרדכי")</f>
        <v>מאמר מרדכי</v>
      </c>
    </row>
    <row r="21325" spans="1:6" x14ac:dyDescent="0.2">
      <c r="A21325" t="s">
        <v>34500</v>
      </c>
      <c r="B21325" t="s">
        <v>34516</v>
      </c>
      <c r="C21325" t="s">
        <v>1166</v>
      </c>
      <c r="D21325" t="s">
        <v>1419</v>
      </c>
      <c r="E21325" t="s">
        <v>10316</v>
      </c>
      <c r="F21325" s="2" t="str">
        <f>HYPERLINK("http://www.otzar.org/book.asp?28397","מאמר מרדכי - 2 כר'")</f>
        <v>מאמר מרדכי - 2 כר'</v>
      </c>
    </row>
    <row r="21326" spans="1:6" x14ac:dyDescent="0.2">
      <c r="A21326" t="s">
        <v>34488</v>
      </c>
      <c r="B21326" t="s">
        <v>34517</v>
      </c>
      <c r="C21326" t="s">
        <v>286</v>
      </c>
      <c r="D21326" t="s">
        <v>691</v>
      </c>
      <c r="E21326" t="s">
        <v>34518</v>
      </c>
      <c r="F21326" s="2" t="str">
        <f>HYPERLINK("http://www.otzar.org/book.asp?8348","מאמר מרדכי")</f>
        <v>מאמר מרדכי</v>
      </c>
    </row>
    <row r="21327" spans="1:6" x14ac:dyDescent="0.2">
      <c r="A21327" t="s">
        <v>34500</v>
      </c>
      <c r="B21327" t="s">
        <v>34519</v>
      </c>
      <c r="C21327" t="s">
        <v>13</v>
      </c>
      <c r="D21327" t="s">
        <v>118</v>
      </c>
      <c r="F21327" s="2" t="str">
        <f>HYPERLINK("http://www.otzar.org/book.asp?157107","מאמר מרדכי - 2 כר'")</f>
        <v>מאמר מרדכי - 2 כר'</v>
      </c>
    </row>
    <row r="21328" spans="1:6" x14ac:dyDescent="0.2">
      <c r="A21328" t="s">
        <v>34520</v>
      </c>
      <c r="B21328" t="s">
        <v>34521</v>
      </c>
      <c r="C21328" t="s">
        <v>13</v>
      </c>
      <c r="D21328" t="s">
        <v>118</v>
      </c>
      <c r="E21328" t="s">
        <v>803</v>
      </c>
      <c r="F21328" s="2" t="str">
        <f>HYPERLINK("http://www.otzar.org/book.asp?156740","מאמר מרדכי - ב")</f>
        <v>מאמר מרדכי - ב</v>
      </c>
    </row>
    <row r="21329" spans="1:6" x14ac:dyDescent="0.2">
      <c r="A21329" t="s">
        <v>34488</v>
      </c>
      <c r="B21329" t="s">
        <v>14850</v>
      </c>
      <c r="C21329" t="s">
        <v>1737</v>
      </c>
      <c r="D21329" t="s">
        <v>76</v>
      </c>
      <c r="E21329" t="s">
        <v>144</v>
      </c>
      <c r="F21329" s="2" t="str">
        <f>HYPERLINK("http://www.otzar.org/book.asp?101211","מאמר מרדכי")</f>
        <v>מאמר מרדכי</v>
      </c>
    </row>
    <row r="21330" spans="1:6" x14ac:dyDescent="0.2">
      <c r="A21330" t="s">
        <v>34522</v>
      </c>
      <c r="B21330" t="s">
        <v>34523</v>
      </c>
      <c r="C21330" t="s">
        <v>68</v>
      </c>
      <c r="D21330" t="s">
        <v>14</v>
      </c>
      <c r="E21330" t="s">
        <v>144</v>
      </c>
      <c r="F21330" s="2" t="str">
        <f>HYPERLINK("http://www.otzar.org/book.asp?152576","מאמר מרדכי - ברכות, סדר מועד")</f>
        <v>מאמר מרדכי - ברכות, סדר מועד</v>
      </c>
    </row>
    <row r="21331" spans="1:6" x14ac:dyDescent="0.2">
      <c r="A21331" t="s">
        <v>34497</v>
      </c>
      <c r="B21331" t="s">
        <v>34524</v>
      </c>
      <c r="C21331" t="s">
        <v>17</v>
      </c>
      <c r="D21331" t="s">
        <v>412</v>
      </c>
      <c r="E21331" t="s">
        <v>104</v>
      </c>
      <c r="F21331" s="2" t="str">
        <f>HYPERLINK("http://www.otzar.org/book.asp?157978","מאמר מרדכי - 3 כר'")</f>
        <v>מאמר מרדכי - 3 כר'</v>
      </c>
    </row>
    <row r="21332" spans="1:6" x14ac:dyDescent="0.2">
      <c r="A21332" t="s">
        <v>34525</v>
      </c>
      <c r="B21332" t="s">
        <v>34526</v>
      </c>
      <c r="C21332" t="s">
        <v>13</v>
      </c>
      <c r="D21332" t="s">
        <v>412</v>
      </c>
      <c r="E21332" t="s">
        <v>241</v>
      </c>
      <c r="F21332" s="2" t="str">
        <f>HYPERLINK("http://www.otzar.org/book.asp?176102","מאמר משמרת הקודש")</f>
        <v>מאמר משמרת הקודש</v>
      </c>
    </row>
    <row r="21333" spans="1:6" x14ac:dyDescent="0.2">
      <c r="A21333" t="s">
        <v>34527</v>
      </c>
      <c r="B21333" t="s">
        <v>34528</v>
      </c>
      <c r="C21333" t="s">
        <v>68</v>
      </c>
      <c r="D21333" t="s">
        <v>90</v>
      </c>
      <c r="F21333" s="2" t="str">
        <f>HYPERLINK("http://www.otzar.org/book.asp?156465","מאמר סגולת מלך")</f>
        <v>מאמר סגולת מלך</v>
      </c>
    </row>
    <row r="21334" spans="1:6" x14ac:dyDescent="0.2">
      <c r="A21334" t="s">
        <v>34529</v>
      </c>
      <c r="B21334" t="s">
        <v>1393</v>
      </c>
      <c r="C21334" t="s">
        <v>17</v>
      </c>
      <c r="D21334" t="s">
        <v>367</v>
      </c>
      <c r="E21334" t="s">
        <v>241</v>
      </c>
      <c r="F21334" s="2" t="str">
        <f>HYPERLINK("http://www.otzar.org/book.asp?159707","מאמר עבודה שבלב")</f>
        <v>מאמר עבודה שבלב</v>
      </c>
    </row>
    <row r="21335" spans="1:6" x14ac:dyDescent="0.2">
      <c r="A21335" t="s">
        <v>34530</v>
      </c>
      <c r="B21335" t="s">
        <v>2697</v>
      </c>
      <c r="C21335" t="s">
        <v>1954</v>
      </c>
      <c r="D21335" t="s">
        <v>14</v>
      </c>
      <c r="E21335" t="s">
        <v>241</v>
      </c>
      <c r="F21335" s="2" t="str">
        <f>HYPERLINK("http://www.otzar.org/book.asp?61485","מאמר עיקבתא דמשיחא ומאמר על האמונה")</f>
        <v>מאמר עיקבתא דמשיחא ומאמר על האמונה</v>
      </c>
    </row>
    <row r="21336" spans="1:6" x14ac:dyDescent="0.2">
      <c r="A21336" t="s">
        <v>34531</v>
      </c>
      <c r="B21336" t="s">
        <v>16193</v>
      </c>
      <c r="C21336" t="s">
        <v>1062</v>
      </c>
      <c r="D21336" t="s">
        <v>27</v>
      </c>
      <c r="E21336" t="s">
        <v>3387</v>
      </c>
      <c r="F21336" s="2" t="str">
        <f>HYPERLINK("http://www.otzar.org/book.asp?103487","מאמר על הדפסת התלמוד")</f>
        <v>מאמר על הדפסת התלמוד</v>
      </c>
    </row>
    <row r="21337" spans="1:6" x14ac:dyDescent="0.2">
      <c r="A21337" t="s">
        <v>34532</v>
      </c>
      <c r="B21337" t="s">
        <v>1390</v>
      </c>
      <c r="C21337" t="s">
        <v>433</v>
      </c>
      <c r="D21337" t="s">
        <v>27</v>
      </c>
      <c r="E21337" t="s">
        <v>144</v>
      </c>
      <c r="F21337" s="2" t="str">
        <f>HYPERLINK("http://www.otzar.org/book.asp?13570","מאמר על ההגדות")</f>
        <v>מאמר על ההגדות</v>
      </c>
    </row>
    <row r="21338" spans="1:6" x14ac:dyDescent="0.2">
      <c r="A21338" t="s">
        <v>34533</v>
      </c>
      <c r="B21338" t="s">
        <v>1381</v>
      </c>
      <c r="C21338" t="s">
        <v>466</v>
      </c>
      <c r="D21338" t="s">
        <v>14</v>
      </c>
      <c r="E21338" t="s">
        <v>241</v>
      </c>
      <c r="F21338" s="2" t="str">
        <f>HYPERLINK("http://www.otzar.org/book.asp?108250","מאמר על התשובה")</f>
        <v>מאמר על התשובה</v>
      </c>
    </row>
    <row r="21339" spans="1:6" x14ac:dyDescent="0.2">
      <c r="A21339" t="s">
        <v>34534</v>
      </c>
      <c r="B21339" t="s">
        <v>34535</v>
      </c>
      <c r="C21339" t="s">
        <v>13</v>
      </c>
      <c r="D21339" t="s">
        <v>412</v>
      </c>
      <c r="E21339" t="s">
        <v>15</v>
      </c>
      <c r="F21339" s="2" t="str">
        <f>HYPERLINK("http://www.otzar.org/book.asp?193460","מאמר על ישמעאל")</f>
        <v>מאמר על ישמעאל</v>
      </c>
    </row>
    <row r="21340" spans="1:6" x14ac:dyDescent="0.2">
      <c r="A21340" t="s">
        <v>34536</v>
      </c>
      <c r="B21340" t="s">
        <v>2900</v>
      </c>
      <c r="C21340" t="s">
        <v>1374</v>
      </c>
      <c r="D21340" t="s">
        <v>21</v>
      </c>
      <c r="E21340" t="s">
        <v>104</v>
      </c>
      <c r="F21340" s="2" t="str">
        <f>HYPERLINK("http://www.otzar.org/book.asp?197610","מאמר על כתבי היד חמאת החמדה וחמדת התעודה")</f>
        <v>מאמר על כתבי היד חמאת החמדה וחמדת התעודה</v>
      </c>
    </row>
    <row r="21341" spans="1:6" x14ac:dyDescent="0.2">
      <c r="A21341" t="s">
        <v>34537</v>
      </c>
      <c r="B21341" t="s">
        <v>5218</v>
      </c>
      <c r="C21341" t="s">
        <v>1388</v>
      </c>
      <c r="D21341" t="s">
        <v>14</v>
      </c>
      <c r="E21341" t="s">
        <v>158</v>
      </c>
      <c r="F21341" s="2" t="str">
        <f>HYPERLINK("http://www.otzar.org/book.asp?53663","מאמר פליאה עם פירוש דברי חכמים")</f>
        <v>מאמר פליאה עם פירוש דברי חכמים</v>
      </c>
    </row>
    <row r="21342" spans="1:6" x14ac:dyDescent="0.2">
      <c r="A21342" t="s">
        <v>34538</v>
      </c>
      <c r="B21342" t="s">
        <v>1393</v>
      </c>
      <c r="C21342" t="s">
        <v>51</v>
      </c>
      <c r="D21342" t="s">
        <v>367</v>
      </c>
      <c r="E21342" t="s">
        <v>241</v>
      </c>
      <c r="F21342" s="2" t="str">
        <f>HYPERLINK("http://www.otzar.org/book.asp?159768","מאמר פתחו שערים ומאמר נתיב עבודת התפלה")</f>
        <v>מאמר פתחו שערים ומאמר נתיב עבודת התפלה</v>
      </c>
    </row>
    <row r="21343" spans="1:6" x14ac:dyDescent="0.2">
      <c r="A21343" t="s">
        <v>34539</v>
      </c>
      <c r="B21343" t="s">
        <v>6040</v>
      </c>
      <c r="C21343" t="s">
        <v>31586</v>
      </c>
      <c r="D21343" t="s">
        <v>34540</v>
      </c>
      <c r="E21343" t="s">
        <v>314</v>
      </c>
      <c r="F21343" s="2" t="str">
        <f>HYPERLINK("http://www.otzar.org/book.asp?63880","מאמר צבאות ה'")</f>
        <v>מאמר צבאות ה'</v>
      </c>
    </row>
    <row r="21344" spans="1:6" x14ac:dyDescent="0.2">
      <c r="A21344" t="s">
        <v>34541</v>
      </c>
      <c r="B21344" t="s">
        <v>8609</v>
      </c>
      <c r="C21344" t="s">
        <v>366</v>
      </c>
      <c r="D21344" t="s">
        <v>14</v>
      </c>
      <c r="E21344" t="s">
        <v>104</v>
      </c>
      <c r="F21344" s="2" t="str">
        <f>HYPERLINK("http://www.otzar.org/book.asp?631237","מאמר ציון - 6 כר'")</f>
        <v>מאמר ציון - 6 כר'</v>
      </c>
    </row>
    <row r="21345" spans="1:6" x14ac:dyDescent="0.2">
      <c r="A21345" t="s">
        <v>34542</v>
      </c>
      <c r="B21345" t="s">
        <v>34543</v>
      </c>
      <c r="C21345" t="s">
        <v>351</v>
      </c>
      <c r="D21345" t="s">
        <v>379</v>
      </c>
      <c r="E21345" t="s">
        <v>8785</v>
      </c>
      <c r="F21345" s="2" t="str">
        <f>HYPERLINK("http://www.otzar.org/book.asp?51542","מאמר קדישין")</f>
        <v>מאמר קדישין</v>
      </c>
    </row>
    <row r="21346" spans="1:6" x14ac:dyDescent="0.2">
      <c r="A21346" t="s">
        <v>34542</v>
      </c>
      <c r="B21346" t="s">
        <v>34544</v>
      </c>
      <c r="C21346" t="s">
        <v>1135</v>
      </c>
      <c r="D21346" t="s">
        <v>744</v>
      </c>
      <c r="E21346" t="s">
        <v>148</v>
      </c>
      <c r="F21346" s="2" t="str">
        <f>HYPERLINK("http://www.otzar.org/book.asp?101213","מאמר קדישין")</f>
        <v>מאמר קדישין</v>
      </c>
    </row>
    <row r="21347" spans="1:6" x14ac:dyDescent="0.2">
      <c r="A21347" t="s">
        <v>34542</v>
      </c>
      <c r="B21347" t="s">
        <v>24171</v>
      </c>
      <c r="C21347" t="s">
        <v>492</v>
      </c>
      <c r="D21347" t="s">
        <v>27</v>
      </c>
      <c r="E21347" t="s">
        <v>140</v>
      </c>
      <c r="F21347" s="2" t="str">
        <f>HYPERLINK("http://www.otzar.org/book.asp?23753","מאמר קדישין")</f>
        <v>מאמר קדישין</v>
      </c>
    </row>
    <row r="21348" spans="1:6" x14ac:dyDescent="0.2">
      <c r="A21348" t="s">
        <v>34545</v>
      </c>
      <c r="B21348" t="s">
        <v>34546</v>
      </c>
      <c r="C21348" t="s">
        <v>506</v>
      </c>
      <c r="D21348" t="s">
        <v>34547</v>
      </c>
      <c r="E21348" t="s">
        <v>393</v>
      </c>
      <c r="F21348" s="2" t="str">
        <f>HYPERLINK("http://www.otzar.org/book.asp?191293","מאמר קנין החיים")</f>
        <v>מאמר קנין החיים</v>
      </c>
    </row>
    <row r="21349" spans="1:6" x14ac:dyDescent="0.2">
      <c r="A21349" t="s">
        <v>34548</v>
      </c>
      <c r="B21349" t="s">
        <v>6987</v>
      </c>
      <c r="C21349" t="s">
        <v>20</v>
      </c>
      <c r="D21349" t="s">
        <v>90</v>
      </c>
      <c r="E21349" t="s">
        <v>104</v>
      </c>
      <c r="F21349" s="2" t="str">
        <f>HYPERLINK("http://www.otzar.org/book.asp?156750","מאמר קרסי זהב")</f>
        <v>מאמר קרסי זהב</v>
      </c>
    </row>
    <row r="21350" spans="1:6" x14ac:dyDescent="0.2">
      <c r="A21350" t="s">
        <v>34549</v>
      </c>
      <c r="B21350" t="s">
        <v>4606</v>
      </c>
      <c r="C21350" t="s">
        <v>366</v>
      </c>
      <c r="D21350" t="s">
        <v>14</v>
      </c>
      <c r="F21350" s="2" t="str">
        <f>HYPERLINK("http://www.otzar.org/book.asp?616157","מאמר שבועי בדרכי עבודת ה' וענייני הזמן - תשע""ז")</f>
        <v>מאמר שבועי בדרכי עבודת ה' וענייני הזמן - תשע"ז</v>
      </c>
    </row>
    <row r="21351" spans="1:6" x14ac:dyDescent="0.2">
      <c r="A21351" t="s">
        <v>34550</v>
      </c>
      <c r="B21351" t="s">
        <v>34551</v>
      </c>
      <c r="C21351" t="s">
        <v>1246</v>
      </c>
      <c r="D21351" t="s">
        <v>260</v>
      </c>
      <c r="E21351" t="s">
        <v>119</v>
      </c>
      <c r="F21351" s="2" t="str">
        <f>HYPERLINK("http://www.otzar.org/book.asp?168148","מאמר שבע קהילות")</f>
        <v>מאמר שבע קהילות</v>
      </c>
    </row>
    <row r="21352" spans="1:6" x14ac:dyDescent="0.2">
      <c r="A21352" t="s">
        <v>34552</v>
      </c>
      <c r="B21352" t="s">
        <v>6040</v>
      </c>
      <c r="C21352" t="s">
        <v>553</v>
      </c>
      <c r="D21352" t="s">
        <v>14</v>
      </c>
      <c r="E21352" t="s">
        <v>1438</v>
      </c>
      <c r="F21352" s="2" t="str">
        <f>HYPERLINK("http://www.otzar.org/book.asp?13102","מאמר שברי לוחות - 2 כר'")</f>
        <v>מאמר שברי לוחות - 2 כר'</v>
      </c>
    </row>
    <row r="21353" spans="1:6" x14ac:dyDescent="0.2">
      <c r="A21353" t="s">
        <v>34553</v>
      </c>
      <c r="B21353" t="s">
        <v>6040</v>
      </c>
      <c r="C21353" t="s">
        <v>2617</v>
      </c>
      <c r="D21353" t="s">
        <v>1279</v>
      </c>
      <c r="E21353" t="s">
        <v>399</v>
      </c>
      <c r="F21353" s="2" t="str">
        <f>HYPERLINK("http://www.otzar.org/book.asp?102293","מאמר שבתות ד'")</f>
        <v>מאמר שבתות ד'</v>
      </c>
    </row>
    <row r="21354" spans="1:6" x14ac:dyDescent="0.2">
      <c r="A21354" t="s">
        <v>34554</v>
      </c>
      <c r="B21354" t="s">
        <v>34555</v>
      </c>
      <c r="C21354" t="s">
        <v>68</v>
      </c>
      <c r="D21354" t="s">
        <v>52</v>
      </c>
      <c r="E21354" t="s">
        <v>158</v>
      </c>
      <c r="F21354" s="2" t="str">
        <f>HYPERLINK("http://www.otzar.org/book.asp?606431","מאמר שמואל - 2 כר'")</f>
        <v>מאמר שמואל - 2 כר'</v>
      </c>
    </row>
    <row r="21355" spans="1:6" x14ac:dyDescent="0.2">
      <c r="A21355" t="s">
        <v>34556</v>
      </c>
      <c r="B21355" t="s">
        <v>34557</v>
      </c>
      <c r="C21355" t="s">
        <v>1663</v>
      </c>
      <c r="D21355" t="s">
        <v>27</v>
      </c>
      <c r="E21355" t="s">
        <v>213</v>
      </c>
      <c r="F21355" s="2" t="str">
        <f>HYPERLINK("http://www.otzar.org/book.asp?142938","מאמר תורה אור")</f>
        <v>מאמר תורה אור</v>
      </c>
    </row>
    <row r="21356" spans="1:6" x14ac:dyDescent="0.2">
      <c r="A21356" t="s">
        <v>34558</v>
      </c>
      <c r="B21356" t="s">
        <v>326</v>
      </c>
      <c r="C21356" t="s">
        <v>558</v>
      </c>
      <c r="D21356" t="s">
        <v>691</v>
      </c>
      <c r="E21356" t="s">
        <v>241</v>
      </c>
      <c r="F21356" s="2" t="str">
        <f>HYPERLINK("http://www.otzar.org/book.asp?12939","מאמר תורה מן השמים")</f>
        <v>מאמר תורה מן השמים</v>
      </c>
    </row>
    <row r="21357" spans="1:6" x14ac:dyDescent="0.2">
      <c r="A21357" t="s">
        <v>34558</v>
      </c>
      <c r="B21357" t="s">
        <v>34559</v>
      </c>
      <c r="C21357" t="s">
        <v>950</v>
      </c>
      <c r="D21357" t="s">
        <v>283</v>
      </c>
      <c r="E21357" t="s">
        <v>241</v>
      </c>
      <c r="F21357" s="2" t="str">
        <f>HYPERLINK("http://www.otzar.org/book.asp?19135","מאמר תורה מן השמים")</f>
        <v>מאמר תורה מן השמים</v>
      </c>
    </row>
    <row r="21358" spans="1:6" x14ac:dyDescent="0.2">
      <c r="A21358" t="s">
        <v>34560</v>
      </c>
      <c r="B21358" t="s">
        <v>34561</v>
      </c>
      <c r="C21358" t="s">
        <v>919</v>
      </c>
      <c r="D21358" t="s">
        <v>14</v>
      </c>
      <c r="E21358" t="s">
        <v>2010</v>
      </c>
      <c r="F21358" s="2" t="str">
        <f>HYPERLINK("http://www.otzar.org/book.asp?10281","מאמר תחית המתים")</f>
        <v>מאמר תחית המתים</v>
      </c>
    </row>
    <row r="21359" spans="1:6" x14ac:dyDescent="0.2">
      <c r="A21359" t="s">
        <v>34560</v>
      </c>
      <c r="B21359" t="s">
        <v>1320</v>
      </c>
      <c r="C21359" t="s">
        <v>27278</v>
      </c>
      <c r="D21359" t="s">
        <v>1490</v>
      </c>
      <c r="E21359" t="s">
        <v>241</v>
      </c>
      <c r="F21359" s="2" t="str">
        <f>HYPERLINK("http://www.otzar.org/book.asp?146719","מאמר תחית המתים")</f>
        <v>מאמר תחית המתים</v>
      </c>
    </row>
    <row r="21360" spans="1:6" x14ac:dyDescent="0.2">
      <c r="A21360" t="s">
        <v>34562</v>
      </c>
      <c r="B21360" t="s">
        <v>1809</v>
      </c>
      <c r="C21360" t="s">
        <v>180</v>
      </c>
      <c r="D21360" t="s">
        <v>14</v>
      </c>
      <c r="E21360" t="s">
        <v>399</v>
      </c>
      <c r="F21360" s="2" t="str">
        <f>HYPERLINK("http://www.otzar.org/book.asp?160508","מאמר תפילת פתח אליהו &lt;זיו הזוהר והמקובלים&gt;")</f>
        <v>מאמר תפילת פתח אליהו &lt;זיו הזוהר והמקובלים&gt;</v>
      </c>
    </row>
    <row r="21361" spans="1:6" x14ac:dyDescent="0.2">
      <c r="A21361" t="s">
        <v>34563</v>
      </c>
      <c r="B21361" t="s">
        <v>34564</v>
      </c>
      <c r="C21361" t="s">
        <v>17</v>
      </c>
      <c r="D21361" t="s">
        <v>14</v>
      </c>
      <c r="E21361" t="s">
        <v>15</v>
      </c>
      <c r="F21361" s="2" t="str">
        <f>HYPERLINK("http://www.otzar.org/book.asp?195012","מאמר תקון סופרים - הלכות שטרות")</f>
        <v>מאמר תקון סופרים - הלכות שטרות</v>
      </c>
    </row>
    <row r="21362" spans="1:6" x14ac:dyDescent="0.2">
      <c r="A21362" t="s">
        <v>34565</v>
      </c>
      <c r="B21362" t="s">
        <v>6984</v>
      </c>
      <c r="C21362" t="s">
        <v>114</v>
      </c>
      <c r="D21362" t="s">
        <v>486</v>
      </c>
      <c r="E21362" t="s">
        <v>1164</v>
      </c>
      <c r="F21362" s="2" t="str">
        <f>HYPERLINK("http://www.otzar.org/book.asp?160138","מאמר - 14 כר'")</f>
        <v>מאמר - 14 כר'</v>
      </c>
    </row>
    <row r="21363" spans="1:6" x14ac:dyDescent="0.2">
      <c r="A21363" t="s">
        <v>34566</v>
      </c>
      <c r="B21363" t="s">
        <v>34567</v>
      </c>
      <c r="C21363" t="s">
        <v>13</v>
      </c>
      <c r="D21363" t="s">
        <v>14</v>
      </c>
      <c r="E21363" t="s">
        <v>104</v>
      </c>
      <c r="F21363" s="2" t="str">
        <f>HYPERLINK("http://www.otzar.org/book.asp?165983","מאמר - צא והלחם בעמלק")</f>
        <v>מאמר - צא והלחם בעמלק</v>
      </c>
    </row>
    <row r="21364" spans="1:6" x14ac:dyDescent="0.2">
      <c r="A21364" t="s">
        <v>34568</v>
      </c>
      <c r="B21364" t="s">
        <v>24129</v>
      </c>
      <c r="C21364" t="s">
        <v>23</v>
      </c>
      <c r="D21364" t="s">
        <v>1156</v>
      </c>
      <c r="F21364" s="2" t="str">
        <f>HYPERLINK("http://www.otzar.org/book.asp?621644","מאמר - 2 כר'")</f>
        <v>מאמר - 2 כר'</v>
      </c>
    </row>
    <row r="21365" spans="1:6" x14ac:dyDescent="0.2">
      <c r="A21365" t="s">
        <v>34569</v>
      </c>
      <c r="B21365" t="s">
        <v>3240</v>
      </c>
      <c r="C21365" t="s">
        <v>17</v>
      </c>
      <c r="D21365" t="s">
        <v>14</v>
      </c>
      <c r="E21365" t="s">
        <v>246</v>
      </c>
      <c r="F21365" s="2" t="str">
        <f>HYPERLINK("http://www.otzar.org/book.asp?166455","מאמר - 17 כר'")</f>
        <v>מאמר - 17 כר'</v>
      </c>
    </row>
    <row r="21366" spans="1:6" x14ac:dyDescent="0.2">
      <c r="A21366" t="s">
        <v>34570</v>
      </c>
      <c r="B21366" t="s">
        <v>34571</v>
      </c>
      <c r="C21366" t="s">
        <v>31528</v>
      </c>
      <c r="D21366" t="s">
        <v>114</v>
      </c>
      <c r="E21366" t="s">
        <v>3790</v>
      </c>
      <c r="F21366" s="2" t="str">
        <f>HYPERLINK("http://www.otzar.org/book.asp?163224","מאמרי אב - 2 כר'")</f>
        <v>מאמרי אב - 2 כר'</v>
      </c>
    </row>
    <row r="21367" spans="1:6" x14ac:dyDescent="0.2">
      <c r="A21367" t="s">
        <v>34572</v>
      </c>
      <c r="B21367" t="s">
        <v>31974</v>
      </c>
      <c r="C21367" t="s">
        <v>775</v>
      </c>
      <c r="D21367" t="s">
        <v>52</v>
      </c>
      <c r="E21367" t="s">
        <v>803</v>
      </c>
      <c r="F21367" s="2" t="str">
        <f>HYPERLINK("http://www.otzar.org/book.asp?62797","מאמרי אברהם")</f>
        <v>מאמרי אברהם</v>
      </c>
    </row>
    <row r="21368" spans="1:6" x14ac:dyDescent="0.2">
      <c r="A21368" t="s">
        <v>34573</v>
      </c>
      <c r="E21368" t="s">
        <v>393</v>
      </c>
      <c r="F21368" s="2" t="str">
        <f>HYPERLINK("http://www.otzar.org/book.asp?189085","מאמרי אדמו""ר הזקן  עם פירוש חסידות מבוארת")</f>
        <v>מאמרי אדמו"ר הזקן  עם פירוש חסידות מבוארת</v>
      </c>
    </row>
    <row r="21369" spans="1:6" x14ac:dyDescent="0.2">
      <c r="A21369" t="s">
        <v>34574</v>
      </c>
      <c r="B21369" t="s">
        <v>24561</v>
      </c>
      <c r="C21369" t="s">
        <v>68</v>
      </c>
      <c r="D21369" t="s">
        <v>14</v>
      </c>
      <c r="E21369" t="s">
        <v>213</v>
      </c>
      <c r="F21369" s="2" t="str">
        <f>HYPERLINK("http://www.otzar.org/book.asp?191292","מאמרי אמונה לרשב""א")</f>
        <v>מאמרי אמונה לרשב"א</v>
      </c>
    </row>
    <row r="21370" spans="1:6" x14ac:dyDescent="0.2">
      <c r="A21370" t="s">
        <v>34575</v>
      </c>
      <c r="B21370" t="s">
        <v>8405</v>
      </c>
      <c r="C21370" t="s">
        <v>725</v>
      </c>
      <c r="D21370" t="s">
        <v>30</v>
      </c>
      <c r="E21370" t="s">
        <v>1185</v>
      </c>
      <c r="F21370" s="2" t="str">
        <f>HYPERLINK("http://www.otzar.org/book.asp?156258","מאמרי באר חיים מרדכי")</f>
        <v>מאמרי באר חיים מרדכי</v>
      </c>
    </row>
    <row r="21371" spans="1:6" x14ac:dyDescent="0.2">
      <c r="A21371" t="s">
        <v>34576</v>
      </c>
      <c r="B21371" t="s">
        <v>34577</v>
      </c>
      <c r="C21371" t="s">
        <v>1535</v>
      </c>
      <c r="D21371" t="s">
        <v>27</v>
      </c>
      <c r="E21371" t="s">
        <v>588</v>
      </c>
      <c r="F21371" s="2" t="str">
        <f>HYPERLINK("http://www.otzar.org/book.asp?10431","מאמרי בקרת על ספרי ""אוצר הגאונים"" - א")</f>
        <v>מאמרי בקרת על ספרי "אוצר הגאונים" - א</v>
      </c>
    </row>
    <row r="21372" spans="1:6" x14ac:dyDescent="0.2">
      <c r="A21372" t="s">
        <v>34578</v>
      </c>
      <c r="B21372" t="s">
        <v>16035</v>
      </c>
      <c r="C21372" t="s">
        <v>114</v>
      </c>
      <c r="D21372" t="s">
        <v>52</v>
      </c>
      <c r="E21372" t="s">
        <v>241</v>
      </c>
      <c r="F21372" s="2" t="str">
        <f>HYPERLINK("http://www.otzar.org/book.asp?169317","מאמרי המשגיח רבינו ירוחם הלוי ממיר - 2 כר'")</f>
        <v>מאמרי המשגיח רבינו ירוחם הלוי ממיר - 2 כר'</v>
      </c>
    </row>
    <row r="21373" spans="1:6" x14ac:dyDescent="0.2">
      <c r="A21373" t="s">
        <v>34579</v>
      </c>
      <c r="B21373" t="s">
        <v>34580</v>
      </c>
      <c r="C21373" t="s">
        <v>1388</v>
      </c>
      <c r="D21373" t="s">
        <v>14</v>
      </c>
      <c r="E21373" t="s">
        <v>104</v>
      </c>
      <c r="F21373" s="2" t="str">
        <f>HYPERLINK("http://www.otzar.org/book.asp?13103","מאמרי הצדקה")</f>
        <v>מאמרי הצדקה</v>
      </c>
    </row>
    <row r="21374" spans="1:6" x14ac:dyDescent="0.2">
      <c r="A21374" t="s">
        <v>34581</v>
      </c>
      <c r="B21374" t="s">
        <v>34582</v>
      </c>
      <c r="C21374" t="s">
        <v>20</v>
      </c>
      <c r="D21374" t="s">
        <v>90</v>
      </c>
      <c r="E21374" t="s">
        <v>714</v>
      </c>
      <c r="F21374" s="2" t="str">
        <f>HYPERLINK("http://www.otzar.org/book.asp?62840","מאמרי הקודש - אגרת הקודש שער הקדושה ועוד")</f>
        <v>מאמרי הקודש - אגרת הקודש שער הקדושה ועוד</v>
      </c>
    </row>
    <row r="21375" spans="1:6" x14ac:dyDescent="0.2">
      <c r="A21375" t="s">
        <v>34583</v>
      </c>
      <c r="B21375" t="s">
        <v>34584</v>
      </c>
      <c r="C21375" t="s">
        <v>176</v>
      </c>
      <c r="D21375" t="s">
        <v>6853</v>
      </c>
      <c r="E21375" t="s">
        <v>28782</v>
      </c>
      <c r="F21375" s="2" t="str">
        <f>HYPERLINK("http://www.otzar.org/book.asp?103355","מאמרי הרב אהרון הלוי פיצ'ניק לירח האיתנים")</f>
        <v>מאמרי הרב אהרון הלוי פיצ'ניק לירח האיתנים</v>
      </c>
    </row>
    <row r="21376" spans="1:6" x14ac:dyDescent="0.2">
      <c r="A21376" t="s">
        <v>34585</v>
      </c>
      <c r="B21376" t="s">
        <v>6040</v>
      </c>
      <c r="C21376" t="s">
        <v>454</v>
      </c>
      <c r="D21376" t="s">
        <v>14</v>
      </c>
      <c r="E21376" t="s">
        <v>241</v>
      </c>
      <c r="F21376" s="2" t="str">
        <f>HYPERLINK("http://www.otzar.org/book.asp?64075","מאמרי הרמ""ע מפאנו - 3 כר'")</f>
        <v>מאמרי הרמ"ע מפאנו - 3 כר'</v>
      </c>
    </row>
    <row r="21377" spans="1:6" x14ac:dyDescent="0.2">
      <c r="A21377" t="s">
        <v>34586</v>
      </c>
      <c r="B21377" t="s">
        <v>34587</v>
      </c>
      <c r="C21377" t="s">
        <v>103</v>
      </c>
      <c r="D21377" t="s">
        <v>90</v>
      </c>
      <c r="E21377" t="s">
        <v>241</v>
      </c>
      <c r="F21377" s="2" t="str">
        <f>HYPERLINK("http://www.otzar.org/book.asp?50033","מאמרי התחזקות")</f>
        <v>מאמרי התחזקות</v>
      </c>
    </row>
    <row r="21378" spans="1:6" x14ac:dyDescent="0.2">
      <c r="A21378" t="s">
        <v>34588</v>
      </c>
      <c r="B21378" t="s">
        <v>34589</v>
      </c>
      <c r="C21378" t="s">
        <v>146</v>
      </c>
      <c r="D21378" t="s">
        <v>14</v>
      </c>
      <c r="E21378" t="s">
        <v>733</v>
      </c>
      <c r="F21378" s="2" t="str">
        <f>HYPERLINK("http://www.otzar.org/book.asp?179802","מאמרי התנאים - 4 כר'")</f>
        <v>מאמרי התנאים - 4 כר'</v>
      </c>
    </row>
    <row r="21379" spans="1:6" x14ac:dyDescent="0.2">
      <c r="A21379" t="s">
        <v>34590</v>
      </c>
      <c r="B21379" t="s">
        <v>34591</v>
      </c>
      <c r="C21379" t="s">
        <v>151</v>
      </c>
      <c r="D21379" t="s">
        <v>14</v>
      </c>
      <c r="F21379" s="2" t="str">
        <f>HYPERLINK("http://www.otzar.org/book.asp?612329","מאמרי זמן שמחתנו")</f>
        <v>מאמרי זמן שמחתנו</v>
      </c>
    </row>
    <row r="21380" spans="1:6" x14ac:dyDescent="0.2">
      <c r="A21380" t="s">
        <v>34592</v>
      </c>
      <c r="B21380" t="s">
        <v>11462</v>
      </c>
      <c r="C21380" t="s">
        <v>68</v>
      </c>
      <c r="D21380" t="s">
        <v>52</v>
      </c>
      <c r="E21380" t="s">
        <v>1164</v>
      </c>
      <c r="F21380" s="2" t="str">
        <f>HYPERLINK("http://www.otzar.org/book.asp?169851","מאמרי חודש השביעי")</f>
        <v>מאמרי חודש השביעי</v>
      </c>
    </row>
    <row r="21381" spans="1:6" x14ac:dyDescent="0.2">
      <c r="A21381" t="s">
        <v>34593</v>
      </c>
      <c r="B21381" t="s">
        <v>34594</v>
      </c>
      <c r="C21381" t="s">
        <v>20</v>
      </c>
      <c r="D21381" t="s">
        <v>52</v>
      </c>
      <c r="E21381" t="s">
        <v>241</v>
      </c>
      <c r="F21381" s="2" t="str">
        <f>HYPERLINK("http://www.otzar.org/book.asp?162949","מאמרי חיים")</f>
        <v>מאמרי חיים</v>
      </c>
    </row>
    <row r="21382" spans="1:6" x14ac:dyDescent="0.2">
      <c r="A21382" t="s">
        <v>34595</v>
      </c>
      <c r="B21382" t="s">
        <v>7767</v>
      </c>
      <c r="C21382" t="s">
        <v>1160</v>
      </c>
      <c r="D21382" t="s">
        <v>15682</v>
      </c>
      <c r="E21382" t="s">
        <v>104</v>
      </c>
      <c r="F21382" s="2" t="str">
        <f>HYPERLINK("http://www.otzar.org/book.asp?624918","מאמרי חכמינו בעניני ארץ ישראל")</f>
        <v>מאמרי חכמינו בעניני ארץ ישראל</v>
      </c>
    </row>
    <row r="21383" spans="1:6" x14ac:dyDescent="0.2">
      <c r="A21383" t="s">
        <v>34596</v>
      </c>
      <c r="B21383" t="s">
        <v>34591</v>
      </c>
      <c r="C21383" t="s">
        <v>366</v>
      </c>
      <c r="D21383" t="s">
        <v>21</v>
      </c>
      <c r="E21383" t="s">
        <v>246</v>
      </c>
      <c r="F21383" s="2" t="str">
        <f>HYPERLINK("http://www.otzar.org/book.asp?605259","מאמרי חנוכה ופורים")</f>
        <v>מאמרי חנוכה ופורים</v>
      </c>
    </row>
    <row r="21384" spans="1:6" x14ac:dyDescent="0.2">
      <c r="A21384" t="s">
        <v>34597</v>
      </c>
      <c r="B21384" t="s">
        <v>6559</v>
      </c>
      <c r="C21384" t="s">
        <v>189</v>
      </c>
      <c r="D21384" t="s">
        <v>52</v>
      </c>
      <c r="E21384" t="s">
        <v>3055</v>
      </c>
      <c r="F21384" s="2" t="str">
        <f>HYPERLINK("http://www.otzar.org/book.asp?144950","מאמרי חנוכה")</f>
        <v>מאמרי חנוכה</v>
      </c>
    </row>
    <row r="21385" spans="1:6" x14ac:dyDescent="0.2">
      <c r="A21385" t="s">
        <v>34597</v>
      </c>
      <c r="B21385" t="s">
        <v>34591</v>
      </c>
      <c r="C21385" t="s">
        <v>111</v>
      </c>
      <c r="D21385" t="s">
        <v>21</v>
      </c>
      <c r="E21385" t="s">
        <v>246</v>
      </c>
      <c r="F21385" s="2" t="str">
        <f>HYPERLINK("http://www.otzar.org/book.asp?625356","מאמרי חנוכה")</f>
        <v>מאמרי חנוכה</v>
      </c>
    </row>
    <row r="21386" spans="1:6" x14ac:dyDescent="0.2">
      <c r="A21386" t="s">
        <v>34598</v>
      </c>
      <c r="B21386" t="s">
        <v>26495</v>
      </c>
      <c r="C21386" t="s">
        <v>1640</v>
      </c>
      <c r="D21386" t="s">
        <v>52</v>
      </c>
      <c r="E21386" t="s">
        <v>140</v>
      </c>
      <c r="F21386" s="2" t="str">
        <f>HYPERLINK("http://www.otzar.org/book.asp?103353","מאמרי יוסף")</f>
        <v>מאמרי יוסף</v>
      </c>
    </row>
    <row r="21387" spans="1:6" x14ac:dyDescent="0.2">
      <c r="A21387" t="s">
        <v>34599</v>
      </c>
      <c r="B21387" t="s">
        <v>34600</v>
      </c>
      <c r="C21387" t="s">
        <v>617</v>
      </c>
      <c r="D21387" t="s">
        <v>283</v>
      </c>
      <c r="E21387" t="s">
        <v>104</v>
      </c>
      <c r="F21387" s="2" t="str">
        <f>HYPERLINK("http://www.otzar.org/book.asp?12760","מאמרי יעקב הברכי מהעבור ומנין השנים")</f>
        <v>מאמרי יעקב הברכי מהעבור ומנין השנים</v>
      </c>
    </row>
    <row r="21388" spans="1:6" x14ac:dyDescent="0.2">
      <c r="A21388" t="s">
        <v>34601</v>
      </c>
      <c r="B21388" t="s">
        <v>1728</v>
      </c>
      <c r="C21388" t="s">
        <v>422</v>
      </c>
      <c r="D21388" t="s">
        <v>273</v>
      </c>
      <c r="E21388" t="s">
        <v>393</v>
      </c>
      <c r="F21388" s="2" t="str">
        <f>HYPERLINK("http://www.otzar.org/book.asp?628553","מאמרי כ""ק אדמו""ר מליובאוויטש - א")</f>
        <v>מאמרי כ"ק אדמו"ר מליובאוויטש - א</v>
      </c>
    </row>
    <row r="21389" spans="1:6" x14ac:dyDescent="0.2">
      <c r="A21389" t="s">
        <v>34602</v>
      </c>
      <c r="B21389" t="s">
        <v>34603</v>
      </c>
      <c r="C21389" t="s">
        <v>523</v>
      </c>
      <c r="D21389" t="s">
        <v>52</v>
      </c>
      <c r="E21389" t="s">
        <v>104</v>
      </c>
      <c r="F21389" s="2" t="str">
        <f>HYPERLINK("http://www.otzar.org/book.asp?106093","מאמרי כנס ההתעוררות לנשים בנושא הצניעות")</f>
        <v>מאמרי כנס ההתעוררות לנשים בנושא הצניעות</v>
      </c>
    </row>
    <row r="21390" spans="1:6" x14ac:dyDescent="0.2">
      <c r="A21390" t="s">
        <v>34604</v>
      </c>
      <c r="B21390" t="s">
        <v>1393</v>
      </c>
      <c r="D21390" t="s">
        <v>27</v>
      </c>
      <c r="E21390" t="s">
        <v>241</v>
      </c>
      <c r="F21390" s="2" t="str">
        <f>HYPERLINK("http://www.otzar.org/book.asp?613380","מאמרי פגם וטהרת המחשבה")</f>
        <v>מאמרי פגם וטהרת המחשבה</v>
      </c>
    </row>
    <row r="21391" spans="1:6" x14ac:dyDescent="0.2">
      <c r="A21391" t="s">
        <v>34605</v>
      </c>
      <c r="B21391" t="s">
        <v>34606</v>
      </c>
      <c r="C21391" t="s">
        <v>366</v>
      </c>
      <c r="D21391" t="s">
        <v>21</v>
      </c>
      <c r="E21391" t="s">
        <v>246</v>
      </c>
      <c r="F21391" s="2" t="str">
        <f>HYPERLINK("http://www.otzar.org/book.asp?604154","מאמרי פורים")</f>
        <v>מאמרי פורים</v>
      </c>
    </row>
    <row r="21392" spans="1:6" x14ac:dyDescent="0.2">
      <c r="A21392" t="s">
        <v>34607</v>
      </c>
      <c r="B21392" t="s">
        <v>15154</v>
      </c>
      <c r="C21392" t="s">
        <v>13</v>
      </c>
      <c r="D21392" t="s">
        <v>14</v>
      </c>
      <c r="E21392" t="s">
        <v>4455</v>
      </c>
      <c r="F21392" s="2" t="str">
        <f>HYPERLINK("http://www.otzar.org/book.asp?147103","מאמרי פחד יצחק - סוכות")</f>
        <v>מאמרי פחד יצחק - סוכות</v>
      </c>
    </row>
    <row r="21393" spans="1:6" x14ac:dyDescent="0.2">
      <c r="A21393" t="s">
        <v>34608</v>
      </c>
      <c r="B21393" t="s">
        <v>34609</v>
      </c>
      <c r="C21393" t="s">
        <v>20</v>
      </c>
      <c r="D21393" t="s">
        <v>90</v>
      </c>
      <c r="E21393" t="s">
        <v>15</v>
      </c>
      <c r="F21393" s="2" t="str">
        <f>HYPERLINK("http://www.otzar.org/book.asp?616828","מאמרי קשר של תפילין")</f>
        <v>מאמרי קשר של תפילין</v>
      </c>
    </row>
    <row r="21394" spans="1:6" x14ac:dyDescent="0.2">
      <c r="A21394" t="s">
        <v>34610</v>
      </c>
      <c r="B21394" t="s">
        <v>1809</v>
      </c>
      <c r="C21394" t="s">
        <v>26291</v>
      </c>
      <c r="D21394" t="s">
        <v>27</v>
      </c>
      <c r="E21394" t="s">
        <v>34611</v>
      </c>
      <c r="F21394" s="2" t="str">
        <f>HYPERLINK("http://www.otzar.org/book.asp?14262","מאמרי רבי אלעזר ברשב""י")</f>
        <v>מאמרי רבי אלעזר ברשב"י</v>
      </c>
    </row>
    <row r="21395" spans="1:6" x14ac:dyDescent="0.2">
      <c r="A21395" t="s">
        <v>34612</v>
      </c>
      <c r="B21395" t="s">
        <v>10085</v>
      </c>
      <c r="C21395" t="s">
        <v>23</v>
      </c>
      <c r="D21395" t="s">
        <v>21</v>
      </c>
      <c r="E21395" t="s">
        <v>158</v>
      </c>
      <c r="F21395" s="2" t="str">
        <f>HYPERLINK("http://www.otzar.org/book.asp?196117","מאמרי רבי דב שוורצמן - 2 כר'")</f>
        <v>מאמרי רבי דב שוורצמן - 2 כר'</v>
      </c>
    </row>
    <row r="21396" spans="1:6" x14ac:dyDescent="0.2">
      <c r="A21396" t="s">
        <v>34613</v>
      </c>
      <c r="B21396" t="s">
        <v>11486</v>
      </c>
      <c r="C21396" t="s">
        <v>103</v>
      </c>
      <c r="D21396" t="s">
        <v>34614</v>
      </c>
      <c r="E21396" t="s">
        <v>158</v>
      </c>
      <c r="F21396" s="2" t="str">
        <f>HYPERLINK("http://www.otzar.org/book.asp?61349","מאמרי רבי ראובן על התורה")</f>
        <v>מאמרי רבי ראובן על התורה</v>
      </c>
    </row>
    <row r="21397" spans="1:6" x14ac:dyDescent="0.2">
      <c r="A21397" t="s">
        <v>34615</v>
      </c>
      <c r="B21397" t="s">
        <v>4854</v>
      </c>
      <c r="C21397" t="s">
        <v>133</v>
      </c>
      <c r="D21397" t="s">
        <v>367</v>
      </c>
      <c r="E21397" t="s">
        <v>158</v>
      </c>
      <c r="F21397" s="2" t="str">
        <f>HYPERLINK("http://www.otzar.org/book.asp?605465","מאמרי שיר השירים")</f>
        <v>מאמרי שיר השירים</v>
      </c>
    </row>
    <row r="21398" spans="1:6" x14ac:dyDescent="0.2">
      <c r="A21398" t="s">
        <v>34616</v>
      </c>
      <c r="B21398" t="s">
        <v>34617</v>
      </c>
      <c r="C21398" t="s">
        <v>17</v>
      </c>
      <c r="D21398" t="s">
        <v>14</v>
      </c>
      <c r="E21398" t="s">
        <v>213</v>
      </c>
      <c r="F21398" s="2" t="str">
        <f>HYPERLINK("http://www.otzar.org/book.asp?52846","מאמרי שלמה - 2 כר'")</f>
        <v>מאמרי שלמה - 2 כר'</v>
      </c>
    </row>
    <row r="21399" spans="1:6" x14ac:dyDescent="0.2">
      <c r="A21399" t="s">
        <v>34618</v>
      </c>
      <c r="B21399" t="s">
        <v>34619</v>
      </c>
      <c r="C21399" t="s">
        <v>454</v>
      </c>
      <c r="D21399" t="s">
        <v>14</v>
      </c>
      <c r="E21399" t="s">
        <v>17698</v>
      </c>
      <c r="F21399" s="2" t="str">
        <f>HYPERLINK("http://www.otzar.org/book.asp?50058","מאמרי שפת אמת - 3 כר'")</f>
        <v>מאמרי שפת אמת - 3 כר'</v>
      </c>
    </row>
    <row r="21400" spans="1:6" x14ac:dyDescent="0.2">
      <c r="A21400" t="s">
        <v>34620</v>
      </c>
      <c r="B21400" t="s">
        <v>34621</v>
      </c>
      <c r="C21400" t="s">
        <v>20</v>
      </c>
      <c r="D21400" t="s">
        <v>486</v>
      </c>
      <c r="E21400" t="s">
        <v>5392</v>
      </c>
      <c r="F21400" s="2" t="str">
        <f>HYPERLINK("http://www.otzar.org/book.asp?195807","מאמרי תורה - קובץ")</f>
        <v>מאמרי תורה - קובץ</v>
      </c>
    </row>
    <row r="21401" spans="1:6" x14ac:dyDescent="0.2">
      <c r="A21401" t="s">
        <v>34622</v>
      </c>
      <c r="B21401" t="s">
        <v>11221</v>
      </c>
      <c r="C21401" t="s">
        <v>20</v>
      </c>
      <c r="D21401" t="s">
        <v>21</v>
      </c>
      <c r="E21401" t="s">
        <v>1626</v>
      </c>
      <c r="F21401" s="2" t="str">
        <f>HYPERLINK("http://www.otzar.org/book.asp?607232","מאמרים בחינוך הבנים")</f>
        <v>מאמרים בחינוך הבנים</v>
      </c>
    </row>
    <row r="21402" spans="1:6" x14ac:dyDescent="0.2">
      <c r="A21402" t="s">
        <v>34623</v>
      </c>
      <c r="B21402" t="s">
        <v>33240</v>
      </c>
      <c r="C21402" t="s">
        <v>168</v>
      </c>
      <c r="D21402" t="s">
        <v>14</v>
      </c>
      <c r="E21402" t="s">
        <v>104</v>
      </c>
      <c r="F21402" s="2" t="str">
        <f>HYPERLINK("http://www.otzar.org/book.asp?152625","מאמרים ברפואה")</f>
        <v>מאמרים ברפואה</v>
      </c>
    </row>
    <row r="21403" spans="1:6" x14ac:dyDescent="0.2">
      <c r="A21403" t="s">
        <v>34624</v>
      </c>
      <c r="B21403" t="s">
        <v>34625</v>
      </c>
      <c r="C21403" t="s">
        <v>1640</v>
      </c>
      <c r="D21403" t="s">
        <v>14</v>
      </c>
      <c r="E21403" t="s">
        <v>144</v>
      </c>
      <c r="F21403" s="2" t="str">
        <f>HYPERLINK("http://www.otzar.org/book.asp?174614","מאמרים הגיונים")</f>
        <v>מאמרים הגיונים</v>
      </c>
    </row>
    <row r="21404" spans="1:6" x14ac:dyDescent="0.2">
      <c r="A21404" t="s">
        <v>34626</v>
      </c>
      <c r="B21404" t="s">
        <v>2697</v>
      </c>
      <c r="C21404" t="s">
        <v>143</v>
      </c>
      <c r="D21404" t="s">
        <v>14</v>
      </c>
      <c r="E21404" t="s">
        <v>241</v>
      </c>
      <c r="F21404" s="2" t="str">
        <f>HYPERLINK("http://www.otzar.org/book.asp?60608","מאמרים על התקופה")</f>
        <v>מאמרים על התקופה</v>
      </c>
    </row>
    <row r="21405" spans="1:6" x14ac:dyDescent="0.2">
      <c r="A21405" t="s">
        <v>34627</v>
      </c>
      <c r="B21405" t="s">
        <v>34628</v>
      </c>
      <c r="C21405" t="s">
        <v>106</v>
      </c>
      <c r="D21405" t="s">
        <v>52</v>
      </c>
      <c r="F21405" s="2" t="str">
        <f>HYPERLINK("http://www.otzar.org/book.asp?612179","מאמרים על מעלת התפילה - 2 כר'")</f>
        <v>מאמרים על מעלת התפילה - 2 כר'</v>
      </c>
    </row>
    <row r="21406" spans="1:6" x14ac:dyDescent="0.2">
      <c r="A21406" t="s">
        <v>34629</v>
      </c>
      <c r="B21406" t="s">
        <v>18792</v>
      </c>
      <c r="C21406" t="s">
        <v>71</v>
      </c>
      <c r="D21406" t="s">
        <v>52</v>
      </c>
      <c r="E21406" t="s">
        <v>3798</v>
      </c>
      <c r="F21406" s="2" t="str">
        <f>HYPERLINK("http://www.otzar.org/book.asp?165847","מאמרים על סדר פרשיות ימי שובבי""ם-ת""ת")</f>
        <v>מאמרים על סדר פרשיות ימי שובבי"ם-ת"ת</v>
      </c>
    </row>
    <row r="21407" spans="1:6" x14ac:dyDescent="0.2">
      <c r="A21407" t="s">
        <v>34630</v>
      </c>
      <c r="B21407" t="s">
        <v>34631</v>
      </c>
      <c r="C21407" t="s">
        <v>356</v>
      </c>
      <c r="D21407" t="s">
        <v>21</v>
      </c>
      <c r="E21407" t="s">
        <v>104</v>
      </c>
      <c r="F21407" s="2" t="str">
        <f>HYPERLINK("http://www.otzar.org/book.asp?602567","מאמרים - 15 כר'")</f>
        <v>מאמרים - 15 כר'</v>
      </c>
    </row>
    <row r="21408" spans="1:6" x14ac:dyDescent="0.2">
      <c r="A21408" t="s">
        <v>34632</v>
      </c>
      <c r="B21408" t="s">
        <v>33577</v>
      </c>
      <c r="C21408" t="s">
        <v>576</v>
      </c>
      <c r="D21408" t="s">
        <v>21</v>
      </c>
      <c r="E21408" t="s">
        <v>104</v>
      </c>
      <c r="F21408" s="2" t="str">
        <f>HYPERLINK("http://www.otzar.org/book.asp?602584","מאמרים - 4 כר'")</f>
        <v>מאמרים - 4 כר'</v>
      </c>
    </row>
    <row r="21409" spans="1:6" x14ac:dyDescent="0.2">
      <c r="A21409" t="s">
        <v>34633</v>
      </c>
      <c r="B21409" t="s">
        <v>34634</v>
      </c>
      <c r="D21409" t="s">
        <v>14</v>
      </c>
      <c r="F21409" s="2" t="str">
        <f>HYPERLINK("http://www.otzar.org/book.asp?608766","מאמרים - 6 כר'")</f>
        <v>מאמרים - 6 כר'</v>
      </c>
    </row>
    <row r="21410" spans="1:6" x14ac:dyDescent="0.2">
      <c r="A21410" t="s">
        <v>34635</v>
      </c>
      <c r="B21410" t="s">
        <v>34636</v>
      </c>
      <c r="D21410" t="s">
        <v>7648</v>
      </c>
      <c r="E21410" t="s">
        <v>119</v>
      </c>
      <c r="F21410" s="2" t="str">
        <f>HYPERLINK("http://www.otzar.org/book.asp?608500","מאמרים - לתולדות גדולי ישראל")</f>
        <v>מאמרים - לתולדות גדולי ישראל</v>
      </c>
    </row>
    <row r="21411" spans="1:6" x14ac:dyDescent="0.2">
      <c r="A21411" t="s">
        <v>34603</v>
      </c>
      <c r="B21411" t="s">
        <v>34637</v>
      </c>
      <c r="C21411" t="s">
        <v>725</v>
      </c>
      <c r="D21411" t="s">
        <v>14</v>
      </c>
      <c r="E21411" t="s">
        <v>34638</v>
      </c>
      <c r="F21411" s="2" t="str">
        <f>HYPERLINK("http://www.otzar.org/book.asp?103356","מאמרים")</f>
        <v>מאמרים</v>
      </c>
    </row>
    <row r="21412" spans="1:6" x14ac:dyDescent="0.2">
      <c r="A21412" t="s">
        <v>34639</v>
      </c>
      <c r="B21412" t="s">
        <v>34640</v>
      </c>
      <c r="C21412" t="s">
        <v>1663</v>
      </c>
      <c r="D21412" t="s">
        <v>14</v>
      </c>
      <c r="F21412" s="2" t="str">
        <f>HYPERLINK("http://www.otzar.org/book.asp?161590","מאמרים - אוגירה")</f>
        <v>מאמרים - אוגירה</v>
      </c>
    </row>
    <row r="21413" spans="1:6" x14ac:dyDescent="0.2">
      <c r="A21413" t="s">
        <v>34641</v>
      </c>
      <c r="B21413" t="s">
        <v>34642</v>
      </c>
      <c r="C21413" t="s">
        <v>366</v>
      </c>
      <c r="D21413" t="s">
        <v>14</v>
      </c>
      <c r="E21413" t="s">
        <v>144</v>
      </c>
      <c r="F21413" s="2" t="str">
        <f>HYPERLINK("http://www.otzar.org/book.asp?607583","מאמרים - מעין ספר המקצועות למסכת ב""מ")</f>
        <v>מאמרים - מעין ספר המקצועות למסכת ב"מ</v>
      </c>
    </row>
    <row r="21414" spans="1:6" x14ac:dyDescent="0.2">
      <c r="A21414" t="s">
        <v>34643</v>
      </c>
      <c r="B21414" t="s">
        <v>34644</v>
      </c>
      <c r="C21414" t="s">
        <v>114</v>
      </c>
      <c r="D21414" t="s">
        <v>14</v>
      </c>
      <c r="E21414" t="s">
        <v>733</v>
      </c>
      <c r="F21414" s="2" t="str">
        <f>HYPERLINK("http://www.otzar.org/book.asp?188520","מאמרים - 40 כר'")</f>
        <v>מאמרים - 40 כר'</v>
      </c>
    </row>
    <row r="21415" spans="1:6" x14ac:dyDescent="0.2">
      <c r="A21415" t="s">
        <v>34645</v>
      </c>
      <c r="B21415" t="s">
        <v>34646</v>
      </c>
      <c r="C21415" t="s">
        <v>422</v>
      </c>
      <c r="D21415" t="s">
        <v>14</v>
      </c>
      <c r="E21415" t="s">
        <v>104</v>
      </c>
      <c r="F21415" s="2" t="str">
        <f>HYPERLINK("http://www.otzar.org/book.asp?183308","מאמרים - 3 כר'")</f>
        <v>מאמרים - 3 כר'</v>
      </c>
    </row>
    <row r="21416" spans="1:6" x14ac:dyDescent="0.2">
      <c r="A21416" t="s">
        <v>34647</v>
      </c>
      <c r="B21416" t="s">
        <v>34648</v>
      </c>
      <c r="C21416" t="s">
        <v>151</v>
      </c>
      <c r="D21416" t="s">
        <v>14</v>
      </c>
      <c r="E21416" t="s">
        <v>241</v>
      </c>
      <c r="F21416" s="2" t="str">
        <f>HYPERLINK("http://www.otzar.org/book.asp?623126","מאן מלכי רבנן - 2 כר'")</f>
        <v>מאן מלכי רבנן - 2 כר'</v>
      </c>
    </row>
    <row r="21417" spans="1:6" x14ac:dyDescent="0.2">
      <c r="A21417" t="s">
        <v>34649</v>
      </c>
      <c r="B21417" t="s">
        <v>16688</v>
      </c>
      <c r="C21417" t="s">
        <v>20</v>
      </c>
      <c r="D21417" t="s">
        <v>52</v>
      </c>
      <c r="E21417" t="s">
        <v>15</v>
      </c>
      <c r="F21417" s="2" t="str">
        <f>HYPERLINK("http://www.otzar.org/book.asp?616183","מאן מלכי רבנן")</f>
        <v>מאן מלכי רבנן</v>
      </c>
    </row>
    <row r="21418" spans="1:6" x14ac:dyDescent="0.2">
      <c r="A21418" t="s">
        <v>34650</v>
      </c>
      <c r="B21418" t="s">
        <v>34651</v>
      </c>
      <c r="C21418" t="s">
        <v>23</v>
      </c>
      <c r="D21418" t="s">
        <v>412</v>
      </c>
      <c r="E21418" t="s">
        <v>202</v>
      </c>
      <c r="F21418" s="2" t="str">
        <f>HYPERLINK("http://www.otzar.org/book.asp?603563","מאסיפת המורשת - 12 כר'")</f>
        <v>מאסיפת המורשת - 12 כר'</v>
      </c>
    </row>
    <row r="21419" spans="1:6" x14ac:dyDescent="0.2">
      <c r="A21419" t="s">
        <v>34652</v>
      </c>
      <c r="B21419" t="s">
        <v>31675</v>
      </c>
      <c r="C21419" t="s">
        <v>581</v>
      </c>
      <c r="D21419" t="s">
        <v>412</v>
      </c>
      <c r="F21419" s="2" t="str">
        <f>HYPERLINK("http://www.otzar.org/book.asp?182556","מאסליאנסקי'ס זכרונות")</f>
        <v>מאסליאנסקי'ס זכרונות</v>
      </c>
    </row>
    <row r="21420" spans="1:6" x14ac:dyDescent="0.2">
      <c r="A21420" t="s">
        <v>34653</v>
      </c>
      <c r="B21420" t="s">
        <v>34654</v>
      </c>
      <c r="C21420" t="s">
        <v>168</v>
      </c>
      <c r="D21420" t="s">
        <v>14</v>
      </c>
      <c r="E21420" t="s">
        <v>202</v>
      </c>
      <c r="F21420" s="2" t="str">
        <f>HYPERLINK("http://www.otzar.org/book.asp?60097","מאסף אור אלחנן ""נר יצחק""")</f>
        <v>מאסף אור אלחנן "נר יצחק"</v>
      </c>
    </row>
    <row r="21421" spans="1:6" x14ac:dyDescent="0.2">
      <c r="A21421" t="s">
        <v>34655</v>
      </c>
      <c r="B21421" t="s">
        <v>34656</v>
      </c>
      <c r="C21421" t="s">
        <v>34657</v>
      </c>
      <c r="D21421" t="s">
        <v>56</v>
      </c>
      <c r="E21421" t="s">
        <v>234</v>
      </c>
      <c r="F21421" s="2" t="str">
        <f>HYPERLINK("http://www.otzar.org/book.asp?102299","מאסף דרושי - 2 כר'")</f>
        <v>מאסף דרושי - 2 כר'</v>
      </c>
    </row>
    <row r="21422" spans="1:6" x14ac:dyDescent="0.2">
      <c r="A21422" t="s">
        <v>34658</v>
      </c>
      <c r="B21422" t="s">
        <v>34659</v>
      </c>
      <c r="C21422" t="s">
        <v>129</v>
      </c>
      <c r="D21422" t="s">
        <v>34660</v>
      </c>
      <c r="F21422" s="2" t="str">
        <f>HYPERLINK("http://www.otzar.org/book.asp?610778","מאסף חידו""ת המאזנים - טו")</f>
        <v>מאסף חידו"ת המאזנים - טו</v>
      </c>
    </row>
    <row r="21423" spans="1:6" x14ac:dyDescent="0.2">
      <c r="A21423" t="s">
        <v>34661</v>
      </c>
      <c r="B21423" t="s">
        <v>34662</v>
      </c>
      <c r="C21423" t="s">
        <v>189</v>
      </c>
      <c r="D21423" t="s">
        <v>52</v>
      </c>
      <c r="E21423" t="s">
        <v>186</v>
      </c>
      <c r="F21423" s="2" t="str">
        <f>HYPERLINK("http://www.otzar.org/book.asp?141831","מאסף חידו""ת עמ""ס כתובות")</f>
        <v>מאסף חידו"ת עמ"ס כתובות</v>
      </c>
    </row>
    <row r="21424" spans="1:6" x14ac:dyDescent="0.2">
      <c r="A21424" t="s">
        <v>34663</v>
      </c>
      <c r="B21424" t="s">
        <v>34664</v>
      </c>
      <c r="C21424" t="s">
        <v>422</v>
      </c>
      <c r="D21424" t="s">
        <v>2201</v>
      </c>
      <c r="E21424" t="s">
        <v>202</v>
      </c>
      <c r="F21424" s="2" t="str">
        <f>HYPERLINK("http://www.otzar.org/book.asp?613780","מאסף יד סופרים - בבא מציעא")</f>
        <v>מאסף יד סופרים - בבא מציעא</v>
      </c>
    </row>
    <row r="21425" spans="1:6" x14ac:dyDescent="0.2">
      <c r="A21425" t="s">
        <v>34665</v>
      </c>
      <c r="B21425" t="s">
        <v>34666</v>
      </c>
      <c r="C21425" t="s">
        <v>29649</v>
      </c>
      <c r="D21425" t="s">
        <v>1490</v>
      </c>
      <c r="E21425" t="s">
        <v>104</v>
      </c>
      <c r="F21425" s="2" t="str">
        <f>HYPERLINK("http://www.otzar.org/book.asp?147295","מאסף לכל המחנות")</f>
        <v>מאסף לכל המחנות</v>
      </c>
    </row>
    <row r="21426" spans="1:6" x14ac:dyDescent="0.2">
      <c r="A21426" t="s">
        <v>34667</v>
      </c>
      <c r="B21426" t="s">
        <v>19669</v>
      </c>
      <c r="C21426" t="s">
        <v>34668</v>
      </c>
      <c r="D21426" t="s">
        <v>27</v>
      </c>
      <c r="E21426" t="s">
        <v>15</v>
      </c>
      <c r="F21426" s="2" t="str">
        <f>HYPERLINK("http://www.otzar.org/book.asp?149144","מאסף ראשונים (הלכות ברכות)")</f>
        <v>מאסף ראשונים (הלכות ברכות)</v>
      </c>
    </row>
    <row r="21427" spans="1:6" x14ac:dyDescent="0.2">
      <c r="A21427" t="s">
        <v>34669</v>
      </c>
      <c r="B21427" t="s">
        <v>34670</v>
      </c>
      <c r="C21427" t="s">
        <v>1208</v>
      </c>
      <c r="D21427" t="s">
        <v>21</v>
      </c>
      <c r="E21427" t="s">
        <v>202</v>
      </c>
      <c r="F21427" s="2" t="str">
        <f>HYPERLINK("http://www.otzar.org/book.asp?604565","מאסף שערי בינה")</f>
        <v>מאסף שערי בינה</v>
      </c>
    </row>
    <row r="21428" spans="1:6" x14ac:dyDescent="0.2">
      <c r="A21428" t="s">
        <v>34671</v>
      </c>
      <c r="B21428" t="s">
        <v>34672</v>
      </c>
      <c r="C21428" t="s">
        <v>68</v>
      </c>
      <c r="D21428" t="s">
        <v>14</v>
      </c>
      <c r="E21428" t="s">
        <v>674</v>
      </c>
      <c r="F21428" s="2" t="str">
        <f>HYPERLINK("http://www.otzar.org/book.asp?157273","מאסף תורני בענייני כשרות המזון והשגחה")</f>
        <v>מאסף תורני בענייני כשרות המזון והשגחה</v>
      </c>
    </row>
    <row r="21429" spans="1:6" x14ac:dyDescent="0.2">
      <c r="A21429" t="s">
        <v>34673</v>
      </c>
      <c r="B21429" t="s">
        <v>17246</v>
      </c>
      <c r="C21429" t="s">
        <v>146</v>
      </c>
      <c r="D21429" t="s">
        <v>14</v>
      </c>
      <c r="E21429" t="s">
        <v>241</v>
      </c>
      <c r="F21429" s="2" t="str">
        <f>HYPERLINK("http://www.otzar.org/book.asp?28020","מאפילה לאור גדול - 2 כר'")</f>
        <v>מאפילה לאור גדול - 2 כר'</v>
      </c>
    </row>
    <row r="21430" spans="1:6" x14ac:dyDescent="0.2">
      <c r="A21430" t="s">
        <v>34674</v>
      </c>
      <c r="B21430" t="s">
        <v>10621</v>
      </c>
      <c r="C21430" t="s">
        <v>189</v>
      </c>
      <c r="D21430" t="s">
        <v>14</v>
      </c>
      <c r="E21430" t="s">
        <v>119</v>
      </c>
      <c r="F21430" s="2" t="str">
        <f>HYPERLINK("http://www.otzar.org/book.asp?60308","מאפלה לאורה")</f>
        <v>מאפלה לאורה</v>
      </c>
    </row>
    <row r="21431" spans="1:6" x14ac:dyDescent="0.2">
      <c r="A21431" t="s">
        <v>34674</v>
      </c>
      <c r="B21431" t="s">
        <v>21684</v>
      </c>
      <c r="C21431" t="s">
        <v>411</v>
      </c>
      <c r="D21431" t="s">
        <v>52</v>
      </c>
      <c r="E21431" t="s">
        <v>393</v>
      </c>
      <c r="F21431" s="2" t="str">
        <f>HYPERLINK("http://www.otzar.org/book.asp?626282","מאפלה לאורה")</f>
        <v>מאפלה לאורה</v>
      </c>
    </row>
    <row r="21432" spans="1:6" x14ac:dyDescent="0.2">
      <c r="A21432" t="s">
        <v>34675</v>
      </c>
      <c r="B21432" t="s">
        <v>34676</v>
      </c>
      <c r="C21432" t="s">
        <v>20</v>
      </c>
      <c r="D21432" t="s">
        <v>412</v>
      </c>
      <c r="E21432" t="s">
        <v>119</v>
      </c>
      <c r="F21432" s="2" t="str">
        <f>HYPERLINK("http://www.otzar.org/book.asp?166276","מאקארוב")</f>
        <v>מאקארוב</v>
      </c>
    </row>
    <row r="21433" spans="1:6" x14ac:dyDescent="0.2">
      <c r="A21433" t="s">
        <v>34677</v>
      </c>
      <c r="B21433" t="s">
        <v>9358</v>
      </c>
      <c r="C21433" t="s">
        <v>533</v>
      </c>
      <c r="D21433" t="s">
        <v>216</v>
      </c>
      <c r="E21433" t="s">
        <v>119</v>
      </c>
      <c r="F21433" s="2" t="str">
        <f>HYPERLINK("http://www.otzar.org/book.asp?145538","מארמארוש")</f>
        <v>מארמארוש</v>
      </c>
    </row>
    <row r="21434" spans="1:6" x14ac:dyDescent="0.2">
      <c r="A21434" t="s">
        <v>34678</v>
      </c>
      <c r="B21434" t="s">
        <v>34679</v>
      </c>
      <c r="C21434" t="s">
        <v>111</v>
      </c>
      <c r="D21434" t="s">
        <v>52</v>
      </c>
      <c r="E21434" t="s">
        <v>34680</v>
      </c>
      <c r="F21434" s="2" t="str">
        <f>HYPERLINK("http://www.otzar.org/book.asp?628717","מאש וממים")</f>
        <v>מאש וממים</v>
      </c>
    </row>
    <row r="21435" spans="1:6" x14ac:dyDescent="0.2">
      <c r="A21435" t="s">
        <v>34681</v>
      </c>
      <c r="B21435" t="s">
        <v>34682</v>
      </c>
      <c r="C21435" t="s">
        <v>37</v>
      </c>
      <c r="D21435" t="s">
        <v>276</v>
      </c>
      <c r="E21435" t="s">
        <v>15</v>
      </c>
      <c r="F21435" s="2" t="str">
        <f>HYPERLINK("http://www.otzar.org/book.asp?621820","מאשר לאהרן - 2 כר'")</f>
        <v>מאשר לאהרן - 2 כר'</v>
      </c>
    </row>
    <row r="21436" spans="1:6" x14ac:dyDescent="0.2">
      <c r="A21436" t="s">
        <v>34683</v>
      </c>
      <c r="B21436" t="s">
        <v>34684</v>
      </c>
      <c r="C21436" t="s">
        <v>313</v>
      </c>
      <c r="D21436" t="s">
        <v>21</v>
      </c>
      <c r="E21436" t="s">
        <v>104</v>
      </c>
      <c r="F21436" s="2" t="str">
        <f>HYPERLINK("http://www.otzar.org/book.asp?602069","מאת לצדיק - קובץ מאמרים על ר' צדוק הכהן ומשנתו")</f>
        <v>מאת לצדיק - קובץ מאמרים על ר' צדוק הכהן ומשנתו</v>
      </c>
    </row>
    <row r="21437" spans="1:6" x14ac:dyDescent="0.2">
      <c r="A21437" t="s">
        <v>34685</v>
      </c>
      <c r="B21437" t="s">
        <v>686</v>
      </c>
      <c r="C21437" t="s">
        <v>411</v>
      </c>
      <c r="D21437" t="s">
        <v>52</v>
      </c>
      <c r="E21437" t="s">
        <v>158</v>
      </c>
      <c r="F21437" s="2" t="str">
        <f>HYPERLINK("http://www.otzar.org/book.asp?170088","מאתים לנוטרים פריו")</f>
        <v>מאתים לנוטרים פריו</v>
      </c>
    </row>
    <row r="21438" spans="1:6" x14ac:dyDescent="0.2">
      <c r="A21438" t="s">
        <v>34686</v>
      </c>
      <c r="B21438" t="s">
        <v>34687</v>
      </c>
      <c r="C21438" t="s">
        <v>422</v>
      </c>
      <c r="D21438" t="s">
        <v>520</v>
      </c>
      <c r="E21438" t="s">
        <v>202</v>
      </c>
      <c r="F21438" s="2" t="str">
        <f>HYPERLINK("http://www.otzar.org/book.asp?189843","מאתרא דחכימיא - 2 כר'")</f>
        <v>מאתרא דחכימיא - 2 כר'</v>
      </c>
    </row>
    <row r="21439" spans="1:6" x14ac:dyDescent="0.2">
      <c r="A21439" t="s">
        <v>34688</v>
      </c>
      <c r="B21439" t="s">
        <v>22263</v>
      </c>
      <c r="C21439" t="s">
        <v>129</v>
      </c>
      <c r="D21439" t="s">
        <v>1974</v>
      </c>
      <c r="E21439" t="s">
        <v>104</v>
      </c>
      <c r="F21439" s="2" t="str">
        <f>HYPERLINK("http://www.otzar.org/book.asp?52535","מבא השלחן")</f>
        <v>מבא השלחן</v>
      </c>
    </row>
    <row r="21440" spans="1:6" x14ac:dyDescent="0.2">
      <c r="A21440" t="s">
        <v>34689</v>
      </c>
      <c r="B21440" t="s">
        <v>34690</v>
      </c>
      <c r="C21440" t="s">
        <v>2008</v>
      </c>
      <c r="D21440" t="s">
        <v>13354</v>
      </c>
      <c r="E21440" t="s">
        <v>1211</v>
      </c>
      <c r="F21440" s="2" t="str">
        <f>HYPERLINK("http://www.otzar.org/book.asp?5870","מבא התלמוד - 7 כר'")</f>
        <v>מבא התלמוד - 7 כר'</v>
      </c>
    </row>
    <row r="21441" spans="1:6" x14ac:dyDescent="0.2">
      <c r="A21441" t="s">
        <v>34691</v>
      </c>
      <c r="B21441" t="s">
        <v>34692</v>
      </c>
      <c r="C21441" t="s">
        <v>1414</v>
      </c>
      <c r="D21441" t="s">
        <v>212</v>
      </c>
      <c r="E21441" t="s">
        <v>219</v>
      </c>
      <c r="F21441" s="2" t="str">
        <f>HYPERLINK("http://www.otzar.org/book.asp?188587","מבא למחזור כמנהג בני רומא")</f>
        <v>מבא למחזור כמנהג בני רומא</v>
      </c>
    </row>
    <row r="21442" spans="1:6" x14ac:dyDescent="0.2">
      <c r="A21442" t="s">
        <v>34693</v>
      </c>
      <c r="B21442" t="s">
        <v>29674</v>
      </c>
      <c r="C21442" t="s">
        <v>1268</v>
      </c>
      <c r="D21442" t="s">
        <v>52</v>
      </c>
      <c r="E21442" t="s">
        <v>730</v>
      </c>
      <c r="F21442" s="2" t="str">
        <f>HYPERLINK("http://www.otzar.org/book.asp?8296","מבא שערים - 8 כר'")</f>
        <v>מבא שערים - 8 כר'</v>
      </c>
    </row>
    <row r="21443" spans="1:6" x14ac:dyDescent="0.2">
      <c r="A21443" t="s">
        <v>34694</v>
      </c>
      <c r="B21443" t="s">
        <v>34695</v>
      </c>
      <c r="C21443" t="s">
        <v>17</v>
      </c>
      <c r="D21443" t="s">
        <v>52</v>
      </c>
      <c r="E21443" t="s">
        <v>144</v>
      </c>
      <c r="F21443" s="2" t="str">
        <f>HYPERLINK("http://www.otzar.org/book.asp?159429","מבאר הפשט - 6 כר'")</f>
        <v>מבאר הפשט - 6 כר'</v>
      </c>
    </row>
    <row r="21444" spans="1:6" x14ac:dyDescent="0.2">
      <c r="A21444" t="s">
        <v>34696</v>
      </c>
      <c r="B21444" t="s">
        <v>34697</v>
      </c>
      <c r="C21444" t="s">
        <v>473</v>
      </c>
      <c r="D21444" t="s">
        <v>27</v>
      </c>
      <c r="E21444" t="s">
        <v>474</v>
      </c>
      <c r="F21444" s="2" t="str">
        <f>HYPERLINK("http://www.otzar.org/book.asp?19019","מבאר חיים")</f>
        <v>מבאר חיים</v>
      </c>
    </row>
    <row r="21445" spans="1:6" x14ac:dyDescent="0.2">
      <c r="A21445" t="s">
        <v>34698</v>
      </c>
      <c r="B21445" t="s">
        <v>34699</v>
      </c>
      <c r="C21445" t="s">
        <v>454</v>
      </c>
      <c r="D21445" t="s">
        <v>52</v>
      </c>
      <c r="E21445" t="s">
        <v>144</v>
      </c>
      <c r="F21445" s="2" t="str">
        <f>HYPERLINK("http://www.otzar.org/book.asp?63583","מבאר חיים - בבא קמא, בבא מציעא")</f>
        <v>מבאר חיים - בבא קמא, בבא מציעא</v>
      </c>
    </row>
    <row r="21446" spans="1:6" x14ac:dyDescent="0.2">
      <c r="A21446" t="s">
        <v>34700</v>
      </c>
      <c r="B21446" t="s">
        <v>34701</v>
      </c>
      <c r="C21446" t="s">
        <v>68</v>
      </c>
      <c r="D21446" t="s">
        <v>14</v>
      </c>
      <c r="E21446" t="s">
        <v>1097</v>
      </c>
      <c r="F21446" s="2" t="str">
        <f>HYPERLINK("http://www.otzar.org/book.asp?163760","מבארה של ירושלים")</f>
        <v>מבארה של ירושלים</v>
      </c>
    </row>
    <row r="21447" spans="1:6" x14ac:dyDescent="0.2">
      <c r="A21447" t="s">
        <v>34702</v>
      </c>
      <c r="B21447" t="s">
        <v>6095</v>
      </c>
      <c r="C21447" t="s">
        <v>1335</v>
      </c>
      <c r="D21447" t="s">
        <v>267</v>
      </c>
      <c r="E21447" t="s">
        <v>34703</v>
      </c>
      <c r="F21447" s="2" t="str">
        <f>HYPERLINK("http://www.otzar.org/book.asp?103266","מבוא המדרש")</f>
        <v>מבוא המדרש</v>
      </c>
    </row>
    <row r="21448" spans="1:6" x14ac:dyDescent="0.2">
      <c r="A21448" t="s">
        <v>34704</v>
      </c>
      <c r="B21448" t="s">
        <v>34705</v>
      </c>
      <c r="C21448" t="s">
        <v>422</v>
      </c>
      <c r="D21448" t="s">
        <v>657</v>
      </c>
      <c r="E21448" t="s">
        <v>158</v>
      </c>
      <c r="F21448" s="2" t="str">
        <f>HYPERLINK("http://www.otzar.org/book.asp?165078","מבוא המסורה &lt;מהדורה חדשה&gt;")</f>
        <v>מבוא המסורה &lt;מהדורה חדשה&gt;</v>
      </c>
    </row>
    <row r="21449" spans="1:6" x14ac:dyDescent="0.2">
      <c r="A21449" t="s">
        <v>34706</v>
      </c>
      <c r="B21449" t="s">
        <v>34705</v>
      </c>
      <c r="C21449" t="s">
        <v>1047</v>
      </c>
      <c r="D21449" t="s">
        <v>283</v>
      </c>
      <c r="E21449" t="s">
        <v>158</v>
      </c>
      <c r="F21449" s="2" t="str">
        <f>HYPERLINK("http://www.otzar.org/book.asp?14076","מבוא המסורה - 2 כר'")</f>
        <v>מבוא המסורה - 2 כר'</v>
      </c>
    </row>
    <row r="21450" spans="1:6" x14ac:dyDescent="0.2">
      <c r="A21450" t="s">
        <v>34707</v>
      </c>
      <c r="B21450" t="s">
        <v>34708</v>
      </c>
      <c r="C21450" t="s">
        <v>111</v>
      </c>
      <c r="D21450" t="s">
        <v>34709</v>
      </c>
      <c r="E21450" t="s">
        <v>393</v>
      </c>
      <c r="F21450" s="2" t="str">
        <f>HYPERLINK("http://www.otzar.org/book.asp?628714","מבוא השער - שער היחוד והאמונה")</f>
        <v>מבוא השער - שער היחוד והאמונה</v>
      </c>
    </row>
    <row r="21451" spans="1:6" x14ac:dyDescent="0.2">
      <c r="A21451" t="s">
        <v>34710</v>
      </c>
      <c r="B21451" t="s">
        <v>34711</v>
      </c>
      <c r="C21451" t="s">
        <v>20</v>
      </c>
      <c r="D21451" t="s">
        <v>14</v>
      </c>
      <c r="E21451" t="s">
        <v>1211</v>
      </c>
      <c r="F21451" s="2" t="str">
        <f>HYPERLINK("http://www.otzar.org/book.asp?6636","מבוא התלמוד &lt;עם הערות&gt;")</f>
        <v>מבוא התלמוד &lt;עם הערות&gt;</v>
      </c>
    </row>
    <row r="21452" spans="1:6" x14ac:dyDescent="0.2">
      <c r="A21452" t="s">
        <v>34712</v>
      </c>
      <c r="B21452" t="s">
        <v>34713</v>
      </c>
      <c r="C21452" t="s">
        <v>752</v>
      </c>
      <c r="D21452" t="s">
        <v>34714</v>
      </c>
      <c r="E21452" t="s">
        <v>733</v>
      </c>
      <c r="F21452" s="2" t="str">
        <f>HYPERLINK("http://www.otzar.org/book.asp?199986","מבוא התלמוד")</f>
        <v>מבוא התלמוד</v>
      </c>
    </row>
    <row r="21453" spans="1:6" x14ac:dyDescent="0.2">
      <c r="A21453" t="s">
        <v>34712</v>
      </c>
      <c r="B21453" t="s">
        <v>1421</v>
      </c>
      <c r="C21453" t="s">
        <v>5163</v>
      </c>
      <c r="D21453" t="s">
        <v>5258</v>
      </c>
      <c r="F21453" s="2" t="str">
        <f>HYPERLINK("http://www.otzar.org/book.asp?62505","מבוא התלמוד")</f>
        <v>מבוא התלמוד</v>
      </c>
    </row>
    <row r="21454" spans="1:6" x14ac:dyDescent="0.2">
      <c r="A21454" t="s">
        <v>34715</v>
      </c>
      <c r="B21454" t="s">
        <v>34716</v>
      </c>
      <c r="C21454" t="s">
        <v>366</v>
      </c>
      <c r="D21454" t="s">
        <v>90</v>
      </c>
      <c r="E21454" t="s">
        <v>15</v>
      </c>
      <c r="F21454" s="2" t="str">
        <f>HYPERLINK("http://www.otzar.org/book.asp?621941","מבוא לדיני ההנהגות")</f>
        <v>מבוא לדיני ההנהגות</v>
      </c>
    </row>
    <row r="21455" spans="1:6" x14ac:dyDescent="0.2">
      <c r="A21455" t="s">
        <v>34717</v>
      </c>
      <c r="B21455" t="s">
        <v>34718</v>
      </c>
      <c r="C21455" t="s">
        <v>356</v>
      </c>
      <c r="D21455" t="s">
        <v>14</v>
      </c>
      <c r="F21455" s="2" t="str">
        <f>HYPERLINK("http://www.otzar.org/book.asp?156161","מבוא להלכות דרך ארץ")</f>
        <v>מבוא להלכות דרך ארץ</v>
      </c>
    </row>
    <row r="21456" spans="1:6" x14ac:dyDescent="0.2">
      <c r="A21456" t="s">
        <v>34719</v>
      </c>
      <c r="B21456" t="s">
        <v>18510</v>
      </c>
      <c r="C21456" t="s">
        <v>23</v>
      </c>
      <c r="D21456" t="s">
        <v>1907</v>
      </c>
      <c r="E21456" t="s">
        <v>15</v>
      </c>
      <c r="F21456" s="2" t="str">
        <f>HYPERLINK("http://www.otzar.org/book.asp?193201","מבוא להלכות מקוואות")</f>
        <v>מבוא להלכות מקוואות</v>
      </c>
    </row>
    <row r="21457" spans="1:6" x14ac:dyDescent="0.2">
      <c r="A21457" t="s">
        <v>34720</v>
      </c>
      <c r="B21457" t="s">
        <v>2035</v>
      </c>
      <c r="C21457" t="s">
        <v>1706</v>
      </c>
      <c r="D21457" t="s">
        <v>582</v>
      </c>
      <c r="E21457" t="s">
        <v>34721</v>
      </c>
      <c r="F21457" s="2" t="str">
        <f>HYPERLINK("http://www.otzar.org/book.asp?19437","מבוא להסדר עולם רבה")</f>
        <v>מבוא להסדר עולם רבה</v>
      </c>
    </row>
    <row r="21458" spans="1:6" x14ac:dyDescent="0.2">
      <c r="A21458" t="s">
        <v>34722</v>
      </c>
      <c r="B21458" t="s">
        <v>34723</v>
      </c>
      <c r="C21458" t="s">
        <v>13</v>
      </c>
      <c r="D21458" t="s">
        <v>14</v>
      </c>
      <c r="E21458" t="s">
        <v>104</v>
      </c>
      <c r="F21458" s="2" t="str">
        <f>HYPERLINK("http://www.otzar.org/book.asp?146449","מבוא ללימוד תורה")</f>
        <v>מבוא ללימוד תורה</v>
      </c>
    </row>
    <row r="21459" spans="1:6" x14ac:dyDescent="0.2">
      <c r="A21459" t="s">
        <v>34724</v>
      </c>
      <c r="B21459" t="s">
        <v>32943</v>
      </c>
      <c r="C21459" t="s">
        <v>20</v>
      </c>
      <c r="D21459" t="s">
        <v>90</v>
      </c>
      <c r="F21459" s="2" t="str">
        <f>HYPERLINK("http://www.otzar.org/book.asp?617080","מבוא ללמוד הקבלה")</f>
        <v>מבוא ללמוד הקבלה</v>
      </c>
    </row>
    <row r="21460" spans="1:6" x14ac:dyDescent="0.2">
      <c r="A21460" t="s">
        <v>34725</v>
      </c>
      <c r="B21460" t="s">
        <v>34718</v>
      </c>
      <c r="C21460" t="s">
        <v>334</v>
      </c>
      <c r="D21460" t="s">
        <v>52</v>
      </c>
      <c r="E21460" t="s">
        <v>15</v>
      </c>
      <c r="F21460" s="2" t="str">
        <f>HYPERLINK("http://www.otzar.org/book.asp?174247","מבוא למסכת ברכות")</f>
        <v>מבוא למסכת ברכות</v>
      </c>
    </row>
    <row r="21461" spans="1:6" x14ac:dyDescent="0.2">
      <c r="A21461" t="s">
        <v>34726</v>
      </c>
      <c r="B21461" t="s">
        <v>34718</v>
      </c>
      <c r="C21461" t="s">
        <v>1570</v>
      </c>
      <c r="D21461" t="s">
        <v>52</v>
      </c>
      <c r="E21461" t="s">
        <v>658</v>
      </c>
      <c r="F21461" s="2" t="str">
        <f>HYPERLINK("http://www.otzar.org/book.asp?63732","מבוא למסכת שבת")</f>
        <v>מבוא למסכת שבת</v>
      </c>
    </row>
    <row r="21462" spans="1:6" x14ac:dyDescent="0.2">
      <c r="A21462" t="s">
        <v>34727</v>
      </c>
      <c r="B21462" t="s">
        <v>34728</v>
      </c>
      <c r="C21462" t="s">
        <v>1609</v>
      </c>
      <c r="D21462" t="s">
        <v>27</v>
      </c>
      <c r="E21462" t="s">
        <v>733</v>
      </c>
      <c r="F21462" s="2" t="str">
        <f>HYPERLINK("http://www.otzar.org/book.asp?12657","מבוא לספר אסף הרופא")</f>
        <v>מבוא לספר אסף הרופא</v>
      </c>
    </row>
    <row r="21463" spans="1:6" x14ac:dyDescent="0.2">
      <c r="A21463" t="s">
        <v>34729</v>
      </c>
      <c r="B21463" t="s">
        <v>34730</v>
      </c>
      <c r="C21463" t="s">
        <v>466</v>
      </c>
      <c r="D21463" t="s">
        <v>412</v>
      </c>
      <c r="F21463" s="2" t="str">
        <f>HYPERLINK("http://www.otzar.org/book.asp?184956","מבוא לספר הלכות פסוקות")</f>
        <v>מבוא לספר הלכות פסוקות</v>
      </c>
    </row>
    <row r="21464" spans="1:6" x14ac:dyDescent="0.2">
      <c r="A21464" t="s">
        <v>34731</v>
      </c>
      <c r="B21464" t="s">
        <v>34732</v>
      </c>
      <c r="C21464" t="s">
        <v>427</v>
      </c>
      <c r="D21464" t="s">
        <v>14</v>
      </c>
      <c r="E21464" t="s">
        <v>733</v>
      </c>
      <c r="F21464" s="2" t="str">
        <f>HYPERLINK("http://www.otzar.org/book.asp?12114","מבוא לספר חסידים")</f>
        <v>מבוא לספר חסידים</v>
      </c>
    </row>
    <row r="21465" spans="1:6" x14ac:dyDescent="0.2">
      <c r="A21465" t="s">
        <v>34733</v>
      </c>
      <c r="B21465" t="s">
        <v>34734</v>
      </c>
      <c r="C21465" t="s">
        <v>3246</v>
      </c>
      <c r="D21465" t="s">
        <v>4352</v>
      </c>
      <c r="E21465" t="s">
        <v>38</v>
      </c>
      <c r="F21465" s="2" t="str">
        <f>HYPERLINK("http://www.otzar.org/book.asp?104020","מבוא לפירוש הגאונים לטהרות")</f>
        <v>מבוא לפירוש הגאונים לטהרות</v>
      </c>
    </row>
    <row r="21466" spans="1:6" x14ac:dyDescent="0.2">
      <c r="A21466" t="s">
        <v>34735</v>
      </c>
      <c r="B21466" t="s">
        <v>34736</v>
      </c>
      <c r="C21466" t="s">
        <v>1096</v>
      </c>
      <c r="D21466" t="s">
        <v>27</v>
      </c>
      <c r="E21466" t="s">
        <v>579</v>
      </c>
      <c r="F21466" s="2" t="str">
        <f>HYPERLINK("http://www.otzar.org/book.asp?100559","מבוא לפירוש עזרא ונחמיה")</f>
        <v>מבוא לפירוש עזרא ונחמיה</v>
      </c>
    </row>
    <row r="21467" spans="1:6" x14ac:dyDescent="0.2">
      <c r="A21467" t="s">
        <v>34737</v>
      </c>
      <c r="B21467" t="s">
        <v>1728</v>
      </c>
      <c r="C21467" t="s">
        <v>146</v>
      </c>
      <c r="D21467" t="s">
        <v>273</v>
      </c>
      <c r="E21467" t="s">
        <v>6688</v>
      </c>
      <c r="F21467" s="2" t="str">
        <f>HYPERLINK("http://www.otzar.org/book.asp?628554","מבוא לקבלת האר""י")</f>
        <v>מבוא לקבלת האר"י</v>
      </c>
    </row>
    <row r="21468" spans="1:6" x14ac:dyDescent="0.2">
      <c r="A21468" t="s">
        <v>34738</v>
      </c>
      <c r="B21468" t="s">
        <v>34739</v>
      </c>
      <c r="D21468" t="s">
        <v>2373</v>
      </c>
      <c r="E21468" t="s">
        <v>104</v>
      </c>
      <c r="F21468" s="2" t="str">
        <f>HYPERLINK("http://www.otzar.org/book.asp?169188","מבוא לראבי""ה")</f>
        <v>מבוא לראבי"ה</v>
      </c>
    </row>
    <row r="21469" spans="1:6" x14ac:dyDescent="0.2">
      <c r="A21469" t="s">
        <v>34740</v>
      </c>
      <c r="B21469" t="s">
        <v>34741</v>
      </c>
      <c r="C21469" t="s">
        <v>20</v>
      </c>
      <c r="D21469" t="s">
        <v>90</v>
      </c>
      <c r="E21469" t="s">
        <v>104</v>
      </c>
      <c r="F21469" s="2" t="str">
        <f>HYPERLINK("http://www.otzar.org/book.asp?630231","מבוא לשיטת היסוד בשלבים - 2 כר'")</f>
        <v>מבוא לשיטת היסוד בשלבים - 2 כר'</v>
      </c>
    </row>
    <row r="21470" spans="1:6" x14ac:dyDescent="0.2">
      <c r="A21470" t="s">
        <v>34742</v>
      </c>
      <c r="B21470" t="s">
        <v>6977</v>
      </c>
      <c r="C21470" t="s">
        <v>106</v>
      </c>
      <c r="D21470" t="s">
        <v>14</v>
      </c>
      <c r="E21470" t="s">
        <v>158</v>
      </c>
      <c r="F21470" s="2" t="str">
        <f>HYPERLINK("http://www.otzar.org/book.asp?106749","מבוא לתורה נביאים וכתובים")</f>
        <v>מבוא לתורה נביאים וכתובים</v>
      </c>
    </row>
    <row r="21471" spans="1:6" x14ac:dyDescent="0.2">
      <c r="A21471" t="s">
        <v>34743</v>
      </c>
      <c r="B21471" t="s">
        <v>34744</v>
      </c>
      <c r="C21471" t="s">
        <v>3205</v>
      </c>
      <c r="D21471" t="s">
        <v>52</v>
      </c>
      <c r="E21471" t="s">
        <v>140</v>
      </c>
      <c r="F21471" s="2" t="str">
        <f>HYPERLINK("http://www.otzar.org/book.asp?198392","מבוא לתורת החסידות")</f>
        <v>מבוא לתורת החסידות</v>
      </c>
    </row>
    <row r="21472" spans="1:6" x14ac:dyDescent="0.2">
      <c r="A21472" t="s">
        <v>34745</v>
      </c>
      <c r="B21472" t="s">
        <v>34746</v>
      </c>
      <c r="C21472" t="s">
        <v>558</v>
      </c>
      <c r="D21472" t="s">
        <v>34747</v>
      </c>
      <c r="E21472" t="s">
        <v>144</v>
      </c>
      <c r="F21472" s="2" t="str">
        <f>HYPERLINK("http://www.otzar.org/book.asp?179798","מבוא לתלמוד בבלי הנמצא בכ""י בבית עקד הספרים במינכען")</f>
        <v>מבוא לתלמוד בבלי הנמצא בכ"י בבית עקד הספרים במינכען</v>
      </c>
    </row>
    <row r="21473" spans="1:6" x14ac:dyDescent="0.2">
      <c r="A21473" t="s">
        <v>34748</v>
      </c>
      <c r="B21473" t="s">
        <v>14670</v>
      </c>
      <c r="C21473" t="s">
        <v>6995</v>
      </c>
      <c r="D21473" t="s">
        <v>60</v>
      </c>
      <c r="E21473" t="s">
        <v>399</v>
      </c>
      <c r="F21473" s="2" t="str">
        <f>HYPERLINK("http://www.otzar.org/book.asp?65","מבוא פתחים")</f>
        <v>מבוא פתחים</v>
      </c>
    </row>
    <row r="21474" spans="1:6" x14ac:dyDescent="0.2">
      <c r="A21474" t="s">
        <v>34749</v>
      </c>
      <c r="B21474" t="s">
        <v>405</v>
      </c>
      <c r="C21474" t="s">
        <v>34750</v>
      </c>
      <c r="D21474" t="s">
        <v>27</v>
      </c>
      <c r="E21474" t="s">
        <v>399</v>
      </c>
      <c r="F21474" s="2" t="str">
        <f>HYPERLINK("http://www.otzar.org/book.asp?619587","מבוא שערים עם הגהות הרב יהודה פתייא")</f>
        <v>מבוא שערים עם הגהות הרב יהודה פתייא</v>
      </c>
    </row>
    <row r="21475" spans="1:6" x14ac:dyDescent="0.2">
      <c r="A21475" t="s">
        <v>34751</v>
      </c>
      <c r="B21475" t="s">
        <v>34752</v>
      </c>
      <c r="C21475" t="s">
        <v>13</v>
      </c>
      <c r="D21475" t="s">
        <v>14</v>
      </c>
      <c r="E21475" t="s">
        <v>733</v>
      </c>
      <c r="F21475" s="2" t="str">
        <f>HYPERLINK("http://www.otzar.org/book.asp?163273","מבוא שערים")</f>
        <v>מבוא שערים</v>
      </c>
    </row>
    <row r="21476" spans="1:6" x14ac:dyDescent="0.2">
      <c r="A21476" t="s">
        <v>34753</v>
      </c>
      <c r="B21476" t="s">
        <v>405</v>
      </c>
      <c r="C21476" t="s">
        <v>1519</v>
      </c>
      <c r="D21476" t="s">
        <v>34754</v>
      </c>
      <c r="E21476" t="s">
        <v>399</v>
      </c>
      <c r="F21476" s="2" t="str">
        <f>HYPERLINK("http://www.otzar.org/book.asp?618659","מבוא שערים - 4 כר'")</f>
        <v>מבוא שערים - 4 כר'</v>
      </c>
    </row>
    <row r="21477" spans="1:6" x14ac:dyDescent="0.2">
      <c r="A21477" t="s">
        <v>34755</v>
      </c>
      <c r="B21477" t="s">
        <v>34756</v>
      </c>
      <c r="C21477" t="s">
        <v>114</v>
      </c>
      <c r="D21477" t="s">
        <v>14</v>
      </c>
      <c r="E21477" t="s">
        <v>803</v>
      </c>
      <c r="F21477" s="2" t="str">
        <f>HYPERLINK("http://www.otzar.org/book.asp?162854","מבואות ים")</f>
        <v>מבואות ים</v>
      </c>
    </row>
    <row r="21478" spans="1:6" x14ac:dyDescent="0.2">
      <c r="A21478" t="s">
        <v>34757</v>
      </c>
      <c r="B21478" t="s">
        <v>24673</v>
      </c>
      <c r="C21478" t="s">
        <v>454</v>
      </c>
      <c r="D21478" t="s">
        <v>52</v>
      </c>
      <c r="E21478" t="s">
        <v>104</v>
      </c>
      <c r="F21478" s="2" t="str">
        <f>HYPERLINK("http://www.otzar.org/book.asp?51939","מבואי הקדשים - 2 כר'")</f>
        <v>מבואי הקדשים - 2 כר'</v>
      </c>
    </row>
    <row r="21479" spans="1:6" x14ac:dyDescent="0.2">
      <c r="A21479" t="s">
        <v>34758</v>
      </c>
      <c r="B21479" t="s">
        <v>13219</v>
      </c>
      <c r="C21479" t="s">
        <v>176</v>
      </c>
      <c r="D21479" t="s">
        <v>14</v>
      </c>
      <c r="E21479" t="s">
        <v>119</v>
      </c>
      <c r="F21479" s="2" t="str">
        <f>HYPERLINK("http://www.otzar.org/book.asp?84968","מבוכארה לירושלים")</f>
        <v>מבוכארה לירושלים</v>
      </c>
    </row>
    <row r="21480" spans="1:6" x14ac:dyDescent="0.2">
      <c r="A21480" t="s">
        <v>34759</v>
      </c>
      <c r="B21480" t="s">
        <v>1750</v>
      </c>
      <c r="C21480" t="s">
        <v>1448</v>
      </c>
      <c r="D21480" t="s">
        <v>14</v>
      </c>
      <c r="E21480" t="s">
        <v>1174</v>
      </c>
      <c r="F21480" s="2" t="str">
        <f>HYPERLINK("http://www.otzar.org/book.asp?175859","מבועי הנחל - 32 כר'")</f>
        <v>מבועי הנחל - 32 כר'</v>
      </c>
    </row>
    <row r="21481" spans="1:6" x14ac:dyDescent="0.2">
      <c r="A21481" t="s">
        <v>34760</v>
      </c>
      <c r="B21481" t="s">
        <v>12568</v>
      </c>
      <c r="C21481" t="s">
        <v>133</v>
      </c>
      <c r="D21481" t="s">
        <v>21</v>
      </c>
      <c r="E21481" t="s">
        <v>3798</v>
      </c>
      <c r="F21481" s="2" t="str">
        <f>HYPERLINK("http://www.otzar.org/book.asp?199358","מבועי ירח האיתנים")</f>
        <v>מבועי ירח האיתנים</v>
      </c>
    </row>
    <row r="21482" spans="1:6" x14ac:dyDescent="0.2">
      <c r="A21482" t="s">
        <v>34761</v>
      </c>
      <c r="B21482" t="s">
        <v>34762</v>
      </c>
      <c r="C21482" t="s">
        <v>129</v>
      </c>
      <c r="D21482" t="s">
        <v>14</v>
      </c>
      <c r="E21482" t="s">
        <v>104</v>
      </c>
      <c r="F21482" s="2" t="str">
        <f>HYPERLINK("http://www.otzar.org/book.asp?171517","מבחירי צדיקיא")</f>
        <v>מבחירי צדיקיא</v>
      </c>
    </row>
    <row r="21483" spans="1:6" x14ac:dyDescent="0.2">
      <c r="A21483" t="s">
        <v>34763</v>
      </c>
      <c r="B21483" t="s">
        <v>34764</v>
      </c>
      <c r="C21483" t="s">
        <v>1268</v>
      </c>
      <c r="D21483" t="s">
        <v>115</v>
      </c>
      <c r="E21483" t="s">
        <v>158</v>
      </c>
      <c r="F21483" s="2" t="str">
        <f>HYPERLINK("http://www.otzar.org/book.asp?199444","מבחר אמרים - 15 כר'")</f>
        <v>מבחר אמרים - 15 כר'</v>
      </c>
    </row>
    <row r="21484" spans="1:6" x14ac:dyDescent="0.2">
      <c r="A21484" t="s">
        <v>34765</v>
      </c>
      <c r="B21484" t="s">
        <v>34766</v>
      </c>
      <c r="C21484" t="s">
        <v>550</v>
      </c>
      <c r="D21484" t="s">
        <v>283</v>
      </c>
      <c r="E21484" t="s">
        <v>4738</v>
      </c>
      <c r="F21484" s="2" t="str">
        <f>HYPERLINK("http://www.otzar.org/book.asp?26079","מבחר החשבון")</f>
        <v>מבחר החשבון</v>
      </c>
    </row>
    <row r="21485" spans="1:6" x14ac:dyDescent="0.2">
      <c r="A21485" t="s">
        <v>34767</v>
      </c>
      <c r="B21485" t="s">
        <v>34768</v>
      </c>
      <c r="C21485" t="s">
        <v>6784</v>
      </c>
      <c r="D21485" t="s">
        <v>212</v>
      </c>
      <c r="E21485" t="s">
        <v>158</v>
      </c>
      <c r="F21485" s="2" t="str">
        <f>HYPERLINK("http://www.otzar.org/book.asp?181233","מבחר המאמרים")</f>
        <v>מבחר המאמרים</v>
      </c>
    </row>
    <row r="21486" spans="1:6" x14ac:dyDescent="0.2">
      <c r="A21486" t="s">
        <v>34769</v>
      </c>
      <c r="B21486" t="s">
        <v>34770</v>
      </c>
      <c r="C21486" t="s">
        <v>482</v>
      </c>
      <c r="D21486" t="s">
        <v>260</v>
      </c>
      <c r="E21486" t="s">
        <v>213</v>
      </c>
      <c r="F21486" s="2" t="str">
        <f>HYPERLINK("http://www.otzar.org/book.asp?13128","מבחר המחשבה והמוסר ביהדות")</f>
        <v>מבחר המחשבה והמוסר ביהדות</v>
      </c>
    </row>
    <row r="21487" spans="1:6" x14ac:dyDescent="0.2">
      <c r="A21487" t="s">
        <v>34771</v>
      </c>
      <c r="B21487" t="s">
        <v>34772</v>
      </c>
      <c r="C21487" t="s">
        <v>1169</v>
      </c>
      <c r="D21487" t="s">
        <v>216</v>
      </c>
      <c r="E21487" t="s">
        <v>144</v>
      </c>
      <c r="F21487" s="2" t="str">
        <f>HYPERLINK("http://www.otzar.org/book.asp?181278","מבחר הערות והארות - 2 כר'")</f>
        <v>מבחר הערות והארות - 2 כר'</v>
      </c>
    </row>
    <row r="21488" spans="1:6" x14ac:dyDescent="0.2">
      <c r="A21488" t="s">
        <v>34773</v>
      </c>
      <c r="B21488" t="s">
        <v>34774</v>
      </c>
      <c r="C21488" t="s">
        <v>390</v>
      </c>
      <c r="D21488" t="s">
        <v>260</v>
      </c>
      <c r="E21488" t="s">
        <v>202</v>
      </c>
      <c r="F21488" s="2" t="str">
        <f>HYPERLINK("http://www.otzar.org/book.asp?626404","מבחר הערות והארות - ג")</f>
        <v>מבחר הערות והארות - ג</v>
      </c>
    </row>
    <row r="21489" spans="1:6" x14ac:dyDescent="0.2">
      <c r="A21489" t="s">
        <v>34775</v>
      </c>
      <c r="B21489" t="s">
        <v>34776</v>
      </c>
      <c r="C21489" t="s">
        <v>114</v>
      </c>
      <c r="D21489" t="s">
        <v>14</v>
      </c>
      <c r="E21489" t="s">
        <v>15</v>
      </c>
      <c r="F21489" s="2" t="str">
        <f>HYPERLINK("http://www.otzar.org/book.asp?175964","מבחר הפנינים &lt;פירוש קדמון - 2 כר'")</f>
        <v>מבחר הפנינים &lt;פירוש קדמון - 2 כר'</v>
      </c>
    </row>
    <row r="21490" spans="1:6" x14ac:dyDescent="0.2">
      <c r="A21490" t="s">
        <v>34777</v>
      </c>
      <c r="B21490" t="s">
        <v>1406</v>
      </c>
      <c r="C21490" t="s">
        <v>360</v>
      </c>
      <c r="D21490" t="s">
        <v>225</v>
      </c>
      <c r="E21490" t="s">
        <v>241</v>
      </c>
      <c r="F21490" s="2" t="str">
        <f>HYPERLINK("http://www.otzar.org/book.asp?100637","מבחר הפנינים &lt;פרוש מספיק, מהריעב""ץ, רב פנינים&gt;")</f>
        <v>מבחר הפנינים &lt;פרוש מספיק, מהריעב"ץ, רב פנינים&gt;</v>
      </c>
    </row>
    <row r="21491" spans="1:6" x14ac:dyDescent="0.2">
      <c r="A21491" t="s">
        <v>34778</v>
      </c>
      <c r="B21491" t="s">
        <v>1406</v>
      </c>
      <c r="C21491" t="s">
        <v>360</v>
      </c>
      <c r="D21491" t="s">
        <v>225</v>
      </c>
      <c r="E21491" t="s">
        <v>241</v>
      </c>
      <c r="F21491" s="2" t="str">
        <f>HYPERLINK("http://www.otzar.org/book.asp?6553","מבחר הפנינים &lt;פרוש מספיק, מהריעב""ץ&gt;")</f>
        <v>מבחר הפנינים &lt;פרוש מספיק, מהריעב"ץ&gt;</v>
      </c>
    </row>
    <row r="21492" spans="1:6" x14ac:dyDescent="0.2">
      <c r="A21492" t="s">
        <v>34779</v>
      </c>
      <c r="B21492" t="s">
        <v>4925</v>
      </c>
      <c r="C21492" t="s">
        <v>34780</v>
      </c>
      <c r="D21492" t="s">
        <v>9012</v>
      </c>
      <c r="E21492" t="s">
        <v>104</v>
      </c>
      <c r="F21492" s="2" t="str">
        <f>HYPERLINK("http://www.otzar.org/book.asp?53423","מבחר הפנינים - 2 כר'")</f>
        <v>מבחר הפנינים - 2 כר'</v>
      </c>
    </row>
    <row r="21493" spans="1:6" x14ac:dyDescent="0.2">
      <c r="A21493" t="s">
        <v>34781</v>
      </c>
      <c r="B21493" t="s">
        <v>1406</v>
      </c>
      <c r="C21493" t="s">
        <v>1844</v>
      </c>
      <c r="D21493" t="s">
        <v>283</v>
      </c>
      <c r="E21493" t="s">
        <v>241</v>
      </c>
      <c r="F21493" s="2" t="str">
        <f>HYPERLINK("http://www.otzar.org/book.asp?9936","מבחר הפנינים")</f>
        <v>מבחר הפנינים</v>
      </c>
    </row>
    <row r="21494" spans="1:6" x14ac:dyDescent="0.2">
      <c r="A21494" t="s">
        <v>34782</v>
      </c>
      <c r="B21494" t="s">
        <v>34445</v>
      </c>
      <c r="C21494" t="s">
        <v>767</v>
      </c>
      <c r="D21494" t="s">
        <v>90</v>
      </c>
      <c r="F21494" s="2" t="str">
        <f>HYPERLINK("http://www.otzar.org/book.asp?64046","מבחר כתבי מו""ה מרדכי גומפל שנאבר הלוי לעוויזאהן")</f>
        <v>מבחר כתבי מו"ה מרדכי גומפל שנאבר הלוי לעוויזאהן</v>
      </c>
    </row>
    <row r="21495" spans="1:6" x14ac:dyDescent="0.2">
      <c r="A21495" t="s">
        <v>34783</v>
      </c>
      <c r="B21495" t="s">
        <v>34784</v>
      </c>
      <c r="C21495" t="s">
        <v>332</v>
      </c>
      <c r="D21495" t="s">
        <v>14</v>
      </c>
      <c r="E21495" t="s">
        <v>733</v>
      </c>
      <c r="F21495" s="2" t="str">
        <f>HYPERLINK("http://www.otzar.org/book.asp?85344","מבחר כתבים")</f>
        <v>מבחר כתבים</v>
      </c>
    </row>
    <row r="21496" spans="1:6" x14ac:dyDescent="0.2">
      <c r="A21496" t="s">
        <v>34785</v>
      </c>
      <c r="B21496" t="s">
        <v>34322</v>
      </c>
      <c r="C21496" t="s">
        <v>356</v>
      </c>
      <c r="D21496" t="s">
        <v>216</v>
      </c>
      <c r="E21496" t="s">
        <v>241</v>
      </c>
      <c r="F21496" s="2" t="str">
        <f>HYPERLINK("http://www.otzar.org/book.asp?160477","מבחר כתבים - 2 כר'")</f>
        <v>מבחר כתבים - 2 כר'</v>
      </c>
    </row>
    <row r="21497" spans="1:6" x14ac:dyDescent="0.2">
      <c r="A21497" t="s">
        <v>34783</v>
      </c>
      <c r="B21497" t="s">
        <v>34786</v>
      </c>
      <c r="C21497" t="s">
        <v>146</v>
      </c>
      <c r="D21497" t="s">
        <v>14</v>
      </c>
      <c r="E21497" t="s">
        <v>5935</v>
      </c>
      <c r="F21497" s="2" t="str">
        <f>HYPERLINK("http://www.otzar.org/book.asp?61407","מבחר כתבים")</f>
        <v>מבחר כתבים</v>
      </c>
    </row>
    <row r="21498" spans="1:6" x14ac:dyDescent="0.2">
      <c r="A21498" t="s">
        <v>34787</v>
      </c>
      <c r="B21498" t="s">
        <v>34788</v>
      </c>
      <c r="C21498" t="s">
        <v>442</v>
      </c>
      <c r="D21498" t="s">
        <v>260</v>
      </c>
      <c r="E21498" t="s">
        <v>241</v>
      </c>
      <c r="F21498" s="2" t="str">
        <f>HYPERLINK("http://www.otzar.org/book.asp?106368","מבחר מחשבות על יהדות ויהודים")</f>
        <v>מבחר מחשבות על יהדות ויהודים</v>
      </c>
    </row>
    <row r="21499" spans="1:6" x14ac:dyDescent="0.2">
      <c r="A21499" t="s">
        <v>34789</v>
      </c>
      <c r="B21499" t="s">
        <v>34790</v>
      </c>
      <c r="C21499" t="s">
        <v>146</v>
      </c>
      <c r="E21499" t="s">
        <v>104</v>
      </c>
      <c r="F21499" s="2" t="str">
        <f>HYPERLINK("http://www.otzar.org/book.asp?149677","מבחר מסיפורי יהודי תימן")</f>
        <v>מבחר מסיפורי יהודי תימן</v>
      </c>
    </row>
    <row r="21500" spans="1:6" x14ac:dyDescent="0.2">
      <c r="A21500" t="s">
        <v>34791</v>
      </c>
      <c r="B21500" t="s">
        <v>34792</v>
      </c>
      <c r="C21500" t="s">
        <v>553</v>
      </c>
      <c r="D21500" t="s">
        <v>52</v>
      </c>
      <c r="E21500" t="s">
        <v>234</v>
      </c>
      <c r="F21500" s="2" t="str">
        <f>HYPERLINK("http://www.otzar.org/book.asp?153815","מבחר נאומים בכנסת")</f>
        <v>מבחר נאומים בכנסת</v>
      </c>
    </row>
    <row r="21501" spans="1:6" x14ac:dyDescent="0.2">
      <c r="A21501" t="s">
        <v>34793</v>
      </c>
      <c r="B21501" t="s">
        <v>3273</v>
      </c>
      <c r="C21501" t="s">
        <v>1609</v>
      </c>
      <c r="D21501" t="s">
        <v>260</v>
      </c>
      <c r="E21501" t="s">
        <v>104</v>
      </c>
      <c r="F21501" s="2" t="str">
        <f>HYPERLINK("http://www.otzar.org/book.asp?106485","מבחר ספורי מסורת")</f>
        <v>מבחר ספורי מסורת</v>
      </c>
    </row>
    <row r="21502" spans="1:6" x14ac:dyDescent="0.2">
      <c r="A21502" t="s">
        <v>34794</v>
      </c>
      <c r="B21502" t="s">
        <v>34795</v>
      </c>
      <c r="C21502" t="s">
        <v>1954</v>
      </c>
      <c r="D21502" t="s">
        <v>1651</v>
      </c>
      <c r="E21502" t="s">
        <v>158</v>
      </c>
      <c r="F21502" s="2" t="str">
        <f>HYPERLINK("http://www.otzar.org/book.asp?153958","מבחר פירושי רש""י ראב""ע ורד""ק לספר תהלים")</f>
        <v>מבחר פירושי רש"י ראב"ע ורד"ק לספר תהלים</v>
      </c>
    </row>
    <row r="21503" spans="1:6" x14ac:dyDescent="0.2">
      <c r="A21503" t="s">
        <v>34796</v>
      </c>
      <c r="B21503" t="s">
        <v>895</v>
      </c>
      <c r="C21503" t="s">
        <v>244</v>
      </c>
      <c r="E21503" t="s">
        <v>144</v>
      </c>
      <c r="F21503" s="2" t="str">
        <f>HYPERLINK("http://www.otzar.org/book.asp?605060","מבחר צדק - 2 כר'")</f>
        <v>מבחר צדק - 2 כר'</v>
      </c>
    </row>
    <row r="21504" spans="1:6" x14ac:dyDescent="0.2">
      <c r="A21504" t="s">
        <v>34797</v>
      </c>
      <c r="B21504" t="s">
        <v>34798</v>
      </c>
      <c r="C21504" t="s">
        <v>20</v>
      </c>
      <c r="D21504" t="s">
        <v>90</v>
      </c>
      <c r="E21504" t="s">
        <v>467</v>
      </c>
      <c r="F21504" s="2" t="str">
        <f>HYPERLINK("http://www.otzar.org/book.asp?176940","מבחר שיחות לפורים")</f>
        <v>מבחר שיחות לפורים</v>
      </c>
    </row>
    <row r="21505" spans="1:6" x14ac:dyDescent="0.2">
      <c r="A21505" t="s">
        <v>34799</v>
      </c>
      <c r="B21505" t="s">
        <v>1728</v>
      </c>
      <c r="C21505" t="s">
        <v>27041</v>
      </c>
      <c r="D21505" t="s">
        <v>273</v>
      </c>
      <c r="E21505" t="s">
        <v>140</v>
      </c>
      <c r="F21505" s="2" t="str">
        <f>HYPERLINK("http://www.otzar.org/book.asp?626825","מבחר שיעורי התבוננות - 24 כר'")</f>
        <v>מבחר שיעורי התבוננות - 24 כר'</v>
      </c>
    </row>
    <row r="21506" spans="1:6" x14ac:dyDescent="0.2">
      <c r="A21506" t="s">
        <v>34800</v>
      </c>
      <c r="B21506" t="s">
        <v>15595</v>
      </c>
      <c r="C21506" t="s">
        <v>1535</v>
      </c>
      <c r="D21506" t="s">
        <v>260</v>
      </c>
      <c r="E21506" t="s">
        <v>219</v>
      </c>
      <c r="F21506" s="2" t="str">
        <f>HYPERLINK("http://www.otzar.org/book.asp?51711","מבחר שירי שמואל בן - 2 כר'")</f>
        <v>מבחר שירי שמואל בן - 2 כר'</v>
      </c>
    </row>
    <row r="21507" spans="1:6" x14ac:dyDescent="0.2">
      <c r="A21507" t="s">
        <v>34801</v>
      </c>
      <c r="B21507" t="s">
        <v>9268</v>
      </c>
      <c r="C21507" t="s">
        <v>20</v>
      </c>
      <c r="D21507" t="s">
        <v>147</v>
      </c>
      <c r="E21507" t="s">
        <v>1847</v>
      </c>
      <c r="F21507" s="2" t="str">
        <f>HYPERLINK("http://www.otzar.org/book.asp?160350","מבט באור מעט")</f>
        <v>מבט באור מעט</v>
      </c>
    </row>
    <row r="21508" spans="1:6" x14ac:dyDescent="0.2">
      <c r="A21508" t="s">
        <v>34802</v>
      </c>
      <c r="B21508" t="s">
        <v>31783</v>
      </c>
      <c r="C21508" t="s">
        <v>422</v>
      </c>
      <c r="D21508" t="s">
        <v>486</v>
      </c>
      <c r="F21508" s="2" t="str">
        <f>HYPERLINK("http://www.otzar.org/book.asp?605910","מבט גורלי")</f>
        <v>מבט גורלי</v>
      </c>
    </row>
    <row r="21509" spans="1:6" x14ac:dyDescent="0.2">
      <c r="A21509" t="s">
        <v>34803</v>
      </c>
      <c r="B21509" t="s">
        <v>107</v>
      </c>
      <c r="C21509" t="s">
        <v>454</v>
      </c>
      <c r="D21509" t="s">
        <v>14</v>
      </c>
      <c r="E21509" t="s">
        <v>733</v>
      </c>
      <c r="F21509" s="2" t="str">
        <f>HYPERLINK("http://www.otzar.org/book.asp?164069","מבט על מאורעות התקופה בראי התורה")</f>
        <v>מבט על מאורעות התקופה בראי התורה</v>
      </c>
    </row>
    <row r="21510" spans="1:6" x14ac:dyDescent="0.2">
      <c r="A21510" t="s">
        <v>34804</v>
      </c>
      <c r="B21510" t="s">
        <v>34805</v>
      </c>
      <c r="C21510" t="s">
        <v>334</v>
      </c>
      <c r="D21510" t="s">
        <v>14</v>
      </c>
      <c r="E21510" t="s">
        <v>186</v>
      </c>
      <c r="F21510" s="2" t="str">
        <f>HYPERLINK("http://www.otzar.org/book.asp?22839","מבי מדרשא - 22 כר'")</f>
        <v>מבי מדרשא - 22 כר'</v>
      </c>
    </row>
    <row r="21511" spans="1:6" x14ac:dyDescent="0.2">
      <c r="A21511" t="s">
        <v>34806</v>
      </c>
      <c r="B21511" t="s">
        <v>34807</v>
      </c>
      <c r="C21511" t="s">
        <v>114</v>
      </c>
      <c r="D21511" t="s">
        <v>14</v>
      </c>
      <c r="E21511" t="s">
        <v>202</v>
      </c>
      <c r="F21511" s="2" t="str">
        <f>HYPERLINK("http://www.otzar.org/book.asp?188775","מבי מדרשא - תשע""א")</f>
        <v>מבי מדרשא - תשע"א</v>
      </c>
    </row>
    <row r="21512" spans="1:6" x14ac:dyDescent="0.2">
      <c r="A21512" t="s">
        <v>34808</v>
      </c>
      <c r="B21512" t="s">
        <v>19231</v>
      </c>
      <c r="C21512" t="s">
        <v>37</v>
      </c>
      <c r="D21512" t="s">
        <v>1156</v>
      </c>
      <c r="E21512" t="s">
        <v>202</v>
      </c>
      <c r="F21512" s="2" t="str">
        <f>HYPERLINK("http://www.otzar.org/book.asp?605520","מבי מדרשא - בבא קמא, בבא מציעא")</f>
        <v>מבי מדרשא - בבא קמא, בבא מציעא</v>
      </c>
    </row>
    <row r="21513" spans="1:6" x14ac:dyDescent="0.2">
      <c r="A21513" t="s">
        <v>34809</v>
      </c>
      <c r="B21513" t="s">
        <v>34810</v>
      </c>
      <c r="C21513" t="s">
        <v>68</v>
      </c>
      <c r="D21513" t="s">
        <v>14</v>
      </c>
      <c r="E21513" t="s">
        <v>202</v>
      </c>
      <c r="F21513" s="2" t="str">
        <f>HYPERLINK("http://www.otzar.org/book.asp?162121","מבי מתיבתא")</f>
        <v>מבי מתיבתא</v>
      </c>
    </row>
    <row r="21514" spans="1:6" x14ac:dyDescent="0.2">
      <c r="A21514" t="s">
        <v>34811</v>
      </c>
      <c r="B21514" t="s">
        <v>30579</v>
      </c>
      <c r="C21514" t="s">
        <v>23</v>
      </c>
      <c r="D21514" t="s">
        <v>21</v>
      </c>
      <c r="E21514" t="s">
        <v>202</v>
      </c>
      <c r="F21514" s="2" t="str">
        <f>HYPERLINK("http://www.otzar.org/book.asp?603500","מבי תלמודא - כתובות, נדרים")</f>
        <v>מבי תלמודא - כתובות, נדרים</v>
      </c>
    </row>
    <row r="21515" spans="1:6" x14ac:dyDescent="0.2">
      <c r="A21515" t="s">
        <v>34812</v>
      </c>
      <c r="B21515" t="s">
        <v>34813</v>
      </c>
      <c r="C21515" t="s">
        <v>2284</v>
      </c>
      <c r="D21515" t="s">
        <v>52</v>
      </c>
      <c r="E21515" t="s">
        <v>144</v>
      </c>
      <c r="F21515" s="2" t="str">
        <f>HYPERLINK("http://www.otzar.org/book.asp?22367","מביא וקורא")</f>
        <v>מביא וקורא</v>
      </c>
    </row>
    <row r="21516" spans="1:6" x14ac:dyDescent="0.2">
      <c r="A21516" t="s">
        <v>34814</v>
      </c>
      <c r="B21516" t="s">
        <v>34815</v>
      </c>
      <c r="C21516" t="s">
        <v>106</v>
      </c>
      <c r="D21516" t="s">
        <v>216</v>
      </c>
      <c r="E21516" t="s">
        <v>2071</v>
      </c>
      <c r="F21516" s="2" t="str">
        <f>HYPERLINK("http://www.otzar.org/book.asp?179046","מבין במקרא")</f>
        <v>מבין במקרא</v>
      </c>
    </row>
    <row r="21517" spans="1:6" x14ac:dyDescent="0.2">
      <c r="A21517" t="s">
        <v>34816</v>
      </c>
      <c r="B21517" t="s">
        <v>2396</v>
      </c>
      <c r="C21517" t="s">
        <v>20</v>
      </c>
      <c r="D21517" t="s">
        <v>90</v>
      </c>
      <c r="E21517" t="s">
        <v>158</v>
      </c>
      <c r="F21517" s="2" t="str">
        <f>HYPERLINK("http://www.otzar.org/book.asp?153806","מבין השיטין של תורה")</f>
        <v>מבין השיטין של תורה</v>
      </c>
    </row>
    <row r="21518" spans="1:6" x14ac:dyDescent="0.2">
      <c r="A21518" t="s">
        <v>34817</v>
      </c>
      <c r="B21518" t="s">
        <v>34818</v>
      </c>
      <c r="C21518" t="s">
        <v>4087</v>
      </c>
      <c r="D21518" t="s">
        <v>1023</v>
      </c>
      <c r="E21518" t="s">
        <v>158</v>
      </c>
      <c r="F21518" s="2" t="str">
        <f>HYPERLINK("http://www.otzar.org/book.asp?103084","מבין חידות")</f>
        <v>מבין חידות</v>
      </c>
    </row>
    <row r="21519" spans="1:6" x14ac:dyDescent="0.2">
      <c r="A21519" t="s">
        <v>34819</v>
      </c>
      <c r="B21519" t="s">
        <v>1750</v>
      </c>
      <c r="C21519" t="s">
        <v>422</v>
      </c>
      <c r="D21519" t="s">
        <v>1156</v>
      </c>
      <c r="E21519" t="s">
        <v>202</v>
      </c>
      <c r="F21519" s="2" t="str">
        <f>HYPERLINK("http://www.otzar.org/book.asp?150948","מביני עמודי")</f>
        <v>מביני עמודי</v>
      </c>
    </row>
    <row r="21520" spans="1:6" x14ac:dyDescent="0.2">
      <c r="A21520" t="s">
        <v>34820</v>
      </c>
      <c r="B21520" t="s">
        <v>34821</v>
      </c>
      <c r="C21520" t="s">
        <v>523</v>
      </c>
      <c r="D21520" t="s">
        <v>52</v>
      </c>
      <c r="E21520" t="s">
        <v>104</v>
      </c>
      <c r="F21520" s="2" t="str">
        <f>HYPERLINK("http://www.otzar.org/book.asp?169374","מבית אבא - בעקבות בית אבא")</f>
        <v>מבית אבא - בעקבות בית אבא</v>
      </c>
    </row>
    <row r="21521" spans="1:6" x14ac:dyDescent="0.2">
      <c r="A21521" t="s">
        <v>34822</v>
      </c>
      <c r="B21521" t="s">
        <v>34823</v>
      </c>
      <c r="D21521" t="s">
        <v>52</v>
      </c>
      <c r="F21521" s="2" t="str">
        <f>HYPERLINK("http://www.otzar.org/book.asp?191439","מבית אבא - 4 כר'")</f>
        <v>מבית אבא - 4 כר'</v>
      </c>
    </row>
    <row r="21522" spans="1:6" x14ac:dyDescent="0.2">
      <c r="A21522" t="s">
        <v>34824</v>
      </c>
      <c r="B21522" t="s">
        <v>34825</v>
      </c>
      <c r="C21522" t="s">
        <v>313</v>
      </c>
      <c r="D21522" t="s">
        <v>14</v>
      </c>
      <c r="E21522" t="s">
        <v>463</v>
      </c>
      <c r="F21522" s="2" t="str">
        <f>HYPERLINK("http://www.otzar.org/book.asp?149709","מבית אברהם - 3 כר'")</f>
        <v>מבית אברהם - 3 כר'</v>
      </c>
    </row>
    <row r="21523" spans="1:6" x14ac:dyDescent="0.2">
      <c r="A21523" t="s">
        <v>34826</v>
      </c>
      <c r="B21523" t="s">
        <v>34827</v>
      </c>
      <c r="C21523" t="s">
        <v>176</v>
      </c>
      <c r="D21523" t="s">
        <v>14</v>
      </c>
      <c r="E21523" t="s">
        <v>1072</v>
      </c>
      <c r="F21523" s="2" t="str">
        <f>HYPERLINK("http://www.otzar.org/book.asp?144992","מבית אברהם - 2 כר'")</f>
        <v>מבית אברהם - 2 כר'</v>
      </c>
    </row>
    <row r="21524" spans="1:6" x14ac:dyDescent="0.2">
      <c r="A21524" t="s">
        <v>34828</v>
      </c>
      <c r="B21524" t="s">
        <v>34829</v>
      </c>
      <c r="C21524" t="s">
        <v>68</v>
      </c>
      <c r="D21524" t="s">
        <v>412</v>
      </c>
      <c r="E21524" t="s">
        <v>393</v>
      </c>
      <c r="F21524" s="2" t="str">
        <f>HYPERLINK("http://www.otzar.org/book.asp?163226","מבית הגנזים")</f>
        <v>מבית הגנזים</v>
      </c>
    </row>
    <row r="21525" spans="1:6" x14ac:dyDescent="0.2">
      <c r="A21525" t="s">
        <v>34830</v>
      </c>
      <c r="B21525" t="s">
        <v>14338</v>
      </c>
      <c r="C21525" t="s">
        <v>411</v>
      </c>
      <c r="D21525" t="s">
        <v>14</v>
      </c>
      <c r="E21525" t="s">
        <v>15</v>
      </c>
      <c r="F21525" s="2" t="str">
        <f>HYPERLINK("http://www.otzar.org/book.asp?166096","מבית היין")</f>
        <v>מבית היין</v>
      </c>
    </row>
    <row r="21526" spans="1:6" x14ac:dyDescent="0.2">
      <c r="A21526" t="s">
        <v>34831</v>
      </c>
      <c r="B21526" t="s">
        <v>34832</v>
      </c>
      <c r="C21526" t="s">
        <v>1570</v>
      </c>
      <c r="D21526" t="s">
        <v>115</v>
      </c>
      <c r="E21526" t="s">
        <v>384</v>
      </c>
      <c r="F21526" s="2" t="str">
        <f>HYPERLINK("http://www.otzar.org/book.asp?160042","מבית יעקב")</f>
        <v>מבית יעקב</v>
      </c>
    </row>
    <row r="21527" spans="1:6" x14ac:dyDescent="0.2">
      <c r="A21527" t="s">
        <v>34833</v>
      </c>
      <c r="B21527" t="s">
        <v>1083</v>
      </c>
      <c r="C21527" t="s">
        <v>129</v>
      </c>
      <c r="D21527" t="s">
        <v>152</v>
      </c>
      <c r="F21527" s="2" t="str">
        <f>HYPERLINK("http://www.otzar.org/book.asp?163829","מבית ישראל - 2 כר'")</f>
        <v>מבית ישראל - 2 כר'</v>
      </c>
    </row>
    <row r="21528" spans="1:6" x14ac:dyDescent="0.2">
      <c r="A21528" t="s">
        <v>34834</v>
      </c>
      <c r="B21528" t="s">
        <v>34835</v>
      </c>
      <c r="C21528" t="s">
        <v>383</v>
      </c>
      <c r="D21528" t="s">
        <v>52</v>
      </c>
      <c r="E21528" t="s">
        <v>2091</v>
      </c>
      <c r="F21528" s="2" t="str">
        <f>HYPERLINK("http://www.otzar.org/book.asp?52309","מבית לוי - 26 כר'")</f>
        <v>מבית לוי - 26 כר'</v>
      </c>
    </row>
    <row r="21529" spans="1:6" x14ac:dyDescent="0.2">
      <c r="A21529" t="s">
        <v>34836</v>
      </c>
      <c r="B21529" t="s">
        <v>34837</v>
      </c>
      <c r="C21529" t="s">
        <v>4144</v>
      </c>
      <c r="D21529" t="s">
        <v>283</v>
      </c>
      <c r="E21529" t="s">
        <v>34838</v>
      </c>
      <c r="F21529" s="2" t="str">
        <f>HYPERLINK("http://www.otzar.org/book.asp?21537","מבית מאיר &lt;חקר הלכות&gt; - 4 כר'")</f>
        <v>מבית מאיר &lt;חקר הלכות&gt; - 4 כר'</v>
      </c>
    </row>
    <row r="21530" spans="1:6" x14ac:dyDescent="0.2">
      <c r="A21530" t="s">
        <v>34839</v>
      </c>
      <c r="B21530" t="s">
        <v>34840</v>
      </c>
      <c r="C21530" t="s">
        <v>775</v>
      </c>
      <c r="D21530" t="s">
        <v>13187</v>
      </c>
      <c r="E21530" t="s">
        <v>144</v>
      </c>
      <c r="F21530" s="2" t="str">
        <f>HYPERLINK("http://www.otzar.org/book.asp?180871","מבית מדרשו של מהרש""ל  למסכת גיטין - מגדל דוד - חכמת שלמה")</f>
        <v>מבית מדרשו של מהרש"ל  למסכת גיטין - מגדל דוד - חכמת שלמה</v>
      </c>
    </row>
    <row r="21531" spans="1:6" x14ac:dyDescent="0.2">
      <c r="A21531" t="s">
        <v>34841</v>
      </c>
      <c r="B21531" t="s">
        <v>11528</v>
      </c>
      <c r="C21531" t="s">
        <v>68</v>
      </c>
      <c r="D21531" t="s">
        <v>14</v>
      </c>
      <c r="E21531" t="s">
        <v>144</v>
      </c>
      <c r="F21531" s="2" t="str">
        <f>HYPERLINK("http://www.otzar.org/book.asp?197900","מבית מדרשנו - 11 כר'")</f>
        <v>מבית מדרשנו - 11 כר'</v>
      </c>
    </row>
    <row r="21532" spans="1:6" x14ac:dyDescent="0.2">
      <c r="A21532" t="s">
        <v>34842</v>
      </c>
      <c r="B21532" t="s">
        <v>34805</v>
      </c>
      <c r="C21532" t="s">
        <v>1448</v>
      </c>
      <c r="D21532" t="s">
        <v>14</v>
      </c>
      <c r="E21532" t="s">
        <v>4022</v>
      </c>
      <c r="F21532" s="2" t="str">
        <f>HYPERLINK("http://www.otzar.org/book.asp?172241","מבית מדרשנו - קובץ חנוכה")</f>
        <v>מבית מדרשנו - קובץ חנוכה</v>
      </c>
    </row>
    <row r="21533" spans="1:6" x14ac:dyDescent="0.2">
      <c r="A21533" t="s">
        <v>34843</v>
      </c>
      <c r="B21533" t="s">
        <v>8148</v>
      </c>
      <c r="C21533" t="s">
        <v>422</v>
      </c>
      <c r="D21533" t="s">
        <v>245</v>
      </c>
      <c r="E21533" t="s">
        <v>130</v>
      </c>
      <c r="F21533" s="2" t="str">
        <f>HYPERLINK("http://www.otzar.org/book.asp?160404","מבית עבדים - 2 כר'")</f>
        <v>מבית עבדים - 2 כר'</v>
      </c>
    </row>
    <row r="21534" spans="1:6" x14ac:dyDescent="0.2">
      <c r="A21534" t="s">
        <v>34844</v>
      </c>
      <c r="B21534" t="s">
        <v>34845</v>
      </c>
      <c r="C21534" t="s">
        <v>313</v>
      </c>
      <c r="D21534" t="s">
        <v>52</v>
      </c>
      <c r="E21534" t="s">
        <v>158</v>
      </c>
      <c r="F21534" s="2" t="str">
        <f>HYPERLINK("http://www.otzar.org/book.asp?165461","מבית ציון")</f>
        <v>מבית ציון</v>
      </c>
    </row>
    <row r="21535" spans="1:6" x14ac:dyDescent="0.2">
      <c r="A21535" t="s">
        <v>34846</v>
      </c>
      <c r="B21535" t="s">
        <v>33991</v>
      </c>
      <c r="C21535" t="s">
        <v>244</v>
      </c>
      <c r="D21535" t="s">
        <v>6853</v>
      </c>
      <c r="F21535" s="2" t="str">
        <f>HYPERLINK("http://www.otzar.org/book.asp?616373","מבכורי המקום - 2 כר'")</f>
        <v>מבכורי המקום - 2 כר'</v>
      </c>
    </row>
    <row r="21536" spans="1:6" x14ac:dyDescent="0.2">
      <c r="A21536" t="s">
        <v>34847</v>
      </c>
      <c r="B21536" t="s">
        <v>34848</v>
      </c>
      <c r="C21536" t="s">
        <v>34849</v>
      </c>
      <c r="D21536" t="s">
        <v>27</v>
      </c>
      <c r="E21536" t="s">
        <v>144</v>
      </c>
      <c r="F21536" s="2" t="str">
        <f>HYPERLINK("http://www.otzar.org/book.asp?180632","מבן שמואל")</f>
        <v>מבן שמואל</v>
      </c>
    </row>
    <row r="21537" spans="1:6" x14ac:dyDescent="0.2">
      <c r="A21537" t="s">
        <v>34850</v>
      </c>
      <c r="B21537" t="s">
        <v>34851</v>
      </c>
      <c r="C21537" t="s">
        <v>940</v>
      </c>
      <c r="D21537" t="s">
        <v>14</v>
      </c>
      <c r="E21537" t="s">
        <v>15</v>
      </c>
      <c r="F21537" s="2" t="str">
        <f>HYPERLINK("http://www.otzar.org/book.asp?163146","מבנה מקואות והכשרם - 2 כר'")</f>
        <v>מבנה מקואות והכשרם - 2 כר'</v>
      </c>
    </row>
    <row r="21538" spans="1:6" x14ac:dyDescent="0.2">
      <c r="A21538" t="s">
        <v>34852</v>
      </c>
      <c r="B21538" t="s">
        <v>34853</v>
      </c>
      <c r="C21538" t="s">
        <v>1706</v>
      </c>
      <c r="D21538" t="s">
        <v>283</v>
      </c>
      <c r="E21538" t="s">
        <v>246</v>
      </c>
      <c r="F21538" s="2" t="str">
        <f>HYPERLINK("http://www.otzar.org/book.asp?108717","מבני אשר")</f>
        <v>מבני אשר</v>
      </c>
    </row>
    <row r="21539" spans="1:6" x14ac:dyDescent="0.2">
      <c r="A21539" t="s">
        <v>34854</v>
      </c>
      <c r="B21539" t="s">
        <v>34855</v>
      </c>
      <c r="C21539" t="s">
        <v>13</v>
      </c>
      <c r="D21539" t="s">
        <v>14</v>
      </c>
      <c r="E21539" t="s">
        <v>474</v>
      </c>
      <c r="F21539" s="2" t="str">
        <f>HYPERLINK("http://www.otzar.org/book.asp?61070","מבעד לחרכים")</f>
        <v>מבעד לחרכים</v>
      </c>
    </row>
    <row r="21540" spans="1:6" x14ac:dyDescent="0.2">
      <c r="A21540" t="s">
        <v>34856</v>
      </c>
      <c r="B21540" t="s">
        <v>34857</v>
      </c>
      <c r="C21540" t="s">
        <v>1811</v>
      </c>
      <c r="D21540" t="s">
        <v>14</v>
      </c>
      <c r="E21540" t="s">
        <v>104</v>
      </c>
      <c r="F21540" s="2" t="str">
        <f>HYPERLINK("http://www.otzar.org/book.asp?158347","מבעד למסוה")</f>
        <v>מבעד למסוה</v>
      </c>
    </row>
    <row r="21541" spans="1:6" x14ac:dyDescent="0.2">
      <c r="A21541" t="s">
        <v>34858</v>
      </c>
      <c r="B21541" t="s">
        <v>34859</v>
      </c>
      <c r="C21541" t="s">
        <v>775</v>
      </c>
      <c r="D21541" t="s">
        <v>14</v>
      </c>
      <c r="E21541" t="s">
        <v>119</v>
      </c>
      <c r="F21541" s="2" t="str">
        <f>HYPERLINK("http://www.otzar.org/book.asp?144063","מבצע הצלת התורה")</f>
        <v>מבצע הצלת התורה</v>
      </c>
    </row>
    <row r="21542" spans="1:6" x14ac:dyDescent="0.2">
      <c r="A21542" t="s">
        <v>34860</v>
      </c>
      <c r="B21542" t="s">
        <v>5655</v>
      </c>
      <c r="C21542" t="s">
        <v>20</v>
      </c>
      <c r="D21542" t="s">
        <v>14</v>
      </c>
      <c r="E21542" t="s">
        <v>104</v>
      </c>
      <c r="F21542" s="2" t="str">
        <f>HYPERLINK("http://www.otzar.org/book.asp?160004","מבצע קודש הדפסת ספרי גדולי רבני ג'רבא")</f>
        <v>מבצע קודש הדפסת ספרי גדולי רבני ג'רבא</v>
      </c>
    </row>
    <row r="21543" spans="1:6" x14ac:dyDescent="0.2">
      <c r="A21543" t="s">
        <v>34861</v>
      </c>
      <c r="B21543" t="s">
        <v>34862</v>
      </c>
      <c r="C21543" t="s">
        <v>3106</v>
      </c>
      <c r="D21543" t="s">
        <v>646</v>
      </c>
      <c r="E21543" t="s">
        <v>119</v>
      </c>
      <c r="F21543" s="2" t="str">
        <f>HYPERLINK("http://www.otzar.org/book.asp?166309","מבצר היהדות באנגליה - סיפור מחזיקי הדת &lt;A FROTRESS IN ANGLO-JEWRY&gt;")</f>
        <v>מבצר היהדות באנגליה - סיפור מחזיקי הדת &lt;A FROTRESS IN ANGLO-JEWRY&gt;</v>
      </c>
    </row>
    <row r="21544" spans="1:6" x14ac:dyDescent="0.2">
      <c r="A21544" t="s">
        <v>34863</v>
      </c>
      <c r="B21544" t="s">
        <v>34864</v>
      </c>
      <c r="C21544" t="s">
        <v>624</v>
      </c>
      <c r="D21544" t="s">
        <v>52</v>
      </c>
      <c r="E21544" t="s">
        <v>34865</v>
      </c>
      <c r="F21544" s="2" t="str">
        <f>HYPERLINK("http://www.otzar.org/book.asp?159158","מבצר יצחק - יצחק ירנן")</f>
        <v>מבצר יצחק - יצחק ירנן</v>
      </c>
    </row>
    <row r="21545" spans="1:6" x14ac:dyDescent="0.2">
      <c r="A21545" t="s">
        <v>34866</v>
      </c>
      <c r="B21545" t="s">
        <v>34867</v>
      </c>
      <c r="C21545" t="s">
        <v>1169</v>
      </c>
      <c r="D21545" t="s">
        <v>34868</v>
      </c>
      <c r="E21545" t="s">
        <v>81</v>
      </c>
      <c r="F21545" s="2" t="str">
        <f>HYPERLINK("http://www.otzar.org/book.asp?107002","מבצר ישראל")</f>
        <v>מבצר ישראל</v>
      </c>
    </row>
    <row r="21546" spans="1:6" x14ac:dyDescent="0.2">
      <c r="A21546" t="s">
        <v>34869</v>
      </c>
      <c r="B21546" t="s">
        <v>8447</v>
      </c>
      <c r="C21546" t="s">
        <v>2644</v>
      </c>
      <c r="D21546" t="s">
        <v>1365</v>
      </c>
      <c r="E21546" t="s">
        <v>993</v>
      </c>
      <c r="F21546" s="2" t="str">
        <f>HYPERLINK("http://www.otzar.org/book.asp?624697","מבצרי הדת")</f>
        <v>מבצרי הדת</v>
      </c>
    </row>
    <row r="21547" spans="1:6" x14ac:dyDescent="0.2">
      <c r="A21547" t="s">
        <v>34870</v>
      </c>
      <c r="B21547" t="s">
        <v>34871</v>
      </c>
      <c r="C21547" t="s">
        <v>151</v>
      </c>
      <c r="D21547" t="s">
        <v>1550</v>
      </c>
      <c r="F21547" s="2" t="str">
        <f>HYPERLINK("http://www.otzar.org/book.asp?616856","מבצרי יהודה - 20 כר'")</f>
        <v>מבצרי יהודה - 20 כר'</v>
      </c>
    </row>
    <row r="21548" spans="1:6" x14ac:dyDescent="0.2">
      <c r="A21548" t="s">
        <v>34872</v>
      </c>
      <c r="B21548" t="s">
        <v>1393</v>
      </c>
      <c r="C21548" t="s">
        <v>2008</v>
      </c>
      <c r="D21548" t="s">
        <v>27</v>
      </c>
      <c r="E21548" t="s">
        <v>12089</v>
      </c>
      <c r="F21548" s="2" t="str">
        <f>HYPERLINK("http://www.otzar.org/book.asp?10235","מבקש אמונה - 4 כר'")</f>
        <v>מבקש אמונה - 4 כר'</v>
      </c>
    </row>
    <row r="21549" spans="1:6" x14ac:dyDescent="0.2">
      <c r="A21549" t="s">
        <v>34873</v>
      </c>
      <c r="B21549" t="s">
        <v>14215</v>
      </c>
      <c r="C21549" t="s">
        <v>14216</v>
      </c>
      <c r="D21549" t="s">
        <v>49</v>
      </c>
      <c r="F21549" s="2" t="str">
        <f>HYPERLINK("http://www.otzar.org/book.asp?618720","מבקש ה' - 2 כר'")</f>
        <v>מבקש ה' - 2 כר'</v>
      </c>
    </row>
    <row r="21550" spans="1:6" x14ac:dyDescent="0.2">
      <c r="A21550" t="s">
        <v>34874</v>
      </c>
      <c r="B21550" t="s">
        <v>34875</v>
      </c>
      <c r="C21550" t="s">
        <v>767</v>
      </c>
      <c r="D21550" t="s">
        <v>21</v>
      </c>
      <c r="E21550" t="s">
        <v>202</v>
      </c>
      <c r="F21550" s="2" t="str">
        <f>HYPERLINK("http://www.otzar.org/book.asp?190889","מבקשי אמונה - 3 כר'")</f>
        <v>מבקשי אמונה - 3 כר'</v>
      </c>
    </row>
    <row r="21551" spans="1:6" x14ac:dyDescent="0.2">
      <c r="A21551" t="s">
        <v>34876</v>
      </c>
      <c r="B21551" t="s">
        <v>34877</v>
      </c>
      <c r="C21551" t="s">
        <v>356</v>
      </c>
      <c r="D21551" t="s">
        <v>52</v>
      </c>
      <c r="E21551" t="s">
        <v>34878</v>
      </c>
      <c r="F21551" s="2" t="str">
        <f>HYPERLINK("http://www.otzar.org/book.asp?11860","מבקשי השלמות")</f>
        <v>מבקשי השלמות</v>
      </c>
    </row>
    <row r="21552" spans="1:6" x14ac:dyDescent="0.2">
      <c r="A21552" t="s">
        <v>34879</v>
      </c>
      <c r="B21552" t="s">
        <v>19311</v>
      </c>
      <c r="C21552" t="s">
        <v>20</v>
      </c>
      <c r="D21552" t="s">
        <v>152</v>
      </c>
      <c r="E21552" t="s">
        <v>104</v>
      </c>
      <c r="F21552" s="2" t="str">
        <f>HYPERLINK("http://www.otzar.org/book.asp?173260","מבקשי פניך")</f>
        <v>מבקשי פניך</v>
      </c>
    </row>
    <row r="21553" spans="1:6" x14ac:dyDescent="0.2">
      <c r="A21553" t="s">
        <v>34880</v>
      </c>
      <c r="B21553" t="s">
        <v>34881</v>
      </c>
      <c r="C21553" t="s">
        <v>37</v>
      </c>
      <c r="D21553" t="s">
        <v>1840</v>
      </c>
      <c r="F21553" s="2" t="str">
        <f>HYPERLINK("http://www.otzar.org/book.asp?198538","מבשן אשיב - א")</f>
        <v>מבשן אשיב - א</v>
      </c>
    </row>
    <row r="21554" spans="1:6" x14ac:dyDescent="0.2">
      <c r="A21554" t="s">
        <v>34882</v>
      </c>
      <c r="B21554" t="s">
        <v>34883</v>
      </c>
      <c r="C21554" t="s">
        <v>68</v>
      </c>
      <c r="D21554" t="s">
        <v>52</v>
      </c>
      <c r="E21554" t="s">
        <v>148</v>
      </c>
      <c r="F21554" s="2" t="str">
        <f>HYPERLINK("http://www.otzar.org/book.asp?172822","מבשן אשיב - 16 כר'")</f>
        <v>מבשן אשיב - 16 כר'</v>
      </c>
    </row>
    <row r="21555" spans="1:6" x14ac:dyDescent="0.2">
      <c r="A21555" t="s">
        <v>34884</v>
      </c>
      <c r="B21555" t="s">
        <v>14472</v>
      </c>
      <c r="C21555" t="s">
        <v>506</v>
      </c>
      <c r="D21555" t="s">
        <v>27</v>
      </c>
      <c r="E21555" t="s">
        <v>733</v>
      </c>
      <c r="F21555" s="2" t="str">
        <f>HYPERLINK("http://www.otzar.org/book.asp?179591","מבשר ואומר")</f>
        <v>מבשר ואומר</v>
      </c>
    </row>
    <row r="21556" spans="1:6" x14ac:dyDescent="0.2">
      <c r="A21556" t="s">
        <v>34885</v>
      </c>
      <c r="B21556" t="s">
        <v>34886</v>
      </c>
      <c r="C21556" t="s">
        <v>37</v>
      </c>
      <c r="D21556" t="s">
        <v>52</v>
      </c>
      <c r="E21556" t="s">
        <v>234</v>
      </c>
      <c r="F21556" s="2" t="str">
        <f>HYPERLINK("http://www.otzar.org/book.asp?186714","מבשר טוב &lt;מהדורה חדשה&gt;")</f>
        <v>מבשר טוב &lt;מהדורה חדשה&gt;</v>
      </c>
    </row>
    <row r="21557" spans="1:6" x14ac:dyDescent="0.2">
      <c r="A21557" t="s">
        <v>34887</v>
      </c>
      <c r="B21557" t="s">
        <v>34888</v>
      </c>
      <c r="C21557" t="s">
        <v>68</v>
      </c>
      <c r="D21557" t="s">
        <v>14</v>
      </c>
      <c r="E21557" t="s">
        <v>144</v>
      </c>
      <c r="F21557" s="2" t="str">
        <f>HYPERLINK("http://www.otzar.org/book.asp?162219","מבשר טוב &lt;על הש""ס&gt; - 6 כר'")</f>
        <v>מבשר טוב &lt;על הש"ס&gt; - 6 כר'</v>
      </c>
    </row>
    <row r="21558" spans="1:6" x14ac:dyDescent="0.2">
      <c r="A21558" t="s">
        <v>34889</v>
      </c>
      <c r="B21558" t="s">
        <v>34888</v>
      </c>
      <c r="C21558" t="s">
        <v>411</v>
      </c>
      <c r="D21558" t="s">
        <v>14</v>
      </c>
      <c r="E21558" t="s">
        <v>158</v>
      </c>
      <c r="F21558" s="2" t="str">
        <f>HYPERLINK("http://www.otzar.org/book.asp?171337","מבשר טוב (תורה) - 2 כר'")</f>
        <v>מבשר טוב (תורה) - 2 כר'</v>
      </c>
    </row>
    <row r="21559" spans="1:6" x14ac:dyDescent="0.2">
      <c r="A21559" t="s">
        <v>34890</v>
      </c>
      <c r="B21559" t="s">
        <v>34888</v>
      </c>
      <c r="C21559" t="s">
        <v>114</v>
      </c>
      <c r="D21559" t="s">
        <v>14</v>
      </c>
      <c r="E21559" t="s">
        <v>158</v>
      </c>
      <c r="F21559" s="2" t="str">
        <f>HYPERLINK("http://www.otzar.org/book.asp?162228","מבשר טוב על התורה (באנגלית)")</f>
        <v>מבשר טוב על התורה (באנגלית)</v>
      </c>
    </row>
    <row r="21560" spans="1:6" x14ac:dyDescent="0.2">
      <c r="A21560" t="s">
        <v>34891</v>
      </c>
      <c r="B21560" t="s">
        <v>34892</v>
      </c>
      <c r="C21560" t="s">
        <v>106</v>
      </c>
      <c r="D21560" t="s">
        <v>412</v>
      </c>
      <c r="E21560" t="s">
        <v>154</v>
      </c>
      <c r="F21560" s="2" t="str">
        <f>HYPERLINK("http://www.otzar.org/book.asp?84967","מבשר טוב - 3 כר'")</f>
        <v>מבשר טוב - 3 כר'</v>
      </c>
    </row>
    <row r="21561" spans="1:6" x14ac:dyDescent="0.2">
      <c r="A21561" t="s">
        <v>34893</v>
      </c>
      <c r="B21561" t="s">
        <v>23158</v>
      </c>
      <c r="C21561" t="s">
        <v>360</v>
      </c>
      <c r="D21561" t="s">
        <v>27</v>
      </c>
      <c r="E21561" t="s">
        <v>104</v>
      </c>
      <c r="F21561" s="2" t="str">
        <f>HYPERLINK("http://www.otzar.org/book.asp?157475","מבשר טוב")</f>
        <v>מבשר טוב</v>
      </c>
    </row>
    <row r="21562" spans="1:6" x14ac:dyDescent="0.2">
      <c r="A21562" t="s">
        <v>34893</v>
      </c>
      <c r="B21562" t="s">
        <v>26660</v>
      </c>
      <c r="C21562" t="s">
        <v>1470</v>
      </c>
      <c r="D21562" t="s">
        <v>27</v>
      </c>
      <c r="E21562" t="s">
        <v>213</v>
      </c>
      <c r="F21562" s="2" t="str">
        <f>HYPERLINK("http://www.otzar.org/book.asp?7005","מבשר טוב")</f>
        <v>מבשר טוב</v>
      </c>
    </row>
    <row r="21563" spans="1:6" x14ac:dyDescent="0.2">
      <c r="A21563" t="s">
        <v>34893</v>
      </c>
      <c r="B21563" t="s">
        <v>34886</v>
      </c>
      <c r="C21563" t="s">
        <v>3246</v>
      </c>
      <c r="D21563" t="s">
        <v>34894</v>
      </c>
      <c r="E21563" t="s">
        <v>435</v>
      </c>
      <c r="F21563" s="2" t="str">
        <f>HYPERLINK("http://www.otzar.org/book.asp?166883","מבשר טוב")</f>
        <v>מבשר טוב</v>
      </c>
    </row>
    <row r="21564" spans="1:6" x14ac:dyDescent="0.2">
      <c r="A21564" t="s">
        <v>34895</v>
      </c>
      <c r="B21564" t="s">
        <v>34896</v>
      </c>
      <c r="C21564" t="s">
        <v>422</v>
      </c>
      <c r="D21564" t="s">
        <v>2285</v>
      </c>
      <c r="E21564" t="s">
        <v>158</v>
      </c>
      <c r="F21564" s="2" t="str">
        <f>HYPERLINK("http://www.otzar.org/book.asp?180836","מבשר טוב - 12 כר'")</f>
        <v>מבשר טוב - 12 כר'</v>
      </c>
    </row>
    <row r="21565" spans="1:6" x14ac:dyDescent="0.2">
      <c r="A21565" t="s">
        <v>34897</v>
      </c>
      <c r="B21565" t="s">
        <v>34898</v>
      </c>
      <c r="C21565" t="s">
        <v>1535</v>
      </c>
      <c r="D21565" t="s">
        <v>34899</v>
      </c>
      <c r="E21565" t="s">
        <v>119</v>
      </c>
      <c r="F21565" s="2" t="str">
        <f>HYPERLINK("http://www.otzar.org/book.asp?51681","מבשר טוב - 2 כר'")</f>
        <v>מבשר טוב - 2 כר'</v>
      </c>
    </row>
    <row r="21566" spans="1:6" x14ac:dyDescent="0.2">
      <c r="A21566" t="s">
        <v>34900</v>
      </c>
      <c r="B21566" t="s">
        <v>34888</v>
      </c>
      <c r="C21566" t="s">
        <v>51</v>
      </c>
      <c r="D21566" t="s">
        <v>14</v>
      </c>
      <c r="E21566" t="s">
        <v>703</v>
      </c>
      <c r="F21566" s="2" t="str">
        <f>HYPERLINK("http://www.otzar.org/book.asp?61940","מבשר טוב - 33 כר'")</f>
        <v>מבשר טוב - 33 כר'</v>
      </c>
    </row>
    <row r="21567" spans="1:6" x14ac:dyDescent="0.2">
      <c r="A21567" t="s">
        <v>34901</v>
      </c>
      <c r="B21567" t="s">
        <v>34901</v>
      </c>
      <c r="C21567" t="s">
        <v>492</v>
      </c>
      <c r="D21567" t="s">
        <v>283</v>
      </c>
      <c r="E21567" t="s">
        <v>104</v>
      </c>
      <c r="F21567" s="2" t="str">
        <f>HYPERLINK("http://www.otzar.org/book.asp?200671","מבשר ישועה")</f>
        <v>מבשר ישועה</v>
      </c>
    </row>
    <row r="21568" spans="1:6" x14ac:dyDescent="0.2">
      <c r="A21568" t="s">
        <v>34902</v>
      </c>
      <c r="B21568" t="s">
        <v>34903</v>
      </c>
      <c r="C21568" t="s">
        <v>956</v>
      </c>
      <c r="D21568" t="s">
        <v>14</v>
      </c>
      <c r="E21568" t="s">
        <v>34904</v>
      </c>
      <c r="F21568" s="2" t="str">
        <f>HYPERLINK("http://www.otzar.org/book.asp?14040","מבשר עזרא")</f>
        <v>מבשר עזרא</v>
      </c>
    </row>
    <row r="21569" spans="1:6" x14ac:dyDescent="0.2">
      <c r="A21569" t="s">
        <v>34905</v>
      </c>
      <c r="B21569" t="s">
        <v>12892</v>
      </c>
      <c r="C21569" t="s">
        <v>594</v>
      </c>
      <c r="D21569" t="s">
        <v>855</v>
      </c>
      <c r="E21569" t="s">
        <v>23534</v>
      </c>
      <c r="F21569" s="2" t="str">
        <f>HYPERLINK("http://www.otzar.org/book.asp?16635","מבשר צדק &lt;ילקוט המליצות&gt;")</f>
        <v>מבשר צדק &lt;ילקוט המליצות&gt;</v>
      </c>
    </row>
    <row r="21570" spans="1:6" x14ac:dyDescent="0.2">
      <c r="A21570" t="s">
        <v>34906</v>
      </c>
      <c r="B21570" t="s">
        <v>12892</v>
      </c>
      <c r="C21570" t="s">
        <v>68</v>
      </c>
      <c r="D21570" t="s">
        <v>139</v>
      </c>
      <c r="E21570" t="s">
        <v>158</v>
      </c>
      <c r="F21570" s="2" t="str">
        <f>HYPERLINK("http://www.otzar.org/book.asp?168723","מבשר צדק &lt;מהדורה חדשה&gt;")</f>
        <v>מבשר צדק &lt;מהדורה חדשה&gt;</v>
      </c>
    </row>
    <row r="21571" spans="1:6" x14ac:dyDescent="0.2">
      <c r="A21571" t="s">
        <v>34907</v>
      </c>
      <c r="B21571" t="s">
        <v>12892</v>
      </c>
      <c r="C21571" t="s">
        <v>4374</v>
      </c>
      <c r="D21571" t="s">
        <v>1279</v>
      </c>
      <c r="E21571" t="s">
        <v>1185</v>
      </c>
      <c r="F21571" s="2" t="str">
        <f>HYPERLINK("http://www.otzar.org/book.asp?102304","מבשר צדק - 2 כר'")</f>
        <v>מבשר צדק - 2 כר'</v>
      </c>
    </row>
    <row r="21572" spans="1:6" x14ac:dyDescent="0.2">
      <c r="A21572" t="s">
        <v>34908</v>
      </c>
      <c r="B21572" t="s">
        <v>24209</v>
      </c>
      <c r="C21572" t="s">
        <v>1535</v>
      </c>
      <c r="D21572" t="s">
        <v>974</v>
      </c>
      <c r="E21572" t="s">
        <v>158</v>
      </c>
      <c r="F21572" s="2" t="str">
        <f>HYPERLINK("http://www.otzar.org/book.asp?28423","מבשר צדק - 3 כר'")</f>
        <v>מבשר צדק - 3 כר'</v>
      </c>
    </row>
    <row r="21573" spans="1:6" x14ac:dyDescent="0.2">
      <c r="A21573" t="s">
        <v>34909</v>
      </c>
      <c r="B21573" t="s">
        <v>34910</v>
      </c>
      <c r="C21573" t="s">
        <v>492</v>
      </c>
      <c r="D21573" t="s">
        <v>283</v>
      </c>
      <c r="E21573" t="s">
        <v>148</v>
      </c>
      <c r="F21573" s="2" t="str">
        <f>HYPERLINK("http://www.otzar.org/book.asp?146984","מבשר צדק")</f>
        <v>מבשר צדק</v>
      </c>
    </row>
    <row r="21574" spans="1:6" x14ac:dyDescent="0.2">
      <c r="A21574" t="s">
        <v>34911</v>
      </c>
      <c r="B21574" t="s">
        <v>30566</v>
      </c>
      <c r="C21574" t="s">
        <v>8</v>
      </c>
      <c r="D21574" t="s">
        <v>23921</v>
      </c>
      <c r="E21574" t="s">
        <v>12983</v>
      </c>
      <c r="F21574" s="2" t="str">
        <f>HYPERLINK("http://www.otzar.org/book.asp?6462","מבשר שלום")</f>
        <v>מבשר שלום</v>
      </c>
    </row>
    <row r="21575" spans="1:6" x14ac:dyDescent="0.2">
      <c r="A21575" t="s">
        <v>34912</v>
      </c>
      <c r="B21575" t="s">
        <v>10892</v>
      </c>
      <c r="C21575" t="s">
        <v>1458</v>
      </c>
      <c r="D21575" t="s">
        <v>56</v>
      </c>
      <c r="E21575" t="s">
        <v>154</v>
      </c>
      <c r="F21575" s="2" t="str">
        <f>HYPERLINK("http://www.otzar.org/book.asp?19020","מבשרי אחזה")</f>
        <v>מבשרי אחזה</v>
      </c>
    </row>
    <row r="21576" spans="1:6" x14ac:dyDescent="0.2">
      <c r="A21576" t="s">
        <v>5570</v>
      </c>
      <c r="B21576" t="s">
        <v>34913</v>
      </c>
      <c r="C21576" t="s">
        <v>1811</v>
      </c>
      <c r="D21576" t="s">
        <v>1840</v>
      </c>
      <c r="E21576" t="s">
        <v>158</v>
      </c>
      <c r="F21576" s="2" t="str">
        <f>HYPERLINK("http://www.otzar.org/book.asp?172322","מבשרת ציון")</f>
        <v>מבשרת ציון</v>
      </c>
    </row>
    <row r="21577" spans="1:6" x14ac:dyDescent="0.2">
      <c r="A21577" t="s">
        <v>34914</v>
      </c>
      <c r="B21577" t="s">
        <v>30470</v>
      </c>
      <c r="C21577" t="s">
        <v>1811</v>
      </c>
      <c r="D21577" t="s">
        <v>1840</v>
      </c>
      <c r="E21577" t="s">
        <v>158</v>
      </c>
      <c r="F21577" s="2" t="str">
        <f>HYPERLINK("http://www.otzar.org/book.asp?198662","מבשרת ציון - שיר השירים")</f>
        <v>מבשרת ציון - שיר השירים</v>
      </c>
    </row>
    <row r="21578" spans="1:6" x14ac:dyDescent="0.2">
      <c r="A21578" t="s">
        <v>5570</v>
      </c>
      <c r="B21578" t="s">
        <v>34915</v>
      </c>
      <c r="C21578" t="s">
        <v>743</v>
      </c>
      <c r="D21578" t="s">
        <v>34916</v>
      </c>
      <c r="E21578" t="s">
        <v>104</v>
      </c>
      <c r="F21578" s="2" t="str">
        <f>HYPERLINK("http://www.otzar.org/book.asp?179782","מבשרת ציון")</f>
        <v>מבשרת ציון</v>
      </c>
    </row>
    <row r="21579" spans="1:6" x14ac:dyDescent="0.2">
      <c r="A21579" t="s">
        <v>34917</v>
      </c>
      <c r="B21579" t="s">
        <v>7629</v>
      </c>
      <c r="C21579" t="s">
        <v>244</v>
      </c>
      <c r="D21579" t="s">
        <v>14</v>
      </c>
      <c r="F21579" s="2" t="str">
        <f>HYPERLINK("http://www.otzar.org/book.asp?616141","מבשרת ציון - 4 כר'")</f>
        <v>מבשרת ציון - 4 כר'</v>
      </c>
    </row>
    <row r="21580" spans="1:6" x14ac:dyDescent="0.2">
      <c r="A21580" t="s">
        <v>5570</v>
      </c>
      <c r="B21580" t="s">
        <v>30878</v>
      </c>
      <c r="C21580" t="s">
        <v>728</v>
      </c>
      <c r="D21580" t="s">
        <v>8579</v>
      </c>
      <c r="E21580" t="s">
        <v>104</v>
      </c>
      <c r="F21580" s="2" t="str">
        <f>HYPERLINK("http://www.otzar.org/book.asp?19021","מבשרת ציון")</f>
        <v>מבשרת ציון</v>
      </c>
    </row>
    <row r="21581" spans="1:6" x14ac:dyDescent="0.2">
      <c r="A21581" t="s">
        <v>34918</v>
      </c>
      <c r="B21581" t="s">
        <v>34919</v>
      </c>
      <c r="C21581" t="s">
        <v>176</v>
      </c>
      <c r="D21581" t="s">
        <v>14</v>
      </c>
      <c r="E21581" t="s">
        <v>202</v>
      </c>
      <c r="F21581" s="2" t="str">
        <f>HYPERLINK("http://www.otzar.org/book.asp?628754","מגבעות אשורנו - ב זכרון רחל")</f>
        <v>מגבעות אשורנו - ב זכרון רחל</v>
      </c>
    </row>
    <row r="21582" spans="1:6" x14ac:dyDescent="0.2">
      <c r="A21582" t="s">
        <v>34920</v>
      </c>
      <c r="B21582" t="s">
        <v>2663</v>
      </c>
      <c r="C21582" t="s">
        <v>23</v>
      </c>
      <c r="D21582" t="s">
        <v>14</v>
      </c>
      <c r="F21582" s="2" t="str">
        <f>HYPERLINK("http://www.otzar.org/book.asp?182982","מגבעות אשורנו - ירח האיתנים")</f>
        <v>מגבעות אשורנו - ירח האיתנים</v>
      </c>
    </row>
    <row r="21583" spans="1:6" x14ac:dyDescent="0.2">
      <c r="A21583" t="s">
        <v>34921</v>
      </c>
      <c r="B21583" t="s">
        <v>1750</v>
      </c>
      <c r="C21583" t="s">
        <v>523</v>
      </c>
      <c r="D21583" t="s">
        <v>14</v>
      </c>
      <c r="E21583" t="s">
        <v>202</v>
      </c>
      <c r="F21583" s="2" t="str">
        <f>HYPERLINK("http://www.otzar.org/book.asp?161007","מגבעות אשורנו")</f>
        <v>מגבעות אשורנו</v>
      </c>
    </row>
    <row r="21584" spans="1:6" x14ac:dyDescent="0.2">
      <c r="A21584" t="s">
        <v>34922</v>
      </c>
      <c r="B21584" t="s">
        <v>34923</v>
      </c>
      <c r="C21584" t="s">
        <v>2543</v>
      </c>
      <c r="D21584" t="s">
        <v>379</v>
      </c>
      <c r="E21584" t="s">
        <v>34924</v>
      </c>
      <c r="F21584" s="2" t="str">
        <f>HYPERLINK("http://www.otzar.org/book.asp?101033","מגד ארץ")</f>
        <v>מגד ארץ</v>
      </c>
    </row>
    <row r="21585" spans="1:6" x14ac:dyDescent="0.2">
      <c r="A21585" t="s">
        <v>34925</v>
      </c>
      <c r="B21585" t="s">
        <v>34926</v>
      </c>
      <c r="C21585" t="s">
        <v>466</v>
      </c>
      <c r="D21585" t="s">
        <v>14</v>
      </c>
      <c r="E21585" t="s">
        <v>583</v>
      </c>
      <c r="F21585" s="2" t="str">
        <f>HYPERLINK("http://www.otzar.org/book.asp?25972","מגד גבעות עולם - 2 כר'")</f>
        <v>מגד גבעות עולם - 2 כר'</v>
      </c>
    </row>
    <row r="21586" spans="1:6" x14ac:dyDescent="0.2">
      <c r="A21586" t="s">
        <v>34927</v>
      </c>
      <c r="B21586" t="s">
        <v>34928</v>
      </c>
      <c r="C21586" t="s">
        <v>34929</v>
      </c>
      <c r="E21586" t="s">
        <v>144</v>
      </c>
      <c r="F21586" s="2" t="str">
        <f>HYPERLINK("http://www.otzar.org/book.asp?624574","מגד גבעות - 2 כר'")</f>
        <v>מגד גבעות - 2 כר'</v>
      </c>
    </row>
    <row r="21587" spans="1:6" x14ac:dyDescent="0.2">
      <c r="A21587" t="s">
        <v>34930</v>
      </c>
      <c r="B21587" t="s">
        <v>20398</v>
      </c>
      <c r="C21587" t="s">
        <v>151</v>
      </c>
      <c r="D21587" t="s">
        <v>14</v>
      </c>
      <c r="E21587" t="s">
        <v>15</v>
      </c>
      <c r="F21587" s="2" t="str">
        <f>HYPERLINK("http://www.otzar.org/book.asp?629865","מגד גרש ירחים")</f>
        <v>מגד גרש ירחים</v>
      </c>
    </row>
    <row r="21588" spans="1:6" x14ac:dyDescent="0.2">
      <c r="A21588" t="s">
        <v>34931</v>
      </c>
      <c r="B21588" t="s">
        <v>34932</v>
      </c>
      <c r="C21588" t="s">
        <v>20</v>
      </c>
      <c r="D21588" t="s">
        <v>14</v>
      </c>
      <c r="E21588" t="s">
        <v>148</v>
      </c>
      <c r="F21588" s="2" t="str">
        <f>HYPERLINK("http://www.otzar.org/book.asp?166255","מגד חדש - 2 כר'")</f>
        <v>מגד חדש - 2 כר'</v>
      </c>
    </row>
    <row r="21589" spans="1:6" x14ac:dyDescent="0.2">
      <c r="A21589" t="s">
        <v>34933</v>
      </c>
      <c r="B21589" t="s">
        <v>34934</v>
      </c>
      <c r="C21589" t="s">
        <v>87</v>
      </c>
      <c r="D21589" t="s">
        <v>412</v>
      </c>
      <c r="E21589" t="s">
        <v>154</v>
      </c>
      <c r="F21589" s="2" t="str">
        <f>HYPERLINK("http://www.otzar.org/book.asp?603625","מגד יהודה")</f>
        <v>מגד יהודה</v>
      </c>
    </row>
    <row r="21590" spans="1:6" x14ac:dyDescent="0.2">
      <c r="A21590" t="s">
        <v>34935</v>
      </c>
      <c r="B21590" t="s">
        <v>34936</v>
      </c>
      <c r="C21590" t="s">
        <v>146</v>
      </c>
      <c r="D21590" t="s">
        <v>14</v>
      </c>
      <c r="E21590" t="s">
        <v>15</v>
      </c>
      <c r="F21590" s="2" t="str">
        <f>HYPERLINK("http://www.otzar.org/book.asp?148342","מגד יוסף - 3 כר'")</f>
        <v>מגד יוסף - 3 כר'</v>
      </c>
    </row>
    <row r="21591" spans="1:6" x14ac:dyDescent="0.2">
      <c r="A21591" t="s">
        <v>34937</v>
      </c>
      <c r="B21591" t="s">
        <v>34938</v>
      </c>
      <c r="C21591" t="s">
        <v>151</v>
      </c>
      <c r="D21591" t="s">
        <v>21</v>
      </c>
      <c r="E21591" t="s">
        <v>10395</v>
      </c>
      <c r="F21591" s="2" t="str">
        <f>HYPERLINK("http://www.otzar.org/book.asp?621719","מגד יוסף")</f>
        <v>מגד יוסף</v>
      </c>
    </row>
    <row r="21592" spans="1:6" x14ac:dyDescent="0.2">
      <c r="A21592" t="s">
        <v>34939</v>
      </c>
      <c r="B21592" t="s">
        <v>32020</v>
      </c>
      <c r="C21592" t="s">
        <v>1208</v>
      </c>
      <c r="D21592" t="s">
        <v>14</v>
      </c>
      <c r="E21592" t="s">
        <v>6253</v>
      </c>
      <c r="F21592" s="2" t="str">
        <f>HYPERLINK("http://www.otzar.org/book.asp?85429","מגד יוסף - 4 כר'")</f>
        <v>מגד יוסף - 4 כר'</v>
      </c>
    </row>
    <row r="21593" spans="1:6" x14ac:dyDescent="0.2">
      <c r="A21593" t="s">
        <v>34940</v>
      </c>
      <c r="B21593" t="s">
        <v>34941</v>
      </c>
      <c r="C21593" t="s">
        <v>185</v>
      </c>
      <c r="D21593" t="s">
        <v>52</v>
      </c>
      <c r="E21593" t="s">
        <v>144</v>
      </c>
      <c r="F21593" s="2" t="str">
        <f>HYPERLINK("http://www.otzar.org/book.asp?630275","מגד יעקב - 5 כר'")</f>
        <v>מגד יעקב - 5 כר'</v>
      </c>
    </row>
    <row r="21594" spans="1:6" x14ac:dyDescent="0.2">
      <c r="A21594" t="s">
        <v>34942</v>
      </c>
      <c r="B21594" t="s">
        <v>34943</v>
      </c>
      <c r="C21594" t="s">
        <v>411</v>
      </c>
      <c r="D21594" t="s">
        <v>90</v>
      </c>
      <c r="F21594" s="2" t="str">
        <f>HYPERLINK("http://www.otzar.org/book.asp?614886","מגד ירחים")</f>
        <v>מגד ירחים</v>
      </c>
    </row>
    <row r="21595" spans="1:6" x14ac:dyDescent="0.2">
      <c r="A21595" t="s">
        <v>34944</v>
      </c>
      <c r="B21595" t="s">
        <v>34945</v>
      </c>
      <c r="C21595" t="s">
        <v>34946</v>
      </c>
      <c r="D21595" t="s">
        <v>1966</v>
      </c>
      <c r="E21595" t="s">
        <v>34947</v>
      </c>
      <c r="F21595" s="2" t="str">
        <f>HYPERLINK("http://www.otzar.org/book.asp?60373","מגד ירחים - 2 כר'")</f>
        <v>מגד ירחים - 2 כר'</v>
      </c>
    </row>
    <row r="21596" spans="1:6" x14ac:dyDescent="0.2">
      <c r="A21596" t="s">
        <v>34942</v>
      </c>
      <c r="B21596" t="s">
        <v>1750</v>
      </c>
      <c r="C21596" t="s">
        <v>5823</v>
      </c>
      <c r="D21596" t="s">
        <v>756</v>
      </c>
      <c r="E21596" t="s">
        <v>202</v>
      </c>
      <c r="F21596" s="2" t="str">
        <f>HYPERLINK("http://www.otzar.org/book.asp?19022","מגד ירחים")</f>
        <v>מגד ירחים</v>
      </c>
    </row>
    <row r="21597" spans="1:6" x14ac:dyDescent="0.2">
      <c r="A21597" t="s">
        <v>34948</v>
      </c>
      <c r="B21597" t="s">
        <v>34949</v>
      </c>
      <c r="C21597" t="s">
        <v>454</v>
      </c>
      <c r="D21597" t="s">
        <v>14</v>
      </c>
      <c r="E21597" t="s">
        <v>148</v>
      </c>
      <c r="F21597" s="2" t="str">
        <f>HYPERLINK("http://www.otzar.org/book.asp?158761","מגד שמים")</f>
        <v>מגד שמים</v>
      </c>
    </row>
    <row r="21598" spans="1:6" x14ac:dyDescent="0.2">
      <c r="A21598" t="s">
        <v>34948</v>
      </c>
      <c r="B21598" t="s">
        <v>249</v>
      </c>
      <c r="C21598" t="s">
        <v>3475</v>
      </c>
      <c r="D21598" t="s">
        <v>212</v>
      </c>
      <c r="E21598" t="s">
        <v>154</v>
      </c>
      <c r="F21598" s="2" t="str">
        <f>HYPERLINK("http://www.otzar.org/book.asp?101057","מגד שמים")</f>
        <v>מגד שמים</v>
      </c>
    </row>
    <row r="21599" spans="1:6" x14ac:dyDescent="0.2">
      <c r="A21599" t="s">
        <v>34950</v>
      </c>
      <c r="B21599" t="s">
        <v>34951</v>
      </c>
      <c r="C21599" t="s">
        <v>34952</v>
      </c>
      <c r="D21599" t="s">
        <v>1117</v>
      </c>
      <c r="E21599" t="s">
        <v>730</v>
      </c>
      <c r="F21599" s="2" t="str">
        <f>HYPERLINK("http://www.otzar.org/book.asp?8264","מגד שמים - 3 כר'")</f>
        <v>מגד שמים - 3 כר'</v>
      </c>
    </row>
    <row r="21600" spans="1:6" x14ac:dyDescent="0.2">
      <c r="A21600" t="s">
        <v>34953</v>
      </c>
      <c r="B21600" t="s">
        <v>20398</v>
      </c>
      <c r="C21600" t="s">
        <v>151</v>
      </c>
      <c r="D21600" t="s">
        <v>14</v>
      </c>
      <c r="E21600" t="s">
        <v>674</v>
      </c>
      <c r="F21600" s="2" t="str">
        <f>HYPERLINK("http://www.otzar.org/book.asp?629864","מגד תבואת שמש")</f>
        <v>מגד תבואת שמש</v>
      </c>
    </row>
    <row r="21601" spans="1:6" x14ac:dyDescent="0.2">
      <c r="A21601" t="s">
        <v>34954</v>
      </c>
      <c r="B21601" t="s">
        <v>8602</v>
      </c>
      <c r="C21601" t="s">
        <v>7410</v>
      </c>
      <c r="D21601" t="s">
        <v>1023</v>
      </c>
      <c r="E21601" t="s">
        <v>579</v>
      </c>
      <c r="F21601" s="2" t="str">
        <f>HYPERLINK("http://www.otzar.org/book.asp?12881","מגדול דוד")</f>
        <v>מגדול דוד</v>
      </c>
    </row>
    <row r="21602" spans="1:6" x14ac:dyDescent="0.2">
      <c r="A21602" t="s">
        <v>34955</v>
      </c>
      <c r="B21602" t="s">
        <v>27832</v>
      </c>
      <c r="C21602" t="s">
        <v>71</v>
      </c>
      <c r="D21602" t="s">
        <v>2798</v>
      </c>
      <c r="E21602" t="s">
        <v>144</v>
      </c>
      <c r="F21602" s="2" t="str">
        <f>HYPERLINK("http://www.otzar.org/book.asp?142863","מגדול ישועות")</f>
        <v>מגדול ישועות</v>
      </c>
    </row>
    <row r="21603" spans="1:6" x14ac:dyDescent="0.2">
      <c r="A21603" t="s">
        <v>34956</v>
      </c>
      <c r="B21603" t="s">
        <v>34957</v>
      </c>
      <c r="C21603" t="s">
        <v>1160</v>
      </c>
      <c r="D21603" t="s">
        <v>216</v>
      </c>
      <c r="E21603" t="s">
        <v>119</v>
      </c>
      <c r="F21603" s="2" t="str">
        <f>HYPERLINK("http://www.otzar.org/book.asp?180357","מגדולי הדור &lt;על השרידי אש&gt;")</f>
        <v>מגדולי הדור &lt;על השרידי אש&gt;</v>
      </c>
    </row>
    <row r="21604" spans="1:6" x14ac:dyDescent="0.2">
      <c r="A21604" t="s">
        <v>34958</v>
      </c>
      <c r="B21604" t="s">
        <v>24874</v>
      </c>
      <c r="C21604" t="s">
        <v>237</v>
      </c>
      <c r="D21604" t="s">
        <v>14</v>
      </c>
      <c r="E21604" t="s">
        <v>226</v>
      </c>
      <c r="F21604" s="2" t="str">
        <f>HYPERLINK("http://www.otzar.org/book.asp?144760","מגדולי החסידות - 24 כר'")</f>
        <v>מגדולי החסידות - 24 כר'</v>
      </c>
    </row>
    <row r="21605" spans="1:6" x14ac:dyDescent="0.2">
      <c r="A21605" t="s">
        <v>34959</v>
      </c>
      <c r="B21605" t="s">
        <v>6452</v>
      </c>
      <c r="C21605" t="s">
        <v>31165</v>
      </c>
      <c r="D21605" t="s">
        <v>691</v>
      </c>
      <c r="E21605" t="s">
        <v>34960</v>
      </c>
      <c r="F21605" s="2" t="str">
        <f>HYPERLINK("http://www.otzar.org/book.asp?19023","מגדולי החסידות - 4 כר'")</f>
        <v>מגדולי החסידות - 4 כר'</v>
      </c>
    </row>
    <row r="21606" spans="1:6" x14ac:dyDescent="0.2">
      <c r="A21606" t="s">
        <v>34961</v>
      </c>
      <c r="B21606" t="s">
        <v>7046</v>
      </c>
      <c r="C21606" t="s">
        <v>1160</v>
      </c>
      <c r="D21606" t="s">
        <v>14</v>
      </c>
      <c r="E21606" t="s">
        <v>733</v>
      </c>
      <c r="F21606" s="2" t="str">
        <f>HYPERLINK("http://www.otzar.org/book.asp?105697","מגדולי ירושלים")</f>
        <v>מגדולי ירושלים</v>
      </c>
    </row>
    <row r="21607" spans="1:6" x14ac:dyDescent="0.2">
      <c r="A21607" t="s">
        <v>34962</v>
      </c>
      <c r="B21607" t="s">
        <v>7686</v>
      </c>
      <c r="C21607" t="s">
        <v>244</v>
      </c>
      <c r="D21607" t="s">
        <v>52</v>
      </c>
      <c r="F21607" s="2" t="str">
        <f>HYPERLINK("http://www.otzar.org/book.asp?609058","מגדולי ישראל - 4 כר'")</f>
        <v>מגדולי ישראל - 4 כר'</v>
      </c>
    </row>
    <row r="21608" spans="1:6" x14ac:dyDescent="0.2">
      <c r="A21608" t="s">
        <v>34963</v>
      </c>
      <c r="B21608" t="s">
        <v>34964</v>
      </c>
      <c r="C21608" t="s">
        <v>3106</v>
      </c>
      <c r="D21608" t="s">
        <v>216</v>
      </c>
      <c r="E21608" t="s">
        <v>786</v>
      </c>
      <c r="F21608" s="2" t="str">
        <f>HYPERLINK("http://www.otzar.org/book.asp?60661","מגדי חיים - 3 כר'")</f>
        <v>מגדי חיים - 3 כר'</v>
      </c>
    </row>
    <row r="21609" spans="1:6" x14ac:dyDescent="0.2">
      <c r="A21609" t="s">
        <v>34965</v>
      </c>
      <c r="B21609" t="s">
        <v>34966</v>
      </c>
      <c r="C21609" t="s">
        <v>1246</v>
      </c>
      <c r="D21609" t="s">
        <v>27</v>
      </c>
      <c r="E21609" t="s">
        <v>140</v>
      </c>
      <c r="F21609" s="2" t="str">
        <f>HYPERLINK("http://www.otzar.org/book.asp?21034","מגדיל ישועות מלכו")</f>
        <v>מגדיל ישועות מלכו</v>
      </c>
    </row>
    <row r="21610" spans="1:6" x14ac:dyDescent="0.2">
      <c r="A21610" t="s">
        <v>34967</v>
      </c>
      <c r="B21610" t="s">
        <v>30202</v>
      </c>
      <c r="C21610" t="s">
        <v>419</v>
      </c>
      <c r="D21610" t="s">
        <v>14</v>
      </c>
      <c r="E21610" t="s">
        <v>733</v>
      </c>
      <c r="F21610" s="2" t="str">
        <f>HYPERLINK("http://www.otzar.org/book.asp?173798","מגדיל ישועות")</f>
        <v>מגדיל ישועות</v>
      </c>
    </row>
    <row r="21611" spans="1:6" x14ac:dyDescent="0.2">
      <c r="A21611" t="s">
        <v>34968</v>
      </c>
      <c r="B21611" t="s">
        <v>4753</v>
      </c>
      <c r="C21611" t="s">
        <v>133</v>
      </c>
      <c r="D21611" t="s">
        <v>14</v>
      </c>
      <c r="E21611" t="s">
        <v>158</v>
      </c>
      <c r="F21611" s="2" t="str">
        <f>HYPERLINK("http://www.otzar.org/book.asp?170866","מגדים חדשים - בראשית, שמות")</f>
        <v>מגדים חדשים - בראשית, שמות</v>
      </c>
    </row>
    <row r="21612" spans="1:6" x14ac:dyDescent="0.2">
      <c r="A21612" t="s">
        <v>34969</v>
      </c>
      <c r="B21612" t="s">
        <v>34970</v>
      </c>
      <c r="C21612" t="s">
        <v>313</v>
      </c>
      <c r="D21612" t="s">
        <v>14</v>
      </c>
      <c r="F21612" s="2" t="str">
        <f>HYPERLINK("http://www.otzar.org/book.asp?197095","מגדים חדשים - 2 כר'")</f>
        <v>מגדים חדשים - 2 כר'</v>
      </c>
    </row>
    <row r="21613" spans="1:6" x14ac:dyDescent="0.2">
      <c r="A21613" t="s">
        <v>34971</v>
      </c>
      <c r="B21613" t="s">
        <v>34972</v>
      </c>
      <c r="C21613" t="s">
        <v>13</v>
      </c>
      <c r="D21613" t="s">
        <v>14</v>
      </c>
      <c r="E21613" t="s">
        <v>144</v>
      </c>
      <c r="F21613" s="2" t="str">
        <f>HYPERLINK("http://www.otzar.org/book.asp?143816","מגדים חדשים - 5 כר'")</f>
        <v>מגדים חדשים - 5 כר'</v>
      </c>
    </row>
    <row r="21614" spans="1:6" x14ac:dyDescent="0.2">
      <c r="A21614" t="s">
        <v>34973</v>
      </c>
      <c r="B21614" t="s">
        <v>34974</v>
      </c>
      <c r="C21614" t="s">
        <v>445</v>
      </c>
      <c r="D21614" t="s">
        <v>225</v>
      </c>
      <c r="E21614" t="s">
        <v>4260</v>
      </c>
      <c r="F21614" s="2" t="str">
        <f>HYPERLINK("http://www.otzar.org/book.asp?105035","מגדים חדשים - ע""ז")</f>
        <v>מגדים חדשים - ע"ז</v>
      </c>
    </row>
    <row r="21615" spans="1:6" x14ac:dyDescent="0.2">
      <c r="A21615" t="s">
        <v>34969</v>
      </c>
      <c r="B21615" t="s">
        <v>34975</v>
      </c>
      <c r="C21615" t="s">
        <v>5903</v>
      </c>
      <c r="D21615" t="s">
        <v>4269</v>
      </c>
      <c r="E21615" t="s">
        <v>172</v>
      </c>
      <c r="F21615" s="2" t="str">
        <f>HYPERLINK("http://www.otzar.org/book.asp?19024","מגדים חדשים - 2 כר'")</f>
        <v>מגדים חדשים - 2 כר'</v>
      </c>
    </row>
    <row r="21616" spans="1:6" x14ac:dyDescent="0.2">
      <c r="A21616" t="s">
        <v>34976</v>
      </c>
      <c r="B21616" t="s">
        <v>34977</v>
      </c>
      <c r="C21616" t="s">
        <v>71</v>
      </c>
      <c r="D21616" t="s">
        <v>14</v>
      </c>
      <c r="E21616" t="s">
        <v>144</v>
      </c>
      <c r="F21616" s="2" t="str">
        <f>HYPERLINK("http://www.otzar.org/book.asp?188900","מגדים יקרים - ברכות")</f>
        <v>מגדים יקרים - ברכות</v>
      </c>
    </row>
    <row r="21617" spans="1:6" x14ac:dyDescent="0.2">
      <c r="A21617" t="s">
        <v>34978</v>
      </c>
      <c r="B21617" t="s">
        <v>34979</v>
      </c>
      <c r="C21617" t="s">
        <v>454</v>
      </c>
      <c r="D21617" t="s">
        <v>14</v>
      </c>
      <c r="E21617" t="s">
        <v>144</v>
      </c>
      <c r="F21617" s="2" t="str">
        <f>HYPERLINK("http://www.otzar.org/book.asp?162094","מגדל אריאל - שבת")</f>
        <v>מגדל אריאל - שבת</v>
      </c>
    </row>
    <row r="21618" spans="1:6" x14ac:dyDescent="0.2">
      <c r="A21618" t="s">
        <v>34980</v>
      </c>
      <c r="B21618" t="s">
        <v>34981</v>
      </c>
      <c r="C21618" t="s">
        <v>23</v>
      </c>
      <c r="D21618" t="s">
        <v>225</v>
      </c>
      <c r="E21618" t="s">
        <v>5398</v>
      </c>
      <c r="F21618" s="2" t="str">
        <f>HYPERLINK("http://www.otzar.org/book.asp?627999","מגדל דוד &lt;מהדורה חדשה&gt;")</f>
        <v>מגדל דוד &lt;מהדורה חדשה&gt;</v>
      </c>
    </row>
    <row r="21619" spans="1:6" x14ac:dyDescent="0.2">
      <c r="A21619" t="s">
        <v>34980</v>
      </c>
      <c r="B21619" t="s">
        <v>31068</v>
      </c>
      <c r="C21619" t="s">
        <v>129</v>
      </c>
      <c r="D21619" t="s">
        <v>52</v>
      </c>
      <c r="E21619" t="s">
        <v>158</v>
      </c>
      <c r="F21619" s="2" t="str">
        <f>HYPERLINK("http://www.otzar.org/book.asp?155112","מגדל דוד &lt;מהדורה חדשה&gt;")</f>
        <v>מגדל דוד &lt;מהדורה חדשה&gt;</v>
      </c>
    </row>
    <row r="21620" spans="1:6" x14ac:dyDescent="0.2">
      <c r="A21620" t="s">
        <v>34982</v>
      </c>
      <c r="B21620" t="s">
        <v>34983</v>
      </c>
      <c r="C21620" t="s">
        <v>286</v>
      </c>
      <c r="D21620" t="s">
        <v>379</v>
      </c>
      <c r="E21620" t="s">
        <v>234</v>
      </c>
      <c r="F21620" s="2" t="str">
        <f>HYPERLINK("http://www.otzar.org/book.asp?179015","מגדל דוד")</f>
        <v>מגדל דוד</v>
      </c>
    </row>
    <row r="21621" spans="1:6" x14ac:dyDescent="0.2">
      <c r="A21621" t="s">
        <v>34982</v>
      </c>
      <c r="B21621" t="s">
        <v>4303</v>
      </c>
      <c r="C21621" t="s">
        <v>2076</v>
      </c>
      <c r="D21621" t="s">
        <v>267</v>
      </c>
      <c r="E21621" t="s">
        <v>158</v>
      </c>
      <c r="F21621" s="2" t="str">
        <f>HYPERLINK("http://www.otzar.org/book.asp?23703","מגדל דוד")</f>
        <v>מגדל דוד</v>
      </c>
    </row>
    <row r="21622" spans="1:6" x14ac:dyDescent="0.2">
      <c r="A21622" t="s">
        <v>34984</v>
      </c>
      <c r="B21622" t="s">
        <v>34981</v>
      </c>
      <c r="C21622" t="s">
        <v>547</v>
      </c>
      <c r="D21622" t="s">
        <v>225</v>
      </c>
      <c r="E21622" t="s">
        <v>226</v>
      </c>
      <c r="F21622" s="2" t="str">
        <f>HYPERLINK("http://www.otzar.org/book.asp?10577","מגדל דוד - 2 כר'")</f>
        <v>מגדל דוד - 2 כר'</v>
      </c>
    </row>
    <row r="21623" spans="1:6" x14ac:dyDescent="0.2">
      <c r="A21623" t="s">
        <v>34982</v>
      </c>
      <c r="B21623" t="s">
        <v>34985</v>
      </c>
      <c r="C21623" t="s">
        <v>10907</v>
      </c>
      <c r="D21623" t="s">
        <v>744</v>
      </c>
      <c r="E21623" t="s">
        <v>15</v>
      </c>
      <c r="F21623" s="2" t="str">
        <f>HYPERLINK("http://www.otzar.org/book.asp?147845","מגדל דוד")</f>
        <v>מגדל דוד</v>
      </c>
    </row>
    <row r="21624" spans="1:6" x14ac:dyDescent="0.2">
      <c r="A21624" t="s">
        <v>34982</v>
      </c>
      <c r="B21624" t="s">
        <v>34986</v>
      </c>
      <c r="C21624" t="s">
        <v>34987</v>
      </c>
      <c r="D21624" t="s">
        <v>26069</v>
      </c>
      <c r="F21624" s="2" t="str">
        <f>HYPERLINK("http://www.otzar.org/book.asp?611767","מגדל דוד")</f>
        <v>מגדל דוד</v>
      </c>
    </row>
    <row r="21625" spans="1:6" x14ac:dyDescent="0.2">
      <c r="A21625" t="s">
        <v>34982</v>
      </c>
      <c r="B21625" t="s">
        <v>34988</v>
      </c>
      <c r="C21625" t="s">
        <v>9995</v>
      </c>
      <c r="D21625" t="s">
        <v>1833</v>
      </c>
      <c r="E21625" t="s">
        <v>2088</v>
      </c>
      <c r="F21625" s="2" t="str">
        <f>HYPERLINK("http://www.otzar.org/book.asp?63892","מגדל דוד")</f>
        <v>מגדל דוד</v>
      </c>
    </row>
    <row r="21626" spans="1:6" x14ac:dyDescent="0.2">
      <c r="A21626" t="s">
        <v>34982</v>
      </c>
      <c r="B21626" t="s">
        <v>21519</v>
      </c>
      <c r="C21626" t="s">
        <v>752</v>
      </c>
      <c r="D21626" t="s">
        <v>1279</v>
      </c>
      <c r="E21626" t="s">
        <v>579</v>
      </c>
      <c r="F21626" s="2" t="str">
        <f>HYPERLINK("http://www.otzar.org/book.asp?107195","מגדל דוד")</f>
        <v>מגדל דוד</v>
      </c>
    </row>
    <row r="21627" spans="1:6" x14ac:dyDescent="0.2">
      <c r="A21627" t="s">
        <v>34982</v>
      </c>
      <c r="B21627" t="s">
        <v>34989</v>
      </c>
      <c r="C21627" t="s">
        <v>1458</v>
      </c>
      <c r="D21627" t="s">
        <v>283</v>
      </c>
      <c r="E21627" t="s">
        <v>104</v>
      </c>
      <c r="F21627" s="2" t="str">
        <f>HYPERLINK("http://www.otzar.org/book.asp?24762","מגדל דוד")</f>
        <v>מגדל דוד</v>
      </c>
    </row>
    <row r="21628" spans="1:6" x14ac:dyDescent="0.2">
      <c r="A21628" t="s">
        <v>34982</v>
      </c>
      <c r="B21628" t="s">
        <v>34990</v>
      </c>
      <c r="C21628" t="s">
        <v>603</v>
      </c>
      <c r="D21628" t="s">
        <v>344</v>
      </c>
      <c r="E21628" t="s">
        <v>144</v>
      </c>
      <c r="F21628" s="2" t="str">
        <f>HYPERLINK("http://www.otzar.org/book.asp?141097","מגדל דוד")</f>
        <v>מגדל דוד</v>
      </c>
    </row>
    <row r="21629" spans="1:6" x14ac:dyDescent="0.2">
      <c r="A21629" t="s">
        <v>34991</v>
      </c>
      <c r="B21629" t="s">
        <v>34992</v>
      </c>
      <c r="C21629" t="s">
        <v>366</v>
      </c>
      <c r="D21629" t="s">
        <v>1632</v>
      </c>
      <c r="E21629" t="s">
        <v>144</v>
      </c>
      <c r="F21629" s="2" t="str">
        <f>HYPERLINK("http://www.otzar.org/book.asp?606078","מגדל דוד - ערכין")</f>
        <v>מגדל דוד - ערכין</v>
      </c>
    </row>
    <row r="21630" spans="1:6" x14ac:dyDescent="0.2">
      <c r="A21630" t="s">
        <v>34982</v>
      </c>
      <c r="B21630" t="s">
        <v>34993</v>
      </c>
      <c r="C21630" t="s">
        <v>617</v>
      </c>
      <c r="D21630" t="s">
        <v>225</v>
      </c>
      <c r="E21630" t="s">
        <v>2071</v>
      </c>
      <c r="F21630" s="2" t="str">
        <f>HYPERLINK("http://www.otzar.org/book.asp?141006","מגדל דוד")</f>
        <v>מגדל דוד</v>
      </c>
    </row>
    <row r="21631" spans="1:6" x14ac:dyDescent="0.2">
      <c r="A21631" t="s">
        <v>34994</v>
      </c>
      <c r="B21631" t="s">
        <v>11493</v>
      </c>
      <c r="C21631" t="s">
        <v>244</v>
      </c>
      <c r="D21631" t="s">
        <v>52</v>
      </c>
      <c r="E21631" t="s">
        <v>241</v>
      </c>
      <c r="F21631" s="2" t="str">
        <f>HYPERLINK("http://www.otzar.org/book.asp?605367","מגדל דוד - בעין יהודית - ו")</f>
        <v>מגדל דוד - בעין יהודית - ו</v>
      </c>
    </row>
    <row r="21632" spans="1:6" x14ac:dyDescent="0.2">
      <c r="A21632" t="s">
        <v>34995</v>
      </c>
      <c r="B21632" t="s">
        <v>5707</v>
      </c>
      <c r="C21632" t="s">
        <v>1437</v>
      </c>
      <c r="D21632" t="s">
        <v>283</v>
      </c>
      <c r="E21632" t="s">
        <v>104</v>
      </c>
      <c r="F21632" s="2" t="str">
        <f>HYPERLINK("http://www.otzar.org/book.asp?178887","מגדל דויד")</f>
        <v>מגדל דויד</v>
      </c>
    </row>
    <row r="21633" spans="1:6" x14ac:dyDescent="0.2">
      <c r="A21633" t="s">
        <v>34996</v>
      </c>
      <c r="B21633" t="s">
        <v>19226</v>
      </c>
      <c r="C21633" t="s">
        <v>503</v>
      </c>
      <c r="D21633" t="s">
        <v>267</v>
      </c>
      <c r="E21633" t="s">
        <v>154</v>
      </c>
      <c r="F21633" s="2" t="str">
        <f>HYPERLINK("http://www.otzar.org/book.asp?51689","מגדל השן")</f>
        <v>מגדל השן</v>
      </c>
    </row>
    <row r="21634" spans="1:6" x14ac:dyDescent="0.2">
      <c r="A21634" t="s">
        <v>34997</v>
      </c>
      <c r="B21634" t="s">
        <v>34998</v>
      </c>
      <c r="C21634" t="s">
        <v>915</v>
      </c>
      <c r="D21634" t="s">
        <v>76</v>
      </c>
      <c r="E21634" t="s">
        <v>1776</v>
      </c>
      <c r="F21634" s="2" t="str">
        <f>HYPERLINK("http://www.otzar.org/book.asp?103378","מגדל חננאל")</f>
        <v>מגדל חננאל</v>
      </c>
    </row>
    <row r="21635" spans="1:6" x14ac:dyDescent="0.2">
      <c r="A21635" t="s">
        <v>34997</v>
      </c>
      <c r="B21635" t="s">
        <v>34999</v>
      </c>
      <c r="C21635" t="s">
        <v>1124</v>
      </c>
      <c r="D21635" t="s">
        <v>280</v>
      </c>
      <c r="E21635" t="s">
        <v>26576</v>
      </c>
      <c r="F21635" s="2" t="str">
        <f>HYPERLINK("http://www.otzar.org/book.asp?103868","מגדל חננאל")</f>
        <v>מגדל חננאל</v>
      </c>
    </row>
    <row r="21636" spans="1:6" x14ac:dyDescent="0.2">
      <c r="A21636" t="s">
        <v>34997</v>
      </c>
      <c r="B21636" t="s">
        <v>35000</v>
      </c>
      <c r="C21636" t="s">
        <v>366</v>
      </c>
      <c r="D21636" t="s">
        <v>90</v>
      </c>
      <c r="F21636" s="2" t="str">
        <f>HYPERLINK("http://www.otzar.org/book.asp?609959","מגדל חננאל")</f>
        <v>מגדל חננאל</v>
      </c>
    </row>
    <row r="21637" spans="1:6" x14ac:dyDescent="0.2">
      <c r="A21637" t="s">
        <v>34997</v>
      </c>
      <c r="B21637" t="s">
        <v>35001</v>
      </c>
      <c r="C21637" t="s">
        <v>37</v>
      </c>
      <c r="D21637" t="s">
        <v>21</v>
      </c>
      <c r="E21637" t="s">
        <v>148</v>
      </c>
      <c r="F21637" s="2" t="str">
        <f>HYPERLINK("http://www.otzar.org/book.asp?196585","מגדל חננאל")</f>
        <v>מגדל חננאל</v>
      </c>
    </row>
    <row r="21638" spans="1:6" x14ac:dyDescent="0.2">
      <c r="A21638" t="s">
        <v>35002</v>
      </c>
      <c r="B21638" t="s">
        <v>35003</v>
      </c>
      <c r="C21638" t="s">
        <v>8</v>
      </c>
      <c r="D21638" t="s">
        <v>14</v>
      </c>
      <c r="E21638" t="s">
        <v>104</v>
      </c>
      <c r="F21638" s="2" t="str">
        <f>HYPERLINK("http://www.otzar.org/book.asp?147771","מגדל עדר")</f>
        <v>מגדל עדר</v>
      </c>
    </row>
    <row r="21639" spans="1:6" x14ac:dyDescent="0.2">
      <c r="A21639" t="s">
        <v>35002</v>
      </c>
      <c r="B21639" t="s">
        <v>35004</v>
      </c>
      <c r="C21639" t="s">
        <v>462</v>
      </c>
      <c r="D21639" t="s">
        <v>14954</v>
      </c>
      <c r="E21639" t="s">
        <v>15</v>
      </c>
      <c r="F21639" s="2" t="str">
        <f>HYPERLINK("http://www.otzar.org/book.asp?159238","מגדל עדר")</f>
        <v>מגדל עדר</v>
      </c>
    </row>
    <row r="21640" spans="1:6" x14ac:dyDescent="0.2">
      <c r="A21640" t="s">
        <v>35005</v>
      </c>
      <c r="B21640" t="s">
        <v>686</v>
      </c>
      <c r="C21640" t="s">
        <v>68</v>
      </c>
      <c r="D21640" t="s">
        <v>52</v>
      </c>
      <c r="E21640" t="s">
        <v>104</v>
      </c>
      <c r="F21640" s="2" t="str">
        <f>HYPERLINK("http://www.otzar.org/book.asp?172425","מגדל עז")</f>
        <v>מגדל עז</v>
      </c>
    </row>
    <row r="21641" spans="1:6" x14ac:dyDescent="0.2">
      <c r="A21641" t="s">
        <v>35006</v>
      </c>
      <c r="B21641" t="s">
        <v>1390</v>
      </c>
      <c r="C21641" t="s">
        <v>433</v>
      </c>
      <c r="D21641" t="s">
        <v>118</v>
      </c>
      <c r="E21641" t="s">
        <v>104</v>
      </c>
      <c r="F21641" s="2" t="str">
        <f>HYPERLINK("http://www.otzar.org/book.asp?13357","מגדל עז - 3 כר'")</f>
        <v>מגדל עז - 3 כר'</v>
      </c>
    </row>
    <row r="21642" spans="1:6" x14ac:dyDescent="0.2">
      <c r="A21642" t="s">
        <v>35007</v>
      </c>
      <c r="B21642" t="s">
        <v>1417</v>
      </c>
      <c r="C21642" t="s">
        <v>185</v>
      </c>
      <c r="D21642" t="s">
        <v>14</v>
      </c>
      <c r="E21642" t="s">
        <v>674</v>
      </c>
      <c r="F21642" s="2" t="str">
        <f>HYPERLINK("http://www.otzar.org/book.asp?630451","מגדל עז - 2 כר'")</f>
        <v>מגדל עז - 2 כר'</v>
      </c>
    </row>
    <row r="21643" spans="1:6" x14ac:dyDescent="0.2">
      <c r="A21643" t="s">
        <v>35005</v>
      </c>
      <c r="B21643" t="s">
        <v>3367</v>
      </c>
      <c r="C21643" t="s">
        <v>1811</v>
      </c>
      <c r="D21643" t="s">
        <v>52</v>
      </c>
      <c r="E21643" t="s">
        <v>35008</v>
      </c>
      <c r="F21643" s="2" t="str">
        <f>HYPERLINK("http://www.otzar.org/book.asp?104539","מגדל עז")</f>
        <v>מגדל עז</v>
      </c>
    </row>
    <row r="21644" spans="1:6" x14ac:dyDescent="0.2">
      <c r="A21644" t="s">
        <v>35009</v>
      </c>
      <c r="B21644" t="s">
        <v>35010</v>
      </c>
      <c r="C21644" t="s">
        <v>176</v>
      </c>
      <c r="D21644" t="s">
        <v>1356</v>
      </c>
      <c r="E21644" t="s">
        <v>10</v>
      </c>
      <c r="F21644" s="2" t="str">
        <f>HYPERLINK("http://www.otzar.org/book.asp?146769","מגדל צופים - 10 כר'")</f>
        <v>מגדל צופים - 10 כר'</v>
      </c>
    </row>
    <row r="21645" spans="1:6" x14ac:dyDescent="0.2">
      <c r="A21645" t="s">
        <v>35011</v>
      </c>
      <c r="B21645" t="s">
        <v>22152</v>
      </c>
      <c r="C21645" t="s">
        <v>111</v>
      </c>
      <c r="D21645" t="s">
        <v>52</v>
      </c>
      <c r="E21645" t="s">
        <v>158</v>
      </c>
      <c r="F21645" s="2" t="str">
        <f>HYPERLINK("http://www.otzar.org/book.asp?629416","מגדל שיר")</f>
        <v>מגדל שיר</v>
      </c>
    </row>
    <row r="21646" spans="1:6" x14ac:dyDescent="0.2">
      <c r="A21646" t="s">
        <v>35012</v>
      </c>
      <c r="B21646" t="s">
        <v>935</v>
      </c>
      <c r="C21646" t="s">
        <v>946</v>
      </c>
      <c r="D21646" t="s">
        <v>9</v>
      </c>
      <c r="E21646" t="s">
        <v>154</v>
      </c>
      <c r="F21646" s="2" t="str">
        <f>HYPERLINK("http://www.otzar.org/book.asp?108834","מגדל תורה")</f>
        <v>מגדל תורה</v>
      </c>
    </row>
    <row r="21647" spans="1:6" x14ac:dyDescent="0.2">
      <c r="A21647" t="s">
        <v>35013</v>
      </c>
      <c r="B21647" t="s">
        <v>35014</v>
      </c>
      <c r="C21647" t="s">
        <v>1268</v>
      </c>
      <c r="D21647" t="s">
        <v>1180</v>
      </c>
      <c r="E21647" t="s">
        <v>234</v>
      </c>
      <c r="F21647" s="2" t="str">
        <f>HYPERLINK("http://www.otzar.org/book.asp?28092","מגדלות מרקחים - 4 כר'")</f>
        <v>מגדלות מרקחים - 4 כר'</v>
      </c>
    </row>
    <row r="21648" spans="1:6" x14ac:dyDescent="0.2">
      <c r="A21648" t="s">
        <v>35015</v>
      </c>
      <c r="B21648" t="s">
        <v>4735</v>
      </c>
      <c r="C21648" t="s">
        <v>51</v>
      </c>
      <c r="D21648" t="s">
        <v>14</v>
      </c>
      <c r="E21648" t="s">
        <v>104</v>
      </c>
      <c r="F21648" s="2" t="str">
        <f>HYPERLINK("http://www.otzar.org/book.asp?159099","מגדלי התאומים בדילוגי אותיות בתורה")</f>
        <v>מגדלי התאומים בדילוגי אותיות בתורה</v>
      </c>
    </row>
    <row r="21649" spans="1:6" x14ac:dyDescent="0.2">
      <c r="A21649" t="s">
        <v>35016</v>
      </c>
      <c r="B21649" t="s">
        <v>35017</v>
      </c>
      <c r="C21649" t="s">
        <v>422</v>
      </c>
      <c r="D21649" t="s">
        <v>14</v>
      </c>
      <c r="E21649" t="s">
        <v>154</v>
      </c>
      <c r="F21649" s="2" t="str">
        <f>HYPERLINK("http://www.otzar.org/book.asp?180715","מגדנות אליהו - 6 כר'")</f>
        <v>מגדנות אליהו - 6 כר'</v>
      </c>
    </row>
    <row r="21650" spans="1:6" x14ac:dyDescent="0.2">
      <c r="A21650" t="s">
        <v>35018</v>
      </c>
      <c r="B21650" t="s">
        <v>25540</v>
      </c>
      <c r="C21650" t="s">
        <v>547</v>
      </c>
      <c r="D21650" t="s">
        <v>283</v>
      </c>
      <c r="E21650" t="s">
        <v>35019</v>
      </c>
      <c r="F21650" s="2" t="str">
        <f>HYPERLINK("http://www.otzar.org/book.asp?9905","מגדנות אליעזר")</f>
        <v>מגדנות אליעזר</v>
      </c>
    </row>
    <row r="21651" spans="1:6" x14ac:dyDescent="0.2">
      <c r="A21651" t="s">
        <v>35018</v>
      </c>
      <c r="B21651" t="s">
        <v>18814</v>
      </c>
      <c r="C21651" t="s">
        <v>1437</v>
      </c>
      <c r="D21651" t="s">
        <v>283</v>
      </c>
      <c r="E21651" t="s">
        <v>435</v>
      </c>
      <c r="F21651" s="2" t="str">
        <f>HYPERLINK("http://www.otzar.org/book.asp?102302","מגדנות אליעזר")</f>
        <v>מגדנות אליעזר</v>
      </c>
    </row>
    <row r="21652" spans="1:6" x14ac:dyDescent="0.2">
      <c r="A21652" t="s">
        <v>35018</v>
      </c>
      <c r="B21652" t="s">
        <v>15863</v>
      </c>
      <c r="C21652" t="s">
        <v>1650</v>
      </c>
      <c r="D21652" t="s">
        <v>1422</v>
      </c>
      <c r="E21652" t="s">
        <v>158</v>
      </c>
      <c r="F21652" s="2" t="str">
        <f>HYPERLINK("http://www.otzar.org/book.asp?7302","מגדנות אליעזר")</f>
        <v>מגדנות אליעזר</v>
      </c>
    </row>
    <row r="21653" spans="1:6" x14ac:dyDescent="0.2">
      <c r="A21653" t="s">
        <v>35018</v>
      </c>
      <c r="B21653" t="s">
        <v>14993</v>
      </c>
      <c r="C21653" t="s">
        <v>1169</v>
      </c>
      <c r="D21653" t="s">
        <v>412</v>
      </c>
      <c r="F21653" s="2" t="str">
        <f>HYPERLINK("http://www.otzar.org/book.asp?609514","מגדנות אליעזר")</f>
        <v>מגדנות אליעזר</v>
      </c>
    </row>
    <row r="21654" spans="1:6" x14ac:dyDescent="0.2">
      <c r="A21654" t="s">
        <v>35018</v>
      </c>
      <c r="B21654" t="s">
        <v>35020</v>
      </c>
      <c r="C21654" t="s">
        <v>506</v>
      </c>
      <c r="D21654" t="s">
        <v>283</v>
      </c>
      <c r="E21654" t="s">
        <v>684</v>
      </c>
      <c r="F21654" s="2" t="str">
        <f>HYPERLINK("http://www.otzar.org/book.asp?150000","מגדנות אליעזר")</f>
        <v>מגדנות אליעזר</v>
      </c>
    </row>
    <row r="21655" spans="1:6" x14ac:dyDescent="0.2">
      <c r="A21655" t="s">
        <v>35021</v>
      </c>
      <c r="B21655" t="s">
        <v>35022</v>
      </c>
      <c r="C21655" t="s">
        <v>1619</v>
      </c>
      <c r="D21655" t="s">
        <v>412</v>
      </c>
      <c r="E21655" t="s">
        <v>148</v>
      </c>
      <c r="F21655" s="2" t="str">
        <f>HYPERLINK("http://www.otzar.org/book.asp?8288","מגדנות הצבי &lt;עין הצבי&gt;")</f>
        <v>מגדנות הצבי &lt;עין הצבי&gt;</v>
      </c>
    </row>
    <row r="21656" spans="1:6" x14ac:dyDescent="0.2">
      <c r="A21656" t="s">
        <v>35023</v>
      </c>
      <c r="B21656" t="s">
        <v>35024</v>
      </c>
      <c r="C21656" t="s">
        <v>51</v>
      </c>
      <c r="D21656" t="s">
        <v>52</v>
      </c>
      <c r="E21656" t="s">
        <v>2088</v>
      </c>
      <c r="F21656" s="2" t="str">
        <f>HYPERLINK("http://www.otzar.org/book.asp?147910","מגדנות יחזקיהו - אמרי פי")</f>
        <v>מגדנות יחזקיהו - אמרי פי</v>
      </c>
    </row>
    <row r="21657" spans="1:6" x14ac:dyDescent="0.2">
      <c r="A21657" t="s">
        <v>35025</v>
      </c>
      <c r="B21657" t="s">
        <v>6337</v>
      </c>
      <c r="C21657" t="s">
        <v>940</v>
      </c>
      <c r="D21657" t="s">
        <v>1076</v>
      </c>
      <c r="E21657" t="s">
        <v>158</v>
      </c>
      <c r="F21657" s="2" t="str">
        <f>HYPERLINK("http://www.otzar.org/book.asp?153348","מגדנות לחזקיהו")</f>
        <v>מגדנות לחזקיהו</v>
      </c>
    </row>
    <row r="21658" spans="1:6" x14ac:dyDescent="0.2">
      <c r="A21658" t="s">
        <v>35026</v>
      </c>
      <c r="B21658" t="s">
        <v>13096</v>
      </c>
      <c r="C21658" t="s">
        <v>35027</v>
      </c>
      <c r="D21658" t="s">
        <v>27726</v>
      </c>
      <c r="F21658" s="2" t="str">
        <f>HYPERLINK("http://www.otzar.org/book.asp?64031","מגדנות מהרי""ל")</f>
        <v>מגדנות מהרי"ל</v>
      </c>
    </row>
    <row r="21659" spans="1:6" x14ac:dyDescent="0.2">
      <c r="A21659" t="s">
        <v>35028</v>
      </c>
      <c r="B21659" t="s">
        <v>35029</v>
      </c>
      <c r="C21659" t="s">
        <v>133</v>
      </c>
      <c r="D21659" t="s">
        <v>52</v>
      </c>
      <c r="F21659" s="2" t="str">
        <f>HYPERLINK("http://www.otzar.org/book.asp?608775","מגדנות נתן &lt;מהדורה חדשה&gt;")</f>
        <v>מגדנות נתן &lt;מהדורה חדשה&gt;</v>
      </c>
    </row>
    <row r="21660" spans="1:6" x14ac:dyDescent="0.2">
      <c r="A21660" t="s">
        <v>35030</v>
      </c>
      <c r="B21660" t="s">
        <v>35029</v>
      </c>
      <c r="C21660" t="s">
        <v>1524</v>
      </c>
      <c r="D21660" t="s">
        <v>212</v>
      </c>
      <c r="E21660" t="s">
        <v>35031</v>
      </c>
      <c r="F21660" s="2" t="str">
        <f>HYPERLINK("http://www.otzar.org/book.asp?101280","מגדנות נתן")</f>
        <v>מגדנות נתן</v>
      </c>
    </row>
    <row r="21661" spans="1:6" x14ac:dyDescent="0.2">
      <c r="A21661" t="s">
        <v>35030</v>
      </c>
      <c r="B21661" t="s">
        <v>35032</v>
      </c>
      <c r="C21661" t="s">
        <v>13</v>
      </c>
      <c r="D21661" t="s">
        <v>52</v>
      </c>
      <c r="E21661" t="s">
        <v>158</v>
      </c>
      <c r="F21661" s="2" t="str">
        <f>HYPERLINK("http://www.otzar.org/book.asp?162047","מגדנות נתן")</f>
        <v>מגדנות נתן</v>
      </c>
    </row>
    <row r="21662" spans="1:6" x14ac:dyDescent="0.2">
      <c r="A21662" t="s">
        <v>35033</v>
      </c>
      <c r="B21662" t="s">
        <v>9549</v>
      </c>
      <c r="C21662" t="s">
        <v>1169</v>
      </c>
      <c r="D21662" t="s">
        <v>260</v>
      </c>
      <c r="E21662" t="s">
        <v>35034</v>
      </c>
      <c r="F21662" s="2" t="str">
        <f>HYPERLINK("http://www.otzar.org/book.asp?22326","מגדני אשר")</f>
        <v>מגדני אשר</v>
      </c>
    </row>
    <row r="21663" spans="1:6" x14ac:dyDescent="0.2">
      <c r="A21663" t="s">
        <v>35035</v>
      </c>
      <c r="B21663" t="s">
        <v>35036</v>
      </c>
      <c r="C21663" t="s">
        <v>20</v>
      </c>
      <c r="D21663" t="s">
        <v>367</v>
      </c>
      <c r="E21663" t="s">
        <v>10768</v>
      </c>
      <c r="F21663" s="2" t="str">
        <f>HYPERLINK("http://www.otzar.org/book.asp?166067","מגחלי התורה")</f>
        <v>מגחלי התורה</v>
      </c>
    </row>
    <row r="21664" spans="1:6" x14ac:dyDescent="0.2">
      <c r="A21664" t="s">
        <v>35037</v>
      </c>
      <c r="B21664" t="s">
        <v>35038</v>
      </c>
      <c r="C21664" t="s">
        <v>390</v>
      </c>
      <c r="D21664" t="s">
        <v>14</v>
      </c>
      <c r="E21664" t="s">
        <v>791</v>
      </c>
      <c r="F21664" s="2" t="str">
        <f>HYPERLINK("http://www.otzar.org/book.asp?107033","מגיא ההריגה")</f>
        <v>מגיא ההריגה</v>
      </c>
    </row>
    <row r="21665" spans="1:6" x14ac:dyDescent="0.2">
      <c r="A21665" t="s">
        <v>35039</v>
      </c>
      <c r="B21665" t="s">
        <v>3618</v>
      </c>
      <c r="C21665" t="s">
        <v>919</v>
      </c>
      <c r="D21665" t="s">
        <v>14</v>
      </c>
      <c r="E21665" t="s">
        <v>140</v>
      </c>
      <c r="F21665" s="2" t="str">
        <f>HYPERLINK("http://www.otzar.org/book.asp?153633","מגיד דבריו ליעקב &lt;עם הוספות&gt;")</f>
        <v>מגיד דבריו ליעקב &lt;עם הוספות&gt;</v>
      </c>
    </row>
    <row r="21666" spans="1:6" x14ac:dyDescent="0.2">
      <c r="A21666" t="s">
        <v>35040</v>
      </c>
      <c r="B21666" t="s">
        <v>35041</v>
      </c>
      <c r="C21666" t="s">
        <v>189</v>
      </c>
      <c r="D21666" t="s">
        <v>7974</v>
      </c>
      <c r="E21666" t="s">
        <v>246</v>
      </c>
      <c r="F21666" s="2" t="str">
        <f>HYPERLINK("http://www.otzar.org/book.asp?190190","מגיד דבריו ליעקב &lt;מגיד מראשית - ויגידו למרדכי&gt;")</f>
        <v>מגיד דבריו ליעקב &lt;מגיד מראשית - ויגידו למרדכי&gt;</v>
      </c>
    </row>
    <row r="21667" spans="1:6" x14ac:dyDescent="0.2">
      <c r="A21667" t="s">
        <v>35042</v>
      </c>
      <c r="B21667" t="s">
        <v>7973</v>
      </c>
      <c r="C21667" t="s">
        <v>985</v>
      </c>
      <c r="D21667" t="s">
        <v>16802</v>
      </c>
      <c r="E21667" t="s">
        <v>230</v>
      </c>
      <c r="F21667" s="2" t="str">
        <f>HYPERLINK("http://www.otzar.org/book.asp?51626","מגיד דבריו ליעקב")</f>
        <v>מגיד דבריו ליעקב</v>
      </c>
    </row>
    <row r="21668" spans="1:6" x14ac:dyDescent="0.2">
      <c r="A21668" t="s">
        <v>35042</v>
      </c>
      <c r="B21668" t="s">
        <v>35043</v>
      </c>
      <c r="C21668" t="s">
        <v>103</v>
      </c>
      <c r="D21668" t="s">
        <v>14</v>
      </c>
      <c r="E21668" t="s">
        <v>35044</v>
      </c>
      <c r="F21668" s="2" t="str">
        <f>HYPERLINK("http://www.otzar.org/book.asp?159453","מגיד דבריו ליעקב")</f>
        <v>מגיד דבריו ליעקב</v>
      </c>
    </row>
    <row r="21669" spans="1:6" x14ac:dyDescent="0.2">
      <c r="A21669" t="s">
        <v>35045</v>
      </c>
      <c r="B21669" t="s">
        <v>3166</v>
      </c>
      <c r="C21669" t="s">
        <v>366</v>
      </c>
      <c r="D21669" t="s">
        <v>14</v>
      </c>
      <c r="F21669" s="2" t="str">
        <f>HYPERLINK("http://www.otzar.org/book.asp?623140","מגיד דבריו ליעקב, מועדים - 6 כר'")</f>
        <v>מגיד דבריו ליעקב, מועדים - 6 כר'</v>
      </c>
    </row>
    <row r="21670" spans="1:6" x14ac:dyDescent="0.2">
      <c r="A21670" t="s">
        <v>35046</v>
      </c>
      <c r="B21670" t="s">
        <v>3166</v>
      </c>
      <c r="C21670" t="s">
        <v>111</v>
      </c>
      <c r="D21670" t="s">
        <v>14</v>
      </c>
      <c r="F21670" s="2" t="str">
        <f>HYPERLINK("http://www.otzar.org/book.asp?623154","מגיד דבריו ליעקב, עה""ת - 61 כר'")</f>
        <v>מגיד דבריו ליעקב, עה"ת - 61 כר'</v>
      </c>
    </row>
    <row r="21671" spans="1:6" x14ac:dyDescent="0.2">
      <c r="A21671" t="s">
        <v>35047</v>
      </c>
      <c r="B21671" t="s">
        <v>3166</v>
      </c>
      <c r="C21671" t="s">
        <v>111</v>
      </c>
      <c r="D21671" t="s">
        <v>14</v>
      </c>
      <c r="F21671" s="2" t="str">
        <f>HYPERLINK("http://www.otzar.org/book.asp?623142","מגיד דבריו ליעקב, שונות - 5 כר'")</f>
        <v>מגיד דבריו ליעקב, שונות - 5 כר'</v>
      </c>
    </row>
    <row r="21672" spans="1:6" x14ac:dyDescent="0.2">
      <c r="A21672" t="s">
        <v>35048</v>
      </c>
      <c r="B21672" t="s">
        <v>35049</v>
      </c>
      <c r="C21672" t="s">
        <v>728</v>
      </c>
      <c r="D21672" t="s">
        <v>157</v>
      </c>
      <c r="E21672" t="s">
        <v>246</v>
      </c>
      <c r="F21672" s="2" t="str">
        <f>HYPERLINK("http://www.otzar.org/book.asp?51627","מגיד דבריו")</f>
        <v>מגיד דבריו</v>
      </c>
    </row>
    <row r="21673" spans="1:6" x14ac:dyDescent="0.2">
      <c r="A21673" t="s">
        <v>35050</v>
      </c>
      <c r="B21673" t="s">
        <v>16317</v>
      </c>
      <c r="C21673" t="s">
        <v>87</v>
      </c>
      <c r="D21673" t="s">
        <v>52</v>
      </c>
      <c r="E21673" t="s">
        <v>144</v>
      </c>
      <c r="F21673" s="2" t="str">
        <f>HYPERLINK("http://www.otzar.org/book.asp?51074","מגיד חדשות - 11 כר'")</f>
        <v>מגיד חדשות - 11 כר'</v>
      </c>
    </row>
    <row r="21674" spans="1:6" x14ac:dyDescent="0.2">
      <c r="A21674" t="s">
        <v>35051</v>
      </c>
      <c r="B21674" t="s">
        <v>4554</v>
      </c>
      <c r="C21674" t="s">
        <v>13</v>
      </c>
      <c r="D21674" t="s">
        <v>27</v>
      </c>
      <c r="E21674" t="s">
        <v>246</v>
      </c>
      <c r="F21674" s="2" t="str">
        <f>HYPERLINK("http://www.otzar.org/book.asp?188913","מגיד מישרים - 2 כר'")</f>
        <v>מגיד מישרים - 2 כר'</v>
      </c>
    </row>
    <row r="21675" spans="1:6" x14ac:dyDescent="0.2">
      <c r="A21675" t="s">
        <v>35052</v>
      </c>
      <c r="B21675" t="s">
        <v>1035</v>
      </c>
      <c r="C21675" t="s">
        <v>609</v>
      </c>
      <c r="D21675" t="s">
        <v>225</v>
      </c>
      <c r="E21675" t="s">
        <v>158</v>
      </c>
      <c r="F21675" s="2" t="str">
        <f>HYPERLINK("http://www.otzar.org/book.asp?181300","מגיד מישרים")</f>
        <v>מגיד מישרים</v>
      </c>
    </row>
    <row r="21676" spans="1:6" x14ac:dyDescent="0.2">
      <c r="A21676" t="s">
        <v>35053</v>
      </c>
      <c r="B21676" t="s">
        <v>1728</v>
      </c>
      <c r="C21676" t="s">
        <v>37</v>
      </c>
      <c r="D21676" t="s">
        <v>273</v>
      </c>
      <c r="E21676" t="s">
        <v>35054</v>
      </c>
      <c r="F21676" s="2" t="str">
        <f>HYPERLINK("http://www.otzar.org/book.asp?628555","מגיד מראשית אחרית")</f>
        <v>מגיד מראשית אחרית</v>
      </c>
    </row>
    <row r="21677" spans="1:6" x14ac:dyDescent="0.2">
      <c r="A21677" t="s">
        <v>35055</v>
      </c>
      <c r="B21677" t="s">
        <v>35056</v>
      </c>
      <c r="C21677" t="s">
        <v>16450</v>
      </c>
      <c r="D21677" t="s">
        <v>1490</v>
      </c>
      <c r="E21677" t="s">
        <v>154</v>
      </c>
      <c r="F21677" s="2" t="str">
        <f>HYPERLINK("http://www.otzar.org/book.asp?758","מגיד מראשית")</f>
        <v>מגיד מראשית</v>
      </c>
    </row>
    <row r="21678" spans="1:6" x14ac:dyDescent="0.2">
      <c r="A21678" t="s">
        <v>35057</v>
      </c>
      <c r="B21678" t="s">
        <v>2688</v>
      </c>
      <c r="C21678" t="s">
        <v>466</v>
      </c>
      <c r="D21678" t="s">
        <v>412</v>
      </c>
      <c r="E21678" t="s">
        <v>158</v>
      </c>
      <c r="F21678" s="2" t="str">
        <f>HYPERLINK("http://www.otzar.org/book.asp?21637","מגיד משנה &lt;משנה הלכות&gt; על התורה - 5 כר'")</f>
        <v>מגיד משנה &lt;משנה הלכות&gt; על התורה - 5 כר'</v>
      </c>
    </row>
    <row r="21679" spans="1:6" x14ac:dyDescent="0.2">
      <c r="A21679" t="s">
        <v>35058</v>
      </c>
      <c r="B21679" t="s">
        <v>2688</v>
      </c>
      <c r="C21679" t="s">
        <v>13</v>
      </c>
      <c r="D21679" t="s">
        <v>14</v>
      </c>
      <c r="E21679" t="s">
        <v>158</v>
      </c>
      <c r="F21679" s="2" t="str">
        <f>HYPERLINK("http://www.otzar.org/book.asp?142511","מגיד משנה (משנה הלכות) על התורה &lt;טקסט&gt;")</f>
        <v>מגיד משנה (משנה הלכות) על התורה &lt;טקסט&gt;</v>
      </c>
    </row>
    <row r="21680" spans="1:6" x14ac:dyDescent="0.2">
      <c r="A21680" t="s">
        <v>35059</v>
      </c>
      <c r="B21680" t="s">
        <v>35060</v>
      </c>
      <c r="C21680" t="s">
        <v>46</v>
      </c>
      <c r="D21680" t="s">
        <v>27</v>
      </c>
      <c r="E21680" t="s">
        <v>84</v>
      </c>
      <c r="F21680" s="2" t="str">
        <f>HYPERLINK("http://www.otzar.org/book.asp?24765","מגיד משנה האחרון")</f>
        <v>מגיד משנה האחרון</v>
      </c>
    </row>
    <row r="21681" spans="1:6" x14ac:dyDescent="0.2">
      <c r="A21681" t="s">
        <v>35061</v>
      </c>
      <c r="B21681" t="s">
        <v>8498</v>
      </c>
      <c r="C21681" t="s">
        <v>2550</v>
      </c>
      <c r="D21681" t="s">
        <v>9</v>
      </c>
      <c r="E21681" t="s">
        <v>234</v>
      </c>
      <c r="F21681" s="2" t="str">
        <f>HYPERLINK("http://www.otzar.org/book.asp?51629","מגיד משנה - 2 כר'")</f>
        <v>מגיד משנה - 2 כר'</v>
      </c>
    </row>
    <row r="21682" spans="1:6" x14ac:dyDescent="0.2">
      <c r="A21682" t="s">
        <v>35062</v>
      </c>
      <c r="B21682" t="s">
        <v>1035</v>
      </c>
      <c r="C21682" t="s">
        <v>35063</v>
      </c>
      <c r="D21682" t="s">
        <v>726</v>
      </c>
      <c r="E21682" t="s">
        <v>158</v>
      </c>
      <c r="F21682" s="2" t="str">
        <f>HYPERLINK("http://www.otzar.org/book.asp?53425","מגיד משרים &lt;דפו""ר&gt;")</f>
        <v>מגיד משרים &lt;דפו"ר&gt;</v>
      </c>
    </row>
    <row r="21683" spans="1:6" x14ac:dyDescent="0.2">
      <c r="A21683" t="s">
        <v>35064</v>
      </c>
      <c r="B21683" t="s">
        <v>1035</v>
      </c>
      <c r="C21683" t="s">
        <v>419</v>
      </c>
      <c r="D21683" t="s">
        <v>115</v>
      </c>
      <c r="E21683" t="s">
        <v>158</v>
      </c>
      <c r="F21683" s="2" t="str">
        <f>HYPERLINK("http://www.otzar.org/book.asp?197167","מגיד משרים &lt;מהדורה חדשה&gt;")</f>
        <v>מגיד משרים &lt;מהדורה חדשה&gt;</v>
      </c>
    </row>
    <row r="21684" spans="1:6" x14ac:dyDescent="0.2">
      <c r="A21684" t="s">
        <v>35065</v>
      </c>
      <c r="B21684" t="s">
        <v>4049</v>
      </c>
      <c r="C21684" t="s">
        <v>576</v>
      </c>
      <c r="D21684" t="s">
        <v>691</v>
      </c>
      <c r="E21684" t="s">
        <v>2088</v>
      </c>
      <c r="F21684" s="2" t="str">
        <f>HYPERLINK("http://www.otzar.org/book.asp?9131","מגיד משרים")</f>
        <v>מגיד משרים</v>
      </c>
    </row>
    <row r="21685" spans="1:6" x14ac:dyDescent="0.2">
      <c r="A21685" t="s">
        <v>35066</v>
      </c>
      <c r="B21685" t="s">
        <v>1035</v>
      </c>
      <c r="C21685" t="s">
        <v>1458</v>
      </c>
      <c r="D21685" t="s">
        <v>56</v>
      </c>
      <c r="E21685" t="s">
        <v>158</v>
      </c>
      <c r="F21685" s="2" t="str">
        <f>HYPERLINK("http://www.otzar.org/book.asp?19205","מגיד משרים - 6 כר'")</f>
        <v>מגיד משרים - 6 כר'</v>
      </c>
    </row>
    <row r="21686" spans="1:6" x14ac:dyDescent="0.2">
      <c r="A21686" t="s">
        <v>35067</v>
      </c>
      <c r="B21686" t="s">
        <v>35068</v>
      </c>
      <c r="C21686" t="s">
        <v>12036</v>
      </c>
      <c r="D21686" t="s">
        <v>267</v>
      </c>
      <c r="F21686" s="2" t="str">
        <f>HYPERLINK("http://www.otzar.org/book.asp?170142","מגיד עתידות")</f>
        <v>מגיד עתידות</v>
      </c>
    </row>
    <row r="21687" spans="1:6" x14ac:dyDescent="0.2">
      <c r="A21687" t="s">
        <v>35069</v>
      </c>
      <c r="B21687" t="s">
        <v>35070</v>
      </c>
      <c r="C21687" t="s">
        <v>1706</v>
      </c>
      <c r="D21687" t="s">
        <v>1117</v>
      </c>
      <c r="E21687" t="s">
        <v>4521</v>
      </c>
      <c r="F21687" s="2" t="str">
        <f>HYPERLINK("http://www.otzar.org/book.asp?19028","מגיד צדק")</f>
        <v>מגיד צדק</v>
      </c>
    </row>
    <row r="21688" spans="1:6" x14ac:dyDescent="0.2">
      <c r="A21688" t="s">
        <v>35071</v>
      </c>
      <c r="B21688" t="s">
        <v>35072</v>
      </c>
      <c r="C21688" t="s">
        <v>244</v>
      </c>
      <c r="D21688" t="s">
        <v>1180</v>
      </c>
      <c r="F21688" s="2" t="str">
        <f>HYPERLINK("http://www.otzar.org/book.asp?199137","מגיד תהלות &lt;מהדורה חדשה&gt;")</f>
        <v>מגיד תהלות &lt;מהדורה חדשה&gt;</v>
      </c>
    </row>
    <row r="21689" spans="1:6" x14ac:dyDescent="0.2">
      <c r="A21689" t="s">
        <v>35073</v>
      </c>
      <c r="B21689" t="s">
        <v>35072</v>
      </c>
      <c r="C21689" t="s">
        <v>362</v>
      </c>
      <c r="D21689" t="s">
        <v>352</v>
      </c>
      <c r="E21689" t="s">
        <v>158</v>
      </c>
      <c r="F21689" s="2" t="str">
        <f>HYPERLINK("http://www.otzar.org/book.asp?189873","מגיד תהלות")</f>
        <v>מגיד תהלות</v>
      </c>
    </row>
    <row r="21690" spans="1:6" x14ac:dyDescent="0.2">
      <c r="A21690" t="s">
        <v>35074</v>
      </c>
      <c r="B21690" t="s">
        <v>5218</v>
      </c>
      <c r="C21690" t="s">
        <v>63</v>
      </c>
      <c r="D21690" t="s">
        <v>14</v>
      </c>
      <c r="E21690" t="s">
        <v>104</v>
      </c>
      <c r="F21690" s="2" t="str">
        <f>HYPERLINK("http://www.otzar.org/book.asp?53655","מגיד תעלומה")</f>
        <v>מגיד תעלומה</v>
      </c>
    </row>
    <row r="21691" spans="1:6" x14ac:dyDescent="0.2">
      <c r="A21691" t="s">
        <v>35075</v>
      </c>
      <c r="B21691" t="s">
        <v>1264</v>
      </c>
      <c r="C21691" t="s">
        <v>438</v>
      </c>
      <c r="D21691" t="s">
        <v>14</v>
      </c>
      <c r="E21691" t="s">
        <v>2533</v>
      </c>
      <c r="F21691" s="2" t="str">
        <f>HYPERLINK("http://www.otzar.org/book.asp?52466","מגיד תעלומה - 5 כר'")</f>
        <v>מגיד תעלומה - 5 כר'</v>
      </c>
    </row>
    <row r="21692" spans="1:6" x14ac:dyDescent="0.2">
      <c r="A21692" t="s">
        <v>35076</v>
      </c>
      <c r="B21692" t="s">
        <v>16317</v>
      </c>
      <c r="C21692" t="s">
        <v>775</v>
      </c>
      <c r="D21692" t="s">
        <v>52</v>
      </c>
      <c r="E21692" t="s">
        <v>35077</v>
      </c>
      <c r="F21692" s="2" t="str">
        <f>HYPERLINK("http://www.otzar.org/book.asp?51110","מגיד תשובה - 7 כר'")</f>
        <v>מגיד תשובה - 7 כר'</v>
      </c>
    </row>
    <row r="21693" spans="1:6" x14ac:dyDescent="0.2">
      <c r="A21693" t="s">
        <v>35078</v>
      </c>
      <c r="B21693" t="s">
        <v>1361</v>
      </c>
      <c r="C21693" t="s">
        <v>1448</v>
      </c>
      <c r="D21693" t="s">
        <v>412</v>
      </c>
      <c r="E21693" t="s">
        <v>154</v>
      </c>
      <c r="F21693" s="2" t="str">
        <f>HYPERLINK("http://www.otzar.org/book.asp?149827","מגידות")</f>
        <v>מגידות</v>
      </c>
    </row>
    <row r="21694" spans="1:6" x14ac:dyDescent="0.2">
      <c r="A21694" t="s">
        <v>35079</v>
      </c>
      <c r="B21694" t="s">
        <v>24107</v>
      </c>
      <c r="C21694" t="s">
        <v>133</v>
      </c>
      <c r="D21694" t="s">
        <v>14</v>
      </c>
      <c r="E21694" t="s">
        <v>130</v>
      </c>
      <c r="F21694" s="2" t="str">
        <f>HYPERLINK("http://www.otzar.org/book.asp?173523","מגילה במוקפות חומה")</f>
        <v>מגילה במוקפות חומה</v>
      </c>
    </row>
    <row r="21695" spans="1:6" x14ac:dyDescent="0.2">
      <c r="A21695" t="s">
        <v>35080</v>
      </c>
      <c r="B21695" t="s">
        <v>14499</v>
      </c>
      <c r="C21695" t="s">
        <v>156</v>
      </c>
      <c r="D21695" t="s">
        <v>35081</v>
      </c>
      <c r="E21695" t="s">
        <v>119</v>
      </c>
      <c r="F21695" s="2" t="str">
        <f>HYPERLINK("http://www.otzar.org/book.asp?106370","מגילה עפה")</f>
        <v>מגילה עפה</v>
      </c>
    </row>
    <row r="21696" spans="1:6" x14ac:dyDescent="0.2">
      <c r="A21696" t="s">
        <v>35082</v>
      </c>
      <c r="B21696" t="s">
        <v>1105</v>
      </c>
      <c r="C21696" t="s">
        <v>151</v>
      </c>
      <c r="D21696" t="s">
        <v>14</v>
      </c>
      <c r="F21696" s="2" t="str">
        <f>HYPERLINK("http://www.otzar.org/book.asp?623123","מגילות קוצ'ין")</f>
        <v>מגילות קוצ'ין</v>
      </c>
    </row>
    <row r="21697" spans="1:6" x14ac:dyDescent="0.2">
      <c r="A21697" t="s">
        <v>35083</v>
      </c>
      <c r="B21697" t="s">
        <v>12077</v>
      </c>
      <c r="C21697" t="s">
        <v>51</v>
      </c>
      <c r="D21697" t="s">
        <v>14</v>
      </c>
      <c r="E21697" t="s">
        <v>467</v>
      </c>
      <c r="F21697" s="2" t="str">
        <f>HYPERLINK("http://www.otzar.org/book.asp?146440","מגילת אבי")</f>
        <v>מגילת אבי</v>
      </c>
    </row>
    <row r="21698" spans="1:6" x14ac:dyDescent="0.2">
      <c r="A21698" t="s">
        <v>35084</v>
      </c>
      <c r="B21698" t="s">
        <v>35085</v>
      </c>
      <c r="C21698" t="s">
        <v>1364</v>
      </c>
      <c r="D21698" t="s">
        <v>1801</v>
      </c>
      <c r="F21698" s="2" t="str">
        <f>HYPERLINK("http://www.otzar.org/book.asp?170147","מגילת אונטיוכוס לחנוכה")</f>
        <v>מגילת אונטיוכוס לחנוכה</v>
      </c>
    </row>
    <row r="21699" spans="1:6" x14ac:dyDescent="0.2">
      <c r="A21699" t="s">
        <v>35086</v>
      </c>
      <c r="B21699" t="s">
        <v>35087</v>
      </c>
      <c r="C21699" t="s">
        <v>442</v>
      </c>
      <c r="D21699" t="s">
        <v>27</v>
      </c>
      <c r="E21699" t="s">
        <v>3083</v>
      </c>
      <c r="F21699" s="2" t="str">
        <f>HYPERLINK("http://www.otzar.org/book.asp?14713","מגילת אחימעץ - 2 כר'")</f>
        <v>מגילת אחימעץ - 2 כר'</v>
      </c>
    </row>
    <row r="21700" spans="1:6" x14ac:dyDescent="0.2">
      <c r="A21700" t="s">
        <v>35088</v>
      </c>
      <c r="B21700" t="s">
        <v>3484</v>
      </c>
      <c r="C21700" t="s">
        <v>466</v>
      </c>
      <c r="D21700" t="s">
        <v>14</v>
      </c>
      <c r="E21700" t="s">
        <v>119</v>
      </c>
      <c r="F21700" s="2" t="str">
        <f>HYPERLINK("http://www.otzar.org/book.asp?142214","מגילת איבה - 5 כר'")</f>
        <v>מגילת איבה - 5 כר'</v>
      </c>
    </row>
    <row r="21701" spans="1:6" x14ac:dyDescent="0.2">
      <c r="A21701" t="s">
        <v>35089</v>
      </c>
      <c r="B21701" t="s">
        <v>11798</v>
      </c>
      <c r="C21701" t="s">
        <v>854</v>
      </c>
      <c r="D21701" t="s">
        <v>1913</v>
      </c>
      <c r="E21701" t="s">
        <v>158</v>
      </c>
      <c r="F21701" s="2" t="str">
        <f>HYPERLINK("http://www.otzar.org/book.asp?6557","מגילת איכה &lt;תורה תמימה&gt;")</f>
        <v>מגילת איכה &lt;תורה תמימה&gt;</v>
      </c>
    </row>
    <row r="21702" spans="1:6" x14ac:dyDescent="0.2">
      <c r="A21702" t="s">
        <v>35090</v>
      </c>
      <c r="B21702" t="s">
        <v>15514</v>
      </c>
      <c r="C21702" t="s">
        <v>151</v>
      </c>
      <c r="D21702" t="s">
        <v>15515</v>
      </c>
      <c r="E21702" t="s">
        <v>158</v>
      </c>
      <c r="F21702" s="2" t="str">
        <f>HYPERLINK("http://www.otzar.org/book.asp?630052","מגילת איכה &lt;רמז חשבוני&gt;")</f>
        <v>מגילת איכה &lt;רמז חשבוני&gt;</v>
      </c>
    </row>
    <row r="21703" spans="1:6" x14ac:dyDescent="0.2">
      <c r="A21703" t="s">
        <v>35091</v>
      </c>
      <c r="B21703" t="s">
        <v>14133</v>
      </c>
      <c r="C21703" t="s">
        <v>617</v>
      </c>
      <c r="D21703" t="s">
        <v>855</v>
      </c>
      <c r="E21703" t="s">
        <v>1103</v>
      </c>
      <c r="F21703" s="2" t="str">
        <f>HYPERLINK("http://www.otzar.org/book.asp?102617","מגילת איכה &lt;פרי חיים&gt;")</f>
        <v>מגילת איכה &lt;פרי חיים&gt;</v>
      </c>
    </row>
    <row r="21704" spans="1:6" x14ac:dyDescent="0.2">
      <c r="A21704" t="s">
        <v>35092</v>
      </c>
      <c r="B21704" t="s">
        <v>107</v>
      </c>
      <c r="C21704" t="s">
        <v>17</v>
      </c>
      <c r="D21704" t="s">
        <v>14</v>
      </c>
      <c r="E21704" t="s">
        <v>158</v>
      </c>
      <c r="F21704" s="2" t="str">
        <f>HYPERLINK("http://www.otzar.org/book.asp?6356","מגילת איכה &lt;דבר ירושלים&gt;")</f>
        <v>מגילת איכה &lt;דבר ירושלים&gt;</v>
      </c>
    </row>
    <row r="21705" spans="1:6" x14ac:dyDescent="0.2">
      <c r="A21705" t="s">
        <v>35093</v>
      </c>
      <c r="B21705" t="s">
        <v>35094</v>
      </c>
      <c r="C21705" t="s">
        <v>20</v>
      </c>
      <c r="D21705" t="s">
        <v>21</v>
      </c>
      <c r="E21705" t="s">
        <v>158</v>
      </c>
      <c r="F21705" s="2" t="str">
        <f>HYPERLINK("http://www.otzar.org/book.asp?195543","מגילת איכה &lt;דמעת חיים&gt;")</f>
        <v>מגילת איכה &lt;דמעת חיים&gt;</v>
      </c>
    </row>
    <row r="21706" spans="1:6" x14ac:dyDescent="0.2">
      <c r="A21706" t="s">
        <v>35095</v>
      </c>
      <c r="B21706" t="s">
        <v>14123</v>
      </c>
      <c r="C21706" t="s">
        <v>454</v>
      </c>
      <c r="D21706" t="s">
        <v>14</v>
      </c>
      <c r="E21706" t="s">
        <v>158</v>
      </c>
      <c r="F21706" s="2" t="str">
        <f>HYPERLINK("http://www.otzar.org/book.asp?163303","מגילת איכה ע""פ רש""י ואבן עזרא &lt;פשר דבר&gt;")</f>
        <v>מגילת איכה ע"פ רש"י ואבן עזרא &lt;פשר דבר&gt;</v>
      </c>
    </row>
    <row r="21707" spans="1:6" x14ac:dyDescent="0.2">
      <c r="A21707" t="s">
        <v>35096</v>
      </c>
      <c r="B21707" t="s">
        <v>35097</v>
      </c>
      <c r="C21707" t="s">
        <v>37</v>
      </c>
      <c r="D21707" t="s">
        <v>90</v>
      </c>
      <c r="E21707" t="s">
        <v>158</v>
      </c>
      <c r="F21707" s="2" t="str">
        <f>HYPERLINK("http://www.otzar.org/book.asp?182311","מגילת איכה עם ביאור")</f>
        <v>מגילת איכה עם ביאור</v>
      </c>
    </row>
    <row r="21708" spans="1:6" x14ac:dyDescent="0.2">
      <c r="A21708" t="s">
        <v>35098</v>
      </c>
      <c r="B21708" t="s">
        <v>35099</v>
      </c>
      <c r="C21708" t="s">
        <v>23</v>
      </c>
      <c r="D21708" t="s">
        <v>90</v>
      </c>
      <c r="E21708" t="s">
        <v>158</v>
      </c>
      <c r="F21708" s="2" t="str">
        <f>HYPERLINK("http://www.otzar.org/book.asp?190065","מגילת איכה עם פירוש עץ הטוב")</f>
        <v>מגילת איכה עם פירוש עץ הטוב</v>
      </c>
    </row>
    <row r="21709" spans="1:6" x14ac:dyDescent="0.2">
      <c r="A21709" t="s">
        <v>35100</v>
      </c>
      <c r="B21709" t="s">
        <v>35101</v>
      </c>
      <c r="C21709" t="s">
        <v>11776</v>
      </c>
      <c r="D21709" t="s">
        <v>49</v>
      </c>
      <c r="E21709" t="s">
        <v>5186</v>
      </c>
      <c r="F21709" s="2" t="str">
        <f>HYPERLINK("http://www.otzar.org/book.asp?181175","מגילת איכה קינות וציונים")</f>
        <v>מגילת איכה קינות וציונים</v>
      </c>
    </row>
    <row r="21710" spans="1:6" x14ac:dyDescent="0.2">
      <c r="A21710" t="s">
        <v>35102</v>
      </c>
      <c r="B21710" t="s">
        <v>4816</v>
      </c>
      <c r="C21710" t="s">
        <v>454</v>
      </c>
      <c r="D21710" t="s">
        <v>486</v>
      </c>
      <c r="E21710" t="s">
        <v>230</v>
      </c>
      <c r="F21710" s="2" t="str">
        <f>HYPERLINK("http://www.otzar.org/book.asp?179491","מגילת אליהו - 2 כר'")</f>
        <v>מגילת אליהו - 2 כר'</v>
      </c>
    </row>
    <row r="21711" spans="1:6" x14ac:dyDescent="0.2">
      <c r="A21711" t="s">
        <v>35103</v>
      </c>
      <c r="B21711" t="s">
        <v>35104</v>
      </c>
      <c r="C21711" t="s">
        <v>111</v>
      </c>
      <c r="D21711" t="s">
        <v>14</v>
      </c>
      <c r="E21711" t="s">
        <v>246</v>
      </c>
      <c r="F21711" s="2" t="str">
        <f>HYPERLINK("http://www.otzar.org/book.asp?623470","מגילת אנטיוכוס &lt;שיח יצחק&gt;")</f>
        <v>מגילת אנטיוכוס &lt;שיח יצחק&gt;</v>
      </c>
    </row>
    <row r="21712" spans="1:6" x14ac:dyDescent="0.2">
      <c r="A21712" t="s">
        <v>35105</v>
      </c>
      <c r="B21712" t="s">
        <v>35106</v>
      </c>
      <c r="C21712" t="s">
        <v>68</v>
      </c>
      <c r="D21712" t="s">
        <v>115</v>
      </c>
      <c r="E21712" t="s">
        <v>246</v>
      </c>
      <c r="F21712" s="2" t="str">
        <f>HYPERLINK("http://www.otzar.org/book.asp?195153","מגילת אנטיוכוס &lt;כוונת הלב&gt;")</f>
        <v>מגילת אנטיוכוס &lt;כוונת הלב&gt;</v>
      </c>
    </row>
    <row r="21713" spans="1:6" x14ac:dyDescent="0.2">
      <c r="A21713" t="s">
        <v>35107</v>
      </c>
      <c r="B21713" t="s">
        <v>35108</v>
      </c>
      <c r="C21713" t="s">
        <v>35109</v>
      </c>
      <c r="D21713" t="s">
        <v>18293</v>
      </c>
      <c r="F21713" s="2" t="str">
        <f>HYPERLINK("http://www.otzar.org/book.asp?53427","מגילת אנטיוכוס בארמית ובעברית")</f>
        <v>מגילת אנטיוכוס בארמית ובעברית</v>
      </c>
    </row>
    <row r="21714" spans="1:6" x14ac:dyDescent="0.2">
      <c r="A21714" t="s">
        <v>35110</v>
      </c>
      <c r="B21714" t="s">
        <v>20701</v>
      </c>
      <c r="C21714" t="s">
        <v>383</v>
      </c>
      <c r="D21714" t="s">
        <v>52</v>
      </c>
      <c r="E21714" t="s">
        <v>4172</v>
      </c>
      <c r="F21714" s="2" t="str">
        <f>HYPERLINK("http://www.otzar.org/book.asp?153923","מגילת אנטיוכוס מורחבת")</f>
        <v>מגילת אנטיוכוס מורחבת</v>
      </c>
    </row>
    <row r="21715" spans="1:6" x14ac:dyDescent="0.2">
      <c r="A21715" t="s">
        <v>35111</v>
      </c>
      <c r="B21715" t="s">
        <v>35112</v>
      </c>
      <c r="C21715" t="s">
        <v>1062</v>
      </c>
      <c r="D21715" t="s">
        <v>35113</v>
      </c>
      <c r="E21715" t="s">
        <v>246</v>
      </c>
      <c r="F21715" s="2" t="str">
        <f>HYPERLINK("http://www.otzar.org/book.asp?166526","מגילת אנטיוכוס - פקסימיליה")</f>
        <v>מגילת אנטיוכוס - פקסימיליה</v>
      </c>
    </row>
    <row r="21716" spans="1:6" x14ac:dyDescent="0.2">
      <c r="A21716" t="s">
        <v>35114</v>
      </c>
      <c r="B21716" t="s">
        <v>35114</v>
      </c>
      <c r="C21716" t="s">
        <v>523</v>
      </c>
      <c r="D21716" t="s">
        <v>5130</v>
      </c>
      <c r="E21716" t="s">
        <v>246</v>
      </c>
      <c r="F21716" s="2" t="str">
        <f>HYPERLINK("http://www.otzar.org/book.asp?625115","מגילת אנטיוכס")</f>
        <v>מגילת אנטיוכס</v>
      </c>
    </row>
    <row r="21717" spans="1:6" x14ac:dyDescent="0.2">
      <c r="A21717" t="s">
        <v>35115</v>
      </c>
      <c r="E21717" t="s">
        <v>158</v>
      </c>
      <c r="F21717" s="2" t="str">
        <f>HYPERLINK("http://www.otzar.org/book.asp?179101","מגילת אסתר &lt;פנים מאירות, פנים מסבירות&gt;")</f>
        <v>מגילת אסתר &lt;פנים מאירות, פנים מסבירות&gt;</v>
      </c>
    </row>
    <row r="21718" spans="1:6" x14ac:dyDescent="0.2">
      <c r="A21718" t="s">
        <v>35116</v>
      </c>
      <c r="B21718" t="s">
        <v>531</v>
      </c>
      <c r="C21718" t="s">
        <v>143</v>
      </c>
      <c r="D21718" t="s">
        <v>216</v>
      </c>
      <c r="E21718" t="s">
        <v>158</v>
      </c>
      <c r="F21718" s="2" t="str">
        <f>HYPERLINK("http://www.otzar.org/book.asp?14515","מגילת אסתר &lt;ראב""ע, הדר עזר, אברהם יגל&gt;")</f>
        <v>מגילת אסתר &lt;ראב"ע, הדר עזר, אברהם יגל&gt;</v>
      </c>
    </row>
    <row r="21719" spans="1:6" x14ac:dyDescent="0.2">
      <c r="A21719" t="s">
        <v>35117</v>
      </c>
      <c r="B21719" t="s">
        <v>35118</v>
      </c>
      <c r="C21719" t="s">
        <v>35119</v>
      </c>
      <c r="D21719" t="s">
        <v>49</v>
      </c>
      <c r="E21719" t="s">
        <v>674</v>
      </c>
      <c r="F21719" s="2" t="str">
        <f>HYPERLINK("http://www.otzar.org/book.asp?160756","מגילת אסתר &lt;על סהמ""צ&gt;")</f>
        <v>מגילת אסתר &lt;על סהמ"צ&gt;</v>
      </c>
    </row>
    <row r="21720" spans="1:6" x14ac:dyDescent="0.2">
      <c r="A21720" t="s">
        <v>35120</v>
      </c>
      <c r="B21720" t="s">
        <v>35121</v>
      </c>
      <c r="C21720" t="s">
        <v>133</v>
      </c>
      <c r="D21720" t="s">
        <v>646</v>
      </c>
      <c r="E21720" t="s">
        <v>158</v>
      </c>
      <c r="F21720" s="2" t="str">
        <f>HYPERLINK("http://www.otzar.org/book.asp?175517","מגילת אסתר &lt;דובר שלום&gt;")</f>
        <v>מגילת אסתר &lt;דובר שלום&gt;</v>
      </c>
    </row>
    <row r="21721" spans="1:6" x14ac:dyDescent="0.2">
      <c r="A21721" t="s">
        <v>35122</v>
      </c>
      <c r="B21721" t="s">
        <v>16795</v>
      </c>
      <c r="C21721" t="s">
        <v>156</v>
      </c>
      <c r="D21721" t="s">
        <v>283</v>
      </c>
      <c r="E21721" t="s">
        <v>158</v>
      </c>
      <c r="F21721" s="2" t="str">
        <f>HYPERLINK("http://www.otzar.org/book.asp?104799","מגילת אסתר &lt;מחיר יין&gt;")</f>
        <v>מגילת אסתר &lt;מחיר יין&gt;</v>
      </c>
    </row>
    <row r="21722" spans="1:6" x14ac:dyDescent="0.2">
      <c r="A21722" t="s">
        <v>35123</v>
      </c>
      <c r="B21722" t="s">
        <v>35124</v>
      </c>
      <c r="C21722" t="s">
        <v>422</v>
      </c>
      <c r="D21722" t="s">
        <v>657</v>
      </c>
      <c r="E21722" t="s">
        <v>230</v>
      </c>
      <c r="F21722" s="2" t="str">
        <f>HYPERLINK("http://www.otzar.org/book.asp?165496","מגילת אסתר &lt;מירא  דכיא&gt;")</f>
        <v>מגילת אסתר &lt;מירא  דכיא&gt;</v>
      </c>
    </row>
    <row r="21723" spans="1:6" x14ac:dyDescent="0.2">
      <c r="A21723" t="s">
        <v>35125</v>
      </c>
      <c r="B21723" t="s">
        <v>1821</v>
      </c>
      <c r="C21723" t="s">
        <v>1609</v>
      </c>
      <c r="D21723" t="s">
        <v>52</v>
      </c>
      <c r="E21723" t="s">
        <v>158</v>
      </c>
      <c r="F21723" s="2" t="str">
        <f>HYPERLINK("http://www.otzar.org/book.asp?611066","מגילת אסתר &lt;הגר""א - מלא העומר&gt;")</f>
        <v>מגילת אסתר &lt;הגר"א - מלא העומר&gt;</v>
      </c>
    </row>
    <row r="21724" spans="1:6" x14ac:dyDescent="0.2">
      <c r="A21724" t="s">
        <v>35126</v>
      </c>
      <c r="B21724" t="s">
        <v>1821</v>
      </c>
      <c r="C21724" t="s">
        <v>506</v>
      </c>
      <c r="D21724" t="s">
        <v>14954</v>
      </c>
      <c r="E21724" t="s">
        <v>158</v>
      </c>
      <c r="F21724" s="2" t="str">
        <f>HYPERLINK("http://www.otzar.org/book.asp?168874","מגילת אסתר &lt;הגר""א&gt; - 4 כר'")</f>
        <v>מגילת אסתר &lt;הגר"א&gt; - 4 כר'</v>
      </c>
    </row>
    <row r="21725" spans="1:6" x14ac:dyDescent="0.2">
      <c r="A21725" t="s">
        <v>35127</v>
      </c>
      <c r="B21725" t="s">
        <v>11798</v>
      </c>
      <c r="C21725" t="s">
        <v>854</v>
      </c>
      <c r="D21725" t="s">
        <v>1913</v>
      </c>
      <c r="E21725" t="s">
        <v>579</v>
      </c>
      <c r="F21725" s="2" t="str">
        <f>HYPERLINK("http://www.otzar.org/book.asp?6585","מגילת אסתר &lt;תורה תמימה&gt;")</f>
        <v>מגילת אסתר &lt;תורה תמימה&gt;</v>
      </c>
    </row>
    <row r="21726" spans="1:6" x14ac:dyDescent="0.2">
      <c r="A21726" t="s">
        <v>35128</v>
      </c>
      <c r="B21726" t="s">
        <v>9164</v>
      </c>
      <c r="C21726" t="s">
        <v>438</v>
      </c>
      <c r="D21726" t="s">
        <v>14</v>
      </c>
      <c r="E21726" t="s">
        <v>957</v>
      </c>
      <c r="F21726" s="2" t="str">
        <f>HYPERLINK("http://www.otzar.org/book.asp?14553","מגילת אסתר &lt;מדרש רבינו בחיי&gt;")</f>
        <v>מגילת אסתר &lt;מדרש רבינו בחיי&gt;</v>
      </c>
    </row>
    <row r="21727" spans="1:6" x14ac:dyDescent="0.2">
      <c r="A21727" t="s">
        <v>35129</v>
      </c>
      <c r="B21727" t="s">
        <v>35130</v>
      </c>
      <c r="C21727" t="s">
        <v>13</v>
      </c>
      <c r="D21727" t="s">
        <v>14</v>
      </c>
      <c r="E21727" t="s">
        <v>158</v>
      </c>
      <c r="F21727" s="2" t="str">
        <f>HYPERLINK("http://www.otzar.org/book.asp?186811","מגילת אסתר &lt;ר""י די שיגוביא - ר""ש אלגאזי&gt;")</f>
        <v>מגילת אסתר &lt;ר"י די שיגוביא - ר"ש אלגאזי&gt;</v>
      </c>
    </row>
    <row r="21728" spans="1:6" x14ac:dyDescent="0.2">
      <c r="A21728" t="s">
        <v>35131</v>
      </c>
      <c r="B21728" t="s">
        <v>206</v>
      </c>
      <c r="C21728" t="s">
        <v>244</v>
      </c>
      <c r="D21728" t="s">
        <v>14</v>
      </c>
      <c r="F21728" s="2" t="str">
        <f>HYPERLINK("http://www.otzar.org/book.asp?608692","מגילת אסתר &lt;אור המגילה&gt;")</f>
        <v>מגילת אסתר &lt;אור המגילה&gt;</v>
      </c>
    </row>
    <row r="21729" spans="1:6" x14ac:dyDescent="0.2">
      <c r="A21729" t="s">
        <v>35132</v>
      </c>
      <c r="B21729" t="s">
        <v>35133</v>
      </c>
      <c r="C21729" t="s">
        <v>146</v>
      </c>
      <c r="D21729" t="s">
        <v>152</v>
      </c>
      <c r="E21729" t="s">
        <v>158</v>
      </c>
      <c r="F21729" s="2" t="str">
        <f>HYPERLINK("http://www.otzar.org/book.asp?156140","מגילת אסתר &lt;איש ימיני&gt;")</f>
        <v>מגילת אסתר &lt;איש ימיני&gt;</v>
      </c>
    </row>
    <row r="21730" spans="1:6" x14ac:dyDescent="0.2">
      <c r="A21730" t="s">
        <v>35134</v>
      </c>
      <c r="B21730" t="s">
        <v>8098</v>
      </c>
      <c r="C21730" t="s">
        <v>114</v>
      </c>
      <c r="D21730" t="s">
        <v>52</v>
      </c>
      <c r="E21730" t="s">
        <v>158</v>
      </c>
      <c r="F21730" s="2" t="str">
        <f>HYPERLINK("http://www.otzar.org/book.asp?165114","מגילת אסתר &lt;מגילת מפרשי המקרא&gt;")</f>
        <v>מגילת אסתר &lt;מגילת מפרשי המקרא&gt;</v>
      </c>
    </row>
    <row r="21731" spans="1:6" x14ac:dyDescent="0.2">
      <c r="A21731" t="s">
        <v>35135</v>
      </c>
      <c r="B21731" t="s">
        <v>35136</v>
      </c>
      <c r="C21731" t="s">
        <v>466</v>
      </c>
      <c r="D21731" t="s">
        <v>14</v>
      </c>
      <c r="E21731" t="s">
        <v>158</v>
      </c>
      <c r="F21731" s="2" t="str">
        <f>HYPERLINK("http://www.otzar.org/book.asp?176691","מגילת אסתר &lt;מלכה של תורה&gt;")</f>
        <v>מגילת אסתר &lt;מלכה של תורה&gt;</v>
      </c>
    </row>
    <row r="21732" spans="1:6" x14ac:dyDescent="0.2">
      <c r="A21732" t="s">
        <v>35137</v>
      </c>
      <c r="B21732" t="s">
        <v>17599</v>
      </c>
      <c r="C21732" t="s">
        <v>244</v>
      </c>
      <c r="D21732" t="s">
        <v>52</v>
      </c>
      <c r="E21732" t="s">
        <v>158</v>
      </c>
      <c r="F21732" s="2" t="str">
        <f>HYPERLINK("http://www.otzar.org/book.asp?610846","מגילת אסתר &lt;מנחת ישראל&gt;")</f>
        <v>מגילת אסתר &lt;מנחת ישראל&gt;</v>
      </c>
    </row>
    <row r="21733" spans="1:6" x14ac:dyDescent="0.2">
      <c r="A21733" t="s">
        <v>35138</v>
      </c>
      <c r="B21733" t="s">
        <v>7973</v>
      </c>
      <c r="C21733" t="s">
        <v>1609</v>
      </c>
      <c r="D21733" t="s">
        <v>14</v>
      </c>
      <c r="E21733" t="s">
        <v>35139</v>
      </c>
      <c r="F21733" s="2" t="str">
        <f>HYPERLINK("http://www.otzar.org/book.asp?15145","מגילת אסתר &lt;תקפו של נס&gt;")</f>
        <v>מגילת אסתר &lt;תקפו של נס&gt;</v>
      </c>
    </row>
    <row r="21734" spans="1:6" x14ac:dyDescent="0.2">
      <c r="A21734" t="s">
        <v>35140</v>
      </c>
      <c r="B21734" t="s">
        <v>35141</v>
      </c>
      <c r="C21734" t="s">
        <v>395</v>
      </c>
      <c r="D21734" t="s">
        <v>283</v>
      </c>
      <c r="E21734" t="s">
        <v>158</v>
      </c>
      <c r="F21734" s="2" t="str">
        <f>HYPERLINK("http://www.otzar.org/book.asp?102537","מגילת אסתר &lt;דברי שלום ואמת&gt;")</f>
        <v>מגילת אסתר &lt;דברי שלום ואמת&gt;</v>
      </c>
    </row>
    <row r="21735" spans="1:6" x14ac:dyDescent="0.2">
      <c r="A21735" t="s">
        <v>35142</v>
      </c>
      <c r="B21735" t="s">
        <v>35143</v>
      </c>
      <c r="C21735" t="s">
        <v>13</v>
      </c>
      <c r="D21735" t="s">
        <v>90</v>
      </c>
      <c r="F21735" s="2" t="str">
        <f>HYPERLINK("http://www.otzar.org/book.asp?616497","מגילת אסתר &lt;זהב הים&gt;")</f>
        <v>מגילת אסתר &lt;זהב הים&gt;</v>
      </c>
    </row>
    <row r="21736" spans="1:6" x14ac:dyDescent="0.2">
      <c r="A21736" t="s">
        <v>35144</v>
      </c>
      <c r="B21736" t="s">
        <v>3834</v>
      </c>
      <c r="C21736" t="s">
        <v>37</v>
      </c>
      <c r="D21736" t="s">
        <v>21</v>
      </c>
      <c r="F21736" s="2" t="str">
        <f>HYPERLINK("http://www.otzar.org/book.asp?603280","מגילת אסתר &lt;נזר הקודש&gt;")</f>
        <v>מגילת אסתר &lt;נזר הקודש&gt;</v>
      </c>
    </row>
    <row r="21737" spans="1:6" x14ac:dyDescent="0.2">
      <c r="A21737" t="s">
        <v>35145</v>
      </c>
      <c r="B21737" t="s">
        <v>35146</v>
      </c>
      <c r="C21737" t="s">
        <v>176</v>
      </c>
      <c r="D21737" t="s">
        <v>14</v>
      </c>
      <c r="E21737" t="s">
        <v>158</v>
      </c>
      <c r="F21737" s="2" t="str">
        <f>HYPERLINK("http://www.otzar.org/book.asp?158958","מגילת אסתר &lt;ביאורים מלוקטים&gt;")</f>
        <v>מגילת אסתר &lt;ביאורים מלוקטים&gt;</v>
      </c>
    </row>
    <row r="21738" spans="1:6" x14ac:dyDescent="0.2">
      <c r="A21738" t="s">
        <v>35147</v>
      </c>
      <c r="B21738" t="s">
        <v>35148</v>
      </c>
      <c r="C21738" t="s">
        <v>20</v>
      </c>
      <c r="D21738" t="s">
        <v>90</v>
      </c>
      <c r="F21738" s="2" t="str">
        <f>HYPERLINK("http://www.otzar.org/book.asp?603284","מגילת אסתר &lt;מילי דאגדתא&gt;")</f>
        <v>מגילת אסתר &lt;מילי דאגדתא&gt;</v>
      </c>
    </row>
    <row r="21739" spans="1:6" x14ac:dyDescent="0.2">
      <c r="A21739" t="s">
        <v>35149</v>
      </c>
      <c r="B21739" t="s">
        <v>35150</v>
      </c>
      <c r="C21739" t="s">
        <v>20</v>
      </c>
      <c r="E21739" t="s">
        <v>158</v>
      </c>
      <c r="F21739" s="2" t="str">
        <f>HYPERLINK("http://www.otzar.org/book.asp?604346","מגילת אסתר &lt;כתב הדת - פתשגן הכתב&gt;")</f>
        <v>מגילת אסתר &lt;כתב הדת - פתשגן הכתב&gt;</v>
      </c>
    </row>
    <row r="21740" spans="1:6" x14ac:dyDescent="0.2">
      <c r="A21740" t="s">
        <v>35151</v>
      </c>
      <c r="B21740" t="s">
        <v>3057</v>
      </c>
      <c r="C21740" t="s">
        <v>1458</v>
      </c>
      <c r="D21740" t="s">
        <v>56</v>
      </c>
      <c r="E21740" t="s">
        <v>158</v>
      </c>
      <c r="F21740" s="2" t="str">
        <f>HYPERLINK("http://www.otzar.org/book.asp?14552","מגילת אסתר &lt;מלבי""ם&gt;")</f>
        <v>מגילת אסתר &lt;מלבי"ם&gt;</v>
      </c>
    </row>
    <row r="21741" spans="1:6" x14ac:dyDescent="0.2">
      <c r="A21741" t="s">
        <v>35152</v>
      </c>
      <c r="B21741" t="s">
        <v>13591</v>
      </c>
      <c r="C21741" t="s">
        <v>244</v>
      </c>
      <c r="D21741" t="s">
        <v>90</v>
      </c>
      <c r="E21741" t="s">
        <v>158</v>
      </c>
      <c r="F21741" s="2" t="str">
        <f>HYPERLINK("http://www.otzar.org/book.asp?612543","מגילת אסתר &lt;זרע שמשון&gt;")</f>
        <v>מגילת אסתר &lt;זרע שמשון&gt;</v>
      </c>
    </row>
    <row r="21742" spans="1:6" x14ac:dyDescent="0.2">
      <c r="A21742" t="s">
        <v>35153</v>
      </c>
      <c r="B21742" t="s">
        <v>35154</v>
      </c>
      <c r="C21742" t="s">
        <v>17</v>
      </c>
      <c r="D21742" t="s">
        <v>1273</v>
      </c>
      <c r="E21742" t="s">
        <v>158</v>
      </c>
      <c r="F21742" s="2" t="str">
        <f>HYPERLINK("http://www.otzar.org/book.asp?604073","מגילת אסתר &lt;בית סערענטש&gt;")</f>
        <v>מגילת אסתר &lt;בית סערענטש&gt;</v>
      </c>
    </row>
    <row r="21743" spans="1:6" x14ac:dyDescent="0.2">
      <c r="A21743" t="s">
        <v>35155</v>
      </c>
      <c r="B21743" t="s">
        <v>4967</v>
      </c>
      <c r="C21743" t="s">
        <v>366</v>
      </c>
      <c r="D21743" t="s">
        <v>1273</v>
      </c>
      <c r="E21743" t="s">
        <v>158</v>
      </c>
      <c r="F21743" s="2" t="str">
        <f>HYPERLINK("http://www.otzar.org/book.asp?603926","מגילת אסתר &lt;חוט של חסד&gt;")</f>
        <v>מגילת אסתר &lt;חוט של חסד&gt;</v>
      </c>
    </row>
    <row r="21744" spans="1:6" x14ac:dyDescent="0.2">
      <c r="A21744" t="s">
        <v>35155</v>
      </c>
      <c r="B21744" t="s">
        <v>18563</v>
      </c>
      <c r="C21744" t="s">
        <v>124</v>
      </c>
      <c r="D21744" t="s">
        <v>14</v>
      </c>
      <c r="E21744" t="s">
        <v>4940</v>
      </c>
      <c r="F21744" s="2" t="str">
        <f>HYPERLINK("http://www.otzar.org/book.asp?7754","מגילת אסתר &lt;חוט של חסד&gt;")</f>
        <v>מגילת אסתר &lt;חוט של חסד&gt;</v>
      </c>
    </row>
    <row r="21745" spans="1:6" x14ac:dyDescent="0.2">
      <c r="A21745" t="s">
        <v>35156</v>
      </c>
      <c r="B21745" t="s">
        <v>35157</v>
      </c>
      <c r="C21745" t="s">
        <v>244</v>
      </c>
      <c r="D21745" t="s">
        <v>14</v>
      </c>
      <c r="E21745" t="s">
        <v>230</v>
      </c>
      <c r="F21745" s="2" t="str">
        <f>HYPERLINK("http://www.otzar.org/book.asp?196824","מגילת אסתר &lt;מימים ימימה&gt;")</f>
        <v>מגילת אסתר &lt;מימים ימימה&gt;</v>
      </c>
    </row>
    <row r="21746" spans="1:6" x14ac:dyDescent="0.2">
      <c r="A21746" t="s">
        <v>35158</v>
      </c>
      <c r="B21746" t="s">
        <v>4554</v>
      </c>
      <c r="C21746" t="s">
        <v>422</v>
      </c>
      <c r="D21746" t="s">
        <v>27</v>
      </c>
      <c r="E21746" t="s">
        <v>158</v>
      </c>
      <c r="F21746" s="2" t="str">
        <f>HYPERLINK("http://www.otzar.org/book.asp?188915","מגילת אסתר &lt;דבר ישועה&gt; - 2 כר'")</f>
        <v>מגילת אסתר &lt;דבר ישועה&gt; - 2 כר'</v>
      </c>
    </row>
    <row r="21747" spans="1:6" x14ac:dyDescent="0.2">
      <c r="A21747" t="s">
        <v>35159</v>
      </c>
      <c r="B21747" t="s">
        <v>602</v>
      </c>
      <c r="C21747" t="s">
        <v>617</v>
      </c>
      <c r="D21747" t="s">
        <v>27</v>
      </c>
      <c r="E21747" t="s">
        <v>158</v>
      </c>
      <c r="F21747" s="2" t="str">
        <f>HYPERLINK("http://www.otzar.org/book.asp?21955","מגילת אסתר &lt;מסתרי ההשגחה, סתרי הנלוזים&gt;")</f>
        <v>מגילת אסתר &lt;מסתרי ההשגחה, סתרי הנלוזים&gt;</v>
      </c>
    </row>
    <row r="21748" spans="1:6" x14ac:dyDescent="0.2">
      <c r="A21748" t="s">
        <v>35160</v>
      </c>
      <c r="B21748" t="s">
        <v>19621</v>
      </c>
      <c r="C21748" t="s">
        <v>411</v>
      </c>
      <c r="D21748" t="s">
        <v>147</v>
      </c>
      <c r="E21748" t="s">
        <v>158</v>
      </c>
      <c r="F21748" s="2" t="str">
        <f>HYPERLINK("http://www.otzar.org/book.asp?603203","מגילת אסתר &lt;טעם זקנים&gt;")</f>
        <v>מגילת אסתר &lt;טעם זקנים&gt;</v>
      </c>
    </row>
    <row r="21749" spans="1:6" x14ac:dyDescent="0.2">
      <c r="A21749" t="s">
        <v>35161</v>
      </c>
      <c r="B21749" t="s">
        <v>3416</v>
      </c>
      <c r="C21749" t="s">
        <v>114</v>
      </c>
      <c r="D21749" t="s">
        <v>14</v>
      </c>
      <c r="E21749" t="s">
        <v>158</v>
      </c>
      <c r="F21749" s="2" t="str">
        <f>HYPERLINK("http://www.otzar.org/book.asp?161503","מגילת אסתר &lt;הללי נפשי&gt;")</f>
        <v>מגילת אסתר &lt;הללי נפשי&gt;</v>
      </c>
    </row>
    <row r="21750" spans="1:6" x14ac:dyDescent="0.2">
      <c r="A21750" t="s">
        <v>35162</v>
      </c>
      <c r="B21750" t="s">
        <v>4579</v>
      </c>
      <c r="C21750" t="s">
        <v>133</v>
      </c>
      <c r="D21750" t="s">
        <v>52</v>
      </c>
      <c r="E21750" t="s">
        <v>158</v>
      </c>
      <c r="F21750" s="2" t="str">
        <f>HYPERLINK("http://www.otzar.org/book.asp?175441","מגילת אסתר &lt;יקר תפארת&gt;")</f>
        <v>מגילת אסתר &lt;יקר תפארת&gt;</v>
      </c>
    </row>
    <row r="21751" spans="1:6" x14ac:dyDescent="0.2">
      <c r="A21751" t="s">
        <v>35163</v>
      </c>
      <c r="B21751" t="s">
        <v>4579</v>
      </c>
      <c r="C21751" t="s">
        <v>146</v>
      </c>
      <c r="D21751" t="s">
        <v>657</v>
      </c>
      <c r="E21751" t="s">
        <v>579</v>
      </c>
      <c r="F21751" s="2" t="str">
        <f>HYPERLINK("http://www.otzar.org/book.asp?64111","מגילת אסתר &lt;שלום ואמת&gt; - ע""פ מסורת יהודי תימן")</f>
        <v>מגילת אסתר &lt;שלום ואמת&gt; - ע"פ מסורת יהודי תימן</v>
      </c>
    </row>
    <row r="21752" spans="1:6" x14ac:dyDescent="0.2">
      <c r="A21752" t="s">
        <v>35164</v>
      </c>
      <c r="B21752" t="s">
        <v>28610</v>
      </c>
      <c r="C21752" t="s">
        <v>17</v>
      </c>
      <c r="D21752" t="s">
        <v>2458</v>
      </c>
      <c r="E21752" t="s">
        <v>158</v>
      </c>
      <c r="F21752" s="2" t="str">
        <f>HYPERLINK("http://www.otzar.org/book.asp?171409","מגילת אסתר &lt;תכלת אברהם&gt;")</f>
        <v>מגילת אסתר &lt;תכלת אברהם&gt;</v>
      </c>
    </row>
    <row r="21753" spans="1:6" x14ac:dyDescent="0.2">
      <c r="A21753" t="s">
        <v>35165</v>
      </c>
      <c r="B21753" t="s">
        <v>14133</v>
      </c>
      <c r="C21753" t="s">
        <v>1706</v>
      </c>
      <c r="D21753" t="s">
        <v>855</v>
      </c>
      <c r="E21753" t="s">
        <v>158</v>
      </c>
      <c r="F21753" s="2" t="str">
        <f>HYPERLINK("http://www.otzar.org/book.asp?102611","מגילת אסתר &lt;פרי חיים&gt;")</f>
        <v>מגילת אסתר &lt;פרי חיים&gt;</v>
      </c>
    </row>
    <row r="21754" spans="1:6" x14ac:dyDescent="0.2">
      <c r="A21754" t="s">
        <v>35166</v>
      </c>
      <c r="B21754" t="s">
        <v>2220</v>
      </c>
      <c r="C21754" t="s">
        <v>20</v>
      </c>
      <c r="D21754" t="s">
        <v>14</v>
      </c>
      <c r="E21754" t="s">
        <v>158</v>
      </c>
      <c r="F21754" s="2" t="str">
        <f>HYPERLINK("http://www.otzar.org/book.asp?6574","מגילת אסתר &lt;קול רנה וישועה&gt;")</f>
        <v>מגילת אסתר &lt;קול רנה וישועה&gt;</v>
      </c>
    </row>
    <row r="21755" spans="1:6" x14ac:dyDescent="0.2">
      <c r="A21755" t="s">
        <v>35167</v>
      </c>
      <c r="B21755" t="s">
        <v>35168</v>
      </c>
      <c r="C21755" t="s">
        <v>411</v>
      </c>
      <c r="D21755" t="s">
        <v>4549</v>
      </c>
      <c r="E21755" t="s">
        <v>158</v>
      </c>
      <c r="F21755" s="2" t="str">
        <f>HYPERLINK("http://www.otzar.org/book.asp?172801","מגילת אסתר &lt;משפטי ה' אמת צדקו יחדיו&gt;")</f>
        <v>מגילת אסתר &lt;משפטי ה' אמת צדקו יחדיו&gt;</v>
      </c>
    </row>
    <row r="21756" spans="1:6" x14ac:dyDescent="0.2">
      <c r="A21756" t="s">
        <v>35169</v>
      </c>
      <c r="B21756" t="s">
        <v>35170</v>
      </c>
      <c r="C21756" t="s">
        <v>71</v>
      </c>
      <c r="D21756" t="s">
        <v>423</v>
      </c>
      <c r="E21756" t="s">
        <v>1185</v>
      </c>
      <c r="F21756" s="2" t="str">
        <f>HYPERLINK("http://www.otzar.org/book.asp?84223","מגילת אסתר &lt;דברות חיים&gt;")</f>
        <v>מגילת אסתר &lt;דברות חיים&gt;</v>
      </c>
    </row>
    <row r="21757" spans="1:6" x14ac:dyDescent="0.2">
      <c r="A21757" t="s">
        <v>35171</v>
      </c>
      <c r="B21757" t="s">
        <v>35172</v>
      </c>
      <c r="C21757" t="s">
        <v>37</v>
      </c>
      <c r="D21757" t="s">
        <v>14</v>
      </c>
      <c r="F21757" s="2" t="str">
        <f>HYPERLINK("http://www.otzar.org/book.asp?616417","מגילת אסתר &lt;בית היין&gt;")</f>
        <v>מגילת אסתר &lt;בית היין&gt;</v>
      </c>
    </row>
    <row r="21758" spans="1:6" x14ac:dyDescent="0.2">
      <c r="A21758" t="s">
        <v>35173</v>
      </c>
      <c r="B21758" t="s">
        <v>35174</v>
      </c>
      <c r="C21758" t="s">
        <v>114</v>
      </c>
      <c r="D21758" t="s">
        <v>152</v>
      </c>
      <c r="E21758" t="s">
        <v>158</v>
      </c>
      <c r="F21758" s="2" t="str">
        <f>HYPERLINK("http://www.otzar.org/book.asp?171108","מגילת אסתר &lt;שערי צבי&gt;")</f>
        <v>מגילת אסתר &lt;שערי צבי&gt;</v>
      </c>
    </row>
    <row r="21759" spans="1:6" x14ac:dyDescent="0.2">
      <c r="A21759" t="s">
        <v>35175</v>
      </c>
      <c r="B21759" t="s">
        <v>107</v>
      </c>
      <c r="C21759" t="s">
        <v>17</v>
      </c>
      <c r="D21759" t="s">
        <v>14</v>
      </c>
      <c r="E21759" t="s">
        <v>158</v>
      </c>
      <c r="F21759" s="2" t="str">
        <f>HYPERLINK("http://www.otzar.org/book.asp?6622","מגילת אסתר &lt;דבר ירושלים&gt;")</f>
        <v>מגילת אסתר &lt;דבר ירושלים&gt;</v>
      </c>
    </row>
    <row r="21760" spans="1:6" x14ac:dyDescent="0.2">
      <c r="A21760" t="s">
        <v>35176</v>
      </c>
      <c r="B21760" t="s">
        <v>35177</v>
      </c>
      <c r="C21760" t="s">
        <v>940</v>
      </c>
      <c r="D21760" t="s">
        <v>11472</v>
      </c>
      <c r="E21760" t="s">
        <v>158</v>
      </c>
      <c r="F21760" s="2" t="str">
        <f>HYPERLINK("http://www.otzar.org/book.asp?63320","מגילת אסתר &lt;רמזי אסתר&gt;")</f>
        <v>מגילת אסתר &lt;רמזי אסתר&gt;</v>
      </c>
    </row>
    <row r="21761" spans="1:6" x14ac:dyDescent="0.2">
      <c r="A21761" t="s">
        <v>35178</v>
      </c>
      <c r="B21761" t="s">
        <v>35094</v>
      </c>
      <c r="C21761" t="s">
        <v>20</v>
      </c>
      <c r="D21761" t="s">
        <v>21</v>
      </c>
      <c r="E21761" t="s">
        <v>158</v>
      </c>
      <c r="F21761" s="2" t="str">
        <f>HYPERLINK("http://www.otzar.org/book.asp?195542","מגילת אסתר &lt;בכורי חיים&gt;")</f>
        <v>מגילת אסתר &lt;בכורי חיים&gt;</v>
      </c>
    </row>
    <row r="21762" spans="1:6" x14ac:dyDescent="0.2">
      <c r="A21762" t="s">
        <v>35179</v>
      </c>
      <c r="B21762" t="s">
        <v>5203</v>
      </c>
      <c r="C21762" t="s">
        <v>422</v>
      </c>
      <c r="D21762" t="s">
        <v>52</v>
      </c>
      <c r="E21762" t="s">
        <v>1507</v>
      </c>
      <c r="F21762" s="2" t="str">
        <f>HYPERLINK("http://www.otzar.org/book.asp?170721","מגילת אסתר &lt;מעשה תקפו&gt; - אילה שלוחה")</f>
        <v>מגילת אסתר &lt;מעשה תקפו&gt; - אילה שלוחה</v>
      </c>
    </row>
    <row r="21763" spans="1:6" x14ac:dyDescent="0.2">
      <c r="A21763" t="s">
        <v>35180</v>
      </c>
      <c r="B21763" t="s">
        <v>35181</v>
      </c>
      <c r="C21763" t="s">
        <v>2140</v>
      </c>
      <c r="D21763" t="s">
        <v>35182</v>
      </c>
      <c r="E21763" t="s">
        <v>158</v>
      </c>
      <c r="F21763" s="2" t="str">
        <f>HYPERLINK("http://www.otzar.org/book.asp?149993","מגילת אסתר &lt;עין הקורא - עין הסופר&gt;")</f>
        <v>מגילת אסתר &lt;עין הקורא - עין הסופר&gt;</v>
      </c>
    </row>
    <row r="21764" spans="1:6" x14ac:dyDescent="0.2">
      <c r="A21764" t="s">
        <v>35183</v>
      </c>
      <c r="B21764" t="s">
        <v>35184</v>
      </c>
      <c r="C21764" t="s">
        <v>603</v>
      </c>
      <c r="D21764" t="s">
        <v>267</v>
      </c>
      <c r="E21764" t="s">
        <v>158</v>
      </c>
      <c r="F21764" s="2" t="str">
        <f>HYPERLINK("http://www.otzar.org/book.asp?102614","מגילת אסתר &lt;יערת דבש, צוף דבש, אמרי נועם&gt;")</f>
        <v>מגילת אסתר &lt;יערת דבש, צוף דבש, אמרי נועם&gt;</v>
      </c>
    </row>
    <row r="21765" spans="1:6" x14ac:dyDescent="0.2">
      <c r="A21765" t="s">
        <v>35185</v>
      </c>
      <c r="B21765" t="s">
        <v>35186</v>
      </c>
      <c r="C21765" t="s">
        <v>13</v>
      </c>
      <c r="D21765" t="s">
        <v>486</v>
      </c>
      <c r="E21765" t="s">
        <v>1507</v>
      </c>
      <c r="F21765" s="2" t="str">
        <f>HYPERLINK("http://www.otzar.org/book.asp?143434","מגילת אסתר אורה ושמחה")</f>
        <v>מגילת אסתר אורה ושמחה</v>
      </c>
    </row>
    <row r="21766" spans="1:6" x14ac:dyDescent="0.2">
      <c r="A21766" t="s">
        <v>35187</v>
      </c>
      <c r="B21766" t="s">
        <v>1353</v>
      </c>
      <c r="C21766" t="s">
        <v>23</v>
      </c>
      <c r="D21766" t="s">
        <v>52</v>
      </c>
      <c r="E21766" t="s">
        <v>158</v>
      </c>
      <c r="F21766" s="2" t="str">
        <f>HYPERLINK("http://www.otzar.org/book.asp?605246","מגילת אסתר במשנתו של בעל אילת השחר")</f>
        <v>מגילת אסתר במשנתו של בעל אילת השחר</v>
      </c>
    </row>
    <row r="21767" spans="1:6" x14ac:dyDescent="0.2">
      <c r="A21767" t="s">
        <v>35188</v>
      </c>
      <c r="B21767" t="s">
        <v>19934</v>
      </c>
      <c r="C21767" t="s">
        <v>20</v>
      </c>
      <c r="D21767" t="s">
        <v>90</v>
      </c>
      <c r="F21767" s="2" t="str">
        <f>HYPERLINK("http://www.otzar.org/book.asp?608896","מגילת אסתר מבוארת")</f>
        <v>מגילת אסתר מבוארת</v>
      </c>
    </row>
    <row r="21768" spans="1:6" x14ac:dyDescent="0.2">
      <c r="A21768" t="s">
        <v>35189</v>
      </c>
      <c r="B21768" t="s">
        <v>5458</v>
      </c>
      <c r="C21768" t="s">
        <v>68</v>
      </c>
      <c r="D21768" t="s">
        <v>14</v>
      </c>
      <c r="E21768" t="s">
        <v>230</v>
      </c>
      <c r="F21768" s="2" t="str">
        <f>HYPERLINK("http://www.otzar.org/book.asp?165228","מגילת אסתר ע""פ דורש טוב לעמו")</f>
        <v>מגילת אסתר ע"פ דורש טוב לעמו</v>
      </c>
    </row>
    <row r="21769" spans="1:6" x14ac:dyDescent="0.2">
      <c r="A21769" t="s">
        <v>35190</v>
      </c>
      <c r="B21769" t="s">
        <v>35191</v>
      </c>
      <c r="C21769" t="s">
        <v>23</v>
      </c>
      <c r="D21769" t="s">
        <v>52</v>
      </c>
      <c r="E21769" t="s">
        <v>158</v>
      </c>
      <c r="F21769" s="2" t="str">
        <f>HYPERLINK("http://www.otzar.org/book.asp?621159","מגילת אסתר ע""פ פירוש הגר""א")</f>
        <v>מגילת אסתר ע"פ פירוש הגר"א</v>
      </c>
    </row>
    <row r="21770" spans="1:6" x14ac:dyDescent="0.2">
      <c r="A21770" t="s">
        <v>35192</v>
      </c>
      <c r="B21770" t="s">
        <v>35193</v>
      </c>
      <c r="C21770" t="s">
        <v>20</v>
      </c>
      <c r="D21770" t="s">
        <v>115</v>
      </c>
      <c r="F21770" s="2" t="str">
        <f>HYPERLINK("http://www.otzar.org/book.asp?610958","מגילת אסתר ע""פ רש""י")</f>
        <v>מגילת אסתר ע"פ רש"י</v>
      </c>
    </row>
    <row r="21771" spans="1:6" x14ac:dyDescent="0.2">
      <c r="A21771" t="s">
        <v>35194</v>
      </c>
      <c r="B21771" t="s">
        <v>10056</v>
      </c>
      <c r="C21771" t="s">
        <v>37</v>
      </c>
      <c r="D21771" t="s">
        <v>1180</v>
      </c>
      <c r="E21771" t="s">
        <v>158</v>
      </c>
      <c r="F21771" s="2" t="str">
        <f>HYPERLINK("http://www.otzar.org/book.asp?199293","מגילת אסתר עם ליקוט מי באר")</f>
        <v>מגילת אסתר עם ליקוט מי באר</v>
      </c>
    </row>
    <row r="21772" spans="1:6" x14ac:dyDescent="0.2">
      <c r="A21772" t="s">
        <v>35195</v>
      </c>
      <c r="B21772" t="s">
        <v>5636</v>
      </c>
      <c r="C21772" t="s">
        <v>146</v>
      </c>
      <c r="D21772" t="s">
        <v>1511</v>
      </c>
      <c r="E21772" t="s">
        <v>230</v>
      </c>
      <c r="F21772" s="2" t="str">
        <f>HYPERLINK("http://www.otzar.org/book.asp?165231","מגילת אסתר עם מדרש אסתר המלכה")</f>
        <v>מגילת אסתר עם מדרש אסתר המלכה</v>
      </c>
    </row>
    <row r="21773" spans="1:6" x14ac:dyDescent="0.2">
      <c r="A21773" t="s">
        <v>35196</v>
      </c>
      <c r="B21773" t="s">
        <v>35197</v>
      </c>
      <c r="C21773" t="s">
        <v>2105</v>
      </c>
      <c r="D21773" t="s">
        <v>1660</v>
      </c>
      <c r="E21773" t="s">
        <v>579</v>
      </c>
      <c r="F21773" s="2" t="str">
        <f>HYPERLINK("http://www.otzar.org/book.asp?64304","מגילת אסתר עם סיפור אחד")</f>
        <v>מגילת אסתר עם סיפור אחד</v>
      </c>
    </row>
    <row r="21774" spans="1:6" x14ac:dyDescent="0.2">
      <c r="A21774" t="s">
        <v>35198</v>
      </c>
      <c r="B21774" t="s">
        <v>2885</v>
      </c>
      <c r="C21774" t="s">
        <v>20</v>
      </c>
      <c r="D21774" t="s">
        <v>14</v>
      </c>
      <c r="E21774" t="s">
        <v>1185</v>
      </c>
      <c r="F21774" s="2" t="str">
        <f>HYPERLINK("http://www.otzar.org/book.asp?60825","מגילת אסתר עם פירוש גנזי המלך")</f>
        <v>מגילת אסתר עם פירוש גנזי המלך</v>
      </c>
    </row>
    <row r="21775" spans="1:6" x14ac:dyDescent="0.2">
      <c r="A21775" t="s">
        <v>35199</v>
      </c>
      <c r="B21775" t="s">
        <v>15514</v>
      </c>
      <c r="C21775" t="s">
        <v>103</v>
      </c>
      <c r="D21775" t="s">
        <v>2319</v>
      </c>
      <c r="E21775" t="s">
        <v>158</v>
      </c>
      <c r="F21775" s="2" t="str">
        <f>HYPERLINK("http://www.otzar.org/book.asp?85610","מגילת אסתר עם פירוש יין המשמח")</f>
        <v>מגילת אסתר עם פירוש יין המשמח</v>
      </c>
    </row>
    <row r="21776" spans="1:6" x14ac:dyDescent="0.2">
      <c r="A21776" t="s">
        <v>35200</v>
      </c>
      <c r="B21776" t="s">
        <v>1990</v>
      </c>
      <c r="C21776" t="s">
        <v>13</v>
      </c>
      <c r="D21776" t="s">
        <v>20</v>
      </c>
      <c r="E21776" t="s">
        <v>158</v>
      </c>
      <c r="F21776" s="2" t="str">
        <f>HYPERLINK("http://www.otzar.org/book.asp?172863","מגילת אסתר עם פירוש ישועה גדולה &lt;מהדורה חדשה&gt;")</f>
        <v>מגילת אסתר עם פירוש ישועה גדולה &lt;מהדורה חדשה&gt;</v>
      </c>
    </row>
    <row r="21777" spans="1:6" x14ac:dyDescent="0.2">
      <c r="A21777" t="s">
        <v>35201</v>
      </c>
      <c r="B21777" t="s">
        <v>1990</v>
      </c>
      <c r="C21777" t="s">
        <v>1844</v>
      </c>
      <c r="D21777" t="s">
        <v>2295</v>
      </c>
      <c r="E21777" t="s">
        <v>158</v>
      </c>
      <c r="F21777" s="2" t="str">
        <f>HYPERLINK("http://www.otzar.org/book.asp?28859","מגילת אסתר עם פירוש ישועה גדולה")</f>
        <v>מגילת אסתר עם פירוש ישועה גדולה</v>
      </c>
    </row>
    <row r="21778" spans="1:6" x14ac:dyDescent="0.2">
      <c r="A21778" t="s">
        <v>35202</v>
      </c>
      <c r="B21778" t="s">
        <v>35203</v>
      </c>
      <c r="C21778" t="s">
        <v>383</v>
      </c>
      <c r="D21778" t="s">
        <v>14</v>
      </c>
      <c r="E21778" t="s">
        <v>158</v>
      </c>
      <c r="F21778" s="2" t="str">
        <f>HYPERLINK("http://www.otzar.org/book.asp?159884","מגילת אסתר עם פירוש מגילת סתרים - 2 כר'")</f>
        <v>מגילת אסתר עם פירוש מגילת סתרים - 2 כר'</v>
      </c>
    </row>
    <row r="21779" spans="1:6" x14ac:dyDescent="0.2">
      <c r="A21779" t="s">
        <v>35204</v>
      </c>
      <c r="B21779" t="s">
        <v>35205</v>
      </c>
      <c r="C21779" t="s">
        <v>767</v>
      </c>
      <c r="D21779" t="s">
        <v>14</v>
      </c>
      <c r="E21779" t="s">
        <v>158</v>
      </c>
      <c r="F21779" s="2" t="str">
        <f>HYPERLINK("http://www.otzar.org/book.asp?180289","מגילת אסתר עם פירוש עקדת יצחק")</f>
        <v>מגילת אסתר עם פירוש עקדת יצחק</v>
      </c>
    </row>
    <row r="21780" spans="1:6" x14ac:dyDescent="0.2">
      <c r="A21780" t="s">
        <v>35206</v>
      </c>
      <c r="B21780" t="s">
        <v>25787</v>
      </c>
      <c r="C21780" t="s">
        <v>3695</v>
      </c>
      <c r="D21780" t="s">
        <v>60</v>
      </c>
      <c r="E21780" t="s">
        <v>158</v>
      </c>
      <c r="F21780" s="2" t="str">
        <f>HYPERLINK("http://www.otzar.org/book.asp?28325","מגילת אסתר עם פירוש פנים מאירות")</f>
        <v>מגילת אסתר עם פירוש פנים מאירות</v>
      </c>
    </row>
    <row r="21781" spans="1:6" x14ac:dyDescent="0.2">
      <c r="A21781" t="s">
        <v>35207</v>
      </c>
      <c r="B21781" t="s">
        <v>35208</v>
      </c>
      <c r="C21781" t="s">
        <v>87</v>
      </c>
      <c r="D21781" t="s">
        <v>14</v>
      </c>
      <c r="E21781" t="s">
        <v>158</v>
      </c>
      <c r="F21781" s="2" t="str">
        <f>HYPERLINK("http://www.otzar.org/book.asp?144076","מגילת אסתר עם פירוש רבינו אביגדור כהן צדק. ששון ושמחה מרבינו בחיי")</f>
        <v>מגילת אסתר עם פירוש רבינו אביגדור כהן צדק. ששון ושמחה מרבינו בחיי</v>
      </c>
    </row>
    <row r="21782" spans="1:6" x14ac:dyDescent="0.2">
      <c r="A21782" t="s">
        <v>35209</v>
      </c>
      <c r="B21782" t="s">
        <v>35210</v>
      </c>
      <c r="C21782" t="s">
        <v>466</v>
      </c>
      <c r="D21782" t="s">
        <v>52</v>
      </c>
      <c r="E21782" t="s">
        <v>1880</v>
      </c>
      <c r="F21782" s="2" t="str">
        <f>HYPERLINK("http://www.otzar.org/book.asp?143952","מגילת אסתר עם פירוש שושנת יעקב")</f>
        <v>מגילת אסתר עם פירוש שושנת יעקב</v>
      </c>
    </row>
    <row r="21783" spans="1:6" x14ac:dyDescent="0.2">
      <c r="A21783" t="s">
        <v>35211</v>
      </c>
      <c r="B21783" t="s">
        <v>35212</v>
      </c>
      <c r="C21783" t="s">
        <v>176</v>
      </c>
      <c r="D21783" t="s">
        <v>14</v>
      </c>
      <c r="E21783" t="s">
        <v>158</v>
      </c>
      <c r="F21783" s="2" t="str">
        <f>HYPERLINK("http://www.otzar.org/book.asp?153540","מגילת אסתר&lt;מגילת סתרים, אילה שלוחה&gt;")</f>
        <v>מגילת אסתר&lt;מגילת סתרים, אילה שלוחה&gt;</v>
      </c>
    </row>
    <row r="21784" spans="1:6" x14ac:dyDescent="0.2">
      <c r="A21784" t="s">
        <v>35213</v>
      </c>
      <c r="B21784" t="s">
        <v>4090</v>
      </c>
      <c r="C21784" t="s">
        <v>151</v>
      </c>
      <c r="D21784" t="s">
        <v>52</v>
      </c>
      <c r="F21784" s="2" t="str">
        <f>HYPERLINK("http://www.otzar.org/book.asp?617364","מגילת אסתר - זיו יהודה")</f>
        <v>מגילת אסתר - זיו יהודה</v>
      </c>
    </row>
    <row r="21785" spans="1:6" x14ac:dyDescent="0.2">
      <c r="A21785" t="s">
        <v>35214</v>
      </c>
      <c r="B21785" t="s">
        <v>35215</v>
      </c>
      <c r="C21785" t="s">
        <v>176</v>
      </c>
      <c r="D21785" t="s">
        <v>14</v>
      </c>
      <c r="E21785" t="s">
        <v>158</v>
      </c>
      <c r="F21785" s="2" t="str">
        <f>HYPERLINK("http://www.otzar.org/book.asp?619478","מגילת אסתר - פתגם המלך")</f>
        <v>מגילת אסתר - פתגם המלך</v>
      </c>
    </row>
    <row r="21786" spans="1:6" x14ac:dyDescent="0.2">
      <c r="A21786" t="s">
        <v>35216</v>
      </c>
      <c r="B21786" t="s">
        <v>26089</v>
      </c>
      <c r="C21786" t="s">
        <v>244</v>
      </c>
      <c r="D21786" t="s">
        <v>21</v>
      </c>
      <c r="F21786" s="2" t="str">
        <f>HYPERLINK("http://www.otzar.org/book.asp?610260","מגילת אסתר - חיים וקיימים")</f>
        <v>מגילת אסתר - חיים וקיימים</v>
      </c>
    </row>
    <row r="21787" spans="1:6" x14ac:dyDescent="0.2">
      <c r="A21787" t="s">
        <v>35217</v>
      </c>
      <c r="B21787" t="s">
        <v>11311</v>
      </c>
      <c r="C21787" t="s">
        <v>71</v>
      </c>
      <c r="D21787" t="s">
        <v>14</v>
      </c>
      <c r="E21787" t="s">
        <v>658</v>
      </c>
      <c r="F21787" s="2" t="str">
        <f>HYPERLINK("http://www.otzar.org/book.asp?22516","מגילת האורים")</f>
        <v>מגילת האורים</v>
      </c>
    </row>
    <row r="21788" spans="1:6" x14ac:dyDescent="0.2">
      <c r="A21788" t="s">
        <v>35218</v>
      </c>
      <c r="B21788" t="s">
        <v>35219</v>
      </c>
      <c r="C21788" t="s">
        <v>1208</v>
      </c>
      <c r="D21788" t="s">
        <v>721</v>
      </c>
      <c r="F21788" s="2" t="str">
        <f>HYPERLINK("http://www.otzar.org/book.asp?631549","מגילת היטלר בצפון אפריקה")</f>
        <v>מגילת היטלר בצפון אפריקה</v>
      </c>
    </row>
    <row r="21789" spans="1:6" x14ac:dyDescent="0.2">
      <c r="A21789" t="s">
        <v>35220</v>
      </c>
      <c r="B21789" t="s">
        <v>18405</v>
      </c>
      <c r="C21789" t="s">
        <v>581</v>
      </c>
      <c r="D21789" t="s">
        <v>280</v>
      </c>
      <c r="E21789" t="s">
        <v>213</v>
      </c>
      <c r="F21789" s="2" t="str">
        <f>HYPERLINK("http://www.otzar.org/book.asp?102","מגילת המגלה")</f>
        <v>מגילת המגלה</v>
      </c>
    </row>
    <row r="21790" spans="1:6" x14ac:dyDescent="0.2">
      <c r="A21790" t="s">
        <v>35221</v>
      </c>
      <c r="B21790" t="s">
        <v>16883</v>
      </c>
      <c r="C21790" t="s">
        <v>37</v>
      </c>
      <c r="D21790" t="s">
        <v>152</v>
      </c>
      <c r="F21790" s="2" t="str">
        <f>HYPERLINK("http://www.otzar.org/book.asp?198752","מגילת הסתר")</f>
        <v>מגילת הסתר</v>
      </c>
    </row>
    <row r="21791" spans="1:6" x14ac:dyDescent="0.2">
      <c r="A21791" t="s">
        <v>35222</v>
      </c>
      <c r="B21791" t="s">
        <v>35223</v>
      </c>
      <c r="C21791" t="s">
        <v>581</v>
      </c>
      <c r="D21791" t="s">
        <v>27</v>
      </c>
      <c r="E21791" t="s">
        <v>4172</v>
      </c>
      <c r="F21791" s="2" t="str">
        <f>HYPERLINK("http://www.otzar.org/book.asp?149380","מגילת השבת")</f>
        <v>מגילת השבת</v>
      </c>
    </row>
    <row r="21792" spans="1:6" x14ac:dyDescent="0.2">
      <c r="A21792" t="s">
        <v>35224</v>
      </c>
      <c r="B21792" t="s">
        <v>35225</v>
      </c>
      <c r="C21792" t="s">
        <v>114</v>
      </c>
      <c r="D21792" t="s">
        <v>14</v>
      </c>
      <c r="E21792" t="s">
        <v>3516</v>
      </c>
      <c r="F21792" s="2" t="str">
        <f>HYPERLINK("http://www.otzar.org/book.asp?166957","מגילת חיים")</f>
        <v>מגילת חיים</v>
      </c>
    </row>
    <row r="21793" spans="1:6" x14ac:dyDescent="0.2">
      <c r="A21793" t="s">
        <v>35226</v>
      </c>
      <c r="B21793" t="s">
        <v>35227</v>
      </c>
      <c r="C21793" t="s">
        <v>17</v>
      </c>
      <c r="D21793" t="s">
        <v>14</v>
      </c>
      <c r="E21793" t="s">
        <v>246</v>
      </c>
      <c r="F21793" s="2" t="str">
        <f>HYPERLINK("http://www.otzar.org/book.asp?158651","מגילת חמשה עשר באב")</f>
        <v>מגילת חמשה עשר באב</v>
      </c>
    </row>
    <row r="21794" spans="1:6" x14ac:dyDescent="0.2">
      <c r="A21794" t="s">
        <v>35228</v>
      </c>
      <c r="B21794" t="s">
        <v>35227</v>
      </c>
      <c r="C21794" t="s">
        <v>189</v>
      </c>
      <c r="D21794" t="s">
        <v>14</v>
      </c>
      <c r="E21794" t="s">
        <v>246</v>
      </c>
      <c r="F21794" s="2" t="str">
        <f>HYPERLINK("http://www.otzar.org/book.asp?158654","מגילת חמשה עשר בשבט")</f>
        <v>מגילת חמשה עשר בשבט</v>
      </c>
    </row>
    <row r="21795" spans="1:6" x14ac:dyDescent="0.2">
      <c r="A21795" t="s">
        <v>35229</v>
      </c>
      <c r="B21795" t="s">
        <v>35229</v>
      </c>
      <c r="C21795" t="s">
        <v>985</v>
      </c>
      <c r="D21795" t="s">
        <v>3208</v>
      </c>
      <c r="E21795" t="s">
        <v>246</v>
      </c>
      <c r="F21795" s="2" t="str">
        <f>HYPERLINK("http://www.otzar.org/book.asp?197424","מגילת חנוכה")</f>
        <v>מגילת חנוכה</v>
      </c>
    </row>
    <row r="21796" spans="1:6" x14ac:dyDescent="0.2">
      <c r="A21796" t="s">
        <v>35230</v>
      </c>
      <c r="B21796" t="s">
        <v>35231</v>
      </c>
      <c r="C21796" t="s">
        <v>17</v>
      </c>
      <c r="D21796" t="s">
        <v>412</v>
      </c>
      <c r="F21796" s="2" t="str">
        <f>HYPERLINK("http://www.otzar.org/book.asp?194586","מגילת יוחסין למשפחות ארנרייך דמביצר")</f>
        <v>מגילת יוחסין למשפחות ארנרייך דמביצר</v>
      </c>
    </row>
    <row r="21797" spans="1:6" x14ac:dyDescent="0.2">
      <c r="A21797" t="s">
        <v>35232</v>
      </c>
      <c r="B21797" t="s">
        <v>35233</v>
      </c>
      <c r="C21797" t="s">
        <v>37</v>
      </c>
      <c r="D21797" t="s">
        <v>1180</v>
      </c>
      <c r="E21797" t="s">
        <v>104</v>
      </c>
      <c r="F21797" s="2" t="str">
        <f>HYPERLINK("http://www.otzar.org/book.asp?600750","מגילת יוחסין למשפחות לעווי קנאבלאך")</f>
        <v>מגילת יוחסין למשפחות לעווי קנאבלאך</v>
      </c>
    </row>
    <row r="21798" spans="1:6" x14ac:dyDescent="0.2">
      <c r="A21798" t="s">
        <v>35234</v>
      </c>
      <c r="B21798" t="s">
        <v>35235</v>
      </c>
      <c r="C21798" t="s">
        <v>13</v>
      </c>
      <c r="D21798" t="s">
        <v>486</v>
      </c>
      <c r="E21798" t="s">
        <v>733</v>
      </c>
      <c r="F21798" s="2" t="str">
        <f>HYPERLINK("http://www.otzar.org/book.asp?148328","מגילת יוחסין למשפחות רושגולד, מרגליות")</f>
        <v>מגילת יוחסין למשפחות רושגולד, מרגליות</v>
      </c>
    </row>
    <row r="21799" spans="1:6" x14ac:dyDescent="0.2">
      <c r="A21799" t="s">
        <v>35236</v>
      </c>
      <c r="B21799" t="s">
        <v>35235</v>
      </c>
      <c r="C21799" t="s">
        <v>422</v>
      </c>
      <c r="D21799" t="s">
        <v>486</v>
      </c>
      <c r="E21799" t="s">
        <v>733</v>
      </c>
      <c r="F21799" s="2" t="str">
        <f>HYPERLINK("http://www.otzar.org/book.asp?148327","מגילת יוחסין למשפחת פרסטר")</f>
        <v>מגילת יוחסין למשפחת פרסטר</v>
      </c>
    </row>
    <row r="21800" spans="1:6" x14ac:dyDescent="0.2">
      <c r="A21800" t="s">
        <v>35237</v>
      </c>
      <c r="B21800" t="s">
        <v>35238</v>
      </c>
      <c r="C21800" t="s">
        <v>422</v>
      </c>
      <c r="D21800" t="s">
        <v>412</v>
      </c>
      <c r="E21800" t="s">
        <v>733</v>
      </c>
      <c r="F21800" s="2" t="str">
        <f>HYPERLINK("http://www.otzar.org/book.asp?171421","מגילת יוחסין משפחות עסטרייכער ופריעד")</f>
        <v>מגילת יוחסין משפחות עסטרייכער ופריעד</v>
      </c>
    </row>
    <row r="21801" spans="1:6" x14ac:dyDescent="0.2">
      <c r="A21801" t="s">
        <v>35239</v>
      </c>
      <c r="B21801" t="s">
        <v>35240</v>
      </c>
      <c r="C21801" t="s">
        <v>111</v>
      </c>
      <c r="D21801" t="s">
        <v>52</v>
      </c>
      <c r="E21801" t="s">
        <v>104</v>
      </c>
      <c r="F21801" s="2" t="str">
        <f>HYPERLINK("http://www.otzar.org/book.asp?630825","מגילת יוחסין")</f>
        <v>מגילת יוחסין</v>
      </c>
    </row>
    <row r="21802" spans="1:6" x14ac:dyDescent="0.2">
      <c r="A21802" t="s">
        <v>35241</v>
      </c>
      <c r="B21802" t="s">
        <v>35242</v>
      </c>
      <c r="C21802" t="s">
        <v>854</v>
      </c>
      <c r="D21802" t="s">
        <v>563</v>
      </c>
      <c r="E21802" t="s">
        <v>104</v>
      </c>
      <c r="F21802" s="2" t="str">
        <f>HYPERLINK("http://www.otzar.org/book.asp?147270","מגילת יוחסין - 2 כר'")</f>
        <v>מגילת יוחסין - 2 כר'</v>
      </c>
    </row>
    <row r="21803" spans="1:6" x14ac:dyDescent="0.2">
      <c r="A21803" t="s">
        <v>35239</v>
      </c>
      <c r="B21803" t="s">
        <v>35238</v>
      </c>
      <c r="C21803" t="s">
        <v>114</v>
      </c>
      <c r="D21803" t="s">
        <v>412</v>
      </c>
      <c r="E21803" t="s">
        <v>733</v>
      </c>
      <c r="F21803" s="2" t="str">
        <f>HYPERLINK("http://www.otzar.org/book.asp?176496","מגילת יוחסין")</f>
        <v>מגילת יוחסין</v>
      </c>
    </row>
    <row r="21804" spans="1:6" x14ac:dyDescent="0.2">
      <c r="A21804" t="s">
        <v>35239</v>
      </c>
      <c r="B21804" t="s">
        <v>35243</v>
      </c>
      <c r="C21804" t="s">
        <v>160</v>
      </c>
      <c r="D21804" t="s">
        <v>260</v>
      </c>
      <c r="E21804" t="s">
        <v>733</v>
      </c>
      <c r="F21804" s="2" t="str">
        <f>HYPERLINK("http://www.otzar.org/book.asp?142941","מגילת יוחסין")</f>
        <v>מגילת יוחסין</v>
      </c>
    </row>
    <row r="21805" spans="1:6" x14ac:dyDescent="0.2">
      <c r="A21805" t="s">
        <v>35244</v>
      </c>
      <c r="B21805" t="s">
        <v>35245</v>
      </c>
      <c r="C21805" t="s">
        <v>63</v>
      </c>
      <c r="D21805" t="s">
        <v>2458</v>
      </c>
      <c r="E21805" t="s">
        <v>733</v>
      </c>
      <c r="F21805" s="2" t="str">
        <f>HYPERLINK("http://www.otzar.org/book.asp?15232","מגילת יוסף")</f>
        <v>מגילת יוסף</v>
      </c>
    </row>
    <row r="21806" spans="1:6" x14ac:dyDescent="0.2">
      <c r="A21806" t="s">
        <v>35246</v>
      </c>
      <c r="B21806" t="s">
        <v>35247</v>
      </c>
      <c r="C21806" t="s">
        <v>37</v>
      </c>
      <c r="D21806" t="s">
        <v>52</v>
      </c>
      <c r="F21806" s="2" t="str">
        <f>HYPERLINK("http://www.otzar.org/book.asp?609571","מגילת יעקב - מגילה")</f>
        <v>מגילת יעקב - מגילה</v>
      </c>
    </row>
    <row r="21807" spans="1:6" x14ac:dyDescent="0.2">
      <c r="A21807" t="s">
        <v>35248</v>
      </c>
      <c r="B21807" t="s">
        <v>35249</v>
      </c>
      <c r="C21807" t="s">
        <v>133</v>
      </c>
      <c r="D21807" t="s">
        <v>152</v>
      </c>
      <c r="E21807" t="s">
        <v>130</v>
      </c>
      <c r="F21807" s="2" t="str">
        <f>HYPERLINK("http://www.otzar.org/book.asp?186741","מגילת ישראל - כתיבת מגילת אסתר")</f>
        <v>מגילת ישראל - כתיבת מגילת אסתר</v>
      </c>
    </row>
    <row r="21808" spans="1:6" x14ac:dyDescent="0.2">
      <c r="A21808" t="s">
        <v>35250</v>
      </c>
      <c r="B21808" t="s">
        <v>3854</v>
      </c>
      <c r="C21808" t="s">
        <v>1570</v>
      </c>
      <c r="D21808" t="s">
        <v>14</v>
      </c>
      <c r="E21808" t="s">
        <v>579</v>
      </c>
      <c r="F21808" s="2" t="str">
        <f>HYPERLINK("http://www.otzar.org/book.asp?159988","מגילת מלחמה ושלום")</f>
        <v>מגילת מלחמה ושלום</v>
      </c>
    </row>
    <row r="21809" spans="1:6" x14ac:dyDescent="0.2">
      <c r="A21809" t="s">
        <v>35251</v>
      </c>
      <c r="B21809" t="s">
        <v>10400</v>
      </c>
      <c r="C21809" t="s">
        <v>1169</v>
      </c>
      <c r="D21809" t="s">
        <v>27</v>
      </c>
      <c r="E21809" t="s">
        <v>119</v>
      </c>
      <c r="F21809" s="2" t="str">
        <f>HYPERLINK("http://www.otzar.org/book.asp?7106","מגילת מרדכי")</f>
        <v>מגילת מרדכי</v>
      </c>
    </row>
    <row r="21810" spans="1:6" x14ac:dyDescent="0.2">
      <c r="A21810" t="s">
        <v>35252</v>
      </c>
      <c r="B21810" t="s">
        <v>35253</v>
      </c>
      <c r="C21810" t="s">
        <v>1570</v>
      </c>
      <c r="D21810" t="s">
        <v>1356</v>
      </c>
      <c r="E21810" t="s">
        <v>733</v>
      </c>
      <c r="F21810" s="2" t="str">
        <f>HYPERLINK("http://www.otzar.org/book.asp?106468","מגילת משפחתנו")</f>
        <v>מגילת משפחתנו</v>
      </c>
    </row>
    <row r="21811" spans="1:6" x14ac:dyDescent="0.2">
      <c r="A21811" t="s">
        <v>35254</v>
      </c>
      <c r="B21811" t="s">
        <v>19194</v>
      </c>
      <c r="C21811" t="s">
        <v>503</v>
      </c>
      <c r="D21811" t="s">
        <v>283</v>
      </c>
      <c r="E21811" t="s">
        <v>241</v>
      </c>
      <c r="F21811" s="2" t="str">
        <f>HYPERLINK("http://www.otzar.org/book.asp?5518","מגילת סדרים")</f>
        <v>מגילת סדרים</v>
      </c>
    </row>
    <row r="21812" spans="1:6" x14ac:dyDescent="0.2">
      <c r="A21812" t="s">
        <v>35255</v>
      </c>
      <c r="B21812" t="s">
        <v>35256</v>
      </c>
      <c r="C21812" t="s">
        <v>1268</v>
      </c>
      <c r="D21812" t="s">
        <v>2468</v>
      </c>
      <c r="E21812" t="s">
        <v>474</v>
      </c>
      <c r="F21812" s="2" t="str">
        <f>HYPERLINK("http://www.otzar.org/book.asp?172049","מגילת סדרים - 3 כר'")</f>
        <v>מגילת סדרים - 3 כר'</v>
      </c>
    </row>
    <row r="21813" spans="1:6" x14ac:dyDescent="0.2">
      <c r="A21813" t="s">
        <v>35254</v>
      </c>
      <c r="B21813" t="s">
        <v>35257</v>
      </c>
      <c r="C21813" t="s">
        <v>1437</v>
      </c>
      <c r="D21813" t="s">
        <v>280</v>
      </c>
      <c r="E21813" t="s">
        <v>733</v>
      </c>
      <c r="F21813" s="2" t="str">
        <f>HYPERLINK("http://www.otzar.org/book.asp?102306","מגילת סדרים")</f>
        <v>מגילת סדרים</v>
      </c>
    </row>
    <row r="21814" spans="1:6" x14ac:dyDescent="0.2">
      <c r="A21814" t="s">
        <v>35258</v>
      </c>
      <c r="B21814" t="s">
        <v>3727</v>
      </c>
      <c r="C21814" t="s">
        <v>68</v>
      </c>
      <c r="D21814" t="s">
        <v>52</v>
      </c>
      <c r="E21814" t="s">
        <v>158</v>
      </c>
      <c r="F21814" s="2" t="str">
        <f>HYPERLINK("http://www.otzar.org/book.asp?154314","מגילת סופר")</f>
        <v>מגילת סופר</v>
      </c>
    </row>
    <row r="21815" spans="1:6" x14ac:dyDescent="0.2">
      <c r="A21815" t="s">
        <v>35259</v>
      </c>
      <c r="B21815" t="s">
        <v>1417</v>
      </c>
      <c r="C21815" t="s">
        <v>411</v>
      </c>
      <c r="D21815" t="s">
        <v>14</v>
      </c>
      <c r="E21815" t="s">
        <v>119</v>
      </c>
      <c r="F21815" s="2" t="str">
        <f>HYPERLINK("http://www.otzar.org/book.asp?180095","מגילת ספר &lt;מהדורת הרב בומבך&gt;")</f>
        <v>מגילת ספר &lt;מהדורת הרב בומבך&gt;</v>
      </c>
    </row>
    <row r="21816" spans="1:6" x14ac:dyDescent="0.2">
      <c r="A21816" t="s">
        <v>35260</v>
      </c>
      <c r="B21816" t="s">
        <v>13274</v>
      </c>
      <c r="C21816" t="s">
        <v>3475</v>
      </c>
      <c r="D21816" t="s">
        <v>18739</v>
      </c>
      <c r="E21816" t="s">
        <v>246</v>
      </c>
      <c r="F21816" s="2" t="str">
        <f>HYPERLINK("http://www.otzar.org/book.asp?188588","מגילת ספר - אגרת הפורים")</f>
        <v>מגילת ספר - אגרת הפורים</v>
      </c>
    </row>
    <row r="21817" spans="1:6" x14ac:dyDescent="0.2">
      <c r="A21817" t="s">
        <v>35261</v>
      </c>
      <c r="B21817" t="s">
        <v>35262</v>
      </c>
      <c r="C21817" t="s">
        <v>111</v>
      </c>
      <c r="D21817" t="s">
        <v>14</v>
      </c>
      <c r="E21817" t="s">
        <v>1157</v>
      </c>
      <c r="F21817" s="2" t="str">
        <f>HYPERLINK("http://www.otzar.org/book.asp?627957","מגילת ספר - דברות שמואל")</f>
        <v>מגילת ספר - דברות שמואל</v>
      </c>
    </row>
    <row r="21818" spans="1:6" x14ac:dyDescent="0.2">
      <c r="A21818" t="s">
        <v>35263</v>
      </c>
      <c r="B21818" t="s">
        <v>35264</v>
      </c>
      <c r="C21818" t="s">
        <v>454</v>
      </c>
      <c r="D21818" t="s">
        <v>14</v>
      </c>
      <c r="E21818" t="s">
        <v>148</v>
      </c>
      <c r="F21818" s="2" t="str">
        <f>HYPERLINK("http://www.otzar.org/book.asp?50141","מגילת ספר - 5 כר'")</f>
        <v>מגילת ספר - 5 כר'</v>
      </c>
    </row>
    <row r="21819" spans="1:6" x14ac:dyDescent="0.2">
      <c r="A21819" t="s">
        <v>35265</v>
      </c>
      <c r="B21819" t="s">
        <v>34666</v>
      </c>
      <c r="C21819" t="s">
        <v>5242</v>
      </c>
      <c r="D21819" t="s">
        <v>49</v>
      </c>
      <c r="E21819" t="s">
        <v>104</v>
      </c>
      <c r="F21819" s="2" t="str">
        <f>HYPERLINK("http://www.otzar.org/book.asp?147353","מגילת ספר")</f>
        <v>מגילת ספר</v>
      </c>
    </row>
    <row r="21820" spans="1:6" x14ac:dyDescent="0.2">
      <c r="A21820" t="s">
        <v>35265</v>
      </c>
      <c r="B21820" t="s">
        <v>35266</v>
      </c>
      <c r="C21820" t="s">
        <v>383</v>
      </c>
      <c r="E21820" t="s">
        <v>158</v>
      </c>
      <c r="F21820" s="2" t="str">
        <f>HYPERLINK("http://www.otzar.org/book.asp?190945","מגילת ספר")</f>
        <v>מגילת ספר</v>
      </c>
    </row>
    <row r="21821" spans="1:6" x14ac:dyDescent="0.2">
      <c r="A21821" t="s">
        <v>35265</v>
      </c>
      <c r="B21821" t="s">
        <v>35267</v>
      </c>
      <c r="C21821" t="s">
        <v>506</v>
      </c>
      <c r="D21821" t="s">
        <v>1117</v>
      </c>
      <c r="E21821" t="s">
        <v>158</v>
      </c>
      <c r="F21821" s="2" t="str">
        <f>HYPERLINK("http://www.otzar.org/book.asp?7925","מגילת ספר")</f>
        <v>מגילת ספר</v>
      </c>
    </row>
    <row r="21822" spans="1:6" x14ac:dyDescent="0.2">
      <c r="A21822" t="s">
        <v>35265</v>
      </c>
      <c r="B21822" t="s">
        <v>35268</v>
      </c>
      <c r="C21822" t="s">
        <v>2040</v>
      </c>
      <c r="D21822" t="s">
        <v>1023</v>
      </c>
      <c r="E21822" t="s">
        <v>213</v>
      </c>
      <c r="F21822" s="2" t="str">
        <f>HYPERLINK("http://www.otzar.org/book.asp?147125","מגילת ספר")</f>
        <v>מגילת ספר</v>
      </c>
    </row>
    <row r="21823" spans="1:6" x14ac:dyDescent="0.2">
      <c r="A21823" t="s">
        <v>35269</v>
      </c>
      <c r="B21823" t="s">
        <v>1417</v>
      </c>
      <c r="C21823" t="s">
        <v>748</v>
      </c>
      <c r="D21823" t="s">
        <v>283</v>
      </c>
      <c r="E21823" t="s">
        <v>119</v>
      </c>
      <c r="F21823" s="2" t="str">
        <f>HYPERLINK("http://www.otzar.org/book.asp?100556","מגילת ספר - 3 כר'")</f>
        <v>מגילת ספר - 3 כר'</v>
      </c>
    </row>
    <row r="21824" spans="1:6" x14ac:dyDescent="0.2">
      <c r="A21824" t="s">
        <v>35265</v>
      </c>
      <c r="B21824" t="s">
        <v>35270</v>
      </c>
      <c r="C21824" t="s">
        <v>16450</v>
      </c>
      <c r="D21824" t="s">
        <v>744</v>
      </c>
      <c r="E21824" t="s">
        <v>158</v>
      </c>
      <c r="F21824" s="2" t="str">
        <f>HYPERLINK("http://www.otzar.org/book.asp?141064","מגילת ספר")</f>
        <v>מגילת ספר</v>
      </c>
    </row>
    <row r="21825" spans="1:6" x14ac:dyDescent="0.2">
      <c r="A21825" t="s">
        <v>35265</v>
      </c>
      <c r="B21825" t="s">
        <v>35271</v>
      </c>
      <c r="C21825" t="s">
        <v>1244</v>
      </c>
      <c r="D21825" t="s">
        <v>1490</v>
      </c>
      <c r="E21825" t="s">
        <v>674</v>
      </c>
      <c r="F21825" s="2" t="str">
        <f>HYPERLINK("http://www.otzar.org/book.asp?10325","מגילת ספר")</f>
        <v>מגילת ספר</v>
      </c>
    </row>
    <row r="21826" spans="1:6" x14ac:dyDescent="0.2">
      <c r="A21826" t="s">
        <v>35272</v>
      </c>
      <c r="B21826" t="s">
        <v>7899</v>
      </c>
      <c r="C21826" t="s">
        <v>103</v>
      </c>
      <c r="D21826" t="s">
        <v>52</v>
      </c>
      <c r="E21826" t="s">
        <v>4940</v>
      </c>
      <c r="F21826" s="2" t="str">
        <f>HYPERLINK("http://www.otzar.org/book.asp?146452","מגילת סתרים &lt;מהדורת ווערנער&gt;")</f>
        <v>מגילת סתרים &lt;מהדורת ווערנער&gt;</v>
      </c>
    </row>
    <row r="21827" spans="1:6" x14ac:dyDescent="0.2">
      <c r="A21827" t="s">
        <v>35273</v>
      </c>
      <c r="B21827" t="s">
        <v>1720</v>
      </c>
      <c r="C21827" t="s">
        <v>244</v>
      </c>
      <c r="D21827" t="s">
        <v>27</v>
      </c>
      <c r="F21827" s="2" t="str">
        <f>HYPERLINK("http://www.otzar.org/book.asp?199201","מגילת סתרים &lt;מהדורה חדשה&gt;")</f>
        <v>מגילת סתרים &lt;מהדורה חדשה&gt;</v>
      </c>
    </row>
    <row r="21828" spans="1:6" x14ac:dyDescent="0.2">
      <c r="A21828" t="s">
        <v>35274</v>
      </c>
      <c r="B21828" t="s">
        <v>7899</v>
      </c>
      <c r="C21828" t="s">
        <v>445</v>
      </c>
      <c r="D21828" t="s">
        <v>756</v>
      </c>
      <c r="E21828" t="s">
        <v>3798</v>
      </c>
      <c r="F21828" s="2" t="str">
        <f>HYPERLINK("http://www.otzar.org/book.asp?24767","מגילת סתרים - 2 כר'")</f>
        <v>מגילת סתרים - 2 כר'</v>
      </c>
    </row>
    <row r="21829" spans="1:6" x14ac:dyDescent="0.2">
      <c r="A21829" t="s">
        <v>35275</v>
      </c>
      <c r="B21829" t="s">
        <v>35276</v>
      </c>
      <c r="C21829" t="s">
        <v>1310</v>
      </c>
      <c r="D21829" t="s">
        <v>1419</v>
      </c>
      <c r="E21829" t="s">
        <v>144</v>
      </c>
      <c r="F21829" s="2" t="str">
        <f>HYPERLINK("http://www.otzar.org/book.asp?12917","מגילת סתרים")</f>
        <v>מגילת סתרים</v>
      </c>
    </row>
    <row r="21830" spans="1:6" x14ac:dyDescent="0.2">
      <c r="A21830" t="s">
        <v>35275</v>
      </c>
      <c r="B21830" t="s">
        <v>1390</v>
      </c>
      <c r="C21830" t="s">
        <v>1047</v>
      </c>
      <c r="D21830" t="s">
        <v>283</v>
      </c>
      <c r="E21830" t="s">
        <v>1847</v>
      </c>
      <c r="F21830" s="2" t="str">
        <f>HYPERLINK("http://www.otzar.org/book.asp?15891","מגילת סתרים")</f>
        <v>מגילת סתרים</v>
      </c>
    </row>
    <row r="21831" spans="1:6" x14ac:dyDescent="0.2">
      <c r="A21831" t="s">
        <v>35277</v>
      </c>
      <c r="B21831" t="s">
        <v>1720</v>
      </c>
      <c r="C21831" t="s">
        <v>313</v>
      </c>
      <c r="D21831" t="s">
        <v>27</v>
      </c>
      <c r="E21831" t="s">
        <v>104</v>
      </c>
      <c r="F21831" s="2" t="str">
        <f>HYPERLINK("http://www.otzar.org/book.asp?62136","מגילת סתרים - 3 כר'")</f>
        <v>מגילת סתרים - 3 כר'</v>
      </c>
    </row>
    <row r="21832" spans="1:6" x14ac:dyDescent="0.2">
      <c r="A21832" t="s">
        <v>35275</v>
      </c>
      <c r="B21832" t="s">
        <v>329</v>
      </c>
      <c r="C21832" t="s">
        <v>35278</v>
      </c>
      <c r="D21832" t="s">
        <v>35279</v>
      </c>
      <c r="E21832" t="s">
        <v>1164</v>
      </c>
      <c r="F21832" s="2" t="str">
        <f>HYPERLINK("http://www.otzar.org/book.asp?141989","מגילת סתרים")</f>
        <v>מגילת סתרים</v>
      </c>
    </row>
    <row r="21833" spans="1:6" x14ac:dyDescent="0.2">
      <c r="A21833" t="s">
        <v>35280</v>
      </c>
      <c r="B21833" t="s">
        <v>1634</v>
      </c>
      <c r="C21833" t="s">
        <v>2076</v>
      </c>
      <c r="D21833" t="s">
        <v>991</v>
      </c>
      <c r="E21833" t="s">
        <v>119</v>
      </c>
      <c r="F21833" s="2" t="str">
        <f>HYPERLINK("http://www.otzar.org/book.asp?105989","מגילת עסלאר")</f>
        <v>מגילת עסלאר</v>
      </c>
    </row>
    <row r="21834" spans="1:6" x14ac:dyDescent="0.2">
      <c r="A21834" t="s">
        <v>35281</v>
      </c>
      <c r="B21834" t="s">
        <v>35282</v>
      </c>
      <c r="C21834" t="s">
        <v>1160</v>
      </c>
      <c r="D21834" t="s">
        <v>216</v>
      </c>
      <c r="E21834" t="s">
        <v>119</v>
      </c>
      <c r="F21834" s="2" t="str">
        <f>HYPERLINK("http://www.otzar.org/book.asp?28854","מגילת פולין - 4 כר'")</f>
        <v>מגילת פולין - 4 כר'</v>
      </c>
    </row>
    <row r="21835" spans="1:6" x14ac:dyDescent="0.2">
      <c r="A21835" t="s">
        <v>35283</v>
      </c>
      <c r="B21835" t="s">
        <v>35284</v>
      </c>
      <c r="C21835" t="s">
        <v>71</v>
      </c>
      <c r="D21835" t="s">
        <v>3406</v>
      </c>
      <c r="E21835" t="s">
        <v>733</v>
      </c>
      <c r="F21835" s="2" t="str">
        <f>HYPERLINK("http://www.otzar.org/book.asp?142865","מגילת פורים מצרים")</f>
        <v>מגילת פורים מצרים</v>
      </c>
    </row>
    <row r="21836" spans="1:6" x14ac:dyDescent="0.2">
      <c r="A21836" t="s">
        <v>35285</v>
      </c>
      <c r="B21836" t="s">
        <v>35286</v>
      </c>
      <c r="C21836" t="s">
        <v>37</v>
      </c>
      <c r="D21836" t="s">
        <v>412</v>
      </c>
      <c r="F21836" s="2" t="str">
        <f>HYPERLINK("http://www.otzar.org/book.asp?194516","מגילת פלסתר")</f>
        <v>מגילת פלסתר</v>
      </c>
    </row>
    <row r="21837" spans="1:6" x14ac:dyDescent="0.2">
      <c r="A21837" t="s">
        <v>35287</v>
      </c>
      <c r="B21837" t="s">
        <v>35288</v>
      </c>
      <c r="C21837" t="s">
        <v>360</v>
      </c>
      <c r="D21837" t="s">
        <v>56</v>
      </c>
      <c r="E21837" t="s">
        <v>158</v>
      </c>
      <c r="F21837" s="2" t="str">
        <f>HYPERLINK("http://www.otzar.org/book.asp?19142","מגילת קהלת &lt;דברי חפץ&gt;")</f>
        <v>מגילת קהלת &lt;דברי חפץ&gt;</v>
      </c>
    </row>
    <row r="21838" spans="1:6" x14ac:dyDescent="0.2">
      <c r="A21838" t="s">
        <v>35289</v>
      </c>
      <c r="B21838" t="s">
        <v>35290</v>
      </c>
      <c r="C21838" t="s">
        <v>51</v>
      </c>
      <c r="D21838" t="s">
        <v>14</v>
      </c>
      <c r="E21838" t="s">
        <v>158</v>
      </c>
      <c r="F21838" s="2" t="str">
        <f>HYPERLINK("http://www.otzar.org/book.asp?152361","מגילת קהלת &lt;אמרי קהלת - דברי קהלת&gt;")</f>
        <v>מגילת קהלת &lt;אמרי קהלת - דברי קהלת&gt;</v>
      </c>
    </row>
    <row r="21839" spans="1:6" x14ac:dyDescent="0.2">
      <c r="A21839" t="s">
        <v>35291</v>
      </c>
      <c r="B21839" t="s">
        <v>35292</v>
      </c>
      <c r="C21839" t="s">
        <v>1124</v>
      </c>
      <c r="D21839" t="s">
        <v>283</v>
      </c>
      <c r="E21839" t="s">
        <v>158</v>
      </c>
      <c r="F21839" s="2" t="str">
        <f>HYPERLINK("http://www.otzar.org/book.asp?102621","מגילת קהלת &lt;באור חדש&gt;")</f>
        <v>מגילת קהלת &lt;באור חדש&gt;</v>
      </c>
    </row>
    <row r="21840" spans="1:6" x14ac:dyDescent="0.2">
      <c r="A21840" t="s">
        <v>35293</v>
      </c>
      <c r="B21840" t="s">
        <v>35294</v>
      </c>
      <c r="C21840" t="s">
        <v>1228</v>
      </c>
      <c r="D21840" t="s">
        <v>225</v>
      </c>
      <c r="E21840" t="s">
        <v>158</v>
      </c>
      <c r="F21840" s="2" t="str">
        <f>HYPERLINK("http://www.otzar.org/book.asp?102618","מגילת קהלת &lt;בנין ירושלים&gt;")</f>
        <v>מגילת קהלת &lt;בנין ירושלים&gt;</v>
      </c>
    </row>
    <row r="21841" spans="1:6" x14ac:dyDescent="0.2">
      <c r="A21841" t="s">
        <v>35295</v>
      </c>
      <c r="B21841" t="s">
        <v>3416</v>
      </c>
      <c r="C21841" t="s">
        <v>411</v>
      </c>
      <c r="D21841" t="s">
        <v>14</v>
      </c>
      <c r="E21841" t="s">
        <v>158</v>
      </c>
      <c r="F21841" s="2" t="str">
        <f>HYPERLINK("http://www.otzar.org/book.asp?170445","מגילת קהלת &lt;הללי נפשי&gt;")</f>
        <v>מגילת קהלת &lt;הללי נפשי&gt;</v>
      </c>
    </row>
    <row r="21842" spans="1:6" x14ac:dyDescent="0.2">
      <c r="A21842" t="s">
        <v>35296</v>
      </c>
      <c r="B21842" t="s">
        <v>14133</v>
      </c>
      <c r="C21842" t="s">
        <v>3690</v>
      </c>
      <c r="D21842" t="s">
        <v>855</v>
      </c>
      <c r="E21842" t="s">
        <v>158</v>
      </c>
      <c r="F21842" s="2" t="str">
        <f>HYPERLINK("http://www.otzar.org/book.asp?102623","מגילת קהלת &lt;פרי חיים&gt;")</f>
        <v>מגילת קהלת &lt;פרי חיים&gt;</v>
      </c>
    </row>
    <row r="21843" spans="1:6" x14ac:dyDescent="0.2">
      <c r="A21843" t="s">
        <v>35297</v>
      </c>
      <c r="B21843" t="s">
        <v>35298</v>
      </c>
      <c r="C21843" t="s">
        <v>1284</v>
      </c>
      <c r="D21843" t="s">
        <v>225</v>
      </c>
      <c r="E21843" t="s">
        <v>158</v>
      </c>
      <c r="F21843" s="2" t="str">
        <f>HYPERLINK("http://www.otzar.org/book.asp?168924","מגילת קהלת &lt;צרי גלעד&gt;")</f>
        <v>מגילת קהלת &lt;צרי גלעד&gt;</v>
      </c>
    </row>
    <row r="21844" spans="1:6" x14ac:dyDescent="0.2">
      <c r="A21844" t="s">
        <v>35299</v>
      </c>
      <c r="B21844" t="s">
        <v>5203</v>
      </c>
      <c r="C21844" t="s">
        <v>411</v>
      </c>
      <c r="D21844" t="s">
        <v>12936</v>
      </c>
      <c r="E21844" t="s">
        <v>158</v>
      </c>
      <c r="F21844" s="2" t="str">
        <f>HYPERLINK("http://www.otzar.org/book.asp?170720","מגילת קהלת &lt;שמע שלמה&gt;")</f>
        <v>מגילת קהלת &lt;שמע שלמה&gt;</v>
      </c>
    </row>
    <row r="21845" spans="1:6" x14ac:dyDescent="0.2">
      <c r="A21845" t="s">
        <v>35300</v>
      </c>
      <c r="B21845" t="s">
        <v>4246</v>
      </c>
      <c r="C21845" t="s">
        <v>133</v>
      </c>
      <c r="D21845" t="s">
        <v>367</v>
      </c>
      <c r="F21845" s="2" t="str">
        <f>HYPERLINK("http://www.otzar.org/book.asp?614490","מגילת קהלת ע""פ רבינו עובדיה ספורנו המבואר")</f>
        <v>מגילת קהלת ע"פ רבינו עובדיה ספורנו המבואר</v>
      </c>
    </row>
    <row r="21846" spans="1:6" x14ac:dyDescent="0.2">
      <c r="A21846" t="s">
        <v>35301</v>
      </c>
      <c r="B21846" t="s">
        <v>35302</v>
      </c>
      <c r="C21846" t="s">
        <v>13</v>
      </c>
      <c r="D21846" t="s">
        <v>152</v>
      </c>
      <c r="E21846" t="s">
        <v>158</v>
      </c>
      <c r="F21846" s="2" t="str">
        <f>HYPERLINK("http://www.otzar.org/book.asp?60980","מגילת קהלת עם ביאור חכמת המלך")</f>
        <v>מגילת קהלת עם ביאור חכמת המלך</v>
      </c>
    </row>
    <row r="21847" spans="1:6" x14ac:dyDescent="0.2">
      <c r="A21847" t="s">
        <v>35303</v>
      </c>
      <c r="B21847" t="s">
        <v>18315</v>
      </c>
      <c r="C21847" t="s">
        <v>129</v>
      </c>
      <c r="D21847" t="s">
        <v>35304</v>
      </c>
      <c r="F21847" s="2" t="str">
        <f>HYPERLINK("http://www.otzar.org/book.asp?198429","מגילת רב סבא")</f>
        <v>מגילת רב סבא</v>
      </c>
    </row>
    <row r="21848" spans="1:6" x14ac:dyDescent="0.2">
      <c r="A21848" t="s">
        <v>35305</v>
      </c>
      <c r="B21848" t="s">
        <v>35306</v>
      </c>
      <c r="C21848" t="s">
        <v>27671</v>
      </c>
      <c r="D21848" t="s">
        <v>1117</v>
      </c>
      <c r="E21848" t="s">
        <v>104</v>
      </c>
      <c r="F21848" s="2" t="str">
        <f>HYPERLINK("http://www.otzar.org/book.asp?147128","מגילת רבי מאיר")</f>
        <v>מגילת רבי מאיר</v>
      </c>
    </row>
    <row r="21849" spans="1:6" x14ac:dyDescent="0.2">
      <c r="A21849" t="s">
        <v>35307</v>
      </c>
      <c r="B21849" t="s">
        <v>1293</v>
      </c>
      <c r="C21849" t="s">
        <v>1885</v>
      </c>
      <c r="D21849" t="s">
        <v>27</v>
      </c>
      <c r="E21849" t="s">
        <v>35308</v>
      </c>
      <c r="F21849" s="2" t="str">
        <f>HYPERLINK("http://www.otzar.org/book.asp?102596","מגילת רות &lt;הגר""א&gt;")</f>
        <v>מגילת רות &lt;הגר"א&gt;</v>
      </c>
    </row>
    <row r="21850" spans="1:6" x14ac:dyDescent="0.2">
      <c r="A21850" t="s">
        <v>35309</v>
      </c>
      <c r="B21850" t="s">
        <v>35130</v>
      </c>
      <c r="C21850" t="s">
        <v>20</v>
      </c>
      <c r="D21850" t="s">
        <v>14</v>
      </c>
      <c r="E21850" t="s">
        <v>158</v>
      </c>
      <c r="F21850" s="2" t="str">
        <f>HYPERLINK("http://www.otzar.org/book.asp?186816","מגילת רות &lt;ר""י די שיגוביא - ר""ש אלגאזי&gt;")</f>
        <v>מגילת רות &lt;ר"י די שיגוביא - ר"ש אלגאזי&gt;</v>
      </c>
    </row>
    <row r="21851" spans="1:6" x14ac:dyDescent="0.2">
      <c r="A21851" t="s">
        <v>35310</v>
      </c>
      <c r="B21851" t="s">
        <v>35133</v>
      </c>
      <c r="C21851" t="s">
        <v>68</v>
      </c>
      <c r="D21851" t="s">
        <v>152</v>
      </c>
      <c r="E21851" t="s">
        <v>158</v>
      </c>
      <c r="F21851" s="2" t="str">
        <f>HYPERLINK("http://www.otzar.org/book.asp?156160","מגילת רות &lt;בן ישי&gt;")</f>
        <v>מגילת רות &lt;בן ישי&gt;</v>
      </c>
    </row>
    <row r="21852" spans="1:6" x14ac:dyDescent="0.2">
      <c r="A21852" t="s">
        <v>35311</v>
      </c>
      <c r="B21852" t="s">
        <v>35312</v>
      </c>
      <c r="C21852" t="s">
        <v>13</v>
      </c>
      <c r="D21852" t="s">
        <v>14</v>
      </c>
      <c r="E21852" t="s">
        <v>158</v>
      </c>
      <c r="F21852" s="2" t="str">
        <f>HYPERLINK("http://www.otzar.org/book.asp?153505","מגילת רות &lt;מגילת שיר&gt;")</f>
        <v>מגילת רות &lt;מגילת שיר&gt;</v>
      </c>
    </row>
    <row r="21853" spans="1:6" x14ac:dyDescent="0.2">
      <c r="A21853" t="s">
        <v>35313</v>
      </c>
      <c r="B21853" t="s">
        <v>35314</v>
      </c>
      <c r="C21853" t="s">
        <v>124</v>
      </c>
      <c r="D21853" t="s">
        <v>216</v>
      </c>
      <c r="E21853" t="s">
        <v>158</v>
      </c>
      <c r="F21853" s="2" t="str">
        <f>HYPERLINK("http://www.otzar.org/book.asp?154119","מגילת רות &lt;נחלת יוסף&gt;")</f>
        <v>מגילת רות &lt;נחלת יוסף&gt;</v>
      </c>
    </row>
    <row r="21854" spans="1:6" x14ac:dyDescent="0.2">
      <c r="A21854" t="s">
        <v>35315</v>
      </c>
      <c r="B21854" t="s">
        <v>3057</v>
      </c>
      <c r="C21854" t="s">
        <v>3690</v>
      </c>
      <c r="D21854" t="s">
        <v>56</v>
      </c>
      <c r="E21854" t="s">
        <v>158</v>
      </c>
      <c r="F21854" s="2" t="str">
        <f>HYPERLINK("http://www.otzar.org/book.asp?102598","מגילת רות &lt;גזע ישי&gt;")</f>
        <v>מגילת רות &lt;גזע ישי&gt;</v>
      </c>
    </row>
    <row r="21855" spans="1:6" x14ac:dyDescent="0.2">
      <c r="A21855" t="s">
        <v>35316</v>
      </c>
      <c r="B21855" t="s">
        <v>5579</v>
      </c>
      <c r="C21855" t="s">
        <v>103</v>
      </c>
      <c r="D21855" t="s">
        <v>486</v>
      </c>
      <c r="E21855" t="s">
        <v>4940</v>
      </c>
      <c r="F21855" s="2" t="str">
        <f>HYPERLINK("http://www.otzar.org/book.asp?50114","מגילת רות &lt;שושלת בית פרץ&gt;")</f>
        <v>מגילת רות &lt;שושלת בית פרץ&gt;</v>
      </c>
    </row>
    <row r="21856" spans="1:6" x14ac:dyDescent="0.2">
      <c r="A21856" t="s">
        <v>35317</v>
      </c>
      <c r="B21856" t="s">
        <v>35318</v>
      </c>
      <c r="C21856" t="s">
        <v>466</v>
      </c>
      <c r="D21856" t="s">
        <v>14</v>
      </c>
      <c r="E21856" t="s">
        <v>158</v>
      </c>
      <c r="F21856" s="2" t="str">
        <f>HYPERLINK("http://www.otzar.org/book.asp?171105","מגילת רות &lt;מלכות שלמה&gt;")</f>
        <v>מגילת רות &lt;מלכות שלמה&gt;</v>
      </c>
    </row>
    <row r="21857" spans="1:6" x14ac:dyDescent="0.2">
      <c r="A21857" t="s">
        <v>35319</v>
      </c>
      <c r="B21857" t="s">
        <v>14133</v>
      </c>
      <c r="C21857" t="s">
        <v>617</v>
      </c>
      <c r="D21857" t="s">
        <v>855</v>
      </c>
      <c r="E21857" t="s">
        <v>158</v>
      </c>
      <c r="F21857" s="2" t="str">
        <f>HYPERLINK("http://www.otzar.org/book.asp?102597","מגילת רות &lt;פרי חיים&gt;")</f>
        <v>מגילת רות &lt;פרי חיים&gt;</v>
      </c>
    </row>
    <row r="21858" spans="1:6" x14ac:dyDescent="0.2">
      <c r="A21858" t="s">
        <v>35320</v>
      </c>
      <c r="B21858" t="s">
        <v>22592</v>
      </c>
      <c r="C21858" t="s">
        <v>5823</v>
      </c>
      <c r="D21858" t="s">
        <v>283</v>
      </c>
      <c r="E21858" t="s">
        <v>6376</v>
      </c>
      <c r="F21858" s="2" t="str">
        <f>HYPERLINK("http://www.otzar.org/book.asp?14473","מגילת רות &lt;חסד למשיחו&gt;")</f>
        <v>מגילת רות &lt;חסד למשיחו&gt;</v>
      </c>
    </row>
    <row r="21859" spans="1:6" x14ac:dyDescent="0.2">
      <c r="A21859" t="s">
        <v>35321</v>
      </c>
      <c r="B21859" t="s">
        <v>107</v>
      </c>
      <c r="C21859" t="s">
        <v>17</v>
      </c>
      <c r="D21859" t="s">
        <v>14</v>
      </c>
      <c r="E21859" t="s">
        <v>158</v>
      </c>
      <c r="F21859" s="2" t="str">
        <f>HYPERLINK("http://www.otzar.org/book.asp?6615","מגילת רות &lt;דבר ירושלים&gt;")</f>
        <v>מגילת רות &lt;דבר ירושלים&gt;</v>
      </c>
    </row>
    <row r="21860" spans="1:6" x14ac:dyDescent="0.2">
      <c r="A21860" t="s">
        <v>35322</v>
      </c>
      <c r="B21860" t="s">
        <v>35323</v>
      </c>
      <c r="C21860" t="s">
        <v>20</v>
      </c>
      <c r="D21860" t="s">
        <v>90</v>
      </c>
      <c r="E21860" t="s">
        <v>158</v>
      </c>
      <c r="F21860" s="2" t="str">
        <f>HYPERLINK("http://www.otzar.org/book.asp?194132","מגילת רות בראי הנצח")</f>
        <v>מגילת רות בראי הנצח</v>
      </c>
    </row>
    <row r="21861" spans="1:6" x14ac:dyDescent="0.2">
      <c r="A21861" t="s">
        <v>35324</v>
      </c>
      <c r="B21861" t="s">
        <v>35325</v>
      </c>
      <c r="E21861" t="s">
        <v>158</v>
      </c>
      <c r="F21861" s="2" t="str">
        <f>HYPERLINK("http://www.otzar.org/book.asp?628015","מגילת רות המבוארת")</f>
        <v>מגילת רות המבוארת</v>
      </c>
    </row>
    <row r="21862" spans="1:6" x14ac:dyDescent="0.2">
      <c r="A21862" t="s">
        <v>35326</v>
      </c>
      <c r="B21862" t="s">
        <v>5636</v>
      </c>
      <c r="C21862" t="s">
        <v>146</v>
      </c>
      <c r="D21862" t="s">
        <v>1511</v>
      </c>
      <c r="E21862" t="s">
        <v>158</v>
      </c>
      <c r="F21862" s="2" t="str">
        <f>HYPERLINK("http://www.otzar.org/book.asp?165236","מגילת רות מדרש אור יקרות")</f>
        <v>מגילת רות מדרש אור יקרות</v>
      </c>
    </row>
    <row r="21863" spans="1:6" x14ac:dyDescent="0.2">
      <c r="A21863" t="s">
        <v>35327</v>
      </c>
      <c r="B21863" t="s">
        <v>10793</v>
      </c>
      <c r="C21863" t="s">
        <v>87</v>
      </c>
      <c r="D21863" t="s">
        <v>412</v>
      </c>
      <c r="E21863" t="s">
        <v>158</v>
      </c>
      <c r="F21863" s="2" t="str">
        <f>HYPERLINK("http://www.otzar.org/book.asp?162192","מגילת רות עם פירוש ויאמר לקוצרים")</f>
        <v>מגילת רות עם פירוש ויאמר לקוצרים</v>
      </c>
    </row>
    <row r="21864" spans="1:6" x14ac:dyDescent="0.2">
      <c r="A21864" t="s">
        <v>35328</v>
      </c>
      <c r="B21864" t="s">
        <v>35329</v>
      </c>
      <c r="C21864" t="s">
        <v>23</v>
      </c>
      <c r="D21864" t="s">
        <v>10588</v>
      </c>
      <c r="E21864" t="s">
        <v>158</v>
      </c>
      <c r="F21864" s="2" t="str">
        <f>HYPERLINK("http://www.otzar.org/book.asp?601290","מגילת רות עם שמועות וביאורים")</f>
        <v>מגילת רות עם שמועות וביאורים</v>
      </c>
    </row>
    <row r="21865" spans="1:6" x14ac:dyDescent="0.2">
      <c r="A21865" t="s">
        <v>35330</v>
      </c>
      <c r="B21865" t="s">
        <v>6987</v>
      </c>
      <c r="C21865" t="s">
        <v>244</v>
      </c>
      <c r="D21865" t="s">
        <v>14</v>
      </c>
      <c r="E21865" t="s">
        <v>158</v>
      </c>
      <c r="F21865" s="2" t="str">
        <f>HYPERLINK("http://www.otzar.org/book.asp?630287","מגילת רות - באור בדרך פרדס")</f>
        <v>מגילת רות - באור בדרך פרדס</v>
      </c>
    </row>
    <row r="21866" spans="1:6" x14ac:dyDescent="0.2">
      <c r="A21866" t="s">
        <v>35331</v>
      </c>
      <c r="B21866" t="s">
        <v>35332</v>
      </c>
      <c r="C21866" t="s">
        <v>940</v>
      </c>
      <c r="D21866" t="s">
        <v>14</v>
      </c>
      <c r="E21866" t="s">
        <v>104</v>
      </c>
      <c r="F21866" s="2" t="str">
        <f>HYPERLINK("http://www.otzar.org/book.asp?619025","מגילת רזין")</f>
        <v>מגילת רזין</v>
      </c>
    </row>
    <row r="21867" spans="1:6" x14ac:dyDescent="0.2">
      <c r="A21867" t="s">
        <v>35333</v>
      </c>
      <c r="B21867" t="s">
        <v>18111</v>
      </c>
      <c r="C21867" t="s">
        <v>37</v>
      </c>
      <c r="D21867" t="s">
        <v>21</v>
      </c>
      <c r="E21867" t="s">
        <v>130</v>
      </c>
      <c r="F21867" s="2" t="str">
        <f>HYPERLINK("http://www.otzar.org/book.asp?191107","מגילת רמות")</f>
        <v>מגילת רמות</v>
      </c>
    </row>
    <row r="21868" spans="1:6" x14ac:dyDescent="0.2">
      <c r="A21868" t="s">
        <v>35334</v>
      </c>
      <c r="B21868" t="s">
        <v>32715</v>
      </c>
      <c r="C21868" t="s">
        <v>1721</v>
      </c>
      <c r="D21868" t="s">
        <v>35335</v>
      </c>
      <c r="E21868" t="s">
        <v>579</v>
      </c>
      <c r="F21868" s="2" t="str">
        <f>HYPERLINK("http://www.otzar.org/book.asp?102580","מגילת שיר השירים &lt;תרגום, מעיין מבית ה'&gt;")</f>
        <v>מגילת שיר השירים &lt;תרגום, מעיין מבית ה'&gt;</v>
      </c>
    </row>
    <row r="21869" spans="1:6" x14ac:dyDescent="0.2">
      <c r="A21869" t="s">
        <v>35336</v>
      </c>
      <c r="B21869" t="s">
        <v>1303</v>
      </c>
      <c r="C21869" t="s">
        <v>395</v>
      </c>
      <c r="D21869" t="s">
        <v>283</v>
      </c>
      <c r="E21869" t="s">
        <v>573</v>
      </c>
      <c r="F21869" s="2" t="str">
        <f>HYPERLINK("http://www.otzar.org/book.asp?102579","מגילת שיר השירים &lt;מטיב שיר, שאר ישראל&gt;")</f>
        <v>מגילת שיר השירים &lt;מטיב שיר, שאר ישראל&gt;</v>
      </c>
    </row>
    <row r="21870" spans="1:6" x14ac:dyDescent="0.2">
      <c r="A21870" t="s">
        <v>35337</v>
      </c>
      <c r="B21870" t="s">
        <v>35338</v>
      </c>
      <c r="C21870" t="s">
        <v>129</v>
      </c>
      <c r="D21870" t="s">
        <v>14</v>
      </c>
      <c r="E21870" t="s">
        <v>158</v>
      </c>
      <c r="F21870" s="2" t="str">
        <f>HYPERLINK("http://www.otzar.org/book.asp?608469","מגילת שיר השירים &lt;בית היין&gt;")</f>
        <v>מגילת שיר השירים &lt;בית היין&gt;</v>
      </c>
    </row>
    <row r="21871" spans="1:6" x14ac:dyDescent="0.2">
      <c r="A21871" t="s">
        <v>35339</v>
      </c>
      <c r="B21871" t="s">
        <v>35340</v>
      </c>
      <c r="C21871" t="s">
        <v>454</v>
      </c>
      <c r="D21871" t="s">
        <v>14</v>
      </c>
      <c r="E21871" t="s">
        <v>158</v>
      </c>
      <c r="F21871" s="2" t="str">
        <f>HYPERLINK("http://www.otzar.org/book.asp?106881","מגילת שיר השירים &lt;השיר לשלמה&gt;")</f>
        <v>מגילת שיר השירים &lt;השיר לשלמה&gt;</v>
      </c>
    </row>
    <row r="21872" spans="1:6" x14ac:dyDescent="0.2">
      <c r="A21872" t="s">
        <v>35341</v>
      </c>
      <c r="B21872" t="s">
        <v>3416</v>
      </c>
      <c r="C21872" t="s">
        <v>133</v>
      </c>
      <c r="D21872" t="s">
        <v>14</v>
      </c>
      <c r="E21872" t="s">
        <v>158</v>
      </c>
      <c r="F21872" s="2" t="str">
        <f>HYPERLINK("http://www.otzar.org/book.asp?175962","מגילת שיר השירים &lt;הללי נפשי - יקרת השיר&gt;")</f>
        <v>מגילת שיר השירים &lt;הללי נפשי - יקרת השיר&gt;</v>
      </c>
    </row>
    <row r="21873" spans="1:6" x14ac:dyDescent="0.2">
      <c r="A21873" t="s">
        <v>35342</v>
      </c>
      <c r="B21873" t="s">
        <v>14133</v>
      </c>
      <c r="C21873" t="s">
        <v>1437</v>
      </c>
      <c r="D21873" t="s">
        <v>855</v>
      </c>
      <c r="E21873" t="s">
        <v>158</v>
      </c>
      <c r="F21873" s="2" t="str">
        <f>HYPERLINK("http://www.otzar.org/book.asp?102588","מגילת שיר השירים &lt;פרי חיים&gt;")</f>
        <v>מגילת שיר השירים &lt;פרי חיים&gt;</v>
      </c>
    </row>
    <row r="21874" spans="1:6" x14ac:dyDescent="0.2">
      <c r="A21874" t="s">
        <v>35343</v>
      </c>
      <c r="B21874" t="s">
        <v>35344</v>
      </c>
      <c r="C21874" t="s">
        <v>6211</v>
      </c>
      <c r="D21874" t="s">
        <v>744</v>
      </c>
      <c r="E21874" t="s">
        <v>158</v>
      </c>
      <c r="F21874" s="2" t="str">
        <f>HYPERLINK("http://www.otzar.org/book.asp?188712","מגילת שיר השירים &lt;עם פירוש ר""א תמך&gt; - 2 כר'")</f>
        <v>מגילת שיר השירים &lt;עם פירוש ר"א תמך&gt; - 2 כר'</v>
      </c>
    </row>
    <row r="21875" spans="1:6" x14ac:dyDescent="0.2">
      <c r="A21875" t="s">
        <v>35345</v>
      </c>
      <c r="B21875" t="s">
        <v>35346</v>
      </c>
      <c r="C21875" t="s">
        <v>395</v>
      </c>
      <c r="D21875" t="s">
        <v>283</v>
      </c>
      <c r="E21875" t="s">
        <v>1847</v>
      </c>
      <c r="F21875" s="2" t="str">
        <f>HYPERLINK("http://www.otzar.org/book.asp?5637","מגילת שיר השירים &lt;הגר""א, האר""י, הרוקח, באר אברהם&gt;")</f>
        <v>מגילת שיר השירים &lt;הגר"א, האר"י, הרוקח, באר אברהם&gt;</v>
      </c>
    </row>
    <row r="21876" spans="1:6" x14ac:dyDescent="0.2">
      <c r="A21876" t="s">
        <v>35347</v>
      </c>
      <c r="B21876" t="s">
        <v>35348</v>
      </c>
      <c r="C21876" t="s">
        <v>585</v>
      </c>
      <c r="D21876" t="s">
        <v>90</v>
      </c>
      <c r="E21876" t="s">
        <v>158</v>
      </c>
      <c r="F21876" s="2" t="str">
        <f>HYPERLINK("http://www.otzar.org/book.asp?619862","מגילת שיר השירים - קיצור פירוש המלבי""ם ופירוש לפירושו")</f>
        <v>מגילת שיר השירים - קיצור פירוש המלבי"ם ופירוש לפירושו</v>
      </c>
    </row>
    <row r="21877" spans="1:6" x14ac:dyDescent="0.2">
      <c r="A21877" t="s">
        <v>35349</v>
      </c>
      <c r="B21877" t="s">
        <v>18321</v>
      </c>
      <c r="C21877" t="s">
        <v>422</v>
      </c>
      <c r="D21877" t="s">
        <v>90</v>
      </c>
      <c r="E21877" t="s">
        <v>158</v>
      </c>
      <c r="F21877" s="2" t="str">
        <f>HYPERLINK("http://www.otzar.org/book.asp?151096","מגילת שמואל - 3 כר'")</f>
        <v>מגילת שמואל - 3 כר'</v>
      </c>
    </row>
    <row r="21878" spans="1:6" x14ac:dyDescent="0.2">
      <c r="A21878" t="s">
        <v>35350</v>
      </c>
      <c r="B21878" t="s">
        <v>35351</v>
      </c>
      <c r="C21878" t="s">
        <v>37</v>
      </c>
      <c r="D21878" t="s">
        <v>52</v>
      </c>
      <c r="E21878" t="s">
        <v>43</v>
      </c>
      <c r="F21878" s="2" t="str">
        <f>HYPERLINK("http://www.otzar.org/book.asp?188815","מגילת תענית &lt;באור התענית - דברי התענית&gt;")</f>
        <v>מגילת תענית &lt;באור התענית - דברי התענית&gt;</v>
      </c>
    </row>
    <row r="21879" spans="1:6" x14ac:dyDescent="0.2">
      <c r="A21879" t="s">
        <v>35352</v>
      </c>
      <c r="B21879" t="s">
        <v>35353</v>
      </c>
      <c r="C21879" t="s">
        <v>943</v>
      </c>
      <c r="D21879" t="s">
        <v>267</v>
      </c>
      <c r="E21879" t="s">
        <v>43</v>
      </c>
      <c r="F21879" s="2" t="str">
        <f>HYPERLINK("http://www.otzar.org/book.asp?200018","מגילת תענית &lt;פירוש מספיק, פירוש מהר""א&gt;")</f>
        <v>מגילת תענית &lt;פירוש מספיק, פירוש מהר"א&gt;</v>
      </c>
    </row>
    <row r="21880" spans="1:6" x14ac:dyDescent="0.2">
      <c r="A21880" t="s">
        <v>35354</v>
      </c>
      <c r="B21880" t="s">
        <v>5470</v>
      </c>
      <c r="C21880" t="s">
        <v>151</v>
      </c>
      <c r="D21880" t="s">
        <v>118</v>
      </c>
      <c r="E21880" t="s">
        <v>674</v>
      </c>
      <c r="F21880" s="2" t="str">
        <f>HYPERLINK("http://www.otzar.org/book.asp?628055","מגילת תענית בביטולה")</f>
        <v>מגילת תענית בביטולה</v>
      </c>
    </row>
    <row r="21881" spans="1:6" x14ac:dyDescent="0.2">
      <c r="A21881" t="s">
        <v>35355</v>
      </c>
      <c r="B21881" t="s">
        <v>1402</v>
      </c>
      <c r="C21881" t="s">
        <v>454</v>
      </c>
      <c r="D21881" t="s">
        <v>52</v>
      </c>
      <c r="E21881" t="s">
        <v>43</v>
      </c>
      <c r="F21881" s="2" t="str">
        <f>HYPERLINK("http://www.otzar.org/book.asp?157874","מגילת תענית עם ביאור קצר")</f>
        <v>מגילת תענית עם ביאור קצר</v>
      </c>
    </row>
    <row r="21882" spans="1:6" x14ac:dyDescent="0.2">
      <c r="A21882" t="s">
        <v>35356</v>
      </c>
      <c r="B21882" t="s">
        <v>35357</v>
      </c>
      <c r="C21882" t="s">
        <v>603</v>
      </c>
      <c r="D21882" t="s">
        <v>283</v>
      </c>
      <c r="E21882" t="s">
        <v>35358</v>
      </c>
      <c r="F21882" s="2" t="str">
        <f>HYPERLINK("http://www.otzar.org/book.asp?6620","מגילת תענית")</f>
        <v>מגילת תענית</v>
      </c>
    </row>
    <row r="21883" spans="1:6" x14ac:dyDescent="0.2">
      <c r="A21883" t="s">
        <v>35356</v>
      </c>
      <c r="B21883" t="s">
        <v>35359</v>
      </c>
      <c r="C21883" t="s">
        <v>1284</v>
      </c>
      <c r="D21883" t="s">
        <v>267</v>
      </c>
      <c r="E21883" t="s">
        <v>43</v>
      </c>
      <c r="F21883" s="2" t="str">
        <f>HYPERLINK("http://www.otzar.org/book.asp?731","מגילת תענית")</f>
        <v>מגילת תענית</v>
      </c>
    </row>
    <row r="21884" spans="1:6" x14ac:dyDescent="0.2">
      <c r="A21884" t="s">
        <v>35356</v>
      </c>
      <c r="B21884" t="s">
        <v>35360</v>
      </c>
      <c r="C21884" t="s">
        <v>462</v>
      </c>
      <c r="D21884" t="s">
        <v>27</v>
      </c>
      <c r="E21884" t="s">
        <v>43</v>
      </c>
      <c r="F21884" s="2" t="str">
        <f>HYPERLINK("http://www.otzar.org/book.asp?14636","מגילת תענית")</f>
        <v>מגילת תענית</v>
      </c>
    </row>
    <row r="21885" spans="1:6" x14ac:dyDescent="0.2">
      <c r="A21885" t="s">
        <v>35356</v>
      </c>
      <c r="B21885" t="s">
        <v>35361</v>
      </c>
      <c r="C21885" t="s">
        <v>946</v>
      </c>
      <c r="D21885" t="s">
        <v>56</v>
      </c>
      <c r="E21885" t="s">
        <v>43</v>
      </c>
      <c r="F21885" s="2" t="str">
        <f>HYPERLINK("http://www.otzar.org/book.asp?14679","מגילת תענית")</f>
        <v>מגילת תענית</v>
      </c>
    </row>
    <row r="21886" spans="1:6" x14ac:dyDescent="0.2">
      <c r="A21886" t="s">
        <v>35356</v>
      </c>
      <c r="B21886" t="s">
        <v>35362</v>
      </c>
      <c r="C21886" t="s">
        <v>619</v>
      </c>
      <c r="D21886" t="s">
        <v>33969</v>
      </c>
      <c r="E21886" t="s">
        <v>64</v>
      </c>
      <c r="F21886" s="2" t="str">
        <f>HYPERLINK("http://www.otzar.org/book.asp?200020","מגילת תענית")</f>
        <v>מגילת תענית</v>
      </c>
    </row>
    <row r="21887" spans="1:6" x14ac:dyDescent="0.2">
      <c r="A21887" t="s">
        <v>35363</v>
      </c>
      <c r="B21887" t="s">
        <v>35364</v>
      </c>
      <c r="C21887" t="s">
        <v>37</v>
      </c>
      <c r="D21887" t="s">
        <v>21</v>
      </c>
      <c r="E21887" t="s">
        <v>15</v>
      </c>
      <c r="F21887" s="2" t="str">
        <f>HYPERLINK("http://www.otzar.org/book.asp?195641","מגיני ארץ")</f>
        <v>מגיני ארץ</v>
      </c>
    </row>
    <row r="21888" spans="1:6" x14ac:dyDescent="0.2">
      <c r="A21888" t="s">
        <v>35365</v>
      </c>
      <c r="B21888" t="s">
        <v>35366</v>
      </c>
      <c r="C21888" t="s">
        <v>10538</v>
      </c>
      <c r="D21888" t="s">
        <v>744</v>
      </c>
      <c r="E21888" t="s">
        <v>172</v>
      </c>
      <c r="F21888" s="2" t="str">
        <f>HYPERLINK("http://www.otzar.org/book.asp?8285","מגיני זהב")</f>
        <v>מגיני זהב</v>
      </c>
    </row>
    <row r="21889" spans="1:6" x14ac:dyDescent="0.2">
      <c r="A21889" t="s">
        <v>35367</v>
      </c>
      <c r="B21889" t="s">
        <v>35368</v>
      </c>
      <c r="C21889" t="s">
        <v>189</v>
      </c>
      <c r="D21889" t="s">
        <v>14</v>
      </c>
      <c r="E21889" t="s">
        <v>144</v>
      </c>
      <c r="F21889" s="2" t="str">
        <f>HYPERLINK("http://www.otzar.org/book.asp?161357","מגיני שלמה &lt;מהדורה חדשה&gt;")</f>
        <v>מגיני שלמה &lt;מהדורה חדשה&gt;</v>
      </c>
    </row>
    <row r="21890" spans="1:6" x14ac:dyDescent="0.2">
      <c r="A21890" t="s">
        <v>35369</v>
      </c>
      <c r="B21890" t="s">
        <v>35368</v>
      </c>
      <c r="C21890" t="s">
        <v>2672</v>
      </c>
      <c r="D21890" t="s">
        <v>1023</v>
      </c>
      <c r="E21890" t="s">
        <v>1211</v>
      </c>
      <c r="F21890" s="2" t="str">
        <f>HYPERLINK("http://www.otzar.org/book.asp?200187","מגיני שלמה - 3 כר'")</f>
        <v>מגיני שלמה - 3 כר'</v>
      </c>
    </row>
    <row r="21891" spans="1:6" x14ac:dyDescent="0.2">
      <c r="A21891" t="s">
        <v>35370</v>
      </c>
      <c r="B21891" t="s">
        <v>35371</v>
      </c>
      <c r="C21891" t="s">
        <v>20</v>
      </c>
      <c r="D21891" t="s">
        <v>90</v>
      </c>
      <c r="E21891" t="s">
        <v>2071</v>
      </c>
      <c r="F21891" s="2" t="str">
        <f>HYPERLINK("http://www.otzar.org/book.asp?609542","מגישי מנחה - 2 כר'")</f>
        <v>מגישי מנחה - 2 כר'</v>
      </c>
    </row>
    <row r="21892" spans="1:6" x14ac:dyDescent="0.2">
      <c r="A21892" t="s">
        <v>35372</v>
      </c>
      <c r="B21892" t="s">
        <v>35373</v>
      </c>
      <c r="C21892" t="s">
        <v>20</v>
      </c>
      <c r="D21892" t="s">
        <v>90</v>
      </c>
      <c r="E21892" t="s">
        <v>144</v>
      </c>
      <c r="F21892" s="2" t="str">
        <f>HYPERLINK("http://www.otzar.org/book.asp?605255","מגישי מנחה - מנחות")</f>
        <v>מגישי מנחה - מנחות</v>
      </c>
    </row>
    <row r="21893" spans="1:6" x14ac:dyDescent="0.2">
      <c r="A21893" t="s">
        <v>35374</v>
      </c>
      <c r="B21893" t="s">
        <v>35375</v>
      </c>
      <c r="C21893" t="s">
        <v>7422</v>
      </c>
      <c r="D21893" t="s">
        <v>4349</v>
      </c>
      <c r="F21893" s="2" t="str">
        <f>HYPERLINK("http://www.otzar.org/book.asp?168117","מגל האומר")</f>
        <v>מגל האומר</v>
      </c>
    </row>
    <row r="21894" spans="1:6" x14ac:dyDescent="0.2">
      <c r="A21894" t="s">
        <v>35376</v>
      </c>
      <c r="B21894" t="s">
        <v>35377</v>
      </c>
      <c r="C21894" t="s">
        <v>13915</v>
      </c>
      <c r="D21894" t="s">
        <v>2458</v>
      </c>
      <c r="E21894" t="s">
        <v>202</v>
      </c>
      <c r="F21894" s="2" t="str">
        <f>HYPERLINK("http://www.otzar.org/book.asp?603060","מגל  - ג")</f>
        <v>מגל  - ג</v>
      </c>
    </row>
    <row r="21895" spans="1:6" x14ac:dyDescent="0.2">
      <c r="A21895" t="s">
        <v>35378</v>
      </c>
      <c r="B21895" t="s">
        <v>35379</v>
      </c>
      <c r="C21895" t="s">
        <v>4087</v>
      </c>
      <c r="D21895" t="s">
        <v>4288</v>
      </c>
      <c r="E21895" t="s">
        <v>158</v>
      </c>
      <c r="F21895" s="2" t="str">
        <f>HYPERLINK("http://www.otzar.org/book.asp?24768","מגלה סוד - 2 כר'")</f>
        <v>מגלה סוד - 2 כר'</v>
      </c>
    </row>
    <row r="21896" spans="1:6" x14ac:dyDescent="0.2">
      <c r="A21896" t="s">
        <v>35380</v>
      </c>
      <c r="B21896" t="s">
        <v>35381</v>
      </c>
      <c r="C21896" t="s">
        <v>4705</v>
      </c>
      <c r="D21896" t="s">
        <v>35382</v>
      </c>
      <c r="E21896" t="s">
        <v>230</v>
      </c>
      <c r="F21896" s="2" t="str">
        <f>HYPERLINK("http://www.otzar.org/book.asp?164353","מגלה עמוקות &lt;בארות עמוקים&gt;")</f>
        <v>מגלה עמוקות &lt;בארות עמוקים&gt;</v>
      </c>
    </row>
    <row r="21897" spans="1:6" x14ac:dyDescent="0.2">
      <c r="A21897" t="s">
        <v>35383</v>
      </c>
      <c r="B21897" t="s">
        <v>35381</v>
      </c>
      <c r="C21897" t="s">
        <v>30373</v>
      </c>
      <c r="D21897" t="s">
        <v>1117</v>
      </c>
      <c r="E21897" t="s">
        <v>399</v>
      </c>
      <c r="F21897" s="2" t="str">
        <f>HYPERLINK("http://www.otzar.org/book.asp?53428","מגלה עמוקות &lt;דפו""ר&gt;")</f>
        <v>מגלה עמוקות &lt;דפו"ר&gt;</v>
      </c>
    </row>
    <row r="21898" spans="1:6" x14ac:dyDescent="0.2">
      <c r="A21898" t="s">
        <v>35384</v>
      </c>
      <c r="B21898" t="s">
        <v>35381</v>
      </c>
      <c r="C21898" t="s">
        <v>13</v>
      </c>
      <c r="D21898" t="s">
        <v>646</v>
      </c>
      <c r="F21898" s="2" t="str">
        <f>HYPERLINK("http://www.otzar.org/book.asp?188524","מגלה עמוקות &lt;מהדורה חדשה&gt;")</f>
        <v>מגלה עמוקות &lt;מהדורה חדשה&gt;</v>
      </c>
    </row>
    <row r="21899" spans="1:6" x14ac:dyDescent="0.2">
      <c r="A21899" t="s">
        <v>35385</v>
      </c>
      <c r="B21899" t="s">
        <v>35381</v>
      </c>
      <c r="C21899" t="s">
        <v>585</v>
      </c>
      <c r="D21899" t="s">
        <v>52</v>
      </c>
      <c r="E21899" t="s">
        <v>2569</v>
      </c>
      <c r="F21899" s="2" t="str">
        <f>HYPERLINK("http://www.otzar.org/book.asp?106584","מגלה עמוקות &lt;פרישת שלום&gt; - 3 כר'")</f>
        <v>מגלה עמוקות &lt;פרישת שלום&gt; - 3 כר'</v>
      </c>
    </row>
    <row r="21900" spans="1:6" x14ac:dyDescent="0.2">
      <c r="A21900" t="s">
        <v>35386</v>
      </c>
      <c r="B21900" t="s">
        <v>35381</v>
      </c>
      <c r="C21900" t="s">
        <v>419</v>
      </c>
      <c r="D21900" t="s">
        <v>412</v>
      </c>
      <c r="E21900" t="s">
        <v>1211</v>
      </c>
      <c r="F21900" s="2" t="str">
        <f>HYPERLINK("http://www.otzar.org/book.asp?172331","מגלה עמוקות (על הרי""ף)")</f>
        <v>מגלה עמוקות (על הרי"ף)</v>
      </c>
    </row>
    <row r="21901" spans="1:6" x14ac:dyDescent="0.2">
      <c r="A21901" t="s">
        <v>35387</v>
      </c>
      <c r="B21901" t="s">
        <v>7725</v>
      </c>
      <c r="C21901" t="s">
        <v>854</v>
      </c>
      <c r="D21901" t="s">
        <v>4269</v>
      </c>
      <c r="E21901" t="s">
        <v>219</v>
      </c>
      <c r="F21901" s="2" t="str">
        <f>HYPERLINK("http://www.otzar.org/book.asp?172340","מגלה עמוקות בכוונת התפלה")</f>
        <v>מגלה עמוקות בכוונת התפלה</v>
      </c>
    </row>
    <row r="21902" spans="1:6" x14ac:dyDescent="0.2">
      <c r="A21902" t="s">
        <v>35388</v>
      </c>
      <c r="B21902" t="s">
        <v>35389</v>
      </c>
      <c r="C21902" t="s">
        <v>1335</v>
      </c>
      <c r="D21902" t="s">
        <v>212</v>
      </c>
      <c r="E21902" t="s">
        <v>2441</v>
      </c>
      <c r="F21902" s="2" t="str">
        <f>HYPERLINK("http://www.otzar.org/book.asp?148139","מגלה עמוקות מני חשך")</f>
        <v>מגלה עמוקות מני חשך</v>
      </c>
    </row>
    <row r="21903" spans="1:6" x14ac:dyDescent="0.2">
      <c r="A21903" t="s">
        <v>35390</v>
      </c>
      <c r="B21903" t="s">
        <v>35381</v>
      </c>
      <c r="C21903" t="s">
        <v>362</v>
      </c>
      <c r="D21903" t="s">
        <v>726</v>
      </c>
      <c r="E21903" t="s">
        <v>35391</v>
      </c>
      <c r="F21903" s="2" t="str">
        <f>HYPERLINK("http://www.otzar.org/book.asp?11387","מגלה עמוקות על התורה - 2 כר'")</f>
        <v>מגלה עמוקות על התורה - 2 כר'</v>
      </c>
    </row>
    <row r="21904" spans="1:6" x14ac:dyDescent="0.2">
      <c r="A21904" t="s">
        <v>35392</v>
      </c>
      <c r="B21904" t="s">
        <v>35393</v>
      </c>
      <c r="C21904" t="s">
        <v>151</v>
      </c>
      <c r="D21904" t="s">
        <v>90</v>
      </c>
      <c r="F21904" s="2" t="str">
        <f>HYPERLINK("http://www.otzar.org/book.asp?618087","מגלה עמוקות עם גלא עמיקתא")</f>
        <v>מגלה עמוקות עם גלא עמיקתא</v>
      </c>
    </row>
    <row r="21905" spans="1:6" x14ac:dyDescent="0.2">
      <c r="A21905" t="s">
        <v>35394</v>
      </c>
      <c r="B21905" t="s">
        <v>4211</v>
      </c>
      <c r="C21905" t="s">
        <v>422</v>
      </c>
      <c r="D21905" t="s">
        <v>14</v>
      </c>
      <c r="E21905" t="s">
        <v>158</v>
      </c>
      <c r="F21905" s="2" t="str">
        <f>HYPERLINK("http://www.otzar.org/book.asp?154247","מגלה עמוקות - איוב")</f>
        <v>מגלה עמוקות - איוב</v>
      </c>
    </row>
    <row r="21906" spans="1:6" x14ac:dyDescent="0.2">
      <c r="A21906" t="s">
        <v>35395</v>
      </c>
      <c r="B21906" t="s">
        <v>35381</v>
      </c>
      <c r="C21906" t="s">
        <v>9998</v>
      </c>
      <c r="D21906" t="s">
        <v>2303</v>
      </c>
      <c r="E21906" t="s">
        <v>399</v>
      </c>
      <c r="F21906" s="2" t="str">
        <f>HYPERLINK("http://www.otzar.org/book.asp?102305","מגלה עמוקות")</f>
        <v>מגלה עמוקות</v>
      </c>
    </row>
    <row r="21907" spans="1:6" x14ac:dyDescent="0.2">
      <c r="A21907" t="s">
        <v>35396</v>
      </c>
      <c r="B21907" t="s">
        <v>1112</v>
      </c>
      <c r="C21907" t="s">
        <v>35397</v>
      </c>
      <c r="D21907" t="s">
        <v>157</v>
      </c>
      <c r="E21907" t="s">
        <v>158</v>
      </c>
      <c r="F21907" s="2" t="str">
        <f>HYPERLINK("http://www.otzar.org/book.asp?19031","מגלה צפונות - 3 כר'")</f>
        <v>מגלה צפונות - 3 כר'</v>
      </c>
    </row>
    <row r="21908" spans="1:6" x14ac:dyDescent="0.2">
      <c r="A21908" t="s">
        <v>35398</v>
      </c>
      <c r="B21908" t="s">
        <v>4816</v>
      </c>
      <c r="C21908" t="s">
        <v>411</v>
      </c>
      <c r="D21908" t="s">
        <v>486</v>
      </c>
      <c r="E21908" t="s">
        <v>158</v>
      </c>
      <c r="F21908" s="2" t="str">
        <f>HYPERLINK("http://www.otzar.org/book.asp?179493","מגלה צפונות - 2 כר'")</f>
        <v>מגלה צפונות - 2 כר'</v>
      </c>
    </row>
    <row r="21909" spans="1:6" x14ac:dyDescent="0.2">
      <c r="A21909" t="s">
        <v>35399</v>
      </c>
      <c r="B21909" t="s">
        <v>35400</v>
      </c>
      <c r="C21909" t="s">
        <v>581</v>
      </c>
      <c r="D21909" t="s">
        <v>35401</v>
      </c>
      <c r="E21909" t="s">
        <v>158</v>
      </c>
      <c r="F21909" s="2" t="str">
        <f>HYPERLINK("http://www.otzar.org/book.asp?625983","מגלה תעלומות")</f>
        <v>מגלה תעלומות</v>
      </c>
    </row>
    <row r="21910" spans="1:6" x14ac:dyDescent="0.2">
      <c r="A21910" t="s">
        <v>35402</v>
      </c>
      <c r="B21910" t="s">
        <v>1990</v>
      </c>
      <c r="C21910" t="s">
        <v>1844</v>
      </c>
      <c r="D21910" t="s">
        <v>283</v>
      </c>
      <c r="E21910" t="s">
        <v>158</v>
      </c>
      <c r="F21910" s="2" t="str">
        <f>HYPERLINK("http://www.otzar.org/book.asp?168931","מגלת איכה &lt;אלון בכות&gt;")</f>
        <v>מגלת איכה &lt;אלון בכות&gt;</v>
      </c>
    </row>
    <row r="21911" spans="1:6" x14ac:dyDescent="0.2">
      <c r="A21911" t="s">
        <v>35403</v>
      </c>
      <c r="B21911" t="s">
        <v>35404</v>
      </c>
      <c r="C21911" t="s">
        <v>35109</v>
      </c>
      <c r="D21911" t="s">
        <v>35405</v>
      </c>
      <c r="F21911" s="2" t="str">
        <f>HYPERLINK("http://www.otzar.org/book.asp?170326","מגלת אנטיוכוס")</f>
        <v>מגלת אנטיוכוס</v>
      </c>
    </row>
    <row r="21912" spans="1:6" x14ac:dyDescent="0.2">
      <c r="A21912" t="s">
        <v>35406</v>
      </c>
      <c r="B21912" t="s">
        <v>35407</v>
      </c>
      <c r="C21912" t="s">
        <v>79</v>
      </c>
      <c r="D21912" t="s">
        <v>260</v>
      </c>
      <c r="E21912" t="s">
        <v>246</v>
      </c>
      <c r="F21912" s="2" t="str">
        <f>HYPERLINK("http://www.otzar.org/book.asp?179070","מגלת אנטיוכס")</f>
        <v>מגלת אנטיוכס</v>
      </c>
    </row>
    <row r="21913" spans="1:6" x14ac:dyDescent="0.2">
      <c r="A21913" t="s">
        <v>35408</v>
      </c>
      <c r="B21913" t="s">
        <v>35409</v>
      </c>
      <c r="C21913" t="s">
        <v>473</v>
      </c>
      <c r="D21913" t="s">
        <v>592</v>
      </c>
      <c r="F21913" s="2" t="str">
        <f>HYPERLINK("http://www.otzar.org/book.asp?626343","מגלת אסתר הפראגמאטית")</f>
        <v>מגלת אסתר הפראגמאטית</v>
      </c>
    </row>
    <row r="21914" spans="1:6" x14ac:dyDescent="0.2">
      <c r="A21914" t="s">
        <v>35410</v>
      </c>
      <c r="B21914" t="s">
        <v>3057</v>
      </c>
      <c r="C21914" t="s">
        <v>5163</v>
      </c>
      <c r="D21914" t="s">
        <v>35411</v>
      </c>
      <c r="E21914" t="s">
        <v>158</v>
      </c>
      <c r="F21914" s="2" t="str">
        <f>HYPERLINK("http://www.otzar.org/book.asp?628254","מגלת אסתר")</f>
        <v>מגלת אסתר</v>
      </c>
    </row>
    <row r="21915" spans="1:6" x14ac:dyDescent="0.2">
      <c r="A21915" t="s">
        <v>35412</v>
      </c>
      <c r="B21915" t="s">
        <v>35413</v>
      </c>
      <c r="C21915" t="s">
        <v>35414</v>
      </c>
      <c r="D21915" t="s">
        <v>35415</v>
      </c>
      <c r="E21915" t="s">
        <v>119</v>
      </c>
      <c r="F21915" s="2" t="str">
        <f>HYPERLINK("http://www.otzar.org/book.asp?623864","מגלת הטבח - 4 כר'")</f>
        <v>מגלת הטבח - 4 כר'</v>
      </c>
    </row>
    <row r="21916" spans="1:6" x14ac:dyDescent="0.2">
      <c r="A21916" t="s">
        <v>35416</v>
      </c>
      <c r="B21916" t="s">
        <v>35417</v>
      </c>
      <c r="C21916" t="s">
        <v>888</v>
      </c>
      <c r="D21916" t="s">
        <v>1566</v>
      </c>
      <c r="E21916" t="s">
        <v>104</v>
      </c>
      <c r="F21916" s="2" t="str">
        <f>HYPERLINK("http://www.otzar.org/book.asp?619809","מגלת יוחסין לבית הנגיד ר' יוסף גראנדמאן")</f>
        <v>מגלת יוחסין לבית הנגיד ר' יוסף גראנדמאן</v>
      </c>
    </row>
    <row r="21917" spans="1:6" x14ac:dyDescent="0.2">
      <c r="A21917" t="s">
        <v>35418</v>
      </c>
      <c r="B21917" t="s">
        <v>35419</v>
      </c>
      <c r="C21917" t="s">
        <v>812</v>
      </c>
      <c r="D21917" t="s">
        <v>35420</v>
      </c>
      <c r="E21917" t="s">
        <v>104</v>
      </c>
      <c r="F21917" s="2" t="str">
        <f>HYPERLINK("http://www.otzar.org/book.asp?619810","מגלת יוחסין לבית הנגיד ר' שלמה גראנדמאן")</f>
        <v>מגלת יוחסין לבית הנגיד ר' שלמה גראנדמאן</v>
      </c>
    </row>
    <row r="21918" spans="1:6" x14ac:dyDescent="0.2">
      <c r="A21918" t="s">
        <v>35421</v>
      </c>
      <c r="B21918" t="s">
        <v>35422</v>
      </c>
      <c r="C21918" t="s">
        <v>843</v>
      </c>
      <c r="D21918" t="s">
        <v>27</v>
      </c>
      <c r="E21918" t="s">
        <v>733</v>
      </c>
      <c r="F21918" s="2" t="str">
        <f>HYPERLINK("http://www.otzar.org/book.asp?167489","מגלת יוחסין")</f>
        <v>מגלת יוחסין</v>
      </c>
    </row>
    <row r="21919" spans="1:6" x14ac:dyDescent="0.2">
      <c r="A21919" t="s">
        <v>35423</v>
      </c>
      <c r="B21919" t="s">
        <v>19194</v>
      </c>
      <c r="C21919" t="s">
        <v>1940</v>
      </c>
      <c r="D21919" t="s">
        <v>744</v>
      </c>
      <c r="E21919" t="s">
        <v>43</v>
      </c>
      <c r="F21919" s="2" t="str">
        <f>HYPERLINK("http://www.otzar.org/book.asp?189467","מגלת סדרים")</f>
        <v>מגלת סדרים</v>
      </c>
    </row>
    <row r="21920" spans="1:6" x14ac:dyDescent="0.2">
      <c r="A21920" t="s">
        <v>35424</v>
      </c>
      <c r="B21920" t="s">
        <v>35425</v>
      </c>
      <c r="C21920" t="s">
        <v>419</v>
      </c>
      <c r="D21920" t="s">
        <v>21</v>
      </c>
      <c r="E21920" t="s">
        <v>3516</v>
      </c>
      <c r="F21920" s="2" t="str">
        <f>HYPERLINK("http://www.otzar.org/book.asp?603801","מגלת סופרים")</f>
        <v>מגלת סופרים</v>
      </c>
    </row>
    <row r="21921" spans="1:6" x14ac:dyDescent="0.2">
      <c r="A21921" t="s">
        <v>35426</v>
      </c>
      <c r="B21921" t="s">
        <v>35427</v>
      </c>
      <c r="C21921" t="s">
        <v>503</v>
      </c>
      <c r="D21921" t="s">
        <v>283</v>
      </c>
      <c r="E21921" t="s">
        <v>158</v>
      </c>
      <c r="F21921" s="2" t="str">
        <f>HYPERLINK("http://www.otzar.org/book.asp?167776","מגלת קהלת &lt;רוח חיים&gt;")</f>
        <v>מגלת קהלת &lt;רוח חיים&gt;</v>
      </c>
    </row>
    <row r="21922" spans="1:6" x14ac:dyDescent="0.2">
      <c r="A21922" t="s">
        <v>35428</v>
      </c>
      <c r="B21922" t="s">
        <v>35429</v>
      </c>
      <c r="C21922" t="s">
        <v>473</v>
      </c>
      <c r="D21922" t="s">
        <v>17587</v>
      </c>
      <c r="E21922" t="s">
        <v>158</v>
      </c>
      <c r="F21922" s="2" t="str">
        <f>HYPERLINK("http://www.otzar.org/book.asp?197606","מגלת שיר השירים &lt;בינה בכתובים&gt;")</f>
        <v>מגלת שיר השירים &lt;בינה בכתובים&gt;</v>
      </c>
    </row>
    <row r="21923" spans="1:6" x14ac:dyDescent="0.2">
      <c r="A21923" t="s">
        <v>35430</v>
      </c>
      <c r="B21923" t="s">
        <v>2620</v>
      </c>
      <c r="C21923" t="s">
        <v>129</v>
      </c>
      <c r="D21923" t="s">
        <v>14</v>
      </c>
      <c r="E21923" t="s">
        <v>213</v>
      </c>
      <c r="F21923" s="2" t="str">
        <f>HYPERLINK("http://www.otzar.org/book.asp?152368","מגן אבות  (אמונות ודעות) &lt;מכון הכתב&gt;")</f>
        <v>מגן אבות  (אמונות ודעות) &lt;מכון הכתב&gt;</v>
      </c>
    </row>
    <row r="21924" spans="1:6" x14ac:dyDescent="0.2">
      <c r="A21924" t="s">
        <v>35431</v>
      </c>
      <c r="B21924" t="s">
        <v>2620</v>
      </c>
      <c r="C21924" t="s">
        <v>454</v>
      </c>
      <c r="D21924" t="s">
        <v>14</v>
      </c>
      <c r="E21924" t="s">
        <v>84</v>
      </c>
      <c r="F21924" s="2" t="str">
        <f>HYPERLINK("http://www.otzar.org/book.asp?152330","מגן אבות &lt;מכון הכתב&gt;")</f>
        <v>מגן אבות &lt;מכון הכתב&gt;</v>
      </c>
    </row>
    <row r="21925" spans="1:6" x14ac:dyDescent="0.2">
      <c r="A21925" t="s">
        <v>35432</v>
      </c>
      <c r="B21925" t="s">
        <v>35433</v>
      </c>
      <c r="C21925" t="s">
        <v>133</v>
      </c>
      <c r="D21925" t="s">
        <v>1156</v>
      </c>
      <c r="E21925" t="s">
        <v>140</v>
      </c>
      <c r="F21925" s="2" t="str">
        <f>HYPERLINK("http://www.otzar.org/book.asp?611011","מגן אבות")</f>
        <v>מגן אבות</v>
      </c>
    </row>
    <row r="21926" spans="1:6" x14ac:dyDescent="0.2">
      <c r="A21926" t="s">
        <v>35432</v>
      </c>
      <c r="B21926" t="s">
        <v>13321</v>
      </c>
      <c r="C21926" t="s">
        <v>8799</v>
      </c>
      <c r="D21926" t="s">
        <v>76</v>
      </c>
      <c r="E21926" t="s">
        <v>84</v>
      </c>
      <c r="F21926" s="2" t="str">
        <f>HYPERLINK("http://www.otzar.org/book.asp?51625","מגן אבות")</f>
        <v>מגן אבות</v>
      </c>
    </row>
    <row r="21927" spans="1:6" x14ac:dyDescent="0.2">
      <c r="A21927" t="s">
        <v>35432</v>
      </c>
      <c r="B21927" t="s">
        <v>20959</v>
      </c>
      <c r="C21927" t="s">
        <v>2644</v>
      </c>
      <c r="D21927" t="s">
        <v>225</v>
      </c>
      <c r="E21927" t="s">
        <v>803</v>
      </c>
      <c r="F21927" s="2" t="str">
        <f>HYPERLINK("http://www.otzar.org/book.asp?9243","מגן אבות")</f>
        <v>מגן אבות</v>
      </c>
    </row>
    <row r="21928" spans="1:6" x14ac:dyDescent="0.2">
      <c r="A21928" t="s">
        <v>35434</v>
      </c>
      <c r="B21928" t="s">
        <v>2620</v>
      </c>
      <c r="C21928" t="s">
        <v>1721</v>
      </c>
      <c r="D21928" t="s">
        <v>1037</v>
      </c>
      <c r="E21928" t="s">
        <v>84</v>
      </c>
      <c r="F21928" s="2" t="str">
        <f>HYPERLINK("http://www.otzar.org/book.asp?6272","מגן אבות - 4 כר'")</f>
        <v>מגן אבות - 4 כר'</v>
      </c>
    </row>
    <row r="21929" spans="1:6" x14ac:dyDescent="0.2">
      <c r="A21929" t="s">
        <v>35435</v>
      </c>
      <c r="B21929" t="s">
        <v>35436</v>
      </c>
      <c r="C21929" t="s">
        <v>37</v>
      </c>
      <c r="D21929" t="s">
        <v>14</v>
      </c>
      <c r="E21929" t="s">
        <v>148</v>
      </c>
      <c r="F21929" s="2" t="str">
        <f>HYPERLINK("http://www.otzar.org/book.asp?193559","מגן אבות - 2 כר'")</f>
        <v>מגן אבות - 2 כר'</v>
      </c>
    </row>
    <row r="21930" spans="1:6" x14ac:dyDescent="0.2">
      <c r="A21930" t="s">
        <v>35434</v>
      </c>
      <c r="B21930" t="s">
        <v>9963</v>
      </c>
      <c r="C21930" t="s">
        <v>1169</v>
      </c>
      <c r="D21930" t="s">
        <v>9</v>
      </c>
      <c r="E21930" t="s">
        <v>10</v>
      </c>
      <c r="F21930" s="2" t="str">
        <f>HYPERLINK("http://www.otzar.org/book.asp?10904","מגן אבות - 4 כר'")</f>
        <v>מגן אבות - 4 כר'</v>
      </c>
    </row>
    <row r="21931" spans="1:6" x14ac:dyDescent="0.2">
      <c r="A21931" t="s">
        <v>35432</v>
      </c>
      <c r="B21931" t="s">
        <v>10056</v>
      </c>
      <c r="C21931" t="s">
        <v>411</v>
      </c>
      <c r="D21931" t="s">
        <v>1180</v>
      </c>
      <c r="E21931" t="s">
        <v>3055</v>
      </c>
      <c r="F21931" s="2" t="str">
        <f>HYPERLINK("http://www.otzar.org/book.asp?199367","מגן אבות")</f>
        <v>מגן אבות</v>
      </c>
    </row>
    <row r="21932" spans="1:6" x14ac:dyDescent="0.2">
      <c r="A21932" t="s">
        <v>35432</v>
      </c>
      <c r="B21932" t="s">
        <v>35437</v>
      </c>
      <c r="C21932" t="s">
        <v>5823</v>
      </c>
      <c r="D21932" t="s">
        <v>5558</v>
      </c>
      <c r="E21932" t="s">
        <v>104</v>
      </c>
      <c r="F21932" s="2" t="str">
        <f>HYPERLINK("http://www.otzar.org/book.asp?191257","מגן אבות")</f>
        <v>מגן אבות</v>
      </c>
    </row>
    <row r="21933" spans="1:6" x14ac:dyDescent="0.2">
      <c r="A21933" t="s">
        <v>35438</v>
      </c>
      <c r="B21933" t="s">
        <v>29515</v>
      </c>
      <c r="C21933" t="s">
        <v>146</v>
      </c>
      <c r="D21933" t="s">
        <v>52</v>
      </c>
      <c r="E21933" t="s">
        <v>84</v>
      </c>
      <c r="F21933" s="2" t="str">
        <f>HYPERLINK("http://www.otzar.org/book.asp?157687","מגן אבות - (מסכת אבות)")</f>
        <v>מגן אבות - (מסכת אבות)</v>
      </c>
    </row>
    <row r="21934" spans="1:6" x14ac:dyDescent="0.2">
      <c r="A21934" t="s">
        <v>35439</v>
      </c>
      <c r="B21934" t="s">
        <v>35440</v>
      </c>
      <c r="C21934" t="s">
        <v>854</v>
      </c>
      <c r="D21934" t="s">
        <v>4269</v>
      </c>
      <c r="E21934" t="s">
        <v>230</v>
      </c>
      <c r="F21934" s="2" t="str">
        <f>HYPERLINK("http://www.otzar.org/book.asp?444","מגן אבות - 7 כר'")</f>
        <v>מגן אבות - 7 כר'</v>
      </c>
    </row>
    <row r="21935" spans="1:6" x14ac:dyDescent="0.2">
      <c r="A21935" t="s">
        <v>35441</v>
      </c>
      <c r="B21935" t="s">
        <v>35442</v>
      </c>
      <c r="C21935" t="s">
        <v>5709</v>
      </c>
      <c r="D21935" t="s">
        <v>1023</v>
      </c>
      <c r="E21935" t="s">
        <v>35443</v>
      </c>
      <c r="F21935" s="2" t="str">
        <f>HYPERLINK("http://www.otzar.org/book.asp?101032","מגן אברהם &lt;תוספתא&gt;")</f>
        <v>מגן אברהם &lt;תוספתא&gt;</v>
      </c>
    </row>
    <row r="21936" spans="1:6" x14ac:dyDescent="0.2">
      <c r="A21936" t="s">
        <v>35444</v>
      </c>
      <c r="B21936" t="s">
        <v>35445</v>
      </c>
      <c r="C21936" t="s">
        <v>422</v>
      </c>
      <c r="D21936" t="s">
        <v>486</v>
      </c>
      <c r="E21936" t="s">
        <v>148</v>
      </c>
      <c r="F21936" s="2" t="str">
        <f>HYPERLINK("http://www.otzar.org/book.asp?168695","מגן אברהם המבואר")</f>
        <v>מגן אברהם המבואר</v>
      </c>
    </row>
    <row r="21937" spans="1:6" x14ac:dyDescent="0.2">
      <c r="A21937" t="s">
        <v>35446</v>
      </c>
      <c r="B21937" t="s">
        <v>35447</v>
      </c>
      <c r="C21937" t="s">
        <v>395</v>
      </c>
      <c r="D21937" t="s">
        <v>726</v>
      </c>
      <c r="E21937" t="s">
        <v>8570</v>
      </c>
      <c r="F21937" s="2" t="str">
        <f>HYPERLINK("http://www.otzar.org/book.asp?14192","מגן אברהם - 3 כר'")</f>
        <v>מגן אברהם - 3 כר'</v>
      </c>
    </row>
    <row r="21938" spans="1:6" x14ac:dyDescent="0.2">
      <c r="A21938" t="s">
        <v>35448</v>
      </c>
      <c r="B21938" t="s">
        <v>35449</v>
      </c>
      <c r="C21938" t="s">
        <v>1395</v>
      </c>
      <c r="D21938" t="s">
        <v>49</v>
      </c>
      <c r="E21938" t="s">
        <v>234</v>
      </c>
      <c r="F21938" s="2" t="str">
        <f>HYPERLINK("http://www.otzar.org/book.asp?104181","מגן אברהם")</f>
        <v>מגן אברהם</v>
      </c>
    </row>
    <row r="21939" spans="1:6" x14ac:dyDescent="0.2">
      <c r="A21939" t="s">
        <v>35448</v>
      </c>
      <c r="B21939" t="s">
        <v>35450</v>
      </c>
      <c r="C21939" t="s">
        <v>20</v>
      </c>
      <c r="D21939" t="s">
        <v>2347</v>
      </c>
      <c r="E21939" t="s">
        <v>241</v>
      </c>
      <c r="F21939" s="2" t="str">
        <f>HYPERLINK("http://www.otzar.org/book.asp?13512","מגן אברהם")</f>
        <v>מגן אברהם</v>
      </c>
    </row>
    <row r="21940" spans="1:6" x14ac:dyDescent="0.2">
      <c r="A21940" t="s">
        <v>35451</v>
      </c>
      <c r="B21940" t="s">
        <v>35452</v>
      </c>
      <c r="C21940" t="s">
        <v>129</v>
      </c>
      <c r="D21940" t="s">
        <v>115</v>
      </c>
      <c r="F21940" s="2" t="str">
        <f>HYPERLINK("http://www.otzar.org/book.asp?194835","מגן אלהים")</f>
        <v>מגן אלהים</v>
      </c>
    </row>
    <row r="21941" spans="1:6" x14ac:dyDescent="0.2">
      <c r="A21941" t="s">
        <v>35453</v>
      </c>
      <c r="B21941" t="s">
        <v>35454</v>
      </c>
      <c r="C21941" t="s">
        <v>2644</v>
      </c>
      <c r="D21941" t="s">
        <v>27</v>
      </c>
      <c r="E21941" t="s">
        <v>2775</v>
      </c>
      <c r="F21941" s="2" t="str">
        <f>HYPERLINK("http://www.otzar.org/book.asp?153041","מגן בעדי")</f>
        <v>מגן בעדי</v>
      </c>
    </row>
    <row r="21942" spans="1:6" x14ac:dyDescent="0.2">
      <c r="A21942" t="s">
        <v>35455</v>
      </c>
      <c r="B21942" t="s">
        <v>15495</v>
      </c>
      <c r="C21942" t="s">
        <v>2644</v>
      </c>
      <c r="D21942" t="s">
        <v>27</v>
      </c>
      <c r="E21942" t="s">
        <v>172</v>
      </c>
      <c r="F21942" s="2" t="str">
        <f>HYPERLINK("http://www.otzar.org/book.asp?189288","מגן בעדי - ב")</f>
        <v>מגן בעדי - ב</v>
      </c>
    </row>
    <row r="21943" spans="1:6" x14ac:dyDescent="0.2">
      <c r="A21943" t="s">
        <v>35456</v>
      </c>
      <c r="B21943" t="s">
        <v>35457</v>
      </c>
      <c r="C21943" t="s">
        <v>2644</v>
      </c>
      <c r="D21943" t="s">
        <v>27</v>
      </c>
      <c r="E21943" t="s">
        <v>837</v>
      </c>
      <c r="F21943" s="2" t="str">
        <f>HYPERLINK("http://www.otzar.org/book.asp?200138","מגן בעדי - א")</f>
        <v>מגן בעדי - א</v>
      </c>
    </row>
    <row r="21944" spans="1:6" x14ac:dyDescent="0.2">
      <c r="A21944" t="s">
        <v>35458</v>
      </c>
      <c r="B21944" t="s">
        <v>35459</v>
      </c>
      <c r="C21944" t="s">
        <v>282</v>
      </c>
      <c r="D21944" t="s">
        <v>1722</v>
      </c>
      <c r="E21944" t="s">
        <v>172</v>
      </c>
      <c r="F21944" s="2" t="str">
        <f>HYPERLINK("http://www.otzar.org/book.asp?8342","מגן גבורים - 7 כר'")</f>
        <v>מגן גבורים - 7 כר'</v>
      </c>
    </row>
    <row r="21945" spans="1:6" x14ac:dyDescent="0.2">
      <c r="A21945" t="s">
        <v>35460</v>
      </c>
      <c r="B21945" t="s">
        <v>35461</v>
      </c>
      <c r="C21945" t="s">
        <v>2323</v>
      </c>
      <c r="D21945" t="s">
        <v>76</v>
      </c>
      <c r="E21945" t="s">
        <v>154</v>
      </c>
      <c r="F21945" s="2" t="str">
        <f>HYPERLINK("http://www.otzar.org/book.asp?101209","מגן גבורים")</f>
        <v>מגן גבורים</v>
      </c>
    </row>
    <row r="21946" spans="1:6" x14ac:dyDescent="0.2">
      <c r="A21946" t="s">
        <v>35462</v>
      </c>
      <c r="B21946" t="s">
        <v>8510</v>
      </c>
      <c r="C21946" t="s">
        <v>35463</v>
      </c>
      <c r="D21946" t="s">
        <v>212</v>
      </c>
      <c r="E21946" t="s">
        <v>144</v>
      </c>
      <c r="F21946" s="2" t="str">
        <f>HYPERLINK("http://www.otzar.org/book.asp?101208","מגן גבורים - 3 כר'")</f>
        <v>מגן גבורים - 3 כר'</v>
      </c>
    </row>
    <row r="21947" spans="1:6" x14ac:dyDescent="0.2">
      <c r="A21947" t="s">
        <v>35464</v>
      </c>
      <c r="B21947" t="s">
        <v>12288</v>
      </c>
      <c r="C21947" t="s">
        <v>313</v>
      </c>
      <c r="D21947" t="s">
        <v>367</v>
      </c>
      <c r="E21947" t="s">
        <v>158</v>
      </c>
      <c r="F21947" s="2" t="str">
        <f>HYPERLINK("http://www.otzar.org/book.asp?198038","מגן דוד &lt;מהדורה חדשה&gt;")</f>
        <v>מגן דוד &lt;מהדורה חדשה&gt;</v>
      </c>
    </row>
    <row r="21948" spans="1:6" x14ac:dyDescent="0.2">
      <c r="A21948" t="s">
        <v>35465</v>
      </c>
      <c r="B21948" t="s">
        <v>3582</v>
      </c>
      <c r="C21948" t="s">
        <v>13</v>
      </c>
      <c r="D21948" t="s">
        <v>486</v>
      </c>
      <c r="E21948" t="s">
        <v>872</v>
      </c>
      <c r="F21948" s="2" t="str">
        <f>HYPERLINK("http://www.otzar.org/book.asp?154505","מגן דוד - 3 כר'")</f>
        <v>מגן דוד - 3 כר'</v>
      </c>
    </row>
    <row r="21949" spans="1:6" x14ac:dyDescent="0.2">
      <c r="A21949" t="s">
        <v>35466</v>
      </c>
      <c r="B21949" t="s">
        <v>35467</v>
      </c>
      <c r="C21949" t="s">
        <v>35468</v>
      </c>
      <c r="D21949" t="s">
        <v>1490</v>
      </c>
      <c r="F21949" s="2" t="str">
        <f>HYPERLINK("http://www.otzar.org/book.asp?170307","מגן דוד - 2 כר'")</f>
        <v>מגן דוד - 2 כר'</v>
      </c>
    </row>
    <row r="21950" spans="1:6" x14ac:dyDescent="0.2">
      <c r="A21950" t="s">
        <v>35469</v>
      </c>
      <c r="B21950" t="s">
        <v>35470</v>
      </c>
      <c r="C21950" t="s">
        <v>1228</v>
      </c>
      <c r="D21950" t="s">
        <v>283</v>
      </c>
      <c r="E21950" t="s">
        <v>6300</v>
      </c>
      <c r="F21950" s="2" t="str">
        <f>HYPERLINK("http://www.otzar.org/book.asp?105033","מגן דוד")</f>
        <v>מגן דוד</v>
      </c>
    </row>
    <row r="21951" spans="1:6" x14ac:dyDescent="0.2">
      <c r="A21951" t="s">
        <v>35466</v>
      </c>
      <c r="B21951" t="s">
        <v>4303</v>
      </c>
      <c r="C21951" t="s">
        <v>129</v>
      </c>
      <c r="D21951" t="s">
        <v>14</v>
      </c>
      <c r="E21951" t="s">
        <v>104</v>
      </c>
      <c r="F21951" s="2" t="str">
        <f>HYPERLINK("http://www.otzar.org/book.asp?162714","מגן דוד - 2 כר'")</f>
        <v>מגן דוד - 2 כר'</v>
      </c>
    </row>
    <row r="21952" spans="1:6" x14ac:dyDescent="0.2">
      <c r="A21952" t="s">
        <v>35469</v>
      </c>
      <c r="B21952" t="s">
        <v>35471</v>
      </c>
      <c r="C21952" t="s">
        <v>5277</v>
      </c>
      <c r="D21952" t="s">
        <v>744</v>
      </c>
      <c r="E21952" t="s">
        <v>733</v>
      </c>
      <c r="F21952" s="2" t="str">
        <f>HYPERLINK("http://www.otzar.org/book.asp?102045","מגן דוד")</f>
        <v>מגן דוד</v>
      </c>
    </row>
    <row r="21953" spans="1:6" x14ac:dyDescent="0.2">
      <c r="A21953" t="s">
        <v>35469</v>
      </c>
      <c r="B21953" t="s">
        <v>35472</v>
      </c>
      <c r="C21953" t="s">
        <v>3690</v>
      </c>
      <c r="D21953" t="s">
        <v>22873</v>
      </c>
      <c r="E21953" t="s">
        <v>154</v>
      </c>
      <c r="F21953" s="2" t="str">
        <f>HYPERLINK("http://www.otzar.org/book.asp?105873","מגן דוד")</f>
        <v>מגן דוד</v>
      </c>
    </row>
    <row r="21954" spans="1:6" x14ac:dyDescent="0.2">
      <c r="A21954" t="s">
        <v>35469</v>
      </c>
      <c r="B21954" t="s">
        <v>35473</v>
      </c>
      <c r="C21954" t="s">
        <v>35474</v>
      </c>
      <c r="D21954" t="s">
        <v>1117</v>
      </c>
      <c r="E21954" t="s">
        <v>158</v>
      </c>
      <c r="F21954" s="2" t="str">
        <f>HYPERLINK("http://www.otzar.org/book.asp?146716","מגן דוד")</f>
        <v>מגן דוד</v>
      </c>
    </row>
    <row r="21955" spans="1:6" x14ac:dyDescent="0.2">
      <c r="A21955" t="s">
        <v>35475</v>
      </c>
      <c r="B21955" t="s">
        <v>35476</v>
      </c>
      <c r="C21955" t="s">
        <v>8678</v>
      </c>
      <c r="D21955" t="s">
        <v>35477</v>
      </c>
      <c r="E21955" t="s">
        <v>246</v>
      </c>
      <c r="F21955" s="2" t="str">
        <f>HYPERLINK("http://www.otzar.org/book.asp?192206","מגן דוד - פירוש על חד גדיא")</f>
        <v>מגן דוד - פירוש על חד גדיא</v>
      </c>
    </row>
    <row r="21956" spans="1:6" x14ac:dyDescent="0.2">
      <c r="A21956" t="s">
        <v>35469</v>
      </c>
      <c r="B21956" t="s">
        <v>35478</v>
      </c>
      <c r="C21956" t="s">
        <v>915</v>
      </c>
      <c r="D21956" t="s">
        <v>6933</v>
      </c>
      <c r="E21956" t="s">
        <v>1847</v>
      </c>
      <c r="F21956" s="2" t="str">
        <f>HYPERLINK("http://www.otzar.org/book.asp?63834","מגן דוד")</f>
        <v>מגן דוד</v>
      </c>
    </row>
    <row r="21957" spans="1:6" x14ac:dyDescent="0.2">
      <c r="A21957" t="s">
        <v>35469</v>
      </c>
      <c r="B21957" t="s">
        <v>35479</v>
      </c>
      <c r="C21957" t="s">
        <v>1166</v>
      </c>
      <c r="D21957" t="s">
        <v>889</v>
      </c>
      <c r="E21957" t="s">
        <v>786</v>
      </c>
      <c r="F21957" s="2" t="str">
        <f>HYPERLINK("http://www.otzar.org/book.asp?300535","מגן דוד")</f>
        <v>מגן דוד</v>
      </c>
    </row>
    <row r="21958" spans="1:6" x14ac:dyDescent="0.2">
      <c r="A21958" t="s">
        <v>35466</v>
      </c>
      <c r="B21958" t="s">
        <v>21990</v>
      </c>
      <c r="C21958" t="s">
        <v>1885</v>
      </c>
      <c r="D21958" t="s">
        <v>267</v>
      </c>
      <c r="E21958" t="s">
        <v>158</v>
      </c>
      <c r="F21958" s="2" t="str">
        <f>HYPERLINK("http://www.otzar.org/book.asp?189354","מגן דוד - 2 כר'")</f>
        <v>מגן דוד - 2 כר'</v>
      </c>
    </row>
    <row r="21959" spans="1:6" x14ac:dyDescent="0.2">
      <c r="A21959" t="s">
        <v>35469</v>
      </c>
      <c r="B21959" t="s">
        <v>31068</v>
      </c>
      <c r="C21959" t="s">
        <v>11172</v>
      </c>
      <c r="D21959" t="s">
        <v>1023</v>
      </c>
      <c r="E21959" t="s">
        <v>104</v>
      </c>
      <c r="F21959" s="2" t="str">
        <f>HYPERLINK("http://www.otzar.org/book.asp?174364","מגן דוד")</f>
        <v>מגן דוד</v>
      </c>
    </row>
    <row r="21960" spans="1:6" x14ac:dyDescent="0.2">
      <c r="A21960" t="s">
        <v>35466</v>
      </c>
      <c r="B21960" t="s">
        <v>12288</v>
      </c>
      <c r="C21960" t="s">
        <v>1150</v>
      </c>
      <c r="D21960" t="s">
        <v>1419</v>
      </c>
      <c r="E21960" t="s">
        <v>2071</v>
      </c>
      <c r="F21960" s="2" t="str">
        <f>HYPERLINK("http://www.otzar.org/book.asp?153534","מגן דוד - 2 כר'")</f>
        <v>מגן דוד - 2 כר'</v>
      </c>
    </row>
    <row r="21961" spans="1:6" x14ac:dyDescent="0.2">
      <c r="A21961" t="s">
        <v>35469</v>
      </c>
      <c r="B21961" t="s">
        <v>35480</v>
      </c>
      <c r="C21961" t="s">
        <v>1022</v>
      </c>
      <c r="D21961" t="s">
        <v>49</v>
      </c>
      <c r="E21961" t="s">
        <v>15</v>
      </c>
      <c r="F21961" s="2" t="str">
        <f>HYPERLINK("http://www.otzar.org/book.asp?171290","מגן דוד")</f>
        <v>מגן דוד</v>
      </c>
    </row>
    <row r="21962" spans="1:6" x14ac:dyDescent="0.2">
      <c r="A21962" t="s">
        <v>35466</v>
      </c>
      <c r="B21962" t="s">
        <v>35481</v>
      </c>
      <c r="C21962" t="s">
        <v>237</v>
      </c>
      <c r="D21962" t="s">
        <v>6974</v>
      </c>
      <c r="E21962" t="s">
        <v>158</v>
      </c>
      <c r="F21962" s="2" t="str">
        <f>HYPERLINK("http://www.otzar.org/book.asp?163950","מגן דוד - 2 כר'")</f>
        <v>מגן דוד - 2 כר'</v>
      </c>
    </row>
    <row r="21963" spans="1:6" x14ac:dyDescent="0.2">
      <c r="A21963" t="s">
        <v>35482</v>
      </c>
      <c r="B21963" t="s">
        <v>35483</v>
      </c>
      <c r="C21963" t="s">
        <v>946</v>
      </c>
      <c r="D21963" t="s">
        <v>1889</v>
      </c>
      <c r="E21963" t="s">
        <v>13649</v>
      </c>
      <c r="F21963" s="2" t="str">
        <f>HYPERLINK("http://www.otzar.org/book.asp?170989","מגן הדת")</f>
        <v>מגן הדת</v>
      </c>
    </row>
    <row r="21964" spans="1:6" x14ac:dyDescent="0.2">
      <c r="A21964" t="s">
        <v>35484</v>
      </c>
      <c r="B21964" t="s">
        <v>35485</v>
      </c>
      <c r="C21964" t="s">
        <v>854</v>
      </c>
      <c r="D21964" t="s">
        <v>283</v>
      </c>
      <c r="E21964" t="s">
        <v>144</v>
      </c>
      <c r="F21964" s="2" t="str">
        <f>HYPERLINK("http://www.otzar.org/book.asp?189355","מגן התלמוד")</f>
        <v>מגן התלמוד</v>
      </c>
    </row>
    <row r="21965" spans="1:6" x14ac:dyDescent="0.2">
      <c r="A21965" t="s">
        <v>35486</v>
      </c>
      <c r="B21965" t="s">
        <v>3522</v>
      </c>
      <c r="C21965" t="s">
        <v>1721</v>
      </c>
      <c r="D21965" t="s">
        <v>35335</v>
      </c>
      <c r="E21965" t="s">
        <v>35487</v>
      </c>
      <c r="F21965" s="2" t="str">
        <f>HYPERLINK("http://www.otzar.org/book.asp?12798","מגן וצינה - 2 כר'")</f>
        <v>מגן וצינה - 2 כר'</v>
      </c>
    </row>
    <row r="21966" spans="1:6" x14ac:dyDescent="0.2">
      <c r="A21966" t="s">
        <v>35488</v>
      </c>
      <c r="B21966" t="s">
        <v>35489</v>
      </c>
      <c r="C21966" t="s">
        <v>22630</v>
      </c>
      <c r="D21966" t="s">
        <v>52</v>
      </c>
      <c r="E21966" t="s">
        <v>241</v>
      </c>
      <c r="F21966" s="2" t="str">
        <f>HYPERLINK("http://www.otzar.org/book.asp?106081","מגן וצנה")</f>
        <v>מגן וצנה</v>
      </c>
    </row>
    <row r="21967" spans="1:6" x14ac:dyDescent="0.2">
      <c r="A21967" t="s">
        <v>35490</v>
      </c>
      <c r="B21967" t="s">
        <v>8330</v>
      </c>
      <c r="C21967" t="s">
        <v>111</v>
      </c>
      <c r="D21967" t="s">
        <v>90</v>
      </c>
      <c r="E21967" t="s">
        <v>35491</v>
      </c>
      <c r="F21967" s="2" t="str">
        <f>HYPERLINK("http://www.otzar.org/book.asp?628761","מגן ישעך")</f>
        <v>מגן ישעך</v>
      </c>
    </row>
    <row r="21968" spans="1:6" x14ac:dyDescent="0.2">
      <c r="A21968" t="s">
        <v>35492</v>
      </c>
      <c r="B21968" t="s">
        <v>7246</v>
      </c>
      <c r="C21968" t="s">
        <v>17</v>
      </c>
      <c r="D21968" t="s">
        <v>139</v>
      </c>
      <c r="E21968" t="s">
        <v>172</v>
      </c>
      <c r="F21968" s="2" t="str">
        <f>HYPERLINK("http://www.otzar.org/book.asp?61624","מגן ישראל")</f>
        <v>מגן ישראל</v>
      </c>
    </row>
    <row r="21969" spans="1:6" x14ac:dyDescent="0.2">
      <c r="A21969" t="s">
        <v>35493</v>
      </c>
      <c r="B21969" t="s">
        <v>35494</v>
      </c>
      <c r="C21969" t="s">
        <v>20</v>
      </c>
      <c r="D21969" t="s">
        <v>2375</v>
      </c>
      <c r="E21969" t="s">
        <v>786</v>
      </c>
      <c r="F21969" s="2" t="str">
        <f>HYPERLINK("http://www.otzar.org/book.asp?165180","מגן לדוד")</f>
        <v>מגן לדוד</v>
      </c>
    </row>
    <row r="21970" spans="1:6" x14ac:dyDescent="0.2">
      <c r="A21970" t="s">
        <v>35495</v>
      </c>
      <c r="B21970" t="s">
        <v>35496</v>
      </c>
      <c r="C21970" t="s">
        <v>334</v>
      </c>
      <c r="D21970" t="s">
        <v>21</v>
      </c>
      <c r="E21970" t="s">
        <v>104</v>
      </c>
      <c r="F21970" s="2" t="str">
        <f>HYPERLINK("http://www.otzar.org/book.asp?190344","מגן צבי - קדושת הארץ")</f>
        <v>מגן צבי - קדושת הארץ</v>
      </c>
    </row>
    <row r="21971" spans="1:6" x14ac:dyDescent="0.2">
      <c r="A21971" t="s">
        <v>35497</v>
      </c>
      <c r="B21971" t="s">
        <v>14029</v>
      </c>
      <c r="C21971" t="s">
        <v>1177</v>
      </c>
      <c r="D21971" t="s">
        <v>56</v>
      </c>
      <c r="E21971" t="s">
        <v>234</v>
      </c>
      <c r="F21971" s="2" t="str">
        <f>HYPERLINK("http://www.otzar.org/book.asp?189325","מגן שאול")</f>
        <v>מגן שאול</v>
      </c>
    </row>
    <row r="21972" spans="1:6" x14ac:dyDescent="0.2">
      <c r="A21972" t="s">
        <v>35498</v>
      </c>
      <c r="B21972" t="s">
        <v>35499</v>
      </c>
      <c r="C21972" t="s">
        <v>576</v>
      </c>
      <c r="D21972" t="s">
        <v>507</v>
      </c>
      <c r="E21972" t="s">
        <v>144</v>
      </c>
      <c r="F21972" s="2" t="str">
        <f>HYPERLINK("http://www.otzar.org/book.asp?189356","מגן שאול - 2 כר'")</f>
        <v>מגן שאול - 2 כר'</v>
      </c>
    </row>
    <row r="21973" spans="1:6" x14ac:dyDescent="0.2">
      <c r="A21973" t="s">
        <v>35497</v>
      </c>
      <c r="B21973" t="s">
        <v>35500</v>
      </c>
      <c r="C21973" t="s">
        <v>482</v>
      </c>
      <c r="D21973" t="s">
        <v>27</v>
      </c>
      <c r="E21973" t="s">
        <v>144</v>
      </c>
      <c r="F21973" s="2" t="str">
        <f>HYPERLINK("http://www.otzar.org/book.asp?105032","מגן שאול")</f>
        <v>מגן שאול</v>
      </c>
    </row>
    <row r="21974" spans="1:6" x14ac:dyDescent="0.2">
      <c r="A21974" t="s">
        <v>35497</v>
      </c>
      <c r="B21974" t="s">
        <v>35501</v>
      </c>
      <c r="C21974" t="s">
        <v>496</v>
      </c>
      <c r="D21974" t="s">
        <v>691</v>
      </c>
      <c r="E21974" t="s">
        <v>158</v>
      </c>
      <c r="F21974" s="2" t="str">
        <f>HYPERLINK("http://www.otzar.org/book.asp?141075","מגן שאול")</f>
        <v>מגן שאול</v>
      </c>
    </row>
    <row r="21975" spans="1:6" x14ac:dyDescent="0.2">
      <c r="A21975" t="s">
        <v>35497</v>
      </c>
      <c r="B21975" t="s">
        <v>35502</v>
      </c>
      <c r="C21975" t="s">
        <v>7422</v>
      </c>
      <c r="D21975" t="s">
        <v>76</v>
      </c>
      <c r="E21975" t="s">
        <v>154</v>
      </c>
      <c r="F21975" s="2" t="str">
        <f>HYPERLINK("http://www.otzar.org/book.asp?102748","מגן שאול")</f>
        <v>מגן שאול</v>
      </c>
    </row>
    <row r="21976" spans="1:6" x14ac:dyDescent="0.2">
      <c r="A21976" t="s">
        <v>35503</v>
      </c>
      <c r="B21976" t="s">
        <v>25324</v>
      </c>
      <c r="C21976" t="s">
        <v>785</v>
      </c>
      <c r="D21976" t="s">
        <v>5301</v>
      </c>
      <c r="E21976" t="s">
        <v>144</v>
      </c>
      <c r="F21976" s="2" t="str">
        <f>HYPERLINK("http://www.otzar.org/book.asp?168025","מגנזי הגר""ח")</f>
        <v>מגנזי הגר"ח</v>
      </c>
    </row>
    <row r="21977" spans="1:6" x14ac:dyDescent="0.2">
      <c r="A21977" t="s">
        <v>35504</v>
      </c>
      <c r="B21977" t="s">
        <v>35504</v>
      </c>
      <c r="C21977" t="s">
        <v>35505</v>
      </c>
      <c r="D21977" t="s">
        <v>1654</v>
      </c>
      <c r="F21977" s="2" t="str">
        <f>HYPERLINK("http://www.otzar.org/book.asp?620080","מגנזי החסידות")</f>
        <v>מגנזי החסידות</v>
      </c>
    </row>
    <row r="21978" spans="1:6" x14ac:dyDescent="0.2">
      <c r="A21978" t="s">
        <v>35506</v>
      </c>
      <c r="B21978" t="s">
        <v>35507</v>
      </c>
      <c r="C21978" t="s">
        <v>79</v>
      </c>
      <c r="D21978" t="s">
        <v>260</v>
      </c>
      <c r="E21978" t="s">
        <v>733</v>
      </c>
      <c r="F21978" s="2" t="str">
        <f>HYPERLINK("http://www.otzar.org/book.asp?166793","מגנזי היהודים בתימן")</f>
        <v>מגנזי היהודים בתימן</v>
      </c>
    </row>
    <row r="21979" spans="1:6" x14ac:dyDescent="0.2">
      <c r="A21979" t="s">
        <v>35508</v>
      </c>
      <c r="B21979" t="s">
        <v>31600</v>
      </c>
      <c r="C21979" t="s">
        <v>35509</v>
      </c>
      <c r="D21979" t="s">
        <v>90</v>
      </c>
      <c r="F21979" s="2" t="str">
        <f>HYPERLINK("http://www.otzar.org/book.asp?600111","מגנזי הים - גליונות אור השבת")</f>
        <v>מגנזי הים - גליונות אור השבת</v>
      </c>
    </row>
    <row r="21980" spans="1:6" x14ac:dyDescent="0.2">
      <c r="A21980" t="s">
        <v>35510</v>
      </c>
      <c r="B21980" t="s">
        <v>35511</v>
      </c>
      <c r="C21980" t="s">
        <v>609</v>
      </c>
      <c r="D21980" t="s">
        <v>27</v>
      </c>
      <c r="E21980" t="s">
        <v>119</v>
      </c>
      <c r="F21980" s="2" t="str">
        <f>HYPERLINK("http://www.otzar.org/book.asp?189373","מגנזי העבר")</f>
        <v>מגנזי העבר</v>
      </c>
    </row>
    <row r="21981" spans="1:6" x14ac:dyDescent="0.2">
      <c r="A21981" t="s">
        <v>35512</v>
      </c>
      <c r="B21981" t="s">
        <v>35513</v>
      </c>
      <c r="C21981" t="s">
        <v>87</v>
      </c>
      <c r="D21981" t="s">
        <v>14</v>
      </c>
      <c r="E21981" t="s">
        <v>933</v>
      </c>
      <c r="F21981" s="2" t="str">
        <f>HYPERLINK("http://www.otzar.org/book.asp?170749","מגנזי חכמי טבריא &lt;חנא וחסדא - מדרש שמואל&gt;")</f>
        <v>מגנזי חכמי טבריא &lt;חנא וחסדא - מדרש שמואל&gt;</v>
      </c>
    </row>
    <row r="21982" spans="1:6" x14ac:dyDescent="0.2">
      <c r="A21982" t="s">
        <v>35514</v>
      </c>
      <c r="B21982" t="s">
        <v>35515</v>
      </c>
      <c r="C21982" t="s">
        <v>87</v>
      </c>
      <c r="D21982" t="s">
        <v>14</v>
      </c>
      <c r="E21982" t="s">
        <v>674</v>
      </c>
      <c r="F21982" s="2" t="str">
        <f>HYPERLINK("http://www.otzar.org/book.asp?170750","מגנזי חכמי טבריא &lt;מערכות שמואל - מעוז חיי&gt;")</f>
        <v>מגנזי חכמי טבריא &lt;מערכות שמואל - מעוז חיי&gt;</v>
      </c>
    </row>
    <row r="21983" spans="1:6" x14ac:dyDescent="0.2">
      <c r="A21983" t="s">
        <v>35516</v>
      </c>
      <c r="B21983" t="s">
        <v>35517</v>
      </c>
      <c r="C21983" t="s">
        <v>168</v>
      </c>
      <c r="D21983" t="s">
        <v>52</v>
      </c>
      <c r="E21983" t="s">
        <v>154</v>
      </c>
      <c r="F21983" s="2" t="str">
        <f>HYPERLINK("http://www.otzar.org/book.asp?85279","מגנזי חכמי תונס")</f>
        <v>מגנזי חכמי תונס</v>
      </c>
    </row>
    <row r="21984" spans="1:6" x14ac:dyDescent="0.2">
      <c r="A21984" t="s">
        <v>35518</v>
      </c>
      <c r="B21984" t="s">
        <v>732</v>
      </c>
      <c r="C21984" t="s">
        <v>9952</v>
      </c>
      <c r="D21984" t="s">
        <v>27</v>
      </c>
      <c r="E21984" t="s">
        <v>733</v>
      </c>
      <c r="F21984" s="2" t="str">
        <f>HYPERLINK("http://www.otzar.org/book.asp?172244","מגנזי ירושלים - 19 כר'")</f>
        <v>מגנזי ירושלים - 19 כר'</v>
      </c>
    </row>
    <row r="21985" spans="1:6" x14ac:dyDescent="0.2">
      <c r="A21985" t="s">
        <v>35519</v>
      </c>
      <c r="B21985" t="s">
        <v>26306</v>
      </c>
      <c r="C21985" t="s">
        <v>482</v>
      </c>
      <c r="D21985" t="s">
        <v>27</v>
      </c>
      <c r="E21985" t="s">
        <v>104</v>
      </c>
      <c r="F21985" s="2" t="str">
        <f>HYPERLINK("http://www.otzar.org/book.asp?144164","מגנזי ישראל בוואטיקאן")</f>
        <v>מגנזי ישראל בוואטיקאן</v>
      </c>
    </row>
    <row r="21986" spans="1:6" x14ac:dyDescent="0.2">
      <c r="A21986" t="s">
        <v>35520</v>
      </c>
      <c r="B21986" t="s">
        <v>35521</v>
      </c>
      <c r="C21986" t="s">
        <v>1706</v>
      </c>
      <c r="D21986" t="s">
        <v>535</v>
      </c>
      <c r="E21986" t="s">
        <v>104</v>
      </c>
      <c r="F21986" s="2" t="str">
        <f>HYPERLINK("http://www.otzar.org/book.asp?189475","מגנזי ישראל בפריס")</f>
        <v>מגנזי ישראל בפריס</v>
      </c>
    </row>
    <row r="21987" spans="1:6" x14ac:dyDescent="0.2">
      <c r="A21987" t="s">
        <v>35522</v>
      </c>
      <c r="B21987" t="s">
        <v>12183</v>
      </c>
      <c r="C21987" t="s">
        <v>99</v>
      </c>
      <c r="D21987" t="s">
        <v>27</v>
      </c>
      <c r="E21987" t="s">
        <v>35523</v>
      </c>
      <c r="F21987" s="2" t="str">
        <f>HYPERLINK("http://www.otzar.org/book.asp?19211","מגני אברהם")</f>
        <v>מגני אברהם</v>
      </c>
    </row>
    <row r="21988" spans="1:6" x14ac:dyDescent="0.2">
      <c r="A21988" t="s">
        <v>35524</v>
      </c>
      <c r="B21988" t="s">
        <v>31000</v>
      </c>
      <c r="C21988" t="s">
        <v>1150</v>
      </c>
      <c r="D21988" t="s">
        <v>267</v>
      </c>
      <c r="E21988" t="s">
        <v>104</v>
      </c>
      <c r="F21988" s="2" t="str">
        <f>HYPERLINK("http://www.otzar.org/book.asp?146687","מגני ארץ ישראל")</f>
        <v>מגני ארץ ישראל</v>
      </c>
    </row>
    <row r="21989" spans="1:6" x14ac:dyDescent="0.2">
      <c r="A21989" t="s">
        <v>35525</v>
      </c>
      <c r="B21989" t="s">
        <v>35526</v>
      </c>
      <c r="C21989" t="s">
        <v>103</v>
      </c>
      <c r="D21989" t="s">
        <v>486</v>
      </c>
      <c r="E21989" t="s">
        <v>154</v>
      </c>
      <c r="F21989" s="2" t="str">
        <f>HYPERLINK("http://www.otzar.org/book.asp?53237","מדאני אסא - 2 כר'")</f>
        <v>מדאני אסא - 2 כר'</v>
      </c>
    </row>
    <row r="21990" spans="1:6" x14ac:dyDescent="0.2">
      <c r="A21990" t="s">
        <v>35527</v>
      </c>
      <c r="B21990" t="s">
        <v>1387</v>
      </c>
      <c r="C21990" t="s">
        <v>6773</v>
      </c>
      <c r="D21990" t="s">
        <v>49</v>
      </c>
      <c r="E21990" t="s">
        <v>234</v>
      </c>
      <c r="F21990" s="2" t="str">
        <f>HYPERLINK("http://www.otzar.org/book.asp?104220","מדבר יהודה")</f>
        <v>מדבר יהודה</v>
      </c>
    </row>
    <row r="21991" spans="1:6" x14ac:dyDescent="0.2">
      <c r="A21991" t="s">
        <v>35528</v>
      </c>
      <c r="B21991" t="s">
        <v>35529</v>
      </c>
      <c r="C21991" t="s">
        <v>1481</v>
      </c>
      <c r="D21991" t="s">
        <v>35530</v>
      </c>
      <c r="E21991" t="s">
        <v>4738</v>
      </c>
      <c r="F21991" s="2" t="str">
        <f>HYPERLINK("http://www.otzar.org/book.asp?101030","מדבר מתנה א' - 5 כר'")</f>
        <v>מדבר מתנה א' - 5 כר'</v>
      </c>
    </row>
    <row r="21992" spans="1:6" x14ac:dyDescent="0.2">
      <c r="A21992" t="s">
        <v>35531</v>
      </c>
      <c r="B21992" t="s">
        <v>35529</v>
      </c>
      <c r="C21992" t="s">
        <v>1481</v>
      </c>
      <c r="D21992" t="s">
        <v>35530</v>
      </c>
      <c r="E21992" t="s">
        <v>241</v>
      </c>
      <c r="F21992" s="2" t="str">
        <f>HYPERLINK("http://www.otzar.org/book.asp?23699","מדבר מתנה ב' - 4 כר'")</f>
        <v>מדבר מתנה ב' - 4 כר'</v>
      </c>
    </row>
    <row r="21993" spans="1:6" x14ac:dyDescent="0.2">
      <c r="A21993" t="s">
        <v>35532</v>
      </c>
      <c r="B21993" t="s">
        <v>35533</v>
      </c>
      <c r="C21993" t="s">
        <v>7625</v>
      </c>
      <c r="D21993" t="s">
        <v>1833</v>
      </c>
      <c r="E21993" t="s">
        <v>104</v>
      </c>
      <c r="F21993" s="2" t="str">
        <f>HYPERLINK("http://www.otzar.org/book.asp?83770","מדבר סין")</f>
        <v>מדבר סין</v>
      </c>
    </row>
    <row r="21994" spans="1:6" x14ac:dyDescent="0.2">
      <c r="A21994" t="s">
        <v>35534</v>
      </c>
      <c r="B21994" t="s">
        <v>1308</v>
      </c>
      <c r="C21994" t="s">
        <v>843</v>
      </c>
      <c r="D21994" t="s">
        <v>27</v>
      </c>
      <c r="E21994" t="s">
        <v>104</v>
      </c>
      <c r="F21994" s="2" t="str">
        <f>HYPERLINK("http://www.otzar.org/book.asp?50795","מדבר קדמות - 3 כר'")</f>
        <v>מדבר קדמות - 3 כר'</v>
      </c>
    </row>
    <row r="21995" spans="1:6" x14ac:dyDescent="0.2">
      <c r="A21995" t="s">
        <v>35535</v>
      </c>
      <c r="B21995" t="s">
        <v>35536</v>
      </c>
      <c r="C21995" t="s">
        <v>106</v>
      </c>
      <c r="D21995" t="s">
        <v>14</v>
      </c>
      <c r="E21995" t="s">
        <v>3055</v>
      </c>
      <c r="F21995" s="2" t="str">
        <f>HYPERLINK("http://www.otzar.org/book.asp?164286","מדבר קדש - 2 כר'")</f>
        <v>מדבר קדש - 2 כר'</v>
      </c>
    </row>
    <row r="21996" spans="1:6" x14ac:dyDescent="0.2">
      <c r="A21996" t="s">
        <v>35537</v>
      </c>
      <c r="B21996" t="s">
        <v>1469</v>
      </c>
      <c r="C21996" t="s">
        <v>466</v>
      </c>
      <c r="D21996" t="s">
        <v>14</v>
      </c>
      <c r="E21996" t="s">
        <v>234</v>
      </c>
      <c r="F21996" s="2" t="str">
        <f>HYPERLINK("http://www.otzar.org/book.asp?150711","מדבר שור")</f>
        <v>מדבר שור</v>
      </c>
    </row>
    <row r="21997" spans="1:6" x14ac:dyDescent="0.2">
      <c r="A21997" t="s">
        <v>35538</v>
      </c>
      <c r="B21997" t="s">
        <v>206</v>
      </c>
      <c r="C21997" t="s">
        <v>244</v>
      </c>
      <c r="D21997" t="s">
        <v>80</v>
      </c>
      <c r="F21997" s="2" t="str">
        <f>HYPERLINK("http://www.otzar.org/book.asp?195814","מדבש לפי (מהדורת ביקורת)")</f>
        <v>מדבש לפי (מהדורת ביקורת)</v>
      </c>
    </row>
    <row r="21998" spans="1:6" x14ac:dyDescent="0.2">
      <c r="A21998" t="s">
        <v>35539</v>
      </c>
      <c r="B21998" t="s">
        <v>2530</v>
      </c>
      <c r="C21998" t="s">
        <v>129</v>
      </c>
      <c r="D21998" t="s">
        <v>2531</v>
      </c>
      <c r="E21998" t="s">
        <v>241</v>
      </c>
      <c r="F21998" s="2" t="str">
        <f>HYPERLINK("http://www.otzar.org/book.asp?85566","מדה כנגד מדה")</f>
        <v>מדה כנגד מדה</v>
      </c>
    </row>
    <row r="21999" spans="1:6" x14ac:dyDescent="0.2">
      <c r="A21999" t="s">
        <v>35540</v>
      </c>
      <c r="B21999" t="s">
        <v>35541</v>
      </c>
      <c r="C21999" t="s">
        <v>23</v>
      </c>
      <c r="D21999" t="s">
        <v>646</v>
      </c>
      <c r="E21999" t="s">
        <v>104</v>
      </c>
      <c r="F21999" s="2" t="str">
        <f>HYPERLINK("http://www.otzar.org/book.asp?196143","מדו בד - 2 כר'")</f>
        <v>מדו בד - 2 כר'</v>
      </c>
    </row>
    <row r="22000" spans="1:6" x14ac:dyDescent="0.2">
      <c r="A22000" t="s">
        <v>35542</v>
      </c>
      <c r="B22000" t="s">
        <v>35543</v>
      </c>
      <c r="C22000" t="s">
        <v>20</v>
      </c>
      <c r="D22000" t="s">
        <v>273</v>
      </c>
      <c r="E22000" t="s">
        <v>27733</v>
      </c>
      <c r="F22000" s="2" t="str">
        <f>HYPERLINK("http://www.otzar.org/book.asp?148855","מדוע סבא שלנו צעיר")</f>
        <v>מדוע סבא שלנו צעיר</v>
      </c>
    </row>
    <row r="22001" spans="1:6" x14ac:dyDescent="0.2">
      <c r="A22001" t="s">
        <v>35544</v>
      </c>
      <c r="B22001" t="s">
        <v>35545</v>
      </c>
      <c r="C22001" t="s">
        <v>1160</v>
      </c>
      <c r="D22001" t="s">
        <v>216</v>
      </c>
      <c r="E22001" t="s">
        <v>733</v>
      </c>
      <c r="F22001" s="2" t="str">
        <f>HYPERLINK("http://www.otzar.org/book.asp?144242","מדור אל דור")</f>
        <v>מדור אל דור</v>
      </c>
    </row>
    <row r="22002" spans="1:6" x14ac:dyDescent="0.2">
      <c r="A22002" t="s">
        <v>35544</v>
      </c>
      <c r="B22002" t="s">
        <v>35546</v>
      </c>
      <c r="C22002" t="s">
        <v>624</v>
      </c>
      <c r="D22002" t="s">
        <v>35547</v>
      </c>
      <c r="E22002" t="s">
        <v>104</v>
      </c>
      <c r="F22002" s="2" t="str">
        <f>HYPERLINK("http://www.otzar.org/book.asp?191279","מדור אל דור")</f>
        <v>מדור אל דור</v>
      </c>
    </row>
    <row r="22003" spans="1:6" x14ac:dyDescent="0.2">
      <c r="A22003" t="s">
        <v>35548</v>
      </c>
      <c r="B22003" t="s">
        <v>35549</v>
      </c>
      <c r="C22003" t="s">
        <v>989</v>
      </c>
      <c r="D22003" t="s">
        <v>412</v>
      </c>
      <c r="E22003" t="s">
        <v>119</v>
      </c>
      <c r="F22003" s="2" t="str">
        <f>HYPERLINK("http://www.otzar.org/book.asp?172369","מדור דור")</f>
        <v>מדור דור</v>
      </c>
    </row>
    <row r="22004" spans="1:6" x14ac:dyDescent="0.2">
      <c r="A22004" t="s">
        <v>35550</v>
      </c>
      <c r="B22004" t="s">
        <v>35551</v>
      </c>
      <c r="C22004" t="s">
        <v>422</v>
      </c>
      <c r="D22004" t="s">
        <v>52</v>
      </c>
      <c r="E22004" t="s">
        <v>2071</v>
      </c>
      <c r="F22004" s="2" t="str">
        <f>HYPERLINK("http://www.otzar.org/book.asp?173967","מדור לדור")</f>
        <v>מדור לדור</v>
      </c>
    </row>
    <row r="22005" spans="1:6" x14ac:dyDescent="0.2">
      <c r="A22005" t="s">
        <v>35552</v>
      </c>
      <c r="B22005" t="s">
        <v>35553</v>
      </c>
      <c r="C22005" t="s">
        <v>576</v>
      </c>
      <c r="D22005" t="s">
        <v>9</v>
      </c>
      <c r="E22005" t="s">
        <v>84</v>
      </c>
      <c r="F22005" s="2" t="str">
        <f>HYPERLINK("http://www.otzar.org/book.asp?51684","מדות הבתים")</f>
        <v>מדות הבתים</v>
      </c>
    </row>
    <row r="22006" spans="1:6" x14ac:dyDescent="0.2">
      <c r="A22006" t="s">
        <v>35554</v>
      </c>
      <c r="B22006" t="s">
        <v>16317</v>
      </c>
      <c r="C22006" t="s">
        <v>168</v>
      </c>
      <c r="D22006" t="s">
        <v>52</v>
      </c>
      <c r="E22006" t="s">
        <v>119</v>
      </c>
      <c r="F22006" s="2" t="str">
        <f>HYPERLINK("http://www.otzar.org/book.asp?162211","מדות הרחמים")</f>
        <v>מדות הרחמים</v>
      </c>
    </row>
    <row r="22007" spans="1:6" x14ac:dyDescent="0.2">
      <c r="A22007" t="s">
        <v>35555</v>
      </c>
      <c r="B22007" t="s">
        <v>35556</v>
      </c>
      <c r="C22007" t="s">
        <v>617</v>
      </c>
      <c r="D22007" t="s">
        <v>4269</v>
      </c>
      <c r="E22007" t="s">
        <v>158</v>
      </c>
      <c r="F22007" s="2" t="str">
        <f>HYPERLINK("http://www.otzar.org/book.asp?172697","מדות התורה")</f>
        <v>מדות התורה</v>
      </c>
    </row>
    <row r="22008" spans="1:6" x14ac:dyDescent="0.2">
      <c r="A22008" t="s">
        <v>35557</v>
      </c>
      <c r="B22008" t="s">
        <v>1091</v>
      </c>
      <c r="C22008" t="s">
        <v>23</v>
      </c>
      <c r="D22008" t="s">
        <v>21</v>
      </c>
      <c r="E22008" t="s">
        <v>241</v>
      </c>
      <c r="F22008" s="2" t="str">
        <f>HYPERLINK("http://www.otzar.org/book.asp?605666","מדות והנהגות טובות")</f>
        <v>מדות והנהגות טובות</v>
      </c>
    </row>
    <row r="22009" spans="1:6" x14ac:dyDescent="0.2">
      <c r="A22009" t="s">
        <v>35558</v>
      </c>
      <c r="B22009" t="s">
        <v>1614</v>
      </c>
      <c r="C22009" t="s">
        <v>114</v>
      </c>
      <c r="D22009" t="s">
        <v>14</v>
      </c>
      <c r="E22009" t="s">
        <v>241</v>
      </c>
      <c r="F22009" s="2" t="str">
        <f>HYPERLINK("http://www.otzar.org/book.asp?160716","מדות ומעשים - 2 כר'")</f>
        <v>מדות ומעשים - 2 כר'</v>
      </c>
    </row>
    <row r="22010" spans="1:6" x14ac:dyDescent="0.2">
      <c r="A22010" t="s">
        <v>35559</v>
      </c>
      <c r="B22010" t="s">
        <v>28684</v>
      </c>
      <c r="C22010" t="s">
        <v>168</v>
      </c>
      <c r="D22010" t="s">
        <v>14</v>
      </c>
      <c r="E22010" t="s">
        <v>104</v>
      </c>
      <c r="F22010" s="2" t="str">
        <f>HYPERLINK("http://www.otzar.org/book.asp?8268","מדות ומשקלות של התורה")</f>
        <v>מדות ומשקלות של התורה</v>
      </c>
    </row>
    <row r="22011" spans="1:6" x14ac:dyDescent="0.2">
      <c r="A22011" t="s">
        <v>35560</v>
      </c>
      <c r="B22011" t="s">
        <v>35561</v>
      </c>
      <c r="C22011" t="s">
        <v>313</v>
      </c>
      <c r="D22011" t="s">
        <v>52</v>
      </c>
      <c r="E22011" t="s">
        <v>104</v>
      </c>
      <c r="F22011" s="2" t="str">
        <f>HYPERLINK("http://www.otzar.org/book.asp?52549","מדות ושיעורי תורה")</f>
        <v>מדות ושיעורי תורה</v>
      </c>
    </row>
    <row r="22012" spans="1:6" x14ac:dyDescent="0.2">
      <c r="A22012" t="s">
        <v>35562</v>
      </c>
      <c r="B22012" t="s">
        <v>35563</v>
      </c>
      <c r="C22012" t="s">
        <v>767</v>
      </c>
      <c r="D22012" t="s">
        <v>14</v>
      </c>
      <c r="E22012" t="s">
        <v>104</v>
      </c>
      <c r="F22012" s="2" t="str">
        <f>HYPERLINK("http://www.otzar.org/book.asp?159680","מדות חן")</f>
        <v>מדות חן</v>
      </c>
    </row>
    <row r="22013" spans="1:6" x14ac:dyDescent="0.2">
      <c r="A22013" t="s">
        <v>35564</v>
      </c>
      <c r="B22013" t="s">
        <v>1809</v>
      </c>
      <c r="C22013" t="s">
        <v>576</v>
      </c>
      <c r="D22013" t="s">
        <v>27</v>
      </c>
      <c r="E22013" t="s">
        <v>104</v>
      </c>
      <c r="F22013" s="2" t="str">
        <f>HYPERLINK("http://www.otzar.org/book.asp?101100","מדות רשב""י")</f>
        <v>מדות רשב"י</v>
      </c>
    </row>
    <row r="22014" spans="1:6" x14ac:dyDescent="0.2">
      <c r="A22014" t="s">
        <v>35565</v>
      </c>
      <c r="B22014" t="s">
        <v>35566</v>
      </c>
      <c r="C22014" t="s">
        <v>37</v>
      </c>
      <c r="D22014" t="s">
        <v>152</v>
      </c>
      <c r="F22014" s="2" t="str">
        <f>HYPERLINK("http://www.otzar.org/book.asp?610224","מדי דברי")</f>
        <v>מדי דברי</v>
      </c>
    </row>
    <row r="22015" spans="1:6" x14ac:dyDescent="0.2">
      <c r="A22015" t="s">
        <v>35567</v>
      </c>
      <c r="B22015" t="s">
        <v>28566</v>
      </c>
      <c r="C22015" t="s">
        <v>51</v>
      </c>
      <c r="D22015" t="s">
        <v>14</v>
      </c>
      <c r="E22015" t="s">
        <v>579</v>
      </c>
      <c r="F22015" s="2" t="str">
        <f>HYPERLINK("http://www.otzar.org/book.asp?64268","מדי שבת בשבתו - צחות הלשון")</f>
        <v>מדי שבת בשבתו - צחות הלשון</v>
      </c>
    </row>
    <row r="22016" spans="1:6" x14ac:dyDescent="0.2">
      <c r="A22016" t="s">
        <v>35568</v>
      </c>
      <c r="B22016" t="s">
        <v>35569</v>
      </c>
      <c r="C22016" t="s">
        <v>143</v>
      </c>
      <c r="D22016" t="s">
        <v>216</v>
      </c>
      <c r="E22016" t="s">
        <v>579</v>
      </c>
      <c r="F22016" s="2" t="str">
        <f>HYPERLINK("http://www.otzar.org/book.asp?148812","מדי שבת בשבתו - 2 כר'")</f>
        <v>מדי שבת בשבתו - 2 כר'</v>
      </c>
    </row>
    <row r="22017" spans="1:6" x14ac:dyDescent="0.2">
      <c r="A22017" t="s">
        <v>35570</v>
      </c>
      <c r="B22017" t="s">
        <v>35571</v>
      </c>
      <c r="C22017" t="s">
        <v>37</v>
      </c>
      <c r="D22017" t="s">
        <v>14</v>
      </c>
      <c r="E22017" t="s">
        <v>158</v>
      </c>
      <c r="F22017" s="2" t="str">
        <f>HYPERLINK("http://www.otzar.org/book.asp?172193","מדי שבת - 3 כר'")</f>
        <v>מדי שבת - 3 כר'</v>
      </c>
    </row>
    <row r="22018" spans="1:6" x14ac:dyDescent="0.2">
      <c r="A22018" t="s">
        <v>35572</v>
      </c>
      <c r="B22018" t="s">
        <v>7046</v>
      </c>
      <c r="C22018" t="s">
        <v>438</v>
      </c>
      <c r="D22018" t="s">
        <v>14</v>
      </c>
      <c r="E22018" t="s">
        <v>733</v>
      </c>
      <c r="F22018" s="2" t="str">
        <f>HYPERLINK("http://www.otzar.org/book.asp?15432","מדמויות ירושלים")</f>
        <v>מדמויות ירושלים</v>
      </c>
    </row>
    <row r="22019" spans="1:6" x14ac:dyDescent="0.2">
      <c r="A22019" t="s">
        <v>35573</v>
      </c>
      <c r="B22019" t="s">
        <v>1320</v>
      </c>
      <c r="C22019" t="s">
        <v>35574</v>
      </c>
      <c r="D22019" t="s">
        <v>28920</v>
      </c>
      <c r="F22019" s="2" t="str">
        <f>HYPERLINK("http://www.otzar.org/book.asp?614529","מדע אהבה זמנים")</f>
        <v>מדע אהבה זמנים</v>
      </c>
    </row>
    <row r="22020" spans="1:6" x14ac:dyDescent="0.2">
      <c r="A22020" t="s">
        <v>35575</v>
      </c>
      <c r="B22020" t="s">
        <v>35576</v>
      </c>
      <c r="C22020" t="s">
        <v>1169</v>
      </c>
      <c r="D22020" t="s">
        <v>9</v>
      </c>
      <c r="E22020" t="s">
        <v>104</v>
      </c>
      <c r="F22020" s="2" t="str">
        <f>HYPERLINK("http://www.otzar.org/book.asp?168042","מדע הרפוי בתימן")</f>
        <v>מדע הרפוי בתימן</v>
      </c>
    </row>
    <row r="22021" spans="1:6" x14ac:dyDescent="0.2">
      <c r="A22021" t="s">
        <v>35577</v>
      </c>
      <c r="B22021" t="s">
        <v>34478</v>
      </c>
      <c r="C22021" t="s">
        <v>51</v>
      </c>
      <c r="D22021" t="s">
        <v>14</v>
      </c>
      <c r="E22021" t="s">
        <v>241</v>
      </c>
      <c r="F22021" s="2" t="str">
        <f>HYPERLINK("http://www.otzar.org/book.asp?170463","מדרגת האדם &lt;מהדורה חדשה&gt;")</f>
        <v>מדרגת האדם &lt;מהדורה חדשה&gt;</v>
      </c>
    </row>
    <row r="22022" spans="1:6" x14ac:dyDescent="0.2">
      <c r="A22022" t="s">
        <v>35578</v>
      </c>
      <c r="B22022" t="s">
        <v>34478</v>
      </c>
      <c r="C22022" t="s">
        <v>649</v>
      </c>
      <c r="D22022" t="s">
        <v>225</v>
      </c>
      <c r="E22022" t="s">
        <v>6305</v>
      </c>
      <c r="F22022" s="2" t="str">
        <f>HYPERLINK("http://www.otzar.org/book.asp?103362","מדרגת האדם בבקשת השלימות")</f>
        <v>מדרגת האדם בבקשת השלימות</v>
      </c>
    </row>
    <row r="22023" spans="1:6" x14ac:dyDescent="0.2">
      <c r="A22023" t="s">
        <v>35579</v>
      </c>
      <c r="B22023" t="s">
        <v>34478</v>
      </c>
      <c r="C22023" t="s">
        <v>649</v>
      </c>
      <c r="D22023" t="s">
        <v>225</v>
      </c>
      <c r="E22023" t="s">
        <v>6305</v>
      </c>
      <c r="F22023" s="2" t="str">
        <f>HYPERLINK("http://www.otzar.org/book.asp?103361","מדרגת האדם בדרכי החיים")</f>
        <v>מדרגת האדם בדרכי החיים</v>
      </c>
    </row>
    <row r="22024" spans="1:6" x14ac:dyDescent="0.2">
      <c r="A22024" t="s">
        <v>35580</v>
      </c>
      <c r="B22024" t="s">
        <v>34478</v>
      </c>
      <c r="C22024" t="s">
        <v>725</v>
      </c>
      <c r="D22024" t="s">
        <v>3208</v>
      </c>
      <c r="E22024" t="s">
        <v>241</v>
      </c>
      <c r="F22024" s="2" t="str">
        <f>HYPERLINK("http://www.otzar.org/book.asp?626476","מדרגת האדם בדרכי התשובה")</f>
        <v>מדרגת האדם בדרכי התשובה</v>
      </c>
    </row>
    <row r="22025" spans="1:6" x14ac:dyDescent="0.2">
      <c r="A22025" t="s">
        <v>35581</v>
      </c>
      <c r="B22025" t="s">
        <v>34478</v>
      </c>
      <c r="C22025" t="s">
        <v>649</v>
      </c>
      <c r="D22025" t="s">
        <v>225</v>
      </c>
      <c r="E22025" t="s">
        <v>6305</v>
      </c>
      <c r="F22025" s="2" t="str">
        <f>HYPERLINK("http://www.otzar.org/book.asp?103363","מדרגת האדם ביראה ואהבה")</f>
        <v>מדרגת האדם ביראה ואהבה</v>
      </c>
    </row>
    <row r="22026" spans="1:6" x14ac:dyDescent="0.2">
      <c r="A22026" t="s">
        <v>35582</v>
      </c>
      <c r="B22026" t="s">
        <v>34478</v>
      </c>
      <c r="C22026" t="s">
        <v>649</v>
      </c>
      <c r="D22026" t="s">
        <v>225</v>
      </c>
      <c r="E22026" t="s">
        <v>6305</v>
      </c>
      <c r="F22026" s="2" t="str">
        <f>HYPERLINK("http://www.otzar.org/book.asp?103360","מדרגת האדם בנקודת האמת")</f>
        <v>מדרגת האדם בנקודת האמת</v>
      </c>
    </row>
    <row r="22027" spans="1:6" x14ac:dyDescent="0.2">
      <c r="A22027" t="s">
        <v>35583</v>
      </c>
      <c r="B22027" t="s">
        <v>34478</v>
      </c>
      <c r="C22027" t="s">
        <v>649</v>
      </c>
      <c r="D22027" t="s">
        <v>225</v>
      </c>
      <c r="E22027" t="s">
        <v>6305</v>
      </c>
      <c r="F22027" s="2" t="str">
        <f>HYPERLINK("http://www.otzar.org/book.asp?103359","מדרגת האדם בתקופת העולם")</f>
        <v>מדרגת האדם בתקופת העולם</v>
      </c>
    </row>
    <row r="22028" spans="1:6" x14ac:dyDescent="0.2">
      <c r="A22028" t="s">
        <v>35584</v>
      </c>
      <c r="B22028" t="s">
        <v>34478</v>
      </c>
      <c r="C22028" t="s">
        <v>160</v>
      </c>
      <c r="D22028" t="s">
        <v>9</v>
      </c>
      <c r="E22028" t="s">
        <v>241</v>
      </c>
      <c r="F22028" s="2" t="str">
        <f>HYPERLINK("http://www.otzar.org/book.asp?145223","מדרגת האדם")</f>
        <v>מדרגת האדם</v>
      </c>
    </row>
    <row r="22029" spans="1:6" x14ac:dyDescent="0.2">
      <c r="A22029" t="s">
        <v>35585</v>
      </c>
      <c r="B22029" t="s">
        <v>35586</v>
      </c>
      <c r="C22029" t="s">
        <v>35587</v>
      </c>
      <c r="E22029" t="s">
        <v>104</v>
      </c>
      <c r="F22029" s="2" t="str">
        <f>HYPERLINK("http://www.otzar.org/book.asp?191210","מדריך הכשרות  (ארה""ב) - 4 כר'")</f>
        <v>מדריך הכשרות  (ארה"ב) - 4 כר'</v>
      </c>
    </row>
    <row r="22030" spans="1:6" x14ac:dyDescent="0.2">
      <c r="A22030" t="s">
        <v>35588</v>
      </c>
      <c r="B22030" t="s">
        <v>31550</v>
      </c>
      <c r="C22030" t="s">
        <v>133</v>
      </c>
      <c r="D22030" t="s">
        <v>21</v>
      </c>
      <c r="E22030" t="s">
        <v>674</v>
      </c>
      <c r="F22030" s="2" t="str">
        <f>HYPERLINK("http://www.otzar.org/book.asp?600180","מדריך הכשרות המעשי")</f>
        <v>מדריך הכשרות המעשי</v>
      </c>
    </row>
    <row r="22031" spans="1:6" x14ac:dyDescent="0.2">
      <c r="A22031" t="s">
        <v>35589</v>
      </c>
      <c r="B22031" t="s">
        <v>35590</v>
      </c>
      <c r="C22031" t="s">
        <v>313</v>
      </c>
      <c r="D22031" t="s">
        <v>21</v>
      </c>
      <c r="E22031" t="s">
        <v>674</v>
      </c>
      <c r="F22031" s="2" t="str">
        <f>HYPERLINK("http://www.otzar.org/book.asp?197765","מדריך הכשרות - תש""ס")</f>
        <v>מדריך הכשרות - תש"ס</v>
      </c>
    </row>
    <row r="22032" spans="1:6" x14ac:dyDescent="0.2">
      <c r="A22032" t="s">
        <v>35591</v>
      </c>
      <c r="B22032" t="s">
        <v>35592</v>
      </c>
      <c r="C22032" t="s">
        <v>13</v>
      </c>
      <c r="D22032" t="s">
        <v>14</v>
      </c>
      <c r="F22032" s="2" t="str">
        <f>HYPERLINK("http://www.otzar.org/book.asp?165884","מדריך הכשרות - 30 כר'")</f>
        <v>מדריך הכשרות - 30 כר'</v>
      </c>
    </row>
    <row r="22033" spans="1:6" x14ac:dyDescent="0.2">
      <c r="A22033" t="s">
        <v>35593</v>
      </c>
      <c r="B22033" t="s">
        <v>26204</v>
      </c>
      <c r="C22033" t="s">
        <v>124</v>
      </c>
      <c r="D22033" t="s">
        <v>14</v>
      </c>
      <c r="F22033" s="2" t="str">
        <f>HYPERLINK("http://www.otzar.org/book.asp?610966","מדריך הלכתי לאחיות בבתי חולים")</f>
        <v>מדריך הלכתי לאחיות בבתי חולים</v>
      </c>
    </row>
    <row r="22034" spans="1:6" x14ac:dyDescent="0.2">
      <c r="A22034" t="s">
        <v>35594</v>
      </c>
      <c r="B22034" t="s">
        <v>35595</v>
      </c>
      <c r="C22034" t="s">
        <v>1268</v>
      </c>
      <c r="D22034" t="s">
        <v>14</v>
      </c>
      <c r="E22034" t="s">
        <v>15</v>
      </c>
      <c r="F22034" s="2" t="str">
        <f>HYPERLINK("http://www.otzar.org/book.asp?623667","מדריך כשרות פסח תשמ""א ולכל ימות השנה")</f>
        <v>מדריך כשרות פסח תשמ"א ולכל ימות השנה</v>
      </c>
    </row>
    <row r="22035" spans="1:6" x14ac:dyDescent="0.2">
      <c r="A22035" t="s">
        <v>35596</v>
      </c>
      <c r="B22035" t="s">
        <v>35595</v>
      </c>
      <c r="C22035" t="s">
        <v>189</v>
      </c>
      <c r="D22035" t="s">
        <v>14</v>
      </c>
      <c r="E22035" t="s">
        <v>674</v>
      </c>
      <c r="F22035" s="2" t="str">
        <f>HYPERLINK("http://www.otzar.org/book.asp?606253","מדריך כשרות פסח תשס""ה ולכל ימות השנה")</f>
        <v>מדריך כשרות פסח תשס"ה ולכל ימות השנה</v>
      </c>
    </row>
    <row r="22036" spans="1:6" x14ac:dyDescent="0.2">
      <c r="A22036" t="s">
        <v>35597</v>
      </c>
      <c r="B22036" t="s">
        <v>35595</v>
      </c>
      <c r="C22036" t="s">
        <v>23</v>
      </c>
      <c r="D22036" t="s">
        <v>14</v>
      </c>
      <c r="F22036" s="2" t="str">
        <f>HYPERLINK("http://www.otzar.org/book.asp?606254","מדריך כשרות פסח תשע""ה ולכל ימות השנה")</f>
        <v>מדריך כשרות פסח תשע"ה ולכל ימות השנה</v>
      </c>
    </row>
    <row r="22037" spans="1:6" x14ac:dyDescent="0.2">
      <c r="A22037" t="s">
        <v>35598</v>
      </c>
      <c r="B22037" t="s">
        <v>35599</v>
      </c>
      <c r="D22037" t="s">
        <v>412</v>
      </c>
      <c r="E22037" t="s">
        <v>246</v>
      </c>
      <c r="F22037" s="2" t="str">
        <f>HYPERLINK("http://www.otzar.org/book.asp?194113","מדריך לארבעה מינים מהודרים")</f>
        <v>מדריך לארבעה מינים מהודרים</v>
      </c>
    </row>
    <row r="22038" spans="1:6" x14ac:dyDescent="0.2">
      <c r="A22038" t="s">
        <v>35600</v>
      </c>
      <c r="B22038" t="s">
        <v>107</v>
      </c>
      <c r="C22038" t="s">
        <v>419</v>
      </c>
      <c r="D22038" t="s">
        <v>14</v>
      </c>
      <c r="E22038" t="s">
        <v>15</v>
      </c>
      <c r="F22038" s="2" t="str">
        <f>HYPERLINK("http://www.otzar.org/book.asp?84444","מדריך לגר")</f>
        <v>מדריך לגר</v>
      </c>
    </row>
    <row r="22039" spans="1:6" x14ac:dyDescent="0.2">
      <c r="A22039" t="s">
        <v>35601</v>
      </c>
      <c r="B22039" t="s">
        <v>15469</v>
      </c>
      <c r="C22039" t="s">
        <v>989</v>
      </c>
      <c r="D22039" t="s">
        <v>14</v>
      </c>
      <c r="E22039" t="s">
        <v>15</v>
      </c>
      <c r="F22039" s="2" t="str">
        <f>HYPERLINK("http://www.otzar.org/book.asp?615793","מדריך להלכות טרפות - 2 כר'")</f>
        <v>מדריך להלכות טרפות - 2 כר'</v>
      </c>
    </row>
    <row r="22040" spans="1:6" x14ac:dyDescent="0.2">
      <c r="A22040" t="s">
        <v>35602</v>
      </c>
      <c r="B22040" t="s">
        <v>15469</v>
      </c>
      <c r="C22040" t="s">
        <v>180</v>
      </c>
      <c r="D22040" t="s">
        <v>14</v>
      </c>
      <c r="E22040" t="s">
        <v>15</v>
      </c>
      <c r="F22040" s="2" t="str">
        <f>HYPERLINK("http://www.otzar.org/book.asp?616205","מדריך להלכות ניקור")</f>
        <v>מדריך להלכות ניקור</v>
      </c>
    </row>
    <row r="22041" spans="1:6" x14ac:dyDescent="0.2">
      <c r="A22041" t="s">
        <v>35603</v>
      </c>
      <c r="B22041" t="s">
        <v>107</v>
      </c>
      <c r="C22041" t="s">
        <v>466</v>
      </c>
      <c r="D22041" t="s">
        <v>14</v>
      </c>
      <c r="E22041" t="s">
        <v>15</v>
      </c>
      <c r="F22041" s="2" t="str">
        <f>HYPERLINK("http://www.otzar.org/book.asp?164063","מדריך לחייל היהודי - 2 כר'")</f>
        <v>מדריך לחייל היהודי - 2 כר'</v>
      </c>
    </row>
    <row r="22042" spans="1:6" x14ac:dyDescent="0.2">
      <c r="A22042" t="s">
        <v>35604</v>
      </c>
      <c r="B22042" t="s">
        <v>1604</v>
      </c>
      <c r="C22042" t="s">
        <v>553</v>
      </c>
      <c r="D22042" t="s">
        <v>14</v>
      </c>
      <c r="E22042" t="s">
        <v>674</v>
      </c>
      <c r="F22042" s="2" t="str">
        <f>HYPERLINK("http://www.otzar.org/book.asp?606657","מדריך לכלה")</f>
        <v>מדריך לכלה</v>
      </c>
    </row>
    <row r="22043" spans="1:6" x14ac:dyDescent="0.2">
      <c r="A22043" t="s">
        <v>35605</v>
      </c>
      <c r="B22043" t="s">
        <v>7036</v>
      </c>
      <c r="C22043" t="s">
        <v>466</v>
      </c>
      <c r="D22043" t="s">
        <v>14</v>
      </c>
      <c r="E22043" t="s">
        <v>15</v>
      </c>
      <c r="F22043" s="2" t="str">
        <f>HYPERLINK("http://www.otzar.org/book.asp?60984","מדריך לכשרות המזון")</f>
        <v>מדריך לכשרות המזון</v>
      </c>
    </row>
    <row r="22044" spans="1:6" x14ac:dyDescent="0.2">
      <c r="A22044" t="s">
        <v>35606</v>
      </c>
      <c r="B22044" t="s">
        <v>20147</v>
      </c>
      <c r="C22044" t="s">
        <v>334</v>
      </c>
      <c r="D22044" t="s">
        <v>216</v>
      </c>
      <c r="E22044" t="s">
        <v>15</v>
      </c>
      <c r="F22044" s="2" t="str">
        <f>HYPERLINK("http://www.otzar.org/book.asp?177091","מדריך למורה ללימוד טעמי המקרא לתלמיד")</f>
        <v>מדריך למורה ללימוד טעמי המקרא לתלמיד</v>
      </c>
    </row>
    <row r="22045" spans="1:6" x14ac:dyDescent="0.2">
      <c r="A22045" t="s">
        <v>35607</v>
      </c>
      <c r="B22045" t="s">
        <v>30028</v>
      </c>
      <c r="C22045" t="s">
        <v>37</v>
      </c>
      <c r="D22045" t="s">
        <v>52</v>
      </c>
      <c r="E22045" t="s">
        <v>15</v>
      </c>
      <c r="F22045" s="2" t="str">
        <f>HYPERLINK("http://www.otzar.org/book.asp?618729","מדריך למנהג אשכנז המובהק &lt;גירסא זמנית&gt;")</f>
        <v>מדריך למנהג אשכנז המובהק &lt;גירסא זמנית&gt;</v>
      </c>
    </row>
    <row r="22046" spans="1:6" x14ac:dyDescent="0.2">
      <c r="A22046" t="s">
        <v>35608</v>
      </c>
      <c r="B22046" t="s">
        <v>5846</v>
      </c>
      <c r="C22046" t="s">
        <v>585</v>
      </c>
      <c r="D22046" t="s">
        <v>216</v>
      </c>
      <c r="E22046" t="s">
        <v>15</v>
      </c>
      <c r="F22046" s="2" t="str">
        <f>HYPERLINK("http://www.otzar.org/book.asp?604394","מדריך למתפלל")</f>
        <v>מדריך למתפלל</v>
      </c>
    </row>
    <row r="22047" spans="1:6" x14ac:dyDescent="0.2">
      <c r="A22047" t="s">
        <v>35609</v>
      </c>
      <c r="B22047" t="s">
        <v>5846</v>
      </c>
      <c r="C22047" t="s">
        <v>624</v>
      </c>
      <c r="D22047" t="s">
        <v>216</v>
      </c>
      <c r="E22047" t="s">
        <v>241</v>
      </c>
      <c r="F22047" s="2" t="str">
        <f>HYPERLINK("http://www.otzar.org/book.asp?21871","מדריך לשיפור המידות")</f>
        <v>מדריך לשיפור המידות</v>
      </c>
    </row>
    <row r="22048" spans="1:6" x14ac:dyDescent="0.2">
      <c r="A22048" t="s">
        <v>35610</v>
      </c>
      <c r="B22048" t="s">
        <v>5932</v>
      </c>
      <c r="C22048" t="s">
        <v>17</v>
      </c>
      <c r="D22048" t="s">
        <v>108</v>
      </c>
      <c r="F22048" s="2" t="str">
        <f>HYPERLINK("http://www.otzar.org/book.asp?198251","מדריך שמיטה לחקלאים - 2 כר'")</f>
        <v>מדריך שמיטה לחקלאים - 2 כר'</v>
      </c>
    </row>
    <row r="22049" spans="1:6" x14ac:dyDescent="0.2">
      <c r="A22049" t="s">
        <v>35611</v>
      </c>
      <c r="B22049" t="s">
        <v>5932</v>
      </c>
      <c r="C22049" t="s">
        <v>23</v>
      </c>
      <c r="D22049" t="s">
        <v>108</v>
      </c>
      <c r="F22049" s="2" t="str">
        <f>HYPERLINK("http://www.otzar.org/book.asp?198253","מדריך שמיטה לצרכן")</f>
        <v>מדריך שמיטה לצרכן</v>
      </c>
    </row>
    <row r="22050" spans="1:6" x14ac:dyDescent="0.2">
      <c r="A22050" t="s">
        <v>35612</v>
      </c>
      <c r="B22050" t="s">
        <v>5932</v>
      </c>
      <c r="C22050" t="s">
        <v>87</v>
      </c>
      <c r="D22050" t="s">
        <v>108</v>
      </c>
      <c r="E22050" t="s">
        <v>15</v>
      </c>
      <c r="F22050" s="2" t="str">
        <f>HYPERLINK("http://www.otzar.org/book.asp?623281","מדריך שמיטה לצרכנים - תשנ""ד")</f>
        <v>מדריך שמיטה לצרכנים - תשנ"ד</v>
      </c>
    </row>
    <row r="22051" spans="1:6" x14ac:dyDescent="0.2">
      <c r="A22051" t="s">
        <v>35613</v>
      </c>
      <c r="B22051" t="s">
        <v>107</v>
      </c>
      <c r="C22051" t="s">
        <v>383</v>
      </c>
      <c r="D22051" t="s">
        <v>14</v>
      </c>
      <c r="E22051" t="s">
        <v>15</v>
      </c>
      <c r="F22051" s="2" t="str">
        <f>HYPERLINK("http://www.otzar.org/book.asp?148246","מדריך תורני לאמנות")</f>
        <v>מדריך תורני לאמנות</v>
      </c>
    </row>
    <row r="22052" spans="1:6" x14ac:dyDescent="0.2">
      <c r="A22052" t="s">
        <v>35614</v>
      </c>
      <c r="B22052" t="s">
        <v>35615</v>
      </c>
      <c r="C22052" t="s">
        <v>454</v>
      </c>
      <c r="D22052" t="s">
        <v>52</v>
      </c>
      <c r="E22052" t="s">
        <v>144</v>
      </c>
      <c r="F22052" s="2" t="str">
        <f>HYPERLINK("http://www.otzar.org/book.asp?153991","מדרך עוז - 2 כר'")</f>
        <v>מדרך עוז - 2 כר'</v>
      </c>
    </row>
    <row r="22053" spans="1:6" x14ac:dyDescent="0.2">
      <c r="A22053" t="s">
        <v>35616</v>
      </c>
      <c r="B22053" t="s">
        <v>30754</v>
      </c>
      <c r="C22053" t="s">
        <v>624</v>
      </c>
      <c r="D22053" t="s">
        <v>14</v>
      </c>
      <c r="E22053" t="s">
        <v>158</v>
      </c>
      <c r="F22053" s="2" t="str">
        <f>HYPERLINK("http://www.otzar.org/book.asp?22083","מדרכי אברהם - 2 כר'")</f>
        <v>מדרכי אברהם - 2 כר'</v>
      </c>
    </row>
    <row r="22054" spans="1:6" x14ac:dyDescent="0.2">
      <c r="A22054" t="s">
        <v>35617</v>
      </c>
      <c r="B22054" t="s">
        <v>35618</v>
      </c>
      <c r="C22054" t="s">
        <v>151</v>
      </c>
      <c r="D22054" t="s">
        <v>14</v>
      </c>
      <c r="E22054" t="s">
        <v>230</v>
      </c>
      <c r="F22054" s="2" t="str">
        <f>HYPERLINK("http://www.otzar.org/book.asp?618917","מדרכי הדעת")</f>
        <v>מדרכי הדעת</v>
      </c>
    </row>
    <row r="22055" spans="1:6" x14ac:dyDescent="0.2">
      <c r="A22055" t="s">
        <v>35619</v>
      </c>
      <c r="B22055" t="s">
        <v>35620</v>
      </c>
      <c r="C22055" t="s">
        <v>103</v>
      </c>
      <c r="D22055" t="s">
        <v>1550</v>
      </c>
      <c r="E22055" t="s">
        <v>104</v>
      </c>
      <c r="F22055" s="2" t="str">
        <f>HYPERLINK("http://www.otzar.org/book.asp?158781","מדרכי החיים")</f>
        <v>מדרכי החיים</v>
      </c>
    </row>
    <row r="22056" spans="1:6" x14ac:dyDescent="0.2">
      <c r="A22056" t="s">
        <v>35621</v>
      </c>
      <c r="B22056" t="s">
        <v>35622</v>
      </c>
      <c r="C22056" t="s">
        <v>244</v>
      </c>
      <c r="D22056" t="s">
        <v>90</v>
      </c>
      <c r="E22056" t="s">
        <v>144</v>
      </c>
      <c r="F22056" s="2" t="str">
        <f>HYPERLINK("http://www.otzar.org/book.asp?626224","מדרכי הטהרה")</f>
        <v>מדרכי הטהרה</v>
      </c>
    </row>
    <row r="22057" spans="1:6" x14ac:dyDescent="0.2">
      <c r="A22057" t="s">
        <v>35623</v>
      </c>
      <c r="B22057" t="s">
        <v>35624</v>
      </c>
      <c r="C22057" t="s">
        <v>366</v>
      </c>
      <c r="D22057" t="s">
        <v>90</v>
      </c>
      <c r="E22057" t="s">
        <v>172</v>
      </c>
      <c r="F22057" s="2" t="str">
        <f>HYPERLINK("http://www.otzar.org/book.asp?602936","מדרכי הטוהר")</f>
        <v>מדרכי הטוהר</v>
      </c>
    </row>
    <row r="22058" spans="1:6" x14ac:dyDescent="0.2">
      <c r="A22058" t="s">
        <v>35625</v>
      </c>
      <c r="B22058" t="s">
        <v>30388</v>
      </c>
      <c r="C22058" t="s">
        <v>23</v>
      </c>
      <c r="D22058" t="s">
        <v>4665</v>
      </c>
      <c r="E22058" t="s">
        <v>3798</v>
      </c>
      <c r="F22058" s="2" t="str">
        <f>HYPERLINK("http://www.otzar.org/book.asp?606165","מדרכי הכרם - 2 כר'")</f>
        <v>מדרכי הכרם - 2 כר'</v>
      </c>
    </row>
    <row r="22059" spans="1:6" x14ac:dyDescent="0.2">
      <c r="A22059" t="s">
        <v>35626</v>
      </c>
      <c r="B22059" t="s">
        <v>35627</v>
      </c>
      <c r="C22059" t="s">
        <v>244</v>
      </c>
      <c r="D22059" t="s">
        <v>10373</v>
      </c>
      <c r="E22059" t="s">
        <v>241</v>
      </c>
      <c r="F22059" s="2" t="str">
        <f>HYPERLINK("http://www.otzar.org/book.asp?600684","מדרכי התשובה")</f>
        <v>מדרכי התשובה</v>
      </c>
    </row>
    <row r="22060" spans="1:6" x14ac:dyDescent="0.2">
      <c r="A22060" t="s">
        <v>35628</v>
      </c>
      <c r="B22060" t="s">
        <v>35629</v>
      </c>
      <c r="C22060" t="s">
        <v>189</v>
      </c>
      <c r="D22060" t="s">
        <v>147</v>
      </c>
      <c r="E22060" t="s">
        <v>15</v>
      </c>
      <c r="F22060" s="2" t="str">
        <f>HYPERLINK("http://www.otzar.org/book.asp?157852","מדרכי טהרה")</f>
        <v>מדרכי טהרה</v>
      </c>
    </row>
    <row r="22061" spans="1:6" x14ac:dyDescent="0.2">
      <c r="A22061" t="s">
        <v>35630</v>
      </c>
      <c r="B22061" t="s">
        <v>35631</v>
      </c>
      <c r="C22061" t="s">
        <v>812</v>
      </c>
      <c r="D22061" t="s">
        <v>21</v>
      </c>
      <c r="E22061" t="s">
        <v>241</v>
      </c>
      <c r="F22061" s="2" t="str">
        <f>HYPERLINK("http://www.otzar.org/book.asp?192177","מדרכי יוסף")</f>
        <v>מדרכי יוסף</v>
      </c>
    </row>
    <row r="22062" spans="1:6" x14ac:dyDescent="0.2">
      <c r="A22062" t="s">
        <v>35630</v>
      </c>
      <c r="B22062" t="s">
        <v>35632</v>
      </c>
      <c r="C22062" t="s">
        <v>68</v>
      </c>
      <c r="D22062" t="s">
        <v>14</v>
      </c>
      <c r="E22062" t="s">
        <v>144</v>
      </c>
      <c r="F22062" s="2" t="str">
        <f>HYPERLINK("http://www.otzar.org/book.asp?163063","מדרכי יוסף")</f>
        <v>מדרכי יוסף</v>
      </c>
    </row>
    <row r="22063" spans="1:6" x14ac:dyDescent="0.2">
      <c r="A22063" t="s">
        <v>35633</v>
      </c>
      <c r="B22063" t="s">
        <v>35634</v>
      </c>
      <c r="C22063" t="s">
        <v>146</v>
      </c>
      <c r="D22063" t="s">
        <v>14</v>
      </c>
      <c r="E22063" t="s">
        <v>35635</v>
      </c>
      <c r="F22063" s="2" t="str">
        <f>HYPERLINK("http://www.otzar.org/book.asp?52764","מדרכי משה")</f>
        <v>מדרכי משה</v>
      </c>
    </row>
    <row r="22064" spans="1:6" x14ac:dyDescent="0.2">
      <c r="A22064" t="s">
        <v>35633</v>
      </c>
      <c r="B22064" t="s">
        <v>35636</v>
      </c>
      <c r="C22064" t="s">
        <v>619</v>
      </c>
      <c r="D22064" t="s">
        <v>27</v>
      </c>
      <c r="E22064" t="s">
        <v>35637</v>
      </c>
      <c r="F22064" s="2" t="str">
        <f>HYPERLINK("http://www.otzar.org/book.asp?101279","מדרכי משה")</f>
        <v>מדרכי משה</v>
      </c>
    </row>
    <row r="22065" spans="1:6" x14ac:dyDescent="0.2">
      <c r="A22065" t="s">
        <v>35638</v>
      </c>
      <c r="B22065" t="s">
        <v>35639</v>
      </c>
      <c r="C22065" t="s">
        <v>454</v>
      </c>
      <c r="D22065" t="s">
        <v>52</v>
      </c>
      <c r="E22065" t="s">
        <v>158</v>
      </c>
      <c r="F22065" s="2" t="str">
        <f>HYPERLINK("http://www.otzar.org/book.asp?62634","מדרכי נועם - 2 כר'")</f>
        <v>מדרכי נועם - 2 כר'</v>
      </c>
    </row>
    <row r="22066" spans="1:6" x14ac:dyDescent="0.2">
      <c r="A22066" t="s">
        <v>35640</v>
      </c>
      <c r="B22066" t="s">
        <v>35641</v>
      </c>
      <c r="C22066" t="s">
        <v>37</v>
      </c>
      <c r="D22066" t="s">
        <v>90</v>
      </c>
      <c r="E22066" t="s">
        <v>202</v>
      </c>
      <c r="F22066" s="2" t="str">
        <f>HYPERLINK("http://www.otzar.org/book.asp?180776","מדרכיו של אבא")</f>
        <v>מדרכיו של אבא</v>
      </c>
    </row>
    <row r="22067" spans="1:6" x14ac:dyDescent="0.2">
      <c r="A22067" t="s">
        <v>35642</v>
      </c>
      <c r="B22067" t="s">
        <v>35643</v>
      </c>
      <c r="C22067" t="s">
        <v>189</v>
      </c>
      <c r="D22067" t="s">
        <v>14</v>
      </c>
      <c r="E22067" t="s">
        <v>579</v>
      </c>
      <c r="F22067" s="2" t="str">
        <f>HYPERLINK("http://www.otzar.org/book.asp?50120","מדרס לפירושים")</f>
        <v>מדרס לפירושים</v>
      </c>
    </row>
    <row r="22068" spans="1:6" x14ac:dyDescent="0.2">
      <c r="A22068" t="s">
        <v>35642</v>
      </c>
      <c r="B22068" t="s">
        <v>35644</v>
      </c>
      <c r="C22068" t="s">
        <v>14</v>
      </c>
      <c r="D22068" t="s">
        <v>20</v>
      </c>
      <c r="E22068" t="s">
        <v>158</v>
      </c>
      <c r="F22068" s="2" t="str">
        <f>HYPERLINK("http://www.otzar.org/book.asp?84746","מדרס לפירושים")</f>
        <v>מדרס לפירושים</v>
      </c>
    </row>
    <row r="22069" spans="1:6" x14ac:dyDescent="0.2">
      <c r="A22069" t="s">
        <v>35645</v>
      </c>
      <c r="B22069" t="s">
        <v>35351</v>
      </c>
      <c r="C22069" t="s">
        <v>454</v>
      </c>
      <c r="D22069" t="s">
        <v>52</v>
      </c>
      <c r="E22069" t="s">
        <v>43</v>
      </c>
      <c r="F22069" s="2" t="str">
        <f>HYPERLINK("http://www.otzar.org/book.asp?188818","מדרש אבא גוריון &lt;שלום ואמת&gt;")</f>
        <v>מדרש אבא גוריון &lt;שלום ואמת&gt;</v>
      </c>
    </row>
    <row r="22070" spans="1:6" x14ac:dyDescent="0.2">
      <c r="A22070" t="s">
        <v>35646</v>
      </c>
      <c r="B22070" t="s">
        <v>19911</v>
      </c>
      <c r="C22070" t="s">
        <v>1885</v>
      </c>
      <c r="D22070" t="s">
        <v>283</v>
      </c>
      <c r="E22070" t="s">
        <v>64</v>
      </c>
      <c r="F22070" s="2" t="str">
        <f>HYPERLINK("http://www.otzar.org/book.asp?14732","מדרש אבות")</f>
        <v>מדרש אבות</v>
      </c>
    </row>
    <row r="22071" spans="1:6" x14ac:dyDescent="0.2">
      <c r="A22071" t="s">
        <v>35647</v>
      </c>
      <c r="B22071" t="s">
        <v>35648</v>
      </c>
      <c r="C22071" t="s">
        <v>1208</v>
      </c>
      <c r="D22071" t="s">
        <v>14</v>
      </c>
      <c r="E22071" t="s">
        <v>104</v>
      </c>
      <c r="F22071" s="2" t="str">
        <f>HYPERLINK("http://www.otzar.org/book.asp?619024","מדרש אברנבאל")</f>
        <v>מדרש אברנבאל</v>
      </c>
    </row>
    <row r="22072" spans="1:6" x14ac:dyDescent="0.2">
      <c r="A22072" t="s">
        <v>35649</v>
      </c>
      <c r="B22072" t="s">
        <v>35650</v>
      </c>
      <c r="C22072" t="s">
        <v>390</v>
      </c>
      <c r="D22072" t="s">
        <v>14</v>
      </c>
      <c r="E22072" t="s">
        <v>1103</v>
      </c>
      <c r="F22072" s="2" t="str">
        <f>HYPERLINK("http://www.otzar.org/book.asp?156536","מדרש אגדה &lt;מהדורה חדשה&gt;")</f>
        <v>מדרש אגדה &lt;מהדורה חדשה&gt;</v>
      </c>
    </row>
    <row r="22073" spans="1:6" x14ac:dyDescent="0.2">
      <c r="A22073" t="s">
        <v>35651</v>
      </c>
      <c r="B22073" t="s">
        <v>1116</v>
      </c>
      <c r="C22073" t="s">
        <v>1706</v>
      </c>
      <c r="D22073" t="s">
        <v>535</v>
      </c>
      <c r="E22073" t="s">
        <v>1103</v>
      </c>
      <c r="F22073" s="2" t="str">
        <f>HYPERLINK("http://www.otzar.org/book.asp?152452","מדרש אגדה - 2 כר'")</f>
        <v>מדרש אגדה - 2 כר'</v>
      </c>
    </row>
    <row r="22074" spans="1:6" x14ac:dyDescent="0.2">
      <c r="A22074" t="s">
        <v>35652</v>
      </c>
      <c r="B22074" t="s">
        <v>35653</v>
      </c>
      <c r="C22074" t="s">
        <v>538</v>
      </c>
      <c r="D22074" t="s">
        <v>60</v>
      </c>
      <c r="E22074" t="s">
        <v>43</v>
      </c>
      <c r="F22074" s="2" t="str">
        <f>HYPERLINK("http://www.otzar.org/book.asp?181154","מדרש אגדת בראשית")</f>
        <v>מדרש אגדת בראשית</v>
      </c>
    </row>
    <row r="22075" spans="1:6" x14ac:dyDescent="0.2">
      <c r="A22075" t="s">
        <v>35654</v>
      </c>
      <c r="B22075" t="s">
        <v>35655</v>
      </c>
      <c r="C22075" t="s">
        <v>1374</v>
      </c>
      <c r="D22075" t="s">
        <v>1081</v>
      </c>
      <c r="E22075" t="s">
        <v>32869</v>
      </c>
      <c r="F22075" s="2" t="str">
        <f>HYPERLINK("http://www.otzar.org/book.asp?106936","מדרש אהרן")</f>
        <v>מדרש אהרן</v>
      </c>
    </row>
    <row r="22076" spans="1:6" x14ac:dyDescent="0.2">
      <c r="A22076" t="s">
        <v>35656</v>
      </c>
      <c r="B22076" t="s">
        <v>3951</v>
      </c>
      <c r="C22076" t="s">
        <v>366</v>
      </c>
      <c r="D22076" t="s">
        <v>52</v>
      </c>
      <c r="E22076" t="s">
        <v>158</v>
      </c>
      <c r="F22076" s="2" t="str">
        <f>HYPERLINK("http://www.otzar.org/book.asp?626325","מדרש אור חדש - 2 כר'")</f>
        <v>מדרש אור חדש - 2 כר'</v>
      </c>
    </row>
    <row r="22077" spans="1:6" x14ac:dyDescent="0.2">
      <c r="A22077" t="s">
        <v>35657</v>
      </c>
      <c r="B22077" t="s">
        <v>35657</v>
      </c>
      <c r="C22077" t="s">
        <v>1650</v>
      </c>
      <c r="D22077" t="s">
        <v>27</v>
      </c>
      <c r="E22077" t="s">
        <v>1103</v>
      </c>
      <c r="F22077" s="2" t="str">
        <f>HYPERLINK("http://www.otzar.org/book.asp?153529","מדרש איוב")</f>
        <v>מדרש איוב</v>
      </c>
    </row>
    <row r="22078" spans="1:6" x14ac:dyDescent="0.2">
      <c r="A22078" t="s">
        <v>35658</v>
      </c>
      <c r="B22078" t="s">
        <v>1116</v>
      </c>
      <c r="C22078" t="s">
        <v>1096</v>
      </c>
      <c r="D22078" t="s">
        <v>56</v>
      </c>
      <c r="E22078" t="s">
        <v>43</v>
      </c>
      <c r="F22078" s="2" t="str">
        <f>HYPERLINK("http://www.otzar.org/book.asp?14730","מדרש איכה רבה")</f>
        <v>מדרש איכה רבה</v>
      </c>
    </row>
    <row r="22079" spans="1:6" x14ac:dyDescent="0.2">
      <c r="A22079" t="s">
        <v>35659</v>
      </c>
      <c r="B22079" t="s">
        <v>35104</v>
      </c>
      <c r="F22079" s="2" t="str">
        <f>HYPERLINK("http://www.otzar.org/book.asp?623113","מדרש אלה אזכרה &lt;שיח יצחק&gt;")</f>
        <v>מדרש אלה אזכרה &lt;שיח יצחק&gt;</v>
      </c>
    </row>
    <row r="22080" spans="1:6" x14ac:dyDescent="0.2">
      <c r="A22080" t="s">
        <v>35660</v>
      </c>
      <c r="B22080" t="s">
        <v>35661</v>
      </c>
      <c r="C22080" t="s">
        <v>291</v>
      </c>
      <c r="D22080" t="s">
        <v>1037</v>
      </c>
      <c r="E22080" t="s">
        <v>43</v>
      </c>
      <c r="F22080" s="2" t="str">
        <f>HYPERLINK("http://www.otzar.org/book.asp?300233","מדרש אלה אזכרה")</f>
        <v>מדרש אלה אזכרה</v>
      </c>
    </row>
    <row r="22081" spans="1:6" x14ac:dyDescent="0.2">
      <c r="A22081" t="s">
        <v>35662</v>
      </c>
      <c r="B22081" t="s">
        <v>35663</v>
      </c>
      <c r="C22081" t="s">
        <v>20</v>
      </c>
      <c r="D22081" t="s">
        <v>90</v>
      </c>
      <c r="E22081" t="s">
        <v>202</v>
      </c>
      <c r="F22081" s="2" t="str">
        <f>HYPERLINK("http://www.otzar.org/book.asp?63071","מדרש אליהו &lt;ספר זכרון&gt; - 2 כר'")</f>
        <v>מדרש אליהו &lt;ספר זכרון&gt; - 2 כר'</v>
      </c>
    </row>
    <row r="22082" spans="1:6" x14ac:dyDescent="0.2">
      <c r="A22082" t="s">
        <v>35664</v>
      </c>
      <c r="B22082" t="s">
        <v>1112</v>
      </c>
      <c r="C22082" t="s">
        <v>2306</v>
      </c>
      <c r="D22082" t="s">
        <v>157</v>
      </c>
      <c r="F22082" s="2" t="str">
        <f>HYPERLINK("http://www.otzar.org/book.asp?164806","מדרש אליהו - 3 כר'")</f>
        <v>מדרש אליהו - 3 כר'</v>
      </c>
    </row>
    <row r="22083" spans="1:6" x14ac:dyDescent="0.2">
      <c r="A22083" t="s">
        <v>35665</v>
      </c>
      <c r="B22083" t="s">
        <v>35666</v>
      </c>
      <c r="C22083" t="s">
        <v>75</v>
      </c>
      <c r="D22083" t="s">
        <v>212</v>
      </c>
      <c r="E22083" t="s">
        <v>1103</v>
      </c>
      <c r="F22083" s="2" t="str">
        <f>HYPERLINK("http://www.otzar.org/book.asp?102313","מדרש אליהו")</f>
        <v>מדרש אליהו</v>
      </c>
    </row>
    <row r="22084" spans="1:6" x14ac:dyDescent="0.2">
      <c r="A22084" t="s">
        <v>35667</v>
      </c>
      <c r="B22084" t="s">
        <v>35668</v>
      </c>
      <c r="C22084" t="s">
        <v>68</v>
      </c>
      <c r="D22084" t="s">
        <v>14</v>
      </c>
      <c r="E22084" t="s">
        <v>158</v>
      </c>
      <c r="F22084" s="2" t="str">
        <f>HYPERLINK("http://www.otzar.org/book.asp?182459","מדרש אליהו - 2 כר'")</f>
        <v>מדרש אליהו - 2 כר'</v>
      </c>
    </row>
    <row r="22085" spans="1:6" x14ac:dyDescent="0.2">
      <c r="A22085" t="s">
        <v>35669</v>
      </c>
      <c r="B22085" t="s">
        <v>30031</v>
      </c>
      <c r="C22085" t="s">
        <v>332</v>
      </c>
      <c r="D22085" t="s">
        <v>14</v>
      </c>
      <c r="E22085" t="s">
        <v>158</v>
      </c>
      <c r="F22085" s="2" t="str">
        <f>HYPERLINK("http://www.otzar.org/book.asp?157631","מדרש אריאל - 2 כר'")</f>
        <v>מדרש אריאל - 2 כר'</v>
      </c>
    </row>
    <row r="22086" spans="1:6" x14ac:dyDescent="0.2">
      <c r="A22086" t="s">
        <v>35670</v>
      </c>
      <c r="B22086" t="s">
        <v>35671</v>
      </c>
      <c r="C22086" t="s">
        <v>334</v>
      </c>
      <c r="D22086" t="s">
        <v>90</v>
      </c>
      <c r="E22086" t="s">
        <v>234</v>
      </c>
      <c r="F22086" s="2" t="str">
        <f>HYPERLINK("http://www.otzar.org/book.asp?61432","מדרש אשרי")</f>
        <v>מדרש אשרי</v>
      </c>
    </row>
    <row r="22087" spans="1:6" x14ac:dyDescent="0.2">
      <c r="A22087" t="s">
        <v>35672</v>
      </c>
      <c r="B22087" t="s">
        <v>22720</v>
      </c>
      <c r="C22087" t="s">
        <v>189</v>
      </c>
      <c r="D22087" t="s">
        <v>14</v>
      </c>
      <c r="F22087" s="2" t="str">
        <f>HYPERLINK("http://www.otzar.org/book.asp?153298","מדרש בחודש")</f>
        <v>מדרש בחודש</v>
      </c>
    </row>
    <row r="22088" spans="1:6" x14ac:dyDescent="0.2">
      <c r="A22088" t="s">
        <v>35673</v>
      </c>
      <c r="B22088" t="s">
        <v>35674</v>
      </c>
      <c r="C22088" t="s">
        <v>35675</v>
      </c>
      <c r="D22088" t="s">
        <v>280</v>
      </c>
      <c r="E22088" t="s">
        <v>43</v>
      </c>
      <c r="F22088" s="2" t="str">
        <f>HYPERLINK("http://www.otzar.org/book.asp?16944","מדרש בראשית רבא &lt;מנחת יהודה&gt; - 3 כר'")</f>
        <v>מדרש בראשית רבא &lt;מנחת יהודה&gt; - 3 כר'</v>
      </c>
    </row>
    <row r="22089" spans="1:6" x14ac:dyDescent="0.2">
      <c r="A22089" t="s">
        <v>35676</v>
      </c>
      <c r="B22089" t="s">
        <v>35677</v>
      </c>
      <c r="C22089" t="s">
        <v>2740</v>
      </c>
      <c r="D22089" t="s">
        <v>2740</v>
      </c>
      <c r="E22089" t="s">
        <v>43</v>
      </c>
      <c r="F22089" s="2" t="str">
        <f>HYPERLINK("http://www.otzar.org/book.asp?191375","מדרש בראשית רבה &lt;כת""י וטיקן&gt;")</f>
        <v>מדרש בראשית רבה &lt;כת"י וטיקן&gt;</v>
      </c>
    </row>
    <row r="22090" spans="1:6" x14ac:dyDescent="0.2">
      <c r="A22090" t="s">
        <v>35678</v>
      </c>
      <c r="B22090" t="s">
        <v>35678</v>
      </c>
      <c r="C22090" t="s">
        <v>1470</v>
      </c>
      <c r="D22090" t="s">
        <v>27</v>
      </c>
      <c r="E22090" t="s">
        <v>12983</v>
      </c>
      <c r="F22090" s="2" t="str">
        <f>HYPERLINK("http://www.otzar.org/book.asp?667","מדרש בראשית רבתי")</f>
        <v>מדרש בראשית רבתי</v>
      </c>
    </row>
    <row r="22091" spans="1:6" x14ac:dyDescent="0.2">
      <c r="A22091" t="s">
        <v>35679</v>
      </c>
      <c r="B22091" t="s">
        <v>35680</v>
      </c>
      <c r="C22091" t="s">
        <v>985</v>
      </c>
      <c r="D22091" t="s">
        <v>27</v>
      </c>
      <c r="E22091" t="s">
        <v>104</v>
      </c>
      <c r="F22091" s="2" t="str">
        <f>HYPERLINK("http://www.otzar.org/book.asp?11734","מדרש גאולת הקרקע")</f>
        <v>מדרש גאולת הקרקע</v>
      </c>
    </row>
    <row r="22092" spans="1:6" x14ac:dyDescent="0.2">
      <c r="A22092" t="s">
        <v>35681</v>
      </c>
      <c r="B22092" t="s">
        <v>35682</v>
      </c>
      <c r="C22092" t="s">
        <v>1470</v>
      </c>
      <c r="D22092" t="s">
        <v>27</v>
      </c>
      <c r="E22092" t="s">
        <v>1103</v>
      </c>
      <c r="F22092" s="2" t="str">
        <f>HYPERLINK("http://www.otzar.org/book.asp?664","מדרש דברים רבה &lt;מהדורת ליברמן&gt; - 2 כר'")</f>
        <v>מדרש דברים רבה &lt;מהדורת ליברמן&gt; - 2 כר'</v>
      </c>
    </row>
    <row r="22093" spans="1:6" x14ac:dyDescent="0.2">
      <c r="A22093" t="s">
        <v>35683</v>
      </c>
      <c r="B22093" t="s">
        <v>35684</v>
      </c>
      <c r="C22093" t="s">
        <v>160</v>
      </c>
      <c r="D22093" t="s">
        <v>27</v>
      </c>
      <c r="E22093" t="s">
        <v>158</v>
      </c>
      <c r="F22093" s="2" t="str">
        <f>HYPERLINK("http://www.otzar.org/book.asp?14480","מדרש דוד - 2 כר'")</f>
        <v>מדרש דוד - 2 כר'</v>
      </c>
    </row>
    <row r="22094" spans="1:6" x14ac:dyDescent="0.2">
      <c r="A22094" t="s">
        <v>35685</v>
      </c>
      <c r="B22094" t="s">
        <v>1750</v>
      </c>
      <c r="C22094" t="s">
        <v>176</v>
      </c>
      <c r="D22094" t="s">
        <v>21</v>
      </c>
      <c r="E22094" t="s">
        <v>202</v>
      </c>
      <c r="F22094" s="2" t="str">
        <f>HYPERLINK("http://www.otzar.org/book.asp?195598","מדרש דוד - ג")</f>
        <v>מדרש דוד - ג</v>
      </c>
    </row>
    <row r="22095" spans="1:6" x14ac:dyDescent="0.2">
      <c r="A22095" t="s">
        <v>35686</v>
      </c>
      <c r="B22095" t="s">
        <v>35687</v>
      </c>
      <c r="C22095" t="s">
        <v>3106</v>
      </c>
      <c r="D22095" t="s">
        <v>27195</v>
      </c>
      <c r="E22095" t="s">
        <v>2840</v>
      </c>
      <c r="F22095" s="2" t="str">
        <f>HYPERLINK("http://www.otzar.org/book.asp?51685","מדרש דוד")</f>
        <v>מדרש דוד</v>
      </c>
    </row>
    <row r="22096" spans="1:6" x14ac:dyDescent="0.2">
      <c r="A22096" t="s">
        <v>35688</v>
      </c>
      <c r="B22096" t="s">
        <v>35689</v>
      </c>
      <c r="C22096" t="s">
        <v>956</v>
      </c>
      <c r="D22096" t="s">
        <v>14</v>
      </c>
      <c r="E22096" t="s">
        <v>1103</v>
      </c>
      <c r="F22096" s="2" t="str">
        <f>HYPERLINK("http://www.otzar.org/book.asp?16935","מדרש דניאל ומדרש עזרא")</f>
        <v>מדרש דניאל ומדרש עזרא</v>
      </c>
    </row>
    <row r="22097" spans="1:6" x14ac:dyDescent="0.2">
      <c r="A22097" t="s">
        <v>35690</v>
      </c>
      <c r="B22097" t="s">
        <v>1112</v>
      </c>
      <c r="C22097" t="s">
        <v>3816</v>
      </c>
      <c r="D22097" t="s">
        <v>76</v>
      </c>
      <c r="E22097" t="s">
        <v>32419</v>
      </c>
      <c r="F22097" s="2" t="str">
        <f>HYPERLINK("http://www.otzar.org/book.asp?5081","מדרש האתמרי &lt;מנחת אליהו&gt;")</f>
        <v>מדרש האתמרי &lt;מנחת אליהו&gt;</v>
      </c>
    </row>
    <row r="22098" spans="1:6" x14ac:dyDescent="0.2">
      <c r="A22098" t="s">
        <v>35691</v>
      </c>
      <c r="B22098" t="s">
        <v>1112</v>
      </c>
      <c r="C22098" t="s">
        <v>3816</v>
      </c>
      <c r="D22098" t="s">
        <v>76</v>
      </c>
      <c r="F22098" s="2" t="str">
        <f>HYPERLINK("http://www.otzar.org/book.asp?164804","מדרש האתמרי - 2 כר'")</f>
        <v>מדרש האתמרי - 2 כר'</v>
      </c>
    </row>
    <row r="22099" spans="1:6" x14ac:dyDescent="0.2">
      <c r="A22099" t="s">
        <v>35692</v>
      </c>
      <c r="B22099" t="s">
        <v>35693</v>
      </c>
      <c r="C22099" t="s">
        <v>624</v>
      </c>
      <c r="D22099" t="s">
        <v>5421</v>
      </c>
      <c r="E22099" t="s">
        <v>158</v>
      </c>
      <c r="F22099" s="2" t="str">
        <f>HYPERLINK("http://www.otzar.org/book.asp?149861","מדרש הביאור - 2 כר'")</f>
        <v>מדרש הביאור - 2 כר'</v>
      </c>
    </row>
    <row r="22100" spans="1:6" x14ac:dyDescent="0.2">
      <c r="A22100" t="s">
        <v>35694</v>
      </c>
      <c r="B22100" t="s">
        <v>35695</v>
      </c>
      <c r="C22100" t="s">
        <v>20</v>
      </c>
      <c r="D22100" t="s">
        <v>90</v>
      </c>
      <c r="E22100" t="s">
        <v>130</v>
      </c>
      <c r="F22100" s="2" t="str">
        <f>HYPERLINK("http://www.otzar.org/book.asp?151418","מדרש הגדה")</f>
        <v>מדרש הגדה</v>
      </c>
    </row>
    <row r="22101" spans="1:6" x14ac:dyDescent="0.2">
      <c r="A22101" t="s">
        <v>35696</v>
      </c>
      <c r="B22101" t="s">
        <v>20447</v>
      </c>
      <c r="C22101" t="s">
        <v>35697</v>
      </c>
      <c r="D22101" t="s">
        <v>14</v>
      </c>
      <c r="E22101" t="s">
        <v>64</v>
      </c>
      <c r="F22101" s="2" t="str">
        <f>HYPERLINK("http://www.otzar.org/book.asp?103288","מדרש הגדול לדברים &lt;מתוך ירחון הסגולה&gt;")</f>
        <v>מדרש הגדול לדברים &lt;מתוך ירחון הסגולה&gt;</v>
      </c>
    </row>
    <row r="22102" spans="1:6" x14ac:dyDescent="0.2">
      <c r="A22102" t="s">
        <v>35698</v>
      </c>
      <c r="B22102" t="s">
        <v>35699</v>
      </c>
      <c r="C22102" t="s">
        <v>23885</v>
      </c>
      <c r="D22102" t="s">
        <v>9</v>
      </c>
      <c r="E22102" t="s">
        <v>64</v>
      </c>
      <c r="F22102" s="2" t="str">
        <f>HYPERLINK("http://www.otzar.org/book.asp?103268","מדרש הגדול - ויקרא")</f>
        <v>מדרש הגדול - ויקרא</v>
      </c>
    </row>
    <row r="22103" spans="1:6" x14ac:dyDescent="0.2">
      <c r="A22103" t="s">
        <v>35700</v>
      </c>
      <c r="B22103" t="s">
        <v>35701</v>
      </c>
      <c r="C22103" t="s">
        <v>35702</v>
      </c>
      <c r="D22103" t="s">
        <v>280</v>
      </c>
      <c r="E22103" t="s">
        <v>64</v>
      </c>
      <c r="F22103" s="2" t="str">
        <f>HYPERLINK("http://www.otzar.org/book.asp?103267","מדרש הגדול - שמות")</f>
        <v>מדרש הגדול - שמות</v>
      </c>
    </row>
    <row r="22104" spans="1:6" x14ac:dyDescent="0.2">
      <c r="A22104" t="s">
        <v>35703</v>
      </c>
      <c r="B22104" t="s">
        <v>35704</v>
      </c>
      <c r="C22104" t="s">
        <v>35705</v>
      </c>
      <c r="D22104" t="s">
        <v>563</v>
      </c>
      <c r="E22104" t="s">
        <v>64</v>
      </c>
      <c r="F22104" s="2" t="str">
        <f>HYPERLINK("http://www.otzar.org/book.asp?8758","מדרש הגדול - 2 כר'")</f>
        <v>מדרש הגדול - 2 כר'</v>
      </c>
    </row>
    <row r="22105" spans="1:6" x14ac:dyDescent="0.2">
      <c r="A22105" t="s">
        <v>35706</v>
      </c>
      <c r="B22105" t="s">
        <v>35707</v>
      </c>
      <c r="C22105" t="s">
        <v>1202</v>
      </c>
      <c r="D22105" t="s">
        <v>9</v>
      </c>
      <c r="E22105" t="s">
        <v>241</v>
      </c>
      <c r="F22105" s="2" t="str">
        <f>HYPERLINK("http://www.otzar.org/book.asp?102316","מדרש החיים")</f>
        <v>מדרש החיים</v>
      </c>
    </row>
    <row r="22106" spans="1:6" x14ac:dyDescent="0.2">
      <c r="A22106" t="s">
        <v>35708</v>
      </c>
      <c r="B22106" t="s">
        <v>35709</v>
      </c>
      <c r="C22106" t="s">
        <v>143</v>
      </c>
      <c r="D22106" t="s">
        <v>14</v>
      </c>
      <c r="E22106" t="s">
        <v>158</v>
      </c>
      <c r="F22106" s="2" t="str">
        <f>HYPERLINK("http://www.otzar.org/book.asp?156293","מדרש החפץ - 3 כר'")</f>
        <v>מדרש החפץ - 3 כר'</v>
      </c>
    </row>
    <row r="22107" spans="1:6" x14ac:dyDescent="0.2">
      <c r="A22107" t="s">
        <v>35710</v>
      </c>
      <c r="B22107" t="s">
        <v>35710</v>
      </c>
      <c r="C22107" t="s">
        <v>581</v>
      </c>
      <c r="D22107" t="s">
        <v>307</v>
      </c>
      <c r="E22107" t="s">
        <v>43</v>
      </c>
      <c r="F22107" s="2" t="str">
        <f>HYPERLINK("http://www.otzar.org/book.asp?21031","מדרש הלל")</f>
        <v>מדרש הלל</v>
      </c>
    </row>
    <row r="22108" spans="1:6" x14ac:dyDescent="0.2">
      <c r="A22108" t="s">
        <v>35711</v>
      </c>
      <c r="B22108" t="s">
        <v>35712</v>
      </c>
      <c r="C22108" t="s">
        <v>1323</v>
      </c>
      <c r="D22108" t="s">
        <v>49</v>
      </c>
      <c r="E22108" t="s">
        <v>43</v>
      </c>
      <c r="F22108" s="2" t="str">
        <f>HYPERLINK("http://www.otzar.org/book.asp?8010","מדרש המכילתא")</f>
        <v>מדרש המכילתא</v>
      </c>
    </row>
    <row r="22109" spans="1:6" x14ac:dyDescent="0.2">
      <c r="A22109" t="s">
        <v>35713</v>
      </c>
      <c r="B22109" t="s">
        <v>35713</v>
      </c>
      <c r="C22109" t="s">
        <v>1058</v>
      </c>
      <c r="D22109" t="s">
        <v>27</v>
      </c>
      <c r="E22109" t="s">
        <v>43</v>
      </c>
      <c r="F22109" s="2" t="str">
        <f>HYPERLINK("http://www.otzar.org/book.asp?174612","מדרש ויושע")</f>
        <v>מדרש ויושע</v>
      </c>
    </row>
    <row r="22110" spans="1:6" x14ac:dyDescent="0.2">
      <c r="A22110" t="s">
        <v>35714</v>
      </c>
      <c r="B22110" t="s">
        <v>18994</v>
      </c>
      <c r="C22110" t="s">
        <v>523</v>
      </c>
      <c r="D22110" t="s">
        <v>13837</v>
      </c>
      <c r="F22110" s="2" t="str">
        <f>HYPERLINK("http://www.otzar.org/book.asp?601373","מדרש ויקרא רבה &lt;מהדורת מרגליות&gt; - 2 כר'")</f>
        <v>מדרש ויקרא רבה &lt;מהדורת מרגליות&gt; - 2 כר'</v>
      </c>
    </row>
    <row r="22111" spans="1:6" x14ac:dyDescent="0.2">
      <c r="A22111" t="s">
        <v>35715</v>
      </c>
      <c r="B22111" t="s">
        <v>35716</v>
      </c>
      <c r="C22111" t="s">
        <v>698</v>
      </c>
      <c r="D22111" t="s">
        <v>9</v>
      </c>
      <c r="E22111" t="s">
        <v>158</v>
      </c>
      <c r="F22111" s="2" t="str">
        <f>HYPERLINK("http://www.otzar.org/book.asp?51686","מדרש ומעשה - א")</f>
        <v>מדרש ומעשה - א</v>
      </c>
    </row>
    <row r="22112" spans="1:6" x14ac:dyDescent="0.2">
      <c r="A22112" t="s">
        <v>35717</v>
      </c>
      <c r="B22112" t="s">
        <v>35351</v>
      </c>
      <c r="C22112" t="s">
        <v>454</v>
      </c>
      <c r="D22112" t="s">
        <v>52</v>
      </c>
      <c r="E22112" t="s">
        <v>8940</v>
      </c>
      <c r="F22112" s="2" t="str">
        <f>HYPERLINK("http://www.otzar.org/book.asp?188817","מדרש זוטא על ארבע מגילות &lt;רוחצות בחלב&gt;")</f>
        <v>מדרש זוטא על ארבע מגילות &lt;רוחצות בחלב&gt;</v>
      </c>
    </row>
    <row r="22113" spans="1:6" x14ac:dyDescent="0.2">
      <c r="A22113" t="s">
        <v>35718</v>
      </c>
      <c r="B22113" t="s">
        <v>35719</v>
      </c>
      <c r="C22113" t="s">
        <v>946</v>
      </c>
      <c r="D22113" t="s">
        <v>56</v>
      </c>
      <c r="E22113" t="s">
        <v>1103</v>
      </c>
      <c r="F22113" s="2" t="str">
        <f>HYPERLINK("http://www.otzar.org/book.asp?741","מדרש זוטא - 2 כר'")</f>
        <v>מדרש זוטא - 2 כר'</v>
      </c>
    </row>
    <row r="22114" spans="1:6" x14ac:dyDescent="0.2">
      <c r="A22114" t="s">
        <v>35720</v>
      </c>
      <c r="B22114" t="s">
        <v>35721</v>
      </c>
      <c r="F22114" s="2" t="str">
        <f>HYPERLINK("http://www.otzar.org/book.asp?177218","מדרש חדש על התורה")</f>
        <v>מדרש חדש על התורה</v>
      </c>
    </row>
    <row r="22115" spans="1:6" x14ac:dyDescent="0.2">
      <c r="A22115" t="s">
        <v>35722</v>
      </c>
      <c r="B22115" t="s">
        <v>35723</v>
      </c>
      <c r="C22115" t="s">
        <v>1284</v>
      </c>
      <c r="D22115" t="s">
        <v>1117</v>
      </c>
      <c r="F22115" s="2" t="str">
        <f>HYPERLINK("http://www.otzar.org/book.asp?164923","מדרש חכמים")</f>
        <v>מדרש חכמים</v>
      </c>
    </row>
    <row r="22116" spans="1:6" x14ac:dyDescent="0.2">
      <c r="A22116" t="s">
        <v>35724</v>
      </c>
      <c r="B22116" t="s">
        <v>26625</v>
      </c>
      <c r="C22116" t="s">
        <v>37</v>
      </c>
      <c r="D22116" t="s">
        <v>27</v>
      </c>
      <c r="F22116" s="2" t="str">
        <f>HYPERLINK("http://www.otzar.org/book.asp?600882","מדרש חמדת ימים &lt;מהדורה חדשה&gt; - 5 כר'")</f>
        <v>מדרש חמדת ימים &lt;מהדורה חדשה&gt; - 5 כר'</v>
      </c>
    </row>
    <row r="22117" spans="1:6" x14ac:dyDescent="0.2">
      <c r="A22117" t="s">
        <v>35725</v>
      </c>
      <c r="B22117" t="s">
        <v>35726</v>
      </c>
      <c r="C22117" t="s">
        <v>22368</v>
      </c>
      <c r="D22117" t="s">
        <v>32565</v>
      </c>
      <c r="F22117" s="2" t="str">
        <f>HYPERLINK("http://www.otzar.org/book.asp?611743","מדרש חמש מגילות רבתא &lt;מתנות כהונה&gt;")</f>
        <v>מדרש חמש מגילות רבתא &lt;מתנות כהונה&gt;</v>
      </c>
    </row>
    <row r="22118" spans="1:6" x14ac:dyDescent="0.2">
      <c r="A22118" t="s">
        <v>35727</v>
      </c>
      <c r="B22118" t="s">
        <v>35728</v>
      </c>
      <c r="C22118" t="s">
        <v>9310</v>
      </c>
      <c r="D22118" t="s">
        <v>35729</v>
      </c>
      <c r="E22118" t="s">
        <v>43</v>
      </c>
      <c r="F22118" s="2" t="str">
        <f>HYPERLINK("http://www.otzar.org/book.asp?53432","מדרש חמש מגלות &lt;מדרש רבה&gt;")</f>
        <v>מדרש חמש מגלות &lt;מדרש רבה&gt;</v>
      </c>
    </row>
    <row r="22119" spans="1:6" x14ac:dyDescent="0.2">
      <c r="A22119" t="s">
        <v>35730</v>
      </c>
      <c r="B22119" t="s">
        <v>35731</v>
      </c>
      <c r="C22119" t="s">
        <v>146</v>
      </c>
      <c r="D22119" t="s">
        <v>52</v>
      </c>
      <c r="E22119" t="s">
        <v>15</v>
      </c>
      <c r="F22119" s="2" t="str">
        <f>HYPERLINK("http://www.otzar.org/book.asp?613421","מדרש חסידים")</f>
        <v>מדרש חסידים</v>
      </c>
    </row>
    <row r="22120" spans="1:6" x14ac:dyDescent="0.2">
      <c r="A22120" t="s">
        <v>35732</v>
      </c>
      <c r="B22120" t="s">
        <v>35732</v>
      </c>
      <c r="C22120" t="s">
        <v>2870</v>
      </c>
      <c r="D22120" t="s">
        <v>15715</v>
      </c>
      <c r="E22120" t="s">
        <v>43</v>
      </c>
      <c r="F22120" s="2" t="str">
        <f>HYPERLINK("http://www.otzar.org/book.asp?193906","מדרש חסירות ויתירות")</f>
        <v>מדרש חסירות ויתירות</v>
      </c>
    </row>
    <row r="22121" spans="1:6" x14ac:dyDescent="0.2">
      <c r="A22121" t="s">
        <v>35733</v>
      </c>
      <c r="B22121" t="s">
        <v>35734</v>
      </c>
      <c r="C22121" t="s">
        <v>523</v>
      </c>
      <c r="D22121" t="s">
        <v>14</v>
      </c>
      <c r="E22121" t="s">
        <v>579</v>
      </c>
      <c r="F22121" s="2" t="str">
        <f>HYPERLINK("http://www.otzar.org/book.asp?156730","מדרש חסרות ויתרות - תכלאל כת""י מהרי""ץ - ליקוטי שושן")</f>
        <v>מדרש חסרות ויתרות - תכלאל כת"י מהרי"ץ - ליקוטי שושן</v>
      </c>
    </row>
    <row r="22122" spans="1:6" x14ac:dyDescent="0.2">
      <c r="A22122" t="s">
        <v>35735</v>
      </c>
      <c r="B22122" t="s">
        <v>35736</v>
      </c>
      <c r="C22122" t="s">
        <v>550</v>
      </c>
      <c r="D22122" t="s">
        <v>15825</v>
      </c>
      <c r="E22122" t="s">
        <v>241</v>
      </c>
      <c r="F22122" s="2" t="str">
        <f>HYPERLINK("http://www.otzar.org/book.asp?14910","מדרש יהודה")</f>
        <v>מדרש יהודה</v>
      </c>
    </row>
    <row r="22123" spans="1:6" x14ac:dyDescent="0.2">
      <c r="A22123" t="s">
        <v>35737</v>
      </c>
      <c r="B22123" t="s">
        <v>1990</v>
      </c>
      <c r="C22123" t="s">
        <v>1374</v>
      </c>
      <c r="D22123" t="s">
        <v>691</v>
      </c>
      <c r="E22123" t="s">
        <v>35738</v>
      </c>
      <c r="F22123" s="2" t="str">
        <f>HYPERLINK("http://www.otzar.org/book.asp?5521","מדרש יהונתן")</f>
        <v>מדרש יהונתן</v>
      </c>
    </row>
    <row r="22124" spans="1:6" x14ac:dyDescent="0.2">
      <c r="A22124" t="s">
        <v>35739</v>
      </c>
      <c r="B22124" t="s">
        <v>35740</v>
      </c>
      <c r="C22124" t="s">
        <v>180</v>
      </c>
      <c r="D22124" t="s">
        <v>412</v>
      </c>
      <c r="E22124" t="s">
        <v>158</v>
      </c>
      <c r="F22124" s="2" t="str">
        <f>HYPERLINK("http://www.otzar.org/book.asp?84877","מדרש ילמדנו עם באור כתנת תשבץ")</f>
        <v>מדרש ילמדנו עם באור כתנת תשבץ</v>
      </c>
    </row>
    <row r="22125" spans="1:6" x14ac:dyDescent="0.2">
      <c r="A22125" t="s">
        <v>35741</v>
      </c>
      <c r="B22125" t="s">
        <v>20824</v>
      </c>
      <c r="C22125" t="s">
        <v>360</v>
      </c>
      <c r="D22125" t="s">
        <v>6840</v>
      </c>
      <c r="E22125" t="s">
        <v>158</v>
      </c>
      <c r="F22125" s="2" t="str">
        <f>HYPERLINK("http://www.otzar.org/book.asp?51687","מדרש יעב""ץ")</f>
        <v>מדרש יעב"ץ</v>
      </c>
    </row>
    <row r="22126" spans="1:6" x14ac:dyDescent="0.2">
      <c r="A22126" t="s">
        <v>35742</v>
      </c>
      <c r="B22126" t="s">
        <v>35743</v>
      </c>
      <c r="C22126" t="s">
        <v>2543</v>
      </c>
      <c r="D22126" t="s">
        <v>100</v>
      </c>
      <c r="E22126" t="s">
        <v>43</v>
      </c>
      <c r="F22126" s="2" t="str">
        <f>HYPERLINK("http://www.otzar.org/book.asp?155773","מדרש ישראל")</f>
        <v>מדרש ישראל</v>
      </c>
    </row>
    <row r="22127" spans="1:6" x14ac:dyDescent="0.2">
      <c r="A22127" t="s">
        <v>35744</v>
      </c>
      <c r="B22127" t="s">
        <v>35745</v>
      </c>
      <c r="C22127" t="s">
        <v>35746</v>
      </c>
      <c r="D22127" t="s">
        <v>2038</v>
      </c>
      <c r="F22127" s="2" t="str">
        <f>HYPERLINK("http://www.otzar.org/book.asp?614560","מדרש כונן")</f>
        <v>מדרש כונן</v>
      </c>
    </row>
    <row r="22128" spans="1:6" x14ac:dyDescent="0.2">
      <c r="A22128" t="s">
        <v>35744</v>
      </c>
      <c r="B22128" t="s">
        <v>35747</v>
      </c>
      <c r="C22128" t="s">
        <v>1096</v>
      </c>
      <c r="D22128" t="s">
        <v>352</v>
      </c>
      <c r="E22128" t="s">
        <v>43</v>
      </c>
      <c r="F22128" s="2" t="str">
        <f>HYPERLINK("http://www.otzar.org/book.asp?14744","מדרש כונן")</f>
        <v>מדרש כונן</v>
      </c>
    </row>
    <row r="22129" spans="1:6" x14ac:dyDescent="0.2">
      <c r="A22129" t="s">
        <v>35748</v>
      </c>
      <c r="B22129" t="s">
        <v>35749</v>
      </c>
      <c r="C22129" t="s">
        <v>2465</v>
      </c>
      <c r="D22129" t="s">
        <v>283</v>
      </c>
      <c r="E22129" t="s">
        <v>144</v>
      </c>
      <c r="F22129" s="2" t="str">
        <f>HYPERLINK("http://www.otzar.org/book.asp?200190","מדרש כתובה - 2 כר'")</f>
        <v>מדרש כתובה - 2 כר'</v>
      </c>
    </row>
    <row r="22130" spans="1:6" x14ac:dyDescent="0.2">
      <c r="A22130" t="s">
        <v>35750</v>
      </c>
      <c r="B22130" t="s">
        <v>35751</v>
      </c>
      <c r="C22130" t="s">
        <v>3635</v>
      </c>
      <c r="D22130" t="s">
        <v>60</v>
      </c>
      <c r="E22130" t="s">
        <v>1847</v>
      </c>
      <c r="F22130" s="2" t="str">
        <f>HYPERLINK("http://www.otzar.org/book.asp?24780","מדרש לפירושים")</f>
        <v>מדרש לפירושים</v>
      </c>
    </row>
    <row r="22131" spans="1:6" x14ac:dyDescent="0.2">
      <c r="A22131" t="s">
        <v>35752</v>
      </c>
      <c r="B22131" t="s">
        <v>35753</v>
      </c>
      <c r="C22131" t="s">
        <v>20</v>
      </c>
      <c r="D22131" t="s">
        <v>11472</v>
      </c>
      <c r="E22131" t="s">
        <v>158</v>
      </c>
      <c r="F22131" s="2" t="str">
        <f>HYPERLINK("http://www.otzar.org/book.asp?63321","מדרש מלאכת המשכן")</f>
        <v>מדרש מלאכת המשכן</v>
      </c>
    </row>
    <row r="22132" spans="1:6" x14ac:dyDescent="0.2">
      <c r="A22132" t="s">
        <v>35754</v>
      </c>
      <c r="B22132" t="s">
        <v>15834</v>
      </c>
      <c r="C22132" t="s">
        <v>558</v>
      </c>
      <c r="D22132" t="s">
        <v>661</v>
      </c>
      <c r="E22132" t="s">
        <v>64</v>
      </c>
      <c r="F22132" s="2" t="str">
        <f>HYPERLINK("http://www.otzar.org/book.asp?24781","מדרש מספר")</f>
        <v>מדרש מספר</v>
      </c>
    </row>
    <row r="22133" spans="1:6" x14ac:dyDescent="0.2">
      <c r="A22133" t="s">
        <v>35755</v>
      </c>
      <c r="B22133" t="s">
        <v>19911</v>
      </c>
      <c r="C22133" t="s">
        <v>2543</v>
      </c>
      <c r="D22133" t="s">
        <v>35756</v>
      </c>
      <c r="F22133" s="2" t="str">
        <f>HYPERLINK("http://www.otzar.org/book.asp?197396","מדרש מעורר")</f>
        <v>מדרש מעורר</v>
      </c>
    </row>
    <row r="22134" spans="1:6" x14ac:dyDescent="0.2">
      <c r="A22134" t="s">
        <v>35757</v>
      </c>
      <c r="B22134" t="s">
        <v>35758</v>
      </c>
      <c r="C22134" t="s">
        <v>129</v>
      </c>
      <c r="D22134" t="s">
        <v>14</v>
      </c>
      <c r="E22134" t="s">
        <v>2418</v>
      </c>
      <c r="F22134" s="2" t="str">
        <f>HYPERLINK("http://www.otzar.org/book.asp?148875","מדרש משה &lt;מדרכי משה&gt; - 5 כר'")</f>
        <v>מדרש משה &lt;מדרכי משה&gt; - 5 כר'</v>
      </c>
    </row>
    <row r="22135" spans="1:6" x14ac:dyDescent="0.2">
      <c r="A22135" t="s">
        <v>35759</v>
      </c>
      <c r="B22135" t="s">
        <v>17455</v>
      </c>
      <c r="C22135" t="s">
        <v>553</v>
      </c>
      <c r="D22135" t="s">
        <v>14</v>
      </c>
      <c r="E22135" t="s">
        <v>579</v>
      </c>
      <c r="F22135" s="2" t="str">
        <f>HYPERLINK("http://www.otzar.org/book.asp?181460","מדרש משה")</f>
        <v>מדרש משה</v>
      </c>
    </row>
    <row r="22136" spans="1:6" x14ac:dyDescent="0.2">
      <c r="A22136" t="s">
        <v>35760</v>
      </c>
      <c r="B22136" t="s">
        <v>35761</v>
      </c>
      <c r="C22136" t="s">
        <v>55</v>
      </c>
      <c r="D22136" t="s">
        <v>56</v>
      </c>
      <c r="E22136" t="s">
        <v>43</v>
      </c>
      <c r="F22136" s="2" t="str">
        <f>HYPERLINK("http://www.otzar.org/book.asp?102318","מדרש משלי רבתי &lt;זרע אברהם&gt;")</f>
        <v>מדרש משלי רבתי &lt;זרע אברהם&gt;</v>
      </c>
    </row>
    <row r="22137" spans="1:6" x14ac:dyDescent="0.2">
      <c r="A22137" t="s">
        <v>35762</v>
      </c>
      <c r="B22137" t="s">
        <v>35763</v>
      </c>
      <c r="C22137" t="s">
        <v>568</v>
      </c>
      <c r="D22137" t="s">
        <v>35764</v>
      </c>
      <c r="E22137" t="s">
        <v>43</v>
      </c>
      <c r="F22137" s="2" t="str">
        <f>HYPERLINK("http://www.otzar.org/book.asp?191247","מדרש משלי רבתי &lt;ביאור מספיק בדרך קצרה&gt;")</f>
        <v>מדרש משלי רבתי &lt;ביאור מספיק בדרך קצרה&gt;</v>
      </c>
    </row>
    <row r="22138" spans="1:6" x14ac:dyDescent="0.2">
      <c r="A22138" t="s">
        <v>35765</v>
      </c>
      <c r="B22138" t="s">
        <v>35766</v>
      </c>
      <c r="C22138" t="s">
        <v>35468</v>
      </c>
      <c r="D22138" t="s">
        <v>1490</v>
      </c>
      <c r="F22138" s="2" t="str">
        <f>HYPERLINK("http://www.otzar.org/book.asp?164922","מדרש משלי")</f>
        <v>מדרש משלי</v>
      </c>
    </row>
    <row r="22139" spans="1:6" x14ac:dyDescent="0.2">
      <c r="A22139" t="s">
        <v>35765</v>
      </c>
      <c r="B22139" t="s">
        <v>35767</v>
      </c>
      <c r="C22139" t="s">
        <v>617</v>
      </c>
      <c r="D22139" t="s">
        <v>56</v>
      </c>
      <c r="E22139" t="s">
        <v>43</v>
      </c>
      <c r="F22139" s="2" t="str">
        <f>HYPERLINK("http://www.otzar.org/book.asp?102317","מדרש משלי")</f>
        <v>מדרש משלי</v>
      </c>
    </row>
    <row r="22140" spans="1:6" x14ac:dyDescent="0.2">
      <c r="A22140" t="s">
        <v>35768</v>
      </c>
      <c r="B22140" t="s">
        <v>35769</v>
      </c>
      <c r="C22140" t="s">
        <v>1619</v>
      </c>
      <c r="D22140" t="s">
        <v>216</v>
      </c>
      <c r="E22140" t="s">
        <v>35770</v>
      </c>
      <c r="F22140" s="2" t="str">
        <f>HYPERLINK("http://www.otzar.org/book.asp?8756","מדרש סגולת ישראל &lt;כת""י&gt; - 2 כר'")</f>
        <v>מדרש סגולת ישראל &lt;כת"י&gt; - 2 כר'</v>
      </c>
    </row>
    <row r="22141" spans="1:6" x14ac:dyDescent="0.2">
      <c r="A22141" t="s">
        <v>35771</v>
      </c>
      <c r="B22141" t="s">
        <v>35769</v>
      </c>
      <c r="C22141" t="s">
        <v>87</v>
      </c>
      <c r="D22141" t="s">
        <v>14</v>
      </c>
      <c r="E22141" t="s">
        <v>12983</v>
      </c>
      <c r="F22141" s="2" t="str">
        <f>HYPERLINK("http://www.otzar.org/book.asp?16933","מדרש סגולת ישראל - 2 כר'")</f>
        <v>מדרש סגולת ישראל - 2 כר'</v>
      </c>
    </row>
    <row r="22142" spans="1:6" x14ac:dyDescent="0.2">
      <c r="A22142" t="s">
        <v>35772</v>
      </c>
      <c r="B22142" t="s">
        <v>35773</v>
      </c>
      <c r="C22142" t="s">
        <v>6989</v>
      </c>
      <c r="D22142" t="s">
        <v>260</v>
      </c>
      <c r="E22142" t="s">
        <v>43</v>
      </c>
      <c r="F22142" s="2" t="str">
        <f>HYPERLINK("http://www.otzar.org/book.asp?181146","מדרש עשרת הדברות")</f>
        <v>מדרש עשרת הדברות</v>
      </c>
    </row>
    <row r="22143" spans="1:6" x14ac:dyDescent="0.2">
      <c r="A22143" t="s">
        <v>35774</v>
      </c>
      <c r="B22143" t="s">
        <v>35775</v>
      </c>
      <c r="C22143" t="s">
        <v>1535</v>
      </c>
      <c r="D22143" t="s">
        <v>14</v>
      </c>
      <c r="E22143" t="s">
        <v>579</v>
      </c>
      <c r="F22143" s="2" t="str">
        <f>HYPERLINK("http://www.otzar.org/book.asp?16941","מדרש עשרת הדברות - 3 כר'")</f>
        <v>מדרש עשרת הדברות - 3 כר'</v>
      </c>
    </row>
    <row r="22144" spans="1:6" x14ac:dyDescent="0.2">
      <c r="A22144" t="s">
        <v>35776</v>
      </c>
      <c r="B22144" t="s">
        <v>35777</v>
      </c>
      <c r="C22144" t="s">
        <v>649</v>
      </c>
      <c r="D22144" t="s">
        <v>855</v>
      </c>
      <c r="E22144" t="s">
        <v>43</v>
      </c>
      <c r="F22144" s="2" t="str">
        <f>HYPERLINK("http://www.otzar.org/book.asp?173097","מדרש פליאה &lt;דמשק אליעזר&gt;")</f>
        <v>מדרש פליאה &lt;דמשק אליעזר&gt;</v>
      </c>
    </row>
    <row r="22145" spans="1:6" x14ac:dyDescent="0.2">
      <c r="A22145" t="s">
        <v>35778</v>
      </c>
      <c r="B22145" t="s">
        <v>7816</v>
      </c>
      <c r="C22145" t="s">
        <v>919</v>
      </c>
      <c r="D22145" t="s">
        <v>9</v>
      </c>
      <c r="E22145" t="s">
        <v>43</v>
      </c>
      <c r="F22145" s="2" t="str">
        <f>HYPERLINK("http://www.otzar.org/book.asp?165940","מדרש פליאה &lt;כתנת תשב""ץ&gt; - 2 כר'")</f>
        <v>מדרש פליאה &lt;כתנת תשב"ץ&gt; - 2 כר'</v>
      </c>
    </row>
    <row r="22146" spans="1:6" x14ac:dyDescent="0.2">
      <c r="A22146" t="s">
        <v>35779</v>
      </c>
      <c r="B22146" t="s">
        <v>35780</v>
      </c>
      <c r="C22146" t="s">
        <v>617</v>
      </c>
      <c r="D22146" t="s">
        <v>283</v>
      </c>
      <c r="E22146" t="s">
        <v>43</v>
      </c>
      <c r="F22146" s="2" t="str">
        <f>HYPERLINK("http://www.otzar.org/book.asp?5000","מדרש פליאה &lt;בינת נבונים&gt;")</f>
        <v>מדרש פליאה &lt;בינת נבונים&gt;</v>
      </c>
    </row>
    <row r="22147" spans="1:6" x14ac:dyDescent="0.2">
      <c r="A22147" t="s">
        <v>35781</v>
      </c>
      <c r="B22147" t="s">
        <v>35780</v>
      </c>
      <c r="C22147" t="s">
        <v>445</v>
      </c>
      <c r="D22147" t="s">
        <v>225</v>
      </c>
      <c r="E22147" t="s">
        <v>43</v>
      </c>
      <c r="F22147" s="2" t="str">
        <f>HYPERLINK("http://www.otzar.org/book.asp?11711","מדרש פליאה החדש &lt;ביאור חידוד ופלפול&gt;")</f>
        <v>מדרש פליאה החדש &lt;ביאור חידוד ופלפול&gt;</v>
      </c>
    </row>
    <row r="22148" spans="1:6" x14ac:dyDescent="0.2">
      <c r="A22148" t="s">
        <v>35782</v>
      </c>
      <c r="B22148" t="s">
        <v>35783</v>
      </c>
      <c r="C22148" t="s">
        <v>362</v>
      </c>
      <c r="D22148" t="s">
        <v>225</v>
      </c>
      <c r="E22148" t="s">
        <v>43</v>
      </c>
      <c r="F22148" s="2" t="str">
        <f>HYPERLINK("http://www.otzar.org/book.asp?23503","מדרש פליאה עם ביאור זכרון מנחם")</f>
        <v>מדרש פליאה עם ביאור זכרון מנחם</v>
      </c>
    </row>
    <row r="22149" spans="1:6" x14ac:dyDescent="0.2">
      <c r="A22149" t="s">
        <v>35780</v>
      </c>
      <c r="B22149" t="s">
        <v>35780</v>
      </c>
      <c r="C22149" t="s">
        <v>99</v>
      </c>
      <c r="D22149" t="s">
        <v>592</v>
      </c>
      <c r="E22149" t="s">
        <v>43</v>
      </c>
      <c r="F22149" s="2" t="str">
        <f>HYPERLINK("http://www.otzar.org/book.asp?623896","מדרש פליאה")</f>
        <v>מדרש פליאה</v>
      </c>
    </row>
    <row r="22150" spans="1:6" x14ac:dyDescent="0.2">
      <c r="A22150" t="s">
        <v>35784</v>
      </c>
      <c r="B22150" t="s">
        <v>6671</v>
      </c>
      <c r="C22150" t="s">
        <v>3106</v>
      </c>
      <c r="D22150" t="s">
        <v>27</v>
      </c>
      <c r="E22150" t="s">
        <v>226</v>
      </c>
      <c r="F22150" s="2" t="str">
        <f>HYPERLINK("http://www.otzar.org/book.asp?10530","מדרש פנחס &lt;עם גבעת פנחס&gt;")</f>
        <v>מדרש פנחס &lt;עם גבעת פנחס&gt;</v>
      </c>
    </row>
    <row r="22151" spans="1:6" x14ac:dyDescent="0.2">
      <c r="A22151" t="s">
        <v>35785</v>
      </c>
      <c r="B22151" t="s">
        <v>6671</v>
      </c>
      <c r="C22151" t="s">
        <v>445</v>
      </c>
      <c r="D22151" t="s">
        <v>283</v>
      </c>
      <c r="E22151" t="s">
        <v>213</v>
      </c>
      <c r="F22151" s="2" t="str">
        <f>HYPERLINK("http://www.otzar.org/book.asp?149215","מדרש פנחס החדש")</f>
        <v>מדרש פנחס החדש</v>
      </c>
    </row>
    <row r="22152" spans="1:6" x14ac:dyDescent="0.2">
      <c r="A22152" t="s">
        <v>35786</v>
      </c>
      <c r="B22152" t="s">
        <v>35787</v>
      </c>
      <c r="C22152" t="s">
        <v>3957</v>
      </c>
      <c r="D22152" t="s">
        <v>563</v>
      </c>
      <c r="E22152" t="s">
        <v>144</v>
      </c>
      <c r="F22152" s="2" t="str">
        <f>HYPERLINK("http://www.otzar.org/book.asp?24782","מדרש פנחס")</f>
        <v>מדרש פנחס</v>
      </c>
    </row>
    <row r="22153" spans="1:6" x14ac:dyDescent="0.2">
      <c r="A22153" t="s">
        <v>35786</v>
      </c>
      <c r="B22153" t="s">
        <v>12648</v>
      </c>
      <c r="C22153" t="s">
        <v>176</v>
      </c>
      <c r="D22153" t="s">
        <v>14</v>
      </c>
      <c r="E22153" t="s">
        <v>1103</v>
      </c>
      <c r="F22153" s="2" t="str">
        <f>HYPERLINK("http://www.otzar.org/book.asp?85750","מדרש פנחס")</f>
        <v>מדרש פנחס</v>
      </c>
    </row>
    <row r="22154" spans="1:6" x14ac:dyDescent="0.2">
      <c r="A22154" t="s">
        <v>35788</v>
      </c>
      <c r="B22154" t="s">
        <v>6671</v>
      </c>
      <c r="C22154" t="s">
        <v>419</v>
      </c>
      <c r="D22154" t="s">
        <v>486</v>
      </c>
      <c r="E22154" t="s">
        <v>140</v>
      </c>
      <c r="F22154" s="2" t="str">
        <f>HYPERLINK("http://www.otzar.org/book.asp?628230","מדרש פנחס - 3 כר'")</f>
        <v>מדרש פנחס - 3 כר'</v>
      </c>
    </row>
    <row r="22155" spans="1:6" x14ac:dyDescent="0.2">
      <c r="A22155" t="s">
        <v>35789</v>
      </c>
      <c r="B22155" t="s">
        <v>35790</v>
      </c>
      <c r="C22155" t="s">
        <v>1519</v>
      </c>
      <c r="D22155" t="s">
        <v>544</v>
      </c>
      <c r="E22155" t="s">
        <v>43</v>
      </c>
      <c r="F22155" s="2" t="str">
        <f>HYPERLINK("http://www.otzar.org/book.asp?181171","מדרש פסיקתא רבתי")</f>
        <v>מדרש פסיקתא רבתי</v>
      </c>
    </row>
    <row r="22156" spans="1:6" x14ac:dyDescent="0.2">
      <c r="A22156" t="s">
        <v>35789</v>
      </c>
      <c r="B22156" t="s">
        <v>35791</v>
      </c>
      <c r="C22156" t="s">
        <v>156</v>
      </c>
      <c r="D22156" t="s">
        <v>535</v>
      </c>
      <c r="E22156" t="s">
        <v>43</v>
      </c>
      <c r="F22156" s="2" t="str">
        <f>HYPERLINK("http://www.otzar.org/book.asp?8743","מדרש פסיקתא רבתי")</f>
        <v>מדרש פסיקתא רבתי</v>
      </c>
    </row>
    <row r="22157" spans="1:6" x14ac:dyDescent="0.2">
      <c r="A22157" t="s">
        <v>35792</v>
      </c>
      <c r="B22157" t="s">
        <v>35793</v>
      </c>
      <c r="C22157" t="s">
        <v>1096</v>
      </c>
      <c r="D22157" t="s">
        <v>35756</v>
      </c>
      <c r="E22157" t="s">
        <v>43</v>
      </c>
      <c r="F22157" s="2" t="str">
        <f>HYPERLINK("http://www.otzar.org/book.asp?197457","מדרש צדיקים")</f>
        <v>מדרש צדיקים</v>
      </c>
    </row>
    <row r="22158" spans="1:6" x14ac:dyDescent="0.2">
      <c r="A22158" t="s">
        <v>35794</v>
      </c>
      <c r="B22158" t="s">
        <v>29796</v>
      </c>
      <c r="C22158" t="s">
        <v>23</v>
      </c>
      <c r="D22158" t="s">
        <v>14</v>
      </c>
      <c r="E22158" t="s">
        <v>158</v>
      </c>
      <c r="F22158" s="2" t="str">
        <f>HYPERLINK("http://www.otzar.org/book.asp?199886","מדרש קהלת עם יפה ענף &lt;מהדורה חדשה&gt;")</f>
        <v>מדרש קהלת עם יפה ענף &lt;מהדורה חדשה&gt;</v>
      </c>
    </row>
    <row r="22159" spans="1:6" x14ac:dyDescent="0.2">
      <c r="A22159" t="s">
        <v>35795</v>
      </c>
      <c r="B22159" t="s">
        <v>35796</v>
      </c>
      <c r="C22159" t="s">
        <v>14085</v>
      </c>
      <c r="D22159" t="s">
        <v>267</v>
      </c>
      <c r="E22159" t="s">
        <v>43</v>
      </c>
      <c r="F22159" s="2" t="str">
        <f>HYPERLINK("http://www.otzar.org/book.asp?21240","מדרש רבה &lt;מתנות כהונה, פירוש מהרי""א&gt; - 4 כר'")</f>
        <v>מדרש רבה &lt;מתנות כהונה, פירוש מהרי"א&gt; - 4 כר'</v>
      </c>
    </row>
    <row r="22160" spans="1:6" x14ac:dyDescent="0.2">
      <c r="A22160" t="s">
        <v>35797</v>
      </c>
      <c r="B22160" t="s">
        <v>35798</v>
      </c>
      <c r="C22160" t="s">
        <v>1954</v>
      </c>
      <c r="D22160" t="s">
        <v>216</v>
      </c>
      <c r="E22160" t="s">
        <v>1103</v>
      </c>
      <c r="F22160" s="2" t="str">
        <f>HYPERLINK("http://www.otzar.org/book.asp?83895","מדרש רבה &lt;מפורש ומתורגם&gt; - 8 כר'")</f>
        <v>מדרש רבה &lt;מפורש ומתורגם&gt; - 8 כר'</v>
      </c>
    </row>
    <row r="22161" spans="1:6" x14ac:dyDescent="0.2">
      <c r="A22161" t="s">
        <v>35799</v>
      </c>
      <c r="B22161" t="s">
        <v>29796</v>
      </c>
      <c r="C22161" t="s">
        <v>16796</v>
      </c>
      <c r="D22161" t="s">
        <v>2303</v>
      </c>
      <c r="E22161" t="s">
        <v>43</v>
      </c>
      <c r="F22161" s="2" t="str">
        <f>HYPERLINK("http://www.otzar.org/book.asp?103291","מדרש רבה &lt;יפה תואר&gt; - 7 כר'")</f>
        <v>מדרש רבה &lt;יפה תואר&gt; - 7 כר'</v>
      </c>
    </row>
    <row r="22162" spans="1:6" x14ac:dyDescent="0.2">
      <c r="A22162" t="s">
        <v>35800</v>
      </c>
      <c r="B22162" t="s">
        <v>35141</v>
      </c>
      <c r="C22162" t="s">
        <v>35801</v>
      </c>
      <c r="D22162" t="s">
        <v>292</v>
      </c>
      <c r="E22162" t="s">
        <v>43</v>
      </c>
      <c r="F22162" s="2" t="str">
        <f>HYPERLINK("http://www.otzar.org/book.asp?102049","מדרש רבה &lt;עיר גבורים - רחובות עיר&gt; - א (בראשית)")</f>
        <v>מדרש רבה &lt;עיר גבורים - רחובות עיר&gt; - א (בראשית)</v>
      </c>
    </row>
    <row r="22163" spans="1:6" x14ac:dyDescent="0.2">
      <c r="A22163" t="s">
        <v>35802</v>
      </c>
      <c r="B22163" t="s">
        <v>35803</v>
      </c>
      <c r="D22163" t="s">
        <v>582</v>
      </c>
      <c r="E22163" t="s">
        <v>43</v>
      </c>
      <c r="F22163" s="2" t="str">
        <f>HYPERLINK("http://www.otzar.org/book.asp?170414","מדרש רבה &lt;ווילנא&gt; - 2 כר'")</f>
        <v>מדרש רבה &lt;ווילנא&gt; - 2 כר'</v>
      </c>
    </row>
    <row r="22164" spans="1:6" x14ac:dyDescent="0.2">
      <c r="A22164" t="s">
        <v>35804</v>
      </c>
      <c r="B22164" t="s">
        <v>35803</v>
      </c>
      <c r="C22164" t="s">
        <v>129</v>
      </c>
      <c r="D22164" t="s">
        <v>14</v>
      </c>
      <c r="E22164" t="s">
        <v>43</v>
      </c>
      <c r="F22164" s="2" t="str">
        <f>HYPERLINK("http://www.otzar.org/book.asp?50006","מדרש רבה &lt;טקסט&gt;")</f>
        <v>מדרש רבה &lt;טקסט&gt;</v>
      </c>
    </row>
    <row r="22165" spans="1:6" x14ac:dyDescent="0.2">
      <c r="A22165" t="s">
        <v>35805</v>
      </c>
      <c r="B22165" t="s">
        <v>35803</v>
      </c>
      <c r="C22165" t="s">
        <v>20</v>
      </c>
      <c r="D22165" t="s">
        <v>2347</v>
      </c>
      <c r="E22165" t="s">
        <v>43</v>
      </c>
      <c r="F22165" s="2" t="str">
        <f>HYPERLINK("http://www.otzar.org/book.asp?6640","מדרש רבה &lt;מתנות כהונה, אסיפת אמרים&gt; - 5 כר'")</f>
        <v>מדרש רבה &lt;מתנות כהונה, אסיפת אמרים&gt; - 5 כר'</v>
      </c>
    </row>
    <row r="22166" spans="1:6" x14ac:dyDescent="0.2">
      <c r="A22166" t="s">
        <v>35806</v>
      </c>
      <c r="B22166" t="s">
        <v>35807</v>
      </c>
      <c r="C22166" t="s">
        <v>10359</v>
      </c>
      <c r="D22166" t="s">
        <v>1490</v>
      </c>
      <c r="E22166" t="s">
        <v>43</v>
      </c>
      <c r="F22166" s="2" t="str">
        <f>HYPERLINK("http://www.otzar.org/book.asp?53431","מדרש רבה &lt;מדרש רבות&gt; - 2 כר'")</f>
        <v>מדרש רבה &lt;מדרש רבות&gt; - 2 כר'</v>
      </c>
    </row>
    <row r="22167" spans="1:6" x14ac:dyDescent="0.2">
      <c r="A22167" t="s">
        <v>35808</v>
      </c>
      <c r="B22167" t="s">
        <v>35809</v>
      </c>
      <c r="C22167" t="s">
        <v>1323</v>
      </c>
      <c r="D22167" t="s">
        <v>49</v>
      </c>
      <c r="E22167" t="s">
        <v>43</v>
      </c>
      <c r="F22167" s="2" t="str">
        <f>HYPERLINK("http://www.otzar.org/book.asp?17039","מדרש רבה &lt;מדרש רבות&gt; - תורה מגלות")</f>
        <v>מדרש רבה &lt;מדרש רבות&gt; - תורה מגלות</v>
      </c>
    </row>
    <row r="22168" spans="1:6" x14ac:dyDescent="0.2">
      <c r="A22168" t="s">
        <v>35810</v>
      </c>
      <c r="B22168" t="s">
        <v>35811</v>
      </c>
      <c r="C22168" t="s">
        <v>35812</v>
      </c>
      <c r="D22168" t="s">
        <v>729</v>
      </c>
      <c r="F22168" s="2" t="str">
        <f>HYPERLINK("http://www.otzar.org/book.asp?164855","מדרש רבה &lt;מתנות כהונה&gt;")</f>
        <v>מדרש רבה &lt;מתנות כהונה&gt;</v>
      </c>
    </row>
    <row r="22169" spans="1:6" x14ac:dyDescent="0.2">
      <c r="A22169" t="s">
        <v>35808</v>
      </c>
      <c r="B22169" t="s">
        <v>35813</v>
      </c>
      <c r="C22169" t="s">
        <v>35814</v>
      </c>
      <c r="D22169" t="s">
        <v>2290</v>
      </c>
      <c r="E22169" t="s">
        <v>43</v>
      </c>
      <c r="F22169" s="2" t="str">
        <f>HYPERLINK("http://www.otzar.org/book.asp?103289","מדרש רבה &lt;מדרש רבות&gt; - תורה מגלות")</f>
        <v>מדרש רבה &lt;מדרש רבות&gt; - תורה מגלות</v>
      </c>
    </row>
    <row r="22170" spans="1:6" x14ac:dyDescent="0.2">
      <c r="A22170" t="s">
        <v>35815</v>
      </c>
      <c r="B22170" t="s">
        <v>35816</v>
      </c>
      <c r="C22170" t="s">
        <v>2970</v>
      </c>
      <c r="D22170" t="s">
        <v>60</v>
      </c>
      <c r="E22170" t="s">
        <v>43</v>
      </c>
      <c r="F22170" s="2" t="str">
        <f>HYPERLINK("http://www.otzar.org/book.asp?103323","מדרש רבה &lt;מדרש רבות&gt; - דברים, איכה, קהלת")</f>
        <v>מדרש רבה &lt;מדרש רבות&gt; - דברים, איכה, קהלת</v>
      </c>
    </row>
    <row r="22171" spans="1:6" x14ac:dyDescent="0.2">
      <c r="A22171" t="s">
        <v>35817</v>
      </c>
      <c r="B22171" t="s">
        <v>35818</v>
      </c>
      <c r="C22171" t="s">
        <v>35819</v>
      </c>
      <c r="D22171" t="s">
        <v>56</v>
      </c>
      <c r="E22171" t="s">
        <v>43</v>
      </c>
      <c r="F22171" s="2" t="str">
        <f>HYPERLINK("http://www.otzar.org/book.asp?102322","מדרש רבה &lt;מתנות כהונה, אשד הנחלים&gt; - 4 כר'")</f>
        <v>מדרש רבה &lt;מתנות כהונה, אשד הנחלים&gt; - 4 כר'</v>
      </c>
    </row>
    <row r="22172" spans="1:6" x14ac:dyDescent="0.2">
      <c r="A22172" t="s">
        <v>35820</v>
      </c>
      <c r="B22172" t="s">
        <v>35821</v>
      </c>
      <c r="C22172" t="s">
        <v>163</v>
      </c>
      <c r="D22172" t="s">
        <v>20713</v>
      </c>
      <c r="E22172" t="s">
        <v>1103</v>
      </c>
      <c r="F22172" s="2" t="str">
        <f>HYPERLINK("http://www.otzar.org/book.asp?64038","מדרש רבה &lt;פירושי רבי ידעיה הפניני, רבי יעקב עמדן, ר""י אדלר&gt;")</f>
        <v>מדרש רבה &lt;פירושי רבי ידעיה הפניני, רבי יעקב עמדן, ר"י אדלר&gt;</v>
      </c>
    </row>
    <row r="22173" spans="1:6" x14ac:dyDescent="0.2">
      <c r="A22173" t="s">
        <v>35822</v>
      </c>
      <c r="B22173" t="s">
        <v>35823</v>
      </c>
      <c r="C22173" t="s">
        <v>550</v>
      </c>
      <c r="D22173" t="s">
        <v>280</v>
      </c>
      <c r="E22173" t="s">
        <v>43</v>
      </c>
      <c r="F22173" s="2" t="str">
        <f>HYPERLINK("http://www.otzar.org/book.asp?101444","מדרש רבה &lt;מדרש רבות&gt; - 3 כר'")</f>
        <v>מדרש רבה &lt;מדרש רבות&gt; - 3 כר'</v>
      </c>
    </row>
    <row r="22174" spans="1:6" x14ac:dyDescent="0.2">
      <c r="A22174" t="s">
        <v>35824</v>
      </c>
      <c r="B22174" t="s">
        <v>35825</v>
      </c>
      <c r="C22174" t="s">
        <v>594</v>
      </c>
      <c r="D22174" t="s">
        <v>2295</v>
      </c>
      <c r="E22174" t="s">
        <v>43</v>
      </c>
      <c r="F22174" s="2" t="str">
        <f>HYPERLINK("http://www.otzar.org/book.asp?101443","מדרש רבה &lt;מדרש רבות&gt; - ב (ויקרא, במדבר, דברים, מגלות)")</f>
        <v>מדרש רבה &lt;מדרש רבות&gt; - ב (ויקרא, במדבר, דברים, מגלות)</v>
      </c>
    </row>
    <row r="22175" spans="1:6" x14ac:dyDescent="0.2">
      <c r="A22175" t="s">
        <v>35826</v>
      </c>
      <c r="B22175" t="s">
        <v>35827</v>
      </c>
      <c r="C22175" t="s">
        <v>1335</v>
      </c>
      <c r="D22175" t="s">
        <v>283</v>
      </c>
      <c r="E22175" t="s">
        <v>43</v>
      </c>
      <c r="F22175" s="2" t="str">
        <f>HYPERLINK("http://www.otzar.org/book.asp?106151","מדרש רבה &lt;מתנות כהונה, אסיפת מאמרים&gt; - 5 כר'")</f>
        <v>מדרש רבה &lt;מתנות כהונה, אסיפת מאמרים&gt; - 5 כר'</v>
      </c>
    </row>
    <row r="22176" spans="1:6" x14ac:dyDescent="0.2">
      <c r="A22176" t="s">
        <v>35828</v>
      </c>
      <c r="B22176" t="s">
        <v>35829</v>
      </c>
      <c r="C22176" t="s">
        <v>429</v>
      </c>
      <c r="D22176" t="s">
        <v>283</v>
      </c>
      <c r="E22176" t="s">
        <v>1103</v>
      </c>
      <c r="F22176" s="2" t="str">
        <f>HYPERLINK("http://www.otzar.org/book.asp?51662","מדרש רבה &lt;מתנות כהונה, עברי טייטש&gt; - 5 כר'")</f>
        <v>מדרש רבה &lt;מתנות כהונה, עברי טייטש&gt; - 5 כר'</v>
      </c>
    </row>
    <row r="22177" spans="1:6" x14ac:dyDescent="0.2">
      <c r="A22177" t="s">
        <v>35830</v>
      </c>
      <c r="B22177" t="s">
        <v>35831</v>
      </c>
      <c r="C22177" t="s">
        <v>1166</v>
      </c>
      <c r="D22177" t="s">
        <v>283</v>
      </c>
      <c r="E22177" t="s">
        <v>43</v>
      </c>
      <c r="F22177" s="2" t="str">
        <f>HYPERLINK("http://www.otzar.org/book.asp?11384","מדרש רבה &lt;מתנות כהונה, אסיפת אמרים&gt; - ג (במדבר, רות, דברים, איכה, קהלת)")</f>
        <v>מדרש רבה &lt;מתנות כהונה, אסיפת אמרים&gt; - ג (במדבר, רות, דברים, איכה, קהלת)</v>
      </c>
    </row>
    <row r="22178" spans="1:6" x14ac:dyDescent="0.2">
      <c r="A22178" t="s">
        <v>35832</v>
      </c>
      <c r="B22178" t="s">
        <v>35833</v>
      </c>
      <c r="C22178" t="s">
        <v>843</v>
      </c>
      <c r="D22178" t="s">
        <v>9</v>
      </c>
      <c r="E22178" t="s">
        <v>1103</v>
      </c>
      <c r="F22178" s="2" t="str">
        <f>HYPERLINK("http://www.otzar.org/book.asp?5026","מדרש רבה &lt;עין חנוך&gt; - 2 כר'")</f>
        <v>מדרש רבה &lt;עין חנוך&gt; - 2 כר'</v>
      </c>
    </row>
    <row r="22179" spans="1:6" x14ac:dyDescent="0.2">
      <c r="A22179" t="s">
        <v>35834</v>
      </c>
      <c r="B22179" t="s">
        <v>35835</v>
      </c>
      <c r="C22179" t="s">
        <v>17</v>
      </c>
      <c r="D22179" t="s">
        <v>14</v>
      </c>
      <c r="E22179" t="s">
        <v>43</v>
      </c>
      <c r="F22179" s="2" t="str">
        <f>HYPERLINK("http://www.otzar.org/book.asp?200316","מדרש רבה &lt;מהדורת וגשל&gt; - 6 כר'")</f>
        <v>מדרש רבה &lt;מהדורת וגשל&gt; - 6 כר'</v>
      </c>
    </row>
    <row r="22180" spans="1:6" x14ac:dyDescent="0.2">
      <c r="A22180" t="s">
        <v>35836</v>
      </c>
      <c r="B22180" t="s">
        <v>35837</v>
      </c>
      <c r="E22180" t="s">
        <v>43</v>
      </c>
      <c r="F22180" s="2" t="str">
        <f>HYPERLINK("http://www.otzar.org/book.asp?196519","מדרש רבה איכה &lt;פירוש באידיש&gt;")</f>
        <v>מדרש רבה איכה &lt;פירוש באידיש&gt;</v>
      </c>
    </row>
    <row r="22181" spans="1:6" x14ac:dyDescent="0.2">
      <c r="A22181" t="s">
        <v>35838</v>
      </c>
      <c r="B22181" t="s">
        <v>35839</v>
      </c>
      <c r="C22181" t="s">
        <v>1124</v>
      </c>
      <c r="D22181" t="s">
        <v>283</v>
      </c>
      <c r="E22181" t="s">
        <v>1103</v>
      </c>
      <c r="F22181" s="2" t="str">
        <f>HYPERLINK("http://www.otzar.org/book.asp?141154","מדרש רבה על שה""ש עם ביאור כנפי יונה")</f>
        <v>מדרש רבה על שה"ש עם ביאור כנפי יונה</v>
      </c>
    </row>
    <row r="22182" spans="1:6" x14ac:dyDescent="0.2">
      <c r="A22182" t="s">
        <v>35840</v>
      </c>
      <c r="B22182" t="s">
        <v>35839</v>
      </c>
      <c r="C22182" t="s">
        <v>1124</v>
      </c>
      <c r="D22182" t="s">
        <v>283</v>
      </c>
      <c r="E22182" t="s">
        <v>1103</v>
      </c>
      <c r="F22182" s="2" t="str">
        <f>HYPERLINK("http://www.otzar.org/book.asp?172513","מדרש רבה על שה""ש עם פירוש כנפי יונה")</f>
        <v>מדרש רבה על שה"ש עם פירוש כנפי יונה</v>
      </c>
    </row>
    <row r="22183" spans="1:6" x14ac:dyDescent="0.2">
      <c r="A22183" t="s">
        <v>35841</v>
      </c>
      <c r="B22183" t="s">
        <v>34107</v>
      </c>
      <c r="C22183" t="s">
        <v>812</v>
      </c>
      <c r="D22183" t="s">
        <v>27</v>
      </c>
      <c r="E22183" t="s">
        <v>43</v>
      </c>
      <c r="F22183" s="2" t="str">
        <f>HYPERLINK("http://www.otzar.org/book.asp?145210","מדרש רבה עם פירוש אור המאיר")</f>
        <v>מדרש רבה עם פירוש אור המאיר</v>
      </c>
    </row>
    <row r="22184" spans="1:6" x14ac:dyDescent="0.2">
      <c r="A22184" t="s">
        <v>35842</v>
      </c>
      <c r="B22184" t="s">
        <v>22610</v>
      </c>
      <c r="C22184" t="s">
        <v>250</v>
      </c>
      <c r="D22184" t="s">
        <v>4269</v>
      </c>
      <c r="E22184" t="s">
        <v>1103</v>
      </c>
      <c r="F22184" s="2" t="str">
        <f>HYPERLINK("http://www.otzar.org/book.asp?141135","מדרש רבה עם פירוש קורא מראש")</f>
        <v>מדרש רבה עם פירוש קורא מראש</v>
      </c>
    </row>
    <row r="22185" spans="1:6" x14ac:dyDescent="0.2">
      <c r="A22185" t="s">
        <v>35843</v>
      </c>
      <c r="B22185" t="s">
        <v>35844</v>
      </c>
      <c r="C22185" t="s">
        <v>748</v>
      </c>
      <c r="D22185" t="s">
        <v>283</v>
      </c>
      <c r="E22185" t="s">
        <v>43</v>
      </c>
      <c r="F22185" s="2" t="str">
        <f>HYPERLINK("http://www.otzar.org/book.asp?103290","מדרש רבה - א (בראשית)")</f>
        <v>מדרש רבה - א (בראשית)</v>
      </c>
    </row>
    <row r="22186" spans="1:6" x14ac:dyDescent="0.2">
      <c r="A22186" t="s">
        <v>35845</v>
      </c>
      <c r="B22186" t="s">
        <v>9164</v>
      </c>
      <c r="C22186" t="s">
        <v>1177</v>
      </c>
      <c r="D22186" t="s">
        <v>283</v>
      </c>
      <c r="E22186" t="s">
        <v>35846</v>
      </c>
      <c r="F22186" s="2" t="str">
        <f>HYPERLINK("http://www.otzar.org/book.asp?5244","מדרש רבינו בחיי - 2 כר'")</f>
        <v>מדרש רבינו בחיי - 2 כר'</v>
      </c>
    </row>
    <row r="22187" spans="1:6" x14ac:dyDescent="0.2">
      <c r="A22187" t="s">
        <v>35847</v>
      </c>
      <c r="B22187" t="s">
        <v>35848</v>
      </c>
      <c r="C22187" t="s">
        <v>473</v>
      </c>
      <c r="D22187" t="s">
        <v>13414</v>
      </c>
      <c r="E22187" t="s">
        <v>158</v>
      </c>
      <c r="F22187" s="2" t="str">
        <f>HYPERLINK("http://www.otzar.org/book.asp?168929","מדרש רבינו דוד הנגיד")</f>
        <v>מדרש רבינו דוד הנגיד</v>
      </c>
    </row>
    <row r="22188" spans="1:6" x14ac:dyDescent="0.2">
      <c r="A22188" t="s">
        <v>35849</v>
      </c>
      <c r="B22188" t="s">
        <v>1821</v>
      </c>
      <c r="C22188" t="s">
        <v>950</v>
      </c>
      <c r="D22188" t="s">
        <v>283</v>
      </c>
      <c r="E22188" t="s">
        <v>158</v>
      </c>
      <c r="F22188" s="2" t="str">
        <f>HYPERLINK("http://www.otzar.org/book.asp?173156","מדרש רות החדש &lt;הדרת קודש&gt; - 2 כר'")</f>
        <v>מדרש רות החדש &lt;הדרת קודש&gt; - 2 כר'</v>
      </c>
    </row>
    <row r="22189" spans="1:6" x14ac:dyDescent="0.2">
      <c r="A22189" t="s">
        <v>35850</v>
      </c>
      <c r="B22189" t="s">
        <v>35851</v>
      </c>
      <c r="C22189" t="s">
        <v>146</v>
      </c>
      <c r="D22189" t="s">
        <v>14</v>
      </c>
      <c r="E22189" t="s">
        <v>703</v>
      </c>
      <c r="F22189" s="2" t="str">
        <f>HYPERLINK("http://www.otzar.org/book.asp?52907","מדרש ריב""ש טוב")</f>
        <v>מדרש ריב"ש טוב</v>
      </c>
    </row>
    <row r="22190" spans="1:6" x14ac:dyDescent="0.2">
      <c r="A22190" t="s">
        <v>35852</v>
      </c>
      <c r="B22190" t="s">
        <v>35853</v>
      </c>
      <c r="C22190" t="s">
        <v>270</v>
      </c>
      <c r="D22190" t="s">
        <v>267</v>
      </c>
      <c r="E22190" t="s">
        <v>35854</v>
      </c>
      <c r="F22190" s="2" t="str">
        <f>HYPERLINK("http://www.otzar.org/book.asp?102326","מדרש שוחר טוב &lt;יבקש רצון&gt;")</f>
        <v>מדרש שוחר טוב &lt;יבקש רצון&gt;</v>
      </c>
    </row>
    <row r="22191" spans="1:6" x14ac:dyDescent="0.2">
      <c r="A22191" t="s">
        <v>35855</v>
      </c>
      <c r="B22191" t="s">
        <v>35856</v>
      </c>
      <c r="C22191" t="s">
        <v>1706</v>
      </c>
      <c r="D22191" t="s">
        <v>283</v>
      </c>
      <c r="E22191" t="s">
        <v>43</v>
      </c>
      <c r="F22191" s="2" t="str">
        <f>HYPERLINK("http://www.otzar.org/book.asp?14733","מדרש שוחר טוב &lt;מהר""י הכהן&gt; - תהלים, שמואל, משלי")</f>
        <v>מדרש שוחר טוב &lt;מהר"י הכהן&gt; - תהלים, שמואל, משלי</v>
      </c>
    </row>
    <row r="22192" spans="1:6" x14ac:dyDescent="0.2">
      <c r="A22192" t="s">
        <v>35857</v>
      </c>
      <c r="B22192" t="s">
        <v>35858</v>
      </c>
      <c r="C22192" t="s">
        <v>603</v>
      </c>
      <c r="D22192" t="s">
        <v>283</v>
      </c>
      <c r="E22192" t="s">
        <v>1103</v>
      </c>
      <c r="F22192" s="2" t="str">
        <f>HYPERLINK("http://www.otzar.org/book.asp?6063","מדרש שוחר טוב &lt;פירוש יקר מלא כל טוב&gt; - שמואל, משלי")</f>
        <v>מדרש שוחר טוב &lt;פירוש יקר מלא כל טוב&gt; - שמואל, משלי</v>
      </c>
    </row>
    <row r="22193" spans="1:6" x14ac:dyDescent="0.2">
      <c r="A22193" t="s">
        <v>35859</v>
      </c>
      <c r="B22193" t="s">
        <v>35860</v>
      </c>
      <c r="C22193" t="s">
        <v>950</v>
      </c>
      <c r="D22193" t="s">
        <v>283</v>
      </c>
      <c r="E22193" t="s">
        <v>1103</v>
      </c>
      <c r="F22193" s="2" t="str">
        <f>HYPERLINK("http://www.otzar.org/book.asp?6068","מדרש שוחר טוב &lt;באור הרא""מ&gt; - תהלים")</f>
        <v>מדרש שוחר טוב &lt;באור הרא"מ&gt; - תהלים</v>
      </c>
    </row>
    <row r="22194" spans="1:6" x14ac:dyDescent="0.2">
      <c r="A22194" t="s">
        <v>35861</v>
      </c>
      <c r="B22194" t="s">
        <v>35862</v>
      </c>
      <c r="C22194" t="s">
        <v>603</v>
      </c>
      <c r="D22194" t="s">
        <v>283</v>
      </c>
      <c r="E22194" t="s">
        <v>43</v>
      </c>
      <c r="F22194" s="2" t="str">
        <f>HYPERLINK("http://www.otzar.org/book.asp?104998","מדרש שוחר טוב - משלי")</f>
        <v>מדרש שוחר טוב - משלי</v>
      </c>
    </row>
    <row r="22195" spans="1:6" x14ac:dyDescent="0.2">
      <c r="A22195" t="s">
        <v>35863</v>
      </c>
      <c r="B22195" t="s">
        <v>35864</v>
      </c>
      <c r="C22195" t="s">
        <v>55</v>
      </c>
      <c r="D22195" t="s">
        <v>9748</v>
      </c>
      <c r="E22195" t="s">
        <v>1103</v>
      </c>
      <c r="F22195" s="2" t="str">
        <f>HYPERLINK("http://www.otzar.org/book.asp?16927","מדרש שוחר טוב - שמואל, משלי")</f>
        <v>מדרש שוחר טוב - שמואל, משלי</v>
      </c>
    </row>
    <row r="22196" spans="1:6" x14ac:dyDescent="0.2">
      <c r="A22196" t="s">
        <v>35865</v>
      </c>
      <c r="B22196" t="s">
        <v>35866</v>
      </c>
      <c r="C22196" t="s">
        <v>30082</v>
      </c>
      <c r="D22196" t="s">
        <v>1023</v>
      </c>
      <c r="E22196" t="s">
        <v>158</v>
      </c>
      <c r="F22196" s="2" t="str">
        <f>HYPERLINK("http://www.otzar.org/book.asp?173071","מדרש שוחר טוב")</f>
        <v>מדרש שוחר טוב</v>
      </c>
    </row>
    <row r="22197" spans="1:6" x14ac:dyDescent="0.2">
      <c r="A22197" t="s">
        <v>35865</v>
      </c>
      <c r="B22197" t="s">
        <v>35867</v>
      </c>
      <c r="C22197" t="s">
        <v>543</v>
      </c>
      <c r="D22197" t="s">
        <v>4227</v>
      </c>
      <c r="F22197" s="2" t="str">
        <f>HYPERLINK("http://www.otzar.org/book.asp?152778","מדרש שוחר טוב")</f>
        <v>מדרש שוחר טוב</v>
      </c>
    </row>
    <row r="22198" spans="1:6" x14ac:dyDescent="0.2">
      <c r="A22198" t="s">
        <v>35868</v>
      </c>
      <c r="B22198" t="s">
        <v>35869</v>
      </c>
      <c r="C22198" t="s">
        <v>1268</v>
      </c>
      <c r="D22198" t="s">
        <v>14</v>
      </c>
      <c r="E22198" t="s">
        <v>1103</v>
      </c>
      <c r="F22198" s="2" t="str">
        <f>HYPERLINK("http://www.otzar.org/book.asp?14479","מדרש שיר השירים &lt;עפ""י כת""י גניזה&gt;")</f>
        <v>מדרש שיר השירים &lt;עפ"י כת"י גניזה&gt;</v>
      </c>
    </row>
    <row r="22199" spans="1:6" x14ac:dyDescent="0.2">
      <c r="A22199" t="s">
        <v>35870</v>
      </c>
      <c r="B22199" t="s">
        <v>35870</v>
      </c>
      <c r="C22199" t="s">
        <v>748</v>
      </c>
      <c r="D22199" t="s">
        <v>27</v>
      </c>
      <c r="E22199" t="s">
        <v>158</v>
      </c>
      <c r="F22199" s="2" t="str">
        <f>HYPERLINK("http://www.otzar.org/book.asp?148858","מדרש שיר השירים")</f>
        <v>מדרש שיר השירים</v>
      </c>
    </row>
    <row r="22200" spans="1:6" x14ac:dyDescent="0.2">
      <c r="A22200" t="s">
        <v>35871</v>
      </c>
      <c r="B22200" t="s">
        <v>35351</v>
      </c>
      <c r="C22200" t="s">
        <v>454</v>
      </c>
      <c r="D22200" t="s">
        <v>52</v>
      </c>
      <c r="E22200" t="s">
        <v>1103</v>
      </c>
      <c r="F22200" s="2" t="str">
        <f>HYPERLINK("http://www.otzar.org/book.asp?188819","מדרש שלום ואמת &lt;שלום ואמת&gt;")</f>
        <v>מדרש שלום ואמת &lt;שלום ואמת&gt;</v>
      </c>
    </row>
    <row r="22201" spans="1:6" x14ac:dyDescent="0.2">
      <c r="A22201" t="s">
        <v>35872</v>
      </c>
      <c r="B22201" t="s">
        <v>30862</v>
      </c>
      <c r="C22201" t="s">
        <v>35873</v>
      </c>
      <c r="D22201" t="s">
        <v>1889</v>
      </c>
      <c r="E22201" t="s">
        <v>234</v>
      </c>
      <c r="F22201" s="2" t="str">
        <f>HYPERLINK("http://www.otzar.org/book.asp?166287","מדרש שלמה - 3 כר'")</f>
        <v>מדרש שלמה - 3 כר'</v>
      </c>
    </row>
    <row r="22202" spans="1:6" x14ac:dyDescent="0.2">
      <c r="A22202" t="s">
        <v>35874</v>
      </c>
      <c r="B22202" t="s">
        <v>27370</v>
      </c>
      <c r="C22202" t="s">
        <v>523</v>
      </c>
      <c r="D22202" t="s">
        <v>118</v>
      </c>
      <c r="E22202" t="s">
        <v>35875</v>
      </c>
      <c r="F22202" s="2" t="str">
        <f>HYPERLINK("http://www.otzar.org/book.asp?51127","מדרש שלמה")</f>
        <v>מדרש שלמה</v>
      </c>
    </row>
    <row r="22203" spans="1:6" x14ac:dyDescent="0.2">
      <c r="A22203" t="s">
        <v>35876</v>
      </c>
      <c r="B22203" t="s">
        <v>35877</v>
      </c>
      <c r="C22203" t="s">
        <v>624</v>
      </c>
      <c r="D22203" t="s">
        <v>14</v>
      </c>
      <c r="E22203" t="s">
        <v>35878</v>
      </c>
      <c r="F22203" s="2" t="str">
        <f>HYPERLINK("http://www.otzar.org/book.asp?64237","מדרש שלמה - המאור לאגדה")</f>
        <v>מדרש שלמה - המאור לאגדה</v>
      </c>
    </row>
    <row r="22204" spans="1:6" x14ac:dyDescent="0.2">
      <c r="A22204" t="s">
        <v>35874</v>
      </c>
      <c r="B22204" t="s">
        <v>35879</v>
      </c>
      <c r="C22204" t="s">
        <v>3106</v>
      </c>
      <c r="D22204" t="s">
        <v>27</v>
      </c>
      <c r="E22204" t="s">
        <v>18606</v>
      </c>
      <c r="F22204" s="2" t="str">
        <f>HYPERLINK("http://www.otzar.org/book.asp?106156","מדרש שלמה")</f>
        <v>מדרש שלמה</v>
      </c>
    </row>
    <row r="22205" spans="1:6" x14ac:dyDescent="0.2">
      <c r="A22205" t="s">
        <v>35880</v>
      </c>
      <c r="B22205" t="s">
        <v>35881</v>
      </c>
      <c r="C22205" t="s">
        <v>156</v>
      </c>
      <c r="D22205" t="s">
        <v>56</v>
      </c>
      <c r="E22205" t="s">
        <v>154</v>
      </c>
      <c r="F22205" s="2" t="str">
        <f>HYPERLINK("http://www.otzar.org/book.asp?23684","מדרש שם ועבר - 3 כר'")</f>
        <v>מדרש שם ועבר - 3 כר'</v>
      </c>
    </row>
    <row r="22206" spans="1:6" x14ac:dyDescent="0.2">
      <c r="A22206" t="s">
        <v>35882</v>
      </c>
      <c r="B22206" t="s">
        <v>35883</v>
      </c>
      <c r="C22206" t="s">
        <v>617</v>
      </c>
      <c r="D22206" t="s">
        <v>1117</v>
      </c>
      <c r="E22206" t="s">
        <v>43</v>
      </c>
      <c r="F22206" s="2" t="str">
        <f>HYPERLINK("http://www.otzar.org/book.asp?7764","מדרש שמואל &lt;מהדורת בובר&gt;")</f>
        <v>מדרש שמואל &lt;מהדורת בובר&gt;</v>
      </c>
    </row>
    <row r="22207" spans="1:6" x14ac:dyDescent="0.2">
      <c r="A22207" t="s">
        <v>35882</v>
      </c>
      <c r="B22207" t="s">
        <v>35884</v>
      </c>
      <c r="C22207" t="s">
        <v>946</v>
      </c>
      <c r="D22207" t="s">
        <v>56</v>
      </c>
      <c r="E22207" t="s">
        <v>1103</v>
      </c>
      <c r="F22207" s="2" t="str">
        <f>HYPERLINK("http://www.otzar.org/book.asp?16932","מדרש שמואל &lt;מהדורת בובר&gt;")</f>
        <v>מדרש שמואל &lt;מהדורת בובר&gt;</v>
      </c>
    </row>
    <row r="22208" spans="1:6" x14ac:dyDescent="0.2">
      <c r="A22208" t="s">
        <v>35885</v>
      </c>
      <c r="B22208" t="s">
        <v>1665</v>
      </c>
      <c r="C22208" t="s">
        <v>785</v>
      </c>
      <c r="D22208" t="s">
        <v>52</v>
      </c>
      <c r="E22208" t="s">
        <v>84</v>
      </c>
      <c r="F22208" s="2" t="str">
        <f>HYPERLINK("http://www.otzar.org/book.asp?144934","מדרש שמואל על מסכת אבות &lt;מהדורת ס.ל.א&gt;")</f>
        <v>מדרש שמואל על מסכת אבות &lt;מהדורת ס.ל.א&gt;</v>
      </c>
    </row>
    <row r="22209" spans="1:6" x14ac:dyDescent="0.2">
      <c r="A22209" t="s">
        <v>35886</v>
      </c>
      <c r="B22209" t="s">
        <v>1665</v>
      </c>
      <c r="C22209" t="s">
        <v>17</v>
      </c>
      <c r="D22209" t="s">
        <v>14</v>
      </c>
      <c r="E22209" t="s">
        <v>84</v>
      </c>
      <c r="F22209" s="2" t="str">
        <f>HYPERLINK("http://www.otzar.org/book.asp?152238","מדרש שמואל על מסכת אבות &lt;מכון הכתב&gt;")</f>
        <v>מדרש שמואל על מסכת אבות &lt;מכון הכתב&gt;</v>
      </c>
    </row>
    <row r="22210" spans="1:6" x14ac:dyDescent="0.2">
      <c r="A22210" t="s">
        <v>35887</v>
      </c>
      <c r="B22210" t="s">
        <v>1665</v>
      </c>
      <c r="C22210" t="s">
        <v>20922</v>
      </c>
      <c r="D22210" t="s">
        <v>49</v>
      </c>
      <c r="F22210" s="2" t="str">
        <f>HYPERLINK("http://www.otzar.org/book.asp?164755","מדרש שמואל על מסכת אבות - 4 כר'")</f>
        <v>מדרש שמואל על מסכת אבות - 4 כר'</v>
      </c>
    </row>
    <row r="22211" spans="1:6" x14ac:dyDescent="0.2">
      <c r="A22211" t="s">
        <v>35888</v>
      </c>
      <c r="B22211" t="s">
        <v>29796</v>
      </c>
      <c r="C22211" t="s">
        <v>313</v>
      </c>
      <c r="D22211" t="s">
        <v>14</v>
      </c>
      <c r="E22211" t="s">
        <v>43</v>
      </c>
      <c r="F22211" s="2" t="str">
        <f>HYPERLINK("http://www.otzar.org/book.asp?177189","מדרש שמואל רבתי &lt;יפה נוף&gt;")</f>
        <v>מדרש שמואל רבתי &lt;יפה נוף&gt;</v>
      </c>
    </row>
    <row r="22212" spans="1:6" x14ac:dyDescent="0.2">
      <c r="A22212" t="s">
        <v>35889</v>
      </c>
      <c r="B22212" t="s">
        <v>35890</v>
      </c>
      <c r="C22212" t="s">
        <v>313</v>
      </c>
      <c r="D22212" t="s">
        <v>14</v>
      </c>
      <c r="F22212" s="2" t="str">
        <f>HYPERLINK("http://www.otzar.org/book.asp?152481","מדרש שמואל רבתי עם כמה מפרשים")</f>
        <v>מדרש שמואל רבתי עם כמה מפרשים</v>
      </c>
    </row>
    <row r="22213" spans="1:6" x14ac:dyDescent="0.2">
      <c r="A22213" t="s">
        <v>35891</v>
      </c>
      <c r="B22213" t="s">
        <v>35892</v>
      </c>
      <c r="C22213" t="s">
        <v>800</v>
      </c>
      <c r="D22213" t="s">
        <v>845</v>
      </c>
      <c r="E22213" t="s">
        <v>43</v>
      </c>
      <c r="F22213" s="2" t="str">
        <f>HYPERLINK("http://www.otzar.org/book.asp?11515","מדרש שמואל רבתי")</f>
        <v>מדרש שמואל רבתי</v>
      </c>
    </row>
    <row r="22214" spans="1:6" x14ac:dyDescent="0.2">
      <c r="A22214" t="s">
        <v>35893</v>
      </c>
      <c r="B22214" t="s">
        <v>35894</v>
      </c>
      <c r="C22214" t="s">
        <v>624</v>
      </c>
      <c r="D22214" t="s">
        <v>90</v>
      </c>
      <c r="E22214" t="s">
        <v>4022</v>
      </c>
      <c r="F22214" s="2" t="str">
        <f>HYPERLINK("http://www.otzar.org/book.asp?605561","מדרש שמואל - 3 כר'")</f>
        <v>מדרש שמואל - 3 כר'</v>
      </c>
    </row>
    <row r="22215" spans="1:6" x14ac:dyDescent="0.2">
      <c r="A22215" t="s">
        <v>35895</v>
      </c>
      <c r="B22215" t="s">
        <v>35896</v>
      </c>
      <c r="C22215" t="s">
        <v>99</v>
      </c>
      <c r="D22215" t="s">
        <v>283</v>
      </c>
      <c r="E22215" t="s">
        <v>12983</v>
      </c>
      <c r="F22215" s="2" t="str">
        <f>HYPERLINK("http://www.otzar.org/book.asp?11933","מדרש שמואל")</f>
        <v>מדרש שמואל</v>
      </c>
    </row>
    <row r="22216" spans="1:6" x14ac:dyDescent="0.2">
      <c r="A22216" t="s">
        <v>35897</v>
      </c>
      <c r="B22216" t="s">
        <v>24596</v>
      </c>
      <c r="C22216" t="s">
        <v>106</v>
      </c>
      <c r="D22216" t="s">
        <v>14</v>
      </c>
      <c r="E22216" t="s">
        <v>1185</v>
      </c>
      <c r="F22216" s="2" t="str">
        <f>HYPERLINK("http://www.otzar.org/book.asp?156697","מדרש שמחה - 2 כר'")</f>
        <v>מדרש שמחה - 2 כר'</v>
      </c>
    </row>
    <row r="22217" spans="1:6" x14ac:dyDescent="0.2">
      <c r="A22217" t="s">
        <v>35898</v>
      </c>
      <c r="B22217" t="s">
        <v>2176</v>
      </c>
      <c r="C22217" t="s">
        <v>725</v>
      </c>
      <c r="D22217" t="s">
        <v>260</v>
      </c>
      <c r="E22217" t="s">
        <v>18606</v>
      </c>
      <c r="F22217" s="2" t="str">
        <f>HYPERLINK("http://www.otzar.org/book.asp?7300","מדרש שמעוני")</f>
        <v>מדרש שמעוני</v>
      </c>
    </row>
    <row r="22218" spans="1:6" x14ac:dyDescent="0.2">
      <c r="A22218" t="s">
        <v>35899</v>
      </c>
      <c r="B22218" t="s">
        <v>21435</v>
      </c>
      <c r="C22218" t="s">
        <v>189</v>
      </c>
      <c r="D22218" t="s">
        <v>14</v>
      </c>
      <c r="E22218" t="s">
        <v>1103</v>
      </c>
      <c r="F22218" s="2" t="str">
        <f>HYPERLINK("http://www.otzar.org/book.asp?612517","מדרש שפה אחת - 2 כר'")</f>
        <v>מדרש שפה אחת - 2 כר'</v>
      </c>
    </row>
    <row r="22219" spans="1:6" x14ac:dyDescent="0.2">
      <c r="A22219" t="s">
        <v>35900</v>
      </c>
      <c r="B22219" t="s">
        <v>35901</v>
      </c>
      <c r="C22219" t="s">
        <v>462</v>
      </c>
      <c r="D22219" t="s">
        <v>225</v>
      </c>
      <c r="E22219" t="s">
        <v>43</v>
      </c>
      <c r="F22219" s="2" t="str">
        <f>HYPERLINK("http://www.otzar.org/book.asp?5463","מדרש תדשא &lt;אשל אברהם&gt;")</f>
        <v>מדרש תדשא &lt;אשל אברהם&gt;</v>
      </c>
    </row>
    <row r="22220" spans="1:6" x14ac:dyDescent="0.2">
      <c r="A22220" t="s">
        <v>35902</v>
      </c>
      <c r="B22220" t="s">
        <v>35903</v>
      </c>
      <c r="C22220" t="s">
        <v>395</v>
      </c>
      <c r="D22220" t="s">
        <v>2373</v>
      </c>
      <c r="E22220" t="s">
        <v>43</v>
      </c>
      <c r="F22220" s="2" t="str">
        <f>HYPERLINK("http://www.otzar.org/book.asp?105058","מדרש תדשא - 2 כר'")</f>
        <v>מדרש תדשא - 2 כר'</v>
      </c>
    </row>
    <row r="22221" spans="1:6" x14ac:dyDescent="0.2">
      <c r="A22221" t="s">
        <v>35904</v>
      </c>
      <c r="B22221" t="s">
        <v>35905</v>
      </c>
      <c r="C22221" t="s">
        <v>35906</v>
      </c>
      <c r="D22221" t="s">
        <v>49</v>
      </c>
      <c r="E22221" t="s">
        <v>43</v>
      </c>
      <c r="F22221" s="2" t="str">
        <f>HYPERLINK("http://www.otzar.org/book.asp?53434","מדרש תהלים רבתא")</f>
        <v>מדרש תהלים רבתא</v>
      </c>
    </row>
    <row r="22222" spans="1:6" x14ac:dyDescent="0.2">
      <c r="A22222" t="s">
        <v>35907</v>
      </c>
      <c r="B22222" t="s">
        <v>35908</v>
      </c>
      <c r="C22222" t="s">
        <v>3690</v>
      </c>
      <c r="D22222" t="s">
        <v>56</v>
      </c>
      <c r="E22222" t="s">
        <v>158</v>
      </c>
      <c r="F22222" s="2" t="str">
        <f>HYPERLINK("http://www.otzar.org/book.asp?62523","מדרש תהלים שוחר טוב &lt;מהדורת בובר&gt;")</f>
        <v>מדרש תהלים שוחר טוב &lt;מהדורת בובר&gt;</v>
      </c>
    </row>
    <row r="22223" spans="1:6" x14ac:dyDescent="0.2">
      <c r="A22223" t="s">
        <v>35909</v>
      </c>
      <c r="B22223" t="s">
        <v>35910</v>
      </c>
      <c r="C22223" t="s">
        <v>10359</v>
      </c>
      <c r="D22223" t="s">
        <v>1490</v>
      </c>
      <c r="F22223" s="2" t="str">
        <f>HYPERLINK("http://www.otzar.org/book.asp?152841","מדרש תהלים")</f>
        <v>מדרש תהלים</v>
      </c>
    </row>
    <row r="22224" spans="1:6" x14ac:dyDescent="0.2">
      <c r="A22224" t="s">
        <v>35911</v>
      </c>
      <c r="B22224" t="s">
        <v>1112</v>
      </c>
      <c r="C22224" t="s">
        <v>19846</v>
      </c>
      <c r="D22224" t="s">
        <v>1490</v>
      </c>
      <c r="F22224" s="2" t="str">
        <f>HYPERLINK("http://www.otzar.org/book.asp?164808","מדרש תלפיות - 5 כר'")</f>
        <v>מדרש תלפיות - 5 כר'</v>
      </c>
    </row>
    <row r="22225" spans="1:6" x14ac:dyDescent="0.2">
      <c r="A22225" t="s">
        <v>35912</v>
      </c>
      <c r="B22225" t="s">
        <v>9336</v>
      </c>
      <c r="C22225" t="s">
        <v>35913</v>
      </c>
      <c r="D22225" t="s">
        <v>280</v>
      </c>
      <c r="E22225" t="s">
        <v>1103</v>
      </c>
      <c r="F22225" s="2" t="str">
        <f>HYPERLINK("http://www.otzar.org/book.asp?714","מדרש תנאים על ספר דברים")</f>
        <v>מדרש תנאים על ספר דברים</v>
      </c>
    </row>
    <row r="22226" spans="1:6" x14ac:dyDescent="0.2">
      <c r="A22226" t="s">
        <v>35914</v>
      </c>
      <c r="B22226" t="s">
        <v>18335</v>
      </c>
      <c r="C22226" t="s">
        <v>454</v>
      </c>
      <c r="D22226" t="s">
        <v>14</v>
      </c>
      <c r="E22226" t="s">
        <v>43</v>
      </c>
      <c r="F22226" s="2" t="str">
        <f>HYPERLINK("http://www.otzar.org/book.asp?21336","מדרש תנאים - 2 כר'")</f>
        <v>מדרש תנאים - 2 כר'</v>
      </c>
    </row>
    <row r="22227" spans="1:6" x14ac:dyDescent="0.2">
      <c r="A22227" t="s">
        <v>35915</v>
      </c>
      <c r="B22227" t="s">
        <v>35916</v>
      </c>
      <c r="C22227" t="s">
        <v>5823</v>
      </c>
      <c r="D22227" t="s">
        <v>1419</v>
      </c>
      <c r="E22227" t="s">
        <v>43</v>
      </c>
      <c r="F22227" s="2" t="str">
        <f>HYPERLINK("http://www.otzar.org/book.asp?200087","מדרש תנחומא &lt;נחלת בנימין&gt;")</f>
        <v>מדרש תנחומא &lt;נחלת בנימין&gt;</v>
      </c>
    </row>
    <row r="22228" spans="1:6" x14ac:dyDescent="0.2">
      <c r="A22228" t="s">
        <v>35917</v>
      </c>
      <c r="B22228" t="s">
        <v>15289</v>
      </c>
      <c r="C22228" t="s">
        <v>68</v>
      </c>
      <c r="D22228" t="s">
        <v>14</v>
      </c>
      <c r="E22228" t="s">
        <v>43</v>
      </c>
      <c r="F22228" s="2" t="str">
        <f>HYPERLINK("http://www.otzar.org/book.asp?175370","מדרש תנחומא &lt;ספרי אוה""ח&gt; - 2 כר'")</f>
        <v>מדרש תנחומא &lt;ספרי אוה"ח&gt; - 2 כר'</v>
      </c>
    </row>
    <row r="22229" spans="1:6" x14ac:dyDescent="0.2">
      <c r="A22229" t="s">
        <v>35918</v>
      </c>
      <c r="B22229" t="s">
        <v>35919</v>
      </c>
      <c r="C22229" t="s">
        <v>129</v>
      </c>
      <c r="D22229" t="s">
        <v>14</v>
      </c>
      <c r="E22229" t="s">
        <v>43</v>
      </c>
      <c r="F22229" s="2" t="str">
        <f>HYPERLINK("http://www.otzar.org/book.asp?50007","מדרש תנחומא &lt;טקסט&gt;")</f>
        <v>מדרש תנחומא &lt;טקסט&gt;</v>
      </c>
    </row>
    <row r="22230" spans="1:6" x14ac:dyDescent="0.2">
      <c r="A22230" t="s">
        <v>35920</v>
      </c>
      <c r="B22230" t="s">
        <v>35921</v>
      </c>
      <c r="C22230" t="s">
        <v>35922</v>
      </c>
      <c r="D22230" t="s">
        <v>1490</v>
      </c>
      <c r="E22230" t="s">
        <v>43</v>
      </c>
      <c r="F22230" s="2" t="str">
        <f>HYPERLINK("http://www.otzar.org/book.asp?8766","מדרש תנחומא &lt;דפוס ראשון&gt; - 2 כר'")</f>
        <v>מדרש תנחומא &lt;דפוס ראשון&gt; - 2 כר'</v>
      </c>
    </row>
    <row r="22231" spans="1:6" x14ac:dyDescent="0.2">
      <c r="A22231" t="s">
        <v>35923</v>
      </c>
      <c r="B22231" t="s">
        <v>35924</v>
      </c>
      <c r="C22231" t="s">
        <v>395</v>
      </c>
      <c r="D22231" t="s">
        <v>283</v>
      </c>
      <c r="E22231" t="s">
        <v>1103</v>
      </c>
      <c r="F22231" s="2" t="str">
        <f>HYPERLINK("http://www.otzar.org/book.asp?153948","מדרש תנחומא &lt;באור אשכנזי&gt; - 3 כר'")</f>
        <v>מדרש תנחומא &lt;באור אשכנזי&gt; - 3 כר'</v>
      </c>
    </row>
    <row r="22232" spans="1:6" x14ac:dyDescent="0.2">
      <c r="A22232" t="s">
        <v>35925</v>
      </c>
      <c r="B22232" t="s">
        <v>35926</v>
      </c>
      <c r="C22232" t="s">
        <v>473</v>
      </c>
      <c r="D22232" t="s">
        <v>225</v>
      </c>
      <c r="E22232" t="s">
        <v>43</v>
      </c>
      <c r="F22232" s="2" t="str">
        <f>HYPERLINK("http://www.otzar.org/book.asp?11512","מדרש תנחומא &lt;נתיב הים&gt; - א")</f>
        <v>מדרש תנחומא &lt;נתיב הים&gt; - א</v>
      </c>
    </row>
    <row r="22233" spans="1:6" x14ac:dyDescent="0.2">
      <c r="A22233" t="s">
        <v>35927</v>
      </c>
      <c r="B22233" t="s">
        <v>35928</v>
      </c>
      <c r="C22233" t="s">
        <v>35929</v>
      </c>
      <c r="D22233" t="s">
        <v>283</v>
      </c>
      <c r="E22233" t="s">
        <v>1103</v>
      </c>
      <c r="F22233" s="2" t="str">
        <f>HYPERLINK("http://www.otzar.org/book.asp?5159","מדרש תנחומא &lt;באור האמרים&gt; - 2 כר'")</f>
        <v>מדרש תנחומא &lt;באור האמרים&gt; - 2 כר'</v>
      </c>
    </row>
    <row r="22234" spans="1:6" x14ac:dyDescent="0.2">
      <c r="A22234" t="s">
        <v>35930</v>
      </c>
      <c r="B22234" t="s">
        <v>1116</v>
      </c>
      <c r="C22234" t="s">
        <v>1718</v>
      </c>
      <c r="D22234" t="s">
        <v>56</v>
      </c>
      <c r="E22234" t="s">
        <v>3974</v>
      </c>
      <c r="F22234" s="2" t="str">
        <f>HYPERLINK("http://www.otzar.org/book.asp?7755","מדרש תנחומא הקדום והישן - 2 כר'")</f>
        <v>מדרש תנחומא הקדום והישן - 2 כר'</v>
      </c>
    </row>
    <row r="22235" spans="1:6" x14ac:dyDescent="0.2">
      <c r="A22235" t="s">
        <v>35931</v>
      </c>
      <c r="B22235" t="s">
        <v>35932</v>
      </c>
      <c r="C22235" t="s">
        <v>111</v>
      </c>
      <c r="D22235" t="s">
        <v>14</v>
      </c>
      <c r="E22235" t="s">
        <v>158</v>
      </c>
      <c r="F22235" s="2" t="str">
        <f>HYPERLINK("http://www.otzar.org/book.asp?627290","מדרש תנחומא עם פירוש איל תודה - 2 כר'")</f>
        <v>מדרש תנחומא עם פירוש איל תודה - 2 כר'</v>
      </c>
    </row>
    <row r="22236" spans="1:6" x14ac:dyDescent="0.2">
      <c r="A22236" t="s">
        <v>35933</v>
      </c>
      <c r="B22236" t="s">
        <v>290</v>
      </c>
      <c r="C22236" t="s">
        <v>55</v>
      </c>
      <c r="D22236" t="s">
        <v>56</v>
      </c>
      <c r="E22236" t="s">
        <v>1103</v>
      </c>
      <c r="F22236" s="2" t="str">
        <f>HYPERLINK("http://www.otzar.org/book.asp?5104","מדרש תנחומא עם פירוש עץ יוסף וענף יוסף")</f>
        <v>מדרש תנחומא עם פירוש עץ יוסף וענף יוסף</v>
      </c>
    </row>
    <row r="22237" spans="1:6" x14ac:dyDescent="0.2">
      <c r="A22237" t="s">
        <v>35934</v>
      </c>
      <c r="B22237" t="s">
        <v>35919</v>
      </c>
      <c r="C22237" t="s">
        <v>35935</v>
      </c>
      <c r="D22237" t="s">
        <v>744</v>
      </c>
      <c r="E22237" t="s">
        <v>43</v>
      </c>
      <c r="F22237" s="2" t="str">
        <f>HYPERLINK("http://www.otzar.org/book.asp?188715","מדרש תנחומא - 8 כר'")</f>
        <v>מדרש תנחומא - 8 כר'</v>
      </c>
    </row>
    <row r="22238" spans="1:6" x14ac:dyDescent="0.2">
      <c r="A22238" t="s">
        <v>35936</v>
      </c>
      <c r="B22238" t="s">
        <v>31506</v>
      </c>
      <c r="C22238" t="s">
        <v>12905</v>
      </c>
      <c r="D22238" t="s">
        <v>1889</v>
      </c>
      <c r="E22238" t="s">
        <v>158</v>
      </c>
      <c r="F22238" s="2" t="str">
        <f>HYPERLINK("http://www.otzar.org/book.asp?300507","מדרשו של ש""ם - 3 כר'")</f>
        <v>מדרשו של ש"ם - 3 כר'</v>
      </c>
    </row>
    <row r="22239" spans="1:6" x14ac:dyDescent="0.2">
      <c r="A22239" t="s">
        <v>35937</v>
      </c>
      <c r="B22239" t="s">
        <v>35938</v>
      </c>
      <c r="C22239" t="s">
        <v>26</v>
      </c>
      <c r="D22239" t="s">
        <v>139</v>
      </c>
      <c r="E22239" t="s">
        <v>1517</v>
      </c>
      <c r="F22239" s="2" t="str">
        <f>HYPERLINK("http://www.otzar.org/book.asp?148946","מדרשו של שם ועבר")</f>
        <v>מדרשו של שם ועבר</v>
      </c>
    </row>
    <row r="22240" spans="1:6" x14ac:dyDescent="0.2">
      <c r="A22240" t="s">
        <v>35939</v>
      </c>
      <c r="B22240" t="s">
        <v>35940</v>
      </c>
      <c r="C22240" t="s">
        <v>63</v>
      </c>
      <c r="D22240" t="s">
        <v>216</v>
      </c>
      <c r="E22240" t="s">
        <v>463</v>
      </c>
      <c r="F22240" s="2" t="str">
        <f>HYPERLINK("http://www.otzar.org/book.asp?159803","מדרשי אליהו")</f>
        <v>מדרשי אליהו</v>
      </c>
    </row>
    <row r="22241" spans="1:6" x14ac:dyDescent="0.2">
      <c r="A22241" t="s">
        <v>35941</v>
      </c>
      <c r="B22241" t="s">
        <v>35942</v>
      </c>
      <c r="C22241" t="s">
        <v>1169</v>
      </c>
      <c r="D22241" t="s">
        <v>27</v>
      </c>
      <c r="E22241" t="s">
        <v>64</v>
      </c>
      <c r="F22241" s="2" t="str">
        <f>HYPERLINK("http://www.otzar.org/book.asp?106344","מדרשי ארץ ישראל")</f>
        <v>מדרשי ארץ ישראל</v>
      </c>
    </row>
    <row r="22242" spans="1:6" x14ac:dyDescent="0.2">
      <c r="A22242" t="s">
        <v>35943</v>
      </c>
      <c r="B22242" t="s">
        <v>35944</v>
      </c>
      <c r="C22242" t="s">
        <v>482</v>
      </c>
      <c r="D22242" t="s">
        <v>27966</v>
      </c>
      <c r="E22242" t="s">
        <v>104</v>
      </c>
      <c r="F22242" s="2" t="str">
        <f>HYPERLINK("http://www.otzar.org/book.asp?15551","מדרשי גאולה")</f>
        <v>מדרשי גאולה</v>
      </c>
    </row>
    <row r="22243" spans="1:6" x14ac:dyDescent="0.2">
      <c r="A22243" t="s">
        <v>35945</v>
      </c>
      <c r="B22243" t="s">
        <v>35946</v>
      </c>
      <c r="C22243" t="s">
        <v>35947</v>
      </c>
      <c r="D22243" t="s">
        <v>27</v>
      </c>
      <c r="E22243" t="s">
        <v>29353</v>
      </c>
      <c r="F22243" s="2" t="str">
        <f>HYPERLINK("http://www.otzar.org/book.asp?17433","מדרשי הזהר &lt;לקט שמואל&gt; - 3 כר'")</f>
        <v>מדרשי הזהר &lt;לקט שמואל&gt; - 3 כר'</v>
      </c>
    </row>
    <row r="22244" spans="1:6" x14ac:dyDescent="0.2">
      <c r="A22244" t="s">
        <v>35948</v>
      </c>
      <c r="B22244" t="s">
        <v>35949</v>
      </c>
      <c r="C22244" t="s">
        <v>26</v>
      </c>
      <c r="D22244" t="s">
        <v>14</v>
      </c>
      <c r="E22244" t="s">
        <v>29353</v>
      </c>
      <c r="F22244" s="2" t="str">
        <f>HYPERLINK("http://www.otzar.org/book.asp?5918","מדרשי הזהר &lt;לקט שמואל&gt; - 4 כר'")</f>
        <v>מדרשי הזהר &lt;לקט שמואל&gt; - 4 כר'</v>
      </c>
    </row>
    <row r="22245" spans="1:6" x14ac:dyDescent="0.2">
      <c r="A22245" t="s">
        <v>35950</v>
      </c>
      <c r="B22245" t="s">
        <v>35951</v>
      </c>
      <c r="C22245" t="s">
        <v>35952</v>
      </c>
      <c r="D22245" t="s">
        <v>31723</v>
      </c>
      <c r="E22245" t="s">
        <v>399</v>
      </c>
      <c r="F22245" s="2" t="str">
        <f>HYPERLINK("http://www.otzar.org/book.asp?169784","מדרשי הזהר")</f>
        <v>מדרשי הזהר</v>
      </c>
    </row>
    <row r="22246" spans="1:6" x14ac:dyDescent="0.2">
      <c r="A22246" t="s">
        <v>35953</v>
      </c>
      <c r="B22246" t="s">
        <v>35954</v>
      </c>
      <c r="C22246" t="s">
        <v>2008</v>
      </c>
      <c r="D22246" t="s">
        <v>27</v>
      </c>
      <c r="E22246" t="s">
        <v>43</v>
      </c>
      <c r="F22246" s="2" t="str">
        <f>HYPERLINK("http://www.otzar.org/book.asp?200089","מדרשי הלכה של התנאים בתלמוד בבלי")</f>
        <v>מדרשי הלכה של התנאים בתלמוד בבלי</v>
      </c>
    </row>
    <row r="22247" spans="1:6" x14ac:dyDescent="0.2">
      <c r="A22247" t="s">
        <v>35955</v>
      </c>
      <c r="B22247" t="s">
        <v>35956</v>
      </c>
      <c r="C22247" t="s">
        <v>1096</v>
      </c>
      <c r="D22247" t="s">
        <v>280</v>
      </c>
      <c r="E22247" t="s">
        <v>43</v>
      </c>
      <c r="F22247" s="2" t="str">
        <f>HYPERLINK("http://www.otzar.org/book.asp?102409","מדרשי התורה")</f>
        <v>מדרשי התורה</v>
      </c>
    </row>
    <row r="22248" spans="1:6" x14ac:dyDescent="0.2">
      <c r="A22248" t="s">
        <v>35957</v>
      </c>
      <c r="B22248" t="s">
        <v>35958</v>
      </c>
      <c r="C22248" t="s">
        <v>143</v>
      </c>
      <c r="D22248" t="s">
        <v>14</v>
      </c>
      <c r="E22248" t="s">
        <v>158</v>
      </c>
      <c r="F22248" s="2" t="str">
        <f>HYPERLINK("http://www.otzar.org/book.asp?169297","מדרשי חז""ל - 2 כר'")</f>
        <v>מדרשי חז"ל - 2 כר'</v>
      </c>
    </row>
    <row r="22249" spans="1:6" x14ac:dyDescent="0.2">
      <c r="A22249" t="s">
        <v>35959</v>
      </c>
      <c r="B22249" t="s">
        <v>35765</v>
      </c>
      <c r="C22249" t="s">
        <v>775</v>
      </c>
      <c r="D22249" t="s">
        <v>412</v>
      </c>
      <c r="F22249" s="2" t="str">
        <f>HYPERLINK("http://www.otzar.org/book.asp?184998","מדרשי משלי &lt;מהדורת וויסאצקי&gt;")</f>
        <v>מדרשי משלי &lt;מהדורת וויסאצקי&gt;</v>
      </c>
    </row>
    <row r="22250" spans="1:6" x14ac:dyDescent="0.2">
      <c r="A22250" t="s">
        <v>35960</v>
      </c>
      <c r="B22250" t="s">
        <v>35961</v>
      </c>
      <c r="C22250" t="s">
        <v>26</v>
      </c>
      <c r="D22250" t="s">
        <v>14</v>
      </c>
      <c r="E22250" t="s">
        <v>64</v>
      </c>
      <c r="F22250" s="2" t="str">
        <f>HYPERLINK("http://www.otzar.org/book.asp?200094","מדרשי ציון וירושלים")</f>
        <v>מדרשי ציון וירושלים</v>
      </c>
    </row>
    <row r="22251" spans="1:6" x14ac:dyDescent="0.2">
      <c r="A22251" t="s">
        <v>35962</v>
      </c>
      <c r="B22251" t="s">
        <v>35963</v>
      </c>
      <c r="C22251" t="s">
        <v>20</v>
      </c>
      <c r="D22251" t="s">
        <v>90</v>
      </c>
      <c r="F22251" s="2" t="str">
        <f>HYPERLINK("http://www.otzar.org/book.asp?608196","מדרשי שמואל - 2")</f>
        <v>מדרשי שמואל - 2</v>
      </c>
    </row>
    <row r="22252" spans="1:6" x14ac:dyDescent="0.2">
      <c r="A22252" t="s">
        <v>35964</v>
      </c>
      <c r="B22252" t="s">
        <v>123</v>
      </c>
      <c r="C22252" t="s">
        <v>1448</v>
      </c>
      <c r="D22252" t="s">
        <v>14</v>
      </c>
      <c r="E22252" t="s">
        <v>219</v>
      </c>
      <c r="F22252" s="2" t="str">
        <f>HYPERLINK("http://www.otzar.org/book.asp?63644","מדרשי תפילה")</f>
        <v>מדרשי תפילה</v>
      </c>
    </row>
    <row r="22253" spans="1:6" x14ac:dyDescent="0.2">
      <c r="A22253" t="s">
        <v>35965</v>
      </c>
      <c r="B22253" t="s">
        <v>35966</v>
      </c>
      <c r="C22253" t="s">
        <v>581</v>
      </c>
      <c r="D22253" t="s">
        <v>283</v>
      </c>
      <c r="E22253" t="s">
        <v>43</v>
      </c>
      <c r="F22253" s="2" t="str">
        <f>HYPERLINK("http://www.otzar.org/book.asp?102314","מדרשים ואגדות &lt;מדרש הלל&gt;")</f>
        <v>מדרשים ואגדות &lt;מדרש הלל&gt;</v>
      </c>
    </row>
    <row r="22254" spans="1:6" x14ac:dyDescent="0.2">
      <c r="A22254" t="s">
        <v>35967</v>
      </c>
      <c r="B22254" t="s">
        <v>35966</v>
      </c>
      <c r="C22254" t="s">
        <v>581</v>
      </c>
      <c r="D22254" t="s">
        <v>283</v>
      </c>
      <c r="E22254" t="s">
        <v>43</v>
      </c>
      <c r="F22254" s="2" t="str">
        <f>HYPERLINK("http://www.otzar.org/book.asp?200088","מדרשים ואגדות &lt;מדרש תדשא&gt;")</f>
        <v>מדרשים ואגדות &lt;מדרש תדשא&gt;</v>
      </c>
    </row>
    <row r="22255" spans="1:6" x14ac:dyDescent="0.2">
      <c r="A22255" t="s">
        <v>35968</v>
      </c>
      <c r="B22255" t="s">
        <v>35966</v>
      </c>
      <c r="C22255" t="s">
        <v>581</v>
      </c>
      <c r="D22255" t="s">
        <v>283</v>
      </c>
      <c r="E22255" t="s">
        <v>1103</v>
      </c>
      <c r="F22255" s="2" t="str">
        <f>HYPERLINK("http://www.otzar.org/book.asp?16942","מדרשים ואגדות &lt;עשרת הדברות&gt;")</f>
        <v>מדרשים ואגדות &lt;עשרת הדברות&gt;</v>
      </c>
    </row>
    <row r="22256" spans="1:6" x14ac:dyDescent="0.2">
      <c r="A22256" t="s">
        <v>35969</v>
      </c>
      <c r="B22256" t="s">
        <v>35970</v>
      </c>
      <c r="C22256" t="s">
        <v>454</v>
      </c>
      <c r="D22256" t="s">
        <v>14</v>
      </c>
      <c r="E22256" t="s">
        <v>104</v>
      </c>
      <c r="F22256" s="2" t="str">
        <f>HYPERLINK("http://www.otzar.org/book.asp?154071","מדת הקודש")</f>
        <v>מדת הקודש</v>
      </c>
    </row>
    <row r="22257" spans="1:6" x14ac:dyDescent="0.2">
      <c r="A22257" t="s">
        <v>35971</v>
      </c>
      <c r="B22257" t="s">
        <v>35972</v>
      </c>
      <c r="C22257" t="s">
        <v>473</v>
      </c>
      <c r="D22257" t="s">
        <v>56</v>
      </c>
      <c r="E22257" t="s">
        <v>35973</v>
      </c>
      <c r="F22257" s="2" t="str">
        <f>HYPERLINK("http://www.otzar.org/book.asp?141113","מדת משנה")</f>
        <v>מדת משנה</v>
      </c>
    </row>
    <row r="22258" spans="1:6" x14ac:dyDescent="0.2">
      <c r="A22258" t="s">
        <v>35974</v>
      </c>
      <c r="B22258" t="s">
        <v>35975</v>
      </c>
      <c r="C22258" t="s">
        <v>71</v>
      </c>
      <c r="D22258" t="s">
        <v>486</v>
      </c>
      <c r="E22258" t="s">
        <v>241</v>
      </c>
      <c r="F22258" s="2" t="str">
        <f>HYPERLINK("http://www.otzar.org/book.asp?53679","מה אדם")</f>
        <v>מה אדם</v>
      </c>
    </row>
    <row r="22259" spans="1:6" x14ac:dyDescent="0.2">
      <c r="A22259" t="s">
        <v>35976</v>
      </c>
      <c r="B22259" t="s">
        <v>12971</v>
      </c>
      <c r="F22259" s="2" t="str">
        <f>HYPERLINK("http://www.otzar.org/book.asp?611031","מה אהבתי תורתך")</f>
        <v>מה אהבתי תורתך</v>
      </c>
    </row>
    <row r="22260" spans="1:6" x14ac:dyDescent="0.2">
      <c r="A22260" t="s">
        <v>35977</v>
      </c>
      <c r="B22260" t="s">
        <v>686</v>
      </c>
      <c r="C22260" t="s">
        <v>454</v>
      </c>
      <c r="D22260" t="s">
        <v>52</v>
      </c>
      <c r="E22260" t="s">
        <v>104</v>
      </c>
      <c r="F22260" s="2" t="str">
        <f>HYPERLINK("http://www.otzar.org/book.asp?618479","מה אשיב לה'")</f>
        <v>מה אשיב לה'</v>
      </c>
    </row>
    <row r="22261" spans="1:6" x14ac:dyDescent="0.2">
      <c r="A22261" t="s">
        <v>35978</v>
      </c>
      <c r="B22261" t="s">
        <v>18224</v>
      </c>
      <c r="C22261" t="s">
        <v>151</v>
      </c>
      <c r="D22261" t="s">
        <v>90</v>
      </c>
      <c r="E22261" t="s">
        <v>213</v>
      </c>
      <c r="F22261" s="2" t="str">
        <f>HYPERLINK("http://www.otzar.org/book.asp?618968","מה את מחפשת")</f>
        <v>מה את מחפשת</v>
      </c>
    </row>
    <row r="22262" spans="1:6" x14ac:dyDescent="0.2">
      <c r="A22262" t="s">
        <v>35979</v>
      </c>
      <c r="B22262" t="s">
        <v>4979</v>
      </c>
      <c r="C22262" t="s">
        <v>466</v>
      </c>
      <c r="D22262" t="s">
        <v>4478</v>
      </c>
      <c r="E22262" t="s">
        <v>158</v>
      </c>
      <c r="F22262" s="2" t="str">
        <f>HYPERLINK("http://www.otzar.org/book.asp?63133","מה בין שאול לדוד")</f>
        <v>מה בין שאול לדוד</v>
      </c>
    </row>
    <row r="22263" spans="1:6" x14ac:dyDescent="0.2">
      <c r="A22263" t="s">
        <v>35980</v>
      </c>
      <c r="B22263" t="s">
        <v>5072</v>
      </c>
      <c r="C22263" t="s">
        <v>68</v>
      </c>
      <c r="D22263" t="s">
        <v>14</v>
      </c>
      <c r="E22263" t="s">
        <v>241</v>
      </c>
      <c r="F22263" s="2" t="str">
        <f>HYPERLINK("http://www.otzar.org/book.asp?624921","מה ה' אלקיך שואל מעמך")</f>
        <v>מה ה' אלקיך שואל מעמך</v>
      </c>
    </row>
    <row r="22264" spans="1:6" x14ac:dyDescent="0.2">
      <c r="A22264" t="s">
        <v>35981</v>
      </c>
      <c r="B22264" t="s">
        <v>9739</v>
      </c>
      <c r="C22264" t="s">
        <v>1268</v>
      </c>
      <c r="D22264" t="s">
        <v>14</v>
      </c>
      <c r="E22264" t="s">
        <v>234</v>
      </c>
      <c r="F22264" s="2" t="str">
        <f>HYPERLINK("http://www.otzar.org/book.asp?173207","מה זאת")</f>
        <v>מה זאת</v>
      </c>
    </row>
    <row r="22265" spans="1:6" x14ac:dyDescent="0.2">
      <c r="A22265" t="s">
        <v>35982</v>
      </c>
      <c r="B22265" t="s">
        <v>1393</v>
      </c>
      <c r="C22265" t="s">
        <v>533</v>
      </c>
      <c r="D22265" t="s">
        <v>14</v>
      </c>
      <c r="E22265" t="s">
        <v>213</v>
      </c>
      <c r="F22265" s="2" t="str">
        <f>HYPERLINK("http://www.otzar.org/book.asp?167939","מה טובו אהליך יעקב")</f>
        <v>מה טובו אהליך יעקב</v>
      </c>
    </row>
    <row r="22266" spans="1:6" x14ac:dyDescent="0.2">
      <c r="A22266" t="s">
        <v>35983</v>
      </c>
      <c r="B22266" t="s">
        <v>18298</v>
      </c>
      <c r="C22266" t="s">
        <v>146</v>
      </c>
      <c r="D22266" t="s">
        <v>14</v>
      </c>
      <c r="E22266" t="s">
        <v>213</v>
      </c>
      <c r="F22266" s="2" t="str">
        <f>HYPERLINK("http://www.otzar.org/book.asp?61110","מה טובו אהליך")</f>
        <v>מה טובו אהליך</v>
      </c>
    </row>
    <row r="22267" spans="1:6" x14ac:dyDescent="0.2">
      <c r="A22267" t="s">
        <v>35984</v>
      </c>
      <c r="B22267" t="s">
        <v>18298</v>
      </c>
      <c r="C22267" t="s">
        <v>146</v>
      </c>
      <c r="D22267" t="s">
        <v>14</v>
      </c>
      <c r="E22267" t="s">
        <v>213</v>
      </c>
      <c r="F22267" s="2" t="str">
        <f>HYPERLINK("http://www.otzar.org/book.asp?61156","מה טובו משכנותיך")</f>
        <v>מה טובו משכנותיך</v>
      </c>
    </row>
    <row r="22268" spans="1:6" x14ac:dyDescent="0.2">
      <c r="A22268" t="s">
        <v>35985</v>
      </c>
      <c r="B22268" t="s">
        <v>27129</v>
      </c>
      <c r="C22268" t="s">
        <v>366</v>
      </c>
      <c r="D22268" t="s">
        <v>14</v>
      </c>
      <c r="F22268" s="2" t="str">
        <f>HYPERLINK("http://www.otzar.org/book.asp?608901","מה יעשו בחג הסוכות בבית המקדש")</f>
        <v>מה יעשו בחג הסוכות בבית המקדש</v>
      </c>
    </row>
    <row r="22269" spans="1:6" x14ac:dyDescent="0.2">
      <c r="A22269" t="s">
        <v>35986</v>
      </c>
      <c r="B22269" t="s">
        <v>27129</v>
      </c>
      <c r="C22269" t="s">
        <v>366</v>
      </c>
      <c r="D22269" t="s">
        <v>14</v>
      </c>
      <c r="F22269" s="2" t="str">
        <f>HYPERLINK("http://www.otzar.org/book.asp?608902","מה יעשו ביום הכיפורים בבית המקדש")</f>
        <v>מה יעשו ביום הכיפורים בבית המקדש</v>
      </c>
    </row>
    <row r="22270" spans="1:6" x14ac:dyDescent="0.2">
      <c r="A22270" t="s">
        <v>35987</v>
      </c>
      <c r="B22270" t="s">
        <v>27129</v>
      </c>
      <c r="C22270" t="s">
        <v>366</v>
      </c>
      <c r="D22270" t="s">
        <v>14</v>
      </c>
      <c r="F22270" s="2" t="str">
        <f>HYPERLINK("http://www.otzar.org/book.asp?608903","מה יעשו בראש השנה בבית המקדש")</f>
        <v>מה יעשו בראש השנה בבית המקדש</v>
      </c>
    </row>
    <row r="22271" spans="1:6" x14ac:dyDescent="0.2">
      <c r="A22271" t="s">
        <v>35988</v>
      </c>
      <c r="B22271" t="s">
        <v>27129</v>
      </c>
      <c r="C22271" t="s">
        <v>366</v>
      </c>
      <c r="D22271" t="s">
        <v>14</v>
      </c>
      <c r="F22271" s="2" t="str">
        <f>HYPERLINK("http://www.otzar.org/book.asp?609420","מה יעשו בראש חודש בבית המקדש")</f>
        <v>מה יעשו בראש חודש בבית המקדש</v>
      </c>
    </row>
    <row r="22272" spans="1:6" x14ac:dyDescent="0.2">
      <c r="A22272" t="s">
        <v>35989</v>
      </c>
      <c r="B22272" t="s">
        <v>27129</v>
      </c>
      <c r="C22272" t="s">
        <v>366</v>
      </c>
      <c r="D22272" t="s">
        <v>14</v>
      </c>
      <c r="F22272" s="2" t="str">
        <f>HYPERLINK("http://www.otzar.org/book.asp?609421","מה יעשו בשבת בבית המקדש")</f>
        <v>מה יעשו בשבת בבית המקדש</v>
      </c>
    </row>
    <row r="22273" spans="1:6" x14ac:dyDescent="0.2">
      <c r="A22273" t="s">
        <v>35990</v>
      </c>
      <c r="B22273" t="s">
        <v>27129</v>
      </c>
      <c r="C22273" t="s">
        <v>366</v>
      </c>
      <c r="D22273" t="s">
        <v>14</v>
      </c>
      <c r="F22273" s="2" t="str">
        <f>HYPERLINK("http://www.otzar.org/book.asp?608904","מה יעשו היום בבית המקדש - העבודה היומית")</f>
        <v>מה יעשו היום בבית המקדש - העבודה היומית</v>
      </c>
    </row>
    <row r="22274" spans="1:6" x14ac:dyDescent="0.2">
      <c r="A22274" t="s">
        <v>35991</v>
      </c>
      <c r="B22274" t="s">
        <v>27129</v>
      </c>
      <c r="C22274" t="s">
        <v>366</v>
      </c>
      <c r="D22274" t="s">
        <v>14</v>
      </c>
      <c r="F22274" s="2" t="str">
        <f>HYPERLINK("http://www.otzar.org/book.asp?608900","מה יעשו היום במקדש - חגי תשרי")</f>
        <v>מה יעשו היום במקדש - חגי תשרי</v>
      </c>
    </row>
    <row r="22275" spans="1:6" x14ac:dyDescent="0.2">
      <c r="A22275" t="s">
        <v>35992</v>
      </c>
      <c r="B22275" t="s">
        <v>35993</v>
      </c>
      <c r="C22275" t="s">
        <v>244</v>
      </c>
      <c r="D22275" t="s">
        <v>118</v>
      </c>
      <c r="E22275" t="s">
        <v>579</v>
      </c>
      <c r="F22275" s="2" t="str">
        <f>HYPERLINK("http://www.otzar.org/book.asp?603911","מה מקרא זה בא ללמדנו")</f>
        <v>מה מקרא זה בא ללמדנו</v>
      </c>
    </row>
    <row r="22276" spans="1:6" x14ac:dyDescent="0.2">
      <c r="A22276" t="s">
        <v>35994</v>
      </c>
      <c r="B22276" t="s">
        <v>35995</v>
      </c>
      <c r="C22276" t="s">
        <v>37</v>
      </c>
      <c r="D22276" t="s">
        <v>14</v>
      </c>
      <c r="E22276" t="s">
        <v>15</v>
      </c>
      <c r="F22276" s="2" t="str">
        <f>HYPERLINK("http://www.otzar.org/book.asp?615535","מה נאכל בשנה השביעית")</f>
        <v>מה נאכל בשנה השביעית</v>
      </c>
    </row>
    <row r="22277" spans="1:6" x14ac:dyDescent="0.2">
      <c r="A22277" t="s">
        <v>35996</v>
      </c>
      <c r="B22277" t="s">
        <v>686</v>
      </c>
      <c r="C22277" t="s">
        <v>133</v>
      </c>
      <c r="D22277" t="s">
        <v>52</v>
      </c>
      <c r="E22277" t="s">
        <v>104</v>
      </c>
      <c r="F22277" s="2" t="str">
        <f>HYPERLINK("http://www.otzar.org/book.asp?170798","מה רב טובך")</f>
        <v>מה רב טובך</v>
      </c>
    </row>
    <row r="22278" spans="1:6" x14ac:dyDescent="0.2">
      <c r="A22278" t="s">
        <v>35997</v>
      </c>
      <c r="B22278" t="s">
        <v>20316</v>
      </c>
      <c r="C22278" t="s">
        <v>466</v>
      </c>
      <c r="D22278" t="s">
        <v>412</v>
      </c>
      <c r="E22278" t="s">
        <v>246</v>
      </c>
      <c r="F22278" s="2" t="str">
        <f>HYPERLINK("http://www.otzar.org/book.asp?162801","מה שהיה הוא שיהיה - 3 כר'")</f>
        <v>מה שהיה הוא שיהיה - 3 כר'</v>
      </c>
    </row>
    <row r="22279" spans="1:6" x14ac:dyDescent="0.2">
      <c r="A22279" t="s">
        <v>35998</v>
      </c>
      <c r="B22279" t="s">
        <v>35999</v>
      </c>
      <c r="C22279" t="s">
        <v>1208</v>
      </c>
      <c r="D22279" t="s">
        <v>52</v>
      </c>
      <c r="E22279" t="s">
        <v>241</v>
      </c>
      <c r="F22279" s="2" t="str">
        <f>HYPERLINK("http://www.otzar.org/book.asp?624578","מה שחשוב לך לדעת על גיוס בנות")</f>
        <v>מה שחשוב לך לדעת על גיוס בנות</v>
      </c>
    </row>
    <row r="22280" spans="1:6" x14ac:dyDescent="0.2">
      <c r="A22280" t="s">
        <v>36000</v>
      </c>
      <c r="B22280" t="s">
        <v>15215</v>
      </c>
      <c r="C22280" t="s">
        <v>20</v>
      </c>
      <c r="D22280" t="s">
        <v>90</v>
      </c>
      <c r="E22280" t="s">
        <v>579</v>
      </c>
      <c r="F22280" s="2" t="str">
        <f>HYPERLINK("http://www.otzar.org/book.asp?175853","מה שראוי לדעת על דפוסי התנ""ך")</f>
        <v>מה שראוי לדעת על דפוסי התנ"ך</v>
      </c>
    </row>
    <row r="22281" spans="1:6" x14ac:dyDescent="0.2">
      <c r="A22281" t="s">
        <v>36001</v>
      </c>
      <c r="B22281" t="s">
        <v>36002</v>
      </c>
      <c r="C22281" t="s">
        <v>151</v>
      </c>
      <c r="D22281" t="s">
        <v>21</v>
      </c>
      <c r="E22281" t="s">
        <v>104</v>
      </c>
      <c r="F22281" s="2" t="str">
        <f>HYPERLINK("http://www.otzar.org/book.asp?621353","מה' אשה לאיש")</f>
        <v>מה' אשה לאיש</v>
      </c>
    </row>
    <row r="22282" spans="1:6" x14ac:dyDescent="0.2">
      <c r="A22282" t="s">
        <v>36003</v>
      </c>
      <c r="B22282" t="s">
        <v>36004</v>
      </c>
      <c r="C22282" t="s">
        <v>37</v>
      </c>
      <c r="D22282" t="s">
        <v>52</v>
      </c>
      <c r="E22282" t="s">
        <v>104</v>
      </c>
      <c r="F22282" s="2" t="str">
        <f>HYPERLINK("http://www.otzar.org/book.asp?179696","מה' יצא הדבר")</f>
        <v>מה' יצא הדבר</v>
      </c>
    </row>
    <row r="22283" spans="1:6" x14ac:dyDescent="0.2">
      <c r="A22283" t="s">
        <v>36005</v>
      </c>
      <c r="B22283" t="s">
        <v>36006</v>
      </c>
      <c r="C22283" t="s">
        <v>1650</v>
      </c>
      <c r="D22283" t="s">
        <v>56</v>
      </c>
      <c r="E22283" t="s">
        <v>119</v>
      </c>
      <c r="F22283" s="2" t="str">
        <f>HYPERLINK("http://www.otzar.org/book.asp?188724","מהגיטו הוילנאי")</f>
        <v>מהגיטו הוילנאי</v>
      </c>
    </row>
    <row r="22284" spans="1:6" x14ac:dyDescent="0.2">
      <c r="A22284" t="s">
        <v>36007</v>
      </c>
      <c r="B22284" t="s">
        <v>36008</v>
      </c>
      <c r="C22284" t="s">
        <v>4707</v>
      </c>
      <c r="D22284" t="s">
        <v>5665</v>
      </c>
      <c r="E22284" t="s">
        <v>219</v>
      </c>
      <c r="F22284" s="2" t="str">
        <f>HYPERLINK("http://www.otzar.org/book.asp?147160","מהדורא בתרא של עבודת בורא")</f>
        <v>מהדורא בתרא של עבודת בורא</v>
      </c>
    </row>
    <row r="22285" spans="1:6" x14ac:dyDescent="0.2">
      <c r="A22285" t="s">
        <v>36009</v>
      </c>
      <c r="B22285" t="s">
        <v>36010</v>
      </c>
      <c r="C22285" t="s">
        <v>20</v>
      </c>
      <c r="D22285" t="s">
        <v>52</v>
      </c>
      <c r="E22285" t="s">
        <v>144</v>
      </c>
      <c r="F22285" s="2" t="str">
        <f>HYPERLINK("http://www.otzar.org/book.asp?160952","מהדורא קמא - 15 כר'")</f>
        <v>מהדורא קמא - 15 כר'</v>
      </c>
    </row>
    <row r="22286" spans="1:6" x14ac:dyDescent="0.2">
      <c r="A22286" t="s">
        <v>36011</v>
      </c>
      <c r="B22286" t="s">
        <v>36010</v>
      </c>
      <c r="C22286" t="s">
        <v>20</v>
      </c>
      <c r="D22286" t="s">
        <v>52</v>
      </c>
      <c r="E22286" t="s">
        <v>144</v>
      </c>
      <c r="F22286" s="2" t="str">
        <f>HYPERLINK("http://www.otzar.org/book.asp?172835","מהדורא תניינא - 2 כר'")</f>
        <v>מהדורא תניינא - 2 כר'</v>
      </c>
    </row>
    <row r="22287" spans="1:6" x14ac:dyDescent="0.2">
      <c r="A22287" t="s">
        <v>36012</v>
      </c>
      <c r="B22287" t="s">
        <v>36013</v>
      </c>
      <c r="C22287" t="s">
        <v>940</v>
      </c>
      <c r="D22287" t="s">
        <v>412</v>
      </c>
      <c r="E22287" t="s">
        <v>144</v>
      </c>
      <c r="F22287" s="2" t="str">
        <f>HYPERLINK("http://www.otzar.org/book.asp?175446","מהדורות מסכת בבא קמא מדפוסי שאלוניקי")</f>
        <v>מהדורות מסכת בבא קמא מדפוסי שאלוניקי</v>
      </c>
    </row>
    <row r="22288" spans="1:6" x14ac:dyDescent="0.2">
      <c r="A22288" t="s">
        <v>36014</v>
      </c>
      <c r="B22288" t="s">
        <v>36015</v>
      </c>
      <c r="C22288" t="s">
        <v>383</v>
      </c>
      <c r="D22288" t="s">
        <v>14</v>
      </c>
      <c r="E22288" t="s">
        <v>2596</v>
      </c>
      <c r="F22288" s="2" t="str">
        <f>HYPERLINK("http://www.otzar.org/book.asp?600363","מהדרין - 3 כר'")</f>
        <v>מהדרין - 3 כר'</v>
      </c>
    </row>
    <row r="22289" spans="1:6" x14ac:dyDescent="0.2">
      <c r="A22289" t="s">
        <v>36016</v>
      </c>
      <c r="B22289" t="s">
        <v>4735</v>
      </c>
      <c r="C22289" t="s">
        <v>103</v>
      </c>
      <c r="D22289" t="s">
        <v>14</v>
      </c>
      <c r="E22289" t="s">
        <v>213</v>
      </c>
      <c r="F22289" s="2" t="str">
        <f>HYPERLINK("http://www.otzar.org/book.asp?63876","מהודי ליהודי")</f>
        <v>מהודי ליהודי</v>
      </c>
    </row>
    <row r="22290" spans="1:6" x14ac:dyDescent="0.2">
      <c r="A22290" t="s">
        <v>36017</v>
      </c>
      <c r="B22290" t="s">
        <v>36018</v>
      </c>
      <c r="C22290" t="s">
        <v>1619</v>
      </c>
      <c r="D22290" t="s">
        <v>14</v>
      </c>
      <c r="E22290" t="s">
        <v>241</v>
      </c>
      <c r="F22290" s="2" t="str">
        <f>HYPERLINK("http://www.otzar.org/book.asp?149188","מהות החיים")</f>
        <v>מהות החיים</v>
      </c>
    </row>
    <row r="22291" spans="1:6" x14ac:dyDescent="0.2">
      <c r="A22291" t="s">
        <v>36019</v>
      </c>
      <c r="B22291" t="s">
        <v>36020</v>
      </c>
      <c r="C22291" t="s">
        <v>1374</v>
      </c>
      <c r="D22291" t="s">
        <v>56</v>
      </c>
      <c r="E22291" t="s">
        <v>241</v>
      </c>
      <c r="F22291" s="2" t="str">
        <f>HYPERLINK("http://www.otzar.org/book.asp?15494","מהות היהדות")</f>
        <v>מהות היהדות</v>
      </c>
    </row>
    <row r="22292" spans="1:6" x14ac:dyDescent="0.2">
      <c r="A22292" t="s">
        <v>36021</v>
      </c>
      <c r="B22292" t="s">
        <v>4398</v>
      </c>
      <c r="C22292" t="s">
        <v>422</v>
      </c>
      <c r="D22292" t="s">
        <v>216</v>
      </c>
      <c r="E22292" t="s">
        <v>144</v>
      </c>
      <c r="F22292" s="2" t="str">
        <f>HYPERLINK("http://www.otzar.org/book.asp?149228","מהישמ""ח - ב")</f>
        <v>מהישמ"ח - ב</v>
      </c>
    </row>
    <row r="22293" spans="1:6" x14ac:dyDescent="0.2">
      <c r="A22293" t="s">
        <v>36022</v>
      </c>
      <c r="B22293" t="s">
        <v>36023</v>
      </c>
      <c r="C22293" t="s">
        <v>553</v>
      </c>
      <c r="D22293" t="s">
        <v>14</v>
      </c>
      <c r="E22293" t="s">
        <v>119</v>
      </c>
      <c r="F22293" s="2" t="str">
        <f>HYPERLINK("http://www.otzar.org/book.asp?157754","מהלברשטט עד פתח תקוה")</f>
        <v>מהלברשטט עד פתח תקוה</v>
      </c>
    </row>
    <row r="22294" spans="1:6" x14ac:dyDescent="0.2">
      <c r="A22294" t="s">
        <v>36024</v>
      </c>
      <c r="B22294" t="s">
        <v>15304</v>
      </c>
      <c r="C22294" t="s">
        <v>4705</v>
      </c>
      <c r="D22294" t="s">
        <v>1538</v>
      </c>
      <c r="E22294" t="s">
        <v>104</v>
      </c>
      <c r="F22294" s="2" t="str">
        <f>HYPERLINK("http://www.otzar.org/book.asp?19034","מהלך הכוכבים")</f>
        <v>מהלך הכוכבים</v>
      </c>
    </row>
    <row r="22295" spans="1:6" x14ac:dyDescent="0.2">
      <c r="A22295" t="s">
        <v>36025</v>
      </c>
      <c r="B22295" t="s">
        <v>36026</v>
      </c>
      <c r="C22295" t="s">
        <v>20</v>
      </c>
      <c r="D22295" t="s">
        <v>52</v>
      </c>
      <c r="E22295" t="s">
        <v>230</v>
      </c>
      <c r="F22295" s="2" t="str">
        <f>HYPERLINK("http://www.otzar.org/book.asp?621128","מהלך התורה")</f>
        <v>מהלך התורה</v>
      </c>
    </row>
    <row r="22296" spans="1:6" x14ac:dyDescent="0.2">
      <c r="A22296" t="s">
        <v>36027</v>
      </c>
      <c r="B22296" t="s">
        <v>16786</v>
      </c>
      <c r="C22296" t="s">
        <v>1859</v>
      </c>
      <c r="D22296" t="s">
        <v>726</v>
      </c>
      <c r="E22296" t="s">
        <v>104</v>
      </c>
      <c r="F22296" s="2" t="str">
        <f>HYPERLINK("http://www.otzar.org/book.asp?147182","מהלך שבילי הדעת")</f>
        <v>מהלך שבילי הדעת</v>
      </c>
    </row>
    <row r="22297" spans="1:6" x14ac:dyDescent="0.2">
      <c r="A22297" t="s">
        <v>36028</v>
      </c>
      <c r="B22297" t="s">
        <v>16786</v>
      </c>
      <c r="C22297" t="s">
        <v>8222</v>
      </c>
      <c r="D22297" t="s">
        <v>1117</v>
      </c>
      <c r="E22297" t="s">
        <v>104</v>
      </c>
      <c r="F22297" s="2" t="str">
        <f>HYPERLINK("http://www.otzar.org/book.asp?146751","מהלך")</f>
        <v>מהלך</v>
      </c>
    </row>
    <row r="22298" spans="1:6" x14ac:dyDescent="0.2">
      <c r="A22298" t="s">
        <v>36029</v>
      </c>
      <c r="B22298" t="s">
        <v>36030</v>
      </c>
      <c r="C22298" t="s">
        <v>594</v>
      </c>
      <c r="D22298" t="s">
        <v>11133</v>
      </c>
      <c r="E22298" t="s">
        <v>104</v>
      </c>
      <c r="F22298" s="2" t="str">
        <f>HYPERLINK("http://www.otzar.org/book.asp?145439","מהלמות לגו כסילים")</f>
        <v>מהלמות לגו כסילים</v>
      </c>
    </row>
    <row r="22299" spans="1:6" x14ac:dyDescent="0.2">
      <c r="A22299" t="s">
        <v>36031</v>
      </c>
      <c r="B22299" t="s">
        <v>36032</v>
      </c>
      <c r="C22299" t="s">
        <v>427</v>
      </c>
      <c r="D22299" t="s">
        <v>14</v>
      </c>
      <c r="E22299" t="s">
        <v>241</v>
      </c>
      <c r="F22299" s="2" t="str">
        <f>HYPERLINK("http://www.otzar.org/book.asp?144472","מהמקור - 2 כר'")</f>
        <v>מהמקור - 2 כר'</v>
      </c>
    </row>
    <row r="22300" spans="1:6" x14ac:dyDescent="0.2">
      <c r="A22300" t="s">
        <v>36033</v>
      </c>
      <c r="B22300" t="s">
        <v>107</v>
      </c>
      <c r="C22300" t="s">
        <v>20</v>
      </c>
      <c r="D22300" t="s">
        <v>14</v>
      </c>
      <c r="E22300" t="s">
        <v>241</v>
      </c>
      <c r="F22300" s="2" t="str">
        <f>HYPERLINK("http://www.otzar.org/book.asp?164057","מהפכת התשובה שבימינו")</f>
        <v>מהפכת התשובה שבימינו</v>
      </c>
    </row>
    <row r="22301" spans="1:6" x14ac:dyDescent="0.2">
      <c r="A22301" t="s">
        <v>36034</v>
      </c>
      <c r="B22301" t="s">
        <v>107</v>
      </c>
      <c r="C22301" t="s">
        <v>624</v>
      </c>
      <c r="D22301" t="s">
        <v>14</v>
      </c>
      <c r="E22301" t="s">
        <v>213</v>
      </c>
      <c r="F22301" s="2" t="str">
        <f>HYPERLINK("http://www.otzar.org/book.asp?6303","מהפכת חינוך הבנות בדורנו")</f>
        <v>מהפכת חינוך הבנות בדורנו</v>
      </c>
    </row>
    <row r="22302" spans="1:6" x14ac:dyDescent="0.2">
      <c r="A22302" t="s">
        <v>36035</v>
      </c>
      <c r="B22302" t="s">
        <v>36036</v>
      </c>
      <c r="C22302" t="s">
        <v>366</v>
      </c>
      <c r="D22302" t="s">
        <v>90</v>
      </c>
      <c r="E22302" t="s">
        <v>230</v>
      </c>
      <c r="F22302" s="2" t="str">
        <f>HYPERLINK("http://www.otzar.org/book.asp?612317","מהפרשה לחיינו")</f>
        <v>מהפרשה לחיינו</v>
      </c>
    </row>
    <row r="22303" spans="1:6" x14ac:dyDescent="0.2">
      <c r="A22303" t="s">
        <v>36037</v>
      </c>
      <c r="B22303" t="s">
        <v>36038</v>
      </c>
      <c r="C22303" t="s">
        <v>466</v>
      </c>
      <c r="D22303" t="s">
        <v>21</v>
      </c>
      <c r="E22303" t="s">
        <v>579</v>
      </c>
      <c r="F22303" s="2" t="str">
        <f>HYPERLINK("http://www.otzar.org/book.asp?605743","מהר שלם")</f>
        <v>מהר שלם</v>
      </c>
    </row>
    <row r="22304" spans="1:6" x14ac:dyDescent="0.2">
      <c r="A22304" t="s">
        <v>36039</v>
      </c>
      <c r="B22304" t="s">
        <v>36040</v>
      </c>
      <c r="C22304" t="s">
        <v>1160</v>
      </c>
      <c r="D22304" t="s">
        <v>21</v>
      </c>
      <c r="E22304" t="s">
        <v>158</v>
      </c>
      <c r="F22304" s="2" t="str">
        <f>HYPERLINK("http://www.otzar.org/book.asp?198391","מהר""א אליעזר")</f>
        <v>מהר"א אליעזר</v>
      </c>
    </row>
    <row r="22305" spans="1:6" x14ac:dyDescent="0.2">
      <c r="A22305" t="s">
        <v>36041</v>
      </c>
      <c r="B22305" t="s">
        <v>1733</v>
      </c>
      <c r="C22305" t="s">
        <v>20</v>
      </c>
      <c r="D22305" t="s">
        <v>52</v>
      </c>
      <c r="E22305" t="s">
        <v>158</v>
      </c>
      <c r="F22305" s="2" t="str">
        <f>HYPERLINK("http://www.otzar.org/book.asp?606877","מהר""א מבעלזא (ליקוטי אמרים טהורים)")</f>
        <v>מהר"א מבעלזא (ליקוטי אמרים טהורים)</v>
      </c>
    </row>
    <row r="22306" spans="1:6" x14ac:dyDescent="0.2">
      <c r="A22306" t="s">
        <v>36042</v>
      </c>
      <c r="B22306" t="s">
        <v>36043</v>
      </c>
      <c r="C22306" t="s">
        <v>20</v>
      </c>
      <c r="D22306" t="s">
        <v>118</v>
      </c>
      <c r="E22306" t="s">
        <v>1185</v>
      </c>
      <c r="F22306" s="2" t="str">
        <f>HYPERLINK("http://www.otzar.org/book.asp?14301","מהר""א מבעלזא - 2 כר'")</f>
        <v>מהר"א מבעלזא - 2 כר'</v>
      </c>
    </row>
    <row r="22307" spans="1:6" x14ac:dyDescent="0.2">
      <c r="A22307" t="s">
        <v>36044</v>
      </c>
      <c r="B22307" t="s">
        <v>36045</v>
      </c>
      <c r="C22307" t="s">
        <v>151</v>
      </c>
      <c r="D22307" t="s">
        <v>14</v>
      </c>
      <c r="F22307" s="2" t="str">
        <f>HYPERLINK("http://www.otzar.org/book.asp?619205","מהר""ז סופר &lt;מהדורה חדשה&gt;")</f>
        <v>מהר"ז סופר &lt;מהדורה חדשה&gt;</v>
      </c>
    </row>
    <row r="22308" spans="1:6" x14ac:dyDescent="0.2">
      <c r="A22308" t="s">
        <v>36046</v>
      </c>
      <c r="B22308" t="s">
        <v>36047</v>
      </c>
      <c r="C22308" t="s">
        <v>151</v>
      </c>
      <c r="D22308" t="s">
        <v>147</v>
      </c>
      <c r="F22308" s="2" t="str">
        <f>HYPERLINK("http://www.otzar.org/book.asp?612508","מהר""ז סופר - שארית יהודה")</f>
        <v>מהר"ז סופר - שארית יהודה</v>
      </c>
    </row>
    <row r="22309" spans="1:6" x14ac:dyDescent="0.2">
      <c r="A22309" t="s">
        <v>36048</v>
      </c>
      <c r="B22309" t="s">
        <v>36045</v>
      </c>
      <c r="C22309" t="s">
        <v>427</v>
      </c>
      <c r="D22309" t="s">
        <v>14</v>
      </c>
      <c r="E22309" t="s">
        <v>154</v>
      </c>
      <c r="F22309" s="2" t="str">
        <f>HYPERLINK("http://www.otzar.org/book.asp?13138","מהר""ז סופר")</f>
        <v>מהר"ז סופר</v>
      </c>
    </row>
    <row r="22310" spans="1:6" x14ac:dyDescent="0.2">
      <c r="A22310" t="s">
        <v>36049</v>
      </c>
      <c r="B22310" t="s">
        <v>1733</v>
      </c>
      <c r="C22310" t="s">
        <v>20</v>
      </c>
      <c r="D22310" t="s">
        <v>52</v>
      </c>
      <c r="E22310" t="s">
        <v>2614</v>
      </c>
      <c r="F22310" s="2" t="str">
        <f>HYPERLINK("http://www.otzar.org/book.asp?154578","מהר""י מבעלזא (ליקוטי אמרים טהורים)")</f>
        <v>מהר"י מבעלזא (ליקוטי אמרים טהורים)</v>
      </c>
    </row>
    <row r="22311" spans="1:6" x14ac:dyDescent="0.2">
      <c r="A22311" t="s">
        <v>36050</v>
      </c>
      <c r="B22311" t="s">
        <v>36051</v>
      </c>
      <c r="C22311" t="s">
        <v>20</v>
      </c>
      <c r="D22311" t="s">
        <v>118</v>
      </c>
      <c r="E22311" t="s">
        <v>158</v>
      </c>
      <c r="F22311" s="2" t="str">
        <f>HYPERLINK("http://www.otzar.org/book.asp?14290","מהר""י מבעלזא - 2 כר'")</f>
        <v>מהר"י מבעלזא - 2 כר'</v>
      </c>
    </row>
    <row r="22312" spans="1:6" x14ac:dyDescent="0.2">
      <c r="A22312" t="s">
        <v>36052</v>
      </c>
      <c r="B22312" t="s">
        <v>36053</v>
      </c>
      <c r="C22312" t="s">
        <v>1448</v>
      </c>
      <c r="D22312" t="s">
        <v>14</v>
      </c>
      <c r="E22312" t="s">
        <v>733</v>
      </c>
      <c r="F22312" s="2" t="str">
        <f>HYPERLINK("http://www.otzar.org/book.asp?164109","מהר""ל מפראג")</f>
        <v>מהר"ל מפראג</v>
      </c>
    </row>
    <row r="22313" spans="1:6" x14ac:dyDescent="0.2">
      <c r="A22313" t="s">
        <v>36054</v>
      </c>
      <c r="B22313" t="s">
        <v>20959</v>
      </c>
      <c r="C22313" t="s">
        <v>129</v>
      </c>
      <c r="D22313" t="s">
        <v>412</v>
      </c>
      <c r="E22313" t="s">
        <v>246</v>
      </c>
      <c r="F22313" s="2" t="str">
        <f>HYPERLINK("http://www.otzar.org/book.asp?161843","מהר""ם בנעט על חג הפסח")</f>
        <v>מהר"ם בנעט על חג הפסח</v>
      </c>
    </row>
    <row r="22314" spans="1:6" x14ac:dyDescent="0.2">
      <c r="A22314" t="s">
        <v>36055</v>
      </c>
      <c r="B22314" t="s">
        <v>20959</v>
      </c>
      <c r="C22314" t="s">
        <v>1284</v>
      </c>
      <c r="D22314" t="s">
        <v>661</v>
      </c>
      <c r="E22314" t="s">
        <v>148</v>
      </c>
      <c r="F22314" s="2" t="str">
        <f>HYPERLINK("http://www.otzar.org/book.asp?101106","מהר""ם בנעט")</f>
        <v>מהר"ם בנעט</v>
      </c>
    </row>
    <row r="22315" spans="1:6" x14ac:dyDescent="0.2">
      <c r="A22315" t="s">
        <v>36056</v>
      </c>
      <c r="B22315" t="s">
        <v>13977</v>
      </c>
      <c r="C22315" t="s">
        <v>5308</v>
      </c>
      <c r="D22315" t="s">
        <v>744</v>
      </c>
      <c r="E22315" t="s">
        <v>154</v>
      </c>
      <c r="F22315" s="2" t="str">
        <f>HYPERLINK("http://www.otzar.org/book.asp?17048","מהר""ם מינץ - 2 כר'")</f>
        <v>מהר"ם מינץ - 2 כר'</v>
      </c>
    </row>
    <row r="22316" spans="1:6" x14ac:dyDescent="0.2">
      <c r="A22316" t="s">
        <v>36057</v>
      </c>
      <c r="B22316" t="s">
        <v>36058</v>
      </c>
      <c r="C22316" t="s">
        <v>506</v>
      </c>
      <c r="D22316" t="s">
        <v>8024</v>
      </c>
      <c r="E22316" t="s">
        <v>10476</v>
      </c>
      <c r="F22316" s="2" t="str">
        <f>HYPERLINK("http://www.otzar.org/book.asp?7715","מהר""ם סופר - 2 כר'")</f>
        <v>מהר"ם סופר - 2 כר'</v>
      </c>
    </row>
    <row r="22317" spans="1:6" x14ac:dyDescent="0.2">
      <c r="A22317" t="s">
        <v>36059</v>
      </c>
      <c r="B22317" t="s">
        <v>1349</v>
      </c>
      <c r="C22317" t="s">
        <v>244</v>
      </c>
      <c r="D22317" t="s">
        <v>412</v>
      </c>
      <c r="F22317" s="2" t="str">
        <f>HYPERLINK("http://www.otzar.org/book.asp?609741","מהר""ם שיק  תרי""ג מצות &lt;מהדורה חדשה&gt; - 2 כר'")</f>
        <v>מהר"ם שיק  תרי"ג מצות &lt;מהדורה חדשה&gt; - 2 כר'</v>
      </c>
    </row>
    <row r="22318" spans="1:6" x14ac:dyDescent="0.2">
      <c r="A22318" t="s">
        <v>36060</v>
      </c>
      <c r="B22318" t="s">
        <v>1349</v>
      </c>
      <c r="C22318" t="s">
        <v>36061</v>
      </c>
      <c r="D22318" t="s">
        <v>379</v>
      </c>
      <c r="E22318" t="s">
        <v>154</v>
      </c>
      <c r="F22318" s="2" t="str">
        <f>HYPERLINK("http://www.otzar.org/book.asp?12070","מהר""ם שיק &lt;שו""ת&gt; - 3 כר'")</f>
        <v>מהר"ם שיק &lt;שו"ת&gt; - 3 כר'</v>
      </c>
    </row>
    <row r="22319" spans="1:6" x14ac:dyDescent="0.2">
      <c r="A22319" t="s">
        <v>36062</v>
      </c>
      <c r="B22319" t="s">
        <v>1349</v>
      </c>
      <c r="C22319" t="s">
        <v>775</v>
      </c>
      <c r="D22319" t="s">
        <v>14</v>
      </c>
      <c r="E22319" t="s">
        <v>474</v>
      </c>
      <c r="F22319" s="2" t="str">
        <f>HYPERLINK("http://www.otzar.org/book.asp?143976","מהר""ם שיק השלם על התורה - 5 כר'")</f>
        <v>מהר"ם שיק השלם על התורה - 5 כר'</v>
      </c>
    </row>
    <row r="22320" spans="1:6" x14ac:dyDescent="0.2">
      <c r="A22320" t="s">
        <v>36063</v>
      </c>
      <c r="B22320" t="s">
        <v>1349</v>
      </c>
      <c r="C22320" t="s">
        <v>609</v>
      </c>
      <c r="D22320" t="s">
        <v>100</v>
      </c>
      <c r="E22320" t="s">
        <v>84</v>
      </c>
      <c r="F22320" s="2" t="str">
        <f>HYPERLINK("http://www.otzar.org/book.asp?149619","מהר""ם שיק על מס' אבות")</f>
        <v>מהר"ם שיק על מס' אבות</v>
      </c>
    </row>
    <row r="22321" spans="1:6" x14ac:dyDescent="0.2">
      <c r="A22321" t="s">
        <v>36064</v>
      </c>
      <c r="B22321" t="s">
        <v>552</v>
      </c>
      <c r="C22321" t="s">
        <v>334</v>
      </c>
      <c r="D22321" t="s">
        <v>14</v>
      </c>
      <c r="E22321" t="s">
        <v>202</v>
      </c>
      <c r="F22321" s="2" t="str">
        <f>HYPERLINK("http://www.otzar.org/book.asp?23772","מהר""ם שיק - מאסף תורני")</f>
        <v>מהר"ם שיק - מאסף תורני</v>
      </c>
    </row>
    <row r="22322" spans="1:6" x14ac:dyDescent="0.2">
      <c r="A22322" t="s">
        <v>36065</v>
      </c>
      <c r="B22322" t="s">
        <v>36066</v>
      </c>
      <c r="C22322" t="s">
        <v>129</v>
      </c>
      <c r="D22322" t="s">
        <v>14</v>
      </c>
      <c r="F22322" s="2" t="str">
        <f>HYPERLINK("http://www.otzar.org/book.asp?183175","מהר""ם שיק - שאילת יעקב - חנוכה")</f>
        <v>מהר"ם שיק - שאילת יעקב - חנוכה</v>
      </c>
    </row>
    <row r="22323" spans="1:6" x14ac:dyDescent="0.2">
      <c r="A22323" t="s">
        <v>36067</v>
      </c>
      <c r="B22323" t="s">
        <v>1349</v>
      </c>
      <c r="C22323" t="s">
        <v>36068</v>
      </c>
      <c r="D22323" t="s">
        <v>379</v>
      </c>
      <c r="E22323" t="s">
        <v>104</v>
      </c>
      <c r="F22323" s="2" t="str">
        <f>HYPERLINK("http://www.otzar.org/book.asp?21145","מהר""ם שיק - 9 כר'")</f>
        <v>מהר"ם שיק - 9 כר'</v>
      </c>
    </row>
    <row r="22324" spans="1:6" x14ac:dyDescent="0.2">
      <c r="A22324" t="s">
        <v>36069</v>
      </c>
      <c r="B22324" t="s">
        <v>36070</v>
      </c>
      <c r="C22324" t="s">
        <v>600</v>
      </c>
      <c r="D22324" t="s">
        <v>56</v>
      </c>
      <c r="E22324" t="s">
        <v>154</v>
      </c>
      <c r="F22324" s="2" t="str">
        <f>HYPERLINK("http://www.otzar.org/book.asp?19035","מהר""ן יפה")</f>
        <v>מהר"ן יפה</v>
      </c>
    </row>
    <row r="22325" spans="1:6" x14ac:dyDescent="0.2">
      <c r="A22325" t="s">
        <v>36071</v>
      </c>
      <c r="B22325" t="s">
        <v>34458</v>
      </c>
      <c r="C22325" t="s">
        <v>1640</v>
      </c>
      <c r="D22325" t="s">
        <v>216</v>
      </c>
      <c r="E22325" t="s">
        <v>2862</v>
      </c>
      <c r="F22325" s="2" t="str">
        <f>HYPERLINK("http://www.otzar.org/book.asp?7334","מהר""ש &lt;אמרי קדש&gt;")</f>
        <v>מהר"ש &lt;אמרי קדש&gt;</v>
      </c>
    </row>
    <row r="22326" spans="1:6" x14ac:dyDescent="0.2">
      <c r="A22326" t="s">
        <v>36072</v>
      </c>
      <c r="B22326" t="s">
        <v>34458</v>
      </c>
      <c r="C22326" t="s">
        <v>553</v>
      </c>
      <c r="D22326" t="s">
        <v>52</v>
      </c>
      <c r="E22326" t="s">
        <v>140</v>
      </c>
      <c r="F22326" s="2" t="str">
        <f>HYPERLINK("http://www.otzar.org/book.asp?154575","מהר""ש מבעלזא - 2 כר'")</f>
        <v>מהר"ש מבעלזא - 2 כר'</v>
      </c>
    </row>
    <row r="22327" spans="1:6" x14ac:dyDescent="0.2">
      <c r="A22327" t="s">
        <v>36073</v>
      </c>
      <c r="B22327" t="s">
        <v>36074</v>
      </c>
      <c r="C22327" t="s">
        <v>2105</v>
      </c>
      <c r="D22327" t="s">
        <v>1422</v>
      </c>
      <c r="F22327" s="2" t="str">
        <f>HYPERLINK("http://www.otzar.org/book.asp?62180","מהר""ש צילטץ על התורה")</f>
        <v>מהר"ש צילטץ על התורה</v>
      </c>
    </row>
    <row r="22328" spans="1:6" x14ac:dyDescent="0.2">
      <c r="A22328" t="s">
        <v>36075</v>
      </c>
      <c r="B22328" t="s">
        <v>36076</v>
      </c>
      <c r="C22328" t="s">
        <v>617</v>
      </c>
      <c r="D22328" t="s">
        <v>267</v>
      </c>
      <c r="E22328" t="s">
        <v>930</v>
      </c>
      <c r="F22328" s="2" t="str">
        <f>HYPERLINK("http://www.otzar.org/book.asp?7994","מהרי""א הלוי - 2 כר'")</f>
        <v>מהרי"א הלוי - 2 כר'</v>
      </c>
    </row>
    <row r="22329" spans="1:6" x14ac:dyDescent="0.2">
      <c r="A22329" t="s">
        <v>36077</v>
      </c>
      <c r="B22329" t="s">
        <v>36078</v>
      </c>
      <c r="C22329" t="s">
        <v>20</v>
      </c>
      <c r="D22329" t="s">
        <v>118</v>
      </c>
      <c r="E22329" t="s">
        <v>158</v>
      </c>
      <c r="F22329" s="2" t="str">
        <f>HYPERLINK("http://www.otzar.org/book.asp?14287","מהרי""ד מבעלזא - א (בראשית, שמות, ויקרא)")</f>
        <v>מהרי"ד מבעלזא - א (בראשית, שמות, ויקרא)</v>
      </c>
    </row>
    <row r="22330" spans="1:6" x14ac:dyDescent="0.2">
      <c r="A22330" t="s">
        <v>36079</v>
      </c>
      <c r="B22330" t="s">
        <v>36080</v>
      </c>
      <c r="C22330" t="s">
        <v>20</v>
      </c>
      <c r="D22330" t="s">
        <v>118</v>
      </c>
      <c r="E22330" t="s">
        <v>23534</v>
      </c>
      <c r="F22330" s="2" t="str">
        <f>HYPERLINK("http://www.otzar.org/book.asp?13607","מהרי""ד מבעלזא - ב (במדבר, דברים, מועדים)")</f>
        <v>מהרי"ד מבעלזא - ב (במדבר, דברים, מועדים)</v>
      </c>
    </row>
    <row r="22331" spans="1:6" x14ac:dyDescent="0.2">
      <c r="A22331" t="s">
        <v>36081</v>
      </c>
      <c r="B22331" t="s">
        <v>36080</v>
      </c>
      <c r="C22331" t="s">
        <v>20</v>
      </c>
      <c r="D22331" t="s">
        <v>118</v>
      </c>
      <c r="E22331" t="s">
        <v>226</v>
      </c>
      <c r="F22331" s="2" t="str">
        <f>HYPERLINK("http://www.otzar.org/book.asp?155296","מהרי""ד")</f>
        <v>מהרי"ד</v>
      </c>
    </row>
    <row r="22332" spans="1:6" x14ac:dyDescent="0.2">
      <c r="A22332" t="s">
        <v>36082</v>
      </c>
      <c r="B22332" t="s">
        <v>2571</v>
      </c>
      <c r="C22332" t="s">
        <v>168</v>
      </c>
      <c r="D22332" t="s">
        <v>27</v>
      </c>
      <c r="E22332" t="s">
        <v>158</v>
      </c>
      <c r="F22332" s="2" t="str">
        <f>HYPERLINK("http://www.otzar.org/book.asp?154962","מהרי""ל דיסקין על התורה")</f>
        <v>מהרי"ל דיסקין על התורה</v>
      </c>
    </row>
    <row r="22333" spans="1:6" x14ac:dyDescent="0.2">
      <c r="A22333" t="s">
        <v>36083</v>
      </c>
      <c r="B22333" t="s">
        <v>4975</v>
      </c>
      <c r="C22333" t="s">
        <v>442</v>
      </c>
      <c r="D22333" t="s">
        <v>9</v>
      </c>
      <c r="E22333" t="s">
        <v>119</v>
      </c>
      <c r="F22333" s="2" t="str">
        <f>HYPERLINK("http://www.otzar.org/book.asp?20220","מהרי""ל וזמנו")</f>
        <v>מהרי"ל וזמנו</v>
      </c>
    </row>
    <row r="22334" spans="1:6" x14ac:dyDescent="0.2">
      <c r="A22334" t="s">
        <v>36084</v>
      </c>
      <c r="B22334" t="s">
        <v>36085</v>
      </c>
      <c r="C22334" t="s">
        <v>20</v>
      </c>
      <c r="D22334" t="s">
        <v>152</v>
      </c>
      <c r="E22334" t="s">
        <v>733</v>
      </c>
      <c r="F22334" s="2" t="str">
        <f>HYPERLINK("http://www.otzar.org/book.asp?64247","מהרי""ץ &lt;ומשפחתו&gt;")</f>
        <v>מהרי"ץ &lt;ומשפחתו&gt;</v>
      </c>
    </row>
    <row r="22335" spans="1:6" x14ac:dyDescent="0.2">
      <c r="A22335" t="s">
        <v>36086</v>
      </c>
      <c r="B22335" t="s">
        <v>36087</v>
      </c>
      <c r="C22335" t="s">
        <v>2225</v>
      </c>
      <c r="D22335" t="s">
        <v>49</v>
      </c>
      <c r="E22335" t="s">
        <v>2088</v>
      </c>
      <c r="F22335" s="2" t="str">
        <f>HYPERLINK("http://www.otzar.org/book.asp?103869","מהררי נמרים")</f>
        <v>מהררי נמרים</v>
      </c>
    </row>
    <row r="22336" spans="1:6" x14ac:dyDescent="0.2">
      <c r="A22336" t="s">
        <v>36088</v>
      </c>
      <c r="B22336" t="s">
        <v>23517</v>
      </c>
      <c r="C22336" t="s">
        <v>23</v>
      </c>
      <c r="D22336" t="s">
        <v>21</v>
      </c>
      <c r="E22336" t="s">
        <v>144</v>
      </c>
      <c r="F22336" s="2" t="str">
        <f>HYPERLINK("http://www.otzar.org/book.asp?195474","מהרש""א &lt;עם ביאורים והערות&gt; - ביצה")</f>
        <v>מהרש"א &lt;עם ביאורים והערות&gt; - ביצה</v>
      </c>
    </row>
    <row r="22337" spans="1:6" x14ac:dyDescent="0.2">
      <c r="A22337" t="s">
        <v>36089</v>
      </c>
      <c r="B22337" t="s">
        <v>23517</v>
      </c>
      <c r="C22337" t="s">
        <v>244</v>
      </c>
      <c r="D22337" t="s">
        <v>21</v>
      </c>
      <c r="E22337" t="s">
        <v>144</v>
      </c>
      <c r="F22337" s="2" t="str">
        <f>HYPERLINK("http://www.otzar.org/book.asp?607203","מהרש""א &lt;עם ביאורים וציונים&gt; - ביצה")</f>
        <v>מהרש"א &lt;עם ביאורים וציונים&gt; - ביצה</v>
      </c>
    </row>
    <row r="22338" spans="1:6" x14ac:dyDescent="0.2">
      <c r="A22338" t="s">
        <v>36090</v>
      </c>
      <c r="B22338" t="s">
        <v>36091</v>
      </c>
      <c r="C22338" t="s">
        <v>1640</v>
      </c>
      <c r="D22338" t="s">
        <v>412</v>
      </c>
      <c r="E22338" t="s">
        <v>1211</v>
      </c>
      <c r="F22338" s="2" t="str">
        <f>HYPERLINK("http://www.otzar.org/book.asp?7041","מהרש""א הארוך - 18 כר'")</f>
        <v>מהרש"א הארוך - 18 כר'</v>
      </c>
    </row>
    <row r="22339" spans="1:6" x14ac:dyDescent="0.2">
      <c r="A22339" t="s">
        <v>36092</v>
      </c>
      <c r="B22339" t="s">
        <v>36093</v>
      </c>
      <c r="C22339" t="s">
        <v>17</v>
      </c>
      <c r="D22339" t="s">
        <v>52</v>
      </c>
      <c r="E22339" t="s">
        <v>144</v>
      </c>
      <c r="F22339" s="2" t="str">
        <f>HYPERLINK("http://www.otzar.org/book.asp?23233","מהרש""א המבואר - 10 כר'")</f>
        <v>מהרש"א המבואר - 10 כר'</v>
      </c>
    </row>
    <row r="22340" spans="1:6" x14ac:dyDescent="0.2">
      <c r="A22340" t="s">
        <v>36094</v>
      </c>
      <c r="B22340" t="s">
        <v>36095</v>
      </c>
      <c r="C22340" t="s">
        <v>244</v>
      </c>
      <c r="D22340" t="s">
        <v>14</v>
      </c>
      <c r="E22340" t="s">
        <v>144</v>
      </c>
      <c r="F22340" s="2" t="str">
        <f>HYPERLINK("http://www.otzar.org/book.asp?615534","מהרש""א עם ביאורים וציונים - 2 כר'")</f>
        <v>מהרש"א עם ביאורים וציונים - 2 כר'</v>
      </c>
    </row>
    <row r="22341" spans="1:6" x14ac:dyDescent="0.2">
      <c r="A22341" t="s">
        <v>36096</v>
      </c>
      <c r="B22341" t="s">
        <v>15342</v>
      </c>
      <c r="C22341" t="s">
        <v>1246</v>
      </c>
      <c r="D22341" t="s">
        <v>986</v>
      </c>
      <c r="E22341" t="s">
        <v>733</v>
      </c>
      <c r="F22341" s="2" t="str">
        <f>HYPERLINK("http://www.otzar.org/book.asp?149257","מהרש""ם הפוסק האחרון")</f>
        <v>מהרש"ם הפוסק האחרון</v>
      </c>
    </row>
    <row r="22342" spans="1:6" x14ac:dyDescent="0.2">
      <c r="A22342" t="s">
        <v>36097</v>
      </c>
      <c r="B22342" t="s">
        <v>13596</v>
      </c>
      <c r="C22342" t="s">
        <v>176</v>
      </c>
      <c r="D22342" t="s">
        <v>14</v>
      </c>
      <c r="E22342" t="s">
        <v>144</v>
      </c>
      <c r="F22342" s="2" t="str">
        <f>HYPERLINK("http://www.otzar.org/book.asp?10034","מהרש""ם על הש""ס")</f>
        <v>מהרש"ם על הש"ס</v>
      </c>
    </row>
    <row r="22343" spans="1:6" x14ac:dyDescent="0.2">
      <c r="A22343" t="s">
        <v>36098</v>
      </c>
      <c r="B22343" t="s">
        <v>36099</v>
      </c>
      <c r="C22343" t="s">
        <v>1954</v>
      </c>
      <c r="D22343" t="s">
        <v>260</v>
      </c>
      <c r="E22343" t="s">
        <v>230</v>
      </c>
      <c r="F22343" s="2" t="str">
        <f>HYPERLINK("http://www.otzar.org/book.asp?145251","מהרש""מ הכהן")</f>
        <v>מהרש"מ הכהן</v>
      </c>
    </row>
    <row r="22344" spans="1:6" x14ac:dyDescent="0.2">
      <c r="A22344" t="s">
        <v>36100</v>
      </c>
      <c r="B22344" t="s">
        <v>36101</v>
      </c>
      <c r="C22344" t="s">
        <v>176</v>
      </c>
      <c r="D22344" t="s">
        <v>14</v>
      </c>
      <c r="E22344" t="s">
        <v>10</v>
      </c>
      <c r="F22344" s="2" t="str">
        <f>HYPERLINK("http://www.otzar.org/book.asp?619887","מוגש לעיון")</f>
        <v>מוגש לעיון</v>
      </c>
    </row>
    <row r="22345" spans="1:6" x14ac:dyDescent="0.2">
      <c r="A22345" t="s">
        <v>36102</v>
      </c>
      <c r="B22345" t="s">
        <v>10210</v>
      </c>
      <c r="C22345" t="s">
        <v>36103</v>
      </c>
      <c r="D22345" t="s">
        <v>2705</v>
      </c>
      <c r="E22345" t="s">
        <v>219</v>
      </c>
      <c r="F22345" s="2" t="str">
        <f>HYPERLINK("http://www.otzar.org/book.asp?620390","מודה ועוזב")</f>
        <v>מודה ועוזב</v>
      </c>
    </row>
    <row r="22346" spans="1:6" x14ac:dyDescent="0.2">
      <c r="A22346" t="s">
        <v>36104</v>
      </c>
      <c r="B22346" t="s">
        <v>36105</v>
      </c>
      <c r="C22346" t="s">
        <v>429</v>
      </c>
      <c r="D22346" t="s">
        <v>56</v>
      </c>
      <c r="E22346" t="s">
        <v>15887</v>
      </c>
      <c r="F22346" s="2" t="str">
        <f>HYPERLINK("http://www.otzar.org/book.asp?14132","מודע לבינה והרכסים לבקעה")</f>
        <v>מודע לבינה והרכסים לבקעה</v>
      </c>
    </row>
    <row r="22347" spans="1:6" x14ac:dyDescent="0.2">
      <c r="A22347" t="s">
        <v>36106</v>
      </c>
      <c r="B22347" t="s">
        <v>36107</v>
      </c>
      <c r="C22347" t="s">
        <v>11383</v>
      </c>
      <c r="D22347" t="s">
        <v>280</v>
      </c>
      <c r="E22347" t="s">
        <v>104</v>
      </c>
      <c r="F22347" s="2" t="str">
        <f>HYPERLINK("http://www.otzar.org/book.asp?103370","מודע לבינה")</f>
        <v>מודע לבינה</v>
      </c>
    </row>
    <row r="22348" spans="1:6" x14ac:dyDescent="0.2">
      <c r="A22348" t="s">
        <v>36108</v>
      </c>
      <c r="B22348" t="s">
        <v>32772</v>
      </c>
      <c r="C22348" t="s">
        <v>133</v>
      </c>
      <c r="D22348" t="s">
        <v>52</v>
      </c>
      <c r="F22348" s="2" t="str">
        <f>HYPERLINK("http://www.otzar.org/book.asp?611491","מודע לבינה - 9 כר'")</f>
        <v>מודע לבינה - 9 כר'</v>
      </c>
    </row>
    <row r="22349" spans="1:6" x14ac:dyDescent="0.2">
      <c r="A22349" t="s">
        <v>36109</v>
      </c>
      <c r="B22349" t="s">
        <v>36110</v>
      </c>
      <c r="C22349" t="s">
        <v>5823</v>
      </c>
      <c r="D22349" t="s">
        <v>352</v>
      </c>
      <c r="E22349" t="s">
        <v>674</v>
      </c>
      <c r="F22349" s="2" t="str">
        <f>HYPERLINK("http://www.otzar.org/book.asp?101096","מודעא ואונס - 2 כר'")</f>
        <v>מודעא ואונס - 2 כר'</v>
      </c>
    </row>
    <row r="22350" spans="1:6" x14ac:dyDescent="0.2">
      <c r="A22350" t="s">
        <v>36111</v>
      </c>
      <c r="B22350" t="s">
        <v>305</v>
      </c>
      <c r="C22350" t="s">
        <v>1036</v>
      </c>
      <c r="D22350" t="s">
        <v>1008</v>
      </c>
      <c r="E22350" t="s">
        <v>9356</v>
      </c>
      <c r="F22350" s="2" t="str">
        <f>HYPERLINK("http://www.otzar.org/book.asp?19039","מודעא לבית ישראל - מודעה לבית ישראל")</f>
        <v>מודעא לבית ישראל - מודעה לבית ישראל</v>
      </c>
    </row>
    <row r="22351" spans="1:6" x14ac:dyDescent="0.2">
      <c r="A22351" t="s">
        <v>36112</v>
      </c>
      <c r="B22351" t="s">
        <v>36113</v>
      </c>
      <c r="C22351" t="s">
        <v>4059</v>
      </c>
      <c r="D22351" t="s">
        <v>1516</v>
      </c>
      <c r="E22351" t="s">
        <v>119</v>
      </c>
      <c r="F22351" s="2" t="str">
        <f>HYPERLINK("http://www.otzar.org/book.asp?84653","מודעא רבה &lt;מודיע על ספרים הנדפסים בדפוס מאי&gt;")</f>
        <v>מודעא רבה &lt;מודיע על ספרים הנדפסים בדפוס מאי&gt;</v>
      </c>
    </row>
    <row r="22352" spans="1:6" x14ac:dyDescent="0.2">
      <c r="A22352" t="s">
        <v>36114</v>
      </c>
      <c r="B22352" t="s">
        <v>36115</v>
      </c>
      <c r="C22352" t="s">
        <v>36116</v>
      </c>
      <c r="D22352" t="s">
        <v>14297</v>
      </c>
      <c r="F22352" s="2" t="str">
        <f>HYPERLINK("http://www.otzar.org/book.asp?151453","מודעה &lt;זרע יהודה&gt;")</f>
        <v>מודעה &lt;זרע יהודה&gt;</v>
      </c>
    </row>
    <row r="22353" spans="1:6" x14ac:dyDescent="0.2">
      <c r="A22353" t="s">
        <v>36117</v>
      </c>
      <c r="B22353" t="s">
        <v>599</v>
      </c>
      <c r="C22353" t="s">
        <v>6054</v>
      </c>
      <c r="D22353" t="s">
        <v>303</v>
      </c>
      <c r="E22353" t="s">
        <v>219</v>
      </c>
      <c r="F22353" s="2" t="str">
        <f>HYPERLINK("http://www.otzar.org/book.asp?154351","מודעה וגלוי דעת")</f>
        <v>מודעה וגלוי דעת</v>
      </c>
    </row>
    <row r="22354" spans="1:6" x14ac:dyDescent="0.2">
      <c r="A22354" t="s">
        <v>36118</v>
      </c>
      <c r="B22354" t="s">
        <v>14038</v>
      </c>
      <c r="C22354" t="s">
        <v>12036</v>
      </c>
      <c r="D22354" t="s">
        <v>56</v>
      </c>
      <c r="E22354" t="s">
        <v>144</v>
      </c>
      <c r="F22354" s="2" t="str">
        <f>HYPERLINK("http://www.otzar.org/book.asp?163366","מודעה מבשרת ציון")</f>
        <v>מודעה מבשרת ציון</v>
      </c>
    </row>
    <row r="22355" spans="1:6" x14ac:dyDescent="0.2">
      <c r="A22355" t="s">
        <v>36119</v>
      </c>
      <c r="B22355" t="s">
        <v>36120</v>
      </c>
      <c r="C22355" t="s">
        <v>321</v>
      </c>
      <c r="D22355" t="s">
        <v>90</v>
      </c>
      <c r="E22355" t="s">
        <v>246</v>
      </c>
      <c r="F22355" s="2" t="str">
        <f>HYPERLINK("http://www.otzar.org/book.asp?84559","מודעה רבה &lt;בענין אתרוגים של ערלה&gt;")</f>
        <v>מודעה רבה &lt;בענין אתרוגים של ערלה&gt;</v>
      </c>
    </row>
    <row r="22356" spans="1:6" x14ac:dyDescent="0.2">
      <c r="A22356" t="s">
        <v>36121</v>
      </c>
      <c r="B22356" t="s">
        <v>1728</v>
      </c>
      <c r="C22356" t="s">
        <v>466</v>
      </c>
      <c r="D22356" t="s">
        <v>273</v>
      </c>
      <c r="E22356" t="s">
        <v>741</v>
      </c>
      <c r="F22356" s="2" t="str">
        <f>HYPERLINK("http://www.otzar.org/book.asp?628556","מודעות טבעית")</f>
        <v>מודעות טבעית</v>
      </c>
    </row>
    <row r="22357" spans="1:6" x14ac:dyDescent="0.2">
      <c r="A22357" t="s">
        <v>36122</v>
      </c>
      <c r="B22357" t="s">
        <v>36123</v>
      </c>
      <c r="C22357" t="s">
        <v>8820</v>
      </c>
      <c r="D22357" t="s">
        <v>49</v>
      </c>
      <c r="E22357" t="s">
        <v>119</v>
      </c>
      <c r="F22357" s="2" t="str">
        <f>HYPERLINK("http://www.otzar.org/book.asp?84555","מודעת זאת בכל הארץ")</f>
        <v>מודעת זאת בכל הארץ</v>
      </c>
    </row>
    <row r="22358" spans="1:6" x14ac:dyDescent="0.2">
      <c r="A22358" t="s">
        <v>36124</v>
      </c>
      <c r="B22358" t="s">
        <v>36125</v>
      </c>
      <c r="C22358" t="s">
        <v>8</v>
      </c>
      <c r="D22358" t="s">
        <v>582</v>
      </c>
      <c r="F22358" s="2" t="str">
        <f>HYPERLINK("http://www.otzar.org/book.asp?170269","מוזיקאלישער פנקס - 2 כר'")</f>
        <v>מוזיקאלישער פנקס - 2 כר'</v>
      </c>
    </row>
    <row r="22359" spans="1:6" x14ac:dyDescent="0.2">
      <c r="A22359" t="s">
        <v>36126</v>
      </c>
      <c r="B22359" t="s">
        <v>4735</v>
      </c>
      <c r="C22359" t="s">
        <v>51</v>
      </c>
      <c r="D22359" t="s">
        <v>14</v>
      </c>
      <c r="E22359" t="s">
        <v>1438</v>
      </c>
      <c r="F22359" s="2" t="str">
        <f>HYPERLINK("http://www.otzar.org/book.asp?63874","מוזיקה וקבלה")</f>
        <v>מוזיקה וקבלה</v>
      </c>
    </row>
    <row r="22360" spans="1:6" x14ac:dyDescent="0.2">
      <c r="A22360" t="s">
        <v>36127</v>
      </c>
      <c r="B22360" t="s">
        <v>36128</v>
      </c>
      <c r="C22360" t="s">
        <v>785</v>
      </c>
      <c r="D22360" t="s">
        <v>14</v>
      </c>
      <c r="E22360" t="s">
        <v>158</v>
      </c>
      <c r="F22360" s="2" t="str">
        <f>HYPERLINK("http://www.otzar.org/book.asp?166167","מונחי רש""י")</f>
        <v>מונחי רש"י</v>
      </c>
    </row>
    <row r="22361" spans="1:6" x14ac:dyDescent="0.2">
      <c r="A22361" t="s">
        <v>36129</v>
      </c>
      <c r="B22361" t="s">
        <v>36013</v>
      </c>
      <c r="C22361" t="s">
        <v>1609</v>
      </c>
      <c r="D22361" t="s">
        <v>14</v>
      </c>
      <c r="E22361" t="s">
        <v>733</v>
      </c>
      <c r="F22361" s="2" t="str">
        <f>HYPERLINK("http://www.otzar.org/book.asp?149191","מוסד היסוד")</f>
        <v>מוסד היסוד</v>
      </c>
    </row>
    <row r="22362" spans="1:6" x14ac:dyDescent="0.2">
      <c r="A22362" t="s">
        <v>36130</v>
      </c>
      <c r="B22362" t="s">
        <v>36130</v>
      </c>
      <c r="C22362" t="s">
        <v>812</v>
      </c>
      <c r="D22362" t="s">
        <v>27</v>
      </c>
      <c r="E22362" t="s">
        <v>733</v>
      </c>
      <c r="F22362" s="2" t="str">
        <f>HYPERLINK("http://www.otzar.org/book.asp?175849","מוסד הרב קוק")</f>
        <v>מוסד הרב קוק</v>
      </c>
    </row>
    <row r="22363" spans="1:6" x14ac:dyDescent="0.2">
      <c r="A22363" t="s">
        <v>36131</v>
      </c>
      <c r="B22363" t="s">
        <v>36132</v>
      </c>
      <c r="C22363" t="s">
        <v>767</v>
      </c>
      <c r="D22363" t="s">
        <v>52</v>
      </c>
      <c r="E22363" t="s">
        <v>226</v>
      </c>
      <c r="F22363" s="2" t="str">
        <f>HYPERLINK("http://www.otzar.org/book.asp?160773","מוסדות בוהוש פאשקאן")</f>
        <v>מוסדות בוהוש פאשקאן</v>
      </c>
    </row>
    <row r="22364" spans="1:6" x14ac:dyDescent="0.2">
      <c r="A22364" t="s">
        <v>36133</v>
      </c>
      <c r="B22364" t="s">
        <v>36134</v>
      </c>
      <c r="C22364" t="s">
        <v>581</v>
      </c>
      <c r="D22364" t="s">
        <v>9</v>
      </c>
      <c r="E22364" t="s">
        <v>241</v>
      </c>
      <c r="F22364" s="2" t="str">
        <f>HYPERLINK("http://www.otzar.org/book.asp?19041","מוסדות האמונה")</f>
        <v>מוסדות האמונה</v>
      </c>
    </row>
    <row r="22365" spans="1:6" x14ac:dyDescent="0.2">
      <c r="A22365" t="s">
        <v>36135</v>
      </c>
      <c r="B22365" t="s">
        <v>36136</v>
      </c>
      <c r="C22365" t="s">
        <v>1246</v>
      </c>
      <c r="D22365" t="s">
        <v>3208</v>
      </c>
      <c r="E22365" t="s">
        <v>104</v>
      </c>
      <c r="F22365" s="2" t="str">
        <f>HYPERLINK("http://www.otzar.org/book.asp?623435","מוסדות שארית הפליטה בארץ-ישראל")</f>
        <v>מוסדות שארית הפליטה בארץ-ישראל</v>
      </c>
    </row>
    <row r="22366" spans="1:6" x14ac:dyDescent="0.2">
      <c r="A22366" t="s">
        <v>36137</v>
      </c>
      <c r="B22366" t="s">
        <v>30983</v>
      </c>
      <c r="C22366" t="s">
        <v>5169</v>
      </c>
      <c r="D22366" t="s">
        <v>535</v>
      </c>
      <c r="E22366" t="s">
        <v>213</v>
      </c>
      <c r="F22366" s="2" t="str">
        <f>HYPERLINK("http://www.otzar.org/book.asp?13285","מוסדות תבל")</f>
        <v>מוסדות תבל</v>
      </c>
    </row>
    <row r="22367" spans="1:6" x14ac:dyDescent="0.2">
      <c r="A22367" t="s">
        <v>36138</v>
      </c>
      <c r="B22367" t="s">
        <v>36139</v>
      </c>
      <c r="C22367" t="s">
        <v>1954</v>
      </c>
      <c r="D22367" t="s">
        <v>412</v>
      </c>
      <c r="E22367" t="s">
        <v>104</v>
      </c>
      <c r="F22367" s="2" t="str">
        <f>HYPERLINK("http://www.otzar.org/book.asp?52516","מוסדות תורה באירופה")</f>
        <v>מוסדות תורה באירופה</v>
      </c>
    </row>
    <row r="22368" spans="1:6" x14ac:dyDescent="0.2">
      <c r="A22368" t="s">
        <v>36140</v>
      </c>
      <c r="B22368" t="s">
        <v>11818</v>
      </c>
      <c r="C22368" t="s">
        <v>1047</v>
      </c>
      <c r="D22368" t="s">
        <v>27</v>
      </c>
      <c r="E22368" t="s">
        <v>144</v>
      </c>
      <c r="F22368" s="2" t="str">
        <f>HYPERLINK("http://www.otzar.org/book.asp?168935","מוסדות תורה שבעל-פה")</f>
        <v>מוסדות תורה שבעל-פה</v>
      </c>
    </row>
    <row r="22369" spans="1:6" x14ac:dyDescent="0.2">
      <c r="A22369" t="s">
        <v>36141</v>
      </c>
      <c r="B22369" t="s">
        <v>36142</v>
      </c>
      <c r="C22369" t="s">
        <v>1437</v>
      </c>
      <c r="D22369" t="s">
        <v>56</v>
      </c>
      <c r="E22369" t="s">
        <v>144</v>
      </c>
      <c r="F22369" s="2" t="str">
        <f>HYPERLINK("http://www.otzar.org/book.asp?200191","מוסדי ישעיה")</f>
        <v>מוסדי ישעיה</v>
      </c>
    </row>
    <row r="22370" spans="1:6" x14ac:dyDescent="0.2">
      <c r="A22370" t="s">
        <v>36143</v>
      </c>
      <c r="B22370" t="s">
        <v>10809</v>
      </c>
      <c r="C22370" t="s">
        <v>68</v>
      </c>
      <c r="D22370" t="s">
        <v>14</v>
      </c>
      <c r="E22370" t="s">
        <v>3516</v>
      </c>
      <c r="F22370" s="2" t="str">
        <f>HYPERLINK("http://www.otzar.org/book.asp?153205","מוסיף והולך")</f>
        <v>מוסיף והולך</v>
      </c>
    </row>
    <row r="22371" spans="1:6" x14ac:dyDescent="0.2">
      <c r="A22371" t="s">
        <v>36144</v>
      </c>
      <c r="B22371" t="s">
        <v>36145</v>
      </c>
      <c r="C22371" t="s">
        <v>114</v>
      </c>
      <c r="D22371" t="s">
        <v>14</v>
      </c>
      <c r="E22371" t="s">
        <v>658</v>
      </c>
      <c r="F22371" s="2" t="str">
        <f>HYPERLINK("http://www.otzar.org/book.asp?166256","מוסך השבת &lt;חידושים וביאורים&gt;")</f>
        <v>מוסך השבת &lt;חידושים וביאורים&gt;</v>
      </c>
    </row>
    <row r="22372" spans="1:6" x14ac:dyDescent="0.2">
      <c r="A22372" t="s">
        <v>36146</v>
      </c>
      <c r="B22372" t="s">
        <v>36147</v>
      </c>
      <c r="C22372" t="s">
        <v>129</v>
      </c>
      <c r="D22372" t="s">
        <v>14</v>
      </c>
      <c r="E22372" t="s">
        <v>3516</v>
      </c>
      <c r="F22372" s="2" t="str">
        <f>HYPERLINK("http://www.otzar.org/book.asp?180280","מוסך השבת &lt;עם הערות&gt;")</f>
        <v>מוסך השבת &lt;עם הערות&gt;</v>
      </c>
    </row>
    <row r="22373" spans="1:6" x14ac:dyDescent="0.2">
      <c r="A22373" t="s">
        <v>36148</v>
      </c>
      <c r="B22373" t="s">
        <v>30461</v>
      </c>
      <c r="C22373" t="s">
        <v>185</v>
      </c>
      <c r="D22373" t="s">
        <v>80</v>
      </c>
      <c r="F22373" s="2" t="str">
        <f>HYPERLINK("http://www.otzar.org/book.asp?632564","מוסף שבת קודש - 1738 כר'")</f>
        <v>מוסף שבת קודש - 1738 כר'</v>
      </c>
    </row>
    <row r="22374" spans="1:6" x14ac:dyDescent="0.2">
      <c r="A22374" t="s">
        <v>36149</v>
      </c>
      <c r="B22374" t="s">
        <v>12801</v>
      </c>
      <c r="C22374" t="s">
        <v>46</v>
      </c>
      <c r="D22374" t="s">
        <v>986</v>
      </c>
      <c r="E22374" t="s">
        <v>38</v>
      </c>
      <c r="F22374" s="2" t="str">
        <f>HYPERLINK("http://www.otzar.org/book.asp?101884","מוסר אבות")</f>
        <v>מוסר אבות</v>
      </c>
    </row>
    <row r="22375" spans="1:6" x14ac:dyDescent="0.2">
      <c r="A22375" t="s">
        <v>36150</v>
      </c>
      <c r="B22375" t="s">
        <v>36151</v>
      </c>
      <c r="C22375" t="s">
        <v>146</v>
      </c>
      <c r="D22375" t="s">
        <v>14</v>
      </c>
      <c r="E22375" t="s">
        <v>573</v>
      </c>
      <c r="F22375" s="2" t="str">
        <f>HYPERLINK("http://www.otzar.org/book.asp?161031","מוסר אביך - 2 כר'")</f>
        <v>מוסר אביך - 2 כר'</v>
      </c>
    </row>
    <row r="22376" spans="1:6" x14ac:dyDescent="0.2">
      <c r="A22376" t="s">
        <v>36152</v>
      </c>
      <c r="B22376" t="s">
        <v>2883</v>
      </c>
      <c r="C22376" t="s">
        <v>1619</v>
      </c>
      <c r="D22376" t="s">
        <v>412</v>
      </c>
      <c r="F22376" s="2" t="str">
        <f>HYPERLINK("http://www.otzar.org/book.asp?194973","מוסר און הלכה")</f>
        <v>מוסר און הלכה</v>
      </c>
    </row>
    <row r="22377" spans="1:6" x14ac:dyDescent="0.2">
      <c r="A22377" t="s">
        <v>36153</v>
      </c>
      <c r="B22377" t="s">
        <v>4617</v>
      </c>
      <c r="C22377" t="s">
        <v>4933</v>
      </c>
      <c r="D22377" t="s">
        <v>1117</v>
      </c>
      <c r="E22377" t="s">
        <v>241</v>
      </c>
      <c r="F22377" s="2" t="str">
        <f>HYPERLINK("http://www.otzar.org/book.asp?53322","מוסר אונ הנהגה")</f>
        <v>מוסר אונ הנהגה</v>
      </c>
    </row>
    <row r="22378" spans="1:6" x14ac:dyDescent="0.2">
      <c r="A22378" t="s">
        <v>36154</v>
      </c>
      <c r="B22378" t="s">
        <v>36155</v>
      </c>
      <c r="C22378" t="s">
        <v>114</v>
      </c>
      <c r="D22378" t="s">
        <v>657</v>
      </c>
      <c r="E22378" t="s">
        <v>241</v>
      </c>
      <c r="F22378" s="2" t="str">
        <f>HYPERLINK("http://www.otzar.org/book.asp?189835","מוסר אירועי התקופה")</f>
        <v>מוסר אירועי התקופה</v>
      </c>
    </row>
    <row r="22379" spans="1:6" x14ac:dyDescent="0.2">
      <c r="A22379" t="s">
        <v>36156</v>
      </c>
      <c r="B22379" t="s">
        <v>36157</v>
      </c>
      <c r="C22379" t="s">
        <v>13</v>
      </c>
      <c r="D22379" t="s">
        <v>14</v>
      </c>
      <c r="E22379" t="s">
        <v>2071</v>
      </c>
      <c r="F22379" s="2" t="str">
        <f>HYPERLINK("http://www.otzar.org/book.asp?63670","מוסר דרך אפיקי חיים &lt;שמחת אלעזר&gt;")</f>
        <v>מוסר דרך אפיקי חיים &lt;שמחת אלעזר&gt;</v>
      </c>
    </row>
    <row r="22380" spans="1:6" x14ac:dyDescent="0.2">
      <c r="A22380" t="s">
        <v>36158</v>
      </c>
      <c r="B22380" t="s">
        <v>8263</v>
      </c>
      <c r="C22380" t="s">
        <v>146</v>
      </c>
      <c r="D22380" t="s">
        <v>14</v>
      </c>
      <c r="E22380" t="s">
        <v>2071</v>
      </c>
      <c r="F22380" s="2" t="str">
        <f>HYPERLINK("http://www.otzar.org/book.asp?63669","מוסר דרך מאיר דרך")</f>
        <v>מוסר דרך מאיר דרך</v>
      </c>
    </row>
    <row r="22381" spans="1:6" x14ac:dyDescent="0.2">
      <c r="A22381" t="s">
        <v>36159</v>
      </c>
      <c r="B22381" t="s">
        <v>1990</v>
      </c>
      <c r="C22381" t="s">
        <v>2617</v>
      </c>
      <c r="D22381" t="s">
        <v>36160</v>
      </c>
      <c r="F22381" s="2" t="str">
        <f>HYPERLINK("http://www.otzar.org/book.asp?152938","מוסר דרשות יערות דבש")</f>
        <v>מוסר דרשות יערות דבש</v>
      </c>
    </row>
    <row r="22382" spans="1:6" x14ac:dyDescent="0.2">
      <c r="A22382" t="s">
        <v>36161</v>
      </c>
      <c r="B22382" t="s">
        <v>3623</v>
      </c>
      <c r="C22382" t="s">
        <v>454</v>
      </c>
      <c r="D22382" t="s">
        <v>3560</v>
      </c>
      <c r="E22382" t="s">
        <v>241</v>
      </c>
      <c r="F22382" s="2" t="str">
        <f>HYPERLINK("http://www.otzar.org/book.asp?50758","מוסר ה' - 2 כר'")</f>
        <v>מוסר ה' - 2 כר'</v>
      </c>
    </row>
    <row r="22383" spans="1:6" x14ac:dyDescent="0.2">
      <c r="A22383" t="s">
        <v>36162</v>
      </c>
      <c r="B22383" t="s">
        <v>29197</v>
      </c>
      <c r="C22383" t="s">
        <v>36163</v>
      </c>
      <c r="D22383" t="s">
        <v>699</v>
      </c>
      <c r="E22383" t="s">
        <v>84</v>
      </c>
      <c r="F22383" s="2" t="str">
        <f>HYPERLINK("http://www.otzar.org/book.asp?19042","מוסר המשנה - 2 כר'")</f>
        <v>מוסר המשנה - 2 כר'</v>
      </c>
    </row>
    <row r="22384" spans="1:6" x14ac:dyDescent="0.2">
      <c r="A22384" t="s">
        <v>36164</v>
      </c>
      <c r="B22384" t="s">
        <v>36165</v>
      </c>
      <c r="C22384" t="s">
        <v>306</v>
      </c>
      <c r="D22384" t="s">
        <v>157</v>
      </c>
      <c r="E22384" t="s">
        <v>241</v>
      </c>
      <c r="F22384" s="2" t="str">
        <f>HYPERLINK("http://www.otzar.org/book.asp?149193","מוסר השכל")</f>
        <v>מוסר השכל</v>
      </c>
    </row>
    <row r="22385" spans="1:6" x14ac:dyDescent="0.2">
      <c r="A22385" t="s">
        <v>36164</v>
      </c>
      <c r="B22385" t="s">
        <v>20246</v>
      </c>
      <c r="C22385" t="s">
        <v>800</v>
      </c>
      <c r="D22385" t="s">
        <v>280</v>
      </c>
      <c r="E22385" t="s">
        <v>213</v>
      </c>
      <c r="F22385" s="2" t="str">
        <f>HYPERLINK("http://www.otzar.org/book.asp?13321","מוסר השכל")</f>
        <v>מוסר השכל</v>
      </c>
    </row>
    <row r="22386" spans="1:6" x14ac:dyDescent="0.2">
      <c r="A22386" t="s">
        <v>36164</v>
      </c>
      <c r="B22386" t="s">
        <v>10427</v>
      </c>
      <c r="C22386" t="s">
        <v>383</v>
      </c>
      <c r="D22386" t="s">
        <v>52</v>
      </c>
      <c r="E22386" t="s">
        <v>579</v>
      </c>
      <c r="F22386" s="2" t="str">
        <f>HYPERLINK("http://www.otzar.org/book.asp?153775","מוסר השכל")</f>
        <v>מוסר השכל</v>
      </c>
    </row>
    <row r="22387" spans="1:6" x14ac:dyDescent="0.2">
      <c r="A22387" t="s">
        <v>36164</v>
      </c>
      <c r="B22387" t="s">
        <v>1320</v>
      </c>
      <c r="C22387" t="s">
        <v>362</v>
      </c>
      <c r="D22387" t="s">
        <v>726</v>
      </c>
      <c r="E22387" t="s">
        <v>714</v>
      </c>
      <c r="F22387" s="2" t="str">
        <f>HYPERLINK("http://www.otzar.org/book.asp?5285","מוסר השכל")</f>
        <v>מוסר השכל</v>
      </c>
    </row>
    <row r="22388" spans="1:6" x14ac:dyDescent="0.2">
      <c r="A22388" t="s">
        <v>36166</v>
      </c>
      <c r="B22388" t="s">
        <v>19284</v>
      </c>
      <c r="C22388" t="s">
        <v>558</v>
      </c>
      <c r="D22388" t="s">
        <v>56</v>
      </c>
      <c r="E22388" t="s">
        <v>564</v>
      </c>
      <c r="F22388" s="2" t="str">
        <f>HYPERLINK("http://www.otzar.org/book.asp?102410","מוסר התורה והיהדות")</f>
        <v>מוסר התורה והיהדות</v>
      </c>
    </row>
    <row r="22389" spans="1:6" x14ac:dyDescent="0.2">
      <c r="A22389" t="s">
        <v>36167</v>
      </c>
      <c r="B22389" t="s">
        <v>36168</v>
      </c>
      <c r="C22389" t="s">
        <v>442</v>
      </c>
      <c r="D22389" t="s">
        <v>27</v>
      </c>
      <c r="E22389" t="s">
        <v>6305</v>
      </c>
      <c r="F22389" s="2" t="str">
        <f>HYPERLINK("http://www.otzar.org/book.asp?5842","מוסר התורה")</f>
        <v>מוסר התורה</v>
      </c>
    </row>
    <row r="22390" spans="1:6" x14ac:dyDescent="0.2">
      <c r="A22390" t="s">
        <v>36169</v>
      </c>
      <c r="B22390" t="s">
        <v>36170</v>
      </c>
      <c r="C22390" t="s">
        <v>1418</v>
      </c>
      <c r="D22390" t="s">
        <v>56</v>
      </c>
      <c r="E22390" t="s">
        <v>15</v>
      </c>
      <c r="F22390" s="2" t="str">
        <f>HYPERLINK("http://www.otzar.org/book.asp?10478","מוסר ודעת")</f>
        <v>מוסר ודעת</v>
      </c>
    </row>
    <row r="22391" spans="1:6" x14ac:dyDescent="0.2">
      <c r="A22391" t="s">
        <v>36171</v>
      </c>
      <c r="B22391" t="s">
        <v>36172</v>
      </c>
      <c r="C22391" t="s">
        <v>71</v>
      </c>
      <c r="D22391" t="s">
        <v>52</v>
      </c>
      <c r="E22391" t="s">
        <v>241</v>
      </c>
      <c r="F22391" s="2" t="str">
        <f>HYPERLINK("http://www.otzar.org/book.asp?106705","מוסר ודעת - 3 כר'")</f>
        <v>מוסר ודעת - 3 כר'</v>
      </c>
    </row>
    <row r="22392" spans="1:6" x14ac:dyDescent="0.2">
      <c r="A22392" t="s">
        <v>36173</v>
      </c>
      <c r="B22392" t="s">
        <v>8609</v>
      </c>
      <c r="C22392" t="s">
        <v>111</v>
      </c>
      <c r="D22392" t="s">
        <v>14</v>
      </c>
      <c r="E22392" t="s">
        <v>241</v>
      </c>
      <c r="F22392" s="2" t="str">
        <f>HYPERLINK("http://www.otzar.org/book.asp?631239","מוסר חכמה")</f>
        <v>מוסר חכמה</v>
      </c>
    </row>
    <row r="22393" spans="1:6" x14ac:dyDescent="0.2">
      <c r="A22393" t="s">
        <v>36174</v>
      </c>
      <c r="B22393" t="s">
        <v>36175</v>
      </c>
      <c r="C22393" t="s">
        <v>20</v>
      </c>
      <c r="D22393" t="s">
        <v>216</v>
      </c>
      <c r="E22393" t="s">
        <v>158</v>
      </c>
      <c r="F22393" s="2" t="str">
        <f>HYPERLINK("http://www.otzar.org/book.asp?610832","מוסר חכמים השלם - 8 כר'")</f>
        <v>מוסר חכמים השלם - 8 כר'</v>
      </c>
    </row>
    <row r="22394" spans="1:6" x14ac:dyDescent="0.2">
      <c r="A22394" t="s">
        <v>36176</v>
      </c>
      <c r="B22394" t="s">
        <v>18617</v>
      </c>
      <c r="C22394" t="s">
        <v>553</v>
      </c>
      <c r="D22394" t="s">
        <v>14</v>
      </c>
      <c r="E22394" t="s">
        <v>158</v>
      </c>
      <c r="F22394" s="2" t="str">
        <f>HYPERLINK("http://www.otzar.org/book.asp?152372","מוסר חכמים")</f>
        <v>מוסר חכמים</v>
      </c>
    </row>
    <row r="22395" spans="1:6" x14ac:dyDescent="0.2">
      <c r="A22395" t="s">
        <v>36177</v>
      </c>
      <c r="B22395" t="s">
        <v>24664</v>
      </c>
      <c r="C22395" t="s">
        <v>1609</v>
      </c>
      <c r="D22395" t="s">
        <v>27</v>
      </c>
      <c r="E22395" t="s">
        <v>241</v>
      </c>
      <c r="F22395" s="2" t="str">
        <f>HYPERLINK("http://www.otzar.org/book.asp?24967","מוסר ישמח לב")</f>
        <v>מוסר ישמח לב</v>
      </c>
    </row>
    <row r="22396" spans="1:6" x14ac:dyDescent="0.2">
      <c r="A22396" t="s">
        <v>36178</v>
      </c>
      <c r="B22396" t="s">
        <v>32133</v>
      </c>
      <c r="C22396" t="s">
        <v>176</v>
      </c>
      <c r="D22396" t="s">
        <v>52</v>
      </c>
      <c r="E22396" t="s">
        <v>230</v>
      </c>
      <c r="F22396" s="2" t="str">
        <f>HYPERLINK("http://www.otzar.org/book.asp?618468","מוסר לבב")</f>
        <v>מוסר לבב</v>
      </c>
    </row>
    <row r="22397" spans="1:6" x14ac:dyDescent="0.2">
      <c r="A22397" t="s">
        <v>36179</v>
      </c>
      <c r="B22397" t="s">
        <v>36180</v>
      </c>
      <c r="C22397" t="s">
        <v>244</v>
      </c>
      <c r="D22397" t="s">
        <v>90</v>
      </c>
      <c r="F22397" s="2" t="str">
        <f>HYPERLINK("http://www.otzar.org/book.asp?610883","מוסר להתעוררות הלב קודם תקיעת שופר")</f>
        <v>מוסר להתעוררות הלב קודם תקיעת שופר</v>
      </c>
    </row>
    <row r="22398" spans="1:6" x14ac:dyDescent="0.2">
      <c r="A22398" t="s">
        <v>36181</v>
      </c>
      <c r="B22398" t="s">
        <v>18778</v>
      </c>
      <c r="C22398" t="s">
        <v>1335</v>
      </c>
      <c r="D22398" t="s">
        <v>16347</v>
      </c>
      <c r="E22398" t="s">
        <v>564</v>
      </c>
      <c r="F22398" s="2" t="str">
        <f>HYPERLINK("http://www.otzar.org/book.asp?155759","מוסר מלכים")</f>
        <v>מוסר מלכים</v>
      </c>
    </row>
    <row r="22399" spans="1:6" x14ac:dyDescent="0.2">
      <c r="A22399" t="s">
        <v>36181</v>
      </c>
      <c r="B22399" t="s">
        <v>36182</v>
      </c>
      <c r="C22399" t="s">
        <v>9995</v>
      </c>
      <c r="D22399" t="s">
        <v>49</v>
      </c>
      <c r="E22399" t="s">
        <v>3798</v>
      </c>
      <c r="F22399" s="2" t="str">
        <f>HYPERLINK("http://www.otzar.org/book.asp?103372","מוסר מלכים")</f>
        <v>מוסר מלכים</v>
      </c>
    </row>
    <row r="22400" spans="1:6" x14ac:dyDescent="0.2">
      <c r="A22400" t="s">
        <v>36183</v>
      </c>
      <c r="B22400" t="s">
        <v>4064</v>
      </c>
      <c r="C22400" t="s">
        <v>698</v>
      </c>
      <c r="D22400" t="s">
        <v>3208</v>
      </c>
      <c r="E22400" t="s">
        <v>241</v>
      </c>
      <c r="F22400" s="2" t="str">
        <f>HYPERLINK("http://www.otzar.org/book.asp?194988","מוסר")</f>
        <v>מוסר</v>
      </c>
    </row>
    <row r="22401" spans="1:6" x14ac:dyDescent="0.2">
      <c r="A22401" t="s">
        <v>36184</v>
      </c>
      <c r="B22401" t="s">
        <v>11656</v>
      </c>
      <c r="C22401" t="s">
        <v>20</v>
      </c>
      <c r="D22401" t="s">
        <v>152</v>
      </c>
      <c r="F22401" s="2" t="str">
        <f>HYPERLINK("http://www.otzar.org/book.asp?182926","מוסרי הצדיקים - מוסרי הלש""ם")</f>
        <v>מוסרי הצדיקים - מוסרי הלש"ם</v>
      </c>
    </row>
    <row r="22402" spans="1:6" x14ac:dyDescent="0.2">
      <c r="A22402" t="s">
        <v>36185</v>
      </c>
      <c r="B22402" t="s">
        <v>1320</v>
      </c>
      <c r="C22402" t="s">
        <v>1470</v>
      </c>
      <c r="D22402" t="s">
        <v>14182</v>
      </c>
      <c r="E22402" t="s">
        <v>241</v>
      </c>
      <c r="F22402" s="2" t="str">
        <f>HYPERLINK("http://www.otzar.org/book.asp?198405","מוסרי הרמב""ם - 4 כר'")</f>
        <v>מוסרי הרמב"ם - 4 כר'</v>
      </c>
    </row>
    <row r="22403" spans="1:6" x14ac:dyDescent="0.2">
      <c r="A22403" t="s">
        <v>36186</v>
      </c>
      <c r="B22403" t="s">
        <v>3443</v>
      </c>
      <c r="C22403" t="s">
        <v>553</v>
      </c>
      <c r="D22403" t="s">
        <v>21</v>
      </c>
      <c r="E22403" t="s">
        <v>573</v>
      </c>
      <c r="F22403" s="2" t="str">
        <f>HYPERLINK("http://www.otzar.org/book.asp?619763","מוסרי השל""ה - 2 כר'")</f>
        <v>מוסרי השל"ה - 2 כר'</v>
      </c>
    </row>
    <row r="22404" spans="1:6" x14ac:dyDescent="0.2">
      <c r="A22404" t="s">
        <v>36187</v>
      </c>
      <c r="B22404" t="s">
        <v>36188</v>
      </c>
      <c r="C22404" t="s">
        <v>244</v>
      </c>
      <c r="D22404" t="s">
        <v>90</v>
      </c>
      <c r="E22404" t="s">
        <v>158</v>
      </c>
      <c r="F22404" s="2" t="str">
        <f>HYPERLINK("http://www.otzar.org/book.asp?604348","מוסרי התורה")</f>
        <v>מוסרי התורה</v>
      </c>
    </row>
    <row r="22405" spans="1:6" x14ac:dyDescent="0.2">
      <c r="A22405" t="s">
        <v>36189</v>
      </c>
      <c r="B22405" t="s">
        <v>36190</v>
      </c>
      <c r="C22405" t="s">
        <v>23</v>
      </c>
      <c r="D22405" t="s">
        <v>52</v>
      </c>
      <c r="E22405" t="s">
        <v>213</v>
      </c>
      <c r="F22405" s="2" t="str">
        <f>HYPERLINK("http://www.otzar.org/book.asp?191864","מוסרי קלצק")</f>
        <v>מוסרי קלצק</v>
      </c>
    </row>
    <row r="22406" spans="1:6" x14ac:dyDescent="0.2">
      <c r="A22406" t="s">
        <v>36191</v>
      </c>
      <c r="B22406" t="s">
        <v>1990</v>
      </c>
      <c r="C22406" t="s">
        <v>180</v>
      </c>
      <c r="D22406" t="s">
        <v>52</v>
      </c>
      <c r="F22406" s="2" t="str">
        <f>HYPERLINK("http://www.otzar.org/book.asp?612438","מוסרי רבינו יהונתן אייבשיץ")</f>
        <v>מוסרי רבינו יהונתן אייבשיץ</v>
      </c>
    </row>
    <row r="22407" spans="1:6" x14ac:dyDescent="0.2">
      <c r="A22407" t="s">
        <v>36192</v>
      </c>
      <c r="B22407" t="s">
        <v>15555</v>
      </c>
      <c r="C22407" t="s">
        <v>395</v>
      </c>
      <c r="D22407" t="s">
        <v>27</v>
      </c>
      <c r="E22407" t="s">
        <v>2463</v>
      </c>
      <c r="F22407" s="2" t="str">
        <f>HYPERLINK("http://www.otzar.org/book.asp?139","מועד דוד &lt;על עבודת הקודש להרשב""א - בית מועד&gt; - א")</f>
        <v>מועד דוד &lt;על עבודת הקודש להרשב"א - בית מועד&gt; - א</v>
      </c>
    </row>
    <row r="22408" spans="1:6" x14ac:dyDescent="0.2">
      <c r="A22408" t="s">
        <v>36193</v>
      </c>
      <c r="B22408" t="s">
        <v>14421</v>
      </c>
      <c r="C22408" t="s">
        <v>5160</v>
      </c>
      <c r="D22408" t="s">
        <v>21010</v>
      </c>
      <c r="E22408" t="s">
        <v>104</v>
      </c>
      <c r="F22408" s="2" t="str">
        <f>HYPERLINK("http://www.otzar.org/book.asp?192282","מועד דוד")</f>
        <v>מועד דוד</v>
      </c>
    </row>
    <row r="22409" spans="1:6" x14ac:dyDescent="0.2">
      <c r="A22409" t="s">
        <v>36194</v>
      </c>
      <c r="B22409" t="s">
        <v>285</v>
      </c>
      <c r="C22409" t="s">
        <v>946</v>
      </c>
      <c r="D22409" t="s">
        <v>4381</v>
      </c>
      <c r="E22409" t="s">
        <v>15</v>
      </c>
      <c r="F22409" s="2" t="str">
        <f>HYPERLINK("http://www.otzar.org/book.asp?13046","מועד כל חי")</f>
        <v>מועד כל חי</v>
      </c>
    </row>
    <row r="22410" spans="1:6" x14ac:dyDescent="0.2">
      <c r="A22410" t="s">
        <v>36195</v>
      </c>
      <c r="B22410" t="s">
        <v>155</v>
      </c>
      <c r="C22410" t="s">
        <v>37</v>
      </c>
      <c r="D22410" t="s">
        <v>52</v>
      </c>
      <c r="E22410" t="s">
        <v>15</v>
      </c>
      <c r="F22410" s="2" t="str">
        <f>HYPERLINK("http://www.otzar.org/book.asp?175816","מועד לכל חי &lt;מהדורה חדשה&gt;")</f>
        <v>מועד לכל חי &lt;מהדורה חדשה&gt;</v>
      </c>
    </row>
    <row r="22411" spans="1:6" x14ac:dyDescent="0.2">
      <c r="A22411" t="s">
        <v>36196</v>
      </c>
      <c r="B22411" t="s">
        <v>36197</v>
      </c>
      <c r="C22411" t="s">
        <v>356</v>
      </c>
      <c r="D22411" t="s">
        <v>21</v>
      </c>
      <c r="E22411" t="s">
        <v>15</v>
      </c>
      <c r="F22411" s="2" t="str">
        <f>HYPERLINK("http://www.otzar.org/book.asp?195636","מועד לכל חי")</f>
        <v>מועד לכל חי</v>
      </c>
    </row>
    <row r="22412" spans="1:6" x14ac:dyDescent="0.2">
      <c r="A22412" t="s">
        <v>36196</v>
      </c>
      <c r="B22412" t="s">
        <v>155</v>
      </c>
      <c r="C22412" t="s">
        <v>36198</v>
      </c>
      <c r="D22412" t="s">
        <v>76</v>
      </c>
      <c r="E22412" t="s">
        <v>15</v>
      </c>
      <c r="F22412" s="2" t="str">
        <f>HYPERLINK("http://www.otzar.org/book.asp?101108","מועד לכל חי")</f>
        <v>מועד לכל חי</v>
      </c>
    </row>
    <row r="22413" spans="1:6" x14ac:dyDescent="0.2">
      <c r="A22413" t="s">
        <v>36199</v>
      </c>
      <c r="B22413" t="s">
        <v>36200</v>
      </c>
      <c r="C22413" t="s">
        <v>985</v>
      </c>
      <c r="D22413" t="s">
        <v>260</v>
      </c>
      <c r="E22413" t="s">
        <v>246</v>
      </c>
      <c r="F22413" s="2" t="str">
        <f>HYPERLINK("http://www.otzar.org/book.asp?199779","מועד")</f>
        <v>מועד</v>
      </c>
    </row>
    <row r="22414" spans="1:6" x14ac:dyDescent="0.2">
      <c r="A22414" t="s">
        <v>36201</v>
      </c>
      <c r="B22414" t="s">
        <v>36202</v>
      </c>
      <c r="C22414" t="s">
        <v>366</v>
      </c>
      <c r="D22414" t="s">
        <v>134</v>
      </c>
      <c r="E22414" t="s">
        <v>246</v>
      </c>
      <c r="F22414" s="2" t="str">
        <f>HYPERLINK("http://www.otzar.org/book.asp?627200","מועדי אב")</f>
        <v>מועדי אב</v>
      </c>
    </row>
    <row r="22415" spans="1:6" x14ac:dyDescent="0.2">
      <c r="A22415" t="s">
        <v>36203</v>
      </c>
      <c r="B22415" t="s">
        <v>7552</v>
      </c>
      <c r="D22415" t="s">
        <v>7553</v>
      </c>
      <c r="E22415" t="s">
        <v>246</v>
      </c>
      <c r="F22415" s="2" t="str">
        <f>HYPERLINK("http://www.otzar.org/book.asp?618466","מועדי אליהו - א")</f>
        <v>מועדי אליהו - א</v>
      </c>
    </row>
    <row r="22416" spans="1:6" x14ac:dyDescent="0.2">
      <c r="A22416" t="s">
        <v>36204</v>
      </c>
      <c r="B22416" t="s">
        <v>23184</v>
      </c>
      <c r="C22416" t="s">
        <v>20</v>
      </c>
      <c r="D22416" t="s">
        <v>1660</v>
      </c>
      <c r="E22416" t="s">
        <v>219</v>
      </c>
      <c r="F22416" s="2" t="str">
        <f>HYPERLINK("http://www.otzar.org/book.asp?149013","מועדי ה' (שלש רגלים)")</f>
        <v>מועדי ה' (שלש רגלים)</v>
      </c>
    </row>
    <row r="22417" spans="1:6" x14ac:dyDescent="0.2">
      <c r="A22417" t="s">
        <v>36205</v>
      </c>
      <c r="B22417" t="s">
        <v>36206</v>
      </c>
      <c r="C22417" t="s">
        <v>36207</v>
      </c>
      <c r="D22417" t="s">
        <v>27</v>
      </c>
      <c r="E22417" t="s">
        <v>219</v>
      </c>
      <c r="F22417" s="2" t="str">
        <f>HYPERLINK("http://www.otzar.org/book.asp?618518","מועדי ה' וקריאי מועד - הושענא רבה")</f>
        <v>מועדי ה' וקריאי מועד - הושענא רבה</v>
      </c>
    </row>
    <row r="22418" spans="1:6" x14ac:dyDescent="0.2">
      <c r="A22418" t="s">
        <v>36208</v>
      </c>
      <c r="B22418" t="s">
        <v>4480</v>
      </c>
      <c r="C22418" t="s">
        <v>454</v>
      </c>
      <c r="D22418" t="s">
        <v>14</v>
      </c>
      <c r="F22418" s="2" t="str">
        <f>HYPERLINK("http://www.otzar.org/book.asp?148170","מועדי ה' לברכה - 2 כר'")</f>
        <v>מועדי ה' לברכה - 2 כר'</v>
      </c>
    </row>
    <row r="22419" spans="1:6" x14ac:dyDescent="0.2">
      <c r="A22419" t="s">
        <v>36209</v>
      </c>
      <c r="B22419" t="s">
        <v>36210</v>
      </c>
      <c r="C22419" t="s">
        <v>151</v>
      </c>
      <c r="D22419" t="s">
        <v>36211</v>
      </c>
      <c r="E22419" t="s">
        <v>130</v>
      </c>
      <c r="F22419" s="2" t="str">
        <f>HYPERLINK("http://www.otzar.org/book.asp?618738","מועדי ה' - חנוכה")</f>
        <v>מועדי ה' - חנוכה</v>
      </c>
    </row>
    <row r="22420" spans="1:6" x14ac:dyDescent="0.2">
      <c r="A22420" t="s">
        <v>36212</v>
      </c>
      <c r="B22420" t="s">
        <v>36213</v>
      </c>
      <c r="C22420" t="s">
        <v>366</v>
      </c>
      <c r="D22420" t="s">
        <v>21</v>
      </c>
      <c r="E22420" t="s">
        <v>246</v>
      </c>
      <c r="F22420" s="2" t="str">
        <f>HYPERLINK("http://www.otzar.org/book.asp?623765","מועדי ה'")</f>
        <v>מועדי ה'</v>
      </c>
    </row>
    <row r="22421" spans="1:6" x14ac:dyDescent="0.2">
      <c r="A22421" t="s">
        <v>36212</v>
      </c>
      <c r="B22421" t="s">
        <v>36214</v>
      </c>
      <c r="C22421" t="s">
        <v>114</v>
      </c>
      <c r="D22421" t="s">
        <v>139</v>
      </c>
      <c r="E22421" t="s">
        <v>399</v>
      </c>
      <c r="F22421" s="2" t="str">
        <f>HYPERLINK("http://www.otzar.org/book.asp?180268","מועדי ה'")</f>
        <v>מועדי ה'</v>
      </c>
    </row>
    <row r="22422" spans="1:6" x14ac:dyDescent="0.2">
      <c r="A22422" t="s">
        <v>36215</v>
      </c>
      <c r="B22422" t="s">
        <v>3623</v>
      </c>
      <c r="C22422" t="s">
        <v>13</v>
      </c>
      <c r="D22422" t="s">
        <v>6138</v>
      </c>
      <c r="F22422" s="2" t="str">
        <f>HYPERLINK("http://www.otzar.org/book.asp?617904","מועדי ה' - 3 כר'")</f>
        <v>מועדי ה' - 3 כר'</v>
      </c>
    </row>
    <row r="22423" spans="1:6" x14ac:dyDescent="0.2">
      <c r="A22423" t="s">
        <v>36216</v>
      </c>
      <c r="B22423" t="s">
        <v>36217</v>
      </c>
      <c r="C22423" t="s">
        <v>13</v>
      </c>
      <c r="D22423" t="s">
        <v>14</v>
      </c>
      <c r="E22423" t="s">
        <v>130</v>
      </c>
      <c r="F22423" s="2" t="str">
        <f>HYPERLINK("http://www.otzar.org/book.asp?62729","מועדי ה' - חנוכה ופורים")</f>
        <v>מועדי ה' - חנוכה ופורים</v>
      </c>
    </row>
    <row r="22424" spans="1:6" x14ac:dyDescent="0.2">
      <c r="A22424" t="s">
        <v>36218</v>
      </c>
      <c r="B22424" t="s">
        <v>22487</v>
      </c>
      <c r="C22424" t="s">
        <v>17</v>
      </c>
      <c r="D22424" t="s">
        <v>52</v>
      </c>
      <c r="E22424" t="s">
        <v>15</v>
      </c>
      <c r="F22424" s="2" t="str">
        <f>HYPERLINK("http://www.otzar.org/book.asp?159381","מועדי ה' - חול המועד")</f>
        <v>מועדי ה' - חול המועד</v>
      </c>
    </row>
    <row r="22425" spans="1:6" x14ac:dyDescent="0.2">
      <c r="A22425" t="s">
        <v>36212</v>
      </c>
      <c r="B22425" t="s">
        <v>14175</v>
      </c>
      <c r="C22425" t="s">
        <v>454</v>
      </c>
      <c r="D22425" t="s">
        <v>52</v>
      </c>
      <c r="E22425" t="s">
        <v>15</v>
      </c>
      <c r="F22425" s="2" t="str">
        <f>HYPERLINK("http://www.otzar.org/book.asp?62111","מועדי ה'")</f>
        <v>מועדי ה'</v>
      </c>
    </row>
    <row r="22426" spans="1:6" x14ac:dyDescent="0.2">
      <c r="A22426" t="s">
        <v>36212</v>
      </c>
      <c r="B22426" t="s">
        <v>36219</v>
      </c>
      <c r="C22426" t="s">
        <v>2970</v>
      </c>
      <c r="D22426" t="s">
        <v>212</v>
      </c>
      <c r="E22426" t="s">
        <v>104</v>
      </c>
      <c r="F22426" s="2" t="str">
        <f>HYPERLINK("http://www.otzar.org/book.asp?101204","מועדי ה'")</f>
        <v>מועדי ה'</v>
      </c>
    </row>
    <row r="22427" spans="1:6" x14ac:dyDescent="0.2">
      <c r="A22427" t="s">
        <v>36212</v>
      </c>
      <c r="B22427" t="s">
        <v>36220</v>
      </c>
      <c r="C22427" t="s">
        <v>2970</v>
      </c>
      <c r="D22427" t="s">
        <v>212</v>
      </c>
      <c r="E22427" t="s">
        <v>1164</v>
      </c>
      <c r="F22427" s="2" t="str">
        <f>HYPERLINK("http://www.otzar.org/book.asp?151481","מועדי ה'")</f>
        <v>מועדי ה'</v>
      </c>
    </row>
    <row r="22428" spans="1:6" x14ac:dyDescent="0.2">
      <c r="A22428" t="s">
        <v>36212</v>
      </c>
      <c r="B22428" t="s">
        <v>3614</v>
      </c>
      <c r="C22428" t="s">
        <v>20</v>
      </c>
      <c r="D22428" t="s">
        <v>14</v>
      </c>
      <c r="E22428" t="s">
        <v>3055</v>
      </c>
      <c r="F22428" s="2" t="str">
        <f>HYPERLINK("http://www.otzar.org/book.asp?154516","מועדי ה'")</f>
        <v>מועדי ה'</v>
      </c>
    </row>
    <row r="22429" spans="1:6" x14ac:dyDescent="0.2">
      <c r="A22429" t="s">
        <v>36212</v>
      </c>
      <c r="B22429" t="s">
        <v>36221</v>
      </c>
      <c r="C22429" t="s">
        <v>603</v>
      </c>
      <c r="D22429" t="s">
        <v>212</v>
      </c>
      <c r="F22429" s="2" t="str">
        <f>HYPERLINK("http://www.otzar.org/book.asp?164736","מועדי ה'")</f>
        <v>מועדי ה'</v>
      </c>
    </row>
    <row r="22430" spans="1:6" x14ac:dyDescent="0.2">
      <c r="A22430" t="s">
        <v>36222</v>
      </c>
      <c r="B22430" t="s">
        <v>405</v>
      </c>
      <c r="C22430" t="s">
        <v>129</v>
      </c>
      <c r="D22430" t="s">
        <v>14</v>
      </c>
      <c r="E22430" t="s">
        <v>2758</v>
      </c>
      <c r="F22430" s="2" t="str">
        <f>HYPERLINK("http://www.otzar.org/book.asp?150880","מועדי האר""י")</f>
        <v>מועדי האר"י</v>
      </c>
    </row>
    <row r="22431" spans="1:6" x14ac:dyDescent="0.2">
      <c r="A22431" t="s">
        <v>36223</v>
      </c>
      <c r="B22431" t="s">
        <v>20773</v>
      </c>
      <c r="C22431" t="s">
        <v>313</v>
      </c>
      <c r="D22431" t="s">
        <v>108</v>
      </c>
      <c r="E22431" t="s">
        <v>15</v>
      </c>
      <c r="F22431" s="2" t="str">
        <f>HYPERLINK("http://www.otzar.org/book.asp?26107","מועדי הארץ")</f>
        <v>מועדי הארץ</v>
      </c>
    </row>
    <row r="22432" spans="1:6" x14ac:dyDescent="0.2">
      <c r="A22432" t="s">
        <v>36224</v>
      </c>
      <c r="B22432" t="s">
        <v>10418</v>
      </c>
      <c r="C22432" t="s">
        <v>37</v>
      </c>
      <c r="D22432" t="s">
        <v>14</v>
      </c>
      <c r="E22432" t="s">
        <v>148</v>
      </c>
      <c r="F22432" s="2" t="str">
        <f>HYPERLINK("http://www.otzar.org/book.asp?182481","מועדי הגר""ח - 2 כר'")</f>
        <v>מועדי הגר"ח - 2 כר'</v>
      </c>
    </row>
    <row r="22433" spans="1:6" x14ac:dyDescent="0.2">
      <c r="A22433" t="s">
        <v>36225</v>
      </c>
      <c r="B22433" t="s">
        <v>36226</v>
      </c>
      <c r="C22433" t="s">
        <v>454</v>
      </c>
      <c r="D22433" t="s">
        <v>2458</v>
      </c>
      <c r="E22433" t="s">
        <v>467</v>
      </c>
      <c r="F22433" s="2" t="str">
        <f>HYPERLINK("http://www.otzar.org/book.asp?143615","מועדי הרב")</f>
        <v>מועדי הרב</v>
      </c>
    </row>
    <row r="22434" spans="1:6" x14ac:dyDescent="0.2">
      <c r="A22434" t="s">
        <v>36227</v>
      </c>
      <c r="B22434" t="s">
        <v>1091</v>
      </c>
      <c r="C22434" t="s">
        <v>767</v>
      </c>
      <c r="D22434" t="s">
        <v>14</v>
      </c>
      <c r="E22434" t="s">
        <v>15</v>
      </c>
      <c r="F22434" s="2" t="str">
        <f>HYPERLINK("http://www.otzar.org/book.asp?189183","מועדי השנה")</f>
        <v>מועדי השנה</v>
      </c>
    </row>
    <row r="22435" spans="1:6" x14ac:dyDescent="0.2">
      <c r="A22435" t="s">
        <v>36228</v>
      </c>
      <c r="B22435" t="s">
        <v>16694</v>
      </c>
      <c r="C22435" t="s">
        <v>454</v>
      </c>
      <c r="D22435" t="s">
        <v>14</v>
      </c>
      <c r="E22435" t="s">
        <v>130</v>
      </c>
      <c r="F22435" s="2" t="str">
        <f>HYPERLINK("http://www.otzar.org/book.asp?50951","מועדי חיים - 3 כר'")</f>
        <v>מועדי חיים - 3 כר'</v>
      </c>
    </row>
    <row r="22436" spans="1:6" x14ac:dyDescent="0.2">
      <c r="A22436" t="s">
        <v>36229</v>
      </c>
      <c r="B22436" t="s">
        <v>5908</v>
      </c>
      <c r="C22436" t="s">
        <v>244</v>
      </c>
      <c r="D22436" t="s">
        <v>14</v>
      </c>
      <c r="E22436" t="s">
        <v>1097</v>
      </c>
      <c r="F22436" s="2" t="str">
        <f>HYPERLINK("http://www.otzar.org/book.asp?605738","מועדי יהושע - 4 כר'")</f>
        <v>מועדי יהושע - 4 כר'</v>
      </c>
    </row>
    <row r="22437" spans="1:6" x14ac:dyDescent="0.2">
      <c r="A22437" t="s">
        <v>36230</v>
      </c>
      <c r="B22437" t="s">
        <v>36206</v>
      </c>
      <c r="C22437" t="s">
        <v>36207</v>
      </c>
      <c r="D22437" t="s">
        <v>27</v>
      </c>
      <c r="E22437" t="s">
        <v>1517</v>
      </c>
      <c r="F22437" s="2" t="str">
        <f>HYPERLINK("http://www.otzar.org/book.asp?174366","מועדי יי' וקריאי מועד - שלש רגלים")</f>
        <v>מועדי יי' וקריאי מועד - שלש רגלים</v>
      </c>
    </row>
    <row r="22438" spans="1:6" x14ac:dyDescent="0.2">
      <c r="A22438" t="s">
        <v>36231</v>
      </c>
      <c r="B22438" t="s">
        <v>36232</v>
      </c>
      <c r="C22438" t="s">
        <v>244</v>
      </c>
      <c r="E22438" t="s">
        <v>246</v>
      </c>
      <c r="F22438" s="2" t="str">
        <f>HYPERLINK("http://www.otzar.org/book.asp?603738","מועדי יעקב - 2 כר'")</f>
        <v>מועדי יעקב - 2 כר'</v>
      </c>
    </row>
    <row r="22439" spans="1:6" x14ac:dyDescent="0.2">
      <c r="A22439" t="s">
        <v>36233</v>
      </c>
      <c r="B22439" t="s">
        <v>8135</v>
      </c>
      <c r="C22439" t="s">
        <v>244</v>
      </c>
      <c r="D22439" t="s">
        <v>14</v>
      </c>
      <c r="E22439" t="s">
        <v>246</v>
      </c>
      <c r="F22439" s="2" t="str">
        <f>HYPERLINK("http://www.otzar.org/book.asp?600767","מועדי ישראל  על פי בעל השרידי אש")</f>
        <v>מועדי ישראל  על פי בעל השרידי אש</v>
      </c>
    </row>
    <row r="22440" spans="1:6" x14ac:dyDescent="0.2">
      <c r="A22440" t="s">
        <v>36234</v>
      </c>
      <c r="B22440" t="s">
        <v>11221</v>
      </c>
      <c r="C22440" t="s">
        <v>20</v>
      </c>
      <c r="D22440" t="s">
        <v>21</v>
      </c>
      <c r="E22440" t="s">
        <v>246</v>
      </c>
      <c r="F22440" s="2" t="str">
        <f>HYPERLINK("http://www.otzar.org/book.asp?607234","מועדי ישראל באגדה - 2 כר'")</f>
        <v>מועדי ישראל באגדה - 2 כר'</v>
      </c>
    </row>
    <row r="22441" spans="1:6" x14ac:dyDescent="0.2">
      <c r="A22441" t="s">
        <v>36235</v>
      </c>
      <c r="B22441" t="s">
        <v>36236</v>
      </c>
      <c r="C22441" t="s">
        <v>466</v>
      </c>
      <c r="D22441" t="s">
        <v>3560</v>
      </c>
      <c r="E22441" t="s">
        <v>1970</v>
      </c>
      <c r="F22441" s="2" t="str">
        <f>HYPERLINK("http://www.otzar.org/book.asp?151224","מועדי ישראל בהלכה ובאגדה - 2 כר'")</f>
        <v>מועדי ישראל בהלכה ובאגדה - 2 כר'</v>
      </c>
    </row>
    <row r="22442" spans="1:6" x14ac:dyDescent="0.2">
      <c r="A22442" t="s">
        <v>36237</v>
      </c>
      <c r="B22442" t="s">
        <v>107</v>
      </c>
      <c r="C22442" t="s">
        <v>189</v>
      </c>
      <c r="D22442" t="s">
        <v>14</v>
      </c>
      <c r="E22442" t="s">
        <v>1164</v>
      </c>
      <c r="F22442" s="2" t="str">
        <f>HYPERLINK("http://www.otzar.org/book.asp?148258","מועדי ישראל ומשמעותם לאומות העולם שומרי מצוות בני נח")</f>
        <v>מועדי ישראל ומשמעותם לאומות העולם שומרי מצוות בני נח</v>
      </c>
    </row>
    <row r="22443" spans="1:6" x14ac:dyDescent="0.2">
      <c r="A22443" t="s">
        <v>36238</v>
      </c>
      <c r="B22443" t="s">
        <v>2564</v>
      </c>
      <c r="C22443" t="s">
        <v>146</v>
      </c>
      <c r="D22443" t="s">
        <v>52</v>
      </c>
      <c r="E22443" t="s">
        <v>564</v>
      </c>
      <c r="F22443" s="2" t="str">
        <f>HYPERLINK("http://www.otzar.org/book.asp?84571","מועדי ישראל - 2 כר'")</f>
        <v>מועדי ישראל - 2 כר'</v>
      </c>
    </row>
    <row r="22444" spans="1:6" x14ac:dyDescent="0.2">
      <c r="A22444" t="s">
        <v>36238</v>
      </c>
      <c r="B22444" t="s">
        <v>5914</v>
      </c>
      <c r="C22444" t="s">
        <v>51</v>
      </c>
      <c r="D22444" t="s">
        <v>14</v>
      </c>
      <c r="E22444" t="s">
        <v>18947</v>
      </c>
      <c r="F22444" s="2" t="str">
        <f>HYPERLINK("http://www.otzar.org/book.asp?143253","מועדי ישראל - 2 כר'")</f>
        <v>מועדי ישראל - 2 כר'</v>
      </c>
    </row>
    <row r="22445" spans="1:6" x14ac:dyDescent="0.2">
      <c r="A22445" t="s">
        <v>36239</v>
      </c>
      <c r="B22445" t="s">
        <v>36240</v>
      </c>
      <c r="C22445" t="s">
        <v>334</v>
      </c>
      <c r="D22445" t="s">
        <v>412</v>
      </c>
      <c r="E22445" t="s">
        <v>130</v>
      </c>
      <c r="F22445" s="2" t="str">
        <f>HYPERLINK("http://www.otzar.org/book.asp?618950","מועדי ישרון - א")</f>
        <v>מועדי ישרון - א</v>
      </c>
    </row>
    <row r="22446" spans="1:6" x14ac:dyDescent="0.2">
      <c r="A22446" t="s">
        <v>36241</v>
      </c>
      <c r="B22446" t="s">
        <v>12613</v>
      </c>
      <c r="C22446" t="s">
        <v>114</v>
      </c>
      <c r="D22446" t="s">
        <v>5421</v>
      </c>
      <c r="F22446" s="2" t="str">
        <f>HYPERLINK("http://www.otzar.org/book.asp?617953","מועדי משה - חנוכה")</f>
        <v>מועדי משה - חנוכה</v>
      </c>
    </row>
    <row r="22447" spans="1:6" x14ac:dyDescent="0.2">
      <c r="A22447" t="s">
        <v>36242</v>
      </c>
      <c r="B22447" t="s">
        <v>11837</v>
      </c>
      <c r="C22447" t="s">
        <v>13</v>
      </c>
      <c r="D22447" t="s">
        <v>721</v>
      </c>
      <c r="E22447" t="s">
        <v>36243</v>
      </c>
      <c r="F22447" s="2" t="str">
        <f>HYPERLINK("http://www.otzar.org/book.asp?600076","מועדי נסים - 2 כר'")</f>
        <v>מועדי נסים - 2 כר'</v>
      </c>
    </row>
    <row r="22448" spans="1:6" x14ac:dyDescent="0.2">
      <c r="A22448" t="s">
        <v>36244</v>
      </c>
      <c r="B22448" t="s">
        <v>686</v>
      </c>
      <c r="C22448" t="s">
        <v>189</v>
      </c>
      <c r="D22448" t="s">
        <v>52</v>
      </c>
      <c r="E22448" t="s">
        <v>1164</v>
      </c>
      <c r="F22448" s="2" t="str">
        <f>HYPERLINK("http://www.otzar.org/book.asp?149799","מועדי קדשך")</f>
        <v>מועדי קדשך</v>
      </c>
    </row>
    <row r="22449" spans="1:6" x14ac:dyDescent="0.2">
      <c r="A22449" t="s">
        <v>36244</v>
      </c>
      <c r="B22449" t="s">
        <v>11221</v>
      </c>
      <c r="C22449" t="s">
        <v>23</v>
      </c>
      <c r="D22449" t="s">
        <v>21</v>
      </c>
      <c r="E22449" t="s">
        <v>246</v>
      </c>
      <c r="F22449" s="2" t="str">
        <f>HYPERLINK("http://www.otzar.org/book.asp?607229","מועדי קדשך")</f>
        <v>מועדי קדשך</v>
      </c>
    </row>
    <row r="22450" spans="1:6" x14ac:dyDescent="0.2">
      <c r="A22450" t="s">
        <v>36245</v>
      </c>
      <c r="B22450" t="s">
        <v>3454</v>
      </c>
      <c r="C22450" t="s">
        <v>114</v>
      </c>
      <c r="D22450" t="s">
        <v>14</v>
      </c>
      <c r="F22450" s="2" t="str">
        <f>HYPERLINK("http://www.otzar.org/book.asp?164177","מועדי קדשך - 3 כר'")</f>
        <v>מועדי קדשך - 3 כר'</v>
      </c>
    </row>
    <row r="22451" spans="1:6" x14ac:dyDescent="0.2">
      <c r="A22451" t="s">
        <v>36246</v>
      </c>
      <c r="B22451" t="s">
        <v>3440</v>
      </c>
      <c r="C22451" t="s">
        <v>775</v>
      </c>
      <c r="D22451" t="s">
        <v>14</v>
      </c>
      <c r="E22451" t="s">
        <v>4494</v>
      </c>
      <c r="F22451" s="2" t="str">
        <f>HYPERLINK("http://www.otzar.org/book.asp?22021","מועדי קודש - 3 כר'")</f>
        <v>מועדי קודש - 3 כר'</v>
      </c>
    </row>
    <row r="22452" spans="1:6" x14ac:dyDescent="0.2">
      <c r="A22452" t="s">
        <v>36247</v>
      </c>
      <c r="B22452" t="s">
        <v>36248</v>
      </c>
      <c r="C22452" t="s">
        <v>23</v>
      </c>
      <c r="D22452" t="s">
        <v>152</v>
      </c>
      <c r="F22452" s="2" t="str">
        <f>HYPERLINK("http://www.otzar.org/book.asp?610271","מועדי קודש - 4 כר'")</f>
        <v>מועדי קודש - 4 כר'</v>
      </c>
    </row>
    <row r="22453" spans="1:6" x14ac:dyDescent="0.2">
      <c r="A22453" t="s">
        <v>36246</v>
      </c>
      <c r="B22453" t="s">
        <v>11990</v>
      </c>
      <c r="C22453" t="s">
        <v>20</v>
      </c>
      <c r="D22453" t="s">
        <v>14</v>
      </c>
      <c r="E22453" t="s">
        <v>246</v>
      </c>
      <c r="F22453" s="2" t="str">
        <f>HYPERLINK("http://www.otzar.org/book.asp?608436","מועדי קודש - 3 כר'")</f>
        <v>מועדי קודש - 3 כר'</v>
      </c>
    </row>
    <row r="22454" spans="1:6" x14ac:dyDescent="0.2">
      <c r="A22454" t="s">
        <v>36249</v>
      </c>
      <c r="B22454" t="s">
        <v>36250</v>
      </c>
      <c r="C22454" t="s">
        <v>366</v>
      </c>
      <c r="D22454" t="s">
        <v>21</v>
      </c>
      <c r="F22454" s="2" t="str">
        <f>HYPERLINK("http://www.otzar.org/book.asp?609964","מועדיך לחיים")</f>
        <v>מועדיך לחיים</v>
      </c>
    </row>
    <row r="22455" spans="1:6" x14ac:dyDescent="0.2">
      <c r="A22455" t="s">
        <v>36251</v>
      </c>
      <c r="B22455" t="s">
        <v>4606</v>
      </c>
      <c r="C22455" t="s">
        <v>36252</v>
      </c>
      <c r="D22455" t="s">
        <v>14</v>
      </c>
      <c r="E22455" t="s">
        <v>803</v>
      </c>
      <c r="F22455" s="2" t="str">
        <f>HYPERLINK("http://www.otzar.org/book.asp?107273","מועדים וזמנים השלם - 8 כר'")</f>
        <v>מועדים וזמנים השלם - 8 כר'</v>
      </c>
    </row>
    <row r="22456" spans="1:6" x14ac:dyDescent="0.2">
      <c r="A22456" t="s">
        <v>36253</v>
      </c>
      <c r="B22456" t="s">
        <v>257</v>
      </c>
      <c r="C22456" t="s">
        <v>553</v>
      </c>
      <c r="D22456" t="s">
        <v>486</v>
      </c>
      <c r="E22456" t="s">
        <v>15</v>
      </c>
      <c r="F22456" s="2" t="str">
        <f>HYPERLINK("http://www.otzar.org/book.asp?53632","מועדים כהלכה")</f>
        <v>מועדים כהלכה</v>
      </c>
    </row>
    <row r="22457" spans="1:6" x14ac:dyDescent="0.2">
      <c r="A22457" t="s">
        <v>36254</v>
      </c>
      <c r="B22457" t="s">
        <v>29487</v>
      </c>
      <c r="C22457" t="s">
        <v>13</v>
      </c>
      <c r="D22457" t="s">
        <v>52</v>
      </c>
      <c r="E22457" t="s">
        <v>130</v>
      </c>
      <c r="F22457" s="2" t="str">
        <f>HYPERLINK("http://www.otzar.org/book.asp?85754","מועדים לישראל")</f>
        <v>מועדים לישראל</v>
      </c>
    </row>
    <row r="22458" spans="1:6" x14ac:dyDescent="0.2">
      <c r="A22458" t="s">
        <v>36255</v>
      </c>
      <c r="B22458" t="s">
        <v>36256</v>
      </c>
      <c r="C22458" t="s">
        <v>36257</v>
      </c>
      <c r="D22458" t="s">
        <v>1654</v>
      </c>
      <c r="E22458" t="s">
        <v>1164</v>
      </c>
      <c r="F22458" s="2" t="str">
        <f>HYPERLINK("http://www.otzar.org/book.asp?618316","מועדים לשמחה")</f>
        <v>מועדים לשמחה</v>
      </c>
    </row>
    <row r="22459" spans="1:6" x14ac:dyDescent="0.2">
      <c r="A22459" t="s">
        <v>36255</v>
      </c>
      <c r="B22459" t="s">
        <v>14030</v>
      </c>
      <c r="C22459" t="s">
        <v>506</v>
      </c>
      <c r="D22459" t="s">
        <v>986</v>
      </c>
      <c r="E22459" t="s">
        <v>234</v>
      </c>
      <c r="F22459" s="2" t="str">
        <f>HYPERLINK("http://www.otzar.org/book.asp?107037","מועדים לשמחה")</f>
        <v>מועדים לשמחה</v>
      </c>
    </row>
    <row r="22460" spans="1:6" x14ac:dyDescent="0.2">
      <c r="A22460" t="s">
        <v>36258</v>
      </c>
      <c r="B22460" t="s">
        <v>2914</v>
      </c>
      <c r="C22460" t="s">
        <v>454</v>
      </c>
      <c r="D22460" t="s">
        <v>1153</v>
      </c>
      <c r="E22460" t="s">
        <v>25432</v>
      </c>
      <c r="F22460" s="2" t="str">
        <f>HYPERLINK("http://www.otzar.org/book.asp?64267","מועדים לשמחה - 2 כר'")</f>
        <v>מועדים לשמחה - 2 כר'</v>
      </c>
    </row>
    <row r="22461" spans="1:6" x14ac:dyDescent="0.2">
      <c r="A22461" t="s">
        <v>36255</v>
      </c>
      <c r="B22461" t="s">
        <v>4324</v>
      </c>
      <c r="C22461" t="s">
        <v>624</v>
      </c>
      <c r="D22461" t="s">
        <v>14</v>
      </c>
      <c r="E22461" t="s">
        <v>1970</v>
      </c>
      <c r="F22461" s="2" t="str">
        <f>HYPERLINK("http://www.otzar.org/book.asp?62108","מועדים לשמחה")</f>
        <v>מועדים לשמחה</v>
      </c>
    </row>
    <row r="22462" spans="1:6" x14ac:dyDescent="0.2">
      <c r="A22462" t="s">
        <v>36259</v>
      </c>
      <c r="B22462" t="s">
        <v>1602</v>
      </c>
      <c r="C22462" t="s">
        <v>244</v>
      </c>
      <c r="D22462" t="s">
        <v>14</v>
      </c>
      <c r="F22462" s="2" t="str">
        <f>HYPERLINK("http://www.otzar.org/book.asp?618706","מועדים לשמחה - 4 כר'")</f>
        <v>מועדים לשמחה - 4 כר'</v>
      </c>
    </row>
    <row r="22463" spans="1:6" x14ac:dyDescent="0.2">
      <c r="A22463" t="s">
        <v>36260</v>
      </c>
      <c r="B22463" t="s">
        <v>36261</v>
      </c>
      <c r="C22463" t="s">
        <v>422</v>
      </c>
      <c r="D22463" t="s">
        <v>14</v>
      </c>
      <c r="E22463" t="s">
        <v>4022</v>
      </c>
      <c r="F22463" s="2" t="str">
        <f>HYPERLINK("http://www.otzar.org/book.asp?158823","מועדים לשמחה - בירורי הלכה בעניני המועדים")</f>
        <v>מועדים לשמחה - בירורי הלכה בעניני המועדים</v>
      </c>
    </row>
    <row r="22464" spans="1:6" x14ac:dyDescent="0.2">
      <c r="A22464" t="s">
        <v>36262</v>
      </c>
      <c r="B22464" t="s">
        <v>36263</v>
      </c>
      <c r="C22464" t="s">
        <v>956</v>
      </c>
      <c r="D22464" t="s">
        <v>14</v>
      </c>
      <c r="E22464" t="s">
        <v>246</v>
      </c>
      <c r="F22464" s="2" t="str">
        <f>HYPERLINK("http://www.otzar.org/book.asp?149838","מועדים")</f>
        <v>מועדים</v>
      </c>
    </row>
    <row r="22465" spans="1:6" x14ac:dyDescent="0.2">
      <c r="A22465" t="s">
        <v>36262</v>
      </c>
      <c r="B22465" t="s">
        <v>36264</v>
      </c>
      <c r="C22465" t="s">
        <v>1268</v>
      </c>
      <c r="D22465" t="s">
        <v>14</v>
      </c>
      <c r="F22465" s="2" t="str">
        <f>HYPERLINK("http://www.otzar.org/book.asp?163774","מועדים")</f>
        <v>מועדים</v>
      </c>
    </row>
    <row r="22466" spans="1:6" x14ac:dyDescent="0.2">
      <c r="A22466" t="s">
        <v>36265</v>
      </c>
      <c r="B22466" t="s">
        <v>36266</v>
      </c>
      <c r="C22466" t="s">
        <v>160</v>
      </c>
      <c r="D22466" t="s">
        <v>36267</v>
      </c>
      <c r="E22466" t="s">
        <v>3567</v>
      </c>
      <c r="F22466" s="2" t="str">
        <f>HYPERLINK("http://www.otzar.org/book.asp?196315","מועצת הרבנים במרוקו - 6 כר'")</f>
        <v>מועצת הרבנים במרוקו - 6 כר'</v>
      </c>
    </row>
    <row r="22467" spans="1:6" x14ac:dyDescent="0.2">
      <c r="A22467" t="s">
        <v>36268</v>
      </c>
      <c r="B22467" t="s">
        <v>2205</v>
      </c>
      <c r="C22467" t="s">
        <v>124</v>
      </c>
      <c r="D22467" t="s">
        <v>14</v>
      </c>
      <c r="E22467" t="s">
        <v>583</v>
      </c>
      <c r="F22467" s="2" t="str">
        <f>HYPERLINK("http://www.otzar.org/book.asp?16905","מופת הדור")</f>
        <v>מופת הדור</v>
      </c>
    </row>
    <row r="22468" spans="1:6" x14ac:dyDescent="0.2">
      <c r="A22468" t="s">
        <v>36269</v>
      </c>
      <c r="B22468" t="s">
        <v>5810</v>
      </c>
      <c r="C22468" t="s">
        <v>63</v>
      </c>
      <c r="D22468" t="s">
        <v>412</v>
      </c>
      <c r="E22468" t="s">
        <v>119</v>
      </c>
      <c r="F22468" s="2" t="str">
        <f>HYPERLINK("http://www.otzar.org/book.asp?9507","מופת הדור - 2 כר'")</f>
        <v>מופת הדור - 2 כר'</v>
      </c>
    </row>
    <row r="22469" spans="1:6" x14ac:dyDescent="0.2">
      <c r="A22469" t="s">
        <v>36270</v>
      </c>
      <c r="B22469" t="s">
        <v>36271</v>
      </c>
      <c r="C22469" t="s">
        <v>189</v>
      </c>
      <c r="D22469" t="s">
        <v>14</v>
      </c>
      <c r="E22469" t="s">
        <v>467</v>
      </c>
      <c r="F22469" s="2" t="str">
        <f>HYPERLINK("http://www.otzar.org/book.asp?151028","מוצא דשא - 2 כר'")</f>
        <v>מוצא דשא - 2 כר'</v>
      </c>
    </row>
    <row r="22470" spans="1:6" x14ac:dyDescent="0.2">
      <c r="A22470" t="s">
        <v>36272</v>
      </c>
      <c r="B22470" t="s">
        <v>489</v>
      </c>
      <c r="C22470" t="s">
        <v>189</v>
      </c>
      <c r="D22470" t="s">
        <v>14</v>
      </c>
      <c r="E22470" t="s">
        <v>186</v>
      </c>
      <c r="F22470" s="2" t="str">
        <f>HYPERLINK("http://www.otzar.org/book.asp?143055","מוצא שפתים")</f>
        <v>מוצא שפתים</v>
      </c>
    </row>
    <row r="22471" spans="1:6" x14ac:dyDescent="0.2">
      <c r="A22471" t="s">
        <v>36273</v>
      </c>
      <c r="B22471" t="s">
        <v>686</v>
      </c>
      <c r="C22471" t="s">
        <v>37</v>
      </c>
      <c r="D22471" t="s">
        <v>52</v>
      </c>
      <c r="E22471" t="s">
        <v>104</v>
      </c>
      <c r="F22471" s="2" t="str">
        <f>HYPERLINK("http://www.otzar.org/book.asp?182747","מוצאי מים")</f>
        <v>מוצאי מים</v>
      </c>
    </row>
    <row r="22472" spans="1:6" x14ac:dyDescent="0.2">
      <c r="A22472" t="s">
        <v>36274</v>
      </c>
      <c r="B22472" t="s">
        <v>905</v>
      </c>
      <c r="C22472" t="s">
        <v>313</v>
      </c>
      <c r="D22472" t="s">
        <v>14</v>
      </c>
      <c r="E22472" t="s">
        <v>17488</v>
      </c>
      <c r="F22472" s="2" t="str">
        <f>HYPERLINK("http://www.otzar.org/book.asp?63187","מוצאי פסח בקהילות המערב והמזרח")</f>
        <v>מוצאי פסח בקהילות המערב והמזרח</v>
      </c>
    </row>
    <row r="22473" spans="1:6" x14ac:dyDescent="0.2">
      <c r="A22473" t="s">
        <v>36275</v>
      </c>
      <c r="B22473" t="s">
        <v>8227</v>
      </c>
      <c r="C22473" t="s">
        <v>133</v>
      </c>
      <c r="D22473" t="s">
        <v>14</v>
      </c>
      <c r="E22473" t="s">
        <v>246</v>
      </c>
      <c r="F22473" s="2" t="str">
        <f>HYPERLINK("http://www.otzar.org/book.asp?176372","מוציא אסירים")</f>
        <v>מוציא אסירים</v>
      </c>
    </row>
    <row r="22474" spans="1:6" x14ac:dyDescent="0.2">
      <c r="A22474" t="s">
        <v>36276</v>
      </c>
      <c r="B22474" t="s">
        <v>36277</v>
      </c>
      <c r="C22474" t="s">
        <v>133</v>
      </c>
      <c r="D22474" t="s">
        <v>90</v>
      </c>
      <c r="E22474" t="s">
        <v>246</v>
      </c>
      <c r="F22474" s="2" t="str">
        <f>HYPERLINK("http://www.otzar.org/book.asp?193085","מוציא אסירים - חג המצות")</f>
        <v>מוציא אסירים - חג המצות</v>
      </c>
    </row>
    <row r="22475" spans="1:6" x14ac:dyDescent="0.2">
      <c r="A22475" t="s">
        <v>36278</v>
      </c>
      <c r="B22475" t="s">
        <v>36279</v>
      </c>
      <c r="C22475" t="s">
        <v>63</v>
      </c>
      <c r="D22475" t="s">
        <v>14</v>
      </c>
      <c r="E22475" t="s">
        <v>154</v>
      </c>
      <c r="F22475" s="2" t="str">
        <f>HYPERLINK("http://www.otzar.org/book.asp?165931","מוצל מאש השלם - חתם סופר")</f>
        <v>מוצל מאש השלם - חתם סופר</v>
      </c>
    </row>
    <row r="22476" spans="1:6" x14ac:dyDescent="0.2">
      <c r="A22476" t="s">
        <v>36280</v>
      </c>
      <c r="B22476" t="s">
        <v>26686</v>
      </c>
      <c r="C22476" t="s">
        <v>1535</v>
      </c>
      <c r="D22476" t="s">
        <v>56</v>
      </c>
      <c r="E22476" t="s">
        <v>144</v>
      </c>
      <c r="F22476" s="2" t="str">
        <f>HYPERLINK("http://www.otzar.org/book.asp?5531","מוצל מאש")</f>
        <v>מוצל מאש</v>
      </c>
    </row>
    <row r="22477" spans="1:6" x14ac:dyDescent="0.2">
      <c r="A22477" t="s">
        <v>36280</v>
      </c>
      <c r="B22477" t="s">
        <v>36281</v>
      </c>
      <c r="C22477" t="s">
        <v>950</v>
      </c>
      <c r="D22477" t="s">
        <v>1279</v>
      </c>
      <c r="E22477" t="s">
        <v>144</v>
      </c>
      <c r="F22477" s="2" t="str">
        <f>HYPERLINK("http://www.otzar.org/book.asp?24791","מוצל מאש")</f>
        <v>מוצל מאש</v>
      </c>
    </row>
    <row r="22478" spans="1:6" x14ac:dyDescent="0.2">
      <c r="A22478" t="s">
        <v>36282</v>
      </c>
      <c r="B22478" t="s">
        <v>34923</v>
      </c>
      <c r="C22478" t="s">
        <v>1246</v>
      </c>
      <c r="D22478" t="s">
        <v>9</v>
      </c>
      <c r="E22478" t="s">
        <v>36283</v>
      </c>
      <c r="F22478" s="2" t="str">
        <f>HYPERLINK("http://www.otzar.org/book.asp?14236","מוצל מהאש - 2 כר'")</f>
        <v>מוצל מהאש - 2 כר'</v>
      </c>
    </row>
    <row r="22479" spans="1:6" x14ac:dyDescent="0.2">
      <c r="A22479" t="s">
        <v>36284</v>
      </c>
      <c r="B22479" t="s">
        <v>36285</v>
      </c>
      <c r="C22479" t="s">
        <v>36286</v>
      </c>
      <c r="D22479" t="s">
        <v>267</v>
      </c>
      <c r="E22479" t="s">
        <v>4104</v>
      </c>
      <c r="F22479" s="2" t="str">
        <f>HYPERLINK("http://www.otzar.org/book.asp?102411","מוקדם ומאוחר - 3 כר'")</f>
        <v>מוקדם ומאוחר - 3 כר'</v>
      </c>
    </row>
    <row r="22480" spans="1:6" x14ac:dyDescent="0.2">
      <c r="A22480" t="s">
        <v>36287</v>
      </c>
      <c r="B22480" t="s">
        <v>36288</v>
      </c>
      <c r="C22480" t="s">
        <v>244</v>
      </c>
      <c r="D22480" t="s">
        <v>276</v>
      </c>
      <c r="E22480" t="s">
        <v>130</v>
      </c>
      <c r="F22480" s="2" t="str">
        <f>HYPERLINK("http://www.otzar.org/book.asp?601385","מוקצה ובסיס לדבר האסור בשבת חנוכה")</f>
        <v>מוקצה ובסיס לדבר האסור בשבת חנוכה</v>
      </c>
    </row>
    <row r="22481" spans="1:6" x14ac:dyDescent="0.2">
      <c r="A22481" t="s">
        <v>36289</v>
      </c>
      <c r="B22481" t="s">
        <v>36290</v>
      </c>
      <c r="C22481" t="s">
        <v>103</v>
      </c>
      <c r="D22481" t="s">
        <v>412</v>
      </c>
      <c r="F22481" s="2" t="str">
        <f>HYPERLINK("http://www.otzar.org/book.asp?180902","מור דרור &lt;מהדורה חדשה&gt;")</f>
        <v>מור דרור &lt;מהדורה חדשה&gt;</v>
      </c>
    </row>
    <row r="22482" spans="1:6" x14ac:dyDescent="0.2">
      <c r="A22482" t="s">
        <v>36291</v>
      </c>
      <c r="B22482" t="s">
        <v>36290</v>
      </c>
      <c r="C22482" t="s">
        <v>4348</v>
      </c>
      <c r="D22482" t="s">
        <v>744</v>
      </c>
      <c r="E22482" t="s">
        <v>2495</v>
      </c>
      <c r="F22482" s="2" t="str">
        <f>HYPERLINK("http://www.otzar.org/book.asp?101109","מור דרור")</f>
        <v>מור דרור</v>
      </c>
    </row>
    <row r="22483" spans="1:6" x14ac:dyDescent="0.2">
      <c r="A22483" t="s">
        <v>36291</v>
      </c>
      <c r="B22483" t="s">
        <v>36292</v>
      </c>
      <c r="C22483" t="s">
        <v>454</v>
      </c>
      <c r="D22483" t="s">
        <v>14</v>
      </c>
      <c r="E22483" t="s">
        <v>148</v>
      </c>
      <c r="F22483" s="2" t="str">
        <f>HYPERLINK("http://www.otzar.org/book.asp?61183","מור דרור")</f>
        <v>מור דרור</v>
      </c>
    </row>
    <row r="22484" spans="1:6" x14ac:dyDescent="0.2">
      <c r="A22484" t="s">
        <v>36293</v>
      </c>
      <c r="B22484" t="s">
        <v>36294</v>
      </c>
      <c r="C22484" t="s">
        <v>133</v>
      </c>
      <c r="D22484" t="s">
        <v>14</v>
      </c>
      <c r="E22484" t="s">
        <v>144</v>
      </c>
      <c r="F22484" s="2" t="str">
        <f>HYPERLINK("http://www.otzar.org/book.asp?609621","מור ואהלות")</f>
        <v>מור ואהלות</v>
      </c>
    </row>
    <row r="22485" spans="1:6" x14ac:dyDescent="0.2">
      <c r="A22485" t="s">
        <v>36293</v>
      </c>
      <c r="B22485" t="s">
        <v>5622</v>
      </c>
      <c r="C22485" t="s">
        <v>896</v>
      </c>
      <c r="D22485" t="s">
        <v>267</v>
      </c>
      <c r="E22485" t="s">
        <v>36295</v>
      </c>
      <c r="F22485" s="2" t="str">
        <f>HYPERLINK("http://www.otzar.org/book.asp?101219","מור ואהלות")</f>
        <v>מור ואהלות</v>
      </c>
    </row>
    <row r="22486" spans="1:6" x14ac:dyDescent="0.2">
      <c r="A22486" t="s">
        <v>36296</v>
      </c>
      <c r="B22486" t="s">
        <v>4953</v>
      </c>
      <c r="C22486" t="s">
        <v>146</v>
      </c>
      <c r="D22486" t="s">
        <v>14</v>
      </c>
      <c r="E22486" t="s">
        <v>158</v>
      </c>
      <c r="F22486" s="2" t="str">
        <f>HYPERLINK("http://www.otzar.org/book.asp?159373","מור והדס - מגילת אסתר מפורשת ומבוארת")</f>
        <v>מור והדס - מגילת אסתר מפורשת ומבוארת</v>
      </c>
    </row>
    <row r="22487" spans="1:6" x14ac:dyDescent="0.2">
      <c r="A22487" t="s">
        <v>36297</v>
      </c>
      <c r="B22487" t="s">
        <v>1417</v>
      </c>
      <c r="C22487" t="s">
        <v>36298</v>
      </c>
      <c r="D22487" t="s">
        <v>42</v>
      </c>
      <c r="E22487" t="s">
        <v>15</v>
      </c>
      <c r="F22487" s="2" t="str">
        <f>HYPERLINK("http://www.otzar.org/book.asp?141304","מור וקציעה - 3 כר'")</f>
        <v>מור וקציעה - 3 כר'</v>
      </c>
    </row>
    <row r="22488" spans="1:6" x14ac:dyDescent="0.2">
      <c r="A22488" t="s">
        <v>36299</v>
      </c>
      <c r="B22488" t="s">
        <v>36300</v>
      </c>
      <c r="C22488" t="s">
        <v>3246</v>
      </c>
      <c r="D22488" t="s">
        <v>889</v>
      </c>
      <c r="E22488" t="s">
        <v>837</v>
      </c>
      <c r="F22488" s="2" t="str">
        <f>HYPERLINK("http://www.otzar.org/book.asp?165582","מור""ה צד""ק")</f>
        <v>מור"ה צד"ק</v>
      </c>
    </row>
    <row r="22489" spans="1:6" x14ac:dyDescent="0.2">
      <c r="A22489" t="s">
        <v>36301</v>
      </c>
      <c r="B22489" t="s">
        <v>4596</v>
      </c>
      <c r="C22489" t="s">
        <v>133</v>
      </c>
      <c r="D22489" t="s">
        <v>14</v>
      </c>
      <c r="F22489" s="2" t="str">
        <f>HYPERLINK("http://www.otzar.org/book.asp?630379","מורא מלך - 2 כר'")</f>
        <v>מורא מלך - 2 כר'</v>
      </c>
    </row>
    <row r="22490" spans="1:6" x14ac:dyDescent="0.2">
      <c r="A22490" t="s">
        <v>36302</v>
      </c>
      <c r="B22490" t="s">
        <v>36303</v>
      </c>
      <c r="C22490" t="s">
        <v>1570</v>
      </c>
      <c r="D22490" t="s">
        <v>14</v>
      </c>
      <c r="E22490" t="s">
        <v>714</v>
      </c>
      <c r="F22490" s="2" t="str">
        <f>HYPERLINK("http://www.otzar.org/book.asp?63776","מורא מקדש &lt;עם הוספות&gt;")</f>
        <v>מורא מקדש &lt;עם הוספות&gt;</v>
      </c>
    </row>
    <row r="22491" spans="1:6" x14ac:dyDescent="0.2">
      <c r="A22491" t="s">
        <v>36304</v>
      </c>
      <c r="B22491" t="s">
        <v>36305</v>
      </c>
      <c r="C22491" t="s">
        <v>51</v>
      </c>
      <c r="D22491" t="s">
        <v>486</v>
      </c>
      <c r="E22491" t="s">
        <v>15</v>
      </c>
      <c r="F22491" s="2" t="str">
        <f>HYPERLINK("http://www.otzar.org/book.asp?195625","מורא מקדש")</f>
        <v>מורא מקדש</v>
      </c>
    </row>
    <row r="22492" spans="1:6" x14ac:dyDescent="0.2">
      <c r="A22492" t="s">
        <v>36304</v>
      </c>
      <c r="B22492" t="s">
        <v>36306</v>
      </c>
      <c r="C22492" t="s">
        <v>244</v>
      </c>
      <c r="D22492" t="s">
        <v>21</v>
      </c>
      <c r="E22492" t="s">
        <v>104</v>
      </c>
      <c r="F22492" s="2" t="str">
        <f>HYPERLINK("http://www.otzar.org/book.asp?600682","מורא מקדש")</f>
        <v>מורא מקדש</v>
      </c>
    </row>
    <row r="22493" spans="1:6" x14ac:dyDescent="0.2">
      <c r="A22493" t="s">
        <v>36304</v>
      </c>
      <c r="B22493" t="s">
        <v>6977</v>
      </c>
      <c r="C22493" t="s">
        <v>124</v>
      </c>
      <c r="D22493" t="s">
        <v>14</v>
      </c>
      <c r="E22493" t="s">
        <v>714</v>
      </c>
      <c r="F22493" s="2" t="str">
        <f>HYPERLINK("http://www.otzar.org/book.asp?6473","מורא מקדש")</f>
        <v>מורא מקדש</v>
      </c>
    </row>
    <row r="22494" spans="1:6" x14ac:dyDescent="0.2">
      <c r="A22494" t="s">
        <v>36304</v>
      </c>
      <c r="B22494" t="s">
        <v>36303</v>
      </c>
      <c r="C22494" t="s">
        <v>576</v>
      </c>
      <c r="D22494" t="s">
        <v>36307</v>
      </c>
      <c r="E22494" t="s">
        <v>714</v>
      </c>
      <c r="F22494" s="2" t="str">
        <f>HYPERLINK("http://www.otzar.org/book.asp?161111","מורא מקדש")</f>
        <v>מורא מקדש</v>
      </c>
    </row>
    <row r="22495" spans="1:6" x14ac:dyDescent="0.2">
      <c r="A22495" t="s">
        <v>36304</v>
      </c>
      <c r="B22495" t="s">
        <v>2707</v>
      </c>
      <c r="C22495" t="s">
        <v>23</v>
      </c>
      <c r="D22495" t="s">
        <v>14</v>
      </c>
      <c r="F22495" s="2" t="str">
        <f>HYPERLINK("http://www.otzar.org/book.asp?198166","מורא מקדש")</f>
        <v>מורא מקדש</v>
      </c>
    </row>
    <row r="22496" spans="1:6" x14ac:dyDescent="0.2">
      <c r="A22496" t="s">
        <v>36308</v>
      </c>
      <c r="B22496" t="s">
        <v>13223</v>
      </c>
      <c r="C22496" t="s">
        <v>473</v>
      </c>
      <c r="D22496" t="s">
        <v>2295</v>
      </c>
      <c r="E22496" t="s">
        <v>104</v>
      </c>
      <c r="F22496" s="2" t="str">
        <f>HYPERLINK("http://www.otzar.org/book.asp?166813","מוראים גדולים")</f>
        <v>מוראים גדולים</v>
      </c>
    </row>
    <row r="22497" spans="1:6" x14ac:dyDescent="0.2">
      <c r="A22497" t="s">
        <v>36309</v>
      </c>
      <c r="B22497" t="s">
        <v>5574</v>
      </c>
      <c r="C22497" t="s">
        <v>46</v>
      </c>
      <c r="D22497" t="s">
        <v>3208</v>
      </c>
      <c r="F22497" s="2" t="str">
        <f>HYPERLINK("http://www.otzar.org/book.asp?191751","מורדי הגיטו")</f>
        <v>מורדי הגיטו</v>
      </c>
    </row>
    <row r="22498" spans="1:6" x14ac:dyDescent="0.2">
      <c r="A22498" t="s">
        <v>36310</v>
      </c>
      <c r="B22498" t="s">
        <v>1308</v>
      </c>
      <c r="C22498" t="s">
        <v>3816</v>
      </c>
      <c r="D22498" t="s">
        <v>1023</v>
      </c>
      <c r="E22498" t="s">
        <v>15</v>
      </c>
      <c r="F22498" s="2" t="str">
        <f>HYPERLINK("http://www.otzar.org/book.asp?166861","מורה באצבע - 3 כר'")</f>
        <v>מורה באצבע - 3 כר'</v>
      </c>
    </row>
    <row r="22499" spans="1:6" x14ac:dyDescent="0.2">
      <c r="A22499" t="s">
        <v>36311</v>
      </c>
      <c r="B22499" t="s">
        <v>1308</v>
      </c>
      <c r="C22499" t="s">
        <v>543</v>
      </c>
      <c r="D22499" t="s">
        <v>212</v>
      </c>
      <c r="E22499" t="s">
        <v>674</v>
      </c>
      <c r="F22499" s="2" t="str">
        <f>HYPERLINK("http://www.otzar.org/book.asp?166860","מורה באצבע, צפורן שמיר, קשר גודל")</f>
        <v>מורה באצבע, צפורן שמיר, קשר גודל</v>
      </c>
    </row>
    <row r="22500" spans="1:6" x14ac:dyDescent="0.2">
      <c r="A22500" t="s">
        <v>36312</v>
      </c>
      <c r="B22500" t="s">
        <v>14188</v>
      </c>
      <c r="C22500" t="s">
        <v>16924</v>
      </c>
      <c r="D22500" t="s">
        <v>14</v>
      </c>
      <c r="E22500" t="s">
        <v>345</v>
      </c>
      <c r="F22500" s="2" t="str">
        <f>HYPERLINK("http://www.otzar.org/book.asp?22738","מורה בהלכה - 3 כר'")</f>
        <v>מורה בהלכה - 3 כר'</v>
      </c>
    </row>
    <row r="22501" spans="1:6" x14ac:dyDescent="0.2">
      <c r="A22501" t="s">
        <v>36313</v>
      </c>
      <c r="B22501" t="s">
        <v>1035</v>
      </c>
      <c r="C22501" t="s">
        <v>12036</v>
      </c>
      <c r="D22501" t="s">
        <v>283</v>
      </c>
      <c r="E22501" t="s">
        <v>172</v>
      </c>
      <c r="F22501" s="2" t="str">
        <f>HYPERLINK("http://www.otzar.org/book.asp?174541","מורה דעה")</f>
        <v>מורה דעה</v>
      </c>
    </row>
    <row r="22502" spans="1:6" x14ac:dyDescent="0.2">
      <c r="A22502" t="s">
        <v>36314</v>
      </c>
      <c r="B22502" t="s">
        <v>10835</v>
      </c>
      <c r="C22502" t="s">
        <v>989</v>
      </c>
      <c r="D22502" t="s">
        <v>4665</v>
      </c>
      <c r="E22502" t="s">
        <v>148</v>
      </c>
      <c r="F22502" s="2" t="str">
        <f>HYPERLINK("http://www.otzar.org/book.asp?619467","מורה דרך בהלכה")</f>
        <v>מורה דרך בהלכה</v>
      </c>
    </row>
    <row r="22503" spans="1:6" x14ac:dyDescent="0.2">
      <c r="A22503" t="s">
        <v>36315</v>
      </c>
      <c r="B22503" t="s">
        <v>36316</v>
      </c>
      <c r="C22503" t="s">
        <v>124</v>
      </c>
      <c r="D22503" t="s">
        <v>14</v>
      </c>
      <c r="E22503" t="s">
        <v>104</v>
      </c>
      <c r="F22503" s="2" t="str">
        <f>HYPERLINK("http://www.otzar.org/book.asp?14865","מורה דרך למקומות הקדושים - 4 כר'")</f>
        <v>מורה דרך למקומות הקדושים - 4 כר'</v>
      </c>
    </row>
    <row r="22504" spans="1:6" x14ac:dyDescent="0.2">
      <c r="A22504" t="s">
        <v>36317</v>
      </c>
      <c r="B22504" t="s">
        <v>36318</v>
      </c>
      <c r="C22504" t="s">
        <v>156</v>
      </c>
      <c r="D22504" t="s">
        <v>283</v>
      </c>
      <c r="E22504" t="s">
        <v>104</v>
      </c>
      <c r="F22504" s="2" t="str">
        <f>HYPERLINK("http://www.otzar.org/book.asp?24794","מורה דרך")</f>
        <v>מורה דרך</v>
      </c>
    </row>
    <row r="22505" spans="1:6" x14ac:dyDescent="0.2">
      <c r="A22505" t="s">
        <v>36317</v>
      </c>
      <c r="B22505" t="s">
        <v>9226</v>
      </c>
      <c r="C22505" t="s">
        <v>1663</v>
      </c>
      <c r="D22505" t="s">
        <v>1889</v>
      </c>
      <c r="E22505" t="s">
        <v>154</v>
      </c>
      <c r="F22505" s="2" t="str">
        <f>HYPERLINK("http://www.otzar.org/book.asp?11942","מורה דרך")</f>
        <v>מורה דרך</v>
      </c>
    </row>
    <row r="22506" spans="1:6" x14ac:dyDescent="0.2">
      <c r="A22506" t="s">
        <v>36317</v>
      </c>
      <c r="B22506" t="s">
        <v>24131</v>
      </c>
      <c r="C22506" t="s">
        <v>51</v>
      </c>
      <c r="D22506" t="s">
        <v>14</v>
      </c>
      <c r="E22506" t="s">
        <v>10</v>
      </c>
      <c r="F22506" s="2" t="str">
        <f>HYPERLINK("http://www.otzar.org/book.asp?145000","מורה דרך")</f>
        <v>מורה דרך</v>
      </c>
    </row>
    <row r="22507" spans="1:6" x14ac:dyDescent="0.2">
      <c r="A22507" t="s">
        <v>36317</v>
      </c>
      <c r="B22507" t="s">
        <v>36319</v>
      </c>
      <c r="C22507" t="s">
        <v>3695</v>
      </c>
      <c r="D22507" t="s">
        <v>1459</v>
      </c>
      <c r="E22507" t="s">
        <v>104</v>
      </c>
      <c r="F22507" s="2" t="str">
        <f>HYPERLINK("http://www.otzar.org/book.asp?181149","מורה דרך")</f>
        <v>מורה דרך</v>
      </c>
    </row>
    <row r="22508" spans="1:6" x14ac:dyDescent="0.2">
      <c r="A22508" t="s">
        <v>36317</v>
      </c>
      <c r="B22508" t="s">
        <v>24465</v>
      </c>
      <c r="C22508" t="s">
        <v>3840</v>
      </c>
      <c r="D22508" t="s">
        <v>27</v>
      </c>
      <c r="E22508" t="s">
        <v>104</v>
      </c>
      <c r="F22508" s="2" t="str">
        <f>HYPERLINK("http://www.otzar.org/book.asp?168851","מורה דרך")</f>
        <v>מורה דרך</v>
      </c>
    </row>
    <row r="22509" spans="1:6" x14ac:dyDescent="0.2">
      <c r="A22509" t="s">
        <v>36320</v>
      </c>
      <c r="B22509" t="s">
        <v>36321</v>
      </c>
      <c r="C22509" t="s">
        <v>36322</v>
      </c>
      <c r="D22509" t="s">
        <v>8522</v>
      </c>
      <c r="E22509" t="s">
        <v>104</v>
      </c>
      <c r="F22509" s="2" t="str">
        <f>HYPERLINK("http://www.otzar.org/book.asp?624704","מורה דרכי הרפואה")</f>
        <v>מורה דרכי הרפואה</v>
      </c>
    </row>
    <row r="22510" spans="1:6" x14ac:dyDescent="0.2">
      <c r="A22510" t="s">
        <v>36323</v>
      </c>
      <c r="B22510" t="s">
        <v>36324</v>
      </c>
      <c r="C22510" t="s">
        <v>1096</v>
      </c>
      <c r="D22510" t="s">
        <v>56</v>
      </c>
      <c r="E22510" t="s">
        <v>104</v>
      </c>
      <c r="F22510" s="2" t="str">
        <f>HYPERLINK("http://www.otzar.org/book.asp?24795","מורה הלשון - 3 כר'")</f>
        <v>מורה הלשון - 3 כר'</v>
      </c>
    </row>
    <row r="22511" spans="1:6" x14ac:dyDescent="0.2">
      <c r="A22511" t="s">
        <v>36325</v>
      </c>
      <c r="B22511" t="s">
        <v>1457</v>
      </c>
      <c r="C22511" t="s">
        <v>17</v>
      </c>
      <c r="D22511" t="s">
        <v>14</v>
      </c>
      <c r="F22511" s="2" t="str">
        <f>HYPERLINK("http://www.otzar.org/book.asp?612961","מורה המורה &lt;מהדורת האיגוד העולמי למדעי היהדות&gt;")</f>
        <v>מורה המורה &lt;מהדורת האיגוד העולמי למדעי היהדות&gt;</v>
      </c>
    </row>
    <row r="22512" spans="1:6" x14ac:dyDescent="0.2">
      <c r="A22512" t="s">
        <v>36326</v>
      </c>
      <c r="B22512" t="s">
        <v>1457</v>
      </c>
      <c r="C22512" t="s">
        <v>5912</v>
      </c>
      <c r="D22512" t="s">
        <v>36327</v>
      </c>
      <c r="E22512" t="s">
        <v>213</v>
      </c>
      <c r="F22512" s="2" t="str">
        <f>HYPERLINK("http://www.otzar.org/book.asp?63425","מורה המורה")</f>
        <v>מורה המורה</v>
      </c>
    </row>
    <row r="22513" spans="1:6" x14ac:dyDescent="0.2">
      <c r="A22513" t="s">
        <v>36328</v>
      </c>
      <c r="B22513" t="s">
        <v>1320</v>
      </c>
      <c r="C22513" t="s">
        <v>1640</v>
      </c>
      <c r="D22513" t="s">
        <v>216</v>
      </c>
      <c r="F22513" s="2" t="str">
        <f>HYPERLINK("http://www.otzar.org/book.asp?612555","מורה הנבוכים &lt;תרגום אלחריזי&gt; - ב")</f>
        <v>מורה הנבוכים &lt;תרגום אלחריזי&gt; - ב</v>
      </c>
    </row>
    <row r="22514" spans="1:6" x14ac:dyDescent="0.2">
      <c r="A22514" t="s">
        <v>36329</v>
      </c>
      <c r="B22514" t="s">
        <v>1320</v>
      </c>
      <c r="C22514" t="s">
        <v>843</v>
      </c>
      <c r="D22514" t="s">
        <v>3208</v>
      </c>
      <c r="E22514" t="s">
        <v>714</v>
      </c>
      <c r="F22514" s="2" t="str">
        <f>HYPERLINK("http://www.otzar.org/book.asp?197409","מורה הנבוכים")</f>
        <v>מורה הנבוכים</v>
      </c>
    </row>
    <row r="22515" spans="1:6" x14ac:dyDescent="0.2">
      <c r="A22515" t="s">
        <v>36330</v>
      </c>
      <c r="B22515" t="s">
        <v>36331</v>
      </c>
      <c r="C22515" t="s">
        <v>767</v>
      </c>
      <c r="D22515" t="s">
        <v>21</v>
      </c>
      <c r="E22515" t="s">
        <v>15</v>
      </c>
      <c r="F22515" s="2" t="str">
        <f>HYPERLINK("http://www.otzar.org/book.asp?194917","מורה הנער")</f>
        <v>מורה הנער</v>
      </c>
    </row>
    <row r="22516" spans="1:6" x14ac:dyDescent="0.2">
      <c r="A22516" t="s">
        <v>36332</v>
      </c>
      <c r="B22516" t="s">
        <v>36333</v>
      </c>
      <c r="C22516" t="s">
        <v>553</v>
      </c>
      <c r="D22516" t="s">
        <v>14</v>
      </c>
      <c r="F22516" s="2" t="str">
        <f>HYPERLINK("http://www.otzar.org/book.asp?183411","מורה הפרישות ומדריך הפשיטות")</f>
        <v>מורה הפרישות ומדריך הפשיטות</v>
      </c>
    </row>
    <row r="22517" spans="1:6" x14ac:dyDescent="0.2">
      <c r="A22517" t="s">
        <v>36334</v>
      </c>
      <c r="B22517" t="s">
        <v>36335</v>
      </c>
      <c r="C22517" t="s">
        <v>506</v>
      </c>
      <c r="D22517" t="s">
        <v>8545</v>
      </c>
      <c r="E22517" t="s">
        <v>213</v>
      </c>
      <c r="F22517" s="2" t="str">
        <f>HYPERLINK("http://www.otzar.org/book.asp?196036","מורה התועים")</f>
        <v>מורה התועים</v>
      </c>
    </row>
    <row r="22518" spans="1:6" x14ac:dyDescent="0.2">
      <c r="A22518" t="s">
        <v>36336</v>
      </c>
      <c r="B22518" t="s">
        <v>36337</v>
      </c>
      <c r="C22518" t="s">
        <v>1208</v>
      </c>
      <c r="D22518" t="s">
        <v>14</v>
      </c>
      <c r="E22518" t="s">
        <v>3567</v>
      </c>
      <c r="F22518" s="2" t="str">
        <f>HYPERLINK("http://www.otzar.org/book.asp?15310","מורה לזובחים &lt;מקור לזובחים&gt;")</f>
        <v>מורה לזובחים &lt;מקור לזובחים&gt;</v>
      </c>
    </row>
    <row r="22519" spans="1:6" x14ac:dyDescent="0.2">
      <c r="A22519" t="s">
        <v>36338</v>
      </c>
      <c r="B22519" t="s">
        <v>9496</v>
      </c>
      <c r="C22519" t="s">
        <v>151</v>
      </c>
      <c r="D22519" t="s">
        <v>780</v>
      </c>
      <c r="E22519" t="s">
        <v>213</v>
      </c>
      <c r="F22519" s="2" t="str">
        <f>HYPERLINK("http://www.otzar.org/book.asp?622111","מורה לרבים")</f>
        <v>מורה לרבים</v>
      </c>
    </row>
    <row r="22520" spans="1:6" x14ac:dyDescent="0.2">
      <c r="A22520" t="s">
        <v>36339</v>
      </c>
      <c r="B22520" t="s">
        <v>36340</v>
      </c>
      <c r="C22520" t="s">
        <v>812</v>
      </c>
      <c r="D22520" t="s">
        <v>3208</v>
      </c>
      <c r="E22520" t="s">
        <v>213</v>
      </c>
      <c r="F22520" s="2" t="str">
        <f>HYPERLINK("http://www.otzar.org/book.asp?196024","מורה לתועי הזמן")</f>
        <v>מורה לתועי הזמן</v>
      </c>
    </row>
    <row r="22521" spans="1:6" x14ac:dyDescent="0.2">
      <c r="A22521" t="s">
        <v>36341</v>
      </c>
      <c r="B22521" t="s">
        <v>36342</v>
      </c>
      <c r="C22521" t="s">
        <v>462</v>
      </c>
      <c r="D22521" t="s">
        <v>56</v>
      </c>
      <c r="E22521" t="s">
        <v>81</v>
      </c>
      <c r="F22521" s="2" t="str">
        <f>HYPERLINK("http://www.otzar.org/book.asp?103384","מורה נבוכי הדור")</f>
        <v>מורה נבוכי הדור</v>
      </c>
    </row>
    <row r="22522" spans="1:6" x14ac:dyDescent="0.2">
      <c r="A22522" t="s">
        <v>36343</v>
      </c>
      <c r="B22522" t="s">
        <v>36344</v>
      </c>
      <c r="C22522" t="s">
        <v>2550</v>
      </c>
      <c r="D22522" t="s">
        <v>4352</v>
      </c>
      <c r="E22522" t="s">
        <v>241</v>
      </c>
      <c r="F22522" s="2" t="str">
        <f>HYPERLINK("http://www.otzar.org/book.asp?604258","מורה נבוכים &lt;תרגום בגרמנית&gt;")</f>
        <v>מורה נבוכים &lt;תרגום בגרמנית&gt;</v>
      </c>
    </row>
    <row r="22523" spans="1:6" x14ac:dyDescent="0.2">
      <c r="A22523" t="s">
        <v>36345</v>
      </c>
      <c r="B22523" t="s">
        <v>1320</v>
      </c>
      <c r="C22523" t="s">
        <v>15262</v>
      </c>
      <c r="D22523" t="s">
        <v>1324</v>
      </c>
      <c r="F22523" s="2" t="str">
        <f>HYPERLINK("http://www.otzar.org/book.asp?614580","מורה נבוכים &lt;אפודי-שם טוב&gt;")</f>
        <v>מורה נבוכים &lt;אפודי-שם טוב&gt;</v>
      </c>
    </row>
    <row r="22524" spans="1:6" x14ac:dyDescent="0.2">
      <c r="A22524" t="s">
        <v>36346</v>
      </c>
      <c r="B22524" t="s">
        <v>1320</v>
      </c>
      <c r="C22524" t="s">
        <v>3635</v>
      </c>
      <c r="D22524" t="s">
        <v>5665</v>
      </c>
      <c r="E22524" t="s">
        <v>241</v>
      </c>
      <c r="F22524" s="2" t="str">
        <f>HYPERLINK("http://www.otzar.org/book.asp?102412","מורה נבוכים &lt;גבעת המורה, נורבוני&gt;")</f>
        <v>מורה נבוכים &lt;גבעת המורה, נורבוני&gt;</v>
      </c>
    </row>
    <row r="22525" spans="1:6" x14ac:dyDescent="0.2">
      <c r="A22525" t="s">
        <v>36347</v>
      </c>
      <c r="B22525" t="s">
        <v>1320</v>
      </c>
      <c r="C22525" t="s">
        <v>36348</v>
      </c>
      <c r="D22525" t="s">
        <v>36349</v>
      </c>
      <c r="E22525" t="s">
        <v>241</v>
      </c>
      <c r="F22525" s="2" t="str">
        <f>HYPERLINK("http://www.otzar.org/book.asp?623348","מורה נבוכים &lt;דפוס למברג&gt; - ג")</f>
        <v>מורה נבוכים &lt;דפוס למברג&gt; - ג</v>
      </c>
    </row>
    <row r="22526" spans="1:6" x14ac:dyDescent="0.2">
      <c r="A22526" t="s">
        <v>36350</v>
      </c>
      <c r="B22526" t="s">
        <v>1320</v>
      </c>
      <c r="C22526" t="s">
        <v>1166</v>
      </c>
      <c r="D22526" t="s">
        <v>344</v>
      </c>
      <c r="E22526" t="s">
        <v>714</v>
      </c>
      <c r="F22526" s="2" t="str">
        <f>HYPERLINK("http://www.otzar.org/book.asp?171349","מורה נבוכים &lt;הערות ד""ר שייער&gt;")</f>
        <v>מורה נבוכים &lt;הערות ד"ר שייער&gt;</v>
      </c>
    </row>
    <row r="22527" spans="1:6" x14ac:dyDescent="0.2">
      <c r="A22527" t="s">
        <v>36351</v>
      </c>
      <c r="B22527" t="s">
        <v>1320</v>
      </c>
      <c r="C22527" t="s">
        <v>6052</v>
      </c>
      <c r="D22527" t="s">
        <v>36352</v>
      </c>
      <c r="E22527" t="s">
        <v>241</v>
      </c>
      <c r="F22527" s="2" t="str">
        <f>HYPERLINK("http://www.otzar.org/book.asp?623344","מורה נבוכים &lt;עברית וגרמנית&gt; - ג")</f>
        <v>מורה נבוכים &lt;עברית וגרמנית&gt; - ג</v>
      </c>
    </row>
    <row r="22528" spans="1:6" x14ac:dyDescent="0.2">
      <c r="A22528" t="s">
        <v>36353</v>
      </c>
      <c r="B22528" t="s">
        <v>1320</v>
      </c>
      <c r="C22528" t="s">
        <v>752</v>
      </c>
      <c r="D22528" t="s">
        <v>283</v>
      </c>
      <c r="E22528" t="s">
        <v>213</v>
      </c>
      <c r="F22528" s="2" t="str">
        <f>HYPERLINK("http://www.otzar.org/book.asp?12862","מורה נבוכים &lt;שם טוב, אפודי, קרשקש, אברבנאל&gt; - 2 כר'")</f>
        <v>מורה נבוכים &lt;שם טוב, אפודי, קרשקש, אברבנאל&gt; - 2 כר'</v>
      </c>
    </row>
    <row r="22529" spans="1:6" x14ac:dyDescent="0.2">
      <c r="A22529" t="s">
        <v>36354</v>
      </c>
      <c r="B22529" t="s">
        <v>27313</v>
      </c>
      <c r="C22529" t="s">
        <v>37</v>
      </c>
      <c r="D22529" t="s">
        <v>412</v>
      </c>
      <c r="F22529" s="2" t="str">
        <f>HYPERLINK("http://www.otzar.org/book.asp?615986","מורה נבוכים &lt;חשב האפד&gt; - א")</f>
        <v>מורה נבוכים &lt;חשב האפד&gt; - א</v>
      </c>
    </row>
    <row r="22530" spans="1:6" x14ac:dyDescent="0.2">
      <c r="A22530" t="s">
        <v>36355</v>
      </c>
      <c r="B22530" t="s">
        <v>1320</v>
      </c>
      <c r="C22530" t="s">
        <v>36356</v>
      </c>
      <c r="D22530" t="s">
        <v>563</v>
      </c>
      <c r="E22530" t="s">
        <v>241</v>
      </c>
      <c r="F22530" s="2" t="str">
        <f>HYPERLINK("http://www.otzar.org/book.asp?23721","מורה נבוכים - 10 כר'")</f>
        <v>מורה נבוכים - 10 כר'</v>
      </c>
    </row>
    <row r="22531" spans="1:6" x14ac:dyDescent="0.2">
      <c r="A22531" t="s">
        <v>36357</v>
      </c>
      <c r="B22531" t="s">
        <v>36358</v>
      </c>
      <c r="C22531" t="s">
        <v>2488</v>
      </c>
      <c r="D22531" t="s">
        <v>544</v>
      </c>
      <c r="E22531" t="s">
        <v>15</v>
      </c>
      <c r="F22531" s="2" t="str">
        <f>HYPERLINK("http://www.otzar.org/book.asp?101110","מורה צדק")</f>
        <v>מורה צדק</v>
      </c>
    </row>
    <row r="22532" spans="1:6" x14ac:dyDescent="0.2">
      <c r="A22532" t="s">
        <v>36357</v>
      </c>
      <c r="B22532" t="s">
        <v>36359</v>
      </c>
      <c r="C22532" t="s">
        <v>4910</v>
      </c>
      <c r="D22532" t="s">
        <v>76</v>
      </c>
      <c r="E22532" t="s">
        <v>674</v>
      </c>
      <c r="F22532" s="2" t="str">
        <f>HYPERLINK("http://www.otzar.org/book.asp?19043","מורה צדק")</f>
        <v>מורה צדק</v>
      </c>
    </row>
    <row r="22533" spans="1:6" x14ac:dyDescent="0.2">
      <c r="A22533" t="s">
        <v>36357</v>
      </c>
      <c r="B22533" t="s">
        <v>17893</v>
      </c>
      <c r="C22533" t="s">
        <v>411</v>
      </c>
      <c r="D22533" t="s">
        <v>20</v>
      </c>
      <c r="E22533" t="s">
        <v>104</v>
      </c>
      <c r="F22533" s="2" t="str">
        <f>HYPERLINK("http://www.otzar.org/book.asp?182942","מורה צדק")</f>
        <v>מורה צדק</v>
      </c>
    </row>
    <row r="22534" spans="1:6" x14ac:dyDescent="0.2">
      <c r="A22534" t="s">
        <v>36357</v>
      </c>
      <c r="B22534" t="s">
        <v>36360</v>
      </c>
      <c r="C22534" t="s">
        <v>429</v>
      </c>
      <c r="D22534" t="s">
        <v>1365</v>
      </c>
      <c r="F22534" s="2" t="str">
        <f>HYPERLINK("http://www.otzar.org/book.asp?620228","מורה צדק")</f>
        <v>מורה צדק</v>
      </c>
    </row>
    <row r="22535" spans="1:6" x14ac:dyDescent="0.2">
      <c r="A22535" t="s">
        <v>36357</v>
      </c>
      <c r="B22535" t="s">
        <v>36361</v>
      </c>
      <c r="C22535" t="s">
        <v>4287</v>
      </c>
      <c r="D22535" t="s">
        <v>1023</v>
      </c>
      <c r="E22535" t="s">
        <v>104</v>
      </c>
      <c r="F22535" s="2" t="str">
        <f>HYPERLINK("http://www.otzar.org/book.asp?23521","מורה צדק")</f>
        <v>מורה צדק</v>
      </c>
    </row>
    <row r="22536" spans="1:6" x14ac:dyDescent="0.2">
      <c r="A22536" t="s">
        <v>36362</v>
      </c>
      <c r="B22536" t="s">
        <v>14991</v>
      </c>
      <c r="C22536" t="s">
        <v>36363</v>
      </c>
      <c r="D22536" t="s">
        <v>283</v>
      </c>
      <c r="E22536" t="s">
        <v>15</v>
      </c>
      <c r="F22536" s="2" t="str">
        <f>HYPERLINK("http://www.otzar.org/book.asp?174547","מורה קריאת התורה")</f>
        <v>מורה קריאת התורה</v>
      </c>
    </row>
    <row r="22537" spans="1:6" x14ac:dyDescent="0.2">
      <c r="A22537" t="s">
        <v>36364</v>
      </c>
      <c r="B22537" t="s">
        <v>36365</v>
      </c>
      <c r="C22537" t="s">
        <v>3205</v>
      </c>
      <c r="D22537" t="s">
        <v>260</v>
      </c>
      <c r="E22537" t="s">
        <v>119</v>
      </c>
      <c r="F22537" s="2" t="str">
        <f>HYPERLINK("http://www.otzar.org/book.asp?156175","מורי דעה")</f>
        <v>מורי דעה</v>
      </c>
    </row>
    <row r="22538" spans="1:6" x14ac:dyDescent="0.2">
      <c r="A22538" t="s">
        <v>36366</v>
      </c>
      <c r="B22538" t="s">
        <v>36367</v>
      </c>
      <c r="C22538" t="s">
        <v>313</v>
      </c>
      <c r="D22538" t="s">
        <v>1907</v>
      </c>
      <c r="E22538" t="s">
        <v>119</v>
      </c>
      <c r="F22538" s="2" t="str">
        <f>HYPERLINK("http://www.otzar.org/book.asp?144958","מורי האומה - 6 כר'")</f>
        <v>מורי האומה - 6 כר'</v>
      </c>
    </row>
    <row r="22539" spans="1:6" x14ac:dyDescent="0.2">
      <c r="A22539" t="s">
        <v>36368</v>
      </c>
      <c r="B22539" t="s">
        <v>16878</v>
      </c>
      <c r="C22539" t="s">
        <v>111</v>
      </c>
      <c r="D22539" t="s">
        <v>27</v>
      </c>
      <c r="E22539" t="s">
        <v>104</v>
      </c>
      <c r="F22539" s="2" t="str">
        <f>HYPERLINK("http://www.otzar.org/book.asp?621464","מוריה &lt;מהדורה חדשה&gt;")</f>
        <v>מוריה &lt;מהדורה חדשה&gt;</v>
      </c>
    </row>
    <row r="22540" spans="1:6" x14ac:dyDescent="0.2">
      <c r="A22540" t="s">
        <v>36369</v>
      </c>
      <c r="B22540" t="s">
        <v>36370</v>
      </c>
      <c r="C22540" t="s">
        <v>36371</v>
      </c>
      <c r="D22540" t="s">
        <v>21</v>
      </c>
      <c r="E22540" t="s">
        <v>202</v>
      </c>
      <c r="F22540" s="2" t="str">
        <f>HYPERLINK("http://www.otzar.org/book.asp?197865","מוריה &lt;מפעל התורה&gt; - ה")</f>
        <v>מוריה &lt;מפעל התורה&gt; - ה</v>
      </c>
    </row>
    <row r="22541" spans="1:6" x14ac:dyDescent="0.2">
      <c r="A22541" t="s">
        <v>36372</v>
      </c>
      <c r="B22541" t="s">
        <v>36373</v>
      </c>
      <c r="C22541" t="s">
        <v>99</v>
      </c>
      <c r="D22541" t="s">
        <v>20713</v>
      </c>
      <c r="E22541" t="s">
        <v>202</v>
      </c>
      <c r="F22541" s="2" t="str">
        <f>HYPERLINK("http://www.otzar.org/book.asp?611917","מוריה - שנה א חוברת ט-י")</f>
        <v>מוריה - שנה א חוברת ט-י</v>
      </c>
    </row>
    <row r="22542" spans="1:6" x14ac:dyDescent="0.2">
      <c r="A22542" t="s">
        <v>36374</v>
      </c>
      <c r="B22542" t="s">
        <v>36375</v>
      </c>
      <c r="C22542" t="s">
        <v>427</v>
      </c>
      <c r="D22542" t="s">
        <v>14</v>
      </c>
      <c r="E22542" t="s">
        <v>202</v>
      </c>
      <c r="F22542" s="2" t="str">
        <f>HYPERLINK("http://www.otzar.org/book.asp?108001","מוריה - 192 כר'")</f>
        <v>מוריה - 192 כר'</v>
      </c>
    </row>
    <row r="22543" spans="1:6" x14ac:dyDescent="0.2">
      <c r="A22543" t="s">
        <v>36376</v>
      </c>
      <c r="B22543" t="s">
        <v>32181</v>
      </c>
      <c r="C22543" t="s">
        <v>20</v>
      </c>
      <c r="D22543" t="s">
        <v>14</v>
      </c>
      <c r="E22543" t="s">
        <v>119</v>
      </c>
      <c r="F22543" s="2" t="str">
        <f>HYPERLINK("http://www.otzar.org/book.asp?171089","מורנו ורבנו הגאון רבי חיים שמואלביץ")</f>
        <v>מורנו ורבנו הגאון רבי חיים שמואלביץ</v>
      </c>
    </row>
    <row r="22544" spans="1:6" x14ac:dyDescent="0.2">
      <c r="A22544" t="s">
        <v>24041</v>
      </c>
      <c r="B22544" t="s">
        <v>36377</v>
      </c>
      <c r="C22544" t="s">
        <v>68</v>
      </c>
      <c r="D22544" t="s">
        <v>423</v>
      </c>
      <c r="E22544" t="s">
        <v>202</v>
      </c>
      <c r="F22544" s="2" t="str">
        <f>HYPERLINK("http://www.otzar.org/book.asp?174677","מורשה להנחיל")</f>
        <v>מורשה להנחיל</v>
      </c>
    </row>
    <row r="22545" spans="1:6" x14ac:dyDescent="0.2">
      <c r="A22545" t="s">
        <v>36378</v>
      </c>
      <c r="B22545" t="s">
        <v>19139</v>
      </c>
      <c r="C22545" t="s">
        <v>151</v>
      </c>
      <c r="D22545" t="s">
        <v>90</v>
      </c>
      <c r="F22545" s="2" t="str">
        <f>HYPERLINK("http://www.otzar.org/book.asp?615379","מורשה קהילת יעקב")</f>
        <v>מורשה קהילת יעקב</v>
      </c>
    </row>
    <row r="22546" spans="1:6" x14ac:dyDescent="0.2">
      <c r="A22546" t="s">
        <v>36379</v>
      </c>
      <c r="B22546" t="s">
        <v>36380</v>
      </c>
      <c r="C22546" t="s">
        <v>129</v>
      </c>
      <c r="D22546" t="s">
        <v>14</v>
      </c>
      <c r="E22546" t="s">
        <v>202</v>
      </c>
      <c r="F22546" s="2" t="str">
        <f>HYPERLINK("http://www.otzar.org/book.asp?169654","מורשה - 10 כר'")</f>
        <v>מורשה - 10 כר'</v>
      </c>
    </row>
    <row r="22547" spans="1:6" x14ac:dyDescent="0.2">
      <c r="A22547" t="s">
        <v>36381</v>
      </c>
      <c r="B22547" t="s">
        <v>36382</v>
      </c>
      <c r="C22547" t="s">
        <v>23</v>
      </c>
      <c r="D22547" t="s">
        <v>36383</v>
      </c>
      <c r="E22547" t="s">
        <v>158</v>
      </c>
      <c r="F22547" s="2" t="str">
        <f>HYPERLINK("http://www.otzar.org/book.asp?623398","מורשה - 5 כר'")</f>
        <v>מורשה - 5 כר'</v>
      </c>
    </row>
    <row r="22548" spans="1:6" x14ac:dyDescent="0.2">
      <c r="A22548" t="s">
        <v>36384</v>
      </c>
      <c r="B22548" t="s">
        <v>1750</v>
      </c>
      <c r="C22548" t="s">
        <v>1619</v>
      </c>
      <c r="D22548" t="s">
        <v>14</v>
      </c>
      <c r="E22548" t="s">
        <v>384</v>
      </c>
      <c r="F22548" s="2" t="str">
        <f>HYPERLINK("http://www.otzar.org/book.asp?171979","מורשה - 4 כר'")</f>
        <v>מורשה - 4 כר'</v>
      </c>
    </row>
    <row r="22549" spans="1:6" x14ac:dyDescent="0.2">
      <c r="A22549" t="s">
        <v>36385</v>
      </c>
      <c r="B22549" t="s">
        <v>204</v>
      </c>
      <c r="C22549" t="s">
        <v>51</v>
      </c>
      <c r="D22549" t="s">
        <v>14</v>
      </c>
      <c r="E22549" t="s">
        <v>158</v>
      </c>
      <c r="F22549" s="2" t="str">
        <f>HYPERLINK("http://www.otzar.org/book.asp?22704","מורשה")</f>
        <v>מורשה</v>
      </c>
    </row>
    <row r="22550" spans="1:6" x14ac:dyDescent="0.2">
      <c r="A22550" t="s">
        <v>36386</v>
      </c>
      <c r="B22550" t="s">
        <v>36387</v>
      </c>
      <c r="C22550" t="s">
        <v>103</v>
      </c>
      <c r="D22550" t="s">
        <v>90</v>
      </c>
      <c r="E22550" t="s">
        <v>5580</v>
      </c>
      <c r="F22550" s="2" t="str">
        <f>HYPERLINK("http://www.otzar.org/book.asp?28228","מורשת אב - הרב אליקים ישראל הכהן מונק זצ""ל")</f>
        <v>מורשת אב - הרב אליקים ישראל הכהן מונק זצ"ל</v>
      </c>
    </row>
    <row r="22551" spans="1:6" x14ac:dyDescent="0.2">
      <c r="A22551" t="s">
        <v>36388</v>
      </c>
      <c r="B22551" t="s">
        <v>36389</v>
      </c>
      <c r="C22551" t="s">
        <v>383</v>
      </c>
      <c r="D22551" t="s">
        <v>14</v>
      </c>
      <c r="E22551" t="s">
        <v>579</v>
      </c>
      <c r="F22551" s="2" t="str">
        <f>HYPERLINK("http://www.otzar.org/book.asp?167423","מורשת אבות - 5 כר'")</f>
        <v>מורשת אבות - 5 כר'</v>
      </c>
    </row>
    <row r="22552" spans="1:6" x14ac:dyDescent="0.2">
      <c r="A22552" t="s">
        <v>36390</v>
      </c>
      <c r="B22552" t="s">
        <v>36391</v>
      </c>
      <c r="C22552" t="s">
        <v>1811</v>
      </c>
      <c r="D22552" t="s">
        <v>52</v>
      </c>
      <c r="F22552" s="2" t="str">
        <f>HYPERLINK("http://www.otzar.org/book.asp?180523","מורשת אבות - 35 כר'")</f>
        <v>מורשת אבות - 35 כר'</v>
      </c>
    </row>
    <row r="22553" spans="1:6" x14ac:dyDescent="0.2">
      <c r="A22553" t="s">
        <v>19309</v>
      </c>
      <c r="B22553" t="s">
        <v>36392</v>
      </c>
      <c r="C22553" t="s">
        <v>1570</v>
      </c>
      <c r="D22553" t="s">
        <v>412</v>
      </c>
      <c r="E22553" t="s">
        <v>474</v>
      </c>
      <c r="F22553" s="2" t="str">
        <f>HYPERLINK("http://www.otzar.org/book.asp?172965","מורשת אבות")</f>
        <v>מורשת אבות</v>
      </c>
    </row>
    <row r="22554" spans="1:6" x14ac:dyDescent="0.2">
      <c r="A22554" t="s">
        <v>36393</v>
      </c>
      <c r="B22554" t="s">
        <v>36394</v>
      </c>
      <c r="C22554" t="s">
        <v>313</v>
      </c>
      <c r="D22554" t="s">
        <v>486</v>
      </c>
      <c r="E22554" t="s">
        <v>158</v>
      </c>
      <c r="F22554" s="2" t="str">
        <f>HYPERLINK("http://www.otzar.org/book.asp?181346","מורשת גד - 3 כר'")</f>
        <v>מורשת גד - 3 כר'</v>
      </c>
    </row>
    <row r="22555" spans="1:6" x14ac:dyDescent="0.2">
      <c r="A22555" t="s">
        <v>36395</v>
      </c>
      <c r="B22555" t="s">
        <v>36396</v>
      </c>
      <c r="C22555" t="s">
        <v>114</v>
      </c>
      <c r="D22555" t="s">
        <v>14</v>
      </c>
      <c r="E22555" t="s">
        <v>202</v>
      </c>
      <c r="F22555" s="2" t="str">
        <f>HYPERLINK("http://www.otzar.org/book.asp?166480","מורשת חיים")</f>
        <v>מורשת חיים</v>
      </c>
    </row>
    <row r="22556" spans="1:6" x14ac:dyDescent="0.2">
      <c r="A22556" t="s">
        <v>36395</v>
      </c>
      <c r="B22556" t="s">
        <v>36397</v>
      </c>
      <c r="C22556" t="s">
        <v>1811</v>
      </c>
      <c r="D22556" t="s">
        <v>52</v>
      </c>
      <c r="E22556" t="s">
        <v>10768</v>
      </c>
      <c r="F22556" s="2" t="str">
        <f>HYPERLINK("http://www.otzar.org/book.asp?176374","מורשת חיים")</f>
        <v>מורשת חיים</v>
      </c>
    </row>
    <row r="22557" spans="1:6" x14ac:dyDescent="0.2">
      <c r="A22557" t="s">
        <v>36398</v>
      </c>
      <c r="B22557" t="s">
        <v>34136</v>
      </c>
      <c r="C22557" t="s">
        <v>63</v>
      </c>
      <c r="D22557" t="s">
        <v>52</v>
      </c>
      <c r="E22557" t="s">
        <v>144</v>
      </c>
      <c r="F22557" s="2" t="str">
        <f>HYPERLINK("http://www.otzar.org/book.asp?143931","מורשת יעקב - 5 כר'")</f>
        <v>מורשת יעקב - 5 כר'</v>
      </c>
    </row>
    <row r="22558" spans="1:6" x14ac:dyDescent="0.2">
      <c r="A22558" t="s">
        <v>36399</v>
      </c>
      <c r="B22558" t="s">
        <v>2222</v>
      </c>
      <c r="C22558" t="s">
        <v>189</v>
      </c>
      <c r="D22558" t="s">
        <v>14</v>
      </c>
      <c r="E22558" t="s">
        <v>241</v>
      </c>
      <c r="F22558" s="2" t="str">
        <f>HYPERLINK("http://www.otzar.org/book.asp?50478","מורשת יעקב")</f>
        <v>מורשת יעקב</v>
      </c>
    </row>
    <row r="22559" spans="1:6" x14ac:dyDescent="0.2">
      <c r="A22559" t="s">
        <v>36400</v>
      </c>
      <c r="B22559" t="s">
        <v>36401</v>
      </c>
      <c r="C22559" t="s">
        <v>1208</v>
      </c>
      <c r="D22559" t="s">
        <v>852</v>
      </c>
      <c r="E22559" t="s">
        <v>202</v>
      </c>
      <c r="F22559" s="2" t="str">
        <f>HYPERLINK("http://www.otzar.org/book.asp?607035","מורשת יעקב - 3 כר'")</f>
        <v>מורשת יעקב - 3 כר'</v>
      </c>
    </row>
    <row r="22560" spans="1:6" x14ac:dyDescent="0.2">
      <c r="A22560" t="s">
        <v>36402</v>
      </c>
      <c r="B22560" t="s">
        <v>11753</v>
      </c>
      <c r="C22560" t="s">
        <v>454</v>
      </c>
      <c r="D22560" t="s">
        <v>90</v>
      </c>
      <c r="E22560" t="s">
        <v>104</v>
      </c>
      <c r="F22560" s="2" t="str">
        <f>HYPERLINK("http://www.otzar.org/book.asp?85913","מורשת ישראל")</f>
        <v>מורשת ישראל</v>
      </c>
    </row>
    <row r="22561" spans="1:6" x14ac:dyDescent="0.2">
      <c r="A22561" t="s">
        <v>36403</v>
      </c>
      <c r="B22561" t="s">
        <v>36404</v>
      </c>
      <c r="C22561" t="s">
        <v>114</v>
      </c>
      <c r="D22561" t="s">
        <v>90</v>
      </c>
      <c r="E22561" t="s">
        <v>144</v>
      </c>
      <c r="F22561" s="2" t="str">
        <f>HYPERLINK("http://www.otzar.org/book.asp?160047","מורשת משה אהרן")</f>
        <v>מורשת משה אהרן</v>
      </c>
    </row>
    <row r="22562" spans="1:6" x14ac:dyDescent="0.2">
      <c r="A22562" t="s">
        <v>36405</v>
      </c>
      <c r="B22562" t="s">
        <v>36406</v>
      </c>
      <c r="C22562" t="s">
        <v>624</v>
      </c>
      <c r="D22562" t="s">
        <v>721</v>
      </c>
      <c r="E22562" t="s">
        <v>8551</v>
      </c>
      <c r="F22562" s="2" t="str">
        <f>HYPERLINK("http://www.otzar.org/book.asp?174473","מורשת משה")</f>
        <v>מורשת משה</v>
      </c>
    </row>
    <row r="22563" spans="1:6" x14ac:dyDescent="0.2">
      <c r="A22563" t="s">
        <v>36405</v>
      </c>
      <c r="B22563" t="s">
        <v>36407</v>
      </c>
      <c r="C22563" t="s">
        <v>989</v>
      </c>
      <c r="D22563" t="s">
        <v>14</v>
      </c>
      <c r="E22563" t="s">
        <v>396</v>
      </c>
      <c r="F22563" s="2" t="str">
        <f>HYPERLINK("http://www.otzar.org/book.asp?16623","מורשת משה")</f>
        <v>מורשת משה</v>
      </c>
    </row>
    <row r="22564" spans="1:6" x14ac:dyDescent="0.2">
      <c r="A22564" t="s">
        <v>36408</v>
      </c>
      <c r="B22564" t="s">
        <v>36409</v>
      </c>
      <c r="C22564" t="s">
        <v>133</v>
      </c>
      <c r="D22564" t="s">
        <v>14</v>
      </c>
      <c r="E22564" t="s">
        <v>144</v>
      </c>
      <c r="F22564" s="2" t="str">
        <f>HYPERLINK("http://www.otzar.org/book.asp?629751","מורשת משה - 17 כר'")</f>
        <v>מורשת משה - 17 כר'</v>
      </c>
    </row>
    <row r="22565" spans="1:6" x14ac:dyDescent="0.2">
      <c r="A22565" t="s">
        <v>36410</v>
      </c>
      <c r="B22565" t="s">
        <v>36411</v>
      </c>
      <c r="C22565" t="s">
        <v>553</v>
      </c>
      <c r="D22565" t="s">
        <v>1205</v>
      </c>
      <c r="E22565" t="s">
        <v>119</v>
      </c>
      <c r="F22565" s="2" t="str">
        <f>HYPERLINK("http://www.otzar.org/book.asp?155103","מורשת רבני הונגריה")</f>
        <v>מורשת רבני הונגריה</v>
      </c>
    </row>
    <row r="22566" spans="1:6" x14ac:dyDescent="0.2">
      <c r="A22566" t="s">
        <v>36412</v>
      </c>
      <c r="B22566" t="s">
        <v>36413</v>
      </c>
      <c r="C22566" t="s">
        <v>767</v>
      </c>
      <c r="D22566" t="s">
        <v>52</v>
      </c>
      <c r="F22566" s="2" t="str">
        <f>HYPERLINK("http://www.otzar.org/book.asp?182858","מורשת - 9 כר'")</f>
        <v>מורשת - 9 כר'</v>
      </c>
    </row>
    <row r="22567" spans="1:6" x14ac:dyDescent="0.2">
      <c r="A22567" t="s">
        <v>36414</v>
      </c>
      <c r="B22567" t="s">
        <v>11537</v>
      </c>
      <c r="C22567" t="s">
        <v>585</v>
      </c>
      <c r="D22567" t="s">
        <v>14</v>
      </c>
      <c r="E22567" t="s">
        <v>158</v>
      </c>
      <c r="F22567" s="2" t="str">
        <f>HYPERLINK("http://www.otzar.org/book.asp?159029","מושב זקנים - 2 כר'")</f>
        <v>מושב זקנים - 2 כר'</v>
      </c>
    </row>
    <row r="22568" spans="1:6" x14ac:dyDescent="0.2">
      <c r="A22568" t="s">
        <v>36415</v>
      </c>
      <c r="B22568" t="s">
        <v>36416</v>
      </c>
      <c r="C22568" t="s">
        <v>46</v>
      </c>
      <c r="D22568" t="s">
        <v>260</v>
      </c>
      <c r="E22568" t="s">
        <v>8049</v>
      </c>
      <c r="F22568" s="2" t="str">
        <f>HYPERLINK("http://www.otzar.org/book.asp?11517","מושגי החיים")</f>
        <v>מושגי החיים</v>
      </c>
    </row>
    <row r="22569" spans="1:6" x14ac:dyDescent="0.2">
      <c r="A22569" t="s">
        <v>36417</v>
      </c>
      <c r="B22569" t="s">
        <v>11818</v>
      </c>
      <c r="C22569" t="s">
        <v>619</v>
      </c>
      <c r="D22569" t="s">
        <v>27</v>
      </c>
      <c r="E22569" t="s">
        <v>213</v>
      </c>
      <c r="F22569" s="2" t="str">
        <f>HYPERLINK("http://www.otzar.org/book.asp?103386","מושגי שוא והאמת")</f>
        <v>מושגי שוא והאמת</v>
      </c>
    </row>
    <row r="22570" spans="1:6" x14ac:dyDescent="0.2">
      <c r="A22570" t="s">
        <v>36418</v>
      </c>
      <c r="B22570" t="s">
        <v>36419</v>
      </c>
      <c r="C22570" t="s">
        <v>133</v>
      </c>
      <c r="D22570" t="s">
        <v>52</v>
      </c>
      <c r="E22570" t="s">
        <v>186</v>
      </c>
      <c r="F22570" s="2" t="str">
        <f>HYPERLINK("http://www.otzar.org/book.asp?176067","מושגים ונידונים בעניני קדשים")</f>
        <v>מושגים ונידונים בעניני קדשים</v>
      </c>
    </row>
    <row r="22571" spans="1:6" x14ac:dyDescent="0.2">
      <c r="A22571" t="s">
        <v>36420</v>
      </c>
      <c r="B22571" t="s">
        <v>16769</v>
      </c>
      <c r="C22571" t="s">
        <v>111</v>
      </c>
      <c r="D22571" t="s">
        <v>52</v>
      </c>
      <c r="E22571" t="s">
        <v>144</v>
      </c>
      <c r="F22571" s="2" t="str">
        <f>HYPERLINK("http://www.otzar.org/book.asp?630083","מושגים ונידונים - קדשים")</f>
        <v>מושגים ונידונים - קדשים</v>
      </c>
    </row>
    <row r="22572" spans="1:6" x14ac:dyDescent="0.2">
      <c r="A22572" t="s">
        <v>36421</v>
      </c>
      <c r="B22572" t="s">
        <v>36422</v>
      </c>
      <c r="C22572" t="s">
        <v>366</v>
      </c>
      <c r="D22572" t="s">
        <v>90</v>
      </c>
      <c r="E22572" t="s">
        <v>104</v>
      </c>
      <c r="F22572" s="2" t="str">
        <f>HYPERLINK("http://www.otzar.org/book.asp?605431","מושיב יחידים ביתה")</f>
        <v>מושיב יחידים ביתה</v>
      </c>
    </row>
    <row r="22573" spans="1:6" x14ac:dyDescent="0.2">
      <c r="A22573" t="s">
        <v>36421</v>
      </c>
      <c r="B22573" t="s">
        <v>4977</v>
      </c>
      <c r="C22573" t="s">
        <v>422</v>
      </c>
      <c r="D22573" t="s">
        <v>14</v>
      </c>
      <c r="E22573" t="s">
        <v>104</v>
      </c>
      <c r="F22573" s="2" t="str">
        <f>HYPERLINK("http://www.otzar.org/book.asp?153416","מושיב יחידים ביתה")</f>
        <v>מושיב יחידים ביתה</v>
      </c>
    </row>
    <row r="22574" spans="1:6" x14ac:dyDescent="0.2">
      <c r="A22574" t="s">
        <v>36423</v>
      </c>
      <c r="B22574" t="s">
        <v>13413</v>
      </c>
      <c r="C22574" t="s">
        <v>4202</v>
      </c>
      <c r="D22574" t="s">
        <v>49</v>
      </c>
      <c r="E22574" t="s">
        <v>213</v>
      </c>
      <c r="F22574" s="2" t="str">
        <f>HYPERLINK("http://www.otzar.org/book.asp?84514","מושיע חוסים")</f>
        <v>מושיע חוסים</v>
      </c>
    </row>
    <row r="22575" spans="1:6" x14ac:dyDescent="0.2">
      <c r="A22575" t="s">
        <v>36423</v>
      </c>
      <c r="B22575" t="s">
        <v>4211</v>
      </c>
      <c r="C22575" t="s">
        <v>624</v>
      </c>
      <c r="D22575" t="s">
        <v>14</v>
      </c>
      <c r="E22575" t="s">
        <v>1847</v>
      </c>
      <c r="F22575" s="2" t="str">
        <f>HYPERLINK("http://www.otzar.org/book.asp?50088","מושיע חוסים")</f>
        <v>מושיע חוסים</v>
      </c>
    </row>
    <row r="22576" spans="1:6" x14ac:dyDescent="0.2">
      <c r="A22576" t="s">
        <v>36424</v>
      </c>
      <c r="B22576" t="s">
        <v>36425</v>
      </c>
      <c r="C22576" t="s">
        <v>8256</v>
      </c>
      <c r="D22576" t="s">
        <v>49</v>
      </c>
      <c r="E22576" t="s">
        <v>1517</v>
      </c>
      <c r="F22576" s="2" t="str">
        <f>HYPERLINK("http://www.otzar.org/book.asp?63422","מושעות אל")</f>
        <v>מושעות אל</v>
      </c>
    </row>
    <row r="22577" spans="1:6" x14ac:dyDescent="0.2">
      <c r="A22577" t="s">
        <v>36426</v>
      </c>
      <c r="B22577" t="s">
        <v>36427</v>
      </c>
      <c r="C22577" t="s">
        <v>13138</v>
      </c>
      <c r="D22577" t="s">
        <v>49</v>
      </c>
      <c r="E22577" t="s">
        <v>219</v>
      </c>
      <c r="F22577" s="2" t="str">
        <f>HYPERLINK("http://www.otzar.org/book.asp?147220","מות בהסיר")</f>
        <v>מות בהסיר</v>
      </c>
    </row>
    <row r="22578" spans="1:6" x14ac:dyDescent="0.2">
      <c r="A22578" t="s">
        <v>36428</v>
      </c>
      <c r="B22578" t="s">
        <v>3727</v>
      </c>
      <c r="C22578" t="s">
        <v>111</v>
      </c>
      <c r="D22578" t="s">
        <v>52</v>
      </c>
      <c r="E22578" t="s">
        <v>3516</v>
      </c>
      <c r="F22578" s="2" t="str">
        <f>HYPERLINK("http://www.otzar.org/book.asp?627963","מותיב ומפרק - 3 כר'")</f>
        <v>מותיב ומפרק - 3 כר'</v>
      </c>
    </row>
    <row r="22579" spans="1:6" x14ac:dyDescent="0.2">
      <c r="A22579" t="s">
        <v>36429</v>
      </c>
      <c r="B22579" t="s">
        <v>36430</v>
      </c>
      <c r="C22579" t="s">
        <v>1246</v>
      </c>
      <c r="D22579" t="s">
        <v>9</v>
      </c>
      <c r="E22579" t="s">
        <v>1211</v>
      </c>
      <c r="F22579" s="2" t="str">
        <f>HYPERLINK("http://www.otzar.org/book.asp?101111","מותיב ומפרק")</f>
        <v>מותיב ומפרק</v>
      </c>
    </row>
    <row r="22580" spans="1:6" x14ac:dyDescent="0.2">
      <c r="A22580" t="s">
        <v>36431</v>
      </c>
      <c r="B22580" t="s">
        <v>4991</v>
      </c>
      <c r="C22580" t="s">
        <v>146</v>
      </c>
      <c r="D22580" t="s">
        <v>14</v>
      </c>
      <c r="E22580" t="s">
        <v>241</v>
      </c>
      <c r="F22580" s="2" t="str">
        <f>HYPERLINK("http://www.otzar.org/book.asp?166016","מותרות")</f>
        <v>מותרות</v>
      </c>
    </row>
    <row r="22581" spans="1:6" x14ac:dyDescent="0.2">
      <c r="A22581" t="s">
        <v>36432</v>
      </c>
      <c r="B22581" t="s">
        <v>13391</v>
      </c>
      <c r="C22581" t="s">
        <v>609</v>
      </c>
      <c r="D22581" t="s">
        <v>225</v>
      </c>
      <c r="E22581" t="s">
        <v>1157</v>
      </c>
      <c r="F22581" s="2" t="str">
        <f>HYPERLINK("http://www.otzar.org/book.asp?19044","מזבח אבנים")</f>
        <v>מזבח אבנים</v>
      </c>
    </row>
    <row r="22582" spans="1:6" x14ac:dyDescent="0.2">
      <c r="A22582" t="s">
        <v>36432</v>
      </c>
      <c r="B22582" t="s">
        <v>17437</v>
      </c>
      <c r="C22582" t="s">
        <v>1706</v>
      </c>
      <c r="D22582" t="s">
        <v>283</v>
      </c>
      <c r="E22582" t="s">
        <v>234</v>
      </c>
      <c r="F22582" s="2" t="str">
        <f>HYPERLINK("http://www.otzar.org/book.asp?108869","מזבח אבנים")</f>
        <v>מזבח אבנים</v>
      </c>
    </row>
    <row r="22583" spans="1:6" x14ac:dyDescent="0.2">
      <c r="A22583" t="s">
        <v>36433</v>
      </c>
      <c r="B22583" t="s">
        <v>36434</v>
      </c>
      <c r="C22583" t="s">
        <v>1981</v>
      </c>
      <c r="D22583" t="s">
        <v>76</v>
      </c>
      <c r="E22583" t="s">
        <v>15</v>
      </c>
      <c r="F22583" s="2" t="str">
        <f>HYPERLINK("http://www.otzar.org/book.asp?101218","מזבח אדמה")</f>
        <v>מזבח אדמה</v>
      </c>
    </row>
    <row r="22584" spans="1:6" x14ac:dyDescent="0.2">
      <c r="A22584" t="s">
        <v>36435</v>
      </c>
      <c r="B22584" t="s">
        <v>1112</v>
      </c>
      <c r="C22584" t="s">
        <v>1310</v>
      </c>
      <c r="D22584" t="s">
        <v>157</v>
      </c>
      <c r="E22584" t="s">
        <v>158</v>
      </c>
      <c r="F22584" s="2" t="str">
        <f>HYPERLINK("http://www.otzar.org/book.asp?19045","מזבח אליהו")</f>
        <v>מזבח אליהו</v>
      </c>
    </row>
    <row r="22585" spans="1:6" x14ac:dyDescent="0.2">
      <c r="A22585" t="s">
        <v>36436</v>
      </c>
      <c r="B22585" t="s">
        <v>36437</v>
      </c>
      <c r="C22585" t="s">
        <v>6773</v>
      </c>
      <c r="D22585" t="s">
        <v>1396</v>
      </c>
      <c r="E22585" t="s">
        <v>219</v>
      </c>
      <c r="F22585" s="2" t="str">
        <f>HYPERLINK("http://www.otzar.org/book.asp?12991","מזבח הזהב - 3 כר'")</f>
        <v>מזבח הזהב - 3 כר'</v>
      </c>
    </row>
    <row r="22586" spans="1:6" x14ac:dyDescent="0.2">
      <c r="A22586" t="s">
        <v>36438</v>
      </c>
      <c r="B22586" t="s">
        <v>34989</v>
      </c>
      <c r="C22586" t="s">
        <v>802</v>
      </c>
      <c r="D22586" t="s">
        <v>1008</v>
      </c>
      <c r="E22586" t="s">
        <v>10</v>
      </c>
      <c r="F22586" s="2" t="str">
        <f>HYPERLINK("http://www.otzar.org/book.asp?19046","מזבח חדש")</f>
        <v>מזבח חדש</v>
      </c>
    </row>
    <row r="22587" spans="1:6" x14ac:dyDescent="0.2">
      <c r="A22587" t="s">
        <v>36438</v>
      </c>
      <c r="B22587" t="s">
        <v>6987</v>
      </c>
      <c r="C22587" t="s">
        <v>454</v>
      </c>
      <c r="D22587" t="s">
        <v>90</v>
      </c>
      <c r="E22587" t="s">
        <v>786</v>
      </c>
      <c r="F22587" s="2" t="str">
        <f>HYPERLINK("http://www.otzar.org/book.asp?60507","מזבח חדש")</f>
        <v>מזבח חדש</v>
      </c>
    </row>
    <row r="22588" spans="1:6" x14ac:dyDescent="0.2">
      <c r="A22588" t="s">
        <v>36438</v>
      </c>
      <c r="B22588" t="s">
        <v>1973</v>
      </c>
      <c r="C22588" t="s">
        <v>13</v>
      </c>
      <c r="D22588" t="s">
        <v>1974</v>
      </c>
      <c r="E22588" t="s">
        <v>104</v>
      </c>
      <c r="F22588" s="2" t="str">
        <f>HYPERLINK("http://www.otzar.org/book.asp?196758","מזבח חדש")</f>
        <v>מזבח חדש</v>
      </c>
    </row>
    <row r="22589" spans="1:6" x14ac:dyDescent="0.2">
      <c r="A22589" t="s">
        <v>36439</v>
      </c>
      <c r="B22589" t="s">
        <v>36440</v>
      </c>
      <c r="C22589" t="s">
        <v>133</v>
      </c>
      <c r="D22589" t="s">
        <v>80</v>
      </c>
      <c r="E22589" t="s">
        <v>144</v>
      </c>
      <c r="F22589" s="2" t="str">
        <f>HYPERLINK("http://www.otzar.org/book.asp?601453","מזבח יעקב - 2 כר'")</f>
        <v>מזבח יעקב - 2 כר'</v>
      </c>
    </row>
    <row r="22590" spans="1:6" x14ac:dyDescent="0.2">
      <c r="A22590" t="s">
        <v>36441</v>
      </c>
      <c r="B22590" t="s">
        <v>36442</v>
      </c>
      <c r="C22590" t="s">
        <v>17621</v>
      </c>
      <c r="D22590" t="s">
        <v>49</v>
      </c>
      <c r="E22590" t="s">
        <v>15</v>
      </c>
      <c r="F22590" s="2" t="str">
        <f>HYPERLINK("http://www.otzar.org/book.asp?189615","מזבח יעקב")</f>
        <v>מזבח יעקב</v>
      </c>
    </row>
    <row r="22591" spans="1:6" x14ac:dyDescent="0.2">
      <c r="A22591" t="s">
        <v>36443</v>
      </c>
      <c r="B22591" t="s">
        <v>11943</v>
      </c>
      <c r="C22591" t="s">
        <v>568</v>
      </c>
      <c r="D22591" t="s">
        <v>267</v>
      </c>
      <c r="E22591" t="s">
        <v>144</v>
      </c>
      <c r="F22591" s="2" t="str">
        <f>HYPERLINK("http://www.otzar.org/book.asp?9640","מזבח כפרה - 2 כר'")</f>
        <v>מזבח כפרה - 2 כר'</v>
      </c>
    </row>
    <row r="22592" spans="1:6" x14ac:dyDescent="0.2">
      <c r="A22592" t="s">
        <v>36444</v>
      </c>
      <c r="B22592" t="s">
        <v>686</v>
      </c>
      <c r="C22592" t="s">
        <v>13</v>
      </c>
      <c r="D22592" t="s">
        <v>52</v>
      </c>
      <c r="E22592" t="s">
        <v>1262</v>
      </c>
      <c r="F22592" s="2" t="str">
        <f>HYPERLINK("http://www.otzar.org/book.asp?61192","מזבח לה'")</f>
        <v>מזבח לה'</v>
      </c>
    </row>
    <row r="22593" spans="1:6" x14ac:dyDescent="0.2">
      <c r="A22593" t="s">
        <v>36445</v>
      </c>
      <c r="B22593" t="s">
        <v>36446</v>
      </c>
      <c r="C22593" t="s">
        <v>244</v>
      </c>
      <c r="D22593" t="s">
        <v>1632</v>
      </c>
      <c r="E22593" t="s">
        <v>144</v>
      </c>
      <c r="F22593" s="2" t="str">
        <f>HYPERLINK("http://www.otzar.org/book.asp?603083","מזה ומזה הם כתובים - 2 כר'")</f>
        <v>מזה ומזה הם כתובים - 2 כר'</v>
      </c>
    </row>
    <row r="22594" spans="1:6" x14ac:dyDescent="0.2">
      <c r="A22594" t="s">
        <v>36447</v>
      </c>
      <c r="B22594" t="s">
        <v>12106</v>
      </c>
      <c r="C22594" t="s">
        <v>17</v>
      </c>
      <c r="D22594" t="s">
        <v>14</v>
      </c>
      <c r="E22594" t="s">
        <v>1626</v>
      </c>
      <c r="F22594" s="2" t="str">
        <f>HYPERLINK("http://www.otzar.org/book.asp?23028","מזהב ומפז &lt;המקוצר&gt; - 4 כר'")</f>
        <v>מזהב ומפז &lt;המקוצר&gt; - 4 כר'</v>
      </c>
    </row>
    <row r="22595" spans="1:6" x14ac:dyDescent="0.2">
      <c r="A22595" t="s">
        <v>36448</v>
      </c>
      <c r="B22595" t="s">
        <v>12106</v>
      </c>
      <c r="C22595" t="s">
        <v>103</v>
      </c>
      <c r="D22595" t="s">
        <v>14</v>
      </c>
      <c r="E22595" t="s">
        <v>18910</v>
      </c>
      <c r="F22595" s="2" t="str">
        <f>HYPERLINK("http://www.otzar.org/book.asp?23024","מזהב ומפז - 3 כר'")</f>
        <v>מזהב ומפז - 3 כר'</v>
      </c>
    </row>
    <row r="22596" spans="1:6" x14ac:dyDescent="0.2">
      <c r="A22596" t="s">
        <v>36449</v>
      </c>
      <c r="B22596" t="s">
        <v>22917</v>
      </c>
      <c r="C22596" t="s">
        <v>68</v>
      </c>
      <c r="D22596" t="s">
        <v>14</v>
      </c>
      <c r="E22596" t="s">
        <v>246</v>
      </c>
      <c r="F22596" s="2" t="str">
        <f>HYPERLINK("http://www.otzar.org/book.asp?175868","מזהב מרדכי - פסח שבועות")</f>
        <v>מזהב מרדכי - פסח שבועות</v>
      </c>
    </row>
    <row r="22597" spans="1:6" x14ac:dyDescent="0.2">
      <c r="A22597" t="s">
        <v>36450</v>
      </c>
      <c r="B22597" t="s">
        <v>30566</v>
      </c>
      <c r="C22597" t="s">
        <v>36451</v>
      </c>
      <c r="D22597" t="s">
        <v>23921</v>
      </c>
      <c r="E22597" t="s">
        <v>148</v>
      </c>
      <c r="F22597" s="2" t="str">
        <f>HYPERLINK("http://www.otzar.org/book.asp?8293","מזוזות מלכים")</f>
        <v>מזוזות מלכים</v>
      </c>
    </row>
    <row r="22598" spans="1:6" x14ac:dyDescent="0.2">
      <c r="A22598" t="s">
        <v>36452</v>
      </c>
      <c r="B22598" t="s">
        <v>36453</v>
      </c>
      <c r="C22598" t="s">
        <v>366</v>
      </c>
      <c r="D22598" t="s">
        <v>21</v>
      </c>
      <c r="F22598" s="2" t="str">
        <f>HYPERLINK("http://www.otzar.org/book.asp?608805","מזוזות פתחי - זכרון מרדכי")</f>
        <v>מזוזות פתחי - זכרון מרדכי</v>
      </c>
    </row>
    <row r="22599" spans="1:6" x14ac:dyDescent="0.2">
      <c r="A22599" t="s">
        <v>36454</v>
      </c>
      <c r="B22599" t="s">
        <v>36455</v>
      </c>
      <c r="C22599" t="s">
        <v>111</v>
      </c>
      <c r="D22599" t="s">
        <v>52</v>
      </c>
      <c r="E22599" t="s">
        <v>144</v>
      </c>
      <c r="F22599" s="2" t="str">
        <f>HYPERLINK("http://www.otzar.org/book.asp?630475","מזוזות שעריך")</f>
        <v>מזוזות שעריך</v>
      </c>
    </row>
    <row r="22600" spans="1:6" x14ac:dyDescent="0.2">
      <c r="A22600" t="s">
        <v>36456</v>
      </c>
      <c r="B22600" t="s">
        <v>11184</v>
      </c>
      <c r="C22600" t="s">
        <v>189</v>
      </c>
      <c r="D22600" t="s">
        <v>52</v>
      </c>
      <c r="E22600" t="s">
        <v>15</v>
      </c>
      <c r="F22600" s="2" t="str">
        <f>HYPERLINK("http://www.otzar.org/book.asp?157813","מזוזת השער")</f>
        <v>מזוזת השער</v>
      </c>
    </row>
    <row r="22601" spans="1:6" x14ac:dyDescent="0.2">
      <c r="A22601" t="s">
        <v>36457</v>
      </c>
      <c r="B22601" t="s">
        <v>15469</v>
      </c>
      <c r="C22601" t="s">
        <v>1448</v>
      </c>
      <c r="D22601" t="s">
        <v>21</v>
      </c>
      <c r="F22601" s="2" t="str">
        <f>HYPERLINK("http://www.otzar.org/book.asp?194616","מזון כשר מן החי")</f>
        <v>מזון כשר מן החי</v>
      </c>
    </row>
    <row r="22602" spans="1:6" x14ac:dyDescent="0.2">
      <c r="A22602" t="s">
        <v>36458</v>
      </c>
      <c r="B22602" t="s">
        <v>36459</v>
      </c>
      <c r="C22602" t="s">
        <v>176</v>
      </c>
      <c r="D22602" t="s">
        <v>52</v>
      </c>
      <c r="F22602" s="2" t="str">
        <f>HYPERLINK("http://www.otzar.org/book.asp?614011","מזון לנפש")</f>
        <v>מזון לנפש</v>
      </c>
    </row>
    <row r="22603" spans="1:6" x14ac:dyDescent="0.2">
      <c r="A22603" t="s">
        <v>36460</v>
      </c>
      <c r="B22603" t="s">
        <v>36461</v>
      </c>
      <c r="C22603" t="s">
        <v>576</v>
      </c>
      <c r="D22603" t="s">
        <v>2038</v>
      </c>
      <c r="F22603" s="2" t="str">
        <f>HYPERLINK("http://www.otzar.org/book.asp?620916","מזון רוחני")</f>
        <v>מזון רוחני</v>
      </c>
    </row>
    <row r="22604" spans="1:6" x14ac:dyDescent="0.2">
      <c r="A22604" t="s">
        <v>36462</v>
      </c>
      <c r="B22604" t="s">
        <v>36463</v>
      </c>
      <c r="C22604" t="s">
        <v>752</v>
      </c>
      <c r="D22604" t="s">
        <v>56</v>
      </c>
      <c r="E22604" t="s">
        <v>213</v>
      </c>
      <c r="F22604" s="2" t="str">
        <f>HYPERLINK("http://www.otzar.org/book.asp?13508","מזור ותרופה - 2 כר'")</f>
        <v>מזור ותרופה - 2 כר'</v>
      </c>
    </row>
    <row r="22605" spans="1:6" x14ac:dyDescent="0.2">
      <c r="A22605" t="s">
        <v>36464</v>
      </c>
      <c r="B22605" t="s">
        <v>36465</v>
      </c>
      <c r="C22605" t="s">
        <v>129</v>
      </c>
      <c r="D22605" t="s">
        <v>14</v>
      </c>
      <c r="E22605" t="s">
        <v>104</v>
      </c>
      <c r="F22605" s="2" t="str">
        <f>HYPERLINK("http://www.otzar.org/book.asp?64255","מזור מתימן")</f>
        <v>מזור מתימן</v>
      </c>
    </row>
    <row r="22606" spans="1:6" x14ac:dyDescent="0.2">
      <c r="A22606" t="s">
        <v>36466</v>
      </c>
      <c r="B22606" t="s">
        <v>27342</v>
      </c>
      <c r="C22606" t="s">
        <v>5823</v>
      </c>
      <c r="D22606" t="s">
        <v>27</v>
      </c>
      <c r="E22606" t="s">
        <v>241</v>
      </c>
      <c r="F22606" s="2" t="str">
        <f>HYPERLINK("http://www.otzar.org/book.asp?108432","מזכה הרבים - 2 כר'")</f>
        <v>מזכה הרבים - 2 כר'</v>
      </c>
    </row>
    <row r="22607" spans="1:6" x14ac:dyDescent="0.2">
      <c r="A22607" t="s">
        <v>36467</v>
      </c>
      <c r="B22607" t="s">
        <v>19671</v>
      </c>
      <c r="C22607" t="s">
        <v>438</v>
      </c>
      <c r="D22607" t="s">
        <v>14</v>
      </c>
      <c r="F22607" s="2" t="str">
        <f>HYPERLINK("http://www.otzar.org/book.asp?617519","מזכיר שלום - 3 כר'")</f>
        <v>מזכיר שלום - 3 כר'</v>
      </c>
    </row>
    <row r="22608" spans="1:6" x14ac:dyDescent="0.2">
      <c r="A22608" t="s">
        <v>36468</v>
      </c>
      <c r="B22608" t="s">
        <v>12971</v>
      </c>
      <c r="D22608" t="s">
        <v>14</v>
      </c>
      <c r="F22608" s="2" t="str">
        <f>HYPERLINK("http://www.otzar.org/book.asp?611036","מזכרונותיו של מאה שערים'דיגער")</f>
        <v>מזכרונותיו של מאה שערים'דיגער</v>
      </c>
    </row>
    <row r="22609" spans="1:6" x14ac:dyDescent="0.2">
      <c r="A22609" t="s">
        <v>36469</v>
      </c>
      <c r="B22609" t="s">
        <v>285</v>
      </c>
      <c r="C22609" t="s">
        <v>2874</v>
      </c>
      <c r="D22609" t="s">
        <v>14182</v>
      </c>
      <c r="E22609" t="s">
        <v>234</v>
      </c>
      <c r="F22609" s="2" t="str">
        <f>HYPERLINK("http://www.otzar.org/book.asp?192280","מזכרת אבל")</f>
        <v>מזכרת אבל</v>
      </c>
    </row>
    <row r="22610" spans="1:6" x14ac:dyDescent="0.2">
      <c r="A22610" t="s">
        <v>36470</v>
      </c>
      <c r="B22610" t="s">
        <v>36471</v>
      </c>
      <c r="C22610" t="s">
        <v>553</v>
      </c>
      <c r="D22610" t="s">
        <v>6283</v>
      </c>
      <c r="E22610" t="s">
        <v>144</v>
      </c>
      <c r="F22610" s="2" t="str">
        <f>HYPERLINK("http://www.otzar.org/book.asp?174110","מזכרת אהבה")</f>
        <v>מזכרת אהבה</v>
      </c>
    </row>
    <row r="22611" spans="1:6" x14ac:dyDescent="0.2">
      <c r="A22611" t="s">
        <v>36472</v>
      </c>
      <c r="B22611" t="s">
        <v>36473</v>
      </c>
      <c r="C22611" t="s">
        <v>438</v>
      </c>
      <c r="D22611" t="s">
        <v>14</v>
      </c>
      <c r="E22611" t="s">
        <v>36474</v>
      </c>
      <c r="F22611" s="2" t="str">
        <f>HYPERLINK("http://www.otzar.org/book.asp?10252","מזכרת חיים &lt;הגיוני חיים&gt;")</f>
        <v>מזכרת חיים &lt;הגיוני חיים&gt;</v>
      </c>
    </row>
    <row r="22612" spans="1:6" x14ac:dyDescent="0.2">
      <c r="A22612" t="s">
        <v>36475</v>
      </c>
      <c r="B22612" t="s">
        <v>36476</v>
      </c>
      <c r="C22612" t="s">
        <v>2543</v>
      </c>
      <c r="D22612" t="s">
        <v>17609</v>
      </c>
      <c r="E22612" t="s">
        <v>234</v>
      </c>
      <c r="F22612" s="2" t="str">
        <f>HYPERLINK("http://www.otzar.org/book.asp?192279","מזכרת כבוד")</f>
        <v>מזכרת כבוד</v>
      </c>
    </row>
    <row r="22613" spans="1:6" x14ac:dyDescent="0.2">
      <c r="A22613" t="s">
        <v>36477</v>
      </c>
      <c r="B22613" t="s">
        <v>36478</v>
      </c>
      <c r="C22613" t="s">
        <v>2543</v>
      </c>
      <c r="D22613" t="s">
        <v>4269</v>
      </c>
      <c r="E22613" t="s">
        <v>119</v>
      </c>
      <c r="F22613" s="2" t="str">
        <f>HYPERLINK("http://www.otzar.org/book.asp?563","מזכרת לגדולי אוסטרהא")</f>
        <v>מזכרת לגדולי אוסטרהא</v>
      </c>
    </row>
    <row r="22614" spans="1:6" x14ac:dyDescent="0.2">
      <c r="A22614" t="s">
        <v>36479</v>
      </c>
      <c r="B22614" t="s">
        <v>552</v>
      </c>
      <c r="C22614" t="s">
        <v>106</v>
      </c>
      <c r="D22614" t="s">
        <v>27</v>
      </c>
      <c r="E22614" t="s">
        <v>202</v>
      </c>
      <c r="F22614" s="2" t="str">
        <f>HYPERLINK("http://www.otzar.org/book.asp?171531","מזכרת למשה")</f>
        <v>מזכרת למשה</v>
      </c>
    </row>
    <row r="22615" spans="1:6" x14ac:dyDescent="0.2">
      <c r="A22615" t="s">
        <v>36480</v>
      </c>
      <c r="B22615" t="s">
        <v>36481</v>
      </c>
      <c r="C22615" t="s">
        <v>2644</v>
      </c>
      <c r="D22615" t="s">
        <v>283</v>
      </c>
      <c r="E22615" t="s">
        <v>15</v>
      </c>
      <c r="F22615" s="2" t="str">
        <f>HYPERLINK("http://www.otzar.org/book.asp?19047","מזכרת מרדכי")</f>
        <v>מזכרת מרדכי</v>
      </c>
    </row>
    <row r="22616" spans="1:6" x14ac:dyDescent="0.2">
      <c r="A22616" t="s">
        <v>36482</v>
      </c>
      <c r="B22616" t="s">
        <v>36483</v>
      </c>
      <c r="C22616" t="s">
        <v>896</v>
      </c>
      <c r="D22616" t="s">
        <v>855</v>
      </c>
      <c r="E22616" t="s">
        <v>234</v>
      </c>
      <c r="F22616" s="2" t="str">
        <f>HYPERLINK("http://www.otzar.org/book.asp?192278","מזכרת משה")</f>
        <v>מזכרת משה</v>
      </c>
    </row>
    <row r="22617" spans="1:6" x14ac:dyDescent="0.2">
      <c r="A22617" t="s">
        <v>36484</v>
      </c>
      <c r="B22617" t="s">
        <v>24490</v>
      </c>
      <c r="C22617" t="s">
        <v>1246</v>
      </c>
      <c r="D22617" t="s">
        <v>1889</v>
      </c>
      <c r="E22617" t="s">
        <v>1697</v>
      </c>
      <c r="F22617" s="2" t="str">
        <f>HYPERLINK("http://www.otzar.org/book.asp?300531","מזכרת נצח")</f>
        <v>מזכרת נצח</v>
      </c>
    </row>
    <row r="22618" spans="1:6" x14ac:dyDescent="0.2">
      <c r="A22618" t="s">
        <v>36485</v>
      </c>
      <c r="B22618" t="s">
        <v>23494</v>
      </c>
      <c r="C22618" t="s">
        <v>438</v>
      </c>
      <c r="D22618" t="s">
        <v>14</v>
      </c>
      <c r="E22618" t="s">
        <v>119</v>
      </c>
      <c r="F22618" s="2" t="str">
        <f>HYPERLINK("http://www.otzar.org/book.asp?161624","מזכרת פאקש - 3 כר'")</f>
        <v>מזכרת פאקש - 3 כר'</v>
      </c>
    </row>
    <row r="22619" spans="1:6" x14ac:dyDescent="0.2">
      <c r="A22619" t="s">
        <v>36486</v>
      </c>
      <c r="B22619" t="s">
        <v>206</v>
      </c>
      <c r="C22619" t="s">
        <v>151</v>
      </c>
      <c r="D22619" t="s">
        <v>90</v>
      </c>
      <c r="E22619" t="s">
        <v>144</v>
      </c>
      <c r="F22619" s="2" t="str">
        <f>HYPERLINK("http://www.otzar.org/book.asp?628716","מזכרת רחל")</f>
        <v>מזכרת רחל</v>
      </c>
    </row>
    <row r="22620" spans="1:6" x14ac:dyDescent="0.2">
      <c r="A22620" t="s">
        <v>36487</v>
      </c>
      <c r="B22620" t="s">
        <v>4077</v>
      </c>
      <c r="C22620" t="s">
        <v>462</v>
      </c>
      <c r="D22620" t="s">
        <v>225</v>
      </c>
      <c r="E22620" t="s">
        <v>579</v>
      </c>
      <c r="F22620" s="2" t="str">
        <f>HYPERLINK("http://www.otzar.org/book.asp?144843","מזכרת שם הגדולים")</f>
        <v>מזכרת שם הגדולים</v>
      </c>
    </row>
    <row r="22621" spans="1:6" x14ac:dyDescent="0.2">
      <c r="A22621" t="s">
        <v>36488</v>
      </c>
      <c r="B22621" t="s">
        <v>36489</v>
      </c>
      <c r="C22621" t="s">
        <v>8375</v>
      </c>
      <c r="D22621" t="s">
        <v>34714</v>
      </c>
      <c r="E22621" t="s">
        <v>104</v>
      </c>
      <c r="F22621" s="2" t="str">
        <f>HYPERLINK("http://www.otzar.org/book.asp?192281","מזכרת")</f>
        <v>מזכרת</v>
      </c>
    </row>
    <row r="22622" spans="1:6" x14ac:dyDescent="0.2">
      <c r="A22622" t="s">
        <v>36488</v>
      </c>
      <c r="B22622" t="s">
        <v>489</v>
      </c>
      <c r="C22622" t="s">
        <v>438</v>
      </c>
      <c r="D22622" t="s">
        <v>14</v>
      </c>
      <c r="E22622" t="s">
        <v>202</v>
      </c>
      <c r="F22622" s="2" t="str">
        <f>HYPERLINK("http://www.otzar.org/book.asp?17020","מזכרת")</f>
        <v>מזכרת</v>
      </c>
    </row>
    <row r="22623" spans="1:6" x14ac:dyDescent="0.2">
      <c r="A22623" t="s">
        <v>36490</v>
      </c>
      <c r="B22623" t="s">
        <v>36491</v>
      </c>
      <c r="C22623" t="s">
        <v>26</v>
      </c>
      <c r="D22623" t="s">
        <v>216</v>
      </c>
      <c r="E22623" t="s">
        <v>241</v>
      </c>
      <c r="F22623" s="2" t="str">
        <f>HYPERLINK("http://www.otzar.org/book.asp?168054","מזל לישראל")</f>
        <v>מזל לישראל</v>
      </c>
    </row>
    <row r="22624" spans="1:6" x14ac:dyDescent="0.2">
      <c r="A22624" t="s">
        <v>36492</v>
      </c>
      <c r="B22624" t="s">
        <v>18896</v>
      </c>
      <c r="C22624" t="s">
        <v>630</v>
      </c>
      <c r="D22624" t="s">
        <v>76</v>
      </c>
      <c r="E22624" t="s">
        <v>26883</v>
      </c>
      <c r="F22624" s="2" t="str">
        <f>HYPERLINK("http://www.otzar.org/book.asp?101216","מזל שעה")</f>
        <v>מזל שעה</v>
      </c>
    </row>
    <row r="22625" spans="1:6" x14ac:dyDescent="0.2">
      <c r="A22625" t="s">
        <v>36493</v>
      </c>
      <c r="B22625" t="s">
        <v>36494</v>
      </c>
      <c r="C22625" t="s">
        <v>5823</v>
      </c>
      <c r="D22625" t="s">
        <v>2968</v>
      </c>
      <c r="E22625" t="s">
        <v>219</v>
      </c>
      <c r="F22625" s="2" t="str">
        <f>HYPERLINK("http://www.otzar.org/book.asp?199647","מזמור לאיתן")</f>
        <v>מזמור לאיתן</v>
      </c>
    </row>
    <row r="22626" spans="1:6" x14ac:dyDescent="0.2">
      <c r="A22626" t="s">
        <v>36495</v>
      </c>
      <c r="B22626" t="s">
        <v>6832</v>
      </c>
      <c r="C22626" t="s">
        <v>20</v>
      </c>
      <c r="D22626" t="s">
        <v>90</v>
      </c>
      <c r="E22626" t="s">
        <v>8107</v>
      </c>
      <c r="F22626" s="2" t="str">
        <f>HYPERLINK("http://www.otzar.org/book.asp?986","מזמור לאסף &lt;מהדורה חדשה&gt;")</f>
        <v>מזמור לאסף &lt;מהדורה חדשה&gt;</v>
      </c>
    </row>
    <row r="22627" spans="1:6" x14ac:dyDescent="0.2">
      <c r="A22627" t="s">
        <v>36496</v>
      </c>
      <c r="B22627" t="s">
        <v>36497</v>
      </c>
      <c r="C22627" t="s">
        <v>111</v>
      </c>
      <c r="D22627" t="s">
        <v>152</v>
      </c>
      <c r="E22627" t="s">
        <v>144</v>
      </c>
      <c r="F22627" s="2" t="str">
        <f>HYPERLINK("http://www.otzar.org/book.asp?620002","מזמור לאסף - בבא מציעא")</f>
        <v>מזמור לאסף - בבא מציעא</v>
      </c>
    </row>
    <row r="22628" spans="1:6" x14ac:dyDescent="0.2">
      <c r="A22628" t="s">
        <v>36498</v>
      </c>
      <c r="B22628" t="s">
        <v>36499</v>
      </c>
      <c r="C22628" t="s">
        <v>13</v>
      </c>
      <c r="D22628" t="s">
        <v>152</v>
      </c>
      <c r="E22628" t="s">
        <v>658</v>
      </c>
      <c r="F22628" s="2" t="str">
        <f>HYPERLINK("http://www.otzar.org/book.asp?84226","מזמור לאסף")</f>
        <v>מזמור לאסף</v>
      </c>
    </row>
    <row r="22629" spans="1:6" x14ac:dyDescent="0.2">
      <c r="A22629" t="s">
        <v>36498</v>
      </c>
      <c r="B22629" t="s">
        <v>36500</v>
      </c>
      <c r="C22629" t="s">
        <v>111</v>
      </c>
      <c r="D22629" t="s">
        <v>1974</v>
      </c>
      <c r="E22629" t="s">
        <v>144</v>
      </c>
      <c r="F22629" s="2" t="str">
        <f>HYPERLINK("http://www.otzar.org/book.asp?629781","מזמור לאסף")</f>
        <v>מזמור לאסף</v>
      </c>
    </row>
    <row r="22630" spans="1:6" x14ac:dyDescent="0.2">
      <c r="A22630" t="s">
        <v>36498</v>
      </c>
      <c r="B22630" t="s">
        <v>6832</v>
      </c>
      <c r="C22630" t="s">
        <v>75</v>
      </c>
      <c r="D22630" t="s">
        <v>1660</v>
      </c>
      <c r="E22630" t="s">
        <v>714</v>
      </c>
      <c r="F22630" s="2" t="str">
        <f>HYPERLINK("http://www.otzar.org/book.asp?148978","מזמור לאסף")</f>
        <v>מזמור לאסף</v>
      </c>
    </row>
    <row r="22631" spans="1:6" x14ac:dyDescent="0.2">
      <c r="A22631" t="s">
        <v>36501</v>
      </c>
      <c r="B22631" t="s">
        <v>36502</v>
      </c>
      <c r="C22631" t="s">
        <v>143</v>
      </c>
      <c r="D22631" t="s">
        <v>14</v>
      </c>
      <c r="E22631" t="s">
        <v>219</v>
      </c>
      <c r="F22631" s="2" t="str">
        <f>HYPERLINK("http://www.otzar.org/book.asp?61116","מזמור לדוד")</f>
        <v>מזמור לדוד</v>
      </c>
    </row>
    <row r="22632" spans="1:6" x14ac:dyDescent="0.2">
      <c r="A22632" t="s">
        <v>36503</v>
      </c>
      <c r="B22632" t="s">
        <v>12812</v>
      </c>
      <c r="C22632" t="s">
        <v>114</v>
      </c>
      <c r="D22632" t="s">
        <v>14</v>
      </c>
      <c r="E22632" t="s">
        <v>213</v>
      </c>
      <c r="F22632" s="2" t="str">
        <f>HYPERLINK("http://www.otzar.org/book.asp?600091","מזמור לדוד - 2 כר'")</f>
        <v>מזמור לדוד - 2 כר'</v>
      </c>
    </row>
    <row r="22633" spans="1:6" x14ac:dyDescent="0.2">
      <c r="A22633" t="s">
        <v>36501</v>
      </c>
      <c r="B22633" t="s">
        <v>27038</v>
      </c>
      <c r="C22633" t="s">
        <v>343</v>
      </c>
      <c r="D22633" t="s">
        <v>212</v>
      </c>
      <c r="E22633" t="s">
        <v>148</v>
      </c>
      <c r="F22633" s="2" t="str">
        <f>HYPERLINK("http://www.otzar.org/book.asp?101113","מזמור לדוד")</f>
        <v>מזמור לדוד</v>
      </c>
    </row>
    <row r="22634" spans="1:6" x14ac:dyDescent="0.2">
      <c r="A22634" t="s">
        <v>36501</v>
      </c>
      <c r="B22634" t="s">
        <v>36504</v>
      </c>
      <c r="C22634" t="s">
        <v>103</v>
      </c>
      <c r="D22634" t="s">
        <v>8985</v>
      </c>
      <c r="E22634" t="s">
        <v>202</v>
      </c>
      <c r="F22634" s="2" t="str">
        <f>HYPERLINK("http://www.otzar.org/book.asp?619749","מזמור לדוד")</f>
        <v>מזמור לדוד</v>
      </c>
    </row>
    <row r="22635" spans="1:6" x14ac:dyDescent="0.2">
      <c r="A22635" t="s">
        <v>36505</v>
      </c>
      <c r="B22635" t="s">
        <v>1146</v>
      </c>
      <c r="C22635" t="s">
        <v>1147</v>
      </c>
      <c r="D22635" t="s">
        <v>49</v>
      </c>
      <c r="F22635" s="2" t="str">
        <f>HYPERLINK("http://www.otzar.org/book.asp?619172","מזמור לתודה - 2 כר'")</f>
        <v>מזמור לתודה - 2 כר'</v>
      </c>
    </row>
    <row r="22636" spans="1:6" x14ac:dyDescent="0.2">
      <c r="A22636" t="s">
        <v>36506</v>
      </c>
      <c r="B22636" t="s">
        <v>32405</v>
      </c>
      <c r="C22636" t="s">
        <v>129</v>
      </c>
      <c r="D22636" t="s">
        <v>14</v>
      </c>
      <c r="E22636" t="s">
        <v>36507</v>
      </c>
      <c r="F22636" s="2" t="str">
        <f>HYPERLINK("http://www.otzar.org/book.asp?60016","מזמור לתודה")</f>
        <v>מזמור לתודה</v>
      </c>
    </row>
    <row r="22637" spans="1:6" x14ac:dyDescent="0.2">
      <c r="A22637" t="s">
        <v>36506</v>
      </c>
      <c r="B22637" t="s">
        <v>36508</v>
      </c>
      <c r="C22637" t="s">
        <v>111</v>
      </c>
      <c r="D22637" t="s">
        <v>14</v>
      </c>
      <c r="E22637" t="s">
        <v>241</v>
      </c>
      <c r="F22637" s="2" t="str">
        <f>HYPERLINK("http://www.otzar.org/book.asp?629095","מזמור לתודה")</f>
        <v>מזמור לתודה</v>
      </c>
    </row>
    <row r="22638" spans="1:6" x14ac:dyDescent="0.2">
      <c r="A22638" t="s">
        <v>36506</v>
      </c>
      <c r="B22638" t="s">
        <v>9179</v>
      </c>
      <c r="C22638" t="s">
        <v>20</v>
      </c>
      <c r="D22638" t="s">
        <v>52</v>
      </c>
      <c r="E22638" t="s">
        <v>104</v>
      </c>
      <c r="F22638" s="2" t="str">
        <f>HYPERLINK("http://www.otzar.org/book.asp?623222","מזמור לתודה")</f>
        <v>מזמור לתודה</v>
      </c>
    </row>
    <row r="22639" spans="1:6" x14ac:dyDescent="0.2">
      <c r="A22639" t="s">
        <v>36509</v>
      </c>
      <c r="B22639" t="s">
        <v>18086</v>
      </c>
      <c r="C22639" t="s">
        <v>422</v>
      </c>
      <c r="D22639" t="s">
        <v>9530</v>
      </c>
      <c r="E22639" t="s">
        <v>15</v>
      </c>
      <c r="F22639" s="2" t="str">
        <f>HYPERLINK("http://www.otzar.org/book.asp?163552","מזמור שיר חנוכת הבית")</f>
        <v>מזמור שיר חנוכת הבית</v>
      </c>
    </row>
    <row r="22640" spans="1:6" x14ac:dyDescent="0.2">
      <c r="A22640" t="s">
        <v>36510</v>
      </c>
      <c r="B22640" t="s">
        <v>2688</v>
      </c>
      <c r="C22640" t="s">
        <v>143</v>
      </c>
      <c r="D22640" t="s">
        <v>14</v>
      </c>
      <c r="E22640" t="s">
        <v>219</v>
      </c>
      <c r="F22640" s="2" t="str">
        <f>HYPERLINK("http://www.otzar.org/book.asp?21713","מזמור שיר ליום השבת")</f>
        <v>מזמור שיר ליום השבת</v>
      </c>
    </row>
    <row r="22641" spans="1:6" x14ac:dyDescent="0.2">
      <c r="A22641" t="s">
        <v>36511</v>
      </c>
      <c r="B22641" t="s">
        <v>36512</v>
      </c>
      <c r="C22641" t="s">
        <v>129</v>
      </c>
      <c r="D22641" t="s">
        <v>52</v>
      </c>
      <c r="E22641" t="s">
        <v>202</v>
      </c>
      <c r="F22641" s="2" t="str">
        <f>HYPERLINK("http://www.otzar.org/book.asp?147631","מזמור שיר")</f>
        <v>מזמור שיר</v>
      </c>
    </row>
    <row r="22642" spans="1:6" x14ac:dyDescent="0.2">
      <c r="A22642" t="s">
        <v>36513</v>
      </c>
      <c r="B22642" t="s">
        <v>36514</v>
      </c>
      <c r="C22642" t="s">
        <v>313</v>
      </c>
      <c r="D22642" t="s">
        <v>216</v>
      </c>
      <c r="E22642" t="s">
        <v>219</v>
      </c>
      <c r="F22642" s="2" t="str">
        <f>HYPERLINK("http://www.otzar.org/book.asp?163486","מזמורי תהלים לאומרם על קברי צדיקים")</f>
        <v>מזמורי תהלים לאומרם על קברי צדיקים</v>
      </c>
    </row>
    <row r="22643" spans="1:6" x14ac:dyDescent="0.2">
      <c r="A22643" t="s">
        <v>36515</v>
      </c>
      <c r="B22643" t="s">
        <v>20147</v>
      </c>
      <c r="C22643" t="s">
        <v>356</v>
      </c>
      <c r="D22643" t="s">
        <v>216</v>
      </c>
      <c r="E22643" t="s">
        <v>104</v>
      </c>
      <c r="F22643" s="2" t="str">
        <f>HYPERLINK("http://www.otzar.org/book.asp?177098","מזמורי תהלים לתפילת קבלת שבת מפוסקות ע""פ טעמיהם")</f>
        <v>מזמורי תהלים לתפילת קבלת שבת מפוסקות ע"פ טעמיהם</v>
      </c>
    </row>
    <row r="22644" spans="1:6" x14ac:dyDescent="0.2">
      <c r="A22644" t="s">
        <v>36516</v>
      </c>
      <c r="B22644" t="s">
        <v>36517</v>
      </c>
      <c r="C22644" t="s">
        <v>1124</v>
      </c>
      <c r="D22644" t="s">
        <v>212</v>
      </c>
      <c r="E22644" t="s">
        <v>158</v>
      </c>
      <c r="F22644" s="2" t="str">
        <f>HYPERLINK("http://www.otzar.org/book.asp?22359","מזמרת הארץ")</f>
        <v>מזמרת הארץ</v>
      </c>
    </row>
    <row r="22645" spans="1:6" x14ac:dyDescent="0.2">
      <c r="A22645" t="s">
        <v>36518</v>
      </c>
      <c r="B22645" t="s">
        <v>16885</v>
      </c>
      <c r="C22645" t="s">
        <v>36519</v>
      </c>
      <c r="D22645" t="s">
        <v>27</v>
      </c>
      <c r="E22645" t="s">
        <v>803</v>
      </c>
      <c r="F22645" s="2" t="str">
        <f>HYPERLINK("http://www.otzar.org/book.asp?13652","מזמרת הארץ - 2 כר'")</f>
        <v>מזמרת הארץ - 2 כר'</v>
      </c>
    </row>
    <row r="22646" spans="1:6" x14ac:dyDescent="0.2">
      <c r="A22646" t="s">
        <v>36516</v>
      </c>
      <c r="B22646" t="s">
        <v>36520</v>
      </c>
      <c r="C22646" t="s">
        <v>5823</v>
      </c>
      <c r="D22646" t="s">
        <v>9</v>
      </c>
      <c r="E22646" t="s">
        <v>104</v>
      </c>
      <c r="F22646" s="2" t="str">
        <f>HYPERLINK("http://www.otzar.org/book.asp?53437","מזמרת הארץ")</f>
        <v>מזמרת הארץ</v>
      </c>
    </row>
    <row r="22647" spans="1:6" x14ac:dyDescent="0.2">
      <c r="A22647" t="s">
        <v>36521</v>
      </c>
      <c r="B22647" t="s">
        <v>2861</v>
      </c>
      <c r="C22647" t="s">
        <v>20</v>
      </c>
      <c r="D22647" t="s">
        <v>646</v>
      </c>
      <c r="E22647" t="s">
        <v>741</v>
      </c>
      <c r="F22647" s="2" t="str">
        <f>HYPERLINK("http://www.otzar.org/book.asp?171404","מזקנים אתבונן")</f>
        <v>מזקנים אתבונן</v>
      </c>
    </row>
    <row r="22648" spans="1:6" x14ac:dyDescent="0.2">
      <c r="A22648" t="s">
        <v>36521</v>
      </c>
      <c r="B22648" t="s">
        <v>12106</v>
      </c>
      <c r="C22648" t="s">
        <v>68</v>
      </c>
      <c r="D22648" t="s">
        <v>14</v>
      </c>
      <c r="F22648" s="2" t="str">
        <f>HYPERLINK("http://www.otzar.org/book.asp?616103","מזקנים אתבונן")</f>
        <v>מזקנים אתבונן</v>
      </c>
    </row>
    <row r="22649" spans="1:6" x14ac:dyDescent="0.2">
      <c r="A22649" t="s">
        <v>36521</v>
      </c>
      <c r="B22649" t="s">
        <v>33575</v>
      </c>
      <c r="C22649" t="s">
        <v>1640</v>
      </c>
      <c r="D22649" t="s">
        <v>118</v>
      </c>
      <c r="E22649" t="s">
        <v>104</v>
      </c>
      <c r="F22649" s="2" t="str">
        <f>HYPERLINK("http://www.otzar.org/book.asp?175439","מזקנים אתבונן")</f>
        <v>מזקנים אתבונן</v>
      </c>
    </row>
    <row r="22650" spans="1:6" x14ac:dyDescent="0.2">
      <c r="A22650" t="s">
        <v>36521</v>
      </c>
      <c r="B22650" t="s">
        <v>36522</v>
      </c>
      <c r="C22650" t="s">
        <v>422</v>
      </c>
      <c r="D22650" t="s">
        <v>14</v>
      </c>
      <c r="E22650" t="s">
        <v>246</v>
      </c>
      <c r="F22650" s="2" t="str">
        <f>HYPERLINK("http://www.otzar.org/book.asp?606098","מזקנים אתבונן")</f>
        <v>מזקנים אתבונן</v>
      </c>
    </row>
    <row r="22651" spans="1:6" x14ac:dyDescent="0.2">
      <c r="A22651" t="s">
        <v>36523</v>
      </c>
      <c r="B22651" t="s">
        <v>36524</v>
      </c>
      <c r="C22651" t="s">
        <v>103</v>
      </c>
      <c r="D22651" t="s">
        <v>52</v>
      </c>
      <c r="E22651" t="s">
        <v>230</v>
      </c>
      <c r="F22651" s="2" t="str">
        <f>HYPERLINK("http://www.otzar.org/book.asp?63588","מזקנים אתבונן - 5 כר'")</f>
        <v>מזקנים אתבונן - 5 כר'</v>
      </c>
    </row>
    <row r="22652" spans="1:6" x14ac:dyDescent="0.2">
      <c r="A22652" t="s">
        <v>36521</v>
      </c>
      <c r="B22652" t="s">
        <v>123</v>
      </c>
      <c r="C22652" t="s">
        <v>20</v>
      </c>
      <c r="D22652" t="s">
        <v>14</v>
      </c>
      <c r="E22652" t="s">
        <v>213</v>
      </c>
      <c r="F22652" s="2" t="str">
        <f>HYPERLINK("http://www.otzar.org/book.asp?165388","מזקנים אתבונן")</f>
        <v>מזקנים אתבונן</v>
      </c>
    </row>
    <row r="22653" spans="1:6" x14ac:dyDescent="0.2">
      <c r="A22653" t="s">
        <v>36525</v>
      </c>
      <c r="B22653" t="s">
        <v>1353</v>
      </c>
      <c r="C22653" t="s">
        <v>23</v>
      </c>
      <c r="D22653" t="s">
        <v>52</v>
      </c>
      <c r="E22653" t="s">
        <v>241</v>
      </c>
      <c r="F22653" s="2" t="str">
        <f>HYPERLINK("http://www.otzar.org/book.asp?190309","מזקנים אתבונן - 12 כר'")</f>
        <v>מזקנים אתבונן - 12 כר'</v>
      </c>
    </row>
    <row r="22654" spans="1:6" x14ac:dyDescent="0.2">
      <c r="A22654" t="s">
        <v>36521</v>
      </c>
      <c r="B22654" t="s">
        <v>36526</v>
      </c>
      <c r="C22654" t="s">
        <v>1208</v>
      </c>
      <c r="D22654" t="s">
        <v>646</v>
      </c>
      <c r="E22654" t="s">
        <v>733</v>
      </c>
      <c r="F22654" s="2" t="str">
        <f>HYPERLINK("http://www.otzar.org/book.asp?107009","מזקנים אתבונן")</f>
        <v>מזקנים אתבונן</v>
      </c>
    </row>
    <row r="22655" spans="1:6" x14ac:dyDescent="0.2">
      <c r="A22655" t="s">
        <v>36527</v>
      </c>
      <c r="B22655" t="s">
        <v>4211</v>
      </c>
      <c r="C22655" t="s">
        <v>624</v>
      </c>
      <c r="D22655" t="s">
        <v>14</v>
      </c>
      <c r="E22655" t="s">
        <v>158</v>
      </c>
      <c r="F22655" s="2" t="str">
        <f>HYPERLINK("http://www.otzar.org/book.asp?142850","מזרח השמש")</f>
        <v>מזרח השמש</v>
      </c>
    </row>
    <row r="22656" spans="1:6" x14ac:dyDescent="0.2">
      <c r="A22656" t="s">
        <v>36528</v>
      </c>
      <c r="B22656" t="s">
        <v>36529</v>
      </c>
      <c r="C22656" t="s">
        <v>2105</v>
      </c>
      <c r="D22656" t="s">
        <v>27</v>
      </c>
      <c r="E22656" t="s">
        <v>202</v>
      </c>
      <c r="F22656" s="2" t="str">
        <f>HYPERLINK("http://www.otzar.org/book.asp?166978","מזרח ומערב - 7 כר'")</f>
        <v>מזרח ומערב - 7 כר'</v>
      </c>
    </row>
    <row r="22657" spans="1:6" x14ac:dyDescent="0.2">
      <c r="A22657" t="s">
        <v>36530</v>
      </c>
      <c r="B22657" t="s">
        <v>10548</v>
      </c>
      <c r="C22657" t="s">
        <v>438</v>
      </c>
      <c r="D22657" t="s">
        <v>6974</v>
      </c>
      <c r="E22657" t="s">
        <v>148</v>
      </c>
      <c r="F22657" s="2" t="str">
        <f>HYPERLINK("http://www.otzar.org/book.asp?62927","מזרח שמ""ש")</f>
        <v>מזרח שמ"ש</v>
      </c>
    </row>
    <row r="22658" spans="1:6" x14ac:dyDescent="0.2">
      <c r="A22658" t="s">
        <v>36531</v>
      </c>
      <c r="B22658" t="s">
        <v>36532</v>
      </c>
      <c r="C22658" t="s">
        <v>37</v>
      </c>
      <c r="D22658" t="s">
        <v>32244</v>
      </c>
      <c r="F22658" s="2" t="str">
        <f>HYPERLINK("http://www.otzar.org/book.asp?192845","מזרח שמש - 3 כר'")</f>
        <v>מזרח שמש - 3 כר'</v>
      </c>
    </row>
    <row r="22659" spans="1:6" x14ac:dyDescent="0.2">
      <c r="A22659" t="s">
        <v>36533</v>
      </c>
      <c r="B22659" t="s">
        <v>36534</v>
      </c>
      <c r="C22659" t="s">
        <v>462</v>
      </c>
      <c r="D22659" t="s">
        <v>27</v>
      </c>
      <c r="E22659" t="s">
        <v>119</v>
      </c>
      <c r="F22659" s="2" t="str">
        <f>HYPERLINK("http://www.otzar.org/book.asp?149377","מחאה פומבית")</f>
        <v>מחאה פומבית</v>
      </c>
    </row>
    <row r="22660" spans="1:6" x14ac:dyDescent="0.2">
      <c r="A22660" t="s">
        <v>36535</v>
      </c>
      <c r="B22660" t="s">
        <v>36536</v>
      </c>
      <c r="C22660" t="s">
        <v>3840</v>
      </c>
      <c r="D22660" t="s">
        <v>260</v>
      </c>
      <c r="E22660" t="s">
        <v>104</v>
      </c>
      <c r="F22660" s="2" t="str">
        <f>HYPERLINK("http://www.otzar.org/book.asp?13507","מחברות איתיאל")</f>
        <v>מחברות איתיאל</v>
      </c>
    </row>
    <row r="22661" spans="1:6" x14ac:dyDescent="0.2">
      <c r="A22661" t="s">
        <v>36537</v>
      </c>
      <c r="B22661" t="s">
        <v>36538</v>
      </c>
      <c r="C22661" t="s">
        <v>698</v>
      </c>
      <c r="D22661" t="s">
        <v>24403</v>
      </c>
      <c r="E22661" t="s">
        <v>2596</v>
      </c>
      <c r="F22661" s="2" t="str">
        <f>HYPERLINK("http://www.otzar.org/book.asp?19200","מחברות מני קדם")</f>
        <v>מחברות מני קדם</v>
      </c>
    </row>
    <row r="22662" spans="1:6" x14ac:dyDescent="0.2">
      <c r="A22662" t="s">
        <v>36539</v>
      </c>
      <c r="B22662" t="s">
        <v>9773</v>
      </c>
      <c r="C22662" t="s">
        <v>36540</v>
      </c>
      <c r="D22662" t="s">
        <v>6214</v>
      </c>
      <c r="F22662" s="2" t="str">
        <f>HYPERLINK("http://www.otzar.org/book.asp?620588","מחברת הלוי")</f>
        <v>מחברת הלוי</v>
      </c>
    </row>
    <row r="22663" spans="1:6" x14ac:dyDescent="0.2">
      <c r="A22663" t="s">
        <v>36541</v>
      </c>
      <c r="B22663" t="s">
        <v>20150</v>
      </c>
      <c r="C22663" t="s">
        <v>1124</v>
      </c>
      <c r="D22663" t="s">
        <v>5477</v>
      </c>
      <c r="E22663" t="s">
        <v>104</v>
      </c>
      <c r="F22663" s="2" t="str">
        <f>HYPERLINK("http://www.otzar.org/book.asp?173110","מחברת המסרה הגדולה")</f>
        <v>מחברת המסרה הגדולה</v>
      </c>
    </row>
    <row r="22664" spans="1:6" x14ac:dyDescent="0.2">
      <c r="A22664" t="s">
        <v>36542</v>
      </c>
      <c r="B22664" t="s">
        <v>36543</v>
      </c>
      <c r="C22664" t="s">
        <v>3475</v>
      </c>
      <c r="D22664" t="s">
        <v>1422</v>
      </c>
      <c r="E22664" t="s">
        <v>9760</v>
      </c>
      <c r="F22664" s="2" t="str">
        <f>HYPERLINK("http://www.otzar.org/book.asp?680","מחברת הערוך")</f>
        <v>מחברת הערוך</v>
      </c>
    </row>
    <row r="22665" spans="1:6" x14ac:dyDescent="0.2">
      <c r="A22665" t="s">
        <v>36544</v>
      </c>
      <c r="B22665" t="s">
        <v>9891</v>
      </c>
      <c r="C22665" t="s">
        <v>1150</v>
      </c>
      <c r="D22665" t="s">
        <v>1279</v>
      </c>
      <c r="E22665" t="s">
        <v>172</v>
      </c>
      <c r="F22665" s="2" t="str">
        <f>HYPERLINK("http://www.otzar.org/book.asp?100240","מחברת הקודש")</f>
        <v>מחברת הקודש</v>
      </c>
    </row>
    <row r="22666" spans="1:6" x14ac:dyDescent="0.2">
      <c r="A22666" t="s">
        <v>36545</v>
      </c>
      <c r="B22666" t="s">
        <v>405</v>
      </c>
      <c r="C22666" t="s">
        <v>2488</v>
      </c>
      <c r="D22666" t="s">
        <v>4364</v>
      </c>
      <c r="E22666" t="s">
        <v>399</v>
      </c>
      <c r="F22666" s="2" t="str">
        <f>HYPERLINK("http://www.otzar.org/book.asp?19048","מחברת הקודש - 2 כר'")</f>
        <v>מחברת הקודש - 2 כר'</v>
      </c>
    </row>
    <row r="22667" spans="1:6" x14ac:dyDescent="0.2">
      <c r="A22667" t="s">
        <v>36546</v>
      </c>
      <c r="B22667" t="s">
        <v>206</v>
      </c>
      <c r="C22667" t="s">
        <v>313</v>
      </c>
      <c r="D22667" t="s">
        <v>14</v>
      </c>
      <c r="E22667" t="s">
        <v>104</v>
      </c>
      <c r="F22667" s="2" t="str">
        <f>HYPERLINK("http://www.otzar.org/book.asp?64185","מחברת התיגאן")</f>
        <v>מחברת התיגאן</v>
      </c>
    </row>
    <row r="22668" spans="1:6" x14ac:dyDescent="0.2">
      <c r="A22668" t="s">
        <v>36547</v>
      </c>
      <c r="B22668" t="s">
        <v>36548</v>
      </c>
      <c r="C22668" t="s">
        <v>473</v>
      </c>
      <c r="D22668" t="s">
        <v>31028</v>
      </c>
      <c r="E22668" t="s">
        <v>104</v>
      </c>
      <c r="F22668" s="2" t="str">
        <f>HYPERLINK("http://www.otzar.org/book.asp?166796","מחברת כללי דקדוק הקריאה")</f>
        <v>מחברת כללי דקדוק הקריאה</v>
      </c>
    </row>
    <row r="22669" spans="1:6" x14ac:dyDescent="0.2">
      <c r="A22669" t="s">
        <v>36549</v>
      </c>
      <c r="B22669" t="s">
        <v>36550</v>
      </c>
      <c r="C22669" t="s">
        <v>419</v>
      </c>
      <c r="D22669" t="s">
        <v>52</v>
      </c>
      <c r="F22669" s="2" t="str">
        <f>HYPERLINK("http://www.otzar.org/book.asp?615863","מחברת כתרי התורה &lt;מחברת התיגאן&gt; - לעמת המחברת")</f>
        <v>מחברת כתרי התורה &lt;מחברת התיגאן&gt; - לעמת המחברת</v>
      </c>
    </row>
    <row r="22670" spans="1:6" x14ac:dyDescent="0.2">
      <c r="A22670" t="s">
        <v>36551</v>
      </c>
      <c r="B22670" t="s">
        <v>23938</v>
      </c>
      <c r="C22670" t="s">
        <v>3840</v>
      </c>
      <c r="D22670" t="s">
        <v>52</v>
      </c>
      <c r="E22670" t="s">
        <v>144</v>
      </c>
      <c r="F22670" s="2" t="str">
        <f>HYPERLINK("http://www.otzar.org/book.asp?19265","מחברת לרשימת השיעורים - יבמות")</f>
        <v>מחברת לרשימת השיעורים - יבמות</v>
      </c>
    </row>
    <row r="22671" spans="1:6" x14ac:dyDescent="0.2">
      <c r="A22671" t="s">
        <v>36552</v>
      </c>
      <c r="B22671" t="s">
        <v>36553</v>
      </c>
      <c r="C22671" t="s">
        <v>36554</v>
      </c>
      <c r="D22671" t="s">
        <v>563</v>
      </c>
      <c r="E22671" t="s">
        <v>733</v>
      </c>
      <c r="F22671" s="2" t="str">
        <f>HYPERLINK("http://www.otzar.org/book.asp?100554","מחברת מנחם")</f>
        <v>מחברת מנחם</v>
      </c>
    </row>
    <row r="22672" spans="1:6" x14ac:dyDescent="0.2">
      <c r="A22672" t="s">
        <v>36555</v>
      </c>
      <c r="B22672" t="s">
        <v>4925</v>
      </c>
      <c r="C22672" t="s">
        <v>1202</v>
      </c>
      <c r="D22672" t="s">
        <v>36556</v>
      </c>
      <c r="F22672" s="2" t="str">
        <f>HYPERLINK("http://www.otzar.org/book.asp?613684","מחברת משירי קדש")</f>
        <v>מחברת משירי קדש</v>
      </c>
    </row>
    <row r="22673" spans="1:6" x14ac:dyDescent="0.2">
      <c r="A22673" t="s">
        <v>36557</v>
      </c>
      <c r="B22673" t="s">
        <v>26733</v>
      </c>
      <c r="C22673" t="s">
        <v>189</v>
      </c>
      <c r="D22673" t="s">
        <v>14</v>
      </c>
      <c r="E22673" t="s">
        <v>104</v>
      </c>
      <c r="F22673" s="2" t="str">
        <f>HYPERLINK("http://www.otzar.org/book.asp?64114","מחברת צמחי המשנה של הרב יוסף קאפח")</f>
        <v>מחברת צמחי המשנה של הרב יוסף קאפח</v>
      </c>
    </row>
    <row r="22674" spans="1:6" x14ac:dyDescent="0.2">
      <c r="A22674" t="s">
        <v>36558</v>
      </c>
      <c r="B22674" t="s">
        <v>10726</v>
      </c>
      <c r="C22674" t="s">
        <v>20</v>
      </c>
      <c r="D22674" t="s">
        <v>14</v>
      </c>
      <c r="E22674" t="s">
        <v>144</v>
      </c>
      <c r="F22674" s="2" t="str">
        <f>HYPERLINK("http://www.otzar.org/book.asp?607335","מחברת שיעורים - 6 כר'")</f>
        <v>מחברת שיעורים - 6 כר'</v>
      </c>
    </row>
    <row r="22675" spans="1:6" x14ac:dyDescent="0.2">
      <c r="A22675" t="s">
        <v>36559</v>
      </c>
      <c r="B22675" t="s">
        <v>36560</v>
      </c>
      <c r="C22675" t="s">
        <v>20</v>
      </c>
      <c r="D22675" t="s">
        <v>412</v>
      </c>
      <c r="E22675" t="s">
        <v>246</v>
      </c>
      <c r="F22675" s="2" t="str">
        <f>HYPERLINK("http://www.otzar.org/book.asp?189460","מחברת שלום ושלוה - שבת שלום")</f>
        <v>מחברת שלום ושלוה - שבת שלום</v>
      </c>
    </row>
    <row r="22676" spans="1:6" x14ac:dyDescent="0.2">
      <c r="A22676" t="s">
        <v>36561</v>
      </c>
      <c r="D22676" t="s">
        <v>1163</v>
      </c>
      <c r="E22676" t="s">
        <v>246</v>
      </c>
      <c r="F22676" s="2" t="str">
        <f>HYPERLINK("http://www.otzar.org/book.asp?623966","מחברת תשועת ישראל על ידי אסתר")</f>
        <v>מחברת תשועת ישראל על ידי אסתר</v>
      </c>
    </row>
    <row r="22677" spans="1:6" x14ac:dyDescent="0.2">
      <c r="A22677" t="s">
        <v>36562</v>
      </c>
      <c r="B22677" t="s">
        <v>36563</v>
      </c>
      <c r="C22677" t="s">
        <v>419</v>
      </c>
      <c r="D22677" t="s">
        <v>14</v>
      </c>
      <c r="E22677" t="s">
        <v>144</v>
      </c>
      <c r="F22677" s="2" t="str">
        <f>HYPERLINK("http://www.otzar.org/book.asp?180872","מחדושי בעלי התוספות - 2 כר'")</f>
        <v>מחדושי בעלי התוספות - 2 כר'</v>
      </c>
    </row>
    <row r="22678" spans="1:6" x14ac:dyDescent="0.2">
      <c r="A22678" t="s">
        <v>36564</v>
      </c>
      <c r="B22678" t="s">
        <v>19455</v>
      </c>
      <c r="C22678" t="s">
        <v>366</v>
      </c>
      <c r="D22678" t="s">
        <v>412</v>
      </c>
      <c r="E22678" t="s">
        <v>104</v>
      </c>
      <c r="F22678" s="2" t="str">
        <f>HYPERLINK("http://www.otzar.org/book.asp?604554","מחדש חדשים")</f>
        <v>מחדש חדשים</v>
      </c>
    </row>
    <row r="22679" spans="1:6" x14ac:dyDescent="0.2">
      <c r="A22679" t="s">
        <v>36565</v>
      </c>
      <c r="B22679" t="s">
        <v>36566</v>
      </c>
      <c r="C22679" t="s">
        <v>422</v>
      </c>
      <c r="D22679" t="s">
        <v>1205</v>
      </c>
      <c r="E22679" t="s">
        <v>84</v>
      </c>
      <c r="F22679" s="2" t="str">
        <f>HYPERLINK("http://www.otzar.org/book.asp?149517","מחובר לטהור")</f>
        <v>מחובר לטהור</v>
      </c>
    </row>
    <row r="22680" spans="1:6" x14ac:dyDescent="0.2">
      <c r="A22680" t="s">
        <v>36567</v>
      </c>
      <c r="B22680" t="s">
        <v>20380</v>
      </c>
      <c r="C22680" t="s">
        <v>20</v>
      </c>
      <c r="D22680" t="s">
        <v>90</v>
      </c>
      <c r="F22680" s="2" t="str">
        <f>HYPERLINK("http://www.otzar.org/book.asp?193574","מחודדים בפיך - 18 כר'")</f>
        <v>מחודדים בפיך - 18 כר'</v>
      </c>
    </row>
    <row r="22681" spans="1:6" x14ac:dyDescent="0.2">
      <c r="A22681" t="s">
        <v>36568</v>
      </c>
      <c r="B22681" t="s">
        <v>36569</v>
      </c>
      <c r="C22681" t="s">
        <v>13</v>
      </c>
      <c r="D22681" t="s">
        <v>90</v>
      </c>
      <c r="E22681" t="s">
        <v>148</v>
      </c>
      <c r="F22681" s="2" t="str">
        <f>HYPERLINK("http://www.otzar.org/book.asp?61640","מחודדים בפיך - 2 כר'")</f>
        <v>מחודדים בפיך - 2 כר'</v>
      </c>
    </row>
    <row r="22682" spans="1:6" x14ac:dyDescent="0.2">
      <c r="A22682" t="s">
        <v>36568</v>
      </c>
      <c r="B22682" t="s">
        <v>36570</v>
      </c>
      <c r="C22682" t="s">
        <v>189</v>
      </c>
      <c r="D22682" t="s">
        <v>14</v>
      </c>
      <c r="E22682" t="s">
        <v>158</v>
      </c>
      <c r="F22682" s="2" t="str">
        <f>HYPERLINK("http://www.otzar.org/book.asp?85466","מחודדים בפיך - 2 כר'")</f>
        <v>מחודדים בפיך - 2 כר'</v>
      </c>
    </row>
    <row r="22683" spans="1:6" x14ac:dyDescent="0.2">
      <c r="A22683" t="s">
        <v>36571</v>
      </c>
      <c r="B22683" t="s">
        <v>36572</v>
      </c>
      <c r="C22683" t="s">
        <v>20</v>
      </c>
      <c r="D22683" t="s">
        <v>90</v>
      </c>
      <c r="E22683" t="s">
        <v>148</v>
      </c>
      <c r="F22683" s="2" t="str">
        <f>HYPERLINK("http://www.otzar.org/book.asp?194112","מחודדים בפיך - שבת")</f>
        <v>מחודדים בפיך - שבת</v>
      </c>
    </row>
    <row r="22684" spans="1:6" x14ac:dyDescent="0.2">
      <c r="A22684" t="s">
        <v>36573</v>
      </c>
      <c r="B22684" t="s">
        <v>25953</v>
      </c>
      <c r="C22684" t="s">
        <v>160</v>
      </c>
      <c r="D22684" t="s">
        <v>27</v>
      </c>
      <c r="E22684" t="s">
        <v>733</v>
      </c>
      <c r="F22684" s="2" t="str">
        <f>HYPERLINK("http://www.otzar.org/book.asp?15188","מחוזא")</f>
        <v>מחוזא</v>
      </c>
    </row>
    <row r="22685" spans="1:6" x14ac:dyDescent="0.2">
      <c r="A22685" t="s">
        <v>36574</v>
      </c>
      <c r="B22685" t="s">
        <v>1728</v>
      </c>
      <c r="C22685" t="s">
        <v>13</v>
      </c>
      <c r="D22685" t="s">
        <v>273</v>
      </c>
      <c r="E22685" t="s">
        <v>8385</v>
      </c>
      <c r="F22685" s="2" t="str">
        <f>HYPERLINK("http://www.otzar.org/book.asp?628557","מחול הכרמים")</f>
        <v>מחול הכרמים</v>
      </c>
    </row>
    <row r="22686" spans="1:6" x14ac:dyDescent="0.2">
      <c r="A22686" t="s">
        <v>36575</v>
      </c>
      <c r="B22686" t="s">
        <v>21226</v>
      </c>
      <c r="C22686" t="s">
        <v>36576</v>
      </c>
      <c r="D22686" t="s">
        <v>1654</v>
      </c>
      <c r="F22686" s="2" t="str">
        <f>HYPERLINK("http://www.otzar.org/book.asp?620633","מחול הרוחות")</f>
        <v>מחול הרוחות</v>
      </c>
    </row>
    <row r="22687" spans="1:6" x14ac:dyDescent="0.2">
      <c r="A22687" t="s">
        <v>36577</v>
      </c>
      <c r="B22687" t="s">
        <v>20990</v>
      </c>
      <c r="C22687" t="s">
        <v>1036</v>
      </c>
      <c r="D22687" t="s">
        <v>6785</v>
      </c>
      <c r="E22687" t="s">
        <v>33665</v>
      </c>
      <c r="F22687" s="2" t="str">
        <f>HYPERLINK("http://www.otzar.org/book.asp?10646","מחולת המחנים")</f>
        <v>מחולת המחנים</v>
      </c>
    </row>
    <row r="22688" spans="1:6" x14ac:dyDescent="0.2">
      <c r="A22688" t="s">
        <v>36578</v>
      </c>
      <c r="B22688" t="s">
        <v>13135</v>
      </c>
      <c r="C22688" t="s">
        <v>411</v>
      </c>
      <c r="D22688" t="s">
        <v>52</v>
      </c>
      <c r="E22688" t="s">
        <v>154</v>
      </c>
      <c r="F22688" s="2" t="str">
        <f>HYPERLINK("http://www.otzar.org/book.asp?170926","מחוקק במשענותם - 5 כר'")</f>
        <v>מחוקק במשענותם - 5 כר'</v>
      </c>
    </row>
    <row r="22689" spans="1:6" x14ac:dyDescent="0.2">
      <c r="A22689" t="s">
        <v>36579</v>
      </c>
      <c r="B22689" t="s">
        <v>36580</v>
      </c>
      <c r="C22689" t="s">
        <v>4266</v>
      </c>
      <c r="D22689" t="s">
        <v>267</v>
      </c>
      <c r="E22689" t="s">
        <v>148</v>
      </c>
      <c r="F22689" s="2" t="str">
        <f>HYPERLINK("http://www.otzar.org/book.asp?101203","מחוקק יהודה &lt;חוקי דעת&gt;")</f>
        <v>מחוקק יהודה &lt;חוקי דעת&gt;</v>
      </c>
    </row>
    <row r="22690" spans="1:6" x14ac:dyDescent="0.2">
      <c r="A22690" t="s">
        <v>36581</v>
      </c>
      <c r="B22690" t="s">
        <v>36582</v>
      </c>
      <c r="C22690" t="s">
        <v>244</v>
      </c>
      <c r="D22690" t="s">
        <v>21</v>
      </c>
      <c r="E22690" t="s">
        <v>508</v>
      </c>
      <c r="F22690" s="2" t="str">
        <f>HYPERLINK("http://www.otzar.org/book.asp?192812","מחזה אברהם &lt;מהדורה חדשה&gt;")</f>
        <v>מחזה אברהם &lt;מהדורה חדשה&gt;</v>
      </c>
    </row>
    <row r="22691" spans="1:6" x14ac:dyDescent="0.2">
      <c r="A22691" t="s">
        <v>36583</v>
      </c>
      <c r="B22691" t="s">
        <v>15357</v>
      </c>
      <c r="C22691" t="s">
        <v>33241</v>
      </c>
      <c r="D22691" t="s">
        <v>30</v>
      </c>
      <c r="E22691" t="s">
        <v>104</v>
      </c>
      <c r="F22691" s="2" t="str">
        <f>HYPERLINK("http://www.otzar.org/book.asp?19050","מחזה אברהם &lt;ליקוטי יעקב&gt;")</f>
        <v>מחזה אברהם &lt;ליקוטי יעקב&gt;</v>
      </c>
    </row>
    <row r="22692" spans="1:6" x14ac:dyDescent="0.2">
      <c r="A22692" t="s">
        <v>36584</v>
      </c>
      <c r="B22692" t="s">
        <v>6053</v>
      </c>
      <c r="C22692" t="s">
        <v>1124</v>
      </c>
      <c r="D22692" t="s">
        <v>1279</v>
      </c>
      <c r="E22692" t="s">
        <v>474</v>
      </c>
      <c r="F22692" s="2" t="str">
        <f>HYPERLINK("http://www.otzar.org/book.asp?102408","מחזה אברהם על חמשה חומשי תורה")</f>
        <v>מחזה אברהם על חמשה חומשי תורה</v>
      </c>
    </row>
    <row r="22693" spans="1:6" x14ac:dyDescent="0.2">
      <c r="A22693" t="s">
        <v>36585</v>
      </c>
      <c r="B22693" t="s">
        <v>1895</v>
      </c>
      <c r="C22693" t="s">
        <v>156</v>
      </c>
      <c r="D22693" t="s">
        <v>27</v>
      </c>
      <c r="E22693" t="s">
        <v>399</v>
      </c>
      <c r="F22693" s="2" t="str">
        <f>HYPERLINK("http://www.otzar.org/book.asp?143125","מחזה אברהם")</f>
        <v>מחזה אברהם</v>
      </c>
    </row>
    <row r="22694" spans="1:6" x14ac:dyDescent="0.2">
      <c r="A22694" t="s">
        <v>36585</v>
      </c>
      <c r="B22694" t="s">
        <v>36582</v>
      </c>
      <c r="C22694" t="s">
        <v>3957</v>
      </c>
      <c r="D22694" t="s">
        <v>76</v>
      </c>
      <c r="E22694" t="s">
        <v>154</v>
      </c>
      <c r="F22694" s="2" t="str">
        <f>HYPERLINK("http://www.otzar.org/book.asp?101215","מחזה אברהם")</f>
        <v>מחזה אברהם</v>
      </c>
    </row>
    <row r="22695" spans="1:6" x14ac:dyDescent="0.2">
      <c r="A22695" t="s">
        <v>36585</v>
      </c>
      <c r="B22695" t="s">
        <v>36586</v>
      </c>
      <c r="C22695" t="s">
        <v>160</v>
      </c>
      <c r="D22695" t="s">
        <v>260</v>
      </c>
      <c r="E22695" t="s">
        <v>3567</v>
      </c>
      <c r="F22695" s="2" t="str">
        <f>HYPERLINK("http://www.otzar.org/book.asp?20221","מחזה אברהם")</f>
        <v>מחזה אברהם</v>
      </c>
    </row>
    <row r="22696" spans="1:6" x14ac:dyDescent="0.2">
      <c r="A22696" t="s">
        <v>36585</v>
      </c>
      <c r="B22696" t="s">
        <v>16992</v>
      </c>
      <c r="C22696" t="s">
        <v>473</v>
      </c>
      <c r="D22696" t="s">
        <v>1789</v>
      </c>
      <c r="E22696" t="s">
        <v>234</v>
      </c>
      <c r="F22696" s="2" t="str">
        <f>HYPERLINK("http://www.otzar.org/book.asp?192277","מחזה אברהם")</f>
        <v>מחזה אברהם</v>
      </c>
    </row>
    <row r="22697" spans="1:6" x14ac:dyDescent="0.2">
      <c r="A22697" t="s">
        <v>36587</v>
      </c>
      <c r="B22697" t="s">
        <v>36588</v>
      </c>
      <c r="C22697" t="s">
        <v>5903</v>
      </c>
      <c r="D22697" t="s">
        <v>56</v>
      </c>
      <c r="E22697" t="s">
        <v>4586</v>
      </c>
      <c r="F22697" s="2" t="str">
        <f>HYPERLINK("http://www.otzar.org/book.asp?14173","מחזה אברהם - 2 כר'")</f>
        <v>מחזה אברהם - 2 כר'</v>
      </c>
    </row>
    <row r="22698" spans="1:6" x14ac:dyDescent="0.2">
      <c r="A22698" t="s">
        <v>36589</v>
      </c>
      <c r="B22698" t="s">
        <v>36590</v>
      </c>
      <c r="C22698" t="s">
        <v>133</v>
      </c>
      <c r="D22698" t="s">
        <v>52</v>
      </c>
      <c r="F22698" s="2" t="str">
        <f>HYPERLINK("http://www.otzar.org/book.asp?197258","מחזה אברהם - 3 כר'")</f>
        <v>מחזה אברהם - 3 כר'</v>
      </c>
    </row>
    <row r="22699" spans="1:6" x14ac:dyDescent="0.2">
      <c r="A22699" t="s">
        <v>36589</v>
      </c>
      <c r="B22699" t="s">
        <v>36591</v>
      </c>
      <c r="C22699" t="s">
        <v>146</v>
      </c>
      <c r="D22699" t="s">
        <v>14</v>
      </c>
      <c r="E22699" t="s">
        <v>144</v>
      </c>
      <c r="F22699" s="2" t="str">
        <f>HYPERLINK("http://www.otzar.org/book.asp?142059","מחזה אברהם - 3 כר'")</f>
        <v>מחזה אברהם - 3 כר'</v>
      </c>
    </row>
    <row r="22700" spans="1:6" x14ac:dyDescent="0.2">
      <c r="A22700" t="s">
        <v>36585</v>
      </c>
      <c r="B22700" t="s">
        <v>17978</v>
      </c>
      <c r="C22700" t="s">
        <v>75</v>
      </c>
      <c r="D22700" t="s">
        <v>56</v>
      </c>
      <c r="E22700" t="s">
        <v>241</v>
      </c>
      <c r="F22700" s="2" t="str">
        <f>HYPERLINK("http://www.otzar.org/book.asp?108879","מחזה אברהם")</f>
        <v>מחזה אברהם</v>
      </c>
    </row>
    <row r="22701" spans="1:6" x14ac:dyDescent="0.2">
      <c r="A22701" t="s">
        <v>36592</v>
      </c>
      <c r="B22701" t="s">
        <v>36593</v>
      </c>
      <c r="C22701" t="s">
        <v>36594</v>
      </c>
      <c r="D22701" t="s">
        <v>412</v>
      </c>
      <c r="E22701" t="s">
        <v>154</v>
      </c>
      <c r="F22701" s="2" t="str">
        <f>HYPERLINK("http://www.otzar.org/book.asp?28608","מחזה אברהם - 4 כר'")</f>
        <v>מחזה אברהם - 4 כר'</v>
      </c>
    </row>
    <row r="22702" spans="1:6" x14ac:dyDescent="0.2">
      <c r="A22702" t="s">
        <v>36595</v>
      </c>
      <c r="B22702" t="s">
        <v>36596</v>
      </c>
      <c r="C22702" t="s">
        <v>383</v>
      </c>
      <c r="D22702" t="s">
        <v>412</v>
      </c>
      <c r="F22702" s="2" t="str">
        <f>HYPERLINK("http://www.otzar.org/book.asp?164092","מחזה איש")</f>
        <v>מחזה איש</v>
      </c>
    </row>
    <row r="22703" spans="1:6" x14ac:dyDescent="0.2">
      <c r="A22703" t="s">
        <v>36597</v>
      </c>
      <c r="B22703" t="s">
        <v>32218</v>
      </c>
      <c r="D22703" t="s">
        <v>52</v>
      </c>
      <c r="F22703" s="2" t="str">
        <f>HYPERLINK("http://www.otzar.org/book.asp?632825","מחזה אליהו - 2 כר'")</f>
        <v>מחזה אליהו - 2 כר'</v>
      </c>
    </row>
    <row r="22704" spans="1:6" x14ac:dyDescent="0.2">
      <c r="A22704" t="s">
        <v>36598</v>
      </c>
      <c r="B22704" t="s">
        <v>10750</v>
      </c>
      <c r="C22704" t="s">
        <v>146</v>
      </c>
      <c r="D22704" t="s">
        <v>412</v>
      </c>
      <c r="F22704" s="2" t="str">
        <f>HYPERLINK("http://www.otzar.org/book.asp?620859","מחזה חג האסיף")</f>
        <v>מחזה חג האסיף</v>
      </c>
    </row>
    <row r="22705" spans="1:6" x14ac:dyDescent="0.2">
      <c r="A22705" t="s">
        <v>36599</v>
      </c>
      <c r="B22705" t="s">
        <v>36600</v>
      </c>
      <c r="C22705" t="s">
        <v>896</v>
      </c>
      <c r="D22705" t="s">
        <v>6214</v>
      </c>
      <c r="E22705" t="s">
        <v>158</v>
      </c>
      <c r="F22705" s="2" t="str">
        <f>HYPERLINK("http://www.otzar.org/book.asp?193907","מחזה יהודה")</f>
        <v>מחזה יהודה</v>
      </c>
    </row>
    <row r="22706" spans="1:6" x14ac:dyDescent="0.2">
      <c r="A22706" t="s">
        <v>36601</v>
      </c>
      <c r="B22706" t="s">
        <v>36602</v>
      </c>
      <c r="C22706" t="s">
        <v>940</v>
      </c>
      <c r="D22706" t="s">
        <v>412</v>
      </c>
      <c r="E22706" t="s">
        <v>144</v>
      </c>
      <c r="F22706" s="2" t="str">
        <f>HYPERLINK("http://www.otzar.org/book.asp?84886","מחזה יושר")</f>
        <v>מחזה יושר</v>
      </c>
    </row>
    <row r="22707" spans="1:6" x14ac:dyDescent="0.2">
      <c r="A22707" t="s">
        <v>36603</v>
      </c>
      <c r="B22707" t="s">
        <v>34416</v>
      </c>
      <c r="C22707" t="s">
        <v>854</v>
      </c>
      <c r="D22707" t="s">
        <v>283</v>
      </c>
      <c r="E22707" t="s">
        <v>213</v>
      </c>
      <c r="F22707" s="2" t="str">
        <f>HYPERLINK("http://www.otzar.org/book.asp?6419","מחזה עינים &lt;גיא חזיון&gt;")</f>
        <v>מחזה עינים &lt;גיא חזיון&gt;</v>
      </c>
    </row>
    <row r="22708" spans="1:6" x14ac:dyDescent="0.2">
      <c r="A22708" t="s">
        <v>36604</v>
      </c>
      <c r="B22708" t="s">
        <v>34416</v>
      </c>
      <c r="C22708" t="s">
        <v>151</v>
      </c>
      <c r="D22708" t="s">
        <v>21</v>
      </c>
      <c r="F22708" s="2" t="str">
        <f>HYPERLINK("http://www.otzar.org/book.asp?622471","מחזה עינים  - גיא חזיון &lt;מהדורה חדשה&gt;")</f>
        <v>מחזה עינים  - גיא חזיון &lt;מהדורה חדשה&gt;</v>
      </c>
    </row>
    <row r="22709" spans="1:6" x14ac:dyDescent="0.2">
      <c r="A22709" t="s">
        <v>36605</v>
      </c>
      <c r="B22709" t="s">
        <v>2361</v>
      </c>
      <c r="C22709" t="s">
        <v>553</v>
      </c>
      <c r="D22709" t="s">
        <v>412</v>
      </c>
      <c r="E22709" t="s">
        <v>104</v>
      </c>
      <c r="F22709" s="2" t="str">
        <f>HYPERLINK("http://www.otzar.org/book.asp?14818","מחזה עליון - 2 כר'")</f>
        <v>מחזה עליון - 2 כר'</v>
      </c>
    </row>
    <row r="22710" spans="1:6" x14ac:dyDescent="0.2">
      <c r="A22710" t="s">
        <v>36606</v>
      </c>
      <c r="B22710" t="s">
        <v>36607</v>
      </c>
      <c r="C22710" t="s">
        <v>989</v>
      </c>
      <c r="D22710" t="s">
        <v>14</v>
      </c>
      <c r="F22710" s="2" t="str">
        <f>HYPERLINK("http://www.otzar.org/book.asp?163576","מחזור &lt;גולדשמידט&gt; - 3 כר'")</f>
        <v>מחזור &lt;גולדשמידט&gt; - 3 כר'</v>
      </c>
    </row>
    <row r="22711" spans="1:6" x14ac:dyDescent="0.2">
      <c r="A22711" t="s">
        <v>36608</v>
      </c>
      <c r="B22711" t="s">
        <v>36105</v>
      </c>
      <c r="C22711" t="s">
        <v>802</v>
      </c>
      <c r="D22711" t="s">
        <v>6801</v>
      </c>
      <c r="E22711" t="s">
        <v>219</v>
      </c>
      <c r="F22711" s="2" t="str">
        <f>HYPERLINK("http://www.otzar.org/book.asp?179443","מחזור &lt;רעדלהיים, אשכנז&gt; - 4 כר'")</f>
        <v>מחזור &lt;רעדלהיים, אשכנז&gt; - 4 כר'</v>
      </c>
    </row>
    <row r="22712" spans="1:6" x14ac:dyDescent="0.2">
      <c r="A22712" t="s">
        <v>36609</v>
      </c>
      <c r="B22712" t="s">
        <v>36105</v>
      </c>
      <c r="C22712" t="s">
        <v>1481</v>
      </c>
      <c r="D22712" t="s">
        <v>6801</v>
      </c>
      <c r="E22712" t="s">
        <v>219</v>
      </c>
      <c r="F22712" s="2" t="str">
        <f>HYPERLINK("http://www.otzar.org/book.asp?179452","מחזור &lt;רעדלהיים, אשכנז?&gt; - 3 כר'")</f>
        <v>מחזור &lt;רעדלהיים, אשכנז?&gt; - 3 כר'</v>
      </c>
    </row>
    <row r="22713" spans="1:6" x14ac:dyDescent="0.2">
      <c r="A22713" t="s">
        <v>36610</v>
      </c>
      <c r="B22713" t="s">
        <v>36105</v>
      </c>
      <c r="C22713" t="s">
        <v>36611</v>
      </c>
      <c r="D22713" t="s">
        <v>6801</v>
      </c>
      <c r="E22713" t="s">
        <v>219</v>
      </c>
      <c r="F22713" s="2" t="str">
        <f>HYPERLINK("http://www.otzar.org/book.asp?106609","מחזור &lt;רעדלהיים, פולין&gt; - 8 כר'")</f>
        <v>מחזור &lt;רעדלהיים, פולין&gt; - 8 כר'</v>
      </c>
    </row>
    <row r="22714" spans="1:6" x14ac:dyDescent="0.2">
      <c r="A22714" t="s">
        <v>36612</v>
      </c>
      <c r="B22714" t="s">
        <v>36613</v>
      </c>
      <c r="C22714" t="s">
        <v>802</v>
      </c>
      <c r="D22714" t="s">
        <v>7059</v>
      </c>
      <c r="E22714" t="s">
        <v>219</v>
      </c>
      <c r="F22714" s="2" t="str">
        <f>HYPERLINK("http://www.otzar.org/book.asp?179444","מחזור &lt;לעטריס&gt; - מועדים")</f>
        <v>מחזור &lt;לעטריס&gt; - מועדים</v>
      </c>
    </row>
    <row r="22715" spans="1:6" x14ac:dyDescent="0.2">
      <c r="A22715" t="s">
        <v>36614</v>
      </c>
      <c r="B22715" t="s">
        <v>36615</v>
      </c>
      <c r="C22715" t="s">
        <v>523</v>
      </c>
      <c r="D22715" t="s">
        <v>14</v>
      </c>
      <c r="E22715" t="s">
        <v>219</v>
      </c>
      <c r="F22715" s="2" t="str">
        <f>HYPERLINK("http://www.otzar.org/book.asp?602836","מחזור &lt;גולדשמידט&gt; - 2 כר'")</f>
        <v>מחזור &lt;גולדשמידט&gt; - 2 כר'</v>
      </c>
    </row>
    <row r="22716" spans="1:6" x14ac:dyDescent="0.2">
      <c r="A22716" t="s">
        <v>36616</v>
      </c>
      <c r="B22716" t="s">
        <v>36617</v>
      </c>
      <c r="C22716" t="s">
        <v>752</v>
      </c>
      <c r="D22716" t="s">
        <v>6801</v>
      </c>
      <c r="E22716" t="s">
        <v>1517</v>
      </c>
      <c r="F22716" s="2" t="str">
        <f>HYPERLINK("http://www.otzar.org/book.asp?156832","מחזור &lt;רעדלהיים, אשכנז&gt; - ליום ראשון של ראש השנה")</f>
        <v>מחזור &lt;רעדלהיים, אשכנז&gt; - ליום ראשון של ראש השנה</v>
      </c>
    </row>
    <row r="22717" spans="1:6" x14ac:dyDescent="0.2">
      <c r="A22717" t="s">
        <v>36618</v>
      </c>
      <c r="B22717" t="s">
        <v>36619</v>
      </c>
      <c r="C22717" t="s">
        <v>2543</v>
      </c>
      <c r="D22717" t="s">
        <v>267</v>
      </c>
      <c r="E22717" t="s">
        <v>219</v>
      </c>
      <c r="F22717" s="2" t="str">
        <f>HYPERLINK("http://www.otzar.org/book.asp?197475","מחזור &lt;לעמבערג&gt; - 5 כר'")</f>
        <v>מחזור &lt;לעמבערג&gt; - 5 כר'</v>
      </c>
    </row>
    <row r="22718" spans="1:6" x14ac:dyDescent="0.2">
      <c r="A22718" t="s">
        <v>36620</v>
      </c>
      <c r="B22718" t="s">
        <v>36621</v>
      </c>
      <c r="C22718" t="s">
        <v>20</v>
      </c>
      <c r="D22718" t="s">
        <v>36622</v>
      </c>
      <c r="E22718" t="s">
        <v>1517</v>
      </c>
      <c r="F22718" s="2" t="str">
        <f>HYPERLINK("http://www.otzar.org/book.asp?179441","מחזור &lt;היידנהיים, פולין&gt; - ב ימים אחרונים של סוכות")</f>
        <v>מחזור &lt;היידנהיים, פולין&gt; - ב ימים אחרונים של סוכות</v>
      </c>
    </row>
    <row r="22719" spans="1:6" x14ac:dyDescent="0.2">
      <c r="A22719" t="s">
        <v>36623</v>
      </c>
      <c r="B22719" t="s">
        <v>5504</v>
      </c>
      <c r="C22719" t="s">
        <v>37</v>
      </c>
      <c r="D22719" t="s">
        <v>21</v>
      </c>
      <c r="E22719" t="s">
        <v>1517</v>
      </c>
      <c r="F22719" s="2" t="str">
        <f>HYPERLINK("http://www.otzar.org/book.asp?197109","מחזור אבותינו &lt;נוסח מרוקו&gt; - 8 כר'")</f>
        <v>מחזור אבותינו &lt;נוסח מרוקו&gt; - 8 כר'</v>
      </c>
    </row>
    <row r="22720" spans="1:6" x14ac:dyDescent="0.2">
      <c r="A22720" t="s">
        <v>36624</v>
      </c>
      <c r="B22720" t="s">
        <v>36625</v>
      </c>
      <c r="C22720" t="s">
        <v>445</v>
      </c>
      <c r="D22720" t="s">
        <v>27</v>
      </c>
      <c r="E22720" t="s">
        <v>1517</v>
      </c>
      <c r="F22720" s="2" t="str">
        <f>HYPERLINK("http://www.otzar.org/book.asp?62802","מחזור אהלי יעקב - 2 כר'")</f>
        <v>מחזור אהלי יעקב - 2 כר'</v>
      </c>
    </row>
    <row r="22721" spans="1:6" x14ac:dyDescent="0.2">
      <c r="A22721" t="s">
        <v>36626</v>
      </c>
      <c r="F22721" s="2" t="str">
        <f>HYPERLINK("http://www.otzar.org/book.asp?185032","מחזור אר""צ - המבואות")</f>
        <v>מחזור אר"צ - המבואות</v>
      </c>
    </row>
    <row r="22722" spans="1:6" x14ac:dyDescent="0.2">
      <c r="A22722" t="s">
        <v>36627</v>
      </c>
      <c r="B22722" t="s">
        <v>36628</v>
      </c>
      <c r="C22722" t="s">
        <v>36629</v>
      </c>
      <c r="D22722" t="s">
        <v>95</v>
      </c>
      <c r="F22722" s="2" t="str">
        <f>HYPERLINK("http://www.otzar.org/book.asp?610626","מחזור ארם צובא - 2 כר'")</f>
        <v>מחזור ארם צובא - 2 כר'</v>
      </c>
    </row>
    <row r="22723" spans="1:6" x14ac:dyDescent="0.2">
      <c r="A22723" t="s">
        <v>36630</v>
      </c>
      <c r="B22723" t="s">
        <v>36631</v>
      </c>
      <c r="D22723" t="s">
        <v>36632</v>
      </c>
      <c r="E22723" t="s">
        <v>1517</v>
      </c>
      <c r="F22723" s="2" t="str">
        <f>HYPERLINK("http://www.otzar.org/book.asp?624733","מחזור בית אל &lt;מתורגם יהודית&gt; - יום כיפור")</f>
        <v>מחזור בית אל &lt;מתורגם יהודית&gt; - יום כיפור</v>
      </c>
    </row>
    <row r="22724" spans="1:6" x14ac:dyDescent="0.2">
      <c r="A22724" t="s">
        <v>36633</v>
      </c>
      <c r="B22724" t="s">
        <v>36634</v>
      </c>
      <c r="C22724" t="s">
        <v>51</v>
      </c>
      <c r="D22724" t="s">
        <v>14</v>
      </c>
      <c r="E22724" t="s">
        <v>219</v>
      </c>
      <c r="F22724" s="2" t="str">
        <f>HYPERLINK("http://www.otzar.org/book.asp?144072","מחזור הגר""א - 5 כר'")</f>
        <v>מחזור הגר"א - 5 כר'</v>
      </c>
    </row>
    <row r="22725" spans="1:6" x14ac:dyDescent="0.2">
      <c r="A22725" t="s">
        <v>36635</v>
      </c>
      <c r="B22725" t="s">
        <v>36636</v>
      </c>
      <c r="C22725" t="s">
        <v>36637</v>
      </c>
      <c r="D22725" t="s">
        <v>49</v>
      </c>
      <c r="E22725" t="s">
        <v>1517</v>
      </c>
      <c r="F22725" s="2" t="str">
        <f>HYPERLINK("http://www.otzar.org/book.asp?152280","מחזור הדרת קדש - שלוש רגלים")</f>
        <v>מחזור הדרת קדש - שלוש רגלים</v>
      </c>
    </row>
    <row r="22726" spans="1:6" x14ac:dyDescent="0.2">
      <c r="A22726" t="s">
        <v>36638</v>
      </c>
      <c r="B22726" t="s">
        <v>36636</v>
      </c>
      <c r="C22726" t="s">
        <v>36637</v>
      </c>
      <c r="D22726" t="s">
        <v>49</v>
      </c>
      <c r="F22726" s="2" t="str">
        <f>HYPERLINK("http://www.otzar.org/book.asp?619141","מחזור הדרת קודש - 3 כר'")</f>
        <v>מחזור הדרת קודש - 3 כר'</v>
      </c>
    </row>
    <row r="22727" spans="1:6" x14ac:dyDescent="0.2">
      <c r="A22727" t="s">
        <v>36639</v>
      </c>
      <c r="B22727" t="s">
        <v>36640</v>
      </c>
      <c r="D22727" t="s">
        <v>14</v>
      </c>
      <c r="F22727" s="2" t="str">
        <f>HYPERLINK("http://www.otzar.org/book.asp?157580","מחזור התפילה של רבינו יונה")</f>
        <v>מחזור התפילה של רבינו יונה</v>
      </c>
    </row>
    <row r="22728" spans="1:6" x14ac:dyDescent="0.2">
      <c r="A22728" t="s">
        <v>36641</v>
      </c>
      <c r="B22728" t="s">
        <v>36640</v>
      </c>
      <c r="C22728" t="s">
        <v>313</v>
      </c>
      <c r="D22728" t="s">
        <v>14</v>
      </c>
      <c r="F22728" s="2" t="str">
        <f>HYPERLINK("http://www.otzar.org/book.asp?157579","מחזור התפילה של רבינו תם")</f>
        <v>מחזור התפילה של רבינו תם</v>
      </c>
    </row>
    <row r="22729" spans="1:6" x14ac:dyDescent="0.2">
      <c r="A22729" t="s">
        <v>36642</v>
      </c>
      <c r="B22729" t="s">
        <v>36643</v>
      </c>
      <c r="E22729" t="s">
        <v>219</v>
      </c>
      <c r="F22729" s="2" t="str">
        <f>HYPERLINK("http://www.otzar.org/book.asp?618509","מחזור וורמיישא מנהג  אשכנז - 2 כר'")</f>
        <v>מחזור וורמיישא מנהג  אשכנז - 2 כר'</v>
      </c>
    </row>
    <row r="22730" spans="1:6" x14ac:dyDescent="0.2">
      <c r="A22730" t="s">
        <v>36644</v>
      </c>
      <c r="B22730" t="s">
        <v>36645</v>
      </c>
      <c r="C22730" t="s">
        <v>422</v>
      </c>
      <c r="D22730" t="s">
        <v>14</v>
      </c>
      <c r="E22730" t="s">
        <v>15</v>
      </c>
      <c r="F22730" s="2" t="str">
        <f>HYPERLINK("http://www.otzar.org/book.asp?168262","מחזור ויטרי &lt;מהדורת גולדשמידט&gt; - 3 כר'")</f>
        <v>מחזור ויטרי &lt;מהדורת גולדשמידט&gt; - 3 כר'</v>
      </c>
    </row>
    <row r="22731" spans="1:6" x14ac:dyDescent="0.2">
      <c r="A22731" t="s">
        <v>36646</v>
      </c>
      <c r="B22731" t="s">
        <v>36645</v>
      </c>
      <c r="C22731" t="s">
        <v>1096</v>
      </c>
      <c r="D22731" t="s">
        <v>36647</v>
      </c>
      <c r="E22731" t="s">
        <v>1433</v>
      </c>
      <c r="F22731" s="2" t="str">
        <f>HYPERLINK("http://www.otzar.org/book.asp?103863","מחזור ויטרי - 3 כר'")</f>
        <v>מחזור ויטרי - 3 כר'</v>
      </c>
    </row>
    <row r="22732" spans="1:6" x14ac:dyDescent="0.2">
      <c r="A22732" t="s">
        <v>36648</v>
      </c>
      <c r="B22732" t="s">
        <v>36649</v>
      </c>
      <c r="C22732" t="s">
        <v>244</v>
      </c>
      <c r="D22732" t="s">
        <v>14</v>
      </c>
      <c r="E22732" t="s">
        <v>219</v>
      </c>
      <c r="F22732" s="2" t="str">
        <f>HYPERLINK("http://www.otzar.org/book.asp?600892","מחזור וילנא כתר מלכות - 2 כר'")</f>
        <v>מחזור וילנא כתר מלכות - 2 כר'</v>
      </c>
    </row>
    <row r="22733" spans="1:6" x14ac:dyDescent="0.2">
      <c r="A22733" t="s">
        <v>36650</v>
      </c>
      <c r="B22733" t="s">
        <v>36651</v>
      </c>
      <c r="C22733" t="s">
        <v>37</v>
      </c>
      <c r="D22733" t="s">
        <v>18543</v>
      </c>
      <c r="E22733" t="s">
        <v>219</v>
      </c>
      <c r="F22733" s="2" t="str">
        <f>HYPERLINK("http://www.otzar.org/book.asp?603008","מחזור זכור לאברהם &lt;מהדורת ארץ ישראל&gt; - 2 כר'")</f>
        <v>מחזור זכור לאברהם &lt;מהדורת ארץ ישראל&gt; - 2 כר'</v>
      </c>
    </row>
    <row r="22734" spans="1:6" x14ac:dyDescent="0.2">
      <c r="A22734" t="s">
        <v>36652</v>
      </c>
      <c r="B22734" t="s">
        <v>36653</v>
      </c>
      <c r="C22734" t="s">
        <v>37</v>
      </c>
      <c r="D22734" t="s">
        <v>1356</v>
      </c>
      <c r="E22734" t="s">
        <v>1517</v>
      </c>
      <c r="F22734" s="2" t="str">
        <f>HYPERLINK("http://www.otzar.org/book.asp?625885","מחזור זכור לאברהם &lt;כמנהג ק""ק הספרדים בא""י&gt; - 2 כר'")</f>
        <v>מחזור זכור לאברהם &lt;כמנהג ק"ק הספרדים בא"י&gt; - 2 כר'</v>
      </c>
    </row>
    <row r="22735" spans="1:6" x14ac:dyDescent="0.2">
      <c r="A22735" t="s">
        <v>36654</v>
      </c>
      <c r="B22735" t="s">
        <v>36655</v>
      </c>
      <c r="C22735" t="s">
        <v>23</v>
      </c>
      <c r="D22735" t="s">
        <v>52</v>
      </c>
      <c r="F22735" s="2" t="str">
        <f>HYPERLINK("http://www.otzar.org/book.asp?196531","מחזור זכור ליעקב &lt;נוסח עדן&gt; - 2 כר'")</f>
        <v>מחזור זכור ליעקב &lt;נוסח עדן&gt; - 2 כר'</v>
      </c>
    </row>
    <row r="22736" spans="1:6" x14ac:dyDescent="0.2">
      <c r="A22736" t="s">
        <v>36656</v>
      </c>
      <c r="B22736" t="s">
        <v>36657</v>
      </c>
      <c r="C22736" t="s">
        <v>8</v>
      </c>
      <c r="D22736" t="s">
        <v>23031</v>
      </c>
      <c r="E22736" t="s">
        <v>1517</v>
      </c>
      <c r="F22736" s="2" t="str">
        <f>HYPERLINK("http://www.otzar.org/book.asp?150492","מחזור יום כיפור &lt;מנהג קאטאלאן&gt;")</f>
        <v>מחזור יום כיפור &lt;מנהג קאטאלאן&gt;</v>
      </c>
    </row>
    <row r="22737" spans="1:6" x14ac:dyDescent="0.2">
      <c r="A22737" t="s">
        <v>36658</v>
      </c>
      <c r="B22737" t="s">
        <v>36659</v>
      </c>
      <c r="C22737" t="s">
        <v>2105</v>
      </c>
      <c r="D22737" t="s">
        <v>9</v>
      </c>
      <c r="E22737" t="s">
        <v>8394</v>
      </c>
      <c r="F22737" s="2" t="str">
        <f>HYPERLINK("http://www.otzar.org/book.asp?102402","מחזור יניי")</f>
        <v>מחזור יניי</v>
      </c>
    </row>
    <row r="22738" spans="1:6" x14ac:dyDescent="0.2">
      <c r="A22738" t="s">
        <v>36660</v>
      </c>
      <c r="B22738" t="s">
        <v>29624</v>
      </c>
      <c r="C22738" t="s">
        <v>13</v>
      </c>
      <c r="D22738" t="s">
        <v>14</v>
      </c>
      <c r="F22738" s="2" t="str">
        <f>HYPERLINK("http://www.otzar.org/book.asp?169635","מחזור יסוד ושורש העבודה - 4 כר'")</f>
        <v>מחזור יסוד ושורש העבודה - 4 כר'</v>
      </c>
    </row>
    <row r="22739" spans="1:6" x14ac:dyDescent="0.2">
      <c r="A22739" t="s">
        <v>36661</v>
      </c>
      <c r="B22739" t="s">
        <v>36662</v>
      </c>
      <c r="C22739" t="s">
        <v>558</v>
      </c>
      <c r="D22739" t="s">
        <v>412</v>
      </c>
      <c r="E22739" t="s">
        <v>1517</v>
      </c>
      <c r="F22739" s="2" t="str">
        <f>HYPERLINK("http://www.otzar.org/book.asp?160425","מחזור כל בו &lt;בית ישראל&gt; - 2 כר'")</f>
        <v>מחזור כל בו &lt;בית ישראל&gt; - 2 כר'</v>
      </c>
    </row>
    <row r="22740" spans="1:6" x14ac:dyDescent="0.2">
      <c r="A22740" t="s">
        <v>36663</v>
      </c>
      <c r="B22740" t="s">
        <v>36664</v>
      </c>
      <c r="C22740" t="s">
        <v>26</v>
      </c>
      <c r="D22740" t="s">
        <v>14</v>
      </c>
      <c r="E22740" t="s">
        <v>219</v>
      </c>
      <c r="F22740" s="2" t="str">
        <f>HYPERLINK("http://www.otzar.org/book.asp?158068","מחזור כל בו - 2 כר'")</f>
        <v>מחזור כל בו - 2 כר'</v>
      </c>
    </row>
    <row r="22741" spans="1:6" x14ac:dyDescent="0.2">
      <c r="A22741" t="s">
        <v>36663</v>
      </c>
      <c r="B22741" t="s">
        <v>36621</v>
      </c>
      <c r="C22741" t="s">
        <v>843</v>
      </c>
      <c r="D22741" t="s">
        <v>216</v>
      </c>
      <c r="F22741" s="2" t="str">
        <f>HYPERLINK("http://www.otzar.org/book.asp?610967","מחזור כל בו - 2 כר'")</f>
        <v>מחזור כל בו - 2 כר'</v>
      </c>
    </row>
    <row r="22742" spans="1:6" x14ac:dyDescent="0.2">
      <c r="A22742" t="s">
        <v>36665</v>
      </c>
      <c r="B22742" t="s">
        <v>36666</v>
      </c>
      <c r="C22742" t="s">
        <v>1414</v>
      </c>
      <c r="D22742" t="s">
        <v>212</v>
      </c>
      <c r="F22742" s="2" t="str">
        <f>HYPERLINK("http://www.otzar.org/book.asp?169670","מחזור כל השנה כפי מנהג ק""ק איטאלייאני - 2 כר'")</f>
        <v>מחזור כל השנה כפי מנהג ק"ק איטאלייאני - 2 כר'</v>
      </c>
    </row>
    <row r="22743" spans="1:6" x14ac:dyDescent="0.2">
      <c r="A22743" t="s">
        <v>36667</v>
      </c>
      <c r="B22743" t="s">
        <v>36668</v>
      </c>
      <c r="C22743" t="s">
        <v>13</v>
      </c>
      <c r="D22743" t="s">
        <v>90</v>
      </c>
      <c r="E22743" t="s">
        <v>18910</v>
      </c>
      <c r="F22743" s="2" t="str">
        <f>HYPERLINK("http://www.otzar.org/book.asp?64325","מחזור כל נדרי ליוה""כ &lt;תכלאל כמנהג ביד'א&gt;")</f>
        <v>מחזור כל נדרי ליוה"כ &lt;תכלאל כמנהג ביד'א&gt;</v>
      </c>
    </row>
    <row r="22744" spans="1:6" x14ac:dyDescent="0.2">
      <c r="A22744" t="s">
        <v>36669</v>
      </c>
      <c r="B22744" t="s">
        <v>36670</v>
      </c>
      <c r="C22744" t="s">
        <v>36671</v>
      </c>
      <c r="D22744" t="s">
        <v>885</v>
      </c>
      <c r="E22744" t="s">
        <v>219</v>
      </c>
      <c r="F22744" s="2" t="str">
        <f>HYPERLINK("http://www.otzar.org/book.asp?182130","מחזור כמנהג אשכנזים - 2 כר'")</f>
        <v>מחזור כמנהג אשכנזים - 2 כר'</v>
      </c>
    </row>
    <row r="22745" spans="1:6" x14ac:dyDescent="0.2">
      <c r="A22745" t="s">
        <v>36672</v>
      </c>
      <c r="B22745" t="s">
        <v>36673</v>
      </c>
      <c r="D22745" t="s">
        <v>14</v>
      </c>
      <c r="E22745" t="s">
        <v>219</v>
      </c>
      <c r="F22745" s="2" t="str">
        <f>HYPERLINK("http://www.otzar.org/book.asp?620283","מחזור כמנהג בני רומה - 5 כר'")</f>
        <v>מחזור כמנהג בני רומה - 5 כר'</v>
      </c>
    </row>
    <row r="22746" spans="1:6" x14ac:dyDescent="0.2">
      <c r="A22746" t="s">
        <v>36674</v>
      </c>
      <c r="B22746" t="s">
        <v>36675</v>
      </c>
      <c r="C22746" t="s">
        <v>1414</v>
      </c>
      <c r="D22746" t="s">
        <v>535</v>
      </c>
      <c r="E22746" t="s">
        <v>219</v>
      </c>
      <c r="F22746" s="2" t="str">
        <f>HYPERLINK("http://www.otzar.org/book.asp?150053","מחזור כמנהג פולין ליטא ורייסן פיהם ומעהרין &lt;קרבן אהרון&gt; - 2 כר'")</f>
        <v>מחזור כמנהג פולין ליטא ורייסן פיהם ומעהרין &lt;קרבן אהרון&gt; - 2 כר'</v>
      </c>
    </row>
    <row r="22747" spans="1:6" x14ac:dyDescent="0.2">
      <c r="A22747" t="s">
        <v>36676</v>
      </c>
      <c r="B22747" t="s">
        <v>36677</v>
      </c>
      <c r="C22747" t="s">
        <v>343</v>
      </c>
      <c r="D22747" t="s">
        <v>535</v>
      </c>
      <c r="F22747" s="2" t="str">
        <f>HYPERLINK("http://www.otzar.org/book.asp?620417","מחזור כמנהג פולין ליטא ורייסן פיהם ומעהרין")</f>
        <v>מחזור כמנהג פולין ליטא ורייסן פיהם ומעהרין</v>
      </c>
    </row>
    <row r="22748" spans="1:6" x14ac:dyDescent="0.2">
      <c r="A22748" t="s">
        <v>36678</v>
      </c>
      <c r="B22748" t="s">
        <v>36679</v>
      </c>
      <c r="C22748" t="s">
        <v>600</v>
      </c>
      <c r="D22748" t="s">
        <v>327</v>
      </c>
      <c r="E22748" t="s">
        <v>219</v>
      </c>
      <c r="F22748" s="2" t="str">
        <f>HYPERLINK("http://www.otzar.org/book.asp?60391","מחזור כמנהג פולין, רייסן, ליטא, פיהם, מעהרין - שבועות")</f>
        <v>מחזור כמנהג פולין, רייסן, ליטא, פיהם, מעהרין - שבועות</v>
      </c>
    </row>
    <row r="22749" spans="1:6" x14ac:dyDescent="0.2">
      <c r="A22749" t="s">
        <v>36680</v>
      </c>
      <c r="B22749" t="s">
        <v>36681</v>
      </c>
      <c r="C22749" t="s">
        <v>36682</v>
      </c>
      <c r="D22749" t="s">
        <v>1411</v>
      </c>
      <c r="F22749" s="2" t="str">
        <f>HYPERLINK("http://www.otzar.org/book.asp?170261","מחזור כמנהג ק""ק רומא")</f>
        <v>מחזור כמנהג ק"ק רומא</v>
      </c>
    </row>
    <row r="22750" spans="1:6" x14ac:dyDescent="0.2">
      <c r="A22750" t="s">
        <v>36683</v>
      </c>
      <c r="B22750" t="s">
        <v>36684</v>
      </c>
      <c r="C22750" t="s">
        <v>36685</v>
      </c>
      <c r="D22750" t="s">
        <v>4248</v>
      </c>
      <c r="E22750" t="s">
        <v>219</v>
      </c>
      <c r="F22750" s="2" t="str">
        <f>HYPERLINK("http://www.otzar.org/book.asp?28262","מחזור כפי מנהג ק""ק רומא - 3 כר'")</f>
        <v>מחזור כפי מנהג ק"ק רומא - 3 כר'</v>
      </c>
    </row>
    <row r="22751" spans="1:6" x14ac:dyDescent="0.2">
      <c r="A22751" t="s">
        <v>36686</v>
      </c>
      <c r="B22751" t="s">
        <v>36687</v>
      </c>
      <c r="C22751" t="s">
        <v>1202</v>
      </c>
      <c r="D22751" t="s">
        <v>582</v>
      </c>
      <c r="E22751" t="s">
        <v>1517</v>
      </c>
      <c r="F22751" s="2" t="str">
        <f>HYPERLINK("http://www.otzar.org/book.asp?150538","מחזור לבני ישראל &lt;קרבן אהרון&gt; - יום הכפורים")</f>
        <v>מחזור לבני ישראל &lt;קרבן אהרון&gt; - יום הכפורים</v>
      </c>
    </row>
    <row r="22752" spans="1:6" x14ac:dyDescent="0.2">
      <c r="A22752" t="s">
        <v>36688</v>
      </c>
      <c r="B22752" t="s">
        <v>36689</v>
      </c>
      <c r="C22752" t="s">
        <v>244</v>
      </c>
      <c r="D22752" t="s">
        <v>1156</v>
      </c>
      <c r="E22752" t="s">
        <v>219</v>
      </c>
      <c r="F22752" s="2" t="str">
        <f>HYPERLINK("http://www.otzar.org/book.asp?619348","מחזור לחג הסוכות ושמיני עצרת - מנהג אשכנז המובהק")</f>
        <v>מחזור לחג הסוכות ושמיני עצרת - מנהג אשכנז המובהק</v>
      </c>
    </row>
    <row r="22753" spans="1:6" x14ac:dyDescent="0.2">
      <c r="A22753" t="s">
        <v>36690</v>
      </c>
      <c r="B22753" t="s">
        <v>30028</v>
      </c>
      <c r="C22753" t="s">
        <v>244</v>
      </c>
      <c r="D22753" t="s">
        <v>90</v>
      </c>
      <c r="E22753" t="s">
        <v>1517</v>
      </c>
      <c r="F22753" s="2" t="str">
        <f>HYPERLINK("http://www.otzar.org/book.asp?605402","מחזור ליום הכיפורים - מנהג אשכנז המובהק")</f>
        <v>מחזור ליום הכיפורים - מנהג אשכנז המובהק</v>
      </c>
    </row>
    <row r="22754" spans="1:6" x14ac:dyDescent="0.2">
      <c r="A22754" t="s">
        <v>36691</v>
      </c>
      <c r="B22754" t="s">
        <v>36692</v>
      </c>
      <c r="C22754" t="s">
        <v>1310</v>
      </c>
      <c r="D22754" t="s">
        <v>2373</v>
      </c>
      <c r="E22754" t="s">
        <v>1517</v>
      </c>
      <c r="F22754" s="2" t="str">
        <f>HYPERLINK("http://www.otzar.org/book.asp?83750","מחזור ליום הכפורים מנהג ספרד בק""ק קונשטאנטינה")</f>
        <v>מחזור ליום הכפורים מנהג ספרד בק"ק קונשטאנטינה</v>
      </c>
    </row>
    <row r="22755" spans="1:6" x14ac:dyDescent="0.2">
      <c r="A22755" t="s">
        <v>36691</v>
      </c>
      <c r="B22755" t="s">
        <v>36693</v>
      </c>
      <c r="C22755" t="s">
        <v>619</v>
      </c>
      <c r="D22755" t="s">
        <v>2373</v>
      </c>
      <c r="E22755" t="s">
        <v>1517</v>
      </c>
      <c r="F22755" s="2" t="str">
        <f>HYPERLINK("http://www.otzar.org/book.asp?179456","מחזור ליום הכפורים מנהג ספרד בק""ק קונשטאנטינה")</f>
        <v>מחזור ליום הכפורים מנהג ספרד בק"ק קונשטאנטינה</v>
      </c>
    </row>
    <row r="22756" spans="1:6" x14ac:dyDescent="0.2">
      <c r="A22756" t="s">
        <v>36694</v>
      </c>
      <c r="B22756" t="s">
        <v>36695</v>
      </c>
      <c r="C22756" t="s">
        <v>1470</v>
      </c>
      <c r="D22756" t="s">
        <v>18232</v>
      </c>
      <c r="E22756" t="s">
        <v>1517</v>
      </c>
      <c r="F22756" s="2" t="str">
        <f>HYPERLINK("http://www.otzar.org/book.asp?148535","מחזור ליום הכפורים מנהג ספרד")</f>
        <v>מחזור ליום הכפורים מנהג ספרד</v>
      </c>
    </row>
    <row r="22757" spans="1:6" x14ac:dyDescent="0.2">
      <c r="A22757" t="s">
        <v>36696</v>
      </c>
      <c r="B22757" t="s">
        <v>3949</v>
      </c>
      <c r="C22757" t="s">
        <v>422</v>
      </c>
      <c r="D22757" t="s">
        <v>21</v>
      </c>
      <c r="F22757" s="2" t="str">
        <f>HYPERLINK("http://www.otzar.org/book.asp?191274","מחזור ליום כיפור &lt;מכתם לדוד&gt;")</f>
        <v>מחזור ליום כיפור &lt;מכתם לדוד&gt;</v>
      </c>
    </row>
    <row r="22758" spans="1:6" x14ac:dyDescent="0.2">
      <c r="A22758" t="s">
        <v>36697</v>
      </c>
      <c r="B22758" t="s">
        <v>17846</v>
      </c>
      <c r="C22758" t="s">
        <v>151</v>
      </c>
      <c r="D22758" t="s">
        <v>3859</v>
      </c>
      <c r="E22758" t="s">
        <v>219</v>
      </c>
      <c r="F22758" s="2" t="str">
        <f>HYPERLINK("http://www.otzar.org/book.asp?618847","מחזור ליום כיפור - אשכנז &lt;אוצר הראשונים&gt;")</f>
        <v>מחזור ליום כיפור - אשכנז &lt;אוצר הראשונים&gt;</v>
      </c>
    </row>
    <row r="22759" spans="1:6" x14ac:dyDescent="0.2">
      <c r="A22759" t="s">
        <v>36698</v>
      </c>
      <c r="B22759" t="s">
        <v>36699</v>
      </c>
      <c r="C22759" t="s">
        <v>438</v>
      </c>
      <c r="D22759" t="s">
        <v>1660</v>
      </c>
      <c r="E22759" t="s">
        <v>1517</v>
      </c>
      <c r="F22759" s="2" t="str">
        <f>HYPERLINK("http://www.otzar.org/book.asp?156538","מחזור ליום כפור כמנהג ק""ק חיידאן אלשאם")</f>
        <v>מחזור ליום כפור כמנהג ק"ק חיידאן אלשאם</v>
      </c>
    </row>
    <row r="22760" spans="1:6" x14ac:dyDescent="0.2">
      <c r="A22760" t="s">
        <v>36700</v>
      </c>
      <c r="B22760" t="s">
        <v>36701</v>
      </c>
      <c r="C22760" t="s">
        <v>473</v>
      </c>
      <c r="D22760" t="s">
        <v>582</v>
      </c>
      <c r="E22760" t="s">
        <v>1517</v>
      </c>
      <c r="F22760" s="2" t="str">
        <f>HYPERLINK("http://www.otzar.org/book.asp?150539","מחזור ליום כפור עם תרגום רוססי")</f>
        <v>מחזור ליום כפור עם תרגום רוססי</v>
      </c>
    </row>
    <row r="22761" spans="1:6" x14ac:dyDescent="0.2">
      <c r="A22761" t="s">
        <v>36702</v>
      </c>
      <c r="B22761" t="s">
        <v>36703</v>
      </c>
      <c r="C22761" t="s">
        <v>743</v>
      </c>
      <c r="D22761" t="s">
        <v>1660</v>
      </c>
      <c r="E22761" t="s">
        <v>1517</v>
      </c>
      <c r="F22761" s="2" t="str">
        <f>HYPERLINK("http://www.otzar.org/book.asp?175476","מחזור ליום כפור")</f>
        <v>מחזור ליום כפור</v>
      </c>
    </row>
    <row r="22762" spans="1:6" x14ac:dyDescent="0.2">
      <c r="A22762" t="s">
        <v>36704</v>
      </c>
      <c r="B22762" t="s">
        <v>36105</v>
      </c>
      <c r="C22762" t="s">
        <v>3690</v>
      </c>
      <c r="D22762" t="s">
        <v>36705</v>
      </c>
      <c r="E22762" t="s">
        <v>1517</v>
      </c>
      <c r="F22762" s="2" t="str">
        <f>HYPERLINK("http://www.otzar.org/book.asp?169182","מחזור ליום ראשון ושני של פסח עם תרגום אשכנזי")</f>
        <v>מחזור ליום ראשון ושני של פסח עם תרגום אשכנזי</v>
      </c>
    </row>
    <row r="22763" spans="1:6" x14ac:dyDescent="0.2">
      <c r="A22763" t="s">
        <v>36706</v>
      </c>
      <c r="B22763" t="s">
        <v>36105</v>
      </c>
      <c r="C22763" t="s">
        <v>248</v>
      </c>
      <c r="D22763" t="s">
        <v>36707</v>
      </c>
      <c r="E22763" t="s">
        <v>1517</v>
      </c>
      <c r="F22763" s="2" t="str">
        <f>HYPERLINK("http://www.otzar.org/book.asp?179442","מחזור ליום ראשון של ראש השנה")</f>
        <v>מחזור ליום ראשון של ראש השנה</v>
      </c>
    </row>
    <row r="22764" spans="1:6" x14ac:dyDescent="0.2">
      <c r="A22764" t="s">
        <v>36708</v>
      </c>
      <c r="B22764" t="s">
        <v>36709</v>
      </c>
      <c r="C22764" t="s">
        <v>270</v>
      </c>
      <c r="D22764" t="s">
        <v>4539</v>
      </c>
      <c r="E22764" t="s">
        <v>1517</v>
      </c>
      <c r="F22764" s="2" t="str">
        <f>HYPERLINK("http://www.otzar.org/book.asp?169181","מחזור ליום שני של ראש השנה")</f>
        <v>מחזור ליום שני של ראש השנה</v>
      </c>
    </row>
    <row r="22765" spans="1:6" x14ac:dyDescent="0.2">
      <c r="A22765" t="s">
        <v>36710</v>
      </c>
      <c r="B22765" t="s">
        <v>36711</v>
      </c>
      <c r="C22765" t="s">
        <v>562</v>
      </c>
      <c r="D22765" t="s">
        <v>42</v>
      </c>
      <c r="E22765" t="s">
        <v>219</v>
      </c>
      <c r="F22765" s="2" t="str">
        <f>HYPERLINK("http://www.otzar.org/book.asp?153292","מחזור לימים נוראים")</f>
        <v>מחזור לימים נוראים</v>
      </c>
    </row>
    <row r="22766" spans="1:6" x14ac:dyDescent="0.2">
      <c r="A22766" t="s">
        <v>36712</v>
      </c>
      <c r="B22766" t="s">
        <v>36713</v>
      </c>
      <c r="D22766" t="s">
        <v>7059</v>
      </c>
      <c r="F22766" s="2" t="str">
        <f>HYPERLINK("http://www.otzar.org/book.asp?612265","מחזור לכל מועדי השנה &lt;זקש&gt; - 2 כר'")</f>
        <v>מחזור לכל מועדי השנה &lt;זקש&gt; - 2 כר'</v>
      </c>
    </row>
    <row r="22767" spans="1:6" x14ac:dyDescent="0.2">
      <c r="A22767" t="s">
        <v>36714</v>
      </c>
      <c r="B22767" t="s">
        <v>36715</v>
      </c>
      <c r="C22767" t="s">
        <v>17614</v>
      </c>
      <c r="D22767" t="s">
        <v>76</v>
      </c>
      <c r="F22767" s="2" t="str">
        <f>HYPERLINK("http://www.otzar.org/book.asp?170145","מחזור לנוסח ברצלונה מנהג קאטאלוניה")</f>
        <v>מחזור לנוסח ברצלונה מנהג קאטאלוניה</v>
      </c>
    </row>
    <row r="22768" spans="1:6" x14ac:dyDescent="0.2">
      <c r="A22768" t="s">
        <v>36716</v>
      </c>
      <c r="B22768" t="s">
        <v>36717</v>
      </c>
      <c r="C22768" t="s">
        <v>3690</v>
      </c>
      <c r="D22768" t="s">
        <v>283</v>
      </c>
      <c r="E22768" t="s">
        <v>1517</v>
      </c>
      <c r="F22768" s="2" t="str">
        <f>HYPERLINK("http://www.otzar.org/book.asp?148483","מחזור לסוכות עפ""נ ספרד")</f>
        <v>מחזור לסוכות עפ"נ ספרד</v>
      </c>
    </row>
    <row r="22769" spans="1:6" x14ac:dyDescent="0.2">
      <c r="A22769" t="s">
        <v>36718</v>
      </c>
      <c r="B22769" t="s">
        <v>36719</v>
      </c>
      <c r="C22769" t="s">
        <v>1706</v>
      </c>
      <c r="D22769" t="s">
        <v>36705</v>
      </c>
      <c r="E22769" t="s">
        <v>1517</v>
      </c>
      <c r="F22769" s="2" t="str">
        <f>HYPERLINK("http://www.otzar.org/book.asp?169183","מחזור לערבית יום כפור עם תרגום אשכנזי")</f>
        <v>מחזור לערבית יום כפור עם תרגום אשכנזי</v>
      </c>
    </row>
    <row r="22770" spans="1:6" x14ac:dyDescent="0.2">
      <c r="A22770" t="s">
        <v>36720</v>
      </c>
      <c r="B22770" t="s">
        <v>36721</v>
      </c>
      <c r="C22770" t="s">
        <v>20</v>
      </c>
      <c r="E22770" t="s">
        <v>1517</v>
      </c>
      <c r="F22770" s="2" t="str">
        <f>HYPERLINK("http://www.otzar.org/book.asp?153296","מחזור לפסח &lt;תרגום גרמני&gt;")</f>
        <v>מחזור לפסח &lt;תרגום גרמני&gt;</v>
      </c>
    </row>
    <row r="22771" spans="1:6" x14ac:dyDescent="0.2">
      <c r="A22771" t="s">
        <v>36722</v>
      </c>
      <c r="B22771" t="s">
        <v>3949</v>
      </c>
      <c r="C22771" t="s">
        <v>422</v>
      </c>
      <c r="D22771" t="s">
        <v>21</v>
      </c>
      <c r="F22771" s="2" t="str">
        <f>HYPERLINK("http://www.otzar.org/book.asp?191273","מחזור לראש השנה  &lt;מכתם לדוד&gt;")</f>
        <v>מחזור לראש השנה  &lt;מכתם לדוד&gt;</v>
      </c>
    </row>
    <row r="22772" spans="1:6" x14ac:dyDescent="0.2">
      <c r="A22772" t="s">
        <v>36723</v>
      </c>
      <c r="B22772" t="s">
        <v>3727</v>
      </c>
      <c r="C22772" t="s">
        <v>114</v>
      </c>
      <c r="D22772" t="s">
        <v>52</v>
      </c>
      <c r="E22772" t="s">
        <v>1517</v>
      </c>
      <c r="F22772" s="2" t="str">
        <f>HYPERLINK("http://www.otzar.org/book.asp?168482","מחזור לראש השנה &lt;קדושת היום&gt;")</f>
        <v>מחזור לראש השנה &lt;קדושת היום&gt;</v>
      </c>
    </row>
    <row r="22773" spans="1:6" x14ac:dyDescent="0.2">
      <c r="A22773" t="s">
        <v>36724</v>
      </c>
      <c r="B22773" t="s">
        <v>36721</v>
      </c>
      <c r="C22773" t="s">
        <v>576</v>
      </c>
      <c r="D22773" t="s">
        <v>36725</v>
      </c>
      <c r="E22773" t="s">
        <v>219</v>
      </c>
      <c r="F22773" s="2" t="str">
        <f>HYPERLINK("http://www.otzar.org/book.asp?11501","מחזור לראש השנה &lt;עם תרגום ענגליש&gt;")</f>
        <v>מחזור לראש השנה &lt;עם תרגום ענגליש&gt;</v>
      </c>
    </row>
    <row r="22774" spans="1:6" x14ac:dyDescent="0.2">
      <c r="A22774" t="s">
        <v>36726</v>
      </c>
      <c r="B22774" t="s">
        <v>36727</v>
      </c>
      <c r="C22774" t="s">
        <v>36728</v>
      </c>
      <c r="D22774" t="s">
        <v>36729</v>
      </c>
      <c r="E22774" t="s">
        <v>1517</v>
      </c>
      <c r="F22774" s="2" t="str">
        <f>HYPERLINK("http://www.otzar.org/book.asp?196083","מחזור לראש השנה ויום הכיפורים למנהג ק""ק ארגון")</f>
        <v>מחזור לראש השנה ויום הכיפורים למנהג ק"ק ארגון</v>
      </c>
    </row>
    <row r="22775" spans="1:6" x14ac:dyDescent="0.2">
      <c r="A22775" t="s">
        <v>36730</v>
      </c>
      <c r="B22775" t="s">
        <v>36731</v>
      </c>
      <c r="C22775" t="s">
        <v>438</v>
      </c>
      <c r="D22775" t="s">
        <v>14</v>
      </c>
      <c r="E22775" t="s">
        <v>219</v>
      </c>
      <c r="F22775" s="2" t="str">
        <f>HYPERLINK("http://www.otzar.org/book.asp?156336","מחזור לראש השנה כמנהג ק""ק חיידאן אלשאם")</f>
        <v>מחזור לראש השנה כמנהג ק"ק חיידאן אלשאם</v>
      </c>
    </row>
    <row r="22776" spans="1:6" x14ac:dyDescent="0.2">
      <c r="A22776" t="s">
        <v>36732</v>
      </c>
      <c r="B22776" t="s">
        <v>36695</v>
      </c>
      <c r="C22776" t="s">
        <v>1470</v>
      </c>
      <c r="D22776" t="s">
        <v>18232</v>
      </c>
      <c r="E22776" t="s">
        <v>1517</v>
      </c>
      <c r="F22776" s="2" t="str">
        <f>HYPERLINK("http://www.otzar.org/book.asp?196830","מחזור לראש השנה מנהג ספרד")</f>
        <v>מחזור לראש השנה מנהג ספרד</v>
      </c>
    </row>
    <row r="22777" spans="1:6" x14ac:dyDescent="0.2">
      <c r="A22777" t="s">
        <v>36733</v>
      </c>
      <c r="B22777" t="s">
        <v>7387</v>
      </c>
      <c r="C22777" t="s">
        <v>411</v>
      </c>
      <c r="D22777" t="s">
        <v>36734</v>
      </c>
      <c r="F22777" s="2" t="str">
        <f>HYPERLINK("http://www.otzar.org/book.asp?605422","מחזור לראש השנה - זכור ליצחק &lt;מנהג לוב&gt;")</f>
        <v>מחזור לראש השנה - זכור ליצחק &lt;מנהג לוב&gt;</v>
      </c>
    </row>
    <row r="22778" spans="1:6" x14ac:dyDescent="0.2">
      <c r="A22778" t="s">
        <v>36735</v>
      </c>
      <c r="B22778" t="s">
        <v>17846</v>
      </c>
      <c r="C22778" t="s">
        <v>244</v>
      </c>
      <c r="D22778" t="s">
        <v>3859</v>
      </c>
      <c r="F22778" s="2" t="str">
        <f>HYPERLINK("http://www.otzar.org/book.asp?608781","מחזור לראש השנה - 2 כר'")</f>
        <v>מחזור לראש השנה - 2 כר'</v>
      </c>
    </row>
    <row r="22779" spans="1:6" x14ac:dyDescent="0.2">
      <c r="A22779" t="s">
        <v>36736</v>
      </c>
      <c r="B22779" t="s">
        <v>36737</v>
      </c>
      <c r="C22779" t="s">
        <v>1246</v>
      </c>
      <c r="D22779" t="s">
        <v>1660</v>
      </c>
      <c r="E22779" t="s">
        <v>219</v>
      </c>
      <c r="F22779" s="2" t="str">
        <f>HYPERLINK("http://www.otzar.org/book.asp?169315","מחזור לראש השנה")</f>
        <v>מחזור לראש השנה</v>
      </c>
    </row>
    <row r="22780" spans="1:6" x14ac:dyDescent="0.2">
      <c r="A22780" t="s">
        <v>36738</v>
      </c>
      <c r="B22780" t="s">
        <v>36717</v>
      </c>
      <c r="C22780" t="s">
        <v>3690</v>
      </c>
      <c r="D22780" t="s">
        <v>283</v>
      </c>
      <c r="E22780" t="s">
        <v>1517</v>
      </c>
      <c r="F22780" s="2" t="str">
        <f>HYPERLINK("http://www.otzar.org/book.asp?148484","מחזור לשבועות עפ""נ ספרד")</f>
        <v>מחזור לשבועות עפ"נ ספרד</v>
      </c>
    </row>
    <row r="22781" spans="1:6" x14ac:dyDescent="0.2">
      <c r="A22781" t="s">
        <v>36739</v>
      </c>
      <c r="B22781" t="s">
        <v>36740</v>
      </c>
      <c r="C22781" t="s">
        <v>908</v>
      </c>
      <c r="D22781" t="s">
        <v>2373</v>
      </c>
      <c r="E22781" t="s">
        <v>219</v>
      </c>
      <c r="F22781" s="2" t="str">
        <f>HYPERLINK("http://www.otzar.org/book.asp?84418","מחזור לשלש רגלים מנהג ספרד")</f>
        <v>מחזור לשלש רגלים מנהג ספרד</v>
      </c>
    </row>
    <row r="22782" spans="1:6" x14ac:dyDescent="0.2">
      <c r="A22782" t="s">
        <v>36739</v>
      </c>
      <c r="B22782" t="s">
        <v>36741</v>
      </c>
      <c r="C22782" t="s">
        <v>812</v>
      </c>
      <c r="D22782" t="s">
        <v>535</v>
      </c>
      <c r="E22782" t="s">
        <v>1517</v>
      </c>
      <c r="F22782" s="2" t="str">
        <f>HYPERLINK("http://www.otzar.org/book.asp?148479","מחזור לשלש רגלים מנהג ספרד")</f>
        <v>מחזור לשלש רגלים מנהג ספרד</v>
      </c>
    </row>
    <row r="22783" spans="1:6" x14ac:dyDescent="0.2">
      <c r="A22783" t="s">
        <v>36742</v>
      </c>
      <c r="B22783" t="s">
        <v>36743</v>
      </c>
      <c r="C22783" t="s">
        <v>4705</v>
      </c>
      <c r="D22783" t="s">
        <v>582</v>
      </c>
      <c r="F22783" s="2" t="str">
        <f>HYPERLINK("http://www.otzar.org/book.asp?612920","מחזור לשלש רגלים עם פירוש מטה לוי")</f>
        <v>מחזור לשלש רגלים עם פירוש מטה לוי</v>
      </c>
    </row>
    <row r="22784" spans="1:6" x14ac:dyDescent="0.2">
      <c r="A22784" t="s">
        <v>36742</v>
      </c>
      <c r="B22784" t="s">
        <v>36744</v>
      </c>
      <c r="C22784" t="s">
        <v>63</v>
      </c>
      <c r="D22784" t="s">
        <v>412</v>
      </c>
      <c r="E22784" t="s">
        <v>219</v>
      </c>
      <c r="F22784" s="2" t="str">
        <f>HYPERLINK("http://www.otzar.org/book.asp?85025","מחזור לשלש רגלים עם פירוש מטה לוי")</f>
        <v>מחזור לשלש רגלים עם פירוש מטה לוי</v>
      </c>
    </row>
    <row r="22785" spans="1:6" x14ac:dyDescent="0.2">
      <c r="A22785" t="s">
        <v>36745</v>
      </c>
      <c r="B22785" t="s">
        <v>36653</v>
      </c>
      <c r="C22785" t="s">
        <v>151</v>
      </c>
      <c r="D22785" t="s">
        <v>1356</v>
      </c>
      <c r="E22785" t="s">
        <v>219</v>
      </c>
      <c r="F22785" s="2" t="str">
        <f>HYPERLINK("http://www.otzar.org/book.asp?625886","מחזור לשלשה רגלים מועדי ה' &lt;כמנהג הספרדים בארץ הצבי&gt;")</f>
        <v>מחזור לשלשה רגלים מועדי ה' &lt;כמנהג הספרדים בארץ הצבי&gt;</v>
      </c>
    </row>
    <row r="22786" spans="1:6" x14ac:dyDescent="0.2">
      <c r="A22786" t="s">
        <v>36746</v>
      </c>
      <c r="B22786" t="s">
        <v>36747</v>
      </c>
      <c r="C22786">
        <v>1384</v>
      </c>
      <c r="D22786" t="s">
        <v>1163</v>
      </c>
      <c r="E22786" t="s">
        <v>219</v>
      </c>
      <c r="F22786" s="2" t="str">
        <f>HYPERLINK("http://www.otzar.org/book.asp?618520","מחזור מוסקוביץ - סידור מנהג רומא כת""י ירושלים")</f>
        <v>מחזור מוסקוביץ - סידור מנהג רומא כת"י ירושלים</v>
      </c>
    </row>
    <row r="22787" spans="1:6" x14ac:dyDescent="0.2">
      <c r="A22787" t="s">
        <v>36748</v>
      </c>
      <c r="B22787" t="s">
        <v>36651</v>
      </c>
      <c r="C22787" t="s">
        <v>37</v>
      </c>
      <c r="D22787" t="s">
        <v>18543</v>
      </c>
      <c r="E22787" t="s">
        <v>219</v>
      </c>
      <c r="F22787" s="2" t="str">
        <f>HYPERLINK("http://www.otzar.org/book.asp?603009","מחזור מועדי השם &lt;מהדורת ארץ ישראל&gt;")</f>
        <v>מחזור מועדי השם &lt;מהדורת ארץ ישראל&gt;</v>
      </c>
    </row>
    <row r="22788" spans="1:6" x14ac:dyDescent="0.2">
      <c r="A22788" t="s">
        <v>36749</v>
      </c>
      <c r="B22788" t="s">
        <v>36750</v>
      </c>
      <c r="C22788" t="s">
        <v>1284</v>
      </c>
      <c r="D22788" t="s">
        <v>267</v>
      </c>
      <c r="E22788" t="s">
        <v>1517</v>
      </c>
      <c r="F22788" s="2" t="str">
        <f>HYPERLINK("http://www.otzar.org/book.asp?153951","מחזור מטה לוי - שבועות")</f>
        <v>מחזור מטה לוי - שבועות</v>
      </c>
    </row>
    <row r="22789" spans="1:6" x14ac:dyDescent="0.2">
      <c r="A22789" t="s">
        <v>36751</v>
      </c>
      <c r="B22789" t="s">
        <v>36752</v>
      </c>
      <c r="C22789" t="s">
        <v>36753</v>
      </c>
      <c r="D22789" t="s">
        <v>19871</v>
      </c>
      <c r="E22789" t="s">
        <v>219</v>
      </c>
      <c r="F22789" s="2" t="str">
        <f>HYPERLINK("http://www.otzar.org/book.asp?28261","מחזור מכל השנה &lt;מעגלי צדק&gt; - 2 כר'")</f>
        <v>מחזור מכל השנה &lt;מעגלי צדק&gt; - 2 כר'</v>
      </c>
    </row>
    <row r="22790" spans="1:6" x14ac:dyDescent="0.2">
      <c r="A22790" t="s">
        <v>36754</v>
      </c>
      <c r="B22790" t="s">
        <v>36755</v>
      </c>
      <c r="C22790" t="s">
        <v>30887</v>
      </c>
      <c r="D22790" t="s">
        <v>726</v>
      </c>
      <c r="E22790" t="s">
        <v>1517</v>
      </c>
      <c r="F22790" s="2" t="str">
        <f>HYPERLINK("http://www.otzar.org/book.asp?150160","מחזור מכל השנה")</f>
        <v>מחזור מכל השנה</v>
      </c>
    </row>
    <row r="22791" spans="1:6" x14ac:dyDescent="0.2">
      <c r="A22791" t="s">
        <v>36754</v>
      </c>
      <c r="B22791" t="s">
        <v>36756</v>
      </c>
      <c r="C22791" t="s">
        <v>20922</v>
      </c>
      <c r="D22791" t="s">
        <v>1117</v>
      </c>
      <c r="E22791" t="s">
        <v>219</v>
      </c>
      <c r="F22791" s="2" t="str">
        <f>HYPERLINK("http://www.otzar.org/book.asp?16196","מחזור מכל השנה")</f>
        <v>מחזור מכל השנה</v>
      </c>
    </row>
    <row r="22792" spans="1:6" x14ac:dyDescent="0.2">
      <c r="A22792" t="s">
        <v>36754</v>
      </c>
      <c r="B22792" t="s">
        <v>36757</v>
      </c>
      <c r="C22792" t="s">
        <v>4304</v>
      </c>
      <c r="D22792" t="s">
        <v>744</v>
      </c>
      <c r="E22792" t="s">
        <v>219</v>
      </c>
      <c r="F22792" s="2" t="str">
        <f>HYPERLINK("http://www.otzar.org/book.asp?162973","מחזור מכל השנה")</f>
        <v>מחזור מכל השנה</v>
      </c>
    </row>
    <row r="22793" spans="1:6" x14ac:dyDescent="0.2">
      <c r="A22793" t="s">
        <v>36754</v>
      </c>
      <c r="B22793" t="s">
        <v>36758</v>
      </c>
      <c r="C22793" t="s">
        <v>543</v>
      </c>
      <c r="D22793" t="s">
        <v>36759</v>
      </c>
      <c r="E22793" t="s">
        <v>219</v>
      </c>
      <c r="F22793" s="2" t="str">
        <f>HYPERLINK("http://www.otzar.org/book.asp?16101","מחזור מכל השנה")</f>
        <v>מחזור מכל השנה</v>
      </c>
    </row>
    <row r="22794" spans="1:6" x14ac:dyDescent="0.2">
      <c r="A22794" t="s">
        <v>36760</v>
      </c>
      <c r="B22794" t="s">
        <v>36761</v>
      </c>
      <c r="C22794" t="s">
        <v>189</v>
      </c>
      <c r="D22794" t="s">
        <v>14</v>
      </c>
      <c r="E22794" t="s">
        <v>1517</v>
      </c>
      <c r="F22794" s="2" t="str">
        <f>HYPERLINK("http://www.otzar.org/book.asp?188540","מחזור מנהג איטלייאני - 3 כר'")</f>
        <v>מחזור מנהג איטלייאני - 3 כר'</v>
      </c>
    </row>
    <row r="22795" spans="1:6" x14ac:dyDescent="0.2">
      <c r="A22795" t="s">
        <v>36762</v>
      </c>
      <c r="B22795" t="s">
        <v>36763</v>
      </c>
      <c r="C22795" t="s">
        <v>36764</v>
      </c>
      <c r="D22795" t="s">
        <v>36765</v>
      </c>
      <c r="E22795" t="s">
        <v>219</v>
      </c>
      <c r="F22795" s="2" t="str">
        <f>HYPERLINK("http://www.otzar.org/book.asp?618523","מחזור מנהג בני רומא - 2 כר'")</f>
        <v>מחזור מנהג בני רומא - 2 כר'</v>
      </c>
    </row>
    <row r="22796" spans="1:6" x14ac:dyDescent="0.2">
      <c r="A22796" t="s">
        <v>36766</v>
      </c>
      <c r="B22796" t="s">
        <v>36767</v>
      </c>
      <c r="C22796" t="s">
        <v>36768</v>
      </c>
      <c r="D22796" t="s">
        <v>9012</v>
      </c>
      <c r="F22796" s="2" t="str">
        <f>HYPERLINK("http://www.otzar.org/book.asp?53439","מחזור מנהג בני רומי &lt;שונצינו רמ""ו&gt;")</f>
        <v>מחזור מנהג בני רומי &lt;שונצינו רמ"ו&gt;</v>
      </c>
    </row>
    <row r="22797" spans="1:6" x14ac:dyDescent="0.2">
      <c r="A22797" t="s">
        <v>36769</v>
      </c>
      <c r="B22797" t="s">
        <v>36767</v>
      </c>
      <c r="C22797" t="s">
        <v>36768</v>
      </c>
      <c r="D22797" t="s">
        <v>1408</v>
      </c>
      <c r="F22797" s="2" t="str">
        <f>HYPERLINK("http://www.otzar.org/book.asp?164857","מחזור מנהג בני רומי")</f>
        <v>מחזור מנהג בני רומי</v>
      </c>
    </row>
    <row r="22798" spans="1:6" x14ac:dyDescent="0.2">
      <c r="A22798" t="s">
        <v>36770</v>
      </c>
      <c r="B22798" t="s">
        <v>36771</v>
      </c>
      <c r="C22798" t="s">
        <v>989</v>
      </c>
      <c r="D22798" t="s">
        <v>27</v>
      </c>
      <c r="E22798" t="s">
        <v>1517</v>
      </c>
      <c r="F22798" s="2" t="str">
        <f>HYPERLINK("http://www.otzar.org/book.asp?152877","מחזור מעשה חכמים &lt;מטה לוי&gt;")</f>
        <v>מחזור מעשה חכמים &lt;מטה לוי&gt;</v>
      </c>
    </row>
    <row r="22799" spans="1:6" x14ac:dyDescent="0.2">
      <c r="A22799" t="s">
        <v>36772</v>
      </c>
      <c r="B22799" t="s">
        <v>4953</v>
      </c>
      <c r="C22799" t="s">
        <v>51</v>
      </c>
      <c r="D22799" t="s">
        <v>14</v>
      </c>
      <c r="E22799" t="s">
        <v>1517</v>
      </c>
      <c r="F22799" s="2" t="str">
        <f>HYPERLINK("http://www.otzar.org/book.asp?159375","מחזור מפורש ומבואר &lt;מועדי השם&gt; - ראש השנה")</f>
        <v>מחזור מפורש ומבואר &lt;מועדי השם&gt; - ראש השנה</v>
      </c>
    </row>
    <row r="22800" spans="1:6" x14ac:dyDescent="0.2">
      <c r="A22800" t="s">
        <v>36773</v>
      </c>
      <c r="B22800" t="s">
        <v>36721</v>
      </c>
      <c r="C22800" t="s">
        <v>63</v>
      </c>
      <c r="D22800" t="s">
        <v>216</v>
      </c>
      <c r="E22800" t="s">
        <v>219</v>
      </c>
      <c r="F22800" s="2" t="str">
        <f>HYPERLINK("http://www.otzar.org/book.asp?179900","מחזור מפי עוללים - 3 כר'")</f>
        <v>מחזור מפי עוללים - 3 כר'</v>
      </c>
    </row>
    <row r="22801" spans="1:6" x14ac:dyDescent="0.2">
      <c r="A22801" t="s">
        <v>36774</v>
      </c>
      <c r="B22801" t="s">
        <v>36775</v>
      </c>
      <c r="C22801" t="s">
        <v>454</v>
      </c>
      <c r="D22801" t="s">
        <v>14</v>
      </c>
      <c r="E22801" t="s">
        <v>219</v>
      </c>
      <c r="F22801" s="2" t="str">
        <f>HYPERLINK("http://www.otzar.org/book.asp?172300","מחזור מקראי קודש &lt;קרבן אהרן השלם&gt; - יום כיפור")</f>
        <v>מחזור מקראי קודש &lt;קרבן אהרן השלם&gt; - יום כיפור</v>
      </c>
    </row>
    <row r="22802" spans="1:6" x14ac:dyDescent="0.2">
      <c r="A22802" t="s">
        <v>36776</v>
      </c>
      <c r="B22802" t="s">
        <v>36777</v>
      </c>
      <c r="C22802" t="s">
        <v>454</v>
      </c>
      <c r="D22802" t="s">
        <v>14</v>
      </c>
      <c r="E22802" t="s">
        <v>219</v>
      </c>
      <c r="F22802" s="2" t="str">
        <f>HYPERLINK("http://www.otzar.org/book.asp?172299","מחזור מקראי קודש &lt;קרבן אהרן השלם&gt; - ראש השנה")</f>
        <v>מחזור מקראי קודש &lt;קרבן אהרן השלם&gt; - ראש השנה</v>
      </c>
    </row>
    <row r="22803" spans="1:6" x14ac:dyDescent="0.2">
      <c r="A22803" t="s">
        <v>36778</v>
      </c>
      <c r="B22803" t="s">
        <v>4201</v>
      </c>
      <c r="C22803" t="s">
        <v>1147</v>
      </c>
      <c r="D22803" t="s">
        <v>1490</v>
      </c>
      <c r="F22803" s="2" t="str">
        <f>HYPERLINK("http://www.otzar.org/book.asp?164856","מחזור מראש השנה ויום הכפורים &lt;ע""פ הרמ""ק&gt;")</f>
        <v>מחזור מראש השנה ויום הכפורים &lt;ע"פ הרמ"ק&gt;</v>
      </c>
    </row>
    <row r="22804" spans="1:6" x14ac:dyDescent="0.2">
      <c r="A22804" t="s">
        <v>36779</v>
      </c>
      <c r="B22804" t="s">
        <v>36780</v>
      </c>
      <c r="C22804" t="s">
        <v>558</v>
      </c>
      <c r="D22804" t="s">
        <v>56</v>
      </c>
      <c r="E22804" t="s">
        <v>1517</v>
      </c>
      <c r="F22804" s="2" t="str">
        <f>HYPERLINK("http://www.otzar.org/book.asp?156539","מחזור משלי יהודה - ראש השנה")</f>
        <v>מחזור משלי יהודה - ראש השנה</v>
      </c>
    </row>
    <row r="22805" spans="1:6" x14ac:dyDescent="0.2">
      <c r="A22805" t="s">
        <v>36781</v>
      </c>
      <c r="B22805" t="s">
        <v>36782</v>
      </c>
      <c r="F22805" s="2" t="str">
        <f>HYPERLINK("http://www.otzar.org/book.asp?618512","מחזור נירברג - א")</f>
        <v>מחזור נירברג - א</v>
      </c>
    </row>
    <row r="22806" spans="1:6" x14ac:dyDescent="0.2">
      <c r="A22806" t="s">
        <v>36783</v>
      </c>
      <c r="B22806" t="s">
        <v>36668</v>
      </c>
      <c r="C22806" t="s">
        <v>454</v>
      </c>
      <c r="D22806" t="s">
        <v>90</v>
      </c>
      <c r="E22806" t="s">
        <v>18910</v>
      </c>
      <c r="F22806" s="2" t="str">
        <f>HYPERLINK("http://www.otzar.org/book.asp?64326","מחזור סוכת מרדכי לסוכות ושמח""ת &lt;תכלאל כמנהג ביד'א&gt;")</f>
        <v>מחזור סוכת מרדכי לסוכות ושמח"ת &lt;תכלאל כמנהג ביד'א&gt;</v>
      </c>
    </row>
    <row r="22807" spans="1:6" x14ac:dyDescent="0.2">
      <c r="A22807" t="s">
        <v>36784</v>
      </c>
      <c r="B22807" t="s">
        <v>36785</v>
      </c>
      <c r="C22807" t="s">
        <v>1811</v>
      </c>
      <c r="D22807" t="s">
        <v>14</v>
      </c>
      <c r="E22807" t="s">
        <v>1517</v>
      </c>
      <c r="F22807" s="2" t="str">
        <f>HYPERLINK("http://www.otzar.org/book.asp?169214","מחזור ספרדי  ליום כפור משנת 1481")</f>
        <v>מחזור ספרדי  ליום כפור משנת 1481</v>
      </c>
    </row>
    <row r="22808" spans="1:6" x14ac:dyDescent="0.2">
      <c r="A22808" t="s">
        <v>36786</v>
      </c>
      <c r="B22808" t="s">
        <v>36787</v>
      </c>
      <c r="C22808" t="s">
        <v>1811</v>
      </c>
      <c r="D22808" t="s">
        <v>14</v>
      </c>
      <c r="E22808" t="s">
        <v>1517</v>
      </c>
      <c r="F22808" s="2" t="str">
        <f>HYPERLINK("http://www.otzar.org/book.asp?169213","מחזור ספרדי לר""ה ויום כפור משנת 1320")</f>
        <v>מחזור ספרדי לר"ה ויום כפור משנת 1320</v>
      </c>
    </row>
    <row r="22809" spans="1:6" x14ac:dyDescent="0.2">
      <c r="A22809" t="s">
        <v>36788</v>
      </c>
      <c r="B22809" t="s">
        <v>36789</v>
      </c>
      <c r="C22809" t="s">
        <v>1284</v>
      </c>
      <c r="D22809" t="s">
        <v>15715</v>
      </c>
      <c r="E22809" t="s">
        <v>1517</v>
      </c>
      <c r="F22809" s="2" t="str">
        <f>HYPERLINK("http://www.otzar.org/book.asp?197856","מחזור עבדת אהל מועד עם תרגום אנגלית - 4 כר'")</f>
        <v>מחזור עבדת אהל מועד עם תרגום אנגלית - 4 כר'</v>
      </c>
    </row>
    <row r="22810" spans="1:6" x14ac:dyDescent="0.2">
      <c r="A22810" t="s">
        <v>36790</v>
      </c>
      <c r="B22810" t="s">
        <v>36791</v>
      </c>
      <c r="C22810" t="s">
        <v>11209</v>
      </c>
      <c r="D22810" t="s">
        <v>744</v>
      </c>
      <c r="E22810" t="s">
        <v>219</v>
      </c>
      <c r="F22810" s="2" t="str">
        <f>HYPERLINK("http://www.otzar.org/book.asp?188713","מחזור עם כל הפירוש הרחב - 2 כר'")</f>
        <v>מחזור עם כל הפירוש הרחב - 2 כר'</v>
      </c>
    </row>
    <row r="22811" spans="1:6" x14ac:dyDescent="0.2">
      <c r="A22811" t="s">
        <v>36792</v>
      </c>
      <c r="B22811" t="s">
        <v>36701</v>
      </c>
      <c r="C22811" t="s">
        <v>473</v>
      </c>
      <c r="D22811" t="s">
        <v>582</v>
      </c>
      <c r="E22811" t="s">
        <v>1517</v>
      </c>
      <c r="F22811" s="2" t="str">
        <f>HYPERLINK("http://www.otzar.org/book.asp?154665","מחזור עם תרגום רוססי - ראש השנה")</f>
        <v>מחזור עם תרגום רוססי - ראש השנה</v>
      </c>
    </row>
    <row r="22812" spans="1:6" x14ac:dyDescent="0.2">
      <c r="A22812" t="s">
        <v>36793</v>
      </c>
      <c r="B22812" t="s">
        <v>36794</v>
      </c>
      <c r="E22812" t="s">
        <v>219</v>
      </c>
      <c r="F22812" s="2" t="str">
        <f>HYPERLINK("http://www.otzar.org/book.asp?618526","מחזור קטלוניה")</f>
        <v>מחזור קטלוניה</v>
      </c>
    </row>
    <row r="22813" spans="1:6" x14ac:dyDescent="0.2">
      <c r="A22813" t="s">
        <v>36795</v>
      </c>
      <c r="B22813" t="s">
        <v>36796</v>
      </c>
      <c r="C22813" t="s">
        <v>36797</v>
      </c>
      <c r="D22813" t="s">
        <v>36798</v>
      </c>
      <c r="E22813" t="s">
        <v>219</v>
      </c>
      <c r="F22813" s="2" t="str">
        <f>HYPERLINK("http://www.otzar.org/book.asp?179455","מחזור קטן")</f>
        <v>מחזור קטן</v>
      </c>
    </row>
    <row r="22814" spans="1:6" x14ac:dyDescent="0.2">
      <c r="A22814" t="s">
        <v>36799</v>
      </c>
      <c r="B22814" t="s">
        <v>36800</v>
      </c>
      <c r="C22814" t="s">
        <v>767</v>
      </c>
      <c r="D22814" t="s">
        <v>14</v>
      </c>
      <c r="E22814" t="s">
        <v>219</v>
      </c>
      <c r="F22814" s="2" t="str">
        <f>HYPERLINK("http://www.otzar.org/book.asp?60804","מחזור ראש השנה &lt;עת רצון&gt;  ספרד")</f>
        <v>מחזור ראש השנה &lt;עת רצון&gt;  ספרד</v>
      </c>
    </row>
    <row r="22815" spans="1:6" x14ac:dyDescent="0.2">
      <c r="A22815" t="s">
        <v>36801</v>
      </c>
      <c r="B22815" t="s">
        <v>36800</v>
      </c>
      <c r="C22815" t="s">
        <v>767</v>
      </c>
      <c r="D22815" t="s">
        <v>14</v>
      </c>
      <c r="E22815" t="s">
        <v>219</v>
      </c>
      <c r="F22815" s="2" t="str">
        <f>HYPERLINK("http://www.otzar.org/book.asp?618146","מחזור ראש השנה &lt;עת רצון&gt;  ספרדים")</f>
        <v>מחזור ראש השנה &lt;עת רצון&gt;  ספרדים</v>
      </c>
    </row>
    <row r="22816" spans="1:6" x14ac:dyDescent="0.2">
      <c r="A22816" t="s">
        <v>36802</v>
      </c>
      <c r="B22816" t="s">
        <v>36803</v>
      </c>
      <c r="C22816" t="s">
        <v>5903</v>
      </c>
      <c r="D22816" t="s">
        <v>1660</v>
      </c>
      <c r="E22816" t="s">
        <v>1517</v>
      </c>
      <c r="F22816" s="2" t="str">
        <f>HYPERLINK("http://www.otzar.org/book.asp?63453","מחזור ראש השנה &lt;מחזור תונס - שי למורא&gt;")</f>
        <v>מחזור ראש השנה &lt;מחזור תונס - שי למורא&gt;</v>
      </c>
    </row>
    <row r="22817" spans="1:6" x14ac:dyDescent="0.2">
      <c r="A22817" t="s">
        <v>36804</v>
      </c>
      <c r="B22817" t="s">
        <v>36731</v>
      </c>
      <c r="C22817" t="s">
        <v>438</v>
      </c>
      <c r="D22817" t="s">
        <v>14</v>
      </c>
      <c r="E22817" t="s">
        <v>1517</v>
      </c>
      <c r="F22817" s="2" t="str">
        <f>HYPERLINK("http://www.otzar.org/book.asp?160406","מחזור רב פנינים - שבועות")</f>
        <v>מחזור רב פנינים - שבועות</v>
      </c>
    </row>
    <row r="22818" spans="1:6" x14ac:dyDescent="0.2">
      <c r="A22818" t="s">
        <v>36805</v>
      </c>
      <c r="B22818" t="s">
        <v>36806</v>
      </c>
      <c r="C22818" t="s">
        <v>20</v>
      </c>
      <c r="D22818" t="s">
        <v>14</v>
      </c>
      <c r="E22818" t="s">
        <v>1517</v>
      </c>
      <c r="F22818" s="2" t="str">
        <f>HYPERLINK("http://www.otzar.org/book.asp?151669","מחזור רב פנינים - 4 כר'")</f>
        <v>מחזור רב פנינים - 4 כר'</v>
      </c>
    </row>
    <row r="22819" spans="1:6" x14ac:dyDescent="0.2">
      <c r="A22819" t="s">
        <v>36807</v>
      </c>
      <c r="B22819" t="s">
        <v>36808</v>
      </c>
      <c r="C22819" t="s">
        <v>20</v>
      </c>
      <c r="D22819" t="s">
        <v>283</v>
      </c>
      <c r="E22819" t="s">
        <v>1517</v>
      </c>
      <c r="F22819" s="2" t="str">
        <f>HYPERLINK("http://www.otzar.org/book.asp?154150","מחזור רבא - 4 כר'")</f>
        <v>מחזור רבא - 4 כר'</v>
      </c>
    </row>
    <row r="22820" spans="1:6" x14ac:dyDescent="0.2">
      <c r="A22820" t="s">
        <v>36809</v>
      </c>
      <c r="B22820" t="s">
        <v>36810</v>
      </c>
      <c r="C22820" t="s">
        <v>366</v>
      </c>
      <c r="D22820" t="s">
        <v>14</v>
      </c>
      <c r="F22820" s="2" t="str">
        <f>HYPERLINK("http://www.otzar.org/book.asp?613082","מחזור רינת ישראל &lt;אשכנז&gt; - 4 כר'")</f>
        <v>מחזור רינת ישראל &lt;אשכנז&gt; - 4 כר'</v>
      </c>
    </row>
    <row r="22821" spans="1:6" x14ac:dyDescent="0.2">
      <c r="A22821" t="s">
        <v>36811</v>
      </c>
      <c r="B22821" t="s">
        <v>36810</v>
      </c>
      <c r="C22821" t="s">
        <v>366</v>
      </c>
      <c r="D22821" t="s">
        <v>14</v>
      </c>
      <c r="F22821" s="2" t="str">
        <f>HYPERLINK("http://www.otzar.org/book.asp?612922","מחזור רינת ישראל &lt;ספרד&gt; - 5 כר'")</f>
        <v>מחזור רינת ישראל &lt;ספרד&gt; - 5 כר'</v>
      </c>
    </row>
    <row r="22822" spans="1:6" x14ac:dyDescent="0.2">
      <c r="A22822" t="s">
        <v>36812</v>
      </c>
      <c r="B22822" t="s">
        <v>36813</v>
      </c>
      <c r="C22822" t="s">
        <v>176</v>
      </c>
      <c r="D22822" t="s">
        <v>14</v>
      </c>
      <c r="E22822" t="s">
        <v>3755</v>
      </c>
      <c r="F22822" s="2" t="str">
        <f>HYPERLINK("http://www.otzar.org/book.asp?180211","מחזור רמח""ל")</f>
        <v>מחזור רמח"ל</v>
      </c>
    </row>
    <row r="22823" spans="1:6" x14ac:dyDescent="0.2">
      <c r="A22823" t="s">
        <v>36814</v>
      </c>
      <c r="B22823" t="s">
        <v>14662</v>
      </c>
      <c r="C22823" t="s">
        <v>383</v>
      </c>
      <c r="D22823" t="s">
        <v>412</v>
      </c>
      <c r="F22823" s="2" t="str">
        <f>HYPERLINK("http://www.otzar.org/book.asp?614500","מחזור שבועות עם דברי יואל")</f>
        <v>מחזור שבועות עם דברי יואל</v>
      </c>
    </row>
    <row r="22824" spans="1:6" x14ac:dyDescent="0.2">
      <c r="A22824" t="s">
        <v>36815</v>
      </c>
      <c r="B22824" t="s">
        <v>7604</v>
      </c>
      <c r="C22824" t="s">
        <v>23</v>
      </c>
      <c r="D22824" t="s">
        <v>52</v>
      </c>
      <c r="F22824" s="2" t="str">
        <f>HYPERLINK("http://www.otzar.org/book.asp?618417","מחזור שי""ח שפתותינו - 5 כר'")</f>
        <v>מחזור שי"ח שפתותינו - 5 כר'</v>
      </c>
    </row>
    <row r="22825" spans="1:6" x14ac:dyDescent="0.2">
      <c r="A22825" t="s">
        <v>36816</v>
      </c>
      <c r="B22825" t="s">
        <v>36817</v>
      </c>
      <c r="C22825" t="s">
        <v>13</v>
      </c>
      <c r="D22825" t="s">
        <v>14</v>
      </c>
      <c r="E22825" t="s">
        <v>1517</v>
      </c>
      <c r="F22825" s="2" t="str">
        <f>HYPERLINK("http://www.otzar.org/book.asp?85643","מחזור שיח בשדה - 4 כר'")</f>
        <v>מחזור שיח בשדה - 4 כר'</v>
      </c>
    </row>
    <row r="22826" spans="1:6" x14ac:dyDescent="0.2">
      <c r="A22826" t="s">
        <v>36818</v>
      </c>
      <c r="B22826" t="s">
        <v>36819</v>
      </c>
      <c r="C22826" t="s">
        <v>1515</v>
      </c>
      <c r="D22826" t="s">
        <v>36820</v>
      </c>
      <c r="E22826" t="s">
        <v>1517</v>
      </c>
      <c r="F22826" s="2" t="str">
        <f>HYPERLINK("http://www.otzar.org/book.asp?197279","מחזור של יום כיפור כמנהג אשכנז ופולין &lt;מבואר בבאור מספיק&gt;")</f>
        <v>מחזור של יום כיפור כמנהג אשכנז ופולין &lt;מבואר בבאור מספיק&gt;</v>
      </c>
    </row>
    <row r="22827" spans="1:6" x14ac:dyDescent="0.2">
      <c r="A22827" t="s">
        <v>36821</v>
      </c>
      <c r="B22827" t="s">
        <v>36822</v>
      </c>
      <c r="C22827" t="s">
        <v>7367</v>
      </c>
      <c r="D22827" t="s">
        <v>1117</v>
      </c>
      <c r="E22827" t="s">
        <v>219</v>
      </c>
      <c r="F22827" s="2" t="str">
        <f>HYPERLINK("http://www.otzar.org/book.asp?147272","מחזור של ימים נוראים")</f>
        <v>מחזור של ימים נוראים</v>
      </c>
    </row>
    <row r="22828" spans="1:6" x14ac:dyDescent="0.2">
      <c r="A22828" t="s">
        <v>36823</v>
      </c>
      <c r="B22828" t="s">
        <v>36819</v>
      </c>
      <c r="C22828" t="s">
        <v>1515</v>
      </c>
      <c r="D22828" t="s">
        <v>36820</v>
      </c>
      <c r="E22828" t="s">
        <v>1517</v>
      </c>
      <c r="F22828" s="2" t="str">
        <f>HYPERLINK("http://www.otzar.org/book.asp?197284","מחזור של סוכות כמנהג אשכנז ופולין &lt;מבואר בבאור מספיק&gt;")</f>
        <v>מחזור של סוכות כמנהג אשכנז ופולין &lt;מבואר בבאור מספיק&gt;</v>
      </c>
    </row>
    <row r="22829" spans="1:6" x14ac:dyDescent="0.2">
      <c r="A22829" t="s">
        <v>36824</v>
      </c>
      <c r="B22829" t="s">
        <v>36819</v>
      </c>
      <c r="C22829" t="s">
        <v>1515</v>
      </c>
      <c r="D22829" t="s">
        <v>36820</v>
      </c>
      <c r="E22829" t="s">
        <v>1517</v>
      </c>
      <c r="F22829" s="2" t="str">
        <f>HYPERLINK("http://www.otzar.org/book.asp?197283","מחזור של פסח כמנהג אשכנז ופולין &lt;מבואר בבאור מספיק&gt;")</f>
        <v>מחזור של פסח כמנהג אשכנז ופולין &lt;מבואר בבאור מספיק&gt;</v>
      </c>
    </row>
    <row r="22830" spans="1:6" x14ac:dyDescent="0.2">
      <c r="A22830" t="s">
        <v>36825</v>
      </c>
      <c r="B22830" t="s">
        <v>36819</v>
      </c>
      <c r="C22830" t="s">
        <v>1515</v>
      </c>
      <c r="D22830" t="s">
        <v>36820</v>
      </c>
      <c r="E22830" t="s">
        <v>1517</v>
      </c>
      <c r="F22830" s="2" t="str">
        <f>HYPERLINK("http://www.otzar.org/book.asp?197281","מחזור של ר""ה כמנהג אשכנז &lt;יום א - מבואר בבאור מספיק&gt;")</f>
        <v>מחזור של ר"ה כמנהג אשכנז &lt;יום א - מבואר בבאור מספיק&gt;</v>
      </c>
    </row>
    <row r="22831" spans="1:6" x14ac:dyDescent="0.2">
      <c r="A22831" t="s">
        <v>36826</v>
      </c>
      <c r="B22831" t="s">
        <v>36819</v>
      </c>
      <c r="C22831" t="s">
        <v>1515</v>
      </c>
      <c r="D22831" t="s">
        <v>36820</v>
      </c>
      <c r="E22831" t="s">
        <v>1517</v>
      </c>
      <c r="F22831" s="2" t="str">
        <f>HYPERLINK("http://www.otzar.org/book.asp?197280","מחזור של ר""ה כמנהג אשכנז &lt;יום ב - מבואר בבאור מספיק&gt;")</f>
        <v>מחזור של ר"ה כמנהג אשכנז &lt;יום ב - מבואר בבאור מספיק&gt;</v>
      </c>
    </row>
    <row r="22832" spans="1:6" x14ac:dyDescent="0.2">
      <c r="A22832" t="s">
        <v>36827</v>
      </c>
      <c r="B22832" t="s">
        <v>36819</v>
      </c>
      <c r="C22832" t="s">
        <v>1515</v>
      </c>
      <c r="D22832" t="s">
        <v>36820</v>
      </c>
      <c r="E22832" t="s">
        <v>1517</v>
      </c>
      <c r="F22832" s="2" t="str">
        <f>HYPERLINK("http://www.otzar.org/book.asp?197282","מחזור של שבועות כמנהג אשכנז ופולין &lt;מבואר בבאור מספיק&gt;")</f>
        <v>מחזור של שבועות כמנהג אשכנז ופולין &lt;מבואר בבאור מספיק&gt;</v>
      </c>
    </row>
    <row r="22833" spans="1:6" x14ac:dyDescent="0.2">
      <c r="A22833" t="s">
        <v>36828</v>
      </c>
      <c r="B22833" t="s">
        <v>36822</v>
      </c>
      <c r="C22833" t="s">
        <v>7367</v>
      </c>
      <c r="D22833" t="s">
        <v>1117</v>
      </c>
      <c r="E22833" t="s">
        <v>219</v>
      </c>
      <c r="F22833" s="2" t="str">
        <f>HYPERLINK("http://www.otzar.org/book.asp?146889","מחזור של שלש רגלים")</f>
        <v>מחזור של שלש רגלים</v>
      </c>
    </row>
    <row r="22834" spans="1:6" x14ac:dyDescent="0.2">
      <c r="A22834" t="s">
        <v>36829</v>
      </c>
      <c r="B22834" t="s">
        <v>36830</v>
      </c>
      <c r="C22834" t="s">
        <v>36831</v>
      </c>
      <c r="D22834" t="s">
        <v>36832</v>
      </c>
      <c r="F22834" s="2" t="str">
        <f>HYPERLINK("http://www.otzar.org/book.asp?612884","מחזור שלוניקי - 3 כר'")</f>
        <v>מחזור שלוניקי - 3 כר'</v>
      </c>
    </row>
    <row r="22835" spans="1:6" x14ac:dyDescent="0.2">
      <c r="A22835" t="s">
        <v>36833</v>
      </c>
      <c r="B22835" t="s">
        <v>18268</v>
      </c>
      <c r="C22835" t="s">
        <v>68</v>
      </c>
      <c r="D22835" t="s">
        <v>52</v>
      </c>
      <c r="F22835" s="2" t="str">
        <f>HYPERLINK("http://www.otzar.org/book.asp?198274","מחזור שער בנימין - 3 כר'")</f>
        <v>מחזור שער בנימין - 3 כר'</v>
      </c>
    </row>
    <row r="22836" spans="1:6" x14ac:dyDescent="0.2">
      <c r="A22836" t="s">
        <v>36834</v>
      </c>
      <c r="B22836" t="s">
        <v>36835</v>
      </c>
      <c r="C22836" t="s">
        <v>562</v>
      </c>
      <c r="D22836" t="s">
        <v>36836</v>
      </c>
      <c r="E22836" t="s">
        <v>1517</v>
      </c>
      <c r="F22836" s="2" t="str">
        <f>HYPERLINK("http://www.otzar.org/book.asp?83623","מחזור שער השמים")</f>
        <v>מחזור שער השמים</v>
      </c>
    </row>
    <row r="22837" spans="1:6" x14ac:dyDescent="0.2">
      <c r="A22837" t="s">
        <v>36837</v>
      </c>
      <c r="B22837" t="s">
        <v>21100</v>
      </c>
      <c r="C22837" t="s">
        <v>13</v>
      </c>
      <c r="D22837" t="s">
        <v>52</v>
      </c>
      <c r="E22837" t="s">
        <v>219</v>
      </c>
      <c r="F22837" s="2" t="str">
        <f>HYPERLINK("http://www.otzar.org/book.asp?172893","מחזור שער התפילה &lt;שונה הלכות&gt; - 7 כר'")</f>
        <v>מחזור שער התפילה &lt;שונה הלכות&gt; - 7 כר'</v>
      </c>
    </row>
    <row r="22838" spans="1:6" x14ac:dyDescent="0.2">
      <c r="A22838" t="s">
        <v>36838</v>
      </c>
      <c r="B22838" t="s">
        <v>36668</v>
      </c>
      <c r="C22838" t="s">
        <v>454</v>
      </c>
      <c r="D22838" t="s">
        <v>90</v>
      </c>
      <c r="E22838" t="s">
        <v>18910</v>
      </c>
      <c r="F22838" s="2" t="str">
        <f>HYPERLINK("http://www.otzar.org/book.asp?64324","מחזור תפילת הרחמים לר""ה &lt;תכלאל מנהג ביד'א&gt;")</f>
        <v>מחזור תפילת הרחמים לר"ה &lt;תכלאל מנהג ביד'א&gt;</v>
      </c>
    </row>
    <row r="22839" spans="1:6" x14ac:dyDescent="0.2">
      <c r="A22839" t="s">
        <v>36839</v>
      </c>
      <c r="B22839" t="s">
        <v>36840</v>
      </c>
      <c r="C22839" t="s">
        <v>1609</v>
      </c>
      <c r="D22839" t="s">
        <v>14</v>
      </c>
      <c r="E22839" t="s">
        <v>1517</v>
      </c>
      <c r="F22839" s="2" t="str">
        <f>HYPERLINK("http://www.otzar.org/book.asp?153088","מחזור תפלת ישרים - 3 כר'")</f>
        <v>מחזור תפלת ישרים - 3 כר'</v>
      </c>
    </row>
    <row r="22840" spans="1:6" x14ac:dyDescent="0.2">
      <c r="A22840" t="s">
        <v>36841</v>
      </c>
      <c r="B22840" t="s">
        <v>36721</v>
      </c>
      <c r="C22840" t="s">
        <v>5334</v>
      </c>
      <c r="D22840" t="s">
        <v>32559</v>
      </c>
      <c r="E22840" t="s">
        <v>219</v>
      </c>
      <c r="F22840" s="2" t="str">
        <f>HYPERLINK("http://www.otzar.org/book.asp?16103","מחזור - יו""כ, סוכות")</f>
        <v>מחזור - יו"כ, סוכות</v>
      </c>
    </row>
    <row r="22841" spans="1:6" x14ac:dyDescent="0.2">
      <c r="A22841" t="s">
        <v>36842</v>
      </c>
      <c r="B22841" t="s">
        <v>36843</v>
      </c>
      <c r="C22841" t="s">
        <v>16666</v>
      </c>
      <c r="D22841" t="s">
        <v>535</v>
      </c>
      <c r="E22841" t="s">
        <v>219</v>
      </c>
      <c r="F22841" s="2" t="str">
        <f>HYPERLINK("http://www.otzar.org/book.asp?16091","מחזור - יו""כ")</f>
        <v>מחזור - יו"כ</v>
      </c>
    </row>
    <row r="22842" spans="1:6" x14ac:dyDescent="0.2">
      <c r="A22842" t="s">
        <v>36721</v>
      </c>
      <c r="B22842" t="s">
        <v>36844</v>
      </c>
      <c r="C22842" t="s">
        <v>1666</v>
      </c>
      <c r="D22842" t="s">
        <v>1117</v>
      </c>
      <c r="F22842" s="2" t="str">
        <f>HYPERLINK("http://www.otzar.org/book.asp?164874","מחזור")</f>
        <v>מחזור</v>
      </c>
    </row>
    <row r="22843" spans="1:6" x14ac:dyDescent="0.2">
      <c r="A22843" t="s">
        <v>36845</v>
      </c>
      <c r="B22843" t="s">
        <v>36846</v>
      </c>
      <c r="C22843" t="s">
        <v>36847</v>
      </c>
      <c r="D22843" t="s">
        <v>535</v>
      </c>
      <c r="E22843" t="s">
        <v>219</v>
      </c>
      <c r="F22843" s="2" t="str">
        <f>HYPERLINK("http://www.otzar.org/book.asp?16092","מחזור - 2 כר'")</f>
        <v>מחזור - 2 כר'</v>
      </c>
    </row>
    <row r="22844" spans="1:6" x14ac:dyDescent="0.2">
      <c r="A22844" t="s">
        <v>36848</v>
      </c>
      <c r="B22844" t="s">
        <v>1308</v>
      </c>
      <c r="C22844" t="s">
        <v>1524</v>
      </c>
      <c r="D22844" t="s">
        <v>212</v>
      </c>
      <c r="E22844" t="s">
        <v>172</v>
      </c>
      <c r="F22844" s="2" t="str">
        <f>HYPERLINK("http://www.otzar.org/book.asp?8355","מחזיק ברכה - 2 כר'")</f>
        <v>מחזיק ברכה - 2 כר'</v>
      </c>
    </row>
    <row r="22845" spans="1:6" x14ac:dyDescent="0.2">
      <c r="A22845" t="s">
        <v>36849</v>
      </c>
      <c r="B22845" t="s">
        <v>15045</v>
      </c>
      <c r="C22845" t="s">
        <v>99</v>
      </c>
      <c r="D22845" t="s">
        <v>27</v>
      </c>
      <c r="E22845" t="s">
        <v>241</v>
      </c>
      <c r="F22845" s="2" t="str">
        <f>HYPERLINK("http://www.otzar.org/book.asp?106984","מחזיקי הדת - 2 כר'")</f>
        <v>מחזיקי הדת - 2 כר'</v>
      </c>
    </row>
    <row r="22846" spans="1:6" x14ac:dyDescent="0.2">
      <c r="A22846" t="s">
        <v>36850</v>
      </c>
      <c r="B22846" t="s">
        <v>36851</v>
      </c>
      <c r="C22846" t="s">
        <v>1208</v>
      </c>
      <c r="D22846" t="s">
        <v>14</v>
      </c>
      <c r="E22846" t="s">
        <v>202</v>
      </c>
      <c r="F22846" s="2" t="str">
        <f>HYPERLINK("http://www.otzar.org/book.asp?175834","מחזיר עטרה ליושנה - לזכר הגה""צ ר' יהושע העשיל ברים")</f>
        <v>מחזיר עטרה ליושנה - לזכר הגה"צ ר' יהושע העשיל ברים</v>
      </c>
    </row>
    <row r="22847" spans="1:6" x14ac:dyDescent="0.2">
      <c r="A22847" t="s">
        <v>36852</v>
      </c>
      <c r="B22847" t="s">
        <v>36853</v>
      </c>
      <c r="C22847" t="s">
        <v>411</v>
      </c>
      <c r="D22847" t="s">
        <v>423</v>
      </c>
      <c r="E22847" t="s">
        <v>202</v>
      </c>
      <c r="F22847" s="2" t="str">
        <f>HYPERLINK("http://www.otzar.org/book.asp?171597","מחזקי תורה")</f>
        <v>מחזקי תורה</v>
      </c>
    </row>
    <row r="22848" spans="1:6" x14ac:dyDescent="0.2">
      <c r="A22848" t="s">
        <v>36854</v>
      </c>
      <c r="B22848" t="s">
        <v>36855</v>
      </c>
      <c r="C22848" t="s">
        <v>23</v>
      </c>
      <c r="D22848" t="s">
        <v>423</v>
      </c>
      <c r="E22848" t="s">
        <v>202</v>
      </c>
      <c r="F22848" s="2" t="str">
        <f>HYPERLINK("http://www.otzar.org/book.asp?191010","מחזקי תורה - 2 כר'")</f>
        <v>מחזקי תורה - 2 כר'</v>
      </c>
    </row>
    <row r="22849" spans="1:6" x14ac:dyDescent="0.2">
      <c r="A22849" t="s">
        <v>36856</v>
      </c>
      <c r="B22849" t="s">
        <v>36857</v>
      </c>
      <c r="C22849" t="s">
        <v>411</v>
      </c>
      <c r="D22849" t="s">
        <v>423</v>
      </c>
      <c r="E22849" t="s">
        <v>202</v>
      </c>
      <c r="F22849" s="2" t="str">
        <f>HYPERLINK("http://www.otzar.org/book.asp?167907","מחזקי תורה - א")</f>
        <v>מחזקי תורה - א</v>
      </c>
    </row>
    <row r="22850" spans="1:6" x14ac:dyDescent="0.2">
      <c r="A22850" t="s">
        <v>36858</v>
      </c>
      <c r="B22850" t="s">
        <v>206</v>
      </c>
      <c r="C22850" t="s">
        <v>133</v>
      </c>
      <c r="D22850" t="s">
        <v>118</v>
      </c>
      <c r="F22850" s="2" t="str">
        <f>HYPERLINK("http://www.otzar.org/book.asp?610300","מחיל אל חיל")</f>
        <v>מחיל אל חיל</v>
      </c>
    </row>
    <row r="22851" spans="1:6" x14ac:dyDescent="0.2">
      <c r="A22851" t="s">
        <v>36859</v>
      </c>
      <c r="B22851" t="s">
        <v>36860</v>
      </c>
      <c r="C22851" t="s">
        <v>366</v>
      </c>
      <c r="D22851" t="s">
        <v>52</v>
      </c>
      <c r="E22851" t="s">
        <v>803</v>
      </c>
      <c r="F22851" s="2" t="str">
        <f>HYPERLINK("http://www.otzar.org/book.asp?621512","מחיצות העירוב")</f>
        <v>מחיצות העירוב</v>
      </c>
    </row>
    <row r="22852" spans="1:6" x14ac:dyDescent="0.2">
      <c r="A22852" t="s">
        <v>36859</v>
      </c>
      <c r="B22852" t="s">
        <v>4019</v>
      </c>
      <c r="C22852" t="s">
        <v>68</v>
      </c>
      <c r="D22852" t="s">
        <v>14</v>
      </c>
      <c r="E22852" t="s">
        <v>144</v>
      </c>
      <c r="F22852" s="2" t="str">
        <f>HYPERLINK("http://www.otzar.org/book.asp?168398","מחיצות העירוב")</f>
        <v>מחיצות העירוב</v>
      </c>
    </row>
    <row r="22853" spans="1:6" x14ac:dyDescent="0.2">
      <c r="A22853" t="s">
        <v>36861</v>
      </c>
      <c r="B22853" t="s">
        <v>16795</v>
      </c>
      <c r="C22853" t="s">
        <v>1609</v>
      </c>
      <c r="D22853" t="s">
        <v>27</v>
      </c>
      <c r="E22853" t="s">
        <v>158</v>
      </c>
      <c r="F22853" s="2" t="str">
        <f>HYPERLINK("http://www.otzar.org/book.asp?17515","מחיר יין - 4 כר'")</f>
        <v>מחיר יין - 4 כר'</v>
      </c>
    </row>
    <row r="22854" spans="1:6" x14ac:dyDescent="0.2">
      <c r="A22854" t="s">
        <v>36862</v>
      </c>
      <c r="B22854" t="s">
        <v>36863</v>
      </c>
      <c r="C22854" t="s">
        <v>422</v>
      </c>
      <c r="D22854" t="s">
        <v>52</v>
      </c>
      <c r="E22854" t="s">
        <v>104</v>
      </c>
      <c r="F22854" s="2" t="str">
        <f>HYPERLINK("http://www.otzar.org/book.asp?623268","מחל'ב האר""ץ [החדש] - 21")</f>
        <v>מחל'ב האר"ץ [החדש] - 21</v>
      </c>
    </row>
    <row r="22855" spans="1:6" x14ac:dyDescent="0.2">
      <c r="A22855" t="s">
        <v>36864</v>
      </c>
      <c r="B22855" t="s">
        <v>36865</v>
      </c>
      <c r="C22855" t="s">
        <v>63</v>
      </c>
      <c r="D22855" t="s">
        <v>14</v>
      </c>
      <c r="E22855" t="s">
        <v>36866</v>
      </c>
      <c r="F22855" s="2" t="str">
        <f>HYPERLINK("http://www.otzar.org/book.asp?623593","מחלב הארץ")</f>
        <v>מחלב הארץ</v>
      </c>
    </row>
    <row r="22856" spans="1:6" x14ac:dyDescent="0.2">
      <c r="A22856" t="s">
        <v>36867</v>
      </c>
      <c r="B22856" t="s">
        <v>36868</v>
      </c>
      <c r="C22856" t="s">
        <v>68</v>
      </c>
      <c r="D22856" t="s">
        <v>14</v>
      </c>
      <c r="E22856" t="s">
        <v>246</v>
      </c>
      <c r="F22856" s="2" t="str">
        <f>HYPERLINK("http://www.otzar.org/book.asp?158832","מחמדי ארץ - 7 כר'")</f>
        <v>מחמדי ארץ - 7 כר'</v>
      </c>
    </row>
    <row r="22857" spans="1:6" x14ac:dyDescent="0.2">
      <c r="A22857" t="s">
        <v>36869</v>
      </c>
      <c r="B22857" t="s">
        <v>26566</v>
      </c>
      <c r="C22857" t="s">
        <v>383</v>
      </c>
      <c r="D22857" t="s">
        <v>14</v>
      </c>
      <c r="E22857" t="s">
        <v>104</v>
      </c>
      <c r="F22857" s="2" t="str">
        <f>HYPERLINK("http://www.otzar.org/book.asp?189726","מחמדי המעשיות")</f>
        <v>מחמדי המעשיות</v>
      </c>
    </row>
    <row r="22858" spans="1:6" x14ac:dyDescent="0.2">
      <c r="A22858" t="s">
        <v>36870</v>
      </c>
      <c r="B22858" t="s">
        <v>26566</v>
      </c>
      <c r="C22858" t="s">
        <v>1208</v>
      </c>
      <c r="D22858" t="s">
        <v>14</v>
      </c>
      <c r="E22858" t="s">
        <v>158</v>
      </c>
      <c r="F22858" s="2" t="str">
        <f>HYPERLINK("http://www.otzar.org/book.asp?189725","מחמדי התורה")</f>
        <v>מחמדי התורה</v>
      </c>
    </row>
    <row r="22859" spans="1:6" x14ac:dyDescent="0.2">
      <c r="A22859" t="s">
        <v>36871</v>
      </c>
      <c r="B22859" t="s">
        <v>36872</v>
      </c>
      <c r="C22859" t="s">
        <v>129</v>
      </c>
      <c r="D22859" t="s">
        <v>14</v>
      </c>
      <c r="E22859" t="s">
        <v>579</v>
      </c>
      <c r="F22859" s="2" t="str">
        <f>HYPERLINK("http://www.otzar.org/book.asp?64191","מחמדי שמים - 2 כר'")</f>
        <v>מחמדי שמים - 2 כר'</v>
      </c>
    </row>
    <row r="22860" spans="1:6" x14ac:dyDescent="0.2">
      <c r="A22860" t="s">
        <v>36873</v>
      </c>
      <c r="B22860" t="s">
        <v>36874</v>
      </c>
      <c r="C22860" t="s">
        <v>68</v>
      </c>
      <c r="D22860" t="s">
        <v>3859</v>
      </c>
      <c r="E22860" t="s">
        <v>158</v>
      </c>
      <c r="F22860" s="2" t="str">
        <f>HYPERLINK("http://www.otzar.org/book.asp?160241","מחמדיה מימי קדם - 4 כר'")</f>
        <v>מחמדיה מימי קדם - 4 כר'</v>
      </c>
    </row>
    <row r="22861" spans="1:6" x14ac:dyDescent="0.2">
      <c r="A22861" t="s">
        <v>36875</v>
      </c>
      <c r="B22861" t="s">
        <v>36876</v>
      </c>
      <c r="C22861" t="s">
        <v>189</v>
      </c>
      <c r="D22861" t="s">
        <v>52</v>
      </c>
      <c r="E22861" t="s">
        <v>130</v>
      </c>
      <c r="F22861" s="2" t="str">
        <f>HYPERLINK("http://www.otzar.org/book.asp?159094","מחמצת שאסרה תורה מהי")</f>
        <v>מחמצת שאסרה תורה מהי</v>
      </c>
    </row>
    <row r="22862" spans="1:6" x14ac:dyDescent="0.2">
      <c r="A22862" t="s">
        <v>36877</v>
      </c>
      <c r="B22862" t="s">
        <v>36878</v>
      </c>
      <c r="C22862" t="s">
        <v>20</v>
      </c>
      <c r="D22862" t="s">
        <v>520</v>
      </c>
      <c r="E22862" t="s">
        <v>399</v>
      </c>
      <c r="F22862" s="2" t="str">
        <f>HYPERLINK("http://www.otzar.org/book.asp?170085","מחנ""ה שיל""ו (כתב יד)")</f>
        <v>מחנ"ה שיל"ו (כתב יד)</v>
      </c>
    </row>
    <row r="22863" spans="1:6" x14ac:dyDescent="0.2">
      <c r="A22863" t="s">
        <v>36879</v>
      </c>
      <c r="B22863" t="s">
        <v>36880</v>
      </c>
      <c r="C22863" t="s">
        <v>68</v>
      </c>
      <c r="D22863" t="s">
        <v>52</v>
      </c>
      <c r="E22863" t="s">
        <v>84</v>
      </c>
      <c r="F22863" s="2" t="str">
        <f>HYPERLINK("http://www.otzar.org/book.asp?157425","מחנה אברהם - כלים")</f>
        <v>מחנה אברהם - כלים</v>
      </c>
    </row>
    <row r="22864" spans="1:6" x14ac:dyDescent="0.2">
      <c r="A22864" t="s">
        <v>36881</v>
      </c>
      <c r="B22864" t="s">
        <v>36882</v>
      </c>
      <c r="C22864" t="s">
        <v>3957</v>
      </c>
      <c r="D22864" t="s">
        <v>212</v>
      </c>
      <c r="E22864" t="s">
        <v>399</v>
      </c>
      <c r="F22864" s="2" t="str">
        <f>HYPERLINK("http://www.otzar.org/book.asp?103490","מחנה אהרן")</f>
        <v>מחנה אהרן</v>
      </c>
    </row>
    <row r="22865" spans="1:6" x14ac:dyDescent="0.2">
      <c r="A22865" t="s">
        <v>36883</v>
      </c>
      <c r="B22865" t="s">
        <v>36884</v>
      </c>
      <c r="C22865" t="s">
        <v>1208</v>
      </c>
      <c r="D22865" t="s">
        <v>14</v>
      </c>
      <c r="E22865" t="s">
        <v>803</v>
      </c>
      <c r="F22865" s="2" t="str">
        <f>HYPERLINK("http://www.otzar.org/book.asp?106229","מחנה אפרים &lt;ציון יעקב&gt;")</f>
        <v>מחנה אפרים &lt;ציון יעקב&gt;</v>
      </c>
    </row>
    <row r="22866" spans="1:6" x14ac:dyDescent="0.2">
      <c r="A22866" t="s">
        <v>36885</v>
      </c>
      <c r="B22866" t="s">
        <v>36886</v>
      </c>
      <c r="C22866" t="s">
        <v>160</v>
      </c>
      <c r="D22866" t="s">
        <v>9</v>
      </c>
      <c r="E22866" t="s">
        <v>803</v>
      </c>
      <c r="F22866" s="2" t="str">
        <f>HYPERLINK("http://www.otzar.org/book.asp?9838","מחנה אפרים &lt;הארות חיים&gt;")</f>
        <v>מחנה אפרים &lt;הארות חיים&gt;</v>
      </c>
    </row>
    <row r="22867" spans="1:6" x14ac:dyDescent="0.2">
      <c r="A22867" t="s">
        <v>36887</v>
      </c>
      <c r="B22867" t="s">
        <v>36886</v>
      </c>
      <c r="C22867" t="s">
        <v>114</v>
      </c>
      <c r="D22867" t="s">
        <v>14</v>
      </c>
      <c r="E22867" t="s">
        <v>10</v>
      </c>
      <c r="F22867" s="2" t="str">
        <f>HYPERLINK("http://www.otzar.org/book.asp?174669","מחנה אפרים &lt;מהדורת ספרי אור החיים&gt;")</f>
        <v>מחנה אפרים &lt;מהדורת ספרי אור החיים&gt;</v>
      </c>
    </row>
    <row r="22868" spans="1:6" x14ac:dyDescent="0.2">
      <c r="A22868" t="s">
        <v>36888</v>
      </c>
      <c r="B22868" t="s">
        <v>13063</v>
      </c>
      <c r="C22868" t="s">
        <v>2076</v>
      </c>
      <c r="D22868" t="s">
        <v>56</v>
      </c>
      <c r="E22868" t="s">
        <v>1211</v>
      </c>
      <c r="F22868" s="2" t="str">
        <f>HYPERLINK("http://www.otzar.org/book.asp?5739","מחנה אפרים")</f>
        <v>מחנה אפרים</v>
      </c>
    </row>
    <row r="22869" spans="1:6" x14ac:dyDescent="0.2">
      <c r="A22869" t="s">
        <v>36889</v>
      </c>
      <c r="B22869" t="s">
        <v>36890</v>
      </c>
      <c r="C22869" t="s">
        <v>6624</v>
      </c>
      <c r="D22869" t="s">
        <v>2209</v>
      </c>
      <c r="E22869" t="s">
        <v>10943</v>
      </c>
      <c r="F22869" s="2" t="str">
        <f>HYPERLINK("http://www.otzar.org/book.asp?147239","מחנה ארון")</f>
        <v>מחנה ארון</v>
      </c>
    </row>
    <row r="22870" spans="1:6" x14ac:dyDescent="0.2">
      <c r="A22870" t="s">
        <v>36891</v>
      </c>
      <c r="B22870" t="s">
        <v>36892</v>
      </c>
      <c r="C22870" t="s">
        <v>8</v>
      </c>
      <c r="D22870" t="s">
        <v>27</v>
      </c>
      <c r="E22870" t="s">
        <v>36893</v>
      </c>
      <c r="F22870" s="2" t="str">
        <f>HYPERLINK("http://www.otzar.org/book.asp?200192","מחנה ד""ן")</f>
        <v>מחנה ד"ן</v>
      </c>
    </row>
    <row r="22871" spans="1:6" x14ac:dyDescent="0.2">
      <c r="A22871" t="s">
        <v>36894</v>
      </c>
      <c r="B22871" t="s">
        <v>15555</v>
      </c>
      <c r="C22871" t="s">
        <v>1047</v>
      </c>
      <c r="D22871" t="s">
        <v>27</v>
      </c>
      <c r="E22871" t="s">
        <v>1211</v>
      </c>
      <c r="F22871" s="2" t="str">
        <f>HYPERLINK("http://www.otzar.org/book.asp?101201","מחנה דוד")</f>
        <v>מחנה דוד</v>
      </c>
    </row>
    <row r="22872" spans="1:6" x14ac:dyDescent="0.2">
      <c r="A22872" t="s">
        <v>36895</v>
      </c>
      <c r="B22872" t="s">
        <v>36896</v>
      </c>
      <c r="C22872" t="s">
        <v>313</v>
      </c>
      <c r="D22872" t="s">
        <v>4519</v>
      </c>
      <c r="E22872" t="s">
        <v>741</v>
      </c>
      <c r="F22872" s="2" t="str">
        <f>HYPERLINK("http://www.otzar.org/book.asp?61944","מחנה דן - 3 כר'")</f>
        <v>מחנה דן - 3 כר'</v>
      </c>
    </row>
    <row r="22873" spans="1:6" x14ac:dyDescent="0.2">
      <c r="A22873" t="s">
        <v>36897</v>
      </c>
      <c r="B22873" t="s">
        <v>36898</v>
      </c>
      <c r="C22873" t="s">
        <v>2543</v>
      </c>
      <c r="D22873" t="s">
        <v>1422</v>
      </c>
      <c r="E22873" t="s">
        <v>144</v>
      </c>
      <c r="F22873" s="2" t="str">
        <f>HYPERLINK("http://www.otzar.org/book.asp?9179","מחנה דן")</f>
        <v>מחנה דן</v>
      </c>
    </row>
    <row r="22874" spans="1:6" x14ac:dyDescent="0.2">
      <c r="A22874" t="s">
        <v>36895</v>
      </c>
      <c r="B22874" t="s">
        <v>36899</v>
      </c>
      <c r="C22874" t="s">
        <v>37</v>
      </c>
      <c r="D22874" t="s">
        <v>52</v>
      </c>
      <c r="E22874" t="s">
        <v>573</v>
      </c>
      <c r="F22874" s="2" t="str">
        <f>HYPERLINK("http://www.otzar.org/book.asp?182571","מחנה דן - 3 כר'")</f>
        <v>מחנה דן - 3 כר'</v>
      </c>
    </row>
    <row r="22875" spans="1:6" x14ac:dyDescent="0.2">
      <c r="A22875" t="s">
        <v>36900</v>
      </c>
      <c r="B22875" t="s">
        <v>21698</v>
      </c>
      <c r="C22875" t="s">
        <v>767</v>
      </c>
      <c r="D22875" t="s">
        <v>646</v>
      </c>
      <c r="E22875" t="s">
        <v>104</v>
      </c>
      <c r="F22875" s="2" t="str">
        <f>HYPERLINK("http://www.otzar.org/book.asp?153338","מחנה הלויים - א-ב")</f>
        <v>מחנה הלויים - א-ב</v>
      </c>
    </row>
    <row r="22876" spans="1:6" x14ac:dyDescent="0.2">
      <c r="A22876" t="s">
        <v>36901</v>
      </c>
      <c r="B22876" t="s">
        <v>7980</v>
      </c>
      <c r="C22876" t="s">
        <v>36902</v>
      </c>
      <c r="D22876" t="s">
        <v>1422</v>
      </c>
      <c r="E22876" t="s">
        <v>154</v>
      </c>
      <c r="F22876" s="2" t="str">
        <f>HYPERLINK("http://www.otzar.org/book.asp?102756","מחנה חיים - 5 כר'")</f>
        <v>מחנה חיים - 5 כר'</v>
      </c>
    </row>
    <row r="22877" spans="1:6" x14ac:dyDescent="0.2">
      <c r="A22877" t="s">
        <v>36903</v>
      </c>
      <c r="B22877" t="s">
        <v>13033</v>
      </c>
      <c r="C22877" t="s">
        <v>1940</v>
      </c>
      <c r="D22877" t="s">
        <v>76</v>
      </c>
      <c r="E22877" t="s">
        <v>148</v>
      </c>
      <c r="F22877" s="2" t="str">
        <f>HYPERLINK("http://www.otzar.org/book.asp?101223","מחנה יאודה א - ב")</f>
        <v>מחנה יאודה א - ב</v>
      </c>
    </row>
    <row r="22878" spans="1:6" x14ac:dyDescent="0.2">
      <c r="A22878" t="s">
        <v>36904</v>
      </c>
      <c r="B22878" t="s">
        <v>3969</v>
      </c>
      <c r="C22878" t="s">
        <v>1640</v>
      </c>
      <c r="D22878" t="s">
        <v>216</v>
      </c>
      <c r="E22878" t="s">
        <v>29431</v>
      </c>
      <c r="F22878" s="2" t="str">
        <f>HYPERLINK("http://www.otzar.org/book.asp?9121","מחנה יהודה")</f>
        <v>מחנה יהודה</v>
      </c>
    </row>
    <row r="22879" spans="1:6" x14ac:dyDescent="0.2">
      <c r="A22879" t="s">
        <v>36904</v>
      </c>
      <c r="B22879" t="s">
        <v>36905</v>
      </c>
      <c r="C22879" t="s">
        <v>334</v>
      </c>
      <c r="D22879" t="s">
        <v>412</v>
      </c>
      <c r="E22879" t="s">
        <v>144</v>
      </c>
      <c r="F22879" s="2" t="str">
        <f>HYPERLINK("http://www.otzar.org/book.asp?618929","מחנה יהודה")</f>
        <v>מחנה יהודה</v>
      </c>
    </row>
    <row r="22880" spans="1:6" x14ac:dyDescent="0.2">
      <c r="A22880" t="s">
        <v>36906</v>
      </c>
      <c r="B22880" t="s">
        <v>25347</v>
      </c>
      <c r="C22880" t="s">
        <v>36907</v>
      </c>
      <c r="D22880" t="s">
        <v>267</v>
      </c>
      <c r="E22880" t="s">
        <v>154</v>
      </c>
      <c r="F22880" s="2" t="str">
        <f>HYPERLINK("http://www.otzar.org/book.asp?19055","מחנה יהודה - 2 כר'")</f>
        <v>מחנה יהודה - 2 כר'</v>
      </c>
    </row>
    <row r="22881" spans="1:6" x14ac:dyDescent="0.2">
      <c r="A22881" t="s">
        <v>36908</v>
      </c>
      <c r="B22881" t="s">
        <v>20640</v>
      </c>
      <c r="C22881" t="s">
        <v>133</v>
      </c>
      <c r="D22881" t="s">
        <v>14</v>
      </c>
      <c r="E22881" t="s">
        <v>467</v>
      </c>
      <c r="F22881" s="2" t="str">
        <f>HYPERLINK("http://www.otzar.org/book.asp?179657","מחנה יוסף - 12 כר'")</f>
        <v>מחנה יוסף - 12 כר'</v>
      </c>
    </row>
    <row r="22882" spans="1:6" x14ac:dyDescent="0.2">
      <c r="A22882" t="s">
        <v>36909</v>
      </c>
      <c r="B22882" t="s">
        <v>25314</v>
      </c>
      <c r="C22882" t="s">
        <v>189</v>
      </c>
      <c r="D22882" t="s">
        <v>14</v>
      </c>
      <c r="E22882" t="s">
        <v>158</v>
      </c>
      <c r="F22882" s="2" t="str">
        <f>HYPERLINK("http://www.otzar.org/book.asp?50964","מחנה יצחק")</f>
        <v>מחנה יצחק</v>
      </c>
    </row>
    <row r="22883" spans="1:6" x14ac:dyDescent="0.2">
      <c r="A22883" t="s">
        <v>36910</v>
      </c>
      <c r="B22883" t="s">
        <v>4547</v>
      </c>
      <c r="C22883" t="s">
        <v>767</v>
      </c>
      <c r="D22883" t="s">
        <v>14</v>
      </c>
      <c r="E22883" t="s">
        <v>154</v>
      </c>
      <c r="F22883" s="2" t="str">
        <f>HYPERLINK("http://www.otzar.org/book.asp?51571","מחנה ישראל")</f>
        <v>מחנה ישראל</v>
      </c>
    </row>
    <row r="22884" spans="1:6" x14ac:dyDescent="0.2">
      <c r="A22884" t="s">
        <v>36911</v>
      </c>
      <c r="B22884" t="s">
        <v>36912</v>
      </c>
      <c r="C22884" t="s">
        <v>13</v>
      </c>
      <c r="D22884" t="s">
        <v>14</v>
      </c>
      <c r="E22884" t="s">
        <v>15</v>
      </c>
      <c r="F22884" s="2" t="str">
        <f>HYPERLINK("http://www.otzar.org/book.asp?60142","מחנה ישראל - 3 כר'")</f>
        <v>מחנה ישראל - 3 כר'</v>
      </c>
    </row>
    <row r="22885" spans="1:6" x14ac:dyDescent="0.2">
      <c r="A22885" t="s">
        <v>36911</v>
      </c>
      <c r="B22885" t="s">
        <v>1978</v>
      </c>
      <c r="C22885" t="s">
        <v>1570</v>
      </c>
      <c r="D22885" t="s">
        <v>14</v>
      </c>
      <c r="E22885" t="s">
        <v>714</v>
      </c>
      <c r="F22885" s="2" t="str">
        <f>HYPERLINK("http://www.otzar.org/book.asp?10731","מחנה ישראל - 3 כר'")</f>
        <v>מחנה ישראל - 3 כר'</v>
      </c>
    </row>
    <row r="22886" spans="1:6" x14ac:dyDescent="0.2">
      <c r="A22886" t="s">
        <v>36913</v>
      </c>
      <c r="B22886" t="s">
        <v>13086</v>
      </c>
      <c r="C22886" t="s">
        <v>36914</v>
      </c>
      <c r="D22886" t="s">
        <v>1117</v>
      </c>
      <c r="E22886" t="s">
        <v>144</v>
      </c>
      <c r="F22886" s="2" t="str">
        <f>HYPERLINK("http://www.otzar.org/book.asp?101716","מחנה ישראל - 2 כר'")</f>
        <v>מחנה ישראל - 2 כר'</v>
      </c>
    </row>
    <row r="22887" spans="1:6" x14ac:dyDescent="0.2">
      <c r="A22887" t="s">
        <v>36910</v>
      </c>
      <c r="B22887" t="s">
        <v>3875</v>
      </c>
      <c r="C22887" t="s">
        <v>547</v>
      </c>
      <c r="D22887" t="s">
        <v>283</v>
      </c>
      <c r="E22887" t="s">
        <v>674</v>
      </c>
      <c r="F22887" s="2" t="str">
        <f>HYPERLINK("http://www.otzar.org/book.asp?252","מחנה ישראל")</f>
        <v>מחנה ישראל</v>
      </c>
    </row>
    <row r="22888" spans="1:6" x14ac:dyDescent="0.2">
      <c r="A22888" t="s">
        <v>36915</v>
      </c>
      <c r="B22888" t="s">
        <v>36916</v>
      </c>
      <c r="C22888" t="s">
        <v>5826</v>
      </c>
      <c r="D22888" t="s">
        <v>2373</v>
      </c>
      <c r="E22888" t="s">
        <v>15</v>
      </c>
      <c r="F22888" s="2" t="str">
        <f>HYPERLINK("http://www.otzar.org/book.asp?166879","מחנה ישראל - דיני מליחה, חלה, נדה, הדלקה")</f>
        <v>מחנה ישראל - דיני מליחה, חלה, נדה, הדלקה</v>
      </c>
    </row>
    <row r="22889" spans="1:6" x14ac:dyDescent="0.2">
      <c r="A22889" t="s">
        <v>36917</v>
      </c>
      <c r="B22889" t="s">
        <v>36918</v>
      </c>
      <c r="C22889" t="s">
        <v>466</v>
      </c>
      <c r="D22889" t="s">
        <v>152</v>
      </c>
      <c r="E22889" t="s">
        <v>15</v>
      </c>
      <c r="F22889" s="2" t="str">
        <f>HYPERLINK("http://www.otzar.org/book.asp?50618","מחנה ישראל, עוגת אליהו")</f>
        <v>מחנה ישראל, עוגת אליהו</v>
      </c>
    </row>
    <row r="22890" spans="1:6" x14ac:dyDescent="0.2">
      <c r="A22890" t="s">
        <v>36919</v>
      </c>
      <c r="B22890" t="s">
        <v>36920</v>
      </c>
      <c r="C22890" t="s">
        <v>23598</v>
      </c>
      <c r="D22890" t="s">
        <v>610</v>
      </c>
      <c r="E22890" t="s">
        <v>154</v>
      </c>
      <c r="F22890" s="2" t="str">
        <f>HYPERLINK("http://www.otzar.org/book.asp?19056","מחנה כהונה")</f>
        <v>מחנה כהונה</v>
      </c>
    </row>
    <row r="22891" spans="1:6" x14ac:dyDescent="0.2">
      <c r="A22891" t="s">
        <v>36921</v>
      </c>
      <c r="B22891" t="s">
        <v>24769</v>
      </c>
      <c r="C22891" t="s">
        <v>2243</v>
      </c>
      <c r="D22891" t="s">
        <v>7163</v>
      </c>
      <c r="E22891" t="s">
        <v>144</v>
      </c>
      <c r="F22891" s="2" t="str">
        <f>HYPERLINK("http://www.otzar.org/book.asp?101163","מחנה לוי")</f>
        <v>מחנה לוי</v>
      </c>
    </row>
    <row r="22892" spans="1:6" x14ac:dyDescent="0.2">
      <c r="A22892" t="s">
        <v>36921</v>
      </c>
      <c r="B22892" t="s">
        <v>36922</v>
      </c>
      <c r="C22892" t="s">
        <v>1885</v>
      </c>
      <c r="D22892" t="s">
        <v>855</v>
      </c>
      <c r="E22892" t="s">
        <v>246</v>
      </c>
      <c r="F22892" s="2" t="str">
        <f>HYPERLINK("http://www.otzar.org/book.asp?51550","מחנה לוי")</f>
        <v>מחנה לוי</v>
      </c>
    </row>
    <row r="22893" spans="1:6" x14ac:dyDescent="0.2">
      <c r="A22893" t="s">
        <v>36923</v>
      </c>
      <c r="B22893" t="s">
        <v>36924</v>
      </c>
      <c r="C22893" t="s">
        <v>189</v>
      </c>
      <c r="D22893" t="s">
        <v>14</v>
      </c>
      <c r="E22893" t="s">
        <v>15</v>
      </c>
      <c r="F22893" s="2" t="str">
        <f>HYPERLINK("http://www.otzar.org/book.asp?22483","מחנה ראובן - 4 כר'")</f>
        <v>מחנה ראובן - 4 כר'</v>
      </c>
    </row>
    <row r="22894" spans="1:6" x14ac:dyDescent="0.2">
      <c r="A22894" t="s">
        <v>36925</v>
      </c>
      <c r="B22894" t="s">
        <v>36926</v>
      </c>
      <c r="C22894" t="s">
        <v>1981</v>
      </c>
      <c r="D22894" t="s">
        <v>212</v>
      </c>
      <c r="E22894" t="s">
        <v>144</v>
      </c>
      <c r="F22894" s="2" t="str">
        <f>HYPERLINK("http://www.otzar.org/book.asp?5611","מחנה ראובן")</f>
        <v>מחנה ראובן</v>
      </c>
    </row>
    <row r="22895" spans="1:6" x14ac:dyDescent="0.2">
      <c r="A22895" t="s">
        <v>36927</v>
      </c>
      <c r="B22895" t="s">
        <v>36928</v>
      </c>
      <c r="C22895" t="s">
        <v>908</v>
      </c>
      <c r="D22895" t="s">
        <v>6974</v>
      </c>
      <c r="E22895" t="s">
        <v>234</v>
      </c>
      <c r="F22895" s="2" t="str">
        <f>HYPERLINK("http://www.otzar.org/book.asp?170995","מחנה ראובן - 2 כר'")</f>
        <v>מחנה ראובן - 2 כר'</v>
      </c>
    </row>
    <row r="22896" spans="1:6" x14ac:dyDescent="0.2">
      <c r="A22896" t="s">
        <v>36929</v>
      </c>
      <c r="B22896" t="s">
        <v>36930</v>
      </c>
      <c r="C22896" t="s">
        <v>68</v>
      </c>
      <c r="D22896" t="s">
        <v>245</v>
      </c>
      <c r="E22896" t="s">
        <v>104</v>
      </c>
      <c r="F22896" s="2" t="str">
        <f>HYPERLINK("http://www.otzar.org/book.asp?163238","מחנה שכינה")</f>
        <v>מחנה שכינה</v>
      </c>
    </row>
    <row r="22897" spans="1:6" x14ac:dyDescent="0.2">
      <c r="A22897" t="s">
        <v>36931</v>
      </c>
      <c r="B22897" t="s">
        <v>18976</v>
      </c>
      <c r="C22897" t="s">
        <v>1535</v>
      </c>
      <c r="D22897" t="s">
        <v>27</v>
      </c>
      <c r="E22897" t="s">
        <v>5935</v>
      </c>
      <c r="F22897" s="2" t="str">
        <f>HYPERLINK("http://www.otzar.org/book.asp?149037","מחניך קדוש - 2 כר'")</f>
        <v>מחניך קדוש - 2 כר'</v>
      </c>
    </row>
    <row r="22898" spans="1:6" x14ac:dyDescent="0.2">
      <c r="A22898" t="s">
        <v>36932</v>
      </c>
      <c r="B22898" t="s">
        <v>36933</v>
      </c>
      <c r="C22898" t="s">
        <v>129</v>
      </c>
      <c r="D22898" t="s">
        <v>90</v>
      </c>
      <c r="E22898" t="s">
        <v>202</v>
      </c>
      <c r="F22898" s="2" t="str">
        <f>HYPERLINK("http://www.otzar.org/book.asp?605047","מחניך - א")</f>
        <v>מחניך - א</v>
      </c>
    </row>
    <row r="22899" spans="1:6" x14ac:dyDescent="0.2">
      <c r="A22899" t="s">
        <v>36934</v>
      </c>
      <c r="B22899" t="s">
        <v>36935</v>
      </c>
      <c r="C22899" t="s">
        <v>442</v>
      </c>
      <c r="D22899" t="s">
        <v>260</v>
      </c>
      <c r="E22899" t="s">
        <v>24256</v>
      </c>
      <c r="F22899" s="2" t="str">
        <f>HYPERLINK("http://www.otzar.org/book.asp?11695","מחנים")</f>
        <v>מחנים</v>
      </c>
    </row>
    <row r="22900" spans="1:6" x14ac:dyDescent="0.2">
      <c r="A22900" t="s">
        <v>36936</v>
      </c>
      <c r="B22900" t="s">
        <v>36937</v>
      </c>
      <c r="C22900" t="s">
        <v>422</v>
      </c>
      <c r="D22900" t="s">
        <v>52</v>
      </c>
      <c r="E22900" t="s">
        <v>199</v>
      </c>
      <c r="F22900" s="2" t="str">
        <f>HYPERLINK("http://www.otzar.org/book.asp?153585","מחנך לדורות - 2 כר'")</f>
        <v>מחנך לדורות - 2 כר'</v>
      </c>
    </row>
    <row r="22901" spans="1:6" x14ac:dyDescent="0.2">
      <c r="A22901" t="s">
        <v>36938</v>
      </c>
      <c r="B22901" t="s">
        <v>1552</v>
      </c>
      <c r="C22901" t="s">
        <v>2269</v>
      </c>
      <c r="D22901" t="s">
        <v>2373</v>
      </c>
      <c r="E22901" t="s">
        <v>144</v>
      </c>
      <c r="F22901" s="2" t="str">
        <f>HYPERLINK("http://www.otzar.org/book.asp?189320","מחסה ומגן &lt;ספר הזכות&gt;")</f>
        <v>מחסה ומגן &lt;ספר הזכות&gt;</v>
      </c>
    </row>
    <row r="22902" spans="1:6" x14ac:dyDescent="0.2">
      <c r="A22902" t="s">
        <v>36939</v>
      </c>
      <c r="B22902" t="s">
        <v>7813</v>
      </c>
      <c r="C22902" t="s">
        <v>1246</v>
      </c>
      <c r="D22902" t="s">
        <v>27</v>
      </c>
      <c r="E22902" t="s">
        <v>213</v>
      </c>
      <c r="F22902" s="2" t="str">
        <f>HYPERLINK("http://www.otzar.org/book.asp?6457","מחסה ועז")</f>
        <v>מחסה ועז</v>
      </c>
    </row>
    <row r="22903" spans="1:6" x14ac:dyDescent="0.2">
      <c r="A22903" t="s">
        <v>36940</v>
      </c>
      <c r="B22903" t="s">
        <v>18224</v>
      </c>
      <c r="C22903" t="s">
        <v>151</v>
      </c>
      <c r="D22903" t="s">
        <v>90</v>
      </c>
      <c r="E22903" t="s">
        <v>241</v>
      </c>
      <c r="F22903" s="2" t="str">
        <f>HYPERLINK("http://www.otzar.org/book.asp?618969","מחפש את שביל החינוך")</f>
        <v>מחפש את שביל החינוך</v>
      </c>
    </row>
    <row r="22904" spans="1:6" x14ac:dyDescent="0.2">
      <c r="A22904" t="s">
        <v>36941</v>
      </c>
      <c r="B22904" t="s">
        <v>36942</v>
      </c>
      <c r="C22904" t="s">
        <v>36943</v>
      </c>
      <c r="D22904" t="s">
        <v>267</v>
      </c>
      <c r="E22904" t="s">
        <v>172</v>
      </c>
      <c r="F22904" s="2" t="str">
        <f>HYPERLINK("http://www.otzar.org/book.asp?8279","מחצית השקל - 5 כר'")</f>
        <v>מחצית השקל - 5 כר'</v>
      </c>
    </row>
    <row r="22905" spans="1:6" x14ac:dyDescent="0.2">
      <c r="A22905" t="s">
        <v>36944</v>
      </c>
      <c r="B22905" t="s">
        <v>36945</v>
      </c>
      <c r="C22905" t="s">
        <v>1537</v>
      </c>
      <c r="D22905" t="s">
        <v>267</v>
      </c>
      <c r="E22905" t="s">
        <v>172</v>
      </c>
      <c r="F22905" s="2" t="str">
        <f>HYPERLINK("http://www.otzar.org/book.asp?166825","מחצית השקל - 14 כר'")</f>
        <v>מחצית השקל - 14 כר'</v>
      </c>
    </row>
    <row r="22906" spans="1:6" x14ac:dyDescent="0.2">
      <c r="A22906" t="s">
        <v>36946</v>
      </c>
      <c r="B22906" t="s">
        <v>30092</v>
      </c>
      <c r="C22906" t="s">
        <v>785</v>
      </c>
      <c r="D22906" t="s">
        <v>412</v>
      </c>
      <c r="E22906" t="s">
        <v>2533</v>
      </c>
      <c r="F22906" s="2" t="str">
        <f>HYPERLINK("http://www.otzar.org/book.asp?150436","מחקק ספון - 8 כר'")</f>
        <v>מחקק ספון - 8 כר'</v>
      </c>
    </row>
    <row r="22907" spans="1:6" x14ac:dyDescent="0.2">
      <c r="A22907" t="s">
        <v>36947</v>
      </c>
      <c r="B22907" t="s">
        <v>36948</v>
      </c>
      <c r="C22907" t="s">
        <v>775</v>
      </c>
      <c r="D22907" t="s">
        <v>14</v>
      </c>
      <c r="E22907" t="s">
        <v>213</v>
      </c>
      <c r="F22907" s="2" t="str">
        <f>HYPERLINK("http://www.otzar.org/book.asp?159012","מחקר מקיף על כתב ידו של הרמב""ם")</f>
        <v>מחקר מקיף על כתב ידו של הרמב"ם</v>
      </c>
    </row>
    <row r="22908" spans="1:6" x14ac:dyDescent="0.2">
      <c r="A22908" t="s">
        <v>36949</v>
      </c>
      <c r="B22908" t="s">
        <v>14039</v>
      </c>
      <c r="C22908" t="s">
        <v>3246</v>
      </c>
      <c r="D22908" t="s">
        <v>2293</v>
      </c>
      <c r="E22908" t="s">
        <v>84</v>
      </c>
      <c r="F22908" s="2" t="str">
        <f>HYPERLINK("http://www.otzar.org/book.asp?51661","מחקרי אבות")</f>
        <v>מחקרי אבות</v>
      </c>
    </row>
    <row r="22909" spans="1:6" x14ac:dyDescent="0.2">
      <c r="A22909" t="s">
        <v>36950</v>
      </c>
      <c r="B22909" t="s">
        <v>36951</v>
      </c>
      <c r="C22909" t="s">
        <v>129</v>
      </c>
      <c r="D22909" t="s">
        <v>721</v>
      </c>
      <c r="E22909" t="s">
        <v>733</v>
      </c>
      <c r="F22909" s="2" t="str">
        <f>HYPERLINK("http://www.otzar.org/book.asp?174484","מחקרי אליעזר")</f>
        <v>מחקרי אליעזר</v>
      </c>
    </row>
    <row r="22910" spans="1:6" x14ac:dyDescent="0.2">
      <c r="A22910" t="s">
        <v>36952</v>
      </c>
      <c r="B22910" t="s">
        <v>21896</v>
      </c>
      <c r="C22910" t="s">
        <v>13</v>
      </c>
      <c r="D22910" t="s">
        <v>14</v>
      </c>
      <c r="E22910" t="s">
        <v>154</v>
      </c>
      <c r="F22910" s="2" t="str">
        <f>HYPERLINK("http://www.otzar.org/book.asp?149764","מחקרי ארץ &lt;שו""ת&gt; - 8 כר'")</f>
        <v>מחקרי ארץ &lt;שו"ת&gt; - 8 כר'</v>
      </c>
    </row>
    <row r="22911" spans="1:6" x14ac:dyDescent="0.2">
      <c r="A22911" t="s">
        <v>36953</v>
      </c>
      <c r="B22911" t="s">
        <v>7771</v>
      </c>
      <c r="C22911" t="s">
        <v>445</v>
      </c>
      <c r="D22911" t="s">
        <v>27</v>
      </c>
      <c r="E22911" t="s">
        <v>104</v>
      </c>
      <c r="F22911" s="2" t="str">
        <f>HYPERLINK("http://www.otzar.org/book.asp?85785","מחקרי ארץ אבותינו")</f>
        <v>מחקרי ארץ אבותינו</v>
      </c>
    </row>
    <row r="22912" spans="1:6" x14ac:dyDescent="0.2">
      <c r="A22912" t="s">
        <v>36954</v>
      </c>
      <c r="B22912" t="s">
        <v>36955</v>
      </c>
      <c r="C22912" t="s">
        <v>422</v>
      </c>
      <c r="D22912" t="s">
        <v>52</v>
      </c>
      <c r="E22912" t="s">
        <v>9356</v>
      </c>
      <c r="F22912" s="2" t="str">
        <f>HYPERLINK("http://www.otzar.org/book.asp?149264","מחקרי ארץ - &lt;שו""ת&gt; א")</f>
        <v>מחקרי ארץ - &lt;שו"ת&gt; א</v>
      </c>
    </row>
    <row r="22913" spans="1:6" x14ac:dyDescent="0.2">
      <c r="A22913" t="s">
        <v>36956</v>
      </c>
      <c r="B22913" t="s">
        <v>6987</v>
      </c>
      <c r="C22913" t="s">
        <v>20</v>
      </c>
      <c r="D22913" t="s">
        <v>90</v>
      </c>
      <c r="E22913" t="s">
        <v>130</v>
      </c>
      <c r="F22913" s="2" t="str">
        <f>HYPERLINK("http://www.otzar.org/book.asp?166461","מחקרי ארץ - לקט חקירות בענייני חג הסוכות")</f>
        <v>מחקרי ארץ - לקט חקירות בענייני חג הסוכות</v>
      </c>
    </row>
    <row r="22914" spans="1:6" x14ac:dyDescent="0.2">
      <c r="A22914" t="s">
        <v>36957</v>
      </c>
      <c r="B22914" t="s">
        <v>12747</v>
      </c>
      <c r="C22914" t="s">
        <v>411</v>
      </c>
      <c r="D22914" t="s">
        <v>134</v>
      </c>
      <c r="E22914" t="s">
        <v>144</v>
      </c>
      <c r="F22914" s="2" t="str">
        <f>HYPERLINK("http://www.otzar.org/book.asp?172778","מחקרי ארץ")</f>
        <v>מחקרי ארץ</v>
      </c>
    </row>
    <row r="22915" spans="1:6" x14ac:dyDescent="0.2">
      <c r="A22915" t="s">
        <v>36958</v>
      </c>
      <c r="B22915" t="s">
        <v>21896</v>
      </c>
      <c r="C22915" t="s">
        <v>244</v>
      </c>
      <c r="D22915" t="s">
        <v>14</v>
      </c>
      <c r="E22915" t="s">
        <v>674</v>
      </c>
      <c r="F22915" s="2" t="str">
        <f>HYPERLINK("http://www.otzar.org/book.asp?601623","מחקרי ארץ - 2 כר'")</f>
        <v>מחקרי ארץ - 2 כר'</v>
      </c>
    </row>
    <row r="22916" spans="1:6" x14ac:dyDescent="0.2">
      <c r="A22916" t="s">
        <v>36959</v>
      </c>
      <c r="B22916" t="s">
        <v>19004</v>
      </c>
      <c r="C22916" t="s">
        <v>332</v>
      </c>
      <c r="D22916" t="s">
        <v>118</v>
      </c>
      <c r="E22916" t="s">
        <v>741</v>
      </c>
      <c r="F22916" s="2" t="str">
        <f>HYPERLINK("http://www.otzar.org/book.asp?189872","מחקרי חסידות")</f>
        <v>מחקרי חסידות</v>
      </c>
    </row>
    <row r="22917" spans="1:6" x14ac:dyDescent="0.2">
      <c r="A22917" t="s">
        <v>36960</v>
      </c>
      <c r="B22917" t="s">
        <v>36961</v>
      </c>
      <c r="C22917" t="s">
        <v>143</v>
      </c>
      <c r="D22917" t="s">
        <v>21</v>
      </c>
      <c r="E22917" t="s">
        <v>1626</v>
      </c>
      <c r="F22917" s="2" t="str">
        <f>HYPERLINK("http://www.otzar.org/book.asp?191840","מחקרי לשון וספרות - 3 כר'")</f>
        <v>מחקרי לשון וספרות - 3 כר'</v>
      </c>
    </row>
    <row r="22918" spans="1:6" x14ac:dyDescent="0.2">
      <c r="A22918" t="s">
        <v>36962</v>
      </c>
      <c r="B22918" t="s">
        <v>36963</v>
      </c>
      <c r="C22918" t="s">
        <v>224</v>
      </c>
      <c r="D22918" t="s">
        <v>699</v>
      </c>
      <c r="E22918" t="s">
        <v>148</v>
      </c>
      <c r="F22918" s="2" t="str">
        <f>HYPERLINK("http://www.otzar.org/book.asp?19059","מחקרי מרדכי")</f>
        <v>מחקרי מרדכי</v>
      </c>
    </row>
    <row r="22919" spans="1:6" x14ac:dyDescent="0.2">
      <c r="A22919" t="s">
        <v>36964</v>
      </c>
      <c r="B22919" t="s">
        <v>36965</v>
      </c>
      <c r="C22919" t="s">
        <v>146</v>
      </c>
      <c r="D22919" t="s">
        <v>72</v>
      </c>
      <c r="E22919" t="s">
        <v>104</v>
      </c>
      <c r="F22919" s="2" t="str">
        <f>HYPERLINK("http://www.otzar.org/book.asp?185049","מחקרים בביבליוגרפיה יהודית ובפיוטי ימי הביניים")</f>
        <v>מחקרים בביבליוגרפיה יהודית ובפיוטי ימי הביניים</v>
      </c>
    </row>
    <row r="22920" spans="1:6" x14ac:dyDescent="0.2">
      <c r="A22920" t="s">
        <v>36966</v>
      </c>
      <c r="B22920" t="s">
        <v>7031</v>
      </c>
      <c r="C22920" t="s">
        <v>68</v>
      </c>
      <c r="D22920" t="s">
        <v>52</v>
      </c>
      <c r="E22920" t="s">
        <v>1626</v>
      </c>
      <c r="F22920" s="2" t="str">
        <f>HYPERLINK("http://www.otzar.org/book.asp?175510","מחקרים בסידורי תימן - 4 כר'")</f>
        <v>מחקרים בסידורי תימן - 4 כר'</v>
      </c>
    </row>
    <row r="22921" spans="1:6" x14ac:dyDescent="0.2">
      <c r="A22921" t="s">
        <v>36967</v>
      </c>
      <c r="B22921" t="s">
        <v>36968</v>
      </c>
      <c r="C22921" t="s">
        <v>698</v>
      </c>
      <c r="D22921" t="s">
        <v>27</v>
      </c>
      <c r="E22921" t="s">
        <v>733</v>
      </c>
      <c r="F22921" s="2" t="str">
        <f>HYPERLINK("http://www.otzar.org/book.asp?144249","מחקרים בספרות הגאונים")</f>
        <v>מחקרים בספרות הגאונים</v>
      </c>
    </row>
    <row r="22922" spans="1:6" x14ac:dyDescent="0.2">
      <c r="A22922" t="s">
        <v>36969</v>
      </c>
      <c r="B22922" t="s">
        <v>7987</v>
      </c>
      <c r="C22922" t="s">
        <v>1811</v>
      </c>
      <c r="D22922" t="s">
        <v>14</v>
      </c>
      <c r="E22922" t="s">
        <v>733</v>
      </c>
      <c r="F22922" s="2" t="str">
        <f>HYPERLINK("http://www.otzar.org/book.asp?15541","מחקרים בתולדות היהודים בארץ ישראל ובאיטליה")</f>
        <v>מחקרים בתולדות היהודים בארץ ישראל ובאיטליה</v>
      </c>
    </row>
    <row r="22923" spans="1:6" x14ac:dyDescent="0.2">
      <c r="A22923" t="s">
        <v>36970</v>
      </c>
      <c r="B22923" t="s">
        <v>8135</v>
      </c>
      <c r="C22923" t="s">
        <v>10565</v>
      </c>
      <c r="D22923" t="s">
        <v>280</v>
      </c>
      <c r="E22923" t="s">
        <v>1211</v>
      </c>
      <c r="F22923" s="2" t="str">
        <f>HYPERLINK("http://www.otzar.org/book.asp?19199","מחקרים בתלמוד")</f>
        <v>מחקרים בתלמוד</v>
      </c>
    </row>
    <row r="22924" spans="1:6" x14ac:dyDescent="0.2">
      <c r="A22924" t="s">
        <v>36971</v>
      </c>
      <c r="B22924" t="s">
        <v>36972</v>
      </c>
      <c r="C22924" t="s">
        <v>433</v>
      </c>
      <c r="D22924" t="s">
        <v>216</v>
      </c>
      <c r="E22924" t="s">
        <v>1626</v>
      </c>
      <c r="F22924" s="2" t="str">
        <f>HYPERLINK("http://www.otzar.org/book.asp?606101","מחקרים בתפילה")</f>
        <v>מחקרים בתפילה</v>
      </c>
    </row>
    <row r="22925" spans="1:6" x14ac:dyDescent="0.2">
      <c r="A22925" t="s">
        <v>36973</v>
      </c>
      <c r="B22925" t="s">
        <v>36974</v>
      </c>
      <c r="C22925" t="s">
        <v>1160</v>
      </c>
      <c r="D22925" t="s">
        <v>21</v>
      </c>
      <c r="E22925" t="s">
        <v>104</v>
      </c>
      <c r="F22925" s="2" t="str">
        <f>HYPERLINK("http://www.otzar.org/book.asp?602635","מחקרים ומקורות - ב")</f>
        <v>מחקרים ומקורות - ב</v>
      </c>
    </row>
    <row r="22926" spans="1:6" x14ac:dyDescent="0.2">
      <c r="A22926" t="s">
        <v>36975</v>
      </c>
      <c r="B22926" t="s">
        <v>2900</v>
      </c>
      <c r="C22926" t="s">
        <v>99</v>
      </c>
      <c r="D22926" t="s">
        <v>1651</v>
      </c>
      <c r="E22926" t="s">
        <v>104</v>
      </c>
      <c r="F22926" s="2" t="str">
        <f>HYPERLINK("http://www.otzar.org/book.asp?176855","מחקרים שונים בתקופת הגאונים")</f>
        <v>מחקרים שונים בתקופת הגאונים</v>
      </c>
    </row>
    <row r="22927" spans="1:6" x14ac:dyDescent="0.2">
      <c r="A22927" t="s">
        <v>36976</v>
      </c>
      <c r="B22927" t="s">
        <v>36977</v>
      </c>
      <c r="C22927" t="s">
        <v>411</v>
      </c>
      <c r="D22927" t="s">
        <v>14</v>
      </c>
      <c r="F22927" s="2" t="str">
        <f>HYPERLINK("http://www.otzar.org/book.asp?197653","מחר יהיה מאוחר")</f>
        <v>מחר יהיה מאוחר</v>
      </c>
    </row>
    <row r="22928" spans="1:6" x14ac:dyDescent="0.2">
      <c r="A22928" t="s">
        <v>36978</v>
      </c>
      <c r="B22928" t="s">
        <v>36979</v>
      </c>
      <c r="C22928" t="s">
        <v>1570</v>
      </c>
      <c r="D22928" t="s">
        <v>14</v>
      </c>
      <c r="E22928" t="s">
        <v>741</v>
      </c>
      <c r="F22928" s="2" t="str">
        <f>HYPERLINK("http://www.otzar.org/book.asp?609610","מחרוזת")</f>
        <v>מחרוזת</v>
      </c>
    </row>
    <row r="22929" spans="1:6" x14ac:dyDescent="0.2">
      <c r="A22929" t="s">
        <v>36978</v>
      </c>
      <c r="B22929" t="s">
        <v>36980</v>
      </c>
      <c r="C22929" t="s">
        <v>1570</v>
      </c>
      <c r="D22929" t="s">
        <v>21</v>
      </c>
      <c r="E22929" t="s">
        <v>741</v>
      </c>
      <c r="F22929" s="2" t="str">
        <f>HYPERLINK("http://www.otzar.org/book.asp?602610","מחרוזת")</f>
        <v>מחרוזת</v>
      </c>
    </row>
    <row r="22930" spans="1:6" x14ac:dyDescent="0.2">
      <c r="A22930" t="s">
        <v>36981</v>
      </c>
      <c r="B22930" t="s">
        <v>9094</v>
      </c>
      <c r="C22930" t="s">
        <v>51</v>
      </c>
      <c r="D22930" t="s">
        <v>52</v>
      </c>
      <c r="E22930" t="s">
        <v>213</v>
      </c>
      <c r="F22930" s="2" t="str">
        <f>HYPERLINK("http://www.otzar.org/book.asp?22620","מחשבה אחת")</f>
        <v>מחשבה אחת</v>
      </c>
    </row>
    <row r="22931" spans="1:6" x14ac:dyDescent="0.2">
      <c r="A22931" t="s">
        <v>36982</v>
      </c>
      <c r="B22931" t="s">
        <v>1681</v>
      </c>
      <c r="C22931" t="s">
        <v>103</v>
      </c>
      <c r="D22931" t="s">
        <v>52</v>
      </c>
      <c r="E22931" t="s">
        <v>241</v>
      </c>
      <c r="F22931" s="2" t="str">
        <f>HYPERLINK("http://www.otzar.org/book.asp?23928","מחשבה אחת - 5 כר'")</f>
        <v>מחשבה אחת - 5 כר'</v>
      </c>
    </row>
    <row r="22932" spans="1:6" x14ac:dyDescent="0.2">
      <c r="A22932" t="s">
        <v>36983</v>
      </c>
      <c r="B22932" t="s">
        <v>236</v>
      </c>
      <c r="C22932" t="s">
        <v>1169</v>
      </c>
      <c r="D22932" t="s">
        <v>36984</v>
      </c>
      <c r="E22932" t="s">
        <v>474</v>
      </c>
      <c r="F22932" s="2" t="str">
        <f>HYPERLINK("http://www.otzar.org/book.asp?196265","מחשבה ולשון")</f>
        <v>מחשבה ולשון</v>
      </c>
    </row>
    <row r="22933" spans="1:6" x14ac:dyDescent="0.2">
      <c r="A22933" t="s">
        <v>36985</v>
      </c>
      <c r="B22933" t="s">
        <v>36986</v>
      </c>
      <c r="C22933" t="s">
        <v>63</v>
      </c>
      <c r="D22933" t="s">
        <v>412</v>
      </c>
      <c r="E22933" t="s">
        <v>241</v>
      </c>
      <c r="F22933" s="2" t="str">
        <f>HYPERLINK("http://www.otzar.org/book.asp?604293","מחשבה וערכים ביהדות")</f>
        <v>מחשבה וערכים ביהדות</v>
      </c>
    </row>
    <row r="22934" spans="1:6" x14ac:dyDescent="0.2">
      <c r="A22934" t="s">
        <v>36987</v>
      </c>
      <c r="B22934" t="s">
        <v>36988</v>
      </c>
      <c r="C22934" t="s">
        <v>244</v>
      </c>
      <c r="D22934" t="s">
        <v>115</v>
      </c>
      <c r="E22934" t="s">
        <v>213</v>
      </c>
      <c r="F22934" s="2" t="str">
        <f>HYPERLINK("http://www.otzar.org/book.asp?608339","מחשבה למעשה")</f>
        <v>מחשבה למעשה</v>
      </c>
    </row>
    <row r="22935" spans="1:6" x14ac:dyDescent="0.2">
      <c r="A22935" t="s">
        <v>36989</v>
      </c>
      <c r="B22935" t="s">
        <v>36990</v>
      </c>
      <c r="C22935" t="s">
        <v>20</v>
      </c>
      <c r="D22935" t="s">
        <v>21</v>
      </c>
      <c r="E22935" t="s">
        <v>586</v>
      </c>
      <c r="F22935" s="2" t="str">
        <f>HYPERLINK("http://www.otzar.org/book.asp?600028","מחשבות אברהם")</f>
        <v>מחשבות אברהם</v>
      </c>
    </row>
    <row r="22936" spans="1:6" x14ac:dyDescent="0.2">
      <c r="A22936" t="s">
        <v>36991</v>
      </c>
      <c r="B22936" t="s">
        <v>36992</v>
      </c>
      <c r="C22936" t="s">
        <v>103</v>
      </c>
      <c r="D22936" t="s">
        <v>52</v>
      </c>
      <c r="E22936" t="s">
        <v>3798</v>
      </c>
      <c r="F22936" s="2" t="str">
        <f>HYPERLINK("http://www.otzar.org/book.asp?159390","מחשבות אדם")</f>
        <v>מחשבות אדם</v>
      </c>
    </row>
    <row r="22937" spans="1:6" x14ac:dyDescent="0.2">
      <c r="A22937" t="s">
        <v>36993</v>
      </c>
      <c r="B22937" t="s">
        <v>36994</v>
      </c>
      <c r="C22937" t="s">
        <v>36995</v>
      </c>
      <c r="D22937" t="s">
        <v>4269</v>
      </c>
      <c r="E22937" t="s">
        <v>674</v>
      </c>
      <c r="F22937" s="2" t="str">
        <f>HYPERLINK("http://www.otzar.org/book.asp?19196","מחשבות בעצה")</f>
        <v>מחשבות בעצה</v>
      </c>
    </row>
    <row r="22938" spans="1:6" x14ac:dyDescent="0.2">
      <c r="A22938" t="s">
        <v>36996</v>
      </c>
      <c r="B22938" t="s">
        <v>36997</v>
      </c>
      <c r="C22938" t="s">
        <v>1169</v>
      </c>
      <c r="D22938" t="s">
        <v>260</v>
      </c>
      <c r="E22938" t="s">
        <v>241</v>
      </c>
      <c r="F22938" s="2" t="str">
        <f>HYPERLINK("http://www.otzar.org/book.asp?168153","מחשבות האדם")</f>
        <v>מחשבות האדם</v>
      </c>
    </row>
    <row r="22939" spans="1:6" x14ac:dyDescent="0.2">
      <c r="A22939" t="s">
        <v>36998</v>
      </c>
      <c r="B22939" t="s">
        <v>2993</v>
      </c>
      <c r="C22939" t="s">
        <v>146</v>
      </c>
      <c r="D22939" t="s">
        <v>14919</v>
      </c>
      <c r="E22939" t="s">
        <v>241</v>
      </c>
      <c r="F22939" s="2" t="str">
        <f>HYPERLINK("http://www.otzar.org/book.asp?84171","מחשבות חרוץ &lt;מהדורת הר ברכה&gt;")</f>
        <v>מחשבות חרוץ &lt;מהדורת הר ברכה&gt;</v>
      </c>
    </row>
    <row r="22940" spans="1:6" x14ac:dyDescent="0.2">
      <c r="A22940" t="s">
        <v>36999</v>
      </c>
      <c r="B22940" t="s">
        <v>2993</v>
      </c>
      <c r="C22940" t="s">
        <v>1246</v>
      </c>
      <c r="D22940" t="s">
        <v>27</v>
      </c>
      <c r="E22940" t="s">
        <v>140</v>
      </c>
      <c r="F22940" s="2" t="str">
        <f>HYPERLINK("http://www.otzar.org/book.asp?5156","מחשבות חרוץ - 2 כר'")</f>
        <v>מחשבות חרוץ - 2 כר'</v>
      </c>
    </row>
    <row r="22941" spans="1:6" x14ac:dyDescent="0.2">
      <c r="A22941" t="s">
        <v>37000</v>
      </c>
      <c r="B22941" t="s">
        <v>37001</v>
      </c>
      <c r="C22941" t="s">
        <v>492</v>
      </c>
      <c r="D22941" t="s">
        <v>283</v>
      </c>
      <c r="E22941" t="s">
        <v>621</v>
      </c>
      <c r="F22941" s="2" t="str">
        <f>HYPERLINK("http://www.otzar.org/book.asp?9774","מחשבות ישראל")</f>
        <v>מחשבות ישראל</v>
      </c>
    </row>
    <row r="22942" spans="1:6" x14ac:dyDescent="0.2">
      <c r="A22942" t="s">
        <v>37002</v>
      </c>
      <c r="B22942" t="s">
        <v>37003</v>
      </c>
      <c r="C22942" t="s">
        <v>940</v>
      </c>
      <c r="D22942" t="s">
        <v>52</v>
      </c>
      <c r="E22942" t="s">
        <v>158</v>
      </c>
      <c r="F22942" s="2" t="str">
        <f>HYPERLINK("http://www.otzar.org/book.asp?625608","מחשבות לב - א")</f>
        <v>מחשבות לב - א</v>
      </c>
    </row>
    <row r="22943" spans="1:6" x14ac:dyDescent="0.2">
      <c r="A22943" t="s">
        <v>37004</v>
      </c>
      <c r="B22943" t="s">
        <v>37005</v>
      </c>
      <c r="C22943" t="s">
        <v>946</v>
      </c>
      <c r="D22943" t="s">
        <v>1117</v>
      </c>
      <c r="E22943" t="s">
        <v>975</v>
      </c>
      <c r="F22943" s="2" t="str">
        <f>HYPERLINK("http://www.otzar.org/book.asp?189514","מחשבות משה")</f>
        <v>מחשבות משה</v>
      </c>
    </row>
    <row r="22944" spans="1:6" x14ac:dyDescent="0.2">
      <c r="A22944" t="s">
        <v>37006</v>
      </c>
      <c r="B22944" t="s">
        <v>7813</v>
      </c>
      <c r="C22944" t="s">
        <v>79</v>
      </c>
      <c r="D22944" t="s">
        <v>27</v>
      </c>
      <c r="E22944" t="s">
        <v>213</v>
      </c>
      <c r="F22944" s="2" t="str">
        <f>HYPERLINK("http://www.otzar.org/book.asp?9890","מחשבות שלום")</f>
        <v>מחשבות שלום</v>
      </c>
    </row>
    <row r="22945" spans="1:6" x14ac:dyDescent="0.2">
      <c r="A22945" t="s">
        <v>37007</v>
      </c>
      <c r="B22945" t="s">
        <v>37008</v>
      </c>
      <c r="C22945" t="s">
        <v>725</v>
      </c>
      <c r="D22945" t="s">
        <v>37009</v>
      </c>
      <c r="E22945" t="s">
        <v>158</v>
      </c>
      <c r="F22945" s="2" t="str">
        <f>HYPERLINK("http://www.otzar.org/book.asp?188589","מחשבות שמואל")</f>
        <v>מחשבות שמואל</v>
      </c>
    </row>
    <row r="22946" spans="1:6" x14ac:dyDescent="0.2">
      <c r="A22946" t="s">
        <v>37010</v>
      </c>
      <c r="B22946" t="s">
        <v>37011</v>
      </c>
      <c r="C22946" t="s">
        <v>17</v>
      </c>
      <c r="D22946" t="s">
        <v>14</v>
      </c>
      <c r="E22946" t="s">
        <v>15</v>
      </c>
      <c r="F22946" s="2" t="str">
        <f>HYPERLINK("http://www.otzar.org/book.asp?155887","מחשבת אדם - 2 כר'")</f>
        <v>מחשבת אדם - 2 כר'</v>
      </c>
    </row>
    <row r="22947" spans="1:6" x14ac:dyDescent="0.2">
      <c r="A22947" t="s">
        <v>37012</v>
      </c>
      <c r="B22947" t="s">
        <v>20093</v>
      </c>
      <c r="E22947" t="s">
        <v>213</v>
      </c>
      <c r="F22947" s="2" t="str">
        <f>HYPERLINK("http://www.otzar.org/book.asp?625577","מחשבת אמונה")</f>
        <v>מחשבת אמונה</v>
      </c>
    </row>
    <row r="22948" spans="1:6" x14ac:dyDescent="0.2">
      <c r="A22948" t="s">
        <v>37013</v>
      </c>
      <c r="B22948" t="s">
        <v>6936</v>
      </c>
      <c r="C22948" t="s">
        <v>63</v>
      </c>
      <c r="D22948" t="s">
        <v>52</v>
      </c>
      <c r="E22948" t="s">
        <v>104</v>
      </c>
      <c r="F22948" s="2" t="str">
        <f>HYPERLINK("http://www.otzar.org/book.asp?7527","מחשבת בנימין")</f>
        <v>מחשבת בנימין</v>
      </c>
    </row>
    <row r="22949" spans="1:6" x14ac:dyDescent="0.2">
      <c r="A22949" t="s">
        <v>37014</v>
      </c>
      <c r="B22949" t="s">
        <v>3286</v>
      </c>
      <c r="C22949" t="s">
        <v>1640</v>
      </c>
      <c r="D22949" t="s">
        <v>52</v>
      </c>
      <c r="E22949" t="s">
        <v>399</v>
      </c>
      <c r="F22949" s="2" t="str">
        <f>HYPERLINK("http://www.otzar.org/book.asp?12738","מחשבת בצלאל - 2 כר'")</f>
        <v>מחשבת בצלאל - 2 כר'</v>
      </c>
    </row>
    <row r="22950" spans="1:6" x14ac:dyDescent="0.2">
      <c r="A22950" t="s">
        <v>37015</v>
      </c>
      <c r="B22950" t="s">
        <v>37016</v>
      </c>
      <c r="C22950" t="s">
        <v>99</v>
      </c>
      <c r="D22950" t="s">
        <v>563</v>
      </c>
      <c r="E22950" t="s">
        <v>37017</v>
      </c>
      <c r="F22950" s="2" t="str">
        <f>HYPERLINK("http://www.otzar.org/book.asp?15149","מחשבת בצלאל")</f>
        <v>מחשבת בצלאל</v>
      </c>
    </row>
    <row r="22951" spans="1:6" x14ac:dyDescent="0.2">
      <c r="A22951" t="s">
        <v>37018</v>
      </c>
      <c r="B22951" t="s">
        <v>6661</v>
      </c>
      <c r="D22951" t="s">
        <v>14</v>
      </c>
      <c r="E22951" t="s">
        <v>241</v>
      </c>
      <c r="F22951" s="2" t="str">
        <f>HYPERLINK("http://www.otzar.org/book.asp?629130","מחשבת היהדות")</f>
        <v>מחשבת היהדות</v>
      </c>
    </row>
    <row r="22952" spans="1:6" x14ac:dyDescent="0.2">
      <c r="A22952" t="s">
        <v>37019</v>
      </c>
      <c r="B22952" t="s">
        <v>37020</v>
      </c>
      <c r="C22952" t="s">
        <v>185</v>
      </c>
      <c r="D22952" t="s">
        <v>367</v>
      </c>
      <c r="E22952" t="s">
        <v>104</v>
      </c>
      <c r="F22952" s="2" t="str">
        <f>HYPERLINK("http://www.otzar.org/book.asp?630361","מחשבת המשנה")</f>
        <v>מחשבת המשנה</v>
      </c>
    </row>
    <row r="22953" spans="1:6" x14ac:dyDescent="0.2">
      <c r="A22953" t="s">
        <v>37021</v>
      </c>
      <c r="B22953" t="s">
        <v>37022</v>
      </c>
      <c r="C22953" t="s">
        <v>20</v>
      </c>
      <c r="D22953" t="s">
        <v>90</v>
      </c>
      <c r="E22953" t="s">
        <v>241</v>
      </c>
      <c r="F22953" s="2" t="str">
        <f>HYPERLINK("http://www.otzar.org/book.asp?190766","מחשבת העבודה")</f>
        <v>מחשבת העבודה</v>
      </c>
    </row>
    <row r="22954" spans="1:6" x14ac:dyDescent="0.2">
      <c r="A22954" t="s">
        <v>37023</v>
      </c>
      <c r="B22954" t="s">
        <v>37024</v>
      </c>
      <c r="C22954" t="s">
        <v>411</v>
      </c>
      <c r="D22954" t="s">
        <v>412</v>
      </c>
      <c r="E22954" t="s">
        <v>15</v>
      </c>
      <c r="F22954" s="2" t="str">
        <f>HYPERLINK("http://www.otzar.org/book.asp?167906","מחשבת הצבי")</f>
        <v>מחשבת הצבי</v>
      </c>
    </row>
    <row r="22955" spans="1:6" x14ac:dyDescent="0.2">
      <c r="A22955" t="s">
        <v>37025</v>
      </c>
      <c r="B22955" t="s">
        <v>37026</v>
      </c>
      <c r="C22955" t="s">
        <v>576</v>
      </c>
      <c r="D22955" t="s">
        <v>726</v>
      </c>
      <c r="E22955" t="s">
        <v>144</v>
      </c>
      <c r="F22955" s="2" t="str">
        <f>HYPERLINK("http://www.otzar.org/book.asp?101222","מחשבת הקודש - 2 כר'")</f>
        <v>מחשבת הקודש - 2 כר'</v>
      </c>
    </row>
    <row r="22956" spans="1:6" x14ac:dyDescent="0.2">
      <c r="A22956" t="s">
        <v>37027</v>
      </c>
      <c r="B22956" t="s">
        <v>37028</v>
      </c>
      <c r="C22956" t="s">
        <v>366</v>
      </c>
      <c r="D22956" t="s">
        <v>37029</v>
      </c>
      <c r="E22956" t="s">
        <v>9356</v>
      </c>
      <c r="F22956" s="2" t="str">
        <f>HYPERLINK("http://www.otzar.org/book.asp?601410","מחשבת השבת")</f>
        <v>מחשבת השבת</v>
      </c>
    </row>
    <row r="22957" spans="1:6" x14ac:dyDescent="0.2">
      <c r="A22957" t="s">
        <v>37030</v>
      </c>
      <c r="B22957" t="s">
        <v>26573</v>
      </c>
      <c r="C22957" t="s">
        <v>313</v>
      </c>
      <c r="D22957" t="s">
        <v>14</v>
      </c>
      <c r="E22957" t="s">
        <v>158</v>
      </c>
      <c r="F22957" s="2" t="str">
        <f>HYPERLINK("http://www.otzar.org/book.asp?160417","מחשבת התורה - 2 כר'")</f>
        <v>מחשבת התורה - 2 כר'</v>
      </c>
    </row>
    <row r="22958" spans="1:6" x14ac:dyDescent="0.2">
      <c r="A22958" t="s">
        <v>37031</v>
      </c>
      <c r="B22958" t="s">
        <v>32607</v>
      </c>
      <c r="C22958" t="s">
        <v>313</v>
      </c>
      <c r="D22958" t="s">
        <v>52</v>
      </c>
      <c r="E22958" t="s">
        <v>241</v>
      </c>
      <c r="F22958" s="2" t="str">
        <f>HYPERLINK("http://www.otzar.org/book.asp?26025","מחשבת התקופה &lt;לחושבי שמו&gt;")</f>
        <v>מחשבת התקופה &lt;לחושבי שמו&gt;</v>
      </c>
    </row>
    <row r="22959" spans="1:6" x14ac:dyDescent="0.2">
      <c r="A22959" t="s">
        <v>37032</v>
      </c>
      <c r="B22959" t="s">
        <v>174</v>
      </c>
      <c r="C22959" t="s">
        <v>129</v>
      </c>
      <c r="D22959" t="s">
        <v>52</v>
      </c>
      <c r="E22959" t="s">
        <v>4333</v>
      </c>
      <c r="F22959" s="2" t="str">
        <f>HYPERLINK("http://www.otzar.org/book.asp?60062","מחשבת זקנים")</f>
        <v>מחשבת זקנים</v>
      </c>
    </row>
    <row r="22960" spans="1:6" x14ac:dyDescent="0.2">
      <c r="A22960" t="s">
        <v>37033</v>
      </c>
      <c r="B22960" t="s">
        <v>37034</v>
      </c>
      <c r="C22960" t="s">
        <v>160</v>
      </c>
      <c r="D22960" t="s">
        <v>52</v>
      </c>
      <c r="E22960" t="s">
        <v>144</v>
      </c>
      <c r="F22960" s="2" t="str">
        <f>HYPERLINK("http://www.otzar.org/book.asp?157726","מחשבת חיים - 3 כר'")</f>
        <v>מחשבת חיים - 3 כר'</v>
      </c>
    </row>
    <row r="22961" spans="1:6" x14ac:dyDescent="0.2">
      <c r="A22961" t="s">
        <v>37035</v>
      </c>
      <c r="B22961" t="s">
        <v>37036</v>
      </c>
      <c r="C22961" t="s">
        <v>129</v>
      </c>
      <c r="D22961" t="s">
        <v>52</v>
      </c>
      <c r="E22961" t="s">
        <v>144</v>
      </c>
      <c r="F22961" s="2" t="str">
        <f>HYPERLINK("http://www.otzar.org/book.asp?158191","מחשבת חיים - נדה")</f>
        <v>מחשבת חיים - נדה</v>
      </c>
    </row>
    <row r="22962" spans="1:6" x14ac:dyDescent="0.2">
      <c r="A22962" t="s">
        <v>37037</v>
      </c>
      <c r="B22962" t="s">
        <v>32961</v>
      </c>
      <c r="C22962" t="s">
        <v>466</v>
      </c>
      <c r="D22962" t="s">
        <v>14</v>
      </c>
      <c r="E22962" t="s">
        <v>154</v>
      </c>
      <c r="F22962" s="2" t="str">
        <f>HYPERLINK("http://www.otzar.org/book.asp?52735","מחשבת חיים - 2 כר'")</f>
        <v>מחשבת חיים - 2 כר'</v>
      </c>
    </row>
    <row r="22963" spans="1:6" x14ac:dyDescent="0.2">
      <c r="A22963" t="s">
        <v>37038</v>
      </c>
      <c r="B22963" t="s">
        <v>37039</v>
      </c>
      <c r="D22963" t="s">
        <v>14</v>
      </c>
      <c r="F22963" s="2" t="str">
        <f>HYPERLINK("http://www.otzar.org/book.asp?608936","מחשבת יוסף - 2 כר'")</f>
        <v>מחשבת יוסף - 2 כר'</v>
      </c>
    </row>
    <row r="22964" spans="1:6" x14ac:dyDescent="0.2">
      <c r="A22964" t="s">
        <v>37040</v>
      </c>
      <c r="B22964" t="s">
        <v>37041</v>
      </c>
      <c r="C22964" t="s">
        <v>114</v>
      </c>
      <c r="D22964" t="s">
        <v>367</v>
      </c>
      <c r="E22964" t="s">
        <v>144</v>
      </c>
      <c r="F22964" s="2" t="str">
        <f>HYPERLINK("http://www.otzar.org/book.asp?165460","מחשבת כהן")</f>
        <v>מחשבת כהן</v>
      </c>
    </row>
    <row r="22965" spans="1:6" x14ac:dyDescent="0.2">
      <c r="A22965" t="s">
        <v>37042</v>
      </c>
      <c r="B22965" t="s">
        <v>37043</v>
      </c>
      <c r="C22965" t="s">
        <v>366</v>
      </c>
      <c r="D22965" t="s">
        <v>52</v>
      </c>
      <c r="E22965" t="s">
        <v>241</v>
      </c>
      <c r="F22965" s="2" t="str">
        <f>HYPERLINK("http://www.otzar.org/book.asp?629610","מחשבת לב - 2 כר'")</f>
        <v>מחשבת לב - 2 כר'</v>
      </c>
    </row>
    <row r="22966" spans="1:6" x14ac:dyDescent="0.2">
      <c r="A22966" t="s">
        <v>37044</v>
      </c>
      <c r="B22966" t="s">
        <v>174</v>
      </c>
      <c r="C22966" t="s">
        <v>129</v>
      </c>
      <c r="D22966" t="s">
        <v>52</v>
      </c>
      <c r="E22966" t="s">
        <v>213</v>
      </c>
      <c r="F22966" s="2" t="str">
        <f>HYPERLINK("http://www.otzar.org/book.asp?60139","מחשבת מוסר - 3 כר'")</f>
        <v>מחשבת מוסר - 3 כר'</v>
      </c>
    </row>
    <row r="22967" spans="1:6" x14ac:dyDescent="0.2">
      <c r="A22967" t="s">
        <v>37045</v>
      </c>
      <c r="B22967" t="s">
        <v>37046</v>
      </c>
      <c r="C22967" t="s">
        <v>1208</v>
      </c>
      <c r="D22967" t="s">
        <v>412</v>
      </c>
      <c r="E22967" t="s">
        <v>15841</v>
      </c>
      <c r="F22967" s="2" t="str">
        <f>HYPERLINK("http://www.otzar.org/book.asp?172607","מחשבת מרדכי - תפארת יעקב")</f>
        <v>מחשבת מרדכי - תפארת יעקב</v>
      </c>
    </row>
    <row r="22968" spans="1:6" x14ac:dyDescent="0.2">
      <c r="A22968" t="s">
        <v>37047</v>
      </c>
      <c r="B22968" t="s">
        <v>20959</v>
      </c>
      <c r="C22968" t="s">
        <v>854</v>
      </c>
      <c r="D22968" t="s">
        <v>379</v>
      </c>
      <c r="E22968" t="s">
        <v>158</v>
      </c>
      <c r="F22968" s="2" t="str">
        <f>HYPERLINK("http://www.otzar.org/book.asp?147171","מחשבת מרדכי")</f>
        <v>מחשבת מרדכי</v>
      </c>
    </row>
    <row r="22969" spans="1:6" x14ac:dyDescent="0.2">
      <c r="A22969" t="s">
        <v>37048</v>
      </c>
      <c r="B22969" t="s">
        <v>37049</v>
      </c>
      <c r="C22969" t="s">
        <v>114</v>
      </c>
      <c r="D22969" t="s">
        <v>37050</v>
      </c>
      <c r="E22969" t="s">
        <v>144</v>
      </c>
      <c r="F22969" s="2" t="str">
        <f>HYPERLINK("http://www.otzar.org/book.asp?162045","מחשבת מרדכי - 2 כר'")</f>
        <v>מחשבת מרדכי - 2 כר'</v>
      </c>
    </row>
    <row r="22970" spans="1:6" x14ac:dyDescent="0.2">
      <c r="A22970" t="s">
        <v>37051</v>
      </c>
      <c r="B22970" t="s">
        <v>37052</v>
      </c>
      <c r="C22970" t="s">
        <v>550</v>
      </c>
      <c r="D22970" t="s">
        <v>56</v>
      </c>
      <c r="E22970" t="s">
        <v>674</v>
      </c>
      <c r="F22970" s="2" t="str">
        <f>HYPERLINK("http://www.otzar.org/book.asp?19461","מחשבת משה  א-ב &lt;ספר המצות לרמב""ם&gt;")</f>
        <v>מחשבת משה  א-ב &lt;ספר המצות לרמב"ם&gt;</v>
      </c>
    </row>
    <row r="22971" spans="1:6" x14ac:dyDescent="0.2">
      <c r="A22971" t="s">
        <v>37053</v>
      </c>
      <c r="B22971" t="s">
        <v>37054</v>
      </c>
      <c r="C22971" t="s">
        <v>103</v>
      </c>
      <c r="D22971" t="s">
        <v>14</v>
      </c>
      <c r="E22971" t="s">
        <v>2071</v>
      </c>
      <c r="F22971" s="2" t="str">
        <f>HYPERLINK("http://www.otzar.org/book.asp?173625","מחשבת נחום")</f>
        <v>מחשבת נחום</v>
      </c>
    </row>
    <row r="22972" spans="1:6" x14ac:dyDescent="0.2">
      <c r="A22972" t="s">
        <v>37055</v>
      </c>
      <c r="B22972" t="s">
        <v>37056</v>
      </c>
      <c r="C22972" t="s">
        <v>20</v>
      </c>
      <c r="D22972" t="s">
        <v>21</v>
      </c>
      <c r="E22972" t="s">
        <v>15</v>
      </c>
      <c r="F22972" s="2" t="str">
        <f>HYPERLINK("http://www.otzar.org/book.asp?190867","מחשבת סופר- בורר")</f>
        <v>מחשבת סופר- בורר</v>
      </c>
    </row>
    <row r="22973" spans="1:6" x14ac:dyDescent="0.2">
      <c r="A22973" t="s">
        <v>37057</v>
      </c>
      <c r="B22973" t="s">
        <v>37058</v>
      </c>
      <c r="C22973" t="s">
        <v>411</v>
      </c>
      <c r="D22973" t="s">
        <v>118</v>
      </c>
      <c r="E22973" t="s">
        <v>15</v>
      </c>
      <c r="F22973" s="2" t="str">
        <f>HYPERLINK("http://www.otzar.org/book.asp?179475","מחשבת עם")</f>
        <v>מחשבת עם</v>
      </c>
    </row>
    <row r="22974" spans="1:6" x14ac:dyDescent="0.2">
      <c r="A22974" t="s">
        <v>37059</v>
      </c>
      <c r="B22974" t="s">
        <v>37060</v>
      </c>
      <c r="C22974" t="s">
        <v>366</v>
      </c>
      <c r="D22974" t="s">
        <v>14</v>
      </c>
      <c r="E22974" t="s">
        <v>144</v>
      </c>
      <c r="F22974" s="2" t="str">
        <f>HYPERLINK("http://www.otzar.org/book.asp?613647","מחשבת פנים - זבחים ומעילה")</f>
        <v>מחשבת פנים - זבחים ומעילה</v>
      </c>
    </row>
    <row r="22975" spans="1:6" x14ac:dyDescent="0.2">
      <c r="A22975" t="s">
        <v>37061</v>
      </c>
      <c r="B22975" t="s">
        <v>2993</v>
      </c>
      <c r="C22975" t="s">
        <v>103</v>
      </c>
      <c r="D22975" t="s">
        <v>14</v>
      </c>
      <c r="E22975" t="s">
        <v>17698</v>
      </c>
      <c r="F22975" s="2" t="str">
        <f>HYPERLINK("http://www.otzar.org/book.asp?161084","מחשבת צדיק")</f>
        <v>מחשבת צדיק</v>
      </c>
    </row>
    <row r="22976" spans="1:6" x14ac:dyDescent="0.2">
      <c r="A22976" t="s">
        <v>37062</v>
      </c>
      <c r="B22976" t="s">
        <v>37063</v>
      </c>
      <c r="C22976" t="s">
        <v>143</v>
      </c>
      <c r="D22976" t="s">
        <v>14</v>
      </c>
      <c r="E22976" t="s">
        <v>144</v>
      </c>
      <c r="F22976" s="2" t="str">
        <f>HYPERLINK("http://www.otzar.org/book.asp?166134","מחשבת ציון - 2 כר'")</f>
        <v>מחשבת ציון - 2 כר'</v>
      </c>
    </row>
    <row r="22977" spans="1:6" x14ac:dyDescent="0.2">
      <c r="A22977" t="s">
        <v>37064</v>
      </c>
      <c r="B22977" t="s">
        <v>37065</v>
      </c>
      <c r="C22977" t="s">
        <v>151</v>
      </c>
      <c r="D22977" t="s">
        <v>52</v>
      </c>
      <c r="E22977" t="s">
        <v>213</v>
      </c>
      <c r="F22977" s="2" t="str">
        <f>HYPERLINK("http://www.otzar.org/book.asp?621769","מחשבת ציון")</f>
        <v>מחשבת ציון</v>
      </c>
    </row>
    <row r="22978" spans="1:6" x14ac:dyDescent="0.2">
      <c r="A22978" t="s">
        <v>37066</v>
      </c>
      <c r="B22978" t="s">
        <v>8070</v>
      </c>
      <c r="C22978" t="s">
        <v>111</v>
      </c>
      <c r="D22978" t="s">
        <v>5172</v>
      </c>
      <c r="E22978" t="s">
        <v>15</v>
      </c>
      <c r="F22978" s="2" t="str">
        <f>HYPERLINK("http://www.otzar.org/book.asp?621847","מחשבת שבת")</f>
        <v>מחשבת שבת</v>
      </c>
    </row>
    <row r="22979" spans="1:6" x14ac:dyDescent="0.2">
      <c r="A22979" t="s">
        <v>37067</v>
      </c>
      <c r="B22979" t="s">
        <v>847</v>
      </c>
      <c r="C22979" t="s">
        <v>37068</v>
      </c>
      <c r="D22979" t="s">
        <v>52</v>
      </c>
      <c r="E22979" t="s">
        <v>144</v>
      </c>
      <c r="F22979" s="2" t="str">
        <f>HYPERLINK("http://www.otzar.org/book.asp?626212","מחשבת שלמה")</f>
        <v>מחשבת שלמה</v>
      </c>
    </row>
    <row r="22980" spans="1:6" x14ac:dyDescent="0.2">
      <c r="A22980" t="s">
        <v>37067</v>
      </c>
      <c r="B22980" t="s">
        <v>37069</v>
      </c>
      <c r="C22980" t="s">
        <v>411</v>
      </c>
      <c r="D22980" t="s">
        <v>14</v>
      </c>
      <c r="E22980" t="s">
        <v>158</v>
      </c>
      <c r="F22980" s="2" t="str">
        <f>HYPERLINK("http://www.otzar.org/book.asp?177064","מחשבת שלמה")</f>
        <v>מחשבת שלמה</v>
      </c>
    </row>
    <row r="22981" spans="1:6" x14ac:dyDescent="0.2">
      <c r="A22981" t="s">
        <v>37070</v>
      </c>
      <c r="B22981" t="s">
        <v>5498</v>
      </c>
      <c r="C22981" t="s">
        <v>332</v>
      </c>
      <c r="D22981" t="s">
        <v>52</v>
      </c>
      <c r="F22981" s="2" t="str">
        <f>HYPERLINK("http://www.otzar.org/book.asp?195629","מחשבת - לג")</f>
        <v>מחשבת - לג</v>
      </c>
    </row>
    <row r="22982" spans="1:6" x14ac:dyDescent="0.2">
      <c r="A22982" t="s">
        <v>37071</v>
      </c>
      <c r="B22982" t="s">
        <v>239</v>
      </c>
      <c r="C22982" t="s">
        <v>20</v>
      </c>
      <c r="D22982" t="s">
        <v>240</v>
      </c>
      <c r="E22982" t="s">
        <v>158</v>
      </c>
      <c r="F22982" s="2" t="str">
        <f>HYPERLINK("http://www.otzar.org/book.asp?604594","מחשוף הלבן &lt;המבואר&gt; - 5 כר'")</f>
        <v>מחשוף הלבן &lt;המבואר&gt; - 5 כר'</v>
      </c>
    </row>
    <row r="22983" spans="1:6" x14ac:dyDescent="0.2">
      <c r="A22983" t="s">
        <v>37072</v>
      </c>
      <c r="B22983" t="s">
        <v>37073</v>
      </c>
      <c r="C22983" t="s">
        <v>17</v>
      </c>
      <c r="D22983" t="s">
        <v>367</v>
      </c>
      <c r="E22983" t="s">
        <v>463</v>
      </c>
      <c r="F22983" s="2" t="str">
        <f>HYPERLINK("http://www.otzar.org/book.asp?163373","מחשוף הלבן")</f>
        <v>מחשוף הלבן</v>
      </c>
    </row>
    <row r="22984" spans="1:6" x14ac:dyDescent="0.2">
      <c r="A22984" t="s">
        <v>37074</v>
      </c>
      <c r="B22984" t="s">
        <v>239</v>
      </c>
      <c r="C22984" t="s">
        <v>114</v>
      </c>
      <c r="D22984" t="s">
        <v>27</v>
      </c>
      <c r="E22984" t="s">
        <v>158</v>
      </c>
      <c r="F22984" s="2" t="str">
        <f>HYPERLINK("http://www.otzar.org/book.asp?176794","מחשף הלבן &lt;מהדורת מכון באר יעקב&gt; - 5 כר'")</f>
        <v>מחשף הלבן &lt;מהדורת מכון באר יעקב&gt; - 5 כר'</v>
      </c>
    </row>
    <row r="22985" spans="1:6" x14ac:dyDescent="0.2">
      <c r="A22985" t="s">
        <v>37075</v>
      </c>
      <c r="B22985" t="s">
        <v>239</v>
      </c>
      <c r="C22985" t="s">
        <v>5903</v>
      </c>
      <c r="D22985" t="s">
        <v>27</v>
      </c>
      <c r="E22985" t="s">
        <v>158</v>
      </c>
      <c r="F22985" s="2" t="str">
        <f>HYPERLINK("http://www.otzar.org/book.asp?23681","מחשף הלבן")</f>
        <v>מחשף הלבן</v>
      </c>
    </row>
    <row r="22986" spans="1:6" x14ac:dyDescent="0.2">
      <c r="A22986" t="s">
        <v>37076</v>
      </c>
      <c r="B22986" t="s">
        <v>37077</v>
      </c>
      <c r="C22986" t="s">
        <v>3475</v>
      </c>
      <c r="D22986" t="s">
        <v>76</v>
      </c>
      <c r="E22986" t="s">
        <v>158</v>
      </c>
      <c r="F22986" s="2" t="str">
        <f>HYPERLINK("http://www.otzar.org/book.asp?149946","מחשקים כסף")</f>
        <v>מחשקים כסף</v>
      </c>
    </row>
    <row r="22987" spans="1:6" x14ac:dyDescent="0.2">
      <c r="A22987" t="s">
        <v>37078</v>
      </c>
      <c r="B22987" t="s">
        <v>37079</v>
      </c>
      <c r="C22987" t="s">
        <v>12167</v>
      </c>
      <c r="D22987" t="s">
        <v>21</v>
      </c>
      <c r="E22987" t="s">
        <v>15</v>
      </c>
      <c r="F22987" s="2" t="str">
        <f>HYPERLINK("http://www.otzar.org/book.asp?604433","מטבח כהלכה")</f>
        <v>מטבח כהלכה</v>
      </c>
    </row>
    <row r="22988" spans="1:6" x14ac:dyDescent="0.2">
      <c r="A22988" t="s">
        <v>37080</v>
      </c>
      <c r="B22988" t="s">
        <v>11371</v>
      </c>
      <c r="C22988" t="s">
        <v>785</v>
      </c>
      <c r="D22988" t="s">
        <v>14</v>
      </c>
      <c r="E22988" t="s">
        <v>803</v>
      </c>
      <c r="F22988" s="2" t="str">
        <f>HYPERLINK("http://www.otzar.org/book.asp?108518","מטבע הברכות")</f>
        <v>מטבע הברכות</v>
      </c>
    </row>
    <row r="22989" spans="1:6" x14ac:dyDescent="0.2">
      <c r="A22989" t="s">
        <v>37081</v>
      </c>
      <c r="B22989" t="s">
        <v>9348</v>
      </c>
      <c r="C22989" t="s">
        <v>411</v>
      </c>
      <c r="D22989" t="s">
        <v>2468</v>
      </c>
      <c r="E22989" t="s">
        <v>104</v>
      </c>
      <c r="F22989" s="2" t="str">
        <f>HYPERLINK("http://www.otzar.org/book.asp?164197","מטבע של אברהם")</f>
        <v>מטבע של אברהם</v>
      </c>
    </row>
    <row r="22990" spans="1:6" x14ac:dyDescent="0.2">
      <c r="A22990" t="s">
        <v>37082</v>
      </c>
      <c r="B22990" t="s">
        <v>37083</v>
      </c>
      <c r="C22990" t="s">
        <v>1619</v>
      </c>
      <c r="D22990" t="s">
        <v>1356</v>
      </c>
      <c r="E22990" t="s">
        <v>241</v>
      </c>
      <c r="F22990" s="2" t="str">
        <f>HYPERLINK("http://www.otzar.org/book.asp?156269","מטבע של אברהם - ב")</f>
        <v>מטבע של אברהם - ב</v>
      </c>
    </row>
    <row r="22991" spans="1:6" x14ac:dyDescent="0.2">
      <c r="A22991" t="s">
        <v>37084</v>
      </c>
      <c r="B22991" t="s">
        <v>37085</v>
      </c>
      <c r="C22991" t="s">
        <v>114</v>
      </c>
      <c r="D22991" t="s">
        <v>52</v>
      </c>
      <c r="F22991" s="2" t="str">
        <f>HYPERLINK("http://www.otzar.org/book.asp?614027","מטבע של אש")</f>
        <v>מטבע של אש</v>
      </c>
    </row>
    <row r="22992" spans="1:6" x14ac:dyDescent="0.2">
      <c r="A22992" t="s">
        <v>37084</v>
      </c>
      <c r="B22992" t="s">
        <v>9348</v>
      </c>
      <c r="C22992" t="s">
        <v>114</v>
      </c>
      <c r="D22992" t="s">
        <v>2468</v>
      </c>
      <c r="E22992" t="s">
        <v>158</v>
      </c>
      <c r="F22992" s="2" t="str">
        <f>HYPERLINK("http://www.otzar.org/book.asp?160074","מטבע של אש")</f>
        <v>מטבע של אש</v>
      </c>
    </row>
    <row r="22993" spans="1:6" x14ac:dyDescent="0.2">
      <c r="A22993" t="s">
        <v>37086</v>
      </c>
      <c r="B22993" t="s">
        <v>37087</v>
      </c>
      <c r="C22993" t="s">
        <v>10339</v>
      </c>
      <c r="D22993" t="s">
        <v>27</v>
      </c>
      <c r="E22993" t="s">
        <v>104</v>
      </c>
      <c r="F22993" s="2" t="str">
        <f>HYPERLINK("http://www.otzar.org/book.asp?14759","מטבעות ארץ ישראל - א")</f>
        <v>מטבעות ארץ ישראל - א</v>
      </c>
    </row>
    <row r="22994" spans="1:6" x14ac:dyDescent="0.2">
      <c r="A22994" t="s">
        <v>37088</v>
      </c>
      <c r="B22994" t="s">
        <v>37089</v>
      </c>
      <c r="C22994" t="s">
        <v>919</v>
      </c>
      <c r="D22994" t="s">
        <v>27</v>
      </c>
      <c r="E22994" t="s">
        <v>733</v>
      </c>
      <c r="F22994" s="2" t="str">
        <f>HYPERLINK("http://www.otzar.org/book.asp?191561","מטבעות היהודים")</f>
        <v>מטבעות היהודים</v>
      </c>
    </row>
    <row r="22995" spans="1:6" x14ac:dyDescent="0.2">
      <c r="A22995" t="s">
        <v>37088</v>
      </c>
      <c r="B22995" t="s">
        <v>37090</v>
      </c>
      <c r="C22995" t="s">
        <v>1166</v>
      </c>
      <c r="D22995" t="s">
        <v>27</v>
      </c>
      <c r="E22995" t="s">
        <v>3261</v>
      </c>
      <c r="F22995" s="2" t="str">
        <f>HYPERLINK("http://www.otzar.org/book.asp?100552","מטבעות היהודים")</f>
        <v>מטבעות היהודים</v>
      </c>
    </row>
    <row r="22996" spans="1:6" x14ac:dyDescent="0.2">
      <c r="A22996" t="s">
        <v>37091</v>
      </c>
      <c r="B22996" t="s">
        <v>37092</v>
      </c>
      <c r="C22996" t="s">
        <v>37093</v>
      </c>
      <c r="D22996" t="s">
        <v>76</v>
      </c>
      <c r="E22996" t="s">
        <v>104</v>
      </c>
      <c r="F22996" s="2" t="str">
        <f>HYPERLINK("http://www.otzar.org/book.asp?101221","מטה אהרן - 2 כר'")</f>
        <v>מטה אהרן - 2 כר'</v>
      </c>
    </row>
    <row r="22997" spans="1:6" x14ac:dyDescent="0.2">
      <c r="A22997" t="s">
        <v>37091</v>
      </c>
      <c r="B22997" t="s">
        <v>37094</v>
      </c>
      <c r="C22997" t="s">
        <v>775</v>
      </c>
      <c r="D22997" t="s">
        <v>115</v>
      </c>
      <c r="E22997" t="s">
        <v>144</v>
      </c>
      <c r="F22997" s="2" t="str">
        <f>HYPERLINK("http://www.otzar.org/book.asp?195206","מטה אהרן - 2 כר'")</f>
        <v>מטה אהרן - 2 כר'</v>
      </c>
    </row>
    <row r="22998" spans="1:6" x14ac:dyDescent="0.2">
      <c r="A22998" t="s">
        <v>37095</v>
      </c>
      <c r="B22998" t="s">
        <v>37096</v>
      </c>
      <c r="C22998" t="s">
        <v>1619</v>
      </c>
      <c r="D22998" t="s">
        <v>1356</v>
      </c>
      <c r="E22998" t="s">
        <v>791</v>
      </c>
      <c r="F22998" s="2" t="str">
        <f>HYPERLINK("http://www.otzar.org/book.asp?102755","מטה אהרן")</f>
        <v>מטה אהרן</v>
      </c>
    </row>
    <row r="22999" spans="1:6" x14ac:dyDescent="0.2">
      <c r="A22999" t="s">
        <v>37095</v>
      </c>
      <c r="B22999" t="s">
        <v>37097</v>
      </c>
      <c r="C22999" t="s">
        <v>496</v>
      </c>
      <c r="D22999" t="s">
        <v>56</v>
      </c>
      <c r="E22999" t="s">
        <v>1211</v>
      </c>
      <c r="F22999" s="2" t="str">
        <f>HYPERLINK("http://www.otzar.org/book.asp?101098","מטה אהרן")</f>
        <v>מטה אהרן</v>
      </c>
    </row>
    <row r="23000" spans="1:6" x14ac:dyDescent="0.2">
      <c r="A23000" t="s">
        <v>37091</v>
      </c>
      <c r="B23000" t="s">
        <v>10461</v>
      </c>
      <c r="C23000" t="s">
        <v>473</v>
      </c>
      <c r="D23000" t="s">
        <v>27</v>
      </c>
      <c r="E23000" t="s">
        <v>158</v>
      </c>
      <c r="F23000" s="2" t="str">
        <f>HYPERLINK("http://www.otzar.org/book.asp?624765","מטה אהרן - 2 כר'")</f>
        <v>מטה אהרן - 2 כר'</v>
      </c>
    </row>
    <row r="23001" spans="1:6" x14ac:dyDescent="0.2">
      <c r="A23001" t="s">
        <v>37095</v>
      </c>
      <c r="B23001" t="s">
        <v>37098</v>
      </c>
      <c r="D23001" t="s">
        <v>3293</v>
      </c>
      <c r="E23001" t="s">
        <v>1776</v>
      </c>
      <c r="F23001" s="2" t="str">
        <f>HYPERLINK("http://www.otzar.org/book.asp?102401","מטה אהרן")</f>
        <v>מטה אהרן</v>
      </c>
    </row>
    <row r="23002" spans="1:6" x14ac:dyDescent="0.2">
      <c r="A23002" t="s">
        <v>37099</v>
      </c>
      <c r="B23002" t="s">
        <v>37100</v>
      </c>
      <c r="C23002" t="s">
        <v>244</v>
      </c>
      <c r="D23002" t="s">
        <v>14</v>
      </c>
      <c r="E23002" t="s">
        <v>3055</v>
      </c>
      <c r="F23002" s="2" t="str">
        <f>HYPERLINK("http://www.otzar.org/book.asp?626013","מטה אהרן - פסח וסוכה")</f>
        <v>מטה אהרן - פסח וסוכה</v>
      </c>
    </row>
    <row r="23003" spans="1:6" x14ac:dyDescent="0.2">
      <c r="A23003" t="s">
        <v>37095</v>
      </c>
      <c r="B23003" t="s">
        <v>37101</v>
      </c>
      <c r="C23003" t="s">
        <v>114</v>
      </c>
      <c r="D23003" t="s">
        <v>14</v>
      </c>
      <c r="F23003" s="2" t="str">
        <f>HYPERLINK("http://www.otzar.org/book.asp?613374","מטה אהרן")</f>
        <v>מטה אהרן</v>
      </c>
    </row>
    <row r="23004" spans="1:6" x14ac:dyDescent="0.2">
      <c r="A23004" t="s">
        <v>37095</v>
      </c>
      <c r="B23004" t="s">
        <v>28171</v>
      </c>
      <c r="C23004" t="s">
        <v>362</v>
      </c>
      <c r="D23004" t="s">
        <v>225</v>
      </c>
      <c r="E23004" t="s">
        <v>158</v>
      </c>
      <c r="F23004" s="2" t="str">
        <f>HYPERLINK("http://www.otzar.org/book.asp?188590","מטה אהרן")</f>
        <v>מטה אהרן</v>
      </c>
    </row>
    <row r="23005" spans="1:6" x14ac:dyDescent="0.2">
      <c r="A23005" t="s">
        <v>37095</v>
      </c>
      <c r="B23005" t="s">
        <v>37102</v>
      </c>
      <c r="C23005" t="s">
        <v>1448</v>
      </c>
      <c r="D23005" t="s">
        <v>14</v>
      </c>
      <c r="E23005" t="s">
        <v>733</v>
      </c>
      <c r="F23005" s="2" t="str">
        <f>HYPERLINK("http://www.otzar.org/book.asp?145183","מטה אהרן")</f>
        <v>מטה אהרן</v>
      </c>
    </row>
    <row r="23006" spans="1:6" x14ac:dyDescent="0.2">
      <c r="A23006" t="s">
        <v>37095</v>
      </c>
      <c r="B23006" t="s">
        <v>37103</v>
      </c>
      <c r="C23006" t="s">
        <v>1202</v>
      </c>
      <c r="D23006" t="s">
        <v>2313</v>
      </c>
      <c r="E23006" t="s">
        <v>158</v>
      </c>
      <c r="F23006" s="2" t="str">
        <f>HYPERLINK("http://www.otzar.org/book.asp?159053","מטה אהרן")</f>
        <v>מטה אהרן</v>
      </c>
    </row>
    <row r="23007" spans="1:6" x14ac:dyDescent="0.2">
      <c r="A23007" t="s">
        <v>37091</v>
      </c>
      <c r="B23007" t="s">
        <v>37104</v>
      </c>
      <c r="C23007" t="s">
        <v>411</v>
      </c>
      <c r="D23007" t="s">
        <v>245</v>
      </c>
      <c r="E23007" t="s">
        <v>104</v>
      </c>
      <c r="F23007" s="2" t="str">
        <f>HYPERLINK("http://www.otzar.org/book.asp?172113","מטה אהרן - 2 כר'")</f>
        <v>מטה אהרן - 2 כר'</v>
      </c>
    </row>
    <row r="23008" spans="1:6" x14ac:dyDescent="0.2">
      <c r="A23008" t="s">
        <v>37105</v>
      </c>
      <c r="B23008" t="s">
        <v>37106</v>
      </c>
      <c r="C23008" t="s">
        <v>1208</v>
      </c>
      <c r="D23008" t="s">
        <v>52</v>
      </c>
      <c r="E23008" t="s">
        <v>144</v>
      </c>
      <c r="F23008" s="2" t="str">
        <f>HYPERLINK("http://www.otzar.org/book.asp?146828","מטה אהרן - 7 כר'")</f>
        <v>מטה אהרן - 7 כר'</v>
      </c>
    </row>
    <row r="23009" spans="1:6" x14ac:dyDescent="0.2">
      <c r="A23009" t="s">
        <v>37091</v>
      </c>
      <c r="B23009" t="s">
        <v>8763</v>
      </c>
      <c r="C23009" t="s">
        <v>10290</v>
      </c>
      <c r="D23009" t="s">
        <v>6042</v>
      </c>
      <c r="E23009" t="s">
        <v>246</v>
      </c>
      <c r="F23009" s="2" t="str">
        <f>HYPERLINK("http://www.otzar.org/book.asp?181184","מטה אהרן - 2 כר'")</f>
        <v>מטה אהרן - 2 כר'</v>
      </c>
    </row>
    <row r="23010" spans="1:6" x14ac:dyDescent="0.2">
      <c r="A23010" t="s">
        <v>37107</v>
      </c>
      <c r="B23010" t="s">
        <v>1291</v>
      </c>
      <c r="C23010" t="s">
        <v>1169</v>
      </c>
      <c r="D23010" t="s">
        <v>9</v>
      </c>
      <c r="E23010" t="s">
        <v>37108</v>
      </c>
      <c r="F23010" s="2" t="str">
        <f>HYPERLINK("http://www.otzar.org/book.asp?13040","מטה אפרים &lt;אלף למטה, קצה המטה&gt; - 2 כר'")</f>
        <v>מטה אפרים &lt;אלף למטה, קצה המטה&gt; - 2 כר'</v>
      </c>
    </row>
    <row r="23011" spans="1:6" x14ac:dyDescent="0.2">
      <c r="A23011" t="s">
        <v>37109</v>
      </c>
      <c r="B23011" t="s">
        <v>1291</v>
      </c>
      <c r="C23011" t="s">
        <v>5140</v>
      </c>
      <c r="D23011" t="s">
        <v>60</v>
      </c>
      <c r="E23011" t="s">
        <v>172</v>
      </c>
      <c r="F23011" s="2" t="str">
        <f>HYPERLINK("http://www.otzar.org/book.asp?181172","מטה אפרים &lt;דפו""ר&gt;")</f>
        <v>מטה אפרים &lt;דפו"ר&gt;</v>
      </c>
    </row>
    <row r="23012" spans="1:6" x14ac:dyDescent="0.2">
      <c r="A23012" t="s">
        <v>37110</v>
      </c>
      <c r="B23012" t="s">
        <v>1291</v>
      </c>
      <c r="C23012" t="s">
        <v>2550</v>
      </c>
      <c r="D23012" t="s">
        <v>2295</v>
      </c>
      <c r="E23012" t="s">
        <v>37108</v>
      </c>
      <c r="F23012" s="2" t="str">
        <f>HYPERLINK("http://www.otzar.org/book.asp?5094","מטה אפרים השלם &lt;אלף למטה, אלף המגן&gt;")</f>
        <v>מטה אפרים השלם &lt;אלף למטה, אלף המגן&gt;</v>
      </c>
    </row>
    <row r="23013" spans="1:6" x14ac:dyDescent="0.2">
      <c r="A23013" t="s">
        <v>37111</v>
      </c>
      <c r="B23013" t="s">
        <v>37112</v>
      </c>
      <c r="C23013" t="s">
        <v>1991</v>
      </c>
      <c r="D23013" t="s">
        <v>76</v>
      </c>
      <c r="E23013" t="s">
        <v>14342</v>
      </c>
      <c r="F23013" s="2" t="str">
        <f>HYPERLINK("http://www.otzar.org/book.asp?101114","מטה אפרים")</f>
        <v>מטה אפרים</v>
      </c>
    </row>
    <row r="23014" spans="1:6" x14ac:dyDescent="0.2">
      <c r="A23014" t="s">
        <v>37111</v>
      </c>
      <c r="B23014" t="s">
        <v>1291</v>
      </c>
      <c r="C23014" t="s">
        <v>37113</v>
      </c>
      <c r="D23014" t="s">
        <v>6214</v>
      </c>
      <c r="F23014" s="2" t="str">
        <f>HYPERLINK("http://www.otzar.org/book.asp?620674","מטה אפרים")</f>
        <v>מטה אפרים</v>
      </c>
    </row>
    <row r="23015" spans="1:6" x14ac:dyDescent="0.2">
      <c r="A23015" t="s">
        <v>37114</v>
      </c>
      <c r="B23015" t="s">
        <v>37115</v>
      </c>
      <c r="C23015" t="s">
        <v>8799</v>
      </c>
      <c r="D23015" t="s">
        <v>76</v>
      </c>
      <c r="E23015" t="s">
        <v>37116</v>
      </c>
      <c r="F23015" s="2" t="str">
        <f>HYPERLINK("http://www.otzar.org/book.asp?101115","מטה אשר")</f>
        <v>מטה אשר</v>
      </c>
    </row>
    <row r="23016" spans="1:6" x14ac:dyDescent="0.2">
      <c r="A23016" t="s">
        <v>37117</v>
      </c>
      <c r="B23016" t="s">
        <v>37118</v>
      </c>
      <c r="C23016" t="s">
        <v>68</v>
      </c>
      <c r="D23016" t="s">
        <v>1156</v>
      </c>
      <c r="F23016" s="2" t="str">
        <f>HYPERLINK("http://www.otzar.org/book.asp?157146","מטה אשר - 3 כר'")</f>
        <v>מטה אשר - 3 כר'</v>
      </c>
    </row>
    <row r="23017" spans="1:6" x14ac:dyDescent="0.2">
      <c r="A23017" t="s">
        <v>37119</v>
      </c>
      <c r="B23017" t="s">
        <v>37120</v>
      </c>
      <c r="C23017" t="s">
        <v>146</v>
      </c>
      <c r="D23017" t="s">
        <v>412</v>
      </c>
      <c r="E23017" t="s">
        <v>144</v>
      </c>
      <c r="F23017" s="2" t="str">
        <f>HYPERLINK("http://www.otzar.org/book.asp?167830","מטה בנימין")</f>
        <v>מטה בנימין</v>
      </c>
    </row>
    <row r="23018" spans="1:6" x14ac:dyDescent="0.2">
      <c r="A23018" t="s">
        <v>37121</v>
      </c>
      <c r="B23018" t="s">
        <v>7843</v>
      </c>
      <c r="C23018" t="s">
        <v>351</v>
      </c>
      <c r="D23018" t="s">
        <v>37122</v>
      </c>
      <c r="E23018" t="s">
        <v>241</v>
      </c>
      <c r="F23018" s="2" t="str">
        <f>HYPERLINK("http://www.otzar.org/book.asp?6527","מטה דן &lt;כוזרי שני&gt; - 4 כר'")</f>
        <v>מטה דן &lt;כוזרי שני&gt; - 4 כר'</v>
      </c>
    </row>
    <row r="23019" spans="1:6" x14ac:dyDescent="0.2">
      <c r="A23019" t="s">
        <v>37123</v>
      </c>
      <c r="B23019" t="s">
        <v>37124</v>
      </c>
      <c r="C23019" t="s">
        <v>37</v>
      </c>
      <c r="D23019" t="s">
        <v>52</v>
      </c>
      <c r="E23019" t="s">
        <v>172</v>
      </c>
      <c r="F23019" s="2" t="str">
        <f>HYPERLINK("http://www.otzar.org/book.asp?622261","מטה דן")</f>
        <v>מטה דן</v>
      </c>
    </row>
    <row r="23020" spans="1:6" x14ac:dyDescent="0.2">
      <c r="A23020" t="s">
        <v>37123</v>
      </c>
      <c r="B23020" t="s">
        <v>7843</v>
      </c>
      <c r="C23020" t="s">
        <v>37125</v>
      </c>
      <c r="D23020" t="s">
        <v>22938</v>
      </c>
      <c r="E23020" t="s">
        <v>104</v>
      </c>
      <c r="F23020" s="2" t="str">
        <f>HYPERLINK("http://www.otzar.org/book.asp?618645","מטה דן")</f>
        <v>מטה דן</v>
      </c>
    </row>
    <row r="23021" spans="1:6" x14ac:dyDescent="0.2">
      <c r="A23021" t="s">
        <v>37126</v>
      </c>
      <c r="B23021" t="s">
        <v>5564</v>
      </c>
      <c r="C23021" t="s">
        <v>176</v>
      </c>
      <c r="D23021" t="s">
        <v>14</v>
      </c>
      <c r="E23021" t="s">
        <v>230</v>
      </c>
      <c r="F23021" s="2" t="str">
        <f>HYPERLINK("http://www.otzar.org/book.asp?159422","מטה האלקים - 2 כר'")</f>
        <v>מטה האלקים - 2 כר'</v>
      </c>
    </row>
    <row r="23022" spans="1:6" x14ac:dyDescent="0.2">
      <c r="A23022" t="s">
        <v>37127</v>
      </c>
      <c r="B23022" t="s">
        <v>37128</v>
      </c>
      <c r="C23022" t="s">
        <v>17774</v>
      </c>
      <c r="D23022" t="s">
        <v>7163</v>
      </c>
      <c r="E23022" t="s">
        <v>219</v>
      </c>
      <c r="F23022" s="2" t="str">
        <f>HYPERLINK("http://www.otzar.org/book.asp?61638","מטה יהודה")</f>
        <v>מטה יהודה</v>
      </c>
    </row>
    <row r="23023" spans="1:6" x14ac:dyDescent="0.2">
      <c r="A23023" t="s">
        <v>37127</v>
      </c>
      <c r="B23023" t="s">
        <v>14640</v>
      </c>
      <c r="C23023" t="s">
        <v>1650</v>
      </c>
      <c r="D23023" t="s">
        <v>9</v>
      </c>
      <c r="E23023" t="s">
        <v>158</v>
      </c>
      <c r="F23023" s="2" t="str">
        <f>HYPERLINK("http://www.otzar.org/book.asp?106951","מטה יהודה")</f>
        <v>מטה יהודה</v>
      </c>
    </row>
    <row r="23024" spans="1:6" x14ac:dyDescent="0.2">
      <c r="A23024" t="s">
        <v>37129</v>
      </c>
      <c r="B23024" t="s">
        <v>10154</v>
      </c>
      <c r="C23024" t="s">
        <v>71</v>
      </c>
      <c r="D23024" t="s">
        <v>14</v>
      </c>
      <c r="E23024" t="s">
        <v>172</v>
      </c>
      <c r="F23024" s="2" t="str">
        <f>HYPERLINK("http://www.otzar.org/book.asp?143700","מטה יהודה - 4 כר'")</f>
        <v>מטה יהודה - 4 כר'</v>
      </c>
    </row>
    <row r="23025" spans="1:6" x14ac:dyDescent="0.2">
      <c r="A23025" t="s">
        <v>37130</v>
      </c>
      <c r="B23025" t="s">
        <v>1990</v>
      </c>
      <c r="C23025" t="s">
        <v>3690</v>
      </c>
      <c r="D23025" t="s">
        <v>661</v>
      </c>
      <c r="E23025" t="s">
        <v>19766</v>
      </c>
      <c r="F23025" s="2" t="str">
        <f>HYPERLINK("http://www.otzar.org/book.asp?19445","מטה יונתן")</f>
        <v>מטה יונתן</v>
      </c>
    </row>
    <row r="23026" spans="1:6" x14ac:dyDescent="0.2">
      <c r="A23026" t="s">
        <v>37131</v>
      </c>
      <c r="B23026" t="s">
        <v>37132</v>
      </c>
      <c r="C23026" t="s">
        <v>114</v>
      </c>
      <c r="D23026" t="s">
        <v>14</v>
      </c>
      <c r="E23026" t="s">
        <v>154</v>
      </c>
      <c r="F23026" s="2" t="str">
        <f>HYPERLINK("http://www.otzar.org/book.asp?173602","מטה יוסף  &lt;מהדורת טוב מצרים&gt; - 2 כר'")</f>
        <v>מטה יוסף  &lt;מהדורת טוב מצרים&gt; - 2 כר'</v>
      </c>
    </row>
    <row r="23027" spans="1:6" x14ac:dyDescent="0.2">
      <c r="A23027" t="s">
        <v>37133</v>
      </c>
      <c r="B23027" t="s">
        <v>37134</v>
      </c>
      <c r="C23027" t="s">
        <v>1524</v>
      </c>
      <c r="D23027" t="s">
        <v>76</v>
      </c>
      <c r="E23027" t="s">
        <v>158</v>
      </c>
      <c r="F23027" s="2" t="str">
        <f>HYPERLINK("http://www.otzar.org/book.asp?19062","מטה יוסף")</f>
        <v>מטה יוסף</v>
      </c>
    </row>
    <row r="23028" spans="1:6" x14ac:dyDescent="0.2">
      <c r="A23028" t="s">
        <v>37135</v>
      </c>
      <c r="B23028" t="s">
        <v>37132</v>
      </c>
      <c r="C23028" t="s">
        <v>37136</v>
      </c>
      <c r="D23028" t="s">
        <v>1490</v>
      </c>
      <c r="E23028" t="s">
        <v>345</v>
      </c>
      <c r="F23028" s="2" t="str">
        <f>HYPERLINK("http://www.otzar.org/book.asp?9780","מטה יוסף - 2 כר'")</f>
        <v>מטה יוסף - 2 כר'</v>
      </c>
    </row>
    <row r="23029" spans="1:6" x14ac:dyDescent="0.2">
      <c r="A23029" t="s">
        <v>37133</v>
      </c>
      <c r="B23029" t="s">
        <v>37137</v>
      </c>
      <c r="C23029" t="s">
        <v>189</v>
      </c>
      <c r="D23029" t="s">
        <v>52</v>
      </c>
      <c r="E23029" t="s">
        <v>13258</v>
      </c>
      <c r="F23029" s="2" t="str">
        <f>HYPERLINK("http://www.otzar.org/book.asp?147858","מטה יוסף")</f>
        <v>מטה יוסף</v>
      </c>
    </row>
    <row r="23030" spans="1:6" x14ac:dyDescent="0.2">
      <c r="A23030" t="s">
        <v>37135</v>
      </c>
      <c r="B23030" t="s">
        <v>23449</v>
      </c>
      <c r="C23030" t="s">
        <v>71</v>
      </c>
      <c r="D23030" t="s">
        <v>52</v>
      </c>
      <c r="E23030" t="s">
        <v>144</v>
      </c>
      <c r="F23030" s="2" t="str">
        <f>HYPERLINK("http://www.otzar.org/book.asp?61709","מטה יוסף - 2 כר'")</f>
        <v>מטה יוסף - 2 כר'</v>
      </c>
    </row>
    <row r="23031" spans="1:6" x14ac:dyDescent="0.2">
      <c r="A23031" t="s">
        <v>37138</v>
      </c>
      <c r="B23031" t="s">
        <v>37139</v>
      </c>
      <c r="C23031" t="s">
        <v>533</v>
      </c>
      <c r="D23031" t="s">
        <v>52</v>
      </c>
      <c r="E23031" t="s">
        <v>37140</v>
      </c>
      <c r="F23031" s="2" t="str">
        <f>HYPERLINK("http://www.otzar.org/book.asp?145062","מטה יחיאל - 3 כר'")</f>
        <v>מטה יחיאל - 3 כר'</v>
      </c>
    </row>
    <row r="23032" spans="1:6" x14ac:dyDescent="0.2">
      <c r="A23032" t="s">
        <v>37141</v>
      </c>
      <c r="B23032" t="s">
        <v>37142</v>
      </c>
      <c r="C23032" t="s">
        <v>4266</v>
      </c>
      <c r="D23032" t="s">
        <v>2303</v>
      </c>
      <c r="E23032" t="s">
        <v>37143</v>
      </c>
      <c r="F23032" s="2" t="str">
        <f>HYPERLINK("http://www.otzar.org/book.asp?101199","מטה יששכר")</f>
        <v>מטה יששכר</v>
      </c>
    </row>
    <row r="23033" spans="1:6" x14ac:dyDescent="0.2">
      <c r="A23033" t="s">
        <v>37144</v>
      </c>
      <c r="B23033" t="s">
        <v>37145</v>
      </c>
      <c r="C23033" t="s">
        <v>37146</v>
      </c>
      <c r="D23033" t="s">
        <v>322</v>
      </c>
      <c r="E23033" t="s">
        <v>7754</v>
      </c>
      <c r="F23033" s="2" t="str">
        <f>HYPERLINK("http://www.otzar.org/book.asp?12086","מטה לוי - 2 כר'")</f>
        <v>מטה לוי - 2 כר'</v>
      </c>
    </row>
    <row r="23034" spans="1:6" x14ac:dyDescent="0.2">
      <c r="A23034" t="s">
        <v>37144</v>
      </c>
      <c r="B23034" t="s">
        <v>37147</v>
      </c>
      <c r="C23034" t="s">
        <v>767</v>
      </c>
      <c r="D23034" t="s">
        <v>14</v>
      </c>
      <c r="E23034" t="s">
        <v>144</v>
      </c>
      <c r="F23034" s="2" t="str">
        <f>HYPERLINK("http://www.otzar.org/book.asp?50958","מטה לוי - 2 כר'")</f>
        <v>מטה לוי - 2 כר'</v>
      </c>
    </row>
    <row r="23035" spans="1:6" x14ac:dyDescent="0.2">
      <c r="A23035" t="s">
        <v>37148</v>
      </c>
      <c r="B23035" t="s">
        <v>2396</v>
      </c>
      <c r="C23035" t="s">
        <v>129</v>
      </c>
      <c r="D23035" t="s">
        <v>1076</v>
      </c>
      <c r="E23035" t="s">
        <v>158</v>
      </c>
      <c r="F23035" s="2" t="str">
        <f>HYPERLINK("http://www.otzar.org/book.asp?165264","מטה לוי")</f>
        <v>מטה לוי</v>
      </c>
    </row>
    <row r="23036" spans="1:6" x14ac:dyDescent="0.2">
      <c r="A23036" t="s">
        <v>37149</v>
      </c>
      <c r="B23036" t="s">
        <v>30302</v>
      </c>
      <c r="C23036" t="s">
        <v>854</v>
      </c>
      <c r="D23036" t="s">
        <v>1490</v>
      </c>
      <c r="E23036" t="s">
        <v>15</v>
      </c>
      <c r="F23036" s="2" t="str">
        <f>HYPERLINK("http://www.otzar.org/book.asp?101198","מטה לחם")</f>
        <v>מטה לחם</v>
      </c>
    </row>
    <row r="23037" spans="1:6" x14ac:dyDescent="0.2">
      <c r="A23037" t="s">
        <v>37150</v>
      </c>
      <c r="B23037" t="s">
        <v>5737</v>
      </c>
      <c r="C23037" t="s">
        <v>8</v>
      </c>
      <c r="D23037" t="s">
        <v>379</v>
      </c>
      <c r="E23037" t="s">
        <v>15519</v>
      </c>
      <c r="F23037" s="2" t="str">
        <f>HYPERLINK("http://www.otzar.org/book.asp?189375","מטה מנשה")</f>
        <v>מטה מנשה</v>
      </c>
    </row>
    <row r="23038" spans="1:6" x14ac:dyDescent="0.2">
      <c r="A23038" t="s">
        <v>37150</v>
      </c>
      <c r="B23038" t="s">
        <v>13038</v>
      </c>
      <c r="C23038" t="s">
        <v>1706</v>
      </c>
      <c r="D23038" t="s">
        <v>280</v>
      </c>
      <c r="E23038" t="s">
        <v>104</v>
      </c>
      <c r="F23038" s="2" t="str">
        <f>HYPERLINK("http://www.otzar.org/book.asp?19063","מטה מנשה")</f>
        <v>מטה מנשה</v>
      </c>
    </row>
    <row r="23039" spans="1:6" x14ac:dyDescent="0.2">
      <c r="A23039" t="s">
        <v>37150</v>
      </c>
      <c r="B23039" t="s">
        <v>31027</v>
      </c>
      <c r="C23039" t="s">
        <v>129</v>
      </c>
      <c r="D23039" t="s">
        <v>27</v>
      </c>
      <c r="E23039" t="s">
        <v>154</v>
      </c>
      <c r="F23039" s="2" t="str">
        <f>HYPERLINK("http://www.otzar.org/book.asp?193646","מטה מנשה")</f>
        <v>מטה מנשה</v>
      </c>
    </row>
    <row r="23040" spans="1:6" x14ac:dyDescent="0.2">
      <c r="A23040" t="s">
        <v>37151</v>
      </c>
      <c r="B23040" t="s">
        <v>37152</v>
      </c>
      <c r="C23040" t="s">
        <v>332</v>
      </c>
      <c r="D23040" t="s">
        <v>14</v>
      </c>
      <c r="E23040" t="s">
        <v>37153</v>
      </c>
      <c r="F23040" s="2" t="str">
        <f>HYPERLINK("http://www.otzar.org/book.asp?8265","מטה משה &lt;באר מרדכי&gt;")</f>
        <v>מטה משה &lt;באר מרדכי&gt;</v>
      </c>
    </row>
    <row r="23041" spans="1:6" x14ac:dyDescent="0.2">
      <c r="A23041" t="s">
        <v>37154</v>
      </c>
      <c r="B23041" t="s">
        <v>2322</v>
      </c>
      <c r="C23041" t="s">
        <v>4351</v>
      </c>
      <c r="D23041" t="s">
        <v>60</v>
      </c>
      <c r="F23041" s="2" t="str">
        <f>HYPERLINK("http://www.otzar.org/book.asp?149991","מטה משה")</f>
        <v>מטה משה</v>
      </c>
    </row>
    <row r="23042" spans="1:6" x14ac:dyDescent="0.2">
      <c r="A23042" t="s">
        <v>37155</v>
      </c>
      <c r="B23042" t="s">
        <v>18784</v>
      </c>
      <c r="C23042" t="s">
        <v>10538</v>
      </c>
      <c r="D23042" t="s">
        <v>6042</v>
      </c>
      <c r="E23042" t="s">
        <v>15</v>
      </c>
      <c r="F23042" s="2" t="str">
        <f>HYPERLINK("http://www.otzar.org/book.asp?23525","מטה משה - 4 כר'")</f>
        <v>מטה משה - 4 כר'</v>
      </c>
    </row>
    <row r="23043" spans="1:6" x14ac:dyDescent="0.2">
      <c r="A23043" t="s">
        <v>37156</v>
      </c>
      <c r="B23043" t="s">
        <v>37157</v>
      </c>
      <c r="C23043" t="s">
        <v>411</v>
      </c>
      <c r="D23043" t="s">
        <v>14</v>
      </c>
      <c r="E23043" t="s">
        <v>15</v>
      </c>
      <c r="F23043" s="2" t="str">
        <f>HYPERLINK("http://www.otzar.org/book.asp?167104","מטה משה - מוקצה")</f>
        <v>מטה משה - מוקצה</v>
      </c>
    </row>
    <row r="23044" spans="1:6" x14ac:dyDescent="0.2">
      <c r="A23044" t="s">
        <v>37154</v>
      </c>
      <c r="B23044" t="s">
        <v>37158</v>
      </c>
      <c r="C23044" t="s">
        <v>1448</v>
      </c>
      <c r="D23044" t="s">
        <v>14</v>
      </c>
      <c r="E23044" t="s">
        <v>1880</v>
      </c>
      <c r="F23044" s="2" t="str">
        <f>HYPERLINK("http://www.otzar.org/book.asp?163302","מטה משה")</f>
        <v>מטה משה</v>
      </c>
    </row>
    <row r="23045" spans="1:6" x14ac:dyDescent="0.2">
      <c r="A23045" t="s">
        <v>37159</v>
      </c>
      <c r="B23045" t="s">
        <v>9881</v>
      </c>
      <c r="C23045" t="s">
        <v>37160</v>
      </c>
      <c r="D23045" t="s">
        <v>379</v>
      </c>
      <c r="E23045" t="s">
        <v>2879</v>
      </c>
      <c r="F23045" s="2" t="str">
        <f>HYPERLINK("http://www.otzar.org/book.asp?10719","מטה נפתלי וליקוטי בית אפרים")</f>
        <v>מטה נפתלי וליקוטי בית אפרים</v>
      </c>
    </row>
    <row r="23046" spans="1:6" x14ac:dyDescent="0.2">
      <c r="A23046" t="s">
        <v>37161</v>
      </c>
      <c r="B23046" t="s">
        <v>9881</v>
      </c>
      <c r="C23046" t="s">
        <v>2617</v>
      </c>
      <c r="D23046" t="s">
        <v>6785</v>
      </c>
      <c r="E23046" t="s">
        <v>474</v>
      </c>
      <c r="F23046" s="2" t="str">
        <f>HYPERLINK("http://www.otzar.org/book.asp?144412","מטה נפתלי - 2 כר'")</f>
        <v>מטה נפתלי - 2 כר'</v>
      </c>
    </row>
    <row r="23047" spans="1:6" x14ac:dyDescent="0.2">
      <c r="A23047" t="s">
        <v>37162</v>
      </c>
      <c r="B23047" t="s">
        <v>37163</v>
      </c>
      <c r="C23047" t="s">
        <v>103</v>
      </c>
      <c r="D23047" t="s">
        <v>52</v>
      </c>
      <c r="E23047" t="s">
        <v>144</v>
      </c>
      <c r="F23047" s="2" t="str">
        <f>HYPERLINK("http://www.otzar.org/book.asp?51155","מטה עזך - מכות")</f>
        <v>מטה עזך - מכות</v>
      </c>
    </row>
    <row r="23048" spans="1:6" x14ac:dyDescent="0.2">
      <c r="A23048" t="s">
        <v>37164</v>
      </c>
      <c r="B23048" t="s">
        <v>37165</v>
      </c>
      <c r="C23048" t="s">
        <v>286</v>
      </c>
      <c r="D23048" t="s">
        <v>27</v>
      </c>
      <c r="E23048" t="s">
        <v>24</v>
      </c>
      <c r="F23048" s="2" t="str">
        <f>HYPERLINK("http://www.otzar.org/book.asp?6459","מטה ראובן")</f>
        <v>מטה ראובן</v>
      </c>
    </row>
    <row r="23049" spans="1:6" x14ac:dyDescent="0.2">
      <c r="A23049" t="s">
        <v>37164</v>
      </c>
      <c r="B23049" t="s">
        <v>37166</v>
      </c>
      <c r="C23049" t="s">
        <v>950</v>
      </c>
      <c r="D23049" t="s">
        <v>212</v>
      </c>
      <c r="E23049" t="s">
        <v>1517</v>
      </c>
      <c r="F23049" s="2" t="str">
        <f>HYPERLINK("http://www.otzar.org/book.asp?19064","מטה ראובן")</f>
        <v>מטה ראובן</v>
      </c>
    </row>
    <row r="23050" spans="1:6" x14ac:dyDescent="0.2">
      <c r="A23050" t="s">
        <v>37164</v>
      </c>
      <c r="B23050" t="s">
        <v>37167</v>
      </c>
      <c r="C23050" t="s">
        <v>812</v>
      </c>
      <c r="D23050" t="s">
        <v>37168</v>
      </c>
      <c r="E23050" t="s">
        <v>148</v>
      </c>
      <c r="F23050" s="2" t="str">
        <f>HYPERLINK("http://www.otzar.org/book.asp?8424","מטה ראובן")</f>
        <v>מטה ראובן</v>
      </c>
    </row>
    <row r="23051" spans="1:6" x14ac:dyDescent="0.2">
      <c r="A23051" t="s">
        <v>37169</v>
      </c>
      <c r="B23051" t="s">
        <v>16377</v>
      </c>
      <c r="C23051" t="s">
        <v>37170</v>
      </c>
      <c r="D23051" t="s">
        <v>56</v>
      </c>
      <c r="E23051" t="s">
        <v>28655</v>
      </c>
      <c r="F23051" s="2" t="str">
        <f>HYPERLINK("http://www.otzar.org/book.asp?102413","מטה שמעון - 3 כר'")</f>
        <v>מטה שמעון - 3 כר'</v>
      </c>
    </row>
    <row r="23052" spans="1:6" x14ac:dyDescent="0.2">
      <c r="A23052" t="s">
        <v>37169</v>
      </c>
      <c r="B23052" t="s">
        <v>37171</v>
      </c>
      <c r="C23052" t="s">
        <v>37172</v>
      </c>
      <c r="D23052" t="s">
        <v>76</v>
      </c>
      <c r="E23052" t="s">
        <v>606</v>
      </c>
      <c r="F23052" s="2" t="str">
        <f>HYPERLINK("http://www.otzar.org/book.asp?101116","מטה שמעון - 3 כר'")</f>
        <v>מטה שמעון - 3 כר'</v>
      </c>
    </row>
    <row r="23053" spans="1:6" x14ac:dyDescent="0.2">
      <c r="A23053" t="s">
        <v>37173</v>
      </c>
      <c r="B23053" t="s">
        <v>2483</v>
      </c>
      <c r="C23053" t="s">
        <v>37</v>
      </c>
      <c r="D23053" t="s">
        <v>52</v>
      </c>
      <c r="E23053" t="s">
        <v>230</v>
      </c>
      <c r="F23053" s="2" t="str">
        <f>HYPERLINK("http://www.otzar.org/book.asp?180978","מטוב נהורך")</f>
        <v>מטוב נהורך</v>
      </c>
    </row>
    <row r="23054" spans="1:6" x14ac:dyDescent="0.2">
      <c r="A23054" t="s">
        <v>37174</v>
      </c>
      <c r="B23054" t="s">
        <v>37175</v>
      </c>
      <c r="C23054" t="s">
        <v>1177</v>
      </c>
      <c r="D23054" t="s">
        <v>283</v>
      </c>
      <c r="E23054" t="s">
        <v>1517</v>
      </c>
      <c r="F23054" s="2" t="str">
        <f>HYPERLINK("http://www.otzar.org/book.asp?182210","מטיב נגן")</f>
        <v>מטיב נגן</v>
      </c>
    </row>
    <row r="23055" spans="1:6" x14ac:dyDescent="0.2">
      <c r="A23055" t="s">
        <v>37176</v>
      </c>
      <c r="B23055" t="s">
        <v>37177</v>
      </c>
      <c r="C23055" t="s">
        <v>37178</v>
      </c>
      <c r="D23055" t="s">
        <v>1008</v>
      </c>
      <c r="E23055" t="s">
        <v>1517</v>
      </c>
      <c r="F23055" s="2" t="str">
        <f>HYPERLINK("http://www.otzar.org/book.asp?162388","מטיב שפה - סליחות מבוארות")</f>
        <v>מטיב שפה - סליחות מבוארות</v>
      </c>
    </row>
    <row r="23056" spans="1:6" x14ac:dyDescent="0.2">
      <c r="A23056" t="s">
        <v>37179</v>
      </c>
      <c r="B23056" t="s">
        <v>37180</v>
      </c>
      <c r="C23056" t="s">
        <v>23</v>
      </c>
      <c r="D23056" t="s">
        <v>80</v>
      </c>
      <c r="E23056" t="s">
        <v>15</v>
      </c>
      <c r="F23056" s="2" t="str">
        <f>HYPERLINK("http://www.otzar.org/book.asp?603537","מטל השבת")</f>
        <v>מטל השבת</v>
      </c>
    </row>
    <row r="23057" spans="1:6" x14ac:dyDescent="0.2">
      <c r="A23057" t="s">
        <v>37181</v>
      </c>
      <c r="B23057" t="s">
        <v>37182</v>
      </c>
      <c r="C23057" t="s">
        <v>20</v>
      </c>
      <c r="D23057" t="s">
        <v>90</v>
      </c>
      <c r="E23057" t="s">
        <v>1164</v>
      </c>
      <c r="F23057" s="2" t="str">
        <f>HYPERLINK("http://www.otzar.org/book.asp?625817","מטל השמים - הבדלה")</f>
        <v>מטל השמים - הבדלה</v>
      </c>
    </row>
    <row r="23058" spans="1:6" x14ac:dyDescent="0.2">
      <c r="A23058" t="s">
        <v>37183</v>
      </c>
      <c r="B23058" t="s">
        <v>20179</v>
      </c>
      <c r="C23058" t="s">
        <v>454</v>
      </c>
      <c r="D23058" t="s">
        <v>14</v>
      </c>
      <c r="E23058" t="s">
        <v>230</v>
      </c>
      <c r="F23058" s="2" t="str">
        <f>HYPERLINK("http://www.otzar.org/book.asp?163966","מטל השמים")</f>
        <v>מטל השמים</v>
      </c>
    </row>
    <row r="23059" spans="1:6" x14ac:dyDescent="0.2">
      <c r="A23059" t="s">
        <v>37184</v>
      </c>
      <c r="B23059" t="s">
        <v>37185</v>
      </c>
      <c r="C23059" t="s">
        <v>37</v>
      </c>
      <c r="D23059" t="s">
        <v>52</v>
      </c>
      <c r="E23059" t="s">
        <v>658</v>
      </c>
      <c r="F23059" s="2" t="str">
        <f>HYPERLINK("http://www.otzar.org/book.asp?183134","מטל השמים - מלאכות")</f>
        <v>מטל השמים - מלאכות</v>
      </c>
    </row>
    <row r="23060" spans="1:6" x14ac:dyDescent="0.2">
      <c r="A23060" t="s">
        <v>37186</v>
      </c>
      <c r="B23060" t="s">
        <v>37187</v>
      </c>
      <c r="C23060" t="s">
        <v>114</v>
      </c>
      <c r="D23060" t="s">
        <v>14</v>
      </c>
      <c r="E23060" t="s">
        <v>158</v>
      </c>
      <c r="F23060" s="2" t="str">
        <f>HYPERLINK("http://www.otzar.org/book.asp?168546","מטל השמים - 6 כר'")</f>
        <v>מטל השמים - 6 כר'</v>
      </c>
    </row>
    <row r="23061" spans="1:6" x14ac:dyDescent="0.2">
      <c r="A23061" t="s">
        <v>37183</v>
      </c>
      <c r="B23061" t="s">
        <v>37188</v>
      </c>
      <c r="C23061" t="s">
        <v>146</v>
      </c>
      <c r="D23061" t="s">
        <v>52</v>
      </c>
      <c r="E23061" t="s">
        <v>148</v>
      </c>
      <c r="F23061" s="2" t="str">
        <f>HYPERLINK("http://www.otzar.org/book.asp?53046","מטל השמים")</f>
        <v>מטל השמים</v>
      </c>
    </row>
    <row r="23062" spans="1:6" x14ac:dyDescent="0.2">
      <c r="A23062" t="s">
        <v>37183</v>
      </c>
      <c r="B23062" t="s">
        <v>37189</v>
      </c>
      <c r="C23062" t="s">
        <v>1374</v>
      </c>
      <c r="D23062" t="s">
        <v>691</v>
      </c>
      <c r="E23062" t="s">
        <v>154</v>
      </c>
      <c r="F23062" s="2" t="str">
        <f>HYPERLINK("http://www.otzar.org/book.asp?13042","מטל השמים")</f>
        <v>מטל השמים</v>
      </c>
    </row>
    <row r="23063" spans="1:6" x14ac:dyDescent="0.2">
      <c r="A23063" t="s">
        <v>37183</v>
      </c>
      <c r="B23063" t="s">
        <v>21708</v>
      </c>
      <c r="C23063" t="s">
        <v>767</v>
      </c>
      <c r="D23063" t="s">
        <v>657</v>
      </c>
      <c r="E23063" t="s">
        <v>4738</v>
      </c>
      <c r="F23063" s="2" t="str">
        <f>HYPERLINK("http://www.otzar.org/book.asp?108179","מטל השמים")</f>
        <v>מטל השמים</v>
      </c>
    </row>
    <row r="23064" spans="1:6" x14ac:dyDescent="0.2">
      <c r="A23064" t="s">
        <v>37190</v>
      </c>
      <c r="B23064" t="s">
        <v>37191</v>
      </c>
      <c r="E23064" t="s">
        <v>130</v>
      </c>
      <c r="F23064" s="2" t="str">
        <f>HYPERLINK("http://www.otzar.org/book.asp?627847","מטמוני השבת  - בורר")</f>
        <v>מטמוני השבת  - בורר</v>
      </c>
    </row>
    <row r="23065" spans="1:6" x14ac:dyDescent="0.2">
      <c r="A23065" t="s">
        <v>37192</v>
      </c>
      <c r="B23065" t="s">
        <v>686</v>
      </c>
      <c r="C23065" t="s">
        <v>454</v>
      </c>
      <c r="D23065" t="s">
        <v>52</v>
      </c>
      <c r="E23065" t="s">
        <v>104</v>
      </c>
      <c r="F23065" s="2" t="str">
        <f>HYPERLINK("http://www.otzar.org/book.asp?189259","מטמוני זהב")</f>
        <v>מטמוני זהב</v>
      </c>
    </row>
    <row r="23066" spans="1:6" x14ac:dyDescent="0.2">
      <c r="A23066" t="s">
        <v>37193</v>
      </c>
      <c r="B23066" t="s">
        <v>37194</v>
      </c>
      <c r="C23066" t="s">
        <v>37195</v>
      </c>
      <c r="D23066" t="s">
        <v>1117</v>
      </c>
      <c r="E23066" t="s">
        <v>1626</v>
      </c>
      <c r="F23066" s="2" t="str">
        <f>HYPERLINK("http://www.otzar.org/book.asp?19065","מטמוני מסתרים - א")</f>
        <v>מטמוני מסתרים - א</v>
      </c>
    </row>
    <row r="23067" spans="1:6" x14ac:dyDescent="0.2">
      <c r="A23067" t="s">
        <v>37196</v>
      </c>
      <c r="B23067" t="s">
        <v>37197</v>
      </c>
      <c r="C23067" t="s">
        <v>366</v>
      </c>
      <c r="D23067" t="s">
        <v>21</v>
      </c>
      <c r="E23067" t="s">
        <v>15</v>
      </c>
      <c r="F23067" s="2" t="str">
        <f>HYPERLINK("http://www.otzar.org/book.asp?605742","מטמונים בשבת")</f>
        <v>מטמונים בשבת</v>
      </c>
    </row>
    <row r="23068" spans="1:6" x14ac:dyDescent="0.2">
      <c r="A23068" t="s">
        <v>37198</v>
      </c>
      <c r="B23068" t="s">
        <v>3727</v>
      </c>
      <c r="C23068" t="s">
        <v>20</v>
      </c>
      <c r="D23068" t="s">
        <v>52</v>
      </c>
      <c r="E23068" t="s">
        <v>246</v>
      </c>
      <c r="F23068" s="2" t="str">
        <f>HYPERLINK("http://www.otzar.org/book.asp?603117","מטמונים")</f>
        <v>מטמונים</v>
      </c>
    </row>
    <row r="23069" spans="1:6" x14ac:dyDescent="0.2">
      <c r="A23069" t="s">
        <v>37198</v>
      </c>
      <c r="B23069" t="s">
        <v>11403</v>
      </c>
      <c r="C23069" t="s">
        <v>1437</v>
      </c>
      <c r="D23069" t="s">
        <v>4269</v>
      </c>
      <c r="E23069" t="s">
        <v>158</v>
      </c>
      <c r="F23069" s="2" t="str">
        <f>HYPERLINK("http://www.otzar.org/book.asp?147087","מטמונים")</f>
        <v>מטמונים</v>
      </c>
    </row>
    <row r="23070" spans="1:6" x14ac:dyDescent="0.2">
      <c r="A23070" t="s">
        <v>37199</v>
      </c>
      <c r="B23070" t="s">
        <v>2530</v>
      </c>
      <c r="C23070" t="s">
        <v>466</v>
      </c>
      <c r="D23070" t="s">
        <v>2531</v>
      </c>
      <c r="E23070" t="s">
        <v>130</v>
      </c>
      <c r="F23070" s="2" t="str">
        <f>HYPERLINK("http://www.otzar.org/book.asp?85564","מטמין ומבשל בשבת")</f>
        <v>מטמין ומבשל בשבת</v>
      </c>
    </row>
    <row r="23071" spans="1:6" x14ac:dyDescent="0.2">
      <c r="A23071" t="s">
        <v>37200</v>
      </c>
      <c r="B23071" t="s">
        <v>702</v>
      </c>
      <c r="C23071" t="s">
        <v>908</v>
      </c>
      <c r="D23071" t="s">
        <v>27</v>
      </c>
      <c r="E23071" t="s">
        <v>15</v>
      </c>
      <c r="F23071" s="2" t="str">
        <f>HYPERLINK("http://www.otzar.org/book.asp?143028","מטע אהלים")</f>
        <v>מטע אהלים</v>
      </c>
    </row>
    <row r="23072" spans="1:6" x14ac:dyDescent="0.2">
      <c r="A23072" t="s">
        <v>37201</v>
      </c>
      <c r="B23072" t="s">
        <v>28356</v>
      </c>
      <c r="C23072" t="s">
        <v>1202</v>
      </c>
      <c r="D23072" t="s">
        <v>3293</v>
      </c>
      <c r="E23072" t="s">
        <v>37202</v>
      </c>
      <c r="F23072" s="2" t="str">
        <f>HYPERLINK("http://www.otzar.org/book.asp?51654","מטעי מאיר")</f>
        <v>מטעי מאיר</v>
      </c>
    </row>
    <row r="23073" spans="1:6" x14ac:dyDescent="0.2">
      <c r="A23073" t="s">
        <v>37203</v>
      </c>
      <c r="B23073" t="s">
        <v>37204</v>
      </c>
      <c r="C23073" t="s">
        <v>1335</v>
      </c>
      <c r="D23073" t="s">
        <v>27</v>
      </c>
      <c r="E23073" t="s">
        <v>559</v>
      </c>
      <c r="F23073" s="2" t="str">
        <f>HYPERLINK("http://www.otzar.org/book.asp?10561","מטעי משה")</f>
        <v>מטעי משה</v>
      </c>
    </row>
    <row r="23074" spans="1:6" x14ac:dyDescent="0.2">
      <c r="A23074" t="s">
        <v>37205</v>
      </c>
      <c r="B23074" t="s">
        <v>37206</v>
      </c>
      <c r="C23074" t="s">
        <v>37207</v>
      </c>
      <c r="D23074" t="s">
        <v>13414</v>
      </c>
      <c r="E23074" t="s">
        <v>104</v>
      </c>
      <c r="F23074" s="2" t="str">
        <f>HYPERLINK("http://www.otzar.org/book.asp?108497","מטעם המלך - 4 כר'")</f>
        <v>מטעם המלך - 4 כר'</v>
      </c>
    </row>
    <row r="23075" spans="1:6" x14ac:dyDescent="0.2">
      <c r="A23075" t="s">
        <v>37208</v>
      </c>
      <c r="B23075" t="s">
        <v>9549</v>
      </c>
      <c r="C23075" t="s">
        <v>1609</v>
      </c>
      <c r="D23075" t="s">
        <v>260</v>
      </c>
      <c r="E23075" t="s">
        <v>20133</v>
      </c>
      <c r="F23075" s="2" t="str">
        <f>HYPERLINK("http://www.otzar.org/book.asp?7006","מטעמי אשר - א")</f>
        <v>מטעמי אשר - א</v>
      </c>
    </row>
    <row r="23076" spans="1:6" x14ac:dyDescent="0.2">
      <c r="A23076" t="s">
        <v>37209</v>
      </c>
      <c r="B23076" t="s">
        <v>37210</v>
      </c>
      <c r="C23076" t="s">
        <v>37211</v>
      </c>
      <c r="D23076" t="s">
        <v>29224</v>
      </c>
      <c r="E23076" t="s">
        <v>158</v>
      </c>
      <c r="F23076" s="2" t="str">
        <f>HYPERLINK("http://www.otzar.org/book.asp?605567","מטעמי יעקב")</f>
        <v>מטעמי יעקב</v>
      </c>
    </row>
    <row r="23077" spans="1:6" x14ac:dyDescent="0.2">
      <c r="A23077" t="s">
        <v>37209</v>
      </c>
      <c r="B23077" t="s">
        <v>16291</v>
      </c>
      <c r="C23077" t="s">
        <v>1448</v>
      </c>
      <c r="D23077" t="s">
        <v>14</v>
      </c>
      <c r="E23077" t="s">
        <v>579</v>
      </c>
      <c r="F23077" s="2" t="str">
        <f>HYPERLINK("http://www.otzar.org/book.asp?61503","מטעמי יעקב")</f>
        <v>מטעמי יעקב</v>
      </c>
    </row>
    <row r="23078" spans="1:6" x14ac:dyDescent="0.2">
      <c r="A23078" t="s">
        <v>37212</v>
      </c>
      <c r="B23078" t="s">
        <v>37213</v>
      </c>
      <c r="C23078" t="s">
        <v>114</v>
      </c>
      <c r="D23078" t="s">
        <v>52</v>
      </c>
      <c r="E23078" t="s">
        <v>10246</v>
      </c>
      <c r="F23078" s="2" t="str">
        <f>HYPERLINK("http://www.otzar.org/book.asp?165360","מטעמי יצחק &lt;מהדורה חדשה&gt; - 2 כר'")</f>
        <v>מטעמי יצחק &lt;מהדורה חדשה&gt; - 2 כר'</v>
      </c>
    </row>
    <row r="23079" spans="1:6" x14ac:dyDescent="0.2">
      <c r="A23079" t="s">
        <v>37214</v>
      </c>
      <c r="B23079" t="s">
        <v>37215</v>
      </c>
      <c r="C23079" t="s">
        <v>99</v>
      </c>
      <c r="D23079" t="s">
        <v>283</v>
      </c>
      <c r="E23079" t="s">
        <v>154</v>
      </c>
      <c r="F23079" s="2" t="str">
        <f>HYPERLINK("http://www.otzar.org/book.asp?101197","מטעמי יצחק - 2 כר'")</f>
        <v>מטעמי יצחק - 2 כר'</v>
      </c>
    </row>
    <row r="23080" spans="1:6" x14ac:dyDescent="0.2">
      <c r="A23080" t="s">
        <v>37216</v>
      </c>
      <c r="B23080" t="s">
        <v>37217</v>
      </c>
      <c r="C23080" t="s">
        <v>1537</v>
      </c>
      <c r="D23080" t="s">
        <v>1008</v>
      </c>
      <c r="E23080" t="s">
        <v>37218</v>
      </c>
      <c r="F23080" s="2" t="str">
        <f>HYPERLINK("http://www.otzar.org/book.asp?175396","מטעמי יצחק")</f>
        <v>מטעמי יצחק</v>
      </c>
    </row>
    <row r="23081" spans="1:6" x14ac:dyDescent="0.2">
      <c r="A23081" t="s">
        <v>37214</v>
      </c>
      <c r="B23081" t="s">
        <v>37219</v>
      </c>
      <c r="C23081" t="s">
        <v>37220</v>
      </c>
      <c r="D23081" t="s">
        <v>225</v>
      </c>
      <c r="E23081" t="s">
        <v>10678</v>
      </c>
      <c r="F23081" s="2" t="str">
        <f>HYPERLINK("http://www.otzar.org/book.asp?12950","מטעמי יצחק - 2 כר'")</f>
        <v>מטעמי יצחק - 2 כר'</v>
      </c>
    </row>
    <row r="23082" spans="1:6" x14ac:dyDescent="0.2">
      <c r="A23082" t="s">
        <v>37216</v>
      </c>
      <c r="B23082" t="s">
        <v>37221</v>
      </c>
      <c r="C23082" t="s">
        <v>351</v>
      </c>
      <c r="D23082" t="s">
        <v>283</v>
      </c>
      <c r="E23082" t="s">
        <v>158</v>
      </c>
      <c r="F23082" s="2" t="str">
        <f>HYPERLINK("http://www.otzar.org/book.asp?102414","מטעמי יצחק")</f>
        <v>מטעמי יצחק</v>
      </c>
    </row>
    <row r="23083" spans="1:6" x14ac:dyDescent="0.2">
      <c r="A23083" t="s">
        <v>37222</v>
      </c>
      <c r="B23083" t="s">
        <v>37223</v>
      </c>
      <c r="C23083" t="s">
        <v>15870</v>
      </c>
      <c r="D23083" t="s">
        <v>7163</v>
      </c>
      <c r="E23083" t="s">
        <v>4738</v>
      </c>
      <c r="F23083" s="2" t="str">
        <f>HYPERLINK("http://www.otzar.org/book.asp?22327","מטעמי מגדני יעקב")</f>
        <v>מטעמי מגדני יעקב</v>
      </c>
    </row>
    <row r="23084" spans="1:6" x14ac:dyDescent="0.2">
      <c r="A23084" t="s">
        <v>37224</v>
      </c>
      <c r="B23084" t="s">
        <v>37225</v>
      </c>
      <c r="C23084" t="s">
        <v>114</v>
      </c>
      <c r="D23084" t="s">
        <v>412</v>
      </c>
      <c r="E23084" t="s">
        <v>158</v>
      </c>
      <c r="F23084" s="2" t="str">
        <f>HYPERLINK("http://www.otzar.org/book.asp?159436","מטעמי מרדכי")</f>
        <v>מטעמי מרדכי</v>
      </c>
    </row>
    <row r="23085" spans="1:6" x14ac:dyDescent="0.2">
      <c r="A23085" t="s">
        <v>37226</v>
      </c>
      <c r="B23085" t="s">
        <v>5822</v>
      </c>
      <c r="C23085" t="s">
        <v>2644</v>
      </c>
      <c r="D23085" t="s">
        <v>283</v>
      </c>
      <c r="E23085" t="s">
        <v>15</v>
      </c>
      <c r="F23085" s="2" t="str">
        <f>HYPERLINK("http://www.otzar.org/book.asp?106145","מטעמים החדש")</f>
        <v>מטעמים החדש</v>
      </c>
    </row>
    <row r="23086" spans="1:6" x14ac:dyDescent="0.2">
      <c r="A23086" t="s">
        <v>37227</v>
      </c>
      <c r="B23086" t="s">
        <v>37228</v>
      </c>
      <c r="C23086" t="s">
        <v>176</v>
      </c>
      <c r="D23086" t="s">
        <v>14</v>
      </c>
      <c r="E23086" t="s">
        <v>130</v>
      </c>
      <c r="F23086" s="2" t="str">
        <f>HYPERLINK("http://www.otzar.org/book.asp?84669","מטעמים לאבי")</f>
        <v>מטעמים לאבי</v>
      </c>
    </row>
    <row r="23087" spans="1:6" x14ac:dyDescent="0.2">
      <c r="A23087" t="s">
        <v>37229</v>
      </c>
      <c r="B23087" t="s">
        <v>16377</v>
      </c>
      <c r="C23087" t="s">
        <v>777</v>
      </c>
      <c r="D23087" t="s">
        <v>27</v>
      </c>
      <c r="E23087" t="s">
        <v>2211</v>
      </c>
      <c r="F23087" s="2" t="str">
        <f>HYPERLINK("http://www.otzar.org/book.asp?174610","מטעמים")</f>
        <v>מטעמים</v>
      </c>
    </row>
    <row r="23088" spans="1:6" x14ac:dyDescent="0.2">
      <c r="A23088" t="s">
        <v>37230</v>
      </c>
      <c r="B23088" t="s">
        <v>5822</v>
      </c>
      <c r="C23088" t="s">
        <v>445</v>
      </c>
      <c r="D23088" t="s">
        <v>283</v>
      </c>
      <c r="E23088" t="s">
        <v>15</v>
      </c>
      <c r="F23088" s="2" t="str">
        <f>HYPERLINK("http://www.otzar.org/book.asp?107084","מטעמים - 2 כר'")</f>
        <v>מטעמים - 2 כר'</v>
      </c>
    </row>
    <row r="23089" spans="1:6" x14ac:dyDescent="0.2">
      <c r="A23089" t="s">
        <v>37229</v>
      </c>
      <c r="B23089" t="s">
        <v>1005</v>
      </c>
      <c r="C23089" t="s">
        <v>146</v>
      </c>
      <c r="D23089" t="s">
        <v>14</v>
      </c>
      <c r="E23089" t="s">
        <v>202</v>
      </c>
      <c r="F23089" s="2" t="str">
        <f>HYPERLINK("http://www.otzar.org/book.asp?158715","מטעמים")</f>
        <v>מטעמים</v>
      </c>
    </row>
    <row r="23090" spans="1:6" x14ac:dyDescent="0.2">
      <c r="A23090" t="s">
        <v>37231</v>
      </c>
      <c r="B23090" t="s">
        <v>1417</v>
      </c>
      <c r="C23090" t="s">
        <v>600</v>
      </c>
      <c r="D23090" t="s">
        <v>267</v>
      </c>
      <c r="E23090" t="s">
        <v>1463</v>
      </c>
      <c r="F23090" s="2" t="str">
        <f>HYPERLINK("http://www.otzar.org/book.asp?12745","מטפחת ספרים &lt;עיטור ספרים&gt;")</f>
        <v>מטפחת ספרים &lt;עיטור ספרים&gt;</v>
      </c>
    </row>
    <row r="23091" spans="1:6" x14ac:dyDescent="0.2">
      <c r="A23091" t="s">
        <v>37232</v>
      </c>
      <c r="B23091" t="s">
        <v>32834</v>
      </c>
      <c r="C23091" t="s">
        <v>775</v>
      </c>
      <c r="D23091" t="s">
        <v>412</v>
      </c>
      <c r="F23091" s="2" t="str">
        <f>HYPERLINK("http://www.otzar.org/book.asp?601127","מטר השמים &lt;על התורה&gt; - 3 כר'")</f>
        <v>מטר השמים &lt;על התורה&gt; - 3 כר'</v>
      </c>
    </row>
    <row r="23092" spans="1:6" x14ac:dyDescent="0.2">
      <c r="A23092" t="s">
        <v>37233</v>
      </c>
      <c r="B23092" t="s">
        <v>32834</v>
      </c>
      <c r="C23092" t="s">
        <v>189</v>
      </c>
      <c r="D23092" t="s">
        <v>412</v>
      </c>
      <c r="E23092" t="s">
        <v>144</v>
      </c>
      <c r="F23092" s="2" t="str">
        <f>HYPERLINK("http://www.otzar.org/book.asp?601132","מטר השמים - 4 כר'")</f>
        <v>מטר השמים - 4 כר'</v>
      </c>
    </row>
    <row r="23093" spans="1:6" x14ac:dyDescent="0.2">
      <c r="A23093" t="s">
        <v>37234</v>
      </c>
      <c r="B23093" t="s">
        <v>3314</v>
      </c>
      <c r="C23093" t="s">
        <v>111</v>
      </c>
      <c r="D23093" t="s">
        <v>14</v>
      </c>
      <c r="E23093" t="s">
        <v>246</v>
      </c>
      <c r="F23093" s="2" t="str">
        <f>HYPERLINK("http://www.otzar.org/book.asp?630016","מטרת ההגדה")</f>
        <v>מטרת ההגדה</v>
      </c>
    </row>
    <row r="23094" spans="1:6" x14ac:dyDescent="0.2">
      <c r="A23094" t="s">
        <v>37235</v>
      </c>
      <c r="B23094" t="s">
        <v>18539</v>
      </c>
      <c r="C23094" t="s">
        <v>767</v>
      </c>
      <c r="D23094" t="s">
        <v>14</v>
      </c>
      <c r="E23094" t="s">
        <v>241</v>
      </c>
      <c r="F23094" s="2" t="str">
        <f>HYPERLINK("http://www.otzar.org/book.asp?6347","מטרת החיים")</f>
        <v>מטרת החיים</v>
      </c>
    </row>
    <row r="23095" spans="1:6" x14ac:dyDescent="0.2">
      <c r="A23095" t="s">
        <v>37236</v>
      </c>
      <c r="B23095" t="s">
        <v>4991</v>
      </c>
      <c r="C23095" t="s">
        <v>454</v>
      </c>
      <c r="D23095" t="s">
        <v>14</v>
      </c>
      <c r="E23095" t="s">
        <v>241</v>
      </c>
      <c r="F23095" s="2" t="str">
        <f>HYPERLINK("http://www.otzar.org/book.asp?166010","מטרת היסורים")</f>
        <v>מטרת היסורים</v>
      </c>
    </row>
    <row r="23096" spans="1:6" x14ac:dyDescent="0.2">
      <c r="A23096" t="s">
        <v>37237</v>
      </c>
      <c r="B23096" t="s">
        <v>4991</v>
      </c>
      <c r="C23096" t="s">
        <v>313</v>
      </c>
      <c r="D23096" t="s">
        <v>14</v>
      </c>
      <c r="E23096" t="s">
        <v>246</v>
      </c>
      <c r="F23096" s="2" t="str">
        <f>HYPERLINK("http://www.otzar.org/book.asp?6233","מטרת השבת")</f>
        <v>מטרת השבת</v>
      </c>
    </row>
    <row r="23097" spans="1:6" x14ac:dyDescent="0.2">
      <c r="A23097" t="s">
        <v>37238</v>
      </c>
      <c r="B23097" t="s">
        <v>12678</v>
      </c>
      <c r="C23097" t="s">
        <v>466</v>
      </c>
      <c r="D23097" t="s">
        <v>52</v>
      </c>
      <c r="E23097" t="s">
        <v>144</v>
      </c>
      <c r="F23097" s="2" t="str">
        <f>HYPERLINK("http://www.otzar.org/book.asp?61054","מי אהרון")</f>
        <v>מי אהרון</v>
      </c>
    </row>
    <row r="23098" spans="1:6" x14ac:dyDescent="0.2">
      <c r="A23098" t="s">
        <v>37239</v>
      </c>
      <c r="B23098" t="s">
        <v>3768</v>
      </c>
      <c r="C23098" t="s">
        <v>114</v>
      </c>
      <c r="D23098" t="s">
        <v>14</v>
      </c>
      <c r="E23098" t="s">
        <v>9368</v>
      </c>
      <c r="F23098" s="2" t="str">
        <f>HYPERLINK("http://www.otzar.org/book.asp?160212","מי אשברן")</f>
        <v>מי אשברן</v>
      </c>
    </row>
    <row r="23099" spans="1:6" x14ac:dyDescent="0.2">
      <c r="A23099" t="s">
        <v>37239</v>
      </c>
      <c r="B23099" t="s">
        <v>37240</v>
      </c>
      <c r="C23099" t="s">
        <v>133</v>
      </c>
      <c r="D23099" t="s">
        <v>14</v>
      </c>
      <c r="E23099" t="s">
        <v>172</v>
      </c>
      <c r="F23099" s="2" t="str">
        <f>HYPERLINK("http://www.otzar.org/book.asp?172533","מי אשברן")</f>
        <v>מי אשברן</v>
      </c>
    </row>
    <row r="23100" spans="1:6" x14ac:dyDescent="0.2">
      <c r="A23100" t="s">
        <v>37241</v>
      </c>
      <c r="B23100" t="s">
        <v>16762</v>
      </c>
      <c r="C23100" t="s">
        <v>956</v>
      </c>
      <c r="D23100" t="s">
        <v>52</v>
      </c>
      <c r="E23100" t="s">
        <v>741</v>
      </c>
      <c r="F23100" s="2" t="str">
        <f>HYPERLINK("http://www.otzar.org/book.asp?625747","מי באר ישעיהו &lt;תליתא&gt;")</f>
        <v>מי באר ישעיהו &lt;תליתא&gt;</v>
      </c>
    </row>
    <row r="23101" spans="1:6" x14ac:dyDescent="0.2">
      <c r="A23101" t="s">
        <v>37242</v>
      </c>
      <c r="B23101" t="s">
        <v>16762</v>
      </c>
      <c r="C23101" t="s">
        <v>940</v>
      </c>
      <c r="D23101" t="s">
        <v>52</v>
      </c>
      <c r="E23101" t="s">
        <v>119</v>
      </c>
      <c r="F23101" s="2" t="str">
        <f>HYPERLINK("http://www.otzar.org/book.asp?153399","מי באר ישעיהו - 3 כר'")</f>
        <v>מי באר ישעיהו - 3 כר'</v>
      </c>
    </row>
    <row r="23102" spans="1:6" x14ac:dyDescent="0.2">
      <c r="A23102" t="s">
        <v>37243</v>
      </c>
      <c r="B23102" t="s">
        <v>37244</v>
      </c>
      <c r="C23102" t="s">
        <v>1284</v>
      </c>
      <c r="D23102" t="s">
        <v>3627</v>
      </c>
      <c r="E23102" t="s">
        <v>144</v>
      </c>
      <c r="F23102" s="2" t="str">
        <f>HYPERLINK("http://www.otzar.org/book.asp?5539","מי באר מים חיים - 2 כר'")</f>
        <v>מי באר מים חיים - 2 כר'</v>
      </c>
    </row>
    <row r="23103" spans="1:6" x14ac:dyDescent="0.2">
      <c r="A23103" t="s">
        <v>37245</v>
      </c>
      <c r="B23103" t="s">
        <v>37246</v>
      </c>
      <c r="C23103" t="s">
        <v>1921</v>
      </c>
      <c r="D23103" t="s">
        <v>1459</v>
      </c>
      <c r="E23103" t="s">
        <v>154</v>
      </c>
      <c r="F23103" s="2" t="str">
        <f>HYPERLINK("http://www.otzar.org/book.asp?101193","מי באר")</f>
        <v>מי באר</v>
      </c>
    </row>
    <row r="23104" spans="1:6" x14ac:dyDescent="0.2">
      <c r="A23104" t="s">
        <v>37247</v>
      </c>
      <c r="B23104" t="s">
        <v>37248</v>
      </c>
      <c r="C23104" t="s">
        <v>13</v>
      </c>
      <c r="D23104" t="s">
        <v>423</v>
      </c>
      <c r="E23104" t="s">
        <v>144</v>
      </c>
      <c r="F23104" s="2" t="str">
        <f>HYPERLINK("http://www.otzar.org/book.asp?170112","מי באר - 8 כר'")</f>
        <v>מי באר - 8 כר'</v>
      </c>
    </row>
    <row r="23105" spans="1:6" x14ac:dyDescent="0.2">
      <c r="A23105" t="s">
        <v>37245</v>
      </c>
      <c r="B23105" t="s">
        <v>37249</v>
      </c>
      <c r="C23105" t="s">
        <v>2543</v>
      </c>
      <c r="D23105" t="s">
        <v>225</v>
      </c>
      <c r="E23105" t="s">
        <v>16874</v>
      </c>
      <c r="F23105" s="2" t="str">
        <f>HYPERLINK("http://www.otzar.org/book.asp?200194","מי באר")</f>
        <v>מי באר</v>
      </c>
    </row>
    <row r="23106" spans="1:6" x14ac:dyDescent="0.2">
      <c r="A23106" t="s">
        <v>37250</v>
      </c>
      <c r="B23106" t="s">
        <v>37251</v>
      </c>
      <c r="C23106" t="s">
        <v>411</v>
      </c>
      <c r="D23106" t="s">
        <v>52</v>
      </c>
      <c r="E23106" t="s">
        <v>158</v>
      </c>
      <c r="F23106" s="2" t="str">
        <f>HYPERLINK("http://www.otzar.org/book.asp?172483","מי באר - 10 כר'")</f>
        <v>מי באר - 10 כר'</v>
      </c>
    </row>
    <row r="23107" spans="1:6" x14ac:dyDescent="0.2">
      <c r="A23107" t="s">
        <v>37252</v>
      </c>
      <c r="B23107" t="s">
        <v>37253</v>
      </c>
      <c r="C23107" t="s">
        <v>785</v>
      </c>
      <c r="D23107" t="s">
        <v>52</v>
      </c>
      <c r="E23107" t="s">
        <v>144</v>
      </c>
      <c r="F23107" s="2" t="str">
        <f>HYPERLINK("http://www.otzar.org/book.asp?51942","מי באר - ערבי פסחים")</f>
        <v>מי באר - ערבי פסחים</v>
      </c>
    </row>
    <row r="23108" spans="1:6" x14ac:dyDescent="0.2">
      <c r="A23108" t="s">
        <v>37245</v>
      </c>
      <c r="B23108" t="s">
        <v>37254</v>
      </c>
      <c r="C23108" t="s">
        <v>442</v>
      </c>
      <c r="D23108" t="s">
        <v>9</v>
      </c>
      <c r="E23108" t="s">
        <v>144</v>
      </c>
      <c r="F23108" s="2" t="str">
        <f>HYPERLINK("http://www.otzar.org/book.asp?60791","מי באר")</f>
        <v>מי באר</v>
      </c>
    </row>
    <row r="23109" spans="1:6" x14ac:dyDescent="0.2">
      <c r="A23109" t="s">
        <v>37255</v>
      </c>
      <c r="B23109" t="s">
        <v>37256</v>
      </c>
      <c r="C23109" t="s">
        <v>313</v>
      </c>
      <c r="D23109" t="s">
        <v>14</v>
      </c>
      <c r="E23109" t="s">
        <v>186</v>
      </c>
      <c r="F23109" s="2" t="str">
        <f>HYPERLINK("http://www.otzar.org/book.asp?105750","מי באר - 3 כר'")</f>
        <v>מי באר - 3 כר'</v>
      </c>
    </row>
    <row r="23110" spans="1:6" x14ac:dyDescent="0.2">
      <c r="A23110" t="s">
        <v>37245</v>
      </c>
      <c r="B23110" t="s">
        <v>37257</v>
      </c>
      <c r="C23110" t="s">
        <v>366</v>
      </c>
      <c r="D23110" t="s">
        <v>2285</v>
      </c>
      <c r="E23110" t="s">
        <v>202</v>
      </c>
      <c r="F23110" s="2" t="str">
        <f>HYPERLINK("http://www.otzar.org/book.asp?603484","מי באר")</f>
        <v>מי באר</v>
      </c>
    </row>
    <row r="23111" spans="1:6" x14ac:dyDescent="0.2">
      <c r="A23111" t="s">
        <v>37245</v>
      </c>
      <c r="B23111" t="s">
        <v>265</v>
      </c>
      <c r="C23111" t="s">
        <v>3690</v>
      </c>
      <c r="D23111" t="s">
        <v>267</v>
      </c>
      <c r="E23111" t="s">
        <v>154</v>
      </c>
      <c r="F23111" s="2" t="str">
        <f>HYPERLINK("http://www.otzar.org/book.asp?19066","מי באר")</f>
        <v>מי באר</v>
      </c>
    </row>
    <row r="23112" spans="1:6" x14ac:dyDescent="0.2">
      <c r="A23112" t="s">
        <v>37258</v>
      </c>
      <c r="B23112" t="s">
        <v>37259</v>
      </c>
      <c r="C23112" t="s">
        <v>473</v>
      </c>
      <c r="D23112" t="s">
        <v>9</v>
      </c>
      <c r="E23112" t="s">
        <v>234</v>
      </c>
      <c r="F23112" s="2" t="str">
        <f>HYPERLINK("http://www.otzar.org/book.asp?108836","מי גבא")</f>
        <v>מי גבא</v>
      </c>
    </row>
    <row r="23113" spans="1:6" x14ac:dyDescent="0.2">
      <c r="A23113" t="s">
        <v>37260</v>
      </c>
      <c r="B23113" t="s">
        <v>5786</v>
      </c>
      <c r="C23113" t="s">
        <v>68</v>
      </c>
      <c r="D23113" t="s">
        <v>412</v>
      </c>
      <c r="E23113" t="s">
        <v>144</v>
      </c>
      <c r="F23113" s="2" t="str">
        <f>HYPERLINK("http://www.otzar.org/book.asp?170867","מי דבש - סוטה")</f>
        <v>מי דבש - סוטה</v>
      </c>
    </row>
    <row r="23114" spans="1:6" x14ac:dyDescent="0.2">
      <c r="A23114" t="s">
        <v>37261</v>
      </c>
      <c r="B23114" t="s">
        <v>37262</v>
      </c>
      <c r="C23114" t="s">
        <v>114</v>
      </c>
      <c r="D23114" t="s">
        <v>14</v>
      </c>
      <c r="E23114" t="s">
        <v>37263</v>
      </c>
      <c r="F23114" s="2" t="str">
        <f>HYPERLINK("http://www.otzar.org/book.asp?163139","מי דבש")</f>
        <v>מי דבש</v>
      </c>
    </row>
    <row r="23115" spans="1:6" x14ac:dyDescent="0.2">
      <c r="A23115" t="s">
        <v>37264</v>
      </c>
      <c r="B23115" t="s">
        <v>37265</v>
      </c>
      <c r="C23115" t="s">
        <v>13</v>
      </c>
      <c r="D23115" t="s">
        <v>486</v>
      </c>
      <c r="E23115" t="s">
        <v>172</v>
      </c>
      <c r="F23115" s="2" t="str">
        <f>HYPERLINK("http://www.otzar.org/book.asp?193016","מי דבש - 6 כר'")</f>
        <v>מי דבש - 6 כר'</v>
      </c>
    </row>
    <row r="23116" spans="1:6" x14ac:dyDescent="0.2">
      <c r="A23116" t="s">
        <v>37266</v>
      </c>
      <c r="B23116" t="s">
        <v>2469</v>
      </c>
      <c r="C23116" t="s">
        <v>20</v>
      </c>
      <c r="D23116" t="s">
        <v>147</v>
      </c>
      <c r="E23116" t="s">
        <v>144</v>
      </c>
      <c r="F23116" s="2" t="str">
        <f>HYPERLINK("http://www.otzar.org/book.asp?172557","מי דעת - טהרות")</f>
        <v>מי דעת - טהרות</v>
      </c>
    </row>
    <row r="23117" spans="1:6" x14ac:dyDescent="0.2">
      <c r="A23117" t="s">
        <v>37267</v>
      </c>
      <c r="B23117" t="s">
        <v>37268</v>
      </c>
      <c r="C23117" t="s">
        <v>411</v>
      </c>
      <c r="D23117" t="s">
        <v>2201</v>
      </c>
      <c r="E23117" t="s">
        <v>104</v>
      </c>
      <c r="F23117" s="2" t="str">
        <f>HYPERLINK("http://www.otzar.org/book.asp?186739","מי דעת - 2 כר'")</f>
        <v>מי דעת - 2 כר'</v>
      </c>
    </row>
    <row r="23118" spans="1:6" x14ac:dyDescent="0.2">
      <c r="A23118" t="s">
        <v>37269</v>
      </c>
      <c r="B23118" t="s">
        <v>37270</v>
      </c>
      <c r="C23118" t="s">
        <v>129</v>
      </c>
      <c r="D23118" t="s">
        <v>14</v>
      </c>
      <c r="E23118" t="s">
        <v>15</v>
      </c>
      <c r="F23118" s="2" t="str">
        <f>HYPERLINK("http://www.otzar.org/book.asp?60496","מי דעת")</f>
        <v>מי דעת</v>
      </c>
    </row>
    <row r="23119" spans="1:6" x14ac:dyDescent="0.2">
      <c r="A23119" t="s">
        <v>37271</v>
      </c>
      <c r="B23119" t="s">
        <v>37272</v>
      </c>
      <c r="C23119" t="s">
        <v>244</v>
      </c>
      <c r="D23119" t="s">
        <v>52</v>
      </c>
      <c r="F23119" s="2" t="str">
        <f>HYPERLINK("http://www.otzar.org/book.asp?608721","מי האיש")</f>
        <v>מי האיש</v>
      </c>
    </row>
    <row r="23120" spans="1:6" x14ac:dyDescent="0.2">
      <c r="A23120" t="s">
        <v>37273</v>
      </c>
      <c r="B23120" t="s">
        <v>30754</v>
      </c>
      <c r="C23120" t="s">
        <v>106</v>
      </c>
      <c r="D23120" t="s">
        <v>14</v>
      </c>
      <c r="E23120" t="s">
        <v>714</v>
      </c>
      <c r="F23120" s="2" t="str">
        <f>HYPERLINK("http://www.otzar.org/book.asp?6861","מי הדעת")</f>
        <v>מי הדעת</v>
      </c>
    </row>
    <row r="23121" spans="1:6" x14ac:dyDescent="0.2">
      <c r="A23121" t="s">
        <v>37274</v>
      </c>
      <c r="B23121" t="s">
        <v>37275</v>
      </c>
      <c r="C23121" t="s">
        <v>411</v>
      </c>
      <c r="D23121" t="s">
        <v>14</v>
      </c>
      <c r="E23121" t="s">
        <v>1164</v>
      </c>
      <c r="F23121" s="2" t="str">
        <f>HYPERLINK("http://www.otzar.org/book.asp?618776","מי הדעת - 4 כר'")</f>
        <v>מי הדעת - 4 כר'</v>
      </c>
    </row>
    <row r="23122" spans="1:6" x14ac:dyDescent="0.2">
      <c r="A23122" t="s">
        <v>37276</v>
      </c>
      <c r="B23122" t="s">
        <v>19239</v>
      </c>
      <c r="C23122" t="s">
        <v>23</v>
      </c>
      <c r="D23122" t="s">
        <v>14</v>
      </c>
      <c r="E23122" t="s">
        <v>84</v>
      </c>
      <c r="F23122" s="2" t="str">
        <f>HYPERLINK("http://www.otzar.org/book.asp?630283","מי הדעת - 2 כר'")</f>
        <v>מי הדעת - 2 כר'</v>
      </c>
    </row>
    <row r="23123" spans="1:6" x14ac:dyDescent="0.2">
      <c r="A23123" t="s">
        <v>37277</v>
      </c>
      <c r="B23123" t="s">
        <v>37278</v>
      </c>
      <c r="C23123" t="s">
        <v>13</v>
      </c>
      <c r="D23123" t="s">
        <v>14</v>
      </c>
      <c r="E23123" t="s">
        <v>84</v>
      </c>
      <c r="F23123" s="2" t="str">
        <f>HYPERLINK("http://www.otzar.org/book.asp?155636","מי הדעת - עוקצין")</f>
        <v>מי הדעת - עוקצין</v>
      </c>
    </row>
    <row r="23124" spans="1:6" x14ac:dyDescent="0.2">
      <c r="A23124" t="s">
        <v>37279</v>
      </c>
      <c r="B23124" t="s">
        <v>37280</v>
      </c>
      <c r="C23124" t="s">
        <v>151</v>
      </c>
      <c r="D23124" t="s">
        <v>21</v>
      </c>
      <c r="E23124" t="s">
        <v>399</v>
      </c>
      <c r="F23124" s="2" t="str">
        <f>HYPERLINK("http://www.otzar.org/book.asp?622178","מי הדעת - ב")</f>
        <v>מי הדעת - ב</v>
      </c>
    </row>
    <row r="23125" spans="1:6" x14ac:dyDescent="0.2">
      <c r="A23125" t="s">
        <v>37281</v>
      </c>
      <c r="B23125" t="s">
        <v>37282</v>
      </c>
      <c r="C23125" t="s">
        <v>1062</v>
      </c>
      <c r="D23125" t="s">
        <v>27</v>
      </c>
      <c r="E23125" t="s">
        <v>144</v>
      </c>
      <c r="F23125" s="2" t="str">
        <f>HYPERLINK("http://www.otzar.org/book.asp?14163","מי החג")</f>
        <v>מי החג</v>
      </c>
    </row>
    <row r="23126" spans="1:6" x14ac:dyDescent="0.2">
      <c r="A23126" t="s">
        <v>37283</v>
      </c>
      <c r="B23126" t="s">
        <v>155</v>
      </c>
      <c r="C23126" t="s">
        <v>37284</v>
      </c>
      <c r="D23126" t="s">
        <v>157</v>
      </c>
      <c r="E23126" t="s">
        <v>64</v>
      </c>
      <c r="F23126" s="2" t="str">
        <f>HYPERLINK("http://www.otzar.org/book.asp?101097","מי החסד - 2 כר'")</f>
        <v>מי החסד - 2 כר'</v>
      </c>
    </row>
    <row r="23127" spans="1:6" x14ac:dyDescent="0.2">
      <c r="A23127" t="s">
        <v>37285</v>
      </c>
      <c r="B23127" t="s">
        <v>37286</v>
      </c>
      <c r="C23127" t="s">
        <v>4144</v>
      </c>
      <c r="D23127" t="s">
        <v>307</v>
      </c>
      <c r="E23127" t="s">
        <v>158</v>
      </c>
      <c r="F23127" s="2" t="str">
        <f>HYPERLINK("http://www.otzar.org/book.asp?142515","מי הים")</f>
        <v>מי הים</v>
      </c>
    </row>
    <row r="23128" spans="1:6" x14ac:dyDescent="0.2">
      <c r="A23128" t="s">
        <v>37285</v>
      </c>
      <c r="B23128" t="s">
        <v>37287</v>
      </c>
      <c r="C23128" t="s">
        <v>649</v>
      </c>
      <c r="D23128" t="s">
        <v>947</v>
      </c>
      <c r="E23128" t="s">
        <v>493</v>
      </c>
      <c r="F23128" s="2" t="str">
        <f>HYPERLINK("http://www.otzar.org/book.asp?51668","מי הים")</f>
        <v>מי הים</v>
      </c>
    </row>
    <row r="23129" spans="1:6" x14ac:dyDescent="0.2">
      <c r="A23129" t="s">
        <v>37288</v>
      </c>
      <c r="B23129" t="s">
        <v>37289</v>
      </c>
      <c r="E23129" t="s">
        <v>144</v>
      </c>
      <c r="F23129" s="2" t="str">
        <f>HYPERLINK("http://www.otzar.org/book.asp?629320","מי הים - רוב וחזקה")</f>
        <v>מי הים - רוב וחזקה</v>
      </c>
    </row>
    <row r="23130" spans="1:6" x14ac:dyDescent="0.2">
      <c r="A23130" t="s">
        <v>37290</v>
      </c>
      <c r="B23130" t="s">
        <v>17519</v>
      </c>
      <c r="C23130" t="s">
        <v>1640</v>
      </c>
      <c r="D23130" t="s">
        <v>52</v>
      </c>
      <c r="E23130" t="s">
        <v>140</v>
      </c>
      <c r="F23130" s="2" t="str">
        <f>HYPERLINK("http://www.otzar.org/book.asp?85120","מי הנחל")</f>
        <v>מי הנחל</v>
      </c>
    </row>
    <row r="23131" spans="1:6" x14ac:dyDescent="0.2">
      <c r="A23131" t="s">
        <v>37291</v>
      </c>
      <c r="B23131" t="s">
        <v>37292</v>
      </c>
      <c r="C23131" t="s">
        <v>37293</v>
      </c>
      <c r="D23131" t="s">
        <v>2373</v>
      </c>
      <c r="E23131" t="s">
        <v>2098</v>
      </c>
      <c r="F23131" s="2" t="str">
        <f>HYPERLINK("http://www.otzar.org/book.asp?172090","מי השילוח &lt;עם גליונות ר' ירוחם ליינער כת""י&gt; - א")</f>
        <v>מי השילוח &lt;עם גליונות ר' ירוחם ליינער כת"י&gt; - א</v>
      </c>
    </row>
    <row r="23132" spans="1:6" x14ac:dyDescent="0.2">
      <c r="A23132" t="s">
        <v>37294</v>
      </c>
      <c r="B23132" t="s">
        <v>26536</v>
      </c>
      <c r="C23132" t="s">
        <v>5721</v>
      </c>
      <c r="D23132" t="s">
        <v>267</v>
      </c>
      <c r="E23132" t="s">
        <v>10</v>
      </c>
      <c r="F23132" s="2" t="str">
        <f>HYPERLINK("http://www.otzar.org/book.asp?8271","מי השילוח &lt;מקור נפתח&gt; - הל' מקוואות")</f>
        <v>מי השילוח &lt;מקור נפתח&gt; - הל' מקוואות</v>
      </c>
    </row>
    <row r="23133" spans="1:6" x14ac:dyDescent="0.2">
      <c r="A23133" t="s">
        <v>37295</v>
      </c>
      <c r="B23133" t="s">
        <v>37292</v>
      </c>
      <c r="C23133" t="s">
        <v>1954</v>
      </c>
      <c r="D23133" t="s">
        <v>27</v>
      </c>
      <c r="E23133" t="s">
        <v>1185</v>
      </c>
      <c r="F23133" s="2" t="str">
        <f>HYPERLINK("http://www.otzar.org/book.asp?7726","מי השלוח - 3 כר'")</f>
        <v>מי השלוח - 3 כר'</v>
      </c>
    </row>
    <row r="23134" spans="1:6" x14ac:dyDescent="0.2">
      <c r="A23134" t="s">
        <v>37296</v>
      </c>
      <c r="B23134" t="s">
        <v>17515</v>
      </c>
      <c r="C23134" t="s">
        <v>2076</v>
      </c>
      <c r="D23134" t="s">
        <v>283</v>
      </c>
      <c r="E23134" t="s">
        <v>144</v>
      </c>
      <c r="F23134" s="2" t="str">
        <f>HYPERLINK("http://www.otzar.org/book.asp?51667","מי השלח")</f>
        <v>מי השלח</v>
      </c>
    </row>
    <row r="23135" spans="1:6" x14ac:dyDescent="0.2">
      <c r="A23135" t="s">
        <v>37296</v>
      </c>
      <c r="B23135" t="s">
        <v>37297</v>
      </c>
      <c r="C23135" t="s">
        <v>609</v>
      </c>
      <c r="D23135" t="s">
        <v>6974</v>
      </c>
      <c r="F23135" s="2" t="str">
        <f>HYPERLINK("http://www.otzar.org/book.asp?169419","מי השלח")</f>
        <v>מי השלח</v>
      </c>
    </row>
    <row r="23136" spans="1:6" x14ac:dyDescent="0.2">
      <c r="A23136" t="s">
        <v>37296</v>
      </c>
      <c r="B23136" t="s">
        <v>37298</v>
      </c>
      <c r="C23136" t="s">
        <v>291</v>
      </c>
      <c r="D23136" t="s">
        <v>15825</v>
      </c>
      <c r="E23136" t="s">
        <v>10</v>
      </c>
      <c r="F23136" s="2" t="str">
        <f>HYPERLINK("http://www.otzar.org/book.asp?108832","מי השלח")</f>
        <v>מי השלח</v>
      </c>
    </row>
    <row r="23137" spans="1:6" x14ac:dyDescent="0.2">
      <c r="A23137" t="s">
        <v>37299</v>
      </c>
      <c r="B23137" t="s">
        <v>37300</v>
      </c>
      <c r="C23137" t="s">
        <v>1718</v>
      </c>
      <c r="D23137" t="s">
        <v>855</v>
      </c>
      <c r="E23137" t="s">
        <v>154</v>
      </c>
      <c r="F23137" s="2" t="str">
        <f>HYPERLINK("http://www.otzar.org/book.asp?102759","מי השליח")</f>
        <v>מי השליח</v>
      </c>
    </row>
    <row r="23138" spans="1:6" x14ac:dyDescent="0.2">
      <c r="A23138" t="s">
        <v>37301</v>
      </c>
      <c r="B23138" t="s">
        <v>7220</v>
      </c>
      <c r="C23138" t="s">
        <v>189</v>
      </c>
      <c r="D23138" t="s">
        <v>52</v>
      </c>
      <c r="E23138" t="s">
        <v>158</v>
      </c>
      <c r="F23138" s="2" t="str">
        <f>HYPERLINK("http://www.otzar.org/book.asp?23920","מי זהב")</f>
        <v>מי זהב</v>
      </c>
    </row>
    <row r="23139" spans="1:6" x14ac:dyDescent="0.2">
      <c r="A23139" t="s">
        <v>37302</v>
      </c>
      <c r="B23139" t="s">
        <v>37303</v>
      </c>
      <c r="C23139" t="s">
        <v>940</v>
      </c>
      <c r="D23139" t="s">
        <v>14</v>
      </c>
      <c r="E23139" t="s">
        <v>158</v>
      </c>
      <c r="F23139" s="2" t="str">
        <f>HYPERLINK("http://www.otzar.org/book.asp?160370","מי זהב - א")</f>
        <v>מי זהב - א</v>
      </c>
    </row>
    <row r="23140" spans="1:6" x14ac:dyDescent="0.2">
      <c r="A23140" t="s">
        <v>37304</v>
      </c>
      <c r="B23140" t="s">
        <v>37305</v>
      </c>
      <c r="C23140" t="s">
        <v>503</v>
      </c>
      <c r="D23140" t="s">
        <v>283</v>
      </c>
      <c r="E23140" t="s">
        <v>15</v>
      </c>
      <c r="F23140" s="2" t="str">
        <f>HYPERLINK("http://www.otzar.org/book.asp?19069","מי טהרה")</f>
        <v>מי טהרה</v>
      </c>
    </row>
    <row r="23141" spans="1:6" x14ac:dyDescent="0.2">
      <c r="A23141" t="s">
        <v>37306</v>
      </c>
      <c r="B23141" t="s">
        <v>37307</v>
      </c>
      <c r="C23141" t="s">
        <v>23</v>
      </c>
      <c r="D23141" t="s">
        <v>14</v>
      </c>
      <c r="F23141" s="2" t="str">
        <f>HYPERLINK("http://www.otzar.org/book.asp?198546","מי טהרה - 2 כר'")</f>
        <v>מי טהרה - 2 כר'</v>
      </c>
    </row>
    <row r="23142" spans="1:6" x14ac:dyDescent="0.2">
      <c r="A23142" t="s">
        <v>37308</v>
      </c>
      <c r="B23142" t="s">
        <v>37309</v>
      </c>
      <c r="C23142" t="s">
        <v>244</v>
      </c>
      <c r="D23142" t="s">
        <v>52</v>
      </c>
      <c r="E23142" t="s">
        <v>172</v>
      </c>
      <c r="F23142" s="2" t="str">
        <f>HYPERLINK("http://www.otzar.org/book.asp?196527","מי טוהר")</f>
        <v>מי טוהר</v>
      </c>
    </row>
    <row r="23143" spans="1:6" x14ac:dyDescent="0.2">
      <c r="A23143" t="s">
        <v>37310</v>
      </c>
      <c r="B23143" t="s">
        <v>29443</v>
      </c>
      <c r="C23143" t="s">
        <v>103</v>
      </c>
      <c r="D23143" t="s">
        <v>52</v>
      </c>
      <c r="E23143" t="s">
        <v>154</v>
      </c>
      <c r="F23143" s="2" t="str">
        <f>HYPERLINK("http://www.otzar.org/book.asp?163041","מי יהודה &lt;מהדורה חדשה&gt; - 2 כר'")</f>
        <v>מי יהודה &lt;מהדורה חדשה&gt; - 2 כר'</v>
      </c>
    </row>
    <row r="23144" spans="1:6" x14ac:dyDescent="0.2">
      <c r="A23144" t="s">
        <v>37311</v>
      </c>
      <c r="B23144" t="s">
        <v>29443</v>
      </c>
      <c r="C23144" t="s">
        <v>37312</v>
      </c>
      <c r="D23144" t="s">
        <v>21868</v>
      </c>
      <c r="E23144" t="s">
        <v>154</v>
      </c>
      <c r="F23144" s="2" t="str">
        <f>HYPERLINK("http://www.otzar.org/book.asp?850","מי יהודה - 2 כר'")</f>
        <v>מי יהודה - 2 כר'</v>
      </c>
    </row>
    <row r="23145" spans="1:6" x14ac:dyDescent="0.2">
      <c r="A23145" t="s">
        <v>37313</v>
      </c>
      <c r="B23145" t="s">
        <v>15819</v>
      </c>
      <c r="C23145" t="s">
        <v>68</v>
      </c>
      <c r="D23145" t="s">
        <v>14</v>
      </c>
      <c r="E23145" t="s">
        <v>148</v>
      </c>
      <c r="F23145" s="2" t="str">
        <f>HYPERLINK("http://www.otzar.org/book.asp?153858","מי יוסף")</f>
        <v>מי יוסף</v>
      </c>
    </row>
    <row r="23146" spans="1:6" x14ac:dyDescent="0.2">
      <c r="A23146" t="s">
        <v>37314</v>
      </c>
      <c r="B23146" t="s">
        <v>15874</v>
      </c>
      <c r="C23146" t="s">
        <v>185</v>
      </c>
      <c r="D23146" t="s">
        <v>14</v>
      </c>
      <c r="E23146" t="s">
        <v>15</v>
      </c>
      <c r="F23146" s="2" t="str">
        <f>HYPERLINK("http://www.otzar.org/book.asp?630571","מי יזמן")</f>
        <v>מי יזמן</v>
      </c>
    </row>
    <row r="23147" spans="1:6" x14ac:dyDescent="0.2">
      <c r="A23147" t="s">
        <v>37315</v>
      </c>
      <c r="B23147" t="s">
        <v>37316</v>
      </c>
      <c r="C23147" t="s">
        <v>129</v>
      </c>
      <c r="D23147" t="s">
        <v>14</v>
      </c>
      <c r="E23147" t="s">
        <v>564</v>
      </c>
      <c r="F23147" s="2" t="str">
        <f>HYPERLINK("http://www.otzar.org/book.asp?607477","מי ימלל")</f>
        <v>מי ימלל</v>
      </c>
    </row>
    <row r="23148" spans="1:6" x14ac:dyDescent="0.2">
      <c r="A23148" t="s">
        <v>37317</v>
      </c>
      <c r="B23148" t="s">
        <v>686</v>
      </c>
      <c r="C23148" t="s">
        <v>422</v>
      </c>
      <c r="D23148" t="s">
        <v>52</v>
      </c>
      <c r="E23148" t="s">
        <v>144</v>
      </c>
      <c r="F23148" s="2" t="str">
        <f>HYPERLINK("http://www.otzar.org/book.asp?182762","מי ימצא")</f>
        <v>מי ימצא</v>
      </c>
    </row>
    <row r="23149" spans="1:6" x14ac:dyDescent="0.2">
      <c r="A23149" t="s">
        <v>37318</v>
      </c>
      <c r="B23149" t="s">
        <v>37319</v>
      </c>
      <c r="C23149" t="s">
        <v>37</v>
      </c>
      <c r="D23149" t="s">
        <v>14</v>
      </c>
      <c r="F23149" s="2" t="str">
        <f>HYPERLINK("http://www.otzar.org/book.asp?197651","מי ימצא - סוכה")</f>
        <v>מי ימצא - סוכה</v>
      </c>
    </row>
    <row r="23150" spans="1:6" x14ac:dyDescent="0.2">
      <c r="A23150" t="s">
        <v>37320</v>
      </c>
      <c r="B23150" t="s">
        <v>1750</v>
      </c>
      <c r="C23150" t="s">
        <v>176</v>
      </c>
      <c r="D23150" t="s">
        <v>52</v>
      </c>
      <c r="E23150" t="s">
        <v>3790</v>
      </c>
      <c r="F23150" s="2" t="str">
        <f>HYPERLINK("http://www.otzar.org/book.asp?615778","מי ירפא לך")</f>
        <v>מי ירפא לך</v>
      </c>
    </row>
    <row r="23151" spans="1:6" x14ac:dyDescent="0.2">
      <c r="A23151" t="s">
        <v>37321</v>
      </c>
      <c r="B23151" t="s">
        <v>5634</v>
      </c>
      <c r="C23151" t="s">
        <v>129</v>
      </c>
      <c r="D23151" t="s">
        <v>52</v>
      </c>
      <c r="E23151" t="s">
        <v>564</v>
      </c>
      <c r="F23151" s="2" t="str">
        <f>HYPERLINK("http://www.otzar.org/book.asp?145325","מי יתנך כאח לי")</f>
        <v>מי יתנך כאח לי</v>
      </c>
    </row>
    <row r="23152" spans="1:6" x14ac:dyDescent="0.2">
      <c r="A23152" t="s">
        <v>37322</v>
      </c>
      <c r="B23152" t="s">
        <v>5195</v>
      </c>
      <c r="C23152" t="s">
        <v>12036</v>
      </c>
      <c r="D23152" t="s">
        <v>283</v>
      </c>
      <c r="E23152" t="s">
        <v>2135</v>
      </c>
      <c r="F23152" s="2" t="str">
        <f>HYPERLINK("http://www.otzar.org/book.asp?149821","מי כיור")</f>
        <v>מי כיור</v>
      </c>
    </row>
    <row r="23153" spans="1:6" x14ac:dyDescent="0.2">
      <c r="A23153" t="s">
        <v>37323</v>
      </c>
      <c r="B23153" t="s">
        <v>12911</v>
      </c>
      <c r="C23153" t="s">
        <v>1650</v>
      </c>
      <c r="D23153" t="s">
        <v>27</v>
      </c>
      <c r="E23153" t="s">
        <v>219</v>
      </c>
      <c r="F23153" s="2" t="str">
        <f>HYPERLINK("http://www.otzar.org/book.asp?178895","מי כמוך (לשבת זכור)")</f>
        <v>מי כמוך (לשבת זכור)</v>
      </c>
    </row>
    <row r="23154" spans="1:6" x14ac:dyDescent="0.2">
      <c r="A23154" t="s">
        <v>37324</v>
      </c>
      <c r="B23154" t="s">
        <v>37325</v>
      </c>
      <c r="C23154" t="s">
        <v>20</v>
      </c>
      <c r="D23154" t="s">
        <v>412</v>
      </c>
      <c r="E23154" t="s">
        <v>658</v>
      </c>
      <c r="F23154" s="2" t="str">
        <f>HYPERLINK("http://www.otzar.org/book.asp?607479","מי מועד - מועד קטן")</f>
        <v>מי מועד - מועד קטן</v>
      </c>
    </row>
    <row r="23155" spans="1:6" x14ac:dyDescent="0.2">
      <c r="A23155" t="s">
        <v>37326</v>
      </c>
      <c r="B23155" t="s">
        <v>37327</v>
      </c>
      <c r="C23155" t="s">
        <v>266</v>
      </c>
      <c r="D23155" t="s">
        <v>56</v>
      </c>
      <c r="E23155" t="s">
        <v>43</v>
      </c>
      <c r="F23155" s="2" t="str">
        <f>HYPERLINK("http://www.otzar.org/book.asp?189513","מי מיכל")</f>
        <v>מי מיכל</v>
      </c>
    </row>
    <row r="23156" spans="1:6" x14ac:dyDescent="0.2">
      <c r="A23156" t="s">
        <v>37328</v>
      </c>
      <c r="B23156" t="s">
        <v>5115</v>
      </c>
      <c r="C23156" t="s">
        <v>6052</v>
      </c>
      <c r="D23156" t="s">
        <v>283</v>
      </c>
      <c r="E23156" t="s">
        <v>104</v>
      </c>
      <c r="F23156" s="2" t="str">
        <f>HYPERLINK("http://www.otzar.org/book.asp?189512","מי מלא")</f>
        <v>מי מלא</v>
      </c>
    </row>
    <row r="23157" spans="1:6" x14ac:dyDescent="0.2">
      <c r="A23157" t="s">
        <v>37329</v>
      </c>
      <c r="B23157" t="s">
        <v>37330</v>
      </c>
      <c r="C23157" t="s">
        <v>422</v>
      </c>
      <c r="D23157" t="s">
        <v>27</v>
      </c>
      <c r="E23157" t="s">
        <v>158</v>
      </c>
      <c r="F23157" s="2" t="str">
        <f>HYPERLINK("http://www.otzar.org/book.asp?154643","מי מנוחות &lt;מהדורה חדשה&gt; - 2 כר'")</f>
        <v>מי מנוחות &lt;מהדורה חדשה&gt; - 2 כר'</v>
      </c>
    </row>
    <row r="23158" spans="1:6" x14ac:dyDescent="0.2">
      <c r="A23158" t="s">
        <v>37331</v>
      </c>
      <c r="B23158" t="s">
        <v>37330</v>
      </c>
      <c r="C23158" t="s">
        <v>1228</v>
      </c>
      <c r="D23158" t="s">
        <v>14</v>
      </c>
      <c r="E23158" t="s">
        <v>158</v>
      </c>
      <c r="F23158" s="2" t="str">
        <f>HYPERLINK("http://www.otzar.org/book.asp?177161","מי מנוחות")</f>
        <v>מי מנוחות</v>
      </c>
    </row>
    <row r="23159" spans="1:6" x14ac:dyDescent="0.2">
      <c r="A23159" t="s">
        <v>37332</v>
      </c>
      <c r="B23159" t="s">
        <v>37333</v>
      </c>
      <c r="C23159" t="s">
        <v>68</v>
      </c>
      <c r="D23159" t="s">
        <v>14</v>
      </c>
      <c r="E23159" t="s">
        <v>144</v>
      </c>
      <c r="F23159" s="2" t="str">
        <f>HYPERLINK("http://www.otzar.org/book.asp?85800","מי מנוחות - 16 כר'")</f>
        <v>מי מנוחות - 16 כר'</v>
      </c>
    </row>
    <row r="23160" spans="1:6" x14ac:dyDescent="0.2">
      <c r="A23160" t="s">
        <v>37331</v>
      </c>
      <c r="B23160" t="s">
        <v>7757</v>
      </c>
      <c r="C23160" t="s">
        <v>550</v>
      </c>
      <c r="D23160" t="s">
        <v>27</v>
      </c>
      <c r="E23160" t="s">
        <v>130</v>
      </c>
      <c r="F23160" s="2" t="str">
        <f>HYPERLINK("http://www.otzar.org/book.asp?189511","מי מנוחות")</f>
        <v>מי מנוחות</v>
      </c>
    </row>
    <row r="23161" spans="1:6" x14ac:dyDescent="0.2">
      <c r="A23161" t="s">
        <v>37331</v>
      </c>
      <c r="B23161" t="s">
        <v>8315</v>
      </c>
      <c r="C23161" t="s">
        <v>503</v>
      </c>
      <c r="D23161" t="s">
        <v>1422</v>
      </c>
      <c r="E23161" t="s">
        <v>241</v>
      </c>
      <c r="F23161" s="2" t="str">
        <f>HYPERLINK("http://www.otzar.org/book.asp?102415","מי מנוחות")</f>
        <v>מי מנוחות</v>
      </c>
    </row>
    <row r="23162" spans="1:6" x14ac:dyDescent="0.2">
      <c r="A23162" t="s">
        <v>37334</v>
      </c>
      <c r="B23162" t="s">
        <v>33986</v>
      </c>
      <c r="C23162" t="s">
        <v>422</v>
      </c>
      <c r="D23162" t="s">
        <v>52</v>
      </c>
      <c r="E23162" t="s">
        <v>144</v>
      </c>
      <c r="F23162" s="2" t="str">
        <f>HYPERLINK("http://www.otzar.org/book.asp?149540","מי מנוחות - 11 כר'")</f>
        <v>מי מנוחות - 11 כר'</v>
      </c>
    </row>
    <row r="23163" spans="1:6" x14ac:dyDescent="0.2">
      <c r="A23163" t="s">
        <v>37335</v>
      </c>
      <c r="B23163" t="s">
        <v>37336</v>
      </c>
      <c r="C23163" t="s">
        <v>332</v>
      </c>
      <c r="D23163" t="s">
        <v>3508</v>
      </c>
      <c r="E23163" t="s">
        <v>158</v>
      </c>
      <c r="F23163" s="2" t="str">
        <f>HYPERLINK("http://www.otzar.org/book.asp?157440","מי מנחות")</f>
        <v>מי מנחות</v>
      </c>
    </row>
    <row r="23164" spans="1:6" x14ac:dyDescent="0.2">
      <c r="A23164" t="s">
        <v>37337</v>
      </c>
      <c r="B23164" t="s">
        <v>37338</v>
      </c>
      <c r="C23164" t="s">
        <v>360</v>
      </c>
      <c r="D23164" t="s">
        <v>225</v>
      </c>
      <c r="E23164" t="s">
        <v>37339</v>
      </c>
      <c r="F23164" s="2" t="str">
        <f>HYPERLINK("http://www.otzar.org/book.asp?200195","מי מעין")</f>
        <v>מי מעין</v>
      </c>
    </row>
    <row r="23165" spans="1:6" x14ac:dyDescent="0.2">
      <c r="A23165" t="s">
        <v>37337</v>
      </c>
      <c r="B23165" t="s">
        <v>37340</v>
      </c>
      <c r="C23165" t="s">
        <v>1640</v>
      </c>
      <c r="D23165" t="s">
        <v>1180</v>
      </c>
      <c r="E23165" t="s">
        <v>148</v>
      </c>
      <c r="F23165" s="2" t="str">
        <f>HYPERLINK("http://www.otzar.org/book.asp?8261","מי מעין")</f>
        <v>מי מעין</v>
      </c>
    </row>
    <row r="23166" spans="1:6" x14ac:dyDescent="0.2">
      <c r="A23166" t="s">
        <v>37341</v>
      </c>
      <c r="B23166" t="s">
        <v>37342</v>
      </c>
      <c r="C23166" t="s">
        <v>133</v>
      </c>
      <c r="D23166" t="s">
        <v>14</v>
      </c>
      <c r="E23166" t="s">
        <v>158</v>
      </c>
      <c r="F23166" s="2" t="str">
        <f>HYPERLINK("http://www.otzar.org/book.asp?179705","מי מעינות - 4 כר'")</f>
        <v>מי מעינות - 4 כר'</v>
      </c>
    </row>
    <row r="23167" spans="1:6" x14ac:dyDescent="0.2">
      <c r="A23167" t="s">
        <v>37343</v>
      </c>
      <c r="B23167" t="s">
        <v>10119</v>
      </c>
      <c r="C23167" t="s">
        <v>585</v>
      </c>
      <c r="D23167" t="s">
        <v>27</v>
      </c>
      <c r="E23167" t="s">
        <v>674</v>
      </c>
      <c r="F23167" s="2" t="str">
        <f>HYPERLINK("http://www.otzar.org/book.asp?61223","מי מרום - 20 כר'")</f>
        <v>מי מרום - 20 כר'</v>
      </c>
    </row>
    <row r="23168" spans="1:6" x14ac:dyDescent="0.2">
      <c r="A23168" t="s">
        <v>37344</v>
      </c>
      <c r="B23168" t="s">
        <v>37345</v>
      </c>
      <c r="C23168" t="s">
        <v>496</v>
      </c>
      <c r="D23168" t="s">
        <v>307</v>
      </c>
      <c r="E23168" t="s">
        <v>15</v>
      </c>
      <c r="F23168" s="2" t="str">
        <f>HYPERLINK("http://www.otzar.org/book.asp?189510","מי מרום")</f>
        <v>מי מרום</v>
      </c>
    </row>
    <row r="23169" spans="1:6" x14ac:dyDescent="0.2">
      <c r="A23169" t="s">
        <v>37344</v>
      </c>
      <c r="B23169" t="s">
        <v>2396</v>
      </c>
      <c r="C23169" t="s">
        <v>366</v>
      </c>
      <c r="D23169" t="s">
        <v>1076</v>
      </c>
      <c r="E23169" t="s">
        <v>144</v>
      </c>
      <c r="F23169" s="2" t="str">
        <f>HYPERLINK("http://www.otzar.org/book.asp?618406","מי מרום")</f>
        <v>מי מרום</v>
      </c>
    </row>
    <row r="23170" spans="1:6" x14ac:dyDescent="0.2">
      <c r="A23170" t="s">
        <v>37346</v>
      </c>
      <c r="B23170" t="s">
        <v>37347</v>
      </c>
      <c r="D23170" t="s">
        <v>21</v>
      </c>
      <c r="E23170" t="s">
        <v>158</v>
      </c>
      <c r="F23170" s="2" t="str">
        <f>HYPERLINK("http://www.otzar.org/book.asp?192179","מי משה")</f>
        <v>מי משה</v>
      </c>
    </row>
    <row r="23171" spans="1:6" x14ac:dyDescent="0.2">
      <c r="A23171" t="s">
        <v>37348</v>
      </c>
      <c r="B23171" t="s">
        <v>305</v>
      </c>
      <c r="C23171" t="s">
        <v>282</v>
      </c>
      <c r="D23171" t="s">
        <v>60</v>
      </c>
      <c r="E23171" t="s">
        <v>803</v>
      </c>
      <c r="F23171" s="2" t="str">
        <f>HYPERLINK("http://www.otzar.org/book.asp?9130","מי נדה")</f>
        <v>מי נדה</v>
      </c>
    </row>
    <row r="23172" spans="1:6" x14ac:dyDescent="0.2">
      <c r="A23172" t="s">
        <v>37349</v>
      </c>
      <c r="B23172" t="s">
        <v>37350</v>
      </c>
      <c r="C23172" t="s">
        <v>496</v>
      </c>
      <c r="D23172" t="s">
        <v>283</v>
      </c>
      <c r="E23172" t="s">
        <v>144</v>
      </c>
      <c r="F23172" s="2" t="str">
        <f>HYPERLINK("http://www.otzar.org/book.asp?24803","מי נח")</f>
        <v>מי נח</v>
      </c>
    </row>
    <row r="23173" spans="1:6" x14ac:dyDescent="0.2">
      <c r="A23173" t="s">
        <v>37349</v>
      </c>
      <c r="B23173" t="s">
        <v>37351</v>
      </c>
      <c r="C23173" t="s">
        <v>1166</v>
      </c>
      <c r="D23173" t="s">
        <v>726</v>
      </c>
      <c r="E23173" t="s">
        <v>158</v>
      </c>
      <c r="F23173" s="2" t="str">
        <f>HYPERLINK("http://www.otzar.org/book.asp?24804","מי נח")</f>
        <v>מי נח</v>
      </c>
    </row>
    <row r="23174" spans="1:6" x14ac:dyDescent="0.2">
      <c r="A23174" t="s">
        <v>37349</v>
      </c>
      <c r="B23174" t="s">
        <v>37352</v>
      </c>
      <c r="C23174" t="s">
        <v>2543</v>
      </c>
      <c r="D23174" t="s">
        <v>855</v>
      </c>
      <c r="E23174" t="s">
        <v>158</v>
      </c>
      <c r="F23174" s="2" t="str">
        <f>HYPERLINK("http://www.otzar.org/book.asp?189509","מי נח")</f>
        <v>מי נח</v>
      </c>
    </row>
    <row r="23175" spans="1:6" x14ac:dyDescent="0.2">
      <c r="A23175" t="s">
        <v>37349</v>
      </c>
      <c r="B23175" t="s">
        <v>37353</v>
      </c>
      <c r="C23175" t="s">
        <v>728</v>
      </c>
      <c r="D23175" t="s">
        <v>56</v>
      </c>
      <c r="E23175" t="s">
        <v>588</v>
      </c>
      <c r="F23175" s="2" t="str">
        <f>HYPERLINK("http://www.otzar.org/book.asp?19070","מי נח")</f>
        <v>מי נח</v>
      </c>
    </row>
    <row r="23176" spans="1:6" x14ac:dyDescent="0.2">
      <c r="A23176" t="s">
        <v>37354</v>
      </c>
      <c r="B23176" t="s">
        <v>37355</v>
      </c>
      <c r="C23176" t="s">
        <v>143</v>
      </c>
      <c r="D23176" t="s">
        <v>52</v>
      </c>
      <c r="E23176" t="s">
        <v>144</v>
      </c>
      <c r="F23176" s="2" t="str">
        <f>HYPERLINK("http://www.otzar.org/book.asp?23559","מי נחל - שבועות")</f>
        <v>מי נחל - שבועות</v>
      </c>
    </row>
    <row r="23177" spans="1:6" x14ac:dyDescent="0.2">
      <c r="A23177" t="s">
        <v>37356</v>
      </c>
      <c r="B23177" t="s">
        <v>5139</v>
      </c>
      <c r="C23177" t="s">
        <v>1619</v>
      </c>
      <c r="D23177" t="s">
        <v>14</v>
      </c>
      <c r="E23177" t="s">
        <v>15</v>
      </c>
      <c r="F23177" s="2" t="str">
        <f>HYPERLINK("http://www.otzar.org/book.asp?9134","מי נפתוח &lt;אמנה, פרפר&gt; - 2 כר'")</f>
        <v>מי נפתוח &lt;אמנה, פרפר&gt; - 2 כר'</v>
      </c>
    </row>
    <row r="23178" spans="1:6" x14ac:dyDescent="0.2">
      <c r="A23178" t="s">
        <v>37357</v>
      </c>
      <c r="B23178" t="s">
        <v>13659</v>
      </c>
      <c r="C23178" t="s">
        <v>581</v>
      </c>
      <c r="D23178" t="s">
        <v>5615</v>
      </c>
      <c r="E23178" t="s">
        <v>144</v>
      </c>
      <c r="F23178" s="2" t="str">
        <f>HYPERLINK("http://www.otzar.org/book.asp?7089","מי נפתוח")</f>
        <v>מי נפתוח</v>
      </c>
    </row>
    <row r="23179" spans="1:6" x14ac:dyDescent="0.2">
      <c r="A23179" t="s">
        <v>37358</v>
      </c>
      <c r="B23179" t="s">
        <v>15342</v>
      </c>
      <c r="C23179" t="s">
        <v>843</v>
      </c>
      <c r="D23179" t="s">
        <v>9</v>
      </c>
      <c r="E23179" t="s">
        <v>1377</v>
      </c>
      <c r="F23179" s="2" t="str">
        <f>HYPERLINK("http://www.otzar.org/book.asp?14777","מי נתן למשיסה יעקב וישראל לבוזזים")</f>
        <v>מי נתן למשיסה יעקב וישראל לבוזזים</v>
      </c>
    </row>
    <row r="23180" spans="1:6" x14ac:dyDescent="0.2">
      <c r="A23180" t="s">
        <v>37359</v>
      </c>
      <c r="B23180" t="s">
        <v>37360</v>
      </c>
      <c r="C23180" t="s">
        <v>114</v>
      </c>
      <c r="D23180" t="s">
        <v>486</v>
      </c>
      <c r="E23180" t="s">
        <v>15</v>
      </c>
      <c r="F23180" s="2" t="str">
        <f>HYPERLINK("http://www.otzar.org/book.asp?605536","מי פנחס")</f>
        <v>מי פנחס</v>
      </c>
    </row>
    <row r="23181" spans="1:6" x14ac:dyDescent="0.2">
      <c r="A23181" t="s">
        <v>37361</v>
      </c>
      <c r="B23181" t="s">
        <v>13424</v>
      </c>
      <c r="C23181" t="s">
        <v>1388</v>
      </c>
      <c r="D23181" t="s">
        <v>52</v>
      </c>
      <c r="E23181" t="s">
        <v>148</v>
      </c>
      <c r="F23181" s="2" t="str">
        <f>HYPERLINK("http://www.otzar.org/book.asp?8289","מי רביעית")</f>
        <v>מי רביעית</v>
      </c>
    </row>
    <row r="23182" spans="1:6" x14ac:dyDescent="0.2">
      <c r="A23182" t="s">
        <v>37362</v>
      </c>
      <c r="B23182" t="s">
        <v>10617</v>
      </c>
      <c r="C23182" t="s">
        <v>133</v>
      </c>
      <c r="D23182" t="s">
        <v>2285</v>
      </c>
      <c r="E23182" t="s">
        <v>15</v>
      </c>
      <c r="F23182" s="2" t="str">
        <f>HYPERLINK("http://www.otzar.org/book.asp?602784","מי שברך")</f>
        <v>מי שברך</v>
      </c>
    </row>
    <row r="23183" spans="1:6" x14ac:dyDescent="0.2">
      <c r="A23183" t="s">
        <v>37363</v>
      </c>
      <c r="B23183" t="s">
        <v>37364</v>
      </c>
      <c r="C23183" t="s">
        <v>1718</v>
      </c>
      <c r="D23183" t="s">
        <v>283</v>
      </c>
      <c r="F23183" s="2" t="str">
        <f>HYPERLINK("http://www.otzar.org/book.asp?600921","מי שלמה (קונטרס הוספות)")</f>
        <v>מי שלמה (קונטרס הוספות)</v>
      </c>
    </row>
    <row r="23184" spans="1:6" x14ac:dyDescent="0.2">
      <c r="A23184" t="s">
        <v>37365</v>
      </c>
      <c r="B23184" t="s">
        <v>37364</v>
      </c>
      <c r="C23184" t="s">
        <v>1718</v>
      </c>
      <c r="D23184" t="s">
        <v>283</v>
      </c>
      <c r="E23184" t="s">
        <v>2647</v>
      </c>
      <c r="F23184" s="2" t="str">
        <f>HYPERLINK("http://www.otzar.org/book.asp?459","מי שלמה")</f>
        <v>מי שלמה</v>
      </c>
    </row>
    <row r="23185" spans="1:6" x14ac:dyDescent="0.2">
      <c r="A23185" t="s">
        <v>37365</v>
      </c>
      <c r="B23185" t="s">
        <v>37366</v>
      </c>
      <c r="C23185" t="s">
        <v>422</v>
      </c>
      <c r="D23185" t="s">
        <v>245</v>
      </c>
      <c r="E23185" t="s">
        <v>12306</v>
      </c>
      <c r="F23185" s="2" t="str">
        <f>HYPERLINK("http://www.otzar.org/book.asp?166504","מי שלמה")</f>
        <v>מי שלמה</v>
      </c>
    </row>
    <row r="23186" spans="1:6" x14ac:dyDescent="0.2">
      <c r="A23186" t="s">
        <v>37367</v>
      </c>
      <c r="B23186" t="s">
        <v>37368</v>
      </c>
      <c r="C23186" t="s">
        <v>180</v>
      </c>
      <c r="D23186" t="s">
        <v>14</v>
      </c>
      <c r="E23186" t="s">
        <v>1377</v>
      </c>
      <c r="F23186" s="2" t="str">
        <f>HYPERLINK("http://www.otzar.org/book.asp?11407","מי שם קץ למערכה?")</f>
        <v>מי שם קץ למערכה?</v>
      </c>
    </row>
    <row r="23187" spans="1:6" x14ac:dyDescent="0.2">
      <c r="A23187" t="s">
        <v>37369</v>
      </c>
      <c r="B23187" t="s">
        <v>37364</v>
      </c>
      <c r="C23187" t="s">
        <v>1437</v>
      </c>
      <c r="D23187" t="s">
        <v>283</v>
      </c>
      <c r="E23187" t="s">
        <v>15</v>
      </c>
      <c r="F23187" s="2" t="str">
        <f>HYPERLINK("http://www.otzar.org/book.asp?153312","מי ששון")</f>
        <v>מי ששון</v>
      </c>
    </row>
    <row r="23188" spans="1:6" x14ac:dyDescent="0.2">
      <c r="A23188" t="s">
        <v>37370</v>
      </c>
      <c r="B23188" t="s">
        <v>7184</v>
      </c>
      <c r="C23188" t="s">
        <v>1268</v>
      </c>
      <c r="D23188" t="s">
        <v>52</v>
      </c>
      <c r="E23188" t="s">
        <v>104</v>
      </c>
      <c r="F23188" s="2" t="str">
        <f>HYPERLINK("http://www.otzar.org/book.asp?159421","מיאוש לנחמה")</f>
        <v>מיאוש לנחמה</v>
      </c>
    </row>
    <row r="23189" spans="1:6" x14ac:dyDescent="0.2">
      <c r="A23189" t="s">
        <v>37371</v>
      </c>
      <c r="B23189" t="s">
        <v>37372</v>
      </c>
      <c r="C23189" t="s">
        <v>366</v>
      </c>
      <c r="D23189" t="s">
        <v>21</v>
      </c>
      <c r="E23189" t="s">
        <v>158</v>
      </c>
      <c r="F23189" s="2" t="str">
        <f>HYPERLINK("http://www.otzar.org/book.asp?628128","מיבול הארץ - 2 כר'")</f>
        <v>מיבול הארץ - 2 כר'</v>
      </c>
    </row>
    <row r="23190" spans="1:6" x14ac:dyDescent="0.2">
      <c r="A23190" t="s">
        <v>37373</v>
      </c>
      <c r="B23190" t="s">
        <v>19887</v>
      </c>
      <c r="C23190" t="s">
        <v>3957</v>
      </c>
      <c r="D23190" t="s">
        <v>76</v>
      </c>
      <c r="E23190" t="s">
        <v>15</v>
      </c>
      <c r="F23190" s="2" t="str">
        <f>HYPERLINK("http://www.otzar.org/book.asp?102807","מיגון לשמחה")</f>
        <v>מיגון לשמחה</v>
      </c>
    </row>
    <row r="23191" spans="1:6" x14ac:dyDescent="0.2">
      <c r="A23191" t="s">
        <v>37374</v>
      </c>
      <c r="B23191" t="s">
        <v>28220</v>
      </c>
      <c r="C23191" t="s">
        <v>23</v>
      </c>
      <c r="D23191" t="s">
        <v>52</v>
      </c>
      <c r="E23191" t="s">
        <v>158</v>
      </c>
      <c r="F23191" s="2" t="str">
        <f>HYPERLINK("http://www.otzar.org/book.asp?193819","מיד מלכים - 2 כר'")</f>
        <v>מיד מלכים - 2 כר'</v>
      </c>
    </row>
    <row r="23192" spans="1:6" x14ac:dyDescent="0.2">
      <c r="A23192" t="s">
        <v>37375</v>
      </c>
      <c r="B23192" t="s">
        <v>37376</v>
      </c>
      <c r="C23192" t="s">
        <v>585</v>
      </c>
      <c r="D23192" t="s">
        <v>90</v>
      </c>
      <c r="E23192" t="s">
        <v>104</v>
      </c>
      <c r="F23192" s="2" t="str">
        <f>HYPERLINK("http://www.otzar.org/book.asp?163266","מידה כנגד מידה - תוספות ודיוקים")</f>
        <v>מידה כנגד מידה - תוספות ודיוקים</v>
      </c>
    </row>
    <row r="23193" spans="1:6" x14ac:dyDescent="0.2">
      <c r="A23193" t="s">
        <v>37377</v>
      </c>
      <c r="B23193" t="s">
        <v>32015</v>
      </c>
      <c r="C23193" t="s">
        <v>383</v>
      </c>
      <c r="D23193" t="s">
        <v>14</v>
      </c>
      <c r="E23193" t="s">
        <v>43</v>
      </c>
      <c r="F23193" s="2" t="str">
        <f>HYPERLINK("http://www.otzar.org/book.asp?25497","מידות אהרן - על ברייתא דרבי ישמעאל")</f>
        <v>מידות אהרן - על ברייתא דרבי ישמעאל</v>
      </c>
    </row>
    <row r="23194" spans="1:6" x14ac:dyDescent="0.2">
      <c r="A23194" t="s">
        <v>37378</v>
      </c>
      <c r="B23194" t="s">
        <v>1383</v>
      </c>
      <c r="C23194" t="s">
        <v>1570</v>
      </c>
      <c r="D23194" t="s">
        <v>14</v>
      </c>
      <c r="E23194" t="s">
        <v>104</v>
      </c>
      <c r="F23194" s="2" t="str">
        <f>HYPERLINK("http://www.otzar.org/book.asp?60084","מידות בית המקדש של הורדוס")</f>
        <v>מידות בית המקדש של הורדוס</v>
      </c>
    </row>
    <row r="23195" spans="1:6" x14ac:dyDescent="0.2">
      <c r="A23195" t="s">
        <v>37379</v>
      </c>
      <c r="B23195" t="s">
        <v>1614</v>
      </c>
      <c r="C23195" t="s">
        <v>383</v>
      </c>
      <c r="D23195" t="s">
        <v>216</v>
      </c>
      <c r="E23195" t="s">
        <v>213</v>
      </c>
      <c r="F23195" s="2" t="str">
        <f>HYPERLINK("http://www.otzar.org/book.asp?148879","מידות ומעשים")</f>
        <v>מידות ומעשים</v>
      </c>
    </row>
    <row r="23196" spans="1:6" x14ac:dyDescent="0.2">
      <c r="A23196" t="s">
        <v>37380</v>
      </c>
      <c r="B23196" t="s">
        <v>37381</v>
      </c>
      <c r="C23196" t="s">
        <v>785</v>
      </c>
      <c r="D23196" t="s">
        <v>14</v>
      </c>
      <c r="E23196" t="s">
        <v>43</v>
      </c>
      <c r="F23196" s="2" t="str">
        <f>HYPERLINK("http://www.otzar.org/book.asp?152584","מידות טובות - פירוש המכילתא מסכתא דפסחא")</f>
        <v>מידות טובות - פירוש המכילתא מסכתא דפסחא</v>
      </c>
    </row>
    <row r="23197" spans="1:6" x14ac:dyDescent="0.2">
      <c r="A23197" t="s">
        <v>37382</v>
      </c>
      <c r="B23197" t="s">
        <v>5846</v>
      </c>
      <c r="C23197" t="s">
        <v>1388</v>
      </c>
      <c r="D23197" t="s">
        <v>216</v>
      </c>
      <c r="E23197" t="s">
        <v>241</v>
      </c>
      <c r="F23197" s="2" t="str">
        <f>HYPERLINK("http://www.otzar.org/book.asp?604393","מידות שבין אדם לחבירו")</f>
        <v>מידות שבין אדם לחבירו</v>
      </c>
    </row>
    <row r="23198" spans="1:6" x14ac:dyDescent="0.2">
      <c r="A23198" t="s">
        <v>37383</v>
      </c>
      <c r="B23198" t="s">
        <v>36411</v>
      </c>
      <c r="C23198" t="s">
        <v>366</v>
      </c>
      <c r="D23198" t="s">
        <v>52</v>
      </c>
      <c r="E23198" t="s">
        <v>15</v>
      </c>
      <c r="F23198" s="2" t="str">
        <f>HYPERLINK("http://www.otzar.org/book.asp?623591","מידע לשידוכים")</f>
        <v>מידע לשידוכים</v>
      </c>
    </row>
    <row r="23199" spans="1:6" x14ac:dyDescent="0.2">
      <c r="A23199" t="s">
        <v>37384</v>
      </c>
      <c r="B23199" t="s">
        <v>6987</v>
      </c>
      <c r="C23199" t="s">
        <v>989</v>
      </c>
      <c r="D23199" t="s">
        <v>90</v>
      </c>
      <c r="E23199" t="s">
        <v>241</v>
      </c>
      <c r="F23199" s="2" t="str">
        <f>HYPERLINK("http://www.otzar.org/book.asp?61964","מיהו יהודי בעיני התנ""ך")</f>
        <v>מיהו יהודי בעיני התנ"ך</v>
      </c>
    </row>
    <row r="23200" spans="1:6" x14ac:dyDescent="0.2">
      <c r="A23200" t="s">
        <v>37385</v>
      </c>
      <c r="B23200" t="s">
        <v>3549</v>
      </c>
      <c r="C23200" t="s">
        <v>466</v>
      </c>
      <c r="D23200" t="s">
        <v>486</v>
      </c>
      <c r="E23200" t="s">
        <v>15</v>
      </c>
      <c r="F23200" s="2" t="str">
        <f>HYPERLINK("http://www.otzar.org/book.asp?53677","מיוסף עד יוסף")</f>
        <v>מיוסף עד יוסף</v>
      </c>
    </row>
    <row r="23201" spans="1:6" x14ac:dyDescent="0.2">
      <c r="A23201" t="s">
        <v>37386</v>
      </c>
      <c r="B23201" t="s">
        <v>37387</v>
      </c>
      <c r="C23201" t="s">
        <v>244</v>
      </c>
      <c r="D23201" t="s">
        <v>52</v>
      </c>
      <c r="F23201" s="2" t="str">
        <f>HYPERLINK("http://www.otzar.org/book.asp?618838","מיוסף עד יוסף - 2 כר'")</f>
        <v>מיוסף עד יוסף - 2 כר'</v>
      </c>
    </row>
    <row r="23202" spans="1:6" x14ac:dyDescent="0.2">
      <c r="A23202" t="s">
        <v>37388</v>
      </c>
      <c r="B23202" t="s">
        <v>37389</v>
      </c>
      <c r="C23202" t="s">
        <v>553</v>
      </c>
      <c r="D23202" t="s">
        <v>14</v>
      </c>
      <c r="E23202" t="s">
        <v>119</v>
      </c>
      <c r="F23202" s="2" t="str">
        <f>HYPERLINK("http://www.otzar.org/book.asp?142640","מיזד לארץ הקדש")</f>
        <v>מיזד לארץ הקדש</v>
      </c>
    </row>
    <row r="23203" spans="1:6" x14ac:dyDescent="0.2">
      <c r="A23203" t="s">
        <v>37390</v>
      </c>
      <c r="B23203" t="s">
        <v>1363</v>
      </c>
      <c r="C23203" t="s">
        <v>1166</v>
      </c>
      <c r="D23203" t="s">
        <v>56</v>
      </c>
      <c r="E23203" t="s">
        <v>241</v>
      </c>
      <c r="F23203" s="2" t="str">
        <f>HYPERLINK("http://www.otzar.org/book.asp?6461","מיטב הגיון - 2 כר'")</f>
        <v>מיטב הגיון - 2 כר'</v>
      </c>
    </row>
    <row r="23204" spans="1:6" x14ac:dyDescent="0.2">
      <c r="A23204" t="s">
        <v>37391</v>
      </c>
      <c r="B23204" t="s">
        <v>37392</v>
      </c>
      <c r="C23204" t="s">
        <v>68</v>
      </c>
      <c r="D23204" t="s">
        <v>14</v>
      </c>
      <c r="E23204" t="s">
        <v>144</v>
      </c>
      <c r="F23204" s="2" t="str">
        <f>HYPERLINK("http://www.otzar.org/book.asp?154274","מיין הרקח")</f>
        <v>מיין הרקח</v>
      </c>
    </row>
    <row r="23205" spans="1:6" x14ac:dyDescent="0.2">
      <c r="A23205" t="s">
        <v>37393</v>
      </c>
      <c r="B23205" t="s">
        <v>107</v>
      </c>
      <c r="C23205" t="s">
        <v>20</v>
      </c>
      <c r="D23205" t="s">
        <v>14</v>
      </c>
      <c r="E23205" t="s">
        <v>920</v>
      </c>
      <c r="F23205" s="2" t="str">
        <f>HYPERLINK("http://www.otzar.org/book.asp?6229","מייסדי התלמוד - חותמי התלמוד")</f>
        <v>מייסדי התלמוד - חותמי התלמוד</v>
      </c>
    </row>
    <row r="23206" spans="1:6" x14ac:dyDescent="0.2">
      <c r="A23206" t="s">
        <v>37394</v>
      </c>
      <c r="B23206" t="s">
        <v>37395</v>
      </c>
      <c r="C23206" t="s">
        <v>1310</v>
      </c>
      <c r="D23206" t="s">
        <v>267</v>
      </c>
      <c r="E23206" t="s">
        <v>241</v>
      </c>
      <c r="F23206" s="2" t="str">
        <f>HYPERLINK("http://www.otzar.org/book.asp?189508","מיישר תועי דרך")</f>
        <v>מיישר תועי דרך</v>
      </c>
    </row>
    <row r="23207" spans="1:6" x14ac:dyDescent="0.2">
      <c r="A23207" t="s">
        <v>37396</v>
      </c>
      <c r="B23207" t="s">
        <v>37397</v>
      </c>
      <c r="C23207" t="s">
        <v>37</v>
      </c>
      <c r="D23207" t="s">
        <v>412</v>
      </c>
      <c r="F23207" s="2" t="str">
        <f>HYPERLINK("http://www.otzar.org/book.asp?194028","מיכאל באחת")</f>
        <v>מיכאל באחת</v>
      </c>
    </row>
    <row r="23208" spans="1:6" x14ac:dyDescent="0.2">
      <c r="A23208" t="s">
        <v>37398</v>
      </c>
      <c r="B23208" t="s">
        <v>37399</v>
      </c>
      <c r="C23208" t="s">
        <v>37400</v>
      </c>
      <c r="D23208" t="s">
        <v>216</v>
      </c>
      <c r="F23208" s="2" t="str">
        <f>HYPERLINK("http://www.otzar.org/book.asp?607081","מיכאל - 14 כר'")</f>
        <v>מיכאל - 14 כר'</v>
      </c>
    </row>
    <row r="23209" spans="1:6" x14ac:dyDescent="0.2">
      <c r="A23209" t="s">
        <v>37401</v>
      </c>
      <c r="B23209" t="s">
        <v>17500</v>
      </c>
      <c r="C23209" t="s">
        <v>20</v>
      </c>
      <c r="D23209" t="s">
        <v>90</v>
      </c>
      <c r="F23209" s="2" t="str">
        <f>HYPERLINK("http://www.otzar.org/book.asp?616703","מיכל המים - על הירושלמי (מועד נשים)")</f>
        <v>מיכל המים - על הירושלמי (מועד נשים)</v>
      </c>
    </row>
    <row r="23210" spans="1:6" x14ac:dyDescent="0.2">
      <c r="A23210" t="s">
        <v>37402</v>
      </c>
      <c r="B23210" t="s">
        <v>37403</v>
      </c>
      <c r="C23210" t="s">
        <v>1166</v>
      </c>
      <c r="D23210" t="s">
        <v>27</v>
      </c>
      <c r="E23210" t="s">
        <v>241</v>
      </c>
      <c r="F23210" s="2" t="str">
        <f>HYPERLINK("http://www.otzar.org/book.asp?23707","מיכל המים")</f>
        <v>מיכל המים</v>
      </c>
    </row>
    <row r="23211" spans="1:6" x14ac:dyDescent="0.2">
      <c r="A23211" t="s">
        <v>37404</v>
      </c>
      <c r="B23211" t="s">
        <v>37403</v>
      </c>
      <c r="C23211" t="s">
        <v>37405</v>
      </c>
      <c r="D23211" t="s">
        <v>27</v>
      </c>
      <c r="E23211" t="s">
        <v>158</v>
      </c>
      <c r="F23211" s="2" t="str">
        <f>HYPERLINK("http://www.otzar.org/book.asp?150034","מיכל מים חיים - 3 כר'")</f>
        <v>מיכל מים חיים - 3 כר'</v>
      </c>
    </row>
    <row r="23212" spans="1:6" x14ac:dyDescent="0.2">
      <c r="A23212" t="s">
        <v>37406</v>
      </c>
      <c r="B23212" t="s">
        <v>22260</v>
      </c>
      <c r="C23212" t="s">
        <v>558</v>
      </c>
      <c r="D23212" t="s">
        <v>283</v>
      </c>
      <c r="E23212" t="s">
        <v>4940</v>
      </c>
      <c r="F23212" s="2" t="str">
        <f>HYPERLINK("http://www.otzar.org/book.asp?11486","מיכל מים - ד (במדבר)")</f>
        <v>מיכל מים - ד (במדבר)</v>
      </c>
    </row>
    <row r="23213" spans="1:6" x14ac:dyDescent="0.2">
      <c r="A23213" t="s">
        <v>37407</v>
      </c>
      <c r="B23213" t="s">
        <v>257</v>
      </c>
      <c r="C23213" t="s">
        <v>624</v>
      </c>
      <c r="D23213" t="s">
        <v>486</v>
      </c>
      <c r="E23213" t="s">
        <v>15</v>
      </c>
      <c r="F23213" s="2" t="str">
        <f>HYPERLINK("http://www.otzar.org/book.asp?53639","מילה ופדיון כהלכה")</f>
        <v>מילה ופדיון כהלכה</v>
      </c>
    </row>
    <row r="23214" spans="1:6" x14ac:dyDescent="0.2">
      <c r="A23214" t="s">
        <v>37408</v>
      </c>
      <c r="B23214" t="s">
        <v>37409</v>
      </c>
      <c r="C23214" t="s">
        <v>68</v>
      </c>
      <c r="D23214" t="s">
        <v>14</v>
      </c>
      <c r="E23214" t="s">
        <v>148</v>
      </c>
      <c r="F23214" s="2" t="str">
        <f>HYPERLINK("http://www.otzar.org/book.asp?165225","מילה כהלכתה")</f>
        <v>מילה כהלכתה</v>
      </c>
    </row>
    <row r="23215" spans="1:6" x14ac:dyDescent="0.2">
      <c r="A23215" t="s">
        <v>37410</v>
      </c>
      <c r="B23215" t="s">
        <v>37411</v>
      </c>
      <c r="C23215" t="s">
        <v>411</v>
      </c>
      <c r="D23215" t="s">
        <v>14</v>
      </c>
      <c r="E23215" t="s">
        <v>15</v>
      </c>
      <c r="F23215" s="2" t="str">
        <f>HYPERLINK("http://www.otzar.org/book.asp?176117","מילה שלמה")</f>
        <v>מילה שלמה</v>
      </c>
    </row>
    <row r="23216" spans="1:6" x14ac:dyDescent="0.2">
      <c r="A23216" t="s">
        <v>37412</v>
      </c>
      <c r="B23216" t="s">
        <v>7259</v>
      </c>
      <c r="C23216" t="s">
        <v>111</v>
      </c>
      <c r="D23216" t="s">
        <v>90</v>
      </c>
      <c r="F23216" s="2" t="str">
        <f>HYPERLINK("http://www.otzar.org/book.asp?612271","מילואים לאפוד - 3 כר'")</f>
        <v>מילואים לאפוד - 3 כר'</v>
      </c>
    </row>
    <row r="23217" spans="1:6" x14ac:dyDescent="0.2">
      <c r="A23217" t="s">
        <v>37413</v>
      </c>
      <c r="B23217" t="s">
        <v>37414</v>
      </c>
      <c r="C23217" t="s">
        <v>20</v>
      </c>
      <c r="D23217" t="s">
        <v>2347</v>
      </c>
      <c r="E23217" t="s">
        <v>144</v>
      </c>
      <c r="F23217" s="2" t="str">
        <f>HYPERLINK("http://www.otzar.org/book.asp?11249","מילואים לתוספות ישנים - יבמות")</f>
        <v>מילואים לתוספות ישנים - יבמות</v>
      </c>
    </row>
    <row r="23218" spans="1:6" x14ac:dyDescent="0.2">
      <c r="A23218" t="s">
        <v>37415</v>
      </c>
      <c r="B23218" t="s">
        <v>37416</v>
      </c>
      <c r="C23218" t="s">
        <v>411</v>
      </c>
      <c r="D23218" t="s">
        <v>147</v>
      </c>
      <c r="E23218" t="s">
        <v>1970</v>
      </c>
      <c r="F23218" s="2" t="str">
        <f>HYPERLINK("http://www.otzar.org/book.asp?168580","מילול נואמו")</f>
        <v>מילול נואמו</v>
      </c>
    </row>
    <row r="23219" spans="1:6" x14ac:dyDescent="0.2">
      <c r="A23219" t="s">
        <v>37417</v>
      </c>
      <c r="B23219" t="s">
        <v>37418</v>
      </c>
      <c r="C23219" t="s">
        <v>17</v>
      </c>
      <c r="D23219" t="s">
        <v>14</v>
      </c>
      <c r="E23219" t="s">
        <v>104</v>
      </c>
      <c r="F23219" s="2" t="str">
        <f>HYPERLINK("http://www.otzar.org/book.asp?149667","מילון ארמי עברי לתלמוד בבלי")</f>
        <v>מילון ארמי עברי לתלמוד בבלי</v>
      </c>
    </row>
    <row r="23220" spans="1:6" x14ac:dyDescent="0.2">
      <c r="A23220" t="s">
        <v>37419</v>
      </c>
      <c r="B23220" t="s">
        <v>37420</v>
      </c>
      <c r="C23220" t="s">
        <v>919</v>
      </c>
      <c r="D23220" t="s">
        <v>14</v>
      </c>
      <c r="E23220" t="s">
        <v>579</v>
      </c>
      <c r="F23220" s="2" t="str">
        <f>HYPERLINK("http://www.otzar.org/book.asp?8739","מילון ארמי עברי לתרגום אנקלוס")</f>
        <v>מילון ארמי עברי לתרגום אנקלוס</v>
      </c>
    </row>
    <row r="23221" spans="1:6" x14ac:dyDescent="0.2">
      <c r="A23221" t="s">
        <v>37421</v>
      </c>
      <c r="B23221" t="s">
        <v>7052</v>
      </c>
      <c r="C23221">
        <v>2014</v>
      </c>
      <c r="D23221" t="s">
        <v>37422</v>
      </c>
      <c r="E23221" t="s">
        <v>104</v>
      </c>
      <c r="F23221" s="2" t="str">
        <f>HYPERLINK("http://www.otzar.org/book.asp?602819","מילון הארמית (כורדית) היהודית המדוברת")</f>
        <v>מילון הארמית (כורדית) היהודית המדוברת</v>
      </c>
    </row>
    <row r="23222" spans="1:6" x14ac:dyDescent="0.2">
      <c r="A23222" t="s">
        <v>37423</v>
      </c>
      <c r="B23222" t="s">
        <v>29172</v>
      </c>
      <c r="C23222">
        <v>1960</v>
      </c>
      <c r="D23222" t="s">
        <v>216</v>
      </c>
      <c r="F23222" s="2" t="str">
        <f>HYPERLINK("http://www.otzar.org/book.asp?610970","מילון ומפתח למדרשי השמות התנכיי""ם באגדה")</f>
        <v>מילון ומפתח למדרשי השמות התנכיי"ם באגדה</v>
      </c>
    </row>
    <row r="23223" spans="1:6" x14ac:dyDescent="0.2">
      <c r="A23223" t="s">
        <v>37424</v>
      </c>
      <c r="B23223" t="s">
        <v>37425</v>
      </c>
      <c r="C23223" t="s">
        <v>1663</v>
      </c>
      <c r="D23223" t="s">
        <v>260</v>
      </c>
      <c r="E23223" t="s">
        <v>104</v>
      </c>
      <c r="F23223" s="2" t="str">
        <f>HYPERLINK("http://www.otzar.org/book.asp?13171","מילון עברי יידי שלם - 2 כר'")</f>
        <v>מילון עברי יידי שלם - 2 כר'</v>
      </c>
    </row>
    <row r="23224" spans="1:6" x14ac:dyDescent="0.2">
      <c r="A23224" t="s">
        <v>37426</v>
      </c>
      <c r="B23224" t="s">
        <v>28566</v>
      </c>
      <c r="C23224" t="s">
        <v>129</v>
      </c>
      <c r="D23224" t="s">
        <v>37427</v>
      </c>
      <c r="E23224" t="s">
        <v>104</v>
      </c>
      <c r="F23224" s="2" t="str">
        <f>HYPERLINK("http://www.otzar.org/book.asp?64373","מילון עברי ערבי בדיאלקט חבאני")</f>
        <v>מילון עברי ערבי בדיאלקט חבאני</v>
      </c>
    </row>
    <row r="23225" spans="1:6" x14ac:dyDescent="0.2">
      <c r="A23225" t="s">
        <v>37428</v>
      </c>
      <c r="B23225" t="s">
        <v>35511</v>
      </c>
      <c r="C23225" t="s">
        <v>609</v>
      </c>
      <c r="D23225" t="s">
        <v>216</v>
      </c>
      <c r="E23225" t="s">
        <v>104</v>
      </c>
      <c r="F23225" s="2" t="str">
        <f>HYPERLINK("http://www.otzar.org/book.asp?147956","מילון עברי ערבי")</f>
        <v>מילון עברי ערבי</v>
      </c>
    </row>
    <row r="23226" spans="1:6" x14ac:dyDescent="0.2">
      <c r="A23226" t="s">
        <v>37429</v>
      </c>
      <c r="B23226" t="s">
        <v>15514</v>
      </c>
      <c r="C23226" t="s">
        <v>624</v>
      </c>
      <c r="D23226" t="s">
        <v>2319</v>
      </c>
      <c r="E23226" t="s">
        <v>104</v>
      </c>
      <c r="F23226" s="2" t="str">
        <f>HYPERLINK("http://www.otzar.org/book.asp?85605","מילון עברי קבלי")</f>
        <v>מילון עברי קבלי</v>
      </c>
    </row>
    <row r="23227" spans="1:6" x14ac:dyDescent="0.2">
      <c r="A23227" t="s">
        <v>37430</v>
      </c>
      <c r="B23227" t="s">
        <v>7052</v>
      </c>
      <c r="C23227" t="s">
        <v>466</v>
      </c>
      <c r="D23227" t="s">
        <v>21</v>
      </c>
      <c r="F23227" s="2" t="str">
        <f>HYPERLINK("http://www.otzar.org/book.asp?602799","מילון עברי - 2 כר'")</f>
        <v>מילון עברי - 2 כר'</v>
      </c>
    </row>
    <row r="23228" spans="1:6" x14ac:dyDescent="0.2">
      <c r="A23228" t="s">
        <v>37431</v>
      </c>
      <c r="B23228" t="s">
        <v>37432</v>
      </c>
      <c r="C23228" t="s">
        <v>20</v>
      </c>
      <c r="D23228" t="s">
        <v>90</v>
      </c>
      <c r="E23228" t="s">
        <v>104</v>
      </c>
      <c r="F23228" s="2" t="str">
        <f>HYPERLINK("http://www.otzar.org/book.asp?618999","מילון רש""י")</f>
        <v>מילון רש"י</v>
      </c>
    </row>
    <row r="23229" spans="1:6" x14ac:dyDescent="0.2">
      <c r="A23229" t="s">
        <v>37433</v>
      </c>
      <c r="B23229" t="s">
        <v>33294</v>
      </c>
      <c r="C23229" t="s">
        <v>8</v>
      </c>
      <c r="D23229" t="s">
        <v>563</v>
      </c>
      <c r="E23229" t="s">
        <v>1211</v>
      </c>
      <c r="F23229" s="2" t="str">
        <f>HYPERLINK("http://www.otzar.org/book.asp?8457","מילון שמושי לתלמוד למדרש ולתרגום - 2 כר'")</f>
        <v>מילון שמושי לתלמוד למדרש ולתרגום - 2 כר'</v>
      </c>
    </row>
    <row r="23230" spans="1:6" x14ac:dyDescent="0.2">
      <c r="A23230" t="s">
        <v>37434</v>
      </c>
      <c r="B23230" t="s">
        <v>33294</v>
      </c>
      <c r="C23230" t="s">
        <v>843</v>
      </c>
      <c r="D23230" t="s">
        <v>27</v>
      </c>
      <c r="E23230" t="s">
        <v>1211</v>
      </c>
      <c r="F23230" s="2" t="str">
        <f>HYPERLINK("http://www.otzar.org/book.asp?15262","מילון תלמודי")</f>
        <v>מילון תלמודי</v>
      </c>
    </row>
    <row r="23231" spans="1:6" x14ac:dyDescent="0.2">
      <c r="A23231" t="s">
        <v>37435</v>
      </c>
      <c r="B23231" t="s">
        <v>37436</v>
      </c>
      <c r="C23231" t="s">
        <v>244</v>
      </c>
      <c r="D23231" t="s">
        <v>14</v>
      </c>
      <c r="E23231" t="s">
        <v>84</v>
      </c>
      <c r="F23231" s="2" t="str">
        <f>HYPERLINK("http://www.otzar.org/book.asp?626069","מילי דאבות &lt;מהדורה חדשה&gt;")</f>
        <v>מילי דאבות &lt;מהדורה חדשה&gt;</v>
      </c>
    </row>
    <row r="23232" spans="1:6" x14ac:dyDescent="0.2">
      <c r="A23232" t="s">
        <v>37437</v>
      </c>
      <c r="B23232" t="s">
        <v>17519</v>
      </c>
      <c r="C23232" t="s">
        <v>473</v>
      </c>
      <c r="D23232" t="s">
        <v>225</v>
      </c>
      <c r="E23232" t="s">
        <v>32006</v>
      </c>
      <c r="F23232" s="2" t="str">
        <f>HYPERLINK("http://www.otzar.org/book.asp?10280","מילי דאבות")</f>
        <v>מילי דאבות</v>
      </c>
    </row>
    <row r="23233" spans="1:6" x14ac:dyDescent="0.2">
      <c r="A23233" t="s">
        <v>37437</v>
      </c>
      <c r="B23233" t="s">
        <v>206</v>
      </c>
      <c r="C23233" t="s">
        <v>37</v>
      </c>
      <c r="D23233" t="s">
        <v>14</v>
      </c>
      <c r="F23233" s="2" t="str">
        <f>HYPERLINK("http://www.otzar.org/book.asp?614668","מילי דאבות")</f>
        <v>מילי דאבות</v>
      </c>
    </row>
    <row r="23234" spans="1:6" x14ac:dyDescent="0.2">
      <c r="A23234" t="s">
        <v>37437</v>
      </c>
      <c r="B23234" t="s">
        <v>30518</v>
      </c>
      <c r="C23234" t="s">
        <v>14</v>
      </c>
      <c r="D23234" t="s">
        <v>23</v>
      </c>
      <c r="E23234" t="s">
        <v>84</v>
      </c>
      <c r="F23234" s="2" t="str">
        <f>HYPERLINK("http://www.otzar.org/book.asp?196619","מילי דאבות")</f>
        <v>מילי דאבות</v>
      </c>
    </row>
    <row r="23235" spans="1:6" x14ac:dyDescent="0.2">
      <c r="A23235" t="s">
        <v>37437</v>
      </c>
      <c r="B23235" t="s">
        <v>37438</v>
      </c>
      <c r="C23235" t="s">
        <v>1335</v>
      </c>
      <c r="D23235" t="s">
        <v>37439</v>
      </c>
      <c r="E23235" t="s">
        <v>84</v>
      </c>
      <c r="F23235" s="2" t="str">
        <f>HYPERLINK("http://www.otzar.org/book.asp?148325","מילי דאבות")</f>
        <v>מילי דאבות</v>
      </c>
    </row>
    <row r="23236" spans="1:6" x14ac:dyDescent="0.2">
      <c r="A23236" t="s">
        <v>37437</v>
      </c>
      <c r="B23236" t="s">
        <v>33067</v>
      </c>
      <c r="C23236" t="s">
        <v>3942</v>
      </c>
      <c r="D23236" t="s">
        <v>49</v>
      </c>
      <c r="E23236" t="s">
        <v>84</v>
      </c>
      <c r="F23236" s="2" t="str">
        <f>HYPERLINK("http://www.otzar.org/book.asp?51696","מילי דאבות")</f>
        <v>מילי דאבות</v>
      </c>
    </row>
    <row r="23237" spans="1:6" x14ac:dyDescent="0.2">
      <c r="A23237" t="s">
        <v>37437</v>
      </c>
      <c r="B23237" t="s">
        <v>31582</v>
      </c>
      <c r="C23237" t="s">
        <v>68</v>
      </c>
      <c r="D23237" t="s">
        <v>229</v>
      </c>
      <c r="E23237" t="s">
        <v>158</v>
      </c>
      <c r="F23237" s="2" t="str">
        <f>HYPERLINK("http://www.otzar.org/book.asp?160052","מילי דאבות")</f>
        <v>מילי דאבות</v>
      </c>
    </row>
    <row r="23238" spans="1:6" x14ac:dyDescent="0.2">
      <c r="A23238" t="s">
        <v>37437</v>
      </c>
      <c r="B23238" t="s">
        <v>37436</v>
      </c>
      <c r="C23238" t="s">
        <v>429</v>
      </c>
      <c r="D23238" t="s">
        <v>56</v>
      </c>
      <c r="E23238" t="s">
        <v>84</v>
      </c>
      <c r="F23238" s="2" t="str">
        <f>HYPERLINK("http://www.otzar.org/book.asp?6274","מילי דאבות")</f>
        <v>מילי דאבות</v>
      </c>
    </row>
    <row r="23239" spans="1:6" x14ac:dyDescent="0.2">
      <c r="A23239" t="s">
        <v>37437</v>
      </c>
      <c r="B23239" t="s">
        <v>37403</v>
      </c>
      <c r="C23239" t="s">
        <v>547</v>
      </c>
      <c r="D23239" t="s">
        <v>27</v>
      </c>
      <c r="E23239" t="s">
        <v>84</v>
      </c>
      <c r="F23239" s="2" t="str">
        <f>HYPERLINK("http://www.otzar.org/book.asp?25463","מילי דאבות")</f>
        <v>מילי דאבות</v>
      </c>
    </row>
    <row r="23240" spans="1:6" x14ac:dyDescent="0.2">
      <c r="A23240" t="s">
        <v>37437</v>
      </c>
      <c r="B23240" t="s">
        <v>37440</v>
      </c>
      <c r="C23240" t="s">
        <v>2323</v>
      </c>
      <c r="D23240" t="s">
        <v>60</v>
      </c>
      <c r="E23240" t="s">
        <v>84</v>
      </c>
      <c r="F23240" s="2" t="str">
        <f>HYPERLINK("http://www.otzar.org/book.asp?101891","מילי דאבות")</f>
        <v>מילי דאבות</v>
      </c>
    </row>
    <row r="23241" spans="1:6" x14ac:dyDescent="0.2">
      <c r="A23241" t="s">
        <v>37441</v>
      </c>
      <c r="B23241" t="s">
        <v>37442</v>
      </c>
      <c r="C23241" t="s">
        <v>4144</v>
      </c>
      <c r="D23241" t="s">
        <v>1889</v>
      </c>
      <c r="E23241" t="s">
        <v>84</v>
      </c>
      <c r="F23241" s="2" t="str">
        <f>HYPERLINK("http://www.otzar.org/book.asp?162199","מילי דאבות - ב")</f>
        <v>מילי דאבות - ב</v>
      </c>
    </row>
    <row r="23242" spans="1:6" x14ac:dyDescent="0.2">
      <c r="A23242" t="s">
        <v>37441</v>
      </c>
      <c r="B23242" t="s">
        <v>37443</v>
      </c>
      <c r="C23242" t="s">
        <v>523</v>
      </c>
      <c r="D23242" t="s">
        <v>412</v>
      </c>
      <c r="E23242" t="s">
        <v>104</v>
      </c>
      <c r="F23242" s="2" t="str">
        <f>HYPERLINK("http://www.otzar.org/book.asp?160626","מילי דאבות - ב")</f>
        <v>מילי דאבות - ב</v>
      </c>
    </row>
    <row r="23243" spans="1:6" x14ac:dyDescent="0.2">
      <c r="A23243" t="s">
        <v>37444</v>
      </c>
      <c r="B23243" t="s">
        <v>37445</v>
      </c>
      <c r="C23243" t="s">
        <v>946</v>
      </c>
      <c r="D23243" t="s">
        <v>2313</v>
      </c>
      <c r="E23243" t="s">
        <v>1880</v>
      </c>
      <c r="F23243" s="2" t="str">
        <f>HYPERLINK("http://www.otzar.org/book.asp?10699","מילי דאבות - 2 כר'")</f>
        <v>מילי דאבות - 2 כר'</v>
      </c>
    </row>
    <row r="23244" spans="1:6" x14ac:dyDescent="0.2">
      <c r="A23244" t="s">
        <v>37446</v>
      </c>
      <c r="B23244" t="s">
        <v>6496</v>
      </c>
      <c r="C23244" t="s">
        <v>2644</v>
      </c>
      <c r="D23244" t="s">
        <v>379</v>
      </c>
      <c r="E23244" t="s">
        <v>508</v>
      </c>
      <c r="F23244" s="2" t="str">
        <f>HYPERLINK("http://www.otzar.org/book.asp?102417","מילי דאגדתא ושו""ת")</f>
        <v>מילי דאגדתא ושו"ת</v>
      </c>
    </row>
    <row r="23245" spans="1:6" x14ac:dyDescent="0.2">
      <c r="A23245" t="s">
        <v>37447</v>
      </c>
      <c r="B23245" t="s">
        <v>2027</v>
      </c>
      <c r="C23245" t="s">
        <v>13</v>
      </c>
      <c r="D23245" t="s">
        <v>412</v>
      </c>
      <c r="E23245" t="s">
        <v>144</v>
      </c>
      <c r="F23245" s="2" t="str">
        <f>HYPERLINK("http://www.otzar.org/book.asp?84846","מילי דאגדתא")</f>
        <v>מילי דאגדתא</v>
      </c>
    </row>
    <row r="23246" spans="1:6" x14ac:dyDescent="0.2">
      <c r="A23246" t="s">
        <v>37448</v>
      </c>
      <c r="B23246" t="s">
        <v>17563</v>
      </c>
      <c r="C23246" t="s">
        <v>146</v>
      </c>
      <c r="D23246" t="s">
        <v>134</v>
      </c>
      <c r="E23246" t="s">
        <v>104</v>
      </c>
      <c r="F23246" s="2" t="str">
        <f>HYPERLINK("http://www.otzar.org/book.asp?175495","מילי דאגרות - 4 כר'")</f>
        <v>מילי דאגרות - 4 כר'</v>
      </c>
    </row>
    <row r="23247" spans="1:6" x14ac:dyDescent="0.2">
      <c r="A23247" t="s">
        <v>37449</v>
      </c>
      <c r="B23247" t="s">
        <v>37450</v>
      </c>
      <c r="C23247" t="s">
        <v>1388</v>
      </c>
      <c r="D23247" t="s">
        <v>14</v>
      </c>
      <c r="E23247" t="s">
        <v>144</v>
      </c>
      <c r="F23247" s="2" t="str">
        <f>HYPERLINK("http://www.otzar.org/book.asp?63751","מילי דאורייתא")</f>
        <v>מילי דאורייתא</v>
      </c>
    </row>
    <row r="23248" spans="1:6" x14ac:dyDescent="0.2">
      <c r="A23248" t="s">
        <v>37451</v>
      </c>
      <c r="B23248" t="s">
        <v>19441</v>
      </c>
      <c r="C23248" t="s">
        <v>129</v>
      </c>
      <c r="D23248" t="s">
        <v>14</v>
      </c>
      <c r="E23248" t="s">
        <v>933</v>
      </c>
      <c r="F23248" s="2" t="str">
        <f>HYPERLINK("http://www.otzar.org/book.asp?159651","מילי דאיסור והיתר")</f>
        <v>מילי דאיסור והיתר</v>
      </c>
    </row>
    <row r="23249" spans="1:6" x14ac:dyDescent="0.2">
      <c r="A23249" t="s">
        <v>37452</v>
      </c>
      <c r="B23249" t="s">
        <v>37453</v>
      </c>
      <c r="C23249" t="s">
        <v>411</v>
      </c>
      <c r="D23249" t="s">
        <v>14</v>
      </c>
      <c r="E23249" t="s">
        <v>144</v>
      </c>
      <c r="F23249" s="2" t="str">
        <f>HYPERLINK("http://www.otzar.org/book.asp?168339","מילי דבבא בתרא")</f>
        <v>מילי דבבא בתרא</v>
      </c>
    </row>
    <row r="23250" spans="1:6" x14ac:dyDescent="0.2">
      <c r="A23250" t="s">
        <v>37454</v>
      </c>
      <c r="B23250" t="s">
        <v>37455</v>
      </c>
      <c r="C23250" t="s">
        <v>728</v>
      </c>
      <c r="D23250" t="s">
        <v>2295</v>
      </c>
      <c r="E23250" t="s">
        <v>104</v>
      </c>
      <c r="F23250" s="2" t="str">
        <f>HYPERLINK("http://www.otzar.org/book.asp?189507","מילי דבדיחותא")</f>
        <v>מילי דבדיחותא</v>
      </c>
    </row>
    <row r="23251" spans="1:6" x14ac:dyDescent="0.2">
      <c r="A23251" t="s">
        <v>37454</v>
      </c>
      <c r="B23251" t="s">
        <v>37456</v>
      </c>
      <c r="C23251" t="s">
        <v>13138</v>
      </c>
      <c r="D23251" t="s">
        <v>49</v>
      </c>
      <c r="E23251" t="s">
        <v>246</v>
      </c>
      <c r="F23251" s="2" t="str">
        <f>HYPERLINK("http://www.otzar.org/book.asp?147131","מילי דבדיחותא")</f>
        <v>מילי דבדיחותא</v>
      </c>
    </row>
    <row r="23252" spans="1:6" x14ac:dyDescent="0.2">
      <c r="A23252" t="s">
        <v>37457</v>
      </c>
      <c r="B23252" t="s">
        <v>37458</v>
      </c>
      <c r="C23252" t="s">
        <v>624</v>
      </c>
      <c r="D23252" t="s">
        <v>412</v>
      </c>
      <c r="E23252" t="s">
        <v>104</v>
      </c>
      <c r="F23252" s="2" t="str">
        <f>HYPERLINK("http://www.otzar.org/book.asp?155470","מילי דבי הילולא")</f>
        <v>מילי דבי הילולא</v>
      </c>
    </row>
    <row r="23253" spans="1:6" x14ac:dyDescent="0.2">
      <c r="A23253" t="s">
        <v>37459</v>
      </c>
      <c r="B23253" t="s">
        <v>37460</v>
      </c>
      <c r="C23253" t="s">
        <v>189</v>
      </c>
      <c r="D23253" t="s">
        <v>646</v>
      </c>
      <c r="E23253" t="s">
        <v>2596</v>
      </c>
      <c r="F23253" s="2" t="str">
        <f>HYPERLINK("http://www.otzar.org/book.asp?22576","מילי דבי כנישתא")</f>
        <v>מילי דבי כנישתא</v>
      </c>
    </row>
    <row r="23254" spans="1:6" x14ac:dyDescent="0.2">
      <c r="A23254" t="s">
        <v>37461</v>
      </c>
      <c r="C23254" t="s">
        <v>151</v>
      </c>
      <c r="D23254" t="s">
        <v>646</v>
      </c>
      <c r="E23254" t="s">
        <v>2091</v>
      </c>
      <c r="F23254" s="2" t="str">
        <f>HYPERLINK("http://www.otzar.org/book.asp?620299","מילי דבי מדרשא")</f>
        <v>מילי דבי מדרשא</v>
      </c>
    </row>
    <row r="23255" spans="1:6" x14ac:dyDescent="0.2">
      <c r="A23255" t="s">
        <v>37462</v>
      </c>
      <c r="B23255" t="s">
        <v>9982</v>
      </c>
      <c r="C23255" t="s">
        <v>37463</v>
      </c>
      <c r="D23255" t="s">
        <v>3293</v>
      </c>
      <c r="E23255" t="s">
        <v>144</v>
      </c>
      <c r="F23255" s="2" t="str">
        <f>HYPERLINK("http://www.otzar.org/book.asp?106624","מילי דברכות - 2 כר'")</f>
        <v>מילי דברכות - 2 כר'</v>
      </c>
    </row>
    <row r="23256" spans="1:6" x14ac:dyDescent="0.2">
      <c r="A23256" t="s">
        <v>37464</v>
      </c>
      <c r="B23256" t="s">
        <v>37465</v>
      </c>
      <c r="C23256" t="s">
        <v>635</v>
      </c>
      <c r="D23256" t="s">
        <v>56</v>
      </c>
      <c r="E23256" t="s">
        <v>144</v>
      </c>
      <c r="F23256" s="2" t="str">
        <f>HYPERLINK("http://www.otzar.org/book.asp?19311","מילי דברכות")</f>
        <v>מילי דברכות</v>
      </c>
    </row>
    <row r="23257" spans="1:6" x14ac:dyDescent="0.2">
      <c r="A23257" t="s">
        <v>37464</v>
      </c>
      <c r="B23257" t="s">
        <v>37466</v>
      </c>
      <c r="C23257" t="s">
        <v>51</v>
      </c>
      <c r="D23257" t="s">
        <v>52</v>
      </c>
      <c r="E23257" t="s">
        <v>803</v>
      </c>
      <c r="F23257" s="2" t="str">
        <f>HYPERLINK("http://www.otzar.org/book.asp?50945","מילי דברכות")</f>
        <v>מילי דברכות</v>
      </c>
    </row>
    <row r="23258" spans="1:6" x14ac:dyDescent="0.2">
      <c r="A23258" t="s">
        <v>37464</v>
      </c>
      <c r="B23258" t="s">
        <v>3445</v>
      </c>
      <c r="C23258" t="s">
        <v>17</v>
      </c>
      <c r="D23258" t="s">
        <v>52</v>
      </c>
      <c r="E23258" t="s">
        <v>15</v>
      </c>
      <c r="F23258" s="2" t="str">
        <f>HYPERLINK("http://www.otzar.org/book.asp?107461","מילי דברכות")</f>
        <v>מילי דברכות</v>
      </c>
    </row>
    <row r="23259" spans="1:6" x14ac:dyDescent="0.2">
      <c r="A23259" t="s">
        <v>37464</v>
      </c>
      <c r="B23259" t="s">
        <v>37467</v>
      </c>
      <c r="C23259" t="s">
        <v>20</v>
      </c>
      <c r="D23259" t="s">
        <v>412</v>
      </c>
      <c r="E23259" t="s">
        <v>144</v>
      </c>
      <c r="F23259" s="2" t="str">
        <f>HYPERLINK("http://www.otzar.org/book.asp?606328","מילי דברכות")</f>
        <v>מילי דברכות</v>
      </c>
    </row>
    <row r="23260" spans="1:6" x14ac:dyDescent="0.2">
      <c r="A23260" t="s">
        <v>37464</v>
      </c>
      <c r="B23260" t="s">
        <v>37468</v>
      </c>
      <c r="C23260" t="s">
        <v>13</v>
      </c>
      <c r="D23260" t="s">
        <v>657</v>
      </c>
      <c r="E23260" t="s">
        <v>148</v>
      </c>
      <c r="F23260" s="2" t="str">
        <f>HYPERLINK("http://www.otzar.org/book.asp?149952","מילי דברכות")</f>
        <v>מילי דברכות</v>
      </c>
    </row>
    <row r="23261" spans="1:6" x14ac:dyDescent="0.2">
      <c r="A23261" t="s">
        <v>37469</v>
      </c>
      <c r="B23261" t="s">
        <v>37470</v>
      </c>
      <c r="C23261" t="s">
        <v>843</v>
      </c>
      <c r="D23261" t="s">
        <v>260</v>
      </c>
      <c r="E23261" t="s">
        <v>15</v>
      </c>
      <c r="F23261" s="2" t="str">
        <f>HYPERLINK("http://www.otzar.org/book.asp?914","מילי דברכות - א")</f>
        <v>מילי דברכות - א</v>
      </c>
    </row>
    <row r="23262" spans="1:6" x14ac:dyDescent="0.2">
      <c r="A23262" t="s">
        <v>37471</v>
      </c>
      <c r="B23262" t="s">
        <v>2396</v>
      </c>
      <c r="C23262" t="s">
        <v>20</v>
      </c>
      <c r="D23262" t="s">
        <v>90</v>
      </c>
      <c r="E23262" t="s">
        <v>144</v>
      </c>
      <c r="F23262" s="2" t="str">
        <f>HYPERLINK("http://www.otzar.org/book.asp?165269","מילי דברכות - מילי דאבות")</f>
        <v>מילי דברכות - מילי דאבות</v>
      </c>
    </row>
    <row r="23263" spans="1:6" x14ac:dyDescent="0.2">
      <c r="A23263" t="s">
        <v>37464</v>
      </c>
      <c r="B23263" t="s">
        <v>107</v>
      </c>
      <c r="C23263" t="s">
        <v>553</v>
      </c>
      <c r="D23263" t="s">
        <v>14</v>
      </c>
      <c r="E23263" t="s">
        <v>15</v>
      </c>
      <c r="F23263" s="2" t="str">
        <f>HYPERLINK("http://www.otzar.org/book.asp?148253","מילי דברכות")</f>
        <v>מילי דברכות</v>
      </c>
    </row>
    <row r="23264" spans="1:6" x14ac:dyDescent="0.2">
      <c r="A23264" t="s">
        <v>37472</v>
      </c>
      <c r="B23264" t="s">
        <v>37453</v>
      </c>
      <c r="C23264" t="s">
        <v>411</v>
      </c>
      <c r="D23264" t="s">
        <v>14</v>
      </c>
      <c r="E23264" t="s">
        <v>144</v>
      </c>
      <c r="F23264" s="2" t="str">
        <f>HYPERLINK("http://www.otzar.org/book.asp?168341","מילי דהוריות")</f>
        <v>מילי דהוריות</v>
      </c>
    </row>
    <row r="23265" spans="1:6" x14ac:dyDescent="0.2">
      <c r="A23265" t="s">
        <v>37473</v>
      </c>
      <c r="B23265" t="s">
        <v>37474</v>
      </c>
      <c r="C23265" t="s">
        <v>111</v>
      </c>
      <c r="D23265" t="s">
        <v>2798</v>
      </c>
      <c r="E23265" t="s">
        <v>234</v>
      </c>
      <c r="F23265" s="2" t="str">
        <f>HYPERLINK("http://www.otzar.org/book.asp?630923","מילי דהספידא ליום השלושים")</f>
        <v>מילי דהספידא ליום השלושים</v>
      </c>
    </row>
    <row r="23266" spans="1:6" x14ac:dyDescent="0.2">
      <c r="A23266" t="s">
        <v>37475</v>
      </c>
      <c r="B23266" t="s">
        <v>37474</v>
      </c>
      <c r="C23266" t="s">
        <v>111</v>
      </c>
      <c r="D23266" t="s">
        <v>2798</v>
      </c>
      <c r="E23266" t="s">
        <v>234</v>
      </c>
      <c r="F23266" s="2" t="str">
        <f>HYPERLINK("http://www.otzar.org/book.asp?630924","מילי דהספידא ליום השנה")</f>
        <v>מילי דהספידא ליום השנה</v>
      </c>
    </row>
    <row r="23267" spans="1:6" x14ac:dyDescent="0.2">
      <c r="A23267" t="s">
        <v>37476</v>
      </c>
      <c r="B23267" t="s">
        <v>37477</v>
      </c>
      <c r="E23267" t="s">
        <v>234</v>
      </c>
      <c r="F23267" s="2" t="str">
        <f>HYPERLINK("http://www.otzar.org/book.asp?623967","מילי דהספידא על הגאון ר""ד חנוך זילבר")</f>
        <v>מילי דהספידא על הגאון ר"ד חנוך זילבר</v>
      </c>
    </row>
    <row r="23268" spans="1:6" x14ac:dyDescent="0.2">
      <c r="A23268" t="s">
        <v>37478</v>
      </c>
      <c r="B23268" t="s">
        <v>37479</v>
      </c>
      <c r="C23268" t="s">
        <v>68</v>
      </c>
      <c r="D23268" t="s">
        <v>14</v>
      </c>
      <c r="E23268" t="s">
        <v>234</v>
      </c>
      <c r="F23268" s="2" t="str">
        <f>HYPERLINK("http://www.otzar.org/book.asp?173015","מילי דהספידא")</f>
        <v>מילי דהספידא</v>
      </c>
    </row>
    <row r="23269" spans="1:6" x14ac:dyDescent="0.2">
      <c r="A23269" t="s">
        <v>37480</v>
      </c>
      <c r="B23269" t="s">
        <v>37481</v>
      </c>
      <c r="C23269" t="s">
        <v>23</v>
      </c>
      <c r="D23269" t="s">
        <v>80</v>
      </c>
      <c r="F23269" s="2" t="str">
        <f>HYPERLINK("http://www.otzar.org/book.asp?610217","מילי דהספידא - 2 כר'")</f>
        <v>מילי דהספידא - 2 כר'</v>
      </c>
    </row>
    <row r="23270" spans="1:6" x14ac:dyDescent="0.2">
      <c r="A23270" t="s">
        <v>37478</v>
      </c>
      <c r="B23270" t="s">
        <v>8399</v>
      </c>
      <c r="C23270" t="s">
        <v>224</v>
      </c>
      <c r="D23270" t="s">
        <v>27</v>
      </c>
      <c r="E23270" t="s">
        <v>119</v>
      </c>
      <c r="F23270" s="2" t="str">
        <f>HYPERLINK("http://www.otzar.org/book.asp?162285","מילי דהספידא")</f>
        <v>מילי דהספידא</v>
      </c>
    </row>
    <row r="23271" spans="1:6" x14ac:dyDescent="0.2">
      <c r="A23271" t="s">
        <v>37478</v>
      </c>
      <c r="B23271" t="s">
        <v>37482</v>
      </c>
      <c r="C23271" t="s">
        <v>8</v>
      </c>
      <c r="D23271" t="s">
        <v>563</v>
      </c>
      <c r="E23271" t="s">
        <v>37483</v>
      </c>
      <c r="F23271" s="2" t="str">
        <f>HYPERLINK("http://www.otzar.org/book.asp?192276","מילי דהספידא")</f>
        <v>מילי דהספידא</v>
      </c>
    </row>
    <row r="23272" spans="1:6" x14ac:dyDescent="0.2">
      <c r="A23272" t="s">
        <v>37484</v>
      </c>
      <c r="B23272" t="s">
        <v>37485</v>
      </c>
      <c r="C23272" t="s">
        <v>111</v>
      </c>
      <c r="D23272" t="s">
        <v>14</v>
      </c>
      <c r="F23272" s="2" t="str">
        <f>HYPERLINK("http://www.otzar.org/book.asp?618882","מילי דזבים")</f>
        <v>מילי דזבים</v>
      </c>
    </row>
    <row r="23273" spans="1:6" x14ac:dyDescent="0.2">
      <c r="A23273" t="s">
        <v>37486</v>
      </c>
      <c r="B23273" t="s">
        <v>19853</v>
      </c>
      <c r="C23273" t="s">
        <v>366</v>
      </c>
      <c r="D23273" t="s">
        <v>152</v>
      </c>
      <c r="E23273" t="s">
        <v>246</v>
      </c>
      <c r="F23273" s="2" t="str">
        <f>HYPERLINK("http://www.otzar.org/book.asp?608581","מילי דחנוכה")</f>
        <v>מילי דחנוכה</v>
      </c>
    </row>
    <row r="23274" spans="1:6" x14ac:dyDescent="0.2">
      <c r="A23274" t="s">
        <v>37487</v>
      </c>
      <c r="B23274" t="s">
        <v>6053</v>
      </c>
      <c r="C23274" t="s">
        <v>366</v>
      </c>
      <c r="D23274" t="s">
        <v>4549</v>
      </c>
      <c r="F23274" s="2" t="str">
        <f>HYPERLINK("http://www.otzar.org/book.asp?631711","מילי דחסידותא &lt;מהדורה חדשה&gt;")</f>
        <v>מילי דחסידותא &lt;מהדורה חדשה&gt;</v>
      </c>
    </row>
    <row r="23275" spans="1:6" x14ac:dyDescent="0.2">
      <c r="A23275" t="s">
        <v>37488</v>
      </c>
      <c r="B23275" t="s">
        <v>6053</v>
      </c>
      <c r="C23275" t="s">
        <v>445</v>
      </c>
      <c r="D23275" t="s">
        <v>37489</v>
      </c>
      <c r="E23275" t="s">
        <v>15</v>
      </c>
      <c r="F23275" s="2" t="str">
        <f>HYPERLINK("http://www.otzar.org/book.asp?619646","מילי דחסידותא - 2 כר'")</f>
        <v>מילי דחסידותא - 2 כר'</v>
      </c>
    </row>
    <row r="23276" spans="1:6" x14ac:dyDescent="0.2">
      <c r="A23276" t="s">
        <v>37490</v>
      </c>
      <c r="B23276" t="s">
        <v>37468</v>
      </c>
      <c r="C23276" t="s">
        <v>129</v>
      </c>
      <c r="D23276" t="s">
        <v>657</v>
      </c>
      <c r="E23276" t="s">
        <v>803</v>
      </c>
      <c r="F23276" s="2" t="str">
        <f>HYPERLINK("http://www.otzar.org/book.asp?149953","מילי דטהרה")</f>
        <v>מילי דטהרה</v>
      </c>
    </row>
    <row r="23277" spans="1:6" x14ac:dyDescent="0.2">
      <c r="A23277" t="s">
        <v>37491</v>
      </c>
      <c r="B23277" t="s">
        <v>37453</v>
      </c>
      <c r="C23277" t="s">
        <v>411</v>
      </c>
      <c r="D23277" t="s">
        <v>14</v>
      </c>
      <c r="E23277" t="s">
        <v>84</v>
      </c>
      <c r="F23277" s="2" t="str">
        <f>HYPERLINK("http://www.otzar.org/book.asp?168342","מילי דטהרות")</f>
        <v>מילי דטהרות</v>
      </c>
    </row>
    <row r="23278" spans="1:6" x14ac:dyDescent="0.2">
      <c r="A23278" t="s">
        <v>37492</v>
      </c>
      <c r="B23278" t="s">
        <v>37453</v>
      </c>
      <c r="C23278" t="s">
        <v>411</v>
      </c>
      <c r="D23278" t="s">
        <v>14</v>
      </c>
      <c r="E23278" t="s">
        <v>144</v>
      </c>
      <c r="F23278" s="2" t="str">
        <f>HYPERLINK("http://www.otzar.org/book.asp?169881","מילי דכתובות")</f>
        <v>מילי דכתובות</v>
      </c>
    </row>
    <row r="23279" spans="1:6" x14ac:dyDescent="0.2">
      <c r="A23279" t="s">
        <v>37493</v>
      </c>
      <c r="B23279" t="s">
        <v>37494</v>
      </c>
      <c r="C23279" t="s">
        <v>13</v>
      </c>
      <c r="D23279" t="s">
        <v>14</v>
      </c>
      <c r="E23279" t="s">
        <v>803</v>
      </c>
      <c r="F23279" s="2" t="str">
        <f>HYPERLINK("http://www.otzar.org/book.asp?144788","מילי דמוקצה")</f>
        <v>מילי דמוקצה</v>
      </c>
    </row>
    <row r="23280" spans="1:6" x14ac:dyDescent="0.2">
      <c r="A23280" t="s">
        <v>37495</v>
      </c>
      <c r="B23280" t="s">
        <v>28155</v>
      </c>
      <c r="C23280" t="s">
        <v>111</v>
      </c>
      <c r="D23280" t="s">
        <v>14</v>
      </c>
      <c r="E23280" t="s">
        <v>15</v>
      </c>
      <c r="F23280" s="2" t="str">
        <f>HYPERLINK("http://www.otzar.org/book.asp?621598","מילי דמילה")</f>
        <v>מילי דמילה</v>
      </c>
    </row>
    <row r="23281" spans="1:6" x14ac:dyDescent="0.2">
      <c r="A23281" t="s">
        <v>37495</v>
      </c>
      <c r="B23281" t="s">
        <v>16688</v>
      </c>
      <c r="C23281" t="s">
        <v>23</v>
      </c>
      <c r="D23281" t="s">
        <v>52</v>
      </c>
      <c r="F23281" s="2" t="str">
        <f>HYPERLINK("http://www.otzar.org/book.asp?616188","מילי דמילה")</f>
        <v>מילי דמילה</v>
      </c>
    </row>
    <row r="23282" spans="1:6" x14ac:dyDescent="0.2">
      <c r="A23282" t="s">
        <v>37496</v>
      </c>
      <c r="B23282" t="s">
        <v>37453</v>
      </c>
      <c r="C23282" t="s">
        <v>411</v>
      </c>
      <c r="D23282" t="s">
        <v>14</v>
      </c>
      <c r="E23282" t="s">
        <v>144</v>
      </c>
      <c r="F23282" s="2" t="str">
        <f>HYPERLINK("http://www.otzar.org/book.asp?168343","מילי דמכות")</f>
        <v>מילי דמכות</v>
      </c>
    </row>
    <row r="23283" spans="1:6" x14ac:dyDescent="0.2">
      <c r="A23283" t="s">
        <v>37497</v>
      </c>
      <c r="B23283" t="s">
        <v>37498</v>
      </c>
      <c r="C23283" t="s">
        <v>146</v>
      </c>
      <c r="D23283" t="s">
        <v>90</v>
      </c>
      <c r="E23283" t="s">
        <v>202</v>
      </c>
      <c r="F23283" s="2" t="str">
        <f>HYPERLINK("http://www.otzar.org/book.asp?195472","מילי דמערבא - שבת ועירובין")</f>
        <v>מילי דמערבא - שבת ועירובין</v>
      </c>
    </row>
    <row r="23284" spans="1:6" x14ac:dyDescent="0.2">
      <c r="A23284" t="s">
        <v>37499</v>
      </c>
      <c r="B23284" t="s">
        <v>37500</v>
      </c>
      <c r="C23284" t="s">
        <v>422</v>
      </c>
      <c r="D23284" t="s">
        <v>52</v>
      </c>
      <c r="E23284" t="s">
        <v>172</v>
      </c>
      <c r="F23284" s="2" t="str">
        <f>HYPERLINK("http://www.otzar.org/book.asp?63723","מילי דמקרא")</f>
        <v>מילי דמקרא</v>
      </c>
    </row>
    <row r="23285" spans="1:6" x14ac:dyDescent="0.2">
      <c r="A23285" t="s">
        <v>37501</v>
      </c>
      <c r="B23285" t="s">
        <v>9625</v>
      </c>
      <c r="C23285" t="s">
        <v>87</v>
      </c>
      <c r="D23285" t="s">
        <v>14</v>
      </c>
      <c r="E23285" t="s">
        <v>37502</v>
      </c>
      <c r="F23285" s="2" t="str">
        <f>HYPERLINK("http://www.otzar.org/book.asp?50558","מילי דמרדכי - 2 כר'")</f>
        <v>מילי דמרדכי - 2 כר'</v>
      </c>
    </row>
    <row r="23286" spans="1:6" x14ac:dyDescent="0.2">
      <c r="A23286" t="s">
        <v>37503</v>
      </c>
      <c r="B23286" t="s">
        <v>37453</v>
      </c>
      <c r="C23286" t="s">
        <v>411</v>
      </c>
      <c r="D23286" t="s">
        <v>14</v>
      </c>
      <c r="E23286" t="s">
        <v>144</v>
      </c>
      <c r="F23286" s="2" t="str">
        <f>HYPERLINK("http://www.otzar.org/book.asp?168344","מילי דנדרים")</f>
        <v>מילי דנדרים</v>
      </c>
    </row>
    <row r="23287" spans="1:6" x14ac:dyDescent="0.2">
      <c r="A23287" t="s">
        <v>37504</v>
      </c>
      <c r="B23287" t="s">
        <v>37505</v>
      </c>
      <c r="C23287" t="s">
        <v>454</v>
      </c>
      <c r="D23287" t="s">
        <v>14</v>
      </c>
      <c r="E23287" t="s">
        <v>144</v>
      </c>
      <c r="F23287" s="2" t="str">
        <f>HYPERLINK("http://www.otzar.org/book.asp?105107","מילי דנהנה")</f>
        <v>מילי דנהנה</v>
      </c>
    </row>
    <row r="23288" spans="1:6" x14ac:dyDescent="0.2">
      <c r="A23288" t="s">
        <v>37506</v>
      </c>
      <c r="B23288" t="s">
        <v>37465</v>
      </c>
      <c r="C23288" t="s">
        <v>266</v>
      </c>
      <c r="D23288" t="s">
        <v>7342</v>
      </c>
      <c r="E23288" t="s">
        <v>144</v>
      </c>
      <c r="F23288" s="2" t="str">
        <f>HYPERLINK("http://www.otzar.org/book.asp?105041","מילי דנזיקין")</f>
        <v>מילי דנזיקין</v>
      </c>
    </row>
    <row r="23289" spans="1:6" x14ac:dyDescent="0.2">
      <c r="A23289" t="s">
        <v>37506</v>
      </c>
      <c r="B23289" t="s">
        <v>37507</v>
      </c>
      <c r="C23289" t="s">
        <v>20</v>
      </c>
      <c r="D23289" t="s">
        <v>3436</v>
      </c>
      <c r="E23289" t="s">
        <v>144</v>
      </c>
      <c r="F23289" s="2" t="str">
        <f>HYPERLINK("http://www.otzar.org/book.asp?190769","מילי דנזיקין")</f>
        <v>מילי דנזיקין</v>
      </c>
    </row>
    <row r="23290" spans="1:6" x14ac:dyDescent="0.2">
      <c r="A23290" t="s">
        <v>37508</v>
      </c>
      <c r="B23290" t="s">
        <v>19441</v>
      </c>
      <c r="C23290" t="s">
        <v>146</v>
      </c>
      <c r="D23290" t="s">
        <v>14</v>
      </c>
      <c r="E23290" t="s">
        <v>144</v>
      </c>
      <c r="F23290" s="2" t="str">
        <f>HYPERLINK("http://www.otzar.org/book.asp?157736","מילי דנזיקין - 3 כר'")</f>
        <v>מילי דנזיקין - 3 כר'</v>
      </c>
    </row>
    <row r="23291" spans="1:6" x14ac:dyDescent="0.2">
      <c r="A23291" t="s">
        <v>37509</v>
      </c>
      <c r="B23291" t="s">
        <v>16577</v>
      </c>
      <c r="C23291" t="s">
        <v>23</v>
      </c>
      <c r="D23291" t="s">
        <v>152</v>
      </c>
      <c r="F23291" s="2" t="str">
        <f>HYPERLINK("http://www.otzar.org/book.asp?198182","מילי דנזיקין - 2 כר'")</f>
        <v>מילי דנזיקין - 2 כר'</v>
      </c>
    </row>
    <row r="23292" spans="1:6" x14ac:dyDescent="0.2">
      <c r="A23292" t="s">
        <v>37510</v>
      </c>
      <c r="B23292" t="s">
        <v>12291</v>
      </c>
      <c r="C23292" t="s">
        <v>151</v>
      </c>
      <c r="D23292" t="s">
        <v>52</v>
      </c>
      <c r="F23292" s="2" t="str">
        <f>HYPERLINK("http://www.otzar.org/book.asp?615899","מילי דנחמתא")</f>
        <v>מילי דנחמתא</v>
      </c>
    </row>
    <row r="23293" spans="1:6" x14ac:dyDescent="0.2">
      <c r="A23293" t="s">
        <v>37511</v>
      </c>
      <c r="B23293" t="s">
        <v>22027</v>
      </c>
      <c r="C23293" t="s">
        <v>111</v>
      </c>
      <c r="D23293" t="s">
        <v>27</v>
      </c>
      <c r="E23293" t="s">
        <v>154</v>
      </c>
      <c r="F23293" s="2" t="str">
        <f>HYPERLINK("http://www.otzar.org/book.asp?623315","מילי דעזרא &lt;מהדורת מכון צופה פני דמשק&gt;")</f>
        <v>מילי דעזרא &lt;מהדורת מכון צופה פני דמשק&gt;</v>
      </c>
    </row>
    <row r="23294" spans="1:6" x14ac:dyDescent="0.2">
      <c r="A23294" t="s">
        <v>37512</v>
      </c>
      <c r="B23294" t="s">
        <v>22027</v>
      </c>
      <c r="C23294" t="s">
        <v>581</v>
      </c>
      <c r="D23294" t="s">
        <v>27</v>
      </c>
      <c r="E23294" t="s">
        <v>154</v>
      </c>
      <c r="F23294" s="2" t="str">
        <f>HYPERLINK("http://www.otzar.org/book.asp?20806","מילי דעזרא")</f>
        <v>מילי דעזרא</v>
      </c>
    </row>
    <row r="23295" spans="1:6" x14ac:dyDescent="0.2">
      <c r="A23295" t="s">
        <v>37513</v>
      </c>
      <c r="B23295" t="s">
        <v>2654</v>
      </c>
      <c r="C23295" t="s">
        <v>2644</v>
      </c>
      <c r="D23295" t="s">
        <v>267</v>
      </c>
      <c r="E23295" t="s">
        <v>130</v>
      </c>
      <c r="F23295" s="2" t="str">
        <f>HYPERLINK("http://www.otzar.org/book.asp?83976","מילי דפיסחא")</f>
        <v>מילי דפיסחא</v>
      </c>
    </row>
    <row r="23296" spans="1:6" x14ac:dyDescent="0.2">
      <c r="A23296" t="s">
        <v>37514</v>
      </c>
      <c r="B23296" t="s">
        <v>37485</v>
      </c>
      <c r="C23296" t="s">
        <v>151</v>
      </c>
      <c r="D23296" t="s">
        <v>14</v>
      </c>
      <c r="E23296" t="s">
        <v>84</v>
      </c>
      <c r="F23296" s="2" t="str">
        <f>HYPERLINK("http://www.otzar.org/book.asp?620281","מילי דפרה")</f>
        <v>מילי דפרה</v>
      </c>
    </row>
    <row r="23297" spans="1:6" x14ac:dyDescent="0.2">
      <c r="A23297" t="s">
        <v>37515</v>
      </c>
      <c r="B23297" t="s">
        <v>37453</v>
      </c>
      <c r="C23297" t="s">
        <v>411</v>
      </c>
      <c r="D23297" t="s">
        <v>14</v>
      </c>
      <c r="E23297" t="s">
        <v>144</v>
      </c>
      <c r="F23297" s="2" t="str">
        <f>HYPERLINK("http://www.otzar.org/book.asp?168340","מילי דקדושין")</f>
        <v>מילי דקדושין</v>
      </c>
    </row>
    <row r="23298" spans="1:6" x14ac:dyDescent="0.2">
      <c r="A23298" t="s">
        <v>37516</v>
      </c>
      <c r="B23298" t="s">
        <v>37517</v>
      </c>
      <c r="C23298" t="s">
        <v>68</v>
      </c>
      <c r="D23298" t="s">
        <v>21</v>
      </c>
      <c r="F23298" s="2" t="str">
        <f>HYPERLINK("http://www.otzar.org/book.asp?193069","מילי דקידושין")</f>
        <v>מילי דקידושין</v>
      </c>
    </row>
    <row r="23299" spans="1:6" x14ac:dyDescent="0.2">
      <c r="A23299" t="s">
        <v>37516</v>
      </c>
      <c r="B23299" t="s">
        <v>9262</v>
      </c>
      <c r="C23299" t="s">
        <v>422</v>
      </c>
      <c r="D23299" t="s">
        <v>14</v>
      </c>
      <c r="E23299" t="s">
        <v>144</v>
      </c>
      <c r="F23299" s="2" t="str">
        <f>HYPERLINK("http://www.otzar.org/book.asp?85047","מילי דקידושין")</f>
        <v>מילי דקידושין</v>
      </c>
    </row>
    <row r="23300" spans="1:6" x14ac:dyDescent="0.2">
      <c r="A23300" t="s">
        <v>37518</v>
      </c>
      <c r="B23300" t="s">
        <v>37519</v>
      </c>
      <c r="C23300" t="s">
        <v>244</v>
      </c>
      <c r="D23300" t="s">
        <v>52</v>
      </c>
      <c r="E23300" t="s">
        <v>15</v>
      </c>
      <c r="F23300" s="2" t="str">
        <f>HYPERLINK("http://www.otzar.org/book.asp?605383","מילי דרבנן")</f>
        <v>מילי דרבנן</v>
      </c>
    </row>
    <row r="23301" spans="1:6" x14ac:dyDescent="0.2">
      <c r="A23301" t="s">
        <v>37518</v>
      </c>
      <c r="B23301" t="s">
        <v>26011</v>
      </c>
      <c r="C23301" t="s">
        <v>20</v>
      </c>
      <c r="D23301" t="s">
        <v>52</v>
      </c>
      <c r="E23301" t="s">
        <v>104</v>
      </c>
      <c r="F23301" s="2" t="str">
        <f>HYPERLINK("http://www.otzar.org/book.asp?189833","מילי דרבנן")</f>
        <v>מילי דרבנן</v>
      </c>
    </row>
    <row r="23302" spans="1:6" x14ac:dyDescent="0.2">
      <c r="A23302" t="s">
        <v>37520</v>
      </c>
      <c r="B23302" t="s">
        <v>6303</v>
      </c>
      <c r="C23302" t="s">
        <v>553</v>
      </c>
      <c r="D23302" t="s">
        <v>27</v>
      </c>
      <c r="E23302" t="s">
        <v>144</v>
      </c>
      <c r="F23302" s="2" t="str">
        <f>HYPERLINK("http://www.otzar.org/book.asp?165862","מילי דשבתא - 2 כר'")</f>
        <v>מילי דשבתא - 2 כר'</v>
      </c>
    </row>
    <row r="23303" spans="1:6" x14ac:dyDescent="0.2">
      <c r="A23303" t="s">
        <v>37521</v>
      </c>
      <c r="B23303" t="s">
        <v>37522</v>
      </c>
      <c r="C23303" t="s">
        <v>114</v>
      </c>
      <c r="D23303" t="s">
        <v>14</v>
      </c>
      <c r="E23303" t="s">
        <v>144</v>
      </c>
      <c r="F23303" s="2" t="str">
        <f>HYPERLINK("http://www.otzar.org/book.asp?179642","מילי דשטרות")</f>
        <v>מילי דשטרות</v>
      </c>
    </row>
    <row r="23304" spans="1:6" x14ac:dyDescent="0.2">
      <c r="A23304" t="s">
        <v>37523</v>
      </c>
      <c r="B23304" t="s">
        <v>3797</v>
      </c>
      <c r="C23304" t="s">
        <v>454</v>
      </c>
      <c r="D23304" t="s">
        <v>14</v>
      </c>
      <c r="E23304" t="s">
        <v>144</v>
      </c>
      <c r="F23304" s="2" t="str">
        <f>HYPERLINK("http://www.otzar.org/book.asp?156631","מילי דשליחות")</f>
        <v>מילי דשליחות</v>
      </c>
    </row>
    <row r="23305" spans="1:6" x14ac:dyDescent="0.2">
      <c r="A23305" t="s">
        <v>37524</v>
      </c>
      <c r="B23305" t="s">
        <v>14773</v>
      </c>
      <c r="C23305" t="s">
        <v>129</v>
      </c>
      <c r="D23305" t="s">
        <v>14</v>
      </c>
      <c r="E23305" t="s">
        <v>213</v>
      </c>
      <c r="F23305" s="2" t="str">
        <f>HYPERLINK("http://www.otzar.org/book.asp?175711","מילי דשמיא")</f>
        <v>מילי דשמיא</v>
      </c>
    </row>
    <row r="23306" spans="1:6" x14ac:dyDescent="0.2">
      <c r="A23306" t="s">
        <v>37525</v>
      </c>
      <c r="B23306" t="s">
        <v>37526</v>
      </c>
      <c r="C23306" t="s">
        <v>411</v>
      </c>
      <c r="D23306" t="s">
        <v>657</v>
      </c>
      <c r="E23306" t="s">
        <v>22122</v>
      </c>
      <c r="F23306" s="2" t="str">
        <f>HYPERLINK("http://www.otzar.org/book.asp?165487","מילי דשמעתא - שבת, מלאכות שבת")</f>
        <v>מילי דשמעתא - שבת, מלאכות שבת</v>
      </c>
    </row>
    <row r="23307" spans="1:6" x14ac:dyDescent="0.2">
      <c r="A23307" t="s">
        <v>37527</v>
      </c>
      <c r="B23307" t="s">
        <v>37526</v>
      </c>
      <c r="C23307" t="s">
        <v>20</v>
      </c>
      <c r="D23307" t="s">
        <v>152</v>
      </c>
      <c r="E23307" t="s">
        <v>15</v>
      </c>
      <c r="F23307" s="2" t="str">
        <f>HYPERLINK("http://www.otzar.org/book.asp?630624","מילי דשמעתתא - 2 כר'")</f>
        <v>מילי דשמעתתא - 2 כר'</v>
      </c>
    </row>
    <row r="23308" spans="1:6" x14ac:dyDescent="0.2">
      <c r="A23308" t="s">
        <v>37528</v>
      </c>
      <c r="B23308" t="s">
        <v>37529</v>
      </c>
      <c r="C23308" t="s">
        <v>133</v>
      </c>
      <c r="D23308" t="s">
        <v>14</v>
      </c>
      <c r="F23308" s="2" t="str">
        <f>HYPERLINK("http://www.otzar.org/book.asp?170808","מילי דתכשיט - במה אשה")</f>
        <v>מילי דתכשיט - במה אשה</v>
      </c>
    </row>
    <row r="23309" spans="1:6" x14ac:dyDescent="0.2">
      <c r="A23309" t="s">
        <v>37530</v>
      </c>
      <c r="B23309" t="s">
        <v>37500</v>
      </c>
      <c r="C23309" t="s">
        <v>466</v>
      </c>
      <c r="D23309" t="s">
        <v>52</v>
      </c>
      <c r="E23309" t="s">
        <v>15</v>
      </c>
      <c r="F23309" s="2" t="str">
        <f>HYPERLINK("http://www.otzar.org/book.asp?159386","מילי דתפילין")</f>
        <v>מילי דתפילין</v>
      </c>
    </row>
    <row r="23310" spans="1:6" x14ac:dyDescent="0.2">
      <c r="A23310" t="s">
        <v>37531</v>
      </c>
      <c r="B23310" t="s">
        <v>5611</v>
      </c>
      <c r="C23310" t="s">
        <v>383</v>
      </c>
      <c r="D23310" t="s">
        <v>118</v>
      </c>
      <c r="E23310" t="s">
        <v>1517</v>
      </c>
      <c r="F23310" s="2" t="str">
        <f>HYPERLINK("http://www.otzar.org/book.asp?13648","מילי מחיים")</f>
        <v>מילי מחיים</v>
      </c>
    </row>
    <row r="23311" spans="1:6" x14ac:dyDescent="0.2">
      <c r="A23311" t="s">
        <v>37532</v>
      </c>
      <c r="B23311" t="s">
        <v>37533</v>
      </c>
      <c r="C23311" t="s">
        <v>129</v>
      </c>
      <c r="D23311" t="s">
        <v>245</v>
      </c>
      <c r="E23311" t="s">
        <v>104</v>
      </c>
      <c r="F23311" s="2" t="str">
        <f>HYPERLINK("http://www.otzar.org/book.asp?626562","מילי מעלייתא")</f>
        <v>מילי מעלייתא</v>
      </c>
    </row>
    <row r="23312" spans="1:6" x14ac:dyDescent="0.2">
      <c r="A23312" t="s">
        <v>37534</v>
      </c>
      <c r="B23312" t="s">
        <v>37535</v>
      </c>
      <c r="C23312" t="s">
        <v>1219</v>
      </c>
      <c r="D23312" t="s">
        <v>2290</v>
      </c>
      <c r="E23312" t="s">
        <v>1211</v>
      </c>
      <c r="F23312" s="2" t="str">
        <f>HYPERLINK("http://www.otzar.org/book.asp?19442","מילין דרבנן")</f>
        <v>מילין דרבנן</v>
      </c>
    </row>
    <row r="23313" spans="1:6" x14ac:dyDescent="0.2">
      <c r="A23313" t="s">
        <v>37536</v>
      </c>
      <c r="B23313" t="s">
        <v>10056</v>
      </c>
      <c r="C23313" t="s">
        <v>17</v>
      </c>
      <c r="D23313" t="s">
        <v>1180</v>
      </c>
      <c r="F23313" s="2" t="str">
        <f>HYPERLINK("http://www.otzar.org/book.asp?199138","מילין יקירין - 2 כר'")</f>
        <v>מילין יקירין - 2 כר'</v>
      </c>
    </row>
    <row r="23314" spans="1:6" x14ac:dyDescent="0.2">
      <c r="A23314" t="s">
        <v>37537</v>
      </c>
      <c r="B23314" t="s">
        <v>37538</v>
      </c>
      <c r="C23314" t="s">
        <v>146</v>
      </c>
      <c r="D23314" t="s">
        <v>14</v>
      </c>
      <c r="E23314" t="s">
        <v>140</v>
      </c>
      <c r="F23314" s="2" t="str">
        <f>HYPERLINK("http://www.otzar.org/book.asp?161287","מילין קדישין - 2 כר'")</f>
        <v>מילין קדישין - 2 כר'</v>
      </c>
    </row>
    <row r="23315" spans="1:6" x14ac:dyDescent="0.2">
      <c r="A23315" t="s">
        <v>37539</v>
      </c>
      <c r="B23315" t="s">
        <v>37540</v>
      </c>
      <c r="C23315" t="s">
        <v>411</v>
      </c>
      <c r="D23315" t="s">
        <v>1156</v>
      </c>
      <c r="F23315" s="2" t="str">
        <f>HYPERLINK("http://www.otzar.org/book.asp?621197","מילתא בטעמא - 3 כר'")</f>
        <v>מילתא בטעמא - 3 כר'</v>
      </c>
    </row>
    <row r="23316" spans="1:6" x14ac:dyDescent="0.2">
      <c r="A23316" t="s">
        <v>37541</v>
      </c>
      <c r="B23316" t="s">
        <v>1750</v>
      </c>
      <c r="C23316" t="s">
        <v>68</v>
      </c>
      <c r="D23316" t="s">
        <v>14</v>
      </c>
      <c r="E23316" t="s">
        <v>202</v>
      </c>
      <c r="F23316" s="2" t="str">
        <f>HYPERLINK("http://www.otzar.org/book.asp?156427","מילתא דשטרא")</f>
        <v>מילתא דשטרא</v>
      </c>
    </row>
    <row r="23317" spans="1:6" x14ac:dyDescent="0.2">
      <c r="A23317" t="s">
        <v>37542</v>
      </c>
      <c r="B23317" t="s">
        <v>37543</v>
      </c>
      <c r="C23317" t="s">
        <v>129</v>
      </c>
      <c r="D23317" t="s">
        <v>14</v>
      </c>
      <c r="E23317" t="s">
        <v>148</v>
      </c>
      <c r="F23317" s="2" t="str">
        <f>HYPERLINK("http://www.otzar.org/book.asp?157700","מילתא דשכיחא - 3 כר'")</f>
        <v>מילתא דשכיחא - 3 כר'</v>
      </c>
    </row>
    <row r="23318" spans="1:6" x14ac:dyDescent="0.2">
      <c r="A23318" t="s">
        <v>37544</v>
      </c>
      <c r="B23318" t="s">
        <v>37545</v>
      </c>
      <c r="C23318" t="s">
        <v>956</v>
      </c>
      <c r="D23318" t="s">
        <v>90</v>
      </c>
      <c r="E23318" t="s">
        <v>399</v>
      </c>
      <c r="F23318" s="2" t="str">
        <f>HYPERLINK("http://www.otzar.org/book.asp?617964","מים אדירים &lt;מים מתוקים&gt;")</f>
        <v>מים אדירים &lt;מים מתוקים&gt;</v>
      </c>
    </row>
    <row r="23319" spans="1:6" x14ac:dyDescent="0.2">
      <c r="A23319" t="s">
        <v>37546</v>
      </c>
      <c r="B23319" t="s">
        <v>37547</v>
      </c>
      <c r="C23319" t="s">
        <v>1981</v>
      </c>
      <c r="D23319" t="s">
        <v>10197</v>
      </c>
      <c r="E23319" t="s">
        <v>8029</v>
      </c>
      <c r="F23319" s="2" t="str">
        <f>HYPERLINK("http://www.otzar.org/book.asp?141098","מים אדירים")</f>
        <v>מים אדירים</v>
      </c>
    </row>
    <row r="23320" spans="1:6" x14ac:dyDescent="0.2">
      <c r="A23320" t="s">
        <v>37548</v>
      </c>
      <c r="B23320" t="s">
        <v>37549</v>
      </c>
      <c r="C23320" t="s">
        <v>13</v>
      </c>
      <c r="D23320" t="s">
        <v>412</v>
      </c>
      <c r="E23320" t="s">
        <v>674</v>
      </c>
      <c r="F23320" s="2" t="str">
        <f>HYPERLINK("http://www.otzar.org/book.asp?145295","מים אדירים - 2 כר'")</f>
        <v>מים אדירים - 2 כר'</v>
      </c>
    </row>
    <row r="23321" spans="1:6" x14ac:dyDescent="0.2">
      <c r="A23321" t="s">
        <v>37550</v>
      </c>
      <c r="B23321" t="s">
        <v>1803</v>
      </c>
      <c r="C23321" t="s">
        <v>13</v>
      </c>
      <c r="D23321" t="s">
        <v>14</v>
      </c>
      <c r="E23321" t="s">
        <v>1847</v>
      </c>
      <c r="F23321" s="2" t="str">
        <f>HYPERLINK("http://www.otzar.org/book.asp?157646","מים אדירים - מנחם ציון &lt;מהדורה חדשה&gt;")</f>
        <v>מים אדירים - מנחם ציון &lt;מהדורה חדשה&gt;</v>
      </c>
    </row>
    <row r="23322" spans="1:6" x14ac:dyDescent="0.2">
      <c r="A23322" t="s">
        <v>37546</v>
      </c>
      <c r="B23322" t="s">
        <v>9405</v>
      </c>
      <c r="C23322" t="s">
        <v>3840</v>
      </c>
      <c r="D23322" t="s">
        <v>986</v>
      </c>
      <c r="E23322" t="s">
        <v>15280</v>
      </c>
      <c r="F23322" s="2" t="str">
        <f>HYPERLINK("http://www.otzar.org/book.asp?7537","מים אדירים")</f>
        <v>מים אדירים</v>
      </c>
    </row>
    <row r="23323" spans="1:6" x14ac:dyDescent="0.2">
      <c r="A23323" t="s">
        <v>37551</v>
      </c>
      <c r="B23323" t="s">
        <v>37552</v>
      </c>
      <c r="C23323" t="s">
        <v>383</v>
      </c>
      <c r="D23323" t="s">
        <v>216</v>
      </c>
      <c r="E23323" t="s">
        <v>154</v>
      </c>
      <c r="F23323" s="2" t="str">
        <f>HYPERLINK("http://www.otzar.org/book.asp?23070","מים ההלכה - 4 כר'")</f>
        <v>מים ההלכה - 4 כר'</v>
      </c>
    </row>
    <row r="23324" spans="1:6" x14ac:dyDescent="0.2">
      <c r="A23324" t="s">
        <v>37553</v>
      </c>
      <c r="B23324" t="s">
        <v>37554</v>
      </c>
      <c r="C23324" t="s">
        <v>321</v>
      </c>
      <c r="D23324" t="s">
        <v>76</v>
      </c>
      <c r="E23324" t="s">
        <v>154</v>
      </c>
      <c r="F23324" s="2" t="str">
        <f>HYPERLINK("http://www.otzar.org/book.asp?101120","מים החיים")</f>
        <v>מים החיים</v>
      </c>
    </row>
    <row r="23325" spans="1:6" x14ac:dyDescent="0.2">
      <c r="A23325" t="s">
        <v>37555</v>
      </c>
      <c r="B23325" t="s">
        <v>16703</v>
      </c>
      <c r="C23325" t="s">
        <v>503</v>
      </c>
      <c r="D23325" t="s">
        <v>1023</v>
      </c>
      <c r="E23325" t="s">
        <v>154</v>
      </c>
      <c r="F23325" s="2" t="str">
        <f>HYPERLINK("http://www.otzar.org/book.asp?28613","מים זכים")</f>
        <v>מים זכים</v>
      </c>
    </row>
    <row r="23326" spans="1:6" x14ac:dyDescent="0.2">
      <c r="A23326" t="s">
        <v>37556</v>
      </c>
      <c r="B23326" t="s">
        <v>33111</v>
      </c>
      <c r="C23326" t="s">
        <v>20</v>
      </c>
      <c r="D23326" t="s">
        <v>14</v>
      </c>
      <c r="E23326" t="s">
        <v>37557</v>
      </c>
      <c r="F23326" s="2" t="str">
        <f>HYPERLINK("http://www.otzar.org/book.asp?161789","מים חיים &lt;מהדורה חדשה&gt;")</f>
        <v>מים חיים &lt;מהדורה חדשה&gt;</v>
      </c>
    </row>
    <row r="23327" spans="1:6" x14ac:dyDescent="0.2">
      <c r="A23327" t="s">
        <v>37558</v>
      </c>
      <c r="B23327" t="s">
        <v>2999</v>
      </c>
      <c r="C23327" t="s">
        <v>151</v>
      </c>
      <c r="D23327" t="s">
        <v>14</v>
      </c>
      <c r="E23327" t="s">
        <v>154</v>
      </c>
      <c r="F23327" s="2" t="str">
        <f>HYPERLINK("http://www.otzar.org/book.asp?626107","מים חיים &lt;מהדורה חדשה&gt; - 2 כר'")</f>
        <v>מים חיים &lt;מהדורה חדשה&gt; - 2 כר'</v>
      </c>
    </row>
    <row r="23328" spans="1:6" x14ac:dyDescent="0.2">
      <c r="A23328" t="s">
        <v>37559</v>
      </c>
      <c r="B23328" t="s">
        <v>2999</v>
      </c>
      <c r="C23328" t="s">
        <v>151</v>
      </c>
      <c r="D23328" t="s">
        <v>14</v>
      </c>
      <c r="E23328" t="s">
        <v>154</v>
      </c>
      <c r="F23328" s="2" t="str">
        <f>HYPERLINK("http://www.otzar.org/book.asp?626150","מים חיים &lt;מים טהורים&gt; - ד")</f>
        <v>מים חיים &lt;מים טהורים&gt; - ד</v>
      </c>
    </row>
    <row r="23329" spans="1:6" x14ac:dyDescent="0.2">
      <c r="A23329" t="s">
        <v>37560</v>
      </c>
      <c r="B23329" t="s">
        <v>2999</v>
      </c>
      <c r="C23329" t="s">
        <v>151</v>
      </c>
      <c r="D23329" t="s">
        <v>14</v>
      </c>
      <c r="E23329" t="s">
        <v>154</v>
      </c>
      <c r="F23329" s="2" t="str">
        <f>HYPERLINK("http://www.otzar.org/book.asp?626149","מים חיים &lt;מים קדושים&gt; - ג")</f>
        <v>מים חיים &lt;מים קדושים&gt; - ג</v>
      </c>
    </row>
    <row r="23330" spans="1:6" x14ac:dyDescent="0.2">
      <c r="A23330" t="s">
        <v>37561</v>
      </c>
      <c r="B23330" t="s">
        <v>37562</v>
      </c>
      <c r="C23330" t="s">
        <v>244</v>
      </c>
      <c r="D23330" t="s">
        <v>21</v>
      </c>
      <c r="E23330" t="s">
        <v>119</v>
      </c>
      <c r="F23330" s="2" t="str">
        <f>HYPERLINK("http://www.otzar.org/book.asp?198223","מים חיים &lt;על הגר""ח קרייזווירט&gt;")</f>
        <v>מים חיים &lt;על הגר"ח קרייזווירט&gt;</v>
      </c>
    </row>
    <row r="23331" spans="1:6" x14ac:dyDescent="0.2">
      <c r="A23331" t="s">
        <v>37563</v>
      </c>
      <c r="B23331" t="s">
        <v>37564</v>
      </c>
      <c r="C23331" t="s">
        <v>454</v>
      </c>
      <c r="D23331" t="s">
        <v>1511</v>
      </c>
      <c r="E23331" t="s">
        <v>140</v>
      </c>
      <c r="F23331" s="2" t="str">
        <f>HYPERLINK("http://www.otzar.org/book.asp?25693","מים חיים על ליקוטי מוהר""ן")</f>
        <v>מים חיים על ליקוטי מוהר"ן</v>
      </c>
    </row>
    <row r="23332" spans="1:6" x14ac:dyDescent="0.2">
      <c r="A23332" t="s">
        <v>37565</v>
      </c>
      <c r="B23332" t="s">
        <v>37566</v>
      </c>
      <c r="C23332" t="s">
        <v>4304</v>
      </c>
      <c r="D23332" t="s">
        <v>4703</v>
      </c>
      <c r="E23332" t="s">
        <v>158</v>
      </c>
      <c r="F23332" s="2" t="str">
        <f>HYPERLINK("http://www.otzar.org/book.asp?24808","מים חיים שני")</f>
        <v>מים חיים שני</v>
      </c>
    </row>
    <row r="23333" spans="1:6" x14ac:dyDescent="0.2">
      <c r="A23333" t="s">
        <v>37567</v>
      </c>
      <c r="B23333" t="s">
        <v>7719</v>
      </c>
      <c r="C23333" t="s">
        <v>2213</v>
      </c>
      <c r="D23333" t="s">
        <v>2303</v>
      </c>
      <c r="E23333" t="s">
        <v>1626</v>
      </c>
      <c r="F23333" s="2" t="str">
        <f>HYPERLINK("http://www.otzar.org/book.asp?147116","מים חיים")</f>
        <v>מים חיים</v>
      </c>
    </row>
    <row r="23334" spans="1:6" x14ac:dyDescent="0.2">
      <c r="A23334" t="s">
        <v>37567</v>
      </c>
      <c r="B23334" t="s">
        <v>37568</v>
      </c>
      <c r="C23334" t="s">
        <v>224</v>
      </c>
      <c r="D23334" t="s">
        <v>646</v>
      </c>
      <c r="F23334" s="2" t="str">
        <f>HYPERLINK("http://www.otzar.org/book.asp?619455","מים חיים")</f>
        <v>מים חיים</v>
      </c>
    </row>
    <row r="23335" spans="1:6" x14ac:dyDescent="0.2">
      <c r="A23335" t="s">
        <v>37567</v>
      </c>
      <c r="B23335" t="s">
        <v>8498</v>
      </c>
      <c r="C23335" t="s">
        <v>2105</v>
      </c>
      <c r="D23335" t="s">
        <v>9</v>
      </c>
      <c r="E23335" t="s">
        <v>474</v>
      </c>
      <c r="F23335" s="2" t="str">
        <f>HYPERLINK("http://www.otzar.org/book.asp?51659","מים חיים")</f>
        <v>מים חיים</v>
      </c>
    </row>
    <row r="23336" spans="1:6" x14ac:dyDescent="0.2">
      <c r="A23336" t="s">
        <v>37569</v>
      </c>
      <c r="B23336" t="s">
        <v>37570</v>
      </c>
      <c r="C23336" t="s">
        <v>422</v>
      </c>
      <c r="D23336" t="s">
        <v>2909</v>
      </c>
      <c r="F23336" s="2" t="str">
        <f>HYPERLINK("http://www.otzar.org/book.asp?191656","מים חיים - 2 כר'")</f>
        <v>מים חיים - 2 כר'</v>
      </c>
    </row>
    <row r="23337" spans="1:6" x14ac:dyDescent="0.2">
      <c r="A23337" t="s">
        <v>37567</v>
      </c>
      <c r="B23337" t="s">
        <v>37571</v>
      </c>
      <c r="C23337" t="s">
        <v>547</v>
      </c>
      <c r="D23337" t="s">
        <v>17587</v>
      </c>
      <c r="E23337" t="s">
        <v>10</v>
      </c>
      <c r="F23337" s="2" t="str">
        <f>HYPERLINK("http://www.otzar.org/book.asp?140974","מים חיים")</f>
        <v>מים חיים</v>
      </c>
    </row>
    <row r="23338" spans="1:6" x14ac:dyDescent="0.2">
      <c r="A23338" t="s">
        <v>37569</v>
      </c>
      <c r="B23338" t="s">
        <v>33111</v>
      </c>
      <c r="C23338" t="s">
        <v>7364</v>
      </c>
      <c r="D23338" t="s">
        <v>1023</v>
      </c>
      <c r="E23338" t="s">
        <v>37572</v>
      </c>
      <c r="F23338" s="2" t="str">
        <f>HYPERLINK("http://www.otzar.org/book.asp?7099","מים חיים - 2 כר'")</f>
        <v>מים חיים - 2 כר'</v>
      </c>
    </row>
    <row r="23339" spans="1:6" x14ac:dyDescent="0.2">
      <c r="A23339" t="s">
        <v>37569</v>
      </c>
      <c r="B23339" t="s">
        <v>1964</v>
      </c>
      <c r="C23339" t="s">
        <v>1166</v>
      </c>
      <c r="D23339" t="s">
        <v>30</v>
      </c>
      <c r="E23339" t="s">
        <v>144</v>
      </c>
      <c r="F23339" s="2" t="str">
        <f>HYPERLINK("http://www.otzar.org/book.asp?25569","מים חיים - 2 כר'")</f>
        <v>מים חיים - 2 כר'</v>
      </c>
    </row>
    <row r="23340" spans="1:6" x14ac:dyDescent="0.2">
      <c r="A23340" t="s">
        <v>37567</v>
      </c>
      <c r="B23340" t="s">
        <v>686</v>
      </c>
      <c r="C23340" t="s">
        <v>68</v>
      </c>
      <c r="D23340" t="s">
        <v>52</v>
      </c>
      <c r="E23340" t="s">
        <v>104</v>
      </c>
      <c r="F23340" s="2" t="str">
        <f>HYPERLINK("http://www.otzar.org/book.asp?172428","מים חיים")</f>
        <v>מים חיים</v>
      </c>
    </row>
    <row r="23341" spans="1:6" x14ac:dyDescent="0.2">
      <c r="A23341" t="s">
        <v>37573</v>
      </c>
      <c r="B23341" t="s">
        <v>37574</v>
      </c>
      <c r="C23341" t="s">
        <v>71</v>
      </c>
      <c r="D23341" t="s">
        <v>657</v>
      </c>
      <c r="E23341" t="s">
        <v>15</v>
      </c>
      <c r="F23341" s="2" t="str">
        <f>HYPERLINK("http://www.otzar.org/book.asp?161244","מים חיים - מצות התלויות בארץ")</f>
        <v>מים חיים - מצות התלויות בארץ</v>
      </c>
    </row>
    <row r="23342" spans="1:6" x14ac:dyDescent="0.2">
      <c r="A23342" t="s">
        <v>37567</v>
      </c>
      <c r="B23342" t="s">
        <v>37566</v>
      </c>
      <c r="C23342" t="s">
        <v>4287</v>
      </c>
      <c r="D23342" t="s">
        <v>4703</v>
      </c>
      <c r="E23342" t="s">
        <v>158</v>
      </c>
      <c r="F23342" s="2" t="str">
        <f>HYPERLINK("http://www.otzar.org/book.asp?24807","מים חיים")</f>
        <v>מים חיים</v>
      </c>
    </row>
    <row r="23343" spans="1:6" x14ac:dyDescent="0.2">
      <c r="A23343" t="s">
        <v>37575</v>
      </c>
      <c r="B23343" t="s">
        <v>9496</v>
      </c>
      <c r="C23343" t="s">
        <v>143</v>
      </c>
      <c r="D23343" t="s">
        <v>216</v>
      </c>
      <c r="E23343" t="s">
        <v>154</v>
      </c>
      <c r="F23343" s="2" t="str">
        <f>HYPERLINK("http://www.otzar.org/book.asp?145239","מים חיים - 3 כר'")</f>
        <v>מים חיים - 3 כר'</v>
      </c>
    </row>
    <row r="23344" spans="1:6" x14ac:dyDescent="0.2">
      <c r="A23344" t="s">
        <v>37567</v>
      </c>
      <c r="B23344" t="s">
        <v>37576</v>
      </c>
      <c r="C23344" t="s">
        <v>366</v>
      </c>
      <c r="D23344" t="s">
        <v>14</v>
      </c>
      <c r="F23344" s="2" t="str">
        <f>HYPERLINK("http://www.otzar.org/book.asp?614472","מים חיים")</f>
        <v>מים חיים</v>
      </c>
    </row>
    <row r="23345" spans="1:6" x14ac:dyDescent="0.2">
      <c r="A23345" t="s">
        <v>37577</v>
      </c>
      <c r="B23345" t="s">
        <v>37578</v>
      </c>
      <c r="C23345" t="s">
        <v>129</v>
      </c>
      <c r="D23345" t="s">
        <v>367</v>
      </c>
      <c r="E23345" t="s">
        <v>325</v>
      </c>
      <c r="F23345" s="2" t="str">
        <f>HYPERLINK("http://www.otzar.org/book.asp?52354","מים חיים - עירובין")</f>
        <v>מים חיים - עירובין</v>
      </c>
    </row>
    <row r="23346" spans="1:6" x14ac:dyDescent="0.2">
      <c r="A23346" t="s">
        <v>37567</v>
      </c>
      <c r="B23346" t="s">
        <v>37579</v>
      </c>
      <c r="C23346" t="s">
        <v>1458</v>
      </c>
      <c r="D23346" t="s">
        <v>283</v>
      </c>
      <c r="E23346" t="s">
        <v>2572</v>
      </c>
      <c r="F23346" s="2" t="str">
        <f>HYPERLINK("http://www.otzar.org/book.asp?189506","מים חיים")</f>
        <v>מים חיים</v>
      </c>
    </row>
    <row r="23347" spans="1:6" x14ac:dyDescent="0.2">
      <c r="A23347" t="s">
        <v>37567</v>
      </c>
      <c r="B23347" t="s">
        <v>5636</v>
      </c>
      <c r="C23347" t="s">
        <v>20</v>
      </c>
      <c r="D23347" t="s">
        <v>1511</v>
      </c>
      <c r="E23347" t="s">
        <v>241</v>
      </c>
      <c r="F23347" s="2" t="str">
        <f>HYPERLINK("http://www.otzar.org/book.asp?165232","מים חיים")</f>
        <v>מים חיים</v>
      </c>
    </row>
    <row r="23348" spans="1:6" x14ac:dyDescent="0.2">
      <c r="A23348" t="s">
        <v>37569</v>
      </c>
      <c r="B23348" t="s">
        <v>37580</v>
      </c>
      <c r="C23348" t="s">
        <v>23</v>
      </c>
      <c r="D23348" t="s">
        <v>3283</v>
      </c>
      <c r="F23348" s="2" t="str">
        <f>HYPERLINK("http://www.otzar.org/book.asp?190047","מים חיים - 2 כר'")</f>
        <v>מים חיים - 2 כר'</v>
      </c>
    </row>
    <row r="23349" spans="1:6" x14ac:dyDescent="0.2">
      <c r="A23349" t="s">
        <v>37575</v>
      </c>
      <c r="B23349" t="s">
        <v>2999</v>
      </c>
      <c r="C23349" t="s">
        <v>908</v>
      </c>
      <c r="D23349" t="s">
        <v>7458</v>
      </c>
      <c r="E23349" t="s">
        <v>684</v>
      </c>
      <c r="F23349" s="2" t="str">
        <f>HYPERLINK("http://www.otzar.org/book.asp?21980","מים חיים - 3 כר'")</f>
        <v>מים חיים - 3 כר'</v>
      </c>
    </row>
    <row r="23350" spans="1:6" x14ac:dyDescent="0.2">
      <c r="A23350" t="s">
        <v>37567</v>
      </c>
      <c r="B23350" t="s">
        <v>5297</v>
      </c>
      <c r="C23350" t="s">
        <v>20</v>
      </c>
      <c r="D23350" t="s">
        <v>52</v>
      </c>
      <c r="F23350" s="2" t="str">
        <f>HYPERLINK("http://www.otzar.org/book.asp?622993","מים חיים")</f>
        <v>מים חיים</v>
      </c>
    </row>
    <row r="23351" spans="1:6" x14ac:dyDescent="0.2">
      <c r="A23351" t="s">
        <v>37567</v>
      </c>
      <c r="B23351" t="s">
        <v>552</v>
      </c>
      <c r="C23351" t="s">
        <v>1570</v>
      </c>
      <c r="D23351" t="s">
        <v>14</v>
      </c>
      <c r="E23351" t="s">
        <v>202</v>
      </c>
      <c r="F23351" s="2" t="str">
        <f>HYPERLINK("http://www.otzar.org/book.asp?15034","מים חיים")</f>
        <v>מים חיים</v>
      </c>
    </row>
    <row r="23352" spans="1:6" x14ac:dyDescent="0.2">
      <c r="A23352" t="s">
        <v>37567</v>
      </c>
      <c r="B23352" t="s">
        <v>2663</v>
      </c>
      <c r="C23352" t="s">
        <v>143</v>
      </c>
      <c r="D23352" t="s">
        <v>52</v>
      </c>
      <c r="E23352" t="s">
        <v>202</v>
      </c>
      <c r="F23352" s="2" t="str">
        <f>HYPERLINK("http://www.otzar.org/book.asp?189990","מים חיים")</f>
        <v>מים חיים</v>
      </c>
    </row>
    <row r="23353" spans="1:6" x14ac:dyDescent="0.2">
      <c r="A23353" t="s">
        <v>37567</v>
      </c>
      <c r="B23353" t="s">
        <v>37581</v>
      </c>
      <c r="C23353" t="s">
        <v>71</v>
      </c>
      <c r="D23353" t="s">
        <v>14605</v>
      </c>
      <c r="E23353" t="s">
        <v>15</v>
      </c>
      <c r="F23353" s="2" t="str">
        <f>HYPERLINK("http://www.otzar.org/book.asp?63324","מים חיים")</f>
        <v>מים חיים</v>
      </c>
    </row>
    <row r="23354" spans="1:6" x14ac:dyDescent="0.2">
      <c r="A23354" t="s">
        <v>37569</v>
      </c>
      <c r="B23354" t="s">
        <v>37582</v>
      </c>
      <c r="C23354" t="s">
        <v>20261</v>
      </c>
      <c r="D23354" t="s">
        <v>1419</v>
      </c>
      <c r="E23354" t="s">
        <v>2336</v>
      </c>
      <c r="F23354" s="2" t="str">
        <f>HYPERLINK("http://www.otzar.org/book.asp?101189","מים חיים - 2 כר'")</f>
        <v>מים חיים - 2 כר'</v>
      </c>
    </row>
    <row r="23355" spans="1:6" x14ac:dyDescent="0.2">
      <c r="A23355" t="s">
        <v>37575</v>
      </c>
      <c r="B23355" t="s">
        <v>37583</v>
      </c>
      <c r="C23355" t="s">
        <v>133</v>
      </c>
      <c r="D23355" t="s">
        <v>14</v>
      </c>
      <c r="E23355" t="s">
        <v>84</v>
      </c>
      <c r="F23355" s="2" t="str">
        <f>HYPERLINK("http://www.otzar.org/book.asp?605253","מים חיים - 3 כר'")</f>
        <v>מים חיים - 3 כר'</v>
      </c>
    </row>
    <row r="23356" spans="1:6" x14ac:dyDescent="0.2">
      <c r="A23356" t="s">
        <v>37567</v>
      </c>
      <c r="B23356" t="s">
        <v>37584</v>
      </c>
      <c r="C23356" t="s">
        <v>13</v>
      </c>
      <c r="D23356" t="s">
        <v>147</v>
      </c>
      <c r="E23356" t="s">
        <v>172</v>
      </c>
      <c r="F23356" s="2" t="str">
        <f>HYPERLINK("http://www.otzar.org/book.asp?152440","מים חיים")</f>
        <v>מים חיים</v>
      </c>
    </row>
    <row r="23357" spans="1:6" x14ac:dyDescent="0.2">
      <c r="A23357" t="s">
        <v>37585</v>
      </c>
      <c r="B23357" t="s">
        <v>37586</v>
      </c>
      <c r="C23357" t="s">
        <v>146</v>
      </c>
      <c r="D23357" t="s">
        <v>52</v>
      </c>
      <c r="E23357" t="s">
        <v>3489</v>
      </c>
      <c r="F23357" s="2" t="str">
        <f>HYPERLINK("http://www.otzar.org/book.asp?626727","מים חיים, באר מרים")</f>
        <v>מים חיים, באר מרים</v>
      </c>
    </row>
    <row r="23358" spans="1:6" x14ac:dyDescent="0.2">
      <c r="A23358" t="s">
        <v>37587</v>
      </c>
      <c r="B23358" t="s">
        <v>5139</v>
      </c>
      <c r="C23358" t="s">
        <v>13</v>
      </c>
      <c r="D23358" t="s">
        <v>14</v>
      </c>
      <c r="E23358" t="s">
        <v>84</v>
      </c>
      <c r="F23358" s="2" t="str">
        <f>HYPERLINK("http://www.otzar.org/book.asp?173795","מים טהורים &lt;מהדורה חדשה&gt;")</f>
        <v>מים טהורים &lt;מהדורה חדשה&gt;</v>
      </c>
    </row>
    <row r="23359" spans="1:6" x14ac:dyDescent="0.2">
      <c r="A23359" t="s">
        <v>37588</v>
      </c>
      <c r="B23359" t="s">
        <v>5139</v>
      </c>
      <c r="C23359" t="s">
        <v>37589</v>
      </c>
      <c r="D23359" t="s">
        <v>610</v>
      </c>
      <c r="E23359" t="s">
        <v>84</v>
      </c>
      <c r="F23359" s="2" t="str">
        <f>HYPERLINK("http://www.otzar.org/book.asp?7095","מים טהורים השלם - 2 כר'")</f>
        <v>מים טהורים השלם - 2 כר'</v>
      </c>
    </row>
    <row r="23360" spans="1:6" x14ac:dyDescent="0.2">
      <c r="A23360" t="s">
        <v>37590</v>
      </c>
      <c r="B23360" t="s">
        <v>37591</v>
      </c>
      <c r="C23360" t="s">
        <v>23</v>
      </c>
      <c r="D23360" t="s">
        <v>21</v>
      </c>
      <c r="E23360" t="s">
        <v>84</v>
      </c>
      <c r="F23360" s="2" t="str">
        <f>HYPERLINK("http://www.otzar.org/book.asp?191605","מים טהורים - מכשירין, זבין")</f>
        <v>מים טהורים - מכשירין, זבין</v>
      </c>
    </row>
    <row r="23361" spans="1:6" x14ac:dyDescent="0.2">
      <c r="A23361" t="s">
        <v>37592</v>
      </c>
      <c r="B23361" t="s">
        <v>37593</v>
      </c>
      <c r="C23361" t="s">
        <v>1284</v>
      </c>
      <c r="D23361" t="s">
        <v>17609</v>
      </c>
      <c r="E23361" t="s">
        <v>15</v>
      </c>
      <c r="F23361" s="2" t="str">
        <f>HYPERLINK("http://www.otzar.org/book.asp?189505","מים טהורים")</f>
        <v>מים טהורים</v>
      </c>
    </row>
    <row r="23362" spans="1:6" x14ac:dyDescent="0.2">
      <c r="A23362" t="s">
        <v>37594</v>
      </c>
      <c r="B23362" t="s">
        <v>37595</v>
      </c>
      <c r="C23362" t="s">
        <v>37</v>
      </c>
      <c r="D23362" t="s">
        <v>245</v>
      </c>
      <c r="F23362" s="2" t="str">
        <f>HYPERLINK("http://www.otzar.org/book.asp?181962","מים טהורים - 2 כר'")</f>
        <v>מים טהורים - 2 כר'</v>
      </c>
    </row>
    <row r="23363" spans="1:6" x14ac:dyDescent="0.2">
      <c r="A23363" t="s">
        <v>37596</v>
      </c>
      <c r="B23363" t="s">
        <v>31153</v>
      </c>
      <c r="C23363" t="s">
        <v>189</v>
      </c>
      <c r="D23363" t="s">
        <v>245</v>
      </c>
      <c r="F23363" s="2" t="str">
        <f>HYPERLINK("http://www.otzar.org/book.asp?169594","מים יחזקאל &lt;מכון משנת ר""א&gt;")</f>
        <v>מים יחזקאל &lt;מכון משנת ר"א&gt;</v>
      </c>
    </row>
    <row r="23364" spans="1:6" x14ac:dyDescent="0.2">
      <c r="A23364" t="s">
        <v>37597</v>
      </c>
      <c r="B23364" t="s">
        <v>31153</v>
      </c>
      <c r="C23364" t="s">
        <v>4404</v>
      </c>
      <c r="D23364" t="s">
        <v>6776</v>
      </c>
      <c r="E23364" t="s">
        <v>230</v>
      </c>
      <c r="F23364" s="2" t="str">
        <f>HYPERLINK("http://www.otzar.org/book.asp?16020","מים יחזקאל")</f>
        <v>מים יחזקאל</v>
      </c>
    </row>
    <row r="23365" spans="1:6" x14ac:dyDescent="0.2">
      <c r="A23365" t="s">
        <v>37598</v>
      </c>
      <c r="B23365" t="s">
        <v>37599</v>
      </c>
      <c r="C23365" t="s">
        <v>1374</v>
      </c>
      <c r="D23365" t="s">
        <v>37168</v>
      </c>
      <c r="E23365" t="s">
        <v>474</v>
      </c>
      <c r="F23365" s="2" t="str">
        <f>HYPERLINK("http://www.otzar.org/book.asp?189504","מים מגבא")</f>
        <v>מים מגבא</v>
      </c>
    </row>
    <row r="23366" spans="1:6" x14ac:dyDescent="0.2">
      <c r="A23366" t="s">
        <v>37600</v>
      </c>
      <c r="B23366" t="s">
        <v>37601</v>
      </c>
      <c r="C23366" t="s">
        <v>334</v>
      </c>
      <c r="D23366" t="s">
        <v>14</v>
      </c>
      <c r="E23366" t="s">
        <v>15</v>
      </c>
      <c r="F23366" s="2" t="str">
        <f>HYPERLINK("http://www.otzar.org/book.asp?8277","מים מדליו")</f>
        <v>מים מדליו</v>
      </c>
    </row>
    <row r="23367" spans="1:6" x14ac:dyDescent="0.2">
      <c r="A23367" t="s">
        <v>37600</v>
      </c>
      <c r="B23367" t="s">
        <v>8045</v>
      </c>
      <c r="C23367" t="s">
        <v>114</v>
      </c>
      <c r="D23367" t="s">
        <v>1156</v>
      </c>
      <c r="E23367" t="s">
        <v>130</v>
      </c>
      <c r="F23367" s="2" t="str">
        <f>HYPERLINK("http://www.otzar.org/book.asp?163695","מים מדליו")</f>
        <v>מים מדליו</v>
      </c>
    </row>
    <row r="23368" spans="1:6" x14ac:dyDescent="0.2">
      <c r="A23368" t="s">
        <v>37602</v>
      </c>
      <c r="B23368" t="s">
        <v>2396</v>
      </c>
      <c r="C23368" t="s">
        <v>313</v>
      </c>
      <c r="D23368" t="s">
        <v>1076</v>
      </c>
      <c r="E23368" t="s">
        <v>158</v>
      </c>
      <c r="F23368" s="2" t="str">
        <f>HYPERLINK("http://www.otzar.org/book.asp?22902","מים נאמנים")</f>
        <v>מים נאמנים</v>
      </c>
    </row>
    <row r="23369" spans="1:6" x14ac:dyDescent="0.2">
      <c r="A23369" t="s">
        <v>37603</v>
      </c>
      <c r="B23369" t="s">
        <v>37604</v>
      </c>
      <c r="C23369" t="s">
        <v>189</v>
      </c>
      <c r="D23369" t="s">
        <v>14</v>
      </c>
      <c r="E23369" t="s">
        <v>84</v>
      </c>
      <c r="F23369" s="2" t="str">
        <f>HYPERLINK("http://www.otzar.org/book.asp?161749","מים עזים")</f>
        <v>מים עזים</v>
      </c>
    </row>
    <row r="23370" spans="1:6" x14ac:dyDescent="0.2">
      <c r="A23370" t="s">
        <v>37605</v>
      </c>
      <c r="B23370" t="s">
        <v>37606</v>
      </c>
      <c r="C23370" t="s">
        <v>775</v>
      </c>
      <c r="D23370" t="s">
        <v>27</v>
      </c>
      <c r="E23370" t="s">
        <v>158</v>
      </c>
      <c r="F23370" s="2" t="str">
        <f>HYPERLINK("http://www.otzar.org/book.asp?179429","מים עמוקים &lt;פותר מים&gt;")</f>
        <v>מים עמוקים &lt;פותר מים&gt;</v>
      </c>
    </row>
    <row r="23371" spans="1:6" x14ac:dyDescent="0.2">
      <c r="A23371" t="s">
        <v>37607</v>
      </c>
      <c r="B23371" t="s">
        <v>37608</v>
      </c>
      <c r="C23371" t="s">
        <v>528</v>
      </c>
      <c r="D23371" t="s">
        <v>280</v>
      </c>
      <c r="E23371" t="s">
        <v>154</v>
      </c>
      <c r="F23371" s="2" t="str">
        <f>HYPERLINK("http://www.otzar.org/book.asp?101186","מים עמוקים &lt;תשובות ראנ""ח&gt; - 2 כר'")</f>
        <v>מים עמוקים &lt;תשובות ראנ"ח&gt; - 2 כר'</v>
      </c>
    </row>
    <row r="23372" spans="1:6" x14ac:dyDescent="0.2">
      <c r="A23372" t="s">
        <v>37609</v>
      </c>
      <c r="B23372" t="s">
        <v>4142</v>
      </c>
      <c r="C23372" t="s">
        <v>473</v>
      </c>
      <c r="D23372" t="s">
        <v>379</v>
      </c>
      <c r="E23372" t="s">
        <v>148</v>
      </c>
      <c r="F23372" s="2" t="str">
        <f>HYPERLINK("http://www.otzar.org/book.asp?20809","מים עמוקים &lt;פעמוני זהב, מנחת כהן, אסיפת דינים&gt;")</f>
        <v>מים עמוקים &lt;פעמוני זהב, מנחת כהן, אסיפת דינים&gt;</v>
      </c>
    </row>
    <row r="23373" spans="1:6" x14ac:dyDescent="0.2">
      <c r="A23373" t="s">
        <v>37610</v>
      </c>
      <c r="B23373" t="s">
        <v>37611</v>
      </c>
      <c r="C23373" t="s">
        <v>332</v>
      </c>
      <c r="D23373" t="s">
        <v>27</v>
      </c>
      <c r="F23373" s="2" t="str">
        <f>HYPERLINK("http://www.otzar.org/book.asp?155881","מים עמוקים - גלי עמיקתא - שושנת העמקים")</f>
        <v>מים עמוקים - גלי עמיקתא - שושנת העמקים</v>
      </c>
    </row>
    <row r="23374" spans="1:6" x14ac:dyDescent="0.2">
      <c r="A23374" t="s">
        <v>37612</v>
      </c>
      <c r="B23374" t="s">
        <v>37613</v>
      </c>
      <c r="C23374" t="s">
        <v>79</v>
      </c>
      <c r="D23374" t="s">
        <v>27</v>
      </c>
      <c r="E23374" t="s">
        <v>158</v>
      </c>
      <c r="F23374" s="2" t="str">
        <f>HYPERLINK("http://www.otzar.org/book.asp?102419","מים עמוקים - 2 כר'")</f>
        <v>מים עמוקים - 2 כר'</v>
      </c>
    </row>
    <row r="23375" spans="1:6" x14ac:dyDescent="0.2">
      <c r="A23375" t="s">
        <v>37614</v>
      </c>
      <c r="B23375" t="s">
        <v>37615</v>
      </c>
      <c r="C23375" t="s">
        <v>14352</v>
      </c>
      <c r="D23375" t="s">
        <v>60</v>
      </c>
      <c r="E23375" t="s">
        <v>2088</v>
      </c>
      <c r="F23375" s="2" t="str">
        <f>HYPERLINK("http://www.otzar.org/book.asp?101188","מים עמוקים")</f>
        <v>מים עמוקים</v>
      </c>
    </row>
    <row r="23376" spans="1:6" x14ac:dyDescent="0.2">
      <c r="A23376" t="s">
        <v>37616</v>
      </c>
      <c r="B23376" t="s">
        <v>18159</v>
      </c>
      <c r="C23376" t="s">
        <v>37</v>
      </c>
      <c r="D23376" t="s">
        <v>14</v>
      </c>
      <c r="E23376" t="s">
        <v>104</v>
      </c>
      <c r="F23376" s="2" t="str">
        <f>HYPERLINK("http://www.otzar.org/book.asp?629151","מים עמוקים - ירח האיתנים")</f>
        <v>מים עמוקים - ירח האיתנים</v>
      </c>
    </row>
    <row r="23377" spans="1:6" x14ac:dyDescent="0.2">
      <c r="A23377" t="s">
        <v>37617</v>
      </c>
      <c r="B23377" t="s">
        <v>37618</v>
      </c>
      <c r="C23377" t="s">
        <v>785</v>
      </c>
      <c r="D23377" t="s">
        <v>14</v>
      </c>
      <c r="E23377" t="s">
        <v>508</v>
      </c>
      <c r="F23377" s="2" t="str">
        <f>HYPERLINK("http://www.otzar.org/book.asp?152731","מים קדושים - 2 כר'")</f>
        <v>מים קדושים - 2 כר'</v>
      </c>
    </row>
    <row r="23378" spans="1:6" x14ac:dyDescent="0.2">
      <c r="A23378" t="s">
        <v>37619</v>
      </c>
      <c r="B23378" t="s">
        <v>37620</v>
      </c>
      <c r="C23378" t="s">
        <v>1150</v>
      </c>
      <c r="D23378" t="s">
        <v>76</v>
      </c>
      <c r="E23378" t="s">
        <v>930</v>
      </c>
      <c r="F23378" s="2" t="str">
        <f>HYPERLINK("http://www.otzar.org/book.asp?101121","מים קדושים")</f>
        <v>מים קדושים</v>
      </c>
    </row>
    <row r="23379" spans="1:6" x14ac:dyDescent="0.2">
      <c r="A23379" t="s">
        <v>37621</v>
      </c>
      <c r="B23379" t="s">
        <v>37622</v>
      </c>
      <c r="C23379" t="s">
        <v>129</v>
      </c>
      <c r="D23379" t="s">
        <v>52</v>
      </c>
      <c r="E23379" t="s">
        <v>3489</v>
      </c>
      <c r="F23379" s="2" t="str">
        <f>HYPERLINK("http://www.otzar.org/book.asp?159426","מים קדושים - מקואות")</f>
        <v>מים קדושים - מקואות</v>
      </c>
    </row>
    <row r="23380" spans="1:6" x14ac:dyDescent="0.2">
      <c r="A23380" t="s">
        <v>37623</v>
      </c>
      <c r="B23380" t="s">
        <v>37624</v>
      </c>
      <c r="C23380" t="s">
        <v>366</v>
      </c>
      <c r="D23380" t="s">
        <v>14</v>
      </c>
      <c r="F23380" s="2" t="str">
        <f>HYPERLINK("http://www.otzar.org/book.asp?603785","מים רבים - סוכה")</f>
        <v>מים רבים - סוכה</v>
      </c>
    </row>
    <row r="23381" spans="1:6" x14ac:dyDescent="0.2">
      <c r="A23381" t="s">
        <v>37625</v>
      </c>
      <c r="B23381" t="s">
        <v>8981</v>
      </c>
      <c r="C23381" t="s">
        <v>1096</v>
      </c>
      <c r="D23381" t="s">
        <v>283</v>
      </c>
      <c r="E23381" t="s">
        <v>2098</v>
      </c>
      <c r="F23381" s="2" t="str">
        <f>HYPERLINK("http://www.otzar.org/book.asp?145186","מים רבים - 2 כר'")</f>
        <v>מים רבים - 2 כר'</v>
      </c>
    </row>
    <row r="23382" spans="1:6" x14ac:dyDescent="0.2">
      <c r="A23382" t="s">
        <v>37626</v>
      </c>
      <c r="B23382" t="s">
        <v>37627</v>
      </c>
      <c r="C23382" t="s">
        <v>146</v>
      </c>
      <c r="D23382" t="s">
        <v>34614</v>
      </c>
      <c r="E23382" t="s">
        <v>27643</v>
      </c>
      <c r="F23382" s="2" t="str">
        <f>HYPERLINK("http://www.otzar.org/book.asp?150861","מים רבים")</f>
        <v>מים רבים</v>
      </c>
    </row>
    <row r="23383" spans="1:6" x14ac:dyDescent="0.2">
      <c r="A23383" t="s">
        <v>37625</v>
      </c>
      <c r="B23383" t="s">
        <v>37628</v>
      </c>
      <c r="C23383" t="s">
        <v>2236</v>
      </c>
      <c r="D23383" t="s">
        <v>1023</v>
      </c>
      <c r="E23383" t="s">
        <v>154</v>
      </c>
      <c r="F23383" s="2" t="str">
        <f>HYPERLINK("http://www.otzar.org/book.asp?24643","מים רבים - 2 כר'")</f>
        <v>מים רבים - 2 כר'</v>
      </c>
    </row>
    <row r="23384" spans="1:6" x14ac:dyDescent="0.2">
      <c r="A23384" t="s">
        <v>37629</v>
      </c>
      <c r="B23384" t="s">
        <v>37630</v>
      </c>
      <c r="C23384" t="s">
        <v>553</v>
      </c>
      <c r="D23384" t="s">
        <v>14</v>
      </c>
      <c r="E23384" t="s">
        <v>226</v>
      </c>
      <c r="F23384" s="2" t="str">
        <f>HYPERLINK("http://www.otzar.org/book.asp?26340","מים רבים, יסוד צדיק")</f>
        <v>מים רבים, יסוד צדיק</v>
      </c>
    </row>
    <row r="23385" spans="1:6" x14ac:dyDescent="0.2">
      <c r="A23385" t="s">
        <v>37631</v>
      </c>
      <c r="B23385" t="s">
        <v>37630</v>
      </c>
      <c r="C23385" t="s">
        <v>334</v>
      </c>
      <c r="D23385" t="s">
        <v>14</v>
      </c>
      <c r="E23385" t="s">
        <v>12174</v>
      </c>
      <c r="F23385" s="2" t="str">
        <f>HYPERLINK("http://www.otzar.org/book.asp?623434","מים רבים, רזין דאורייתא, תפארת צבי זאב")</f>
        <v>מים רבים, רזין דאורייתא, תפארת צבי זאב</v>
      </c>
    </row>
    <row r="23386" spans="1:6" x14ac:dyDescent="0.2">
      <c r="A23386" t="s">
        <v>37632</v>
      </c>
      <c r="B23386" t="s">
        <v>37633</v>
      </c>
      <c r="C23386" t="s">
        <v>1160</v>
      </c>
      <c r="D23386" t="s">
        <v>14</v>
      </c>
      <c r="E23386" t="s">
        <v>158</v>
      </c>
      <c r="F23386" s="2" t="str">
        <f>HYPERLINK("http://www.otzar.org/book.asp?157481","מים שאובים")</f>
        <v>מים שאובים</v>
      </c>
    </row>
    <row r="23387" spans="1:6" x14ac:dyDescent="0.2">
      <c r="A23387" t="s">
        <v>37634</v>
      </c>
      <c r="B23387" t="s">
        <v>37635</v>
      </c>
      <c r="C23387" t="s">
        <v>366</v>
      </c>
      <c r="D23387" t="s">
        <v>4549</v>
      </c>
      <c r="E23387" t="s">
        <v>144</v>
      </c>
      <c r="F23387" s="2" t="str">
        <f>HYPERLINK("http://www.otzar.org/book.asp?623385","מים שאובים - פסחים")</f>
        <v>מים שאובים - פסחים</v>
      </c>
    </row>
    <row r="23388" spans="1:6" x14ac:dyDescent="0.2">
      <c r="A23388" t="s">
        <v>37636</v>
      </c>
      <c r="B23388" t="s">
        <v>12119</v>
      </c>
      <c r="C23388" t="s">
        <v>1937</v>
      </c>
      <c r="D23388" t="s">
        <v>76</v>
      </c>
      <c r="E23388" t="s">
        <v>508</v>
      </c>
      <c r="F23388" s="2" t="str">
        <f>HYPERLINK("http://www.otzar.org/book.asp?101122","מים שאל")</f>
        <v>מים שאל</v>
      </c>
    </row>
    <row r="23389" spans="1:6" x14ac:dyDescent="0.2">
      <c r="A23389" t="s">
        <v>37637</v>
      </c>
      <c r="B23389" t="s">
        <v>37638</v>
      </c>
      <c r="C23389" t="s">
        <v>550</v>
      </c>
      <c r="D23389" t="s">
        <v>267</v>
      </c>
      <c r="E23389" t="s">
        <v>435</v>
      </c>
      <c r="F23389" s="2" t="str">
        <f>HYPERLINK("http://www.otzar.org/book.asp?200161","מימי הדעת - 2 כר'")</f>
        <v>מימי הדעת - 2 כר'</v>
      </c>
    </row>
    <row r="23390" spans="1:6" x14ac:dyDescent="0.2">
      <c r="A23390" t="s">
        <v>37639</v>
      </c>
      <c r="B23390" t="s">
        <v>702</v>
      </c>
      <c r="C23390" t="s">
        <v>946</v>
      </c>
      <c r="D23390" t="s">
        <v>27</v>
      </c>
      <c r="E23390" t="s">
        <v>140</v>
      </c>
      <c r="F23390" s="2" t="str">
        <f>HYPERLINK("http://www.otzar.org/book.asp?103493","מימי הירדן")</f>
        <v>מימי הירדן</v>
      </c>
    </row>
    <row r="23391" spans="1:6" x14ac:dyDescent="0.2">
      <c r="A23391" t="s">
        <v>37640</v>
      </c>
      <c r="B23391" t="s">
        <v>2396</v>
      </c>
      <c r="C23391" t="s">
        <v>366</v>
      </c>
      <c r="D23391" t="s">
        <v>1076</v>
      </c>
      <c r="E23391" t="s">
        <v>158</v>
      </c>
      <c r="F23391" s="2" t="str">
        <f>HYPERLINK("http://www.otzar.org/book.asp?617276","מימי קדם - בפסוקי התורה")</f>
        <v>מימי קדם - בפסוקי התורה</v>
      </c>
    </row>
    <row r="23392" spans="1:6" x14ac:dyDescent="0.2">
      <c r="A23392" t="s">
        <v>37641</v>
      </c>
      <c r="B23392" t="s">
        <v>552</v>
      </c>
      <c r="C23392" t="s">
        <v>13</v>
      </c>
      <c r="D23392" t="s">
        <v>14</v>
      </c>
      <c r="E23392" t="s">
        <v>384</v>
      </c>
      <c r="F23392" s="2" t="str">
        <f>HYPERLINK("http://www.otzar.org/book.asp?151678","מימיני מיכאל")</f>
        <v>מימיני מיכאל</v>
      </c>
    </row>
    <row r="23393" spans="1:6" x14ac:dyDescent="0.2">
      <c r="A23393" t="s">
        <v>37642</v>
      </c>
      <c r="B23393" t="s">
        <v>37643</v>
      </c>
      <c r="C23393" t="s">
        <v>624</v>
      </c>
      <c r="D23393" t="s">
        <v>14</v>
      </c>
      <c r="E23393" t="s">
        <v>144</v>
      </c>
      <c r="F23393" s="2" t="str">
        <f>HYPERLINK("http://www.otzar.org/book.asp?50770","מימיני מיכאל - 4 כר'")</f>
        <v>מימיני מיכאל - 4 כר'</v>
      </c>
    </row>
    <row r="23394" spans="1:6" x14ac:dyDescent="0.2">
      <c r="A23394" t="s">
        <v>37644</v>
      </c>
      <c r="B23394" t="s">
        <v>37645</v>
      </c>
      <c r="C23394" t="s">
        <v>189</v>
      </c>
      <c r="D23394" t="s">
        <v>412</v>
      </c>
      <c r="E23394" t="s">
        <v>144</v>
      </c>
      <c r="F23394" s="2" t="str">
        <f>HYPERLINK("http://www.otzar.org/book.asp?195565","מימיני מיכאל - 6 כר'")</f>
        <v>מימיני מיכאל - 6 כר'</v>
      </c>
    </row>
    <row r="23395" spans="1:6" x14ac:dyDescent="0.2">
      <c r="A23395" t="s">
        <v>37646</v>
      </c>
      <c r="B23395" t="s">
        <v>37647</v>
      </c>
      <c r="C23395" t="s">
        <v>419</v>
      </c>
      <c r="D23395" t="s">
        <v>14</v>
      </c>
      <c r="E23395" t="s">
        <v>733</v>
      </c>
      <c r="F23395" s="2" t="str">
        <f>HYPERLINK("http://www.otzar.org/book.asp?64210","מינוי ושחיטה בתימן בדורות האחרונים")</f>
        <v>מינוי ושחיטה בתימן בדורות האחרונים</v>
      </c>
    </row>
    <row r="23396" spans="1:6" x14ac:dyDescent="0.2">
      <c r="A23396" t="s">
        <v>37648</v>
      </c>
      <c r="B23396" t="s">
        <v>37649</v>
      </c>
      <c r="C23396" t="s">
        <v>244</v>
      </c>
      <c r="D23396" t="s">
        <v>90</v>
      </c>
      <c r="E23396" t="s">
        <v>246</v>
      </c>
      <c r="F23396" s="2" t="str">
        <f>HYPERLINK("http://www.otzar.org/book.asp?607263","מיני מגדים")</f>
        <v>מיני מגדים</v>
      </c>
    </row>
    <row r="23397" spans="1:6" x14ac:dyDescent="0.2">
      <c r="A23397" t="s">
        <v>37650</v>
      </c>
      <c r="B23397" t="s">
        <v>37651</v>
      </c>
      <c r="C23397" t="s">
        <v>244</v>
      </c>
      <c r="D23397" t="s">
        <v>14</v>
      </c>
      <c r="F23397" s="2" t="str">
        <f>HYPERLINK("http://www.otzar.org/book.asp?197657","מיני מנחה")</f>
        <v>מיני מנחה</v>
      </c>
    </row>
    <row r="23398" spans="1:6" x14ac:dyDescent="0.2">
      <c r="A23398" t="s">
        <v>37652</v>
      </c>
      <c r="B23398" t="s">
        <v>6636</v>
      </c>
      <c r="C23398" t="s">
        <v>943</v>
      </c>
      <c r="D23398" t="s">
        <v>212</v>
      </c>
      <c r="E23398" t="s">
        <v>564</v>
      </c>
      <c r="F23398" s="2" t="str">
        <f>HYPERLINK("http://www.otzar.org/book.asp?103495","מיני מתיקה")</f>
        <v>מיני מתיקה</v>
      </c>
    </row>
    <row r="23399" spans="1:6" x14ac:dyDescent="0.2">
      <c r="A23399" t="s">
        <v>37653</v>
      </c>
      <c r="B23399" t="s">
        <v>7457</v>
      </c>
      <c r="C23399" t="s">
        <v>411</v>
      </c>
      <c r="D23399" t="s">
        <v>14</v>
      </c>
      <c r="E23399" t="s">
        <v>37654</v>
      </c>
      <c r="F23399" s="2" t="str">
        <f>HYPERLINK("http://www.otzar.org/book.asp?171447","מיני מתיקה, עטרת פז, ארבעה שומרים, שיר חדש &lt;מהדורת ישמח לב&gt;")</f>
        <v>מיני מתיקה, עטרת פז, ארבעה שומרים, שיר חדש &lt;מהדורת ישמח לב&gt;</v>
      </c>
    </row>
    <row r="23400" spans="1:6" x14ac:dyDescent="0.2">
      <c r="A23400" t="s">
        <v>37655</v>
      </c>
      <c r="B23400" t="s">
        <v>2700</v>
      </c>
      <c r="C23400" t="s">
        <v>8375</v>
      </c>
      <c r="D23400" t="s">
        <v>56</v>
      </c>
      <c r="E23400" t="s">
        <v>474</v>
      </c>
      <c r="F23400" s="2" t="str">
        <f>HYPERLINK("http://www.otzar.org/book.asp?173419","מיני תרגומא - 2 כר'")</f>
        <v>מיני תרגומא - 2 כר'</v>
      </c>
    </row>
    <row r="23401" spans="1:6" x14ac:dyDescent="0.2">
      <c r="A23401" t="s">
        <v>37656</v>
      </c>
      <c r="B23401" t="s">
        <v>11403</v>
      </c>
      <c r="C23401" t="s">
        <v>362</v>
      </c>
      <c r="D23401" t="s">
        <v>4269</v>
      </c>
      <c r="E23401" t="s">
        <v>241</v>
      </c>
      <c r="F23401" s="2" t="str">
        <f>HYPERLINK("http://www.otzar.org/book.asp?16543","מיני תרגימא")</f>
        <v>מיני תרגימא</v>
      </c>
    </row>
    <row r="23402" spans="1:6" x14ac:dyDescent="0.2">
      <c r="A23402" t="s">
        <v>37657</v>
      </c>
      <c r="B23402" t="s">
        <v>37658</v>
      </c>
      <c r="C23402" t="s">
        <v>12976</v>
      </c>
      <c r="D23402" t="s">
        <v>1117</v>
      </c>
      <c r="E23402" t="s">
        <v>4738</v>
      </c>
      <c r="F23402" s="2" t="str">
        <f>HYPERLINK("http://www.otzar.org/book.asp?105785","מינקת רבקה")</f>
        <v>מינקת רבקה</v>
      </c>
    </row>
    <row r="23403" spans="1:6" x14ac:dyDescent="0.2">
      <c r="A23403" t="s">
        <v>37659</v>
      </c>
      <c r="B23403" t="s">
        <v>27352</v>
      </c>
      <c r="C23403" t="s">
        <v>1268</v>
      </c>
      <c r="D23403" t="s">
        <v>1974</v>
      </c>
      <c r="E23403" t="s">
        <v>104</v>
      </c>
      <c r="F23403" s="2" t="str">
        <f>HYPERLINK("http://www.otzar.org/book.asp?64126","מיצירות ספרותיות מתימן")</f>
        <v>מיצירות ספרותיות מתימן</v>
      </c>
    </row>
    <row r="23404" spans="1:6" x14ac:dyDescent="0.2">
      <c r="A23404" t="s">
        <v>37660</v>
      </c>
      <c r="B23404" t="s">
        <v>37661</v>
      </c>
      <c r="C23404" t="s">
        <v>1811</v>
      </c>
      <c r="D23404" t="s">
        <v>216</v>
      </c>
      <c r="F23404" s="2" t="str">
        <f>HYPERLINK("http://www.otzar.org/book.asp?612182","מיקירי ירושלים")</f>
        <v>מיקירי ירושלים</v>
      </c>
    </row>
    <row r="23405" spans="1:6" x14ac:dyDescent="0.2">
      <c r="A23405" t="s">
        <v>37662</v>
      </c>
      <c r="B23405" t="s">
        <v>6658</v>
      </c>
      <c r="C23405" t="s">
        <v>725</v>
      </c>
      <c r="D23405" t="s">
        <v>27</v>
      </c>
      <c r="E23405" t="s">
        <v>733</v>
      </c>
      <c r="F23405" s="2" t="str">
        <f>HYPERLINK("http://www.otzar.org/book.asp?189633","מיקירי ירושלם")</f>
        <v>מיקירי ירושלם</v>
      </c>
    </row>
    <row r="23406" spans="1:6" x14ac:dyDescent="0.2">
      <c r="A23406" t="s">
        <v>37663</v>
      </c>
      <c r="B23406" t="s">
        <v>15326</v>
      </c>
      <c r="C23406" t="s">
        <v>37664</v>
      </c>
      <c r="D23406" t="s">
        <v>225</v>
      </c>
      <c r="E23406" t="s">
        <v>3223</v>
      </c>
      <c r="F23406" s="2" t="str">
        <f>HYPERLINK("http://www.otzar.org/book.asp?424","מיקירי ירושלמי - 3 כר'")</f>
        <v>מיקירי ירושלמי - 3 כר'</v>
      </c>
    </row>
    <row r="23407" spans="1:6" x14ac:dyDescent="0.2">
      <c r="A23407" t="s">
        <v>37665</v>
      </c>
      <c r="B23407" t="s">
        <v>9358</v>
      </c>
      <c r="C23407" t="s">
        <v>26</v>
      </c>
      <c r="D23407" t="s">
        <v>14</v>
      </c>
      <c r="E23407" t="s">
        <v>2633</v>
      </c>
      <c r="F23407" s="2" t="str">
        <f>HYPERLINK("http://www.otzar.org/book.asp?151208","מיר - אנציקלופדיה של גלויות")</f>
        <v>מיר - אנציקלופדיה של גלויות</v>
      </c>
    </row>
    <row r="23408" spans="1:6" x14ac:dyDescent="0.2">
      <c r="A23408" t="s">
        <v>37666</v>
      </c>
      <c r="B23408" t="s">
        <v>5447</v>
      </c>
      <c r="C23408" t="s">
        <v>1268</v>
      </c>
      <c r="D23408" t="s">
        <v>216</v>
      </c>
      <c r="E23408" t="s">
        <v>119</v>
      </c>
      <c r="F23408" s="2" t="str">
        <f>HYPERLINK("http://www.otzar.org/book.asp?143137","מיר - תולדות ישיבת מיר")</f>
        <v>מיר - תולדות ישיבת מיר</v>
      </c>
    </row>
    <row r="23409" spans="1:6" x14ac:dyDescent="0.2">
      <c r="A23409" t="s">
        <v>37667</v>
      </c>
      <c r="B23409" t="s">
        <v>37668</v>
      </c>
      <c r="C23409" t="s">
        <v>37</v>
      </c>
      <c r="D23409" t="s">
        <v>14</v>
      </c>
      <c r="E23409" t="s">
        <v>158</v>
      </c>
      <c r="F23409" s="2" t="str">
        <f>HYPERLINK("http://www.otzar.org/book.asp?619925","מירא דכיא - 3 כר'")</f>
        <v>מירא דכיא - 3 כר'</v>
      </c>
    </row>
    <row r="23410" spans="1:6" x14ac:dyDescent="0.2">
      <c r="A23410" t="s">
        <v>37669</v>
      </c>
      <c r="B23410" t="s">
        <v>13063</v>
      </c>
      <c r="C23410" t="s">
        <v>1335</v>
      </c>
      <c r="D23410" t="s">
        <v>56</v>
      </c>
      <c r="E23410" t="s">
        <v>84</v>
      </c>
      <c r="F23410" s="2" t="str">
        <f>HYPERLINK("http://www.otzar.org/book.asp?51701","מירא דכיא")</f>
        <v>מירא דכיא</v>
      </c>
    </row>
    <row r="23411" spans="1:6" x14ac:dyDescent="0.2">
      <c r="A23411" t="s">
        <v>37670</v>
      </c>
      <c r="B23411" t="s">
        <v>37671</v>
      </c>
      <c r="C23411" t="s">
        <v>37672</v>
      </c>
      <c r="D23411" t="s">
        <v>7437</v>
      </c>
      <c r="E23411" t="s">
        <v>158</v>
      </c>
      <c r="F23411" s="2" t="str">
        <f>HYPERLINK("http://www.otzar.org/book.asp?624775","מירא דכיא - 2 כר'")</f>
        <v>מירא דכיא - 2 כר'</v>
      </c>
    </row>
    <row r="23412" spans="1:6" x14ac:dyDescent="0.2">
      <c r="A23412" t="s">
        <v>37673</v>
      </c>
      <c r="B23412" t="s">
        <v>37674</v>
      </c>
      <c r="C23412" t="s">
        <v>4266</v>
      </c>
      <c r="D23412" t="s">
        <v>212</v>
      </c>
      <c r="E23412" t="s">
        <v>463</v>
      </c>
      <c r="F23412" s="2" t="str">
        <f>HYPERLINK("http://www.otzar.org/book.asp?5880","מירא דכייא")</f>
        <v>מירא דכייא</v>
      </c>
    </row>
    <row r="23413" spans="1:6" x14ac:dyDescent="0.2">
      <c r="A23413" t="s">
        <v>37675</v>
      </c>
      <c r="B23413" t="s">
        <v>37676</v>
      </c>
      <c r="C23413" t="s">
        <v>473</v>
      </c>
      <c r="D23413" t="s">
        <v>27</v>
      </c>
      <c r="E23413" t="s">
        <v>104</v>
      </c>
      <c r="F23413" s="2" t="str">
        <f>HYPERLINK("http://www.otzar.org/book.asp?168138","מירכתי תבל")</f>
        <v>מירכתי תבל</v>
      </c>
    </row>
    <row r="23414" spans="1:6" x14ac:dyDescent="0.2">
      <c r="A23414" t="s">
        <v>37677</v>
      </c>
      <c r="B23414" t="s">
        <v>10427</v>
      </c>
      <c r="C23414" t="s">
        <v>433</v>
      </c>
      <c r="D23414" t="s">
        <v>412</v>
      </c>
      <c r="E23414" t="s">
        <v>119</v>
      </c>
      <c r="F23414" s="2" t="str">
        <f>HYPERLINK("http://www.otzar.org/book.asp?181981","מירער ישיבה אין גלות")</f>
        <v>מירער ישיבה אין גלות</v>
      </c>
    </row>
    <row r="23415" spans="1:6" x14ac:dyDescent="0.2">
      <c r="A23415" t="s">
        <v>37678</v>
      </c>
      <c r="B23415" t="s">
        <v>37679</v>
      </c>
      <c r="C23415" t="s">
        <v>13</v>
      </c>
      <c r="D23415" t="s">
        <v>14</v>
      </c>
      <c r="E23415" t="s">
        <v>104</v>
      </c>
      <c r="F23415" s="2" t="str">
        <f>HYPERLINK("http://www.otzar.org/book.asp?173790","מישור הערבה")</f>
        <v>מישור הערבה</v>
      </c>
    </row>
    <row r="23416" spans="1:6" x14ac:dyDescent="0.2">
      <c r="A23416" t="s">
        <v>37680</v>
      </c>
      <c r="B23416" t="s">
        <v>37681</v>
      </c>
      <c r="C23416" t="s">
        <v>5823</v>
      </c>
      <c r="D23416" t="s">
        <v>56</v>
      </c>
      <c r="E23416" t="s">
        <v>34878</v>
      </c>
      <c r="F23416" s="2" t="str">
        <f>HYPERLINK("http://www.otzar.org/book.asp?102569","מישר נבוכים")</f>
        <v>מישר נבוכים</v>
      </c>
    </row>
    <row r="23417" spans="1:6" x14ac:dyDescent="0.2">
      <c r="A23417" t="s">
        <v>37682</v>
      </c>
      <c r="B23417" t="s">
        <v>3163</v>
      </c>
      <c r="C23417" t="s">
        <v>68</v>
      </c>
      <c r="D23417" t="s">
        <v>27</v>
      </c>
      <c r="E23417" t="s">
        <v>241</v>
      </c>
      <c r="F23417" s="2" t="str">
        <f>HYPERLINK("http://www.otzar.org/book.asp?186813","מישרים אהבוך - 2 כר'")</f>
        <v>מישרים אהבוך - 2 כר'</v>
      </c>
    </row>
    <row r="23418" spans="1:6" x14ac:dyDescent="0.2">
      <c r="A23418" t="s">
        <v>37683</v>
      </c>
      <c r="B23418" t="s">
        <v>13089</v>
      </c>
      <c r="C23418" t="s">
        <v>13</v>
      </c>
      <c r="D23418" t="s">
        <v>1974</v>
      </c>
      <c r="E23418" t="s">
        <v>130</v>
      </c>
      <c r="F23418" s="2" t="str">
        <f>HYPERLINK("http://www.otzar.org/book.asp?193821","מישרים אהבוך")</f>
        <v>מישרים אהבוך</v>
      </c>
    </row>
    <row r="23419" spans="1:6" x14ac:dyDescent="0.2">
      <c r="A23419" t="s">
        <v>37684</v>
      </c>
      <c r="B23419" t="s">
        <v>37685</v>
      </c>
      <c r="C23419" t="s">
        <v>176</v>
      </c>
      <c r="D23419" t="s">
        <v>14</v>
      </c>
      <c r="E23419" t="s">
        <v>241</v>
      </c>
      <c r="F23419" s="2" t="str">
        <f>HYPERLINK("http://www.otzar.org/book.asp?171451","מישרים")</f>
        <v>מישרים</v>
      </c>
    </row>
    <row r="23420" spans="1:6" x14ac:dyDescent="0.2">
      <c r="A23420" t="s">
        <v>37686</v>
      </c>
      <c r="B23420" t="s">
        <v>489</v>
      </c>
      <c r="C23420" t="s">
        <v>956</v>
      </c>
      <c r="D23420" t="s">
        <v>412</v>
      </c>
      <c r="E23420" t="s">
        <v>202</v>
      </c>
      <c r="F23420" s="2" t="str">
        <f>HYPERLINK("http://www.otzar.org/book.asp?150598","מישרים - 9 כר'")</f>
        <v>מישרים - 9 כר'</v>
      </c>
    </row>
    <row r="23421" spans="1:6" x14ac:dyDescent="0.2">
      <c r="A23421" t="s">
        <v>37687</v>
      </c>
      <c r="B23421" t="s">
        <v>37688</v>
      </c>
      <c r="C23421" t="s">
        <v>15846</v>
      </c>
      <c r="D23421" t="s">
        <v>1117</v>
      </c>
      <c r="E23421" t="s">
        <v>158</v>
      </c>
      <c r="F23421" s="2" t="str">
        <f>HYPERLINK("http://www.otzar.org/book.asp?24812","מכבי יהודה")</f>
        <v>מכבי יהודה</v>
      </c>
    </row>
    <row r="23422" spans="1:6" x14ac:dyDescent="0.2">
      <c r="A23422" t="s">
        <v>37689</v>
      </c>
      <c r="B23422" t="s">
        <v>37690</v>
      </c>
      <c r="C23422" t="s">
        <v>133</v>
      </c>
      <c r="D23422" t="s">
        <v>14</v>
      </c>
      <c r="F23422" s="2" t="str">
        <f>HYPERLINK("http://www.otzar.org/book.asp?614494","מכבשונה של פשיסחא")</f>
        <v>מכבשונה של פשיסחא</v>
      </c>
    </row>
    <row r="23423" spans="1:6" x14ac:dyDescent="0.2">
      <c r="A23423" t="s">
        <v>37691</v>
      </c>
      <c r="B23423" t="s">
        <v>37692</v>
      </c>
      <c r="C23423" t="s">
        <v>114</v>
      </c>
      <c r="D23423" t="s">
        <v>14</v>
      </c>
      <c r="E23423" t="s">
        <v>202</v>
      </c>
      <c r="F23423" s="2" t="str">
        <f>HYPERLINK("http://www.otzar.org/book.asp?168006","מכון הוראה ומשפט - 12 כר'")</f>
        <v>מכון הוראה ומשפט - 12 כר'</v>
      </c>
    </row>
    <row r="23424" spans="1:6" x14ac:dyDescent="0.2">
      <c r="A23424" t="s">
        <v>37693</v>
      </c>
      <c r="B23424" t="s">
        <v>37694</v>
      </c>
      <c r="C23424" t="s">
        <v>68</v>
      </c>
      <c r="D23424" t="s">
        <v>9</v>
      </c>
      <c r="E23424" t="s">
        <v>148</v>
      </c>
      <c r="F23424" s="2" t="str">
        <f>HYPERLINK("http://www.otzar.org/book.asp?176659","מכון לשבתך - 7 כר'")</f>
        <v>מכון לשבתך - 7 כר'</v>
      </c>
    </row>
    <row r="23425" spans="1:6" x14ac:dyDescent="0.2">
      <c r="A23425" t="s">
        <v>30028</v>
      </c>
      <c r="B23425" t="s">
        <v>13192</v>
      </c>
      <c r="C23425" t="s">
        <v>1208</v>
      </c>
      <c r="D23425" t="s">
        <v>14</v>
      </c>
      <c r="E23425" t="s">
        <v>15</v>
      </c>
      <c r="F23425" s="2" t="str">
        <f>HYPERLINK("http://www.otzar.org/book.asp?106439","מכון מורשת אשכנז")</f>
        <v>מכון מורשת אשכנז</v>
      </c>
    </row>
    <row r="23426" spans="1:6" x14ac:dyDescent="0.2">
      <c r="A23426" t="s">
        <v>37695</v>
      </c>
      <c r="B23426" t="s">
        <v>4854</v>
      </c>
      <c r="C23426" t="s">
        <v>20</v>
      </c>
      <c r="D23426" t="s">
        <v>367</v>
      </c>
      <c r="F23426" s="2" t="str">
        <f>HYPERLINK("http://www.otzar.org/book.asp?605450","מכון שבתך - 3 כר'")</f>
        <v>מכון שבתך - 3 כר'</v>
      </c>
    </row>
    <row r="23427" spans="1:6" x14ac:dyDescent="0.2">
      <c r="A23427" t="s">
        <v>37696</v>
      </c>
      <c r="B23427" t="s">
        <v>37697</v>
      </c>
      <c r="C23427" t="s">
        <v>68</v>
      </c>
      <c r="D23427" t="s">
        <v>14</v>
      </c>
      <c r="E23427" t="s">
        <v>15</v>
      </c>
      <c r="F23427" s="2" t="str">
        <f>HYPERLINK("http://www.otzar.org/book.asp?159270","מכונת גילוח בהלכה")</f>
        <v>מכונת גילוח בהלכה</v>
      </c>
    </row>
    <row r="23428" spans="1:6" x14ac:dyDescent="0.2">
      <c r="A23428" t="s">
        <v>37698</v>
      </c>
      <c r="B23428" t="s">
        <v>21412</v>
      </c>
      <c r="C23428" t="s">
        <v>313</v>
      </c>
      <c r="D23428" t="s">
        <v>14</v>
      </c>
      <c r="E23428" t="s">
        <v>104</v>
      </c>
      <c r="F23428" s="2" t="str">
        <f>HYPERLINK("http://www.otzar.org/book.asp?175416","מכותבי ראי""ה")</f>
        <v>מכותבי ראי"ה</v>
      </c>
    </row>
    <row r="23429" spans="1:6" x14ac:dyDescent="0.2">
      <c r="A23429" t="s">
        <v>37699</v>
      </c>
      <c r="B23429" t="s">
        <v>20946</v>
      </c>
      <c r="C23429" t="s">
        <v>482</v>
      </c>
      <c r="D23429" t="s">
        <v>14</v>
      </c>
      <c r="E23429" t="s">
        <v>37700</v>
      </c>
      <c r="F23429" s="2" t="str">
        <f>HYPERLINK("http://www.otzar.org/book.asp?23054","מכילתא &lt;הר אפרים&gt;")</f>
        <v>מכילתא &lt;הר אפרים&gt;</v>
      </c>
    </row>
    <row r="23430" spans="1:6" x14ac:dyDescent="0.2">
      <c r="A23430" t="s">
        <v>37701</v>
      </c>
      <c r="B23430" t="s">
        <v>16370</v>
      </c>
      <c r="C23430" t="s">
        <v>3475</v>
      </c>
      <c r="D23430" t="s">
        <v>56</v>
      </c>
      <c r="E23430" t="s">
        <v>43</v>
      </c>
      <c r="F23430" s="2" t="str">
        <f>HYPERLINK("http://www.otzar.org/book.asp?101182","מכילתא &lt;ברורי המדות, מיצוי המדות, איפת צדק&gt;")</f>
        <v>מכילתא &lt;ברורי המדות, מיצוי המדות, איפת צדק&gt;</v>
      </c>
    </row>
    <row r="23431" spans="1:6" x14ac:dyDescent="0.2">
      <c r="A23431" t="s">
        <v>37702</v>
      </c>
      <c r="B23431" t="s">
        <v>37703</v>
      </c>
      <c r="C23431" t="s">
        <v>9159</v>
      </c>
      <c r="D23431" t="s">
        <v>1490</v>
      </c>
      <c r="E23431" t="s">
        <v>43</v>
      </c>
      <c r="F23431" s="2" t="str">
        <f>HYPERLINK("http://www.otzar.org/book.asp?8747","מכילתא &lt;דפו""ר&gt;")</f>
        <v>מכילתא &lt;דפו"ר&gt;</v>
      </c>
    </row>
    <row r="23432" spans="1:6" x14ac:dyDescent="0.2">
      <c r="A23432" t="s">
        <v>37704</v>
      </c>
      <c r="B23432" t="s">
        <v>1303</v>
      </c>
      <c r="C23432" t="s">
        <v>71</v>
      </c>
      <c r="D23432" t="s">
        <v>14</v>
      </c>
      <c r="E23432" t="s">
        <v>43</v>
      </c>
      <c r="F23432" s="2" t="str">
        <f>HYPERLINK("http://www.otzar.org/book.asp?103296","מכילתא דרבי ישמעאל &lt;ברכת הנצי""ב&gt; - 2 כר'")</f>
        <v>מכילתא דרבי ישמעאל &lt;ברכת הנצי"ב&gt; - 2 כר'</v>
      </c>
    </row>
    <row r="23433" spans="1:6" x14ac:dyDescent="0.2">
      <c r="A23433" t="s">
        <v>37705</v>
      </c>
      <c r="B23433" t="s">
        <v>37706</v>
      </c>
      <c r="C23433" t="s">
        <v>1535</v>
      </c>
      <c r="D23433" t="s">
        <v>322</v>
      </c>
      <c r="E23433" t="s">
        <v>43</v>
      </c>
      <c r="F23433" s="2" t="str">
        <f>HYPERLINK("http://www.otzar.org/book.asp?689","מכילתא דרבי ישמעאל &lt;הורוויץ&gt;")</f>
        <v>מכילתא דרבי ישמעאל &lt;הורוויץ&gt;</v>
      </c>
    </row>
    <row r="23434" spans="1:6" x14ac:dyDescent="0.2">
      <c r="A23434" t="s">
        <v>37707</v>
      </c>
      <c r="B23434" t="s">
        <v>37708</v>
      </c>
      <c r="C23434" t="s">
        <v>600</v>
      </c>
      <c r="D23434" t="s">
        <v>535</v>
      </c>
      <c r="E23434" t="s">
        <v>64</v>
      </c>
      <c r="F23434" s="2" t="str">
        <f>HYPERLINK("http://www.otzar.org/book.asp?733","מכילתא דרבי ישמעאל &lt;מאיר עין&gt;")</f>
        <v>מכילתא דרבי ישמעאל &lt;מאיר עין&gt;</v>
      </c>
    </row>
    <row r="23435" spans="1:6" x14ac:dyDescent="0.2">
      <c r="A23435" t="s">
        <v>37709</v>
      </c>
      <c r="B23435" t="s">
        <v>37710</v>
      </c>
      <c r="C23435" t="s">
        <v>1246</v>
      </c>
      <c r="D23435" t="s">
        <v>27</v>
      </c>
      <c r="E23435" t="s">
        <v>64</v>
      </c>
      <c r="F23435" s="2" t="str">
        <f>HYPERLINK("http://www.otzar.org/book.asp?666","מכילתא דרבי שמעון בן יוחאי &lt;אפשטיין&gt;")</f>
        <v>מכילתא דרבי שמעון בן יוחאי &lt;אפשטיין&gt;</v>
      </c>
    </row>
    <row r="23436" spans="1:6" x14ac:dyDescent="0.2">
      <c r="A23436" t="s">
        <v>37711</v>
      </c>
      <c r="B23436" t="s">
        <v>37710</v>
      </c>
      <c r="C23436" t="s">
        <v>1228</v>
      </c>
      <c r="D23436" t="s">
        <v>322</v>
      </c>
      <c r="E23436" t="s">
        <v>43</v>
      </c>
      <c r="F23436" s="2" t="str">
        <f>HYPERLINK("http://www.otzar.org/book.asp?663","מכילתא דרבי שמעון בן יוחאי &lt;הופמן&gt;")</f>
        <v>מכילתא דרבי שמעון בן יוחאי &lt;הופמן&gt;</v>
      </c>
    </row>
    <row r="23437" spans="1:6" x14ac:dyDescent="0.2">
      <c r="A23437" t="s">
        <v>37712</v>
      </c>
      <c r="B23437" t="s">
        <v>489</v>
      </c>
      <c r="C23437" t="s">
        <v>896</v>
      </c>
      <c r="D23437" t="s">
        <v>5209</v>
      </c>
      <c r="E23437" t="s">
        <v>202</v>
      </c>
      <c r="F23437" s="2" t="str">
        <f>HYPERLINK("http://www.otzar.org/book.asp?158113","מכילתא דרבנן")</f>
        <v>מכילתא דרבנן</v>
      </c>
    </row>
    <row r="23438" spans="1:6" x14ac:dyDescent="0.2">
      <c r="A23438" t="s">
        <v>37713</v>
      </c>
      <c r="B23438" t="s">
        <v>37714</v>
      </c>
      <c r="C23438" t="s">
        <v>133</v>
      </c>
      <c r="D23438" t="s">
        <v>14</v>
      </c>
      <c r="E23438" t="s">
        <v>43</v>
      </c>
      <c r="F23438" s="2" t="str">
        <f>HYPERLINK("http://www.otzar.org/book.asp?173724","מכילתא עם פירוש אור יהודה - 2 כר'")</f>
        <v>מכילתא עם פירוש אור יהודה - 2 כר'</v>
      </c>
    </row>
    <row r="23439" spans="1:6" x14ac:dyDescent="0.2">
      <c r="A23439" t="s">
        <v>37715</v>
      </c>
      <c r="B23439" t="s">
        <v>37716</v>
      </c>
      <c r="C23439" t="s">
        <v>151</v>
      </c>
      <c r="D23439" t="s">
        <v>486</v>
      </c>
      <c r="F23439" s="2" t="str">
        <f>HYPERLINK("http://www.otzar.org/book.asp?616676","מכירת המצוות בהלכה")</f>
        <v>מכירת המצוות בהלכה</v>
      </c>
    </row>
    <row r="23440" spans="1:6" x14ac:dyDescent="0.2">
      <c r="A23440" t="s">
        <v>37717</v>
      </c>
      <c r="B23440" t="s">
        <v>13438</v>
      </c>
      <c r="C23440" t="s">
        <v>785</v>
      </c>
      <c r="D23440" t="s">
        <v>52</v>
      </c>
      <c r="E23440" t="s">
        <v>15</v>
      </c>
      <c r="F23440" s="2" t="str">
        <f>HYPERLINK("http://www.otzar.org/book.asp?52246","מכירת חמץ כהלכתו")</f>
        <v>מכירת חמץ כהלכתו</v>
      </c>
    </row>
    <row r="23441" spans="1:6" x14ac:dyDescent="0.2">
      <c r="A23441" t="s">
        <v>37718</v>
      </c>
      <c r="B23441" t="s">
        <v>19226</v>
      </c>
      <c r="C23441" t="s">
        <v>5903</v>
      </c>
      <c r="D23441" t="s">
        <v>267</v>
      </c>
      <c r="E23441" t="s">
        <v>130</v>
      </c>
      <c r="F23441" s="2" t="str">
        <f>HYPERLINK("http://www.otzar.org/book.asp?51514","מכירת חמץ")</f>
        <v>מכירת חמץ</v>
      </c>
    </row>
    <row r="23442" spans="1:6" x14ac:dyDescent="0.2">
      <c r="A23442" t="s">
        <v>37718</v>
      </c>
      <c r="B23442" t="s">
        <v>37719</v>
      </c>
      <c r="C23442" t="s">
        <v>133</v>
      </c>
      <c r="D23442" t="s">
        <v>21</v>
      </c>
      <c r="E23442" t="s">
        <v>130</v>
      </c>
      <c r="F23442" s="2" t="str">
        <f>HYPERLINK("http://www.otzar.org/book.asp?621476","מכירת חמץ")</f>
        <v>מכירת חמץ</v>
      </c>
    </row>
    <row r="23443" spans="1:6" x14ac:dyDescent="0.2">
      <c r="A23443" t="s">
        <v>37720</v>
      </c>
      <c r="B23443" t="s">
        <v>8183</v>
      </c>
      <c r="C23443" t="s">
        <v>46</v>
      </c>
      <c r="D23443" t="s">
        <v>14</v>
      </c>
      <c r="E23443" t="s">
        <v>119</v>
      </c>
      <c r="F23443" s="2" t="str">
        <f>HYPERLINK("http://www.otzar.org/book.asp?143408","מכירת ספרים בתימן על ידי שליחי ארץ ישראל")</f>
        <v>מכירת ספרים בתימן על ידי שליחי ארץ ישראל</v>
      </c>
    </row>
    <row r="23444" spans="1:6" x14ac:dyDescent="0.2">
      <c r="A23444" t="s">
        <v>37721</v>
      </c>
      <c r="B23444" t="s">
        <v>2205</v>
      </c>
      <c r="C23444" t="s">
        <v>13</v>
      </c>
      <c r="D23444" t="s">
        <v>412</v>
      </c>
      <c r="E23444" t="s">
        <v>241</v>
      </c>
      <c r="F23444" s="2" t="str">
        <f>HYPERLINK("http://www.otzar.org/book.asp?159729","מכל מלמדי השכלתי")</f>
        <v>מכל מלמדי השכלתי</v>
      </c>
    </row>
    <row r="23445" spans="1:6" x14ac:dyDescent="0.2">
      <c r="A23445" t="s">
        <v>37722</v>
      </c>
      <c r="B23445" t="s">
        <v>20380</v>
      </c>
      <c r="C23445" t="s">
        <v>20</v>
      </c>
      <c r="D23445" t="s">
        <v>276</v>
      </c>
      <c r="E23445" t="s">
        <v>241</v>
      </c>
      <c r="F23445" s="2" t="str">
        <f>HYPERLINK("http://www.otzar.org/book.asp?605610","מכל משמר נצור לבך")</f>
        <v>מכל משמר נצור לבך</v>
      </c>
    </row>
    <row r="23446" spans="1:6" x14ac:dyDescent="0.2">
      <c r="A23446" t="s">
        <v>37723</v>
      </c>
      <c r="B23446" t="s">
        <v>1846</v>
      </c>
      <c r="C23446" t="s">
        <v>1596</v>
      </c>
      <c r="D23446" t="s">
        <v>1023</v>
      </c>
      <c r="E23446" t="s">
        <v>158</v>
      </c>
      <c r="F23446" s="2" t="str">
        <f>HYPERLINK("http://www.otzar.org/book.asp?145458","מכלול יופי - 3 כר'")</f>
        <v>מכלול יופי - 3 כר'</v>
      </c>
    </row>
    <row r="23447" spans="1:6" x14ac:dyDescent="0.2">
      <c r="A23447" t="s">
        <v>37724</v>
      </c>
      <c r="B23447" t="s">
        <v>37725</v>
      </c>
      <c r="C23447" t="s">
        <v>71</v>
      </c>
      <c r="D23447" t="s">
        <v>14</v>
      </c>
      <c r="E23447" t="s">
        <v>202</v>
      </c>
      <c r="F23447" s="2" t="str">
        <f>HYPERLINK("http://www.otzar.org/book.asp?606018","מכלול - יג")</f>
        <v>מכלול - יג</v>
      </c>
    </row>
    <row r="23448" spans="1:6" x14ac:dyDescent="0.2">
      <c r="A23448" t="s">
        <v>37726</v>
      </c>
      <c r="B23448" t="s">
        <v>30378</v>
      </c>
      <c r="C23448" t="s">
        <v>75</v>
      </c>
      <c r="D23448" t="s">
        <v>516</v>
      </c>
      <c r="E23448" t="s">
        <v>104</v>
      </c>
      <c r="F23448" s="2" t="str">
        <f>HYPERLINK("http://www.otzar.org/book.asp?8632","מכלול - 3 כר'")</f>
        <v>מכלול - 3 כר'</v>
      </c>
    </row>
    <row r="23449" spans="1:6" x14ac:dyDescent="0.2">
      <c r="A23449" t="s">
        <v>37727</v>
      </c>
      <c r="B23449" t="s">
        <v>6335</v>
      </c>
      <c r="C23449" t="s">
        <v>1268</v>
      </c>
      <c r="D23449" t="s">
        <v>14</v>
      </c>
      <c r="E23449" t="s">
        <v>219</v>
      </c>
      <c r="F23449" s="2" t="str">
        <f>HYPERLINK("http://www.otzar.org/book.asp?61847","מכלכל חיים בחסד")</f>
        <v>מכלכל חיים בחסד</v>
      </c>
    </row>
    <row r="23450" spans="1:6" x14ac:dyDescent="0.2">
      <c r="A23450" t="s">
        <v>37728</v>
      </c>
      <c r="B23450" t="s">
        <v>21679</v>
      </c>
      <c r="C23450" t="s">
        <v>908</v>
      </c>
      <c r="D23450" t="s">
        <v>1966</v>
      </c>
      <c r="E23450" t="s">
        <v>15</v>
      </c>
      <c r="F23450" s="2" t="str">
        <f>HYPERLINK("http://www.otzar.org/book.asp?24490","מכלכל חיים")</f>
        <v>מכלכל חיים</v>
      </c>
    </row>
    <row r="23451" spans="1:6" x14ac:dyDescent="0.2">
      <c r="A23451" t="s">
        <v>37728</v>
      </c>
      <c r="B23451" t="s">
        <v>2083</v>
      </c>
      <c r="C23451" t="s">
        <v>103</v>
      </c>
      <c r="D23451" t="s">
        <v>52</v>
      </c>
      <c r="E23451" t="s">
        <v>213</v>
      </c>
      <c r="F23451" s="2" t="str">
        <f>HYPERLINK("http://www.otzar.org/book.asp?148814","מכלכל חיים")</f>
        <v>מכלכל חיים</v>
      </c>
    </row>
    <row r="23452" spans="1:6" x14ac:dyDescent="0.2">
      <c r="A23452" t="s">
        <v>37729</v>
      </c>
      <c r="B23452" t="s">
        <v>37730</v>
      </c>
      <c r="C23452" t="s">
        <v>989</v>
      </c>
      <c r="D23452" t="s">
        <v>14</v>
      </c>
      <c r="E23452" t="s">
        <v>474</v>
      </c>
      <c r="F23452" s="2" t="str">
        <f>HYPERLINK("http://www.otzar.org/book.asp?179062","מכלל יופי")</f>
        <v>מכלל יופי</v>
      </c>
    </row>
    <row r="23453" spans="1:6" x14ac:dyDescent="0.2">
      <c r="A23453" t="s">
        <v>37731</v>
      </c>
      <c r="B23453" t="s">
        <v>37732</v>
      </c>
      <c r="C23453" t="s">
        <v>343</v>
      </c>
      <c r="D23453" t="s">
        <v>535</v>
      </c>
      <c r="E23453" t="s">
        <v>5166</v>
      </c>
      <c r="F23453" s="2" t="str">
        <f>HYPERLINK("http://www.otzar.org/book.asp?103496","מכלל יופי - 4 כר'")</f>
        <v>מכלל יופי - 4 כר'</v>
      </c>
    </row>
    <row r="23454" spans="1:6" x14ac:dyDescent="0.2">
      <c r="A23454" t="s">
        <v>37731</v>
      </c>
      <c r="B23454" t="s">
        <v>37733</v>
      </c>
      <c r="C23454" t="s">
        <v>90</v>
      </c>
      <c r="D23454" t="s">
        <v>20</v>
      </c>
      <c r="E23454" t="s">
        <v>158</v>
      </c>
      <c r="F23454" s="2" t="str">
        <f>HYPERLINK("http://www.otzar.org/book.asp?607574","מכלל יופי - 4 כר'")</f>
        <v>מכלל יופי - 4 כר'</v>
      </c>
    </row>
    <row r="23455" spans="1:6" x14ac:dyDescent="0.2">
      <c r="A23455" t="s">
        <v>37729</v>
      </c>
      <c r="B23455" t="s">
        <v>1846</v>
      </c>
      <c r="C23455" t="s">
        <v>2076</v>
      </c>
      <c r="D23455" t="s">
        <v>283</v>
      </c>
      <c r="E23455" t="s">
        <v>957</v>
      </c>
      <c r="F23455" s="2" t="str">
        <f>HYPERLINK("http://www.otzar.org/book.asp?102622","מכלל יופי")</f>
        <v>מכלל יופי</v>
      </c>
    </row>
    <row r="23456" spans="1:6" x14ac:dyDescent="0.2">
      <c r="A23456" t="s">
        <v>37734</v>
      </c>
      <c r="B23456" t="s">
        <v>37735</v>
      </c>
      <c r="C23456" t="s">
        <v>9946</v>
      </c>
      <c r="D23456" t="s">
        <v>2290</v>
      </c>
      <c r="E23456" t="s">
        <v>234</v>
      </c>
      <c r="F23456" s="2" t="str">
        <f>HYPERLINK("http://www.otzar.org/book.asp?104379","מכלל יפי")</f>
        <v>מכלל יפי</v>
      </c>
    </row>
    <row r="23457" spans="1:6" x14ac:dyDescent="0.2">
      <c r="A23457" t="s">
        <v>37736</v>
      </c>
      <c r="B23457" t="s">
        <v>37403</v>
      </c>
      <c r="C23457" t="s">
        <v>4144</v>
      </c>
      <c r="D23457" t="s">
        <v>3293</v>
      </c>
      <c r="E23457" t="s">
        <v>158</v>
      </c>
      <c r="F23457" s="2" t="str">
        <f>HYPERLINK("http://www.otzar.org/book.asp?146807","מכלל יפי - 2 כר'")</f>
        <v>מכלל יפי - 2 כר'</v>
      </c>
    </row>
    <row r="23458" spans="1:6" x14ac:dyDescent="0.2">
      <c r="A23458" t="s">
        <v>37737</v>
      </c>
      <c r="B23458" t="s">
        <v>702</v>
      </c>
      <c r="C23458" t="s">
        <v>99</v>
      </c>
      <c r="D23458" t="s">
        <v>27</v>
      </c>
      <c r="E23458" t="s">
        <v>104</v>
      </c>
      <c r="F23458" s="2" t="str">
        <f>HYPERLINK("http://www.otzar.org/book.asp?20810","מכלל מציון")</f>
        <v>מכלל מציון</v>
      </c>
    </row>
    <row r="23459" spans="1:6" x14ac:dyDescent="0.2">
      <c r="A23459" t="s">
        <v>37738</v>
      </c>
      <c r="B23459" t="s">
        <v>9549</v>
      </c>
      <c r="C23459" t="s">
        <v>26</v>
      </c>
      <c r="D23459" t="s">
        <v>216</v>
      </c>
      <c r="E23459" t="s">
        <v>11780</v>
      </c>
      <c r="F23459" s="2" t="str">
        <f>HYPERLINK("http://www.otzar.org/book.asp?171834","מכמני אשר")</f>
        <v>מכמני אשר</v>
      </c>
    </row>
    <row r="23460" spans="1:6" x14ac:dyDescent="0.2">
      <c r="A23460" t="s">
        <v>37739</v>
      </c>
      <c r="B23460" t="s">
        <v>17027</v>
      </c>
      <c r="C23460" t="s">
        <v>189</v>
      </c>
      <c r="D23460" t="s">
        <v>14</v>
      </c>
      <c r="E23460" t="s">
        <v>29214</v>
      </c>
      <c r="F23460" s="2" t="str">
        <f>HYPERLINK("http://www.otzar.org/book.asp?144111","מכמני עזיאל - 3 כר'")</f>
        <v>מכמני עזיאל - 3 כר'</v>
      </c>
    </row>
    <row r="23461" spans="1:6" x14ac:dyDescent="0.2">
      <c r="A23461" t="s">
        <v>37740</v>
      </c>
      <c r="B23461" t="s">
        <v>27352</v>
      </c>
      <c r="C23461" t="s">
        <v>419</v>
      </c>
      <c r="D23461" t="s">
        <v>216</v>
      </c>
      <c r="E23461" t="s">
        <v>104</v>
      </c>
      <c r="F23461" s="2" t="str">
        <f>HYPERLINK("http://www.otzar.org/book.asp?64123","מכמנים מחשיפת גנזי תימן")</f>
        <v>מכמנים מחשיפת גנזי תימן</v>
      </c>
    </row>
    <row r="23462" spans="1:6" x14ac:dyDescent="0.2">
      <c r="A23462" t="s">
        <v>37741</v>
      </c>
      <c r="B23462" t="s">
        <v>16506</v>
      </c>
      <c r="C23462" t="s">
        <v>237</v>
      </c>
      <c r="D23462" t="s">
        <v>27</v>
      </c>
      <c r="E23462" t="s">
        <v>241</v>
      </c>
      <c r="F23462" s="2" t="str">
        <f>HYPERLINK("http://www.otzar.org/book.asp?9924","מכניע זדים")</f>
        <v>מכניע זדים</v>
      </c>
    </row>
    <row r="23463" spans="1:6" x14ac:dyDescent="0.2">
      <c r="A23463" t="s">
        <v>37742</v>
      </c>
      <c r="B23463" t="s">
        <v>1197</v>
      </c>
      <c r="C23463" t="s">
        <v>482</v>
      </c>
      <c r="D23463" t="s">
        <v>27</v>
      </c>
      <c r="E23463" t="s">
        <v>119</v>
      </c>
      <c r="F23463" s="2" t="str">
        <f>HYPERLINK("http://www.otzar.org/book.asp?106767","מכנסיה לכנסיה")</f>
        <v>מכנסיה לכנסיה</v>
      </c>
    </row>
    <row r="23464" spans="1:6" x14ac:dyDescent="0.2">
      <c r="A23464" t="s">
        <v>37743</v>
      </c>
      <c r="B23464" t="s">
        <v>11528</v>
      </c>
      <c r="C23464" t="s">
        <v>422</v>
      </c>
      <c r="D23464" t="s">
        <v>14</v>
      </c>
      <c r="F23464" s="2" t="str">
        <f>HYPERLINK("http://www.otzar.org/book.asp?197924","מכנשתא דבי דרי - ב""מ")</f>
        <v>מכנשתא דבי דרי - ב"מ</v>
      </c>
    </row>
    <row r="23465" spans="1:6" x14ac:dyDescent="0.2">
      <c r="A23465" t="s">
        <v>37744</v>
      </c>
      <c r="B23465" t="s">
        <v>12327</v>
      </c>
      <c r="C23465" t="s">
        <v>411</v>
      </c>
      <c r="D23465" t="s">
        <v>14</v>
      </c>
      <c r="E23465" t="s">
        <v>144</v>
      </c>
      <c r="F23465" s="2" t="str">
        <f>HYPERLINK("http://www.otzar.org/book.asp?172066","מכשירי מילה")</f>
        <v>מכשירי מילה</v>
      </c>
    </row>
    <row r="23466" spans="1:6" x14ac:dyDescent="0.2">
      <c r="A23466" t="s">
        <v>37745</v>
      </c>
      <c r="B23466" t="s">
        <v>37746</v>
      </c>
      <c r="C23466" t="s">
        <v>2672</v>
      </c>
      <c r="D23466" t="s">
        <v>4288</v>
      </c>
      <c r="E23466" t="s">
        <v>84</v>
      </c>
      <c r="F23466" s="2" t="str">
        <f>HYPERLINK("http://www.otzar.org/book.asp?51683","מכתב אליהו")</f>
        <v>מכתב אליהו</v>
      </c>
    </row>
    <row r="23467" spans="1:6" x14ac:dyDescent="0.2">
      <c r="A23467" t="s">
        <v>37747</v>
      </c>
      <c r="B23467" t="s">
        <v>29942</v>
      </c>
      <c r="C23467" t="s">
        <v>538</v>
      </c>
      <c r="D23467" t="s">
        <v>212</v>
      </c>
      <c r="E23467" t="s">
        <v>234</v>
      </c>
      <c r="F23467" s="2" t="str">
        <f>HYPERLINK("http://www.otzar.org/book.asp?63859","מכתב אמת ליעקב")</f>
        <v>מכתב אמת ליעקב</v>
      </c>
    </row>
    <row r="23468" spans="1:6" x14ac:dyDescent="0.2">
      <c r="A23468" t="s">
        <v>37748</v>
      </c>
      <c r="B23468" t="s">
        <v>37749</v>
      </c>
      <c r="C23468" t="s">
        <v>1047</v>
      </c>
      <c r="D23468" t="s">
        <v>756</v>
      </c>
      <c r="F23468" s="2" t="str">
        <f>HYPERLINK("http://www.otzar.org/book.asp?174315","מכתב גלוי עם מלחמת מצוה")</f>
        <v>מכתב גלוי עם מלחמת מצוה</v>
      </c>
    </row>
    <row r="23469" spans="1:6" x14ac:dyDescent="0.2">
      <c r="A23469" t="s">
        <v>37750</v>
      </c>
      <c r="B23469" t="s">
        <v>37751</v>
      </c>
      <c r="C23469" t="s">
        <v>1663</v>
      </c>
      <c r="D23469" t="s">
        <v>9</v>
      </c>
      <c r="F23469" s="2" t="str">
        <f>HYPERLINK("http://www.otzar.org/book.asp?23467","מכתב הראשון והשני")</f>
        <v>מכתב הראשון והשני</v>
      </c>
    </row>
    <row r="23470" spans="1:6" x14ac:dyDescent="0.2">
      <c r="A23470" t="s">
        <v>37752</v>
      </c>
      <c r="B23470" t="s">
        <v>37753</v>
      </c>
      <c r="C23470" t="s">
        <v>146</v>
      </c>
      <c r="D23470" t="s">
        <v>152</v>
      </c>
      <c r="E23470" t="s">
        <v>104</v>
      </c>
      <c r="F23470" s="2" t="str">
        <f>HYPERLINK("http://www.otzar.org/book.asp?183078","מכתב ישראל - 2 כר'")</f>
        <v>מכתב ישראל - 2 כר'</v>
      </c>
    </row>
    <row r="23471" spans="1:6" x14ac:dyDescent="0.2">
      <c r="A23471" t="s">
        <v>37754</v>
      </c>
      <c r="B23471" t="s">
        <v>206</v>
      </c>
      <c r="C23471" t="s">
        <v>68</v>
      </c>
      <c r="D23471" t="s">
        <v>14</v>
      </c>
      <c r="E23471" t="s">
        <v>241</v>
      </c>
      <c r="F23471" s="2" t="str">
        <f>HYPERLINK("http://www.otzar.org/book.asp?161773","מכתב לבן ישיבה")</f>
        <v>מכתב לבן ישיבה</v>
      </c>
    </row>
    <row r="23472" spans="1:6" x14ac:dyDescent="0.2">
      <c r="A23472" t="s">
        <v>37755</v>
      </c>
      <c r="B23472" t="s">
        <v>4095</v>
      </c>
      <c r="C23472" t="s">
        <v>550</v>
      </c>
      <c r="D23472" t="s">
        <v>157</v>
      </c>
      <c r="E23472" t="s">
        <v>8318</v>
      </c>
      <c r="F23472" s="2" t="str">
        <f>HYPERLINK("http://www.otzar.org/book.asp?101125","מכתב לחזקיהו")</f>
        <v>מכתב לחזקיהו</v>
      </c>
    </row>
    <row r="23473" spans="1:6" x14ac:dyDescent="0.2">
      <c r="A23473" t="s">
        <v>37755</v>
      </c>
      <c r="B23473" t="s">
        <v>37756</v>
      </c>
      <c r="C23473" t="s">
        <v>103</v>
      </c>
      <c r="D23473" t="s">
        <v>2375</v>
      </c>
      <c r="E23473" t="s">
        <v>9903</v>
      </c>
      <c r="F23473" s="2" t="str">
        <f>HYPERLINK("http://www.otzar.org/book.asp?51166","מכתב לחזקיהו")</f>
        <v>מכתב לחזקיהו</v>
      </c>
    </row>
    <row r="23474" spans="1:6" x14ac:dyDescent="0.2">
      <c r="A23474" t="s">
        <v>37757</v>
      </c>
      <c r="B23474" t="s">
        <v>2082</v>
      </c>
      <c r="C23474" t="s">
        <v>20</v>
      </c>
      <c r="D23474" t="s">
        <v>90</v>
      </c>
      <c r="E23474" t="s">
        <v>213</v>
      </c>
      <c r="F23474" s="2" t="str">
        <f>HYPERLINK("http://www.otzar.org/book.asp?50026","מכתב לשואלים מהמפונים מגוש קטיף")</f>
        <v>מכתב לשואלים מהמפונים מגוש קטיף</v>
      </c>
    </row>
    <row r="23475" spans="1:6" x14ac:dyDescent="0.2">
      <c r="A23475" t="s">
        <v>37758</v>
      </c>
      <c r="B23475" t="s">
        <v>37759</v>
      </c>
      <c r="C23475" t="s">
        <v>87</v>
      </c>
      <c r="D23475" t="s">
        <v>14</v>
      </c>
      <c r="E23475" t="s">
        <v>15</v>
      </c>
      <c r="F23475" s="2" t="str">
        <f>HYPERLINK("http://www.otzar.org/book.asp?64094","מכתב מאליהו  &lt;מהדורת ישמח לב&gt;")</f>
        <v>מכתב מאליהו  &lt;מהדורת ישמח לב&gt;</v>
      </c>
    </row>
    <row r="23476" spans="1:6" x14ac:dyDescent="0.2">
      <c r="A23476" t="s">
        <v>37760</v>
      </c>
      <c r="B23476" t="s">
        <v>37759</v>
      </c>
      <c r="C23476" t="s">
        <v>59</v>
      </c>
      <c r="D23476" t="s">
        <v>1490</v>
      </c>
      <c r="E23476" t="s">
        <v>15</v>
      </c>
      <c r="F23476" s="2" t="str">
        <f>HYPERLINK("http://www.otzar.org/book.asp?8428","מכתב מאליהו - 2 כר'")</f>
        <v>מכתב מאליהו - 2 כר'</v>
      </c>
    </row>
    <row r="23477" spans="1:6" x14ac:dyDescent="0.2">
      <c r="A23477" t="s">
        <v>37761</v>
      </c>
      <c r="B23477" t="s">
        <v>37762</v>
      </c>
      <c r="C23477" t="s">
        <v>854</v>
      </c>
      <c r="D23477" t="s">
        <v>56</v>
      </c>
      <c r="F23477" s="2" t="str">
        <f>HYPERLINK("http://www.otzar.org/book.asp?182139","מכתב מאליהו")</f>
        <v>מכתב מאליהו</v>
      </c>
    </row>
    <row r="23478" spans="1:6" x14ac:dyDescent="0.2">
      <c r="A23478" t="s">
        <v>37763</v>
      </c>
      <c r="B23478" t="s">
        <v>18040</v>
      </c>
      <c r="C23478" t="s">
        <v>422</v>
      </c>
      <c r="D23478" t="s">
        <v>52</v>
      </c>
      <c r="E23478" t="s">
        <v>4455</v>
      </c>
      <c r="F23478" s="2" t="str">
        <f>HYPERLINK("http://www.otzar.org/book.asp?153587","מכתב מאליהו - 3 כר'")</f>
        <v>מכתב מאליהו - 3 כר'</v>
      </c>
    </row>
    <row r="23479" spans="1:6" x14ac:dyDescent="0.2">
      <c r="A23479" t="s">
        <v>37761</v>
      </c>
      <c r="B23479" t="s">
        <v>5579</v>
      </c>
      <c r="C23479" t="s">
        <v>313</v>
      </c>
      <c r="D23479" t="s">
        <v>21</v>
      </c>
      <c r="E23479" t="s">
        <v>154</v>
      </c>
      <c r="F23479" s="2" t="str">
        <f>HYPERLINK("http://www.otzar.org/book.asp?195751","מכתב מאליהו")</f>
        <v>מכתב מאליהו</v>
      </c>
    </row>
    <row r="23480" spans="1:6" x14ac:dyDescent="0.2">
      <c r="A23480" t="s">
        <v>37764</v>
      </c>
      <c r="B23480" t="s">
        <v>1351</v>
      </c>
      <c r="C23480" t="s">
        <v>15063</v>
      </c>
      <c r="D23480" t="s">
        <v>27</v>
      </c>
      <c r="E23480" t="s">
        <v>37765</v>
      </c>
      <c r="F23480" s="2" t="str">
        <f>HYPERLINK("http://www.otzar.org/book.asp?7333","מכתב סופר - 3 כר'")</f>
        <v>מכתב סופר - 3 כר'</v>
      </c>
    </row>
    <row r="23481" spans="1:6" x14ac:dyDescent="0.2">
      <c r="A23481" t="s">
        <v>37766</v>
      </c>
      <c r="B23481" t="s">
        <v>27362</v>
      </c>
      <c r="C23481" t="s">
        <v>1721</v>
      </c>
      <c r="D23481" t="s">
        <v>76</v>
      </c>
      <c r="E23481" t="s">
        <v>154</v>
      </c>
      <c r="F23481" s="2" t="str">
        <f>HYPERLINK("http://www.otzar.org/book.asp?1014","מכתב שלמה")</f>
        <v>מכתב שלמה</v>
      </c>
    </row>
    <row r="23482" spans="1:6" x14ac:dyDescent="0.2">
      <c r="A23482" t="s">
        <v>37767</v>
      </c>
      <c r="B23482" t="s">
        <v>37767</v>
      </c>
      <c r="C23482" t="s">
        <v>176</v>
      </c>
      <c r="D23482" t="s">
        <v>412</v>
      </c>
      <c r="E23482" t="s">
        <v>733</v>
      </c>
      <c r="F23482" s="2" t="str">
        <f>HYPERLINK("http://www.otzar.org/book.asp?148377","מכתב שנת המאה")</f>
        <v>מכתב שנת המאה</v>
      </c>
    </row>
    <row r="23483" spans="1:6" x14ac:dyDescent="0.2">
      <c r="A23483" t="s">
        <v>37768</v>
      </c>
      <c r="B23483" t="s">
        <v>37769</v>
      </c>
      <c r="C23483" t="s">
        <v>1706</v>
      </c>
      <c r="D23483" t="s">
        <v>4269</v>
      </c>
      <c r="E23483" t="s">
        <v>493</v>
      </c>
      <c r="F23483" s="2" t="str">
        <f>HYPERLINK("http://www.otzar.org/book.asp?20813","מכתבי אליהו")</f>
        <v>מכתבי אליהו</v>
      </c>
    </row>
    <row r="23484" spans="1:6" x14ac:dyDescent="0.2">
      <c r="A23484" t="s">
        <v>37770</v>
      </c>
      <c r="B23484" t="s">
        <v>31000</v>
      </c>
      <c r="C23484" t="s">
        <v>5903</v>
      </c>
      <c r="D23484" t="s">
        <v>1117</v>
      </c>
      <c r="E23484" t="s">
        <v>733</v>
      </c>
      <c r="F23484" s="2" t="str">
        <f>HYPERLINK("http://www.otzar.org/book.asp?100551","מכתבי בקרת")</f>
        <v>מכתבי בקרת</v>
      </c>
    </row>
    <row r="23485" spans="1:6" x14ac:dyDescent="0.2">
      <c r="A23485" t="s">
        <v>37771</v>
      </c>
      <c r="B23485" t="s">
        <v>1197</v>
      </c>
      <c r="C23485" t="s">
        <v>1166</v>
      </c>
      <c r="D23485" t="s">
        <v>6042</v>
      </c>
      <c r="E23485" t="s">
        <v>104</v>
      </c>
      <c r="F23485" s="2" t="str">
        <f>HYPERLINK("http://www.otzar.org/book.asp?168744","מכתבי ברכה והסכמה")</f>
        <v>מכתבי ברכה והסכמה</v>
      </c>
    </row>
    <row r="23486" spans="1:6" x14ac:dyDescent="0.2">
      <c r="A23486" t="s">
        <v>37772</v>
      </c>
      <c r="B23486" t="s">
        <v>10056</v>
      </c>
      <c r="C23486" t="s">
        <v>37</v>
      </c>
      <c r="D23486" t="s">
        <v>1180</v>
      </c>
      <c r="E23486" t="s">
        <v>741</v>
      </c>
      <c r="F23486" s="2" t="str">
        <f>HYPERLINK("http://www.otzar.org/book.asp?199292","מכתבי הדרכה")</f>
        <v>מכתבי הדרכה</v>
      </c>
    </row>
    <row r="23487" spans="1:6" x14ac:dyDescent="0.2">
      <c r="A23487" t="s">
        <v>37773</v>
      </c>
      <c r="B23487" t="s">
        <v>37774</v>
      </c>
      <c r="C23487" t="s">
        <v>20</v>
      </c>
      <c r="D23487" t="s">
        <v>37775</v>
      </c>
      <c r="F23487" s="2" t="str">
        <f>HYPERLINK("http://www.otzar.org/book.asp?621498","מכתבי ההלכה יצחק ירנן")</f>
        <v>מכתבי ההלכה יצחק ירנן</v>
      </c>
    </row>
    <row r="23488" spans="1:6" x14ac:dyDescent="0.2">
      <c r="A23488" t="s">
        <v>37776</v>
      </c>
      <c r="B23488" t="s">
        <v>2457</v>
      </c>
      <c r="E23488" t="s">
        <v>104</v>
      </c>
      <c r="F23488" s="2" t="str">
        <f>HYPERLINK("http://www.otzar.org/book.asp?617629","מכתבי הערכה מאת כבוד הרבנים הגאונים שליט""א על ספר בחירת ציון")</f>
        <v>מכתבי הערכה מאת כבוד הרבנים הגאונים שליט"א על ספר בחירת ציון</v>
      </c>
    </row>
    <row r="23489" spans="1:6" x14ac:dyDescent="0.2">
      <c r="A23489" t="s">
        <v>37777</v>
      </c>
      <c r="B23489" t="s">
        <v>37778</v>
      </c>
      <c r="C23489" t="s">
        <v>3106</v>
      </c>
      <c r="D23489" t="s">
        <v>986</v>
      </c>
      <c r="E23489" t="s">
        <v>104</v>
      </c>
      <c r="F23489" s="2" t="str">
        <f>HYPERLINK("http://www.otzar.org/book.asp?155884","מכתבי הרב חפץ חיים")</f>
        <v>מכתבי הרב חפץ חיים</v>
      </c>
    </row>
    <row r="23490" spans="1:6" x14ac:dyDescent="0.2">
      <c r="A23490" t="s">
        <v>37779</v>
      </c>
      <c r="B23490" t="s">
        <v>37780</v>
      </c>
      <c r="C23490" t="s">
        <v>114</v>
      </c>
      <c r="D23490" t="s">
        <v>14</v>
      </c>
      <c r="E23490" t="s">
        <v>104</v>
      </c>
      <c r="F23490" s="2" t="str">
        <f>HYPERLINK("http://www.otzar.org/book.asp?160152","מכתבי הרב מפירט זצ""ל")</f>
        <v>מכתבי הרב מפירט זצ"ל</v>
      </c>
    </row>
    <row r="23491" spans="1:6" x14ac:dyDescent="0.2">
      <c r="A23491" t="s">
        <v>37781</v>
      </c>
      <c r="B23491" t="s">
        <v>21373</v>
      </c>
      <c r="C23491" t="s">
        <v>17</v>
      </c>
      <c r="D23491" t="s">
        <v>52</v>
      </c>
      <c r="E23491" t="s">
        <v>104</v>
      </c>
      <c r="F23491" s="2" t="str">
        <f>HYPERLINK("http://www.otzar.org/book.asp?188866","מכתבי השמש בגבורתו")</f>
        <v>מכתבי השמש בגבורתו</v>
      </c>
    </row>
    <row r="23492" spans="1:6" x14ac:dyDescent="0.2">
      <c r="A23492" t="s">
        <v>37782</v>
      </c>
      <c r="B23492" t="s">
        <v>37783</v>
      </c>
      <c r="C23492" t="s">
        <v>366</v>
      </c>
      <c r="D23492" t="s">
        <v>52</v>
      </c>
      <c r="F23492" s="2" t="str">
        <f>HYPERLINK("http://www.otzar.org/book.asp?610333","מכתבי חזון איש - צורת אות צ")</f>
        <v>מכתבי חזון איש - צורת אות צ</v>
      </c>
    </row>
    <row r="23493" spans="1:6" x14ac:dyDescent="0.2">
      <c r="A23493" t="s">
        <v>37784</v>
      </c>
      <c r="B23493" t="s">
        <v>37785</v>
      </c>
      <c r="C23493" t="s">
        <v>619</v>
      </c>
      <c r="D23493" t="s">
        <v>592</v>
      </c>
      <c r="E23493" t="s">
        <v>104</v>
      </c>
      <c r="F23493" s="2" t="str">
        <f>HYPERLINK("http://www.otzar.org/book.asp?196026","מכתבי מחקר ובקרת")</f>
        <v>מכתבי מחקר ובקרת</v>
      </c>
    </row>
    <row r="23494" spans="1:6" x14ac:dyDescent="0.2">
      <c r="A23494" t="s">
        <v>37786</v>
      </c>
      <c r="B23494" t="s">
        <v>37787</v>
      </c>
      <c r="C23494" t="s">
        <v>37788</v>
      </c>
      <c r="D23494" t="s">
        <v>35756</v>
      </c>
      <c r="E23494" t="s">
        <v>104</v>
      </c>
      <c r="F23494" s="2" t="str">
        <f>HYPERLINK("http://www.otzar.org/book.asp?196401","מכתבי מסחר")</f>
        <v>מכתבי מסחר</v>
      </c>
    </row>
    <row r="23495" spans="1:6" x14ac:dyDescent="0.2">
      <c r="A23495" t="s">
        <v>37789</v>
      </c>
      <c r="B23495" t="s">
        <v>37790</v>
      </c>
      <c r="C23495" t="s">
        <v>609</v>
      </c>
      <c r="D23495" t="s">
        <v>1459</v>
      </c>
      <c r="F23495" s="2" t="str">
        <f>HYPERLINK("http://www.otzar.org/book.asp?181305","מכתבי עברית")</f>
        <v>מכתבי עברית</v>
      </c>
    </row>
    <row r="23496" spans="1:6" x14ac:dyDescent="0.2">
      <c r="A23496" t="s">
        <v>37791</v>
      </c>
      <c r="B23496" t="s">
        <v>6342</v>
      </c>
      <c r="C23496" t="s">
        <v>940</v>
      </c>
      <c r="D23496" t="s">
        <v>52</v>
      </c>
      <c r="E23496" t="s">
        <v>741</v>
      </c>
      <c r="F23496" s="2" t="str">
        <f>HYPERLINK("http://www.otzar.org/book.asp?153290","מכתבי קודש")</f>
        <v>מכתבי קודש</v>
      </c>
    </row>
    <row r="23497" spans="1:6" x14ac:dyDescent="0.2">
      <c r="A23497" t="s">
        <v>37792</v>
      </c>
      <c r="B23497" t="s">
        <v>37793</v>
      </c>
      <c r="C23497" t="s">
        <v>1811</v>
      </c>
      <c r="D23497" t="s">
        <v>412</v>
      </c>
      <c r="F23497" s="2" t="str">
        <f>HYPERLINK("http://www.otzar.org/book.asp?199175","מכתבי קודש - באבוב")</f>
        <v>מכתבי קודש - באבוב</v>
      </c>
    </row>
    <row r="23498" spans="1:6" x14ac:dyDescent="0.2">
      <c r="A23498" t="s">
        <v>37794</v>
      </c>
      <c r="B23498" t="s">
        <v>37795</v>
      </c>
      <c r="C23498" t="s">
        <v>103</v>
      </c>
      <c r="D23498" t="s">
        <v>14</v>
      </c>
      <c r="E23498" t="s">
        <v>104</v>
      </c>
      <c r="F23498" s="2" t="str">
        <f>HYPERLINK("http://www.otzar.org/book.asp?158142","מכתבי רבי יחיאל האמאקער")</f>
        <v>מכתבי רבי יחיאל האמאקער</v>
      </c>
    </row>
    <row r="23499" spans="1:6" x14ac:dyDescent="0.2">
      <c r="A23499" t="s">
        <v>37796</v>
      </c>
      <c r="B23499" t="s">
        <v>1385</v>
      </c>
      <c r="C23499" t="s">
        <v>427</v>
      </c>
      <c r="D23499" t="s">
        <v>118</v>
      </c>
      <c r="E23499" t="s">
        <v>733</v>
      </c>
      <c r="F23499" s="2" t="str">
        <f>HYPERLINK("http://www.otzar.org/book.asp?11041","מכתבי רבי עקיבא איגר")</f>
        <v>מכתבי רבי עקיבא איגר</v>
      </c>
    </row>
    <row r="23500" spans="1:6" x14ac:dyDescent="0.2">
      <c r="A23500" t="s">
        <v>37797</v>
      </c>
      <c r="B23500" t="s">
        <v>2777</v>
      </c>
      <c r="C23500" t="s">
        <v>71</v>
      </c>
      <c r="D23500" t="s">
        <v>216</v>
      </c>
      <c r="E23500" t="s">
        <v>741</v>
      </c>
      <c r="F23500" s="2" t="str">
        <f>HYPERLINK("http://www.otzar.org/book.asp?155989","מכתבי תורה")</f>
        <v>מכתבי תורה</v>
      </c>
    </row>
    <row r="23501" spans="1:6" x14ac:dyDescent="0.2">
      <c r="A23501" t="s">
        <v>37797</v>
      </c>
      <c r="B23501" t="s">
        <v>37798</v>
      </c>
      <c r="C23501" t="s">
        <v>576</v>
      </c>
      <c r="D23501" t="s">
        <v>691</v>
      </c>
      <c r="E23501" t="s">
        <v>588</v>
      </c>
      <c r="F23501" s="2" t="str">
        <f>HYPERLINK("http://www.otzar.org/book.asp?6334","מכתבי תורה")</f>
        <v>מכתבי תורה</v>
      </c>
    </row>
    <row r="23502" spans="1:6" x14ac:dyDescent="0.2">
      <c r="A23502" t="s">
        <v>37799</v>
      </c>
      <c r="B23502" t="s">
        <v>37800</v>
      </c>
      <c r="C23502" t="s">
        <v>111</v>
      </c>
      <c r="D23502" t="s">
        <v>852</v>
      </c>
      <c r="F23502" s="2" t="str">
        <f>HYPERLINK("http://www.otzar.org/book.asp?623018","מכתבים אחרונים ממחנה קייליס בוילנה")</f>
        <v>מכתבים אחרונים ממחנה קייליס בוילנה</v>
      </c>
    </row>
    <row r="23503" spans="1:6" x14ac:dyDescent="0.2">
      <c r="A23503" t="s">
        <v>37801</v>
      </c>
      <c r="B23503" t="s">
        <v>37802</v>
      </c>
      <c r="C23503" t="s">
        <v>454</v>
      </c>
      <c r="D23503" t="s">
        <v>412</v>
      </c>
      <c r="E23503" t="s">
        <v>104</v>
      </c>
      <c r="F23503" s="2" t="str">
        <f>HYPERLINK("http://www.otzar.org/book.asp?145083","מכתבים ואגרות קודש")</f>
        <v>מכתבים ואגרות קודש</v>
      </c>
    </row>
    <row r="23504" spans="1:6" x14ac:dyDescent="0.2">
      <c r="A23504" t="s">
        <v>37803</v>
      </c>
      <c r="B23504" t="s">
        <v>18483</v>
      </c>
      <c r="C23504" t="s">
        <v>129</v>
      </c>
      <c r="D23504" t="s">
        <v>11571</v>
      </c>
      <c r="E23504" t="s">
        <v>213</v>
      </c>
      <c r="F23504" s="2" t="str">
        <f>HYPERLINK("http://www.otzar.org/book.asp?606472","מכתבים ומאמרים הרב בוצ'קו")</f>
        <v>מכתבים ומאמרים הרב בוצ'קו</v>
      </c>
    </row>
    <row r="23505" spans="1:6" x14ac:dyDescent="0.2">
      <c r="A23505" t="s">
        <v>37804</v>
      </c>
      <c r="B23505" t="s">
        <v>1978</v>
      </c>
      <c r="C23505" t="s">
        <v>1640</v>
      </c>
      <c r="D23505" t="s">
        <v>14</v>
      </c>
      <c r="E23505" t="s">
        <v>213</v>
      </c>
      <c r="F23505" s="2" t="str">
        <f>HYPERLINK("http://www.otzar.org/book.asp?17081","מכתבים ותקנות")</f>
        <v>מכתבים ותקנות</v>
      </c>
    </row>
    <row r="23506" spans="1:6" x14ac:dyDescent="0.2">
      <c r="A23506" t="s">
        <v>37805</v>
      </c>
      <c r="B23506" t="s">
        <v>37806</v>
      </c>
      <c r="C23506" t="s">
        <v>103</v>
      </c>
      <c r="D23506" t="s">
        <v>14</v>
      </c>
      <c r="E23506" t="s">
        <v>213</v>
      </c>
      <c r="F23506" s="2" t="str">
        <f>HYPERLINK("http://www.otzar.org/book.asp?52552","מכתבים למשגיח")</f>
        <v>מכתבים למשגיח</v>
      </c>
    </row>
    <row r="23507" spans="1:6" x14ac:dyDescent="0.2">
      <c r="A23507" t="s">
        <v>37807</v>
      </c>
      <c r="B23507" t="s">
        <v>37808</v>
      </c>
      <c r="C23507" t="s">
        <v>1650</v>
      </c>
      <c r="D23507" t="s">
        <v>1538</v>
      </c>
      <c r="F23507" s="2" t="str">
        <f>HYPERLINK("http://www.otzar.org/book.asp?152846","מכתבים קדושים")</f>
        <v>מכתבים קדושים</v>
      </c>
    </row>
    <row r="23508" spans="1:6" x14ac:dyDescent="0.2">
      <c r="A23508" t="s">
        <v>37809</v>
      </c>
      <c r="B23508" t="s">
        <v>37810</v>
      </c>
      <c r="C23508" t="s">
        <v>4266</v>
      </c>
      <c r="D23508" t="s">
        <v>212</v>
      </c>
      <c r="E23508" t="s">
        <v>37811</v>
      </c>
      <c r="F23508" s="2" t="str">
        <f>HYPERLINK("http://www.otzar.org/book.asp?392","מכתם לדוד &lt;קדשי דוד&gt;")</f>
        <v>מכתם לדוד &lt;קדשי דוד&gt;</v>
      </c>
    </row>
    <row r="23509" spans="1:6" x14ac:dyDescent="0.2">
      <c r="A23509" t="s">
        <v>37812</v>
      </c>
      <c r="B23509" t="s">
        <v>552</v>
      </c>
      <c r="C23509" t="s">
        <v>332</v>
      </c>
      <c r="D23509" t="s">
        <v>52</v>
      </c>
      <c r="E23509" t="s">
        <v>202</v>
      </c>
      <c r="F23509" s="2" t="str">
        <f>HYPERLINK("http://www.otzar.org/book.asp?13541","מכתם לדוד &lt;ר' דוד שרעבי&gt;")</f>
        <v>מכתם לדוד &lt;ר' דוד שרעבי&gt;</v>
      </c>
    </row>
    <row r="23510" spans="1:6" x14ac:dyDescent="0.2">
      <c r="A23510" t="s">
        <v>37813</v>
      </c>
      <c r="B23510" t="s">
        <v>552</v>
      </c>
      <c r="C23510" t="s">
        <v>20</v>
      </c>
      <c r="D23510" t="s">
        <v>14</v>
      </c>
      <c r="E23510" t="s">
        <v>186</v>
      </c>
      <c r="F23510" s="2" t="str">
        <f>HYPERLINK("http://www.otzar.org/book.asp?50155","מכתם לדוד &lt;רבי דוד ששון&gt;")</f>
        <v>מכתם לדוד &lt;רבי דוד ששון&gt;</v>
      </c>
    </row>
    <row r="23511" spans="1:6" x14ac:dyDescent="0.2">
      <c r="A23511" t="s">
        <v>37814</v>
      </c>
      <c r="B23511" t="s">
        <v>7374</v>
      </c>
      <c r="C23511" t="s">
        <v>37</v>
      </c>
      <c r="D23511" t="s">
        <v>412</v>
      </c>
      <c r="F23511" s="2" t="str">
        <f>HYPERLINK("http://www.otzar.org/book.asp?198792","מכתם לדוד &lt;מהדורה חדשה&gt; - 2 כר'")</f>
        <v>מכתם לדוד &lt;מהדורה חדשה&gt; - 2 כר'</v>
      </c>
    </row>
    <row r="23512" spans="1:6" x14ac:dyDescent="0.2">
      <c r="A23512" t="s">
        <v>37815</v>
      </c>
      <c r="B23512" t="s">
        <v>37816</v>
      </c>
      <c r="C23512" t="s">
        <v>87</v>
      </c>
      <c r="D23512" t="s">
        <v>412</v>
      </c>
      <c r="E23512" t="s">
        <v>144</v>
      </c>
      <c r="F23512" s="2" t="str">
        <f>HYPERLINK("http://www.otzar.org/book.asp?161482","מכתם לדוד - נדרים")</f>
        <v>מכתם לדוד - נדרים</v>
      </c>
    </row>
    <row r="23513" spans="1:6" x14ac:dyDescent="0.2">
      <c r="A23513" t="s">
        <v>37817</v>
      </c>
      <c r="B23513" t="s">
        <v>22318</v>
      </c>
      <c r="C23513" t="s">
        <v>2644</v>
      </c>
      <c r="D23513" t="s">
        <v>17609</v>
      </c>
      <c r="E23513" t="s">
        <v>930</v>
      </c>
      <c r="F23513" s="2" t="str">
        <f>HYPERLINK("http://www.otzar.org/book.asp?192275","מכתם לדוד - 2 כר'")</f>
        <v>מכתם לדוד - 2 כר'</v>
      </c>
    </row>
    <row r="23514" spans="1:6" x14ac:dyDescent="0.2">
      <c r="A23514" t="s">
        <v>37818</v>
      </c>
      <c r="B23514" t="s">
        <v>31905</v>
      </c>
      <c r="C23514" t="s">
        <v>330</v>
      </c>
      <c r="D23514" t="s">
        <v>49</v>
      </c>
      <c r="E23514" t="s">
        <v>241</v>
      </c>
      <c r="F23514" s="2" t="str">
        <f>HYPERLINK("http://www.otzar.org/book.asp?146729","מכתם לדוד")</f>
        <v>מכתם לדוד</v>
      </c>
    </row>
    <row r="23515" spans="1:6" x14ac:dyDescent="0.2">
      <c r="A23515" t="s">
        <v>37819</v>
      </c>
      <c r="B23515" t="s">
        <v>12812</v>
      </c>
      <c r="C23515" t="s">
        <v>23</v>
      </c>
      <c r="D23515" t="s">
        <v>14</v>
      </c>
      <c r="F23515" s="2" t="str">
        <f>HYPERLINK("http://www.otzar.org/book.asp?197250","מכתם לדוד - כתובות")</f>
        <v>מכתם לדוד - כתובות</v>
      </c>
    </row>
    <row r="23516" spans="1:6" x14ac:dyDescent="0.2">
      <c r="A23516" t="s">
        <v>37818</v>
      </c>
      <c r="B23516" t="s">
        <v>37820</v>
      </c>
      <c r="C23516" t="s">
        <v>71</v>
      </c>
      <c r="D23516" t="s">
        <v>14</v>
      </c>
      <c r="E23516" t="s">
        <v>234</v>
      </c>
      <c r="F23516" s="2" t="str">
        <f>HYPERLINK("http://www.otzar.org/book.asp?623963","מכתם לדוד")</f>
        <v>מכתם לדוד</v>
      </c>
    </row>
    <row r="23517" spans="1:6" x14ac:dyDescent="0.2">
      <c r="A23517" t="s">
        <v>37821</v>
      </c>
      <c r="B23517" t="s">
        <v>37822</v>
      </c>
      <c r="C23517" t="s">
        <v>151</v>
      </c>
      <c r="D23517" t="s">
        <v>31180</v>
      </c>
      <c r="E23517" t="s">
        <v>144</v>
      </c>
      <c r="F23517" s="2" t="str">
        <f>HYPERLINK("http://www.otzar.org/book.asp?611773","מכתם לדוד - קידושין")</f>
        <v>מכתם לדוד - קידושין</v>
      </c>
    </row>
    <row r="23518" spans="1:6" x14ac:dyDescent="0.2">
      <c r="A23518" t="s">
        <v>37817</v>
      </c>
      <c r="B23518" t="s">
        <v>27038</v>
      </c>
      <c r="C23518" t="s">
        <v>562</v>
      </c>
      <c r="D23518" t="s">
        <v>76</v>
      </c>
      <c r="E23518" t="s">
        <v>791</v>
      </c>
      <c r="F23518" s="2" t="str">
        <f>HYPERLINK("http://www.otzar.org/book.asp?10668","מכתם לדוד - 2 כר'")</f>
        <v>מכתם לדוד - 2 כר'</v>
      </c>
    </row>
    <row r="23519" spans="1:6" x14ac:dyDescent="0.2">
      <c r="A23519" t="s">
        <v>37817</v>
      </c>
      <c r="B23519" t="s">
        <v>37823</v>
      </c>
      <c r="C23519" t="s">
        <v>767</v>
      </c>
      <c r="D23519" t="s">
        <v>52</v>
      </c>
      <c r="E23519" t="s">
        <v>158</v>
      </c>
      <c r="F23519" s="2" t="str">
        <f>HYPERLINK("http://www.otzar.org/book.asp?171883","מכתם לדוד - 2 כר'")</f>
        <v>מכתם לדוד - 2 כר'</v>
      </c>
    </row>
    <row r="23520" spans="1:6" x14ac:dyDescent="0.2">
      <c r="A23520" t="s">
        <v>37824</v>
      </c>
      <c r="B23520" t="s">
        <v>7374</v>
      </c>
      <c r="C23520" t="s">
        <v>1160</v>
      </c>
      <c r="D23520" t="s">
        <v>14</v>
      </c>
      <c r="E23520" t="s">
        <v>158</v>
      </c>
      <c r="F23520" s="2" t="str">
        <f>HYPERLINK("http://www.otzar.org/book.asp?105448","מכתם לדוד - 4 כר'")</f>
        <v>מכתם לדוד - 4 כר'</v>
      </c>
    </row>
    <row r="23521" spans="1:6" x14ac:dyDescent="0.2">
      <c r="A23521" t="s">
        <v>37825</v>
      </c>
      <c r="B23521" t="s">
        <v>7334</v>
      </c>
      <c r="C23521" t="s">
        <v>12036</v>
      </c>
      <c r="D23521" t="s">
        <v>4207</v>
      </c>
      <c r="E23521" t="s">
        <v>104</v>
      </c>
      <c r="F23521" s="2" t="str">
        <f>HYPERLINK("http://www.otzar.org/book.asp?168174","מכתם שלום ישראל, מכתם שלום ירושלם")</f>
        <v>מכתם שלום ישראל, מכתם שלום ירושלם</v>
      </c>
    </row>
    <row r="23522" spans="1:6" x14ac:dyDescent="0.2">
      <c r="A23522" t="s">
        <v>37826</v>
      </c>
      <c r="B23522" t="s">
        <v>2688</v>
      </c>
      <c r="C23522" t="s">
        <v>51</v>
      </c>
      <c r="D23522" t="s">
        <v>412</v>
      </c>
      <c r="E23522" t="s">
        <v>15</v>
      </c>
      <c r="F23522" s="2" t="str">
        <f>HYPERLINK("http://www.otzar.org/book.asp?21638","מל ולא פרע")</f>
        <v>מל ולא פרע</v>
      </c>
    </row>
    <row r="23523" spans="1:6" x14ac:dyDescent="0.2">
      <c r="A23523" t="s">
        <v>37827</v>
      </c>
      <c r="B23523" t="s">
        <v>37828</v>
      </c>
      <c r="C23523" t="s">
        <v>103</v>
      </c>
      <c r="E23523" t="s">
        <v>84</v>
      </c>
      <c r="F23523" s="2" t="str">
        <f>HYPERLINK("http://www.otzar.org/book.asp?52784","מלא העומר מן &lt;פרקי אבות&gt; - א")</f>
        <v>מלא העומר מן &lt;פרקי אבות&gt; - א</v>
      </c>
    </row>
    <row r="23524" spans="1:6" x14ac:dyDescent="0.2">
      <c r="A23524" t="s">
        <v>37829</v>
      </c>
      <c r="B23524" t="s">
        <v>5253</v>
      </c>
      <c r="C23524" t="s">
        <v>37830</v>
      </c>
      <c r="D23524" t="s">
        <v>37831</v>
      </c>
      <c r="E23524" t="s">
        <v>158</v>
      </c>
      <c r="F23524" s="2" t="str">
        <f>HYPERLINK("http://www.otzar.org/book.asp?610442","מלא העומר - 14 כר'")</f>
        <v>מלא העומר - 14 כר'</v>
      </c>
    </row>
    <row r="23525" spans="1:6" x14ac:dyDescent="0.2">
      <c r="A23525" t="s">
        <v>37832</v>
      </c>
      <c r="B23525" t="s">
        <v>11932</v>
      </c>
      <c r="C23525" t="s">
        <v>1268</v>
      </c>
      <c r="D23525" t="s">
        <v>14</v>
      </c>
      <c r="E23525" t="s">
        <v>15</v>
      </c>
      <c r="F23525" s="2" t="str">
        <f>HYPERLINK("http://www.otzar.org/book.asp?53213","מלא העמר - לקט העמר")</f>
        <v>מלא העמר - לקט העמר</v>
      </c>
    </row>
    <row r="23526" spans="1:6" x14ac:dyDescent="0.2">
      <c r="A23526" t="s">
        <v>37833</v>
      </c>
      <c r="B23526" t="s">
        <v>6900</v>
      </c>
      <c r="C23526" t="s">
        <v>156</v>
      </c>
      <c r="D23526" t="s">
        <v>283</v>
      </c>
      <c r="E23526" t="s">
        <v>1211</v>
      </c>
      <c r="F23526" s="2" t="str">
        <f>HYPERLINK("http://www.otzar.org/book.asp?354","מלא הרועים א - ג")</f>
        <v>מלא הרועים א - ג</v>
      </c>
    </row>
    <row r="23527" spans="1:6" x14ac:dyDescent="0.2">
      <c r="A23527" t="s">
        <v>37834</v>
      </c>
      <c r="B23527" t="s">
        <v>6900</v>
      </c>
      <c r="C23527" t="s">
        <v>1036</v>
      </c>
      <c r="D23527" t="s">
        <v>37835</v>
      </c>
      <c r="F23527" s="2" t="str">
        <f>HYPERLINK("http://www.otzar.org/book.asp?620682","מלא הרועים")</f>
        <v>מלא הרועים</v>
      </c>
    </row>
    <row r="23528" spans="1:6" x14ac:dyDescent="0.2">
      <c r="A23528" t="s">
        <v>37836</v>
      </c>
      <c r="B23528" t="s">
        <v>3367</v>
      </c>
      <c r="C23528" t="s">
        <v>411</v>
      </c>
      <c r="D23528" t="s">
        <v>52</v>
      </c>
      <c r="E23528" t="s">
        <v>104</v>
      </c>
      <c r="F23528" s="2" t="str">
        <f>HYPERLINK("http://www.otzar.org/book.asp?168589","מלא כל הארץ כבודו")</f>
        <v>מלא כל הארץ כבודו</v>
      </c>
    </row>
    <row r="23529" spans="1:6" x14ac:dyDescent="0.2">
      <c r="A23529" t="s">
        <v>37837</v>
      </c>
      <c r="B23529" t="s">
        <v>37838</v>
      </c>
      <c r="C23529" t="s">
        <v>279</v>
      </c>
      <c r="D23529" t="s">
        <v>42</v>
      </c>
      <c r="E23529" t="s">
        <v>246</v>
      </c>
      <c r="F23529" s="2" t="str">
        <f>HYPERLINK("http://www.otzar.org/book.asp?147349","מלא פי הגדי")</f>
        <v>מלא פי הגדי</v>
      </c>
    </row>
    <row r="23530" spans="1:6" x14ac:dyDescent="0.2">
      <c r="A23530" t="s">
        <v>37839</v>
      </c>
      <c r="B23530" t="s">
        <v>37840</v>
      </c>
      <c r="C23530" t="s">
        <v>16450</v>
      </c>
      <c r="D23530" t="s">
        <v>322</v>
      </c>
      <c r="E23530" t="s">
        <v>3818</v>
      </c>
      <c r="F23530" s="2" t="str">
        <f>HYPERLINK("http://www.otzar.org/book.asp?7083","מלא רצון")</f>
        <v>מלא רצון</v>
      </c>
    </row>
    <row r="23531" spans="1:6" x14ac:dyDescent="0.2">
      <c r="A23531" t="s">
        <v>37841</v>
      </c>
      <c r="B23531" t="s">
        <v>15834</v>
      </c>
      <c r="C23531" t="s">
        <v>752</v>
      </c>
      <c r="D23531" t="s">
        <v>1422</v>
      </c>
      <c r="E23531" t="s">
        <v>234</v>
      </c>
      <c r="F23531" s="2" t="str">
        <f>HYPERLINK("http://www.otzar.org/book.asp?102182","מלאה קטרת - 2 כר'")</f>
        <v>מלאה קטרת - 2 כר'</v>
      </c>
    </row>
    <row r="23532" spans="1:6" x14ac:dyDescent="0.2">
      <c r="A23532" t="s">
        <v>37842</v>
      </c>
      <c r="C23532" t="s">
        <v>20</v>
      </c>
      <c r="D23532" t="s">
        <v>14</v>
      </c>
      <c r="F23532" s="2" t="str">
        <f>HYPERLINK("http://www.otzar.org/book.asp?608850","מלאים זיו - 3 כר'")</f>
        <v>מלאים זיו - 3 כר'</v>
      </c>
    </row>
    <row r="23533" spans="1:6" x14ac:dyDescent="0.2">
      <c r="A23533" t="s">
        <v>37843</v>
      </c>
      <c r="B23533" t="s">
        <v>686</v>
      </c>
      <c r="C23533" t="s">
        <v>51</v>
      </c>
      <c r="D23533" t="s">
        <v>52</v>
      </c>
      <c r="E23533" t="s">
        <v>158</v>
      </c>
      <c r="F23533" s="2" t="str">
        <f>HYPERLINK("http://www.otzar.org/book.asp?60492","מלאים זיו")</f>
        <v>מלאים זיו</v>
      </c>
    </row>
    <row r="23534" spans="1:6" x14ac:dyDescent="0.2">
      <c r="A23534" t="s">
        <v>37844</v>
      </c>
      <c r="B23534" t="s">
        <v>37845</v>
      </c>
      <c r="C23534" t="s">
        <v>466</v>
      </c>
      <c r="D23534" t="s">
        <v>52</v>
      </c>
      <c r="E23534" t="s">
        <v>104</v>
      </c>
      <c r="F23534" s="2" t="str">
        <f>HYPERLINK("http://www.otzar.org/book.asp?28883","מלאך הברית &lt;כרסייא דאליהו&gt; - 3 כר'")</f>
        <v>מלאך הברית &lt;כרסייא דאליהו&gt; - 3 כר'</v>
      </c>
    </row>
    <row r="23535" spans="1:6" x14ac:dyDescent="0.2">
      <c r="A23535" t="s">
        <v>37846</v>
      </c>
      <c r="B23535" t="s">
        <v>37847</v>
      </c>
      <c r="C23535" t="s">
        <v>114</v>
      </c>
      <c r="D23535" t="s">
        <v>10588</v>
      </c>
      <c r="F23535" s="2" t="str">
        <f>HYPERLINK("http://www.otzar.org/book.asp?196112","מלאך הברית")</f>
        <v>מלאך הברית</v>
      </c>
    </row>
    <row r="23536" spans="1:6" x14ac:dyDescent="0.2">
      <c r="A23536" t="s">
        <v>37846</v>
      </c>
      <c r="B23536" t="s">
        <v>599</v>
      </c>
      <c r="C23536" t="s">
        <v>124</v>
      </c>
      <c r="D23536" t="s">
        <v>14</v>
      </c>
      <c r="E23536" t="s">
        <v>37848</v>
      </c>
      <c r="F23536" s="2" t="str">
        <f>HYPERLINK("http://www.otzar.org/book.asp?901","מלאך הברית")</f>
        <v>מלאך הברית</v>
      </c>
    </row>
    <row r="23537" spans="1:6" x14ac:dyDescent="0.2">
      <c r="A23537" t="s">
        <v>37849</v>
      </c>
      <c r="B23537" t="s">
        <v>37850</v>
      </c>
      <c r="C23537" t="s">
        <v>20</v>
      </c>
      <c r="D23537" t="s">
        <v>14</v>
      </c>
      <c r="E23537" t="s">
        <v>104</v>
      </c>
      <c r="F23537" s="2" t="str">
        <f>HYPERLINK("http://www.otzar.org/book.asp?629691","מלאך המשיב")</f>
        <v>מלאך המשיב</v>
      </c>
    </row>
    <row r="23538" spans="1:6" x14ac:dyDescent="0.2">
      <c r="A23538" t="s">
        <v>37851</v>
      </c>
      <c r="B23538" t="s">
        <v>37852</v>
      </c>
      <c r="C23538" t="s">
        <v>63</v>
      </c>
      <c r="D23538" t="s">
        <v>14</v>
      </c>
      <c r="E23538" t="s">
        <v>140</v>
      </c>
      <c r="F23538" s="2" t="str">
        <f>HYPERLINK("http://www.otzar.org/book.asp?106470","מלאכי עליון")</f>
        <v>מלאכי עליון</v>
      </c>
    </row>
    <row r="23539" spans="1:6" x14ac:dyDescent="0.2">
      <c r="A23539" t="s">
        <v>37853</v>
      </c>
      <c r="B23539" t="s">
        <v>37854</v>
      </c>
      <c r="C23539" t="s">
        <v>37855</v>
      </c>
      <c r="D23539" t="s">
        <v>3208</v>
      </c>
      <c r="E23539" t="s">
        <v>219</v>
      </c>
      <c r="F23539" s="2" t="str">
        <f>HYPERLINK("http://www.otzar.org/book.asp?618641","מלאכי קדש")</f>
        <v>מלאכי קדש</v>
      </c>
    </row>
    <row r="23540" spans="1:6" x14ac:dyDescent="0.2">
      <c r="A23540" t="s">
        <v>37856</v>
      </c>
      <c r="B23540" t="s">
        <v>30642</v>
      </c>
      <c r="C23540" t="s">
        <v>812</v>
      </c>
      <c r="D23540" t="s">
        <v>283</v>
      </c>
      <c r="E23540" t="s">
        <v>920</v>
      </c>
      <c r="F23540" s="2" t="str">
        <f>HYPERLINK("http://www.otzar.org/book.asp?9139","מלאכת בצלאל")</f>
        <v>מלאכת בצלאל</v>
      </c>
    </row>
    <row r="23541" spans="1:6" x14ac:dyDescent="0.2">
      <c r="A23541" t="s">
        <v>37857</v>
      </c>
      <c r="B23541" t="s">
        <v>37858</v>
      </c>
      <c r="C23541" t="s">
        <v>23</v>
      </c>
      <c r="D23541" t="s">
        <v>21</v>
      </c>
      <c r="E23541" t="s">
        <v>15</v>
      </c>
      <c r="F23541" s="2" t="str">
        <f>HYPERLINK("http://www.otzar.org/book.asp?193692","מלאכת הבורר")</f>
        <v>מלאכת הבורר</v>
      </c>
    </row>
    <row r="23542" spans="1:6" x14ac:dyDescent="0.2">
      <c r="A23542" t="s">
        <v>37859</v>
      </c>
      <c r="B23542" t="s">
        <v>37860</v>
      </c>
      <c r="C23542" t="s">
        <v>2227</v>
      </c>
      <c r="D23542" t="s">
        <v>2373</v>
      </c>
      <c r="E23542" t="s">
        <v>104</v>
      </c>
      <c r="F23542" s="2" t="str">
        <f>HYPERLINK("http://www.otzar.org/book.asp?11871","מלאכת החשבון")</f>
        <v>מלאכת החשבון</v>
      </c>
    </row>
    <row r="23543" spans="1:6" x14ac:dyDescent="0.2">
      <c r="A23543" t="s">
        <v>37861</v>
      </c>
      <c r="B23543" t="s">
        <v>37858</v>
      </c>
      <c r="C23543" t="s">
        <v>23</v>
      </c>
      <c r="D23543" t="s">
        <v>21</v>
      </c>
      <c r="E23543" t="s">
        <v>15</v>
      </c>
      <c r="F23543" s="2" t="str">
        <f>HYPERLINK("http://www.otzar.org/book.asp?193693","מלאכת המפרק")</f>
        <v>מלאכת המפרק</v>
      </c>
    </row>
    <row r="23544" spans="1:6" x14ac:dyDescent="0.2">
      <c r="A23544" t="s">
        <v>37862</v>
      </c>
      <c r="B23544" t="s">
        <v>37863</v>
      </c>
      <c r="C23544" t="s">
        <v>17</v>
      </c>
      <c r="D23544" t="s">
        <v>14</v>
      </c>
      <c r="E23544" t="s">
        <v>15</v>
      </c>
      <c r="F23544" s="2" t="str">
        <f>HYPERLINK("http://www.otzar.org/book.asp?171442","מלאכת הסופר")</f>
        <v>מלאכת הסופר</v>
      </c>
    </row>
    <row r="23545" spans="1:6" x14ac:dyDescent="0.2">
      <c r="A23545" t="s">
        <v>37864</v>
      </c>
      <c r="B23545" t="s">
        <v>1923</v>
      </c>
      <c r="C23545" t="s">
        <v>20</v>
      </c>
      <c r="D23545" t="s">
        <v>118</v>
      </c>
      <c r="E23545" t="s">
        <v>15</v>
      </c>
      <c r="F23545" s="2" t="str">
        <f>HYPERLINK("http://www.otzar.org/book.asp?176906","מלאכת הקדש &lt;מהדורה חדשה&gt;")</f>
        <v>מלאכת הקדש &lt;מהדורה חדשה&gt;</v>
      </c>
    </row>
    <row r="23546" spans="1:6" x14ac:dyDescent="0.2">
      <c r="A23546" t="s">
        <v>37865</v>
      </c>
      <c r="B23546" t="s">
        <v>21364</v>
      </c>
      <c r="C23546" t="s">
        <v>11127</v>
      </c>
      <c r="D23546" t="s">
        <v>212</v>
      </c>
      <c r="E23546" t="s">
        <v>158</v>
      </c>
      <c r="F23546" s="2" t="str">
        <f>HYPERLINK("http://www.otzar.org/book.asp?20814","מלאכת הקדש")</f>
        <v>מלאכת הקדש</v>
      </c>
    </row>
    <row r="23547" spans="1:6" x14ac:dyDescent="0.2">
      <c r="A23547" t="s">
        <v>37865</v>
      </c>
      <c r="B23547" t="s">
        <v>1923</v>
      </c>
      <c r="C23547" t="s">
        <v>630</v>
      </c>
      <c r="D23547" t="s">
        <v>744</v>
      </c>
      <c r="E23547" t="s">
        <v>1776</v>
      </c>
      <c r="F23547" s="2" t="str">
        <f>HYPERLINK("http://www.otzar.org/book.asp?103380","מלאכת הקדש")</f>
        <v>מלאכת הקדש</v>
      </c>
    </row>
    <row r="23548" spans="1:6" x14ac:dyDescent="0.2">
      <c r="A23548" t="s">
        <v>37866</v>
      </c>
      <c r="B23548" t="s">
        <v>37867</v>
      </c>
      <c r="C23548" t="s">
        <v>79</v>
      </c>
      <c r="D23548" t="s">
        <v>9</v>
      </c>
      <c r="E23548" t="s">
        <v>3567</v>
      </c>
      <c r="F23548" s="2" t="str">
        <f>HYPERLINK("http://www.otzar.org/book.asp?51675","מלאכת הקודש")</f>
        <v>מלאכת הקודש</v>
      </c>
    </row>
    <row r="23549" spans="1:6" x14ac:dyDescent="0.2">
      <c r="A23549" t="s">
        <v>37868</v>
      </c>
      <c r="B23549" t="s">
        <v>30642</v>
      </c>
      <c r="C23549" t="s">
        <v>854</v>
      </c>
      <c r="D23549" t="s">
        <v>283</v>
      </c>
      <c r="E23549" t="s">
        <v>144</v>
      </c>
      <c r="F23549" s="2" t="str">
        <f>HYPERLINK("http://www.otzar.org/book.asp?101126","מלאכת חושב")</f>
        <v>מלאכת חושב</v>
      </c>
    </row>
    <row r="23550" spans="1:6" x14ac:dyDescent="0.2">
      <c r="A23550" t="s">
        <v>37869</v>
      </c>
      <c r="B23550" t="s">
        <v>37870</v>
      </c>
      <c r="C23550" t="s">
        <v>244</v>
      </c>
      <c r="D23550" t="s">
        <v>80</v>
      </c>
      <c r="E23550" t="s">
        <v>158</v>
      </c>
      <c r="F23550" s="2" t="str">
        <f>HYPERLINK("http://www.otzar.org/book.asp?606772","מלאכת חכמה")</f>
        <v>מלאכת חכמה</v>
      </c>
    </row>
    <row r="23551" spans="1:6" x14ac:dyDescent="0.2">
      <c r="A23551" t="s">
        <v>37871</v>
      </c>
      <c r="B23551" t="s">
        <v>37872</v>
      </c>
      <c r="C23551" t="s">
        <v>1844</v>
      </c>
      <c r="D23551" t="s">
        <v>1459</v>
      </c>
      <c r="E23551" t="s">
        <v>10</v>
      </c>
      <c r="F23551" s="2" t="str">
        <f>HYPERLINK("http://www.otzar.org/book.asp?20815","מלאכת חרש")</f>
        <v>מלאכת חרש</v>
      </c>
    </row>
    <row r="23552" spans="1:6" x14ac:dyDescent="0.2">
      <c r="A23552" t="s">
        <v>37873</v>
      </c>
      <c r="B23552" t="s">
        <v>37874</v>
      </c>
      <c r="C23552" t="s">
        <v>1458</v>
      </c>
      <c r="D23552" t="s">
        <v>56</v>
      </c>
      <c r="E23552" t="s">
        <v>15</v>
      </c>
      <c r="F23552" s="2" t="str">
        <f>HYPERLINK("http://www.otzar.org/book.asp?24389","מלאכת חרש - 2 כר'")</f>
        <v>מלאכת חרש - 2 כר'</v>
      </c>
    </row>
    <row r="23553" spans="1:6" x14ac:dyDescent="0.2">
      <c r="A23553" t="s">
        <v>37875</v>
      </c>
      <c r="B23553" t="s">
        <v>37876</v>
      </c>
      <c r="C23553" t="s">
        <v>466</v>
      </c>
      <c r="D23553" t="s">
        <v>14</v>
      </c>
      <c r="E23553" t="s">
        <v>15</v>
      </c>
      <c r="F23553" s="2" t="str">
        <f>HYPERLINK("http://www.otzar.org/book.asp?143717","מלאכת חשב")</f>
        <v>מלאכת חשב</v>
      </c>
    </row>
    <row r="23554" spans="1:6" x14ac:dyDescent="0.2">
      <c r="A23554" t="s">
        <v>37877</v>
      </c>
      <c r="B23554" t="s">
        <v>6589</v>
      </c>
      <c r="C23554" t="s">
        <v>624</v>
      </c>
      <c r="D23554" t="s">
        <v>27</v>
      </c>
      <c r="E23554" t="s">
        <v>2533</v>
      </c>
      <c r="F23554" s="2" t="str">
        <f>HYPERLINK("http://www.otzar.org/book.asp?188759","מלאכת יום טוב &lt;מהדורה חדשה&gt;")</f>
        <v>מלאכת יום טוב &lt;מהדורה חדשה&gt;</v>
      </c>
    </row>
    <row r="23555" spans="1:6" x14ac:dyDescent="0.2">
      <c r="A23555" t="s">
        <v>37878</v>
      </c>
      <c r="B23555" t="s">
        <v>6589</v>
      </c>
      <c r="C23555" t="s">
        <v>1954</v>
      </c>
      <c r="D23555" t="s">
        <v>27</v>
      </c>
      <c r="E23555" t="s">
        <v>803</v>
      </c>
      <c r="F23555" s="2" t="str">
        <f>HYPERLINK("http://www.otzar.org/book.asp?9776","מלאכת יום טוב")</f>
        <v>מלאכת יום טוב</v>
      </c>
    </row>
    <row r="23556" spans="1:6" x14ac:dyDescent="0.2">
      <c r="A23556" t="s">
        <v>37879</v>
      </c>
      <c r="B23556" t="s">
        <v>37880</v>
      </c>
      <c r="C23556" t="s">
        <v>37</v>
      </c>
      <c r="D23556" t="s">
        <v>14</v>
      </c>
      <c r="E23556" t="s">
        <v>144</v>
      </c>
      <c r="F23556" s="2" t="str">
        <f>HYPERLINK("http://www.otzar.org/book.asp?182449","מלאכת יוסף - וסתות")</f>
        <v>מלאכת יוסף - וסתות</v>
      </c>
    </row>
    <row r="23557" spans="1:6" x14ac:dyDescent="0.2">
      <c r="A23557" t="s">
        <v>37881</v>
      </c>
      <c r="B23557" t="s">
        <v>33818</v>
      </c>
      <c r="C23557" t="s">
        <v>422</v>
      </c>
      <c r="D23557" t="s">
        <v>52</v>
      </c>
      <c r="E23557" t="s">
        <v>144</v>
      </c>
      <c r="F23557" s="2" t="str">
        <f>HYPERLINK("http://www.otzar.org/book.asp?161942","מלאכת יוסף - שחיטה, בן פקועה")</f>
        <v>מלאכת יוסף - שחיטה, בן פקועה</v>
      </c>
    </row>
    <row r="23558" spans="1:6" x14ac:dyDescent="0.2">
      <c r="A23558" t="s">
        <v>37882</v>
      </c>
      <c r="B23558" t="s">
        <v>2469</v>
      </c>
      <c r="C23558" t="s">
        <v>133</v>
      </c>
      <c r="D23558" t="s">
        <v>147</v>
      </c>
      <c r="E23558" t="s">
        <v>15</v>
      </c>
      <c r="F23558" s="2" t="str">
        <f>HYPERLINK("http://www.otzar.org/book.asp?172558","מלאכת מחשבת - 3 כר'")</f>
        <v>מלאכת מחשבת - 3 כר'</v>
      </c>
    </row>
    <row r="23559" spans="1:6" x14ac:dyDescent="0.2">
      <c r="A23559" t="s">
        <v>37883</v>
      </c>
      <c r="B23559" t="s">
        <v>4108</v>
      </c>
      <c r="C23559" t="s">
        <v>9946</v>
      </c>
      <c r="D23559" t="s">
        <v>744</v>
      </c>
      <c r="E23559" t="s">
        <v>104</v>
      </c>
      <c r="F23559" s="2" t="str">
        <f>HYPERLINK("http://www.otzar.org/book.asp?146904","מלאכת מחשבת")</f>
        <v>מלאכת מחשבת</v>
      </c>
    </row>
    <row r="23560" spans="1:6" x14ac:dyDescent="0.2">
      <c r="A23560" t="s">
        <v>37883</v>
      </c>
      <c r="B23560" t="s">
        <v>37884</v>
      </c>
      <c r="C23560" t="s">
        <v>366</v>
      </c>
      <c r="D23560" t="s">
        <v>90</v>
      </c>
      <c r="E23560" t="s">
        <v>130</v>
      </c>
      <c r="F23560" s="2" t="str">
        <f>HYPERLINK("http://www.otzar.org/book.asp?611000","מלאכת מחשבת")</f>
        <v>מלאכת מחשבת</v>
      </c>
    </row>
    <row r="23561" spans="1:6" x14ac:dyDescent="0.2">
      <c r="A23561" t="s">
        <v>37883</v>
      </c>
      <c r="B23561" t="s">
        <v>37885</v>
      </c>
      <c r="C23561" t="s">
        <v>133</v>
      </c>
      <c r="D23561" t="s">
        <v>1511</v>
      </c>
      <c r="E23561" t="s">
        <v>3516</v>
      </c>
      <c r="F23561" s="2" t="str">
        <f>HYPERLINK("http://www.otzar.org/book.asp?182566","מלאכת מחשבת")</f>
        <v>מלאכת מחשבת</v>
      </c>
    </row>
    <row r="23562" spans="1:6" x14ac:dyDescent="0.2">
      <c r="A23562" t="s">
        <v>37886</v>
      </c>
      <c r="B23562" t="s">
        <v>37887</v>
      </c>
      <c r="C23562" t="s">
        <v>383</v>
      </c>
      <c r="D23562" t="s">
        <v>14</v>
      </c>
      <c r="E23562" t="s">
        <v>9760</v>
      </c>
      <c r="F23562" s="2" t="str">
        <f>HYPERLINK("http://www.otzar.org/book.asp?9784","מלאכת מחשבת - 4 כר'")</f>
        <v>מלאכת מחשבת - 4 כר'</v>
      </c>
    </row>
    <row r="23563" spans="1:6" x14ac:dyDescent="0.2">
      <c r="A23563" t="s">
        <v>37883</v>
      </c>
      <c r="B23563" t="s">
        <v>4785</v>
      </c>
      <c r="C23563" t="s">
        <v>111</v>
      </c>
      <c r="D23563" t="s">
        <v>52</v>
      </c>
      <c r="F23563" s="2" t="str">
        <f>HYPERLINK("http://www.otzar.org/book.asp?632023","מלאכת מחשבת")</f>
        <v>מלאכת מחשבת</v>
      </c>
    </row>
    <row r="23564" spans="1:6" x14ac:dyDescent="0.2">
      <c r="A23564" t="s">
        <v>37882</v>
      </c>
      <c r="B23564" t="s">
        <v>26927</v>
      </c>
      <c r="C23564" t="s">
        <v>37888</v>
      </c>
      <c r="D23564" t="s">
        <v>1324</v>
      </c>
      <c r="F23564" s="2" t="str">
        <f>HYPERLINK("http://www.otzar.org/book.asp?614559","מלאכת מחשבת - 3 כר'")</f>
        <v>מלאכת מחשבת - 3 כר'</v>
      </c>
    </row>
    <row r="23565" spans="1:6" x14ac:dyDescent="0.2">
      <c r="A23565" t="s">
        <v>37883</v>
      </c>
      <c r="B23565" t="s">
        <v>4991</v>
      </c>
      <c r="C23565" t="s">
        <v>37889</v>
      </c>
      <c r="D23565" t="s">
        <v>14</v>
      </c>
      <c r="E23565" t="s">
        <v>424</v>
      </c>
      <c r="F23565" s="2" t="str">
        <f>HYPERLINK("http://www.otzar.org/book.asp?6109","מלאכת מחשבת")</f>
        <v>מלאכת מחשבת</v>
      </c>
    </row>
    <row r="23566" spans="1:6" x14ac:dyDescent="0.2">
      <c r="A23566" t="s">
        <v>37890</v>
      </c>
      <c r="B23566" t="s">
        <v>693</v>
      </c>
      <c r="C23566" t="s">
        <v>609</v>
      </c>
      <c r="D23566" t="s">
        <v>27</v>
      </c>
      <c r="E23566" t="s">
        <v>15</v>
      </c>
      <c r="F23566" s="2" t="str">
        <f>HYPERLINK("http://www.otzar.org/book.asp?169417","מלאכת מפרק")</f>
        <v>מלאכת מפרק</v>
      </c>
    </row>
    <row r="23567" spans="1:6" x14ac:dyDescent="0.2">
      <c r="A23567" t="s">
        <v>37891</v>
      </c>
      <c r="B23567" t="s">
        <v>37892</v>
      </c>
      <c r="C23567" t="s">
        <v>146</v>
      </c>
      <c r="D23567" t="s">
        <v>412</v>
      </c>
      <c r="E23567" t="s">
        <v>15</v>
      </c>
      <c r="F23567" s="2" t="str">
        <f>HYPERLINK("http://www.otzar.org/book.asp?173247","מלאכת נכרי - 2 כר'")</f>
        <v>מלאכת נכרי - 2 כר'</v>
      </c>
    </row>
    <row r="23568" spans="1:6" x14ac:dyDescent="0.2">
      <c r="A23568" t="s">
        <v>37893</v>
      </c>
      <c r="B23568" t="s">
        <v>9290</v>
      </c>
      <c r="C23568" t="s">
        <v>151</v>
      </c>
      <c r="D23568" t="s">
        <v>14</v>
      </c>
      <c r="F23568" s="2" t="str">
        <f>HYPERLINK("http://www.otzar.org/book.asp?612294","מלאכת עבודה")</f>
        <v>מלאכת עבודה</v>
      </c>
    </row>
    <row r="23569" spans="1:6" x14ac:dyDescent="0.2">
      <c r="A23569" t="s">
        <v>37893</v>
      </c>
      <c r="B23569" t="s">
        <v>37894</v>
      </c>
      <c r="C23569" t="s">
        <v>23</v>
      </c>
      <c r="D23569" t="s">
        <v>52</v>
      </c>
      <c r="E23569" t="s">
        <v>144</v>
      </c>
      <c r="F23569" s="2" t="str">
        <f>HYPERLINK("http://www.otzar.org/book.asp?189680","מלאכת עבודה")</f>
        <v>מלאכת עבודה</v>
      </c>
    </row>
    <row r="23570" spans="1:6" x14ac:dyDescent="0.2">
      <c r="A23570" t="s">
        <v>37895</v>
      </c>
      <c r="B23570" t="s">
        <v>17081</v>
      </c>
      <c r="C23570" t="s">
        <v>37896</v>
      </c>
      <c r="D23570" t="s">
        <v>76</v>
      </c>
      <c r="E23570" t="s">
        <v>219</v>
      </c>
      <c r="F23570" s="2" t="str">
        <f>HYPERLINK("http://www.otzar.org/book.asp?11620","מלאכת עבודת הקדש - 2 כר'")</f>
        <v>מלאכת עבודת הקדש - 2 כר'</v>
      </c>
    </row>
    <row r="23571" spans="1:6" x14ac:dyDescent="0.2">
      <c r="A23571" t="s">
        <v>37897</v>
      </c>
      <c r="B23571" t="s">
        <v>4761</v>
      </c>
      <c r="C23571" t="s">
        <v>87</v>
      </c>
      <c r="D23571" t="s">
        <v>1156</v>
      </c>
      <c r="E23571" t="s">
        <v>15</v>
      </c>
      <c r="F23571" s="2" t="str">
        <f>HYPERLINK("http://www.otzar.org/book.asp?50436","מלאכת שבת")</f>
        <v>מלאכת שבת</v>
      </c>
    </row>
    <row r="23572" spans="1:6" x14ac:dyDescent="0.2">
      <c r="A23572" t="s">
        <v>37897</v>
      </c>
      <c r="B23572" t="s">
        <v>33149</v>
      </c>
      <c r="C23572" t="s">
        <v>103</v>
      </c>
      <c r="D23572" t="s">
        <v>2196</v>
      </c>
      <c r="E23572" t="s">
        <v>144</v>
      </c>
      <c r="F23572" s="2" t="str">
        <f>HYPERLINK("http://www.otzar.org/book.asp?152671","מלאכת שבת")</f>
        <v>מלאכת שבת</v>
      </c>
    </row>
    <row r="23573" spans="1:6" x14ac:dyDescent="0.2">
      <c r="A23573" t="s">
        <v>37897</v>
      </c>
      <c r="B23573" t="s">
        <v>1091</v>
      </c>
      <c r="C23573" t="s">
        <v>87</v>
      </c>
      <c r="D23573" t="s">
        <v>14</v>
      </c>
      <c r="E23573" t="s">
        <v>15</v>
      </c>
      <c r="F23573" s="2" t="str">
        <f>HYPERLINK("http://www.otzar.org/book.asp?26729","מלאכת שבת")</f>
        <v>מלאכת שבת</v>
      </c>
    </row>
    <row r="23574" spans="1:6" x14ac:dyDescent="0.2">
      <c r="A23574" t="s">
        <v>37898</v>
      </c>
      <c r="B23574" t="s">
        <v>31254</v>
      </c>
      <c r="C23574" t="s">
        <v>2617</v>
      </c>
      <c r="D23574" t="s">
        <v>76</v>
      </c>
      <c r="E23574" t="s">
        <v>15</v>
      </c>
      <c r="F23574" s="2" t="str">
        <f>HYPERLINK("http://www.otzar.org/book.asp?24815","מלאכת שלמה")</f>
        <v>מלאכת שלמה</v>
      </c>
    </row>
    <row r="23575" spans="1:6" x14ac:dyDescent="0.2">
      <c r="A23575" t="s">
        <v>37899</v>
      </c>
      <c r="B23575" t="s">
        <v>37900</v>
      </c>
      <c r="C23575" t="s">
        <v>37901</v>
      </c>
      <c r="D23575" t="s">
        <v>37902</v>
      </c>
      <c r="E23575" t="s">
        <v>144</v>
      </c>
      <c r="F23575" s="2" t="str">
        <f>HYPERLINK("http://www.otzar.org/book.asp?181312","מלאכת שלמה - 2 כר'")</f>
        <v>מלאכת שלמה - 2 כר'</v>
      </c>
    </row>
    <row r="23576" spans="1:6" x14ac:dyDescent="0.2">
      <c r="A23576" t="s">
        <v>37898</v>
      </c>
      <c r="B23576" t="s">
        <v>24510</v>
      </c>
      <c r="C23576" t="s">
        <v>956</v>
      </c>
      <c r="D23576" t="s">
        <v>115</v>
      </c>
      <c r="E23576" t="s">
        <v>15</v>
      </c>
      <c r="F23576" s="2" t="str">
        <f>HYPERLINK("http://www.otzar.org/book.asp?163377","מלאכת שלמה")</f>
        <v>מלאכת שלמה</v>
      </c>
    </row>
    <row r="23577" spans="1:6" x14ac:dyDescent="0.2">
      <c r="A23577" t="s">
        <v>37898</v>
      </c>
      <c r="B23577" t="s">
        <v>37903</v>
      </c>
      <c r="C23577" t="s">
        <v>51</v>
      </c>
      <c r="D23577" t="s">
        <v>14</v>
      </c>
      <c r="E23577" t="s">
        <v>148</v>
      </c>
      <c r="F23577" s="2" t="str">
        <f>HYPERLINK("http://www.otzar.org/book.asp?51933","מלאכת שלמה")</f>
        <v>מלאכת שלמה</v>
      </c>
    </row>
    <row r="23578" spans="1:6" x14ac:dyDescent="0.2">
      <c r="A23578" t="s">
        <v>37898</v>
      </c>
      <c r="B23578" t="s">
        <v>29512</v>
      </c>
      <c r="C23578" t="s">
        <v>75</v>
      </c>
      <c r="D23578" t="s">
        <v>76</v>
      </c>
      <c r="E23578" t="s">
        <v>9980</v>
      </c>
      <c r="F23578" s="2" t="str">
        <f>HYPERLINK("http://www.otzar.org/book.asp?101127","מלאכת שלמה")</f>
        <v>מלאכת שלמה</v>
      </c>
    </row>
    <row r="23579" spans="1:6" x14ac:dyDescent="0.2">
      <c r="A23579" t="s">
        <v>37904</v>
      </c>
      <c r="B23579" t="s">
        <v>37905</v>
      </c>
      <c r="C23579" t="s">
        <v>438</v>
      </c>
      <c r="D23579" t="s">
        <v>216</v>
      </c>
      <c r="E23579" t="s">
        <v>15</v>
      </c>
      <c r="F23579" s="2" t="str">
        <f>HYPERLINK("http://www.otzar.org/book.asp?14678","מלאכת שמואל - א")</f>
        <v>מלאכת שמואל - א</v>
      </c>
    </row>
    <row r="23580" spans="1:6" x14ac:dyDescent="0.2">
      <c r="A23580" t="s">
        <v>37906</v>
      </c>
      <c r="B23580" t="s">
        <v>12726</v>
      </c>
      <c r="C23580" t="s">
        <v>244</v>
      </c>
      <c r="D23580" t="s">
        <v>21</v>
      </c>
      <c r="E23580" t="s">
        <v>674</v>
      </c>
      <c r="F23580" s="2" t="str">
        <f>HYPERLINK("http://www.otzar.org/book.asp?601384","מלאכת שמואל")</f>
        <v>מלאכת שמואל</v>
      </c>
    </row>
    <row r="23581" spans="1:6" x14ac:dyDescent="0.2">
      <c r="A23581" t="s">
        <v>37907</v>
      </c>
      <c r="B23581" t="s">
        <v>5956</v>
      </c>
      <c r="C23581" t="s">
        <v>291</v>
      </c>
      <c r="D23581" t="s">
        <v>37908</v>
      </c>
      <c r="E23581" t="s">
        <v>15</v>
      </c>
      <c r="F23581" s="2" t="str">
        <f>HYPERLINK("http://www.otzar.org/book.asp?166868","מלאכת שמים - 3 כר'")</f>
        <v>מלאכת שמים - 3 כר'</v>
      </c>
    </row>
    <row r="23582" spans="1:6" x14ac:dyDescent="0.2">
      <c r="A23582" t="s">
        <v>37909</v>
      </c>
      <c r="B23582" t="s">
        <v>37910</v>
      </c>
      <c r="C23582" t="s">
        <v>1208</v>
      </c>
      <c r="D23582" t="s">
        <v>412</v>
      </c>
      <c r="E23582" t="s">
        <v>104</v>
      </c>
      <c r="F23582" s="2" t="str">
        <f>HYPERLINK("http://www.otzar.org/book.asp?626060","מלאכת שמים")</f>
        <v>מלאכת שמים</v>
      </c>
    </row>
    <row r="23583" spans="1:6" x14ac:dyDescent="0.2">
      <c r="A23583" t="s">
        <v>37911</v>
      </c>
      <c r="B23583" t="s">
        <v>37912</v>
      </c>
      <c r="C23583" t="s">
        <v>133</v>
      </c>
      <c r="D23583" t="s">
        <v>367</v>
      </c>
      <c r="F23583" s="2" t="str">
        <f>HYPERLINK("http://www.otzar.org/book.asp?190703","מלאכת שמעון")</f>
        <v>מלאכת שמעון</v>
      </c>
    </row>
    <row r="23584" spans="1:6" x14ac:dyDescent="0.2">
      <c r="A23584" t="s">
        <v>37913</v>
      </c>
      <c r="B23584" t="s">
        <v>206</v>
      </c>
      <c r="E23584" t="s">
        <v>15</v>
      </c>
      <c r="F23584" s="2" t="str">
        <f>HYPERLINK("http://www.otzar.org/book.asp?621636","מלאכת - קושר ומתיר")</f>
        <v>מלאכת - קושר ומתיר</v>
      </c>
    </row>
    <row r="23585" spans="1:6" x14ac:dyDescent="0.2">
      <c r="A23585" t="s">
        <v>37914</v>
      </c>
      <c r="B23585" t="s">
        <v>37915</v>
      </c>
      <c r="C23585" t="s">
        <v>151</v>
      </c>
      <c r="D23585" t="s">
        <v>14</v>
      </c>
      <c r="E23585" t="s">
        <v>148</v>
      </c>
      <c r="F23585" s="2" t="str">
        <f>HYPERLINK("http://www.otzar.org/book.asp?622143","מלאכתו אשר עשה")</f>
        <v>מלאכתו אשר עשה</v>
      </c>
    </row>
    <row r="23586" spans="1:6" x14ac:dyDescent="0.2">
      <c r="A23586" t="s">
        <v>37916</v>
      </c>
      <c r="B23586" t="s">
        <v>495</v>
      </c>
      <c r="C23586" t="s">
        <v>558</v>
      </c>
      <c r="D23586" t="s">
        <v>225</v>
      </c>
      <c r="E23586" t="s">
        <v>10</v>
      </c>
      <c r="F23586" s="2" t="str">
        <f>HYPERLINK("http://www.otzar.org/book.asp?51698","מלאת אבן")</f>
        <v>מלאת אבן</v>
      </c>
    </row>
    <row r="23587" spans="1:6" x14ac:dyDescent="0.2">
      <c r="A23587" t="s">
        <v>37917</v>
      </c>
      <c r="B23587" t="s">
        <v>5174</v>
      </c>
      <c r="C23587" t="s">
        <v>37284</v>
      </c>
      <c r="D23587" t="s">
        <v>283</v>
      </c>
      <c r="E23587" t="s">
        <v>37918</v>
      </c>
      <c r="F23587" s="2" t="str">
        <f>HYPERLINK("http://www.otzar.org/book.asp?8429","מלאת אבן - א-ב")</f>
        <v>מלאת אבן - א-ב</v>
      </c>
    </row>
    <row r="23588" spans="1:6" x14ac:dyDescent="0.2">
      <c r="A23588" t="s">
        <v>37919</v>
      </c>
      <c r="B23588" t="s">
        <v>37920</v>
      </c>
      <c r="C23588" t="s">
        <v>114</v>
      </c>
      <c r="D23588" t="s">
        <v>412</v>
      </c>
      <c r="E23588" t="s">
        <v>230</v>
      </c>
      <c r="F23588" s="2" t="str">
        <f>HYPERLINK("http://www.otzar.org/book.asp?183115","מלבוש לשבת ויום טוב &lt;מהדורה חדשה&gt;")</f>
        <v>מלבוש לשבת ויום טוב &lt;מהדורה חדשה&gt;</v>
      </c>
    </row>
    <row r="23589" spans="1:6" x14ac:dyDescent="0.2">
      <c r="A23589" t="s">
        <v>37921</v>
      </c>
      <c r="B23589" t="s">
        <v>37920</v>
      </c>
      <c r="C23589" t="s">
        <v>8</v>
      </c>
      <c r="D23589" t="s">
        <v>379</v>
      </c>
      <c r="E23589" t="s">
        <v>1185</v>
      </c>
      <c r="F23589" s="2" t="str">
        <f>HYPERLINK("http://www.otzar.org/book.asp?10301","מלבוש לשבת ויום טוב")</f>
        <v>מלבוש לשבת ויום טוב</v>
      </c>
    </row>
    <row r="23590" spans="1:6" x14ac:dyDescent="0.2">
      <c r="A23590" t="s">
        <v>37922</v>
      </c>
      <c r="B23590" t="s">
        <v>37923</v>
      </c>
      <c r="C23590" t="s">
        <v>75</v>
      </c>
      <c r="D23590" t="s">
        <v>283</v>
      </c>
      <c r="E23590" t="s">
        <v>439</v>
      </c>
      <c r="F23590" s="2" t="str">
        <f>HYPERLINK("http://www.otzar.org/book.asp?101181","מלבושי טהרה &lt;עם באר מים חיים&gt;")</f>
        <v>מלבושי טהרה &lt;עם באר מים חיים&gt;</v>
      </c>
    </row>
    <row r="23591" spans="1:6" x14ac:dyDescent="0.2">
      <c r="A23591" t="s">
        <v>37924</v>
      </c>
      <c r="B23591" t="s">
        <v>37925</v>
      </c>
      <c r="C23591" t="s">
        <v>37926</v>
      </c>
      <c r="D23591" t="s">
        <v>56</v>
      </c>
      <c r="E23591" t="s">
        <v>10</v>
      </c>
      <c r="F23591" s="2" t="str">
        <f>HYPERLINK("http://www.otzar.org/book.asp?10673","מלבושי יום טוב - 2 כר'")</f>
        <v>מלבושי יום טוב - 2 כר'</v>
      </c>
    </row>
    <row r="23592" spans="1:6" x14ac:dyDescent="0.2">
      <c r="A23592" t="s">
        <v>37927</v>
      </c>
      <c r="B23592" t="s">
        <v>3484</v>
      </c>
      <c r="C23592" t="s">
        <v>37928</v>
      </c>
      <c r="D23592" t="s">
        <v>283</v>
      </c>
      <c r="E23592" t="s">
        <v>28293</v>
      </c>
      <c r="F23592" s="2" t="str">
        <f>HYPERLINK("http://www.otzar.org/book.asp?131","מלבושי יום טוב")</f>
        <v>מלבושי יום טוב</v>
      </c>
    </row>
    <row r="23593" spans="1:6" x14ac:dyDescent="0.2">
      <c r="A23593" t="s">
        <v>37929</v>
      </c>
      <c r="B23593" t="s">
        <v>11932</v>
      </c>
      <c r="C23593" t="s">
        <v>143</v>
      </c>
      <c r="D23593" t="s">
        <v>14</v>
      </c>
      <c r="E23593" t="s">
        <v>15</v>
      </c>
      <c r="F23593" s="2" t="str">
        <f>HYPERLINK("http://www.otzar.org/book.asp?53218","מלבושי ישע")</f>
        <v>מלבושי ישע</v>
      </c>
    </row>
    <row r="23594" spans="1:6" x14ac:dyDescent="0.2">
      <c r="A23594" t="s">
        <v>37930</v>
      </c>
      <c r="B23594" t="s">
        <v>37931</v>
      </c>
      <c r="C23594" t="s">
        <v>143</v>
      </c>
      <c r="D23594" t="s">
        <v>14</v>
      </c>
      <c r="E23594" t="s">
        <v>15</v>
      </c>
      <c r="F23594" s="2" t="str">
        <f>HYPERLINK("http://www.otzar.org/book.asp?623798","מלבושי כבוד ותפארת")</f>
        <v>מלבושי כבוד ותפארת</v>
      </c>
    </row>
    <row r="23595" spans="1:6" x14ac:dyDescent="0.2">
      <c r="A23595" t="s">
        <v>37932</v>
      </c>
      <c r="B23595" t="s">
        <v>37933</v>
      </c>
      <c r="C23595" t="s">
        <v>129</v>
      </c>
      <c r="D23595" t="s">
        <v>52</v>
      </c>
      <c r="E23595" t="s">
        <v>15</v>
      </c>
      <c r="F23595" s="2" t="str">
        <f>HYPERLINK("http://www.otzar.org/book.asp?157804","מלבושי מרדכי - 3 כר'")</f>
        <v>מלבושי מרדכי - 3 כר'</v>
      </c>
    </row>
    <row r="23596" spans="1:6" x14ac:dyDescent="0.2">
      <c r="A23596" t="s">
        <v>37934</v>
      </c>
      <c r="B23596" t="s">
        <v>22890</v>
      </c>
      <c r="C23596" t="s">
        <v>1169</v>
      </c>
      <c r="D23596" t="s">
        <v>27</v>
      </c>
      <c r="E23596" t="s">
        <v>2098</v>
      </c>
      <c r="F23596" s="2" t="str">
        <f>HYPERLINK("http://www.otzar.org/book.asp?174596","מלה טבא - 2 כר'")</f>
        <v>מלה טבא - 2 כר'</v>
      </c>
    </row>
    <row r="23597" spans="1:6" x14ac:dyDescent="0.2">
      <c r="A23597" t="s">
        <v>37935</v>
      </c>
      <c r="B23597" t="s">
        <v>37936</v>
      </c>
      <c r="C23597" t="s">
        <v>1268</v>
      </c>
      <c r="D23597" t="s">
        <v>14</v>
      </c>
      <c r="E23597" t="s">
        <v>3567</v>
      </c>
      <c r="F23597" s="2" t="str">
        <f>HYPERLINK("http://www.otzar.org/book.asp?106597","מלוא העומר")</f>
        <v>מלוא העומר</v>
      </c>
    </row>
    <row r="23598" spans="1:6" x14ac:dyDescent="0.2">
      <c r="A23598" t="s">
        <v>37937</v>
      </c>
      <c r="B23598" t="s">
        <v>394</v>
      </c>
      <c r="C23598" t="s">
        <v>946</v>
      </c>
      <c r="D23598" t="s">
        <v>726</v>
      </c>
      <c r="E23598" t="s">
        <v>154</v>
      </c>
      <c r="F23598" s="2" t="str">
        <f>HYPERLINK("http://www.otzar.org/book.asp?20818","מלואי אבן")</f>
        <v>מלואי אבן</v>
      </c>
    </row>
    <row r="23599" spans="1:6" x14ac:dyDescent="0.2">
      <c r="A23599" t="s">
        <v>37938</v>
      </c>
      <c r="B23599" t="s">
        <v>1281</v>
      </c>
      <c r="C23599" t="s">
        <v>1570</v>
      </c>
      <c r="D23599" t="s">
        <v>14</v>
      </c>
      <c r="E23599" t="s">
        <v>1211</v>
      </c>
      <c r="F23599" s="2" t="str">
        <f>HYPERLINK("http://www.otzar.org/book.asp?60337","מלואי אבן - 5 כר'")</f>
        <v>מלואי אבן - 5 כר'</v>
      </c>
    </row>
    <row r="23600" spans="1:6" x14ac:dyDescent="0.2">
      <c r="A23600" t="s">
        <v>37939</v>
      </c>
      <c r="B23600" t="s">
        <v>10782</v>
      </c>
      <c r="C23600" t="s">
        <v>103</v>
      </c>
      <c r="D23600" t="s">
        <v>14</v>
      </c>
      <c r="E23600" t="s">
        <v>144</v>
      </c>
      <c r="F23600" s="2" t="str">
        <f>HYPERLINK("http://www.otzar.org/book.asp?83744","מלואי שלמה")</f>
        <v>מלואי שלמה</v>
      </c>
    </row>
    <row r="23601" spans="1:6" x14ac:dyDescent="0.2">
      <c r="A23601" t="s">
        <v>37940</v>
      </c>
      <c r="B23601" t="s">
        <v>37941</v>
      </c>
      <c r="C23601" t="s">
        <v>496</v>
      </c>
      <c r="D23601" t="s">
        <v>56</v>
      </c>
      <c r="E23601" t="s">
        <v>674</v>
      </c>
      <c r="F23601" s="2" t="str">
        <f>HYPERLINK("http://www.otzar.org/book.asp?151470","מלואים למשה")</f>
        <v>מלואים למשה</v>
      </c>
    </row>
    <row r="23602" spans="1:6" x14ac:dyDescent="0.2">
      <c r="A23602" t="s">
        <v>37942</v>
      </c>
      <c r="B23602" t="s">
        <v>37943</v>
      </c>
      <c r="C23602" t="s">
        <v>26</v>
      </c>
      <c r="D23602" t="s">
        <v>412</v>
      </c>
      <c r="E23602" t="s">
        <v>15</v>
      </c>
      <c r="F23602" s="2" t="str">
        <f>HYPERLINK("http://www.otzar.org/book.asp?191249","מלואים לספר המצות של רב חפץ בן יצליח")</f>
        <v>מלואים לספר המצות של רב חפץ בן יצליח</v>
      </c>
    </row>
    <row r="23603" spans="1:6" x14ac:dyDescent="0.2">
      <c r="A23603" t="s">
        <v>37944</v>
      </c>
      <c r="B23603" t="s">
        <v>37945</v>
      </c>
      <c r="C23603" t="s">
        <v>244</v>
      </c>
      <c r="D23603" t="s">
        <v>10373</v>
      </c>
      <c r="E23603" t="s">
        <v>172</v>
      </c>
      <c r="F23603" s="2" t="str">
        <f>HYPERLINK("http://www.otzar.org/book.asp?196148","מלואת אבן - 4 כר'")</f>
        <v>מלואת אבן - 4 כר'</v>
      </c>
    </row>
    <row r="23604" spans="1:6" x14ac:dyDescent="0.2">
      <c r="A23604" t="s">
        <v>37946</v>
      </c>
      <c r="B23604" t="s">
        <v>12303</v>
      </c>
      <c r="C23604" t="s">
        <v>176</v>
      </c>
      <c r="D23604" t="s">
        <v>52</v>
      </c>
      <c r="E23604" t="s">
        <v>15</v>
      </c>
      <c r="F23604" s="2" t="str">
        <f>HYPERLINK("http://www.otzar.org/book.asp?22769","מלוה ה' - 2 כר'")</f>
        <v>מלוה ה' - 2 כר'</v>
      </c>
    </row>
    <row r="23605" spans="1:6" x14ac:dyDescent="0.2">
      <c r="A23605" t="s">
        <v>37947</v>
      </c>
      <c r="B23605" t="s">
        <v>37948</v>
      </c>
      <c r="C23605" t="s">
        <v>1885</v>
      </c>
      <c r="D23605" t="s">
        <v>37949</v>
      </c>
      <c r="F23605" s="2" t="str">
        <f>HYPERLINK("http://www.otzar.org/book.asp?610657","מלון אורחים")</f>
        <v>מלון אורחים</v>
      </c>
    </row>
    <row r="23606" spans="1:6" x14ac:dyDescent="0.2">
      <c r="A23606" t="s">
        <v>37947</v>
      </c>
      <c r="B23606" t="s">
        <v>15464</v>
      </c>
      <c r="C23606" t="s">
        <v>5823</v>
      </c>
      <c r="D23606" t="s">
        <v>283</v>
      </c>
      <c r="E23606" t="s">
        <v>213</v>
      </c>
      <c r="F23606" s="2" t="str">
        <f>HYPERLINK("http://www.otzar.org/book.asp?159116","מלון אורחים")</f>
        <v>מלון אורחים</v>
      </c>
    </row>
    <row r="23607" spans="1:6" x14ac:dyDescent="0.2">
      <c r="A23607" t="s">
        <v>37950</v>
      </c>
      <c r="B23607" t="s">
        <v>20556</v>
      </c>
      <c r="C23607" t="s">
        <v>445</v>
      </c>
      <c r="D23607" t="s">
        <v>610</v>
      </c>
      <c r="E23607" t="s">
        <v>104</v>
      </c>
      <c r="F23607" s="2" t="str">
        <f>HYPERLINK("http://www.otzar.org/book.asp?188725","מלון השתים - 2 כר'")</f>
        <v>מלון השתים - 2 כר'</v>
      </c>
    </row>
    <row r="23608" spans="1:6" x14ac:dyDescent="0.2">
      <c r="A23608" t="s">
        <v>37951</v>
      </c>
      <c r="B23608" t="s">
        <v>33294</v>
      </c>
      <c r="C23608" t="s">
        <v>8</v>
      </c>
      <c r="D23608" t="s">
        <v>15715</v>
      </c>
      <c r="E23608" t="s">
        <v>104</v>
      </c>
      <c r="F23608" s="2" t="str">
        <f>HYPERLINK("http://www.otzar.org/book.asp?625606","מלון שמושי לתלמוד למדרש ולתרגום - 2 כר'")</f>
        <v>מלון שמושי לתלמוד למדרש ולתרגום - 2 כר'</v>
      </c>
    </row>
    <row r="23609" spans="1:6" x14ac:dyDescent="0.2">
      <c r="A23609" t="s">
        <v>37952</v>
      </c>
      <c r="B23609" t="s">
        <v>37953</v>
      </c>
      <c r="C23609" t="s">
        <v>1246</v>
      </c>
      <c r="D23609" t="s">
        <v>260</v>
      </c>
      <c r="E23609" t="s">
        <v>144</v>
      </c>
      <c r="F23609" s="2" t="str">
        <f>HYPERLINK("http://www.otzar.org/book.asp?172253","מלון תלמודי")</f>
        <v>מלון תלמודי</v>
      </c>
    </row>
    <row r="23610" spans="1:6" x14ac:dyDescent="0.2">
      <c r="A23610" t="s">
        <v>37954</v>
      </c>
      <c r="B23610" t="s">
        <v>1320</v>
      </c>
      <c r="C23610" t="s">
        <v>17614</v>
      </c>
      <c r="D23610" t="s">
        <v>37955</v>
      </c>
      <c r="F23610" s="2" t="str">
        <f>HYPERLINK("http://www.otzar.org/book.asp?53351","מלות ההגיון &lt;דפו""ר&gt;")</f>
        <v>מלות ההגיון &lt;דפו"ר&gt;</v>
      </c>
    </row>
    <row r="23611" spans="1:6" x14ac:dyDescent="0.2">
      <c r="A23611" t="s">
        <v>37956</v>
      </c>
      <c r="B23611" t="s">
        <v>1320</v>
      </c>
      <c r="C23611" t="s">
        <v>224</v>
      </c>
      <c r="D23611" t="s">
        <v>27</v>
      </c>
      <c r="E23611" t="s">
        <v>241</v>
      </c>
      <c r="F23611" s="2" t="str">
        <f>HYPERLINK("http://www.otzar.org/book.asp?13411","מלות ההגיון - 6 כר'")</f>
        <v>מלות ההגיון - 6 כר'</v>
      </c>
    </row>
    <row r="23612" spans="1:6" x14ac:dyDescent="0.2">
      <c r="A23612" t="s">
        <v>37957</v>
      </c>
      <c r="B23612" t="s">
        <v>15230</v>
      </c>
      <c r="C23612" t="s">
        <v>366</v>
      </c>
      <c r="D23612" t="s">
        <v>2909</v>
      </c>
      <c r="E23612" t="s">
        <v>148</v>
      </c>
      <c r="F23612" s="2" t="str">
        <f>HYPERLINK("http://www.otzar.org/book.asp?611785","מלח ברית")</f>
        <v>מלח ברית</v>
      </c>
    </row>
    <row r="23613" spans="1:6" x14ac:dyDescent="0.2">
      <c r="A23613" t="s">
        <v>37957</v>
      </c>
      <c r="B23613" t="s">
        <v>37858</v>
      </c>
      <c r="C23613" t="s">
        <v>244</v>
      </c>
      <c r="D23613" t="s">
        <v>21</v>
      </c>
      <c r="E23613" t="s">
        <v>15</v>
      </c>
      <c r="F23613" s="2" t="str">
        <f>HYPERLINK("http://www.otzar.org/book.asp?608177","מלח ברית")</f>
        <v>מלח ברית</v>
      </c>
    </row>
    <row r="23614" spans="1:6" x14ac:dyDescent="0.2">
      <c r="A23614" t="s">
        <v>37958</v>
      </c>
      <c r="B23614" t="s">
        <v>37959</v>
      </c>
      <c r="C23614" t="s">
        <v>1659</v>
      </c>
      <c r="D23614" t="s">
        <v>544</v>
      </c>
      <c r="E23614" t="s">
        <v>158</v>
      </c>
      <c r="F23614" s="2" t="str">
        <f>HYPERLINK("http://www.otzar.org/book.asp?146699","מלחמה בשלום")</f>
        <v>מלחמה בשלום</v>
      </c>
    </row>
    <row r="23615" spans="1:6" x14ac:dyDescent="0.2">
      <c r="A23615" t="s">
        <v>37960</v>
      </c>
      <c r="B23615" t="s">
        <v>1540</v>
      </c>
      <c r="C23615" t="s">
        <v>884</v>
      </c>
      <c r="D23615" t="s">
        <v>1023</v>
      </c>
      <c r="F23615" s="2" t="str">
        <f>HYPERLINK("http://www.otzar.org/book.asp?152760","מלחמה לה' - 2 כר'")</f>
        <v>מלחמה לה' - 2 כר'</v>
      </c>
    </row>
    <row r="23616" spans="1:6" x14ac:dyDescent="0.2">
      <c r="A23616" t="s">
        <v>37961</v>
      </c>
      <c r="B23616" t="s">
        <v>37962</v>
      </c>
      <c r="C23616" t="s">
        <v>523</v>
      </c>
      <c r="D23616" t="s">
        <v>52</v>
      </c>
      <c r="E23616" t="s">
        <v>733</v>
      </c>
      <c r="F23616" s="2" t="str">
        <f>HYPERLINK("http://www.otzar.org/book.asp?52970","מלחמות אני עשיתי")</f>
        <v>מלחמות אני עשיתי</v>
      </c>
    </row>
    <row r="23617" spans="1:6" x14ac:dyDescent="0.2">
      <c r="A23617" t="s">
        <v>37963</v>
      </c>
      <c r="B23617" t="s">
        <v>12176</v>
      </c>
      <c r="C23617" t="s">
        <v>1310</v>
      </c>
      <c r="D23617" t="s">
        <v>5477</v>
      </c>
      <c r="E23617" t="s">
        <v>241</v>
      </c>
      <c r="F23617" s="2" t="str">
        <f>HYPERLINK("http://www.otzar.org/book.asp?102466","מלחמות ה'")</f>
        <v>מלחמות ה'</v>
      </c>
    </row>
    <row r="23618" spans="1:6" x14ac:dyDescent="0.2">
      <c r="A23618" t="s">
        <v>37963</v>
      </c>
      <c r="B23618" t="s">
        <v>37964</v>
      </c>
      <c r="C23618" t="s">
        <v>6052</v>
      </c>
      <c r="D23618" t="s">
        <v>14</v>
      </c>
      <c r="E23618" t="s">
        <v>703</v>
      </c>
      <c r="F23618" s="2" t="str">
        <f>HYPERLINK("http://www.otzar.org/book.asp?103381","מלחמות ה'")</f>
        <v>מלחמות ה'</v>
      </c>
    </row>
    <row r="23619" spans="1:6" x14ac:dyDescent="0.2">
      <c r="A23619" t="s">
        <v>37963</v>
      </c>
      <c r="B23619" t="s">
        <v>37965</v>
      </c>
      <c r="C23619" t="s">
        <v>533</v>
      </c>
      <c r="D23619" t="s">
        <v>412</v>
      </c>
      <c r="E23619" t="s">
        <v>213</v>
      </c>
      <c r="F23619" s="2" t="str">
        <f>HYPERLINK("http://www.otzar.org/book.asp?12973","מלחמות ה'")</f>
        <v>מלחמות ה'</v>
      </c>
    </row>
    <row r="23620" spans="1:6" x14ac:dyDescent="0.2">
      <c r="A23620" t="s">
        <v>37966</v>
      </c>
      <c r="B23620" t="s">
        <v>18900</v>
      </c>
      <c r="C23620" t="s">
        <v>503</v>
      </c>
      <c r="D23620" t="s">
        <v>56</v>
      </c>
      <c r="E23620" t="s">
        <v>119</v>
      </c>
      <c r="F23620" s="2" t="str">
        <f>HYPERLINK("http://www.otzar.org/book.asp?100547","מלחמות היהודים עם הרומאים - 2 כר'")</f>
        <v>מלחמות היהודים עם הרומאים - 2 כר'</v>
      </c>
    </row>
    <row r="23621" spans="1:6" x14ac:dyDescent="0.2">
      <c r="A23621" t="s">
        <v>37967</v>
      </c>
      <c r="B23621" t="s">
        <v>29424</v>
      </c>
      <c r="C23621" t="s">
        <v>2465</v>
      </c>
      <c r="D23621" t="s">
        <v>4364</v>
      </c>
      <c r="E23621" t="s">
        <v>37968</v>
      </c>
      <c r="F23621" s="2" t="str">
        <f>HYPERLINK("http://www.otzar.org/book.asp?147011","מלחמות הלוים")</f>
        <v>מלחמות הלוים</v>
      </c>
    </row>
    <row r="23622" spans="1:6" x14ac:dyDescent="0.2">
      <c r="A23622" t="s">
        <v>37969</v>
      </c>
      <c r="B23622" t="s">
        <v>37090</v>
      </c>
      <c r="C23622" t="s">
        <v>445</v>
      </c>
      <c r="D23622" t="s">
        <v>21</v>
      </c>
      <c r="E23622" t="s">
        <v>119</v>
      </c>
      <c r="F23622" s="2" t="str">
        <f>HYPERLINK("http://www.otzar.org/book.asp?197498","מלחמות הפלחים בארץ ישראל")</f>
        <v>מלחמות הפלחים בארץ ישראל</v>
      </c>
    </row>
    <row r="23623" spans="1:6" x14ac:dyDescent="0.2">
      <c r="A23623" t="s">
        <v>37970</v>
      </c>
      <c r="B23623" t="s">
        <v>9114</v>
      </c>
      <c r="C23623" t="s">
        <v>37971</v>
      </c>
      <c r="D23623" t="s">
        <v>13372</v>
      </c>
      <c r="E23623" t="s">
        <v>241</v>
      </c>
      <c r="F23623" s="2" t="str">
        <f>HYPERLINK("http://www.otzar.org/book.asp?9812","מלחמות השם - 2 כר'")</f>
        <v>מלחמות השם - 2 כר'</v>
      </c>
    </row>
    <row r="23624" spans="1:6" x14ac:dyDescent="0.2">
      <c r="A23624" t="s">
        <v>37972</v>
      </c>
      <c r="B23624" t="s">
        <v>37973</v>
      </c>
      <c r="C23624" t="s">
        <v>3840</v>
      </c>
      <c r="D23624" t="s">
        <v>9</v>
      </c>
      <c r="E23624" t="s">
        <v>803</v>
      </c>
      <c r="F23624" s="2" t="str">
        <f>HYPERLINK("http://www.otzar.org/book.asp?51695","מלחמות יהודה - 2 כר'")</f>
        <v>מלחמות יהודה - 2 כר'</v>
      </c>
    </row>
    <row r="23625" spans="1:6" x14ac:dyDescent="0.2">
      <c r="A23625" t="s">
        <v>37974</v>
      </c>
      <c r="B23625" t="s">
        <v>223</v>
      </c>
      <c r="C23625" t="s">
        <v>462</v>
      </c>
      <c r="D23625" t="s">
        <v>225</v>
      </c>
      <c r="E23625" t="s">
        <v>37975</v>
      </c>
      <c r="F23625" s="2" t="str">
        <f>HYPERLINK("http://www.otzar.org/book.asp?10693","מלחמות יהודה")</f>
        <v>מלחמות יהודה</v>
      </c>
    </row>
    <row r="23626" spans="1:6" x14ac:dyDescent="0.2">
      <c r="A23626" t="s">
        <v>37976</v>
      </c>
      <c r="B23626" t="s">
        <v>37977</v>
      </c>
      <c r="C23626" t="s">
        <v>12036</v>
      </c>
      <c r="D23626" t="s">
        <v>1365</v>
      </c>
      <c r="E23626" t="s">
        <v>325</v>
      </c>
      <c r="F23626" s="2" t="str">
        <f>HYPERLINK("http://www.otzar.org/book.asp?602464","מלחמת אהרן")</f>
        <v>מלחמת אהרן</v>
      </c>
    </row>
    <row r="23627" spans="1:6" x14ac:dyDescent="0.2">
      <c r="A23627" t="s">
        <v>37978</v>
      </c>
      <c r="B23627" t="s">
        <v>37979</v>
      </c>
      <c r="C23627" t="s">
        <v>34019</v>
      </c>
      <c r="D23627" t="s">
        <v>1490</v>
      </c>
      <c r="E23627" t="s">
        <v>104</v>
      </c>
      <c r="F23627" s="2" t="str">
        <f>HYPERLINK("http://www.otzar.org/book.asp?146840","מלחמת החכמה והעושר - 2 כר'")</f>
        <v>מלחמת החכמה והעושר - 2 כר'</v>
      </c>
    </row>
    <row r="23628" spans="1:6" x14ac:dyDescent="0.2">
      <c r="A23628" t="s">
        <v>37980</v>
      </c>
      <c r="B23628" t="s">
        <v>732</v>
      </c>
      <c r="C23628" t="s">
        <v>224</v>
      </c>
      <c r="D23628" t="s">
        <v>27</v>
      </c>
      <c r="E23628" t="s">
        <v>119</v>
      </c>
      <c r="F23628" s="2" t="str">
        <f>HYPERLINK("http://www.otzar.org/book.asp?188654","מלחמת היהודים במיסיון")</f>
        <v>מלחמת היהודים במיסיון</v>
      </c>
    </row>
    <row r="23629" spans="1:6" x14ac:dyDescent="0.2">
      <c r="A23629" t="s">
        <v>37981</v>
      </c>
      <c r="B23629" t="s">
        <v>37982</v>
      </c>
      <c r="C23629" t="s">
        <v>180</v>
      </c>
      <c r="D23629" t="s">
        <v>14</v>
      </c>
      <c r="E23629" t="s">
        <v>119</v>
      </c>
      <c r="F23629" s="2" t="str">
        <f>HYPERLINK("http://www.otzar.org/book.asp?168118","מלחמת היהודים")</f>
        <v>מלחמת היהודים</v>
      </c>
    </row>
    <row r="23630" spans="1:6" x14ac:dyDescent="0.2">
      <c r="A23630" t="s">
        <v>37983</v>
      </c>
      <c r="B23630" t="s">
        <v>37984</v>
      </c>
      <c r="C23630" t="s">
        <v>224</v>
      </c>
      <c r="D23630" t="s">
        <v>14</v>
      </c>
      <c r="E23630" t="s">
        <v>703</v>
      </c>
      <c r="F23630" s="2" t="str">
        <f>HYPERLINK("http://www.otzar.org/book.asp?11654","מלחמת היצר")</f>
        <v>מלחמת היצר</v>
      </c>
    </row>
    <row r="23631" spans="1:6" x14ac:dyDescent="0.2">
      <c r="A23631" t="s">
        <v>37985</v>
      </c>
      <c r="B23631" t="s">
        <v>37986</v>
      </c>
      <c r="C23631" t="s">
        <v>946</v>
      </c>
      <c r="D23631" t="s">
        <v>6974</v>
      </c>
      <c r="E23631" t="s">
        <v>104</v>
      </c>
      <c r="F23631" s="2" t="str">
        <f>HYPERLINK("http://www.otzar.org/book.asp?168062","מלחמת המגן")</f>
        <v>מלחמת המגן</v>
      </c>
    </row>
    <row r="23632" spans="1:6" x14ac:dyDescent="0.2">
      <c r="A23632" t="s">
        <v>37987</v>
      </c>
      <c r="B23632" t="s">
        <v>206</v>
      </c>
      <c r="C23632" t="s">
        <v>151</v>
      </c>
      <c r="D23632" t="s">
        <v>14</v>
      </c>
      <c r="F23632" s="2" t="str">
        <f>HYPERLINK("http://www.otzar.org/book.asp?616549","מלחמת הרוח")</f>
        <v>מלחמת הרוח</v>
      </c>
    </row>
    <row r="23633" spans="1:6" x14ac:dyDescent="0.2">
      <c r="A23633" t="s">
        <v>37988</v>
      </c>
      <c r="B23633" t="s">
        <v>2804</v>
      </c>
      <c r="C23633" t="s">
        <v>1718</v>
      </c>
      <c r="D23633" t="s">
        <v>27</v>
      </c>
      <c r="E23633" t="s">
        <v>241</v>
      </c>
      <c r="F23633" s="2" t="str">
        <f>HYPERLINK("http://www.otzar.org/book.asp?20820","מלחמת חובה (ועדות שושנים)")</f>
        <v>מלחמת חובה (ועדות שושנים)</v>
      </c>
    </row>
    <row r="23634" spans="1:6" x14ac:dyDescent="0.2">
      <c r="A23634" t="s">
        <v>37989</v>
      </c>
      <c r="B23634" t="s">
        <v>37990</v>
      </c>
      <c r="C23634" t="s">
        <v>16450</v>
      </c>
      <c r="D23634" t="s">
        <v>1490</v>
      </c>
      <c r="E23634" t="s">
        <v>241</v>
      </c>
      <c r="F23634" s="2" t="str">
        <f>HYPERLINK("http://www.otzar.org/book.asp?104580","מלחמת חובה")</f>
        <v>מלחמת חובה</v>
      </c>
    </row>
    <row r="23635" spans="1:6" x14ac:dyDescent="0.2">
      <c r="A23635" t="s">
        <v>37991</v>
      </c>
      <c r="B23635" t="s">
        <v>37992</v>
      </c>
      <c r="C23635" t="s">
        <v>1640</v>
      </c>
      <c r="D23635" t="s">
        <v>412</v>
      </c>
      <c r="E23635" t="s">
        <v>15280</v>
      </c>
      <c r="F23635" s="2" t="str">
        <f>HYPERLINK("http://www.otzar.org/book.asp?194939","מלחמת יהושע")</f>
        <v>מלחמת יהושע</v>
      </c>
    </row>
    <row r="23636" spans="1:6" x14ac:dyDescent="0.2">
      <c r="A23636" t="s">
        <v>37991</v>
      </c>
      <c r="B23636" t="s">
        <v>37993</v>
      </c>
      <c r="C23636" t="s">
        <v>2644</v>
      </c>
      <c r="D23636" t="s">
        <v>661</v>
      </c>
      <c r="E23636" t="s">
        <v>463</v>
      </c>
      <c r="F23636" s="2" t="str">
        <f>HYPERLINK("http://www.otzar.org/book.asp?24821","מלחמת יהושע")</f>
        <v>מלחמת יהושע</v>
      </c>
    </row>
    <row r="23637" spans="1:6" x14ac:dyDescent="0.2">
      <c r="A23637" t="s">
        <v>37994</v>
      </c>
      <c r="B23637" t="s">
        <v>14840</v>
      </c>
      <c r="C23637" t="s">
        <v>581</v>
      </c>
      <c r="D23637" t="s">
        <v>27</v>
      </c>
      <c r="E23637" t="s">
        <v>6305</v>
      </c>
      <c r="F23637" s="2" t="str">
        <f>HYPERLINK("http://www.otzar.org/book.asp?14887","מלחמת יעבץ")</f>
        <v>מלחמת יעבץ</v>
      </c>
    </row>
    <row r="23638" spans="1:6" x14ac:dyDescent="0.2">
      <c r="A23638" t="s">
        <v>37995</v>
      </c>
      <c r="B23638" t="s">
        <v>13483</v>
      </c>
      <c r="C23638" t="s">
        <v>13</v>
      </c>
      <c r="D23638" t="s">
        <v>14</v>
      </c>
      <c r="E23638" t="s">
        <v>803</v>
      </c>
      <c r="F23638" s="2" t="str">
        <f>HYPERLINK("http://www.otzar.org/book.asp?64090","מלחמת מצוה &lt;מהדורת ישמח לב&gt;")</f>
        <v>מלחמת מצוה &lt;מהדורת ישמח לב&gt;</v>
      </c>
    </row>
    <row r="23639" spans="1:6" x14ac:dyDescent="0.2">
      <c r="A23639" t="s">
        <v>37996</v>
      </c>
      <c r="B23639" t="s">
        <v>1608</v>
      </c>
      <c r="C23639" t="s">
        <v>1169</v>
      </c>
      <c r="D23639" t="s">
        <v>27</v>
      </c>
      <c r="E23639" t="s">
        <v>241</v>
      </c>
      <c r="F23639" s="2" t="str">
        <f>HYPERLINK("http://www.otzar.org/book.asp?142254","מלחמת מצוה")</f>
        <v>מלחמת מצוה</v>
      </c>
    </row>
    <row r="23640" spans="1:6" x14ac:dyDescent="0.2">
      <c r="A23640" t="s">
        <v>37997</v>
      </c>
      <c r="B23640" t="s">
        <v>34564</v>
      </c>
      <c r="C23640" t="s">
        <v>445</v>
      </c>
      <c r="D23640" t="s">
        <v>225</v>
      </c>
      <c r="E23640" t="s">
        <v>241</v>
      </c>
      <c r="F23640" s="2" t="str">
        <f>HYPERLINK("http://www.otzar.org/book.asp?106342","מלחמת מצוה - 2 כר'")</f>
        <v>מלחמת מצוה - 2 כר'</v>
      </c>
    </row>
    <row r="23641" spans="1:6" x14ac:dyDescent="0.2">
      <c r="A23641" t="s">
        <v>37996</v>
      </c>
      <c r="B23641" t="s">
        <v>8510</v>
      </c>
      <c r="C23641" t="s">
        <v>1519</v>
      </c>
      <c r="D23641" t="s">
        <v>212</v>
      </c>
      <c r="E23641" t="s">
        <v>28642</v>
      </c>
      <c r="F23641" s="2" t="str">
        <f>HYPERLINK("http://www.otzar.org/book.asp?101129","מלחמת מצוה")</f>
        <v>מלחמת מצוה</v>
      </c>
    </row>
    <row r="23642" spans="1:6" x14ac:dyDescent="0.2">
      <c r="A23642" t="s">
        <v>37996</v>
      </c>
      <c r="B23642" t="s">
        <v>37998</v>
      </c>
      <c r="C23642" t="s">
        <v>146</v>
      </c>
      <c r="D23642" t="s">
        <v>52</v>
      </c>
      <c r="E23642" t="s">
        <v>234</v>
      </c>
      <c r="F23642" s="2" t="str">
        <f>HYPERLINK("http://www.otzar.org/book.asp?52605","מלחמת מצוה")</f>
        <v>מלחמת מצוה</v>
      </c>
    </row>
    <row r="23643" spans="1:6" x14ac:dyDescent="0.2">
      <c r="A23643" t="s">
        <v>37999</v>
      </c>
      <c r="B23643" t="s">
        <v>1390</v>
      </c>
      <c r="C23643" t="s">
        <v>445</v>
      </c>
      <c r="D23643" t="s">
        <v>225</v>
      </c>
      <c r="E23643" t="s">
        <v>314</v>
      </c>
      <c r="F23643" s="2" t="str">
        <f>HYPERLINK("http://www.otzar.org/book.asp?5986","מלחמת משה")</f>
        <v>מלחמת משה</v>
      </c>
    </row>
    <row r="23644" spans="1:6" x14ac:dyDescent="0.2">
      <c r="A23644" t="s">
        <v>38000</v>
      </c>
      <c r="B23644" t="s">
        <v>38001</v>
      </c>
      <c r="C23644" t="s">
        <v>411</v>
      </c>
      <c r="D23644" t="s">
        <v>245</v>
      </c>
      <c r="E23644" t="s">
        <v>241</v>
      </c>
      <c r="F23644" s="2" t="str">
        <f>HYPERLINK("http://www.otzar.org/book.asp?170925","מלחמת קודש")</f>
        <v>מלחמת קודש</v>
      </c>
    </row>
    <row r="23645" spans="1:6" x14ac:dyDescent="0.2">
      <c r="A23645" t="s">
        <v>38002</v>
      </c>
      <c r="B23645" t="s">
        <v>38003</v>
      </c>
      <c r="C23645" t="s">
        <v>896</v>
      </c>
      <c r="D23645" t="s">
        <v>56</v>
      </c>
      <c r="E23645" t="s">
        <v>10</v>
      </c>
      <c r="F23645" s="2" t="str">
        <f>HYPERLINK("http://www.otzar.org/book.asp?20123","מלחמת שלום")</f>
        <v>מלחמת שלום</v>
      </c>
    </row>
    <row r="23646" spans="1:6" x14ac:dyDescent="0.2">
      <c r="A23646" t="s">
        <v>38004</v>
      </c>
      <c r="B23646" t="s">
        <v>38005</v>
      </c>
      <c r="C23646" t="s">
        <v>492</v>
      </c>
      <c r="D23646" t="s">
        <v>27</v>
      </c>
      <c r="E23646" t="s">
        <v>241</v>
      </c>
      <c r="F23646" s="2" t="str">
        <f>HYPERLINK("http://www.otzar.org/book.asp?916","מלחמת שמואל")</f>
        <v>מלחמת שמואל</v>
      </c>
    </row>
    <row r="23647" spans="1:6" x14ac:dyDescent="0.2">
      <c r="A23647" t="s">
        <v>38006</v>
      </c>
      <c r="B23647" t="s">
        <v>38007</v>
      </c>
      <c r="C23647" t="s">
        <v>14</v>
      </c>
      <c r="D23647" t="s">
        <v>87</v>
      </c>
      <c r="E23647" t="s">
        <v>140</v>
      </c>
      <c r="F23647" s="2" t="str">
        <f>HYPERLINK("http://www.otzar.org/book.asp?623227","מליזענסק לירושלים")</f>
        <v>מליזענסק לירושלים</v>
      </c>
    </row>
    <row r="23648" spans="1:6" x14ac:dyDescent="0.2">
      <c r="A23648" t="s">
        <v>38008</v>
      </c>
      <c r="B23648" t="s">
        <v>37535</v>
      </c>
      <c r="C23648" t="s">
        <v>908</v>
      </c>
      <c r="D23648" t="s">
        <v>726</v>
      </c>
      <c r="E23648" t="s">
        <v>104</v>
      </c>
      <c r="F23648" s="2" t="str">
        <f>HYPERLINK("http://www.otzar.org/book.asp?166407","מלין דרבנן - 2 כר'")</f>
        <v>מלין דרבנן - 2 כר'</v>
      </c>
    </row>
    <row r="23649" spans="1:6" x14ac:dyDescent="0.2">
      <c r="A23649" t="s">
        <v>38009</v>
      </c>
      <c r="B23649" t="s">
        <v>15326</v>
      </c>
      <c r="C23649" t="s">
        <v>854</v>
      </c>
      <c r="D23649" t="s">
        <v>225</v>
      </c>
      <c r="E23649" t="s">
        <v>357</v>
      </c>
      <c r="F23649" s="2" t="str">
        <f>HYPERLINK("http://www.otzar.org/book.asp?168742","מלין חדתין")</f>
        <v>מלין חדתין</v>
      </c>
    </row>
    <row r="23650" spans="1:6" x14ac:dyDescent="0.2">
      <c r="A23650" t="s">
        <v>38010</v>
      </c>
      <c r="B23650" t="s">
        <v>15326</v>
      </c>
      <c r="C23650" t="s">
        <v>854</v>
      </c>
      <c r="D23650" t="s">
        <v>225</v>
      </c>
      <c r="E23650" t="s">
        <v>586</v>
      </c>
      <c r="F23650" s="2" t="str">
        <f>HYPERLINK("http://www.otzar.org/book.asp?23369","מלין יקירין")</f>
        <v>מלין יקירין</v>
      </c>
    </row>
    <row r="23651" spans="1:6" x14ac:dyDescent="0.2">
      <c r="A23651" t="s">
        <v>38011</v>
      </c>
      <c r="B23651" t="s">
        <v>3901</v>
      </c>
      <c r="C23651" t="s">
        <v>785</v>
      </c>
      <c r="D23651" t="s">
        <v>52</v>
      </c>
      <c r="E23651" t="s">
        <v>158</v>
      </c>
      <c r="F23651" s="2" t="str">
        <f>HYPERLINK("http://www.otzar.org/book.asp?172144","מליץ יושר - 5 כר'")</f>
        <v>מליץ יושר - 5 כר'</v>
      </c>
    </row>
    <row r="23652" spans="1:6" x14ac:dyDescent="0.2">
      <c r="A23652" t="s">
        <v>38012</v>
      </c>
      <c r="B23652" t="s">
        <v>38013</v>
      </c>
      <c r="C23652" t="s">
        <v>30082</v>
      </c>
      <c r="D23652" t="s">
        <v>49</v>
      </c>
      <c r="E23652" t="s">
        <v>1626</v>
      </c>
      <c r="F23652" s="2" t="str">
        <f>HYPERLINK("http://www.otzar.org/book.asp?83596","מליץ ישר")</f>
        <v>מליץ ישר</v>
      </c>
    </row>
    <row r="23653" spans="1:6" x14ac:dyDescent="0.2">
      <c r="A23653" t="s">
        <v>38014</v>
      </c>
      <c r="B23653" t="s">
        <v>26890</v>
      </c>
      <c r="C23653" t="s">
        <v>8</v>
      </c>
      <c r="D23653" t="s">
        <v>14</v>
      </c>
      <c r="E23653" t="s">
        <v>674</v>
      </c>
      <c r="F23653" s="2" t="str">
        <f>HYPERLINK("http://www.otzar.org/book.asp?608189","מליץ נעים &lt;מהדורה חדשה&gt;")</f>
        <v>מליץ נעים &lt;מהדורה חדשה&gt;</v>
      </c>
    </row>
    <row r="23654" spans="1:6" x14ac:dyDescent="0.2">
      <c r="A23654" t="s">
        <v>38015</v>
      </c>
      <c r="B23654" t="s">
        <v>26890</v>
      </c>
      <c r="C23654" t="s">
        <v>8</v>
      </c>
      <c r="D23654" t="s">
        <v>14</v>
      </c>
      <c r="E23654" t="s">
        <v>31917</v>
      </c>
      <c r="F23654" s="2" t="str">
        <f>HYPERLINK("http://www.otzar.org/book.asp?15998","מליץ נעים")</f>
        <v>מליץ נעים</v>
      </c>
    </row>
    <row r="23655" spans="1:6" x14ac:dyDescent="0.2">
      <c r="A23655" t="s">
        <v>38016</v>
      </c>
      <c r="B23655" t="s">
        <v>38017</v>
      </c>
      <c r="C23655" t="s">
        <v>28837</v>
      </c>
      <c r="D23655" t="s">
        <v>38018</v>
      </c>
      <c r="E23655" t="s">
        <v>104</v>
      </c>
      <c r="F23655" s="2" t="str">
        <f>HYPERLINK("http://www.otzar.org/book.asp?146907","מליצה למשכיל - 2 כר'")</f>
        <v>מליצה למשכיל - 2 כר'</v>
      </c>
    </row>
    <row r="23656" spans="1:6" x14ac:dyDescent="0.2">
      <c r="A23656" t="s">
        <v>38019</v>
      </c>
      <c r="B23656" t="s">
        <v>13899</v>
      </c>
      <c r="C23656" t="s">
        <v>38020</v>
      </c>
      <c r="D23656" t="s">
        <v>8555</v>
      </c>
      <c r="E23656" t="s">
        <v>38021</v>
      </c>
      <c r="F23656" s="2" t="str">
        <f>HYPERLINK("http://www.otzar.org/book.asp?143139","מליצי אש - 8 כר'")</f>
        <v>מליצי אש - 8 כר'</v>
      </c>
    </row>
    <row r="23657" spans="1:6" x14ac:dyDescent="0.2">
      <c r="A23657" t="s">
        <v>38022</v>
      </c>
      <c r="B23657" t="s">
        <v>2948</v>
      </c>
      <c r="C23657" t="s">
        <v>454</v>
      </c>
      <c r="D23657" t="s">
        <v>14</v>
      </c>
      <c r="E23657" t="s">
        <v>119</v>
      </c>
      <c r="F23657" s="2" t="str">
        <f>HYPERLINK("http://www.otzar.org/book.asp?25848","מליצי יושר")</f>
        <v>מליצי יושר</v>
      </c>
    </row>
    <row r="23658" spans="1:6" x14ac:dyDescent="0.2">
      <c r="A23658" t="s">
        <v>38022</v>
      </c>
      <c r="B23658" t="s">
        <v>14472</v>
      </c>
      <c r="C23658" t="s">
        <v>1470</v>
      </c>
      <c r="D23658" t="s">
        <v>27</v>
      </c>
      <c r="E23658" t="s">
        <v>219</v>
      </c>
      <c r="F23658" s="2" t="str">
        <f>HYPERLINK("http://www.otzar.org/book.asp?173088","מליצי יושר")</f>
        <v>מליצי יושר</v>
      </c>
    </row>
    <row r="23659" spans="1:6" x14ac:dyDescent="0.2">
      <c r="A23659" t="s">
        <v>38023</v>
      </c>
      <c r="B23659" t="s">
        <v>3554</v>
      </c>
      <c r="C23659" t="s">
        <v>103</v>
      </c>
      <c r="D23659" t="s">
        <v>52</v>
      </c>
      <c r="E23659" t="s">
        <v>119</v>
      </c>
      <c r="F23659" s="2" t="str">
        <f>HYPERLINK("http://www.otzar.org/book.asp?172738","מלך ביופיו")</f>
        <v>מלך ביופיו</v>
      </c>
    </row>
    <row r="23660" spans="1:6" x14ac:dyDescent="0.2">
      <c r="A23660" t="s">
        <v>38023</v>
      </c>
      <c r="B23660" t="s">
        <v>10797</v>
      </c>
      <c r="C23660" t="s">
        <v>422</v>
      </c>
      <c r="D23660" t="s">
        <v>1156</v>
      </c>
      <c r="F23660" s="2" t="str">
        <f>HYPERLINK("http://www.otzar.org/book.asp?612689","מלך ביופיו")</f>
        <v>מלך ביופיו</v>
      </c>
    </row>
    <row r="23661" spans="1:6" x14ac:dyDescent="0.2">
      <c r="A23661" t="s">
        <v>38024</v>
      </c>
      <c r="B23661" t="s">
        <v>1728</v>
      </c>
      <c r="C23661" t="s">
        <v>146</v>
      </c>
      <c r="D23661" t="s">
        <v>273</v>
      </c>
      <c r="E23661" t="s">
        <v>741</v>
      </c>
      <c r="F23661" s="2" t="str">
        <f>HYPERLINK("http://www.otzar.org/book.asp?628558","מלך ביפיו")</f>
        <v>מלך ביפיו</v>
      </c>
    </row>
    <row r="23662" spans="1:6" x14ac:dyDescent="0.2">
      <c r="A23662" t="s">
        <v>38024</v>
      </c>
      <c r="B23662" t="s">
        <v>38025</v>
      </c>
      <c r="C23662" t="s">
        <v>17</v>
      </c>
      <c r="D23662" t="s">
        <v>14</v>
      </c>
      <c r="E23662" t="s">
        <v>5340</v>
      </c>
      <c r="F23662" s="2" t="str">
        <f>HYPERLINK("http://www.otzar.org/book.asp?160151","מלך ביפיו")</f>
        <v>מלך ביפיו</v>
      </c>
    </row>
    <row r="23663" spans="1:6" x14ac:dyDescent="0.2">
      <c r="A23663" t="s">
        <v>38026</v>
      </c>
      <c r="B23663" t="s">
        <v>38027</v>
      </c>
      <c r="C23663" t="s">
        <v>37</v>
      </c>
      <c r="D23663" t="s">
        <v>1356</v>
      </c>
      <c r="F23663" s="2" t="str">
        <f>HYPERLINK("http://www.otzar.org/book.asp?605956","מלך יושב")</f>
        <v>מלך יושב</v>
      </c>
    </row>
    <row r="23664" spans="1:6" x14ac:dyDescent="0.2">
      <c r="A23664" t="s">
        <v>38028</v>
      </c>
      <c r="B23664" t="s">
        <v>38029</v>
      </c>
      <c r="C23664" t="s">
        <v>7625</v>
      </c>
      <c r="D23664" t="s">
        <v>76</v>
      </c>
      <c r="E23664" t="s">
        <v>38030</v>
      </c>
      <c r="F23664" s="2" t="str">
        <f>HYPERLINK("http://www.otzar.org/book.asp?101130","מלך שלם")</f>
        <v>מלך שלם</v>
      </c>
    </row>
    <row r="23665" spans="1:6" x14ac:dyDescent="0.2">
      <c r="A23665" t="s">
        <v>38031</v>
      </c>
      <c r="B23665" t="s">
        <v>35136</v>
      </c>
      <c r="C23665" t="s">
        <v>785</v>
      </c>
      <c r="D23665" t="s">
        <v>14</v>
      </c>
      <c r="E23665" t="s">
        <v>158</v>
      </c>
      <c r="F23665" s="2" t="str">
        <f>HYPERLINK("http://www.otzar.org/book.asp?176686","מלכה של תורה - 10 כר'")</f>
        <v>מלכה של תורה - 10 כר'</v>
      </c>
    </row>
    <row r="23666" spans="1:6" x14ac:dyDescent="0.2">
      <c r="A23666" t="s">
        <v>38032</v>
      </c>
      <c r="B23666" t="s">
        <v>38033</v>
      </c>
      <c r="C23666" t="s">
        <v>114</v>
      </c>
      <c r="D23666" t="s">
        <v>412</v>
      </c>
      <c r="F23666" s="2" t="str">
        <f>HYPERLINK("http://www.otzar.org/book.asp?181858","מלכו של עולם")</f>
        <v>מלכו של עולם</v>
      </c>
    </row>
    <row r="23667" spans="1:6" x14ac:dyDescent="0.2">
      <c r="A23667" t="s">
        <v>38034</v>
      </c>
      <c r="B23667" t="s">
        <v>38035</v>
      </c>
      <c r="C23667" t="s">
        <v>103</v>
      </c>
      <c r="D23667" t="s">
        <v>21</v>
      </c>
      <c r="E23667" t="s">
        <v>803</v>
      </c>
      <c r="F23667" s="2" t="str">
        <f>HYPERLINK("http://www.otzar.org/book.asp?196049","מלכות ארי")</f>
        <v>מלכות ארי</v>
      </c>
    </row>
    <row r="23668" spans="1:6" x14ac:dyDescent="0.2">
      <c r="A23668" t="s">
        <v>38036</v>
      </c>
      <c r="B23668" t="s">
        <v>38037</v>
      </c>
      <c r="C23668" t="s">
        <v>143</v>
      </c>
      <c r="D23668" t="s">
        <v>52</v>
      </c>
      <c r="E23668" t="s">
        <v>119</v>
      </c>
      <c r="F23668" s="2" t="str">
        <f>HYPERLINK("http://www.otzar.org/book.asp?157752","מלכות בית דוד")</f>
        <v>מלכות בית דוד</v>
      </c>
    </row>
    <row r="23669" spans="1:6" x14ac:dyDescent="0.2">
      <c r="A23669" t="s">
        <v>38038</v>
      </c>
      <c r="B23669" t="s">
        <v>6273</v>
      </c>
      <c r="C23669" t="s">
        <v>1246</v>
      </c>
      <c r="D23669" t="s">
        <v>27</v>
      </c>
      <c r="E23669" t="s">
        <v>15</v>
      </c>
      <c r="F23669" s="2" t="str">
        <f>HYPERLINK("http://www.otzar.org/book.asp?14017","מלכות בית דוד - 2 כר'")</f>
        <v>מלכות בית דוד - 2 כר'</v>
      </c>
    </row>
    <row r="23670" spans="1:6" x14ac:dyDescent="0.2">
      <c r="A23670" t="s">
        <v>38039</v>
      </c>
      <c r="B23670" t="s">
        <v>38037</v>
      </c>
      <c r="C23670" t="s">
        <v>523</v>
      </c>
      <c r="D23670" t="s">
        <v>52</v>
      </c>
      <c r="E23670" t="s">
        <v>119</v>
      </c>
      <c r="F23670" s="2" t="str">
        <f>HYPERLINK("http://www.otzar.org/book.asp?172333","מלכות בית רדומסק")</f>
        <v>מלכות בית רדומסק</v>
      </c>
    </row>
    <row r="23671" spans="1:6" x14ac:dyDescent="0.2">
      <c r="A23671" t="s">
        <v>38040</v>
      </c>
      <c r="B23671" t="s">
        <v>38041</v>
      </c>
      <c r="C23671" t="s">
        <v>129</v>
      </c>
      <c r="D23671" t="s">
        <v>14</v>
      </c>
      <c r="F23671" s="2" t="str">
        <f>HYPERLINK("http://www.otzar.org/book.asp?612022","מלכות דוד - א")</f>
        <v>מלכות דוד - א</v>
      </c>
    </row>
    <row r="23672" spans="1:6" x14ac:dyDescent="0.2">
      <c r="A23672" t="s">
        <v>38042</v>
      </c>
      <c r="B23672" t="s">
        <v>17111</v>
      </c>
      <c r="C23672" t="s">
        <v>422</v>
      </c>
      <c r="D23672" t="s">
        <v>657</v>
      </c>
      <c r="F23672" s="2" t="str">
        <f>HYPERLINK("http://www.otzar.org/book.asp?183241","מלכות התורה שבעל פה - ד")</f>
        <v>מלכות התורה שבעל פה - ד</v>
      </c>
    </row>
    <row r="23673" spans="1:6" x14ac:dyDescent="0.2">
      <c r="A23673" t="s">
        <v>38043</v>
      </c>
      <c r="B23673" t="s">
        <v>22162</v>
      </c>
      <c r="C23673" t="s">
        <v>775</v>
      </c>
      <c r="D23673" t="s">
        <v>38044</v>
      </c>
      <c r="E23673" t="s">
        <v>1174</v>
      </c>
      <c r="F23673" s="2" t="str">
        <f>HYPERLINK("http://www.otzar.org/book.asp?174289","מלכות ויז'ניץ")</f>
        <v>מלכות ויז'ניץ</v>
      </c>
    </row>
    <row r="23674" spans="1:6" x14ac:dyDescent="0.2">
      <c r="A23674" t="s">
        <v>38045</v>
      </c>
      <c r="B23674" t="s">
        <v>24107</v>
      </c>
      <c r="C23674" t="s">
        <v>51</v>
      </c>
      <c r="D23674" t="s">
        <v>7569</v>
      </c>
      <c r="E23674" t="s">
        <v>104</v>
      </c>
      <c r="F23674" s="2" t="str">
        <f>HYPERLINK("http://www.otzar.org/book.asp?199749","מלכות יהודה וישראל")</f>
        <v>מלכות יהודה וישראל</v>
      </c>
    </row>
    <row r="23675" spans="1:6" x14ac:dyDescent="0.2">
      <c r="A23675" t="s">
        <v>38046</v>
      </c>
      <c r="B23675" t="s">
        <v>38047</v>
      </c>
      <c r="C23675" t="s">
        <v>189</v>
      </c>
      <c r="D23675" t="s">
        <v>14</v>
      </c>
      <c r="E23675" t="s">
        <v>119</v>
      </c>
      <c r="F23675" s="2" t="str">
        <f>HYPERLINK("http://www.otzar.org/book.asp?21822","מלכות יהודה - לזכר מרן הגאון ר' יהודה הכהן רבין זצ""ל")</f>
        <v>מלכות יהודה - לזכר מרן הגאון ר' יהודה הכהן רבין זצ"ל</v>
      </c>
    </row>
    <row r="23676" spans="1:6" x14ac:dyDescent="0.2">
      <c r="A23676" t="s">
        <v>38048</v>
      </c>
      <c r="B23676" t="s">
        <v>38049</v>
      </c>
      <c r="C23676" t="s">
        <v>366</v>
      </c>
      <c r="D23676" t="s">
        <v>21</v>
      </c>
      <c r="E23676" t="s">
        <v>4455</v>
      </c>
      <c r="F23676" s="2" t="str">
        <f>HYPERLINK("http://www.otzar.org/book.asp?608495","מלכות יוסף")</f>
        <v>מלכות יוסף</v>
      </c>
    </row>
    <row r="23677" spans="1:6" x14ac:dyDescent="0.2">
      <c r="A23677" t="s">
        <v>38050</v>
      </c>
      <c r="B23677" t="s">
        <v>1728</v>
      </c>
      <c r="C23677" t="s">
        <v>466</v>
      </c>
      <c r="D23677" t="s">
        <v>38051</v>
      </c>
      <c r="E23677" t="s">
        <v>104</v>
      </c>
      <c r="F23677" s="2" t="str">
        <f>HYPERLINK("http://www.otzar.org/book.asp?626906","מלכות ישראל - 5 כר'")</f>
        <v>מלכות ישראל - 5 כר'</v>
      </c>
    </row>
    <row r="23678" spans="1:6" x14ac:dyDescent="0.2">
      <c r="A23678" t="s">
        <v>38052</v>
      </c>
      <c r="B23678" t="s">
        <v>38053</v>
      </c>
      <c r="C23678" t="s">
        <v>37</v>
      </c>
      <c r="D23678" t="s">
        <v>52</v>
      </c>
      <c r="E23678" t="s">
        <v>158</v>
      </c>
      <c r="F23678" s="2" t="str">
        <f>HYPERLINK("http://www.otzar.org/book.asp?183387","מלכות שבא - על התורה")</f>
        <v>מלכות שבא - על התורה</v>
      </c>
    </row>
    <row r="23679" spans="1:6" x14ac:dyDescent="0.2">
      <c r="A23679" t="s">
        <v>38054</v>
      </c>
      <c r="B23679" t="s">
        <v>38055</v>
      </c>
      <c r="C23679" t="s">
        <v>244</v>
      </c>
      <c r="D23679" t="s">
        <v>3750</v>
      </c>
      <c r="E23679" t="s">
        <v>230</v>
      </c>
      <c r="F23679" s="2" t="str">
        <f>HYPERLINK("http://www.otzar.org/book.asp?609982","מלכות שלמה")</f>
        <v>מלכות שלמה</v>
      </c>
    </row>
    <row r="23680" spans="1:6" x14ac:dyDescent="0.2">
      <c r="A23680" t="s">
        <v>38056</v>
      </c>
      <c r="B23680" t="s">
        <v>38057</v>
      </c>
      <c r="C23680" t="s">
        <v>989</v>
      </c>
      <c r="D23680" t="s">
        <v>14</v>
      </c>
      <c r="E23680" t="s">
        <v>241</v>
      </c>
      <c r="F23680" s="2" t="str">
        <f>HYPERLINK("http://www.otzar.org/book.asp?14927","מלכות תהפך למינות")</f>
        <v>מלכות תהפך למינות</v>
      </c>
    </row>
    <row r="23681" spans="1:6" x14ac:dyDescent="0.2">
      <c r="A23681" t="s">
        <v>38058</v>
      </c>
      <c r="B23681" t="s">
        <v>38059</v>
      </c>
      <c r="C23681" t="s">
        <v>11776</v>
      </c>
      <c r="D23681" t="s">
        <v>76</v>
      </c>
      <c r="E23681" t="s">
        <v>38060</v>
      </c>
      <c r="F23681" s="2" t="str">
        <f>HYPERLINK("http://www.otzar.org/book.asp?101131","מלכי בקדש - 2 כר'")</f>
        <v>מלכי בקדש - 2 כר'</v>
      </c>
    </row>
    <row r="23682" spans="1:6" x14ac:dyDescent="0.2">
      <c r="A23682" t="s">
        <v>38061</v>
      </c>
      <c r="B23682" t="s">
        <v>38062</v>
      </c>
      <c r="C23682" t="s">
        <v>51</v>
      </c>
      <c r="D23682" t="s">
        <v>412</v>
      </c>
      <c r="E23682" t="s">
        <v>38063</v>
      </c>
      <c r="F23682" s="2" t="str">
        <f>HYPERLINK("http://www.otzar.org/book.asp?172336","מלכי בקודש - תורת המגיד מזלאטשוב")</f>
        <v>מלכי בקודש - תורת המגיד מזלאטשוב</v>
      </c>
    </row>
    <row r="23683" spans="1:6" x14ac:dyDescent="0.2">
      <c r="A23683" t="s">
        <v>38064</v>
      </c>
      <c r="B23683" t="s">
        <v>905</v>
      </c>
      <c r="C23683" t="s">
        <v>13</v>
      </c>
      <c r="D23683" t="s">
        <v>14</v>
      </c>
      <c r="E23683" t="s">
        <v>3567</v>
      </c>
      <c r="F23683" s="2" t="str">
        <f>HYPERLINK("http://www.otzar.org/book.asp?63171","מלכי חי""ל &lt;חכמי לוב&gt; - פנקס בית דין טריפולי")</f>
        <v>מלכי חי"ל &lt;חכמי לוב&gt; - פנקס בית דין טריפולי</v>
      </c>
    </row>
    <row r="23684" spans="1:6" x14ac:dyDescent="0.2">
      <c r="A23684" t="s">
        <v>38065</v>
      </c>
      <c r="B23684" t="s">
        <v>38066</v>
      </c>
      <c r="C23684" t="s">
        <v>68</v>
      </c>
      <c r="D23684" t="s">
        <v>412</v>
      </c>
      <c r="E23684" t="s">
        <v>234</v>
      </c>
      <c r="F23684" s="2" t="str">
        <f>HYPERLINK("http://www.otzar.org/book.asp?198222","מלכי יהודה &lt;מהדורה חדשה&gt;")</f>
        <v>מלכי יהודה &lt;מהדורה חדשה&gt;</v>
      </c>
    </row>
    <row r="23685" spans="1:6" x14ac:dyDescent="0.2">
      <c r="A23685" t="s">
        <v>38067</v>
      </c>
      <c r="B23685" t="s">
        <v>38066</v>
      </c>
      <c r="C23685" t="s">
        <v>10907</v>
      </c>
      <c r="D23685" t="s">
        <v>726</v>
      </c>
      <c r="E23685" t="s">
        <v>564</v>
      </c>
      <c r="F23685" s="2" t="str">
        <f>HYPERLINK("http://www.otzar.org/book.asp?63835","מלכי יהודה - 2 כר'")</f>
        <v>מלכי יהודה - 2 כר'</v>
      </c>
    </row>
    <row r="23686" spans="1:6" x14ac:dyDescent="0.2">
      <c r="A23686" t="s">
        <v>38068</v>
      </c>
      <c r="B23686" t="s">
        <v>905</v>
      </c>
      <c r="C23686" t="s">
        <v>313</v>
      </c>
      <c r="D23686" t="s">
        <v>14</v>
      </c>
      <c r="E23686" t="s">
        <v>119</v>
      </c>
      <c r="F23686" s="2" t="str">
        <f>HYPERLINK("http://www.otzar.org/book.asp?63176","מלכי ישורון &lt;חכמי אלג'יר&gt; ושבחי חכמי אלג'יריה")</f>
        <v>מלכי ישורון &lt;חכמי אלג'יר&gt; ושבחי חכמי אלג'יריה</v>
      </c>
    </row>
    <row r="23687" spans="1:6" x14ac:dyDescent="0.2">
      <c r="A23687" t="s">
        <v>38069</v>
      </c>
      <c r="B23687" t="s">
        <v>450</v>
      </c>
      <c r="C23687" t="s">
        <v>728</v>
      </c>
      <c r="D23687" t="s">
        <v>23043</v>
      </c>
      <c r="F23687" s="2" t="str">
        <f>HYPERLINK("http://www.otzar.org/book.asp?170292","מלכי צדק")</f>
        <v>מלכי צדק</v>
      </c>
    </row>
    <row r="23688" spans="1:6" x14ac:dyDescent="0.2">
      <c r="A23688" t="s">
        <v>38070</v>
      </c>
      <c r="B23688" t="s">
        <v>38071</v>
      </c>
      <c r="C23688" t="s">
        <v>133</v>
      </c>
      <c r="D23688" t="s">
        <v>367</v>
      </c>
      <c r="E23688" t="s">
        <v>148</v>
      </c>
      <c r="F23688" s="2" t="str">
        <f>HYPERLINK("http://www.otzar.org/book.asp?175556","מלכי צדק - הלכות מוקצה")</f>
        <v>מלכי צדק - הלכות מוקצה</v>
      </c>
    </row>
    <row r="23689" spans="1:6" x14ac:dyDescent="0.2">
      <c r="A23689" t="s">
        <v>38072</v>
      </c>
      <c r="B23689" t="s">
        <v>18229</v>
      </c>
      <c r="C23689" t="s">
        <v>1535</v>
      </c>
      <c r="D23689" t="s">
        <v>27</v>
      </c>
      <c r="E23689" t="s">
        <v>517</v>
      </c>
      <c r="F23689" s="2" t="str">
        <f>HYPERLINK("http://www.otzar.org/book.asp?526","מלכי רבנן")</f>
        <v>מלכי רבנן</v>
      </c>
    </row>
    <row r="23690" spans="1:6" x14ac:dyDescent="0.2">
      <c r="A23690" t="s">
        <v>38073</v>
      </c>
      <c r="B23690" t="s">
        <v>38074</v>
      </c>
      <c r="C23690" t="s">
        <v>940</v>
      </c>
      <c r="D23690" t="s">
        <v>2375</v>
      </c>
      <c r="F23690" s="2" t="str">
        <f>HYPERLINK("http://www.otzar.org/book.asp?199463","מלכי תרשיש")</f>
        <v>מלכי תרשיש</v>
      </c>
    </row>
    <row r="23691" spans="1:6" x14ac:dyDescent="0.2">
      <c r="A23691" t="s">
        <v>38075</v>
      </c>
      <c r="B23691" t="s">
        <v>38076</v>
      </c>
      <c r="C23691" t="s">
        <v>38077</v>
      </c>
      <c r="D23691" t="s">
        <v>283</v>
      </c>
      <c r="F23691" s="2" t="str">
        <f>HYPERLINK("http://www.otzar.org/book.asp?154350","מלכיאל")</f>
        <v>מלכיאל</v>
      </c>
    </row>
    <row r="23692" spans="1:6" x14ac:dyDescent="0.2">
      <c r="A23692" t="s">
        <v>38078</v>
      </c>
      <c r="B23692" t="s">
        <v>21861</v>
      </c>
      <c r="C23692" t="s">
        <v>383</v>
      </c>
      <c r="D23692" t="s">
        <v>52</v>
      </c>
      <c r="E23692" t="s">
        <v>38079</v>
      </c>
      <c r="F23692" s="2" t="str">
        <f>HYPERLINK("http://www.otzar.org/book.asp?24733","מלכים אמניך")</f>
        <v>מלכים אמניך</v>
      </c>
    </row>
    <row r="23693" spans="1:6" x14ac:dyDescent="0.2">
      <c r="A23693" t="s">
        <v>38080</v>
      </c>
      <c r="B23693" t="s">
        <v>38081</v>
      </c>
      <c r="C23693" t="s">
        <v>454</v>
      </c>
      <c r="D23693" t="s">
        <v>108</v>
      </c>
      <c r="E23693" t="s">
        <v>172</v>
      </c>
      <c r="F23693" s="2" t="str">
        <f>HYPERLINK("http://www.otzar.org/book.asp?173513","מלכת שבא - ב")</f>
        <v>מלכת שבא - ב</v>
      </c>
    </row>
    <row r="23694" spans="1:6" x14ac:dyDescent="0.2">
      <c r="A23694" t="s">
        <v>38082</v>
      </c>
      <c r="B23694" t="s">
        <v>9765</v>
      </c>
      <c r="C23694" t="s">
        <v>752</v>
      </c>
      <c r="D23694" t="s">
        <v>563</v>
      </c>
      <c r="E23694" t="s">
        <v>579</v>
      </c>
      <c r="F23694" s="2" t="str">
        <f>HYPERLINK("http://www.otzar.org/book.asp?83999","מלל אברהם")</f>
        <v>מלל אברהם</v>
      </c>
    </row>
    <row r="23695" spans="1:6" x14ac:dyDescent="0.2">
      <c r="A23695" t="s">
        <v>38083</v>
      </c>
      <c r="B23695" t="s">
        <v>9520</v>
      </c>
      <c r="C23695" t="s">
        <v>767</v>
      </c>
      <c r="D23695" t="s">
        <v>14</v>
      </c>
      <c r="E23695" t="s">
        <v>158</v>
      </c>
      <c r="F23695" s="2" t="str">
        <f>HYPERLINK("http://www.otzar.org/book.asp?177168","מלל לאברהם &lt;מהדורה חדשה&gt; - 2 כר'")</f>
        <v>מלל לאברהם &lt;מהדורה חדשה&gt; - 2 כר'</v>
      </c>
    </row>
    <row r="23696" spans="1:6" x14ac:dyDescent="0.2">
      <c r="A23696" t="s">
        <v>38084</v>
      </c>
      <c r="B23696" t="s">
        <v>38085</v>
      </c>
      <c r="C23696" t="s">
        <v>1268</v>
      </c>
      <c r="D23696" t="s">
        <v>14</v>
      </c>
      <c r="E23696" t="s">
        <v>158</v>
      </c>
      <c r="F23696" s="2" t="str">
        <f>HYPERLINK("http://www.otzar.org/book.asp?152303","מלל לאברהם &lt;מכון הכתב&gt;")</f>
        <v>מלל לאברהם &lt;מכון הכתב&gt;</v>
      </c>
    </row>
    <row r="23697" spans="1:6" x14ac:dyDescent="0.2">
      <c r="A23697" t="s">
        <v>38086</v>
      </c>
      <c r="B23697" t="s">
        <v>38087</v>
      </c>
      <c r="C23697" t="s">
        <v>26</v>
      </c>
      <c r="D23697" t="s">
        <v>36267</v>
      </c>
      <c r="E23697" t="s">
        <v>38088</v>
      </c>
      <c r="F23697" s="2" t="str">
        <f>HYPERLINK("http://www.otzar.org/book.asp?171013","מלל לאברהם")</f>
        <v>מלל לאברהם</v>
      </c>
    </row>
    <row r="23698" spans="1:6" x14ac:dyDescent="0.2">
      <c r="A23698" t="s">
        <v>38086</v>
      </c>
      <c r="B23698" t="s">
        <v>179</v>
      </c>
      <c r="C23698" t="s">
        <v>1448</v>
      </c>
      <c r="D23698" t="s">
        <v>52</v>
      </c>
      <c r="E23698" t="s">
        <v>213</v>
      </c>
      <c r="F23698" s="2" t="str">
        <f>HYPERLINK("http://www.otzar.org/book.asp?85265","מלל לאברהם")</f>
        <v>מלל לאברהם</v>
      </c>
    </row>
    <row r="23699" spans="1:6" x14ac:dyDescent="0.2">
      <c r="A23699" t="s">
        <v>38086</v>
      </c>
      <c r="B23699" t="s">
        <v>38089</v>
      </c>
      <c r="C23699" t="s">
        <v>1166</v>
      </c>
      <c r="D23699" t="s">
        <v>379</v>
      </c>
      <c r="E23699" t="s">
        <v>1684</v>
      </c>
      <c r="F23699" s="2" t="str">
        <f>HYPERLINK("http://www.otzar.org/book.asp?173082","מלל לאברהם")</f>
        <v>מלל לאברהם</v>
      </c>
    </row>
    <row r="23700" spans="1:6" x14ac:dyDescent="0.2">
      <c r="A23700" t="s">
        <v>38090</v>
      </c>
      <c r="B23700" t="s">
        <v>38091</v>
      </c>
      <c r="C23700" t="s">
        <v>160</v>
      </c>
      <c r="D23700" t="s">
        <v>11104</v>
      </c>
      <c r="F23700" s="2" t="str">
        <f>HYPERLINK("http://www.otzar.org/book.asp?162201","מלל לאברהם - א")</f>
        <v>מלל לאברהם - א</v>
      </c>
    </row>
    <row r="23701" spans="1:6" x14ac:dyDescent="0.2">
      <c r="A23701" t="s">
        <v>38092</v>
      </c>
      <c r="B23701" t="s">
        <v>38085</v>
      </c>
      <c r="C23701" t="s">
        <v>20</v>
      </c>
      <c r="D23701" t="s">
        <v>412</v>
      </c>
      <c r="E23701" t="s">
        <v>474</v>
      </c>
      <c r="F23701" s="2" t="str">
        <f>HYPERLINK("http://www.otzar.org/book.asp?28312","מלל לאברהם - 3 כר'")</f>
        <v>מלל לאברהם - 3 כר'</v>
      </c>
    </row>
    <row r="23702" spans="1:6" x14ac:dyDescent="0.2">
      <c r="A23702" t="s">
        <v>38093</v>
      </c>
      <c r="B23702" t="s">
        <v>32595</v>
      </c>
      <c r="C23702" t="s">
        <v>422</v>
      </c>
      <c r="D23702" t="s">
        <v>52</v>
      </c>
      <c r="E23702" t="s">
        <v>463</v>
      </c>
      <c r="F23702" s="2" t="str">
        <f>HYPERLINK("http://www.otzar.org/book.asp?158724","מלל לשלמה")</f>
        <v>מלל לשלמה</v>
      </c>
    </row>
    <row r="23703" spans="1:6" x14ac:dyDescent="0.2">
      <c r="A23703" t="s">
        <v>38094</v>
      </c>
      <c r="B23703" t="s">
        <v>38095</v>
      </c>
      <c r="C23703" t="s">
        <v>550</v>
      </c>
      <c r="D23703" t="s">
        <v>15591</v>
      </c>
      <c r="E23703" t="s">
        <v>474</v>
      </c>
      <c r="F23703" s="2" t="str">
        <f>HYPERLINK("http://www.otzar.org/book.asp?14485","מלמד התלמידים")</f>
        <v>מלמד התלמידים</v>
      </c>
    </row>
    <row r="23704" spans="1:6" x14ac:dyDescent="0.2">
      <c r="A23704" t="s">
        <v>38096</v>
      </c>
      <c r="B23704" t="s">
        <v>38097</v>
      </c>
      <c r="C23704" t="s">
        <v>38098</v>
      </c>
      <c r="D23704" t="s">
        <v>9</v>
      </c>
      <c r="E23704" t="s">
        <v>564</v>
      </c>
      <c r="F23704" s="2" t="str">
        <f>HYPERLINK("http://www.otzar.org/book.asp?141962","מלמד זכות - 2 כר'")</f>
        <v>מלמד זכות - 2 כר'</v>
      </c>
    </row>
    <row r="23705" spans="1:6" x14ac:dyDescent="0.2">
      <c r="A23705" t="s">
        <v>38099</v>
      </c>
      <c r="B23705" t="s">
        <v>20270</v>
      </c>
      <c r="C23705" t="s">
        <v>68</v>
      </c>
      <c r="D23705" t="s">
        <v>14</v>
      </c>
      <c r="E23705" t="s">
        <v>508</v>
      </c>
      <c r="F23705" s="2" t="str">
        <f>HYPERLINK("http://www.otzar.org/book.asp?158122","מלמד להועיל &lt;מהדורה חדשה&gt;")</f>
        <v>מלמד להועיל &lt;מהדורה חדשה&gt;</v>
      </c>
    </row>
    <row r="23706" spans="1:6" x14ac:dyDescent="0.2">
      <c r="A23706" t="s">
        <v>38100</v>
      </c>
      <c r="B23706" t="s">
        <v>20270</v>
      </c>
      <c r="C23706" t="s">
        <v>38101</v>
      </c>
      <c r="D23706" t="s">
        <v>322</v>
      </c>
      <c r="E23706" t="s">
        <v>154</v>
      </c>
      <c r="F23706" s="2" t="str">
        <f>HYPERLINK("http://www.otzar.org/book.asp?6050","מלמד להועיל - 3 כר'")</f>
        <v>מלמד להועיל - 3 כר'</v>
      </c>
    </row>
    <row r="23707" spans="1:6" x14ac:dyDescent="0.2">
      <c r="A23707" t="s">
        <v>38102</v>
      </c>
      <c r="B23707" t="s">
        <v>36002</v>
      </c>
      <c r="C23707" t="s">
        <v>133</v>
      </c>
      <c r="D23707" t="s">
        <v>14</v>
      </c>
      <c r="E23707" t="s">
        <v>154</v>
      </c>
      <c r="F23707" s="2" t="str">
        <f>HYPERLINK("http://www.otzar.org/book.asp?181751","מלמדך להועיל - א")</f>
        <v>מלמדך להועיל - א</v>
      </c>
    </row>
    <row r="23708" spans="1:6" x14ac:dyDescent="0.2">
      <c r="A23708" t="s">
        <v>38103</v>
      </c>
      <c r="B23708" t="s">
        <v>5218</v>
      </c>
      <c r="C23708" t="s">
        <v>1811</v>
      </c>
      <c r="D23708" t="s">
        <v>14</v>
      </c>
      <c r="E23708" t="s">
        <v>154</v>
      </c>
      <c r="F23708" s="2" t="str">
        <f>HYPERLINK("http://www.otzar.org/book.asp?53658","מלתא בטעמא - 2 כר'")</f>
        <v>מלתא בטעמא - 2 כר'</v>
      </c>
    </row>
    <row r="23709" spans="1:6" x14ac:dyDescent="0.2">
      <c r="A23709" t="s">
        <v>38104</v>
      </c>
      <c r="B23709" t="s">
        <v>7181</v>
      </c>
      <c r="C23709" t="s">
        <v>23</v>
      </c>
      <c r="D23709" t="s">
        <v>52</v>
      </c>
      <c r="E23709" t="s">
        <v>144</v>
      </c>
      <c r="F23709" s="2" t="str">
        <f>HYPERLINK("http://www.otzar.org/book.asp?600571","ממגד גרש ירחים - 6 כר'")</f>
        <v>ממגד גרש ירחים - 6 כר'</v>
      </c>
    </row>
    <row r="23710" spans="1:6" x14ac:dyDescent="0.2">
      <c r="A23710" t="s">
        <v>38105</v>
      </c>
      <c r="B23710" t="s">
        <v>38106</v>
      </c>
      <c r="C23710" t="s">
        <v>189</v>
      </c>
      <c r="D23710" t="s">
        <v>412</v>
      </c>
      <c r="F23710" s="2" t="str">
        <f>HYPERLINK("http://www.otzar.org/book.asp?632041","ממגד ירחים - 7 כר'")</f>
        <v>ממגד ירחים - 7 כר'</v>
      </c>
    </row>
    <row r="23711" spans="1:6" x14ac:dyDescent="0.2">
      <c r="A23711" t="s">
        <v>38107</v>
      </c>
      <c r="B23711" t="s">
        <v>38108</v>
      </c>
      <c r="C23711" t="s">
        <v>422</v>
      </c>
      <c r="D23711" t="s">
        <v>6283</v>
      </c>
      <c r="E23711" t="s">
        <v>1262</v>
      </c>
      <c r="F23711" s="2" t="str">
        <f>HYPERLINK("http://www.otzar.org/book.asp?156821","ממגד שמים - 3 כר'")</f>
        <v>ממגד שמים - 3 כר'</v>
      </c>
    </row>
    <row r="23712" spans="1:6" x14ac:dyDescent="0.2">
      <c r="A23712" t="s">
        <v>38109</v>
      </c>
      <c r="B23712" t="s">
        <v>7220</v>
      </c>
      <c r="C23712" t="s">
        <v>103</v>
      </c>
      <c r="D23712" t="s">
        <v>52</v>
      </c>
      <c r="E23712" t="s">
        <v>3798</v>
      </c>
      <c r="F23712" s="2" t="str">
        <f>HYPERLINK("http://www.otzar.org/book.asp?23268","ממדבר מתנה")</f>
        <v>ממדבר מתנה</v>
      </c>
    </row>
    <row r="23713" spans="1:6" x14ac:dyDescent="0.2">
      <c r="A23713" t="s">
        <v>38110</v>
      </c>
      <c r="B23713" t="s">
        <v>1748</v>
      </c>
      <c r="C23713" t="s">
        <v>37</v>
      </c>
      <c r="D23713" t="s">
        <v>52</v>
      </c>
      <c r="E23713" t="s">
        <v>4494</v>
      </c>
      <c r="F23713" s="2" t="str">
        <f>HYPERLINK("http://www.otzar.org/book.asp?180571","ממדבר מתנה - 4 כר'")</f>
        <v>ממדבר מתנה - 4 כר'</v>
      </c>
    </row>
    <row r="23714" spans="1:6" x14ac:dyDescent="0.2">
      <c r="A23714" t="s">
        <v>38109</v>
      </c>
      <c r="B23714" t="s">
        <v>30730</v>
      </c>
      <c r="C23714" t="s">
        <v>71</v>
      </c>
      <c r="D23714" t="s">
        <v>9909</v>
      </c>
      <c r="F23714" s="2" t="str">
        <f>HYPERLINK("http://www.otzar.org/book.asp?614392","ממדבר מתנה")</f>
        <v>ממדבר מתנה</v>
      </c>
    </row>
    <row r="23715" spans="1:6" x14ac:dyDescent="0.2">
      <c r="A23715" t="s">
        <v>38111</v>
      </c>
      <c r="B23715" t="s">
        <v>38112</v>
      </c>
      <c r="C23715" t="s">
        <v>87</v>
      </c>
      <c r="D23715" t="s">
        <v>52</v>
      </c>
      <c r="E23715" t="s">
        <v>144</v>
      </c>
      <c r="F23715" s="2" t="str">
        <f>HYPERLINK("http://www.otzar.org/book.asp?193077","ממדבר מתנה - 2 כר'")</f>
        <v>ממדבר מתנה - 2 כר'</v>
      </c>
    </row>
    <row r="23716" spans="1:6" x14ac:dyDescent="0.2">
      <c r="A23716" t="s">
        <v>38109</v>
      </c>
      <c r="B23716" t="s">
        <v>38113</v>
      </c>
      <c r="C23716" t="s">
        <v>332</v>
      </c>
      <c r="D23716" t="s">
        <v>90</v>
      </c>
      <c r="F23716" s="2" t="str">
        <f>HYPERLINK("http://www.otzar.org/book.asp?181594","ממדבר מתנה")</f>
        <v>ממדבר מתנה</v>
      </c>
    </row>
    <row r="23717" spans="1:6" x14ac:dyDescent="0.2">
      <c r="A23717" t="s">
        <v>38109</v>
      </c>
      <c r="B23717" t="s">
        <v>2396</v>
      </c>
      <c r="C23717" t="s">
        <v>20</v>
      </c>
      <c r="D23717" t="s">
        <v>1076</v>
      </c>
      <c r="E23717" t="s">
        <v>144</v>
      </c>
      <c r="F23717" s="2" t="str">
        <f>HYPERLINK("http://www.otzar.org/book.asp?22900","ממדבר מתנה")</f>
        <v>ממדבר מתנה</v>
      </c>
    </row>
    <row r="23718" spans="1:6" x14ac:dyDescent="0.2">
      <c r="A23718" t="s">
        <v>38114</v>
      </c>
      <c r="B23718" t="s">
        <v>7235</v>
      </c>
      <c r="E23718" t="s">
        <v>104</v>
      </c>
      <c r="F23718" s="2" t="str">
        <f>HYPERLINK("http://www.otzar.org/book.asp?628215","ממדבר מתנה, תמלוך בכבוד, קנה בשם, פתחי עולם, אילת אהבים")</f>
        <v>ממדבר מתנה, תמלוך בכבוד, קנה בשם, פתחי עולם, אילת אהבים</v>
      </c>
    </row>
    <row r="23719" spans="1:6" x14ac:dyDescent="0.2">
      <c r="A23719" t="s">
        <v>38115</v>
      </c>
      <c r="B23719" t="s">
        <v>38116</v>
      </c>
      <c r="C23719" t="s">
        <v>189</v>
      </c>
      <c r="D23719" t="s">
        <v>14</v>
      </c>
      <c r="E23719" t="s">
        <v>202</v>
      </c>
      <c r="F23719" s="2" t="str">
        <f>HYPERLINK("http://www.otzar.org/book.asp?164081","ממדותיו של אהרן")</f>
        <v>ממדותיו של אהרן</v>
      </c>
    </row>
    <row r="23720" spans="1:6" x14ac:dyDescent="0.2">
      <c r="A23720" t="s">
        <v>38117</v>
      </c>
      <c r="B23720" t="s">
        <v>38118</v>
      </c>
      <c r="C23720" t="s">
        <v>20</v>
      </c>
      <c r="D23720" t="s">
        <v>52</v>
      </c>
      <c r="E23720" t="s">
        <v>158</v>
      </c>
      <c r="F23720" s="2" t="str">
        <f>HYPERLINK("http://www.otzar.org/book.asp?604988","ממה שנאמר בשמחה - 2 כר'")</f>
        <v>ממה שנאמר בשמחה - 2 כר'</v>
      </c>
    </row>
    <row r="23721" spans="1:6" x14ac:dyDescent="0.2">
      <c r="A23721" t="s">
        <v>38119</v>
      </c>
      <c r="B23721" t="s">
        <v>107</v>
      </c>
      <c r="C23721" t="s">
        <v>585</v>
      </c>
      <c r="D23721" t="s">
        <v>14</v>
      </c>
      <c r="E23721" t="s">
        <v>15</v>
      </c>
      <c r="F23721" s="2" t="str">
        <f>HYPERLINK("http://www.otzar.org/book.asp?148252","ממון כשר")</f>
        <v>ממון כשר</v>
      </c>
    </row>
    <row r="23722" spans="1:6" x14ac:dyDescent="0.2">
      <c r="A23722" t="s">
        <v>38120</v>
      </c>
      <c r="B23722" t="s">
        <v>38121</v>
      </c>
      <c r="C23722" t="s">
        <v>106</v>
      </c>
      <c r="D23722" t="s">
        <v>14</v>
      </c>
      <c r="E23722" t="s">
        <v>144</v>
      </c>
      <c r="F23722" s="2" t="str">
        <f>HYPERLINK("http://www.otzar.org/book.asp?85128","ממזרח נועם")</f>
        <v>ממזרח נועם</v>
      </c>
    </row>
    <row r="23723" spans="1:6" x14ac:dyDescent="0.2">
      <c r="A23723" t="s">
        <v>38122</v>
      </c>
      <c r="B23723" t="s">
        <v>36951</v>
      </c>
      <c r="C23723" t="s">
        <v>767</v>
      </c>
      <c r="D23723" t="s">
        <v>721</v>
      </c>
      <c r="E23723" t="s">
        <v>733</v>
      </c>
      <c r="F23723" s="2" t="str">
        <f>HYPERLINK("http://www.otzar.org/book.asp?174483","ממזרח שמש עד מבואו")</f>
        <v>ממזרח שמש עד מבואו</v>
      </c>
    </row>
    <row r="23724" spans="1:6" x14ac:dyDescent="0.2">
      <c r="A23724" t="s">
        <v>38123</v>
      </c>
      <c r="B23724" t="s">
        <v>38124</v>
      </c>
      <c r="C23724" t="s">
        <v>111</v>
      </c>
      <c r="D23724" t="s">
        <v>14</v>
      </c>
      <c r="E23724" t="s">
        <v>399</v>
      </c>
      <c r="F23724" s="2" t="str">
        <f>HYPERLINK("http://www.otzar.org/book.asp?619910","ממזרח שמש")</f>
        <v>ממזרח שמש</v>
      </c>
    </row>
    <row r="23725" spans="1:6" x14ac:dyDescent="0.2">
      <c r="A23725" t="s">
        <v>38123</v>
      </c>
      <c r="B23725" t="s">
        <v>3663</v>
      </c>
      <c r="C23725" t="s">
        <v>20</v>
      </c>
      <c r="D23725" t="s">
        <v>2285</v>
      </c>
      <c r="E23725" t="s">
        <v>674</v>
      </c>
      <c r="F23725" s="2" t="str">
        <f>HYPERLINK("http://www.otzar.org/book.asp?182547","ממזרח שמש")</f>
        <v>ממזרח שמש</v>
      </c>
    </row>
    <row r="23726" spans="1:6" x14ac:dyDescent="0.2">
      <c r="A23726" t="s">
        <v>38125</v>
      </c>
      <c r="B23726" t="s">
        <v>38126</v>
      </c>
      <c r="C23726" t="s">
        <v>133</v>
      </c>
      <c r="D23726" t="s">
        <v>118</v>
      </c>
      <c r="E23726" t="s">
        <v>104</v>
      </c>
      <c r="F23726" s="2" t="str">
        <f>HYPERLINK("http://www.otzar.org/book.asp?175437","ממלכת האותיות")</f>
        <v>ממלכת האותיות</v>
      </c>
    </row>
    <row r="23727" spans="1:6" x14ac:dyDescent="0.2">
      <c r="A23727" t="s">
        <v>38127</v>
      </c>
      <c r="B23727" t="s">
        <v>38128</v>
      </c>
      <c r="C23727" t="s">
        <v>87</v>
      </c>
      <c r="D23727" t="s">
        <v>1180</v>
      </c>
      <c r="E23727" t="s">
        <v>786</v>
      </c>
      <c r="F23727" s="2" t="str">
        <f>HYPERLINK("http://www.otzar.org/book.asp?172350","ממלכת כהנים - 2 כר'")</f>
        <v>ממלכת כהנים - 2 כר'</v>
      </c>
    </row>
    <row r="23728" spans="1:6" x14ac:dyDescent="0.2">
      <c r="A23728" t="s">
        <v>38129</v>
      </c>
      <c r="B23728" t="s">
        <v>17700</v>
      </c>
      <c r="C23728" t="s">
        <v>13</v>
      </c>
      <c r="D23728" t="s">
        <v>14</v>
      </c>
      <c r="E23728" t="s">
        <v>158</v>
      </c>
      <c r="F23728" s="2" t="str">
        <f>HYPERLINK("http://www.otzar.org/book.asp?165098","ממלכת כהנים")</f>
        <v>ממלכת כהנים</v>
      </c>
    </row>
    <row r="23729" spans="1:6" x14ac:dyDescent="0.2">
      <c r="A23729" t="s">
        <v>38129</v>
      </c>
      <c r="B23729" t="s">
        <v>4211</v>
      </c>
      <c r="C23729" t="s">
        <v>13</v>
      </c>
      <c r="D23729" t="s">
        <v>14</v>
      </c>
      <c r="E23729" t="s">
        <v>158</v>
      </c>
      <c r="F23729" s="2" t="str">
        <f>HYPERLINK("http://www.otzar.org/book.asp?63980","ממלכת כהנים")</f>
        <v>ממלכת כהנים</v>
      </c>
    </row>
    <row r="23730" spans="1:6" x14ac:dyDescent="0.2">
      <c r="A23730" t="s">
        <v>38129</v>
      </c>
      <c r="B23730" t="s">
        <v>38130</v>
      </c>
      <c r="C23730" t="s">
        <v>2284</v>
      </c>
      <c r="D23730" t="s">
        <v>36211</v>
      </c>
      <c r="E23730" t="s">
        <v>104</v>
      </c>
      <c r="F23730" s="2" t="str">
        <f>HYPERLINK("http://www.otzar.org/book.asp?179566","ממלכת כהנים")</f>
        <v>ממלכת כהנים</v>
      </c>
    </row>
    <row r="23731" spans="1:6" x14ac:dyDescent="0.2">
      <c r="A23731" t="s">
        <v>38129</v>
      </c>
      <c r="B23731" t="s">
        <v>599</v>
      </c>
      <c r="C23731" t="s">
        <v>266</v>
      </c>
      <c r="D23731" t="s">
        <v>1801</v>
      </c>
      <c r="E23731" t="s">
        <v>5144</v>
      </c>
      <c r="F23731" s="2" t="str">
        <f>HYPERLINK("http://www.otzar.org/book.asp?5334","ממלכת כהנים")</f>
        <v>ממלכת כהנים</v>
      </c>
    </row>
    <row r="23732" spans="1:6" x14ac:dyDescent="0.2">
      <c r="A23732" t="s">
        <v>38129</v>
      </c>
      <c r="B23732" t="s">
        <v>2325</v>
      </c>
      <c r="C23732" t="s">
        <v>133</v>
      </c>
      <c r="D23732" t="s">
        <v>90</v>
      </c>
      <c r="E23732" t="s">
        <v>241</v>
      </c>
      <c r="F23732" s="2" t="str">
        <f>HYPERLINK("http://www.otzar.org/book.asp?189744","ממלכת כהנים")</f>
        <v>ממלכת כהנים</v>
      </c>
    </row>
    <row r="23733" spans="1:6" x14ac:dyDescent="0.2">
      <c r="A23733" t="s">
        <v>38129</v>
      </c>
      <c r="B23733" t="s">
        <v>38131</v>
      </c>
      <c r="C23733" t="s">
        <v>87</v>
      </c>
      <c r="D23733" t="s">
        <v>52</v>
      </c>
      <c r="E23733" t="s">
        <v>158</v>
      </c>
      <c r="F23733" s="2" t="str">
        <f>HYPERLINK("http://www.otzar.org/book.asp?23761","ממלכת כהנים")</f>
        <v>ממלכת כהנים</v>
      </c>
    </row>
    <row r="23734" spans="1:6" x14ac:dyDescent="0.2">
      <c r="A23734" t="s">
        <v>38129</v>
      </c>
      <c r="B23734" t="s">
        <v>38132</v>
      </c>
      <c r="C23734" t="s">
        <v>146</v>
      </c>
      <c r="D23734" t="s">
        <v>152</v>
      </c>
      <c r="E23734" t="s">
        <v>38133</v>
      </c>
      <c r="F23734" s="2" t="str">
        <f>HYPERLINK("http://www.otzar.org/book.asp?25745","ממלכת כהנים")</f>
        <v>ממלכת כהנים</v>
      </c>
    </row>
    <row r="23735" spans="1:6" x14ac:dyDescent="0.2">
      <c r="A23735" t="s">
        <v>38129</v>
      </c>
      <c r="B23735" t="s">
        <v>38134</v>
      </c>
      <c r="C23735" t="s">
        <v>151</v>
      </c>
      <c r="D23735" t="s">
        <v>14</v>
      </c>
      <c r="E23735" t="s">
        <v>674</v>
      </c>
      <c r="F23735" s="2" t="str">
        <f>HYPERLINK("http://www.otzar.org/book.asp?630423","ממלכת כהנים")</f>
        <v>ממלכת כהנים</v>
      </c>
    </row>
    <row r="23736" spans="1:6" x14ac:dyDescent="0.2">
      <c r="A23736" t="s">
        <v>38129</v>
      </c>
      <c r="B23736" t="s">
        <v>3663</v>
      </c>
      <c r="C23736" t="s">
        <v>133</v>
      </c>
      <c r="D23736" t="s">
        <v>2285</v>
      </c>
      <c r="E23736" t="s">
        <v>104</v>
      </c>
      <c r="F23736" s="2" t="str">
        <f>HYPERLINK("http://www.otzar.org/book.asp?182427","ממלכת כהנים")</f>
        <v>ממלכת כהנים</v>
      </c>
    </row>
    <row r="23737" spans="1:6" x14ac:dyDescent="0.2">
      <c r="A23737" t="s">
        <v>38135</v>
      </c>
      <c r="B23737" t="s">
        <v>1549</v>
      </c>
      <c r="C23737" t="s">
        <v>624</v>
      </c>
      <c r="D23737" t="s">
        <v>90</v>
      </c>
      <c r="F23737" s="2" t="str">
        <f>HYPERLINK("http://www.otzar.org/book.asp?153819","ממנהגי ברית מילה")</f>
        <v>ממנהגי ברית מילה</v>
      </c>
    </row>
    <row r="23738" spans="1:6" x14ac:dyDescent="0.2">
      <c r="A23738" t="s">
        <v>38136</v>
      </c>
      <c r="B23738" t="s">
        <v>38137</v>
      </c>
      <c r="C23738" t="s">
        <v>553</v>
      </c>
      <c r="D23738" t="s">
        <v>2458</v>
      </c>
      <c r="E23738" t="s">
        <v>32869</v>
      </c>
      <c r="F23738" s="2" t="str">
        <f>HYPERLINK("http://www.otzar.org/book.asp?103502","ממני פריך")</f>
        <v>ממני פריך</v>
      </c>
    </row>
    <row r="23739" spans="1:6" x14ac:dyDescent="0.2">
      <c r="A23739" t="s">
        <v>38138</v>
      </c>
      <c r="B23739" t="s">
        <v>10797</v>
      </c>
      <c r="C23739" t="s">
        <v>411</v>
      </c>
      <c r="D23739" t="s">
        <v>1156</v>
      </c>
      <c r="F23739" s="2" t="str">
        <f>HYPERLINK("http://www.otzar.org/book.asp?612687","ממספרים אתבונן")</f>
        <v>ממספרים אתבונן</v>
      </c>
    </row>
    <row r="23740" spans="1:6" x14ac:dyDescent="0.2">
      <c r="A23740" t="s">
        <v>38139</v>
      </c>
      <c r="B23740" t="s">
        <v>37265</v>
      </c>
      <c r="C23740" t="s">
        <v>114</v>
      </c>
      <c r="D23740" t="s">
        <v>486</v>
      </c>
      <c r="E23740" t="s">
        <v>158</v>
      </c>
      <c r="F23740" s="2" t="str">
        <f>HYPERLINK("http://www.otzar.org/book.asp?193027","ממעונות אריות")</f>
        <v>ממעונות אריות</v>
      </c>
    </row>
    <row r="23741" spans="1:6" x14ac:dyDescent="0.2">
      <c r="A23741" t="s">
        <v>38139</v>
      </c>
      <c r="B23741" t="s">
        <v>38140</v>
      </c>
      <c r="C23741" t="s">
        <v>38141</v>
      </c>
      <c r="D23741" t="s">
        <v>27049</v>
      </c>
      <c r="E23741" t="s">
        <v>234</v>
      </c>
      <c r="F23741" s="2" t="str">
        <f>HYPERLINK("http://www.otzar.org/book.asp?170748","ממעונות אריות")</f>
        <v>ממעונות אריות</v>
      </c>
    </row>
    <row r="23742" spans="1:6" x14ac:dyDescent="0.2">
      <c r="A23742" t="s">
        <v>38142</v>
      </c>
      <c r="B23742" t="s">
        <v>38143</v>
      </c>
      <c r="C23742" t="s">
        <v>985</v>
      </c>
      <c r="D23742" t="s">
        <v>27</v>
      </c>
      <c r="E23742" t="s">
        <v>140</v>
      </c>
      <c r="F23742" s="2" t="str">
        <f>HYPERLINK("http://www.otzar.org/book.asp?150550","ממעיינות הפולקלור החסידי")</f>
        <v>ממעיינות הפולקלור החסידי</v>
      </c>
    </row>
    <row r="23743" spans="1:6" x14ac:dyDescent="0.2">
      <c r="A23743" t="s">
        <v>38144</v>
      </c>
      <c r="B23743" t="s">
        <v>38145</v>
      </c>
      <c r="C23743" t="s">
        <v>454</v>
      </c>
      <c r="D23743" t="s">
        <v>412</v>
      </c>
      <c r="E23743" t="s">
        <v>140</v>
      </c>
      <c r="F23743" s="2" t="str">
        <f>HYPERLINK("http://www.otzar.org/book.asp?624661","ממעייני הישועה")</f>
        <v>ממעייני הישועה</v>
      </c>
    </row>
    <row r="23744" spans="1:6" x14ac:dyDescent="0.2">
      <c r="A23744" t="s">
        <v>38146</v>
      </c>
      <c r="B23744" t="s">
        <v>38147</v>
      </c>
      <c r="C23744" t="s">
        <v>466</v>
      </c>
      <c r="D23744" t="s">
        <v>14</v>
      </c>
      <c r="E23744" t="s">
        <v>1262</v>
      </c>
      <c r="F23744" s="2" t="str">
        <f>HYPERLINK("http://www.otzar.org/book.asp?148778","ממעייני הישועה - 2 כר'")</f>
        <v>ממעייני הישועה - 2 כר'</v>
      </c>
    </row>
    <row r="23745" spans="1:6" x14ac:dyDescent="0.2">
      <c r="A23745" t="s">
        <v>38148</v>
      </c>
      <c r="B23745" t="s">
        <v>38149</v>
      </c>
      <c r="C23745" t="s">
        <v>438</v>
      </c>
      <c r="D23745" t="s">
        <v>260</v>
      </c>
      <c r="E23745" t="s">
        <v>104</v>
      </c>
      <c r="F23745" s="2" t="str">
        <f>HYPERLINK("http://www.otzar.org/book.asp?196489","ממעין החכמה של עם ישראל")</f>
        <v>ממעין החכמה של עם ישראל</v>
      </c>
    </row>
    <row r="23746" spans="1:6" x14ac:dyDescent="0.2">
      <c r="A23746" t="s">
        <v>38150</v>
      </c>
      <c r="B23746" t="s">
        <v>38151</v>
      </c>
      <c r="C23746" t="s">
        <v>767</v>
      </c>
      <c r="D23746" t="s">
        <v>52</v>
      </c>
      <c r="F23746" s="2" t="str">
        <f>HYPERLINK("http://www.otzar.org/book.asp?630770","ממעינות הלוי")</f>
        <v>ממעינות הלוי</v>
      </c>
    </row>
    <row r="23747" spans="1:6" x14ac:dyDescent="0.2">
      <c r="A23747" t="s">
        <v>38152</v>
      </c>
      <c r="B23747" t="s">
        <v>382</v>
      </c>
      <c r="C23747" t="s">
        <v>129</v>
      </c>
      <c r="D23747" t="s">
        <v>152</v>
      </c>
      <c r="E23747" t="s">
        <v>4163</v>
      </c>
      <c r="F23747" s="2" t="str">
        <f>HYPERLINK("http://www.otzar.org/book.asp?167940","ממעיני החושן - 13 כר'")</f>
        <v>ממעיני החושן - 13 כר'</v>
      </c>
    </row>
    <row r="23748" spans="1:6" x14ac:dyDescent="0.2">
      <c r="A23748" t="s">
        <v>38153</v>
      </c>
      <c r="B23748" t="s">
        <v>38154</v>
      </c>
      <c r="C23748" t="s">
        <v>71</v>
      </c>
      <c r="D23748" t="s">
        <v>412</v>
      </c>
      <c r="E23748" t="s">
        <v>230</v>
      </c>
      <c r="F23748" s="2" t="str">
        <f>HYPERLINK("http://www.otzar.org/book.asp?170855","ממעיני הישועה")</f>
        <v>ממעיני הישועה</v>
      </c>
    </row>
    <row r="23749" spans="1:6" x14ac:dyDescent="0.2">
      <c r="A23749" t="s">
        <v>38153</v>
      </c>
      <c r="B23749" t="s">
        <v>24626</v>
      </c>
      <c r="C23749" t="s">
        <v>13</v>
      </c>
      <c r="D23749" t="s">
        <v>21</v>
      </c>
      <c r="E23749" t="s">
        <v>213</v>
      </c>
      <c r="F23749" s="2" t="str">
        <f>HYPERLINK("http://www.otzar.org/book.asp?197823","ממעיני הישועה")</f>
        <v>ממעיני הישועה</v>
      </c>
    </row>
    <row r="23750" spans="1:6" x14ac:dyDescent="0.2">
      <c r="A23750" t="s">
        <v>38155</v>
      </c>
      <c r="B23750" t="s">
        <v>38156</v>
      </c>
      <c r="C23750" t="s">
        <v>454</v>
      </c>
      <c r="D23750" t="s">
        <v>14591</v>
      </c>
      <c r="E23750" t="s">
        <v>1174</v>
      </c>
      <c r="F23750" s="2" t="str">
        <f>HYPERLINK("http://www.otzar.org/book.asp?623898","ממעיני השלום")</f>
        <v>ממעיני השלום</v>
      </c>
    </row>
    <row r="23751" spans="1:6" x14ac:dyDescent="0.2">
      <c r="A23751" t="s">
        <v>38157</v>
      </c>
      <c r="B23751" t="s">
        <v>38158</v>
      </c>
      <c r="C23751" t="s">
        <v>1169</v>
      </c>
      <c r="D23751" t="s">
        <v>14778</v>
      </c>
      <c r="E23751" t="s">
        <v>154</v>
      </c>
      <c r="F23751" s="2" t="str">
        <f>HYPERLINK("http://www.otzar.org/book.asp?13799","ממעיני ישועה")</f>
        <v>ממעיני ישועה</v>
      </c>
    </row>
    <row r="23752" spans="1:6" x14ac:dyDescent="0.2">
      <c r="A23752" t="s">
        <v>38159</v>
      </c>
      <c r="B23752" t="s">
        <v>2082</v>
      </c>
      <c r="C23752" t="s">
        <v>20</v>
      </c>
      <c r="D23752" t="s">
        <v>14</v>
      </c>
      <c r="E23752" t="s">
        <v>241</v>
      </c>
      <c r="F23752" s="2" t="str">
        <f>HYPERLINK("http://www.otzar.org/book.asp?159894","ממעלות הקדושה")</f>
        <v>ממעלות הקדושה</v>
      </c>
    </row>
    <row r="23753" spans="1:6" x14ac:dyDescent="0.2">
      <c r="A23753" t="s">
        <v>38160</v>
      </c>
      <c r="B23753" t="s">
        <v>14362</v>
      </c>
      <c r="C23753" t="s">
        <v>38161</v>
      </c>
      <c r="D23753" t="s">
        <v>9</v>
      </c>
      <c r="E23753" t="s">
        <v>38162</v>
      </c>
      <c r="F23753" s="2" t="str">
        <f>HYPERLINK("http://www.otzar.org/book.asp?13791","ממעמקים - 5 כר'")</f>
        <v>ממעמקים - 5 כר'</v>
      </c>
    </row>
    <row r="23754" spans="1:6" x14ac:dyDescent="0.2">
      <c r="A23754" t="s">
        <v>38163</v>
      </c>
      <c r="B23754" t="s">
        <v>38164</v>
      </c>
      <c r="C23754" t="s">
        <v>20</v>
      </c>
      <c r="D23754" t="s">
        <v>21</v>
      </c>
      <c r="E23754" t="s">
        <v>104</v>
      </c>
      <c r="F23754" s="2" t="str">
        <f>HYPERLINK("http://www.otzar.org/book.asp?600808","ממעמקים")</f>
        <v>ממעמקים</v>
      </c>
    </row>
    <row r="23755" spans="1:6" x14ac:dyDescent="0.2">
      <c r="A23755" t="s">
        <v>38160</v>
      </c>
      <c r="B23755" t="s">
        <v>7485</v>
      </c>
      <c r="C23755" t="s">
        <v>71</v>
      </c>
      <c r="D23755" t="s">
        <v>14</v>
      </c>
      <c r="E23755" t="s">
        <v>158</v>
      </c>
      <c r="F23755" s="2" t="str">
        <f>HYPERLINK("http://www.otzar.org/book.asp?64005","ממעמקים - 5 כר'")</f>
        <v>ממעמקים - 5 כר'</v>
      </c>
    </row>
    <row r="23756" spans="1:6" x14ac:dyDescent="0.2">
      <c r="A23756" t="s">
        <v>38165</v>
      </c>
      <c r="B23756" t="s">
        <v>38166</v>
      </c>
      <c r="C23756" t="s">
        <v>482</v>
      </c>
      <c r="D23756" t="s">
        <v>27</v>
      </c>
      <c r="E23756" t="s">
        <v>241</v>
      </c>
      <c r="F23756" s="2" t="str">
        <f>HYPERLINK("http://www.otzar.org/book.asp?174209","ממפלגה לאגודה של ישראל כולו")</f>
        <v>ממפלגה לאגודה של ישראל כולו</v>
      </c>
    </row>
    <row r="23757" spans="1:6" x14ac:dyDescent="0.2">
      <c r="A23757" t="s">
        <v>38167</v>
      </c>
      <c r="B23757" t="s">
        <v>38168</v>
      </c>
      <c r="C23757" t="s">
        <v>411</v>
      </c>
      <c r="D23757" t="s">
        <v>412</v>
      </c>
      <c r="F23757" s="2" t="str">
        <f>HYPERLINK("http://www.otzar.org/book.asp?617151","ממצרים גאלתנו (באידיש)")</f>
        <v>ממצרים גאלתנו (באידיש)</v>
      </c>
    </row>
    <row r="23758" spans="1:6" x14ac:dyDescent="0.2">
      <c r="A23758" t="s">
        <v>38169</v>
      </c>
      <c r="B23758" t="s">
        <v>7220</v>
      </c>
      <c r="C23758" t="s">
        <v>13</v>
      </c>
      <c r="D23758" t="s">
        <v>52</v>
      </c>
      <c r="E23758" t="s">
        <v>467</v>
      </c>
      <c r="F23758" s="2" t="str">
        <f>HYPERLINK("http://www.otzar.org/book.asp?148040","ממצרים גאלתנו")</f>
        <v>ממצרים גאלתנו</v>
      </c>
    </row>
    <row r="23759" spans="1:6" x14ac:dyDescent="0.2">
      <c r="A23759" t="s">
        <v>38170</v>
      </c>
      <c r="B23759" t="s">
        <v>5049</v>
      </c>
      <c r="C23759" t="s">
        <v>649</v>
      </c>
      <c r="D23759" t="s">
        <v>260</v>
      </c>
      <c r="E23759" t="s">
        <v>119</v>
      </c>
      <c r="F23759" s="2" t="str">
        <f>HYPERLINK("http://www.otzar.org/book.asp?168043","ממצרים ועד הנה")</f>
        <v>ממצרים ועד הנה</v>
      </c>
    </row>
    <row r="23760" spans="1:6" x14ac:dyDescent="0.2">
      <c r="A23760" t="s">
        <v>38171</v>
      </c>
      <c r="B23760" t="s">
        <v>38172</v>
      </c>
      <c r="C23760" t="s">
        <v>619</v>
      </c>
      <c r="D23760" t="s">
        <v>995</v>
      </c>
      <c r="E23760" t="s">
        <v>241</v>
      </c>
      <c r="F23760" s="2" t="str">
        <f>HYPERLINK("http://www.otzar.org/book.asp?103503","ממקור הנצח")</f>
        <v>ממקור הנצח</v>
      </c>
    </row>
    <row r="23761" spans="1:6" x14ac:dyDescent="0.2">
      <c r="A23761" t="s">
        <v>38173</v>
      </c>
      <c r="B23761" t="s">
        <v>1066</v>
      </c>
      <c r="C23761" t="s">
        <v>411</v>
      </c>
      <c r="D23761" t="s">
        <v>412</v>
      </c>
      <c r="E23761" t="s">
        <v>15</v>
      </c>
      <c r="F23761" s="2" t="str">
        <f>HYPERLINK("http://www.otzar.org/book.asp?175356","ממשה עד משה")</f>
        <v>ממשה עד משה</v>
      </c>
    </row>
    <row r="23762" spans="1:6" x14ac:dyDescent="0.2">
      <c r="A23762" t="s">
        <v>38173</v>
      </c>
      <c r="B23762" t="s">
        <v>38174</v>
      </c>
      <c r="C23762" t="s">
        <v>888</v>
      </c>
      <c r="D23762" t="s">
        <v>379</v>
      </c>
      <c r="E23762" t="s">
        <v>733</v>
      </c>
      <c r="F23762" s="2" t="str">
        <f>HYPERLINK("http://www.otzar.org/book.asp?20126","ממשה עד משה")</f>
        <v>ממשה עד משה</v>
      </c>
    </row>
    <row r="23763" spans="1:6" x14ac:dyDescent="0.2">
      <c r="A23763" t="s">
        <v>38175</v>
      </c>
      <c r="B23763" t="s">
        <v>38176</v>
      </c>
      <c r="C23763" t="s">
        <v>454</v>
      </c>
      <c r="D23763" t="s">
        <v>21</v>
      </c>
      <c r="E23763" t="s">
        <v>104</v>
      </c>
      <c r="F23763" s="2" t="str">
        <f>HYPERLINK("http://www.otzar.org/book.asp?603423","ממשה עד עזרא - 2 כר'")</f>
        <v>ממשה עד עזרא - 2 כר'</v>
      </c>
    </row>
    <row r="23764" spans="1:6" x14ac:dyDescent="0.2">
      <c r="A23764" t="s">
        <v>38177</v>
      </c>
      <c r="B23764" t="s">
        <v>38178</v>
      </c>
      <c r="C23764" t="s">
        <v>523</v>
      </c>
      <c r="D23764" t="s">
        <v>14</v>
      </c>
      <c r="E23764" t="s">
        <v>144</v>
      </c>
      <c r="F23764" s="2" t="str">
        <f>HYPERLINK("http://www.otzar.org/book.asp?606891","ממשכן שילה - 3 כר'")</f>
        <v>ממשכן שילה - 3 כר'</v>
      </c>
    </row>
    <row r="23765" spans="1:6" x14ac:dyDescent="0.2">
      <c r="A23765" t="s">
        <v>38179</v>
      </c>
      <c r="B23765" t="s">
        <v>32444</v>
      </c>
      <c r="C23765" t="s">
        <v>1965</v>
      </c>
      <c r="D23765" t="s">
        <v>27</v>
      </c>
      <c r="E23765" t="s">
        <v>213</v>
      </c>
      <c r="F23765" s="2" t="str">
        <f>HYPERLINK("http://www.otzar.org/book.asp?108285","ממשלי מגידים")</f>
        <v>ממשלי מגידים</v>
      </c>
    </row>
    <row r="23766" spans="1:6" x14ac:dyDescent="0.2">
      <c r="A23766" t="s">
        <v>38180</v>
      </c>
      <c r="B23766" t="s">
        <v>13607</v>
      </c>
      <c r="C23766" t="s">
        <v>37</v>
      </c>
      <c r="D23766" t="s">
        <v>2285</v>
      </c>
      <c r="F23766" s="2" t="str">
        <f>HYPERLINK("http://www.otzar.org/book.asp?197967","ממשנתה של תורה - 3 כר'")</f>
        <v>ממשנתה של תורה - 3 כר'</v>
      </c>
    </row>
    <row r="23767" spans="1:6" x14ac:dyDescent="0.2">
      <c r="A23767" t="s">
        <v>38181</v>
      </c>
      <c r="B23767" t="s">
        <v>36394</v>
      </c>
      <c r="C23767" t="s">
        <v>20</v>
      </c>
      <c r="D23767" t="s">
        <v>90</v>
      </c>
      <c r="E23767" t="s">
        <v>119</v>
      </c>
      <c r="F23767" s="2" t="str">
        <f>HYPERLINK("http://www.otzar.org/book.asp?181336","ממשנתו של ר' גדל")</f>
        <v>ממשנתו של ר' גדל</v>
      </c>
    </row>
    <row r="23768" spans="1:6" x14ac:dyDescent="0.2">
      <c r="A23768" t="s">
        <v>38182</v>
      </c>
      <c r="B23768" t="s">
        <v>24880</v>
      </c>
      <c r="C23768" t="s">
        <v>133</v>
      </c>
      <c r="D23768" t="s">
        <v>52</v>
      </c>
      <c r="E23768" t="s">
        <v>246</v>
      </c>
      <c r="F23768" s="2" t="str">
        <f>HYPERLINK("http://www.otzar.org/book.asp?173470","ממשנתו של רמח""ל")</f>
        <v>ממשנתו של רמח"ל</v>
      </c>
    </row>
    <row r="23769" spans="1:6" x14ac:dyDescent="0.2">
      <c r="A23769" t="s">
        <v>38183</v>
      </c>
      <c r="B23769" t="s">
        <v>38184</v>
      </c>
      <c r="C23769" t="s">
        <v>189</v>
      </c>
      <c r="D23769" t="s">
        <v>2201</v>
      </c>
      <c r="E23769" t="s">
        <v>202</v>
      </c>
      <c r="F23769" s="2" t="str">
        <f>HYPERLINK("http://www.otzar.org/book.asp?605164","מן הבאר")</f>
        <v>מן הבאר</v>
      </c>
    </row>
    <row r="23770" spans="1:6" x14ac:dyDescent="0.2">
      <c r="A23770" t="s">
        <v>38183</v>
      </c>
      <c r="B23770" t="s">
        <v>38185</v>
      </c>
      <c r="C23770" t="s">
        <v>383</v>
      </c>
      <c r="D23770" t="s">
        <v>4478</v>
      </c>
      <c r="E23770" t="s">
        <v>2071</v>
      </c>
      <c r="F23770" s="2" t="str">
        <f>HYPERLINK("http://www.otzar.org/book.asp?63137","מן הבאר")</f>
        <v>מן הבאר</v>
      </c>
    </row>
    <row r="23771" spans="1:6" x14ac:dyDescent="0.2">
      <c r="A23771" t="s">
        <v>38186</v>
      </c>
      <c r="B23771" t="s">
        <v>382</v>
      </c>
      <c r="C23771" t="s">
        <v>51</v>
      </c>
      <c r="D23771" t="s">
        <v>152</v>
      </c>
      <c r="E23771" t="s">
        <v>202</v>
      </c>
      <c r="F23771" s="2" t="str">
        <f>HYPERLINK("http://www.otzar.org/book.asp?148667","מן הבאר - ב")</f>
        <v>מן הבאר - ב</v>
      </c>
    </row>
    <row r="23772" spans="1:6" x14ac:dyDescent="0.2">
      <c r="A23772" t="s">
        <v>38183</v>
      </c>
      <c r="B23772" t="s">
        <v>38187</v>
      </c>
      <c r="C23772" t="s">
        <v>37</v>
      </c>
      <c r="D23772" t="s">
        <v>52</v>
      </c>
      <c r="E23772" t="s">
        <v>144</v>
      </c>
      <c r="F23772" s="2" t="str">
        <f>HYPERLINK("http://www.otzar.org/book.asp?181939","מן הבאר")</f>
        <v>מן הבאר</v>
      </c>
    </row>
    <row r="23773" spans="1:6" x14ac:dyDescent="0.2">
      <c r="A23773" t="s">
        <v>38188</v>
      </c>
      <c r="B23773" t="s">
        <v>8351</v>
      </c>
      <c r="C23773" t="s">
        <v>51</v>
      </c>
      <c r="D23773" t="s">
        <v>14</v>
      </c>
      <c r="E23773" t="s">
        <v>186</v>
      </c>
      <c r="F23773" s="2" t="str">
        <f>HYPERLINK("http://www.otzar.org/book.asp?152547","מן הבאר - 4 כר'")</f>
        <v>מן הבאר - 4 כר'</v>
      </c>
    </row>
    <row r="23774" spans="1:6" x14ac:dyDescent="0.2">
      <c r="A23774" t="s">
        <v>38189</v>
      </c>
      <c r="B23774" t="s">
        <v>38190</v>
      </c>
      <c r="C23774" t="s">
        <v>133</v>
      </c>
      <c r="D23774" t="s">
        <v>52</v>
      </c>
      <c r="E23774" t="s">
        <v>202</v>
      </c>
      <c r="F23774" s="2" t="str">
        <f>HYPERLINK("http://www.otzar.org/book.asp?172956","מן הבאר - בבא בתרא")</f>
        <v>מן הבאר - בבא בתרא</v>
      </c>
    </row>
    <row r="23775" spans="1:6" x14ac:dyDescent="0.2">
      <c r="A23775" t="s">
        <v>38191</v>
      </c>
      <c r="B23775" t="s">
        <v>38192</v>
      </c>
      <c r="C23775" t="s">
        <v>466</v>
      </c>
      <c r="D23775" t="s">
        <v>14</v>
      </c>
      <c r="E23775" t="s">
        <v>186</v>
      </c>
      <c r="F23775" s="2" t="str">
        <f>HYPERLINK("http://www.otzar.org/book.asp?142172","מן הבאר - קידושין")</f>
        <v>מן הבאר - קידושין</v>
      </c>
    </row>
    <row r="23776" spans="1:6" x14ac:dyDescent="0.2">
      <c r="A23776" t="s">
        <v>38193</v>
      </c>
      <c r="B23776" t="s">
        <v>38194</v>
      </c>
      <c r="C23776" t="s">
        <v>146</v>
      </c>
      <c r="D23776" t="s">
        <v>152</v>
      </c>
      <c r="E23776" t="s">
        <v>144</v>
      </c>
      <c r="F23776" s="2" t="str">
        <f>HYPERLINK("http://www.otzar.org/book.asp?193639","מן הבאר - ביצה")</f>
        <v>מן הבאר - ביצה</v>
      </c>
    </row>
    <row r="23777" spans="1:6" x14ac:dyDescent="0.2">
      <c r="A23777" t="s">
        <v>38195</v>
      </c>
      <c r="B23777" t="s">
        <v>38196</v>
      </c>
      <c r="C23777" t="s">
        <v>1160</v>
      </c>
      <c r="D23777" t="s">
        <v>14</v>
      </c>
      <c r="E23777" t="s">
        <v>104</v>
      </c>
      <c r="F23777" s="2" t="str">
        <f>HYPERLINK("http://www.otzar.org/book.asp?155609","מן הגנזים - 3 כר'")</f>
        <v>מן הגנזים - 3 כר'</v>
      </c>
    </row>
    <row r="23778" spans="1:6" x14ac:dyDescent="0.2">
      <c r="A23778" t="s">
        <v>38197</v>
      </c>
      <c r="B23778" t="s">
        <v>38198</v>
      </c>
      <c r="C23778" t="s">
        <v>38199</v>
      </c>
      <c r="D23778" t="s">
        <v>14</v>
      </c>
      <c r="F23778" s="2" t="str">
        <f>HYPERLINK("http://www.otzar.org/book.asp?610416","מן הגנזים - 12 כר'")</f>
        <v>מן הגנזים - 12 כר'</v>
      </c>
    </row>
    <row r="23779" spans="1:6" x14ac:dyDescent="0.2">
      <c r="A23779" t="s">
        <v>38200</v>
      </c>
      <c r="B23779" t="s">
        <v>1222</v>
      </c>
      <c r="C23779" t="s">
        <v>411</v>
      </c>
      <c r="D23779" t="s">
        <v>14</v>
      </c>
      <c r="E23779" t="s">
        <v>144</v>
      </c>
      <c r="F23779" s="2" t="str">
        <f>HYPERLINK("http://www.otzar.org/book.asp?172813","מן הדברים שנאמרו בפרק מרובה")</f>
        <v>מן הדברים שנאמרו בפרק מרובה</v>
      </c>
    </row>
    <row r="23780" spans="1:6" x14ac:dyDescent="0.2">
      <c r="A23780" t="s">
        <v>38201</v>
      </c>
      <c r="B23780" t="s">
        <v>38202</v>
      </c>
      <c r="C23780" t="s">
        <v>129</v>
      </c>
      <c r="D23780" t="s">
        <v>412</v>
      </c>
      <c r="E23780" t="s">
        <v>148</v>
      </c>
      <c r="F23780" s="2" t="str">
        <f>HYPERLINK("http://www.otzar.org/book.asp?152875","מן המים משיתהו")</f>
        <v>מן המים משיתהו</v>
      </c>
    </row>
    <row r="23781" spans="1:6" x14ac:dyDescent="0.2">
      <c r="A23781" t="s">
        <v>38203</v>
      </c>
      <c r="B23781" t="s">
        <v>38204</v>
      </c>
      <c r="C23781" t="s">
        <v>411</v>
      </c>
      <c r="D23781" t="s">
        <v>52</v>
      </c>
      <c r="E23781" t="s">
        <v>1211</v>
      </c>
      <c r="F23781" s="2" t="str">
        <f>HYPERLINK("http://www.otzar.org/book.asp?164909","מן המים - 7 כר'")</f>
        <v>מן המים - 7 כר'</v>
      </c>
    </row>
    <row r="23782" spans="1:6" x14ac:dyDescent="0.2">
      <c r="A23782" t="s">
        <v>38205</v>
      </c>
      <c r="B23782" t="s">
        <v>38206</v>
      </c>
      <c r="C23782" t="s">
        <v>1663</v>
      </c>
      <c r="D23782" t="s">
        <v>9</v>
      </c>
      <c r="E23782" t="s">
        <v>733</v>
      </c>
      <c r="F23782" s="2" t="str">
        <f>HYPERLINK("http://www.otzar.org/book.asp?6410","מן המיצר")</f>
        <v>מן המיצר</v>
      </c>
    </row>
    <row r="23783" spans="1:6" x14ac:dyDescent="0.2">
      <c r="A23783" t="s">
        <v>38205</v>
      </c>
      <c r="B23783" t="s">
        <v>38207</v>
      </c>
      <c r="C23783" t="s">
        <v>785</v>
      </c>
      <c r="D23783" t="s">
        <v>90</v>
      </c>
      <c r="E23783" t="s">
        <v>733</v>
      </c>
      <c r="F23783" s="2" t="str">
        <f>HYPERLINK("http://www.otzar.org/book.asp?64130","מן המיצר")</f>
        <v>מן המיצר</v>
      </c>
    </row>
    <row r="23784" spans="1:6" x14ac:dyDescent="0.2">
      <c r="A23784" t="s">
        <v>38208</v>
      </c>
      <c r="B23784" t="s">
        <v>5431</v>
      </c>
      <c r="C23784" t="s">
        <v>1640</v>
      </c>
      <c r="D23784" t="s">
        <v>14</v>
      </c>
      <c r="E23784" t="s">
        <v>158</v>
      </c>
      <c r="F23784" s="2" t="str">
        <f>HYPERLINK("http://www.otzar.org/book.asp?174551","מן המעין העתיק")</f>
        <v>מן המעין העתיק</v>
      </c>
    </row>
    <row r="23785" spans="1:6" x14ac:dyDescent="0.2">
      <c r="A23785" t="s">
        <v>38209</v>
      </c>
      <c r="B23785" t="s">
        <v>7903</v>
      </c>
      <c r="C23785" t="s">
        <v>585</v>
      </c>
      <c r="D23785" t="s">
        <v>216</v>
      </c>
      <c r="E23785" t="s">
        <v>158</v>
      </c>
      <c r="F23785" s="2" t="str">
        <f>HYPERLINK("http://www.otzar.org/book.asp?144910","מן המעין")</f>
        <v>מן המעין</v>
      </c>
    </row>
    <row r="23786" spans="1:6" x14ac:dyDescent="0.2">
      <c r="A23786" t="s">
        <v>38209</v>
      </c>
      <c r="B23786" t="s">
        <v>1750</v>
      </c>
      <c r="C23786" t="s">
        <v>785</v>
      </c>
      <c r="D23786" t="s">
        <v>1511</v>
      </c>
      <c r="E23786" t="s">
        <v>186</v>
      </c>
      <c r="F23786" s="2" t="str">
        <f>HYPERLINK("http://www.otzar.org/book.asp?61882","מן המעין")</f>
        <v>מן המעין</v>
      </c>
    </row>
    <row r="23787" spans="1:6" x14ac:dyDescent="0.2">
      <c r="A23787" t="s">
        <v>38210</v>
      </c>
      <c r="B23787" t="s">
        <v>15949</v>
      </c>
      <c r="C23787" t="s">
        <v>1202</v>
      </c>
      <c r="D23787" t="s">
        <v>412</v>
      </c>
      <c r="F23787" s="2" t="str">
        <f>HYPERLINK("http://www.otzar.org/book.asp?154562","מן המצר")</f>
        <v>מן המצר</v>
      </c>
    </row>
    <row r="23788" spans="1:6" x14ac:dyDescent="0.2">
      <c r="A23788" t="s">
        <v>38211</v>
      </c>
      <c r="B23788" t="s">
        <v>12971</v>
      </c>
      <c r="C23788" t="s">
        <v>332</v>
      </c>
      <c r="D23788" t="s">
        <v>14</v>
      </c>
      <c r="E23788" t="s">
        <v>5445</v>
      </c>
      <c r="F23788" s="2" t="str">
        <f>HYPERLINK("http://www.otzar.org/book.asp?28662","מן המקור - 5 כר'")</f>
        <v>מן המקור - 5 כר'</v>
      </c>
    </row>
    <row r="23789" spans="1:6" x14ac:dyDescent="0.2">
      <c r="A23789" t="s">
        <v>38212</v>
      </c>
      <c r="B23789" t="s">
        <v>1222</v>
      </c>
      <c r="C23789" t="s">
        <v>466</v>
      </c>
      <c r="D23789" t="s">
        <v>14</v>
      </c>
      <c r="E23789" t="s">
        <v>144</v>
      </c>
      <c r="F23789" s="2" t="str">
        <f>HYPERLINK("http://www.otzar.org/book.asp?172569","מן העידית")</f>
        <v>מן העידית</v>
      </c>
    </row>
    <row r="23790" spans="1:6" x14ac:dyDescent="0.2">
      <c r="A23790" t="s">
        <v>38213</v>
      </c>
      <c r="B23790" t="s">
        <v>38214</v>
      </c>
      <c r="C23790" t="s">
        <v>111</v>
      </c>
      <c r="E23790" t="s">
        <v>15</v>
      </c>
      <c r="F23790" s="2" t="str">
        <f>HYPERLINK("http://www.otzar.org/book.asp?626096","מן העמק - ב")</f>
        <v>מן העמק - ב</v>
      </c>
    </row>
    <row r="23791" spans="1:6" x14ac:dyDescent="0.2">
      <c r="A23791" t="s">
        <v>38215</v>
      </c>
      <c r="B23791" t="s">
        <v>4979</v>
      </c>
      <c r="C23791" t="s">
        <v>624</v>
      </c>
      <c r="D23791" t="s">
        <v>4478</v>
      </c>
      <c r="E23791" t="s">
        <v>158</v>
      </c>
      <c r="F23791" s="2" t="str">
        <f>HYPERLINK("http://www.otzar.org/book.asp?63127","מן הרמתים צופים")</f>
        <v>מן הרמתים צופים</v>
      </c>
    </row>
    <row r="23792" spans="1:6" x14ac:dyDescent="0.2">
      <c r="A23792" t="s">
        <v>38216</v>
      </c>
      <c r="B23792" t="s">
        <v>38217</v>
      </c>
      <c r="C23792" t="s">
        <v>129</v>
      </c>
      <c r="D23792" t="s">
        <v>14</v>
      </c>
      <c r="E23792" t="s">
        <v>2091</v>
      </c>
      <c r="F23792" s="2" t="str">
        <f>HYPERLINK("http://www.otzar.org/book.asp?53035","מן השרש - 6 כר'")</f>
        <v>מן השרש - 6 כר'</v>
      </c>
    </row>
    <row r="23793" spans="1:6" x14ac:dyDescent="0.2">
      <c r="A23793" t="s">
        <v>38218</v>
      </c>
      <c r="B23793" t="s">
        <v>10006</v>
      </c>
      <c r="C23793" t="s">
        <v>20</v>
      </c>
      <c r="D23793" t="s">
        <v>216</v>
      </c>
      <c r="E23793" t="s">
        <v>158</v>
      </c>
      <c r="F23793" s="2" t="str">
        <f>HYPERLINK("http://www.otzar.org/book.asp?172294","מן התורה - 5 כר'")</f>
        <v>מן התורה - 5 כר'</v>
      </c>
    </row>
    <row r="23794" spans="1:6" x14ac:dyDescent="0.2">
      <c r="A23794" t="s">
        <v>38219</v>
      </c>
      <c r="B23794" t="s">
        <v>38220</v>
      </c>
      <c r="C23794" t="s">
        <v>111</v>
      </c>
      <c r="D23794" t="s">
        <v>52</v>
      </c>
      <c r="E23794" t="s">
        <v>202</v>
      </c>
      <c r="F23794" s="2" t="str">
        <f>HYPERLINK("http://www.otzar.org/book.asp?627283","מנבכי הים")</f>
        <v>מנבכי הים</v>
      </c>
    </row>
    <row r="23795" spans="1:6" x14ac:dyDescent="0.2">
      <c r="A23795" t="s">
        <v>38221</v>
      </c>
      <c r="B23795" t="s">
        <v>38222</v>
      </c>
      <c r="C23795" t="s">
        <v>17</v>
      </c>
      <c r="D23795" t="s">
        <v>14</v>
      </c>
      <c r="E23795" t="s">
        <v>104</v>
      </c>
      <c r="F23795" s="2" t="str">
        <f>HYPERLINK("http://www.otzar.org/book.asp?171160","מנגד תראה")</f>
        <v>מנגד תראה</v>
      </c>
    </row>
    <row r="23796" spans="1:6" x14ac:dyDescent="0.2">
      <c r="A23796" t="s">
        <v>38223</v>
      </c>
      <c r="B23796" t="s">
        <v>11439</v>
      </c>
      <c r="C23796" t="s">
        <v>146</v>
      </c>
      <c r="D23796" t="s">
        <v>412</v>
      </c>
      <c r="E23796" t="s">
        <v>246</v>
      </c>
      <c r="F23796" s="2" t="str">
        <f>HYPERLINK("http://www.otzar.org/book.asp?180946","מנהג אבותינו בידינו - 5 כר'")</f>
        <v>מנהג אבותינו בידינו - 5 כר'</v>
      </c>
    </row>
    <row r="23797" spans="1:6" x14ac:dyDescent="0.2">
      <c r="A23797" t="s">
        <v>38224</v>
      </c>
      <c r="B23797" t="s">
        <v>38225</v>
      </c>
      <c r="C23797" t="s">
        <v>168</v>
      </c>
      <c r="D23797" t="s">
        <v>118</v>
      </c>
      <c r="E23797" t="s">
        <v>3567</v>
      </c>
      <c r="F23797" s="2" t="str">
        <f>HYPERLINK("http://www.otzar.org/book.asp?106345","מנהג אבותינו בידינו")</f>
        <v>מנהג אבותינו בידינו</v>
      </c>
    </row>
    <row r="23798" spans="1:6" x14ac:dyDescent="0.2">
      <c r="A23798" t="s">
        <v>38226</v>
      </c>
      <c r="B23798" t="s">
        <v>5975</v>
      </c>
      <c r="C23798" t="s">
        <v>767</v>
      </c>
      <c r="D23798" t="s">
        <v>14</v>
      </c>
      <c r="E23798" t="s">
        <v>104</v>
      </c>
      <c r="F23798" s="2" t="str">
        <f>HYPERLINK("http://www.otzar.org/book.asp?158877","מנהג הקריאה המתייחס לסימן יתק""ק תדפיס")</f>
        <v>מנהג הקריאה המתייחס לסימן יתק"ק תדפיס</v>
      </c>
    </row>
    <row r="23799" spans="1:6" x14ac:dyDescent="0.2">
      <c r="A23799" t="s">
        <v>38227</v>
      </c>
      <c r="B23799" t="s">
        <v>38228</v>
      </c>
      <c r="C23799" t="s">
        <v>609</v>
      </c>
      <c r="D23799" t="s">
        <v>16978</v>
      </c>
      <c r="E23799" t="s">
        <v>15</v>
      </c>
      <c r="F23799" s="2" t="str">
        <f>HYPERLINK("http://www.otzar.org/book.asp?7771","מנהג טוב")</f>
        <v>מנהג טוב</v>
      </c>
    </row>
    <row r="23800" spans="1:6" x14ac:dyDescent="0.2">
      <c r="A23800" t="s">
        <v>38229</v>
      </c>
      <c r="B23800" t="s">
        <v>38230</v>
      </c>
      <c r="C23800" t="s">
        <v>422</v>
      </c>
      <c r="D23800" t="s">
        <v>412</v>
      </c>
      <c r="E23800" t="s">
        <v>172</v>
      </c>
      <c r="F23800" s="2" t="str">
        <f>HYPERLINK("http://www.otzar.org/book.asp?62846","מנהג ישראל תורה - (ז) יורה דעה")</f>
        <v>מנהג ישראל תורה - (ז) יורה דעה</v>
      </c>
    </row>
    <row r="23801" spans="1:6" x14ac:dyDescent="0.2">
      <c r="A23801" t="s">
        <v>38231</v>
      </c>
      <c r="B23801" t="s">
        <v>38232</v>
      </c>
      <c r="C23801" t="s">
        <v>624</v>
      </c>
      <c r="D23801" t="s">
        <v>14</v>
      </c>
      <c r="E23801" t="s">
        <v>15</v>
      </c>
      <c r="F23801" s="2" t="str">
        <f>HYPERLINK("http://www.otzar.org/book.asp?51415","מנהג מרשלייאה ספר המנהגות לר' משה ב""ר שמואל")</f>
        <v>מנהג מרשלייאה ספר המנהגות לר' משה ב"ר שמואל</v>
      </c>
    </row>
    <row r="23802" spans="1:6" x14ac:dyDescent="0.2">
      <c r="A23802" t="s">
        <v>38233</v>
      </c>
      <c r="B23802" t="s">
        <v>9625</v>
      </c>
      <c r="C23802" t="s">
        <v>3106</v>
      </c>
      <c r="D23802" t="s">
        <v>118</v>
      </c>
      <c r="E23802" t="s">
        <v>15</v>
      </c>
      <c r="F23802" s="2" t="str">
        <f>HYPERLINK("http://www.otzar.org/book.asp?12218","מנהגי ארץ ישראל")</f>
        <v>מנהגי ארץ ישראל</v>
      </c>
    </row>
    <row r="23803" spans="1:6" x14ac:dyDescent="0.2">
      <c r="A23803" t="s">
        <v>38234</v>
      </c>
      <c r="B23803" t="s">
        <v>38235</v>
      </c>
      <c r="C23803" t="s">
        <v>812</v>
      </c>
      <c r="D23803" t="s">
        <v>38236</v>
      </c>
      <c r="E23803" t="s">
        <v>3567</v>
      </c>
      <c r="F23803" s="2" t="str">
        <f>HYPERLINK("http://www.otzar.org/book.asp?195956","מנהגי ביהכ""נ דקהל עדת ישראל פה בערלין")</f>
        <v>מנהגי ביהכ"נ דקהל עדת ישראל פה בערלין</v>
      </c>
    </row>
    <row r="23804" spans="1:6" x14ac:dyDescent="0.2">
      <c r="A23804" t="s">
        <v>38237</v>
      </c>
      <c r="B23804" t="s">
        <v>21603</v>
      </c>
      <c r="C23804" t="s">
        <v>576</v>
      </c>
      <c r="D23804" t="s">
        <v>38238</v>
      </c>
      <c r="E23804" t="s">
        <v>3567</v>
      </c>
      <c r="F23804" s="2" t="str">
        <f>HYPERLINK("http://www.otzar.org/book.asp?195955","מנהגי ביהמ""ד הישן דק""ק בערלין")</f>
        <v>מנהגי ביהמ"ד הישן דק"ק בערלין</v>
      </c>
    </row>
    <row r="23805" spans="1:6" x14ac:dyDescent="0.2">
      <c r="A23805" t="s">
        <v>38239</v>
      </c>
      <c r="B23805" t="s">
        <v>38240</v>
      </c>
      <c r="C23805" t="s">
        <v>124</v>
      </c>
      <c r="D23805" t="s">
        <v>412</v>
      </c>
      <c r="E23805" t="s">
        <v>3567</v>
      </c>
      <c r="F23805" s="2" t="str">
        <f>HYPERLINK("http://www.otzar.org/book.asp?160521","מנהגי בית אליק - אליק וחכמיה")</f>
        <v>מנהגי בית אליק - אליק וחכמיה</v>
      </c>
    </row>
    <row r="23806" spans="1:6" x14ac:dyDescent="0.2">
      <c r="A23806" t="s">
        <v>38241</v>
      </c>
      <c r="B23806" t="s">
        <v>38242</v>
      </c>
      <c r="C23806" t="s">
        <v>68</v>
      </c>
      <c r="D23806" t="s">
        <v>52</v>
      </c>
      <c r="E23806" t="s">
        <v>15</v>
      </c>
      <c r="F23806" s="2" t="str">
        <f>HYPERLINK("http://www.otzar.org/book.asp?618105","מנהגי בית הכנסת חזון איש לדרמן")</f>
        <v>מנהגי בית הכנסת חזון איש לדרמן</v>
      </c>
    </row>
    <row r="23807" spans="1:6" x14ac:dyDescent="0.2">
      <c r="A23807" t="s">
        <v>38243</v>
      </c>
      <c r="B23807" t="s">
        <v>30028</v>
      </c>
      <c r="C23807" t="s">
        <v>111</v>
      </c>
      <c r="D23807" t="s">
        <v>52</v>
      </c>
      <c r="E23807" t="s">
        <v>15</v>
      </c>
      <c r="F23807" s="2" t="str">
        <f>HYPERLINK("http://www.otzar.org/book.asp?619347","מנהגי בית הכנסת לבני אשכנז - תשע""ט")</f>
        <v>מנהגי בית הכנסת לבני אשכנז - תשע"ט</v>
      </c>
    </row>
    <row r="23808" spans="1:6" x14ac:dyDescent="0.2">
      <c r="A23808" t="s">
        <v>38244</v>
      </c>
      <c r="B23808" t="s">
        <v>38245</v>
      </c>
      <c r="C23808" t="s">
        <v>547</v>
      </c>
      <c r="D23808" t="s">
        <v>6785</v>
      </c>
      <c r="E23808" t="s">
        <v>9527</v>
      </c>
      <c r="F23808" s="2" t="str">
        <f>HYPERLINK("http://www.otzar.org/book.asp?8283","מנהגי בעל החת""ם סופר")</f>
        <v>מנהגי בעל החת"ם סופר</v>
      </c>
    </row>
    <row r="23809" spans="1:6" x14ac:dyDescent="0.2">
      <c r="A23809" t="s">
        <v>38246</v>
      </c>
      <c r="B23809" t="s">
        <v>38247</v>
      </c>
      <c r="C23809" t="s">
        <v>124</v>
      </c>
      <c r="D23809" t="s">
        <v>52</v>
      </c>
      <c r="E23809" t="s">
        <v>15</v>
      </c>
      <c r="F23809" s="2" t="str">
        <f>HYPERLINK("http://www.otzar.org/book.asp?147905","מנהגי בעל החתם סופר החדש")</f>
        <v>מנהגי בעל החתם סופר החדש</v>
      </c>
    </row>
    <row r="23810" spans="1:6" x14ac:dyDescent="0.2">
      <c r="A23810" t="s">
        <v>38248</v>
      </c>
      <c r="B23810" t="s">
        <v>1733</v>
      </c>
      <c r="C23810" t="s">
        <v>989</v>
      </c>
      <c r="D23810" t="s">
        <v>90</v>
      </c>
      <c r="F23810" s="2" t="str">
        <f>HYPERLINK("http://www.otzar.org/book.asp?617182","מנהגי בעלזא")</f>
        <v>מנהגי בעלזא</v>
      </c>
    </row>
    <row r="23811" spans="1:6" x14ac:dyDescent="0.2">
      <c r="A23811" t="s">
        <v>38249</v>
      </c>
      <c r="B23811" t="s">
        <v>38250</v>
      </c>
      <c r="C23811" t="s">
        <v>51</v>
      </c>
      <c r="D23811" t="s">
        <v>52</v>
      </c>
      <c r="E23811" t="s">
        <v>15</v>
      </c>
      <c r="F23811" s="2" t="str">
        <f>HYPERLINK("http://www.otzar.org/book.asp?62991","מנהגי בציעת לחם משנה")</f>
        <v>מנהגי בציעת לחם משנה</v>
      </c>
    </row>
    <row r="23812" spans="1:6" x14ac:dyDescent="0.2">
      <c r="A23812" t="s">
        <v>38251</v>
      </c>
      <c r="B23812" t="s">
        <v>32247</v>
      </c>
      <c r="C23812" t="s">
        <v>51</v>
      </c>
      <c r="D23812" t="s">
        <v>14</v>
      </c>
      <c r="E23812" t="s">
        <v>15</v>
      </c>
      <c r="F23812" s="2" t="str">
        <f>HYPERLINK("http://www.otzar.org/book.asp?50968","מנהגי החיד""א - 5 כר'")</f>
        <v>מנהגי החיד"א - 5 כר'</v>
      </c>
    </row>
    <row r="23813" spans="1:6" x14ac:dyDescent="0.2">
      <c r="A23813" t="s">
        <v>38252</v>
      </c>
      <c r="B23813" t="s">
        <v>38253</v>
      </c>
      <c r="C23813" t="s">
        <v>37</v>
      </c>
      <c r="D23813" t="s">
        <v>139</v>
      </c>
      <c r="E23813" t="s">
        <v>15</v>
      </c>
      <c r="F23813" s="2" t="str">
        <f>HYPERLINK("http://www.otzar.org/book.asp?182385","מנהגי החסידים בעיה""ק צפת")</f>
        <v>מנהגי החסידים בעיה"ק צפת</v>
      </c>
    </row>
    <row r="23814" spans="1:6" x14ac:dyDescent="0.2">
      <c r="A23814" t="s">
        <v>38254</v>
      </c>
      <c r="B23814" t="s">
        <v>38250</v>
      </c>
      <c r="C23814" t="s">
        <v>466</v>
      </c>
      <c r="D23814" t="s">
        <v>52</v>
      </c>
      <c r="E23814" t="s">
        <v>15</v>
      </c>
      <c r="F23814" s="2" t="str">
        <f>HYPERLINK("http://www.otzar.org/book.asp?62990","מנהגי הקידוש בליל שבת")</f>
        <v>מנהגי הקידוש בליל שבת</v>
      </c>
    </row>
    <row r="23815" spans="1:6" x14ac:dyDescent="0.2">
      <c r="A23815" t="s">
        <v>38255</v>
      </c>
      <c r="B23815" t="s">
        <v>19365</v>
      </c>
      <c r="C23815" t="s">
        <v>51</v>
      </c>
      <c r="D23815" t="s">
        <v>14</v>
      </c>
      <c r="E23815" t="s">
        <v>148</v>
      </c>
      <c r="F23815" s="2" t="str">
        <f>HYPERLINK("http://www.otzar.org/book.asp?148709","מנהגי השלחן - אורח חיים")</f>
        <v>מנהגי השלחן - אורח חיים</v>
      </c>
    </row>
    <row r="23816" spans="1:6" x14ac:dyDescent="0.2">
      <c r="A23816" t="s">
        <v>38256</v>
      </c>
      <c r="B23816" t="s">
        <v>17018</v>
      </c>
      <c r="C23816" t="s">
        <v>2132</v>
      </c>
      <c r="D23816" t="s">
        <v>27</v>
      </c>
      <c r="E23816" t="s">
        <v>130</v>
      </c>
      <c r="F23816" s="2" t="str">
        <f>HYPERLINK("http://www.otzar.org/book.asp?179090","מנהגי ופסקי מהרי""ץ - ימים נוראים, סוכות")</f>
        <v>מנהגי ופסקי מהרי"ץ - ימים נוראים, סוכות</v>
      </c>
    </row>
    <row r="23817" spans="1:6" x14ac:dyDescent="0.2">
      <c r="A23817" t="s">
        <v>38257</v>
      </c>
      <c r="B23817" t="s">
        <v>38258</v>
      </c>
      <c r="C23817" t="s">
        <v>919</v>
      </c>
      <c r="D23817" t="s">
        <v>14</v>
      </c>
      <c r="E23817" t="s">
        <v>3567</v>
      </c>
      <c r="F23817" s="2" t="str">
        <f>HYPERLINK("http://www.otzar.org/book.asp?164277","מנהגי זידיטשוב")</f>
        <v>מנהגי זידיטשוב</v>
      </c>
    </row>
    <row r="23818" spans="1:6" x14ac:dyDescent="0.2">
      <c r="A23818" t="s">
        <v>38259</v>
      </c>
      <c r="B23818" t="s">
        <v>38260</v>
      </c>
      <c r="C23818" t="s">
        <v>114</v>
      </c>
      <c r="D23818" t="s">
        <v>646</v>
      </c>
      <c r="E23818" t="s">
        <v>130</v>
      </c>
      <c r="F23818" s="2" t="str">
        <f>HYPERLINK("http://www.otzar.org/book.asp?162553","מנהגי חג השבועות")</f>
        <v>מנהגי חג השבועות</v>
      </c>
    </row>
    <row r="23819" spans="1:6" x14ac:dyDescent="0.2">
      <c r="A23819" t="s">
        <v>38261</v>
      </c>
      <c r="B23819" t="s">
        <v>38262</v>
      </c>
      <c r="C23819" t="s">
        <v>185</v>
      </c>
      <c r="D23819" t="s">
        <v>14</v>
      </c>
      <c r="F23819" s="2" t="str">
        <f>HYPERLINK("http://www.otzar.org/book.asp?632860","מנהגי חתם סופר")</f>
        <v>מנהגי חתם סופר</v>
      </c>
    </row>
    <row r="23820" spans="1:6" x14ac:dyDescent="0.2">
      <c r="A23820" t="s">
        <v>38263</v>
      </c>
      <c r="B23820" t="s">
        <v>3177</v>
      </c>
      <c r="C23820" t="s">
        <v>1096</v>
      </c>
      <c r="D23820" t="s">
        <v>56</v>
      </c>
      <c r="E23820" t="s">
        <v>15</v>
      </c>
      <c r="F23820" s="2" t="str">
        <f>HYPERLINK("http://www.otzar.org/book.asp?6153","מנהגי ישרון")</f>
        <v>מנהגי ישרון</v>
      </c>
    </row>
    <row r="23821" spans="1:6" x14ac:dyDescent="0.2">
      <c r="A23821" t="s">
        <v>38264</v>
      </c>
      <c r="B23821" t="s">
        <v>38265</v>
      </c>
      <c r="C23821" t="s">
        <v>244</v>
      </c>
      <c r="D23821" t="s">
        <v>52</v>
      </c>
      <c r="E23821" t="s">
        <v>15</v>
      </c>
      <c r="F23821" s="2" t="str">
        <f>HYPERLINK("http://www.otzar.org/book.asp?617941","מנהגי לוב טראבלס")</f>
        <v>מנהגי לוב טראבלס</v>
      </c>
    </row>
    <row r="23822" spans="1:6" x14ac:dyDescent="0.2">
      <c r="A23822" t="s">
        <v>38266</v>
      </c>
      <c r="B23822" t="s">
        <v>16753</v>
      </c>
      <c r="C23822" t="s">
        <v>244</v>
      </c>
      <c r="D23822" t="s">
        <v>14</v>
      </c>
      <c r="E23822" t="s">
        <v>130</v>
      </c>
      <c r="F23822" s="2" t="str">
        <f>HYPERLINK("http://www.otzar.org/book.asp?199540","מנהגי מהרי""צ הלוי - 3 כר'")</f>
        <v>מנהגי מהרי"צ הלוי - 3 כר'</v>
      </c>
    </row>
    <row r="23823" spans="1:6" x14ac:dyDescent="0.2">
      <c r="A23823" t="s">
        <v>38267</v>
      </c>
      <c r="B23823" t="s">
        <v>38268</v>
      </c>
      <c r="C23823" t="s">
        <v>23</v>
      </c>
      <c r="D23823" t="s">
        <v>14</v>
      </c>
      <c r="F23823" s="2" t="str">
        <f>HYPERLINK("http://www.otzar.org/book.asp?619021","מנהגי מהריי""ו סוליצא &lt;מהדורה חדשה&gt;")</f>
        <v>מנהגי מהריי"ו סוליצא &lt;מהדורה חדשה&gt;</v>
      </c>
    </row>
    <row r="23824" spans="1:6" x14ac:dyDescent="0.2">
      <c r="A23824" t="s">
        <v>38269</v>
      </c>
      <c r="B23824" t="s">
        <v>38268</v>
      </c>
      <c r="C23824" t="s">
        <v>1811</v>
      </c>
      <c r="D23824" t="s">
        <v>14</v>
      </c>
      <c r="E23824" t="s">
        <v>3567</v>
      </c>
      <c r="F23824" s="2" t="str">
        <f>HYPERLINK("http://www.otzar.org/book.asp?7620","מנהגי מהריי""ו סוליצא")</f>
        <v>מנהגי מהריי"ו סוליצא</v>
      </c>
    </row>
    <row r="23825" spans="1:6" x14ac:dyDescent="0.2">
      <c r="A23825" t="s">
        <v>38270</v>
      </c>
      <c r="B23825" t="s">
        <v>38245</v>
      </c>
      <c r="C23825" t="s">
        <v>433</v>
      </c>
      <c r="D23825" t="s">
        <v>14</v>
      </c>
      <c r="E23825" t="s">
        <v>15</v>
      </c>
      <c r="F23825" s="2" t="str">
        <f>HYPERLINK("http://www.otzar.org/book.asp?156252","מנהגי מרן בעל החתם סופר זצ""ל - 3 כר'")</f>
        <v>מנהגי מרן בעל החתם סופר זצ"ל - 3 כר'</v>
      </c>
    </row>
    <row r="23826" spans="1:6" x14ac:dyDescent="0.2">
      <c r="A23826" t="s">
        <v>38271</v>
      </c>
      <c r="B23826" t="s">
        <v>27067</v>
      </c>
      <c r="C23826" t="s">
        <v>1268</v>
      </c>
      <c r="D23826" t="s">
        <v>52</v>
      </c>
      <c r="E23826" t="s">
        <v>140</v>
      </c>
      <c r="F23826" s="2" t="str">
        <f>HYPERLINK("http://www.otzar.org/book.asp?188525","מנהגי ספינקא")</f>
        <v>מנהגי ספינקא</v>
      </c>
    </row>
    <row r="23827" spans="1:6" x14ac:dyDescent="0.2">
      <c r="A23827" t="s">
        <v>38272</v>
      </c>
      <c r="B23827" t="s">
        <v>38273</v>
      </c>
      <c r="C23827" t="s">
        <v>585</v>
      </c>
      <c r="D23827" t="s">
        <v>14</v>
      </c>
      <c r="E23827" t="s">
        <v>13193</v>
      </c>
      <c r="F23827" s="2" t="str">
        <f>HYPERLINK("http://www.otzar.org/book.asp?8257","מנהגי פרנקפורט - מועדים")</f>
        <v>מנהגי פרנקפורט - מועדים</v>
      </c>
    </row>
    <row r="23828" spans="1:6" x14ac:dyDescent="0.2">
      <c r="A23828" t="s">
        <v>38274</v>
      </c>
      <c r="E23828" t="s">
        <v>3567</v>
      </c>
      <c r="F23828" s="2" t="str">
        <f>HYPERLINK("http://www.otzar.org/book.asp?195954","מנהגי צפת לעדת האשכנזים חסידים")</f>
        <v>מנהגי צפת לעדת האשכנזים חסידים</v>
      </c>
    </row>
    <row r="23829" spans="1:6" x14ac:dyDescent="0.2">
      <c r="A23829" t="s">
        <v>38275</v>
      </c>
      <c r="B23829" t="s">
        <v>2074</v>
      </c>
      <c r="C23829" t="s">
        <v>143</v>
      </c>
      <c r="D23829" t="s">
        <v>14</v>
      </c>
      <c r="E23829" t="s">
        <v>3567</v>
      </c>
      <c r="F23829" s="2" t="str">
        <f>HYPERLINK("http://www.otzar.org/book.asp?60670","מנהגי ק""ק ""בית יעקב"" בחברון")</f>
        <v>מנהגי ק"ק "בית יעקב" בחברון</v>
      </c>
    </row>
    <row r="23830" spans="1:6" x14ac:dyDescent="0.2">
      <c r="A23830" t="s">
        <v>38276</v>
      </c>
      <c r="B23830" t="s">
        <v>38277</v>
      </c>
      <c r="C23830" t="s">
        <v>75</v>
      </c>
      <c r="D23830" t="s">
        <v>1117</v>
      </c>
      <c r="E23830" t="s">
        <v>15</v>
      </c>
      <c r="F23830" s="2" t="str">
        <f>HYPERLINK("http://www.otzar.org/book.asp?180742","מנהגי ק""ק מגנצא")</f>
        <v>מנהגי ק"ק מגנצא</v>
      </c>
    </row>
    <row r="23831" spans="1:6" x14ac:dyDescent="0.2">
      <c r="A23831" t="s">
        <v>38278</v>
      </c>
      <c r="B23831" t="s">
        <v>29045</v>
      </c>
      <c r="C23831" t="s">
        <v>411</v>
      </c>
      <c r="D23831" t="s">
        <v>52</v>
      </c>
      <c r="E23831" t="s">
        <v>3915</v>
      </c>
      <c r="F23831" s="2" t="str">
        <f>HYPERLINK("http://www.otzar.org/book.asp?168649","מנהגי קדש רוזין")</f>
        <v>מנהגי קדש רוזין</v>
      </c>
    </row>
    <row r="23832" spans="1:6" x14ac:dyDescent="0.2">
      <c r="A23832" t="s">
        <v>38279</v>
      </c>
      <c r="B23832" t="s">
        <v>38280</v>
      </c>
      <c r="C23832" t="s">
        <v>1640</v>
      </c>
      <c r="D23832" t="s">
        <v>216</v>
      </c>
      <c r="E23832" t="s">
        <v>24</v>
      </c>
      <c r="F23832" s="2" t="str">
        <f>HYPERLINK("http://www.otzar.org/book.asp?144179","מנהגי קומרנא")</f>
        <v>מנהגי קומרנא</v>
      </c>
    </row>
    <row r="23833" spans="1:6" x14ac:dyDescent="0.2">
      <c r="A23833" t="s">
        <v>38281</v>
      </c>
      <c r="B23833" t="s">
        <v>38262</v>
      </c>
      <c r="C23833" t="s">
        <v>422</v>
      </c>
      <c r="D23833" t="s">
        <v>52</v>
      </c>
      <c r="E23833" t="s">
        <v>15</v>
      </c>
      <c r="F23833" s="2" t="str">
        <f>HYPERLINK("http://www.otzar.org/book.asp?163144","מנהגי רבותינו והליכותיהם - רנ""א, רעק""א, ועוד")</f>
        <v>מנהגי רבותינו והליכותיהם - רנ"א, רעק"א, ועוד</v>
      </c>
    </row>
    <row r="23834" spans="1:6" x14ac:dyDescent="0.2">
      <c r="A23834" t="s">
        <v>38282</v>
      </c>
      <c r="B23834" t="s">
        <v>38283</v>
      </c>
      <c r="C23834" t="s">
        <v>576</v>
      </c>
      <c r="D23834" t="s">
        <v>27</v>
      </c>
      <c r="E23834" t="s">
        <v>15</v>
      </c>
      <c r="F23834" s="2" t="str">
        <f>HYPERLINK("http://www.otzar.org/book.asp?22590","מנהגי שביעית")</f>
        <v>מנהגי שביעית</v>
      </c>
    </row>
    <row r="23835" spans="1:6" x14ac:dyDescent="0.2">
      <c r="A23835" t="s">
        <v>38284</v>
      </c>
      <c r="B23835" t="s">
        <v>17331</v>
      </c>
      <c r="C23835" t="s">
        <v>87</v>
      </c>
      <c r="D23835" t="s">
        <v>52</v>
      </c>
      <c r="E23835" t="s">
        <v>674</v>
      </c>
      <c r="F23835" s="2" t="str">
        <f>HYPERLINK("http://www.otzar.org/book.asp?157602","מנהגי תימן כרמב""ם וכשו""ע")</f>
        <v>מנהגי תימן כרמב"ם וכשו"ע</v>
      </c>
    </row>
    <row r="23836" spans="1:6" x14ac:dyDescent="0.2">
      <c r="A23836" t="s">
        <v>38285</v>
      </c>
      <c r="B23836" t="s">
        <v>38286</v>
      </c>
      <c r="C23836" t="s">
        <v>2289</v>
      </c>
      <c r="D23836" t="s">
        <v>2303</v>
      </c>
      <c r="E23836" t="s">
        <v>15</v>
      </c>
      <c r="F23836" s="2" t="str">
        <f>HYPERLINK("http://www.otzar.org/book.asp?106192","מנהגים דקהילתינו")</f>
        <v>מנהגים דקהילתינו</v>
      </c>
    </row>
    <row r="23837" spans="1:6" x14ac:dyDescent="0.2">
      <c r="A23837" t="s">
        <v>38287</v>
      </c>
      <c r="B23837" t="s">
        <v>38288</v>
      </c>
      <c r="C23837" t="s">
        <v>79</v>
      </c>
      <c r="D23837" t="s">
        <v>9</v>
      </c>
      <c r="E23837" t="s">
        <v>621</v>
      </c>
      <c r="F23837" s="2" t="str">
        <f>HYPERLINK("http://www.otzar.org/book.asp?103882","מנהגים ישנים מדורא")</f>
        <v>מנהגים ישנים מדורא</v>
      </c>
    </row>
    <row r="23838" spans="1:6" x14ac:dyDescent="0.2">
      <c r="A23838" t="s">
        <v>38289</v>
      </c>
      <c r="B23838" t="s">
        <v>38288</v>
      </c>
      <c r="C23838" t="s">
        <v>103</v>
      </c>
      <c r="D23838" t="s">
        <v>17707</v>
      </c>
      <c r="E23838" t="s">
        <v>15</v>
      </c>
      <c r="F23838" s="2" t="str">
        <f>HYPERLINK("http://www.otzar.org/book.asp?163678","מנהגים של כל השנה")</f>
        <v>מנהגים של כל השנה</v>
      </c>
    </row>
    <row r="23839" spans="1:6" x14ac:dyDescent="0.2">
      <c r="A23839" t="s">
        <v>38290</v>
      </c>
      <c r="B23839" t="s">
        <v>38291</v>
      </c>
      <c r="C23839" t="s">
        <v>6211</v>
      </c>
      <c r="D23839" t="s">
        <v>4539</v>
      </c>
      <c r="E23839" t="s">
        <v>15</v>
      </c>
      <c r="F23839" s="2" t="str">
        <f>HYPERLINK("http://www.otzar.org/book.asp?146898","מנהגים")</f>
        <v>מנהגים</v>
      </c>
    </row>
    <row r="23840" spans="1:6" x14ac:dyDescent="0.2">
      <c r="A23840" t="s">
        <v>38290</v>
      </c>
      <c r="B23840" t="s">
        <v>38292</v>
      </c>
      <c r="C23840" t="s">
        <v>1519</v>
      </c>
      <c r="D23840" t="s">
        <v>38293</v>
      </c>
      <c r="E23840" t="s">
        <v>15</v>
      </c>
      <c r="F23840" s="2" t="str">
        <f>HYPERLINK("http://www.otzar.org/book.asp?181136","מנהגים")</f>
        <v>מנהגים</v>
      </c>
    </row>
    <row r="23841" spans="1:6" x14ac:dyDescent="0.2">
      <c r="A23841" t="s">
        <v>38294</v>
      </c>
      <c r="B23841" t="s">
        <v>38290</v>
      </c>
      <c r="C23841" t="s">
        <v>20</v>
      </c>
      <c r="D23841" t="s">
        <v>38295</v>
      </c>
      <c r="E23841" t="s">
        <v>15</v>
      </c>
      <c r="F23841" s="2" t="str">
        <f>HYPERLINK("http://www.otzar.org/book.asp?200081","מנהגים - אשכנז, פולין, מעהרין, בעהמן")</f>
        <v>מנהגים - אשכנז, פולין, מעהרין, בעהמן</v>
      </c>
    </row>
    <row r="23842" spans="1:6" x14ac:dyDescent="0.2">
      <c r="A23842" t="s">
        <v>38296</v>
      </c>
      <c r="B23842" t="s">
        <v>38297</v>
      </c>
      <c r="C23842" t="s">
        <v>609</v>
      </c>
      <c r="D23842" t="s">
        <v>2940</v>
      </c>
      <c r="E23842" t="s">
        <v>15</v>
      </c>
      <c r="F23842" s="2" t="str">
        <f>HYPERLINK("http://www.otzar.org/book.asp?8831","מנהגים - 2 כר'")</f>
        <v>מנהגים - 2 כר'</v>
      </c>
    </row>
    <row r="23843" spans="1:6" x14ac:dyDescent="0.2">
      <c r="A23843" t="s">
        <v>38298</v>
      </c>
      <c r="B23843" t="s">
        <v>38299</v>
      </c>
      <c r="C23843" t="s">
        <v>244</v>
      </c>
      <c r="D23843" t="s">
        <v>14</v>
      </c>
      <c r="F23843" s="2" t="str">
        <f>HYPERLINK("http://www.otzar.org/book.asp?613871","מנובהרדוק דרך מונטרה לירושלים")</f>
        <v>מנובהרדוק דרך מונטרה לירושלים</v>
      </c>
    </row>
    <row r="23844" spans="1:6" x14ac:dyDescent="0.2">
      <c r="A23844" t="s">
        <v>38300</v>
      </c>
      <c r="B23844" t="s">
        <v>26360</v>
      </c>
      <c r="C23844" t="s">
        <v>5277</v>
      </c>
      <c r="D23844" t="s">
        <v>744</v>
      </c>
      <c r="E23844" t="s">
        <v>12983</v>
      </c>
      <c r="F23844" s="2" t="str">
        <f>HYPERLINK("http://www.otzar.org/book.asp?147259","מנוח מצא חן")</f>
        <v>מנוח מצא חן</v>
      </c>
    </row>
    <row r="23845" spans="1:6" x14ac:dyDescent="0.2">
      <c r="A23845" t="s">
        <v>38301</v>
      </c>
      <c r="B23845" t="s">
        <v>38302</v>
      </c>
      <c r="C23845" t="s">
        <v>438</v>
      </c>
      <c r="D23845" t="s">
        <v>38303</v>
      </c>
      <c r="F23845" s="2" t="str">
        <f>HYPERLINK("http://www.otzar.org/book.asp?169675","מנוחה וחיים")</f>
        <v>מנוחה וחיים</v>
      </c>
    </row>
    <row r="23846" spans="1:6" x14ac:dyDescent="0.2">
      <c r="A23846" t="s">
        <v>38304</v>
      </c>
      <c r="B23846" t="s">
        <v>38305</v>
      </c>
      <c r="C23846" t="s">
        <v>37</v>
      </c>
      <c r="D23846" t="s">
        <v>52</v>
      </c>
      <c r="E23846" t="s">
        <v>241</v>
      </c>
      <c r="F23846" s="2" t="str">
        <f>HYPERLINK("http://www.otzar.org/book.asp?627323","מנוחה וקדושה &lt;השלם&gt;")</f>
        <v>מנוחה וקדושה &lt;השלם&gt;</v>
      </c>
    </row>
    <row r="23847" spans="1:6" x14ac:dyDescent="0.2">
      <c r="A23847" t="s">
        <v>38306</v>
      </c>
      <c r="B23847" t="s">
        <v>38305</v>
      </c>
      <c r="C23847" t="s">
        <v>146</v>
      </c>
      <c r="D23847" t="s">
        <v>14</v>
      </c>
      <c r="E23847" t="s">
        <v>241</v>
      </c>
      <c r="F23847" s="2" t="str">
        <f>HYPERLINK("http://www.otzar.org/book.asp?83704","מנוחה וקדושה - 2 כר'")</f>
        <v>מנוחה וקדושה - 2 כר'</v>
      </c>
    </row>
    <row r="23848" spans="1:6" x14ac:dyDescent="0.2">
      <c r="A23848" t="s">
        <v>38307</v>
      </c>
      <c r="B23848" t="s">
        <v>38308</v>
      </c>
      <c r="C23848" t="s">
        <v>422</v>
      </c>
      <c r="D23848" t="s">
        <v>486</v>
      </c>
      <c r="E23848" t="s">
        <v>768</v>
      </c>
      <c r="F23848" s="2" t="str">
        <f>HYPERLINK("http://www.otzar.org/book.asp?151898","מנוחה וקדושה - קובץ")</f>
        <v>מנוחה וקדושה - קובץ</v>
      </c>
    </row>
    <row r="23849" spans="1:6" x14ac:dyDescent="0.2">
      <c r="A23849" t="s">
        <v>38309</v>
      </c>
      <c r="B23849" t="s">
        <v>19853</v>
      </c>
      <c r="C23849" t="s">
        <v>366</v>
      </c>
      <c r="D23849" t="s">
        <v>276</v>
      </c>
      <c r="F23849" s="2" t="str">
        <f>HYPERLINK("http://www.otzar.org/book.asp?617981","מנוחה ושמחה")</f>
        <v>מנוחה ושמחה</v>
      </c>
    </row>
    <row r="23850" spans="1:6" x14ac:dyDescent="0.2">
      <c r="A23850" t="s">
        <v>38309</v>
      </c>
      <c r="B23850" t="s">
        <v>38310</v>
      </c>
      <c r="C23850" t="s">
        <v>454</v>
      </c>
      <c r="D23850" t="s">
        <v>14</v>
      </c>
      <c r="F23850" s="2" t="str">
        <f>HYPERLINK("http://www.otzar.org/book.asp?616257","מנוחה ושמחה")</f>
        <v>מנוחה ושמחה</v>
      </c>
    </row>
    <row r="23851" spans="1:6" x14ac:dyDescent="0.2">
      <c r="A23851" t="s">
        <v>38311</v>
      </c>
      <c r="B23851" t="s">
        <v>38312</v>
      </c>
      <c r="C23851" t="s">
        <v>111</v>
      </c>
      <c r="D23851" t="s">
        <v>52</v>
      </c>
      <c r="E23851" t="s">
        <v>246</v>
      </c>
      <c r="F23851" s="2" t="str">
        <f>HYPERLINK("http://www.otzar.org/book.asp?624885","מנוחה טובה - מועדים")</f>
        <v>מנוחה טובה - מועדים</v>
      </c>
    </row>
    <row r="23852" spans="1:6" x14ac:dyDescent="0.2">
      <c r="A23852" t="s">
        <v>38313</v>
      </c>
      <c r="B23852" t="s">
        <v>38314</v>
      </c>
      <c r="C23852" t="s">
        <v>1640</v>
      </c>
      <c r="D23852" t="s">
        <v>216</v>
      </c>
      <c r="E23852" t="s">
        <v>130</v>
      </c>
      <c r="F23852" s="2" t="str">
        <f>HYPERLINK("http://www.otzar.org/book.asp?84806","מנוחה נכונה עם הערות מנוחה שלמה")</f>
        <v>מנוחה נכונה עם הערות מנוחה שלמה</v>
      </c>
    </row>
    <row r="23853" spans="1:6" x14ac:dyDescent="0.2">
      <c r="A23853" t="s">
        <v>38315</v>
      </c>
      <c r="B23853" t="s">
        <v>38316</v>
      </c>
      <c r="C23853" t="s">
        <v>146</v>
      </c>
      <c r="D23853" t="s">
        <v>1156</v>
      </c>
      <c r="E23853" t="s">
        <v>15</v>
      </c>
      <c r="F23853" s="2" t="str">
        <f>HYPERLINK("http://www.otzar.org/book.asp?141810","מנוחה נכונה")</f>
        <v>מנוחה נכונה</v>
      </c>
    </row>
    <row r="23854" spans="1:6" x14ac:dyDescent="0.2">
      <c r="A23854" t="s">
        <v>38317</v>
      </c>
      <c r="B23854" t="s">
        <v>1838</v>
      </c>
      <c r="C23854" t="s">
        <v>68</v>
      </c>
      <c r="D23854" t="s">
        <v>14</v>
      </c>
      <c r="E23854" t="s">
        <v>158</v>
      </c>
      <c r="F23854" s="2" t="str">
        <f>HYPERLINK("http://www.otzar.org/book.asp?155492","מנוחה שלוחה - ויקרא")</f>
        <v>מנוחה שלוחה - ויקרא</v>
      </c>
    </row>
    <row r="23855" spans="1:6" x14ac:dyDescent="0.2">
      <c r="A23855" t="s">
        <v>38318</v>
      </c>
      <c r="B23855" t="s">
        <v>38319</v>
      </c>
      <c r="C23855" t="s">
        <v>129</v>
      </c>
      <c r="D23855" t="s">
        <v>14</v>
      </c>
      <c r="E23855" t="s">
        <v>15</v>
      </c>
      <c r="F23855" s="2" t="str">
        <f>HYPERLINK("http://www.otzar.org/book.asp?195094","מנוחה שלימה - דברים שבכתב")</f>
        <v>מנוחה שלימה - דברים שבכתב</v>
      </c>
    </row>
    <row r="23856" spans="1:6" x14ac:dyDescent="0.2">
      <c r="A23856" t="s">
        <v>38320</v>
      </c>
      <c r="B23856" t="s">
        <v>38321</v>
      </c>
      <c r="C23856" t="s">
        <v>51</v>
      </c>
      <c r="D23856" t="s">
        <v>14</v>
      </c>
      <c r="E23856" t="s">
        <v>148</v>
      </c>
      <c r="F23856" s="2" t="str">
        <f>HYPERLINK("http://www.otzar.org/book.asp?63680","מנוחה שלימה")</f>
        <v>מנוחה שלימה</v>
      </c>
    </row>
    <row r="23857" spans="1:6" x14ac:dyDescent="0.2">
      <c r="A23857" t="s">
        <v>38322</v>
      </c>
      <c r="B23857" t="s">
        <v>38323</v>
      </c>
      <c r="C23857" t="s">
        <v>129</v>
      </c>
      <c r="D23857" t="s">
        <v>14</v>
      </c>
      <c r="E23857" t="s">
        <v>1262</v>
      </c>
      <c r="F23857" s="2" t="str">
        <f>HYPERLINK("http://www.otzar.org/book.asp?147580","מנוחה שלמה - קונטרס דברים שבכתב ודברים שבע""פ")</f>
        <v>מנוחה שלמה - קונטרס דברים שבכתב ודברים שבע"פ</v>
      </c>
    </row>
    <row r="23858" spans="1:6" x14ac:dyDescent="0.2">
      <c r="A23858" t="s">
        <v>38324</v>
      </c>
      <c r="B23858" t="s">
        <v>38325</v>
      </c>
      <c r="C23858" t="s">
        <v>17</v>
      </c>
      <c r="D23858" t="s">
        <v>1511</v>
      </c>
      <c r="E23858" t="s">
        <v>15</v>
      </c>
      <c r="F23858" s="2" t="str">
        <f>HYPERLINK("http://www.otzar.org/book.asp?108521","מנוחה שלמה - 3 כר'")</f>
        <v>מנוחה שלמה - 3 כר'</v>
      </c>
    </row>
    <row r="23859" spans="1:6" x14ac:dyDescent="0.2">
      <c r="A23859" t="s">
        <v>38326</v>
      </c>
      <c r="B23859" t="s">
        <v>12035</v>
      </c>
      <c r="C23859" t="s">
        <v>1058</v>
      </c>
      <c r="D23859" t="s">
        <v>38327</v>
      </c>
      <c r="E23859" t="s">
        <v>234</v>
      </c>
      <c r="F23859" s="2" t="str">
        <f>HYPERLINK("http://www.otzar.org/book.asp?192274","מנוחה שלמה")</f>
        <v>מנוחה שלמה</v>
      </c>
    </row>
    <row r="23860" spans="1:6" x14ac:dyDescent="0.2">
      <c r="A23860" t="s">
        <v>38328</v>
      </c>
      <c r="B23860" t="s">
        <v>941</v>
      </c>
      <c r="C23860" t="s">
        <v>13</v>
      </c>
      <c r="D23860" t="s">
        <v>14</v>
      </c>
      <c r="F23860" s="2" t="str">
        <f>HYPERLINK("http://www.otzar.org/book.asp?610303","מנוחה שלמה - 2 כר'")</f>
        <v>מנוחה שלמה - 2 כר'</v>
      </c>
    </row>
    <row r="23861" spans="1:6" x14ac:dyDescent="0.2">
      <c r="A23861" t="s">
        <v>38329</v>
      </c>
      <c r="B23861" t="s">
        <v>38330</v>
      </c>
      <c r="C23861" t="s">
        <v>111</v>
      </c>
      <c r="D23861" t="s">
        <v>14</v>
      </c>
      <c r="E23861" t="s">
        <v>246</v>
      </c>
      <c r="F23861" s="2" t="str">
        <f>HYPERLINK("http://www.otzar.org/book.asp?628747","מנוחת אברהם")</f>
        <v>מנוחת אברהם</v>
      </c>
    </row>
    <row r="23862" spans="1:6" x14ac:dyDescent="0.2">
      <c r="A23862" t="s">
        <v>38331</v>
      </c>
      <c r="B23862" t="s">
        <v>12303</v>
      </c>
      <c r="C23862" t="s">
        <v>383</v>
      </c>
      <c r="D23862" t="s">
        <v>52</v>
      </c>
      <c r="E23862" t="s">
        <v>1157</v>
      </c>
      <c r="F23862" s="2" t="str">
        <f>HYPERLINK("http://www.otzar.org/book.asp?22766","מנוחת אהבה - 4 כר'")</f>
        <v>מנוחת אהבה - 4 כר'</v>
      </c>
    </row>
    <row r="23863" spans="1:6" x14ac:dyDescent="0.2">
      <c r="A23863" t="s">
        <v>38332</v>
      </c>
      <c r="B23863" t="s">
        <v>38333</v>
      </c>
      <c r="C23863" t="s">
        <v>20</v>
      </c>
      <c r="D23863" t="s">
        <v>38334</v>
      </c>
      <c r="E23863" t="s">
        <v>144</v>
      </c>
      <c r="F23863" s="2" t="str">
        <f>HYPERLINK("http://www.otzar.org/book.asp?143845","מנוחת אהרן - 17 כר'")</f>
        <v>מנוחת אהרן - 17 כר'</v>
      </c>
    </row>
    <row r="23864" spans="1:6" x14ac:dyDescent="0.2">
      <c r="A23864" t="s">
        <v>38335</v>
      </c>
      <c r="B23864" t="s">
        <v>38336</v>
      </c>
      <c r="C23864" t="s">
        <v>1640</v>
      </c>
      <c r="D23864" t="s">
        <v>412</v>
      </c>
      <c r="E23864" t="s">
        <v>901</v>
      </c>
      <c r="F23864" s="2" t="str">
        <f>HYPERLINK("http://www.otzar.org/book.asp?141966","מנוחת אליהו - 3 כר'")</f>
        <v>מנוחת אליהו - 3 כר'</v>
      </c>
    </row>
    <row r="23865" spans="1:6" x14ac:dyDescent="0.2">
      <c r="A23865" t="s">
        <v>38337</v>
      </c>
      <c r="B23865" t="s">
        <v>1681</v>
      </c>
      <c r="C23865" t="s">
        <v>189</v>
      </c>
      <c r="D23865" t="s">
        <v>52</v>
      </c>
      <c r="E23865" t="s">
        <v>15</v>
      </c>
      <c r="F23865" s="2" t="str">
        <f>HYPERLINK("http://www.otzar.org/book.asp?23933","מנוחת אמת")</f>
        <v>מנוחת אמת</v>
      </c>
    </row>
    <row r="23866" spans="1:6" x14ac:dyDescent="0.2">
      <c r="A23866" t="s">
        <v>38338</v>
      </c>
      <c r="B23866" t="s">
        <v>38339</v>
      </c>
      <c r="C23866" t="s">
        <v>151</v>
      </c>
      <c r="D23866" t="s">
        <v>14</v>
      </c>
      <c r="E23866" t="s">
        <v>144</v>
      </c>
      <c r="F23866" s="2" t="str">
        <f>HYPERLINK("http://www.otzar.org/book.asp?624831","מנוחת אמת - 2 כר'")</f>
        <v>מנוחת אמת - 2 כר'</v>
      </c>
    </row>
    <row r="23867" spans="1:6" x14ac:dyDescent="0.2">
      <c r="A23867" t="s">
        <v>38340</v>
      </c>
      <c r="B23867" t="s">
        <v>38341</v>
      </c>
      <c r="C23867" t="s">
        <v>313</v>
      </c>
      <c r="D23867" t="s">
        <v>52</v>
      </c>
      <c r="E23867" t="s">
        <v>144</v>
      </c>
      <c r="F23867" s="2" t="str">
        <f>HYPERLINK("http://www.otzar.org/book.asp?61704","מנוחת אמת - שבת")</f>
        <v>מנוחת אמת - שבת</v>
      </c>
    </row>
    <row r="23868" spans="1:6" x14ac:dyDescent="0.2">
      <c r="A23868" t="s">
        <v>38342</v>
      </c>
      <c r="B23868" t="s">
        <v>38343</v>
      </c>
      <c r="C23868" t="s">
        <v>26</v>
      </c>
      <c r="D23868" t="s">
        <v>412</v>
      </c>
      <c r="E23868" t="s">
        <v>38344</v>
      </c>
      <c r="F23868" s="2" t="str">
        <f>HYPERLINK("http://www.otzar.org/book.asp?7029","מנוחת אשר - 4 כר'")</f>
        <v>מנוחת אשר - 4 כר'</v>
      </c>
    </row>
    <row r="23869" spans="1:6" x14ac:dyDescent="0.2">
      <c r="A23869" t="s">
        <v>38345</v>
      </c>
      <c r="B23869" t="s">
        <v>38346</v>
      </c>
      <c r="C23869" t="s">
        <v>143</v>
      </c>
      <c r="D23869" t="s">
        <v>1205</v>
      </c>
      <c r="F23869" s="2" t="str">
        <f>HYPERLINK("http://www.otzar.org/book.asp?614718","מנוחת דוד (מהד""ב)")</f>
        <v>מנוחת דוד (מהד"ב)</v>
      </c>
    </row>
    <row r="23870" spans="1:6" x14ac:dyDescent="0.2">
      <c r="A23870" t="s">
        <v>38347</v>
      </c>
      <c r="B23870" t="s">
        <v>38348</v>
      </c>
      <c r="C23870" t="s">
        <v>1448</v>
      </c>
      <c r="D23870" t="s">
        <v>14</v>
      </c>
      <c r="E23870" t="s">
        <v>24</v>
      </c>
      <c r="F23870" s="2" t="str">
        <f>HYPERLINK("http://www.otzar.org/book.asp?161833","מנוחת הנפש השלם - יקרא דחיי")</f>
        <v>מנוחת הנפש השלם - יקרא דחיי</v>
      </c>
    </row>
    <row r="23871" spans="1:6" x14ac:dyDescent="0.2">
      <c r="A23871" t="s">
        <v>38349</v>
      </c>
      <c r="B23871" t="s">
        <v>206</v>
      </c>
      <c r="C23871" t="s">
        <v>103</v>
      </c>
      <c r="D23871" t="s">
        <v>21</v>
      </c>
      <c r="E23871" t="s">
        <v>241</v>
      </c>
      <c r="F23871" s="2" t="str">
        <f>HYPERLINK("http://www.otzar.org/book.asp?191697","מנוחת הנפש")</f>
        <v>מנוחת הנפש</v>
      </c>
    </row>
    <row r="23872" spans="1:6" x14ac:dyDescent="0.2">
      <c r="A23872" t="s">
        <v>38350</v>
      </c>
      <c r="B23872" t="s">
        <v>11585</v>
      </c>
      <c r="C23872" t="s">
        <v>366</v>
      </c>
      <c r="D23872" t="s">
        <v>90</v>
      </c>
      <c r="E23872" t="s">
        <v>15</v>
      </c>
      <c r="F23872" s="2" t="str">
        <f>HYPERLINK("http://www.otzar.org/book.asp?628718","מנוחת יעקב - מקוואות")</f>
        <v>מנוחת יעקב - מקוואות</v>
      </c>
    </row>
    <row r="23873" spans="1:6" x14ac:dyDescent="0.2">
      <c r="A23873" t="s">
        <v>38351</v>
      </c>
      <c r="B23873" t="s">
        <v>38352</v>
      </c>
      <c r="C23873" t="s">
        <v>466</v>
      </c>
      <c r="D23873" t="s">
        <v>14</v>
      </c>
      <c r="E23873" t="s">
        <v>144</v>
      </c>
      <c r="F23873" s="2" t="str">
        <f>HYPERLINK("http://www.otzar.org/book.asp?177112","מנוחת יעקב")</f>
        <v>מנוחת יעקב</v>
      </c>
    </row>
    <row r="23874" spans="1:6" x14ac:dyDescent="0.2">
      <c r="A23874" t="s">
        <v>38353</v>
      </c>
      <c r="B23874" t="s">
        <v>38354</v>
      </c>
      <c r="C23874" t="s">
        <v>533</v>
      </c>
      <c r="D23874" t="s">
        <v>14</v>
      </c>
      <c r="E23874" t="s">
        <v>803</v>
      </c>
      <c r="F23874" s="2" t="str">
        <f>HYPERLINK("http://www.otzar.org/book.asp?148027","מנוחת יעקב - 2 כר'")</f>
        <v>מנוחת יעקב - 2 כר'</v>
      </c>
    </row>
    <row r="23875" spans="1:6" x14ac:dyDescent="0.2">
      <c r="A23875" t="s">
        <v>38355</v>
      </c>
      <c r="B23875" t="s">
        <v>38356</v>
      </c>
      <c r="C23875" t="s">
        <v>129</v>
      </c>
      <c r="D23875" t="s">
        <v>412</v>
      </c>
      <c r="E23875" t="s">
        <v>1211</v>
      </c>
      <c r="F23875" s="2" t="str">
        <f>HYPERLINK("http://www.otzar.org/book.asp?180210","מנוחת משה &lt;מהדורה חדשה&gt; - 2 כר'")</f>
        <v>מנוחת משה &lt;מהדורה חדשה&gt; - 2 כר'</v>
      </c>
    </row>
    <row r="23876" spans="1:6" x14ac:dyDescent="0.2">
      <c r="A23876" t="s">
        <v>38357</v>
      </c>
      <c r="B23876" t="s">
        <v>38356</v>
      </c>
      <c r="C23876" t="s">
        <v>1228</v>
      </c>
      <c r="D23876" t="s">
        <v>379</v>
      </c>
      <c r="E23876" t="s">
        <v>588</v>
      </c>
      <c r="F23876" s="2" t="str">
        <f>HYPERLINK("http://www.otzar.org/book.asp?101073","מנוחת משה")</f>
        <v>מנוחת משה</v>
      </c>
    </row>
    <row r="23877" spans="1:6" x14ac:dyDescent="0.2">
      <c r="A23877" t="s">
        <v>38358</v>
      </c>
      <c r="B23877" t="s">
        <v>38346</v>
      </c>
      <c r="C23877" t="s">
        <v>624</v>
      </c>
      <c r="D23877" t="s">
        <v>1205</v>
      </c>
      <c r="E23877" t="s">
        <v>399</v>
      </c>
      <c r="F23877" s="2" t="str">
        <f>HYPERLINK("http://www.otzar.org/book.asp?189734","מנוחת נסים")</f>
        <v>מנוחת נסים</v>
      </c>
    </row>
    <row r="23878" spans="1:6" x14ac:dyDescent="0.2">
      <c r="A23878" t="s">
        <v>38359</v>
      </c>
      <c r="B23878" t="s">
        <v>16692</v>
      </c>
      <c r="C23878" t="s">
        <v>176</v>
      </c>
      <c r="D23878" t="s">
        <v>14</v>
      </c>
      <c r="E23878" t="s">
        <v>130</v>
      </c>
      <c r="F23878" s="2" t="str">
        <f>HYPERLINK("http://www.otzar.org/book.asp?156171","מנוחת עמי")</f>
        <v>מנוחת עמי</v>
      </c>
    </row>
    <row r="23879" spans="1:6" x14ac:dyDescent="0.2">
      <c r="A23879" t="s">
        <v>38360</v>
      </c>
      <c r="B23879" t="s">
        <v>15057</v>
      </c>
      <c r="C23879" t="s">
        <v>383</v>
      </c>
      <c r="D23879" t="s">
        <v>90</v>
      </c>
      <c r="E23879" t="s">
        <v>213</v>
      </c>
      <c r="F23879" s="2" t="str">
        <f>HYPERLINK("http://www.otzar.org/book.asp?64263","מנוחת שלום")</f>
        <v>מנוחת שלום</v>
      </c>
    </row>
    <row r="23880" spans="1:6" x14ac:dyDescent="0.2">
      <c r="A23880" t="s">
        <v>38360</v>
      </c>
      <c r="B23880" t="s">
        <v>38361</v>
      </c>
      <c r="C23880" t="s">
        <v>1535</v>
      </c>
      <c r="D23880" t="s">
        <v>38362</v>
      </c>
      <c r="E23880" t="s">
        <v>38363</v>
      </c>
      <c r="F23880" s="2" t="str">
        <f>HYPERLINK("http://www.otzar.org/book.asp?144530","מנוחת שלום")</f>
        <v>מנוחת שלום</v>
      </c>
    </row>
    <row r="23881" spans="1:6" x14ac:dyDescent="0.2">
      <c r="A23881" t="s">
        <v>38360</v>
      </c>
      <c r="B23881" t="s">
        <v>2500</v>
      </c>
      <c r="C23881" t="s">
        <v>332</v>
      </c>
      <c r="D23881" t="s">
        <v>412</v>
      </c>
      <c r="E23881" t="s">
        <v>15</v>
      </c>
      <c r="F23881" s="2" t="str">
        <f>HYPERLINK("http://www.otzar.org/book.asp?63235","מנוחת שלום")</f>
        <v>מנוחת שלום</v>
      </c>
    </row>
    <row r="23882" spans="1:6" x14ac:dyDescent="0.2">
      <c r="A23882" t="s">
        <v>38364</v>
      </c>
      <c r="B23882" t="s">
        <v>3166</v>
      </c>
      <c r="C23882" t="s">
        <v>51</v>
      </c>
      <c r="D23882" t="s">
        <v>14</v>
      </c>
      <c r="E23882" t="s">
        <v>803</v>
      </c>
      <c r="F23882" s="2" t="str">
        <f>HYPERLINK("http://www.otzar.org/book.asp?108245","מנוחת שלום - 10 כר'")</f>
        <v>מנוחת שלום - 10 כר'</v>
      </c>
    </row>
    <row r="23883" spans="1:6" x14ac:dyDescent="0.2">
      <c r="A23883" t="s">
        <v>38360</v>
      </c>
      <c r="B23883" t="s">
        <v>38365</v>
      </c>
      <c r="C23883" t="s">
        <v>2644</v>
      </c>
      <c r="D23883" t="s">
        <v>14</v>
      </c>
      <c r="E23883" t="s">
        <v>104</v>
      </c>
      <c r="F23883" s="2" t="str">
        <f>HYPERLINK("http://www.otzar.org/book.asp?84121","מנוחת שלום")</f>
        <v>מנוחת שלום</v>
      </c>
    </row>
    <row r="23884" spans="1:6" x14ac:dyDescent="0.2">
      <c r="A23884" t="s">
        <v>38366</v>
      </c>
      <c r="B23884" t="s">
        <v>38367</v>
      </c>
      <c r="C23884" t="s">
        <v>20</v>
      </c>
      <c r="D23884" t="s">
        <v>14</v>
      </c>
      <c r="E23884" t="s">
        <v>158</v>
      </c>
      <c r="F23884" s="2" t="str">
        <f>HYPERLINK("http://www.otzar.org/book.asp?175953","מנוחתם כבוד")</f>
        <v>מנוחתם כבוד</v>
      </c>
    </row>
    <row r="23885" spans="1:6" x14ac:dyDescent="0.2">
      <c r="A23885" t="s">
        <v>38368</v>
      </c>
      <c r="B23885" t="s">
        <v>38369</v>
      </c>
      <c r="C23885" t="s">
        <v>189</v>
      </c>
      <c r="D23885" t="s">
        <v>412</v>
      </c>
      <c r="E23885" t="s">
        <v>148</v>
      </c>
      <c r="F23885" s="2" t="str">
        <f>HYPERLINK("http://www.otzar.org/book.asp?61600","מנורה הטהורה &lt;מהדורה חדשה&gt; - א")</f>
        <v>מנורה הטהורה &lt;מהדורה חדשה&gt; - א</v>
      </c>
    </row>
    <row r="23886" spans="1:6" x14ac:dyDescent="0.2">
      <c r="A23886" t="s">
        <v>38370</v>
      </c>
      <c r="B23886" t="s">
        <v>38369</v>
      </c>
      <c r="C23886" t="s">
        <v>38371</v>
      </c>
      <c r="D23886" t="s">
        <v>1279</v>
      </c>
      <c r="E23886" t="s">
        <v>172</v>
      </c>
      <c r="F23886" s="2" t="str">
        <f>HYPERLINK("http://www.otzar.org/book.asp?166","מנורה הטהורה")</f>
        <v>מנורה הטהורה</v>
      </c>
    </row>
    <row r="23887" spans="1:6" x14ac:dyDescent="0.2">
      <c r="A23887" t="s">
        <v>38370</v>
      </c>
      <c r="B23887" t="s">
        <v>2553</v>
      </c>
      <c r="C23887" t="s">
        <v>360</v>
      </c>
      <c r="D23887" t="s">
        <v>38372</v>
      </c>
      <c r="E23887" t="s">
        <v>140</v>
      </c>
      <c r="F23887" s="2" t="str">
        <f>HYPERLINK("http://www.otzar.org/book.asp?6752","מנורה הטהורה")</f>
        <v>מנורה הטהורה</v>
      </c>
    </row>
    <row r="23888" spans="1:6" x14ac:dyDescent="0.2">
      <c r="A23888" t="s">
        <v>38373</v>
      </c>
      <c r="B23888" t="s">
        <v>38374</v>
      </c>
      <c r="C23888" t="s">
        <v>71</v>
      </c>
      <c r="D23888" t="s">
        <v>412</v>
      </c>
      <c r="E23888" t="s">
        <v>14089</v>
      </c>
      <c r="F23888" s="2" t="str">
        <f>HYPERLINK("http://www.otzar.org/book.asp?163359","מנורת אהרן")</f>
        <v>מנורת אהרן</v>
      </c>
    </row>
    <row r="23889" spans="1:6" x14ac:dyDescent="0.2">
      <c r="A23889" t="s">
        <v>38375</v>
      </c>
      <c r="B23889" t="s">
        <v>38376</v>
      </c>
      <c r="C23889" t="s">
        <v>1047</v>
      </c>
      <c r="D23889" t="s">
        <v>56</v>
      </c>
      <c r="E23889" t="s">
        <v>8341</v>
      </c>
      <c r="F23889" s="2" t="str">
        <f>HYPERLINK("http://www.otzar.org/book.asp?5726","מנורת בצלאל")</f>
        <v>מנורת בצלאל</v>
      </c>
    </row>
    <row r="23890" spans="1:6" x14ac:dyDescent="0.2">
      <c r="A23890" t="s">
        <v>38375</v>
      </c>
      <c r="B23890" t="s">
        <v>38377</v>
      </c>
      <c r="C23890" t="s">
        <v>103</v>
      </c>
      <c r="D23890" t="s">
        <v>14</v>
      </c>
      <c r="E23890" t="s">
        <v>158</v>
      </c>
      <c r="F23890" s="2" t="str">
        <f>HYPERLINK("http://www.otzar.org/book.asp?63169","מנורת בצלאל")</f>
        <v>מנורת בצלאל</v>
      </c>
    </row>
    <row r="23891" spans="1:6" x14ac:dyDescent="0.2">
      <c r="A23891" t="s">
        <v>38378</v>
      </c>
      <c r="B23891" t="s">
        <v>7608</v>
      </c>
      <c r="C23891" t="s">
        <v>454</v>
      </c>
      <c r="D23891" t="s">
        <v>1180</v>
      </c>
      <c r="E23891" t="s">
        <v>246</v>
      </c>
      <c r="F23891" s="2" t="str">
        <f>HYPERLINK("http://www.otzar.org/book.asp?193551","מנורת הזהב")</f>
        <v>מנורת הזהב</v>
      </c>
    </row>
    <row r="23892" spans="1:6" x14ac:dyDescent="0.2">
      <c r="A23892" t="s">
        <v>38379</v>
      </c>
      <c r="B23892" t="s">
        <v>38380</v>
      </c>
      <c r="C23892" t="s">
        <v>133</v>
      </c>
      <c r="D23892" t="s">
        <v>52</v>
      </c>
      <c r="E23892" t="s">
        <v>15</v>
      </c>
      <c r="F23892" s="2" t="str">
        <f>HYPERLINK("http://www.otzar.org/book.asp?180030","מנורת המאור &lt;נפש יהודה - חק יעקב&gt;")</f>
        <v>מנורת המאור &lt;נפש יהודה - חק יעקב&gt;</v>
      </c>
    </row>
    <row r="23893" spans="1:6" x14ac:dyDescent="0.2">
      <c r="A23893" t="s">
        <v>38381</v>
      </c>
      <c r="B23893" t="s">
        <v>38382</v>
      </c>
      <c r="C23893" t="s">
        <v>38383</v>
      </c>
      <c r="D23893" t="s">
        <v>1490</v>
      </c>
      <c r="E23893" t="s">
        <v>241</v>
      </c>
      <c r="F23893" s="2" t="str">
        <f>HYPERLINK("http://www.otzar.org/book.asp?104042","מנורת המאור &lt;דפו""ר&gt;")</f>
        <v>מנורת המאור &lt;דפו"ר&gt;</v>
      </c>
    </row>
    <row r="23894" spans="1:6" x14ac:dyDescent="0.2">
      <c r="A23894" t="s">
        <v>38384</v>
      </c>
      <c r="B23894" t="s">
        <v>38382</v>
      </c>
      <c r="C23894" t="s">
        <v>13</v>
      </c>
      <c r="D23894" t="s">
        <v>52</v>
      </c>
      <c r="E23894" t="s">
        <v>1626</v>
      </c>
      <c r="F23894" s="2" t="str">
        <f>HYPERLINK("http://www.otzar.org/book.asp?64209","מנורת המאור &lt;לשבתות ומועדים&gt; - בניקוד מסורת תימן")</f>
        <v>מנורת המאור &lt;לשבתות ומועדים&gt; - בניקוד מסורת תימן</v>
      </c>
    </row>
    <row r="23895" spans="1:6" x14ac:dyDescent="0.2">
      <c r="A23895" t="s">
        <v>38385</v>
      </c>
      <c r="B23895" t="s">
        <v>38382</v>
      </c>
      <c r="C23895" t="s">
        <v>1811</v>
      </c>
      <c r="D23895" t="s">
        <v>27</v>
      </c>
      <c r="E23895" t="s">
        <v>5935</v>
      </c>
      <c r="F23895" s="2" t="str">
        <f>HYPERLINK("http://www.otzar.org/book.asp?154214","מנורת המאור &lt;נפש יהודה&gt; - בניקוד מסורת יהודי תימן עם ספר שמח נפש")</f>
        <v>מנורת המאור &lt;נפש יהודה&gt; - בניקוד מסורת יהודי תימן עם ספר שמח נפש</v>
      </c>
    </row>
    <row r="23896" spans="1:6" x14ac:dyDescent="0.2">
      <c r="A23896" t="s">
        <v>38386</v>
      </c>
      <c r="B23896" t="s">
        <v>38387</v>
      </c>
      <c r="C23896" t="s">
        <v>20</v>
      </c>
      <c r="D23896" t="s">
        <v>14</v>
      </c>
      <c r="F23896" s="2" t="str">
        <f>HYPERLINK("http://www.otzar.org/book.asp?617021","מנורת המאור &lt;אלנקאוה - 3 כר'")</f>
        <v>מנורת המאור &lt;אלנקאוה - 3 כר'</v>
      </c>
    </row>
    <row r="23897" spans="1:6" x14ac:dyDescent="0.2">
      <c r="A23897" t="s">
        <v>38388</v>
      </c>
      <c r="B23897" t="s">
        <v>38387</v>
      </c>
      <c r="C23897" t="s">
        <v>38389</v>
      </c>
      <c r="D23897" t="s">
        <v>9</v>
      </c>
      <c r="E23897" t="s">
        <v>213</v>
      </c>
      <c r="F23897" s="2" t="str">
        <f>HYPERLINK("http://www.otzar.org/book.asp?6053","מנורת המאור &lt;אלנקאוה&gt; - 3 כר'")</f>
        <v>מנורת המאור &lt;אלנקאוה&gt; - 3 כר'</v>
      </c>
    </row>
    <row r="23898" spans="1:6" x14ac:dyDescent="0.2">
      <c r="A23898" t="s">
        <v>38390</v>
      </c>
      <c r="B23898" t="s">
        <v>38382</v>
      </c>
      <c r="C23898" t="s">
        <v>16346</v>
      </c>
      <c r="D23898" t="s">
        <v>1411</v>
      </c>
      <c r="E23898" t="s">
        <v>241</v>
      </c>
      <c r="F23898" s="2" t="str">
        <f>HYPERLINK("http://www.otzar.org/book.asp?104202","מנורת המאור - 7 כר'")</f>
        <v>מנורת המאור - 7 כר'</v>
      </c>
    </row>
    <row r="23899" spans="1:6" x14ac:dyDescent="0.2">
      <c r="A23899" t="s">
        <v>38391</v>
      </c>
      <c r="B23899" t="s">
        <v>2822</v>
      </c>
      <c r="C23899" t="s">
        <v>422</v>
      </c>
      <c r="D23899" t="s">
        <v>21</v>
      </c>
      <c r="E23899" t="s">
        <v>104</v>
      </c>
      <c r="F23899" s="2" t="str">
        <f>HYPERLINK("http://www.otzar.org/book.asp?199792","מנורת זהב טהור")</f>
        <v>מנורת זהב טהור</v>
      </c>
    </row>
    <row r="23900" spans="1:6" x14ac:dyDescent="0.2">
      <c r="A23900" t="s">
        <v>38392</v>
      </c>
      <c r="B23900" t="s">
        <v>38393</v>
      </c>
      <c r="C23900" t="s">
        <v>20</v>
      </c>
      <c r="D23900" t="s">
        <v>6853</v>
      </c>
      <c r="E23900" t="s">
        <v>6253</v>
      </c>
      <c r="F23900" s="2" t="str">
        <f>HYPERLINK("http://www.otzar.org/book.asp?627324","מנורת זהב - מזבח הזהב")</f>
        <v>מנורת זהב - מזבח הזהב</v>
      </c>
    </row>
    <row r="23901" spans="1:6" x14ac:dyDescent="0.2">
      <c r="A23901" t="s">
        <v>38394</v>
      </c>
      <c r="B23901" t="s">
        <v>38395</v>
      </c>
      <c r="C23901" t="s">
        <v>111</v>
      </c>
      <c r="D23901" t="s">
        <v>21</v>
      </c>
      <c r="F23901" s="2" t="str">
        <f>HYPERLINK("http://www.otzar.org/book.asp?622943","מנורת זהב - חנוכה")</f>
        <v>מנורת זהב - חנוכה</v>
      </c>
    </row>
    <row r="23902" spans="1:6" x14ac:dyDescent="0.2">
      <c r="A23902" t="s">
        <v>38396</v>
      </c>
      <c r="B23902" t="s">
        <v>23990</v>
      </c>
      <c r="C23902" t="s">
        <v>38397</v>
      </c>
      <c r="D23902" t="s">
        <v>2290</v>
      </c>
      <c r="E23902" t="s">
        <v>104</v>
      </c>
      <c r="F23902" s="2" t="str">
        <f>HYPERLINK("http://www.otzar.org/book.asp?101075","מנורת זכריה")</f>
        <v>מנורת זכריה</v>
      </c>
    </row>
    <row r="23903" spans="1:6" x14ac:dyDescent="0.2">
      <c r="A23903" t="s">
        <v>38396</v>
      </c>
      <c r="B23903" t="s">
        <v>4768</v>
      </c>
      <c r="C23903" t="s">
        <v>1885</v>
      </c>
      <c r="D23903" t="s">
        <v>2276</v>
      </c>
      <c r="F23903" s="2" t="str">
        <f>HYPERLINK("http://www.otzar.org/book.asp?610825","מנורת זכריה")</f>
        <v>מנורת זכריה</v>
      </c>
    </row>
    <row r="23904" spans="1:6" x14ac:dyDescent="0.2">
      <c r="A23904" t="s">
        <v>38398</v>
      </c>
      <c r="B23904" t="s">
        <v>21700</v>
      </c>
      <c r="C23904" t="s">
        <v>114</v>
      </c>
      <c r="D23904" t="s">
        <v>216</v>
      </c>
      <c r="E23904" t="s">
        <v>158</v>
      </c>
      <c r="F23904" s="2" t="str">
        <f>HYPERLINK("http://www.otzar.org/book.asp?191897","מנות אהרן")</f>
        <v>מנות אהרן</v>
      </c>
    </row>
    <row r="23905" spans="1:6" x14ac:dyDescent="0.2">
      <c r="A23905" t="s">
        <v>38399</v>
      </c>
      <c r="B23905" t="s">
        <v>5241</v>
      </c>
      <c r="C23905" t="s">
        <v>624</v>
      </c>
      <c r="D23905" t="s">
        <v>412</v>
      </c>
      <c r="E23905" t="s">
        <v>158</v>
      </c>
      <c r="F23905" s="2" t="str">
        <f>HYPERLINK("http://www.otzar.org/book.asp?171187","מנות הלוי &lt;חצי היריעה - 2 כר'")</f>
        <v>מנות הלוי &lt;חצי היריעה - 2 כר'</v>
      </c>
    </row>
    <row r="23906" spans="1:6" x14ac:dyDescent="0.2">
      <c r="A23906" t="s">
        <v>38400</v>
      </c>
      <c r="B23906" t="s">
        <v>5241</v>
      </c>
      <c r="C23906" t="s">
        <v>13</v>
      </c>
      <c r="D23906" t="s">
        <v>14</v>
      </c>
      <c r="E23906" t="s">
        <v>158</v>
      </c>
      <c r="F23906" s="2" t="str">
        <f>HYPERLINK("http://www.otzar.org/book.asp?178965","מנות הלוי &lt;מהדורה חדשה&gt;")</f>
        <v>מנות הלוי &lt;מהדורה חדשה&gt;</v>
      </c>
    </row>
    <row r="23907" spans="1:6" x14ac:dyDescent="0.2">
      <c r="A23907" t="s">
        <v>38401</v>
      </c>
      <c r="B23907" t="s">
        <v>5241</v>
      </c>
      <c r="C23907" t="s">
        <v>360</v>
      </c>
      <c r="D23907" t="s">
        <v>267</v>
      </c>
      <c r="E23907" t="s">
        <v>957</v>
      </c>
      <c r="F23907" s="2" t="str">
        <f>HYPERLINK("http://www.otzar.org/book.asp?6337","מנות הלוי - 2 כר'")</f>
        <v>מנות הלוי - 2 כר'</v>
      </c>
    </row>
    <row r="23908" spans="1:6" x14ac:dyDescent="0.2">
      <c r="A23908" t="s">
        <v>38402</v>
      </c>
      <c r="B23908" t="s">
        <v>38403</v>
      </c>
      <c r="C23908" t="s">
        <v>422</v>
      </c>
      <c r="D23908" t="s">
        <v>412</v>
      </c>
      <c r="E23908" t="s">
        <v>674</v>
      </c>
      <c r="F23908" s="2" t="str">
        <f>HYPERLINK("http://www.otzar.org/book.asp?159946","מנח יומא")</f>
        <v>מנח יומא</v>
      </c>
    </row>
    <row r="23909" spans="1:6" x14ac:dyDescent="0.2">
      <c r="A23909" t="s">
        <v>38404</v>
      </c>
      <c r="B23909" t="s">
        <v>794</v>
      </c>
      <c r="C23909" t="s">
        <v>38405</v>
      </c>
      <c r="D23909" t="s">
        <v>974</v>
      </c>
      <c r="E23909" t="s">
        <v>234</v>
      </c>
      <c r="F23909" s="2" t="str">
        <f>HYPERLINK("http://www.otzar.org/book.asp?24828","מנחה בלולה בשמן - 6 כר'")</f>
        <v>מנחה בלולה בשמן - 6 כר'</v>
      </c>
    </row>
    <row r="23910" spans="1:6" x14ac:dyDescent="0.2">
      <c r="A23910" t="s">
        <v>38406</v>
      </c>
      <c r="B23910" t="s">
        <v>12872</v>
      </c>
      <c r="C23910" t="s">
        <v>8476</v>
      </c>
      <c r="D23910" t="s">
        <v>1023</v>
      </c>
      <c r="E23910" t="s">
        <v>172</v>
      </c>
      <c r="F23910" s="2" t="str">
        <f>HYPERLINK("http://www.otzar.org/book.asp?85109","מנחה בלולה")</f>
        <v>מנחה בלולה</v>
      </c>
    </row>
    <row r="23911" spans="1:6" x14ac:dyDescent="0.2">
      <c r="A23911" t="s">
        <v>38406</v>
      </c>
      <c r="B23911" t="s">
        <v>38407</v>
      </c>
      <c r="C23911" t="s">
        <v>576</v>
      </c>
      <c r="D23911" t="s">
        <v>6974</v>
      </c>
      <c r="E23911" t="s">
        <v>15</v>
      </c>
      <c r="F23911" s="2" t="str">
        <f>HYPERLINK("http://www.otzar.org/book.asp?163510","מנחה בלולה")</f>
        <v>מנחה בלולה</v>
      </c>
    </row>
    <row r="23912" spans="1:6" x14ac:dyDescent="0.2">
      <c r="A23912" t="s">
        <v>38406</v>
      </c>
      <c r="B23912" t="s">
        <v>6605</v>
      </c>
      <c r="C23912" t="s">
        <v>728</v>
      </c>
      <c r="D23912" t="s">
        <v>56</v>
      </c>
      <c r="E23912" t="s">
        <v>104</v>
      </c>
      <c r="F23912" s="2" t="str">
        <f>HYPERLINK("http://www.otzar.org/book.asp?189387","מנחה בלולה")</f>
        <v>מנחה בלולה</v>
      </c>
    </row>
    <row r="23913" spans="1:6" x14ac:dyDescent="0.2">
      <c r="A23913" t="s">
        <v>38406</v>
      </c>
      <c r="B23913" t="s">
        <v>38408</v>
      </c>
      <c r="C23913" t="s">
        <v>854</v>
      </c>
      <c r="D23913" t="s">
        <v>2181</v>
      </c>
      <c r="E23913" t="s">
        <v>474</v>
      </c>
      <c r="F23913" s="2" t="str">
        <f>HYPERLINK("http://www.otzar.org/book.asp?189376","מנחה בלולה")</f>
        <v>מנחה בלולה</v>
      </c>
    </row>
    <row r="23914" spans="1:6" x14ac:dyDescent="0.2">
      <c r="A23914" t="s">
        <v>38409</v>
      </c>
      <c r="B23914" t="s">
        <v>38410</v>
      </c>
      <c r="C23914" t="s">
        <v>3957</v>
      </c>
      <c r="D23914" t="s">
        <v>4288</v>
      </c>
      <c r="E23914" t="s">
        <v>158</v>
      </c>
      <c r="F23914" s="2" t="str">
        <f>HYPERLINK("http://www.otzar.org/book.asp?623894","מנחה בלולה - דברים")</f>
        <v>מנחה בלולה - דברים</v>
      </c>
    </row>
    <row r="23915" spans="1:6" x14ac:dyDescent="0.2">
      <c r="A23915" t="s">
        <v>38411</v>
      </c>
      <c r="B23915" t="s">
        <v>38412</v>
      </c>
      <c r="C23915" t="s">
        <v>22368</v>
      </c>
      <c r="D23915" t="s">
        <v>15675</v>
      </c>
      <c r="E23915" t="s">
        <v>158</v>
      </c>
      <c r="F23915" s="2" t="str">
        <f>HYPERLINK("http://www.otzar.org/book.asp?102343","מנחה בלולה - 3 כר'")</f>
        <v>מנחה בלולה - 3 כר'</v>
      </c>
    </row>
    <row r="23916" spans="1:6" x14ac:dyDescent="0.2">
      <c r="A23916" t="s">
        <v>38406</v>
      </c>
      <c r="B23916" t="s">
        <v>10757</v>
      </c>
      <c r="C23916" t="s">
        <v>133</v>
      </c>
      <c r="D23916" t="s">
        <v>152</v>
      </c>
      <c r="E23916" t="s">
        <v>1211</v>
      </c>
      <c r="F23916" s="2" t="str">
        <f>HYPERLINK("http://www.otzar.org/book.asp?182990","מנחה בלולה")</f>
        <v>מנחה בלולה</v>
      </c>
    </row>
    <row r="23917" spans="1:6" x14ac:dyDescent="0.2">
      <c r="A23917" t="s">
        <v>38406</v>
      </c>
      <c r="B23917" t="s">
        <v>38413</v>
      </c>
      <c r="C23917" t="s">
        <v>2227</v>
      </c>
      <c r="D23917" t="s">
        <v>56</v>
      </c>
      <c r="E23917" t="s">
        <v>154</v>
      </c>
      <c r="F23917" s="2" t="str">
        <f>HYPERLINK("http://www.otzar.org/book.asp?20127","מנחה בלולה")</f>
        <v>מנחה בלולה</v>
      </c>
    </row>
    <row r="23918" spans="1:6" x14ac:dyDescent="0.2">
      <c r="A23918" t="s">
        <v>38414</v>
      </c>
      <c r="B23918" t="s">
        <v>38415</v>
      </c>
      <c r="C23918" t="s">
        <v>1096</v>
      </c>
      <c r="D23918" t="s">
        <v>563</v>
      </c>
      <c r="E23918" t="s">
        <v>158</v>
      </c>
      <c r="F23918" s="2" t="str">
        <f>HYPERLINK("http://www.otzar.org/book.asp?106369","מנחה חדשה והחזיון")</f>
        <v>מנחה חדשה והחזיון</v>
      </c>
    </row>
    <row r="23919" spans="1:6" x14ac:dyDescent="0.2">
      <c r="A23919" t="s">
        <v>38416</v>
      </c>
      <c r="B23919" t="s">
        <v>38417</v>
      </c>
      <c r="C23919" t="s">
        <v>2076</v>
      </c>
      <c r="D23919" t="s">
        <v>27</v>
      </c>
      <c r="E23919" t="s">
        <v>13629</v>
      </c>
      <c r="F23919" s="2" t="str">
        <f>HYPERLINK("http://www.otzar.org/book.asp?23770","מנחה חדשה על הש""ס")</f>
        <v>מנחה חדשה על הש"ס</v>
      </c>
    </row>
    <row r="23920" spans="1:6" x14ac:dyDescent="0.2">
      <c r="A23920" t="s">
        <v>38418</v>
      </c>
      <c r="B23920" t="s">
        <v>38419</v>
      </c>
      <c r="C23920" t="s">
        <v>17</v>
      </c>
      <c r="D23920" t="s">
        <v>721</v>
      </c>
      <c r="E23920" t="s">
        <v>158</v>
      </c>
      <c r="F23920" s="2" t="str">
        <f>HYPERLINK("http://www.otzar.org/book.asp?174440","מנחה חדשה - 2 כר'")</f>
        <v>מנחה חדשה - 2 כר'</v>
      </c>
    </row>
    <row r="23921" spans="1:6" x14ac:dyDescent="0.2">
      <c r="A23921" t="s">
        <v>38420</v>
      </c>
      <c r="B23921" t="s">
        <v>38421</v>
      </c>
      <c r="C23921" t="s">
        <v>4705</v>
      </c>
      <c r="D23921" t="s">
        <v>267</v>
      </c>
      <c r="E23921" t="s">
        <v>2018</v>
      </c>
      <c r="F23921" s="2" t="str">
        <f>HYPERLINK("http://www.otzar.org/book.asp?24834","מנחה חדשה")</f>
        <v>מנחה חדשה</v>
      </c>
    </row>
    <row r="23922" spans="1:6" x14ac:dyDescent="0.2">
      <c r="A23922" t="s">
        <v>38422</v>
      </c>
      <c r="B23922" t="s">
        <v>38417</v>
      </c>
      <c r="C23922" t="s">
        <v>2076</v>
      </c>
      <c r="D23922" t="s">
        <v>27</v>
      </c>
      <c r="E23922" t="s">
        <v>246</v>
      </c>
      <c r="F23922" s="2" t="str">
        <f>HYPERLINK("http://www.otzar.org/book.asp?182156","מנחה חדשה - 3 כר'")</f>
        <v>מנחה חדשה - 3 כר'</v>
      </c>
    </row>
    <row r="23923" spans="1:6" x14ac:dyDescent="0.2">
      <c r="A23923" t="s">
        <v>38418</v>
      </c>
      <c r="B23923" t="s">
        <v>38423</v>
      </c>
      <c r="C23923" t="s">
        <v>68</v>
      </c>
      <c r="D23923" t="s">
        <v>152</v>
      </c>
      <c r="E23923" t="s">
        <v>172</v>
      </c>
      <c r="F23923" s="2" t="str">
        <f>HYPERLINK("http://www.otzar.org/book.asp?167801","מנחה חדשה - 2 כר'")</f>
        <v>מנחה חדשה - 2 כר'</v>
      </c>
    </row>
    <row r="23924" spans="1:6" x14ac:dyDescent="0.2">
      <c r="A23924" t="s">
        <v>38420</v>
      </c>
      <c r="B23924" t="s">
        <v>38424</v>
      </c>
      <c r="C23924" t="s">
        <v>603</v>
      </c>
      <c r="D23924" t="s">
        <v>283</v>
      </c>
      <c r="E23924" t="s">
        <v>38425</v>
      </c>
      <c r="F23924" s="2" t="str">
        <f>HYPERLINK("http://www.otzar.org/book.asp?200162","מנחה חדשה")</f>
        <v>מנחה חדשה</v>
      </c>
    </row>
    <row r="23925" spans="1:6" x14ac:dyDescent="0.2">
      <c r="A23925" t="s">
        <v>38420</v>
      </c>
      <c r="B23925" t="s">
        <v>38426</v>
      </c>
      <c r="C23925" t="s">
        <v>617</v>
      </c>
      <c r="D23925" t="s">
        <v>2181</v>
      </c>
      <c r="E23925" t="s">
        <v>246</v>
      </c>
      <c r="F23925" s="2" t="str">
        <f>HYPERLINK("http://www.otzar.org/book.asp?20128","מנחה חדשה")</f>
        <v>מנחה חדשה</v>
      </c>
    </row>
    <row r="23926" spans="1:6" x14ac:dyDescent="0.2">
      <c r="A23926" t="s">
        <v>38420</v>
      </c>
      <c r="B23926" t="s">
        <v>38427</v>
      </c>
      <c r="C23926" t="s">
        <v>4266</v>
      </c>
      <c r="D23926" t="s">
        <v>544</v>
      </c>
      <c r="E23926" t="s">
        <v>144</v>
      </c>
      <c r="F23926" s="2" t="str">
        <f>HYPERLINK("http://www.otzar.org/book.asp?19128","מנחה חדשה")</f>
        <v>מנחה חדשה</v>
      </c>
    </row>
    <row r="23927" spans="1:6" x14ac:dyDescent="0.2">
      <c r="A23927" t="s">
        <v>38428</v>
      </c>
      <c r="B23927" t="s">
        <v>38429</v>
      </c>
      <c r="C23927" t="s">
        <v>133</v>
      </c>
      <c r="D23927" t="s">
        <v>245</v>
      </c>
      <c r="E23927" t="s">
        <v>144</v>
      </c>
      <c r="F23927" s="2" t="str">
        <f>HYPERLINK("http://www.otzar.org/book.asp?172921","מנחה חדשה - עירובין")</f>
        <v>מנחה חדשה - עירובין</v>
      </c>
    </row>
    <row r="23928" spans="1:6" x14ac:dyDescent="0.2">
      <c r="A23928" t="s">
        <v>38418</v>
      </c>
      <c r="B23928" t="s">
        <v>38430</v>
      </c>
      <c r="C23928" t="s">
        <v>470</v>
      </c>
      <c r="D23928" t="s">
        <v>5211</v>
      </c>
      <c r="E23928" t="s">
        <v>733</v>
      </c>
      <c r="F23928" s="2" t="str">
        <f>HYPERLINK("http://www.otzar.org/book.asp?9392","מנחה חדשה - 2 כר'")</f>
        <v>מנחה חדשה - 2 כר'</v>
      </c>
    </row>
    <row r="23929" spans="1:6" x14ac:dyDescent="0.2">
      <c r="A23929" t="s">
        <v>38420</v>
      </c>
      <c r="B23929" t="s">
        <v>38431</v>
      </c>
      <c r="C23929" t="s">
        <v>609</v>
      </c>
      <c r="D23929" t="s">
        <v>1538</v>
      </c>
      <c r="E23929" t="s">
        <v>15</v>
      </c>
      <c r="F23929" s="2" t="str">
        <f>HYPERLINK("http://www.otzar.org/book.asp?20129","מנחה חדשה")</f>
        <v>מנחה חדשה</v>
      </c>
    </row>
    <row r="23930" spans="1:6" x14ac:dyDescent="0.2">
      <c r="A23930" t="s">
        <v>38420</v>
      </c>
      <c r="B23930" t="s">
        <v>35437</v>
      </c>
      <c r="C23930" t="s">
        <v>1706</v>
      </c>
      <c r="D23930" t="s">
        <v>5558</v>
      </c>
      <c r="E23930" t="s">
        <v>241</v>
      </c>
      <c r="F23930" s="2" t="str">
        <f>HYPERLINK("http://www.otzar.org/book.asp?191258","מנחה חדשה")</f>
        <v>מנחה חדשה</v>
      </c>
    </row>
    <row r="23931" spans="1:6" x14ac:dyDescent="0.2">
      <c r="A23931" t="s">
        <v>38420</v>
      </c>
      <c r="B23931" t="s">
        <v>6252</v>
      </c>
      <c r="C23931" t="s">
        <v>38432</v>
      </c>
      <c r="D23931" t="s">
        <v>2234</v>
      </c>
      <c r="F23931" s="2" t="str">
        <f>HYPERLINK("http://www.otzar.org/book.asp?621387","מנחה חדשה")</f>
        <v>מנחה חדשה</v>
      </c>
    </row>
    <row r="23932" spans="1:6" x14ac:dyDescent="0.2">
      <c r="A23932" t="s">
        <v>38420</v>
      </c>
      <c r="B23932" t="s">
        <v>38433</v>
      </c>
      <c r="C23932" t="s">
        <v>6895</v>
      </c>
      <c r="D23932" t="s">
        <v>2209</v>
      </c>
      <c r="E23932" t="s">
        <v>172</v>
      </c>
      <c r="F23932" s="2" t="str">
        <f>HYPERLINK("http://www.otzar.org/book.asp?151476","מנחה חדשה")</f>
        <v>מנחה חדשה</v>
      </c>
    </row>
    <row r="23933" spans="1:6" x14ac:dyDescent="0.2">
      <c r="A23933" t="s">
        <v>38434</v>
      </c>
      <c r="B23933" t="s">
        <v>38435</v>
      </c>
      <c r="C23933" t="s">
        <v>1448</v>
      </c>
      <c r="D23933" t="s">
        <v>52</v>
      </c>
      <c r="E23933" t="s">
        <v>148</v>
      </c>
      <c r="F23933" s="2" t="str">
        <f>HYPERLINK("http://www.otzar.org/book.asp?50019","מנחה טהורה")</f>
        <v>מנחה טהורה</v>
      </c>
    </row>
    <row r="23934" spans="1:6" x14ac:dyDescent="0.2">
      <c r="A23934" t="s">
        <v>38436</v>
      </c>
      <c r="B23934" t="s">
        <v>206</v>
      </c>
      <c r="C23934" t="s">
        <v>133</v>
      </c>
      <c r="D23934" t="s">
        <v>52</v>
      </c>
      <c r="E23934" t="s">
        <v>144</v>
      </c>
      <c r="F23934" s="2" t="str">
        <f>HYPERLINK("http://www.otzar.org/book.asp?621999","מנחה טהורה - נדה")</f>
        <v>מנחה טהורה - נדה</v>
      </c>
    </row>
    <row r="23935" spans="1:6" x14ac:dyDescent="0.2">
      <c r="A23935" t="s">
        <v>38434</v>
      </c>
      <c r="B23935" t="s">
        <v>24931</v>
      </c>
      <c r="C23935" t="s">
        <v>2140</v>
      </c>
      <c r="D23935" t="s">
        <v>76</v>
      </c>
      <c r="E23935" t="s">
        <v>920</v>
      </c>
      <c r="F23935" s="2" t="str">
        <f>HYPERLINK("http://www.otzar.org/book.asp?9122","מנחה טהורה")</f>
        <v>מנחה טהורה</v>
      </c>
    </row>
    <row r="23936" spans="1:6" x14ac:dyDescent="0.2">
      <c r="A23936" t="s">
        <v>38434</v>
      </c>
      <c r="B23936" t="s">
        <v>38437</v>
      </c>
      <c r="C23936" t="s">
        <v>422</v>
      </c>
      <c r="D23936" t="s">
        <v>7468</v>
      </c>
      <c r="E23936" t="s">
        <v>119</v>
      </c>
      <c r="F23936" s="2" t="str">
        <f>HYPERLINK("http://www.otzar.org/book.asp?155675","מנחה טהורה")</f>
        <v>מנחה טהורה</v>
      </c>
    </row>
    <row r="23937" spans="1:6" x14ac:dyDescent="0.2">
      <c r="A23937" t="s">
        <v>38438</v>
      </c>
      <c r="B23937" t="s">
        <v>38220</v>
      </c>
      <c r="C23937" t="s">
        <v>143</v>
      </c>
      <c r="D23937" t="s">
        <v>14</v>
      </c>
      <c r="E23937" t="s">
        <v>202</v>
      </c>
      <c r="F23937" s="2" t="str">
        <f>HYPERLINK("http://www.otzar.org/book.asp?143995","מנחה לאי""ש")</f>
        <v>מנחה לאי"ש</v>
      </c>
    </row>
    <row r="23938" spans="1:6" x14ac:dyDescent="0.2">
      <c r="A23938" t="s">
        <v>38439</v>
      </c>
      <c r="B23938" t="s">
        <v>38440</v>
      </c>
      <c r="C23938" t="s">
        <v>422</v>
      </c>
      <c r="D23938" t="s">
        <v>14</v>
      </c>
      <c r="E23938" t="s">
        <v>325</v>
      </c>
      <c r="F23938" s="2" t="str">
        <f>HYPERLINK("http://www.otzar.org/book.asp?161920","מנחה לברוך - 2 כר'")</f>
        <v>מנחה לברוך - 2 כר'</v>
      </c>
    </row>
    <row r="23939" spans="1:6" x14ac:dyDescent="0.2">
      <c r="A23939" t="s">
        <v>38441</v>
      </c>
      <c r="B23939" t="s">
        <v>686</v>
      </c>
      <c r="C23939" t="s">
        <v>129</v>
      </c>
      <c r="D23939" t="s">
        <v>52</v>
      </c>
      <c r="F23939" s="2" t="str">
        <f>HYPERLINK("http://www.otzar.org/book.asp?157157","מנחה לה'")</f>
        <v>מנחה לה'</v>
      </c>
    </row>
    <row r="23940" spans="1:6" x14ac:dyDescent="0.2">
      <c r="A23940" t="s">
        <v>38442</v>
      </c>
      <c r="B23940" t="s">
        <v>38443</v>
      </c>
      <c r="C23940" t="s">
        <v>411</v>
      </c>
      <c r="D23940" t="s">
        <v>52</v>
      </c>
      <c r="E23940" t="s">
        <v>15</v>
      </c>
      <c r="F23940" s="2" t="str">
        <f>HYPERLINK("http://www.otzar.org/book.asp?170947","מנחה לזכרון")</f>
        <v>מנחה לזכרון</v>
      </c>
    </row>
    <row r="23941" spans="1:6" x14ac:dyDescent="0.2">
      <c r="A23941" t="s">
        <v>38444</v>
      </c>
      <c r="B23941" t="s">
        <v>13089</v>
      </c>
      <c r="C23941" t="s">
        <v>68</v>
      </c>
      <c r="D23941" t="s">
        <v>1974</v>
      </c>
      <c r="F23941" s="2" t="str">
        <f>HYPERLINK("http://www.otzar.org/book.asp?193611","מנחה לחיים")</f>
        <v>מנחה לחיים</v>
      </c>
    </row>
    <row r="23942" spans="1:6" x14ac:dyDescent="0.2">
      <c r="A23942" t="s">
        <v>38445</v>
      </c>
      <c r="B23942" t="s">
        <v>38446</v>
      </c>
      <c r="C23942" t="s">
        <v>445</v>
      </c>
      <c r="D23942" t="s">
        <v>6201</v>
      </c>
      <c r="E23942" t="s">
        <v>219</v>
      </c>
      <c r="F23942" s="2" t="str">
        <f>HYPERLINK("http://www.otzar.org/book.asp?619429","מנחה ליעקב")</f>
        <v>מנחה ליעקב</v>
      </c>
    </row>
    <row r="23943" spans="1:6" x14ac:dyDescent="0.2">
      <c r="A23943" t="s">
        <v>38447</v>
      </c>
      <c r="B23943" t="s">
        <v>38448</v>
      </c>
      <c r="C23943" t="s">
        <v>313</v>
      </c>
      <c r="D23943" t="s">
        <v>423</v>
      </c>
      <c r="E23943" t="s">
        <v>104</v>
      </c>
      <c r="F23943" s="2" t="str">
        <f>HYPERLINK("http://www.otzar.org/book.asp?190888","מנחה ליצחק")</f>
        <v>מנחה ליצחק</v>
      </c>
    </row>
    <row r="23944" spans="1:6" x14ac:dyDescent="0.2">
      <c r="A23944" t="s">
        <v>38449</v>
      </c>
      <c r="B23944" t="s">
        <v>38450</v>
      </c>
      <c r="C23944" t="s">
        <v>151</v>
      </c>
      <c r="D23944" t="s">
        <v>80</v>
      </c>
      <c r="F23944" s="2" t="str">
        <f>HYPERLINK("http://www.otzar.org/book.asp?610156","מנחה לשמי")</f>
        <v>מנחה לשמי</v>
      </c>
    </row>
    <row r="23945" spans="1:6" x14ac:dyDescent="0.2">
      <c r="A23945" t="s">
        <v>38451</v>
      </c>
      <c r="B23945" t="s">
        <v>38452</v>
      </c>
      <c r="C23945" t="s">
        <v>17</v>
      </c>
      <c r="D23945" t="s">
        <v>412</v>
      </c>
      <c r="E23945" t="s">
        <v>803</v>
      </c>
      <c r="F23945" s="2" t="str">
        <f>HYPERLINK("http://www.otzar.org/book.asp?160466","מנחה עריבה")</f>
        <v>מנחה עריבה</v>
      </c>
    </row>
    <row r="23946" spans="1:6" x14ac:dyDescent="0.2">
      <c r="A23946" t="s">
        <v>38453</v>
      </c>
      <c r="B23946" t="s">
        <v>38454</v>
      </c>
      <c r="C23946" t="s">
        <v>438</v>
      </c>
      <c r="D23946" t="s">
        <v>216</v>
      </c>
      <c r="E23946" t="s">
        <v>104</v>
      </c>
      <c r="F23946" s="2" t="str">
        <f>HYPERLINK("http://www.otzar.org/book.asp?158950","מנחה קטנה")</f>
        <v>מנחה קטנה</v>
      </c>
    </row>
    <row r="23947" spans="1:6" x14ac:dyDescent="0.2">
      <c r="A23947" t="s">
        <v>38453</v>
      </c>
      <c r="B23947" t="s">
        <v>38455</v>
      </c>
      <c r="C23947" t="s">
        <v>11383</v>
      </c>
      <c r="D23947" t="s">
        <v>1023</v>
      </c>
      <c r="E23947" t="s">
        <v>158</v>
      </c>
      <c r="F23947" s="2" t="str">
        <f>HYPERLINK("http://www.otzar.org/book.asp?103529","מנחה קטנה")</f>
        <v>מנחה קטנה</v>
      </c>
    </row>
    <row r="23948" spans="1:6" x14ac:dyDescent="0.2">
      <c r="A23948" t="s">
        <v>38456</v>
      </c>
      <c r="B23948" t="s">
        <v>38457</v>
      </c>
      <c r="C23948" t="s">
        <v>244</v>
      </c>
      <c r="D23948" t="s">
        <v>38458</v>
      </c>
      <c r="E23948" t="s">
        <v>158</v>
      </c>
      <c r="F23948" s="2" t="str">
        <f>HYPERLINK("http://www.otzar.org/book.asp?606287","מנחה קטנה - 2 כר'")</f>
        <v>מנחה קטנה - 2 כר'</v>
      </c>
    </row>
    <row r="23949" spans="1:6" x14ac:dyDescent="0.2">
      <c r="A23949" t="s">
        <v>38453</v>
      </c>
      <c r="B23949" t="s">
        <v>38459</v>
      </c>
      <c r="C23949" t="s">
        <v>5903</v>
      </c>
      <c r="D23949" t="s">
        <v>27770</v>
      </c>
      <c r="E23949" t="s">
        <v>1880</v>
      </c>
      <c r="F23949" s="2" t="str">
        <f>HYPERLINK("http://www.otzar.org/book.asp?20130","מנחה קטנה")</f>
        <v>מנחה קטנה</v>
      </c>
    </row>
    <row r="23950" spans="1:6" x14ac:dyDescent="0.2">
      <c r="A23950" t="s">
        <v>38460</v>
      </c>
      <c r="B23950" t="s">
        <v>1838</v>
      </c>
      <c r="C23950" t="s">
        <v>68</v>
      </c>
      <c r="D23950" t="s">
        <v>14</v>
      </c>
      <c r="E23950" t="s">
        <v>158</v>
      </c>
      <c r="F23950" s="2" t="str">
        <f>HYPERLINK("http://www.otzar.org/book.asp?155497","מנחה שלוחה - 39 כר'")</f>
        <v>מנחה שלוחה - 39 כר'</v>
      </c>
    </row>
    <row r="23951" spans="1:6" x14ac:dyDescent="0.2">
      <c r="A23951" t="s">
        <v>38461</v>
      </c>
      <c r="B23951" t="s">
        <v>38462</v>
      </c>
      <c r="C23951" t="s">
        <v>17</v>
      </c>
      <c r="D23951" t="s">
        <v>52</v>
      </c>
      <c r="E23951" t="s">
        <v>15</v>
      </c>
      <c r="F23951" s="2" t="str">
        <f>HYPERLINK("http://www.otzar.org/book.asp?61671","מנחה שלוחה - 2 כר'")</f>
        <v>מנחה שלוחה - 2 כר'</v>
      </c>
    </row>
    <row r="23952" spans="1:6" x14ac:dyDescent="0.2">
      <c r="A23952" t="s">
        <v>38463</v>
      </c>
      <c r="B23952" t="s">
        <v>5797</v>
      </c>
      <c r="C23952" t="s">
        <v>20</v>
      </c>
      <c r="D23952" t="s">
        <v>5798</v>
      </c>
      <c r="E23952" t="s">
        <v>9828</v>
      </c>
      <c r="F23952" s="2" t="str">
        <f>HYPERLINK("http://www.otzar.org/book.asp?145362","מנחה שלוחה")</f>
        <v>מנחה שלוחה</v>
      </c>
    </row>
    <row r="23953" spans="1:6" x14ac:dyDescent="0.2">
      <c r="A23953" t="s">
        <v>38464</v>
      </c>
      <c r="B23953" t="s">
        <v>35375</v>
      </c>
      <c r="C23953" t="s">
        <v>17448</v>
      </c>
      <c r="D23953" t="s">
        <v>8167</v>
      </c>
      <c r="E23953" t="s">
        <v>1438</v>
      </c>
      <c r="F23953" s="2" t="str">
        <f>HYPERLINK("http://www.otzar.org/book.asp?5168","מנחות יעקב סלת")</f>
        <v>מנחות יעקב סלת</v>
      </c>
    </row>
    <row r="23954" spans="1:6" x14ac:dyDescent="0.2">
      <c r="A23954" t="s">
        <v>38465</v>
      </c>
      <c r="B23954" t="s">
        <v>38466</v>
      </c>
      <c r="C23954" t="s">
        <v>38467</v>
      </c>
      <c r="D23954" t="s">
        <v>38468</v>
      </c>
      <c r="F23954" s="2" t="str">
        <f>HYPERLINK("http://www.otzar.org/book.asp?626448","מנחיל אמונה")</f>
        <v>מנחיל אמונה</v>
      </c>
    </row>
    <row r="23955" spans="1:6" x14ac:dyDescent="0.2">
      <c r="A23955" t="s">
        <v>38469</v>
      </c>
      <c r="B23955" t="s">
        <v>24262</v>
      </c>
      <c r="C23955" t="s">
        <v>10572</v>
      </c>
      <c r="D23955" t="s">
        <v>2290</v>
      </c>
      <c r="E23955" t="s">
        <v>435</v>
      </c>
      <c r="F23955" s="2" t="str">
        <f>HYPERLINK("http://www.otzar.org/book.asp?19222","מנחיל יעקב")</f>
        <v>מנחיל יעקב</v>
      </c>
    </row>
    <row r="23956" spans="1:6" x14ac:dyDescent="0.2">
      <c r="A23956" t="s">
        <v>38470</v>
      </c>
      <c r="B23956" t="s">
        <v>38471</v>
      </c>
      <c r="C23956" t="s">
        <v>133</v>
      </c>
      <c r="D23956" t="s">
        <v>14</v>
      </c>
      <c r="E23956" t="s">
        <v>15</v>
      </c>
      <c r="F23956" s="2" t="str">
        <f>HYPERLINK("http://www.otzar.org/book.asp?182461","מנחם אבלים &lt;ליצחק ריח&gt;")</f>
        <v>מנחם אבלים &lt;ליצחק ריח&gt;</v>
      </c>
    </row>
    <row r="23957" spans="1:6" x14ac:dyDescent="0.2">
      <c r="A23957" t="s">
        <v>38472</v>
      </c>
      <c r="B23957" t="s">
        <v>38473</v>
      </c>
      <c r="C23957" t="s">
        <v>433</v>
      </c>
      <c r="D23957" t="s">
        <v>260</v>
      </c>
      <c r="E23957" t="s">
        <v>24</v>
      </c>
      <c r="F23957" s="2" t="str">
        <f>HYPERLINK("http://www.otzar.org/book.asp?178881","מנחם אבלים")</f>
        <v>מנחם אבלים</v>
      </c>
    </row>
    <row r="23958" spans="1:6" x14ac:dyDescent="0.2">
      <c r="A23958" t="s">
        <v>38472</v>
      </c>
      <c r="B23958" t="s">
        <v>7381</v>
      </c>
      <c r="C23958" t="s">
        <v>156</v>
      </c>
      <c r="D23958" t="s">
        <v>157</v>
      </c>
      <c r="E23958" t="s">
        <v>674</v>
      </c>
      <c r="F23958" s="2" t="str">
        <f>HYPERLINK("http://www.otzar.org/book.asp?20131","מנחם אבלים")</f>
        <v>מנחם אבלים</v>
      </c>
    </row>
    <row r="23959" spans="1:6" x14ac:dyDescent="0.2">
      <c r="A23959" t="s">
        <v>38474</v>
      </c>
      <c r="B23959" t="s">
        <v>38475</v>
      </c>
      <c r="C23959" t="s">
        <v>767</v>
      </c>
      <c r="D23959" t="s">
        <v>21</v>
      </c>
      <c r="E23959" t="s">
        <v>158</v>
      </c>
      <c r="F23959" s="2" t="str">
        <f>HYPERLINK("http://www.otzar.org/book.asp?195015","מנחם משיב נפש - 8 כר'")</f>
        <v>מנחם משיב נפש - 8 כר'</v>
      </c>
    </row>
    <row r="23960" spans="1:6" x14ac:dyDescent="0.2">
      <c r="A23960" t="s">
        <v>38476</v>
      </c>
      <c r="B23960" t="s">
        <v>38477</v>
      </c>
      <c r="C23960" t="s">
        <v>38478</v>
      </c>
      <c r="D23960" t="s">
        <v>267</v>
      </c>
      <c r="E23960" t="s">
        <v>38479</v>
      </c>
      <c r="F23960" s="2" t="str">
        <f>HYPERLINK("http://www.otzar.org/book.asp?16409","מנחם משיב נפש - 3 כר'")</f>
        <v>מנחם משיב נפש - 3 כר'</v>
      </c>
    </row>
    <row r="23961" spans="1:6" x14ac:dyDescent="0.2">
      <c r="A23961" t="s">
        <v>38480</v>
      </c>
      <c r="B23961" t="s">
        <v>552</v>
      </c>
      <c r="C23961" t="s">
        <v>133</v>
      </c>
      <c r="D23961" t="s">
        <v>118</v>
      </c>
      <c r="E23961" t="s">
        <v>3790</v>
      </c>
      <c r="F23961" s="2" t="str">
        <f>HYPERLINK("http://www.otzar.org/book.asp?177030","מנחם משיב נפש")</f>
        <v>מנחם משיב נפש</v>
      </c>
    </row>
    <row r="23962" spans="1:6" x14ac:dyDescent="0.2">
      <c r="A23962" t="s">
        <v>38481</v>
      </c>
      <c r="B23962" t="s">
        <v>1712</v>
      </c>
      <c r="C23962" t="s">
        <v>3690</v>
      </c>
      <c r="D23962" t="s">
        <v>379</v>
      </c>
      <c r="E23962" t="s">
        <v>38482</v>
      </c>
      <c r="F23962" s="2" t="str">
        <f>HYPERLINK("http://www.otzar.org/book.asp?105954","מנחם משיב נפשי ציון ובונה ירושלים צדק צדקה צדיק")</f>
        <v>מנחם משיב נפשי ציון ובונה ירושלים צדק צדקה צדיק</v>
      </c>
    </row>
    <row r="23963" spans="1:6" x14ac:dyDescent="0.2">
      <c r="A23963" t="s">
        <v>38483</v>
      </c>
      <c r="B23963" t="s">
        <v>552</v>
      </c>
      <c r="C23963" t="s">
        <v>785</v>
      </c>
      <c r="D23963" t="s">
        <v>21</v>
      </c>
      <c r="E23963" t="s">
        <v>202</v>
      </c>
      <c r="F23963" s="2" t="str">
        <f>HYPERLINK("http://www.otzar.org/book.asp?190166","מנחם משיב נפשי")</f>
        <v>מנחם משיב נפשי</v>
      </c>
    </row>
    <row r="23964" spans="1:6" x14ac:dyDescent="0.2">
      <c r="A23964" t="s">
        <v>38484</v>
      </c>
      <c r="B23964" t="s">
        <v>38485</v>
      </c>
      <c r="C23964" t="s">
        <v>129</v>
      </c>
      <c r="D23964" t="s">
        <v>14</v>
      </c>
      <c r="E23964" t="s">
        <v>933</v>
      </c>
      <c r="F23964" s="2" t="str">
        <f>HYPERLINK("http://www.otzar.org/book.asp?154144","מנחם משיב")</f>
        <v>מנחם משיב</v>
      </c>
    </row>
    <row r="23965" spans="1:6" x14ac:dyDescent="0.2">
      <c r="A23965" t="s">
        <v>38484</v>
      </c>
      <c r="B23965" t="s">
        <v>19609</v>
      </c>
      <c r="C23965" t="s">
        <v>1811</v>
      </c>
      <c r="D23965" t="s">
        <v>14</v>
      </c>
      <c r="F23965" s="2" t="str">
        <f>HYPERLINK("http://www.otzar.org/book.asp?183164","מנחם משיב")</f>
        <v>מנחם משיב</v>
      </c>
    </row>
    <row r="23966" spans="1:6" x14ac:dyDescent="0.2">
      <c r="A23966" t="s">
        <v>38486</v>
      </c>
      <c r="B23966" t="s">
        <v>38487</v>
      </c>
      <c r="C23966" t="s">
        <v>15999</v>
      </c>
      <c r="D23966" t="s">
        <v>726</v>
      </c>
      <c r="E23966" t="s">
        <v>154</v>
      </c>
      <c r="F23966" s="2" t="str">
        <f>HYPERLINK("http://www.otzar.org/book.asp?51676","מנחם משיב - 2 כר'")</f>
        <v>מנחם משיב - 2 כר'</v>
      </c>
    </row>
    <row r="23967" spans="1:6" x14ac:dyDescent="0.2">
      <c r="A23967" t="s">
        <v>38488</v>
      </c>
      <c r="B23967" t="s">
        <v>38489</v>
      </c>
      <c r="C23967" t="s">
        <v>306</v>
      </c>
      <c r="D23967" t="s">
        <v>1008</v>
      </c>
      <c r="F23967" s="2" t="str">
        <f>HYPERLINK("http://www.otzar.org/book.asp?150161","מנחם צבי")</f>
        <v>מנחם צבי</v>
      </c>
    </row>
    <row r="23968" spans="1:6" x14ac:dyDescent="0.2">
      <c r="A23968" t="s">
        <v>38490</v>
      </c>
      <c r="B23968" t="s">
        <v>5227</v>
      </c>
      <c r="C23968" t="s">
        <v>103</v>
      </c>
      <c r="D23968" t="s">
        <v>52</v>
      </c>
      <c r="E23968" t="s">
        <v>2862</v>
      </c>
      <c r="F23968" s="2" t="str">
        <f>HYPERLINK("http://www.otzar.org/book.asp?21843","מנחם ציון השלם - עם הגהות הצבי והצדק")</f>
        <v>מנחם ציון השלם - עם הגהות הצבי והצדק</v>
      </c>
    </row>
    <row r="23969" spans="1:6" x14ac:dyDescent="0.2">
      <c r="A23969" t="s">
        <v>38491</v>
      </c>
      <c r="B23969" t="s">
        <v>38492</v>
      </c>
      <c r="C23969" t="s">
        <v>124</v>
      </c>
      <c r="D23969" t="s">
        <v>14</v>
      </c>
      <c r="E23969" t="s">
        <v>158</v>
      </c>
      <c r="F23969" s="2" t="str">
        <f>HYPERLINK("http://www.otzar.org/book.asp?158914","מנחם ציון - 3 כר'")</f>
        <v>מנחם ציון - 3 כר'</v>
      </c>
    </row>
    <row r="23970" spans="1:6" x14ac:dyDescent="0.2">
      <c r="A23970" t="s">
        <v>38493</v>
      </c>
      <c r="B23970" t="s">
        <v>8973</v>
      </c>
      <c r="C23970" t="s">
        <v>748</v>
      </c>
      <c r="D23970" t="s">
        <v>56</v>
      </c>
      <c r="E23970" t="s">
        <v>234</v>
      </c>
      <c r="F23970" s="2" t="str">
        <f>HYPERLINK("http://www.otzar.org/book.asp?21493","מנחם ציון")</f>
        <v>מנחם ציון</v>
      </c>
    </row>
    <row r="23971" spans="1:6" x14ac:dyDescent="0.2">
      <c r="A23971" t="s">
        <v>38493</v>
      </c>
      <c r="B23971" t="s">
        <v>38494</v>
      </c>
      <c r="C23971" t="s">
        <v>1718</v>
      </c>
      <c r="D23971" t="s">
        <v>1117</v>
      </c>
      <c r="E23971" t="s">
        <v>38495</v>
      </c>
      <c r="F23971" s="2" t="str">
        <f>HYPERLINK("http://www.otzar.org/book.asp?15798","מנחם ציון")</f>
        <v>מנחם ציון</v>
      </c>
    </row>
    <row r="23972" spans="1:6" x14ac:dyDescent="0.2">
      <c r="A23972" t="s">
        <v>38496</v>
      </c>
      <c r="B23972" t="s">
        <v>5227</v>
      </c>
      <c r="C23972" t="s">
        <v>26</v>
      </c>
      <c r="D23972" t="s">
        <v>14</v>
      </c>
      <c r="E23972" t="s">
        <v>38497</v>
      </c>
      <c r="F23972" s="2" t="str">
        <f>HYPERLINK("http://www.otzar.org/book.asp?14256","מנחם ציון - 2 כר'")</f>
        <v>מנחם ציון - 2 כר'</v>
      </c>
    </row>
    <row r="23973" spans="1:6" x14ac:dyDescent="0.2">
      <c r="A23973" t="s">
        <v>38498</v>
      </c>
      <c r="B23973" t="s">
        <v>5227</v>
      </c>
      <c r="C23973" t="s">
        <v>129</v>
      </c>
      <c r="D23973" t="s">
        <v>14</v>
      </c>
      <c r="E23973" t="s">
        <v>579</v>
      </c>
      <c r="F23973" s="2" t="str">
        <f>HYPERLINK("http://www.otzar.org/book.asp?620762","מנחם ציון, ילקוט מנחם &lt;מהדורה חדשה&gt;")</f>
        <v>מנחם ציון, ילקוט מנחם &lt;מהדורה חדשה&gt;</v>
      </c>
    </row>
    <row r="23974" spans="1:6" x14ac:dyDescent="0.2">
      <c r="A23974" t="s">
        <v>38499</v>
      </c>
      <c r="B23974" t="s">
        <v>38500</v>
      </c>
      <c r="C23974" t="s">
        <v>800</v>
      </c>
      <c r="D23974" t="s">
        <v>38501</v>
      </c>
      <c r="E23974" t="s">
        <v>144</v>
      </c>
      <c r="F23974" s="2" t="str">
        <f>HYPERLINK("http://www.otzar.org/book.asp?626376","מנחם שלמה")</f>
        <v>מנחם שלמה</v>
      </c>
    </row>
    <row r="23975" spans="1:6" x14ac:dyDescent="0.2">
      <c r="A23975" t="s">
        <v>38502</v>
      </c>
      <c r="B23975" t="s">
        <v>12579</v>
      </c>
      <c r="C23975" t="s">
        <v>38503</v>
      </c>
      <c r="D23975" t="s">
        <v>12052</v>
      </c>
      <c r="E23975" t="s">
        <v>714</v>
      </c>
      <c r="F23975" s="2" t="str">
        <f>HYPERLINK("http://www.otzar.org/book.asp?188624","מנחם שמו")</f>
        <v>מנחם שמו</v>
      </c>
    </row>
    <row r="23976" spans="1:6" x14ac:dyDescent="0.2">
      <c r="A23976" t="s">
        <v>38504</v>
      </c>
      <c r="B23976" t="s">
        <v>107</v>
      </c>
      <c r="C23976" t="s">
        <v>624</v>
      </c>
      <c r="D23976" t="s">
        <v>14</v>
      </c>
      <c r="E23976" t="s">
        <v>119</v>
      </c>
      <c r="F23976" s="2" t="str">
        <f>HYPERLINK("http://www.otzar.org/book.asp?148250","מנחש צפע עד נשל הנחש")</f>
        <v>מנחש צפע עד נשל הנחש</v>
      </c>
    </row>
    <row r="23977" spans="1:6" x14ac:dyDescent="0.2">
      <c r="A23977" t="s">
        <v>38505</v>
      </c>
      <c r="B23977" t="s">
        <v>10092</v>
      </c>
      <c r="C23977" t="s">
        <v>133</v>
      </c>
      <c r="D23977" t="s">
        <v>14</v>
      </c>
      <c r="E23977" t="s">
        <v>202</v>
      </c>
      <c r="F23977" s="2" t="str">
        <f>HYPERLINK("http://www.otzar.org/book.asp?174594","מנחת אב")</f>
        <v>מנחת אב</v>
      </c>
    </row>
    <row r="23978" spans="1:6" x14ac:dyDescent="0.2">
      <c r="A23978" t="s">
        <v>38506</v>
      </c>
      <c r="B23978" t="s">
        <v>38507</v>
      </c>
      <c r="C23978" t="s">
        <v>1208</v>
      </c>
      <c r="D23978" t="s">
        <v>2531</v>
      </c>
      <c r="F23978" s="2" t="str">
        <f>HYPERLINK("http://www.otzar.org/book.asp?153330","מנחת אביב")</f>
        <v>מנחת אביב</v>
      </c>
    </row>
    <row r="23979" spans="1:6" x14ac:dyDescent="0.2">
      <c r="A23979" t="s">
        <v>38506</v>
      </c>
      <c r="B23979" t="s">
        <v>38508</v>
      </c>
      <c r="C23979" t="s">
        <v>37</v>
      </c>
      <c r="D23979" t="s">
        <v>21</v>
      </c>
      <c r="E23979" t="s">
        <v>803</v>
      </c>
      <c r="F23979" s="2" t="str">
        <f>HYPERLINK("http://www.otzar.org/book.asp?192377","מנחת אביב")</f>
        <v>מנחת אביב</v>
      </c>
    </row>
    <row r="23980" spans="1:6" x14ac:dyDescent="0.2">
      <c r="A23980" t="s">
        <v>38509</v>
      </c>
      <c r="B23980" t="s">
        <v>38510</v>
      </c>
      <c r="C23980" t="s">
        <v>609</v>
      </c>
      <c r="D23980" t="s">
        <v>3293</v>
      </c>
      <c r="E23980" t="s">
        <v>467</v>
      </c>
      <c r="F23980" s="2" t="str">
        <f>HYPERLINK("http://www.otzar.org/book.asp?179312","מנחת אברהם יוסף")</f>
        <v>מנחת אברהם יוסף</v>
      </c>
    </row>
    <row r="23981" spans="1:6" x14ac:dyDescent="0.2">
      <c r="A23981" t="s">
        <v>38511</v>
      </c>
      <c r="B23981" t="s">
        <v>38512</v>
      </c>
      <c r="C23981" t="s">
        <v>411</v>
      </c>
      <c r="D23981" t="s">
        <v>52</v>
      </c>
      <c r="E23981" t="s">
        <v>144</v>
      </c>
      <c r="F23981" s="2" t="str">
        <f>HYPERLINK("http://www.otzar.org/book.asp?173541","מנחת אברהם - 11 כר'")</f>
        <v>מנחת אברהם - 11 כר'</v>
      </c>
    </row>
    <row r="23982" spans="1:6" x14ac:dyDescent="0.2">
      <c r="A23982" t="s">
        <v>38513</v>
      </c>
      <c r="B23982" t="s">
        <v>38514</v>
      </c>
      <c r="C23982" t="s">
        <v>362</v>
      </c>
      <c r="D23982" t="s">
        <v>212</v>
      </c>
      <c r="E23982" t="s">
        <v>474</v>
      </c>
      <c r="F23982" s="2" t="str">
        <f>HYPERLINK("http://www.otzar.org/book.asp?22614","מנחת אברהם")</f>
        <v>מנחת אברהם</v>
      </c>
    </row>
    <row r="23983" spans="1:6" x14ac:dyDescent="0.2">
      <c r="A23983" t="s">
        <v>38515</v>
      </c>
      <c r="B23983" t="s">
        <v>17792</v>
      </c>
      <c r="C23983" t="s">
        <v>775</v>
      </c>
      <c r="D23983" t="s">
        <v>14</v>
      </c>
      <c r="E23983" t="s">
        <v>144</v>
      </c>
      <c r="F23983" s="2" t="str">
        <f>HYPERLINK("http://www.otzar.org/book.asp?61290","מנחת אברהם - 4 כר'")</f>
        <v>מנחת אברהם - 4 כר'</v>
      </c>
    </row>
    <row r="23984" spans="1:6" x14ac:dyDescent="0.2">
      <c r="A23984" t="s">
        <v>38516</v>
      </c>
      <c r="B23984" t="s">
        <v>38517</v>
      </c>
      <c r="C23984" t="s">
        <v>1268</v>
      </c>
      <c r="D23984" t="s">
        <v>412</v>
      </c>
      <c r="E23984" t="s">
        <v>154</v>
      </c>
      <c r="F23984" s="2" t="str">
        <f>HYPERLINK("http://www.otzar.org/book.asp?191615","מנחת אברהם - דברי מרדכי")</f>
        <v>מנחת אברהם - דברי מרדכי</v>
      </c>
    </row>
    <row r="23985" spans="1:6" x14ac:dyDescent="0.2">
      <c r="A23985" t="s">
        <v>38518</v>
      </c>
      <c r="B23985" t="s">
        <v>38519</v>
      </c>
      <c r="C23985" t="s">
        <v>224</v>
      </c>
      <c r="D23985" t="s">
        <v>225</v>
      </c>
      <c r="E23985" t="s">
        <v>154</v>
      </c>
      <c r="F23985" s="2" t="str">
        <f>HYPERLINK("http://www.otzar.org/book.asp?20133","מנחת אברהם - א")</f>
        <v>מנחת אברהם - א</v>
      </c>
    </row>
    <row r="23986" spans="1:6" x14ac:dyDescent="0.2">
      <c r="A23986" t="s">
        <v>38513</v>
      </c>
      <c r="B23986" t="s">
        <v>13899</v>
      </c>
      <c r="C23986" t="s">
        <v>38520</v>
      </c>
      <c r="D23986" t="s">
        <v>287</v>
      </c>
      <c r="E23986" t="s">
        <v>674</v>
      </c>
      <c r="F23986" s="2" t="str">
        <f>HYPERLINK("http://www.otzar.org/book.asp?179031","מנחת אברהם")</f>
        <v>מנחת אברהם</v>
      </c>
    </row>
    <row r="23987" spans="1:6" x14ac:dyDescent="0.2">
      <c r="A23987" t="s">
        <v>38521</v>
      </c>
      <c r="B23987" t="s">
        <v>11823</v>
      </c>
      <c r="C23987" t="s">
        <v>17</v>
      </c>
      <c r="D23987" t="s">
        <v>152</v>
      </c>
      <c r="F23987" s="2" t="str">
        <f>HYPERLINK("http://www.otzar.org/book.asp?156882","מנחת אברהם - 3 כר'")</f>
        <v>מנחת אברהם - 3 כר'</v>
      </c>
    </row>
    <row r="23988" spans="1:6" x14ac:dyDescent="0.2">
      <c r="A23988" t="s">
        <v>38522</v>
      </c>
      <c r="B23988" t="s">
        <v>38523</v>
      </c>
      <c r="C23988" t="s">
        <v>176</v>
      </c>
      <c r="D23988" t="s">
        <v>21</v>
      </c>
      <c r="E23988" t="s">
        <v>144</v>
      </c>
      <c r="F23988" s="2" t="str">
        <f>HYPERLINK("http://www.otzar.org/book.asp?199950","מנחת אדם")</f>
        <v>מנחת אדם</v>
      </c>
    </row>
    <row r="23989" spans="1:6" x14ac:dyDescent="0.2">
      <c r="A23989" t="s">
        <v>38524</v>
      </c>
      <c r="B23989" t="s">
        <v>38525</v>
      </c>
      <c r="C23989" t="s">
        <v>1036</v>
      </c>
      <c r="D23989" t="s">
        <v>9091</v>
      </c>
      <c r="E23989" t="s">
        <v>15</v>
      </c>
      <c r="F23989" s="2" t="str">
        <f>HYPERLINK("http://www.otzar.org/book.asp?147162","מנחת אהרן")</f>
        <v>מנחת אהרן</v>
      </c>
    </row>
    <row r="23990" spans="1:6" x14ac:dyDescent="0.2">
      <c r="A23990" t="s">
        <v>38524</v>
      </c>
      <c r="B23990" t="s">
        <v>38526</v>
      </c>
      <c r="C23990" t="s">
        <v>332</v>
      </c>
      <c r="D23990" t="s">
        <v>412</v>
      </c>
      <c r="E23990" t="s">
        <v>8318</v>
      </c>
      <c r="F23990" s="2" t="str">
        <f>HYPERLINK("http://www.otzar.org/book.asp?53735","מנחת אהרן")</f>
        <v>מנחת אהרן</v>
      </c>
    </row>
    <row r="23991" spans="1:6" x14ac:dyDescent="0.2">
      <c r="A23991" t="s">
        <v>38527</v>
      </c>
      <c r="B23991" t="s">
        <v>495</v>
      </c>
      <c r="C23991" t="s">
        <v>38528</v>
      </c>
      <c r="D23991" t="s">
        <v>9</v>
      </c>
      <c r="E23991" t="s">
        <v>10</v>
      </c>
      <c r="F23991" s="2" t="str">
        <f>HYPERLINK("http://www.otzar.org/book.asp?20134","מנחת אהרן - 3 כר'")</f>
        <v>מנחת אהרן - 3 כר'</v>
      </c>
    </row>
    <row r="23992" spans="1:6" x14ac:dyDescent="0.2">
      <c r="A23992" t="s">
        <v>38529</v>
      </c>
      <c r="B23992" t="s">
        <v>38530</v>
      </c>
      <c r="C23992" t="s">
        <v>411</v>
      </c>
      <c r="D23992" t="s">
        <v>245</v>
      </c>
      <c r="E23992" t="s">
        <v>130</v>
      </c>
      <c r="F23992" s="2" t="str">
        <f>HYPERLINK("http://www.otzar.org/book.asp?186845","מנחת אהרן - זכרו תורת משה")</f>
        <v>מנחת אהרן - זכרו תורת משה</v>
      </c>
    </row>
    <row r="23993" spans="1:6" x14ac:dyDescent="0.2">
      <c r="A23993" t="s">
        <v>38531</v>
      </c>
      <c r="B23993" t="s">
        <v>38532</v>
      </c>
      <c r="C23993" t="s">
        <v>38533</v>
      </c>
      <c r="D23993" t="s">
        <v>27</v>
      </c>
      <c r="E23993" t="s">
        <v>16263</v>
      </c>
      <c r="F23993" s="2" t="str">
        <f>HYPERLINK("http://www.otzar.org/book.asp?12012","מנחת אהרן - א")</f>
        <v>מנחת אהרן - א</v>
      </c>
    </row>
    <row r="23994" spans="1:6" x14ac:dyDescent="0.2">
      <c r="A23994" t="s">
        <v>38534</v>
      </c>
      <c r="B23994" t="s">
        <v>12216</v>
      </c>
      <c r="C23994" t="s">
        <v>422</v>
      </c>
      <c r="D23994" t="s">
        <v>14</v>
      </c>
      <c r="E23994" t="s">
        <v>4494</v>
      </c>
      <c r="F23994" s="2" t="str">
        <f>HYPERLINK("http://www.otzar.org/book.asp?149532","מנחת אהרן - 7 כר'")</f>
        <v>מנחת אהרן - 7 כר'</v>
      </c>
    </row>
    <row r="23995" spans="1:6" x14ac:dyDescent="0.2">
      <c r="A23995" t="s">
        <v>38524</v>
      </c>
      <c r="B23995" t="s">
        <v>38535</v>
      </c>
      <c r="C23995" t="s">
        <v>13915</v>
      </c>
      <c r="D23995" t="s">
        <v>14</v>
      </c>
      <c r="E23995" t="s">
        <v>202</v>
      </c>
      <c r="F23995" s="2" t="str">
        <f>HYPERLINK("http://www.otzar.org/book.asp?175838","מנחת אהרן")</f>
        <v>מנחת אהרן</v>
      </c>
    </row>
    <row r="23996" spans="1:6" x14ac:dyDescent="0.2">
      <c r="A23996" t="s">
        <v>38524</v>
      </c>
      <c r="B23996" t="s">
        <v>38536</v>
      </c>
      <c r="C23996" t="s">
        <v>4266</v>
      </c>
      <c r="D23996" t="s">
        <v>1495</v>
      </c>
      <c r="E23996" t="s">
        <v>508</v>
      </c>
      <c r="F23996" s="2" t="str">
        <f>HYPERLINK("http://www.otzar.org/book.asp?101077","מנחת אהרן")</f>
        <v>מנחת אהרן</v>
      </c>
    </row>
    <row r="23997" spans="1:6" x14ac:dyDescent="0.2">
      <c r="A23997" t="s">
        <v>38524</v>
      </c>
      <c r="B23997" t="s">
        <v>7265</v>
      </c>
      <c r="C23997" t="s">
        <v>12024</v>
      </c>
      <c r="D23997" t="s">
        <v>49</v>
      </c>
      <c r="E23997" t="s">
        <v>15</v>
      </c>
      <c r="F23997" s="2" t="str">
        <f>HYPERLINK("http://www.otzar.org/book.asp?843","מנחת אהרן")</f>
        <v>מנחת אהרן</v>
      </c>
    </row>
    <row r="23998" spans="1:6" x14ac:dyDescent="0.2">
      <c r="A23998" t="s">
        <v>38527</v>
      </c>
      <c r="B23998" t="s">
        <v>38537</v>
      </c>
      <c r="C23998" t="s">
        <v>411</v>
      </c>
      <c r="D23998" t="s">
        <v>14</v>
      </c>
      <c r="E23998" t="s">
        <v>172</v>
      </c>
      <c r="F23998" s="2" t="str">
        <f>HYPERLINK("http://www.otzar.org/book.asp?166516","מנחת אהרן - 3 כר'")</f>
        <v>מנחת אהרן - 3 כר'</v>
      </c>
    </row>
    <row r="23999" spans="1:6" x14ac:dyDescent="0.2">
      <c r="A23999" t="s">
        <v>38524</v>
      </c>
      <c r="B23999" t="s">
        <v>38538</v>
      </c>
      <c r="C23999" t="s">
        <v>26</v>
      </c>
      <c r="D23999" t="s">
        <v>14</v>
      </c>
      <c r="E23999" t="s">
        <v>10711</v>
      </c>
      <c r="F23999" s="2" t="str">
        <f>HYPERLINK("http://www.otzar.org/book.asp?9123","מנחת אהרן")</f>
        <v>מנחת אהרן</v>
      </c>
    </row>
    <row r="24000" spans="1:6" x14ac:dyDescent="0.2">
      <c r="A24000" t="s">
        <v>38539</v>
      </c>
      <c r="B24000" t="s">
        <v>37036</v>
      </c>
      <c r="C24000" t="s">
        <v>103</v>
      </c>
      <c r="D24000" t="s">
        <v>52</v>
      </c>
      <c r="E24000" t="s">
        <v>84</v>
      </c>
      <c r="F24000" s="2" t="str">
        <f>HYPERLINK("http://www.otzar.org/book.asp?28233","מנחת אהרן - 5 כר'")</f>
        <v>מנחת אהרן - 5 כר'</v>
      </c>
    </row>
    <row r="24001" spans="1:6" x14ac:dyDescent="0.2">
      <c r="A24001" t="s">
        <v>38540</v>
      </c>
      <c r="B24001" t="s">
        <v>38426</v>
      </c>
      <c r="C24001" t="s">
        <v>1047</v>
      </c>
      <c r="D24001" t="s">
        <v>2181</v>
      </c>
      <c r="E24001" t="s">
        <v>84</v>
      </c>
      <c r="F24001" s="2" t="str">
        <f>HYPERLINK("http://www.otzar.org/book.asp?51699","מנחת אזכרה")</f>
        <v>מנחת אזכרה</v>
      </c>
    </row>
    <row r="24002" spans="1:6" x14ac:dyDescent="0.2">
      <c r="A24002" t="s">
        <v>38541</v>
      </c>
      <c r="B24002" t="s">
        <v>38542</v>
      </c>
      <c r="C24002" t="s">
        <v>422</v>
      </c>
      <c r="D24002" t="s">
        <v>21</v>
      </c>
      <c r="F24002" s="2" t="str">
        <f>HYPERLINK("http://www.otzar.org/book.asp?608886","מנחת איש - 2 כר'")</f>
        <v>מנחת איש - 2 כר'</v>
      </c>
    </row>
    <row r="24003" spans="1:6" x14ac:dyDescent="0.2">
      <c r="A24003" t="s">
        <v>38543</v>
      </c>
      <c r="B24003" t="s">
        <v>18926</v>
      </c>
      <c r="C24003" t="s">
        <v>151</v>
      </c>
      <c r="D24003" t="s">
        <v>52</v>
      </c>
      <c r="E24003" t="s">
        <v>130</v>
      </c>
      <c r="F24003" s="2" t="str">
        <f>HYPERLINK("http://www.otzar.org/book.asp?621240","מנחת איש - 7 כר'")</f>
        <v>מנחת איש - 7 כר'</v>
      </c>
    </row>
    <row r="24004" spans="1:6" x14ac:dyDescent="0.2">
      <c r="A24004" t="s">
        <v>38541</v>
      </c>
      <c r="B24004" t="s">
        <v>5379</v>
      </c>
      <c r="C24004" t="s">
        <v>189</v>
      </c>
      <c r="D24004" t="s">
        <v>14</v>
      </c>
      <c r="E24004" t="s">
        <v>15</v>
      </c>
      <c r="F24004" s="2" t="str">
        <f>HYPERLINK("http://www.otzar.org/book.asp?148297","מנחת איש - 2 כר'")</f>
        <v>מנחת איש - 2 כר'</v>
      </c>
    </row>
    <row r="24005" spans="1:6" x14ac:dyDescent="0.2">
      <c r="A24005" t="s">
        <v>38544</v>
      </c>
      <c r="B24005" t="s">
        <v>38545</v>
      </c>
      <c r="C24005" t="s">
        <v>422</v>
      </c>
      <c r="D24005" t="s">
        <v>118</v>
      </c>
      <c r="E24005" t="s">
        <v>2071</v>
      </c>
      <c r="F24005" s="2" t="str">
        <f>HYPERLINK("http://www.otzar.org/book.asp?161225","מנחת איתן")</f>
        <v>מנחת איתן</v>
      </c>
    </row>
    <row r="24006" spans="1:6" x14ac:dyDescent="0.2">
      <c r="A24006" t="s">
        <v>38546</v>
      </c>
      <c r="B24006" t="s">
        <v>2443</v>
      </c>
      <c r="C24006" t="s">
        <v>454</v>
      </c>
      <c r="D24006" t="s">
        <v>52</v>
      </c>
      <c r="E24006" t="s">
        <v>803</v>
      </c>
      <c r="F24006" s="2" t="str">
        <f>HYPERLINK("http://www.otzar.org/book.asp?60480","מנחת איתן - א")</f>
        <v>מנחת איתן - א</v>
      </c>
    </row>
    <row r="24007" spans="1:6" x14ac:dyDescent="0.2">
      <c r="A24007" t="s">
        <v>38547</v>
      </c>
      <c r="B24007" t="s">
        <v>38548</v>
      </c>
      <c r="C24007" t="s">
        <v>3739</v>
      </c>
      <c r="D24007" t="s">
        <v>744</v>
      </c>
      <c r="E24007" t="s">
        <v>15</v>
      </c>
      <c r="F24007" s="2" t="str">
        <f>HYPERLINK("http://www.otzar.org/book.asp?147146","מנחת אליה")</f>
        <v>מנחת אליה</v>
      </c>
    </row>
    <row r="24008" spans="1:6" x14ac:dyDescent="0.2">
      <c r="A24008" t="s">
        <v>38549</v>
      </c>
      <c r="B24008" t="s">
        <v>4816</v>
      </c>
      <c r="D24008" t="s">
        <v>412</v>
      </c>
      <c r="F24008" s="2" t="str">
        <f>HYPERLINK("http://www.otzar.org/book.asp?183050","מנחת אליהו &lt;מהדורה חדשה&gt;")</f>
        <v>מנחת אליהו &lt;מהדורה חדשה&gt;</v>
      </c>
    </row>
    <row r="24009" spans="1:6" x14ac:dyDescent="0.2">
      <c r="A24009" t="s">
        <v>38550</v>
      </c>
      <c r="B24009" t="s">
        <v>5622</v>
      </c>
      <c r="C24009" t="s">
        <v>38551</v>
      </c>
      <c r="D24009" t="s">
        <v>100</v>
      </c>
      <c r="E24009" t="s">
        <v>15</v>
      </c>
      <c r="F24009" s="2" t="str">
        <f>HYPERLINK("http://www.otzar.org/book.asp?151635","מנחת אליהו &lt;מתוך בית הילל&gt;")</f>
        <v>מנחת אליהו &lt;מתוך בית הילל&gt;</v>
      </c>
    </row>
    <row r="24010" spans="1:6" x14ac:dyDescent="0.2">
      <c r="A24010" t="s">
        <v>38552</v>
      </c>
      <c r="B24010" t="s">
        <v>1821</v>
      </c>
      <c r="C24010" t="s">
        <v>506</v>
      </c>
      <c r="D24010" t="s">
        <v>27</v>
      </c>
      <c r="E24010" t="s">
        <v>5144</v>
      </c>
      <c r="F24010" s="2" t="str">
        <f>HYPERLINK("http://www.otzar.org/book.asp?999","מנחת אליהו")</f>
        <v>מנחת אליהו</v>
      </c>
    </row>
    <row r="24011" spans="1:6" x14ac:dyDescent="0.2">
      <c r="A24011" t="s">
        <v>38553</v>
      </c>
      <c r="B24011" t="s">
        <v>38554</v>
      </c>
      <c r="C24011" t="s">
        <v>767</v>
      </c>
      <c r="D24011" t="s">
        <v>4519</v>
      </c>
      <c r="E24011" t="s">
        <v>15</v>
      </c>
      <c r="F24011" s="2" t="str">
        <f>HYPERLINK("http://www.otzar.org/book.asp?154183","מנחת אליהו - 2 כר'")</f>
        <v>מנחת אליהו - 2 כר'</v>
      </c>
    </row>
    <row r="24012" spans="1:6" x14ac:dyDescent="0.2">
      <c r="A24012" t="s">
        <v>38555</v>
      </c>
      <c r="B24012" t="s">
        <v>1838</v>
      </c>
      <c r="C24012" t="s">
        <v>114</v>
      </c>
      <c r="D24012" t="s">
        <v>14</v>
      </c>
      <c r="F24012" s="2" t="str">
        <f>HYPERLINK("http://www.otzar.org/book.asp?194246","מנחת אליהו - 14 כר'")</f>
        <v>מנחת אליהו - 14 כר'</v>
      </c>
    </row>
    <row r="24013" spans="1:6" x14ac:dyDescent="0.2">
      <c r="A24013" t="s">
        <v>38556</v>
      </c>
      <c r="B24013" t="s">
        <v>38557</v>
      </c>
      <c r="C24013" t="s">
        <v>151</v>
      </c>
      <c r="D24013" t="s">
        <v>21</v>
      </c>
      <c r="E24013" t="s">
        <v>144</v>
      </c>
      <c r="F24013" s="2" t="str">
        <f>HYPERLINK("http://www.otzar.org/book.asp?620862","מנחת אליהו - 19 כר'")</f>
        <v>מנחת אליהו - 19 כר'</v>
      </c>
    </row>
    <row r="24014" spans="1:6" x14ac:dyDescent="0.2">
      <c r="A24014" t="s">
        <v>38558</v>
      </c>
      <c r="B24014" t="s">
        <v>6020</v>
      </c>
      <c r="C24014" t="s">
        <v>146</v>
      </c>
      <c r="D24014" t="s">
        <v>14</v>
      </c>
      <c r="E24014" t="s">
        <v>154</v>
      </c>
      <c r="F24014" s="2" t="str">
        <f>HYPERLINK("http://www.otzar.org/book.asp?172444","מנחת אליהו - 3 כר'")</f>
        <v>מנחת אליהו - 3 כר'</v>
      </c>
    </row>
    <row r="24015" spans="1:6" x14ac:dyDescent="0.2">
      <c r="A24015" t="s">
        <v>38552</v>
      </c>
      <c r="B24015" t="s">
        <v>38559</v>
      </c>
      <c r="C24015" t="s">
        <v>124</v>
      </c>
      <c r="D24015" t="s">
        <v>52</v>
      </c>
      <c r="E24015" t="s">
        <v>15</v>
      </c>
      <c r="F24015" s="2" t="str">
        <f>HYPERLINK("http://www.otzar.org/book.asp?153733","מנחת אליהו")</f>
        <v>מנחת אליהו</v>
      </c>
    </row>
    <row r="24016" spans="1:6" x14ac:dyDescent="0.2">
      <c r="A24016" t="s">
        <v>38552</v>
      </c>
      <c r="B24016" t="s">
        <v>38560</v>
      </c>
      <c r="C24016" t="s">
        <v>366</v>
      </c>
      <c r="D24016" t="s">
        <v>1840</v>
      </c>
      <c r="E24016" t="s">
        <v>202</v>
      </c>
      <c r="F24016" s="2" t="str">
        <f>HYPERLINK("http://www.otzar.org/book.asp?606721","מנחת אליהו")</f>
        <v>מנחת אליהו</v>
      </c>
    </row>
    <row r="24017" spans="1:6" x14ac:dyDescent="0.2">
      <c r="A24017" t="s">
        <v>38561</v>
      </c>
      <c r="B24017" t="s">
        <v>38562</v>
      </c>
      <c r="C24017" t="s">
        <v>103</v>
      </c>
      <c r="D24017" t="s">
        <v>14</v>
      </c>
      <c r="E24017" t="s">
        <v>186</v>
      </c>
      <c r="F24017" s="2" t="str">
        <f>HYPERLINK("http://www.otzar.org/book.asp?50698","מנחת אליהו - ב""מ")</f>
        <v>מנחת אליהו - ב"מ</v>
      </c>
    </row>
    <row r="24018" spans="1:6" x14ac:dyDescent="0.2">
      <c r="A24018" t="s">
        <v>38558</v>
      </c>
      <c r="B24018" t="s">
        <v>25314</v>
      </c>
      <c r="C24018" t="s">
        <v>1246</v>
      </c>
      <c r="D24018" t="s">
        <v>27</v>
      </c>
      <c r="E24018" t="s">
        <v>148</v>
      </c>
      <c r="F24018" s="2" t="str">
        <f>HYPERLINK("http://www.otzar.org/book.asp?50929","מנחת אליהו - 3 כר'")</f>
        <v>מנחת אליהו - 3 כר'</v>
      </c>
    </row>
    <row r="24019" spans="1:6" x14ac:dyDescent="0.2">
      <c r="A24019" t="s">
        <v>38552</v>
      </c>
      <c r="B24019" t="s">
        <v>5519</v>
      </c>
      <c r="C24019" t="s">
        <v>3246</v>
      </c>
      <c r="D24019" t="s">
        <v>283</v>
      </c>
      <c r="E24019" t="s">
        <v>154</v>
      </c>
      <c r="F24019" s="2" t="str">
        <f>HYPERLINK("http://www.otzar.org/book.asp?20135","מנחת אליהו")</f>
        <v>מנחת אליהו</v>
      </c>
    </row>
    <row r="24020" spans="1:6" x14ac:dyDescent="0.2">
      <c r="A24020" t="s">
        <v>38552</v>
      </c>
      <c r="B24020" t="s">
        <v>28188</v>
      </c>
      <c r="C24020" t="s">
        <v>1062</v>
      </c>
      <c r="D24020" t="s">
        <v>986</v>
      </c>
      <c r="E24020" t="s">
        <v>588</v>
      </c>
      <c r="F24020" s="2" t="str">
        <f>HYPERLINK("http://www.otzar.org/book.asp?102762","מנחת אליהו")</f>
        <v>מנחת אליהו</v>
      </c>
    </row>
    <row r="24021" spans="1:6" x14ac:dyDescent="0.2">
      <c r="A24021" t="s">
        <v>38563</v>
      </c>
      <c r="B24021" t="s">
        <v>38564</v>
      </c>
      <c r="C24021" t="s">
        <v>151</v>
      </c>
      <c r="D24021" t="s">
        <v>115</v>
      </c>
      <c r="E24021" t="s">
        <v>104</v>
      </c>
      <c r="F24021" s="2" t="str">
        <f>HYPERLINK("http://www.otzar.org/book.asp?622199","מנחת אליהו - 5 כר'")</f>
        <v>מנחת אליהו - 5 כר'</v>
      </c>
    </row>
    <row r="24022" spans="1:6" x14ac:dyDescent="0.2">
      <c r="A24022" t="s">
        <v>38553</v>
      </c>
      <c r="B24022" t="s">
        <v>38565</v>
      </c>
      <c r="C24022" t="s">
        <v>244</v>
      </c>
      <c r="D24022" t="s">
        <v>52</v>
      </c>
      <c r="E24022" t="s">
        <v>15</v>
      </c>
      <c r="F24022" s="2" t="str">
        <f>HYPERLINK("http://www.otzar.org/book.asp?627201","מנחת אליהו - 2 כר'")</f>
        <v>מנחת אליהו - 2 כר'</v>
      </c>
    </row>
    <row r="24023" spans="1:6" x14ac:dyDescent="0.2">
      <c r="A24023" t="s">
        <v>38566</v>
      </c>
      <c r="B24023" t="s">
        <v>38567</v>
      </c>
      <c r="C24023" t="s">
        <v>411</v>
      </c>
      <c r="D24023" t="s">
        <v>14</v>
      </c>
      <c r="E24023" t="s">
        <v>172</v>
      </c>
      <c r="F24023" s="2" t="str">
        <f>HYPERLINK("http://www.otzar.org/book.asp?173664","מנחת אלימלך - 5 כר'")</f>
        <v>מנחת אלימלך - 5 כר'</v>
      </c>
    </row>
    <row r="24024" spans="1:6" x14ac:dyDescent="0.2">
      <c r="A24024" t="s">
        <v>38568</v>
      </c>
      <c r="B24024" t="s">
        <v>38569</v>
      </c>
      <c r="C24024" t="s">
        <v>553</v>
      </c>
      <c r="D24024" t="s">
        <v>52</v>
      </c>
      <c r="E24024" t="s">
        <v>508</v>
      </c>
      <c r="F24024" s="2" t="str">
        <f>HYPERLINK("http://www.otzar.org/book.asp?85512","מנחת אלימלך - 3 כר'")</f>
        <v>מנחת אלימלך - 3 כר'</v>
      </c>
    </row>
    <row r="24025" spans="1:6" x14ac:dyDescent="0.2">
      <c r="A24025" t="s">
        <v>38570</v>
      </c>
      <c r="B24025" t="s">
        <v>6154</v>
      </c>
      <c r="C24025" t="s">
        <v>1437</v>
      </c>
      <c r="D24025" t="s">
        <v>726</v>
      </c>
      <c r="E24025" t="s">
        <v>5712</v>
      </c>
      <c r="F24025" s="2" t="str">
        <f>HYPERLINK("http://www.otzar.org/book.asp?172868","מנחת אלימלך")</f>
        <v>מנחת אלימלך</v>
      </c>
    </row>
    <row r="24026" spans="1:6" x14ac:dyDescent="0.2">
      <c r="A24026" t="s">
        <v>38571</v>
      </c>
      <c r="B24026" t="s">
        <v>7681</v>
      </c>
      <c r="C24026" t="s">
        <v>445</v>
      </c>
      <c r="D24026" t="s">
        <v>27</v>
      </c>
      <c r="E24026" t="s">
        <v>399</v>
      </c>
      <c r="F24026" s="2" t="str">
        <f>HYPERLINK("http://www.otzar.org/book.asp?103504","מנחת אליעזר")</f>
        <v>מנחת אליעזר</v>
      </c>
    </row>
    <row r="24027" spans="1:6" x14ac:dyDescent="0.2">
      <c r="A24027" t="s">
        <v>38571</v>
      </c>
      <c r="B24027" t="s">
        <v>15867</v>
      </c>
      <c r="C24027" t="s">
        <v>114</v>
      </c>
      <c r="D24027" t="s">
        <v>14</v>
      </c>
      <c r="E24027" t="s">
        <v>424</v>
      </c>
      <c r="F24027" s="2" t="str">
        <f>HYPERLINK("http://www.otzar.org/book.asp?168315","מנחת אליעזר")</f>
        <v>מנחת אליעזר</v>
      </c>
    </row>
    <row r="24028" spans="1:6" x14ac:dyDescent="0.2">
      <c r="A24028" t="s">
        <v>38572</v>
      </c>
      <c r="B24028" t="s">
        <v>29823</v>
      </c>
      <c r="C24028" t="s">
        <v>37</v>
      </c>
      <c r="D24028" t="s">
        <v>90</v>
      </c>
      <c r="E24028" t="s">
        <v>104</v>
      </c>
      <c r="F24028" s="2" t="str">
        <f>HYPERLINK("http://www.otzar.org/book.asp?193080","מנחת אלעזר")</f>
        <v>מנחת אלעזר</v>
      </c>
    </row>
    <row r="24029" spans="1:6" x14ac:dyDescent="0.2">
      <c r="A24029" t="s">
        <v>38573</v>
      </c>
      <c r="B24029" t="s">
        <v>14446</v>
      </c>
      <c r="C24029" t="s">
        <v>38574</v>
      </c>
      <c r="D24029" t="s">
        <v>379</v>
      </c>
      <c r="E24029" t="s">
        <v>154</v>
      </c>
      <c r="F24029" s="2" t="str">
        <f>HYPERLINK("http://www.otzar.org/book.asp?101078","מנחת אלעזר - 5 כר'")</f>
        <v>מנחת אלעזר - 5 כר'</v>
      </c>
    </row>
    <row r="24030" spans="1:6" x14ac:dyDescent="0.2">
      <c r="A24030" t="s">
        <v>38575</v>
      </c>
      <c r="B24030" t="s">
        <v>38575</v>
      </c>
      <c r="C24030" t="s">
        <v>87</v>
      </c>
      <c r="D24030" t="s">
        <v>14</v>
      </c>
      <c r="E24030" t="s">
        <v>3567</v>
      </c>
      <c r="F24030" s="2" t="str">
        <f>HYPERLINK("http://www.otzar.org/book.asp?12239","מנחת אמת")</f>
        <v>מנחת אמת</v>
      </c>
    </row>
    <row r="24031" spans="1:6" x14ac:dyDescent="0.2">
      <c r="A24031" t="s">
        <v>38576</v>
      </c>
      <c r="B24031" t="s">
        <v>38577</v>
      </c>
      <c r="C24031" t="s">
        <v>366</v>
      </c>
      <c r="D24031" t="s">
        <v>367</v>
      </c>
      <c r="E24031" t="s">
        <v>148</v>
      </c>
      <c r="F24031" s="2" t="str">
        <f>HYPERLINK("http://www.otzar.org/book.asp?615530","מנחת אפרים")</f>
        <v>מנחת אפרים</v>
      </c>
    </row>
    <row r="24032" spans="1:6" x14ac:dyDescent="0.2">
      <c r="A24032" t="s">
        <v>38576</v>
      </c>
      <c r="B24032" t="s">
        <v>38578</v>
      </c>
      <c r="C24032" t="s">
        <v>462</v>
      </c>
      <c r="D24032" t="s">
        <v>225</v>
      </c>
      <c r="E24032" t="s">
        <v>17079</v>
      </c>
      <c r="F24032" s="2" t="str">
        <f>HYPERLINK("http://www.otzar.org/book.asp?20136","מנחת אפרים")</f>
        <v>מנחת אפרים</v>
      </c>
    </row>
    <row r="24033" spans="1:6" x14ac:dyDescent="0.2">
      <c r="A24033" t="s">
        <v>38576</v>
      </c>
      <c r="B24033" t="s">
        <v>552</v>
      </c>
      <c r="C24033" t="s">
        <v>313</v>
      </c>
      <c r="D24033" t="s">
        <v>14</v>
      </c>
      <c r="E24033" t="s">
        <v>202</v>
      </c>
      <c r="F24033" s="2" t="str">
        <f>HYPERLINK("http://www.otzar.org/book.asp?160585","מנחת אפרים")</f>
        <v>מנחת אפרים</v>
      </c>
    </row>
    <row r="24034" spans="1:6" x14ac:dyDescent="0.2">
      <c r="A24034" t="s">
        <v>38579</v>
      </c>
      <c r="B24034" t="s">
        <v>38580</v>
      </c>
      <c r="C24034" t="s">
        <v>129</v>
      </c>
      <c r="D24034" t="s">
        <v>367</v>
      </c>
      <c r="E24034" t="s">
        <v>803</v>
      </c>
      <c r="F24034" s="2" t="str">
        <f>HYPERLINK("http://www.otzar.org/book.asp?60203","מנחת אפרים - ביטול איסור לכתחילה")</f>
        <v>מנחת אפרים - ביטול איסור לכתחילה</v>
      </c>
    </row>
    <row r="24035" spans="1:6" x14ac:dyDescent="0.2">
      <c r="A24035" t="s">
        <v>38581</v>
      </c>
      <c r="B24035" t="s">
        <v>4384</v>
      </c>
      <c r="C24035" t="s">
        <v>767</v>
      </c>
      <c r="D24035" t="s">
        <v>657</v>
      </c>
      <c r="E24035" t="s">
        <v>144</v>
      </c>
      <c r="F24035" s="2" t="str">
        <f>HYPERLINK("http://www.otzar.org/book.asp?22751","מנחת אריאל - 2 כר'")</f>
        <v>מנחת אריאל - 2 כר'</v>
      </c>
    </row>
    <row r="24036" spans="1:6" x14ac:dyDescent="0.2">
      <c r="A24036" t="s">
        <v>38582</v>
      </c>
      <c r="B24036" t="s">
        <v>38583</v>
      </c>
      <c r="C24036" t="s">
        <v>20</v>
      </c>
      <c r="D24036" t="s">
        <v>21</v>
      </c>
      <c r="E24036" t="s">
        <v>144</v>
      </c>
      <c r="F24036" s="2" t="str">
        <f>HYPERLINK("http://www.otzar.org/book.asp?602065","מנחת אריה")</f>
        <v>מנחת אריה</v>
      </c>
    </row>
    <row r="24037" spans="1:6" x14ac:dyDescent="0.2">
      <c r="A24037" t="s">
        <v>38584</v>
      </c>
      <c r="B24037" t="s">
        <v>552</v>
      </c>
      <c r="C24037" t="s">
        <v>151</v>
      </c>
      <c r="D24037" t="s">
        <v>52</v>
      </c>
      <c r="E24037" t="s">
        <v>202</v>
      </c>
      <c r="F24037" s="2" t="str">
        <f>HYPERLINK("http://www.otzar.org/book.asp?621733","מנחת אש")</f>
        <v>מנחת אש</v>
      </c>
    </row>
    <row r="24038" spans="1:6" x14ac:dyDescent="0.2">
      <c r="A24038" t="s">
        <v>38585</v>
      </c>
      <c r="B24038" t="s">
        <v>38586</v>
      </c>
      <c r="C24038" t="s">
        <v>133</v>
      </c>
      <c r="D24038" t="s">
        <v>14</v>
      </c>
      <c r="E24038" t="s">
        <v>154</v>
      </c>
      <c r="F24038" s="2" t="str">
        <f>HYPERLINK("http://www.otzar.org/book.asp?171691","מנחת אשר &lt;שו""ת&gt; - 3 כר'")</f>
        <v>מנחת אשר &lt;שו"ת&gt; - 3 כר'</v>
      </c>
    </row>
    <row r="24039" spans="1:6" x14ac:dyDescent="0.2">
      <c r="A24039" t="s">
        <v>38587</v>
      </c>
      <c r="B24039" t="s">
        <v>9378</v>
      </c>
      <c r="C24039" t="s">
        <v>17</v>
      </c>
      <c r="D24039" t="s">
        <v>14</v>
      </c>
      <c r="E24039" t="s">
        <v>172</v>
      </c>
      <c r="F24039" s="2" t="str">
        <f>HYPERLINK("http://www.otzar.org/book.asp?23172","מנחת אשר - 11 כר'")</f>
        <v>מנחת אשר - 11 כר'</v>
      </c>
    </row>
    <row r="24040" spans="1:6" x14ac:dyDescent="0.2">
      <c r="A24040" t="s">
        <v>38588</v>
      </c>
      <c r="B24040" t="s">
        <v>38589</v>
      </c>
      <c r="C24040" t="s">
        <v>356</v>
      </c>
      <c r="D24040" t="s">
        <v>412</v>
      </c>
      <c r="E24040" t="s">
        <v>508</v>
      </c>
      <c r="F24040" s="2" t="str">
        <f>HYPERLINK("http://www.otzar.org/book.asp?144724","מנחת אשר - 4 כר'")</f>
        <v>מנחת אשר - 4 כר'</v>
      </c>
    </row>
    <row r="24041" spans="1:6" x14ac:dyDescent="0.2">
      <c r="A24041" t="s">
        <v>38590</v>
      </c>
      <c r="B24041" t="s">
        <v>38586</v>
      </c>
      <c r="C24041" t="s">
        <v>103</v>
      </c>
      <c r="D24041" t="s">
        <v>14</v>
      </c>
      <c r="E24041" t="s">
        <v>158</v>
      </c>
      <c r="F24041" s="2" t="str">
        <f>HYPERLINK("http://www.otzar.org/book.asp?22232","מנחת אשר - 19 כר'")</f>
        <v>מנחת אשר - 19 כר'</v>
      </c>
    </row>
    <row r="24042" spans="1:6" x14ac:dyDescent="0.2">
      <c r="A24042" t="s">
        <v>38591</v>
      </c>
      <c r="B24042" t="s">
        <v>38592</v>
      </c>
      <c r="C24042" t="s">
        <v>2543</v>
      </c>
      <c r="D24042" t="s">
        <v>3627</v>
      </c>
      <c r="E24042" t="s">
        <v>474</v>
      </c>
      <c r="F24042" s="2" t="str">
        <f>HYPERLINK("http://www.otzar.org/book.asp?172752","מנחת אשר")</f>
        <v>מנחת אשר</v>
      </c>
    </row>
    <row r="24043" spans="1:6" x14ac:dyDescent="0.2">
      <c r="A24043" t="s">
        <v>38593</v>
      </c>
      <c r="B24043" t="s">
        <v>15397</v>
      </c>
      <c r="C24043" t="s">
        <v>624</v>
      </c>
      <c r="D24043" t="s">
        <v>14</v>
      </c>
      <c r="E24043" t="s">
        <v>4022</v>
      </c>
      <c r="F24043" s="2" t="str">
        <f>HYPERLINK("http://www.otzar.org/book.asp?144429","מנחת ביכורים")</f>
        <v>מנחת ביכורים</v>
      </c>
    </row>
    <row r="24044" spans="1:6" x14ac:dyDescent="0.2">
      <c r="A24044" t="s">
        <v>38594</v>
      </c>
      <c r="B24044" t="s">
        <v>38595</v>
      </c>
      <c r="C24044" t="s">
        <v>20</v>
      </c>
      <c r="D24044" t="s">
        <v>14</v>
      </c>
      <c r="E24044" t="s">
        <v>144</v>
      </c>
      <c r="F24044" s="2" t="str">
        <f>HYPERLINK("http://www.otzar.org/book.asp?623588","מנחת ביכורים - בבא בתרא")</f>
        <v>מנחת ביכורים - בבא בתרא</v>
      </c>
    </row>
    <row r="24045" spans="1:6" x14ac:dyDescent="0.2">
      <c r="A24045" t="s">
        <v>38596</v>
      </c>
      <c r="B24045" t="s">
        <v>38597</v>
      </c>
      <c r="C24045" t="s">
        <v>482</v>
      </c>
      <c r="D24045" t="s">
        <v>9</v>
      </c>
      <c r="E24045" t="s">
        <v>158</v>
      </c>
      <c r="F24045" s="2" t="str">
        <f>HYPERLINK("http://www.otzar.org/book.asp?155748","מנחת בכורים &lt;תורת המנחה&gt;")</f>
        <v>מנחת בכורים &lt;תורת המנחה&gt;</v>
      </c>
    </row>
    <row r="24046" spans="1:6" x14ac:dyDescent="0.2">
      <c r="A24046" t="s">
        <v>38598</v>
      </c>
      <c r="B24046" t="s">
        <v>38599</v>
      </c>
      <c r="C24046" t="s">
        <v>286</v>
      </c>
      <c r="D24046" t="s">
        <v>283</v>
      </c>
      <c r="E24046" t="s">
        <v>588</v>
      </c>
      <c r="F24046" s="2" t="str">
        <f>HYPERLINK("http://www.otzar.org/book.asp?150064","מנחת בכורים")</f>
        <v>מנחת בכורים</v>
      </c>
    </row>
    <row r="24047" spans="1:6" x14ac:dyDescent="0.2">
      <c r="A24047" t="s">
        <v>38598</v>
      </c>
      <c r="B24047" t="s">
        <v>36434</v>
      </c>
      <c r="C24047" t="s">
        <v>4858</v>
      </c>
      <c r="D24047" t="s">
        <v>76</v>
      </c>
      <c r="E24047" t="s">
        <v>144</v>
      </c>
      <c r="F24047" s="2" t="str">
        <f>HYPERLINK("http://www.otzar.org/book.asp?84118","מנחת בכורים")</f>
        <v>מנחת בכורים</v>
      </c>
    </row>
    <row r="24048" spans="1:6" x14ac:dyDescent="0.2">
      <c r="A24048" t="s">
        <v>38598</v>
      </c>
      <c r="B24048" t="s">
        <v>29421</v>
      </c>
      <c r="C24048" t="s">
        <v>151</v>
      </c>
      <c r="D24048" t="s">
        <v>14</v>
      </c>
      <c r="E24048" t="s">
        <v>144</v>
      </c>
      <c r="F24048" s="2" t="str">
        <f>HYPERLINK("http://www.otzar.org/book.asp?612691","מנחת בכורים")</f>
        <v>מנחת בכורים</v>
      </c>
    </row>
    <row r="24049" spans="1:6" x14ac:dyDescent="0.2">
      <c r="A24049" t="s">
        <v>38598</v>
      </c>
      <c r="B24049" t="s">
        <v>9179</v>
      </c>
      <c r="C24049" t="s">
        <v>422</v>
      </c>
      <c r="D24049" t="s">
        <v>52</v>
      </c>
      <c r="E24049" t="s">
        <v>144</v>
      </c>
      <c r="F24049" s="2" t="str">
        <f>HYPERLINK("http://www.otzar.org/book.asp?623240","מנחת בכורים")</f>
        <v>מנחת בכורים</v>
      </c>
    </row>
    <row r="24050" spans="1:6" x14ac:dyDescent="0.2">
      <c r="A24050" t="s">
        <v>38598</v>
      </c>
      <c r="B24050" t="s">
        <v>38600</v>
      </c>
      <c r="C24050" t="s">
        <v>1458</v>
      </c>
      <c r="D24050" t="s">
        <v>212</v>
      </c>
      <c r="E24050" t="s">
        <v>1517</v>
      </c>
      <c r="F24050" s="2" t="str">
        <f>HYPERLINK("http://www.otzar.org/book.asp?179058","מנחת בכורים")</f>
        <v>מנחת בכורים</v>
      </c>
    </row>
    <row r="24051" spans="1:6" x14ac:dyDescent="0.2">
      <c r="A24051" t="s">
        <v>38601</v>
      </c>
      <c r="B24051" t="s">
        <v>38602</v>
      </c>
      <c r="C24051" t="s">
        <v>23</v>
      </c>
      <c r="D24051" t="s">
        <v>52</v>
      </c>
      <c r="F24051" s="2" t="str">
        <f>HYPERLINK("http://www.otzar.org/book.asp?194121","מנחת בנימין")</f>
        <v>מנחת בנימין</v>
      </c>
    </row>
    <row r="24052" spans="1:6" x14ac:dyDescent="0.2">
      <c r="A24052" t="s">
        <v>38603</v>
      </c>
      <c r="B24052" t="s">
        <v>26472</v>
      </c>
      <c r="C24052" t="s">
        <v>366</v>
      </c>
      <c r="D24052" t="s">
        <v>52</v>
      </c>
      <c r="F24052" s="2" t="str">
        <f>HYPERLINK("http://www.otzar.org/book.asp?609232","מנחת בצלאל - 2 כר'")</f>
        <v>מנחת בצלאל - 2 כר'</v>
      </c>
    </row>
    <row r="24053" spans="1:6" x14ac:dyDescent="0.2">
      <c r="A24053" t="s">
        <v>38604</v>
      </c>
      <c r="B24053" t="s">
        <v>206</v>
      </c>
      <c r="C24053" t="s">
        <v>366</v>
      </c>
      <c r="D24053" t="s">
        <v>52</v>
      </c>
      <c r="E24053" t="s">
        <v>144</v>
      </c>
      <c r="F24053" s="2" t="str">
        <f>HYPERLINK("http://www.otzar.org/book.asp?622000","מנחת בצלאל")</f>
        <v>מנחת בצלאל</v>
      </c>
    </row>
    <row r="24054" spans="1:6" x14ac:dyDescent="0.2">
      <c r="A24054" t="s">
        <v>38605</v>
      </c>
      <c r="B24054" t="s">
        <v>38606</v>
      </c>
      <c r="C24054" t="s">
        <v>366</v>
      </c>
      <c r="D24054" t="s">
        <v>32842</v>
      </c>
      <c r="F24054" s="2" t="str">
        <f>HYPERLINK("http://www.otzar.org/book.asp?609716","מנחת ברוך")</f>
        <v>מנחת ברוך</v>
      </c>
    </row>
    <row r="24055" spans="1:6" x14ac:dyDescent="0.2">
      <c r="A24055" t="s">
        <v>38607</v>
      </c>
      <c r="B24055" t="s">
        <v>38608</v>
      </c>
      <c r="C24055" t="s">
        <v>29573</v>
      </c>
      <c r="D24055" t="s">
        <v>1419</v>
      </c>
      <c r="E24055" t="s">
        <v>674</v>
      </c>
      <c r="F24055" s="2" t="str">
        <f>HYPERLINK("http://www.otzar.org/book.asp?20144","מנחת ברוך - 2 כר'")</f>
        <v>מנחת ברוך - 2 כר'</v>
      </c>
    </row>
    <row r="24056" spans="1:6" x14ac:dyDescent="0.2">
      <c r="A24056" t="s">
        <v>38605</v>
      </c>
      <c r="B24056" t="s">
        <v>38609</v>
      </c>
      <c r="C24056" t="s">
        <v>1885</v>
      </c>
      <c r="D24056" t="s">
        <v>283</v>
      </c>
      <c r="E24056" t="s">
        <v>154</v>
      </c>
      <c r="F24056" s="2" t="str">
        <f>HYPERLINK("http://www.otzar.org/book.asp?786","מנחת ברוך")</f>
        <v>מנחת ברוך</v>
      </c>
    </row>
    <row r="24057" spans="1:6" x14ac:dyDescent="0.2">
      <c r="A24057" t="s">
        <v>38610</v>
      </c>
      <c r="B24057" t="s">
        <v>15041</v>
      </c>
      <c r="C24057" t="s">
        <v>13</v>
      </c>
      <c r="D24057" t="s">
        <v>14</v>
      </c>
      <c r="E24057" t="s">
        <v>15</v>
      </c>
      <c r="F24057" s="2" t="str">
        <f>HYPERLINK("http://www.otzar.org/book.asp?61021","מנחת גדעון - 3 כר'")</f>
        <v>מנחת גדעון - 3 כר'</v>
      </c>
    </row>
    <row r="24058" spans="1:6" x14ac:dyDescent="0.2">
      <c r="A24058" t="s">
        <v>38611</v>
      </c>
      <c r="B24058" t="s">
        <v>38612</v>
      </c>
      <c r="C24058" t="s">
        <v>129</v>
      </c>
      <c r="D24058" t="s">
        <v>14</v>
      </c>
      <c r="E24058" t="s">
        <v>144</v>
      </c>
      <c r="F24058" s="2" t="str">
        <f>HYPERLINK("http://www.otzar.org/book.asp?152266","מנחת דב - גיטין")</f>
        <v>מנחת דב - גיטין</v>
      </c>
    </row>
    <row r="24059" spans="1:6" x14ac:dyDescent="0.2">
      <c r="A24059" t="s">
        <v>38613</v>
      </c>
      <c r="B24059" t="s">
        <v>38614</v>
      </c>
      <c r="C24059" t="s">
        <v>129</v>
      </c>
      <c r="D24059" t="s">
        <v>14</v>
      </c>
      <c r="E24059" t="s">
        <v>172</v>
      </c>
      <c r="F24059" s="2" t="str">
        <f>HYPERLINK("http://www.otzar.org/book.asp?619373","מנחת דבשי - 2 כר'")</f>
        <v>מנחת דבשי - 2 כר'</v>
      </c>
    </row>
    <row r="24060" spans="1:6" x14ac:dyDescent="0.2">
      <c r="A24060" t="s">
        <v>38615</v>
      </c>
      <c r="B24060" t="s">
        <v>38616</v>
      </c>
      <c r="C24060" t="s">
        <v>919</v>
      </c>
      <c r="D24060" t="s">
        <v>260</v>
      </c>
      <c r="E24060" t="s">
        <v>474</v>
      </c>
      <c r="F24060" s="2" t="str">
        <f>HYPERLINK("http://www.otzar.org/book.asp?604438","מנחת דוד - אמרי דוד")</f>
        <v>מנחת דוד - אמרי דוד</v>
      </c>
    </row>
    <row r="24061" spans="1:6" x14ac:dyDescent="0.2">
      <c r="A24061" t="s">
        <v>38617</v>
      </c>
      <c r="B24061" t="s">
        <v>38618</v>
      </c>
      <c r="C24061" t="s">
        <v>1208</v>
      </c>
      <c r="D24061" t="s">
        <v>52</v>
      </c>
      <c r="E24061" t="s">
        <v>43</v>
      </c>
      <c r="F24061" s="2" t="str">
        <f>HYPERLINK("http://www.otzar.org/book.asp?160159","מנחת דוד")</f>
        <v>מנחת דוד</v>
      </c>
    </row>
    <row r="24062" spans="1:6" x14ac:dyDescent="0.2">
      <c r="A24062" t="s">
        <v>38619</v>
      </c>
      <c r="B24062" t="s">
        <v>38620</v>
      </c>
      <c r="C24062" t="s">
        <v>244</v>
      </c>
      <c r="D24062" t="s">
        <v>14</v>
      </c>
      <c r="F24062" s="2" t="str">
        <f>HYPERLINK("http://www.otzar.org/book.asp?198043","מנחת דוד - 3 כר'")</f>
        <v>מנחת דוד - 3 כר'</v>
      </c>
    </row>
    <row r="24063" spans="1:6" x14ac:dyDescent="0.2">
      <c r="A24063" t="s">
        <v>38621</v>
      </c>
      <c r="B24063" t="s">
        <v>38622</v>
      </c>
      <c r="C24063" t="s">
        <v>189</v>
      </c>
      <c r="D24063" t="s">
        <v>6283</v>
      </c>
      <c r="E24063" t="s">
        <v>144</v>
      </c>
      <c r="F24063" s="2" t="str">
        <f>HYPERLINK("http://www.otzar.org/book.asp?85378","מנחת דוד - עירובין")</f>
        <v>מנחת דוד - עירובין</v>
      </c>
    </row>
    <row r="24064" spans="1:6" x14ac:dyDescent="0.2">
      <c r="A24064" t="s">
        <v>38623</v>
      </c>
      <c r="B24064" t="s">
        <v>38624</v>
      </c>
      <c r="C24064" t="s">
        <v>189</v>
      </c>
      <c r="D24064" t="s">
        <v>52</v>
      </c>
      <c r="E24064" t="s">
        <v>144</v>
      </c>
      <c r="F24064" s="2" t="str">
        <f>HYPERLINK("http://www.otzar.org/book.asp?166226","מנחת דוד - 6 כר'")</f>
        <v>מנחת דוד - 6 כר'</v>
      </c>
    </row>
    <row r="24065" spans="1:6" x14ac:dyDescent="0.2">
      <c r="A24065" t="s">
        <v>38625</v>
      </c>
      <c r="B24065" t="s">
        <v>38626</v>
      </c>
      <c r="C24065" t="s">
        <v>185</v>
      </c>
      <c r="D24065" t="s">
        <v>52</v>
      </c>
      <c r="E24065" t="s">
        <v>786</v>
      </c>
      <c r="F24065" s="2" t="str">
        <f>HYPERLINK("http://www.otzar.org/book.asp?629421","מנחת דוד - 8 כר'")</f>
        <v>מנחת דוד - 8 כר'</v>
      </c>
    </row>
    <row r="24066" spans="1:6" x14ac:dyDescent="0.2">
      <c r="A24066" t="s">
        <v>38627</v>
      </c>
      <c r="B24066" t="s">
        <v>38628</v>
      </c>
      <c r="C24066" t="s">
        <v>334</v>
      </c>
      <c r="D24066" t="s">
        <v>412</v>
      </c>
      <c r="E24066" t="s">
        <v>38629</v>
      </c>
      <c r="F24066" s="2" t="str">
        <f>HYPERLINK("http://www.otzar.org/book.asp?181791","מנחת דוד - 4 כר'")</f>
        <v>מנחת דוד - 4 כר'</v>
      </c>
    </row>
    <row r="24067" spans="1:6" x14ac:dyDescent="0.2">
      <c r="A24067" t="s">
        <v>38630</v>
      </c>
      <c r="B24067" t="s">
        <v>38631</v>
      </c>
      <c r="C24067" t="s">
        <v>244</v>
      </c>
      <c r="D24067" t="s">
        <v>14</v>
      </c>
      <c r="F24067" s="2" t="str">
        <f>HYPERLINK("http://www.otzar.org/book.asp?603652","מנחת דניאל - א")</f>
        <v>מנחת דניאל - א</v>
      </c>
    </row>
    <row r="24068" spans="1:6" x14ac:dyDescent="0.2">
      <c r="A24068" t="s">
        <v>38632</v>
      </c>
      <c r="B24068" t="s">
        <v>38633</v>
      </c>
      <c r="C24068" t="s">
        <v>538</v>
      </c>
      <c r="D24068" t="s">
        <v>283</v>
      </c>
      <c r="E24068" t="s">
        <v>1262</v>
      </c>
      <c r="F24068" s="2" t="str">
        <f>HYPERLINK("http://www.otzar.org/book.asp?102346","מנחת האומר")</f>
        <v>מנחת האומר</v>
      </c>
    </row>
    <row r="24069" spans="1:6" x14ac:dyDescent="0.2">
      <c r="A24069" t="s">
        <v>38634</v>
      </c>
      <c r="B24069" t="s">
        <v>38635</v>
      </c>
      <c r="C24069" t="s">
        <v>87</v>
      </c>
      <c r="D24069" t="s">
        <v>14</v>
      </c>
      <c r="E24069" t="s">
        <v>15</v>
      </c>
      <c r="F24069" s="2" t="str">
        <f>HYPERLINK("http://www.otzar.org/book.asp?21888","מנחת הארץ")</f>
        <v>מנחת הארץ</v>
      </c>
    </row>
    <row r="24070" spans="1:6" x14ac:dyDescent="0.2">
      <c r="A24070" t="s">
        <v>38636</v>
      </c>
      <c r="B24070" t="s">
        <v>38637</v>
      </c>
      <c r="C24070" t="s">
        <v>2076</v>
      </c>
      <c r="D24070" t="s">
        <v>283</v>
      </c>
      <c r="E24070" t="s">
        <v>144</v>
      </c>
      <c r="F24070" s="2" t="str">
        <f>HYPERLINK("http://www.otzar.org/book.asp?101080","מנחת הבקר")</f>
        <v>מנחת הבקר</v>
      </c>
    </row>
    <row r="24071" spans="1:6" x14ac:dyDescent="0.2">
      <c r="A24071" t="s">
        <v>38638</v>
      </c>
      <c r="B24071" t="s">
        <v>38639</v>
      </c>
      <c r="C24071" t="s">
        <v>237</v>
      </c>
      <c r="D24071" t="s">
        <v>9</v>
      </c>
      <c r="E24071" t="s">
        <v>38640</v>
      </c>
      <c r="F24071" s="2" t="str">
        <f>HYPERLINK("http://www.otzar.org/book.asp?8396","מנחת הגרשוני")</f>
        <v>מנחת הגרשוני</v>
      </c>
    </row>
    <row r="24072" spans="1:6" x14ac:dyDescent="0.2">
      <c r="A24072" t="s">
        <v>38641</v>
      </c>
      <c r="B24072" t="s">
        <v>38642</v>
      </c>
      <c r="C24072" t="s">
        <v>1718</v>
      </c>
      <c r="D24072" t="s">
        <v>283</v>
      </c>
      <c r="E24072" t="s">
        <v>15</v>
      </c>
      <c r="F24072" s="2" t="str">
        <f>HYPERLINK("http://www.otzar.org/book.asp?19163","מנחת הזבח &lt;עשרון וקומץ&gt;")</f>
        <v>מנחת הזבח &lt;עשרון וקומץ&gt;</v>
      </c>
    </row>
    <row r="24073" spans="1:6" x14ac:dyDescent="0.2">
      <c r="A24073" t="s">
        <v>38643</v>
      </c>
      <c r="B24073" t="s">
        <v>38644</v>
      </c>
      <c r="C24073" t="s">
        <v>189</v>
      </c>
      <c r="D24073" t="s">
        <v>152</v>
      </c>
      <c r="E24073" t="s">
        <v>15</v>
      </c>
      <c r="F24073" s="2" t="str">
        <f>HYPERLINK("http://www.otzar.org/book.asp?28873","מנחת הזמן")</f>
        <v>מנחת הזמן</v>
      </c>
    </row>
    <row r="24074" spans="1:6" x14ac:dyDescent="0.2">
      <c r="A24074" t="s">
        <v>38645</v>
      </c>
      <c r="B24074" t="s">
        <v>38646</v>
      </c>
      <c r="C24074" t="s">
        <v>38647</v>
      </c>
      <c r="D24074" t="s">
        <v>27</v>
      </c>
      <c r="E24074" t="s">
        <v>154</v>
      </c>
      <c r="F24074" s="2" t="str">
        <f>HYPERLINK("http://www.otzar.org/book.asp?24984","מנחת הח""ג - 2 כר'")</f>
        <v>מנחת הח"ג - 2 כר'</v>
      </c>
    </row>
    <row r="24075" spans="1:6" x14ac:dyDescent="0.2">
      <c r="A24075" t="s">
        <v>38648</v>
      </c>
      <c r="B24075" t="s">
        <v>38649</v>
      </c>
      <c r="C24075" t="s">
        <v>133</v>
      </c>
      <c r="D24075" t="s">
        <v>7116</v>
      </c>
      <c r="E24075" t="s">
        <v>15</v>
      </c>
      <c r="F24075" s="2" t="str">
        <f>HYPERLINK("http://www.otzar.org/book.asp?173286","מנחת החודש")</f>
        <v>מנחת החודש</v>
      </c>
    </row>
    <row r="24076" spans="1:6" x14ac:dyDescent="0.2">
      <c r="A24076" t="s">
        <v>38650</v>
      </c>
      <c r="B24076" t="s">
        <v>38651</v>
      </c>
      <c r="C24076" t="s">
        <v>422</v>
      </c>
      <c r="D24076" t="s">
        <v>14605</v>
      </c>
      <c r="E24076" t="s">
        <v>158</v>
      </c>
      <c r="F24076" s="2" t="str">
        <f>HYPERLINK("http://www.otzar.org/book.asp?180585","מנחת החיים - 3 כר'")</f>
        <v>מנחת החיים - 3 כר'</v>
      </c>
    </row>
    <row r="24077" spans="1:6" x14ac:dyDescent="0.2">
      <c r="A24077" t="s">
        <v>38652</v>
      </c>
      <c r="B24077" t="s">
        <v>38653</v>
      </c>
      <c r="C24077" t="s">
        <v>17</v>
      </c>
      <c r="D24077" t="s">
        <v>14</v>
      </c>
      <c r="E24077" t="s">
        <v>144</v>
      </c>
      <c r="F24077" s="2" t="str">
        <f>HYPERLINK("http://www.otzar.org/book.asp?60201","מנחת הלוי - 2 כר'")</f>
        <v>מנחת הלוי - 2 כר'</v>
      </c>
    </row>
    <row r="24078" spans="1:6" x14ac:dyDescent="0.2">
      <c r="A24078" t="s">
        <v>38654</v>
      </c>
      <c r="B24078" t="s">
        <v>38655</v>
      </c>
      <c r="C24078" t="s">
        <v>37</v>
      </c>
      <c r="D24078" t="s">
        <v>21</v>
      </c>
      <c r="E24078" t="s">
        <v>230</v>
      </c>
      <c r="F24078" s="2" t="str">
        <f>HYPERLINK("http://www.otzar.org/book.asp?197751","מנחת הלל")</f>
        <v>מנחת הלל</v>
      </c>
    </row>
    <row r="24079" spans="1:6" x14ac:dyDescent="0.2">
      <c r="A24079" t="s">
        <v>38656</v>
      </c>
      <c r="B24079" t="s">
        <v>25860</v>
      </c>
      <c r="C24079" t="s">
        <v>38657</v>
      </c>
      <c r="D24079" t="s">
        <v>1889</v>
      </c>
      <c r="E24079" t="s">
        <v>38658</v>
      </c>
      <c r="F24079" s="2" t="str">
        <f>HYPERLINK("http://www.otzar.org/book.asp?102763","מנחת העומר")</f>
        <v>מנחת העומר</v>
      </c>
    </row>
    <row r="24080" spans="1:6" x14ac:dyDescent="0.2">
      <c r="A24080" t="s">
        <v>38659</v>
      </c>
      <c r="B24080" t="s">
        <v>1750</v>
      </c>
      <c r="C24080" t="s">
        <v>466</v>
      </c>
      <c r="D24080" t="s">
        <v>3331</v>
      </c>
      <c r="E24080" t="s">
        <v>186</v>
      </c>
      <c r="F24080" s="2" t="str">
        <f>HYPERLINK("http://www.otzar.org/book.asp?61583","מנחת הערב - קידושין")</f>
        <v>מנחת הערב - קידושין</v>
      </c>
    </row>
    <row r="24081" spans="1:6" x14ac:dyDescent="0.2">
      <c r="A24081" t="s">
        <v>38660</v>
      </c>
      <c r="B24081" t="s">
        <v>28635</v>
      </c>
      <c r="C24081" t="s">
        <v>1163</v>
      </c>
      <c r="D24081" t="s">
        <v>1163</v>
      </c>
      <c r="E24081" t="s">
        <v>38661</v>
      </c>
      <c r="F24081" s="2" t="str">
        <f>HYPERLINK("http://www.otzar.org/book.asp?104239","מנחת הקדש &lt;כתב יד&gt;")</f>
        <v>מנחת הקדש &lt;כתב יד&gt;</v>
      </c>
    </row>
    <row r="24082" spans="1:6" x14ac:dyDescent="0.2">
      <c r="A24082" t="s">
        <v>38662</v>
      </c>
      <c r="B24082" t="s">
        <v>31264</v>
      </c>
      <c r="C24082" t="s">
        <v>23</v>
      </c>
      <c r="D24082" t="s">
        <v>134</v>
      </c>
      <c r="F24082" s="2" t="str">
        <f>HYPERLINK("http://www.otzar.org/book.asp?198547","מנחת הקדשים")</f>
        <v>מנחת הקדשים</v>
      </c>
    </row>
    <row r="24083" spans="1:6" x14ac:dyDescent="0.2">
      <c r="A24083" t="s">
        <v>38663</v>
      </c>
      <c r="B24083" t="s">
        <v>38664</v>
      </c>
      <c r="C24083" t="s">
        <v>576</v>
      </c>
      <c r="D24083" t="s">
        <v>38665</v>
      </c>
      <c r="E24083" t="s">
        <v>588</v>
      </c>
      <c r="F24083" s="2" t="str">
        <f>HYPERLINK("http://www.otzar.org/book.asp?9749","מנחת הקומץ")</f>
        <v>מנחת הקומץ</v>
      </c>
    </row>
    <row r="24084" spans="1:6" x14ac:dyDescent="0.2">
      <c r="A24084" t="s">
        <v>38666</v>
      </c>
      <c r="B24084" t="s">
        <v>27500</v>
      </c>
      <c r="C24084" t="s">
        <v>20</v>
      </c>
      <c r="D24084" t="s">
        <v>2285</v>
      </c>
      <c r="F24084" s="2" t="str">
        <f>HYPERLINK("http://www.otzar.org/book.asp?197583","מנחת זאב")</f>
        <v>מנחת זאב</v>
      </c>
    </row>
    <row r="24085" spans="1:6" x14ac:dyDescent="0.2">
      <c r="A24085" t="s">
        <v>38667</v>
      </c>
      <c r="B24085" t="s">
        <v>38668</v>
      </c>
      <c r="C24085" t="s">
        <v>1246</v>
      </c>
      <c r="D24085" t="s">
        <v>986</v>
      </c>
      <c r="E24085" t="s">
        <v>9867</v>
      </c>
      <c r="F24085" s="2" t="str">
        <f>HYPERLINK("http://www.otzar.org/book.asp?10689","מנחת זאב - 3 כר'")</f>
        <v>מנחת זאב - 3 כר'</v>
      </c>
    </row>
    <row r="24086" spans="1:6" x14ac:dyDescent="0.2">
      <c r="A24086" t="s">
        <v>38666</v>
      </c>
      <c r="B24086" t="s">
        <v>38669</v>
      </c>
      <c r="C24086" t="s">
        <v>124</v>
      </c>
      <c r="D24086" t="s">
        <v>412</v>
      </c>
      <c r="E24086" t="s">
        <v>38670</v>
      </c>
      <c r="F24086" s="2" t="str">
        <f>HYPERLINK("http://www.otzar.org/book.asp?172363","מנחת זאב")</f>
        <v>מנחת זאב</v>
      </c>
    </row>
    <row r="24087" spans="1:6" x14ac:dyDescent="0.2">
      <c r="A24087" t="s">
        <v>38671</v>
      </c>
      <c r="B24087" t="s">
        <v>38672</v>
      </c>
      <c r="C24087" t="s">
        <v>466</v>
      </c>
      <c r="D24087" t="s">
        <v>721</v>
      </c>
      <c r="E24087" t="s">
        <v>10</v>
      </c>
      <c r="F24087" s="2" t="str">
        <f>HYPERLINK("http://www.otzar.org/book.asp?174505","מנחת זכרון")</f>
        <v>מנחת זכרון</v>
      </c>
    </row>
    <row r="24088" spans="1:6" x14ac:dyDescent="0.2">
      <c r="A24088" t="s">
        <v>38671</v>
      </c>
      <c r="B24088" t="s">
        <v>7381</v>
      </c>
      <c r="C24088" t="s">
        <v>55</v>
      </c>
      <c r="D24088" t="s">
        <v>76</v>
      </c>
      <c r="E24088" t="s">
        <v>674</v>
      </c>
      <c r="F24088" s="2" t="str">
        <f>HYPERLINK("http://www.otzar.org/book.asp?84331","מנחת זכרון")</f>
        <v>מנחת זכרון</v>
      </c>
    </row>
    <row r="24089" spans="1:6" x14ac:dyDescent="0.2">
      <c r="A24089" t="s">
        <v>38671</v>
      </c>
      <c r="B24089" t="s">
        <v>2275</v>
      </c>
      <c r="C24089" t="s">
        <v>728</v>
      </c>
      <c r="D24089" t="s">
        <v>38673</v>
      </c>
      <c r="E24089" t="s">
        <v>43</v>
      </c>
      <c r="F24089" s="2" t="str">
        <f>HYPERLINK("http://www.otzar.org/book.asp?191426","מנחת זכרון")</f>
        <v>מנחת זכרון</v>
      </c>
    </row>
    <row r="24090" spans="1:6" x14ac:dyDescent="0.2">
      <c r="A24090" t="s">
        <v>38671</v>
      </c>
      <c r="B24090" t="s">
        <v>38674</v>
      </c>
      <c r="C24090" t="s">
        <v>1706</v>
      </c>
      <c r="D24090" t="s">
        <v>1117</v>
      </c>
      <c r="E24090" t="s">
        <v>144</v>
      </c>
      <c r="F24090" s="2" t="str">
        <f>HYPERLINK("http://www.otzar.org/book.asp?5538","מנחת זכרון")</f>
        <v>מנחת זכרון</v>
      </c>
    </row>
    <row r="24091" spans="1:6" x14ac:dyDescent="0.2">
      <c r="A24091" t="s">
        <v>38675</v>
      </c>
      <c r="B24091" t="s">
        <v>38676</v>
      </c>
      <c r="C24091" t="s">
        <v>767</v>
      </c>
      <c r="D24091" t="s">
        <v>14</v>
      </c>
      <c r="E24091" t="s">
        <v>84</v>
      </c>
      <c r="F24091" s="2" t="str">
        <f>HYPERLINK("http://www.otzar.org/book.asp?85414","מנחת חזקיה - 2 כר'")</f>
        <v>מנחת חזקיה - 2 כר'</v>
      </c>
    </row>
    <row r="24092" spans="1:6" x14ac:dyDescent="0.2">
      <c r="A24092" t="s">
        <v>38677</v>
      </c>
      <c r="B24092" t="s">
        <v>38678</v>
      </c>
      <c r="C24092" t="s">
        <v>146</v>
      </c>
      <c r="D24092" t="s">
        <v>14</v>
      </c>
      <c r="E24092" t="s">
        <v>674</v>
      </c>
      <c r="F24092" s="2" t="str">
        <f>HYPERLINK("http://www.otzar.org/book.asp?167455","מנחת חיים")</f>
        <v>מנחת חיים</v>
      </c>
    </row>
    <row r="24093" spans="1:6" x14ac:dyDescent="0.2">
      <c r="A24093" t="s">
        <v>38679</v>
      </c>
      <c r="B24093" t="s">
        <v>38680</v>
      </c>
      <c r="C24093" t="s">
        <v>114</v>
      </c>
      <c r="D24093" t="s">
        <v>229</v>
      </c>
      <c r="E24093" t="s">
        <v>144</v>
      </c>
      <c r="F24093" s="2" t="str">
        <f>HYPERLINK("http://www.otzar.org/book.asp?165570","מנחת חיים - 2 כר'")</f>
        <v>מנחת חיים - 2 כר'</v>
      </c>
    </row>
    <row r="24094" spans="1:6" x14ac:dyDescent="0.2">
      <c r="A24094" t="s">
        <v>38677</v>
      </c>
      <c r="B24094" t="s">
        <v>38681</v>
      </c>
      <c r="C24094" t="s">
        <v>454</v>
      </c>
      <c r="D24094" t="s">
        <v>14</v>
      </c>
      <c r="E24094" t="s">
        <v>2840</v>
      </c>
      <c r="F24094" s="2" t="str">
        <f>HYPERLINK("http://www.otzar.org/book.asp?50782","מנחת חיים")</f>
        <v>מנחת חיים</v>
      </c>
    </row>
    <row r="24095" spans="1:6" x14ac:dyDescent="0.2">
      <c r="A24095" t="s">
        <v>38682</v>
      </c>
      <c r="B24095" t="s">
        <v>128</v>
      </c>
      <c r="C24095" t="s">
        <v>129</v>
      </c>
      <c r="D24095" t="s">
        <v>52</v>
      </c>
      <c r="E24095" t="s">
        <v>15</v>
      </c>
      <c r="F24095" s="2" t="str">
        <f>HYPERLINK("http://www.otzar.org/book.asp?52703","מנחת חיים - 13 כר'")</f>
        <v>מנחת חיים - 13 כר'</v>
      </c>
    </row>
    <row r="24096" spans="1:6" x14ac:dyDescent="0.2">
      <c r="A24096" t="s">
        <v>38683</v>
      </c>
      <c r="B24096" t="s">
        <v>38684</v>
      </c>
      <c r="C24096" t="s">
        <v>37</v>
      </c>
      <c r="D24096" t="s">
        <v>1180</v>
      </c>
      <c r="F24096" s="2" t="str">
        <f>HYPERLINK("http://www.otzar.org/book.asp?197113","מנחת חיים - 5 כר'")</f>
        <v>מנחת חיים - 5 כר'</v>
      </c>
    </row>
    <row r="24097" spans="1:6" x14ac:dyDescent="0.2">
      <c r="A24097" t="s">
        <v>38685</v>
      </c>
      <c r="B24097" t="s">
        <v>38651</v>
      </c>
      <c r="C24097" t="s">
        <v>37</v>
      </c>
      <c r="D24097" t="s">
        <v>14605</v>
      </c>
      <c r="E24097" t="s">
        <v>158</v>
      </c>
      <c r="F24097" s="2" t="str">
        <f>HYPERLINK("http://www.otzar.org/book.asp?180588","מנחת חיינו - 2 כר'")</f>
        <v>מנחת חיינו - 2 כר'</v>
      </c>
    </row>
    <row r="24098" spans="1:6" x14ac:dyDescent="0.2">
      <c r="A24098" t="s">
        <v>38686</v>
      </c>
      <c r="C24098" t="s">
        <v>20</v>
      </c>
      <c r="D24098" t="s">
        <v>1156</v>
      </c>
      <c r="F24098" s="2" t="str">
        <f>HYPERLINK("http://www.otzar.org/book.asp?616869","מנחת חינוך &lt;ביאורים והערות - מנחת מילואים&gt;")</f>
        <v>מנחת חינוך &lt;ביאורים והערות - מנחת מילואים&gt;</v>
      </c>
    </row>
    <row r="24099" spans="1:6" x14ac:dyDescent="0.2">
      <c r="A24099" t="s">
        <v>38687</v>
      </c>
      <c r="B24099" t="s">
        <v>38688</v>
      </c>
      <c r="C24099" t="s">
        <v>151</v>
      </c>
      <c r="D24099" t="s">
        <v>1156</v>
      </c>
      <c r="E24099" t="s">
        <v>674</v>
      </c>
      <c r="F24099" s="2" t="str">
        <f>HYPERLINK("http://www.otzar.org/book.asp?621868","מנחת חינוך &lt;מאור המנחה&gt;")</f>
        <v>מנחת חינוך &lt;מאור המנחה&gt;</v>
      </c>
    </row>
    <row r="24100" spans="1:6" x14ac:dyDescent="0.2">
      <c r="A24100" t="s">
        <v>38689</v>
      </c>
      <c r="B24100" t="s">
        <v>38690</v>
      </c>
      <c r="C24100" t="s">
        <v>466</v>
      </c>
      <c r="D24100" t="s">
        <v>52</v>
      </c>
      <c r="E24100" t="s">
        <v>130</v>
      </c>
      <c r="F24100" s="2" t="str">
        <f>HYPERLINK("http://www.otzar.org/book.asp?149919","מנחת חינוך המורחב - מצוות הפסח")</f>
        <v>מנחת חינוך המורחב - מצוות הפסח</v>
      </c>
    </row>
    <row r="24101" spans="1:6" x14ac:dyDescent="0.2">
      <c r="A24101" t="s">
        <v>38691</v>
      </c>
      <c r="B24101" t="s">
        <v>38692</v>
      </c>
      <c r="C24101" t="s">
        <v>523</v>
      </c>
      <c r="D24101" t="s">
        <v>412</v>
      </c>
      <c r="E24101" t="s">
        <v>15</v>
      </c>
      <c r="F24101" s="2" t="str">
        <f>HYPERLINK("http://www.otzar.org/book.asp?197353","מנחת חינוך מוסך השבת עם מנחת הבוקר")</f>
        <v>מנחת חינוך מוסך השבת עם מנחת הבוקר</v>
      </c>
    </row>
    <row r="24102" spans="1:6" x14ac:dyDescent="0.2">
      <c r="A24102" t="s">
        <v>38693</v>
      </c>
      <c r="B24102" t="s">
        <v>38694</v>
      </c>
      <c r="C24102" t="s">
        <v>71</v>
      </c>
      <c r="D24102" t="s">
        <v>646</v>
      </c>
      <c r="E24102" t="s">
        <v>674</v>
      </c>
      <c r="F24102" s="2" t="str">
        <f>HYPERLINK("http://www.otzar.org/book.asp?601135","מנחת חינוך עם עשירית האיפה - א")</f>
        <v>מנחת חינוך עם עשירית האיפה - א</v>
      </c>
    </row>
    <row r="24103" spans="1:6" x14ac:dyDescent="0.2">
      <c r="A24103" t="s">
        <v>38695</v>
      </c>
      <c r="B24103" t="s">
        <v>38696</v>
      </c>
      <c r="C24103" t="s">
        <v>20</v>
      </c>
      <c r="D24103" t="s">
        <v>14</v>
      </c>
      <c r="E24103" t="s">
        <v>1211</v>
      </c>
      <c r="F24103" s="2" t="str">
        <f>HYPERLINK("http://www.otzar.org/book.asp?105685","מנחת חינוך - 4 כר'")</f>
        <v>מנחת חינוך - 4 כר'</v>
      </c>
    </row>
    <row r="24104" spans="1:6" x14ac:dyDescent="0.2">
      <c r="A24104" t="s">
        <v>38697</v>
      </c>
      <c r="B24104" t="s">
        <v>1748</v>
      </c>
      <c r="C24104" t="s">
        <v>422</v>
      </c>
      <c r="D24104" t="s">
        <v>52</v>
      </c>
      <c r="E24104" t="s">
        <v>15</v>
      </c>
      <c r="F24104" s="2" t="str">
        <f>HYPERLINK("http://www.otzar.org/book.asp?85742","מנחת חינוך - מוסך השבת &lt;נתיבי מועד&gt;")</f>
        <v>מנחת חינוך - מוסך השבת &lt;נתיבי מועד&gt;</v>
      </c>
    </row>
    <row r="24105" spans="1:6" x14ac:dyDescent="0.2">
      <c r="A24105" t="s">
        <v>38698</v>
      </c>
      <c r="B24105" t="s">
        <v>13638</v>
      </c>
      <c r="C24105" t="s">
        <v>106</v>
      </c>
      <c r="D24105" t="s">
        <v>646</v>
      </c>
      <c r="E24105" t="s">
        <v>144</v>
      </c>
      <c r="F24105" s="2" t="str">
        <f>HYPERLINK("http://www.otzar.org/book.asp?145196","מנחת חן - 5 כר'")</f>
        <v>מנחת חן - 5 כר'</v>
      </c>
    </row>
    <row r="24106" spans="1:6" x14ac:dyDescent="0.2">
      <c r="A24106" t="s">
        <v>38699</v>
      </c>
      <c r="B24106" t="s">
        <v>38700</v>
      </c>
      <c r="C24106" t="s">
        <v>111</v>
      </c>
      <c r="D24106" t="s">
        <v>14</v>
      </c>
      <c r="E24106" t="s">
        <v>230</v>
      </c>
      <c r="F24106" s="2" t="str">
        <f>HYPERLINK("http://www.otzar.org/book.asp?630145","מנחת חן")</f>
        <v>מנחת חן</v>
      </c>
    </row>
    <row r="24107" spans="1:6" x14ac:dyDescent="0.2">
      <c r="A24107" t="s">
        <v>38701</v>
      </c>
      <c r="B24107" t="s">
        <v>26865</v>
      </c>
      <c r="C24107" t="s">
        <v>37</v>
      </c>
      <c r="D24107" t="s">
        <v>152</v>
      </c>
      <c r="E24107" t="s">
        <v>144</v>
      </c>
      <c r="F24107" s="2" t="str">
        <f>HYPERLINK("http://www.otzar.org/book.asp?182913","מנחת חן - 9 כר'")</f>
        <v>מנחת חן - 9 כר'</v>
      </c>
    </row>
    <row r="24108" spans="1:6" x14ac:dyDescent="0.2">
      <c r="A24108" t="s">
        <v>38702</v>
      </c>
      <c r="B24108" t="s">
        <v>27233</v>
      </c>
      <c r="C24108" t="s">
        <v>619</v>
      </c>
      <c r="F24108" s="2" t="str">
        <f>HYPERLINK("http://www.otzar.org/book.asp?612895","מנחת טהורה &lt;גרמנית&gt;")</f>
        <v>מנחת טהורה &lt;גרמנית&gt;</v>
      </c>
    </row>
    <row r="24109" spans="1:6" x14ac:dyDescent="0.2">
      <c r="A24109" t="s">
        <v>38703</v>
      </c>
      <c r="B24109" t="s">
        <v>25854</v>
      </c>
      <c r="C24109" t="s">
        <v>68</v>
      </c>
      <c r="D24109" t="s">
        <v>52</v>
      </c>
      <c r="E24109" t="s">
        <v>144</v>
      </c>
      <c r="F24109" s="2" t="str">
        <f>HYPERLINK("http://www.otzar.org/book.asp?159328","מנחת יאיר - 2 כר'")</f>
        <v>מנחת יאיר - 2 כר'</v>
      </c>
    </row>
    <row r="24110" spans="1:6" x14ac:dyDescent="0.2">
      <c r="A24110" t="s">
        <v>38704</v>
      </c>
      <c r="B24110" t="s">
        <v>38705</v>
      </c>
      <c r="C24110" t="s">
        <v>22961</v>
      </c>
      <c r="D24110" t="s">
        <v>4349</v>
      </c>
      <c r="E24110" t="s">
        <v>148</v>
      </c>
      <c r="F24110" s="2" t="str">
        <f>HYPERLINK("http://www.otzar.org/book.asp?828","מנחת יהודא")</f>
        <v>מנחת יהודא</v>
      </c>
    </row>
    <row r="24111" spans="1:6" x14ac:dyDescent="0.2">
      <c r="A24111" t="s">
        <v>38706</v>
      </c>
      <c r="B24111" t="s">
        <v>38707</v>
      </c>
      <c r="C24111" t="s">
        <v>38708</v>
      </c>
      <c r="D24111" t="s">
        <v>5258</v>
      </c>
      <c r="E24111" t="s">
        <v>952</v>
      </c>
      <c r="F24111" s="2" t="str">
        <f>HYPERLINK("http://www.otzar.org/book.asp?101081","מנחת יהודא - 2 כר'")</f>
        <v>מנחת יהודא - 2 כר'</v>
      </c>
    </row>
    <row r="24112" spans="1:6" x14ac:dyDescent="0.2">
      <c r="A24112" t="s">
        <v>38704</v>
      </c>
      <c r="B24112" t="s">
        <v>38709</v>
      </c>
      <c r="C24112" t="s">
        <v>1470</v>
      </c>
      <c r="D24112" t="s">
        <v>38710</v>
      </c>
      <c r="E24112" t="s">
        <v>474</v>
      </c>
      <c r="F24112" s="2" t="str">
        <f>HYPERLINK("http://www.otzar.org/book.asp?162265","מנחת יהודא")</f>
        <v>מנחת יהודא</v>
      </c>
    </row>
    <row r="24113" spans="1:6" x14ac:dyDescent="0.2">
      <c r="A24113" t="s">
        <v>38706</v>
      </c>
      <c r="B24113" t="s">
        <v>38711</v>
      </c>
      <c r="C24113" t="s">
        <v>6624</v>
      </c>
      <c r="D24113" t="s">
        <v>42</v>
      </c>
      <c r="F24113" s="2" t="str">
        <f>HYPERLINK("http://www.otzar.org/book.asp?152250","מנחת יהודא - 2 כר'")</f>
        <v>מנחת יהודא - 2 כר'</v>
      </c>
    </row>
    <row r="24114" spans="1:6" x14ac:dyDescent="0.2">
      <c r="A24114" t="s">
        <v>38712</v>
      </c>
      <c r="B24114" t="s">
        <v>38713</v>
      </c>
      <c r="C24114" t="s">
        <v>189</v>
      </c>
      <c r="D24114" t="s">
        <v>14</v>
      </c>
      <c r="E24114" t="s">
        <v>144</v>
      </c>
      <c r="F24114" s="2" t="str">
        <f>HYPERLINK("http://www.otzar.org/book.asp?26054","מנחת יהודא - 7 כר'")</f>
        <v>מנחת יהודא - 7 כר'</v>
      </c>
    </row>
    <row r="24115" spans="1:6" x14ac:dyDescent="0.2">
      <c r="A24115" t="s">
        <v>38714</v>
      </c>
      <c r="B24115" t="s">
        <v>21909</v>
      </c>
      <c r="C24115" t="s">
        <v>422</v>
      </c>
      <c r="D24115" t="s">
        <v>14</v>
      </c>
      <c r="E24115" t="s">
        <v>5186</v>
      </c>
      <c r="F24115" s="2" t="str">
        <f>HYPERLINK("http://www.otzar.org/book.asp?179435","מנחת יהודה &lt;מהדורה חדשה&gt;")</f>
        <v>מנחת יהודה &lt;מהדורה חדשה&gt;</v>
      </c>
    </row>
    <row r="24116" spans="1:6" x14ac:dyDescent="0.2">
      <c r="A24116" t="s">
        <v>38714</v>
      </c>
      <c r="B24116" t="s">
        <v>6351</v>
      </c>
      <c r="C24116" t="s">
        <v>111</v>
      </c>
      <c r="D24116" t="s">
        <v>14</v>
      </c>
      <c r="E24116" t="s">
        <v>158</v>
      </c>
      <c r="F24116" s="2" t="str">
        <f>HYPERLINK("http://www.otzar.org/book.asp?623199","מנחת יהודה &lt;מהדורה חדשה&gt;")</f>
        <v>מנחת יהודה &lt;מהדורה חדשה&gt;</v>
      </c>
    </row>
    <row r="24117" spans="1:6" x14ac:dyDescent="0.2">
      <c r="A24117" t="s">
        <v>38715</v>
      </c>
      <c r="B24117" t="s">
        <v>38716</v>
      </c>
      <c r="C24117" t="s">
        <v>1448</v>
      </c>
      <c r="D24117" t="s">
        <v>14</v>
      </c>
      <c r="E24117" t="s">
        <v>154</v>
      </c>
      <c r="F24117" s="2" t="str">
        <f>HYPERLINK("http://www.otzar.org/book.asp?162406","מנחת יהודה &lt;שו""ת&gt; - 2 כר'")</f>
        <v>מנחת יהודה &lt;שו"ת&gt; - 2 כר'</v>
      </c>
    </row>
    <row r="24118" spans="1:6" x14ac:dyDescent="0.2">
      <c r="A24118" t="s">
        <v>38717</v>
      </c>
      <c r="B24118" t="s">
        <v>3374</v>
      </c>
      <c r="C24118" t="s">
        <v>334</v>
      </c>
      <c r="D24118" t="s">
        <v>423</v>
      </c>
      <c r="E24118" t="s">
        <v>104</v>
      </c>
      <c r="F24118" s="2" t="str">
        <f>HYPERLINK("http://www.otzar.org/book.asp?23760","מנחת יהודה וירושלים")</f>
        <v>מנחת יהודה וירושלים</v>
      </c>
    </row>
    <row r="24119" spans="1:6" x14ac:dyDescent="0.2">
      <c r="A24119" t="s">
        <v>38718</v>
      </c>
      <c r="B24119" t="s">
        <v>37979</v>
      </c>
      <c r="C24119" t="s">
        <v>34019</v>
      </c>
      <c r="D24119" t="s">
        <v>1490</v>
      </c>
      <c r="E24119" t="s">
        <v>104</v>
      </c>
      <c r="F24119" s="2" t="str">
        <f>HYPERLINK("http://www.otzar.org/book.asp?146841","מנחת יהודה שונא הנשים")</f>
        <v>מנחת יהודה שונא הנשים</v>
      </c>
    </row>
    <row r="24120" spans="1:6" x14ac:dyDescent="0.2">
      <c r="A24120" t="s">
        <v>38719</v>
      </c>
      <c r="B24120" t="s">
        <v>21909</v>
      </c>
      <c r="C24120" t="s">
        <v>224</v>
      </c>
      <c r="D24120" t="s">
        <v>7458</v>
      </c>
      <c r="E24120" t="s">
        <v>158</v>
      </c>
      <c r="F24120" s="2" t="str">
        <f>HYPERLINK("http://www.otzar.org/book.asp?158159","מנחת יהודה")</f>
        <v>מנחת יהודה</v>
      </c>
    </row>
    <row r="24121" spans="1:6" x14ac:dyDescent="0.2">
      <c r="A24121" t="s">
        <v>38720</v>
      </c>
      <c r="B24121" t="s">
        <v>38721</v>
      </c>
      <c r="C24121" t="s">
        <v>1470</v>
      </c>
      <c r="D24121" t="s">
        <v>14830</v>
      </c>
      <c r="E24121" t="s">
        <v>158</v>
      </c>
      <c r="F24121" s="2" t="str">
        <f>HYPERLINK("http://www.otzar.org/book.asp?103505","מנחת יהודה - 3 כר'")</f>
        <v>מנחת יהודה - 3 כר'</v>
      </c>
    </row>
    <row r="24122" spans="1:6" x14ac:dyDescent="0.2">
      <c r="A24122" t="s">
        <v>38719</v>
      </c>
      <c r="B24122" t="s">
        <v>38722</v>
      </c>
      <c r="C24122" t="s">
        <v>462</v>
      </c>
      <c r="D24122" t="s">
        <v>27</v>
      </c>
      <c r="E24122" t="s">
        <v>38723</v>
      </c>
      <c r="F24122" s="2" t="str">
        <f>HYPERLINK("http://www.otzar.org/book.asp?105043","מנחת יהודה")</f>
        <v>מנחת יהודה</v>
      </c>
    </row>
    <row r="24123" spans="1:6" x14ac:dyDescent="0.2">
      <c r="A24123" t="s">
        <v>38719</v>
      </c>
      <c r="B24123" t="s">
        <v>38724</v>
      </c>
      <c r="C24123" t="s">
        <v>8820</v>
      </c>
      <c r="D24123" t="s">
        <v>726</v>
      </c>
      <c r="E24123" t="s">
        <v>4940</v>
      </c>
      <c r="F24123" s="2" t="str">
        <f>HYPERLINK("http://www.otzar.org/book.asp?7293","מנחת יהודה")</f>
        <v>מנחת יהודה</v>
      </c>
    </row>
    <row r="24124" spans="1:6" x14ac:dyDescent="0.2">
      <c r="A24124" t="s">
        <v>38719</v>
      </c>
      <c r="B24124" t="s">
        <v>13362</v>
      </c>
      <c r="C24124" t="s">
        <v>306</v>
      </c>
      <c r="D24124" t="s">
        <v>38725</v>
      </c>
      <c r="F24124" s="2" t="str">
        <f>HYPERLINK("http://www.otzar.org/book.asp?191425","מנחת יהודה")</f>
        <v>מנחת יהודה</v>
      </c>
    </row>
    <row r="24125" spans="1:6" x14ac:dyDescent="0.2">
      <c r="A24125" t="s">
        <v>38719</v>
      </c>
      <c r="B24125" t="s">
        <v>38726</v>
      </c>
      <c r="C24125" t="s">
        <v>635</v>
      </c>
      <c r="D24125" t="s">
        <v>283</v>
      </c>
      <c r="E24125" t="s">
        <v>38727</v>
      </c>
      <c r="F24125" s="2" t="str">
        <f>HYPERLINK("http://www.otzar.org/book.asp?9169","מנחת יהודה")</f>
        <v>מנחת יהודה</v>
      </c>
    </row>
    <row r="24126" spans="1:6" x14ac:dyDescent="0.2">
      <c r="A24126" t="s">
        <v>38719</v>
      </c>
      <c r="B24126" t="s">
        <v>38728</v>
      </c>
      <c r="C24126" t="s">
        <v>558</v>
      </c>
      <c r="D24126" t="s">
        <v>379</v>
      </c>
      <c r="E24126" t="s">
        <v>144</v>
      </c>
      <c r="F24126" s="2" t="str">
        <f>HYPERLINK("http://www.otzar.org/book.asp?24988","מנחת יהודה")</f>
        <v>מנחת יהודה</v>
      </c>
    </row>
    <row r="24127" spans="1:6" x14ac:dyDescent="0.2">
      <c r="A24127" t="s">
        <v>38729</v>
      </c>
      <c r="B24127" t="s">
        <v>206</v>
      </c>
      <c r="C24127" t="s">
        <v>13</v>
      </c>
      <c r="D24127" t="s">
        <v>90</v>
      </c>
      <c r="E24127" t="s">
        <v>148</v>
      </c>
      <c r="F24127" s="2" t="str">
        <f>HYPERLINK("http://www.otzar.org/book.asp?62613","מנחת יהודה - 2 כר'")</f>
        <v>מנחת יהודה - 2 כר'</v>
      </c>
    </row>
    <row r="24128" spans="1:6" x14ac:dyDescent="0.2">
      <c r="A24128" t="s">
        <v>38719</v>
      </c>
      <c r="B24128" t="s">
        <v>38730</v>
      </c>
      <c r="C24128" t="s">
        <v>506</v>
      </c>
      <c r="D24128" t="s">
        <v>56</v>
      </c>
      <c r="E24128" t="s">
        <v>144</v>
      </c>
      <c r="F24128" s="2" t="str">
        <f>HYPERLINK("http://www.otzar.org/book.asp?83967","מנחת יהודה")</f>
        <v>מנחת יהודה</v>
      </c>
    </row>
    <row r="24129" spans="1:6" x14ac:dyDescent="0.2">
      <c r="A24129" t="s">
        <v>38719</v>
      </c>
      <c r="B24129" t="s">
        <v>16958</v>
      </c>
      <c r="C24129" t="s">
        <v>2243</v>
      </c>
      <c r="D24129" t="s">
        <v>2303</v>
      </c>
      <c r="E24129" t="s">
        <v>474</v>
      </c>
      <c r="F24129" s="2" t="str">
        <f>HYPERLINK("http://www.otzar.org/book.asp?24987","מנחת יהודה")</f>
        <v>מנחת יהודה</v>
      </c>
    </row>
    <row r="24130" spans="1:6" x14ac:dyDescent="0.2">
      <c r="A24130" t="s">
        <v>38731</v>
      </c>
      <c r="B24130" t="s">
        <v>38732</v>
      </c>
      <c r="C24130" t="s">
        <v>1448</v>
      </c>
      <c r="D24130" t="s">
        <v>14</v>
      </c>
      <c r="E24130" t="s">
        <v>579</v>
      </c>
      <c r="F24130" s="2" t="str">
        <f>HYPERLINK("http://www.otzar.org/book.asp?64176","מנחת יהודה - 6 כר'")</f>
        <v>מנחת יהודה - 6 כר'</v>
      </c>
    </row>
    <row r="24131" spans="1:6" x14ac:dyDescent="0.2">
      <c r="A24131" t="s">
        <v>38729</v>
      </c>
      <c r="B24131" t="s">
        <v>10146</v>
      </c>
      <c r="C24131" t="s">
        <v>888</v>
      </c>
      <c r="D24131" t="s">
        <v>6503</v>
      </c>
      <c r="E24131" t="s">
        <v>144</v>
      </c>
      <c r="F24131" s="2" t="str">
        <f>HYPERLINK("http://www.otzar.org/book.asp?193909","מנחת יהודה - 2 כר'")</f>
        <v>מנחת יהודה - 2 כר'</v>
      </c>
    </row>
    <row r="24132" spans="1:6" x14ac:dyDescent="0.2">
      <c r="A24132" t="s">
        <v>38719</v>
      </c>
      <c r="B24132" t="s">
        <v>38733</v>
      </c>
      <c r="C24132" t="s">
        <v>473</v>
      </c>
      <c r="D24132" t="s">
        <v>661</v>
      </c>
      <c r="E24132" t="s">
        <v>4940</v>
      </c>
      <c r="F24132" s="2" t="str">
        <f>HYPERLINK("http://www.otzar.org/book.asp?102347","מנחת יהודה")</f>
        <v>מנחת יהודה</v>
      </c>
    </row>
    <row r="24133" spans="1:6" x14ac:dyDescent="0.2">
      <c r="A24133" t="s">
        <v>38734</v>
      </c>
      <c r="B24133" t="s">
        <v>13599</v>
      </c>
      <c r="C24133" t="s">
        <v>940</v>
      </c>
      <c r="D24133" t="s">
        <v>412</v>
      </c>
      <c r="E24133" t="s">
        <v>467</v>
      </c>
      <c r="F24133" s="2" t="str">
        <f>HYPERLINK("http://www.otzar.org/book.asp?165148","מנחת יהודה - ב")</f>
        <v>מנחת יהודה - ב</v>
      </c>
    </row>
    <row r="24134" spans="1:6" x14ac:dyDescent="0.2">
      <c r="A24134" t="s">
        <v>38729</v>
      </c>
      <c r="B24134" t="s">
        <v>38735</v>
      </c>
      <c r="C24134" t="s">
        <v>854</v>
      </c>
      <c r="D24134" t="s">
        <v>592</v>
      </c>
      <c r="E24134" t="s">
        <v>144</v>
      </c>
      <c r="F24134" s="2" t="str">
        <f>HYPERLINK("http://www.otzar.org/book.asp?193912","מנחת יהודה - 2 כר'")</f>
        <v>מנחת יהודה - 2 כר'</v>
      </c>
    </row>
    <row r="24135" spans="1:6" x14ac:dyDescent="0.2">
      <c r="A24135" t="s">
        <v>38736</v>
      </c>
      <c r="B24135" t="s">
        <v>38737</v>
      </c>
      <c r="C24135" t="s">
        <v>366</v>
      </c>
      <c r="D24135" t="s">
        <v>14</v>
      </c>
      <c r="F24135" s="2" t="str">
        <f>HYPERLINK("http://www.otzar.org/book.asp?616414","מנחת יהודה - יהושע, שופטים, שמואל")</f>
        <v>מנחת יהודה - יהושע, שופטים, שמואל</v>
      </c>
    </row>
    <row r="24136" spans="1:6" x14ac:dyDescent="0.2">
      <c r="A24136" t="s">
        <v>38738</v>
      </c>
      <c r="B24136" t="s">
        <v>6987</v>
      </c>
      <c r="C24136" t="s">
        <v>129</v>
      </c>
      <c r="D24136" t="s">
        <v>90</v>
      </c>
      <c r="E24136" t="s">
        <v>148</v>
      </c>
      <c r="F24136" s="2" t="str">
        <f>HYPERLINK("http://www.otzar.org/book.asp?60550","מנחת יהודה - מליחה")</f>
        <v>מנחת יהודה - מליחה</v>
      </c>
    </row>
    <row r="24137" spans="1:6" x14ac:dyDescent="0.2">
      <c r="A24137" t="s">
        <v>38739</v>
      </c>
      <c r="B24137" t="s">
        <v>38740</v>
      </c>
      <c r="C24137" t="s">
        <v>366</v>
      </c>
      <c r="D24137" t="s">
        <v>14</v>
      </c>
      <c r="F24137" s="2" t="str">
        <f>HYPERLINK("http://www.otzar.org/book.asp?618616","מנחת יהודה - שבת")</f>
        <v>מנחת יהודה - שבת</v>
      </c>
    </row>
    <row r="24138" spans="1:6" x14ac:dyDescent="0.2">
      <c r="A24138" t="s">
        <v>38720</v>
      </c>
      <c r="B24138" t="s">
        <v>28641</v>
      </c>
      <c r="C24138" t="s">
        <v>908</v>
      </c>
      <c r="D24138" t="s">
        <v>225</v>
      </c>
      <c r="E24138" t="s">
        <v>172</v>
      </c>
      <c r="F24138" s="2" t="str">
        <f>HYPERLINK("http://www.otzar.org/book.asp?151516","מנחת יהודה - 3 כר'")</f>
        <v>מנחת יהודה - 3 כר'</v>
      </c>
    </row>
    <row r="24139" spans="1:6" x14ac:dyDescent="0.2">
      <c r="A24139" t="s">
        <v>38719</v>
      </c>
      <c r="B24139" t="s">
        <v>38741</v>
      </c>
      <c r="C24139" t="s">
        <v>1317</v>
      </c>
      <c r="D24139" t="s">
        <v>60</v>
      </c>
      <c r="E24139" t="s">
        <v>158</v>
      </c>
      <c r="F24139" s="2" t="str">
        <f>HYPERLINK("http://www.otzar.org/book.asp?147022","מנחת יהודה")</f>
        <v>מנחת יהודה</v>
      </c>
    </row>
    <row r="24140" spans="1:6" x14ac:dyDescent="0.2">
      <c r="A24140" t="s">
        <v>38720</v>
      </c>
      <c r="B24140" t="s">
        <v>4090</v>
      </c>
      <c r="C24140" t="s">
        <v>422</v>
      </c>
      <c r="D24140" t="s">
        <v>52</v>
      </c>
      <c r="E24140" t="s">
        <v>246</v>
      </c>
      <c r="F24140" s="2" t="str">
        <f>HYPERLINK("http://www.otzar.org/book.asp?167125","מנחת יהודה - 3 כר'")</f>
        <v>מנחת יהודה - 3 כר'</v>
      </c>
    </row>
    <row r="24141" spans="1:6" x14ac:dyDescent="0.2">
      <c r="A24141" t="s">
        <v>38742</v>
      </c>
      <c r="B24141" t="s">
        <v>6302</v>
      </c>
      <c r="C24141" t="s">
        <v>23</v>
      </c>
      <c r="D24141" t="s">
        <v>52</v>
      </c>
      <c r="E24141" t="s">
        <v>144</v>
      </c>
      <c r="F24141" s="2" t="str">
        <f>HYPERLINK("http://www.otzar.org/book.asp?605241","מנחת יהודה - 9 כר'")</f>
        <v>מנחת יהודה - 9 כר'</v>
      </c>
    </row>
    <row r="24142" spans="1:6" x14ac:dyDescent="0.2">
      <c r="A24142" t="s">
        <v>38719</v>
      </c>
      <c r="B24142" t="s">
        <v>9028</v>
      </c>
      <c r="C24142" t="s">
        <v>8</v>
      </c>
      <c r="D24142" t="s">
        <v>27</v>
      </c>
      <c r="E24142" t="s">
        <v>741</v>
      </c>
      <c r="F24142" s="2" t="str">
        <f>HYPERLINK("http://www.otzar.org/book.asp?13510","מנחת יהודה")</f>
        <v>מנחת יהודה</v>
      </c>
    </row>
    <row r="24143" spans="1:6" x14ac:dyDescent="0.2">
      <c r="A24143" t="s">
        <v>38729</v>
      </c>
      <c r="B24143" t="s">
        <v>38743</v>
      </c>
      <c r="C24143" t="s">
        <v>38744</v>
      </c>
      <c r="D24143" t="s">
        <v>6608</v>
      </c>
      <c r="E24143" t="s">
        <v>701</v>
      </c>
      <c r="F24143" s="2" t="str">
        <f>HYPERLINK("http://www.otzar.org/book.asp?104292","מנחת יהודה - 2 כר'")</f>
        <v>מנחת יהודה - 2 כר'</v>
      </c>
    </row>
    <row r="24144" spans="1:6" x14ac:dyDescent="0.2">
      <c r="A24144" t="s">
        <v>38719</v>
      </c>
      <c r="B24144" t="s">
        <v>6351</v>
      </c>
      <c r="C24144" t="s">
        <v>445</v>
      </c>
      <c r="D24144" t="s">
        <v>225</v>
      </c>
      <c r="F24144" s="2" t="str">
        <f>HYPERLINK("http://www.otzar.org/book.asp?156264","מנחת יהודה")</f>
        <v>מנחת יהודה</v>
      </c>
    </row>
    <row r="24145" spans="1:6" x14ac:dyDescent="0.2">
      <c r="A24145" t="s">
        <v>38719</v>
      </c>
      <c r="B24145" t="s">
        <v>1800</v>
      </c>
      <c r="C24145" t="s">
        <v>1954</v>
      </c>
      <c r="D24145" t="s">
        <v>14</v>
      </c>
      <c r="E24145" t="s">
        <v>38745</v>
      </c>
      <c r="F24145" s="2" t="str">
        <f>HYPERLINK("http://www.otzar.org/book.asp?142914","מנחת יהודה")</f>
        <v>מנחת יהודה</v>
      </c>
    </row>
    <row r="24146" spans="1:6" x14ac:dyDescent="0.2">
      <c r="A24146" t="s">
        <v>38746</v>
      </c>
      <c r="B24146" t="s">
        <v>38747</v>
      </c>
      <c r="C24146" t="s">
        <v>133</v>
      </c>
      <c r="D24146" t="s">
        <v>152</v>
      </c>
      <c r="E24146" t="s">
        <v>144</v>
      </c>
      <c r="F24146" s="2" t="str">
        <f>HYPERLINK("http://www.otzar.org/book.asp?172550","מנחת יום טוב - בבא בתרא")</f>
        <v>מנחת יום טוב - בבא בתרא</v>
      </c>
    </row>
    <row r="24147" spans="1:6" x14ac:dyDescent="0.2">
      <c r="A24147" t="s">
        <v>38748</v>
      </c>
      <c r="B24147" t="s">
        <v>38749</v>
      </c>
      <c r="C24147" t="s">
        <v>244</v>
      </c>
      <c r="D24147" t="s">
        <v>152</v>
      </c>
      <c r="F24147" s="2" t="str">
        <f>HYPERLINK("http://www.otzar.org/book.asp?197662","מנחת יום טוב - פסחים")</f>
        <v>מנחת יום טוב - פסחים</v>
      </c>
    </row>
    <row r="24148" spans="1:6" x14ac:dyDescent="0.2">
      <c r="A24148" t="s">
        <v>38750</v>
      </c>
      <c r="B24148" t="s">
        <v>10980</v>
      </c>
      <c r="C24148" t="s">
        <v>26</v>
      </c>
      <c r="D24148" t="s">
        <v>118</v>
      </c>
      <c r="E24148" t="s">
        <v>38751</v>
      </c>
      <c r="F24148" s="2" t="str">
        <f>HYPERLINK("http://www.otzar.org/book.asp?10140","מנחת יוסף שני חלקים")</f>
        <v>מנחת יוסף שני חלקים</v>
      </c>
    </row>
    <row r="24149" spans="1:6" x14ac:dyDescent="0.2">
      <c r="A24149" t="s">
        <v>38752</v>
      </c>
      <c r="B24149" t="s">
        <v>38753</v>
      </c>
      <c r="C24149" t="s">
        <v>422</v>
      </c>
      <c r="D24149" t="s">
        <v>245</v>
      </c>
      <c r="E24149" t="s">
        <v>960</v>
      </c>
      <c r="F24149" s="2" t="str">
        <f>HYPERLINK("http://www.otzar.org/book.asp?174191","מנחת יוסף - תפילה וברכות")</f>
        <v>מנחת יוסף - תפילה וברכות</v>
      </c>
    </row>
    <row r="24150" spans="1:6" x14ac:dyDescent="0.2">
      <c r="A24150" t="s">
        <v>38754</v>
      </c>
      <c r="B24150" t="s">
        <v>14670</v>
      </c>
      <c r="C24150" t="s">
        <v>5308</v>
      </c>
      <c r="D24150" t="s">
        <v>212</v>
      </c>
      <c r="E24150" t="s">
        <v>579</v>
      </c>
      <c r="F24150" s="2" t="str">
        <f>HYPERLINK("http://www.otzar.org/book.asp?102345","מנחת יוסף - 2 כר'")</f>
        <v>מנחת יוסף - 2 כר'</v>
      </c>
    </row>
    <row r="24151" spans="1:6" x14ac:dyDescent="0.2">
      <c r="A24151" t="s">
        <v>38754</v>
      </c>
      <c r="B24151" t="s">
        <v>38755</v>
      </c>
      <c r="C24151" t="s">
        <v>313</v>
      </c>
      <c r="D24151" t="s">
        <v>14</v>
      </c>
      <c r="E24151" t="s">
        <v>144</v>
      </c>
      <c r="F24151" s="2" t="str">
        <f>HYPERLINK("http://www.otzar.org/book.asp?173548","מנחת יוסף - 2 כר'")</f>
        <v>מנחת יוסף - 2 כר'</v>
      </c>
    </row>
    <row r="24152" spans="1:6" x14ac:dyDescent="0.2">
      <c r="A24152" t="s">
        <v>38754</v>
      </c>
      <c r="B24152" t="s">
        <v>35351</v>
      </c>
      <c r="C24152" t="s">
        <v>133</v>
      </c>
      <c r="D24152" t="s">
        <v>52</v>
      </c>
      <c r="E24152" t="s">
        <v>104</v>
      </c>
      <c r="F24152" s="2" t="str">
        <f>HYPERLINK("http://www.otzar.org/book.asp?188820","מנחת יוסף - 2 כר'")</f>
        <v>מנחת יוסף - 2 כר'</v>
      </c>
    </row>
    <row r="24153" spans="1:6" x14ac:dyDescent="0.2">
      <c r="A24153" t="s">
        <v>38756</v>
      </c>
      <c r="B24153" t="s">
        <v>38757</v>
      </c>
      <c r="C24153" t="s">
        <v>23</v>
      </c>
      <c r="D24153" t="s">
        <v>52</v>
      </c>
      <c r="F24153" s="2" t="str">
        <f>HYPERLINK("http://www.otzar.org/book.asp?617172","מנחת יוסף")</f>
        <v>מנחת יוסף</v>
      </c>
    </row>
    <row r="24154" spans="1:6" x14ac:dyDescent="0.2">
      <c r="A24154" t="s">
        <v>38754</v>
      </c>
      <c r="B24154" t="s">
        <v>38758</v>
      </c>
      <c r="C24154" t="s">
        <v>785</v>
      </c>
      <c r="D24154" t="s">
        <v>14</v>
      </c>
      <c r="E24154" t="s">
        <v>803</v>
      </c>
      <c r="F24154" s="2" t="str">
        <f>HYPERLINK("http://www.otzar.org/book.asp?182869","מנחת יוסף - 2 כר'")</f>
        <v>מנחת יוסף - 2 כר'</v>
      </c>
    </row>
    <row r="24155" spans="1:6" x14ac:dyDescent="0.2">
      <c r="A24155" t="s">
        <v>38754</v>
      </c>
      <c r="B24155" t="s">
        <v>38759</v>
      </c>
      <c r="C24155" t="s">
        <v>133</v>
      </c>
      <c r="D24155" t="s">
        <v>90</v>
      </c>
      <c r="F24155" s="2" t="str">
        <f>HYPERLINK("http://www.otzar.org/book.asp?197259","מנחת יוסף - 2 כר'")</f>
        <v>מנחת יוסף - 2 כר'</v>
      </c>
    </row>
    <row r="24156" spans="1:6" x14ac:dyDescent="0.2">
      <c r="A24156" t="s">
        <v>38760</v>
      </c>
      <c r="B24156" t="s">
        <v>38761</v>
      </c>
      <c r="C24156" t="s">
        <v>37</v>
      </c>
      <c r="D24156" t="s">
        <v>152</v>
      </c>
      <c r="E24156" t="s">
        <v>144</v>
      </c>
      <c r="F24156" s="2" t="str">
        <f>HYPERLINK("http://www.otzar.org/book.asp?188999","מנחת יוסף - מוקצה")</f>
        <v>מנחת יוסף - מוקצה</v>
      </c>
    </row>
    <row r="24157" spans="1:6" x14ac:dyDescent="0.2">
      <c r="A24157" t="s">
        <v>38762</v>
      </c>
      <c r="B24157" t="s">
        <v>38763</v>
      </c>
      <c r="C24157" t="s">
        <v>1047</v>
      </c>
      <c r="D24157" t="s">
        <v>283</v>
      </c>
      <c r="E24157" t="s">
        <v>606</v>
      </c>
      <c r="F24157" s="2" t="str">
        <f>HYPERLINK("http://www.otzar.org/book.asp?8352","מנחת יוסף - 4 כר'")</f>
        <v>מנחת יוסף - 4 כר'</v>
      </c>
    </row>
    <row r="24158" spans="1:6" x14ac:dyDescent="0.2">
      <c r="A24158" t="s">
        <v>38756</v>
      </c>
      <c r="B24158" t="s">
        <v>1750</v>
      </c>
      <c r="E24158" t="s">
        <v>202</v>
      </c>
      <c r="F24158" s="2" t="str">
        <f>HYPERLINK("http://www.otzar.org/book.asp?619294","מנחת יוסף")</f>
        <v>מנחת יוסף</v>
      </c>
    </row>
    <row r="24159" spans="1:6" x14ac:dyDescent="0.2">
      <c r="A24159" t="s">
        <v>38764</v>
      </c>
      <c r="B24159" t="s">
        <v>38765</v>
      </c>
      <c r="C24159" t="s">
        <v>114</v>
      </c>
      <c r="D24159" t="s">
        <v>52</v>
      </c>
      <c r="F24159" s="2" t="str">
        <f>HYPERLINK("http://www.otzar.org/book.asp?611219","מנחת יחזקאל משמרת הקודש והדיבור - 2 כר'")</f>
        <v>מנחת יחזקאל משמרת הקודש והדיבור - 2 כר'</v>
      </c>
    </row>
    <row r="24160" spans="1:6" x14ac:dyDescent="0.2">
      <c r="A24160" t="s">
        <v>38766</v>
      </c>
      <c r="B24160" t="s">
        <v>38767</v>
      </c>
      <c r="C24160" t="s">
        <v>1374</v>
      </c>
      <c r="D24160" t="s">
        <v>691</v>
      </c>
      <c r="E24160" t="s">
        <v>154</v>
      </c>
      <c r="F24160" s="2" t="str">
        <f>HYPERLINK("http://www.otzar.org/book.asp?101083","מנחת יחיאל - 3 כר'")</f>
        <v>מנחת יחיאל - 3 כר'</v>
      </c>
    </row>
    <row r="24161" spans="1:6" x14ac:dyDescent="0.2">
      <c r="A24161" t="s">
        <v>38768</v>
      </c>
      <c r="B24161" t="s">
        <v>38769</v>
      </c>
      <c r="C24161" t="s">
        <v>422</v>
      </c>
      <c r="D24161" t="s">
        <v>14</v>
      </c>
      <c r="E24161" t="s">
        <v>144</v>
      </c>
      <c r="F24161" s="2" t="str">
        <f>HYPERLINK("http://www.otzar.org/book.asp?157921","מנחת יחיאל - כיסוי הדם")</f>
        <v>מנחת יחיאל - כיסוי הדם</v>
      </c>
    </row>
    <row r="24162" spans="1:6" x14ac:dyDescent="0.2">
      <c r="A24162" t="s">
        <v>38770</v>
      </c>
      <c r="B24162" t="s">
        <v>38771</v>
      </c>
      <c r="C24162" t="s">
        <v>106</v>
      </c>
      <c r="D24162" t="s">
        <v>8952</v>
      </c>
      <c r="E24162" t="s">
        <v>104</v>
      </c>
      <c r="F24162" s="2" t="str">
        <f>HYPERLINK("http://www.otzar.org/book.asp?7365","מנחת יחיד - 3 כר'")</f>
        <v>מנחת יחיד - 3 כר'</v>
      </c>
    </row>
    <row r="24163" spans="1:6" x14ac:dyDescent="0.2">
      <c r="A24163" t="s">
        <v>38772</v>
      </c>
      <c r="B24163" t="s">
        <v>38773</v>
      </c>
      <c r="C24163" t="s">
        <v>114</v>
      </c>
      <c r="D24163" t="s">
        <v>90</v>
      </c>
      <c r="E24163" t="s">
        <v>144</v>
      </c>
      <c r="F24163" s="2" t="str">
        <f>HYPERLINK("http://www.otzar.org/book.asp?166138","מנחת ים - קידושין")</f>
        <v>מנחת ים - קידושין</v>
      </c>
    </row>
    <row r="24164" spans="1:6" x14ac:dyDescent="0.2">
      <c r="A24164" t="s">
        <v>38774</v>
      </c>
      <c r="B24164" t="s">
        <v>26624</v>
      </c>
      <c r="C24164" t="s">
        <v>366</v>
      </c>
      <c r="D24164" t="s">
        <v>152</v>
      </c>
      <c r="E24164" t="s">
        <v>241</v>
      </c>
      <c r="F24164" s="2" t="str">
        <f>HYPERLINK("http://www.otzar.org/book.asp?607041","מנחת ימים")</f>
        <v>מנחת ימים</v>
      </c>
    </row>
    <row r="24165" spans="1:6" x14ac:dyDescent="0.2">
      <c r="A24165" t="s">
        <v>38775</v>
      </c>
      <c r="B24165" t="s">
        <v>38776</v>
      </c>
      <c r="C24165" t="s">
        <v>111</v>
      </c>
      <c r="D24165" t="s">
        <v>52</v>
      </c>
      <c r="E24165" t="s">
        <v>144</v>
      </c>
      <c r="F24165" s="2" t="str">
        <f>HYPERLINK("http://www.otzar.org/book.asp?630144","מנחת יעקב ישראל")</f>
        <v>מנחת יעקב ישראל</v>
      </c>
    </row>
    <row r="24166" spans="1:6" x14ac:dyDescent="0.2">
      <c r="A24166" t="s">
        <v>38777</v>
      </c>
      <c r="B24166" t="s">
        <v>38778</v>
      </c>
      <c r="C24166" t="s">
        <v>99</v>
      </c>
      <c r="D24166" t="s">
        <v>9</v>
      </c>
      <c r="E24166" t="s">
        <v>1262</v>
      </c>
      <c r="F24166" s="2" t="str">
        <f>HYPERLINK("http://www.otzar.org/book.asp?51700","מנחת יעקב")</f>
        <v>מנחת יעקב</v>
      </c>
    </row>
    <row r="24167" spans="1:6" x14ac:dyDescent="0.2">
      <c r="A24167" t="s">
        <v>38777</v>
      </c>
      <c r="B24167" t="s">
        <v>38779</v>
      </c>
      <c r="C24167" t="s">
        <v>473</v>
      </c>
      <c r="D24167" t="s">
        <v>8830</v>
      </c>
      <c r="E24167" t="s">
        <v>564</v>
      </c>
      <c r="F24167" s="2" t="str">
        <f>HYPERLINK("http://www.otzar.org/book.asp?103507","מנחת יעקב")</f>
        <v>מנחת יעקב</v>
      </c>
    </row>
    <row r="24168" spans="1:6" x14ac:dyDescent="0.2">
      <c r="A24168" t="s">
        <v>38780</v>
      </c>
      <c r="B24168" t="s">
        <v>14263</v>
      </c>
      <c r="C24168" t="s">
        <v>189</v>
      </c>
      <c r="D24168" t="s">
        <v>52</v>
      </c>
      <c r="E24168" t="s">
        <v>31134</v>
      </c>
      <c r="F24168" s="2" t="str">
        <f>HYPERLINK("http://www.otzar.org/book.asp?22566","מנחת יעקב - 4 כר'")</f>
        <v>מנחת יעקב - 4 כר'</v>
      </c>
    </row>
    <row r="24169" spans="1:6" x14ac:dyDescent="0.2">
      <c r="A24169" t="s">
        <v>38781</v>
      </c>
      <c r="B24169" t="s">
        <v>38782</v>
      </c>
      <c r="C24169" t="s">
        <v>422</v>
      </c>
      <c r="D24169" t="s">
        <v>152</v>
      </c>
      <c r="E24169" t="s">
        <v>104</v>
      </c>
      <c r="F24169" s="2" t="str">
        <f>HYPERLINK("http://www.otzar.org/book.asp?180617","מנחת יעקב - בגדי כהונה")</f>
        <v>מנחת יעקב - בגדי כהונה</v>
      </c>
    </row>
    <row r="24170" spans="1:6" x14ac:dyDescent="0.2">
      <c r="A24170" t="s">
        <v>38783</v>
      </c>
      <c r="B24170" t="s">
        <v>38784</v>
      </c>
      <c r="C24170" t="s">
        <v>114</v>
      </c>
      <c r="D24170" t="s">
        <v>14</v>
      </c>
      <c r="F24170" s="2" t="str">
        <f>HYPERLINK("http://www.otzar.org/book.asp?632069","מנחת יעקב - חו""מ סימנים א-עה")</f>
        <v>מנחת יעקב - חו"מ סימנים א-עה</v>
      </c>
    </row>
    <row r="24171" spans="1:6" x14ac:dyDescent="0.2">
      <c r="A24171" t="s">
        <v>38777</v>
      </c>
      <c r="B24171" t="s">
        <v>38785</v>
      </c>
      <c r="C24171" t="s">
        <v>351</v>
      </c>
      <c r="D24171" t="s">
        <v>283</v>
      </c>
      <c r="E24171" t="s">
        <v>144</v>
      </c>
      <c r="F24171" s="2" t="str">
        <f>HYPERLINK("http://www.otzar.org/book.asp?25570","מנחת יעקב")</f>
        <v>מנחת יעקב</v>
      </c>
    </row>
    <row r="24172" spans="1:6" x14ac:dyDescent="0.2">
      <c r="A24172" t="s">
        <v>38786</v>
      </c>
      <c r="B24172" t="s">
        <v>14730</v>
      </c>
      <c r="C24172" t="s">
        <v>68</v>
      </c>
      <c r="D24172" t="s">
        <v>14</v>
      </c>
      <c r="E24172" t="s">
        <v>154</v>
      </c>
      <c r="F24172" s="2" t="str">
        <f>HYPERLINK("http://www.otzar.org/book.asp?173212","מנחת יצחק &lt;מהדורה חדשה&gt; - 11 כר'")</f>
        <v>מנחת יצחק &lt;מהדורה חדשה&gt; - 11 כר'</v>
      </c>
    </row>
    <row r="24173" spans="1:6" x14ac:dyDescent="0.2">
      <c r="A24173" t="s">
        <v>38787</v>
      </c>
      <c r="B24173" t="s">
        <v>14730</v>
      </c>
      <c r="C24173" t="s">
        <v>106</v>
      </c>
      <c r="D24173" t="s">
        <v>14</v>
      </c>
      <c r="E24173" t="s">
        <v>474</v>
      </c>
      <c r="F24173" s="2" t="str">
        <f>HYPERLINK("http://www.otzar.org/book.asp?161832","מנחת יצחק על התורה - 3 כר'")</f>
        <v>מנחת יצחק על התורה - 3 כר'</v>
      </c>
    </row>
    <row r="24174" spans="1:6" x14ac:dyDescent="0.2">
      <c r="A24174" t="s">
        <v>38788</v>
      </c>
      <c r="B24174" t="s">
        <v>3900</v>
      </c>
      <c r="C24174" t="s">
        <v>37</v>
      </c>
      <c r="D24174" t="s">
        <v>152</v>
      </c>
      <c r="E24174" t="s">
        <v>84</v>
      </c>
      <c r="F24174" s="2" t="str">
        <f>HYPERLINK("http://www.otzar.org/book.asp?189202","מנחת יצחק על משניות סדר זרעים")</f>
        <v>מנחת יצחק על משניות סדר זרעים</v>
      </c>
    </row>
    <row r="24175" spans="1:6" x14ac:dyDescent="0.2">
      <c r="A24175" t="s">
        <v>38789</v>
      </c>
      <c r="B24175" t="s">
        <v>3900</v>
      </c>
      <c r="C24175" t="s">
        <v>151</v>
      </c>
      <c r="D24175" t="s">
        <v>152</v>
      </c>
      <c r="F24175" s="2" t="str">
        <f>HYPERLINK("http://www.otzar.org/book.asp?617539","מנחת יצחק על משניות - כלים, ידים")</f>
        <v>מנחת יצחק על משניות - כלים, ידים</v>
      </c>
    </row>
    <row r="24176" spans="1:6" x14ac:dyDescent="0.2">
      <c r="A24176" t="s">
        <v>38790</v>
      </c>
      <c r="B24176" t="s">
        <v>38791</v>
      </c>
      <c r="C24176" t="s">
        <v>812</v>
      </c>
      <c r="D24176" t="s">
        <v>726</v>
      </c>
      <c r="E24176" t="s">
        <v>148</v>
      </c>
      <c r="F24176" s="2" t="str">
        <f>HYPERLINK("http://www.otzar.org/book.asp?8386","מנחת יצחק")</f>
        <v>מנחת יצחק</v>
      </c>
    </row>
    <row r="24177" spans="1:6" x14ac:dyDescent="0.2">
      <c r="A24177" t="s">
        <v>38790</v>
      </c>
      <c r="B24177" t="s">
        <v>22318</v>
      </c>
      <c r="C24177" t="s">
        <v>1284</v>
      </c>
      <c r="D24177" t="s">
        <v>6459</v>
      </c>
      <c r="E24177" t="s">
        <v>154</v>
      </c>
      <c r="F24177" s="2" t="str">
        <f>HYPERLINK("http://www.otzar.org/book.asp?20142","מנחת יצחק")</f>
        <v>מנחת יצחק</v>
      </c>
    </row>
    <row r="24178" spans="1:6" x14ac:dyDescent="0.2">
      <c r="A24178" t="s">
        <v>38792</v>
      </c>
      <c r="B24178" t="s">
        <v>14730</v>
      </c>
      <c r="C24178" t="s">
        <v>523</v>
      </c>
      <c r="D24178" t="s">
        <v>14</v>
      </c>
      <c r="E24178" t="s">
        <v>791</v>
      </c>
      <c r="F24178" s="2" t="str">
        <f>HYPERLINK("http://www.otzar.org/book.asp?107048","מנחת יצחק - 19 כר'")</f>
        <v>מנחת יצחק - 19 כר'</v>
      </c>
    </row>
    <row r="24179" spans="1:6" x14ac:dyDescent="0.2">
      <c r="A24179" t="s">
        <v>38790</v>
      </c>
      <c r="B24179" t="s">
        <v>1306</v>
      </c>
      <c r="C24179" t="s">
        <v>106</v>
      </c>
      <c r="D24179" t="s">
        <v>14</v>
      </c>
      <c r="E24179" t="s">
        <v>5935</v>
      </c>
      <c r="F24179" s="2" t="str">
        <f>HYPERLINK("http://www.otzar.org/book.asp?624564","מנחת יצחק")</f>
        <v>מנחת יצחק</v>
      </c>
    </row>
    <row r="24180" spans="1:6" x14ac:dyDescent="0.2">
      <c r="A24180" t="s">
        <v>38790</v>
      </c>
      <c r="B24180" t="s">
        <v>38793</v>
      </c>
      <c r="C24180" t="s">
        <v>351</v>
      </c>
      <c r="D24180" t="s">
        <v>267</v>
      </c>
      <c r="E24180" t="s">
        <v>158</v>
      </c>
      <c r="F24180" s="2" t="str">
        <f>HYPERLINK("http://www.otzar.org/book.asp?140996","מנחת יצחק")</f>
        <v>מנחת יצחק</v>
      </c>
    </row>
    <row r="24181" spans="1:6" x14ac:dyDescent="0.2">
      <c r="A24181" t="s">
        <v>38790</v>
      </c>
      <c r="B24181" t="s">
        <v>38794</v>
      </c>
      <c r="C24181" t="s">
        <v>1228</v>
      </c>
      <c r="D24181" t="s">
        <v>889</v>
      </c>
      <c r="E24181" t="s">
        <v>144</v>
      </c>
      <c r="F24181" s="2" t="str">
        <f>HYPERLINK("http://www.otzar.org/book.asp?107305","מנחת יצחק")</f>
        <v>מנחת יצחק</v>
      </c>
    </row>
    <row r="24182" spans="1:6" x14ac:dyDescent="0.2">
      <c r="A24182" t="s">
        <v>38790</v>
      </c>
      <c r="B24182" t="s">
        <v>38795</v>
      </c>
      <c r="C24182" t="s">
        <v>5991</v>
      </c>
      <c r="D24182" t="s">
        <v>1722</v>
      </c>
      <c r="E24182" t="s">
        <v>172</v>
      </c>
      <c r="F24182" s="2" t="str">
        <f>HYPERLINK("http://www.otzar.org/book.asp?17548","מנחת יצחק")</f>
        <v>מנחת יצחק</v>
      </c>
    </row>
    <row r="24183" spans="1:6" x14ac:dyDescent="0.2">
      <c r="A24183" t="s">
        <v>38790</v>
      </c>
      <c r="B24183" t="s">
        <v>38796</v>
      </c>
      <c r="C24183" t="s">
        <v>2269</v>
      </c>
      <c r="D24183" t="s">
        <v>60</v>
      </c>
      <c r="E24183" t="s">
        <v>234</v>
      </c>
      <c r="F24183" s="2" t="str">
        <f>HYPERLINK("http://www.otzar.org/book.asp?152273","מנחת יצחק")</f>
        <v>מנחת יצחק</v>
      </c>
    </row>
    <row r="24184" spans="1:6" x14ac:dyDescent="0.2">
      <c r="A24184" t="s">
        <v>38790</v>
      </c>
      <c r="B24184" t="s">
        <v>38797</v>
      </c>
      <c r="C24184" t="s">
        <v>13514</v>
      </c>
      <c r="D24184" t="s">
        <v>1023</v>
      </c>
      <c r="E24184" t="s">
        <v>43</v>
      </c>
      <c r="F24184" s="2" t="str">
        <f>HYPERLINK("http://www.otzar.org/book.asp?84537","מנחת יצחק")</f>
        <v>מנחת יצחק</v>
      </c>
    </row>
    <row r="24185" spans="1:6" x14ac:dyDescent="0.2">
      <c r="A24185" t="s">
        <v>38798</v>
      </c>
      <c r="B24185" t="s">
        <v>38799</v>
      </c>
      <c r="C24185" t="s">
        <v>38800</v>
      </c>
      <c r="D24185" t="s">
        <v>986</v>
      </c>
      <c r="E24185" t="s">
        <v>579</v>
      </c>
      <c r="F24185" s="2" t="str">
        <f>HYPERLINK("http://www.otzar.org/book.asp?102348","מנחת יצחק - 4 כר'")</f>
        <v>מנחת יצחק - 4 כר'</v>
      </c>
    </row>
    <row r="24186" spans="1:6" x14ac:dyDescent="0.2">
      <c r="A24186" t="s">
        <v>38790</v>
      </c>
      <c r="B24186" t="s">
        <v>38801</v>
      </c>
      <c r="C24186" t="s">
        <v>360</v>
      </c>
      <c r="D24186" t="s">
        <v>225</v>
      </c>
      <c r="E24186" t="s">
        <v>508</v>
      </c>
      <c r="F24186" s="2" t="str">
        <f>HYPERLINK("http://www.otzar.org/book.asp?142519","מנחת יצחק")</f>
        <v>מנחת יצחק</v>
      </c>
    </row>
    <row r="24187" spans="1:6" x14ac:dyDescent="0.2">
      <c r="A24187" t="s">
        <v>38802</v>
      </c>
      <c r="B24187" t="s">
        <v>37679</v>
      </c>
      <c r="C24187" t="s">
        <v>313</v>
      </c>
      <c r="D24187" t="s">
        <v>14</v>
      </c>
      <c r="E24187" t="s">
        <v>674</v>
      </c>
      <c r="F24187" s="2" t="str">
        <f>HYPERLINK("http://www.otzar.org/book.asp?52198","מנחת ירושלים - 3 כר'")</f>
        <v>מנחת ירושלים - 3 כר'</v>
      </c>
    </row>
    <row r="24188" spans="1:6" x14ac:dyDescent="0.2">
      <c r="A24188" t="s">
        <v>38803</v>
      </c>
      <c r="B24188" t="s">
        <v>4685</v>
      </c>
      <c r="C24188" t="s">
        <v>38804</v>
      </c>
      <c r="D24188" t="s">
        <v>27</v>
      </c>
      <c r="E24188" t="s">
        <v>2088</v>
      </c>
      <c r="F24188" s="2" t="str">
        <f>HYPERLINK("http://www.otzar.org/book.asp?13720","מנחת ירושלם &lt;מנחה חריבה&gt; - א")</f>
        <v>מנחת ירושלם &lt;מנחה חריבה&gt; - א</v>
      </c>
    </row>
    <row r="24189" spans="1:6" x14ac:dyDescent="0.2">
      <c r="A24189" t="s">
        <v>38805</v>
      </c>
      <c r="B24189" t="s">
        <v>38806</v>
      </c>
      <c r="C24189" t="s">
        <v>462</v>
      </c>
      <c r="D24189" t="s">
        <v>225</v>
      </c>
      <c r="E24189" t="s">
        <v>15</v>
      </c>
      <c r="F24189" s="2" t="str">
        <f>HYPERLINK("http://www.otzar.org/book.asp?23797","מנחת ישכר - א,ב,ג")</f>
        <v>מנחת ישכר - א,ב,ג</v>
      </c>
    </row>
    <row r="24190" spans="1:6" x14ac:dyDescent="0.2">
      <c r="A24190" t="s">
        <v>38807</v>
      </c>
      <c r="B24190" t="s">
        <v>1642</v>
      </c>
      <c r="C24190" t="s">
        <v>1177</v>
      </c>
      <c r="D24190" t="s">
        <v>1279</v>
      </c>
      <c r="E24190" t="s">
        <v>2054</v>
      </c>
      <c r="F24190" s="2" t="str">
        <f>HYPERLINK("http://www.otzar.org/book.asp?173412","מנחת ישראל ואמונת ישראל")</f>
        <v>מנחת ישראל ואמונת ישראל</v>
      </c>
    </row>
    <row r="24191" spans="1:6" x14ac:dyDescent="0.2">
      <c r="A24191" t="s">
        <v>38808</v>
      </c>
      <c r="B24191" t="s">
        <v>38809</v>
      </c>
      <c r="E24191" t="s">
        <v>144</v>
      </c>
      <c r="F24191" s="2" t="str">
        <f>HYPERLINK("http://www.otzar.org/book.asp?618434","מנחת ישראל - גיטין")</f>
        <v>מנחת ישראל - גיטין</v>
      </c>
    </row>
    <row r="24192" spans="1:6" x14ac:dyDescent="0.2">
      <c r="A24192" t="s">
        <v>38810</v>
      </c>
      <c r="B24192" t="s">
        <v>10292</v>
      </c>
      <c r="C24192" t="s">
        <v>888</v>
      </c>
      <c r="D24192" t="s">
        <v>379</v>
      </c>
      <c r="E24192" t="s">
        <v>84</v>
      </c>
      <c r="F24192" s="2" t="str">
        <f>HYPERLINK("http://www.otzar.org/book.asp?23341","מנחת ישראל - 2 כר'")</f>
        <v>מנחת ישראל - 2 כר'</v>
      </c>
    </row>
    <row r="24193" spans="1:6" x14ac:dyDescent="0.2">
      <c r="A24193" t="s">
        <v>38811</v>
      </c>
      <c r="B24193" t="s">
        <v>17599</v>
      </c>
      <c r="C24193" t="s">
        <v>23</v>
      </c>
      <c r="D24193" t="s">
        <v>52</v>
      </c>
      <c r="F24193" s="2" t="str">
        <f>HYPERLINK("http://www.otzar.org/book.asp?610841","מנחת ישראל - 7 כר'")</f>
        <v>מנחת ישראל - 7 כר'</v>
      </c>
    </row>
    <row r="24194" spans="1:6" x14ac:dyDescent="0.2">
      <c r="A24194" t="s">
        <v>38812</v>
      </c>
      <c r="B24194" t="s">
        <v>19740</v>
      </c>
      <c r="C24194" t="s">
        <v>547</v>
      </c>
      <c r="D24194" t="s">
        <v>27</v>
      </c>
      <c r="E24194" t="s">
        <v>15</v>
      </c>
      <c r="F24194" s="2" t="str">
        <f>HYPERLINK("http://www.otzar.org/book.asp?20143","מנחת ישראל")</f>
        <v>מנחת ישראל</v>
      </c>
    </row>
    <row r="24195" spans="1:6" x14ac:dyDescent="0.2">
      <c r="A24195" t="s">
        <v>38813</v>
      </c>
      <c r="B24195" t="s">
        <v>38814</v>
      </c>
      <c r="C24195" t="s">
        <v>168</v>
      </c>
      <c r="D24195" t="s">
        <v>14</v>
      </c>
      <c r="E24195" t="s">
        <v>38815</v>
      </c>
      <c r="F24195" s="2" t="str">
        <f>HYPERLINK("http://www.otzar.org/book.asp?6780","מנחת ישראל - 3 כר'")</f>
        <v>מנחת ישראל - 3 כר'</v>
      </c>
    </row>
    <row r="24196" spans="1:6" x14ac:dyDescent="0.2">
      <c r="A24196" t="s">
        <v>38816</v>
      </c>
      <c r="B24196" t="s">
        <v>17000</v>
      </c>
      <c r="C24196" t="s">
        <v>38817</v>
      </c>
      <c r="D24196" t="s">
        <v>3627</v>
      </c>
      <c r="E24196" t="s">
        <v>144</v>
      </c>
      <c r="F24196" s="2" t="str">
        <f>HYPERLINK("http://www.otzar.org/book.asp?19460","מנחת ישראל - 4 כר'")</f>
        <v>מנחת ישראל - 4 כר'</v>
      </c>
    </row>
    <row r="24197" spans="1:6" x14ac:dyDescent="0.2">
      <c r="A24197" t="s">
        <v>38812</v>
      </c>
      <c r="B24197" t="s">
        <v>36367</v>
      </c>
      <c r="C24197" t="s">
        <v>71</v>
      </c>
      <c r="D24197" t="s">
        <v>1907</v>
      </c>
      <c r="E24197" t="s">
        <v>213</v>
      </c>
      <c r="F24197" s="2" t="str">
        <f>HYPERLINK("http://www.otzar.org/book.asp?145205","מנחת ישראל")</f>
        <v>מנחת ישראל</v>
      </c>
    </row>
    <row r="24198" spans="1:6" x14ac:dyDescent="0.2">
      <c r="A24198" t="s">
        <v>38812</v>
      </c>
      <c r="B24198" t="s">
        <v>38818</v>
      </c>
      <c r="C24198" t="s">
        <v>114</v>
      </c>
      <c r="D24198" t="s">
        <v>52</v>
      </c>
      <c r="E24198" t="s">
        <v>658</v>
      </c>
      <c r="F24198" s="2" t="str">
        <f>HYPERLINK("http://www.otzar.org/book.asp?612229","מנחת ישראל")</f>
        <v>מנחת ישראל</v>
      </c>
    </row>
    <row r="24199" spans="1:6" x14ac:dyDescent="0.2">
      <c r="A24199" t="s">
        <v>38812</v>
      </c>
      <c r="B24199" t="s">
        <v>12564</v>
      </c>
      <c r="C24199" t="s">
        <v>23</v>
      </c>
      <c r="D24199" t="s">
        <v>2285</v>
      </c>
      <c r="F24199" s="2" t="str">
        <f>HYPERLINK("http://www.otzar.org/book.asp?198370","מנחת ישראל")</f>
        <v>מנחת ישראל</v>
      </c>
    </row>
    <row r="24200" spans="1:6" x14ac:dyDescent="0.2">
      <c r="A24200" t="s">
        <v>38819</v>
      </c>
      <c r="B24200" t="s">
        <v>38820</v>
      </c>
      <c r="C24200" t="s">
        <v>20</v>
      </c>
      <c r="D24200" t="s">
        <v>412</v>
      </c>
      <c r="E24200" t="s">
        <v>10</v>
      </c>
      <c r="F24200" s="2" t="str">
        <f>HYPERLINK("http://www.otzar.org/book.asp?23773","מנחת ישרון")</f>
        <v>מנחת ישרון</v>
      </c>
    </row>
    <row r="24201" spans="1:6" x14ac:dyDescent="0.2">
      <c r="A24201" t="s">
        <v>38821</v>
      </c>
      <c r="B24201" t="s">
        <v>7973</v>
      </c>
      <c r="C24201" t="s">
        <v>13</v>
      </c>
      <c r="D24201" t="s">
        <v>7974</v>
      </c>
      <c r="E24201" t="s">
        <v>14714</v>
      </c>
      <c r="F24201" s="2" t="str">
        <f>HYPERLINK("http://www.otzar.org/book.asp?11379","מנחת כהן &lt;מהדורה חדשה&gt; - א")</f>
        <v>מנחת כהן &lt;מהדורה חדשה&gt; - א</v>
      </c>
    </row>
    <row r="24202" spans="1:6" x14ac:dyDescent="0.2">
      <c r="A24202" t="s">
        <v>38822</v>
      </c>
      <c r="B24202" t="s">
        <v>12806</v>
      </c>
      <c r="C24202" t="s">
        <v>106</v>
      </c>
      <c r="D24202" t="s">
        <v>14</v>
      </c>
      <c r="E24202" t="s">
        <v>38823</v>
      </c>
      <c r="F24202" s="2" t="str">
        <f>HYPERLINK("http://www.otzar.org/book.asp?106916","מנחת כהן &lt;שונה הלכות, הליכות עולם&gt; - 3 כר'")</f>
        <v>מנחת כהן &lt;שונה הלכות, הליכות עולם&gt; - 3 כר'</v>
      </c>
    </row>
    <row r="24203" spans="1:6" x14ac:dyDescent="0.2">
      <c r="A24203" t="s">
        <v>38824</v>
      </c>
      <c r="B24203" t="s">
        <v>12806</v>
      </c>
      <c r="C24203" t="s">
        <v>23</v>
      </c>
      <c r="D24203" t="s">
        <v>14</v>
      </c>
      <c r="F24203" s="2" t="str">
        <f>HYPERLINK("http://www.otzar.org/book.asp?197130","מנחת כהן &lt;תהלים&gt;")</f>
        <v>מנחת כהן &lt;תהלים&gt;</v>
      </c>
    </row>
    <row r="24204" spans="1:6" x14ac:dyDescent="0.2">
      <c r="A24204" t="s">
        <v>38825</v>
      </c>
      <c r="B24204" t="s">
        <v>38826</v>
      </c>
      <c r="C24204" t="s">
        <v>37</v>
      </c>
      <c r="D24204" t="s">
        <v>152</v>
      </c>
      <c r="E24204" t="s">
        <v>474</v>
      </c>
      <c r="F24204" s="2" t="str">
        <f>HYPERLINK("http://www.otzar.org/book.asp?620698","מנחת כהן על התורה")</f>
        <v>מנחת כהן על התורה</v>
      </c>
    </row>
    <row r="24205" spans="1:6" x14ac:dyDescent="0.2">
      <c r="A24205" t="s">
        <v>38827</v>
      </c>
      <c r="B24205" t="s">
        <v>12985</v>
      </c>
      <c r="C24205" t="s">
        <v>433</v>
      </c>
      <c r="D24205" t="s">
        <v>563</v>
      </c>
      <c r="E24205" t="s">
        <v>2509</v>
      </c>
      <c r="F24205" s="2" t="str">
        <f>HYPERLINK("http://www.otzar.org/book.asp?13142","מנחת כהן")</f>
        <v>מנחת כהן</v>
      </c>
    </row>
    <row r="24206" spans="1:6" x14ac:dyDescent="0.2">
      <c r="A24206" t="s">
        <v>38827</v>
      </c>
      <c r="B24206" t="s">
        <v>38828</v>
      </c>
      <c r="C24206" t="s">
        <v>854</v>
      </c>
      <c r="D24206" t="s">
        <v>56</v>
      </c>
      <c r="E24206" t="s">
        <v>144</v>
      </c>
      <c r="F24206" s="2" t="str">
        <f>HYPERLINK("http://www.otzar.org/book.asp?28300","מנחת כהן")</f>
        <v>מנחת כהן</v>
      </c>
    </row>
    <row r="24207" spans="1:6" x14ac:dyDescent="0.2">
      <c r="A24207" t="s">
        <v>38829</v>
      </c>
      <c r="B24207" t="s">
        <v>7973</v>
      </c>
      <c r="C24207" t="s">
        <v>20692</v>
      </c>
      <c r="D24207" t="s">
        <v>1889</v>
      </c>
      <c r="E24207" t="s">
        <v>10159</v>
      </c>
      <c r="F24207" s="2" t="str">
        <f>HYPERLINK("http://www.otzar.org/book.asp?300559","מנחת כהן - 4 כר'")</f>
        <v>מנחת כהן - 4 כר'</v>
      </c>
    </row>
    <row r="24208" spans="1:6" x14ac:dyDescent="0.2">
      <c r="A24208" t="s">
        <v>38827</v>
      </c>
      <c r="B24208" t="s">
        <v>38830</v>
      </c>
      <c r="C24208" t="s">
        <v>1425</v>
      </c>
      <c r="D24208" t="s">
        <v>1490</v>
      </c>
      <c r="E24208" t="s">
        <v>104</v>
      </c>
      <c r="F24208" s="2" t="str">
        <f>HYPERLINK("http://www.otzar.org/book.asp?146581","מנחת כהן")</f>
        <v>מנחת כהן</v>
      </c>
    </row>
    <row r="24209" spans="1:6" x14ac:dyDescent="0.2">
      <c r="A24209" t="s">
        <v>38831</v>
      </c>
      <c r="B24209" t="s">
        <v>38826</v>
      </c>
      <c r="C24209" t="s">
        <v>1718</v>
      </c>
      <c r="D24209" t="s">
        <v>6503</v>
      </c>
      <c r="F24209" s="2" t="str">
        <f>HYPERLINK("http://www.otzar.org/book.asp?615246","מנחת כהן - 2 כר'")</f>
        <v>מנחת כהן - 2 כר'</v>
      </c>
    </row>
    <row r="24210" spans="1:6" x14ac:dyDescent="0.2">
      <c r="A24210" t="s">
        <v>38827</v>
      </c>
      <c r="B24210" t="s">
        <v>38832</v>
      </c>
      <c r="C24210" t="s">
        <v>11298</v>
      </c>
      <c r="D24210" t="s">
        <v>744</v>
      </c>
      <c r="E24210" t="s">
        <v>144</v>
      </c>
      <c r="F24210" s="2" t="str">
        <f>HYPERLINK("http://www.otzar.org/book.asp?19314","מנחת כהן")</f>
        <v>מנחת כהן</v>
      </c>
    </row>
    <row r="24211" spans="1:6" x14ac:dyDescent="0.2">
      <c r="A24211" t="s">
        <v>38827</v>
      </c>
      <c r="B24211" t="s">
        <v>38833</v>
      </c>
      <c r="C24211" t="s">
        <v>528</v>
      </c>
      <c r="D24211" t="s">
        <v>4703</v>
      </c>
      <c r="E24211" t="s">
        <v>241</v>
      </c>
      <c r="F24211" s="2" t="str">
        <f>HYPERLINK("http://www.otzar.org/book.asp?147348","מנחת כהן")</f>
        <v>מנחת כהן</v>
      </c>
    </row>
    <row r="24212" spans="1:6" x14ac:dyDescent="0.2">
      <c r="A24212" t="s">
        <v>38831</v>
      </c>
      <c r="B24212" t="s">
        <v>22233</v>
      </c>
      <c r="C24212" t="s">
        <v>38834</v>
      </c>
      <c r="D24212" t="s">
        <v>27</v>
      </c>
      <c r="E24212" t="s">
        <v>104</v>
      </c>
      <c r="F24212" s="2" t="str">
        <f>HYPERLINK("http://www.otzar.org/book.asp?19468","מנחת כהן - 2 כר'")</f>
        <v>מנחת כהן - 2 כר'</v>
      </c>
    </row>
    <row r="24213" spans="1:6" x14ac:dyDescent="0.2">
      <c r="A24213" t="s">
        <v>38827</v>
      </c>
      <c r="B24213" t="s">
        <v>27379</v>
      </c>
      <c r="C24213" t="s">
        <v>506</v>
      </c>
      <c r="D24213" t="s">
        <v>2038</v>
      </c>
      <c r="F24213" s="2" t="str">
        <f>HYPERLINK("http://www.otzar.org/book.asp?620229","מנחת כהן")</f>
        <v>מנחת כהן</v>
      </c>
    </row>
    <row r="24214" spans="1:6" x14ac:dyDescent="0.2">
      <c r="A24214" t="s">
        <v>38831</v>
      </c>
      <c r="B24214" t="s">
        <v>38835</v>
      </c>
      <c r="C24214" t="s">
        <v>37</v>
      </c>
      <c r="D24214" t="s">
        <v>38836</v>
      </c>
      <c r="E24214" t="s">
        <v>144</v>
      </c>
      <c r="F24214" s="2" t="str">
        <f>HYPERLINK("http://www.otzar.org/book.asp?196732","מנחת כהן - 2 כר'")</f>
        <v>מנחת כהן - 2 כר'</v>
      </c>
    </row>
    <row r="24215" spans="1:6" x14ac:dyDescent="0.2">
      <c r="A24215" t="s">
        <v>38837</v>
      </c>
      <c r="B24215" t="s">
        <v>38838</v>
      </c>
      <c r="C24215" t="s">
        <v>244</v>
      </c>
      <c r="D24215" t="s">
        <v>276</v>
      </c>
      <c r="E24215" t="s">
        <v>144</v>
      </c>
      <c r="F24215" s="2" t="str">
        <f>HYPERLINK("http://www.otzar.org/book.asp?601390","מנחת כהן - 10 כר'")</f>
        <v>מנחת כהן - 10 כר'</v>
      </c>
    </row>
    <row r="24216" spans="1:6" x14ac:dyDescent="0.2">
      <c r="A24216" t="s">
        <v>38839</v>
      </c>
      <c r="B24216" t="s">
        <v>38840</v>
      </c>
      <c r="C24216" t="s">
        <v>37</v>
      </c>
      <c r="D24216" t="s">
        <v>657</v>
      </c>
      <c r="E24216" t="s">
        <v>144</v>
      </c>
      <c r="F24216" s="2" t="str">
        <f>HYPERLINK("http://www.otzar.org/book.asp?192307","מנחת כהן - 5 כר'")</f>
        <v>מנחת כהן - 5 כר'</v>
      </c>
    </row>
    <row r="24217" spans="1:6" x14ac:dyDescent="0.2">
      <c r="A24217" t="s">
        <v>38841</v>
      </c>
      <c r="B24217" t="s">
        <v>38842</v>
      </c>
      <c r="C24217" t="s">
        <v>20</v>
      </c>
      <c r="D24217" t="s">
        <v>152</v>
      </c>
      <c r="F24217" s="2" t="str">
        <f>HYPERLINK("http://www.otzar.org/book.asp?156537","מנחת כהן - משמרת שבת &lt;משמרת למשמרתי&gt;")</f>
        <v>מנחת כהן - משמרת שבת &lt;משמרת למשמרתי&gt;</v>
      </c>
    </row>
    <row r="24218" spans="1:6" x14ac:dyDescent="0.2">
      <c r="A24218" t="s">
        <v>38831</v>
      </c>
      <c r="B24218" t="s">
        <v>38843</v>
      </c>
      <c r="C24218" t="s">
        <v>1177</v>
      </c>
      <c r="D24218" t="s">
        <v>267</v>
      </c>
      <c r="E24218" t="s">
        <v>674</v>
      </c>
      <c r="F24218" s="2" t="str">
        <f>HYPERLINK("http://www.otzar.org/book.asp?12029","מנחת כהן - 2 כר'")</f>
        <v>מנחת כהן - 2 כר'</v>
      </c>
    </row>
    <row r="24219" spans="1:6" x14ac:dyDescent="0.2">
      <c r="A24219" t="s">
        <v>38831</v>
      </c>
      <c r="B24219" t="s">
        <v>12806</v>
      </c>
      <c r="C24219" t="s">
        <v>940</v>
      </c>
      <c r="D24219" t="s">
        <v>14</v>
      </c>
      <c r="E24219" t="s">
        <v>144</v>
      </c>
      <c r="F24219" s="2" t="str">
        <f>HYPERLINK("http://www.otzar.org/book.asp?106915","מנחת כהן - 2 כר'")</f>
        <v>מנחת כהן - 2 כר'</v>
      </c>
    </row>
    <row r="24220" spans="1:6" x14ac:dyDescent="0.2">
      <c r="A24220" t="s">
        <v>38827</v>
      </c>
      <c r="B24220" t="s">
        <v>38844</v>
      </c>
      <c r="C24220" t="s">
        <v>3246</v>
      </c>
      <c r="D24220" t="s">
        <v>1117</v>
      </c>
      <c r="E24220" t="s">
        <v>234</v>
      </c>
      <c r="F24220" s="2" t="str">
        <f>HYPERLINK("http://www.otzar.org/book.asp?143910","מנחת כהן")</f>
        <v>מנחת כהן</v>
      </c>
    </row>
    <row r="24221" spans="1:6" x14ac:dyDescent="0.2">
      <c r="A24221" t="s">
        <v>38827</v>
      </c>
      <c r="B24221" t="s">
        <v>38845</v>
      </c>
      <c r="C24221" t="s">
        <v>3573</v>
      </c>
      <c r="D24221" t="s">
        <v>2303</v>
      </c>
      <c r="E24221" t="s">
        <v>144</v>
      </c>
      <c r="F24221" s="2" t="str">
        <f>HYPERLINK("http://www.otzar.org/book.asp?100269","מנחת כהן")</f>
        <v>מנחת כהן</v>
      </c>
    </row>
    <row r="24222" spans="1:6" x14ac:dyDescent="0.2">
      <c r="A24222" t="s">
        <v>38827</v>
      </c>
      <c r="B24222" t="s">
        <v>38846</v>
      </c>
      <c r="C24222" t="s">
        <v>38847</v>
      </c>
      <c r="D24222" t="s">
        <v>49</v>
      </c>
      <c r="E24222" t="s">
        <v>241</v>
      </c>
      <c r="F24222" s="2" t="str">
        <f>HYPERLINK("http://www.otzar.org/book.asp?103508","מנחת כהן")</f>
        <v>מנחת כהן</v>
      </c>
    </row>
    <row r="24223" spans="1:6" x14ac:dyDescent="0.2">
      <c r="A24223" t="s">
        <v>38848</v>
      </c>
      <c r="B24223" t="s">
        <v>38849</v>
      </c>
      <c r="C24223" t="s">
        <v>156</v>
      </c>
      <c r="D24223" t="s">
        <v>56</v>
      </c>
      <c r="E24223" t="s">
        <v>1211</v>
      </c>
      <c r="F24223" s="2" t="str">
        <f>HYPERLINK("http://www.otzar.org/book.asp?20138","מנחת כהנא")</f>
        <v>מנחת כהנא</v>
      </c>
    </row>
    <row r="24224" spans="1:6" x14ac:dyDescent="0.2">
      <c r="A24224" t="s">
        <v>38850</v>
      </c>
      <c r="B24224" t="s">
        <v>2736</v>
      </c>
      <c r="C24224" t="s">
        <v>133</v>
      </c>
      <c r="D24224" t="s">
        <v>14</v>
      </c>
      <c r="E24224" t="s">
        <v>202</v>
      </c>
      <c r="F24224" s="2" t="str">
        <f>HYPERLINK("http://www.otzar.org/book.asp?172992","מנחת כהנים")</f>
        <v>מנחת כהנים</v>
      </c>
    </row>
    <row r="24225" spans="1:6" x14ac:dyDescent="0.2">
      <c r="A24225" t="s">
        <v>38851</v>
      </c>
      <c r="B24225" t="s">
        <v>38852</v>
      </c>
      <c r="C24225" t="s">
        <v>812</v>
      </c>
      <c r="D24225" t="s">
        <v>9896</v>
      </c>
      <c r="E24225" t="s">
        <v>10</v>
      </c>
      <c r="F24225" s="2" t="str">
        <f>HYPERLINK("http://www.otzar.org/book.asp?23784","מנחת לחם עני")</f>
        <v>מנחת לחם עני</v>
      </c>
    </row>
    <row r="24226" spans="1:6" x14ac:dyDescent="0.2">
      <c r="A24226" t="s">
        <v>38853</v>
      </c>
      <c r="B24226" t="s">
        <v>3935</v>
      </c>
      <c r="C24226" t="s">
        <v>79</v>
      </c>
      <c r="D24226" t="s">
        <v>9</v>
      </c>
      <c r="E24226" t="s">
        <v>104</v>
      </c>
      <c r="F24226" s="2" t="str">
        <f>HYPERLINK("http://www.otzar.org/book.asp?101132","מנחת מאיר")</f>
        <v>מנחת מאיר</v>
      </c>
    </row>
    <row r="24227" spans="1:6" x14ac:dyDescent="0.2">
      <c r="A24227" t="s">
        <v>38853</v>
      </c>
      <c r="B24227" t="s">
        <v>38854</v>
      </c>
      <c r="C24227" t="s">
        <v>411</v>
      </c>
      <c r="D24227" t="s">
        <v>14</v>
      </c>
      <c r="E24227" t="s">
        <v>144</v>
      </c>
      <c r="F24227" s="2" t="str">
        <f>HYPERLINK("http://www.otzar.org/book.asp?168948","מנחת מאיר")</f>
        <v>מנחת מאיר</v>
      </c>
    </row>
    <row r="24228" spans="1:6" x14ac:dyDescent="0.2">
      <c r="A24228" t="s">
        <v>38853</v>
      </c>
      <c r="B24228" t="s">
        <v>38855</v>
      </c>
      <c r="C24228" t="s">
        <v>133</v>
      </c>
      <c r="D24228" t="s">
        <v>412</v>
      </c>
      <c r="E24228" t="s">
        <v>130</v>
      </c>
      <c r="F24228" s="2" t="str">
        <f>HYPERLINK("http://www.otzar.org/book.asp?172403","מנחת מאיר")</f>
        <v>מנחת מאיר</v>
      </c>
    </row>
    <row r="24229" spans="1:6" x14ac:dyDescent="0.2">
      <c r="A24229" t="s">
        <v>38856</v>
      </c>
      <c r="B24229" t="s">
        <v>37500</v>
      </c>
      <c r="C24229" t="s">
        <v>383</v>
      </c>
      <c r="D24229" t="s">
        <v>52</v>
      </c>
      <c r="E24229" t="s">
        <v>3516</v>
      </c>
      <c r="F24229" s="2" t="str">
        <f>HYPERLINK("http://www.otzar.org/book.asp?166199","מנחת מועד - 2 כר'")</f>
        <v>מנחת מועד - 2 כר'</v>
      </c>
    </row>
    <row r="24230" spans="1:6" x14ac:dyDescent="0.2">
      <c r="A24230" t="s">
        <v>38857</v>
      </c>
      <c r="B24230" t="s">
        <v>38858</v>
      </c>
      <c r="C24230" t="s">
        <v>775</v>
      </c>
      <c r="D24230" t="s">
        <v>14</v>
      </c>
      <c r="E24230" t="s">
        <v>144</v>
      </c>
      <c r="F24230" s="2" t="str">
        <f>HYPERLINK("http://www.otzar.org/book.asp?106130","מנחת מחבת - 3 כר'")</f>
        <v>מנחת מחבת - 3 כר'</v>
      </c>
    </row>
    <row r="24231" spans="1:6" x14ac:dyDescent="0.2">
      <c r="A24231" t="s">
        <v>38859</v>
      </c>
      <c r="B24231" t="s">
        <v>12784</v>
      </c>
      <c r="C24231" t="s">
        <v>466</v>
      </c>
      <c r="D24231" t="s">
        <v>52</v>
      </c>
      <c r="E24231" t="s">
        <v>246</v>
      </c>
      <c r="F24231" s="2" t="str">
        <f>HYPERLINK("http://www.otzar.org/book.asp?162727","מנחת מחשבת")</f>
        <v>מנחת מחשבת</v>
      </c>
    </row>
    <row r="24232" spans="1:6" x14ac:dyDescent="0.2">
      <c r="A24232" t="s">
        <v>38860</v>
      </c>
      <c r="B24232" t="s">
        <v>38861</v>
      </c>
      <c r="C24232" t="s">
        <v>411</v>
      </c>
      <c r="D24232" t="s">
        <v>80</v>
      </c>
      <c r="E24232" t="s">
        <v>158</v>
      </c>
      <c r="F24232" s="2" t="str">
        <f>HYPERLINK("http://www.otzar.org/book.asp?197870","מנחת מיכאל - 4 כר'")</f>
        <v>מנחת מיכאל - 4 כר'</v>
      </c>
    </row>
    <row r="24233" spans="1:6" x14ac:dyDescent="0.2">
      <c r="A24233" t="s">
        <v>38862</v>
      </c>
      <c r="B24233" t="s">
        <v>38863</v>
      </c>
      <c r="C24233" t="s">
        <v>129</v>
      </c>
      <c r="D24233" t="s">
        <v>14</v>
      </c>
      <c r="E24233" t="s">
        <v>144</v>
      </c>
      <c r="F24233" s="2" t="str">
        <f>HYPERLINK("http://www.otzar.org/book.asp?162352","מנחת מנוח - עירובין, בבא בתרא")</f>
        <v>מנחת מנוח - עירובין, בבא בתרא</v>
      </c>
    </row>
    <row r="24234" spans="1:6" x14ac:dyDescent="0.2">
      <c r="A24234" t="s">
        <v>38864</v>
      </c>
      <c r="B24234" t="s">
        <v>38865</v>
      </c>
      <c r="C24234" t="s">
        <v>624</v>
      </c>
      <c r="D24234" t="s">
        <v>52</v>
      </c>
      <c r="E24234" t="s">
        <v>8341</v>
      </c>
      <c r="F24234" s="2" t="str">
        <f>HYPERLINK("http://www.otzar.org/book.asp?161926","מנחת מנחם - אגדה ומחשבה א")</f>
        <v>מנחת מנחם - אגדה ומחשבה א</v>
      </c>
    </row>
    <row r="24235" spans="1:6" x14ac:dyDescent="0.2">
      <c r="A24235" t="s">
        <v>38866</v>
      </c>
      <c r="B24235" t="s">
        <v>38867</v>
      </c>
      <c r="C24235" t="s">
        <v>87</v>
      </c>
      <c r="D24235" t="s">
        <v>52</v>
      </c>
      <c r="E24235" t="s">
        <v>144</v>
      </c>
      <c r="F24235" s="2" t="str">
        <f>HYPERLINK("http://www.otzar.org/book.asp?61956","מנחת מנחם - 5 כר'")</f>
        <v>מנחת מנחם - 5 כר'</v>
      </c>
    </row>
    <row r="24236" spans="1:6" x14ac:dyDescent="0.2">
      <c r="A24236" t="s">
        <v>38868</v>
      </c>
      <c r="B24236" t="s">
        <v>14821</v>
      </c>
      <c r="C24236" t="s">
        <v>286</v>
      </c>
      <c r="D24236" t="s">
        <v>14822</v>
      </c>
      <c r="E24236" t="s">
        <v>154</v>
      </c>
      <c r="F24236" s="2" t="str">
        <f>HYPERLINK("http://www.otzar.org/book.asp?24994","מנחת מנחם")</f>
        <v>מנחת מנחם</v>
      </c>
    </row>
    <row r="24237" spans="1:6" x14ac:dyDescent="0.2">
      <c r="A24237" t="s">
        <v>38869</v>
      </c>
      <c r="B24237" t="s">
        <v>38870</v>
      </c>
      <c r="C24237" t="s">
        <v>13</v>
      </c>
      <c r="D24237" t="s">
        <v>52</v>
      </c>
      <c r="E24237" t="s">
        <v>213</v>
      </c>
      <c r="F24237" s="2" t="str">
        <f>HYPERLINK("http://www.otzar.org/book.asp?61809","מנחת מנשה")</f>
        <v>מנחת מנשה</v>
      </c>
    </row>
    <row r="24238" spans="1:6" x14ac:dyDescent="0.2">
      <c r="A24238" t="s">
        <v>38871</v>
      </c>
      <c r="B24238" t="s">
        <v>38872</v>
      </c>
      <c r="C24238" t="s">
        <v>38873</v>
      </c>
      <c r="D24238" t="s">
        <v>38874</v>
      </c>
      <c r="E24238" t="s">
        <v>653</v>
      </c>
      <c r="F24238" s="2" t="str">
        <f>HYPERLINK("http://www.otzar.org/book.asp?6785","מנחת מרדכי (יו""ד א-ס - קפג-רא)")</f>
        <v>מנחת מרדכי (יו"ד א-ס - קפג-רא)</v>
      </c>
    </row>
    <row r="24239" spans="1:6" x14ac:dyDescent="0.2">
      <c r="A24239" t="s">
        <v>38875</v>
      </c>
      <c r="B24239" t="s">
        <v>38872</v>
      </c>
      <c r="C24239" t="s">
        <v>38873</v>
      </c>
      <c r="D24239" t="s">
        <v>38874</v>
      </c>
      <c r="E24239" t="s">
        <v>684</v>
      </c>
      <c r="F24239" s="2" t="str">
        <f>HYPERLINK("http://www.otzar.org/book.asp?13059","מנחת מרדכי (יו""ד סא-פז)")</f>
        <v>מנחת מרדכי (יו"ד סא-פז)</v>
      </c>
    </row>
    <row r="24240" spans="1:6" x14ac:dyDescent="0.2">
      <c r="A24240" t="s">
        <v>38876</v>
      </c>
      <c r="B24240" t="s">
        <v>38877</v>
      </c>
      <c r="C24240" t="s">
        <v>146</v>
      </c>
      <c r="D24240" t="s">
        <v>412</v>
      </c>
      <c r="E24240" t="s">
        <v>144</v>
      </c>
      <c r="F24240" s="2" t="str">
        <f>HYPERLINK("http://www.otzar.org/book.asp?603857","מנחת מרדכי - 3 כר'")</f>
        <v>מנחת מרדכי - 3 כר'</v>
      </c>
    </row>
    <row r="24241" spans="1:6" x14ac:dyDescent="0.2">
      <c r="A24241" t="s">
        <v>38878</v>
      </c>
      <c r="B24241" t="s">
        <v>16688</v>
      </c>
      <c r="C24241" t="s">
        <v>411</v>
      </c>
      <c r="D24241" t="s">
        <v>52</v>
      </c>
      <c r="F24241" s="2" t="str">
        <f>HYPERLINK("http://www.otzar.org/book.asp?616181","מנחת מרדכי - מנחת חינוך")</f>
        <v>מנחת מרדכי - מנחת חינוך</v>
      </c>
    </row>
    <row r="24242" spans="1:6" x14ac:dyDescent="0.2">
      <c r="A24242" t="s">
        <v>38879</v>
      </c>
      <c r="B24242" t="s">
        <v>38880</v>
      </c>
      <c r="C24242" t="s">
        <v>133</v>
      </c>
      <c r="D24242" t="s">
        <v>14</v>
      </c>
      <c r="E24242" t="s">
        <v>158</v>
      </c>
      <c r="F24242" s="2" t="str">
        <f>HYPERLINK("http://www.otzar.org/book.asp?182472","מנחת מרדכי")</f>
        <v>מנחת מרדכי</v>
      </c>
    </row>
    <row r="24243" spans="1:6" x14ac:dyDescent="0.2">
      <c r="A24243" t="s">
        <v>38881</v>
      </c>
      <c r="B24243" t="s">
        <v>38882</v>
      </c>
      <c r="C24243" t="s">
        <v>334</v>
      </c>
      <c r="D24243" t="s">
        <v>52</v>
      </c>
      <c r="E24243" t="s">
        <v>144</v>
      </c>
      <c r="F24243" s="2" t="str">
        <f>HYPERLINK("http://www.otzar.org/book.asp?108175","מנחת מרדכי - 2 כר'")</f>
        <v>מנחת מרדכי - 2 כר'</v>
      </c>
    </row>
    <row r="24244" spans="1:6" x14ac:dyDescent="0.2">
      <c r="A24244" t="s">
        <v>38879</v>
      </c>
      <c r="B24244" t="s">
        <v>38872</v>
      </c>
      <c r="C24244" t="s">
        <v>224</v>
      </c>
      <c r="D24244" t="s">
        <v>100</v>
      </c>
      <c r="E24244" t="s">
        <v>172</v>
      </c>
      <c r="F24244" s="2" t="str">
        <f>HYPERLINK("http://www.otzar.org/book.asp?169525","מנחת מרדכי")</f>
        <v>מנחת מרדכי</v>
      </c>
    </row>
    <row r="24245" spans="1:6" x14ac:dyDescent="0.2">
      <c r="A24245" t="s">
        <v>38883</v>
      </c>
      <c r="B24245" t="s">
        <v>38884</v>
      </c>
      <c r="C24245" t="s">
        <v>20</v>
      </c>
      <c r="D24245" t="s">
        <v>17609</v>
      </c>
      <c r="E24245" t="s">
        <v>158</v>
      </c>
      <c r="F24245" s="2" t="str">
        <f>HYPERLINK("http://www.otzar.org/book.asp?141017","מנחת מרחשת")</f>
        <v>מנחת מרחשת</v>
      </c>
    </row>
    <row r="24246" spans="1:6" x14ac:dyDescent="0.2">
      <c r="A24246" t="s">
        <v>38885</v>
      </c>
      <c r="B24246" t="s">
        <v>27307</v>
      </c>
      <c r="C24246" t="s">
        <v>23</v>
      </c>
      <c r="D24246" t="s">
        <v>38886</v>
      </c>
      <c r="E24246" t="s">
        <v>158</v>
      </c>
      <c r="F24246" s="2" t="str">
        <f>HYPERLINK("http://www.otzar.org/book.asp?600561","מנחת מרחשת - 2 כר'")</f>
        <v>מנחת מרחשת - 2 כר'</v>
      </c>
    </row>
    <row r="24247" spans="1:6" x14ac:dyDescent="0.2">
      <c r="A24247" t="s">
        <v>38883</v>
      </c>
      <c r="B24247" t="s">
        <v>4726</v>
      </c>
      <c r="C24247" t="s">
        <v>151</v>
      </c>
      <c r="D24247" t="s">
        <v>152</v>
      </c>
      <c r="E24247" t="s">
        <v>15</v>
      </c>
      <c r="F24247" s="2" t="str">
        <f>HYPERLINK("http://www.otzar.org/book.asp?615529","מנחת מרחשת")</f>
        <v>מנחת מרחשת</v>
      </c>
    </row>
    <row r="24248" spans="1:6" x14ac:dyDescent="0.2">
      <c r="A24248" t="s">
        <v>38883</v>
      </c>
      <c r="B24248" t="s">
        <v>38887</v>
      </c>
      <c r="C24248" t="s">
        <v>462</v>
      </c>
      <c r="D24248" t="s">
        <v>726</v>
      </c>
      <c r="E24248" t="s">
        <v>234</v>
      </c>
      <c r="F24248" s="2" t="str">
        <f>HYPERLINK("http://www.otzar.org/book.asp?149202","מנחת מרחשת")</f>
        <v>מנחת מרחשת</v>
      </c>
    </row>
    <row r="24249" spans="1:6" x14ac:dyDescent="0.2">
      <c r="A24249" t="s">
        <v>38888</v>
      </c>
      <c r="B24249" t="s">
        <v>7515</v>
      </c>
      <c r="C24249" t="s">
        <v>68</v>
      </c>
      <c r="D24249" t="s">
        <v>152</v>
      </c>
      <c r="E24249" t="s">
        <v>144</v>
      </c>
      <c r="F24249" s="2" t="str">
        <f>HYPERLINK("http://www.otzar.org/book.asp?172551","מנחת משה - 2 כר'")</f>
        <v>מנחת משה - 2 כר'</v>
      </c>
    </row>
    <row r="24250" spans="1:6" x14ac:dyDescent="0.2">
      <c r="A24250" t="s">
        <v>38889</v>
      </c>
      <c r="B24250" t="s">
        <v>38407</v>
      </c>
      <c r="C24250" t="s">
        <v>985</v>
      </c>
      <c r="D24250" t="s">
        <v>18232</v>
      </c>
      <c r="E24250" t="s">
        <v>15</v>
      </c>
      <c r="F24250" s="2" t="str">
        <f>HYPERLINK("http://www.otzar.org/book.asp?170993","מנחת משה")</f>
        <v>מנחת משה</v>
      </c>
    </row>
    <row r="24251" spans="1:6" x14ac:dyDescent="0.2">
      <c r="A24251" t="s">
        <v>38889</v>
      </c>
      <c r="B24251" t="s">
        <v>38890</v>
      </c>
      <c r="C24251" t="s">
        <v>553</v>
      </c>
      <c r="D24251" t="s">
        <v>1467</v>
      </c>
      <c r="E24251" t="s">
        <v>674</v>
      </c>
      <c r="F24251" s="2" t="str">
        <f>HYPERLINK("http://www.otzar.org/book.asp?172349","מנחת משה")</f>
        <v>מנחת משה</v>
      </c>
    </row>
    <row r="24252" spans="1:6" x14ac:dyDescent="0.2">
      <c r="A24252" t="s">
        <v>38891</v>
      </c>
      <c r="B24252" t="s">
        <v>8584</v>
      </c>
      <c r="C24252" t="s">
        <v>4705</v>
      </c>
      <c r="D24252" t="s">
        <v>283</v>
      </c>
      <c r="E24252" t="s">
        <v>10</v>
      </c>
      <c r="F24252" s="2" t="str">
        <f>HYPERLINK("http://www.otzar.org/book.asp?101086","מנחת משה - 3 כר'")</f>
        <v>מנחת משה - 3 כר'</v>
      </c>
    </row>
    <row r="24253" spans="1:6" x14ac:dyDescent="0.2">
      <c r="A24253" t="s">
        <v>38889</v>
      </c>
      <c r="B24253" t="s">
        <v>38892</v>
      </c>
      <c r="C24253" t="s">
        <v>313</v>
      </c>
      <c r="D24253" t="s">
        <v>14</v>
      </c>
      <c r="E24253" t="s">
        <v>219</v>
      </c>
      <c r="F24253" s="2" t="str">
        <f>HYPERLINK("http://www.otzar.org/book.asp?176707","מנחת משה")</f>
        <v>מנחת משה</v>
      </c>
    </row>
    <row r="24254" spans="1:6" x14ac:dyDescent="0.2">
      <c r="A24254" t="s">
        <v>38893</v>
      </c>
      <c r="B24254" t="s">
        <v>38894</v>
      </c>
      <c r="C24254" t="s">
        <v>23</v>
      </c>
      <c r="D24254" t="s">
        <v>14</v>
      </c>
      <c r="F24254" s="2" t="str">
        <f>HYPERLINK("http://www.otzar.org/book.asp?608591","מנחת משה - 6 כר'")</f>
        <v>מנחת משה - 6 כר'</v>
      </c>
    </row>
    <row r="24255" spans="1:6" x14ac:dyDescent="0.2">
      <c r="A24255" t="s">
        <v>38889</v>
      </c>
      <c r="B24255" t="s">
        <v>38895</v>
      </c>
      <c r="C24255" t="s">
        <v>124</v>
      </c>
      <c r="D24255" t="s">
        <v>21</v>
      </c>
      <c r="E24255" t="s">
        <v>33167</v>
      </c>
      <c r="F24255" s="2" t="str">
        <f>HYPERLINK("http://www.otzar.org/book.asp?199587","מנחת משה")</f>
        <v>מנחת משה</v>
      </c>
    </row>
    <row r="24256" spans="1:6" x14ac:dyDescent="0.2">
      <c r="A24256" t="s">
        <v>38896</v>
      </c>
      <c r="B24256" t="s">
        <v>38897</v>
      </c>
      <c r="C24256" t="s">
        <v>20</v>
      </c>
      <c r="D24256" t="s">
        <v>90</v>
      </c>
      <c r="F24256" s="2" t="str">
        <f>HYPERLINK("http://www.otzar.org/book.asp?198186","מנחת משה - או""ה, נדה")</f>
        <v>מנחת משה - או"ה, נדה</v>
      </c>
    </row>
    <row r="24257" spans="1:6" x14ac:dyDescent="0.2">
      <c r="A24257" t="s">
        <v>38898</v>
      </c>
      <c r="B24257" t="s">
        <v>204</v>
      </c>
      <c r="C24257" t="s">
        <v>383</v>
      </c>
      <c r="D24257" t="s">
        <v>14</v>
      </c>
      <c r="E24257" t="s">
        <v>325</v>
      </c>
      <c r="F24257" s="2" t="str">
        <f>HYPERLINK("http://www.otzar.org/book.asp?22698","מנחת משה - 5 כר'")</f>
        <v>מנחת משה - 5 כר'</v>
      </c>
    </row>
    <row r="24258" spans="1:6" x14ac:dyDescent="0.2">
      <c r="A24258" t="s">
        <v>38899</v>
      </c>
      <c r="B24258" t="s">
        <v>38900</v>
      </c>
      <c r="C24258" t="s">
        <v>20</v>
      </c>
      <c r="D24258" t="s">
        <v>52</v>
      </c>
      <c r="E24258" t="s">
        <v>803</v>
      </c>
      <c r="F24258" s="2" t="str">
        <f>HYPERLINK("http://www.otzar.org/book.asp?159216","מנחת נדבה - מנחות")</f>
        <v>מנחת נדבה - מנחות</v>
      </c>
    </row>
    <row r="24259" spans="1:6" x14ac:dyDescent="0.2">
      <c r="A24259" t="s">
        <v>38901</v>
      </c>
      <c r="B24259" t="s">
        <v>38902</v>
      </c>
      <c r="C24259" t="s">
        <v>23</v>
      </c>
      <c r="D24259" t="s">
        <v>14</v>
      </c>
      <c r="E24259" t="s">
        <v>144</v>
      </c>
      <c r="F24259" s="2" t="str">
        <f>HYPERLINK("http://www.otzar.org/book.asp?630124","מנחת נחשון")</f>
        <v>מנחת נחשון</v>
      </c>
    </row>
    <row r="24260" spans="1:6" x14ac:dyDescent="0.2">
      <c r="A24260" t="s">
        <v>38903</v>
      </c>
      <c r="B24260" t="s">
        <v>38904</v>
      </c>
      <c r="C24260" t="s">
        <v>624</v>
      </c>
      <c r="D24260" t="s">
        <v>1205</v>
      </c>
      <c r="E24260" t="s">
        <v>38905</v>
      </c>
      <c r="F24260" s="2" t="str">
        <f>HYPERLINK("http://www.otzar.org/book.asp?144486","מנחת נסכים")</f>
        <v>מנחת נסכים</v>
      </c>
    </row>
    <row r="24261" spans="1:6" x14ac:dyDescent="0.2">
      <c r="A24261" t="s">
        <v>38906</v>
      </c>
      <c r="B24261" t="s">
        <v>38907</v>
      </c>
      <c r="C24261" t="s">
        <v>129</v>
      </c>
      <c r="D24261" t="s">
        <v>52</v>
      </c>
      <c r="E24261" t="s">
        <v>8345</v>
      </c>
      <c r="F24261" s="2" t="str">
        <f>HYPERLINK("http://www.otzar.org/book.asp?60379","מנחת נתן - 3 כר'")</f>
        <v>מנחת נתן - 3 כר'</v>
      </c>
    </row>
    <row r="24262" spans="1:6" x14ac:dyDescent="0.2">
      <c r="A24262" t="s">
        <v>38908</v>
      </c>
      <c r="B24262" t="s">
        <v>38909</v>
      </c>
      <c r="C24262" t="s">
        <v>10425</v>
      </c>
      <c r="D24262" t="s">
        <v>726</v>
      </c>
      <c r="E24262" t="s">
        <v>5186</v>
      </c>
      <c r="F24262" s="2" t="str">
        <f>HYPERLINK("http://www.otzar.org/book.asp?146618","מנחת נתן")</f>
        <v>מנחת נתן</v>
      </c>
    </row>
    <row r="24263" spans="1:6" x14ac:dyDescent="0.2">
      <c r="A24263" t="s">
        <v>38910</v>
      </c>
      <c r="B24263" t="s">
        <v>38911</v>
      </c>
      <c r="C24263" t="s">
        <v>286</v>
      </c>
      <c r="D24263" t="s">
        <v>691</v>
      </c>
      <c r="E24263" t="s">
        <v>920</v>
      </c>
      <c r="F24263" s="2" t="str">
        <f>HYPERLINK("http://www.otzar.org/book.asp?5610","מנחת נתנאל")</f>
        <v>מנחת נתנאל</v>
      </c>
    </row>
    <row r="24264" spans="1:6" x14ac:dyDescent="0.2">
      <c r="A24264" t="s">
        <v>38910</v>
      </c>
      <c r="B24264" t="s">
        <v>27830</v>
      </c>
      <c r="C24264" t="s">
        <v>20</v>
      </c>
      <c r="D24264" t="s">
        <v>90</v>
      </c>
      <c r="E24264" t="s">
        <v>140</v>
      </c>
      <c r="F24264" s="2" t="str">
        <f>HYPERLINK("http://www.otzar.org/book.asp?622527","מנחת נתנאל")</f>
        <v>מנחת נתנאל</v>
      </c>
    </row>
    <row r="24265" spans="1:6" x14ac:dyDescent="0.2">
      <c r="A24265" t="s">
        <v>38912</v>
      </c>
      <c r="B24265" t="s">
        <v>38913</v>
      </c>
      <c r="C24265" t="s">
        <v>151</v>
      </c>
      <c r="D24265" t="s">
        <v>52</v>
      </c>
      <c r="E24265" t="s">
        <v>144</v>
      </c>
      <c r="F24265" s="2" t="str">
        <f>HYPERLINK("http://www.otzar.org/book.asp?629477","מנחת נתנאל - ב""ק, קידושין")</f>
        <v>מנחת נתנאל - ב"ק, קידושין</v>
      </c>
    </row>
    <row r="24266" spans="1:6" x14ac:dyDescent="0.2">
      <c r="A24266" t="s">
        <v>38910</v>
      </c>
      <c r="B24266" t="s">
        <v>38914</v>
      </c>
      <c r="C24266" t="s">
        <v>133</v>
      </c>
      <c r="D24266" t="s">
        <v>21</v>
      </c>
      <c r="F24266" s="2" t="str">
        <f>HYPERLINK("http://www.otzar.org/book.asp?610341","מנחת נתנאל")</f>
        <v>מנחת נתנאל</v>
      </c>
    </row>
    <row r="24267" spans="1:6" x14ac:dyDescent="0.2">
      <c r="A24267" t="s">
        <v>38915</v>
      </c>
      <c r="B24267" t="s">
        <v>38916</v>
      </c>
      <c r="C24267" t="s">
        <v>576</v>
      </c>
      <c r="D24267" t="s">
        <v>14331</v>
      </c>
      <c r="E24267" t="s">
        <v>674</v>
      </c>
      <c r="F24267" s="2" t="str">
        <f>HYPERLINK("http://www.otzar.org/book.asp?20988","מנחת סולת - 3 כר'")</f>
        <v>מנחת סולת - 3 כר'</v>
      </c>
    </row>
    <row r="24268" spans="1:6" x14ac:dyDescent="0.2">
      <c r="A24268" t="s">
        <v>38917</v>
      </c>
      <c r="B24268" t="s">
        <v>38918</v>
      </c>
      <c r="C24268" t="s">
        <v>496</v>
      </c>
      <c r="D24268" t="s">
        <v>9</v>
      </c>
      <c r="E24268" t="s">
        <v>158</v>
      </c>
      <c r="F24268" s="2" t="str">
        <f>HYPERLINK("http://www.otzar.org/book.asp?102351","מנחת סופר")</f>
        <v>מנחת סופר</v>
      </c>
    </row>
    <row r="24269" spans="1:6" x14ac:dyDescent="0.2">
      <c r="A24269" t="s">
        <v>38919</v>
      </c>
      <c r="B24269" t="s">
        <v>28892</v>
      </c>
      <c r="C24269" t="s">
        <v>1535</v>
      </c>
      <c r="D24269" t="s">
        <v>38920</v>
      </c>
      <c r="E24269" t="s">
        <v>130</v>
      </c>
      <c r="F24269" s="2" t="str">
        <f>HYPERLINK("http://www.otzar.org/book.asp?24488","מנחת עומר")</f>
        <v>מנחת עומר</v>
      </c>
    </row>
    <row r="24270" spans="1:6" x14ac:dyDescent="0.2">
      <c r="A24270" t="s">
        <v>38921</v>
      </c>
      <c r="B24270" t="s">
        <v>4218</v>
      </c>
      <c r="C24270" t="s">
        <v>422</v>
      </c>
      <c r="D24270" t="s">
        <v>14</v>
      </c>
      <c r="E24270" t="s">
        <v>144</v>
      </c>
      <c r="F24270" s="2" t="str">
        <f>HYPERLINK("http://www.otzar.org/book.asp?85048","מנחת עזרא - 5 כר'")</f>
        <v>מנחת עזרא - 5 כר'</v>
      </c>
    </row>
    <row r="24271" spans="1:6" x14ac:dyDescent="0.2">
      <c r="A24271" t="s">
        <v>38922</v>
      </c>
      <c r="B24271" t="s">
        <v>1750</v>
      </c>
      <c r="C24271" t="s">
        <v>20</v>
      </c>
      <c r="D24271" t="s">
        <v>90</v>
      </c>
      <c r="E24271" t="s">
        <v>202</v>
      </c>
      <c r="F24271" s="2" t="str">
        <f>HYPERLINK("http://www.otzar.org/book.asp?50173","מנחת עזרא")</f>
        <v>מנחת עזרא</v>
      </c>
    </row>
    <row r="24272" spans="1:6" x14ac:dyDescent="0.2">
      <c r="A24272" t="s">
        <v>38923</v>
      </c>
      <c r="B24272" t="s">
        <v>38924</v>
      </c>
      <c r="C24272" t="s">
        <v>37</v>
      </c>
      <c r="D24272" t="s">
        <v>152</v>
      </c>
      <c r="F24272" s="2" t="str">
        <f>HYPERLINK("http://www.otzar.org/book.asp?197670","מנחת עיון")</f>
        <v>מנחת עיון</v>
      </c>
    </row>
    <row r="24273" spans="1:6" x14ac:dyDescent="0.2">
      <c r="A24273" t="s">
        <v>38925</v>
      </c>
      <c r="B24273" t="s">
        <v>17766</v>
      </c>
      <c r="C24273" t="s">
        <v>454</v>
      </c>
      <c r="D24273" t="s">
        <v>1356</v>
      </c>
      <c r="E24273" t="s">
        <v>144</v>
      </c>
      <c r="F24273" s="2" t="str">
        <f>HYPERLINK("http://www.otzar.org/book.asp?189003","מנחת עמרם - ברכות")</f>
        <v>מנחת עמרם - ברכות</v>
      </c>
    </row>
    <row r="24274" spans="1:6" x14ac:dyDescent="0.2">
      <c r="A24274" t="s">
        <v>38926</v>
      </c>
      <c r="B24274" t="s">
        <v>10680</v>
      </c>
      <c r="C24274" t="s">
        <v>411</v>
      </c>
      <c r="D24274" t="s">
        <v>52</v>
      </c>
      <c r="E24274" t="s">
        <v>158</v>
      </c>
      <c r="F24274" s="2" t="str">
        <f>HYPERLINK("http://www.otzar.org/book.asp?180164","מנחת עני &lt;מהדורה חדשה&gt;")</f>
        <v>מנחת עני &lt;מהדורה חדשה&gt;</v>
      </c>
    </row>
    <row r="24275" spans="1:6" x14ac:dyDescent="0.2">
      <c r="A24275" t="s">
        <v>38927</v>
      </c>
      <c r="B24275" t="s">
        <v>37828</v>
      </c>
      <c r="C24275" t="s">
        <v>313</v>
      </c>
      <c r="E24275" t="s">
        <v>474</v>
      </c>
      <c r="F24275" s="2" t="str">
        <f>HYPERLINK("http://www.otzar.org/book.asp?52789","מנחת עני &lt;על התורה ומועדים&gt; - 5 כר'")</f>
        <v>מנחת עני &lt;על התורה ומועדים&gt; - 5 כר'</v>
      </c>
    </row>
    <row r="24276" spans="1:6" x14ac:dyDescent="0.2">
      <c r="A24276" t="s">
        <v>38928</v>
      </c>
      <c r="B24276" t="s">
        <v>38929</v>
      </c>
      <c r="C24276" t="s">
        <v>7625</v>
      </c>
      <c r="D24276" t="s">
        <v>1023</v>
      </c>
      <c r="E24276" t="s">
        <v>579</v>
      </c>
      <c r="F24276" s="2" t="str">
        <f>HYPERLINK("http://www.otzar.org/book.asp?85154","מנחת עני ומנחת כהן")</f>
        <v>מנחת עני ומנחת כהן</v>
      </c>
    </row>
    <row r="24277" spans="1:6" x14ac:dyDescent="0.2">
      <c r="A24277" t="s">
        <v>38930</v>
      </c>
      <c r="B24277" t="s">
        <v>10680</v>
      </c>
      <c r="C24277" t="s">
        <v>266</v>
      </c>
      <c r="D24277" t="s">
        <v>42</v>
      </c>
      <c r="E24277" t="s">
        <v>158</v>
      </c>
      <c r="F24277" s="2" t="str">
        <f>HYPERLINK("http://www.otzar.org/book.asp?14412","מנחת עני")</f>
        <v>מנחת עני</v>
      </c>
    </row>
    <row r="24278" spans="1:6" x14ac:dyDescent="0.2">
      <c r="A24278" t="s">
        <v>38930</v>
      </c>
      <c r="B24278" t="s">
        <v>38931</v>
      </c>
      <c r="C24278" t="s">
        <v>3690</v>
      </c>
      <c r="D24278" t="s">
        <v>10557</v>
      </c>
      <c r="E24278" t="s">
        <v>674</v>
      </c>
      <c r="F24278" s="2" t="str">
        <f>HYPERLINK("http://www.otzar.org/book.asp?193915","מנחת עני")</f>
        <v>מנחת עני</v>
      </c>
    </row>
    <row r="24279" spans="1:6" x14ac:dyDescent="0.2">
      <c r="A24279" t="s">
        <v>38930</v>
      </c>
      <c r="B24279" t="s">
        <v>38932</v>
      </c>
      <c r="C24279" t="s">
        <v>6062</v>
      </c>
      <c r="D24279" t="s">
        <v>2303</v>
      </c>
      <c r="E24279" t="s">
        <v>508</v>
      </c>
      <c r="F24279" s="2" t="str">
        <f>HYPERLINK("http://www.otzar.org/book.asp?20146","מנחת עני")</f>
        <v>מנחת עני</v>
      </c>
    </row>
    <row r="24280" spans="1:6" x14ac:dyDescent="0.2">
      <c r="A24280" t="s">
        <v>38930</v>
      </c>
      <c r="B24280" t="s">
        <v>38933</v>
      </c>
      <c r="C24280" t="s">
        <v>15405</v>
      </c>
      <c r="D24280" t="s">
        <v>283</v>
      </c>
      <c r="E24280" t="s">
        <v>154</v>
      </c>
      <c r="F24280" s="2" t="str">
        <f>HYPERLINK("http://www.otzar.org/book.asp?9550","מנחת עני")</f>
        <v>מנחת עני</v>
      </c>
    </row>
    <row r="24281" spans="1:6" x14ac:dyDescent="0.2">
      <c r="A24281" t="s">
        <v>38930</v>
      </c>
      <c r="B24281" t="s">
        <v>31088</v>
      </c>
      <c r="C24281" t="s">
        <v>23</v>
      </c>
      <c r="D24281" t="s">
        <v>90</v>
      </c>
      <c r="F24281" s="2" t="str">
        <f>HYPERLINK("http://www.otzar.org/book.asp?197378","מנחת עני")</f>
        <v>מנחת עני</v>
      </c>
    </row>
    <row r="24282" spans="1:6" x14ac:dyDescent="0.2">
      <c r="A24282" t="s">
        <v>38930</v>
      </c>
      <c r="B24282" t="s">
        <v>38934</v>
      </c>
      <c r="C24282" t="s">
        <v>1718</v>
      </c>
      <c r="D24282" t="s">
        <v>2038</v>
      </c>
      <c r="E24282" t="s">
        <v>158</v>
      </c>
      <c r="F24282" s="2" t="str">
        <f>HYPERLINK("http://www.otzar.org/book.asp?193913","מנחת עני")</f>
        <v>מנחת עני</v>
      </c>
    </row>
    <row r="24283" spans="1:6" x14ac:dyDescent="0.2">
      <c r="A24283" t="s">
        <v>38930</v>
      </c>
      <c r="B24283" t="s">
        <v>29930</v>
      </c>
      <c r="C24283" t="s">
        <v>748</v>
      </c>
      <c r="D24283" t="s">
        <v>267</v>
      </c>
      <c r="E24283" t="s">
        <v>172</v>
      </c>
      <c r="F24283" s="2" t="str">
        <f>HYPERLINK("http://www.otzar.org/book.asp?193914","מנחת עני")</f>
        <v>מנחת עני</v>
      </c>
    </row>
    <row r="24284" spans="1:6" x14ac:dyDescent="0.2">
      <c r="A24284" t="s">
        <v>38930</v>
      </c>
      <c r="B24284" t="s">
        <v>38935</v>
      </c>
      <c r="C24284" t="s">
        <v>802</v>
      </c>
      <c r="D24284" t="s">
        <v>1459</v>
      </c>
      <c r="E24284" t="s">
        <v>920</v>
      </c>
      <c r="F24284" s="2" t="str">
        <f>HYPERLINK("http://www.otzar.org/book.asp?11633","מנחת עני")</f>
        <v>מנחת עני</v>
      </c>
    </row>
    <row r="24285" spans="1:6" x14ac:dyDescent="0.2">
      <c r="A24285" t="s">
        <v>38936</v>
      </c>
      <c r="B24285" t="s">
        <v>4749</v>
      </c>
      <c r="C24285" t="s">
        <v>176</v>
      </c>
      <c r="D24285" t="s">
        <v>14</v>
      </c>
      <c r="E24285" t="s">
        <v>219</v>
      </c>
      <c r="F24285" s="2" t="str">
        <f>HYPERLINK("http://www.otzar.org/book.asp?191024","מנחת ערב &lt;מהדורה חדשה&gt;")</f>
        <v>מנחת ערב &lt;מהדורה חדשה&gt;</v>
      </c>
    </row>
    <row r="24286" spans="1:6" x14ac:dyDescent="0.2">
      <c r="A24286" t="s">
        <v>38937</v>
      </c>
      <c r="B24286" t="s">
        <v>4749</v>
      </c>
      <c r="C24286" t="s">
        <v>1885</v>
      </c>
      <c r="D24286" t="s">
        <v>1660</v>
      </c>
      <c r="E24286" t="s">
        <v>219</v>
      </c>
      <c r="F24286" s="2" t="str">
        <f>HYPERLINK("http://www.otzar.org/book.asp?182089","מנחת ערב")</f>
        <v>מנחת ערב</v>
      </c>
    </row>
    <row r="24287" spans="1:6" x14ac:dyDescent="0.2">
      <c r="A24287" t="s">
        <v>38938</v>
      </c>
      <c r="B24287" t="s">
        <v>23424</v>
      </c>
      <c r="C24287" t="s">
        <v>360</v>
      </c>
      <c r="D24287" t="s">
        <v>38939</v>
      </c>
      <c r="E24287" t="s">
        <v>234</v>
      </c>
      <c r="F24287" s="2" t="str">
        <f>HYPERLINK("http://www.otzar.org/book.asp?28370","מנחת ערב - 2 כר'")</f>
        <v>מנחת ערב - 2 כר'</v>
      </c>
    </row>
    <row r="24288" spans="1:6" x14ac:dyDescent="0.2">
      <c r="A24288" t="s">
        <v>38937</v>
      </c>
      <c r="B24288" t="s">
        <v>38408</v>
      </c>
      <c r="C24288" t="s">
        <v>38940</v>
      </c>
      <c r="D24288" t="s">
        <v>2181</v>
      </c>
      <c r="E24288" t="s">
        <v>234</v>
      </c>
      <c r="F24288" s="2" t="str">
        <f>HYPERLINK("http://www.otzar.org/book.asp?167543","מנחת ערב")</f>
        <v>מנחת ערב</v>
      </c>
    </row>
    <row r="24289" spans="1:6" x14ac:dyDescent="0.2">
      <c r="A24289" t="s">
        <v>38937</v>
      </c>
      <c r="B24289" t="s">
        <v>38941</v>
      </c>
      <c r="C24289" t="s">
        <v>3840</v>
      </c>
      <c r="D24289" t="s">
        <v>1889</v>
      </c>
      <c r="E24289" t="s">
        <v>148</v>
      </c>
      <c r="F24289" s="2" t="str">
        <f>HYPERLINK("http://www.otzar.org/book.asp?149172","מנחת ערב")</f>
        <v>מנחת ערב</v>
      </c>
    </row>
    <row r="24290" spans="1:6" x14ac:dyDescent="0.2">
      <c r="A24290" t="s">
        <v>38942</v>
      </c>
      <c r="B24290" t="s">
        <v>38943</v>
      </c>
      <c r="C24290" t="s">
        <v>151</v>
      </c>
      <c r="D24290" t="s">
        <v>14</v>
      </c>
      <c r="E24290" t="s">
        <v>144</v>
      </c>
      <c r="F24290" s="2" t="str">
        <f>HYPERLINK("http://www.otzar.org/book.asp?610275","מנחת ערב - 3 כר'")</f>
        <v>מנחת ערב - 3 כר'</v>
      </c>
    </row>
    <row r="24291" spans="1:6" x14ac:dyDescent="0.2">
      <c r="A24291" t="s">
        <v>38944</v>
      </c>
      <c r="B24291" t="s">
        <v>28691</v>
      </c>
      <c r="C24291" t="s">
        <v>143</v>
      </c>
      <c r="D24291" t="s">
        <v>14</v>
      </c>
      <c r="E24291" t="s">
        <v>8781</v>
      </c>
      <c r="F24291" s="2" t="str">
        <f>HYPERLINK("http://www.otzar.org/book.asp?626033","מנחת ערב - ערבי פסחים")</f>
        <v>מנחת ערב - ערבי פסחים</v>
      </c>
    </row>
    <row r="24292" spans="1:6" x14ac:dyDescent="0.2">
      <c r="A24292" t="s">
        <v>38945</v>
      </c>
      <c r="B24292" t="s">
        <v>38946</v>
      </c>
      <c r="C24292" t="s">
        <v>366</v>
      </c>
      <c r="D24292" t="s">
        <v>21</v>
      </c>
      <c r="E24292" t="s">
        <v>186</v>
      </c>
      <c r="F24292" s="2" t="str">
        <f>HYPERLINK("http://www.otzar.org/book.asp?604267","מנחת ערב - ביצה")</f>
        <v>מנחת ערב - ביצה</v>
      </c>
    </row>
    <row r="24293" spans="1:6" x14ac:dyDescent="0.2">
      <c r="A24293" t="s">
        <v>38938</v>
      </c>
      <c r="B24293" t="s">
        <v>9691</v>
      </c>
      <c r="C24293" t="s">
        <v>366</v>
      </c>
      <c r="D24293" t="s">
        <v>52</v>
      </c>
      <c r="F24293" s="2" t="str">
        <f>HYPERLINK("http://www.otzar.org/book.asp?608051","מנחת ערב - 2 כר'")</f>
        <v>מנחת ערב - 2 כר'</v>
      </c>
    </row>
    <row r="24294" spans="1:6" x14ac:dyDescent="0.2">
      <c r="A24294" t="s">
        <v>38947</v>
      </c>
      <c r="B24294" t="s">
        <v>4903</v>
      </c>
      <c r="C24294" t="s">
        <v>23</v>
      </c>
      <c r="D24294" t="s">
        <v>367</v>
      </c>
      <c r="E24294" t="s">
        <v>104</v>
      </c>
      <c r="F24294" s="2" t="str">
        <f>HYPERLINK("http://www.otzar.org/book.asp?198636","מנחת ערבה")</f>
        <v>מנחת ערבה</v>
      </c>
    </row>
    <row r="24295" spans="1:6" x14ac:dyDescent="0.2">
      <c r="A24295" t="s">
        <v>38948</v>
      </c>
      <c r="B24295" t="s">
        <v>38949</v>
      </c>
      <c r="C24295" t="s">
        <v>13</v>
      </c>
      <c r="D24295" t="s">
        <v>14</v>
      </c>
      <c r="E24295" t="s">
        <v>154</v>
      </c>
      <c r="F24295" s="2" t="str">
        <f>HYPERLINK("http://www.otzar.org/book.asp?156630","מנחת פאר")</f>
        <v>מנחת פאר</v>
      </c>
    </row>
    <row r="24296" spans="1:6" x14ac:dyDescent="0.2">
      <c r="A24296" t="s">
        <v>38950</v>
      </c>
      <c r="B24296" t="s">
        <v>38951</v>
      </c>
      <c r="C24296" t="s">
        <v>111</v>
      </c>
      <c r="D24296" t="s">
        <v>52</v>
      </c>
      <c r="E24296" t="s">
        <v>172</v>
      </c>
      <c r="F24296" s="2" t="str">
        <f>HYPERLINK("http://www.otzar.org/book.asp?621778","מנחת פי")</f>
        <v>מנחת פי</v>
      </c>
    </row>
    <row r="24297" spans="1:6" x14ac:dyDescent="0.2">
      <c r="A24297" t="s">
        <v>38952</v>
      </c>
      <c r="B24297" t="s">
        <v>38953</v>
      </c>
      <c r="C24297" t="s">
        <v>411</v>
      </c>
      <c r="D24297" t="s">
        <v>52</v>
      </c>
      <c r="E24297" t="s">
        <v>15</v>
      </c>
      <c r="F24297" s="2" t="str">
        <f>HYPERLINK("http://www.otzar.org/book.asp?173000","מנחת פנחס - 3 כר'")</f>
        <v>מנחת פנחס - 3 כר'</v>
      </c>
    </row>
    <row r="24298" spans="1:6" x14ac:dyDescent="0.2">
      <c r="A24298" t="s">
        <v>38954</v>
      </c>
      <c r="B24298" t="s">
        <v>38955</v>
      </c>
      <c r="C24298" t="s">
        <v>151</v>
      </c>
      <c r="D24298" t="s">
        <v>52</v>
      </c>
      <c r="F24298" s="2" t="str">
        <f>HYPERLINK("http://www.otzar.org/book.asp?617718","מנחת פסחים")</f>
        <v>מנחת פסחים</v>
      </c>
    </row>
    <row r="24299" spans="1:6" x14ac:dyDescent="0.2">
      <c r="A24299" t="s">
        <v>38956</v>
      </c>
      <c r="B24299" t="s">
        <v>38957</v>
      </c>
      <c r="C24299" t="s">
        <v>17</v>
      </c>
      <c r="D24299" t="s">
        <v>14</v>
      </c>
      <c r="E24299" t="s">
        <v>154</v>
      </c>
      <c r="F24299" s="2" t="str">
        <f>HYPERLINK("http://www.otzar.org/book.asp?107220","מנחת פרי &lt;שו""ת&gt; - 6 כר'")</f>
        <v>מנחת פרי &lt;שו"ת&gt; - 6 כר'</v>
      </c>
    </row>
    <row r="24300" spans="1:6" x14ac:dyDescent="0.2">
      <c r="A24300" t="s">
        <v>38958</v>
      </c>
      <c r="B24300" t="s">
        <v>38959</v>
      </c>
      <c r="C24300" t="s">
        <v>940</v>
      </c>
      <c r="D24300" t="s">
        <v>14</v>
      </c>
      <c r="E24300" t="s">
        <v>148</v>
      </c>
      <c r="F24300" s="2" t="str">
        <f>HYPERLINK("http://www.otzar.org/book.asp?51575","מנחת פרי - שבת, עירובין")</f>
        <v>מנחת פרי - שבת, עירובין</v>
      </c>
    </row>
    <row r="24301" spans="1:6" x14ac:dyDescent="0.2">
      <c r="A24301" t="s">
        <v>38960</v>
      </c>
      <c r="B24301" t="s">
        <v>38957</v>
      </c>
      <c r="C24301" t="s">
        <v>143</v>
      </c>
      <c r="D24301" t="s">
        <v>14</v>
      </c>
      <c r="E24301" t="s">
        <v>933</v>
      </c>
      <c r="F24301" s="2" t="str">
        <f>HYPERLINK("http://www.otzar.org/book.asp?51603","מנחת פרי - 4 כר'")</f>
        <v>מנחת פרי - 4 כר'</v>
      </c>
    </row>
    <row r="24302" spans="1:6" x14ac:dyDescent="0.2">
      <c r="A24302" t="s">
        <v>38961</v>
      </c>
      <c r="B24302" t="s">
        <v>6439</v>
      </c>
      <c r="C24302" t="s">
        <v>37</v>
      </c>
      <c r="D24302" t="s">
        <v>14</v>
      </c>
      <c r="E24302" t="s">
        <v>172</v>
      </c>
      <c r="F24302" s="2" t="str">
        <f>HYPERLINK("http://www.otzar.org/book.asp?199828","מנחת פתים &lt;מהדורה חדשה&gt; - 3 כר'")</f>
        <v>מנחת פתים &lt;מהדורה חדשה&gt; - 3 כר'</v>
      </c>
    </row>
    <row r="24303" spans="1:6" x14ac:dyDescent="0.2">
      <c r="A24303" t="s">
        <v>38962</v>
      </c>
      <c r="B24303" t="s">
        <v>6439</v>
      </c>
      <c r="C24303" t="s">
        <v>5823</v>
      </c>
      <c r="D24303" t="s">
        <v>379</v>
      </c>
      <c r="E24303" t="s">
        <v>684</v>
      </c>
      <c r="F24303" s="2" t="str">
        <f>HYPERLINK("http://www.otzar.org/book.asp?8382","מנחת פתים - 2 כר'")</f>
        <v>מנחת פתים - 2 כר'</v>
      </c>
    </row>
    <row r="24304" spans="1:6" x14ac:dyDescent="0.2">
      <c r="A24304" t="s">
        <v>38963</v>
      </c>
      <c r="B24304" t="s">
        <v>27233</v>
      </c>
      <c r="C24304" t="s">
        <v>506</v>
      </c>
      <c r="D24304" t="s">
        <v>322</v>
      </c>
      <c r="E24304" t="s">
        <v>104</v>
      </c>
      <c r="F24304" s="2" t="str">
        <f>HYPERLINK("http://www.otzar.org/book.asp?19223","מנחת פתים")</f>
        <v>מנחת פתים</v>
      </c>
    </row>
    <row r="24305" spans="1:6" x14ac:dyDescent="0.2">
      <c r="A24305" t="s">
        <v>38963</v>
      </c>
      <c r="B24305" t="s">
        <v>38964</v>
      </c>
      <c r="C24305" t="s">
        <v>466</v>
      </c>
      <c r="D24305" t="s">
        <v>52</v>
      </c>
      <c r="E24305" t="s">
        <v>38965</v>
      </c>
      <c r="F24305" s="2" t="str">
        <f>HYPERLINK("http://www.otzar.org/book.asp?179188","מנחת פתים")</f>
        <v>מנחת פתים</v>
      </c>
    </row>
    <row r="24306" spans="1:6" x14ac:dyDescent="0.2">
      <c r="A24306" t="s">
        <v>38963</v>
      </c>
      <c r="B24306" t="s">
        <v>38966</v>
      </c>
      <c r="C24306" t="s">
        <v>3690</v>
      </c>
      <c r="D24306" t="s">
        <v>38967</v>
      </c>
      <c r="E24306" t="s">
        <v>234</v>
      </c>
      <c r="F24306" s="2" t="str">
        <f>HYPERLINK("http://www.otzar.org/book.asp?193916","מנחת פתים")</f>
        <v>מנחת פתים</v>
      </c>
    </row>
    <row r="24307" spans="1:6" x14ac:dyDescent="0.2">
      <c r="A24307" t="s">
        <v>38968</v>
      </c>
      <c r="B24307" t="s">
        <v>38969</v>
      </c>
      <c r="C24307" t="s">
        <v>454</v>
      </c>
      <c r="D24307" t="s">
        <v>412</v>
      </c>
      <c r="E24307" t="s">
        <v>901</v>
      </c>
      <c r="F24307" s="2" t="str">
        <f>HYPERLINK("http://www.otzar.org/book.asp?60346","מנחת צבי")</f>
        <v>מנחת צבי</v>
      </c>
    </row>
    <row r="24308" spans="1:6" x14ac:dyDescent="0.2">
      <c r="A24308" t="s">
        <v>38970</v>
      </c>
      <c r="B24308" t="s">
        <v>37591</v>
      </c>
      <c r="C24308" t="s">
        <v>114</v>
      </c>
      <c r="D24308" t="s">
        <v>14</v>
      </c>
      <c r="E24308" t="s">
        <v>674</v>
      </c>
      <c r="F24308" s="2" t="str">
        <f>HYPERLINK("http://www.otzar.org/book.asp?163213","מנחת צבי - 2 כר'")</f>
        <v>מנחת צבי - 2 כר'</v>
      </c>
    </row>
    <row r="24309" spans="1:6" x14ac:dyDescent="0.2">
      <c r="A24309" t="s">
        <v>38970</v>
      </c>
      <c r="B24309" t="s">
        <v>38971</v>
      </c>
      <c r="C24309" t="s">
        <v>143</v>
      </c>
      <c r="D24309" t="s">
        <v>14</v>
      </c>
      <c r="E24309" t="s">
        <v>15</v>
      </c>
      <c r="F24309" s="2" t="str">
        <f>HYPERLINK("http://www.otzar.org/book.asp?142037","מנחת צבי - 2 כר'")</f>
        <v>מנחת צבי - 2 כר'</v>
      </c>
    </row>
    <row r="24310" spans="1:6" x14ac:dyDescent="0.2">
      <c r="A24310" t="s">
        <v>38972</v>
      </c>
      <c r="B24310" t="s">
        <v>38973</v>
      </c>
      <c r="C24310" t="s">
        <v>17</v>
      </c>
      <c r="D24310" t="s">
        <v>14</v>
      </c>
      <c r="E24310" t="s">
        <v>144</v>
      </c>
      <c r="F24310" s="2" t="str">
        <f>HYPERLINK("http://www.otzar.org/book.asp?28901","מנחת צבי - 4 כר'")</f>
        <v>מנחת צבי - 4 כר'</v>
      </c>
    </row>
    <row r="24311" spans="1:6" x14ac:dyDescent="0.2">
      <c r="A24311" t="s">
        <v>38974</v>
      </c>
      <c r="B24311" t="s">
        <v>38975</v>
      </c>
      <c r="C24311" t="s">
        <v>553</v>
      </c>
      <c r="D24311" t="s">
        <v>14</v>
      </c>
      <c r="E24311" t="s">
        <v>10</v>
      </c>
      <c r="F24311" s="2" t="str">
        <f>HYPERLINK("http://www.otzar.org/book.asp?23428","מנחת צבי - 3 כר'")</f>
        <v>מנחת צבי - 3 כר'</v>
      </c>
    </row>
    <row r="24312" spans="1:6" x14ac:dyDescent="0.2">
      <c r="A24312" t="s">
        <v>38976</v>
      </c>
      <c r="B24312" t="s">
        <v>206</v>
      </c>
      <c r="C24312" t="s">
        <v>20</v>
      </c>
      <c r="D24312" t="s">
        <v>52</v>
      </c>
      <c r="E24312" t="s">
        <v>84</v>
      </c>
      <c r="F24312" s="2" t="str">
        <f>HYPERLINK("http://www.otzar.org/book.asp?630067","מנחת ציבור - קינים")</f>
        <v>מנחת ציבור - קינים</v>
      </c>
    </row>
    <row r="24313" spans="1:6" x14ac:dyDescent="0.2">
      <c r="A24313" t="s">
        <v>38977</v>
      </c>
      <c r="B24313" t="s">
        <v>11666</v>
      </c>
      <c r="C24313" t="s">
        <v>151</v>
      </c>
      <c r="D24313" t="s">
        <v>3939</v>
      </c>
      <c r="E24313" t="s">
        <v>130</v>
      </c>
      <c r="F24313" s="2" t="str">
        <f>HYPERLINK("http://www.otzar.org/book.asp?627589","מנחת ציון - פסח")</f>
        <v>מנחת ציון - פסח</v>
      </c>
    </row>
    <row r="24314" spans="1:6" x14ac:dyDescent="0.2">
      <c r="A24314" t="s">
        <v>38978</v>
      </c>
      <c r="B24314" t="s">
        <v>38979</v>
      </c>
      <c r="C24314" t="s">
        <v>63</v>
      </c>
      <c r="D24314" t="s">
        <v>412</v>
      </c>
      <c r="E24314" t="s">
        <v>154</v>
      </c>
      <c r="F24314" s="2" t="str">
        <f>HYPERLINK("http://www.otzar.org/book.asp?10682","מנחת צמח")</f>
        <v>מנחת צמח</v>
      </c>
    </row>
    <row r="24315" spans="1:6" x14ac:dyDescent="0.2">
      <c r="A24315" t="s">
        <v>38980</v>
      </c>
      <c r="B24315" t="s">
        <v>2396</v>
      </c>
      <c r="C24315" t="s">
        <v>20</v>
      </c>
      <c r="D24315" t="s">
        <v>1076</v>
      </c>
      <c r="E24315" t="s">
        <v>158</v>
      </c>
      <c r="F24315" s="2" t="str">
        <f>HYPERLINK("http://www.otzar.org/book.asp?22810","מנחת קדש")</f>
        <v>מנחת קדש</v>
      </c>
    </row>
    <row r="24316" spans="1:6" x14ac:dyDescent="0.2">
      <c r="A24316" t="s">
        <v>38981</v>
      </c>
      <c r="B24316" t="s">
        <v>6439</v>
      </c>
      <c r="C24316" t="s">
        <v>244</v>
      </c>
      <c r="D24316" t="s">
        <v>1273</v>
      </c>
      <c r="F24316" s="2" t="str">
        <f>HYPERLINK("http://www.otzar.org/book.asp?194588","מנחת קנאות &lt;מהדורה חדשה&gt;")</f>
        <v>מנחת קנאות &lt;מהדורה חדשה&gt;</v>
      </c>
    </row>
    <row r="24317" spans="1:6" x14ac:dyDescent="0.2">
      <c r="A24317" t="s">
        <v>38982</v>
      </c>
      <c r="B24317" t="s">
        <v>38983</v>
      </c>
      <c r="C24317" t="s">
        <v>1177</v>
      </c>
      <c r="D24317" t="s">
        <v>27</v>
      </c>
      <c r="E24317" t="s">
        <v>733</v>
      </c>
      <c r="F24317" s="2" t="str">
        <f>HYPERLINK("http://www.otzar.org/book.asp?85919","מנחת קנאות מזכרת עון")</f>
        <v>מנחת קנאות מזכרת עון</v>
      </c>
    </row>
    <row r="24318" spans="1:6" x14ac:dyDescent="0.2">
      <c r="A24318" t="s">
        <v>38984</v>
      </c>
      <c r="B24318" t="s">
        <v>38985</v>
      </c>
      <c r="C24318" t="s">
        <v>248</v>
      </c>
      <c r="D24318" t="s">
        <v>1422</v>
      </c>
      <c r="E24318" t="s">
        <v>38986</v>
      </c>
      <c r="F24318" s="2" t="str">
        <f>HYPERLINK("http://www.otzar.org/book.asp?379","מנחת קנאות")</f>
        <v>מנחת קנאות</v>
      </c>
    </row>
    <row r="24319" spans="1:6" x14ac:dyDescent="0.2">
      <c r="A24319" t="s">
        <v>38987</v>
      </c>
      <c r="B24319" t="s">
        <v>6439</v>
      </c>
      <c r="C24319" t="s">
        <v>1706</v>
      </c>
      <c r="D24319" t="s">
        <v>267</v>
      </c>
      <c r="E24319" t="s">
        <v>144</v>
      </c>
      <c r="F24319" s="2" t="str">
        <f>HYPERLINK("http://www.otzar.org/book.asp?225","מנחת קנאות - 2 כר'")</f>
        <v>מנחת קנאות - 2 כר'</v>
      </c>
    </row>
    <row r="24320" spans="1:6" x14ac:dyDescent="0.2">
      <c r="A24320" t="s">
        <v>38984</v>
      </c>
      <c r="B24320" t="s">
        <v>38988</v>
      </c>
      <c r="C24320" t="s">
        <v>5823</v>
      </c>
      <c r="D24320" t="s">
        <v>280</v>
      </c>
      <c r="E24320" t="s">
        <v>241</v>
      </c>
      <c r="F24320" s="2" t="str">
        <f>HYPERLINK("http://www.otzar.org/book.asp?12177","מנחת קנאות")</f>
        <v>מנחת קנאות</v>
      </c>
    </row>
    <row r="24321" spans="1:6" x14ac:dyDescent="0.2">
      <c r="A24321" t="s">
        <v>38989</v>
      </c>
      <c r="B24321" t="s">
        <v>38990</v>
      </c>
      <c r="C24321" t="s">
        <v>111</v>
      </c>
      <c r="D24321" t="s">
        <v>152</v>
      </c>
      <c r="E24321" t="s">
        <v>144</v>
      </c>
      <c r="F24321" s="2" t="str">
        <f>HYPERLINK("http://www.otzar.org/book.asp?630812","מנחת ראובן - עירובין")</f>
        <v>מנחת ראובן - עירובין</v>
      </c>
    </row>
    <row r="24322" spans="1:6" x14ac:dyDescent="0.2">
      <c r="A24322" t="s">
        <v>38991</v>
      </c>
      <c r="B24322" t="s">
        <v>38992</v>
      </c>
      <c r="C24322" t="s">
        <v>37</v>
      </c>
      <c r="D24322" t="s">
        <v>367</v>
      </c>
      <c r="E24322" t="s">
        <v>15</v>
      </c>
      <c r="F24322" s="2" t="str">
        <f>HYPERLINK("http://www.otzar.org/book.asp?619278","מנחת ראובן - 4 כר'")</f>
        <v>מנחת ראובן - 4 כר'</v>
      </c>
    </row>
    <row r="24323" spans="1:6" x14ac:dyDescent="0.2">
      <c r="A24323" t="s">
        <v>38993</v>
      </c>
      <c r="B24323" t="s">
        <v>1956</v>
      </c>
      <c r="C24323" t="s">
        <v>3840</v>
      </c>
      <c r="D24323" t="s">
        <v>9</v>
      </c>
      <c r="E24323" t="s">
        <v>104</v>
      </c>
      <c r="F24323" s="2" t="str">
        <f>HYPERLINK("http://www.otzar.org/book.asp?101037","מנחת ראם")</f>
        <v>מנחת ראם</v>
      </c>
    </row>
    <row r="24324" spans="1:6" x14ac:dyDescent="0.2">
      <c r="A24324" t="s">
        <v>38994</v>
      </c>
      <c r="B24324" t="s">
        <v>38995</v>
      </c>
      <c r="C24324" t="s">
        <v>698</v>
      </c>
      <c r="D24324" t="s">
        <v>27</v>
      </c>
      <c r="E24324" t="s">
        <v>144</v>
      </c>
      <c r="F24324" s="2" t="str">
        <f>HYPERLINK("http://www.otzar.org/book.asp?7045","מנחת ריב""א")</f>
        <v>מנחת ריב"א</v>
      </c>
    </row>
    <row r="24325" spans="1:6" x14ac:dyDescent="0.2">
      <c r="A24325" t="s">
        <v>38996</v>
      </c>
      <c r="B24325" t="s">
        <v>38997</v>
      </c>
      <c r="C24325" t="s">
        <v>151</v>
      </c>
      <c r="E24325" t="s">
        <v>158</v>
      </c>
      <c r="F24325" s="2" t="str">
        <f>HYPERLINK("http://www.otzar.org/book.asp?624872","מנחת רפאל - 3 כר'")</f>
        <v>מנחת רפאל - 3 כר'</v>
      </c>
    </row>
    <row r="24326" spans="1:6" x14ac:dyDescent="0.2">
      <c r="A24326" t="s">
        <v>38998</v>
      </c>
      <c r="B24326" t="s">
        <v>38999</v>
      </c>
      <c r="C24326" t="s">
        <v>146</v>
      </c>
      <c r="D24326" t="s">
        <v>14</v>
      </c>
      <c r="E24326" t="s">
        <v>144</v>
      </c>
      <c r="F24326" s="2" t="str">
        <f>HYPERLINK("http://www.otzar.org/book.asp?50144","מנחת רפאל - 2 כר'")</f>
        <v>מנחת רפאל - 2 כר'</v>
      </c>
    </row>
    <row r="24327" spans="1:6" x14ac:dyDescent="0.2">
      <c r="A24327" t="s">
        <v>39000</v>
      </c>
      <c r="B24327" t="s">
        <v>13075</v>
      </c>
      <c r="C24327" t="s">
        <v>114</v>
      </c>
      <c r="D24327" t="s">
        <v>21</v>
      </c>
      <c r="E24327" t="s">
        <v>158</v>
      </c>
      <c r="F24327" s="2" t="str">
        <f>HYPERLINK("http://www.otzar.org/book.asp?195466","מנחת רפאל")</f>
        <v>מנחת רפאל</v>
      </c>
    </row>
    <row r="24328" spans="1:6" x14ac:dyDescent="0.2">
      <c r="A24328" t="s">
        <v>39001</v>
      </c>
      <c r="B24328" t="s">
        <v>39002</v>
      </c>
      <c r="C24328" t="s">
        <v>558</v>
      </c>
      <c r="D24328" t="s">
        <v>225</v>
      </c>
      <c r="E24328" t="s">
        <v>930</v>
      </c>
      <c r="F24328" s="2" t="str">
        <f>HYPERLINK("http://www.otzar.org/book.asp?20147","מנחת ש""י")</f>
        <v>מנחת ש"י</v>
      </c>
    </row>
    <row r="24329" spans="1:6" x14ac:dyDescent="0.2">
      <c r="A24329" t="s">
        <v>39003</v>
      </c>
      <c r="B24329" t="s">
        <v>39004</v>
      </c>
      <c r="C24329" t="s">
        <v>189</v>
      </c>
      <c r="D24329" t="s">
        <v>412</v>
      </c>
      <c r="E24329" t="s">
        <v>144</v>
      </c>
      <c r="F24329" s="2" t="str">
        <f>HYPERLINK("http://www.otzar.org/book.asp?172109","מנחת שאול - 4 כר'")</f>
        <v>מנחת שאול - 4 כר'</v>
      </c>
    </row>
    <row r="24330" spans="1:6" x14ac:dyDescent="0.2">
      <c r="A24330" t="s">
        <v>39005</v>
      </c>
      <c r="B24330" t="s">
        <v>39006</v>
      </c>
      <c r="C24330" t="s">
        <v>151</v>
      </c>
      <c r="D24330" t="s">
        <v>90</v>
      </c>
      <c r="F24330" s="2" t="str">
        <f>HYPERLINK("http://www.otzar.org/book.asp?617994","מנחת שאול - 13 כר'")</f>
        <v>מנחת שאול - 13 כר'</v>
      </c>
    </row>
    <row r="24331" spans="1:6" x14ac:dyDescent="0.2">
      <c r="A24331" t="s">
        <v>39007</v>
      </c>
      <c r="B24331" t="s">
        <v>39008</v>
      </c>
      <c r="C24331" t="s">
        <v>17</v>
      </c>
      <c r="D24331" t="s">
        <v>14</v>
      </c>
      <c r="E24331" t="s">
        <v>15</v>
      </c>
      <c r="F24331" s="2" t="str">
        <f>HYPERLINK("http://www.otzar.org/book.asp?177072","מנחת שביעית")</f>
        <v>מנחת שביעית</v>
      </c>
    </row>
    <row r="24332" spans="1:6" x14ac:dyDescent="0.2">
      <c r="A24332" t="s">
        <v>39009</v>
      </c>
      <c r="B24332" t="s">
        <v>27421</v>
      </c>
      <c r="C24332" t="s">
        <v>1228</v>
      </c>
      <c r="D24332" t="s">
        <v>56</v>
      </c>
      <c r="E24332" t="s">
        <v>84</v>
      </c>
      <c r="F24332" s="2" t="str">
        <f>HYPERLINK("http://www.otzar.org/book.asp?101894","מנחת שבת &lt;סלת למנחה, פירוש הרמב""ם&gt;")</f>
        <v>מנחת שבת &lt;סלת למנחה, פירוש הרמב"ם&gt;</v>
      </c>
    </row>
    <row r="24333" spans="1:6" x14ac:dyDescent="0.2">
      <c r="A24333" t="s">
        <v>39010</v>
      </c>
      <c r="B24333" t="s">
        <v>27421</v>
      </c>
      <c r="C24333" t="s">
        <v>1228</v>
      </c>
      <c r="D24333" t="s">
        <v>56</v>
      </c>
      <c r="E24333" t="s">
        <v>84</v>
      </c>
      <c r="F24333" s="2" t="str">
        <f>HYPERLINK("http://www.otzar.org/book.asp?101893","מנחת שבת &lt;סלת למנחה&gt;")</f>
        <v>מנחת שבת &lt;סלת למנחה&gt;</v>
      </c>
    </row>
    <row r="24334" spans="1:6" x14ac:dyDescent="0.2">
      <c r="A24334" t="s">
        <v>39011</v>
      </c>
      <c r="B24334" t="s">
        <v>39012</v>
      </c>
      <c r="C24334" t="s">
        <v>114</v>
      </c>
      <c r="D24334" t="s">
        <v>2798</v>
      </c>
      <c r="E24334" t="s">
        <v>144</v>
      </c>
      <c r="F24334" s="2" t="str">
        <f>HYPERLINK("http://www.otzar.org/book.asp?189438","מנחת שבת")</f>
        <v>מנחת שבת</v>
      </c>
    </row>
    <row r="24335" spans="1:6" x14ac:dyDescent="0.2">
      <c r="A24335" t="s">
        <v>39011</v>
      </c>
      <c r="B24335" t="s">
        <v>39013</v>
      </c>
      <c r="C24335" t="s">
        <v>189</v>
      </c>
      <c r="D24335" t="s">
        <v>52</v>
      </c>
      <c r="E24335" t="s">
        <v>15</v>
      </c>
      <c r="F24335" s="2" t="str">
        <f>HYPERLINK("http://www.otzar.org/book.asp?83701","מנחת שבת")</f>
        <v>מנחת שבת</v>
      </c>
    </row>
    <row r="24336" spans="1:6" x14ac:dyDescent="0.2">
      <c r="A24336" t="s">
        <v>39014</v>
      </c>
      <c r="B24336" t="s">
        <v>7430</v>
      </c>
      <c r="C24336" t="s">
        <v>189</v>
      </c>
      <c r="D24336" t="s">
        <v>14</v>
      </c>
      <c r="F24336" s="2" t="str">
        <f>HYPERLINK("http://www.otzar.org/book.asp?612964","מנחת שי &lt;מהדורת בצר&gt;")</f>
        <v>מנחת שי &lt;מהדורת בצר&gt;</v>
      </c>
    </row>
    <row r="24337" spans="1:6" x14ac:dyDescent="0.2">
      <c r="A24337" t="s">
        <v>39015</v>
      </c>
      <c r="B24337" t="s">
        <v>39016</v>
      </c>
      <c r="C24337" t="s">
        <v>767</v>
      </c>
      <c r="D24337" t="s">
        <v>52</v>
      </c>
      <c r="E24337" t="s">
        <v>144</v>
      </c>
      <c r="F24337" s="2" t="str">
        <f>HYPERLINK("http://www.otzar.org/book.asp?105799","מנחת שי - 4 כר'")</f>
        <v>מנחת שי - 4 כר'</v>
      </c>
    </row>
    <row r="24338" spans="1:6" x14ac:dyDescent="0.2">
      <c r="A24338" t="s">
        <v>39017</v>
      </c>
      <c r="B24338" t="s">
        <v>39018</v>
      </c>
      <c r="C24338" t="s">
        <v>87</v>
      </c>
      <c r="D24338" t="s">
        <v>14</v>
      </c>
      <c r="E24338" t="s">
        <v>148</v>
      </c>
      <c r="F24338" s="2" t="str">
        <f>HYPERLINK("http://www.otzar.org/book.asp?50963","מנחת שי - 2 כר'")</f>
        <v>מנחת שי - 2 כר'</v>
      </c>
    </row>
    <row r="24339" spans="1:6" x14ac:dyDescent="0.2">
      <c r="A24339" t="s">
        <v>39019</v>
      </c>
      <c r="B24339" t="s">
        <v>39020</v>
      </c>
      <c r="C24339" t="s">
        <v>133</v>
      </c>
      <c r="D24339" t="s">
        <v>657</v>
      </c>
      <c r="E24339" t="s">
        <v>144</v>
      </c>
      <c r="F24339" s="2" t="str">
        <f>HYPERLINK("http://www.otzar.org/book.asp?192304","מנחת שי")</f>
        <v>מנחת שי</v>
      </c>
    </row>
    <row r="24340" spans="1:6" x14ac:dyDescent="0.2">
      <c r="A24340" t="s">
        <v>39017</v>
      </c>
      <c r="B24340" t="s">
        <v>39021</v>
      </c>
      <c r="C24340" t="s">
        <v>411</v>
      </c>
      <c r="D24340" t="s">
        <v>486</v>
      </c>
      <c r="E24340" t="s">
        <v>172</v>
      </c>
      <c r="F24340" s="2" t="str">
        <f>HYPERLINK("http://www.otzar.org/book.asp?176260","מנחת שי - 2 כר'")</f>
        <v>מנחת שי - 2 כר'</v>
      </c>
    </row>
    <row r="24341" spans="1:6" x14ac:dyDescent="0.2">
      <c r="A24341" t="s">
        <v>39022</v>
      </c>
      <c r="B24341" t="s">
        <v>39023</v>
      </c>
      <c r="C24341" t="s">
        <v>366</v>
      </c>
      <c r="D24341" t="s">
        <v>90</v>
      </c>
      <c r="E24341" t="s">
        <v>202</v>
      </c>
      <c r="F24341" s="2" t="str">
        <f>HYPERLINK("http://www.otzar.org/book.asp?623306","מנחת שי - ספר זכרון")</f>
        <v>מנחת שי - ספר זכרון</v>
      </c>
    </row>
    <row r="24342" spans="1:6" x14ac:dyDescent="0.2">
      <c r="A24342" t="s">
        <v>39024</v>
      </c>
      <c r="B24342" t="s">
        <v>39025</v>
      </c>
      <c r="C24342" t="s">
        <v>313</v>
      </c>
      <c r="D24342" t="s">
        <v>16149</v>
      </c>
      <c r="E24342" t="s">
        <v>158</v>
      </c>
      <c r="F24342" s="2" t="str">
        <f>HYPERLINK("http://www.otzar.org/book.asp?197170","מנחת שי - אור החיים &lt;מהדורה חדשה&gt;")</f>
        <v>מנחת שי - אור החיים &lt;מהדורה חדשה&gt;</v>
      </c>
    </row>
    <row r="24343" spans="1:6" x14ac:dyDescent="0.2">
      <c r="A24343" t="s">
        <v>39019</v>
      </c>
      <c r="B24343" t="s">
        <v>39026</v>
      </c>
      <c r="C24343" t="s">
        <v>617</v>
      </c>
      <c r="D24343" t="s">
        <v>283</v>
      </c>
      <c r="F24343" s="2" t="str">
        <f>HYPERLINK("http://www.otzar.org/book.asp?610342","מנחת שי")</f>
        <v>מנחת שי</v>
      </c>
    </row>
    <row r="24344" spans="1:6" x14ac:dyDescent="0.2">
      <c r="A24344" t="s">
        <v>39017</v>
      </c>
      <c r="B24344" t="s">
        <v>39027</v>
      </c>
      <c r="C24344" t="s">
        <v>39028</v>
      </c>
      <c r="D24344" t="s">
        <v>39029</v>
      </c>
      <c r="E24344" t="s">
        <v>154</v>
      </c>
      <c r="F24344" s="2" t="str">
        <f>HYPERLINK("http://www.otzar.org/book.asp?101133","מנחת שי - 2 כר'")</f>
        <v>מנחת שי - 2 כר'</v>
      </c>
    </row>
    <row r="24345" spans="1:6" x14ac:dyDescent="0.2">
      <c r="A24345" t="s">
        <v>39030</v>
      </c>
      <c r="B24345" t="s">
        <v>39031</v>
      </c>
      <c r="C24345" t="s">
        <v>20</v>
      </c>
      <c r="D24345" t="s">
        <v>90</v>
      </c>
      <c r="E24345" t="s">
        <v>130</v>
      </c>
      <c r="F24345" s="2" t="str">
        <f>HYPERLINK("http://www.otzar.org/book.asp?629771","מנחת שי - 5 כר'")</f>
        <v>מנחת שי - 5 כר'</v>
      </c>
    </row>
    <row r="24346" spans="1:6" x14ac:dyDescent="0.2">
      <c r="A24346" t="s">
        <v>39017</v>
      </c>
      <c r="B24346" t="s">
        <v>39032</v>
      </c>
      <c r="C24346" t="s">
        <v>114</v>
      </c>
      <c r="D24346" t="s">
        <v>21</v>
      </c>
      <c r="E24346" t="s">
        <v>172</v>
      </c>
      <c r="F24346" s="2" t="str">
        <f>HYPERLINK("http://www.otzar.org/book.asp?181780","מנחת שי - 2 כר'")</f>
        <v>מנחת שי - 2 כר'</v>
      </c>
    </row>
    <row r="24347" spans="1:6" x14ac:dyDescent="0.2">
      <c r="A24347" t="s">
        <v>39033</v>
      </c>
      <c r="B24347" t="s">
        <v>39034</v>
      </c>
      <c r="C24347" t="s">
        <v>411</v>
      </c>
      <c r="D24347" t="s">
        <v>14</v>
      </c>
      <c r="E24347" t="s">
        <v>15</v>
      </c>
      <c r="F24347" s="2" t="str">
        <f>HYPERLINK("http://www.otzar.org/book.asp?169252","מנחת שלום")</f>
        <v>מנחת שלום</v>
      </c>
    </row>
    <row r="24348" spans="1:6" x14ac:dyDescent="0.2">
      <c r="A24348" t="s">
        <v>39035</v>
      </c>
      <c r="B24348" t="s">
        <v>39036</v>
      </c>
      <c r="C24348" t="s">
        <v>13</v>
      </c>
      <c r="D24348" t="s">
        <v>52</v>
      </c>
      <c r="E24348" t="s">
        <v>144</v>
      </c>
      <c r="F24348" s="2" t="str">
        <f>HYPERLINK("http://www.otzar.org/book.asp?143218","מנחת שלום - 17 כר'")</f>
        <v>מנחת שלום - 17 כר'</v>
      </c>
    </row>
    <row r="24349" spans="1:6" x14ac:dyDescent="0.2">
      <c r="A24349" t="s">
        <v>39037</v>
      </c>
      <c r="B24349" t="s">
        <v>19533</v>
      </c>
      <c r="C24349" t="s">
        <v>114</v>
      </c>
      <c r="D24349" t="s">
        <v>14</v>
      </c>
      <c r="E24349" t="s">
        <v>144</v>
      </c>
      <c r="F24349" s="2" t="str">
        <f>HYPERLINK("http://www.otzar.org/book.asp?180592","מנחת שלמה &lt;על הש""ס&gt; - 13 כר'")</f>
        <v>מנחת שלמה &lt;על הש"ס&gt; - 13 כר'</v>
      </c>
    </row>
    <row r="24350" spans="1:6" x14ac:dyDescent="0.2">
      <c r="A24350" t="s">
        <v>39038</v>
      </c>
      <c r="B24350" t="s">
        <v>19533</v>
      </c>
      <c r="C24350" t="s">
        <v>940</v>
      </c>
      <c r="D24350" t="s">
        <v>14</v>
      </c>
      <c r="E24350" t="s">
        <v>588</v>
      </c>
      <c r="F24350" s="2" t="str">
        <f>HYPERLINK("http://www.otzar.org/book.asp?105981","מנחת שלמה &lt;שו""ת מחולק לחלקים&gt; - 3 כר'")</f>
        <v>מנחת שלמה &lt;שו"ת מחולק לחלקים&gt; - 3 כר'</v>
      </c>
    </row>
    <row r="24351" spans="1:6" x14ac:dyDescent="0.2">
      <c r="A24351" t="s">
        <v>39039</v>
      </c>
      <c r="B24351" t="s">
        <v>19533</v>
      </c>
      <c r="C24351" t="s">
        <v>411</v>
      </c>
      <c r="D24351" t="s">
        <v>14</v>
      </c>
      <c r="E24351" t="s">
        <v>154</v>
      </c>
      <c r="F24351" s="2" t="str">
        <f>HYPERLINK("http://www.otzar.org/book.asp?608153","מנחת שלמה &lt;שו""ת מחולק למהדורות&gt; - 3 כר'")</f>
        <v>מנחת שלמה &lt;שו"ת מחולק למהדורות&gt; - 3 כר'</v>
      </c>
    </row>
    <row r="24352" spans="1:6" x14ac:dyDescent="0.2">
      <c r="A24352" t="s">
        <v>39040</v>
      </c>
      <c r="B24352" t="s">
        <v>34606</v>
      </c>
      <c r="C24352" t="s">
        <v>68</v>
      </c>
      <c r="D24352" t="s">
        <v>118</v>
      </c>
      <c r="E24352" t="s">
        <v>144</v>
      </c>
      <c r="F24352" s="2" t="str">
        <f>HYPERLINK("http://www.otzar.org/book.asp?157454","מנחת שלמה מאיר")</f>
        <v>מנחת שלמה מאיר</v>
      </c>
    </row>
    <row r="24353" spans="1:6" x14ac:dyDescent="0.2">
      <c r="A24353" t="s">
        <v>39041</v>
      </c>
      <c r="B24353" t="s">
        <v>39042</v>
      </c>
      <c r="C24353" t="s">
        <v>26</v>
      </c>
      <c r="D24353" t="s">
        <v>16149</v>
      </c>
      <c r="E24353" t="s">
        <v>154</v>
      </c>
      <c r="F24353" s="2" t="str">
        <f>HYPERLINK("http://www.otzar.org/book.asp?180933","מנחת שלמה")</f>
        <v>מנחת שלמה</v>
      </c>
    </row>
    <row r="24354" spans="1:6" x14ac:dyDescent="0.2">
      <c r="A24354" t="s">
        <v>39043</v>
      </c>
      <c r="B24354" t="s">
        <v>39044</v>
      </c>
      <c r="C24354" t="s">
        <v>649</v>
      </c>
      <c r="D24354" t="s">
        <v>27</v>
      </c>
      <c r="E24354" t="s">
        <v>241</v>
      </c>
      <c r="F24354" s="2" t="str">
        <f>HYPERLINK("http://www.otzar.org/book.asp?105001","מנחת שמואל &lt;אמרות טהורות&gt;")</f>
        <v>מנחת שמואל &lt;אמרות טהורות&gt;</v>
      </c>
    </row>
    <row r="24355" spans="1:6" x14ac:dyDescent="0.2">
      <c r="A24355" t="s">
        <v>39045</v>
      </c>
      <c r="B24355" t="s">
        <v>39046</v>
      </c>
      <c r="C24355" t="s">
        <v>17</v>
      </c>
      <c r="D24355" t="s">
        <v>1205</v>
      </c>
      <c r="E24355" t="s">
        <v>144</v>
      </c>
      <c r="F24355" s="2" t="str">
        <f>HYPERLINK("http://www.otzar.org/book.asp?22665","מנחת שמואל - 2 כר'")</f>
        <v>מנחת שמואל - 2 כר'</v>
      </c>
    </row>
    <row r="24356" spans="1:6" x14ac:dyDescent="0.2">
      <c r="A24356" t="s">
        <v>39047</v>
      </c>
      <c r="B24356" t="s">
        <v>206</v>
      </c>
      <c r="C24356" t="s">
        <v>366</v>
      </c>
      <c r="D24356" t="s">
        <v>152</v>
      </c>
      <c r="F24356" s="2" t="str">
        <f>HYPERLINK("http://www.otzar.org/book.asp?616054","מנחת שמואל - ביצה")</f>
        <v>מנחת שמואל - ביצה</v>
      </c>
    </row>
    <row r="24357" spans="1:6" x14ac:dyDescent="0.2">
      <c r="A24357" t="s">
        <v>39048</v>
      </c>
      <c r="B24357" t="s">
        <v>39049</v>
      </c>
      <c r="C24357" t="s">
        <v>888</v>
      </c>
      <c r="D24357" t="s">
        <v>27</v>
      </c>
      <c r="E24357" t="s">
        <v>158</v>
      </c>
      <c r="F24357" s="2" t="str">
        <f>HYPERLINK("http://www.otzar.org/book.asp?145230","מנחת שמואל")</f>
        <v>מנחת שמואל</v>
      </c>
    </row>
    <row r="24358" spans="1:6" x14ac:dyDescent="0.2">
      <c r="A24358" t="s">
        <v>39048</v>
      </c>
      <c r="B24358" t="s">
        <v>7536</v>
      </c>
      <c r="C24358" t="s">
        <v>506</v>
      </c>
      <c r="D24358" t="s">
        <v>280</v>
      </c>
      <c r="E24358" t="s">
        <v>144</v>
      </c>
      <c r="F24358" s="2" t="str">
        <f>HYPERLINK("http://www.otzar.org/book.asp?19224","מנחת שמואל")</f>
        <v>מנחת שמואל</v>
      </c>
    </row>
    <row r="24359" spans="1:6" x14ac:dyDescent="0.2">
      <c r="A24359" t="s">
        <v>39048</v>
      </c>
      <c r="B24359" t="s">
        <v>39050</v>
      </c>
      <c r="C24359" t="s">
        <v>360</v>
      </c>
      <c r="D24359" t="s">
        <v>225</v>
      </c>
      <c r="E24359" t="s">
        <v>154</v>
      </c>
      <c r="F24359" s="2" t="str">
        <f>HYPERLINK("http://www.otzar.org/book.asp?14148","מנחת שמואל")</f>
        <v>מנחת שמואל</v>
      </c>
    </row>
    <row r="24360" spans="1:6" x14ac:dyDescent="0.2">
      <c r="A24360" t="s">
        <v>39048</v>
      </c>
      <c r="B24360" t="s">
        <v>39051</v>
      </c>
      <c r="C24360" t="s">
        <v>63</v>
      </c>
      <c r="D24360" t="s">
        <v>14</v>
      </c>
      <c r="E24360" t="s">
        <v>25297</v>
      </c>
      <c r="F24360" s="2" t="str">
        <f>HYPERLINK("http://www.otzar.org/book.asp?164256","מנחת שמואל")</f>
        <v>מנחת שמואל</v>
      </c>
    </row>
    <row r="24361" spans="1:6" x14ac:dyDescent="0.2">
      <c r="A24361" t="s">
        <v>39045</v>
      </c>
      <c r="B24361" t="s">
        <v>39052</v>
      </c>
      <c r="C24361" t="s">
        <v>244</v>
      </c>
      <c r="D24361" t="s">
        <v>39053</v>
      </c>
      <c r="E24361" t="s">
        <v>15</v>
      </c>
      <c r="F24361" s="2" t="str">
        <f>HYPERLINK("http://www.otzar.org/book.asp?602932","מנחת שמואל - 2 כר'")</f>
        <v>מנחת שמואל - 2 כר'</v>
      </c>
    </row>
    <row r="24362" spans="1:6" x14ac:dyDescent="0.2">
      <c r="A24362" t="s">
        <v>39048</v>
      </c>
      <c r="B24362" t="s">
        <v>10065</v>
      </c>
      <c r="C24362" t="s">
        <v>279</v>
      </c>
      <c r="D24362" t="s">
        <v>76</v>
      </c>
      <c r="E24362" t="s">
        <v>158</v>
      </c>
      <c r="F24362" s="2" t="str">
        <f>HYPERLINK("http://www.otzar.org/book.asp?25000","מנחת שמואל")</f>
        <v>מנחת שמואל</v>
      </c>
    </row>
    <row r="24363" spans="1:6" x14ac:dyDescent="0.2">
      <c r="A24363" t="s">
        <v>39054</v>
      </c>
      <c r="B24363" t="s">
        <v>6807</v>
      </c>
      <c r="C24363" t="s">
        <v>383</v>
      </c>
      <c r="D24363" t="s">
        <v>14</v>
      </c>
      <c r="E24363" t="s">
        <v>172</v>
      </c>
      <c r="F24363" s="2" t="str">
        <f>HYPERLINK("http://www.otzar.org/book.asp?84308","מנחת שמואל - 4 כר'")</f>
        <v>מנחת שמואל - 4 כר'</v>
      </c>
    </row>
    <row r="24364" spans="1:6" x14ac:dyDescent="0.2">
      <c r="A24364" t="s">
        <v>39055</v>
      </c>
      <c r="B24364" t="s">
        <v>27211</v>
      </c>
      <c r="C24364" t="s">
        <v>143</v>
      </c>
      <c r="D24364" t="s">
        <v>14</v>
      </c>
      <c r="E24364" t="s">
        <v>674</v>
      </c>
      <c r="F24364" s="2" t="str">
        <f>HYPERLINK("http://www.otzar.org/book.asp?153507","מנחת שמואל - 3 כר'")</f>
        <v>מנחת שמואל - 3 כר'</v>
      </c>
    </row>
    <row r="24365" spans="1:6" x14ac:dyDescent="0.2">
      <c r="A24365" t="s">
        <v>39045</v>
      </c>
      <c r="B24365" t="s">
        <v>39044</v>
      </c>
      <c r="C24365" t="s">
        <v>1640</v>
      </c>
      <c r="D24365" t="s">
        <v>14</v>
      </c>
      <c r="E24365" t="s">
        <v>241</v>
      </c>
      <c r="F24365" s="2" t="str">
        <f>HYPERLINK("http://www.otzar.org/book.asp?200652","מנחת שמואל - 2 כר'")</f>
        <v>מנחת שמואל - 2 כר'</v>
      </c>
    </row>
    <row r="24366" spans="1:6" x14ac:dyDescent="0.2">
      <c r="A24366" t="s">
        <v>39048</v>
      </c>
      <c r="B24366" t="s">
        <v>39056</v>
      </c>
      <c r="C24366" t="s">
        <v>6062</v>
      </c>
      <c r="D24366" t="s">
        <v>39057</v>
      </c>
      <c r="E24366" t="s">
        <v>39058</v>
      </c>
      <c r="F24366" s="2" t="str">
        <f>HYPERLINK("http://www.otzar.org/book.asp?147001","מנחת שמואל")</f>
        <v>מנחת שמואל</v>
      </c>
    </row>
    <row r="24367" spans="1:6" x14ac:dyDescent="0.2">
      <c r="A24367" t="s">
        <v>39059</v>
      </c>
      <c r="E24367" t="s">
        <v>144</v>
      </c>
      <c r="F24367" s="2" t="str">
        <f>HYPERLINK("http://www.otzar.org/book.asp?628719","מנחת שמעון")</f>
        <v>מנחת שמעון</v>
      </c>
    </row>
    <row r="24368" spans="1:6" x14ac:dyDescent="0.2">
      <c r="A24368" t="s">
        <v>39060</v>
      </c>
      <c r="B24368" t="s">
        <v>4903</v>
      </c>
      <c r="C24368" t="s">
        <v>133</v>
      </c>
      <c r="D24368" t="s">
        <v>367</v>
      </c>
      <c r="E24368" t="s">
        <v>144</v>
      </c>
      <c r="F24368" s="2" t="str">
        <f>HYPERLINK("http://www.otzar.org/book.asp?175572","מנחת שמעון - 7 כר'")</f>
        <v>מנחת שמעון - 7 כר'</v>
      </c>
    </row>
    <row r="24369" spans="1:6" x14ac:dyDescent="0.2">
      <c r="A24369" t="s">
        <v>39061</v>
      </c>
      <c r="B24369" t="s">
        <v>1702</v>
      </c>
      <c r="C24369" t="s">
        <v>129</v>
      </c>
      <c r="D24369" t="s">
        <v>52</v>
      </c>
      <c r="E24369" t="s">
        <v>10</v>
      </c>
      <c r="F24369" s="2" t="str">
        <f>HYPERLINK("http://www.otzar.org/book.asp?168332","מנחת תודה - 2 כר'")</f>
        <v>מנחת תודה - 2 כר'</v>
      </c>
    </row>
    <row r="24370" spans="1:6" x14ac:dyDescent="0.2">
      <c r="A24370" t="s">
        <v>39062</v>
      </c>
      <c r="B24370" t="s">
        <v>39063</v>
      </c>
      <c r="C24370" t="s">
        <v>185</v>
      </c>
      <c r="D24370" t="s">
        <v>52</v>
      </c>
      <c r="E24370" t="s">
        <v>84</v>
      </c>
      <c r="F24370" s="2" t="str">
        <f>HYPERLINK("http://www.otzar.org/book.asp?628067","מנחת תודה - דמאי")</f>
        <v>מנחת תודה - דמאי</v>
      </c>
    </row>
    <row r="24371" spans="1:6" x14ac:dyDescent="0.2">
      <c r="A24371" t="s">
        <v>39064</v>
      </c>
      <c r="B24371" t="s">
        <v>2663</v>
      </c>
      <c r="C24371" t="s">
        <v>411</v>
      </c>
      <c r="D24371" t="s">
        <v>2375</v>
      </c>
      <c r="E24371" t="s">
        <v>202</v>
      </c>
      <c r="F24371" s="2" t="str">
        <f>HYPERLINK("http://www.otzar.org/book.asp?165870","מנחת תודה")</f>
        <v>מנחת תודה</v>
      </c>
    </row>
    <row r="24372" spans="1:6" x14ac:dyDescent="0.2">
      <c r="A24372" t="s">
        <v>39065</v>
      </c>
      <c r="B24372" t="s">
        <v>9179</v>
      </c>
      <c r="C24372" t="s">
        <v>133</v>
      </c>
      <c r="D24372" t="s">
        <v>52</v>
      </c>
      <c r="E24372" t="s">
        <v>230</v>
      </c>
      <c r="F24372" s="2" t="str">
        <f>HYPERLINK("http://www.otzar.org/book.asp?620419","מנחת תודה - ב")</f>
        <v>מנחת תודה - ב</v>
      </c>
    </row>
    <row r="24373" spans="1:6" x14ac:dyDescent="0.2">
      <c r="A24373" t="s">
        <v>39066</v>
      </c>
      <c r="B24373" t="s">
        <v>39067</v>
      </c>
      <c r="C24373" t="s">
        <v>20</v>
      </c>
      <c r="D24373" t="s">
        <v>90</v>
      </c>
      <c r="F24373" s="2" t="str">
        <f>HYPERLINK("http://www.otzar.org/book.asp?198755","מנחת תושיה")</f>
        <v>מנחת תושיה</v>
      </c>
    </row>
    <row r="24374" spans="1:6" x14ac:dyDescent="0.2">
      <c r="A24374" t="s">
        <v>39068</v>
      </c>
      <c r="B24374" t="s">
        <v>4398</v>
      </c>
      <c r="C24374" t="s">
        <v>129</v>
      </c>
      <c r="D24374" t="s">
        <v>216</v>
      </c>
      <c r="E24374" t="s">
        <v>5712</v>
      </c>
      <c r="F24374" s="2" t="str">
        <f>HYPERLINK("http://www.otzar.org/book.asp?148451","מני שמחוך - 2 כר'")</f>
        <v>מני שמחוך - 2 כר'</v>
      </c>
    </row>
    <row r="24375" spans="1:6" x14ac:dyDescent="0.2">
      <c r="A24375" t="s">
        <v>39069</v>
      </c>
      <c r="B24375" t="s">
        <v>39070</v>
      </c>
      <c r="C24375" t="s">
        <v>332</v>
      </c>
      <c r="D24375" t="s">
        <v>852</v>
      </c>
      <c r="E24375" t="s">
        <v>733</v>
      </c>
      <c r="F24375" s="2" t="str">
        <f>HYPERLINK("http://www.otzar.org/book.asp?64231","מני תימן ובשעריים")</f>
        <v>מני תימן ובשעריים</v>
      </c>
    </row>
    <row r="24376" spans="1:6" x14ac:dyDescent="0.2">
      <c r="A24376" t="s">
        <v>39071</v>
      </c>
      <c r="B24376" t="s">
        <v>4840</v>
      </c>
      <c r="E24376" t="s">
        <v>15</v>
      </c>
      <c r="F24376" s="2" t="str">
        <f>HYPERLINK("http://www.otzar.org/book.asp?182128","מנין הגידים האסורים לרס""ג")</f>
        <v>מנין הגידים האסורים לרס"ג</v>
      </c>
    </row>
    <row r="24377" spans="1:6" x14ac:dyDescent="0.2">
      <c r="A24377" t="s">
        <v>39072</v>
      </c>
      <c r="B24377" t="s">
        <v>39073</v>
      </c>
      <c r="C24377" t="s">
        <v>133</v>
      </c>
      <c r="D24377" t="s">
        <v>14</v>
      </c>
      <c r="E24377" t="s">
        <v>104</v>
      </c>
      <c r="F24377" s="2" t="str">
        <f>HYPERLINK("http://www.otzar.org/book.asp?179293","מנין המצוות - 2 כר'")</f>
        <v>מנין המצוות - 2 כר'</v>
      </c>
    </row>
    <row r="24378" spans="1:6" x14ac:dyDescent="0.2">
      <c r="A24378" t="s">
        <v>39074</v>
      </c>
      <c r="B24378" t="s">
        <v>1320</v>
      </c>
      <c r="C24378" t="s">
        <v>3690</v>
      </c>
      <c r="D24378" t="s">
        <v>56</v>
      </c>
      <c r="E24378" t="s">
        <v>674</v>
      </c>
      <c r="F24378" s="2" t="str">
        <f>HYPERLINK("http://www.otzar.org/book.asp?11997","מנין המצות &lt;בית הב""ד&gt;")</f>
        <v>מנין המצות &lt;בית הב"ד&gt;</v>
      </c>
    </row>
    <row r="24379" spans="1:6" x14ac:dyDescent="0.2">
      <c r="A24379" t="s">
        <v>39075</v>
      </c>
      <c r="B24379" t="s">
        <v>34589</v>
      </c>
      <c r="C24379" t="s">
        <v>133</v>
      </c>
      <c r="D24379" t="s">
        <v>14</v>
      </c>
      <c r="E24379" t="s">
        <v>119</v>
      </c>
      <c r="F24379" s="2" t="str">
        <f>HYPERLINK("http://www.otzar.org/book.asp?179286","מנין התנאים - 11 כר'")</f>
        <v>מנין התנאים - 11 כר'</v>
      </c>
    </row>
    <row r="24380" spans="1:6" x14ac:dyDescent="0.2">
      <c r="A24380" t="s">
        <v>39076</v>
      </c>
      <c r="B24380" t="s">
        <v>39077</v>
      </c>
      <c r="C24380" t="s">
        <v>189</v>
      </c>
      <c r="D24380" t="s">
        <v>14</v>
      </c>
      <c r="E24380" t="s">
        <v>158</v>
      </c>
      <c r="F24380" s="2" t="str">
        <f>HYPERLINK("http://www.otzar.org/book.asp?191903","מנסתרי בראשית - ב")</f>
        <v>מנסתרי בראשית - ב</v>
      </c>
    </row>
    <row r="24381" spans="1:6" x14ac:dyDescent="0.2">
      <c r="A24381" t="s">
        <v>39078</v>
      </c>
      <c r="B24381" t="s">
        <v>39079</v>
      </c>
      <c r="C24381" t="s">
        <v>146</v>
      </c>
      <c r="D24381" t="s">
        <v>39080</v>
      </c>
      <c r="E24381" t="s">
        <v>241</v>
      </c>
      <c r="F24381" s="2" t="str">
        <f>HYPERLINK("http://www.otzar.org/book.asp?197229","מנפת צוף - ב")</f>
        <v>מנפת צוף - ב</v>
      </c>
    </row>
    <row r="24382" spans="1:6" x14ac:dyDescent="0.2">
      <c r="A24382" t="s">
        <v>39081</v>
      </c>
      <c r="B24382" t="s">
        <v>8981</v>
      </c>
      <c r="C24382" t="s">
        <v>2644</v>
      </c>
      <c r="D24382" t="s">
        <v>283</v>
      </c>
      <c r="E24382" t="s">
        <v>579</v>
      </c>
      <c r="F24382" s="2" t="str">
        <f>HYPERLINK("http://www.otzar.org/book.asp?6765","מנרת זהב - 2 כר'")</f>
        <v>מנרת זהב - 2 כר'</v>
      </c>
    </row>
    <row r="24383" spans="1:6" x14ac:dyDescent="0.2">
      <c r="A24383" t="s">
        <v>39082</v>
      </c>
      <c r="B24383" t="s">
        <v>461</v>
      </c>
      <c r="C24383" t="s">
        <v>9946</v>
      </c>
      <c r="D24383" t="s">
        <v>4703</v>
      </c>
      <c r="E24383" t="s">
        <v>2071</v>
      </c>
      <c r="F24383" s="2" t="str">
        <f>HYPERLINK("http://www.otzar.org/book.asp?147173","מנרת זהב")</f>
        <v>מנרת זהב</v>
      </c>
    </row>
    <row r="24384" spans="1:6" x14ac:dyDescent="0.2">
      <c r="A24384" t="s">
        <v>39083</v>
      </c>
      <c r="B24384" t="s">
        <v>39084</v>
      </c>
      <c r="C24384" t="s">
        <v>1047</v>
      </c>
      <c r="D24384" t="s">
        <v>157</v>
      </c>
      <c r="E24384" t="s">
        <v>474</v>
      </c>
      <c r="F24384" s="2" t="str">
        <f>HYPERLINK("http://www.otzar.org/book.asp?25001","מנת חלקי")</f>
        <v>מנת חלקי</v>
      </c>
    </row>
    <row r="24385" spans="1:6" x14ac:dyDescent="0.2">
      <c r="A24385" t="s">
        <v>39083</v>
      </c>
      <c r="B24385" t="s">
        <v>39085</v>
      </c>
      <c r="C24385" t="s">
        <v>103</v>
      </c>
      <c r="D24385" t="s">
        <v>14</v>
      </c>
      <c r="E24385" t="s">
        <v>144</v>
      </c>
      <c r="F24385" s="2" t="str">
        <f>HYPERLINK("http://www.otzar.org/book.asp?143662","מנת חלקי")</f>
        <v>מנת חלקי</v>
      </c>
    </row>
    <row r="24386" spans="1:6" x14ac:dyDescent="0.2">
      <c r="A24386" t="s">
        <v>39086</v>
      </c>
      <c r="B24386" t="s">
        <v>39087</v>
      </c>
      <c r="C24386" t="s">
        <v>624</v>
      </c>
      <c r="D24386" t="s">
        <v>14</v>
      </c>
      <c r="E24386" t="s">
        <v>202</v>
      </c>
      <c r="F24386" s="2" t="str">
        <f>HYPERLINK("http://www.otzar.org/book.asp?629179","מסביב לשלחן - 43 כר'")</f>
        <v>מסביב לשלחן - 43 כר'</v>
      </c>
    </row>
    <row r="24387" spans="1:6" x14ac:dyDescent="0.2">
      <c r="A24387" t="s">
        <v>39088</v>
      </c>
      <c r="B24387" t="s">
        <v>39089</v>
      </c>
      <c r="C24387" t="s">
        <v>11172</v>
      </c>
      <c r="D24387" t="s">
        <v>280</v>
      </c>
      <c r="E24387" t="s">
        <v>172</v>
      </c>
      <c r="F24387" s="2" t="str">
        <f>HYPERLINK("http://www.otzar.org/book.asp?101134","מסגרת השלחן")</f>
        <v>מסגרת השלחן</v>
      </c>
    </row>
    <row r="24388" spans="1:6" x14ac:dyDescent="0.2">
      <c r="A24388" t="s">
        <v>39088</v>
      </c>
      <c r="B24388" t="s">
        <v>39090</v>
      </c>
      <c r="C24388" t="s">
        <v>6784</v>
      </c>
      <c r="D24388" t="s">
        <v>212</v>
      </c>
      <c r="E24388" t="s">
        <v>148</v>
      </c>
      <c r="F24388" s="2" t="str">
        <f>HYPERLINK("http://www.otzar.org/book.asp?20149","מסגרת השלחן")</f>
        <v>מסגרת השלחן</v>
      </c>
    </row>
    <row r="24389" spans="1:6" x14ac:dyDescent="0.2">
      <c r="A24389" t="s">
        <v>39091</v>
      </c>
      <c r="B24389" t="s">
        <v>13899</v>
      </c>
      <c r="C24389" t="s">
        <v>4354</v>
      </c>
      <c r="D24389" t="s">
        <v>8939</v>
      </c>
      <c r="E24389" t="s">
        <v>104</v>
      </c>
      <c r="F24389" s="2" t="str">
        <f>HYPERLINK("http://www.otzar.org/book.asp?104512","מסדר חילוקים ושיטות")</f>
        <v>מסדר חילוקים ושיטות</v>
      </c>
    </row>
    <row r="24390" spans="1:6" x14ac:dyDescent="0.2">
      <c r="A24390" t="s">
        <v>39092</v>
      </c>
      <c r="B24390" t="s">
        <v>39093</v>
      </c>
      <c r="C24390" t="s">
        <v>103</v>
      </c>
      <c r="D24390" t="s">
        <v>21</v>
      </c>
      <c r="E24390" t="s">
        <v>202</v>
      </c>
      <c r="F24390" s="2" t="str">
        <f>HYPERLINK("http://www.otzar.org/book.asp?190916","מסו""ד חכמים")</f>
        <v>מסו"ד חכמים</v>
      </c>
    </row>
    <row r="24391" spans="1:6" x14ac:dyDescent="0.2">
      <c r="A24391" t="s">
        <v>39094</v>
      </c>
      <c r="B24391" t="s">
        <v>39095</v>
      </c>
      <c r="C24391" t="s">
        <v>1160</v>
      </c>
      <c r="D24391" t="s">
        <v>14</v>
      </c>
      <c r="E24391" t="s">
        <v>803</v>
      </c>
      <c r="F24391" s="2" t="str">
        <f>HYPERLINK("http://www.otzar.org/book.asp?85685","מסוא משה")</f>
        <v>מסוא משה</v>
      </c>
    </row>
    <row r="24392" spans="1:6" x14ac:dyDescent="0.2">
      <c r="A24392" t="s">
        <v>39096</v>
      </c>
      <c r="B24392" t="s">
        <v>39097</v>
      </c>
      <c r="C24392" t="s">
        <v>533</v>
      </c>
      <c r="D24392" t="s">
        <v>90</v>
      </c>
      <c r="E24392" t="s">
        <v>213</v>
      </c>
      <c r="F24392" s="2" t="str">
        <f>HYPERLINK("http://www.otzar.org/book.asp?620081","מסוד ישרים")</f>
        <v>מסוד ישרים</v>
      </c>
    </row>
    <row r="24393" spans="1:6" x14ac:dyDescent="0.2">
      <c r="A24393" t="s">
        <v>39098</v>
      </c>
      <c r="B24393" t="s">
        <v>3554</v>
      </c>
      <c r="C24393" t="s">
        <v>146</v>
      </c>
      <c r="D24393" t="s">
        <v>52</v>
      </c>
      <c r="E24393" t="s">
        <v>703</v>
      </c>
      <c r="F24393" s="2" t="str">
        <f>HYPERLINK("http://www.otzar.org/book.asp?143524","מסוד שיח חסידים")</f>
        <v>מסוד שיח חסידים</v>
      </c>
    </row>
    <row r="24394" spans="1:6" x14ac:dyDescent="0.2">
      <c r="A24394" t="s">
        <v>39099</v>
      </c>
      <c r="B24394" t="s">
        <v>39100</v>
      </c>
      <c r="C24394" t="s">
        <v>99</v>
      </c>
      <c r="D24394" t="s">
        <v>15924</v>
      </c>
      <c r="E24394" t="s">
        <v>202</v>
      </c>
      <c r="F24394" s="2" t="str">
        <f>HYPERLINK("http://www.otzar.org/book.asp?196045","מסורה בלעטער - 3 כר'")</f>
        <v>מסורה בלעטער - 3 כר'</v>
      </c>
    </row>
    <row r="24395" spans="1:6" x14ac:dyDescent="0.2">
      <c r="A24395" t="s">
        <v>39101</v>
      </c>
      <c r="B24395" t="s">
        <v>39102</v>
      </c>
      <c r="C24395" t="s">
        <v>39103</v>
      </c>
      <c r="D24395" t="s">
        <v>4269</v>
      </c>
      <c r="E24395" t="s">
        <v>158</v>
      </c>
      <c r="F24395" s="2" t="str">
        <f>HYPERLINK("http://www.otzar.org/book.asp?142434","מסורה ברורה")</f>
        <v>מסורה ברורה</v>
      </c>
    </row>
    <row r="24396" spans="1:6" x14ac:dyDescent="0.2">
      <c r="A24396" t="s">
        <v>39104</v>
      </c>
      <c r="B24396" t="s">
        <v>39105</v>
      </c>
      <c r="C24396" t="s">
        <v>39106</v>
      </c>
      <c r="D24396" t="s">
        <v>14</v>
      </c>
      <c r="E24396" t="s">
        <v>104</v>
      </c>
      <c r="F24396" s="2" t="str">
        <f>HYPERLINK("http://www.otzar.org/book.asp?607615","מסורה גדולה &lt;כתר ארם צובה&gt;")</f>
        <v>מסורה גדולה &lt;כתר ארם צובה&gt;</v>
      </c>
    </row>
    <row r="24397" spans="1:6" x14ac:dyDescent="0.2">
      <c r="A24397" t="s">
        <v>39107</v>
      </c>
      <c r="B24397" t="s">
        <v>39108</v>
      </c>
      <c r="C24397" t="s">
        <v>1374</v>
      </c>
      <c r="D24397" t="s">
        <v>225</v>
      </c>
      <c r="E24397" t="s">
        <v>144</v>
      </c>
      <c r="F24397" s="2" t="str">
        <f>HYPERLINK("http://www.otzar.org/book.asp?200170","מסורה גדולה")</f>
        <v>מסורה גדולה</v>
      </c>
    </row>
    <row r="24398" spans="1:6" x14ac:dyDescent="0.2">
      <c r="A24398" t="s">
        <v>39109</v>
      </c>
      <c r="B24398" t="s">
        <v>39110</v>
      </c>
      <c r="C24398" t="s">
        <v>129</v>
      </c>
      <c r="D24398" t="s">
        <v>423</v>
      </c>
      <c r="E24398" t="s">
        <v>199</v>
      </c>
      <c r="F24398" s="2" t="str">
        <f>HYPERLINK("http://www.otzar.org/book.asp?149913","מסורה ליוסף - 4 כר'")</f>
        <v>מסורה ליוסף - 4 כר'</v>
      </c>
    </row>
    <row r="24399" spans="1:6" x14ac:dyDescent="0.2">
      <c r="A24399" t="s">
        <v>39111</v>
      </c>
      <c r="B24399" t="s">
        <v>382</v>
      </c>
      <c r="C24399" t="s">
        <v>785</v>
      </c>
      <c r="D24399" t="s">
        <v>412</v>
      </c>
      <c r="E24399" t="s">
        <v>202</v>
      </c>
      <c r="F24399" s="2" t="str">
        <f>HYPERLINK("http://www.otzar.org/book.asp?148048","מסורה - 28 כר'")</f>
        <v>מסורה - 28 כר'</v>
      </c>
    </row>
    <row r="24400" spans="1:6" x14ac:dyDescent="0.2">
      <c r="A24400" t="s">
        <v>39112</v>
      </c>
      <c r="B24400" t="s">
        <v>39112</v>
      </c>
      <c r="C24400" t="s">
        <v>20</v>
      </c>
      <c r="D24400" t="s">
        <v>90</v>
      </c>
      <c r="E24400" t="s">
        <v>158</v>
      </c>
      <c r="F24400" s="2" t="str">
        <f>HYPERLINK("http://www.otzar.org/book.asp?152968","מסורת אבות")</f>
        <v>מסורת אבות</v>
      </c>
    </row>
    <row r="24401" spans="1:6" x14ac:dyDescent="0.2">
      <c r="A24401" t="s">
        <v>39113</v>
      </c>
      <c r="B24401" t="s">
        <v>39114</v>
      </c>
      <c r="C24401" t="s">
        <v>20</v>
      </c>
      <c r="D24401" t="s">
        <v>52</v>
      </c>
      <c r="E24401" t="s">
        <v>104</v>
      </c>
      <c r="F24401" s="2" t="str">
        <f>HYPERLINK("http://www.otzar.org/book.asp?157763","מסורת אבותינו")</f>
        <v>מסורת אבותינו</v>
      </c>
    </row>
    <row r="24402" spans="1:6" x14ac:dyDescent="0.2">
      <c r="A24402" t="s">
        <v>39115</v>
      </c>
      <c r="B24402" t="s">
        <v>39116</v>
      </c>
      <c r="C24402" t="s">
        <v>17</v>
      </c>
      <c r="D24402" t="s">
        <v>52</v>
      </c>
      <c r="E24402" t="s">
        <v>15</v>
      </c>
      <c r="F24402" s="2" t="str">
        <f>HYPERLINK("http://www.otzar.org/book.asp?154774","מסורת האותיות - משמרת האמת")</f>
        <v>מסורת האותיות - משמרת האמת</v>
      </c>
    </row>
    <row r="24403" spans="1:6" x14ac:dyDescent="0.2">
      <c r="A24403" t="s">
        <v>39117</v>
      </c>
      <c r="B24403" t="s">
        <v>39118</v>
      </c>
      <c r="C24403" t="s">
        <v>39119</v>
      </c>
      <c r="D24403" t="s">
        <v>28920</v>
      </c>
      <c r="F24403" s="2" t="str">
        <f>HYPERLINK("http://www.otzar.org/book.asp?611750","מסורת הברית הגדול")</f>
        <v>מסורת הברית הגדול</v>
      </c>
    </row>
    <row r="24404" spans="1:6" x14ac:dyDescent="0.2">
      <c r="A24404" t="s">
        <v>39120</v>
      </c>
      <c r="B24404" t="s">
        <v>36689</v>
      </c>
      <c r="C24404" t="s">
        <v>23</v>
      </c>
      <c r="D24404" t="s">
        <v>1156</v>
      </c>
      <c r="E24404" t="s">
        <v>15</v>
      </c>
      <c r="F24404" s="2" t="str">
        <f>HYPERLINK("http://www.otzar.org/book.asp?619349","מסורת הברית - מנהגי ברית מילה לבני אשכנז")</f>
        <v>מסורת הברית - מנהגי ברית מילה לבני אשכנז</v>
      </c>
    </row>
    <row r="24405" spans="1:6" x14ac:dyDescent="0.2">
      <c r="A24405" t="s">
        <v>39121</v>
      </c>
      <c r="B24405" t="s">
        <v>39122</v>
      </c>
      <c r="C24405" t="s">
        <v>2672</v>
      </c>
      <c r="D24405" t="s">
        <v>4288</v>
      </c>
      <c r="E24405" t="s">
        <v>158</v>
      </c>
      <c r="F24405" s="2" t="str">
        <f>HYPERLINK("http://www.otzar.org/book.asp?103510","מסורת הברית")</f>
        <v>מסורת הברית</v>
      </c>
    </row>
    <row r="24406" spans="1:6" x14ac:dyDescent="0.2">
      <c r="A24406" t="s">
        <v>39123</v>
      </c>
      <c r="B24406" t="s">
        <v>39124</v>
      </c>
      <c r="C24406" t="s">
        <v>37</v>
      </c>
      <c r="D24406" t="s">
        <v>52</v>
      </c>
      <c r="E24406" t="s">
        <v>2091</v>
      </c>
      <c r="F24406" s="2" t="str">
        <f>HYPERLINK("http://www.otzar.org/book.asp?189853","מסורת ההוראה")</f>
        <v>מסורת ההוראה</v>
      </c>
    </row>
    <row r="24407" spans="1:6" x14ac:dyDescent="0.2">
      <c r="A24407" t="s">
        <v>39125</v>
      </c>
      <c r="B24407" t="s">
        <v>6814</v>
      </c>
      <c r="C24407" t="s">
        <v>411</v>
      </c>
      <c r="D24407" t="s">
        <v>80</v>
      </c>
      <c r="E24407" t="s">
        <v>130</v>
      </c>
      <c r="F24407" s="2" t="str">
        <f>HYPERLINK("http://www.otzar.org/book.asp?603112","מסורת ההוראה - 2 כר'")</f>
        <v>מסורת ההוראה - 2 כר'</v>
      </c>
    </row>
    <row r="24408" spans="1:6" x14ac:dyDescent="0.2">
      <c r="A24408" t="s">
        <v>39126</v>
      </c>
      <c r="B24408" t="s">
        <v>39127</v>
      </c>
      <c r="C24408" t="s">
        <v>129</v>
      </c>
      <c r="D24408" t="s">
        <v>52</v>
      </c>
      <c r="E24408" t="s">
        <v>579</v>
      </c>
      <c r="F24408" s="2" t="str">
        <f>HYPERLINK("http://www.otzar.org/book.asp?170430","מסורת הזהר")</f>
        <v>מסורת הזהר</v>
      </c>
    </row>
    <row r="24409" spans="1:6" x14ac:dyDescent="0.2">
      <c r="A24409" t="s">
        <v>39128</v>
      </c>
      <c r="B24409" t="s">
        <v>8360</v>
      </c>
      <c r="C24409" t="s">
        <v>37</v>
      </c>
      <c r="D24409" t="s">
        <v>657</v>
      </c>
      <c r="F24409" s="2" t="str">
        <f>HYPERLINK("http://www.otzar.org/book.asp?198550","מסורת החינוך")</f>
        <v>מסורת החינוך</v>
      </c>
    </row>
    <row r="24410" spans="1:6" x14ac:dyDescent="0.2">
      <c r="A24410" t="s">
        <v>39129</v>
      </c>
      <c r="B24410" t="s">
        <v>27568</v>
      </c>
      <c r="C24410" t="s">
        <v>11232</v>
      </c>
      <c r="D24410" t="s">
        <v>1396</v>
      </c>
      <c r="E24410" t="s">
        <v>604</v>
      </c>
      <c r="F24410" s="2" t="str">
        <f>HYPERLINK("http://www.otzar.org/book.asp?12980","מסורת המסורת - 2 כר'")</f>
        <v>מסורת המסורת - 2 כר'</v>
      </c>
    </row>
    <row r="24411" spans="1:6" x14ac:dyDescent="0.2">
      <c r="A24411" t="s">
        <v>39130</v>
      </c>
      <c r="B24411" t="s">
        <v>20815</v>
      </c>
      <c r="C24411" t="s">
        <v>103</v>
      </c>
      <c r="D24411" t="s">
        <v>216</v>
      </c>
      <c r="E24411" t="s">
        <v>674</v>
      </c>
      <c r="F24411" s="2" t="str">
        <f>HYPERLINK("http://www.otzar.org/book.asp?608149","מסורת העוף")</f>
        <v>מסורת העוף</v>
      </c>
    </row>
    <row r="24412" spans="1:6" x14ac:dyDescent="0.2">
      <c r="A24412" t="s">
        <v>39131</v>
      </c>
      <c r="B24412" t="s">
        <v>39132</v>
      </c>
      <c r="C24412" t="s">
        <v>20</v>
      </c>
      <c r="D24412" t="s">
        <v>2458</v>
      </c>
      <c r="E24412" t="s">
        <v>1626</v>
      </c>
      <c r="F24412" s="2" t="str">
        <f>HYPERLINK("http://www.otzar.org/book.asp?83574","מסורת הפיוט")</f>
        <v>מסורת הפיוט</v>
      </c>
    </row>
    <row r="24413" spans="1:6" x14ac:dyDescent="0.2">
      <c r="A24413" t="s">
        <v>39133</v>
      </c>
      <c r="B24413" t="s">
        <v>3092</v>
      </c>
      <c r="C24413" t="s">
        <v>896</v>
      </c>
      <c r="D24413" t="s">
        <v>283</v>
      </c>
      <c r="E24413" t="s">
        <v>104</v>
      </c>
      <c r="F24413" s="2" t="str">
        <f>HYPERLINK("http://www.otzar.org/book.asp?154520","מסורת הקריאה")</f>
        <v>מסורת הקריאה</v>
      </c>
    </row>
    <row r="24414" spans="1:6" x14ac:dyDescent="0.2">
      <c r="A24414" t="s">
        <v>39134</v>
      </c>
      <c r="B24414" t="s">
        <v>14038</v>
      </c>
      <c r="C24414" t="s">
        <v>1058</v>
      </c>
      <c r="D24414" t="s">
        <v>56</v>
      </c>
      <c r="E24414" t="s">
        <v>1211</v>
      </c>
      <c r="F24414" s="2" t="str">
        <f>HYPERLINK("http://www.otzar.org/book.asp?6450","מסורת הש""ס &lt;ציון יהושע&gt;")</f>
        <v>מסורת הש"ס &lt;ציון יהושע&gt;</v>
      </c>
    </row>
    <row r="24415" spans="1:6" x14ac:dyDescent="0.2">
      <c r="A24415" t="s">
        <v>39135</v>
      </c>
      <c r="B24415" t="s">
        <v>39136</v>
      </c>
      <c r="C24415" t="s">
        <v>1284</v>
      </c>
      <c r="D24415" t="s">
        <v>56</v>
      </c>
      <c r="E24415" t="s">
        <v>733</v>
      </c>
      <c r="F24415" s="2" t="str">
        <f>HYPERLINK("http://www.otzar.org/book.asp?25002","מסורת התורה והנביאים")</f>
        <v>מסורת התורה והנביאים</v>
      </c>
    </row>
    <row r="24416" spans="1:6" x14ac:dyDescent="0.2">
      <c r="A24416" t="s">
        <v>39137</v>
      </c>
      <c r="B24416" t="s">
        <v>39138</v>
      </c>
      <c r="C24416" t="s">
        <v>411</v>
      </c>
      <c r="D24416" t="s">
        <v>14</v>
      </c>
      <c r="E24416" t="s">
        <v>104</v>
      </c>
      <c r="F24416" s="2" t="str">
        <f>HYPERLINK("http://www.otzar.org/book.asp?174660","מסורת התורה שבעל פה")</f>
        <v>מסורת התורה שבעל פה</v>
      </c>
    </row>
    <row r="24417" spans="1:6" x14ac:dyDescent="0.2">
      <c r="A24417" t="s">
        <v>39139</v>
      </c>
      <c r="B24417" t="s">
        <v>16348</v>
      </c>
      <c r="C24417" t="s">
        <v>1208</v>
      </c>
      <c r="D24417" t="s">
        <v>14</v>
      </c>
      <c r="E24417" t="s">
        <v>119</v>
      </c>
      <c r="F24417" s="2" t="str">
        <f>HYPERLINK("http://www.otzar.org/book.asp?159938","מסורת התורה")</f>
        <v>מסורת התורה</v>
      </c>
    </row>
    <row r="24418" spans="1:6" x14ac:dyDescent="0.2">
      <c r="A24418" t="s">
        <v>39140</v>
      </c>
      <c r="B24418" t="s">
        <v>39141</v>
      </c>
      <c r="C24418" t="s">
        <v>71</v>
      </c>
      <c r="D24418" t="s">
        <v>14</v>
      </c>
      <c r="E24418" t="s">
        <v>158</v>
      </c>
      <c r="F24418" s="2" t="str">
        <f>HYPERLINK("http://www.otzar.org/book.asp?145020","מסורת התנ""ך - 4 כר'")</f>
        <v>מסורת התנ"ך - 4 כר'</v>
      </c>
    </row>
    <row r="24419" spans="1:6" x14ac:dyDescent="0.2">
      <c r="A24419" t="s">
        <v>39142</v>
      </c>
      <c r="B24419" t="s">
        <v>8360</v>
      </c>
      <c r="C24419" t="s">
        <v>37</v>
      </c>
      <c r="D24419" t="s">
        <v>657</v>
      </c>
      <c r="F24419" s="2" t="str">
        <f>HYPERLINK("http://www.otzar.org/book.asp?198551","מסורת התנ""ך")</f>
        <v>מסורת התנ"ך</v>
      </c>
    </row>
    <row r="24420" spans="1:6" x14ac:dyDescent="0.2">
      <c r="A24420" t="s">
        <v>39143</v>
      </c>
      <c r="B24420" t="s">
        <v>39144</v>
      </c>
      <c r="E24420" t="s">
        <v>15</v>
      </c>
      <c r="F24420" s="2" t="str">
        <f>HYPERLINK("http://www.otzar.org/book.asp?180032","מסורת התפילה ושורש המנהג")</f>
        <v>מסורת התפילה ושורש המנהג</v>
      </c>
    </row>
    <row r="24421" spans="1:6" x14ac:dyDescent="0.2">
      <c r="A24421" t="s">
        <v>39145</v>
      </c>
      <c r="B24421" t="s">
        <v>9479</v>
      </c>
      <c r="C24421" t="s">
        <v>1954</v>
      </c>
      <c r="D24421" t="s">
        <v>260</v>
      </c>
      <c r="E24421" t="s">
        <v>84</v>
      </c>
      <c r="F24421" s="2" t="str">
        <f>HYPERLINK("http://www.otzar.org/book.asp?150553","מסורת ועקרונות במסכת האבות")</f>
        <v>מסורת ועקרונות במסכת האבות</v>
      </c>
    </row>
    <row r="24422" spans="1:6" x14ac:dyDescent="0.2">
      <c r="A24422" t="s">
        <v>39146</v>
      </c>
      <c r="B24422" t="s">
        <v>206</v>
      </c>
      <c r="C24422" t="s">
        <v>366</v>
      </c>
      <c r="D24422" t="s">
        <v>52</v>
      </c>
      <c r="E24422" t="s">
        <v>15</v>
      </c>
      <c r="F24422" s="2" t="str">
        <f>HYPERLINK("http://www.otzar.org/book.asp?607515","מסורת טהרת עופות")</f>
        <v>מסורת טהרת עופות</v>
      </c>
    </row>
    <row r="24423" spans="1:6" x14ac:dyDescent="0.2">
      <c r="A24423" t="s">
        <v>39147</v>
      </c>
      <c r="B24423" t="s">
        <v>39148</v>
      </c>
      <c r="C24423" t="s">
        <v>114</v>
      </c>
      <c r="D24423" t="s">
        <v>6283</v>
      </c>
      <c r="F24423" s="2" t="str">
        <f>HYPERLINK("http://www.otzar.org/book.asp?169560","מסורת יהודי תימן בבהמה")</f>
        <v>מסורת יהודי תימן בבהמה</v>
      </c>
    </row>
    <row r="24424" spans="1:6" x14ac:dyDescent="0.2">
      <c r="A24424" t="s">
        <v>39149</v>
      </c>
      <c r="B24424" t="s">
        <v>39148</v>
      </c>
      <c r="C24424" t="s">
        <v>422</v>
      </c>
      <c r="D24424" t="s">
        <v>6283</v>
      </c>
      <c r="E24424" t="s">
        <v>674</v>
      </c>
      <c r="F24424" s="2" t="str">
        <f>HYPERLINK("http://www.otzar.org/book.asp?64249","מסורת יהודי תימן בעוף")</f>
        <v>מסורת יהודי תימן בעוף</v>
      </c>
    </row>
    <row r="24425" spans="1:6" x14ac:dyDescent="0.2">
      <c r="A24425" t="s">
        <v>39150</v>
      </c>
      <c r="B24425" t="s">
        <v>1602</v>
      </c>
      <c r="C24425" t="s">
        <v>23</v>
      </c>
      <c r="D24425" t="s">
        <v>14</v>
      </c>
      <c r="F24425" s="2" t="str">
        <f>HYPERLINK("http://www.otzar.org/book.asp?618712","מסורת ישראל")</f>
        <v>מסורת ישראל</v>
      </c>
    </row>
    <row r="24426" spans="1:6" x14ac:dyDescent="0.2">
      <c r="A24426" t="s">
        <v>39151</v>
      </c>
      <c r="B24426" t="s">
        <v>1750</v>
      </c>
      <c r="C24426" t="s">
        <v>189</v>
      </c>
      <c r="D24426" t="s">
        <v>367</v>
      </c>
      <c r="E24426" t="s">
        <v>186</v>
      </c>
      <c r="F24426" s="2" t="str">
        <f>HYPERLINK("http://www.otzar.org/book.asp?167413","מסורת מרדכי - 2 כר'")</f>
        <v>מסורת מרדכי - 2 כר'</v>
      </c>
    </row>
    <row r="24427" spans="1:6" x14ac:dyDescent="0.2">
      <c r="A24427" t="s">
        <v>39152</v>
      </c>
      <c r="B24427" t="s">
        <v>1358</v>
      </c>
      <c r="C24427" t="s">
        <v>133</v>
      </c>
      <c r="D24427" t="s">
        <v>14</v>
      </c>
      <c r="F24427" s="2" t="str">
        <f>HYPERLINK("http://www.otzar.org/book.asp?198553","מסורת משה - 3 כר'")</f>
        <v>מסורת משה - 3 כר'</v>
      </c>
    </row>
    <row r="24428" spans="1:6" x14ac:dyDescent="0.2">
      <c r="A24428" t="s">
        <v>39153</v>
      </c>
      <c r="B24428" t="s">
        <v>39154</v>
      </c>
      <c r="C24428" t="s">
        <v>23</v>
      </c>
      <c r="D24428" t="s">
        <v>21</v>
      </c>
      <c r="E24428" t="s">
        <v>674</v>
      </c>
      <c r="F24428" s="2" t="str">
        <f>HYPERLINK("http://www.otzar.org/book.asp?199536","מסורת משקל הדרהם")</f>
        <v>מסורת משקל הדרהם</v>
      </c>
    </row>
    <row r="24429" spans="1:6" x14ac:dyDescent="0.2">
      <c r="A24429" t="s">
        <v>39155</v>
      </c>
      <c r="B24429" t="s">
        <v>25449</v>
      </c>
      <c r="C24429" t="s">
        <v>39156</v>
      </c>
      <c r="D24429" t="s">
        <v>280</v>
      </c>
      <c r="E24429" t="s">
        <v>158</v>
      </c>
      <c r="F24429" s="2" t="str">
        <f>HYPERLINK("http://www.otzar.org/book.asp?15915","מסורת סייג לתורה - 2 כר'")</f>
        <v>מסורת סייג לתורה - 2 כר'</v>
      </c>
    </row>
    <row r="24430" spans="1:6" x14ac:dyDescent="0.2">
      <c r="A24430" t="s">
        <v>39157</v>
      </c>
      <c r="B24430" t="s">
        <v>3367</v>
      </c>
      <c r="C24430" t="s">
        <v>775</v>
      </c>
      <c r="D24430" t="s">
        <v>52</v>
      </c>
      <c r="E24430" t="s">
        <v>104</v>
      </c>
      <c r="F24430" s="2" t="str">
        <f>HYPERLINK("http://www.otzar.org/book.asp?23188","מסורת סייג לתורה - 3 כר'")</f>
        <v>מסורת סייג לתורה - 3 כר'</v>
      </c>
    </row>
    <row r="24431" spans="1:6" x14ac:dyDescent="0.2">
      <c r="A24431" t="s">
        <v>39158</v>
      </c>
      <c r="B24431" t="s">
        <v>39159</v>
      </c>
      <c r="C24431" t="s">
        <v>383</v>
      </c>
      <c r="D24431" t="s">
        <v>646</v>
      </c>
      <c r="E24431" t="s">
        <v>3567</v>
      </c>
      <c r="F24431" s="2" t="str">
        <f>HYPERLINK("http://www.otzar.org/book.asp?13100","מסורת סת""ם")</f>
        <v>מסורת סת"ם</v>
      </c>
    </row>
    <row r="24432" spans="1:6" x14ac:dyDescent="0.2">
      <c r="A24432" t="s">
        <v>39160</v>
      </c>
      <c r="B24432" t="s">
        <v>14194</v>
      </c>
      <c r="C24432" t="s">
        <v>1268</v>
      </c>
      <c r="D24432" t="s">
        <v>52</v>
      </c>
      <c r="E24432" t="s">
        <v>579</v>
      </c>
      <c r="F24432" s="2" t="str">
        <f>HYPERLINK("http://www.otzar.org/book.asp?143901","מסורת שאול")</f>
        <v>מסורת שאול</v>
      </c>
    </row>
    <row r="24433" spans="1:6" x14ac:dyDescent="0.2">
      <c r="A24433" t="s">
        <v>39161</v>
      </c>
      <c r="B24433" t="s">
        <v>39162</v>
      </c>
      <c r="C24433" t="s">
        <v>16489</v>
      </c>
      <c r="D24433" t="s">
        <v>1490</v>
      </c>
      <c r="E24433" t="s">
        <v>1097</v>
      </c>
      <c r="F24433" s="2" t="str">
        <f>HYPERLINK("http://www.otzar.org/book.asp?105052","מסורת תלמוד ירושלמי")</f>
        <v>מסורת תלמוד ירושלמי</v>
      </c>
    </row>
    <row r="24434" spans="1:6" x14ac:dyDescent="0.2">
      <c r="A24434" t="s">
        <v>39163</v>
      </c>
      <c r="B24434" t="s">
        <v>382</v>
      </c>
      <c r="C24434" t="s">
        <v>39164</v>
      </c>
      <c r="D24434" t="s">
        <v>52</v>
      </c>
      <c r="E24434" t="s">
        <v>202</v>
      </c>
      <c r="F24434" s="2" t="str">
        <f>HYPERLINK("http://www.otzar.org/book.asp?146077","מסורת - 2 כר'")</f>
        <v>מסורת - 2 כר'</v>
      </c>
    </row>
    <row r="24435" spans="1:6" x14ac:dyDescent="0.2">
      <c r="A24435" t="s">
        <v>39165</v>
      </c>
      <c r="B24435" t="s">
        <v>39166</v>
      </c>
      <c r="C24435" t="s">
        <v>454</v>
      </c>
      <c r="D24435" t="s">
        <v>14</v>
      </c>
      <c r="E24435" t="s">
        <v>579</v>
      </c>
      <c r="F24435" s="2" t="str">
        <f>HYPERLINK("http://www.otzar.org/book.asp?52553","מסורתנו")</f>
        <v>מסורתנו</v>
      </c>
    </row>
    <row r="24436" spans="1:6" x14ac:dyDescent="0.2">
      <c r="A24436" t="s">
        <v>39167</v>
      </c>
      <c r="B24436" t="s">
        <v>38336</v>
      </c>
      <c r="C24436" t="s">
        <v>1160</v>
      </c>
      <c r="D24436" t="s">
        <v>412</v>
      </c>
      <c r="F24436" s="2" t="str">
        <f>HYPERLINK("http://www.otzar.org/book.asp?196471","מסות ורעיונות")</f>
        <v>מסות ורעיונות</v>
      </c>
    </row>
    <row r="24437" spans="1:6" x14ac:dyDescent="0.2">
      <c r="A24437" t="s">
        <v>39168</v>
      </c>
      <c r="B24437" t="s">
        <v>39169</v>
      </c>
      <c r="C24437" t="s">
        <v>51</v>
      </c>
      <c r="D24437" t="s">
        <v>52</v>
      </c>
      <c r="E24437" t="s">
        <v>148</v>
      </c>
      <c r="F24437" s="2" t="str">
        <f>HYPERLINK("http://www.otzar.org/book.asp?165384","מסחר כהלכה")</f>
        <v>מסחר כהלכה</v>
      </c>
    </row>
    <row r="24438" spans="1:6" x14ac:dyDescent="0.2">
      <c r="A24438" t="s">
        <v>39170</v>
      </c>
      <c r="B24438" t="s">
        <v>39171</v>
      </c>
      <c r="C24438" t="s">
        <v>1481</v>
      </c>
      <c r="D24438" t="s">
        <v>744</v>
      </c>
      <c r="E24438" t="s">
        <v>39172</v>
      </c>
      <c r="F24438" s="2" t="str">
        <f>HYPERLINK("http://www.otzar.org/book.asp?141041","מסילה לאלקינו")</f>
        <v>מסילה לאלקינו</v>
      </c>
    </row>
    <row r="24439" spans="1:6" x14ac:dyDescent="0.2">
      <c r="A24439" t="s">
        <v>39173</v>
      </c>
      <c r="B24439" t="s">
        <v>39174</v>
      </c>
      <c r="C24439" t="s">
        <v>1619</v>
      </c>
      <c r="D24439" t="s">
        <v>14</v>
      </c>
      <c r="E24439" t="s">
        <v>202</v>
      </c>
      <c r="F24439" s="2" t="str">
        <f>HYPERLINK("http://www.otzar.org/book.asp?623666","מסילה - 1")</f>
        <v>מסילה - 1</v>
      </c>
    </row>
    <row r="24440" spans="1:6" x14ac:dyDescent="0.2">
      <c r="A24440" t="s">
        <v>39175</v>
      </c>
      <c r="B24440" t="s">
        <v>39176</v>
      </c>
      <c r="C24440" t="s">
        <v>151</v>
      </c>
      <c r="D24440" t="s">
        <v>2375</v>
      </c>
      <c r="E24440" t="s">
        <v>158</v>
      </c>
      <c r="F24440" s="2" t="str">
        <f>HYPERLINK("http://www.otzar.org/book.asp?618909","מסילות אל הנפש - בלק")</f>
        <v>מסילות אל הנפש - בלק</v>
      </c>
    </row>
    <row r="24441" spans="1:6" x14ac:dyDescent="0.2">
      <c r="A24441" t="s">
        <v>39177</v>
      </c>
      <c r="B24441" t="s">
        <v>39178</v>
      </c>
      <c r="D24441" t="s">
        <v>412</v>
      </c>
      <c r="E24441" t="s">
        <v>104</v>
      </c>
      <c r="F24441" s="2" t="str">
        <f>HYPERLINK("http://www.otzar.org/book.asp?195054","מסילות באגדה - 2 כר'")</f>
        <v>מסילות באגדה - 2 כר'</v>
      </c>
    </row>
    <row r="24442" spans="1:6" x14ac:dyDescent="0.2">
      <c r="A24442" t="s">
        <v>39179</v>
      </c>
      <c r="B24442" t="s">
        <v>39178</v>
      </c>
      <c r="C24442" t="s">
        <v>114</v>
      </c>
      <c r="D24442" t="s">
        <v>412</v>
      </c>
      <c r="E24442" t="s">
        <v>246</v>
      </c>
      <c r="F24442" s="2" t="str">
        <f>HYPERLINK("http://www.otzar.org/book.asp?195056","מסילות בהגדה")</f>
        <v>מסילות בהגדה</v>
      </c>
    </row>
    <row r="24443" spans="1:6" x14ac:dyDescent="0.2">
      <c r="A24443" t="s">
        <v>39180</v>
      </c>
      <c r="B24443" t="s">
        <v>39178</v>
      </c>
      <c r="C24443" t="s">
        <v>114</v>
      </c>
      <c r="D24443" t="s">
        <v>412</v>
      </c>
      <c r="E24443" t="s">
        <v>158</v>
      </c>
      <c r="F24443" s="2" t="str">
        <f>HYPERLINK("http://www.otzar.org/book.asp?195057","מסילות בלבבם - 4 כר'")</f>
        <v>מסילות בלבבם - 4 כר'</v>
      </c>
    </row>
    <row r="24444" spans="1:6" x14ac:dyDescent="0.2">
      <c r="A24444" t="s">
        <v>39181</v>
      </c>
      <c r="B24444" t="s">
        <v>3716</v>
      </c>
      <c r="C24444" t="s">
        <v>356</v>
      </c>
      <c r="D24444" t="s">
        <v>14</v>
      </c>
      <c r="E24444" t="s">
        <v>703</v>
      </c>
      <c r="F24444" s="2" t="str">
        <f>HYPERLINK("http://www.otzar.org/book.asp?150191","מסילות במחשבת החסידות")</f>
        <v>מסילות במחשבת החסידות</v>
      </c>
    </row>
    <row r="24445" spans="1:6" x14ac:dyDescent="0.2">
      <c r="A24445" t="s">
        <v>39182</v>
      </c>
      <c r="B24445" t="s">
        <v>12008</v>
      </c>
      <c r="C24445" t="s">
        <v>37</v>
      </c>
      <c r="D24445" t="s">
        <v>21</v>
      </c>
      <c r="E24445" t="s">
        <v>15</v>
      </c>
      <c r="F24445" s="2" t="str">
        <f>HYPERLINK("http://www.otzar.org/book.asp?605636","מסילות בשבת")</f>
        <v>מסילות בשבת</v>
      </c>
    </row>
    <row r="24446" spans="1:6" x14ac:dyDescent="0.2">
      <c r="A24446" t="s">
        <v>39183</v>
      </c>
      <c r="B24446" t="s">
        <v>39184</v>
      </c>
      <c r="C24446" t="s">
        <v>429</v>
      </c>
      <c r="D24446" t="s">
        <v>56</v>
      </c>
      <c r="E24446" t="s">
        <v>144</v>
      </c>
      <c r="F24446" s="2" t="str">
        <f>HYPERLINK("http://www.otzar.org/book.asp?19481","מסילות הברזל")</f>
        <v>מסילות הברזל</v>
      </c>
    </row>
    <row r="24447" spans="1:6" x14ac:dyDescent="0.2">
      <c r="A24447" t="s">
        <v>39185</v>
      </c>
      <c r="B24447" t="s">
        <v>39178</v>
      </c>
      <c r="C24447" t="s">
        <v>133</v>
      </c>
      <c r="D24447" t="s">
        <v>412</v>
      </c>
      <c r="E24447" t="s">
        <v>158</v>
      </c>
      <c r="F24447" s="2" t="str">
        <f>HYPERLINK("http://www.otzar.org/book.asp?195059","מסילות הנביאים - 4 כר'")</f>
        <v>מסילות הנביאים - 4 כר'</v>
      </c>
    </row>
    <row r="24448" spans="1:6" x14ac:dyDescent="0.2">
      <c r="A24448" t="s">
        <v>39186</v>
      </c>
      <c r="B24448" t="s">
        <v>17346</v>
      </c>
      <c r="C24448" t="s">
        <v>383</v>
      </c>
      <c r="D24448" t="s">
        <v>52</v>
      </c>
      <c r="E24448" t="s">
        <v>104</v>
      </c>
      <c r="F24448" s="2" t="str">
        <f>HYPERLINK("http://www.otzar.org/book.asp?15761","מסילות חיים בחינוך - 2 כר'")</f>
        <v>מסילות חיים בחינוך - 2 כר'</v>
      </c>
    </row>
    <row r="24449" spans="1:6" x14ac:dyDescent="0.2">
      <c r="A24449" t="s">
        <v>39187</v>
      </c>
      <c r="B24449" t="s">
        <v>3731</v>
      </c>
      <c r="C24449" t="s">
        <v>1524</v>
      </c>
      <c r="D24449" t="s">
        <v>544</v>
      </c>
      <c r="E24449" t="s">
        <v>399</v>
      </c>
      <c r="F24449" s="2" t="str">
        <f>HYPERLINK("http://www.otzar.org/book.asp?53446","מסילות חכמה &lt;דפו""ר&gt;")</f>
        <v>מסילות חכמה &lt;דפו"ר&gt;</v>
      </c>
    </row>
    <row r="24450" spans="1:6" x14ac:dyDescent="0.2">
      <c r="A24450" t="s">
        <v>39188</v>
      </c>
      <c r="B24450" t="s">
        <v>3731</v>
      </c>
      <c r="C24450" t="s">
        <v>473</v>
      </c>
      <c r="D24450" t="s">
        <v>27</v>
      </c>
      <c r="E24450" t="s">
        <v>3755</v>
      </c>
      <c r="F24450" s="2" t="str">
        <f>HYPERLINK("http://www.otzar.org/book.asp?103514","מסילות חכמה &lt;מנחה לה'&gt;")</f>
        <v>מסילות חכמה &lt;מנחה לה'&gt;</v>
      </c>
    </row>
    <row r="24451" spans="1:6" x14ac:dyDescent="0.2">
      <c r="A24451" t="s">
        <v>39189</v>
      </c>
      <c r="B24451" t="s">
        <v>10793</v>
      </c>
      <c r="C24451" t="s">
        <v>151</v>
      </c>
      <c r="D24451" t="s">
        <v>52</v>
      </c>
      <c r="E24451" t="s">
        <v>3798</v>
      </c>
      <c r="F24451" s="2" t="str">
        <f>HYPERLINK("http://www.otzar.org/book.asp?621516","מסילות חכמה ומוסר - 2 כר'")</f>
        <v>מסילות חכמה ומוסר - 2 כר'</v>
      </c>
    </row>
    <row r="24452" spans="1:6" x14ac:dyDescent="0.2">
      <c r="A24452" t="s">
        <v>39190</v>
      </c>
      <c r="B24452" t="s">
        <v>2222</v>
      </c>
      <c r="C24452" t="s">
        <v>129</v>
      </c>
      <c r="D24452" t="s">
        <v>1156</v>
      </c>
      <c r="E24452" t="s">
        <v>213</v>
      </c>
      <c r="F24452" s="2" t="str">
        <f>HYPERLINK("http://www.otzar.org/book.asp?163214","מסילות יעקב")</f>
        <v>מסילות יעקב</v>
      </c>
    </row>
    <row r="24453" spans="1:6" x14ac:dyDescent="0.2">
      <c r="A24453" t="s">
        <v>39191</v>
      </c>
      <c r="B24453" t="s">
        <v>39192</v>
      </c>
      <c r="C24453" t="s">
        <v>1388</v>
      </c>
      <c r="D24453" t="s">
        <v>14</v>
      </c>
      <c r="F24453" s="2" t="str">
        <f>HYPERLINK("http://www.otzar.org/book.asp?189728","מסילות לבב")</f>
        <v>מסילות לבב</v>
      </c>
    </row>
    <row r="24454" spans="1:6" x14ac:dyDescent="0.2">
      <c r="A24454" t="s">
        <v>39193</v>
      </c>
      <c r="B24454" t="s">
        <v>10793</v>
      </c>
      <c r="C24454" t="s">
        <v>129</v>
      </c>
      <c r="D24454" t="s">
        <v>52</v>
      </c>
      <c r="E24454" t="s">
        <v>246</v>
      </c>
      <c r="F24454" s="2" t="str">
        <f>HYPERLINK("http://www.otzar.org/book.asp?182549","מסילות לימי הפורים")</f>
        <v>מסילות לימי הפורים</v>
      </c>
    </row>
    <row r="24455" spans="1:6" x14ac:dyDescent="0.2">
      <c r="A24455" t="s">
        <v>39194</v>
      </c>
      <c r="B24455" t="s">
        <v>34020</v>
      </c>
      <c r="C24455" t="s">
        <v>114</v>
      </c>
      <c r="D24455" t="s">
        <v>412</v>
      </c>
      <c r="E24455" t="s">
        <v>872</v>
      </c>
      <c r="F24455" s="2" t="str">
        <f>HYPERLINK("http://www.otzar.org/book.asp?163421","מסילות שבת")</f>
        <v>מסילות שבת</v>
      </c>
    </row>
    <row r="24456" spans="1:6" x14ac:dyDescent="0.2">
      <c r="A24456" t="s">
        <v>39195</v>
      </c>
      <c r="B24456" t="s">
        <v>39196</v>
      </c>
      <c r="C24456" t="s">
        <v>533</v>
      </c>
      <c r="D24456" t="s">
        <v>216</v>
      </c>
      <c r="E24456" t="s">
        <v>140</v>
      </c>
      <c r="F24456" s="2" t="str">
        <f>HYPERLINK("http://www.otzar.org/book.asp?174024","מסילות - 28 כר'")</f>
        <v>מסילות - 28 כר'</v>
      </c>
    </row>
    <row r="24457" spans="1:6" x14ac:dyDescent="0.2">
      <c r="A24457" t="s">
        <v>39197</v>
      </c>
      <c r="B24457" t="s">
        <v>39198</v>
      </c>
      <c r="C24457" t="s">
        <v>103</v>
      </c>
      <c r="D24457" t="s">
        <v>8141</v>
      </c>
      <c r="E24457" t="s">
        <v>202</v>
      </c>
      <c r="F24457" s="2" t="str">
        <f>HYPERLINK("http://www.otzar.org/book.asp?605041","מסילות")</f>
        <v>מסילות</v>
      </c>
    </row>
    <row r="24458" spans="1:6" x14ac:dyDescent="0.2">
      <c r="A24458" t="s">
        <v>39199</v>
      </c>
      <c r="B24458" t="s">
        <v>39200</v>
      </c>
      <c r="C24458" t="s">
        <v>523</v>
      </c>
      <c r="D24458" t="s">
        <v>14</v>
      </c>
      <c r="E24458" t="s">
        <v>104</v>
      </c>
      <c r="F24458" s="2" t="str">
        <f>HYPERLINK("http://www.otzar.org/book.asp?160799","מסילת הניקוד")</f>
        <v>מסילת הניקוד</v>
      </c>
    </row>
    <row r="24459" spans="1:6" x14ac:dyDescent="0.2">
      <c r="A24459" t="s">
        <v>39201</v>
      </c>
      <c r="B24459" t="s">
        <v>489</v>
      </c>
      <c r="C24459" t="s">
        <v>454</v>
      </c>
      <c r="D24459" t="s">
        <v>14</v>
      </c>
      <c r="E24459" t="s">
        <v>202</v>
      </c>
      <c r="F24459" s="2" t="str">
        <f>HYPERLINK("http://www.otzar.org/book.asp?159949","מסילת התורה")</f>
        <v>מסילת התורה</v>
      </c>
    </row>
    <row r="24460" spans="1:6" x14ac:dyDescent="0.2">
      <c r="A24460" t="s">
        <v>39202</v>
      </c>
      <c r="B24460" t="s">
        <v>1750</v>
      </c>
      <c r="C24460" t="s">
        <v>454</v>
      </c>
      <c r="D24460" t="s">
        <v>152</v>
      </c>
      <c r="E24460" t="s">
        <v>186</v>
      </c>
      <c r="F24460" s="2" t="str">
        <f>HYPERLINK("http://www.otzar.org/book.asp?61895","מסילת יוסף - ב""ק, נדרים")</f>
        <v>מסילת יוסף - ב"ק, נדרים</v>
      </c>
    </row>
    <row r="24461" spans="1:6" x14ac:dyDescent="0.2">
      <c r="A24461" t="s">
        <v>39203</v>
      </c>
      <c r="B24461" t="s">
        <v>39204</v>
      </c>
      <c r="C24461" t="s">
        <v>244</v>
      </c>
      <c r="D24461" t="s">
        <v>52</v>
      </c>
      <c r="E24461" t="s">
        <v>241</v>
      </c>
      <c r="F24461" s="2" t="str">
        <f>HYPERLINK("http://www.otzar.org/book.asp?611364","מסילת ישרים &lt;ביאורים ועיונים&gt;")</f>
        <v>מסילת ישרים &lt;ביאורים ועיונים&gt;</v>
      </c>
    </row>
    <row r="24462" spans="1:6" x14ac:dyDescent="0.2">
      <c r="A24462" t="s">
        <v>39205</v>
      </c>
      <c r="B24462" t="s">
        <v>39206</v>
      </c>
      <c r="C24462" t="s">
        <v>13</v>
      </c>
      <c r="D24462" t="s">
        <v>14</v>
      </c>
      <c r="E24462" t="s">
        <v>213</v>
      </c>
      <c r="F24462" s="2" t="str">
        <f>HYPERLINK("http://www.otzar.org/book.asp?145397","מסילת ישרים &lt;אורות גנוזים&gt;")</f>
        <v>מסילת ישרים &lt;אורות גנוזים&gt;</v>
      </c>
    </row>
    <row r="24463" spans="1:6" x14ac:dyDescent="0.2">
      <c r="A24463" t="s">
        <v>39207</v>
      </c>
      <c r="B24463" t="s">
        <v>39208</v>
      </c>
      <c r="C24463" t="s">
        <v>114</v>
      </c>
      <c r="D24463" t="s">
        <v>14</v>
      </c>
      <c r="E24463" t="s">
        <v>241</v>
      </c>
      <c r="F24463" s="2" t="str">
        <f>HYPERLINK("http://www.otzar.org/book.asp?166923","מסילת ישרים &lt;במסילה נעלה&gt;")</f>
        <v>מסילת ישרים &lt;במסילה נעלה&gt;</v>
      </c>
    </row>
    <row r="24464" spans="1:6" x14ac:dyDescent="0.2">
      <c r="A24464" t="s">
        <v>39209</v>
      </c>
      <c r="B24464" t="s">
        <v>39210</v>
      </c>
      <c r="C24464" t="s">
        <v>68</v>
      </c>
      <c r="D24464" t="s">
        <v>52</v>
      </c>
      <c r="F24464" s="2" t="str">
        <f>HYPERLINK("http://www.otzar.org/book.asp?194584","מסילת ישרים &lt;פתח המסילה - פתח העיון&gt;")</f>
        <v>מסילת ישרים &lt;פתח המסילה - פתח העיון&gt;</v>
      </c>
    </row>
    <row r="24465" spans="1:6" x14ac:dyDescent="0.2">
      <c r="A24465" t="s">
        <v>39211</v>
      </c>
      <c r="B24465" t="s">
        <v>39212</v>
      </c>
      <c r="C24465" t="s">
        <v>411</v>
      </c>
      <c r="D24465" t="s">
        <v>115</v>
      </c>
      <c r="E24465" t="s">
        <v>241</v>
      </c>
      <c r="F24465" s="2" t="str">
        <f>HYPERLINK("http://www.otzar.org/book.asp?171689","מסילת ישרים &lt;מסילות אפרים&gt;")</f>
        <v>מסילת ישרים &lt;מסילות אפרים&gt;</v>
      </c>
    </row>
    <row r="24466" spans="1:6" x14ac:dyDescent="0.2">
      <c r="A24466" t="s">
        <v>39213</v>
      </c>
      <c r="B24466" t="s">
        <v>39214</v>
      </c>
      <c r="C24466" t="s">
        <v>146</v>
      </c>
      <c r="D24466" t="s">
        <v>14</v>
      </c>
      <c r="E24466" t="s">
        <v>241</v>
      </c>
      <c r="F24466" s="2" t="str">
        <f>HYPERLINK("http://www.otzar.org/book.asp?173770","מסילת ישרים &lt;מאור המסילה&gt;")</f>
        <v>מסילת ישרים &lt;מאור המסילה&gt;</v>
      </c>
    </row>
    <row r="24467" spans="1:6" x14ac:dyDescent="0.2">
      <c r="A24467" t="s">
        <v>39215</v>
      </c>
      <c r="B24467" t="s">
        <v>39216</v>
      </c>
      <c r="C24467" t="s">
        <v>51</v>
      </c>
      <c r="D24467" t="s">
        <v>52</v>
      </c>
      <c r="E24467" t="s">
        <v>314</v>
      </c>
      <c r="F24467" s="2" t="str">
        <f>HYPERLINK("http://www.otzar.org/book.asp?62939","מסילת ישרים &lt;אורות רמח""ל&gt;")</f>
        <v>מסילת ישרים &lt;אורות רמח"ל&gt;</v>
      </c>
    </row>
    <row r="24468" spans="1:6" x14ac:dyDescent="0.2">
      <c r="A24468" t="s">
        <v>39217</v>
      </c>
      <c r="B24468" t="s">
        <v>39218</v>
      </c>
      <c r="C24468" t="s">
        <v>244</v>
      </c>
      <c r="D24468" t="s">
        <v>486</v>
      </c>
      <c r="E24468" t="s">
        <v>241</v>
      </c>
      <c r="F24468" s="2" t="str">
        <f>HYPERLINK("http://www.otzar.org/book.asp?603997","מסילת ישרים &lt;עומד כנגדו&gt;")</f>
        <v>מסילת ישרים &lt;עומד כנגדו&gt;</v>
      </c>
    </row>
    <row r="24469" spans="1:6" x14ac:dyDescent="0.2">
      <c r="A24469" t="s">
        <v>39219</v>
      </c>
      <c r="B24469" t="s">
        <v>16594</v>
      </c>
      <c r="C24469" t="s">
        <v>37</v>
      </c>
      <c r="D24469" t="s">
        <v>1301</v>
      </c>
      <c r="E24469" t="s">
        <v>314</v>
      </c>
      <c r="F24469" s="2" t="str">
        <f>HYPERLINK("http://www.otzar.org/book.asp?600929","מסילת ישרים &lt;ובו תדבק&gt; - 2 כר'")</f>
        <v>מסילת ישרים &lt;ובו תדבק&gt; - 2 כר'</v>
      </c>
    </row>
    <row r="24470" spans="1:6" x14ac:dyDescent="0.2">
      <c r="A24470" t="s">
        <v>39220</v>
      </c>
      <c r="B24470" t="s">
        <v>39221</v>
      </c>
      <c r="C24470" t="s">
        <v>1640</v>
      </c>
      <c r="D24470" t="s">
        <v>52</v>
      </c>
      <c r="E24470" t="s">
        <v>241</v>
      </c>
      <c r="F24470" s="2" t="str">
        <f>HYPERLINK("http://www.otzar.org/book.asp?174100","מסילת ישרים &lt;ילקוט שמעוני&gt;")</f>
        <v>מסילת ישרים &lt;ילקוט שמעוני&gt;</v>
      </c>
    </row>
    <row r="24471" spans="1:6" x14ac:dyDescent="0.2">
      <c r="A24471" t="s">
        <v>39207</v>
      </c>
      <c r="B24471" t="s">
        <v>39222</v>
      </c>
      <c r="C24471" t="s">
        <v>422</v>
      </c>
      <c r="D24471" t="s">
        <v>14</v>
      </c>
      <c r="E24471" t="s">
        <v>241</v>
      </c>
      <c r="F24471" s="2" t="str">
        <f>HYPERLINK("http://www.otzar.org/book.asp?158714","מסילת ישרים &lt;במסילה נעלה&gt;")</f>
        <v>מסילת ישרים &lt;במסילה נעלה&gt;</v>
      </c>
    </row>
    <row r="24472" spans="1:6" x14ac:dyDescent="0.2">
      <c r="A24472" t="s">
        <v>39223</v>
      </c>
      <c r="B24472" t="s">
        <v>39224</v>
      </c>
      <c r="C24472" t="s">
        <v>189</v>
      </c>
      <c r="D24472" t="s">
        <v>52</v>
      </c>
      <c r="E24472" t="s">
        <v>213</v>
      </c>
      <c r="F24472" s="2" t="str">
        <f>HYPERLINK("http://www.otzar.org/book.asp?146459","מסילת ישרים &lt;סודות ישרים&gt;")</f>
        <v>מסילת ישרים &lt;סודות ישרים&gt;</v>
      </c>
    </row>
    <row r="24473" spans="1:6" x14ac:dyDescent="0.2">
      <c r="A24473" t="s">
        <v>39225</v>
      </c>
      <c r="B24473" t="s">
        <v>39226</v>
      </c>
      <c r="C24473" t="s">
        <v>244</v>
      </c>
      <c r="D24473" t="s">
        <v>52</v>
      </c>
      <c r="E24473" t="s">
        <v>241</v>
      </c>
      <c r="F24473" s="2" t="str">
        <f>HYPERLINK("http://www.otzar.org/book.asp?608423","מסילת ישרים &lt;ממתיק לנפש&gt;")</f>
        <v>מסילת ישרים &lt;ממתיק לנפש&gt;</v>
      </c>
    </row>
    <row r="24474" spans="1:6" x14ac:dyDescent="0.2">
      <c r="A24474" t="s">
        <v>39227</v>
      </c>
      <c r="B24474" t="s">
        <v>39228</v>
      </c>
      <c r="C24474" t="s">
        <v>244</v>
      </c>
      <c r="D24474" t="s">
        <v>14</v>
      </c>
      <c r="F24474" s="2" t="str">
        <f>HYPERLINK("http://www.otzar.org/book.asp?197277","מסילת ישרים &lt;נעימה קדושה&gt;")</f>
        <v>מסילת ישרים &lt;נעימה קדושה&gt;</v>
      </c>
    </row>
    <row r="24475" spans="1:6" x14ac:dyDescent="0.2">
      <c r="A24475" t="s">
        <v>39229</v>
      </c>
      <c r="B24475" t="s">
        <v>39230</v>
      </c>
      <c r="C24475" t="s">
        <v>466</v>
      </c>
      <c r="D24475" t="s">
        <v>14</v>
      </c>
      <c r="E24475" t="s">
        <v>241</v>
      </c>
      <c r="F24475" s="2" t="str">
        <f>HYPERLINK("http://www.otzar.org/book.asp?619724","מסילת ישרים &lt;קונטרס העבודה&gt;")</f>
        <v>מסילת ישרים &lt;קונטרס העבודה&gt;</v>
      </c>
    </row>
    <row r="24476" spans="1:6" x14ac:dyDescent="0.2">
      <c r="A24476" t="s">
        <v>39231</v>
      </c>
      <c r="B24476" t="s">
        <v>1390</v>
      </c>
      <c r="C24476" t="s">
        <v>5160</v>
      </c>
      <c r="D24476" t="s">
        <v>1023</v>
      </c>
      <c r="E24476" t="s">
        <v>241</v>
      </c>
      <c r="F24476" s="2" t="str">
        <f>HYPERLINK("http://www.otzar.org/book.asp?53447","מסילת ישרים &lt;דפו""ר&gt; - 2 כר'")</f>
        <v>מסילת ישרים &lt;דפו"ר&gt; - 2 כר'</v>
      </c>
    </row>
    <row r="24477" spans="1:6" x14ac:dyDescent="0.2">
      <c r="A24477" t="s">
        <v>39232</v>
      </c>
      <c r="B24477" t="s">
        <v>1390</v>
      </c>
      <c r="C24477" t="s">
        <v>114</v>
      </c>
      <c r="D24477" t="s">
        <v>14</v>
      </c>
      <c r="E24477" t="s">
        <v>213</v>
      </c>
      <c r="F24477" s="2" t="str">
        <f>HYPERLINK("http://www.otzar.org/book.asp?162117","מסילת ישרים &lt;המבואר והמפורש&gt;")</f>
        <v>מסילת ישרים &lt;המבואר והמפורש&gt;</v>
      </c>
    </row>
    <row r="24478" spans="1:6" x14ac:dyDescent="0.2">
      <c r="A24478" t="s">
        <v>39213</v>
      </c>
      <c r="B24478" t="s">
        <v>1390</v>
      </c>
      <c r="C24478" t="s">
        <v>176</v>
      </c>
      <c r="D24478" t="s">
        <v>14</v>
      </c>
      <c r="E24478" t="s">
        <v>241</v>
      </c>
      <c r="F24478" s="2" t="str">
        <f>HYPERLINK("http://www.otzar.org/book.asp?106965","מסילת ישרים &lt;מאור המסילה&gt;")</f>
        <v>מסילת ישרים &lt;מאור המסילה&gt;</v>
      </c>
    </row>
    <row r="24479" spans="1:6" x14ac:dyDescent="0.2">
      <c r="A24479" t="s">
        <v>39233</v>
      </c>
      <c r="B24479" t="s">
        <v>1390</v>
      </c>
      <c r="C24479" t="s">
        <v>843</v>
      </c>
      <c r="D24479" t="s">
        <v>260</v>
      </c>
      <c r="E24479" t="s">
        <v>241</v>
      </c>
      <c r="F24479" s="2" t="str">
        <f>HYPERLINK("http://www.otzar.org/book.asp?156111","מסילת ישרים &lt;מהדורת נצח&gt;")</f>
        <v>מסילת ישרים &lt;מהדורת נצח&gt;</v>
      </c>
    </row>
    <row r="24480" spans="1:6" x14ac:dyDescent="0.2">
      <c r="A24480" t="s">
        <v>39234</v>
      </c>
      <c r="B24480" t="s">
        <v>1390</v>
      </c>
      <c r="C24480" t="s">
        <v>313</v>
      </c>
      <c r="D24480" t="s">
        <v>14</v>
      </c>
      <c r="E24480" t="s">
        <v>241</v>
      </c>
      <c r="F24480" s="2" t="str">
        <f>HYPERLINK("http://www.otzar.org/book.asp?83666","מסילת ישרים &lt;סוד לישרים&gt;")</f>
        <v>מסילת ישרים &lt;סוד לישרים&gt;</v>
      </c>
    </row>
    <row r="24481" spans="1:6" x14ac:dyDescent="0.2">
      <c r="A24481" t="s">
        <v>39235</v>
      </c>
      <c r="B24481" t="s">
        <v>1390</v>
      </c>
      <c r="C24481" t="s">
        <v>20</v>
      </c>
      <c r="D24481" t="s">
        <v>14</v>
      </c>
      <c r="E24481" t="s">
        <v>314</v>
      </c>
      <c r="F24481" s="2" t="str">
        <f>HYPERLINK("http://www.otzar.org/book.asp?50272","מסילת ישרים &lt;עיונים ר' יחזקאל סרנא&gt;")</f>
        <v>מסילת ישרים &lt;עיונים ר' יחזקאל סרנא&gt;</v>
      </c>
    </row>
    <row r="24482" spans="1:6" x14ac:dyDescent="0.2">
      <c r="A24482" t="s">
        <v>39236</v>
      </c>
      <c r="B24482" t="s">
        <v>1390</v>
      </c>
      <c r="C24482" t="s">
        <v>1640</v>
      </c>
      <c r="D24482" t="s">
        <v>14</v>
      </c>
      <c r="E24482" t="s">
        <v>241</v>
      </c>
      <c r="F24482" s="2" t="str">
        <f>HYPERLINK("http://www.otzar.org/book.asp?13561","מסילת ישרים &lt;עיונים&gt;")</f>
        <v>מסילת ישרים &lt;עיונים&gt;</v>
      </c>
    </row>
    <row r="24483" spans="1:6" x14ac:dyDescent="0.2">
      <c r="A24483" t="s">
        <v>39237</v>
      </c>
      <c r="B24483" t="s">
        <v>1390</v>
      </c>
      <c r="C24483" t="s">
        <v>1284</v>
      </c>
      <c r="D24483" t="s">
        <v>20626</v>
      </c>
      <c r="F24483" s="2" t="str">
        <f>HYPERLINK("http://www.otzar.org/book.asp?620089","מסילת ישרים &lt;עם תרגום בגרמנית - קובץ שירים אורות מאופל&gt;")</f>
        <v>מסילת ישרים &lt;עם תרגום בגרמנית - קובץ שירים אורות מאופל&gt;</v>
      </c>
    </row>
    <row r="24484" spans="1:6" x14ac:dyDescent="0.2">
      <c r="A24484" t="s">
        <v>39238</v>
      </c>
      <c r="B24484" t="s">
        <v>1390</v>
      </c>
      <c r="C24484" t="s">
        <v>20</v>
      </c>
      <c r="D24484" t="s">
        <v>52</v>
      </c>
      <c r="F24484" s="2" t="str">
        <f>HYPERLINK("http://www.otzar.org/book.asp?197582","מסילת ישרים &lt;רב לתלמיד&gt;")</f>
        <v>מסילת ישרים &lt;רב לתלמיד&gt;</v>
      </c>
    </row>
    <row r="24485" spans="1:6" x14ac:dyDescent="0.2">
      <c r="A24485" t="s">
        <v>39239</v>
      </c>
      <c r="B24485" t="s">
        <v>1390</v>
      </c>
      <c r="C24485" t="s">
        <v>1246</v>
      </c>
      <c r="D24485" t="s">
        <v>412</v>
      </c>
      <c r="E24485" t="s">
        <v>241</v>
      </c>
      <c r="F24485" s="2" t="str">
        <f>HYPERLINK("http://www.otzar.org/book.asp?13548","מסילת ישרים &lt;תרגום אידיש&gt;")</f>
        <v>מסילת ישרים &lt;תרגום אידיש&gt;</v>
      </c>
    </row>
    <row r="24486" spans="1:6" x14ac:dyDescent="0.2">
      <c r="A24486" t="s">
        <v>39240</v>
      </c>
      <c r="B24486" t="s">
        <v>3901</v>
      </c>
      <c r="C24486" t="s">
        <v>383</v>
      </c>
      <c r="D24486" t="s">
        <v>14</v>
      </c>
      <c r="E24486" t="s">
        <v>241</v>
      </c>
      <c r="F24486" s="2" t="str">
        <f>HYPERLINK("http://www.otzar.org/book.asp?172225","מסילת ישרים &lt;מליץ יושר&gt;")</f>
        <v>מסילת ישרים &lt;מליץ יושר&gt;</v>
      </c>
    </row>
    <row r="24487" spans="1:6" x14ac:dyDescent="0.2">
      <c r="A24487" t="s">
        <v>39241</v>
      </c>
      <c r="B24487" t="s">
        <v>39242</v>
      </c>
      <c r="C24487" t="s">
        <v>176</v>
      </c>
      <c r="D24487" t="s">
        <v>52</v>
      </c>
      <c r="E24487" t="s">
        <v>241</v>
      </c>
      <c r="F24487" s="2" t="str">
        <f>HYPERLINK("http://www.otzar.org/book.asp?23159","מסילת ישרים &lt;יושר מסילה&gt;")</f>
        <v>מסילת ישרים &lt;יושר מסילה&gt;</v>
      </c>
    </row>
    <row r="24488" spans="1:6" x14ac:dyDescent="0.2">
      <c r="A24488" t="s">
        <v>39243</v>
      </c>
      <c r="B24488" t="s">
        <v>1390</v>
      </c>
      <c r="C24488" t="s">
        <v>454</v>
      </c>
      <c r="D24488" t="s">
        <v>52</v>
      </c>
      <c r="E24488" t="s">
        <v>314</v>
      </c>
      <c r="F24488" s="2" t="str">
        <f>HYPERLINK("http://www.otzar.org/book.asp?50725","מסילת ישרים בתוספת ליקוטים מקורות וציונים")</f>
        <v>מסילת ישרים בתוספת ליקוטים מקורות וציונים</v>
      </c>
    </row>
    <row r="24489" spans="1:6" x14ac:dyDescent="0.2">
      <c r="A24489" t="s">
        <v>39244</v>
      </c>
      <c r="B24489" t="s">
        <v>39245</v>
      </c>
      <c r="C24489" t="s">
        <v>244</v>
      </c>
      <c r="D24489" t="s">
        <v>14</v>
      </c>
      <c r="F24489" s="2" t="str">
        <f>HYPERLINK("http://www.otzar.org/book.asp?614452","מסילת ישרים המבואר - פרקים יח -כא")</f>
        <v>מסילת ישרים המבואר - פרקים יח -כא</v>
      </c>
    </row>
    <row r="24490" spans="1:6" x14ac:dyDescent="0.2">
      <c r="A24490" t="s">
        <v>39246</v>
      </c>
      <c r="B24490" t="s">
        <v>39247</v>
      </c>
      <c r="C24490" t="s">
        <v>114</v>
      </c>
      <c r="D24490" t="s">
        <v>14</v>
      </c>
      <c r="E24490" t="s">
        <v>241</v>
      </c>
      <c r="F24490" s="2" t="str">
        <f>HYPERLINK("http://www.otzar.org/book.asp?162951","מסילת ישרים עם ביאור פי כהן - א")</f>
        <v>מסילת ישרים עם ביאור פי כהן - א</v>
      </c>
    </row>
    <row r="24491" spans="1:6" x14ac:dyDescent="0.2">
      <c r="A24491" t="s">
        <v>39248</v>
      </c>
      <c r="B24491" t="s">
        <v>39249</v>
      </c>
      <c r="C24491" t="s">
        <v>103</v>
      </c>
      <c r="D24491" t="s">
        <v>14</v>
      </c>
      <c r="E24491" t="s">
        <v>241</v>
      </c>
      <c r="F24491" s="2" t="str">
        <f>HYPERLINK("http://www.otzar.org/book.asp?26349","מסילת ישרים עם ביאור שמחת מרדכי")</f>
        <v>מסילת ישרים עם ביאור שמחת מרדכי</v>
      </c>
    </row>
    <row r="24492" spans="1:6" x14ac:dyDescent="0.2">
      <c r="A24492" t="s">
        <v>39250</v>
      </c>
      <c r="B24492" t="s">
        <v>39251</v>
      </c>
      <c r="C24492" t="s">
        <v>366</v>
      </c>
      <c r="D24492" t="s">
        <v>14</v>
      </c>
      <c r="F24492" s="2" t="str">
        <f>HYPERLINK("http://www.otzar.org/book.asp?604737","מסילת ישרים עם הערות הרב נבנצל")</f>
        <v>מסילת ישרים עם הערות הרב נבנצל</v>
      </c>
    </row>
    <row r="24493" spans="1:6" x14ac:dyDescent="0.2">
      <c r="A24493" t="s">
        <v>39252</v>
      </c>
      <c r="B24493" t="s">
        <v>1390</v>
      </c>
      <c r="C24493" t="s">
        <v>129</v>
      </c>
      <c r="D24493" t="s">
        <v>14</v>
      </c>
      <c r="E24493" t="s">
        <v>314</v>
      </c>
      <c r="F24493" s="2" t="str">
        <f>HYPERLINK("http://www.otzar.org/book.asp?52679","מסילת ישרים עם הערות וביאורים")</f>
        <v>מסילת ישרים עם הערות וביאורים</v>
      </c>
    </row>
    <row r="24494" spans="1:6" x14ac:dyDescent="0.2">
      <c r="A24494" t="s">
        <v>39253</v>
      </c>
      <c r="B24494" t="s">
        <v>39254</v>
      </c>
      <c r="C24494" t="s">
        <v>143</v>
      </c>
      <c r="D24494" t="s">
        <v>14</v>
      </c>
      <c r="E24494" t="s">
        <v>213</v>
      </c>
      <c r="F24494" s="2" t="str">
        <f>HYPERLINK("http://www.otzar.org/book.asp?152658","מסילת ישרים עם פירוש אור לישרים - 2 כר'")</f>
        <v>מסילת ישרים עם פירוש אור לישרים - 2 כר'</v>
      </c>
    </row>
    <row r="24495" spans="1:6" x14ac:dyDescent="0.2">
      <c r="A24495" t="s">
        <v>39255</v>
      </c>
      <c r="B24495" t="s">
        <v>39256</v>
      </c>
      <c r="C24495" t="s">
        <v>37</v>
      </c>
      <c r="D24495" t="s">
        <v>14</v>
      </c>
      <c r="E24495" t="s">
        <v>241</v>
      </c>
      <c r="F24495" s="2" t="str">
        <f>HYPERLINK("http://www.otzar.org/book.asp?179325","מסילת ישרים עם פירוש המאיר ליעקב")</f>
        <v>מסילת ישרים עם פירוש המאיר ליעקב</v>
      </c>
    </row>
    <row r="24496" spans="1:6" x14ac:dyDescent="0.2">
      <c r="A24496" t="s">
        <v>39257</v>
      </c>
      <c r="B24496" t="s">
        <v>1390</v>
      </c>
      <c r="C24496" t="s">
        <v>946</v>
      </c>
      <c r="D24496" t="s">
        <v>283</v>
      </c>
      <c r="E24496" t="s">
        <v>241</v>
      </c>
      <c r="F24496" s="2" t="str">
        <f>HYPERLINK("http://www.otzar.org/book.asp?197690","מסילת ישרים עם תרגום בגרמנית")</f>
        <v>מסילת ישרים עם תרגום בגרמנית</v>
      </c>
    </row>
    <row r="24497" spans="1:6" x14ac:dyDescent="0.2">
      <c r="A24497" t="s">
        <v>39258</v>
      </c>
      <c r="B24497" t="s">
        <v>39259</v>
      </c>
      <c r="C24497" t="s">
        <v>237</v>
      </c>
      <c r="D24497" t="s">
        <v>27</v>
      </c>
      <c r="E24497" t="s">
        <v>583</v>
      </c>
      <c r="F24497" s="2" t="str">
        <f>HYPERLINK("http://www.otzar.org/book.asp?13483","מסילת ישרים")</f>
        <v>מסילת ישרים</v>
      </c>
    </row>
    <row r="24498" spans="1:6" x14ac:dyDescent="0.2">
      <c r="A24498" t="s">
        <v>39260</v>
      </c>
      <c r="B24498" t="s">
        <v>1390</v>
      </c>
      <c r="C24498" t="s">
        <v>1284</v>
      </c>
      <c r="D24498" t="s">
        <v>280</v>
      </c>
      <c r="E24498" t="s">
        <v>241</v>
      </c>
      <c r="F24498" s="2" t="str">
        <f>HYPERLINK("http://www.otzar.org/book.asp?13549","מסילת ישרים - 6 כר'")</f>
        <v>מסילת ישרים - 6 כר'</v>
      </c>
    </row>
    <row r="24499" spans="1:6" x14ac:dyDescent="0.2">
      <c r="A24499" t="s">
        <v>39261</v>
      </c>
      <c r="B24499" t="s">
        <v>37251</v>
      </c>
      <c r="C24499" t="s">
        <v>20</v>
      </c>
      <c r="D24499" t="s">
        <v>52</v>
      </c>
      <c r="E24499" t="s">
        <v>144</v>
      </c>
      <c r="F24499" s="2" t="str">
        <f>HYPERLINK("http://www.otzar.org/book.asp?173375","מסילת מנחם")</f>
        <v>מסילת מנחם</v>
      </c>
    </row>
    <row r="24500" spans="1:6" x14ac:dyDescent="0.2">
      <c r="A24500" t="s">
        <v>39262</v>
      </c>
      <c r="B24500" t="s">
        <v>22527</v>
      </c>
      <c r="C24500" t="s">
        <v>4705</v>
      </c>
      <c r="D24500" t="s">
        <v>56</v>
      </c>
      <c r="E24500" t="s">
        <v>104</v>
      </c>
      <c r="F24500" s="2" t="str">
        <f>HYPERLINK("http://www.otzar.org/book.asp?157760","מסיני בא")</f>
        <v>מסיני בא</v>
      </c>
    </row>
    <row r="24501" spans="1:6" x14ac:dyDescent="0.2">
      <c r="A24501" t="s">
        <v>39262</v>
      </c>
      <c r="B24501" t="s">
        <v>10824</v>
      </c>
      <c r="C24501" t="s">
        <v>23</v>
      </c>
      <c r="D24501" t="s">
        <v>52</v>
      </c>
      <c r="F24501" s="2" t="str">
        <f>HYPERLINK("http://www.otzar.org/book.asp?608742","מסיני בא")</f>
        <v>מסיני בא</v>
      </c>
    </row>
    <row r="24502" spans="1:6" x14ac:dyDescent="0.2">
      <c r="A24502" t="s">
        <v>39263</v>
      </c>
      <c r="B24502" t="s">
        <v>39264</v>
      </c>
      <c r="C24502" t="s">
        <v>940</v>
      </c>
      <c r="D24502" t="s">
        <v>21</v>
      </c>
      <c r="E24502" t="s">
        <v>104</v>
      </c>
      <c r="F24502" s="2" t="str">
        <f>HYPERLINK("http://www.otzar.org/book.asp?195987","מסיפורי הסבתא")</f>
        <v>מסיפורי הסבתא</v>
      </c>
    </row>
    <row r="24503" spans="1:6" x14ac:dyDescent="0.2">
      <c r="A24503" t="s">
        <v>39265</v>
      </c>
      <c r="B24503" t="s">
        <v>7265</v>
      </c>
      <c r="C24503" t="s">
        <v>3816</v>
      </c>
      <c r="D24503" t="s">
        <v>212</v>
      </c>
      <c r="E24503" t="s">
        <v>579</v>
      </c>
      <c r="F24503" s="2" t="str">
        <f>HYPERLINK("http://www.otzar.org/book.asp?20150","מסכנות יעקב")</f>
        <v>מסכנות יעקב</v>
      </c>
    </row>
    <row r="24504" spans="1:6" x14ac:dyDescent="0.2">
      <c r="A24504" t="s">
        <v>39266</v>
      </c>
      <c r="B24504" t="s">
        <v>39267</v>
      </c>
      <c r="C24504" t="s">
        <v>1844</v>
      </c>
      <c r="D24504" t="s">
        <v>267</v>
      </c>
      <c r="E24504" t="s">
        <v>84</v>
      </c>
      <c r="F24504" s="2" t="str">
        <f>HYPERLINK("http://www.otzar.org/book.asp?100303","מסכת אבות &lt;רבינו יונה ורבינו עובדיה ספורנו&gt;")</f>
        <v>מסכת אבות &lt;רבינו יונה ורבינו עובדיה ספורנו&gt;</v>
      </c>
    </row>
    <row r="24505" spans="1:6" x14ac:dyDescent="0.2">
      <c r="A24505" t="s">
        <v>39268</v>
      </c>
      <c r="B24505" t="s">
        <v>39269</v>
      </c>
      <c r="C24505" t="s">
        <v>854</v>
      </c>
      <c r="D24505" t="s">
        <v>4269</v>
      </c>
      <c r="E24505" t="s">
        <v>786</v>
      </c>
      <c r="F24505" s="2" t="str">
        <f>HYPERLINK("http://www.otzar.org/book.asp?51181","מסכת אבות &lt;דרכי יושר&gt;")</f>
        <v>מסכת אבות &lt;דרכי יושר&gt;</v>
      </c>
    </row>
    <row r="24506" spans="1:6" x14ac:dyDescent="0.2">
      <c r="A24506" t="s">
        <v>39270</v>
      </c>
      <c r="B24506" t="s">
        <v>39271</v>
      </c>
      <c r="C24506" t="s">
        <v>1246</v>
      </c>
      <c r="D24506" t="s">
        <v>260</v>
      </c>
      <c r="E24506" t="s">
        <v>25257</v>
      </c>
      <c r="F24506" s="2" t="str">
        <f>HYPERLINK("http://www.otzar.org/book.asp?101888","מסכת אבות &lt;ר' שמחה מויטרי&gt;")</f>
        <v>מסכת אבות &lt;ר' שמחה מויטרי&gt;</v>
      </c>
    </row>
    <row r="24507" spans="1:6" x14ac:dyDescent="0.2">
      <c r="A24507" t="s">
        <v>39272</v>
      </c>
      <c r="B24507" t="s">
        <v>39273</v>
      </c>
      <c r="C24507" t="s">
        <v>482</v>
      </c>
      <c r="D24507" t="s">
        <v>5050</v>
      </c>
      <c r="E24507" t="s">
        <v>84</v>
      </c>
      <c r="F24507" s="2" t="str">
        <f>HYPERLINK("http://www.otzar.org/book.asp?170561","מסכת אבות &lt;בכורי יחזקאל&gt;")</f>
        <v>מסכת אבות &lt;בכורי יחזקאל&gt;</v>
      </c>
    </row>
    <row r="24508" spans="1:6" x14ac:dyDescent="0.2">
      <c r="A24508" t="s">
        <v>39274</v>
      </c>
      <c r="B24508" t="s">
        <v>18029</v>
      </c>
      <c r="C24508" t="s">
        <v>189</v>
      </c>
      <c r="D24508" t="s">
        <v>14</v>
      </c>
      <c r="E24508" t="s">
        <v>84</v>
      </c>
      <c r="F24508" s="2" t="str">
        <f>HYPERLINK("http://www.otzar.org/book.asp?63351","מסכת אבות &lt;אוהב ישראל&gt;")</f>
        <v>מסכת אבות &lt;אוהב ישראל&gt;</v>
      </c>
    </row>
    <row r="24509" spans="1:6" x14ac:dyDescent="0.2">
      <c r="A24509" t="s">
        <v>39275</v>
      </c>
      <c r="B24509" t="s">
        <v>18200</v>
      </c>
      <c r="C24509" t="s">
        <v>51</v>
      </c>
      <c r="D24509" t="s">
        <v>14</v>
      </c>
      <c r="E24509" t="s">
        <v>84</v>
      </c>
      <c r="F24509" s="2" t="str">
        <f>HYPERLINK("http://www.otzar.org/book.asp?144089","מסכת אבות &lt;ראשי אבות&gt;")</f>
        <v>מסכת אבות &lt;ראשי אבות&gt;</v>
      </c>
    </row>
    <row r="24510" spans="1:6" x14ac:dyDescent="0.2">
      <c r="A24510" t="s">
        <v>39276</v>
      </c>
      <c r="B24510" t="s">
        <v>39277</v>
      </c>
      <c r="C24510" t="s">
        <v>585</v>
      </c>
      <c r="D24510" t="s">
        <v>14</v>
      </c>
      <c r="E24510" t="s">
        <v>84</v>
      </c>
      <c r="F24510" s="2" t="str">
        <f>HYPERLINK("http://www.otzar.org/book.asp?7859","מסכת אבות &lt;הגר""א, פרקי דאברהם&gt;")</f>
        <v>מסכת אבות &lt;הגר"א, פרקי דאברהם&gt;</v>
      </c>
    </row>
    <row r="24511" spans="1:6" x14ac:dyDescent="0.2">
      <c r="A24511" t="s">
        <v>39278</v>
      </c>
      <c r="B24511" t="s">
        <v>1821</v>
      </c>
      <c r="C24511" t="s">
        <v>106</v>
      </c>
      <c r="D24511" t="s">
        <v>412</v>
      </c>
      <c r="E24511" t="s">
        <v>84</v>
      </c>
      <c r="F24511" s="2" t="str">
        <f>HYPERLINK("http://www.otzar.org/book.asp?10416","מסכת אבות &lt;ביאורי הגר""א, עץ יוסף, רוח חיים&gt;")</f>
        <v>מסכת אבות &lt;ביאורי הגר"א, עץ יוסף, רוח חיים&gt;</v>
      </c>
    </row>
    <row r="24512" spans="1:6" x14ac:dyDescent="0.2">
      <c r="A24512" t="s">
        <v>39279</v>
      </c>
      <c r="B24512" t="s">
        <v>1821</v>
      </c>
      <c r="C24512" t="s">
        <v>538</v>
      </c>
      <c r="D24512" t="s">
        <v>544</v>
      </c>
      <c r="E24512" t="s">
        <v>84</v>
      </c>
      <c r="F24512" s="2" t="str">
        <f>HYPERLINK("http://www.otzar.org/book.asp?104423","מסכת אבות &lt;הגר""א&gt;")</f>
        <v>מסכת אבות &lt;הגר"א&gt;</v>
      </c>
    </row>
    <row r="24513" spans="1:6" x14ac:dyDescent="0.2">
      <c r="A24513" t="s">
        <v>39280</v>
      </c>
      <c r="B24513" t="s">
        <v>39281</v>
      </c>
      <c r="C24513" t="s">
        <v>1228</v>
      </c>
      <c r="D24513" t="s">
        <v>7648</v>
      </c>
      <c r="E24513" t="s">
        <v>84</v>
      </c>
      <c r="F24513" s="2" t="str">
        <f>HYPERLINK("http://www.otzar.org/book.asp?151623","מסכת אבות &lt;תפארת בנים על אבות&gt;")</f>
        <v>מסכת אבות &lt;תפארת בנים על אבות&gt;</v>
      </c>
    </row>
    <row r="24514" spans="1:6" x14ac:dyDescent="0.2">
      <c r="A24514" t="s">
        <v>39282</v>
      </c>
      <c r="B24514" t="s">
        <v>39283</v>
      </c>
      <c r="C24514" t="s">
        <v>1570</v>
      </c>
      <c r="D24514" t="s">
        <v>412</v>
      </c>
      <c r="E24514" t="s">
        <v>84</v>
      </c>
      <c r="F24514" s="2" t="str">
        <f>HYPERLINK("http://www.otzar.org/book.asp?52513","מסכת אבות &lt;מנחת שי&gt;")</f>
        <v>מסכת אבות &lt;מנחת שי&gt;</v>
      </c>
    </row>
    <row r="24515" spans="1:6" x14ac:dyDescent="0.2">
      <c r="A24515" t="s">
        <v>39284</v>
      </c>
      <c r="B24515" t="s">
        <v>39285</v>
      </c>
      <c r="C24515" t="s">
        <v>442</v>
      </c>
      <c r="D24515" t="s">
        <v>4207</v>
      </c>
      <c r="E24515" t="s">
        <v>84</v>
      </c>
      <c r="F24515" s="2" t="str">
        <f>HYPERLINK("http://www.otzar.org/book.asp?101904","מסכת אבות &lt;רבינו יונה, הגר""א&gt;")</f>
        <v>מסכת אבות &lt;רבינו יונה, הגר"א&gt;</v>
      </c>
    </row>
    <row r="24516" spans="1:6" x14ac:dyDescent="0.2">
      <c r="A24516" t="s">
        <v>39286</v>
      </c>
      <c r="B24516" t="s">
        <v>1574</v>
      </c>
      <c r="C24516" t="s">
        <v>87</v>
      </c>
      <c r="D24516" t="s">
        <v>14</v>
      </c>
      <c r="E24516" t="s">
        <v>84</v>
      </c>
      <c r="F24516" s="2" t="str">
        <f>HYPERLINK("http://www.otzar.org/book.asp?22549","מסכת אבות &lt;רבינו יונה&gt; - 2 כר'")</f>
        <v>מסכת אבות &lt;רבינו יונה&gt; - 2 כר'</v>
      </c>
    </row>
    <row r="24517" spans="1:6" x14ac:dyDescent="0.2">
      <c r="A24517" t="s">
        <v>39287</v>
      </c>
      <c r="B24517" t="s">
        <v>17578</v>
      </c>
      <c r="C24517" t="s">
        <v>20</v>
      </c>
      <c r="D24517" t="s">
        <v>14</v>
      </c>
      <c r="E24517" t="s">
        <v>84</v>
      </c>
      <c r="F24517" s="2" t="str">
        <f>HYPERLINK("http://www.otzar.org/book.asp?162101","מסכת אבות &lt;זכות אבות&gt;")</f>
        <v>מסכת אבות &lt;זכות אבות&gt;</v>
      </c>
    </row>
    <row r="24518" spans="1:6" x14ac:dyDescent="0.2">
      <c r="A24518" t="s">
        <v>39288</v>
      </c>
      <c r="B24518" t="s">
        <v>17018</v>
      </c>
      <c r="C24518" t="s">
        <v>17</v>
      </c>
      <c r="D24518" t="s">
        <v>27</v>
      </c>
      <c r="E24518" t="s">
        <v>84</v>
      </c>
      <c r="F24518" s="2" t="str">
        <f>HYPERLINK("http://www.otzar.org/book.asp?151780","מסכת אבות &lt;משנת מהרי""ץ&gt;")</f>
        <v>מסכת אבות &lt;משנת מהרי"ץ&gt;</v>
      </c>
    </row>
    <row r="24519" spans="1:6" x14ac:dyDescent="0.2">
      <c r="A24519" t="s">
        <v>39289</v>
      </c>
      <c r="B24519" t="s">
        <v>13599</v>
      </c>
      <c r="C24519" t="s">
        <v>523</v>
      </c>
      <c r="D24519" t="s">
        <v>14</v>
      </c>
      <c r="E24519" t="s">
        <v>84</v>
      </c>
      <c r="F24519" s="2" t="str">
        <f>HYPERLINK("http://www.otzar.org/book.asp?161831","מסכת אבות &lt;משנת יהודה&gt;")</f>
        <v>מסכת אבות &lt;משנת יהודה&gt;</v>
      </c>
    </row>
    <row r="24520" spans="1:6" x14ac:dyDescent="0.2">
      <c r="A24520" t="s">
        <v>39290</v>
      </c>
      <c r="B24520" t="s">
        <v>1363</v>
      </c>
      <c r="C24520" t="s">
        <v>356</v>
      </c>
      <c r="D24520" t="s">
        <v>52</v>
      </c>
      <c r="E24520" t="s">
        <v>3785</v>
      </c>
      <c r="F24520" s="2" t="str">
        <f>HYPERLINK("http://www.otzar.org/book.asp?101899","מסכת אבות &lt;עטרת צבי&gt; - ממעינות הנצח על פרקי אבות")</f>
        <v>מסכת אבות &lt;עטרת צבי&gt; - ממעינות הנצח על פרקי אבות</v>
      </c>
    </row>
    <row r="24521" spans="1:6" x14ac:dyDescent="0.2">
      <c r="A24521" t="s">
        <v>39291</v>
      </c>
      <c r="B24521" t="s">
        <v>39292</v>
      </c>
      <c r="D24521" t="s">
        <v>412</v>
      </c>
      <c r="E24521" t="s">
        <v>84</v>
      </c>
      <c r="F24521" s="2" t="str">
        <f>HYPERLINK("http://www.otzar.org/book.asp?172126","מסכת אבות &lt;זרעא חיא&gt;")</f>
        <v>מסכת אבות &lt;זרעא חיא&gt;</v>
      </c>
    </row>
    <row r="24522" spans="1:6" x14ac:dyDescent="0.2">
      <c r="A24522" t="s">
        <v>39293</v>
      </c>
      <c r="B24522" t="s">
        <v>39294</v>
      </c>
      <c r="C24522" t="s">
        <v>1062</v>
      </c>
      <c r="D24522" t="s">
        <v>9</v>
      </c>
      <c r="E24522" t="s">
        <v>84</v>
      </c>
      <c r="F24522" s="2" t="str">
        <f>HYPERLINK("http://www.otzar.org/book.asp?106188","מסכת אבות &lt;אושר אבות&gt;")</f>
        <v>מסכת אבות &lt;אושר אבות&gt;</v>
      </c>
    </row>
    <row r="24523" spans="1:6" x14ac:dyDescent="0.2">
      <c r="A24523" t="s">
        <v>39295</v>
      </c>
      <c r="B24523" t="s">
        <v>1465</v>
      </c>
      <c r="C24523" t="s">
        <v>888</v>
      </c>
      <c r="D24523" t="s">
        <v>27</v>
      </c>
      <c r="E24523" t="s">
        <v>84</v>
      </c>
      <c r="F24523" s="2" t="str">
        <f>HYPERLINK("http://www.otzar.org/book.asp?150086","מסכת אבות &lt;רוח חיים, מצפה יהושע&gt; - 2 כר'")</f>
        <v>מסכת אבות &lt;רוח חיים, מצפה יהושע&gt; - 2 כר'</v>
      </c>
    </row>
    <row r="24524" spans="1:6" x14ac:dyDescent="0.2">
      <c r="A24524" t="s">
        <v>39296</v>
      </c>
      <c r="B24524" t="s">
        <v>39297</v>
      </c>
      <c r="C24524" t="s">
        <v>390</v>
      </c>
      <c r="D24524" t="s">
        <v>1279</v>
      </c>
      <c r="F24524" s="2" t="str">
        <f>HYPERLINK("http://www.otzar.org/book.asp?613047","מסכת אבות &lt;נאדר בקודש&gt; - 2 כר'")</f>
        <v>מסכת אבות &lt;נאדר בקודש&gt; - 2 כר'</v>
      </c>
    </row>
    <row r="24525" spans="1:6" x14ac:dyDescent="0.2">
      <c r="A24525" t="s">
        <v>39298</v>
      </c>
      <c r="B24525" t="s">
        <v>39299</v>
      </c>
      <c r="C24525" t="s">
        <v>454</v>
      </c>
      <c r="D24525" t="s">
        <v>52</v>
      </c>
      <c r="E24525" t="s">
        <v>91</v>
      </c>
      <c r="F24525" s="2" t="str">
        <f>HYPERLINK("http://www.otzar.org/book.asp?171464","מסכת אבות &lt;אמרי שאול - יד לבנים&gt;")</f>
        <v>מסכת אבות &lt;אמרי שאול - יד לבנים&gt;</v>
      </c>
    </row>
    <row r="24526" spans="1:6" x14ac:dyDescent="0.2">
      <c r="A24526" t="s">
        <v>39300</v>
      </c>
      <c r="B24526" t="s">
        <v>39301</v>
      </c>
      <c r="C24526" t="s">
        <v>1885</v>
      </c>
      <c r="D24526" t="s">
        <v>1279</v>
      </c>
      <c r="E24526" t="s">
        <v>84</v>
      </c>
      <c r="F24526" s="2" t="str">
        <f>HYPERLINK("http://www.otzar.org/book.asp?51709","מסכת אבות &lt;מטל השמים&gt;")</f>
        <v>מסכת אבות &lt;מטל השמים&gt;</v>
      </c>
    </row>
    <row r="24527" spans="1:6" x14ac:dyDescent="0.2">
      <c r="A24527" t="s">
        <v>39302</v>
      </c>
      <c r="B24527" t="s">
        <v>39303</v>
      </c>
      <c r="C24527" t="s">
        <v>20</v>
      </c>
      <c r="D24527" t="s">
        <v>14</v>
      </c>
      <c r="F24527" s="2" t="str">
        <f>HYPERLINK("http://www.otzar.org/book.asp?611318","מסכת אבות &lt;תפארת ציון - כרם חמד&gt;")</f>
        <v>מסכת אבות &lt;תפארת ציון - כרם חמד&gt;</v>
      </c>
    </row>
    <row r="24528" spans="1:6" x14ac:dyDescent="0.2">
      <c r="A24528" t="s">
        <v>39304</v>
      </c>
      <c r="B24528" t="s">
        <v>39305</v>
      </c>
      <c r="C24528" t="s">
        <v>20</v>
      </c>
      <c r="D24528" t="s">
        <v>90</v>
      </c>
      <c r="F24528" s="2" t="str">
        <f>HYPERLINK("http://www.otzar.org/book.asp?612464","מסכת אבות &lt;פסקי משנה, מנחת יצחק, ליקוטי יצחק&gt; - נזיקין")</f>
        <v>מסכת אבות &lt;פסקי משנה, מנחת יצחק, ליקוטי יצחק&gt; - נזיקין</v>
      </c>
    </row>
    <row r="24529" spans="1:6" x14ac:dyDescent="0.2">
      <c r="A24529" t="s">
        <v>39306</v>
      </c>
      <c r="B24529" t="s">
        <v>39307</v>
      </c>
      <c r="C24529" t="s">
        <v>445</v>
      </c>
      <c r="D24529" t="s">
        <v>283</v>
      </c>
      <c r="E24529" t="s">
        <v>84</v>
      </c>
      <c r="F24529" s="2" t="str">
        <f>HYPERLINK("http://www.otzar.org/book.asp?101908","מסכת אבות &lt;ר""י יעב""ץ - בית אהרן&gt;")</f>
        <v>מסכת אבות &lt;ר"י יעב"ץ - בית אהרן&gt;</v>
      </c>
    </row>
    <row r="24530" spans="1:6" x14ac:dyDescent="0.2">
      <c r="A24530" t="s">
        <v>39306</v>
      </c>
      <c r="B24530" t="s">
        <v>3673</v>
      </c>
      <c r="C24530" t="s">
        <v>156</v>
      </c>
      <c r="D24530" t="s">
        <v>283</v>
      </c>
      <c r="E24530" t="s">
        <v>84</v>
      </c>
      <c r="F24530" s="2" t="str">
        <f>HYPERLINK("http://www.otzar.org/book.asp?101907","מסכת אבות &lt;ר""י יעב""ץ - בית אהרן&gt;")</f>
        <v>מסכת אבות &lt;ר"י יעב"ץ - בית אהרן&gt;</v>
      </c>
    </row>
    <row r="24531" spans="1:6" x14ac:dyDescent="0.2">
      <c r="A24531" t="s">
        <v>39308</v>
      </c>
      <c r="B24531" t="s">
        <v>3673</v>
      </c>
      <c r="C24531" t="s">
        <v>775</v>
      </c>
      <c r="D24531" t="s">
        <v>14</v>
      </c>
      <c r="E24531" t="s">
        <v>84</v>
      </c>
      <c r="F24531" s="2" t="str">
        <f>HYPERLINK("http://www.otzar.org/book.asp?144938","מסכת אבות &lt;ר""י יעב""ץ&gt; מהדורה חדשה")</f>
        <v>מסכת אבות &lt;ר"י יעב"ץ&gt; מהדורה חדשה</v>
      </c>
    </row>
    <row r="24532" spans="1:6" x14ac:dyDescent="0.2">
      <c r="A24532" t="s">
        <v>39309</v>
      </c>
      <c r="B24532" t="s">
        <v>8977</v>
      </c>
      <c r="C24532" t="s">
        <v>956</v>
      </c>
      <c r="D24532" t="s">
        <v>52</v>
      </c>
      <c r="E24532" t="s">
        <v>39310</v>
      </c>
      <c r="F24532" s="2" t="str">
        <f>HYPERLINK("http://www.otzar.org/book.asp?101972","מסכת אבות &lt;מאיר נתיב&gt; - 3 כר'")</f>
        <v>מסכת אבות &lt;מאיר נתיב&gt; - 3 כר'</v>
      </c>
    </row>
    <row r="24533" spans="1:6" x14ac:dyDescent="0.2">
      <c r="A24533" t="s">
        <v>39311</v>
      </c>
      <c r="B24533" t="s">
        <v>39312</v>
      </c>
      <c r="C24533" t="s">
        <v>20</v>
      </c>
      <c r="D24533" t="s">
        <v>14</v>
      </c>
      <c r="E24533" t="s">
        <v>38</v>
      </c>
      <c r="F24533" s="2" t="str">
        <f>HYPERLINK("http://www.otzar.org/book.asp?157582","מסכת אבות &lt;פעמון זהב - מילי דאבות&gt;")</f>
        <v>מסכת אבות &lt;פעמון זהב - מילי דאבות&gt;</v>
      </c>
    </row>
    <row r="24534" spans="1:6" x14ac:dyDescent="0.2">
      <c r="A24534" t="s">
        <v>39313</v>
      </c>
      <c r="B24534" t="s">
        <v>39314</v>
      </c>
      <c r="C24534" t="s">
        <v>1166</v>
      </c>
      <c r="D24534" t="s">
        <v>27</v>
      </c>
      <c r="E24534" t="s">
        <v>84</v>
      </c>
      <c r="F24534" s="2" t="str">
        <f>HYPERLINK("http://www.otzar.org/book.asp?101898","מסכת אבות &lt;עגת אליהו&gt;")</f>
        <v>מסכת אבות &lt;עגת אליהו&gt;</v>
      </c>
    </row>
    <row r="24535" spans="1:6" x14ac:dyDescent="0.2">
      <c r="A24535" t="s">
        <v>39315</v>
      </c>
      <c r="B24535" t="s">
        <v>39316</v>
      </c>
      <c r="C24535" t="s">
        <v>619</v>
      </c>
      <c r="D24535" t="s">
        <v>283</v>
      </c>
      <c r="E24535" t="s">
        <v>84</v>
      </c>
      <c r="F24535" s="2" t="str">
        <f>HYPERLINK("http://www.otzar.org/book.asp?106985","מסכת אבות &lt;מאור הבנים, מוסר היהדות&gt;")</f>
        <v>מסכת אבות &lt;מאור הבנים, מוסר היהדות&gt;</v>
      </c>
    </row>
    <row r="24536" spans="1:6" x14ac:dyDescent="0.2">
      <c r="A24536" t="s">
        <v>39317</v>
      </c>
      <c r="B24536" t="s">
        <v>39318</v>
      </c>
      <c r="C24536" t="s">
        <v>36685</v>
      </c>
      <c r="D24536" t="s">
        <v>4248</v>
      </c>
      <c r="E24536" t="s">
        <v>84</v>
      </c>
      <c r="F24536" s="2" t="str">
        <f>HYPERLINK("http://www.otzar.org/book.asp?9846","מסכת אבות &lt;רמב""ם, ספורנו&gt;")</f>
        <v>מסכת אבות &lt;רמב"ם, ספורנו&gt;</v>
      </c>
    </row>
    <row r="24537" spans="1:6" x14ac:dyDescent="0.2">
      <c r="A24537" t="s">
        <v>39319</v>
      </c>
      <c r="B24537" t="s">
        <v>3299</v>
      </c>
      <c r="C24537" t="s">
        <v>1570</v>
      </c>
      <c r="D24537" t="s">
        <v>14</v>
      </c>
      <c r="E24537" t="s">
        <v>84</v>
      </c>
      <c r="F24537" s="2" t="str">
        <f>HYPERLINK("http://www.otzar.org/book.asp?10735","מסכת אבות &lt;חתם סופר&gt;")</f>
        <v>מסכת אבות &lt;חתם סופר&gt;</v>
      </c>
    </row>
    <row r="24538" spans="1:6" x14ac:dyDescent="0.2">
      <c r="A24538" t="s">
        <v>39320</v>
      </c>
      <c r="B24538" t="s">
        <v>3292</v>
      </c>
      <c r="C24538" t="s">
        <v>619</v>
      </c>
      <c r="D24538" t="s">
        <v>27</v>
      </c>
      <c r="E24538" t="s">
        <v>84</v>
      </c>
      <c r="F24538" s="2" t="str">
        <f>HYPERLINK("http://www.otzar.org/book.asp?52047","מסכת אבות &lt;לב אבות&gt;")</f>
        <v>מסכת אבות &lt;לב אבות&gt;</v>
      </c>
    </row>
    <row r="24539" spans="1:6" x14ac:dyDescent="0.2">
      <c r="A24539" t="s">
        <v>39321</v>
      </c>
      <c r="B24539" t="s">
        <v>11722</v>
      </c>
      <c r="C24539" t="s">
        <v>411</v>
      </c>
      <c r="D24539" t="s">
        <v>14</v>
      </c>
      <c r="E24539" t="s">
        <v>84</v>
      </c>
      <c r="F24539" s="2" t="str">
        <f>HYPERLINK("http://www.otzar.org/book.asp?175807","מסכת אבות &lt;זכרון אבות&gt;")</f>
        <v>מסכת אבות &lt;זכרון אבות&gt;</v>
      </c>
    </row>
    <row r="24540" spans="1:6" x14ac:dyDescent="0.2">
      <c r="A24540" t="s">
        <v>39322</v>
      </c>
      <c r="B24540" t="s">
        <v>39323</v>
      </c>
      <c r="C24540" t="s">
        <v>1202</v>
      </c>
      <c r="D24540" t="s">
        <v>995</v>
      </c>
      <c r="E24540" t="s">
        <v>6300</v>
      </c>
      <c r="F24540" s="2" t="str">
        <f>HYPERLINK("http://www.otzar.org/book.asp?101885","מסכת אבות &lt;מוסר ישראל&gt;")</f>
        <v>מסכת אבות &lt;מוסר ישראל&gt;</v>
      </c>
    </row>
    <row r="24541" spans="1:6" x14ac:dyDescent="0.2">
      <c r="A24541" t="s">
        <v>39324</v>
      </c>
      <c r="B24541" t="s">
        <v>39325</v>
      </c>
      <c r="C24541" t="s">
        <v>15870</v>
      </c>
      <c r="D24541" t="s">
        <v>8167</v>
      </c>
      <c r="E24541" t="s">
        <v>84</v>
      </c>
      <c r="F24541" s="2" t="str">
        <f>HYPERLINK("http://www.otzar.org/book.asp?101903","מסכת אבות &lt;עם פירוש לא נודע למי&gt;")</f>
        <v>מסכת אבות &lt;עם פירוש לא נודע למי&gt;</v>
      </c>
    </row>
    <row r="24542" spans="1:6" x14ac:dyDescent="0.2">
      <c r="A24542" t="s">
        <v>39326</v>
      </c>
      <c r="B24542" t="s">
        <v>39327</v>
      </c>
      <c r="C24542" t="s">
        <v>1284</v>
      </c>
      <c r="D24542" t="s">
        <v>39328</v>
      </c>
      <c r="E24542" t="s">
        <v>84</v>
      </c>
      <c r="F24542" s="2" t="str">
        <f>HYPERLINK("http://www.otzar.org/book.asp?7119","מסכת אבות &lt;מעשה אבות&gt;")</f>
        <v>מסכת אבות &lt;מעשה אבות&gt;</v>
      </c>
    </row>
    <row r="24543" spans="1:6" x14ac:dyDescent="0.2">
      <c r="A24543" t="s">
        <v>39329</v>
      </c>
      <c r="B24543" t="s">
        <v>12336</v>
      </c>
      <c r="C24543" t="s">
        <v>1208</v>
      </c>
      <c r="D24543" t="s">
        <v>412</v>
      </c>
      <c r="E24543" t="s">
        <v>84</v>
      </c>
      <c r="F24543" s="2" t="str">
        <f>HYPERLINK("http://www.otzar.org/book.asp?173636","מסכת אבות &lt;ילקוט אבהן עלאין&gt;")</f>
        <v>מסכת אבות &lt;ילקוט אבהן עלאין&gt;</v>
      </c>
    </row>
    <row r="24544" spans="1:6" x14ac:dyDescent="0.2">
      <c r="A24544" t="s">
        <v>39330</v>
      </c>
      <c r="B24544" t="s">
        <v>17437</v>
      </c>
      <c r="C24544" t="s">
        <v>1885</v>
      </c>
      <c r="D24544" t="s">
        <v>726</v>
      </c>
      <c r="E24544" t="s">
        <v>84</v>
      </c>
      <c r="F24544" s="2" t="str">
        <f>HYPERLINK("http://www.otzar.org/book.asp?52110","מסכת אבות &lt;תוספות בנימין&gt;")</f>
        <v>מסכת אבות &lt;תוספות בנימין&gt;</v>
      </c>
    </row>
    <row r="24545" spans="1:6" x14ac:dyDescent="0.2">
      <c r="A24545" t="s">
        <v>39331</v>
      </c>
      <c r="B24545" t="s">
        <v>15161</v>
      </c>
      <c r="C24545" t="s">
        <v>114</v>
      </c>
      <c r="D24545" t="s">
        <v>52</v>
      </c>
      <c r="E24545" t="s">
        <v>84</v>
      </c>
      <c r="F24545" s="2" t="str">
        <f>HYPERLINK("http://www.otzar.org/book.asp?157850","מסכת אבות &lt;חכמת חיים&gt;")</f>
        <v>מסכת אבות &lt;חכמת חיים&gt;</v>
      </c>
    </row>
    <row r="24546" spans="1:6" x14ac:dyDescent="0.2">
      <c r="A24546" t="s">
        <v>39332</v>
      </c>
      <c r="B24546" t="s">
        <v>10932</v>
      </c>
      <c r="C24546" t="s">
        <v>946</v>
      </c>
      <c r="D24546" t="s">
        <v>855</v>
      </c>
      <c r="E24546" t="s">
        <v>84</v>
      </c>
      <c r="F24546" s="2" t="str">
        <f>HYPERLINK("http://www.otzar.org/book.asp?101911","מסכת אבות &lt;פרי חיים&gt;")</f>
        <v>מסכת אבות &lt;פרי חיים&gt;</v>
      </c>
    </row>
    <row r="24547" spans="1:6" x14ac:dyDescent="0.2">
      <c r="A24547" t="s">
        <v>39333</v>
      </c>
      <c r="B24547" t="s">
        <v>3423</v>
      </c>
      <c r="C24547" t="s">
        <v>68</v>
      </c>
      <c r="D24547" t="s">
        <v>367</v>
      </c>
      <c r="E24547" t="s">
        <v>84</v>
      </c>
      <c r="F24547" s="2" t="str">
        <f>HYPERLINK("http://www.otzar.org/book.asp?623758","מסכת אבות &lt;ספורנו&gt; עם ביאור תורת עבדי אבות")</f>
        <v>מסכת אבות &lt;ספורנו&gt; עם ביאור תורת עבדי אבות</v>
      </c>
    </row>
    <row r="24548" spans="1:6" x14ac:dyDescent="0.2">
      <c r="A24548" t="s">
        <v>39334</v>
      </c>
      <c r="B24548" t="s">
        <v>3704</v>
      </c>
      <c r="C24548" t="s">
        <v>189</v>
      </c>
      <c r="D24548" t="s">
        <v>14</v>
      </c>
      <c r="E24548" t="s">
        <v>3785</v>
      </c>
      <c r="F24548" s="2" t="str">
        <f>HYPERLINK("http://www.otzar.org/book.asp?22732","מסכת אבות &lt;אור החמה&gt;")</f>
        <v>מסכת אבות &lt;אור החמה&gt;</v>
      </c>
    </row>
    <row r="24549" spans="1:6" x14ac:dyDescent="0.2">
      <c r="A24549" t="s">
        <v>39335</v>
      </c>
      <c r="B24549" t="s">
        <v>14654</v>
      </c>
      <c r="C24549" t="s">
        <v>99</v>
      </c>
      <c r="D24549" t="s">
        <v>9</v>
      </c>
      <c r="E24549" t="s">
        <v>3018</v>
      </c>
      <c r="F24549" s="2" t="str">
        <f>HYPERLINK("http://www.otzar.org/book.asp?200635","מסכת אבות &lt;תורת אבות&gt;")</f>
        <v>מסכת אבות &lt;תורת אבות&gt;</v>
      </c>
    </row>
    <row r="24550" spans="1:6" x14ac:dyDescent="0.2">
      <c r="A24550" t="s">
        <v>39336</v>
      </c>
      <c r="B24550" t="s">
        <v>39337</v>
      </c>
      <c r="C24550" t="s">
        <v>17</v>
      </c>
      <c r="D24550" t="s">
        <v>52</v>
      </c>
      <c r="E24550" t="s">
        <v>43</v>
      </c>
      <c r="F24550" s="2" t="str">
        <f>HYPERLINK("http://www.otzar.org/book.asp?179730","מסכת אבות דר""נ ע""פ הגר""א המבואר &lt;מאורי אור&gt;")</f>
        <v>מסכת אבות דר"נ ע"פ הגר"א המבואר &lt;מאורי אור&gt;</v>
      </c>
    </row>
    <row r="24551" spans="1:6" x14ac:dyDescent="0.2">
      <c r="A24551" t="s">
        <v>39338</v>
      </c>
      <c r="B24551" t="s">
        <v>5636</v>
      </c>
      <c r="C24551" t="s">
        <v>146</v>
      </c>
      <c r="D24551" t="s">
        <v>1511</v>
      </c>
      <c r="E24551" t="s">
        <v>84</v>
      </c>
      <c r="F24551" s="2" t="str">
        <f>HYPERLINK("http://www.otzar.org/book.asp?165235","מסכת אבות מדרש שפתי ראם")</f>
        <v>מסכת אבות מדרש שפתי ראם</v>
      </c>
    </row>
    <row r="24552" spans="1:6" x14ac:dyDescent="0.2">
      <c r="A24552" t="s">
        <v>39339</v>
      </c>
      <c r="B24552" t="s">
        <v>39340</v>
      </c>
      <c r="C24552" t="s">
        <v>51</v>
      </c>
      <c r="D24552" t="s">
        <v>14</v>
      </c>
      <c r="E24552" t="s">
        <v>84</v>
      </c>
      <c r="F24552" s="2" t="str">
        <f>HYPERLINK("http://www.otzar.org/book.asp?619074","מסכת אבות מנוקדת במסורת תימן")</f>
        <v>מסכת אבות מנוקדת במסורת תימן</v>
      </c>
    </row>
    <row r="24553" spans="1:6" x14ac:dyDescent="0.2">
      <c r="A24553" t="s">
        <v>39341</v>
      </c>
      <c r="B24553" t="s">
        <v>39337</v>
      </c>
      <c r="C24553" t="s">
        <v>143</v>
      </c>
      <c r="D24553" t="s">
        <v>52</v>
      </c>
      <c r="E24553" t="s">
        <v>84</v>
      </c>
      <c r="F24553" s="2" t="str">
        <f>HYPERLINK("http://www.otzar.org/book.asp?179729","מסכת אבות ע""פ הגר""א המבואר &lt;מאורי אור&gt;")</f>
        <v>מסכת אבות ע"פ הגר"א המבואר &lt;מאורי אור&gt;</v>
      </c>
    </row>
    <row r="24554" spans="1:6" x14ac:dyDescent="0.2">
      <c r="A24554" t="s">
        <v>39342</v>
      </c>
      <c r="B24554" t="s">
        <v>39343</v>
      </c>
      <c r="C24554" t="s">
        <v>383</v>
      </c>
      <c r="D24554" t="s">
        <v>52</v>
      </c>
      <c r="F24554" s="2" t="str">
        <f>HYPERLINK("http://www.otzar.org/book.asp?183166","מסכת אבות ע""פ רש""י וראב""ן")</f>
        <v>מסכת אבות ע"פ רש"י וראב"ן</v>
      </c>
    </row>
    <row r="24555" spans="1:6" x14ac:dyDescent="0.2">
      <c r="A24555" t="s">
        <v>39344</v>
      </c>
      <c r="B24555" t="s">
        <v>39345</v>
      </c>
      <c r="C24555" t="s">
        <v>482</v>
      </c>
      <c r="D24555" t="s">
        <v>5050</v>
      </c>
      <c r="E24555" t="s">
        <v>84</v>
      </c>
      <c r="F24555" s="2" t="str">
        <f>HYPERLINK("http://www.otzar.org/book.asp?179040","מסכת אבות עם באור בכורי יחזקאל")</f>
        <v>מסכת אבות עם באור בכורי יחזקאל</v>
      </c>
    </row>
    <row r="24556" spans="1:6" x14ac:dyDescent="0.2">
      <c r="A24556" t="s">
        <v>39346</v>
      </c>
      <c r="B24556" t="s">
        <v>39347</v>
      </c>
      <c r="C24556" t="s">
        <v>383</v>
      </c>
      <c r="D24556" t="s">
        <v>52</v>
      </c>
      <c r="E24556" t="s">
        <v>84</v>
      </c>
      <c r="F24556" s="2" t="str">
        <f>HYPERLINK("http://www.otzar.org/book.asp?144956","מסכת אבות עם ילקוט אמרות טהורות")</f>
        <v>מסכת אבות עם ילקוט אמרות טהורות</v>
      </c>
    </row>
    <row r="24557" spans="1:6" x14ac:dyDescent="0.2">
      <c r="A24557" t="s">
        <v>39348</v>
      </c>
      <c r="B24557" t="s">
        <v>24038</v>
      </c>
      <c r="C24557" t="s">
        <v>20</v>
      </c>
      <c r="D24557" t="s">
        <v>118</v>
      </c>
      <c r="E24557" t="s">
        <v>84</v>
      </c>
      <c r="F24557" s="2" t="str">
        <f>HYPERLINK("http://www.otzar.org/book.asp?159508","מסכת אבות עם ילקוט עיר התמרים")</f>
        <v>מסכת אבות עם ילקוט עיר התמרים</v>
      </c>
    </row>
    <row r="24558" spans="1:6" x14ac:dyDescent="0.2">
      <c r="A24558" t="s">
        <v>39349</v>
      </c>
      <c r="B24558" t="s">
        <v>31660</v>
      </c>
      <c r="C24558" t="s">
        <v>17</v>
      </c>
      <c r="D24558" t="s">
        <v>39350</v>
      </c>
      <c r="E24558" t="s">
        <v>84</v>
      </c>
      <c r="F24558" s="2" t="str">
        <f>HYPERLINK("http://www.otzar.org/book.asp?60347","מסכת אבות עם כתבי י""ד")</f>
        <v>מסכת אבות עם כתבי י"ד</v>
      </c>
    </row>
    <row r="24559" spans="1:6" x14ac:dyDescent="0.2">
      <c r="A24559" t="s">
        <v>39351</v>
      </c>
      <c r="B24559" t="s">
        <v>39352</v>
      </c>
      <c r="C24559" t="s">
        <v>908</v>
      </c>
      <c r="D24559" t="s">
        <v>27</v>
      </c>
      <c r="E24559" t="s">
        <v>84</v>
      </c>
      <c r="F24559" s="2" t="str">
        <f>HYPERLINK("http://www.otzar.org/book.asp?141002","מסכת אבות עם פירוש אבות לבנים")</f>
        <v>מסכת אבות עם פירוש אבות לבנים</v>
      </c>
    </row>
    <row r="24560" spans="1:6" x14ac:dyDescent="0.2">
      <c r="A24560" t="s">
        <v>39353</v>
      </c>
      <c r="B24560" t="s">
        <v>2885</v>
      </c>
      <c r="C24560" t="s">
        <v>20</v>
      </c>
      <c r="D24560" t="s">
        <v>14</v>
      </c>
      <c r="E24560" t="s">
        <v>32006</v>
      </c>
      <c r="F24560" s="2" t="str">
        <f>HYPERLINK("http://www.otzar.org/book.asp?60841","מסכת אבות עם פירוש אהבת אבות")</f>
        <v>מסכת אבות עם פירוש אהבת אבות</v>
      </c>
    </row>
    <row r="24561" spans="1:6" x14ac:dyDescent="0.2">
      <c r="A24561" t="s">
        <v>39354</v>
      </c>
      <c r="B24561" t="s">
        <v>1264</v>
      </c>
      <c r="C24561" t="s">
        <v>17</v>
      </c>
      <c r="D24561" t="s">
        <v>52</v>
      </c>
      <c r="E24561" t="s">
        <v>84</v>
      </c>
      <c r="F24561" s="2" t="str">
        <f>HYPERLINK("http://www.otzar.org/book.asp?623650","מסכת אבות עם פירוש בני יששכר")</f>
        <v>מסכת אבות עם פירוש בני יששכר</v>
      </c>
    </row>
    <row r="24562" spans="1:6" x14ac:dyDescent="0.2">
      <c r="A24562" t="s">
        <v>39355</v>
      </c>
      <c r="B24562" t="s">
        <v>2885</v>
      </c>
      <c r="C24562" t="s">
        <v>20</v>
      </c>
      <c r="D24562" t="s">
        <v>14</v>
      </c>
      <c r="E24562" t="s">
        <v>32006</v>
      </c>
      <c r="F24562" s="2" t="str">
        <f>HYPERLINK("http://www.otzar.org/book.asp?60839","מסכת אבות עם פירוש ברית אבות")</f>
        <v>מסכת אבות עם פירוש ברית אבות</v>
      </c>
    </row>
    <row r="24563" spans="1:6" x14ac:dyDescent="0.2">
      <c r="A24563" t="s">
        <v>39356</v>
      </c>
      <c r="B24563" t="s">
        <v>107</v>
      </c>
      <c r="C24563" t="s">
        <v>454</v>
      </c>
      <c r="D24563" t="s">
        <v>14</v>
      </c>
      <c r="E24563" t="s">
        <v>84</v>
      </c>
      <c r="F24563" s="2" t="str">
        <f>HYPERLINK("http://www.otzar.org/book.asp?84038","מסכת אבות עם פירוש דבר ירושלים")</f>
        <v>מסכת אבות עם פירוש דבר ירושלים</v>
      </c>
    </row>
    <row r="24564" spans="1:6" x14ac:dyDescent="0.2">
      <c r="A24564" t="s">
        <v>39357</v>
      </c>
      <c r="B24564" t="s">
        <v>39358</v>
      </c>
      <c r="C24564" t="s">
        <v>20</v>
      </c>
      <c r="D24564" t="s">
        <v>90</v>
      </c>
      <c r="F24564" s="2" t="str">
        <f>HYPERLINK("http://www.otzar.org/book.asp?619207","מסכת אבות עם פירוש הגר""א")</f>
        <v>מסכת אבות עם פירוש הגר"א</v>
      </c>
    </row>
    <row r="24565" spans="1:6" x14ac:dyDescent="0.2">
      <c r="A24565" t="s">
        <v>39359</v>
      </c>
      <c r="B24565" t="s">
        <v>2885</v>
      </c>
      <c r="C24565" t="s">
        <v>20</v>
      </c>
      <c r="D24565" t="s">
        <v>14</v>
      </c>
      <c r="E24565" t="s">
        <v>32006</v>
      </c>
      <c r="F24565" s="2" t="str">
        <f>HYPERLINK("http://www.otzar.org/book.asp?60838","מסכת אבות עם פירוש זכות אבות")</f>
        <v>מסכת אבות עם פירוש זכות אבות</v>
      </c>
    </row>
    <row r="24566" spans="1:6" x14ac:dyDescent="0.2">
      <c r="A24566" t="s">
        <v>39360</v>
      </c>
      <c r="B24566" t="s">
        <v>2885</v>
      </c>
      <c r="C24566" t="s">
        <v>20</v>
      </c>
      <c r="D24566" t="s">
        <v>14</v>
      </c>
      <c r="E24566" t="s">
        <v>32006</v>
      </c>
      <c r="F24566" s="2" t="str">
        <f>HYPERLINK("http://www.otzar.org/book.asp?60843","מסכת אבות עם פירוש חסדי אבות")</f>
        <v>מסכת אבות עם פירוש חסדי אבות</v>
      </c>
    </row>
    <row r="24567" spans="1:6" x14ac:dyDescent="0.2">
      <c r="A24567" t="s">
        <v>39361</v>
      </c>
      <c r="B24567" t="s">
        <v>2885</v>
      </c>
      <c r="C24567" t="s">
        <v>20</v>
      </c>
      <c r="D24567" t="s">
        <v>14</v>
      </c>
      <c r="E24567" t="s">
        <v>84</v>
      </c>
      <c r="F24567" s="2" t="str">
        <f>HYPERLINK("http://www.otzar.org/book.asp?191795","מסכת אבות עם פירוש לב אבות")</f>
        <v>מסכת אבות עם פירוש לב אבות</v>
      </c>
    </row>
    <row r="24568" spans="1:6" x14ac:dyDescent="0.2">
      <c r="A24568" t="s">
        <v>39362</v>
      </c>
      <c r="B24568" t="s">
        <v>2885</v>
      </c>
      <c r="C24568" t="s">
        <v>20</v>
      </c>
      <c r="D24568" t="s">
        <v>14</v>
      </c>
      <c r="E24568" t="s">
        <v>32006</v>
      </c>
      <c r="F24568" s="2" t="str">
        <f>HYPERLINK("http://www.otzar.org/book.asp?60840","מסכת אבות עם פירוש מגן אבות")</f>
        <v>מסכת אבות עם פירוש מגן אבות</v>
      </c>
    </row>
    <row r="24569" spans="1:6" x14ac:dyDescent="0.2">
      <c r="A24569" t="s">
        <v>39363</v>
      </c>
      <c r="B24569" t="s">
        <v>39364</v>
      </c>
      <c r="C24569" t="s">
        <v>6054</v>
      </c>
      <c r="D24569" t="s">
        <v>27</v>
      </c>
      <c r="E24569" t="s">
        <v>84</v>
      </c>
      <c r="F24569" s="2" t="str">
        <f>HYPERLINK("http://www.otzar.org/book.asp?172506","מסכת אבות עם פירוש מלוקט")</f>
        <v>מסכת אבות עם פירוש מלוקט</v>
      </c>
    </row>
    <row r="24570" spans="1:6" x14ac:dyDescent="0.2">
      <c r="A24570" t="s">
        <v>39365</v>
      </c>
      <c r="B24570" t="s">
        <v>39366</v>
      </c>
      <c r="C24570" t="s">
        <v>39367</v>
      </c>
      <c r="D24570" t="s">
        <v>535</v>
      </c>
      <c r="E24570" t="s">
        <v>84</v>
      </c>
      <c r="F24570" s="2" t="str">
        <f>HYPERLINK("http://www.otzar.org/book.asp?141212","מסכת אבות עם פירוש מן")</f>
        <v>מסכת אבות עם פירוש מן</v>
      </c>
    </row>
    <row r="24571" spans="1:6" x14ac:dyDescent="0.2">
      <c r="A24571" t="s">
        <v>39368</v>
      </c>
      <c r="B24571" t="s">
        <v>1308</v>
      </c>
      <c r="C24571" t="s">
        <v>313</v>
      </c>
      <c r="D24571" t="s">
        <v>1974</v>
      </c>
      <c r="E24571" t="s">
        <v>84</v>
      </c>
      <c r="F24571" s="2" t="str">
        <f>HYPERLINK("http://www.otzar.org/book.asp?160415","מסכת אבות עם פירוש מרן החיד""א")</f>
        <v>מסכת אבות עם פירוש מרן החיד"א</v>
      </c>
    </row>
    <row r="24572" spans="1:6" x14ac:dyDescent="0.2">
      <c r="A24572" t="s">
        <v>39369</v>
      </c>
      <c r="B24572" t="s">
        <v>2885</v>
      </c>
      <c r="C24572" t="s">
        <v>20</v>
      </c>
      <c r="D24572" t="s">
        <v>14</v>
      </c>
      <c r="E24572" t="s">
        <v>32006</v>
      </c>
      <c r="F24572" s="2" t="str">
        <f>HYPERLINK("http://www.otzar.org/book.asp?60842","מסכת אבות עם פירוש נחלת אבות")</f>
        <v>מסכת אבות עם פירוש נחלת אבות</v>
      </c>
    </row>
    <row r="24573" spans="1:6" x14ac:dyDescent="0.2">
      <c r="A24573" t="s">
        <v>39370</v>
      </c>
      <c r="B24573" t="s">
        <v>33181</v>
      </c>
      <c r="C24573" t="s">
        <v>51</v>
      </c>
      <c r="D24573" t="s">
        <v>14</v>
      </c>
      <c r="E24573" t="s">
        <v>84</v>
      </c>
      <c r="F24573" s="2" t="str">
        <f>HYPERLINK("http://www.otzar.org/book.asp?153592","מסכת אבות עם פירוש שפת אמת")</f>
        <v>מסכת אבות עם פירוש שפת אמת</v>
      </c>
    </row>
    <row r="24574" spans="1:6" x14ac:dyDescent="0.2">
      <c r="A24574" t="s">
        <v>39371</v>
      </c>
      <c r="B24574" t="s">
        <v>2885</v>
      </c>
      <c r="C24574" t="s">
        <v>20</v>
      </c>
      <c r="D24574" t="s">
        <v>14</v>
      </c>
      <c r="E24574" t="s">
        <v>84</v>
      </c>
      <c r="F24574" s="2" t="str">
        <f>HYPERLINK("http://www.otzar.org/book.asp?191781","מסכת אבות עם פירוש תורת אבות")</f>
        <v>מסכת אבות עם פירוש תורת אבות</v>
      </c>
    </row>
    <row r="24575" spans="1:6" x14ac:dyDescent="0.2">
      <c r="A24575" t="s">
        <v>39372</v>
      </c>
      <c r="B24575" t="s">
        <v>31883</v>
      </c>
      <c r="C24575" t="s">
        <v>1640</v>
      </c>
      <c r="D24575" t="s">
        <v>14</v>
      </c>
      <c r="F24575" s="2" t="str">
        <f>HYPERLINK("http://www.otzar.org/book.asp?171842","מסכת אבות עם פירושי רבינו ישראל בעל שם טוב")</f>
        <v>מסכת אבות עם פירושי רבינו ישראל בעל שם טוב</v>
      </c>
    </row>
    <row r="24576" spans="1:6" x14ac:dyDescent="0.2">
      <c r="A24576" t="s">
        <v>39373</v>
      </c>
      <c r="B24576" t="s">
        <v>1978</v>
      </c>
      <c r="C24576" t="s">
        <v>63</v>
      </c>
      <c r="D24576" t="s">
        <v>14</v>
      </c>
      <c r="E24576" t="s">
        <v>84</v>
      </c>
      <c r="F24576" s="2" t="str">
        <f>HYPERLINK("http://www.otzar.org/book.asp?603328","מסכת אבות עם פירושי רבינו ישראל מאיר הכהן")</f>
        <v>מסכת אבות עם פירושי רבינו ישראל מאיר הכהן</v>
      </c>
    </row>
    <row r="24577" spans="1:6" x14ac:dyDescent="0.2">
      <c r="A24577" t="s">
        <v>39374</v>
      </c>
      <c r="B24577" t="s">
        <v>39375</v>
      </c>
      <c r="C24577" t="s">
        <v>1047</v>
      </c>
      <c r="D24577" t="s">
        <v>283</v>
      </c>
      <c r="E24577" t="s">
        <v>84</v>
      </c>
      <c r="F24577" s="2" t="str">
        <f>HYPERLINK("http://www.otzar.org/book.asp?141211","מסכת אבות עם שני פירושים")</f>
        <v>מסכת אבות עם שני פירושים</v>
      </c>
    </row>
    <row r="24578" spans="1:6" x14ac:dyDescent="0.2">
      <c r="A24578" t="s">
        <v>39376</v>
      </c>
      <c r="B24578" t="s">
        <v>39377</v>
      </c>
      <c r="C24578" t="s">
        <v>1418</v>
      </c>
      <c r="D24578" t="s">
        <v>307</v>
      </c>
      <c r="E24578" t="s">
        <v>84</v>
      </c>
      <c r="F24578" s="2" t="str">
        <f>HYPERLINK("http://www.otzar.org/book.asp?148976","מסכת אבות עם תלמוד בבלי וירושלמי")</f>
        <v>מסכת אבות עם תלמוד בבלי וירושלמי</v>
      </c>
    </row>
    <row r="24579" spans="1:6" x14ac:dyDescent="0.2">
      <c r="A24579" t="s">
        <v>39378</v>
      </c>
      <c r="B24579" t="s">
        <v>39379</v>
      </c>
      <c r="C24579" t="s">
        <v>419</v>
      </c>
      <c r="D24579" t="s">
        <v>1153</v>
      </c>
      <c r="E24579" t="s">
        <v>84</v>
      </c>
      <c r="F24579" s="2" t="str">
        <f>HYPERLINK("http://www.otzar.org/book.asp?602824","מסכת אבות - אבות דרבי נתן &lt;מסורת תימן&gt;")</f>
        <v>מסכת אבות - אבות דרבי נתן &lt;מסורת תימן&gt;</v>
      </c>
    </row>
    <row r="24580" spans="1:6" x14ac:dyDescent="0.2">
      <c r="A24580" t="s">
        <v>39380</v>
      </c>
      <c r="B24580" t="s">
        <v>32959</v>
      </c>
      <c r="C24580" t="s">
        <v>13</v>
      </c>
      <c r="D24580" t="s">
        <v>14</v>
      </c>
      <c r="E24580" t="s">
        <v>84</v>
      </c>
      <c r="F24580" s="2" t="str">
        <f>HYPERLINK("http://www.otzar.org/book.asp?152636","מסכת אבות - עטרת יהושע")</f>
        <v>מסכת אבות - עטרת יהושע</v>
      </c>
    </row>
    <row r="24581" spans="1:6" x14ac:dyDescent="0.2">
      <c r="A24581" t="s">
        <v>39381</v>
      </c>
      <c r="B24581" t="s">
        <v>38168</v>
      </c>
      <c r="C24581" t="s">
        <v>23</v>
      </c>
      <c r="D24581" t="s">
        <v>412</v>
      </c>
      <c r="F24581" s="2" t="str">
        <f>HYPERLINK("http://www.otzar.org/book.asp?617149","מסכת אבות - שמועסן מיט די קינדער - ב")</f>
        <v>מסכת אבות - שמועסן מיט די קינדער - ב</v>
      </c>
    </row>
    <row r="24582" spans="1:6" x14ac:dyDescent="0.2">
      <c r="A24582" t="s">
        <v>39382</v>
      </c>
      <c r="B24582" t="s">
        <v>39383</v>
      </c>
      <c r="C24582" t="s">
        <v>1640</v>
      </c>
      <c r="D24582" t="s">
        <v>14</v>
      </c>
      <c r="E24582" t="s">
        <v>84</v>
      </c>
      <c r="F24582" s="2" t="str">
        <f>HYPERLINK("http://www.otzar.org/book.asp?143882","מסכת אבות, פירושיה ותרגומיה באספקלרית הדורות")</f>
        <v>מסכת אבות, פירושיה ותרגומיה באספקלרית הדורות</v>
      </c>
    </row>
    <row r="24583" spans="1:6" x14ac:dyDescent="0.2">
      <c r="A24583" t="s">
        <v>39384</v>
      </c>
      <c r="B24583" t="s">
        <v>39385</v>
      </c>
      <c r="C24583" t="s">
        <v>1246</v>
      </c>
      <c r="D24583" t="s">
        <v>27</v>
      </c>
      <c r="E24583" t="s">
        <v>84</v>
      </c>
      <c r="F24583" s="2" t="str">
        <f>HYPERLINK("http://www.otzar.org/book.asp?178959","מסכת אהלות &lt;מהדורה מדעית&gt;")</f>
        <v>מסכת אהלות &lt;מהדורה מדעית&gt;</v>
      </c>
    </row>
    <row r="24584" spans="1:6" x14ac:dyDescent="0.2">
      <c r="A24584" t="s">
        <v>39386</v>
      </c>
      <c r="B24584" t="s">
        <v>39387</v>
      </c>
      <c r="C24584" t="s">
        <v>146</v>
      </c>
      <c r="D24584" t="s">
        <v>14</v>
      </c>
      <c r="F24584" s="2" t="str">
        <f>HYPERLINK("http://www.otzar.org/book.asp?164043","מסכת אהלות עם פירושי הראשונים והאחרונים")</f>
        <v>מסכת אהלות עם פירושי הראשונים והאחרונים</v>
      </c>
    </row>
    <row r="24585" spans="1:6" x14ac:dyDescent="0.2">
      <c r="A24585" t="s">
        <v>39388</v>
      </c>
      <c r="B24585" t="s">
        <v>39389</v>
      </c>
      <c r="C24585" t="s">
        <v>1278</v>
      </c>
      <c r="D24585" t="s">
        <v>267</v>
      </c>
      <c r="E24585" t="s">
        <v>213</v>
      </c>
      <c r="F24585" s="2" t="str">
        <f>HYPERLINK("http://www.otzar.org/book.asp?15865","מסכת אמונות ודיעות")</f>
        <v>מסכת אמונות ודיעות</v>
      </c>
    </row>
    <row r="24586" spans="1:6" x14ac:dyDescent="0.2">
      <c r="A24586" t="s">
        <v>39390</v>
      </c>
      <c r="B24586" t="s">
        <v>39391</v>
      </c>
      <c r="C24586" t="s">
        <v>1535</v>
      </c>
      <c r="D24586" t="s">
        <v>39392</v>
      </c>
      <c r="E24586" t="s">
        <v>399</v>
      </c>
      <c r="F24586" s="2" t="str">
        <f>HYPERLINK("http://www.otzar.org/book.asp?63293","מסכת אצילות &lt;גנזי מרומים&gt;")</f>
        <v>מסכת אצילות &lt;גנזי מרומים&gt;</v>
      </c>
    </row>
    <row r="24587" spans="1:6" x14ac:dyDescent="0.2">
      <c r="A24587" t="s">
        <v>39393</v>
      </c>
      <c r="B24587" t="s">
        <v>39394</v>
      </c>
      <c r="C24587" t="s">
        <v>390</v>
      </c>
      <c r="D24587" t="s">
        <v>39395</v>
      </c>
      <c r="F24587" s="2" t="str">
        <f>HYPERLINK("http://www.otzar.org/book.asp?612822","מסכת בבא מציעא &lt;עם תרגום אידיש&gt;")</f>
        <v>מסכת בבא מציעא &lt;עם תרגום אידיש&gt;</v>
      </c>
    </row>
    <row r="24588" spans="1:6" x14ac:dyDescent="0.2">
      <c r="A24588" t="s">
        <v>39396</v>
      </c>
      <c r="B24588" t="s">
        <v>39397</v>
      </c>
      <c r="C24588" t="s">
        <v>1954</v>
      </c>
      <c r="D24588" t="s">
        <v>6782</v>
      </c>
      <c r="E24588" t="s">
        <v>144</v>
      </c>
      <c r="F24588" s="2" t="str">
        <f>HYPERLINK("http://www.otzar.org/book.asp?627389","מסכת בבא מציעא פרק המפקיד תרוגם אנגלי עם ביאור")</f>
        <v>מסכת בבא מציעא פרק המפקיד תרוגם אנגלי עם ביאור</v>
      </c>
    </row>
    <row r="24589" spans="1:6" x14ac:dyDescent="0.2">
      <c r="A24589" t="s">
        <v>39398</v>
      </c>
      <c r="B24589" t="s">
        <v>39394</v>
      </c>
      <c r="C24589" t="s">
        <v>1062</v>
      </c>
      <c r="D24589" t="s">
        <v>39399</v>
      </c>
      <c r="E24589" t="s">
        <v>144</v>
      </c>
      <c r="F24589" s="2" t="str">
        <f>HYPERLINK("http://www.otzar.org/book.asp?158162","מסכת בבא קמא &lt;עם תרגום אידיש&gt;")</f>
        <v>מסכת בבא קמא &lt;עם תרגום אידיש&gt;</v>
      </c>
    </row>
    <row r="24590" spans="1:6" x14ac:dyDescent="0.2">
      <c r="A24590" t="s">
        <v>39400</v>
      </c>
      <c r="B24590" t="s">
        <v>29381</v>
      </c>
      <c r="C24590" t="s">
        <v>989</v>
      </c>
      <c r="D24590" t="s">
        <v>412</v>
      </c>
      <c r="E24590" t="s">
        <v>144</v>
      </c>
      <c r="F24590" s="2" t="str">
        <f>HYPERLINK("http://www.otzar.org/book.asp?624472","מסכת ביצה &lt;עם פירוש יידיש כפי רש""י ומלבי""ם&gt;")</f>
        <v>מסכת ביצה &lt;עם פירוש יידיש כפי רש"י ומלבי"ם&gt;</v>
      </c>
    </row>
    <row r="24591" spans="1:6" x14ac:dyDescent="0.2">
      <c r="A24591" t="s">
        <v>39401</v>
      </c>
      <c r="B24591" t="s">
        <v>39402</v>
      </c>
      <c r="C24591" t="s">
        <v>698</v>
      </c>
      <c r="D24591" t="s">
        <v>3208</v>
      </c>
      <c r="E24591" t="s">
        <v>144</v>
      </c>
      <c r="F24591" s="2" t="str">
        <f>HYPERLINK("http://www.otzar.org/book.asp?626397","מסכת ביצה עם הלכה ברורה")</f>
        <v>מסכת ביצה עם הלכה ברורה</v>
      </c>
    </row>
    <row r="24592" spans="1:6" x14ac:dyDescent="0.2">
      <c r="A24592" t="s">
        <v>39403</v>
      </c>
      <c r="B24592" t="s">
        <v>39404</v>
      </c>
      <c r="C24592" t="s">
        <v>908</v>
      </c>
      <c r="D24592" t="s">
        <v>9</v>
      </c>
      <c r="E24592" t="s">
        <v>144</v>
      </c>
      <c r="F24592" s="2" t="str">
        <f>HYPERLINK("http://www.otzar.org/book.asp?174556","מסכת ביצה")</f>
        <v>מסכת ביצה</v>
      </c>
    </row>
    <row r="24593" spans="1:6" x14ac:dyDescent="0.2">
      <c r="A24593" t="s">
        <v>39405</v>
      </c>
      <c r="B24593" t="s">
        <v>39406</v>
      </c>
      <c r="C24593" t="s">
        <v>3246</v>
      </c>
      <c r="D24593" t="s">
        <v>582</v>
      </c>
      <c r="E24593" t="s">
        <v>144</v>
      </c>
      <c r="F24593" s="2" t="str">
        <f>HYPERLINK("http://www.otzar.org/book.asp?11419","מסכת בכורות &lt;וילנא תרע""ה&gt;")</f>
        <v>מסכת בכורות &lt;וילנא תרע"ה&gt;</v>
      </c>
    </row>
    <row r="24594" spans="1:6" x14ac:dyDescent="0.2">
      <c r="A24594" t="s">
        <v>39407</v>
      </c>
      <c r="B24594" t="s">
        <v>39408</v>
      </c>
      <c r="C24594" t="s">
        <v>1364</v>
      </c>
      <c r="D24594" t="s">
        <v>2293</v>
      </c>
      <c r="E24594" t="s">
        <v>1097</v>
      </c>
      <c r="F24594" s="2" t="str">
        <f>HYPERLINK("http://www.otzar.org/book.asp?150055","מסכת בכורים מן תלמוד ירושלמי עם פירוש ספר הראל")</f>
        <v>מסכת בכורים מן תלמוד ירושלמי עם פירוש ספר הראל</v>
      </c>
    </row>
    <row r="24595" spans="1:6" x14ac:dyDescent="0.2">
      <c r="A24595" t="s">
        <v>39409</v>
      </c>
      <c r="B24595" t="s">
        <v>39408</v>
      </c>
      <c r="C24595" t="s">
        <v>395</v>
      </c>
      <c r="D24595" t="s">
        <v>2293</v>
      </c>
      <c r="E24595" t="s">
        <v>1097</v>
      </c>
      <c r="F24595" s="2" t="str">
        <f>HYPERLINK("http://www.otzar.org/book.asp?200097","מסכת בכורים מן תלמוד ירושלמי")</f>
        <v>מסכת בכורים מן תלמוד ירושלמי</v>
      </c>
    </row>
    <row r="24596" spans="1:6" x14ac:dyDescent="0.2">
      <c r="A24596" t="s">
        <v>39410</v>
      </c>
      <c r="B24596" t="s">
        <v>34076</v>
      </c>
      <c r="C24596" t="s">
        <v>114</v>
      </c>
      <c r="D24596" t="s">
        <v>21</v>
      </c>
      <c r="F24596" s="2" t="str">
        <f>HYPERLINK("http://www.otzar.org/book.asp?196418","מסכת בצורה קלה - 8 כר'")</f>
        <v>מסכת בצורה קלה - 8 כר'</v>
      </c>
    </row>
    <row r="24597" spans="1:6" x14ac:dyDescent="0.2">
      <c r="A24597" t="s">
        <v>39411</v>
      </c>
      <c r="B24597" t="s">
        <v>39412</v>
      </c>
      <c r="C24597" t="s">
        <v>619</v>
      </c>
      <c r="D24597" t="s">
        <v>14</v>
      </c>
      <c r="E24597" t="s">
        <v>144</v>
      </c>
      <c r="F24597" s="2" t="str">
        <f>HYPERLINK("http://www.otzar.org/book.asp?62864","מסכת ברכות &lt;עם סימני ההפסק והערות&gt;")</f>
        <v>מסכת ברכות &lt;עם סימני ההפסק והערות&gt;</v>
      </c>
    </row>
    <row r="24598" spans="1:6" x14ac:dyDescent="0.2">
      <c r="A24598" t="s">
        <v>39413</v>
      </c>
      <c r="B24598" t="s">
        <v>39414</v>
      </c>
      <c r="C24598" t="s">
        <v>649</v>
      </c>
      <c r="D24598" t="s">
        <v>646</v>
      </c>
      <c r="F24598" s="2" t="str">
        <f>HYPERLINK("http://www.otzar.org/book.asp?612878","מסכת ברכות &lt;עם תרגום לאידיש&gt;")</f>
        <v>מסכת ברכות &lt;עם תרגום לאידיש&gt;</v>
      </c>
    </row>
    <row r="24599" spans="1:6" x14ac:dyDescent="0.2">
      <c r="A24599" t="s">
        <v>39415</v>
      </c>
      <c r="B24599" t="s">
        <v>39416</v>
      </c>
      <c r="C24599" t="s">
        <v>812</v>
      </c>
      <c r="D24599" t="s">
        <v>307</v>
      </c>
      <c r="F24599" s="2" t="str">
        <f>HYPERLINK("http://www.otzar.org/book.asp?612876","מסכת ברכות &lt;עם פירוש והערות&gt; - 2 כר'")</f>
        <v>מסכת ברכות &lt;עם פירוש והערות&gt; - 2 כר'</v>
      </c>
    </row>
    <row r="24600" spans="1:6" x14ac:dyDescent="0.2">
      <c r="A24600" t="s">
        <v>39417</v>
      </c>
      <c r="B24600" t="s">
        <v>39418</v>
      </c>
      <c r="C24600" t="s">
        <v>7193</v>
      </c>
      <c r="D24600" t="s">
        <v>1023</v>
      </c>
      <c r="E24600" t="s">
        <v>84</v>
      </c>
      <c r="F24600" s="2" t="str">
        <f>HYPERLINK("http://www.otzar.org/book.asp?164726","מסכת ברכות וסדר מועד")</f>
        <v>מסכת ברכות וסדר מועד</v>
      </c>
    </row>
    <row r="24601" spans="1:6" x14ac:dyDescent="0.2">
      <c r="A24601" t="s">
        <v>39419</v>
      </c>
      <c r="B24601" t="s">
        <v>39420</v>
      </c>
      <c r="E24601" t="s">
        <v>144</v>
      </c>
      <c r="F24601" s="2" t="str">
        <f>HYPERLINK("http://www.otzar.org/book.asp?627421","מסכת ברכות מן הגניזה")</f>
        <v>מסכת ברכות מן הגניזה</v>
      </c>
    </row>
    <row r="24602" spans="1:6" x14ac:dyDescent="0.2">
      <c r="A24602" t="s">
        <v>39421</v>
      </c>
      <c r="B24602" t="s">
        <v>39422</v>
      </c>
      <c r="C24602" t="s">
        <v>39423</v>
      </c>
      <c r="D24602" t="s">
        <v>39424</v>
      </c>
      <c r="E24602" t="s">
        <v>144</v>
      </c>
      <c r="F24602" s="2" t="str">
        <f>HYPERLINK("http://www.otzar.org/book.asp?627422","מסכת ברכות - על פי כתבי יד ודפוסים ראשונים")</f>
        <v>מסכת ברכות - על פי כתבי יד ודפוסים ראשונים</v>
      </c>
    </row>
    <row r="24603" spans="1:6" x14ac:dyDescent="0.2">
      <c r="A24603" t="s">
        <v>39425</v>
      </c>
      <c r="B24603" t="s">
        <v>39426</v>
      </c>
      <c r="C24603" t="s">
        <v>156</v>
      </c>
      <c r="D24603" t="s">
        <v>56</v>
      </c>
      <c r="E24603" t="s">
        <v>144</v>
      </c>
      <c r="F24603" s="2" t="str">
        <f>HYPERLINK("http://www.otzar.org/book.asp?159786","מסכת גיטין &lt;מהרש""א ומהר""ם על הגליון&gt;")</f>
        <v>מסכת גיטין &lt;מהרש"א ומהר"ם על הגליון&gt;</v>
      </c>
    </row>
    <row r="24604" spans="1:6" x14ac:dyDescent="0.2">
      <c r="A24604" t="s">
        <v>39427</v>
      </c>
      <c r="B24604" t="s">
        <v>8357</v>
      </c>
      <c r="C24604" t="s">
        <v>313</v>
      </c>
      <c r="D24604" t="s">
        <v>14</v>
      </c>
      <c r="E24604" t="s">
        <v>1097</v>
      </c>
      <c r="F24604" s="2" t="str">
        <f>HYPERLINK("http://www.otzar.org/book.asp?107380","מסכת גיטין מן תלמוד ירושלמי &lt;מאור השמחה, צבי תפארתו&gt;")</f>
        <v>מסכת גיטין מן תלמוד ירושלמי &lt;מאור השמחה, צבי תפארתו&gt;</v>
      </c>
    </row>
    <row r="24605" spans="1:6" x14ac:dyDescent="0.2">
      <c r="A24605" t="s">
        <v>39428</v>
      </c>
      <c r="B24605" t="s">
        <v>1402</v>
      </c>
      <c r="C24605" t="s">
        <v>20</v>
      </c>
      <c r="D24605" t="s">
        <v>52</v>
      </c>
      <c r="E24605" t="s">
        <v>43</v>
      </c>
      <c r="F24605" s="2" t="str">
        <f>HYPERLINK("http://www.otzar.org/book.asp?157873","מסכת גרים &lt;יאיר נתיבות&gt;")</f>
        <v>מסכת גרים &lt;יאיר נתיבות&gt;</v>
      </c>
    </row>
    <row r="24606" spans="1:6" x14ac:dyDescent="0.2">
      <c r="A24606" t="s">
        <v>39429</v>
      </c>
      <c r="B24606" t="s">
        <v>7604</v>
      </c>
      <c r="C24606" t="s">
        <v>624</v>
      </c>
      <c r="D24606" t="s">
        <v>52</v>
      </c>
      <c r="E24606" t="s">
        <v>43</v>
      </c>
      <c r="F24606" s="2" t="str">
        <f>HYPERLINK("http://www.otzar.org/book.asp?106395","מסכת גרים")</f>
        <v>מסכת גרים</v>
      </c>
    </row>
    <row r="24607" spans="1:6" x14ac:dyDescent="0.2">
      <c r="A24607" t="s">
        <v>39430</v>
      </c>
      <c r="B24607" t="s">
        <v>39431</v>
      </c>
      <c r="C24607" t="s">
        <v>1246</v>
      </c>
      <c r="D24607" t="s">
        <v>27</v>
      </c>
      <c r="E24607" t="s">
        <v>1108</v>
      </c>
      <c r="F24607" s="2" t="str">
        <f>HYPERLINK("http://www.otzar.org/book.asp?423","מסכת דמאי ומעשר שני מן תלמוד ירושלמי")</f>
        <v>מסכת דמאי ומעשר שני מן תלמוד ירושלמי</v>
      </c>
    </row>
    <row r="24608" spans="1:6" x14ac:dyDescent="0.2">
      <c r="A24608" t="s">
        <v>39432</v>
      </c>
      <c r="B24608" t="s">
        <v>39433</v>
      </c>
      <c r="C24608" t="s">
        <v>23875</v>
      </c>
      <c r="D24608" t="s">
        <v>1023</v>
      </c>
      <c r="E24608" t="s">
        <v>1626</v>
      </c>
      <c r="F24608" s="2" t="str">
        <f>HYPERLINK("http://www.otzar.org/book.asp?62147","מסכת דרך ארץ &lt;תפילות מטבעות ומורה דרך&gt;")</f>
        <v>מסכת דרך ארץ &lt;תפילות מטבעות ומורה דרך&gt;</v>
      </c>
    </row>
    <row r="24609" spans="1:6" x14ac:dyDescent="0.2">
      <c r="A24609" t="s">
        <v>39434</v>
      </c>
      <c r="B24609" t="s">
        <v>1821</v>
      </c>
      <c r="C24609" t="s">
        <v>383</v>
      </c>
      <c r="D24609" t="s">
        <v>14</v>
      </c>
      <c r="E24609" t="s">
        <v>43</v>
      </c>
      <c r="F24609" s="2" t="str">
        <f>HYPERLINK("http://www.otzar.org/book.asp?105931","מסכת דרך ארץ רבה &lt;נוסחת הגר""א&gt;")</f>
        <v>מסכת דרך ארץ רבה &lt;נוסחת הגר"א&gt;</v>
      </c>
    </row>
    <row r="24610" spans="1:6" x14ac:dyDescent="0.2">
      <c r="A24610" t="s">
        <v>39435</v>
      </c>
      <c r="B24610" t="s">
        <v>35351</v>
      </c>
      <c r="C24610" t="s">
        <v>51</v>
      </c>
      <c r="D24610" t="s">
        <v>52</v>
      </c>
      <c r="E24610" t="s">
        <v>43</v>
      </c>
      <c r="F24610" s="2" t="str">
        <f>HYPERLINK("http://www.otzar.org/book.asp?188816","מסכת דרך ארץ רבה &lt;דרך הרבים - דרך היחיד&gt;")</f>
        <v>מסכת דרך ארץ רבה &lt;דרך הרבים - דרך היחיד&gt;</v>
      </c>
    </row>
    <row r="24611" spans="1:6" x14ac:dyDescent="0.2">
      <c r="A24611" t="s">
        <v>39436</v>
      </c>
      <c r="B24611" t="s">
        <v>39437</v>
      </c>
      <c r="C24611" t="s">
        <v>20</v>
      </c>
      <c r="D24611" t="s">
        <v>39438</v>
      </c>
      <c r="E24611" t="s">
        <v>144</v>
      </c>
      <c r="F24611" s="2" t="str">
        <f>HYPERLINK("http://www.otzar.org/book.asp?604471","מסכת הוריות &lt;חלקת משה&gt;")</f>
        <v>מסכת הוריות &lt;חלקת משה&gt;</v>
      </c>
    </row>
    <row r="24612" spans="1:6" x14ac:dyDescent="0.2">
      <c r="A24612" t="s">
        <v>39439</v>
      </c>
      <c r="B24612" t="s">
        <v>39440</v>
      </c>
      <c r="C24612" t="s">
        <v>189</v>
      </c>
      <c r="D24612" t="s">
        <v>412</v>
      </c>
      <c r="E24612" t="s">
        <v>674</v>
      </c>
      <c r="F24612" s="2" t="str">
        <f>HYPERLINK("http://www.otzar.org/book.asp?198287","מסכת הלכה למשה מסיני &lt;מהדורה חדשה&gt;")</f>
        <v>מסכת הלכה למשה מסיני &lt;מהדורה חדשה&gt;</v>
      </c>
    </row>
    <row r="24613" spans="1:6" x14ac:dyDescent="0.2">
      <c r="A24613" t="s">
        <v>39441</v>
      </c>
      <c r="B24613" t="s">
        <v>39440</v>
      </c>
      <c r="C24613" t="s">
        <v>9914</v>
      </c>
      <c r="D24613" t="s">
        <v>1023</v>
      </c>
      <c r="E24613" t="s">
        <v>104</v>
      </c>
      <c r="F24613" s="2" t="str">
        <f>HYPERLINK("http://www.otzar.org/book.asp?105050","מסכת הלכה למשה מסיני")</f>
        <v>מסכת הלכה למשה מסיני</v>
      </c>
    </row>
    <row r="24614" spans="1:6" x14ac:dyDescent="0.2">
      <c r="A24614" t="s">
        <v>39442</v>
      </c>
      <c r="B24614" t="s">
        <v>29381</v>
      </c>
      <c r="C24614" t="s">
        <v>989</v>
      </c>
      <c r="D24614" t="s">
        <v>14</v>
      </c>
      <c r="E24614" t="s">
        <v>144</v>
      </c>
      <c r="F24614" s="2" t="str">
        <f>HYPERLINK("http://www.otzar.org/book.asp?148521","מסכת זבחים &lt;עם פירוש יידיש כפי רש""י ומלבי""ם&gt;")</f>
        <v>מסכת זבחים &lt;עם פירוש יידיש כפי רש"י ומלבי"ם&gt;</v>
      </c>
    </row>
    <row r="24615" spans="1:6" x14ac:dyDescent="0.2">
      <c r="A24615" t="s">
        <v>39443</v>
      </c>
      <c r="B24615" t="s">
        <v>39444</v>
      </c>
      <c r="C24615" t="s">
        <v>71</v>
      </c>
      <c r="D24615" t="s">
        <v>14</v>
      </c>
      <c r="E24615" t="s">
        <v>144</v>
      </c>
      <c r="F24615" s="2" t="str">
        <f>HYPERLINK("http://www.otzar.org/book.asp?106177","מסכת זבחים &lt;זכר חנוך&gt;")</f>
        <v>מסכת זבחים &lt;זכר חנוך&gt;</v>
      </c>
    </row>
    <row r="24616" spans="1:6" x14ac:dyDescent="0.2">
      <c r="A24616" t="s">
        <v>39445</v>
      </c>
      <c r="B24616" t="s">
        <v>39446</v>
      </c>
      <c r="F24616" s="2" t="str">
        <f>HYPERLINK("http://www.otzar.org/book.asp?627419","מסכת חגיגה")</f>
        <v>מסכת חגיגה</v>
      </c>
    </row>
    <row r="24617" spans="1:6" x14ac:dyDescent="0.2">
      <c r="A24617" t="s">
        <v>39447</v>
      </c>
      <c r="B24617" t="s">
        <v>29381</v>
      </c>
      <c r="C24617" t="s">
        <v>237</v>
      </c>
      <c r="D24617" t="s">
        <v>412</v>
      </c>
      <c r="E24617" t="s">
        <v>144</v>
      </c>
      <c r="F24617" s="2" t="str">
        <f>HYPERLINK("http://www.otzar.org/book.asp?5500","מסכת חולין &lt;עם פירוש יידיש כפי רש""י ומלבי""ם&gt;")</f>
        <v>מסכת חולין &lt;עם פירוש יידיש כפי רש"י ומלבי"ם&gt;</v>
      </c>
    </row>
    <row r="24618" spans="1:6" x14ac:dyDescent="0.2">
      <c r="A24618" t="s">
        <v>39448</v>
      </c>
      <c r="B24618" t="s">
        <v>39449</v>
      </c>
      <c r="C24618" t="s">
        <v>454</v>
      </c>
      <c r="D24618" t="s">
        <v>14</v>
      </c>
      <c r="E24618" t="s">
        <v>84</v>
      </c>
      <c r="F24618" s="2" t="str">
        <f>HYPERLINK("http://www.otzar.org/book.asp?141819","מסכת חלה עם שיעורי חלה")</f>
        <v>מסכת חלה עם שיעורי חלה</v>
      </c>
    </row>
    <row r="24619" spans="1:6" x14ac:dyDescent="0.2">
      <c r="A24619" t="s">
        <v>39450</v>
      </c>
      <c r="B24619" t="s">
        <v>39387</v>
      </c>
      <c r="C24619" t="s">
        <v>23</v>
      </c>
      <c r="D24619" t="s">
        <v>14</v>
      </c>
      <c r="E24619" t="s">
        <v>84</v>
      </c>
      <c r="F24619" s="2" t="str">
        <f>HYPERLINK("http://www.otzar.org/book.asp?199145","מסכת טהרות עם פירושי הראשונים והאחרונים")</f>
        <v>מסכת טהרות עם פירושי הראשונים והאחרונים</v>
      </c>
    </row>
    <row r="24620" spans="1:6" x14ac:dyDescent="0.2">
      <c r="A24620" t="s">
        <v>39451</v>
      </c>
      <c r="B24620" t="s">
        <v>39452</v>
      </c>
      <c r="C24620" t="s">
        <v>1228</v>
      </c>
      <c r="D24620" t="s">
        <v>100</v>
      </c>
      <c r="E24620" t="s">
        <v>1097</v>
      </c>
      <c r="F24620" s="2" t="str">
        <f>HYPERLINK("http://www.otzar.org/book.asp?151124","מסכת יבמות מן תלמוד ירושלמי &lt;חשק שלמה&gt;")</f>
        <v>מסכת יבמות מן תלמוד ירושלמי &lt;חשק שלמה&gt;</v>
      </c>
    </row>
    <row r="24621" spans="1:6" x14ac:dyDescent="0.2">
      <c r="A24621" t="s">
        <v>39453</v>
      </c>
      <c r="B24621" t="s">
        <v>39454</v>
      </c>
      <c r="C24621" t="s">
        <v>523</v>
      </c>
      <c r="D24621" t="s">
        <v>115</v>
      </c>
      <c r="E24621" t="s">
        <v>84</v>
      </c>
      <c r="F24621" s="2" t="str">
        <f>HYPERLINK("http://www.otzar.org/book.asp?144959","מסכת יום טוב פרק שלישי - נוסחאות")</f>
        <v>מסכת יום טוב פרק שלישי - נוסחאות</v>
      </c>
    </row>
    <row r="24622" spans="1:6" x14ac:dyDescent="0.2">
      <c r="A24622" t="s">
        <v>39455</v>
      </c>
      <c r="B24622" t="s">
        <v>39456</v>
      </c>
      <c r="C24622" t="s">
        <v>366</v>
      </c>
      <c r="D24622" t="s">
        <v>21</v>
      </c>
      <c r="E24622" t="s">
        <v>15</v>
      </c>
      <c r="F24622" s="2" t="str">
        <f>HYPERLINK("http://www.otzar.org/book.asp?608145","מסכת ייני")</f>
        <v>מסכת ייני</v>
      </c>
    </row>
    <row r="24623" spans="1:6" x14ac:dyDescent="0.2">
      <c r="A24623" t="s">
        <v>39457</v>
      </c>
      <c r="B24623" t="s">
        <v>7604</v>
      </c>
      <c r="C24623" t="s">
        <v>1640</v>
      </c>
      <c r="D24623" t="s">
        <v>52</v>
      </c>
      <c r="E24623" t="s">
        <v>43</v>
      </c>
      <c r="F24623" s="2" t="str">
        <f>HYPERLINK("http://www.otzar.org/book.asp?6381","מסכת כותים &lt;מצרף ומטהר&gt;")</f>
        <v>מסכת כותים &lt;מצרף ומטהר&gt;</v>
      </c>
    </row>
    <row r="24624" spans="1:6" x14ac:dyDescent="0.2">
      <c r="A24624" t="s">
        <v>39458</v>
      </c>
      <c r="B24624" t="s">
        <v>39459</v>
      </c>
      <c r="C24624" t="s">
        <v>114</v>
      </c>
      <c r="D24624" t="s">
        <v>14</v>
      </c>
      <c r="E24624" t="s">
        <v>43</v>
      </c>
      <c r="F24624" s="2" t="str">
        <f>HYPERLINK("http://www.otzar.org/book.asp?158195","מסכת כותים - עם פירושים ונוסחאות")</f>
        <v>מסכת כותים - עם פירושים ונוסחאות</v>
      </c>
    </row>
    <row r="24625" spans="1:6" x14ac:dyDescent="0.2">
      <c r="A24625" t="s">
        <v>39460</v>
      </c>
      <c r="B24625" t="s">
        <v>39461</v>
      </c>
      <c r="C24625" t="s">
        <v>1036</v>
      </c>
      <c r="D24625" t="s">
        <v>164</v>
      </c>
      <c r="E24625" t="s">
        <v>64</v>
      </c>
      <c r="F24625" s="2" t="str">
        <f>HYPERLINK("http://www.otzar.org/book.asp?200017","מסכת כלה &lt;הגהות הגר""א, קהלות יעקב&gt;")</f>
        <v>מסכת כלה &lt;הגהות הגר"א, קהלות יעקב&gt;</v>
      </c>
    </row>
    <row r="24626" spans="1:6" x14ac:dyDescent="0.2">
      <c r="A24626" t="s">
        <v>39462</v>
      </c>
      <c r="B24626" t="s">
        <v>39463</v>
      </c>
      <c r="C24626" t="s">
        <v>37</v>
      </c>
      <c r="D24626" t="s">
        <v>14</v>
      </c>
      <c r="E24626" t="s">
        <v>43</v>
      </c>
      <c r="F24626" s="2" t="str">
        <f>HYPERLINK("http://www.otzar.org/book.asp?180155","מסכת כלה &lt;כלה נאה&gt;")</f>
        <v>מסכת כלה &lt;כלה נאה&gt;</v>
      </c>
    </row>
    <row r="24627" spans="1:6" x14ac:dyDescent="0.2">
      <c r="A24627" t="s">
        <v>39464</v>
      </c>
      <c r="B24627" t="s">
        <v>1402</v>
      </c>
      <c r="C24627" t="s">
        <v>422</v>
      </c>
      <c r="D24627" t="s">
        <v>52</v>
      </c>
      <c r="E24627" t="s">
        <v>43</v>
      </c>
      <c r="F24627" s="2" t="str">
        <f>HYPERLINK("http://www.otzar.org/book.asp?157875","מסכת כלה עם ביאור תואר כלה")</f>
        <v>מסכת כלה עם ביאור תואר כלה</v>
      </c>
    </row>
    <row r="24628" spans="1:6" x14ac:dyDescent="0.2">
      <c r="A24628" t="s">
        <v>39465</v>
      </c>
      <c r="B24628" t="s">
        <v>39466</v>
      </c>
      <c r="C24628" t="s">
        <v>454</v>
      </c>
      <c r="D24628" t="s">
        <v>14</v>
      </c>
      <c r="E24628" t="s">
        <v>43</v>
      </c>
      <c r="F24628" s="2" t="str">
        <f>HYPERLINK("http://www.otzar.org/book.asp?161086","מסכת כלה עם גדולת מרדכי וקריאה נעימה")</f>
        <v>מסכת כלה עם גדולת מרדכי וקריאה נעימה</v>
      </c>
    </row>
    <row r="24629" spans="1:6" x14ac:dyDescent="0.2">
      <c r="A24629" t="s">
        <v>39467</v>
      </c>
      <c r="B24629" t="s">
        <v>39468</v>
      </c>
      <c r="C24629" t="s">
        <v>6062</v>
      </c>
      <c r="D24629" t="s">
        <v>1833</v>
      </c>
      <c r="E24629" t="s">
        <v>43</v>
      </c>
      <c r="F24629" s="2" t="str">
        <f>HYPERLINK("http://www.otzar.org/book.asp?83611","מסכת כלה עם גדולת מרדכי")</f>
        <v>מסכת כלה עם גדולת מרדכי</v>
      </c>
    </row>
    <row r="24630" spans="1:6" x14ac:dyDescent="0.2">
      <c r="A24630" t="s">
        <v>39469</v>
      </c>
      <c r="B24630" t="s">
        <v>39470</v>
      </c>
      <c r="C24630" t="s">
        <v>558</v>
      </c>
      <c r="D24630" t="s">
        <v>27</v>
      </c>
      <c r="E24630" t="s">
        <v>43</v>
      </c>
      <c r="F24630" s="2" t="str">
        <f>HYPERLINK("http://www.otzar.org/book.asp?725","מסכת כלה רבתי והברייתא עם פי' לחם שערים")</f>
        <v>מסכת כלה רבתי והברייתא עם פי' לחם שערים</v>
      </c>
    </row>
    <row r="24631" spans="1:6" x14ac:dyDescent="0.2">
      <c r="A24631" t="s">
        <v>39471</v>
      </c>
      <c r="B24631" t="s">
        <v>39472</v>
      </c>
      <c r="C24631" t="s">
        <v>1706</v>
      </c>
      <c r="D24631" t="s">
        <v>56</v>
      </c>
      <c r="E24631" t="s">
        <v>43</v>
      </c>
      <c r="F24631" s="2" t="str">
        <f>HYPERLINK("http://www.otzar.org/book.asp?172266","מסכת כלה רבתי עם ביאור מעין גנים")</f>
        <v>מסכת כלה רבתי עם ביאור מעין גנים</v>
      </c>
    </row>
    <row r="24632" spans="1:6" x14ac:dyDescent="0.2">
      <c r="A24632" t="s">
        <v>39473</v>
      </c>
      <c r="B24632" t="s">
        <v>7604</v>
      </c>
      <c r="C24632" t="s">
        <v>114</v>
      </c>
      <c r="D24632" t="s">
        <v>52</v>
      </c>
      <c r="E24632" t="s">
        <v>43</v>
      </c>
      <c r="F24632" s="2" t="str">
        <f>HYPERLINK("http://www.otzar.org/book.asp?176380","מסכת כלה רבתי עם ביאור ר' חיים קנייבסקי")</f>
        <v>מסכת כלה רבתי עם ביאור ר' חיים קנייבסקי</v>
      </c>
    </row>
    <row r="24633" spans="1:6" x14ac:dyDescent="0.2">
      <c r="A24633" t="s">
        <v>39474</v>
      </c>
      <c r="B24633" t="s">
        <v>39475</v>
      </c>
      <c r="C24633" t="s">
        <v>11383</v>
      </c>
      <c r="D24633" t="s">
        <v>403</v>
      </c>
      <c r="E24633" t="s">
        <v>43</v>
      </c>
      <c r="F24633" s="2" t="str">
        <f>HYPERLINK("http://www.otzar.org/book.asp?104356","מסכת כלה")</f>
        <v>מסכת כלה</v>
      </c>
    </row>
    <row r="24634" spans="1:6" x14ac:dyDescent="0.2">
      <c r="A24634" t="s">
        <v>39476</v>
      </c>
      <c r="B24634" t="s">
        <v>39477</v>
      </c>
      <c r="C24634" t="s">
        <v>37</v>
      </c>
      <c r="D24634" t="s">
        <v>14</v>
      </c>
      <c r="E24634" t="s">
        <v>84</v>
      </c>
      <c r="F24634" s="2" t="str">
        <f>HYPERLINK("http://www.otzar.org/book.asp?181905","מסכת כלים &lt;ניב שפתים&gt;")</f>
        <v>מסכת כלים &lt;ניב שפתים&gt;</v>
      </c>
    </row>
    <row r="24635" spans="1:6" x14ac:dyDescent="0.2">
      <c r="A24635" t="s">
        <v>39478</v>
      </c>
      <c r="B24635" t="s">
        <v>39479</v>
      </c>
      <c r="C24635" t="s">
        <v>2550</v>
      </c>
      <c r="D24635" t="s">
        <v>3214</v>
      </c>
      <c r="E24635" t="s">
        <v>1211</v>
      </c>
      <c r="F24635" s="2" t="str">
        <f>HYPERLINK("http://www.otzar.org/book.asp?200028","מסכת מגילה ומסכת מועד קטן &lt;עפ""י כת""י תימני&gt;")</f>
        <v>מסכת מגילה ומסכת מועד קטן &lt;עפ"י כת"י תימני&gt;</v>
      </c>
    </row>
    <row r="24636" spans="1:6" x14ac:dyDescent="0.2">
      <c r="A24636" t="s">
        <v>39480</v>
      </c>
      <c r="B24636" t="s">
        <v>39481</v>
      </c>
      <c r="C24636" t="s">
        <v>189</v>
      </c>
      <c r="D24636" t="s">
        <v>52</v>
      </c>
      <c r="E24636" t="s">
        <v>84</v>
      </c>
      <c r="F24636" s="2" t="str">
        <f>HYPERLINK("http://www.otzar.org/book.asp?149754","מסכת מדות מפורשת")</f>
        <v>מסכת מדות מפורשת</v>
      </c>
    </row>
    <row r="24637" spans="1:6" x14ac:dyDescent="0.2">
      <c r="A24637" t="s">
        <v>39482</v>
      </c>
      <c r="B24637" t="s">
        <v>39483</v>
      </c>
      <c r="C24637" t="s">
        <v>1268</v>
      </c>
      <c r="D24637" t="s">
        <v>412</v>
      </c>
      <c r="E24637" t="s">
        <v>84</v>
      </c>
      <c r="F24637" s="2" t="str">
        <f>HYPERLINK("http://www.otzar.org/book.asp?606195","מסכת מדות ע""פ בצרפתית")</f>
        <v>מסכת מדות ע"פ בצרפתית</v>
      </c>
    </row>
    <row r="24638" spans="1:6" x14ac:dyDescent="0.2">
      <c r="A24638" t="s">
        <v>39484</v>
      </c>
      <c r="B24638" t="s">
        <v>39485</v>
      </c>
      <c r="C24638" t="s">
        <v>59</v>
      </c>
      <c r="D24638" t="s">
        <v>27594</v>
      </c>
      <c r="E24638" t="s">
        <v>144</v>
      </c>
      <c r="F24638" s="2" t="str">
        <f>HYPERLINK("http://www.otzar.org/book.asp?85124","מסכת מכות &lt;אור נגה&gt;")</f>
        <v>מסכת מכות &lt;אור נגה&gt;</v>
      </c>
    </row>
    <row r="24639" spans="1:6" x14ac:dyDescent="0.2">
      <c r="A24639" t="s">
        <v>39486</v>
      </c>
      <c r="B24639" t="s">
        <v>39487</v>
      </c>
      <c r="C24639" t="s">
        <v>429</v>
      </c>
      <c r="D24639" t="s">
        <v>1459</v>
      </c>
      <c r="E24639" t="s">
        <v>144</v>
      </c>
      <c r="F24639" s="2" t="str">
        <f>HYPERLINK("http://www.otzar.org/book.asp?200035","מסכת מכות &lt;מהדורה ביקורתית&gt;")</f>
        <v>מסכת מכות &lt;מהדורה ביקורתית&gt;</v>
      </c>
    </row>
    <row r="24640" spans="1:6" x14ac:dyDescent="0.2">
      <c r="A24640" t="s">
        <v>39488</v>
      </c>
      <c r="B24640" t="s">
        <v>4617</v>
      </c>
      <c r="C24640" t="s">
        <v>4404</v>
      </c>
      <c r="D24640" t="s">
        <v>2714</v>
      </c>
      <c r="E24640" t="s">
        <v>2088</v>
      </c>
      <c r="F24640" s="2" t="str">
        <f>HYPERLINK("http://www.otzar.org/book.asp?101933","מסכת מכות &lt;שער אשר, גבול אשר&gt;")</f>
        <v>מסכת מכות &lt;שער אשר, גבול אשר&gt;</v>
      </c>
    </row>
    <row r="24641" spans="1:6" x14ac:dyDescent="0.2">
      <c r="A24641" t="s">
        <v>39489</v>
      </c>
      <c r="B24641" t="s">
        <v>39490</v>
      </c>
      <c r="C24641" t="s">
        <v>224</v>
      </c>
      <c r="D24641" t="s">
        <v>14</v>
      </c>
      <c r="E24641" t="s">
        <v>144</v>
      </c>
      <c r="F24641" s="2" t="str">
        <f>HYPERLINK("http://www.otzar.org/book.asp?7534","מסכת מכות &lt;עם סימני ההפסק והערות&gt;")</f>
        <v>מסכת מכות &lt;עם סימני ההפסק והערות&gt;</v>
      </c>
    </row>
    <row r="24642" spans="1:6" x14ac:dyDescent="0.2">
      <c r="A24642" t="s">
        <v>39491</v>
      </c>
      <c r="B24642" t="s">
        <v>29381</v>
      </c>
      <c r="C24642" t="s">
        <v>46</v>
      </c>
      <c r="D24642" t="s">
        <v>412</v>
      </c>
      <c r="E24642" t="s">
        <v>39492</v>
      </c>
      <c r="F24642" s="2" t="str">
        <f>HYPERLINK("http://www.otzar.org/book.asp?5453","מסכת מכות &lt;עם פירוש יידיש כפי רש""י ומלבי""ם&gt;")</f>
        <v>מסכת מכות &lt;עם פירוש יידיש כפי רש"י ומלבי"ם&gt;</v>
      </c>
    </row>
    <row r="24643" spans="1:6" x14ac:dyDescent="0.2">
      <c r="A24643" t="s">
        <v>39493</v>
      </c>
      <c r="B24643" t="s">
        <v>39494</v>
      </c>
      <c r="C24643" t="s">
        <v>383</v>
      </c>
      <c r="D24643" t="s">
        <v>14</v>
      </c>
      <c r="E24643" t="s">
        <v>1097</v>
      </c>
      <c r="F24643" s="2" t="str">
        <f>HYPERLINK("http://www.otzar.org/book.asp?178938","מסכת מכות מתלמוד ירושלמי עם ביאור")</f>
        <v>מסכת מכות מתלמוד ירושלמי עם ביאור</v>
      </c>
    </row>
    <row r="24644" spans="1:6" x14ac:dyDescent="0.2">
      <c r="A24644" t="s">
        <v>39495</v>
      </c>
      <c r="B24644" t="s">
        <v>21104</v>
      </c>
      <c r="C24644" t="s">
        <v>114</v>
      </c>
      <c r="D24644" t="s">
        <v>52</v>
      </c>
      <c r="F24644" s="2" t="str">
        <f>HYPERLINK("http://www.otzar.org/book.asp?164165","מסכת מכות עם קיצור דברי רש""י ותוס'")</f>
        <v>מסכת מכות עם קיצור דברי רש"י ותוס'</v>
      </c>
    </row>
    <row r="24645" spans="1:6" x14ac:dyDescent="0.2">
      <c r="A24645" t="s">
        <v>39496</v>
      </c>
      <c r="B24645" t="s">
        <v>10980</v>
      </c>
      <c r="C24645" t="s">
        <v>812</v>
      </c>
      <c r="D24645" t="s">
        <v>39497</v>
      </c>
      <c r="E24645" t="s">
        <v>39498</v>
      </c>
      <c r="F24645" s="2" t="str">
        <f>HYPERLINK("http://www.otzar.org/book.asp?181303","מסכת מקואות")</f>
        <v>מסכת מקואות</v>
      </c>
    </row>
    <row r="24646" spans="1:6" x14ac:dyDescent="0.2">
      <c r="A24646" t="s">
        <v>39499</v>
      </c>
      <c r="B24646" t="s">
        <v>5651</v>
      </c>
      <c r="C24646" t="s">
        <v>411</v>
      </c>
      <c r="D24646" t="s">
        <v>14</v>
      </c>
      <c r="F24646" s="2" t="str">
        <f>HYPERLINK("http://www.otzar.org/book.asp?169490","מסכת מקוואות ע""פ הר""ש &lt;כנסת ישראל&gt;")</f>
        <v>מסכת מקוואות ע"פ הר"ש &lt;כנסת ישראל&gt;</v>
      </c>
    </row>
    <row r="24647" spans="1:6" x14ac:dyDescent="0.2">
      <c r="A24647" t="s">
        <v>39500</v>
      </c>
      <c r="B24647" t="s">
        <v>39501</v>
      </c>
      <c r="C24647" t="s">
        <v>411</v>
      </c>
      <c r="D24647" t="s">
        <v>14</v>
      </c>
      <c r="E24647" t="s">
        <v>84</v>
      </c>
      <c r="F24647" s="2" t="str">
        <f>HYPERLINK("http://www.otzar.org/book.asp?179745","מסכת מקוואות")</f>
        <v>מסכת מקוואות</v>
      </c>
    </row>
    <row r="24648" spans="1:6" x14ac:dyDescent="0.2">
      <c r="A24648" t="s">
        <v>39502</v>
      </c>
      <c r="B24648" t="s">
        <v>39503</v>
      </c>
      <c r="C24648" t="s">
        <v>133</v>
      </c>
      <c r="D24648" t="s">
        <v>412</v>
      </c>
      <c r="E24648" t="s">
        <v>84</v>
      </c>
      <c r="F24648" s="2" t="str">
        <f>HYPERLINK("http://www.otzar.org/book.asp?171662","מסכת נגעים עם  מראות נגעים")</f>
        <v>מסכת נגעים עם  מראות נגעים</v>
      </c>
    </row>
    <row r="24649" spans="1:6" x14ac:dyDescent="0.2">
      <c r="A24649" t="s">
        <v>39504</v>
      </c>
      <c r="B24649" t="s">
        <v>39505</v>
      </c>
      <c r="C24649" t="s">
        <v>411</v>
      </c>
      <c r="D24649" t="s">
        <v>14</v>
      </c>
      <c r="E24649" t="s">
        <v>84</v>
      </c>
      <c r="F24649" s="2" t="str">
        <f>HYPERLINK("http://www.otzar.org/book.asp?165122","מסכת נגעים עם פירושי הראשונים והאחרונים")</f>
        <v>מסכת נגעים עם פירושי הראשונים והאחרונים</v>
      </c>
    </row>
    <row r="24650" spans="1:6" x14ac:dyDescent="0.2">
      <c r="A24650" t="s">
        <v>39504</v>
      </c>
      <c r="B24650" t="s">
        <v>39387</v>
      </c>
      <c r="C24650" t="s">
        <v>411</v>
      </c>
      <c r="D24650" t="s">
        <v>14</v>
      </c>
      <c r="E24650" t="s">
        <v>84</v>
      </c>
      <c r="F24650" s="2" t="str">
        <f>HYPERLINK("http://www.otzar.org/book.asp?199146","מסכת נגעים עם פירושי הראשונים והאחרונים")</f>
        <v>מסכת נגעים עם פירושי הראשונים והאחרונים</v>
      </c>
    </row>
    <row r="24651" spans="1:6" x14ac:dyDescent="0.2">
      <c r="A24651" t="s">
        <v>39506</v>
      </c>
      <c r="B24651" t="s">
        <v>39507</v>
      </c>
      <c r="C24651" t="s">
        <v>1937</v>
      </c>
      <c r="D24651" t="s">
        <v>39508</v>
      </c>
      <c r="E24651" t="s">
        <v>803</v>
      </c>
      <c r="F24651" s="2" t="str">
        <f>HYPERLINK("http://www.otzar.org/book.asp?84520","מסכת נדה &lt;פסקי הרא""ש, פתחי נדה, מקור הלכה&gt;")</f>
        <v>מסכת נדה &lt;פסקי הרא"ש, פתחי נדה, מקור הלכה&gt;</v>
      </c>
    </row>
    <row r="24652" spans="1:6" x14ac:dyDescent="0.2">
      <c r="A24652" t="s">
        <v>39509</v>
      </c>
      <c r="B24652" t="s">
        <v>39510</v>
      </c>
      <c r="C24652" t="s">
        <v>224</v>
      </c>
      <c r="D24652" t="s">
        <v>14</v>
      </c>
      <c r="E24652" t="s">
        <v>2088</v>
      </c>
      <c r="F24652" s="2" t="str">
        <f>HYPERLINK("http://www.otzar.org/book.asp?10213","מסכת נזיר &lt;פירוש הרא""ש ופירוש האביב&gt;")</f>
        <v>מסכת נזיר &lt;פירוש הרא"ש ופירוש האביב&gt;</v>
      </c>
    </row>
    <row r="24653" spans="1:6" x14ac:dyDescent="0.2">
      <c r="A24653" t="s">
        <v>39511</v>
      </c>
      <c r="B24653" t="s">
        <v>39512</v>
      </c>
      <c r="C24653" t="s">
        <v>151</v>
      </c>
      <c r="D24653" t="s">
        <v>14</v>
      </c>
      <c r="F24653" s="2" t="str">
        <f>HYPERLINK("http://www.otzar.org/book.asp?617866","מסכת סופרים &lt;מהדורת מכון קרן רא""ם&gt;")</f>
        <v>מסכת סופרים &lt;מהדורת מכון קרן רא"ם&gt;</v>
      </c>
    </row>
    <row r="24654" spans="1:6" x14ac:dyDescent="0.2">
      <c r="A24654" t="s">
        <v>39513</v>
      </c>
      <c r="B24654" t="s">
        <v>16370</v>
      </c>
      <c r="C24654" t="s">
        <v>75</v>
      </c>
      <c r="D24654" t="s">
        <v>39514</v>
      </c>
      <c r="E24654" t="s">
        <v>43</v>
      </c>
      <c r="F24654" s="2" t="str">
        <f>HYPERLINK("http://www.otzar.org/book.asp?8746","מסכת סופרים &lt;הגהות הגר""א מקרא ועיטור סופרים&gt;")</f>
        <v>מסכת סופרים &lt;הגהות הגר"א מקרא ועיטור סופרים&gt;</v>
      </c>
    </row>
    <row r="24655" spans="1:6" x14ac:dyDescent="0.2">
      <c r="A24655" t="s">
        <v>39515</v>
      </c>
      <c r="B24655" t="s">
        <v>39516</v>
      </c>
      <c r="C24655" t="s">
        <v>1619</v>
      </c>
      <c r="D24655" t="s">
        <v>14</v>
      </c>
      <c r="E24655" t="s">
        <v>43</v>
      </c>
      <c r="F24655" s="2" t="str">
        <f>HYPERLINK("http://www.otzar.org/book.asp?103324","מסכת סופרים &lt;נחלת אריאל - מעון אריות&gt;")</f>
        <v>מסכת סופרים &lt;נחלת אריאל - מעון אריות&gt;</v>
      </c>
    </row>
    <row r="24656" spans="1:6" x14ac:dyDescent="0.2">
      <c r="A24656" t="s">
        <v>39517</v>
      </c>
      <c r="B24656" t="s">
        <v>39518</v>
      </c>
      <c r="C24656" t="s">
        <v>17</v>
      </c>
      <c r="D24656" t="s">
        <v>14</v>
      </c>
      <c r="E24656" t="s">
        <v>43</v>
      </c>
      <c r="F24656" s="2" t="str">
        <f>HYPERLINK("http://www.otzar.org/book.asp?106167","מסכת סופרים לפי נוסחת הגר""א &lt;ביאורי סופרים&gt;")</f>
        <v>מסכת סופרים לפי נוסחת הגר"א &lt;ביאורי סופרים&gt;</v>
      </c>
    </row>
    <row r="24657" spans="1:6" x14ac:dyDescent="0.2">
      <c r="A24657" t="s">
        <v>39519</v>
      </c>
      <c r="B24657" t="s">
        <v>39520</v>
      </c>
      <c r="C24657" t="s">
        <v>576</v>
      </c>
      <c r="D24657" t="s">
        <v>9</v>
      </c>
      <c r="E24657" t="s">
        <v>64</v>
      </c>
      <c r="F24657" s="2" t="str">
        <f>HYPERLINK("http://www.otzar.org/book.asp?103479","מסכת סופרים")</f>
        <v>מסכת סופרים</v>
      </c>
    </row>
    <row r="24658" spans="1:6" x14ac:dyDescent="0.2">
      <c r="A24658" t="s">
        <v>39521</v>
      </c>
      <c r="B24658" t="s">
        <v>7604</v>
      </c>
      <c r="C24658" t="s">
        <v>624</v>
      </c>
      <c r="D24658" t="s">
        <v>52</v>
      </c>
      <c r="E24658" t="s">
        <v>43</v>
      </c>
      <c r="F24658" s="2" t="str">
        <f>HYPERLINK("http://www.otzar.org/book.asp?106393","מסכת ספר תורה")</f>
        <v>מסכת ספר תורה</v>
      </c>
    </row>
    <row r="24659" spans="1:6" x14ac:dyDescent="0.2">
      <c r="A24659" t="s">
        <v>39522</v>
      </c>
      <c r="B24659" t="s">
        <v>39523</v>
      </c>
      <c r="C24659" t="s">
        <v>635</v>
      </c>
      <c r="D24659" t="s">
        <v>1279</v>
      </c>
      <c r="E24659" t="s">
        <v>64</v>
      </c>
      <c r="F24659" s="2" t="str">
        <f>HYPERLINK("http://www.otzar.org/book.asp?200023","מסכת ספרים, פירקא דרבנו הקדוש, ברייתא דישועה")</f>
        <v>מסכת ספרים, פירקא דרבנו הקדוש, ברייתא דישועה</v>
      </c>
    </row>
    <row r="24660" spans="1:6" x14ac:dyDescent="0.2">
      <c r="A24660" t="s">
        <v>39524</v>
      </c>
      <c r="B24660" t="s">
        <v>7604</v>
      </c>
      <c r="C24660" t="s">
        <v>989</v>
      </c>
      <c r="D24660" t="s">
        <v>52</v>
      </c>
      <c r="E24660" t="s">
        <v>43</v>
      </c>
      <c r="F24660" s="2" t="str">
        <f>HYPERLINK("http://www.otzar.org/book.asp?106394","מסכת עבדים - מסכת כותים")</f>
        <v>מסכת עבדים - מסכת כותים</v>
      </c>
    </row>
    <row r="24661" spans="1:6" x14ac:dyDescent="0.2">
      <c r="A24661" t="s">
        <v>39525</v>
      </c>
      <c r="B24661" t="s">
        <v>39526</v>
      </c>
      <c r="C24661" t="s">
        <v>843</v>
      </c>
      <c r="D24661" t="s">
        <v>412</v>
      </c>
      <c r="F24661" s="2" t="str">
        <f>HYPERLINK("http://www.otzar.org/book.asp?197557","מסכת עבודה זרה - כת""י ביהמ""ד לרבנים")</f>
        <v>מסכת עבודה זרה - כת"י ביהמ"ד לרבנים</v>
      </c>
    </row>
    <row r="24662" spans="1:6" x14ac:dyDescent="0.2">
      <c r="A24662" t="s">
        <v>39527</v>
      </c>
      <c r="B24662" t="s">
        <v>5896</v>
      </c>
      <c r="C24662" t="s">
        <v>224</v>
      </c>
      <c r="D24662" t="s">
        <v>283</v>
      </c>
      <c r="E24662" t="s">
        <v>84</v>
      </c>
      <c r="F24662" s="2" t="str">
        <f>HYPERLINK("http://www.otzar.org/book.asp?141096","מסכת עדיות בחירתא")</f>
        <v>מסכת עדיות בחירתא</v>
      </c>
    </row>
    <row r="24663" spans="1:6" x14ac:dyDescent="0.2">
      <c r="A24663" t="s">
        <v>39528</v>
      </c>
      <c r="B24663" t="s">
        <v>39529</v>
      </c>
      <c r="C24663" t="s">
        <v>3840</v>
      </c>
      <c r="D24663" t="s">
        <v>10404</v>
      </c>
      <c r="E24663" t="s">
        <v>1108</v>
      </c>
      <c r="F24663" s="2" t="str">
        <f>HYPERLINK("http://www.otzar.org/book.asp?200110","מסכת פאה מתלמוד ארץ ישראל")</f>
        <v>מסכת פאה מתלמוד ארץ ישראל</v>
      </c>
    </row>
    <row r="24664" spans="1:6" x14ac:dyDescent="0.2">
      <c r="A24664" t="s">
        <v>39530</v>
      </c>
      <c r="B24664" t="s">
        <v>39530</v>
      </c>
      <c r="D24664" t="s">
        <v>35382</v>
      </c>
      <c r="E24664" t="s">
        <v>246</v>
      </c>
      <c r="F24664" s="2" t="str">
        <f>HYPERLINK("http://www.otzar.org/book.asp?199814","מסכת פורים")</f>
        <v>מסכת פורים</v>
      </c>
    </row>
    <row r="24665" spans="1:6" x14ac:dyDescent="0.2">
      <c r="A24665" t="s">
        <v>39531</v>
      </c>
      <c r="B24665" t="s">
        <v>4617</v>
      </c>
      <c r="C24665" t="s">
        <v>11383</v>
      </c>
      <c r="D24665" t="s">
        <v>2714</v>
      </c>
      <c r="E24665" t="s">
        <v>2088</v>
      </c>
      <c r="F24665" s="2" t="str">
        <f>HYPERLINK("http://www.otzar.org/book.asp?101935","מסכת פסחים &lt;שער אשר, גבול אשר&gt;")</f>
        <v>מסכת פסחים &lt;שער אשר, גבול אשר&gt;</v>
      </c>
    </row>
    <row r="24666" spans="1:6" x14ac:dyDescent="0.2">
      <c r="A24666" t="s">
        <v>39532</v>
      </c>
      <c r="B24666" t="s">
        <v>39507</v>
      </c>
      <c r="C24666" t="s">
        <v>1937</v>
      </c>
      <c r="D24666" t="s">
        <v>39508</v>
      </c>
      <c r="E24666" t="s">
        <v>144</v>
      </c>
      <c r="F24666" s="2" t="str">
        <f>HYPERLINK("http://www.otzar.org/book.asp?151255","מסכת פסחים &lt;פסקי הרא""ש, גבול אשר, שער אשר&gt;")</f>
        <v>מסכת פסחים &lt;פסקי הרא"ש, גבול אשר, שער אשר&gt;</v>
      </c>
    </row>
    <row r="24667" spans="1:6" x14ac:dyDescent="0.2">
      <c r="A24667" t="s">
        <v>39533</v>
      </c>
      <c r="B24667" t="s">
        <v>39534</v>
      </c>
      <c r="C24667" t="s">
        <v>1246</v>
      </c>
      <c r="D24667" t="s">
        <v>14</v>
      </c>
      <c r="E24667" t="s">
        <v>144</v>
      </c>
      <c r="F24667" s="2" t="str">
        <f>HYPERLINK("http://www.otzar.org/book.asp?181593","מסכת פסחים")</f>
        <v>מסכת פסחים</v>
      </c>
    </row>
    <row r="24668" spans="1:6" x14ac:dyDescent="0.2">
      <c r="A24668" t="s">
        <v>39535</v>
      </c>
      <c r="B24668" t="s">
        <v>39536</v>
      </c>
      <c r="C24668" t="s">
        <v>111</v>
      </c>
      <c r="D24668" t="s">
        <v>90</v>
      </c>
      <c r="E24668" t="s">
        <v>43</v>
      </c>
      <c r="F24668" s="2" t="str">
        <f>HYPERLINK("http://www.otzar.org/book.asp?630290","מסכת ציצית עם עין משפט ונר מצוה")</f>
        <v>מסכת ציצית עם עין משפט ונר מצוה</v>
      </c>
    </row>
    <row r="24669" spans="1:6" x14ac:dyDescent="0.2">
      <c r="A24669" t="s">
        <v>39537</v>
      </c>
      <c r="B24669" t="s">
        <v>7604</v>
      </c>
      <c r="C24669" t="s">
        <v>585</v>
      </c>
      <c r="D24669" t="s">
        <v>52</v>
      </c>
      <c r="E24669" t="s">
        <v>43</v>
      </c>
      <c r="F24669" s="2" t="str">
        <f>HYPERLINK("http://www.otzar.org/book.asp?106392","מסכת ציצית, מסכת תפילין, מסכת מזוזה")</f>
        <v>מסכת ציצית, מסכת תפילין, מסכת מזוזה</v>
      </c>
    </row>
    <row r="24670" spans="1:6" x14ac:dyDescent="0.2">
      <c r="A24670" t="s">
        <v>39538</v>
      </c>
      <c r="B24670" t="s">
        <v>144</v>
      </c>
      <c r="C24670" t="s">
        <v>1568</v>
      </c>
      <c r="D24670" t="s">
        <v>1667</v>
      </c>
      <c r="F24670" s="2" t="str">
        <f>HYPERLINK("http://www.otzar.org/book.asp?164770","מסכת קדושין")</f>
        <v>מסכת קדושין</v>
      </c>
    </row>
    <row r="24671" spans="1:6" x14ac:dyDescent="0.2">
      <c r="A24671" t="s">
        <v>39538</v>
      </c>
      <c r="B24671" t="s">
        <v>39539</v>
      </c>
      <c r="C24671" t="s">
        <v>34019</v>
      </c>
      <c r="D24671" t="s">
        <v>19871</v>
      </c>
      <c r="F24671" s="2" t="str">
        <f>HYPERLINK("http://www.otzar.org/book.asp?164776","מסכת קדושין")</f>
        <v>מסכת קדושין</v>
      </c>
    </row>
    <row r="24672" spans="1:6" x14ac:dyDescent="0.2">
      <c r="A24672" t="s">
        <v>39540</v>
      </c>
      <c r="B24672" t="s">
        <v>29381</v>
      </c>
      <c r="C24672" t="s">
        <v>985</v>
      </c>
      <c r="D24672" t="s">
        <v>412</v>
      </c>
      <c r="F24672" s="2" t="str">
        <f>HYPERLINK("http://www.otzar.org/book.asp?614505","מסכת קידושין &lt;עם פירוש יידיש כפי רש""י ומלבי""ם&gt; - 2 כר'")</f>
        <v>מסכת קידושין &lt;עם פירוש יידיש כפי רש"י ומלבי"ם&gt; - 2 כר'</v>
      </c>
    </row>
    <row r="24673" spans="1:6" x14ac:dyDescent="0.2">
      <c r="A24673" t="s">
        <v>39541</v>
      </c>
      <c r="B24673" t="s">
        <v>39542</v>
      </c>
      <c r="C24673" t="s">
        <v>111</v>
      </c>
      <c r="D24673" t="s">
        <v>152</v>
      </c>
      <c r="E24673" t="s">
        <v>84</v>
      </c>
      <c r="F24673" s="2" t="str">
        <f>HYPERLINK("http://www.otzar.org/book.asp?627503","מסכת קינים &lt;יוסף לקח&gt;")</f>
        <v>מסכת קינים &lt;יוסף לקח&gt;</v>
      </c>
    </row>
    <row r="24674" spans="1:6" x14ac:dyDescent="0.2">
      <c r="A24674" t="s">
        <v>39543</v>
      </c>
      <c r="B24674" t="s">
        <v>39544</v>
      </c>
      <c r="C24674" t="s">
        <v>114</v>
      </c>
      <c r="D24674" t="s">
        <v>1550</v>
      </c>
      <c r="E24674" t="s">
        <v>84</v>
      </c>
      <c r="F24674" s="2" t="str">
        <f>HYPERLINK("http://www.otzar.org/book.asp?167659","מסכת קינים &lt;שערי קינים&gt;")</f>
        <v>מסכת קינים &lt;שערי קינים&gt;</v>
      </c>
    </row>
    <row r="24675" spans="1:6" x14ac:dyDescent="0.2">
      <c r="A24675" t="s">
        <v>39545</v>
      </c>
      <c r="B24675" t="s">
        <v>20928</v>
      </c>
      <c r="C24675" t="s">
        <v>313</v>
      </c>
      <c r="D24675" t="s">
        <v>52</v>
      </c>
      <c r="E24675" t="s">
        <v>84</v>
      </c>
      <c r="F24675" s="2" t="str">
        <f>HYPERLINK("http://www.otzar.org/book.asp?191470","מסכת קנים ע""פ הרא""ש וע""פ פתח הקן")</f>
        <v>מסכת קנים ע"פ הרא"ש וע"פ פתח הקן</v>
      </c>
    </row>
    <row r="24676" spans="1:6" x14ac:dyDescent="0.2">
      <c r="A24676" t="s">
        <v>39546</v>
      </c>
      <c r="B24676" t="s">
        <v>39542</v>
      </c>
      <c r="C24676" t="s">
        <v>111</v>
      </c>
      <c r="D24676" t="s">
        <v>152</v>
      </c>
      <c r="E24676" t="s">
        <v>84</v>
      </c>
      <c r="F24676" s="2" t="str">
        <f>HYPERLINK("http://www.otzar.org/book.asp?630266","מסכת קנים עם פירוש יוסף לקח")</f>
        <v>מסכת קנים עם פירוש יוסף לקח</v>
      </c>
    </row>
    <row r="24677" spans="1:6" x14ac:dyDescent="0.2">
      <c r="A24677" t="s">
        <v>39547</v>
      </c>
      <c r="B24677" t="s">
        <v>39490</v>
      </c>
      <c r="C24677" t="s">
        <v>725</v>
      </c>
      <c r="D24677" t="s">
        <v>14</v>
      </c>
      <c r="E24677" t="s">
        <v>144</v>
      </c>
      <c r="F24677" s="2" t="str">
        <f>HYPERLINK("http://www.otzar.org/book.asp?158942","מסכת ראש השנה &lt;עם סימני ההפסק והערות&gt;")</f>
        <v>מסכת ראש השנה &lt;עם סימני ההפסק והערות&gt;</v>
      </c>
    </row>
    <row r="24678" spans="1:6" x14ac:dyDescent="0.2">
      <c r="A24678" t="s">
        <v>39548</v>
      </c>
      <c r="B24678" t="s">
        <v>6984</v>
      </c>
      <c r="C24678" t="s">
        <v>17</v>
      </c>
      <c r="D24678" t="s">
        <v>14</v>
      </c>
      <c r="E24678" t="s">
        <v>84</v>
      </c>
      <c r="F24678" s="2" t="str">
        <f>HYPERLINK("http://www.otzar.org/book.asp?23101","מסכת שביעית &lt;משנה ערוכה&gt;")</f>
        <v>מסכת שביעית &lt;משנה ערוכה&gt;</v>
      </c>
    </row>
    <row r="24679" spans="1:6" x14ac:dyDescent="0.2">
      <c r="A24679" t="s">
        <v>39549</v>
      </c>
      <c r="B24679" t="s">
        <v>39550</v>
      </c>
      <c r="C24679" t="s">
        <v>180</v>
      </c>
      <c r="D24679" t="s">
        <v>14</v>
      </c>
      <c r="E24679" t="s">
        <v>84</v>
      </c>
      <c r="F24679" s="2" t="str">
        <f>HYPERLINK("http://www.otzar.org/book.asp?141700","מסכת שביעית &lt;משנת יוסף&gt; - 4 כר'")</f>
        <v>מסכת שביעית &lt;משנת יוסף&gt; - 4 כר'</v>
      </c>
    </row>
    <row r="24680" spans="1:6" x14ac:dyDescent="0.2">
      <c r="A24680" t="s">
        <v>39551</v>
      </c>
      <c r="B24680" t="s">
        <v>2728</v>
      </c>
      <c r="C24680" t="s">
        <v>313</v>
      </c>
      <c r="D24680" t="s">
        <v>14</v>
      </c>
      <c r="E24680" t="s">
        <v>84</v>
      </c>
      <c r="F24680" s="2" t="str">
        <f>HYPERLINK("http://www.otzar.org/book.asp?200283","מסכת שביעית &lt;מהדורת סופר&gt; - 2 כר'")</f>
        <v>מסכת שביעית &lt;מהדורת סופר&gt; - 2 כר'</v>
      </c>
    </row>
    <row r="24681" spans="1:6" x14ac:dyDescent="0.2">
      <c r="A24681" t="s">
        <v>39552</v>
      </c>
      <c r="B24681" t="s">
        <v>20785</v>
      </c>
      <c r="C24681" t="s">
        <v>313</v>
      </c>
      <c r="D24681" t="s">
        <v>52</v>
      </c>
      <c r="E24681" t="s">
        <v>84</v>
      </c>
      <c r="F24681" s="2" t="str">
        <f>HYPERLINK("http://www.otzar.org/book.asp?21836","מסכת שביעית &lt;עם תלמוד בבלי&gt;")</f>
        <v>מסכת שביעית &lt;עם תלמוד בבלי&gt;</v>
      </c>
    </row>
    <row r="24682" spans="1:6" x14ac:dyDescent="0.2">
      <c r="A24682" t="s">
        <v>39553</v>
      </c>
      <c r="B24682" t="s">
        <v>39554</v>
      </c>
      <c r="C24682" t="s">
        <v>334</v>
      </c>
      <c r="D24682" t="s">
        <v>423</v>
      </c>
      <c r="E24682" t="s">
        <v>3489</v>
      </c>
      <c r="F24682" s="2" t="str">
        <f>HYPERLINK("http://www.otzar.org/book.asp?179881","מסכת שביעית והלכות שביעית")</f>
        <v>מסכת שביעית והלכות שביעית</v>
      </c>
    </row>
    <row r="24683" spans="1:6" x14ac:dyDescent="0.2">
      <c r="A24683" t="s">
        <v>39555</v>
      </c>
      <c r="B24683" t="s">
        <v>39556</v>
      </c>
      <c r="C24683" t="s">
        <v>46</v>
      </c>
      <c r="D24683" t="s">
        <v>14</v>
      </c>
      <c r="E24683" t="s">
        <v>1097</v>
      </c>
      <c r="F24683" s="2" t="str">
        <f>HYPERLINK("http://www.otzar.org/book.asp?181454","מסכת שביעית מן תלמוד ירושלמי  עם ביאורי הגר""א וע""פ חזון איש - 2 כר'")</f>
        <v>מסכת שביעית מן תלמוד ירושלמי  עם ביאורי הגר"א וע"פ חזון איש - 2 כר'</v>
      </c>
    </row>
    <row r="24684" spans="1:6" x14ac:dyDescent="0.2">
      <c r="A24684" t="s">
        <v>39557</v>
      </c>
      <c r="B24684" t="s">
        <v>39558</v>
      </c>
      <c r="C24684" t="s">
        <v>454</v>
      </c>
      <c r="D24684" t="s">
        <v>52</v>
      </c>
      <c r="E24684" t="s">
        <v>38</v>
      </c>
      <c r="F24684" s="2" t="str">
        <f>HYPERLINK("http://www.otzar.org/book.asp?107431","מסכת שביעית מנוקדת עפ""י גירסת רבני תימן")</f>
        <v>מסכת שביעית מנוקדת עפ"י גירסת רבני תימן</v>
      </c>
    </row>
    <row r="24685" spans="1:6" x14ac:dyDescent="0.2">
      <c r="A24685" t="s">
        <v>39559</v>
      </c>
      <c r="B24685" t="s">
        <v>19756</v>
      </c>
      <c r="C24685" t="s">
        <v>523</v>
      </c>
      <c r="D24685" t="s">
        <v>14</v>
      </c>
      <c r="E24685" t="s">
        <v>84</v>
      </c>
      <c r="F24685" s="2" t="str">
        <f>HYPERLINK("http://www.otzar.org/book.asp?50603","מסכת שביעית - חקר ועיון")</f>
        <v>מסכת שביעית - חקר ועיון</v>
      </c>
    </row>
    <row r="24686" spans="1:6" x14ac:dyDescent="0.2">
      <c r="A24686" t="s">
        <v>39560</v>
      </c>
      <c r="B24686" t="s">
        <v>23693</v>
      </c>
      <c r="C24686" t="s">
        <v>99</v>
      </c>
      <c r="D24686" t="s">
        <v>56</v>
      </c>
      <c r="E24686" t="s">
        <v>1097</v>
      </c>
      <c r="F24686" s="2" t="str">
        <f>HYPERLINK("http://www.otzar.org/book.asp?9614","מסכת שבת ועירובין תלמוד ירושלמי &lt;פני מאיר&gt;")</f>
        <v>מסכת שבת ועירובין תלמוד ירושלמי &lt;פני מאיר&gt;</v>
      </c>
    </row>
    <row r="24687" spans="1:6" x14ac:dyDescent="0.2">
      <c r="A24687" t="s">
        <v>39561</v>
      </c>
      <c r="B24687" t="s">
        <v>23693</v>
      </c>
      <c r="C24687" t="s">
        <v>99</v>
      </c>
      <c r="D24687" t="s">
        <v>56</v>
      </c>
      <c r="E24687" t="s">
        <v>1108</v>
      </c>
      <c r="F24687" s="2" t="str">
        <f>HYPERLINK("http://www.otzar.org/book.asp?200142","מסכת שבת תלמוד ירושלמי &lt;פני מאיר&gt;")</f>
        <v>מסכת שבת תלמוד ירושלמי &lt;פני מאיר&gt;</v>
      </c>
    </row>
    <row r="24688" spans="1:6" x14ac:dyDescent="0.2">
      <c r="A24688" t="s">
        <v>39562</v>
      </c>
      <c r="B24688" t="s">
        <v>39563</v>
      </c>
      <c r="C24688" t="s">
        <v>1706</v>
      </c>
      <c r="D24688" t="s">
        <v>283</v>
      </c>
      <c r="F24688" s="2" t="str">
        <f>HYPERLINK("http://www.otzar.org/book.asp?173584","מסכת שטרות")</f>
        <v>מסכת שטרות</v>
      </c>
    </row>
    <row r="24689" spans="1:6" x14ac:dyDescent="0.2">
      <c r="A24689" t="s">
        <v>39564</v>
      </c>
      <c r="B24689" t="s">
        <v>39565</v>
      </c>
      <c r="C24689" t="s">
        <v>1535</v>
      </c>
      <c r="D24689" t="s">
        <v>9</v>
      </c>
      <c r="E24689" t="s">
        <v>43</v>
      </c>
      <c r="F24689" s="2" t="str">
        <f>HYPERLINK("http://www.otzar.org/book.asp?169973","מסכת שמחות")</f>
        <v>מסכת שמחות</v>
      </c>
    </row>
    <row r="24690" spans="1:6" x14ac:dyDescent="0.2">
      <c r="A24690" t="s">
        <v>39566</v>
      </c>
      <c r="B24690" t="s">
        <v>4617</v>
      </c>
      <c r="C24690" t="s">
        <v>2008</v>
      </c>
      <c r="D24690" t="s">
        <v>27</v>
      </c>
      <c r="E24690" t="s">
        <v>13574</v>
      </c>
      <c r="F24690" s="2" t="str">
        <f>HYPERLINK("http://www.otzar.org/book.asp?11244","מסכת שקלים &lt;פרישת הרא""ש&gt;")</f>
        <v>מסכת שקלים &lt;פרישת הרא"ש&gt;</v>
      </c>
    </row>
    <row r="24691" spans="1:6" x14ac:dyDescent="0.2">
      <c r="A24691" t="s">
        <v>39567</v>
      </c>
      <c r="B24691" t="s">
        <v>1720</v>
      </c>
      <c r="C24691" t="s">
        <v>146</v>
      </c>
      <c r="D24691" t="s">
        <v>14</v>
      </c>
      <c r="E24691" t="s">
        <v>1097</v>
      </c>
      <c r="F24691" s="2" t="str">
        <f>HYPERLINK("http://www.otzar.org/book.asp?62072","מסכת שקלים &lt;עם פירוש פני זקן - עצי עדן&gt;")</f>
        <v>מסכת שקלים &lt;עם פירוש פני זקן - עצי עדן&gt;</v>
      </c>
    </row>
    <row r="24692" spans="1:6" x14ac:dyDescent="0.2">
      <c r="A24692" t="s">
        <v>39568</v>
      </c>
      <c r="B24692" t="s">
        <v>39569</v>
      </c>
      <c r="C24692" t="s">
        <v>523</v>
      </c>
      <c r="D24692" t="s">
        <v>52</v>
      </c>
      <c r="E24692" t="s">
        <v>19164</v>
      </c>
      <c r="F24692" s="2" t="str">
        <f>HYPERLINK("http://www.otzar.org/book.asp?21835","מסכת שקלים &lt;עם תלמוד בבלי&gt;")</f>
        <v>מסכת שקלים &lt;עם תלמוד בבלי&gt;</v>
      </c>
    </row>
    <row r="24693" spans="1:6" x14ac:dyDescent="0.2">
      <c r="A24693" t="s">
        <v>39570</v>
      </c>
      <c r="B24693" t="s">
        <v>39571</v>
      </c>
      <c r="C24693" t="s">
        <v>146</v>
      </c>
      <c r="D24693" t="s">
        <v>39572</v>
      </c>
      <c r="E24693" t="s">
        <v>1097</v>
      </c>
      <c r="F24693" s="2" t="str">
        <f>HYPERLINK("http://www.otzar.org/book.asp?159156","מסכת שקלים &lt;שקלי אש&gt;")</f>
        <v>מסכת שקלים &lt;שקלי אש&gt;</v>
      </c>
    </row>
    <row r="24694" spans="1:6" x14ac:dyDescent="0.2">
      <c r="A24694" t="s">
        <v>39573</v>
      </c>
      <c r="B24694" t="s">
        <v>39574</v>
      </c>
      <c r="C24694" t="s">
        <v>1515</v>
      </c>
      <c r="D24694" t="s">
        <v>60</v>
      </c>
      <c r="E24694" t="s">
        <v>1097</v>
      </c>
      <c r="F24694" s="2" t="str">
        <f>HYPERLINK("http://www.otzar.org/book.asp?63920","מסכת שקלים &lt;רבי אליהו פולדא&gt;")</f>
        <v>מסכת שקלים &lt;רבי אליהו פולדא&gt;</v>
      </c>
    </row>
    <row r="24695" spans="1:6" x14ac:dyDescent="0.2">
      <c r="A24695" t="s">
        <v>39575</v>
      </c>
      <c r="B24695" t="s">
        <v>39576</v>
      </c>
      <c r="C24695" t="s">
        <v>180</v>
      </c>
      <c r="D24695" t="s">
        <v>14</v>
      </c>
      <c r="E24695" t="s">
        <v>39577</v>
      </c>
      <c r="F24695" s="2" t="str">
        <f>HYPERLINK("http://www.otzar.org/book.asp?200147","מסכת שקלים מן תלמוד ירושלמי &lt;שקלי יוסף&gt;")</f>
        <v>מסכת שקלים מן תלמוד ירושלמי &lt;שקלי יוסף&gt;</v>
      </c>
    </row>
    <row r="24696" spans="1:6" x14ac:dyDescent="0.2">
      <c r="A24696" t="s">
        <v>39578</v>
      </c>
      <c r="B24696" t="s">
        <v>39579</v>
      </c>
      <c r="C24696" t="s">
        <v>20</v>
      </c>
      <c r="D24696" t="s">
        <v>216</v>
      </c>
      <c r="E24696" t="s">
        <v>27439</v>
      </c>
      <c r="F24696" s="2" t="str">
        <f>HYPERLINK("http://www.otzar.org/book.asp?9613","מסכת שקלים מן תלמוד ירושלמי &lt;פני זקן&gt;")</f>
        <v>מסכת שקלים מן תלמוד ירושלמי &lt;פני זקן&gt;</v>
      </c>
    </row>
    <row r="24697" spans="1:6" x14ac:dyDescent="0.2">
      <c r="A24697" t="s">
        <v>39580</v>
      </c>
      <c r="B24697" t="s">
        <v>39581</v>
      </c>
      <c r="C24697" t="s">
        <v>412</v>
      </c>
      <c r="D24697" t="s">
        <v>143</v>
      </c>
      <c r="E24697" t="s">
        <v>1097</v>
      </c>
      <c r="F24697" s="2" t="str">
        <f>HYPERLINK("http://www.otzar.org/book.asp?627439","מסכת שקלים מן תלמוד ירושלמי - ביאור באנגלית")</f>
        <v>מסכת שקלים מן תלמוד ירושלמי - ביאור באנגלית</v>
      </c>
    </row>
    <row r="24698" spans="1:6" x14ac:dyDescent="0.2">
      <c r="A24698" t="s">
        <v>39582</v>
      </c>
      <c r="B24698" t="s">
        <v>39583</v>
      </c>
      <c r="C24698" t="s">
        <v>2465</v>
      </c>
      <c r="D24698" t="s">
        <v>2373</v>
      </c>
      <c r="E24698" t="s">
        <v>1097</v>
      </c>
      <c r="F24698" s="2" t="str">
        <f>HYPERLINK("http://www.otzar.org/book.asp?172758","מסכת שקלים מן תלמוד ירושלמי")</f>
        <v>מסכת שקלים מן תלמוד ירושלמי</v>
      </c>
    </row>
    <row r="24699" spans="1:6" x14ac:dyDescent="0.2">
      <c r="A24699" t="s">
        <v>39584</v>
      </c>
      <c r="B24699" t="s">
        <v>39585</v>
      </c>
      <c r="C24699" t="s">
        <v>482</v>
      </c>
      <c r="D24699" t="s">
        <v>9</v>
      </c>
      <c r="E24699" t="s">
        <v>84</v>
      </c>
      <c r="F24699" s="2" t="str">
        <f>HYPERLINK("http://www.otzar.org/book.asp?177248","מסכת שקלים ע""פ ר' משולם ופי' תלמידו של ר""ש בר' שניאור")</f>
        <v>מסכת שקלים ע"פ ר' משולם ופי' תלמידו של ר"ש בר' שניאור</v>
      </c>
    </row>
    <row r="24700" spans="1:6" x14ac:dyDescent="0.2">
      <c r="A24700" t="s">
        <v>39586</v>
      </c>
      <c r="B24700" t="s">
        <v>39587</v>
      </c>
      <c r="C24700" t="s">
        <v>133</v>
      </c>
      <c r="D24700" t="s">
        <v>52</v>
      </c>
      <c r="E24700" t="s">
        <v>1097</v>
      </c>
      <c r="F24700" s="2" t="str">
        <f>HYPERLINK("http://www.otzar.org/book.asp?180010","מסכת שקלים עם תרומת הלשכה")</f>
        <v>מסכת שקלים עם תרומת הלשכה</v>
      </c>
    </row>
    <row r="24701" spans="1:6" x14ac:dyDescent="0.2">
      <c r="A24701" t="s">
        <v>39588</v>
      </c>
      <c r="B24701" t="s">
        <v>39589</v>
      </c>
      <c r="C24701" t="s">
        <v>11383</v>
      </c>
      <c r="D24701" t="s">
        <v>2041</v>
      </c>
      <c r="E24701" t="s">
        <v>84</v>
      </c>
      <c r="F24701" s="2" t="str">
        <f>HYPERLINK("http://www.otzar.org/book.asp?84996","מסכת תמיד &lt;ע""פ הרא""ש והר""ב נר תמיד&gt;")</f>
        <v>מסכת תמיד &lt;ע"פ הרא"ש והר"ב נר תמיד&gt;</v>
      </c>
    </row>
    <row r="24702" spans="1:6" x14ac:dyDescent="0.2">
      <c r="A24702" t="s">
        <v>39590</v>
      </c>
      <c r="B24702" t="s">
        <v>39446</v>
      </c>
      <c r="F24702" s="2" t="str">
        <f>HYPERLINK("http://www.otzar.org/book.asp?627420","מסכת תענית")</f>
        <v>מסכת תענית</v>
      </c>
    </row>
    <row r="24703" spans="1:6" x14ac:dyDescent="0.2">
      <c r="A24703" t="s">
        <v>39591</v>
      </c>
      <c r="B24703" t="s">
        <v>39592</v>
      </c>
      <c r="C24703" t="s">
        <v>1844</v>
      </c>
      <c r="D24703" t="s">
        <v>35335</v>
      </c>
      <c r="E24703" t="s">
        <v>23256</v>
      </c>
      <c r="F24703" s="2" t="str">
        <f>HYPERLINK("http://www.otzar.org/book.asp?19127","מסכתא אצילות &lt;גנזי מרומים&gt;")</f>
        <v>מסכתא אצילות &lt;גנזי מרומים&gt;</v>
      </c>
    </row>
    <row r="24704" spans="1:6" x14ac:dyDescent="0.2">
      <c r="A24704" t="s">
        <v>39593</v>
      </c>
      <c r="B24704" t="s">
        <v>39594</v>
      </c>
      <c r="C24704" t="s">
        <v>129</v>
      </c>
      <c r="D24704" t="s">
        <v>14</v>
      </c>
      <c r="E24704" t="s">
        <v>186</v>
      </c>
      <c r="F24704" s="2" t="str">
        <f>HYPERLINK("http://www.otzar.org/book.asp?142456","מסכתא דכלה - קידושין")</f>
        <v>מסכתא דכלה - קידושין</v>
      </c>
    </row>
    <row r="24705" spans="1:6" x14ac:dyDescent="0.2">
      <c r="A24705" t="s">
        <v>39595</v>
      </c>
      <c r="B24705" t="s">
        <v>39596</v>
      </c>
      <c r="C24705" t="s">
        <v>37</v>
      </c>
      <c r="D24705" t="s">
        <v>152</v>
      </c>
      <c r="F24705" s="2" t="str">
        <f>HYPERLINK("http://www.otzar.org/book.asp?194212","מסכתא דמהרי""ץ")</f>
        <v>מסכתא דמהרי"ץ</v>
      </c>
    </row>
    <row r="24706" spans="1:6" x14ac:dyDescent="0.2">
      <c r="A24706" t="s">
        <v>39597</v>
      </c>
      <c r="B24706" t="s">
        <v>39598</v>
      </c>
      <c r="C24706" t="s">
        <v>985</v>
      </c>
      <c r="D24706" t="s">
        <v>21</v>
      </c>
      <c r="E24706" t="s">
        <v>43</v>
      </c>
      <c r="F24706" s="2" t="str">
        <f>HYPERLINK("http://www.otzar.org/book.asp?197477","מסכתות דרך ארץ רבא וזוטא")</f>
        <v>מסכתות דרך ארץ רבא וזוטא</v>
      </c>
    </row>
    <row r="24707" spans="1:6" x14ac:dyDescent="0.2">
      <c r="A24707" t="s">
        <v>39599</v>
      </c>
      <c r="B24707" t="s">
        <v>39600</v>
      </c>
      <c r="C24707" t="s">
        <v>224</v>
      </c>
      <c r="D24707" t="s">
        <v>9</v>
      </c>
      <c r="E24707" t="s">
        <v>64</v>
      </c>
      <c r="F24707" s="2" t="str">
        <f>HYPERLINK("http://www.otzar.org/book.asp?200014","מסכתות דרך ארץ")</f>
        <v>מסכתות דרך ארץ</v>
      </c>
    </row>
    <row r="24708" spans="1:6" x14ac:dyDescent="0.2">
      <c r="A24708" t="s">
        <v>39601</v>
      </c>
      <c r="B24708" t="s">
        <v>39520</v>
      </c>
      <c r="C24708" t="s">
        <v>609</v>
      </c>
      <c r="D24708" t="s">
        <v>9</v>
      </c>
      <c r="E24708" t="s">
        <v>64</v>
      </c>
      <c r="F24708" s="2" t="str">
        <f>HYPERLINK("http://www.otzar.org/book.asp?200022","מסכתות זעירות")</f>
        <v>מסכתות זעירות</v>
      </c>
    </row>
    <row r="24709" spans="1:6" x14ac:dyDescent="0.2">
      <c r="A24709" t="s">
        <v>39602</v>
      </c>
      <c r="B24709" t="s">
        <v>39520</v>
      </c>
      <c r="C24709" t="s">
        <v>286</v>
      </c>
      <c r="D24709" t="s">
        <v>9</v>
      </c>
      <c r="E24709" t="s">
        <v>64</v>
      </c>
      <c r="F24709" s="2" t="str">
        <f>HYPERLINK("http://www.otzar.org/book.asp?200016","מסכתות כלה")</f>
        <v>מסכתות כלה</v>
      </c>
    </row>
    <row r="24710" spans="1:6" x14ac:dyDescent="0.2">
      <c r="A24710" t="s">
        <v>39598</v>
      </c>
      <c r="B24710" t="s">
        <v>39603</v>
      </c>
      <c r="C24710" t="s">
        <v>224</v>
      </c>
      <c r="D24710" t="s">
        <v>4772</v>
      </c>
      <c r="E24710" t="s">
        <v>43</v>
      </c>
      <c r="F24710" s="2" t="str">
        <f>HYPERLINK("http://www.otzar.org/book.asp?170660","מסכתות קטנות")</f>
        <v>מסכתות קטנות</v>
      </c>
    </row>
    <row r="24711" spans="1:6" x14ac:dyDescent="0.2">
      <c r="A24711" t="s">
        <v>39604</v>
      </c>
      <c r="B24711" t="s">
        <v>39605</v>
      </c>
      <c r="C24711" t="s">
        <v>11298</v>
      </c>
      <c r="D24711" t="s">
        <v>4288</v>
      </c>
      <c r="F24711" s="2" t="str">
        <f>HYPERLINK("http://www.otzar.org/book.asp?152847","מסלול - 2 כר'")</f>
        <v>מסלול - 2 כר'</v>
      </c>
    </row>
    <row r="24712" spans="1:6" x14ac:dyDescent="0.2">
      <c r="A24712" t="s">
        <v>39606</v>
      </c>
      <c r="B24712" t="s">
        <v>39607</v>
      </c>
      <c r="C24712" t="s">
        <v>1570</v>
      </c>
      <c r="D24712" t="s">
        <v>14</v>
      </c>
      <c r="E24712" t="s">
        <v>213</v>
      </c>
      <c r="F24712" s="2" t="str">
        <f>HYPERLINK("http://www.otzar.org/book.asp?84478","מסלות החיים")</f>
        <v>מסלות החיים</v>
      </c>
    </row>
    <row r="24713" spans="1:6" x14ac:dyDescent="0.2">
      <c r="A24713" t="s">
        <v>39608</v>
      </c>
      <c r="B24713" t="s">
        <v>39609</v>
      </c>
      <c r="C24713" t="s">
        <v>5823</v>
      </c>
      <c r="D24713" t="s">
        <v>267</v>
      </c>
      <c r="E24713" t="s">
        <v>104</v>
      </c>
      <c r="F24713" s="2" t="str">
        <f>HYPERLINK("http://www.otzar.org/book.asp?12765","מסלות המאורות")</f>
        <v>מסלות המאורות</v>
      </c>
    </row>
    <row r="24714" spans="1:6" x14ac:dyDescent="0.2">
      <c r="A24714" t="s">
        <v>39610</v>
      </c>
      <c r="B24714" t="s">
        <v>338</v>
      </c>
      <c r="C24714" t="s">
        <v>624</v>
      </c>
      <c r="D24714" t="s">
        <v>14</v>
      </c>
      <c r="E24714" t="s">
        <v>1211</v>
      </c>
      <c r="F24714" s="2" t="str">
        <f>HYPERLINK("http://www.otzar.org/book.asp?608668","מסלות התלמוד")</f>
        <v>מסלות התלמוד</v>
      </c>
    </row>
    <row r="24715" spans="1:6" x14ac:dyDescent="0.2">
      <c r="A24715" t="s">
        <v>39611</v>
      </c>
      <c r="B24715" t="s">
        <v>6033</v>
      </c>
      <c r="C24715" t="s">
        <v>390</v>
      </c>
      <c r="D24715" t="s">
        <v>14</v>
      </c>
      <c r="E24715" t="s">
        <v>158</v>
      </c>
      <c r="F24715" s="2" t="str">
        <f>HYPERLINK("http://www.otzar.org/book.asp?141963","מסלות חיים - 3 כר'")</f>
        <v>מסלות חיים - 3 כר'</v>
      </c>
    </row>
    <row r="24716" spans="1:6" x14ac:dyDescent="0.2">
      <c r="A24716" t="s">
        <v>39612</v>
      </c>
      <c r="B24716" t="s">
        <v>3731</v>
      </c>
      <c r="C24716" t="s">
        <v>728</v>
      </c>
      <c r="D24716" t="s">
        <v>1117</v>
      </c>
      <c r="E24716" t="s">
        <v>20320</v>
      </c>
      <c r="F24716" s="2" t="str">
        <f>HYPERLINK("http://www.otzar.org/book.asp?23499","מסלות חכמה - 2 כר'")</f>
        <v>מסלות חכמה - 2 כר'</v>
      </c>
    </row>
    <row r="24717" spans="1:6" x14ac:dyDescent="0.2">
      <c r="A24717" t="s">
        <v>39613</v>
      </c>
      <c r="B24717" t="s">
        <v>39614</v>
      </c>
      <c r="C24717" t="s">
        <v>17</v>
      </c>
      <c r="D24717" t="s">
        <v>52</v>
      </c>
      <c r="E24717" t="s">
        <v>144</v>
      </c>
      <c r="F24717" s="2" t="str">
        <f>HYPERLINK("http://www.otzar.org/book.asp?51621","מסלות ים - 8 כר'")</f>
        <v>מסלות ים - 8 כר'</v>
      </c>
    </row>
    <row r="24718" spans="1:6" x14ac:dyDescent="0.2">
      <c r="A24718" t="s">
        <v>39615</v>
      </c>
      <c r="B24718" t="s">
        <v>20270</v>
      </c>
      <c r="C24718" t="s">
        <v>506</v>
      </c>
      <c r="D24718" t="s">
        <v>260</v>
      </c>
      <c r="E24718" t="s">
        <v>39616</v>
      </c>
      <c r="F24718" s="2" t="str">
        <f>HYPERLINK("http://www.otzar.org/book.asp?14718","מסלות לתורת התנאים")</f>
        <v>מסלות לתורת התנאים</v>
      </c>
    </row>
    <row r="24719" spans="1:6" x14ac:dyDescent="0.2">
      <c r="A24719" t="s">
        <v>39617</v>
      </c>
      <c r="B24719" t="s">
        <v>3462</v>
      </c>
      <c r="C24719" t="s">
        <v>51</v>
      </c>
      <c r="D24719" t="s">
        <v>52</v>
      </c>
      <c r="E24719" t="s">
        <v>241</v>
      </c>
      <c r="F24719" s="2" t="str">
        <f>HYPERLINK("http://www.otzar.org/book.asp?61410","מסלות תשובה")</f>
        <v>מסלות תשובה</v>
      </c>
    </row>
    <row r="24720" spans="1:6" x14ac:dyDescent="0.2">
      <c r="A24720" t="s">
        <v>39618</v>
      </c>
      <c r="B24720" t="s">
        <v>19037</v>
      </c>
      <c r="C24720" t="s">
        <v>20</v>
      </c>
      <c r="D24720" t="s">
        <v>90</v>
      </c>
      <c r="E24720" t="s">
        <v>15</v>
      </c>
      <c r="F24720" s="2" t="str">
        <f>HYPERLINK("http://www.otzar.org/book.asp?630352","מסנני המים בשבת")</f>
        <v>מסנני המים בשבת</v>
      </c>
    </row>
    <row r="24721" spans="1:6" x14ac:dyDescent="0.2">
      <c r="A24721" t="s">
        <v>39619</v>
      </c>
      <c r="B24721" t="s">
        <v>3834</v>
      </c>
      <c r="C24721" t="s">
        <v>17</v>
      </c>
      <c r="D24721" t="s">
        <v>14</v>
      </c>
      <c r="E24721" t="s">
        <v>241</v>
      </c>
      <c r="F24721" s="2" t="str">
        <f>HYPERLINK("http://www.otzar.org/book.asp?603968","מסע אל האמת")</f>
        <v>מסע אל האמת</v>
      </c>
    </row>
    <row r="24722" spans="1:6" x14ac:dyDescent="0.2">
      <c r="A24722" t="s">
        <v>39620</v>
      </c>
      <c r="B24722" t="s">
        <v>11936</v>
      </c>
      <c r="C24722" t="s">
        <v>20</v>
      </c>
      <c r="D24722" t="s">
        <v>14</v>
      </c>
      <c r="F24722" s="2" t="str">
        <f>HYPERLINK("http://www.otzar.org/book.asp?615301","מסע אל מלאכת בורר")</f>
        <v>מסע אל מלאכת בורר</v>
      </c>
    </row>
    <row r="24723" spans="1:6" x14ac:dyDescent="0.2">
      <c r="A24723" t="s">
        <v>39621</v>
      </c>
      <c r="B24723" t="s">
        <v>39622</v>
      </c>
      <c r="C24723" t="s">
        <v>160</v>
      </c>
      <c r="D24723" t="s">
        <v>27</v>
      </c>
      <c r="E24723" t="s">
        <v>104</v>
      </c>
      <c r="F24723" s="2" t="str">
        <f>HYPERLINK("http://www.otzar.org/book.asp?168057","מסע בארץ הקדם")</f>
        <v>מסע בארץ הקדם</v>
      </c>
    </row>
    <row r="24724" spans="1:6" x14ac:dyDescent="0.2">
      <c r="A24724" t="s">
        <v>39623</v>
      </c>
      <c r="B24724" t="s">
        <v>2145</v>
      </c>
      <c r="C24724" t="s">
        <v>1246</v>
      </c>
      <c r="D24724" t="s">
        <v>27</v>
      </c>
      <c r="E24724" t="s">
        <v>119</v>
      </c>
      <c r="F24724" s="2" t="str">
        <f>HYPERLINK("http://www.otzar.org/book.asp?149421","מסע בבל")</f>
        <v>מסע בבל</v>
      </c>
    </row>
    <row r="24725" spans="1:6" x14ac:dyDescent="0.2">
      <c r="A24725" t="s">
        <v>39624</v>
      </c>
      <c r="B24725" t="s">
        <v>39624</v>
      </c>
      <c r="C24725" t="s">
        <v>160</v>
      </c>
      <c r="D24725" t="s">
        <v>27</v>
      </c>
      <c r="E24725" t="s">
        <v>733</v>
      </c>
      <c r="F24725" s="2" t="str">
        <f>HYPERLINK("http://www.otzar.org/book.asp?104508","מסע ההצלה")</f>
        <v>מסע ההצלה</v>
      </c>
    </row>
    <row r="24726" spans="1:6" x14ac:dyDescent="0.2">
      <c r="A24726" t="s">
        <v>39625</v>
      </c>
      <c r="B24726" t="s">
        <v>39626</v>
      </c>
      <c r="C24726" t="s">
        <v>168</v>
      </c>
      <c r="D24726" t="s">
        <v>14</v>
      </c>
      <c r="E24726" t="s">
        <v>140</v>
      </c>
      <c r="F24726" s="2" t="str">
        <f>HYPERLINK("http://www.otzar.org/book.asp?155944","מסע המלכות")</f>
        <v>מסע המלכות</v>
      </c>
    </row>
    <row r="24727" spans="1:6" x14ac:dyDescent="0.2">
      <c r="A24727" t="s">
        <v>39627</v>
      </c>
      <c r="B24727" t="s">
        <v>39628</v>
      </c>
      <c r="C24727" t="s">
        <v>482</v>
      </c>
      <c r="D24727" t="s">
        <v>21</v>
      </c>
      <c r="E24727" t="s">
        <v>119</v>
      </c>
      <c r="F24727" s="2" t="str">
        <f>HYPERLINK("http://www.otzar.org/book.asp?197416","מסע הצלב של המסיון")</f>
        <v>מסע הצלב של המסיון</v>
      </c>
    </row>
    <row r="24728" spans="1:6" x14ac:dyDescent="0.2">
      <c r="A24728" t="s">
        <v>39629</v>
      </c>
      <c r="B24728" t="s">
        <v>11656</v>
      </c>
      <c r="C24728" t="s">
        <v>624</v>
      </c>
      <c r="D24728" t="s">
        <v>14</v>
      </c>
      <c r="E24728" t="s">
        <v>140</v>
      </c>
      <c r="F24728" s="2" t="str">
        <f>HYPERLINK("http://www.otzar.org/book.asp?618000","מסע הקודש")</f>
        <v>מסע הקודש</v>
      </c>
    </row>
    <row r="24729" spans="1:6" x14ac:dyDescent="0.2">
      <c r="A24729" t="s">
        <v>39630</v>
      </c>
      <c r="B24729" t="s">
        <v>39631</v>
      </c>
      <c r="C24729" t="s">
        <v>649</v>
      </c>
      <c r="D24729" t="s">
        <v>8545</v>
      </c>
      <c r="E24729" t="s">
        <v>104</v>
      </c>
      <c r="F24729" s="2" t="str">
        <f>HYPERLINK("http://www.otzar.org/book.asp?197619","מסע לארץ ישראל בשנת ת""ת")</f>
        <v>מסע לארץ ישראל בשנת ת"ת</v>
      </c>
    </row>
    <row r="24730" spans="1:6" x14ac:dyDescent="0.2">
      <c r="A24730" t="s">
        <v>39632</v>
      </c>
      <c r="B24730" t="s">
        <v>39633</v>
      </c>
      <c r="C24730" t="s">
        <v>785</v>
      </c>
      <c r="D24730" t="s">
        <v>1188</v>
      </c>
      <c r="E24730" t="s">
        <v>18910</v>
      </c>
      <c r="F24730" s="2" t="str">
        <f>HYPERLINK("http://www.otzar.org/book.asp?16517","מסע מירון וערי הגליל")</f>
        <v>מסע מירון וערי הגליל</v>
      </c>
    </row>
    <row r="24731" spans="1:6" x14ac:dyDescent="0.2">
      <c r="A24731" t="s">
        <v>39634</v>
      </c>
      <c r="B24731" t="s">
        <v>39635</v>
      </c>
      <c r="C24731" t="s">
        <v>63</v>
      </c>
      <c r="D24731" t="s">
        <v>14</v>
      </c>
      <c r="E24731" t="s">
        <v>39636</v>
      </c>
      <c r="F24731" s="2" t="str">
        <f>HYPERLINK("http://www.otzar.org/book.asp?6799","מסע מירון")</f>
        <v>מסע מירון</v>
      </c>
    </row>
    <row r="24732" spans="1:6" x14ac:dyDescent="0.2">
      <c r="A24732" t="s">
        <v>39634</v>
      </c>
      <c r="B24732" t="s">
        <v>39633</v>
      </c>
      <c r="C24732" t="s">
        <v>533</v>
      </c>
      <c r="D24732" t="s">
        <v>14</v>
      </c>
      <c r="E24732" t="s">
        <v>104</v>
      </c>
      <c r="F24732" s="2" t="str">
        <f>HYPERLINK("http://www.otzar.org/book.asp?155421","מסע מירון")</f>
        <v>מסע מירון</v>
      </c>
    </row>
    <row r="24733" spans="1:6" x14ac:dyDescent="0.2">
      <c r="A24733" t="s">
        <v>39637</v>
      </c>
      <c r="B24733" t="s">
        <v>10056</v>
      </c>
      <c r="C24733" t="s">
        <v>244</v>
      </c>
      <c r="D24733" t="s">
        <v>1180</v>
      </c>
      <c r="E24733" t="s">
        <v>140</v>
      </c>
      <c r="F24733" s="2" t="str">
        <f>HYPERLINK("http://www.otzar.org/book.asp?199177","מסע עזרת אבותינו")</f>
        <v>מסע עזרת אבותינו</v>
      </c>
    </row>
    <row r="24734" spans="1:6" x14ac:dyDescent="0.2">
      <c r="A24734" t="s">
        <v>39638</v>
      </c>
      <c r="B24734" t="s">
        <v>39639</v>
      </c>
      <c r="C24734" t="s">
        <v>313</v>
      </c>
      <c r="D24734" t="s">
        <v>486</v>
      </c>
      <c r="E24734" t="s">
        <v>104</v>
      </c>
      <c r="F24734" s="2" t="str">
        <f>HYPERLINK("http://www.otzar.org/book.asp?52765","מסע פולין")</f>
        <v>מסע פולין</v>
      </c>
    </row>
    <row r="24735" spans="1:6" x14ac:dyDescent="0.2">
      <c r="A24735" t="s">
        <v>39640</v>
      </c>
      <c r="B24735" t="s">
        <v>39638</v>
      </c>
      <c r="C24735" t="s">
        <v>624</v>
      </c>
      <c r="D24735" t="s">
        <v>52</v>
      </c>
      <c r="E24735" t="s">
        <v>733</v>
      </c>
      <c r="F24735" s="2" t="str">
        <f>HYPERLINK("http://www.otzar.org/book.asp?84214","מסע פולין - 2 כר'")</f>
        <v>מסע פולין - 2 כר'</v>
      </c>
    </row>
    <row r="24736" spans="1:6" x14ac:dyDescent="0.2">
      <c r="A24736" t="s">
        <v>39641</v>
      </c>
      <c r="B24736" t="s">
        <v>514</v>
      </c>
      <c r="C24736" t="s">
        <v>46</v>
      </c>
      <c r="D24736" t="s">
        <v>27</v>
      </c>
      <c r="E24736" t="s">
        <v>104</v>
      </c>
      <c r="F24736" s="2" t="str">
        <f>HYPERLINK("http://www.otzar.org/book.asp?166783","מסע תימן")</f>
        <v>מסע תימן</v>
      </c>
    </row>
    <row r="24737" spans="1:6" x14ac:dyDescent="0.2">
      <c r="A24737" t="s">
        <v>39642</v>
      </c>
      <c r="B24737" t="s">
        <v>39643</v>
      </c>
      <c r="C24737" t="s">
        <v>1663</v>
      </c>
      <c r="D24737" t="s">
        <v>1889</v>
      </c>
      <c r="E24737" t="s">
        <v>4435</v>
      </c>
      <c r="F24737" s="2" t="str">
        <f>HYPERLINK("http://www.otzar.org/book.asp?300525","מסעד לבית ה'")</f>
        <v>מסעד לבית ה'</v>
      </c>
    </row>
    <row r="24738" spans="1:6" x14ac:dyDescent="0.2">
      <c r="A24738" t="s">
        <v>39644</v>
      </c>
      <c r="B24738" t="s">
        <v>39645</v>
      </c>
      <c r="C24738" t="s">
        <v>1811</v>
      </c>
      <c r="D24738" t="s">
        <v>21</v>
      </c>
      <c r="E24738" t="s">
        <v>3387</v>
      </c>
      <c r="F24738" s="2" t="str">
        <f>HYPERLINK("http://www.otzar.org/book.asp?198422","מסעדי גבר")</f>
        <v>מסעדי גבר</v>
      </c>
    </row>
    <row r="24739" spans="1:6" x14ac:dyDescent="0.2">
      <c r="A24739" t="s">
        <v>39646</v>
      </c>
      <c r="B24739" t="s">
        <v>39647</v>
      </c>
      <c r="C24739" t="s">
        <v>725</v>
      </c>
      <c r="D24739" t="s">
        <v>27</v>
      </c>
      <c r="E24739" t="s">
        <v>733</v>
      </c>
      <c r="F24739" s="2" t="str">
        <f>HYPERLINK("http://www.otzar.org/book.asp?726","מסעות ארץ-ישראל לרבי משה באסולה")</f>
        <v>מסעות ארץ-ישראל לרבי משה באסולה</v>
      </c>
    </row>
    <row r="24740" spans="1:6" x14ac:dyDescent="0.2">
      <c r="A24740" t="s">
        <v>39648</v>
      </c>
      <c r="B24740" t="s">
        <v>39649</v>
      </c>
      <c r="C24740" t="s">
        <v>1535</v>
      </c>
      <c r="D24740" t="s">
        <v>379</v>
      </c>
      <c r="E24740" t="s">
        <v>5398</v>
      </c>
      <c r="F24740" s="2" t="str">
        <f>HYPERLINK("http://www.otzar.org/book.asp?7955","מסעות ירושלים - 3 כר'")</f>
        <v>מסעות ירושלים - 3 כר'</v>
      </c>
    </row>
    <row r="24741" spans="1:6" x14ac:dyDescent="0.2">
      <c r="A24741" t="s">
        <v>39650</v>
      </c>
      <c r="B24741" t="s">
        <v>1821</v>
      </c>
      <c r="C24741" t="s">
        <v>812</v>
      </c>
      <c r="D24741" t="s">
        <v>27</v>
      </c>
      <c r="E24741" t="s">
        <v>4104</v>
      </c>
      <c r="F24741" s="2" t="str">
        <f>HYPERLINK("http://www.otzar.org/book.asp?14536","מסעות ישראל")</f>
        <v>מסעות ישראל</v>
      </c>
    </row>
    <row r="24742" spans="1:6" x14ac:dyDescent="0.2">
      <c r="A24742" t="s">
        <v>39651</v>
      </c>
      <c r="B24742" t="s">
        <v>39652</v>
      </c>
      <c r="C24742" t="s">
        <v>946</v>
      </c>
      <c r="D24742" t="s">
        <v>8024</v>
      </c>
      <c r="E24742" t="s">
        <v>104</v>
      </c>
      <c r="F24742" s="2" t="str">
        <f>HYPERLINK("http://www.otzar.org/book.asp?168019","מסעות משה")</f>
        <v>מסעות משה</v>
      </c>
    </row>
    <row r="24743" spans="1:6" x14ac:dyDescent="0.2">
      <c r="A24743" t="s">
        <v>39653</v>
      </c>
      <c r="B24743" t="s">
        <v>39654</v>
      </c>
      <c r="C24743" t="s">
        <v>1058</v>
      </c>
      <c r="D24743" t="s">
        <v>1279</v>
      </c>
      <c r="E24743" t="s">
        <v>104</v>
      </c>
      <c r="F24743" s="2" t="str">
        <f>HYPERLINK("http://www.otzar.org/book.asp?169266","מסעות רבי בנימן")</f>
        <v>מסעות רבי בנימן</v>
      </c>
    </row>
    <row r="24744" spans="1:6" x14ac:dyDescent="0.2">
      <c r="A24744" t="s">
        <v>39655</v>
      </c>
      <c r="B24744" t="s">
        <v>39656</v>
      </c>
      <c r="C24744" t="s">
        <v>1414</v>
      </c>
      <c r="D24744" t="s">
        <v>646</v>
      </c>
      <c r="E24744" t="s">
        <v>104</v>
      </c>
      <c r="F24744" s="2" t="str">
        <f>HYPERLINK("http://www.otzar.org/book.asp?197597","מסעות רבי פתחיה מרעגנשפורג")</f>
        <v>מסעות רבי פתחיה מרעגנשפורג</v>
      </c>
    </row>
    <row r="24745" spans="1:6" x14ac:dyDescent="0.2">
      <c r="A24745" t="s">
        <v>39657</v>
      </c>
      <c r="B24745" t="s">
        <v>39654</v>
      </c>
      <c r="C24745" t="s">
        <v>2543</v>
      </c>
      <c r="D24745" t="s">
        <v>563</v>
      </c>
      <c r="E24745" t="s">
        <v>104</v>
      </c>
      <c r="F24745" s="2" t="str">
        <f>HYPERLINK("http://www.otzar.org/book.asp?152920","מסעות של ר' בנימן ז""ל")</f>
        <v>מסעות של ר' בנימן ז"ל</v>
      </c>
    </row>
    <row r="24746" spans="1:6" x14ac:dyDescent="0.2">
      <c r="A24746" t="s">
        <v>39658</v>
      </c>
      <c r="B24746" t="s">
        <v>39654</v>
      </c>
      <c r="C24746" t="s">
        <v>27030</v>
      </c>
      <c r="D24746" t="s">
        <v>39659</v>
      </c>
      <c r="E24746" t="s">
        <v>104</v>
      </c>
      <c r="F24746" s="2" t="str">
        <f>HYPERLINK("http://www.otzar.org/book.asp?106544","מסעות של רבי בנימן")</f>
        <v>מסעות של רבי בנימן</v>
      </c>
    </row>
    <row r="24747" spans="1:6" x14ac:dyDescent="0.2">
      <c r="A24747" t="s">
        <v>39660</v>
      </c>
      <c r="B24747" t="s">
        <v>32524</v>
      </c>
      <c r="C24747" t="s">
        <v>1124</v>
      </c>
      <c r="D24747" t="s">
        <v>27</v>
      </c>
      <c r="E24747" t="s">
        <v>733</v>
      </c>
      <c r="F24747" s="2" t="str">
        <f>HYPERLINK("http://www.otzar.org/book.asp?20226","מסעי הירח")</f>
        <v>מסעי הירח</v>
      </c>
    </row>
    <row r="24748" spans="1:6" x14ac:dyDescent="0.2">
      <c r="A24748" t="s">
        <v>39661</v>
      </c>
      <c r="B24748" t="s">
        <v>39662</v>
      </c>
      <c r="C24748" t="s">
        <v>103</v>
      </c>
      <c r="D24748" t="s">
        <v>52</v>
      </c>
      <c r="E24748" t="s">
        <v>384</v>
      </c>
      <c r="F24748" s="2" t="str">
        <f>HYPERLINK("http://www.otzar.org/book.asp?62095","מסעיהם למוצאיהם")</f>
        <v>מסעיהם למוצאיהם</v>
      </c>
    </row>
    <row r="24749" spans="1:6" x14ac:dyDescent="0.2">
      <c r="A24749" t="s">
        <v>39663</v>
      </c>
      <c r="B24749" t="s">
        <v>6783</v>
      </c>
      <c r="C24749" t="s">
        <v>2605</v>
      </c>
      <c r="D24749" t="s">
        <v>535</v>
      </c>
      <c r="E24749" t="s">
        <v>1262</v>
      </c>
      <c r="F24749" s="2" t="str">
        <f>HYPERLINK("http://www.otzar.org/book.asp?102353","מספד גדול וכבד מאוד")</f>
        <v>מספד גדול וכבד מאוד</v>
      </c>
    </row>
    <row r="24750" spans="1:6" x14ac:dyDescent="0.2">
      <c r="A24750" t="s">
        <v>39664</v>
      </c>
      <c r="B24750" t="s">
        <v>1275</v>
      </c>
      <c r="C24750" t="s">
        <v>23</v>
      </c>
      <c r="D24750" t="s">
        <v>14</v>
      </c>
      <c r="F24750" s="2" t="str">
        <f>HYPERLINK("http://www.otzar.org/book.asp?612009","מספד גדול")</f>
        <v>מספד גדול</v>
      </c>
    </row>
    <row r="24751" spans="1:6" x14ac:dyDescent="0.2">
      <c r="A24751" t="s">
        <v>39664</v>
      </c>
      <c r="B24751" t="s">
        <v>39665</v>
      </c>
      <c r="C24751" t="s">
        <v>51</v>
      </c>
      <c r="D24751" t="s">
        <v>52</v>
      </c>
      <c r="E24751" t="s">
        <v>234</v>
      </c>
      <c r="F24751" s="2" t="str">
        <f>HYPERLINK("http://www.otzar.org/book.asp?169382","מספד גדול")</f>
        <v>מספד גדול</v>
      </c>
    </row>
    <row r="24752" spans="1:6" x14ac:dyDescent="0.2">
      <c r="A24752" t="s">
        <v>39664</v>
      </c>
      <c r="B24752" t="s">
        <v>39666</v>
      </c>
      <c r="C24752" t="s">
        <v>5903</v>
      </c>
      <c r="D24752" t="s">
        <v>1117</v>
      </c>
      <c r="E24752" t="s">
        <v>234</v>
      </c>
      <c r="F24752" s="2" t="str">
        <f>HYPERLINK("http://www.otzar.org/book.asp?16612","מספד גדול")</f>
        <v>מספד גדול</v>
      </c>
    </row>
    <row r="24753" spans="1:6" x14ac:dyDescent="0.2">
      <c r="A24753" t="s">
        <v>39667</v>
      </c>
      <c r="B24753" t="s">
        <v>39668</v>
      </c>
      <c r="C24753" t="s">
        <v>20</v>
      </c>
      <c r="D24753" t="s">
        <v>52</v>
      </c>
      <c r="F24753" s="2" t="str">
        <f>HYPERLINK("http://www.otzar.org/book.asp?622009","מספד דמעה - לזכרו של הרבי מלאכסנדר")</f>
        <v>מספד דמעה - לזכרו של הרבי מלאכסנדר</v>
      </c>
    </row>
    <row r="24754" spans="1:6" x14ac:dyDescent="0.2">
      <c r="A24754" t="s">
        <v>39669</v>
      </c>
      <c r="B24754" t="s">
        <v>285</v>
      </c>
      <c r="C24754" t="s">
        <v>908</v>
      </c>
      <c r="D24754" t="s">
        <v>287</v>
      </c>
      <c r="E24754" t="s">
        <v>234</v>
      </c>
      <c r="F24754" s="2" t="str">
        <f>HYPERLINK("http://www.otzar.org/book.asp?21492","מספד וקינה - על מרן בעל החפץ חיים")</f>
        <v>מספד וקינה - על מרן בעל החפץ חיים</v>
      </c>
    </row>
    <row r="24755" spans="1:6" x14ac:dyDescent="0.2">
      <c r="A24755" t="s">
        <v>39670</v>
      </c>
      <c r="B24755" t="s">
        <v>31579</v>
      </c>
      <c r="C24755" t="s">
        <v>624</v>
      </c>
      <c r="D24755" t="s">
        <v>14</v>
      </c>
      <c r="E24755" t="s">
        <v>234</v>
      </c>
      <c r="F24755" s="2" t="str">
        <f>HYPERLINK("http://www.otzar.org/book.asp?61589","מספד מר")</f>
        <v>מספד מר</v>
      </c>
    </row>
    <row r="24756" spans="1:6" x14ac:dyDescent="0.2">
      <c r="A24756" t="s">
        <v>39670</v>
      </c>
      <c r="B24756" t="s">
        <v>36489</v>
      </c>
      <c r="C24756" t="s">
        <v>55</v>
      </c>
      <c r="D24756" t="s">
        <v>1008</v>
      </c>
      <c r="E24756" t="s">
        <v>234</v>
      </c>
      <c r="F24756" s="2" t="str">
        <f>HYPERLINK("http://www.otzar.org/book.asp?166891","מספד מר")</f>
        <v>מספד מר</v>
      </c>
    </row>
    <row r="24757" spans="1:6" x14ac:dyDescent="0.2">
      <c r="A24757" t="s">
        <v>39671</v>
      </c>
      <c r="B24757" t="s">
        <v>1291</v>
      </c>
      <c r="C24757" t="s">
        <v>3695</v>
      </c>
      <c r="D24757" t="s">
        <v>267</v>
      </c>
      <c r="E24757" t="s">
        <v>234</v>
      </c>
      <c r="F24757" s="2" t="str">
        <f>HYPERLINK("http://www.otzar.org/book.asp?102354","מספד רב")</f>
        <v>מספד רב</v>
      </c>
    </row>
    <row r="24758" spans="1:6" x14ac:dyDescent="0.2">
      <c r="A24758" t="s">
        <v>39672</v>
      </c>
      <c r="B24758" t="s">
        <v>174</v>
      </c>
      <c r="C24758" t="s">
        <v>334</v>
      </c>
      <c r="D24758" t="s">
        <v>52</v>
      </c>
      <c r="E24758" t="s">
        <v>234</v>
      </c>
      <c r="F24758" s="2" t="str">
        <f>HYPERLINK("http://www.otzar.org/book.asp?166136","מספד שנשא מרן הגרא""מ שך שליט""א")</f>
        <v>מספד שנשא מרן הגרא"מ שך שליט"א</v>
      </c>
    </row>
    <row r="24759" spans="1:6" x14ac:dyDescent="0.2">
      <c r="A24759" t="s">
        <v>39673</v>
      </c>
      <c r="B24759" t="s">
        <v>39674</v>
      </c>
      <c r="C24759" t="s">
        <v>748</v>
      </c>
      <c r="D24759" t="s">
        <v>56</v>
      </c>
      <c r="E24759" t="s">
        <v>234</v>
      </c>
      <c r="F24759" s="2" t="str">
        <f>HYPERLINK("http://www.otzar.org/book.asp?103515","מספד תמרורים")</f>
        <v>מספד תמרורים</v>
      </c>
    </row>
    <row r="24760" spans="1:6" x14ac:dyDescent="0.2">
      <c r="A24760" t="s">
        <v>39673</v>
      </c>
      <c r="B24760" t="s">
        <v>39675</v>
      </c>
      <c r="C24760" t="s">
        <v>286</v>
      </c>
      <c r="D24760" t="s">
        <v>287</v>
      </c>
      <c r="E24760" t="s">
        <v>234</v>
      </c>
      <c r="F24760" s="2" t="str">
        <f>HYPERLINK("http://www.otzar.org/book.asp?21496","מספד תמרורים")</f>
        <v>מספד תמרורים</v>
      </c>
    </row>
    <row r="24761" spans="1:6" x14ac:dyDescent="0.2">
      <c r="A24761" t="s">
        <v>39673</v>
      </c>
      <c r="B24761" t="s">
        <v>4413</v>
      </c>
      <c r="C24761" t="s">
        <v>360</v>
      </c>
      <c r="D24761" t="s">
        <v>283</v>
      </c>
      <c r="E24761" t="s">
        <v>234</v>
      </c>
      <c r="F24761" s="2" t="str">
        <f>HYPERLINK("http://www.otzar.org/book.asp?102355","מספד תמרורים")</f>
        <v>מספד תמרורים</v>
      </c>
    </row>
    <row r="24762" spans="1:6" x14ac:dyDescent="0.2">
      <c r="A24762" t="s">
        <v>39673</v>
      </c>
      <c r="B24762" t="s">
        <v>12619</v>
      </c>
      <c r="C24762" t="s">
        <v>429</v>
      </c>
      <c r="D24762" t="s">
        <v>56</v>
      </c>
      <c r="E24762" t="s">
        <v>234</v>
      </c>
      <c r="F24762" s="2" t="str">
        <f>HYPERLINK("http://www.otzar.org/book.asp?189538","מספד תמרורים")</f>
        <v>מספד תמרורים</v>
      </c>
    </row>
    <row r="24763" spans="1:6" x14ac:dyDescent="0.2">
      <c r="A24763" t="s">
        <v>39673</v>
      </c>
      <c r="B24763" t="s">
        <v>39676</v>
      </c>
      <c r="C24763" t="s">
        <v>1706</v>
      </c>
      <c r="D24763" t="s">
        <v>6238</v>
      </c>
      <c r="E24763" t="s">
        <v>234</v>
      </c>
      <c r="F24763" s="2" t="str">
        <f>HYPERLINK("http://www.otzar.org/book.asp?189537","מספד תמרורים")</f>
        <v>מספד תמרורים</v>
      </c>
    </row>
    <row r="24764" spans="1:6" x14ac:dyDescent="0.2">
      <c r="A24764" t="s">
        <v>39673</v>
      </c>
      <c r="B24764" t="s">
        <v>39677</v>
      </c>
      <c r="C24764" t="s">
        <v>360</v>
      </c>
      <c r="D24764" t="s">
        <v>267</v>
      </c>
      <c r="E24764" t="s">
        <v>234</v>
      </c>
      <c r="F24764" s="2" t="str">
        <f>HYPERLINK("http://www.otzar.org/book.asp?25005","מספד תמרורים")</f>
        <v>מספד תמרורים</v>
      </c>
    </row>
    <row r="24765" spans="1:6" x14ac:dyDescent="0.2">
      <c r="A24765" t="s">
        <v>39673</v>
      </c>
      <c r="B24765" t="s">
        <v>39678</v>
      </c>
      <c r="C24765" t="s">
        <v>3690</v>
      </c>
      <c r="D24765" t="s">
        <v>56</v>
      </c>
      <c r="E24765" t="s">
        <v>234</v>
      </c>
      <c r="F24765" s="2" t="str">
        <f>HYPERLINK("http://www.otzar.org/book.asp?167551","מספד תמרורים")</f>
        <v>מספד תמרורים</v>
      </c>
    </row>
    <row r="24766" spans="1:6" x14ac:dyDescent="0.2">
      <c r="A24766" t="s">
        <v>39673</v>
      </c>
      <c r="B24766" t="s">
        <v>23356</v>
      </c>
      <c r="C24766" t="s">
        <v>6052</v>
      </c>
      <c r="D24766" t="s">
        <v>283</v>
      </c>
      <c r="E24766" t="s">
        <v>234</v>
      </c>
      <c r="F24766" s="2" t="str">
        <f>HYPERLINK("http://www.otzar.org/book.asp?189535","מספד תמרורים")</f>
        <v>מספד תמרורים</v>
      </c>
    </row>
    <row r="24767" spans="1:6" x14ac:dyDescent="0.2">
      <c r="A24767" t="s">
        <v>39673</v>
      </c>
      <c r="B24767" t="s">
        <v>39679</v>
      </c>
      <c r="C24767" t="s">
        <v>1706</v>
      </c>
      <c r="D24767" t="s">
        <v>661</v>
      </c>
      <c r="E24767" t="s">
        <v>234</v>
      </c>
      <c r="F24767" s="2" t="str">
        <f>HYPERLINK("http://www.otzar.org/book.asp?189536","מספד תמרורים")</f>
        <v>מספד תמרורים</v>
      </c>
    </row>
    <row r="24768" spans="1:6" x14ac:dyDescent="0.2">
      <c r="A24768" t="s">
        <v>39680</v>
      </c>
      <c r="B24768" t="s">
        <v>39681</v>
      </c>
      <c r="C24768" t="s">
        <v>442</v>
      </c>
      <c r="D24768" t="s">
        <v>27</v>
      </c>
      <c r="E24768" t="s">
        <v>741</v>
      </c>
      <c r="F24768" s="2" t="str">
        <f>HYPERLINK("http://www.otzar.org/book.asp?170559","מספורי החסידים")</f>
        <v>מספורי החסידים</v>
      </c>
    </row>
    <row r="24769" spans="1:6" x14ac:dyDescent="0.2">
      <c r="A24769" t="s">
        <v>39682</v>
      </c>
      <c r="B24769" t="s">
        <v>107</v>
      </c>
      <c r="C24769" t="s">
        <v>533</v>
      </c>
      <c r="D24769" t="s">
        <v>14</v>
      </c>
      <c r="E24769" t="s">
        <v>674</v>
      </c>
      <c r="F24769" s="2" t="str">
        <f>HYPERLINK("http://www.otzar.org/book.asp?148251","מספר בני ישראל")</f>
        <v>מספר בני ישראל</v>
      </c>
    </row>
    <row r="24770" spans="1:6" x14ac:dyDescent="0.2">
      <c r="A24770" t="s">
        <v>39683</v>
      </c>
      <c r="B24770" t="s">
        <v>39684</v>
      </c>
      <c r="C24770" t="s">
        <v>919</v>
      </c>
      <c r="D24770" t="s">
        <v>14</v>
      </c>
      <c r="E24770" t="s">
        <v>39685</v>
      </c>
      <c r="F24770" s="2" t="str">
        <f>HYPERLINK("http://www.otzar.org/book.asp?9751","מספר הסופר &lt;מעט צרי&gt; - ב (אה""ע)")</f>
        <v>מספר הסופר &lt;מעט צרי&gt; - ב (אה"ע)</v>
      </c>
    </row>
    <row r="24771" spans="1:6" x14ac:dyDescent="0.2">
      <c r="A24771" t="s">
        <v>39686</v>
      </c>
      <c r="B24771" t="s">
        <v>39687</v>
      </c>
      <c r="C24771" t="s">
        <v>390</v>
      </c>
      <c r="D24771" t="s">
        <v>14</v>
      </c>
      <c r="E24771" t="s">
        <v>684</v>
      </c>
      <c r="F24771" s="2" t="str">
        <f>HYPERLINK("http://www.otzar.org/book.asp?9752","מספר הסופר &lt;מעט צרי&gt; - א (או""ח, יו""ד)")</f>
        <v>מספר הסופר &lt;מעט צרי&gt; - א (או"ח, יו"ד)</v>
      </c>
    </row>
    <row r="24772" spans="1:6" x14ac:dyDescent="0.2">
      <c r="A24772" t="s">
        <v>39688</v>
      </c>
      <c r="B24772" t="s">
        <v>39689</v>
      </c>
      <c r="C24772" t="s">
        <v>11383</v>
      </c>
      <c r="D24772" t="s">
        <v>280</v>
      </c>
      <c r="E24772" t="s">
        <v>144</v>
      </c>
      <c r="F24772" s="2" t="str">
        <f>HYPERLINK("http://www.otzar.org/book.asp?101089","מספר צבאם")</f>
        <v>מספר צבאם</v>
      </c>
    </row>
    <row r="24773" spans="1:6" x14ac:dyDescent="0.2">
      <c r="A24773" t="s">
        <v>39690</v>
      </c>
      <c r="B24773" t="s">
        <v>39691</v>
      </c>
      <c r="C24773" t="s">
        <v>2132</v>
      </c>
      <c r="D24773" t="s">
        <v>2319</v>
      </c>
      <c r="E24773" t="s">
        <v>202</v>
      </c>
      <c r="F24773" s="2" t="str">
        <f>HYPERLINK("http://www.otzar.org/book.asp?605052","מספרא לסייפא - 6 כר'")</f>
        <v>מספרא לסייפא - 6 כר'</v>
      </c>
    </row>
    <row r="24774" spans="1:6" x14ac:dyDescent="0.2">
      <c r="A24774" t="s">
        <v>39692</v>
      </c>
      <c r="B24774" t="s">
        <v>8181</v>
      </c>
      <c r="C24774" t="s">
        <v>1374</v>
      </c>
      <c r="D24774" t="s">
        <v>27</v>
      </c>
      <c r="E24774" t="s">
        <v>10</v>
      </c>
      <c r="F24774" s="2" t="str">
        <f>HYPERLINK("http://www.otzar.org/book.asp?105857","מספרות הגאונים")</f>
        <v>מספרות הגאונים</v>
      </c>
    </row>
    <row r="24775" spans="1:6" x14ac:dyDescent="0.2">
      <c r="A24775" t="s">
        <v>39693</v>
      </c>
      <c r="B24775" t="s">
        <v>7048</v>
      </c>
      <c r="C24775" t="s">
        <v>940</v>
      </c>
      <c r="D24775" t="s">
        <v>216</v>
      </c>
      <c r="F24775" s="2" t="str">
        <f>HYPERLINK("http://www.otzar.org/book.asp?194913","מספרי צדיקים ויראים")</f>
        <v>מספרי צדיקים ויראים</v>
      </c>
    </row>
    <row r="24776" spans="1:6" x14ac:dyDescent="0.2">
      <c r="A24776" t="s">
        <v>39694</v>
      </c>
      <c r="B24776" t="s">
        <v>34631</v>
      </c>
      <c r="C24776" t="s">
        <v>160</v>
      </c>
      <c r="D24776" t="s">
        <v>14</v>
      </c>
      <c r="E24776" t="s">
        <v>2596</v>
      </c>
      <c r="F24776" s="2" t="str">
        <f>HYPERLINK("http://www.otzar.org/book.asp?103880","מספרי רב שמואל בן חפני &lt;מתוך תרביץ&gt;")</f>
        <v>מספרי רב שמואל בן חפני &lt;מתוך תרביץ&gt;</v>
      </c>
    </row>
    <row r="24777" spans="1:6" x14ac:dyDescent="0.2">
      <c r="A24777" t="s">
        <v>39695</v>
      </c>
      <c r="B24777" t="s">
        <v>39696</v>
      </c>
      <c r="C24777" t="s">
        <v>39697</v>
      </c>
      <c r="D24777" t="s">
        <v>95</v>
      </c>
      <c r="E24777" t="s">
        <v>104</v>
      </c>
      <c r="F24777" s="2" t="str">
        <f>HYPERLINK("http://www.otzar.org/book.asp?145454","מסרות - 2 כר'")</f>
        <v>מסרות - 2 כר'</v>
      </c>
    </row>
    <row r="24778" spans="1:6" x14ac:dyDescent="0.2">
      <c r="A24778" t="s">
        <v>39698</v>
      </c>
      <c r="B24778" t="s">
        <v>27568</v>
      </c>
      <c r="C24778" t="s">
        <v>2302</v>
      </c>
      <c r="D24778" t="s">
        <v>5665</v>
      </c>
      <c r="E24778" t="s">
        <v>579</v>
      </c>
      <c r="F24778" s="2" t="str">
        <f>HYPERLINK("http://www.otzar.org/book.asp?100544","מסרת המסרת")</f>
        <v>מסרת המסרת</v>
      </c>
    </row>
    <row r="24779" spans="1:6" x14ac:dyDescent="0.2">
      <c r="A24779" t="s">
        <v>39699</v>
      </c>
      <c r="B24779" t="s">
        <v>39700</v>
      </c>
      <c r="D24779" t="s">
        <v>10790</v>
      </c>
      <c r="F24779" s="2" t="str">
        <f>HYPERLINK("http://www.otzar.org/book.asp?195485","מסרת מסיני")</f>
        <v>מסרת מסיני</v>
      </c>
    </row>
    <row r="24780" spans="1:6" x14ac:dyDescent="0.2">
      <c r="A24780" t="s">
        <v>39701</v>
      </c>
      <c r="B24780" t="s">
        <v>14021</v>
      </c>
      <c r="C24780" t="s">
        <v>4705</v>
      </c>
      <c r="D24780" t="s">
        <v>535</v>
      </c>
      <c r="E24780" t="s">
        <v>579</v>
      </c>
      <c r="F24780" s="2" t="str">
        <f>HYPERLINK("http://www.otzar.org/book.asp?13115","מסרת סיג למקרא")</f>
        <v>מסרת סיג למקרא</v>
      </c>
    </row>
    <row r="24781" spans="1:6" x14ac:dyDescent="0.2">
      <c r="A24781" t="s">
        <v>39702</v>
      </c>
      <c r="B24781" t="s">
        <v>39703</v>
      </c>
      <c r="C24781" t="s">
        <v>39704</v>
      </c>
      <c r="D24781" t="s">
        <v>39705</v>
      </c>
      <c r="E24781" t="s">
        <v>144</v>
      </c>
      <c r="F24781" s="2" t="str">
        <f>HYPERLINK("http://www.otzar.org/book.asp?620013","מסתרי האגדה - ב")</f>
        <v>מסתרי האגדה - ב</v>
      </c>
    </row>
    <row r="24782" spans="1:6" x14ac:dyDescent="0.2">
      <c r="A24782" t="s">
        <v>39706</v>
      </c>
      <c r="B24782" t="s">
        <v>39707</v>
      </c>
      <c r="C24782" t="s">
        <v>603</v>
      </c>
      <c r="D24782" t="s">
        <v>283</v>
      </c>
      <c r="E24782" t="s">
        <v>24</v>
      </c>
      <c r="F24782" s="2" t="str">
        <f>HYPERLINK("http://www.otzar.org/book.asp?604302","מעבר יבק עם עברי טייטש")</f>
        <v>מעבר יבק עם עברי טייטש</v>
      </c>
    </row>
    <row r="24783" spans="1:6" x14ac:dyDescent="0.2">
      <c r="A24783" t="s">
        <v>39708</v>
      </c>
      <c r="B24783" t="s">
        <v>39707</v>
      </c>
      <c r="C24783" t="s">
        <v>22770</v>
      </c>
      <c r="D24783" t="s">
        <v>1411</v>
      </c>
      <c r="F24783" s="2" t="str">
        <f>HYPERLINK("http://www.otzar.org/book.asp?170068","מעבר יבק - 4 כר'")</f>
        <v>מעבר יבק - 4 כר'</v>
      </c>
    </row>
    <row r="24784" spans="1:6" x14ac:dyDescent="0.2">
      <c r="A24784" t="s">
        <v>39709</v>
      </c>
      <c r="B24784" t="s">
        <v>18832</v>
      </c>
      <c r="C24784" t="s">
        <v>422</v>
      </c>
      <c r="D24784" t="s">
        <v>14</v>
      </c>
      <c r="E24784" t="s">
        <v>241</v>
      </c>
      <c r="F24784" s="2" t="str">
        <f>HYPERLINK("http://www.otzar.org/book.asp?166326","מעבר לחומר")</f>
        <v>מעבר לחומר</v>
      </c>
    </row>
    <row r="24785" spans="1:6" x14ac:dyDescent="0.2">
      <c r="A24785" t="s">
        <v>39710</v>
      </c>
      <c r="B24785" t="s">
        <v>8442</v>
      </c>
      <c r="C24785" t="s">
        <v>151</v>
      </c>
      <c r="D24785" t="s">
        <v>52</v>
      </c>
      <c r="F24785" s="2" t="str">
        <f>HYPERLINK("http://www.otzar.org/book.asp?617726","מעגל החיים")</f>
        <v>מעגל החיים</v>
      </c>
    </row>
    <row r="24786" spans="1:6" x14ac:dyDescent="0.2">
      <c r="A24786" t="s">
        <v>39710</v>
      </c>
      <c r="B24786" t="s">
        <v>8909</v>
      </c>
      <c r="C24786" t="s">
        <v>366</v>
      </c>
      <c r="D24786" t="s">
        <v>14</v>
      </c>
      <c r="F24786" s="2" t="str">
        <f>HYPERLINK("http://www.otzar.org/book.asp?616152","מעגל החיים")</f>
        <v>מעגל החיים</v>
      </c>
    </row>
    <row r="24787" spans="1:6" x14ac:dyDescent="0.2">
      <c r="A24787" t="s">
        <v>39711</v>
      </c>
      <c r="B24787" t="s">
        <v>12683</v>
      </c>
      <c r="C24787" t="s">
        <v>133</v>
      </c>
      <c r="D24787" t="s">
        <v>90</v>
      </c>
      <c r="E24787" t="s">
        <v>246</v>
      </c>
      <c r="F24787" s="2" t="str">
        <f>HYPERLINK("http://www.otzar.org/book.asp?176253","מעגל השנה")</f>
        <v>מעגל השנה</v>
      </c>
    </row>
    <row r="24788" spans="1:6" x14ac:dyDescent="0.2">
      <c r="A24788" t="s">
        <v>39712</v>
      </c>
      <c r="B24788" t="s">
        <v>8442</v>
      </c>
      <c r="C24788" t="s">
        <v>151</v>
      </c>
      <c r="D24788" t="s">
        <v>52</v>
      </c>
      <c r="F24788" s="2" t="str">
        <f>HYPERLINK("http://www.otzar.org/book.asp?617719","מעגל השנה - 2 כר'")</f>
        <v>מעגל השנה - 2 כר'</v>
      </c>
    </row>
    <row r="24789" spans="1:6" x14ac:dyDescent="0.2">
      <c r="A24789" t="s">
        <v>39713</v>
      </c>
      <c r="B24789" t="s">
        <v>1308</v>
      </c>
      <c r="C24789" t="s">
        <v>39714</v>
      </c>
      <c r="D24789" t="s">
        <v>280</v>
      </c>
      <c r="E24789" t="s">
        <v>733</v>
      </c>
      <c r="F24789" s="2" t="str">
        <f>HYPERLINK("http://www.otzar.org/book.asp?597","מעגל טוב השלם")</f>
        <v>מעגל טוב השלם</v>
      </c>
    </row>
    <row r="24790" spans="1:6" x14ac:dyDescent="0.2">
      <c r="A24790" t="s">
        <v>39715</v>
      </c>
      <c r="B24790" t="s">
        <v>1308</v>
      </c>
      <c r="C24790" t="s">
        <v>1177</v>
      </c>
      <c r="D24790" t="s">
        <v>212</v>
      </c>
      <c r="E24790" t="s">
        <v>733</v>
      </c>
      <c r="F24790" s="2" t="str">
        <f>HYPERLINK("http://www.otzar.org/book.asp?103528","מעגל טוב - 3 כר'")</f>
        <v>מעגל טוב - 3 כר'</v>
      </c>
    </row>
    <row r="24791" spans="1:6" x14ac:dyDescent="0.2">
      <c r="A24791" t="s">
        <v>39716</v>
      </c>
      <c r="B24791" t="s">
        <v>4789</v>
      </c>
      <c r="C24791" t="s">
        <v>6607</v>
      </c>
      <c r="D24791" t="s">
        <v>4791</v>
      </c>
      <c r="E24791" t="s">
        <v>213</v>
      </c>
      <c r="F24791" s="2" t="str">
        <f>HYPERLINK("http://www.otzar.org/book.asp?62171","מעגל טוב")</f>
        <v>מעגל טוב</v>
      </c>
    </row>
    <row r="24792" spans="1:6" x14ac:dyDescent="0.2">
      <c r="A24792" t="s">
        <v>39717</v>
      </c>
      <c r="B24792" t="s">
        <v>39718</v>
      </c>
      <c r="C24792" t="s">
        <v>1418</v>
      </c>
      <c r="D24792" t="s">
        <v>283</v>
      </c>
      <c r="E24792" t="s">
        <v>213</v>
      </c>
      <c r="F24792" s="2" t="str">
        <f>HYPERLINK("http://www.otzar.org/book.asp?189357","מעגלות אור")</f>
        <v>מעגלות אור</v>
      </c>
    </row>
    <row r="24793" spans="1:6" x14ac:dyDescent="0.2">
      <c r="A24793" t="s">
        <v>39719</v>
      </c>
      <c r="B24793" t="s">
        <v>24616</v>
      </c>
      <c r="C24793" t="s">
        <v>422</v>
      </c>
      <c r="D24793" t="s">
        <v>1840</v>
      </c>
      <c r="E24793" t="s">
        <v>154</v>
      </c>
      <c r="F24793" s="2" t="str">
        <f>HYPERLINK("http://www.otzar.org/book.asp?153666","מעגלי אליהו - 4 כר'")</f>
        <v>מעגלי אליהו - 4 כר'</v>
      </c>
    </row>
    <row r="24794" spans="1:6" x14ac:dyDescent="0.2">
      <c r="A24794" t="s">
        <v>39720</v>
      </c>
      <c r="B24794" t="s">
        <v>3111</v>
      </c>
      <c r="C24794" t="s">
        <v>1208</v>
      </c>
      <c r="D24794" t="s">
        <v>14</v>
      </c>
      <c r="E24794" t="s">
        <v>15</v>
      </c>
      <c r="F24794" s="2" t="str">
        <f>HYPERLINK("http://www.otzar.org/book.asp?50246","מעגלי אליהו")</f>
        <v>מעגלי אליהו</v>
      </c>
    </row>
    <row r="24795" spans="1:6" x14ac:dyDescent="0.2">
      <c r="A24795" t="s">
        <v>39721</v>
      </c>
      <c r="B24795" t="s">
        <v>39722</v>
      </c>
      <c r="C24795" t="s">
        <v>129</v>
      </c>
      <c r="D24795" t="s">
        <v>14</v>
      </c>
      <c r="E24795" t="s">
        <v>104</v>
      </c>
      <c r="F24795" s="2" t="str">
        <f>HYPERLINK("http://www.otzar.org/book.asp?142459","מעגלי החיים - 6 כר'")</f>
        <v>מעגלי החיים - 6 כר'</v>
      </c>
    </row>
    <row r="24796" spans="1:6" x14ac:dyDescent="0.2">
      <c r="A24796" t="s">
        <v>39723</v>
      </c>
      <c r="B24796" t="s">
        <v>39724</v>
      </c>
      <c r="C24796" t="s">
        <v>433</v>
      </c>
      <c r="D24796" t="s">
        <v>216</v>
      </c>
      <c r="E24796" t="s">
        <v>39725</v>
      </c>
      <c r="F24796" s="2" t="str">
        <f>HYPERLINK("http://www.otzar.org/book.asp?145215","מעגלי ישר")</f>
        <v>מעגלי ישר</v>
      </c>
    </row>
    <row r="24797" spans="1:6" x14ac:dyDescent="0.2">
      <c r="A24797" t="s">
        <v>39726</v>
      </c>
      <c r="B24797" t="s">
        <v>239</v>
      </c>
      <c r="C24797" t="s">
        <v>20</v>
      </c>
      <c r="D24797" t="s">
        <v>240</v>
      </c>
      <c r="F24797" s="2" t="str">
        <f>HYPERLINK("http://www.otzar.org/book.asp?604602","מעגלי צדק &lt;המבואר&gt; - 2 כר'")</f>
        <v>מעגלי צדק &lt;המבואר&gt; - 2 כר'</v>
      </c>
    </row>
    <row r="24798" spans="1:6" x14ac:dyDescent="0.2">
      <c r="A24798" t="s">
        <v>39727</v>
      </c>
      <c r="B24798" t="s">
        <v>895</v>
      </c>
      <c r="C24798" t="s">
        <v>13</v>
      </c>
      <c r="D24798" t="s">
        <v>52</v>
      </c>
      <c r="E24798" t="s">
        <v>158</v>
      </c>
      <c r="F24798" s="2" t="str">
        <f>HYPERLINK("http://www.otzar.org/book.asp?157664","מעגלי צדק &lt;המבואר&gt; - 5 כר'")</f>
        <v>מעגלי צדק &lt;המבואר&gt; - 5 כר'</v>
      </c>
    </row>
    <row r="24799" spans="1:6" x14ac:dyDescent="0.2">
      <c r="A24799" t="s">
        <v>39728</v>
      </c>
      <c r="B24799" t="s">
        <v>239</v>
      </c>
      <c r="C24799" t="s">
        <v>2132</v>
      </c>
      <c r="D24799" t="s">
        <v>520</v>
      </c>
      <c r="E24799" t="s">
        <v>158</v>
      </c>
      <c r="F24799" s="2" t="str">
        <f>HYPERLINK("http://www.otzar.org/book.asp?199582","מעגלי צדק - 4 כר'")</f>
        <v>מעגלי צדק - 4 כר'</v>
      </c>
    </row>
    <row r="24800" spans="1:6" x14ac:dyDescent="0.2">
      <c r="A24800" t="s">
        <v>39729</v>
      </c>
      <c r="B24800" t="s">
        <v>39730</v>
      </c>
      <c r="C24800" t="s">
        <v>313</v>
      </c>
      <c r="D24800" t="s">
        <v>14</v>
      </c>
      <c r="E24800" t="s">
        <v>10</v>
      </c>
      <c r="F24800" s="2" t="str">
        <f>HYPERLINK("http://www.otzar.org/book.asp?155466","מעגלי צדק  - שו""ת רבי בנימין הלוי")</f>
        <v>מעגלי צדק  - שו"ת רבי בנימין הלוי</v>
      </c>
    </row>
    <row r="24801" spans="1:6" x14ac:dyDescent="0.2">
      <c r="A24801" t="s">
        <v>39731</v>
      </c>
      <c r="B24801" t="s">
        <v>2812</v>
      </c>
      <c r="C24801" t="s">
        <v>1885</v>
      </c>
      <c r="D24801" t="s">
        <v>661</v>
      </c>
      <c r="E24801" t="s">
        <v>241</v>
      </c>
      <c r="F24801" s="2" t="str">
        <f>HYPERLINK("http://www.otzar.org/book.asp?188625","מעגלי צדק")</f>
        <v>מעגלי צדק</v>
      </c>
    </row>
    <row r="24802" spans="1:6" x14ac:dyDescent="0.2">
      <c r="A24802" t="s">
        <v>39732</v>
      </c>
      <c r="B24802" t="s">
        <v>895</v>
      </c>
      <c r="C24802" t="s">
        <v>503</v>
      </c>
      <c r="D24802" t="s">
        <v>379</v>
      </c>
      <c r="E24802" t="s">
        <v>33021</v>
      </c>
      <c r="F24802" s="2" t="str">
        <f>HYPERLINK("http://www.otzar.org/book.asp?102356","מעגלי צדק - על התורה")</f>
        <v>מעגלי צדק - על התורה</v>
      </c>
    </row>
    <row r="24803" spans="1:6" x14ac:dyDescent="0.2">
      <c r="A24803" t="s">
        <v>39731</v>
      </c>
      <c r="B24803" t="s">
        <v>39733</v>
      </c>
      <c r="C24803" t="s">
        <v>785</v>
      </c>
      <c r="D24803" t="s">
        <v>10588</v>
      </c>
      <c r="E24803" t="s">
        <v>104</v>
      </c>
      <c r="F24803" s="2" t="str">
        <f>HYPERLINK("http://www.otzar.org/book.asp?12692","מעגלי צדק")</f>
        <v>מעגלי צדק</v>
      </c>
    </row>
    <row r="24804" spans="1:6" x14ac:dyDescent="0.2">
      <c r="A24804" t="s">
        <v>39734</v>
      </c>
      <c r="B24804" t="s">
        <v>35375</v>
      </c>
      <c r="C24804" t="s">
        <v>7422</v>
      </c>
      <c r="D24804" t="s">
        <v>4349</v>
      </c>
      <c r="E24804" t="s">
        <v>213</v>
      </c>
      <c r="F24804" s="2" t="str">
        <f>HYPERLINK("http://www.otzar.org/book.asp?181160","מעגלי קצירה")</f>
        <v>מעגלי קצירה</v>
      </c>
    </row>
    <row r="24805" spans="1:6" x14ac:dyDescent="0.2">
      <c r="A24805" t="s">
        <v>39735</v>
      </c>
      <c r="B24805" t="s">
        <v>39736</v>
      </c>
      <c r="C24805" t="s">
        <v>13</v>
      </c>
      <c r="D24805" t="s">
        <v>39737</v>
      </c>
      <c r="E24805" t="s">
        <v>246</v>
      </c>
      <c r="F24805" s="2" t="str">
        <f>HYPERLINK("http://www.otzar.org/book.asp?197658","מעדני אברהם")</f>
        <v>מעדני אברהם</v>
      </c>
    </row>
    <row r="24806" spans="1:6" x14ac:dyDescent="0.2">
      <c r="A24806" t="s">
        <v>39735</v>
      </c>
      <c r="B24806" t="s">
        <v>39738</v>
      </c>
      <c r="C24806" t="s">
        <v>23</v>
      </c>
      <c r="D24806" t="s">
        <v>2531</v>
      </c>
      <c r="F24806" s="2" t="str">
        <f>HYPERLINK("http://www.otzar.org/book.asp?610085","מעדני אברהם")</f>
        <v>מעדני אברהם</v>
      </c>
    </row>
    <row r="24807" spans="1:6" x14ac:dyDescent="0.2">
      <c r="A24807" t="s">
        <v>39739</v>
      </c>
      <c r="B24807" t="s">
        <v>2443</v>
      </c>
      <c r="C24807" t="s">
        <v>411</v>
      </c>
      <c r="D24807" t="s">
        <v>52</v>
      </c>
      <c r="E24807" t="s">
        <v>130</v>
      </c>
      <c r="F24807" s="2" t="str">
        <f>HYPERLINK("http://www.otzar.org/book.asp?170042","מעדני איש")</f>
        <v>מעדני איש</v>
      </c>
    </row>
    <row r="24808" spans="1:6" x14ac:dyDescent="0.2">
      <c r="A24808" t="s">
        <v>39740</v>
      </c>
      <c r="B24808" t="s">
        <v>19533</v>
      </c>
      <c r="C24808" t="s">
        <v>39741</v>
      </c>
      <c r="D24808" t="s">
        <v>27</v>
      </c>
      <c r="E24808" t="s">
        <v>606</v>
      </c>
      <c r="F24808" s="2" t="str">
        <f>HYPERLINK("http://www.otzar.org/book.asp?14001","מעדני ארץ - 6 כר'")</f>
        <v>מעדני ארץ - 6 כר'</v>
      </c>
    </row>
    <row r="24809" spans="1:6" x14ac:dyDescent="0.2">
      <c r="A24809" t="s">
        <v>39742</v>
      </c>
      <c r="B24809" t="s">
        <v>39743</v>
      </c>
      <c r="C24809" t="s">
        <v>37</v>
      </c>
      <c r="D24809" t="s">
        <v>14</v>
      </c>
      <c r="E24809" t="s">
        <v>148</v>
      </c>
      <c r="F24809" s="2" t="str">
        <f>HYPERLINK("http://www.otzar.org/book.asp?186862","מעדני אשר - 6 כר'")</f>
        <v>מעדני אשר - 6 כר'</v>
      </c>
    </row>
    <row r="24810" spans="1:6" x14ac:dyDescent="0.2">
      <c r="A24810" t="s">
        <v>39744</v>
      </c>
      <c r="B24810" t="s">
        <v>39745</v>
      </c>
      <c r="C24810" t="s">
        <v>114</v>
      </c>
      <c r="D24810" t="s">
        <v>14</v>
      </c>
      <c r="E24810" t="s">
        <v>158</v>
      </c>
      <c r="F24810" s="2" t="str">
        <f>HYPERLINK("http://www.otzar.org/book.asp?194134","מעדני אשר - 2 כר'")</f>
        <v>מעדני אשר - 2 כר'</v>
      </c>
    </row>
    <row r="24811" spans="1:6" x14ac:dyDescent="0.2">
      <c r="A24811" t="s">
        <v>39746</v>
      </c>
      <c r="B24811" t="s">
        <v>39747</v>
      </c>
      <c r="C24811" t="s">
        <v>5912</v>
      </c>
      <c r="D24811" t="s">
        <v>1279</v>
      </c>
      <c r="E24811" t="s">
        <v>15</v>
      </c>
      <c r="F24811" s="2" t="str">
        <f>HYPERLINK("http://www.otzar.org/book.asp?23664","מעדני אשר")</f>
        <v>מעדני אשר</v>
      </c>
    </row>
    <row r="24812" spans="1:6" x14ac:dyDescent="0.2">
      <c r="A24812" t="s">
        <v>39744</v>
      </c>
      <c r="B24812" t="s">
        <v>9549</v>
      </c>
      <c r="C24812" t="s">
        <v>39748</v>
      </c>
      <c r="D24812" t="s">
        <v>260</v>
      </c>
      <c r="E24812" t="s">
        <v>30316</v>
      </c>
      <c r="F24812" s="2" t="str">
        <f>HYPERLINK("http://www.otzar.org/book.asp?19080","מעדני אשר - 2 כר'")</f>
        <v>מעדני אשר - 2 כר'</v>
      </c>
    </row>
    <row r="24813" spans="1:6" x14ac:dyDescent="0.2">
      <c r="A24813" t="s">
        <v>39749</v>
      </c>
      <c r="B24813" t="s">
        <v>39750</v>
      </c>
      <c r="C24813" t="s">
        <v>20</v>
      </c>
      <c r="D24813" t="s">
        <v>367</v>
      </c>
      <c r="E24813" t="s">
        <v>15</v>
      </c>
      <c r="F24813" s="2" t="str">
        <f>HYPERLINK("http://www.otzar.org/book.asp?173544","מעדני אשר - 14 כר'")</f>
        <v>מעדני אשר - 14 כר'</v>
      </c>
    </row>
    <row r="24814" spans="1:6" x14ac:dyDescent="0.2">
      <c r="A24814" t="s">
        <v>39751</v>
      </c>
      <c r="B24814" t="s">
        <v>39752</v>
      </c>
      <c r="C24814" t="s">
        <v>422</v>
      </c>
      <c r="D24814" t="s">
        <v>412</v>
      </c>
      <c r="E24814" t="s">
        <v>15</v>
      </c>
      <c r="F24814" s="2" t="str">
        <f>HYPERLINK("http://www.otzar.org/book.asp?162809","מעדני ביאורים")</f>
        <v>מעדני ביאורים</v>
      </c>
    </row>
    <row r="24815" spans="1:6" x14ac:dyDescent="0.2">
      <c r="A24815" t="s">
        <v>39753</v>
      </c>
      <c r="B24815" t="s">
        <v>6288</v>
      </c>
      <c r="C24815" t="s">
        <v>37</v>
      </c>
      <c r="D24815" t="s">
        <v>14</v>
      </c>
      <c r="E24815" t="s">
        <v>172</v>
      </c>
      <c r="F24815" s="2" t="str">
        <f>HYPERLINK("http://www.otzar.org/book.asp?196839","מעדני דניאל &lt;שו""ע &gt; - א-כד")</f>
        <v>מעדני דניאל &lt;שו"ע &gt; - א-כד</v>
      </c>
    </row>
    <row r="24816" spans="1:6" x14ac:dyDescent="0.2">
      <c r="A24816" t="s">
        <v>39754</v>
      </c>
      <c r="B24816" t="s">
        <v>6288</v>
      </c>
      <c r="C24816" t="s">
        <v>23</v>
      </c>
      <c r="D24816" t="s">
        <v>14</v>
      </c>
      <c r="E24816" t="s">
        <v>172</v>
      </c>
      <c r="F24816" s="2" t="str">
        <f>HYPERLINK("http://www.otzar.org/book.asp?622097","מעדני דניאל &lt;שו""ע&gt; - 2 כר'")</f>
        <v>מעדני דניאל &lt;שו"ע&gt; - 2 כר'</v>
      </c>
    </row>
    <row r="24817" spans="1:6" x14ac:dyDescent="0.2">
      <c r="A24817" t="s">
        <v>39755</v>
      </c>
      <c r="B24817" t="s">
        <v>6288</v>
      </c>
      <c r="C24817" t="s">
        <v>523</v>
      </c>
      <c r="D24817" t="s">
        <v>14</v>
      </c>
      <c r="E24817" t="s">
        <v>15</v>
      </c>
      <c r="F24817" s="2" t="str">
        <f>HYPERLINK("http://www.otzar.org/book.asp?61135","מעדני דניאל - 11 כר'")</f>
        <v>מעדני דניאל - 11 כר'</v>
      </c>
    </row>
    <row r="24818" spans="1:6" x14ac:dyDescent="0.2">
      <c r="A24818" t="s">
        <v>39756</v>
      </c>
      <c r="B24818" t="s">
        <v>2861</v>
      </c>
      <c r="C24818" t="s">
        <v>13</v>
      </c>
      <c r="D24818" t="s">
        <v>52</v>
      </c>
      <c r="E24818" t="s">
        <v>1185</v>
      </c>
      <c r="F24818" s="2" t="str">
        <f>HYPERLINK("http://www.otzar.org/book.asp?152415","מעדני השלחן - בראשית")</f>
        <v>מעדני השלחן - בראשית</v>
      </c>
    </row>
    <row r="24819" spans="1:6" x14ac:dyDescent="0.2">
      <c r="A24819" t="s">
        <v>39757</v>
      </c>
      <c r="B24819" t="s">
        <v>39758</v>
      </c>
      <c r="C24819" t="s">
        <v>1208</v>
      </c>
      <c r="D24819" t="s">
        <v>14</v>
      </c>
      <c r="E24819" t="s">
        <v>148</v>
      </c>
      <c r="F24819" s="2" t="str">
        <f>HYPERLINK("http://www.otzar.org/book.asp?152420","מעדני השלחן - 6 כר'")</f>
        <v>מעדני השלחן - 6 כר'</v>
      </c>
    </row>
    <row r="24820" spans="1:6" x14ac:dyDescent="0.2">
      <c r="A24820" t="s">
        <v>39759</v>
      </c>
      <c r="B24820" t="s">
        <v>39760</v>
      </c>
      <c r="C24820" t="s">
        <v>151</v>
      </c>
      <c r="D24820" t="s">
        <v>14</v>
      </c>
      <c r="E24820" t="s">
        <v>158</v>
      </c>
      <c r="F24820" s="2" t="str">
        <f>HYPERLINK("http://www.otzar.org/book.asp?621722","מעדני התורה - שמות")</f>
        <v>מעדני התורה - שמות</v>
      </c>
    </row>
    <row r="24821" spans="1:6" x14ac:dyDescent="0.2">
      <c r="A24821" t="s">
        <v>39761</v>
      </c>
      <c r="B24821" t="s">
        <v>39762</v>
      </c>
      <c r="C24821" t="s">
        <v>466</v>
      </c>
      <c r="D24821" t="s">
        <v>412</v>
      </c>
      <c r="E24821" t="s">
        <v>144</v>
      </c>
      <c r="F24821" s="2" t="str">
        <f>HYPERLINK("http://www.otzar.org/book.asp?50749","מעדני חיים - 3 כר'")</f>
        <v>מעדני חיים - 3 כר'</v>
      </c>
    </row>
    <row r="24822" spans="1:6" x14ac:dyDescent="0.2">
      <c r="A24822" t="s">
        <v>39763</v>
      </c>
      <c r="B24822" t="s">
        <v>39764</v>
      </c>
      <c r="C24822" t="s">
        <v>129</v>
      </c>
      <c r="D24822" t="s">
        <v>52</v>
      </c>
      <c r="E24822" t="s">
        <v>345</v>
      </c>
      <c r="F24822" s="2" t="str">
        <f>HYPERLINK("http://www.otzar.org/book.asp?85623","מעדני יום טוב - 14 כר'")</f>
        <v>מעדני יום טוב - 14 כר'</v>
      </c>
    </row>
    <row r="24823" spans="1:6" x14ac:dyDescent="0.2">
      <c r="A24823" t="s">
        <v>39765</v>
      </c>
      <c r="B24823" t="s">
        <v>7982</v>
      </c>
      <c r="C24823" t="s">
        <v>114</v>
      </c>
      <c r="D24823" t="s">
        <v>14</v>
      </c>
      <c r="E24823" t="s">
        <v>15</v>
      </c>
      <c r="F24823" s="2" t="str">
        <f>HYPERLINK("http://www.otzar.org/book.asp?176003","מעדני יוסף - ברית מילה")</f>
        <v>מעדני יוסף - ברית מילה</v>
      </c>
    </row>
    <row r="24824" spans="1:6" x14ac:dyDescent="0.2">
      <c r="A24824" t="s">
        <v>39766</v>
      </c>
      <c r="B24824" t="s">
        <v>29137</v>
      </c>
      <c r="C24824" t="s">
        <v>103</v>
      </c>
      <c r="D24824" t="s">
        <v>14</v>
      </c>
      <c r="E24824" t="s">
        <v>104</v>
      </c>
      <c r="F24824" s="2" t="str">
        <f>HYPERLINK("http://www.otzar.org/book.asp?85720","מעדני יוסף - זכרון שמואל")</f>
        <v>מעדני יוסף - זכרון שמואל</v>
      </c>
    </row>
    <row r="24825" spans="1:6" x14ac:dyDescent="0.2">
      <c r="A24825" t="s">
        <v>39767</v>
      </c>
      <c r="B24825" t="s">
        <v>12628</v>
      </c>
      <c r="C24825" t="s">
        <v>146</v>
      </c>
      <c r="D24825" t="s">
        <v>52</v>
      </c>
      <c r="E24825" t="s">
        <v>803</v>
      </c>
      <c r="F24825" s="2" t="str">
        <f>HYPERLINK("http://www.otzar.org/book.asp?167787","מעדני כהן - 7 כר'")</f>
        <v>מעדני כהן - 7 כר'</v>
      </c>
    </row>
    <row r="24826" spans="1:6" x14ac:dyDescent="0.2">
      <c r="A24826" t="s">
        <v>39768</v>
      </c>
      <c r="B24826" t="s">
        <v>13607</v>
      </c>
      <c r="C24826" t="s">
        <v>244</v>
      </c>
      <c r="D24826" t="s">
        <v>90</v>
      </c>
      <c r="E24826" t="s">
        <v>202</v>
      </c>
      <c r="F24826" s="2" t="str">
        <f>HYPERLINK("http://www.otzar.org/book.asp?604555","מעדני מלך - תשע""ו")</f>
        <v>מעדני מלך - תשע"ו</v>
      </c>
    </row>
    <row r="24827" spans="1:6" x14ac:dyDescent="0.2">
      <c r="A24827" t="s">
        <v>39769</v>
      </c>
      <c r="B24827" t="s">
        <v>686</v>
      </c>
      <c r="C24827" t="s">
        <v>114</v>
      </c>
      <c r="D24827" t="s">
        <v>52</v>
      </c>
      <c r="E24827" t="s">
        <v>104</v>
      </c>
      <c r="F24827" s="2" t="str">
        <f>HYPERLINK("http://www.otzar.org/book.asp?163681","מעדני מלך - נקודות הכסף")</f>
        <v>מעדני מלך - נקודות הכסף</v>
      </c>
    </row>
    <row r="24828" spans="1:6" x14ac:dyDescent="0.2">
      <c r="A24828" t="s">
        <v>39770</v>
      </c>
      <c r="B24828" t="s">
        <v>17670</v>
      </c>
      <c r="C24828" t="s">
        <v>17671</v>
      </c>
      <c r="D24828" t="s">
        <v>2313</v>
      </c>
      <c r="E24828" t="s">
        <v>158</v>
      </c>
      <c r="F24828" s="2" t="str">
        <f>HYPERLINK("http://www.otzar.org/book.asp?169192","מעדני מלך - 3 כר'")</f>
        <v>מעדני מלך - 3 כר'</v>
      </c>
    </row>
    <row r="24829" spans="1:6" x14ac:dyDescent="0.2">
      <c r="A24829" t="s">
        <v>39771</v>
      </c>
      <c r="B24829" t="s">
        <v>39772</v>
      </c>
      <c r="C24829" t="s">
        <v>13</v>
      </c>
      <c r="D24829" t="s">
        <v>14</v>
      </c>
      <c r="E24829" t="s">
        <v>140</v>
      </c>
      <c r="F24829" s="2" t="str">
        <f>HYPERLINK("http://www.otzar.org/book.asp?178944","מעדני מלך- על ליקוטי מוהר""ן")</f>
        <v>מעדני מלך- על ליקוטי מוהר"ן</v>
      </c>
    </row>
    <row r="24830" spans="1:6" x14ac:dyDescent="0.2">
      <c r="A24830" t="s">
        <v>39773</v>
      </c>
      <c r="B24830" t="s">
        <v>39774</v>
      </c>
      <c r="C24830" t="s">
        <v>812</v>
      </c>
      <c r="D24830" t="s">
        <v>947</v>
      </c>
      <c r="E24830" t="s">
        <v>32649</v>
      </c>
      <c r="F24830" s="2" t="str">
        <f>HYPERLINK("http://www.otzar.org/book.asp?103519","מעדני מלך")</f>
        <v>מעדני מלך</v>
      </c>
    </row>
    <row r="24831" spans="1:6" x14ac:dyDescent="0.2">
      <c r="A24831" t="s">
        <v>39775</v>
      </c>
      <c r="B24831" t="s">
        <v>39758</v>
      </c>
      <c r="C24831" t="s">
        <v>103</v>
      </c>
      <c r="D24831" t="s">
        <v>14</v>
      </c>
      <c r="E24831" t="s">
        <v>154</v>
      </c>
      <c r="F24831" s="2" t="str">
        <f>HYPERLINK("http://www.otzar.org/book.asp?169521","מעדני מלכים - 2 כר'")</f>
        <v>מעדני מלכים - 2 כר'</v>
      </c>
    </row>
    <row r="24832" spans="1:6" x14ac:dyDescent="0.2">
      <c r="A24832" t="s">
        <v>39776</v>
      </c>
      <c r="B24832" t="s">
        <v>39777</v>
      </c>
      <c r="C24832" t="s">
        <v>20</v>
      </c>
      <c r="D24832" t="s">
        <v>4549</v>
      </c>
      <c r="E24832" t="s">
        <v>104</v>
      </c>
      <c r="F24832" s="2" t="str">
        <f>HYPERLINK("http://www.otzar.org/book.asp?623388","מעדני משה")</f>
        <v>מעדני משה</v>
      </c>
    </row>
    <row r="24833" spans="1:6" x14ac:dyDescent="0.2">
      <c r="A24833" t="s">
        <v>39778</v>
      </c>
      <c r="B24833" t="s">
        <v>39779</v>
      </c>
      <c r="C24833" t="s">
        <v>767</v>
      </c>
      <c r="D24833" t="s">
        <v>1974</v>
      </c>
      <c r="E24833" t="s">
        <v>158</v>
      </c>
      <c r="F24833" s="2" t="str">
        <f>HYPERLINK("http://www.otzar.org/book.asp?106505","מעדני נתן")</f>
        <v>מעדני נתן</v>
      </c>
    </row>
    <row r="24834" spans="1:6" x14ac:dyDescent="0.2">
      <c r="A24834" t="s">
        <v>39780</v>
      </c>
      <c r="B24834" t="s">
        <v>38262</v>
      </c>
      <c r="C24834" t="s">
        <v>185</v>
      </c>
      <c r="D24834" t="s">
        <v>52</v>
      </c>
      <c r="F24834" s="2" t="str">
        <f>HYPERLINK("http://www.otzar.org/book.asp?632829","מעדני סופר - 3 כר'")</f>
        <v>מעדני סופר - 3 כר'</v>
      </c>
    </row>
    <row r="24835" spans="1:6" x14ac:dyDescent="0.2">
      <c r="A24835" t="s">
        <v>39781</v>
      </c>
      <c r="B24835" t="s">
        <v>39782</v>
      </c>
      <c r="C24835" t="s">
        <v>244</v>
      </c>
      <c r="D24835" t="s">
        <v>14</v>
      </c>
      <c r="E24835" t="s">
        <v>158</v>
      </c>
      <c r="F24835" s="2" t="str">
        <f>HYPERLINK("http://www.otzar.org/book.asp?198811","מעדני רפאל")</f>
        <v>מעדני רפאל</v>
      </c>
    </row>
    <row r="24836" spans="1:6" x14ac:dyDescent="0.2">
      <c r="A24836" t="s">
        <v>39783</v>
      </c>
      <c r="B24836" t="s">
        <v>39747</v>
      </c>
      <c r="C24836" t="s">
        <v>332</v>
      </c>
      <c r="D24836" t="s">
        <v>14</v>
      </c>
      <c r="E24836" t="s">
        <v>15</v>
      </c>
      <c r="F24836" s="2" t="str">
        <f>HYPERLINK("http://www.otzar.org/book.asp?23763","מעדני שבת &lt;מעדני אשר&gt;")</f>
        <v>מעדני שבת &lt;מעדני אשר&gt;</v>
      </c>
    </row>
    <row r="24837" spans="1:6" x14ac:dyDescent="0.2">
      <c r="A24837" t="s">
        <v>39784</v>
      </c>
      <c r="B24837" t="s">
        <v>39785</v>
      </c>
      <c r="C24837" t="s">
        <v>411</v>
      </c>
      <c r="D24837" t="s">
        <v>486</v>
      </c>
      <c r="E24837" t="s">
        <v>144</v>
      </c>
      <c r="F24837" s="2" t="str">
        <f>HYPERLINK("http://www.otzar.org/book.asp?188899","מעדני שי - הנהגת הספיקות וחזקת ממון")</f>
        <v>מעדני שי - הנהגת הספיקות וחזקת ממון</v>
      </c>
    </row>
    <row r="24838" spans="1:6" x14ac:dyDescent="0.2">
      <c r="A24838" t="s">
        <v>39786</v>
      </c>
      <c r="B24838" t="s">
        <v>39787</v>
      </c>
      <c r="C24838" t="s">
        <v>454</v>
      </c>
      <c r="D24838" t="s">
        <v>14</v>
      </c>
      <c r="E24838" t="s">
        <v>19097</v>
      </c>
      <c r="F24838" s="2" t="str">
        <f>HYPERLINK("http://www.otzar.org/book.asp?149713","מעדני שלמה")</f>
        <v>מעדני שלמה</v>
      </c>
    </row>
    <row r="24839" spans="1:6" x14ac:dyDescent="0.2">
      <c r="A24839" t="s">
        <v>39786</v>
      </c>
      <c r="B24839" t="s">
        <v>39788</v>
      </c>
      <c r="C24839" t="s">
        <v>244</v>
      </c>
      <c r="D24839" t="s">
        <v>14</v>
      </c>
      <c r="E24839" t="s">
        <v>15</v>
      </c>
      <c r="F24839" s="2" t="str">
        <f>HYPERLINK("http://www.otzar.org/book.asp?199430","מעדני שלמה")</f>
        <v>מעדני שלמה</v>
      </c>
    </row>
    <row r="24840" spans="1:6" x14ac:dyDescent="0.2">
      <c r="A24840" t="s">
        <v>39786</v>
      </c>
      <c r="B24840" t="s">
        <v>39789</v>
      </c>
      <c r="C24840" t="s">
        <v>462</v>
      </c>
      <c r="D24840" t="s">
        <v>344</v>
      </c>
      <c r="E24840" t="s">
        <v>786</v>
      </c>
      <c r="F24840" s="2" t="str">
        <f>HYPERLINK("http://www.otzar.org/book.asp?620605","מעדני שלמה")</f>
        <v>מעדני שלמה</v>
      </c>
    </row>
    <row r="24841" spans="1:6" x14ac:dyDescent="0.2">
      <c r="A24841" t="s">
        <v>39790</v>
      </c>
      <c r="B24841" t="s">
        <v>39791</v>
      </c>
      <c r="C24841" t="s">
        <v>454</v>
      </c>
      <c r="E24841" t="s">
        <v>230</v>
      </c>
      <c r="F24841" s="2" t="str">
        <f>HYPERLINK("http://www.otzar.org/book.asp?84596","מעדני שמואל")</f>
        <v>מעדני שמואל</v>
      </c>
    </row>
    <row r="24842" spans="1:6" x14ac:dyDescent="0.2">
      <c r="A24842" t="s">
        <v>39792</v>
      </c>
      <c r="B24842" t="s">
        <v>39793</v>
      </c>
      <c r="C24842" t="s">
        <v>940</v>
      </c>
      <c r="D24842" t="s">
        <v>3560</v>
      </c>
      <c r="E24842" t="s">
        <v>144</v>
      </c>
      <c r="F24842" s="2" t="str">
        <f>HYPERLINK("http://www.otzar.org/book.asp?22706","מעדני שמואל - 6 כר'")</f>
        <v>מעדני שמואל - 6 כר'</v>
      </c>
    </row>
    <row r="24843" spans="1:6" x14ac:dyDescent="0.2">
      <c r="A24843" t="s">
        <v>39794</v>
      </c>
      <c r="B24843" t="s">
        <v>39795</v>
      </c>
      <c r="C24843" t="s">
        <v>39796</v>
      </c>
      <c r="D24843" t="s">
        <v>691</v>
      </c>
      <c r="E24843" t="s">
        <v>5351</v>
      </c>
      <c r="F24843" s="2" t="str">
        <f>HYPERLINK("http://www.otzar.org/book.asp?85152","מעדנים")</f>
        <v>מעדנים</v>
      </c>
    </row>
    <row r="24844" spans="1:6" x14ac:dyDescent="0.2">
      <c r="A24844" t="s">
        <v>39797</v>
      </c>
      <c r="B24844" t="s">
        <v>13362</v>
      </c>
      <c r="C24844" t="s">
        <v>1844</v>
      </c>
      <c r="D24844" t="s">
        <v>39798</v>
      </c>
      <c r="E24844" t="s">
        <v>104</v>
      </c>
      <c r="F24844" s="2" t="str">
        <f>HYPERLINK("http://www.otzar.org/book.asp?191424","מעודד ענוים")</f>
        <v>מעודד ענוים</v>
      </c>
    </row>
    <row r="24845" spans="1:6" x14ac:dyDescent="0.2">
      <c r="A24845" t="s">
        <v>39799</v>
      </c>
      <c r="B24845" t="s">
        <v>2184</v>
      </c>
      <c r="C24845" t="s">
        <v>87</v>
      </c>
      <c r="D24845" t="s">
        <v>14</v>
      </c>
      <c r="E24845" t="s">
        <v>213</v>
      </c>
      <c r="F24845" s="2" t="str">
        <f>HYPERLINK("http://www.otzar.org/book.asp?62017","מעוז הדת - 2 כר'")</f>
        <v>מעוז הדת - 2 כר'</v>
      </c>
    </row>
    <row r="24846" spans="1:6" x14ac:dyDescent="0.2">
      <c r="A24846" t="s">
        <v>39800</v>
      </c>
      <c r="B24846" t="s">
        <v>39801</v>
      </c>
      <c r="C24846" t="s">
        <v>37</v>
      </c>
      <c r="D24846" t="s">
        <v>152</v>
      </c>
      <c r="E24846" t="s">
        <v>158</v>
      </c>
      <c r="F24846" s="2" t="str">
        <f>HYPERLINK("http://www.otzar.org/book.asp?181816","מעוז חיי - בראשית, שמות")</f>
        <v>מעוז חיי - בראשית, שמות</v>
      </c>
    </row>
    <row r="24847" spans="1:6" x14ac:dyDescent="0.2">
      <c r="A24847" t="s">
        <v>39802</v>
      </c>
      <c r="B24847" t="s">
        <v>39803</v>
      </c>
      <c r="C24847" t="s">
        <v>244</v>
      </c>
      <c r="D24847" t="s">
        <v>52</v>
      </c>
      <c r="E24847" t="s">
        <v>144</v>
      </c>
      <c r="F24847" s="2" t="str">
        <f>HYPERLINK("http://www.otzar.org/book.asp?601332","מעוז חיי")</f>
        <v>מעוז חיי</v>
      </c>
    </row>
    <row r="24848" spans="1:6" x14ac:dyDescent="0.2">
      <c r="A24848" t="s">
        <v>39802</v>
      </c>
      <c r="B24848" t="s">
        <v>5203</v>
      </c>
      <c r="C24848" t="s">
        <v>176</v>
      </c>
      <c r="D24848" t="s">
        <v>2458</v>
      </c>
      <c r="E24848" t="s">
        <v>4731</v>
      </c>
      <c r="F24848" s="2" t="str">
        <f>HYPERLINK("http://www.otzar.org/book.asp?148909","מעוז חיי")</f>
        <v>מעוז חיי</v>
      </c>
    </row>
    <row r="24849" spans="1:6" x14ac:dyDescent="0.2">
      <c r="A24849" t="s">
        <v>39804</v>
      </c>
      <c r="B24849" t="s">
        <v>39805</v>
      </c>
      <c r="C24849" t="s">
        <v>103</v>
      </c>
      <c r="D24849" t="s">
        <v>52</v>
      </c>
      <c r="E24849" t="s">
        <v>15</v>
      </c>
      <c r="F24849" s="2" t="str">
        <f>HYPERLINK("http://www.otzar.org/book.asp?63654","מעוז חיים")</f>
        <v>מעוז חיים</v>
      </c>
    </row>
    <row r="24850" spans="1:6" x14ac:dyDescent="0.2">
      <c r="A24850" t="s">
        <v>39806</v>
      </c>
      <c r="B24850" t="s">
        <v>39807</v>
      </c>
      <c r="C24850" t="s">
        <v>37</v>
      </c>
      <c r="D24850" t="s">
        <v>39808</v>
      </c>
      <c r="E24850" t="s">
        <v>399</v>
      </c>
      <c r="F24850" s="2" t="str">
        <f>HYPERLINK("http://www.otzar.org/book.asp?194122","מעוז צור")</f>
        <v>מעוז צור</v>
      </c>
    </row>
    <row r="24851" spans="1:6" x14ac:dyDescent="0.2">
      <c r="A24851" t="s">
        <v>39809</v>
      </c>
      <c r="B24851" t="s">
        <v>2023</v>
      </c>
      <c r="C24851" t="s">
        <v>37</v>
      </c>
      <c r="D24851" t="s">
        <v>27</v>
      </c>
      <c r="E24851" t="s">
        <v>399</v>
      </c>
      <c r="F24851" s="2" t="str">
        <f>HYPERLINK("http://www.otzar.org/book.asp?186812","מעולפת ספירים &lt;מהדו""ח&gt; - 2 כר'")</f>
        <v>מעולפת ספירים &lt;מהדו"ח&gt; - 2 כר'</v>
      </c>
    </row>
    <row r="24852" spans="1:6" x14ac:dyDescent="0.2">
      <c r="A24852" t="s">
        <v>39810</v>
      </c>
      <c r="B24852" t="s">
        <v>15103</v>
      </c>
      <c r="C24852" t="s">
        <v>71</v>
      </c>
      <c r="D24852" t="s">
        <v>721</v>
      </c>
      <c r="E24852" t="s">
        <v>144</v>
      </c>
      <c r="F24852" s="2" t="str">
        <f>HYPERLINK("http://www.otzar.org/book.asp?174501","מעולפת ספירים &lt;מהדורה חדשה&gt;")</f>
        <v>מעולפת ספירים &lt;מהדורה חדשה&gt;</v>
      </c>
    </row>
    <row r="24853" spans="1:6" x14ac:dyDescent="0.2">
      <c r="A24853" t="s">
        <v>39811</v>
      </c>
      <c r="B24853" t="s">
        <v>2023</v>
      </c>
      <c r="C24853" t="s">
        <v>1246</v>
      </c>
      <c r="D24853" t="s">
        <v>27</v>
      </c>
      <c r="E24853" t="s">
        <v>564</v>
      </c>
      <c r="F24853" s="2" t="str">
        <f>HYPERLINK("http://www.otzar.org/book.asp?51679","מעולפת ספירים")</f>
        <v>מעולפת ספירים</v>
      </c>
    </row>
    <row r="24854" spans="1:6" x14ac:dyDescent="0.2">
      <c r="A24854" t="s">
        <v>39812</v>
      </c>
      <c r="B24854" t="s">
        <v>39813</v>
      </c>
      <c r="C24854" t="s">
        <v>896</v>
      </c>
      <c r="D24854" t="s">
        <v>283</v>
      </c>
      <c r="E24854" t="s">
        <v>508</v>
      </c>
      <c r="F24854" s="2" t="str">
        <f>HYPERLINK("http://www.otzar.org/book.asp?20231","מעון אריה")</f>
        <v>מעון אריה</v>
      </c>
    </row>
    <row r="24855" spans="1:6" x14ac:dyDescent="0.2">
      <c r="A24855" t="s">
        <v>39814</v>
      </c>
      <c r="B24855" t="s">
        <v>4829</v>
      </c>
      <c r="C24855" t="s">
        <v>71</v>
      </c>
      <c r="D24855" t="s">
        <v>14</v>
      </c>
      <c r="E24855" t="s">
        <v>144</v>
      </c>
      <c r="F24855" s="2" t="str">
        <f>HYPERLINK("http://www.otzar.org/book.asp?163280","מעון הברכה - ברכות")</f>
        <v>מעון הברכה - ברכות</v>
      </c>
    </row>
    <row r="24856" spans="1:6" x14ac:dyDescent="0.2">
      <c r="A24856" t="s">
        <v>39815</v>
      </c>
      <c r="B24856" t="s">
        <v>39816</v>
      </c>
      <c r="C24856" t="s">
        <v>39817</v>
      </c>
      <c r="D24856" t="s">
        <v>403</v>
      </c>
      <c r="E24856" t="s">
        <v>144</v>
      </c>
      <c r="F24856" s="2" t="str">
        <f>HYPERLINK("http://www.otzar.org/book.asp?7090","מעון הברכות")</f>
        <v>מעון הברכות</v>
      </c>
    </row>
    <row r="24857" spans="1:6" x14ac:dyDescent="0.2">
      <c r="A24857" t="s">
        <v>39818</v>
      </c>
      <c r="B24857" t="s">
        <v>33714</v>
      </c>
      <c r="C24857" t="s">
        <v>23</v>
      </c>
      <c r="D24857" t="s">
        <v>14</v>
      </c>
      <c r="E24857" t="s">
        <v>1097</v>
      </c>
      <c r="F24857" s="2" t="str">
        <f>HYPERLINK("http://www.otzar.org/book.asp?607197","מעון הברכות - 2 כר'")</f>
        <v>מעון הברכות - 2 כר'</v>
      </c>
    </row>
    <row r="24858" spans="1:6" x14ac:dyDescent="0.2">
      <c r="A24858" t="s">
        <v>39819</v>
      </c>
      <c r="B24858" t="s">
        <v>39820</v>
      </c>
      <c r="C24858" t="s">
        <v>244</v>
      </c>
      <c r="D24858" t="s">
        <v>52</v>
      </c>
      <c r="E24858" t="s">
        <v>241</v>
      </c>
      <c r="F24858" s="2" t="str">
        <f>HYPERLINK("http://www.otzar.org/book.asp?197579","מעונות הגבורים")</f>
        <v>מעונות הגבורים</v>
      </c>
    </row>
    <row r="24859" spans="1:6" x14ac:dyDescent="0.2">
      <c r="A24859" t="s">
        <v>39821</v>
      </c>
      <c r="B24859" t="s">
        <v>39822</v>
      </c>
      <c r="C24859" t="s">
        <v>429</v>
      </c>
      <c r="D24859" t="s">
        <v>27</v>
      </c>
      <c r="F24859" s="2" t="str">
        <f>HYPERLINK("http://www.otzar.org/book.asp?64043","מעורר זכרון ומאסף הכללים")</f>
        <v>מעורר זכרון ומאסף הכללים</v>
      </c>
    </row>
    <row r="24860" spans="1:6" x14ac:dyDescent="0.2">
      <c r="A24860" t="s">
        <v>39823</v>
      </c>
      <c r="B24860" t="s">
        <v>39822</v>
      </c>
      <c r="C24860" t="s">
        <v>8890</v>
      </c>
      <c r="D24860" t="s">
        <v>42</v>
      </c>
      <c r="E24860" t="s">
        <v>144</v>
      </c>
      <c r="F24860" s="2" t="str">
        <f>HYPERLINK("http://www.otzar.org/book.asp?19227","מעורר זכרון ומאסף המחנות")</f>
        <v>מעורר זכרון ומאסף המחנות</v>
      </c>
    </row>
    <row r="24861" spans="1:6" x14ac:dyDescent="0.2">
      <c r="A24861" t="s">
        <v>39824</v>
      </c>
      <c r="B24861" t="s">
        <v>39825</v>
      </c>
      <c r="C24861" t="s">
        <v>99</v>
      </c>
      <c r="D24861" t="s">
        <v>283</v>
      </c>
      <c r="E24861" t="s">
        <v>241</v>
      </c>
      <c r="F24861" s="2" t="str">
        <f>HYPERLINK("http://www.otzar.org/book.asp?28339","מעורר ישנים")</f>
        <v>מעורר ישנים</v>
      </c>
    </row>
    <row r="24862" spans="1:6" x14ac:dyDescent="0.2">
      <c r="A24862" t="s">
        <v>39824</v>
      </c>
      <c r="B24862" t="s">
        <v>20202</v>
      </c>
      <c r="C24862" t="s">
        <v>20</v>
      </c>
      <c r="D24862" t="s">
        <v>90</v>
      </c>
      <c r="E24862" t="s">
        <v>241</v>
      </c>
      <c r="F24862" s="2" t="str">
        <f>HYPERLINK("http://www.otzar.org/book.asp?143877","מעורר ישנים")</f>
        <v>מעורר ישנים</v>
      </c>
    </row>
    <row r="24863" spans="1:6" x14ac:dyDescent="0.2">
      <c r="A24863" t="s">
        <v>39824</v>
      </c>
      <c r="B24863" t="s">
        <v>39826</v>
      </c>
      <c r="C24863" t="s">
        <v>99</v>
      </c>
      <c r="D24863" t="s">
        <v>283</v>
      </c>
      <c r="E24863" t="s">
        <v>674</v>
      </c>
      <c r="F24863" s="2" t="str">
        <f>HYPERLINK("http://www.otzar.org/book.asp?991","מעורר ישנים")</f>
        <v>מעורר ישנים</v>
      </c>
    </row>
    <row r="24864" spans="1:6" x14ac:dyDescent="0.2">
      <c r="A24864" t="s">
        <v>39827</v>
      </c>
      <c r="B24864" t="s">
        <v>39828</v>
      </c>
      <c r="C24864" t="s">
        <v>466</v>
      </c>
      <c r="D24864" t="s">
        <v>14</v>
      </c>
      <c r="E24864" t="s">
        <v>2336</v>
      </c>
      <c r="F24864" s="2" t="str">
        <f>HYPERLINK("http://www.otzar.org/book.asp?50194","מעט דבש - 3 כר'")</f>
        <v>מעט דבש - 3 כר'</v>
      </c>
    </row>
    <row r="24865" spans="1:6" x14ac:dyDescent="0.2">
      <c r="A24865" t="s">
        <v>39829</v>
      </c>
      <c r="B24865" t="s">
        <v>33609</v>
      </c>
      <c r="C24865" t="s">
        <v>454</v>
      </c>
      <c r="D24865" t="s">
        <v>14</v>
      </c>
      <c r="E24865" t="s">
        <v>39830</v>
      </c>
      <c r="F24865" s="2" t="str">
        <f>HYPERLINK("http://www.otzar.org/book.asp?158056","מעט דבש - בית יעקב")</f>
        <v>מעט דבש - בית יעקב</v>
      </c>
    </row>
    <row r="24866" spans="1:6" x14ac:dyDescent="0.2">
      <c r="A24866" t="s">
        <v>39831</v>
      </c>
      <c r="B24866" t="s">
        <v>2145</v>
      </c>
      <c r="C24866" t="s">
        <v>506</v>
      </c>
      <c r="D24866" t="s">
        <v>39832</v>
      </c>
      <c r="E24866" t="s">
        <v>803</v>
      </c>
      <c r="F24866" s="2" t="str">
        <f>HYPERLINK("http://www.otzar.org/book.asp?150040","מעט דבש")</f>
        <v>מעט דבש</v>
      </c>
    </row>
    <row r="24867" spans="1:6" x14ac:dyDescent="0.2">
      <c r="A24867" t="s">
        <v>39833</v>
      </c>
      <c r="B24867" t="s">
        <v>39834</v>
      </c>
      <c r="C24867" t="s">
        <v>466</v>
      </c>
      <c r="D24867" t="s">
        <v>14</v>
      </c>
      <c r="E24867" t="s">
        <v>10</v>
      </c>
      <c r="F24867" s="2" t="str">
        <f>HYPERLINK("http://www.otzar.org/book.asp?163686","מעט מים &lt;מהדורה חדשה&gt;")</f>
        <v>מעט מים &lt;מהדורה חדשה&gt;</v>
      </c>
    </row>
    <row r="24868" spans="1:6" x14ac:dyDescent="0.2">
      <c r="A24868" t="s">
        <v>39835</v>
      </c>
      <c r="B24868" t="s">
        <v>9755</v>
      </c>
      <c r="C24868" t="s">
        <v>635</v>
      </c>
      <c r="D24868" t="s">
        <v>76</v>
      </c>
      <c r="E24868" t="s">
        <v>154</v>
      </c>
      <c r="F24868" s="2" t="str">
        <f>HYPERLINK("http://www.otzar.org/book.asp?101090","מעט מים")</f>
        <v>מעט מים</v>
      </c>
    </row>
    <row r="24869" spans="1:6" x14ac:dyDescent="0.2">
      <c r="A24869" t="s">
        <v>39835</v>
      </c>
      <c r="B24869" t="s">
        <v>39836</v>
      </c>
      <c r="C24869" t="s">
        <v>71</v>
      </c>
      <c r="D24869" t="s">
        <v>14</v>
      </c>
      <c r="E24869" t="s">
        <v>39837</v>
      </c>
      <c r="F24869" s="2" t="str">
        <f>HYPERLINK("http://www.otzar.org/book.asp?104962","מעט מים")</f>
        <v>מעט מים</v>
      </c>
    </row>
    <row r="24870" spans="1:6" x14ac:dyDescent="0.2">
      <c r="A24870" t="s">
        <v>39835</v>
      </c>
      <c r="B24870" t="s">
        <v>4749</v>
      </c>
      <c r="C24870" t="s">
        <v>721</v>
      </c>
      <c r="D24870" t="s">
        <v>721</v>
      </c>
      <c r="E24870" t="s">
        <v>314</v>
      </c>
      <c r="F24870" s="2" t="str">
        <f>HYPERLINK("http://www.otzar.org/book.asp?607206","מעט מים")</f>
        <v>מעט מים</v>
      </c>
    </row>
    <row r="24871" spans="1:6" x14ac:dyDescent="0.2">
      <c r="A24871" t="s">
        <v>39835</v>
      </c>
      <c r="B24871" t="s">
        <v>39834</v>
      </c>
      <c r="C24871" t="s">
        <v>1811</v>
      </c>
      <c r="D24871" t="s">
        <v>14</v>
      </c>
      <c r="E24871" t="s">
        <v>154</v>
      </c>
      <c r="F24871" s="2" t="str">
        <f>HYPERLINK("http://www.otzar.org/book.asp?158105","מעט מים")</f>
        <v>מעט מים</v>
      </c>
    </row>
    <row r="24872" spans="1:6" x14ac:dyDescent="0.2">
      <c r="A24872" t="s">
        <v>39838</v>
      </c>
      <c r="B24872" t="s">
        <v>9290</v>
      </c>
      <c r="C24872" t="s">
        <v>151</v>
      </c>
      <c r="D24872" t="s">
        <v>14</v>
      </c>
      <c r="F24872" s="2" t="str">
        <f>HYPERLINK("http://www.otzar.org/book.asp?618886","מעט ממרובה")</f>
        <v>מעט ממרובה</v>
      </c>
    </row>
    <row r="24873" spans="1:6" x14ac:dyDescent="0.2">
      <c r="A24873" t="s">
        <v>39839</v>
      </c>
      <c r="B24873" t="s">
        <v>26769</v>
      </c>
      <c r="C24873" t="s">
        <v>51</v>
      </c>
      <c r="D24873" t="s">
        <v>14</v>
      </c>
      <c r="E24873" t="s">
        <v>158</v>
      </c>
      <c r="F24873" s="2" t="str">
        <f>HYPERLINK("http://www.otzar.org/book.asp?154262","מעט צרי על תרגום אונקלוס - 5 כר'")</f>
        <v>מעט צרי על תרגום אונקלוס - 5 כר'</v>
      </c>
    </row>
    <row r="24874" spans="1:6" x14ac:dyDescent="0.2">
      <c r="A24874" t="s">
        <v>39840</v>
      </c>
      <c r="B24874" t="s">
        <v>4785</v>
      </c>
      <c r="C24874" t="s">
        <v>151</v>
      </c>
      <c r="D24874" t="s">
        <v>52</v>
      </c>
      <c r="E24874" t="s">
        <v>246</v>
      </c>
      <c r="F24874" s="2" t="str">
        <f>HYPERLINK("http://www.otzar.org/book.asp?618890","מעט צרי")</f>
        <v>מעט צרי</v>
      </c>
    </row>
    <row r="24875" spans="1:6" x14ac:dyDescent="0.2">
      <c r="A24875" t="s">
        <v>39840</v>
      </c>
      <c r="B24875" t="s">
        <v>39841</v>
      </c>
      <c r="C24875" t="s">
        <v>334</v>
      </c>
      <c r="D24875" t="s">
        <v>14</v>
      </c>
      <c r="E24875" t="s">
        <v>104</v>
      </c>
      <c r="F24875" s="2" t="str">
        <f>HYPERLINK("http://www.otzar.org/book.asp?144693","מעט צרי")</f>
        <v>מעט צרי</v>
      </c>
    </row>
    <row r="24876" spans="1:6" x14ac:dyDescent="0.2">
      <c r="A24876" t="s">
        <v>39842</v>
      </c>
      <c r="B24876" t="s">
        <v>776</v>
      </c>
      <c r="C24876" t="s">
        <v>79</v>
      </c>
      <c r="D24876" t="s">
        <v>27</v>
      </c>
      <c r="E24876" t="s">
        <v>241</v>
      </c>
      <c r="F24876" s="2" t="str">
        <f>HYPERLINK("http://www.otzar.org/book.asp?179221","מעטה חן")</f>
        <v>מעטה חן</v>
      </c>
    </row>
    <row r="24877" spans="1:6" x14ac:dyDescent="0.2">
      <c r="A24877" t="s">
        <v>39843</v>
      </c>
      <c r="B24877" t="s">
        <v>39844</v>
      </c>
      <c r="C24877" t="s">
        <v>473</v>
      </c>
      <c r="D24877" t="s">
        <v>9896</v>
      </c>
      <c r="E24877" t="s">
        <v>2098</v>
      </c>
      <c r="F24877" s="2" t="str">
        <f>HYPERLINK("http://www.otzar.org/book.asp?161096","מעטה נפתלי")</f>
        <v>מעטה נפתלי</v>
      </c>
    </row>
    <row r="24878" spans="1:6" x14ac:dyDescent="0.2">
      <c r="A24878" t="s">
        <v>39845</v>
      </c>
      <c r="B24878" t="s">
        <v>4581</v>
      </c>
      <c r="C24878" t="s">
        <v>1278</v>
      </c>
      <c r="D24878" t="s">
        <v>212</v>
      </c>
      <c r="E24878" t="s">
        <v>4940</v>
      </c>
      <c r="F24878" s="2" t="str">
        <f>HYPERLINK("http://www.otzar.org/book.asp?8047","מעטה תהלה")</f>
        <v>מעטה תהלה</v>
      </c>
    </row>
    <row r="24879" spans="1:6" x14ac:dyDescent="0.2">
      <c r="A24879" t="s">
        <v>39846</v>
      </c>
      <c r="B24879" t="s">
        <v>552</v>
      </c>
      <c r="C24879" t="s">
        <v>17</v>
      </c>
      <c r="D24879" t="s">
        <v>90</v>
      </c>
      <c r="E24879" t="s">
        <v>5392</v>
      </c>
      <c r="F24879" s="2" t="str">
        <f>HYPERLINK("http://www.otzar.org/book.asp?53039","מעיין אלישע")</f>
        <v>מעיין אלישע</v>
      </c>
    </row>
    <row r="24880" spans="1:6" x14ac:dyDescent="0.2">
      <c r="A24880" t="s">
        <v>39847</v>
      </c>
      <c r="B24880" t="s">
        <v>1728</v>
      </c>
      <c r="C24880" t="s">
        <v>39848</v>
      </c>
      <c r="D24880" t="s">
        <v>273</v>
      </c>
      <c r="E24880" t="s">
        <v>158</v>
      </c>
      <c r="F24880" s="2" t="str">
        <f>HYPERLINK("http://www.otzar.org/book.asp?626898","מעיין גנים - 5 כר'")</f>
        <v>מעיין גנים - 5 כר'</v>
      </c>
    </row>
    <row r="24881" spans="1:6" x14ac:dyDescent="0.2">
      <c r="A24881" t="s">
        <v>39849</v>
      </c>
      <c r="B24881" t="s">
        <v>39850</v>
      </c>
      <c r="C24881" t="s">
        <v>2289</v>
      </c>
      <c r="D24881" t="s">
        <v>1516</v>
      </c>
      <c r="E24881" t="s">
        <v>144</v>
      </c>
      <c r="F24881" s="2" t="str">
        <f>HYPERLINK("http://www.otzar.org/book.asp?101137","מעיין גנים")</f>
        <v>מעיין גנים</v>
      </c>
    </row>
    <row r="24882" spans="1:6" x14ac:dyDescent="0.2">
      <c r="A24882" t="s">
        <v>39851</v>
      </c>
      <c r="B24882" t="s">
        <v>39852</v>
      </c>
      <c r="C24882" t="s">
        <v>940</v>
      </c>
      <c r="D24882" t="s">
        <v>14</v>
      </c>
      <c r="E24882" t="s">
        <v>684</v>
      </c>
      <c r="F24882" s="2" t="str">
        <f>HYPERLINK("http://www.otzar.org/book.asp?152225","מעיין גנים - 2 כר'")</f>
        <v>מעיין גנים - 2 כר'</v>
      </c>
    </row>
    <row r="24883" spans="1:6" x14ac:dyDescent="0.2">
      <c r="A24883" t="s">
        <v>39853</v>
      </c>
      <c r="B24883" t="s">
        <v>12962</v>
      </c>
      <c r="C24883" t="s">
        <v>454</v>
      </c>
      <c r="D24883" t="s">
        <v>14</v>
      </c>
      <c r="E24883" t="s">
        <v>140</v>
      </c>
      <c r="F24883" s="2" t="str">
        <f>HYPERLINK("http://www.otzar.org/book.asp?169025","מעיין דוד")</f>
        <v>מעיין דוד</v>
      </c>
    </row>
    <row r="24884" spans="1:6" x14ac:dyDescent="0.2">
      <c r="A24884" t="s">
        <v>39853</v>
      </c>
      <c r="B24884" t="s">
        <v>39854</v>
      </c>
      <c r="C24884" t="s">
        <v>103</v>
      </c>
      <c r="D24884" t="s">
        <v>14</v>
      </c>
      <c r="F24884" s="2" t="str">
        <f>HYPERLINK("http://www.otzar.org/book.asp?612031","מעיין דוד")</f>
        <v>מעיין דוד</v>
      </c>
    </row>
    <row r="24885" spans="1:6" x14ac:dyDescent="0.2">
      <c r="A24885" t="s">
        <v>39853</v>
      </c>
      <c r="B24885" t="s">
        <v>11029</v>
      </c>
      <c r="F24885" s="2" t="str">
        <f>HYPERLINK("http://www.otzar.org/book.asp?612025","מעיין דוד")</f>
        <v>מעיין דוד</v>
      </c>
    </row>
    <row r="24886" spans="1:6" x14ac:dyDescent="0.2">
      <c r="A24886" t="s">
        <v>39855</v>
      </c>
      <c r="B24886" t="s">
        <v>39856</v>
      </c>
      <c r="C24886" t="s">
        <v>523</v>
      </c>
      <c r="D24886" t="s">
        <v>14</v>
      </c>
      <c r="E24886" t="s">
        <v>140</v>
      </c>
      <c r="F24886" s="2" t="str">
        <f>HYPERLINK("http://www.otzar.org/book.asp?169049","מעיין הברכה")</f>
        <v>מעיין הברכה</v>
      </c>
    </row>
    <row r="24887" spans="1:6" x14ac:dyDescent="0.2">
      <c r="A24887" t="s">
        <v>39857</v>
      </c>
      <c r="B24887" t="s">
        <v>39858</v>
      </c>
      <c r="C24887" t="s">
        <v>466</v>
      </c>
      <c r="D24887" t="s">
        <v>52</v>
      </c>
      <c r="F24887" s="2" t="str">
        <f>HYPERLINK("http://www.otzar.org/book.asp?617524","מעיין החיים - 5 כר'")</f>
        <v>מעיין החיים - 5 כר'</v>
      </c>
    </row>
    <row r="24888" spans="1:6" x14ac:dyDescent="0.2">
      <c r="A24888" t="s">
        <v>39859</v>
      </c>
      <c r="B24888" t="s">
        <v>39860</v>
      </c>
      <c r="C24888" t="s">
        <v>748</v>
      </c>
      <c r="D24888" t="s">
        <v>352</v>
      </c>
      <c r="E24888" t="s">
        <v>7445</v>
      </c>
      <c r="F24888" s="2" t="str">
        <f>HYPERLINK("http://www.otzar.org/book.asp?102358","מעיין החכמה")</f>
        <v>מעיין החכמה</v>
      </c>
    </row>
    <row r="24889" spans="1:6" x14ac:dyDescent="0.2">
      <c r="A24889" t="s">
        <v>39859</v>
      </c>
      <c r="B24889" t="s">
        <v>39861</v>
      </c>
      <c r="C24889" t="s">
        <v>5334</v>
      </c>
      <c r="D24889" t="s">
        <v>544</v>
      </c>
      <c r="E24889" t="s">
        <v>399</v>
      </c>
      <c r="F24889" s="2" t="str">
        <f>HYPERLINK("http://www.otzar.org/book.asp?12911","מעיין החכמה")</f>
        <v>מעיין החכמה</v>
      </c>
    </row>
    <row r="24890" spans="1:6" x14ac:dyDescent="0.2">
      <c r="A24890" t="s">
        <v>39862</v>
      </c>
      <c r="B24890" t="s">
        <v>39863</v>
      </c>
      <c r="C24890" t="s">
        <v>129</v>
      </c>
      <c r="D24890" t="s">
        <v>3859</v>
      </c>
      <c r="E24890" t="s">
        <v>15</v>
      </c>
      <c r="F24890" s="2" t="str">
        <f>HYPERLINK("http://www.otzar.org/book.asp?144795","מעיין הטהרה - נדה")</f>
        <v>מעיין הטהרה - נדה</v>
      </c>
    </row>
    <row r="24891" spans="1:6" x14ac:dyDescent="0.2">
      <c r="A24891" t="s">
        <v>39864</v>
      </c>
      <c r="B24891" t="s">
        <v>27987</v>
      </c>
      <c r="C24891" t="s">
        <v>151</v>
      </c>
      <c r="D24891" t="s">
        <v>6853</v>
      </c>
      <c r="E24891" t="s">
        <v>144</v>
      </c>
      <c r="F24891" s="2" t="str">
        <f>HYPERLINK("http://www.otzar.org/book.asp?626721","מעיין המקום - יומא, כתובות")</f>
        <v>מעיין המקום - יומא, כתובות</v>
      </c>
    </row>
    <row r="24892" spans="1:6" x14ac:dyDescent="0.2">
      <c r="A24892" t="s">
        <v>39865</v>
      </c>
      <c r="B24892" t="s">
        <v>39866</v>
      </c>
      <c r="C24892" t="s">
        <v>422</v>
      </c>
      <c r="D24892" t="s">
        <v>52</v>
      </c>
      <c r="E24892" t="s">
        <v>202</v>
      </c>
      <c r="F24892" s="2" t="str">
        <f>HYPERLINK("http://www.otzar.org/book.asp?165108","מעיין הסופר - 3 כר'")</f>
        <v>מעיין הסופר - 3 כר'</v>
      </c>
    </row>
    <row r="24893" spans="1:6" x14ac:dyDescent="0.2">
      <c r="A24893" t="s">
        <v>39867</v>
      </c>
      <c r="B24893" t="s">
        <v>2155</v>
      </c>
      <c r="C24893" t="s">
        <v>37</v>
      </c>
      <c r="D24893" t="s">
        <v>52</v>
      </c>
      <c r="E24893" t="s">
        <v>15</v>
      </c>
      <c r="F24893" s="2" t="str">
        <f>HYPERLINK("http://www.otzar.org/book.asp?602944","מעיין השילוח")</f>
        <v>מעיין השילוח</v>
      </c>
    </row>
    <row r="24894" spans="1:6" x14ac:dyDescent="0.2">
      <c r="A24894" t="s">
        <v>39867</v>
      </c>
      <c r="B24894" t="s">
        <v>39868</v>
      </c>
      <c r="C24894" t="s">
        <v>37</v>
      </c>
      <c r="D24894" t="s">
        <v>21</v>
      </c>
      <c r="F24894" s="2" t="str">
        <f>HYPERLINK("http://www.otzar.org/book.asp?191290","מעיין השילוח")</f>
        <v>מעיין השילוח</v>
      </c>
    </row>
    <row r="24895" spans="1:6" x14ac:dyDescent="0.2">
      <c r="A24895" t="s">
        <v>39869</v>
      </c>
      <c r="B24895" t="s">
        <v>11221</v>
      </c>
      <c r="C24895" t="s">
        <v>244</v>
      </c>
      <c r="D24895" t="s">
        <v>21</v>
      </c>
      <c r="E24895" t="s">
        <v>144</v>
      </c>
      <c r="F24895" s="2" t="str">
        <f>HYPERLINK("http://www.otzar.org/book.asp?199932","מעיין התלמוד - 2 כר'")</f>
        <v>מעיין התלמוד - 2 כר'</v>
      </c>
    </row>
    <row r="24896" spans="1:6" x14ac:dyDescent="0.2">
      <c r="A24896" t="s">
        <v>39870</v>
      </c>
      <c r="B24896" t="s">
        <v>39871</v>
      </c>
      <c r="C24896" t="s">
        <v>114</v>
      </c>
      <c r="D24896" t="s">
        <v>21</v>
      </c>
      <c r="E24896" t="s">
        <v>158</v>
      </c>
      <c r="F24896" s="2" t="str">
        <f>HYPERLINK("http://www.otzar.org/book.asp?603181","מעיין חיים - 2 כר'")</f>
        <v>מעיין חיים - 2 כר'</v>
      </c>
    </row>
    <row r="24897" spans="1:6" x14ac:dyDescent="0.2">
      <c r="A24897" t="s">
        <v>39872</v>
      </c>
      <c r="B24897" t="s">
        <v>39873</v>
      </c>
      <c r="C24897" t="s">
        <v>332</v>
      </c>
      <c r="D24897" t="s">
        <v>52</v>
      </c>
      <c r="E24897" t="s">
        <v>119</v>
      </c>
      <c r="F24897" s="2" t="str">
        <f>HYPERLINK("http://www.otzar.org/book.asp?154606","מעיין חיים - 4 כר'")</f>
        <v>מעיין חיים - 4 כר'</v>
      </c>
    </row>
    <row r="24898" spans="1:6" x14ac:dyDescent="0.2">
      <c r="A24898" t="s">
        <v>39874</v>
      </c>
      <c r="B24898" t="s">
        <v>39875</v>
      </c>
      <c r="C24898" t="s">
        <v>51</v>
      </c>
      <c r="D24898" t="s">
        <v>52</v>
      </c>
      <c r="E24898" t="s">
        <v>148</v>
      </c>
      <c r="F24898" s="2" t="str">
        <f>HYPERLINK("http://www.otzar.org/book.asp?153769","מעיין טוהר")</f>
        <v>מעיין טוהר</v>
      </c>
    </row>
    <row r="24899" spans="1:6" x14ac:dyDescent="0.2">
      <c r="A24899" t="s">
        <v>39876</v>
      </c>
      <c r="B24899" t="s">
        <v>206</v>
      </c>
      <c r="C24899" t="s">
        <v>51</v>
      </c>
      <c r="D24899" t="s">
        <v>657</v>
      </c>
      <c r="E24899" t="s">
        <v>148</v>
      </c>
      <c r="F24899" s="2" t="str">
        <f>HYPERLINK("http://www.otzar.org/book.asp?63686","מעיין משה")</f>
        <v>מעיין משה</v>
      </c>
    </row>
    <row r="24900" spans="1:6" x14ac:dyDescent="0.2">
      <c r="A24900" t="s">
        <v>39877</v>
      </c>
      <c r="B24900" t="s">
        <v>39878</v>
      </c>
      <c r="C24900" t="s">
        <v>151</v>
      </c>
      <c r="D24900" t="s">
        <v>152</v>
      </c>
      <c r="E24900" t="s">
        <v>246</v>
      </c>
      <c r="F24900" s="2" t="str">
        <f>HYPERLINK("http://www.otzar.org/book.asp?626172","מעיין שמואל")</f>
        <v>מעיין שמואל</v>
      </c>
    </row>
    <row r="24901" spans="1:6" x14ac:dyDescent="0.2">
      <c r="A24901" t="s">
        <v>39879</v>
      </c>
      <c r="B24901" t="s">
        <v>39880</v>
      </c>
      <c r="E24901" t="s">
        <v>144</v>
      </c>
      <c r="F24901" s="2" t="str">
        <f>HYPERLINK("http://www.otzar.org/book.asp?628724","מעיינו מים - פסחים")</f>
        <v>מעיינו מים - פסחים</v>
      </c>
    </row>
    <row r="24902" spans="1:6" x14ac:dyDescent="0.2">
      <c r="A24902" t="s">
        <v>39881</v>
      </c>
      <c r="B24902" t="s">
        <v>39881</v>
      </c>
      <c r="C24902" t="s">
        <v>20</v>
      </c>
      <c r="D24902" t="s">
        <v>14</v>
      </c>
      <c r="E24902" t="s">
        <v>12089</v>
      </c>
      <c r="F24902" s="2" t="str">
        <f>HYPERLINK("http://www.otzar.org/book.asp?6123","מעיינות החיים")</f>
        <v>מעיינות החיים</v>
      </c>
    </row>
    <row r="24903" spans="1:6" x14ac:dyDescent="0.2">
      <c r="A24903" t="s">
        <v>39882</v>
      </c>
      <c r="B24903" t="s">
        <v>39883</v>
      </c>
      <c r="C24903" t="s">
        <v>68</v>
      </c>
      <c r="D24903" t="s">
        <v>52</v>
      </c>
      <c r="E24903" t="s">
        <v>399</v>
      </c>
      <c r="F24903" s="2" t="str">
        <f>HYPERLINK("http://www.otzar.org/book.asp?161716","מעיינות החכמה")</f>
        <v>מעיינות החכמה</v>
      </c>
    </row>
    <row r="24904" spans="1:6" x14ac:dyDescent="0.2">
      <c r="A24904" t="s">
        <v>39884</v>
      </c>
      <c r="C24904" t="s">
        <v>143</v>
      </c>
      <c r="D24904" t="s">
        <v>52</v>
      </c>
      <c r="E24904" t="s">
        <v>1174</v>
      </c>
      <c r="F24904" s="2" t="str">
        <f>HYPERLINK("http://www.otzar.org/book.asp?179902","מעיינות החסידות - ב")</f>
        <v>מעיינות החסידות - ב</v>
      </c>
    </row>
    <row r="24905" spans="1:6" x14ac:dyDescent="0.2">
      <c r="A24905" t="s">
        <v>39885</v>
      </c>
      <c r="B24905" t="s">
        <v>39886</v>
      </c>
      <c r="E24905" t="s">
        <v>140</v>
      </c>
      <c r="F24905" s="2" t="str">
        <f>HYPERLINK("http://www.otzar.org/book.asp?627915","מעיינות הרים - כח")</f>
        <v>מעיינות הרים - כח</v>
      </c>
    </row>
    <row r="24906" spans="1:6" x14ac:dyDescent="0.2">
      <c r="A24906" t="s">
        <v>39887</v>
      </c>
      <c r="B24906" t="s">
        <v>39888</v>
      </c>
      <c r="C24906" t="s">
        <v>332</v>
      </c>
      <c r="D24906" t="s">
        <v>21</v>
      </c>
      <c r="F24906" s="2" t="str">
        <f>HYPERLINK("http://www.otzar.org/book.asp?195533","מעיינות התלמוד - 2 כר'")</f>
        <v>מעיינות התלמוד - 2 כר'</v>
      </c>
    </row>
    <row r="24907" spans="1:6" x14ac:dyDescent="0.2">
      <c r="A24907" t="s">
        <v>39889</v>
      </c>
      <c r="B24907" t="s">
        <v>1234</v>
      </c>
      <c r="C24907" t="s">
        <v>454</v>
      </c>
      <c r="D24907" t="s">
        <v>3283</v>
      </c>
      <c r="E24907" t="s">
        <v>11780</v>
      </c>
      <c r="F24907" s="2" t="str">
        <f>HYPERLINK("http://www.otzar.org/book.asp?106938","מעייני אגם")</f>
        <v>מעייני אגם</v>
      </c>
    </row>
    <row r="24908" spans="1:6" x14ac:dyDescent="0.2">
      <c r="A24908" t="s">
        <v>39890</v>
      </c>
      <c r="B24908" t="s">
        <v>3820</v>
      </c>
      <c r="C24908" t="s">
        <v>1388</v>
      </c>
      <c r="D24908" t="s">
        <v>14</v>
      </c>
      <c r="E24908" t="s">
        <v>158</v>
      </c>
      <c r="F24908" s="2" t="str">
        <f>HYPERLINK("http://www.otzar.org/book.asp?19320","מעייני החיים - 3 כר'")</f>
        <v>מעייני החיים - 3 כר'</v>
      </c>
    </row>
    <row r="24909" spans="1:6" x14ac:dyDescent="0.2">
      <c r="A24909" t="s">
        <v>39891</v>
      </c>
      <c r="B24909" t="s">
        <v>1602</v>
      </c>
      <c r="C24909" t="s">
        <v>13</v>
      </c>
      <c r="D24909" t="s">
        <v>14</v>
      </c>
      <c r="E24909" t="s">
        <v>213</v>
      </c>
      <c r="F24909" s="2" t="str">
        <f>HYPERLINK("http://www.otzar.org/book.asp?84600","מעייני הישועה - 2 כר'")</f>
        <v>מעייני הישועה - 2 כר'</v>
      </c>
    </row>
    <row r="24910" spans="1:6" x14ac:dyDescent="0.2">
      <c r="A24910" t="s">
        <v>39892</v>
      </c>
      <c r="B24910" t="s">
        <v>39893</v>
      </c>
      <c r="C24910" t="s">
        <v>523</v>
      </c>
      <c r="D24910" t="s">
        <v>14</v>
      </c>
      <c r="E24910" t="s">
        <v>148</v>
      </c>
      <c r="F24910" s="2" t="str">
        <f>HYPERLINK("http://www.otzar.org/book.asp?85170","מעייני הישועה")</f>
        <v>מעייני הישועה</v>
      </c>
    </row>
    <row r="24911" spans="1:6" x14ac:dyDescent="0.2">
      <c r="A24911" t="s">
        <v>39892</v>
      </c>
      <c r="B24911" t="s">
        <v>5723</v>
      </c>
      <c r="C24911" t="s">
        <v>1036</v>
      </c>
      <c r="D24911" t="s">
        <v>322</v>
      </c>
      <c r="E24911" t="s">
        <v>213</v>
      </c>
      <c r="F24911" s="2" t="str">
        <f>HYPERLINK("http://www.otzar.org/book.asp?102360","מעייני הישועה")</f>
        <v>מעייני הישועה</v>
      </c>
    </row>
    <row r="24912" spans="1:6" x14ac:dyDescent="0.2">
      <c r="A24912" t="s">
        <v>39892</v>
      </c>
      <c r="B24912" t="s">
        <v>3199</v>
      </c>
      <c r="C24912" t="s">
        <v>748</v>
      </c>
      <c r="D24912" t="s">
        <v>27</v>
      </c>
      <c r="E24912" t="s">
        <v>144</v>
      </c>
      <c r="F24912" s="2" t="str">
        <f>HYPERLINK("http://www.otzar.org/book.asp?166863","מעייני הישועה")</f>
        <v>מעייני הישועה</v>
      </c>
    </row>
    <row r="24913" spans="1:6" x14ac:dyDescent="0.2">
      <c r="A24913" t="s">
        <v>39894</v>
      </c>
      <c r="B24913" t="s">
        <v>39895</v>
      </c>
      <c r="C24913" t="s">
        <v>71</v>
      </c>
      <c r="D24913" t="s">
        <v>14</v>
      </c>
      <c r="E24913" t="s">
        <v>345</v>
      </c>
      <c r="F24913" s="2" t="str">
        <f>HYPERLINK("http://www.otzar.org/book.asp?50395","מעייני התורה - 3 כר'")</f>
        <v>מעייני התורה - 3 כר'</v>
      </c>
    </row>
    <row r="24914" spans="1:6" x14ac:dyDescent="0.2">
      <c r="A24914" t="s">
        <v>39896</v>
      </c>
      <c r="B24914" t="s">
        <v>39897</v>
      </c>
      <c r="C24914" t="s">
        <v>151</v>
      </c>
      <c r="D24914" t="s">
        <v>486</v>
      </c>
      <c r="F24914" s="2" t="str">
        <f>HYPERLINK("http://www.otzar.org/book.asp?615418","מעייני טוהר")</f>
        <v>מעייני טוהר</v>
      </c>
    </row>
    <row r="24915" spans="1:6" x14ac:dyDescent="0.2">
      <c r="A24915" t="s">
        <v>39898</v>
      </c>
      <c r="B24915" t="s">
        <v>39899</v>
      </c>
      <c r="C24915" t="s">
        <v>68</v>
      </c>
      <c r="D24915" t="s">
        <v>14</v>
      </c>
      <c r="E24915" t="s">
        <v>144</v>
      </c>
      <c r="F24915" s="2" t="str">
        <f>HYPERLINK("http://www.otzar.org/book.asp?163864","מעייני יהושע - יבמות, נדרים")</f>
        <v>מעייני יהושע - יבמות, נדרים</v>
      </c>
    </row>
    <row r="24916" spans="1:6" x14ac:dyDescent="0.2">
      <c r="A24916" t="s">
        <v>39900</v>
      </c>
      <c r="B24916" t="s">
        <v>39901</v>
      </c>
      <c r="C24916" t="s">
        <v>244</v>
      </c>
      <c r="D24916" t="s">
        <v>245</v>
      </c>
      <c r="E24916" t="s">
        <v>144</v>
      </c>
      <c r="F24916" s="2" t="str">
        <f>HYPERLINK("http://www.otzar.org/book.asp?198658","מעייני יעקב - 5 כר'")</f>
        <v>מעייני יעקב - 5 כר'</v>
      </c>
    </row>
    <row r="24917" spans="1:6" x14ac:dyDescent="0.2">
      <c r="A24917" t="s">
        <v>39902</v>
      </c>
      <c r="B24917" t="s">
        <v>16806</v>
      </c>
      <c r="C24917" t="s">
        <v>313</v>
      </c>
      <c r="D24917" t="s">
        <v>14</v>
      </c>
      <c r="E24917" t="s">
        <v>144</v>
      </c>
      <c r="F24917" s="2" t="str">
        <f>HYPERLINK("http://www.otzar.org/book.asp?22658","מעייני מים - 4 כר'")</f>
        <v>מעייני מים - 4 כר'</v>
      </c>
    </row>
    <row r="24918" spans="1:6" x14ac:dyDescent="0.2">
      <c r="A24918" t="s">
        <v>39903</v>
      </c>
      <c r="B24918" t="s">
        <v>39904</v>
      </c>
      <c r="C24918" t="s">
        <v>553</v>
      </c>
      <c r="D24918" t="s">
        <v>14</v>
      </c>
      <c r="E24918" t="s">
        <v>158</v>
      </c>
      <c r="F24918" s="2" t="str">
        <f>HYPERLINK("http://www.otzar.org/book.asp?191298","מעייני מקרא - רות")</f>
        <v>מעייני מקרא - רות</v>
      </c>
    </row>
    <row r="24919" spans="1:6" x14ac:dyDescent="0.2">
      <c r="A24919" t="s">
        <v>39905</v>
      </c>
      <c r="B24919" t="s">
        <v>39906</v>
      </c>
      <c r="C24919" t="s">
        <v>103</v>
      </c>
      <c r="D24919" t="s">
        <v>15290</v>
      </c>
      <c r="E24919" t="s">
        <v>144</v>
      </c>
      <c r="F24919" s="2" t="str">
        <f>HYPERLINK("http://www.otzar.org/book.asp?159531","מעיל  אהרן - חק נתן השלם - מעילה")</f>
        <v>מעיל  אהרן - חק נתן השלם - מעילה</v>
      </c>
    </row>
    <row r="24920" spans="1:6" x14ac:dyDescent="0.2">
      <c r="A24920" t="s">
        <v>39907</v>
      </c>
      <c r="B24920" t="s">
        <v>19671</v>
      </c>
      <c r="C24920" t="s">
        <v>422</v>
      </c>
      <c r="D24920" t="s">
        <v>14</v>
      </c>
      <c r="E24920" t="s">
        <v>399</v>
      </c>
      <c r="F24920" s="2" t="str">
        <f>HYPERLINK("http://www.otzar.org/book.asp?188881","מעיל אליהו")</f>
        <v>מעיל אליהו</v>
      </c>
    </row>
    <row r="24921" spans="1:6" x14ac:dyDescent="0.2">
      <c r="A24921" t="s">
        <v>39907</v>
      </c>
      <c r="B24921" t="s">
        <v>12240</v>
      </c>
      <c r="C24921" t="s">
        <v>63</v>
      </c>
      <c r="D24921" t="s">
        <v>14</v>
      </c>
      <c r="F24921" s="2" t="str">
        <f>HYPERLINK("http://www.otzar.org/book.asp?615865","מעיל אליהו")</f>
        <v>מעיל אליהו</v>
      </c>
    </row>
    <row r="24922" spans="1:6" x14ac:dyDescent="0.2">
      <c r="A24922" t="s">
        <v>39908</v>
      </c>
      <c r="B24922" t="s">
        <v>10635</v>
      </c>
      <c r="C24922" t="s">
        <v>558</v>
      </c>
      <c r="D24922" t="s">
        <v>1889</v>
      </c>
      <c r="E24922" t="s">
        <v>424</v>
      </c>
      <c r="F24922" s="2" t="str">
        <f>HYPERLINK("http://www.otzar.org/book.asp?105993","מעיל יעקב - 2 כר'")</f>
        <v>מעיל יעקב - 2 כר'</v>
      </c>
    </row>
    <row r="24923" spans="1:6" x14ac:dyDescent="0.2">
      <c r="A24923" t="s">
        <v>39909</v>
      </c>
      <c r="B24923" t="s">
        <v>39910</v>
      </c>
      <c r="C24923" t="s">
        <v>151</v>
      </c>
      <c r="D24923" t="s">
        <v>1156</v>
      </c>
      <c r="F24923" s="2" t="str">
        <f>HYPERLINK("http://www.otzar.org/book.asp?616714","מעיל ישע - מעילה")</f>
        <v>מעיל ישע - מעילה</v>
      </c>
    </row>
    <row r="24924" spans="1:6" x14ac:dyDescent="0.2">
      <c r="A24924" t="s">
        <v>39911</v>
      </c>
      <c r="B24924" t="s">
        <v>1112</v>
      </c>
      <c r="C24924" t="s">
        <v>1036</v>
      </c>
      <c r="D24924" t="s">
        <v>267</v>
      </c>
      <c r="E24924" t="s">
        <v>674</v>
      </c>
      <c r="F24924" s="2" t="str">
        <f>HYPERLINK("http://www.otzar.org/book.asp?102357","מעיל צדקה - 5 כר'")</f>
        <v>מעיל צדקה - 5 כר'</v>
      </c>
    </row>
    <row r="24925" spans="1:6" x14ac:dyDescent="0.2">
      <c r="A24925" t="s">
        <v>39912</v>
      </c>
      <c r="B24925" t="s">
        <v>11126</v>
      </c>
      <c r="C24925" t="s">
        <v>4538</v>
      </c>
      <c r="D24925" t="s">
        <v>744</v>
      </c>
      <c r="E24925" t="s">
        <v>2509</v>
      </c>
      <c r="F24925" s="2" t="str">
        <f>HYPERLINK("http://www.otzar.org/book.asp?337","מעיל צדקה - 2 כר'")</f>
        <v>מעיל צדקה - 2 כר'</v>
      </c>
    </row>
    <row r="24926" spans="1:6" x14ac:dyDescent="0.2">
      <c r="A24926" t="s">
        <v>39913</v>
      </c>
      <c r="B24926" t="s">
        <v>7334</v>
      </c>
      <c r="C24926" t="s">
        <v>13</v>
      </c>
      <c r="D24926" t="s">
        <v>139</v>
      </c>
      <c r="E24926" t="s">
        <v>399</v>
      </c>
      <c r="F24926" s="2" t="str">
        <f>HYPERLINK("http://www.otzar.org/book.asp?180263","מעיל קדש ובגדי ישע &lt;מהדורת עלי עין&gt; - 2 כר'")</f>
        <v>מעיל קדש ובגדי ישע &lt;מהדורת עלי עין&gt; - 2 כר'</v>
      </c>
    </row>
    <row r="24927" spans="1:6" x14ac:dyDescent="0.2">
      <c r="A24927" t="s">
        <v>39914</v>
      </c>
      <c r="B24927" t="s">
        <v>7334</v>
      </c>
      <c r="C24927" t="s">
        <v>429</v>
      </c>
      <c r="D24927" t="s">
        <v>27</v>
      </c>
      <c r="E24927" t="s">
        <v>399</v>
      </c>
      <c r="F24927" s="2" t="str">
        <f>HYPERLINK("http://www.otzar.org/book.asp?6193","מעיל קדש ובגדי ישע")</f>
        <v>מעיל קדש ובגדי ישע</v>
      </c>
    </row>
    <row r="24928" spans="1:6" x14ac:dyDescent="0.2">
      <c r="A24928" t="s">
        <v>39915</v>
      </c>
      <c r="B24928" t="s">
        <v>39916</v>
      </c>
      <c r="C24928" t="s">
        <v>114</v>
      </c>
      <c r="D24928" t="s">
        <v>657</v>
      </c>
      <c r="E24928" t="s">
        <v>933</v>
      </c>
      <c r="F24928" s="2" t="str">
        <f>HYPERLINK("http://www.otzar.org/book.asp?165026","מעיל קטן")</f>
        <v>מעיל קטן</v>
      </c>
    </row>
    <row r="24929" spans="1:6" x14ac:dyDescent="0.2">
      <c r="A24929" t="s">
        <v>39917</v>
      </c>
      <c r="B24929" t="s">
        <v>39918</v>
      </c>
      <c r="C24929" t="s">
        <v>3816</v>
      </c>
      <c r="D24929" t="s">
        <v>4241</v>
      </c>
      <c r="E24929" t="s">
        <v>234</v>
      </c>
      <c r="F24929" s="2" t="str">
        <f>HYPERLINK("http://www.otzar.org/book.asp?189534","מעיל קינ""ה")</f>
        <v>מעיל קינ"ה</v>
      </c>
    </row>
    <row r="24930" spans="1:6" x14ac:dyDescent="0.2">
      <c r="A24930" t="s">
        <v>39919</v>
      </c>
      <c r="B24930" t="s">
        <v>39920</v>
      </c>
      <c r="C24930" t="s">
        <v>748</v>
      </c>
      <c r="D24930" t="s">
        <v>56</v>
      </c>
      <c r="E24930" t="s">
        <v>1211</v>
      </c>
      <c r="F24930" s="2" t="str">
        <f>HYPERLINK("http://www.otzar.org/book.asp?200172","מעיל שמואל &lt;פעמוני המעיל&gt;")</f>
        <v>מעיל שמואל &lt;פעמוני המעיל&gt;</v>
      </c>
    </row>
    <row r="24931" spans="1:6" x14ac:dyDescent="0.2">
      <c r="A24931" t="s">
        <v>39921</v>
      </c>
      <c r="B24931" t="s">
        <v>39922</v>
      </c>
      <c r="C24931" t="s">
        <v>422</v>
      </c>
      <c r="D24931" t="s">
        <v>14</v>
      </c>
      <c r="E24931" t="s">
        <v>158</v>
      </c>
      <c r="F24931" s="2" t="str">
        <f>HYPERLINK("http://www.otzar.org/book.asp?151195","מעיל שמואל על התורה")</f>
        <v>מעיל שמואל על התורה</v>
      </c>
    </row>
    <row r="24932" spans="1:6" x14ac:dyDescent="0.2">
      <c r="A24932" t="s">
        <v>39923</v>
      </c>
      <c r="B24932" t="s">
        <v>39924</v>
      </c>
      <c r="C24932" t="s">
        <v>14518</v>
      </c>
      <c r="D24932" t="s">
        <v>49</v>
      </c>
      <c r="E24932" t="s">
        <v>39925</v>
      </c>
      <c r="F24932" s="2" t="str">
        <f>HYPERLINK("http://www.otzar.org/book.asp?103524","מעיל שמואל - 2 כר'")</f>
        <v>מעיל שמואל - 2 כר'</v>
      </c>
    </row>
    <row r="24933" spans="1:6" x14ac:dyDescent="0.2">
      <c r="A24933" t="s">
        <v>39926</v>
      </c>
      <c r="B24933" t="s">
        <v>39772</v>
      </c>
      <c r="C24933" t="s">
        <v>114</v>
      </c>
      <c r="D24933" t="s">
        <v>14</v>
      </c>
      <c r="E24933" t="s">
        <v>14089</v>
      </c>
      <c r="F24933" s="2" t="str">
        <f>HYPERLINK("http://www.otzar.org/book.asp?178951","מעיל שמואל")</f>
        <v>מעיל שמואל</v>
      </c>
    </row>
    <row r="24934" spans="1:6" x14ac:dyDescent="0.2">
      <c r="A24934" t="s">
        <v>39927</v>
      </c>
      <c r="B24934" t="s">
        <v>39922</v>
      </c>
      <c r="C24934" t="s">
        <v>114</v>
      </c>
      <c r="D24934" t="s">
        <v>14</v>
      </c>
      <c r="E24934" t="s">
        <v>10</v>
      </c>
      <c r="F24934" s="2" t="str">
        <f>HYPERLINK("http://www.otzar.org/book.asp?194992","מעיל שמואל - 4 כר'")</f>
        <v>מעיל שמואל - 4 כר'</v>
      </c>
    </row>
    <row r="24935" spans="1:6" x14ac:dyDescent="0.2">
      <c r="A24935" t="s">
        <v>39928</v>
      </c>
      <c r="B24935" t="s">
        <v>39929</v>
      </c>
      <c r="C24935" t="s">
        <v>445</v>
      </c>
      <c r="D24935" t="s">
        <v>2440</v>
      </c>
      <c r="E24935" t="s">
        <v>2879</v>
      </c>
      <c r="F24935" s="2" t="str">
        <f>HYPERLINK("http://www.otzar.org/book.asp?673","מעיל שמואל - א")</f>
        <v>מעיל שמואל - א</v>
      </c>
    </row>
    <row r="24936" spans="1:6" x14ac:dyDescent="0.2">
      <c r="A24936" t="s">
        <v>39926</v>
      </c>
      <c r="B24936" t="s">
        <v>39930</v>
      </c>
      <c r="C24936" t="s">
        <v>71</v>
      </c>
      <c r="D24936" t="s">
        <v>14</v>
      </c>
      <c r="E24936" t="s">
        <v>15</v>
      </c>
      <c r="F24936" s="2" t="str">
        <f>HYPERLINK("http://www.otzar.org/book.asp?142263","מעיל שמואל")</f>
        <v>מעיל שמואל</v>
      </c>
    </row>
    <row r="24937" spans="1:6" x14ac:dyDescent="0.2">
      <c r="A24937" t="s">
        <v>39926</v>
      </c>
      <c r="B24937" t="s">
        <v>39931</v>
      </c>
      <c r="C24937" t="s">
        <v>189</v>
      </c>
      <c r="D24937" t="s">
        <v>52</v>
      </c>
      <c r="E24937" t="s">
        <v>119</v>
      </c>
      <c r="F24937" s="2" t="str">
        <f>HYPERLINK("http://www.otzar.org/book.asp?153992","מעיל שמואל")</f>
        <v>מעיל שמואל</v>
      </c>
    </row>
    <row r="24938" spans="1:6" x14ac:dyDescent="0.2">
      <c r="A24938" t="s">
        <v>39926</v>
      </c>
      <c r="B24938" t="s">
        <v>39932</v>
      </c>
      <c r="C24938" t="s">
        <v>7158</v>
      </c>
      <c r="D24938" t="s">
        <v>76</v>
      </c>
      <c r="E24938" t="s">
        <v>10</v>
      </c>
      <c r="F24938" s="2" t="str">
        <f>HYPERLINK("http://www.otzar.org/book.asp?101128","מעיל שמואל")</f>
        <v>מעיל שמואל</v>
      </c>
    </row>
    <row r="24939" spans="1:6" x14ac:dyDescent="0.2">
      <c r="A24939" t="s">
        <v>39933</v>
      </c>
      <c r="B24939" t="s">
        <v>39934</v>
      </c>
      <c r="C24939" t="s">
        <v>624</v>
      </c>
      <c r="D24939" t="s">
        <v>1643</v>
      </c>
      <c r="E24939" t="s">
        <v>119</v>
      </c>
      <c r="F24939" s="2" t="str">
        <f>HYPERLINK("http://www.otzar.org/book.asp?153580","מעילו של שמואל")</f>
        <v>מעילו של שמואל</v>
      </c>
    </row>
    <row r="24940" spans="1:6" x14ac:dyDescent="0.2">
      <c r="A24940" t="s">
        <v>39935</v>
      </c>
      <c r="B24940" t="s">
        <v>5873</v>
      </c>
      <c r="C24940" t="s">
        <v>20</v>
      </c>
      <c r="D24940" t="s">
        <v>90</v>
      </c>
      <c r="E24940" t="s">
        <v>241</v>
      </c>
      <c r="F24940" s="2" t="str">
        <f>HYPERLINK("http://www.otzar.org/book.asp?618131","מעין אברהם - אמונה")</f>
        <v>מעין אברהם - אמונה</v>
      </c>
    </row>
    <row r="24941" spans="1:6" x14ac:dyDescent="0.2">
      <c r="A24941" t="s">
        <v>39936</v>
      </c>
      <c r="B24941" t="s">
        <v>1264</v>
      </c>
      <c r="C24941" t="s">
        <v>313</v>
      </c>
      <c r="D24941" t="s">
        <v>52</v>
      </c>
      <c r="F24941" s="2" t="str">
        <f>HYPERLINK("http://www.otzar.org/book.asp?188868","מעין גנים &lt;על דרוש אור החיים&gt;")</f>
        <v>מעין גנים &lt;על דרוש אור החיים&gt;</v>
      </c>
    </row>
    <row r="24942" spans="1:6" x14ac:dyDescent="0.2">
      <c r="A24942" t="s">
        <v>39937</v>
      </c>
      <c r="B24942" t="s">
        <v>39938</v>
      </c>
      <c r="C24942" t="s">
        <v>454</v>
      </c>
      <c r="D24942" t="s">
        <v>14</v>
      </c>
      <c r="E24942" t="s">
        <v>325</v>
      </c>
      <c r="F24942" s="2" t="str">
        <f>HYPERLINK("http://www.otzar.org/book.asp?149493","מעין גנים - 2 כר'")</f>
        <v>מעין גנים - 2 כר'</v>
      </c>
    </row>
    <row r="24943" spans="1:6" x14ac:dyDescent="0.2">
      <c r="A24943" t="s">
        <v>39939</v>
      </c>
      <c r="B24943" t="s">
        <v>31343</v>
      </c>
      <c r="C24943" t="s">
        <v>111</v>
      </c>
      <c r="D24943" t="s">
        <v>52</v>
      </c>
      <c r="E24943" t="s">
        <v>158</v>
      </c>
      <c r="F24943" s="2" t="str">
        <f>HYPERLINK("http://www.otzar.org/book.asp?627540","מעין גנים - דברים")</f>
        <v>מעין גנים - דברים</v>
      </c>
    </row>
    <row r="24944" spans="1:6" x14ac:dyDescent="0.2">
      <c r="A24944" t="s">
        <v>39940</v>
      </c>
      <c r="B24944" t="s">
        <v>33816</v>
      </c>
      <c r="C24944" t="s">
        <v>114</v>
      </c>
      <c r="D24944" t="s">
        <v>14</v>
      </c>
      <c r="E24944" t="s">
        <v>104</v>
      </c>
      <c r="F24944" s="2" t="str">
        <f>HYPERLINK("http://www.otzar.org/book.asp?167004","מעין גנים - 3 כר'")</f>
        <v>מעין גנים - 3 כר'</v>
      </c>
    </row>
    <row r="24945" spans="1:6" x14ac:dyDescent="0.2">
      <c r="A24945" t="s">
        <v>39941</v>
      </c>
      <c r="B24945" t="s">
        <v>15261</v>
      </c>
      <c r="C24945" t="s">
        <v>1441</v>
      </c>
      <c r="D24945" t="s">
        <v>49</v>
      </c>
      <c r="E24945" t="s">
        <v>213</v>
      </c>
      <c r="F24945" s="2" t="str">
        <f>HYPERLINK("http://www.otzar.org/book.asp?103523","מעין גנים")</f>
        <v>מעין גנים</v>
      </c>
    </row>
    <row r="24946" spans="1:6" x14ac:dyDescent="0.2">
      <c r="A24946" t="s">
        <v>39937</v>
      </c>
      <c r="B24946" t="s">
        <v>1728</v>
      </c>
      <c r="C24946" t="s">
        <v>51</v>
      </c>
      <c r="D24946" t="s">
        <v>273</v>
      </c>
      <c r="E24946" t="s">
        <v>1185</v>
      </c>
      <c r="F24946" s="2" t="str">
        <f>HYPERLINK("http://www.otzar.org/book.asp?628559","מעין גנים - 2 כר'")</f>
        <v>מעין גנים - 2 כר'</v>
      </c>
    </row>
    <row r="24947" spans="1:6" x14ac:dyDescent="0.2">
      <c r="A24947" t="s">
        <v>39941</v>
      </c>
      <c r="B24947" t="s">
        <v>8510</v>
      </c>
      <c r="C24947" t="s">
        <v>1519</v>
      </c>
      <c r="D24947" t="s">
        <v>212</v>
      </c>
      <c r="E24947" t="s">
        <v>172</v>
      </c>
      <c r="F24947" s="2" t="str">
        <f>HYPERLINK("http://www.otzar.org/book.asp?20232","מעין גנים")</f>
        <v>מעין גנים</v>
      </c>
    </row>
    <row r="24948" spans="1:6" x14ac:dyDescent="0.2">
      <c r="A24948" t="s">
        <v>39941</v>
      </c>
      <c r="B24948" t="s">
        <v>686</v>
      </c>
      <c r="C24948" t="s">
        <v>940</v>
      </c>
      <c r="D24948" t="s">
        <v>52</v>
      </c>
      <c r="E24948" t="s">
        <v>474</v>
      </c>
      <c r="F24948" s="2" t="str">
        <f>HYPERLINK("http://www.otzar.org/book.asp?618484","מעין גנים")</f>
        <v>מעין גנים</v>
      </c>
    </row>
    <row r="24949" spans="1:6" x14ac:dyDescent="0.2">
      <c r="A24949" t="s">
        <v>39941</v>
      </c>
      <c r="B24949" t="s">
        <v>39942</v>
      </c>
      <c r="C24949" t="s">
        <v>39796</v>
      </c>
      <c r="D24949" t="s">
        <v>27</v>
      </c>
      <c r="E24949" t="s">
        <v>2088</v>
      </c>
      <c r="F24949" s="2" t="str">
        <f>HYPERLINK("http://www.otzar.org/book.asp?149041","מעין גנים")</f>
        <v>מעין גנים</v>
      </c>
    </row>
    <row r="24950" spans="1:6" x14ac:dyDescent="0.2">
      <c r="A24950" t="s">
        <v>39941</v>
      </c>
      <c r="B24950" t="s">
        <v>39943</v>
      </c>
      <c r="C24950" t="s">
        <v>17</v>
      </c>
      <c r="D24950" t="s">
        <v>14</v>
      </c>
      <c r="E24950" t="s">
        <v>3516</v>
      </c>
      <c r="F24950" s="2" t="str">
        <f>HYPERLINK("http://www.otzar.org/book.asp?152567","מעין גנים")</f>
        <v>מעין גנים</v>
      </c>
    </row>
    <row r="24951" spans="1:6" x14ac:dyDescent="0.2">
      <c r="A24951" t="s">
        <v>39941</v>
      </c>
      <c r="B24951" t="s">
        <v>39944</v>
      </c>
      <c r="C24951" t="s">
        <v>11127</v>
      </c>
      <c r="D24951" t="s">
        <v>280</v>
      </c>
      <c r="E24951" t="s">
        <v>399</v>
      </c>
      <c r="F24951" s="2" t="str">
        <f>HYPERLINK("http://www.otzar.org/book.asp?150379","מעין גנים")</f>
        <v>מעין גנים</v>
      </c>
    </row>
    <row r="24952" spans="1:6" x14ac:dyDescent="0.2">
      <c r="A24952" t="s">
        <v>39937</v>
      </c>
      <c r="B24952" t="s">
        <v>39945</v>
      </c>
      <c r="C24952" t="s">
        <v>39946</v>
      </c>
      <c r="D24952" t="s">
        <v>56</v>
      </c>
      <c r="E24952" t="s">
        <v>474</v>
      </c>
      <c r="F24952" s="2" t="str">
        <f>HYPERLINK("http://www.otzar.org/book.asp?188680","מעין גנים - 2 כר'")</f>
        <v>מעין גנים - 2 כר'</v>
      </c>
    </row>
    <row r="24953" spans="1:6" x14ac:dyDescent="0.2">
      <c r="A24953" t="s">
        <v>39941</v>
      </c>
      <c r="B24953" t="s">
        <v>39947</v>
      </c>
      <c r="C24953" t="s">
        <v>20</v>
      </c>
      <c r="D24953" t="s">
        <v>14</v>
      </c>
      <c r="E24953" t="s">
        <v>15</v>
      </c>
      <c r="F24953" s="2" t="str">
        <f>HYPERLINK("http://www.otzar.org/book.asp?158772","מעין גנים")</f>
        <v>מעין גנים</v>
      </c>
    </row>
    <row r="24954" spans="1:6" x14ac:dyDescent="0.2">
      <c r="A24954" t="s">
        <v>39941</v>
      </c>
      <c r="B24954" t="s">
        <v>39948</v>
      </c>
      <c r="C24954" t="s">
        <v>1047</v>
      </c>
      <c r="D24954" t="s">
        <v>280</v>
      </c>
      <c r="E24954" t="s">
        <v>4940</v>
      </c>
      <c r="F24954" s="2" t="str">
        <f>HYPERLINK("http://www.otzar.org/book.asp?5623","מעין גנים")</f>
        <v>מעין גנים</v>
      </c>
    </row>
    <row r="24955" spans="1:6" x14ac:dyDescent="0.2">
      <c r="A24955" t="s">
        <v>39941</v>
      </c>
      <c r="B24955" t="s">
        <v>39949</v>
      </c>
      <c r="C24955" t="s">
        <v>17774</v>
      </c>
      <c r="D24955" t="s">
        <v>1490</v>
      </c>
      <c r="E24955" t="s">
        <v>559</v>
      </c>
      <c r="F24955" s="2" t="str">
        <f>HYPERLINK("http://www.otzar.org/book.asp?101495","מעין גנים")</f>
        <v>מעין גנים</v>
      </c>
    </row>
    <row r="24956" spans="1:6" x14ac:dyDescent="0.2">
      <c r="A24956" t="s">
        <v>39940</v>
      </c>
      <c r="B24956" t="s">
        <v>26890</v>
      </c>
      <c r="C24956" t="s">
        <v>940</v>
      </c>
      <c r="D24956" t="s">
        <v>27</v>
      </c>
      <c r="E24956" t="s">
        <v>1880</v>
      </c>
      <c r="F24956" s="2" t="str">
        <f>HYPERLINK("http://www.otzar.org/book.asp?28618","מעין גנים - 3 כר'")</f>
        <v>מעין גנים - 3 כר'</v>
      </c>
    </row>
    <row r="24957" spans="1:6" x14ac:dyDescent="0.2">
      <c r="A24957" t="s">
        <v>39950</v>
      </c>
      <c r="B24957" t="s">
        <v>1222</v>
      </c>
      <c r="C24957" t="s">
        <v>313</v>
      </c>
      <c r="D24957" t="s">
        <v>14</v>
      </c>
      <c r="E24957" t="s">
        <v>144</v>
      </c>
      <c r="F24957" s="2" t="str">
        <f>HYPERLINK("http://www.otzar.org/book.asp?172568","מעין גנים - כתובות")</f>
        <v>מעין גנים - כתובות</v>
      </c>
    </row>
    <row r="24958" spans="1:6" x14ac:dyDescent="0.2">
      <c r="A24958" t="s">
        <v>39951</v>
      </c>
      <c r="B24958" t="s">
        <v>5822</v>
      </c>
      <c r="C24958" t="s">
        <v>39952</v>
      </c>
      <c r="D24958" t="s">
        <v>10557</v>
      </c>
      <c r="E24958" t="s">
        <v>5935</v>
      </c>
      <c r="F24958" s="2" t="str">
        <f>HYPERLINK("http://www.otzar.org/book.asp?619619","מעין הברכה")</f>
        <v>מעין הברכה</v>
      </c>
    </row>
    <row r="24959" spans="1:6" x14ac:dyDescent="0.2">
      <c r="A24959" t="s">
        <v>39953</v>
      </c>
      <c r="B24959" t="s">
        <v>39954</v>
      </c>
      <c r="C24959" t="s">
        <v>103</v>
      </c>
      <c r="D24959" t="s">
        <v>14</v>
      </c>
      <c r="F24959" s="2" t="str">
        <f>HYPERLINK("http://www.otzar.org/book.asp?612014","מעין הברכה - 5 כר'")</f>
        <v>מעין הברכה - 5 כר'</v>
      </c>
    </row>
    <row r="24960" spans="1:6" x14ac:dyDescent="0.2">
      <c r="A24960" t="s">
        <v>39955</v>
      </c>
      <c r="B24960" t="s">
        <v>39956</v>
      </c>
      <c r="C24960" t="s">
        <v>111</v>
      </c>
      <c r="D24960" t="s">
        <v>1511</v>
      </c>
      <c r="E24960" t="s">
        <v>144</v>
      </c>
      <c r="F24960" s="2" t="str">
        <f>HYPERLINK("http://www.otzar.org/book.asp?621524","מעין הברכות")</f>
        <v>מעין הברכות</v>
      </c>
    </row>
    <row r="24961" spans="1:6" x14ac:dyDescent="0.2">
      <c r="A24961" t="s">
        <v>39957</v>
      </c>
      <c r="B24961" t="s">
        <v>39875</v>
      </c>
      <c r="C24961" t="s">
        <v>422</v>
      </c>
      <c r="D24961" t="s">
        <v>52</v>
      </c>
      <c r="E24961" t="s">
        <v>148</v>
      </c>
      <c r="F24961" s="2" t="str">
        <f>HYPERLINK("http://www.otzar.org/book.asp?150879","מעין החיים - 2 כר'")</f>
        <v>מעין החיים - 2 כר'</v>
      </c>
    </row>
    <row r="24962" spans="1:6" x14ac:dyDescent="0.2">
      <c r="A24962" t="s">
        <v>39958</v>
      </c>
      <c r="B24962" t="s">
        <v>12245</v>
      </c>
      <c r="C24962" t="s">
        <v>422</v>
      </c>
      <c r="D24962" t="s">
        <v>147</v>
      </c>
      <c r="E24962" t="s">
        <v>15</v>
      </c>
      <c r="F24962" s="2" t="str">
        <f>HYPERLINK("http://www.otzar.org/book.asp?152504","מעין החיים")</f>
        <v>מעין החיים</v>
      </c>
    </row>
    <row r="24963" spans="1:6" x14ac:dyDescent="0.2">
      <c r="A24963" t="s">
        <v>39959</v>
      </c>
      <c r="B24963" t="s">
        <v>39960</v>
      </c>
      <c r="C24963" t="s">
        <v>6989</v>
      </c>
      <c r="D24963" t="s">
        <v>27</v>
      </c>
      <c r="E24963" t="s">
        <v>43</v>
      </c>
      <c r="F24963" s="2" t="str">
        <f>HYPERLINK("http://www.otzar.org/book.asp?186744","מעין החכמה &lt;ע""פ בית יעקב&gt;")</f>
        <v>מעין החכמה &lt;ע"פ בית יעקב&gt;</v>
      </c>
    </row>
    <row r="24964" spans="1:6" x14ac:dyDescent="0.2">
      <c r="A24964" t="s">
        <v>39961</v>
      </c>
      <c r="B24964" t="s">
        <v>39962</v>
      </c>
      <c r="C24964" t="s">
        <v>27916</v>
      </c>
      <c r="D24964" t="s">
        <v>1023</v>
      </c>
      <c r="F24964" s="2" t="str">
        <f>HYPERLINK("http://www.otzar.org/book.asp?152759","מעין החכמה &lt;דפו""ר&gt;")</f>
        <v>מעין החכמה &lt;דפו"ר&gt;</v>
      </c>
    </row>
    <row r="24965" spans="1:6" x14ac:dyDescent="0.2">
      <c r="A24965" t="s">
        <v>39963</v>
      </c>
      <c r="B24965" t="s">
        <v>6984</v>
      </c>
      <c r="C24965" t="s">
        <v>129</v>
      </c>
      <c r="D24965" t="s">
        <v>27</v>
      </c>
      <c r="E24965" t="s">
        <v>399</v>
      </c>
      <c r="F24965" s="2" t="str">
        <f>HYPERLINK("http://www.otzar.org/book.asp?158633","מעין החכמה עם חקרי לב וחקק השם - 2 כר'")</f>
        <v>מעין החכמה עם חקרי לב וחקק השם - 2 כר'</v>
      </c>
    </row>
    <row r="24966" spans="1:6" x14ac:dyDescent="0.2">
      <c r="A24966" t="s">
        <v>39964</v>
      </c>
      <c r="B24966" t="s">
        <v>39965</v>
      </c>
      <c r="C24966" t="s">
        <v>538</v>
      </c>
      <c r="D24966" t="s">
        <v>6801</v>
      </c>
      <c r="E24966" t="s">
        <v>104</v>
      </c>
      <c r="F24966" s="2" t="str">
        <f>HYPERLINK("http://www.otzar.org/book.asp?101136","מעין החכמה")</f>
        <v>מעין החכמה</v>
      </c>
    </row>
    <row r="24967" spans="1:6" x14ac:dyDescent="0.2">
      <c r="A24967" t="s">
        <v>39964</v>
      </c>
      <c r="B24967" t="s">
        <v>39966</v>
      </c>
      <c r="C24967" t="s">
        <v>466</v>
      </c>
      <c r="D24967" t="s">
        <v>14</v>
      </c>
      <c r="E24967" t="s">
        <v>399</v>
      </c>
      <c r="F24967" s="2" t="str">
        <f>HYPERLINK("http://www.otzar.org/book.asp?51093","מעין החכמה")</f>
        <v>מעין החכמה</v>
      </c>
    </row>
    <row r="24968" spans="1:6" x14ac:dyDescent="0.2">
      <c r="A24968" t="s">
        <v>39967</v>
      </c>
      <c r="B24968" t="s">
        <v>39968</v>
      </c>
      <c r="C24968" t="s">
        <v>5334</v>
      </c>
      <c r="D24968" t="s">
        <v>4364</v>
      </c>
      <c r="E24968" t="s">
        <v>399</v>
      </c>
      <c r="F24968" s="2" t="str">
        <f>HYPERLINK("http://www.otzar.org/book.asp?23586","מעין החכמה - 3 כר'")</f>
        <v>מעין החכמה - 3 כר'</v>
      </c>
    </row>
    <row r="24969" spans="1:6" x14ac:dyDescent="0.2">
      <c r="A24969" t="s">
        <v>39964</v>
      </c>
      <c r="B24969" t="s">
        <v>39964</v>
      </c>
      <c r="C24969" t="s">
        <v>896</v>
      </c>
      <c r="D24969" t="s">
        <v>307</v>
      </c>
      <c r="E24969" t="s">
        <v>399</v>
      </c>
      <c r="F24969" s="2" t="str">
        <f>HYPERLINK("http://www.otzar.org/book.asp?29236","מעין החכמה")</f>
        <v>מעין החכמה</v>
      </c>
    </row>
    <row r="24970" spans="1:6" x14ac:dyDescent="0.2">
      <c r="A24970" t="s">
        <v>39964</v>
      </c>
      <c r="B24970" t="s">
        <v>39969</v>
      </c>
      <c r="C24970" t="s">
        <v>282</v>
      </c>
      <c r="D24970" t="s">
        <v>267</v>
      </c>
      <c r="E24970" t="s">
        <v>144</v>
      </c>
      <c r="F24970" s="2" t="str">
        <f>HYPERLINK("http://www.otzar.org/book.asp?9703","מעין החכמה")</f>
        <v>מעין החכמה</v>
      </c>
    </row>
    <row r="24971" spans="1:6" x14ac:dyDescent="0.2">
      <c r="A24971" t="s">
        <v>39970</v>
      </c>
      <c r="B24971" t="s">
        <v>39971</v>
      </c>
      <c r="C24971" t="s">
        <v>1640</v>
      </c>
      <c r="D24971" t="s">
        <v>14</v>
      </c>
      <c r="E24971" t="s">
        <v>202</v>
      </c>
      <c r="F24971" s="2" t="str">
        <f>HYPERLINK("http://www.otzar.org/book.asp?159923","מעין החסידות - 6 כר'")</f>
        <v>מעין החסידות - 6 כר'</v>
      </c>
    </row>
    <row r="24972" spans="1:6" x14ac:dyDescent="0.2">
      <c r="A24972" t="s">
        <v>39972</v>
      </c>
      <c r="B24972" t="s">
        <v>39973</v>
      </c>
      <c r="C24972" t="s">
        <v>133</v>
      </c>
      <c r="D24972" t="s">
        <v>90</v>
      </c>
      <c r="E24972" t="s">
        <v>15</v>
      </c>
      <c r="F24972" s="2" t="str">
        <f>HYPERLINK("http://www.otzar.org/book.asp?177133","מעין המאורע")</f>
        <v>מעין המאורע</v>
      </c>
    </row>
    <row r="24973" spans="1:6" x14ac:dyDescent="0.2">
      <c r="A24973" t="s">
        <v>39974</v>
      </c>
      <c r="B24973" t="s">
        <v>39975</v>
      </c>
      <c r="C24973" t="s">
        <v>785</v>
      </c>
      <c r="D24973" t="s">
        <v>14</v>
      </c>
      <c r="E24973" t="s">
        <v>158</v>
      </c>
      <c r="F24973" s="2" t="str">
        <f>HYPERLINK("http://www.otzar.org/book.asp?163756","מעין התורה - 3 כר'")</f>
        <v>מעין התורה - 3 כר'</v>
      </c>
    </row>
    <row r="24974" spans="1:6" x14ac:dyDescent="0.2">
      <c r="A24974" t="s">
        <v>39976</v>
      </c>
      <c r="B24974" t="s">
        <v>206</v>
      </c>
      <c r="C24974" t="s">
        <v>151</v>
      </c>
      <c r="D24974" t="s">
        <v>90</v>
      </c>
      <c r="E24974" t="s">
        <v>158</v>
      </c>
      <c r="F24974" s="2" t="str">
        <f>HYPERLINK("http://www.otzar.org/book.asp?625967","מעין התורה")</f>
        <v>מעין התורה</v>
      </c>
    </row>
    <row r="24975" spans="1:6" x14ac:dyDescent="0.2">
      <c r="A24975" t="s">
        <v>39977</v>
      </c>
      <c r="B24975" t="s">
        <v>1750</v>
      </c>
      <c r="C24975" t="s">
        <v>1160</v>
      </c>
      <c r="D24975" t="s">
        <v>52</v>
      </c>
      <c r="E24975" t="s">
        <v>186</v>
      </c>
      <c r="F24975" s="2" t="str">
        <f>HYPERLINK("http://www.otzar.org/book.asp?106589","מעין התורה - 6 כר'")</f>
        <v>מעין התורה - 6 כר'</v>
      </c>
    </row>
    <row r="24976" spans="1:6" x14ac:dyDescent="0.2">
      <c r="A24976" t="s">
        <v>39978</v>
      </c>
      <c r="B24976" t="s">
        <v>39979</v>
      </c>
      <c r="C24976" t="s">
        <v>17</v>
      </c>
      <c r="D24976" t="s">
        <v>14</v>
      </c>
      <c r="E24976" t="s">
        <v>144</v>
      </c>
      <c r="F24976" s="2" t="str">
        <f>HYPERLINK("http://www.otzar.org/book.asp?104956","מעין התלמוד - מכות")</f>
        <v>מעין התלמוד - מכות</v>
      </c>
    </row>
    <row r="24977" spans="1:6" x14ac:dyDescent="0.2">
      <c r="A24977" t="s">
        <v>39980</v>
      </c>
      <c r="B24977" t="s">
        <v>686</v>
      </c>
      <c r="C24977" t="s">
        <v>52</v>
      </c>
      <c r="D24977" t="s">
        <v>23</v>
      </c>
      <c r="E24977" t="s">
        <v>104</v>
      </c>
      <c r="F24977" s="2" t="str">
        <f>HYPERLINK("http://www.otzar.org/book.asp?193271","מעין ונחל - זהרי חמה - ימין עליון")</f>
        <v>מעין ונחל - זהרי חמה - ימין עליון</v>
      </c>
    </row>
    <row r="24978" spans="1:6" x14ac:dyDescent="0.2">
      <c r="A24978" t="s">
        <v>39981</v>
      </c>
      <c r="B24978" t="s">
        <v>39982</v>
      </c>
      <c r="C24978" t="s">
        <v>168</v>
      </c>
      <c r="D24978" t="s">
        <v>423</v>
      </c>
      <c r="E24978" t="s">
        <v>674</v>
      </c>
      <c r="F24978" s="2" t="str">
        <f>HYPERLINK("http://www.otzar.org/book.asp?189005","מעין חיים - 5 כר'")</f>
        <v>מעין חיים - 5 כר'</v>
      </c>
    </row>
    <row r="24979" spans="1:6" x14ac:dyDescent="0.2">
      <c r="A24979" t="s">
        <v>39983</v>
      </c>
      <c r="B24979" t="s">
        <v>39984</v>
      </c>
      <c r="C24979" t="s">
        <v>438</v>
      </c>
      <c r="D24979" t="s">
        <v>3560</v>
      </c>
      <c r="E24979" t="s">
        <v>158</v>
      </c>
      <c r="F24979" s="2" t="str">
        <f>HYPERLINK("http://www.otzar.org/book.asp?162277","מעין חיים")</f>
        <v>מעין חיים</v>
      </c>
    </row>
    <row r="24980" spans="1:6" x14ac:dyDescent="0.2">
      <c r="A24980" t="s">
        <v>39985</v>
      </c>
      <c r="B24980" t="s">
        <v>35427</v>
      </c>
      <c r="C24980" t="s">
        <v>39986</v>
      </c>
      <c r="D24980" t="s">
        <v>56</v>
      </c>
      <c r="E24980" t="s">
        <v>588</v>
      </c>
      <c r="F24980" s="2" t="str">
        <f>HYPERLINK("http://www.otzar.org/book.asp?6503","מעין חיים - 2 כר'")</f>
        <v>מעין חיים - 2 כר'</v>
      </c>
    </row>
    <row r="24981" spans="1:6" x14ac:dyDescent="0.2">
      <c r="A24981" t="s">
        <v>39983</v>
      </c>
      <c r="B24981" t="s">
        <v>2396</v>
      </c>
      <c r="C24981" t="s">
        <v>189</v>
      </c>
      <c r="D24981" t="s">
        <v>1076</v>
      </c>
      <c r="E24981" t="s">
        <v>6253</v>
      </c>
      <c r="F24981" s="2" t="str">
        <f>HYPERLINK("http://www.otzar.org/book.asp?22811","מעין חיים")</f>
        <v>מעין חיים</v>
      </c>
    </row>
    <row r="24982" spans="1:6" x14ac:dyDescent="0.2">
      <c r="A24982" t="s">
        <v>39987</v>
      </c>
      <c r="B24982" t="s">
        <v>39984</v>
      </c>
      <c r="C24982" t="s">
        <v>176</v>
      </c>
      <c r="D24982" t="s">
        <v>14</v>
      </c>
      <c r="E24982" t="s">
        <v>39988</v>
      </c>
      <c r="F24982" s="2" t="str">
        <f>HYPERLINK("http://www.otzar.org/book.asp?626156","מעין חיים, נחלי חיים, באר חיים")</f>
        <v>מעין חיים, נחלי חיים, באר חיים</v>
      </c>
    </row>
    <row r="24983" spans="1:6" x14ac:dyDescent="0.2">
      <c r="A24983" t="s">
        <v>39989</v>
      </c>
      <c r="B24983" t="s">
        <v>776</v>
      </c>
      <c r="C24983" t="s">
        <v>1062</v>
      </c>
      <c r="D24983" t="s">
        <v>27</v>
      </c>
      <c r="E24983" t="s">
        <v>104</v>
      </c>
      <c r="F24983" s="2" t="str">
        <f>HYPERLINK("http://www.otzar.org/book.asp?146796","מעין חן")</f>
        <v>מעין חן</v>
      </c>
    </row>
    <row r="24984" spans="1:6" x14ac:dyDescent="0.2">
      <c r="A24984" t="s">
        <v>39990</v>
      </c>
      <c r="B24984" t="s">
        <v>39991</v>
      </c>
      <c r="C24984" t="s">
        <v>366</v>
      </c>
      <c r="D24984" t="s">
        <v>14</v>
      </c>
      <c r="E24984" t="s">
        <v>172</v>
      </c>
      <c r="F24984" s="2" t="str">
        <f>HYPERLINK("http://www.otzar.org/book.asp?608420","מעין טהור - 2 כר'")</f>
        <v>מעין טהור - 2 כר'</v>
      </c>
    </row>
    <row r="24985" spans="1:6" x14ac:dyDescent="0.2">
      <c r="A24985" t="s">
        <v>39992</v>
      </c>
      <c r="B24985" t="s">
        <v>4761</v>
      </c>
      <c r="C24985" t="s">
        <v>624</v>
      </c>
      <c r="D24985" t="s">
        <v>1156</v>
      </c>
      <c r="E24985" t="s">
        <v>15</v>
      </c>
      <c r="F24985" s="2" t="str">
        <f>HYPERLINK("http://www.otzar.org/book.asp?50445","מעין טהרה השלם")</f>
        <v>מעין טהרה השלם</v>
      </c>
    </row>
    <row r="24986" spans="1:6" x14ac:dyDescent="0.2">
      <c r="A24986" t="s">
        <v>39993</v>
      </c>
      <c r="B24986" t="s">
        <v>39994</v>
      </c>
      <c r="F24986" s="2" t="str">
        <f>HYPERLINK("http://www.otzar.org/book.asp?623070","מעין יוסף - 2 כר'")</f>
        <v>מעין יוסף - 2 כר'</v>
      </c>
    </row>
    <row r="24987" spans="1:6" x14ac:dyDescent="0.2">
      <c r="A24987" t="s">
        <v>39995</v>
      </c>
      <c r="B24987" t="s">
        <v>1381</v>
      </c>
      <c r="C24987" t="s">
        <v>313</v>
      </c>
      <c r="D24987" t="s">
        <v>14</v>
      </c>
      <c r="E24987" t="s">
        <v>241</v>
      </c>
      <c r="F24987" s="2" t="str">
        <f>HYPERLINK("http://www.otzar.org/book.asp?108241","מעין יצחק")</f>
        <v>מעין יצחק</v>
      </c>
    </row>
    <row r="24988" spans="1:6" x14ac:dyDescent="0.2">
      <c r="A24988" t="s">
        <v>39996</v>
      </c>
      <c r="B24988" t="s">
        <v>39997</v>
      </c>
      <c r="C24988" t="s">
        <v>37</v>
      </c>
      <c r="D24988" t="s">
        <v>367</v>
      </c>
      <c r="E24988" t="s">
        <v>246</v>
      </c>
      <c r="F24988" s="2" t="str">
        <f>HYPERLINK("http://www.otzar.org/book.asp?182553","מעין מים")</f>
        <v>מעין מים</v>
      </c>
    </row>
    <row r="24989" spans="1:6" x14ac:dyDescent="0.2">
      <c r="A24989" t="s">
        <v>39998</v>
      </c>
      <c r="B24989" t="s">
        <v>26890</v>
      </c>
      <c r="C24989" t="s">
        <v>4237</v>
      </c>
      <c r="D24989" t="s">
        <v>27</v>
      </c>
      <c r="E24989" t="s">
        <v>158</v>
      </c>
      <c r="F24989" s="2" t="str">
        <f>HYPERLINK("http://www.otzar.org/book.asp?25008","מעין מים - 2 כר'")</f>
        <v>מעין מים - 2 כר'</v>
      </c>
    </row>
    <row r="24990" spans="1:6" x14ac:dyDescent="0.2">
      <c r="A24990" t="s">
        <v>39999</v>
      </c>
      <c r="B24990" t="s">
        <v>40000</v>
      </c>
      <c r="C24990" t="s">
        <v>114</v>
      </c>
      <c r="D24990" t="s">
        <v>14</v>
      </c>
      <c r="E24990" t="s">
        <v>399</v>
      </c>
      <c r="F24990" s="2" t="str">
        <f>HYPERLINK("http://www.otzar.org/book.asp?168888","מעין משה - ביאור עשר ספירות לר""ע מגירונה, דרך אמונה, מכתבי הלשם")</f>
        <v>מעין משה - ביאור עשר ספירות לר"ע מגירונה, דרך אמונה, מכתבי הלשם</v>
      </c>
    </row>
    <row r="24991" spans="1:6" x14ac:dyDescent="0.2">
      <c r="A24991" t="s">
        <v>40001</v>
      </c>
      <c r="B24991" t="s">
        <v>40002</v>
      </c>
      <c r="C24991" t="s">
        <v>466</v>
      </c>
      <c r="D24991" t="s">
        <v>52</v>
      </c>
      <c r="E24991" t="s">
        <v>246</v>
      </c>
      <c r="F24991" s="2" t="str">
        <f>HYPERLINK("http://www.otzar.org/book.asp?150098","מעין נצח - 2 כר'")</f>
        <v>מעין נצח - 2 כר'</v>
      </c>
    </row>
    <row r="24992" spans="1:6" x14ac:dyDescent="0.2">
      <c r="A24992" t="s">
        <v>40003</v>
      </c>
      <c r="B24992" t="s">
        <v>22392</v>
      </c>
      <c r="C24992" t="s">
        <v>411</v>
      </c>
      <c r="D24992" t="s">
        <v>152</v>
      </c>
      <c r="E24992" t="s">
        <v>130</v>
      </c>
      <c r="F24992" s="2" t="str">
        <f>HYPERLINK("http://www.otzar.org/book.asp?620373","מעין עולם הבא - א")</f>
        <v>מעין עולם הבא - א</v>
      </c>
    </row>
    <row r="24993" spans="1:6" x14ac:dyDescent="0.2">
      <c r="A24993" t="s">
        <v>40004</v>
      </c>
      <c r="B24993" t="s">
        <v>19166</v>
      </c>
      <c r="C24993" t="s">
        <v>1811</v>
      </c>
      <c r="D24993" t="s">
        <v>14</v>
      </c>
      <c r="E24993" t="s">
        <v>40005</v>
      </c>
      <c r="F24993" s="2" t="str">
        <f>HYPERLINK("http://www.otzar.org/book.asp?602461","מעין רפאל - גן צפורה")</f>
        <v>מעין רפאל - גן צפורה</v>
      </c>
    </row>
    <row r="24994" spans="1:6" x14ac:dyDescent="0.2">
      <c r="A24994" t="s">
        <v>40006</v>
      </c>
      <c r="B24994" t="s">
        <v>40007</v>
      </c>
      <c r="C24994" t="s">
        <v>20</v>
      </c>
      <c r="D24994" t="s">
        <v>14</v>
      </c>
      <c r="E24994" t="s">
        <v>241</v>
      </c>
      <c r="F24994" s="2" t="str">
        <f>HYPERLINK("http://www.otzar.org/book.asp?613436","מעין שלמה")</f>
        <v>מעין שלמה</v>
      </c>
    </row>
    <row r="24995" spans="1:6" x14ac:dyDescent="0.2">
      <c r="A24995" t="s">
        <v>40008</v>
      </c>
      <c r="B24995" t="s">
        <v>15964</v>
      </c>
      <c r="C24995" t="s">
        <v>40009</v>
      </c>
      <c r="D24995" t="s">
        <v>260</v>
      </c>
      <c r="E24995" t="s">
        <v>158</v>
      </c>
      <c r="F24995" s="2" t="str">
        <f>HYPERLINK("http://www.otzar.org/book.asp?155998","מעינה של תורה - 6 כר'")</f>
        <v>מעינה של תורה - 6 כר'</v>
      </c>
    </row>
    <row r="24996" spans="1:6" x14ac:dyDescent="0.2">
      <c r="A24996" t="s">
        <v>40010</v>
      </c>
      <c r="B24996" t="s">
        <v>40011</v>
      </c>
      <c r="C24996" t="s">
        <v>51</v>
      </c>
      <c r="D24996" t="s">
        <v>52</v>
      </c>
      <c r="E24996" t="s">
        <v>3785</v>
      </c>
      <c r="F24996" s="2" t="str">
        <f>HYPERLINK("http://www.otzar.org/book.asp?60616","מעינות האמונה")</f>
        <v>מעינות האמונה</v>
      </c>
    </row>
    <row r="24997" spans="1:6" x14ac:dyDescent="0.2">
      <c r="A24997" t="s">
        <v>40012</v>
      </c>
      <c r="B24997" t="s">
        <v>40013</v>
      </c>
      <c r="C24997" t="s">
        <v>411</v>
      </c>
      <c r="D24997" t="s">
        <v>412</v>
      </c>
      <c r="E24997" t="s">
        <v>158</v>
      </c>
      <c r="F24997" s="2" t="str">
        <f>HYPERLINK("http://www.otzar.org/book.asp?172658","מעינות הפשט")</f>
        <v>מעינות הפשט</v>
      </c>
    </row>
    <row r="24998" spans="1:6" x14ac:dyDescent="0.2">
      <c r="A24998" t="s">
        <v>40014</v>
      </c>
      <c r="B24998" t="s">
        <v>40015</v>
      </c>
      <c r="C24998" t="s">
        <v>454</v>
      </c>
      <c r="D24998" t="s">
        <v>14</v>
      </c>
      <c r="E24998" t="s">
        <v>234</v>
      </c>
      <c r="F24998" s="2" t="str">
        <f>HYPERLINK("http://www.otzar.org/book.asp?141781","מעינות השמחה")</f>
        <v>מעינות השמחה</v>
      </c>
    </row>
    <row r="24999" spans="1:6" x14ac:dyDescent="0.2">
      <c r="A24999" t="s">
        <v>40016</v>
      </c>
      <c r="B24999" t="s">
        <v>40017</v>
      </c>
      <c r="C24999" t="s">
        <v>23</v>
      </c>
      <c r="D24999" t="s">
        <v>14</v>
      </c>
      <c r="F24999" s="2" t="str">
        <f>HYPERLINK("http://www.otzar.org/book.asp?619022","מעינות טהרה")</f>
        <v>מעינות טהרה</v>
      </c>
    </row>
    <row r="25000" spans="1:6" x14ac:dyDescent="0.2">
      <c r="A25000" t="s">
        <v>40018</v>
      </c>
      <c r="B25000" t="s">
        <v>40019</v>
      </c>
      <c r="C25000" t="s">
        <v>20</v>
      </c>
      <c r="D25000" t="s">
        <v>21</v>
      </c>
      <c r="E25000" t="s">
        <v>384</v>
      </c>
      <c r="F25000" s="2" t="str">
        <f>HYPERLINK("http://www.otzar.org/book.asp?604567","מעינות - 11 כר'")</f>
        <v>מעינות - 11 כר'</v>
      </c>
    </row>
    <row r="25001" spans="1:6" x14ac:dyDescent="0.2">
      <c r="A25001" t="s">
        <v>40020</v>
      </c>
      <c r="B25001" t="s">
        <v>5253</v>
      </c>
      <c r="C25001" t="s">
        <v>51</v>
      </c>
      <c r="D25001" t="s">
        <v>486</v>
      </c>
      <c r="E25001" t="s">
        <v>144</v>
      </c>
      <c r="F25001" s="2" t="str">
        <f>HYPERLINK("http://www.otzar.org/book.asp?52797","מעיני החכמה &lt;מהדורה חדשה&gt; - 3 כר'")</f>
        <v>מעיני החכמה &lt;מהדורה חדשה&gt; - 3 כר'</v>
      </c>
    </row>
    <row r="25002" spans="1:6" x14ac:dyDescent="0.2">
      <c r="A25002" t="s">
        <v>40021</v>
      </c>
      <c r="B25002" t="s">
        <v>5253</v>
      </c>
      <c r="C25002" t="s">
        <v>603</v>
      </c>
      <c r="D25002" t="s">
        <v>283</v>
      </c>
      <c r="E25002" t="s">
        <v>144</v>
      </c>
      <c r="F25002" s="2" t="str">
        <f>HYPERLINK("http://www.otzar.org/book.asp?153084","מעיני החכמה")</f>
        <v>מעיני החכמה</v>
      </c>
    </row>
    <row r="25003" spans="1:6" x14ac:dyDescent="0.2">
      <c r="A25003" t="s">
        <v>40022</v>
      </c>
      <c r="B25003" t="s">
        <v>17467</v>
      </c>
      <c r="C25003" t="s">
        <v>366</v>
      </c>
      <c r="D25003" t="s">
        <v>1840</v>
      </c>
      <c r="F25003" s="2" t="str">
        <f>HYPERLINK("http://www.otzar.org/book.asp?621518","מעיני הישועה &lt;מהדורה חדשה&gt;")</f>
        <v>מעיני הישועה &lt;מהדורה חדשה&gt;</v>
      </c>
    </row>
    <row r="25004" spans="1:6" x14ac:dyDescent="0.2">
      <c r="A25004" t="s">
        <v>40023</v>
      </c>
      <c r="B25004" t="s">
        <v>17467</v>
      </c>
      <c r="C25004" t="s">
        <v>15262</v>
      </c>
      <c r="D25004" t="s">
        <v>3963</v>
      </c>
      <c r="F25004" s="2" t="str">
        <f>HYPERLINK("http://www.otzar.org/book.asp?152848","מעיני הישועה - 2 כר'")</f>
        <v>מעיני הישועה - 2 כר'</v>
      </c>
    </row>
    <row r="25005" spans="1:6" x14ac:dyDescent="0.2">
      <c r="A25005" t="s">
        <v>40023</v>
      </c>
      <c r="B25005" t="s">
        <v>6063</v>
      </c>
      <c r="C25005" t="s">
        <v>5903</v>
      </c>
      <c r="D25005" t="s">
        <v>283</v>
      </c>
      <c r="E25005" t="s">
        <v>158</v>
      </c>
      <c r="F25005" s="2" t="str">
        <f>HYPERLINK("http://www.otzar.org/book.asp?159110","מעיני הישועה - 2 כר'")</f>
        <v>מעיני הישועה - 2 כר'</v>
      </c>
    </row>
    <row r="25006" spans="1:6" x14ac:dyDescent="0.2">
      <c r="A25006" t="s">
        <v>40024</v>
      </c>
      <c r="B25006" t="s">
        <v>40025</v>
      </c>
      <c r="C25006" t="s">
        <v>533</v>
      </c>
      <c r="D25006" t="s">
        <v>412</v>
      </c>
      <c r="E25006" t="s">
        <v>144</v>
      </c>
      <c r="F25006" s="2" t="str">
        <f>HYPERLINK("http://www.otzar.org/book.asp?105468","מעיני הישועה - 4 כר'")</f>
        <v>מעיני הישועה - 4 כר'</v>
      </c>
    </row>
    <row r="25007" spans="1:6" x14ac:dyDescent="0.2">
      <c r="A25007" t="s">
        <v>40026</v>
      </c>
      <c r="B25007" t="s">
        <v>24626</v>
      </c>
      <c r="C25007" t="s">
        <v>14</v>
      </c>
      <c r="D25007" t="s">
        <v>411</v>
      </c>
      <c r="E25007" t="s">
        <v>467</v>
      </c>
      <c r="F25007" s="2" t="str">
        <f>HYPERLINK("http://www.otzar.org/book.asp?172368","מעיני הישועה - ירח האיתנים")</f>
        <v>מעיני הישועה - ירח האיתנים</v>
      </c>
    </row>
    <row r="25008" spans="1:6" x14ac:dyDescent="0.2">
      <c r="A25008" t="s">
        <v>40027</v>
      </c>
      <c r="B25008" t="s">
        <v>40028</v>
      </c>
      <c r="C25008" t="s">
        <v>581</v>
      </c>
      <c r="D25008" t="s">
        <v>14</v>
      </c>
      <c r="E25008" t="s">
        <v>474</v>
      </c>
      <c r="F25008" s="2" t="str">
        <f>HYPERLINK("http://www.otzar.org/book.asp?197372","מעיני הישועה")</f>
        <v>מעיני הישועה</v>
      </c>
    </row>
    <row r="25009" spans="1:6" x14ac:dyDescent="0.2">
      <c r="A25009" t="s">
        <v>40029</v>
      </c>
      <c r="B25009" t="s">
        <v>12028</v>
      </c>
      <c r="C25009" t="s">
        <v>419</v>
      </c>
      <c r="D25009" t="s">
        <v>52</v>
      </c>
      <c r="E25009" t="s">
        <v>15</v>
      </c>
      <c r="F25009" s="2" t="str">
        <f>HYPERLINK("http://www.otzar.org/book.asp?154850","מעיני המים - 2 כר'")</f>
        <v>מעיני המים - 2 כר'</v>
      </c>
    </row>
    <row r="25010" spans="1:6" x14ac:dyDescent="0.2">
      <c r="A25010" t="s">
        <v>40030</v>
      </c>
      <c r="B25010" t="s">
        <v>40031</v>
      </c>
      <c r="C25010" t="s">
        <v>919</v>
      </c>
      <c r="D25010" t="s">
        <v>14</v>
      </c>
      <c r="E25010" t="s">
        <v>144</v>
      </c>
      <c r="F25010" s="2" t="str">
        <f>HYPERLINK("http://www.otzar.org/book.asp?5753","מעיני התלמוד - כריתות")</f>
        <v>מעיני התלמוד - כריתות</v>
      </c>
    </row>
    <row r="25011" spans="1:6" x14ac:dyDescent="0.2">
      <c r="A25011" t="s">
        <v>40032</v>
      </c>
      <c r="B25011" t="s">
        <v>40033</v>
      </c>
      <c r="C25011" t="s">
        <v>40034</v>
      </c>
      <c r="D25011" t="s">
        <v>40035</v>
      </c>
      <c r="F25011" s="2" t="str">
        <f>HYPERLINK("http://www.otzar.org/book.asp?620889","מעיני חיים - ב")</f>
        <v>מעיני חיים - ב</v>
      </c>
    </row>
    <row r="25012" spans="1:6" x14ac:dyDescent="0.2">
      <c r="A25012" t="s">
        <v>40036</v>
      </c>
      <c r="B25012" t="s">
        <v>2184</v>
      </c>
      <c r="C25012" t="s">
        <v>1177</v>
      </c>
      <c r="D25012" t="s">
        <v>56</v>
      </c>
      <c r="E25012" t="s">
        <v>84</v>
      </c>
      <c r="F25012" s="2" t="str">
        <f>HYPERLINK("http://www.otzar.org/book.asp?20235","מעיני יהושע")</f>
        <v>מעיני יהושע</v>
      </c>
    </row>
    <row r="25013" spans="1:6" x14ac:dyDescent="0.2">
      <c r="A25013" t="s">
        <v>40037</v>
      </c>
      <c r="B25013" t="s">
        <v>40038</v>
      </c>
      <c r="C25013" t="s">
        <v>1284</v>
      </c>
      <c r="D25013" t="s">
        <v>889</v>
      </c>
      <c r="E25013" t="s">
        <v>40039</v>
      </c>
      <c r="F25013" s="2" t="str">
        <f>HYPERLINK("http://www.otzar.org/book.asp?200174","מעיני ישועה")</f>
        <v>מעיני ישועה</v>
      </c>
    </row>
    <row r="25014" spans="1:6" x14ac:dyDescent="0.2">
      <c r="A25014" t="s">
        <v>40040</v>
      </c>
      <c r="B25014" t="s">
        <v>15159</v>
      </c>
      <c r="C25014" t="s">
        <v>6784</v>
      </c>
      <c r="D25014" t="s">
        <v>1722</v>
      </c>
      <c r="E25014" t="s">
        <v>246</v>
      </c>
      <c r="F25014" s="2" t="str">
        <f>HYPERLINK("http://www.otzar.org/book.asp?146696","מעיני ישועות")</f>
        <v>מעיני ישועות</v>
      </c>
    </row>
    <row r="25015" spans="1:6" x14ac:dyDescent="0.2">
      <c r="A25015" t="s">
        <v>40041</v>
      </c>
      <c r="B25015" t="s">
        <v>40042</v>
      </c>
      <c r="C25015" t="s">
        <v>5823</v>
      </c>
      <c r="D25015" t="s">
        <v>56</v>
      </c>
      <c r="E25015" t="s">
        <v>84</v>
      </c>
      <c r="F25015" s="2" t="str">
        <f>HYPERLINK("http://www.otzar.org/book.asp?141048","מעיני מים")</f>
        <v>מעיני מים</v>
      </c>
    </row>
    <row r="25016" spans="1:6" x14ac:dyDescent="0.2">
      <c r="A25016" t="s">
        <v>40043</v>
      </c>
      <c r="B25016" t="s">
        <v>40044</v>
      </c>
      <c r="C25016" t="s">
        <v>1208</v>
      </c>
      <c r="D25016" t="s">
        <v>20</v>
      </c>
      <c r="E25016" t="s">
        <v>241</v>
      </c>
      <c r="F25016" s="2" t="str">
        <f>HYPERLINK("http://www.otzar.org/book.asp?600002","מעיקרי היהדות - א")</f>
        <v>מעיקרי היהדות - א</v>
      </c>
    </row>
    <row r="25017" spans="1:6" x14ac:dyDescent="0.2">
      <c r="A25017" t="s">
        <v>40045</v>
      </c>
      <c r="B25017" t="s">
        <v>40046</v>
      </c>
      <c r="C25017" t="s">
        <v>1418</v>
      </c>
      <c r="D25017" t="s">
        <v>974</v>
      </c>
      <c r="E25017" t="s">
        <v>246</v>
      </c>
      <c r="F25017" s="2" t="str">
        <f>HYPERLINK("http://www.otzar.org/book.asp?11998","מעלה בית חורין")</f>
        <v>מעלה בית חורין</v>
      </c>
    </row>
    <row r="25018" spans="1:6" x14ac:dyDescent="0.2">
      <c r="A25018" t="s">
        <v>40047</v>
      </c>
      <c r="B25018" t="s">
        <v>5973</v>
      </c>
      <c r="C25018" t="s">
        <v>1811</v>
      </c>
      <c r="D25018" t="s">
        <v>52</v>
      </c>
      <c r="E25018" t="s">
        <v>213</v>
      </c>
      <c r="F25018" s="2" t="str">
        <f>HYPERLINK("http://www.otzar.org/book.asp?21017","מעלה עשן")</f>
        <v>מעלה עשן</v>
      </c>
    </row>
    <row r="25019" spans="1:6" x14ac:dyDescent="0.2">
      <c r="A25019" t="s">
        <v>40048</v>
      </c>
      <c r="B25019" t="s">
        <v>4816</v>
      </c>
      <c r="C25019" t="s">
        <v>133</v>
      </c>
      <c r="D25019" t="s">
        <v>486</v>
      </c>
      <c r="E25019" t="s">
        <v>158</v>
      </c>
      <c r="F25019" s="2" t="str">
        <f>HYPERLINK("http://www.otzar.org/book.asp?179843","מעלות אליהו")</f>
        <v>מעלות אליהו</v>
      </c>
    </row>
    <row r="25020" spans="1:6" x14ac:dyDescent="0.2">
      <c r="A25020" t="s">
        <v>40049</v>
      </c>
      <c r="B25020" t="s">
        <v>40050</v>
      </c>
      <c r="C25020" t="s">
        <v>20</v>
      </c>
      <c r="D25020" t="s">
        <v>14</v>
      </c>
      <c r="E25020" t="s">
        <v>40051</v>
      </c>
      <c r="F25020" s="2" t="str">
        <f>HYPERLINK("http://www.otzar.org/book.asp?182554","מעלות אליהו - 2 כר'")</f>
        <v>מעלות אליהו - 2 כר'</v>
      </c>
    </row>
    <row r="25021" spans="1:6" x14ac:dyDescent="0.2">
      <c r="A25021" t="s">
        <v>40052</v>
      </c>
      <c r="B25021" t="s">
        <v>1291</v>
      </c>
      <c r="C25021" t="s">
        <v>492</v>
      </c>
      <c r="D25021" t="s">
        <v>1279</v>
      </c>
      <c r="E25021" t="s">
        <v>714</v>
      </c>
      <c r="F25021" s="2" t="str">
        <f>HYPERLINK("http://www.otzar.org/book.asp?13123","מעלות היוחסין - 2 כר'")</f>
        <v>מעלות היוחסין - 2 כר'</v>
      </c>
    </row>
    <row r="25022" spans="1:6" x14ac:dyDescent="0.2">
      <c r="A25022" t="s">
        <v>40053</v>
      </c>
      <c r="B25022" t="s">
        <v>10358</v>
      </c>
      <c r="C25022" t="s">
        <v>454</v>
      </c>
      <c r="D25022" t="s">
        <v>14</v>
      </c>
      <c r="E25022" t="s">
        <v>241</v>
      </c>
      <c r="F25022" s="2" t="str">
        <f>HYPERLINK("http://www.otzar.org/book.asp?625949","מעלות המדות &lt;מהדורה חדשה&gt;")</f>
        <v>מעלות המדות &lt;מהדורה חדשה&gt;</v>
      </c>
    </row>
    <row r="25023" spans="1:6" x14ac:dyDescent="0.2">
      <c r="A25023" t="s">
        <v>40054</v>
      </c>
      <c r="B25023" t="s">
        <v>10358</v>
      </c>
      <c r="C25023" t="s">
        <v>30737</v>
      </c>
      <c r="D25023" t="s">
        <v>7163</v>
      </c>
      <c r="E25023" t="s">
        <v>241</v>
      </c>
      <c r="F25023" s="2" t="str">
        <f>HYPERLINK("http://www.otzar.org/book.asp?103520","מעלות המדות - 2 כר'")</f>
        <v>מעלות המדות - 2 כר'</v>
      </c>
    </row>
    <row r="25024" spans="1:6" x14ac:dyDescent="0.2">
      <c r="A25024" t="s">
        <v>40055</v>
      </c>
      <c r="B25024" t="s">
        <v>40056</v>
      </c>
      <c r="C25024" t="s">
        <v>151</v>
      </c>
      <c r="D25024" t="s">
        <v>40057</v>
      </c>
      <c r="F25024" s="2" t="str">
        <f>HYPERLINK("http://www.otzar.org/book.asp?616278","מעלות המסילה")</f>
        <v>מעלות המסילה</v>
      </c>
    </row>
    <row r="25025" spans="1:6" x14ac:dyDescent="0.2">
      <c r="A25025" t="s">
        <v>40058</v>
      </c>
      <c r="B25025" t="s">
        <v>40059</v>
      </c>
      <c r="C25025" t="s">
        <v>114</v>
      </c>
      <c r="D25025" t="s">
        <v>14</v>
      </c>
      <c r="E25025" t="s">
        <v>84</v>
      </c>
      <c r="F25025" s="2" t="str">
        <f>HYPERLINK("http://www.otzar.org/book.asp?161989","מעלות המשנה")</f>
        <v>מעלות המשנה</v>
      </c>
    </row>
    <row r="25026" spans="1:6" x14ac:dyDescent="0.2">
      <c r="A25026" t="s">
        <v>40060</v>
      </c>
      <c r="B25026" t="s">
        <v>9495</v>
      </c>
      <c r="C25026" t="s">
        <v>1208</v>
      </c>
      <c r="D25026" t="s">
        <v>14</v>
      </c>
      <c r="E25026" t="s">
        <v>3567</v>
      </c>
      <c r="F25026" s="2" t="str">
        <f>HYPERLINK("http://www.otzar.org/book.asp?156018","מעלות הצדיקים")</f>
        <v>מעלות הצדיקים</v>
      </c>
    </row>
    <row r="25027" spans="1:6" x14ac:dyDescent="0.2">
      <c r="A25027" t="s">
        <v>40061</v>
      </c>
      <c r="B25027" t="s">
        <v>40062</v>
      </c>
      <c r="C25027" t="s">
        <v>20</v>
      </c>
      <c r="D25027" t="s">
        <v>52</v>
      </c>
      <c r="E25027" t="s">
        <v>733</v>
      </c>
      <c r="F25027" s="2" t="str">
        <f>HYPERLINK("http://www.otzar.org/book.asp?154580","מעלות הצדקה - מופת יחזקאל")</f>
        <v>מעלות הצדקה - מופת יחזקאל</v>
      </c>
    </row>
    <row r="25028" spans="1:6" x14ac:dyDescent="0.2">
      <c r="A25028" t="s">
        <v>40063</v>
      </c>
      <c r="B25028" t="s">
        <v>39674</v>
      </c>
      <c r="C25028" t="s">
        <v>360</v>
      </c>
      <c r="D25028" t="s">
        <v>56</v>
      </c>
      <c r="E25028" t="s">
        <v>714</v>
      </c>
      <c r="F25028" s="2" t="str">
        <f>HYPERLINK("http://www.otzar.org/book.asp?179334","מעלות הצדקה")</f>
        <v>מעלות הצדקה</v>
      </c>
    </row>
    <row r="25029" spans="1:6" x14ac:dyDescent="0.2">
      <c r="A25029" t="s">
        <v>40064</v>
      </c>
      <c r="B25029" t="s">
        <v>40065</v>
      </c>
      <c r="C25029" t="s">
        <v>777</v>
      </c>
      <c r="D25029" t="s">
        <v>27</v>
      </c>
      <c r="E25029" t="s">
        <v>3261</v>
      </c>
      <c r="F25029" s="2" t="str">
        <f>HYPERLINK("http://www.otzar.org/book.asp?11128","מעלות התורה &lt;אור תורה, יקר אורייתא&gt;")</f>
        <v>מעלות התורה &lt;אור תורה, יקר אורייתא&gt;</v>
      </c>
    </row>
    <row r="25030" spans="1:6" x14ac:dyDescent="0.2">
      <c r="A25030" t="s">
        <v>40066</v>
      </c>
      <c r="B25030" t="s">
        <v>21247</v>
      </c>
      <c r="C25030" t="s">
        <v>576</v>
      </c>
      <c r="D25030" t="s">
        <v>10393</v>
      </c>
      <c r="E25030" t="s">
        <v>241</v>
      </c>
      <c r="F25030" s="2" t="str">
        <f>HYPERLINK("http://www.otzar.org/book.asp?626408","מעלות התורה והמצוה")</f>
        <v>מעלות התורה והמצוה</v>
      </c>
    </row>
    <row r="25031" spans="1:6" x14ac:dyDescent="0.2">
      <c r="A25031" t="s">
        <v>40067</v>
      </c>
      <c r="B25031" t="s">
        <v>40065</v>
      </c>
      <c r="C25031" t="s">
        <v>785</v>
      </c>
      <c r="D25031" t="s">
        <v>14</v>
      </c>
      <c r="E25031" t="s">
        <v>104</v>
      </c>
      <c r="F25031" s="2" t="str">
        <f>HYPERLINK("http://www.otzar.org/book.asp?106066","מעלות התורה - 5 כר'")</f>
        <v>מעלות התורה - 5 כר'</v>
      </c>
    </row>
    <row r="25032" spans="1:6" x14ac:dyDescent="0.2">
      <c r="A25032" t="s">
        <v>40068</v>
      </c>
      <c r="B25032" t="s">
        <v>40062</v>
      </c>
      <c r="C25032" t="s">
        <v>466</v>
      </c>
      <c r="D25032" t="s">
        <v>52</v>
      </c>
      <c r="E25032" t="s">
        <v>5186</v>
      </c>
      <c r="F25032" s="2" t="str">
        <f>HYPERLINK("http://www.otzar.org/book.asp?154579","מעלות התפילה")</f>
        <v>מעלות התפילה</v>
      </c>
    </row>
    <row r="25033" spans="1:6" x14ac:dyDescent="0.2">
      <c r="A25033" t="s">
        <v>40069</v>
      </c>
      <c r="B25033" t="s">
        <v>40062</v>
      </c>
      <c r="C25033" t="s">
        <v>2132</v>
      </c>
      <c r="D25033" t="s">
        <v>52</v>
      </c>
      <c r="E25033" t="s">
        <v>241</v>
      </c>
      <c r="F25033" s="2" t="str">
        <f>HYPERLINK("http://www.otzar.org/book.asp?154581","מעלות התשובה")</f>
        <v>מעלות התשובה</v>
      </c>
    </row>
    <row r="25034" spans="1:6" x14ac:dyDescent="0.2">
      <c r="A25034" t="s">
        <v>40070</v>
      </c>
      <c r="B25034" t="s">
        <v>40071</v>
      </c>
      <c r="C25034" t="s">
        <v>989</v>
      </c>
      <c r="D25034" t="s">
        <v>216</v>
      </c>
      <c r="E25034" t="s">
        <v>144</v>
      </c>
      <c r="F25034" s="2" t="str">
        <f>HYPERLINK("http://www.otzar.org/book.asp?200177","מעלות לשלמה")</f>
        <v>מעלות לשלמה</v>
      </c>
    </row>
    <row r="25035" spans="1:6" x14ac:dyDescent="0.2">
      <c r="A25035" t="s">
        <v>40072</v>
      </c>
      <c r="B25035" t="s">
        <v>8907</v>
      </c>
      <c r="C25035" t="s">
        <v>20</v>
      </c>
      <c r="D25035" t="s">
        <v>90</v>
      </c>
      <c r="E25035" t="s">
        <v>158</v>
      </c>
      <c r="F25035" s="2" t="str">
        <f>HYPERLINK("http://www.otzar.org/book.asp?168586","מעלות רבקה")</f>
        <v>מעלות רבקה</v>
      </c>
    </row>
    <row r="25036" spans="1:6" x14ac:dyDescent="0.2">
      <c r="A25036" t="s">
        <v>40073</v>
      </c>
      <c r="B25036" t="s">
        <v>40074</v>
      </c>
      <c r="C25036" t="s">
        <v>151</v>
      </c>
      <c r="D25036" t="s">
        <v>1156</v>
      </c>
      <c r="F25036" s="2" t="str">
        <f>HYPERLINK("http://www.otzar.org/book.asp?622570","מעלות שלמה")</f>
        <v>מעלות שלמה</v>
      </c>
    </row>
    <row r="25037" spans="1:6" x14ac:dyDescent="0.2">
      <c r="A25037" t="s">
        <v>40075</v>
      </c>
      <c r="B25037" t="s">
        <v>5753</v>
      </c>
      <c r="C25037" t="s">
        <v>1388</v>
      </c>
      <c r="D25037" t="s">
        <v>14</v>
      </c>
      <c r="E25037" t="s">
        <v>15</v>
      </c>
      <c r="F25037" s="2" t="str">
        <f>HYPERLINK("http://www.otzar.org/book.asp?106133","מעליות בשבת")</f>
        <v>מעליות בשבת</v>
      </c>
    </row>
    <row r="25038" spans="1:6" x14ac:dyDescent="0.2">
      <c r="A25038" t="s">
        <v>40076</v>
      </c>
      <c r="B25038" t="s">
        <v>40077</v>
      </c>
      <c r="C25038" t="s">
        <v>1448</v>
      </c>
      <c r="D25038" t="s">
        <v>14</v>
      </c>
      <c r="E25038" t="s">
        <v>202</v>
      </c>
      <c r="F25038" s="2" t="str">
        <f>HYPERLINK("http://www.otzar.org/book.asp?164219","מעליות - 3 כר'")</f>
        <v>מעליות - 3 כר'</v>
      </c>
    </row>
    <row r="25039" spans="1:6" x14ac:dyDescent="0.2">
      <c r="A25039" t="s">
        <v>40078</v>
      </c>
      <c r="B25039" t="s">
        <v>40079</v>
      </c>
      <c r="C25039" t="s">
        <v>466</v>
      </c>
      <c r="D25039" t="s">
        <v>118</v>
      </c>
      <c r="E25039" t="s">
        <v>384</v>
      </c>
      <c r="F25039" s="2" t="str">
        <f>HYPERLINK("http://www.otzar.org/book.asp?193411","מעלין בקודש - 34 כר'")</f>
        <v>מעלין בקודש - 34 כר'</v>
      </c>
    </row>
    <row r="25040" spans="1:6" x14ac:dyDescent="0.2">
      <c r="A25040" t="s">
        <v>40080</v>
      </c>
      <c r="B25040" t="s">
        <v>8053</v>
      </c>
      <c r="C25040" t="s">
        <v>427</v>
      </c>
      <c r="D25040" t="s">
        <v>14</v>
      </c>
      <c r="E25040" t="s">
        <v>15</v>
      </c>
      <c r="F25040" s="2" t="str">
        <f>HYPERLINK("http://www.otzar.org/book.asp?625459","מעלית אוטמטית בשבת")</f>
        <v>מעלית אוטמטית בשבת</v>
      </c>
    </row>
    <row r="25041" spans="1:6" x14ac:dyDescent="0.2">
      <c r="A25041" t="s">
        <v>40081</v>
      </c>
      <c r="B25041" t="s">
        <v>2023</v>
      </c>
      <c r="C25041" t="s">
        <v>4705</v>
      </c>
      <c r="D25041" t="s">
        <v>283</v>
      </c>
      <c r="E25041" t="s">
        <v>241</v>
      </c>
      <c r="F25041" s="2" t="str">
        <f>HYPERLINK("http://www.otzar.org/book.asp?103526","מעלפת ספירים - 2 כר'")</f>
        <v>מעלפת ספירים - 2 כר'</v>
      </c>
    </row>
    <row r="25042" spans="1:6" x14ac:dyDescent="0.2">
      <c r="A25042" t="s">
        <v>40082</v>
      </c>
      <c r="B25042" t="s">
        <v>40083</v>
      </c>
      <c r="C25042" t="s">
        <v>547</v>
      </c>
      <c r="D25042" t="s">
        <v>267</v>
      </c>
      <c r="E25042" t="s">
        <v>104</v>
      </c>
      <c r="F25042" s="2" t="str">
        <f>HYPERLINK("http://www.otzar.org/book.asp?194209","מעלפת ספירים")</f>
        <v>מעלפת ספירים</v>
      </c>
    </row>
    <row r="25043" spans="1:6" x14ac:dyDescent="0.2">
      <c r="A25043" t="s">
        <v>40081</v>
      </c>
      <c r="B25043" t="s">
        <v>40084</v>
      </c>
      <c r="C25043" t="s">
        <v>244</v>
      </c>
      <c r="D25043" t="s">
        <v>216</v>
      </c>
      <c r="E25043" t="s">
        <v>154</v>
      </c>
      <c r="F25043" s="2" t="str">
        <f>HYPERLINK("http://www.otzar.org/book.asp?600645","מעלפת ספירים - 2 כר'")</f>
        <v>מעלפת ספירים - 2 כר'</v>
      </c>
    </row>
    <row r="25044" spans="1:6" x14ac:dyDescent="0.2">
      <c r="A25044" t="s">
        <v>40085</v>
      </c>
      <c r="B25044" t="s">
        <v>40086</v>
      </c>
      <c r="C25044" t="s">
        <v>427</v>
      </c>
      <c r="D25044" t="s">
        <v>14</v>
      </c>
      <c r="E25044" t="s">
        <v>104</v>
      </c>
      <c r="F25044" s="2" t="str">
        <f>HYPERLINK("http://www.otzar.org/book.asp?188934","מעלת הארץ - א""י בפירוש הרמב""ן עה""ת")</f>
        <v>מעלת הארץ - א"י בפירוש הרמב"ן עה"ת</v>
      </c>
    </row>
    <row r="25045" spans="1:6" x14ac:dyDescent="0.2">
      <c r="A25045" t="s">
        <v>40087</v>
      </c>
      <c r="B25045" t="s">
        <v>40088</v>
      </c>
      <c r="C25045" t="s">
        <v>68</v>
      </c>
      <c r="D25045" t="s">
        <v>14</v>
      </c>
      <c r="E25045" t="s">
        <v>674</v>
      </c>
      <c r="F25045" s="2" t="str">
        <f>HYPERLINK("http://www.otzar.org/book.asp?194163","מעלת היוחסין")</f>
        <v>מעלת היוחסין</v>
      </c>
    </row>
    <row r="25046" spans="1:6" x14ac:dyDescent="0.2">
      <c r="A25046" t="s">
        <v>40089</v>
      </c>
      <c r="B25046" t="s">
        <v>40090</v>
      </c>
      <c r="C25046" t="s">
        <v>523</v>
      </c>
      <c r="D25046" t="s">
        <v>14</v>
      </c>
      <c r="E25046" t="s">
        <v>241</v>
      </c>
      <c r="F25046" s="2" t="str">
        <f>HYPERLINK("http://www.otzar.org/book.asp?625535","מעלת היסורים")</f>
        <v>מעלת היסורים</v>
      </c>
    </row>
    <row r="25047" spans="1:6" x14ac:dyDescent="0.2">
      <c r="A25047" t="s">
        <v>40089</v>
      </c>
      <c r="B25047" t="s">
        <v>40091</v>
      </c>
      <c r="C25047" t="s">
        <v>17</v>
      </c>
      <c r="D25047" t="s">
        <v>14</v>
      </c>
      <c r="E25047" t="s">
        <v>241</v>
      </c>
      <c r="F25047" s="2" t="str">
        <f>HYPERLINK("http://www.otzar.org/book.asp?21814","מעלת היסורים")</f>
        <v>מעלת היסורים</v>
      </c>
    </row>
    <row r="25048" spans="1:6" x14ac:dyDescent="0.2">
      <c r="A25048" t="s">
        <v>40092</v>
      </c>
      <c r="B25048" t="s">
        <v>10358</v>
      </c>
      <c r="C25048" t="s">
        <v>156</v>
      </c>
      <c r="D25048" t="s">
        <v>283</v>
      </c>
      <c r="E25048" t="s">
        <v>241</v>
      </c>
      <c r="F25048" s="2" t="str">
        <f>HYPERLINK("http://www.otzar.org/book.asp?9940","מעלת המדות")</f>
        <v>מעלת המדות</v>
      </c>
    </row>
    <row r="25049" spans="1:6" x14ac:dyDescent="0.2">
      <c r="A25049" t="s">
        <v>40093</v>
      </c>
      <c r="B25049" t="s">
        <v>12106</v>
      </c>
      <c r="C25049" t="s">
        <v>151</v>
      </c>
      <c r="D25049" t="s">
        <v>14</v>
      </c>
      <c r="E25049" t="s">
        <v>960</v>
      </c>
      <c r="F25049" s="2" t="str">
        <f>HYPERLINK("http://www.otzar.org/book.asp?627436","מעלת עלינו לשבח")</f>
        <v>מעלת עלינו לשבח</v>
      </c>
    </row>
    <row r="25050" spans="1:6" x14ac:dyDescent="0.2">
      <c r="A25050" t="s">
        <v>40094</v>
      </c>
      <c r="B25050" t="s">
        <v>40095</v>
      </c>
      <c r="C25050" t="s">
        <v>617</v>
      </c>
      <c r="D25050" t="s">
        <v>14</v>
      </c>
      <c r="F25050" s="2" t="str">
        <f>HYPERLINK("http://www.otzar.org/book.asp?169541","מעם לועז החדש")</f>
        <v>מעם לועז החדש</v>
      </c>
    </row>
    <row r="25051" spans="1:6" x14ac:dyDescent="0.2">
      <c r="A25051" t="s">
        <v>40096</v>
      </c>
      <c r="B25051" t="s">
        <v>40097</v>
      </c>
      <c r="C25051" t="s">
        <v>40098</v>
      </c>
      <c r="D25051" t="s">
        <v>9</v>
      </c>
      <c r="E25051" t="s">
        <v>579</v>
      </c>
      <c r="F25051" s="2" t="str">
        <f>HYPERLINK("http://www.otzar.org/book.asp?7762","מעם לועז - א (בראשית)")</f>
        <v>מעם לועז - א (בראשית)</v>
      </c>
    </row>
    <row r="25052" spans="1:6" x14ac:dyDescent="0.2">
      <c r="A25052" t="s">
        <v>40099</v>
      </c>
      <c r="B25052" t="s">
        <v>253</v>
      </c>
      <c r="C25052" t="s">
        <v>332</v>
      </c>
      <c r="D25052" t="s">
        <v>52</v>
      </c>
      <c r="F25052" s="2" t="str">
        <f>HYPERLINK("http://www.otzar.org/book.asp?610971","מעמד האשה בעם ישראל")</f>
        <v>מעמד האשה בעם ישראל</v>
      </c>
    </row>
    <row r="25053" spans="1:6" x14ac:dyDescent="0.2">
      <c r="A25053" t="s">
        <v>40100</v>
      </c>
      <c r="B25053" t="s">
        <v>40101</v>
      </c>
      <c r="C25053" t="s">
        <v>3106</v>
      </c>
      <c r="D25053" t="s">
        <v>40102</v>
      </c>
      <c r="F25053" s="2" t="str">
        <f>HYPERLINK("http://www.otzar.org/book.asp?620917","מעמד הקהל בתפארתו")</f>
        <v>מעמד הקהל בתפארתו</v>
      </c>
    </row>
    <row r="25054" spans="1:6" x14ac:dyDescent="0.2">
      <c r="A25054" t="s">
        <v>40103</v>
      </c>
      <c r="B25054" t="s">
        <v>10819</v>
      </c>
      <c r="C25054" t="s">
        <v>111</v>
      </c>
      <c r="D25054" t="s">
        <v>14</v>
      </c>
      <c r="E25054" t="s">
        <v>104</v>
      </c>
      <c r="F25054" s="2" t="str">
        <f>HYPERLINK("http://www.otzar.org/book.asp?629769","מעמד הר סיני")</f>
        <v>מעמד הר סיני</v>
      </c>
    </row>
    <row r="25055" spans="1:6" x14ac:dyDescent="0.2">
      <c r="A25055" t="s">
        <v>40104</v>
      </c>
      <c r="B25055" t="s">
        <v>4837</v>
      </c>
      <c r="C25055" t="s">
        <v>383</v>
      </c>
      <c r="D25055" t="s">
        <v>21</v>
      </c>
      <c r="F25055" s="2" t="str">
        <f>HYPERLINK("http://www.otzar.org/book.asp?630738","מעמדו של הפועל במקרא")</f>
        <v>מעמדו של הפועל במקרא</v>
      </c>
    </row>
    <row r="25056" spans="1:6" x14ac:dyDescent="0.2">
      <c r="A25056" t="s">
        <v>40105</v>
      </c>
      <c r="B25056" t="s">
        <v>40106</v>
      </c>
      <c r="C25056" t="s">
        <v>2132</v>
      </c>
      <c r="D25056" t="s">
        <v>216</v>
      </c>
      <c r="E25056" t="s">
        <v>733</v>
      </c>
      <c r="F25056" s="2" t="str">
        <f>HYPERLINK("http://www.otzar.org/book.asp?624708","מעמק הבכא")</f>
        <v>מעמק הבכא</v>
      </c>
    </row>
    <row r="25057" spans="1:6" x14ac:dyDescent="0.2">
      <c r="A25057" t="s">
        <v>40105</v>
      </c>
      <c r="B25057" t="s">
        <v>40107</v>
      </c>
      <c r="C25057" t="s">
        <v>79</v>
      </c>
      <c r="D25057" t="s">
        <v>27</v>
      </c>
      <c r="E25057" t="s">
        <v>791</v>
      </c>
      <c r="F25057" s="2" t="str">
        <f>HYPERLINK("http://www.otzar.org/book.asp?10702","מעמק הבכא")</f>
        <v>מעמק הבכא</v>
      </c>
    </row>
    <row r="25058" spans="1:6" x14ac:dyDescent="0.2">
      <c r="A25058" t="s">
        <v>40108</v>
      </c>
      <c r="B25058" t="s">
        <v>40109</v>
      </c>
      <c r="C25058" t="s">
        <v>20</v>
      </c>
      <c r="D25058" t="s">
        <v>90</v>
      </c>
      <c r="E25058" t="s">
        <v>230</v>
      </c>
      <c r="F25058" s="2" t="str">
        <f>HYPERLINK("http://www.otzar.org/book.asp?190745","מעמקים בפרשה")</f>
        <v>מעמקים בפרשה</v>
      </c>
    </row>
    <row r="25059" spans="1:6" x14ac:dyDescent="0.2">
      <c r="A25059" t="s">
        <v>40110</v>
      </c>
      <c r="B25059" t="s">
        <v>40111</v>
      </c>
      <c r="C25059" t="s">
        <v>103</v>
      </c>
      <c r="D25059" t="s">
        <v>40112</v>
      </c>
      <c r="E25059" t="s">
        <v>158</v>
      </c>
      <c r="F25059" s="2" t="str">
        <f>HYPERLINK("http://www.otzar.org/book.asp?602671","מענבי הכרם - שמות")</f>
        <v>מענבי הכרם - שמות</v>
      </c>
    </row>
    <row r="25060" spans="1:6" x14ac:dyDescent="0.2">
      <c r="A25060" t="s">
        <v>40113</v>
      </c>
      <c r="B25060" t="s">
        <v>40114</v>
      </c>
      <c r="C25060" t="s">
        <v>785</v>
      </c>
      <c r="D25060" t="s">
        <v>14</v>
      </c>
      <c r="E25060" t="s">
        <v>154</v>
      </c>
      <c r="F25060" s="2" t="str">
        <f>HYPERLINK("http://www.otzar.org/book.asp?152294","מענה אברהם &lt;מכון הכתב&gt;")</f>
        <v>מענה אברהם &lt;מכון הכתב&gt;</v>
      </c>
    </row>
    <row r="25061" spans="1:6" x14ac:dyDescent="0.2">
      <c r="A25061" t="s">
        <v>40115</v>
      </c>
      <c r="B25061" t="s">
        <v>40116</v>
      </c>
      <c r="C25061" t="s">
        <v>748</v>
      </c>
      <c r="D25061" t="s">
        <v>7226</v>
      </c>
      <c r="E25061" t="s">
        <v>104</v>
      </c>
      <c r="F25061" s="2" t="str">
        <f>HYPERLINK("http://www.otzar.org/book.asp?197042","מענה אליהו")</f>
        <v>מענה אליהו</v>
      </c>
    </row>
    <row r="25062" spans="1:6" x14ac:dyDescent="0.2">
      <c r="A25062" t="s">
        <v>40115</v>
      </c>
      <c r="B25062" t="s">
        <v>40117</v>
      </c>
      <c r="C25062" t="s">
        <v>4687</v>
      </c>
      <c r="D25062" t="s">
        <v>60</v>
      </c>
      <c r="E25062" t="s">
        <v>144</v>
      </c>
      <c r="F25062" s="2" t="str">
        <f>HYPERLINK("http://www.otzar.org/book.asp?20238","מענה אליהו")</f>
        <v>מענה אליהו</v>
      </c>
    </row>
    <row r="25063" spans="1:6" x14ac:dyDescent="0.2">
      <c r="A25063" t="s">
        <v>40115</v>
      </c>
      <c r="B25063" t="s">
        <v>5058</v>
      </c>
      <c r="C25063" t="s">
        <v>454</v>
      </c>
      <c r="D25063" t="s">
        <v>4478</v>
      </c>
      <c r="E25063" t="s">
        <v>154</v>
      </c>
      <c r="F25063" s="2" t="str">
        <f>HYPERLINK("http://www.otzar.org/book.asp?144957","מענה אליהו")</f>
        <v>מענה אליהו</v>
      </c>
    </row>
    <row r="25064" spans="1:6" x14ac:dyDescent="0.2">
      <c r="A25064" t="s">
        <v>40118</v>
      </c>
      <c r="B25064" t="s">
        <v>40119</v>
      </c>
      <c r="C25064" t="s">
        <v>114</v>
      </c>
      <c r="D25064" t="s">
        <v>520</v>
      </c>
      <c r="E25064" t="s">
        <v>15</v>
      </c>
      <c r="F25064" s="2" t="str">
        <f>HYPERLINK("http://www.otzar.org/book.asp?166156","מענה השלחן")</f>
        <v>מענה השלחן</v>
      </c>
    </row>
    <row r="25065" spans="1:6" x14ac:dyDescent="0.2">
      <c r="A25065" t="s">
        <v>40120</v>
      </c>
      <c r="B25065" t="s">
        <v>1988</v>
      </c>
      <c r="C25065" t="s">
        <v>224</v>
      </c>
      <c r="D25065" t="s">
        <v>9</v>
      </c>
      <c r="E25065" t="s">
        <v>219</v>
      </c>
      <c r="F25065" s="2" t="str">
        <f>HYPERLINK("http://www.otzar.org/book.asp?51637","מענה לשון עם תרגום אנגלית")</f>
        <v>מענה לשון עם תרגום אנגלית</v>
      </c>
    </row>
    <row r="25066" spans="1:6" x14ac:dyDescent="0.2">
      <c r="A25066" t="s">
        <v>40121</v>
      </c>
      <c r="B25066" t="s">
        <v>24126</v>
      </c>
      <c r="C25066" t="s">
        <v>547</v>
      </c>
      <c r="D25066" t="s">
        <v>986</v>
      </c>
      <c r="E25066" t="s">
        <v>219</v>
      </c>
      <c r="F25066" s="2" t="str">
        <f>HYPERLINK("http://www.otzar.org/book.asp?11134","מענה לשון")</f>
        <v>מענה לשון</v>
      </c>
    </row>
    <row r="25067" spans="1:6" x14ac:dyDescent="0.2">
      <c r="A25067" t="s">
        <v>40121</v>
      </c>
      <c r="B25067" t="s">
        <v>40122</v>
      </c>
      <c r="C25067" t="s">
        <v>362</v>
      </c>
      <c r="D25067" t="s">
        <v>535</v>
      </c>
      <c r="E25067" t="s">
        <v>219</v>
      </c>
      <c r="F25067" s="2" t="str">
        <f>HYPERLINK("http://www.otzar.org/book.asp?13272","מענה לשון")</f>
        <v>מענה לשון</v>
      </c>
    </row>
    <row r="25068" spans="1:6" x14ac:dyDescent="0.2">
      <c r="A25068" t="s">
        <v>40123</v>
      </c>
      <c r="B25068" t="s">
        <v>6525</v>
      </c>
      <c r="C25068" t="s">
        <v>13</v>
      </c>
      <c r="D25068" t="s">
        <v>3560</v>
      </c>
      <c r="E25068" t="s">
        <v>579</v>
      </c>
      <c r="F25068" s="2" t="str">
        <f>HYPERLINK("http://www.otzar.org/book.asp?64243","מענה לשון - שמות")</f>
        <v>מענה לשון - שמות</v>
      </c>
    </row>
    <row r="25069" spans="1:6" x14ac:dyDescent="0.2">
      <c r="A25069" t="s">
        <v>40124</v>
      </c>
      <c r="B25069" t="s">
        <v>4918</v>
      </c>
      <c r="C25069" t="s">
        <v>103</v>
      </c>
      <c r="D25069" t="s">
        <v>4919</v>
      </c>
      <c r="E25069" t="s">
        <v>154</v>
      </c>
      <c r="F25069" s="2" t="str">
        <f>HYPERLINK("http://www.otzar.org/book.asp?63950","מענה לשון - 6 כר'")</f>
        <v>מענה לשון - 6 כר'</v>
      </c>
    </row>
    <row r="25070" spans="1:6" x14ac:dyDescent="0.2">
      <c r="A25070" t="s">
        <v>40121</v>
      </c>
      <c r="B25070" t="s">
        <v>16239</v>
      </c>
      <c r="C25070" t="s">
        <v>8222</v>
      </c>
      <c r="D25070" t="s">
        <v>744</v>
      </c>
      <c r="E25070" t="s">
        <v>674</v>
      </c>
      <c r="F25070" s="2" t="str">
        <f>HYPERLINK("http://www.otzar.org/book.asp?63900","מענה לשון")</f>
        <v>מענה לשון</v>
      </c>
    </row>
    <row r="25071" spans="1:6" x14ac:dyDescent="0.2">
      <c r="A25071" t="s">
        <v>40121</v>
      </c>
      <c r="B25071" t="s">
        <v>40125</v>
      </c>
      <c r="C25071" t="s">
        <v>4790</v>
      </c>
      <c r="D25071" t="s">
        <v>1023</v>
      </c>
      <c r="E25071" t="s">
        <v>104</v>
      </c>
      <c r="F25071" s="2" t="str">
        <f>HYPERLINK("http://www.otzar.org/book.asp?21705","מענה לשון")</f>
        <v>מענה לשון</v>
      </c>
    </row>
    <row r="25072" spans="1:6" x14ac:dyDescent="0.2">
      <c r="A25072" t="s">
        <v>40121</v>
      </c>
      <c r="B25072" t="s">
        <v>40126</v>
      </c>
      <c r="C25072" t="s">
        <v>4374</v>
      </c>
      <c r="D25072" t="s">
        <v>17451</v>
      </c>
      <c r="E25072" t="s">
        <v>219</v>
      </c>
      <c r="F25072" s="2" t="str">
        <f>HYPERLINK("http://www.otzar.org/book.asp?107101","מענה לשון")</f>
        <v>מענה לשון</v>
      </c>
    </row>
    <row r="25073" spans="1:6" x14ac:dyDescent="0.2">
      <c r="A25073" t="s">
        <v>40127</v>
      </c>
      <c r="B25073" t="s">
        <v>40128</v>
      </c>
      <c r="C25073" t="s">
        <v>23</v>
      </c>
      <c r="D25073" t="s">
        <v>152</v>
      </c>
      <c r="E25073" t="s">
        <v>15</v>
      </c>
      <c r="F25073" s="2" t="str">
        <f>HYPERLINK("http://www.otzar.org/book.asp?623395","מענה פיו - 2 כר'")</f>
        <v>מענה פיו - 2 כר'</v>
      </c>
    </row>
    <row r="25074" spans="1:6" x14ac:dyDescent="0.2">
      <c r="A25074" t="s">
        <v>40129</v>
      </c>
      <c r="B25074" t="s">
        <v>1884</v>
      </c>
      <c r="C25074" t="s">
        <v>313</v>
      </c>
      <c r="D25074" t="s">
        <v>52</v>
      </c>
      <c r="E25074" t="s">
        <v>241</v>
      </c>
      <c r="F25074" s="2" t="str">
        <f>HYPERLINK("http://www.otzar.org/book.asp?623325","מענה רך &lt;מהדורה חדשה&gt;")</f>
        <v>מענה רך &lt;מהדורה חדשה&gt;</v>
      </c>
    </row>
    <row r="25075" spans="1:6" x14ac:dyDescent="0.2">
      <c r="A25075" t="s">
        <v>40130</v>
      </c>
      <c r="B25075" t="s">
        <v>4860</v>
      </c>
      <c r="F25075" s="2" t="str">
        <f>HYPERLINK("http://www.otzar.org/book.asp?199815","מענה רך על חזות קשה")</f>
        <v>מענה רך על חזות קשה</v>
      </c>
    </row>
    <row r="25076" spans="1:6" x14ac:dyDescent="0.2">
      <c r="A25076" t="s">
        <v>40131</v>
      </c>
      <c r="B25076" t="s">
        <v>1884</v>
      </c>
      <c r="C25076" t="s">
        <v>360</v>
      </c>
      <c r="D25076" t="s">
        <v>225</v>
      </c>
      <c r="E25076" t="s">
        <v>241</v>
      </c>
      <c r="F25076" s="2" t="str">
        <f>HYPERLINK("http://www.otzar.org/book.asp?6422","מענה רך")</f>
        <v>מענה רך</v>
      </c>
    </row>
    <row r="25077" spans="1:6" x14ac:dyDescent="0.2">
      <c r="A25077" t="s">
        <v>40132</v>
      </c>
      <c r="B25077" t="s">
        <v>40133</v>
      </c>
      <c r="C25077" t="s">
        <v>427</v>
      </c>
      <c r="D25077" t="s">
        <v>14</v>
      </c>
      <c r="E25077" t="s">
        <v>588</v>
      </c>
      <c r="F25077" s="2" t="str">
        <f>HYPERLINK("http://www.otzar.org/book.asp?6943","מענה שמחה")</f>
        <v>מענה שמחה</v>
      </c>
    </row>
    <row r="25078" spans="1:6" x14ac:dyDescent="0.2">
      <c r="A25078" t="s">
        <v>40134</v>
      </c>
      <c r="B25078" t="s">
        <v>16827</v>
      </c>
      <c r="C25078" t="s">
        <v>442</v>
      </c>
      <c r="D25078" t="s">
        <v>9</v>
      </c>
      <c r="E25078" t="s">
        <v>4494</v>
      </c>
      <c r="F25078" s="2" t="str">
        <f>HYPERLINK("http://www.otzar.org/book.asp?51669","מענינא דיומא")</f>
        <v>מענינא דיומא</v>
      </c>
    </row>
    <row r="25079" spans="1:6" x14ac:dyDescent="0.2">
      <c r="A25079" t="s">
        <v>40135</v>
      </c>
      <c r="B25079" t="s">
        <v>40136</v>
      </c>
      <c r="C25079" t="s">
        <v>21855</v>
      </c>
      <c r="D25079" t="s">
        <v>40137</v>
      </c>
      <c r="E25079" t="s">
        <v>2071</v>
      </c>
      <c r="F25079" s="2" t="str">
        <f>HYPERLINK("http://www.otzar.org/book.asp?174563","מענש און תורה - 2 כר'")</f>
        <v>מענש און תורה - 2 כר'</v>
      </c>
    </row>
    <row r="25080" spans="1:6" x14ac:dyDescent="0.2">
      <c r="A25080" t="s">
        <v>40135</v>
      </c>
      <c r="B25080" t="s">
        <v>40138</v>
      </c>
      <c r="C25080" t="s">
        <v>21855</v>
      </c>
      <c r="D25080" t="s">
        <v>412</v>
      </c>
      <c r="E25080" t="s">
        <v>158</v>
      </c>
      <c r="F25080" s="2" t="str">
        <f>HYPERLINK("http://www.otzar.org/book.asp?196480","מענש און תורה - 2 כר'")</f>
        <v>מענש און תורה - 2 כר'</v>
      </c>
    </row>
    <row r="25081" spans="1:6" x14ac:dyDescent="0.2">
      <c r="A25081" t="s">
        <v>40139</v>
      </c>
      <c r="B25081" t="s">
        <v>40140</v>
      </c>
      <c r="C25081" t="s">
        <v>1268</v>
      </c>
      <c r="D25081" t="s">
        <v>14</v>
      </c>
      <c r="E25081" t="s">
        <v>104</v>
      </c>
      <c r="F25081" s="2" t="str">
        <f>HYPERLINK("http://www.otzar.org/book.asp?181725","מעפר קומי")</f>
        <v>מעפר קומי</v>
      </c>
    </row>
    <row r="25082" spans="1:6" x14ac:dyDescent="0.2">
      <c r="A25082" t="s">
        <v>40139</v>
      </c>
      <c r="B25082" t="s">
        <v>40141</v>
      </c>
      <c r="C25082" t="s">
        <v>151</v>
      </c>
      <c r="D25082" t="s">
        <v>90</v>
      </c>
      <c r="E25082" t="s">
        <v>246</v>
      </c>
      <c r="F25082" s="2" t="str">
        <f>HYPERLINK("http://www.otzar.org/book.asp?615086","מעפר קומי")</f>
        <v>מעפר קומי</v>
      </c>
    </row>
    <row r="25083" spans="1:6" x14ac:dyDescent="0.2">
      <c r="A25083" t="s">
        <v>40142</v>
      </c>
      <c r="B25083" t="s">
        <v>40143</v>
      </c>
      <c r="C25083" t="s">
        <v>40144</v>
      </c>
      <c r="D25083" t="s">
        <v>1731</v>
      </c>
      <c r="F25083" s="2" t="str">
        <f>HYPERLINK("http://www.otzar.org/book.asp?170179","מעריך המערכות")</f>
        <v>מעריך המערכות</v>
      </c>
    </row>
    <row r="25084" spans="1:6" x14ac:dyDescent="0.2">
      <c r="A25084" t="s">
        <v>40142</v>
      </c>
      <c r="B25084" t="s">
        <v>40145</v>
      </c>
      <c r="C25084" t="s">
        <v>1418</v>
      </c>
      <c r="D25084" t="s">
        <v>1459</v>
      </c>
      <c r="E25084" t="s">
        <v>733</v>
      </c>
      <c r="F25084" s="2" t="str">
        <f>HYPERLINK("http://www.otzar.org/book.asp?100644","מעריך המערכות")</f>
        <v>מעריך המערכות</v>
      </c>
    </row>
    <row r="25085" spans="1:6" x14ac:dyDescent="0.2">
      <c r="A25085" t="s">
        <v>40146</v>
      </c>
      <c r="B25085" t="s">
        <v>40147</v>
      </c>
      <c r="C25085" t="s">
        <v>366</v>
      </c>
      <c r="D25085" t="s">
        <v>367</v>
      </c>
      <c r="E25085" t="s">
        <v>144</v>
      </c>
      <c r="F25085" s="2" t="str">
        <f>HYPERLINK("http://www.otzar.org/book.asp?606598","מערכה בשמעתא דשאולה ושכורה")</f>
        <v>מערכה בשמעתא דשאולה ושכורה</v>
      </c>
    </row>
    <row r="25086" spans="1:6" x14ac:dyDescent="0.2">
      <c r="A25086" t="s">
        <v>40148</v>
      </c>
      <c r="B25086" t="s">
        <v>1385</v>
      </c>
      <c r="C25086" t="s">
        <v>624</v>
      </c>
      <c r="D25086" t="s">
        <v>52</v>
      </c>
      <c r="E25086" t="s">
        <v>3516</v>
      </c>
      <c r="F25086" s="2" t="str">
        <f>HYPERLINK("http://www.otzar.org/book.asp?161954","מערכה ודרוש - פסח א")</f>
        <v>מערכה ודרוש - פסח א</v>
      </c>
    </row>
    <row r="25087" spans="1:6" x14ac:dyDescent="0.2">
      <c r="A25087" t="s">
        <v>40149</v>
      </c>
      <c r="B25087" t="s">
        <v>3944</v>
      </c>
      <c r="C25087" t="s">
        <v>594</v>
      </c>
      <c r="D25087" t="s">
        <v>1365</v>
      </c>
      <c r="E25087" t="s">
        <v>1211</v>
      </c>
      <c r="F25087" s="2" t="str">
        <f>HYPERLINK("http://www.otzar.org/book.asp?197489","מערכה לקראת מערכה")</f>
        <v>מערכה לקראת מערכה</v>
      </c>
    </row>
    <row r="25088" spans="1:6" x14ac:dyDescent="0.2">
      <c r="A25088" t="s">
        <v>40150</v>
      </c>
      <c r="B25088" t="s">
        <v>40151</v>
      </c>
      <c r="C25088" t="s">
        <v>68</v>
      </c>
      <c r="D25088" t="s">
        <v>52</v>
      </c>
      <c r="E25088" t="s">
        <v>144</v>
      </c>
      <c r="F25088" s="2" t="str">
        <f>HYPERLINK("http://www.otzar.org/book.asp?157896","מערכות הקנינים - 2 כר'")</f>
        <v>מערכות הקנינים - 2 כר'</v>
      </c>
    </row>
    <row r="25089" spans="1:6" x14ac:dyDescent="0.2">
      <c r="A25089" t="s">
        <v>40152</v>
      </c>
      <c r="B25089" t="s">
        <v>15363</v>
      </c>
      <c r="C25089" t="s">
        <v>523</v>
      </c>
      <c r="D25089" t="s">
        <v>52</v>
      </c>
      <c r="E25089" t="s">
        <v>144</v>
      </c>
      <c r="F25089" s="2" t="str">
        <f>HYPERLINK("http://www.otzar.org/book.asp?150634","מערכות חיים - 4 כר'")</f>
        <v>מערכות חיים - 4 כר'</v>
      </c>
    </row>
    <row r="25090" spans="1:6" x14ac:dyDescent="0.2">
      <c r="A25090" t="s">
        <v>40153</v>
      </c>
      <c r="B25090" t="s">
        <v>40154</v>
      </c>
      <c r="C25090" t="s">
        <v>68</v>
      </c>
      <c r="D25090" t="s">
        <v>14</v>
      </c>
      <c r="E25090" t="s">
        <v>144</v>
      </c>
      <c r="F25090" s="2" t="str">
        <f>HYPERLINK("http://www.otzar.org/book.asp?158494","מערכות קידושין")</f>
        <v>מערכות קידושין</v>
      </c>
    </row>
    <row r="25091" spans="1:6" x14ac:dyDescent="0.2">
      <c r="A25091" t="s">
        <v>40155</v>
      </c>
      <c r="B25091" t="s">
        <v>40156</v>
      </c>
      <c r="C25091" t="s">
        <v>37</v>
      </c>
      <c r="D25091" t="s">
        <v>90</v>
      </c>
      <c r="E25091" t="s">
        <v>144</v>
      </c>
      <c r="F25091" s="2" t="str">
        <f>HYPERLINK("http://www.otzar.org/book.asp?179644","מערכות רעק""א - כתובות")</f>
        <v>מערכות רעק"א - כתובות</v>
      </c>
    </row>
    <row r="25092" spans="1:6" x14ac:dyDescent="0.2">
      <c r="A25092" t="s">
        <v>40157</v>
      </c>
      <c r="B25092" t="s">
        <v>40158</v>
      </c>
      <c r="C25092" t="s">
        <v>37</v>
      </c>
      <c r="D25092" t="s">
        <v>852</v>
      </c>
      <c r="E25092" t="s">
        <v>15</v>
      </c>
      <c r="F25092" s="2" t="str">
        <f>HYPERLINK("http://www.otzar.org/book.asp?627848","מערכי המשפט - ירושה")</f>
        <v>מערכי המשפט - ירושה</v>
      </c>
    </row>
    <row r="25093" spans="1:6" x14ac:dyDescent="0.2">
      <c r="A25093" t="s">
        <v>40159</v>
      </c>
      <c r="B25093" t="s">
        <v>40160</v>
      </c>
      <c r="C25093" t="s">
        <v>103</v>
      </c>
      <c r="D25093" t="s">
        <v>147</v>
      </c>
      <c r="E25093" t="s">
        <v>104</v>
      </c>
      <c r="F25093" s="2" t="str">
        <f>HYPERLINK("http://www.otzar.org/book.asp?157832","מערכי יושר - 2 כר'")</f>
        <v>מערכי יושר - 2 כר'</v>
      </c>
    </row>
    <row r="25094" spans="1:6" x14ac:dyDescent="0.2">
      <c r="A25094" t="s">
        <v>40161</v>
      </c>
      <c r="B25094" t="s">
        <v>40162</v>
      </c>
      <c r="C25094" t="s">
        <v>20</v>
      </c>
      <c r="D25094" t="s">
        <v>412</v>
      </c>
      <c r="E25094" t="s">
        <v>144</v>
      </c>
      <c r="F25094" s="2" t="str">
        <f>HYPERLINK("http://www.otzar.org/book.asp?176665","מערכי ל""ב")</f>
        <v>מערכי ל"ב</v>
      </c>
    </row>
    <row r="25095" spans="1:6" x14ac:dyDescent="0.2">
      <c r="A25095" t="s">
        <v>40163</v>
      </c>
      <c r="B25095" t="s">
        <v>40164</v>
      </c>
      <c r="C25095" t="s">
        <v>1269</v>
      </c>
      <c r="D25095" t="s">
        <v>563</v>
      </c>
      <c r="E25095" t="s">
        <v>144</v>
      </c>
      <c r="F25095" s="2" t="str">
        <f>HYPERLINK("http://www.otzar.org/book.asp?19144","מערכי לב יבא הלוי - 2 כר'")</f>
        <v>מערכי לב יבא הלוי - 2 כר'</v>
      </c>
    </row>
    <row r="25096" spans="1:6" x14ac:dyDescent="0.2">
      <c r="A25096" t="s">
        <v>40165</v>
      </c>
      <c r="B25096" t="s">
        <v>1070</v>
      </c>
      <c r="C25096" t="s">
        <v>114</v>
      </c>
      <c r="D25096" t="s">
        <v>1076</v>
      </c>
      <c r="E25096" t="s">
        <v>154</v>
      </c>
      <c r="F25096" s="2" t="str">
        <f>HYPERLINK("http://www.otzar.org/book.asp?628196","מערכי לב")</f>
        <v>מערכי לב</v>
      </c>
    </row>
    <row r="25097" spans="1:6" x14ac:dyDescent="0.2">
      <c r="A25097" t="s">
        <v>40165</v>
      </c>
      <c r="B25097" t="s">
        <v>38185</v>
      </c>
      <c r="C25097" t="s">
        <v>383</v>
      </c>
      <c r="D25097" t="s">
        <v>4478</v>
      </c>
      <c r="E25097" t="s">
        <v>714</v>
      </c>
      <c r="F25097" s="2" t="str">
        <f>HYPERLINK("http://www.otzar.org/book.asp?63139","מערכי לב")</f>
        <v>מערכי לב</v>
      </c>
    </row>
    <row r="25098" spans="1:6" x14ac:dyDescent="0.2">
      <c r="A25098" t="s">
        <v>40166</v>
      </c>
      <c r="B25098" t="s">
        <v>27263</v>
      </c>
      <c r="C25098" t="s">
        <v>40167</v>
      </c>
      <c r="D25098" t="s">
        <v>76</v>
      </c>
      <c r="E25098" t="s">
        <v>1262</v>
      </c>
      <c r="F25098" s="2" t="str">
        <f>HYPERLINK("http://www.otzar.org/book.asp?101187","מערכי לב - א ב")</f>
        <v>מערכי לב - א ב</v>
      </c>
    </row>
    <row r="25099" spans="1:6" x14ac:dyDescent="0.2">
      <c r="A25099" t="s">
        <v>40168</v>
      </c>
      <c r="B25099" t="s">
        <v>4918</v>
      </c>
      <c r="C25099" t="s">
        <v>466</v>
      </c>
      <c r="D25099" t="s">
        <v>4919</v>
      </c>
      <c r="E25099" t="s">
        <v>144</v>
      </c>
      <c r="F25099" s="2" t="str">
        <f>HYPERLINK("http://www.otzar.org/book.asp?63958","מערכי לב - 11 כר'")</f>
        <v>מערכי לב - 11 כר'</v>
      </c>
    </row>
    <row r="25100" spans="1:6" x14ac:dyDescent="0.2">
      <c r="A25100" t="s">
        <v>40169</v>
      </c>
      <c r="B25100" t="s">
        <v>16636</v>
      </c>
      <c r="C25100" t="s">
        <v>20</v>
      </c>
      <c r="D25100" t="s">
        <v>90</v>
      </c>
      <c r="E25100" t="s">
        <v>104</v>
      </c>
      <c r="F25100" s="2" t="str">
        <f>HYPERLINK("http://www.otzar.org/book.asp?624863","מערכי לב - 2 כר'")</f>
        <v>מערכי לב - 2 כר'</v>
      </c>
    </row>
    <row r="25101" spans="1:6" x14ac:dyDescent="0.2">
      <c r="A25101" t="s">
        <v>40165</v>
      </c>
      <c r="B25101" t="s">
        <v>13035</v>
      </c>
      <c r="C25101" t="s">
        <v>619</v>
      </c>
      <c r="D25101" t="s">
        <v>18421</v>
      </c>
      <c r="E25101" t="s">
        <v>10438</v>
      </c>
      <c r="F25101" s="2" t="str">
        <f>HYPERLINK("http://www.otzar.org/book.asp?10644","מערכי לב")</f>
        <v>מערכי לב</v>
      </c>
    </row>
    <row r="25102" spans="1:6" x14ac:dyDescent="0.2">
      <c r="A25102" t="s">
        <v>40170</v>
      </c>
      <c r="B25102" t="s">
        <v>23832</v>
      </c>
      <c r="C25102" t="s">
        <v>1268</v>
      </c>
      <c r="D25102" t="s">
        <v>52</v>
      </c>
      <c r="E25102" t="s">
        <v>165</v>
      </c>
      <c r="F25102" s="2" t="str">
        <f>HYPERLINK("http://www.otzar.org/book.asp?149768","מערכי לב - 4 כר'")</f>
        <v>מערכי לב - 4 כר'</v>
      </c>
    </row>
    <row r="25103" spans="1:6" x14ac:dyDescent="0.2">
      <c r="A25103" t="s">
        <v>40165</v>
      </c>
      <c r="B25103" t="s">
        <v>21896</v>
      </c>
      <c r="C25103" t="s">
        <v>523</v>
      </c>
      <c r="D25103" t="s">
        <v>14</v>
      </c>
      <c r="E25103" t="s">
        <v>144</v>
      </c>
      <c r="F25103" s="2" t="str">
        <f>HYPERLINK("http://www.otzar.org/book.asp?149788","מערכי לב")</f>
        <v>מערכי לב</v>
      </c>
    </row>
    <row r="25104" spans="1:6" x14ac:dyDescent="0.2">
      <c r="A25104" t="s">
        <v>40171</v>
      </c>
      <c r="B25104" t="s">
        <v>12327</v>
      </c>
      <c r="C25104" t="s">
        <v>133</v>
      </c>
      <c r="D25104" t="s">
        <v>21</v>
      </c>
      <c r="E25104" t="s">
        <v>15</v>
      </c>
      <c r="F25104" s="2" t="str">
        <f>HYPERLINK("http://www.otzar.org/book.asp?193689","מערכי מועד - 3 כר'")</f>
        <v>מערכי מועד - 3 כר'</v>
      </c>
    </row>
    <row r="25105" spans="1:6" x14ac:dyDescent="0.2">
      <c r="A25105" t="s">
        <v>40172</v>
      </c>
      <c r="B25105" t="s">
        <v>40173</v>
      </c>
      <c r="C25105" t="s">
        <v>146</v>
      </c>
      <c r="D25105" t="s">
        <v>486</v>
      </c>
      <c r="E25105" t="s">
        <v>172</v>
      </c>
      <c r="F25105" s="2" t="str">
        <f>HYPERLINK("http://www.otzar.org/book.asp?151891","מערכי משפט")</f>
        <v>מערכי משפט</v>
      </c>
    </row>
    <row r="25106" spans="1:6" x14ac:dyDescent="0.2">
      <c r="A25106" t="s">
        <v>40174</v>
      </c>
      <c r="B25106" t="s">
        <v>40175</v>
      </c>
      <c r="C25106" t="s">
        <v>90</v>
      </c>
      <c r="D25106" t="s">
        <v>20</v>
      </c>
      <c r="E25106" t="s">
        <v>803</v>
      </c>
      <c r="F25106" s="2" t="str">
        <f>HYPERLINK("http://www.otzar.org/book.asp?601082","מערכי עירובין")</f>
        <v>מערכי עירובין</v>
      </c>
    </row>
    <row r="25107" spans="1:6" x14ac:dyDescent="0.2">
      <c r="A25107" t="s">
        <v>40176</v>
      </c>
      <c r="B25107" t="s">
        <v>29276</v>
      </c>
      <c r="C25107" t="s">
        <v>1535</v>
      </c>
      <c r="D25107" t="s">
        <v>40177</v>
      </c>
      <c r="E25107" t="s">
        <v>104</v>
      </c>
      <c r="F25107" s="2" t="str">
        <f>HYPERLINK("http://www.otzar.org/book.asp?197043","מערכי שמואל")</f>
        <v>מערכי שמואל</v>
      </c>
    </row>
    <row r="25108" spans="1:6" x14ac:dyDescent="0.2">
      <c r="A25108" t="s">
        <v>40178</v>
      </c>
      <c r="B25108" t="s">
        <v>28091</v>
      </c>
      <c r="D25108" t="s">
        <v>52</v>
      </c>
      <c r="E25108" t="s">
        <v>84</v>
      </c>
      <c r="F25108" s="2" t="str">
        <f>HYPERLINK("http://www.otzar.org/book.asp?180221","מערכי תבונה - 2 כר'")</f>
        <v>מערכי תבונה - 2 כר'</v>
      </c>
    </row>
    <row r="25109" spans="1:6" x14ac:dyDescent="0.2">
      <c r="A25109" t="s">
        <v>40179</v>
      </c>
      <c r="B25109" t="s">
        <v>40180</v>
      </c>
      <c r="C25109" t="s">
        <v>133</v>
      </c>
      <c r="D25109" t="s">
        <v>14</v>
      </c>
      <c r="E25109" t="s">
        <v>241</v>
      </c>
      <c r="F25109" s="2" t="str">
        <f>HYPERLINK("http://www.otzar.org/book.asp?173115","מערכת האלהות &lt;מהדורה חדשה&gt;")</f>
        <v>מערכת האלהות &lt;מהדורה חדשה&gt;</v>
      </c>
    </row>
    <row r="25110" spans="1:6" x14ac:dyDescent="0.2">
      <c r="A25110" t="s">
        <v>40181</v>
      </c>
      <c r="B25110" t="s">
        <v>40180</v>
      </c>
      <c r="C25110" t="s">
        <v>40182</v>
      </c>
      <c r="D25110" t="s">
        <v>3963</v>
      </c>
      <c r="F25110" s="2" t="str">
        <f>HYPERLINK("http://www.otzar.org/book.asp?170154","מערכת האלהות - 3 כר'")</f>
        <v>מערכת האלהות - 3 כר'</v>
      </c>
    </row>
    <row r="25111" spans="1:6" x14ac:dyDescent="0.2">
      <c r="A25111" t="s">
        <v>40183</v>
      </c>
      <c r="B25111" t="s">
        <v>3512</v>
      </c>
      <c r="C25111" t="s">
        <v>189</v>
      </c>
      <c r="D25111" t="s">
        <v>52</v>
      </c>
      <c r="E25111" t="s">
        <v>15</v>
      </c>
      <c r="F25111" s="2" t="str">
        <f>HYPERLINK("http://www.otzar.org/book.asp?52760","מערכת המשנה ברורה - 3 כר'")</f>
        <v>מערכת המשנה ברורה - 3 כר'</v>
      </c>
    </row>
    <row r="25112" spans="1:6" x14ac:dyDescent="0.2">
      <c r="A25112" t="s">
        <v>40184</v>
      </c>
      <c r="B25112" t="s">
        <v>40185</v>
      </c>
      <c r="C25112" t="s">
        <v>40186</v>
      </c>
      <c r="D25112" t="s">
        <v>6214</v>
      </c>
      <c r="F25112" s="2" t="str">
        <f>HYPERLINK("http://www.otzar.org/book.asp?614400","מערכת הפעלים")</f>
        <v>מערכת הפעלים</v>
      </c>
    </row>
    <row r="25113" spans="1:6" x14ac:dyDescent="0.2">
      <c r="A25113" t="s">
        <v>40187</v>
      </c>
      <c r="B25113" t="s">
        <v>25725</v>
      </c>
      <c r="C25113" t="s">
        <v>1169</v>
      </c>
      <c r="D25113" t="s">
        <v>118</v>
      </c>
      <c r="F25113" s="2" t="str">
        <f>HYPERLINK("http://www.otzar.org/book.asp?610667","מערכת הקנינים - 2 כר'")</f>
        <v>מערכת הקנינים - 2 כר'</v>
      </c>
    </row>
    <row r="25114" spans="1:6" x14ac:dyDescent="0.2">
      <c r="A25114" t="s">
        <v>40188</v>
      </c>
      <c r="B25114" t="s">
        <v>5234</v>
      </c>
      <c r="C25114" t="s">
        <v>51</v>
      </c>
      <c r="D25114" t="s">
        <v>14</v>
      </c>
      <c r="E25114" t="s">
        <v>15</v>
      </c>
      <c r="F25114" s="2" t="str">
        <f>HYPERLINK("http://www.otzar.org/book.asp?52329","מערכת השבת - ואלה שמות")</f>
        <v>מערכת השבת - ואלה שמות</v>
      </c>
    </row>
    <row r="25115" spans="1:6" x14ac:dyDescent="0.2">
      <c r="A25115" t="s">
        <v>40189</v>
      </c>
      <c r="B25115" t="s">
        <v>40190</v>
      </c>
      <c r="C25115" t="s">
        <v>176</v>
      </c>
      <c r="D25115" t="s">
        <v>52</v>
      </c>
      <c r="E25115" t="s">
        <v>172</v>
      </c>
      <c r="F25115" s="2" t="str">
        <f>HYPERLINK("http://www.otzar.org/book.asp?174590","מערכת השלחן - 4 כר'")</f>
        <v>מערכת השלחן - 4 כר'</v>
      </c>
    </row>
    <row r="25116" spans="1:6" x14ac:dyDescent="0.2">
      <c r="A25116" t="s">
        <v>40191</v>
      </c>
      <c r="B25116" t="s">
        <v>40192</v>
      </c>
      <c r="C25116" t="s">
        <v>985</v>
      </c>
      <c r="D25116" t="s">
        <v>14</v>
      </c>
      <c r="E25116" t="s">
        <v>144</v>
      </c>
      <c r="F25116" s="2" t="str">
        <f>HYPERLINK("http://www.otzar.org/book.asp?162288","מערכת התלמוד והפוסקים - 10 כר'")</f>
        <v>מערכת התלמוד והפוסקים - 10 כר'</v>
      </c>
    </row>
    <row r="25117" spans="1:6" x14ac:dyDescent="0.2">
      <c r="A25117" t="s">
        <v>40193</v>
      </c>
      <c r="B25117" t="s">
        <v>40194</v>
      </c>
      <c r="C25117" t="s">
        <v>313</v>
      </c>
      <c r="D25117" t="s">
        <v>412</v>
      </c>
      <c r="E25117" t="s">
        <v>202</v>
      </c>
      <c r="F25117" s="2" t="str">
        <f>HYPERLINK("http://www.otzar.org/book.asp?624659","מערכת יסוד איתן")</f>
        <v>מערכת יסוד איתן</v>
      </c>
    </row>
    <row r="25118" spans="1:6" x14ac:dyDescent="0.2">
      <c r="A25118" t="s">
        <v>40195</v>
      </c>
      <c r="B25118" t="s">
        <v>123</v>
      </c>
      <c r="C25118" t="s">
        <v>111</v>
      </c>
      <c r="D25118" t="s">
        <v>21</v>
      </c>
      <c r="F25118" s="2" t="str">
        <f>HYPERLINK("http://www.otzar.org/book.asp?622801","מערכת לחם - הלכות תערובות")</f>
        <v>מערכת לחם - הלכות תערובות</v>
      </c>
    </row>
    <row r="25119" spans="1:6" x14ac:dyDescent="0.2">
      <c r="A25119" t="s">
        <v>40196</v>
      </c>
      <c r="B25119" t="s">
        <v>33841</v>
      </c>
      <c r="C25119" t="s">
        <v>334</v>
      </c>
      <c r="D25119" t="s">
        <v>2201</v>
      </c>
      <c r="E25119" t="s">
        <v>241</v>
      </c>
      <c r="F25119" s="2" t="str">
        <f>HYPERLINK("http://www.otzar.org/book.asp?624944","מערכת פלך השתיקה ופלך ההודיה")</f>
        <v>מערכת פלך השתיקה ופלך ההודיה</v>
      </c>
    </row>
    <row r="25120" spans="1:6" x14ac:dyDescent="0.2">
      <c r="A25120" t="s">
        <v>40197</v>
      </c>
      <c r="B25120" t="s">
        <v>20556</v>
      </c>
      <c r="C25120" t="s">
        <v>558</v>
      </c>
      <c r="D25120" t="s">
        <v>28452</v>
      </c>
      <c r="E25120" t="s">
        <v>104</v>
      </c>
      <c r="F25120" s="2" t="str">
        <f>HYPERLINK("http://www.otzar.org/book.asp?188591","מערת עדלם")</f>
        <v>מערת עדלם</v>
      </c>
    </row>
    <row r="25121" spans="1:6" x14ac:dyDescent="0.2">
      <c r="A25121" t="s">
        <v>40198</v>
      </c>
      <c r="B25121" t="s">
        <v>40199</v>
      </c>
      <c r="C25121" t="s">
        <v>445</v>
      </c>
      <c r="D25121" t="s">
        <v>27</v>
      </c>
      <c r="E25121" t="s">
        <v>399</v>
      </c>
      <c r="F25121" s="2" t="str">
        <f>HYPERLINK("http://www.otzar.org/book.asp?6023","מערת שדה המכפלה - 2 כר'")</f>
        <v>מערת שדה המכפלה - 2 כר'</v>
      </c>
    </row>
    <row r="25122" spans="1:6" x14ac:dyDescent="0.2">
      <c r="A25122" t="s">
        <v>40200</v>
      </c>
      <c r="B25122" t="s">
        <v>40201</v>
      </c>
      <c r="C25122" t="s">
        <v>244</v>
      </c>
      <c r="D25122" t="s">
        <v>412</v>
      </c>
      <c r="E25122" t="s">
        <v>119</v>
      </c>
      <c r="F25122" s="2" t="str">
        <f>HYPERLINK("http://www.otzar.org/book.asp?601545","מעשה אב")</f>
        <v>מעשה אב</v>
      </c>
    </row>
    <row r="25123" spans="1:6" x14ac:dyDescent="0.2">
      <c r="A25123" t="s">
        <v>40202</v>
      </c>
      <c r="B25123" t="s">
        <v>40203</v>
      </c>
      <c r="C25123" t="s">
        <v>23</v>
      </c>
      <c r="D25123" t="s">
        <v>1180</v>
      </c>
      <c r="F25123" s="2" t="str">
        <f>HYPERLINK("http://www.otzar.org/book.asp?196259","מעשה אבות &lt;מהדורה חדשה&gt;")</f>
        <v>מעשה אבות &lt;מהדורה חדשה&gt;</v>
      </c>
    </row>
    <row r="25124" spans="1:6" x14ac:dyDescent="0.2">
      <c r="A25124" t="s">
        <v>40204</v>
      </c>
      <c r="B25124" t="s">
        <v>1066</v>
      </c>
      <c r="C25124" t="s">
        <v>767</v>
      </c>
      <c r="D25124" t="s">
        <v>412</v>
      </c>
      <c r="E25124" t="s">
        <v>4333</v>
      </c>
      <c r="F25124" s="2" t="str">
        <f>HYPERLINK("http://www.otzar.org/book.asp?85577","מעשה אבות סימן לבנים - 6 כר'")</f>
        <v>מעשה אבות סימן לבנים - 6 כר'</v>
      </c>
    </row>
    <row r="25125" spans="1:6" x14ac:dyDescent="0.2">
      <c r="A25125" t="s">
        <v>40205</v>
      </c>
      <c r="B25125" t="s">
        <v>4986</v>
      </c>
      <c r="C25125" t="s">
        <v>13</v>
      </c>
      <c r="D25125" t="s">
        <v>11098</v>
      </c>
      <c r="E25125" t="s">
        <v>84</v>
      </c>
      <c r="F25125" s="2" t="str">
        <f>HYPERLINK("http://www.otzar.org/book.asp?198154","מעשה אבות")</f>
        <v>מעשה אבות</v>
      </c>
    </row>
    <row r="25126" spans="1:6" x14ac:dyDescent="0.2">
      <c r="A25126" t="s">
        <v>40206</v>
      </c>
      <c r="B25126" t="s">
        <v>40207</v>
      </c>
      <c r="C25126" t="s">
        <v>129</v>
      </c>
      <c r="D25126" t="s">
        <v>14</v>
      </c>
      <c r="E25126" t="s">
        <v>579</v>
      </c>
      <c r="F25126" s="2" t="str">
        <f>HYPERLINK("http://www.otzar.org/book.asp?156914","מעשה אבות - בראשית")</f>
        <v>מעשה אבות - בראשית</v>
      </c>
    </row>
    <row r="25127" spans="1:6" x14ac:dyDescent="0.2">
      <c r="A25127" t="s">
        <v>40205</v>
      </c>
      <c r="B25127" t="s">
        <v>40208</v>
      </c>
      <c r="C25127" t="s">
        <v>20</v>
      </c>
      <c r="D25127" t="s">
        <v>90</v>
      </c>
      <c r="E25127" t="s">
        <v>84</v>
      </c>
      <c r="F25127" s="2" t="str">
        <f>HYPERLINK("http://www.otzar.org/book.asp?196451","מעשה אבות")</f>
        <v>מעשה אבות</v>
      </c>
    </row>
    <row r="25128" spans="1:6" x14ac:dyDescent="0.2">
      <c r="A25128" t="s">
        <v>40209</v>
      </c>
      <c r="B25128" t="s">
        <v>338</v>
      </c>
      <c r="C25128" t="s">
        <v>133</v>
      </c>
      <c r="D25128" t="s">
        <v>14</v>
      </c>
      <c r="E25128" t="s">
        <v>84</v>
      </c>
      <c r="F25128" s="2" t="str">
        <f>HYPERLINK("http://www.otzar.org/book.asp?182462","מעשה אבות - א")</f>
        <v>מעשה אבות - א</v>
      </c>
    </row>
    <row r="25129" spans="1:6" x14ac:dyDescent="0.2">
      <c r="A25129" t="s">
        <v>40205</v>
      </c>
      <c r="B25129" t="s">
        <v>697</v>
      </c>
      <c r="C25129" t="s">
        <v>8</v>
      </c>
      <c r="D25129" t="s">
        <v>3293</v>
      </c>
      <c r="E25129" t="s">
        <v>26276</v>
      </c>
      <c r="F25129" s="2" t="str">
        <f>HYPERLINK("http://www.otzar.org/book.asp?51643","מעשה אבות")</f>
        <v>מעשה אבות</v>
      </c>
    </row>
    <row r="25130" spans="1:6" x14ac:dyDescent="0.2">
      <c r="A25130" t="s">
        <v>40205</v>
      </c>
      <c r="B25130" t="s">
        <v>40210</v>
      </c>
      <c r="C25130" t="s">
        <v>51</v>
      </c>
      <c r="D25130" t="s">
        <v>412</v>
      </c>
      <c r="E25130" t="s">
        <v>140</v>
      </c>
      <c r="F25130" s="2" t="str">
        <f>HYPERLINK("http://www.otzar.org/book.asp?172117","מעשה אבות")</f>
        <v>מעשה אבות</v>
      </c>
    </row>
    <row r="25131" spans="1:6" x14ac:dyDescent="0.2">
      <c r="A25131" t="s">
        <v>40211</v>
      </c>
      <c r="B25131" t="s">
        <v>40212</v>
      </c>
      <c r="C25131" t="s">
        <v>133</v>
      </c>
      <c r="D25131" t="s">
        <v>21</v>
      </c>
      <c r="E25131" t="s">
        <v>84</v>
      </c>
      <c r="F25131" s="2" t="str">
        <f>HYPERLINK("http://www.otzar.org/book.asp?193005","מעשה אבות - על מסכת אבות")</f>
        <v>מעשה אבות - על מסכת אבות</v>
      </c>
    </row>
    <row r="25132" spans="1:6" x14ac:dyDescent="0.2">
      <c r="A25132" t="s">
        <v>40205</v>
      </c>
      <c r="B25132" t="s">
        <v>40213</v>
      </c>
      <c r="C25132" t="s">
        <v>11298</v>
      </c>
      <c r="D25132" t="s">
        <v>544</v>
      </c>
      <c r="E25132" t="s">
        <v>84</v>
      </c>
      <c r="F25132" s="2" t="str">
        <f>HYPERLINK("http://www.otzar.org/book.asp?51547","מעשה אבות")</f>
        <v>מעשה אבות</v>
      </c>
    </row>
    <row r="25133" spans="1:6" x14ac:dyDescent="0.2">
      <c r="A25133" t="s">
        <v>40214</v>
      </c>
      <c r="B25133" t="s">
        <v>40215</v>
      </c>
      <c r="C25133" t="s">
        <v>20</v>
      </c>
      <c r="D25133" t="s">
        <v>90</v>
      </c>
      <c r="E25133" t="s">
        <v>15425</v>
      </c>
      <c r="F25133" s="2" t="str">
        <f>HYPERLINK("http://www.otzar.org/book.asp?144529","מעשה אבות - 4 כר'")</f>
        <v>מעשה אבות - 4 כר'</v>
      </c>
    </row>
    <row r="25134" spans="1:6" x14ac:dyDescent="0.2">
      <c r="A25134" t="s">
        <v>40205</v>
      </c>
      <c r="B25134" t="s">
        <v>40203</v>
      </c>
      <c r="C25134" t="s">
        <v>40216</v>
      </c>
      <c r="D25134" t="s">
        <v>6785</v>
      </c>
      <c r="E25134" t="s">
        <v>84</v>
      </c>
      <c r="F25134" s="2" t="str">
        <f>HYPERLINK("http://www.otzar.org/book.asp?101895","מעשה אבות")</f>
        <v>מעשה אבות</v>
      </c>
    </row>
    <row r="25135" spans="1:6" x14ac:dyDescent="0.2">
      <c r="A25135" t="s">
        <v>40205</v>
      </c>
      <c r="B25135" t="s">
        <v>7620</v>
      </c>
      <c r="C25135" t="s">
        <v>176</v>
      </c>
      <c r="D25135" t="s">
        <v>52</v>
      </c>
      <c r="E25135" t="s">
        <v>84</v>
      </c>
      <c r="F25135" s="2" t="str">
        <f>HYPERLINK("http://www.otzar.org/book.asp?23161","מעשה אבות")</f>
        <v>מעשה אבות</v>
      </c>
    </row>
    <row r="25136" spans="1:6" x14ac:dyDescent="0.2">
      <c r="A25136" t="s">
        <v>40205</v>
      </c>
      <c r="B25136" t="s">
        <v>10164</v>
      </c>
      <c r="C25136" t="s">
        <v>124</v>
      </c>
      <c r="D25136" t="s">
        <v>14</v>
      </c>
      <c r="E25136" t="s">
        <v>40217</v>
      </c>
      <c r="F25136" s="2" t="str">
        <f>HYPERLINK("http://www.otzar.org/book.asp?14909","מעשה אבות")</f>
        <v>מעשה אבות</v>
      </c>
    </row>
    <row r="25137" spans="1:6" x14ac:dyDescent="0.2">
      <c r="A25137" t="s">
        <v>40218</v>
      </c>
      <c r="B25137" t="s">
        <v>16897</v>
      </c>
      <c r="C25137" t="s">
        <v>1721</v>
      </c>
      <c r="D25137" t="s">
        <v>157</v>
      </c>
      <c r="E25137" t="s">
        <v>154</v>
      </c>
      <c r="F25137" s="2" t="str">
        <f>HYPERLINK("http://www.otzar.org/book.asp?20239","מעשה אברהם")</f>
        <v>מעשה אברהם</v>
      </c>
    </row>
    <row r="25138" spans="1:6" x14ac:dyDescent="0.2">
      <c r="A25138" t="s">
        <v>40219</v>
      </c>
      <c r="B25138" t="s">
        <v>40220</v>
      </c>
      <c r="C25138" t="s">
        <v>533</v>
      </c>
      <c r="D25138" t="s">
        <v>14</v>
      </c>
      <c r="E25138" t="s">
        <v>29187</v>
      </c>
      <c r="F25138" s="2" t="str">
        <f>HYPERLINK("http://www.otzar.org/book.asp?170984","מעשה אורג")</f>
        <v>מעשה אורג</v>
      </c>
    </row>
    <row r="25139" spans="1:6" x14ac:dyDescent="0.2">
      <c r="A25139" t="s">
        <v>40219</v>
      </c>
      <c r="B25139" t="s">
        <v>40221</v>
      </c>
      <c r="C25139" t="s">
        <v>775</v>
      </c>
      <c r="D25139" t="s">
        <v>1076</v>
      </c>
      <c r="E25139" t="s">
        <v>84</v>
      </c>
      <c r="F25139" s="2" t="str">
        <f>HYPERLINK("http://www.otzar.org/book.asp?158621","מעשה אורג")</f>
        <v>מעשה אורג</v>
      </c>
    </row>
    <row r="25140" spans="1:6" x14ac:dyDescent="0.2">
      <c r="A25140" t="s">
        <v>40222</v>
      </c>
      <c r="B25140" t="s">
        <v>5358</v>
      </c>
      <c r="C25140" t="s">
        <v>5903</v>
      </c>
      <c r="D25140" t="s">
        <v>27</v>
      </c>
      <c r="E25140" t="s">
        <v>930</v>
      </c>
      <c r="F25140" s="2" t="str">
        <f>HYPERLINK("http://www.otzar.org/book.asp?101091","מעשה אי""ש")</f>
        <v>מעשה אי"ש</v>
      </c>
    </row>
    <row r="25141" spans="1:6" x14ac:dyDescent="0.2">
      <c r="A25141" t="s">
        <v>40223</v>
      </c>
      <c r="B25141" t="s">
        <v>338</v>
      </c>
      <c r="C25141" t="s">
        <v>411</v>
      </c>
      <c r="D25141" t="s">
        <v>14</v>
      </c>
      <c r="E25141" t="s">
        <v>158</v>
      </c>
      <c r="F25141" s="2" t="str">
        <f>HYPERLINK("http://www.otzar.org/book.asp?182463","מעשה אילפס")</f>
        <v>מעשה אילפס</v>
      </c>
    </row>
    <row r="25142" spans="1:6" x14ac:dyDescent="0.2">
      <c r="A25142" t="s">
        <v>40224</v>
      </c>
      <c r="B25142" t="s">
        <v>23819</v>
      </c>
      <c r="C25142" t="s">
        <v>466</v>
      </c>
      <c r="D25142" t="s">
        <v>52</v>
      </c>
      <c r="E25142" t="s">
        <v>119</v>
      </c>
      <c r="F25142" s="2" t="str">
        <f>HYPERLINK("http://www.otzar.org/book.asp?144324","מעשה איש &lt;תולדות החזון איש&gt; - 7 כר'")</f>
        <v>מעשה איש &lt;תולדות החזון איש&gt; - 7 כר'</v>
      </c>
    </row>
    <row r="25143" spans="1:6" x14ac:dyDescent="0.2">
      <c r="A25143" t="s">
        <v>40225</v>
      </c>
      <c r="B25143" t="s">
        <v>40226</v>
      </c>
      <c r="C25143" t="s">
        <v>71</v>
      </c>
      <c r="D25143" t="s">
        <v>1643</v>
      </c>
      <c r="E25143" t="s">
        <v>15</v>
      </c>
      <c r="F25143" s="2" t="str">
        <f>HYPERLINK("http://www.otzar.org/book.asp?153811","מעשה איש - 2 כר'")</f>
        <v>מעשה איש - 2 כר'</v>
      </c>
    </row>
    <row r="25144" spans="1:6" x14ac:dyDescent="0.2">
      <c r="A25144" t="s">
        <v>40227</v>
      </c>
      <c r="B25144" t="s">
        <v>40228</v>
      </c>
      <c r="C25144" t="s">
        <v>37</v>
      </c>
      <c r="D25144" t="s">
        <v>152</v>
      </c>
      <c r="F25144" s="2" t="str">
        <f>HYPERLINK("http://www.otzar.org/book.asp?614394","מעשה איש")</f>
        <v>מעשה איש</v>
      </c>
    </row>
    <row r="25145" spans="1:6" x14ac:dyDescent="0.2">
      <c r="A25145" t="s">
        <v>40229</v>
      </c>
      <c r="B25145" t="s">
        <v>1112</v>
      </c>
      <c r="C25145" t="s">
        <v>576</v>
      </c>
      <c r="D25145" t="s">
        <v>691</v>
      </c>
      <c r="E25145" t="s">
        <v>213</v>
      </c>
      <c r="F25145" s="2" t="str">
        <f>HYPERLINK("http://www.otzar.org/book.asp?20240","מעשה אליהו")</f>
        <v>מעשה אליהו</v>
      </c>
    </row>
    <row r="25146" spans="1:6" x14ac:dyDescent="0.2">
      <c r="A25146" t="s">
        <v>40229</v>
      </c>
      <c r="B25146" t="s">
        <v>19650</v>
      </c>
      <c r="C25146" t="s">
        <v>619</v>
      </c>
      <c r="D25146" t="s">
        <v>27</v>
      </c>
      <c r="E25146" t="s">
        <v>15</v>
      </c>
      <c r="F25146" s="2" t="str">
        <f>HYPERLINK("http://www.otzar.org/book.asp?53687","מעשה אליהו")</f>
        <v>מעשה אליהו</v>
      </c>
    </row>
    <row r="25147" spans="1:6" x14ac:dyDescent="0.2">
      <c r="A25147" t="s">
        <v>40230</v>
      </c>
      <c r="B25147" t="s">
        <v>3105</v>
      </c>
      <c r="C25147" t="s">
        <v>908</v>
      </c>
      <c r="D25147" t="s">
        <v>14</v>
      </c>
      <c r="E25147" t="s">
        <v>213</v>
      </c>
      <c r="F25147" s="2" t="str">
        <f>HYPERLINK("http://www.otzar.org/book.asp?148687","מעשה אלפס - 6 כר'")</f>
        <v>מעשה אלפס - 6 כר'</v>
      </c>
    </row>
    <row r="25148" spans="1:6" x14ac:dyDescent="0.2">
      <c r="A25148" t="s">
        <v>40231</v>
      </c>
      <c r="B25148" t="s">
        <v>40232</v>
      </c>
      <c r="C25148" t="s">
        <v>950</v>
      </c>
      <c r="D25148" t="s">
        <v>535</v>
      </c>
      <c r="E25148" t="s">
        <v>104</v>
      </c>
      <c r="F25148" s="2" t="str">
        <f>HYPERLINK("http://www.otzar.org/book.asp?100625","מעשה אפד")</f>
        <v>מעשה אפד</v>
      </c>
    </row>
    <row r="25149" spans="1:6" x14ac:dyDescent="0.2">
      <c r="A25149" t="s">
        <v>40233</v>
      </c>
      <c r="B25149" t="s">
        <v>9898</v>
      </c>
      <c r="C25149" t="s">
        <v>103</v>
      </c>
      <c r="D25149" t="s">
        <v>7277</v>
      </c>
      <c r="E25149" t="s">
        <v>588</v>
      </c>
      <c r="F25149" s="2" t="str">
        <f>HYPERLINK("http://www.otzar.org/book.asp?64204","מעשה ארג - 2 כר'")</f>
        <v>מעשה ארג - 2 כר'</v>
      </c>
    </row>
    <row r="25150" spans="1:6" x14ac:dyDescent="0.2">
      <c r="A25150" t="s">
        <v>40234</v>
      </c>
      <c r="B25150" t="s">
        <v>40235</v>
      </c>
      <c r="C25150" t="s">
        <v>624</v>
      </c>
      <c r="D25150" t="s">
        <v>80</v>
      </c>
      <c r="E25150" t="s">
        <v>2071</v>
      </c>
      <c r="F25150" s="2" t="str">
        <f>HYPERLINK("http://www.otzar.org/book.asp?158095","מעשה ארג")</f>
        <v>מעשה ארג</v>
      </c>
    </row>
    <row r="25151" spans="1:6" x14ac:dyDescent="0.2">
      <c r="A25151" t="s">
        <v>40236</v>
      </c>
      <c r="B25151" t="s">
        <v>40237</v>
      </c>
      <c r="C25151" t="s">
        <v>946</v>
      </c>
      <c r="D25151" t="s">
        <v>3592</v>
      </c>
      <c r="E25151" t="s">
        <v>733</v>
      </c>
      <c r="F25151" s="2" t="str">
        <f>HYPERLINK("http://www.otzar.org/book.asp?13448","מעשה בוסתנאי באערבי")</f>
        <v>מעשה בוסתנאי באערבי</v>
      </c>
    </row>
    <row r="25152" spans="1:6" x14ac:dyDescent="0.2">
      <c r="A25152" t="s">
        <v>40237</v>
      </c>
      <c r="B25152" t="s">
        <v>40237</v>
      </c>
      <c r="C25152" t="s">
        <v>20</v>
      </c>
      <c r="D25152" t="s">
        <v>40238</v>
      </c>
      <c r="E25152" t="s">
        <v>733</v>
      </c>
      <c r="F25152" s="2" t="str">
        <f>HYPERLINK("http://www.otzar.org/book.asp?8796","מעשה בוסתנאי")</f>
        <v>מעשה בוסתנאי</v>
      </c>
    </row>
    <row r="25153" spans="1:6" x14ac:dyDescent="0.2">
      <c r="A25153" t="s">
        <v>40239</v>
      </c>
      <c r="B25153" t="s">
        <v>37187</v>
      </c>
      <c r="C25153" t="s">
        <v>114</v>
      </c>
      <c r="D25153" t="s">
        <v>14</v>
      </c>
      <c r="E25153" t="s">
        <v>10</v>
      </c>
      <c r="F25153" s="2" t="str">
        <f>HYPERLINK("http://www.otzar.org/book.asp?168545","מעשה בית דין - א")</f>
        <v>מעשה בית דין - א</v>
      </c>
    </row>
    <row r="25154" spans="1:6" x14ac:dyDescent="0.2">
      <c r="A25154" t="s">
        <v>40240</v>
      </c>
      <c r="B25154" t="s">
        <v>40241</v>
      </c>
      <c r="C25154" t="s">
        <v>989</v>
      </c>
      <c r="D25154" t="s">
        <v>14</v>
      </c>
      <c r="E25154" t="s">
        <v>21762</v>
      </c>
      <c r="F25154" s="2" t="str">
        <f>HYPERLINK("http://www.otzar.org/book.asp?23723","מעשה בצלאל")</f>
        <v>מעשה בצלאל</v>
      </c>
    </row>
    <row r="25155" spans="1:6" x14ac:dyDescent="0.2">
      <c r="A25155" t="s">
        <v>40242</v>
      </c>
      <c r="B25155" t="s">
        <v>1923</v>
      </c>
      <c r="C25155" t="s">
        <v>343</v>
      </c>
      <c r="D25155" t="s">
        <v>744</v>
      </c>
      <c r="E25155" t="s">
        <v>4172</v>
      </c>
      <c r="F25155" s="2" t="str">
        <f>HYPERLINK("http://www.otzar.org/book.asp?8299","מעשה בר' אלעזר")</f>
        <v>מעשה בר' אלעזר</v>
      </c>
    </row>
    <row r="25156" spans="1:6" x14ac:dyDescent="0.2">
      <c r="A25156" t="s">
        <v>40243</v>
      </c>
      <c r="B25156" t="s">
        <v>206</v>
      </c>
      <c r="F25156" s="2" t="str">
        <f>HYPERLINK("http://www.otzar.org/book.asp?629925","מעשה בראשית בשלשה")</f>
        <v>מעשה בראשית בשלשה</v>
      </c>
    </row>
    <row r="25157" spans="1:6" x14ac:dyDescent="0.2">
      <c r="A25157" t="s">
        <v>40244</v>
      </c>
      <c r="B25157" t="s">
        <v>40245</v>
      </c>
      <c r="C25157" t="s">
        <v>581</v>
      </c>
      <c r="D25157" t="s">
        <v>283</v>
      </c>
      <c r="E25157" t="s">
        <v>4104</v>
      </c>
      <c r="F25157" s="2" t="str">
        <f>HYPERLINK("http://www.otzar.org/book.asp?101389","מעשה בראשית")</f>
        <v>מעשה בראשית</v>
      </c>
    </row>
    <row r="25158" spans="1:6" x14ac:dyDescent="0.2">
      <c r="A25158" t="s">
        <v>40246</v>
      </c>
      <c r="B25158" t="s">
        <v>40247</v>
      </c>
      <c r="C25158" t="s">
        <v>168</v>
      </c>
      <c r="D25158" t="s">
        <v>14</v>
      </c>
      <c r="E25158" t="s">
        <v>674</v>
      </c>
      <c r="F25158" s="2" t="str">
        <f>HYPERLINK("http://www.otzar.org/book.asp?152314","מעשה בראשית - 4 כר'")</f>
        <v>מעשה בראשית - 4 כר'</v>
      </c>
    </row>
    <row r="25159" spans="1:6" x14ac:dyDescent="0.2">
      <c r="A25159" t="s">
        <v>40244</v>
      </c>
      <c r="B25159" t="s">
        <v>40248</v>
      </c>
      <c r="C25159" t="s">
        <v>8</v>
      </c>
      <c r="D25159" t="s">
        <v>986</v>
      </c>
      <c r="E25159" t="s">
        <v>104</v>
      </c>
      <c r="F25159" s="2" t="str">
        <f>HYPERLINK("http://www.otzar.org/book.asp?51644","מעשה בראשית")</f>
        <v>מעשה בראשית</v>
      </c>
    </row>
    <row r="25160" spans="1:6" x14ac:dyDescent="0.2">
      <c r="A25160" t="s">
        <v>40249</v>
      </c>
      <c r="B25160" t="s">
        <v>40250</v>
      </c>
      <c r="C25160" t="s">
        <v>23</v>
      </c>
      <c r="D25160" t="s">
        <v>14</v>
      </c>
      <c r="F25160" s="2" t="str">
        <f>HYPERLINK("http://www.otzar.org/book.asp?182474","מעשה ברבי עקיבא")</f>
        <v>מעשה ברבי עקיבא</v>
      </c>
    </row>
    <row r="25161" spans="1:6" x14ac:dyDescent="0.2">
      <c r="A25161" t="s">
        <v>40251</v>
      </c>
      <c r="B25161" t="s">
        <v>24140</v>
      </c>
      <c r="C25161" t="s">
        <v>649</v>
      </c>
      <c r="D25161" t="s">
        <v>280</v>
      </c>
      <c r="E25161" t="s">
        <v>104</v>
      </c>
      <c r="F25161" s="2" t="str">
        <f>HYPERLINK("http://www.otzar.org/book.asp?188457","מעשה בשבעה קבצנים")</f>
        <v>מעשה בשבעה קבצנים</v>
      </c>
    </row>
    <row r="25162" spans="1:6" x14ac:dyDescent="0.2">
      <c r="A25162" t="s">
        <v>40252</v>
      </c>
      <c r="B25162" t="s">
        <v>40253</v>
      </c>
      <c r="C25162" t="s">
        <v>4144</v>
      </c>
      <c r="D25162" t="s">
        <v>267</v>
      </c>
      <c r="E25162" t="s">
        <v>733</v>
      </c>
      <c r="F25162" s="2" t="str">
        <f>HYPERLINK("http://www.otzar.org/book.asp?146858","מעשה גבורות ד'")</f>
        <v>מעשה גבורות ד'</v>
      </c>
    </row>
    <row r="25163" spans="1:6" x14ac:dyDescent="0.2">
      <c r="A25163" t="s">
        <v>40254</v>
      </c>
      <c r="B25163" t="s">
        <v>22343</v>
      </c>
      <c r="C25163" t="s">
        <v>2289</v>
      </c>
      <c r="D25163" t="s">
        <v>40255</v>
      </c>
      <c r="F25163" s="2" t="str">
        <f>HYPERLINK("http://www.otzar.org/book.asp?170338","מעשה גדול ונורא")</f>
        <v>מעשה גדול ונורא</v>
      </c>
    </row>
    <row r="25164" spans="1:6" x14ac:dyDescent="0.2">
      <c r="A25164" t="s">
        <v>40256</v>
      </c>
      <c r="C25164" t="s">
        <v>1659</v>
      </c>
      <c r="D25164" t="s">
        <v>1722</v>
      </c>
      <c r="E25164" t="s">
        <v>399</v>
      </c>
      <c r="F25164" s="2" t="str">
        <f>HYPERLINK("http://www.otzar.org/book.asp?168772","מעשה ה'")</f>
        <v>מעשה ה'</v>
      </c>
    </row>
    <row r="25165" spans="1:6" x14ac:dyDescent="0.2">
      <c r="A25165" t="s">
        <v>40257</v>
      </c>
      <c r="B25165" t="s">
        <v>40258</v>
      </c>
      <c r="C25165" t="s">
        <v>445</v>
      </c>
      <c r="D25165" t="s">
        <v>280</v>
      </c>
      <c r="E25165" t="s">
        <v>40259</v>
      </c>
      <c r="F25165" s="2" t="str">
        <f>HYPERLINK("http://www.otzar.org/book.asp?12236","מעשה הגאונים")</f>
        <v>מעשה הגאונים</v>
      </c>
    </row>
    <row r="25166" spans="1:6" x14ac:dyDescent="0.2">
      <c r="A25166" t="s">
        <v>40260</v>
      </c>
      <c r="B25166" t="s">
        <v>40261</v>
      </c>
      <c r="C25166" t="s">
        <v>946</v>
      </c>
      <c r="D25166" t="s">
        <v>283</v>
      </c>
      <c r="E25166" t="s">
        <v>1256</v>
      </c>
      <c r="F25166" s="2" t="str">
        <f>HYPERLINK("http://www.otzar.org/book.asp?51549","מעשה הגדולים החדש")</f>
        <v>מעשה הגדולים החדש</v>
      </c>
    </row>
    <row r="25167" spans="1:6" x14ac:dyDescent="0.2">
      <c r="A25167" t="s">
        <v>40262</v>
      </c>
      <c r="B25167" t="s">
        <v>40263</v>
      </c>
      <c r="C25167" t="s">
        <v>888</v>
      </c>
      <c r="D25167" t="s">
        <v>17587</v>
      </c>
      <c r="E25167" t="s">
        <v>144</v>
      </c>
      <c r="F25167" s="2" t="str">
        <f>HYPERLINK("http://www.otzar.org/book.asp?148827","מעשה הגדולים עם מילין דרבנן")</f>
        <v>מעשה הגדולים עם מילין דרבנן</v>
      </c>
    </row>
    <row r="25168" spans="1:6" x14ac:dyDescent="0.2">
      <c r="A25168" t="s">
        <v>40264</v>
      </c>
      <c r="B25168" t="s">
        <v>40265</v>
      </c>
      <c r="C25168" t="s">
        <v>332</v>
      </c>
      <c r="D25168" t="s">
        <v>14</v>
      </c>
      <c r="E25168" t="s">
        <v>158</v>
      </c>
      <c r="F25168" s="2" t="str">
        <f>HYPERLINK("http://www.otzar.org/book.asp?182271","מעשה הגדולים - 5 כר'")</f>
        <v>מעשה הגדולים - 5 כר'</v>
      </c>
    </row>
    <row r="25169" spans="1:6" x14ac:dyDescent="0.2">
      <c r="A25169" t="s">
        <v>40263</v>
      </c>
      <c r="B25169" t="s">
        <v>40263</v>
      </c>
      <c r="C25169" t="s">
        <v>180</v>
      </c>
      <c r="D25169" t="s">
        <v>14</v>
      </c>
      <c r="E25169" t="s">
        <v>733</v>
      </c>
      <c r="F25169" s="2" t="str">
        <f>HYPERLINK("http://www.otzar.org/book.asp?162440","מעשה הגדולים")</f>
        <v>מעשה הגדולים</v>
      </c>
    </row>
    <row r="25170" spans="1:6" x14ac:dyDescent="0.2">
      <c r="A25170" t="s">
        <v>40266</v>
      </c>
      <c r="B25170" t="s">
        <v>40267</v>
      </c>
      <c r="C25170" t="s">
        <v>68</v>
      </c>
      <c r="D25170" t="s">
        <v>14</v>
      </c>
      <c r="E25170" t="s">
        <v>658</v>
      </c>
      <c r="F25170" s="2" t="str">
        <f>HYPERLINK("http://www.otzar.org/book.asp?166009","מעשה הכתב")</f>
        <v>מעשה הכתב</v>
      </c>
    </row>
    <row r="25171" spans="1:6" x14ac:dyDescent="0.2">
      <c r="A25171" t="s">
        <v>40268</v>
      </c>
      <c r="B25171" t="s">
        <v>40269</v>
      </c>
      <c r="C25171" t="s">
        <v>503</v>
      </c>
      <c r="D25171" t="s">
        <v>27</v>
      </c>
      <c r="E25171" t="s">
        <v>3083</v>
      </c>
      <c r="F25171" s="2" t="str">
        <f>HYPERLINK("http://www.otzar.org/book.asp?159548","מעשה הפת בידאדראן")</f>
        <v>מעשה הפת בידאדראן</v>
      </c>
    </row>
    <row r="25172" spans="1:6" x14ac:dyDescent="0.2">
      <c r="A25172" t="s">
        <v>40270</v>
      </c>
      <c r="B25172" t="s">
        <v>40271</v>
      </c>
      <c r="C25172" t="s">
        <v>1047</v>
      </c>
      <c r="D25172" t="s">
        <v>27</v>
      </c>
      <c r="E25172" t="s">
        <v>733</v>
      </c>
      <c r="F25172" s="2" t="str">
        <f>HYPERLINK("http://www.otzar.org/book.asp?16040","מעשה הצדיקים")</f>
        <v>מעשה הצדיקים</v>
      </c>
    </row>
    <row r="25173" spans="1:6" x14ac:dyDescent="0.2">
      <c r="A25173" t="s">
        <v>40272</v>
      </c>
      <c r="B25173" t="s">
        <v>3599</v>
      </c>
      <c r="C25173" t="s">
        <v>411</v>
      </c>
      <c r="D25173" t="s">
        <v>14</v>
      </c>
      <c r="E25173" t="s">
        <v>148</v>
      </c>
      <c r="F25173" s="2" t="str">
        <f>HYPERLINK("http://www.otzar.org/book.asp?167627","מעשה הצדקה")</f>
        <v>מעשה הצדקה</v>
      </c>
    </row>
    <row r="25174" spans="1:6" x14ac:dyDescent="0.2">
      <c r="A25174" t="s">
        <v>40272</v>
      </c>
      <c r="B25174" t="s">
        <v>40273</v>
      </c>
      <c r="C25174" t="s">
        <v>603</v>
      </c>
      <c r="D25174" t="s">
        <v>855</v>
      </c>
      <c r="E25174" t="s">
        <v>3261</v>
      </c>
      <c r="F25174" s="2" t="str">
        <f>HYPERLINK("http://www.otzar.org/book.asp?103539","מעשה הצדקה")</f>
        <v>מעשה הצדקה</v>
      </c>
    </row>
    <row r="25175" spans="1:6" x14ac:dyDescent="0.2">
      <c r="A25175" t="s">
        <v>40272</v>
      </c>
      <c r="B25175" t="s">
        <v>24920</v>
      </c>
      <c r="C25175" t="s">
        <v>189</v>
      </c>
      <c r="D25175" t="s">
        <v>14</v>
      </c>
      <c r="E25175" t="s">
        <v>15</v>
      </c>
      <c r="F25175" s="2" t="str">
        <f>HYPERLINK("http://www.otzar.org/book.asp?25970","מעשה הצדקה")</f>
        <v>מעשה הצדקה</v>
      </c>
    </row>
    <row r="25176" spans="1:6" x14ac:dyDescent="0.2">
      <c r="A25176" t="s">
        <v>40274</v>
      </c>
      <c r="B25176" t="s">
        <v>40275</v>
      </c>
      <c r="C25176" t="s">
        <v>13</v>
      </c>
      <c r="D25176" t="s">
        <v>657</v>
      </c>
      <c r="E25176" t="s">
        <v>104</v>
      </c>
      <c r="F25176" s="2" t="str">
        <f>HYPERLINK("http://www.otzar.org/book.asp?147572","מעשה הקרבנות - 2 כר'")</f>
        <v>מעשה הקרבנות - 2 כר'</v>
      </c>
    </row>
    <row r="25177" spans="1:6" x14ac:dyDescent="0.2">
      <c r="A25177" t="s">
        <v>40276</v>
      </c>
      <c r="B25177" t="s">
        <v>40277</v>
      </c>
      <c r="C25177" t="s">
        <v>13915</v>
      </c>
      <c r="D25177" t="s">
        <v>216</v>
      </c>
      <c r="E25177" t="s">
        <v>104</v>
      </c>
      <c r="F25177" s="2" t="str">
        <f>HYPERLINK("http://www.otzar.org/book.asp?173656","מעשה הרב")</f>
        <v>מעשה הרב</v>
      </c>
    </row>
    <row r="25178" spans="1:6" x14ac:dyDescent="0.2">
      <c r="A25178" t="s">
        <v>40278</v>
      </c>
      <c r="B25178" t="s">
        <v>40279</v>
      </c>
      <c r="C25178" t="s">
        <v>68</v>
      </c>
      <c r="D25178" t="s">
        <v>657</v>
      </c>
      <c r="E25178" t="s">
        <v>36507</v>
      </c>
      <c r="F25178" s="2" t="str">
        <f>HYPERLINK("http://www.otzar.org/book.asp?153012","מעשה השבת")</f>
        <v>מעשה השבת</v>
      </c>
    </row>
    <row r="25179" spans="1:6" x14ac:dyDescent="0.2">
      <c r="A25179" t="s">
        <v>40280</v>
      </c>
      <c r="B25179" t="s">
        <v>40281</v>
      </c>
      <c r="C25179" t="s">
        <v>133</v>
      </c>
      <c r="D25179" t="s">
        <v>367</v>
      </c>
      <c r="E25179" t="s">
        <v>130</v>
      </c>
      <c r="F25179" s="2" t="str">
        <f>HYPERLINK("http://www.otzar.org/book.asp?181660","מעשה השבת - 2 כר'")</f>
        <v>מעשה השבת - 2 כר'</v>
      </c>
    </row>
    <row r="25180" spans="1:6" x14ac:dyDescent="0.2">
      <c r="A25180" t="s">
        <v>40282</v>
      </c>
      <c r="B25180" t="s">
        <v>206</v>
      </c>
      <c r="C25180" t="s">
        <v>151</v>
      </c>
      <c r="D25180" t="s">
        <v>90</v>
      </c>
      <c r="E25180" t="s">
        <v>241</v>
      </c>
      <c r="F25180" s="2" t="str">
        <f>HYPERLINK("http://www.otzar.org/book.asp?622217","מעשה התשובה")</f>
        <v>מעשה התשובה</v>
      </c>
    </row>
    <row r="25181" spans="1:6" x14ac:dyDescent="0.2">
      <c r="A25181" t="s">
        <v>40283</v>
      </c>
      <c r="B25181" t="s">
        <v>5753</v>
      </c>
      <c r="C25181" t="s">
        <v>332</v>
      </c>
      <c r="D25181" t="s">
        <v>14</v>
      </c>
      <c r="E25181" t="s">
        <v>15</v>
      </c>
      <c r="F25181" s="2" t="str">
        <f>HYPERLINK("http://www.otzar.org/book.asp?106143","מעשה וגרמא בהלכה")</f>
        <v>מעשה וגרמא בהלכה</v>
      </c>
    </row>
    <row r="25182" spans="1:6" x14ac:dyDescent="0.2">
      <c r="A25182" t="s">
        <v>40284</v>
      </c>
      <c r="B25182" t="s">
        <v>40285</v>
      </c>
      <c r="C25182" t="s">
        <v>748</v>
      </c>
      <c r="D25182" t="s">
        <v>56</v>
      </c>
      <c r="E25182" t="s">
        <v>84</v>
      </c>
      <c r="F25182" s="2" t="str">
        <f>HYPERLINK("http://www.otzar.org/book.asp?19124","מעשה וחשבון")</f>
        <v>מעשה וחשבון</v>
      </c>
    </row>
    <row r="25183" spans="1:6" x14ac:dyDescent="0.2">
      <c r="A25183" t="s">
        <v>40286</v>
      </c>
      <c r="B25183" t="s">
        <v>40287</v>
      </c>
      <c r="C25183" t="s">
        <v>1374</v>
      </c>
      <c r="D25183" t="s">
        <v>283</v>
      </c>
      <c r="E25183" t="s">
        <v>2054</v>
      </c>
      <c r="F25183" s="2" t="str">
        <f>HYPERLINK("http://www.otzar.org/book.asp?107206","מעשה זית")</f>
        <v>מעשה זית</v>
      </c>
    </row>
    <row r="25184" spans="1:6" x14ac:dyDescent="0.2">
      <c r="A25184" t="s">
        <v>40288</v>
      </c>
      <c r="B25184" t="s">
        <v>1895</v>
      </c>
      <c r="C25184" t="s">
        <v>383</v>
      </c>
      <c r="D25184" t="s">
        <v>14</v>
      </c>
      <c r="E25184" t="s">
        <v>399</v>
      </c>
      <c r="F25184" s="2" t="str">
        <f>HYPERLINK("http://www.otzar.org/book.asp?23100","מעשה חושב")</f>
        <v>מעשה חושב</v>
      </c>
    </row>
    <row r="25185" spans="1:6" x14ac:dyDescent="0.2">
      <c r="A25185" t="s">
        <v>40289</v>
      </c>
      <c r="B25185" t="s">
        <v>37912</v>
      </c>
      <c r="C25185" t="s">
        <v>51</v>
      </c>
      <c r="D25185" t="s">
        <v>1205</v>
      </c>
      <c r="E25185" t="s">
        <v>158</v>
      </c>
      <c r="F25185" s="2" t="str">
        <f>HYPERLINK("http://www.otzar.org/book.asp?159332","מעשה חושב - 4 כר'")</f>
        <v>מעשה חושב - 4 כר'</v>
      </c>
    </row>
    <row r="25186" spans="1:6" x14ac:dyDescent="0.2">
      <c r="A25186" t="s">
        <v>40288</v>
      </c>
      <c r="B25186" t="s">
        <v>9114</v>
      </c>
      <c r="C25186" t="s">
        <v>496</v>
      </c>
      <c r="D25186" t="s">
        <v>322</v>
      </c>
      <c r="E25186" t="s">
        <v>104</v>
      </c>
      <c r="F25186" s="2" t="str">
        <f>HYPERLINK("http://www.otzar.org/book.asp?101","מעשה חושב")</f>
        <v>מעשה חושב</v>
      </c>
    </row>
    <row r="25187" spans="1:6" x14ac:dyDescent="0.2">
      <c r="A25187" t="s">
        <v>40288</v>
      </c>
      <c r="B25187" t="s">
        <v>30642</v>
      </c>
      <c r="C25187" t="s">
        <v>1437</v>
      </c>
      <c r="D25187" t="s">
        <v>283</v>
      </c>
      <c r="E25187" t="s">
        <v>144</v>
      </c>
      <c r="F25187" s="2" t="str">
        <f>HYPERLINK("http://www.otzar.org/book.asp?195","מעשה חושב")</f>
        <v>מעשה חושב</v>
      </c>
    </row>
    <row r="25188" spans="1:6" x14ac:dyDescent="0.2">
      <c r="A25188" t="s">
        <v>40290</v>
      </c>
      <c r="B25188" t="s">
        <v>40291</v>
      </c>
      <c r="C25188" t="s">
        <v>133</v>
      </c>
      <c r="D25188" t="s">
        <v>1156</v>
      </c>
      <c r="E25188" t="s">
        <v>172</v>
      </c>
      <c r="F25188" s="2" t="str">
        <f>HYPERLINK("http://www.otzar.org/book.asp?171965","מעשה חושב - הלכות דיינים ועדות")</f>
        <v>מעשה חושב - הלכות דיינים ועדות</v>
      </c>
    </row>
    <row r="25189" spans="1:6" x14ac:dyDescent="0.2">
      <c r="A25189" t="s">
        <v>40292</v>
      </c>
      <c r="B25189" t="s">
        <v>1827</v>
      </c>
      <c r="C25189" t="s">
        <v>503</v>
      </c>
      <c r="D25189" t="s">
        <v>855</v>
      </c>
      <c r="E25189" t="s">
        <v>104</v>
      </c>
      <c r="F25189" s="2" t="str">
        <f>HYPERLINK("http://www.otzar.org/book.asp?101387","מעשה חושב - 3 כר'")</f>
        <v>מעשה חושב - 3 כר'</v>
      </c>
    </row>
    <row r="25190" spans="1:6" x14ac:dyDescent="0.2">
      <c r="A25190" t="s">
        <v>40293</v>
      </c>
      <c r="B25190" t="s">
        <v>40294</v>
      </c>
      <c r="C25190" t="s">
        <v>5148</v>
      </c>
      <c r="D25190" t="s">
        <v>744</v>
      </c>
      <c r="F25190" s="2" t="str">
        <f>HYPERLINK("http://www.otzar.org/book.asp?151452","מעשה חושן וקטורת")</f>
        <v>מעשה חושן וקטורת</v>
      </c>
    </row>
    <row r="25191" spans="1:6" x14ac:dyDescent="0.2">
      <c r="A25191" t="s">
        <v>40295</v>
      </c>
      <c r="B25191" t="s">
        <v>40296</v>
      </c>
      <c r="C25191" t="s">
        <v>114</v>
      </c>
      <c r="D25191" t="s">
        <v>14</v>
      </c>
      <c r="F25191" s="2" t="str">
        <f>HYPERLINK("http://www.otzar.org/book.asp?614446","מעשה חושן - מקח וממכר")</f>
        <v>מעשה חושן - מקח וממכר</v>
      </c>
    </row>
    <row r="25192" spans="1:6" x14ac:dyDescent="0.2">
      <c r="A25192" t="s">
        <v>40297</v>
      </c>
      <c r="B25192" t="s">
        <v>40298</v>
      </c>
      <c r="C25192" t="s">
        <v>71</v>
      </c>
      <c r="D25192" t="s">
        <v>14</v>
      </c>
      <c r="E25192" t="s">
        <v>22155</v>
      </c>
      <c r="F25192" s="2" t="str">
        <f>HYPERLINK("http://www.otzar.org/book.asp?152459","מעשה חייא &lt;מכון הכתב&gt;")</f>
        <v>מעשה חייא &lt;מכון הכתב&gt;</v>
      </c>
    </row>
    <row r="25193" spans="1:6" x14ac:dyDescent="0.2">
      <c r="A25193" t="s">
        <v>40299</v>
      </c>
      <c r="B25193" t="s">
        <v>40300</v>
      </c>
      <c r="C25193" t="s">
        <v>103</v>
      </c>
      <c r="D25193" t="s">
        <v>14</v>
      </c>
      <c r="E25193" t="s">
        <v>40301</v>
      </c>
      <c r="F25193" s="2" t="str">
        <f>HYPERLINK("http://www.otzar.org/book.asp?175992","מעשה חייא")</f>
        <v>מעשה חייא</v>
      </c>
    </row>
    <row r="25194" spans="1:6" x14ac:dyDescent="0.2">
      <c r="A25194" t="s">
        <v>40302</v>
      </c>
      <c r="B25194" t="s">
        <v>40298</v>
      </c>
      <c r="C25194" t="s">
        <v>4907</v>
      </c>
      <c r="D25194" t="s">
        <v>49</v>
      </c>
      <c r="E25194" t="s">
        <v>37811</v>
      </c>
      <c r="F25194" s="2" t="str">
        <f>HYPERLINK("http://www.otzar.org/book.asp?182082","מעשה חייא - 2 כר'")</f>
        <v>מעשה חייא - 2 כר'</v>
      </c>
    </row>
    <row r="25195" spans="1:6" x14ac:dyDescent="0.2">
      <c r="A25195" t="s">
        <v>40303</v>
      </c>
      <c r="B25195" t="s">
        <v>40304</v>
      </c>
      <c r="C25195" t="s">
        <v>585</v>
      </c>
      <c r="D25195" t="s">
        <v>1511</v>
      </c>
      <c r="E25195" t="s">
        <v>15</v>
      </c>
      <c r="F25195" s="2" t="str">
        <f>HYPERLINK("http://www.otzar.org/book.asp?26715","מעשה חמד")</f>
        <v>מעשה חמד</v>
      </c>
    </row>
    <row r="25196" spans="1:6" x14ac:dyDescent="0.2">
      <c r="A25196" t="s">
        <v>40305</v>
      </c>
      <c r="B25196" t="s">
        <v>40306</v>
      </c>
      <c r="C25196" t="s">
        <v>20</v>
      </c>
      <c r="D25196" t="s">
        <v>90</v>
      </c>
      <c r="E25196" t="s">
        <v>144</v>
      </c>
      <c r="F25196" s="2" t="str">
        <f>HYPERLINK("http://www.otzar.org/book.asp?600794","מעשה חרש - 6 כר'")</f>
        <v>מעשה חרש - 6 כר'</v>
      </c>
    </row>
    <row r="25197" spans="1:6" x14ac:dyDescent="0.2">
      <c r="A25197" t="s">
        <v>40307</v>
      </c>
      <c r="B25197" t="s">
        <v>40308</v>
      </c>
      <c r="C25197" t="s">
        <v>576</v>
      </c>
      <c r="D25197" t="s">
        <v>40309</v>
      </c>
      <c r="E25197" t="s">
        <v>230</v>
      </c>
      <c r="F25197" s="2" t="str">
        <f>HYPERLINK("http://www.otzar.org/book.asp?193918","מעשה חשב - 2 כר'")</f>
        <v>מעשה חשב - 2 כר'</v>
      </c>
    </row>
    <row r="25198" spans="1:6" x14ac:dyDescent="0.2">
      <c r="A25198" t="s">
        <v>40310</v>
      </c>
      <c r="B25198" t="s">
        <v>40311</v>
      </c>
      <c r="C25198" t="s">
        <v>466</v>
      </c>
      <c r="D25198" t="s">
        <v>1205</v>
      </c>
      <c r="E25198" t="s">
        <v>158</v>
      </c>
      <c r="F25198" s="2" t="str">
        <f>HYPERLINK("http://www.otzar.org/book.asp?22544","מעשה חשב - 5 כר'")</f>
        <v>מעשה חשב - 5 כר'</v>
      </c>
    </row>
    <row r="25199" spans="1:6" x14ac:dyDescent="0.2">
      <c r="A25199" t="s">
        <v>40310</v>
      </c>
      <c r="B25199" t="s">
        <v>1016</v>
      </c>
      <c r="C25199" t="s">
        <v>133</v>
      </c>
      <c r="D25199" t="s">
        <v>14</v>
      </c>
      <c r="E25199" t="s">
        <v>144</v>
      </c>
      <c r="F25199" s="2" t="str">
        <f>HYPERLINK("http://www.otzar.org/book.asp?172989","מעשה חשב - 5 כר'")</f>
        <v>מעשה חשב - 5 כר'</v>
      </c>
    </row>
    <row r="25200" spans="1:6" x14ac:dyDescent="0.2">
      <c r="A25200" t="s">
        <v>40307</v>
      </c>
      <c r="B25200" t="s">
        <v>40312</v>
      </c>
      <c r="C25200" t="s">
        <v>1494</v>
      </c>
      <c r="D25200" t="s">
        <v>267</v>
      </c>
      <c r="E25200" t="s">
        <v>144</v>
      </c>
      <c r="F25200" s="2" t="str">
        <f>HYPERLINK("http://www.otzar.org/book.asp?7084","מעשה חשב - 2 כר'")</f>
        <v>מעשה חשב - 2 כר'</v>
      </c>
    </row>
    <row r="25201" spans="1:6" x14ac:dyDescent="0.2">
      <c r="A25201" t="s">
        <v>40313</v>
      </c>
      <c r="B25201" t="s">
        <v>40314</v>
      </c>
      <c r="C25201" t="s">
        <v>6784</v>
      </c>
      <c r="D25201" t="s">
        <v>6214</v>
      </c>
      <c r="E25201" t="s">
        <v>733</v>
      </c>
      <c r="F25201" s="2" t="str">
        <f>HYPERLINK("http://www.otzar.org/book.asp?193919","מעשה טובי בן טוביאל")</f>
        <v>מעשה טובי בן טוביאל</v>
      </c>
    </row>
    <row r="25202" spans="1:6" x14ac:dyDescent="0.2">
      <c r="A25202" t="s">
        <v>40315</v>
      </c>
      <c r="B25202" t="s">
        <v>294</v>
      </c>
      <c r="C25202" t="s">
        <v>908</v>
      </c>
      <c r="D25202" t="s">
        <v>954</v>
      </c>
      <c r="F25202" s="2" t="str">
        <f>HYPERLINK("http://www.otzar.org/book.asp?604261","מעשה טוביה")</f>
        <v>מעשה טוביה</v>
      </c>
    </row>
    <row r="25203" spans="1:6" x14ac:dyDescent="0.2">
      <c r="A25203" t="s">
        <v>40316</v>
      </c>
      <c r="B25203" t="s">
        <v>40317</v>
      </c>
      <c r="C25203" t="s">
        <v>462</v>
      </c>
      <c r="D25203" t="s">
        <v>352</v>
      </c>
      <c r="E25203" t="s">
        <v>81</v>
      </c>
      <c r="F25203" s="2" t="str">
        <f>HYPERLINK("http://www.otzar.org/book.asp?123","מעשה טוביה - 3 כר'")</f>
        <v>מעשה טוביה - 3 כר'</v>
      </c>
    </row>
    <row r="25204" spans="1:6" x14ac:dyDescent="0.2">
      <c r="A25204" t="s">
        <v>40318</v>
      </c>
      <c r="B25204" t="s">
        <v>40319</v>
      </c>
      <c r="C25204" t="s">
        <v>1470</v>
      </c>
      <c r="D25204" t="s">
        <v>974</v>
      </c>
      <c r="E25204" t="s">
        <v>43</v>
      </c>
      <c r="F25204" s="2" t="str">
        <f>HYPERLINK("http://www.otzar.org/book.asp?23576","מעשה יהודית,  מעשה שושנה")</f>
        <v>מעשה יהודית,  מעשה שושנה</v>
      </c>
    </row>
    <row r="25205" spans="1:6" x14ac:dyDescent="0.2">
      <c r="A25205" t="s">
        <v>40320</v>
      </c>
      <c r="B25205" t="s">
        <v>18724</v>
      </c>
      <c r="C25205" t="s">
        <v>2543</v>
      </c>
      <c r="D25205" t="s">
        <v>1966</v>
      </c>
      <c r="E25205" t="s">
        <v>158</v>
      </c>
      <c r="F25205" s="2" t="str">
        <f>HYPERLINK("http://www.otzar.org/book.asp?151119","מעשה יחיאל, מיכל המים, מיכלא דאסוותא")</f>
        <v>מעשה יחיאל, מיכל המים, מיכלא דאסוותא</v>
      </c>
    </row>
    <row r="25206" spans="1:6" x14ac:dyDescent="0.2">
      <c r="A25206" t="s">
        <v>40321</v>
      </c>
      <c r="B25206" t="s">
        <v>40321</v>
      </c>
      <c r="C25206" t="s">
        <v>160</v>
      </c>
      <c r="D25206" t="s">
        <v>27</v>
      </c>
      <c r="E25206" t="s">
        <v>104</v>
      </c>
      <c r="F25206" s="2" t="str">
        <f>HYPERLINK("http://www.otzar.org/book.asp?15222","מעשה ירושלמי")</f>
        <v>מעשה ירושלמי</v>
      </c>
    </row>
    <row r="25207" spans="1:6" x14ac:dyDescent="0.2">
      <c r="A25207" t="s">
        <v>40322</v>
      </c>
      <c r="B25207" t="s">
        <v>9037</v>
      </c>
      <c r="C25207" t="s">
        <v>133</v>
      </c>
      <c r="D25207" t="s">
        <v>20</v>
      </c>
      <c r="E25207" t="s">
        <v>144</v>
      </c>
      <c r="F25207" s="2" t="str">
        <f>HYPERLINK("http://www.otzar.org/book.asp?180994","מעשה ישראל")</f>
        <v>מעשה ישראל</v>
      </c>
    </row>
    <row r="25208" spans="1:6" x14ac:dyDescent="0.2">
      <c r="A25208" t="s">
        <v>40323</v>
      </c>
      <c r="B25208" t="s">
        <v>40324</v>
      </c>
      <c r="C25208" t="s">
        <v>422</v>
      </c>
      <c r="D25208" t="s">
        <v>139</v>
      </c>
      <c r="E25208" t="s">
        <v>230</v>
      </c>
      <c r="F25208" s="2" t="str">
        <f>HYPERLINK("http://www.otzar.org/book.asp?170786","מעשה כהן")</f>
        <v>מעשה כהן</v>
      </c>
    </row>
    <row r="25209" spans="1:6" x14ac:dyDescent="0.2">
      <c r="A25209" t="s">
        <v>40325</v>
      </c>
      <c r="B25209" t="s">
        <v>40326</v>
      </c>
      <c r="C25209" t="s">
        <v>151</v>
      </c>
      <c r="D25209" t="s">
        <v>52</v>
      </c>
      <c r="E25209" t="s">
        <v>130</v>
      </c>
      <c r="F25209" s="2" t="str">
        <f>HYPERLINK("http://www.otzar.org/book.asp?611452","מעשה כהן - 3 כר'")</f>
        <v>מעשה כהן - 3 כר'</v>
      </c>
    </row>
    <row r="25210" spans="1:6" x14ac:dyDescent="0.2">
      <c r="A25210" t="s">
        <v>40327</v>
      </c>
      <c r="B25210" t="s">
        <v>7854</v>
      </c>
      <c r="C25210" t="s">
        <v>114</v>
      </c>
      <c r="D25210" t="s">
        <v>14</v>
      </c>
      <c r="E25210" t="s">
        <v>741</v>
      </c>
      <c r="F25210" s="2" t="str">
        <f>HYPERLINK("http://www.otzar.org/book.asp?165071","מעשה מאבידת בת מלך - מבואר")</f>
        <v>מעשה מאבידת בת מלך - מבואר</v>
      </c>
    </row>
    <row r="25211" spans="1:6" x14ac:dyDescent="0.2">
      <c r="A25211" t="s">
        <v>40328</v>
      </c>
      <c r="B25211" t="s">
        <v>3614</v>
      </c>
      <c r="C25211" t="s">
        <v>224</v>
      </c>
      <c r="D25211" t="s">
        <v>14</v>
      </c>
      <c r="E25211" t="s">
        <v>140</v>
      </c>
      <c r="F25211" s="2" t="str">
        <f>HYPERLINK("http://www.otzar.org/book.asp?191729","מעשה מחכם ותם")</f>
        <v>מעשה מחכם ותם</v>
      </c>
    </row>
    <row r="25212" spans="1:6" x14ac:dyDescent="0.2">
      <c r="A25212" t="s">
        <v>40329</v>
      </c>
      <c r="B25212" t="s">
        <v>40329</v>
      </c>
      <c r="C25212" t="s">
        <v>1778</v>
      </c>
      <c r="D25212" t="s">
        <v>2303</v>
      </c>
      <c r="E25212" t="s">
        <v>104</v>
      </c>
      <c r="F25212" s="2" t="str">
        <f>HYPERLINK("http://www.otzar.org/book.asp?147256","מעשה נורא זכה וברורה")</f>
        <v>מעשה נורא זכה וברורה</v>
      </c>
    </row>
    <row r="25213" spans="1:6" x14ac:dyDescent="0.2">
      <c r="A25213" t="s">
        <v>40330</v>
      </c>
      <c r="B25213" t="s">
        <v>40331</v>
      </c>
      <c r="F25213" s="2" t="str">
        <f>HYPERLINK("http://www.otzar.org/book.asp?620679","מעשה נורא מהגאון הצדיק... יצחק חיות")</f>
        <v>מעשה נורא מהגאון הצדיק... יצחק חיות</v>
      </c>
    </row>
    <row r="25214" spans="1:6" x14ac:dyDescent="0.2">
      <c r="A25214" t="s">
        <v>40332</v>
      </c>
      <c r="B25214" t="s">
        <v>40333</v>
      </c>
      <c r="C25214" t="s">
        <v>40334</v>
      </c>
      <c r="D25214" t="s">
        <v>6214</v>
      </c>
      <c r="E25214" t="s">
        <v>1438</v>
      </c>
      <c r="F25214" s="2" t="str">
        <f>HYPERLINK("http://www.otzar.org/book.asp?626585","מעשה נורא")</f>
        <v>מעשה נורא</v>
      </c>
    </row>
    <row r="25215" spans="1:6" x14ac:dyDescent="0.2">
      <c r="A25215" t="s">
        <v>40335</v>
      </c>
      <c r="B25215" t="s">
        <v>40336</v>
      </c>
      <c r="C25215" t="s">
        <v>1954</v>
      </c>
      <c r="D25215" t="s">
        <v>27</v>
      </c>
      <c r="E25215" t="s">
        <v>733</v>
      </c>
      <c r="F25215" s="2" t="str">
        <f>HYPERLINK("http://www.otzar.org/book.asp?51645","מעשה נחמיה")</f>
        <v>מעשה נחמיה</v>
      </c>
    </row>
    <row r="25216" spans="1:6" x14ac:dyDescent="0.2">
      <c r="A25216" t="s">
        <v>40337</v>
      </c>
      <c r="B25216" t="s">
        <v>4785</v>
      </c>
      <c r="C25216" t="s">
        <v>151</v>
      </c>
      <c r="D25216" t="s">
        <v>52</v>
      </c>
      <c r="E25216" t="s">
        <v>104</v>
      </c>
      <c r="F25216" s="2" t="str">
        <f>HYPERLINK("http://www.otzar.org/book.asp?618894","מעשה ניסים - לזכר רבי ניסים מויאל")</f>
        <v>מעשה ניסים - לזכר רבי ניסים מויאל</v>
      </c>
    </row>
    <row r="25217" spans="1:6" x14ac:dyDescent="0.2">
      <c r="A25217" t="s">
        <v>40338</v>
      </c>
      <c r="B25217" t="s">
        <v>40339</v>
      </c>
      <c r="C25217" t="s">
        <v>411</v>
      </c>
      <c r="D25217" t="s">
        <v>2798</v>
      </c>
      <c r="E25217" t="s">
        <v>154</v>
      </c>
      <c r="F25217" s="2" t="str">
        <f>HYPERLINK("http://www.otzar.org/book.asp?168804","מעשה ניסים")</f>
        <v>מעשה ניסים</v>
      </c>
    </row>
    <row r="25218" spans="1:6" x14ac:dyDescent="0.2">
      <c r="A25218" t="s">
        <v>40338</v>
      </c>
      <c r="B25218" t="s">
        <v>40340</v>
      </c>
      <c r="C25218" t="s">
        <v>111</v>
      </c>
      <c r="D25218" t="s">
        <v>52</v>
      </c>
      <c r="E25218" t="s">
        <v>144</v>
      </c>
      <c r="F25218" s="2" t="str">
        <f>HYPERLINK("http://www.otzar.org/book.asp?626242","מעשה ניסים")</f>
        <v>מעשה ניסים</v>
      </c>
    </row>
    <row r="25219" spans="1:6" x14ac:dyDescent="0.2">
      <c r="A25219" t="s">
        <v>40341</v>
      </c>
      <c r="B25219" t="s">
        <v>40342</v>
      </c>
      <c r="C25219" t="s">
        <v>23</v>
      </c>
      <c r="D25219" t="s">
        <v>367</v>
      </c>
      <c r="E25219" t="s">
        <v>733</v>
      </c>
      <c r="F25219" s="2" t="str">
        <f>HYPERLINK("http://www.otzar.org/book.asp?601470","מעשה נסים &lt;מהדורה חדשה&gt;")</f>
        <v>מעשה נסים &lt;מהדורה חדשה&gt;</v>
      </c>
    </row>
    <row r="25220" spans="1:6" x14ac:dyDescent="0.2">
      <c r="A25220" t="s">
        <v>40343</v>
      </c>
      <c r="B25220" t="s">
        <v>40344</v>
      </c>
      <c r="C25220" t="s">
        <v>4538</v>
      </c>
      <c r="D25220" t="s">
        <v>76</v>
      </c>
      <c r="E25220" t="s">
        <v>158</v>
      </c>
      <c r="F25220" s="2" t="str">
        <f>HYPERLINK("http://www.otzar.org/book.asp?151508","מעשה נסים &lt;עם הגהות כת""י&gt;")</f>
        <v>מעשה נסים &lt;עם הגהות כת"י&gt;</v>
      </c>
    </row>
    <row r="25221" spans="1:6" x14ac:dyDescent="0.2">
      <c r="A25221" t="s">
        <v>40345</v>
      </c>
      <c r="B25221" t="s">
        <v>40346</v>
      </c>
      <c r="C25221" t="s">
        <v>1163</v>
      </c>
      <c r="D25221" t="s">
        <v>1163</v>
      </c>
      <c r="F25221" s="2" t="str">
        <f>HYPERLINK("http://www.otzar.org/book.asp?160780","מעשה נסים כתב יד")</f>
        <v>מעשה נסים כתב יד</v>
      </c>
    </row>
    <row r="25222" spans="1:6" x14ac:dyDescent="0.2">
      <c r="A25222" t="s">
        <v>40347</v>
      </c>
      <c r="B25222" t="s">
        <v>28374</v>
      </c>
      <c r="C25222" t="s">
        <v>343</v>
      </c>
      <c r="D25222" t="s">
        <v>1023</v>
      </c>
      <c r="E25222" t="s">
        <v>104</v>
      </c>
      <c r="F25222" s="2" t="str">
        <f>HYPERLINK("http://www.otzar.org/book.asp?147147","מעשה נסים")</f>
        <v>מעשה נסים</v>
      </c>
    </row>
    <row r="25223" spans="1:6" x14ac:dyDescent="0.2">
      <c r="A25223" t="s">
        <v>40348</v>
      </c>
      <c r="B25223" t="s">
        <v>13716</v>
      </c>
      <c r="C25223" t="s">
        <v>6054</v>
      </c>
      <c r="D25223" t="s">
        <v>27</v>
      </c>
      <c r="E25223" t="s">
        <v>104</v>
      </c>
      <c r="F25223" s="2" t="str">
        <f>HYPERLINK("http://www.otzar.org/book.asp?605896","מעשה נסים - 2 כר'")</f>
        <v>מעשה נסים - 2 כר'</v>
      </c>
    </row>
    <row r="25224" spans="1:6" x14ac:dyDescent="0.2">
      <c r="A25224" t="s">
        <v>40348</v>
      </c>
      <c r="B25224" t="s">
        <v>40349</v>
      </c>
      <c r="C25224" t="s">
        <v>1310</v>
      </c>
      <c r="D25224" t="s">
        <v>1731</v>
      </c>
      <c r="E25224" t="s">
        <v>104</v>
      </c>
      <c r="F25224" s="2" t="str">
        <f>HYPERLINK("http://www.otzar.org/book.asp?153054","מעשה נסים - 2 כר'")</f>
        <v>מעשה נסים - 2 כר'</v>
      </c>
    </row>
    <row r="25225" spans="1:6" x14ac:dyDescent="0.2">
      <c r="A25225" t="s">
        <v>40347</v>
      </c>
      <c r="B25225" t="s">
        <v>40350</v>
      </c>
      <c r="C25225" t="s">
        <v>1437</v>
      </c>
      <c r="D25225" t="s">
        <v>889</v>
      </c>
      <c r="E25225" t="s">
        <v>158</v>
      </c>
      <c r="F25225" s="2" t="str">
        <f>HYPERLINK("http://www.otzar.org/book.asp?103522","מעשה נסים")</f>
        <v>מעשה נסים</v>
      </c>
    </row>
    <row r="25226" spans="1:6" x14ac:dyDescent="0.2">
      <c r="A25226" t="s">
        <v>40347</v>
      </c>
      <c r="B25226" t="s">
        <v>40351</v>
      </c>
      <c r="C25226" t="s">
        <v>63</v>
      </c>
      <c r="D25226" t="s">
        <v>14</v>
      </c>
      <c r="E25226" t="s">
        <v>104</v>
      </c>
      <c r="F25226" s="2" t="str">
        <f>HYPERLINK("http://www.otzar.org/book.asp?627830","מעשה נסים")</f>
        <v>מעשה נסים</v>
      </c>
    </row>
    <row r="25227" spans="1:6" x14ac:dyDescent="0.2">
      <c r="A25227" t="s">
        <v>40347</v>
      </c>
      <c r="B25227" t="s">
        <v>40352</v>
      </c>
      <c r="C25227" t="s">
        <v>79</v>
      </c>
      <c r="D25227" t="s">
        <v>7894</v>
      </c>
      <c r="E25227" t="s">
        <v>104</v>
      </c>
      <c r="F25227" s="2" t="str">
        <f>HYPERLINK("http://www.otzar.org/book.asp?23416","מעשה נסים")</f>
        <v>מעשה נסים</v>
      </c>
    </row>
    <row r="25228" spans="1:6" x14ac:dyDescent="0.2">
      <c r="A25228" t="s">
        <v>40353</v>
      </c>
      <c r="B25228" t="s">
        <v>40354</v>
      </c>
      <c r="C25228" t="s">
        <v>63</v>
      </c>
      <c r="D25228" t="s">
        <v>14</v>
      </c>
      <c r="E25228" t="s">
        <v>733</v>
      </c>
      <c r="F25228" s="2" t="str">
        <f>HYPERLINK("http://www.otzar.org/book.asp?167499","מעשה נסים - 7 כר'")</f>
        <v>מעשה נסים - 7 כר'</v>
      </c>
    </row>
    <row r="25229" spans="1:6" x14ac:dyDescent="0.2">
      <c r="A25229" t="s">
        <v>40355</v>
      </c>
      <c r="B25229" t="s">
        <v>40356</v>
      </c>
      <c r="C25229" t="s">
        <v>466</v>
      </c>
      <c r="D25229" t="s">
        <v>52</v>
      </c>
      <c r="E25229" t="s">
        <v>154</v>
      </c>
      <c r="F25229" s="2" t="str">
        <f>HYPERLINK("http://www.otzar.org/book.asp?25912","מעשה נסים - 5 כר'")</f>
        <v>מעשה נסים - 5 כר'</v>
      </c>
    </row>
    <row r="25230" spans="1:6" x14ac:dyDescent="0.2">
      <c r="A25230" t="s">
        <v>40347</v>
      </c>
      <c r="B25230" t="s">
        <v>40357</v>
      </c>
      <c r="C25230" t="s">
        <v>313</v>
      </c>
      <c r="D25230" t="s">
        <v>14</v>
      </c>
      <c r="F25230" s="2" t="str">
        <f>HYPERLINK("http://www.otzar.org/book.asp?617869","מעשה נסים")</f>
        <v>מעשה נסים</v>
      </c>
    </row>
    <row r="25231" spans="1:6" x14ac:dyDescent="0.2">
      <c r="A25231" t="s">
        <v>40358</v>
      </c>
      <c r="B25231" t="s">
        <v>40359</v>
      </c>
      <c r="C25231" t="s">
        <v>189</v>
      </c>
      <c r="D25231" t="s">
        <v>40360</v>
      </c>
      <c r="E25231" t="s">
        <v>15</v>
      </c>
      <c r="F25231" s="2" t="str">
        <f>HYPERLINK("http://www.otzar.org/book.asp?181996","מעשה סופרים")</f>
        <v>מעשה סופרים</v>
      </c>
    </row>
    <row r="25232" spans="1:6" x14ac:dyDescent="0.2">
      <c r="A25232" t="s">
        <v>40361</v>
      </c>
      <c r="B25232" t="s">
        <v>40362</v>
      </c>
      <c r="C25232" t="s">
        <v>366</v>
      </c>
      <c r="D25232" t="s">
        <v>14</v>
      </c>
      <c r="E25232" t="s">
        <v>202</v>
      </c>
      <c r="F25232" s="2" t="str">
        <f>HYPERLINK("http://www.otzar.org/book.asp?621640","מעשה עזרא")</f>
        <v>מעשה עזרא</v>
      </c>
    </row>
    <row r="25233" spans="1:6" x14ac:dyDescent="0.2">
      <c r="A25233" t="s">
        <v>40363</v>
      </c>
      <c r="B25233" t="s">
        <v>23776</v>
      </c>
      <c r="C25233" t="s">
        <v>438</v>
      </c>
      <c r="D25233" t="s">
        <v>14</v>
      </c>
      <c r="E25233" t="s">
        <v>140</v>
      </c>
      <c r="F25233" s="2" t="str">
        <f>HYPERLINK("http://www.otzar.org/book.asp?179579","מעשה צדיקים עם דברי צדיקים")</f>
        <v>מעשה צדיקים עם דברי צדיקים</v>
      </c>
    </row>
    <row r="25234" spans="1:6" x14ac:dyDescent="0.2">
      <c r="A25234" t="s">
        <v>40364</v>
      </c>
      <c r="B25234" t="s">
        <v>25905</v>
      </c>
      <c r="C25234" t="s">
        <v>422</v>
      </c>
      <c r="D25234" t="s">
        <v>2189</v>
      </c>
      <c r="E25234" t="s">
        <v>104</v>
      </c>
      <c r="F25234" s="2" t="str">
        <f>HYPERLINK("http://www.otzar.org/book.asp?151709","מעשה צדיקים")</f>
        <v>מעשה צדיקים</v>
      </c>
    </row>
    <row r="25235" spans="1:6" x14ac:dyDescent="0.2">
      <c r="A25235" t="s">
        <v>40365</v>
      </c>
      <c r="B25235" t="s">
        <v>40365</v>
      </c>
      <c r="C25235" t="s">
        <v>6773</v>
      </c>
      <c r="D25235" t="s">
        <v>76</v>
      </c>
      <c r="E25235" t="s">
        <v>104</v>
      </c>
      <c r="F25235" s="2" t="str">
        <f>HYPERLINK("http://www.otzar.org/book.asp?147278","מעשה צופר")</f>
        <v>מעשה צופר</v>
      </c>
    </row>
    <row r="25236" spans="1:6" x14ac:dyDescent="0.2">
      <c r="A25236" t="s">
        <v>40366</v>
      </c>
      <c r="B25236" t="s">
        <v>40367</v>
      </c>
      <c r="C25236" t="s">
        <v>114</v>
      </c>
      <c r="D25236" t="s">
        <v>14</v>
      </c>
      <c r="E25236" t="s">
        <v>226</v>
      </c>
      <c r="F25236" s="2" t="str">
        <f>HYPERLINK("http://www.otzar.org/book.asp?168786","מעשה רב &lt;מהדורה חדשה&gt;")</f>
        <v>מעשה רב &lt;מהדורה חדשה&gt;</v>
      </c>
    </row>
    <row r="25237" spans="1:6" x14ac:dyDescent="0.2">
      <c r="A25237" t="s">
        <v>40368</v>
      </c>
      <c r="B25237" t="s">
        <v>40367</v>
      </c>
      <c r="C25237" t="s">
        <v>1448</v>
      </c>
      <c r="D25237" t="s">
        <v>52</v>
      </c>
      <c r="E25237" t="s">
        <v>15</v>
      </c>
      <c r="F25237" s="2" t="str">
        <f>HYPERLINK("http://www.otzar.org/book.asp?8139","מעשה רב החדש")</f>
        <v>מעשה רב החדש</v>
      </c>
    </row>
    <row r="25238" spans="1:6" x14ac:dyDescent="0.2">
      <c r="A25238" t="s">
        <v>40369</v>
      </c>
      <c r="B25238" t="s">
        <v>5703</v>
      </c>
      <c r="C25238" t="s">
        <v>1284</v>
      </c>
      <c r="D25238" t="s">
        <v>225</v>
      </c>
      <c r="E25238" t="s">
        <v>144</v>
      </c>
      <c r="F25238" s="2" t="str">
        <f>HYPERLINK("http://www.otzar.org/book.asp?149565","מעשה רב")</f>
        <v>מעשה רב</v>
      </c>
    </row>
    <row r="25239" spans="1:6" x14ac:dyDescent="0.2">
      <c r="A25239" t="s">
        <v>40369</v>
      </c>
      <c r="B25239" t="s">
        <v>40370</v>
      </c>
      <c r="C25239" t="s">
        <v>4707</v>
      </c>
      <c r="D25239" t="s">
        <v>563</v>
      </c>
      <c r="E25239" t="s">
        <v>10</v>
      </c>
      <c r="F25239" s="2" t="str">
        <f>HYPERLINK("http://www.otzar.org/book.asp?146715","מעשה רב")</f>
        <v>מעשה רב</v>
      </c>
    </row>
    <row r="25240" spans="1:6" x14ac:dyDescent="0.2">
      <c r="A25240" t="s">
        <v>40371</v>
      </c>
      <c r="B25240" t="s">
        <v>40367</v>
      </c>
      <c r="C25240" t="s">
        <v>20</v>
      </c>
      <c r="D25240" t="s">
        <v>2347</v>
      </c>
      <c r="E25240" t="s">
        <v>15</v>
      </c>
      <c r="F25240" s="2" t="str">
        <f>HYPERLINK("http://www.otzar.org/book.asp?12149","מעשה רב - 4 כר'")</f>
        <v>מעשה רב - 4 כר'</v>
      </c>
    </row>
    <row r="25241" spans="1:6" x14ac:dyDescent="0.2">
      <c r="A25241" t="s">
        <v>40369</v>
      </c>
      <c r="B25241" t="s">
        <v>40372</v>
      </c>
      <c r="C25241" t="s">
        <v>22961</v>
      </c>
      <c r="D25241" t="s">
        <v>1490</v>
      </c>
      <c r="E25241" t="s">
        <v>9092</v>
      </c>
      <c r="F25241" s="2" t="str">
        <f>HYPERLINK("http://www.otzar.org/book.asp?1026","מעשה רב")</f>
        <v>מעשה רב</v>
      </c>
    </row>
    <row r="25242" spans="1:6" x14ac:dyDescent="0.2">
      <c r="A25242" t="s">
        <v>40373</v>
      </c>
      <c r="B25242" t="s">
        <v>16927</v>
      </c>
      <c r="C25242" t="s">
        <v>68</v>
      </c>
      <c r="D25242" t="s">
        <v>14</v>
      </c>
      <c r="E25242" t="s">
        <v>15</v>
      </c>
      <c r="F25242" s="2" t="str">
        <f>HYPERLINK("http://www.otzar.org/book.asp?170936","מעשה רוקח &lt;מהדורה חדשה&gt;")</f>
        <v>מעשה רוקח &lt;מהדורה חדשה&gt;</v>
      </c>
    </row>
    <row r="25243" spans="1:6" x14ac:dyDescent="0.2">
      <c r="A25243" t="s">
        <v>40374</v>
      </c>
      <c r="B25243" t="s">
        <v>16927</v>
      </c>
      <c r="C25243" t="s">
        <v>558</v>
      </c>
      <c r="D25243" t="s">
        <v>16023</v>
      </c>
      <c r="E25243" t="s">
        <v>15</v>
      </c>
      <c r="F25243" s="2" t="str">
        <f>HYPERLINK("http://www.otzar.org/book.asp?51548","מעשה רוקח")</f>
        <v>מעשה רוקח</v>
      </c>
    </row>
    <row r="25244" spans="1:6" x14ac:dyDescent="0.2">
      <c r="A25244" t="s">
        <v>40375</v>
      </c>
      <c r="B25244" t="s">
        <v>7442</v>
      </c>
      <c r="C25244" t="s">
        <v>5160</v>
      </c>
      <c r="D25244" t="s">
        <v>1023</v>
      </c>
      <c r="E25244" t="s">
        <v>399</v>
      </c>
      <c r="F25244" s="2" t="str">
        <f>HYPERLINK("http://www.otzar.org/book.asp?9804","מעשה רוקח - 5 כר'")</f>
        <v>מעשה רוקח - 5 כר'</v>
      </c>
    </row>
    <row r="25245" spans="1:6" x14ac:dyDescent="0.2">
      <c r="A25245" t="s">
        <v>40376</v>
      </c>
      <c r="B25245" t="s">
        <v>40377</v>
      </c>
      <c r="C25245" t="s">
        <v>1519</v>
      </c>
      <c r="D25245" t="s">
        <v>251</v>
      </c>
      <c r="E25245" t="s">
        <v>2088</v>
      </c>
      <c r="F25245" s="2" t="str">
        <f>HYPERLINK("http://www.otzar.org/book.asp?300636","מעשה רק""ם - 2 כר'")</f>
        <v>מעשה רק"ם - 2 כר'</v>
      </c>
    </row>
    <row r="25246" spans="1:6" x14ac:dyDescent="0.2">
      <c r="A25246" t="s">
        <v>40378</v>
      </c>
      <c r="B25246" t="s">
        <v>40379</v>
      </c>
      <c r="C25246" t="s">
        <v>366</v>
      </c>
      <c r="D25246" t="s">
        <v>14</v>
      </c>
      <c r="E25246" t="s">
        <v>15</v>
      </c>
      <c r="F25246" s="2" t="str">
        <f>HYPERLINK("http://www.otzar.org/book.asp?607207","מעשה רקח &lt;מהדורה חדשה&gt; - 3 כר'")</f>
        <v>מעשה רקח &lt;מהדורה חדשה&gt; - 3 כר'</v>
      </c>
    </row>
    <row r="25247" spans="1:6" x14ac:dyDescent="0.2">
      <c r="A25247" t="s">
        <v>40380</v>
      </c>
      <c r="B25247" t="s">
        <v>40381</v>
      </c>
      <c r="C25247" t="s">
        <v>244</v>
      </c>
      <c r="D25247" t="s">
        <v>52</v>
      </c>
      <c r="E25247" t="s">
        <v>119</v>
      </c>
      <c r="F25247" s="2" t="str">
        <f>HYPERLINK("http://www.otzar.org/book.asp?606425","מעשה רקח - לתולדות בעל דברי יהושע")</f>
        <v>מעשה רקח - לתולדות בעל דברי יהושע</v>
      </c>
    </row>
    <row r="25248" spans="1:6" x14ac:dyDescent="0.2">
      <c r="A25248" t="s">
        <v>40382</v>
      </c>
      <c r="B25248" t="s">
        <v>40379</v>
      </c>
      <c r="C25248" t="s">
        <v>1863</v>
      </c>
      <c r="D25248" t="s">
        <v>49</v>
      </c>
      <c r="E25248" t="s">
        <v>15</v>
      </c>
      <c r="F25248" s="2" t="str">
        <f>HYPERLINK("http://www.otzar.org/book.asp?8958","מעשה רקח - 5 כר'")</f>
        <v>מעשה רקח - 5 כר'</v>
      </c>
    </row>
    <row r="25249" spans="1:6" x14ac:dyDescent="0.2">
      <c r="A25249" t="s">
        <v>40383</v>
      </c>
      <c r="B25249" t="s">
        <v>40384</v>
      </c>
      <c r="C25249" t="s">
        <v>422</v>
      </c>
      <c r="D25249" t="s">
        <v>90</v>
      </c>
      <c r="E25249" t="s">
        <v>158</v>
      </c>
      <c r="F25249" s="2" t="str">
        <f>HYPERLINK("http://www.otzar.org/book.asp?154392","מעשה רקם - 3 כר'")</f>
        <v>מעשה רקם - 3 כר'</v>
      </c>
    </row>
    <row r="25250" spans="1:6" x14ac:dyDescent="0.2">
      <c r="A25250" t="s">
        <v>40385</v>
      </c>
      <c r="B25250" t="s">
        <v>34397</v>
      </c>
      <c r="C25250" t="s">
        <v>133</v>
      </c>
      <c r="D25250" t="s">
        <v>24482</v>
      </c>
      <c r="F25250" s="2" t="str">
        <f>HYPERLINK("http://www.otzar.org/book.asp?195456","מעשה רשת - האינטרנט בהלכה")</f>
        <v>מעשה רשת - האינטרנט בהלכה</v>
      </c>
    </row>
    <row r="25251" spans="1:6" x14ac:dyDescent="0.2">
      <c r="A25251" t="s">
        <v>40386</v>
      </c>
      <c r="B25251" t="s">
        <v>935</v>
      </c>
      <c r="C25251" t="s">
        <v>777</v>
      </c>
      <c r="D25251" t="s">
        <v>9</v>
      </c>
      <c r="E25251" t="s">
        <v>10</v>
      </c>
      <c r="F25251" s="2" t="str">
        <f>HYPERLINK("http://www.otzar.org/book.asp?108835","מעשה שבת")</f>
        <v>מעשה שבת</v>
      </c>
    </row>
    <row r="25252" spans="1:6" x14ac:dyDescent="0.2">
      <c r="A25252" t="s">
        <v>40386</v>
      </c>
      <c r="B25252" t="s">
        <v>40387</v>
      </c>
      <c r="C25252" t="s">
        <v>23</v>
      </c>
      <c r="D25252" t="s">
        <v>52</v>
      </c>
      <c r="E25252" t="s">
        <v>144</v>
      </c>
      <c r="F25252" s="2" t="str">
        <f>HYPERLINK("http://www.otzar.org/book.asp?621844","מעשה שבת")</f>
        <v>מעשה שבת</v>
      </c>
    </row>
    <row r="25253" spans="1:6" x14ac:dyDescent="0.2">
      <c r="A25253" t="s">
        <v>40386</v>
      </c>
      <c r="B25253" t="s">
        <v>9258</v>
      </c>
      <c r="C25253" t="s">
        <v>114</v>
      </c>
      <c r="D25253" t="s">
        <v>367</v>
      </c>
      <c r="E25253" t="s">
        <v>172</v>
      </c>
      <c r="F25253" s="2" t="str">
        <f>HYPERLINK("http://www.otzar.org/book.asp?166028","מעשה שבת")</f>
        <v>מעשה שבת</v>
      </c>
    </row>
    <row r="25254" spans="1:6" x14ac:dyDescent="0.2">
      <c r="A25254" t="s">
        <v>40388</v>
      </c>
      <c r="B25254" t="s">
        <v>40389</v>
      </c>
      <c r="C25254" t="s">
        <v>111</v>
      </c>
      <c r="D25254" t="s">
        <v>14</v>
      </c>
      <c r="E25254" t="s">
        <v>579</v>
      </c>
      <c r="F25254" s="2" t="str">
        <f>HYPERLINK("http://www.otzar.org/book.asp?626753","מעשה שהיה")</f>
        <v>מעשה שהיה</v>
      </c>
    </row>
    <row r="25255" spans="1:6" x14ac:dyDescent="0.2">
      <c r="A25255" t="s">
        <v>40388</v>
      </c>
      <c r="B25255" t="s">
        <v>3270</v>
      </c>
      <c r="C25255" t="s">
        <v>383</v>
      </c>
      <c r="D25255" t="s">
        <v>7717</v>
      </c>
      <c r="E25255" t="s">
        <v>733</v>
      </c>
      <c r="F25255" s="2" t="str">
        <f>HYPERLINK("http://www.otzar.org/book.asp?62128","מעשה שהיה")</f>
        <v>מעשה שהיה</v>
      </c>
    </row>
    <row r="25256" spans="1:6" x14ac:dyDescent="0.2">
      <c r="A25256" t="s">
        <v>40390</v>
      </c>
      <c r="B25256" t="s">
        <v>40391</v>
      </c>
      <c r="C25256" t="s">
        <v>20</v>
      </c>
      <c r="D25256" t="s">
        <v>90</v>
      </c>
      <c r="E25256" t="s">
        <v>40392</v>
      </c>
      <c r="F25256" s="2" t="str">
        <f>HYPERLINK("http://www.otzar.org/book.asp?618485","מעשה שושן")</f>
        <v>מעשה שושן</v>
      </c>
    </row>
    <row r="25257" spans="1:6" x14ac:dyDescent="0.2">
      <c r="A25257" t="s">
        <v>40393</v>
      </c>
      <c r="B25257" t="s">
        <v>40394</v>
      </c>
      <c r="C25257" t="s">
        <v>617</v>
      </c>
      <c r="D25257" t="s">
        <v>283</v>
      </c>
      <c r="E25257" t="s">
        <v>579</v>
      </c>
      <c r="F25257" s="2" t="str">
        <f>HYPERLINK("http://www.otzar.org/book.asp?101383","מעשה שושן - 3 כר'")</f>
        <v>מעשה שושן - 3 כר'</v>
      </c>
    </row>
    <row r="25258" spans="1:6" x14ac:dyDescent="0.2">
      <c r="A25258" t="s">
        <v>40395</v>
      </c>
      <c r="B25258" t="s">
        <v>40396</v>
      </c>
      <c r="C25258" t="s">
        <v>5823</v>
      </c>
      <c r="D25258" t="s">
        <v>283</v>
      </c>
      <c r="E25258" t="s">
        <v>741</v>
      </c>
      <c r="F25258" s="2" t="str">
        <f>HYPERLINK("http://www.otzar.org/book.asp?19125","מעשות מהגדולים והצדיקים")</f>
        <v>מעשות מהגדולים והצדיקים</v>
      </c>
    </row>
    <row r="25259" spans="1:6" x14ac:dyDescent="0.2">
      <c r="A25259" t="s">
        <v>40397</v>
      </c>
      <c r="B25259" t="s">
        <v>40398</v>
      </c>
      <c r="C25259" t="s">
        <v>20</v>
      </c>
      <c r="D25259" t="s">
        <v>412</v>
      </c>
      <c r="F25259" s="2" t="str">
        <f>HYPERLINK("http://www.otzar.org/book.asp?613999","מעשות פון בעל שם טוב")</f>
        <v>מעשות פון בעל שם טוב</v>
      </c>
    </row>
    <row r="25260" spans="1:6" x14ac:dyDescent="0.2">
      <c r="A25260" t="s">
        <v>40399</v>
      </c>
      <c r="B25260" t="s">
        <v>40400</v>
      </c>
      <c r="E25260" t="s">
        <v>3018</v>
      </c>
      <c r="F25260" s="2" t="str">
        <f>HYPERLINK("http://www.otzar.org/book.asp?619791","מעשי אבות")</f>
        <v>מעשי אבות</v>
      </c>
    </row>
    <row r="25261" spans="1:6" x14ac:dyDescent="0.2">
      <c r="A25261" t="s">
        <v>40399</v>
      </c>
      <c r="B25261" t="s">
        <v>38168</v>
      </c>
      <c r="C25261" t="s">
        <v>411</v>
      </c>
      <c r="D25261" t="s">
        <v>412</v>
      </c>
      <c r="F25261" s="2" t="str">
        <f>HYPERLINK("http://www.otzar.org/book.asp?617150","מעשי אבות")</f>
        <v>מעשי אבות</v>
      </c>
    </row>
    <row r="25262" spans="1:6" x14ac:dyDescent="0.2">
      <c r="A25262" t="s">
        <v>40401</v>
      </c>
      <c r="B25262" t="s">
        <v>38168</v>
      </c>
      <c r="C25262" t="s">
        <v>133</v>
      </c>
      <c r="D25262" t="s">
        <v>412</v>
      </c>
      <c r="F25262" s="2" t="str">
        <f>HYPERLINK("http://www.otzar.org/book.asp?617152","מעשי בראשית (באידיש)")</f>
        <v>מעשי בראשית (באידיש)</v>
      </c>
    </row>
    <row r="25263" spans="1:6" x14ac:dyDescent="0.2">
      <c r="A25263" t="s">
        <v>40402</v>
      </c>
      <c r="B25263" t="s">
        <v>15040</v>
      </c>
      <c r="C25263" t="s">
        <v>473</v>
      </c>
      <c r="D25263" t="s">
        <v>974</v>
      </c>
      <c r="E25263" t="s">
        <v>733</v>
      </c>
      <c r="F25263" s="2" t="str">
        <f>HYPERLINK("http://www.otzar.org/book.asp?64026","מעשי ד' כי נורא הוא")</f>
        <v>מעשי ד' כי נורא הוא</v>
      </c>
    </row>
    <row r="25264" spans="1:6" x14ac:dyDescent="0.2">
      <c r="A25264" t="s">
        <v>40403</v>
      </c>
      <c r="B25264" t="s">
        <v>17512</v>
      </c>
      <c r="C25264" t="s">
        <v>27030</v>
      </c>
      <c r="D25264" t="s">
        <v>49</v>
      </c>
      <c r="F25264" s="2" t="str">
        <f>HYPERLINK("http://www.otzar.org/book.asp?164766","מעשי ה' - 4 כר'")</f>
        <v>מעשי ה' - 4 כר'</v>
      </c>
    </row>
    <row r="25265" spans="1:6" x14ac:dyDescent="0.2">
      <c r="A25265" t="s">
        <v>40404</v>
      </c>
      <c r="B25265" t="s">
        <v>6095</v>
      </c>
      <c r="C25265" t="s">
        <v>79</v>
      </c>
      <c r="D25265" t="s">
        <v>7894</v>
      </c>
      <c r="E25265" t="s">
        <v>144</v>
      </c>
      <c r="F25265" s="2" t="str">
        <f>HYPERLINK("http://www.otzar.org/book.asp?25080","מעשי הגדולים (מתורגם ללשון ערבי)")</f>
        <v>מעשי הגדולים (מתורגם ללשון ערבי)</v>
      </c>
    </row>
    <row r="25266" spans="1:6" x14ac:dyDescent="0.2">
      <c r="A25266" t="s">
        <v>40405</v>
      </c>
      <c r="B25266" t="s">
        <v>6095</v>
      </c>
      <c r="C25266" t="s">
        <v>888</v>
      </c>
      <c r="D25266" t="s">
        <v>267</v>
      </c>
      <c r="E25266" t="s">
        <v>144</v>
      </c>
      <c r="F25266" s="2" t="str">
        <f>HYPERLINK("http://www.otzar.org/book.asp?200061","מעשי הגדולים - 2 כר'")</f>
        <v>מעשי הגדולים - 2 כר'</v>
      </c>
    </row>
    <row r="25267" spans="1:6" x14ac:dyDescent="0.2">
      <c r="A25267" t="s">
        <v>40406</v>
      </c>
      <c r="B25267" t="s">
        <v>1988</v>
      </c>
      <c r="C25267" t="s">
        <v>40407</v>
      </c>
      <c r="D25267" t="s">
        <v>535</v>
      </c>
      <c r="E25267" t="s">
        <v>24</v>
      </c>
      <c r="F25267" s="2" t="str">
        <f>HYPERLINK("http://www.otzar.org/book.asp?168930","מעשי הקדושים")</f>
        <v>מעשי הקדושים</v>
      </c>
    </row>
    <row r="25268" spans="1:6" x14ac:dyDescent="0.2">
      <c r="A25268" t="s">
        <v>40408</v>
      </c>
      <c r="B25268" t="s">
        <v>40409</v>
      </c>
      <c r="C25268" t="s">
        <v>168</v>
      </c>
      <c r="D25268" t="s">
        <v>14</v>
      </c>
      <c r="E25268" t="s">
        <v>144</v>
      </c>
      <c r="F25268" s="2" t="str">
        <f>HYPERLINK("http://www.otzar.org/book.asp?156497","מעשי חייא - 2 כר'")</f>
        <v>מעשי חייא - 2 כר'</v>
      </c>
    </row>
    <row r="25269" spans="1:6" x14ac:dyDescent="0.2">
      <c r="A25269" t="s">
        <v>40410</v>
      </c>
      <c r="B25269" t="s">
        <v>40411</v>
      </c>
      <c r="C25269" t="s">
        <v>503</v>
      </c>
      <c r="D25269" t="s">
        <v>6214</v>
      </c>
      <c r="E25269" t="s">
        <v>104</v>
      </c>
      <c r="F25269" s="2" t="str">
        <f>HYPERLINK("http://www.otzar.org/book.asp?195897","מעשי חכמים")</f>
        <v>מעשי חכמים</v>
      </c>
    </row>
    <row r="25270" spans="1:6" x14ac:dyDescent="0.2">
      <c r="A25270" t="s">
        <v>40410</v>
      </c>
      <c r="B25270" t="s">
        <v>40412</v>
      </c>
      <c r="C25270" t="s">
        <v>40413</v>
      </c>
      <c r="D25270" t="s">
        <v>49</v>
      </c>
      <c r="E25270" t="s">
        <v>40414</v>
      </c>
      <c r="F25270" s="2" t="str">
        <f>HYPERLINK("http://www.otzar.org/book.asp?146927","מעשי חכמים")</f>
        <v>מעשי חכמים</v>
      </c>
    </row>
    <row r="25271" spans="1:6" x14ac:dyDescent="0.2">
      <c r="A25271" t="s">
        <v>40415</v>
      </c>
      <c r="B25271" t="s">
        <v>40416</v>
      </c>
      <c r="C25271" t="s">
        <v>40417</v>
      </c>
      <c r="D25271" t="s">
        <v>3627</v>
      </c>
      <c r="E25271" t="s">
        <v>15</v>
      </c>
      <c r="F25271" s="2" t="str">
        <f>HYPERLINK("http://www.otzar.org/book.asp?8913","מעשי למלך - 2 כר'")</f>
        <v>מעשי למלך - 2 כר'</v>
      </c>
    </row>
    <row r="25272" spans="1:6" x14ac:dyDescent="0.2">
      <c r="A25272" t="s">
        <v>40418</v>
      </c>
      <c r="B25272" t="s">
        <v>18568</v>
      </c>
      <c r="C25272" t="s">
        <v>619</v>
      </c>
      <c r="D25272" t="s">
        <v>5659</v>
      </c>
      <c r="E25272" t="s">
        <v>104</v>
      </c>
      <c r="F25272" s="2" t="str">
        <f>HYPERLINK("http://www.otzar.org/book.asp?175408","מעשי נסים")</f>
        <v>מעשי נסים</v>
      </c>
    </row>
    <row r="25273" spans="1:6" x14ac:dyDescent="0.2">
      <c r="A25273" t="s">
        <v>40419</v>
      </c>
      <c r="B25273" t="s">
        <v>1552</v>
      </c>
      <c r="C25273" t="s">
        <v>1317</v>
      </c>
      <c r="D25273" t="s">
        <v>212</v>
      </c>
      <c r="E25273" t="s">
        <v>144</v>
      </c>
      <c r="F25273" s="2" t="str">
        <f>HYPERLINK("http://www.otzar.org/book.asp?101498","מעשי צדיקים")</f>
        <v>מעשי צדיקים</v>
      </c>
    </row>
    <row r="25274" spans="1:6" x14ac:dyDescent="0.2">
      <c r="A25274" t="s">
        <v>40420</v>
      </c>
      <c r="B25274" t="s">
        <v>1604</v>
      </c>
      <c r="C25274" t="s">
        <v>553</v>
      </c>
      <c r="D25274" t="s">
        <v>14</v>
      </c>
      <c r="E25274" t="s">
        <v>213</v>
      </c>
      <c r="F25274" s="2" t="str">
        <f>HYPERLINK("http://www.otzar.org/book.asp?606653","מעשי רבותינו - 2 כר'")</f>
        <v>מעשי רבותינו - 2 כר'</v>
      </c>
    </row>
    <row r="25275" spans="1:6" x14ac:dyDescent="0.2">
      <c r="A25275" t="s">
        <v>40421</v>
      </c>
      <c r="B25275" t="s">
        <v>16591</v>
      </c>
      <c r="C25275" t="s">
        <v>151</v>
      </c>
      <c r="D25275" t="s">
        <v>14</v>
      </c>
      <c r="F25275" s="2" t="str">
        <f>HYPERLINK("http://www.otzar.org/book.asp?616217","מעשיהם של צדיקים - ניסן, אייר, סיון")</f>
        <v>מעשיהם של צדיקים - ניסן, אייר, סיון</v>
      </c>
    </row>
    <row r="25276" spans="1:6" x14ac:dyDescent="0.2">
      <c r="A25276" t="s">
        <v>40422</v>
      </c>
      <c r="B25276" t="s">
        <v>22149</v>
      </c>
      <c r="C25276" t="s">
        <v>1811</v>
      </c>
      <c r="D25276" t="s">
        <v>14</v>
      </c>
      <c r="E25276" t="s">
        <v>733</v>
      </c>
      <c r="F25276" s="2" t="str">
        <f>HYPERLINK("http://www.otzar.org/book.asp?188941","מעשיהם של תנאים ואמוראים")</f>
        <v>מעשיהם של תנאים ואמוראים</v>
      </c>
    </row>
    <row r="25277" spans="1:6" x14ac:dyDescent="0.2">
      <c r="A25277" t="s">
        <v>40423</v>
      </c>
      <c r="B25277" t="s">
        <v>40424</v>
      </c>
      <c r="C25277" t="s">
        <v>553</v>
      </c>
      <c r="D25277" t="s">
        <v>14</v>
      </c>
      <c r="E25277" t="s">
        <v>29353</v>
      </c>
      <c r="F25277" s="2" t="str">
        <f>HYPERLINK("http://www.otzar.org/book.asp?152287","מעשיות הזהר - 7 כר'")</f>
        <v>מעשיות הזהר - 7 כר'</v>
      </c>
    </row>
    <row r="25278" spans="1:6" x14ac:dyDescent="0.2">
      <c r="A25278" t="s">
        <v>40425</v>
      </c>
      <c r="B25278" t="s">
        <v>40426</v>
      </c>
      <c r="C25278" t="s">
        <v>383</v>
      </c>
      <c r="D25278" t="s">
        <v>14</v>
      </c>
      <c r="E25278" t="s">
        <v>1211</v>
      </c>
      <c r="F25278" s="2" t="str">
        <f>HYPERLINK("http://www.otzar.org/book.asp?152323","מעשיות התלמוד - 6 כר'")</f>
        <v>מעשיות התלמוד - 6 כר'</v>
      </c>
    </row>
    <row r="25279" spans="1:6" x14ac:dyDescent="0.2">
      <c r="A25279" t="s">
        <v>40427</v>
      </c>
      <c r="B25279" t="s">
        <v>40428</v>
      </c>
      <c r="C25279" t="s">
        <v>888</v>
      </c>
      <c r="D25279" t="s">
        <v>1419</v>
      </c>
      <c r="E25279" t="s">
        <v>104</v>
      </c>
      <c r="F25279" s="2" t="str">
        <f>HYPERLINK("http://www.otzar.org/book.asp?51650","מעשיות ומאמרים יקרים")</f>
        <v>מעשיות ומאמרים יקרים</v>
      </c>
    </row>
    <row r="25280" spans="1:6" x14ac:dyDescent="0.2">
      <c r="A25280" t="s">
        <v>40429</v>
      </c>
      <c r="B25280" t="s">
        <v>40430</v>
      </c>
      <c r="C25280" t="s">
        <v>1160</v>
      </c>
      <c r="D25280" t="s">
        <v>14</v>
      </c>
      <c r="F25280" s="2" t="str">
        <f>HYPERLINK("http://www.otzar.org/book.asp?182340","מעשיות וסיפורים מימי קדם")</f>
        <v>מעשיות וסיפורים מימי קדם</v>
      </c>
    </row>
    <row r="25281" spans="1:6" x14ac:dyDescent="0.2">
      <c r="A25281" t="s">
        <v>40431</v>
      </c>
      <c r="B25281" t="s">
        <v>40396</v>
      </c>
      <c r="C25281" t="s">
        <v>581</v>
      </c>
      <c r="D25281" t="s">
        <v>283</v>
      </c>
      <c r="E25281" t="s">
        <v>741</v>
      </c>
      <c r="F25281" s="2" t="str">
        <f>HYPERLINK("http://www.otzar.org/book.asp?101381","מעשיות ושיחות צדיקים")</f>
        <v>מעשיות ושיחות צדיקים</v>
      </c>
    </row>
    <row r="25282" spans="1:6" x14ac:dyDescent="0.2">
      <c r="A25282" t="s">
        <v>40432</v>
      </c>
      <c r="B25282" t="s">
        <v>20107</v>
      </c>
      <c r="C25282" t="s">
        <v>133</v>
      </c>
      <c r="D25282" t="s">
        <v>14</v>
      </c>
      <c r="E25282" t="s">
        <v>104</v>
      </c>
      <c r="F25282" s="2" t="str">
        <f>HYPERLINK("http://www.otzar.org/book.asp?608669","מעשיות מבית אבא")</f>
        <v>מעשיות מבית אבא</v>
      </c>
    </row>
    <row r="25283" spans="1:6" x14ac:dyDescent="0.2">
      <c r="A25283" t="s">
        <v>40433</v>
      </c>
      <c r="B25283" t="s">
        <v>40434</v>
      </c>
      <c r="C25283" t="s">
        <v>581</v>
      </c>
      <c r="D25283" t="s">
        <v>1566</v>
      </c>
      <c r="F25283" s="2" t="str">
        <f>HYPERLINK("http://www.otzar.org/book.asp?610670","מעשיות מהגדולים והצדיקים")</f>
        <v>מעשיות מהגדולים והצדיקים</v>
      </c>
    </row>
    <row r="25284" spans="1:6" x14ac:dyDescent="0.2">
      <c r="A25284" t="s">
        <v>40435</v>
      </c>
      <c r="B25284" t="s">
        <v>7473</v>
      </c>
      <c r="C25284" t="s">
        <v>888</v>
      </c>
      <c r="D25284" t="s">
        <v>352</v>
      </c>
      <c r="E25284" t="s">
        <v>104</v>
      </c>
      <c r="F25284" s="2" t="str">
        <f>HYPERLINK("http://www.otzar.org/book.asp?51646","מעשיות מצדיקי יסודי עולם")</f>
        <v>מעשיות מצדיקי יסודי עולם</v>
      </c>
    </row>
    <row r="25285" spans="1:6" x14ac:dyDescent="0.2">
      <c r="A25285" t="s">
        <v>40436</v>
      </c>
      <c r="B25285" t="s">
        <v>7473</v>
      </c>
      <c r="C25285" t="s">
        <v>40437</v>
      </c>
      <c r="D25285" t="s">
        <v>2038</v>
      </c>
      <c r="E25285" t="s">
        <v>104</v>
      </c>
      <c r="F25285" s="2" t="str">
        <f>HYPERLINK("http://www.otzar.org/book.asp?624710","מעשיות נוראים ונפלאים")</f>
        <v>מעשיות נוראים ונפלאים</v>
      </c>
    </row>
    <row r="25286" spans="1:6" x14ac:dyDescent="0.2">
      <c r="A25286" t="s">
        <v>40438</v>
      </c>
      <c r="B25286" t="s">
        <v>40439</v>
      </c>
      <c r="C25286" t="s">
        <v>473</v>
      </c>
      <c r="D25286" t="s">
        <v>14954</v>
      </c>
      <c r="F25286" s="2" t="str">
        <f>HYPERLINK("http://www.otzar.org/book.asp?608911","מעשיות נוראים")</f>
        <v>מעשיות נוראים</v>
      </c>
    </row>
    <row r="25287" spans="1:6" x14ac:dyDescent="0.2">
      <c r="A25287" t="s">
        <v>40440</v>
      </c>
      <c r="B25287" t="s">
        <v>40440</v>
      </c>
      <c r="C25287" t="s">
        <v>2076</v>
      </c>
      <c r="D25287" t="s">
        <v>1279</v>
      </c>
      <c r="E25287" t="s">
        <v>104</v>
      </c>
      <c r="F25287" s="2" t="str">
        <f>HYPERLINK("http://www.otzar.org/book.asp?51649","מעשיות פליאות נוראים ונפלאים")</f>
        <v>מעשיות פליאות נוראים ונפלאים</v>
      </c>
    </row>
    <row r="25288" spans="1:6" x14ac:dyDescent="0.2">
      <c r="A25288" t="s">
        <v>40441</v>
      </c>
      <c r="B25288" t="s">
        <v>40440</v>
      </c>
      <c r="C25288" t="s">
        <v>1885</v>
      </c>
      <c r="D25288" t="s">
        <v>1117</v>
      </c>
      <c r="E25288" t="s">
        <v>104</v>
      </c>
      <c r="F25288" s="2" t="str">
        <f>HYPERLINK("http://www.otzar.org/book.asp?182436","מעשיות פליאות")</f>
        <v>מעשיות פליאות</v>
      </c>
    </row>
    <row r="25289" spans="1:6" x14ac:dyDescent="0.2">
      <c r="A25289" t="s">
        <v>40442</v>
      </c>
      <c r="B25289" t="s">
        <v>7473</v>
      </c>
      <c r="C25289" t="s">
        <v>1470</v>
      </c>
      <c r="D25289" t="s">
        <v>40443</v>
      </c>
      <c r="E25289" t="s">
        <v>104</v>
      </c>
      <c r="F25289" s="2" t="str">
        <f>HYPERLINK("http://www.otzar.org/book.asp?23683","מעשים טובים")</f>
        <v>מעשים טובים</v>
      </c>
    </row>
    <row r="25290" spans="1:6" x14ac:dyDescent="0.2">
      <c r="A25290" t="s">
        <v>40444</v>
      </c>
      <c r="B25290" t="s">
        <v>1973</v>
      </c>
      <c r="C25290" t="s">
        <v>17</v>
      </c>
      <c r="D25290" t="s">
        <v>1974</v>
      </c>
      <c r="F25290" s="2" t="str">
        <f>HYPERLINK("http://www.otzar.org/book.asp?196759","מעשים נפלאים")</f>
        <v>מעשים נפלאים</v>
      </c>
    </row>
    <row r="25291" spans="1:6" x14ac:dyDescent="0.2">
      <c r="A25291" t="s">
        <v>40445</v>
      </c>
      <c r="B25291" t="s">
        <v>2191</v>
      </c>
      <c r="C25291" t="s">
        <v>51</v>
      </c>
      <c r="D25291" t="s">
        <v>52</v>
      </c>
      <c r="E25291" t="s">
        <v>202</v>
      </c>
      <c r="F25291" s="2" t="str">
        <f>HYPERLINK("http://www.otzar.org/book.asp?157589","מעשים שבכל יום - א")</f>
        <v>מעשים שבכל יום - א</v>
      </c>
    </row>
    <row r="25292" spans="1:6" x14ac:dyDescent="0.2">
      <c r="A25292" t="s">
        <v>40446</v>
      </c>
      <c r="B25292" t="s">
        <v>1909</v>
      </c>
      <c r="C25292" t="s">
        <v>356</v>
      </c>
      <c r="D25292" t="s">
        <v>14</v>
      </c>
      <c r="E25292" t="s">
        <v>15</v>
      </c>
      <c r="F25292" s="2" t="str">
        <f>HYPERLINK("http://www.otzar.org/book.asp?151262","מעשר כספים")</f>
        <v>מעשר כספים</v>
      </c>
    </row>
    <row r="25293" spans="1:6" x14ac:dyDescent="0.2">
      <c r="A25293" t="s">
        <v>40447</v>
      </c>
      <c r="B25293" t="s">
        <v>34805</v>
      </c>
      <c r="C25293" t="s">
        <v>103</v>
      </c>
      <c r="D25293" t="s">
        <v>14</v>
      </c>
      <c r="F25293" s="2" t="str">
        <f>HYPERLINK("http://www.otzar.org/book.asp?620145","מעת לעטרת - 12 כר'")</f>
        <v>מעת לעטרת - 12 כר'</v>
      </c>
    </row>
    <row r="25294" spans="1:6" x14ac:dyDescent="0.2">
      <c r="A25294" t="s">
        <v>40448</v>
      </c>
      <c r="B25294" t="s">
        <v>18539</v>
      </c>
      <c r="C25294" t="s">
        <v>146</v>
      </c>
      <c r="D25294" t="s">
        <v>14</v>
      </c>
      <c r="E25294" t="s">
        <v>213</v>
      </c>
      <c r="F25294" s="2" t="str">
        <f>HYPERLINK("http://www.otzar.org/book.asp?50129","מפארי לב")</f>
        <v>מפארי לב</v>
      </c>
    </row>
    <row r="25295" spans="1:6" x14ac:dyDescent="0.2">
      <c r="A25295" t="s">
        <v>40449</v>
      </c>
      <c r="B25295" t="s">
        <v>33258</v>
      </c>
      <c r="C25295" t="s">
        <v>20</v>
      </c>
      <c r="D25295" t="s">
        <v>90</v>
      </c>
      <c r="E25295" t="s">
        <v>119</v>
      </c>
      <c r="F25295" s="2" t="str">
        <f>HYPERLINK("http://www.otzar.org/book.asp?151261","מפולין לארץ ישראל")</f>
        <v>מפולין לארץ ישראל</v>
      </c>
    </row>
    <row r="25296" spans="1:6" x14ac:dyDescent="0.2">
      <c r="A25296" t="s">
        <v>40450</v>
      </c>
      <c r="B25296" t="s">
        <v>686</v>
      </c>
      <c r="C25296" t="s">
        <v>422</v>
      </c>
      <c r="D25296" t="s">
        <v>52</v>
      </c>
      <c r="E25296" t="s">
        <v>104</v>
      </c>
      <c r="F25296" s="2" t="str">
        <f>HYPERLINK("http://www.otzar.org/book.asp?148225","מפז יקרה")</f>
        <v>מפז יקרה</v>
      </c>
    </row>
    <row r="25297" spans="1:6" x14ac:dyDescent="0.2">
      <c r="A25297" t="s">
        <v>40451</v>
      </c>
      <c r="B25297" t="s">
        <v>40452</v>
      </c>
      <c r="C25297" t="s">
        <v>2543</v>
      </c>
      <c r="D25297" t="s">
        <v>27</v>
      </c>
      <c r="E25297" t="s">
        <v>154</v>
      </c>
      <c r="F25297" s="2" t="str">
        <f>HYPERLINK("http://www.otzar.org/book.asp?20243","מפי אהרן")</f>
        <v>מפי אהרן</v>
      </c>
    </row>
    <row r="25298" spans="1:6" x14ac:dyDescent="0.2">
      <c r="A25298" t="s">
        <v>40453</v>
      </c>
      <c r="B25298" t="s">
        <v>40454</v>
      </c>
      <c r="C25298" t="s">
        <v>427</v>
      </c>
      <c r="D25298" t="s">
        <v>1356</v>
      </c>
      <c r="E25298" t="s">
        <v>119</v>
      </c>
      <c r="F25298" s="2" t="str">
        <f>HYPERLINK("http://www.otzar.org/book.asp?106600","מפי אוד מוצל")</f>
        <v>מפי אוד מוצל</v>
      </c>
    </row>
    <row r="25299" spans="1:6" x14ac:dyDescent="0.2">
      <c r="A25299" t="s">
        <v>40455</v>
      </c>
      <c r="B25299" t="s">
        <v>40456</v>
      </c>
      <c r="D25299" t="s">
        <v>3560</v>
      </c>
      <c r="E25299" t="s">
        <v>246</v>
      </c>
      <c r="F25299" s="2" t="str">
        <f>HYPERLINK("http://www.otzar.org/book.asp?608447","מפי אריה - מועדים")</f>
        <v>מפי אריה - מועדים</v>
      </c>
    </row>
    <row r="25300" spans="1:6" x14ac:dyDescent="0.2">
      <c r="A25300" t="s">
        <v>40457</v>
      </c>
      <c r="B25300" t="s">
        <v>40458</v>
      </c>
      <c r="C25300" t="s">
        <v>445</v>
      </c>
      <c r="D25300" t="s">
        <v>267</v>
      </c>
      <c r="E25300" t="s">
        <v>119</v>
      </c>
      <c r="F25300" s="2" t="str">
        <f>HYPERLINK("http://www.otzar.org/book.asp?189594","מפי אריה")</f>
        <v>מפי אריה</v>
      </c>
    </row>
    <row r="25301" spans="1:6" x14ac:dyDescent="0.2">
      <c r="A25301" t="s">
        <v>40459</v>
      </c>
      <c r="B25301" t="s">
        <v>40460</v>
      </c>
      <c r="C25301" t="s">
        <v>224</v>
      </c>
      <c r="D25301" t="s">
        <v>27</v>
      </c>
      <c r="E25301" t="s">
        <v>119</v>
      </c>
      <c r="F25301" s="2" t="str">
        <f>HYPERLINK("http://www.otzar.org/book.asp?173151","מפי דודי")</f>
        <v>מפי דודי</v>
      </c>
    </row>
    <row r="25302" spans="1:6" x14ac:dyDescent="0.2">
      <c r="A25302" t="s">
        <v>40461</v>
      </c>
      <c r="B25302" t="s">
        <v>40462</v>
      </c>
      <c r="C25302" t="s">
        <v>111</v>
      </c>
      <c r="D25302" t="s">
        <v>486</v>
      </c>
      <c r="E25302" t="s">
        <v>2153</v>
      </c>
      <c r="F25302" s="2" t="str">
        <f>HYPERLINK("http://www.otzar.org/book.asp?628102","מפי זרעו")</f>
        <v>מפי זרעו</v>
      </c>
    </row>
    <row r="25303" spans="1:6" x14ac:dyDescent="0.2">
      <c r="A25303" t="s">
        <v>40463</v>
      </c>
      <c r="B25303" t="s">
        <v>40464</v>
      </c>
      <c r="C25303" t="s">
        <v>133</v>
      </c>
      <c r="D25303" t="s">
        <v>412</v>
      </c>
      <c r="E25303" t="s">
        <v>393</v>
      </c>
      <c r="F25303" s="2" t="str">
        <f>HYPERLINK("http://www.otzar.org/book.asp?173568","מפי חסידים")</f>
        <v>מפי חסידים</v>
      </c>
    </row>
    <row r="25304" spans="1:6" x14ac:dyDescent="0.2">
      <c r="A25304" t="s">
        <v>40465</v>
      </c>
      <c r="B25304" t="s">
        <v>40466</v>
      </c>
      <c r="C25304" t="s">
        <v>13</v>
      </c>
      <c r="D25304" t="s">
        <v>52</v>
      </c>
      <c r="E25304" t="s">
        <v>15</v>
      </c>
      <c r="F25304" s="2" t="str">
        <f>HYPERLINK("http://www.otzar.org/book.asp?610791","מפי כהן - 7 כר'")</f>
        <v>מפי כהן - 7 כר'</v>
      </c>
    </row>
    <row r="25305" spans="1:6" x14ac:dyDescent="0.2">
      <c r="A25305" t="s">
        <v>40467</v>
      </c>
      <c r="B25305" t="s">
        <v>645</v>
      </c>
      <c r="C25305" t="s">
        <v>133</v>
      </c>
      <c r="D25305" t="s">
        <v>90</v>
      </c>
      <c r="E25305" t="s">
        <v>84</v>
      </c>
      <c r="F25305" s="2" t="str">
        <f>HYPERLINK("http://www.otzar.org/book.asp?177009","מפי סופרים וספרים - 10 כר'")</f>
        <v>מפי סופרים וספרים - 10 כר'</v>
      </c>
    </row>
    <row r="25306" spans="1:6" x14ac:dyDescent="0.2">
      <c r="A25306" t="s">
        <v>40468</v>
      </c>
      <c r="B25306" t="s">
        <v>40469</v>
      </c>
      <c r="C25306" t="s">
        <v>523</v>
      </c>
      <c r="D25306" t="s">
        <v>646</v>
      </c>
      <c r="E25306" t="s">
        <v>15</v>
      </c>
      <c r="F25306" s="2" t="str">
        <f>HYPERLINK("http://www.otzar.org/book.asp?602833","מפי עוללים")</f>
        <v>מפי עוללים</v>
      </c>
    </row>
    <row r="25307" spans="1:6" x14ac:dyDescent="0.2">
      <c r="A25307" t="s">
        <v>40470</v>
      </c>
      <c r="B25307" t="s">
        <v>40471</v>
      </c>
      <c r="C25307" t="s">
        <v>411</v>
      </c>
      <c r="D25307" t="s">
        <v>14</v>
      </c>
      <c r="E25307" t="s">
        <v>3798</v>
      </c>
      <c r="F25307" s="2" t="str">
        <f>HYPERLINK("http://www.otzar.org/book.asp?606703","מפיהם ומפי כתבם - 3 כר'")</f>
        <v>מפיהם ומפי כתבם - 3 כר'</v>
      </c>
    </row>
    <row r="25308" spans="1:6" x14ac:dyDescent="0.2">
      <c r="A25308" t="s">
        <v>40472</v>
      </c>
      <c r="B25308" t="s">
        <v>40473</v>
      </c>
      <c r="C25308" t="s">
        <v>13</v>
      </c>
      <c r="D25308" t="s">
        <v>52</v>
      </c>
      <c r="E25308" t="s">
        <v>213</v>
      </c>
      <c r="F25308" s="2" t="str">
        <f>HYPERLINK("http://www.otzar.org/book.asp?198436","מפיהם")</f>
        <v>מפיהם</v>
      </c>
    </row>
    <row r="25309" spans="1:6" x14ac:dyDescent="0.2">
      <c r="A25309" t="s">
        <v>40474</v>
      </c>
      <c r="B25309" t="s">
        <v>40475</v>
      </c>
      <c r="C25309" t="s">
        <v>37</v>
      </c>
      <c r="D25309" t="s">
        <v>14</v>
      </c>
      <c r="F25309" s="2" t="str">
        <f>HYPERLINK("http://www.otzar.org/book.asp?622316","מפינסק ועד ירושלים - 2 כר'")</f>
        <v>מפינסק ועד ירושלים - 2 כר'</v>
      </c>
    </row>
    <row r="25310" spans="1:6" x14ac:dyDescent="0.2">
      <c r="A25310" t="s">
        <v>40476</v>
      </c>
      <c r="B25310" t="s">
        <v>40477</v>
      </c>
      <c r="C25310" t="s">
        <v>351</v>
      </c>
      <c r="D25310" t="s">
        <v>56</v>
      </c>
      <c r="E25310" t="s">
        <v>104</v>
      </c>
      <c r="F25310" s="2" t="str">
        <f>HYPERLINK("http://www.otzar.org/book.asp?108372","מפיק מרגליות")</f>
        <v>מפיק מרגליות</v>
      </c>
    </row>
    <row r="25311" spans="1:6" x14ac:dyDescent="0.2">
      <c r="A25311" t="s">
        <v>40478</v>
      </c>
      <c r="B25311" t="s">
        <v>1320</v>
      </c>
      <c r="C25311" t="s">
        <v>1470</v>
      </c>
      <c r="D25311" t="s">
        <v>27</v>
      </c>
      <c r="E25311" t="s">
        <v>144</v>
      </c>
      <c r="F25311" s="2" t="str">
        <f>HYPERLINK("http://www.otzar.org/book.asp?11258","מפירושו של הרמב""ם ז""ל למס' שבת")</f>
        <v>מפירושו של הרמב"ם ז"ל למס' שבת</v>
      </c>
    </row>
    <row r="25312" spans="1:6" x14ac:dyDescent="0.2">
      <c r="A25312" t="s">
        <v>40479</v>
      </c>
      <c r="B25312" t="s">
        <v>1821</v>
      </c>
      <c r="C25312" t="s">
        <v>454</v>
      </c>
      <c r="D25312" t="s">
        <v>21</v>
      </c>
      <c r="F25312" s="2" t="str">
        <f>HYPERLINK("http://www.otzar.org/book.asp?199967","מפירושי הגר""א על התורה")</f>
        <v>מפירושי הגר"א על התורה</v>
      </c>
    </row>
    <row r="25313" spans="1:6" x14ac:dyDescent="0.2">
      <c r="A25313" t="s">
        <v>40480</v>
      </c>
      <c r="B25313" t="s">
        <v>40481</v>
      </c>
      <c r="C25313" t="s">
        <v>422</v>
      </c>
      <c r="D25313" t="s">
        <v>115</v>
      </c>
      <c r="E25313" t="s">
        <v>158</v>
      </c>
      <c r="F25313" s="2" t="str">
        <f>HYPERLINK("http://www.otzar.org/book.asp?161611","מפירות האילן")</f>
        <v>מפירות האילן</v>
      </c>
    </row>
    <row r="25314" spans="1:6" x14ac:dyDescent="0.2">
      <c r="A25314" t="s">
        <v>40482</v>
      </c>
      <c r="B25314" t="s">
        <v>40483</v>
      </c>
      <c r="C25314" t="s">
        <v>2132</v>
      </c>
      <c r="D25314" t="s">
        <v>3161</v>
      </c>
      <c r="E25314" t="s">
        <v>104</v>
      </c>
      <c r="F25314" s="2" t="str">
        <f>HYPERLINK("http://www.otzar.org/book.asp?605427","מפלאי הבריאה")</f>
        <v>מפלאי הבריאה</v>
      </c>
    </row>
    <row r="25315" spans="1:6" x14ac:dyDescent="0.2">
      <c r="A25315" t="s">
        <v>40484</v>
      </c>
      <c r="B25315" t="s">
        <v>40485</v>
      </c>
      <c r="C25315" t="s">
        <v>9946</v>
      </c>
      <c r="D25315" t="s">
        <v>60</v>
      </c>
      <c r="E25315" t="s">
        <v>3363</v>
      </c>
      <c r="F25315" s="2" t="str">
        <f>HYPERLINK("http://www.otzar.org/book.asp?151469","מפלגי ראובן")</f>
        <v>מפלגי ראובן</v>
      </c>
    </row>
    <row r="25316" spans="1:6" x14ac:dyDescent="0.2">
      <c r="A25316" t="s">
        <v>40486</v>
      </c>
      <c r="B25316" t="s">
        <v>18900</v>
      </c>
      <c r="C25316" t="s">
        <v>6054</v>
      </c>
      <c r="D25316" t="s">
        <v>1654</v>
      </c>
      <c r="F25316" s="2" t="str">
        <f>HYPERLINK("http://www.otzar.org/book.asp?616301","מפלת יודפת")</f>
        <v>מפלת יודפת</v>
      </c>
    </row>
    <row r="25317" spans="1:6" x14ac:dyDescent="0.2">
      <c r="A25317" t="s">
        <v>40487</v>
      </c>
      <c r="B25317" t="s">
        <v>22501</v>
      </c>
      <c r="D25317" t="s">
        <v>21</v>
      </c>
      <c r="E25317" t="s">
        <v>213</v>
      </c>
      <c r="F25317" s="2" t="str">
        <f>HYPERLINK("http://www.otzar.org/book.asp?623712","מפני מה אסור להשתתף בבחירות")</f>
        <v>מפני מה אסור להשתתף בבחירות</v>
      </c>
    </row>
    <row r="25318" spans="1:6" x14ac:dyDescent="0.2">
      <c r="A25318" t="s">
        <v>40488</v>
      </c>
      <c r="B25318" t="s">
        <v>5846</v>
      </c>
      <c r="C25318" t="s">
        <v>466</v>
      </c>
      <c r="D25318" t="s">
        <v>216</v>
      </c>
      <c r="E25318" t="s">
        <v>241</v>
      </c>
      <c r="F25318" s="2" t="str">
        <f>HYPERLINK("http://www.otzar.org/book.asp?21867","מפניני המהר""ל מפראג")</f>
        <v>מפניני המהר"ל מפראג</v>
      </c>
    </row>
    <row r="25319" spans="1:6" x14ac:dyDescent="0.2">
      <c r="A25319" t="s">
        <v>40489</v>
      </c>
      <c r="B25319" t="s">
        <v>1320</v>
      </c>
      <c r="C25319" t="s">
        <v>224</v>
      </c>
      <c r="D25319" t="s">
        <v>9</v>
      </c>
      <c r="E25319" t="s">
        <v>158</v>
      </c>
      <c r="F25319" s="2" t="str">
        <f>HYPERLINK("http://www.otzar.org/book.asp?16491","מפניני הרמב""ם - 5 כר'")</f>
        <v>מפניני הרמב"ם - 5 כר'</v>
      </c>
    </row>
    <row r="25320" spans="1:6" x14ac:dyDescent="0.2">
      <c r="A25320" t="s">
        <v>40490</v>
      </c>
      <c r="B25320" t="s">
        <v>40491</v>
      </c>
      <c r="C25320" t="s">
        <v>366</v>
      </c>
      <c r="D25320" t="s">
        <v>1156</v>
      </c>
      <c r="E25320" t="s">
        <v>154</v>
      </c>
      <c r="F25320" s="2" t="str">
        <f>HYPERLINK("http://www.otzar.org/book.asp?610998","מפנקס בית הדין")</f>
        <v>מפנקס בית הדין</v>
      </c>
    </row>
    <row r="25321" spans="1:6" x14ac:dyDescent="0.2">
      <c r="A25321" t="s">
        <v>40492</v>
      </c>
      <c r="B25321" t="s">
        <v>6014</v>
      </c>
      <c r="C25321" t="s">
        <v>189</v>
      </c>
      <c r="D25321" t="s">
        <v>216</v>
      </c>
      <c r="E25321" t="s">
        <v>104</v>
      </c>
      <c r="F25321" s="2" t="str">
        <f>HYPERLINK("http://www.otzar.org/book.asp?61691","מפנקסו של מרצה")</f>
        <v>מפנקסו של מרצה</v>
      </c>
    </row>
    <row r="25322" spans="1:6" x14ac:dyDescent="0.2">
      <c r="A25322" t="s">
        <v>40493</v>
      </c>
      <c r="B25322" t="s">
        <v>40494</v>
      </c>
      <c r="C25322" t="s">
        <v>1160</v>
      </c>
      <c r="D25322" t="s">
        <v>14</v>
      </c>
      <c r="E25322" t="s">
        <v>733</v>
      </c>
      <c r="F25322" s="2" t="str">
        <f>HYPERLINK("http://www.otzar.org/book.asp?172037","מפנקסו של עיתונאי חסיד")</f>
        <v>מפנקסו של עיתונאי חסיד</v>
      </c>
    </row>
    <row r="25323" spans="1:6" x14ac:dyDescent="0.2">
      <c r="A25323" t="s">
        <v>40495</v>
      </c>
      <c r="B25323" t="s">
        <v>17027</v>
      </c>
      <c r="C25323" t="s">
        <v>366</v>
      </c>
      <c r="D25323" t="s">
        <v>27</v>
      </c>
      <c r="E25323" t="s">
        <v>154</v>
      </c>
      <c r="F25323" s="2" t="str">
        <f>HYPERLINK("http://www.otzar.org/book.asp?628667","מפסקי הרב עזיאל במבחן הזמן - 2 כר'")</f>
        <v>מפסקי הרב עזיאל במבחן הזמן - 2 כר'</v>
      </c>
    </row>
    <row r="25324" spans="1:6" x14ac:dyDescent="0.2">
      <c r="A25324" t="s">
        <v>40496</v>
      </c>
      <c r="B25324" t="s">
        <v>6506</v>
      </c>
      <c r="C25324" t="s">
        <v>111</v>
      </c>
      <c r="D25324" t="s">
        <v>14</v>
      </c>
      <c r="E25324" t="s">
        <v>15</v>
      </c>
      <c r="F25324" s="2" t="str">
        <f>HYPERLINK("http://www.otzar.org/book.asp?627651","מפסקי ישראל")</f>
        <v>מפסקי ישראל</v>
      </c>
    </row>
    <row r="25325" spans="1:6" x14ac:dyDescent="0.2">
      <c r="A25325" t="s">
        <v>40497</v>
      </c>
      <c r="B25325" t="s">
        <v>17467</v>
      </c>
      <c r="C25325" t="s">
        <v>2617</v>
      </c>
      <c r="D25325" t="s">
        <v>1279</v>
      </c>
      <c r="E25325" t="s">
        <v>241</v>
      </c>
      <c r="F25325" s="2" t="str">
        <f>HYPERLINK("http://www.otzar.org/book.asp?6399","מפעלות אלהים - 4 כר'")</f>
        <v>מפעלות אלהים - 4 כר'</v>
      </c>
    </row>
    <row r="25326" spans="1:6" x14ac:dyDescent="0.2">
      <c r="A25326" t="s">
        <v>40498</v>
      </c>
      <c r="B25326" t="s">
        <v>40499</v>
      </c>
      <c r="C25326" t="s">
        <v>87</v>
      </c>
      <c r="D25326" t="s">
        <v>14</v>
      </c>
      <c r="F25326" s="2" t="str">
        <f>HYPERLINK("http://www.otzar.org/book.asp?621797","מפעלות אלקים &lt;מהדורה חדשה&gt;")</f>
        <v>מפעלות אלקים &lt;מהדורה חדשה&gt;</v>
      </c>
    </row>
    <row r="25327" spans="1:6" x14ac:dyDescent="0.2">
      <c r="A25327" t="s">
        <v>40500</v>
      </c>
      <c r="B25327" t="s">
        <v>40501</v>
      </c>
      <c r="C25327" t="s">
        <v>2289</v>
      </c>
      <c r="D25327" t="s">
        <v>19631</v>
      </c>
      <c r="E25327" t="s">
        <v>1438</v>
      </c>
      <c r="F25327" s="2" t="str">
        <f>HYPERLINK("http://www.otzar.org/book.asp?53449","מפעלות אלקים")</f>
        <v>מפעלות אלקים</v>
      </c>
    </row>
    <row r="25328" spans="1:6" x14ac:dyDescent="0.2">
      <c r="A25328" t="s">
        <v>40500</v>
      </c>
      <c r="B25328" t="s">
        <v>40502</v>
      </c>
      <c r="C25328" t="s">
        <v>2269</v>
      </c>
      <c r="D25328" t="s">
        <v>60</v>
      </c>
      <c r="E25328" t="s">
        <v>1438</v>
      </c>
      <c r="F25328" s="2" t="str">
        <f>HYPERLINK("http://www.otzar.org/book.asp?168626","מפעלות אלקים")</f>
        <v>מפעלות אלקים</v>
      </c>
    </row>
    <row r="25329" spans="1:6" x14ac:dyDescent="0.2">
      <c r="A25329" t="s">
        <v>40500</v>
      </c>
      <c r="B25329" t="s">
        <v>40503</v>
      </c>
      <c r="C25329" t="s">
        <v>1278</v>
      </c>
      <c r="D25329" t="s">
        <v>292</v>
      </c>
      <c r="E25329" t="s">
        <v>1438</v>
      </c>
      <c r="F25329" s="2" t="str">
        <f>HYPERLINK("http://www.otzar.org/book.asp?107097","מפעלות אלקים")</f>
        <v>מפעלות אלקים</v>
      </c>
    </row>
    <row r="25330" spans="1:6" x14ac:dyDescent="0.2">
      <c r="A25330" t="s">
        <v>40500</v>
      </c>
      <c r="B25330" t="s">
        <v>40504</v>
      </c>
      <c r="C25330" t="s">
        <v>752</v>
      </c>
      <c r="D25330" t="s">
        <v>267</v>
      </c>
      <c r="E25330" t="s">
        <v>1438</v>
      </c>
      <c r="F25330" s="2" t="str">
        <f>HYPERLINK("http://www.otzar.org/book.asp?101380","מפעלות אלקים")</f>
        <v>מפעלות אלקים</v>
      </c>
    </row>
    <row r="25331" spans="1:6" x14ac:dyDescent="0.2">
      <c r="A25331" t="s">
        <v>40505</v>
      </c>
      <c r="B25331" t="s">
        <v>23776</v>
      </c>
      <c r="C25331" t="s">
        <v>8</v>
      </c>
      <c r="D25331" t="s">
        <v>726</v>
      </c>
      <c r="E25331" t="s">
        <v>741</v>
      </c>
      <c r="F25331" s="2" t="str">
        <f>HYPERLINK("http://www.otzar.org/book.asp?146815","מפעלות הצדיקים - 2 כר'")</f>
        <v>מפעלות הצדיקים - 2 כר'</v>
      </c>
    </row>
    <row r="25332" spans="1:6" x14ac:dyDescent="0.2">
      <c r="A25332" t="s">
        <v>40506</v>
      </c>
      <c r="B25332" t="s">
        <v>40507</v>
      </c>
      <c r="C25332" t="s">
        <v>189</v>
      </c>
      <c r="D25332" t="s">
        <v>646</v>
      </c>
      <c r="E25332" t="s">
        <v>119</v>
      </c>
      <c r="F25332" s="2" t="str">
        <f>HYPERLINK("http://www.otzar.org/book.asp?171399","מפעלות עבדי יעקב")</f>
        <v>מפעלות עבדי יעקב</v>
      </c>
    </row>
    <row r="25333" spans="1:6" x14ac:dyDescent="0.2">
      <c r="A25333" t="s">
        <v>40508</v>
      </c>
      <c r="B25333" t="s">
        <v>40509</v>
      </c>
      <c r="C25333" t="s">
        <v>14712</v>
      </c>
      <c r="D25333" t="s">
        <v>10557</v>
      </c>
      <c r="E25333" t="s">
        <v>104</v>
      </c>
      <c r="F25333" s="2" t="str">
        <f>HYPERLINK("http://www.otzar.org/book.asp?626558","מפעלות צדיקים החדש")</f>
        <v>מפעלות צדיקים החדש</v>
      </c>
    </row>
    <row r="25334" spans="1:6" x14ac:dyDescent="0.2">
      <c r="A25334" t="s">
        <v>40510</v>
      </c>
      <c r="B25334" t="s">
        <v>40511</v>
      </c>
      <c r="E25334" t="s">
        <v>733</v>
      </c>
      <c r="F25334" s="2" t="str">
        <f>HYPERLINK("http://www.otzar.org/book.asp?64220","מפעלי הצדיק")</f>
        <v>מפעלי הצדיק</v>
      </c>
    </row>
    <row r="25335" spans="1:6" x14ac:dyDescent="0.2">
      <c r="A25335" t="s">
        <v>40512</v>
      </c>
      <c r="B25335" t="s">
        <v>29600</v>
      </c>
      <c r="C25335" t="s">
        <v>812</v>
      </c>
      <c r="D25335" t="s">
        <v>216</v>
      </c>
      <c r="E25335" t="s">
        <v>144</v>
      </c>
      <c r="F25335" s="2" t="str">
        <f>HYPERLINK("http://www.otzar.org/book.asp?619244","מפענח נעלמים - 2 כר'")</f>
        <v>מפענח נעלמים - 2 כר'</v>
      </c>
    </row>
    <row r="25336" spans="1:6" x14ac:dyDescent="0.2">
      <c r="A25336" t="s">
        <v>40513</v>
      </c>
      <c r="B25336" t="s">
        <v>28423</v>
      </c>
      <c r="C25336" t="s">
        <v>1166</v>
      </c>
      <c r="D25336" t="s">
        <v>225</v>
      </c>
      <c r="E25336" t="s">
        <v>40514</v>
      </c>
      <c r="F25336" s="2" t="str">
        <f>HYPERLINK("http://www.otzar.org/book.asp?140976","מפענח נעלמים")</f>
        <v>מפענח נעלמים</v>
      </c>
    </row>
    <row r="25337" spans="1:6" x14ac:dyDescent="0.2">
      <c r="A25337" t="s">
        <v>40515</v>
      </c>
      <c r="B25337" t="s">
        <v>9096</v>
      </c>
      <c r="C25337" t="s">
        <v>124</v>
      </c>
      <c r="D25337" t="s">
        <v>14</v>
      </c>
      <c r="E25337" t="s">
        <v>144</v>
      </c>
      <c r="F25337" s="2" t="str">
        <f>HYPERLINK("http://www.otzar.org/book.asp?149349","מפענח צפונות")</f>
        <v>מפענח צפונות</v>
      </c>
    </row>
    <row r="25338" spans="1:6" x14ac:dyDescent="0.2">
      <c r="A25338" t="s">
        <v>40516</v>
      </c>
      <c r="B25338" t="s">
        <v>1353</v>
      </c>
      <c r="C25338" t="s">
        <v>523</v>
      </c>
      <c r="D25338" t="s">
        <v>52</v>
      </c>
      <c r="E25338" t="s">
        <v>241</v>
      </c>
      <c r="F25338" s="2" t="str">
        <f>HYPERLINK("http://www.otzar.org/book.asp?106405","מפקודיך אתבונן - א")</f>
        <v>מפקודיך אתבונן - א</v>
      </c>
    </row>
    <row r="25339" spans="1:6" x14ac:dyDescent="0.2">
      <c r="A25339" t="s">
        <v>40517</v>
      </c>
      <c r="B25339" t="s">
        <v>19004</v>
      </c>
      <c r="C25339" t="s">
        <v>20</v>
      </c>
      <c r="D25339" t="s">
        <v>216</v>
      </c>
      <c r="E25339" t="s">
        <v>119</v>
      </c>
      <c r="F25339" s="2" t="str">
        <f>HYPERLINK("http://www.otzar.org/book.asp?176720","מפרוזדור לטרקלין")</f>
        <v>מפרוזדור לטרקלין</v>
      </c>
    </row>
    <row r="25340" spans="1:6" x14ac:dyDescent="0.2">
      <c r="A25340" t="s">
        <v>40518</v>
      </c>
      <c r="B25340" t="s">
        <v>8330</v>
      </c>
      <c r="C25340" t="s">
        <v>114</v>
      </c>
      <c r="D25340" t="s">
        <v>52</v>
      </c>
      <c r="F25340" s="2" t="str">
        <f>HYPERLINK("http://www.otzar.org/book.asp?613608","מפרי אפרים")</f>
        <v>מפרי אפרים</v>
      </c>
    </row>
    <row r="25341" spans="1:6" x14ac:dyDescent="0.2">
      <c r="A25341" t="s">
        <v>40519</v>
      </c>
      <c r="B25341" t="s">
        <v>40520</v>
      </c>
      <c r="C25341" t="s">
        <v>585</v>
      </c>
      <c r="D25341" t="s">
        <v>14</v>
      </c>
      <c r="E25341" t="s">
        <v>2091</v>
      </c>
      <c r="F25341" s="2" t="str">
        <f>HYPERLINK("http://www.otzar.org/book.asp?60700","מפרי הארץ - 5 כר'")</f>
        <v>מפרי הארץ - 5 כר'</v>
      </c>
    </row>
    <row r="25342" spans="1:6" x14ac:dyDescent="0.2">
      <c r="A25342" t="s">
        <v>40521</v>
      </c>
      <c r="B25342" t="s">
        <v>40522</v>
      </c>
      <c r="C25342" t="s">
        <v>313</v>
      </c>
      <c r="D25342" t="s">
        <v>646</v>
      </c>
      <c r="E25342" t="s">
        <v>119</v>
      </c>
      <c r="F25342" s="2" t="str">
        <f>HYPERLINK("http://www.otzar.org/book.asp?613868","מפרי הגן - 2 כר'")</f>
        <v>מפרי הגן - 2 כר'</v>
      </c>
    </row>
    <row r="25343" spans="1:6" x14ac:dyDescent="0.2">
      <c r="A25343" t="s">
        <v>40523</v>
      </c>
      <c r="B25343" t="s">
        <v>40524</v>
      </c>
      <c r="C25343" t="s">
        <v>366</v>
      </c>
      <c r="D25343" t="s">
        <v>6151</v>
      </c>
      <c r="E25343" t="s">
        <v>144</v>
      </c>
      <c r="F25343" s="2" t="str">
        <f>HYPERLINK("http://www.otzar.org/book.asp?615528","מפרי הכרם - קידושין")</f>
        <v>מפרי הכרם - קידושין</v>
      </c>
    </row>
    <row r="25344" spans="1:6" x14ac:dyDescent="0.2">
      <c r="A25344" t="s">
        <v>40525</v>
      </c>
      <c r="B25344" t="s">
        <v>1005</v>
      </c>
      <c r="C25344" t="s">
        <v>523</v>
      </c>
      <c r="D25344" t="s">
        <v>52</v>
      </c>
      <c r="E25344" t="s">
        <v>202</v>
      </c>
      <c r="F25344" s="2" t="str">
        <f>HYPERLINK("http://www.otzar.org/book.asp?25818","מפרי ידיה")</f>
        <v>מפרי ידיה</v>
      </c>
    </row>
    <row r="25345" spans="1:6" x14ac:dyDescent="0.2">
      <c r="A25345" t="s">
        <v>40526</v>
      </c>
      <c r="B25345" t="s">
        <v>2796</v>
      </c>
      <c r="C25345" t="s">
        <v>176</v>
      </c>
      <c r="D25345" t="s">
        <v>2798</v>
      </c>
      <c r="E25345" t="s">
        <v>104</v>
      </c>
      <c r="F25345" s="2" t="str">
        <f>HYPERLINK("http://www.otzar.org/book.asp?63314","מפרי עטי")</f>
        <v>מפרי עטי</v>
      </c>
    </row>
    <row r="25346" spans="1:6" x14ac:dyDescent="0.2">
      <c r="A25346" t="s">
        <v>40527</v>
      </c>
      <c r="B25346" t="s">
        <v>8330</v>
      </c>
      <c r="C25346" t="s">
        <v>111</v>
      </c>
      <c r="D25346" t="s">
        <v>90</v>
      </c>
      <c r="E25346" t="s">
        <v>40528</v>
      </c>
      <c r="F25346" s="2" t="str">
        <f>HYPERLINK("http://www.otzar.org/book.asp?628515","מפרי פי איש השלם - 2 כר'")</f>
        <v>מפרי פי איש השלם - 2 כר'</v>
      </c>
    </row>
    <row r="25347" spans="1:6" x14ac:dyDescent="0.2">
      <c r="A25347" t="s">
        <v>40529</v>
      </c>
      <c r="B25347" t="s">
        <v>8330</v>
      </c>
      <c r="C25347" t="s">
        <v>129</v>
      </c>
      <c r="D25347" t="s">
        <v>52</v>
      </c>
      <c r="E25347" t="s">
        <v>39058</v>
      </c>
      <c r="F25347" s="2" t="str">
        <f>HYPERLINK("http://www.otzar.org/book.asp?168208","מפרי פי איש")</f>
        <v>מפרי פי איש</v>
      </c>
    </row>
    <row r="25348" spans="1:6" x14ac:dyDescent="0.2">
      <c r="A25348" t="s">
        <v>40530</v>
      </c>
      <c r="B25348" t="s">
        <v>11507</v>
      </c>
      <c r="C25348" t="s">
        <v>482</v>
      </c>
      <c r="D25348" t="s">
        <v>1654</v>
      </c>
      <c r="E25348" t="s">
        <v>733</v>
      </c>
      <c r="F25348" s="2" t="str">
        <f>HYPERLINK("http://www.otzar.org/book.asp?604158","מפרנקפורט עד ירושלים")</f>
        <v>מפרנקפורט עד ירושלים</v>
      </c>
    </row>
    <row r="25349" spans="1:6" x14ac:dyDescent="0.2">
      <c r="A25349" t="s">
        <v>40531</v>
      </c>
      <c r="B25349" t="s">
        <v>11884</v>
      </c>
      <c r="C25349" t="s">
        <v>15870</v>
      </c>
      <c r="D25349" t="s">
        <v>1411</v>
      </c>
      <c r="E25349" t="s">
        <v>219</v>
      </c>
      <c r="F25349" s="2" t="str">
        <f>HYPERLINK("http://www.otzar.org/book.asp?23522","מפרש חטאים")</f>
        <v>מפרש חטאים</v>
      </c>
    </row>
    <row r="25350" spans="1:6" x14ac:dyDescent="0.2">
      <c r="A25350" t="s">
        <v>40532</v>
      </c>
      <c r="B25350" t="s">
        <v>40533</v>
      </c>
      <c r="C25350" t="s">
        <v>40534</v>
      </c>
      <c r="D25350" t="s">
        <v>14</v>
      </c>
      <c r="E25350" t="s">
        <v>119</v>
      </c>
      <c r="F25350" s="2" t="str">
        <f>HYPERLINK("http://www.otzar.org/book.asp?603613","מפרשת השואה  - ג, ד")</f>
        <v>מפרשת השואה  - ג, ד</v>
      </c>
    </row>
    <row r="25351" spans="1:6" x14ac:dyDescent="0.2">
      <c r="A25351" t="s">
        <v>40535</v>
      </c>
      <c r="B25351" t="s">
        <v>40536</v>
      </c>
      <c r="C25351" t="s">
        <v>2617</v>
      </c>
      <c r="D25351" t="s">
        <v>267</v>
      </c>
      <c r="E25351" t="s">
        <v>234</v>
      </c>
      <c r="F25351" s="2" t="str">
        <f>HYPERLINK("http://www.otzar.org/book.asp?173032","מפתח בית דוד")</f>
        <v>מפתח בית דוד</v>
      </c>
    </row>
    <row r="25352" spans="1:6" x14ac:dyDescent="0.2">
      <c r="A25352" t="s">
        <v>40537</v>
      </c>
      <c r="B25352" t="s">
        <v>40537</v>
      </c>
      <c r="C25352" t="s">
        <v>940</v>
      </c>
      <c r="D25352" t="s">
        <v>52</v>
      </c>
      <c r="E25352" t="s">
        <v>104</v>
      </c>
      <c r="F25352" s="2" t="str">
        <f>HYPERLINK("http://www.otzar.org/book.asp?12042","מפתח בתי הלויים")</f>
        <v>מפתח בתי הלויים</v>
      </c>
    </row>
    <row r="25353" spans="1:6" x14ac:dyDescent="0.2">
      <c r="A25353" t="s">
        <v>40538</v>
      </c>
      <c r="B25353" t="s">
        <v>964</v>
      </c>
      <c r="C25353" t="s">
        <v>156</v>
      </c>
      <c r="D25353" t="s">
        <v>56</v>
      </c>
      <c r="E25353" t="s">
        <v>9760</v>
      </c>
      <c r="F25353" s="2" t="str">
        <f>HYPERLINK("http://www.otzar.org/book.asp?6593","מפתח האגדות")</f>
        <v>מפתח האגדות</v>
      </c>
    </row>
    <row r="25354" spans="1:6" x14ac:dyDescent="0.2">
      <c r="A25354" t="s">
        <v>40539</v>
      </c>
      <c r="B25354" t="s">
        <v>40539</v>
      </c>
      <c r="C25354" t="s">
        <v>919</v>
      </c>
      <c r="D25354" t="s">
        <v>14</v>
      </c>
      <c r="E25354" t="s">
        <v>104</v>
      </c>
      <c r="F25354" s="2" t="str">
        <f>HYPERLINK("http://www.otzar.org/book.asp?9057","מפתח האחיעזר")</f>
        <v>מפתח האחיעזר</v>
      </c>
    </row>
    <row r="25355" spans="1:6" x14ac:dyDescent="0.2">
      <c r="A25355" t="s">
        <v>40540</v>
      </c>
      <c r="B25355" t="s">
        <v>206</v>
      </c>
      <c r="C25355" t="s">
        <v>20</v>
      </c>
      <c r="D25355" t="s">
        <v>90</v>
      </c>
      <c r="E25355" t="s">
        <v>674</v>
      </c>
      <c r="F25355" s="2" t="str">
        <f>HYPERLINK("http://www.otzar.org/book.asp?162397","מפתח הביאורים על הרמב""ם")</f>
        <v>מפתח הביאורים על הרמב"ם</v>
      </c>
    </row>
    <row r="25356" spans="1:6" x14ac:dyDescent="0.2">
      <c r="A25356" t="s">
        <v>40541</v>
      </c>
      <c r="B25356" t="s">
        <v>40542</v>
      </c>
      <c r="C25356" t="s">
        <v>1619</v>
      </c>
      <c r="D25356" t="s">
        <v>52</v>
      </c>
      <c r="E25356" t="s">
        <v>1211</v>
      </c>
      <c r="F25356" s="2" t="str">
        <f>HYPERLINK("http://www.otzar.org/book.asp?104514","מפתח הביאורים")</f>
        <v>מפתח הביאורים</v>
      </c>
    </row>
    <row r="25357" spans="1:6" x14ac:dyDescent="0.2">
      <c r="A25357" t="s">
        <v>40543</v>
      </c>
      <c r="B25357" t="s">
        <v>40544</v>
      </c>
      <c r="C25357" t="s">
        <v>151</v>
      </c>
      <c r="D25357" t="s">
        <v>152</v>
      </c>
      <c r="E25357" t="s">
        <v>104</v>
      </c>
      <c r="F25357" s="2" t="str">
        <f>HYPERLINK("http://www.otzar.org/book.asp?621734","מפתח הבית")</f>
        <v>מפתח הבית</v>
      </c>
    </row>
    <row r="25358" spans="1:6" x14ac:dyDescent="0.2">
      <c r="A25358" t="s">
        <v>40545</v>
      </c>
      <c r="B25358" t="s">
        <v>40546</v>
      </c>
      <c r="C25358" t="s">
        <v>103</v>
      </c>
      <c r="D25358" t="s">
        <v>412</v>
      </c>
      <c r="E25358" t="s">
        <v>104</v>
      </c>
      <c r="F25358" s="2" t="str">
        <f>HYPERLINK("http://www.otzar.org/book.asp?170390","מפתח הדלת")</f>
        <v>מפתח הדלת</v>
      </c>
    </row>
    <row r="25359" spans="1:6" x14ac:dyDescent="0.2">
      <c r="A25359" t="s">
        <v>40547</v>
      </c>
      <c r="B25359" t="s">
        <v>648</v>
      </c>
      <c r="C25359" t="s">
        <v>40548</v>
      </c>
      <c r="D25359" t="s">
        <v>535</v>
      </c>
      <c r="E25359" t="s">
        <v>104</v>
      </c>
      <c r="F25359" s="2" t="str">
        <f>HYPERLINK("http://www.otzar.org/book.asp?150659","מפתח ההספדים - 4 כר'")</f>
        <v>מפתח ההספדים - 4 כר'</v>
      </c>
    </row>
    <row r="25360" spans="1:6" x14ac:dyDescent="0.2">
      <c r="A25360" t="s">
        <v>40549</v>
      </c>
      <c r="B25360" t="s">
        <v>40550</v>
      </c>
      <c r="C25360" t="s">
        <v>16450</v>
      </c>
      <c r="D25360" t="s">
        <v>1023</v>
      </c>
      <c r="E25360" t="s">
        <v>399</v>
      </c>
      <c r="F25360" s="2" t="str">
        <f>HYPERLINK("http://www.otzar.org/book.asp?23519","מפתח הזהר")</f>
        <v>מפתח הזהר</v>
      </c>
    </row>
    <row r="25361" spans="1:6" x14ac:dyDescent="0.2">
      <c r="A25361" t="s">
        <v>40551</v>
      </c>
      <c r="B25361" t="s">
        <v>40552</v>
      </c>
      <c r="C25361" t="s">
        <v>5544</v>
      </c>
      <c r="D25361" t="s">
        <v>49</v>
      </c>
      <c r="E25361" t="s">
        <v>1438</v>
      </c>
      <c r="F25361" s="2" t="str">
        <f>HYPERLINK("http://www.otzar.org/book.asp?182142","מפתח הזוהר - 2 כר'")</f>
        <v>מפתח הזוהר - 2 כר'</v>
      </c>
    </row>
    <row r="25362" spans="1:6" x14ac:dyDescent="0.2">
      <c r="A25362" t="s">
        <v>40553</v>
      </c>
      <c r="B25362" t="s">
        <v>206</v>
      </c>
      <c r="C25362" t="s">
        <v>20</v>
      </c>
      <c r="D25362" t="s">
        <v>90</v>
      </c>
      <c r="E25362" t="s">
        <v>104</v>
      </c>
      <c r="F25362" s="2" t="str">
        <f>HYPERLINK("http://www.otzar.org/book.asp?600990","מפתח החיים")</f>
        <v>מפתח החיים</v>
      </c>
    </row>
    <row r="25363" spans="1:6" x14ac:dyDescent="0.2">
      <c r="A25363" t="s">
        <v>40554</v>
      </c>
      <c r="B25363" t="s">
        <v>18539</v>
      </c>
      <c r="C25363" t="s">
        <v>20</v>
      </c>
      <c r="D25363" t="s">
        <v>14</v>
      </c>
      <c r="E25363" t="s">
        <v>104</v>
      </c>
      <c r="F25363" s="2" t="str">
        <f>HYPERLINK("http://www.otzar.org/book.asp?6349","מפתח החיים - התורה")</f>
        <v>מפתח החיים - התורה</v>
      </c>
    </row>
    <row r="25364" spans="1:6" x14ac:dyDescent="0.2">
      <c r="A25364" t="s">
        <v>40555</v>
      </c>
      <c r="B25364" t="s">
        <v>3306</v>
      </c>
      <c r="C25364" t="s">
        <v>17</v>
      </c>
      <c r="D25364" t="s">
        <v>14</v>
      </c>
      <c r="E25364" t="s">
        <v>399</v>
      </c>
      <c r="F25364" s="2" t="str">
        <f>HYPERLINK("http://www.otzar.org/book.asp?149006","מפתח החכמות")</f>
        <v>מפתח החכמות</v>
      </c>
    </row>
    <row r="25365" spans="1:6" x14ac:dyDescent="0.2">
      <c r="A25365" t="s">
        <v>40556</v>
      </c>
      <c r="B25365" t="s">
        <v>40557</v>
      </c>
      <c r="C25365" t="s">
        <v>11298</v>
      </c>
      <c r="D25365" t="s">
        <v>7163</v>
      </c>
      <c r="E25365" t="s">
        <v>16263</v>
      </c>
      <c r="F25365" s="2" t="str">
        <f>HYPERLINK("http://www.otzar.org/book.asp?103530","מפתח הים")</f>
        <v>מפתח הים</v>
      </c>
    </row>
    <row r="25366" spans="1:6" x14ac:dyDescent="0.2">
      <c r="A25366" t="s">
        <v>40558</v>
      </c>
      <c r="B25366" t="s">
        <v>3306</v>
      </c>
      <c r="C25366" t="s">
        <v>17</v>
      </c>
      <c r="D25366" t="s">
        <v>14</v>
      </c>
      <c r="E25366" t="s">
        <v>399</v>
      </c>
      <c r="F25366" s="2" t="str">
        <f>HYPERLINK("http://www.otzar.org/book.asp?149000","מפתח הספירות")</f>
        <v>מפתח הספירות</v>
      </c>
    </row>
    <row r="25367" spans="1:6" x14ac:dyDescent="0.2">
      <c r="A25367" t="s">
        <v>40559</v>
      </c>
      <c r="B25367" t="s">
        <v>1827</v>
      </c>
      <c r="C25367" t="s">
        <v>4351</v>
      </c>
      <c r="D25367" t="s">
        <v>60</v>
      </c>
      <c r="F25367" s="2" t="str">
        <f>HYPERLINK("http://www.otzar.org/book.asp?164938","מפתח העולמות")</f>
        <v>מפתח העולמות</v>
      </c>
    </row>
    <row r="25368" spans="1:6" x14ac:dyDescent="0.2">
      <c r="A25368" t="s">
        <v>40560</v>
      </c>
      <c r="B25368" t="s">
        <v>12069</v>
      </c>
      <c r="C25368" t="s">
        <v>989</v>
      </c>
      <c r="D25368" t="s">
        <v>412</v>
      </c>
      <c r="E25368" t="s">
        <v>424</v>
      </c>
      <c r="F25368" s="2" t="str">
        <f>HYPERLINK("http://www.otzar.org/book.asp?62267","מפתח הענינים לספרי המאורות ההשלמה המכתם ונימוק""י")</f>
        <v>מפתח הענינים לספרי המאורות ההשלמה המכתם ונימוק"י</v>
      </c>
    </row>
    <row r="25369" spans="1:6" x14ac:dyDescent="0.2">
      <c r="A25369" t="s">
        <v>40561</v>
      </c>
      <c r="B25369" t="s">
        <v>31044</v>
      </c>
      <c r="C25369" t="s">
        <v>1663</v>
      </c>
      <c r="D25369" t="s">
        <v>27</v>
      </c>
      <c r="E25369" t="s">
        <v>837</v>
      </c>
      <c r="F25369" s="2" t="str">
        <f>HYPERLINK("http://www.otzar.org/book.asp?11748","מפתח הענינים")</f>
        <v>מפתח הענינים</v>
      </c>
    </row>
    <row r="25370" spans="1:6" x14ac:dyDescent="0.2">
      <c r="A25370" t="s">
        <v>40562</v>
      </c>
      <c r="B25370" t="s">
        <v>2919</v>
      </c>
      <c r="C25370" t="s">
        <v>185</v>
      </c>
      <c r="D25370" t="s">
        <v>1646</v>
      </c>
      <c r="E25370" t="s">
        <v>213</v>
      </c>
      <c r="F25370" s="2" t="str">
        <f>HYPERLINK("http://www.otzar.org/book.asp?628725","מפתח הפרנסה")</f>
        <v>מפתח הפרנסה</v>
      </c>
    </row>
    <row r="25371" spans="1:6" x14ac:dyDescent="0.2">
      <c r="A25371" t="s">
        <v>40563</v>
      </c>
      <c r="B25371" t="s">
        <v>7499</v>
      </c>
      <c r="C25371" t="s">
        <v>649</v>
      </c>
      <c r="D25371" t="s">
        <v>563</v>
      </c>
      <c r="E25371" t="s">
        <v>399</v>
      </c>
      <c r="F25371" s="2" t="str">
        <f>HYPERLINK("http://www.otzar.org/book.asp?20245","מפתח הקבלה")</f>
        <v>מפתח הקבלה</v>
      </c>
    </row>
    <row r="25372" spans="1:6" x14ac:dyDescent="0.2">
      <c r="A25372" t="s">
        <v>40564</v>
      </c>
      <c r="B25372" t="s">
        <v>3306</v>
      </c>
      <c r="C25372" t="s">
        <v>51</v>
      </c>
      <c r="D25372" t="s">
        <v>14</v>
      </c>
      <c r="E25372" t="s">
        <v>399</v>
      </c>
      <c r="F25372" s="2" t="str">
        <f>HYPERLINK("http://www.otzar.org/book.asp?148995","מפתח הרעיון")</f>
        <v>מפתח הרעיון</v>
      </c>
    </row>
    <row r="25373" spans="1:6" x14ac:dyDescent="0.2">
      <c r="A25373" t="s">
        <v>40565</v>
      </c>
      <c r="B25373" t="s">
        <v>40566</v>
      </c>
      <c r="C25373" t="s">
        <v>624</v>
      </c>
      <c r="D25373" t="s">
        <v>14</v>
      </c>
      <c r="E25373" t="s">
        <v>837</v>
      </c>
      <c r="F25373" s="2" t="str">
        <f>HYPERLINK("http://www.otzar.org/book.asp?619407","מפתח השלחן השלם - או""ח")</f>
        <v>מפתח השלחן השלם - או"ח</v>
      </c>
    </row>
    <row r="25374" spans="1:6" x14ac:dyDescent="0.2">
      <c r="A25374" t="s">
        <v>40567</v>
      </c>
      <c r="B25374" t="s">
        <v>40568</v>
      </c>
      <c r="C25374" t="s">
        <v>20</v>
      </c>
      <c r="D25374" t="s">
        <v>14</v>
      </c>
      <c r="E25374" t="s">
        <v>1211</v>
      </c>
      <c r="F25374" s="2" t="str">
        <f>HYPERLINK("http://www.otzar.org/book.asp?11607","מפתח השלם")</f>
        <v>מפתח השלם</v>
      </c>
    </row>
    <row r="25375" spans="1:6" x14ac:dyDescent="0.2">
      <c r="A25375" t="s">
        <v>40569</v>
      </c>
      <c r="B25375" t="s">
        <v>3306</v>
      </c>
      <c r="C25375" t="s">
        <v>17</v>
      </c>
      <c r="D25375" t="s">
        <v>14</v>
      </c>
      <c r="E25375" t="s">
        <v>399</v>
      </c>
      <c r="F25375" s="2" t="str">
        <f>HYPERLINK("http://www.otzar.org/book.asp?149007","מפתח השמות")</f>
        <v>מפתח השמות</v>
      </c>
    </row>
    <row r="25376" spans="1:6" x14ac:dyDescent="0.2">
      <c r="A25376" t="s">
        <v>40570</v>
      </c>
      <c r="B25376" t="s">
        <v>3306</v>
      </c>
      <c r="C25376" t="s">
        <v>17</v>
      </c>
      <c r="D25376" t="s">
        <v>14</v>
      </c>
      <c r="E25376" t="s">
        <v>399</v>
      </c>
      <c r="F25376" s="2" t="str">
        <f>HYPERLINK("http://www.otzar.org/book.asp?149001","מפתח התוכחות")</f>
        <v>מפתח התוכחות</v>
      </c>
    </row>
    <row r="25377" spans="1:6" x14ac:dyDescent="0.2">
      <c r="A25377" t="s">
        <v>40571</v>
      </c>
      <c r="B25377" t="s">
        <v>6212</v>
      </c>
      <c r="C25377" t="s">
        <v>1284</v>
      </c>
      <c r="D25377" t="s">
        <v>18723</v>
      </c>
      <c r="E25377" t="s">
        <v>158</v>
      </c>
      <c r="F25377" s="2" t="str">
        <f>HYPERLINK("http://www.otzar.org/book.asp?160505","מפתח התורה")</f>
        <v>מפתח התורה</v>
      </c>
    </row>
    <row r="25378" spans="1:6" x14ac:dyDescent="0.2">
      <c r="A25378" t="s">
        <v>40572</v>
      </c>
      <c r="B25378" t="s">
        <v>40573</v>
      </c>
      <c r="C25378" t="s">
        <v>40574</v>
      </c>
      <c r="D25378" t="s">
        <v>40575</v>
      </c>
      <c r="E25378" t="s">
        <v>104</v>
      </c>
      <c r="F25378" s="2" t="str">
        <f>HYPERLINK("http://www.otzar.org/book.asp?166445","מפתח התלמוד - 3 כר'")</f>
        <v>מפתח התלמוד - 3 כר'</v>
      </c>
    </row>
    <row r="25379" spans="1:6" x14ac:dyDescent="0.2">
      <c r="A25379" t="s">
        <v>40576</v>
      </c>
      <c r="B25379" t="s">
        <v>10655</v>
      </c>
      <c r="C25379" t="s">
        <v>20</v>
      </c>
      <c r="D25379" t="s">
        <v>852</v>
      </c>
      <c r="F25379" s="2" t="str">
        <f>HYPERLINK("http://www.otzar.org/book.asp?617146","מפתח וקיצור לספר גט מסודר")</f>
        <v>מפתח וקיצור לספר גט מסודר</v>
      </c>
    </row>
    <row r="25380" spans="1:6" x14ac:dyDescent="0.2">
      <c r="A25380" t="s">
        <v>40577</v>
      </c>
      <c r="B25380" t="s">
        <v>40578</v>
      </c>
      <c r="C25380" t="s">
        <v>383</v>
      </c>
      <c r="D25380" t="s">
        <v>14</v>
      </c>
      <c r="E25380" t="s">
        <v>104</v>
      </c>
      <c r="F25380" s="2" t="str">
        <f>HYPERLINK("http://www.otzar.org/book.asp?150731","מפתח כתבי רבי צדוק הכהן מלובלין זצוקללה""ה")</f>
        <v>מפתח כתבי רבי צדוק הכהן מלובלין זצוקללה"ה</v>
      </c>
    </row>
    <row r="25381" spans="1:6" x14ac:dyDescent="0.2">
      <c r="A25381" t="s">
        <v>40579</v>
      </c>
      <c r="B25381" t="s">
        <v>40580</v>
      </c>
      <c r="C25381" t="s">
        <v>1268</v>
      </c>
      <c r="D25381" t="s">
        <v>14</v>
      </c>
      <c r="E25381" t="s">
        <v>3261</v>
      </c>
      <c r="F25381" s="2" t="str">
        <f>HYPERLINK("http://www.otzar.org/book.asp?103064","מפתח לאגרות הראיה")</f>
        <v>מפתח לאגרות הראיה</v>
      </c>
    </row>
    <row r="25382" spans="1:6" x14ac:dyDescent="0.2">
      <c r="A25382" t="s">
        <v>40581</v>
      </c>
      <c r="B25382" t="s">
        <v>15892</v>
      </c>
      <c r="C25382" t="s">
        <v>6054</v>
      </c>
      <c r="D25382" t="s">
        <v>40582</v>
      </c>
      <c r="E25382" t="s">
        <v>1211</v>
      </c>
      <c r="F25382" s="2" t="str">
        <f>HYPERLINK("http://www.otzar.org/book.asp?611665","מפתח לאוצר האגדה")</f>
        <v>מפתח לאוצר האגדה</v>
      </c>
    </row>
    <row r="25383" spans="1:6" x14ac:dyDescent="0.2">
      <c r="A25383" t="s">
        <v>40583</v>
      </c>
      <c r="B25383" t="s">
        <v>40583</v>
      </c>
      <c r="C25383" t="s">
        <v>20</v>
      </c>
      <c r="D25383" t="s">
        <v>118</v>
      </c>
      <c r="E25383" t="s">
        <v>674</v>
      </c>
      <c r="F25383" s="2" t="str">
        <f>HYPERLINK("http://www.otzar.org/book.asp?10485","מפתח לביאורים בדברי הרמב""ם")</f>
        <v>מפתח לביאורים בדברי הרמב"ם</v>
      </c>
    </row>
    <row r="25384" spans="1:6" x14ac:dyDescent="0.2">
      <c r="A25384" t="s">
        <v>40584</v>
      </c>
      <c r="B25384" t="s">
        <v>40585</v>
      </c>
      <c r="C25384" t="s">
        <v>51</v>
      </c>
      <c r="D25384" t="s">
        <v>412</v>
      </c>
      <c r="E25384" t="s">
        <v>104</v>
      </c>
      <c r="F25384" s="2" t="str">
        <f>HYPERLINK("http://www.otzar.org/book.asp?181859","מפתח להלכות טבילת כלים")</f>
        <v>מפתח להלכות טבילת כלים</v>
      </c>
    </row>
    <row r="25385" spans="1:6" x14ac:dyDescent="0.2">
      <c r="A25385" t="s">
        <v>40586</v>
      </c>
      <c r="B25385" t="s">
        <v>5846</v>
      </c>
      <c r="C25385" t="s">
        <v>433</v>
      </c>
      <c r="D25385" t="s">
        <v>216</v>
      </c>
      <c r="E25385" t="s">
        <v>15</v>
      </c>
      <c r="F25385" s="2" t="str">
        <f>HYPERLINK("http://www.otzar.org/book.asp?21868","מפתח להלכות טרפות")</f>
        <v>מפתח להלכות טרפות</v>
      </c>
    </row>
    <row r="25386" spans="1:6" x14ac:dyDescent="0.2">
      <c r="A25386" t="s">
        <v>40587</v>
      </c>
      <c r="B25386" t="s">
        <v>21107</v>
      </c>
      <c r="C25386" t="s">
        <v>1448</v>
      </c>
      <c r="D25386" t="s">
        <v>14</v>
      </c>
      <c r="F25386" s="2" t="str">
        <f>HYPERLINK("http://www.otzar.org/book.asp?616119","מפתח להלכות שבת")</f>
        <v>מפתח להלכות שבת</v>
      </c>
    </row>
    <row r="25387" spans="1:6" x14ac:dyDescent="0.2">
      <c r="A25387" t="s">
        <v>40588</v>
      </c>
      <c r="B25387" t="s">
        <v>40589</v>
      </c>
      <c r="C25387" t="s">
        <v>356</v>
      </c>
      <c r="D25387" t="s">
        <v>412</v>
      </c>
      <c r="E25387" t="s">
        <v>384</v>
      </c>
      <c r="F25387" s="2" t="str">
        <f>HYPERLINK("http://www.otzar.org/book.asp?175758","מפתח לירחון המסילה")</f>
        <v>מפתח לירחון המסילה</v>
      </c>
    </row>
    <row r="25388" spans="1:6" x14ac:dyDescent="0.2">
      <c r="A25388" t="s">
        <v>40590</v>
      </c>
      <c r="B25388" t="s">
        <v>40591</v>
      </c>
      <c r="C25388" t="s">
        <v>13702</v>
      </c>
      <c r="D25388" t="s">
        <v>947</v>
      </c>
      <c r="E25388" t="s">
        <v>1211</v>
      </c>
      <c r="F25388" s="2" t="str">
        <f>HYPERLINK("http://www.otzar.org/book.asp?104513","מפתח למאמרי הלכה ומאמרי אגדה - 2 כר'")</f>
        <v>מפתח למאמרי הלכה ומאמרי אגדה - 2 כר'</v>
      </c>
    </row>
    <row r="25389" spans="1:6" x14ac:dyDescent="0.2">
      <c r="A25389" t="s">
        <v>40592</v>
      </c>
      <c r="B25389" t="s">
        <v>40592</v>
      </c>
      <c r="C25389" t="s">
        <v>585</v>
      </c>
      <c r="D25389" t="s">
        <v>52</v>
      </c>
      <c r="E25389" t="s">
        <v>104</v>
      </c>
      <c r="F25389" s="2" t="str">
        <f>HYPERLINK("http://www.otzar.org/book.asp?22789","מפתח למדרש תדשא")</f>
        <v>מפתח למדרש תדשא</v>
      </c>
    </row>
    <row r="25390" spans="1:6" x14ac:dyDescent="0.2">
      <c r="A25390" t="s">
        <v>40593</v>
      </c>
      <c r="B25390" t="s">
        <v>40594</v>
      </c>
      <c r="C25390" t="s">
        <v>812</v>
      </c>
      <c r="D25390" t="s">
        <v>6238</v>
      </c>
      <c r="E25390" t="s">
        <v>104</v>
      </c>
      <c r="F25390" s="2" t="str">
        <f>HYPERLINK("http://www.otzar.org/book.asp?603686","מפתח למפתח של פרנסה וכלכלה")</f>
        <v>מפתח למפתח של פרנסה וכלכלה</v>
      </c>
    </row>
    <row r="25391" spans="1:6" x14ac:dyDescent="0.2">
      <c r="A25391" t="s">
        <v>40595</v>
      </c>
      <c r="B25391" t="s">
        <v>40595</v>
      </c>
      <c r="C25391" t="s">
        <v>20</v>
      </c>
      <c r="D25391" t="s">
        <v>118</v>
      </c>
      <c r="E25391" t="s">
        <v>104</v>
      </c>
      <c r="F25391" s="2" t="str">
        <f>HYPERLINK("http://www.otzar.org/book.asp?9056","מפתח לנתיבות המשפט")</f>
        <v>מפתח לנתיבות המשפט</v>
      </c>
    </row>
    <row r="25392" spans="1:6" x14ac:dyDescent="0.2">
      <c r="A25392" t="s">
        <v>40596</v>
      </c>
      <c r="B25392" t="s">
        <v>40597</v>
      </c>
      <c r="C25392" t="s">
        <v>919</v>
      </c>
      <c r="D25392" t="s">
        <v>39395</v>
      </c>
      <c r="E25392" t="s">
        <v>104</v>
      </c>
      <c r="F25392" s="2" t="str">
        <f>HYPERLINK("http://www.otzar.org/book.asp?9051","מפתח לספר מחנה אפרים")</f>
        <v>מפתח לספר מחנה אפרים</v>
      </c>
    </row>
    <row r="25393" spans="1:6" x14ac:dyDescent="0.2">
      <c r="A25393" t="s">
        <v>40598</v>
      </c>
      <c r="B25393" t="s">
        <v>40599</v>
      </c>
      <c r="C25393" t="s">
        <v>843</v>
      </c>
      <c r="D25393" t="s">
        <v>9</v>
      </c>
      <c r="E25393" t="s">
        <v>104</v>
      </c>
      <c r="F25393" s="2" t="str">
        <f>HYPERLINK("http://www.otzar.org/book.asp?14265","מפתח לספר נצח ישראל של רבינו המהר""ל")</f>
        <v>מפתח לספר נצח ישראל של רבינו המהר"ל</v>
      </c>
    </row>
    <row r="25394" spans="1:6" x14ac:dyDescent="0.2">
      <c r="A25394" t="s">
        <v>40600</v>
      </c>
      <c r="B25394" t="s">
        <v>40601</v>
      </c>
      <c r="C25394" t="s">
        <v>919</v>
      </c>
      <c r="D25394" t="s">
        <v>14</v>
      </c>
      <c r="E25394" t="s">
        <v>104</v>
      </c>
      <c r="F25394" s="2" t="str">
        <f>HYPERLINK("http://www.otzar.org/book.asp?9054","מפתח לספרי הגר""ח והגרי""ז")</f>
        <v>מפתח לספרי הגר"ח והגרי"ז</v>
      </c>
    </row>
    <row r="25395" spans="1:6" x14ac:dyDescent="0.2">
      <c r="A25395" t="s">
        <v>40602</v>
      </c>
      <c r="B25395" t="s">
        <v>40603</v>
      </c>
      <c r="C25395" t="s">
        <v>176</v>
      </c>
      <c r="D25395" t="s">
        <v>14</v>
      </c>
      <c r="E25395" t="s">
        <v>104</v>
      </c>
      <c r="F25395" s="2" t="str">
        <f>HYPERLINK("http://www.otzar.org/book.asp?25737","מפתח לפירושים על משנה תורה להרמב""ם - 2 כר'")</f>
        <v>מפתח לפירושים על משנה תורה להרמב"ם - 2 כר'</v>
      </c>
    </row>
    <row r="25396" spans="1:6" x14ac:dyDescent="0.2">
      <c r="A25396" t="s">
        <v>40604</v>
      </c>
      <c r="B25396" t="s">
        <v>1973</v>
      </c>
      <c r="C25396" t="s">
        <v>133</v>
      </c>
      <c r="D25396" t="s">
        <v>1974</v>
      </c>
      <c r="E25396" t="s">
        <v>130</v>
      </c>
      <c r="F25396" s="2" t="str">
        <f>HYPERLINK("http://www.otzar.org/book.asp?193730","מפתח לשבת")</f>
        <v>מפתח לשבת</v>
      </c>
    </row>
    <row r="25397" spans="1:6" x14ac:dyDescent="0.2">
      <c r="A25397" t="s">
        <v>40605</v>
      </c>
      <c r="B25397" t="s">
        <v>2020</v>
      </c>
      <c r="C25397" t="s">
        <v>224</v>
      </c>
      <c r="D25397" t="s">
        <v>40606</v>
      </c>
      <c r="E25397" t="s">
        <v>84</v>
      </c>
      <c r="F25397" s="2" t="str">
        <f>HYPERLINK("http://www.otzar.org/book.asp?25616","מפתח לששה סדרי משנה")</f>
        <v>מפתח לששה סדרי משנה</v>
      </c>
    </row>
    <row r="25398" spans="1:6" x14ac:dyDescent="0.2">
      <c r="A25398" t="s">
        <v>40607</v>
      </c>
      <c r="B25398" t="s">
        <v>40608</v>
      </c>
      <c r="C25398" t="s">
        <v>3690</v>
      </c>
      <c r="D25398" t="s">
        <v>280</v>
      </c>
      <c r="E25398" t="s">
        <v>588</v>
      </c>
      <c r="F25398" s="2" t="str">
        <f>HYPERLINK("http://www.otzar.org/book.asp?10451","מפתח לתשובות הגאונים")</f>
        <v>מפתח לתשובות הגאונים</v>
      </c>
    </row>
    <row r="25399" spans="1:6" x14ac:dyDescent="0.2">
      <c r="A25399" t="s">
        <v>40609</v>
      </c>
      <c r="B25399" t="s">
        <v>1600</v>
      </c>
      <c r="C25399" t="s">
        <v>20</v>
      </c>
      <c r="D25399" t="s">
        <v>14</v>
      </c>
      <c r="E25399" t="s">
        <v>674</v>
      </c>
      <c r="F25399" s="2" t="str">
        <f>HYPERLINK("http://www.otzar.org/book.asp?143083","מפתח מפורט לשו""ת יחוה דעת")</f>
        <v>מפתח מפורט לשו"ת יחוה דעת</v>
      </c>
    </row>
    <row r="25400" spans="1:6" x14ac:dyDescent="0.2">
      <c r="A25400" t="s">
        <v>40610</v>
      </c>
      <c r="B25400" t="s">
        <v>40611</v>
      </c>
      <c r="C25400" t="s">
        <v>106</v>
      </c>
      <c r="D25400" t="s">
        <v>14</v>
      </c>
      <c r="E25400" t="s">
        <v>1211</v>
      </c>
      <c r="F25400" s="2" t="str">
        <f>HYPERLINK("http://www.otzar.org/book.asp?8641","מפתח מתוקן על קצות החושן")</f>
        <v>מפתח מתוקן על קצות החושן</v>
      </c>
    </row>
    <row r="25401" spans="1:6" x14ac:dyDescent="0.2">
      <c r="A25401" t="s">
        <v>40612</v>
      </c>
      <c r="B25401" t="s">
        <v>6212</v>
      </c>
      <c r="C25401" t="s">
        <v>496</v>
      </c>
      <c r="D25401" t="s">
        <v>27</v>
      </c>
      <c r="E25401" t="s">
        <v>158</v>
      </c>
      <c r="F25401" s="2" t="str">
        <f>HYPERLINK("http://www.otzar.org/book.asp?160506","מפתח נביאים וכתובים")</f>
        <v>מפתח נביאים וכתובים</v>
      </c>
    </row>
    <row r="25402" spans="1:6" x14ac:dyDescent="0.2">
      <c r="A25402" t="s">
        <v>40613</v>
      </c>
      <c r="B25402" t="s">
        <v>40614</v>
      </c>
      <c r="C25402" t="s">
        <v>37</v>
      </c>
      <c r="D25402" t="s">
        <v>52</v>
      </c>
      <c r="E25402" t="s">
        <v>104</v>
      </c>
      <c r="F25402" s="2" t="str">
        <f>HYPERLINK("http://www.otzar.org/book.asp?605611","מפתח נושאים לספר שאו ידיכם קודש - נטילת ידים")</f>
        <v>מפתח נושאים לספר שאו ידיכם קודש - נטילת ידים</v>
      </c>
    </row>
    <row r="25403" spans="1:6" x14ac:dyDescent="0.2">
      <c r="A25403" t="s">
        <v>40615</v>
      </c>
      <c r="B25403" t="s">
        <v>40616</v>
      </c>
      <c r="C25403" t="s">
        <v>383</v>
      </c>
      <c r="D25403" t="s">
        <v>40617</v>
      </c>
      <c r="E25403" t="s">
        <v>579</v>
      </c>
      <c r="F25403" s="2" t="str">
        <f>HYPERLINK("http://www.otzar.org/book.asp?165358","מפתח נושאים לפירוש כלי יקר")</f>
        <v>מפתח נושאים לפירוש כלי יקר</v>
      </c>
    </row>
    <row r="25404" spans="1:6" x14ac:dyDescent="0.2">
      <c r="A25404" t="s">
        <v>40618</v>
      </c>
      <c r="B25404" t="s">
        <v>36860</v>
      </c>
      <c r="C25404" t="s">
        <v>244</v>
      </c>
      <c r="D25404" t="s">
        <v>52</v>
      </c>
      <c r="E25404" t="s">
        <v>144</v>
      </c>
      <c r="F25404" s="2" t="str">
        <f>HYPERLINK("http://www.otzar.org/book.asp?621511","מפתח עירובין")</f>
        <v>מפתח עירובין</v>
      </c>
    </row>
    <row r="25405" spans="1:6" x14ac:dyDescent="0.2">
      <c r="A25405" t="s">
        <v>40619</v>
      </c>
      <c r="B25405" t="s">
        <v>3416</v>
      </c>
      <c r="C25405" t="s">
        <v>20</v>
      </c>
      <c r="D25405" t="s">
        <v>14</v>
      </c>
      <c r="E25405" t="s">
        <v>104</v>
      </c>
      <c r="F25405" s="2" t="str">
        <f>HYPERLINK("http://www.otzar.org/book.asp?179890","מפתח עניינים לספר תורת אברהם")</f>
        <v>מפתח עניינים לספר תורת אברהם</v>
      </c>
    </row>
    <row r="25406" spans="1:6" x14ac:dyDescent="0.2">
      <c r="A25406" t="s">
        <v>40620</v>
      </c>
      <c r="B25406" t="s">
        <v>40621</v>
      </c>
      <c r="C25406" t="s">
        <v>411</v>
      </c>
      <c r="D25406" t="s">
        <v>4478</v>
      </c>
      <c r="E25406" t="s">
        <v>104</v>
      </c>
      <c r="F25406" s="2" t="str">
        <f>HYPERLINK("http://www.otzar.org/book.asp?167184","מפתח ענינים לספר שם משמואל")</f>
        <v>מפתח ענינים לספר שם משמואל</v>
      </c>
    </row>
    <row r="25407" spans="1:6" x14ac:dyDescent="0.2">
      <c r="A25407" t="s">
        <v>40622</v>
      </c>
      <c r="B25407" t="s">
        <v>40623</v>
      </c>
      <c r="C25407" t="s">
        <v>151</v>
      </c>
      <c r="D25407" t="s">
        <v>90</v>
      </c>
      <c r="F25407" s="2" t="str">
        <f>HYPERLINK("http://www.otzar.org/book.asp?617401","מפתח ענינים לספרים משפטיך ליעקב")</f>
        <v>מפתח ענינים לספרים משפטיך ליעקב</v>
      </c>
    </row>
    <row r="25408" spans="1:6" x14ac:dyDescent="0.2">
      <c r="A25408" t="s">
        <v>40624</v>
      </c>
      <c r="B25408" t="s">
        <v>40625</v>
      </c>
      <c r="C25408" t="s">
        <v>482</v>
      </c>
      <c r="D25408" t="s">
        <v>14</v>
      </c>
      <c r="E25408" t="s">
        <v>144</v>
      </c>
      <c r="F25408" s="2" t="str">
        <f>HYPERLINK("http://www.otzar.org/book.asp?25561","מפתח ערוך מסכת חולין")</f>
        <v>מפתח ערוך מסכת חולין</v>
      </c>
    </row>
    <row r="25409" spans="1:6" x14ac:dyDescent="0.2">
      <c r="A25409" t="s">
        <v>40626</v>
      </c>
      <c r="B25409" t="s">
        <v>206</v>
      </c>
      <c r="C25409" t="s">
        <v>20</v>
      </c>
      <c r="D25409" t="s">
        <v>90</v>
      </c>
      <c r="F25409" s="2" t="str">
        <f>HYPERLINK("http://www.otzar.org/book.asp?195063","מפתח של בנים - תשרי")</f>
        <v>מפתח של בנים - תשרי</v>
      </c>
    </row>
    <row r="25410" spans="1:6" x14ac:dyDescent="0.2">
      <c r="A25410" t="s">
        <v>40627</v>
      </c>
      <c r="B25410" t="s">
        <v>40628</v>
      </c>
      <c r="C25410" t="s">
        <v>68</v>
      </c>
      <c r="D25410" t="s">
        <v>4223</v>
      </c>
      <c r="E25410" t="s">
        <v>104</v>
      </c>
      <c r="F25410" s="2" t="str">
        <f>HYPERLINK("http://www.otzar.org/book.asp?156745","מפתח של בנים")</f>
        <v>מפתח של בנים</v>
      </c>
    </row>
    <row r="25411" spans="1:6" x14ac:dyDescent="0.2">
      <c r="A25411" t="s">
        <v>40629</v>
      </c>
      <c r="B25411" t="s">
        <v>8119</v>
      </c>
      <c r="C25411" t="s">
        <v>23</v>
      </c>
      <c r="D25411" t="s">
        <v>412</v>
      </c>
      <c r="E25411" t="s">
        <v>104</v>
      </c>
      <c r="F25411" s="2" t="str">
        <f>HYPERLINK("http://www.otzar.org/book.asp?606334","מפתח של חיה")</f>
        <v>מפתח של חיה</v>
      </c>
    </row>
    <row r="25412" spans="1:6" x14ac:dyDescent="0.2">
      <c r="A25412" t="s">
        <v>40630</v>
      </c>
      <c r="B25412" t="s">
        <v>40631</v>
      </c>
      <c r="C25412" t="s">
        <v>5151</v>
      </c>
      <c r="D25412" t="s">
        <v>729</v>
      </c>
      <c r="E25412" t="s">
        <v>38661</v>
      </c>
      <c r="F25412" s="2" t="str">
        <f>HYPERLINK("http://www.otzar.org/book.asp?9810","מפתח שלמה - כתב יד")</f>
        <v>מפתח שלמה - כתב יד</v>
      </c>
    </row>
    <row r="25413" spans="1:6" x14ac:dyDescent="0.2">
      <c r="A25413" t="s">
        <v>40632</v>
      </c>
      <c r="B25413" t="s">
        <v>40632</v>
      </c>
      <c r="C25413" t="s">
        <v>18838</v>
      </c>
      <c r="D25413" t="s">
        <v>40633</v>
      </c>
      <c r="E25413" t="s">
        <v>399</v>
      </c>
      <c r="F25413" s="2" t="str">
        <f>HYPERLINK("http://www.otzar.org/book.asp?83613","מפתחות גן עדן")</f>
        <v>מפתחות גן עדן</v>
      </c>
    </row>
    <row r="25414" spans="1:6" x14ac:dyDescent="0.2">
      <c r="A25414" t="s">
        <v>40634</v>
      </c>
      <c r="B25414" t="s">
        <v>40635</v>
      </c>
      <c r="C25414" t="s">
        <v>5823</v>
      </c>
      <c r="D25414" t="s">
        <v>283</v>
      </c>
      <c r="E25414" t="s">
        <v>104</v>
      </c>
      <c r="F25414" s="2" t="str">
        <f>HYPERLINK("http://www.otzar.org/book.asp?162278","מפתחות הדמשק")</f>
        <v>מפתחות הדמשק</v>
      </c>
    </row>
    <row r="25415" spans="1:6" x14ac:dyDescent="0.2">
      <c r="A25415" t="s">
        <v>40636</v>
      </c>
      <c r="B25415" t="s">
        <v>9496</v>
      </c>
      <c r="C25415" t="s">
        <v>334</v>
      </c>
      <c r="D25415" t="s">
        <v>216</v>
      </c>
      <c r="E25415" t="s">
        <v>399</v>
      </c>
      <c r="F25415" s="2" t="str">
        <f>HYPERLINK("http://www.otzar.org/book.asp?145238","מפתחות הזהר ורעיונותיו")</f>
        <v>מפתחות הזהר ורעיונותיו</v>
      </c>
    </row>
    <row r="25416" spans="1:6" x14ac:dyDescent="0.2">
      <c r="A25416" t="s">
        <v>40637</v>
      </c>
      <c r="B25416" t="s">
        <v>40638</v>
      </c>
      <c r="C25416" t="s">
        <v>9995</v>
      </c>
      <c r="D25416" t="s">
        <v>49</v>
      </c>
      <c r="E25416" t="s">
        <v>1438</v>
      </c>
      <c r="F25416" s="2" t="str">
        <f>HYPERLINK("http://www.otzar.org/book.asp?102999","מפתחות הזהר")</f>
        <v>מפתחות הזהר</v>
      </c>
    </row>
    <row r="25417" spans="1:6" x14ac:dyDescent="0.2">
      <c r="A25417" t="s">
        <v>40639</v>
      </c>
      <c r="B25417" t="s">
        <v>40640</v>
      </c>
      <c r="C25417" t="s">
        <v>23</v>
      </c>
      <c r="D25417" t="s">
        <v>21</v>
      </c>
      <c r="E25417" t="s">
        <v>399</v>
      </c>
      <c r="F25417" s="2" t="str">
        <f>HYPERLINK("http://www.otzar.org/book.asp?191389","מפתחות החכמה - האילן הקדוש לרמח""ל")</f>
        <v>מפתחות החכמה - האילן הקדוש לרמח"ל</v>
      </c>
    </row>
    <row r="25418" spans="1:6" x14ac:dyDescent="0.2">
      <c r="A25418" t="s">
        <v>40641</v>
      </c>
      <c r="B25418" t="s">
        <v>40642</v>
      </c>
      <c r="C25418" t="s">
        <v>20</v>
      </c>
      <c r="D25418" t="s">
        <v>2347</v>
      </c>
      <c r="E25418" t="s">
        <v>1211</v>
      </c>
      <c r="F25418" s="2" t="str">
        <f>HYPERLINK("http://www.otzar.org/book.asp?11574","מפתחות הש""ס - ב""ב")</f>
        <v>מפתחות הש"ס - ב"ב</v>
      </c>
    </row>
    <row r="25419" spans="1:6" x14ac:dyDescent="0.2">
      <c r="A25419" t="s">
        <v>40643</v>
      </c>
      <c r="B25419" t="s">
        <v>40644</v>
      </c>
      <c r="C25419" t="s">
        <v>366</v>
      </c>
      <c r="D25419" t="s">
        <v>245</v>
      </c>
      <c r="E25419" t="s">
        <v>1211</v>
      </c>
      <c r="F25419" s="2" t="str">
        <f>HYPERLINK("http://www.otzar.org/book.asp?606299","מפתחות לדברי המשכנות יעקב והבית אפרים בעניני עירובין")</f>
        <v>מפתחות לדברי המשכנות יעקב והבית אפרים בעניני עירובין</v>
      </c>
    </row>
    <row r="25420" spans="1:6" x14ac:dyDescent="0.2">
      <c r="A25420" t="s">
        <v>40645</v>
      </c>
      <c r="B25420" t="s">
        <v>3834</v>
      </c>
      <c r="C25420" t="s">
        <v>37</v>
      </c>
      <c r="D25420" t="s">
        <v>14</v>
      </c>
      <c r="E25420" t="s">
        <v>213</v>
      </c>
      <c r="F25420" s="2" t="str">
        <f>HYPERLINK("http://www.otzar.org/book.asp?600626","מפתחות לחיים")</f>
        <v>מפתחות לחיים</v>
      </c>
    </row>
    <row r="25421" spans="1:6" x14ac:dyDescent="0.2">
      <c r="A25421" t="s">
        <v>40646</v>
      </c>
      <c r="B25421" t="s">
        <v>40647</v>
      </c>
      <c r="C25421" t="s">
        <v>1160</v>
      </c>
      <c r="D25421" t="s">
        <v>118</v>
      </c>
      <c r="E25421" t="s">
        <v>104</v>
      </c>
      <c r="F25421" s="2" t="str">
        <f>HYPERLINK("http://www.otzar.org/book.asp?9052","מפתחות לספר בית הלוי")</f>
        <v>מפתחות לספר בית הלוי</v>
      </c>
    </row>
    <row r="25422" spans="1:6" x14ac:dyDescent="0.2">
      <c r="A25422" t="s">
        <v>40648</v>
      </c>
      <c r="B25422" t="s">
        <v>6987</v>
      </c>
      <c r="C25422" t="s">
        <v>168</v>
      </c>
      <c r="D25422" t="s">
        <v>52</v>
      </c>
      <c r="E25422" t="s">
        <v>104</v>
      </c>
      <c r="F25422" s="2" t="str">
        <f>HYPERLINK("http://www.otzar.org/book.asp?169118","מפתחות לספר חידושי מר""ן רי""ז הלוי")</f>
        <v>מפתחות לספר חידושי מר"ן רי"ז הלוי</v>
      </c>
    </row>
    <row r="25423" spans="1:6" x14ac:dyDescent="0.2">
      <c r="A25423" t="s">
        <v>40649</v>
      </c>
      <c r="B25423" t="s">
        <v>6987</v>
      </c>
      <c r="C25423" t="s">
        <v>133</v>
      </c>
      <c r="D25423" t="s">
        <v>14</v>
      </c>
      <c r="E25423" t="s">
        <v>104</v>
      </c>
      <c r="F25423" s="2" t="str">
        <f>HYPERLINK("http://www.otzar.org/book.asp?181618","מפתחות לספר מחנה ישראל")</f>
        <v>מפתחות לספר מחנה ישראל</v>
      </c>
    </row>
    <row r="25424" spans="1:6" x14ac:dyDescent="0.2">
      <c r="A25424" t="s">
        <v>40650</v>
      </c>
      <c r="B25424" t="s">
        <v>40651</v>
      </c>
      <c r="C25424" t="s">
        <v>1619</v>
      </c>
      <c r="D25424" t="s">
        <v>14</v>
      </c>
      <c r="E25424" t="s">
        <v>1211</v>
      </c>
      <c r="F25424" s="2" t="str">
        <f>HYPERLINK("http://www.otzar.org/book.asp?9798","מפתחות לספר מנחת חינוך")</f>
        <v>מפתחות לספר מנחת חינוך</v>
      </c>
    </row>
    <row r="25425" spans="1:6" x14ac:dyDescent="0.2">
      <c r="A25425" t="s">
        <v>40652</v>
      </c>
      <c r="B25425" t="s">
        <v>206</v>
      </c>
      <c r="C25425" t="s">
        <v>151</v>
      </c>
      <c r="D25425" t="s">
        <v>52</v>
      </c>
      <c r="E25425" t="s">
        <v>104</v>
      </c>
      <c r="F25425" s="2" t="str">
        <f>HYPERLINK("http://www.otzar.org/book.asp?611774","מפתחות לספרי ים החכמה ודעה חכמה לנפשך")</f>
        <v>מפתחות לספרי ים החכמה ודעה חכמה לנפשך</v>
      </c>
    </row>
    <row r="25426" spans="1:6" x14ac:dyDescent="0.2">
      <c r="A25426" t="s">
        <v>40653</v>
      </c>
      <c r="B25426" t="s">
        <v>24059</v>
      </c>
      <c r="C25426" t="s">
        <v>20</v>
      </c>
      <c r="D25426" t="s">
        <v>52</v>
      </c>
      <c r="F25426" s="2" t="str">
        <f>HYPERLINK("http://www.otzar.org/book.asp?179997","מפתחות לתלמוד - 2 כר'")</f>
        <v>מפתחות לתלמוד - 2 כר'</v>
      </c>
    </row>
    <row r="25427" spans="1:6" x14ac:dyDescent="0.2">
      <c r="A25427" t="s">
        <v>40654</v>
      </c>
      <c r="B25427" t="s">
        <v>40655</v>
      </c>
      <c r="C25427" t="s">
        <v>20</v>
      </c>
      <c r="D25427" t="s">
        <v>52</v>
      </c>
      <c r="E25427" t="s">
        <v>144</v>
      </c>
      <c r="F25427" s="2" t="str">
        <f>HYPERLINK("http://www.otzar.org/book.asp?629790","מפתחות על מסכת נדה מספר חוות דעת וסדרי טהרה")</f>
        <v>מפתחות על מסכת נדה מספר חוות דעת וסדרי טהרה</v>
      </c>
    </row>
    <row r="25428" spans="1:6" x14ac:dyDescent="0.2">
      <c r="A25428" t="s">
        <v>40656</v>
      </c>
      <c r="B25428" t="s">
        <v>5965</v>
      </c>
      <c r="C25428" t="s">
        <v>366</v>
      </c>
      <c r="D25428" t="s">
        <v>52</v>
      </c>
      <c r="F25428" s="2" t="str">
        <f>HYPERLINK("http://www.otzar.org/book.asp?609144","מפתחות על ספר מזוזות ביתך - 2 כר'")</f>
        <v>מפתחות על ספר מזוזות ביתך - 2 כר'</v>
      </c>
    </row>
    <row r="25429" spans="1:6" x14ac:dyDescent="0.2">
      <c r="A25429" t="s">
        <v>40657</v>
      </c>
      <c r="B25429" t="s">
        <v>40657</v>
      </c>
      <c r="C25429" t="s">
        <v>40658</v>
      </c>
      <c r="D25429" t="s">
        <v>40659</v>
      </c>
      <c r="F25429" s="2" t="str">
        <f>HYPERLINK("http://www.otzar.org/book.asp?614578","מפתחות פרקי המשנה והתלמוד")</f>
        <v>מפתחות פרקי המשנה והתלמוד</v>
      </c>
    </row>
    <row r="25430" spans="1:6" x14ac:dyDescent="0.2">
      <c r="A25430" t="s">
        <v>40660</v>
      </c>
      <c r="B25430" t="s">
        <v>40661</v>
      </c>
      <c r="C25430" t="s">
        <v>20</v>
      </c>
      <c r="D25430" t="s">
        <v>14</v>
      </c>
      <c r="E25430" t="s">
        <v>104</v>
      </c>
      <c r="F25430" s="2" t="str">
        <f>HYPERLINK("http://www.otzar.org/book.asp?11622","מפתחות שו""ת אחיעזר ג' חלקים")</f>
        <v>מפתחות שו"ת אחיעזר ג' חלקים</v>
      </c>
    </row>
    <row r="25431" spans="1:6" x14ac:dyDescent="0.2">
      <c r="A25431" t="s">
        <v>40662</v>
      </c>
      <c r="B25431" t="s">
        <v>40662</v>
      </c>
      <c r="C25431" t="s">
        <v>20</v>
      </c>
      <c r="D25431" t="s">
        <v>52</v>
      </c>
      <c r="E25431" t="s">
        <v>1211</v>
      </c>
      <c r="F25431" s="2" t="str">
        <f>HYPERLINK("http://www.otzar.org/book.asp?101875","מפתחות שו""ת מהר""ם מרוטנבורג")</f>
        <v>מפתחות שו"ת מהר"ם מרוטנבורג</v>
      </c>
    </row>
    <row r="25432" spans="1:6" x14ac:dyDescent="0.2">
      <c r="A25432" t="s">
        <v>40663</v>
      </c>
      <c r="B25432" t="s">
        <v>40663</v>
      </c>
      <c r="C25432" t="s">
        <v>585</v>
      </c>
      <c r="D25432" t="s">
        <v>14</v>
      </c>
      <c r="E25432" t="s">
        <v>104</v>
      </c>
      <c r="F25432" s="2" t="str">
        <f>HYPERLINK("http://www.otzar.org/book.asp?148466","מפתחות שער המלך")</f>
        <v>מפתחות שער המלך</v>
      </c>
    </row>
    <row r="25433" spans="1:6" x14ac:dyDescent="0.2">
      <c r="A25433" t="s">
        <v>40664</v>
      </c>
      <c r="B25433" t="s">
        <v>40665</v>
      </c>
      <c r="C25433" t="s">
        <v>356</v>
      </c>
      <c r="D25433" t="s">
        <v>2798</v>
      </c>
      <c r="E25433" t="s">
        <v>13324</v>
      </c>
      <c r="F25433" s="2" t="str">
        <f>HYPERLINK("http://www.otzar.org/book.asp?162987","מצא חיים")</f>
        <v>מצא חיים</v>
      </c>
    </row>
    <row r="25434" spans="1:6" x14ac:dyDescent="0.2">
      <c r="A25434" t="s">
        <v>40664</v>
      </c>
      <c r="B25434" t="s">
        <v>40666</v>
      </c>
      <c r="C25434" t="s">
        <v>506</v>
      </c>
      <c r="D25434" t="s">
        <v>27</v>
      </c>
      <c r="E25434" t="s">
        <v>40667</v>
      </c>
      <c r="F25434" s="2" t="str">
        <f>HYPERLINK("http://www.otzar.org/book.asp?10944","מצא חיים")</f>
        <v>מצא חיים</v>
      </c>
    </row>
    <row r="25435" spans="1:6" x14ac:dyDescent="0.2">
      <c r="A25435" t="s">
        <v>40664</v>
      </c>
      <c r="B25435" t="s">
        <v>40668</v>
      </c>
      <c r="C25435" t="s">
        <v>5826</v>
      </c>
      <c r="D25435" t="s">
        <v>76</v>
      </c>
      <c r="E25435" t="s">
        <v>158</v>
      </c>
      <c r="F25435" s="2" t="str">
        <f>HYPERLINK("http://www.otzar.org/book.asp?25019","מצא חיים")</f>
        <v>מצא חיים</v>
      </c>
    </row>
    <row r="25436" spans="1:6" x14ac:dyDescent="0.2">
      <c r="A25436" t="s">
        <v>40669</v>
      </c>
      <c r="B25436" t="s">
        <v>40670</v>
      </c>
      <c r="C25436" t="s">
        <v>103</v>
      </c>
      <c r="D25436" t="s">
        <v>367</v>
      </c>
      <c r="E25436" t="s">
        <v>2091</v>
      </c>
      <c r="F25436" s="2" t="str">
        <f>HYPERLINK("http://www.otzar.org/book.asp?197760","מצא חיים - הלכות נדה")</f>
        <v>מצא חיים - הלכות נדה</v>
      </c>
    </row>
    <row r="25437" spans="1:6" x14ac:dyDescent="0.2">
      <c r="A25437" t="s">
        <v>40671</v>
      </c>
      <c r="B25437" t="s">
        <v>40672</v>
      </c>
      <c r="D25437" t="s">
        <v>14</v>
      </c>
      <c r="E25437" t="s">
        <v>15</v>
      </c>
      <c r="F25437" s="2" t="str">
        <f>HYPERLINK("http://www.otzar.org/book.asp?622740","מצא חן - שליח ציבור")</f>
        <v>מצא חן - שליח ציבור</v>
      </c>
    </row>
    <row r="25438" spans="1:6" x14ac:dyDescent="0.2">
      <c r="A25438" t="s">
        <v>40673</v>
      </c>
      <c r="B25438" t="s">
        <v>40674</v>
      </c>
      <c r="C25438" t="s">
        <v>40675</v>
      </c>
      <c r="D25438" t="s">
        <v>21</v>
      </c>
      <c r="F25438" s="2" t="str">
        <f>HYPERLINK("http://www.otzar.org/book.asp?622946","מצא חן - לוית חן")</f>
        <v>מצא חן - לוית חן</v>
      </c>
    </row>
    <row r="25439" spans="1:6" x14ac:dyDescent="0.2">
      <c r="A25439" t="s">
        <v>40676</v>
      </c>
      <c r="B25439" t="s">
        <v>40677</v>
      </c>
      <c r="C25439" t="s">
        <v>270</v>
      </c>
      <c r="D25439" t="s">
        <v>157</v>
      </c>
      <c r="E25439" t="s">
        <v>2840</v>
      </c>
      <c r="F25439" s="2" t="str">
        <f>HYPERLINK("http://www.otzar.org/book.asp?151618","מצא חן")</f>
        <v>מצא חן</v>
      </c>
    </row>
    <row r="25440" spans="1:6" x14ac:dyDescent="0.2">
      <c r="A25440" t="s">
        <v>40676</v>
      </c>
      <c r="B25440" t="s">
        <v>40678</v>
      </c>
      <c r="C25440" t="s">
        <v>362</v>
      </c>
      <c r="D25440" t="s">
        <v>283</v>
      </c>
      <c r="E25440" t="s">
        <v>463</v>
      </c>
      <c r="F25440" s="2" t="str">
        <f>HYPERLINK("http://www.otzar.org/book.asp?200179","מצא חן")</f>
        <v>מצא חן</v>
      </c>
    </row>
    <row r="25441" spans="1:6" x14ac:dyDescent="0.2">
      <c r="A25441" t="s">
        <v>40679</v>
      </c>
      <c r="B25441" t="s">
        <v>40680</v>
      </c>
      <c r="C25441" t="s">
        <v>313</v>
      </c>
      <c r="D25441" t="s">
        <v>52</v>
      </c>
      <c r="E25441" t="s">
        <v>474</v>
      </c>
      <c r="F25441" s="2" t="str">
        <f>HYPERLINK("http://www.otzar.org/book.asp?23719","מצא טוב")</f>
        <v>מצא טוב</v>
      </c>
    </row>
    <row r="25442" spans="1:6" x14ac:dyDescent="0.2">
      <c r="A25442" t="s">
        <v>40681</v>
      </c>
      <c r="B25442" t="s">
        <v>40682</v>
      </c>
      <c r="C25442" t="s">
        <v>87</v>
      </c>
      <c r="D25442" t="s">
        <v>1356</v>
      </c>
      <c r="E25442" t="s">
        <v>234</v>
      </c>
      <c r="F25442" s="2" t="str">
        <f>HYPERLINK("http://www.otzar.org/book.asp?191225","מצא טוב - 2 כר'")</f>
        <v>מצא טוב - 2 כר'</v>
      </c>
    </row>
    <row r="25443" spans="1:6" x14ac:dyDescent="0.2">
      <c r="A25443" t="s">
        <v>40683</v>
      </c>
      <c r="B25443" t="s">
        <v>29568</v>
      </c>
      <c r="C25443" t="s">
        <v>383</v>
      </c>
      <c r="D25443" t="s">
        <v>52</v>
      </c>
      <c r="E25443" t="s">
        <v>1211</v>
      </c>
      <c r="F25443" s="2" t="str">
        <f>HYPERLINK("http://www.otzar.org/book.asp?178991","מצאת חן")</f>
        <v>מצאת חן</v>
      </c>
    </row>
    <row r="25444" spans="1:6" x14ac:dyDescent="0.2">
      <c r="A25444" t="s">
        <v>40684</v>
      </c>
      <c r="B25444" t="s">
        <v>40685</v>
      </c>
      <c r="C25444" t="s">
        <v>366</v>
      </c>
      <c r="D25444" t="s">
        <v>216</v>
      </c>
      <c r="E25444" t="s">
        <v>199</v>
      </c>
      <c r="F25444" s="2" t="str">
        <f>HYPERLINK("http://www.otzar.org/book.asp?611718","מצאתי דוד עבדי")</f>
        <v>מצאתי דוד עבדי</v>
      </c>
    </row>
    <row r="25445" spans="1:6" x14ac:dyDescent="0.2">
      <c r="A25445" t="s">
        <v>40686</v>
      </c>
      <c r="B25445" t="s">
        <v>40686</v>
      </c>
      <c r="C25445" t="s">
        <v>473</v>
      </c>
      <c r="D25445" t="s">
        <v>563</v>
      </c>
      <c r="E25445" t="s">
        <v>119</v>
      </c>
      <c r="F25445" s="2" t="str">
        <f>HYPERLINK("http://www.otzar.org/book.asp?168022","מצב אנטווערפען")</f>
        <v>מצב אנטווערפען</v>
      </c>
    </row>
    <row r="25446" spans="1:6" x14ac:dyDescent="0.2">
      <c r="A25446" t="s">
        <v>40687</v>
      </c>
      <c r="B25446" t="s">
        <v>40688</v>
      </c>
      <c r="C25446" t="s">
        <v>40689</v>
      </c>
      <c r="D25446" t="s">
        <v>56</v>
      </c>
      <c r="E25446" t="s">
        <v>9092</v>
      </c>
      <c r="F25446" s="2" t="str">
        <f>HYPERLINK("http://www.otzar.org/book.asp?147615","מצב הישר - 2 כר'")</f>
        <v>מצב הישר - 2 כר'</v>
      </c>
    </row>
    <row r="25447" spans="1:6" x14ac:dyDescent="0.2">
      <c r="A25447" t="s">
        <v>40690</v>
      </c>
      <c r="B25447" t="s">
        <v>40691</v>
      </c>
      <c r="C25447" t="s">
        <v>956</v>
      </c>
      <c r="D25447" t="s">
        <v>14</v>
      </c>
      <c r="E25447" t="s">
        <v>2569</v>
      </c>
      <c r="F25447" s="2" t="str">
        <f>HYPERLINK("http://www.otzar.org/book.asp?276","מצבא העבודה")</f>
        <v>מצבא העבודה</v>
      </c>
    </row>
    <row r="25448" spans="1:6" x14ac:dyDescent="0.2">
      <c r="A25448" t="s">
        <v>40692</v>
      </c>
      <c r="B25448" t="s">
        <v>40693</v>
      </c>
      <c r="E25448" t="s">
        <v>733</v>
      </c>
      <c r="F25448" s="2" t="str">
        <f>HYPERLINK("http://www.otzar.org/book.asp?600686","מצבות בית העלמין העתיק בווירצבורג 1147-1346'")</f>
        <v>מצבות בית העלמין העתיק בווירצבורג 1147-1346'</v>
      </c>
    </row>
    <row r="25449" spans="1:6" x14ac:dyDescent="0.2">
      <c r="A25449" t="s">
        <v>40694</v>
      </c>
      <c r="B25449" t="s">
        <v>40695</v>
      </c>
      <c r="C25449" t="s">
        <v>40696</v>
      </c>
      <c r="D25449" t="s">
        <v>14</v>
      </c>
      <c r="E25449" t="s">
        <v>119</v>
      </c>
      <c r="F25449" s="2" t="str">
        <f>HYPERLINK("http://www.otzar.org/book.asp?190729","מצבות שאלוניקי - ב")</f>
        <v>מצבות שאלוניקי - ב</v>
      </c>
    </row>
    <row r="25450" spans="1:6" x14ac:dyDescent="0.2">
      <c r="A25450" t="s">
        <v>40697</v>
      </c>
      <c r="B25450" t="s">
        <v>5614</v>
      </c>
      <c r="C25450" t="s">
        <v>1364</v>
      </c>
      <c r="D25450" t="s">
        <v>5615</v>
      </c>
      <c r="E25450" t="s">
        <v>241</v>
      </c>
      <c r="F25450" s="2" t="str">
        <f>HYPERLINK("http://www.otzar.org/book.asp?167564","מצבת אבן")</f>
        <v>מצבת אבן</v>
      </c>
    </row>
    <row r="25451" spans="1:6" x14ac:dyDescent="0.2">
      <c r="A25451" t="s">
        <v>40698</v>
      </c>
      <c r="B25451" t="s">
        <v>40699</v>
      </c>
      <c r="C25451" t="s">
        <v>619</v>
      </c>
      <c r="D25451" t="s">
        <v>27</v>
      </c>
      <c r="E25451" t="s">
        <v>104</v>
      </c>
      <c r="F25451" s="2" t="str">
        <f>HYPERLINK("http://www.otzar.org/book.asp?168905","מצבת מרדכי ואסתר")</f>
        <v>מצבת מרדכי ואסתר</v>
      </c>
    </row>
    <row r="25452" spans="1:6" x14ac:dyDescent="0.2">
      <c r="A25452" t="s">
        <v>40700</v>
      </c>
      <c r="B25452" t="s">
        <v>30642</v>
      </c>
      <c r="C25452" t="s">
        <v>581</v>
      </c>
      <c r="D25452" t="s">
        <v>56</v>
      </c>
      <c r="E25452" t="s">
        <v>920</v>
      </c>
      <c r="F25452" s="2" t="str">
        <f>HYPERLINK("http://www.otzar.org/book.asp?196","מצבת משה &lt;ארץ צבי&gt;")</f>
        <v>מצבת משה &lt;ארץ צבי&gt;</v>
      </c>
    </row>
    <row r="25453" spans="1:6" x14ac:dyDescent="0.2">
      <c r="A25453" t="s">
        <v>40701</v>
      </c>
      <c r="B25453" t="s">
        <v>40702</v>
      </c>
      <c r="C25453" t="s">
        <v>15467</v>
      </c>
      <c r="D25453" t="s">
        <v>27</v>
      </c>
      <c r="E25453" t="s">
        <v>234</v>
      </c>
      <c r="F25453" s="2" t="str">
        <f>HYPERLINK("http://www.otzar.org/book.asp?155758","מצבת משה - 2 כר'")</f>
        <v>מצבת משה - 2 כר'</v>
      </c>
    </row>
    <row r="25454" spans="1:6" x14ac:dyDescent="0.2">
      <c r="A25454" t="s">
        <v>40703</v>
      </c>
      <c r="B25454" t="s">
        <v>40704</v>
      </c>
      <c r="C25454">
        <v>1990</v>
      </c>
      <c r="D25454" t="s">
        <v>118</v>
      </c>
      <c r="E25454" t="s">
        <v>803</v>
      </c>
      <c r="F25454" s="2" t="str">
        <f>HYPERLINK("http://www.otzar.org/book.asp?623626","מצבת פנחס")</f>
        <v>מצבת פנחס</v>
      </c>
    </row>
    <row r="25455" spans="1:6" x14ac:dyDescent="0.2">
      <c r="A25455" t="s">
        <v>40705</v>
      </c>
      <c r="B25455" t="s">
        <v>3035</v>
      </c>
      <c r="C25455" t="s">
        <v>1160</v>
      </c>
      <c r="D25455" t="s">
        <v>27</v>
      </c>
      <c r="E25455" t="s">
        <v>674</v>
      </c>
      <c r="F25455" s="2" t="str">
        <f>HYPERLINK("http://www.otzar.org/book.asp?168920","מצבת קבורת רחל")</f>
        <v>מצבת קבורת רחל</v>
      </c>
    </row>
    <row r="25456" spans="1:6" x14ac:dyDescent="0.2">
      <c r="A25456" t="s">
        <v>40706</v>
      </c>
      <c r="B25456" t="s">
        <v>4975</v>
      </c>
      <c r="C25456" t="s">
        <v>1062</v>
      </c>
      <c r="D25456" t="s">
        <v>9</v>
      </c>
      <c r="E25456" t="s">
        <v>119</v>
      </c>
      <c r="F25456" s="2" t="str">
        <f>HYPERLINK("http://www.otzar.org/book.asp?20247","מצבת קודש")</f>
        <v>מצבת קודש</v>
      </c>
    </row>
    <row r="25457" spans="1:6" x14ac:dyDescent="0.2">
      <c r="A25457" t="s">
        <v>40707</v>
      </c>
      <c r="B25457" t="s">
        <v>40708</v>
      </c>
      <c r="C25457" t="s">
        <v>2617</v>
      </c>
      <c r="D25457" t="s">
        <v>1279</v>
      </c>
      <c r="E25457" t="s">
        <v>119</v>
      </c>
      <c r="F25457" s="2" t="str">
        <f>HYPERLINK("http://www.otzar.org/book.asp?20248","מצבת קודש - 3 כר'")</f>
        <v>מצבת קודש - 3 כר'</v>
      </c>
    </row>
    <row r="25458" spans="1:6" x14ac:dyDescent="0.2">
      <c r="A25458" t="s">
        <v>40709</v>
      </c>
      <c r="B25458" t="s">
        <v>40710</v>
      </c>
      <c r="C25458" t="s">
        <v>103</v>
      </c>
      <c r="D25458" t="s">
        <v>1632</v>
      </c>
      <c r="E25458" t="s">
        <v>246</v>
      </c>
      <c r="F25458" s="2" t="str">
        <f>HYPERLINK("http://www.otzar.org/book.asp?193056","מצבת שלמה יוסף")</f>
        <v>מצבת שלמה יוסף</v>
      </c>
    </row>
    <row r="25459" spans="1:6" x14ac:dyDescent="0.2">
      <c r="A25459" t="s">
        <v>40711</v>
      </c>
      <c r="B25459" t="s">
        <v>3566</v>
      </c>
      <c r="C25459" t="s">
        <v>445</v>
      </c>
      <c r="D25459" t="s">
        <v>1422</v>
      </c>
      <c r="E25459" t="s">
        <v>15</v>
      </c>
      <c r="F25459" s="2" t="str">
        <f>HYPERLINK("http://www.otzar.org/book.asp?169423","מצה שמורה")</f>
        <v>מצה שמורה</v>
      </c>
    </row>
    <row r="25460" spans="1:6" x14ac:dyDescent="0.2">
      <c r="A25460" t="s">
        <v>40712</v>
      </c>
      <c r="B25460" t="s">
        <v>35104</v>
      </c>
      <c r="C25460" t="s">
        <v>103</v>
      </c>
      <c r="D25460" t="s">
        <v>14</v>
      </c>
      <c r="E25460" t="s">
        <v>15</v>
      </c>
      <c r="F25460" s="2" t="str">
        <f>HYPERLINK("http://www.otzar.org/book.asp?108520","מצהלות חתנים")</f>
        <v>מצהלות חתנים</v>
      </c>
    </row>
    <row r="25461" spans="1:6" x14ac:dyDescent="0.2">
      <c r="A25461" t="s">
        <v>40712</v>
      </c>
      <c r="B25461" t="s">
        <v>290</v>
      </c>
      <c r="C25461" t="s">
        <v>1721</v>
      </c>
      <c r="D25461" t="s">
        <v>292</v>
      </c>
      <c r="E25461" t="s">
        <v>15</v>
      </c>
      <c r="F25461" s="2" t="str">
        <f>HYPERLINK("http://www.otzar.org/book.asp?148142","מצהלות חתנים")</f>
        <v>מצהלות חתנים</v>
      </c>
    </row>
    <row r="25462" spans="1:6" x14ac:dyDescent="0.2">
      <c r="A25462" t="s">
        <v>40712</v>
      </c>
      <c r="B25462" t="s">
        <v>14261</v>
      </c>
      <c r="C25462" t="s">
        <v>37</v>
      </c>
      <c r="D25462" t="s">
        <v>14</v>
      </c>
      <c r="E25462" t="s">
        <v>104</v>
      </c>
      <c r="F25462" s="2" t="str">
        <f>HYPERLINK("http://www.otzar.org/book.asp?198640","מצהלות חתנים")</f>
        <v>מצהלות חתנים</v>
      </c>
    </row>
    <row r="25463" spans="1:6" x14ac:dyDescent="0.2">
      <c r="A25463" t="s">
        <v>40712</v>
      </c>
      <c r="B25463" t="s">
        <v>24055</v>
      </c>
      <c r="C25463" t="s">
        <v>51</v>
      </c>
      <c r="D25463" t="s">
        <v>52</v>
      </c>
      <c r="E25463" t="s">
        <v>32832</v>
      </c>
      <c r="F25463" s="2" t="str">
        <f>HYPERLINK("http://www.otzar.org/book.asp?600534","מצהלות חתנים")</f>
        <v>מצהלות חתנים</v>
      </c>
    </row>
    <row r="25464" spans="1:6" x14ac:dyDescent="0.2">
      <c r="A25464" t="s">
        <v>40712</v>
      </c>
      <c r="B25464" t="s">
        <v>40713</v>
      </c>
      <c r="C25464" t="s">
        <v>454</v>
      </c>
      <c r="D25464" t="s">
        <v>52</v>
      </c>
      <c r="E25464" t="s">
        <v>202</v>
      </c>
      <c r="F25464" s="2" t="str">
        <f>HYPERLINK("http://www.otzar.org/book.asp?143004","מצהלות חתנים")</f>
        <v>מצהלות חתנים</v>
      </c>
    </row>
    <row r="25465" spans="1:6" x14ac:dyDescent="0.2">
      <c r="A25465" t="s">
        <v>40712</v>
      </c>
      <c r="B25465" t="s">
        <v>1750</v>
      </c>
      <c r="C25465" t="s">
        <v>20</v>
      </c>
      <c r="D25465" t="s">
        <v>90</v>
      </c>
      <c r="E25465" t="s">
        <v>202</v>
      </c>
      <c r="F25465" s="2" t="str">
        <f>HYPERLINK("http://www.otzar.org/book.asp?155897","מצהלות חתנים")</f>
        <v>מצהלות חתנים</v>
      </c>
    </row>
    <row r="25466" spans="1:6" x14ac:dyDescent="0.2">
      <c r="A25466" t="s">
        <v>40712</v>
      </c>
      <c r="B25466" t="s">
        <v>40714</v>
      </c>
      <c r="C25466" t="s">
        <v>146</v>
      </c>
      <c r="D25466" t="s">
        <v>52</v>
      </c>
      <c r="E25466" t="s">
        <v>10</v>
      </c>
      <c r="F25466" s="2" t="str">
        <f>HYPERLINK("http://www.otzar.org/book.asp?167789","מצהלות חתנים")</f>
        <v>מצהלות חתנים</v>
      </c>
    </row>
    <row r="25467" spans="1:6" x14ac:dyDescent="0.2">
      <c r="A25467" t="s">
        <v>40712</v>
      </c>
      <c r="B25467" t="s">
        <v>1091</v>
      </c>
      <c r="C25467" t="s">
        <v>383</v>
      </c>
      <c r="D25467" t="s">
        <v>14</v>
      </c>
      <c r="E25467" t="s">
        <v>674</v>
      </c>
      <c r="F25467" s="2" t="str">
        <f>HYPERLINK("http://www.otzar.org/book.asp?189177","מצהלות חתנים")</f>
        <v>מצהלות חתנים</v>
      </c>
    </row>
    <row r="25468" spans="1:6" x14ac:dyDescent="0.2">
      <c r="A25468" t="s">
        <v>40715</v>
      </c>
      <c r="B25468" t="s">
        <v>40716</v>
      </c>
      <c r="C25468" t="s">
        <v>2543</v>
      </c>
      <c r="D25468" t="s">
        <v>225</v>
      </c>
      <c r="E25468" t="s">
        <v>104</v>
      </c>
      <c r="F25468" s="2" t="str">
        <f>HYPERLINK("http://www.otzar.org/book.asp?200180","מצודת בן ציון")</f>
        <v>מצודת בן ציון</v>
      </c>
    </row>
    <row r="25469" spans="1:6" x14ac:dyDescent="0.2">
      <c r="A25469" t="s">
        <v>40717</v>
      </c>
      <c r="B25469" t="s">
        <v>4303</v>
      </c>
      <c r="C25469" t="s">
        <v>454</v>
      </c>
      <c r="D25469" t="s">
        <v>14</v>
      </c>
      <c r="E25469" t="s">
        <v>15</v>
      </c>
      <c r="F25469" s="2" t="str">
        <f>HYPERLINK("http://www.otzar.org/book.asp?162720","מצודת דוד - 2 כר'")</f>
        <v>מצודת דוד - 2 כר'</v>
      </c>
    </row>
    <row r="25470" spans="1:6" x14ac:dyDescent="0.2">
      <c r="A25470" t="s">
        <v>40718</v>
      </c>
      <c r="B25470" t="s">
        <v>40719</v>
      </c>
      <c r="C25470" t="s">
        <v>22961</v>
      </c>
      <c r="D25470" t="s">
        <v>42</v>
      </c>
      <c r="E25470" t="s">
        <v>144</v>
      </c>
      <c r="F25470" s="2" t="str">
        <f>HYPERLINK("http://www.otzar.org/book.asp?108272","מצודת דוד")</f>
        <v>מצודת דוד</v>
      </c>
    </row>
    <row r="25471" spans="1:6" x14ac:dyDescent="0.2">
      <c r="A25471" t="s">
        <v>40718</v>
      </c>
      <c r="B25471" t="s">
        <v>7374</v>
      </c>
      <c r="C25471" t="s">
        <v>103</v>
      </c>
      <c r="D25471" t="s">
        <v>14</v>
      </c>
      <c r="E25471" t="s">
        <v>1914</v>
      </c>
      <c r="F25471" s="2" t="str">
        <f>HYPERLINK("http://www.otzar.org/book.asp?160902","מצודת דוד")</f>
        <v>מצודת דוד</v>
      </c>
    </row>
    <row r="25472" spans="1:6" x14ac:dyDescent="0.2">
      <c r="A25472" t="s">
        <v>40720</v>
      </c>
      <c r="B25472" t="s">
        <v>40721</v>
      </c>
      <c r="C25472" t="s">
        <v>51</v>
      </c>
      <c r="D25472" t="s">
        <v>14</v>
      </c>
      <c r="F25472" s="2" t="str">
        <f>HYPERLINK("http://www.otzar.org/book.asp?182999","מצודת משה &lt;מהדורה חדשה&gt;")</f>
        <v>מצודת משה &lt;מהדורה חדשה&gt;</v>
      </c>
    </row>
    <row r="25473" spans="1:6" x14ac:dyDescent="0.2">
      <c r="A25473" t="s">
        <v>40722</v>
      </c>
      <c r="B25473" t="s">
        <v>40721</v>
      </c>
      <c r="C25473" t="s">
        <v>558</v>
      </c>
      <c r="D25473" t="s">
        <v>3627</v>
      </c>
      <c r="E25473" t="s">
        <v>38723</v>
      </c>
      <c r="F25473" s="2" t="str">
        <f>HYPERLINK("http://www.otzar.org/book.asp?181325","מצודת משה")</f>
        <v>מצודת משה</v>
      </c>
    </row>
    <row r="25474" spans="1:6" x14ac:dyDescent="0.2">
      <c r="A25474" t="s">
        <v>40723</v>
      </c>
      <c r="B25474" t="s">
        <v>40724</v>
      </c>
      <c r="C25474" t="s">
        <v>23</v>
      </c>
      <c r="D25474" t="s">
        <v>4508</v>
      </c>
      <c r="E25474" t="s">
        <v>15</v>
      </c>
      <c r="F25474" s="2" t="str">
        <f>HYPERLINK("http://www.otzar.org/book.asp?192980","מצודת ציון - המצבה, הלכותיה מנהגיה ודברי ימיה")</f>
        <v>מצודת ציון - המצבה, הלכותיה מנהגיה ודברי ימיה</v>
      </c>
    </row>
    <row r="25475" spans="1:6" x14ac:dyDescent="0.2">
      <c r="A25475" t="s">
        <v>40725</v>
      </c>
      <c r="B25475" t="s">
        <v>1248</v>
      </c>
      <c r="C25475" t="s">
        <v>68</v>
      </c>
      <c r="D25475" t="s">
        <v>52</v>
      </c>
      <c r="E25475" t="s">
        <v>15</v>
      </c>
      <c r="F25475" s="2" t="str">
        <f>HYPERLINK("http://www.otzar.org/book.asp?156548","מצוה ברה")</f>
        <v>מצוה ברה</v>
      </c>
    </row>
    <row r="25476" spans="1:6" x14ac:dyDescent="0.2">
      <c r="A25476" t="s">
        <v>40726</v>
      </c>
      <c r="B25476" t="s">
        <v>40727</v>
      </c>
      <c r="C25476" t="s">
        <v>1208</v>
      </c>
      <c r="D25476" t="s">
        <v>40728</v>
      </c>
      <c r="E25476" t="s">
        <v>15</v>
      </c>
      <c r="F25476" s="2" t="str">
        <f>HYPERLINK("http://www.otzar.org/book.asp?165391","מצוה ברה - ספר המצות לרמב""ם - א")</f>
        <v>מצוה ברה - ספר המצות לרמב"ם - א</v>
      </c>
    </row>
    <row r="25477" spans="1:6" x14ac:dyDescent="0.2">
      <c r="A25477" t="s">
        <v>40729</v>
      </c>
      <c r="B25477" t="s">
        <v>31601</v>
      </c>
      <c r="C25477" t="s">
        <v>20</v>
      </c>
      <c r="D25477" t="s">
        <v>52</v>
      </c>
      <c r="E25477" t="s">
        <v>104</v>
      </c>
      <c r="F25477" s="2" t="str">
        <f>HYPERLINK("http://www.otzar.org/book.asp?169971","מצוה ברורה")</f>
        <v>מצוה ברורה</v>
      </c>
    </row>
    <row r="25478" spans="1:6" x14ac:dyDescent="0.2">
      <c r="A25478" t="s">
        <v>40730</v>
      </c>
      <c r="B25478" t="s">
        <v>5427</v>
      </c>
      <c r="C25478" t="s">
        <v>129</v>
      </c>
      <c r="D25478" t="s">
        <v>14</v>
      </c>
      <c r="E25478" t="s">
        <v>15</v>
      </c>
      <c r="F25478" s="2" t="str">
        <f>HYPERLINK("http://www.otzar.org/book.asp?190832","מצוה גוררת מצוה - 4 כר'")</f>
        <v>מצוה גוררת מצוה - 4 כר'</v>
      </c>
    </row>
    <row r="25479" spans="1:6" x14ac:dyDescent="0.2">
      <c r="A25479" t="s">
        <v>40731</v>
      </c>
      <c r="B25479" t="s">
        <v>38185</v>
      </c>
      <c r="C25479" t="s">
        <v>383</v>
      </c>
      <c r="D25479" t="s">
        <v>4478</v>
      </c>
      <c r="E25479" t="s">
        <v>241</v>
      </c>
      <c r="F25479" s="2" t="str">
        <f>HYPERLINK("http://www.otzar.org/book.asp?63135","מצוה ולב - 2 כר'")</f>
        <v>מצוה ולב - 2 כר'</v>
      </c>
    </row>
    <row r="25480" spans="1:6" x14ac:dyDescent="0.2">
      <c r="A25480" t="s">
        <v>40732</v>
      </c>
      <c r="B25480" t="s">
        <v>40733</v>
      </c>
      <c r="C25480" t="s">
        <v>37</v>
      </c>
      <c r="D25480" t="s">
        <v>52</v>
      </c>
      <c r="E25480" t="s">
        <v>130</v>
      </c>
      <c r="F25480" s="2" t="str">
        <f>HYPERLINK("http://www.otzar.org/book.asp?193625","מצוה חביבה")</f>
        <v>מצוה חביבה</v>
      </c>
    </row>
    <row r="25481" spans="1:6" x14ac:dyDescent="0.2">
      <c r="A25481" t="s">
        <v>40734</v>
      </c>
      <c r="B25481" t="s">
        <v>30391</v>
      </c>
      <c r="C25481" t="s">
        <v>445</v>
      </c>
      <c r="D25481" t="s">
        <v>3627</v>
      </c>
      <c r="E25481" t="s">
        <v>15</v>
      </c>
      <c r="F25481" s="2" t="str">
        <f>HYPERLINK("http://www.otzar.org/book.asp?147121","מצוה תרי""ג")</f>
        <v>מצוה תרי"ג</v>
      </c>
    </row>
    <row r="25482" spans="1:6" x14ac:dyDescent="0.2">
      <c r="A25482" t="s">
        <v>40735</v>
      </c>
      <c r="B25482" t="s">
        <v>5092</v>
      </c>
      <c r="C25482" t="s">
        <v>133</v>
      </c>
      <c r="D25482" t="s">
        <v>14</v>
      </c>
      <c r="E25482" t="s">
        <v>15</v>
      </c>
      <c r="F25482" s="2" t="str">
        <f>HYPERLINK("http://www.otzar.org/book.asp?175521","מצווה ועושה - 2 כר'")</f>
        <v>מצווה ועושה - 2 כר'</v>
      </c>
    </row>
    <row r="25483" spans="1:6" x14ac:dyDescent="0.2">
      <c r="A25483" t="s">
        <v>40736</v>
      </c>
      <c r="B25483" t="s">
        <v>40737</v>
      </c>
      <c r="C25483" t="s">
        <v>1811</v>
      </c>
      <c r="D25483" t="s">
        <v>14</v>
      </c>
      <c r="E25483" t="s">
        <v>246</v>
      </c>
      <c r="F25483" s="2" t="str">
        <f>HYPERLINK("http://www.otzar.org/book.asp?106758","מצוות בליל הסדר")</f>
        <v>מצוות בליל הסדר</v>
      </c>
    </row>
    <row r="25484" spans="1:6" x14ac:dyDescent="0.2">
      <c r="A25484" t="s">
        <v>40738</v>
      </c>
      <c r="B25484" t="s">
        <v>17302</v>
      </c>
      <c r="C25484" t="s">
        <v>20</v>
      </c>
      <c r="D25484" t="s">
        <v>52</v>
      </c>
      <c r="E25484" t="s">
        <v>15</v>
      </c>
      <c r="F25484" s="2" t="str">
        <f>HYPERLINK("http://www.otzar.org/book.asp?61708","מצוות הארץ כהלכתן")</f>
        <v>מצוות הארץ כהלכתן</v>
      </c>
    </row>
    <row r="25485" spans="1:6" x14ac:dyDescent="0.2">
      <c r="A25485" t="s">
        <v>40739</v>
      </c>
      <c r="B25485" t="s">
        <v>10759</v>
      </c>
      <c r="C25485" t="s">
        <v>63</v>
      </c>
      <c r="D25485" t="s">
        <v>216</v>
      </c>
      <c r="E25485" t="s">
        <v>606</v>
      </c>
      <c r="F25485" s="2" t="str">
        <f>HYPERLINK("http://www.otzar.org/book.asp?8142","מצוות הארץ - 3 כר'")</f>
        <v>מצוות הארץ - 3 כר'</v>
      </c>
    </row>
    <row r="25486" spans="1:6" x14ac:dyDescent="0.2">
      <c r="A25486" t="s">
        <v>40740</v>
      </c>
      <c r="B25486" t="s">
        <v>40741</v>
      </c>
      <c r="C25486" t="s">
        <v>114</v>
      </c>
      <c r="D25486" t="s">
        <v>14</v>
      </c>
      <c r="E25486" t="s">
        <v>15</v>
      </c>
      <c r="F25486" s="2" t="str">
        <f>HYPERLINK("http://www.otzar.org/book.asp?181486","מצוות הארץ")</f>
        <v>מצוות הארץ</v>
      </c>
    </row>
    <row r="25487" spans="1:6" x14ac:dyDescent="0.2">
      <c r="A25487" t="s">
        <v>40742</v>
      </c>
      <c r="B25487" t="s">
        <v>2883</v>
      </c>
      <c r="C25487" t="s">
        <v>1619</v>
      </c>
      <c r="D25487" t="s">
        <v>412</v>
      </c>
      <c r="E25487" t="s">
        <v>15</v>
      </c>
      <c r="F25487" s="2" t="str">
        <f>HYPERLINK("http://www.otzar.org/book.asp?157627","מצוות הבית - 2 כר'")</f>
        <v>מצוות הבית - 2 כר'</v>
      </c>
    </row>
    <row r="25488" spans="1:6" x14ac:dyDescent="0.2">
      <c r="A25488" t="s">
        <v>40743</v>
      </c>
      <c r="B25488" t="s">
        <v>2883</v>
      </c>
      <c r="C25488" t="s">
        <v>160</v>
      </c>
      <c r="D25488" t="s">
        <v>34161</v>
      </c>
      <c r="E25488" t="s">
        <v>6305</v>
      </c>
      <c r="F25488" s="2" t="str">
        <f>HYPERLINK("http://www.otzar.org/book.asp?25476","מצוות המוסר - 2 כר'")</f>
        <v>מצוות המוסר - 2 כר'</v>
      </c>
    </row>
    <row r="25489" spans="1:6" x14ac:dyDescent="0.2">
      <c r="A25489" t="s">
        <v>40744</v>
      </c>
      <c r="B25489" t="s">
        <v>17976</v>
      </c>
      <c r="C25489" t="s">
        <v>17</v>
      </c>
      <c r="D25489" t="s">
        <v>52</v>
      </c>
      <c r="E25489" t="s">
        <v>140</v>
      </c>
      <c r="F25489" s="2" t="str">
        <f>HYPERLINK("http://www.otzar.org/book.asp?163471","מצוות המלך")</f>
        <v>מצוות המלך</v>
      </c>
    </row>
    <row r="25490" spans="1:6" x14ac:dyDescent="0.2">
      <c r="A25490" t="s">
        <v>40745</v>
      </c>
      <c r="B25490" t="s">
        <v>3384</v>
      </c>
      <c r="C25490" t="s">
        <v>176</v>
      </c>
      <c r="D25490" t="s">
        <v>14</v>
      </c>
      <c r="E25490" t="s">
        <v>15</v>
      </c>
      <c r="F25490" s="2" t="str">
        <f>HYPERLINK("http://www.otzar.org/book.asp?60519","מצוות הנשים")</f>
        <v>מצוות הנשים</v>
      </c>
    </row>
    <row r="25491" spans="1:6" x14ac:dyDescent="0.2">
      <c r="A25491" t="s">
        <v>40746</v>
      </c>
      <c r="B25491" t="s">
        <v>107</v>
      </c>
      <c r="C25491" t="s">
        <v>553</v>
      </c>
      <c r="D25491" t="s">
        <v>14</v>
      </c>
      <c r="E25491" t="s">
        <v>130</v>
      </c>
      <c r="F25491" s="2" t="str">
        <f>HYPERLINK("http://www.otzar.org/book.asp?148260","מצוות העומר הנוהגות בזמן הזה")</f>
        <v>מצוות העומר הנוהגות בזמן הזה</v>
      </c>
    </row>
    <row r="25492" spans="1:6" x14ac:dyDescent="0.2">
      <c r="A25492" t="s">
        <v>40747</v>
      </c>
      <c r="B25492" t="s">
        <v>40748</v>
      </c>
      <c r="C25492" t="s">
        <v>37</v>
      </c>
      <c r="D25492" t="s">
        <v>14</v>
      </c>
      <c r="E25492" t="s">
        <v>104</v>
      </c>
      <c r="F25492" s="2" t="str">
        <f>HYPERLINK("http://www.otzar.org/book.asp?182473","מצוות הקרבנות - לשמה בקרבנות")</f>
        <v>מצוות הקרבנות - לשמה בקרבנות</v>
      </c>
    </row>
    <row r="25493" spans="1:6" x14ac:dyDescent="0.2">
      <c r="A25493" t="s">
        <v>40749</v>
      </c>
      <c r="B25493" t="s">
        <v>2883</v>
      </c>
      <c r="C25493" t="s">
        <v>553</v>
      </c>
      <c r="D25493" t="s">
        <v>412</v>
      </c>
      <c r="E25493" t="s">
        <v>241</v>
      </c>
      <c r="F25493" s="2" t="str">
        <f>HYPERLINK("http://www.otzar.org/book.asp?157629","מצוות השלום - 2 כר'")</f>
        <v>מצוות השלום - 2 כר'</v>
      </c>
    </row>
    <row r="25494" spans="1:6" x14ac:dyDescent="0.2">
      <c r="A25494" t="s">
        <v>40750</v>
      </c>
      <c r="B25494" t="s">
        <v>40751</v>
      </c>
      <c r="C25494" t="s">
        <v>427</v>
      </c>
      <c r="D25494" t="s">
        <v>14</v>
      </c>
      <c r="E25494" t="s">
        <v>18910</v>
      </c>
      <c r="F25494" s="2" t="str">
        <f>HYPERLINK("http://www.otzar.org/book.asp?7462","מצוות התורה")</f>
        <v>מצוות התורה</v>
      </c>
    </row>
    <row r="25495" spans="1:6" x14ac:dyDescent="0.2">
      <c r="A25495" t="s">
        <v>40752</v>
      </c>
      <c r="B25495" t="s">
        <v>1248</v>
      </c>
      <c r="C25495" t="s">
        <v>454</v>
      </c>
      <c r="D25495" t="s">
        <v>52</v>
      </c>
      <c r="E25495" t="s">
        <v>15</v>
      </c>
      <c r="F25495" s="2" t="str">
        <f>HYPERLINK("http://www.otzar.org/book.asp?142143","מצוות התלויות בארץ - יסודות וכללים")</f>
        <v>מצוות התלויות בארץ - יסודות וכללים</v>
      </c>
    </row>
    <row r="25496" spans="1:6" x14ac:dyDescent="0.2">
      <c r="A25496" t="s">
        <v>40753</v>
      </c>
      <c r="B25496" t="s">
        <v>20826</v>
      </c>
      <c r="C25496" t="s">
        <v>454</v>
      </c>
      <c r="D25496" t="s">
        <v>1550</v>
      </c>
      <c r="E25496" t="s">
        <v>104</v>
      </c>
      <c r="F25496" s="2" t="str">
        <f>HYPERLINK("http://www.otzar.org/book.asp?142300","מצוות חבילות")</f>
        <v>מצוות חבילות</v>
      </c>
    </row>
    <row r="25497" spans="1:6" x14ac:dyDescent="0.2">
      <c r="A25497" t="s">
        <v>40754</v>
      </c>
      <c r="B25497" t="s">
        <v>40755</v>
      </c>
      <c r="C25497" t="s">
        <v>523</v>
      </c>
      <c r="D25497" t="s">
        <v>14</v>
      </c>
      <c r="E25497" t="s">
        <v>674</v>
      </c>
      <c r="F25497" s="2" t="str">
        <f>HYPERLINK("http://www.otzar.org/book.asp?625567","מצוות כרימון")</f>
        <v>מצוות כרימון</v>
      </c>
    </row>
    <row r="25498" spans="1:6" x14ac:dyDescent="0.2">
      <c r="A25498" t="s">
        <v>40756</v>
      </c>
      <c r="B25498" t="s">
        <v>40757</v>
      </c>
      <c r="C25498" t="s">
        <v>146</v>
      </c>
      <c r="D25498" t="s">
        <v>367</v>
      </c>
      <c r="E25498" t="s">
        <v>803</v>
      </c>
      <c r="F25498" s="2" t="str">
        <f>HYPERLINK("http://www.otzar.org/book.asp?60323","מצוות לעיתים")</f>
        <v>מצוות לעיתים</v>
      </c>
    </row>
    <row r="25499" spans="1:6" x14ac:dyDescent="0.2">
      <c r="A25499" t="s">
        <v>40758</v>
      </c>
      <c r="B25499" t="s">
        <v>20826</v>
      </c>
      <c r="C25499" t="s">
        <v>313</v>
      </c>
      <c r="D25499" t="s">
        <v>1550</v>
      </c>
      <c r="E25499" t="s">
        <v>15</v>
      </c>
      <c r="F25499" s="2" t="str">
        <f>HYPERLINK("http://www.otzar.org/book.asp?61130","מצוות צריכות כוונה")</f>
        <v>מצוות צריכות כוונה</v>
      </c>
    </row>
    <row r="25500" spans="1:6" x14ac:dyDescent="0.2">
      <c r="A25500" t="s">
        <v>40759</v>
      </c>
      <c r="B25500" t="s">
        <v>21963</v>
      </c>
      <c r="C25500" t="s">
        <v>146</v>
      </c>
      <c r="D25500" t="s">
        <v>14</v>
      </c>
      <c r="E25500" t="s">
        <v>15</v>
      </c>
      <c r="F25500" s="2" t="str">
        <f>HYPERLINK("http://www.otzar.org/book.asp?163969","מצוות תלמוד תורה")</f>
        <v>מצוות תלמוד תורה</v>
      </c>
    </row>
    <row r="25501" spans="1:6" x14ac:dyDescent="0.2">
      <c r="A25501" t="s">
        <v>40760</v>
      </c>
      <c r="B25501" t="s">
        <v>24696</v>
      </c>
      <c r="C25501" t="s">
        <v>422</v>
      </c>
      <c r="D25501" t="s">
        <v>14</v>
      </c>
      <c r="E25501" t="s">
        <v>3489</v>
      </c>
      <c r="F25501" s="2" t="str">
        <f>HYPERLINK("http://www.otzar.org/book.asp?62685","מצוותי תשמורו - 2 כר'")</f>
        <v>מצוותי תשמורו - 2 כר'</v>
      </c>
    </row>
    <row r="25502" spans="1:6" x14ac:dyDescent="0.2">
      <c r="A25502" t="s">
        <v>40761</v>
      </c>
      <c r="B25502" t="s">
        <v>30810</v>
      </c>
      <c r="C25502" t="s">
        <v>151</v>
      </c>
      <c r="D25502" t="s">
        <v>90</v>
      </c>
      <c r="E25502" t="s">
        <v>246</v>
      </c>
      <c r="F25502" s="2" t="str">
        <f>HYPERLINK("http://www.otzar.org/book.asp?626748","מצוותיך אמונה - 5 כר'")</f>
        <v>מצוותיך אמונה - 5 כר'</v>
      </c>
    </row>
    <row r="25503" spans="1:6" x14ac:dyDescent="0.2">
      <c r="A25503" t="s">
        <v>40762</v>
      </c>
      <c r="B25503" t="s">
        <v>40763</v>
      </c>
      <c r="C25503" t="s">
        <v>466</v>
      </c>
      <c r="D25503" t="s">
        <v>14</v>
      </c>
      <c r="E25503" t="s">
        <v>674</v>
      </c>
      <c r="F25503" s="2" t="str">
        <f>HYPERLINK("http://www.otzar.org/book.asp?144026","מצור דבש")</f>
        <v>מצור דבש</v>
      </c>
    </row>
    <row r="25504" spans="1:6" x14ac:dyDescent="0.2">
      <c r="A25504" t="s">
        <v>40764</v>
      </c>
      <c r="B25504" t="s">
        <v>40765</v>
      </c>
      <c r="C25504" t="s">
        <v>1570</v>
      </c>
      <c r="D25504" t="s">
        <v>118</v>
      </c>
      <c r="E25504" t="s">
        <v>40766</v>
      </c>
      <c r="F25504" s="2" t="str">
        <f>HYPERLINK("http://www.otzar.org/book.asp?200182","מצור דבש - 2 כר'")</f>
        <v>מצור דבש - 2 כר'</v>
      </c>
    </row>
    <row r="25505" spans="1:6" x14ac:dyDescent="0.2">
      <c r="A25505" t="s">
        <v>40762</v>
      </c>
      <c r="B25505" t="s">
        <v>40767</v>
      </c>
      <c r="C25505" t="s">
        <v>624</v>
      </c>
      <c r="D25505" t="s">
        <v>14</v>
      </c>
      <c r="E25505" t="s">
        <v>2071</v>
      </c>
      <c r="F25505" s="2" t="str">
        <f>HYPERLINK("http://www.otzar.org/book.asp?63744","מצור דבש")</f>
        <v>מצור דבש</v>
      </c>
    </row>
    <row r="25506" spans="1:6" x14ac:dyDescent="0.2">
      <c r="A25506" t="s">
        <v>40768</v>
      </c>
      <c r="B25506" t="s">
        <v>12079</v>
      </c>
      <c r="C25506" t="s">
        <v>176</v>
      </c>
      <c r="D25506" t="s">
        <v>14</v>
      </c>
      <c r="E25506" t="s">
        <v>130</v>
      </c>
      <c r="F25506" s="2" t="str">
        <f>HYPERLINK("http://www.otzar.org/book.asp?154359","מצות אברך - 2 כר'")</f>
        <v>מצות אברך - 2 כר'</v>
      </c>
    </row>
    <row r="25507" spans="1:6" x14ac:dyDescent="0.2">
      <c r="A25507" t="s">
        <v>40769</v>
      </c>
      <c r="B25507" t="s">
        <v>40770</v>
      </c>
      <c r="C25507" t="s">
        <v>129</v>
      </c>
      <c r="D25507" t="s">
        <v>52</v>
      </c>
      <c r="E25507" t="s">
        <v>803</v>
      </c>
      <c r="F25507" s="2" t="str">
        <f>HYPERLINK("http://www.otzar.org/book.asp?51904","מצות איש - 3 כר'")</f>
        <v>מצות איש - 3 כר'</v>
      </c>
    </row>
    <row r="25508" spans="1:6" x14ac:dyDescent="0.2">
      <c r="A25508" t="s">
        <v>40771</v>
      </c>
      <c r="B25508" t="s">
        <v>2485</v>
      </c>
      <c r="C25508" t="s">
        <v>13</v>
      </c>
      <c r="D25508" t="s">
        <v>90</v>
      </c>
      <c r="E25508" t="s">
        <v>15</v>
      </c>
      <c r="F25508" s="2" t="str">
        <f>HYPERLINK("http://www.otzar.org/book.asp?62842","מצות ביקור חולים")</f>
        <v>מצות ביקור חולים</v>
      </c>
    </row>
    <row r="25509" spans="1:6" x14ac:dyDescent="0.2">
      <c r="A25509" t="s">
        <v>40771</v>
      </c>
      <c r="B25509" t="s">
        <v>19661</v>
      </c>
      <c r="C25509" t="s">
        <v>114</v>
      </c>
      <c r="D25509" t="s">
        <v>21</v>
      </c>
      <c r="E25509" t="s">
        <v>674</v>
      </c>
      <c r="F25509" s="2" t="str">
        <f>HYPERLINK("http://www.otzar.org/book.asp?600261","מצות ביקור חולים")</f>
        <v>מצות ביקור חולים</v>
      </c>
    </row>
    <row r="25510" spans="1:6" x14ac:dyDescent="0.2">
      <c r="A25510" t="s">
        <v>40772</v>
      </c>
      <c r="B25510" t="s">
        <v>12665</v>
      </c>
      <c r="C25510" t="s">
        <v>946</v>
      </c>
      <c r="D25510" t="s">
        <v>40773</v>
      </c>
      <c r="E25510" t="s">
        <v>219</v>
      </c>
      <c r="F25510" s="2" t="str">
        <f>HYPERLINK("http://www.otzar.org/book.asp?196329","מצות ברכת החמה")</f>
        <v>מצות ברכת החמה</v>
      </c>
    </row>
    <row r="25511" spans="1:6" x14ac:dyDescent="0.2">
      <c r="A25511" t="s">
        <v>40774</v>
      </c>
      <c r="B25511" t="s">
        <v>1750</v>
      </c>
      <c r="C25511" t="s">
        <v>37</v>
      </c>
      <c r="D25511" t="s">
        <v>14</v>
      </c>
      <c r="F25511" s="2" t="str">
        <f>HYPERLINK("http://www.otzar.org/book.asp?195109","מצות הארץ בהלכה ובאגדה")</f>
        <v>מצות הארץ בהלכה ובאגדה</v>
      </c>
    </row>
    <row r="25512" spans="1:6" x14ac:dyDescent="0.2">
      <c r="A25512" t="s">
        <v>40775</v>
      </c>
      <c r="B25512" t="s">
        <v>40737</v>
      </c>
      <c r="C25512" t="s">
        <v>466</v>
      </c>
      <c r="D25512" t="s">
        <v>14</v>
      </c>
      <c r="E25512" t="s">
        <v>960</v>
      </c>
      <c r="F25512" s="2" t="str">
        <f>HYPERLINK("http://www.otzar.org/book.asp?6280","מצות הבטחון")</f>
        <v>מצות הבטחון</v>
      </c>
    </row>
    <row r="25513" spans="1:6" x14ac:dyDescent="0.2">
      <c r="A25513" t="s">
        <v>40776</v>
      </c>
      <c r="B25513" t="s">
        <v>19768</v>
      </c>
      <c r="C25513" t="s">
        <v>189</v>
      </c>
      <c r="D25513" t="s">
        <v>52</v>
      </c>
      <c r="E25513" t="s">
        <v>714</v>
      </c>
      <c r="F25513" s="2" t="str">
        <f>HYPERLINK("http://www.otzar.org/book.asp?159288","מצות החסד")</f>
        <v>מצות החסד</v>
      </c>
    </row>
    <row r="25514" spans="1:6" x14ac:dyDescent="0.2">
      <c r="A25514" t="s">
        <v>40777</v>
      </c>
      <c r="B25514" t="s">
        <v>12568</v>
      </c>
      <c r="C25514" t="s">
        <v>23</v>
      </c>
      <c r="D25514" t="s">
        <v>7116</v>
      </c>
      <c r="E25514" t="s">
        <v>104</v>
      </c>
      <c r="F25514" s="2" t="str">
        <f>HYPERLINK("http://www.otzar.org/book.asp?199351","מצות החצוצרות בהלכה ובאגדה")</f>
        <v>מצות החצוצרות בהלכה ובאגדה</v>
      </c>
    </row>
    <row r="25515" spans="1:6" x14ac:dyDescent="0.2">
      <c r="A25515" t="s">
        <v>40778</v>
      </c>
      <c r="B25515" t="s">
        <v>4606</v>
      </c>
      <c r="C25515" t="s">
        <v>919</v>
      </c>
      <c r="D25515" t="s">
        <v>14</v>
      </c>
      <c r="E25515" t="s">
        <v>606</v>
      </c>
      <c r="F25515" s="2" t="str">
        <f>HYPERLINK("http://www.otzar.org/book.asp?13086","מצות היום (סתו""מ)")</f>
        <v>מצות היום (סתו"מ)</v>
      </c>
    </row>
    <row r="25516" spans="1:6" x14ac:dyDescent="0.2">
      <c r="A25516" t="s">
        <v>40779</v>
      </c>
      <c r="B25516" t="s">
        <v>40780</v>
      </c>
      <c r="C25516" t="s">
        <v>624</v>
      </c>
      <c r="D25516" t="s">
        <v>14</v>
      </c>
      <c r="E25516" t="s">
        <v>241</v>
      </c>
      <c r="F25516" s="2" t="str">
        <f>HYPERLINK("http://www.otzar.org/book.asp?161378","מצות היראה")</f>
        <v>מצות היראה</v>
      </c>
    </row>
    <row r="25517" spans="1:6" x14ac:dyDescent="0.2">
      <c r="A25517" t="s">
        <v>40781</v>
      </c>
      <c r="B25517" t="s">
        <v>37189</v>
      </c>
      <c r="C25517" t="s">
        <v>956</v>
      </c>
      <c r="D25517" t="s">
        <v>52</v>
      </c>
      <c r="E25517" t="s">
        <v>241</v>
      </c>
      <c r="F25517" s="2" t="str">
        <f>HYPERLINK("http://www.otzar.org/book.asp?174090","מצות הלבבות")</f>
        <v>מצות הלבבות</v>
      </c>
    </row>
    <row r="25518" spans="1:6" x14ac:dyDescent="0.2">
      <c r="A25518" t="s">
        <v>40782</v>
      </c>
      <c r="B25518" t="s">
        <v>37189</v>
      </c>
      <c r="C25518" t="s">
        <v>22627</v>
      </c>
      <c r="D25518" t="s">
        <v>37122</v>
      </c>
      <c r="E25518" t="s">
        <v>10</v>
      </c>
      <c r="F25518" s="2" t="str">
        <f>HYPERLINK("http://www.otzar.org/book.asp?165954","מצות הלבבות, נתיבות הלכה, מטל השמים, ספר המידות, אגרת לבני עמנו")</f>
        <v>מצות הלבבות, נתיבות הלכה, מטל השמים, ספר המידות, אגרת לבני עמנו</v>
      </c>
    </row>
    <row r="25519" spans="1:6" x14ac:dyDescent="0.2">
      <c r="A25519" t="s">
        <v>40783</v>
      </c>
      <c r="B25519" t="s">
        <v>5634</v>
      </c>
      <c r="C25519" t="s">
        <v>114</v>
      </c>
      <c r="D25519" t="s">
        <v>80</v>
      </c>
      <c r="E25519" t="s">
        <v>241</v>
      </c>
      <c r="F25519" s="2" t="str">
        <f>HYPERLINK("http://www.otzar.org/book.asp?170948","מצות הלוי")</f>
        <v>מצות הלוי</v>
      </c>
    </row>
    <row r="25520" spans="1:6" x14ac:dyDescent="0.2">
      <c r="A25520" t="s">
        <v>40784</v>
      </c>
      <c r="B25520" t="s">
        <v>7405</v>
      </c>
      <c r="C25520" t="s">
        <v>146</v>
      </c>
      <c r="D25520" t="s">
        <v>14</v>
      </c>
      <c r="E25520" t="s">
        <v>15</v>
      </c>
      <c r="F25520" s="2" t="str">
        <f>HYPERLINK("http://www.otzar.org/book.asp?50371","מצות המאה ברכות כהלכתה")</f>
        <v>מצות המאה ברכות כהלכתה</v>
      </c>
    </row>
    <row r="25521" spans="1:6" x14ac:dyDescent="0.2">
      <c r="A25521" t="s">
        <v>40785</v>
      </c>
      <c r="B25521" t="s">
        <v>2688</v>
      </c>
      <c r="C25521" t="s">
        <v>51</v>
      </c>
      <c r="D25521" t="s">
        <v>14</v>
      </c>
      <c r="E25521" t="s">
        <v>104</v>
      </c>
      <c r="F25521" s="2" t="str">
        <f>HYPERLINK("http://www.otzar.org/book.asp?21659","מצות המלך &lt;סמ""ה&gt; - 2 כר'")</f>
        <v>מצות המלך &lt;סמ"ה&gt; - 2 כר'</v>
      </c>
    </row>
    <row r="25522" spans="1:6" x14ac:dyDescent="0.2">
      <c r="A25522" t="s">
        <v>40786</v>
      </c>
      <c r="B25522" t="s">
        <v>5611</v>
      </c>
      <c r="C25522" t="s">
        <v>1177</v>
      </c>
      <c r="D25522" t="s">
        <v>212</v>
      </c>
      <c r="E25522" t="s">
        <v>1626</v>
      </c>
      <c r="F25522" s="2" t="str">
        <f>HYPERLINK("http://www.otzar.org/book.asp?101499","מצות המלך")</f>
        <v>מצות המלך</v>
      </c>
    </row>
    <row r="25523" spans="1:6" x14ac:dyDescent="0.2">
      <c r="A25523" t="s">
        <v>40787</v>
      </c>
      <c r="B25523" t="s">
        <v>40788</v>
      </c>
      <c r="C25523" t="s">
        <v>146</v>
      </c>
      <c r="D25523" t="s">
        <v>16149</v>
      </c>
      <c r="F25523" s="2" t="str">
        <f>HYPERLINK("http://www.otzar.org/book.asp?150736","מצות המלך - 4 כר'")</f>
        <v>מצות המלך - 4 כר'</v>
      </c>
    </row>
    <row r="25524" spans="1:6" x14ac:dyDescent="0.2">
      <c r="A25524" t="s">
        <v>40789</v>
      </c>
      <c r="B25524" t="s">
        <v>40790</v>
      </c>
      <c r="C25524" t="s">
        <v>63</v>
      </c>
      <c r="D25524" t="s">
        <v>14</v>
      </c>
      <c r="E25524" t="s">
        <v>8107</v>
      </c>
      <c r="F25524" s="2" t="str">
        <f>HYPERLINK("http://www.otzar.org/book.asp?8925","מצות המציצה")</f>
        <v>מצות המציצה</v>
      </c>
    </row>
    <row r="25525" spans="1:6" x14ac:dyDescent="0.2">
      <c r="A25525" t="s">
        <v>40791</v>
      </c>
      <c r="B25525" t="s">
        <v>40792</v>
      </c>
      <c r="C25525" t="s">
        <v>13</v>
      </c>
      <c r="D25525" t="s">
        <v>14</v>
      </c>
      <c r="E25525" t="s">
        <v>130</v>
      </c>
      <c r="F25525" s="2" t="str">
        <f>HYPERLINK("http://www.otzar.org/book.asp?85037","מצות העומר כהלכתה")</f>
        <v>מצות העומר כהלכתה</v>
      </c>
    </row>
    <row r="25526" spans="1:6" x14ac:dyDescent="0.2">
      <c r="A25526" t="s">
        <v>40793</v>
      </c>
      <c r="B25526" t="s">
        <v>18533</v>
      </c>
      <c r="C25526" t="s">
        <v>785</v>
      </c>
      <c r="D25526" t="s">
        <v>412</v>
      </c>
      <c r="E25526" t="s">
        <v>148</v>
      </c>
      <c r="F25526" s="2" t="str">
        <f>HYPERLINK("http://www.otzar.org/book.asp?153295","מצות השבה")</f>
        <v>מצות השבה</v>
      </c>
    </row>
    <row r="25527" spans="1:6" x14ac:dyDescent="0.2">
      <c r="A25527" t="s">
        <v>40794</v>
      </c>
      <c r="B25527" t="s">
        <v>8065</v>
      </c>
      <c r="C25527" t="s">
        <v>13</v>
      </c>
      <c r="D25527" t="s">
        <v>2383</v>
      </c>
      <c r="E25527" t="s">
        <v>246</v>
      </c>
      <c r="F25527" s="2" t="str">
        <f>HYPERLINK("http://www.otzar.org/book.asp?181758","מצות השבת")</f>
        <v>מצות השבת</v>
      </c>
    </row>
    <row r="25528" spans="1:6" x14ac:dyDescent="0.2">
      <c r="A25528" t="s">
        <v>40795</v>
      </c>
      <c r="B25528" t="s">
        <v>16808</v>
      </c>
      <c r="C25528" t="s">
        <v>454</v>
      </c>
      <c r="D25528" t="s">
        <v>52</v>
      </c>
      <c r="E25528" t="s">
        <v>148</v>
      </c>
      <c r="F25528" s="2" t="str">
        <f>HYPERLINK("http://www.otzar.org/book.asp?63809","מצות השחיטה")</f>
        <v>מצות השחיטה</v>
      </c>
    </row>
    <row r="25529" spans="1:6" x14ac:dyDescent="0.2">
      <c r="A25529" t="s">
        <v>40796</v>
      </c>
      <c r="B25529" t="s">
        <v>31848</v>
      </c>
      <c r="C25529" t="s">
        <v>1954</v>
      </c>
      <c r="D25529" t="s">
        <v>27</v>
      </c>
      <c r="E25529" t="s">
        <v>39636</v>
      </c>
      <c r="F25529" s="2" t="str">
        <f>HYPERLINK("http://www.otzar.org/book.asp?7509","מצות השם - 8 כר'")</f>
        <v>מצות השם - 8 כר'</v>
      </c>
    </row>
    <row r="25530" spans="1:6" x14ac:dyDescent="0.2">
      <c r="A25530" t="s">
        <v>40797</v>
      </c>
      <c r="B25530" t="s">
        <v>6486</v>
      </c>
      <c r="C25530" t="s">
        <v>785</v>
      </c>
      <c r="D25530" t="s">
        <v>412</v>
      </c>
      <c r="E25530" t="s">
        <v>674</v>
      </c>
      <c r="F25530" s="2" t="str">
        <f>HYPERLINK("http://www.otzar.org/book.asp?157970","מצות השם")</f>
        <v>מצות השם</v>
      </c>
    </row>
    <row r="25531" spans="1:6" x14ac:dyDescent="0.2">
      <c r="A25531" t="s">
        <v>40798</v>
      </c>
      <c r="B25531" t="s">
        <v>40799</v>
      </c>
      <c r="C25531" t="s">
        <v>23</v>
      </c>
      <c r="D25531" t="s">
        <v>14</v>
      </c>
      <c r="E25531" t="s">
        <v>104</v>
      </c>
      <c r="F25531" s="2" t="str">
        <f>HYPERLINK("http://www.otzar.org/book.asp?182626","מצות השמחה")</f>
        <v>מצות השמחה</v>
      </c>
    </row>
    <row r="25532" spans="1:6" x14ac:dyDescent="0.2">
      <c r="A25532" t="s">
        <v>40800</v>
      </c>
      <c r="B25532" t="s">
        <v>17302</v>
      </c>
      <c r="C25532" t="s">
        <v>523</v>
      </c>
      <c r="D25532" t="s">
        <v>52</v>
      </c>
      <c r="E25532" t="s">
        <v>15</v>
      </c>
      <c r="F25532" s="2" t="str">
        <f>HYPERLINK("http://www.otzar.org/book.asp?64002","מצות השמיטה כהלכתה")</f>
        <v>מצות השמיטה כהלכתה</v>
      </c>
    </row>
    <row r="25533" spans="1:6" x14ac:dyDescent="0.2">
      <c r="A25533" t="s">
        <v>40801</v>
      </c>
      <c r="B25533" t="s">
        <v>34089</v>
      </c>
      <c r="C25533" t="s">
        <v>3840</v>
      </c>
      <c r="D25533" t="s">
        <v>27</v>
      </c>
      <c r="E25533" t="s">
        <v>674</v>
      </c>
      <c r="F25533" s="2" t="str">
        <f>HYPERLINK("http://www.otzar.org/book.asp?14406","מצות התוכחה")</f>
        <v>מצות התוכחה</v>
      </c>
    </row>
    <row r="25534" spans="1:6" x14ac:dyDescent="0.2">
      <c r="A25534" t="s">
        <v>40802</v>
      </c>
      <c r="B25534" t="s">
        <v>11184</v>
      </c>
      <c r="C25534" t="s">
        <v>1208</v>
      </c>
      <c r="D25534" t="s">
        <v>52</v>
      </c>
      <c r="E25534" t="s">
        <v>130</v>
      </c>
      <c r="F25534" s="2" t="str">
        <f>HYPERLINK("http://www.otzar.org/book.asp?157812","מצות התקיעות")</f>
        <v>מצות התקיעות</v>
      </c>
    </row>
    <row r="25535" spans="1:6" x14ac:dyDescent="0.2">
      <c r="A25535" t="s">
        <v>40803</v>
      </c>
      <c r="B25535" t="s">
        <v>40803</v>
      </c>
      <c r="C25535" t="s">
        <v>20</v>
      </c>
      <c r="D25535" t="s">
        <v>14</v>
      </c>
      <c r="E25535" t="s">
        <v>714</v>
      </c>
      <c r="F25535" s="2" t="str">
        <f>HYPERLINK("http://www.otzar.org/book.asp?10802","מצות וידוי")</f>
        <v>מצות וידוי</v>
      </c>
    </row>
    <row r="25536" spans="1:6" x14ac:dyDescent="0.2">
      <c r="A25536" t="s">
        <v>40804</v>
      </c>
      <c r="B25536" t="s">
        <v>40805</v>
      </c>
      <c r="C25536" t="s">
        <v>1388</v>
      </c>
      <c r="D25536" t="s">
        <v>412</v>
      </c>
      <c r="E25536" t="s">
        <v>15</v>
      </c>
      <c r="F25536" s="2" t="str">
        <f>HYPERLINK("http://www.otzar.org/book.asp?62244","מצות זמניות")</f>
        <v>מצות זמניות</v>
      </c>
    </row>
    <row r="25537" spans="1:6" x14ac:dyDescent="0.2">
      <c r="A25537" t="s">
        <v>40806</v>
      </c>
      <c r="B25537" t="s">
        <v>40807</v>
      </c>
      <c r="C25537" t="s">
        <v>37</v>
      </c>
      <c r="D25537" t="s">
        <v>52</v>
      </c>
      <c r="E25537" t="s">
        <v>15</v>
      </c>
      <c r="F25537" s="2" t="str">
        <f>HYPERLINK("http://www.otzar.org/book.asp?179694","מצות חבורה - 2 כר'")</f>
        <v>מצות חבורה - 2 כר'</v>
      </c>
    </row>
    <row r="25538" spans="1:6" x14ac:dyDescent="0.2">
      <c r="A25538" t="s">
        <v>40808</v>
      </c>
      <c r="B25538" t="s">
        <v>2688</v>
      </c>
      <c r="C25538" t="s">
        <v>51</v>
      </c>
      <c r="D25538" t="s">
        <v>412</v>
      </c>
      <c r="E25538" t="s">
        <v>15</v>
      </c>
      <c r="F25538" s="2" t="str">
        <f>HYPERLINK("http://www.otzar.org/book.asp?21618","מצות חג הפסח")</f>
        <v>מצות חג הפסח</v>
      </c>
    </row>
    <row r="25539" spans="1:6" x14ac:dyDescent="0.2">
      <c r="A25539" t="s">
        <v>40809</v>
      </c>
      <c r="B25539" t="s">
        <v>26029</v>
      </c>
      <c r="C25539" t="s">
        <v>1844</v>
      </c>
      <c r="D25539" t="s">
        <v>1279</v>
      </c>
      <c r="E25539" t="s">
        <v>15</v>
      </c>
      <c r="F25539" s="2" t="str">
        <f>HYPERLINK("http://www.otzar.org/book.asp?20249","מצות חליצה")</f>
        <v>מצות חליצה</v>
      </c>
    </row>
    <row r="25540" spans="1:6" x14ac:dyDescent="0.2">
      <c r="A25540" t="s">
        <v>40810</v>
      </c>
      <c r="B25540" t="s">
        <v>7742</v>
      </c>
      <c r="C25540" t="s">
        <v>17</v>
      </c>
      <c r="D25540" t="s">
        <v>14</v>
      </c>
      <c r="E25540" t="s">
        <v>144</v>
      </c>
      <c r="F25540" s="2" t="str">
        <f>HYPERLINK("http://www.otzar.org/book.asp?172475","מצות יבמין")</f>
        <v>מצות יבמין</v>
      </c>
    </row>
    <row r="25541" spans="1:6" x14ac:dyDescent="0.2">
      <c r="A25541" t="s">
        <v>40811</v>
      </c>
      <c r="B25541" t="s">
        <v>23216</v>
      </c>
      <c r="C25541" t="s">
        <v>366</v>
      </c>
      <c r="D25541" t="s">
        <v>52</v>
      </c>
      <c r="E25541" t="s">
        <v>674</v>
      </c>
      <c r="F25541" s="2" t="str">
        <f>HYPERLINK("http://www.otzar.org/book.asp?615265","מצות ישוב ארץ ישראל")</f>
        <v>מצות ישוב ארץ ישראל</v>
      </c>
    </row>
    <row r="25542" spans="1:6" x14ac:dyDescent="0.2">
      <c r="A25542" t="s">
        <v>40812</v>
      </c>
      <c r="B25542" t="s">
        <v>40813</v>
      </c>
      <c r="C25542" t="s">
        <v>5823</v>
      </c>
      <c r="D25542" t="s">
        <v>56</v>
      </c>
      <c r="E25542" t="s">
        <v>674</v>
      </c>
      <c r="F25542" s="2" t="str">
        <f>HYPERLINK("http://www.otzar.org/book.asp?101851","מצות ישיבת ארץ ישראל")</f>
        <v>מצות ישיבת ארץ ישראל</v>
      </c>
    </row>
    <row r="25543" spans="1:6" x14ac:dyDescent="0.2">
      <c r="A25543" t="s">
        <v>40814</v>
      </c>
      <c r="B25543" t="s">
        <v>31313</v>
      </c>
      <c r="C25543" t="s">
        <v>950</v>
      </c>
      <c r="D25543" t="s">
        <v>212</v>
      </c>
      <c r="E25543" t="s">
        <v>154</v>
      </c>
      <c r="F25543" s="2" t="str">
        <f>HYPERLINK("http://www.otzar.org/book.asp?101847","מצות כהונה")</f>
        <v>מצות כהונה</v>
      </c>
    </row>
    <row r="25544" spans="1:6" x14ac:dyDescent="0.2">
      <c r="A25544" t="s">
        <v>40815</v>
      </c>
      <c r="B25544" t="s">
        <v>1728</v>
      </c>
      <c r="C25544" t="s">
        <v>411</v>
      </c>
      <c r="D25544" t="s">
        <v>273</v>
      </c>
      <c r="E25544" t="s">
        <v>1256</v>
      </c>
      <c r="F25544" s="2" t="str">
        <f>HYPERLINK("http://www.otzar.org/book.asp?628561","מצות כיבוד הורים")</f>
        <v>מצות כיבוד הורים</v>
      </c>
    </row>
    <row r="25545" spans="1:6" x14ac:dyDescent="0.2">
      <c r="A25545" t="s">
        <v>40816</v>
      </c>
      <c r="B25545" t="s">
        <v>40817</v>
      </c>
      <c r="C25545" t="s">
        <v>20</v>
      </c>
      <c r="D25545" t="s">
        <v>52</v>
      </c>
      <c r="F25545" s="2" t="str">
        <f>HYPERLINK("http://www.otzar.org/book.asp?616475","מצות לחם משנה")</f>
        <v>מצות לחם משנה</v>
      </c>
    </row>
    <row r="25546" spans="1:6" x14ac:dyDescent="0.2">
      <c r="A25546" t="s">
        <v>40818</v>
      </c>
      <c r="B25546" t="s">
        <v>40819</v>
      </c>
      <c r="C25546" t="s">
        <v>523</v>
      </c>
      <c r="D25546" t="s">
        <v>52</v>
      </c>
      <c r="E25546" t="s">
        <v>15</v>
      </c>
      <c r="F25546" s="2" t="str">
        <f>HYPERLINK("http://www.otzar.org/book.asp?143960","מצות מאה ברכות")</f>
        <v>מצות מאה ברכות</v>
      </c>
    </row>
    <row r="25547" spans="1:6" x14ac:dyDescent="0.2">
      <c r="A25547" t="s">
        <v>40820</v>
      </c>
      <c r="B25547" t="s">
        <v>40821</v>
      </c>
      <c r="C25547" t="s">
        <v>383</v>
      </c>
      <c r="D25547" t="s">
        <v>4646</v>
      </c>
      <c r="E25547" t="s">
        <v>15</v>
      </c>
      <c r="F25547" s="2" t="str">
        <f>HYPERLINK("http://www.otzar.org/book.asp?600439","מצות מילה וברית מילה")</f>
        <v>מצות מילה וברית מילה</v>
      </c>
    </row>
    <row r="25548" spans="1:6" x14ac:dyDescent="0.2">
      <c r="A25548" t="s">
        <v>40822</v>
      </c>
      <c r="B25548" t="s">
        <v>36876</v>
      </c>
      <c r="C25548" t="s">
        <v>23</v>
      </c>
      <c r="D25548" t="s">
        <v>21</v>
      </c>
      <c r="E25548" t="s">
        <v>15</v>
      </c>
      <c r="F25548" s="2" t="str">
        <f>HYPERLINK("http://www.otzar.org/book.asp?190306","מצות מכונה החדשות לאור ההלכה")</f>
        <v>מצות מכונה החדשות לאור ההלכה</v>
      </c>
    </row>
    <row r="25549" spans="1:6" x14ac:dyDescent="0.2">
      <c r="A25549" t="s">
        <v>40823</v>
      </c>
      <c r="B25549" t="s">
        <v>40824</v>
      </c>
      <c r="C25549" t="s">
        <v>523</v>
      </c>
      <c r="D25549" t="s">
        <v>14</v>
      </c>
      <c r="E25549" t="s">
        <v>130</v>
      </c>
      <c r="F25549" s="2" t="str">
        <f>HYPERLINK("http://www.otzar.org/book.asp?60058","מצות מצוה")</f>
        <v>מצות מצוה</v>
      </c>
    </row>
    <row r="25550" spans="1:6" x14ac:dyDescent="0.2">
      <c r="A25550" t="s">
        <v>40825</v>
      </c>
      <c r="B25550" t="s">
        <v>40826</v>
      </c>
      <c r="C25550" t="s">
        <v>1706</v>
      </c>
      <c r="D25550" t="s">
        <v>726</v>
      </c>
      <c r="F25550" s="2" t="str">
        <f>HYPERLINK("http://www.otzar.org/book.asp?612656","מצות משה &lt;לבושי חיים&gt;")</f>
        <v>מצות משה &lt;לבושי חיים&gt;</v>
      </c>
    </row>
    <row r="25551" spans="1:6" x14ac:dyDescent="0.2">
      <c r="A25551" t="s">
        <v>40827</v>
      </c>
      <c r="B25551" t="s">
        <v>9751</v>
      </c>
      <c r="C25551" t="s">
        <v>576</v>
      </c>
      <c r="D25551" t="s">
        <v>691</v>
      </c>
      <c r="E25551" t="s">
        <v>15</v>
      </c>
      <c r="F25551" s="2" t="str">
        <f>HYPERLINK("http://www.otzar.org/book.asp?159698","מצות משה &lt;עם יוסיף חיים&gt;")</f>
        <v>מצות משה &lt;עם יוסיף חיים&gt;</v>
      </c>
    </row>
    <row r="25552" spans="1:6" x14ac:dyDescent="0.2">
      <c r="A25552" t="s">
        <v>40828</v>
      </c>
      <c r="B25552" t="s">
        <v>9751</v>
      </c>
      <c r="C25552" t="s">
        <v>908</v>
      </c>
      <c r="D25552" t="s">
        <v>592</v>
      </c>
      <c r="F25552" s="2" t="str">
        <f>HYPERLINK("http://www.otzar.org/book.asp?612613","מצות משה")</f>
        <v>מצות משה</v>
      </c>
    </row>
    <row r="25553" spans="1:6" x14ac:dyDescent="0.2">
      <c r="A25553" t="s">
        <v>40828</v>
      </c>
      <c r="B25553" t="s">
        <v>40829</v>
      </c>
      <c r="C25553">
        <v>1921</v>
      </c>
      <c r="D25553" t="s">
        <v>40830</v>
      </c>
      <c r="F25553" s="2" t="str">
        <f>HYPERLINK("http://www.otzar.org/book.asp?618683","מצות משה")</f>
        <v>מצות משה</v>
      </c>
    </row>
    <row r="25554" spans="1:6" x14ac:dyDescent="0.2">
      <c r="A25554" t="s">
        <v>40831</v>
      </c>
      <c r="B25554" t="s">
        <v>3111</v>
      </c>
      <c r="C25554" t="s">
        <v>13</v>
      </c>
      <c r="D25554" t="s">
        <v>14</v>
      </c>
      <c r="E25554" t="s">
        <v>130</v>
      </c>
      <c r="F25554" s="2" t="str">
        <f>HYPERLINK("http://www.otzar.org/book.asp?60163","מצות נר איש וביתו")</f>
        <v>מצות נר איש וביתו</v>
      </c>
    </row>
    <row r="25555" spans="1:6" x14ac:dyDescent="0.2">
      <c r="A25555" t="s">
        <v>40832</v>
      </c>
      <c r="B25555" t="s">
        <v>14569</v>
      </c>
      <c r="C25555" t="s">
        <v>20</v>
      </c>
      <c r="D25555" t="s">
        <v>90</v>
      </c>
      <c r="E25555" t="s">
        <v>15</v>
      </c>
      <c r="F25555" s="2" t="str">
        <f>HYPERLINK("http://www.otzar.org/book.asp?190947","מצות סוכה")</f>
        <v>מצות סוכה</v>
      </c>
    </row>
    <row r="25556" spans="1:6" x14ac:dyDescent="0.2">
      <c r="A25556" t="s">
        <v>40833</v>
      </c>
      <c r="B25556" t="s">
        <v>19056</v>
      </c>
      <c r="C25556" t="s">
        <v>422</v>
      </c>
      <c r="D25556" t="s">
        <v>52</v>
      </c>
      <c r="E25556" t="s">
        <v>130</v>
      </c>
      <c r="F25556" s="2" t="str">
        <f>HYPERLINK("http://www.otzar.org/book.asp?192911","מצות ספירת העומר - 2 כר'")</f>
        <v>מצות ספירת העומר - 2 כר'</v>
      </c>
    </row>
    <row r="25557" spans="1:6" x14ac:dyDescent="0.2">
      <c r="A25557" t="s">
        <v>40834</v>
      </c>
      <c r="B25557" t="s">
        <v>40835</v>
      </c>
      <c r="C25557" t="s">
        <v>334</v>
      </c>
      <c r="D25557" t="s">
        <v>412</v>
      </c>
      <c r="E25557" t="s">
        <v>15</v>
      </c>
      <c r="F25557" s="2" t="str">
        <f>HYPERLINK("http://www.otzar.org/book.asp?610776","מצות סת""ם השלם")</f>
        <v>מצות סת"ם השלם</v>
      </c>
    </row>
    <row r="25558" spans="1:6" x14ac:dyDescent="0.2">
      <c r="A25558" t="s">
        <v>40836</v>
      </c>
      <c r="B25558" t="s">
        <v>1720</v>
      </c>
      <c r="C25558" t="s">
        <v>943</v>
      </c>
      <c r="D25558" t="s">
        <v>267</v>
      </c>
      <c r="E25558" t="s">
        <v>2758</v>
      </c>
      <c r="F25558" s="2" t="str">
        <f>HYPERLINK("http://www.otzar.org/book.asp?62067","מצות עמר")</f>
        <v>מצות עמר</v>
      </c>
    </row>
    <row r="25559" spans="1:6" x14ac:dyDescent="0.2">
      <c r="A25559" t="s">
        <v>40837</v>
      </c>
      <c r="B25559" t="s">
        <v>11019</v>
      </c>
      <c r="C25559" t="s">
        <v>20</v>
      </c>
      <c r="D25559" t="s">
        <v>14</v>
      </c>
      <c r="E25559" t="s">
        <v>15</v>
      </c>
      <c r="F25559" s="2" t="str">
        <f>HYPERLINK("http://www.otzar.org/book.asp?163095","מצות פרו ורבו")</f>
        <v>מצות פרו ורבו</v>
      </c>
    </row>
    <row r="25560" spans="1:6" x14ac:dyDescent="0.2">
      <c r="A25560" t="s">
        <v>40838</v>
      </c>
      <c r="B25560" t="s">
        <v>14129</v>
      </c>
      <c r="C25560" t="s">
        <v>13</v>
      </c>
      <c r="E25560" t="s">
        <v>130</v>
      </c>
      <c r="F25560" s="2" t="str">
        <f>HYPERLINK("http://www.otzar.org/book.asp?83838","מצות קריאת המגילה במשנת הדבר יהושע")</f>
        <v>מצות קריאת המגילה במשנת הדבר יהושע</v>
      </c>
    </row>
    <row r="25561" spans="1:6" x14ac:dyDescent="0.2">
      <c r="A25561" t="s">
        <v>40839</v>
      </c>
      <c r="B25561" t="s">
        <v>4606</v>
      </c>
      <c r="C25561" t="s">
        <v>63</v>
      </c>
      <c r="D25561" t="s">
        <v>14</v>
      </c>
      <c r="E25561" t="s">
        <v>15</v>
      </c>
      <c r="F25561" s="2" t="str">
        <f>HYPERLINK("http://www.otzar.org/book.asp?142930","מצות שביעית כהלכה")</f>
        <v>מצות שביעית כהלכה</v>
      </c>
    </row>
    <row r="25562" spans="1:6" x14ac:dyDescent="0.2">
      <c r="A25562" t="s">
        <v>40840</v>
      </c>
      <c r="B25562" t="s">
        <v>40841</v>
      </c>
      <c r="C25562" t="s">
        <v>6054</v>
      </c>
      <c r="D25562" t="s">
        <v>756</v>
      </c>
      <c r="E25562" t="s">
        <v>246</v>
      </c>
      <c r="F25562" s="2" t="str">
        <f>HYPERLINK("http://www.otzar.org/book.asp?149622","מצות שבת")</f>
        <v>מצות שבת</v>
      </c>
    </row>
    <row r="25563" spans="1:6" x14ac:dyDescent="0.2">
      <c r="A25563" t="s">
        <v>40842</v>
      </c>
      <c r="B25563" t="s">
        <v>40843</v>
      </c>
      <c r="C25563" t="s">
        <v>1448</v>
      </c>
      <c r="D25563" t="s">
        <v>14</v>
      </c>
      <c r="F25563" s="2" t="str">
        <f>HYPERLINK("http://www.otzar.org/book.asp?609626","מצות תפילין &lt;עטרת משה&gt;")</f>
        <v>מצות תפילין &lt;עטרת משה&gt;</v>
      </c>
    </row>
    <row r="25564" spans="1:6" x14ac:dyDescent="0.2">
      <c r="A25564" t="s">
        <v>40844</v>
      </c>
      <c r="B25564" t="s">
        <v>40845</v>
      </c>
      <c r="C25564" t="s">
        <v>1208</v>
      </c>
      <c r="D25564" t="s">
        <v>52</v>
      </c>
      <c r="E25564" t="s">
        <v>2840</v>
      </c>
      <c r="F25564" s="2" t="str">
        <f>HYPERLINK("http://www.otzar.org/book.asp?160337","מצות תפילין")</f>
        <v>מצות תפילין</v>
      </c>
    </row>
    <row r="25565" spans="1:6" x14ac:dyDescent="0.2">
      <c r="A25565" t="s">
        <v>40846</v>
      </c>
      <c r="B25565" t="s">
        <v>14569</v>
      </c>
      <c r="C25565" t="s">
        <v>20</v>
      </c>
      <c r="D25565" t="s">
        <v>90</v>
      </c>
      <c r="E25565" t="s">
        <v>674</v>
      </c>
      <c r="F25565" s="2" t="str">
        <f>HYPERLINK("http://www.otzar.org/book.asp?190955","מצות תשביתו")</f>
        <v>מצות תשביתו</v>
      </c>
    </row>
    <row r="25566" spans="1:6" x14ac:dyDescent="0.2">
      <c r="A25566" t="s">
        <v>40847</v>
      </c>
      <c r="B25566" t="s">
        <v>40848</v>
      </c>
      <c r="C25566" t="s">
        <v>151</v>
      </c>
      <c r="D25566" t="s">
        <v>90</v>
      </c>
      <c r="E25566" t="s">
        <v>15</v>
      </c>
      <c r="F25566" s="2" t="str">
        <f>HYPERLINK("http://www.otzar.org/book.asp?624830","מצותיך שעשועי")</f>
        <v>מצותיך שעשועי</v>
      </c>
    </row>
    <row r="25567" spans="1:6" x14ac:dyDescent="0.2">
      <c r="A25567" t="s">
        <v>40849</v>
      </c>
      <c r="B25567" t="s">
        <v>2877</v>
      </c>
      <c r="C25567" t="s">
        <v>146</v>
      </c>
      <c r="D25567" t="s">
        <v>14</v>
      </c>
      <c r="E25567" t="s">
        <v>234</v>
      </c>
      <c r="F25567" s="2" t="str">
        <f>HYPERLINK("http://www.otzar.org/book.asp?155980","מצותיך שעשעי")</f>
        <v>מצותיך שעשעי</v>
      </c>
    </row>
    <row r="25568" spans="1:6" x14ac:dyDescent="0.2">
      <c r="A25568" t="s">
        <v>40850</v>
      </c>
      <c r="B25568" t="s">
        <v>9809</v>
      </c>
      <c r="C25568" t="s">
        <v>462</v>
      </c>
      <c r="D25568" t="s">
        <v>225</v>
      </c>
      <c r="E25568" t="s">
        <v>5580</v>
      </c>
      <c r="F25568" s="2" t="str">
        <f>HYPERLINK("http://www.otzar.org/book.asp?6534","מצח אהרן - 2 כר'")</f>
        <v>מצח אהרן - 2 כר'</v>
      </c>
    </row>
    <row r="25569" spans="1:6" x14ac:dyDescent="0.2">
      <c r="A25569" t="s">
        <v>40851</v>
      </c>
      <c r="B25569" t="s">
        <v>40852</v>
      </c>
      <c r="C25569" t="s">
        <v>609</v>
      </c>
      <c r="D25569" t="s">
        <v>27</v>
      </c>
      <c r="E25569" t="s">
        <v>130</v>
      </c>
      <c r="F25569" s="2" t="str">
        <f>HYPERLINK("http://www.otzar.org/book.asp?153056","מצחף' שמירת שבת")</f>
        <v>מצחף' שמירת שבת</v>
      </c>
    </row>
    <row r="25570" spans="1:6" x14ac:dyDescent="0.2">
      <c r="A25570" t="s">
        <v>40853</v>
      </c>
      <c r="B25570" t="s">
        <v>7130</v>
      </c>
      <c r="C25570" t="s">
        <v>114</v>
      </c>
      <c r="D25570" t="s">
        <v>14</v>
      </c>
      <c r="E25570" t="s">
        <v>674</v>
      </c>
      <c r="F25570" s="2" t="str">
        <f>HYPERLINK("http://www.otzar.org/book.asp?188967","מציאות ורפואה בסדר נשים &lt;מהדורה ראשונה&gt;")</f>
        <v>מציאות ורפואה בסדר נשים &lt;מהדורה ראשונה&gt;</v>
      </c>
    </row>
    <row r="25571" spans="1:6" x14ac:dyDescent="0.2">
      <c r="A25571" t="s">
        <v>40854</v>
      </c>
      <c r="B25571" t="s">
        <v>7130</v>
      </c>
      <c r="C25571" t="s">
        <v>114</v>
      </c>
      <c r="D25571" t="s">
        <v>14</v>
      </c>
      <c r="E25571" t="s">
        <v>104</v>
      </c>
      <c r="F25571" s="2" t="str">
        <f>HYPERLINK("http://www.otzar.org/book.asp?188968","מציאות ורפואה בסדר נשים &lt;מהדורה שניה&gt;")</f>
        <v>מציאות ורפואה בסדר נשים &lt;מהדורה שניה&gt;</v>
      </c>
    </row>
    <row r="25572" spans="1:6" x14ac:dyDescent="0.2">
      <c r="A25572" t="s">
        <v>40855</v>
      </c>
      <c r="B25572" t="s">
        <v>40856</v>
      </c>
      <c r="C25572" t="s">
        <v>244</v>
      </c>
      <c r="D25572" t="s">
        <v>80</v>
      </c>
      <c r="E25572" t="s">
        <v>144</v>
      </c>
      <c r="F25572" s="2" t="str">
        <f>HYPERLINK("http://www.otzar.org/book.asp?601196","מציאת איש - בבא מציעא")</f>
        <v>מציאת איש - בבא מציעא</v>
      </c>
    </row>
    <row r="25573" spans="1:6" x14ac:dyDescent="0.2">
      <c r="A25573" t="s">
        <v>40857</v>
      </c>
      <c r="B25573" t="s">
        <v>40858</v>
      </c>
      <c r="C25573" t="s">
        <v>1166</v>
      </c>
      <c r="D25573" t="s">
        <v>56</v>
      </c>
      <c r="E25573" t="s">
        <v>957</v>
      </c>
      <c r="F25573" s="2" t="str">
        <f>HYPERLINK("http://www.otzar.org/book.asp?19123","מציאת יצחק")</f>
        <v>מציאת יצחק</v>
      </c>
    </row>
    <row r="25574" spans="1:6" x14ac:dyDescent="0.2">
      <c r="A25574" t="s">
        <v>40859</v>
      </c>
      <c r="B25574" t="s">
        <v>40860</v>
      </c>
      <c r="C25574" t="s">
        <v>3957</v>
      </c>
      <c r="D25574" t="s">
        <v>60</v>
      </c>
      <c r="E25574" t="s">
        <v>15</v>
      </c>
      <c r="F25574" s="2" t="str">
        <f>HYPERLINK("http://www.otzar.org/book.asp?83640","מציאת עזרי")</f>
        <v>מציאת עזרי</v>
      </c>
    </row>
    <row r="25575" spans="1:6" x14ac:dyDescent="0.2">
      <c r="A25575" t="s">
        <v>40861</v>
      </c>
      <c r="B25575" t="s">
        <v>13901</v>
      </c>
      <c r="C25575" t="s">
        <v>244</v>
      </c>
      <c r="D25575" t="s">
        <v>14</v>
      </c>
      <c r="E25575" t="s">
        <v>144</v>
      </c>
      <c r="F25575" s="2" t="str">
        <f>HYPERLINK("http://www.otzar.org/book.asp?623574","מציאת עצי היער")</f>
        <v>מציאת עצי היער</v>
      </c>
    </row>
    <row r="25576" spans="1:6" x14ac:dyDescent="0.2">
      <c r="A25576" t="s">
        <v>40862</v>
      </c>
      <c r="B25576" t="s">
        <v>40863</v>
      </c>
      <c r="C25576" t="s">
        <v>362</v>
      </c>
      <c r="D25576" t="s">
        <v>6215</v>
      </c>
      <c r="E25576" t="s">
        <v>104</v>
      </c>
      <c r="F25576" s="2" t="str">
        <f>HYPERLINK("http://www.otzar.org/book.asp?195215","מציאת עשרת השבטים")</f>
        <v>מציאת עשרת השבטים</v>
      </c>
    </row>
    <row r="25577" spans="1:6" x14ac:dyDescent="0.2">
      <c r="A25577" t="s">
        <v>40864</v>
      </c>
      <c r="B25577" t="s">
        <v>27780</v>
      </c>
      <c r="C25577" t="s">
        <v>114</v>
      </c>
      <c r="D25577" t="s">
        <v>40865</v>
      </c>
      <c r="E25577" t="s">
        <v>15</v>
      </c>
      <c r="F25577" s="2" t="str">
        <f>HYPERLINK("http://www.otzar.org/book.asp?159783","מציב גבול אלמנה")</f>
        <v>מציב גבול אלמנה</v>
      </c>
    </row>
    <row r="25578" spans="1:6" x14ac:dyDescent="0.2">
      <c r="A25578" t="s">
        <v>40866</v>
      </c>
      <c r="B25578" t="s">
        <v>4174</v>
      </c>
      <c r="C25578" t="s">
        <v>129</v>
      </c>
      <c r="D25578" t="s">
        <v>14</v>
      </c>
      <c r="E25578" t="s">
        <v>154</v>
      </c>
      <c r="F25578" s="2" t="str">
        <f>HYPERLINK("http://www.otzar.org/book.asp?153747","מציון אורה - 2 כר'")</f>
        <v>מציון אורה - 2 כר'</v>
      </c>
    </row>
    <row r="25579" spans="1:6" x14ac:dyDescent="0.2">
      <c r="A25579" t="s">
        <v>40867</v>
      </c>
      <c r="B25579" t="s">
        <v>40868</v>
      </c>
      <c r="C25579" t="s">
        <v>114</v>
      </c>
      <c r="D25579" t="s">
        <v>3560</v>
      </c>
      <c r="E25579" t="s">
        <v>186</v>
      </c>
      <c r="F25579" s="2" t="str">
        <f>HYPERLINK("http://www.otzar.org/book.asp?172195","מציון מכלל יופי - מכות")</f>
        <v>מציון מכלל יופי - מכות</v>
      </c>
    </row>
    <row r="25580" spans="1:6" x14ac:dyDescent="0.2">
      <c r="A25580" t="s">
        <v>40869</v>
      </c>
      <c r="B25580" t="s">
        <v>9598</v>
      </c>
      <c r="C25580" t="s">
        <v>189</v>
      </c>
      <c r="D25580" t="s">
        <v>14</v>
      </c>
      <c r="E25580" t="s">
        <v>230</v>
      </c>
      <c r="F25580" s="2" t="str">
        <f>HYPERLINK("http://www.otzar.org/book.asp?23282","מציון מכלל יפי")</f>
        <v>מציון מכלל יפי</v>
      </c>
    </row>
    <row r="25581" spans="1:6" x14ac:dyDescent="0.2">
      <c r="A25581" t="s">
        <v>40870</v>
      </c>
      <c r="B25581" t="s">
        <v>686</v>
      </c>
      <c r="C25581" t="s">
        <v>411</v>
      </c>
      <c r="D25581" t="s">
        <v>52</v>
      </c>
      <c r="E25581" t="s">
        <v>158</v>
      </c>
      <c r="F25581" s="2" t="str">
        <f>HYPERLINK("http://www.otzar.org/book.asp?173148","מציון תצא תורה")</f>
        <v>מציון תצא תורה</v>
      </c>
    </row>
    <row r="25582" spans="1:6" x14ac:dyDescent="0.2">
      <c r="A25582" t="s">
        <v>40870</v>
      </c>
      <c r="B25582" t="s">
        <v>9598</v>
      </c>
      <c r="C25582" t="s">
        <v>244</v>
      </c>
      <c r="D25582" t="s">
        <v>14</v>
      </c>
      <c r="E25582" t="s">
        <v>345</v>
      </c>
      <c r="F25582" s="2" t="str">
        <f>HYPERLINK("http://www.otzar.org/book.asp?600096","מציון תצא תורה")</f>
        <v>מציון תצא תורה</v>
      </c>
    </row>
    <row r="25583" spans="1:6" x14ac:dyDescent="0.2">
      <c r="A25583" t="s">
        <v>40870</v>
      </c>
      <c r="B25583" t="s">
        <v>40871</v>
      </c>
      <c r="C25583" t="s">
        <v>609</v>
      </c>
      <c r="D25583" t="s">
        <v>3139</v>
      </c>
      <c r="E25583" t="s">
        <v>588</v>
      </c>
      <c r="F25583" s="2" t="str">
        <f>HYPERLINK("http://www.otzar.org/book.asp?20250","מציון תצא תורה")</f>
        <v>מציון תצא תורה</v>
      </c>
    </row>
    <row r="25584" spans="1:6" x14ac:dyDescent="0.2">
      <c r="A25584" t="s">
        <v>40872</v>
      </c>
      <c r="B25584" t="s">
        <v>35480</v>
      </c>
      <c r="C25584" t="s">
        <v>40873</v>
      </c>
      <c r="D25584" t="s">
        <v>49</v>
      </c>
      <c r="E25584" t="s">
        <v>1626</v>
      </c>
      <c r="F25584" s="2" t="str">
        <f>HYPERLINK("http://www.otzar.org/book.asp?181164","מציל נפשות")</f>
        <v>מציל נפשות</v>
      </c>
    </row>
    <row r="25585" spans="1:6" x14ac:dyDescent="0.2">
      <c r="A25585" t="s">
        <v>40874</v>
      </c>
      <c r="B25585" t="s">
        <v>40875</v>
      </c>
      <c r="C25585" t="s">
        <v>2672</v>
      </c>
      <c r="D25585" t="s">
        <v>49</v>
      </c>
      <c r="E25585" t="s">
        <v>674</v>
      </c>
      <c r="F25585" s="2" t="str">
        <f>HYPERLINK("http://www.otzar.org/book.asp?51680","מציץ ומליץ")</f>
        <v>מציץ ומליץ</v>
      </c>
    </row>
    <row r="25586" spans="1:6" x14ac:dyDescent="0.2">
      <c r="A25586" t="s">
        <v>40876</v>
      </c>
      <c r="B25586" t="s">
        <v>206</v>
      </c>
      <c r="C25586" t="s">
        <v>20</v>
      </c>
      <c r="D25586" t="s">
        <v>90</v>
      </c>
      <c r="E25586" t="s">
        <v>714</v>
      </c>
      <c r="F25586" s="2" t="str">
        <f>HYPERLINK("http://www.otzar.org/book.asp?630477","מציץ מן החרכים - 2 כר'")</f>
        <v>מציץ מן החרכים - 2 כר'</v>
      </c>
    </row>
    <row r="25587" spans="1:6" x14ac:dyDescent="0.2">
      <c r="A25587" t="s">
        <v>40877</v>
      </c>
      <c r="B25587" t="s">
        <v>36279</v>
      </c>
      <c r="C25587" t="s">
        <v>1335</v>
      </c>
      <c r="D25587" t="s">
        <v>1422</v>
      </c>
      <c r="E25587" t="s">
        <v>154</v>
      </c>
      <c r="F25587" s="2" t="str">
        <f>HYPERLINK("http://www.otzar.org/book.asp?9745","מצל מאש")</f>
        <v>מצל מאש</v>
      </c>
    </row>
    <row r="25588" spans="1:6" x14ac:dyDescent="0.2">
      <c r="A25588" t="s">
        <v>40878</v>
      </c>
      <c r="B25588" t="s">
        <v>686</v>
      </c>
      <c r="C25588" t="s">
        <v>114</v>
      </c>
      <c r="D25588" t="s">
        <v>52</v>
      </c>
      <c r="E25588" t="s">
        <v>674</v>
      </c>
      <c r="F25588" s="2" t="str">
        <f>HYPERLINK("http://www.otzar.org/book.asp?165091","מצליח בידו - חפץ ה'")</f>
        <v>מצליח בידו - חפץ ה'</v>
      </c>
    </row>
    <row r="25589" spans="1:6" x14ac:dyDescent="0.2">
      <c r="A25589" t="s">
        <v>40879</v>
      </c>
      <c r="B25589" t="s">
        <v>16352</v>
      </c>
      <c r="C25589" t="s">
        <v>624</v>
      </c>
      <c r="D25589" t="s">
        <v>14</v>
      </c>
      <c r="E25589" t="s">
        <v>104</v>
      </c>
      <c r="F25589" s="2" t="str">
        <f>HYPERLINK("http://www.otzar.org/book.asp?50218","מצמיח ישועה")</f>
        <v>מצמיח ישועה</v>
      </c>
    </row>
    <row r="25590" spans="1:6" x14ac:dyDescent="0.2">
      <c r="A25590" t="s">
        <v>40879</v>
      </c>
      <c r="B25590" t="s">
        <v>7485</v>
      </c>
      <c r="C25590" t="s">
        <v>51</v>
      </c>
      <c r="D25590" t="s">
        <v>14</v>
      </c>
      <c r="E25590" t="s">
        <v>104</v>
      </c>
      <c r="F25590" s="2" t="str">
        <f>HYPERLINK("http://www.otzar.org/book.asp?64011","מצמיח ישועה")</f>
        <v>מצמיח ישועה</v>
      </c>
    </row>
    <row r="25591" spans="1:6" x14ac:dyDescent="0.2">
      <c r="A25591" t="s">
        <v>40879</v>
      </c>
      <c r="B25591" t="s">
        <v>19872</v>
      </c>
      <c r="C25591" t="s">
        <v>1191</v>
      </c>
      <c r="D25591" t="s">
        <v>1495</v>
      </c>
      <c r="E25591" t="s">
        <v>1211</v>
      </c>
      <c r="F25591" s="2" t="str">
        <f>HYPERLINK("http://www.otzar.org/book.asp?101138","מצמיח ישועה")</f>
        <v>מצמיח ישועה</v>
      </c>
    </row>
    <row r="25592" spans="1:6" x14ac:dyDescent="0.2">
      <c r="A25592" t="s">
        <v>40880</v>
      </c>
      <c r="B25592" t="s">
        <v>26566</v>
      </c>
      <c r="C25592" t="s">
        <v>189</v>
      </c>
      <c r="D25592" t="s">
        <v>14</v>
      </c>
      <c r="E25592" t="s">
        <v>104</v>
      </c>
      <c r="F25592" s="2" t="str">
        <f>HYPERLINK("http://www.otzar.org/book.asp?191913","מצמיח ישועות")</f>
        <v>מצמיח ישועות</v>
      </c>
    </row>
    <row r="25593" spans="1:6" x14ac:dyDescent="0.2">
      <c r="A25593" t="s">
        <v>40880</v>
      </c>
      <c r="B25593" t="s">
        <v>40881</v>
      </c>
      <c r="C25593" t="s">
        <v>445</v>
      </c>
      <c r="D25593" t="s">
        <v>1117</v>
      </c>
      <c r="E25593" t="s">
        <v>3773</v>
      </c>
      <c r="F25593" s="2" t="str">
        <f>HYPERLINK("http://www.otzar.org/book.asp?11712","מצמיח ישועות")</f>
        <v>מצמיח ישועות</v>
      </c>
    </row>
    <row r="25594" spans="1:6" x14ac:dyDescent="0.2">
      <c r="A25594" t="s">
        <v>40882</v>
      </c>
      <c r="B25594" t="s">
        <v>40883</v>
      </c>
      <c r="C25594" t="s">
        <v>4538</v>
      </c>
      <c r="D25594" t="s">
        <v>60</v>
      </c>
      <c r="E25594" t="s">
        <v>158</v>
      </c>
      <c r="F25594" s="2" t="str">
        <f>HYPERLINK("http://www.otzar.org/book.asp?15919","מצנפת בד")</f>
        <v>מצנפת בד</v>
      </c>
    </row>
    <row r="25595" spans="1:6" x14ac:dyDescent="0.2">
      <c r="A25595" t="s">
        <v>40884</v>
      </c>
      <c r="B25595" t="s">
        <v>40885</v>
      </c>
      <c r="C25595" t="s">
        <v>454</v>
      </c>
      <c r="D25595" t="s">
        <v>14</v>
      </c>
      <c r="E25595" t="s">
        <v>144</v>
      </c>
      <c r="F25595" s="2" t="str">
        <f>HYPERLINK("http://www.otzar.org/book.asp?22886","מצעדי גבר - 10 כר'")</f>
        <v>מצעדי גבר - 10 כר'</v>
      </c>
    </row>
    <row r="25596" spans="1:6" x14ac:dyDescent="0.2">
      <c r="A25596" t="s">
        <v>40886</v>
      </c>
      <c r="B25596" t="s">
        <v>40887</v>
      </c>
      <c r="C25596" t="s">
        <v>411</v>
      </c>
      <c r="D25596" t="s">
        <v>52</v>
      </c>
      <c r="E25596" t="s">
        <v>834</v>
      </c>
      <c r="F25596" s="2" t="str">
        <f>HYPERLINK("http://www.otzar.org/book.asp?607584","מצעדי גבר")</f>
        <v>מצעדי גבר</v>
      </c>
    </row>
    <row r="25597" spans="1:6" x14ac:dyDescent="0.2">
      <c r="A25597" t="s">
        <v>40886</v>
      </c>
      <c r="B25597" t="s">
        <v>23661</v>
      </c>
      <c r="C25597" t="s">
        <v>1619</v>
      </c>
      <c r="D25597" t="s">
        <v>14</v>
      </c>
      <c r="E25597" t="s">
        <v>1211</v>
      </c>
      <c r="F25597" s="2" t="str">
        <f>HYPERLINK("http://www.otzar.org/book.asp?9136","מצעדי גבר")</f>
        <v>מצעדי גבר</v>
      </c>
    </row>
    <row r="25598" spans="1:6" x14ac:dyDescent="0.2">
      <c r="A25598" t="s">
        <v>40888</v>
      </c>
      <c r="B25598" t="s">
        <v>36285</v>
      </c>
      <c r="C25598" t="s">
        <v>156</v>
      </c>
      <c r="D25598" t="s">
        <v>267</v>
      </c>
      <c r="E25598" t="s">
        <v>154</v>
      </c>
      <c r="F25598" s="2" t="str">
        <f>HYPERLINK("http://www.otzar.org/book.asp?101155","מצפה אריה - 2 כר'")</f>
        <v>מצפה אריה - 2 כר'</v>
      </c>
    </row>
    <row r="25599" spans="1:6" x14ac:dyDescent="0.2">
      <c r="A25599" t="s">
        <v>40889</v>
      </c>
      <c r="B25599" t="s">
        <v>40890</v>
      </c>
      <c r="C25599" t="s">
        <v>1537</v>
      </c>
      <c r="D25599" t="s">
        <v>292</v>
      </c>
      <c r="F25599" s="2" t="str">
        <f>HYPERLINK("http://www.otzar.org/book.asp?83629","מצפה אריה")</f>
        <v>מצפה אריה</v>
      </c>
    </row>
    <row r="25600" spans="1:6" x14ac:dyDescent="0.2">
      <c r="A25600" t="s">
        <v>40891</v>
      </c>
      <c r="B25600" t="s">
        <v>16442</v>
      </c>
      <c r="C25600" t="s">
        <v>576</v>
      </c>
      <c r="D25600" t="s">
        <v>6129</v>
      </c>
      <c r="E25600" t="s">
        <v>119</v>
      </c>
      <c r="F25600" s="2" t="str">
        <f>HYPERLINK("http://www.otzar.org/book.asp?11114","מצפה יחזקאל")</f>
        <v>מצפה יחזקאל</v>
      </c>
    </row>
    <row r="25601" spans="1:6" x14ac:dyDescent="0.2">
      <c r="A25601" t="s">
        <v>40892</v>
      </c>
      <c r="B25601" t="s">
        <v>40893</v>
      </c>
      <c r="C25601" t="s">
        <v>11383</v>
      </c>
      <c r="D25601" t="s">
        <v>280</v>
      </c>
      <c r="E25601" t="s">
        <v>144</v>
      </c>
      <c r="F25601" s="2" t="str">
        <f>HYPERLINK("http://www.otzar.org/book.asp?146739","מצפה יקתאל")</f>
        <v>מצפה יקתאל</v>
      </c>
    </row>
    <row r="25602" spans="1:6" x14ac:dyDescent="0.2">
      <c r="A25602" t="s">
        <v>40894</v>
      </c>
      <c r="B25602" t="s">
        <v>40895</v>
      </c>
      <c r="C25602" t="s">
        <v>411</v>
      </c>
      <c r="D25602" t="s">
        <v>10790</v>
      </c>
      <c r="E25602" t="s">
        <v>158</v>
      </c>
      <c r="F25602" s="2" t="str">
        <f>HYPERLINK("http://www.otzar.org/book.asp?170028","מצפה מגדים - 2 כר'")</f>
        <v>מצפה מגדים - 2 כר'</v>
      </c>
    </row>
    <row r="25603" spans="1:6" x14ac:dyDescent="0.2">
      <c r="A25603" t="s">
        <v>40896</v>
      </c>
      <c r="B25603" t="s">
        <v>39097</v>
      </c>
      <c r="C25603" t="s">
        <v>20</v>
      </c>
      <c r="D25603" t="s">
        <v>90</v>
      </c>
      <c r="E25603" t="s">
        <v>241</v>
      </c>
      <c r="F25603" s="2" t="str">
        <f>HYPERLINK("http://www.otzar.org/book.asp?606250","מצפון הלב")</f>
        <v>מצפון הלב</v>
      </c>
    </row>
    <row r="25604" spans="1:6" x14ac:dyDescent="0.2">
      <c r="A25604" t="s">
        <v>40897</v>
      </c>
      <c r="B25604" t="s">
        <v>27352</v>
      </c>
      <c r="C25604" t="s">
        <v>553</v>
      </c>
      <c r="D25604" t="s">
        <v>216</v>
      </c>
      <c r="E25604" t="s">
        <v>104</v>
      </c>
      <c r="F25604" s="2" t="str">
        <f>HYPERLINK("http://www.otzar.org/book.asp?64124","מצפונות יהודי תימן")</f>
        <v>מצפונות יהודי תימן</v>
      </c>
    </row>
    <row r="25605" spans="1:6" x14ac:dyDescent="0.2">
      <c r="A25605" t="s">
        <v>40898</v>
      </c>
      <c r="B25605" t="s">
        <v>4977</v>
      </c>
      <c r="C25605" t="s">
        <v>20</v>
      </c>
      <c r="D25605" t="s">
        <v>14</v>
      </c>
      <c r="E25605" t="s">
        <v>104</v>
      </c>
      <c r="F25605" s="2" t="str">
        <f>HYPERLINK("http://www.otzar.org/book.asp?153425","מצפים לישועה")</f>
        <v>מצפים לישועה</v>
      </c>
    </row>
    <row r="25606" spans="1:6" x14ac:dyDescent="0.2">
      <c r="A25606" t="s">
        <v>40899</v>
      </c>
      <c r="B25606" t="s">
        <v>20675</v>
      </c>
      <c r="C25606" t="s">
        <v>2105</v>
      </c>
      <c r="D25606" t="s">
        <v>974</v>
      </c>
      <c r="E25606" t="s">
        <v>119</v>
      </c>
      <c r="F25606" s="2" t="str">
        <f>HYPERLINK("http://www.otzar.org/book.asp?167492","מצפת שמואל &lt;ישיבת אונצדארף&gt;")</f>
        <v>מצפת שמואל &lt;ישיבת אונצדארף&gt;</v>
      </c>
    </row>
    <row r="25607" spans="1:6" x14ac:dyDescent="0.2">
      <c r="A25607" t="s">
        <v>40900</v>
      </c>
      <c r="B25607" t="s">
        <v>21870</v>
      </c>
      <c r="C25607" t="s">
        <v>1278</v>
      </c>
      <c r="D25607" t="s">
        <v>164</v>
      </c>
      <c r="E25607" t="s">
        <v>241</v>
      </c>
      <c r="F25607" s="2" t="str">
        <f>HYPERLINK("http://www.otzar.org/book.asp?101379","מצרף העבודה - 2 כר'")</f>
        <v>מצרף העבודה - 2 כר'</v>
      </c>
    </row>
    <row r="25608" spans="1:6" x14ac:dyDescent="0.2">
      <c r="A25608" t="s">
        <v>40901</v>
      </c>
      <c r="B25608" t="s">
        <v>3306</v>
      </c>
      <c r="C25608" t="s">
        <v>17</v>
      </c>
      <c r="D25608" t="s">
        <v>14</v>
      </c>
      <c r="E25608" t="s">
        <v>399</v>
      </c>
      <c r="F25608" s="2" t="str">
        <f>HYPERLINK("http://www.otzar.org/book.asp?148997","מצרף השכל וספר האות")</f>
        <v>מצרף השכל וספר האות</v>
      </c>
    </row>
    <row r="25609" spans="1:6" x14ac:dyDescent="0.2">
      <c r="A25609" t="s">
        <v>40902</v>
      </c>
      <c r="B25609" t="s">
        <v>5207</v>
      </c>
      <c r="C25609" t="s">
        <v>351</v>
      </c>
      <c r="D25609" t="s">
        <v>283</v>
      </c>
      <c r="E25609" t="s">
        <v>13241</v>
      </c>
      <c r="F25609" s="2" t="str">
        <f>HYPERLINK("http://www.otzar.org/book.asp?12819","מצרף לחכמה - 2 כר'")</f>
        <v>מצרף לחכמה - 2 כר'</v>
      </c>
    </row>
    <row r="25610" spans="1:6" x14ac:dyDescent="0.2">
      <c r="A25610" t="s">
        <v>40902</v>
      </c>
      <c r="B25610" t="s">
        <v>40903</v>
      </c>
      <c r="C25610" t="s">
        <v>4087</v>
      </c>
      <c r="D25610" t="s">
        <v>1023</v>
      </c>
      <c r="E25610" t="s">
        <v>104</v>
      </c>
      <c r="F25610" s="2" t="str">
        <f>HYPERLINK("http://www.otzar.org/book.asp?149683","מצרף לחכמה - 2 כר'")</f>
        <v>מצרף לחכמה - 2 כר'</v>
      </c>
    </row>
    <row r="25611" spans="1:6" x14ac:dyDescent="0.2">
      <c r="A25611" t="s">
        <v>40904</v>
      </c>
      <c r="B25611" t="s">
        <v>40905</v>
      </c>
      <c r="C25611" t="s">
        <v>1310</v>
      </c>
      <c r="D25611" t="s">
        <v>76</v>
      </c>
      <c r="E25611" t="s">
        <v>154</v>
      </c>
      <c r="F25611" s="2" t="str">
        <f>HYPERLINK("http://www.otzar.org/book.asp?101154","מצרף לכסף &lt;אלף כסף&gt;")</f>
        <v>מצרף לכסף &lt;אלף כסף&gt;</v>
      </c>
    </row>
    <row r="25612" spans="1:6" x14ac:dyDescent="0.2">
      <c r="A25612" t="s">
        <v>40906</v>
      </c>
      <c r="B25612" t="s">
        <v>40907</v>
      </c>
      <c r="C25612" t="s">
        <v>5823</v>
      </c>
      <c r="D25612" t="s">
        <v>322</v>
      </c>
      <c r="E25612" t="s">
        <v>579</v>
      </c>
      <c r="F25612" s="2" t="str">
        <f>HYPERLINK("http://www.otzar.org/book.asp?20252","מצרף לכסף - 2 כר'")</f>
        <v>מצרף לכסף - 2 כר'</v>
      </c>
    </row>
    <row r="25613" spans="1:6" x14ac:dyDescent="0.2">
      <c r="A25613" t="s">
        <v>40908</v>
      </c>
      <c r="B25613" t="s">
        <v>20679</v>
      </c>
      <c r="C25613" t="s">
        <v>20680</v>
      </c>
      <c r="D25613" t="s">
        <v>1833</v>
      </c>
      <c r="E25613" t="s">
        <v>399</v>
      </c>
      <c r="F25613" s="2" t="str">
        <f>HYPERLINK("http://www.otzar.org/book.asp?162131","מצרף לכסף")</f>
        <v>מצרף לכסף</v>
      </c>
    </row>
    <row r="25614" spans="1:6" x14ac:dyDescent="0.2">
      <c r="A25614" t="s">
        <v>40908</v>
      </c>
      <c r="B25614" t="s">
        <v>34146</v>
      </c>
      <c r="C25614" t="s">
        <v>1844</v>
      </c>
      <c r="D25614" t="s">
        <v>582</v>
      </c>
      <c r="F25614" s="2" t="str">
        <f>HYPERLINK("http://www.otzar.org/book.asp?612180","מצרף לכסף")</f>
        <v>מצרף לכסף</v>
      </c>
    </row>
    <row r="25615" spans="1:6" x14ac:dyDescent="0.2">
      <c r="A25615" t="s">
        <v>40909</v>
      </c>
      <c r="B25615" t="s">
        <v>27551</v>
      </c>
      <c r="C25615" t="s">
        <v>550</v>
      </c>
      <c r="D25615" t="s">
        <v>5258</v>
      </c>
      <c r="E25615" t="s">
        <v>399</v>
      </c>
      <c r="F25615" s="2" t="str">
        <f>HYPERLINK("http://www.otzar.org/book.asp?103534","מצת שמורים - 2 כר'")</f>
        <v>מצת שמורים - 2 כר'</v>
      </c>
    </row>
    <row r="25616" spans="1:6" x14ac:dyDescent="0.2">
      <c r="A25616" t="s">
        <v>40910</v>
      </c>
      <c r="B25616" t="s">
        <v>40911</v>
      </c>
      <c r="C25616" t="s">
        <v>151</v>
      </c>
      <c r="D25616" t="s">
        <v>80</v>
      </c>
      <c r="F25616" s="2" t="str">
        <f>HYPERLINK("http://www.otzar.org/book.asp?609783","מקבץ בעניני הימים הנחמדים")</f>
        <v>מקבץ בעניני הימים הנחמדים</v>
      </c>
    </row>
    <row r="25617" spans="1:6" x14ac:dyDescent="0.2">
      <c r="A25617" t="s">
        <v>40912</v>
      </c>
      <c r="B25617" t="s">
        <v>5402</v>
      </c>
      <c r="C25617" t="s">
        <v>40913</v>
      </c>
      <c r="F25617" s="2" t="str">
        <f>HYPERLINK("http://www.otzar.org/book.asp?622596","מקבץ גליונות ויכירו כח מלכותך - השכל וידוע אותו")</f>
        <v>מקבץ גליונות ויכירו כח מלכותך - השכל וידוע אותו</v>
      </c>
    </row>
    <row r="25618" spans="1:6" x14ac:dyDescent="0.2">
      <c r="A25618" t="s">
        <v>40914</v>
      </c>
      <c r="B25618" t="s">
        <v>40915</v>
      </c>
      <c r="C25618" t="s">
        <v>68</v>
      </c>
      <c r="D25618" t="s">
        <v>14</v>
      </c>
      <c r="E25618" t="s">
        <v>1164</v>
      </c>
      <c r="F25618" s="2" t="str">
        <f>HYPERLINK("http://www.otzar.org/book.asp?158700","מקבץ מאמרים")</f>
        <v>מקבץ מאמרים</v>
      </c>
    </row>
    <row r="25619" spans="1:6" x14ac:dyDescent="0.2">
      <c r="A25619" t="s">
        <v>40916</v>
      </c>
      <c r="B25619" t="s">
        <v>40917</v>
      </c>
      <c r="C25619" t="s">
        <v>68</v>
      </c>
      <c r="D25619" t="s">
        <v>14</v>
      </c>
      <c r="E25619" t="s">
        <v>144</v>
      </c>
      <c r="F25619" s="2" t="str">
        <f>HYPERLINK("http://www.otzar.org/book.asp?162051","מקבץ עניינים - 7 כר'")</f>
        <v>מקבץ עניינים - 7 כר'</v>
      </c>
    </row>
    <row r="25620" spans="1:6" x14ac:dyDescent="0.2">
      <c r="A25620" t="s">
        <v>40918</v>
      </c>
      <c r="B25620" t="s">
        <v>40917</v>
      </c>
      <c r="C25620" t="s">
        <v>129</v>
      </c>
      <c r="D25620" t="s">
        <v>14</v>
      </c>
      <c r="E25620" t="s">
        <v>144</v>
      </c>
      <c r="F25620" s="2" t="str">
        <f>HYPERLINK("http://www.otzar.org/book.asp?85496","מקבץ ענינים - 2 כר'")</f>
        <v>מקבץ ענינים - 2 כר'</v>
      </c>
    </row>
    <row r="25621" spans="1:6" x14ac:dyDescent="0.2">
      <c r="A25621" t="s">
        <v>40919</v>
      </c>
      <c r="B25621" t="s">
        <v>2396</v>
      </c>
      <c r="C25621" t="s">
        <v>129</v>
      </c>
      <c r="D25621" t="s">
        <v>1076</v>
      </c>
      <c r="E25621" t="s">
        <v>246</v>
      </c>
      <c r="F25621" s="2" t="str">
        <f>HYPERLINK("http://www.otzar.org/book.asp?606642","מקבץ שיחות בעניני פורים")</f>
        <v>מקבץ שיחות בעניני פורים</v>
      </c>
    </row>
    <row r="25622" spans="1:6" x14ac:dyDescent="0.2">
      <c r="A25622" t="s">
        <v>40920</v>
      </c>
      <c r="B25622" t="s">
        <v>40921</v>
      </c>
      <c r="C25622" t="s">
        <v>466</v>
      </c>
      <c r="D25622" t="s">
        <v>852</v>
      </c>
      <c r="E25622" t="s">
        <v>144</v>
      </c>
      <c r="F25622" s="2" t="str">
        <f>HYPERLINK("http://www.otzar.org/book.asp?52191","מקבץ שיעורים - 7 כר'")</f>
        <v>מקבץ שיעורים - 7 כר'</v>
      </c>
    </row>
    <row r="25623" spans="1:6" x14ac:dyDescent="0.2">
      <c r="A25623" t="s">
        <v>40922</v>
      </c>
      <c r="B25623" t="s">
        <v>40923</v>
      </c>
      <c r="C25623" t="s">
        <v>23</v>
      </c>
      <c r="D25623" t="s">
        <v>1356</v>
      </c>
      <c r="E25623" t="s">
        <v>15</v>
      </c>
      <c r="F25623" s="2" t="str">
        <f>HYPERLINK("http://www.otzar.org/book.asp?193609","מקבץ שיעורים")</f>
        <v>מקבץ שיעורים</v>
      </c>
    </row>
    <row r="25624" spans="1:6" x14ac:dyDescent="0.2">
      <c r="A25624" t="s">
        <v>40924</v>
      </c>
      <c r="B25624" t="s">
        <v>7787</v>
      </c>
      <c r="C25624" t="s">
        <v>576</v>
      </c>
      <c r="D25624" t="s">
        <v>726</v>
      </c>
      <c r="E25624" t="s">
        <v>186</v>
      </c>
      <c r="F25624" s="2" t="str">
        <f>HYPERLINK("http://www.otzar.org/book.asp?51670","מקבצאל - ג")</f>
        <v>מקבצאל - ג</v>
      </c>
    </row>
    <row r="25625" spans="1:6" x14ac:dyDescent="0.2">
      <c r="A25625" t="s">
        <v>40925</v>
      </c>
      <c r="B25625" t="s">
        <v>5655</v>
      </c>
      <c r="C25625" t="s">
        <v>168</v>
      </c>
      <c r="D25625" t="s">
        <v>14</v>
      </c>
      <c r="E25625" t="s">
        <v>202</v>
      </c>
      <c r="F25625" s="2" t="str">
        <f>HYPERLINK("http://www.otzar.org/book.asp?22115","מקבציאל - 39 כר'")</f>
        <v>מקבציאל - 39 כר'</v>
      </c>
    </row>
    <row r="25626" spans="1:6" x14ac:dyDescent="0.2">
      <c r="A25626" t="s">
        <v>40926</v>
      </c>
      <c r="B25626" t="s">
        <v>40927</v>
      </c>
      <c r="C25626" t="s">
        <v>422</v>
      </c>
      <c r="D25626" t="s">
        <v>52</v>
      </c>
      <c r="E25626" t="s">
        <v>40928</v>
      </c>
      <c r="F25626" s="2" t="str">
        <f>HYPERLINK("http://www.otzar.org/book.asp?85226","מקבציאל")</f>
        <v>מקבציאל</v>
      </c>
    </row>
    <row r="25627" spans="1:6" x14ac:dyDescent="0.2">
      <c r="A25627" t="s">
        <v>40929</v>
      </c>
      <c r="B25627" t="s">
        <v>40930</v>
      </c>
      <c r="C25627" t="s">
        <v>37</v>
      </c>
      <c r="D25627" t="s">
        <v>32731</v>
      </c>
      <c r="E25627" t="s">
        <v>246</v>
      </c>
      <c r="F25627" s="2" t="str">
        <f>HYPERLINK("http://www.otzar.org/book.asp?605007","מקבצים לאבוקה")</f>
        <v>מקבצים לאבוקה</v>
      </c>
    </row>
    <row r="25628" spans="1:6" x14ac:dyDescent="0.2">
      <c r="A25628" t="s">
        <v>40931</v>
      </c>
      <c r="B25628" t="s">
        <v>40932</v>
      </c>
      <c r="C25628" t="s">
        <v>313</v>
      </c>
      <c r="D25628" t="s">
        <v>11626</v>
      </c>
      <c r="E25628" t="s">
        <v>202</v>
      </c>
      <c r="F25628" s="2" t="str">
        <f>HYPERLINK("http://www.otzar.org/book.asp?606026","מקדמי ארץ - 7 כר'")</f>
        <v>מקדמי ארץ - 7 כר'</v>
      </c>
    </row>
    <row r="25629" spans="1:6" x14ac:dyDescent="0.2">
      <c r="A25629" t="s">
        <v>40933</v>
      </c>
      <c r="B25629" t="s">
        <v>40934</v>
      </c>
      <c r="C25629" t="s">
        <v>1706</v>
      </c>
      <c r="D25629" t="s">
        <v>5615</v>
      </c>
      <c r="E25629" t="s">
        <v>104</v>
      </c>
      <c r="F25629" s="2" t="str">
        <f>HYPERLINK("http://www.otzar.org/book.asp?25028","מקדש אהרן - 2 כר'")</f>
        <v>מקדש אהרן - 2 כר'</v>
      </c>
    </row>
    <row r="25630" spans="1:6" x14ac:dyDescent="0.2">
      <c r="A25630" t="s">
        <v>40935</v>
      </c>
      <c r="B25630" t="s">
        <v>40936</v>
      </c>
      <c r="C25630" t="s">
        <v>129</v>
      </c>
      <c r="D25630" t="s">
        <v>52</v>
      </c>
      <c r="E25630" t="s">
        <v>84</v>
      </c>
      <c r="F25630" s="2" t="str">
        <f>HYPERLINK("http://www.otzar.org/book.asp?50276","מקדש דוד &lt;עם הערות וביאורים&gt; - 2 כר'")</f>
        <v>מקדש דוד &lt;עם הערות וביאורים&gt; - 2 כר'</v>
      </c>
    </row>
    <row r="25631" spans="1:6" x14ac:dyDescent="0.2">
      <c r="A25631" t="s">
        <v>40937</v>
      </c>
      <c r="B25631" t="s">
        <v>40938</v>
      </c>
      <c r="C25631" t="s">
        <v>146</v>
      </c>
      <c r="D25631" t="s">
        <v>52</v>
      </c>
      <c r="E25631" t="s">
        <v>38</v>
      </c>
      <c r="F25631" s="2" t="str">
        <f>HYPERLINK("http://www.otzar.org/book.asp?50660","מקדש דוד &lt;עם ביאור שמועת חיים&gt; - 2 כר'")</f>
        <v>מקדש דוד &lt;עם ביאור שמועת חיים&gt; - 2 כר'</v>
      </c>
    </row>
    <row r="25632" spans="1:6" x14ac:dyDescent="0.2">
      <c r="A25632" t="s">
        <v>40939</v>
      </c>
      <c r="B25632" t="s">
        <v>40938</v>
      </c>
      <c r="C25632" t="s">
        <v>422</v>
      </c>
      <c r="D25632" t="s">
        <v>52</v>
      </c>
      <c r="E25632" t="s">
        <v>84</v>
      </c>
      <c r="F25632" s="2" t="str">
        <f>HYPERLINK("http://www.otzar.org/book.asp?166072","מקדש דוד &lt;עם ביאור שמועת חיים&gt; זרעים")</f>
        <v>מקדש דוד &lt;עם ביאור שמועת חיים&gt; זרעים</v>
      </c>
    </row>
    <row r="25633" spans="1:6" x14ac:dyDescent="0.2">
      <c r="A25633" t="s">
        <v>40940</v>
      </c>
      <c r="B25633" t="s">
        <v>40941</v>
      </c>
      <c r="C25633" t="s">
        <v>133</v>
      </c>
      <c r="D25633" t="s">
        <v>52</v>
      </c>
      <c r="E25633" t="s">
        <v>144</v>
      </c>
      <c r="F25633" s="2" t="str">
        <f>HYPERLINK("http://www.otzar.org/book.asp?180573","מקדש דוד - פרה &lt;נתיבי דעת&gt;")</f>
        <v>מקדש דוד - פרה &lt;נתיבי דעת&gt;</v>
      </c>
    </row>
    <row r="25634" spans="1:6" x14ac:dyDescent="0.2">
      <c r="A25634" t="s">
        <v>40942</v>
      </c>
      <c r="B25634" t="s">
        <v>40943</v>
      </c>
      <c r="C25634" t="s">
        <v>40944</v>
      </c>
      <c r="D25634" t="s">
        <v>3039</v>
      </c>
      <c r="E25634" t="s">
        <v>104</v>
      </c>
      <c r="F25634" s="2" t="str">
        <f>HYPERLINK("http://www.otzar.org/book.asp?5876","מקדש דוד - 5 כר'")</f>
        <v>מקדש דוד - 5 כר'</v>
      </c>
    </row>
    <row r="25635" spans="1:6" x14ac:dyDescent="0.2">
      <c r="A25635" t="s">
        <v>40945</v>
      </c>
      <c r="B25635" t="s">
        <v>16753</v>
      </c>
      <c r="C25635" t="s">
        <v>422</v>
      </c>
      <c r="D25635" t="s">
        <v>52</v>
      </c>
      <c r="E25635" t="s">
        <v>158</v>
      </c>
      <c r="F25635" s="2" t="str">
        <f>HYPERLINK("http://www.otzar.org/book.asp?62832","מקדש הלוי")</f>
        <v>מקדש הלוי</v>
      </c>
    </row>
    <row r="25636" spans="1:6" x14ac:dyDescent="0.2">
      <c r="A25636" t="s">
        <v>40946</v>
      </c>
      <c r="B25636" t="s">
        <v>40947</v>
      </c>
      <c r="C25636" t="s">
        <v>13</v>
      </c>
      <c r="D25636" t="s">
        <v>14</v>
      </c>
      <c r="E25636" t="s">
        <v>15</v>
      </c>
      <c r="F25636" s="2" t="str">
        <f>HYPERLINK("http://www.otzar.org/book.asp?153513","מקדש הקודש")</f>
        <v>מקדש הקודש</v>
      </c>
    </row>
    <row r="25637" spans="1:6" x14ac:dyDescent="0.2">
      <c r="A25637" t="s">
        <v>40948</v>
      </c>
      <c r="B25637" t="s">
        <v>40949</v>
      </c>
      <c r="C25637" t="s">
        <v>366</v>
      </c>
      <c r="E25637" t="s">
        <v>246</v>
      </c>
      <c r="F25637" s="2" t="str">
        <f>HYPERLINK("http://www.otzar.org/book.asp?612322","מקדש השבת והזמנים")</f>
        <v>מקדש השבת והזמנים</v>
      </c>
    </row>
    <row r="25638" spans="1:6" x14ac:dyDescent="0.2">
      <c r="A25638" t="s">
        <v>40950</v>
      </c>
      <c r="B25638" t="s">
        <v>40949</v>
      </c>
      <c r="E25638" t="s">
        <v>2614</v>
      </c>
      <c r="F25638" s="2" t="str">
        <f>HYPERLINK("http://www.otzar.org/book.asp?600202","מקדש השבת - 2 כר'")</f>
        <v>מקדש השבת - 2 כר'</v>
      </c>
    </row>
    <row r="25639" spans="1:6" x14ac:dyDescent="0.2">
      <c r="A25639" t="s">
        <v>40951</v>
      </c>
      <c r="B25639" t="s">
        <v>7430</v>
      </c>
      <c r="C25639" t="s">
        <v>1124</v>
      </c>
      <c r="D25639" t="s">
        <v>2373</v>
      </c>
      <c r="E25639" t="s">
        <v>4738</v>
      </c>
      <c r="F25639" s="2" t="str">
        <f>HYPERLINK("http://www.otzar.org/book.asp?173178","מקדש יה")</f>
        <v>מקדש יה</v>
      </c>
    </row>
    <row r="25640" spans="1:6" x14ac:dyDescent="0.2">
      <c r="A25640" t="s">
        <v>40952</v>
      </c>
      <c r="B25640" t="s">
        <v>40953</v>
      </c>
      <c r="C25640" t="s">
        <v>466</v>
      </c>
      <c r="D25640" t="s">
        <v>52</v>
      </c>
      <c r="E25640" t="s">
        <v>144</v>
      </c>
      <c r="F25640" s="2" t="str">
        <f>HYPERLINK("http://www.otzar.org/book.asp?61472","מקדש יחזקאל - 8 כר'")</f>
        <v>מקדש יחזקאל - 8 כר'</v>
      </c>
    </row>
    <row r="25641" spans="1:6" x14ac:dyDescent="0.2">
      <c r="A25641" t="s">
        <v>40954</v>
      </c>
      <c r="B25641" t="s">
        <v>19614</v>
      </c>
      <c r="C25641" t="s">
        <v>189</v>
      </c>
      <c r="D25641" t="s">
        <v>14</v>
      </c>
      <c r="E25641" t="s">
        <v>1072</v>
      </c>
      <c r="F25641" s="2" t="str">
        <f>HYPERLINK("http://www.otzar.org/book.asp?157935","מקדש ישראל בזמנים")</f>
        <v>מקדש ישראל בזמנים</v>
      </c>
    </row>
    <row r="25642" spans="1:6" x14ac:dyDescent="0.2">
      <c r="A25642" t="s">
        <v>40955</v>
      </c>
      <c r="B25642" t="s">
        <v>40956</v>
      </c>
      <c r="C25642" t="s">
        <v>151</v>
      </c>
      <c r="D25642" t="s">
        <v>14</v>
      </c>
      <c r="F25642" s="2" t="str">
        <f>HYPERLINK("http://www.otzar.org/book.asp?616159","מקדש ישראל והזמנים - לוח שנה לכל עת וזמן תשע""ח")</f>
        <v>מקדש ישראל והזמנים - לוח שנה לכל עת וזמן תשע"ח</v>
      </c>
    </row>
    <row r="25643" spans="1:6" x14ac:dyDescent="0.2">
      <c r="A25643" t="s">
        <v>40957</v>
      </c>
      <c r="B25643" t="s">
        <v>40957</v>
      </c>
      <c r="C25643" t="s">
        <v>20</v>
      </c>
      <c r="D25643" t="s">
        <v>14</v>
      </c>
      <c r="E25643" t="s">
        <v>674</v>
      </c>
      <c r="F25643" s="2" t="str">
        <f>HYPERLINK("http://www.otzar.org/book.asp?6283","מקדש ישראל והזמנים")</f>
        <v>מקדש ישראל והזמנים</v>
      </c>
    </row>
    <row r="25644" spans="1:6" x14ac:dyDescent="0.2">
      <c r="A25644" t="s">
        <v>40958</v>
      </c>
      <c r="B25644" t="s">
        <v>15402</v>
      </c>
      <c r="C25644" t="s">
        <v>129</v>
      </c>
      <c r="D25644" t="s">
        <v>412</v>
      </c>
      <c r="E25644" t="s">
        <v>130</v>
      </c>
      <c r="F25644" s="2" t="str">
        <f>HYPERLINK("http://www.otzar.org/book.asp?60324","מקדש ישראל - 5 כר'")</f>
        <v>מקדש ישראל - 5 כר'</v>
      </c>
    </row>
    <row r="25645" spans="1:6" x14ac:dyDescent="0.2">
      <c r="A25645" t="s">
        <v>40959</v>
      </c>
      <c r="B25645" t="s">
        <v>15040</v>
      </c>
      <c r="C25645" t="s">
        <v>176</v>
      </c>
      <c r="D25645" t="s">
        <v>14</v>
      </c>
      <c r="E25645" t="s">
        <v>399</v>
      </c>
      <c r="F25645" s="2" t="str">
        <f>HYPERLINK("http://www.otzar.org/book.asp?143687","מקדש מלך השלם - 5 כר'")</f>
        <v>מקדש מלך השלם - 5 כר'</v>
      </c>
    </row>
    <row r="25646" spans="1:6" x14ac:dyDescent="0.2">
      <c r="A25646" t="s">
        <v>40960</v>
      </c>
      <c r="B25646" t="s">
        <v>15040</v>
      </c>
      <c r="C25646" t="s">
        <v>950</v>
      </c>
      <c r="D25646" t="s">
        <v>60</v>
      </c>
      <c r="E25646" t="s">
        <v>158</v>
      </c>
      <c r="F25646" s="2" t="str">
        <f>HYPERLINK("http://www.otzar.org/book.asp?51690","מקדש מלך - 9 כר'")</f>
        <v>מקדש מלך - 9 כר'</v>
      </c>
    </row>
    <row r="25647" spans="1:6" x14ac:dyDescent="0.2">
      <c r="A25647" t="s">
        <v>40961</v>
      </c>
      <c r="B25647" t="s">
        <v>5281</v>
      </c>
      <c r="C25647" t="s">
        <v>71</v>
      </c>
      <c r="D25647" t="s">
        <v>14</v>
      </c>
      <c r="E25647" t="s">
        <v>104</v>
      </c>
      <c r="F25647" s="2" t="str">
        <f>HYPERLINK("http://www.otzar.org/book.asp?149459","מקדש מלך")</f>
        <v>מקדש מלך</v>
      </c>
    </row>
    <row r="25648" spans="1:6" x14ac:dyDescent="0.2">
      <c r="A25648" t="s">
        <v>40962</v>
      </c>
      <c r="B25648" t="s">
        <v>40963</v>
      </c>
      <c r="C25648" t="s">
        <v>313</v>
      </c>
      <c r="D25648" t="s">
        <v>52</v>
      </c>
      <c r="E25648" t="s">
        <v>158</v>
      </c>
      <c r="F25648" s="2" t="str">
        <f>HYPERLINK("http://www.otzar.org/book.asp?22655","מקדש מלך - בראשית")</f>
        <v>מקדש מלך - בראשית</v>
      </c>
    </row>
    <row r="25649" spans="1:6" x14ac:dyDescent="0.2">
      <c r="A25649" t="s">
        <v>40964</v>
      </c>
      <c r="B25649" t="s">
        <v>40965</v>
      </c>
      <c r="C25649" t="s">
        <v>454</v>
      </c>
      <c r="D25649" t="s">
        <v>52</v>
      </c>
      <c r="E25649" t="s">
        <v>15</v>
      </c>
      <c r="F25649" s="2" t="str">
        <f>HYPERLINK("http://www.otzar.org/book.asp?169086","מקדש מעט &lt;ציון המקדש&gt;")</f>
        <v>מקדש מעט &lt;ציון המקדש&gt;</v>
      </c>
    </row>
    <row r="25650" spans="1:6" x14ac:dyDescent="0.2">
      <c r="A25650" t="s">
        <v>40966</v>
      </c>
      <c r="B25650" t="s">
        <v>14381</v>
      </c>
      <c r="C25650" t="s">
        <v>106</v>
      </c>
      <c r="D25650" t="s">
        <v>52</v>
      </c>
      <c r="E25650" t="s">
        <v>15</v>
      </c>
      <c r="F25650" s="2" t="str">
        <f>HYPERLINK("http://www.otzar.org/book.asp?106537","מקדש מעט - 2 כר'")</f>
        <v>מקדש מעט - 2 כר'</v>
      </c>
    </row>
    <row r="25651" spans="1:6" x14ac:dyDescent="0.2">
      <c r="A25651" t="s">
        <v>40967</v>
      </c>
      <c r="B25651" t="s">
        <v>40968</v>
      </c>
      <c r="C25651" t="s">
        <v>454</v>
      </c>
      <c r="D25651" t="s">
        <v>14</v>
      </c>
      <c r="E25651" t="s">
        <v>15</v>
      </c>
      <c r="F25651" s="2" t="str">
        <f>HYPERLINK("http://www.otzar.org/book.asp?149480","מקדש מעט")</f>
        <v>מקדש מעט</v>
      </c>
    </row>
    <row r="25652" spans="1:6" x14ac:dyDescent="0.2">
      <c r="A25652" t="s">
        <v>40967</v>
      </c>
      <c r="B25652" t="s">
        <v>10006</v>
      </c>
      <c r="C25652" t="s">
        <v>106</v>
      </c>
      <c r="D25652" t="s">
        <v>216</v>
      </c>
      <c r="E25652" t="s">
        <v>15</v>
      </c>
      <c r="F25652" s="2" t="str">
        <f>HYPERLINK("http://www.otzar.org/book.asp?172673","מקדש מעט")</f>
        <v>מקדש מעט</v>
      </c>
    </row>
    <row r="25653" spans="1:6" x14ac:dyDescent="0.2">
      <c r="A25653" t="s">
        <v>40967</v>
      </c>
      <c r="B25653" t="s">
        <v>32943</v>
      </c>
      <c r="C25653" t="s">
        <v>940</v>
      </c>
      <c r="D25653" t="s">
        <v>14</v>
      </c>
      <c r="E25653" t="s">
        <v>399</v>
      </c>
      <c r="F25653" s="2" t="str">
        <f>HYPERLINK("http://www.otzar.org/book.asp?25831","מקדש מעט")</f>
        <v>מקדש מעט</v>
      </c>
    </row>
    <row r="25654" spans="1:6" x14ac:dyDescent="0.2">
      <c r="A25654" t="s">
        <v>40967</v>
      </c>
      <c r="B25654" t="s">
        <v>40967</v>
      </c>
      <c r="C25654" t="s">
        <v>1388</v>
      </c>
      <c r="D25654" t="s">
        <v>1180</v>
      </c>
      <c r="E25654" t="s">
        <v>714</v>
      </c>
      <c r="F25654" s="2" t="str">
        <f>HYPERLINK("http://www.otzar.org/book.asp?11928","מקדש מעט")</f>
        <v>מקדש מעט</v>
      </c>
    </row>
    <row r="25655" spans="1:6" x14ac:dyDescent="0.2">
      <c r="A25655" t="s">
        <v>40969</v>
      </c>
      <c r="B25655" t="s">
        <v>40970</v>
      </c>
      <c r="C25655" t="s">
        <v>775</v>
      </c>
      <c r="D25655" t="s">
        <v>52</v>
      </c>
      <c r="E25655" t="s">
        <v>40971</v>
      </c>
      <c r="F25655" s="2" t="str">
        <f>HYPERLINK("http://www.otzar.org/book.asp?106000","מקדש מרדכי - 2 כר'")</f>
        <v>מקדש מרדכי - 2 כר'</v>
      </c>
    </row>
    <row r="25656" spans="1:6" x14ac:dyDescent="0.2">
      <c r="A25656" t="s">
        <v>40972</v>
      </c>
      <c r="B25656" t="s">
        <v>40973</v>
      </c>
      <c r="C25656" t="s">
        <v>1619</v>
      </c>
      <c r="D25656" t="s">
        <v>3825</v>
      </c>
      <c r="E25656" t="s">
        <v>202</v>
      </c>
      <c r="F25656" s="2" t="str">
        <f>HYPERLINK("http://www.otzar.org/book.asp?149698","מקדש שלמה &lt;קובץ&gt; - 2 כר'")</f>
        <v>מקדש שלמה &lt;קובץ&gt; - 2 כר'</v>
      </c>
    </row>
    <row r="25657" spans="1:6" x14ac:dyDescent="0.2">
      <c r="A25657" t="s">
        <v>40974</v>
      </c>
      <c r="B25657" t="s">
        <v>11333</v>
      </c>
      <c r="C25657" t="s">
        <v>13</v>
      </c>
      <c r="D25657" t="s">
        <v>21</v>
      </c>
      <c r="F25657" s="2" t="str">
        <f>HYPERLINK("http://www.otzar.org/book.asp?195588","מקדשי השם &lt;מהדורה חדשה&gt; - 2 כר'")</f>
        <v>מקדשי השם &lt;מהדורה חדשה&gt; - 2 כר'</v>
      </c>
    </row>
    <row r="25658" spans="1:6" x14ac:dyDescent="0.2">
      <c r="A25658" t="s">
        <v>40975</v>
      </c>
      <c r="B25658" t="s">
        <v>11333</v>
      </c>
      <c r="C25658" t="s">
        <v>40976</v>
      </c>
      <c r="D25658" t="s">
        <v>2293</v>
      </c>
      <c r="E25658" t="s">
        <v>791</v>
      </c>
      <c r="F25658" s="2" t="str">
        <f>HYPERLINK("http://www.otzar.org/book.asp?179757","מקדשי השם - 3 כר'")</f>
        <v>מקדשי השם - 3 כר'</v>
      </c>
    </row>
    <row r="25659" spans="1:6" x14ac:dyDescent="0.2">
      <c r="A25659" t="s">
        <v>40977</v>
      </c>
      <c r="B25659" t="s">
        <v>6539</v>
      </c>
      <c r="C25659" t="s">
        <v>919</v>
      </c>
      <c r="D25659" t="s">
        <v>646</v>
      </c>
      <c r="E25659" t="s">
        <v>733</v>
      </c>
      <c r="F25659" s="2" t="str">
        <f>HYPERLINK("http://www.otzar.org/book.asp?143185","מקדשי ישראל")</f>
        <v>מקדשי ישראל</v>
      </c>
    </row>
    <row r="25660" spans="1:6" x14ac:dyDescent="0.2">
      <c r="A25660" t="s">
        <v>40978</v>
      </c>
      <c r="B25660" t="s">
        <v>40978</v>
      </c>
      <c r="C25660" t="s">
        <v>313</v>
      </c>
      <c r="D25660" t="s">
        <v>118</v>
      </c>
      <c r="E25660" t="s">
        <v>130</v>
      </c>
      <c r="F25660" s="2" t="str">
        <f>HYPERLINK("http://www.otzar.org/book.asp?16423","מקדשי שביעי")</f>
        <v>מקדשי שביעי</v>
      </c>
    </row>
    <row r="25661" spans="1:6" x14ac:dyDescent="0.2">
      <c r="A25661" t="s">
        <v>40978</v>
      </c>
      <c r="B25661" t="s">
        <v>40979</v>
      </c>
      <c r="C25661" t="s">
        <v>366</v>
      </c>
      <c r="D25661" t="s">
        <v>52</v>
      </c>
      <c r="E25661" t="s">
        <v>15</v>
      </c>
      <c r="F25661" s="2" t="str">
        <f>HYPERLINK("http://www.otzar.org/book.asp?607585","מקדשי שביעי")</f>
        <v>מקדשי שביעי</v>
      </c>
    </row>
    <row r="25662" spans="1:6" x14ac:dyDescent="0.2">
      <c r="A25662" t="s">
        <v>40980</v>
      </c>
      <c r="B25662" t="s">
        <v>40981</v>
      </c>
      <c r="C25662" t="s">
        <v>23</v>
      </c>
      <c r="D25662" t="s">
        <v>21</v>
      </c>
      <c r="E25662" t="s">
        <v>15</v>
      </c>
      <c r="F25662" s="2" t="str">
        <f>HYPERLINK("http://www.otzar.org/book.asp?197790","מקדשי שביעי - 2 כר'")</f>
        <v>מקדשי שביעי - 2 כר'</v>
      </c>
    </row>
    <row r="25663" spans="1:6" x14ac:dyDescent="0.2">
      <c r="A25663" t="s">
        <v>40982</v>
      </c>
      <c r="B25663" t="s">
        <v>40983</v>
      </c>
      <c r="C25663" t="s">
        <v>114</v>
      </c>
      <c r="D25663" t="s">
        <v>40984</v>
      </c>
      <c r="E25663" t="s">
        <v>714</v>
      </c>
      <c r="F25663" s="2" t="str">
        <f>HYPERLINK("http://www.otzar.org/book.asp?159212","מקדשי שמך")</f>
        <v>מקדשי שמך</v>
      </c>
    </row>
    <row r="25664" spans="1:6" x14ac:dyDescent="0.2">
      <c r="A25664" t="s">
        <v>40985</v>
      </c>
      <c r="B25664" t="s">
        <v>206</v>
      </c>
      <c r="C25664" t="s">
        <v>129</v>
      </c>
      <c r="D25664" t="s">
        <v>90</v>
      </c>
      <c r="E25664" t="s">
        <v>15</v>
      </c>
      <c r="F25664" s="2" t="str">
        <f>HYPERLINK("http://www.otzar.org/book.asp?85687","מקדשי תראו")</f>
        <v>מקדשי תראו</v>
      </c>
    </row>
    <row r="25665" spans="1:6" x14ac:dyDescent="0.2">
      <c r="A25665" t="s">
        <v>40986</v>
      </c>
      <c r="B25665" t="s">
        <v>10603</v>
      </c>
      <c r="C25665" t="s">
        <v>1666</v>
      </c>
      <c r="D25665" t="s">
        <v>76</v>
      </c>
      <c r="E25665" t="s">
        <v>158</v>
      </c>
      <c r="F25665" s="2" t="str">
        <f>HYPERLINK("http://www.otzar.org/book.asp?147254","מקהיל קהלת")</f>
        <v>מקהיל קהלת</v>
      </c>
    </row>
    <row r="25666" spans="1:6" x14ac:dyDescent="0.2">
      <c r="A25666" t="s">
        <v>40987</v>
      </c>
      <c r="B25666" t="s">
        <v>40988</v>
      </c>
      <c r="C25666" t="s">
        <v>124</v>
      </c>
      <c r="D25666" t="s">
        <v>14</v>
      </c>
      <c r="E25666" t="s">
        <v>15</v>
      </c>
      <c r="F25666" s="2" t="str">
        <f>HYPERLINK("http://www.otzar.org/book.asp?83946","מקואות")</f>
        <v>מקואות</v>
      </c>
    </row>
    <row r="25667" spans="1:6" x14ac:dyDescent="0.2">
      <c r="A25667" t="s">
        <v>40989</v>
      </c>
      <c r="B25667" t="s">
        <v>40990</v>
      </c>
      <c r="C25667" t="s">
        <v>189</v>
      </c>
      <c r="D25667" t="s">
        <v>52</v>
      </c>
      <c r="E25667" t="s">
        <v>15</v>
      </c>
      <c r="F25667" s="2" t="str">
        <f>HYPERLINK("http://www.otzar.org/book.asp?60553","מקודש החודש")</f>
        <v>מקודש החודש</v>
      </c>
    </row>
    <row r="25668" spans="1:6" x14ac:dyDescent="0.2">
      <c r="A25668" t="s">
        <v>40991</v>
      </c>
      <c r="B25668" t="s">
        <v>37613</v>
      </c>
      <c r="C25668" t="s">
        <v>767</v>
      </c>
      <c r="D25668" t="s">
        <v>27</v>
      </c>
      <c r="E25668" t="s">
        <v>4435</v>
      </c>
      <c r="F25668" s="2" t="str">
        <f>HYPERLINK("http://www.otzar.org/book.asp?177165","מקוה המים &lt;מהדורה חדשה&gt;")</f>
        <v>מקוה המים &lt;מהדורה חדשה&gt;</v>
      </c>
    </row>
    <row r="25669" spans="1:6" x14ac:dyDescent="0.2">
      <c r="A25669" t="s">
        <v>40992</v>
      </c>
      <c r="B25669" t="s">
        <v>37613</v>
      </c>
      <c r="C25669" t="s">
        <v>576</v>
      </c>
      <c r="D25669" t="s">
        <v>27</v>
      </c>
      <c r="E25669" t="s">
        <v>158</v>
      </c>
      <c r="F25669" s="2" t="str">
        <f>HYPERLINK("http://www.otzar.org/book.asp?103536","מקוה המים")</f>
        <v>מקוה המים</v>
      </c>
    </row>
    <row r="25670" spans="1:6" x14ac:dyDescent="0.2">
      <c r="A25670" t="s">
        <v>40993</v>
      </c>
      <c r="B25670" t="s">
        <v>8588</v>
      </c>
      <c r="C25670" t="s">
        <v>956</v>
      </c>
      <c r="D25670" t="s">
        <v>14</v>
      </c>
      <c r="E25670" t="s">
        <v>154</v>
      </c>
      <c r="F25670" s="2" t="str">
        <f>HYPERLINK("http://www.otzar.org/book.asp?83647","מקוה המים - 5 כר'")</f>
        <v>מקוה המים - 5 כר'</v>
      </c>
    </row>
    <row r="25671" spans="1:6" x14ac:dyDescent="0.2">
      <c r="A25671" t="s">
        <v>40992</v>
      </c>
      <c r="B25671" t="s">
        <v>12028</v>
      </c>
      <c r="C25671" t="s">
        <v>785</v>
      </c>
      <c r="D25671" t="s">
        <v>216</v>
      </c>
      <c r="E25671" t="s">
        <v>33343</v>
      </c>
      <c r="F25671" s="2" t="str">
        <f>HYPERLINK("http://www.otzar.org/book.asp?8260","מקוה המים")</f>
        <v>מקוה המים</v>
      </c>
    </row>
    <row r="25672" spans="1:6" x14ac:dyDescent="0.2">
      <c r="A25672" t="s">
        <v>40994</v>
      </c>
      <c r="B25672" t="s">
        <v>5561</v>
      </c>
      <c r="C25672" t="s">
        <v>473</v>
      </c>
      <c r="D25672" t="s">
        <v>283</v>
      </c>
      <c r="E25672" t="s">
        <v>148</v>
      </c>
      <c r="F25672" s="2" t="str">
        <f>HYPERLINK("http://www.otzar.org/book.asp?148499","מקוה טהרה")</f>
        <v>מקוה טהרה</v>
      </c>
    </row>
    <row r="25673" spans="1:6" x14ac:dyDescent="0.2">
      <c r="A25673" t="s">
        <v>40994</v>
      </c>
      <c r="B25673" t="s">
        <v>3768</v>
      </c>
      <c r="C25673" t="s">
        <v>20</v>
      </c>
      <c r="D25673" t="s">
        <v>90</v>
      </c>
      <c r="E25673" t="s">
        <v>15</v>
      </c>
      <c r="F25673" s="2" t="str">
        <f>HYPERLINK("http://www.otzar.org/book.asp?174654","מקוה טהרה")</f>
        <v>מקוה טהרה</v>
      </c>
    </row>
    <row r="25674" spans="1:6" x14ac:dyDescent="0.2">
      <c r="A25674" t="s">
        <v>40994</v>
      </c>
      <c r="B25674" t="s">
        <v>17409</v>
      </c>
      <c r="C25674" t="s">
        <v>1535</v>
      </c>
      <c r="D25674" t="s">
        <v>929</v>
      </c>
      <c r="E25674" t="s">
        <v>148</v>
      </c>
      <c r="F25674" s="2" t="str">
        <f>HYPERLINK("http://www.otzar.org/book.asp?11881","מקוה טהרה")</f>
        <v>מקוה טהרה</v>
      </c>
    </row>
    <row r="25675" spans="1:6" x14ac:dyDescent="0.2">
      <c r="A25675" t="s">
        <v>40994</v>
      </c>
      <c r="B25675" t="s">
        <v>31747</v>
      </c>
      <c r="C25675" t="s">
        <v>506</v>
      </c>
      <c r="D25675" t="s">
        <v>27</v>
      </c>
      <c r="E25675" t="s">
        <v>15</v>
      </c>
      <c r="F25675" s="2" t="str">
        <f>HYPERLINK("http://www.otzar.org/book.asp?149135","מקוה טהרה")</f>
        <v>מקוה טהרה</v>
      </c>
    </row>
    <row r="25676" spans="1:6" x14ac:dyDescent="0.2">
      <c r="A25676" t="s">
        <v>40994</v>
      </c>
      <c r="B25676" t="s">
        <v>3663</v>
      </c>
      <c r="C25676" t="s">
        <v>20</v>
      </c>
      <c r="D25676" t="s">
        <v>2285</v>
      </c>
      <c r="E25676" t="s">
        <v>15</v>
      </c>
      <c r="F25676" s="2" t="str">
        <f>HYPERLINK("http://www.otzar.org/book.asp?182551","מקוה טהרה")</f>
        <v>מקוה טהרה</v>
      </c>
    </row>
    <row r="25677" spans="1:6" x14ac:dyDescent="0.2">
      <c r="A25677" t="s">
        <v>40995</v>
      </c>
      <c r="B25677" t="s">
        <v>5667</v>
      </c>
      <c r="C25677" t="s">
        <v>2105</v>
      </c>
      <c r="D25677" t="s">
        <v>13632</v>
      </c>
      <c r="E25677" t="s">
        <v>15</v>
      </c>
      <c r="F25677" s="2" t="str">
        <f>HYPERLINK("http://www.otzar.org/book.asp?169431","מקוה יהודה")</f>
        <v>מקוה יהודה</v>
      </c>
    </row>
    <row r="25678" spans="1:6" x14ac:dyDescent="0.2">
      <c r="A25678" t="s">
        <v>40996</v>
      </c>
      <c r="B25678" t="s">
        <v>40997</v>
      </c>
      <c r="C25678" t="s">
        <v>133</v>
      </c>
      <c r="D25678" t="s">
        <v>412</v>
      </c>
      <c r="F25678" s="2" t="str">
        <f>HYPERLINK("http://www.otzar.org/book.asp?181947","מקוה ישראל ה' &lt;מהדורה חדשה&gt;")</f>
        <v>מקוה ישראל ה' &lt;מהדורה חדשה&gt;</v>
      </c>
    </row>
    <row r="25679" spans="1:6" x14ac:dyDescent="0.2">
      <c r="A25679" t="s">
        <v>40998</v>
      </c>
      <c r="B25679" t="s">
        <v>40997</v>
      </c>
      <c r="C25679" t="s">
        <v>390</v>
      </c>
      <c r="D25679" t="s">
        <v>14</v>
      </c>
      <c r="E25679" t="s">
        <v>33170</v>
      </c>
      <c r="F25679" s="2" t="str">
        <f>HYPERLINK("http://www.otzar.org/book.asp?158109","מקוה ישראל ה'")</f>
        <v>מקוה ישראל ה'</v>
      </c>
    </row>
    <row r="25680" spans="1:6" x14ac:dyDescent="0.2">
      <c r="A25680" t="s">
        <v>40999</v>
      </c>
      <c r="B25680" t="s">
        <v>5732</v>
      </c>
      <c r="C25680" t="s">
        <v>395</v>
      </c>
      <c r="D25680" t="s">
        <v>267</v>
      </c>
      <c r="E25680" t="s">
        <v>439</v>
      </c>
      <c r="F25680" s="2" t="str">
        <f>HYPERLINK("http://www.otzar.org/book.asp?23574","מקוה ישראל")</f>
        <v>מקוה ישראל</v>
      </c>
    </row>
    <row r="25681" spans="1:6" x14ac:dyDescent="0.2">
      <c r="A25681" t="s">
        <v>41000</v>
      </c>
      <c r="B25681" t="s">
        <v>41001</v>
      </c>
      <c r="C25681" t="s">
        <v>6041</v>
      </c>
      <c r="D25681" t="s">
        <v>1023</v>
      </c>
      <c r="E25681" t="s">
        <v>104</v>
      </c>
      <c r="F25681" s="2" t="str">
        <f>HYPERLINK("http://www.otzar.org/book.asp?51694","מקוה ישראל - 2 כר'")</f>
        <v>מקוה ישראל - 2 כר'</v>
      </c>
    </row>
    <row r="25682" spans="1:6" x14ac:dyDescent="0.2">
      <c r="A25682" t="s">
        <v>40999</v>
      </c>
      <c r="B25682" t="s">
        <v>9982</v>
      </c>
      <c r="C25682" t="s">
        <v>5823</v>
      </c>
      <c r="D25682" t="s">
        <v>2293</v>
      </c>
      <c r="E25682" t="s">
        <v>674</v>
      </c>
      <c r="F25682" s="2" t="str">
        <f>HYPERLINK("http://www.otzar.org/book.asp?20254","מקוה ישראל")</f>
        <v>מקוה ישראל</v>
      </c>
    </row>
    <row r="25683" spans="1:6" x14ac:dyDescent="0.2">
      <c r="A25683" t="s">
        <v>40999</v>
      </c>
      <c r="B25683" t="s">
        <v>6446</v>
      </c>
      <c r="C25683" t="s">
        <v>558</v>
      </c>
      <c r="D25683" t="s">
        <v>41002</v>
      </c>
      <c r="E25683" t="s">
        <v>13347</v>
      </c>
      <c r="F25683" s="2" t="str">
        <f>HYPERLINK("http://www.otzar.org/book.asp?300255","מקוה ישראל")</f>
        <v>מקוה ישראל</v>
      </c>
    </row>
    <row r="25684" spans="1:6" x14ac:dyDescent="0.2">
      <c r="A25684" t="s">
        <v>40999</v>
      </c>
      <c r="B25684" t="s">
        <v>16970</v>
      </c>
      <c r="C25684" t="s">
        <v>609</v>
      </c>
      <c r="D25684" t="s">
        <v>41003</v>
      </c>
      <c r="E25684" t="s">
        <v>674</v>
      </c>
      <c r="F25684" s="2" t="str">
        <f>HYPERLINK("http://www.otzar.org/book.asp?196228","מקוה ישראל")</f>
        <v>מקוה ישראל</v>
      </c>
    </row>
    <row r="25685" spans="1:6" x14ac:dyDescent="0.2">
      <c r="A25685" t="s">
        <v>41004</v>
      </c>
      <c r="B25685" t="s">
        <v>41005</v>
      </c>
      <c r="C25685" t="s">
        <v>114</v>
      </c>
      <c r="D25685" t="s">
        <v>1156</v>
      </c>
      <c r="E25685" t="s">
        <v>148</v>
      </c>
      <c r="F25685" s="2" t="str">
        <f>HYPERLINK("http://www.otzar.org/book.asp?622525","מקוה ישראל - 3 כר'")</f>
        <v>מקוה ישראל - 3 כר'</v>
      </c>
    </row>
    <row r="25686" spans="1:6" x14ac:dyDescent="0.2">
      <c r="A25686" t="s">
        <v>40999</v>
      </c>
      <c r="B25686" t="s">
        <v>11462</v>
      </c>
      <c r="C25686" t="s">
        <v>989</v>
      </c>
      <c r="D25686" t="s">
        <v>52</v>
      </c>
      <c r="E25686" t="s">
        <v>84</v>
      </c>
      <c r="F25686" s="2" t="str">
        <f>HYPERLINK("http://www.otzar.org/book.asp?154333","מקוה ישראל")</f>
        <v>מקוה ישראל</v>
      </c>
    </row>
    <row r="25687" spans="1:6" x14ac:dyDescent="0.2">
      <c r="A25687" t="s">
        <v>40999</v>
      </c>
      <c r="B25687" t="s">
        <v>41006</v>
      </c>
      <c r="C25687" t="s">
        <v>129</v>
      </c>
      <c r="D25687" t="s">
        <v>486</v>
      </c>
      <c r="E25687" t="s">
        <v>15</v>
      </c>
      <c r="F25687" s="2" t="str">
        <f>HYPERLINK("http://www.otzar.org/book.asp?63998","מקוה ישראל")</f>
        <v>מקוה ישראל</v>
      </c>
    </row>
    <row r="25688" spans="1:6" x14ac:dyDescent="0.2">
      <c r="A25688" t="s">
        <v>40999</v>
      </c>
      <c r="B25688" t="s">
        <v>41007</v>
      </c>
      <c r="C25688" t="s">
        <v>111</v>
      </c>
      <c r="D25688" t="s">
        <v>41008</v>
      </c>
      <c r="E25688" t="s">
        <v>15</v>
      </c>
      <c r="F25688" s="2" t="str">
        <f>HYPERLINK("http://www.otzar.org/book.asp?630132","מקוה ישראל")</f>
        <v>מקוה ישראל</v>
      </c>
    </row>
    <row r="25689" spans="1:6" x14ac:dyDescent="0.2">
      <c r="A25689" t="s">
        <v>40999</v>
      </c>
      <c r="B25689" t="s">
        <v>41009</v>
      </c>
      <c r="C25689" t="s">
        <v>2550</v>
      </c>
      <c r="D25689" t="s">
        <v>41010</v>
      </c>
      <c r="F25689" s="2" t="str">
        <f>HYPERLINK("http://www.otzar.org/book.asp?189389","מקוה ישראל")</f>
        <v>מקוה ישראל</v>
      </c>
    </row>
    <row r="25690" spans="1:6" x14ac:dyDescent="0.2">
      <c r="A25690" t="s">
        <v>40999</v>
      </c>
      <c r="B25690" t="s">
        <v>18273</v>
      </c>
      <c r="C25690" t="s">
        <v>71</v>
      </c>
      <c r="D25690" t="s">
        <v>52</v>
      </c>
      <c r="E25690" t="s">
        <v>15</v>
      </c>
      <c r="F25690" s="2" t="str">
        <f>HYPERLINK("http://www.otzar.org/book.asp?24921","מקוה ישראל")</f>
        <v>מקוה ישראל</v>
      </c>
    </row>
    <row r="25691" spans="1:6" x14ac:dyDescent="0.2">
      <c r="A25691" t="s">
        <v>41000</v>
      </c>
      <c r="B25691" t="s">
        <v>41011</v>
      </c>
      <c r="C25691" t="s">
        <v>39697</v>
      </c>
      <c r="D25691" t="s">
        <v>49</v>
      </c>
      <c r="E25691" t="s">
        <v>7754</v>
      </c>
      <c r="F25691" s="2" t="str">
        <f>HYPERLINK("http://www.otzar.org/book.asp?104326","מקוה ישראל - 2 כר'")</f>
        <v>מקוה ישראל - 2 כר'</v>
      </c>
    </row>
    <row r="25692" spans="1:6" x14ac:dyDescent="0.2">
      <c r="A25692" t="s">
        <v>40999</v>
      </c>
      <c r="B25692" t="s">
        <v>41012</v>
      </c>
      <c r="C25692" t="s">
        <v>1177</v>
      </c>
      <c r="D25692" t="s">
        <v>1422</v>
      </c>
      <c r="E25692" t="s">
        <v>84</v>
      </c>
      <c r="F25692" s="2" t="str">
        <f>HYPERLINK("http://www.otzar.org/book.asp?25029","מקוה ישראל")</f>
        <v>מקוה ישראל</v>
      </c>
    </row>
    <row r="25693" spans="1:6" x14ac:dyDescent="0.2">
      <c r="A25693" t="s">
        <v>41013</v>
      </c>
      <c r="B25693" t="s">
        <v>41014</v>
      </c>
      <c r="C25693" t="s">
        <v>51</v>
      </c>
      <c r="D25693" t="s">
        <v>14</v>
      </c>
      <c r="E25693" t="s">
        <v>15</v>
      </c>
      <c r="F25693" s="2" t="str">
        <f>HYPERLINK("http://www.otzar.org/book.asp?85642","מקוה מים - 2 כר'")</f>
        <v>מקוה מים - 2 כר'</v>
      </c>
    </row>
    <row r="25694" spans="1:6" x14ac:dyDescent="0.2">
      <c r="A25694" t="s">
        <v>41015</v>
      </c>
      <c r="B25694" t="s">
        <v>41016</v>
      </c>
      <c r="C25694" t="s">
        <v>1160</v>
      </c>
      <c r="D25694" t="s">
        <v>1180</v>
      </c>
      <c r="E25694" t="s">
        <v>148</v>
      </c>
      <c r="F25694" s="2" t="str">
        <f>HYPERLINK("http://www.otzar.org/book.asp?8262","מקוה מים - א")</f>
        <v>מקוה מים - א</v>
      </c>
    </row>
    <row r="25695" spans="1:6" x14ac:dyDescent="0.2">
      <c r="A25695" t="s">
        <v>41017</v>
      </c>
      <c r="B25695" t="s">
        <v>41018</v>
      </c>
      <c r="C25695" t="s">
        <v>1160</v>
      </c>
      <c r="D25695" t="s">
        <v>412</v>
      </c>
      <c r="E25695" t="s">
        <v>172</v>
      </c>
      <c r="F25695" s="2" t="str">
        <f>HYPERLINK("http://www.otzar.org/book.asp?181790","מקוה מים")</f>
        <v>מקוה מים</v>
      </c>
    </row>
    <row r="25696" spans="1:6" x14ac:dyDescent="0.2">
      <c r="A25696" t="s">
        <v>41013</v>
      </c>
      <c r="B25696" t="s">
        <v>4958</v>
      </c>
      <c r="C25696" t="s">
        <v>41019</v>
      </c>
      <c r="D25696" t="s">
        <v>27</v>
      </c>
      <c r="E25696" t="s">
        <v>25902</v>
      </c>
      <c r="F25696" s="2" t="str">
        <f>HYPERLINK("http://www.otzar.org/book.asp?6166","מקוה מים - 2 כר'")</f>
        <v>מקוה מים - 2 כר'</v>
      </c>
    </row>
    <row r="25697" spans="1:6" x14ac:dyDescent="0.2">
      <c r="A25697" t="s">
        <v>41020</v>
      </c>
      <c r="B25697" t="s">
        <v>41021</v>
      </c>
      <c r="C25697" t="s">
        <v>133</v>
      </c>
      <c r="D25697" t="s">
        <v>90</v>
      </c>
      <c r="E25697" t="s">
        <v>84</v>
      </c>
      <c r="F25697" s="2" t="str">
        <f>HYPERLINK("http://www.otzar.org/book.asp?181961","מקוה שלמה")</f>
        <v>מקוה שלמה</v>
      </c>
    </row>
    <row r="25698" spans="1:6" x14ac:dyDescent="0.2">
      <c r="A25698" t="s">
        <v>41022</v>
      </c>
      <c r="B25698" t="s">
        <v>26966</v>
      </c>
      <c r="C25698" t="s">
        <v>12351</v>
      </c>
      <c r="D25698" t="s">
        <v>76</v>
      </c>
      <c r="E25698" t="s">
        <v>41023</v>
      </c>
      <c r="F25698" s="2" t="str">
        <f>HYPERLINK("http://www.otzar.org/book.asp?5937","מקום בינה")</f>
        <v>מקום בינה</v>
      </c>
    </row>
    <row r="25699" spans="1:6" x14ac:dyDescent="0.2">
      <c r="A25699" t="s">
        <v>41024</v>
      </c>
      <c r="B25699" t="s">
        <v>18867</v>
      </c>
      <c r="C25699" t="s">
        <v>37</v>
      </c>
      <c r="D25699" t="s">
        <v>4919</v>
      </c>
      <c r="F25699" s="2" t="str">
        <f>HYPERLINK("http://www.otzar.org/book.asp?616559","מקום הדיון")</f>
        <v>מקום הדיון</v>
      </c>
    </row>
    <row r="25700" spans="1:6" x14ac:dyDescent="0.2">
      <c r="A25700" t="s">
        <v>41025</v>
      </c>
      <c r="B25700" t="s">
        <v>41026</v>
      </c>
      <c r="C25700" t="s">
        <v>411</v>
      </c>
      <c r="D25700" t="s">
        <v>1632</v>
      </c>
      <c r="E25700" t="s">
        <v>158</v>
      </c>
      <c r="F25700" s="2" t="str">
        <f>HYPERLINK("http://www.otzar.org/book.asp?167645","מקום הניחו אבתיו")</f>
        <v>מקום הניחו אבתיו</v>
      </c>
    </row>
    <row r="25701" spans="1:6" x14ac:dyDescent="0.2">
      <c r="A25701" t="s">
        <v>41027</v>
      </c>
      <c r="B25701" t="s">
        <v>41028</v>
      </c>
      <c r="C25701" t="s">
        <v>143</v>
      </c>
      <c r="F25701" s="2" t="str">
        <f>HYPERLINK("http://www.otzar.org/book.asp?196170","מקום הניחו לי")</f>
        <v>מקום הניחו לי</v>
      </c>
    </row>
    <row r="25702" spans="1:6" x14ac:dyDescent="0.2">
      <c r="A25702" t="s">
        <v>41029</v>
      </c>
      <c r="C25702" t="s">
        <v>37</v>
      </c>
      <c r="F25702" s="2" t="str">
        <f>HYPERLINK("http://www.otzar.org/book.asp?616825","מקום שמגדלין בו תפלה")</f>
        <v>מקום שמגדלין בו תפלה</v>
      </c>
    </row>
    <row r="25703" spans="1:6" x14ac:dyDescent="0.2">
      <c r="A25703" t="s">
        <v>41030</v>
      </c>
      <c r="B25703" t="s">
        <v>41031</v>
      </c>
      <c r="C25703" t="s">
        <v>4348</v>
      </c>
      <c r="D25703" t="s">
        <v>42</v>
      </c>
      <c r="E25703" t="s">
        <v>2572</v>
      </c>
      <c r="F25703" s="2" t="str">
        <f>HYPERLINK("http://www.otzar.org/book.asp?101159","מקום שמואל - א-ב")</f>
        <v>מקום שמואל - א-ב</v>
      </c>
    </row>
    <row r="25704" spans="1:6" x14ac:dyDescent="0.2">
      <c r="A25704" t="s">
        <v>41032</v>
      </c>
      <c r="B25704" t="s">
        <v>41033</v>
      </c>
      <c r="C25704" t="s">
        <v>114</v>
      </c>
      <c r="D25704" t="s">
        <v>646</v>
      </c>
      <c r="E25704" t="s">
        <v>15</v>
      </c>
      <c r="F25704" s="2" t="str">
        <f>HYPERLINK("http://www.otzar.org/book.asp?197985","מקום שנהגו")</f>
        <v>מקום שנהגו</v>
      </c>
    </row>
    <row r="25705" spans="1:6" x14ac:dyDescent="0.2">
      <c r="A25705" t="s">
        <v>41034</v>
      </c>
      <c r="B25705" t="s">
        <v>41035</v>
      </c>
      <c r="C25705" t="s">
        <v>427</v>
      </c>
      <c r="D25705" t="s">
        <v>14</v>
      </c>
      <c r="E25705" t="s">
        <v>1626</v>
      </c>
      <c r="F25705" s="2" t="str">
        <f>HYPERLINK("http://www.otzar.org/book.asp?14842","מקומות הקדושים")</f>
        <v>מקומות הקדושים</v>
      </c>
    </row>
    <row r="25706" spans="1:6" x14ac:dyDescent="0.2">
      <c r="A25706" t="s">
        <v>41036</v>
      </c>
      <c r="B25706" t="s">
        <v>107</v>
      </c>
      <c r="C25706" t="s">
        <v>87</v>
      </c>
      <c r="D25706" t="s">
        <v>14</v>
      </c>
      <c r="E25706" t="s">
        <v>104</v>
      </c>
      <c r="F25706" s="2" t="str">
        <f>HYPERLINK("http://www.otzar.org/book.asp?164062","מקומות קדושים בארץ הקודש")</f>
        <v>מקומות קדושים בארץ הקודש</v>
      </c>
    </row>
    <row r="25707" spans="1:6" x14ac:dyDescent="0.2">
      <c r="A25707" t="s">
        <v>41037</v>
      </c>
      <c r="B25707" t="s">
        <v>41038</v>
      </c>
      <c r="C25707" t="s">
        <v>619</v>
      </c>
      <c r="D25707" t="s">
        <v>27</v>
      </c>
      <c r="E25707" t="s">
        <v>733</v>
      </c>
      <c r="F25707" s="2" t="str">
        <f>HYPERLINK("http://www.otzar.org/book.asp?15578","מקומות קדושים ומקומות היסטוריים בארץ-ישראל")</f>
        <v>מקומות קדושים ומקומות היסטוריים בארץ-ישראל</v>
      </c>
    </row>
    <row r="25708" spans="1:6" x14ac:dyDescent="0.2">
      <c r="A25708" t="s">
        <v>41039</v>
      </c>
      <c r="B25708" t="s">
        <v>41039</v>
      </c>
      <c r="C25708" t="s">
        <v>956</v>
      </c>
      <c r="D25708" t="s">
        <v>21</v>
      </c>
      <c r="E25708" t="s">
        <v>104</v>
      </c>
      <c r="F25708" s="2" t="str">
        <f>HYPERLINK("http://www.otzar.org/book.asp?190930","מקומות קדושים שחוללו")</f>
        <v>מקומות קדושים שחוללו</v>
      </c>
    </row>
    <row r="25709" spans="1:6" x14ac:dyDescent="0.2">
      <c r="A25709" t="s">
        <v>41040</v>
      </c>
      <c r="B25709" t="s">
        <v>41041</v>
      </c>
      <c r="C25709" t="s">
        <v>114</v>
      </c>
      <c r="D25709" t="s">
        <v>152</v>
      </c>
      <c r="E25709" t="s">
        <v>84</v>
      </c>
      <c r="F25709" s="2" t="str">
        <f>HYPERLINK("http://www.otzar.org/book.asp?163402","מקומן של זבחים")</f>
        <v>מקומן של זבחים</v>
      </c>
    </row>
    <row r="25710" spans="1:6" x14ac:dyDescent="0.2">
      <c r="A25710" t="s">
        <v>41042</v>
      </c>
      <c r="B25710" t="s">
        <v>35022</v>
      </c>
      <c r="C25710" t="s">
        <v>1663</v>
      </c>
      <c r="D25710" t="s">
        <v>986</v>
      </c>
      <c r="E25710" t="s">
        <v>15</v>
      </c>
      <c r="F25710" s="2" t="str">
        <f>HYPERLINK("http://www.otzar.org/book.asp?51671","מקומן של זבחים - א")</f>
        <v>מקומן של זבחים - א</v>
      </c>
    </row>
    <row r="25711" spans="1:6" x14ac:dyDescent="0.2">
      <c r="A25711" t="s">
        <v>41043</v>
      </c>
      <c r="B25711" t="s">
        <v>9611</v>
      </c>
      <c r="C25711" t="s">
        <v>1208</v>
      </c>
      <c r="D25711" t="s">
        <v>14</v>
      </c>
      <c r="E25711" t="s">
        <v>621</v>
      </c>
      <c r="F25711" s="2" t="str">
        <f>HYPERLINK("http://www.otzar.org/book.asp?6822","מקור בהלכה - 2 כר'")</f>
        <v>מקור בהלכה - 2 כר'</v>
      </c>
    </row>
    <row r="25712" spans="1:6" x14ac:dyDescent="0.2">
      <c r="A25712" t="s">
        <v>41044</v>
      </c>
      <c r="B25712" t="s">
        <v>41045</v>
      </c>
      <c r="C25712" t="s">
        <v>1147</v>
      </c>
      <c r="D25712" t="s">
        <v>1490</v>
      </c>
      <c r="E25712" t="s">
        <v>158</v>
      </c>
      <c r="F25712" s="2" t="str">
        <f>HYPERLINK("http://www.otzar.org/book.asp?25030","מקור ברוך")</f>
        <v>מקור ברוך</v>
      </c>
    </row>
    <row r="25713" spans="1:6" x14ac:dyDescent="0.2">
      <c r="A25713" t="s">
        <v>41046</v>
      </c>
      <c r="B25713" t="s">
        <v>11798</v>
      </c>
      <c r="C25713" t="s">
        <v>506</v>
      </c>
      <c r="D25713" t="s">
        <v>56</v>
      </c>
      <c r="E25713" t="s">
        <v>119</v>
      </c>
      <c r="F25713" s="2" t="str">
        <f>HYPERLINK("http://www.otzar.org/book.asp?106943","מקור ברוך - 6 כר'")</f>
        <v>מקור ברוך - 6 כר'</v>
      </c>
    </row>
    <row r="25714" spans="1:6" x14ac:dyDescent="0.2">
      <c r="A25714" t="s">
        <v>41044</v>
      </c>
      <c r="B25714" t="s">
        <v>41047</v>
      </c>
      <c r="C25714" t="s">
        <v>1904</v>
      </c>
      <c r="D25714" t="s">
        <v>27</v>
      </c>
      <c r="E25714" t="s">
        <v>104</v>
      </c>
      <c r="F25714" s="2" t="str">
        <f>HYPERLINK("http://www.otzar.org/book.asp?7536","מקור ברוך")</f>
        <v>מקור ברוך</v>
      </c>
    </row>
    <row r="25715" spans="1:6" x14ac:dyDescent="0.2">
      <c r="A25715" t="s">
        <v>41044</v>
      </c>
      <c r="B25715" t="s">
        <v>22909</v>
      </c>
      <c r="C25715" t="s">
        <v>1244</v>
      </c>
      <c r="D25715" t="s">
        <v>60</v>
      </c>
      <c r="E25715" t="s">
        <v>3818</v>
      </c>
      <c r="F25715" s="2" t="str">
        <f>HYPERLINK("http://www.otzar.org/book.asp?83618","מקור ברוך")</f>
        <v>מקור ברוך</v>
      </c>
    </row>
    <row r="25716" spans="1:6" x14ac:dyDescent="0.2">
      <c r="A25716" t="s">
        <v>41048</v>
      </c>
      <c r="B25716" t="s">
        <v>41049</v>
      </c>
      <c r="C25716" t="s">
        <v>41050</v>
      </c>
      <c r="D25716" t="s">
        <v>10393</v>
      </c>
      <c r="E25716" t="s">
        <v>588</v>
      </c>
      <c r="F25716" s="2" t="str">
        <f>HYPERLINK("http://www.otzar.org/book.asp?101157","מקור ברוך - 2 כר'")</f>
        <v>מקור ברוך - 2 כר'</v>
      </c>
    </row>
    <row r="25717" spans="1:6" x14ac:dyDescent="0.2">
      <c r="A25717" t="s">
        <v>41044</v>
      </c>
      <c r="B25717" t="s">
        <v>1355</v>
      </c>
      <c r="C25717" t="s">
        <v>1570</v>
      </c>
      <c r="D25717" t="s">
        <v>1356</v>
      </c>
      <c r="E25717" t="s">
        <v>474</v>
      </c>
      <c r="F25717" s="2" t="str">
        <f>HYPERLINK("http://www.otzar.org/book.asp?154339","מקור ברוך")</f>
        <v>מקור ברוך</v>
      </c>
    </row>
    <row r="25718" spans="1:6" x14ac:dyDescent="0.2">
      <c r="A25718" t="s">
        <v>41048</v>
      </c>
      <c r="B25718" t="s">
        <v>41051</v>
      </c>
      <c r="C25718" t="s">
        <v>8678</v>
      </c>
      <c r="D25718" t="s">
        <v>403</v>
      </c>
      <c r="E25718" t="s">
        <v>154</v>
      </c>
      <c r="F25718" s="2" t="str">
        <f>HYPERLINK("http://www.otzar.org/book.asp?101501","מקור ברוך - 2 כר'")</f>
        <v>מקור ברוך - 2 כר'</v>
      </c>
    </row>
    <row r="25719" spans="1:6" x14ac:dyDescent="0.2">
      <c r="A25719" t="s">
        <v>41044</v>
      </c>
      <c r="B25719" t="s">
        <v>24854</v>
      </c>
      <c r="C25719" t="s">
        <v>2644</v>
      </c>
      <c r="D25719" t="s">
        <v>27</v>
      </c>
      <c r="E25719" t="s">
        <v>1626</v>
      </c>
      <c r="F25719" s="2" t="str">
        <f>HYPERLINK("http://www.otzar.org/book.asp?20255","מקור ברוך")</f>
        <v>מקור ברוך</v>
      </c>
    </row>
    <row r="25720" spans="1:6" x14ac:dyDescent="0.2">
      <c r="A25720" t="s">
        <v>41044</v>
      </c>
      <c r="B25720" t="s">
        <v>3759</v>
      </c>
      <c r="C25720" t="s">
        <v>1535</v>
      </c>
      <c r="D25720" t="s">
        <v>1279</v>
      </c>
      <c r="E25720" t="s">
        <v>119</v>
      </c>
      <c r="F25720" s="2" t="str">
        <f>HYPERLINK("http://www.otzar.org/book.asp?149128","מקור ברוך")</f>
        <v>מקור ברוך</v>
      </c>
    </row>
    <row r="25721" spans="1:6" x14ac:dyDescent="0.2">
      <c r="A25721" t="s">
        <v>41044</v>
      </c>
      <c r="B25721" t="s">
        <v>41052</v>
      </c>
      <c r="C25721" t="s">
        <v>2040</v>
      </c>
      <c r="D25721" t="s">
        <v>212</v>
      </c>
      <c r="E25721" t="s">
        <v>463</v>
      </c>
      <c r="F25721" s="2" t="str">
        <f>HYPERLINK("http://www.otzar.org/book.asp?25031","מקור ברוך")</f>
        <v>מקור ברוך</v>
      </c>
    </row>
    <row r="25722" spans="1:6" x14ac:dyDescent="0.2">
      <c r="A25722" t="s">
        <v>41044</v>
      </c>
      <c r="B25722" t="s">
        <v>41053</v>
      </c>
      <c r="C25722" t="s">
        <v>609</v>
      </c>
      <c r="D25722" t="s">
        <v>27</v>
      </c>
      <c r="E25722" t="s">
        <v>41054</v>
      </c>
      <c r="F25722" s="2" t="str">
        <f>HYPERLINK("http://www.otzar.org/book.asp?103537","מקור ברוך")</f>
        <v>מקור ברוך</v>
      </c>
    </row>
    <row r="25723" spans="1:6" x14ac:dyDescent="0.2">
      <c r="A25723" t="s">
        <v>41044</v>
      </c>
      <c r="B25723" t="s">
        <v>6818</v>
      </c>
      <c r="C25723" t="s">
        <v>950</v>
      </c>
      <c r="D25723" t="s">
        <v>56</v>
      </c>
      <c r="E25723" t="s">
        <v>154</v>
      </c>
      <c r="F25723" s="2" t="str">
        <f>HYPERLINK("http://www.otzar.org/book.asp?100188","מקור ברוך")</f>
        <v>מקור ברוך</v>
      </c>
    </row>
    <row r="25724" spans="1:6" x14ac:dyDescent="0.2">
      <c r="A25724" t="s">
        <v>41044</v>
      </c>
      <c r="B25724" t="s">
        <v>41055</v>
      </c>
      <c r="C25724" t="s">
        <v>41056</v>
      </c>
      <c r="D25724" t="s">
        <v>157</v>
      </c>
      <c r="E25724" t="s">
        <v>154</v>
      </c>
      <c r="F25724" s="2" t="str">
        <f>HYPERLINK("http://www.otzar.org/book.asp?10007","מקור ברוך")</f>
        <v>מקור ברוך</v>
      </c>
    </row>
    <row r="25725" spans="1:6" x14ac:dyDescent="0.2">
      <c r="A25725" t="s">
        <v>41057</v>
      </c>
      <c r="B25725" t="s">
        <v>29111</v>
      </c>
      <c r="C25725" t="s">
        <v>3690</v>
      </c>
      <c r="D25725" t="s">
        <v>661</v>
      </c>
      <c r="E25725" t="s">
        <v>234</v>
      </c>
      <c r="F25725" s="2" t="str">
        <f>HYPERLINK("http://www.otzar.org/book.asp?163365","מקור דמעה")</f>
        <v>מקור דמעה</v>
      </c>
    </row>
    <row r="25726" spans="1:6" x14ac:dyDescent="0.2">
      <c r="A25726" t="s">
        <v>41058</v>
      </c>
      <c r="B25726" t="s">
        <v>26000</v>
      </c>
      <c r="C25726" t="s">
        <v>3106</v>
      </c>
      <c r="D25726" t="s">
        <v>27</v>
      </c>
      <c r="E25726" t="s">
        <v>140</v>
      </c>
      <c r="F25726" s="2" t="str">
        <f>HYPERLINK("http://www.otzar.org/book.asp?9901","מקור האמונה")</f>
        <v>מקור האמונה</v>
      </c>
    </row>
    <row r="25727" spans="1:6" x14ac:dyDescent="0.2">
      <c r="A25727" t="s">
        <v>41059</v>
      </c>
      <c r="B25727" t="s">
        <v>11994</v>
      </c>
      <c r="C25727" t="s">
        <v>133</v>
      </c>
      <c r="D25727" t="s">
        <v>21</v>
      </c>
      <c r="F25727" s="2" t="str">
        <f>HYPERLINK("http://www.otzar.org/book.asp?604498","מקור הברכה - 3 כר'")</f>
        <v>מקור הברכה - 3 כר'</v>
      </c>
    </row>
    <row r="25728" spans="1:6" x14ac:dyDescent="0.2">
      <c r="A25728" t="s">
        <v>41060</v>
      </c>
      <c r="B25728" t="s">
        <v>3759</v>
      </c>
      <c r="C25728" t="s">
        <v>908</v>
      </c>
      <c r="D25728" t="s">
        <v>1279</v>
      </c>
      <c r="E25728" t="s">
        <v>15</v>
      </c>
      <c r="F25728" s="2" t="str">
        <f>HYPERLINK("http://www.otzar.org/book.asp?9047","מקור הברכה")</f>
        <v>מקור הברכה</v>
      </c>
    </row>
    <row r="25729" spans="1:6" x14ac:dyDescent="0.2">
      <c r="A25729" t="s">
        <v>41059</v>
      </c>
      <c r="B25729" t="s">
        <v>41061</v>
      </c>
      <c r="C25729" t="s">
        <v>356</v>
      </c>
      <c r="D25729" t="s">
        <v>14</v>
      </c>
      <c r="E25729" t="s">
        <v>158</v>
      </c>
      <c r="F25729" s="2" t="str">
        <f>HYPERLINK("http://www.otzar.org/book.asp?84779","מקור הברכה - 3 כר'")</f>
        <v>מקור הברכה - 3 כר'</v>
      </c>
    </row>
    <row r="25730" spans="1:6" x14ac:dyDescent="0.2">
      <c r="A25730" t="s">
        <v>41060</v>
      </c>
      <c r="B25730" t="s">
        <v>27604</v>
      </c>
      <c r="C25730" t="s">
        <v>176</v>
      </c>
      <c r="D25730" t="s">
        <v>4400</v>
      </c>
      <c r="E25730" t="s">
        <v>15</v>
      </c>
      <c r="F25730" s="2" t="str">
        <f>HYPERLINK("http://www.otzar.org/book.asp?167451","מקור הברכה")</f>
        <v>מקור הברכה</v>
      </c>
    </row>
    <row r="25731" spans="1:6" x14ac:dyDescent="0.2">
      <c r="A25731" t="s">
        <v>41062</v>
      </c>
      <c r="B25731" t="s">
        <v>6486</v>
      </c>
      <c r="C25731" t="s">
        <v>1160</v>
      </c>
      <c r="D25731" t="s">
        <v>986</v>
      </c>
      <c r="F25731" s="2" t="str">
        <f>HYPERLINK("http://www.otzar.org/book.asp?610166","מקור הברכה - א")</f>
        <v>מקור הברכה - א</v>
      </c>
    </row>
    <row r="25732" spans="1:6" x14ac:dyDescent="0.2">
      <c r="A25732" t="s">
        <v>41060</v>
      </c>
      <c r="B25732" t="s">
        <v>11371</v>
      </c>
      <c r="C25732" t="s">
        <v>176</v>
      </c>
      <c r="D25732" t="s">
        <v>14</v>
      </c>
      <c r="E25732" t="s">
        <v>803</v>
      </c>
      <c r="F25732" s="2" t="str">
        <f>HYPERLINK("http://www.otzar.org/book.asp?108517","מקור הברכה")</f>
        <v>מקור הברכה</v>
      </c>
    </row>
    <row r="25733" spans="1:6" x14ac:dyDescent="0.2">
      <c r="A25733" t="s">
        <v>41063</v>
      </c>
      <c r="B25733" t="s">
        <v>41064</v>
      </c>
      <c r="C25733" t="s">
        <v>624</v>
      </c>
      <c r="D25733" t="s">
        <v>14</v>
      </c>
      <c r="E25733" t="s">
        <v>2391</v>
      </c>
      <c r="F25733" s="2" t="str">
        <f>HYPERLINK("http://www.otzar.org/book.asp?151175","מקור הברכות - 2 כר'")</f>
        <v>מקור הברכות - 2 כר'</v>
      </c>
    </row>
    <row r="25734" spans="1:6" x14ac:dyDescent="0.2">
      <c r="A25734" t="s">
        <v>41065</v>
      </c>
      <c r="B25734" t="s">
        <v>41066</v>
      </c>
      <c r="C25734" t="s">
        <v>445</v>
      </c>
      <c r="D25734" t="s">
        <v>280</v>
      </c>
      <c r="E25734" t="s">
        <v>3083</v>
      </c>
      <c r="F25734" s="2" t="str">
        <f>HYPERLINK("http://www.otzar.org/book.asp?168173","מקור הברכות")</f>
        <v>מקור הברכות</v>
      </c>
    </row>
    <row r="25735" spans="1:6" x14ac:dyDescent="0.2">
      <c r="A25735" t="s">
        <v>41067</v>
      </c>
      <c r="B25735" t="s">
        <v>363</v>
      </c>
      <c r="C25735" t="s">
        <v>23</v>
      </c>
      <c r="D25735" t="s">
        <v>52</v>
      </c>
      <c r="E25735" t="s">
        <v>148</v>
      </c>
      <c r="F25735" s="2" t="str">
        <f>HYPERLINK("http://www.otzar.org/book.asp?194105","מקור ההלכה - נדה")</f>
        <v>מקור ההלכה - נדה</v>
      </c>
    </row>
    <row r="25736" spans="1:6" x14ac:dyDescent="0.2">
      <c r="A25736" t="s">
        <v>41068</v>
      </c>
      <c r="B25736" t="s">
        <v>41069</v>
      </c>
      <c r="C25736" t="s">
        <v>362</v>
      </c>
      <c r="D25736" t="s">
        <v>56</v>
      </c>
      <c r="E25736" t="s">
        <v>579</v>
      </c>
      <c r="F25736" s="2" t="str">
        <f>HYPERLINK("http://www.otzar.org/book.asp?10238","מקור ההלכות והדינים")</f>
        <v>מקור ההלכות והדינים</v>
      </c>
    </row>
    <row r="25737" spans="1:6" x14ac:dyDescent="0.2">
      <c r="A25737" t="s">
        <v>41070</v>
      </c>
      <c r="B25737" t="s">
        <v>41071</v>
      </c>
      <c r="C25737" t="s">
        <v>124</v>
      </c>
      <c r="D25737" t="s">
        <v>41072</v>
      </c>
      <c r="E25737" t="s">
        <v>733</v>
      </c>
      <c r="F25737" s="2" t="str">
        <f>HYPERLINK("http://www.otzar.org/book.asp?161075","מקור החיים")</f>
        <v>מקור החיים</v>
      </c>
    </row>
    <row r="25738" spans="1:6" x14ac:dyDescent="0.2">
      <c r="A25738" t="s">
        <v>41070</v>
      </c>
      <c r="B25738" t="s">
        <v>41073</v>
      </c>
      <c r="C25738" t="s">
        <v>16540</v>
      </c>
      <c r="D25738" t="s">
        <v>2303</v>
      </c>
      <c r="E25738" t="s">
        <v>158</v>
      </c>
      <c r="F25738" s="2" t="str">
        <f>HYPERLINK("http://www.otzar.org/book.asp?101378","מקור החיים")</f>
        <v>מקור החיים</v>
      </c>
    </row>
    <row r="25739" spans="1:6" x14ac:dyDescent="0.2">
      <c r="A25739" t="s">
        <v>41070</v>
      </c>
      <c r="B25739" t="s">
        <v>18797</v>
      </c>
      <c r="C25739" t="s">
        <v>111</v>
      </c>
      <c r="D25739" t="s">
        <v>14</v>
      </c>
      <c r="E25739" t="s">
        <v>158</v>
      </c>
      <c r="F25739" s="2" t="str">
        <f>HYPERLINK("http://www.otzar.org/book.asp?627199","מקור החיים")</f>
        <v>מקור החיים</v>
      </c>
    </row>
    <row r="25740" spans="1:6" x14ac:dyDescent="0.2">
      <c r="A25740" t="s">
        <v>41074</v>
      </c>
      <c r="B25740" t="s">
        <v>8524</v>
      </c>
      <c r="C25740" t="s">
        <v>3695</v>
      </c>
      <c r="D25740" t="s">
        <v>283</v>
      </c>
      <c r="E25740" t="s">
        <v>158</v>
      </c>
      <c r="F25740" s="2" t="str">
        <f>HYPERLINK("http://www.otzar.org/book.asp?25032","מקור החכמה")</f>
        <v>מקור החכמה</v>
      </c>
    </row>
    <row r="25741" spans="1:6" x14ac:dyDescent="0.2">
      <c r="A25741" t="s">
        <v>41075</v>
      </c>
      <c r="B25741" t="s">
        <v>4886</v>
      </c>
      <c r="C25741" t="s">
        <v>41076</v>
      </c>
      <c r="D25741" t="s">
        <v>27</v>
      </c>
      <c r="E25741" t="s">
        <v>2088</v>
      </c>
      <c r="F25741" s="2" t="str">
        <f>HYPERLINK("http://www.otzar.org/book.asp?200184","מקור הלכה - א ב")</f>
        <v>מקור הלכה - א ב</v>
      </c>
    </row>
    <row r="25742" spans="1:6" x14ac:dyDescent="0.2">
      <c r="A25742" t="s">
        <v>41077</v>
      </c>
      <c r="B25742" t="s">
        <v>41078</v>
      </c>
      <c r="C25742" t="s">
        <v>411</v>
      </c>
      <c r="D25742" t="s">
        <v>1156</v>
      </c>
      <c r="E25742" t="s">
        <v>27052</v>
      </c>
      <c r="F25742" s="2" t="str">
        <f>HYPERLINK("http://www.otzar.org/book.asp?197366","מקור הרחמים, אריק חרבי")</f>
        <v>מקור הרחמים, אריק חרבי</v>
      </c>
    </row>
    <row r="25743" spans="1:6" x14ac:dyDescent="0.2">
      <c r="A25743" t="s">
        <v>41079</v>
      </c>
      <c r="B25743" t="s">
        <v>2885</v>
      </c>
      <c r="C25743" t="s">
        <v>87</v>
      </c>
      <c r="D25743" t="s">
        <v>14</v>
      </c>
      <c r="E25743" t="s">
        <v>703</v>
      </c>
      <c r="F25743" s="2" t="str">
        <f>HYPERLINK("http://www.otzar.org/book.asp?60856","מקור השמחה")</f>
        <v>מקור השמחה</v>
      </c>
    </row>
    <row r="25744" spans="1:6" x14ac:dyDescent="0.2">
      <c r="A25744" t="s">
        <v>41080</v>
      </c>
      <c r="B25744" t="s">
        <v>41081</v>
      </c>
      <c r="C25744" t="s">
        <v>20</v>
      </c>
      <c r="D25744" t="s">
        <v>423</v>
      </c>
      <c r="E25744" t="s">
        <v>621</v>
      </c>
      <c r="F25744" s="2" t="str">
        <f>HYPERLINK("http://www.otzar.org/book.asp?158391","מקור השמחות")</f>
        <v>מקור השמחות</v>
      </c>
    </row>
    <row r="25745" spans="1:6" x14ac:dyDescent="0.2">
      <c r="A25745" t="s">
        <v>41082</v>
      </c>
      <c r="B25745" t="s">
        <v>2020</v>
      </c>
      <c r="C25745" t="s">
        <v>224</v>
      </c>
      <c r="D25745" t="s">
        <v>1100</v>
      </c>
      <c r="E25745" t="s">
        <v>219</v>
      </c>
      <c r="F25745" s="2" t="str">
        <f>HYPERLINK("http://www.otzar.org/book.asp?875","מקור התפלות")</f>
        <v>מקור התפלות</v>
      </c>
    </row>
    <row r="25746" spans="1:6" x14ac:dyDescent="0.2">
      <c r="A25746" t="s">
        <v>41083</v>
      </c>
      <c r="B25746" t="s">
        <v>41084</v>
      </c>
      <c r="C25746" t="s">
        <v>6448</v>
      </c>
      <c r="D25746" t="s">
        <v>7163</v>
      </c>
      <c r="E25746" t="s">
        <v>172</v>
      </c>
      <c r="F25746" s="2" t="str">
        <f>HYPERLINK("http://www.otzar.org/book.asp?6440","מקור חיים &lt;תפארת צבי&gt;")</f>
        <v>מקור חיים &lt;תפארת צבי&gt;</v>
      </c>
    </row>
    <row r="25747" spans="1:6" x14ac:dyDescent="0.2">
      <c r="A25747" t="s">
        <v>41085</v>
      </c>
      <c r="B25747" t="s">
        <v>31716</v>
      </c>
      <c r="C25747" t="s">
        <v>103</v>
      </c>
      <c r="D25747" t="s">
        <v>225</v>
      </c>
      <c r="E25747" t="s">
        <v>172</v>
      </c>
      <c r="F25747" s="2" t="str">
        <f>HYPERLINK("http://www.otzar.org/book.asp?621794","מקור חיים &lt;מהדורה חדשה&gt;")</f>
        <v>מקור חיים &lt;מהדורה חדשה&gt;</v>
      </c>
    </row>
    <row r="25748" spans="1:6" x14ac:dyDescent="0.2">
      <c r="A25748" t="s">
        <v>41085</v>
      </c>
      <c r="B25748" t="s">
        <v>6496</v>
      </c>
      <c r="C25748" t="s">
        <v>383</v>
      </c>
      <c r="D25748" t="s">
        <v>27</v>
      </c>
      <c r="E25748" t="s">
        <v>872</v>
      </c>
      <c r="F25748" s="2" t="str">
        <f>HYPERLINK("http://www.otzar.org/book.asp?170986","מקור חיים &lt;מהדורה חדשה&gt;")</f>
        <v>מקור חיים &lt;מהדורה חדשה&gt;</v>
      </c>
    </row>
    <row r="25749" spans="1:6" x14ac:dyDescent="0.2">
      <c r="A25749" t="s">
        <v>41086</v>
      </c>
      <c r="B25749" t="s">
        <v>41087</v>
      </c>
      <c r="C25749" t="s">
        <v>411</v>
      </c>
      <c r="D25749" t="s">
        <v>486</v>
      </c>
      <c r="E25749" t="s">
        <v>872</v>
      </c>
      <c r="F25749" s="2" t="str">
        <f>HYPERLINK("http://www.otzar.org/book.asp?174181","מקור חיים ומגן האלף &lt;מהדורה חדשה&gt; - 2 כר'")</f>
        <v>מקור חיים ומגן האלף &lt;מהדורה חדשה&gt; - 2 כר'</v>
      </c>
    </row>
    <row r="25750" spans="1:6" x14ac:dyDescent="0.2">
      <c r="A25750" t="s">
        <v>41088</v>
      </c>
      <c r="B25750" t="s">
        <v>41087</v>
      </c>
      <c r="C25750" t="s">
        <v>1246</v>
      </c>
      <c r="D25750" t="s">
        <v>27</v>
      </c>
      <c r="E25750" t="s">
        <v>148</v>
      </c>
      <c r="F25750" s="2" t="str">
        <f>HYPERLINK("http://www.otzar.org/book.asp?215","מקור חיים ומגן האלף")</f>
        <v>מקור חיים ומגן האלף</v>
      </c>
    </row>
    <row r="25751" spans="1:6" x14ac:dyDescent="0.2">
      <c r="A25751" t="s">
        <v>41089</v>
      </c>
      <c r="B25751" t="s">
        <v>4925</v>
      </c>
      <c r="C25751" t="s">
        <v>433</v>
      </c>
      <c r="D25751" t="s">
        <v>260</v>
      </c>
      <c r="E25751" t="s">
        <v>241</v>
      </c>
      <c r="F25751" s="2" t="str">
        <f>HYPERLINK("http://www.otzar.org/book.asp?162434","מקור חיים - 3 כר'")</f>
        <v>מקור חיים - 3 כר'</v>
      </c>
    </row>
    <row r="25752" spans="1:6" x14ac:dyDescent="0.2">
      <c r="A25752" t="s">
        <v>41090</v>
      </c>
      <c r="B25752" t="s">
        <v>41047</v>
      </c>
      <c r="C25752" t="s">
        <v>619</v>
      </c>
      <c r="D25752" t="s">
        <v>691</v>
      </c>
      <c r="E25752" t="s">
        <v>234</v>
      </c>
      <c r="F25752" s="2" t="str">
        <f>HYPERLINK("http://www.otzar.org/book.asp?19126","מקור חיים")</f>
        <v>מקור חיים</v>
      </c>
    </row>
    <row r="25753" spans="1:6" x14ac:dyDescent="0.2">
      <c r="A25753" t="s">
        <v>41090</v>
      </c>
      <c r="B25753" t="s">
        <v>8498</v>
      </c>
      <c r="C25753" t="s">
        <v>1650</v>
      </c>
      <c r="D25753" t="s">
        <v>9</v>
      </c>
      <c r="E25753" t="s">
        <v>15519</v>
      </c>
      <c r="F25753" s="2" t="str">
        <f>HYPERLINK("http://www.otzar.org/book.asp?101255","מקור חיים")</f>
        <v>מקור חיים</v>
      </c>
    </row>
    <row r="25754" spans="1:6" x14ac:dyDescent="0.2">
      <c r="A25754" t="s">
        <v>41091</v>
      </c>
      <c r="B25754" t="s">
        <v>9496</v>
      </c>
      <c r="C25754" t="s">
        <v>940</v>
      </c>
      <c r="D25754" t="s">
        <v>14</v>
      </c>
      <c r="E25754" t="s">
        <v>15</v>
      </c>
      <c r="F25754" s="2" t="str">
        <f>HYPERLINK("http://www.otzar.org/book.asp?145248","מקור חיים - 7 כר'")</f>
        <v>מקור חיים - 7 כר'</v>
      </c>
    </row>
    <row r="25755" spans="1:6" x14ac:dyDescent="0.2">
      <c r="A25755" t="s">
        <v>41090</v>
      </c>
      <c r="B25755" t="s">
        <v>41092</v>
      </c>
      <c r="C25755" t="s">
        <v>4266</v>
      </c>
      <c r="D25755" t="s">
        <v>212</v>
      </c>
      <c r="E25755" t="s">
        <v>234</v>
      </c>
      <c r="F25755" s="2" t="str">
        <f>HYPERLINK("http://www.otzar.org/book.asp?5909","מקור חיים")</f>
        <v>מקור חיים</v>
      </c>
    </row>
    <row r="25756" spans="1:6" x14ac:dyDescent="0.2">
      <c r="A25756" t="s">
        <v>41090</v>
      </c>
      <c r="B25756" t="s">
        <v>4366</v>
      </c>
      <c r="C25756" t="s">
        <v>41093</v>
      </c>
      <c r="D25756" t="s">
        <v>6801</v>
      </c>
      <c r="E25756" t="s">
        <v>241</v>
      </c>
      <c r="F25756" s="2" t="str">
        <f>HYPERLINK("http://www.otzar.org/book.asp?103543","מקור חיים")</f>
        <v>מקור חיים</v>
      </c>
    </row>
    <row r="25757" spans="1:6" x14ac:dyDescent="0.2">
      <c r="A25757" t="s">
        <v>41094</v>
      </c>
      <c r="B25757" t="s">
        <v>31716</v>
      </c>
      <c r="C25757" t="s">
        <v>41095</v>
      </c>
      <c r="D25757" t="s">
        <v>225</v>
      </c>
      <c r="E25757" t="s">
        <v>41096</v>
      </c>
      <c r="F25757" s="2" t="str">
        <f>HYPERLINK("http://www.otzar.org/book.asp?15753","מקור חיים - 9 כר'")</f>
        <v>מקור חיים - 9 כר'</v>
      </c>
    </row>
    <row r="25758" spans="1:6" x14ac:dyDescent="0.2">
      <c r="A25758" t="s">
        <v>41090</v>
      </c>
      <c r="B25758" t="s">
        <v>41097</v>
      </c>
      <c r="C25758" t="s">
        <v>550</v>
      </c>
      <c r="D25758" t="s">
        <v>1279</v>
      </c>
      <c r="E25758" t="s">
        <v>24897</v>
      </c>
      <c r="F25758" s="2" t="str">
        <f>HYPERLINK("http://www.otzar.org/book.asp?10253","מקור חיים")</f>
        <v>מקור חיים</v>
      </c>
    </row>
    <row r="25759" spans="1:6" x14ac:dyDescent="0.2">
      <c r="A25759" t="s">
        <v>41090</v>
      </c>
      <c r="B25759" t="s">
        <v>6496</v>
      </c>
      <c r="C25759" t="s">
        <v>41098</v>
      </c>
      <c r="D25759" t="s">
        <v>41099</v>
      </c>
      <c r="E25759" t="s">
        <v>172</v>
      </c>
      <c r="F25759" s="2" t="str">
        <f>HYPERLINK("http://www.otzar.org/book.asp?623345","מקור חיים")</f>
        <v>מקור חיים</v>
      </c>
    </row>
    <row r="25760" spans="1:6" x14ac:dyDescent="0.2">
      <c r="A25760" t="s">
        <v>41090</v>
      </c>
      <c r="B25760" t="s">
        <v>41100</v>
      </c>
      <c r="C25760" t="s">
        <v>129</v>
      </c>
      <c r="D25760" t="s">
        <v>52</v>
      </c>
      <c r="E25760" t="s">
        <v>154</v>
      </c>
      <c r="F25760" s="2" t="str">
        <f>HYPERLINK("http://www.otzar.org/book.asp?168202","מקור חיים")</f>
        <v>מקור חיים</v>
      </c>
    </row>
    <row r="25761" spans="1:6" x14ac:dyDescent="0.2">
      <c r="A25761" t="s">
        <v>41090</v>
      </c>
      <c r="B25761" t="s">
        <v>2108</v>
      </c>
      <c r="C25761" t="s">
        <v>558</v>
      </c>
      <c r="D25761" t="s">
        <v>691</v>
      </c>
      <c r="E25761" t="s">
        <v>140</v>
      </c>
      <c r="F25761" s="2" t="str">
        <f>HYPERLINK("http://www.otzar.org/book.asp?19122","מקור חיים")</f>
        <v>מקור חיים</v>
      </c>
    </row>
    <row r="25762" spans="1:6" x14ac:dyDescent="0.2">
      <c r="A25762" t="s">
        <v>41090</v>
      </c>
      <c r="B25762" t="s">
        <v>1968</v>
      </c>
      <c r="C25762" t="s">
        <v>843</v>
      </c>
      <c r="D25762" t="s">
        <v>27</v>
      </c>
      <c r="E25762" t="s">
        <v>241</v>
      </c>
      <c r="F25762" s="2" t="str">
        <f>HYPERLINK("http://www.otzar.org/book.asp?144858","מקור חיים")</f>
        <v>מקור חיים</v>
      </c>
    </row>
    <row r="25763" spans="1:6" x14ac:dyDescent="0.2">
      <c r="A25763" t="s">
        <v>41090</v>
      </c>
      <c r="B25763" t="s">
        <v>41101</v>
      </c>
      <c r="C25763" t="s">
        <v>5823</v>
      </c>
      <c r="D25763" t="s">
        <v>56</v>
      </c>
      <c r="E25763" t="s">
        <v>559</v>
      </c>
      <c r="F25763" s="2" t="str">
        <f>HYPERLINK("http://www.otzar.org/book.asp?20258","מקור חיים")</f>
        <v>מקור חיים</v>
      </c>
    </row>
    <row r="25764" spans="1:6" x14ac:dyDescent="0.2">
      <c r="A25764" t="s">
        <v>41090</v>
      </c>
      <c r="B25764" t="s">
        <v>7813</v>
      </c>
      <c r="C25764" t="s">
        <v>3106</v>
      </c>
      <c r="D25764" t="s">
        <v>41102</v>
      </c>
      <c r="E25764" t="s">
        <v>104</v>
      </c>
      <c r="F25764" s="2" t="str">
        <f>HYPERLINK("http://www.otzar.org/book.asp?6430","מקור חיים")</f>
        <v>מקור חיים</v>
      </c>
    </row>
    <row r="25765" spans="1:6" x14ac:dyDescent="0.2">
      <c r="A25765" t="s">
        <v>41089</v>
      </c>
      <c r="B25765" t="s">
        <v>41103</v>
      </c>
      <c r="C25765" t="s">
        <v>617</v>
      </c>
      <c r="D25765" t="s">
        <v>41104</v>
      </c>
      <c r="E25765" t="s">
        <v>15</v>
      </c>
      <c r="F25765" s="2" t="str">
        <f>HYPERLINK("http://www.otzar.org/book.asp?143219","מקור חיים - 3 כר'")</f>
        <v>מקור חיים - 3 כר'</v>
      </c>
    </row>
    <row r="25766" spans="1:6" x14ac:dyDescent="0.2">
      <c r="A25766" t="s">
        <v>41105</v>
      </c>
      <c r="B25766" t="s">
        <v>41106</v>
      </c>
      <c r="C25766" t="s">
        <v>41107</v>
      </c>
      <c r="D25766" t="s">
        <v>1411</v>
      </c>
      <c r="E25766" t="s">
        <v>158</v>
      </c>
      <c r="F25766" s="2" t="str">
        <f>HYPERLINK("http://www.otzar.org/book.asp?83635","מקור חיים - 2 כר'")</f>
        <v>מקור חיים - 2 כר'</v>
      </c>
    </row>
    <row r="25767" spans="1:6" x14ac:dyDescent="0.2">
      <c r="A25767" t="s">
        <v>41108</v>
      </c>
      <c r="B25767" t="s">
        <v>489</v>
      </c>
      <c r="C25767" t="s">
        <v>26</v>
      </c>
      <c r="D25767" t="s">
        <v>14</v>
      </c>
      <c r="E25767" t="s">
        <v>202</v>
      </c>
      <c r="F25767" s="2" t="str">
        <f>HYPERLINK("http://www.otzar.org/book.asp?142995","מקור חיים - 4 כר'")</f>
        <v>מקור חיים - 4 כר'</v>
      </c>
    </row>
    <row r="25768" spans="1:6" x14ac:dyDescent="0.2">
      <c r="A25768" t="s">
        <v>41090</v>
      </c>
      <c r="B25768" t="s">
        <v>12599</v>
      </c>
      <c r="C25768" t="s">
        <v>4144</v>
      </c>
      <c r="D25768" t="s">
        <v>947</v>
      </c>
      <c r="E25768" t="s">
        <v>158</v>
      </c>
      <c r="F25768" s="2" t="str">
        <f>HYPERLINK("http://www.otzar.org/book.asp?140982","מקור חיים")</f>
        <v>מקור חיים</v>
      </c>
    </row>
    <row r="25769" spans="1:6" x14ac:dyDescent="0.2">
      <c r="A25769" t="s">
        <v>41090</v>
      </c>
      <c r="B25769" t="s">
        <v>10158</v>
      </c>
      <c r="C25769" t="s">
        <v>99</v>
      </c>
      <c r="D25769" t="s">
        <v>2718</v>
      </c>
      <c r="E25769" t="s">
        <v>467</v>
      </c>
      <c r="F25769" s="2" t="str">
        <f>HYPERLINK("http://www.otzar.org/book.asp?618665","מקור חיים")</f>
        <v>מקור חיים</v>
      </c>
    </row>
    <row r="25770" spans="1:6" x14ac:dyDescent="0.2">
      <c r="A25770" t="s">
        <v>41090</v>
      </c>
      <c r="B25770" t="s">
        <v>14446</v>
      </c>
      <c r="C25770" t="s">
        <v>442</v>
      </c>
      <c r="D25770" t="s">
        <v>9</v>
      </c>
      <c r="E25770" t="s">
        <v>104</v>
      </c>
      <c r="F25770" s="2" t="str">
        <f>HYPERLINK("http://www.otzar.org/book.asp?51673","מקור חיים")</f>
        <v>מקור חיים</v>
      </c>
    </row>
    <row r="25771" spans="1:6" x14ac:dyDescent="0.2">
      <c r="A25771" t="s">
        <v>41109</v>
      </c>
      <c r="B25771" t="s">
        <v>41110</v>
      </c>
      <c r="C25771" t="s">
        <v>2543</v>
      </c>
      <c r="D25771" t="s">
        <v>379</v>
      </c>
      <c r="E25771" t="s">
        <v>920</v>
      </c>
      <c r="F25771" s="2" t="str">
        <f>HYPERLINK("http://www.otzar.org/book.asp?105017","מקור חכמה")</f>
        <v>מקור חכמה</v>
      </c>
    </row>
    <row r="25772" spans="1:6" x14ac:dyDescent="0.2">
      <c r="A25772" t="s">
        <v>41111</v>
      </c>
      <c r="B25772" t="s">
        <v>6210</v>
      </c>
      <c r="C25772" t="s">
        <v>1096</v>
      </c>
      <c r="D25772" t="s">
        <v>283</v>
      </c>
      <c r="E25772" t="s">
        <v>41112</v>
      </c>
      <c r="F25772" s="2" t="str">
        <f>HYPERLINK("http://www.otzar.org/book.asp?101377","מקור חכמה - 3 כר'")</f>
        <v>מקור חכמה - 3 כר'</v>
      </c>
    </row>
    <row r="25773" spans="1:6" x14ac:dyDescent="0.2">
      <c r="A25773" t="s">
        <v>41109</v>
      </c>
      <c r="B25773" t="s">
        <v>33049</v>
      </c>
      <c r="C25773" t="s">
        <v>313</v>
      </c>
      <c r="D25773" t="s">
        <v>52</v>
      </c>
      <c r="E25773" t="s">
        <v>140</v>
      </c>
      <c r="F25773" s="2" t="str">
        <f>HYPERLINK("http://www.otzar.org/book.asp?165136","מקור חכמה")</f>
        <v>מקור חכמה</v>
      </c>
    </row>
    <row r="25774" spans="1:6" x14ac:dyDescent="0.2">
      <c r="A25774" t="s">
        <v>41113</v>
      </c>
      <c r="B25774" t="s">
        <v>7201</v>
      </c>
      <c r="C25774" t="s">
        <v>20</v>
      </c>
      <c r="D25774" t="s">
        <v>152</v>
      </c>
      <c r="E25774" t="s">
        <v>399</v>
      </c>
      <c r="F25774" s="2" t="str">
        <f>HYPERLINK("http://www.otzar.org/book.asp?182920","מקור חכמה - על ספר עץ חיים")</f>
        <v>מקור חכמה - על ספר עץ חיים</v>
      </c>
    </row>
    <row r="25775" spans="1:6" x14ac:dyDescent="0.2">
      <c r="A25775" t="s">
        <v>41114</v>
      </c>
      <c r="B25775" t="s">
        <v>41115</v>
      </c>
      <c r="C25775" t="s">
        <v>506</v>
      </c>
      <c r="D25775" t="s">
        <v>41116</v>
      </c>
      <c r="F25775" s="2" t="str">
        <f>HYPERLINK("http://www.otzar.org/book.asp?620589","מקור חסד")</f>
        <v>מקור חסד</v>
      </c>
    </row>
    <row r="25776" spans="1:6" x14ac:dyDescent="0.2">
      <c r="A25776" t="s">
        <v>41117</v>
      </c>
      <c r="B25776" t="s">
        <v>41118</v>
      </c>
      <c r="C25776" t="s">
        <v>4705</v>
      </c>
      <c r="D25776" t="s">
        <v>27</v>
      </c>
      <c r="E25776" t="s">
        <v>154</v>
      </c>
      <c r="F25776" s="2" t="str">
        <f>HYPERLINK("http://www.otzar.org/book.asp?1011","מקור ישראל")</f>
        <v>מקור ישראל</v>
      </c>
    </row>
    <row r="25777" spans="1:6" x14ac:dyDescent="0.2">
      <c r="A25777" t="s">
        <v>41117</v>
      </c>
      <c r="B25777" t="s">
        <v>4973</v>
      </c>
      <c r="C25777" t="s">
        <v>1284</v>
      </c>
      <c r="D25777" t="s">
        <v>379</v>
      </c>
      <c r="E25777" t="s">
        <v>119</v>
      </c>
      <c r="F25777" s="2" t="str">
        <f>HYPERLINK("http://www.otzar.org/book.asp?20259","מקור ישראל")</f>
        <v>מקור ישראל</v>
      </c>
    </row>
    <row r="25778" spans="1:6" x14ac:dyDescent="0.2">
      <c r="A25778" t="s">
        <v>41119</v>
      </c>
      <c r="B25778" t="s">
        <v>41120</v>
      </c>
      <c r="C25778" t="s">
        <v>13</v>
      </c>
      <c r="D25778" t="s">
        <v>14</v>
      </c>
      <c r="E25778" t="s">
        <v>2338</v>
      </c>
      <c r="F25778" s="2" t="str">
        <f>HYPERLINK("http://www.otzar.org/book.asp?145372","מקור מים חיים")</f>
        <v>מקור מים חיים</v>
      </c>
    </row>
    <row r="25779" spans="1:6" x14ac:dyDescent="0.2">
      <c r="A25779" t="s">
        <v>41119</v>
      </c>
      <c r="B25779" t="s">
        <v>41121</v>
      </c>
      <c r="C25779" t="s">
        <v>23</v>
      </c>
      <c r="D25779" t="s">
        <v>14</v>
      </c>
      <c r="E25779" t="s">
        <v>15</v>
      </c>
      <c r="F25779" s="2" t="str">
        <f>HYPERLINK("http://www.otzar.org/book.asp?607220","מקור מים חיים")</f>
        <v>מקור מים חיים</v>
      </c>
    </row>
    <row r="25780" spans="1:6" x14ac:dyDescent="0.2">
      <c r="A25780" t="s">
        <v>41122</v>
      </c>
      <c r="B25780" t="s">
        <v>17891</v>
      </c>
      <c r="C25780" t="s">
        <v>8375</v>
      </c>
      <c r="D25780" t="s">
        <v>9748</v>
      </c>
      <c r="E25780" t="s">
        <v>172</v>
      </c>
      <c r="F25780" s="2" t="str">
        <f>HYPERLINK("http://www.otzar.org/book.asp?101160","מקור מים חיים - 2 כר'")</f>
        <v>מקור מים חיים - 2 כר'</v>
      </c>
    </row>
    <row r="25781" spans="1:6" x14ac:dyDescent="0.2">
      <c r="A25781" t="s">
        <v>41122</v>
      </c>
      <c r="B25781" t="s">
        <v>3341</v>
      </c>
      <c r="C25781" t="s">
        <v>68</v>
      </c>
      <c r="D25781" t="s">
        <v>52</v>
      </c>
      <c r="E25781" t="s">
        <v>104</v>
      </c>
      <c r="F25781" s="2" t="str">
        <f>HYPERLINK("http://www.otzar.org/book.asp?161933","מקור מים חיים - 2 כר'")</f>
        <v>מקור מים חיים - 2 כר'</v>
      </c>
    </row>
    <row r="25782" spans="1:6" x14ac:dyDescent="0.2">
      <c r="A25782" t="s">
        <v>41119</v>
      </c>
      <c r="B25782" t="s">
        <v>41123</v>
      </c>
      <c r="C25782" t="s">
        <v>1374</v>
      </c>
      <c r="D25782" t="s">
        <v>691</v>
      </c>
      <c r="E25782" t="s">
        <v>154</v>
      </c>
      <c r="F25782" s="2" t="str">
        <f>HYPERLINK("http://www.otzar.org/book.asp?108831","מקור מים חיים")</f>
        <v>מקור מים חיים</v>
      </c>
    </row>
    <row r="25783" spans="1:6" x14ac:dyDescent="0.2">
      <c r="A25783" t="s">
        <v>41124</v>
      </c>
      <c r="B25783" t="s">
        <v>41125</v>
      </c>
      <c r="C25783" t="s">
        <v>411</v>
      </c>
      <c r="E25783" t="s">
        <v>148</v>
      </c>
      <c r="F25783" s="2" t="str">
        <f>HYPERLINK("http://www.otzar.org/book.asp?190970","מקור מים - מקוואות")</f>
        <v>מקור מים - מקוואות</v>
      </c>
    </row>
    <row r="25784" spans="1:6" x14ac:dyDescent="0.2">
      <c r="A25784" t="s">
        <v>41126</v>
      </c>
      <c r="B25784" t="s">
        <v>7191</v>
      </c>
      <c r="C25784" t="s">
        <v>68</v>
      </c>
      <c r="D25784" t="s">
        <v>52</v>
      </c>
      <c r="F25784" s="2" t="str">
        <f>HYPERLINK("http://www.otzar.org/book.asp?156417","מקור נאמן - 2 כר'")</f>
        <v>מקור נאמן - 2 כר'</v>
      </c>
    </row>
    <row r="25785" spans="1:6" x14ac:dyDescent="0.2">
      <c r="A25785" t="s">
        <v>41127</v>
      </c>
      <c r="B25785" t="s">
        <v>38646</v>
      </c>
      <c r="C25785" t="s">
        <v>1169</v>
      </c>
      <c r="D25785" t="s">
        <v>260</v>
      </c>
      <c r="E25785" t="s">
        <v>674</v>
      </c>
      <c r="F25785" s="2" t="str">
        <f>HYPERLINK("http://www.otzar.org/book.asp?144870","מקורות הלכה")</f>
        <v>מקורות הלכה</v>
      </c>
    </row>
    <row r="25786" spans="1:6" x14ac:dyDescent="0.2">
      <c r="A25786" t="s">
        <v>41128</v>
      </c>
      <c r="B25786" t="s">
        <v>41129</v>
      </c>
      <c r="C25786" t="s">
        <v>17</v>
      </c>
      <c r="D25786" t="s">
        <v>14</v>
      </c>
      <c r="E25786" t="s">
        <v>104</v>
      </c>
      <c r="F25786" s="2" t="str">
        <f>HYPERLINK("http://www.otzar.org/book.asp?191322","מקורות הרב")</f>
        <v>מקורות הרב</v>
      </c>
    </row>
    <row r="25787" spans="1:6" x14ac:dyDescent="0.2">
      <c r="A25787" t="s">
        <v>41130</v>
      </c>
      <c r="B25787" t="s">
        <v>41131</v>
      </c>
      <c r="C25787" t="s">
        <v>585</v>
      </c>
      <c r="D25787" t="s">
        <v>14</v>
      </c>
      <c r="E25787" t="s">
        <v>41132</v>
      </c>
      <c r="F25787" s="2" t="str">
        <f>HYPERLINK("http://www.otzar.org/book.asp?154473","מקורות וקורות")</f>
        <v>מקורות וקורות</v>
      </c>
    </row>
    <row r="25788" spans="1:6" x14ac:dyDescent="0.2">
      <c r="A25788" t="s">
        <v>41133</v>
      </c>
      <c r="B25788" t="s">
        <v>4975</v>
      </c>
      <c r="C25788" t="s">
        <v>908</v>
      </c>
      <c r="D25788" t="s">
        <v>4772</v>
      </c>
      <c r="E25788" t="s">
        <v>119</v>
      </c>
      <c r="F25788" s="2" t="str">
        <f>HYPERLINK("http://www.otzar.org/book.asp?19118","מקורות לקורות ישראל")</f>
        <v>מקורות לקורות ישראל</v>
      </c>
    </row>
    <row r="25789" spans="1:6" x14ac:dyDescent="0.2">
      <c r="A25789" t="s">
        <v>41134</v>
      </c>
      <c r="B25789" t="s">
        <v>41135</v>
      </c>
      <c r="C25789" t="s">
        <v>20</v>
      </c>
      <c r="D25789" t="s">
        <v>216</v>
      </c>
      <c r="E25789" t="s">
        <v>733</v>
      </c>
      <c r="F25789" s="2" t="str">
        <f>HYPERLINK("http://www.otzar.org/book.asp?148294","מקורות לתולדות החינוך בישראל")</f>
        <v>מקורות לתולדות החינוך בישראל</v>
      </c>
    </row>
    <row r="25790" spans="1:6" x14ac:dyDescent="0.2">
      <c r="A25790" t="s">
        <v>41136</v>
      </c>
      <c r="B25790" t="s">
        <v>41137</v>
      </c>
      <c r="C25790" t="s">
        <v>334</v>
      </c>
      <c r="D25790" t="s">
        <v>852</v>
      </c>
      <c r="E25790" t="s">
        <v>104</v>
      </c>
      <c r="F25790" s="2" t="str">
        <f>HYPERLINK("http://www.otzar.org/book.asp?172980","מקורות רפואה")</f>
        <v>מקורות רפואה</v>
      </c>
    </row>
    <row r="25791" spans="1:6" x14ac:dyDescent="0.2">
      <c r="A25791" t="s">
        <v>41138</v>
      </c>
      <c r="B25791" t="s">
        <v>41139</v>
      </c>
      <c r="C25791" t="s">
        <v>940</v>
      </c>
      <c r="D25791" t="s">
        <v>14</v>
      </c>
      <c r="E25791" t="s">
        <v>158</v>
      </c>
      <c r="F25791" s="2" t="str">
        <f>HYPERLINK("http://www.otzar.org/book.asp?14489","מקורות רש""י - חמש מגלות")</f>
        <v>מקורות רש"י - חמש מגלות</v>
      </c>
    </row>
    <row r="25792" spans="1:6" x14ac:dyDescent="0.2">
      <c r="A25792" t="s">
        <v>41140</v>
      </c>
      <c r="B25792" t="s">
        <v>41141</v>
      </c>
      <c r="C25792" t="s">
        <v>31586</v>
      </c>
      <c r="D25792" t="s">
        <v>1008</v>
      </c>
      <c r="E25792" t="s">
        <v>241</v>
      </c>
      <c r="F25792" s="2" t="str">
        <f>HYPERLINK("http://www.otzar.org/book.asp?85005","מקורי ברוך")</f>
        <v>מקורי ברוך</v>
      </c>
    </row>
    <row r="25793" spans="1:6" x14ac:dyDescent="0.2">
      <c r="A25793" t="s">
        <v>41142</v>
      </c>
      <c r="B25793" t="s">
        <v>41143</v>
      </c>
      <c r="C25793" t="s">
        <v>725</v>
      </c>
      <c r="D25793" t="s">
        <v>307</v>
      </c>
      <c r="E25793" t="s">
        <v>15</v>
      </c>
      <c r="F25793" s="2" t="str">
        <f>HYPERLINK("http://www.otzar.org/book.asp?188592","מקורי הנקור")</f>
        <v>מקורי הנקור</v>
      </c>
    </row>
    <row r="25794" spans="1:6" x14ac:dyDescent="0.2">
      <c r="A25794" t="s">
        <v>41144</v>
      </c>
      <c r="B25794" t="s">
        <v>41145</v>
      </c>
      <c r="C25794" t="s">
        <v>843</v>
      </c>
      <c r="D25794" t="s">
        <v>27</v>
      </c>
      <c r="E25794" t="s">
        <v>31107</v>
      </c>
      <c r="F25794" s="2" t="str">
        <f>HYPERLINK("http://www.otzar.org/book.asp?376","מקורי הרמב""ם לרש""ש")</f>
        <v>מקורי הרמב"ם לרש"ש</v>
      </c>
    </row>
    <row r="25795" spans="1:6" x14ac:dyDescent="0.2">
      <c r="A25795" t="s">
        <v>41146</v>
      </c>
      <c r="B25795" t="s">
        <v>41145</v>
      </c>
      <c r="C25795" t="s">
        <v>41147</v>
      </c>
      <c r="D25795" t="s">
        <v>56</v>
      </c>
      <c r="E25795" t="s">
        <v>15</v>
      </c>
      <c r="F25795" s="2" t="str">
        <f>HYPERLINK("http://www.otzar.org/book.asp?182357","מקורי הרמב""ם")</f>
        <v>מקורי הרמב"ם</v>
      </c>
    </row>
    <row r="25796" spans="1:6" x14ac:dyDescent="0.2">
      <c r="A25796" t="s">
        <v>41148</v>
      </c>
      <c r="B25796" t="s">
        <v>41149</v>
      </c>
      <c r="C25796" t="s">
        <v>114</v>
      </c>
      <c r="D25796" t="s">
        <v>14</v>
      </c>
      <c r="E25796" t="s">
        <v>960</v>
      </c>
      <c r="F25796" s="2" t="str">
        <f>HYPERLINK("http://www.otzar.org/book.asp?166633","מקורי התפילה - 2 כר'")</f>
        <v>מקורי התפילה - 2 כר'</v>
      </c>
    </row>
    <row r="25797" spans="1:6" x14ac:dyDescent="0.2">
      <c r="A25797" t="s">
        <v>41150</v>
      </c>
      <c r="B25797" t="s">
        <v>41151</v>
      </c>
      <c r="C25797" t="s">
        <v>15405</v>
      </c>
      <c r="D25797" t="s">
        <v>280</v>
      </c>
      <c r="E25797" t="s">
        <v>15</v>
      </c>
      <c r="F25797" s="2" t="str">
        <f>HYPERLINK("http://www.otzar.org/book.asp?101502","מקורי מנהגים")</f>
        <v>מקורי מנהגים</v>
      </c>
    </row>
    <row r="25798" spans="1:6" x14ac:dyDescent="0.2">
      <c r="A25798" t="s">
        <v>41150</v>
      </c>
      <c r="B25798" t="s">
        <v>41152</v>
      </c>
      <c r="C25798" t="s">
        <v>603</v>
      </c>
      <c r="D25798" t="s">
        <v>283</v>
      </c>
      <c r="E25798" t="s">
        <v>15</v>
      </c>
      <c r="F25798" s="2" t="str">
        <f>HYPERLINK("http://www.otzar.org/book.asp?100701","מקורי מנהגים")</f>
        <v>מקורי מנהגים</v>
      </c>
    </row>
    <row r="25799" spans="1:6" x14ac:dyDescent="0.2">
      <c r="A25799" t="s">
        <v>41153</v>
      </c>
      <c r="B25799" t="s">
        <v>41154</v>
      </c>
      <c r="C25799" t="s">
        <v>124</v>
      </c>
      <c r="D25799" t="s">
        <v>14</v>
      </c>
      <c r="E25799" t="s">
        <v>104</v>
      </c>
      <c r="F25799" s="2" t="str">
        <f>HYPERLINK("http://www.otzar.org/book.asp?182859","מקורך ברוך")</f>
        <v>מקורך ברוך</v>
      </c>
    </row>
    <row r="25800" spans="1:6" x14ac:dyDescent="0.2">
      <c r="A25800" t="s">
        <v>41155</v>
      </c>
      <c r="B25800" t="s">
        <v>41156</v>
      </c>
      <c r="C25800" t="s">
        <v>411</v>
      </c>
      <c r="D25800" t="s">
        <v>14</v>
      </c>
      <c r="E25800" t="s">
        <v>325</v>
      </c>
      <c r="F25800" s="2" t="str">
        <f>HYPERLINK("http://www.otzar.org/book.asp?172184","מקח טוב - שבת")</f>
        <v>מקח טוב - שבת</v>
      </c>
    </row>
    <row r="25801" spans="1:6" x14ac:dyDescent="0.2">
      <c r="A25801" t="s">
        <v>41157</v>
      </c>
      <c r="B25801" t="s">
        <v>9465</v>
      </c>
      <c r="C25801" t="s">
        <v>482</v>
      </c>
      <c r="D25801" t="s">
        <v>38874</v>
      </c>
      <c r="E25801" t="s">
        <v>27260</v>
      </c>
      <c r="F25801" s="2" t="str">
        <f>HYPERLINK("http://www.otzar.org/book.asp?14869","מקטוביץ עד ירושלים")</f>
        <v>מקטוביץ עד ירושלים</v>
      </c>
    </row>
    <row r="25802" spans="1:6" x14ac:dyDescent="0.2">
      <c r="A25802" t="s">
        <v>41157</v>
      </c>
      <c r="B25802" t="s">
        <v>41158</v>
      </c>
      <c r="C25802" t="s">
        <v>785</v>
      </c>
      <c r="D25802" t="s">
        <v>14</v>
      </c>
      <c r="E25802" t="s">
        <v>119</v>
      </c>
      <c r="F25802" s="2" t="str">
        <f>HYPERLINK("http://www.otzar.org/book.asp?106463","מקטוביץ עד ירושלים")</f>
        <v>מקטוביץ עד ירושלים</v>
      </c>
    </row>
    <row r="25803" spans="1:6" x14ac:dyDescent="0.2">
      <c r="A25803" t="s">
        <v>41159</v>
      </c>
      <c r="B25803" t="s">
        <v>37036</v>
      </c>
      <c r="C25803" t="s">
        <v>129</v>
      </c>
      <c r="D25803" t="s">
        <v>52</v>
      </c>
      <c r="E25803" t="s">
        <v>104</v>
      </c>
      <c r="F25803" s="2" t="str">
        <f>HYPERLINK("http://www.otzar.org/book.asp?160559","מקטר קטורת")</f>
        <v>מקטר קטורת</v>
      </c>
    </row>
    <row r="25804" spans="1:6" x14ac:dyDescent="0.2">
      <c r="A25804" t="s">
        <v>41160</v>
      </c>
      <c r="B25804" t="s">
        <v>41161</v>
      </c>
      <c r="C25804" t="s">
        <v>4538</v>
      </c>
      <c r="D25804" t="s">
        <v>1490</v>
      </c>
      <c r="E25804" t="s">
        <v>154</v>
      </c>
      <c r="F25804" s="2" t="str">
        <f>HYPERLINK("http://www.otzar.org/book.asp?101503","מקיץ בן חי")</f>
        <v>מקיץ בן חי</v>
      </c>
    </row>
    <row r="25805" spans="1:6" x14ac:dyDescent="0.2">
      <c r="A25805" t="s">
        <v>41162</v>
      </c>
      <c r="B25805" t="s">
        <v>41163</v>
      </c>
      <c r="C25805" t="s">
        <v>20</v>
      </c>
      <c r="D25805" t="s">
        <v>14</v>
      </c>
      <c r="E25805" t="s">
        <v>467</v>
      </c>
      <c r="F25805" s="2" t="str">
        <f>HYPERLINK("http://www.otzar.org/book.asp?163001","מקיץ נרדמים - ב")</f>
        <v>מקיץ נרדמים - ב</v>
      </c>
    </row>
    <row r="25806" spans="1:6" x14ac:dyDescent="0.2">
      <c r="A25806" t="s">
        <v>41164</v>
      </c>
      <c r="B25806" t="s">
        <v>41165</v>
      </c>
      <c r="C25806" t="s">
        <v>2644</v>
      </c>
      <c r="D25806" t="s">
        <v>225</v>
      </c>
      <c r="E25806" t="s">
        <v>213</v>
      </c>
      <c r="F25806" s="2" t="str">
        <f>HYPERLINK("http://www.otzar.org/book.asp?103544","מקיץ נרדמים")</f>
        <v>מקיץ נרדמים</v>
      </c>
    </row>
    <row r="25807" spans="1:6" x14ac:dyDescent="0.2">
      <c r="A25807" t="s">
        <v>41166</v>
      </c>
      <c r="B25807" t="s">
        <v>41167</v>
      </c>
      <c r="C25807" t="s">
        <v>11974</v>
      </c>
      <c r="D25807" t="s">
        <v>1411</v>
      </c>
      <c r="E25807" t="s">
        <v>1517</v>
      </c>
      <c r="F25807" s="2" t="str">
        <f>HYPERLINK("http://www.otzar.org/book.asp?104359","מקיץ רדומים")</f>
        <v>מקיץ רדומים</v>
      </c>
    </row>
    <row r="25808" spans="1:6" x14ac:dyDescent="0.2">
      <c r="A25808" t="s">
        <v>41168</v>
      </c>
      <c r="B25808" t="s">
        <v>441</v>
      </c>
      <c r="C25808" t="s">
        <v>38657</v>
      </c>
      <c r="D25808" t="s">
        <v>9</v>
      </c>
      <c r="E25808" t="s">
        <v>508</v>
      </c>
      <c r="F25808" s="2" t="str">
        <f>HYPERLINK("http://www.otzar.org/book.asp?20260","מקל יעקב")</f>
        <v>מקל יעקב</v>
      </c>
    </row>
    <row r="25809" spans="1:6" x14ac:dyDescent="0.2">
      <c r="A25809" t="s">
        <v>41169</v>
      </c>
      <c r="B25809" t="s">
        <v>41170</v>
      </c>
      <c r="C25809" t="s">
        <v>1937</v>
      </c>
      <c r="D25809" t="s">
        <v>535</v>
      </c>
      <c r="E25809" t="s">
        <v>15</v>
      </c>
      <c r="F25809" s="2" t="str">
        <f>HYPERLINK("http://www.otzar.org/book.asp?20261","מקל נועם")</f>
        <v>מקל נועם</v>
      </c>
    </row>
    <row r="25810" spans="1:6" x14ac:dyDescent="0.2">
      <c r="A25810" t="s">
        <v>41171</v>
      </c>
      <c r="B25810" t="s">
        <v>36890</v>
      </c>
      <c r="C25810" t="s">
        <v>1228</v>
      </c>
      <c r="D25810" t="s">
        <v>225</v>
      </c>
      <c r="E25810" t="s">
        <v>158</v>
      </c>
      <c r="F25810" s="2" t="str">
        <f>HYPERLINK("http://www.otzar.org/book.asp?103546","מקלו של אהרן")</f>
        <v>מקלו של אהרן</v>
      </c>
    </row>
    <row r="25811" spans="1:6" x14ac:dyDescent="0.2">
      <c r="A25811" t="s">
        <v>41172</v>
      </c>
      <c r="B25811" t="s">
        <v>31957</v>
      </c>
      <c r="C25811" t="s">
        <v>22975</v>
      </c>
      <c r="D25811" t="s">
        <v>76</v>
      </c>
      <c r="E25811" t="s">
        <v>104</v>
      </c>
      <c r="F25811" s="2" t="str">
        <f>HYPERLINK("http://www.otzar.org/book.asp?104536","מקנה אברהם")</f>
        <v>מקנה אברהם</v>
      </c>
    </row>
    <row r="25812" spans="1:6" x14ac:dyDescent="0.2">
      <c r="A25812" t="s">
        <v>41173</v>
      </c>
      <c r="B25812" t="s">
        <v>26663</v>
      </c>
      <c r="C25812" t="s">
        <v>68</v>
      </c>
      <c r="D25812" t="s">
        <v>14</v>
      </c>
      <c r="E25812" t="s">
        <v>658</v>
      </c>
      <c r="F25812" s="2" t="str">
        <f>HYPERLINK("http://www.otzar.org/book.asp?159676","מקנה וקנין &lt;מהדורה חדשה&gt;")</f>
        <v>מקנה וקנין &lt;מהדורה חדשה&gt;</v>
      </c>
    </row>
    <row r="25813" spans="1:6" x14ac:dyDescent="0.2">
      <c r="A25813" t="s">
        <v>41174</v>
      </c>
      <c r="B25813" t="s">
        <v>26663</v>
      </c>
      <c r="C25813" t="s">
        <v>950</v>
      </c>
      <c r="D25813" t="s">
        <v>60</v>
      </c>
      <c r="E25813" t="s">
        <v>104</v>
      </c>
      <c r="F25813" s="2" t="str">
        <f>HYPERLINK("http://www.otzar.org/book.asp?101504","מקנה וקנין")</f>
        <v>מקנה וקנין</v>
      </c>
    </row>
    <row r="25814" spans="1:6" x14ac:dyDescent="0.2">
      <c r="A25814" t="s">
        <v>41175</v>
      </c>
      <c r="B25814" t="s">
        <v>41176</v>
      </c>
      <c r="C25814" t="s">
        <v>13</v>
      </c>
      <c r="D25814" t="s">
        <v>14</v>
      </c>
      <c r="E25814" t="s">
        <v>144</v>
      </c>
      <c r="F25814" s="2" t="str">
        <f>HYPERLINK("http://www.otzar.org/book.asp?154297","מקנת אליהו")</f>
        <v>מקנת אליהו</v>
      </c>
    </row>
    <row r="25815" spans="1:6" x14ac:dyDescent="0.2">
      <c r="A25815" t="s">
        <v>41177</v>
      </c>
      <c r="B25815" t="s">
        <v>41178</v>
      </c>
      <c r="C25815" t="s">
        <v>143</v>
      </c>
      <c r="D25815" t="s">
        <v>14</v>
      </c>
      <c r="E25815" t="s">
        <v>144</v>
      </c>
      <c r="F25815" s="2" t="str">
        <f>HYPERLINK("http://www.otzar.org/book.asp?21962","מקנת חיים, חזקת חיים")</f>
        <v>מקנת חיים, חזקת חיים</v>
      </c>
    </row>
    <row r="25816" spans="1:6" x14ac:dyDescent="0.2">
      <c r="A25816" t="s">
        <v>41179</v>
      </c>
      <c r="B25816" t="s">
        <v>14673</v>
      </c>
      <c r="C25816" t="s">
        <v>143</v>
      </c>
      <c r="D25816" t="s">
        <v>14</v>
      </c>
      <c r="E25816" t="s">
        <v>144</v>
      </c>
      <c r="F25816" s="2" t="str">
        <f>HYPERLINK("http://www.otzar.org/book.asp?153577","מקנת יוסף - קנינים")</f>
        <v>מקנת יוסף - קנינים</v>
      </c>
    </row>
    <row r="25817" spans="1:6" x14ac:dyDescent="0.2">
      <c r="A25817" t="s">
        <v>41180</v>
      </c>
      <c r="B25817" t="s">
        <v>41181</v>
      </c>
      <c r="C25817" t="s">
        <v>775</v>
      </c>
      <c r="D25817" t="s">
        <v>52</v>
      </c>
      <c r="E25817" t="s">
        <v>144</v>
      </c>
      <c r="F25817" s="2" t="str">
        <f>HYPERLINK("http://www.otzar.org/book.asp?22805","מקנת כסף - עבדים")</f>
        <v>מקנת כסף - עבדים</v>
      </c>
    </row>
    <row r="25818" spans="1:6" x14ac:dyDescent="0.2">
      <c r="A25818" t="s">
        <v>41182</v>
      </c>
      <c r="B25818" t="s">
        <v>41183</v>
      </c>
      <c r="C25818" t="s">
        <v>133</v>
      </c>
      <c r="D25818" t="s">
        <v>52</v>
      </c>
      <c r="E25818" t="s">
        <v>104</v>
      </c>
      <c r="F25818" s="2" t="str">
        <f>HYPERLINK("http://www.otzar.org/book.asp?170025","מקצה הארץ - קו התאריך בהלכה")</f>
        <v>מקצה הארץ - קו התאריך בהלכה</v>
      </c>
    </row>
    <row r="25819" spans="1:6" x14ac:dyDescent="0.2">
      <c r="A25819" t="s">
        <v>41184</v>
      </c>
      <c r="B25819" t="s">
        <v>5253</v>
      </c>
      <c r="C25819" t="s">
        <v>146</v>
      </c>
      <c r="D25819" t="s">
        <v>486</v>
      </c>
      <c r="E25819" t="s">
        <v>172</v>
      </c>
      <c r="F25819" s="2" t="str">
        <f>HYPERLINK("http://www.otzar.org/book.asp?142046","מקצוע בתורה &lt;מהדורה חדשה&gt; - 3 כר'")</f>
        <v>מקצוע בתורה &lt;מהדורה חדשה&gt; - 3 כר'</v>
      </c>
    </row>
    <row r="25820" spans="1:6" x14ac:dyDescent="0.2">
      <c r="A25820" t="s">
        <v>41185</v>
      </c>
      <c r="B25820" t="s">
        <v>5253</v>
      </c>
      <c r="C25820" t="s">
        <v>1335</v>
      </c>
      <c r="D25820" t="s">
        <v>225</v>
      </c>
      <c r="E25820" t="s">
        <v>172</v>
      </c>
      <c r="F25820" s="2" t="str">
        <f>HYPERLINK("http://www.otzar.org/book.asp?101167","מקצוע בתורה - 3 כר'")</f>
        <v>מקצוע בתורה - 3 כר'</v>
      </c>
    </row>
    <row r="25821" spans="1:6" x14ac:dyDescent="0.2">
      <c r="A25821" t="s">
        <v>41186</v>
      </c>
      <c r="B25821" t="s">
        <v>41187</v>
      </c>
      <c r="C25821" t="s">
        <v>1811</v>
      </c>
      <c r="D25821" t="s">
        <v>52</v>
      </c>
      <c r="E25821" t="s">
        <v>140</v>
      </c>
      <c r="F25821" s="2" t="str">
        <f>HYPERLINK("http://www.otzar.org/book.asp?169029","מקצת מאמרי קודש על סדר המועדים")</f>
        <v>מקצת מאמרי קודש על סדר המועדים</v>
      </c>
    </row>
    <row r="25822" spans="1:6" x14ac:dyDescent="0.2">
      <c r="A25822" t="s">
        <v>41188</v>
      </c>
      <c r="B25822" t="s">
        <v>9510</v>
      </c>
      <c r="C25822" t="s">
        <v>87</v>
      </c>
      <c r="D25822" t="s">
        <v>14</v>
      </c>
      <c r="E25822" t="s">
        <v>158</v>
      </c>
      <c r="F25822" s="2" t="str">
        <f>HYPERLINK("http://www.otzar.org/book.asp?167447","מקרא בכורים")</f>
        <v>מקרא בכורים</v>
      </c>
    </row>
    <row r="25823" spans="1:6" x14ac:dyDescent="0.2">
      <c r="A25823" t="s">
        <v>41189</v>
      </c>
      <c r="B25823" t="s">
        <v>41190</v>
      </c>
      <c r="C25823" t="s">
        <v>366</v>
      </c>
      <c r="D25823" t="s">
        <v>21</v>
      </c>
      <c r="E25823" t="s">
        <v>158</v>
      </c>
      <c r="F25823" s="2" t="str">
        <f>HYPERLINK("http://www.otzar.org/book.asp?603919","מקרא העדה - 6 כר'")</f>
        <v>מקרא העדה - 6 כר'</v>
      </c>
    </row>
    <row r="25824" spans="1:6" x14ac:dyDescent="0.2">
      <c r="A25824" t="s">
        <v>41191</v>
      </c>
      <c r="B25824" t="s">
        <v>41192</v>
      </c>
      <c r="C25824" t="s">
        <v>41193</v>
      </c>
      <c r="D25824" t="s">
        <v>27</v>
      </c>
      <c r="E25824" t="s">
        <v>579</v>
      </c>
      <c r="F25824" s="2" t="str">
        <f>HYPERLINK("http://www.otzar.org/book.asp?14554","מקרא ומדרשו - 2 כר'")</f>
        <v>מקרא ומדרשו - 2 כר'</v>
      </c>
    </row>
    <row r="25825" spans="1:6" x14ac:dyDescent="0.2">
      <c r="A25825" t="s">
        <v>41194</v>
      </c>
      <c r="B25825" t="s">
        <v>31562</v>
      </c>
      <c r="C25825" t="s">
        <v>581</v>
      </c>
      <c r="D25825" t="s">
        <v>30</v>
      </c>
      <c r="E25825" t="s">
        <v>158</v>
      </c>
      <c r="F25825" s="2" t="str">
        <f>HYPERLINK("http://www.otzar.org/book.asp?103547","מקרא ומסרת")</f>
        <v>מקרא ומסרת</v>
      </c>
    </row>
    <row r="25826" spans="1:6" x14ac:dyDescent="0.2">
      <c r="A25826" t="s">
        <v>41195</v>
      </c>
      <c r="B25826" t="s">
        <v>41196</v>
      </c>
      <c r="C25826" t="s">
        <v>151</v>
      </c>
      <c r="D25826" t="s">
        <v>14</v>
      </c>
      <c r="E25826" t="s">
        <v>158</v>
      </c>
      <c r="F25826" s="2" t="str">
        <f>HYPERLINK("http://www.otzar.org/book.asp?611353","מקרא מבואר")</f>
        <v>מקרא מבואר</v>
      </c>
    </row>
    <row r="25827" spans="1:6" x14ac:dyDescent="0.2">
      <c r="A25827" t="s">
        <v>41197</v>
      </c>
      <c r="B25827" t="s">
        <v>41198</v>
      </c>
      <c r="C25827" t="s">
        <v>462</v>
      </c>
      <c r="D25827" t="s">
        <v>14</v>
      </c>
      <c r="E25827" t="s">
        <v>158</v>
      </c>
      <c r="F25827" s="2" t="str">
        <f>HYPERLINK("http://www.otzar.org/book.asp?148533","מקרא מפורש &lt;תפסיר&gt; - 5 כר'")</f>
        <v>מקרא מפורש &lt;תפסיר&gt; - 5 כר'</v>
      </c>
    </row>
    <row r="25828" spans="1:6" x14ac:dyDescent="0.2">
      <c r="A25828" t="s">
        <v>41199</v>
      </c>
      <c r="B25828" t="s">
        <v>41200</v>
      </c>
      <c r="C25828" t="s">
        <v>286</v>
      </c>
      <c r="D25828" t="s">
        <v>225</v>
      </c>
      <c r="E25828" t="s">
        <v>158</v>
      </c>
      <c r="F25828" s="2" t="str">
        <f>HYPERLINK("http://www.otzar.org/book.asp?101376","מקרא מפורש")</f>
        <v>מקרא מפורש</v>
      </c>
    </row>
    <row r="25829" spans="1:6" x14ac:dyDescent="0.2">
      <c r="A25829" t="s">
        <v>41201</v>
      </c>
      <c r="B25829" t="s">
        <v>41202</v>
      </c>
      <c r="C25829" t="s">
        <v>103</v>
      </c>
      <c r="D25829" t="s">
        <v>14</v>
      </c>
      <c r="E25829" t="s">
        <v>15</v>
      </c>
      <c r="F25829" s="2" t="str">
        <f>HYPERLINK("http://www.otzar.org/book.asp?52944","מקרא קדש")</f>
        <v>מקרא קדש</v>
      </c>
    </row>
    <row r="25830" spans="1:6" x14ac:dyDescent="0.2">
      <c r="A25830" t="s">
        <v>41201</v>
      </c>
      <c r="B25830" t="s">
        <v>41203</v>
      </c>
      <c r="C25830" t="s">
        <v>5308</v>
      </c>
      <c r="D25830" t="s">
        <v>1992</v>
      </c>
      <c r="E25830" t="s">
        <v>1517</v>
      </c>
      <c r="F25830" s="2" t="str">
        <f>HYPERLINK("http://www.otzar.org/book.asp?151640","מקרא קדש")</f>
        <v>מקרא קדש</v>
      </c>
    </row>
    <row r="25831" spans="1:6" x14ac:dyDescent="0.2">
      <c r="A25831" t="s">
        <v>41201</v>
      </c>
      <c r="B25831" t="s">
        <v>41204</v>
      </c>
      <c r="C25831" t="s">
        <v>176</v>
      </c>
      <c r="D25831" t="s">
        <v>21</v>
      </c>
      <c r="F25831" s="2" t="str">
        <f>HYPERLINK("http://www.otzar.org/book.asp?197178","מקרא קדש")</f>
        <v>מקרא קדש</v>
      </c>
    </row>
    <row r="25832" spans="1:6" x14ac:dyDescent="0.2">
      <c r="A25832" t="s">
        <v>41205</v>
      </c>
      <c r="B25832" t="s">
        <v>5732</v>
      </c>
      <c r="C25832" t="s">
        <v>496</v>
      </c>
      <c r="D25832" t="s">
        <v>691</v>
      </c>
      <c r="E25832" t="s">
        <v>15</v>
      </c>
      <c r="F25832" s="2" t="str">
        <f>HYPERLINK("http://www.otzar.org/book.asp?149200","מקרא קודש")</f>
        <v>מקרא קודש</v>
      </c>
    </row>
    <row r="25833" spans="1:6" x14ac:dyDescent="0.2">
      <c r="A25833" t="s">
        <v>41205</v>
      </c>
      <c r="B25833" t="s">
        <v>5810</v>
      </c>
      <c r="C25833" t="s">
        <v>854</v>
      </c>
      <c r="D25833" t="s">
        <v>352</v>
      </c>
      <c r="E25833" t="s">
        <v>104</v>
      </c>
      <c r="F25833" s="2" t="str">
        <f>HYPERLINK("http://www.otzar.org/book.asp?108359","מקרא קודש")</f>
        <v>מקרא קודש</v>
      </c>
    </row>
    <row r="25834" spans="1:6" x14ac:dyDescent="0.2">
      <c r="A25834" t="s">
        <v>41205</v>
      </c>
      <c r="B25834" t="s">
        <v>2396</v>
      </c>
      <c r="C25834" t="s">
        <v>103</v>
      </c>
      <c r="D25834" t="s">
        <v>1076</v>
      </c>
      <c r="E25834" t="s">
        <v>579</v>
      </c>
      <c r="F25834" s="2" t="str">
        <f>HYPERLINK("http://www.otzar.org/book.asp?22917","מקרא קודש")</f>
        <v>מקרא קודש</v>
      </c>
    </row>
    <row r="25835" spans="1:6" x14ac:dyDescent="0.2">
      <c r="A25835" t="s">
        <v>41206</v>
      </c>
      <c r="B25835" t="s">
        <v>28977</v>
      </c>
      <c r="C25835" t="s">
        <v>71</v>
      </c>
      <c r="D25835" t="s">
        <v>90</v>
      </c>
      <c r="E25835" t="s">
        <v>158</v>
      </c>
      <c r="F25835" s="2" t="str">
        <f>HYPERLINK("http://www.otzar.org/book.asp?52296","מקראות גדולות &lt;יין הטוב&gt; - 2 כר'")</f>
        <v>מקראות גדולות &lt;יין הטוב&gt; - 2 כר'</v>
      </c>
    </row>
    <row r="25836" spans="1:6" x14ac:dyDescent="0.2">
      <c r="A25836" t="s">
        <v>41207</v>
      </c>
      <c r="B25836" t="s">
        <v>17846</v>
      </c>
      <c r="C25836" t="s">
        <v>133</v>
      </c>
      <c r="D25836" t="s">
        <v>14</v>
      </c>
      <c r="E25836" t="s">
        <v>158</v>
      </c>
      <c r="F25836" s="2" t="str">
        <f>HYPERLINK("http://www.otzar.org/book.asp?172584","מקראות גדולות &lt;החוט המשולש&gt; - שמות")</f>
        <v>מקראות גדולות &lt;החוט המשולש&gt; - שמות</v>
      </c>
    </row>
    <row r="25837" spans="1:6" x14ac:dyDescent="0.2">
      <c r="A25837" t="s">
        <v>41208</v>
      </c>
      <c r="B25837" t="s">
        <v>19397</v>
      </c>
      <c r="C25837" t="s">
        <v>180</v>
      </c>
      <c r="D25837" t="s">
        <v>14</v>
      </c>
      <c r="E25837" t="s">
        <v>158</v>
      </c>
      <c r="F25837" s="2" t="str">
        <f>HYPERLINK("http://www.otzar.org/book.asp?150092","מקראות גדולות &lt;רב פנינים&gt; - 5 כר'")</f>
        <v>מקראות גדולות &lt;רב פנינים&gt; - 5 כר'</v>
      </c>
    </row>
    <row r="25838" spans="1:6" x14ac:dyDescent="0.2">
      <c r="A25838" t="s">
        <v>41209</v>
      </c>
      <c r="B25838" t="s">
        <v>31695</v>
      </c>
      <c r="C25838" t="s">
        <v>41210</v>
      </c>
      <c r="D25838" t="s">
        <v>283</v>
      </c>
      <c r="E25838" t="s">
        <v>158</v>
      </c>
      <c r="F25838" s="2" t="str">
        <f>HYPERLINK("http://www.otzar.org/book.asp?153445","מקראות גדולות &lt;ל""ב פירושים&gt; - 7 כר'")</f>
        <v>מקראות גדולות &lt;ל"ב פירושים&gt; - 7 כר'</v>
      </c>
    </row>
    <row r="25839" spans="1:6" x14ac:dyDescent="0.2">
      <c r="A25839" t="s">
        <v>41211</v>
      </c>
      <c r="B25839" t="s">
        <v>41212</v>
      </c>
      <c r="C25839" t="s">
        <v>1036</v>
      </c>
      <c r="D25839" t="s">
        <v>2373</v>
      </c>
      <c r="E25839" t="s">
        <v>158</v>
      </c>
      <c r="F25839" s="2" t="str">
        <f>HYPERLINK("http://www.otzar.org/book.asp?166391","מקראות גדולות &lt;נטר&gt; - 5 כר'")</f>
        <v>מקראות גדולות &lt;נטר&gt; - 5 כר'</v>
      </c>
    </row>
    <row r="25840" spans="1:6" x14ac:dyDescent="0.2">
      <c r="A25840" t="s">
        <v>41213</v>
      </c>
      <c r="B25840" t="s">
        <v>41214</v>
      </c>
      <c r="C25840" t="s">
        <v>41215</v>
      </c>
      <c r="D25840" t="s">
        <v>726</v>
      </c>
      <c r="E25840" t="s">
        <v>158</v>
      </c>
      <c r="F25840" s="2" t="str">
        <f>HYPERLINK("http://www.otzar.org/book.asp?150200","מקראות גדולות &lt;נ""ך&gt; עם ח""י פירושים - 10 כר'")</f>
        <v>מקראות גדולות &lt;נ"ך&gt; עם ח"י פירושים - 10 כר'</v>
      </c>
    </row>
    <row r="25841" spans="1:6" x14ac:dyDescent="0.2">
      <c r="A25841" t="s">
        <v>41216</v>
      </c>
      <c r="B25841" t="s">
        <v>41217</v>
      </c>
      <c r="C25841" t="s">
        <v>496</v>
      </c>
      <c r="D25841" t="s">
        <v>267</v>
      </c>
      <c r="E25841" t="s">
        <v>158</v>
      </c>
      <c r="F25841" s="2" t="str">
        <f>HYPERLINK("http://www.otzar.org/book.asp?8799","מקראות גדולות &lt;בית דוד&gt; - 5 כר'")</f>
        <v>מקראות גדולות &lt;בית דוד&gt; - 5 כר'</v>
      </c>
    </row>
    <row r="25842" spans="1:6" x14ac:dyDescent="0.2">
      <c r="A25842" t="s">
        <v>41218</v>
      </c>
      <c r="B25842" t="s">
        <v>41219</v>
      </c>
      <c r="C25842" t="s">
        <v>176</v>
      </c>
      <c r="D25842" t="s">
        <v>14</v>
      </c>
      <c r="E25842" t="s">
        <v>158</v>
      </c>
      <c r="F25842" s="2" t="str">
        <f>HYPERLINK("http://www.otzar.org/book.asp?22030","מקראות גדולות מאורות - 5 כר'")</f>
        <v>מקראות גדולות מאורות - 5 כר'</v>
      </c>
    </row>
    <row r="25843" spans="1:6" x14ac:dyDescent="0.2">
      <c r="A25843" t="s">
        <v>41220</v>
      </c>
      <c r="B25843" t="s">
        <v>19397</v>
      </c>
      <c r="C25843" t="s">
        <v>41221</v>
      </c>
      <c r="D25843" t="s">
        <v>32094</v>
      </c>
      <c r="E25843" t="s">
        <v>158</v>
      </c>
      <c r="F25843" s="2" t="str">
        <f>HYPERLINK("http://www.otzar.org/book.asp?196837","מקראות גדולות עם ח""י פירושים והוספות (יהושע שופטים)")</f>
        <v>מקראות גדולות עם ח"י פירושים והוספות (יהושע שופטים)</v>
      </c>
    </row>
    <row r="25844" spans="1:6" x14ac:dyDescent="0.2">
      <c r="A25844" t="s">
        <v>41222</v>
      </c>
      <c r="B25844" t="s">
        <v>19397</v>
      </c>
      <c r="C25844" t="s">
        <v>20</v>
      </c>
      <c r="D25844" t="s">
        <v>307</v>
      </c>
      <c r="E25844" t="s">
        <v>158</v>
      </c>
      <c r="F25844" s="2" t="str">
        <f>HYPERLINK("http://www.otzar.org/book.asp?5383","מקראות גדולות עם מבוא המסורה - 3 כר'")</f>
        <v>מקראות גדולות עם מבוא המסורה - 3 כר'</v>
      </c>
    </row>
    <row r="25845" spans="1:6" x14ac:dyDescent="0.2">
      <c r="A25845" t="s">
        <v>41223</v>
      </c>
      <c r="B25845" t="s">
        <v>19397</v>
      </c>
      <c r="C25845" t="s">
        <v>20</v>
      </c>
      <c r="D25845" t="s">
        <v>90</v>
      </c>
      <c r="E25845" t="s">
        <v>158</v>
      </c>
      <c r="F25845" s="2" t="str">
        <f>HYPERLINK("http://www.otzar.org/book.asp?196836","מקראות גדולות - דברים")</f>
        <v>מקראות גדולות - דברים</v>
      </c>
    </row>
    <row r="25846" spans="1:6" x14ac:dyDescent="0.2">
      <c r="A25846" t="s">
        <v>41224</v>
      </c>
      <c r="B25846" t="s">
        <v>41225</v>
      </c>
      <c r="C25846" t="s">
        <v>419</v>
      </c>
      <c r="D25846" t="s">
        <v>7468</v>
      </c>
      <c r="E25846" t="s">
        <v>158</v>
      </c>
      <c r="F25846" s="2" t="str">
        <f>HYPERLINK("http://www.otzar.org/book.asp?623442","מקראות שיש להם הכרע")</f>
        <v>מקראות שיש להם הכרע</v>
      </c>
    </row>
    <row r="25847" spans="1:6" x14ac:dyDescent="0.2">
      <c r="A25847" t="s">
        <v>41226</v>
      </c>
      <c r="B25847" t="s">
        <v>41227</v>
      </c>
      <c r="C25847" t="s">
        <v>71</v>
      </c>
      <c r="D25847" t="s">
        <v>14</v>
      </c>
      <c r="E25847" t="s">
        <v>158</v>
      </c>
      <c r="F25847" s="2" t="str">
        <f>HYPERLINK("http://www.otzar.org/book.asp?63115","מקראות תמימות - 12 כר'")</f>
        <v>מקראות תמימות - 12 כר'</v>
      </c>
    </row>
    <row r="25848" spans="1:6" x14ac:dyDescent="0.2">
      <c r="A25848" t="s">
        <v>41228</v>
      </c>
      <c r="B25848" t="s">
        <v>3057</v>
      </c>
      <c r="C25848" t="s">
        <v>843</v>
      </c>
      <c r="D25848" t="s">
        <v>27</v>
      </c>
      <c r="E25848" t="s">
        <v>158</v>
      </c>
      <c r="F25848" s="2" t="str">
        <f>HYPERLINK("http://www.otzar.org/book.asp?14294","מקראי קדש &lt;מלבי""ם&gt; - 2 כר'")</f>
        <v>מקראי קדש &lt;מלבי"ם&gt; - 2 כר'</v>
      </c>
    </row>
    <row r="25849" spans="1:6" x14ac:dyDescent="0.2">
      <c r="A25849" t="s">
        <v>41229</v>
      </c>
      <c r="B25849" t="s">
        <v>28805</v>
      </c>
      <c r="C25849" t="s">
        <v>8476</v>
      </c>
      <c r="D25849" t="s">
        <v>157</v>
      </c>
      <c r="E25849" t="s">
        <v>6295</v>
      </c>
      <c r="F25849" s="2" t="str">
        <f>HYPERLINK("http://www.otzar.org/book.asp?7717","מקראי קדש")</f>
        <v>מקראי קדש</v>
      </c>
    </row>
    <row r="25850" spans="1:6" x14ac:dyDescent="0.2">
      <c r="A25850" t="s">
        <v>41229</v>
      </c>
      <c r="B25850" t="s">
        <v>8007</v>
      </c>
      <c r="C25850" t="s">
        <v>1921</v>
      </c>
      <c r="D25850" t="s">
        <v>1490</v>
      </c>
      <c r="E25850" t="s">
        <v>37654</v>
      </c>
      <c r="F25850" s="2" t="str">
        <f>HYPERLINK("http://www.otzar.org/book.asp?63918","מקראי קדש")</f>
        <v>מקראי קדש</v>
      </c>
    </row>
    <row r="25851" spans="1:6" x14ac:dyDescent="0.2">
      <c r="A25851" t="s">
        <v>41229</v>
      </c>
      <c r="B25851" t="s">
        <v>2474</v>
      </c>
      <c r="C25851" t="s">
        <v>1844</v>
      </c>
      <c r="D25851" t="s">
        <v>267</v>
      </c>
      <c r="E25851" t="s">
        <v>15</v>
      </c>
      <c r="F25851" s="2" t="str">
        <f>HYPERLINK("http://www.otzar.org/book.asp?20264","מקראי קדש")</f>
        <v>מקראי קדש</v>
      </c>
    </row>
    <row r="25852" spans="1:6" x14ac:dyDescent="0.2">
      <c r="A25852" t="s">
        <v>41230</v>
      </c>
      <c r="B25852" t="s">
        <v>41231</v>
      </c>
      <c r="C25852" t="s">
        <v>332</v>
      </c>
      <c r="D25852" t="s">
        <v>118</v>
      </c>
      <c r="E25852" t="s">
        <v>579</v>
      </c>
      <c r="F25852" s="2" t="str">
        <f>HYPERLINK("http://www.otzar.org/book.asp?620244","מקראי קדש - חמשה חומשי תורה וקריאתם")</f>
        <v>מקראי קדש - חמשה חומשי תורה וקריאתם</v>
      </c>
    </row>
    <row r="25853" spans="1:6" x14ac:dyDescent="0.2">
      <c r="A25853" t="s">
        <v>41232</v>
      </c>
      <c r="B25853" t="s">
        <v>7415</v>
      </c>
      <c r="C25853" t="s">
        <v>99</v>
      </c>
      <c r="D25853" t="s">
        <v>691</v>
      </c>
      <c r="E25853" t="s">
        <v>10768</v>
      </c>
      <c r="F25853" s="2" t="str">
        <f>HYPERLINK("http://www.otzar.org/book.asp?147155","מקראי קודש &lt;ליקוטי נ""ך&gt;")</f>
        <v>מקראי קודש &lt;ליקוטי נ"ך&gt;</v>
      </c>
    </row>
    <row r="25854" spans="1:6" x14ac:dyDescent="0.2">
      <c r="A25854" t="s">
        <v>41233</v>
      </c>
      <c r="B25854" t="s">
        <v>16731</v>
      </c>
      <c r="C25854" t="s">
        <v>1374</v>
      </c>
      <c r="D25854" t="s">
        <v>1081</v>
      </c>
      <c r="E25854" t="s">
        <v>3567</v>
      </c>
      <c r="F25854" s="2" t="str">
        <f>HYPERLINK("http://www.otzar.org/book.asp?105810","מקראי קודש")</f>
        <v>מקראי קודש</v>
      </c>
    </row>
    <row r="25855" spans="1:6" x14ac:dyDescent="0.2">
      <c r="A25855" t="s">
        <v>41234</v>
      </c>
      <c r="B25855" t="s">
        <v>9982</v>
      </c>
      <c r="C25855" t="s">
        <v>26781</v>
      </c>
      <c r="D25855" t="s">
        <v>9</v>
      </c>
      <c r="E25855" t="s">
        <v>15</v>
      </c>
      <c r="F25855" s="2" t="str">
        <f>HYPERLINK("http://www.otzar.org/book.asp?20265","מקראי קודש - 3 כר'")</f>
        <v>מקראי קודש - 3 כר'</v>
      </c>
    </row>
    <row r="25856" spans="1:6" x14ac:dyDescent="0.2">
      <c r="A25856" t="s">
        <v>41233</v>
      </c>
      <c r="B25856" t="s">
        <v>41235</v>
      </c>
      <c r="C25856" t="s">
        <v>533</v>
      </c>
      <c r="D25856" t="s">
        <v>14</v>
      </c>
      <c r="E25856" t="s">
        <v>15</v>
      </c>
      <c r="F25856" s="2" t="str">
        <f>HYPERLINK("http://www.otzar.org/book.asp?176715","מקראי קודש")</f>
        <v>מקראי קודש</v>
      </c>
    </row>
    <row r="25857" spans="1:6" x14ac:dyDescent="0.2">
      <c r="A25857" t="s">
        <v>41236</v>
      </c>
      <c r="B25857" t="s">
        <v>41237</v>
      </c>
      <c r="C25857" t="s">
        <v>37</v>
      </c>
      <c r="D25857" t="s">
        <v>14</v>
      </c>
      <c r="E25857" t="s">
        <v>130</v>
      </c>
      <c r="F25857" s="2" t="str">
        <f>HYPERLINK("http://www.otzar.org/book.asp?180959","מקראי קודש - 7 כר'")</f>
        <v>מקראי קודש - 7 כר'</v>
      </c>
    </row>
    <row r="25858" spans="1:6" x14ac:dyDescent="0.2">
      <c r="A25858" t="s">
        <v>41238</v>
      </c>
      <c r="B25858" t="s">
        <v>41239</v>
      </c>
      <c r="C25858" t="s">
        <v>13</v>
      </c>
      <c r="D25858" t="s">
        <v>412</v>
      </c>
      <c r="E25858" t="s">
        <v>130</v>
      </c>
      <c r="F25858" s="2" t="str">
        <f>HYPERLINK("http://www.otzar.org/book.asp?179263","מקראי קודש - 2 כר'")</f>
        <v>מקראי קודש - 2 כר'</v>
      </c>
    </row>
    <row r="25859" spans="1:6" x14ac:dyDescent="0.2">
      <c r="A25859" t="s">
        <v>41240</v>
      </c>
      <c r="B25859" t="s">
        <v>41241</v>
      </c>
      <c r="F25859" s="2" t="str">
        <f>HYPERLINK("http://www.otzar.org/book.asp?630763","מקראי קודש - במדבר")</f>
        <v>מקראי קודש - במדבר</v>
      </c>
    </row>
    <row r="25860" spans="1:6" x14ac:dyDescent="0.2">
      <c r="A25860" t="s">
        <v>41233</v>
      </c>
      <c r="B25860" t="s">
        <v>8007</v>
      </c>
      <c r="C25860" t="s">
        <v>1737</v>
      </c>
      <c r="D25860" t="s">
        <v>1490</v>
      </c>
      <c r="E25860" t="s">
        <v>213</v>
      </c>
      <c r="F25860" s="2" t="str">
        <f>HYPERLINK("http://www.otzar.org/book.asp?20266","מקראי קודש")</f>
        <v>מקראי קודש</v>
      </c>
    </row>
    <row r="25861" spans="1:6" x14ac:dyDescent="0.2">
      <c r="A25861" t="s">
        <v>41234</v>
      </c>
      <c r="B25861" t="s">
        <v>3623</v>
      </c>
      <c r="C25861" t="s">
        <v>366</v>
      </c>
      <c r="D25861" t="s">
        <v>6138</v>
      </c>
      <c r="E25861" t="s">
        <v>15</v>
      </c>
      <c r="F25861" s="2" t="str">
        <f>HYPERLINK("http://www.otzar.org/book.asp?617906","מקראי קודש - 3 כר'")</f>
        <v>מקראי קודש - 3 כר'</v>
      </c>
    </row>
    <row r="25862" spans="1:6" x14ac:dyDescent="0.2">
      <c r="A25862" t="s">
        <v>41233</v>
      </c>
      <c r="B25862" t="s">
        <v>41242</v>
      </c>
      <c r="C25862" t="s">
        <v>503</v>
      </c>
      <c r="D25862" t="s">
        <v>283</v>
      </c>
      <c r="E25862" t="s">
        <v>714</v>
      </c>
      <c r="F25862" s="2" t="str">
        <f>HYPERLINK("http://www.otzar.org/book.asp?100926","מקראי קודש")</f>
        <v>מקראי קודש</v>
      </c>
    </row>
    <row r="25863" spans="1:6" x14ac:dyDescent="0.2">
      <c r="A25863" t="s">
        <v>41233</v>
      </c>
      <c r="B25863" t="s">
        <v>41243</v>
      </c>
      <c r="C25863" t="s">
        <v>1284</v>
      </c>
      <c r="D25863" t="s">
        <v>592</v>
      </c>
      <c r="E25863" t="s">
        <v>219</v>
      </c>
      <c r="F25863" s="2" t="str">
        <f>HYPERLINK("http://www.otzar.org/book.asp?626084","מקראי קודש")</f>
        <v>מקראי קודש</v>
      </c>
    </row>
    <row r="25864" spans="1:6" x14ac:dyDescent="0.2">
      <c r="A25864" t="s">
        <v>41244</v>
      </c>
      <c r="B25864" t="s">
        <v>41245</v>
      </c>
      <c r="C25864" t="s">
        <v>31759</v>
      </c>
      <c r="D25864" t="s">
        <v>340</v>
      </c>
      <c r="E25864" t="s">
        <v>104</v>
      </c>
      <c r="F25864" s="2" t="str">
        <f>HYPERLINK("http://www.otzar.org/book.asp?53450","מקרי דרדקי")</f>
        <v>מקרי דרדקי</v>
      </c>
    </row>
    <row r="25865" spans="1:6" x14ac:dyDescent="0.2">
      <c r="A25865" t="s">
        <v>41246</v>
      </c>
      <c r="B25865" t="s">
        <v>1029</v>
      </c>
      <c r="C25865" t="s">
        <v>41247</v>
      </c>
      <c r="D25865" t="s">
        <v>267</v>
      </c>
      <c r="E25865" t="s">
        <v>2915</v>
      </c>
      <c r="F25865" s="2" t="str">
        <f>HYPERLINK("http://www.otzar.org/book.asp?101375","מקרי דרדקי - 2 כר'")</f>
        <v>מקרי דרדקי - 2 כר'</v>
      </c>
    </row>
    <row r="25866" spans="1:6" x14ac:dyDescent="0.2">
      <c r="A25866" t="s">
        <v>41248</v>
      </c>
      <c r="B25866" t="s">
        <v>16102</v>
      </c>
      <c r="C25866" t="s">
        <v>37</v>
      </c>
      <c r="D25866" t="s">
        <v>14</v>
      </c>
      <c r="F25866" s="2" t="str">
        <f>HYPERLINK("http://www.otzar.org/book.asp?182564","מקררים ומקפיאים בשבת")</f>
        <v>מקררים ומקפיאים בשבת</v>
      </c>
    </row>
    <row r="25867" spans="1:6" x14ac:dyDescent="0.2">
      <c r="A25867" t="s">
        <v>41249</v>
      </c>
      <c r="B25867" t="s">
        <v>686</v>
      </c>
      <c r="D25867" t="s">
        <v>52</v>
      </c>
      <c r="E25867" t="s">
        <v>41250</v>
      </c>
      <c r="F25867" s="2" t="str">
        <f>HYPERLINK("http://www.otzar.org/book.asp?621702","מקשה זהב")</f>
        <v>מקשה זהב</v>
      </c>
    </row>
    <row r="25868" spans="1:6" x14ac:dyDescent="0.2">
      <c r="A25868" t="s">
        <v>41249</v>
      </c>
      <c r="B25868" t="s">
        <v>33147</v>
      </c>
      <c r="C25868" t="s">
        <v>4462</v>
      </c>
      <c r="D25868" t="s">
        <v>6801</v>
      </c>
      <c r="E25868" t="s">
        <v>463</v>
      </c>
      <c r="F25868" s="2" t="str">
        <f>HYPERLINK("http://www.otzar.org/book.asp?141054","מקשה זהב")</f>
        <v>מקשה זהב</v>
      </c>
    </row>
    <row r="25869" spans="1:6" x14ac:dyDescent="0.2">
      <c r="A25869" t="s">
        <v>41251</v>
      </c>
      <c r="B25869" t="s">
        <v>41252</v>
      </c>
      <c r="C25869" t="s">
        <v>23</v>
      </c>
      <c r="D25869" t="s">
        <v>90</v>
      </c>
      <c r="F25869" s="2" t="str">
        <f>HYPERLINK("http://www.otzar.org/book.asp?199452","מר דרור &lt;מהדורה חדשה&gt; - ע""ז")</f>
        <v>מר דרור &lt;מהדורה חדשה&gt; - ע"ז</v>
      </c>
    </row>
    <row r="25870" spans="1:6" x14ac:dyDescent="0.2">
      <c r="A25870" t="s">
        <v>41253</v>
      </c>
      <c r="B25870" t="s">
        <v>7235</v>
      </c>
      <c r="E25870" t="s">
        <v>158</v>
      </c>
      <c r="F25870" s="2" t="str">
        <f>HYPERLINK("http://www.otzar.org/book.asp?628209","מר דרור חמש מאות")</f>
        <v>מר דרור חמש מאות</v>
      </c>
    </row>
    <row r="25871" spans="1:6" x14ac:dyDescent="0.2">
      <c r="A25871" t="s">
        <v>41254</v>
      </c>
      <c r="B25871" t="s">
        <v>41255</v>
      </c>
      <c r="C25871" t="s">
        <v>37</v>
      </c>
      <c r="D25871" t="s">
        <v>152</v>
      </c>
      <c r="E25871" t="s">
        <v>246</v>
      </c>
      <c r="F25871" s="2" t="str">
        <f>HYPERLINK("http://www.otzar.org/book.asp?181888","מר דרור - מועדים")</f>
        <v>מר דרור - מועדים</v>
      </c>
    </row>
    <row r="25872" spans="1:6" x14ac:dyDescent="0.2">
      <c r="A25872" t="s">
        <v>41256</v>
      </c>
      <c r="B25872" t="s">
        <v>41257</v>
      </c>
      <c r="C25872" t="s">
        <v>362</v>
      </c>
      <c r="D25872" t="s">
        <v>756</v>
      </c>
      <c r="E25872" t="s">
        <v>529</v>
      </c>
      <c r="F25872" s="2" t="str">
        <f>HYPERLINK("http://www.otzar.org/book.asp?101139","מר דרור")</f>
        <v>מר דרור</v>
      </c>
    </row>
    <row r="25873" spans="1:6" x14ac:dyDescent="0.2">
      <c r="A25873" t="s">
        <v>41256</v>
      </c>
      <c r="B25873" t="s">
        <v>41252</v>
      </c>
      <c r="C25873" t="s">
        <v>7364</v>
      </c>
      <c r="D25873" t="s">
        <v>157</v>
      </c>
      <c r="E25873" t="s">
        <v>144</v>
      </c>
      <c r="F25873" s="2" t="str">
        <f>HYPERLINK("http://www.otzar.org/book.asp?152014","מר דרור")</f>
        <v>מר דרור</v>
      </c>
    </row>
    <row r="25874" spans="1:6" x14ac:dyDescent="0.2">
      <c r="A25874" t="s">
        <v>41258</v>
      </c>
      <c r="B25874" t="s">
        <v>7922</v>
      </c>
      <c r="C25874" t="s">
        <v>1418</v>
      </c>
      <c r="D25874" t="s">
        <v>56</v>
      </c>
      <c r="E25874" t="s">
        <v>674</v>
      </c>
      <c r="F25874" s="2" t="str">
        <f>HYPERLINK("http://www.otzar.org/book.asp?151636","מר ואהלות")</f>
        <v>מר ואהלות</v>
      </c>
    </row>
    <row r="25875" spans="1:6" x14ac:dyDescent="0.2">
      <c r="A25875" t="s">
        <v>41258</v>
      </c>
      <c r="B25875" t="s">
        <v>2260</v>
      </c>
      <c r="C25875" t="s">
        <v>306</v>
      </c>
      <c r="D25875" t="s">
        <v>212</v>
      </c>
      <c r="E25875" t="s">
        <v>154</v>
      </c>
      <c r="F25875" s="2" t="str">
        <f>HYPERLINK("http://www.otzar.org/book.asp?152309","מר ואהלות")</f>
        <v>מר ואהלות</v>
      </c>
    </row>
    <row r="25876" spans="1:6" x14ac:dyDescent="0.2">
      <c r="A25876" t="s">
        <v>41259</v>
      </c>
      <c r="B25876" t="s">
        <v>24993</v>
      </c>
      <c r="C25876" t="s">
        <v>111</v>
      </c>
      <c r="D25876" t="s">
        <v>14</v>
      </c>
      <c r="E25876" t="s">
        <v>144</v>
      </c>
      <c r="F25876" s="2" t="str">
        <f>HYPERLINK("http://www.otzar.org/book.asp?623204","מר קשישא השלם - ז, ח")</f>
        <v>מר קשישא השלם - ז, ח</v>
      </c>
    </row>
    <row r="25877" spans="1:6" x14ac:dyDescent="0.2">
      <c r="A25877" t="s">
        <v>41260</v>
      </c>
      <c r="B25877" t="s">
        <v>41261</v>
      </c>
      <c r="C25877" t="s">
        <v>427</v>
      </c>
      <c r="D25877" t="s">
        <v>14</v>
      </c>
      <c r="E25877" t="s">
        <v>119</v>
      </c>
      <c r="F25877" s="2" t="str">
        <f>HYPERLINK("http://www.otzar.org/book.asp?151862","מרא דארעא ישראל - 3 כר'")</f>
        <v>מרא דארעא ישראל - 3 כר'</v>
      </c>
    </row>
    <row r="25878" spans="1:6" x14ac:dyDescent="0.2">
      <c r="A25878" t="s">
        <v>41262</v>
      </c>
      <c r="B25878" t="s">
        <v>39018</v>
      </c>
      <c r="C25878" t="s">
        <v>17</v>
      </c>
      <c r="D25878" t="s">
        <v>14</v>
      </c>
      <c r="E25878" t="s">
        <v>15</v>
      </c>
      <c r="F25878" s="2" t="str">
        <f>HYPERLINK("http://www.otzar.org/book.asp?193519","מרא דשמעתתא - עטרת יהושע")</f>
        <v>מרא דשמעתתא - עטרת יהושע</v>
      </c>
    </row>
    <row r="25879" spans="1:6" x14ac:dyDescent="0.2">
      <c r="A25879" t="s">
        <v>41263</v>
      </c>
      <c r="B25879" t="s">
        <v>11943</v>
      </c>
      <c r="C25879" t="s">
        <v>1481</v>
      </c>
      <c r="D25879" t="s">
        <v>212</v>
      </c>
      <c r="E25879" t="s">
        <v>32929</v>
      </c>
      <c r="F25879" s="2" t="str">
        <f>HYPERLINK("http://www.otzar.org/book.asp?103900","מרא""ה האופנים")</f>
        <v>מרא"ה האופנים</v>
      </c>
    </row>
    <row r="25880" spans="1:6" x14ac:dyDescent="0.2">
      <c r="A25880" t="s">
        <v>41264</v>
      </c>
      <c r="B25880" t="s">
        <v>41265</v>
      </c>
      <c r="C25880" t="s">
        <v>103</v>
      </c>
      <c r="D25880" t="s">
        <v>657</v>
      </c>
      <c r="E25880" t="s">
        <v>18910</v>
      </c>
      <c r="F25880" s="2" t="str">
        <f>HYPERLINK("http://www.otzar.org/book.asp?64330","מראה אהרן")</f>
        <v>מראה אהרן</v>
      </c>
    </row>
    <row r="25881" spans="1:6" x14ac:dyDescent="0.2">
      <c r="A25881" t="s">
        <v>41266</v>
      </c>
      <c r="B25881" t="s">
        <v>206</v>
      </c>
      <c r="C25881" t="s">
        <v>111</v>
      </c>
      <c r="D25881" t="s">
        <v>52</v>
      </c>
      <c r="E25881" t="s">
        <v>144</v>
      </c>
      <c r="F25881" s="2" t="str">
        <f>HYPERLINK("http://www.otzar.org/book.asp?623318","מראה אור - 3 כר'")</f>
        <v>מראה אור - 3 כר'</v>
      </c>
    </row>
    <row r="25882" spans="1:6" x14ac:dyDescent="0.2">
      <c r="A25882" t="s">
        <v>41267</v>
      </c>
      <c r="B25882" t="s">
        <v>41268</v>
      </c>
      <c r="C25882" t="s">
        <v>1570</v>
      </c>
      <c r="D25882" t="s">
        <v>14</v>
      </c>
      <c r="E25882" t="s">
        <v>104</v>
      </c>
      <c r="F25882" s="2" t="str">
        <f>HYPERLINK("http://www.otzar.org/book.asp?10270","מראה איש - 2 כר'")</f>
        <v>מראה איש - 2 כר'</v>
      </c>
    </row>
    <row r="25883" spans="1:6" x14ac:dyDescent="0.2">
      <c r="A25883" t="s">
        <v>41269</v>
      </c>
      <c r="B25883" t="s">
        <v>41270</v>
      </c>
      <c r="C25883" t="s">
        <v>37</v>
      </c>
      <c r="D25883" t="s">
        <v>14</v>
      </c>
      <c r="E25883" t="s">
        <v>104</v>
      </c>
      <c r="F25883" s="2" t="str">
        <f>HYPERLINK("http://www.otzar.org/book.asp?181882","מראה אליהו - 2 כר'")</f>
        <v>מראה אליהו - 2 כר'</v>
      </c>
    </row>
    <row r="25884" spans="1:6" x14ac:dyDescent="0.2">
      <c r="A25884" t="s">
        <v>41271</v>
      </c>
      <c r="B25884" t="s">
        <v>41272</v>
      </c>
      <c r="C25884" t="s">
        <v>23</v>
      </c>
      <c r="D25884" t="s">
        <v>52</v>
      </c>
      <c r="E25884" t="s">
        <v>15</v>
      </c>
      <c r="F25884" s="2" t="str">
        <f>HYPERLINK("http://www.otzar.org/book.asp?603126","מראה אליהו - 6 כר'")</f>
        <v>מראה אליהו - 6 כר'</v>
      </c>
    </row>
    <row r="25885" spans="1:6" x14ac:dyDescent="0.2">
      <c r="A25885" t="s">
        <v>41273</v>
      </c>
      <c r="B25885" t="s">
        <v>41274</v>
      </c>
      <c r="C25885" t="s">
        <v>146</v>
      </c>
      <c r="D25885" t="s">
        <v>14</v>
      </c>
      <c r="E25885" t="s">
        <v>674</v>
      </c>
      <c r="F25885" s="2" t="str">
        <f>HYPERLINK("http://www.otzar.org/book.asp?142073","מראה אפרים")</f>
        <v>מראה אפרים</v>
      </c>
    </row>
    <row r="25886" spans="1:6" x14ac:dyDescent="0.2">
      <c r="A25886" t="s">
        <v>41275</v>
      </c>
      <c r="B25886" t="s">
        <v>41276</v>
      </c>
      <c r="C25886" t="s">
        <v>11127</v>
      </c>
      <c r="D25886" t="s">
        <v>280</v>
      </c>
      <c r="E25886" t="s">
        <v>144</v>
      </c>
      <c r="F25886" s="2" t="str">
        <f>HYPERLINK("http://www.otzar.org/book.asp?101505","מראה אש")</f>
        <v>מראה אש</v>
      </c>
    </row>
    <row r="25887" spans="1:6" x14ac:dyDescent="0.2">
      <c r="A25887" t="s">
        <v>41277</v>
      </c>
      <c r="B25887" t="s">
        <v>9405</v>
      </c>
      <c r="C25887" t="s">
        <v>1954</v>
      </c>
      <c r="D25887" t="s">
        <v>986</v>
      </c>
      <c r="E25887" t="s">
        <v>1097</v>
      </c>
      <c r="F25887" s="2" t="str">
        <f>HYPERLINK("http://www.otzar.org/book.asp?13730","מראה אש - 3 כר'")</f>
        <v>מראה אש - 3 כר'</v>
      </c>
    </row>
    <row r="25888" spans="1:6" x14ac:dyDescent="0.2">
      <c r="A25888" t="s">
        <v>41278</v>
      </c>
      <c r="B25888" t="s">
        <v>41279</v>
      </c>
      <c r="C25888" t="s">
        <v>103</v>
      </c>
      <c r="D25888" t="s">
        <v>52</v>
      </c>
      <c r="E25888" t="s">
        <v>10</v>
      </c>
      <c r="F25888" s="2" t="str">
        <f>HYPERLINK("http://www.otzar.org/book.asp?62043","מראה דבר - 5 כר'")</f>
        <v>מראה דבר - 5 כר'</v>
      </c>
    </row>
    <row r="25889" spans="1:6" x14ac:dyDescent="0.2">
      <c r="A25889" t="s">
        <v>41280</v>
      </c>
      <c r="B25889" t="s">
        <v>41281</v>
      </c>
      <c r="C25889" t="s">
        <v>23</v>
      </c>
      <c r="D25889" t="s">
        <v>486</v>
      </c>
      <c r="F25889" s="2" t="str">
        <f>HYPERLINK("http://www.otzar.org/book.asp?617654","מראה דעה - תערבות")</f>
        <v>מראה דעה - תערבות</v>
      </c>
    </row>
    <row r="25890" spans="1:6" x14ac:dyDescent="0.2">
      <c r="A25890" t="s">
        <v>41282</v>
      </c>
      <c r="B25890" t="s">
        <v>41283</v>
      </c>
      <c r="C25890" t="s">
        <v>244</v>
      </c>
      <c r="D25890" t="s">
        <v>14</v>
      </c>
      <c r="F25890" s="2" t="str">
        <f>HYPERLINK("http://www.otzar.org/book.asp?632827","מראה דעה")</f>
        <v>מראה דעה</v>
      </c>
    </row>
    <row r="25891" spans="1:6" x14ac:dyDescent="0.2">
      <c r="A25891" t="s">
        <v>41284</v>
      </c>
      <c r="B25891" t="s">
        <v>1791</v>
      </c>
      <c r="C25891" t="s">
        <v>176</v>
      </c>
      <c r="D25891" t="s">
        <v>14</v>
      </c>
      <c r="E25891" t="s">
        <v>314</v>
      </c>
      <c r="F25891" s="2" t="str">
        <f>HYPERLINK("http://www.otzar.org/book.asp?106021","מראה האדם")</f>
        <v>מראה האדם</v>
      </c>
    </row>
    <row r="25892" spans="1:6" x14ac:dyDescent="0.2">
      <c r="A25892" t="s">
        <v>41285</v>
      </c>
      <c r="B25892" t="s">
        <v>41286</v>
      </c>
      <c r="C25892" t="s">
        <v>5308</v>
      </c>
      <c r="D25892" t="s">
        <v>76</v>
      </c>
      <c r="F25892" s="2" t="str">
        <f>HYPERLINK("http://www.otzar.org/book.asp?151641","מראה האופנים")</f>
        <v>מראה האופנים</v>
      </c>
    </row>
    <row r="25893" spans="1:6" x14ac:dyDescent="0.2">
      <c r="A25893" t="s">
        <v>41287</v>
      </c>
      <c r="B25893" t="s">
        <v>41288</v>
      </c>
      <c r="C25893" t="s">
        <v>51</v>
      </c>
      <c r="D25893" t="s">
        <v>52</v>
      </c>
      <c r="E25893" t="s">
        <v>158</v>
      </c>
      <c r="F25893" s="2" t="str">
        <f>HYPERLINK("http://www.otzar.org/book.asp?153469","מראה הבזק - 2 כר'")</f>
        <v>מראה הבזק - 2 כר'</v>
      </c>
    </row>
    <row r="25894" spans="1:6" x14ac:dyDescent="0.2">
      <c r="A25894" t="s">
        <v>41289</v>
      </c>
      <c r="B25894" t="s">
        <v>41290</v>
      </c>
      <c r="C25894" t="s">
        <v>41291</v>
      </c>
      <c r="D25894" t="s">
        <v>76</v>
      </c>
      <c r="E25894" t="s">
        <v>234</v>
      </c>
      <c r="F25894" s="2" t="str">
        <f>HYPERLINK("http://www.otzar.org/book.asp?105476","מראה הגדול - 2 כר'")</f>
        <v>מראה הגדול - 2 כר'</v>
      </c>
    </row>
    <row r="25895" spans="1:6" x14ac:dyDescent="0.2">
      <c r="A25895" t="s">
        <v>41292</v>
      </c>
      <c r="B25895" t="s">
        <v>41293</v>
      </c>
      <c r="C25895" t="s">
        <v>103</v>
      </c>
      <c r="D25895" t="s">
        <v>14</v>
      </c>
      <c r="E25895" t="s">
        <v>119</v>
      </c>
      <c r="F25895" s="2" t="str">
        <f>HYPERLINK("http://www.otzar.org/book.asp?144998","מראה הדשא")</f>
        <v>מראה הדשא</v>
      </c>
    </row>
    <row r="25896" spans="1:6" x14ac:dyDescent="0.2">
      <c r="A25896" t="s">
        <v>41294</v>
      </c>
      <c r="B25896" t="s">
        <v>41295</v>
      </c>
      <c r="C25896" t="s">
        <v>160</v>
      </c>
      <c r="D25896" t="s">
        <v>9</v>
      </c>
      <c r="E25896" t="s">
        <v>621</v>
      </c>
      <c r="F25896" s="2" t="str">
        <f>HYPERLINK("http://www.otzar.org/book.asp?10487","מראה החודש")</f>
        <v>מראה החודש</v>
      </c>
    </row>
    <row r="25897" spans="1:6" x14ac:dyDescent="0.2">
      <c r="A25897" t="s">
        <v>41296</v>
      </c>
      <c r="B25897" t="s">
        <v>8353</v>
      </c>
      <c r="C25897" t="s">
        <v>111</v>
      </c>
      <c r="D25897" t="s">
        <v>367</v>
      </c>
      <c r="E25897" t="s">
        <v>579</v>
      </c>
      <c r="F25897" s="2" t="str">
        <f>HYPERLINK("http://www.otzar.org/book.asp?628116","מראה היכל")</f>
        <v>מראה היכל</v>
      </c>
    </row>
    <row r="25898" spans="1:6" x14ac:dyDescent="0.2">
      <c r="A25898" t="s">
        <v>41297</v>
      </c>
      <c r="B25898" t="s">
        <v>27645</v>
      </c>
      <c r="C25898" t="s">
        <v>462</v>
      </c>
      <c r="D25898" t="s">
        <v>27</v>
      </c>
      <c r="E25898" t="s">
        <v>41298</v>
      </c>
      <c r="F25898" s="2" t="str">
        <f>HYPERLINK("http://www.otzar.org/book.asp?19414","מראה הילדים")</f>
        <v>מראה הילדים</v>
      </c>
    </row>
    <row r="25899" spans="1:6" x14ac:dyDescent="0.2">
      <c r="A25899" t="s">
        <v>41299</v>
      </c>
      <c r="B25899" t="s">
        <v>41281</v>
      </c>
      <c r="C25899" t="s">
        <v>13</v>
      </c>
      <c r="D25899" t="s">
        <v>486</v>
      </c>
      <c r="E25899" t="s">
        <v>803</v>
      </c>
      <c r="F25899" s="2" t="str">
        <f>HYPERLINK("http://www.otzar.org/book.asp?623568","מראה המלאכות")</f>
        <v>מראה המלאכות</v>
      </c>
    </row>
    <row r="25900" spans="1:6" x14ac:dyDescent="0.2">
      <c r="A25900" t="s">
        <v>41299</v>
      </c>
      <c r="B25900" t="s">
        <v>41300</v>
      </c>
      <c r="C25900" t="s">
        <v>486</v>
      </c>
      <c r="D25900" t="s">
        <v>13</v>
      </c>
      <c r="F25900" s="2" t="str">
        <f>HYPERLINK("http://www.otzar.org/book.asp?620512","מראה המלאכות")</f>
        <v>מראה המלאכות</v>
      </c>
    </row>
    <row r="25901" spans="1:6" x14ac:dyDescent="0.2">
      <c r="A25901" t="s">
        <v>41301</v>
      </c>
      <c r="B25901" t="s">
        <v>41290</v>
      </c>
      <c r="C25901" t="s">
        <v>2227</v>
      </c>
      <c r="D25901" t="s">
        <v>76</v>
      </c>
      <c r="E25901" t="s">
        <v>15</v>
      </c>
      <c r="F25901" s="2" t="str">
        <f>HYPERLINK("http://www.otzar.org/book.asp?20270","מראה הנוגה")</f>
        <v>מראה הנוגה</v>
      </c>
    </row>
    <row r="25902" spans="1:6" x14ac:dyDescent="0.2">
      <c r="A25902" t="s">
        <v>41302</v>
      </c>
      <c r="B25902" t="s">
        <v>489</v>
      </c>
      <c r="C25902" t="s">
        <v>71</v>
      </c>
      <c r="D25902" t="s">
        <v>657</v>
      </c>
      <c r="E25902" t="s">
        <v>202</v>
      </c>
      <c r="F25902" s="2" t="str">
        <f>HYPERLINK("http://www.otzar.org/book.asp?63643","מראה הנרות - א")</f>
        <v>מראה הנרות - א</v>
      </c>
    </row>
    <row r="25903" spans="1:6" x14ac:dyDescent="0.2">
      <c r="A25903" t="s">
        <v>41303</v>
      </c>
      <c r="B25903" t="s">
        <v>41304</v>
      </c>
      <c r="C25903" t="s">
        <v>366</v>
      </c>
      <c r="D25903" t="s">
        <v>412</v>
      </c>
      <c r="E25903" t="s">
        <v>104</v>
      </c>
      <c r="F25903" s="2" t="str">
        <f>HYPERLINK("http://www.otzar.org/book.asp?605272","מראה הרקיע - תכלת")</f>
        <v>מראה הרקיע - תכלת</v>
      </c>
    </row>
    <row r="25904" spans="1:6" x14ac:dyDescent="0.2">
      <c r="A25904" t="s">
        <v>41305</v>
      </c>
      <c r="B25904" t="s">
        <v>41281</v>
      </c>
      <c r="C25904" t="s">
        <v>23</v>
      </c>
      <c r="D25904" t="s">
        <v>486</v>
      </c>
      <c r="F25904" s="2" t="str">
        <f>HYPERLINK("http://www.otzar.org/book.asp?617655","מראה השביעית")</f>
        <v>מראה השביעית</v>
      </c>
    </row>
    <row r="25905" spans="1:6" x14ac:dyDescent="0.2">
      <c r="A25905" t="s">
        <v>41306</v>
      </c>
      <c r="B25905" t="s">
        <v>41281</v>
      </c>
      <c r="C25905" t="s">
        <v>411</v>
      </c>
      <c r="D25905" t="s">
        <v>486</v>
      </c>
      <c r="F25905" s="2" t="str">
        <f>HYPERLINK("http://www.otzar.org/book.asp?617656","מראה השבת")</f>
        <v>מראה השבת</v>
      </c>
    </row>
    <row r="25906" spans="1:6" x14ac:dyDescent="0.2">
      <c r="A25906" t="s">
        <v>41307</v>
      </c>
      <c r="B25906" t="s">
        <v>11254</v>
      </c>
      <c r="C25906" t="s">
        <v>68</v>
      </c>
      <c r="D25906" t="s">
        <v>5798</v>
      </c>
      <c r="F25906" s="2" t="str">
        <f>HYPERLINK("http://www.otzar.org/book.asp?199191","מראה וחידות")</f>
        <v>מראה וחידות</v>
      </c>
    </row>
    <row r="25907" spans="1:6" x14ac:dyDescent="0.2">
      <c r="A25907" t="s">
        <v>41308</v>
      </c>
      <c r="B25907" t="s">
        <v>41309</v>
      </c>
      <c r="C25907" t="s">
        <v>176</v>
      </c>
      <c r="D25907" t="s">
        <v>118</v>
      </c>
      <c r="E25907" t="s">
        <v>41310</v>
      </c>
      <c r="F25907" s="2" t="str">
        <f>HYPERLINK("http://www.otzar.org/book.asp?9955","מראה זוהר")</f>
        <v>מראה זוהר</v>
      </c>
    </row>
    <row r="25908" spans="1:6" x14ac:dyDescent="0.2">
      <c r="A25908" t="s">
        <v>41311</v>
      </c>
      <c r="B25908" t="s">
        <v>41312</v>
      </c>
      <c r="C25908" t="s">
        <v>17</v>
      </c>
      <c r="D25908" t="s">
        <v>52</v>
      </c>
      <c r="E25908" t="s">
        <v>154</v>
      </c>
      <c r="F25908" s="2" t="str">
        <f>HYPERLINK("http://www.otzar.org/book.asp?21833","מראה יחזקאל &lt;שו""ת&gt; - 2 כר'")</f>
        <v>מראה יחזקאל &lt;שו"ת&gt; - 2 כר'</v>
      </c>
    </row>
    <row r="25909" spans="1:6" x14ac:dyDescent="0.2">
      <c r="A25909" t="s">
        <v>41313</v>
      </c>
      <c r="B25909" t="s">
        <v>41314</v>
      </c>
      <c r="C25909" t="s">
        <v>1202</v>
      </c>
      <c r="D25909" t="s">
        <v>41315</v>
      </c>
      <c r="E25909" t="s">
        <v>579</v>
      </c>
      <c r="F25909" s="2" t="str">
        <f>HYPERLINK("http://www.otzar.org/book.asp?84332","מראה יחזקאל קטן")</f>
        <v>מראה יחזקאל קטן</v>
      </c>
    </row>
    <row r="25910" spans="1:6" x14ac:dyDescent="0.2">
      <c r="A25910" t="s">
        <v>41316</v>
      </c>
      <c r="B25910" t="s">
        <v>41317</v>
      </c>
      <c r="C25910" t="s">
        <v>812</v>
      </c>
      <c r="D25910" t="s">
        <v>691</v>
      </c>
      <c r="E25910" t="s">
        <v>154</v>
      </c>
      <c r="F25910" s="2" t="str">
        <f>HYPERLINK("http://www.otzar.org/book.asp?51641","מראה יחזקאל - א")</f>
        <v>מראה יחזקאל - א</v>
      </c>
    </row>
    <row r="25911" spans="1:6" x14ac:dyDescent="0.2">
      <c r="A25911" t="s">
        <v>41318</v>
      </c>
      <c r="B25911" t="s">
        <v>41319</v>
      </c>
      <c r="C25911" t="s">
        <v>366</v>
      </c>
      <c r="E25911" t="s">
        <v>15</v>
      </c>
      <c r="F25911" s="2" t="str">
        <f>HYPERLINK("http://www.otzar.org/book.asp?628211","מראה יחזקאל")</f>
        <v>מראה יחזקאל</v>
      </c>
    </row>
    <row r="25912" spans="1:6" x14ac:dyDescent="0.2">
      <c r="A25912" t="s">
        <v>41320</v>
      </c>
      <c r="B25912" t="s">
        <v>8611</v>
      </c>
      <c r="C25912" t="s">
        <v>1458</v>
      </c>
      <c r="D25912" t="s">
        <v>756</v>
      </c>
      <c r="E25912" t="s">
        <v>41321</v>
      </c>
      <c r="F25912" s="2" t="str">
        <f>HYPERLINK("http://www.otzar.org/book.asp?101168","מראה יחזקאל - 7 כר'")</f>
        <v>מראה יחזקאל - 7 כר'</v>
      </c>
    </row>
    <row r="25913" spans="1:6" x14ac:dyDescent="0.2">
      <c r="A25913" t="s">
        <v>41318</v>
      </c>
      <c r="B25913" t="s">
        <v>41322</v>
      </c>
      <c r="C25913" t="s">
        <v>106</v>
      </c>
      <c r="D25913" t="s">
        <v>14</v>
      </c>
      <c r="E25913" t="s">
        <v>8580</v>
      </c>
      <c r="F25913" s="2" t="str">
        <f>HYPERLINK("http://www.otzar.org/book.asp?180631","מראה יחזקאל")</f>
        <v>מראה יחזקאל</v>
      </c>
    </row>
    <row r="25914" spans="1:6" x14ac:dyDescent="0.2">
      <c r="A25914" t="s">
        <v>41323</v>
      </c>
      <c r="B25914" t="s">
        <v>41324</v>
      </c>
      <c r="C25914" t="s">
        <v>151</v>
      </c>
      <c r="D25914" t="s">
        <v>52</v>
      </c>
      <c r="F25914" s="2" t="str">
        <f>HYPERLINK("http://www.otzar.org/book.asp?610630","מראה יחזקאל - נדה")</f>
        <v>מראה יחזקאל - נדה</v>
      </c>
    </row>
    <row r="25915" spans="1:6" x14ac:dyDescent="0.2">
      <c r="A25915" t="s">
        <v>41318</v>
      </c>
      <c r="B25915" t="s">
        <v>41325</v>
      </c>
      <c r="C25915" t="s">
        <v>4240</v>
      </c>
      <c r="D25915" t="s">
        <v>744</v>
      </c>
      <c r="E25915" t="s">
        <v>144</v>
      </c>
      <c r="F25915" s="2" t="str">
        <f>HYPERLINK("http://www.otzar.org/book.asp?19165","מראה יחזקאל")</f>
        <v>מראה יחזקאל</v>
      </c>
    </row>
    <row r="25916" spans="1:6" x14ac:dyDescent="0.2">
      <c r="A25916" t="s">
        <v>41326</v>
      </c>
      <c r="B25916" t="s">
        <v>41327</v>
      </c>
      <c r="C25916" t="s">
        <v>1246</v>
      </c>
      <c r="D25916" t="s">
        <v>260</v>
      </c>
      <c r="E25916" t="s">
        <v>8542</v>
      </c>
      <c r="F25916" s="2" t="str">
        <f>HYPERLINK("http://www.otzar.org/book.asp?171352","מראה יעקב")</f>
        <v>מראה יעקב</v>
      </c>
    </row>
    <row r="25917" spans="1:6" x14ac:dyDescent="0.2">
      <c r="A25917" t="s">
        <v>41328</v>
      </c>
      <c r="B25917" t="s">
        <v>38832</v>
      </c>
      <c r="C25917" t="s">
        <v>129</v>
      </c>
      <c r="D25917" t="s">
        <v>14</v>
      </c>
      <c r="E25917" t="s">
        <v>144</v>
      </c>
      <c r="F25917" s="2" t="str">
        <f>HYPERLINK("http://www.otzar.org/book.asp?159032","מראה כהן &lt;מהדורה חדשה&gt;")</f>
        <v>מראה כהן &lt;מהדורה חדשה&gt;</v>
      </c>
    </row>
    <row r="25918" spans="1:6" x14ac:dyDescent="0.2">
      <c r="A25918" t="s">
        <v>41329</v>
      </c>
      <c r="B25918" t="s">
        <v>41330</v>
      </c>
      <c r="C25918" t="s">
        <v>68</v>
      </c>
      <c r="D25918" t="s">
        <v>8141</v>
      </c>
      <c r="F25918" s="2" t="str">
        <f>HYPERLINK("http://www.otzar.org/book.asp?163609","מראה כהן - עבודת הכהן  הגדול ביוה""כ")</f>
        <v>מראה כהן - עבודת הכהן  הגדול ביוה"כ</v>
      </c>
    </row>
    <row r="25919" spans="1:6" x14ac:dyDescent="0.2">
      <c r="A25919" t="s">
        <v>41331</v>
      </c>
      <c r="B25919" t="s">
        <v>12985</v>
      </c>
      <c r="C25919" t="s">
        <v>2105</v>
      </c>
      <c r="D25919" t="s">
        <v>563</v>
      </c>
      <c r="E25919" t="s">
        <v>15</v>
      </c>
      <c r="F25919" s="2" t="str">
        <f>HYPERLINK("http://www.otzar.org/book.asp?83987","מראה כהן - 5 כר'")</f>
        <v>מראה כהן - 5 כר'</v>
      </c>
    </row>
    <row r="25920" spans="1:6" x14ac:dyDescent="0.2">
      <c r="A25920" t="s">
        <v>41332</v>
      </c>
      <c r="B25920" t="s">
        <v>41333</v>
      </c>
      <c r="C25920" t="s">
        <v>36671</v>
      </c>
      <c r="D25920" t="s">
        <v>1023</v>
      </c>
      <c r="F25920" s="2" t="str">
        <f>HYPERLINK("http://www.otzar.org/book.asp?63376","מראה כהן - 3 כר'")</f>
        <v>מראה כהן - 3 כר'</v>
      </c>
    </row>
    <row r="25921" spans="1:6" x14ac:dyDescent="0.2">
      <c r="A25921" t="s">
        <v>41334</v>
      </c>
      <c r="B25921" t="s">
        <v>38832</v>
      </c>
      <c r="C25921" t="s">
        <v>279</v>
      </c>
      <c r="D25921" t="s">
        <v>322</v>
      </c>
      <c r="E25921" t="s">
        <v>144</v>
      </c>
      <c r="F25921" s="2" t="str">
        <f>HYPERLINK("http://www.otzar.org/book.asp?101506","מראה כהן")</f>
        <v>מראה כהן</v>
      </c>
    </row>
    <row r="25922" spans="1:6" x14ac:dyDescent="0.2">
      <c r="A25922" t="s">
        <v>41335</v>
      </c>
      <c r="B25922" t="s">
        <v>41336</v>
      </c>
      <c r="C25922" t="s">
        <v>20</v>
      </c>
      <c r="D25922" t="s">
        <v>52</v>
      </c>
      <c r="E25922" t="s">
        <v>144</v>
      </c>
      <c r="F25922" s="2" t="str">
        <f>HYPERLINK("http://www.otzar.org/book.asp?181954","מראה כהן - סנהדרין")</f>
        <v>מראה כהן - סנהדרין</v>
      </c>
    </row>
    <row r="25923" spans="1:6" x14ac:dyDescent="0.2">
      <c r="A25923" t="s">
        <v>41337</v>
      </c>
      <c r="B25923" t="s">
        <v>41338</v>
      </c>
      <c r="C25923" t="s">
        <v>20</v>
      </c>
      <c r="D25923" t="s">
        <v>52</v>
      </c>
      <c r="E25923" t="s">
        <v>144</v>
      </c>
      <c r="F25923" s="2" t="str">
        <f>HYPERLINK("http://www.otzar.org/book.asp?181955","מראה כהן  - בבא בתרא")</f>
        <v>מראה כהן  - בבא בתרא</v>
      </c>
    </row>
    <row r="25924" spans="1:6" x14ac:dyDescent="0.2">
      <c r="A25924" t="s">
        <v>41334</v>
      </c>
      <c r="B25924" t="s">
        <v>41339</v>
      </c>
      <c r="C25924" t="s">
        <v>168</v>
      </c>
      <c r="D25924" t="s">
        <v>90</v>
      </c>
      <c r="E25924" t="s">
        <v>13324</v>
      </c>
      <c r="F25924" s="2" t="str">
        <f>HYPERLINK("http://www.otzar.org/book.asp?144178","מראה כהן")</f>
        <v>מראה כהן</v>
      </c>
    </row>
    <row r="25925" spans="1:6" x14ac:dyDescent="0.2">
      <c r="A25925" t="s">
        <v>41334</v>
      </c>
      <c r="B25925" t="s">
        <v>41340</v>
      </c>
      <c r="C25925" t="s">
        <v>133</v>
      </c>
      <c r="D25925" t="s">
        <v>115</v>
      </c>
      <c r="F25925" s="2" t="str">
        <f>HYPERLINK("http://www.otzar.org/book.asp?630410","מראה כהן")</f>
        <v>מראה כהן</v>
      </c>
    </row>
    <row r="25926" spans="1:6" x14ac:dyDescent="0.2">
      <c r="A25926" t="s">
        <v>41341</v>
      </c>
      <c r="B25926" t="s">
        <v>41342</v>
      </c>
      <c r="C25926" t="s">
        <v>133</v>
      </c>
      <c r="D25926" t="s">
        <v>1156</v>
      </c>
      <c r="E25926" t="s">
        <v>158</v>
      </c>
      <c r="F25926" s="2" t="str">
        <f>HYPERLINK("http://www.otzar.org/book.asp?194136","מראה כהן - 2 כר'")</f>
        <v>מראה כהן - 2 כר'</v>
      </c>
    </row>
    <row r="25927" spans="1:6" x14ac:dyDescent="0.2">
      <c r="A25927" t="s">
        <v>41334</v>
      </c>
      <c r="B25927" t="s">
        <v>41343</v>
      </c>
      <c r="C25927" t="s">
        <v>767</v>
      </c>
      <c r="D25927" t="s">
        <v>14</v>
      </c>
      <c r="E25927" t="s">
        <v>10</v>
      </c>
      <c r="F25927" s="2" t="str">
        <f>HYPERLINK("http://www.otzar.org/book.asp?50672","מראה כהן")</f>
        <v>מראה כהן</v>
      </c>
    </row>
    <row r="25928" spans="1:6" x14ac:dyDescent="0.2">
      <c r="A25928" t="s">
        <v>41334</v>
      </c>
      <c r="B25928" t="s">
        <v>5634</v>
      </c>
      <c r="C25928" t="s">
        <v>422</v>
      </c>
      <c r="D25928" t="s">
        <v>52</v>
      </c>
      <c r="E25928" t="s">
        <v>104</v>
      </c>
      <c r="F25928" s="2" t="str">
        <f>HYPERLINK("http://www.otzar.org/book.asp?147608","מראה כהן")</f>
        <v>מראה כהן</v>
      </c>
    </row>
    <row r="25929" spans="1:6" x14ac:dyDescent="0.2">
      <c r="A25929" t="s">
        <v>41334</v>
      </c>
      <c r="B25929" t="s">
        <v>26323</v>
      </c>
      <c r="C25929" t="s">
        <v>106</v>
      </c>
      <c r="D25929" t="s">
        <v>412</v>
      </c>
      <c r="E25929" t="s">
        <v>10893</v>
      </c>
      <c r="F25929" s="2" t="str">
        <f>HYPERLINK("http://www.otzar.org/book.asp?198281","מראה כהן")</f>
        <v>מראה כהן</v>
      </c>
    </row>
    <row r="25930" spans="1:6" x14ac:dyDescent="0.2">
      <c r="A25930" t="s">
        <v>41344</v>
      </c>
      <c r="B25930" t="s">
        <v>41345</v>
      </c>
      <c r="C25930" t="s">
        <v>725</v>
      </c>
      <c r="D25930" t="s">
        <v>9</v>
      </c>
      <c r="E25930" t="s">
        <v>15</v>
      </c>
      <c r="F25930" s="2" t="str">
        <f>HYPERLINK("http://www.otzar.org/book.asp?176857","מראה לדעת")</f>
        <v>מראה לדעת</v>
      </c>
    </row>
    <row r="25931" spans="1:6" x14ac:dyDescent="0.2">
      <c r="A25931" t="s">
        <v>41346</v>
      </c>
      <c r="B25931" t="s">
        <v>41346</v>
      </c>
      <c r="C25931" t="s">
        <v>2024</v>
      </c>
      <c r="D25931" t="s">
        <v>41347</v>
      </c>
      <c r="E25931" t="s">
        <v>1626</v>
      </c>
      <c r="F25931" s="2" t="str">
        <f>HYPERLINK("http://www.otzar.org/book.asp?147194","מראה להתקשט בו")</f>
        <v>מראה להתקשט בו</v>
      </c>
    </row>
    <row r="25932" spans="1:6" x14ac:dyDescent="0.2">
      <c r="A25932" t="s">
        <v>41348</v>
      </c>
      <c r="B25932" t="s">
        <v>41349</v>
      </c>
      <c r="C25932" t="s">
        <v>15262</v>
      </c>
      <c r="D25932" t="s">
        <v>1490</v>
      </c>
      <c r="E25932" t="s">
        <v>104</v>
      </c>
      <c r="F25932" s="2" t="str">
        <f>HYPERLINK("http://www.otzar.org/book.asp?84552","מראה לקשט הנשמה - 2 כר'")</f>
        <v>מראה לקשט הנשמה - 2 כר'</v>
      </c>
    </row>
    <row r="25933" spans="1:6" x14ac:dyDescent="0.2">
      <c r="A25933" t="s">
        <v>41350</v>
      </c>
      <c r="B25933" t="s">
        <v>41351</v>
      </c>
      <c r="C25933" t="s">
        <v>23875</v>
      </c>
      <c r="D25933" t="s">
        <v>6042</v>
      </c>
      <c r="E25933" t="s">
        <v>104</v>
      </c>
      <c r="F25933" s="2" t="str">
        <f>HYPERLINK("http://www.otzar.org/book.asp?147329","מראה מוסר")</f>
        <v>מראה מוסר</v>
      </c>
    </row>
    <row r="25934" spans="1:6" x14ac:dyDescent="0.2">
      <c r="A25934" t="s">
        <v>41352</v>
      </c>
      <c r="B25934" t="s">
        <v>41353</v>
      </c>
      <c r="C25934" t="s">
        <v>9914</v>
      </c>
      <c r="D25934" t="s">
        <v>4349</v>
      </c>
      <c r="E25934" t="s">
        <v>104</v>
      </c>
      <c r="F25934" s="2" t="str">
        <f>HYPERLINK("http://www.otzar.org/book.asp?147316","מראה מקום הדינים")</f>
        <v>מראה מקום הדינים</v>
      </c>
    </row>
    <row r="25935" spans="1:6" x14ac:dyDescent="0.2">
      <c r="A25935" t="s">
        <v>41354</v>
      </c>
      <c r="B25935" t="s">
        <v>41355</v>
      </c>
      <c r="C25935" t="s">
        <v>133</v>
      </c>
      <c r="D25935" t="s">
        <v>21</v>
      </c>
      <c r="E25935" t="s">
        <v>872</v>
      </c>
      <c r="F25935" s="2" t="str">
        <f>HYPERLINK("http://www.otzar.org/book.asp?196374","מראה מקום")</f>
        <v>מראה מקום</v>
      </c>
    </row>
    <row r="25936" spans="1:6" x14ac:dyDescent="0.2">
      <c r="A25936" t="s">
        <v>41356</v>
      </c>
      <c r="B25936" t="s">
        <v>41357</v>
      </c>
      <c r="C25936" t="s">
        <v>103</v>
      </c>
      <c r="D25936" t="s">
        <v>14</v>
      </c>
      <c r="E25936" t="s">
        <v>15</v>
      </c>
      <c r="F25936" s="2" t="str">
        <f>HYPERLINK("http://www.otzar.org/book.asp?28103","מראה מקום - 3 כר'")</f>
        <v>מראה מקום - 3 כר'</v>
      </c>
    </row>
    <row r="25937" spans="1:6" x14ac:dyDescent="0.2">
      <c r="A25937" t="s">
        <v>41354</v>
      </c>
      <c r="B25937" t="s">
        <v>2083</v>
      </c>
      <c r="C25937" t="s">
        <v>146</v>
      </c>
      <c r="D25937" t="s">
        <v>52</v>
      </c>
      <c r="E25937" t="s">
        <v>579</v>
      </c>
      <c r="F25937" s="2" t="str">
        <f>HYPERLINK("http://www.otzar.org/book.asp?63788","מראה מקום")</f>
        <v>מראה מקום</v>
      </c>
    </row>
    <row r="25938" spans="1:6" x14ac:dyDescent="0.2">
      <c r="A25938" t="s">
        <v>41358</v>
      </c>
      <c r="B25938" t="s">
        <v>206</v>
      </c>
      <c r="C25938" t="s">
        <v>20</v>
      </c>
      <c r="D25938" t="s">
        <v>90</v>
      </c>
      <c r="E25938" t="s">
        <v>15</v>
      </c>
      <c r="F25938" s="2" t="str">
        <f>HYPERLINK("http://www.otzar.org/book.asp?194141","מראה מקומות בענין הערבה הדרומית")</f>
        <v>מראה מקומות בענין הערבה הדרומית</v>
      </c>
    </row>
    <row r="25939" spans="1:6" x14ac:dyDescent="0.2">
      <c r="A25939" t="s">
        <v>41359</v>
      </c>
      <c r="B25939" t="s">
        <v>41360</v>
      </c>
      <c r="C25939" t="s">
        <v>189</v>
      </c>
      <c r="D25939" t="s">
        <v>152</v>
      </c>
      <c r="E25939" t="s">
        <v>144</v>
      </c>
      <c r="F25939" s="2" t="str">
        <f>HYPERLINK("http://www.otzar.org/book.asp?21828","מראה מקומות והערות לפרק כיצד מברכין")</f>
        <v>מראה מקומות והערות לפרק כיצד מברכין</v>
      </c>
    </row>
    <row r="25940" spans="1:6" x14ac:dyDescent="0.2">
      <c r="A25940" t="s">
        <v>41361</v>
      </c>
      <c r="B25940" t="s">
        <v>25161</v>
      </c>
      <c r="C25940" t="s">
        <v>411</v>
      </c>
      <c r="D25940" t="s">
        <v>90</v>
      </c>
      <c r="E25940" t="s">
        <v>144</v>
      </c>
      <c r="F25940" s="2" t="str">
        <f>HYPERLINK("http://www.otzar.org/book.asp?608549","מראה מקומות והערות - 2 כר'")</f>
        <v>מראה מקומות והערות - 2 כר'</v>
      </c>
    </row>
    <row r="25941" spans="1:6" x14ac:dyDescent="0.2">
      <c r="A25941" t="s">
        <v>41362</v>
      </c>
      <c r="B25941" t="s">
        <v>206</v>
      </c>
      <c r="C25941" t="s">
        <v>20</v>
      </c>
      <c r="D25941" t="s">
        <v>90</v>
      </c>
      <c r="E25941" t="s">
        <v>144</v>
      </c>
      <c r="F25941" s="2" t="str">
        <f>HYPERLINK("http://www.otzar.org/book.asp?52914","מראה מקומות ללימוד הבקיאות - כתובות, קידושין")</f>
        <v>מראה מקומות ללימוד הבקיאות - כתובות, קידושין</v>
      </c>
    </row>
    <row r="25942" spans="1:6" x14ac:dyDescent="0.2">
      <c r="A25942" t="s">
        <v>41363</v>
      </c>
      <c r="B25942" t="s">
        <v>206</v>
      </c>
      <c r="C25942" t="s">
        <v>20</v>
      </c>
      <c r="D25942" t="s">
        <v>412</v>
      </c>
      <c r="E25942" t="s">
        <v>144</v>
      </c>
      <c r="F25942" s="2" t="str">
        <f>HYPERLINK("http://www.otzar.org/book.asp?171386","מראה מקומות לפרק שלשה שאכלו")</f>
        <v>מראה מקומות לפרק שלשה שאכלו</v>
      </c>
    </row>
    <row r="25943" spans="1:6" x14ac:dyDescent="0.2">
      <c r="A25943" t="s">
        <v>41364</v>
      </c>
      <c r="B25943" t="s">
        <v>41365</v>
      </c>
      <c r="C25943" t="s">
        <v>619</v>
      </c>
      <c r="D25943" t="s">
        <v>41366</v>
      </c>
      <c r="E25943" t="s">
        <v>508</v>
      </c>
      <c r="F25943" s="2" t="str">
        <f>HYPERLINK("http://www.otzar.org/book.asp?102703","מראה משה")</f>
        <v>מראה משה</v>
      </c>
    </row>
    <row r="25944" spans="1:6" x14ac:dyDescent="0.2">
      <c r="A25944" t="s">
        <v>41367</v>
      </c>
      <c r="B25944" t="s">
        <v>41368</v>
      </c>
      <c r="C25944" t="s">
        <v>146</v>
      </c>
      <c r="D25944" t="s">
        <v>52</v>
      </c>
      <c r="E25944" t="s">
        <v>144</v>
      </c>
      <c r="F25944" s="2" t="str">
        <f>HYPERLINK("http://www.otzar.org/book.asp?26823","מראה עוזר - 10 כר'")</f>
        <v>מראה עוזר - 10 כר'</v>
      </c>
    </row>
    <row r="25945" spans="1:6" x14ac:dyDescent="0.2">
      <c r="A25945" t="s">
        <v>41369</v>
      </c>
      <c r="B25945" t="s">
        <v>41370</v>
      </c>
      <c r="C25945" t="s">
        <v>5826</v>
      </c>
      <c r="D25945" t="s">
        <v>1008</v>
      </c>
      <c r="E25945" t="s">
        <v>158</v>
      </c>
      <c r="F25945" s="2" t="str">
        <f>HYPERLINK("http://www.otzar.org/book.asp?101359","מראה עיני הכהן - 2 כר'")</f>
        <v>מראה עיני הכהן - 2 כר'</v>
      </c>
    </row>
    <row r="25946" spans="1:6" x14ac:dyDescent="0.2">
      <c r="A25946" t="s">
        <v>41371</v>
      </c>
      <c r="B25946" t="s">
        <v>41290</v>
      </c>
      <c r="C25946" t="s">
        <v>5826</v>
      </c>
      <c r="D25946" t="s">
        <v>76</v>
      </c>
      <c r="E25946" t="s">
        <v>1211</v>
      </c>
      <c r="F25946" s="2" t="str">
        <f>HYPERLINK("http://www.otzar.org/book.asp?20272","מראה עינים")</f>
        <v>מראה עינים</v>
      </c>
    </row>
    <row r="25947" spans="1:6" x14ac:dyDescent="0.2">
      <c r="A25947" t="s">
        <v>41372</v>
      </c>
      <c r="B25947" t="s">
        <v>41373</v>
      </c>
      <c r="C25947" t="s">
        <v>454</v>
      </c>
      <c r="D25947" t="s">
        <v>52</v>
      </c>
      <c r="E25947" t="s">
        <v>84</v>
      </c>
      <c r="F25947" s="2" t="str">
        <f>HYPERLINK("http://www.otzar.org/book.asp?623937","מראה קנים - קן מפורשת")</f>
        <v>מראה קנים - קן מפורשת</v>
      </c>
    </row>
    <row r="25948" spans="1:6" x14ac:dyDescent="0.2">
      <c r="A25948" t="s">
        <v>41374</v>
      </c>
      <c r="B25948" t="s">
        <v>41375</v>
      </c>
      <c r="C25948" t="s">
        <v>23</v>
      </c>
      <c r="D25948" t="s">
        <v>41376</v>
      </c>
      <c r="E25948" t="s">
        <v>158</v>
      </c>
      <c r="F25948" s="2" t="str">
        <f>HYPERLINK("http://www.otzar.org/book.asp?192975","מראה רחל - על ספר משלי")</f>
        <v>מראה רחל - על ספר משלי</v>
      </c>
    </row>
    <row r="25949" spans="1:6" x14ac:dyDescent="0.2">
      <c r="A25949" t="s">
        <v>41377</v>
      </c>
      <c r="B25949" t="s">
        <v>41378</v>
      </c>
      <c r="C25949" t="s">
        <v>454</v>
      </c>
      <c r="D25949" t="s">
        <v>423</v>
      </c>
      <c r="E25949" t="s">
        <v>10</v>
      </c>
      <c r="F25949" s="2" t="str">
        <f>HYPERLINK("http://www.otzar.org/book.asp?154263","מראה ריאה - 2 כר'")</f>
        <v>מראה ריאה - 2 כר'</v>
      </c>
    </row>
    <row r="25950" spans="1:6" x14ac:dyDescent="0.2">
      <c r="A25950" t="s">
        <v>41379</v>
      </c>
      <c r="B25950" t="s">
        <v>16345</v>
      </c>
      <c r="C25950" t="s">
        <v>30887</v>
      </c>
      <c r="D25950" t="s">
        <v>49</v>
      </c>
      <c r="F25950" s="2" t="str">
        <f>HYPERLINK("http://www.otzar.org/book.asp?53770","מראות אלהים - 2 כר'")</f>
        <v>מראות אלהים - 2 כר'</v>
      </c>
    </row>
    <row r="25951" spans="1:6" x14ac:dyDescent="0.2">
      <c r="A25951" t="s">
        <v>41380</v>
      </c>
      <c r="B25951" t="s">
        <v>41381</v>
      </c>
      <c r="C25951" t="s">
        <v>114</v>
      </c>
      <c r="D25951" t="s">
        <v>229</v>
      </c>
      <c r="E25951" t="s">
        <v>148</v>
      </c>
      <c r="F25951" s="2" t="str">
        <f>HYPERLINK("http://www.otzar.org/book.asp?167852","מראות האדם")</f>
        <v>מראות האדם</v>
      </c>
    </row>
    <row r="25952" spans="1:6" x14ac:dyDescent="0.2">
      <c r="A25952" t="s">
        <v>41382</v>
      </c>
      <c r="B25952" t="s">
        <v>3408</v>
      </c>
      <c r="C25952" t="s">
        <v>244</v>
      </c>
      <c r="D25952" t="s">
        <v>852</v>
      </c>
      <c r="F25952" s="2" t="str">
        <f>HYPERLINK("http://www.otzar.org/book.asp?608885","מראות הים")</f>
        <v>מראות הים</v>
      </c>
    </row>
    <row r="25953" spans="1:6" x14ac:dyDescent="0.2">
      <c r="A25953" t="s">
        <v>41383</v>
      </c>
      <c r="B25953" t="s">
        <v>1182</v>
      </c>
      <c r="C25953" t="s">
        <v>129</v>
      </c>
      <c r="D25953" t="s">
        <v>52</v>
      </c>
      <c r="E25953" t="s">
        <v>172</v>
      </c>
      <c r="F25953" s="2" t="str">
        <f>HYPERLINK("http://www.otzar.org/book.asp?154475","מראות הצובאות &lt;מהדורה חדשה&gt;")</f>
        <v>מראות הצובאות &lt;מהדורה חדשה&gt;</v>
      </c>
    </row>
    <row r="25954" spans="1:6" x14ac:dyDescent="0.2">
      <c r="A25954" t="s">
        <v>41384</v>
      </c>
      <c r="B25954" t="s">
        <v>15186</v>
      </c>
      <c r="C25954" t="s">
        <v>41385</v>
      </c>
      <c r="D25954" t="s">
        <v>32571</v>
      </c>
      <c r="F25954" s="2" t="str">
        <f>HYPERLINK("http://www.otzar.org/book.asp?621526","מראות הצובאות - 3 כר'")</f>
        <v>מראות הצובאות - 3 כר'</v>
      </c>
    </row>
    <row r="25955" spans="1:6" x14ac:dyDescent="0.2">
      <c r="A25955" t="s">
        <v>41386</v>
      </c>
      <c r="B25955" t="s">
        <v>1602</v>
      </c>
      <c r="C25955" t="s">
        <v>422</v>
      </c>
      <c r="D25955" t="s">
        <v>14</v>
      </c>
      <c r="E25955" t="s">
        <v>104</v>
      </c>
      <c r="F25955" s="2" t="str">
        <f>HYPERLINK("http://www.otzar.org/book.asp?149528","מראות הצובאות")</f>
        <v>מראות הצובאות</v>
      </c>
    </row>
    <row r="25956" spans="1:6" x14ac:dyDescent="0.2">
      <c r="A25956" t="s">
        <v>41387</v>
      </c>
      <c r="B25956" t="s">
        <v>1182</v>
      </c>
      <c r="C25956" t="s">
        <v>1481</v>
      </c>
      <c r="D25956" t="s">
        <v>2041</v>
      </c>
      <c r="E25956" t="s">
        <v>148</v>
      </c>
      <c r="F25956" s="2" t="str">
        <f>HYPERLINK("http://www.otzar.org/book.asp?5038","מראות הצובאות - אה""ע")</f>
        <v>מראות הצובאות - אה"ע</v>
      </c>
    </row>
    <row r="25957" spans="1:6" x14ac:dyDescent="0.2">
      <c r="A25957" t="s">
        <v>41388</v>
      </c>
      <c r="B25957" t="s">
        <v>41389</v>
      </c>
      <c r="C25957" t="s">
        <v>37</v>
      </c>
      <c r="D25957" t="s">
        <v>52</v>
      </c>
      <c r="E25957" t="s">
        <v>13627</v>
      </c>
      <c r="F25957" s="2" t="str">
        <f>HYPERLINK("http://www.otzar.org/book.asp?178987","מראות הצובאות - 14 כר'")</f>
        <v>מראות הצובאות - 14 כר'</v>
      </c>
    </row>
    <row r="25958" spans="1:6" x14ac:dyDescent="0.2">
      <c r="A25958" t="s">
        <v>41390</v>
      </c>
      <c r="B25958" t="s">
        <v>41391</v>
      </c>
      <c r="C25958" t="s">
        <v>146</v>
      </c>
      <c r="D25958" t="s">
        <v>14</v>
      </c>
      <c r="F25958" s="2" t="str">
        <f>HYPERLINK("http://www.otzar.org/book.asp?181599","מראות השבת")</f>
        <v>מראות השבת</v>
      </c>
    </row>
    <row r="25959" spans="1:6" x14ac:dyDescent="0.2">
      <c r="A25959" t="s">
        <v>41392</v>
      </c>
      <c r="B25959" t="s">
        <v>6056</v>
      </c>
      <c r="C25959" t="s">
        <v>624</v>
      </c>
      <c r="D25959" t="s">
        <v>14</v>
      </c>
      <c r="E25959" t="s">
        <v>84</v>
      </c>
      <c r="F25959" s="2" t="str">
        <f>HYPERLINK("http://www.otzar.org/book.asp?61681","מראות טהורות - נגעים")</f>
        <v>מראות טהורות - נגעים</v>
      </c>
    </row>
    <row r="25960" spans="1:6" x14ac:dyDescent="0.2">
      <c r="A25960" t="s">
        <v>41393</v>
      </c>
      <c r="B25960" t="s">
        <v>14489</v>
      </c>
      <c r="C25960" t="s">
        <v>366</v>
      </c>
      <c r="D25960" t="s">
        <v>412</v>
      </c>
      <c r="E25960" t="s">
        <v>154</v>
      </c>
      <c r="F25960" s="2" t="str">
        <f>HYPERLINK("http://www.otzar.org/book.asp?621621","מראות יחזקאל")</f>
        <v>מראות יחזקאל</v>
      </c>
    </row>
    <row r="25961" spans="1:6" x14ac:dyDescent="0.2">
      <c r="A25961" t="s">
        <v>41394</v>
      </c>
      <c r="B25961" t="s">
        <v>41395</v>
      </c>
      <c r="C25961" t="s">
        <v>146</v>
      </c>
      <c r="D25961" t="s">
        <v>14</v>
      </c>
      <c r="E25961" t="s">
        <v>684</v>
      </c>
      <c r="F25961" s="2" t="str">
        <f>HYPERLINK("http://www.otzar.org/book.asp?50212","מראות ישרים &lt;שו""ת&gt; - 2 כר'")</f>
        <v>מראות ישרים &lt;שו"ת&gt; - 2 כר'</v>
      </c>
    </row>
    <row r="25962" spans="1:6" x14ac:dyDescent="0.2">
      <c r="A25962" t="s">
        <v>41396</v>
      </c>
      <c r="B25962" t="s">
        <v>41395</v>
      </c>
      <c r="C25962" t="s">
        <v>13</v>
      </c>
      <c r="D25962" t="s">
        <v>14</v>
      </c>
      <c r="E25962" t="s">
        <v>144</v>
      </c>
      <c r="F25962" s="2" t="str">
        <f>HYPERLINK("http://www.otzar.org/book.asp?62669","מראות ישרים - 4 כר'")</f>
        <v>מראות ישרים - 4 כר'</v>
      </c>
    </row>
    <row r="25963" spans="1:6" x14ac:dyDescent="0.2">
      <c r="A25963" t="s">
        <v>41397</v>
      </c>
      <c r="B25963" t="s">
        <v>41398</v>
      </c>
      <c r="C25963" t="s">
        <v>20</v>
      </c>
      <c r="D25963" t="s">
        <v>216</v>
      </c>
      <c r="E25963" t="s">
        <v>15</v>
      </c>
      <c r="F25963" s="2" t="str">
        <f>HYPERLINK("http://www.otzar.org/book.asp?146630","מראות להלכות טריפות")</f>
        <v>מראות להלכות טריפות</v>
      </c>
    </row>
    <row r="25964" spans="1:6" x14ac:dyDescent="0.2">
      <c r="A25964" t="s">
        <v>41399</v>
      </c>
      <c r="B25964" t="s">
        <v>12971</v>
      </c>
      <c r="C25964" t="s">
        <v>37</v>
      </c>
      <c r="D25964" t="s">
        <v>14</v>
      </c>
      <c r="E25964" t="s">
        <v>104</v>
      </c>
      <c r="F25964" s="2" t="str">
        <f>HYPERLINK("http://www.otzar.org/book.asp?611016","מראות מה -400")</f>
        <v>מראות מה -400</v>
      </c>
    </row>
    <row r="25965" spans="1:6" x14ac:dyDescent="0.2">
      <c r="A25965" t="s">
        <v>41400</v>
      </c>
      <c r="B25965" t="s">
        <v>40713</v>
      </c>
      <c r="C25965" t="s">
        <v>51</v>
      </c>
      <c r="D25965" t="s">
        <v>52</v>
      </c>
      <c r="E25965" t="s">
        <v>144</v>
      </c>
      <c r="F25965" s="2" t="str">
        <f>HYPERLINK("http://www.otzar.org/book.asp?143001","מראי מקומות ""מיוחסות"" - סנהדרין")</f>
        <v>מראי מקומות "מיוחסות" - סנהדרין</v>
      </c>
    </row>
    <row r="25966" spans="1:6" x14ac:dyDescent="0.2">
      <c r="A25966" t="s">
        <v>41401</v>
      </c>
      <c r="B25966" t="s">
        <v>21738</v>
      </c>
      <c r="C25966" t="s">
        <v>313</v>
      </c>
      <c r="D25966" t="s">
        <v>240</v>
      </c>
      <c r="E25966" t="s">
        <v>104</v>
      </c>
      <c r="F25966" s="2" t="str">
        <f>HYPERLINK("http://www.otzar.org/book.asp?605597","מראי מקומות בסוגיות ארץ ישראל")</f>
        <v>מראי מקומות בסוגיות ארץ ישראל</v>
      </c>
    </row>
    <row r="25967" spans="1:6" x14ac:dyDescent="0.2">
      <c r="A25967" t="s">
        <v>41402</v>
      </c>
      <c r="B25967" t="s">
        <v>8716</v>
      </c>
      <c r="C25967" t="s">
        <v>20</v>
      </c>
      <c r="D25967" t="s">
        <v>14</v>
      </c>
      <c r="E25967" t="s">
        <v>2071</v>
      </c>
      <c r="F25967" s="2" t="str">
        <f>HYPERLINK("http://www.otzar.org/book.asp?172491","מראי מקומות וליקוטים נחמדים")</f>
        <v>מראי מקומות וליקוטים נחמדים</v>
      </c>
    </row>
    <row r="25968" spans="1:6" x14ac:dyDescent="0.2">
      <c r="A25968" t="s">
        <v>41403</v>
      </c>
      <c r="B25968" t="s">
        <v>21104</v>
      </c>
      <c r="C25968" t="s">
        <v>114</v>
      </c>
      <c r="D25968" t="s">
        <v>52</v>
      </c>
      <c r="F25968" s="2" t="str">
        <f>HYPERLINK("http://www.otzar.org/book.asp?164204","מראי מקומות וציונים למסכת עבודה זרה")</f>
        <v>מראי מקומות וציונים למסכת עבודה זרה</v>
      </c>
    </row>
    <row r="25969" spans="1:6" x14ac:dyDescent="0.2">
      <c r="A25969" t="s">
        <v>41404</v>
      </c>
      <c r="B25969" t="s">
        <v>41405</v>
      </c>
      <c r="C25969" t="s">
        <v>20</v>
      </c>
      <c r="D25969" t="s">
        <v>90</v>
      </c>
      <c r="E25969" t="s">
        <v>158</v>
      </c>
      <c r="F25969" s="2" t="str">
        <f>HYPERLINK("http://www.otzar.org/book.asp?628641","מראי מקומות וציונים - דברים")</f>
        <v>מראי מקומות וציונים - דברים</v>
      </c>
    </row>
    <row r="25970" spans="1:6" x14ac:dyDescent="0.2">
      <c r="A25970" t="s">
        <v>41406</v>
      </c>
      <c r="B25970" t="s">
        <v>21104</v>
      </c>
      <c r="C25970" t="s">
        <v>454</v>
      </c>
      <c r="D25970" t="s">
        <v>52</v>
      </c>
      <c r="E25970" t="s">
        <v>144</v>
      </c>
      <c r="F25970" s="2" t="str">
        <f>HYPERLINK("http://www.otzar.org/book.asp?106126","מראי מקומות וראשי פרקים למסכת עבודה זרה")</f>
        <v>מראי מקומות וראשי פרקים למסכת עבודה זרה</v>
      </c>
    </row>
    <row r="25971" spans="1:6" x14ac:dyDescent="0.2">
      <c r="A25971" t="s">
        <v>41407</v>
      </c>
      <c r="B25971" t="s">
        <v>41408</v>
      </c>
      <c r="C25971" t="s">
        <v>20</v>
      </c>
      <c r="D25971" t="s">
        <v>90</v>
      </c>
      <c r="E25971" t="s">
        <v>144</v>
      </c>
      <c r="F25971" s="2" t="str">
        <f>HYPERLINK("http://www.otzar.org/book.asp?172928","מראי מקומות לפרק שלשה שאכלו")</f>
        <v>מראי מקומות לפרק שלשה שאכלו</v>
      </c>
    </row>
    <row r="25972" spans="1:6" x14ac:dyDescent="0.2">
      <c r="A25972" t="s">
        <v>41409</v>
      </c>
      <c r="B25972" t="s">
        <v>41410</v>
      </c>
      <c r="C25972" t="s">
        <v>103</v>
      </c>
      <c r="D25972" t="s">
        <v>367</v>
      </c>
      <c r="E25972" t="s">
        <v>144</v>
      </c>
      <c r="F25972" s="2" t="str">
        <f>HYPERLINK("http://www.otzar.org/book.asp?163082","מראי מקומות על מסכת ערכין")</f>
        <v>מראי מקומות על מסכת ערכין</v>
      </c>
    </row>
    <row r="25973" spans="1:6" x14ac:dyDescent="0.2">
      <c r="A25973" t="s">
        <v>41411</v>
      </c>
      <c r="B25973" t="s">
        <v>41412</v>
      </c>
      <c r="C25973" t="s">
        <v>111</v>
      </c>
      <c r="D25973" t="s">
        <v>3859</v>
      </c>
      <c r="E25973" t="s">
        <v>104</v>
      </c>
      <c r="F25973" s="2" t="str">
        <f>HYPERLINK("http://www.otzar.org/book.asp?628509","מראי מקומות על ספר עבודת הקרבנות - 2 כר'")</f>
        <v>מראי מקומות על ספר עבודת הקרבנות - 2 כר'</v>
      </c>
    </row>
    <row r="25974" spans="1:6" x14ac:dyDescent="0.2">
      <c r="A25974" t="s">
        <v>41413</v>
      </c>
      <c r="B25974" t="s">
        <v>41414</v>
      </c>
      <c r="C25974" t="s">
        <v>103</v>
      </c>
      <c r="D25974" t="s">
        <v>52</v>
      </c>
      <c r="E25974" t="s">
        <v>144</v>
      </c>
      <c r="F25974" s="2" t="str">
        <f>HYPERLINK("http://www.otzar.org/book.asp?52998","מראי מקומות - 10 כר'")</f>
        <v>מראי מקומות - 10 כר'</v>
      </c>
    </row>
    <row r="25975" spans="1:6" x14ac:dyDescent="0.2">
      <c r="A25975" t="s">
        <v>41415</v>
      </c>
      <c r="B25975" t="s">
        <v>41412</v>
      </c>
      <c r="C25975" t="s">
        <v>185</v>
      </c>
      <c r="D25975" t="s">
        <v>1156</v>
      </c>
      <c r="E25975" t="s">
        <v>84</v>
      </c>
      <c r="F25975" s="2" t="str">
        <f>HYPERLINK("http://www.otzar.org/book.asp?629425","מראי מקומות - מסכת מידות")</f>
        <v>מראי מקומות - מסכת מידות</v>
      </c>
    </row>
    <row r="25976" spans="1:6" x14ac:dyDescent="0.2">
      <c r="A25976" t="s">
        <v>41416</v>
      </c>
      <c r="B25976" t="s">
        <v>9635</v>
      </c>
      <c r="C25976" t="s">
        <v>189</v>
      </c>
      <c r="D25976" t="s">
        <v>657</v>
      </c>
      <c r="E25976" t="s">
        <v>144</v>
      </c>
      <c r="F25976" s="2" t="str">
        <f>HYPERLINK("http://www.otzar.org/book.asp?23018","מראי מקומות - 6 כר'")</f>
        <v>מראי מקומות - 6 כר'</v>
      </c>
    </row>
    <row r="25977" spans="1:6" x14ac:dyDescent="0.2">
      <c r="A25977" t="s">
        <v>41417</v>
      </c>
      <c r="B25977" t="s">
        <v>1308</v>
      </c>
      <c r="C25977" t="s">
        <v>1663</v>
      </c>
      <c r="D25977" t="s">
        <v>27</v>
      </c>
      <c r="E25977" t="s">
        <v>41418</v>
      </c>
      <c r="F25977" s="2" t="str">
        <f>HYPERLINK("http://www.otzar.org/book.asp?9126","מראית העין - 2 כר'")</f>
        <v>מראית העין - 2 כר'</v>
      </c>
    </row>
    <row r="25978" spans="1:6" x14ac:dyDescent="0.2">
      <c r="A25978" t="s">
        <v>41419</v>
      </c>
      <c r="B25978" t="s">
        <v>13019</v>
      </c>
      <c r="C25978" t="s">
        <v>23</v>
      </c>
      <c r="D25978" t="s">
        <v>147</v>
      </c>
      <c r="F25978" s="2" t="str">
        <f>HYPERLINK("http://www.otzar.org/book.asp?610476","מראקש וחכמיה - 2 כר'")</f>
        <v>מראקש וחכמיה - 2 כר'</v>
      </c>
    </row>
    <row r="25979" spans="1:6" x14ac:dyDescent="0.2">
      <c r="A25979" t="s">
        <v>41420</v>
      </c>
      <c r="B25979" t="s">
        <v>1275</v>
      </c>
      <c r="C25979" t="s">
        <v>366</v>
      </c>
      <c r="D25979" t="s">
        <v>52</v>
      </c>
      <c r="E25979" t="s">
        <v>674</v>
      </c>
      <c r="F25979" s="2" t="str">
        <f>HYPERLINK("http://www.otzar.org/book.asp?626271","מראש מקדם")</f>
        <v>מראש מקדם</v>
      </c>
    </row>
    <row r="25980" spans="1:6" x14ac:dyDescent="0.2">
      <c r="A25980" t="s">
        <v>41420</v>
      </c>
      <c r="B25980" t="s">
        <v>33899</v>
      </c>
      <c r="C25980" t="s">
        <v>14</v>
      </c>
      <c r="D25980" t="s">
        <v>422</v>
      </c>
      <c r="E25980" t="s">
        <v>15</v>
      </c>
      <c r="F25980" s="2" t="str">
        <f>HYPERLINK("http://www.otzar.org/book.asp?84375","מראש מקדם")</f>
        <v>מראש מקדם</v>
      </c>
    </row>
    <row r="25981" spans="1:6" x14ac:dyDescent="0.2">
      <c r="A25981" t="s">
        <v>41421</v>
      </c>
      <c r="B25981" t="s">
        <v>11221</v>
      </c>
      <c r="C25981" t="s">
        <v>20</v>
      </c>
      <c r="D25981" t="s">
        <v>21</v>
      </c>
      <c r="E25981" t="s">
        <v>119</v>
      </c>
      <c r="F25981" s="2" t="str">
        <f>HYPERLINK("http://www.otzar.org/book.asp?199933","מראש צורים אראנו")</f>
        <v>מראש צורים אראנו</v>
      </c>
    </row>
    <row r="25982" spans="1:6" x14ac:dyDescent="0.2">
      <c r="A25982" t="s">
        <v>41422</v>
      </c>
      <c r="B25982" t="s">
        <v>41423</v>
      </c>
      <c r="C25982" t="s">
        <v>624</v>
      </c>
      <c r="D25982" t="s">
        <v>52</v>
      </c>
      <c r="E25982" t="s">
        <v>104</v>
      </c>
      <c r="F25982" s="2" t="str">
        <f>HYPERLINK("http://www.otzar.org/book.asp?159360","מראש צורים - אלה מסעי")</f>
        <v>מראש צורים - אלה מסעי</v>
      </c>
    </row>
    <row r="25983" spans="1:6" x14ac:dyDescent="0.2">
      <c r="A25983" t="s">
        <v>41424</v>
      </c>
      <c r="B25983" t="s">
        <v>41425</v>
      </c>
      <c r="C25983" t="s">
        <v>13</v>
      </c>
      <c r="D25983" t="s">
        <v>412</v>
      </c>
      <c r="E25983" t="s">
        <v>119</v>
      </c>
      <c r="F25983" s="2" t="str">
        <f>HYPERLINK("http://www.otzar.org/book.asp?144739","מראש צורים")</f>
        <v>מראש צורים</v>
      </c>
    </row>
    <row r="25984" spans="1:6" x14ac:dyDescent="0.2">
      <c r="A25984" t="s">
        <v>41424</v>
      </c>
      <c r="B25984" t="s">
        <v>41426</v>
      </c>
      <c r="C25984" t="s">
        <v>37</v>
      </c>
      <c r="D25984" t="s">
        <v>14</v>
      </c>
      <c r="E25984" t="s">
        <v>213</v>
      </c>
      <c r="F25984" s="2" t="str">
        <f>HYPERLINK("http://www.otzar.org/book.asp?189803","מראש צורים")</f>
        <v>מראש צורים</v>
      </c>
    </row>
    <row r="25985" spans="1:6" x14ac:dyDescent="0.2">
      <c r="A25985" t="s">
        <v>41427</v>
      </c>
      <c r="B25985" t="s">
        <v>41428</v>
      </c>
      <c r="C25985" t="s">
        <v>133</v>
      </c>
      <c r="D25985" t="s">
        <v>52</v>
      </c>
      <c r="E25985" t="s">
        <v>384</v>
      </c>
      <c r="F25985" s="2" t="str">
        <f>HYPERLINK("http://www.otzar.org/book.asp?611038","מראש צורים - רבי חיים צבי שבארץ")</f>
        <v>מראש צורים - רבי חיים צבי שבארץ</v>
      </c>
    </row>
    <row r="25986" spans="1:6" x14ac:dyDescent="0.2">
      <c r="A25986" t="s">
        <v>41424</v>
      </c>
      <c r="B25986" t="s">
        <v>36522</v>
      </c>
      <c r="C25986" t="s">
        <v>146</v>
      </c>
      <c r="D25986" t="s">
        <v>14</v>
      </c>
      <c r="E25986" t="s">
        <v>579</v>
      </c>
      <c r="F25986" s="2" t="str">
        <f>HYPERLINK("http://www.otzar.org/book.asp?606096","מראש צורים")</f>
        <v>מראש צורים</v>
      </c>
    </row>
    <row r="25987" spans="1:6" x14ac:dyDescent="0.2">
      <c r="A25987" t="s">
        <v>41429</v>
      </c>
      <c r="B25987" t="s">
        <v>11324</v>
      </c>
      <c r="C25987" t="s">
        <v>71</v>
      </c>
      <c r="D25987" t="s">
        <v>14</v>
      </c>
      <c r="E25987" t="s">
        <v>158</v>
      </c>
      <c r="F25987" s="2" t="str">
        <f>HYPERLINK("http://www.otzar.org/book.asp?61231","מראש צורים - 5 כר'")</f>
        <v>מראש צורים - 5 כר'</v>
      </c>
    </row>
    <row r="25988" spans="1:6" x14ac:dyDescent="0.2">
      <c r="A25988" t="s">
        <v>41430</v>
      </c>
      <c r="B25988" t="s">
        <v>4640</v>
      </c>
      <c r="C25988" t="s">
        <v>151</v>
      </c>
      <c r="D25988" t="s">
        <v>52</v>
      </c>
      <c r="F25988" s="2" t="str">
        <f>HYPERLINK("http://www.otzar.org/book.asp?617594","מראשית השנה")</f>
        <v>מראשית השנה</v>
      </c>
    </row>
    <row r="25989" spans="1:6" x14ac:dyDescent="0.2">
      <c r="A25989" t="s">
        <v>41430</v>
      </c>
      <c r="B25989" t="s">
        <v>18973</v>
      </c>
      <c r="C25989" t="s">
        <v>411</v>
      </c>
      <c r="D25989" t="s">
        <v>52</v>
      </c>
      <c r="E25989" t="s">
        <v>1164</v>
      </c>
      <c r="F25989" s="2" t="str">
        <f>HYPERLINK("http://www.otzar.org/book.asp?169791","מראשית השנה")</f>
        <v>מראשית השנה</v>
      </c>
    </row>
    <row r="25990" spans="1:6" x14ac:dyDescent="0.2">
      <c r="A25990" t="s">
        <v>41431</v>
      </c>
      <c r="B25990" t="s">
        <v>41432</v>
      </c>
      <c r="C25990" t="s">
        <v>2589</v>
      </c>
      <c r="D25990" t="s">
        <v>1023</v>
      </c>
      <c r="E25990" t="s">
        <v>241</v>
      </c>
      <c r="F25990" s="2" t="str">
        <f>HYPERLINK("http://www.otzar.org/book.asp?146998","מראת הצדק")</f>
        <v>מראת הצדק</v>
      </c>
    </row>
    <row r="25991" spans="1:6" x14ac:dyDescent="0.2">
      <c r="A25991" t="s">
        <v>41433</v>
      </c>
      <c r="B25991" t="s">
        <v>23170</v>
      </c>
      <c r="C25991" t="s">
        <v>189</v>
      </c>
      <c r="D25991" t="s">
        <v>367</v>
      </c>
      <c r="E25991" t="s">
        <v>158</v>
      </c>
      <c r="F25991" s="2" t="str">
        <f>HYPERLINK("http://www.otzar.org/book.asp?60226","מרבדי חן - 2 כר'")</f>
        <v>מרבדי חן - 2 כר'</v>
      </c>
    </row>
    <row r="25992" spans="1:6" x14ac:dyDescent="0.2">
      <c r="A25992" t="s">
        <v>41434</v>
      </c>
      <c r="B25992" t="s">
        <v>4397</v>
      </c>
      <c r="C25992" t="s">
        <v>20</v>
      </c>
      <c r="D25992" t="s">
        <v>4318</v>
      </c>
      <c r="F25992" s="2" t="str">
        <f>HYPERLINK("http://www.otzar.org/book.asp?603862","מרבה  קדושה - קידושין")</f>
        <v>מרבה  קדושה - קידושין</v>
      </c>
    </row>
    <row r="25993" spans="1:6" x14ac:dyDescent="0.2">
      <c r="A25993" t="s">
        <v>41435</v>
      </c>
      <c r="B25993" t="s">
        <v>4397</v>
      </c>
      <c r="C25993" t="s">
        <v>454</v>
      </c>
      <c r="D25993" t="s">
        <v>14</v>
      </c>
      <c r="E25993" t="s">
        <v>144</v>
      </c>
      <c r="F25993" s="2" t="str">
        <f>HYPERLINK("http://www.otzar.org/book.asp?62917","מרבה אמונה")</f>
        <v>מרבה אמונה</v>
      </c>
    </row>
    <row r="25994" spans="1:6" x14ac:dyDescent="0.2">
      <c r="A25994" t="s">
        <v>41436</v>
      </c>
      <c r="B25994" t="s">
        <v>4397</v>
      </c>
      <c r="C25994" t="s">
        <v>422</v>
      </c>
      <c r="D25994" t="s">
        <v>17707</v>
      </c>
      <c r="E25994" t="s">
        <v>144</v>
      </c>
      <c r="F25994" s="2" t="str">
        <f>HYPERLINK("http://www.otzar.org/book.asp?151091","מרבה ברכה")</f>
        <v>מרבה ברכה</v>
      </c>
    </row>
    <row r="25995" spans="1:6" x14ac:dyDescent="0.2">
      <c r="A25995" t="s">
        <v>41437</v>
      </c>
      <c r="B25995" t="s">
        <v>4397</v>
      </c>
      <c r="C25995" t="s">
        <v>313</v>
      </c>
      <c r="D25995" t="s">
        <v>30297</v>
      </c>
      <c r="E25995" t="s">
        <v>144</v>
      </c>
      <c r="F25995" s="2" t="str">
        <f>HYPERLINK("http://www.otzar.org/book.asp?150604","מרבה בשמחה")</f>
        <v>מרבה בשמחה</v>
      </c>
    </row>
    <row r="25996" spans="1:6" x14ac:dyDescent="0.2">
      <c r="A25996" t="s">
        <v>41438</v>
      </c>
      <c r="B25996" t="s">
        <v>4397</v>
      </c>
      <c r="C25996" t="s">
        <v>411</v>
      </c>
      <c r="D25996" t="s">
        <v>17707</v>
      </c>
      <c r="E25996" t="s">
        <v>144</v>
      </c>
      <c r="F25996" s="2" t="str">
        <f>HYPERLINK("http://www.otzar.org/book.asp?603860","מרבה בתפילה")</f>
        <v>מרבה בתפילה</v>
      </c>
    </row>
    <row r="25997" spans="1:6" x14ac:dyDescent="0.2">
      <c r="A25997" t="s">
        <v>41439</v>
      </c>
      <c r="B25997" t="s">
        <v>4397</v>
      </c>
      <c r="C25997" t="s">
        <v>422</v>
      </c>
      <c r="D25997" t="s">
        <v>17707</v>
      </c>
      <c r="E25997" t="s">
        <v>144</v>
      </c>
      <c r="F25997" s="2" t="str">
        <f>HYPERLINK("http://www.otzar.org/book.asp?151088","מרבה זכרון - 2 כר'")</f>
        <v>מרבה זכרון - 2 כר'</v>
      </c>
    </row>
    <row r="25998" spans="1:6" x14ac:dyDescent="0.2">
      <c r="A25998" t="s">
        <v>41440</v>
      </c>
      <c r="B25998" t="s">
        <v>4397</v>
      </c>
      <c r="C25998" t="s">
        <v>422</v>
      </c>
      <c r="D25998" t="s">
        <v>17707</v>
      </c>
      <c r="E25998" t="s">
        <v>144</v>
      </c>
      <c r="F25998" s="2" t="str">
        <f>HYPERLINK("http://www.otzar.org/book.asp?151090","מרבה חותם")</f>
        <v>מרבה חותם</v>
      </c>
    </row>
    <row r="25999" spans="1:6" x14ac:dyDescent="0.2">
      <c r="A25999" t="s">
        <v>41441</v>
      </c>
      <c r="B25999" t="s">
        <v>4397</v>
      </c>
      <c r="C25999" t="s">
        <v>422</v>
      </c>
      <c r="D25999" t="s">
        <v>17707</v>
      </c>
      <c r="E25999" t="s">
        <v>144</v>
      </c>
      <c r="F25999" s="2" t="str">
        <f>HYPERLINK("http://www.otzar.org/book.asp?151092","מרבה חיים - 2 כר'")</f>
        <v>מרבה חיים - 2 כר'</v>
      </c>
    </row>
    <row r="26000" spans="1:6" x14ac:dyDescent="0.2">
      <c r="A26000" t="s">
        <v>41441</v>
      </c>
      <c r="B26000" t="s">
        <v>23824</v>
      </c>
      <c r="C26000" t="s">
        <v>466</v>
      </c>
      <c r="D26000" t="s">
        <v>90</v>
      </c>
      <c r="E26000" t="s">
        <v>104</v>
      </c>
      <c r="F26000" s="2" t="str">
        <f>HYPERLINK("http://www.otzar.org/book.asp?63227","מרבה חיים - 2 כר'")</f>
        <v>מרבה חיים - 2 כר'</v>
      </c>
    </row>
    <row r="26001" spans="1:6" x14ac:dyDescent="0.2">
      <c r="A26001" t="s">
        <v>41442</v>
      </c>
      <c r="B26001" t="s">
        <v>41283</v>
      </c>
      <c r="C26001" t="s">
        <v>111</v>
      </c>
      <c r="D26001" t="s">
        <v>14</v>
      </c>
      <c r="F26001" s="2" t="str">
        <f>HYPERLINK("http://www.otzar.org/book.asp?632826","מרבה חיים")</f>
        <v>מרבה חיים</v>
      </c>
    </row>
    <row r="26002" spans="1:6" x14ac:dyDescent="0.2">
      <c r="A26002" t="s">
        <v>41443</v>
      </c>
      <c r="B26002" t="s">
        <v>4397</v>
      </c>
      <c r="C26002" t="s">
        <v>13</v>
      </c>
      <c r="D26002" t="s">
        <v>14</v>
      </c>
      <c r="E26002" t="s">
        <v>144</v>
      </c>
      <c r="F26002" s="2" t="str">
        <f>HYPERLINK("http://www.otzar.org/book.asp?151085","מרבה טובה")</f>
        <v>מרבה טובה</v>
      </c>
    </row>
    <row r="26003" spans="1:6" x14ac:dyDescent="0.2">
      <c r="A26003" t="s">
        <v>41444</v>
      </c>
      <c r="B26003" t="s">
        <v>20675</v>
      </c>
      <c r="C26003" t="s">
        <v>433</v>
      </c>
      <c r="D26003" t="s">
        <v>9</v>
      </c>
      <c r="E26003" t="s">
        <v>3018</v>
      </c>
      <c r="F26003" s="2" t="str">
        <f>HYPERLINK("http://www.otzar.org/book.asp?101360","מרבה ישיבה מרבה חכמה - א ב")</f>
        <v>מרבה ישיבה מרבה חכמה - א ב</v>
      </c>
    </row>
    <row r="26004" spans="1:6" x14ac:dyDescent="0.2">
      <c r="A26004" t="s">
        <v>41445</v>
      </c>
      <c r="B26004" t="s">
        <v>4397</v>
      </c>
      <c r="C26004" t="s">
        <v>189</v>
      </c>
      <c r="D26004" t="s">
        <v>14</v>
      </c>
      <c r="E26004" t="s">
        <v>144</v>
      </c>
      <c r="F26004" s="2" t="str">
        <f>HYPERLINK("http://www.otzar.org/book.asp?62924","מרבה ישיבה")</f>
        <v>מרבה ישיבה</v>
      </c>
    </row>
    <row r="26005" spans="1:6" x14ac:dyDescent="0.2">
      <c r="A26005" t="s">
        <v>41446</v>
      </c>
      <c r="B26005" t="s">
        <v>41447</v>
      </c>
      <c r="C26005" t="s">
        <v>313</v>
      </c>
      <c r="D26005" t="s">
        <v>14</v>
      </c>
      <c r="E26005" t="s">
        <v>144</v>
      </c>
      <c r="F26005" s="2" t="str">
        <f>HYPERLINK("http://www.otzar.org/book.asp?62916","מרבה להפליא")</f>
        <v>מרבה להפליא</v>
      </c>
    </row>
    <row r="26006" spans="1:6" x14ac:dyDescent="0.2">
      <c r="A26006" t="s">
        <v>41448</v>
      </c>
      <c r="B26006" t="s">
        <v>4397</v>
      </c>
      <c r="C26006" t="s">
        <v>51</v>
      </c>
      <c r="D26006" t="s">
        <v>229</v>
      </c>
      <c r="E26006" t="s">
        <v>246</v>
      </c>
      <c r="F26006" s="2" t="str">
        <f>HYPERLINK("http://www.otzar.org/book.asp?150718","מרבה לספר על הגדה של פסח")</f>
        <v>מרבה לספר על הגדה של פסח</v>
      </c>
    </row>
    <row r="26007" spans="1:6" x14ac:dyDescent="0.2">
      <c r="A26007" t="s">
        <v>41449</v>
      </c>
      <c r="B26007" t="s">
        <v>4397</v>
      </c>
      <c r="C26007" t="s">
        <v>20</v>
      </c>
      <c r="D26007" t="s">
        <v>90</v>
      </c>
      <c r="E26007" t="s">
        <v>144</v>
      </c>
      <c r="F26007" s="2" t="str">
        <f>HYPERLINK("http://www.otzar.org/book.asp?151087","מרבה משפט")</f>
        <v>מרבה משפט</v>
      </c>
    </row>
    <row r="26008" spans="1:6" x14ac:dyDescent="0.2">
      <c r="A26008" t="s">
        <v>41450</v>
      </c>
      <c r="B26008" t="s">
        <v>4397</v>
      </c>
      <c r="C26008" t="s">
        <v>23</v>
      </c>
      <c r="D26008" t="s">
        <v>4318</v>
      </c>
      <c r="E26008" t="s">
        <v>144</v>
      </c>
      <c r="F26008" s="2" t="str">
        <f>HYPERLINK("http://www.otzar.org/book.asp?603861","מרבה נפש - כריתות")</f>
        <v>מרבה נפש - כריתות</v>
      </c>
    </row>
    <row r="26009" spans="1:6" x14ac:dyDescent="0.2">
      <c r="A26009" t="s">
        <v>41451</v>
      </c>
      <c r="B26009" t="s">
        <v>41452</v>
      </c>
      <c r="E26009" t="s">
        <v>202</v>
      </c>
      <c r="F26009" s="2" t="str">
        <f>HYPERLINK("http://www.otzar.org/book.asp?623505","מרבה ספרים מרבה חכמה")</f>
        <v>מרבה ספרים מרבה חכמה</v>
      </c>
    </row>
    <row r="26010" spans="1:6" x14ac:dyDescent="0.2">
      <c r="A26010" t="s">
        <v>41453</v>
      </c>
      <c r="B26010" t="s">
        <v>4397</v>
      </c>
      <c r="C26010" t="s">
        <v>20</v>
      </c>
      <c r="D26010" t="s">
        <v>90</v>
      </c>
      <c r="E26010" t="s">
        <v>144</v>
      </c>
      <c r="F26010" s="2" t="str">
        <f>HYPERLINK("http://www.otzar.org/book.asp?151086","מרבה עמידה")</f>
        <v>מרבה עמידה</v>
      </c>
    </row>
    <row r="26011" spans="1:6" x14ac:dyDescent="0.2">
      <c r="A26011" t="s">
        <v>41454</v>
      </c>
      <c r="B26011" t="s">
        <v>162</v>
      </c>
      <c r="C26011" t="s">
        <v>600</v>
      </c>
      <c r="D26011" t="s">
        <v>56</v>
      </c>
      <c r="E26011" t="s">
        <v>144</v>
      </c>
      <c r="F26011" s="2" t="str">
        <f>HYPERLINK("http://www.otzar.org/book.asp?10772","מרבה עצה")</f>
        <v>מרבה עצה</v>
      </c>
    </row>
    <row r="26012" spans="1:6" x14ac:dyDescent="0.2">
      <c r="A26012" t="s">
        <v>41455</v>
      </c>
      <c r="B26012" t="s">
        <v>4397</v>
      </c>
      <c r="C26012" t="s">
        <v>523</v>
      </c>
      <c r="D26012" t="s">
        <v>14</v>
      </c>
      <c r="E26012" t="s">
        <v>2088</v>
      </c>
      <c r="F26012" s="2" t="str">
        <f>HYPERLINK("http://www.otzar.org/book.asp?62918","מרבה שלום")</f>
        <v>מרבה שלום</v>
      </c>
    </row>
    <row r="26013" spans="1:6" x14ac:dyDescent="0.2">
      <c r="A26013" t="s">
        <v>41455</v>
      </c>
      <c r="B26013" t="s">
        <v>24304</v>
      </c>
      <c r="C26013" t="s">
        <v>4087</v>
      </c>
      <c r="D26013" t="s">
        <v>2303</v>
      </c>
      <c r="E26013" t="s">
        <v>104</v>
      </c>
      <c r="F26013" s="2" t="str">
        <f>HYPERLINK("http://www.otzar.org/book.asp?147010","מרבה שלום")</f>
        <v>מרבה שלום</v>
      </c>
    </row>
    <row r="26014" spans="1:6" x14ac:dyDescent="0.2">
      <c r="A26014" t="s">
        <v>41456</v>
      </c>
      <c r="B26014" t="s">
        <v>162</v>
      </c>
      <c r="C26014" t="s">
        <v>752</v>
      </c>
      <c r="D26014" t="s">
        <v>56</v>
      </c>
      <c r="E26014" t="s">
        <v>241</v>
      </c>
      <c r="F26014" s="2" t="str">
        <f>HYPERLINK("http://www.otzar.org/book.asp?10773","מרבה תבונה")</f>
        <v>מרבה תבונה</v>
      </c>
    </row>
    <row r="26015" spans="1:6" x14ac:dyDescent="0.2">
      <c r="A26015" t="s">
        <v>41457</v>
      </c>
      <c r="B26015" t="s">
        <v>5634</v>
      </c>
      <c r="C26015" t="s">
        <v>411</v>
      </c>
      <c r="D26015" t="s">
        <v>52</v>
      </c>
      <c r="E26015" t="s">
        <v>104</v>
      </c>
      <c r="F26015" s="2" t="str">
        <f>HYPERLINK("http://www.otzar.org/book.asp?168255","מרבה תורה מרבה חיים")</f>
        <v>מרבה תורה מרבה חיים</v>
      </c>
    </row>
    <row r="26016" spans="1:6" x14ac:dyDescent="0.2">
      <c r="A26016" t="s">
        <v>41458</v>
      </c>
      <c r="B26016" t="s">
        <v>41459</v>
      </c>
      <c r="C26016" t="s">
        <v>785</v>
      </c>
      <c r="D26016" t="s">
        <v>486</v>
      </c>
      <c r="E26016" t="s">
        <v>241</v>
      </c>
      <c r="F26016" s="2" t="str">
        <f>HYPERLINK("http://www.otzar.org/book.asp?156738","מרבה תורה")</f>
        <v>מרבה תורה</v>
      </c>
    </row>
    <row r="26017" spans="1:6" x14ac:dyDescent="0.2">
      <c r="A26017" t="s">
        <v>41460</v>
      </c>
      <c r="B26017" t="s">
        <v>4397</v>
      </c>
      <c r="C26017" t="s">
        <v>244</v>
      </c>
      <c r="D26017" t="s">
        <v>4318</v>
      </c>
      <c r="E26017" t="s">
        <v>158</v>
      </c>
      <c r="F26017" s="2" t="str">
        <f>HYPERLINK("http://www.otzar.org/book.asp?603863","מרבה תורה - בראשית ב")</f>
        <v>מרבה תורה - בראשית ב</v>
      </c>
    </row>
    <row r="26018" spans="1:6" x14ac:dyDescent="0.2">
      <c r="A26018" t="s">
        <v>41458</v>
      </c>
      <c r="B26018" t="s">
        <v>11614</v>
      </c>
      <c r="C26018" t="s">
        <v>553</v>
      </c>
      <c r="D26018" t="s">
        <v>423</v>
      </c>
      <c r="E26018" t="s">
        <v>1174</v>
      </c>
      <c r="F26018" s="2" t="str">
        <f>HYPERLINK("http://www.otzar.org/book.asp?162382","מרבה תורה")</f>
        <v>מרבה תורה</v>
      </c>
    </row>
    <row r="26019" spans="1:6" x14ac:dyDescent="0.2">
      <c r="A26019" t="s">
        <v>41458</v>
      </c>
      <c r="B26019" t="s">
        <v>382</v>
      </c>
      <c r="C26019" t="s">
        <v>1374</v>
      </c>
      <c r="D26019" t="s">
        <v>947</v>
      </c>
      <c r="E26019" t="s">
        <v>202</v>
      </c>
      <c r="F26019" s="2" t="str">
        <f>HYPERLINK("http://www.otzar.org/book.asp?151632","מרבה תורה")</f>
        <v>מרבה תורה</v>
      </c>
    </row>
    <row r="26020" spans="1:6" x14ac:dyDescent="0.2">
      <c r="A26020" t="s">
        <v>41458</v>
      </c>
      <c r="B26020" t="s">
        <v>41461</v>
      </c>
      <c r="C26020" t="s">
        <v>854</v>
      </c>
      <c r="D26020" t="s">
        <v>225</v>
      </c>
      <c r="E26020" t="s">
        <v>684</v>
      </c>
      <c r="F26020" s="2" t="str">
        <f>HYPERLINK("http://www.otzar.org/book.asp?6497","מרבה תורה")</f>
        <v>מרבה תורה</v>
      </c>
    </row>
    <row r="26021" spans="1:6" x14ac:dyDescent="0.2">
      <c r="A26021" t="s">
        <v>41462</v>
      </c>
      <c r="B26021" t="s">
        <v>41463</v>
      </c>
      <c r="C26021" t="s">
        <v>313</v>
      </c>
      <c r="D26021" t="s">
        <v>423</v>
      </c>
      <c r="E26021" t="s">
        <v>186</v>
      </c>
      <c r="F26021" s="2" t="str">
        <f>HYPERLINK("http://www.otzar.org/book.asp?60567","מרבה תורה - שבועות")</f>
        <v>מרבה תורה - שבועות</v>
      </c>
    </row>
    <row r="26022" spans="1:6" x14ac:dyDescent="0.2">
      <c r="A26022" t="s">
        <v>41464</v>
      </c>
      <c r="B26022" t="s">
        <v>107</v>
      </c>
      <c r="C26022" t="s">
        <v>20</v>
      </c>
      <c r="D26022" t="s">
        <v>14</v>
      </c>
      <c r="E26022" t="s">
        <v>119</v>
      </c>
      <c r="F26022" s="2" t="str">
        <f>HYPERLINK("http://www.otzar.org/book.asp?6137","מרביץ תורה הגדול")</f>
        <v>מרביץ תורה הגדול</v>
      </c>
    </row>
    <row r="26023" spans="1:6" x14ac:dyDescent="0.2">
      <c r="A26023" t="s">
        <v>41465</v>
      </c>
      <c r="B26023" t="s">
        <v>3554</v>
      </c>
      <c r="C26023" t="s">
        <v>124</v>
      </c>
      <c r="D26023" t="s">
        <v>52</v>
      </c>
      <c r="E26023" t="s">
        <v>119</v>
      </c>
      <c r="F26023" s="2" t="str">
        <f>HYPERLINK("http://www.otzar.org/book.asp?170572","מרביצי תורה ומוסר - 4 כר'")</f>
        <v>מרביצי תורה ומוסר - 4 כר'</v>
      </c>
    </row>
    <row r="26024" spans="1:6" x14ac:dyDescent="0.2">
      <c r="A26024" t="s">
        <v>41466</v>
      </c>
      <c r="B26024" t="s">
        <v>3554</v>
      </c>
      <c r="C26024" t="s">
        <v>940</v>
      </c>
      <c r="D26024" t="s">
        <v>52</v>
      </c>
      <c r="E26024" t="s">
        <v>119</v>
      </c>
      <c r="F26024" s="2" t="str">
        <f>HYPERLINK("http://www.otzar.org/book.asp?144123","מרביצי תורה מעולם החסידות - 8 כר'")</f>
        <v>מרביצי תורה מעולם החסידות - 8 כר'</v>
      </c>
    </row>
    <row r="26025" spans="1:6" x14ac:dyDescent="0.2">
      <c r="A26025" t="s">
        <v>41467</v>
      </c>
      <c r="B26025" t="s">
        <v>206</v>
      </c>
      <c r="C26025" t="s">
        <v>20</v>
      </c>
      <c r="D26025" t="s">
        <v>90</v>
      </c>
      <c r="E26025" t="s">
        <v>399</v>
      </c>
      <c r="F26025" s="2" t="str">
        <f>HYPERLINK("http://www.otzar.org/book.asp?51889","מרגליות הזוהר &lt;נופך דעת&gt; - 3 כר'")</f>
        <v>מרגליות הזוהר &lt;נופך דעת&gt; - 3 כר'</v>
      </c>
    </row>
    <row r="26026" spans="1:6" x14ac:dyDescent="0.2">
      <c r="A26026" t="s">
        <v>41468</v>
      </c>
      <c r="B26026" t="s">
        <v>41469</v>
      </c>
      <c r="C26026" t="s">
        <v>1374</v>
      </c>
      <c r="D26026" t="s">
        <v>283</v>
      </c>
      <c r="E26026" t="s">
        <v>104</v>
      </c>
      <c r="F26026" s="2" t="str">
        <f>HYPERLINK("http://www.otzar.org/book.asp?145237","מרגליות הים")</f>
        <v>מרגליות הים</v>
      </c>
    </row>
    <row r="26027" spans="1:6" x14ac:dyDescent="0.2">
      <c r="A26027" t="s">
        <v>41470</v>
      </c>
      <c r="B26027" t="s">
        <v>3520</v>
      </c>
      <c r="C26027" t="s">
        <v>422</v>
      </c>
      <c r="D26027" t="s">
        <v>14</v>
      </c>
      <c r="E26027" t="s">
        <v>144</v>
      </c>
      <c r="F26027" s="2" t="str">
        <f>HYPERLINK("http://www.otzar.org/book.asp?166470","מרגליות הש""ס - 17 כר'")</f>
        <v>מרגליות הש"ס - 17 כר'</v>
      </c>
    </row>
    <row r="26028" spans="1:6" x14ac:dyDescent="0.2">
      <c r="A26028" t="s">
        <v>41471</v>
      </c>
      <c r="B26028" t="s">
        <v>41472</v>
      </c>
      <c r="C26028" t="s">
        <v>41473</v>
      </c>
      <c r="D26028" t="s">
        <v>6776</v>
      </c>
      <c r="E26028" t="s">
        <v>579</v>
      </c>
      <c r="F26028" s="2" t="str">
        <f>HYPERLINK("http://www.otzar.org/book.asp?104475","מרגליות התורה - 2 כר'")</f>
        <v>מרגליות התורה - 2 כר'</v>
      </c>
    </row>
    <row r="26029" spans="1:6" x14ac:dyDescent="0.2">
      <c r="A26029" t="s">
        <v>41474</v>
      </c>
      <c r="B26029" t="s">
        <v>531</v>
      </c>
      <c r="C26029" t="s">
        <v>7162</v>
      </c>
      <c r="D26029" t="s">
        <v>1023</v>
      </c>
      <c r="E26029" t="s">
        <v>158</v>
      </c>
      <c r="F26029" s="2" t="str">
        <f>HYPERLINK("http://www.otzar.org/book.asp?15922","מרגליות טובה")</f>
        <v>מרגליות טובה</v>
      </c>
    </row>
    <row r="26030" spans="1:6" x14ac:dyDescent="0.2">
      <c r="A26030" t="s">
        <v>41474</v>
      </c>
      <c r="B26030" t="s">
        <v>41475</v>
      </c>
      <c r="C26030" t="s">
        <v>989</v>
      </c>
      <c r="D26030" t="s">
        <v>14</v>
      </c>
      <c r="E26030" t="s">
        <v>463</v>
      </c>
      <c r="F26030" s="2" t="str">
        <f>HYPERLINK("http://www.otzar.org/book.asp?144671","מרגליות טובה")</f>
        <v>מרגליות טובה</v>
      </c>
    </row>
    <row r="26031" spans="1:6" x14ac:dyDescent="0.2">
      <c r="A26031" t="s">
        <v>41476</v>
      </c>
      <c r="B26031" t="s">
        <v>2944</v>
      </c>
      <c r="C26031" t="s">
        <v>31012</v>
      </c>
      <c r="D26031" t="s">
        <v>49</v>
      </c>
      <c r="E26031" t="s">
        <v>960</v>
      </c>
      <c r="F26031" s="2" t="str">
        <f>HYPERLINK("http://www.otzar.org/book.asp?20276","מרגליות טובות")</f>
        <v>מרגליות טובות</v>
      </c>
    </row>
    <row r="26032" spans="1:6" x14ac:dyDescent="0.2">
      <c r="A26032" t="s">
        <v>41477</v>
      </c>
      <c r="B26032" t="s">
        <v>1691</v>
      </c>
      <c r="C26032" t="s">
        <v>133</v>
      </c>
      <c r="D26032" t="s">
        <v>14</v>
      </c>
      <c r="E26032" t="s">
        <v>158</v>
      </c>
      <c r="F26032" s="2" t="str">
        <f>HYPERLINK("http://www.otzar.org/book.asp?619227","מרגליות מרבותינו שבסוריא")</f>
        <v>מרגליות מרבותינו שבסוריא</v>
      </c>
    </row>
    <row r="26033" spans="1:6" x14ac:dyDescent="0.2">
      <c r="A26033" t="s">
        <v>41478</v>
      </c>
      <c r="B26033" t="s">
        <v>41479</v>
      </c>
      <c r="C26033" t="s">
        <v>23</v>
      </c>
      <c r="D26033" t="s">
        <v>115</v>
      </c>
      <c r="E26033" t="s">
        <v>202</v>
      </c>
      <c r="F26033" s="2" t="str">
        <f>HYPERLINK("http://www.otzar.org/book.asp?601116","מרגלית הים")</f>
        <v>מרגלית הים</v>
      </c>
    </row>
    <row r="26034" spans="1:6" x14ac:dyDescent="0.2">
      <c r="A26034" t="s">
        <v>41480</v>
      </c>
      <c r="B26034" t="s">
        <v>14106</v>
      </c>
      <c r="C26034" t="s">
        <v>71</v>
      </c>
      <c r="D26034" t="s">
        <v>6151</v>
      </c>
      <c r="E26034" t="s">
        <v>241</v>
      </c>
      <c r="F26034" s="2" t="str">
        <f>HYPERLINK("http://www.otzar.org/book.asp?165374","מרגלית טובה")</f>
        <v>מרגלית טובה</v>
      </c>
    </row>
    <row r="26035" spans="1:6" x14ac:dyDescent="0.2">
      <c r="A26035" t="s">
        <v>41481</v>
      </c>
      <c r="B26035" t="s">
        <v>41482</v>
      </c>
      <c r="C26035" t="s">
        <v>146</v>
      </c>
      <c r="D26035" t="s">
        <v>646</v>
      </c>
      <c r="E26035" t="s">
        <v>140</v>
      </c>
      <c r="F26035" s="2" t="str">
        <f>HYPERLINK("http://www.otzar.org/book.asp?613861","מרגניטין טבין")</f>
        <v>מרגניטין טבין</v>
      </c>
    </row>
    <row r="26036" spans="1:6" x14ac:dyDescent="0.2">
      <c r="A26036" t="s">
        <v>41483</v>
      </c>
      <c r="B26036" t="s">
        <v>41484</v>
      </c>
      <c r="C26036" t="s">
        <v>466</v>
      </c>
      <c r="D26036" t="s">
        <v>14</v>
      </c>
      <c r="E26036" t="s">
        <v>140</v>
      </c>
      <c r="F26036" s="2" t="str">
        <f>HYPERLINK("http://www.otzar.org/book.asp?144087","מרגניתא דבי רבנן")</f>
        <v>מרגניתא דבי רבנן</v>
      </c>
    </row>
    <row r="26037" spans="1:6" x14ac:dyDescent="0.2">
      <c r="A26037" t="s">
        <v>41485</v>
      </c>
      <c r="B26037" t="s">
        <v>11773</v>
      </c>
      <c r="C26037" t="s">
        <v>383</v>
      </c>
      <c r="D26037" t="s">
        <v>14</v>
      </c>
      <c r="E26037" t="s">
        <v>34235</v>
      </c>
      <c r="F26037" s="2" t="str">
        <f>HYPERLINK("http://www.otzar.org/book.asp?10128","מרגניתא דר""ב")</f>
        <v>מרגניתא דר"ב</v>
      </c>
    </row>
    <row r="26038" spans="1:6" x14ac:dyDescent="0.2">
      <c r="A26038" t="s">
        <v>41486</v>
      </c>
      <c r="B26038" t="s">
        <v>3759</v>
      </c>
      <c r="C26038" t="s">
        <v>13</v>
      </c>
      <c r="D26038" t="s">
        <v>2798</v>
      </c>
      <c r="E26038" t="s">
        <v>41487</v>
      </c>
      <c r="F26038" s="2" t="str">
        <f>HYPERLINK("http://www.otzar.org/book.asp?171094","מרגניתא דר' מאיר &lt;מהדורה חדשה&gt;")</f>
        <v>מרגניתא דר' מאיר &lt;מהדורה חדשה&gt;</v>
      </c>
    </row>
    <row r="26039" spans="1:6" x14ac:dyDescent="0.2">
      <c r="A26039" t="s">
        <v>41488</v>
      </c>
      <c r="B26039" t="s">
        <v>2834</v>
      </c>
      <c r="C26039" t="s">
        <v>649</v>
      </c>
      <c r="D26039" t="s">
        <v>27</v>
      </c>
      <c r="E26039" t="s">
        <v>119</v>
      </c>
      <c r="F26039" s="2" t="str">
        <f>HYPERLINK("http://www.otzar.org/book.asp?166811","מרגניתא דר' מאיר")</f>
        <v>מרגניתא דר' מאיר</v>
      </c>
    </row>
    <row r="26040" spans="1:6" x14ac:dyDescent="0.2">
      <c r="A26040" t="s">
        <v>41488</v>
      </c>
      <c r="B26040" t="s">
        <v>3759</v>
      </c>
      <c r="C26040" t="s">
        <v>99</v>
      </c>
      <c r="D26040" t="s">
        <v>1279</v>
      </c>
      <c r="E26040" t="s">
        <v>1185</v>
      </c>
      <c r="F26040" s="2" t="str">
        <f>HYPERLINK("http://www.otzar.org/book.asp?107146","מרגניתא דר' מאיר")</f>
        <v>מרגניתא דר' מאיר</v>
      </c>
    </row>
    <row r="26041" spans="1:6" x14ac:dyDescent="0.2">
      <c r="A26041" t="s">
        <v>41489</v>
      </c>
      <c r="B26041" t="s">
        <v>3760</v>
      </c>
      <c r="C26041" t="s">
        <v>366</v>
      </c>
      <c r="D26041" t="s">
        <v>14</v>
      </c>
      <c r="E26041" t="s">
        <v>15280</v>
      </c>
      <c r="F26041" s="2" t="str">
        <f>HYPERLINK("http://www.otzar.org/book.asp?610606","מרגניתא דרבי מאיר &lt;מהדורה חדשה&gt;")</f>
        <v>מרגניתא דרבי מאיר &lt;מהדורה חדשה&gt;</v>
      </c>
    </row>
    <row r="26042" spans="1:6" x14ac:dyDescent="0.2">
      <c r="A26042" t="s">
        <v>41490</v>
      </c>
      <c r="B26042" t="s">
        <v>41491</v>
      </c>
      <c r="C26042" t="s">
        <v>168</v>
      </c>
      <c r="D26042" t="s">
        <v>52</v>
      </c>
      <c r="E26042" t="s">
        <v>104</v>
      </c>
      <c r="F26042" s="2" t="str">
        <f>HYPERLINK("http://www.otzar.org/book.asp?623683","מרגניתא דרבי מאיר")</f>
        <v>מרגניתא דרבי מאיר</v>
      </c>
    </row>
    <row r="26043" spans="1:6" x14ac:dyDescent="0.2">
      <c r="A26043" t="s">
        <v>41490</v>
      </c>
      <c r="B26043" t="s">
        <v>3760</v>
      </c>
      <c r="C26043" t="s">
        <v>1160</v>
      </c>
      <c r="D26043" t="s">
        <v>14</v>
      </c>
      <c r="E26043" t="s">
        <v>41492</v>
      </c>
      <c r="F26043" s="2" t="str">
        <f>HYPERLINK("http://www.otzar.org/book.asp?7040","מרגניתא דרבי מאיר")</f>
        <v>מרגניתא דרבי מאיר</v>
      </c>
    </row>
    <row r="26044" spans="1:6" x14ac:dyDescent="0.2">
      <c r="A26044" t="s">
        <v>41493</v>
      </c>
      <c r="B26044" t="s">
        <v>41494</v>
      </c>
      <c r="C26044" t="s">
        <v>2213</v>
      </c>
      <c r="D26044" t="s">
        <v>6042</v>
      </c>
      <c r="E26044" t="s">
        <v>674</v>
      </c>
      <c r="F26044" s="2" t="str">
        <f>HYPERLINK("http://www.otzar.org/book.asp?160757","מרגניתא טבא &lt;על סהמ""צ&gt;")</f>
        <v>מרגניתא טבא &lt;על סהמ"צ&gt;</v>
      </c>
    </row>
    <row r="26045" spans="1:6" x14ac:dyDescent="0.2">
      <c r="A26045" t="s">
        <v>41495</v>
      </c>
      <c r="B26045" t="s">
        <v>41496</v>
      </c>
      <c r="C26045" t="s">
        <v>37</v>
      </c>
      <c r="D26045" t="s">
        <v>80</v>
      </c>
      <c r="E26045" t="s">
        <v>714</v>
      </c>
      <c r="F26045" s="2" t="str">
        <f>HYPERLINK("http://www.otzar.org/book.asp?191695","מרגניתא טבא &lt;אבן ספיר - אבן תרשיש&gt;")</f>
        <v>מרגניתא טבא &lt;אבן ספיר - אבן תרשיש&gt;</v>
      </c>
    </row>
    <row r="26046" spans="1:6" x14ac:dyDescent="0.2">
      <c r="A26046" t="s">
        <v>41497</v>
      </c>
      <c r="B26046" t="s">
        <v>35276</v>
      </c>
      <c r="C26046" t="s">
        <v>523</v>
      </c>
      <c r="D26046" t="s">
        <v>412</v>
      </c>
      <c r="E26046" t="s">
        <v>158</v>
      </c>
      <c r="F26046" s="2" t="str">
        <f>HYPERLINK("http://www.otzar.org/book.asp?25049","מרגניתא טבא")</f>
        <v>מרגניתא טבא</v>
      </c>
    </row>
    <row r="26047" spans="1:6" x14ac:dyDescent="0.2">
      <c r="A26047" t="s">
        <v>41497</v>
      </c>
      <c r="B26047" t="s">
        <v>20062</v>
      </c>
      <c r="C26047" t="s">
        <v>1663</v>
      </c>
      <c r="D26047" t="s">
        <v>80</v>
      </c>
      <c r="E26047" t="s">
        <v>15</v>
      </c>
      <c r="F26047" s="2" t="str">
        <f>HYPERLINK("http://www.otzar.org/book.asp?930","מרגניתא טבא")</f>
        <v>מרגניתא טבא</v>
      </c>
    </row>
    <row r="26048" spans="1:6" x14ac:dyDescent="0.2">
      <c r="A26048" t="s">
        <v>41497</v>
      </c>
      <c r="B26048" t="s">
        <v>41498</v>
      </c>
      <c r="C26048" t="s">
        <v>1246</v>
      </c>
      <c r="D26048" t="s">
        <v>646</v>
      </c>
      <c r="E26048" t="s">
        <v>144</v>
      </c>
      <c r="F26048" s="2" t="str">
        <f>HYPERLINK("http://www.otzar.org/book.asp?181786","מרגניתא טבא")</f>
        <v>מרגניתא טבא</v>
      </c>
    </row>
    <row r="26049" spans="1:6" x14ac:dyDescent="0.2">
      <c r="A26049" t="s">
        <v>41499</v>
      </c>
      <c r="B26049" t="s">
        <v>41500</v>
      </c>
      <c r="C26049" t="s">
        <v>2289</v>
      </c>
      <c r="D26049" t="s">
        <v>1023</v>
      </c>
      <c r="E26049" t="s">
        <v>246</v>
      </c>
      <c r="F26049" s="2" t="str">
        <f>HYPERLINK("http://www.otzar.org/book.asp?101361","מרגניתא שפירא")</f>
        <v>מרגניתא שפירא</v>
      </c>
    </row>
    <row r="26050" spans="1:6" x14ac:dyDescent="0.2">
      <c r="A26050" t="s">
        <v>41499</v>
      </c>
      <c r="B26050" t="s">
        <v>10458</v>
      </c>
      <c r="C26050" t="s">
        <v>1096</v>
      </c>
      <c r="D26050" t="s">
        <v>2181</v>
      </c>
      <c r="E26050" t="s">
        <v>119</v>
      </c>
      <c r="F26050" s="2" t="str">
        <f>HYPERLINK("http://www.otzar.org/book.asp?20277","מרגניתא שפירא")</f>
        <v>מרגניתא שפירא</v>
      </c>
    </row>
    <row r="26051" spans="1:6" x14ac:dyDescent="0.2">
      <c r="A26051" t="s">
        <v>41501</v>
      </c>
      <c r="B26051" t="s">
        <v>19872</v>
      </c>
      <c r="C26051" t="s">
        <v>419</v>
      </c>
      <c r="D26051" t="s">
        <v>412</v>
      </c>
      <c r="F26051" s="2" t="str">
        <f>HYPERLINK("http://www.otzar.org/book.asp?185198","מרדכי - קידושין")</f>
        <v>מרדכי - קידושין</v>
      </c>
    </row>
    <row r="26052" spans="1:6" x14ac:dyDescent="0.2">
      <c r="A26052" t="s">
        <v>41502</v>
      </c>
      <c r="B26052" t="s">
        <v>41503</v>
      </c>
      <c r="C26052" t="s">
        <v>68</v>
      </c>
      <c r="D26052" t="s">
        <v>14919</v>
      </c>
      <c r="E26052" t="s">
        <v>119</v>
      </c>
      <c r="F26052" s="2" t="str">
        <f>HYPERLINK("http://www.otzar.org/book.asp?171455","מרוז'ין לציון")</f>
        <v>מרוז'ין לציון</v>
      </c>
    </row>
    <row r="26053" spans="1:6" x14ac:dyDescent="0.2">
      <c r="A26053" t="s">
        <v>41504</v>
      </c>
      <c r="B26053" t="s">
        <v>6899</v>
      </c>
      <c r="C26053" t="s">
        <v>5903</v>
      </c>
      <c r="D26053" t="s">
        <v>2295</v>
      </c>
      <c r="E26053" t="s">
        <v>1296</v>
      </c>
      <c r="F26053" s="2" t="str">
        <f>HYPERLINK("http://www.otzar.org/book.asp?101362","מרום הרי""ם")</f>
        <v>מרום הרי"ם</v>
      </c>
    </row>
    <row r="26054" spans="1:6" x14ac:dyDescent="0.2">
      <c r="A26054" t="s">
        <v>41505</v>
      </c>
      <c r="B26054" t="s">
        <v>14279</v>
      </c>
      <c r="C26054" t="s">
        <v>956</v>
      </c>
      <c r="D26054" t="s">
        <v>52</v>
      </c>
      <c r="E26054" t="s">
        <v>588</v>
      </c>
      <c r="F26054" s="2" t="str">
        <f>HYPERLINK("http://www.otzar.org/book.asp?16775","מרום הרי""מ")</f>
        <v>מרום הרי"מ</v>
      </c>
    </row>
    <row r="26055" spans="1:6" x14ac:dyDescent="0.2">
      <c r="A26055" t="s">
        <v>41506</v>
      </c>
      <c r="B26055" t="s">
        <v>1750</v>
      </c>
      <c r="C26055" t="s">
        <v>26</v>
      </c>
      <c r="D26055" t="s">
        <v>14</v>
      </c>
      <c r="E26055" t="s">
        <v>202</v>
      </c>
      <c r="F26055" s="2" t="str">
        <f>HYPERLINK("http://www.otzar.org/book.asp?142928","מרום ציון - א")</f>
        <v>מרום ציון - א</v>
      </c>
    </row>
    <row r="26056" spans="1:6" x14ac:dyDescent="0.2">
      <c r="A26056" t="s">
        <v>41507</v>
      </c>
      <c r="B26056" t="s">
        <v>3510</v>
      </c>
      <c r="C26056" t="s">
        <v>624</v>
      </c>
      <c r="D26056" t="s">
        <v>14</v>
      </c>
      <c r="E26056" t="s">
        <v>733</v>
      </c>
      <c r="F26056" s="2" t="str">
        <f>HYPERLINK("http://www.otzar.org/book.asp?104960","מרומא עד ירושלים")</f>
        <v>מרומא עד ירושלים</v>
      </c>
    </row>
    <row r="26057" spans="1:6" x14ac:dyDescent="0.2">
      <c r="A26057" t="s">
        <v>41508</v>
      </c>
      <c r="B26057" t="s">
        <v>552</v>
      </c>
      <c r="C26057" t="s">
        <v>146</v>
      </c>
      <c r="D26057" t="s">
        <v>14</v>
      </c>
      <c r="E26057" t="s">
        <v>186</v>
      </c>
      <c r="F26057" s="2" t="str">
        <f>HYPERLINK("http://www.otzar.org/book.asp?52972","מרומי נפתלי")</f>
        <v>מרומי נפתלי</v>
      </c>
    </row>
    <row r="26058" spans="1:6" x14ac:dyDescent="0.2">
      <c r="A26058" t="s">
        <v>41509</v>
      </c>
      <c r="B26058" t="s">
        <v>1303</v>
      </c>
      <c r="C26058" t="s">
        <v>1954</v>
      </c>
      <c r="D26058" t="s">
        <v>27</v>
      </c>
      <c r="E26058" t="s">
        <v>2533</v>
      </c>
      <c r="F26058" s="2" t="str">
        <f>HYPERLINK("http://www.otzar.org/book.asp?142896","מרומי שדה - 3 כר'")</f>
        <v>מרומי שדה - 3 כר'</v>
      </c>
    </row>
    <row r="26059" spans="1:6" x14ac:dyDescent="0.2">
      <c r="A26059" t="s">
        <v>41510</v>
      </c>
      <c r="B26059" t="s">
        <v>34405</v>
      </c>
      <c r="C26059" t="s">
        <v>1592</v>
      </c>
      <c r="D26059" t="s">
        <v>1023</v>
      </c>
      <c r="E26059" t="s">
        <v>144</v>
      </c>
      <c r="F26059" s="2" t="str">
        <f>HYPERLINK("http://www.otzar.org/book.asp?101507","מרומי שדה")</f>
        <v>מרומי שדה</v>
      </c>
    </row>
    <row r="26060" spans="1:6" x14ac:dyDescent="0.2">
      <c r="A26060" t="s">
        <v>41511</v>
      </c>
      <c r="B26060" t="s">
        <v>41512</v>
      </c>
      <c r="C26060" t="s">
        <v>114</v>
      </c>
      <c r="D26060" t="s">
        <v>52</v>
      </c>
      <c r="E26060" t="s">
        <v>3518</v>
      </c>
      <c r="F26060" s="2" t="str">
        <f>HYPERLINK("http://www.otzar.org/book.asp?163403","מרחבי ים - סנהדרין, מכות")</f>
        <v>מרחבי ים - סנהדרין, מכות</v>
      </c>
    </row>
    <row r="26061" spans="1:6" x14ac:dyDescent="0.2">
      <c r="A26061" t="s">
        <v>41513</v>
      </c>
      <c r="B26061" t="s">
        <v>41514</v>
      </c>
      <c r="C26061" t="s">
        <v>41515</v>
      </c>
      <c r="D26061" t="s">
        <v>41516</v>
      </c>
      <c r="E26061" t="s">
        <v>144</v>
      </c>
      <c r="F26061" s="2" t="str">
        <f>HYPERLINK("http://www.otzar.org/book.asp?105029","מרחבי יצחקי - 2 כר'")</f>
        <v>מרחבי יצחקי - 2 כר'</v>
      </c>
    </row>
    <row r="26062" spans="1:6" x14ac:dyDescent="0.2">
      <c r="A26062" t="s">
        <v>41517</v>
      </c>
      <c r="B26062" t="s">
        <v>41518</v>
      </c>
      <c r="C26062" t="s">
        <v>143</v>
      </c>
      <c r="D26062" t="s">
        <v>14</v>
      </c>
      <c r="E26062" t="s">
        <v>202</v>
      </c>
      <c r="F26062" s="2" t="str">
        <f>HYPERLINK("http://www.otzar.org/book.asp?602611","מרחבים - 2 כר'")</f>
        <v>מרחבים - 2 כר'</v>
      </c>
    </row>
    <row r="26063" spans="1:6" x14ac:dyDescent="0.2">
      <c r="A26063" t="s">
        <v>41519</v>
      </c>
      <c r="B26063" t="s">
        <v>41520</v>
      </c>
      <c r="C26063" t="s">
        <v>383</v>
      </c>
      <c r="D26063" t="s">
        <v>14</v>
      </c>
      <c r="E26063" t="s">
        <v>202</v>
      </c>
      <c r="F26063" s="2" t="str">
        <f>HYPERLINK("http://www.otzar.org/book.asp?175854","מרחיב גבולות ירושלים")</f>
        <v>מרחיב גבולות ירושלים</v>
      </c>
    </row>
    <row r="26064" spans="1:6" x14ac:dyDescent="0.2">
      <c r="A26064" t="s">
        <v>41521</v>
      </c>
      <c r="B26064" t="s">
        <v>41522</v>
      </c>
      <c r="C26064" t="s">
        <v>24472</v>
      </c>
      <c r="D26064" t="s">
        <v>691</v>
      </c>
      <c r="E26064" t="s">
        <v>508</v>
      </c>
      <c r="F26064" s="2" t="str">
        <f>HYPERLINK("http://www.otzar.org/book.asp?104603","מרחשת - 3 כר'")</f>
        <v>מרחשת - 3 כר'</v>
      </c>
    </row>
    <row r="26065" spans="1:6" x14ac:dyDescent="0.2">
      <c r="A26065" t="s">
        <v>41523</v>
      </c>
      <c r="B26065" t="s">
        <v>41524</v>
      </c>
      <c r="C26065" t="s">
        <v>9995</v>
      </c>
      <c r="D26065" t="s">
        <v>60</v>
      </c>
      <c r="E26065" t="s">
        <v>144</v>
      </c>
      <c r="F26065" s="2" t="str">
        <f>HYPERLINK("http://www.otzar.org/book.asp?151533","מרי צבי - 2 כר'")</f>
        <v>מרי צבי - 2 כר'</v>
      </c>
    </row>
    <row r="26066" spans="1:6" x14ac:dyDescent="0.2">
      <c r="A26066" t="s">
        <v>41525</v>
      </c>
      <c r="B26066" t="s">
        <v>3068</v>
      </c>
      <c r="C26066" t="s">
        <v>68</v>
      </c>
      <c r="D26066" t="s">
        <v>3069</v>
      </c>
      <c r="E26066" t="s">
        <v>393</v>
      </c>
      <c r="F26066" s="2" t="str">
        <f>HYPERLINK("http://www.otzar.org/book.asp?154688","מרי""ח ניחוח - 3 כר'")</f>
        <v>מרי"ח ניחוח - 3 כר'</v>
      </c>
    </row>
    <row r="26067" spans="1:6" x14ac:dyDescent="0.2">
      <c r="A26067" t="s">
        <v>41526</v>
      </c>
      <c r="B26067" t="s">
        <v>41527</v>
      </c>
      <c r="C26067" t="s">
        <v>133</v>
      </c>
      <c r="D26067" t="s">
        <v>3069</v>
      </c>
      <c r="E26067" t="s">
        <v>9356</v>
      </c>
      <c r="F26067" s="2" t="str">
        <f>HYPERLINK("http://www.otzar.org/book.asp?615393","מרי""ח ניחוח - קונטרס עצי המערכה")</f>
        <v>מרי"ח ניחוח - קונטרס עצי המערכה</v>
      </c>
    </row>
    <row r="26068" spans="1:6" x14ac:dyDescent="0.2">
      <c r="A26068" t="s">
        <v>41528</v>
      </c>
      <c r="B26068" t="s">
        <v>41529</v>
      </c>
      <c r="C26068" t="s">
        <v>30373</v>
      </c>
      <c r="D26068" t="s">
        <v>726</v>
      </c>
      <c r="E26068" t="s">
        <v>158</v>
      </c>
      <c r="F26068" s="2" t="str">
        <f>HYPERLINK("http://www.otzar.org/book.asp?62182","מריא דכיא")</f>
        <v>מריא דכיא</v>
      </c>
    </row>
    <row r="26069" spans="1:6" x14ac:dyDescent="0.2">
      <c r="A26069" t="s">
        <v>41530</v>
      </c>
      <c r="B26069" t="s">
        <v>34818</v>
      </c>
      <c r="C26069" t="s">
        <v>2289</v>
      </c>
      <c r="D26069" t="s">
        <v>1023</v>
      </c>
      <c r="E26069" t="s">
        <v>119</v>
      </c>
      <c r="F26069" s="2" t="str">
        <f>HYPERLINK("http://www.otzar.org/book.asp?84625","מריבת קדש")</f>
        <v>מריבת קדש</v>
      </c>
    </row>
    <row r="26070" spans="1:6" x14ac:dyDescent="0.2">
      <c r="A26070" t="s">
        <v>41531</v>
      </c>
      <c r="B26070" t="s">
        <v>26323</v>
      </c>
      <c r="C26070" t="s">
        <v>785</v>
      </c>
      <c r="D26070" t="s">
        <v>412</v>
      </c>
      <c r="F26070" s="2" t="str">
        <f>HYPERLINK("http://www.otzar.org/book.asp?163453","מריש בבירה")</f>
        <v>מריש בבירה</v>
      </c>
    </row>
    <row r="26071" spans="1:6" x14ac:dyDescent="0.2">
      <c r="A26071" t="s">
        <v>41532</v>
      </c>
      <c r="B26071" t="s">
        <v>41532</v>
      </c>
      <c r="C26071" t="s">
        <v>1650</v>
      </c>
      <c r="D26071" t="s">
        <v>27</v>
      </c>
      <c r="E26071" t="s">
        <v>41533</v>
      </c>
      <c r="F26071" s="2" t="str">
        <f>HYPERLINK("http://www.otzar.org/book.asp?719","מרכבה שלמה")</f>
        <v>מרכבה שלמה</v>
      </c>
    </row>
    <row r="26072" spans="1:6" x14ac:dyDescent="0.2">
      <c r="A26072" t="s">
        <v>41534</v>
      </c>
      <c r="B26072" t="s">
        <v>41535</v>
      </c>
      <c r="C26072" t="s">
        <v>13</v>
      </c>
      <c r="D26072" t="s">
        <v>52</v>
      </c>
      <c r="E26072" t="s">
        <v>15</v>
      </c>
      <c r="F26072" s="2" t="str">
        <f>HYPERLINK("http://www.otzar.org/book.asp?629315","מרכבו ארגמן")</f>
        <v>מרכבו ארגמן</v>
      </c>
    </row>
    <row r="26073" spans="1:6" x14ac:dyDescent="0.2">
      <c r="A26073" t="s">
        <v>41536</v>
      </c>
      <c r="B26073" t="s">
        <v>41537</v>
      </c>
      <c r="C26073" t="s">
        <v>37</v>
      </c>
      <c r="D26073" t="s">
        <v>21</v>
      </c>
      <c r="E26073" t="s">
        <v>158</v>
      </c>
      <c r="F26073" s="2" t="str">
        <f>HYPERLINK("http://www.otzar.org/book.asp?622640","מרכבות ארגמן &lt;תורה&gt; - 2 כר'")</f>
        <v>מרכבות ארגמן &lt;תורה&gt; - 2 כר'</v>
      </c>
    </row>
    <row r="26074" spans="1:6" x14ac:dyDescent="0.2">
      <c r="A26074" t="s">
        <v>41538</v>
      </c>
      <c r="B26074" t="s">
        <v>41537</v>
      </c>
      <c r="C26074" t="s">
        <v>37</v>
      </c>
      <c r="D26074" t="s">
        <v>21</v>
      </c>
      <c r="E26074" t="s">
        <v>154</v>
      </c>
      <c r="F26074" s="2" t="str">
        <f>HYPERLINK("http://www.otzar.org/book.asp?194991","מרכבות ארגמן - 7 כר'")</f>
        <v>מרכבות ארגמן - 7 כר'</v>
      </c>
    </row>
    <row r="26075" spans="1:6" x14ac:dyDescent="0.2">
      <c r="A26075" t="s">
        <v>41539</v>
      </c>
      <c r="B26075" t="s">
        <v>17494</v>
      </c>
      <c r="C26075" t="s">
        <v>553</v>
      </c>
      <c r="D26075" t="s">
        <v>245</v>
      </c>
      <c r="E26075" t="s">
        <v>84</v>
      </c>
      <c r="F26075" s="2" t="str">
        <f>HYPERLINK("http://www.otzar.org/book.asp?623795","מרכבת אליהו")</f>
        <v>מרכבת אליהו</v>
      </c>
    </row>
    <row r="26076" spans="1:6" x14ac:dyDescent="0.2">
      <c r="A26076" t="s">
        <v>41540</v>
      </c>
      <c r="B26076" t="s">
        <v>24709</v>
      </c>
      <c r="C26076" t="s">
        <v>313</v>
      </c>
      <c r="D26076" t="s">
        <v>14</v>
      </c>
      <c r="E26076" t="s">
        <v>15</v>
      </c>
      <c r="F26076" s="2" t="str">
        <f>HYPERLINK("http://www.otzar.org/book.asp?63038","מרכבת המשנה  &lt;מהדורת פלדהיים&gt; - 6 כר'")</f>
        <v>מרכבת המשנה  &lt;מהדורת פלדהיים&gt; - 6 כר'</v>
      </c>
    </row>
    <row r="26077" spans="1:6" x14ac:dyDescent="0.2">
      <c r="A26077" t="s">
        <v>41541</v>
      </c>
      <c r="B26077" t="s">
        <v>24709</v>
      </c>
      <c r="C26077" t="s">
        <v>313</v>
      </c>
      <c r="D26077" t="s">
        <v>52</v>
      </c>
      <c r="E26077" t="s">
        <v>15</v>
      </c>
      <c r="F26077" s="2" t="str">
        <f>HYPERLINK("http://www.otzar.org/book.asp?21973","מרכבת המשנה השלם - 4 כר'")</f>
        <v>מרכבת המשנה השלם - 4 כר'</v>
      </c>
    </row>
    <row r="26078" spans="1:6" x14ac:dyDescent="0.2">
      <c r="A26078" t="s">
        <v>41542</v>
      </c>
      <c r="B26078" t="s">
        <v>41543</v>
      </c>
      <c r="C26078" t="s">
        <v>1437</v>
      </c>
      <c r="D26078" t="s">
        <v>267</v>
      </c>
      <c r="E26078" t="s">
        <v>43</v>
      </c>
      <c r="F26078" s="2" t="str">
        <f>HYPERLINK("http://www.otzar.org/book.asp?8767","מרכבת המשנה על המכילתא")</f>
        <v>מרכבת המשנה על המכילתא</v>
      </c>
    </row>
    <row r="26079" spans="1:6" x14ac:dyDescent="0.2">
      <c r="A26079" t="s">
        <v>41544</v>
      </c>
      <c r="B26079" t="s">
        <v>16597</v>
      </c>
      <c r="C26079" t="s">
        <v>129</v>
      </c>
      <c r="D26079" t="s">
        <v>721</v>
      </c>
      <c r="E26079" t="s">
        <v>84</v>
      </c>
      <c r="F26079" s="2" t="str">
        <f>HYPERLINK("http://www.otzar.org/book.asp?160754","מרכבת המשנה - מסכת אבות")</f>
        <v>מרכבת המשנה - מסכת אבות</v>
      </c>
    </row>
    <row r="26080" spans="1:6" x14ac:dyDescent="0.2">
      <c r="A26080" t="s">
        <v>41545</v>
      </c>
      <c r="B26080" t="s">
        <v>28165</v>
      </c>
      <c r="C26080" t="s">
        <v>8678</v>
      </c>
      <c r="D26080" t="s">
        <v>157</v>
      </c>
      <c r="E26080" t="s">
        <v>15</v>
      </c>
      <c r="F26080" s="2" t="str">
        <f>HYPERLINK("http://www.otzar.org/book.asp?101170","מרכבת המשנה")</f>
        <v>מרכבת המשנה</v>
      </c>
    </row>
    <row r="26081" spans="1:6" x14ac:dyDescent="0.2">
      <c r="A26081" t="s">
        <v>41545</v>
      </c>
      <c r="B26081" t="s">
        <v>41546</v>
      </c>
      <c r="C26081" t="s">
        <v>41547</v>
      </c>
      <c r="D26081" t="s">
        <v>1117</v>
      </c>
      <c r="E26081" t="s">
        <v>104</v>
      </c>
      <c r="F26081" s="2" t="str">
        <f>HYPERLINK("http://www.otzar.org/book.asp?53451","מרכבת המשנה")</f>
        <v>מרכבת המשנה</v>
      </c>
    </row>
    <row r="26082" spans="1:6" x14ac:dyDescent="0.2">
      <c r="A26082" t="s">
        <v>41545</v>
      </c>
      <c r="B26082" t="s">
        <v>41548</v>
      </c>
      <c r="C26082" t="s">
        <v>2550</v>
      </c>
      <c r="D26082" t="s">
        <v>3293</v>
      </c>
      <c r="E26082" t="s">
        <v>6300</v>
      </c>
      <c r="F26082" s="2" t="str">
        <f>HYPERLINK("http://www.otzar.org/book.asp?51640","מרכבת המשנה")</f>
        <v>מרכבת המשנה</v>
      </c>
    </row>
    <row r="26083" spans="1:6" x14ac:dyDescent="0.2">
      <c r="A26083" t="s">
        <v>41549</v>
      </c>
      <c r="B26083" t="s">
        <v>24709</v>
      </c>
      <c r="C26083" t="s">
        <v>41550</v>
      </c>
      <c r="D26083" t="s">
        <v>2290</v>
      </c>
      <c r="E26083" t="s">
        <v>15</v>
      </c>
      <c r="F26083" s="2" t="str">
        <f>HYPERLINK("http://www.otzar.org/book.asp?5065","מרכבת המשנה - 2 כר'")</f>
        <v>מרכבת המשנה - 2 כר'</v>
      </c>
    </row>
    <row r="26084" spans="1:6" x14ac:dyDescent="0.2">
      <c r="A26084" t="s">
        <v>41551</v>
      </c>
      <c r="B26084" t="s">
        <v>41552</v>
      </c>
      <c r="C26084" t="s">
        <v>5823</v>
      </c>
      <c r="D26084" t="s">
        <v>283</v>
      </c>
      <c r="E26084" t="s">
        <v>104</v>
      </c>
      <c r="F26084" s="2" t="str">
        <f>HYPERLINK("http://www.otzar.org/book.asp?101169","מרכבת יוסף")</f>
        <v>מרכבת יוסף</v>
      </c>
    </row>
    <row r="26085" spans="1:6" x14ac:dyDescent="0.2">
      <c r="A26085" t="s">
        <v>41553</v>
      </c>
      <c r="B26085" t="s">
        <v>8229</v>
      </c>
      <c r="C26085" t="s">
        <v>41554</v>
      </c>
      <c r="D26085" t="s">
        <v>21</v>
      </c>
      <c r="E26085" t="s">
        <v>158</v>
      </c>
      <c r="F26085" s="2" t="str">
        <f>HYPERLINK("http://www.otzar.org/book.asp?603430","מרכבת יחזקאל - בראשית")</f>
        <v>מרכבת יחזקאל - בראשית</v>
      </c>
    </row>
    <row r="26086" spans="1:6" x14ac:dyDescent="0.2">
      <c r="A26086" t="s">
        <v>41555</v>
      </c>
      <c r="B26086" t="s">
        <v>41556</v>
      </c>
      <c r="C26086" t="s">
        <v>20</v>
      </c>
      <c r="D26086" t="s">
        <v>52</v>
      </c>
      <c r="E26086" t="s">
        <v>119</v>
      </c>
      <c r="F26086" s="2" t="str">
        <f>HYPERLINK("http://www.otzar.org/book.asp?188975","מרכבת יחזקאל")</f>
        <v>מרכבת יחזקאל</v>
      </c>
    </row>
    <row r="26087" spans="1:6" x14ac:dyDescent="0.2">
      <c r="A26087" t="s">
        <v>41557</v>
      </c>
      <c r="B26087" t="s">
        <v>41558</v>
      </c>
      <c r="C26087" t="s">
        <v>114</v>
      </c>
      <c r="D26087" t="s">
        <v>21</v>
      </c>
      <c r="E26087" t="s">
        <v>241</v>
      </c>
      <c r="F26087" s="2" t="str">
        <f>HYPERLINK("http://www.otzar.org/book.asp?199607","מרן הבית יוסף")</f>
        <v>מרן הבית יוסף</v>
      </c>
    </row>
    <row r="26088" spans="1:6" x14ac:dyDescent="0.2">
      <c r="A26088" t="s">
        <v>41559</v>
      </c>
      <c r="C26088" t="s">
        <v>180</v>
      </c>
      <c r="D26088" t="s">
        <v>14</v>
      </c>
      <c r="E26088" t="s">
        <v>119</v>
      </c>
      <c r="F26088" s="2" t="str">
        <f>HYPERLINK("http://www.otzar.org/book.asp?624699","מרן הגאון רבי אהרן קוטלר")</f>
        <v>מרן הגאון רבי אהרן קוטלר</v>
      </c>
    </row>
    <row r="26089" spans="1:6" x14ac:dyDescent="0.2">
      <c r="A26089" t="s">
        <v>41560</v>
      </c>
      <c r="B26089" t="s">
        <v>41561</v>
      </c>
      <c r="C26089" t="s">
        <v>411</v>
      </c>
      <c r="D26089" t="s">
        <v>90</v>
      </c>
      <c r="E26089" t="s">
        <v>119</v>
      </c>
      <c r="F26089" s="2" t="str">
        <f>HYPERLINK("http://www.otzar.org/book.asp?614830","מרן החלקת יהושע")</f>
        <v>מרן החלקת יהושע</v>
      </c>
    </row>
    <row r="26090" spans="1:6" x14ac:dyDescent="0.2">
      <c r="A26090" t="s">
        <v>41562</v>
      </c>
      <c r="B26090" t="s">
        <v>30479</v>
      </c>
      <c r="C26090" t="s">
        <v>20</v>
      </c>
      <c r="D26090" t="s">
        <v>90</v>
      </c>
      <c r="E26090" t="s">
        <v>119</v>
      </c>
      <c r="F26090" s="2" t="str">
        <f>HYPERLINK("http://www.otzar.org/book.asp?176925","מרן הקהילות יעקב זצוק""ל")</f>
        <v>מרן הקהילות יעקב זצוק"ל</v>
      </c>
    </row>
    <row r="26091" spans="1:6" x14ac:dyDescent="0.2">
      <c r="A26091" t="s">
        <v>41563</v>
      </c>
      <c r="B26091" t="s">
        <v>1091</v>
      </c>
      <c r="C26091" t="s">
        <v>51</v>
      </c>
      <c r="D26091" t="s">
        <v>14</v>
      </c>
      <c r="E26091" t="s">
        <v>119</v>
      </c>
      <c r="F26091" s="2" t="str">
        <f>HYPERLINK("http://www.otzar.org/book.asp?26713","מרן ראש הישיבה")</f>
        <v>מרן ראש הישיבה</v>
      </c>
    </row>
    <row r="26092" spans="1:6" x14ac:dyDescent="0.2">
      <c r="A26092" t="s">
        <v>41564</v>
      </c>
      <c r="B26092" t="s">
        <v>13208</v>
      </c>
      <c r="C26092" t="s">
        <v>1160</v>
      </c>
      <c r="D26092" t="s">
        <v>216</v>
      </c>
      <c r="E26092" t="s">
        <v>119</v>
      </c>
      <c r="F26092" s="2" t="str">
        <f>HYPERLINK("http://www.otzar.org/book.asp?145250","מרן רבינו מאיר שמחה כהן זצ""ל")</f>
        <v>מרן רבינו מאיר שמחה כהן זצ"ל</v>
      </c>
    </row>
    <row r="26093" spans="1:6" x14ac:dyDescent="0.2">
      <c r="A26093" t="s">
        <v>41565</v>
      </c>
      <c r="B26093" t="s">
        <v>1091</v>
      </c>
      <c r="C26093" t="s">
        <v>37</v>
      </c>
      <c r="D26093" t="s">
        <v>14</v>
      </c>
      <c r="E26093" t="s">
        <v>119</v>
      </c>
      <c r="F26093" s="2" t="str">
        <f>HYPERLINK("http://www.otzar.org/book.asp?189175","מרן - תולדות רבי עובדיה יוסף")</f>
        <v>מרן - תולדות רבי עובדיה יוסף</v>
      </c>
    </row>
    <row r="26094" spans="1:6" x14ac:dyDescent="0.2">
      <c r="A26094" t="s">
        <v>41566</v>
      </c>
      <c r="B26094" t="s">
        <v>7077</v>
      </c>
      <c r="C26094" t="s">
        <v>23</v>
      </c>
      <c r="D26094" t="s">
        <v>21</v>
      </c>
      <c r="F26094" s="2" t="str">
        <f>HYPERLINK("http://www.otzar.org/book.asp?622591","מרנן")</f>
        <v>מרנן</v>
      </c>
    </row>
    <row r="26095" spans="1:6" x14ac:dyDescent="0.2">
      <c r="A26095" t="s">
        <v>41567</v>
      </c>
      <c r="B26095" t="s">
        <v>41568</v>
      </c>
      <c r="C26095" t="s">
        <v>111</v>
      </c>
      <c r="D26095" t="s">
        <v>90</v>
      </c>
      <c r="E26095" t="s">
        <v>241</v>
      </c>
      <c r="F26095" s="2" t="str">
        <f>HYPERLINK("http://www.otzar.org/book.asp?630291","מרעה טוב")</f>
        <v>מרעה טוב</v>
      </c>
    </row>
    <row r="26096" spans="1:6" x14ac:dyDescent="0.2">
      <c r="A26096" t="s">
        <v>41569</v>
      </c>
      <c r="B26096" t="s">
        <v>41570</v>
      </c>
      <c r="C26096" t="s">
        <v>20</v>
      </c>
      <c r="D26096" t="s">
        <v>412</v>
      </c>
      <c r="E26096" t="s">
        <v>158</v>
      </c>
      <c r="F26096" s="2" t="str">
        <f>HYPERLINK("http://www.otzar.org/book.asp?174183","מרפא בכנפיה")</f>
        <v>מרפא בכנפיה</v>
      </c>
    </row>
    <row r="26097" spans="1:6" x14ac:dyDescent="0.2">
      <c r="A26097" t="s">
        <v>41571</v>
      </c>
      <c r="B26097" t="s">
        <v>36651</v>
      </c>
      <c r="C26097" t="s">
        <v>37</v>
      </c>
      <c r="D26097" t="s">
        <v>18543</v>
      </c>
      <c r="E26097" t="s">
        <v>219</v>
      </c>
      <c r="F26097" s="2" t="str">
        <f>HYPERLINK("http://www.otzar.org/book.asp?603010","מרפא לנפש &lt;מהדורת ארץ ישראל&gt;")</f>
        <v>מרפא לנפש &lt;מהדורת ארץ ישראל&gt;</v>
      </c>
    </row>
    <row r="26098" spans="1:6" x14ac:dyDescent="0.2">
      <c r="A26098" t="s">
        <v>41572</v>
      </c>
      <c r="B26098" t="s">
        <v>32456</v>
      </c>
      <c r="C26098" t="s">
        <v>114</v>
      </c>
      <c r="D26098" t="s">
        <v>3406</v>
      </c>
      <c r="E26098" t="s">
        <v>246</v>
      </c>
      <c r="F26098" s="2" t="str">
        <f>HYPERLINK("http://www.otzar.org/book.asp?165506","מרפא לנפש החדש לימות אגד""ו")</f>
        <v>מרפא לנפש החדש לימות אגד"ו</v>
      </c>
    </row>
    <row r="26099" spans="1:6" x14ac:dyDescent="0.2">
      <c r="A26099" t="s">
        <v>41573</v>
      </c>
      <c r="B26099" t="s">
        <v>41574</v>
      </c>
      <c r="C26099" t="s">
        <v>433</v>
      </c>
      <c r="D26099" t="s">
        <v>9</v>
      </c>
      <c r="E26099" t="s">
        <v>172</v>
      </c>
      <c r="F26099" s="2" t="str">
        <f>HYPERLINK("http://www.otzar.org/book.asp?101142","מרפא לנפש - 5 כר'")</f>
        <v>מרפא לנפש - 5 כר'</v>
      </c>
    </row>
    <row r="26100" spans="1:6" x14ac:dyDescent="0.2">
      <c r="A26100" t="s">
        <v>41575</v>
      </c>
      <c r="B26100" t="s">
        <v>41576</v>
      </c>
      <c r="C26100" t="s">
        <v>1706</v>
      </c>
      <c r="D26100" t="s">
        <v>27</v>
      </c>
      <c r="E26100" t="s">
        <v>10</v>
      </c>
      <c r="F26100" s="2" t="str">
        <f>HYPERLINK("http://www.otzar.org/book.asp?20278","מרפא לנפש")</f>
        <v>מרפא לנפש</v>
      </c>
    </row>
    <row r="26101" spans="1:6" x14ac:dyDescent="0.2">
      <c r="A26101" t="s">
        <v>41575</v>
      </c>
      <c r="B26101" t="s">
        <v>1956</v>
      </c>
      <c r="C26101" t="s">
        <v>237</v>
      </c>
      <c r="D26101" t="s">
        <v>412</v>
      </c>
      <c r="E26101" t="s">
        <v>241</v>
      </c>
      <c r="F26101" s="2" t="str">
        <f>HYPERLINK("http://www.otzar.org/book.asp?7369","מרפא לנפש")</f>
        <v>מרפא לנפש</v>
      </c>
    </row>
    <row r="26102" spans="1:6" x14ac:dyDescent="0.2">
      <c r="A26102" t="s">
        <v>41575</v>
      </c>
      <c r="B26102" t="s">
        <v>4537</v>
      </c>
      <c r="C26102" t="s">
        <v>4538</v>
      </c>
      <c r="D26102" t="s">
        <v>729</v>
      </c>
      <c r="E26102" t="s">
        <v>6305</v>
      </c>
      <c r="F26102" s="2" t="str">
        <f>HYPERLINK("http://www.otzar.org/book.asp?103599","מרפא לנפש")</f>
        <v>מרפא לנפש</v>
      </c>
    </row>
    <row r="26103" spans="1:6" x14ac:dyDescent="0.2">
      <c r="A26103" t="s">
        <v>41577</v>
      </c>
      <c r="B26103" t="s">
        <v>41578</v>
      </c>
      <c r="C26103" t="s">
        <v>151</v>
      </c>
      <c r="D26103" t="s">
        <v>90</v>
      </c>
      <c r="E26103" t="s">
        <v>3755</v>
      </c>
      <c r="F26103" s="2" t="str">
        <f>HYPERLINK("http://www.otzar.org/book.asp?628059","מרפא לנפש - 2 כר'")</f>
        <v>מרפא לנפש - 2 כר'</v>
      </c>
    </row>
    <row r="26104" spans="1:6" x14ac:dyDescent="0.2">
      <c r="A26104" t="s">
        <v>41575</v>
      </c>
      <c r="B26104" t="s">
        <v>28283</v>
      </c>
      <c r="C26104" t="s">
        <v>4562</v>
      </c>
      <c r="D26104" t="s">
        <v>49</v>
      </c>
      <c r="E26104" t="s">
        <v>241</v>
      </c>
      <c r="F26104" s="2" t="str">
        <f>HYPERLINK("http://www.otzar.org/book.asp?28329","מרפא לנפש")</f>
        <v>מרפא לנפש</v>
      </c>
    </row>
    <row r="26105" spans="1:6" x14ac:dyDescent="0.2">
      <c r="A26105" t="s">
        <v>41575</v>
      </c>
      <c r="B26105" t="s">
        <v>41579</v>
      </c>
      <c r="C26105" t="s">
        <v>568</v>
      </c>
      <c r="D26105" t="s">
        <v>212</v>
      </c>
      <c r="E26105" t="s">
        <v>219</v>
      </c>
      <c r="F26105" s="2" t="str">
        <f>HYPERLINK("http://www.otzar.org/book.asp?25470","מרפא לנפש")</f>
        <v>מרפא לנפש</v>
      </c>
    </row>
    <row r="26106" spans="1:6" x14ac:dyDescent="0.2">
      <c r="A26106" t="s">
        <v>41575</v>
      </c>
      <c r="B26106" t="s">
        <v>41580</v>
      </c>
      <c r="C26106" t="s">
        <v>306</v>
      </c>
      <c r="D26106" t="s">
        <v>76</v>
      </c>
      <c r="E26106" t="s">
        <v>219</v>
      </c>
      <c r="F26106" s="2" t="str">
        <f>HYPERLINK("http://www.otzar.org/book.asp?171292","מרפא לנפש")</f>
        <v>מרפא לנפש</v>
      </c>
    </row>
    <row r="26107" spans="1:6" x14ac:dyDescent="0.2">
      <c r="A26107" t="s">
        <v>41575</v>
      </c>
      <c r="B26107" t="s">
        <v>41581</v>
      </c>
      <c r="C26107" t="s">
        <v>800</v>
      </c>
      <c r="D26107" t="s">
        <v>1490</v>
      </c>
      <c r="E26107" t="s">
        <v>1517</v>
      </c>
      <c r="F26107" s="2" t="str">
        <f>HYPERLINK("http://www.otzar.org/book.asp?918","מרפא לנפש")</f>
        <v>מרפא לנפש</v>
      </c>
    </row>
    <row r="26108" spans="1:6" x14ac:dyDescent="0.2">
      <c r="A26108" t="s">
        <v>41575</v>
      </c>
      <c r="B26108" t="s">
        <v>1988</v>
      </c>
      <c r="C26108" t="s">
        <v>8799</v>
      </c>
      <c r="D26108" t="s">
        <v>49</v>
      </c>
      <c r="E26108" t="s">
        <v>219</v>
      </c>
      <c r="F26108" s="2" t="str">
        <f>HYPERLINK("http://www.otzar.org/book.asp?153052","מרפא לנפש")</f>
        <v>מרפא לנפש</v>
      </c>
    </row>
    <row r="26109" spans="1:6" x14ac:dyDescent="0.2">
      <c r="A26109" t="s">
        <v>41582</v>
      </c>
      <c r="B26109" t="s">
        <v>6636</v>
      </c>
      <c r="C26109" t="s">
        <v>5903</v>
      </c>
      <c r="D26109" t="s">
        <v>41583</v>
      </c>
      <c r="F26109" s="2" t="str">
        <f>HYPERLINK("http://www.otzar.org/book.asp?626416","מרפא לעצם")</f>
        <v>מרפא לעצם</v>
      </c>
    </row>
    <row r="26110" spans="1:6" x14ac:dyDescent="0.2">
      <c r="A26110" t="s">
        <v>41582</v>
      </c>
      <c r="B26110" t="s">
        <v>8330</v>
      </c>
      <c r="C26110" t="s">
        <v>114</v>
      </c>
      <c r="D26110" t="s">
        <v>52</v>
      </c>
      <c r="F26110" s="2" t="str">
        <f>HYPERLINK("http://www.otzar.org/book.asp?613612","מרפא לעצם")</f>
        <v>מרפא לעצם</v>
      </c>
    </row>
    <row r="26111" spans="1:6" x14ac:dyDescent="0.2">
      <c r="A26111" t="s">
        <v>41584</v>
      </c>
      <c r="B26111" t="s">
        <v>16107</v>
      </c>
      <c r="C26111" t="s">
        <v>189</v>
      </c>
      <c r="D26111" t="s">
        <v>14</v>
      </c>
      <c r="E26111" t="s">
        <v>241</v>
      </c>
      <c r="F26111" s="2" t="str">
        <f>HYPERLINK("http://www.otzar.org/book.asp?176366","מרפא לשון &lt;מהדורה חדשה&gt;")</f>
        <v>מרפא לשון &lt;מהדורה חדשה&gt;</v>
      </c>
    </row>
    <row r="26112" spans="1:6" x14ac:dyDescent="0.2">
      <c r="A26112" t="s">
        <v>41585</v>
      </c>
      <c r="B26112" t="s">
        <v>16825</v>
      </c>
      <c r="C26112" t="s">
        <v>41586</v>
      </c>
      <c r="D26112" t="s">
        <v>1490</v>
      </c>
      <c r="E26112" t="s">
        <v>104</v>
      </c>
      <c r="F26112" s="2" t="str">
        <f>HYPERLINK("http://www.otzar.org/book.asp?147742","מרפא לשון")</f>
        <v>מרפא לשון</v>
      </c>
    </row>
    <row r="26113" spans="1:6" x14ac:dyDescent="0.2">
      <c r="A26113" t="s">
        <v>41585</v>
      </c>
      <c r="B26113" t="s">
        <v>41587</v>
      </c>
      <c r="C26113" t="s">
        <v>2271</v>
      </c>
      <c r="D26113" t="s">
        <v>76</v>
      </c>
      <c r="E26113" t="s">
        <v>4260</v>
      </c>
      <c r="F26113" s="2" t="str">
        <f>HYPERLINK("http://www.otzar.org/book.asp?25052","מרפא לשון")</f>
        <v>מרפא לשון</v>
      </c>
    </row>
    <row r="26114" spans="1:6" x14ac:dyDescent="0.2">
      <c r="A26114" t="s">
        <v>41585</v>
      </c>
      <c r="B26114" t="s">
        <v>41588</v>
      </c>
      <c r="C26114" t="s">
        <v>454</v>
      </c>
      <c r="D26114" t="s">
        <v>90</v>
      </c>
      <c r="E26114" t="s">
        <v>140</v>
      </c>
      <c r="F26114" s="2" t="str">
        <f>HYPERLINK("http://www.otzar.org/book.asp?619739","מרפא לשון")</f>
        <v>מרפא לשון</v>
      </c>
    </row>
    <row r="26115" spans="1:6" x14ac:dyDescent="0.2">
      <c r="A26115" t="s">
        <v>41585</v>
      </c>
      <c r="B26115" t="s">
        <v>4211</v>
      </c>
      <c r="C26115" t="s">
        <v>454</v>
      </c>
      <c r="D26115" t="s">
        <v>14</v>
      </c>
      <c r="E26115" t="s">
        <v>1847</v>
      </c>
      <c r="F26115" s="2" t="str">
        <f>HYPERLINK("http://www.otzar.org/book.asp?50087","מרפא לשון")</f>
        <v>מרפא לשון</v>
      </c>
    </row>
    <row r="26116" spans="1:6" x14ac:dyDescent="0.2">
      <c r="A26116" t="s">
        <v>41589</v>
      </c>
      <c r="B26116" t="s">
        <v>16107</v>
      </c>
      <c r="C26116" t="s">
        <v>2040</v>
      </c>
      <c r="D26116" t="s">
        <v>42</v>
      </c>
      <c r="E26116" t="s">
        <v>241</v>
      </c>
      <c r="F26116" s="2" t="str">
        <f>HYPERLINK("http://www.otzar.org/book.asp?101363","מרפא לשון - 2 כר'")</f>
        <v>מרפא לשון - 2 כר'</v>
      </c>
    </row>
    <row r="26117" spans="1:6" x14ac:dyDescent="0.2">
      <c r="A26117" t="s">
        <v>41585</v>
      </c>
      <c r="B26117" t="s">
        <v>41590</v>
      </c>
      <c r="C26117" t="s">
        <v>950</v>
      </c>
      <c r="D26117" t="s">
        <v>5209</v>
      </c>
      <c r="E26117" t="s">
        <v>34114</v>
      </c>
      <c r="F26117" s="2" t="str">
        <f>HYPERLINK("http://www.otzar.org/book.asp?101365","מרפא לשון")</f>
        <v>מרפא לשון</v>
      </c>
    </row>
    <row r="26118" spans="1:6" x14ac:dyDescent="0.2">
      <c r="A26118" t="s">
        <v>41585</v>
      </c>
      <c r="B26118" t="s">
        <v>6375</v>
      </c>
      <c r="C26118" t="s">
        <v>129</v>
      </c>
      <c r="D26118" t="s">
        <v>2285</v>
      </c>
      <c r="E26118" t="s">
        <v>15</v>
      </c>
      <c r="F26118" s="2" t="str">
        <f>HYPERLINK("http://www.otzar.org/book.asp?161698","מרפא לשון")</f>
        <v>מרפא לשון</v>
      </c>
    </row>
    <row r="26119" spans="1:6" x14ac:dyDescent="0.2">
      <c r="A26119" t="s">
        <v>41585</v>
      </c>
      <c r="B26119" t="s">
        <v>7381</v>
      </c>
      <c r="C26119" t="s">
        <v>2874</v>
      </c>
      <c r="D26119" t="s">
        <v>76</v>
      </c>
      <c r="E26119" t="s">
        <v>104</v>
      </c>
      <c r="F26119" s="2" t="str">
        <f>HYPERLINK("http://www.otzar.org/book.asp?108496","מרפא לשון")</f>
        <v>מרפא לשון</v>
      </c>
    </row>
    <row r="26120" spans="1:6" x14ac:dyDescent="0.2">
      <c r="A26120" t="s">
        <v>41591</v>
      </c>
      <c r="B26120" t="s">
        <v>41592</v>
      </c>
      <c r="C26120" t="s">
        <v>334</v>
      </c>
      <c r="D26120" t="s">
        <v>14</v>
      </c>
      <c r="E26120" t="s">
        <v>41593</v>
      </c>
      <c r="F26120" s="2" t="str">
        <f>HYPERLINK("http://www.otzar.org/book.asp?148362","מרפא לשון - 8 כר'")</f>
        <v>מרפא לשון - 8 כר'</v>
      </c>
    </row>
    <row r="26121" spans="1:6" x14ac:dyDescent="0.2">
      <c r="A26121" t="s">
        <v>41585</v>
      </c>
      <c r="B26121" t="s">
        <v>4854</v>
      </c>
      <c r="C26121" t="s">
        <v>20</v>
      </c>
      <c r="D26121" t="s">
        <v>367</v>
      </c>
      <c r="E26121" t="s">
        <v>241</v>
      </c>
      <c r="F26121" s="2" t="str">
        <f>HYPERLINK("http://www.otzar.org/book.asp?605466","מרפא לשון")</f>
        <v>מרפא לשון</v>
      </c>
    </row>
    <row r="26122" spans="1:6" x14ac:dyDescent="0.2">
      <c r="A26122" t="s">
        <v>41585</v>
      </c>
      <c r="B26122" t="s">
        <v>18902</v>
      </c>
      <c r="C26122" t="s">
        <v>2605</v>
      </c>
      <c r="D26122" t="s">
        <v>744</v>
      </c>
      <c r="E26122" t="s">
        <v>144</v>
      </c>
      <c r="F26122" s="2" t="str">
        <f>HYPERLINK("http://www.otzar.org/book.asp?199507","מרפא לשון")</f>
        <v>מרפא לשון</v>
      </c>
    </row>
    <row r="26123" spans="1:6" x14ac:dyDescent="0.2">
      <c r="A26123" t="s">
        <v>41585</v>
      </c>
      <c r="B26123" t="s">
        <v>41594</v>
      </c>
      <c r="C26123" t="s">
        <v>266</v>
      </c>
      <c r="D26123" t="s">
        <v>283</v>
      </c>
      <c r="E26123" t="s">
        <v>241</v>
      </c>
      <c r="F26123" s="2" t="str">
        <f>HYPERLINK("http://www.otzar.org/book.asp?151459","מרפא לשון")</f>
        <v>מרפא לשון</v>
      </c>
    </row>
    <row r="26124" spans="1:6" x14ac:dyDescent="0.2">
      <c r="A26124" t="s">
        <v>41595</v>
      </c>
      <c r="B26124" t="s">
        <v>41596</v>
      </c>
      <c r="C26124" t="s">
        <v>13</v>
      </c>
      <c r="D26124" t="s">
        <v>14</v>
      </c>
      <c r="E26124" t="s">
        <v>3516</v>
      </c>
      <c r="F26124" s="2" t="str">
        <f>HYPERLINK("http://www.otzar.org/book.asp?63704","מרקחת חיים - 2 כר'")</f>
        <v>מרקחת חיים - 2 כר'</v>
      </c>
    </row>
    <row r="26125" spans="1:6" x14ac:dyDescent="0.2">
      <c r="A26125" t="s">
        <v>41597</v>
      </c>
      <c r="B26125" t="s">
        <v>41598</v>
      </c>
      <c r="C26125" t="s">
        <v>1640</v>
      </c>
      <c r="D26125" t="s">
        <v>14</v>
      </c>
      <c r="E26125" t="s">
        <v>119</v>
      </c>
      <c r="F26125" s="2" t="str">
        <f>HYPERLINK("http://www.otzar.org/book.asp?172960","מש""א גיא חזון")</f>
        <v>מש"א גיא חזון</v>
      </c>
    </row>
    <row r="26126" spans="1:6" x14ac:dyDescent="0.2">
      <c r="A26126" t="s">
        <v>41599</v>
      </c>
      <c r="B26126" t="s">
        <v>41600</v>
      </c>
      <c r="C26126" t="s">
        <v>15405</v>
      </c>
      <c r="D26126" t="s">
        <v>1365</v>
      </c>
      <c r="E26126" t="s">
        <v>1262</v>
      </c>
      <c r="F26126" s="2" t="str">
        <f>HYPERLINK("http://www.otzar.org/book.asp?193921","משא אליעזר")</f>
        <v>משא אליעזר</v>
      </c>
    </row>
    <row r="26127" spans="1:6" x14ac:dyDescent="0.2">
      <c r="A26127" t="s">
        <v>41601</v>
      </c>
      <c r="B26127" t="s">
        <v>41602</v>
      </c>
      <c r="C26127" t="s">
        <v>585</v>
      </c>
      <c r="D26127" t="s">
        <v>14</v>
      </c>
      <c r="E26127" t="s">
        <v>15</v>
      </c>
      <c r="F26127" s="2" t="str">
        <f>HYPERLINK("http://www.otzar.org/book.asp?84303","משא בני קהת")</f>
        <v>משא בני קהת</v>
      </c>
    </row>
    <row r="26128" spans="1:6" x14ac:dyDescent="0.2">
      <c r="A26128" t="s">
        <v>41603</v>
      </c>
      <c r="B26128" t="s">
        <v>41604</v>
      </c>
      <c r="C26128" t="s">
        <v>896</v>
      </c>
      <c r="D26128" t="s">
        <v>535</v>
      </c>
      <c r="E26128" t="s">
        <v>733</v>
      </c>
      <c r="F26128" s="2" t="str">
        <f>HYPERLINK("http://www.otzar.org/book.asp?168155","משא בערב - 3 כר'")</f>
        <v>משא בערב - 3 כר'</v>
      </c>
    </row>
    <row r="26129" spans="1:6" x14ac:dyDescent="0.2">
      <c r="A26129" t="s">
        <v>41605</v>
      </c>
      <c r="B26129" t="s">
        <v>41606</v>
      </c>
      <c r="C26129" t="s">
        <v>1160</v>
      </c>
      <c r="D26129" t="s">
        <v>14</v>
      </c>
      <c r="F26129" s="2" t="str">
        <f>HYPERLINK("http://www.otzar.org/book.asp?613774","משא גיא חזיון - 2 כר'")</f>
        <v>משא גיא חזיון - 2 כר'</v>
      </c>
    </row>
    <row r="26130" spans="1:6" x14ac:dyDescent="0.2">
      <c r="A26130" t="s">
        <v>41607</v>
      </c>
      <c r="B26130" t="s">
        <v>686</v>
      </c>
      <c r="C26130" t="s">
        <v>366</v>
      </c>
      <c r="D26130" t="s">
        <v>80</v>
      </c>
      <c r="E26130" t="s">
        <v>241</v>
      </c>
      <c r="F26130" s="2" t="str">
        <f>HYPERLINK("http://www.otzar.org/book.asp?606760","משא דבר ה'")</f>
        <v>משא דבר ה'</v>
      </c>
    </row>
    <row r="26131" spans="1:6" x14ac:dyDescent="0.2">
      <c r="A26131" t="s">
        <v>41608</v>
      </c>
      <c r="B26131" t="s">
        <v>16902</v>
      </c>
      <c r="C26131" t="s">
        <v>523</v>
      </c>
      <c r="D26131" t="s">
        <v>14</v>
      </c>
      <c r="F26131" s="2" t="str">
        <f>HYPERLINK("http://www.otzar.org/book.asp?614511","משא דבר..אדמו""ר")</f>
        <v>משא דבר..אדמו"ר</v>
      </c>
    </row>
    <row r="26132" spans="1:6" x14ac:dyDescent="0.2">
      <c r="A26132" t="s">
        <v>41609</v>
      </c>
      <c r="B26132" t="s">
        <v>41610</v>
      </c>
      <c r="C26132" t="s">
        <v>624</v>
      </c>
      <c r="D26132" t="s">
        <v>14</v>
      </c>
      <c r="F26132" s="2" t="str">
        <f>HYPERLINK("http://www.otzar.org/book.asp?173516","משא דמשק - 2 כר'")</f>
        <v>משא דמשק - 2 כר'</v>
      </c>
    </row>
    <row r="26133" spans="1:6" x14ac:dyDescent="0.2">
      <c r="A26133" t="s">
        <v>41611</v>
      </c>
      <c r="B26133" t="s">
        <v>41612</v>
      </c>
      <c r="C26133" t="s">
        <v>442</v>
      </c>
      <c r="D26133" t="s">
        <v>27</v>
      </c>
      <c r="E26133" t="s">
        <v>41613</v>
      </c>
      <c r="F26133" s="2" t="str">
        <f>HYPERLINK("http://www.otzar.org/book.asp?13841","משא הלוי")</f>
        <v>משא הלוי</v>
      </c>
    </row>
    <row r="26134" spans="1:6" x14ac:dyDescent="0.2">
      <c r="A26134" t="s">
        <v>41614</v>
      </c>
      <c r="B26134" t="s">
        <v>40566</v>
      </c>
      <c r="C26134" t="s">
        <v>124</v>
      </c>
      <c r="D26134" t="s">
        <v>14</v>
      </c>
      <c r="E26134" t="s">
        <v>172</v>
      </c>
      <c r="F26134" s="2" t="str">
        <f>HYPERLINK("http://www.otzar.org/book.asp?62870","משא הלכה - 2 כר'")</f>
        <v>משא הלכה - 2 כר'</v>
      </c>
    </row>
    <row r="26135" spans="1:6" x14ac:dyDescent="0.2">
      <c r="A26135" t="s">
        <v>41615</v>
      </c>
      <c r="B26135" t="s">
        <v>41616</v>
      </c>
      <c r="C26135" t="s">
        <v>411</v>
      </c>
      <c r="D26135" t="s">
        <v>52</v>
      </c>
      <c r="E26135" t="s">
        <v>172</v>
      </c>
      <c r="F26135" s="2" t="str">
        <f>HYPERLINK("http://www.otzar.org/book.asp?197387","משא המלך - 6 כר'")</f>
        <v>משא המלך - 6 כר'</v>
      </c>
    </row>
    <row r="26136" spans="1:6" x14ac:dyDescent="0.2">
      <c r="A26136" t="s">
        <v>41617</v>
      </c>
      <c r="B26136" t="s">
        <v>41618</v>
      </c>
      <c r="C26136" t="s">
        <v>20</v>
      </c>
      <c r="D26136" t="s">
        <v>52</v>
      </c>
      <c r="E26136" t="s">
        <v>3516</v>
      </c>
      <c r="F26136" s="2" t="str">
        <f>HYPERLINK("http://www.otzar.org/book.asp?169036","משא השבת")</f>
        <v>משא השבת</v>
      </c>
    </row>
    <row r="26137" spans="1:6" x14ac:dyDescent="0.2">
      <c r="A26137" t="s">
        <v>41617</v>
      </c>
      <c r="B26137" t="s">
        <v>41619</v>
      </c>
      <c r="C26137" t="s">
        <v>466</v>
      </c>
      <c r="D26137" t="s">
        <v>14</v>
      </c>
      <c r="E26137" t="s">
        <v>130</v>
      </c>
      <c r="F26137" s="2" t="str">
        <f>HYPERLINK("http://www.otzar.org/book.asp?148780","משא השבת")</f>
        <v>משא השבת</v>
      </c>
    </row>
    <row r="26138" spans="1:6" x14ac:dyDescent="0.2">
      <c r="A26138" t="s">
        <v>41620</v>
      </c>
      <c r="B26138" t="s">
        <v>377</v>
      </c>
      <c r="C26138" t="s">
        <v>41621</v>
      </c>
      <c r="D26138" t="s">
        <v>41622</v>
      </c>
      <c r="E26138" t="s">
        <v>15</v>
      </c>
      <c r="F26138" s="2" t="str">
        <f>HYPERLINK("http://www.otzar.org/book.asp?193922","משא ומתן ליוצאי בית מדרשו של רבינו")</f>
        <v>משא ומתן ליוצאי בית מדרשו של רבינו</v>
      </c>
    </row>
    <row r="26139" spans="1:6" x14ac:dyDescent="0.2">
      <c r="A26139" t="s">
        <v>41623</v>
      </c>
      <c r="B26139" t="s">
        <v>41624</v>
      </c>
      <c r="C26139" t="s">
        <v>553</v>
      </c>
      <c r="D26139" t="s">
        <v>52</v>
      </c>
      <c r="E26139" t="s">
        <v>144</v>
      </c>
      <c r="F26139" s="2" t="str">
        <f>HYPERLINK("http://www.otzar.org/book.asp?107327","משא ומתן")</f>
        <v>משא ומתן</v>
      </c>
    </row>
    <row r="26140" spans="1:6" x14ac:dyDescent="0.2">
      <c r="A26140" t="s">
        <v>41625</v>
      </c>
      <c r="B26140" t="s">
        <v>155</v>
      </c>
      <c r="C26140" t="s">
        <v>603</v>
      </c>
      <c r="D26140" t="s">
        <v>157</v>
      </c>
      <c r="E26140" t="s">
        <v>674</v>
      </c>
      <c r="F26140" s="2" t="str">
        <f>HYPERLINK("http://www.otzar.org/book.asp?8384","משא חיים")</f>
        <v>משא חיים</v>
      </c>
    </row>
    <row r="26141" spans="1:6" x14ac:dyDescent="0.2">
      <c r="A26141" t="s">
        <v>41626</v>
      </c>
      <c r="B26141" t="s">
        <v>41627</v>
      </c>
      <c r="C26141" t="s">
        <v>68</v>
      </c>
      <c r="D26141" t="s">
        <v>52</v>
      </c>
      <c r="E26141" t="s">
        <v>9828</v>
      </c>
      <c r="F26141" s="2" t="str">
        <f>HYPERLINK("http://www.otzar.org/book.asp?167648","משא חכמה")</f>
        <v>משא חכמה</v>
      </c>
    </row>
    <row r="26142" spans="1:6" x14ac:dyDescent="0.2">
      <c r="A26142" t="s">
        <v>41628</v>
      </c>
      <c r="B26142" t="s">
        <v>41629</v>
      </c>
      <c r="C26142" t="s">
        <v>454</v>
      </c>
      <c r="D26142" t="s">
        <v>52</v>
      </c>
      <c r="E26142" t="s">
        <v>158</v>
      </c>
      <c r="F26142" s="2" t="str">
        <f>HYPERLINK("http://www.otzar.org/book.asp?52274","משא יד - 5 כר'")</f>
        <v>משא יד - 5 כר'</v>
      </c>
    </row>
    <row r="26143" spans="1:6" x14ac:dyDescent="0.2">
      <c r="A26143" t="s">
        <v>41630</v>
      </c>
      <c r="B26143" t="s">
        <v>21916</v>
      </c>
      <c r="C26143" t="s">
        <v>473</v>
      </c>
      <c r="D26143" t="s">
        <v>3208</v>
      </c>
      <c r="E26143" t="s">
        <v>1262</v>
      </c>
      <c r="F26143" s="2" t="str">
        <f>HYPERLINK("http://www.otzar.org/book.asp?624654","משא יהודה - 2 כר'")</f>
        <v>משא יהודה - 2 כר'</v>
      </c>
    </row>
    <row r="26144" spans="1:6" x14ac:dyDescent="0.2">
      <c r="A26144" t="s">
        <v>41631</v>
      </c>
      <c r="B26144" t="s">
        <v>41632</v>
      </c>
      <c r="C26144" t="s">
        <v>1335</v>
      </c>
      <c r="D26144" t="s">
        <v>283</v>
      </c>
      <c r="E26144" t="s">
        <v>1103</v>
      </c>
      <c r="F26144" s="2" t="str">
        <f>HYPERLINK("http://www.otzar.org/book.asp?23469","משא מדבר ים")</f>
        <v>משא מדבר ים</v>
      </c>
    </row>
    <row r="26145" spans="1:6" x14ac:dyDescent="0.2">
      <c r="A26145" t="s">
        <v>41633</v>
      </c>
      <c r="B26145" t="s">
        <v>41634</v>
      </c>
      <c r="C26145" t="s">
        <v>8002</v>
      </c>
      <c r="D26145" t="s">
        <v>76</v>
      </c>
      <c r="E26145" t="s">
        <v>15</v>
      </c>
      <c r="F26145" s="2" t="str">
        <f>HYPERLINK("http://www.otzar.org/book.asp?101145","משא מלך - 2 כר'")</f>
        <v>משא מלך - 2 כר'</v>
      </c>
    </row>
    <row r="26146" spans="1:6" x14ac:dyDescent="0.2">
      <c r="A26146" t="s">
        <v>41635</v>
      </c>
      <c r="B26146" t="s">
        <v>15342</v>
      </c>
      <c r="C26146" t="s">
        <v>1169</v>
      </c>
      <c r="D26146" t="s">
        <v>986</v>
      </c>
      <c r="E26146" t="s">
        <v>241</v>
      </c>
      <c r="F26146" s="2" t="str">
        <f>HYPERLINK("http://www.otzar.org/book.asp?145066","משא פדררבוש")</f>
        <v>משא פדררבוש</v>
      </c>
    </row>
    <row r="26147" spans="1:6" x14ac:dyDescent="0.2">
      <c r="A26147" t="s">
        <v>41636</v>
      </c>
      <c r="E26147" t="s">
        <v>219</v>
      </c>
      <c r="F26147" s="2" t="str">
        <f>HYPERLINK("http://www.otzar.org/book.asp?181821","משא קינה")</f>
        <v>משא קינה</v>
      </c>
    </row>
    <row r="26148" spans="1:6" x14ac:dyDescent="0.2">
      <c r="A26148" t="s">
        <v>41637</v>
      </c>
      <c r="B26148" t="s">
        <v>174</v>
      </c>
      <c r="C26148" t="s">
        <v>2132</v>
      </c>
      <c r="D26148" t="s">
        <v>52</v>
      </c>
      <c r="E26148" t="s">
        <v>1262</v>
      </c>
      <c r="F26148" s="2" t="str">
        <f>HYPERLINK("http://www.otzar.org/book.asp?166137","משא רה""י מרן הגרא""מ שך שליט""א")</f>
        <v>משא רה"י מרן הגרא"מ שך שליט"א</v>
      </c>
    </row>
    <row r="26149" spans="1:6" x14ac:dyDescent="0.2">
      <c r="A26149" t="s">
        <v>41638</v>
      </c>
      <c r="B26149" t="s">
        <v>41639</v>
      </c>
      <c r="C26149" t="s">
        <v>106</v>
      </c>
      <c r="D26149" t="s">
        <v>14</v>
      </c>
      <c r="E26149" t="s">
        <v>15</v>
      </c>
      <c r="F26149" s="2" t="str">
        <f>HYPERLINK("http://www.otzar.org/book.asp?173895","משארית יעקב")</f>
        <v>משארית יעקב</v>
      </c>
    </row>
    <row r="26150" spans="1:6" x14ac:dyDescent="0.2">
      <c r="A26150" t="s">
        <v>41640</v>
      </c>
      <c r="B26150" t="s">
        <v>41641</v>
      </c>
      <c r="C26150" t="s">
        <v>151</v>
      </c>
      <c r="D26150" t="s">
        <v>21</v>
      </c>
      <c r="E26150" t="s">
        <v>246</v>
      </c>
      <c r="F26150" s="2" t="str">
        <f>HYPERLINK("http://www.otzar.org/book.asp?627220","משאת אברהם - 5 כר'")</f>
        <v>משאת אברהם - 5 כר'</v>
      </c>
    </row>
    <row r="26151" spans="1:6" x14ac:dyDescent="0.2">
      <c r="A26151" t="s">
        <v>41642</v>
      </c>
      <c r="B26151" t="s">
        <v>41643</v>
      </c>
      <c r="C26151" t="s">
        <v>151</v>
      </c>
      <c r="D26151" t="s">
        <v>52</v>
      </c>
      <c r="E26151" t="s">
        <v>144</v>
      </c>
      <c r="F26151" s="2" t="str">
        <f>HYPERLINK("http://www.otzar.org/book.asp?627854","משאת אחי - שבת, ביצה")</f>
        <v>משאת אחי - שבת, ביצה</v>
      </c>
    </row>
    <row r="26152" spans="1:6" x14ac:dyDescent="0.2">
      <c r="A26152" t="s">
        <v>41644</v>
      </c>
      <c r="B26152" t="s">
        <v>1130</v>
      </c>
      <c r="C26152" t="s">
        <v>576</v>
      </c>
      <c r="D26152" t="s">
        <v>9</v>
      </c>
      <c r="E26152" t="s">
        <v>1262</v>
      </c>
      <c r="F26152" s="2" t="str">
        <f>HYPERLINK("http://www.otzar.org/book.asp?51539","משאת בית הלוי")</f>
        <v>משאת בית הלוי</v>
      </c>
    </row>
    <row r="26153" spans="1:6" x14ac:dyDescent="0.2">
      <c r="A26153" t="s">
        <v>41645</v>
      </c>
      <c r="B26153" t="s">
        <v>552</v>
      </c>
      <c r="C26153" t="s">
        <v>989</v>
      </c>
      <c r="D26153" t="s">
        <v>14</v>
      </c>
      <c r="E26153" t="s">
        <v>202</v>
      </c>
      <c r="F26153" s="2" t="str">
        <f>HYPERLINK("http://www.otzar.org/book.asp?15052","משאת בנימין [כהן]")</f>
        <v>משאת בנימין [כהן]</v>
      </c>
    </row>
    <row r="26154" spans="1:6" x14ac:dyDescent="0.2">
      <c r="A26154" t="s">
        <v>41646</v>
      </c>
      <c r="B26154" t="s">
        <v>41647</v>
      </c>
      <c r="C26154" t="s">
        <v>946</v>
      </c>
      <c r="D26154" t="s">
        <v>56</v>
      </c>
      <c r="E26154" t="s">
        <v>10687</v>
      </c>
      <c r="F26154" s="2" t="str">
        <f>HYPERLINK("http://www.otzar.org/book.asp?200186","משאת בנימין")</f>
        <v>משאת בנימין</v>
      </c>
    </row>
    <row r="26155" spans="1:6" x14ac:dyDescent="0.2">
      <c r="A26155" t="s">
        <v>41648</v>
      </c>
      <c r="B26155" t="s">
        <v>41649</v>
      </c>
      <c r="C26155" t="s">
        <v>68</v>
      </c>
      <c r="D26155" t="s">
        <v>52</v>
      </c>
      <c r="E26155" t="s">
        <v>144</v>
      </c>
      <c r="F26155" s="2" t="str">
        <f>HYPERLINK("http://www.otzar.org/book.asp?152552","משאת בנימין - 5 כר'")</f>
        <v>משאת בנימין - 5 כר'</v>
      </c>
    </row>
    <row r="26156" spans="1:6" x14ac:dyDescent="0.2">
      <c r="A26156" t="s">
        <v>41650</v>
      </c>
      <c r="B26156" t="s">
        <v>206</v>
      </c>
      <c r="C26156" t="s">
        <v>114</v>
      </c>
      <c r="D26156" t="s">
        <v>90</v>
      </c>
      <c r="E26156" t="s">
        <v>246</v>
      </c>
      <c r="F26156" s="2" t="str">
        <f>HYPERLINK("http://www.otzar.org/book.asp?619921","משאת בנימין - 3 כר'")</f>
        <v>משאת בנימין - 3 כר'</v>
      </c>
    </row>
    <row r="26157" spans="1:6" x14ac:dyDescent="0.2">
      <c r="A26157" t="s">
        <v>41646</v>
      </c>
      <c r="B26157" t="s">
        <v>34401</v>
      </c>
      <c r="C26157" t="s">
        <v>482</v>
      </c>
      <c r="D26157" t="s">
        <v>11104</v>
      </c>
      <c r="E26157" t="s">
        <v>10246</v>
      </c>
      <c r="F26157" s="2" t="str">
        <f>HYPERLINK("http://www.otzar.org/book.asp?165216","משאת בנימין")</f>
        <v>משאת בנימין</v>
      </c>
    </row>
    <row r="26158" spans="1:6" x14ac:dyDescent="0.2">
      <c r="A26158" t="s">
        <v>41646</v>
      </c>
      <c r="B26158" t="s">
        <v>41651</v>
      </c>
      <c r="C26158" t="s">
        <v>1706</v>
      </c>
      <c r="D26158" t="s">
        <v>56</v>
      </c>
      <c r="E26158" t="s">
        <v>684</v>
      </c>
      <c r="F26158" s="2" t="str">
        <f>HYPERLINK("http://www.otzar.org/book.asp?101508","משאת בנימין")</f>
        <v>משאת בנימין</v>
      </c>
    </row>
    <row r="26159" spans="1:6" x14ac:dyDescent="0.2">
      <c r="A26159" t="s">
        <v>41652</v>
      </c>
      <c r="B26159" t="s">
        <v>41653</v>
      </c>
      <c r="C26159" t="s">
        <v>41654</v>
      </c>
      <c r="D26159" t="s">
        <v>1422</v>
      </c>
      <c r="E26159" t="s">
        <v>158</v>
      </c>
      <c r="F26159" s="2" t="str">
        <f>HYPERLINK("http://www.otzar.org/book.asp?106471","משאת בנימין - 4 כר'")</f>
        <v>משאת בנימין - 4 כר'</v>
      </c>
    </row>
    <row r="26160" spans="1:6" x14ac:dyDescent="0.2">
      <c r="A26160" t="s">
        <v>41646</v>
      </c>
      <c r="B26160" t="s">
        <v>14048</v>
      </c>
      <c r="C26160" t="s">
        <v>360</v>
      </c>
      <c r="D26160" t="s">
        <v>6214</v>
      </c>
      <c r="E26160" t="s">
        <v>119</v>
      </c>
      <c r="F26160" s="2" t="str">
        <f>HYPERLINK("http://www.otzar.org/book.asp?193923","משאת בנימין")</f>
        <v>משאת בנימין</v>
      </c>
    </row>
    <row r="26161" spans="1:6" x14ac:dyDescent="0.2">
      <c r="A26161" t="s">
        <v>41655</v>
      </c>
      <c r="B26161" t="s">
        <v>41656</v>
      </c>
      <c r="C26161" t="s">
        <v>133</v>
      </c>
      <c r="D26161" t="s">
        <v>52</v>
      </c>
      <c r="E26161" t="s">
        <v>84</v>
      </c>
      <c r="F26161" s="2" t="str">
        <f>HYPERLINK("http://www.otzar.org/book.asp?180995","משאת דוד - בכורות, ידים")</f>
        <v>משאת דוד - בכורות, ידים</v>
      </c>
    </row>
    <row r="26162" spans="1:6" x14ac:dyDescent="0.2">
      <c r="A26162" t="s">
        <v>41657</v>
      </c>
      <c r="B26162" t="s">
        <v>10799</v>
      </c>
      <c r="C26162" t="s">
        <v>37</v>
      </c>
      <c r="D26162" t="s">
        <v>52</v>
      </c>
      <c r="E26162" t="s">
        <v>104</v>
      </c>
      <c r="F26162" s="2" t="str">
        <f>HYPERLINK("http://www.otzar.org/book.asp?188901","משאת הלוי")</f>
        <v>משאת הלוי</v>
      </c>
    </row>
    <row r="26163" spans="1:6" x14ac:dyDescent="0.2">
      <c r="A26163" t="s">
        <v>41658</v>
      </c>
      <c r="B26163" t="s">
        <v>2176</v>
      </c>
      <c r="C26163" t="s">
        <v>785</v>
      </c>
      <c r="D26163" t="s">
        <v>14</v>
      </c>
      <c r="E26163" t="s">
        <v>15</v>
      </c>
      <c r="F26163" s="2" t="str">
        <f>HYPERLINK("http://www.otzar.org/book.asp?21049","משאת המלך &lt;על סדר הרמב""ם&gt; - 5 כר'")</f>
        <v>משאת המלך &lt;על סדר הרמב"ם&gt; - 5 כר'</v>
      </c>
    </row>
    <row r="26164" spans="1:6" x14ac:dyDescent="0.2">
      <c r="A26164" t="s">
        <v>41659</v>
      </c>
      <c r="B26164" t="s">
        <v>2176</v>
      </c>
      <c r="C26164" t="s">
        <v>51</v>
      </c>
      <c r="D26164" t="s">
        <v>14</v>
      </c>
      <c r="E26164" t="s">
        <v>158</v>
      </c>
      <c r="F26164" s="2" t="str">
        <f>HYPERLINK("http://www.otzar.org/book.asp?21046","משאת המלך אהל יהושע - על התורה")</f>
        <v>משאת המלך אהל יהושע - על התורה</v>
      </c>
    </row>
    <row r="26165" spans="1:6" x14ac:dyDescent="0.2">
      <c r="A26165" t="s">
        <v>41660</v>
      </c>
      <c r="B26165" t="s">
        <v>2176</v>
      </c>
      <c r="C26165" t="s">
        <v>940</v>
      </c>
      <c r="D26165" t="s">
        <v>14</v>
      </c>
      <c r="E26165" t="s">
        <v>144</v>
      </c>
      <c r="F26165" s="2" t="str">
        <f>HYPERLINK("http://www.otzar.org/book.asp?9963","משאת המלך - 15 כר'")</f>
        <v>משאת המלך - 15 כר'</v>
      </c>
    </row>
    <row r="26166" spans="1:6" x14ac:dyDescent="0.2">
      <c r="A26166" t="s">
        <v>41661</v>
      </c>
      <c r="B26166" t="s">
        <v>41662</v>
      </c>
      <c r="C26166" t="s">
        <v>68</v>
      </c>
      <c r="D26166" t="s">
        <v>52</v>
      </c>
      <c r="E26166" t="s">
        <v>144</v>
      </c>
      <c r="F26166" s="2" t="str">
        <f>HYPERLINK("http://www.otzar.org/book.asp?180100","משאת השבת - תיקוני מבואות")</f>
        <v>משאת השבת - תיקוני מבואות</v>
      </c>
    </row>
    <row r="26167" spans="1:6" x14ac:dyDescent="0.2">
      <c r="A26167" t="s">
        <v>41663</v>
      </c>
      <c r="B26167" t="s">
        <v>847</v>
      </c>
      <c r="C26167" t="s">
        <v>114</v>
      </c>
      <c r="D26167" t="s">
        <v>52</v>
      </c>
      <c r="E26167" t="s">
        <v>130</v>
      </c>
      <c r="F26167" s="2" t="str">
        <f>HYPERLINK("http://www.otzar.org/book.asp?626203","משאת וארוחה")</f>
        <v>משאת וארוחה</v>
      </c>
    </row>
    <row r="26168" spans="1:6" x14ac:dyDescent="0.2">
      <c r="A26168" t="s">
        <v>41664</v>
      </c>
      <c r="B26168" t="s">
        <v>41665</v>
      </c>
      <c r="C26168" t="s">
        <v>68</v>
      </c>
      <c r="D26168" t="s">
        <v>118</v>
      </c>
      <c r="E26168" t="s">
        <v>148</v>
      </c>
      <c r="F26168" s="2" t="str">
        <f>HYPERLINK("http://www.otzar.org/book.asp?177104","משאת יוסף")</f>
        <v>משאת יוסף</v>
      </c>
    </row>
    <row r="26169" spans="1:6" x14ac:dyDescent="0.2">
      <c r="A26169" t="s">
        <v>41666</v>
      </c>
      <c r="B26169" t="s">
        <v>41667</v>
      </c>
      <c r="C26169" t="s">
        <v>68</v>
      </c>
      <c r="D26169" t="s">
        <v>14</v>
      </c>
      <c r="E26169" t="s">
        <v>144</v>
      </c>
      <c r="F26169" s="2" t="str">
        <f>HYPERLINK("http://www.otzar.org/book.asp?159560","משאת יצחק - בבא בתרא")</f>
        <v>משאת יצחק - בבא בתרא</v>
      </c>
    </row>
    <row r="26170" spans="1:6" x14ac:dyDescent="0.2">
      <c r="A26170" t="s">
        <v>41668</v>
      </c>
      <c r="B26170" t="s">
        <v>41669</v>
      </c>
      <c r="C26170" t="s">
        <v>553</v>
      </c>
      <c r="D26170" t="s">
        <v>14</v>
      </c>
      <c r="F26170" s="2" t="str">
        <f>HYPERLINK("http://www.otzar.org/book.asp?155878","משאת ישראל")</f>
        <v>משאת ישראל</v>
      </c>
    </row>
    <row r="26171" spans="1:6" x14ac:dyDescent="0.2">
      <c r="A26171" t="s">
        <v>41670</v>
      </c>
      <c r="B26171" t="s">
        <v>41671</v>
      </c>
      <c r="C26171" t="s">
        <v>411</v>
      </c>
      <c r="D26171" t="s">
        <v>14</v>
      </c>
      <c r="E26171" t="s">
        <v>684</v>
      </c>
      <c r="F26171" s="2" t="str">
        <f>HYPERLINK("http://www.otzar.org/book.asp?166915","משאת כפי - 3 כר'")</f>
        <v>משאת כפי - 3 כר'</v>
      </c>
    </row>
    <row r="26172" spans="1:6" x14ac:dyDescent="0.2">
      <c r="A26172" t="s">
        <v>41672</v>
      </c>
      <c r="B26172" t="s">
        <v>1066</v>
      </c>
      <c r="C26172" t="s">
        <v>168</v>
      </c>
      <c r="D26172" t="s">
        <v>412</v>
      </c>
      <c r="E26172" t="s">
        <v>5144</v>
      </c>
      <c r="F26172" s="2" t="str">
        <f>HYPERLINK("http://www.otzar.org/book.asp?12986","משאת כפי - 11 כר'")</f>
        <v>משאת כפי - 11 כר'</v>
      </c>
    </row>
    <row r="26173" spans="1:6" x14ac:dyDescent="0.2">
      <c r="A26173" t="s">
        <v>41673</v>
      </c>
      <c r="B26173" t="s">
        <v>17599</v>
      </c>
      <c r="C26173" t="s">
        <v>146</v>
      </c>
      <c r="D26173" t="s">
        <v>52</v>
      </c>
      <c r="E26173" t="s">
        <v>246</v>
      </c>
      <c r="F26173" s="2" t="str">
        <f>HYPERLINK("http://www.otzar.org/book.asp?154010","משאת לבנימין - 2 כר'")</f>
        <v>משאת לבנימין - 2 כר'</v>
      </c>
    </row>
    <row r="26174" spans="1:6" x14ac:dyDescent="0.2">
      <c r="A26174" t="s">
        <v>41674</v>
      </c>
      <c r="B26174" t="s">
        <v>552</v>
      </c>
      <c r="C26174" t="s">
        <v>51</v>
      </c>
      <c r="D26174" t="s">
        <v>52</v>
      </c>
      <c r="E26174" t="s">
        <v>186</v>
      </c>
      <c r="F26174" s="2" t="str">
        <f>HYPERLINK("http://www.otzar.org/book.asp?162494","משאת לבנימין")</f>
        <v>משאת לבנימין</v>
      </c>
    </row>
    <row r="26175" spans="1:6" x14ac:dyDescent="0.2">
      <c r="A26175" t="s">
        <v>41675</v>
      </c>
      <c r="B26175" t="s">
        <v>41676</v>
      </c>
      <c r="C26175" t="s">
        <v>624</v>
      </c>
      <c r="D26175" t="s">
        <v>412</v>
      </c>
      <c r="E26175" t="s">
        <v>1211</v>
      </c>
      <c r="F26175" s="2" t="str">
        <f>HYPERLINK("http://www.otzar.org/book.asp?613447","משאת לוי")</f>
        <v>משאת לוי</v>
      </c>
    </row>
    <row r="26176" spans="1:6" x14ac:dyDescent="0.2">
      <c r="A26176" t="s">
        <v>41677</v>
      </c>
      <c r="B26176" t="s">
        <v>41678</v>
      </c>
      <c r="C26176" t="s">
        <v>176</v>
      </c>
      <c r="D26176" t="s">
        <v>14</v>
      </c>
      <c r="E26176" t="s">
        <v>144</v>
      </c>
      <c r="F26176" s="2" t="str">
        <f>HYPERLINK("http://www.otzar.org/book.asp?159463","משאת מרדכי - 2 כר'")</f>
        <v>משאת מרדכי - 2 כר'</v>
      </c>
    </row>
    <row r="26177" spans="1:6" x14ac:dyDescent="0.2">
      <c r="A26177" t="s">
        <v>41679</v>
      </c>
      <c r="B26177" t="s">
        <v>41680</v>
      </c>
      <c r="C26177" t="s">
        <v>51</v>
      </c>
      <c r="D26177" t="s">
        <v>14</v>
      </c>
      <c r="E26177" t="s">
        <v>144</v>
      </c>
      <c r="F26177" s="2" t="str">
        <f>HYPERLINK("http://www.otzar.org/book.asp?62713","משאת מרדכי - 3 כר'")</f>
        <v>משאת מרדכי - 3 כר'</v>
      </c>
    </row>
    <row r="26178" spans="1:6" x14ac:dyDescent="0.2">
      <c r="A26178" t="s">
        <v>41681</v>
      </c>
      <c r="B26178" t="s">
        <v>7268</v>
      </c>
      <c r="C26178" t="s">
        <v>13</v>
      </c>
      <c r="D26178" t="s">
        <v>1490</v>
      </c>
      <c r="E26178" t="s">
        <v>154</v>
      </c>
      <c r="F26178" s="2" t="str">
        <f>HYPERLINK("http://www.otzar.org/book.asp?199757","משאת משה &lt;מהדו""ח&gt; - 2 כר'")</f>
        <v>משאת משה &lt;מהדו"ח&gt; - 2 כר'</v>
      </c>
    </row>
    <row r="26179" spans="1:6" x14ac:dyDescent="0.2">
      <c r="A26179" t="s">
        <v>41682</v>
      </c>
      <c r="B26179" t="s">
        <v>41683</v>
      </c>
      <c r="C26179" t="s">
        <v>129</v>
      </c>
      <c r="D26179" t="s">
        <v>412</v>
      </c>
      <c r="E26179" t="s">
        <v>158</v>
      </c>
      <c r="F26179" s="2" t="str">
        <f>HYPERLINK("http://www.otzar.org/book.asp?153035","משאת משה - 2 כר'")</f>
        <v>משאת משה - 2 כר'</v>
      </c>
    </row>
    <row r="26180" spans="1:6" x14ac:dyDescent="0.2">
      <c r="A26180" t="s">
        <v>41682</v>
      </c>
      <c r="B26180" t="s">
        <v>41684</v>
      </c>
      <c r="C26180" t="s">
        <v>1885</v>
      </c>
      <c r="D26180" t="s">
        <v>56</v>
      </c>
      <c r="E26180" t="s">
        <v>435</v>
      </c>
      <c r="F26180" s="2" t="str">
        <f>HYPERLINK("http://www.otzar.org/book.asp?371","משאת משה - 2 כר'")</f>
        <v>משאת משה - 2 כר'</v>
      </c>
    </row>
    <row r="26181" spans="1:6" x14ac:dyDescent="0.2">
      <c r="A26181" t="s">
        <v>41685</v>
      </c>
      <c r="B26181" t="s">
        <v>41686</v>
      </c>
      <c r="C26181" t="s">
        <v>41687</v>
      </c>
      <c r="D26181" t="s">
        <v>1279</v>
      </c>
      <c r="E26181" t="s">
        <v>104</v>
      </c>
      <c r="F26181" s="2" t="str">
        <f>HYPERLINK("http://www.otzar.org/book.asp?17678","משאת משה")</f>
        <v>משאת משה</v>
      </c>
    </row>
    <row r="26182" spans="1:6" x14ac:dyDescent="0.2">
      <c r="A26182" t="s">
        <v>41685</v>
      </c>
      <c r="B26182" t="s">
        <v>1791</v>
      </c>
      <c r="C26182" t="s">
        <v>1374</v>
      </c>
      <c r="D26182" t="s">
        <v>27</v>
      </c>
      <c r="E26182" t="s">
        <v>219</v>
      </c>
      <c r="F26182" s="2" t="str">
        <f>HYPERLINK("http://www.otzar.org/book.asp?103548","משאת משה")</f>
        <v>משאת משה</v>
      </c>
    </row>
    <row r="26183" spans="1:6" x14ac:dyDescent="0.2">
      <c r="A26183" t="s">
        <v>41688</v>
      </c>
      <c r="B26183" t="s">
        <v>41689</v>
      </c>
      <c r="C26183" t="s">
        <v>533</v>
      </c>
      <c r="D26183" t="s">
        <v>14</v>
      </c>
      <c r="E26183" t="s">
        <v>144</v>
      </c>
      <c r="F26183" s="2" t="str">
        <f>HYPERLINK("http://www.otzar.org/book.asp?106864","משאת משה - 16 כר'")</f>
        <v>משאת משה - 16 כר'</v>
      </c>
    </row>
    <row r="26184" spans="1:6" x14ac:dyDescent="0.2">
      <c r="A26184" t="s">
        <v>41690</v>
      </c>
      <c r="B26184" t="s">
        <v>7268</v>
      </c>
      <c r="C26184" t="s">
        <v>41691</v>
      </c>
      <c r="D26184" t="s">
        <v>1490</v>
      </c>
      <c r="E26184" t="s">
        <v>791</v>
      </c>
      <c r="F26184" s="2" t="str">
        <f>HYPERLINK("http://www.otzar.org/book.asp?8560","משאת משה - 3 כר'")</f>
        <v>משאת משה - 3 כר'</v>
      </c>
    </row>
    <row r="26185" spans="1:6" x14ac:dyDescent="0.2">
      <c r="A26185" t="s">
        <v>41692</v>
      </c>
      <c r="B26185" t="s">
        <v>41693</v>
      </c>
      <c r="C26185" t="s">
        <v>366</v>
      </c>
      <c r="D26185" t="s">
        <v>14</v>
      </c>
      <c r="E26185" t="s">
        <v>4022</v>
      </c>
      <c r="F26185" s="2" t="str">
        <f>HYPERLINK("http://www.otzar.org/book.asp?611020","משאת שבת")</f>
        <v>משאת שבת</v>
      </c>
    </row>
    <row r="26186" spans="1:6" x14ac:dyDescent="0.2">
      <c r="A26186" t="s">
        <v>41692</v>
      </c>
      <c r="B26186" t="s">
        <v>41694</v>
      </c>
      <c r="C26186" t="s">
        <v>20</v>
      </c>
      <c r="D26186" t="s">
        <v>90</v>
      </c>
      <c r="E26186" t="s">
        <v>144</v>
      </c>
      <c r="F26186" s="2" t="str">
        <f>HYPERLINK("http://www.otzar.org/book.asp?621315","משאת שבת")</f>
        <v>משאת שבת</v>
      </c>
    </row>
    <row r="26187" spans="1:6" x14ac:dyDescent="0.2">
      <c r="A26187" t="s">
        <v>41695</v>
      </c>
      <c r="B26187" t="s">
        <v>41696</v>
      </c>
      <c r="C26187" t="s">
        <v>775</v>
      </c>
      <c r="D26187" t="s">
        <v>52</v>
      </c>
      <c r="E26187" t="s">
        <v>15</v>
      </c>
      <c r="F26187" s="2" t="str">
        <f>HYPERLINK("http://www.otzar.org/book.asp?169187","משב יעקב - 2 כר'")</f>
        <v>משב יעקב - 2 כר'</v>
      </c>
    </row>
    <row r="26188" spans="1:6" x14ac:dyDescent="0.2">
      <c r="A26188" t="s">
        <v>41697</v>
      </c>
      <c r="B26188" t="s">
        <v>18915</v>
      </c>
      <c r="C26188" t="s">
        <v>356</v>
      </c>
      <c r="D26188" t="s">
        <v>216</v>
      </c>
      <c r="F26188" s="2" t="str">
        <f>HYPERLINK("http://www.otzar.org/book.asp?156141","משבחי ישראל")</f>
        <v>משבחי ישראל</v>
      </c>
    </row>
    <row r="26189" spans="1:6" x14ac:dyDescent="0.2">
      <c r="A26189" t="s">
        <v>41698</v>
      </c>
      <c r="B26189" t="s">
        <v>41699</v>
      </c>
      <c r="C26189" t="s">
        <v>411</v>
      </c>
      <c r="D26189" t="s">
        <v>90</v>
      </c>
      <c r="E26189" t="s">
        <v>15</v>
      </c>
      <c r="F26189" s="2" t="str">
        <f>HYPERLINK("http://www.otzar.org/book.asp?630131","משביר בר")</f>
        <v>משביר בר</v>
      </c>
    </row>
    <row r="26190" spans="1:6" x14ac:dyDescent="0.2">
      <c r="A26190" t="s">
        <v>41698</v>
      </c>
      <c r="B26190" t="s">
        <v>23629</v>
      </c>
      <c r="C26190" t="s">
        <v>1737</v>
      </c>
      <c r="D26190" t="s">
        <v>744</v>
      </c>
      <c r="E26190" t="s">
        <v>4940</v>
      </c>
      <c r="F26190" s="2" t="str">
        <f>HYPERLINK("http://www.otzar.org/book.asp?15920","משביר בר")</f>
        <v>משביר בר</v>
      </c>
    </row>
    <row r="26191" spans="1:6" x14ac:dyDescent="0.2">
      <c r="A26191" t="s">
        <v>41700</v>
      </c>
      <c r="B26191" t="s">
        <v>41699</v>
      </c>
      <c r="C26191" t="s">
        <v>411</v>
      </c>
      <c r="D26191" t="s">
        <v>90</v>
      </c>
      <c r="E26191" t="s">
        <v>15</v>
      </c>
      <c r="F26191" s="2" t="str">
        <f>HYPERLINK("http://www.otzar.org/book.asp?630527","משביר ברכה")</f>
        <v>משביר ברכה</v>
      </c>
    </row>
    <row r="26192" spans="1:6" x14ac:dyDescent="0.2">
      <c r="A26192" t="s">
        <v>41701</v>
      </c>
      <c r="B26192" t="s">
        <v>41699</v>
      </c>
      <c r="C26192" t="s">
        <v>20</v>
      </c>
      <c r="D26192" t="s">
        <v>52</v>
      </c>
      <c r="E26192" t="s">
        <v>84</v>
      </c>
      <c r="F26192" s="2" t="str">
        <f>HYPERLINK("http://www.otzar.org/book.asp?630814","משביר זרע - 2 כר'")</f>
        <v>משביר זרע - 2 כר'</v>
      </c>
    </row>
    <row r="26193" spans="1:6" x14ac:dyDescent="0.2">
      <c r="A26193" t="s">
        <v>41702</v>
      </c>
      <c r="B26193" t="s">
        <v>41699</v>
      </c>
      <c r="C26193" t="s">
        <v>129</v>
      </c>
      <c r="D26193" t="s">
        <v>52</v>
      </c>
      <c r="E26193" t="s">
        <v>84</v>
      </c>
      <c r="F26193" s="2" t="str">
        <f>HYPERLINK("http://www.otzar.org/book.asp?150503","משביר לחם - חלה")</f>
        <v>משביר לחם - חלה</v>
      </c>
    </row>
    <row r="26194" spans="1:6" x14ac:dyDescent="0.2">
      <c r="A26194" t="s">
        <v>41703</v>
      </c>
      <c r="B26194" t="s">
        <v>41699</v>
      </c>
      <c r="C26194" t="s">
        <v>146</v>
      </c>
      <c r="D26194" t="s">
        <v>52</v>
      </c>
      <c r="E26194" t="s">
        <v>144</v>
      </c>
      <c r="F26194" s="2" t="str">
        <f>HYPERLINK("http://www.otzar.org/book.asp?160555","משביר ליוסף - בבא מציעא")</f>
        <v>משביר ליוסף - בבא מציעא</v>
      </c>
    </row>
    <row r="26195" spans="1:6" x14ac:dyDescent="0.2">
      <c r="A26195" t="s">
        <v>41704</v>
      </c>
      <c r="B26195" t="s">
        <v>41705</v>
      </c>
      <c r="C26195" t="s">
        <v>8882</v>
      </c>
      <c r="D26195" t="s">
        <v>49</v>
      </c>
      <c r="F26195" s="2" t="str">
        <f>HYPERLINK("http://www.otzar.org/book.asp?619194","משבית מלחמות - 2 כר'")</f>
        <v>משבית מלחמות - 2 כר'</v>
      </c>
    </row>
    <row r="26196" spans="1:6" x14ac:dyDescent="0.2">
      <c r="A26196" t="s">
        <v>41706</v>
      </c>
      <c r="B26196" t="s">
        <v>6656</v>
      </c>
      <c r="C26196" t="s">
        <v>17</v>
      </c>
      <c r="D26196" t="s">
        <v>486</v>
      </c>
      <c r="E26196" t="s">
        <v>104</v>
      </c>
      <c r="F26196" s="2" t="str">
        <f>HYPERLINK("http://www.otzar.org/book.asp?25763","משבצות זהב לבושה")</f>
        <v>משבצות זהב לבושה</v>
      </c>
    </row>
    <row r="26197" spans="1:6" x14ac:dyDescent="0.2">
      <c r="A26197" t="s">
        <v>41707</v>
      </c>
      <c r="B26197" t="s">
        <v>6956</v>
      </c>
      <c r="C26197" t="s">
        <v>133</v>
      </c>
      <c r="D26197" t="s">
        <v>14</v>
      </c>
      <c r="E26197" t="s">
        <v>158</v>
      </c>
      <c r="F26197" s="2" t="str">
        <f>HYPERLINK("http://www.otzar.org/book.asp?179722","משבצות זהב - 10 כר'")</f>
        <v>משבצות זהב - 10 כר'</v>
      </c>
    </row>
    <row r="26198" spans="1:6" x14ac:dyDescent="0.2">
      <c r="A26198" t="s">
        <v>41708</v>
      </c>
      <c r="B26198" t="s">
        <v>4373</v>
      </c>
      <c r="C26198" t="s">
        <v>270</v>
      </c>
      <c r="D26198" t="s">
        <v>212</v>
      </c>
      <c r="E26198" t="s">
        <v>10</v>
      </c>
      <c r="F26198" s="2" t="str">
        <f>HYPERLINK("http://www.otzar.org/book.asp?101015","משבצות זהב")</f>
        <v>משבצות זהב</v>
      </c>
    </row>
    <row r="26199" spans="1:6" x14ac:dyDescent="0.2">
      <c r="A26199" t="s">
        <v>41709</v>
      </c>
      <c r="B26199" t="s">
        <v>41710</v>
      </c>
      <c r="C26199" t="s">
        <v>23</v>
      </c>
      <c r="D26199" t="s">
        <v>412</v>
      </c>
      <c r="E26199" t="s">
        <v>172</v>
      </c>
      <c r="F26199" s="2" t="str">
        <f>HYPERLINK("http://www.otzar.org/book.asp?627687","משבצות חיים - 6 כר'")</f>
        <v>משבצות חיים - 6 כר'</v>
      </c>
    </row>
    <row r="26200" spans="1:6" x14ac:dyDescent="0.2">
      <c r="A26200" t="s">
        <v>41711</v>
      </c>
      <c r="B26200" t="s">
        <v>41712</v>
      </c>
      <c r="C26200" t="s">
        <v>1663</v>
      </c>
      <c r="D26200" t="s">
        <v>260</v>
      </c>
      <c r="E26200" t="s">
        <v>463</v>
      </c>
      <c r="F26200" s="2" t="str">
        <f>HYPERLINK("http://www.otzar.org/book.asp?143538","משבצי שלמה")</f>
        <v>משבצי שלמה</v>
      </c>
    </row>
    <row r="26201" spans="1:6" x14ac:dyDescent="0.2">
      <c r="A26201" t="s">
        <v>41713</v>
      </c>
      <c r="B26201" t="s">
        <v>8315</v>
      </c>
      <c r="C26201" t="s">
        <v>41714</v>
      </c>
      <c r="D26201" t="s">
        <v>1459</v>
      </c>
      <c r="E26201" t="s">
        <v>104</v>
      </c>
      <c r="F26201" s="2" t="str">
        <f>HYPERLINK("http://www.otzar.org/book.asp?168079","משבצת הפנינים")</f>
        <v>משבצת הפנינים</v>
      </c>
    </row>
    <row r="26202" spans="1:6" x14ac:dyDescent="0.2">
      <c r="A26202" t="s">
        <v>41715</v>
      </c>
      <c r="B26202" t="s">
        <v>41716</v>
      </c>
      <c r="C26202" t="s">
        <v>41717</v>
      </c>
      <c r="D26202" t="s">
        <v>41718</v>
      </c>
      <c r="F26202" s="2" t="str">
        <f>HYPERLINK("http://www.otzar.org/book.asp?613666","משבצת התרשיש")</f>
        <v>משבצת התרשיש</v>
      </c>
    </row>
    <row r="26203" spans="1:6" x14ac:dyDescent="0.2">
      <c r="A26203" t="s">
        <v>41719</v>
      </c>
      <c r="B26203" t="s">
        <v>107</v>
      </c>
      <c r="C26203" t="s">
        <v>146</v>
      </c>
      <c r="D26203" t="s">
        <v>14</v>
      </c>
      <c r="E26203" t="s">
        <v>119</v>
      </c>
      <c r="F26203" s="2" t="str">
        <f>HYPERLINK("http://www.otzar.org/book.asp?164053","משבר עזה לבנון ואירן ואחרית הימים")</f>
        <v>משבר עזה לבנון ואירן ואחרית הימים</v>
      </c>
    </row>
    <row r="26204" spans="1:6" x14ac:dyDescent="0.2">
      <c r="A26204" t="s">
        <v>41720</v>
      </c>
      <c r="B26204" t="s">
        <v>41721</v>
      </c>
      <c r="C26204" t="s">
        <v>332</v>
      </c>
      <c r="D26204" t="s">
        <v>2504</v>
      </c>
      <c r="E26204" t="s">
        <v>144</v>
      </c>
      <c r="F26204" s="2" t="str">
        <f>HYPERLINK("http://www.otzar.org/book.asp?153743","משברי ים")</f>
        <v>משברי ים</v>
      </c>
    </row>
    <row r="26205" spans="1:6" x14ac:dyDescent="0.2">
      <c r="A26205" t="s">
        <v>41722</v>
      </c>
      <c r="B26205" t="s">
        <v>27571</v>
      </c>
      <c r="C26205" t="s">
        <v>609</v>
      </c>
      <c r="D26205" t="s">
        <v>8555</v>
      </c>
      <c r="E26205" t="s">
        <v>144</v>
      </c>
      <c r="F26205" s="2" t="str">
        <f>HYPERLINK("http://www.otzar.org/book.asp?106953","משברי ים - 3 כר'")</f>
        <v>משברי ים - 3 כר'</v>
      </c>
    </row>
    <row r="26206" spans="1:6" x14ac:dyDescent="0.2">
      <c r="A26206" t="s">
        <v>41720</v>
      </c>
      <c r="B26206" t="s">
        <v>41723</v>
      </c>
      <c r="C26206" t="s">
        <v>438</v>
      </c>
      <c r="D26206" t="s">
        <v>216</v>
      </c>
      <c r="E26206" t="s">
        <v>104</v>
      </c>
      <c r="F26206" s="2" t="str">
        <f>HYPERLINK("http://www.otzar.org/book.asp?13722","משברי ים")</f>
        <v>משברי ים</v>
      </c>
    </row>
    <row r="26207" spans="1:6" x14ac:dyDescent="0.2">
      <c r="A26207" t="s">
        <v>41724</v>
      </c>
      <c r="B26207" t="s">
        <v>1241</v>
      </c>
      <c r="C26207" t="s">
        <v>189</v>
      </c>
      <c r="D26207" t="s">
        <v>52</v>
      </c>
      <c r="E26207" t="s">
        <v>15</v>
      </c>
      <c r="F26207" s="2" t="str">
        <f>HYPERLINK("http://www.otzar.org/book.asp?141785","משברי ים - 11 כר'")</f>
        <v>משברי ים - 11 כר'</v>
      </c>
    </row>
    <row r="26208" spans="1:6" x14ac:dyDescent="0.2">
      <c r="A26208" t="s">
        <v>41720</v>
      </c>
      <c r="B26208" t="s">
        <v>6819</v>
      </c>
      <c r="C26208" t="s">
        <v>99</v>
      </c>
      <c r="D26208" t="s">
        <v>41725</v>
      </c>
      <c r="E26208" t="s">
        <v>154</v>
      </c>
      <c r="F26208" s="2" t="str">
        <f>HYPERLINK("http://www.otzar.org/book.asp?102701","משברי ים")</f>
        <v>משברי ים</v>
      </c>
    </row>
    <row r="26209" spans="1:6" x14ac:dyDescent="0.2">
      <c r="A26209" t="s">
        <v>41720</v>
      </c>
      <c r="B26209" t="s">
        <v>41726</v>
      </c>
      <c r="C26209" t="s">
        <v>224</v>
      </c>
      <c r="D26209" t="s">
        <v>100</v>
      </c>
      <c r="E26209" t="s">
        <v>25902</v>
      </c>
      <c r="F26209" s="2" t="str">
        <f>HYPERLINK("http://www.otzar.org/book.asp?10632","משברי ים")</f>
        <v>משברי ים</v>
      </c>
    </row>
    <row r="26210" spans="1:6" x14ac:dyDescent="0.2">
      <c r="A26210" t="s">
        <v>41727</v>
      </c>
      <c r="B26210" t="s">
        <v>41728</v>
      </c>
      <c r="C26210" t="s">
        <v>41729</v>
      </c>
      <c r="D26210" t="s">
        <v>1889</v>
      </c>
      <c r="E26210" t="s">
        <v>41730</v>
      </c>
      <c r="F26210" s="2" t="str">
        <f>HYPERLINK("http://www.otzar.org/book.asp?150483","משגב לדך - 2 כר'")</f>
        <v>משגב לדך - 2 כר'</v>
      </c>
    </row>
    <row r="26211" spans="1:6" x14ac:dyDescent="0.2">
      <c r="A26211" t="s">
        <v>41731</v>
      </c>
      <c r="B26211" t="s">
        <v>8100</v>
      </c>
      <c r="C26211" t="s">
        <v>244</v>
      </c>
      <c r="D26211" t="s">
        <v>367</v>
      </c>
      <c r="F26211" s="2" t="str">
        <f>HYPERLINK("http://www.otzar.org/book.asp?198593","משגב לי - 3 כר'")</f>
        <v>משגב לי - 3 כר'</v>
      </c>
    </row>
    <row r="26212" spans="1:6" x14ac:dyDescent="0.2">
      <c r="A26212" t="s">
        <v>41732</v>
      </c>
      <c r="B26212" t="s">
        <v>33724</v>
      </c>
      <c r="C26212" t="s">
        <v>79</v>
      </c>
      <c r="D26212" t="s">
        <v>6974</v>
      </c>
      <c r="E26212" t="s">
        <v>219</v>
      </c>
      <c r="F26212" s="2" t="str">
        <f>HYPERLINK("http://www.otzar.org/book.asp?171005","משגב לעתות")</f>
        <v>משגב לעתות</v>
      </c>
    </row>
    <row r="26213" spans="1:6" x14ac:dyDescent="0.2">
      <c r="A26213" t="s">
        <v>41733</v>
      </c>
      <c r="B26213" t="s">
        <v>41734</v>
      </c>
      <c r="C26213" t="s">
        <v>777</v>
      </c>
      <c r="D26213" t="s">
        <v>14</v>
      </c>
      <c r="E26213" t="s">
        <v>104</v>
      </c>
      <c r="F26213" s="2" t="str">
        <f>HYPERLINK("http://www.otzar.org/book.asp?607195","משה אבן עזרא שירי החול - 2 כר'")</f>
        <v>משה אבן עזרא שירי החול - 2 כר'</v>
      </c>
    </row>
    <row r="26214" spans="1:6" x14ac:dyDescent="0.2">
      <c r="A26214" t="s">
        <v>41735</v>
      </c>
      <c r="B26214" t="s">
        <v>9434</v>
      </c>
      <c r="C26214" t="s">
        <v>51</v>
      </c>
      <c r="D26214" t="s">
        <v>14</v>
      </c>
      <c r="E26214" t="s">
        <v>226</v>
      </c>
      <c r="F26214" s="2" t="str">
        <f>HYPERLINK("http://www.otzar.org/book.asp?190871","משה איש האלוקים - 2 כר'")</f>
        <v>משה איש האלוקים - 2 כר'</v>
      </c>
    </row>
    <row r="26215" spans="1:6" x14ac:dyDescent="0.2">
      <c r="A26215" t="s">
        <v>41736</v>
      </c>
      <c r="B26215" t="s">
        <v>3299</v>
      </c>
      <c r="C26215" t="s">
        <v>41737</v>
      </c>
      <c r="D26215" t="s">
        <v>27</v>
      </c>
      <c r="E26215" t="s">
        <v>104</v>
      </c>
      <c r="F26215" s="2" t="str">
        <f>HYPERLINK("http://www.otzar.org/book.asp?14280","משה אמת ותורתו אמת")</f>
        <v>משה אמת ותורתו אמת</v>
      </c>
    </row>
    <row r="26216" spans="1:6" x14ac:dyDescent="0.2">
      <c r="A26216" t="s">
        <v>41736</v>
      </c>
      <c r="B26216" t="s">
        <v>41738</v>
      </c>
      <c r="C26216" t="s">
        <v>23</v>
      </c>
      <c r="D26216" t="s">
        <v>34200</v>
      </c>
      <c r="E26216" t="s">
        <v>15</v>
      </c>
      <c r="F26216" s="2" t="str">
        <f>HYPERLINK("http://www.otzar.org/book.asp?186831","משה אמת ותורתו אמת")</f>
        <v>משה אמת ותורתו אמת</v>
      </c>
    </row>
    <row r="26217" spans="1:6" x14ac:dyDescent="0.2">
      <c r="A26217" t="s">
        <v>41739</v>
      </c>
      <c r="B26217" t="s">
        <v>41740</v>
      </c>
      <c r="C26217" t="s">
        <v>20</v>
      </c>
      <c r="D26217" t="s">
        <v>216</v>
      </c>
      <c r="E26217" t="s">
        <v>158</v>
      </c>
      <c r="F26217" s="2" t="str">
        <f>HYPERLINK("http://www.otzar.org/book.asp?174543","משה בחירו עמד בפרץ")</f>
        <v>משה בחירו עמד בפרץ</v>
      </c>
    </row>
    <row r="26218" spans="1:6" x14ac:dyDescent="0.2">
      <c r="A26218" t="s">
        <v>41741</v>
      </c>
      <c r="B26218" t="s">
        <v>24216</v>
      </c>
      <c r="C26218" t="s">
        <v>2008</v>
      </c>
      <c r="D26218" t="s">
        <v>216</v>
      </c>
      <c r="F26218" s="2" t="str">
        <f>HYPERLINK("http://www.otzar.org/book.asp?196028","משה בצלאל טודרסוביץ")</f>
        <v>משה בצלאל טודרסוביץ</v>
      </c>
    </row>
    <row r="26219" spans="1:6" x14ac:dyDescent="0.2">
      <c r="A26219" t="s">
        <v>41742</v>
      </c>
      <c r="B26219" t="s">
        <v>30563</v>
      </c>
      <c r="C26219" t="s">
        <v>1650</v>
      </c>
      <c r="D26219" t="s">
        <v>27</v>
      </c>
      <c r="E26219" t="s">
        <v>930</v>
      </c>
      <c r="F26219" s="2" t="str">
        <f>HYPERLINK("http://www.otzar.org/book.asp?102700","משה האי""ש")</f>
        <v>משה האי"ש</v>
      </c>
    </row>
    <row r="26220" spans="1:6" x14ac:dyDescent="0.2">
      <c r="A26220" t="s">
        <v>41743</v>
      </c>
      <c r="B26220" t="s">
        <v>41744</v>
      </c>
      <c r="C26220" t="s">
        <v>1177</v>
      </c>
      <c r="D26220" t="s">
        <v>283</v>
      </c>
      <c r="E26220" t="s">
        <v>104</v>
      </c>
      <c r="F26220" s="2" t="str">
        <f>HYPERLINK("http://www.otzar.org/book.asp?174257","משה וירושלם")</f>
        <v>משה וירושלם</v>
      </c>
    </row>
    <row r="26221" spans="1:6" x14ac:dyDescent="0.2">
      <c r="A26221" t="s">
        <v>41745</v>
      </c>
      <c r="B26221" t="s">
        <v>41746</v>
      </c>
      <c r="C26221" t="s">
        <v>41747</v>
      </c>
      <c r="D26221" t="s">
        <v>2319</v>
      </c>
      <c r="E26221" t="s">
        <v>10</v>
      </c>
      <c r="F26221" s="2" t="str">
        <f>HYPERLINK("http://www.otzar.org/book.asp?603935","משה ידבר &lt;מהדורת מכון שלמה אומן&gt;")</f>
        <v>משה ידבר &lt;מהדורת מכון שלמה אומן&gt;</v>
      </c>
    </row>
    <row r="26222" spans="1:6" x14ac:dyDescent="0.2">
      <c r="A26222" t="s">
        <v>41748</v>
      </c>
      <c r="B26222" t="s">
        <v>41749</v>
      </c>
      <c r="C26222" t="s">
        <v>1448</v>
      </c>
      <c r="D26222" t="s">
        <v>52</v>
      </c>
      <c r="E26222" t="s">
        <v>144</v>
      </c>
      <c r="F26222" s="2" t="str">
        <f>HYPERLINK("http://www.otzar.org/book.asp?61375","משה ידבר - ביצה סוכה")</f>
        <v>משה ידבר - ביצה סוכה</v>
      </c>
    </row>
    <row r="26223" spans="1:6" x14ac:dyDescent="0.2">
      <c r="A26223" t="s">
        <v>41750</v>
      </c>
      <c r="B26223" t="s">
        <v>22265</v>
      </c>
      <c r="C26223" t="s">
        <v>854</v>
      </c>
      <c r="D26223" t="s">
        <v>9</v>
      </c>
      <c r="E26223" t="s">
        <v>234</v>
      </c>
      <c r="F26223" s="2" t="str">
        <f>HYPERLINK("http://www.otzar.org/book.asp?189479","משה ידבר")</f>
        <v>משה ידבר</v>
      </c>
    </row>
    <row r="26224" spans="1:6" x14ac:dyDescent="0.2">
      <c r="A26224" t="s">
        <v>41750</v>
      </c>
      <c r="B26224" t="s">
        <v>41746</v>
      </c>
      <c r="C26224" t="s">
        <v>3695</v>
      </c>
      <c r="D26224" t="s">
        <v>76</v>
      </c>
      <c r="E26224" t="s">
        <v>15</v>
      </c>
      <c r="F26224" s="2" t="str">
        <f>HYPERLINK("http://www.otzar.org/book.asp?20283","משה ידבר")</f>
        <v>משה ידבר</v>
      </c>
    </row>
    <row r="26225" spans="1:6" x14ac:dyDescent="0.2">
      <c r="A26225" t="s">
        <v>41750</v>
      </c>
      <c r="B26225" t="s">
        <v>20120</v>
      </c>
      <c r="C26225" t="s">
        <v>244</v>
      </c>
      <c r="D26225" t="s">
        <v>90</v>
      </c>
      <c r="F26225" s="2" t="str">
        <f>HYPERLINK("http://www.otzar.org/book.asp?616873","משה ידבר")</f>
        <v>משה ידבר</v>
      </c>
    </row>
    <row r="26226" spans="1:6" x14ac:dyDescent="0.2">
      <c r="A26226" t="s">
        <v>41751</v>
      </c>
      <c r="B26226" t="s">
        <v>41752</v>
      </c>
      <c r="C26226" t="s">
        <v>9952</v>
      </c>
      <c r="D26226" t="s">
        <v>20460</v>
      </c>
      <c r="F26226" s="2" t="str">
        <f>HYPERLINK("http://www.otzar.org/book.asp?609224","משה ידבר - 2 כר'")</f>
        <v>משה ידבר - 2 כר'</v>
      </c>
    </row>
    <row r="26227" spans="1:6" x14ac:dyDescent="0.2">
      <c r="A26227" t="s">
        <v>41751</v>
      </c>
      <c r="B26227" t="s">
        <v>41753</v>
      </c>
      <c r="C26227" t="s">
        <v>244</v>
      </c>
      <c r="D26227" t="s">
        <v>14</v>
      </c>
      <c r="E26227" t="s">
        <v>467</v>
      </c>
      <c r="F26227" s="2" t="str">
        <f>HYPERLINK("http://www.otzar.org/book.asp?607618","משה ידבר - 2 כר'")</f>
        <v>משה ידבר - 2 כר'</v>
      </c>
    </row>
    <row r="26228" spans="1:6" x14ac:dyDescent="0.2">
      <c r="A26228" t="s">
        <v>41754</v>
      </c>
      <c r="B26228" t="s">
        <v>41755</v>
      </c>
      <c r="C26228" t="s">
        <v>244</v>
      </c>
      <c r="D26228" t="s">
        <v>23</v>
      </c>
      <c r="E26228" t="s">
        <v>15</v>
      </c>
      <c r="F26228" s="2" t="str">
        <f>HYPERLINK("http://www.otzar.org/book.asp?601490","משה ידו")</f>
        <v>משה ידו</v>
      </c>
    </row>
    <row r="26229" spans="1:6" x14ac:dyDescent="0.2">
      <c r="A26229" t="s">
        <v>41756</v>
      </c>
      <c r="B26229" t="s">
        <v>41757</v>
      </c>
      <c r="C26229" t="s">
        <v>1096</v>
      </c>
      <c r="D26229" t="s">
        <v>352</v>
      </c>
      <c r="E26229" t="s">
        <v>154</v>
      </c>
      <c r="F26229" s="2" t="str">
        <f>HYPERLINK("http://www.otzar.org/book.asp?101511","משה מבחוריו - 2 כר'")</f>
        <v>משה מבחוריו - 2 כר'</v>
      </c>
    </row>
    <row r="26230" spans="1:6" x14ac:dyDescent="0.2">
      <c r="A26230" t="s">
        <v>41758</v>
      </c>
      <c r="B26230" t="s">
        <v>5618</v>
      </c>
      <c r="C26230" t="s">
        <v>411</v>
      </c>
      <c r="D26230" t="s">
        <v>14</v>
      </c>
      <c r="E26230" t="s">
        <v>1697</v>
      </c>
      <c r="F26230" s="2" t="str">
        <f>HYPERLINK("http://www.otzar.org/book.asp?618883","משה עבד ה'")</f>
        <v>משה עבד ה'</v>
      </c>
    </row>
    <row r="26231" spans="1:6" x14ac:dyDescent="0.2">
      <c r="A26231" t="s">
        <v>41758</v>
      </c>
      <c r="B26231" t="s">
        <v>41759</v>
      </c>
      <c r="C26231" t="s">
        <v>775</v>
      </c>
      <c r="D26231" t="s">
        <v>52</v>
      </c>
      <c r="E26231" t="s">
        <v>119</v>
      </c>
      <c r="F26231" s="2" t="str">
        <f>HYPERLINK("http://www.otzar.org/book.asp?144712","משה עבד ה'")</f>
        <v>משה עבד ה'</v>
      </c>
    </row>
    <row r="26232" spans="1:6" x14ac:dyDescent="0.2">
      <c r="A26232" t="s">
        <v>41758</v>
      </c>
      <c r="B26232" t="s">
        <v>1005</v>
      </c>
      <c r="C26232" t="s">
        <v>767</v>
      </c>
      <c r="D26232" t="s">
        <v>412</v>
      </c>
      <c r="E26232" t="s">
        <v>199</v>
      </c>
      <c r="F26232" s="2" t="str">
        <f>HYPERLINK("http://www.otzar.org/book.asp?143602","משה עבד ה'")</f>
        <v>משה עבד ה'</v>
      </c>
    </row>
    <row r="26233" spans="1:6" x14ac:dyDescent="0.2">
      <c r="A26233" t="s">
        <v>41760</v>
      </c>
      <c r="B26233" t="s">
        <v>41761</v>
      </c>
      <c r="C26233" t="s">
        <v>41762</v>
      </c>
      <c r="D26233" t="s">
        <v>157</v>
      </c>
      <c r="E26233" t="s">
        <v>1262</v>
      </c>
      <c r="F26233" s="2" t="str">
        <f>HYPERLINK("http://www.otzar.org/book.asp?167243","משה עבד - פני חמה")</f>
        <v>משה עבד - פני חמה</v>
      </c>
    </row>
    <row r="26234" spans="1:6" x14ac:dyDescent="0.2">
      <c r="A26234" t="s">
        <v>41763</v>
      </c>
      <c r="B26234" t="s">
        <v>41764</v>
      </c>
      <c r="C26234" t="s">
        <v>146</v>
      </c>
      <c r="D26234" t="s">
        <v>52</v>
      </c>
      <c r="E26234" t="s">
        <v>1438</v>
      </c>
      <c r="F26234" s="2" t="str">
        <f>HYPERLINK("http://www.otzar.org/book.asp?62869","משה עבדי")</f>
        <v>משה עבדי</v>
      </c>
    </row>
    <row r="26235" spans="1:6" x14ac:dyDescent="0.2">
      <c r="A26235" t="s">
        <v>41765</v>
      </c>
      <c r="B26235" t="s">
        <v>41766</v>
      </c>
      <c r="C26235" t="s">
        <v>71</v>
      </c>
      <c r="D26235" t="s">
        <v>52</v>
      </c>
      <c r="E26235" t="s">
        <v>234</v>
      </c>
      <c r="F26235" s="2" t="str">
        <f>HYPERLINK("http://www.otzar.org/book.asp?152640","משה עלה למרום")</f>
        <v>משה עלה למרום</v>
      </c>
    </row>
    <row r="26236" spans="1:6" x14ac:dyDescent="0.2">
      <c r="A26236" t="s">
        <v>41767</v>
      </c>
      <c r="B26236" t="s">
        <v>41768</v>
      </c>
      <c r="C26236" t="s">
        <v>411</v>
      </c>
      <c r="D26236" t="s">
        <v>21</v>
      </c>
      <c r="E26236" t="s">
        <v>119</v>
      </c>
      <c r="F26236" s="2" t="str">
        <f>HYPERLINK("http://www.otzar.org/book.asp?193399","משה רעיא מהימנא - 2 כר'")</f>
        <v>משה רעיא מהימנא - 2 כר'</v>
      </c>
    </row>
    <row r="26237" spans="1:6" x14ac:dyDescent="0.2">
      <c r="A26237" t="s">
        <v>41769</v>
      </c>
      <c r="B26237" t="s">
        <v>41770</v>
      </c>
      <c r="C26237" t="s">
        <v>41771</v>
      </c>
      <c r="D26237" t="s">
        <v>14</v>
      </c>
      <c r="F26237" s="2" t="str">
        <f>HYPERLINK("http://www.otzar.org/book.asp?610027","משה שפיר קאמרת - 3 כר'")</f>
        <v>משה שפיר קאמרת - 3 כר'</v>
      </c>
    </row>
    <row r="26238" spans="1:6" x14ac:dyDescent="0.2">
      <c r="A26238" t="s">
        <v>41772</v>
      </c>
      <c r="B26238" t="s">
        <v>41773</v>
      </c>
      <c r="C26238" t="s">
        <v>533</v>
      </c>
      <c r="D26238" t="s">
        <v>646</v>
      </c>
      <c r="E26238" t="s">
        <v>1211</v>
      </c>
      <c r="F26238" s="2" t="str">
        <f>HYPERLINK("http://www.otzar.org/book.asp?171392","משה שפיר קאמרת - וזאת ליהודה")</f>
        <v>משה שפיר קאמרת - וזאת ליהודה</v>
      </c>
    </row>
    <row r="26239" spans="1:6" x14ac:dyDescent="0.2">
      <c r="A26239" t="s">
        <v>41774</v>
      </c>
      <c r="B26239" t="s">
        <v>5975</v>
      </c>
      <c r="D26239" t="s">
        <v>2458</v>
      </c>
      <c r="E26239" t="s">
        <v>104</v>
      </c>
      <c r="F26239" s="2" t="str">
        <f>HYPERLINK("http://www.otzar.org/book.asp?158881","משהו על יצירתו של ר' יהודה ן' בולט - תדפיס")</f>
        <v>משהו על יצירתו של ר' יהודה ן' בולט - תדפיס</v>
      </c>
    </row>
    <row r="26240" spans="1:6" x14ac:dyDescent="0.2">
      <c r="A26240" t="s">
        <v>41775</v>
      </c>
      <c r="B26240" t="s">
        <v>41776</v>
      </c>
      <c r="C26240" t="s">
        <v>422</v>
      </c>
      <c r="D26240" t="s">
        <v>14</v>
      </c>
      <c r="E26240" t="s">
        <v>202</v>
      </c>
      <c r="F26240" s="2" t="str">
        <f>HYPERLINK("http://www.otzar.org/book.asp?167438","משואה ליצחק - 2 כר'")</f>
        <v>משואה ליצחק - 2 כר'</v>
      </c>
    </row>
    <row r="26241" spans="1:6" x14ac:dyDescent="0.2">
      <c r="A26241" t="s">
        <v>41777</v>
      </c>
      <c r="B26241" t="s">
        <v>41778</v>
      </c>
      <c r="C26241" t="s">
        <v>1640</v>
      </c>
      <c r="D26241" t="s">
        <v>52</v>
      </c>
      <c r="E26241" t="s">
        <v>733</v>
      </c>
      <c r="F26241" s="2" t="str">
        <f>HYPERLINK("http://www.otzar.org/book.asp?601","משואות")</f>
        <v>משואות</v>
      </c>
    </row>
    <row r="26242" spans="1:6" x14ac:dyDescent="0.2">
      <c r="A26242" t="s">
        <v>41779</v>
      </c>
      <c r="B26242" t="s">
        <v>489</v>
      </c>
      <c r="C26242" t="s">
        <v>1663</v>
      </c>
      <c r="D26242" t="s">
        <v>14</v>
      </c>
      <c r="E26242" t="s">
        <v>202</v>
      </c>
      <c r="F26242" s="2" t="str">
        <f>HYPERLINK("http://www.otzar.org/book.asp?142877","משואות - 5 כר'")</f>
        <v>משואות - 5 כר'</v>
      </c>
    </row>
    <row r="26243" spans="1:6" x14ac:dyDescent="0.2">
      <c r="A26243" t="s">
        <v>41780</v>
      </c>
      <c r="B26243" t="s">
        <v>836</v>
      </c>
      <c r="C26243" t="s">
        <v>71</v>
      </c>
      <c r="D26243" t="s">
        <v>14</v>
      </c>
      <c r="E26243" t="s">
        <v>837</v>
      </c>
      <c r="F26243" s="2" t="str">
        <f>HYPERLINK("http://www.otzar.org/book.asp?6314","משובב נתיבות &lt;יאיר נתיב, דליות דוד&gt;")</f>
        <v>משובב נתיבות &lt;יאיר נתיב, דליות דוד&gt;</v>
      </c>
    </row>
    <row r="26244" spans="1:6" x14ac:dyDescent="0.2">
      <c r="A26244" t="s">
        <v>41781</v>
      </c>
      <c r="B26244" t="s">
        <v>836</v>
      </c>
      <c r="C26244" t="s">
        <v>888</v>
      </c>
      <c r="D26244" t="s">
        <v>2313</v>
      </c>
      <c r="E26244" t="s">
        <v>837</v>
      </c>
      <c r="F26244" s="2" t="str">
        <f>HYPERLINK("http://www.otzar.org/book.asp?101014","משובב נתיבות")</f>
        <v>משובב נתיבות</v>
      </c>
    </row>
    <row r="26245" spans="1:6" x14ac:dyDescent="0.2">
      <c r="A26245" t="s">
        <v>41782</v>
      </c>
      <c r="B26245" t="s">
        <v>2394</v>
      </c>
      <c r="C26245" t="s">
        <v>23</v>
      </c>
      <c r="D26245" t="s">
        <v>14</v>
      </c>
      <c r="E26245" t="s">
        <v>674</v>
      </c>
      <c r="F26245" s="2" t="str">
        <f>HYPERLINK("http://www.otzar.org/book.asp?192855","משובח ומפואר")</f>
        <v>משובח ומפואר</v>
      </c>
    </row>
    <row r="26246" spans="1:6" x14ac:dyDescent="0.2">
      <c r="A26246" t="s">
        <v>41783</v>
      </c>
      <c r="B26246" t="s">
        <v>5504</v>
      </c>
      <c r="C26246" t="s">
        <v>20</v>
      </c>
      <c r="D26246" t="s">
        <v>21</v>
      </c>
      <c r="E26246" t="s">
        <v>15</v>
      </c>
      <c r="F26246" s="2" t="str">
        <f>HYPERLINK("http://www.otzar.org/book.asp?197292","משולחן אבותינו")</f>
        <v>משולחן אבותינו</v>
      </c>
    </row>
    <row r="26247" spans="1:6" x14ac:dyDescent="0.2">
      <c r="A26247" t="s">
        <v>41784</v>
      </c>
      <c r="B26247" t="s">
        <v>41785</v>
      </c>
      <c r="C26247" t="s">
        <v>411</v>
      </c>
      <c r="D26247" t="s">
        <v>14</v>
      </c>
      <c r="E26247" t="s">
        <v>119</v>
      </c>
      <c r="F26247" s="2" t="str">
        <f>HYPERLINK("http://www.otzar.org/book.asp?172101","משונצינו ועד וילנא")</f>
        <v>משונצינו ועד וילנא</v>
      </c>
    </row>
    <row r="26248" spans="1:6" x14ac:dyDescent="0.2">
      <c r="A26248" t="s">
        <v>41786</v>
      </c>
      <c r="B26248" t="s">
        <v>41787</v>
      </c>
      <c r="C26248" t="s">
        <v>146</v>
      </c>
      <c r="D26248" t="s">
        <v>52</v>
      </c>
      <c r="E26248" t="s">
        <v>1262</v>
      </c>
      <c r="F26248" s="2" t="str">
        <f>HYPERLINK("http://www.otzar.org/book.asp?84687","משוש אבות על בנים - אור יצהר")</f>
        <v>משוש אבות על בנים - אור יצהר</v>
      </c>
    </row>
    <row r="26249" spans="1:6" x14ac:dyDescent="0.2">
      <c r="A26249" t="s">
        <v>41788</v>
      </c>
      <c r="B26249" t="s">
        <v>11066</v>
      </c>
      <c r="C26249" t="s">
        <v>244</v>
      </c>
      <c r="D26249" t="s">
        <v>14</v>
      </c>
      <c r="E26249" t="s">
        <v>104</v>
      </c>
      <c r="F26249" s="2" t="str">
        <f>HYPERLINK("http://www.otzar.org/book.asp?606272","משוש דודים - נישואין")</f>
        <v>משוש דודים - נישואין</v>
      </c>
    </row>
    <row r="26250" spans="1:6" x14ac:dyDescent="0.2">
      <c r="A26250" t="s">
        <v>41789</v>
      </c>
      <c r="B26250" t="s">
        <v>1750</v>
      </c>
      <c r="C26250" t="s">
        <v>114</v>
      </c>
      <c r="D26250" t="s">
        <v>90</v>
      </c>
      <c r="E26250" t="s">
        <v>741</v>
      </c>
      <c r="F26250" s="2" t="str">
        <f>HYPERLINK("http://www.otzar.org/book.asp?165100","משוש דודים")</f>
        <v>משוש דודים</v>
      </c>
    </row>
    <row r="26251" spans="1:6" x14ac:dyDescent="0.2">
      <c r="A26251" t="s">
        <v>41790</v>
      </c>
      <c r="B26251" t="s">
        <v>41791</v>
      </c>
      <c r="C26251" t="s">
        <v>37</v>
      </c>
      <c r="D26251" t="s">
        <v>52</v>
      </c>
      <c r="F26251" s="2" t="str">
        <f>HYPERLINK("http://www.otzar.org/book.asp?614481","משוש דור ודור - 2 כר'")</f>
        <v>משוש דור ודור - 2 כר'</v>
      </c>
    </row>
    <row r="26252" spans="1:6" x14ac:dyDescent="0.2">
      <c r="A26252" t="s">
        <v>41792</v>
      </c>
      <c r="B26252" t="s">
        <v>41793</v>
      </c>
      <c r="C26252" t="s">
        <v>23</v>
      </c>
      <c r="D26252" t="s">
        <v>52</v>
      </c>
      <c r="E26252" t="s">
        <v>15</v>
      </c>
      <c r="F26252" s="2" t="str">
        <f>HYPERLINK("http://www.otzar.org/book.asp?189676","משוש הארץ")</f>
        <v>משוש הארץ</v>
      </c>
    </row>
    <row r="26253" spans="1:6" x14ac:dyDescent="0.2">
      <c r="A26253" t="s">
        <v>41794</v>
      </c>
      <c r="B26253" t="s">
        <v>41795</v>
      </c>
      <c r="C26253" t="s">
        <v>151</v>
      </c>
      <c r="D26253" t="s">
        <v>216</v>
      </c>
      <c r="E26253" t="s">
        <v>15</v>
      </c>
      <c r="F26253" s="2" t="str">
        <f>HYPERLINK("http://www.otzar.org/book.asp?625819","משוש חתן")</f>
        <v>משוש חתן</v>
      </c>
    </row>
    <row r="26254" spans="1:6" x14ac:dyDescent="0.2">
      <c r="A26254" t="s">
        <v>41796</v>
      </c>
      <c r="B26254" t="s">
        <v>3286</v>
      </c>
      <c r="C26254" t="s">
        <v>533</v>
      </c>
      <c r="D26254" t="s">
        <v>52</v>
      </c>
      <c r="E26254" t="s">
        <v>674</v>
      </c>
      <c r="F26254" s="2" t="str">
        <f>HYPERLINK("http://www.otzar.org/book.asp?26029","משוש כל הארץ")</f>
        <v>משוש כל הארץ</v>
      </c>
    </row>
    <row r="26255" spans="1:6" x14ac:dyDescent="0.2">
      <c r="A26255" t="s">
        <v>41796</v>
      </c>
      <c r="B26255" t="s">
        <v>4206</v>
      </c>
      <c r="C26255" t="s">
        <v>334</v>
      </c>
      <c r="D26255" t="s">
        <v>4207</v>
      </c>
      <c r="E26255" t="s">
        <v>219</v>
      </c>
      <c r="F26255" s="2" t="str">
        <f>HYPERLINK("http://www.otzar.org/book.asp?624596","משוש כל הארץ")</f>
        <v>משוש כל הארץ</v>
      </c>
    </row>
    <row r="26256" spans="1:6" x14ac:dyDescent="0.2">
      <c r="A26256" t="s">
        <v>41796</v>
      </c>
      <c r="B26256" t="s">
        <v>41797</v>
      </c>
      <c r="C26256" t="s">
        <v>1374</v>
      </c>
      <c r="D26256" t="s">
        <v>27</v>
      </c>
      <c r="E26256" t="s">
        <v>104</v>
      </c>
      <c r="F26256" s="2" t="str">
        <f>HYPERLINK("http://www.otzar.org/book.asp?144695","משוש כל הארץ")</f>
        <v>משוש כל הארץ</v>
      </c>
    </row>
    <row r="26257" spans="1:6" x14ac:dyDescent="0.2">
      <c r="A26257" t="s">
        <v>41798</v>
      </c>
      <c r="B26257" t="s">
        <v>7899</v>
      </c>
      <c r="C26257" t="s">
        <v>785</v>
      </c>
      <c r="D26257" t="s">
        <v>14</v>
      </c>
      <c r="E26257" t="s">
        <v>158</v>
      </c>
      <c r="F26257" s="2" t="str">
        <f>HYPERLINK("http://www.otzar.org/book.asp?10141","משוש כל המתאבלים")</f>
        <v>משוש כל המתאבלים</v>
      </c>
    </row>
    <row r="26258" spans="1:6" x14ac:dyDescent="0.2">
      <c r="A26258" t="s">
        <v>41799</v>
      </c>
      <c r="B26258" t="s">
        <v>41800</v>
      </c>
      <c r="C26258" t="s">
        <v>68</v>
      </c>
      <c r="D26258" t="s">
        <v>90</v>
      </c>
      <c r="E26258" t="s">
        <v>172</v>
      </c>
      <c r="F26258" s="2" t="str">
        <f>HYPERLINK("http://www.otzar.org/book.asp?160117","משח זיתא דכיא")</f>
        <v>משח זיתא דכיא</v>
      </c>
    </row>
    <row r="26259" spans="1:6" x14ac:dyDescent="0.2">
      <c r="A26259" t="s">
        <v>41801</v>
      </c>
      <c r="B26259" t="s">
        <v>37668</v>
      </c>
      <c r="C26259" t="s">
        <v>2269</v>
      </c>
      <c r="D26259" t="s">
        <v>212</v>
      </c>
      <c r="E26259" t="s">
        <v>172</v>
      </c>
      <c r="F26259" s="2" t="str">
        <f>HYPERLINK("http://www.otzar.org/book.asp?101069","משחא דרבותא - 3 כר'")</f>
        <v>משחא דרבותא - 3 כר'</v>
      </c>
    </row>
    <row r="26260" spans="1:6" x14ac:dyDescent="0.2">
      <c r="A26260" t="s">
        <v>41802</v>
      </c>
      <c r="B26260" t="s">
        <v>24017</v>
      </c>
      <c r="C26260" t="s">
        <v>24018</v>
      </c>
      <c r="D26260" t="s">
        <v>95</v>
      </c>
      <c r="F26260" s="2" t="str">
        <f>HYPERLINK("http://www.otzar.org/book.asp?151555","משחקת בתבל &lt;מתוך זמירות ישראל&gt;")</f>
        <v>משחקת בתבל &lt;מתוך זמירות ישראל&gt;</v>
      </c>
    </row>
    <row r="26261" spans="1:6" x14ac:dyDescent="0.2">
      <c r="A26261" t="s">
        <v>41803</v>
      </c>
      <c r="B26261" t="s">
        <v>41804</v>
      </c>
      <c r="C26261" t="s">
        <v>10155</v>
      </c>
      <c r="D26261" t="s">
        <v>2290</v>
      </c>
      <c r="E26261" t="s">
        <v>144</v>
      </c>
      <c r="F26261" s="2" t="str">
        <f>HYPERLINK("http://www.otzar.org/book.asp?200242","משחת אהרן")</f>
        <v>משחת אהרן</v>
      </c>
    </row>
    <row r="26262" spans="1:6" x14ac:dyDescent="0.2">
      <c r="A26262" t="s">
        <v>41805</v>
      </c>
      <c r="B26262" t="s">
        <v>8758</v>
      </c>
      <c r="C26262" t="s">
        <v>1519</v>
      </c>
      <c r="D26262" t="s">
        <v>1660</v>
      </c>
      <c r="E26262" t="s">
        <v>786</v>
      </c>
      <c r="F26262" s="2" t="str">
        <f>HYPERLINK("http://www.otzar.org/book.asp?20285","משחת אהרן - 3 כר'")</f>
        <v>משחת אהרן - 3 כר'</v>
      </c>
    </row>
    <row r="26263" spans="1:6" x14ac:dyDescent="0.2">
      <c r="A26263" t="s">
        <v>41803</v>
      </c>
      <c r="B26263" t="s">
        <v>18664</v>
      </c>
      <c r="C26263" t="s">
        <v>362</v>
      </c>
      <c r="D26263" t="s">
        <v>661</v>
      </c>
      <c r="E26263" t="s">
        <v>13324</v>
      </c>
      <c r="F26263" s="2" t="str">
        <f>HYPERLINK("http://www.otzar.org/book.asp?20286","משחת אהרן")</f>
        <v>משחת אהרן</v>
      </c>
    </row>
    <row r="26264" spans="1:6" x14ac:dyDescent="0.2">
      <c r="A26264" t="s">
        <v>41806</v>
      </c>
      <c r="B26264" t="s">
        <v>2396</v>
      </c>
      <c r="C26264" t="s">
        <v>20</v>
      </c>
      <c r="D26264" t="s">
        <v>90</v>
      </c>
      <c r="E26264" t="s">
        <v>158</v>
      </c>
      <c r="F26264" s="2" t="str">
        <f>HYPERLINK("http://www.otzar.org/book.asp?153802","משחת קדש")</f>
        <v>משחת קדש</v>
      </c>
    </row>
    <row r="26265" spans="1:6" x14ac:dyDescent="0.2">
      <c r="A26265" t="s">
        <v>41807</v>
      </c>
      <c r="B26265" t="s">
        <v>31854</v>
      </c>
      <c r="C26265" t="s">
        <v>129</v>
      </c>
      <c r="D26265" t="s">
        <v>1550</v>
      </c>
      <c r="E26265" t="s">
        <v>130</v>
      </c>
      <c r="F26265" s="2" t="str">
        <f>HYPERLINK("http://www.otzar.org/book.asp?158790","משחת קודש")</f>
        <v>משחת קודש</v>
      </c>
    </row>
    <row r="26266" spans="1:6" x14ac:dyDescent="0.2">
      <c r="A26266" t="s">
        <v>41808</v>
      </c>
      <c r="B26266" t="s">
        <v>41809</v>
      </c>
      <c r="C26266" t="s">
        <v>13</v>
      </c>
      <c r="D26266" t="s">
        <v>14</v>
      </c>
      <c r="E26266" t="s">
        <v>158</v>
      </c>
      <c r="F26266" s="2" t="str">
        <f>HYPERLINK("http://www.otzar.org/book.asp?172139","משחת שמן - 6 כר'")</f>
        <v>משחת שמן - 6 כר'</v>
      </c>
    </row>
    <row r="26267" spans="1:6" x14ac:dyDescent="0.2">
      <c r="A26267" t="s">
        <v>41810</v>
      </c>
      <c r="B26267" t="s">
        <v>41811</v>
      </c>
      <c r="C26267" t="s">
        <v>133</v>
      </c>
      <c r="D26267" t="s">
        <v>14</v>
      </c>
      <c r="E26267" t="s">
        <v>15</v>
      </c>
      <c r="F26267" s="2" t="str">
        <f>HYPERLINK("http://www.otzar.org/book.asp?176113","משטר ומדינה בישראל על פי התורה - 4 כר'")</f>
        <v>משטר ומדינה בישראל על פי התורה - 4 כר'</v>
      </c>
    </row>
    <row r="26268" spans="1:6" x14ac:dyDescent="0.2">
      <c r="A26268" t="s">
        <v>41812</v>
      </c>
      <c r="B26268" t="s">
        <v>40968</v>
      </c>
      <c r="C26268" t="s">
        <v>454</v>
      </c>
      <c r="D26268" t="s">
        <v>14</v>
      </c>
      <c r="E26268" t="s">
        <v>154</v>
      </c>
      <c r="F26268" s="2" t="str">
        <f>HYPERLINK("http://www.otzar.org/book.asp?149478","משיב בהלכה - 2 כר'")</f>
        <v>משיב בהלכה - 2 כר'</v>
      </c>
    </row>
    <row r="26269" spans="1:6" x14ac:dyDescent="0.2">
      <c r="A26269" t="s">
        <v>41812</v>
      </c>
      <c r="B26269" t="s">
        <v>31241</v>
      </c>
      <c r="C26269" t="s">
        <v>785</v>
      </c>
      <c r="D26269" t="s">
        <v>412</v>
      </c>
      <c r="E26269" t="s">
        <v>10</v>
      </c>
      <c r="F26269" s="2" t="str">
        <f>HYPERLINK("http://www.otzar.org/book.asp?150433","משיב בהלכה - 2 כר'")</f>
        <v>משיב בהלכה - 2 כר'</v>
      </c>
    </row>
    <row r="26270" spans="1:6" x14ac:dyDescent="0.2">
      <c r="A26270" t="s">
        <v>41813</v>
      </c>
      <c r="B26270" t="s">
        <v>5218</v>
      </c>
      <c r="C26270" t="s">
        <v>334</v>
      </c>
      <c r="D26270" t="s">
        <v>14</v>
      </c>
      <c r="E26270" t="s">
        <v>588</v>
      </c>
      <c r="F26270" s="2" t="str">
        <f>HYPERLINK("http://www.otzar.org/book.asp?53660","משיב דבר")</f>
        <v>משיב דבר</v>
      </c>
    </row>
    <row r="26271" spans="1:6" x14ac:dyDescent="0.2">
      <c r="A26271" t="s">
        <v>41813</v>
      </c>
      <c r="B26271" t="s">
        <v>1303</v>
      </c>
      <c r="C26271" t="s">
        <v>1706</v>
      </c>
      <c r="D26271" t="s">
        <v>283</v>
      </c>
      <c r="E26271" t="s">
        <v>154</v>
      </c>
      <c r="F26271" s="2" t="str">
        <f>HYPERLINK("http://www.otzar.org/book.asp?9967","משיב דבר")</f>
        <v>משיב דבר</v>
      </c>
    </row>
    <row r="26272" spans="1:6" x14ac:dyDescent="0.2">
      <c r="A26272" t="s">
        <v>41814</v>
      </c>
      <c r="B26272" t="s">
        <v>40968</v>
      </c>
      <c r="C26272" t="s">
        <v>129</v>
      </c>
      <c r="D26272" t="s">
        <v>14</v>
      </c>
      <c r="E26272" t="s">
        <v>130</v>
      </c>
      <c r="F26272" s="2" t="str">
        <f>HYPERLINK("http://www.otzar.org/book.asp?149481","משיב דברים")</f>
        <v>משיב דברים</v>
      </c>
    </row>
    <row r="26273" spans="1:6" x14ac:dyDescent="0.2">
      <c r="A26273" t="s">
        <v>41815</v>
      </c>
      <c r="B26273" t="s">
        <v>41816</v>
      </c>
      <c r="C26273" t="s">
        <v>41817</v>
      </c>
      <c r="D26273" t="s">
        <v>379</v>
      </c>
      <c r="E26273" t="s">
        <v>154</v>
      </c>
      <c r="F26273" s="2" t="str">
        <f>HYPERLINK("http://www.otzar.org/book.asp?101171","משיב דברים - 2 כר'")</f>
        <v>משיב דברים - 2 כר'</v>
      </c>
    </row>
    <row r="26274" spans="1:6" x14ac:dyDescent="0.2">
      <c r="A26274" t="s">
        <v>41818</v>
      </c>
      <c r="B26274" t="s">
        <v>41819</v>
      </c>
      <c r="C26274" t="s">
        <v>19592</v>
      </c>
      <c r="D26274" t="s">
        <v>947</v>
      </c>
      <c r="E26274" t="s">
        <v>684</v>
      </c>
      <c r="F26274" s="2" t="str">
        <f>HYPERLINK("http://www.otzar.org/book.asp?28638","משיב הלכה")</f>
        <v>משיב הלכה</v>
      </c>
    </row>
    <row r="26275" spans="1:6" x14ac:dyDescent="0.2">
      <c r="A26275" t="s">
        <v>41820</v>
      </c>
      <c r="B26275" t="s">
        <v>41821</v>
      </c>
      <c r="C26275" t="s">
        <v>1268</v>
      </c>
      <c r="D26275" t="s">
        <v>90</v>
      </c>
      <c r="F26275" s="2" t="str">
        <f>HYPERLINK("http://www.otzar.org/book.asp?613289","משיב הרוח")</f>
        <v>משיב הרוח</v>
      </c>
    </row>
    <row r="26276" spans="1:6" x14ac:dyDescent="0.2">
      <c r="A26276" t="s">
        <v>41822</v>
      </c>
      <c r="B26276" t="s">
        <v>41823</v>
      </c>
      <c r="C26276" t="s">
        <v>422</v>
      </c>
      <c r="D26276" t="s">
        <v>152</v>
      </c>
      <c r="E26276" t="s">
        <v>674</v>
      </c>
      <c r="F26276" s="2" t="str">
        <f>HYPERLINK("http://www.otzar.org/book.asp?154298","משיב חיים")</f>
        <v>משיב חיים</v>
      </c>
    </row>
    <row r="26277" spans="1:6" x14ac:dyDescent="0.2">
      <c r="A26277" t="s">
        <v>41824</v>
      </c>
      <c r="B26277" t="s">
        <v>41825</v>
      </c>
      <c r="C26277" t="s">
        <v>168</v>
      </c>
      <c r="D26277" t="s">
        <v>14</v>
      </c>
      <c r="F26277" s="2" t="str">
        <f>HYPERLINK("http://www.otzar.org/book.asp?84960","משיב טעם")</f>
        <v>משיב טעם</v>
      </c>
    </row>
    <row r="26278" spans="1:6" x14ac:dyDescent="0.2">
      <c r="A26278" t="s">
        <v>41824</v>
      </c>
      <c r="B26278" t="s">
        <v>206</v>
      </c>
      <c r="C26278" t="s">
        <v>51</v>
      </c>
      <c r="D26278" t="s">
        <v>14</v>
      </c>
      <c r="E26278" t="s">
        <v>15</v>
      </c>
      <c r="F26278" s="2" t="str">
        <f>HYPERLINK("http://www.otzar.org/book.asp?177059","משיב טעם")</f>
        <v>משיב טעם</v>
      </c>
    </row>
    <row r="26279" spans="1:6" x14ac:dyDescent="0.2">
      <c r="A26279" t="s">
        <v>41826</v>
      </c>
      <c r="B26279" t="s">
        <v>12985</v>
      </c>
      <c r="C26279" t="s">
        <v>698</v>
      </c>
      <c r="D26279" t="s">
        <v>563</v>
      </c>
      <c r="F26279" s="2" t="str">
        <f>HYPERLINK("http://www.otzar.org/book.asp?615705","משיב כהלכה - 2 כר'")</f>
        <v>משיב כהלכה - 2 כר'</v>
      </c>
    </row>
    <row r="26280" spans="1:6" x14ac:dyDescent="0.2">
      <c r="A26280" t="s">
        <v>41827</v>
      </c>
      <c r="B26280" t="s">
        <v>41828</v>
      </c>
      <c r="C26280" t="s">
        <v>624</v>
      </c>
      <c r="D26280" t="s">
        <v>31424</v>
      </c>
      <c r="E26280" t="s">
        <v>144</v>
      </c>
      <c r="F26280" s="2" t="str">
        <f>HYPERLINK("http://www.otzar.org/book.asp?190898","משיב כהלכה")</f>
        <v>משיב כהלכה</v>
      </c>
    </row>
    <row r="26281" spans="1:6" x14ac:dyDescent="0.2">
      <c r="A26281" t="s">
        <v>41829</v>
      </c>
      <c r="B26281" t="s">
        <v>41830</v>
      </c>
      <c r="C26281" t="s">
        <v>23</v>
      </c>
      <c r="D26281" t="s">
        <v>14</v>
      </c>
      <c r="F26281" s="2" t="str">
        <f>HYPERLINK("http://www.otzar.org/book.asp?618684","משיב כהלכה - 3 כר'")</f>
        <v>משיב כהלכה - 3 כר'</v>
      </c>
    </row>
    <row r="26282" spans="1:6" x14ac:dyDescent="0.2">
      <c r="A26282" t="s">
        <v>41831</v>
      </c>
      <c r="B26282" t="s">
        <v>41832</v>
      </c>
      <c r="C26282" t="s">
        <v>20</v>
      </c>
      <c r="D26282" t="s">
        <v>90</v>
      </c>
      <c r="E26282" t="s">
        <v>803</v>
      </c>
      <c r="F26282" s="2" t="str">
        <f>HYPERLINK("http://www.otzar.org/book.asp?50657","משיב משובב נפש חיה")</f>
        <v>משיב משובב נפש חיה</v>
      </c>
    </row>
    <row r="26283" spans="1:6" x14ac:dyDescent="0.2">
      <c r="A26283" t="s">
        <v>41833</v>
      </c>
      <c r="B26283" t="s">
        <v>8597</v>
      </c>
      <c r="C26283" t="s">
        <v>13</v>
      </c>
      <c r="D26283" t="s">
        <v>412</v>
      </c>
      <c r="E26283" t="s">
        <v>154</v>
      </c>
      <c r="F26283" s="2" t="str">
        <f>HYPERLINK("http://www.otzar.org/book.asp?170844","משיב נבונים - 6 כר'")</f>
        <v>משיב נבונים - 6 כר'</v>
      </c>
    </row>
    <row r="26284" spans="1:6" x14ac:dyDescent="0.2">
      <c r="A26284" t="s">
        <v>41834</v>
      </c>
      <c r="B26284" t="s">
        <v>41835</v>
      </c>
      <c r="C26284" t="s">
        <v>411</v>
      </c>
      <c r="D26284" t="s">
        <v>90</v>
      </c>
      <c r="E26284" t="s">
        <v>154</v>
      </c>
      <c r="F26284" s="2" t="str">
        <f>HYPERLINK("http://www.otzar.org/book.asp?193219","משיב נפש - 4 כר'")</f>
        <v>משיב נפש - 4 כר'</v>
      </c>
    </row>
    <row r="26285" spans="1:6" x14ac:dyDescent="0.2">
      <c r="A26285" t="s">
        <v>41836</v>
      </c>
      <c r="B26285" t="s">
        <v>41837</v>
      </c>
      <c r="C26285" t="s">
        <v>558</v>
      </c>
      <c r="D26285" t="s">
        <v>756</v>
      </c>
      <c r="E26285" t="s">
        <v>158</v>
      </c>
      <c r="F26285" s="2" t="str">
        <f>HYPERLINK("http://www.otzar.org/book.asp?144825","משיב נפש")</f>
        <v>משיב נפש</v>
      </c>
    </row>
    <row r="26286" spans="1:6" x14ac:dyDescent="0.2">
      <c r="A26286" t="s">
        <v>41836</v>
      </c>
      <c r="B26286" t="s">
        <v>41838</v>
      </c>
      <c r="C26286" t="s">
        <v>624</v>
      </c>
      <c r="D26286" t="s">
        <v>14</v>
      </c>
      <c r="E26286" t="s">
        <v>15</v>
      </c>
      <c r="F26286" s="2" t="str">
        <f>HYPERLINK("http://www.otzar.org/book.asp?158140","משיב נפש")</f>
        <v>משיב נפש</v>
      </c>
    </row>
    <row r="26287" spans="1:6" x14ac:dyDescent="0.2">
      <c r="A26287" t="s">
        <v>41839</v>
      </c>
      <c r="B26287" t="s">
        <v>41840</v>
      </c>
      <c r="C26287" t="s">
        <v>411</v>
      </c>
      <c r="D26287" t="s">
        <v>14</v>
      </c>
      <c r="E26287" t="s">
        <v>144</v>
      </c>
      <c r="F26287" s="2" t="str">
        <f>HYPERLINK("http://www.otzar.org/book.asp?166063","משיב נפש - נדה א")</f>
        <v>משיב נפש - נדה א</v>
      </c>
    </row>
    <row r="26288" spans="1:6" x14ac:dyDescent="0.2">
      <c r="A26288" t="s">
        <v>41836</v>
      </c>
      <c r="B26288" t="s">
        <v>2851</v>
      </c>
      <c r="C26288" t="s">
        <v>286</v>
      </c>
      <c r="D26288" t="s">
        <v>13414</v>
      </c>
      <c r="E26288" t="s">
        <v>10</v>
      </c>
      <c r="F26288" s="2" t="str">
        <f>HYPERLINK("http://www.otzar.org/book.asp?169428","משיב נפש")</f>
        <v>משיב נפש</v>
      </c>
    </row>
    <row r="26289" spans="1:6" x14ac:dyDescent="0.2">
      <c r="A26289" t="s">
        <v>41836</v>
      </c>
      <c r="B26289" t="s">
        <v>41841</v>
      </c>
      <c r="C26289" t="s">
        <v>482</v>
      </c>
      <c r="D26289" t="s">
        <v>412</v>
      </c>
      <c r="E26289" t="s">
        <v>8469</v>
      </c>
      <c r="F26289" s="2" t="str">
        <f>HYPERLINK("http://www.otzar.org/book.asp?174565","משיב נפש")</f>
        <v>משיב נפש</v>
      </c>
    </row>
    <row r="26290" spans="1:6" x14ac:dyDescent="0.2">
      <c r="A26290" t="s">
        <v>41842</v>
      </c>
      <c r="B26290" t="s">
        <v>17859</v>
      </c>
      <c r="C26290" t="s">
        <v>609</v>
      </c>
      <c r="D26290" t="s">
        <v>225</v>
      </c>
      <c r="E26290" t="s">
        <v>2088</v>
      </c>
      <c r="F26290" s="2" t="str">
        <f>HYPERLINK("http://www.otzar.org/book.asp?105830","משיב נפש - 2 כר'")</f>
        <v>משיב נפש - 2 כר'</v>
      </c>
    </row>
    <row r="26291" spans="1:6" x14ac:dyDescent="0.2">
      <c r="A26291" t="s">
        <v>41836</v>
      </c>
      <c r="B26291" t="s">
        <v>41843</v>
      </c>
      <c r="C26291" t="s">
        <v>8</v>
      </c>
      <c r="D26291" t="s">
        <v>283</v>
      </c>
      <c r="E26291" t="s">
        <v>15</v>
      </c>
      <c r="F26291" s="2" t="str">
        <f>HYPERLINK("http://www.otzar.org/book.asp?104296","משיב נפש")</f>
        <v>משיב נפש</v>
      </c>
    </row>
    <row r="26292" spans="1:6" x14ac:dyDescent="0.2">
      <c r="A26292" t="s">
        <v>41842</v>
      </c>
      <c r="B26292" t="s">
        <v>41844</v>
      </c>
      <c r="C26292" t="s">
        <v>68</v>
      </c>
      <c r="D26292" t="s">
        <v>412</v>
      </c>
      <c r="F26292" s="2" t="str">
        <f>HYPERLINK("http://www.otzar.org/book.asp?610084","משיב נפש - 2 כר'")</f>
        <v>משיב נפש - 2 כר'</v>
      </c>
    </row>
    <row r="26293" spans="1:6" x14ac:dyDescent="0.2">
      <c r="A26293" t="s">
        <v>41836</v>
      </c>
      <c r="B26293" t="s">
        <v>3386</v>
      </c>
      <c r="C26293" t="s">
        <v>1124</v>
      </c>
      <c r="D26293" t="s">
        <v>267</v>
      </c>
      <c r="E26293" t="s">
        <v>158</v>
      </c>
      <c r="F26293" s="2" t="str">
        <f>HYPERLINK("http://www.otzar.org/book.asp?14472","משיב נפש")</f>
        <v>משיב נפש</v>
      </c>
    </row>
    <row r="26294" spans="1:6" x14ac:dyDescent="0.2">
      <c r="A26294" t="s">
        <v>41836</v>
      </c>
      <c r="B26294" t="s">
        <v>41845</v>
      </c>
      <c r="C26294" t="s">
        <v>1163</v>
      </c>
      <c r="D26294" t="s">
        <v>1167</v>
      </c>
      <c r="E26294" t="s">
        <v>219</v>
      </c>
      <c r="F26294" s="2" t="str">
        <f>HYPERLINK("http://www.otzar.org/book.asp?627077","משיב נפש")</f>
        <v>משיב נפש</v>
      </c>
    </row>
    <row r="26295" spans="1:6" x14ac:dyDescent="0.2">
      <c r="A26295" t="s">
        <v>41836</v>
      </c>
      <c r="B26295" t="s">
        <v>41846</v>
      </c>
      <c r="C26295" t="s">
        <v>244</v>
      </c>
      <c r="D26295" t="s">
        <v>90</v>
      </c>
      <c r="E26295" t="s">
        <v>15</v>
      </c>
      <c r="F26295" s="2" t="str">
        <f>HYPERLINK("http://www.otzar.org/book.asp?601050","משיב נפש")</f>
        <v>משיב נפש</v>
      </c>
    </row>
    <row r="26296" spans="1:6" x14ac:dyDescent="0.2">
      <c r="A26296" t="s">
        <v>41836</v>
      </c>
      <c r="B26296" t="s">
        <v>19961</v>
      </c>
      <c r="C26296" t="s">
        <v>20</v>
      </c>
      <c r="D26296" t="s">
        <v>52</v>
      </c>
      <c r="E26296" t="s">
        <v>15</v>
      </c>
      <c r="F26296" s="2" t="str">
        <f>HYPERLINK("http://www.otzar.org/book.asp?61145","משיב נפש")</f>
        <v>משיב נפש</v>
      </c>
    </row>
    <row r="26297" spans="1:6" x14ac:dyDescent="0.2">
      <c r="A26297" t="s">
        <v>41836</v>
      </c>
      <c r="B26297" t="s">
        <v>41847</v>
      </c>
      <c r="C26297" t="s">
        <v>1284</v>
      </c>
      <c r="D26297" t="s">
        <v>56</v>
      </c>
      <c r="E26297" t="s">
        <v>40217</v>
      </c>
      <c r="F26297" s="2" t="str">
        <f>HYPERLINK("http://www.otzar.org/book.asp?861","משיב נפש")</f>
        <v>משיב נפש</v>
      </c>
    </row>
    <row r="26298" spans="1:6" x14ac:dyDescent="0.2">
      <c r="A26298" t="s">
        <v>41848</v>
      </c>
      <c r="B26298" t="s">
        <v>2993</v>
      </c>
      <c r="C26298" t="s">
        <v>1650</v>
      </c>
      <c r="D26298" t="s">
        <v>14954</v>
      </c>
      <c r="E26298" t="s">
        <v>1776</v>
      </c>
      <c r="F26298" s="2" t="str">
        <f>HYPERLINK("http://www.otzar.org/book.asp?101512","משיב צדק")</f>
        <v>משיב צדק</v>
      </c>
    </row>
    <row r="26299" spans="1:6" x14ac:dyDescent="0.2">
      <c r="A26299" t="s">
        <v>41849</v>
      </c>
      <c r="B26299" t="s">
        <v>17742</v>
      </c>
      <c r="C26299" t="s">
        <v>366</v>
      </c>
      <c r="D26299" t="s">
        <v>52</v>
      </c>
      <c r="F26299" s="2" t="str">
        <f>HYPERLINK("http://www.otzar.org/book.asp?609507","משיב שלום - א")</f>
        <v>משיב שלום - א</v>
      </c>
    </row>
    <row r="26300" spans="1:6" x14ac:dyDescent="0.2">
      <c r="A26300" t="s">
        <v>41850</v>
      </c>
      <c r="B26300" t="s">
        <v>14265</v>
      </c>
      <c r="C26300" t="s">
        <v>23</v>
      </c>
      <c r="D26300" t="s">
        <v>21</v>
      </c>
      <c r="E26300" t="s">
        <v>10</v>
      </c>
      <c r="F26300" s="2" t="str">
        <f>HYPERLINK("http://www.otzar.org/book.asp?191806","משיב שלום")</f>
        <v>משיב שלום</v>
      </c>
    </row>
    <row r="26301" spans="1:6" x14ac:dyDescent="0.2">
      <c r="A26301" t="s">
        <v>41850</v>
      </c>
      <c r="B26301" t="s">
        <v>41851</v>
      </c>
      <c r="C26301" t="s">
        <v>1535</v>
      </c>
      <c r="D26301" t="s">
        <v>691</v>
      </c>
      <c r="E26301" t="s">
        <v>154</v>
      </c>
      <c r="F26301" s="2" t="str">
        <f>HYPERLINK("http://www.otzar.org/book.asp?20289","משיב שלום")</f>
        <v>משיב שלום</v>
      </c>
    </row>
    <row r="26302" spans="1:6" x14ac:dyDescent="0.2">
      <c r="A26302" t="s">
        <v>41852</v>
      </c>
      <c r="B26302" t="s">
        <v>41853</v>
      </c>
      <c r="C26302" t="s">
        <v>68</v>
      </c>
      <c r="D26302" t="s">
        <v>14</v>
      </c>
      <c r="E26302" t="s">
        <v>41854</v>
      </c>
      <c r="F26302" s="2" t="str">
        <f>HYPERLINK("http://www.otzar.org/book.asp?170448","משיבי מרדכי")</f>
        <v>משיבי מרדכי</v>
      </c>
    </row>
    <row r="26303" spans="1:6" x14ac:dyDescent="0.2">
      <c r="A26303" t="s">
        <v>41855</v>
      </c>
      <c r="B26303" t="s">
        <v>11272</v>
      </c>
      <c r="C26303" t="s">
        <v>473</v>
      </c>
      <c r="D26303" t="s">
        <v>41856</v>
      </c>
      <c r="E26303" t="s">
        <v>154</v>
      </c>
      <c r="F26303" s="2" t="str">
        <f>HYPERLINK("http://www.otzar.org/book.asp?142520","משיבת מרדכי")</f>
        <v>משיבת מרדכי</v>
      </c>
    </row>
    <row r="26304" spans="1:6" x14ac:dyDescent="0.2">
      <c r="A26304" t="s">
        <v>41857</v>
      </c>
      <c r="B26304" t="s">
        <v>41858</v>
      </c>
      <c r="C26304" t="s">
        <v>4404</v>
      </c>
      <c r="D26304" t="s">
        <v>267</v>
      </c>
      <c r="E26304" t="s">
        <v>158</v>
      </c>
      <c r="F26304" s="2" t="str">
        <f>HYPERLINK("http://www.otzar.org/book.asp?62174","משיבת נפש &lt;אור זרוע, תורת כהנים&gt;")</f>
        <v>משיבת נפש &lt;אור זרוע, תורת כהנים&gt;</v>
      </c>
    </row>
    <row r="26305" spans="1:6" x14ac:dyDescent="0.2">
      <c r="A26305" t="s">
        <v>41859</v>
      </c>
      <c r="B26305" t="s">
        <v>41860</v>
      </c>
      <c r="C26305" t="s">
        <v>244</v>
      </c>
      <c r="D26305" t="s">
        <v>8647</v>
      </c>
      <c r="E26305" t="s">
        <v>579</v>
      </c>
      <c r="F26305" s="2" t="str">
        <f>HYPERLINK("http://www.otzar.org/book.asp?199392","משיבת נפש &lt;גלגולי נשמות&gt; - עם מקורות ביאורים ורמזים")</f>
        <v>משיבת נפש &lt;גלגולי נשמות&gt; - עם מקורות ביאורים ורמזים</v>
      </c>
    </row>
    <row r="26306" spans="1:6" x14ac:dyDescent="0.2">
      <c r="A26306" t="s">
        <v>41861</v>
      </c>
      <c r="B26306" t="s">
        <v>3614</v>
      </c>
      <c r="C26306" t="s">
        <v>334</v>
      </c>
      <c r="D26306" t="s">
        <v>14</v>
      </c>
      <c r="E26306" t="s">
        <v>140</v>
      </c>
      <c r="F26306" s="2" t="str">
        <f>HYPERLINK("http://www.otzar.org/book.asp?156990","משיבת נפש - 2 כר'")</f>
        <v>משיבת נפש - 2 כר'</v>
      </c>
    </row>
    <row r="26307" spans="1:6" x14ac:dyDescent="0.2">
      <c r="A26307" t="s">
        <v>41862</v>
      </c>
      <c r="B26307" t="s">
        <v>5892</v>
      </c>
      <c r="C26307" t="s">
        <v>3690</v>
      </c>
      <c r="D26307" t="s">
        <v>4269</v>
      </c>
      <c r="E26307" t="s">
        <v>5935</v>
      </c>
      <c r="F26307" s="2" t="str">
        <f>HYPERLINK("http://www.otzar.org/book.asp?20290","משיבת נפש")</f>
        <v>משיבת נפש</v>
      </c>
    </row>
    <row r="26308" spans="1:6" x14ac:dyDescent="0.2">
      <c r="A26308" t="s">
        <v>41862</v>
      </c>
      <c r="B26308" t="s">
        <v>41863</v>
      </c>
      <c r="C26308" t="s">
        <v>585</v>
      </c>
      <c r="D26308" t="s">
        <v>412</v>
      </c>
      <c r="E26308" t="s">
        <v>24180</v>
      </c>
      <c r="F26308" s="2" t="str">
        <f>HYPERLINK("http://www.otzar.org/book.asp?16154","משיבת נפש")</f>
        <v>משיבת נפש</v>
      </c>
    </row>
    <row r="26309" spans="1:6" x14ac:dyDescent="0.2">
      <c r="A26309" t="s">
        <v>41862</v>
      </c>
      <c r="B26309" t="s">
        <v>25640</v>
      </c>
      <c r="C26309" t="s">
        <v>9946</v>
      </c>
      <c r="D26309" t="s">
        <v>41864</v>
      </c>
      <c r="E26309" t="s">
        <v>158</v>
      </c>
      <c r="F26309" s="2" t="str">
        <f>HYPERLINK("http://www.otzar.org/book.asp?62173","משיבת נפש")</f>
        <v>משיבת נפש</v>
      </c>
    </row>
    <row r="26310" spans="1:6" x14ac:dyDescent="0.2">
      <c r="A26310" t="s">
        <v>41865</v>
      </c>
      <c r="B26310" t="s">
        <v>5253</v>
      </c>
      <c r="C26310" t="s">
        <v>180</v>
      </c>
      <c r="D26310" t="s">
        <v>14</v>
      </c>
      <c r="E26310" t="s">
        <v>154</v>
      </c>
      <c r="F26310" s="2" t="str">
        <f>HYPERLINK("http://www.otzar.org/book.asp?84304","משיבת נפש - 4 כר'")</f>
        <v>משיבת נפש - 4 כר'</v>
      </c>
    </row>
    <row r="26311" spans="1:6" x14ac:dyDescent="0.2">
      <c r="A26311" t="s">
        <v>41862</v>
      </c>
      <c r="B26311" t="s">
        <v>21870</v>
      </c>
      <c r="C26311" t="s">
        <v>4051</v>
      </c>
      <c r="D26311" t="s">
        <v>225</v>
      </c>
      <c r="E26311" t="s">
        <v>703</v>
      </c>
      <c r="F26311" s="2" t="str">
        <f>HYPERLINK("http://www.otzar.org/book.asp?103552","משיבת נפש")</f>
        <v>משיבת נפש</v>
      </c>
    </row>
    <row r="26312" spans="1:6" x14ac:dyDescent="0.2">
      <c r="A26312" t="s">
        <v>41862</v>
      </c>
      <c r="B26312" t="s">
        <v>41866</v>
      </c>
      <c r="C26312" t="s">
        <v>68</v>
      </c>
      <c r="D26312" t="s">
        <v>52</v>
      </c>
      <c r="E26312" t="s">
        <v>202</v>
      </c>
      <c r="F26312" s="2" t="str">
        <f>HYPERLINK("http://www.otzar.org/book.asp?193059","משיבת נפש")</f>
        <v>משיבת נפש</v>
      </c>
    </row>
    <row r="26313" spans="1:6" x14ac:dyDescent="0.2">
      <c r="A26313" t="s">
        <v>41862</v>
      </c>
      <c r="B26313" t="s">
        <v>5634</v>
      </c>
      <c r="C26313" t="s">
        <v>23</v>
      </c>
      <c r="D26313" t="s">
        <v>52</v>
      </c>
      <c r="E26313" t="s">
        <v>241</v>
      </c>
      <c r="F26313" s="2" t="str">
        <f>HYPERLINK("http://www.otzar.org/book.asp?193182","משיבת נפש")</f>
        <v>משיבת נפש</v>
      </c>
    </row>
    <row r="26314" spans="1:6" x14ac:dyDescent="0.2">
      <c r="A26314" t="s">
        <v>41867</v>
      </c>
      <c r="B26314" t="s">
        <v>41868</v>
      </c>
      <c r="C26314" t="s">
        <v>37</v>
      </c>
      <c r="E26314" t="s">
        <v>144</v>
      </c>
      <c r="F26314" s="2" t="str">
        <f>HYPERLINK("http://www.otzar.org/book.asp?606318","משיבת רגל")</f>
        <v>משיבת רגל</v>
      </c>
    </row>
    <row r="26315" spans="1:6" x14ac:dyDescent="0.2">
      <c r="A26315" t="s">
        <v>41869</v>
      </c>
      <c r="B26315" t="s">
        <v>41870</v>
      </c>
      <c r="C26315" t="s">
        <v>940</v>
      </c>
      <c r="D26315" t="s">
        <v>14</v>
      </c>
      <c r="E26315" t="s">
        <v>4940</v>
      </c>
      <c r="F26315" s="2" t="str">
        <f>HYPERLINK("http://www.otzar.org/book.asp?7332","משיח אלמים")</f>
        <v>משיח אלמים</v>
      </c>
    </row>
    <row r="26316" spans="1:6" x14ac:dyDescent="0.2">
      <c r="A26316" t="s">
        <v>41871</v>
      </c>
      <c r="B26316" t="s">
        <v>31766</v>
      </c>
      <c r="C26316" t="s">
        <v>1524</v>
      </c>
      <c r="D26316" t="s">
        <v>76</v>
      </c>
      <c r="E26316" t="s">
        <v>158</v>
      </c>
      <c r="F26316" s="2" t="str">
        <f>HYPERLINK("http://www.otzar.org/book.asp?25060","משיח ה'")</f>
        <v>משיח ה'</v>
      </c>
    </row>
    <row r="26317" spans="1:6" x14ac:dyDescent="0.2">
      <c r="A26317" t="s">
        <v>41872</v>
      </c>
      <c r="B26317" t="s">
        <v>2530</v>
      </c>
      <c r="C26317" t="s">
        <v>51</v>
      </c>
      <c r="D26317" t="s">
        <v>2531</v>
      </c>
      <c r="E26317" t="s">
        <v>104</v>
      </c>
      <c r="F26317" s="2" t="str">
        <f>HYPERLINK("http://www.otzar.org/book.asp?85556","משיח לאור ההלכה")</f>
        <v>משיח לאור ההלכה</v>
      </c>
    </row>
    <row r="26318" spans="1:6" x14ac:dyDescent="0.2">
      <c r="A26318" t="s">
        <v>41873</v>
      </c>
      <c r="B26318" t="s">
        <v>20412</v>
      </c>
      <c r="C26318" t="s">
        <v>775</v>
      </c>
      <c r="D26318" t="s">
        <v>14</v>
      </c>
      <c r="E26318" t="s">
        <v>104</v>
      </c>
      <c r="F26318" s="2" t="str">
        <f>HYPERLINK("http://www.otzar.org/book.asp?152217","משימה בשניים")</f>
        <v>משימה בשניים</v>
      </c>
    </row>
    <row r="26319" spans="1:6" x14ac:dyDescent="0.2">
      <c r="A26319" t="s">
        <v>41874</v>
      </c>
      <c r="B26319" t="s">
        <v>41875</v>
      </c>
      <c r="C26319" t="s">
        <v>244</v>
      </c>
      <c r="D26319" t="s">
        <v>52</v>
      </c>
      <c r="E26319" t="s">
        <v>15</v>
      </c>
      <c r="F26319" s="2" t="str">
        <f>HYPERLINK("http://www.otzar.org/book.asp?623287","משיעורי הגרב""צ פלמן -ג הפרשת תרו""מ")</f>
        <v>משיעורי הגרב"צ פלמן -ג הפרשת תרו"מ</v>
      </c>
    </row>
    <row r="26320" spans="1:6" x14ac:dyDescent="0.2">
      <c r="A26320" t="s">
        <v>41876</v>
      </c>
      <c r="B26320" t="s">
        <v>12648</v>
      </c>
      <c r="C26320" t="s">
        <v>466</v>
      </c>
      <c r="D26320" t="s">
        <v>14</v>
      </c>
      <c r="E26320" t="s">
        <v>15</v>
      </c>
      <c r="F26320" s="2" t="str">
        <f>HYPERLINK("http://www.otzar.org/book.asp?194114","משיעורי מערת המכפלה - א")</f>
        <v>משיעורי מערת המכפלה - א</v>
      </c>
    </row>
    <row r="26321" spans="1:6" x14ac:dyDescent="0.2">
      <c r="A26321" t="s">
        <v>41877</v>
      </c>
      <c r="B26321" t="s">
        <v>41878</v>
      </c>
      <c r="C26321" t="s">
        <v>624</v>
      </c>
      <c r="D26321" t="s">
        <v>14</v>
      </c>
      <c r="E26321" t="s">
        <v>15</v>
      </c>
      <c r="F26321" s="2" t="str">
        <f>HYPERLINK("http://www.otzar.org/book.asp?154290","משיעורי מרן הראשון לציון - 4 כר'")</f>
        <v>משיעורי מרן הראשון לציון - 4 כר'</v>
      </c>
    </row>
    <row r="26322" spans="1:6" x14ac:dyDescent="0.2">
      <c r="A26322" t="s">
        <v>41879</v>
      </c>
      <c r="B26322" t="s">
        <v>12648</v>
      </c>
      <c r="C26322" t="s">
        <v>20</v>
      </c>
      <c r="D26322" t="s">
        <v>14</v>
      </c>
      <c r="E26322" t="s">
        <v>399</v>
      </c>
      <c r="F26322" s="2" t="str">
        <f>HYPERLINK("http://www.otzar.org/book.asp?194115","משיעורי נתיבות רמח""ל - 2 כר'")</f>
        <v>משיעורי נתיבות רמח"ל - 2 כר'</v>
      </c>
    </row>
    <row r="26323" spans="1:6" x14ac:dyDescent="0.2">
      <c r="A26323" t="s">
        <v>41880</v>
      </c>
      <c r="B26323" t="s">
        <v>41881</v>
      </c>
      <c r="C26323" t="s">
        <v>438</v>
      </c>
      <c r="D26323" t="s">
        <v>14</v>
      </c>
      <c r="E26323" t="s">
        <v>140</v>
      </c>
      <c r="F26323" s="2" t="str">
        <f>HYPERLINK("http://www.otzar.org/book.asp?103553","משך הנחל")</f>
        <v>משך הנחל</v>
      </c>
    </row>
    <row r="26324" spans="1:6" x14ac:dyDescent="0.2">
      <c r="A26324" t="s">
        <v>41882</v>
      </c>
      <c r="B26324" t="s">
        <v>41883</v>
      </c>
      <c r="C26324" t="s">
        <v>51</v>
      </c>
      <c r="D26324" t="s">
        <v>115</v>
      </c>
      <c r="E26324" t="s">
        <v>158</v>
      </c>
      <c r="F26324" s="2" t="str">
        <f>HYPERLINK("http://www.otzar.org/book.asp?152969","משך הפרשה")</f>
        <v>משך הפרשה</v>
      </c>
    </row>
    <row r="26325" spans="1:6" x14ac:dyDescent="0.2">
      <c r="A26325" t="s">
        <v>41884</v>
      </c>
      <c r="B26325" t="s">
        <v>4322</v>
      </c>
      <c r="C26325" t="s">
        <v>244</v>
      </c>
      <c r="D26325" t="s">
        <v>52</v>
      </c>
      <c r="F26325" s="2" t="str">
        <f>HYPERLINK("http://www.otzar.org/book.asp?194821","משך חכמה  עם בינת החכמה &lt;אסופת גליונות שבועיים&gt; - 2 כר'")</f>
        <v>משך חכמה  עם בינת החכמה &lt;אסופת גליונות שבועיים&gt; - 2 כר'</v>
      </c>
    </row>
    <row r="26326" spans="1:6" x14ac:dyDescent="0.2">
      <c r="A26326" t="s">
        <v>41885</v>
      </c>
      <c r="B26326" t="s">
        <v>4322</v>
      </c>
      <c r="C26326" t="s">
        <v>111</v>
      </c>
      <c r="D26326" t="s">
        <v>52</v>
      </c>
      <c r="F26326" s="2" t="str">
        <f>HYPERLINK("http://www.otzar.org/book.asp?632372","משך חכמה  עם בינת החכמה - &lt;מגילת אסתר&gt;")</f>
        <v>משך חכמה  עם בינת החכמה - &lt;מגילת אסתר&gt;</v>
      </c>
    </row>
    <row r="26327" spans="1:6" x14ac:dyDescent="0.2">
      <c r="A26327" t="s">
        <v>41886</v>
      </c>
      <c r="B26327" t="s">
        <v>41887</v>
      </c>
      <c r="C26327" t="s">
        <v>51</v>
      </c>
      <c r="D26327" t="s">
        <v>14</v>
      </c>
      <c r="E26327" t="s">
        <v>579</v>
      </c>
      <c r="F26327" s="2" t="str">
        <f>HYPERLINK("http://www.otzar.org/book.asp?25707","משך חכמה &lt;עם ביאור&gt; - 6 כר'")</f>
        <v>משך חכמה &lt;עם ביאור&gt; - 6 כר'</v>
      </c>
    </row>
    <row r="26328" spans="1:6" x14ac:dyDescent="0.2">
      <c r="A26328" t="s">
        <v>41888</v>
      </c>
      <c r="B26328" t="s">
        <v>4324</v>
      </c>
      <c r="C26328" t="s">
        <v>23</v>
      </c>
      <c r="D26328" t="s">
        <v>14</v>
      </c>
      <c r="E26328" t="s">
        <v>158</v>
      </c>
      <c r="F26328" s="2" t="str">
        <f>HYPERLINK("http://www.otzar.org/book.asp?198554","משך חכמה &lt;מהדורת אור החיים&gt;")</f>
        <v>משך חכמה &lt;מהדורת אור החיים&gt;</v>
      </c>
    </row>
    <row r="26329" spans="1:6" x14ac:dyDescent="0.2">
      <c r="A26329" t="s">
        <v>41889</v>
      </c>
      <c r="B26329" t="s">
        <v>4324</v>
      </c>
      <c r="C26329" t="s">
        <v>411</v>
      </c>
      <c r="D26329" t="s">
        <v>152</v>
      </c>
      <c r="E26329" t="s">
        <v>158</v>
      </c>
      <c r="F26329" s="2" t="str">
        <f>HYPERLINK("http://www.otzar.org/book.asp?610135","משך חכמה השלם &lt;מהדורת רש""ח דומב&gt; - 3 כר'")</f>
        <v>משך חכמה השלם &lt;מהדורת רש"ח דומב&gt; - 3 כר'</v>
      </c>
    </row>
    <row r="26330" spans="1:6" x14ac:dyDescent="0.2">
      <c r="A26330" t="s">
        <v>41890</v>
      </c>
      <c r="B26330" t="s">
        <v>41887</v>
      </c>
      <c r="C26330" t="s">
        <v>51</v>
      </c>
      <c r="D26330" t="s">
        <v>14</v>
      </c>
      <c r="E26330" t="s">
        <v>158</v>
      </c>
      <c r="F26330" s="2" t="str">
        <f>HYPERLINK("http://www.otzar.org/book.asp?622221","משך חכמה עם ביאור &lt;מהדורה חדשה&gt; - 5 כר'")</f>
        <v>משך חכמה עם ביאור &lt;מהדורה חדשה&gt; - 5 כר'</v>
      </c>
    </row>
    <row r="26331" spans="1:6" x14ac:dyDescent="0.2">
      <c r="A26331" t="s">
        <v>41891</v>
      </c>
      <c r="B26331" t="s">
        <v>41892</v>
      </c>
      <c r="C26331" t="s">
        <v>111</v>
      </c>
      <c r="D26331" t="s">
        <v>52</v>
      </c>
      <c r="E26331" t="s">
        <v>158</v>
      </c>
      <c r="F26331" s="2" t="str">
        <f>HYPERLINK("http://www.otzar.org/book.asp?622022","משך חכמה עם בינת החכמה - 2 כר'")</f>
        <v>משך חכמה עם בינת החכמה - 2 כר'</v>
      </c>
    </row>
    <row r="26332" spans="1:6" x14ac:dyDescent="0.2">
      <c r="A26332" t="s">
        <v>41893</v>
      </c>
      <c r="B26332" t="s">
        <v>4324</v>
      </c>
      <c r="C26332" t="s">
        <v>332</v>
      </c>
      <c r="D26332" t="s">
        <v>14</v>
      </c>
      <c r="E26332" t="s">
        <v>158</v>
      </c>
      <c r="F26332" s="2" t="str">
        <f>HYPERLINK("http://www.otzar.org/book.asp?153822","משך חכמה - 5 כר'")</f>
        <v>משך חכמה - 5 כר'</v>
      </c>
    </row>
    <row r="26333" spans="1:6" x14ac:dyDescent="0.2">
      <c r="A26333" t="s">
        <v>41894</v>
      </c>
      <c r="B26333" t="s">
        <v>8732</v>
      </c>
      <c r="C26333" t="s">
        <v>20</v>
      </c>
      <c r="D26333" t="s">
        <v>14</v>
      </c>
      <c r="E26333" t="s">
        <v>119</v>
      </c>
      <c r="F26333" s="2" t="str">
        <f>HYPERLINK("http://www.otzar.org/book.asp?26048","משך חכמה")</f>
        <v>משך חכמה</v>
      </c>
    </row>
    <row r="26334" spans="1:6" x14ac:dyDescent="0.2">
      <c r="A26334" t="s">
        <v>41895</v>
      </c>
      <c r="B26334" t="s">
        <v>41896</v>
      </c>
      <c r="C26334" t="s">
        <v>1228</v>
      </c>
      <c r="D26334" t="s">
        <v>267</v>
      </c>
      <c r="E26334" t="s">
        <v>463</v>
      </c>
      <c r="F26334" s="2" t="str">
        <f>HYPERLINK("http://www.otzar.org/book.asp?141065","משכיות כסף")</f>
        <v>משכיות כסף</v>
      </c>
    </row>
    <row r="26335" spans="1:6" x14ac:dyDescent="0.2">
      <c r="A26335" t="s">
        <v>41895</v>
      </c>
      <c r="B26335" t="s">
        <v>1222</v>
      </c>
      <c r="C26335" t="s">
        <v>133</v>
      </c>
      <c r="D26335" t="s">
        <v>14</v>
      </c>
      <c r="E26335" t="s">
        <v>144</v>
      </c>
      <c r="F26335" s="2" t="str">
        <f>HYPERLINK("http://www.otzar.org/book.asp?182953","משכיות כסף")</f>
        <v>משכיות כסף</v>
      </c>
    </row>
    <row r="26336" spans="1:6" x14ac:dyDescent="0.2">
      <c r="A26336" t="s">
        <v>41897</v>
      </c>
      <c r="B26336" t="s">
        <v>41898</v>
      </c>
      <c r="C26336" t="s">
        <v>124</v>
      </c>
      <c r="D26336" t="s">
        <v>14</v>
      </c>
      <c r="E26336" t="s">
        <v>1262</v>
      </c>
      <c r="F26336" s="2" t="str">
        <f>HYPERLINK("http://www.otzar.org/book.asp?174376","משכיות לבב")</f>
        <v>משכיות לבב</v>
      </c>
    </row>
    <row r="26337" spans="1:6" x14ac:dyDescent="0.2">
      <c r="A26337" t="s">
        <v>41897</v>
      </c>
      <c r="B26337" t="s">
        <v>41899</v>
      </c>
      <c r="C26337" t="s">
        <v>14336</v>
      </c>
      <c r="D26337" t="s">
        <v>10557</v>
      </c>
      <c r="E26337" t="s">
        <v>158</v>
      </c>
      <c r="F26337" s="2" t="str">
        <f>HYPERLINK("http://www.otzar.org/book.asp?620649","משכיות לבב")</f>
        <v>משכיות לבב</v>
      </c>
    </row>
    <row r="26338" spans="1:6" x14ac:dyDescent="0.2">
      <c r="A26338" t="s">
        <v>41897</v>
      </c>
      <c r="B26338" t="s">
        <v>37297</v>
      </c>
      <c r="C26338" t="s">
        <v>547</v>
      </c>
      <c r="D26338" t="s">
        <v>36267</v>
      </c>
      <c r="E26338" t="s">
        <v>158</v>
      </c>
      <c r="F26338" s="2" t="str">
        <f>HYPERLINK("http://www.otzar.org/book.asp?174491","משכיות לבב")</f>
        <v>משכיות לבב</v>
      </c>
    </row>
    <row r="26339" spans="1:6" x14ac:dyDescent="0.2">
      <c r="A26339" t="s">
        <v>41900</v>
      </c>
      <c r="B26339" t="s">
        <v>41901</v>
      </c>
      <c r="C26339" t="s">
        <v>1208</v>
      </c>
      <c r="D26339" t="s">
        <v>14</v>
      </c>
      <c r="E26339" t="s">
        <v>15</v>
      </c>
      <c r="F26339" s="2" t="str">
        <f>HYPERLINK("http://www.otzar.org/book.asp?50734","משכיל אל דוד")</f>
        <v>משכיל אל דוד</v>
      </c>
    </row>
    <row r="26340" spans="1:6" x14ac:dyDescent="0.2">
      <c r="A26340" t="s">
        <v>41902</v>
      </c>
      <c r="B26340" t="s">
        <v>1029</v>
      </c>
      <c r="C26340" t="s">
        <v>41903</v>
      </c>
      <c r="D26340" t="s">
        <v>929</v>
      </c>
      <c r="E26340" t="s">
        <v>583</v>
      </c>
      <c r="F26340" s="2" t="str">
        <f>HYPERLINK("http://www.otzar.org/book.asp?6403","משכיל אל דל - 4 כר'")</f>
        <v>משכיל אל דל - 4 כר'</v>
      </c>
    </row>
    <row r="26341" spans="1:6" x14ac:dyDescent="0.2">
      <c r="A26341" t="s">
        <v>41904</v>
      </c>
      <c r="B26341" t="s">
        <v>41078</v>
      </c>
      <c r="C26341" t="s">
        <v>523</v>
      </c>
      <c r="D26341" t="s">
        <v>1156</v>
      </c>
      <c r="E26341" t="s">
        <v>158</v>
      </c>
      <c r="F26341" s="2" t="str">
        <f>HYPERLINK("http://www.otzar.org/book.asp?197389","משכיל אל דל, אליהו האיש")</f>
        <v>משכיל אל דל, אליהו האיש</v>
      </c>
    </row>
    <row r="26342" spans="1:6" x14ac:dyDescent="0.2">
      <c r="A26342" t="s">
        <v>41905</v>
      </c>
      <c r="B26342" t="s">
        <v>27091</v>
      </c>
      <c r="C26342" t="s">
        <v>189</v>
      </c>
      <c r="D26342" t="s">
        <v>115</v>
      </c>
      <c r="E26342" t="s">
        <v>41906</v>
      </c>
      <c r="F26342" s="2" t="str">
        <f>HYPERLINK("http://www.otzar.org/book.asp?64241","משכיל דורש")</f>
        <v>משכיל דורש</v>
      </c>
    </row>
    <row r="26343" spans="1:6" x14ac:dyDescent="0.2">
      <c r="A26343" t="s">
        <v>41907</v>
      </c>
      <c r="B26343" t="s">
        <v>41908</v>
      </c>
      <c r="C26343" t="s">
        <v>111</v>
      </c>
      <c r="D26343" t="s">
        <v>657</v>
      </c>
      <c r="E26343" t="s">
        <v>41909</v>
      </c>
      <c r="F26343" s="2" t="str">
        <f>HYPERLINK("http://www.otzar.org/book.asp?630367","משכיל לאיתן - א")</f>
        <v>משכיל לאיתן - א</v>
      </c>
    </row>
    <row r="26344" spans="1:6" x14ac:dyDescent="0.2">
      <c r="A26344" t="s">
        <v>41910</v>
      </c>
      <c r="B26344" t="s">
        <v>21772</v>
      </c>
      <c r="C26344" t="s">
        <v>908</v>
      </c>
      <c r="D26344" t="s">
        <v>1889</v>
      </c>
      <c r="E26344" t="s">
        <v>158</v>
      </c>
      <c r="F26344" s="2" t="str">
        <f>HYPERLINK("http://www.otzar.org/book.asp?25144","משכיל לאיתן")</f>
        <v>משכיל לאיתן</v>
      </c>
    </row>
    <row r="26345" spans="1:6" x14ac:dyDescent="0.2">
      <c r="A26345" t="s">
        <v>41911</v>
      </c>
      <c r="B26345" t="s">
        <v>41912</v>
      </c>
      <c r="C26345" t="s">
        <v>422</v>
      </c>
      <c r="D26345" t="s">
        <v>52</v>
      </c>
      <c r="E26345" t="s">
        <v>158</v>
      </c>
      <c r="F26345" s="2" t="str">
        <f>HYPERLINK("http://www.otzar.org/book.asp?157908","משכיל לאיתן - בראשית")</f>
        <v>משכיל לאיתן - בראשית</v>
      </c>
    </row>
    <row r="26346" spans="1:6" x14ac:dyDescent="0.2">
      <c r="A26346" t="s">
        <v>41913</v>
      </c>
      <c r="B26346" t="s">
        <v>8285</v>
      </c>
      <c r="C26346" t="s">
        <v>1954</v>
      </c>
      <c r="D26346" t="s">
        <v>14</v>
      </c>
      <c r="E26346" t="s">
        <v>144</v>
      </c>
      <c r="F26346" s="2" t="str">
        <f>HYPERLINK("http://www.otzar.org/book.asp?144639","משכיל לאיתן - 2 כר'")</f>
        <v>משכיל לאיתן - 2 כר'</v>
      </c>
    </row>
    <row r="26347" spans="1:6" x14ac:dyDescent="0.2">
      <c r="A26347" t="s">
        <v>41914</v>
      </c>
      <c r="B26347" t="s">
        <v>41915</v>
      </c>
      <c r="C26347" t="s">
        <v>767</v>
      </c>
      <c r="D26347" t="s">
        <v>52</v>
      </c>
      <c r="E26347" t="s">
        <v>144</v>
      </c>
      <c r="F26347" s="2" t="str">
        <f>HYPERLINK("http://www.otzar.org/book.asp?85505","משכיל לאסף - 2 כר'")</f>
        <v>משכיל לאסף - 2 כר'</v>
      </c>
    </row>
    <row r="26348" spans="1:6" x14ac:dyDescent="0.2">
      <c r="A26348" t="s">
        <v>41916</v>
      </c>
      <c r="B26348" t="s">
        <v>41917</v>
      </c>
      <c r="C26348" t="s">
        <v>313</v>
      </c>
      <c r="D26348" t="s">
        <v>1156</v>
      </c>
      <c r="E26348" t="s">
        <v>158</v>
      </c>
      <c r="F26348" s="2" t="str">
        <f>HYPERLINK("http://www.otzar.org/book.asp?51278","משכיל לאסף - 8 כר'")</f>
        <v>משכיל לאסף - 8 כר'</v>
      </c>
    </row>
    <row r="26349" spans="1:6" x14ac:dyDescent="0.2">
      <c r="A26349" t="s">
        <v>41918</v>
      </c>
      <c r="B26349" t="s">
        <v>41919</v>
      </c>
      <c r="C26349" t="s">
        <v>37</v>
      </c>
      <c r="D26349" t="s">
        <v>115</v>
      </c>
      <c r="E26349" t="s">
        <v>803</v>
      </c>
      <c r="F26349" s="2" t="str">
        <f>HYPERLINK("http://www.otzar.org/book.asp?193587","משכיל לאסף - 3 כר'")</f>
        <v>משכיל לאסף - 3 כר'</v>
      </c>
    </row>
    <row r="26350" spans="1:6" x14ac:dyDescent="0.2">
      <c r="A26350" t="s">
        <v>41920</v>
      </c>
      <c r="B26350" t="s">
        <v>41921</v>
      </c>
      <c r="C26350" t="s">
        <v>114</v>
      </c>
      <c r="D26350" t="s">
        <v>14</v>
      </c>
      <c r="E26350" t="s">
        <v>202</v>
      </c>
      <c r="F26350" s="2" t="str">
        <f>HYPERLINK("http://www.otzar.org/book.asp?629138","משכיל לאסף")</f>
        <v>משכיל לאסף</v>
      </c>
    </row>
    <row r="26351" spans="1:6" x14ac:dyDescent="0.2">
      <c r="A26351" t="s">
        <v>41920</v>
      </c>
      <c r="B26351" t="s">
        <v>36500</v>
      </c>
      <c r="C26351" t="s">
        <v>151</v>
      </c>
      <c r="D26351" t="s">
        <v>1974</v>
      </c>
      <c r="E26351" t="s">
        <v>104</v>
      </c>
      <c r="F26351" s="2" t="str">
        <f>HYPERLINK("http://www.otzar.org/book.asp?624666","משכיל לאסף")</f>
        <v>משכיל לאסף</v>
      </c>
    </row>
    <row r="26352" spans="1:6" x14ac:dyDescent="0.2">
      <c r="A26352" t="s">
        <v>41922</v>
      </c>
      <c r="B26352" t="s">
        <v>41923</v>
      </c>
      <c r="C26352" t="s">
        <v>624</v>
      </c>
      <c r="D26352" t="s">
        <v>14</v>
      </c>
      <c r="E26352" t="s">
        <v>234</v>
      </c>
      <c r="F26352" s="2" t="str">
        <f>HYPERLINK("http://www.otzar.org/book.asp?180736","משכיל לדוד - 2 כר'")</f>
        <v>משכיל לדוד - 2 כר'</v>
      </c>
    </row>
    <row r="26353" spans="1:6" x14ac:dyDescent="0.2">
      <c r="A26353" t="s">
        <v>41922</v>
      </c>
      <c r="B26353" t="s">
        <v>6878</v>
      </c>
      <c r="C26353" t="s">
        <v>23</v>
      </c>
      <c r="D26353" t="s">
        <v>147</v>
      </c>
      <c r="E26353" t="s">
        <v>158</v>
      </c>
      <c r="F26353" s="2" t="str">
        <f>HYPERLINK("http://www.otzar.org/book.asp?625619","משכיל לדוד - 2 כר'")</f>
        <v>משכיל לדוד - 2 כר'</v>
      </c>
    </row>
    <row r="26354" spans="1:6" x14ac:dyDescent="0.2">
      <c r="A26354" t="s">
        <v>41924</v>
      </c>
      <c r="B26354" t="s">
        <v>3660</v>
      </c>
      <c r="C26354" t="s">
        <v>51</v>
      </c>
      <c r="D26354" t="s">
        <v>367</v>
      </c>
      <c r="E26354" t="s">
        <v>154</v>
      </c>
      <c r="F26354" s="2" t="str">
        <f>HYPERLINK("http://www.otzar.org/book.asp?51289","משכיל לדוד - 3 כר'")</f>
        <v>משכיל לדוד - 3 כר'</v>
      </c>
    </row>
    <row r="26355" spans="1:6" x14ac:dyDescent="0.2">
      <c r="A26355" t="s">
        <v>41925</v>
      </c>
      <c r="B26355" t="s">
        <v>41926</v>
      </c>
      <c r="C26355" t="s">
        <v>37</v>
      </c>
      <c r="D26355" t="s">
        <v>21</v>
      </c>
      <c r="E26355" t="s">
        <v>144</v>
      </c>
      <c r="F26355" s="2" t="str">
        <f>HYPERLINK("http://www.otzar.org/book.asp?196111","משכיל לדוד")</f>
        <v>משכיל לדוד</v>
      </c>
    </row>
    <row r="26356" spans="1:6" x14ac:dyDescent="0.2">
      <c r="A26356" t="s">
        <v>41924</v>
      </c>
      <c r="B26356" t="s">
        <v>41927</v>
      </c>
      <c r="C26356" t="s">
        <v>13</v>
      </c>
      <c r="D26356" t="s">
        <v>32731</v>
      </c>
      <c r="E26356" t="s">
        <v>674</v>
      </c>
      <c r="F26356" s="2" t="str">
        <f>HYPERLINK("http://www.otzar.org/book.asp?61427","משכיל לדוד - 3 כר'")</f>
        <v>משכיל לדוד - 3 כר'</v>
      </c>
    </row>
    <row r="26357" spans="1:6" x14ac:dyDescent="0.2">
      <c r="A26357" t="s">
        <v>41925</v>
      </c>
      <c r="B26357" t="s">
        <v>552</v>
      </c>
      <c r="C26357" t="s">
        <v>114</v>
      </c>
      <c r="D26357" t="s">
        <v>1205</v>
      </c>
      <c r="E26357" t="s">
        <v>202</v>
      </c>
      <c r="F26357" s="2" t="str">
        <f>HYPERLINK("http://www.otzar.org/book.asp?193047","משכיל לדוד")</f>
        <v>משכיל לדוד</v>
      </c>
    </row>
    <row r="26358" spans="1:6" x14ac:dyDescent="0.2">
      <c r="A26358" t="s">
        <v>41922</v>
      </c>
      <c r="B26358" t="s">
        <v>24490</v>
      </c>
      <c r="C26358" t="s">
        <v>482</v>
      </c>
      <c r="D26358" t="s">
        <v>1889</v>
      </c>
      <c r="E26358" t="s">
        <v>1262</v>
      </c>
      <c r="F26358" s="2" t="str">
        <f>HYPERLINK("http://www.otzar.org/book.asp?162217","משכיל לדוד - 2 כר'")</f>
        <v>משכיל לדוד - 2 כר'</v>
      </c>
    </row>
    <row r="26359" spans="1:6" x14ac:dyDescent="0.2">
      <c r="A26359" t="s">
        <v>41925</v>
      </c>
      <c r="B26359" t="s">
        <v>27038</v>
      </c>
      <c r="C26359" t="s">
        <v>39156</v>
      </c>
      <c r="D26359" t="s">
        <v>49</v>
      </c>
      <c r="E26359" t="s">
        <v>4940</v>
      </c>
      <c r="F26359" s="2" t="str">
        <f>HYPERLINK("http://www.otzar.org/book.asp?103554","משכיל לדוד")</f>
        <v>משכיל לדוד</v>
      </c>
    </row>
    <row r="26360" spans="1:6" x14ac:dyDescent="0.2">
      <c r="A26360" t="s">
        <v>41922</v>
      </c>
      <c r="B26360" t="s">
        <v>36172</v>
      </c>
      <c r="C26360" t="s">
        <v>146</v>
      </c>
      <c r="D26360" t="s">
        <v>52</v>
      </c>
      <c r="E26360" t="s">
        <v>158</v>
      </c>
      <c r="F26360" s="2" t="str">
        <f>HYPERLINK("http://www.otzar.org/book.asp?26364","משכיל לדוד - 2 כר'")</f>
        <v>משכיל לדוד - 2 כר'</v>
      </c>
    </row>
    <row r="26361" spans="1:6" x14ac:dyDescent="0.2">
      <c r="A26361" t="s">
        <v>41922</v>
      </c>
      <c r="B26361" t="s">
        <v>36300</v>
      </c>
      <c r="C26361" t="s">
        <v>2105</v>
      </c>
      <c r="D26361" t="s">
        <v>889</v>
      </c>
      <c r="E26361" t="s">
        <v>2018</v>
      </c>
      <c r="F26361" s="2" t="str">
        <f>HYPERLINK("http://www.otzar.org/book.asp?443","משכיל לדוד - 2 כר'")</f>
        <v>משכיל לדוד - 2 כר'</v>
      </c>
    </row>
    <row r="26362" spans="1:6" x14ac:dyDescent="0.2">
      <c r="A26362" t="s">
        <v>41925</v>
      </c>
      <c r="B26362" t="s">
        <v>41928</v>
      </c>
      <c r="C26362" t="s">
        <v>87</v>
      </c>
      <c r="D26362" t="s">
        <v>14</v>
      </c>
      <c r="E26362" t="s">
        <v>6635</v>
      </c>
      <c r="F26362" s="2" t="str">
        <f>HYPERLINK("http://www.otzar.org/book.asp?150605","משכיל לדוד")</f>
        <v>משכיל לדוד</v>
      </c>
    </row>
    <row r="26363" spans="1:6" x14ac:dyDescent="0.2">
      <c r="A26363" t="s">
        <v>41929</v>
      </c>
      <c r="B26363" t="s">
        <v>552</v>
      </c>
      <c r="C26363" t="s">
        <v>940</v>
      </c>
      <c r="D26363" t="s">
        <v>52</v>
      </c>
      <c r="E26363" t="s">
        <v>202</v>
      </c>
      <c r="F26363" s="2" t="str">
        <f>HYPERLINK("http://www.otzar.org/book.asp?175835","משכיל ליהודה")</f>
        <v>משכיל ליהודה</v>
      </c>
    </row>
    <row r="26364" spans="1:6" x14ac:dyDescent="0.2">
      <c r="A26364" t="s">
        <v>41930</v>
      </c>
      <c r="B26364" t="s">
        <v>41931</v>
      </c>
      <c r="C26364" t="s">
        <v>2132</v>
      </c>
      <c r="D26364" t="s">
        <v>412</v>
      </c>
      <c r="E26364" t="s">
        <v>246</v>
      </c>
      <c r="F26364" s="2" t="str">
        <f>HYPERLINK("http://www.otzar.org/book.asp?199527","משכיל לשלמה - מועדים")</f>
        <v>משכיל לשלמה - מועדים</v>
      </c>
    </row>
    <row r="26365" spans="1:6" x14ac:dyDescent="0.2">
      <c r="A26365" t="s">
        <v>41932</v>
      </c>
      <c r="B26365" t="s">
        <v>41933</v>
      </c>
      <c r="C26365" t="s">
        <v>13</v>
      </c>
      <c r="D26365" t="s">
        <v>721</v>
      </c>
      <c r="E26365" t="s">
        <v>172</v>
      </c>
      <c r="F26365" s="2" t="str">
        <f>HYPERLINK("http://www.otzar.org/book.asp?174443","משכיל שיר הידידות")</f>
        <v>משכיל שיר הידידות</v>
      </c>
    </row>
    <row r="26366" spans="1:6" x14ac:dyDescent="0.2">
      <c r="A26366" t="s">
        <v>41934</v>
      </c>
      <c r="B26366" t="s">
        <v>41935</v>
      </c>
      <c r="C26366" t="s">
        <v>533</v>
      </c>
      <c r="D26366" t="s">
        <v>41936</v>
      </c>
      <c r="E26366" t="s">
        <v>144</v>
      </c>
      <c r="F26366" s="2" t="str">
        <f>HYPERLINK("http://www.otzar.org/book.asp?84697","משכן אהרן - 2 כר'")</f>
        <v>משכן אהרן - 2 כר'</v>
      </c>
    </row>
    <row r="26367" spans="1:6" x14ac:dyDescent="0.2">
      <c r="A26367" t="s">
        <v>41937</v>
      </c>
      <c r="B26367" t="s">
        <v>13135</v>
      </c>
      <c r="C26367" t="s">
        <v>114</v>
      </c>
      <c r="D26367" t="s">
        <v>52</v>
      </c>
      <c r="E26367" t="s">
        <v>158</v>
      </c>
      <c r="F26367" s="2" t="str">
        <f>HYPERLINK("http://www.otzar.org/book.asp?159384","משכן אליהו")</f>
        <v>משכן אליהו</v>
      </c>
    </row>
    <row r="26368" spans="1:6" x14ac:dyDescent="0.2">
      <c r="A26368" t="s">
        <v>41938</v>
      </c>
      <c r="B26368" t="s">
        <v>37120</v>
      </c>
      <c r="C26368" t="s">
        <v>37</v>
      </c>
      <c r="D26368" t="s">
        <v>412</v>
      </c>
      <c r="E26368" t="s">
        <v>158</v>
      </c>
      <c r="F26368" s="2" t="str">
        <f>HYPERLINK("http://www.otzar.org/book.asp?181608","משכן בצלאל")</f>
        <v>משכן בצלאל</v>
      </c>
    </row>
    <row r="26369" spans="1:6" x14ac:dyDescent="0.2">
      <c r="A26369" t="s">
        <v>41938</v>
      </c>
      <c r="B26369" t="s">
        <v>38376</v>
      </c>
      <c r="C26369" t="s">
        <v>1458</v>
      </c>
      <c r="D26369" t="s">
        <v>283</v>
      </c>
      <c r="E26369" t="s">
        <v>13999</v>
      </c>
      <c r="F26369" s="2" t="str">
        <f>HYPERLINK("http://www.otzar.org/book.asp?84156","משכן בצלאל")</f>
        <v>משכן בצלאל</v>
      </c>
    </row>
    <row r="26370" spans="1:6" x14ac:dyDescent="0.2">
      <c r="A26370" t="s">
        <v>41939</v>
      </c>
      <c r="B26370" t="s">
        <v>41940</v>
      </c>
      <c r="C26370" t="s">
        <v>1609</v>
      </c>
      <c r="D26370" t="s">
        <v>27</v>
      </c>
      <c r="E26370" t="s">
        <v>674</v>
      </c>
      <c r="F26370" s="2" t="str">
        <f>HYPERLINK("http://www.otzar.org/book.asp?8940","משכן בצלאל - 2 כר'")</f>
        <v>משכן בצלאל - 2 כר'</v>
      </c>
    </row>
    <row r="26371" spans="1:6" x14ac:dyDescent="0.2">
      <c r="A26371" t="s">
        <v>41938</v>
      </c>
      <c r="B26371" t="s">
        <v>26202</v>
      </c>
      <c r="C26371" t="s">
        <v>752</v>
      </c>
      <c r="D26371" t="s">
        <v>283</v>
      </c>
      <c r="E26371" t="s">
        <v>10</v>
      </c>
      <c r="F26371" s="2" t="str">
        <f>HYPERLINK("http://www.otzar.org/book.asp?101176","משכן בצלאל")</f>
        <v>משכן בצלאל</v>
      </c>
    </row>
    <row r="26372" spans="1:6" x14ac:dyDescent="0.2">
      <c r="A26372" t="s">
        <v>41941</v>
      </c>
      <c r="B26372" t="s">
        <v>41942</v>
      </c>
      <c r="C26372" t="s">
        <v>244</v>
      </c>
      <c r="D26372" t="s">
        <v>90</v>
      </c>
      <c r="F26372" s="2" t="str">
        <f>HYPERLINK("http://www.otzar.org/book.asp?601299","משכן גבריאל - 2 כר'")</f>
        <v>משכן גבריאל - 2 כר'</v>
      </c>
    </row>
    <row r="26373" spans="1:6" x14ac:dyDescent="0.2">
      <c r="A26373" t="s">
        <v>41943</v>
      </c>
      <c r="B26373" t="s">
        <v>41944</v>
      </c>
      <c r="C26373" t="s">
        <v>129</v>
      </c>
      <c r="D26373" t="s">
        <v>1511</v>
      </c>
      <c r="E26373" t="s">
        <v>186</v>
      </c>
      <c r="F26373" s="2" t="str">
        <f>HYPERLINK("http://www.otzar.org/book.asp?142424","משכן גד - שבת")</f>
        <v>משכן גד - שבת</v>
      </c>
    </row>
    <row r="26374" spans="1:6" x14ac:dyDescent="0.2">
      <c r="A26374" t="s">
        <v>41945</v>
      </c>
      <c r="B26374" t="s">
        <v>41946</v>
      </c>
      <c r="C26374" t="s">
        <v>1706</v>
      </c>
      <c r="D26374" t="s">
        <v>283</v>
      </c>
      <c r="E26374" t="s">
        <v>1211</v>
      </c>
      <c r="F26374" s="2" t="str">
        <f>HYPERLINK("http://www.otzar.org/book.asp?106341","משכן העדות")</f>
        <v>משכן העדות</v>
      </c>
    </row>
    <row r="26375" spans="1:6" x14ac:dyDescent="0.2">
      <c r="A26375" t="s">
        <v>41945</v>
      </c>
      <c r="B26375" t="s">
        <v>16296</v>
      </c>
      <c r="C26375" t="s">
        <v>1166</v>
      </c>
      <c r="D26375" t="s">
        <v>2295</v>
      </c>
      <c r="E26375" t="s">
        <v>104</v>
      </c>
      <c r="F26375" s="2" t="str">
        <f>HYPERLINK("http://www.otzar.org/book.asp?200241","משכן העדות")</f>
        <v>משכן העדות</v>
      </c>
    </row>
    <row r="26376" spans="1:6" x14ac:dyDescent="0.2">
      <c r="A26376" t="s">
        <v>41947</v>
      </c>
      <c r="B26376" t="s">
        <v>41948</v>
      </c>
      <c r="C26376" t="s">
        <v>244</v>
      </c>
      <c r="D26376" t="s">
        <v>2375</v>
      </c>
      <c r="E26376" t="s">
        <v>158</v>
      </c>
      <c r="F26376" s="2" t="str">
        <f>HYPERLINK("http://www.otzar.org/book.asp?625893","משכן הראל")</f>
        <v>משכן הראל</v>
      </c>
    </row>
    <row r="26377" spans="1:6" x14ac:dyDescent="0.2">
      <c r="A26377" t="s">
        <v>41949</v>
      </c>
      <c r="B26377" t="s">
        <v>41950</v>
      </c>
      <c r="C26377" t="s">
        <v>151</v>
      </c>
      <c r="D26377" t="s">
        <v>14</v>
      </c>
      <c r="F26377" s="2" t="str">
        <f>HYPERLINK("http://www.otzar.org/book.asp?616078","משכן התורה - 2 כר'")</f>
        <v>משכן התורה - 2 כר'</v>
      </c>
    </row>
    <row r="26378" spans="1:6" x14ac:dyDescent="0.2">
      <c r="A26378" t="s">
        <v>41951</v>
      </c>
      <c r="B26378" t="s">
        <v>489</v>
      </c>
      <c r="C26378" t="s">
        <v>146</v>
      </c>
      <c r="D26378" t="s">
        <v>14</v>
      </c>
      <c r="E26378" t="s">
        <v>2091</v>
      </c>
      <c r="F26378" s="2" t="str">
        <f>HYPERLINK("http://www.otzar.org/book.asp?51953","משכן יצחק")</f>
        <v>משכן יצחק</v>
      </c>
    </row>
    <row r="26379" spans="1:6" x14ac:dyDescent="0.2">
      <c r="A26379" t="s">
        <v>41952</v>
      </c>
      <c r="B26379" t="s">
        <v>24067</v>
      </c>
      <c r="C26379" t="s">
        <v>785</v>
      </c>
      <c r="D26379" t="s">
        <v>52</v>
      </c>
      <c r="E26379" t="s">
        <v>1211</v>
      </c>
      <c r="F26379" s="2" t="str">
        <f>HYPERLINK("http://www.otzar.org/book.asp?144470","משכן יצחק - 3 כר'")</f>
        <v>משכן יצחק - 3 כר'</v>
      </c>
    </row>
    <row r="26380" spans="1:6" x14ac:dyDescent="0.2">
      <c r="A26380" t="s">
        <v>41953</v>
      </c>
      <c r="B26380" t="s">
        <v>41954</v>
      </c>
      <c r="C26380" t="s">
        <v>143</v>
      </c>
      <c r="D26380" t="s">
        <v>52</v>
      </c>
      <c r="E26380" t="s">
        <v>786</v>
      </c>
      <c r="F26380" s="2" t="str">
        <f>HYPERLINK("http://www.otzar.org/book.asp?19264","משכן יצחק - מעילה")</f>
        <v>משכן יצחק - מעילה</v>
      </c>
    </row>
    <row r="26381" spans="1:6" x14ac:dyDescent="0.2">
      <c r="A26381" t="s">
        <v>41955</v>
      </c>
      <c r="B26381" t="s">
        <v>489</v>
      </c>
      <c r="C26381" t="s">
        <v>313</v>
      </c>
      <c r="D26381" t="s">
        <v>14</v>
      </c>
      <c r="E26381" t="s">
        <v>202</v>
      </c>
      <c r="F26381" s="2" t="str">
        <f>HYPERLINK("http://www.otzar.org/book.asp?61918","משכן ישראל")</f>
        <v>משכן ישראל</v>
      </c>
    </row>
    <row r="26382" spans="1:6" x14ac:dyDescent="0.2">
      <c r="A26382" t="s">
        <v>41956</v>
      </c>
      <c r="B26382" t="s">
        <v>41957</v>
      </c>
      <c r="C26382" t="s">
        <v>103</v>
      </c>
      <c r="D26382" t="s">
        <v>14</v>
      </c>
      <c r="E26382" t="s">
        <v>15</v>
      </c>
      <c r="F26382" s="2" t="str">
        <f>HYPERLINK("http://www.otzar.org/book.asp?52974","משכן משה")</f>
        <v>משכן משה</v>
      </c>
    </row>
    <row r="26383" spans="1:6" x14ac:dyDescent="0.2">
      <c r="A26383" t="s">
        <v>41956</v>
      </c>
      <c r="B26383" t="s">
        <v>41958</v>
      </c>
      <c r="C26383" t="s">
        <v>334</v>
      </c>
      <c r="D26383" t="s">
        <v>412</v>
      </c>
      <c r="F26383" s="2" t="str">
        <f>HYPERLINK("http://www.otzar.org/book.asp?84887","משכן משה")</f>
        <v>משכן משה</v>
      </c>
    </row>
    <row r="26384" spans="1:6" x14ac:dyDescent="0.2">
      <c r="A26384" t="s">
        <v>41956</v>
      </c>
      <c r="B26384" t="s">
        <v>41959</v>
      </c>
      <c r="C26384" t="s">
        <v>581</v>
      </c>
      <c r="D26384" t="s">
        <v>9</v>
      </c>
      <c r="E26384" t="s">
        <v>234</v>
      </c>
      <c r="F26384" s="2" t="str">
        <f>HYPERLINK("http://www.otzar.org/book.asp?101367","משכן משה")</f>
        <v>משכן משה</v>
      </c>
    </row>
    <row r="26385" spans="1:6" x14ac:dyDescent="0.2">
      <c r="A26385" t="s">
        <v>41960</v>
      </c>
      <c r="B26385" t="s">
        <v>41961</v>
      </c>
      <c r="C26385" t="s">
        <v>143</v>
      </c>
      <c r="D26385" t="s">
        <v>14</v>
      </c>
      <c r="E26385" t="s">
        <v>202</v>
      </c>
      <c r="F26385" s="2" t="str">
        <f>HYPERLINK("http://www.otzar.org/book.asp?24957","משכן רבקה")</f>
        <v>משכן רבקה</v>
      </c>
    </row>
    <row r="26386" spans="1:6" x14ac:dyDescent="0.2">
      <c r="A26386" t="s">
        <v>41962</v>
      </c>
      <c r="B26386" t="s">
        <v>41963</v>
      </c>
      <c r="C26386" t="s">
        <v>129</v>
      </c>
      <c r="D26386" t="s">
        <v>260</v>
      </c>
      <c r="E26386" t="s">
        <v>1626</v>
      </c>
      <c r="F26386" s="2" t="str">
        <f>HYPERLINK("http://www.otzar.org/book.asp?191343","משכן שילה - זמירות למוצ""ש כמנהג עדן")</f>
        <v>משכן שילה - זמירות למוצ"ש כמנהג עדן</v>
      </c>
    </row>
    <row r="26387" spans="1:6" x14ac:dyDescent="0.2">
      <c r="A26387" t="s">
        <v>41964</v>
      </c>
      <c r="B26387" t="s">
        <v>30719</v>
      </c>
      <c r="C26387" t="s">
        <v>609</v>
      </c>
      <c r="D26387" t="s">
        <v>283</v>
      </c>
      <c r="E26387" t="s">
        <v>213</v>
      </c>
      <c r="F26387" s="2" t="str">
        <f>HYPERLINK("http://www.otzar.org/book.asp?176862","משכן שילה")</f>
        <v>משכן שילה</v>
      </c>
    </row>
    <row r="26388" spans="1:6" x14ac:dyDescent="0.2">
      <c r="A26388" t="s">
        <v>41965</v>
      </c>
      <c r="B26388" t="s">
        <v>41966</v>
      </c>
      <c r="C26388" t="s">
        <v>71</v>
      </c>
      <c r="D26388" t="s">
        <v>90</v>
      </c>
      <c r="E26388" t="s">
        <v>15</v>
      </c>
      <c r="F26388" s="2" t="str">
        <f>HYPERLINK("http://www.otzar.org/book.asp?156867","משכן שלום")</f>
        <v>משכן שלום</v>
      </c>
    </row>
    <row r="26389" spans="1:6" x14ac:dyDescent="0.2">
      <c r="A26389" t="s">
        <v>41967</v>
      </c>
      <c r="B26389" t="s">
        <v>41968</v>
      </c>
      <c r="C26389" t="s">
        <v>111</v>
      </c>
      <c r="D26389" t="s">
        <v>14</v>
      </c>
      <c r="E26389" t="s">
        <v>202</v>
      </c>
      <c r="F26389" s="2" t="str">
        <f>HYPERLINK("http://www.otzar.org/book.asp?627254","משכן שלום - הלכות שמחות")</f>
        <v>משכן שלום - הלכות שמחות</v>
      </c>
    </row>
    <row r="26390" spans="1:6" x14ac:dyDescent="0.2">
      <c r="A26390" t="s">
        <v>41969</v>
      </c>
      <c r="B26390" t="s">
        <v>11249</v>
      </c>
      <c r="C26390" t="s">
        <v>37</v>
      </c>
      <c r="D26390" t="s">
        <v>14</v>
      </c>
      <c r="F26390" s="2" t="str">
        <f>HYPERLINK("http://www.otzar.org/book.asp?601002","משכנות אפרים")</f>
        <v>משכנות אפרים</v>
      </c>
    </row>
    <row r="26391" spans="1:6" x14ac:dyDescent="0.2">
      <c r="A26391" t="s">
        <v>41970</v>
      </c>
      <c r="B26391" t="s">
        <v>26076</v>
      </c>
      <c r="C26391" t="s">
        <v>800</v>
      </c>
      <c r="D26391" t="s">
        <v>23185</v>
      </c>
      <c r="E26391" t="s">
        <v>104</v>
      </c>
      <c r="F26391" s="2" t="str">
        <f>HYPERLINK("http://www.otzar.org/book.asp?101178","משכנות הרועים")</f>
        <v>משכנות הרועים</v>
      </c>
    </row>
    <row r="26392" spans="1:6" x14ac:dyDescent="0.2">
      <c r="A26392" t="s">
        <v>41970</v>
      </c>
      <c r="B26392" t="s">
        <v>18724</v>
      </c>
      <c r="C26392" t="s">
        <v>950</v>
      </c>
      <c r="D26392" t="s">
        <v>1279</v>
      </c>
      <c r="E26392" t="s">
        <v>1262</v>
      </c>
      <c r="F26392" s="2" t="str">
        <f>HYPERLINK("http://www.otzar.org/book.asp?625944","משכנות הרועים")</f>
        <v>משכנות הרועים</v>
      </c>
    </row>
    <row r="26393" spans="1:6" x14ac:dyDescent="0.2">
      <c r="A26393" t="s">
        <v>41971</v>
      </c>
      <c r="B26393" t="s">
        <v>1312</v>
      </c>
      <c r="C26393" t="s">
        <v>23</v>
      </c>
      <c r="D26393" t="s">
        <v>14</v>
      </c>
      <c r="E26393" t="s">
        <v>226</v>
      </c>
      <c r="F26393" s="2" t="str">
        <f>HYPERLINK("http://www.otzar.org/book.asp?188763","משכנות הרועים - 2 כר'")</f>
        <v>משכנות הרועים - 2 כר'</v>
      </c>
    </row>
    <row r="26394" spans="1:6" x14ac:dyDescent="0.2">
      <c r="A26394" t="s">
        <v>41970</v>
      </c>
      <c r="B26394" t="s">
        <v>41972</v>
      </c>
      <c r="C26394" t="s">
        <v>1388</v>
      </c>
      <c r="D26394" t="s">
        <v>14</v>
      </c>
      <c r="F26394" s="2" t="str">
        <f>HYPERLINK("http://www.otzar.org/book.asp?164090","משכנות הרועים")</f>
        <v>משכנות הרועים</v>
      </c>
    </row>
    <row r="26395" spans="1:6" x14ac:dyDescent="0.2">
      <c r="A26395" t="s">
        <v>41973</v>
      </c>
      <c r="B26395" t="s">
        <v>41974</v>
      </c>
      <c r="C26395" t="s">
        <v>1208</v>
      </c>
      <c r="D26395" t="s">
        <v>412</v>
      </c>
      <c r="E26395" t="s">
        <v>733</v>
      </c>
      <c r="F26395" s="2" t="str">
        <f>HYPERLINK("http://www.otzar.org/book.asp?621363","משכנות הרועים - א")</f>
        <v>משכנות הרועים - א</v>
      </c>
    </row>
    <row r="26396" spans="1:6" x14ac:dyDescent="0.2">
      <c r="A26396" t="s">
        <v>41975</v>
      </c>
      <c r="B26396" t="s">
        <v>41976</v>
      </c>
      <c r="C26396" t="s">
        <v>133</v>
      </c>
      <c r="D26396" t="s">
        <v>14</v>
      </c>
      <c r="E26396" t="s">
        <v>10</v>
      </c>
      <c r="F26396" s="2" t="str">
        <f>HYPERLINK("http://www.otzar.org/book.asp?177126","משכנות ידידיה &lt;מהדורה חדשה&gt;")</f>
        <v>משכנות ידידיה &lt;מהדורה חדשה&gt;</v>
      </c>
    </row>
    <row r="26397" spans="1:6" x14ac:dyDescent="0.2">
      <c r="A26397" t="s">
        <v>41977</v>
      </c>
      <c r="B26397" t="s">
        <v>41976</v>
      </c>
      <c r="C26397" t="s">
        <v>553</v>
      </c>
      <c r="D26397" t="s">
        <v>14</v>
      </c>
      <c r="E26397" t="s">
        <v>463</v>
      </c>
      <c r="F26397" s="2" t="str">
        <f>HYPERLINK("http://www.otzar.org/book.asp?171805","משכנות ידידיה - 3 כר'")</f>
        <v>משכנות ידידיה - 3 כר'</v>
      </c>
    </row>
    <row r="26398" spans="1:6" x14ac:dyDescent="0.2">
      <c r="A26398" t="s">
        <v>41978</v>
      </c>
      <c r="B26398" t="s">
        <v>41979</v>
      </c>
      <c r="C26398" t="s">
        <v>17774</v>
      </c>
      <c r="D26398" t="s">
        <v>76</v>
      </c>
      <c r="E26398" t="s">
        <v>158</v>
      </c>
      <c r="F26398" s="2" t="str">
        <f>HYPERLINK("http://www.otzar.org/book.asp?108487","משכנות יעקב")</f>
        <v>משכנות יעקב</v>
      </c>
    </row>
    <row r="26399" spans="1:6" x14ac:dyDescent="0.2">
      <c r="A26399" t="s">
        <v>41980</v>
      </c>
      <c r="B26399" t="s">
        <v>41981</v>
      </c>
      <c r="C26399" t="s">
        <v>1663</v>
      </c>
      <c r="D26399" t="s">
        <v>27</v>
      </c>
      <c r="E26399" t="s">
        <v>791</v>
      </c>
      <c r="F26399" s="2" t="str">
        <f>HYPERLINK("http://www.otzar.org/book.asp?12059","משכנות יעקב - 2 כר'")</f>
        <v>משכנות יעקב - 2 כר'</v>
      </c>
    </row>
    <row r="26400" spans="1:6" x14ac:dyDescent="0.2">
      <c r="A26400" t="s">
        <v>41978</v>
      </c>
      <c r="B26400" t="s">
        <v>5572</v>
      </c>
      <c r="C26400" t="s">
        <v>68</v>
      </c>
      <c r="D26400" t="s">
        <v>412</v>
      </c>
      <c r="E26400" t="s">
        <v>25902</v>
      </c>
      <c r="F26400" s="2" t="str">
        <f>HYPERLINK("http://www.otzar.org/book.asp?155874","משכנות יעקב")</f>
        <v>משכנות יעקב</v>
      </c>
    </row>
    <row r="26401" spans="1:6" x14ac:dyDescent="0.2">
      <c r="A26401" t="s">
        <v>41978</v>
      </c>
      <c r="B26401" t="s">
        <v>41978</v>
      </c>
      <c r="C26401" t="s">
        <v>8736</v>
      </c>
      <c r="D26401" t="s">
        <v>691</v>
      </c>
      <c r="E26401" t="s">
        <v>202</v>
      </c>
      <c r="F26401" s="2" t="str">
        <f>HYPERLINK("http://www.otzar.org/book.asp?108833","משכנות יעקב")</f>
        <v>משכנות יעקב</v>
      </c>
    </row>
    <row r="26402" spans="1:6" x14ac:dyDescent="0.2">
      <c r="A26402" t="s">
        <v>41978</v>
      </c>
      <c r="B26402" t="s">
        <v>6821</v>
      </c>
      <c r="C26402" t="s">
        <v>1706</v>
      </c>
      <c r="D26402" t="s">
        <v>225</v>
      </c>
      <c r="E26402" t="s">
        <v>158</v>
      </c>
      <c r="F26402" s="2" t="str">
        <f>HYPERLINK("http://www.otzar.org/book.asp?25063","משכנות יעקב")</f>
        <v>משכנות יעקב</v>
      </c>
    </row>
    <row r="26403" spans="1:6" x14ac:dyDescent="0.2">
      <c r="A26403" t="s">
        <v>41982</v>
      </c>
      <c r="B26403" t="s">
        <v>4547</v>
      </c>
      <c r="C26403" t="s">
        <v>1388</v>
      </c>
      <c r="D26403" t="s">
        <v>14</v>
      </c>
      <c r="E26403" t="s">
        <v>15</v>
      </c>
      <c r="F26403" s="2" t="str">
        <f>HYPERLINK("http://www.otzar.org/book.asp?51569","משכנות ישראל")</f>
        <v>משכנות ישראל</v>
      </c>
    </row>
    <row r="26404" spans="1:6" x14ac:dyDescent="0.2">
      <c r="A26404" t="s">
        <v>41983</v>
      </c>
      <c r="B26404" t="s">
        <v>21233</v>
      </c>
      <c r="C26404" t="s">
        <v>1096</v>
      </c>
      <c r="D26404" t="s">
        <v>56</v>
      </c>
      <c r="E26404" t="s">
        <v>154</v>
      </c>
      <c r="F26404" s="2" t="str">
        <f>HYPERLINK("http://www.otzar.org/book.asp?19129","משכנות ישראל - א")</f>
        <v>משכנות ישראל - א</v>
      </c>
    </row>
    <row r="26405" spans="1:6" x14ac:dyDescent="0.2">
      <c r="A26405" t="s">
        <v>41984</v>
      </c>
      <c r="B26405" t="s">
        <v>41985</v>
      </c>
      <c r="C26405" t="s">
        <v>26439</v>
      </c>
      <c r="D26405" t="s">
        <v>412</v>
      </c>
      <c r="E26405" t="s">
        <v>144</v>
      </c>
      <c r="F26405" s="2" t="str">
        <f>HYPERLINK("http://www.otzar.org/book.asp?611354","משכנות ישראל - גיטין")</f>
        <v>משכנות ישראל - גיטין</v>
      </c>
    </row>
    <row r="26406" spans="1:6" x14ac:dyDescent="0.2">
      <c r="A26406" t="s">
        <v>41982</v>
      </c>
      <c r="B26406" t="s">
        <v>41986</v>
      </c>
      <c r="C26406" t="s">
        <v>334</v>
      </c>
      <c r="D26406" t="s">
        <v>14</v>
      </c>
      <c r="E26406" t="s">
        <v>2071</v>
      </c>
      <c r="F26406" s="2" t="str">
        <f>HYPERLINK("http://www.otzar.org/book.asp?7714","משכנות ישראל")</f>
        <v>משכנות ישראל</v>
      </c>
    </row>
    <row r="26407" spans="1:6" x14ac:dyDescent="0.2">
      <c r="A26407" t="s">
        <v>41987</v>
      </c>
      <c r="B26407" t="s">
        <v>24886</v>
      </c>
      <c r="C26407" t="s">
        <v>41988</v>
      </c>
      <c r="D26407" t="s">
        <v>27</v>
      </c>
      <c r="E26407" t="s">
        <v>3387</v>
      </c>
      <c r="F26407" s="2" t="str">
        <f>HYPERLINK("http://www.otzar.org/book.asp?8344","משכנות לאביר יעקב - תמיד")</f>
        <v>משכנות לאביר יעקב - תמיד</v>
      </c>
    </row>
    <row r="26408" spans="1:6" x14ac:dyDescent="0.2">
      <c r="A26408" t="s">
        <v>41989</v>
      </c>
      <c r="B26408" t="s">
        <v>34690</v>
      </c>
      <c r="C26408" t="s">
        <v>366</v>
      </c>
      <c r="D26408" t="s">
        <v>21</v>
      </c>
      <c r="E26408" t="s">
        <v>104</v>
      </c>
      <c r="F26408" s="2" t="str">
        <f>HYPERLINK("http://www.otzar.org/book.asp?605359","משכנותיך ישראל")</f>
        <v>משכנותיך ישראל</v>
      </c>
    </row>
    <row r="26409" spans="1:6" x14ac:dyDescent="0.2">
      <c r="A26409" t="s">
        <v>41990</v>
      </c>
      <c r="B26409" t="s">
        <v>489</v>
      </c>
      <c r="C26409" t="s">
        <v>13</v>
      </c>
      <c r="D26409" t="s">
        <v>14</v>
      </c>
      <c r="E26409" t="s">
        <v>144</v>
      </c>
      <c r="F26409" s="2" t="str">
        <f>HYPERLINK("http://www.otzar.org/book.asp?158701","משכנותיך ישראל - גיטין")</f>
        <v>משכנותיך ישראל - גיטין</v>
      </c>
    </row>
    <row r="26410" spans="1:6" x14ac:dyDescent="0.2">
      <c r="A26410" t="s">
        <v>41991</v>
      </c>
      <c r="B26410" t="s">
        <v>41992</v>
      </c>
      <c r="C26410" t="s">
        <v>129</v>
      </c>
      <c r="D26410" t="s">
        <v>367</v>
      </c>
      <c r="E26410" t="s">
        <v>4022</v>
      </c>
      <c r="F26410" s="2" t="str">
        <f>HYPERLINK("http://www.otzar.org/book.asp?163101","משכנותיך")</f>
        <v>משכנותיך</v>
      </c>
    </row>
    <row r="26411" spans="1:6" x14ac:dyDescent="0.2">
      <c r="A26411" t="s">
        <v>41993</v>
      </c>
      <c r="B26411" t="s">
        <v>206</v>
      </c>
      <c r="C26411" t="s">
        <v>20</v>
      </c>
      <c r="D26411" t="s">
        <v>90</v>
      </c>
      <c r="E26411" t="s">
        <v>241</v>
      </c>
      <c r="F26411" s="2" t="str">
        <f>HYPERLINK("http://www.otzar.org/book.asp?630089","משכני אחריך")</f>
        <v>משכני אחריך</v>
      </c>
    </row>
    <row r="26412" spans="1:6" x14ac:dyDescent="0.2">
      <c r="A26412" t="s">
        <v>41994</v>
      </c>
      <c r="B26412" t="s">
        <v>1390</v>
      </c>
      <c r="C26412" t="s">
        <v>189</v>
      </c>
      <c r="D26412" t="s">
        <v>14</v>
      </c>
      <c r="E26412" t="s">
        <v>1438</v>
      </c>
      <c r="F26412" s="2" t="str">
        <f>HYPERLINK("http://www.otzar.org/book.asp?83735","משכני עליון &lt;כתר מרדכי&gt;")</f>
        <v>משכני עליון &lt;כתר מרדכי&gt;</v>
      </c>
    </row>
    <row r="26413" spans="1:6" x14ac:dyDescent="0.2">
      <c r="A26413" t="s">
        <v>41995</v>
      </c>
      <c r="B26413" t="s">
        <v>41996</v>
      </c>
      <c r="C26413" t="s">
        <v>189</v>
      </c>
      <c r="D26413" t="s">
        <v>52</v>
      </c>
      <c r="F26413" s="2" t="str">
        <f>HYPERLINK("http://www.otzar.org/book.asp?164183","משל האבות - 9 כר'")</f>
        <v>משל האבות - 9 כר'</v>
      </c>
    </row>
    <row r="26414" spans="1:6" x14ac:dyDescent="0.2">
      <c r="A26414" t="s">
        <v>41997</v>
      </c>
      <c r="B26414" t="s">
        <v>41998</v>
      </c>
      <c r="C26414" t="s">
        <v>26830</v>
      </c>
      <c r="D26414" t="s">
        <v>49</v>
      </c>
      <c r="E26414" t="s">
        <v>104</v>
      </c>
      <c r="F26414" s="2" t="str">
        <f>HYPERLINK("http://www.otzar.org/book.asp?146901","משל הקדמוני - 3 כר'")</f>
        <v>משל הקדמוני - 3 כר'</v>
      </c>
    </row>
    <row r="26415" spans="1:6" x14ac:dyDescent="0.2">
      <c r="A26415" t="s">
        <v>41999</v>
      </c>
      <c r="B26415" t="s">
        <v>14030</v>
      </c>
      <c r="C26415" t="s">
        <v>42000</v>
      </c>
      <c r="D26415" t="s">
        <v>9</v>
      </c>
      <c r="E26415" t="s">
        <v>2071</v>
      </c>
      <c r="F26415" s="2" t="str">
        <f>HYPERLINK("http://www.otzar.org/book.asp?20918","משל ומליצה - 5 כר'")</f>
        <v>משל ומליצה - 5 כר'</v>
      </c>
    </row>
    <row r="26416" spans="1:6" x14ac:dyDescent="0.2">
      <c r="A26416" t="s">
        <v>42001</v>
      </c>
      <c r="B26416" t="s">
        <v>5620</v>
      </c>
      <c r="C26416" t="s">
        <v>42002</v>
      </c>
      <c r="D26416" t="s">
        <v>42003</v>
      </c>
      <c r="E26416" t="s">
        <v>104</v>
      </c>
      <c r="F26416" s="2" t="str">
        <f>HYPERLINK("http://www.otzar.org/book.asp?193928","משל ומליצה - 6 כר'")</f>
        <v>משל ומליצה - 6 כר'</v>
      </c>
    </row>
    <row r="26417" spans="1:6" x14ac:dyDescent="0.2">
      <c r="A26417" t="s">
        <v>42004</v>
      </c>
      <c r="B26417" t="s">
        <v>3057</v>
      </c>
      <c r="C26417" t="s">
        <v>635</v>
      </c>
      <c r="D26417" t="s">
        <v>283</v>
      </c>
      <c r="E26417" t="s">
        <v>104</v>
      </c>
      <c r="F26417" s="2" t="str">
        <f>HYPERLINK("http://www.otzar.org/book.asp?9931","משל ומליצה")</f>
        <v>משל ומליצה</v>
      </c>
    </row>
    <row r="26418" spans="1:6" x14ac:dyDescent="0.2">
      <c r="A26418" t="s">
        <v>42005</v>
      </c>
      <c r="B26418" t="s">
        <v>42006</v>
      </c>
      <c r="C26418" t="s">
        <v>1166</v>
      </c>
      <c r="D26418" t="s">
        <v>27</v>
      </c>
      <c r="E26418" t="s">
        <v>104</v>
      </c>
      <c r="F26418" s="2" t="str">
        <f>HYPERLINK("http://www.otzar.org/book.asp?103555","משל ונמשל")</f>
        <v>משל ונמשל</v>
      </c>
    </row>
    <row r="26419" spans="1:6" x14ac:dyDescent="0.2">
      <c r="A26419" t="s">
        <v>42007</v>
      </c>
      <c r="B26419" t="s">
        <v>42008</v>
      </c>
      <c r="C26419" t="s">
        <v>20</v>
      </c>
      <c r="D26419" t="s">
        <v>14</v>
      </c>
      <c r="E26419" t="s">
        <v>144</v>
      </c>
      <c r="F26419" s="2" t="str">
        <f>HYPERLINK("http://www.otzar.org/book.asp?623213","משל סופרים - שכירות")</f>
        <v>משל סופרים - שכירות</v>
      </c>
    </row>
    <row r="26420" spans="1:6" x14ac:dyDescent="0.2">
      <c r="A26420" t="s">
        <v>42009</v>
      </c>
      <c r="B26420" t="s">
        <v>25878</v>
      </c>
      <c r="C26420" t="s">
        <v>1177</v>
      </c>
      <c r="D26420" t="s">
        <v>1459</v>
      </c>
      <c r="F26420" s="2" t="str">
        <f>HYPERLINK("http://www.otzar.org/book.asp?147741","משלוח מנות")</f>
        <v>משלוח מנות</v>
      </c>
    </row>
    <row r="26421" spans="1:6" x14ac:dyDescent="0.2">
      <c r="A26421" t="s">
        <v>42009</v>
      </c>
      <c r="B26421" t="s">
        <v>42010</v>
      </c>
      <c r="C26421" t="s">
        <v>20</v>
      </c>
      <c r="D26421" t="s">
        <v>512</v>
      </c>
      <c r="E26421" t="s">
        <v>230</v>
      </c>
      <c r="F26421" s="2" t="str">
        <f>HYPERLINK("http://www.otzar.org/book.asp?602746","משלוח מנות")</f>
        <v>משלוח מנות</v>
      </c>
    </row>
    <row r="26422" spans="1:6" x14ac:dyDescent="0.2">
      <c r="A26422" t="s">
        <v>42011</v>
      </c>
      <c r="B26422" t="s">
        <v>776</v>
      </c>
      <c r="C26422" t="s">
        <v>103</v>
      </c>
      <c r="D26422" t="s">
        <v>486</v>
      </c>
      <c r="E26422" t="s">
        <v>15</v>
      </c>
      <c r="F26422" s="2" t="str">
        <f>HYPERLINK("http://www.otzar.org/book.asp?108427","משלח מנות")</f>
        <v>משלח מנות</v>
      </c>
    </row>
    <row r="26423" spans="1:6" x14ac:dyDescent="0.2">
      <c r="A26423" t="s">
        <v>42012</v>
      </c>
      <c r="B26423" t="s">
        <v>1750</v>
      </c>
      <c r="C26423" t="s">
        <v>411</v>
      </c>
      <c r="D26423" t="s">
        <v>52</v>
      </c>
      <c r="E26423" t="s">
        <v>5392</v>
      </c>
      <c r="F26423" s="2" t="str">
        <f>HYPERLINK("http://www.otzar.org/book.asp?603413","משלחן גבוה - 7 כר'")</f>
        <v>משלחן גבוה - 7 כר'</v>
      </c>
    </row>
    <row r="26424" spans="1:6" x14ac:dyDescent="0.2">
      <c r="A26424" t="s">
        <v>42013</v>
      </c>
      <c r="B26424" t="s">
        <v>42014</v>
      </c>
      <c r="C26424" t="s">
        <v>366</v>
      </c>
      <c r="D26424" t="s">
        <v>14</v>
      </c>
      <c r="E26424" t="s">
        <v>104</v>
      </c>
      <c r="F26424" s="2" t="str">
        <f>HYPERLINK("http://www.otzar.org/book.asp?615507","משלחן הרמ""ח")</f>
        <v>משלחן הרמ"ח</v>
      </c>
    </row>
    <row r="26425" spans="1:6" x14ac:dyDescent="0.2">
      <c r="A26425" t="s">
        <v>42015</v>
      </c>
      <c r="B26425" t="s">
        <v>42016</v>
      </c>
      <c r="C26425" t="s">
        <v>111</v>
      </c>
      <c r="D26425" t="s">
        <v>14</v>
      </c>
      <c r="E26425" t="s">
        <v>15</v>
      </c>
      <c r="F26425" s="2" t="str">
        <f>HYPERLINK("http://www.otzar.org/book.asp?624838","משלחן יהודה")</f>
        <v>משלחן יהודה</v>
      </c>
    </row>
    <row r="26426" spans="1:6" x14ac:dyDescent="0.2">
      <c r="A26426" t="s">
        <v>42017</v>
      </c>
      <c r="B26426" t="s">
        <v>489</v>
      </c>
      <c r="C26426" t="s">
        <v>146</v>
      </c>
      <c r="D26426" t="s">
        <v>14</v>
      </c>
      <c r="E26426" t="s">
        <v>19097</v>
      </c>
      <c r="F26426" s="2" t="str">
        <f>HYPERLINK("http://www.otzar.org/book.asp?25949","משלחן מלכים - 5 כר'")</f>
        <v>משלחן מלכים - 5 כר'</v>
      </c>
    </row>
    <row r="26427" spans="1:6" x14ac:dyDescent="0.2">
      <c r="A26427" t="s">
        <v>42018</v>
      </c>
      <c r="B26427" t="s">
        <v>7361</v>
      </c>
      <c r="C26427" t="s">
        <v>37</v>
      </c>
      <c r="D26427" t="s">
        <v>90</v>
      </c>
      <c r="E26427" t="s">
        <v>158</v>
      </c>
      <c r="F26427" s="2" t="str">
        <f>HYPERLINK("http://www.otzar.org/book.asp?606352","משלחן רבי אליהו ברוך - 4 כר'")</f>
        <v>משלחן רבי אליהו ברוך - 4 כר'</v>
      </c>
    </row>
    <row r="26428" spans="1:6" x14ac:dyDescent="0.2">
      <c r="A26428" t="s">
        <v>42019</v>
      </c>
      <c r="B26428" t="s">
        <v>7048</v>
      </c>
      <c r="C26428" t="s">
        <v>168</v>
      </c>
      <c r="D26428" t="s">
        <v>216</v>
      </c>
      <c r="F26428" s="2" t="str">
        <f>HYPERLINK("http://www.otzar.org/book.asp?156254","משלחנם של אחרונים")</f>
        <v>משלחנם של אחרונים</v>
      </c>
    </row>
    <row r="26429" spans="1:6" x14ac:dyDescent="0.2">
      <c r="A26429" t="s">
        <v>42020</v>
      </c>
      <c r="B26429" t="s">
        <v>1821</v>
      </c>
      <c r="C26429" t="s">
        <v>2076</v>
      </c>
      <c r="D26429" t="s">
        <v>56</v>
      </c>
      <c r="E26429" t="s">
        <v>24849</v>
      </c>
      <c r="F26429" s="2" t="str">
        <f>HYPERLINK("http://www.otzar.org/book.asp?6571","משלי &lt;הגר""א&gt;")</f>
        <v>משלי &lt;הגר"א&gt;</v>
      </c>
    </row>
    <row r="26430" spans="1:6" x14ac:dyDescent="0.2">
      <c r="A26430" t="s">
        <v>42021</v>
      </c>
      <c r="B26430" t="s">
        <v>1821</v>
      </c>
      <c r="C26430" t="s">
        <v>5912</v>
      </c>
      <c r="D26430" t="s">
        <v>283</v>
      </c>
      <c r="E26430" t="s">
        <v>957</v>
      </c>
      <c r="F26430" s="2" t="str">
        <f>HYPERLINK("http://www.otzar.org/book.asp?102556","משלי &lt;רש""י, הגר""א&gt;")</f>
        <v>משלי &lt;רש"י, הגר"א&gt;</v>
      </c>
    </row>
    <row r="26431" spans="1:6" x14ac:dyDescent="0.2">
      <c r="A26431" t="s">
        <v>42022</v>
      </c>
      <c r="B26431" t="s">
        <v>42023</v>
      </c>
      <c r="C26431" t="s">
        <v>3840</v>
      </c>
      <c r="D26431" t="s">
        <v>14</v>
      </c>
      <c r="E26431" t="s">
        <v>4940</v>
      </c>
      <c r="F26431" s="2" t="str">
        <f>HYPERLINK("http://www.otzar.org/book.asp?102554","משלי &lt;רבינו בחיי, שפת אמת, ליקוטי יהודה&gt; - 2 כר'")</f>
        <v>משלי &lt;רבינו בחיי, שפת אמת, ליקוטי יהודה&gt; - 2 כר'</v>
      </c>
    </row>
    <row r="26432" spans="1:6" x14ac:dyDescent="0.2">
      <c r="A26432" t="s">
        <v>42024</v>
      </c>
      <c r="B26432" t="s">
        <v>35141</v>
      </c>
      <c r="C26432" t="s">
        <v>1310</v>
      </c>
      <c r="D26432" t="s">
        <v>283</v>
      </c>
      <c r="E26432" t="s">
        <v>957</v>
      </c>
      <c r="F26432" s="2" t="str">
        <f>HYPERLINK("http://www.otzar.org/book.asp?102566","משלי &lt;תבונת משלי&gt;")</f>
        <v>משלי &lt;תבונת משלי&gt;</v>
      </c>
    </row>
    <row r="26433" spans="1:6" x14ac:dyDescent="0.2">
      <c r="A26433" t="s">
        <v>42025</v>
      </c>
      <c r="B26433" t="s">
        <v>42026</v>
      </c>
      <c r="C26433" t="s">
        <v>3690</v>
      </c>
      <c r="D26433" t="s">
        <v>27</v>
      </c>
      <c r="E26433" t="s">
        <v>158</v>
      </c>
      <c r="F26433" s="2" t="str">
        <f>HYPERLINK("http://www.otzar.org/book.asp?21985","משלי &lt;מאורי חיים&gt;")</f>
        <v>משלי &lt;מאורי חיים&gt;</v>
      </c>
    </row>
    <row r="26434" spans="1:6" x14ac:dyDescent="0.2">
      <c r="A26434" t="s">
        <v>42027</v>
      </c>
      <c r="B26434" t="s">
        <v>25131</v>
      </c>
      <c r="C26434" t="s">
        <v>4741</v>
      </c>
      <c r="D26434" t="s">
        <v>1667</v>
      </c>
      <c r="F26434" s="2" t="str">
        <f>HYPERLINK("http://www.otzar.org/book.asp?170188","משלי &lt;יד אבשלום&gt; - 2 כר'")</f>
        <v>משלי &lt;יד אבשלום&gt; - 2 כר'</v>
      </c>
    </row>
    <row r="26435" spans="1:6" x14ac:dyDescent="0.2">
      <c r="A26435" t="s">
        <v>42028</v>
      </c>
      <c r="B26435" t="s">
        <v>31913</v>
      </c>
      <c r="C26435" t="s">
        <v>11127</v>
      </c>
      <c r="D26435" t="s">
        <v>56</v>
      </c>
      <c r="E26435" t="s">
        <v>158</v>
      </c>
      <c r="F26435" s="2" t="str">
        <f>HYPERLINK("http://www.otzar.org/book.asp?53456","משלי &lt;שבט מיהודה&gt;")</f>
        <v>משלי &lt;שבט מיהודה&gt;</v>
      </c>
    </row>
    <row r="26436" spans="1:6" x14ac:dyDescent="0.2">
      <c r="A26436" t="s">
        <v>42029</v>
      </c>
      <c r="B26436" t="s">
        <v>17242</v>
      </c>
      <c r="C26436" t="s">
        <v>950</v>
      </c>
      <c r="D26436" t="s">
        <v>1037</v>
      </c>
      <c r="E26436" t="s">
        <v>42030</v>
      </c>
      <c r="F26436" s="2" t="str">
        <f>HYPERLINK("http://www.otzar.org/book.asp?102565","משלי &lt;מעשה רקמה, שפתי ישנים&gt;")</f>
        <v>משלי &lt;מעשה רקמה, שפתי ישנים&gt;</v>
      </c>
    </row>
    <row r="26437" spans="1:6" x14ac:dyDescent="0.2">
      <c r="A26437" t="s">
        <v>42031</v>
      </c>
      <c r="B26437" t="s">
        <v>7374</v>
      </c>
      <c r="C26437" t="s">
        <v>133</v>
      </c>
      <c r="D26437" t="s">
        <v>412</v>
      </c>
      <c r="E26437" t="s">
        <v>158</v>
      </c>
      <c r="F26437" s="2" t="str">
        <f>HYPERLINK("http://www.otzar.org/book.asp?605560","משלי &lt;מכתם לדוד - להבין משל&gt;")</f>
        <v>משלי &lt;מכתם לדוד - להבין משל&gt;</v>
      </c>
    </row>
    <row r="26438" spans="1:6" x14ac:dyDescent="0.2">
      <c r="A26438" t="s">
        <v>42032</v>
      </c>
      <c r="B26438" t="s">
        <v>42033</v>
      </c>
      <c r="C26438" t="s">
        <v>950</v>
      </c>
      <c r="D26438" t="s">
        <v>1037</v>
      </c>
      <c r="E26438" t="s">
        <v>158</v>
      </c>
      <c r="F26438" s="2" t="str">
        <f>HYPERLINK("http://www.otzar.org/book.asp?172270","משלי &lt;מעשי רקמה, שפתי ישנים&gt;")</f>
        <v>משלי &lt;מעשי רקמה, שפתי ישנים&gt;</v>
      </c>
    </row>
    <row r="26439" spans="1:6" x14ac:dyDescent="0.2">
      <c r="A26439" t="s">
        <v>42034</v>
      </c>
      <c r="B26439" t="s">
        <v>42035</v>
      </c>
      <c r="C26439" t="s">
        <v>42036</v>
      </c>
      <c r="D26439" t="s">
        <v>42037</v>
      </c>
      <c r="E26439" t="s">
        <v>158</v>
      </c>
      <c r="F26439" s="2" t="str">
        <f>HYPERLINK("http://www.otzar.org/book.asp?193933","משלי אלעזר")</f>
        <v>משלי אלעזר</v>
      </c>
    </row>
    <row r="26440" spans="1:6" x14ac:dyDescent="0.2">
      <c r="A26440" t="s">
        <v>42038</v>
      </c>
      <c r="B26440" t="s">
        <v>42039</v>
      </c>
      <c r="C26440" t="s">
        <v>422</v>
      </c>
      <c r="D26440" t="s">
        <v>21</v>
      </c>
      <c r="E26440" t="s">
        <v>104</v>
      </c>
      <c r="F26440" s="2" t="str">
        <f>HYPERLINK("http://www.otzar.org/book.asp?199608","משלי החיד""א")</f>
        <v>משלי החיד"א</v>
      </c>
    </row>
    <row r="26441" spans="1:6" x14ac:dyDescent="0.2">
      <c r="A26441" t="s">
        <v>42040</v>
      </c>
      <c r="B26441" t="s">
        <v>3273</v>
      </c>
      <c r="C26441" t="s">
        <v>1609</v>
      </c>
      <c r="D26441" t="s">
        <v>260</v>
      </c>
      <c r="E26441" t="s">
        <v>104</v>
      </c>
      <c r="F26441" s="2" t="str">
        <f>HYPERLINK("http://www.otzar.org/book.asp?156112","משלי החפץ חיים")</f>
        <v>משלי החפץ חיים</v>
      </c>
    </row>
    <row r="26442" spans="1:6" x14ac:dyDescent="0.2">
      <c r="A26442" t="s">
        <v>42041</v>
      </c>
      <c r="B26442" t="s">
        <v>3299</v>
      </c>
      <c r="C26442" t="s">
        <v>419</v>
      </c>
      <c r="D26442" t="s">
        <v>412</v>
      </c>
      <c r="E26442" t="s">
        <v>104</v>
      </c>
      <c r="F26442" s="2" t="str">
        <f>HYPERLINK("http://www.otzar.org/book.asp?173631","משלי החתם סופר")</f>
        <v>משלי החתם סופר</v>
      </c>
    </row>
    <row r="26443" spans="1:6" x14ac:dyDescent="0.2">
      <c r="A26443" t="s">
        <v>42042</v>
      </c>
      <c r="B26443" t="s">
        <v>20556</v>
      </c>
      <c r="C26443" t="s">
        <v>6054</v>
      </c>
      <c r="D26443" t="s">
        <v>610</v>
      </c>
      <c r="E26443" t="s">
        <v>1211</v>
      </c>
      <c r="F26443" s="2" t="str">
        <f>HYPERLINK("http://www.otzar.org/book.asp?188593","משלי התלמוד")</f>
        <v>משלי התלמוד</v>
      </c>
    </row>
    <row r="26444" spans="1:6" x14ac:dyDescent="0.2">
      <c r="A26444" t="s">
        <v>42043</v>
      </c>
      <c r="B26444" t="s">
        <v>42044</v>
      </c>
      <c r="C26444" t="s">
        <v>129</v>
      </c>
      <c r="D26444" t="s">
        <v>90</v>
      </c>
      <c r="E26444" t="s">
        <v>42045</v>
      </c>
      <c r="F26444" s="2" t="str">
        <f>HYPERLINK("http://www.otzar.org/book.asp?64276","משלי ופרקי אבות &lt;בניקוד מסורת תימן&gt;")</f>
        <v>משלי ופרקי אבות &lt;בניקוד מסורת תימן&gt;</v>
      </c>
    </row>
    <row r="26445" spans="1:6" x14ac:dyDescent="0.2">
      <c r="A26445" t="s">
        <v>42046</v>
      </c>
      <c r="B26445" t="s">
        <v>6987</v>
      </c>
      <c r="C26445" t="s">
        <v>20</v>
      </c>
      <c r="D26445" t="s">
        <v>756</v>
      </c>
      <c r="F26445" s="2" t="str">
        <f>HYPERLINK("http://www.otzar.org/book.asp?193934","משלי חכמים")</f>
        <v>משלי חכמים</v>
      </c>
    </row>
    <row r="26446" spans="1:6" x14ac:dyDescent="0.2">
      <c r="A26446" t="s">
        <v>42047</v>
      </c>
      <c r="B26446" t="s">
        <v>3273</v>
      </c>
      <c r="C26446" t="s">
        <v>1619</v>
      </c>
      <c r="D26446" t="s">
        <v>21</v>
      </c>
      <c r="E26446" t="s">
        <v>579</v>
      </c>
      <c r="F26446" s="2" t="str">
        <f>HYPERLINK("http://www.otzar.org/book.asp?199981","משלי חסידים על התורה")</f>
        <v>משלי חסידים על התורה</v>
      </c>
    </row>
    <row r="26447" spans="1:6" x14ac:dyDescent="0.2">
      <c r="A26447" t="s">
        <v>42048</v>
      </c>
      <c r="B26447" t="s">
        <v>2220</v>
      </c>
      <c r="C26447" t="s">
        <v>1458</v>
      </c>
      <c r="D26447" t="s">
        <v>855</v>
      </c>
      <c r="E26447" t="s">
        <v>213</v>
      </c>
      <c r="F26447" s="2" t="str">
        <f>HYPERLINK("http://www.otzar.org/book.asp?6140","משלי יעקב - 2 כר'")</f>
        <v>משלי יעקב - 2 כר'</v>
      </c>
    </row>
    <row r="26448" spans="1:6" x14ac:dyDescent="0.2">
      <c r="A26448" t="s">
        <v>42049</v>
      </c>
      <c r="B26448" t="s">
        <v>42050</v>
      </c>
      <c r="C26448" t="s">
        <v>180</v>
      </c>
      <c r="D26448" t="s">
        <v>10373</v>
      </c>
      <c r="E26448" t="s">
        <v>104</v>
      </c>
      <c r="F26448" s="2" t="str">
        <f>HYPERLINK("http://www.otzar.org/book.asp?604320","משלי ישראל ואומות העולם - א")</f>
        <v>משלי ישראל ואומות העולם - א</v>
      </c>
    </row>
    <row r="26449" spans="1:6" x14ac:dyDescent="0.2">
      <c r="A26449" t="s">
        <v>42051</v>
      </c>
      <c r="B26449" t="s">
        <v>6080</v>
      </c>
      <c r="C26449" t="s">
        <v>20</v>
      </c>
      <c r="D26449" t="s">
        <v>14</v>
      </c>
      <c r="E26449" t="s">
        <v>158</v>
      </c>
      <c r="F26449" s="2" t="str">
        <f>HYPERLINK("http://www.otzar.org/book.asp?188489","משלי ע""פ שפתי דעת")</f>
        <v>משלי ע"פ שפתי דעת</v>
      </c>
    </row>
    <row r="26450" spans="1:6" x14ac:dyDescent="0.2">
      <c r="A26450" t="s">
        <v>42052</v>
      </c>
      <c r="B26450" t="s">
        <v>42053</v>
      </c>
      <c r="C26450" t="s">
        <v>698</v>
      </c>
      <c r="D26450" t="s">
        <v>9</v>
      </c>
      <c r="E26450" t="s">
        <v>104</v>
      </c>
      <c r="F26450" s="2" t="str">
        <f>HYPERLINK("http://www.otzar.org/book.asp?51243","משלי עין בן משק")</f>
        <v>משלי עין בן משק</v>
      </c>
    </row>
    <row r="26451" spans="1:6" x14ac:dyDescent="0.2">
      <c r="A26451" t="s">
        <v>42054</v>
      </c>
      <c r="B26451" t="s">
        <v>5564</v>
      </c>
      <c r="C26451" t="s">
        <v>422</v>
      </c>
      <c r="D26451" t="s">
        <v>147</v>
      </c>
      <c r="E26451" t="s">
        <v>158</v>
      </c>
      <c r="F26451" s="2" t="str">
        <f>HYPERLINK("http://www.otzar.org/book.asp?159434","משלי עם פירוש דרך השלימות")</f>
        <v>משלי עם פירוש דרך השלימות</v>
      </c>
    </row>
    <row r="26452" spans="1:6" x14ac:dyDescent="0.2">
      <c r="A26452" t="s">
        <v>42055</v>
      </c>
      <c r="B26452" t="s">
        <v>42056</v>
      </c>
      <c r="C26452" t="s">
        <v>42057</v>
      </c>
      <c r="D26452" t="s">
        <v>42058</v>
      </c>
      <c r="F26452" s="2" t="str">
        <f>HYPERLINK("http://www.otzar.org/book.asp?621340","משלי עם פירוש עמנואל הרומי")</f>
        <v>משלי עם פירוש עמנואל הרומי</v>
      </c>
    </row>
    <row r="26453" spans="1:6" x14ac:dyDescent="0.2">
      <c r="A26453" t="s">
        <v>42059</v>
      </c>
      <c r="B26453" t="s">
        <v>42060</v>
      </c>
      <c r="C26453" t="s">
        <v>20850</v>
      </c>
      <c r="D26453" t="s">
        <v>30379</v>
      </c>
      <c r="F26453" s="2" t="str">
        <f>HYPERLINK("http://www.otzar.org/book.asp?53454","משלי עם פירוש קב ונקי")</f>
        <v>משלי עם פירוש קב ונקי</v>
      </c>
    </row>
    <row r="26454" spans="1:6" x14ac:dyDescent="0.2">
      <c r="A26454" t="s">
        <v>42061</v>
      </c>
      <c r="B26454" t="s">
        <v>4840</v>
      </c>
      <c r="C26454" t="s">
        <v>124</v>
      </c>
      <c r="D26454" t="s">
        <v>14</v>
      </c>
      <c r="E26454" t="s">
        <v>2135</v>
      </c>
      <c r="F26454" s="2" t="str">
        <f>HYPERLINK("http://www.otzar.org/book.asp?149875","משלי עם תרגום ופירוש רס""ג")</f>
        <v>משלי עם תרגום ופירוש רס"ג</v>
      </c>
    </row>
    <row r="26455" spans="1:6" x14ac:dyDescent="0.2">
      <c r="A26455" t="s">
        <v>42062</v>
      </c>
      <c r="B26455" t="s">
        <v>12648</v>
      </c>
      <c r="C26455" t="s">
        <v>151</v>
      </c>
      <c r="D26455" t="s">
        <v>14</v>
      </c>
      <c r="E26455" t="s">
        <v>1776</v>
      </c>
      <c r="F26455" s="2" t="str">
        <f>HYPERLINK("http://www.otzar.org/book.asp?611439","משלי פנחס")</f>
        <v>משלי פנחס</v>
      </c>
    </row>
    <row r="26456" spans="1:6" x14ac:dyDescent="0.2">
      <c r="A26456" t="s">
        <v>42063</v>
      </c>
      <c r="B26456" t="s">
        <v>42064</v>
      </c>
      <c r="C26456" t="s">
        <v>1650</v>
      </c>
      <c r="D26456" t="s">
        <v>1541</v>
      </c>
      <c r="E26456" t="s">
        <v>104</v>
      </c>
      <c r="F26456" s="2" t="str">
        <f>HYPERLINK("http://www.otzar.org/book.asp?101368","משלי שועלים - 4 כר'")</f>
        <v>משלי שועלים - 4 כר'</v>
      </c>
    </row>
    <row r="26457" spans="1:6" x14ac:dyDescent="0.2">
      <c r="A26457" t="s">
        <v>42065</v>
      </c>
      <c r="B26457" t="s">
        <v>40635</v>
      </c>
      <c r="C26457" t="s">
        <v>362</v>
      </c>
      <c r="D26457" t="s">
        <v>283</v>
      </c>
      <c r="E26457" t="s">
        <v>957</v>
      </c>
      <c r="F26457" s="2" t="str">
        <f>HYPERLINK("http://www.otzar.org/book.asp?17051","משלי שלמה")</f>
        <v>משלי שלמה</v>
      </c>
    </row>
    <row r="26458" spans="1:6" x14ac:dyDescent="0.2">
      <c r="A26458" t="s">
        <v>42066</v>
      </c>
      <c r="B26458" t="s">
        <v>1791</v>
      </c>
      <c r="C26458" t="s">
        <v>466</v>
      </c>
      <c r="D26458" t="s">
        <v>14</v>
      </c>
      <c r="E26458" t="s">
        <v>579</v>
      </c>
      <c r="F26458" s="2" t="str">
        <f>HYPERLINK("http://www.otzar.org/book.asp?106022","משלי תרי עשר &lt;קדושת התורה ודקדוקה&gt;")</f>
        <v>משלי תרי עשר &lt;קדושת התורה ודקדוקה&gt;</v>
      </c>
    </row>
    <row r="26459" spans="1:6" x14ac:dyDescent="0.2">
      <c r="A26459" t="s">
        <v>42067</v>
      </c>
      <c r="B26459" t="s">
        <v>15380</v>
      </c>
      <c r="C26459" t="s">
        <v>943</v>
      </c>
      <c r="D26459" t="s">
        <v>164</v>
      </c>
      <c r="E26459" t="s">
        <v>957</v>
      </c>
      <c r="F26459" s="2" t="str">
        <f>HYPERLINK("http://www.otzar.org/book.asp?102559","משלי - עם באור חדשים גם ישנים")</f>
        <v>משלי - עם באור חדשים גם ישנים</v>
      </c>
    </row>
    <row r="26460" spans="1:6" x14ac:dyDescent="0.2">
      <c r="A26460" t="s">
        <v>42068</v>
      </c>
      <c r="B26460" t="s">
        <v>40212</v>
      </c>
      <c r="C26460" t="s">
        <v>244</v>
      </c>
      <c r="D26460" t="s">
        <v>21</v>
      </c>
      <c r="E26460" t="s">
        <v>104</v>
      </c>
      <c r="F26460" s="2" t="str">
        <f>HYPERLINK("http://www.otzar.org/book.asp?602678","משמ""ר התורה")</f>
        <v>משמ"ר התורה</v>
      </c>
    </row>
    <row r="26461" spans="1:6" x14ac:dyDescent="0.2">
      <c r="A26461" t="s">
        <v>42069</v>
      </c>
      <c r="B26461" t="s">
        <v>42070</v>
      </c>
      <c r="C26461" t="s">
        <v>68</v>
      </c>
      <c r="D26461" t="s">
        <v>486</v>
      </c>
      <c r="E26461" t="s">
        <v>1185</v>
      </c>
      <c r="F26461" s="2" t="str">
        <f>HYPERLINK("http://www.otzar.org/book.asp?154420","משמח ציון")</f>
        <v>משמח ציון</v>
      </c>
    </row>
    <row r="26462" spans="1:6" x14ac:dyDescent="0.2">
      <c r="A26462" t="s">
        <v>42071</v>
      </c>
      <c r="B26462" t="s">
        <v>40917</v>
      </c>
      <c r="C26462" t="s">
        <v>23</v>
      </c>
      <c r="D26462" t="s">
        <v>14</v>
      </c>
      <c r="E26462" t="s">
        <v>803</v>
      </c>
      <c r="F26462" s="2" t="str">
        <f>HYPERLINK("http://www.otzar.org/book.asp?601003","משמח ציון - כתובות")</f>
        <v>משמח ציון - כתובות</v>
      </c>
    </row>
    <row r="26463" spans="1:6" x14ac:dyDescent="0.2">
      <c r="A26463" t="s">
        <v>42072</v>
      </c>
      <c r="B26463" t="s">
        <v>42073</v>
      </c>
      <c r="C26463" t="s">
        <v>20</v>
      </c>
      <c r="D26463" t="s">
        <v>52</v>
      </c>
      <c r="F26463" s="2" t="str">
        <f>HYPERLINK("http://www.otzar.org/book.asp?615683","משמחי לב &lt;קובץ&gt; - 2 כר'")</f>
        <v>משמחי לב &lt;קובץ&gt; - 2 כר'</v>
      </c>
    </row>
    <row r="26464" spans="1:6" x14ac:dyDescent="0.2">
      <c r="A26464" t="s">
        <v>42074</v>
      </c>
      <c r="B26464" t="s">
        <v>42075</v>
      </c>
      <c r="C26464" t="s">
        <v>15870</v>
      </c>
      <c r="D26464" t="s">
        <v>1023</v>
      </c>
      <c r="E26464" t="s">
        <v>241</v>
      </c>
      <c r="F26464" s="2" t="str">
        <f>HYPERLINK("http://www.otzar.org/book.asp?147284","משמחי לב &lt;מראה מוסר&gt;")</f>
        <v>משמחי לב &lt;מראה מוסר&gt;</v>
      </c>
    </row>
    <row r="26465" spans="1:6" x14ac:dyDescent="0.2">
      <c r="A26465" t="s">
        <v>42076</v>
      </c>
      <c r="B26465" t="s">
        <v>37330</v>
      </c>
      <c r="C26465" t="s">
        <v>419</v>
      </c>
      <c r="D26465" t="s">
        <v>14</v>
      </c>
      <c r="E26465" t="s">
        <v>2143</v>
      </c>
      <c r="F26465" s="2" t="str">
        <f>HYPERLINK("http://www.otzar.org/book.asp?177160","משמחי לב")</f>
        <v>משמחי לב</v>
      </c>
    </row>
    <row r="26466" spans="1:6" x14ac:dyDescent="0.2">
      <c r="A26466" t="s">
        <v>42076</v>
      </c>
      <c r="B26466" t="s">
        <v>686</v>
      </c>
      <c r="C26466" t="s">
        <v>17</v>
      </c>
      <c r="D26466" t="s">
        <v>52</v>
      </c>
      <c r="E26466" t="s">
        <v>674</v>
      </c>
      <c r="F26466" s="2" t="str">
        <f>HYPERLINK("http://www.otzar.org/book.asp?189265","משמחי לב")</f>
        <v>משמחי לב</v>
      </c>
    </row>
    <row r="26467" spans="1:6" x14ac:dyDescent="0.2">
      <c r="A26467" t="s">
        <v>42076</v>
      </c>
      <c r="B26467" t="s">
        <v>4398</v>
      </c>
      <c r="C26467" t="s">
        <v>383</v>
      </c>
      <c r="D26467" t="s">
        <v>216</v>
      </c>
      <c r="E26467" t="s">
        <v>104</v>
      </c>
      <c r="F26467" s="2" t="str">
        <f>HYPERLINK("http://www.otzar.org/book.asp?148456","משמחי לב")</f>
        <v>משמחי לב</v>
      </c>
    </row>
    <row r="26468" spans="1:6" x14ac:dyDescent="0.2">
      <c r="A26468" t="s">
        <v>42077</v>
      </c>
      <c r="B26468" t="s">
        <v>4402</v>
      </c>
      <c r="C26468" t="s">
        <v>17</v>
      </c>
      <c r="D26468" t="s">
        <v>52</v>
      </c>
      <c r="E26468" t="s">
        <v>104</v>
      </c>
      <c r="F26468" s="2" t="str">
        <f>HYPERLINK("http://www.otzar.org/book.asp?166986","משמחי לב  -  תלמוד תורה")</f>
        <v>משמחי לב  -  תלמוד תורה</v>
      </c>
    </row>
    <row r="26469" spans="1:6" x14ac:dyDescent="0.2">
      <c r="A26469" t="s">
        <v>42076</v>
      </c>
      <c r="B26469" t="s">
        <v>5070</v>
      </c>
      <c r="C26469" t="s">
        <v>454</v>
      </c>
      <c r="D26469" t="s">
        <v>657</v>
      </c>
      <c r="E26469" t="s">
        <v>158</v>
      </c>
      <c r="F26469" s="2" t="str">
        <f>HYPERLINK("http://www.otzar.org/book.asp?152582","משמחי לב")</f>
        <v>משמחי לב</v>
      </c>
    </row>
    <row r="26470" spans="1:6" x14ac:dyDescent="0.2">
      <c r="A26470" t="s">
        <v>42078</v>
      </c>
      <c r="B26470" t="s">
        <v>42079</v>
      </c>
      <c r="C26470" t="s">
        <v>383</v>
      </c>
      <c r="D26470" t="s">
        <v>14</v>
      </c>
      <c r="F26470" s="2" t="str">
        <f>HYPERLINK("http://www.otzar.org/book.asp?609619","משמחי לב - 2 כר'")</f>
        <v>משמחי לב - 2 כר'</v>
      </c>
    </row>
    <row r="26471" spans="1:6" x14ac:dyDescent="0.2">
      <c r="A26471" t="s">
        <v>42076</v>
      </c>
      <c r="B26471" t="s">
        <v>3292</v>
      </c>
      <c r="C26471" t="s">
        <v>946</v>
      </c>
      <c r="D26471" t="s">
        <v>14037</v>
      </c>
      <c r="E26471" t="s">
        <v>234</v>
      </c>
      <c r="F26471" s="2" t="str">
        <f>HYPERLINK("http://www.otzar.org/book.asp?51678","משמחי לב")</f>
        <v>משמחי לב</v>
      </c>
    </row>
    <row r="26472" spans="1:6" x14ac:dyDescent="0.2">
      <c r="A26472" t="s">
        <v>42076</v>
      </c>
      <c r="B26472" t="s">
        <v>42080</v>
      </c>
      <c r="C26472" t="s">
        <v>496</v>
      </c>
      <c r="D26472" t="s">
        <v>267</v>
      </c>
      <c r="E26472" t="s">
        <v>140</v>
      </c>
      <c r="F26472" s="2" t="str">
        <f>HYPERLINK("http://www.otzar.org/book.asp?16498","משמחי לב")</f>
        <v>משמחי לב</v>
      </c>
    </row>
    <row r="26473" spans="1:6" x14ac:dyDescent="0.2">
      <c r="A26473" t="s">
        <v>42076</v>
      </c>
      <c r="B26473" t="s">
        <v>24057</v>
      </c>
      <c r="C26473" t="s">
        <v>68</v>
      </c>
      <c r="D26473" t="s">
        <v>423</v>
      </c>
      <c r="E26473" t="s">
        <v>1174</v>
      </c>
      <c r="F26473" s="2" t="str">
        <f>HYPERLINK("http://www.otzar.org/book.asp?162395","משמחי לב")</f>
        <v>משמחי לב</v>
      </c>
    </row>
    <row r="26474" spans="1:6" x14ac:dyDescent="0.2">
      <c r="A26474" t="s">
        <v>42076</v>
      </c>
      <c r="B26474" t="s">
        <v>1091</v>
      </c>
      <c r="C26474" t="s">
        <v>411</v>
      </c>
      <c r="D26474" t="s">
        <v>21</v>
      </c>
      <c r="E26474" t="s">
        <v>104</v>
      </c>
      <c r="F26474" s="2" t="str">
        <f>HYPERLINK("http://www.otzar.org/book.asp?605668","משמחי לב")</f>
        <v>משמחי לב</v>
      </c>
    </row>
    <row r="26475" spans="1:6" x14ac:dyDescent="0.2">
      <c r="A26475" t="s">
        <v>42076</v>
      </c>
      <c r="B26475" t="s">
        <v>255</v>
      </c>
      <c r="C26475" t="s">
        <v>189</v>
      </c>
      <c r="D26475" t="s">
        <v>14</v>
      </c>
      <c r="E26475" t="s">
        <v>144</v>
      </c>
      <c r="F26475" s="2" t="str">
        <f>HYPERLINK("http://www.otzar.org/book.asp?152675","משמחי לב")</f>
        <v>משמחי לב</v>
      </c>
    </row>
    <row r="26476" spans="1:6" x14ac:dyDescent="0.2">
      <c r="A26476" t="s">
        <v>42081</v>
      </c>
      <c r="B26476" t="s">
        <v>4694</v>
      </c>
      <c r="C26476" t="s">
        <v>411</v>
      </c>
      <c r="D26476" t="s">
        <v>2201</v>
      </c>
      <c r="E26476" t="s">
        <v>202</v>
      </c>
      <c r="F26476" s="2" t="str">
        <f>HYPERLINK("http://www.otzar.org/book.asp?198217","משמי אש")</f>
        <v>משמי אש</v>
      </c>
    </row>
    <row r="26477" spans="1:6" x14ac:dyDescent="0.2">
      <c r="A26477" t="s">
        <v>42082</v>
      </c>
      <c r="B26477" t="s">
        <v>17467</v>
      </c>
      <c r="C26477" t="s">
        <v>37</v>
      </c>
      <c r="D26477" t="s">
        <v>52</v>
      </c>
      <c r="F26477" s="2" t="str">
        <f>HYPERLINK("http://www.otzar.org/book.asp?609061","משמיע ישועה &lt;מהדורה חדשה&gt;")</f>
        <v>משמיע ישועה &lt;מהדורה חדשה&gt;</v>
      </c>
    </row>
    <row r="26478" spans="1:6" x14ac:dyDescent="0.2">
      <c r="A26478" t="s">
        <v>42083</v>
      </c>
      <c r="B26478" t="s">
        <v>17467</v>
      </c>
      <c r="C26478" t="s">
        <v>28837</v>
      </c>
      <c r="D26478" t="s">
        <v>76</v>
      </c>
      <c r="F26478" s="2" t="str">
        <f>HYPERLINK("http://www.otzar.org/book.asp?618726","משמיע ישועה - 4 כר'")</f>
        <v>משמיע ישועה - 4 כר'</v>
      </c>
    </row>
    <row r="26479" spans="1:6" x14ac:dyDescent="0.2">
      <c r="A26479" t="s">
        <v>42084</v>
      </c>
      <c r="B26479" t="s">
        <v>18638</v>
      </c>
      <c r="C26479" t="s">
        <v>442</v>
      </c>
      <c r="D26479" t="s">
        <v>974</v>
      </c>
      <c r="E26479" t="s">
        <v>234</v>
      </c>
      <c r="F26479" s="2" t="str">
        <f>HYPERLINK("http://www.otzar.org/book.asp?161497","משמיע ישועה")</f>
        <v>משמיע ישועה</v>
      </c>
    </row>
    <row r="26480" spans="1:6" x14ac:dyDescent="0.2">
      <c r="A26480" t="s">
        <v>42084</v>
      </c>
      <c r="B26480" t="s">
        <v>14446</v>
      </c>
      <c r="C26480" t="s">
        <v>1246</v>
      </c>
      <c r="D26480" t="s">
        <v>14</v>
      </c>
      <c r="E26480" t="s">
        <v>104</v>
      </c>
      <c r="F26480" s="2" t="str">
        <f>HYPERLINK("http://www.otzar.org/book.asp?610923","משמיע ישועה")</f>
        <v>משמיע ישועה</v>
      </c>
    </row>
    <row r="26481" spans="1:6" x14ac:dyDescent="0.2">
      <c r="A26481" t="s">
        <v>42085</v>
      </c>
      <c r="B26481" t="s">
        <v>4194</v>
      </c>
      <c r="C26481" t="s">
        <v>1718</v>
      </c>
      <c r="D26481" t="s">
        <v>27</v>
      </c>
      <c r="E26481" t="s">
        <v>1262</v>
      </c>
      <c r="F26481" s="2" t="str">
        <f>HYPERLINK("http://www.otzar.org/book.asp?101370","משמיע ישועות - א")</f>
        <v>משמיע ישועות - א</v>
      </c>
    </row>
    <row r="26482" spans="1:6" x14ac:dyDescent="0.2">
      <c r="A26482" t="s">
        <v>42086</v>
      </c>
      <c r="B26482" t="s">
        <v>8100</v>
      </c>
      <c r="C26482" t="s">
        <v>37</v>
      </c>
      <c r="D26482" t="s">
        <v>20</v>
      </c>
      <c r="E26482" t="s">
        <v>158</v>
      </c>
      <c r="F26482" s="2" t="str">
        <f>HYPERLINK("http://www.otzar.org/book.asp?181946","משמיע שלום &lt;תמצית נתיבות שלום&gt; - 5 כר'")</f>
        <v>משמיע שלום &lt;תמצית נתיבות שלום&gt; - 5 כר'</v>
      </c>
    </row>
    <row r="26483" spans="1:6" x14ac:dyDescent="0.2">
      <c r="A26483" t="s">
        <v>42087</v>
      </c>
      <c r="B26483" t="s">
        <v>42088</v>
      </c>
      <c r="C26483" t="s">
        <v>919</v>
      </c>
      <c r="D26483" t="s">
        <v>412</v>
      </c>
      <c r="E26483" t="s">
        <v>154</v>
      </c>
      <c r="F26483" s="2" t="str">
        <f>HYPERLINK("http://www.otzar.org/book.asp?23811","משמיע שלום")</f>
        <v>משמיע שלום</v>
      </c>
    </row>
    <row r="26484" spans="1:6" x14ac:dyDescent="0.2">
      <c r="A26484" t="s">
        <v>42089</v>
      </c>
      <c r="B26484" t="s">
        <v>42090</v>
      </c>
      <c r="C26484" t="s">
        <v>1811</v>
      </c>
      <c r="D26484" t="s">
        <v>52</v>
      </c>
      <c r="E26484" t="s">
        <v>28642</v>
      </c>
      <c r="F26484" s="2" t="str">
        <f>HYPERLINK("http://www.otzar.org/book.asp?200240","משמיע שלום - 5 כר'")</f>
        <v>משמיע שלום - 5 כר'</v>
      </c>
    </row>
    <row r="26485" spans="1:6" x14ac:dyDescent="0.2">
      <c r="A26485" t="s">
        <v>42091</v>
      </c>
      <c r="B26485" t="s">
        <v>6076</v>
      </c>
      <c r="C26485" t="s">
        <v>427</v>
      </c>
      <c r="D26485" t="s">
        <v>14</v>
      </c>
      <c r="E26485" t="s">
        <v>140</v>
      </c>
      <c r="F26485" s="2" t="str">
        <f>HYPERLINK("http://www.otzar.org/book.asp?7296","משמיע שלום - א")</f>
        <v>משמיע שלום - א</v>
      </c>
    </row>
    <row r="26486" spans="1:6" x14ac:dyDescent="0.2">
      <c r="A26486" t="s">
        <v>42087</v>
      </c>
      <c r="B26486" t="s">
        <v>5519</v>
      </c>
      <c r="C26486" t="s">
        <v>2543</v>
      </c>
      <c r="D26486" t="s">
        <v>283</v>
      </c>
      <c r="E26486" t="s">
        <v>241</v>
      </c>
      <c r="F26486" s="2" t="str">
        <f>HYPERLINK("http://www.otzar.org/book.asp?20295","משמיע שלום")</f>
        <v>משמיע שלום</v>
      </c>
    </row>
    <row r="26487" spans="1:6" x14ac:dyDescent="0.2">
      <c r="A26487" t="s">
        <v>42092</v>
      </c>
      <c r="B26487" t="s">
        <v>265</v>
      </c>
      <c r="C26487" t="s">
        <v>550</v>
      </c>
      <c r="D26487" t="s">
        <v>31460</v>
      </c>
      <c r="E26487" t="s">
        <v>246</v>
      </c>
      <c r="F26487" s="2" t="str">
        <f>HYPERLINK("http://www.otzar.org/book.asp?189583","משמיעי ישועה &lt;על הגדה של פסח&gt;")</f>
        <v>משמיעי ישועה &lt;על הגדה של פסח&gt;</v>
      </c>
    </row>
    <row r="26488" spans="1:6" x14ac:dyDescent="0.2">
      <c r="A26488" t="s">
        <v>42093</v>
      </c>
      <c r="B26488" t="s">
        <v>42094</v>
      </c>
      <c r="C26488" t="s">
        <v>114</v>
      </c>
      <c r="D26488" t="s">
        <v>134</v>
      </c>
      <c r="E26488" t="s">
        <v>144</v>
      </c>
      <c r="F26488" s="2" t="str">
        <f>HYPERLINK("http://www.otzar.org/book.asp?163967","משמני הארץ - 3 כר'")</f>
        <v>משמני הארץ - 3 כר'</v>
      </c>
    </row>
    <row r="26489" spans="1:6" x14ac:dyDescent="0.2">
      <c r="A26489" t="s">
        <v>42095</v>
      </c>
      <c r="B26489" t="s">
        <v>42096</v>
      </c>
      <c r="C26489" t="s">
        <v>23</v>
      </c>
      <c r="D26489" t="s">
        <v>52</v>
      </c>
      <c r="E26489" t="s">
        <v>15</v>
      </c>
      <c r="F26489" s="2" t="str">
        <f>HYPERLINK("http://www.otzar.org/book.asp?191698","משמני הארץ")</f>
        <v>משמני הארץ</v>
      </c>
    </row>
    <row r="26490" spans="1:6" x14ac:dyDescent="0.2">
      <c r="A26490" t="s">
        <v>42097</v>
      </c>
      <c r="B26490" t="s">
        <v>107</v>
      </c>
      <c r="C26490" t="s">
        <v>151</v>
      </c>
      <c r="D26490" t="s">
        <v>14</v>
      </c>
      <c r="E26490" t="s">
        <v>246</v>
      </c>
      <c r="F26490" s="2" t="str">
        <f>HYPERLINK("http://www.otzar.org/book.asp?622155","משמעות חג הסוכות")</f>
        <v>משמעות חג הסוכות</v>
      </c>
    </row>
    <row r="26491" spans="1:6" x14ac:dyDescent="0.2">
      <c r="A26491" t="s">
        <v>42098</v>
      </c>
      <c r="B26491" t="s">
        <v>5634</v>
      </c>
      <c r="C26491" t="s">
        <v>13</v>
      </c>
      <c r="D26491" t="s">
        <v>52</v>
      </c>
      <c r="E26491" t="s">
        <v>158</v>
      </c>
      <c r="F26491" s="2" t="str">
        <f>HYPERLINK("http://www.otzar.org/book.asp?145328","משמר הלוי על התורה")</f>
        <v>משמר הלוי על התורה</v>
      </c>
    </row>
    <row r="26492" spans="1:6" x14ac:dyDescent="0.2">
      <c r="A26492" t="s">
        <v>42099</v>
      </c>
      <c r="B26492" t="s">
        <v>5634</v>
      </c>
      <c r="C26492" t="s">
        <v>422</v>
      </c>
      <c r="D26492" t="s">
        <v>52</v>
      </c>
      <c r="E26492" t="s">
        <v>144</v>
      </c>
      <c r="F26492" s="2" t="str">
        <f>HYPERLINK("http://www.otzar.org/book.asp?85127","משמר הלוי - 16 כר'")</f>
        <v>משמר הלוי - 16 כר'</v>
      </c>
    </row>
    <row r="26493" spans="1:6" x14ac:dyDescent="0.2">
      <c r="A26493" t="s">
        <v>42100</v>
      </c>
      <c r="B26493" t="s">
        <v>5634</v>
      </c>
      <c r="C26493" t="s">
        <v>533</v>
      </c>
      <c r="D26493" t="s">
        <v>52</v>
      </c>
      <c r="E26493" t="s">
        <v>144</v>
      </c>
      <c r="F26493" s="2" t="str">
        <f>HYPERLINK("http://www.otzar.org/book.asp?106737","משמר הלויים - 2 כר'")</f>
        <v>משמר הלויים - 2 כר'</v>
      </c>
    </row>
    <row r="26494" spans="1:6" x14ac:dyDescent="0.2">
      <c r="A26494" t="s">
        <v>42101</v>
      </c>
      <c r="B26494" t="s">
        <v>5634</v>
      </c>
      <c r="C26494" t="s">
        <v>454</v>
      </c>
      <c r="D26494" t="s">
        <v>52</v>
      </c>
      <c r="E26494" t="s">
        <v>42102</v>
      </c>
      <c r="F26494" s="2" t="str">
        <f>HYPERLINK("http://www.otzar.org/book.asp?106745","משמר הרש""ם")</f>
        <v>משמר הרש"ם</v>
      </c>
    </row>
    <row r="26495" spans="1:6" x14ac:dyDescent="0.2">
      <c r="A26495" t="s">
        <v>42103</v>
      </c>
      <c r="B26495" t="s">
        <v>42104</v>
      </c>
      <c r="C26495" t="s">
        <v>4462</v>
      </c>
      <c r="D26495" t="s">
        <v>1023</v>
      </c>
      <c r="E26495" t="s">
        <v>1211</v>
      </c>
      <c r="F26495" s="2" t="str">
        <f>HYPERLINK("http://www.otzar.org/book.asp?104541","משמרות כהונה")</f>
        <v>משמרות כהונה</v>
      </c>
    </row>
    <row r="26496" spans="1:6" x14ac:dyDescent="0.2">
      <c r="A26496" t="s">
        <v>42105</v>
      </c>
      <c r="B26496" t="s">
        <v>31313</v>
      </c>
      <c r="C26496" t="s">
        <v>75</v>
      </c>
      <c r="D26496" t="s">
        <v>212</v>
      </c>
      <c r="E26496" t="s">
        <v>144</v>
      </c>
      <c r="F26496" s="2" t="str">
        <f>HYPERLINK("http://www.otzar.org/book.asp?618493","משמרות כהונה - 8 כר'")</f>
        <v>משמרות כהונה - 8 כר'</v>
      </c>
    </row>
    <row r="26497" spans="1:6" x14ac:dyDescent="0.2">
      <c r="A26497" t="s">
        <v>42106</v>
      </c>
      <c r="B26497" t="s">
        <v>42107</v>
      </c>
      <c r="C26497" t="s">
        <v>160</v>
      </c>
      <c r="D26497" t="s">
        <v>657</v>
      </c>
      <c r="E26497" t="s">
        <v>15</v>
      </c>
      <c r="F26497" s="2" t="str">
        <f>HYPERLINK("http://www.otzar.org/book.asp?60195","משמרת איש")</f>
        <v>משמרת איש</v>
      </c>
    </row>
    <row r="26498" spans="1:6" x14ac:dyDescent="0.2">
      <c r="A26498" t="s">
        <v>42108</v>
      </c>
      <c r="B26498" t="s">
        <v>42109</v>
      </c>
      <c r="C26498" t="s">
        <v>189</v>
      </c>
      <c r="D26498" t="s">
        <v>14</v>
      </c>
      <c r="E26498" t="s">
        <v>158</v>
      </c>
      <c r="F26498" s="2" t="str">
        <f>HYPERLINK("http://www.otzar.org/book.asp?172355","משמרת איתמר &lt;מהדורה חדשה&gt; - 2 כר'")</f>
        <v>משמרת איתמר &lt;מהדורה חדשה&gt; - 2 כר'</v>
      </c>
    </row>
    <row r="26499" spans="1:6" x14ac:dyDescent="0.2">
      <c r="A26499" t="s">
        <v>42110</v>
      </c>
      <c r="B26499" t="s">
        <v>42109</v>
      </c>
      <c r="C26499" t="s">
        <v>600</v>
      </c>
      <c r="D26499" t="s">
        <v>283</v>
      </c>
      <c r="E26499" t="s">
        <v>1185</v>
      </c>
      <c r="F26499" s="2" t="str">
        <f>HYPERLINK("http://www.otzar.org/book.asp?101371","משמרת איתמר")</f>
        <v>משמרת איתמר</v>
      </c>
    </row>
    <row r="26500" spans="1:6" x14ac:dyDescent="0.2">
      <c r="A26500" t="s">
        <v>42111</v>
      </c>
      <c r="B26500" t="s">
        <v>98</v>
      </c>
      <c r="C26500" t="s">
        <v>748</v>
      </c>
      <c r="D26500" t="s">
        <v>379</v>
      </c>
      <c r="E26500" t="s">
        <v>165</v>
      </c>
      <c r="F26500" s="2" t="str">
        <f>HYPERLINK("http://www.otzar.org/book.asp?169806","משמרת אלעזר - 2 כר'")</f>
        <v>משמרת אלעזר - 2 כר'</v>
      </c>
    </row>
    <row r="26501" spans="1:6" x14ac:dyDescent="0.2">
      <c r="A26501" t="s">
        <v>42112</v>
      </c>
      <c r="B26501" t="s">
        <v>8618</v>
      </c>
      <c r="C26501" t="s">
        <v>1718</v>
      </c>
      <c r="D26501" t="s">
        <v>379</v>
      </c>
      <c r="E26501" t="s">
        <v>579</v>
      </c>
      <c r="F26501" s="2" t="str">
        <f>HYPERLINK("http://www.otzar.org/book.asp?155738","משמרת אלעזר")</f>
        <v>משמרת אלעזר</v>
      </c>
    </row>
    <row r="26502" spans="1:6" x14ac:dyDescent="0.2">
      <c r="A26502" t="s">
        <v>42113</v>
      </c>
      <c r="B26502" t="s">
        <v>42114</v>
      </c>
      <c r="C26502" t="s">
        <v>176</v>
      </c>
      <c r="D26502" t="s">
        <v>21</v>
      </c>
      <c r="E26502" t="s">
        <v>467</v>
      </c>
      <c r="F26502" s="2" t="str">
        <f>HYPERLINK("http://www.otzar.org/book.asp?190162","משמרת אריאל - 3 כר'")</f>
        <v>משמרת אריאל - 3 כר'</v>
      </c>
    </row>
    <row r="26503" spans="1:6" x14ac:dyDescent="0.2">
      <c r="A26503" t="s">
        <v>42115</v>
      </c>
      <c r="B26503" t="s">
        <v>42116</v>
      </c>
      <c r="C26503" t="s">
        <v>176</v>
      </c>
      <c r="D26503" t="s">
        <v>52</v>
      </c>
      <c r="E26503" t="s">
        <v>144</v>
      </c>
      <c r="F26503" s="2" t="str">
        <f>HYPERLINK("http://www.otzar.org/book.asp?22750","משמרת גיטין")</f>
        <v>משמרת גיטין</v>
      </c>
    </row>
    <row r="26504" spans="1:6" x14ac:dyDescent="0.2">
      <c r="A26504" t="s">
        <v>42117</v>
      </c>
      <c r="B26504" t="s">
        <v>11311</v>
      </c>
      <c r="C26504" t="s">
        <v>313</v>
      </c>
      <c r="D26504" t="s">
        <v>14</v>
      </c>
      <c r="E26504" t="s">
        <v>658</v>
      </c>
      <c r="F26504" s="2" t="str">
        <f>HYPERLINK("http://www.otzar.org/book.asp?22517","משמרת האורים")</f>
        <v>משמרת האורים</v>
      </c>
    </row>
    <row r="26505" spans="1:6" x14ac:dyDescent="0.2">
      <c r="A26505" t="s">
        <v>42118</v>
      </c>
      <c r="B26505" t="s">
        <v>42119</v>
      </c>
      <c r="C26505" t="s">
        <v>10572</v>
      </c>
      <c r="D26505" t="s">
        <v>744</v>
      </c>
      <c r="E26505" t="s">
        <v>241</v>
      </c>
      <c r="F26505" s="2" t="str">
        <f>HYPERLINK("http://www.otzar.org/book.asp?148154","משמרת הבית")</f>
        <v>משמרת הבית</v>
      </c>
    </row>
    <row r="26506" spans="1:6" x14ac:dyDescent="0.2">
      <c r="A26506" t="s">
        <v>42120</v>
      </c>
      <c r="B26506" t="s">
        <v>17431</v>
      </c>
      <c r="C26506" t="s">
        <v>185</v>
      </c>
      <c r="D26506" t="s">
        <v>152</v>
      </c>
      <c r="F26506" s="2" t="str">
        <f>HYPERLINK("http://www.otzar.org/book.asp?631227","משמרת הבית - 2 כר'")</f>
        <v>משמרת הבית - 2 כר'</v>
      </c>
    </row>
    <row r="26507" spans="1:6" x14ac:dyDescent="0.2">
      <c r="A26507" t="s">
        <v>42121</v>
      </c>
      <c r="B26507" t="s">
        <v>12033</v>
      </c>
      <c r="C26507" t="s">
        <v>321</v>
      </c>
      <c r="D26507" t="s">
        <v>27</v>
      </c>
      <c r="E26507" t="s">
        <v>241</v>
      </c>
      <c r="F26507" s="2" t="str">
        <f>HYPERLINK("http://www.otzar.org/book.asp?25064","משמרת הברית")</f>
        <v>משמרת הברית</v>
      </c>
    </row>
    <row r="26508" spans="1:6" x14ac:dyDescent="0.2">
      <c r="A26508" t="s">
        <v>42122</v>
      </c>
      <c r="B26508" t="s">
        <v>42123</v>
      </c>
      <c r="C26508" t="s">
        <v>151</v>
      </c>
      <c r="D26508" t="s">
        <v>152</v>
      </c>
      <c r="E26508" t="s">
        <v>674</v>
      </c>
      <c r="F26508" s="2" t="str">
        <f>HYPERLINK("http://www.otzar.org/book.asp?627029","משמרת הזמנים")</f>
        <v>משמרת הזמנים</v>
      </c>
    </row>
    <row r="26509" spans="1:6" x14ac:dyDescent="0.2">
      <c r="A26509" t="s">
        <v>42124</v>
      </c>
      <c r="B26509" t="s">
        <v>42125</v>
      </c>
      <c r="C26509" t="s">
        <v>42126</v>
      </c>
      <c r="D26509" t="s">
        <v>139</v>
      </c>
      <c r="E26509" t="s">
        <v>219</v>
      </c>
      <c r="F26509" s="2" t="str">
        <f>HYPERLINK("http://www.otzar.org/book.asp?618652","משמרת החדש")</f>
        <v>משמרת החדש</v>
      </c>
    </row>
    <row r="26510" spans="1:6" x14ac:dyDescent="0.2">
      <c r="A26510" t="s">
        <v>42127</v>
      </c>
      <c r="B26510" t="s">
        <v>17431</v>
      </c>
      <c r="C26510" t="s">
        <v>411</v>
      </c>
      <c r="D26510" t="s">
        <v>14</v>
      </c>
      <c r="E26510" t="s">
        <v>803</v>
      </c>
      <c r="F26510" s="2" t="str">
        <f>HYPERLINK("http://www.otzar.org/book.asp?168361","משמרת הטהרה - 5 כר'")</f>
        <v>משמרת הטהרה - 5 כר'</v>
      </c>
    </row>
    <row r="26511" spans="1:6" x14ac:dyDescent="0.2">
      <c r="A26511" t="s">
        <v>42128</v>
      </c>
      <c r="B26511" t="s">
        <v>42129</v>
      </c>
      <c r="C26511" t="s">
        <v>313</v>
      </c>
      <c r="D26511" t="s">
        <v>412</v>
      </c>
      <c r="E26511" t="s">
        <v>84</v>
      </c>
      <c r="F26511" s="2" t="str">
        <f>HYPERLINK("http://www.otzar.org/book.asp?145540","משמרת הטהרה - 2 כר'")</f>
        <v>משמרת הטהרה - 2 כר'</v>
      </c>
    </row>
    <row r="26512" spans="1:6" x14ac:dyDescent="0.2">
      <c r="A26512" t="s">
        <v>42130</v>
      </c>
      <c r="B26512" t="s">
        <v>42131</v>
      </c>
      <c r="C26512" t="s">
        <v>79</v>
      </c>
      <c r="D26512" t="s">
        <v>9</v>
      </c>
      <c r="E26512" t="s">
        <v>463</v>
      </c>
      <c r="F26512" s="2" t="str">
        <f>HYPERLINK("http://www.otzar.org/book.asp?17446","משמרת הכהנים - 2 כר'")</f>
        <v>משמרת הכהנים - 2 כר'</v>
      </c>
    </row>
    <row r="26513" spans="1:6" x14ac:dyDescent="0.2">
      <c r="A26513" t="s">
        <v>42132</v>
      </c>
      <c r="B26513" t="s">
        <v>42133</v>
      </c>
      <c r="C26513" t="s">
        <v>114</v>
      </c>
      <c r="D26513" t="s">
        <v>14</v>
      </c>
      <c r="E26513" t="s">
        <v>144</v>
      </c>
      <c r="F26513" s="2" t="str">
        <f>HYPERLINK("http://www.otzar.org/book.asp?169787","משמרת הכהנים - קדושין")</f>
        <v>משמרת הכהנים - קדושין</v>
      </c>
    </row>
    <row r="26514" spans="1:6" x14ac:dyDescent="0.2">
      <c r="A26514" t="s">
        <v>42134</v>
      </c>
      <c r="B26514" t="s">
        <v>42135</v>
      </c>
      <c r="C26514" t="s">
        <v>68</v>
      </c>
      <c r="D26514" t="s">
        <v>14</v>
      </c>
      <c r="E26514" t="s">
        <v>5392</v>
      </c>
      <c r="F26514" s="2" t="str">
        <f>HYPERLINK("http://www.otzar.org/book.asp?157716","משמרת הכשרות - 9 כר'")</f>
        <v>משמרת הכשרות - 9 כר'</v>
      </c>
    </row>
    <row r="26515" spans="1:6" x14ac:dyDescent="0.2">
      <c r="A26515" t="s">
        <v>42136</v>
      </c>
      <c r="B26515" t="s">
        <v>42137</v>
      </c>
      <c r="C26515" t="s">
        <v>146</v>
      </c>
      <c r="D26515" t="s">
        <v>14</v>
      </c>
      <c r="E26515" t="s">
        <v>148</v>
      </c>
      <c r="F26515" s="2" t="str">
        <f>HYPERLINK("http://www.otzar.org/book.asp?52569","משמרת המועדות - 2 כר'")</f>
        <v>משמרת המועדות - 2 כר'</v>
      </c>
    </row>
    <row r="26516" spans="1:6" x14ac:dyDescent="0.2">
      <c r="A26516" t="s">
        <v>42138</v>
      </c>
      <c r="B26516" t="s">
        <v>42139</v>
      </c>
      <c r="C26516" t="s">
        <v>133</v>
      </c>
      <c r="D26516" t="s">
        <v>14</v>
      </c>
      <c r="E26516" t="s">
        <v>872</v>
      </c>
      <c r="F26516" s="2" t="str">
        <f>HYPERLINK("http://www.otzar.org/book.asp?178958","משמרת הפסח")</f>
        <v>משמרת הפסח</v>
      </c>
    </row>
    <row r="26517" spans="1:6" x14ac:dyDescent="0.2">
      <c r="A26517" t="s">
        <v>42140</v>
      </c>
      <c r="B26517" t="s">
        <v>26957</v>
      </c>
      <c r="C26517" t="s">
        <v>2140</v>
      </c>
      <c r="D26517" t="s">
        <v>212</v>
      </c>
      <c r="E26517" t="s">
        <v>158</v>
      </c>
      <c r="F26517" s="2" t="str">
        <f>HYPERLINK("http://www.otzar.org/book.asp?7767","משמרת הקדש")</f>
        <v>משמרת הקדש</v>
      </c>
    </row>
    <row r="26518" spans="1:6" x14ac:dyDescent="0.2">
      <c r="A26518" t="s">
        <v>42141</v>
      </c>
      <c r="B26518" t="s">
        <v>42142</v>
      </c>
      <c r="C26518" t="s">
        <v>129</v>
      </c>
      <c r="D26518" t="s">
        <v>14</v>
      </c>
      <c r="F26518" s="2" t="str">
        <f>HYPERLINK("http://www.otzar.org/book.asp?164601","משמרת הקדש - יבמות")</f>
        <v>משמרת הקדש - יבמות</v>
      </c>
    </row>
    <row r="26519" spans="1:6" x14ac:dyDescent="0.2">
      <c r="A26519" t="s">
        <v>42140</v>
      </c>
      <c r="B26519" t="s">
        <v>17217</v>
      </c>
      <c r="C26519" t="s">
        <v>20</v>
      </c>
      <c r="D26519" t="s">
        <v>52</v>
      </c>
      <c r="E26519" t="s">
        <v>144</v>
      </c>
      <c r="F26519" s="2" t="str">
        <f>HYPERLINK("http://www.otzar.org/book.asp?627453","משמרת הקדש")</f>
        <v>משמרת הקדש</v>
      </c>
    </row>
    <row r="26520" spans="1:6" x14ac:dyDescent="0.2">
      <c r="A26520" t="s">
        <v>42143</v>
      </c>
      <c r="B26520" t="s">
        <v>206</v>
      </c>
      <c r="C26520" t="s">
        <v>20</v>
      </c>
      <c r="D26520" t="s">
        <v>90</v>
      </c>
      <c r="E26520" t="s">
        <v>144</v>
      </c>
      <c r="F26520" s="2" t="str">
        <f>HYPERLINK("http://www.otzar.org/book.asp?604560","משמרת הקדשים - כריתות")</f>
        <v>משמרת הקדשים - כריתות</v>
      </c>
    </row>
    <row r="26521" spans="1:6" x14ac:dyDescent="0.2">
      <c r="A26521" t="s">
        <v>42144</v>
      </c>
      <c r="B26521" t="s">
        <v>42145</v>
      </c>
      <c r="C26521" t="s">
        <v>103</v>
      </c>
      <c r="D26521" t="s">
        <v>412</v>
      </c>
      <c r="E26521" t="s">
        <v>15</v>
      </c>
      <c r="F26521" s="2" t="str">
        <f>HYPERLINK("http://www.otzar.org/book.asp?173283","משמרת הקודש")</f>
        <v>משמרת הקודש</v>
      </c>
    </row>
    <row r="26522" spans="1:6" x14ac:dyDescent="0.2">
      <c r="A26522" t="s">
        <v>42144</v>
      </c>
      <c r="B26522" t="s">
        <v>42146</v>
      </c>
      <c r="C26522" t="s">
        <v>10155</v>
      </c>
      <c r="D26522" t="s">
        <v>60</v>
      </c>
      <c r="E26522" t="s">
        <v>714</v>
      </c>
      <c r="F26522" s="2" t="str">
        <f>HYPERLINK("http://www.otzar.org/book.asp?151479","משמרת הקודש")</f>
        <v>משמרת הקודש</v>
      </c>
    </row>
    <row r="26523" spans="1:6" x14ac:dyDescent="0.2">
      <c r="A26523" t="s">
        <v>42147</v>
      </c>
      <c r="B26523" t="s">
        <v>17217</v>
      </c>
      <c r="C26523" t="s">
        <v>37</v>
      </c>
      <c r="D26523" t="s">
        <v>52</v>
      </c>
      <c r="E26523" t="s">
        <v>148</v>
      </c>
      <c r="F26523" s="2" t="str">
        <f>HYPERLINK("http://www.otzar.org/book.asp?628755","משמרת הקודש - הלכות תערובות")</f>
        <v>משמרת הקודש - הלכות תערובות</v>
      </c>
    </row>
    <row r="26524" spans="1:6" x14ac:dyDescent="0.2">
      <c r="A26524" t="s">
        <v>42144</v>
      </c>
      <c r="B26524" t="s">
        <v>42148</v>
      </c>
      <c r="C26524" t="s">
        <v>1177</v>
      </c>
      <c r="D26524" t="s">
        <v>267</v>
      </c>
      <c r="E26524" t="s">
        <v>2509</v>
      </c>
      <c r="F26524" s="2" t="str">
        <f>HYPERLINK("http://www.otzar.org/book.asp?101179","משמרת הקודש")</f>
        <v>משמרת הקודש</v>
      </c>
    </row>
    <row r="26525" spans="1:6" x14ac:dyDescent="0.2">
      <c r="A26525" t="s">
        <v>42149</v>
      </c>
      <c r="B26525" t="s">
        <v>42150</v>
      </c>
      <c r="C26525" t="s">
        <v>313</v>
      </c>
      <c r="D26525" t="s">
        <v>14</v>
      </c>
      <c r="E26525" t="s">
        <v>15</v>
      </c>
      <c r="F26525" s="2" t="str">
        <f>HYPERLINK("http://www.otzar.org/book.asp?84244","משמרת השביעית")</f>
        <v>משמרת השביעית</v>
      </c>
    </row>
    <row r="26526" spans="1:6" x14ac:dyDescent="0.2">
      <c r="A26526" t="s">
        <v>42151</v>
      </c>
      <c r="B26526" t="s">
        <v>17431</v>
      </c>
      <c r="C26526" t="s">
        <v>37</v>
      </c>
      <c r="D26526" t="s">
        <v>657</v>
      </c>
      <c r="F26526" s="2" t="str">
        <f>HYPERLINK("http://www.otzar.org/book.asp?609702","משמרת השביעית - 2 כר'")</f>
        <v>משמרת השביעית - 2 כר'</v>
      </c>
    </row>
    <row r="26527" spans="1:6" x14ac:dyDescent="0.2">
      <c r="A26527" t="s">
        <v>42152</v>
      </c>
      <c r="B26527" t="s">
        <v>42137</v>
      </c>
      <c r="C26527" t="s">
        <v>176</v>
      </c>
      <c r="D26527" t="s">
        <v>14</v>
      </c>
      <c r="E26527" t="s">
        <v>148</v>
      </c>
      <c r="F26527" s="2" t="str">
        <f>HYPERLINK("http://www.otzar.org/book.asp?52592","משמרת השבת")</f>
        <v>משמרת השבת</v>
      </c>
    </row>
    <row r="26528" spans="1:6" x14ac:dyDescent="0.2">
      <c r="A26528" t="s">
        <v>42152</v>
      </c>
      <c r="B26528" t="s">
        <v>42153</v>
      </c>
      <c r="C26528" t="s">
        <v>624</v>
      </c>
      <c r="D26528" t="s">
        <v>52</v>
      </c>
      <c r="E26528" t="s">
        <v>15</v>
      </c>
      <c r="F26528" s="2" t="str">
        <f>HYPERLINK("http://www.otzar.org/book.asp?52618","משמרת השבת")</f>
        <v>משמרת השבת</v>
      </c>
    </row>
    <row r="26529" spans="1:6" x14ac:dyDescent="0.2">
      <c r="A26529" t="s">
        <v>42154</v>
      </c>
      <c r="B26529" t="s">
        <v>18958</v>
      </c>
      <c r="C26529" t="s">
        <v>3840</v>
      </c>
      <c r="D26529" t="s">
        <v>27</v>
      </c>
      <c r="E26529" t="s">
        <v>104</v>
      </c>
      <c r="F26529" s="2" t="str">
        <f>HYPERLINK("http://www.otzar.org/book.asp?169777","משמרת חומתנו - 12 כר'")</f>
        <v>משמרת חומתנו - 12 כר'</v>
      </c>
    </row>
    <row r="26530" spans="1:6" x14ac:dyDescent="0.2">
      <c r="A26530" t="s">
        <v>42155</v>
      </c>
      <c r="B26530" t="s">
        <v>30529</v>
      </c>
      <c r="C26530" t="s">
        <v>785</v>
      </c>
      <c r="D26530" t="s">
        <v>14</v>
      </c>
      <c r="E26530" t="s">
        <v>674</v>
      </c>
      <c r="F26530" s="2" t="str">
        <f>HYPERLINK("http://www.otzar.org/book.asp?84805","משמרת חיים")</f>
        <v>משמרת חיים</v>
      </c>
    </row>
    <row r="26531" spans="1:6" x14ac:dyDescent="0.2">
      <c r="A26531" t="s">
        <v>42155</v>
      </c>
      <c r="B26531" t="s">
        <v>42156</v>
      </c>
      <c r="C26531" t="s">
        <v>63</v>
      </c>
      <c r="D26531" t="s">
        <v>14</v>
      </c>
      <c r="E26531" t="s">
        <v>154</v>
      </c>
      <c r="F26531" s="2" t="str">
        <f>HYPERLINK("http://www.otzar.org/book.asp?28642","משמרת חיים")</f>
        <v>משמרת חיים</v>
      </c>
    </row>
    <row r="26532" spans="1:6" x14ac:dyDescent="0.2">
      <c r="A26532" t="s">
        <v>42155</v>
      </c>
      <c r="B26532" t="s">
        <v>42157</v>
      </c>
      <c r="C26532" t="s">
        <v>106</v>
      </c>
      <c r="D26532" t="s">
        <v>14</v>
      </c>
      <c r="E26532" t="s">
        <v>144</v>
      </c>
      <c r="F26532" s="2" t="str">
        <f>HYPERLINK("http://www.otzar.org/book.asp?142371","משמרת חיים")</f>
        <v>משמרת חיים</v>
      </c>
    </row>
    <row r="26533" spans="1:6" x14ac:dyDescent="0.2">
      <c r="A26533" t="s">
        <v>42158</v>
      </c>
      <c r="B26533" t="s">
        <v>17431</v>
      </c>
      <c r="C26533" t="s">
        <v>51</v>
      </c>
      <c r="D26533" t="s">
        <v>657</v>
      </c>
      <c r="E26533" t="s">
        <v>130</v>
      </c>
      <c r="F26533" s="2" t="str">
        <f>HYPERLINK("http://www.otzar.org/book.asp?106699","משמרת חנוכה ופורים")</f>
        <v>משמרת חנוכה ופורים</v>
      </c>
    </row>
    <row r="26534" spans="1:6" x14ac:dyDescent="0.2">
      <c r="A26534" t="s">
        <v>42159</v>
      </c>
      <c r="B26534" t="s">
        <v>28532</v>
      </c>
      <c r="C26534" t="s">
        <v>454</v>
      </c>
      <c r="D26534" t="s">
        <v>52</v>
      </c>
      <c r="E26534" t="s">
        <v>15</v>
      </c>
      <c r="F26534" s="2" t="str">
        <f>HYPERLINK("http://www.otzar.org/book.asp?51869","משמרת טהרה")</f>
        <v>משמרת טהרה</v>
      </c>
    </row>
    <row r="26535" spans="1:6" x14ac:dyDescent="0.2">
      <c r="A26535" t="s">
        <v>42160</v>
      </c>
      <c r="B26535" t="s">
        <v>17431</v>
      </c>
      <c r="C26535" t="s">
        <v>51</v>
      </c>
      <c r="D26535" t="s">
        <v>657</v>
      </c>
      <c r="E26535" t="s">
        <v>130</v>
      </c>
      <c r="F26535" s="2" t="str">
        <f>HYPERLINK("http://www.otzar.org/book.asp?106698","משמרת ימים נוראים")</f>
        <v>משמרת ימים נוראים</v>
      </c>
    </row>
    <row r="26536" spans="1:6" x14ac:dyDescent="0.2">
      <c r="A26536" t="s">
        <v>42161</v>
      </c>
      <c r="B26536" t="s">
        <v>21331</v>
      </c>
      <c r="C26536" t="s">
        <v>111</v>
      </c>
      <c r="D26536" t="s">
        <v>14</v>
      </c>
      <c r="E26536" t="s">
        <v>3790</v>
      </c>
      <c r="F26536" s="2" t="str">
        <f>HYPERLINK("http://www.otzar.org/book.asp?630643","משמרת כהן - 8 כר'")</f>
        <v>משמרת כהן - 8 כר'</v>
      </c>
    </row>
    <row r="26537" spans="1:6" x14ac:dyDescent="0.2">
      <c r="A26537" t="s">
        <v>42162</v>
      </c>
      <c r="B26537" t="s">
        <v>17431</v>
      </c>
      <c r="C26537" t="s">
        <v>454</v>
      </c>
      <c r="D26537" t="s">
        <v>657</v>
      </c>
      <c r="E26537" t="s">
        <v>246</v>
      </c>
      <c r="F26537" s="2" t="str">
        <f>HYPERLINK("http://www.otzar.org/book.asp?106666","משמרת ליל שימורים")</f>
        <v>משמרת ליל שימורים</v>
      </c>
    </row>
    <row r="26538" spans="1:6" x14ac:dyDescent="0.2">
      <c r="A26538" t="s">
        <v>42163</v>
      </c>
      <c r="B26538" t="s">
        <v>12510</v>
      </c>
      <c r="C26538" t="s">
        <v>306</v>
      </c>
      <c r="D26538" t="s">
        <v>10109</v>
      </c>
      <c r="E26538" t="s">
        <v>144</v>
      </c>
      <c r="F26538" s="2" t="str">
        <f>HYPERLINK("http://www.otzar.org/book.asp?20296","משמרת לסייג")</f>
        <v>משמרת לסייג</v>
      </c>
    </row>
    <row r="26539" spans="1:6" x14ac:dyDescent="0.2">
      <c r="A26539" t="s">
        <v>42164</v>
      </c>
      <c r="B26539" t="s">
        <v>42165</v>
      </c>
      <c r="C26539" t="s">
        <v>366</v>
      </c>
      <c r="D26539" t="s">
        <v>52</v>
      </c>
      <c r="E26539" t="s">
        <v>241</v>
      </c>
      <c r="F26539" s="2" t="str">
        <f>HYPERLINK("http://www.otzar.org/book.asp?628018","משמרת לתורה")</f>
        <v>משמרת לתורה</v>
      </c>
    </row>
    <row r="26540" spans="1:6" x14ac:dyDescent="0.2">
      <c r="A26540" t="s">
        <v>42166</v>
      </c>
      <c r="B26540" t="s">
        <v>42167</v>
      </c>
      <c r="C26540" t="s">
        <v>114</v>
      </c>
      <c r="D26540" t="s">
        <v>14</v>
      </c>
      <c r="E26540" t="s">
        <v>15</v>
      </c>
      <c r="F26540" s="2" t="str">
        <f>HYPERLINK("http://www.otzar.org/book.asp?610759","משמרת מועד")</f>
        <v>משמרת מועד</v>
      </c>
    </row>
    <row r="26541" spans="1:6" x14ac:dyDescent="0.2">
      <c r="A26541" t="s">
        <v>42168</v>
      </c>
      <c r="B26541" t="s">
        <v>17431</v>
      </c>
      <c r="C26541" t="s">
        <v>17</v>
      </c>
      <c r="D26541" t="s">
        <v>657</v>
      </c>
      <c r="E26541" t="s">
        <v>144</v>
      </c>
      <c r="F26541" s="2" t="str">
        <f>HYPERLINK("http://www.otzar.org/book.asp?106670","משמרת מועד - 8 כר'")</f>
        <v>משמרת מועד - 8 כר'</v>
      </c>
    </row>
    <row r="26542" spans="1:6" x14ac:dyDescent="0.2">
      <c r="A26542" t="s">
        <v>42169</v>
      </c>
      <c r="B26542" t="s">
        <v>206</v>
      </c>
      <c r="C26542" t="s">
        <v>20</v>
      </c>
      <c r="D26542" t="s">
        <v>90</v>
      </c>
      <c r="E26542" t="s">
        <v>241</v>
      </c>
      <c r="F26542" s="2" t="str">
        <f>HYPERLINK("http://www.otzar.org/book.asp?160766","משמרת מוצאות הדיבור בטהרתן")</f>
        <v>משמרת מוצאות הדיבור בטהרתן</v>
      </c>
    </row>
    <row r="26543" spans="1:6" x14ac:dyDescent="0.2">
      <c r="A26543" t="s">
        <v>42170</v>
      </c>
      <c r="B26543" t="s">
        <v>42171</v>
      </c>
      <c r="C26543" t="s">
        <v>619</v>
      </c>
      <c r="D26543" t="s">
        <v>283</v>
      </c>
      <c r="F26543" s="2" t="str">
        <f>HYPERLINK("http://www.otzar.org/book.asp?151621","משמרת מצוה")</f>
        <v>משמרת מצוה</v>
      </c>
    </row>
    <row r="26544" spans="1:6" x14ac:dyDescent="0.2">
      <c r="A26544" t="s">
        <v>42172</v>
      </c>
      <c r="B26544" t="s">
        <v>42173</v>
      </c>
      <c r="C26544" t="s">
        <v>20</v>
      </c>
      <c r="D26544" t="s">
        <v>412</v>
      </c>
      <c r="E26544" t="s">
        <v>15</v>
      </c>
      <c r="F26544" s="2" t="str">
        <f>HYPERLINK("http://www.otzar.org/book.asp?196646","משמרת סת""ם - צורת האותיות")</f>
        <v>משמרת סת"ם - צורת האותיות</v>
      </c>
    </row>
    <row r="26545" spans="1:6" x14ac:dyDescent="0.2">
      <c r="A26545" t="s">
        <v>42174</v>
      </c>
      <c r="B26545" t="s">
        <v>18117</v>
      </c>
      <c r="C26545" t="s">
        <v>1268</v>
      </c>
      <c r="D26545" t="s">
        <v>412</v>
      </c>
      <c r="E26545" t="s">
        <v>158</v>
      </c>
      <c r="F26545" s="2" t="str">
        <f>HYPERLINK("http://www.otzar.org/book.asp?25539","משמרת צבי, ויברך דוד - 5 כר'")</f>
        <v>משמרת צבי, ויברך דוד - 5 כר'</v>
      </c>
    </row>
    <row r="26546" spans="1:6" x14ac:dyDescent="0.2">
      <c r="A26546" t="s">
        <v>42175</v>
      </c>
      <c r="B26546" t="s">
        <v>42176</v>
      </c>
      <c r="C26546" t="s">
        <v>176</v>
      </c>
      <c r="D26546" t="s">
        <v>14</v>
      </c>
      <c r="E26546" t="s">
        <v>15</v>
      </c>
      <c r="F26546" s="2" t="str">
        <f>HYPERLINK("http://www.otzar.org/book.asp?108219","משמרת שלום")</f>
        <v>משמרת שלום</v>
      </c>
    </row>
    <row r="26547" spans="1:6" x14ac:dyDescent="0.2">
      <c r="A26547" t="s">
        <v>42177</v>
      </c>
      <c r="B26547" t="s">
        <v>15033</v>
      </c>
      <c r="C26547" t="s">
        <v>362</v>
      </c>
      <c r="D26547" t="s">
        <v>283</v>
      </c>
      <c r="E26547" t="s">
        <v>42178</v>
      </c>
      <c r="F26547" s="2" t="str">
        <f>HYPERLINK("http://www.otzar.org/book.asp?8275","משמרת שלום - 2 כר'")</f>
        <v>משמרת שלום - 2 כר'</v>
      </c>
    </row>
    <row r="26548" spans="1:6" x14ac:dyDescent="0.2">
      <c r="A26548" t="s">
        <v>42179</v>
      </c>
      <c r="B26548" t="s">
        <v>26074</v>
      </c>
      <c r="C26548" t="s">
        <v>506</v>
      </c>
      <c r="D26548" t="s">
        <v>307</v>
      </c>
      <c r="E26548" t="s">
        <v>674</v>
      </c>
      <c r="F26548" s="2" t="str">
        <f>HYPERLINK("http://www.otzar.org/book.asp?11504","משמרת שלום - 3 כר'")</f>
        <v>משמרת שלום - 3 כר'</v>
      </c>
    </row>
    <row r="26549" spans="1:6" x14ac:dyDescent="0.2">
      <c r="A26549" t="s">
        <v>42180</v>
      </c>
      <c r="B26549" t="s">
        <v>42181</v>
      </c>
      <c r="C26549" t="s">
        <v>37</v>
      </c>
      <c r="D26549" t="s">
        <v>52</v>
      </c>
      <c r="E26549" t="s">
        <v>144</v>
      </c>
      <c r="F26549" s="2" t="str">
        <f>HYPERLINK("http://www.otzar.org/book.asp?193169","משמרת שמואל - תמיד נשחט")</f>
        <v>משמרת שמואל - תמיד נשחט</v>
      </c>
    </row>
    <row r="26550" spans="1:6" x14ac:dyDescent="0.2">
      <c r="A26550" t="s">
        <v>42182</v>
      </c>
      <c r="B26550" t="s">
        <v>42183</v>
      </c>
      <c r="C26550" t="s">
        <v>71</v>
      </c>
      <c r="D26550" t="s">
        <v>52</v>
      </c>
      <c r="E26550" t="s">
        <v>144</v>
      </c>
      <c r="F26550" s="2" t="str">
        <f>HYPERLINK("http://www.otzar.org/book.asp?141793","משמרת שמועות - 4 כר'")</f>
        <v>משמרת שמועות - 4 כר'</v>
      </c>
    </row>
    <row r="26551" spans="1:6" x14ac:dyDescent="0.2">
      <c r="A26551" t="s">
        <v>42184</v>
      </c>
      <c r="B26551" t="s">
        <v>17431</v>
      </c>
      <c r="C26551" t="s">
        <v>151</v>
      </c>
      <c r="D26551" t="s">
        <v>14</v>
      </c>
      <c r="F26551" s="2" t="str">
        <f>HYPERLINK("http://www.otzar.org/book.asp?611536","משמרת שמחות - 2 כר'")</f>
        <v>משמרת שמחות - 2 כר'</v>
      </c>
    </row>
    <row r="26552" spans="1:6" x14ac:dyDescent="0.2">
      <c r="A26552" t="s">
        <v>42185</v>
      </c>
      <c r="B26552" t="s">
        <v>2483</v>
      </c>
      <c r="C26552" t="s">
        <v>466</v>
      </c>
      <c r="D26552" t="s">
        <v>52</v>
      </c>
      <c r="E26552" t="s">
        <v>84</v>
      </c>
      <c r="F26552" s="2" t="str">
        <f>HYPERLINK("http://www.otzar.org/book.asp?142053","משמרת תרומה")</f>
        <v>משמרת תרומה</v>
      </c>
    </row>
    <row r="26553" spans="1:6" x14ac:dyDescent="0.2">
      <c r="A26553" t="s">
        <v>42186</v>
      </c>
      <c r="B26553" t="s">
        <v>17431</v>
      </c>
      <c r="C26553" t="s">
        <v>411</v>
      </c>
      <c r="D26553" t="s">
        <v>14</v>
      </c>
      <c r="E26553" t="s">
        <v>15</v>
      </c>
      <c r="F26553" s="2" t="str">
        <f>HYPERLINK("http://www.otzar.org/book.asp?168254","משמרת תרומותי")</f>
        <v>משמרת תרומותי</v>
      </c>
    </row>
    <row r="26554" spans="1:6" x14ac:dyDescent="0.2">
      <c r="A26554" t="s">
        <v>42187</v>
      </c>
      <c r="B26554" t="s">
        <v>1005</v>
      </c>
      <c r="C26554" t="s">
        <v>151</v>
      </c>
      <c r="D26554" t="s">
        <v>14</v>
      </c>
      <c r="E26554" t="s">
        <v>84</v>
      </c>
      <c r="F26554" s="2" t="str">
        <f>HYPERLINK("http://www.otzar.org/book.asp?621519","משמרת תרומותי - על מסכת תרומות")</f>
        <v>משמרת תרומותי - על מסכת תרומות</v>
      </c>
    </row>
    <row r="26555" spans="1:6" x14ac:dyDescent="0.2">
      <c r="A26555" t="s">
        <v>42188</v>
      </c>
      <c r="B26555" t="s">
        <v>42189</v>
      </c>
      <c r="C26555" t="s">
        <v>4705</v>
      </c>
      <c r="D26555" t="s">
        <v>855</v>
      </c>
      <c r="E26555" t="s">
        <v>84</v>
      </c>
      <c r="F26555" s="2" t="str">
        <f>HYPERLINK("http://www.otzar.org/book.asp?104109","משנה אחרונה")</f>
        <v>משנה אחרונה</v>
      </c>
    </row>
    <row r="26556" spans="1:6" x14ac:dyDescent="0.2">
      <c r="A26556" t="s">
        <v>42190</v>
      </c>
      <c r="B26556" t="s">
        <v>9096</v>
      </c>
      <c r="C26556" t="s">
        <v>1160</v>
      </c>
      <c r="D26556" t="s">
        <v>646</v>
      </c>
      <c r="E26556" t="s">
        <v>84</v>
      </c>
      <c r="F26556" s="2" t="str">
        <f>HYPERLINK("http://www.otzar.org/book.asp?151247","משנה אחת נתחלקה בטעות לשתים")</f>
        <v>משנה אחת נתחלקה בטעות לשתים</v>
      </c>
    </row>
    <row r="26557" spans="1:6" x14ac:dyDescent="0.2">
      <c r="A26557" t="s">
        <v>42191</v>
      </c>
      <c r="B26557" t="s">
        <v>42192</v>
      </c>
      <c r="C26557" t="s">
        <v>37</v>
      </c>
      <c r="D26557" t="s">
        <v>412</v>
      </c>
      <c r="F26557" s="2" t="str">
        <f>HYPERLINK("http://www.otzar.org/book.asp?194587","משנה ברורה  &lt;משנה אחרונה&gt; - ו")</f>
        <v>משנה ברורה  &lt;משנה אחרונה&gt; - ו</v>
      </c>
    </row>
    <row r="26558" spans="1:6" x14ac:dyDescent="0.2">
      <c r="A26558" t="s">
        <v>42193</v>
      </c>
      <c r="B26558" t="s">
        <v>42194</v>
      </c>
      <c r="C26558" t="s">
        <v>133</v>
      </c>
      <c r="D26558" t="s">
        <v>245</v>
      </c>
      <c r="E26558" t="s">
        <v>8079</v>
      </c>
      <c r="F26558" s="2" t="str">
        <f>HYPERLINK("http://www.otzar.org/book.asp?172799","משנה ברורה  &lt;תפארת המזרח&gt; - חנוכה")</f>
        <v>משנה ברורה  &lt;תפארת המזרח&gt; - חנוכה</v>
      </c>
    </row>
    <row r="26559" spans="1:6" x14ac:dyDescent="0.2">
      <c r="A26559" t="s">
        <v>42195</v>
      </c>
      <c r="B26559" t="s">
        <v>42196</v>
      </c>
      <c r="C26559" t="s">
        <v>151</v>
      </c>
      <c r="D26559" t="s">
        <v>14</v>
      </c>
      <c r="F26559" s="2" t="str">
        <f>HYPERLINK("http://www.otzar.org/book.asp?632618","משנה ברורה &lt;מאורות&gt; - א")</f>
        <v>משנה ברורה &lt;מאורות&gt; - א</v>
      </c>
    </row>
    <row r="26560" spans="1:6" x14ac:dyDescent="0.2">
      <c r="A26560" t="s">
        <v>42197</v>
      </c>
      <c r="B26560" t="s">
        <v>1978</v>
      </c>
      <c r="C26560" t="s">
        <v>20</v>
      </c>
      <c r="D26560" t="s">
        <v>52</v>
      </c>
      <c r="E26560" t="s">
        <v>172</v>
      </c>
      <c r="F26560" s="2" t="str">
        <f>HYPERLINK("http://www.otzar.org/book.asp?172238","משנה ברורה &lt;ליקוטי כף החיים&gt; - 2 כר'")</f>
        <v>משנה ברורה &lt;ליקוטי כף החיים&gt; - 2 כר'</v>
      </c>
    </row>
    <row r="26561" spans="1:6" x14ac:dyDescent="0.2">
      <c r="A26561" t="s">
        <v>42198</v>
      </c>
      <c r="B26561" t="s">
        <v>1978</v>
      </c>
      <c r="C26561" t="s">
        <v>23</v>
      </c>
      <c r="D26561" t="s">
        <v>14</v>
      </c>
      <c r="F26561" s="2" t="str">
        <f>HYPERLINK("http://www.otzar.org/book.asp?198555","משנה ברורה &lt;מהדורת אור החיים&gt; - 6 כר'")</f>
        <v>משנה ברורה &lt;מהדורת אור החיים&gt; - 6 כר'</v>
      </c>
    </row>
    <row r="26562" spans="1:6" x14ac:dyDescent="0.2">
      <c r="A26562" t="s">
        <v>42199</v>
      </c>
      <c r="B26562" t="s">
        <v>17203</v>
      </c>
      <c r="C26562" t="s">
        <v>111</v>
      </c>
      <c r="D26562" t="s">
        <v>412</v>
      </c>
      <c r="E26562" t="s">
        <v>172</v>
      </c>
      <c r="F26562" s="2" t="str">
        <f>HYPERLINK("http://www.otzar.org/book.asp?626493","משנה ברורה &lt;משנה אחרונה&gt; - 2 כר'")</f>
        <v>משנה ברורה &lt;משנה אחרונה&gt; - 2 כר'</v>
      </c>
    </row>
    <row r="26563" spans="1:6" x14ac:dyDescent="0.2">
      <c r="A26563" t="s">
        <v>42200</v>
      </c>
      <c r="B26563" t="s">
        <v>42201</v>
      </c>
      <c r="C26563" t="s">
        <v>114</v>
      </c>
      <c r="D26563" t="s">
        <v>21</v>
      </c>
      <c r="E26563" t="s">
        <v>148</v>
      </c>
      <c r="F26563" s="2" t="str">
        <f>HYPERLINK("http://www.otzar.org/book.asp?193406","משנה ברורה המבואר &lt;ברכת אשר&gt; - שבת ב")</f>
        <v>משנה ברורה המבואר &lt;ברכת אשר&gt; - שבת ב</v>
      </c>
    </row>
    <row r="26564" spans="1:6" x14ac:dyDescent="0.2">
      <c r="A26564" t="s">
        <v>42202</v>
      </c>
      <c r="B26564" t="s">
        <v>42203</v>
      </c>
      <c r="C26564" t="s">
        <v>411</v>
      </c>
      <c r="D26564" t="s">
        <v>21</v>
      </c>
      <c r="E26564" t="s">
        <v>674</v>
      </c>
      <c r="F26564" s="2" t="str">
        <f>HYPERLINK("http://www.otzar.org/book.asp?601156","משנה ברורה עם בדק המשנה - 2 כר'")</f>
        <v>משנה ברורה עם בדק המשנה - 2 כר'</v>
      </c>
    </row>
    <row r="26565" spans="1:6" x14ac:dyDescent="0.2">
      <c r="A26565" t="s">
        <v>42204</v>
      </c>
      <c r="B26565" t="s">
        <v>1978</v>
      </c>
      <c r="C26565" t="s">
        <v>87</v>
      </c>
      <c r="D26565" t="s">
        <v>52</v>
      </c>
      <c r="E26565" t="s">
        <v>837</v>
      </c>
      <c r="F26565" s="2" t="str">
        <f>HYPERLINK("http://www.otzar.org/book.asp?51140","משנה ברורה עם הגהות איש מצליח - 6 כר'")</f>
        <v>משנה ברורה עם הגהות איש מצליח - 6 כר'</v>
      </c>
    </row>
    <row r="26566" spans="1:6" x14ac:dyDescent="0.2">
      <c r="A26566" t="s">
        <v>42205</v>
      </c>
      <c r="B26566" t="s">
        <v>42206</v>
      </c>
      <c r="C26566" t="s">
        <v>244</v>
      </c>
      <c r="D26566" t="s">
        <v>3859</v>
      </c>
      <c r="E26566" t="s">
        <v>172</v>
      </c>
      <c r="F26566" s="2" t="str">
        <f>HYPERLINK("http://www.otzar.org/book.asp?605906","משנה ברורה עם מקורות וביאורים - א-כד")</f>
        <v>משנה ברורה עם מקורות וביאורים - א-כד</v>
      </c>
    </row>
    <row r="26567" spans="1:6" x14ac:dyDescent="0.2">
      <c r="A26567" t="s">
        <v>42207</v>
      </c>
      <c r="B26567" t="s">
        <v>1978</v>
      </c>
      <c r="C26567" t="s">
        <v>767</v>
      </c>
      <c r="D26567" t="s">
        <v>14</v>
      </c>
      <c r="E26567" t="s">
        <v>172</v>
      </c>
      <c r="F26567" s="2" t="str">
        <f>HYPERLINK("http://www.otzar.org/book.asp?200338","משנה ברורה עם פסקי חזון איש - 6 כר'")</f>
        <v>משנה ברורה עם פסקי חזון איש - 6 כר'</v>
      </c>
    </row>
    <row r="26568" spans="1:6" x14ac:dyDescent="0.2">
      <c r="A26568" t="s">
        <v>42208</v>
      </c>
      <c r="B26568" t="s">
        <v>38979</v>
      </c>
      <c r="C26568" t="s">
        <v>63</v>
      </c>
      <c r="D26568" t="s">
        <v>412</v>
      </c>
      <c r="E26568" t="s">
        <v>674</v>
      </c>
      <c r="F26568" s="2" t="str">
        <f>HYPERLINK("http://www.otzar.org/book.asp?10758","משנה ברורה")</f>
        <v>משנה ברורה</v>
      </c>
    </row>
    <row r="26569" spans="1:6" x14ac:dyDescent="0.2">
      <c r="A26569" t="s">
        <v>42209</v>
      </c>
      <c r="B26569" t="s">
        <v>42210</v>
      </c>
      <c r="C26569" t="s">
        <v>649</v>
      </c>
      <c r="D26569" t="s">
        <v>26645</v>
      </c>
      <c r="E26569" t="s">
        <v>20271</v>
      </c>
      <c r="F26569" s="2" t="str">
        <f>HYPERLINK("http://www.otzar.org/book.asp?103402","משנה ברורה - ברכות")</f>
        <v>משנה ברורה - ברכות</v>
      </c>
    </row>
    <row r="26570" spans="1:6" x14ac:dyDescent="0.2">
      <c r="A26570" t="s">
        <v>42211</v>
      </c>
      <c r="B26570" t="s">
        <v>1978</v>
      </c>
      <c r="C26570" t="s">
        <v>2076</v>
      </c>
      <c r="D26570" t="s">
        <v>307</v>
      </c>
      <c r="E26570" t="s">
        <v>172</v>
      </c>
      <c r="F26570" s="2" t="str">
        <f>HYPERLINK("http://www.otzar.org/book.asp?143562","משנה ברורה - 12 כר'")</f>
        <v>משנה ברורה - 12 כר'</v>
      </c>
    </row>
    <row r="26571" spans="1:6" x14ac:dyDescent="0.2">
      <c r="A26571" t="s">
        <v>42208</v>
      </c>
      <c r="B26571" t="s">
        <v>42212</v>
      </c>
      <c r="C26571" t="s">
        <v>445</v>
      </c>
      <c r="D26571" t="s">
        <v>283</v>
      </c>
      <c r="E26571" t="s">
        <v>144</v>
      </c>
      <c r="F26571" s="2" t="str">
        <f>HYPERLINK("http://www.otzar.org/book.asp?148086","משנה ברורה")</f>
        <v>משנה ברורה</v>
      </c>
    </row>
    <row r="26572" spans="1:6" x14ac:dyDescent="0.2">
      <c r="A26572" t="s">
        <v>42213</v>
      </c>
      <c r="B26572" t="s">
        <v>25848</v>
      </c>
      <c r="C26572" t="s">
        <v>111</v>
      </c>
      <c r="D26572" t="s">
        <v>90</v>
      </c>
      <c r="E26572" t="s">
        <v>172</v>
      </c>
      <c r="F26572" s="2" t="str">
        <f>HYPERLINK("http://www.otzar.org/book.asp?621721","משנה ברכה")</f>
        <v>משנה ברכה</v>
      </c>
    </row>
    <row r="26573" spans="1:6" x14ac:dyDescent="0.2">
      <c r="A26573" t="s">
        <v>42214</v>
      </c>
      <c r="B26573" t="s">
        <v>42215</v>
      </c>
      <c r="C26573" t="s">
        <v>20</v>
      </c>
      <c r="D26573" t="s">
        <v>42216</v>
      </c>
      <c r="E26573" t="s">
        <v>84</v>
      </c>
      <c r="F26573" s="2" t="str">
        <f>HYPERLINK("http://www.otzar.org/book.asp?83730","משנה דפוס בלתי נודע - זרעים, מועד, נשים")</f>
        <v>משנה דפוס בלתי נודע - זרעים, מועד, נשים</v>
      </c>
    </row>
    <row r="26574" spans="1:6" x14ac:dyDescent="0.2">
      <c r="A26574" t="s">
        <v>42217</v>
      </c>
      <c r="B26574" t="s">
        <v>206</v>
      </c>
      <c r="C26574" t="s">
        <v>51</v>
      </c>
      <c r="D26574" t="s">
        <v>14</v>
      </c>
      <c r="E26574" t="s">
        <v>172</v>
      </c>
      <c r="F26574" s="2" t="str">
        <f>HYPERLINK("http://www.otzar.org/book.asp?176103","משנה הלכה - 4 כר'")</f>
        <v>משנה הלכה - 4 כר'</v>
      </c>
    </row>
    <row r="26575" spans="1:6" x14ac:dyDescent="0.2">
      <c r="A26575" t="s">
        <v>42218</v>
      </c>
      <c r="B26575" t="s">
        <v>42219</v>
      </c>
      <c r="C26575" t="s">
        <v>244</v>
      </c>
      <c r="D26575" t="s">
        <v>412</v>
      </c>
      <c r="F26575" s="2" t="str">
        <f>HYPERLINK("http://www.otzar.org/book.asp?617807","משנה הלכה - 2 כר'")</f>
        <v>משנה הלכה - 2 כר'</v>
      </c>
    </row>
    <row r="26576" spans="1:6" x14ac:dyDescent="0.2">
      <c r="A26576" t="s">
        <v>42220</v>
      </c>
      <c r="B26576" t="s">
        <v>2688</v>
      </c>
      <c r="C26576" t="s">
        <v>13</v>
      </c>
      <c r="D26576" t="s">
        <v>14</v>
      </c>
      <c r="E26576" t="s">
        <v>154</v>
      </c>
      <c r="F26576" s="2" t="str">
        <f>HYPERLINK("http://www.otzar.org/book.asp?142510","משנה הלכות &lt;טקסט&gt;")</f>
        <v>משנה הלכות &lt;טקסט&gt;</v>
      </c>
    </row>
    <row r="26577" spans="1:6" x14ac:dyDescent="0.2">
      <c r="A26577" t="s">
        <v>42221</v>
      </c>
      <c r="B26577" t="s">
        <v>2688</v>
      </c>
      <c r="C26577" t="s">
        <v>422</v>
      </c>
      <c r="D26577" t="s">
        <v>412</v>
      </c>
      <c r="E26577" t="s">
        <v>154</v>
      </c>
      <c r="F26577" s="2" t="str">
        <f>HYPERLINK("http://www.otzar.org/book.asp?150992","משנה הלכות - 20 כר'")</f>
        <v>משנה הלכות - 20 כר'</v>
      </c>
    </row>
    <row r="26578" spans="1:6" x14ac:dyDescent="0.2">
      <c r="A26578" t="s">
        <v>42222</v>
      </c>
      <c r="B26578" t="s">
        <v>25067</v>
      </c>
      <c r="C26578" t="s">
        <v>42223</v>
      </c>
      <c r="D26578" t="s">
        <v>6501</v>
      </c>
      <c r="E26578" t="s">
        <v>24232</v>
      </c>
      <c r="F26578" s="2" t="str">
        <f>HYPERLINK("http://www.otzar.org/book.asp?200253","משנה התלמוד - 2 כר'")</f>
        <v>משנה התלמוד - 2 כר'</v>
      </c>
    </row>
    <row r="26579" spans="1:6" x14ac:dyDescent="0.2">
      <c r="A26579" t="s">
        <v>42224</v>
      </c>
      <c r="B26579" t="s">
        <v>39772</v>
      </c>
      <c r="C26579" t="s">
        <v>422</v>
      </c>
      <c r="D26579" t="s">
        <v>14</v>
      </c>
      <c r="E26579" t="s">
        <v>172</v>
      </c>
      <c r="F26579" s="2" t="str">
        <f>HYPERLINK("http://www.otzar.org/book.asp?178925","משנה והלכה ברורה -  שא - שדמ")</f>
        <v>משנה והלכה ברורה -  שא - שדמ</v>
      </c>
    </row>
    <row r="26580" spans="1:6" x14ac:dyDescent="0.2">
      <c r="A26580" t="s">
        <v>42225</v>
      </c>
      <c r="B26580" t="s">
        <v>42226</v>
      </c>
      <c r="C26580" t="s">
        <v>68</v>
      </c>
      <c r="D26580" t="s">
        <v>90</v>
      </c>
      <c r="E26580" t="s">
        <v>9780</v>
      </c>
      <c r="F26580" s="2" t="str">
        <f>HYPERLINK("http://www.otzar.org/book.asp?180824","משנה ותוספתא &lt;אפיקי מים&gt; - 8 כר'")</f>
        <v>משנה ותוספתא &lt;אפיקי מים&gt; - 8 כר'</v>
      </c>
    </row>
    <row r="26581" spans="1:6" x14ac:dyDescent="0.2">
      <c r="A26581" t="s">
        <v>42227</v>
      </c>
      <c r="B26581" t="s">
        <v>42228</v>
      </c>
      <c r="C26581" t="s">
        <v>17</v>
      </c>
      <c r="D26581" t="s">
        <v>90</v>
      </c>
      <c r="E26581" t="s">
        <v>84</v>
      </c>
      <c r="F26581" s="2" t="str">
        <f>HYPERLINK("http://www.otzar.org/book.asp?194956","משנה ותוספתא &lt;אפיקי מים&gt; - פרה")</f>
        <v>משנה ותוספתא &lt;אפיקי מים&gt; - פרה</v>
      </c>
    </row>
    <row r="26582" spans="1:6" x14ac:dyDescent="0.2">
      <c r="A26582" t="s">
        <v>42229</v>
      </c>
      <c r="B26582" t="s">
        <v>42230</v>
      </c>
      <c r="C26582" t="s">
        <v>366</v>
      </c>
      <c r="D26582" t="s">
        <v>21</v>
      </c>
      <c r="E26582" t="s">
        <v>9780</v>
      </c>
      <c r="F26582" s="2" t="str">
        <f>HYPERLINK("http://www.otzar.org/book.asp?601396","משנה ותוספתא - שבת")</f>
        <v>משנה ותוספתא - שבת</v>
      </c>
    </row>
    <row r="26583" spans="1:6" x14ac:dyDescent="0.2">
      <c r="A26583" t="s">
        <v>42231</v>
      </c>
      <c r="B26583" t="s">
        <v>42232</v>
      </c>
      <c r="C26583" t="s">
        <v>71</v>
      </c>
      <c r="D26583" t="s">
        <v>52</v>
      </c>
      <c r="E26583" t="s">
        <v>144</v>
      </c>
      <c r="F26583" s="2" t="str">
        <f>HYPERLINK("http://www.otzar.org/book.asp?144487","משנה ותלמוד עם פירוש המזרחי")</f>
        <v>משנה ותלמוד עם פירוש המזרחי</v>
      </c>
    </row>
    <row r="26584" spans="1:6" x14ac:dyDescent="0.2">
      <c r="A26584" t="s">
        <v>42233</v>
      </c>
      <c r="B26584" t="s">
        <v>23496</v>
      </c>
      <c r="C26584" t="s">
        <v>1166</v>
      </c>
      <c r="D26584" t="s">
        <v>27</v>
      </c>
      <c r="E26584" t="s">
        <v>957</v>
      </c>
      <c r="F26584" s="2" t="str">
        <f>HYPERLINK("http://www.otzar.org/book.asp?168068","משנה זכרון")</f>
        <v>משנה זכרון</v>
      </c>
    </row>
    <row r="26585" spans="1:6" x14ac:dyDescent="0.2">
      <c r="A26585" t="s">
        <v>42234</v>
      </c>
      <c r="B26585" t="s">
        <v>42235</v>
      </c>
      <c r="C26585" t="s">
        <v>1619</v>
      </c>
      <c r="D26585" t="s">
        <v>14</v>
      </c>
      <c r="E26585" t="s">
        <v>84</v>
      </c>
      <c r="F26585" s="2" t="str">
        <f>HYPERLINK("http://www.otzar.org/book.asp?147829","משנה זרעים &lt;עם שנויי נוס' מכת""י&gt; - 2 כר'")</f>
        <v>משנה זרעים &lt;עם שנויי נוס' מכת"י&gt; - 2 כר'</v>
      </c>
    </row>
    <row r="26586" spans="1:6" x14ac:dyDescent="0.2">
      <c r="A26586" t="s">
        <v>42236</v>
      </c>
      <c r="B26586" t="s">
        <v>42237</v>
      </c>
      <c r="C26586" t="s">
        <v>8736</v>
      </c>
      <c r="D26586" t="s">
        <v>283</v>
      </c>
      <c r="E26586" t="s">
        <v>140</v>
      </c>
      <c r="F26586" s="2" t="str">
        <f>HYPERLINK("http://www.otzar.org/book.asp?146986","משנה חב""ד - ב")</f>
        <v>משנה חב"ד - ב</v>
      </c>
    </row>
    <row r="26587" spans="1:6" x14ac:dyDescent="0.2">
      <c r="A26587" t="s">
        <v>42238</v>
      </c>
      <c r="B26587" t="s">
        <v>42239</v>
      </c>
      <c r="C26587" t="s">
        <v>3244</v>
      </c>
      <c r="D26587" t="s">
        <v>4269</v>
      </c>
      <c r="E26587" t="s">
        <v>10013</v>
      </c>
      <c r="F26587" s="2" t="str">
        <f>HYPERLINK("http://www.otzar.org/book.asp?25065","משנה יפה")</f>
        <v>משנה יפה</v>
      </c>
    </row>
    <row r="26588" spans="1:6" x14ac:dyDescent="0.2">
      <c r="A26588" t="s">
        <v>42240</v>
      </c>
      <c r="B26588" t="s">
        <v>42241</v>
      </c>
      <c r="C26588" t="s">
        <v>1811</v>
      </c>
      <c r="D26588" t="s">
        <v>14</v>
      </c>
      <c r="E26588" t="s">
        <v>213</v>
      </c>
      <c r="F26588" s="2" t="str">
        <f>HYPERLINK("http://www.otzar.org/book.asp?165893","משנה ישרה")</f>
        <v>משנה ישרה</v>
      </c>
    </row>
    <row r="26589" spans="1:6" x14ac:dyDescent="0.2">
      <c r="A26589" t="s">
        <v>42242</v>
      </c>
      <c r="B26589" t="s">
        <v>42243</v>
      </c>
      <c r="C26589" t="s">
        <v>1515</v>
      </c>
      <c r="D26589" t="s">
        <v>76</v>
      </c>
      <c r="E26589" t="s">
        <v>15</v>
      </c>
      <c r="F26589" s="2" t="str">
        <f>HYPERLINK("http://www.otzar.org/book.asp?101068","משנה כסף")</f>
        <v>משנה כסף</v>
      </c>
    </row>
    <row r="26590" spans="1:6" x14ac:dyDescent="0.2">
      <c r="A26590" t="s">
        <v>42242</v>
      </c>
      <c r="B26590" t="s">
        <v>15749</v>
      </c>
      <c r="C26590" t="s">
        <v>63</v>
      </c>
      <c r="D26590" t="s">
        <v>14</v>
      </c>
      <c r="E26590" t="s">
        <v>172</v>
      </c>
      <c r="F26590" s="2" t="str">
        <f>HYPERLINK("http://www.otzar.org/book.asp?603791","משנה כסף")</f>
        <v>משנה כסף</v>
      </c>
    </row>
    <row r="26591" spans="1:6" x14ac:dyDescent="0.2">
      <c r="A26591" t="s">
        <v>42244</v>
      </c>
      <c r="B26591" t="s">
        <v>42245</v>
      </c>
      <c r="C26591" t="s">
        <v>1163</v>
      </c>
      <c r="D26591" t="s">
        <v>1163</v>
      </c>
      <c r="E26591" t="s">
        <v>84</v>
      </c>
      <c r="F26591" s="2" t="str">
        <f>HYPERLINK("http://www.otzar.org/book.asp?191379","משנה כת""י פארמה ב סדר טהרות")</f>
        <v>משנה כת"י פארמה ב סדר טהרות</v>
      </c>
    </row>
    <row r="26592" spans="1:6" x14ac:dyDescent="0.2">
      <c r="A26592" t="s">
        <v>42246</v>
      </c>
      <c r="B26592" t="s">
        <v>42245</v>
      </c>
      <c r="C26592" t="s">
        <v>1163</v>
      </c>
      <c r="D26592" t="s">
        <v>1163</v>
      </c>
      <c r="E26592" t="s">
        <v>84</v>
      </c>
      <c r="F26592" s="2" t="str">
        <f>HYPERLINK("http://www.otzar.org/book.asp?191380","משנה כת""י פארמה ג סדר נשים נזיקין")</f>
        <v>משנה כת"י פארמה ג סדר נשים נזיקין</v>
      </c>
    </row>
    <row r="26593" spans="1:6" x14ac:dyDescent="0.2">
      <c r="A26593" t="s">
        <v>42247</v>
      </c>
      <c r="B26593" t="s">
        <v>42248</v>
      </c>
      <c r="C26593" t="s">
        <v>10859</v>
      </c>
      <c r="D26593" t="s">
        <v>60</v>
      </c>
      <c r="E26593" t="s">
        <v>2088</v>
      </c>
      <c r="F26593" s="2" t="str">
        <f>HYPERLINK("http://www.otzar.org/book.asp?101493","משנה לחם - 3 כר'")</f>
        <v>משנה לחם - 3 כר'</v>
      </c>
    </row>
    <row r="26594" spans="1:6" x14ac:dyDescent="0.2">
      <c r="A26594" t="s">
        <v>42249</v>
      </c>
      <c r="B26594" t="s">
        <v>1417</v>
      </c>
      <c r="C26594" t="s">
        <v>20</v>
      </c>
      <c r="D26594" t="s">
        <v>14</v>
      </c>
      <c r="E26594" t="s">
        <v>84</v>
      </c>
      <c r="F26594" s="2" t="str">
        <f>HYPERLINK("http://www.otzar.org/book.asp?5533","משנה לחם - זרעים מועד")</f>
        <v>משנה לחם - זרעים מועד</v>
      </c>
    </row>
    <row r="26595" spans="1:6" x14ac:dyDescent="0.2">
      <c r="A26595" t="s">
        <v>42250</v>
      </c>
      <c r="B26595" t="s">
        <v>6252</v>
      </c>
      <c r="C26595" t="s">
        <v>79</v>
      </c>
      <c r="D26595" t="s">
        <v>986</v>
      </c>
      <c r="E26595" t="s">
        <v>42251</v>
      </c>
      <c r="F26595" s="2" t="str">
        <f>HYPERLINK("http://www.otzar.org/book.asp?289","משנה לחם")</f>
        <v>משנה לחם</v>
      </c>
    </row>
    <row r="26596" spans="1:6" x14ac:dyDescent="0.2">
      <c r="A26596" t="s">
        <v>42250</v>
      </c>
      <c r="B26596" t="s">
        <v>42219</v>
      </c>
      <c r="C26596" t="s">
        <v>51</v>
      </c>
      <c r="D26596" t="s">
        <v>412</v>
      </c>
      <c r="E26596" t="s">
        <v>15</v>
      </c>
      <c r="F26596" s="2" t="str">
        <f>HYPERLINK("http://www.otzar.org/book.asp?628687","משנה לחם")</f>
        <v>משנה לחם</v>
      </c>
    </row>
    <row r="26597" spans="1:6" x14ac:dyDescent="0.2">
      <c r="A26597" t="s">
        <v>42252</v>
      </c>
      <c r="B26597" t="s">
        <v>14840</v>
      </c>
      <c r="C26597" t="s">
        <v>1228</v>
      </c>
      <c r="D26597" t="s">
        <v>27</v>
      </c>
      <c r="E26597" t="s">
        <v>674</v>
      </c>
      <c r="F26597" s="2" t="str">
        <f>HYPERLINK("http://www.otzar.org/book.asp?104110","משנה למלך אחרון")</f>
        <v>משנה למלך אחרון</v>
      </c>
    </row>
    <row r="26598" spans="1:6" x14ac:dyDescent="0.2">
      <c r="A26598" t="s">
        <v>42253</v>
      </c>
      <c r="B26598" t="s">
        <v>6298</v>
      </c>
      <c r="C26598" t="s">
        <v>422</v>
      </c>
      <c r="D26598" t="s">
        <v>90</v>
      </c>
      <c r="E26598" t="s">
        <v>7817</v>
      </c>
      <c r="F26598" s="2" t="str">
        <f>HYPERLINK("http://www.otzar.org/book.asp?85458","משנה למלך על מסכתות הש""ס")</f>
        <v>משנה למלך על מסכתות הש"ס</v>
      </c>
    </row>
    <row r="26599" spans="1:6" x14ac:dyDescent="0.2">
      <c r="A26599" t="s">
        <v>42254</v>
      </c>
      <c r="B26599" t="s">
        <v>4211</v>
      </c>
      <c r="C26599" t="s">
        <v>176</v>
      </c>
      <c r="D26599" t="s">
        <v>14</v>
      </c>
      <c r="E26599" t="s">
        <v>1847</v>
      </c>
      <c r="F26599" s="2" t="str">
        <f>HYPERLINK("http://www.otzar.org/book.asp?50092","משנה למלך")</f>
        <v>משנה למלך</v>
      </c>
    </row>
    <row r="26600" spans="1:6" x14ac:dyDescent="0.2">
      <c r="A26600" t="s">
        <v>42255</v>
      </c>
      <c r="B26600" t="s">
        <v>42256</v>
      </c>
      <c r="C26600" t="s">
        <v>854</v>
      </c>
      <c r="D26600" t="s">
        <v>855</v>
      </c>
      <c r="E26600" t="s">
        <v>1185</v>
      </c>
      <c r="F26600" s="2" t="str">
        <f>HYPERLINK("http://www.otzar.org/book.asp?101372","משנה למלך - 2 כר'")</f>
        <v>משנה למלך - 2 כר'</v>
      </c>
    </row>
    <row r="26601" spans="1:6" x14ac:dyDescent="0.2">
      <c r="A26601" t="s">
        <v>42254</v>
      </c>
      <c r="B26601" t="s">
        <v>16578</v>
      </c>
      <c r="C26601" t="s">
        <v>2040</v>
      </c>
      <c r="D26601" t="s">
        <v>4288</v>
      </c>
      <c r="E26601" t="s">
        <v>15</v>
      </c>
      <c r="F26601" s="2" t="str">
        <f>HYPERLINK("http://www.otzar.org/book.asp?150043","משנה למלך")</f>
        <v>משנה למלך</v>
      </c>
    </row>
    <row r="26602" spans="1:6" x14ac:dyDescent="0.2">
      <c r="A26602" t="s">
        <v>42257</v>
      </c>
      <c r="B26602" t="s">
        <v>42258</v>
      </c>
      <c r="C26602" t="s">
        <v>1163</v>
      </c>
      <c r="D26602" t="s">
        <v>1163</v>
      </c>
      <c r="E26602" t="s">
        <v>2338</v>
      </c>
      <c r="F26602" s="2" t="str">
        <f>HYPERLINK("http://www.otzar.org/book.asp?103447","משנה מועד כ""י פירנצי - 2 כר'")</f>
        <v>משנה מועד כ"י פירנצי - 2 כר'</v>
      </c>
    </row>
    <row r="26603" spans="1:6" x14ac:dyDescent="0.2">
      <c r="A26603" t="s">
        <v>42259</v>
      </c>
      <c r="B26603" t="s">
        <v>42260</v>
      </c>
      <c r="C26603" t="s">
        <v>42261</v>
      </c>
      <c r="D26603" t="s">
        <v>27</v>
      </c>
      <c r="E26603" t="s">
        <v>84</v>
      </c>
      <c r="F26603" s="2" t="str">
        <f>HYPERLINK("http://www.otzar.org/book.asp?172320","משנה מפורשת - ברכות")</f>
        <v>משנה מפורשת - ברכות</v>
      </c>
    </row>
    <row r="26604" spans="1:6" x14ac:dyDescent="0.2">
      <c r="A26604" t="s">
        <v>42262</v>
      </c>
      <c r="B26604" t="s">
        <v>14923</v>
      </c>
      <c r="C26604" t="s">
        <v>103</v>
      </c>
      <c r="D26604" t="s">
        <v>14</v>
      </c>
      <c r="E26604" t="s">
        <v>15</v>
      </c>
      <c r="F26604" s="2" t="str">
        <f>HYPERLINK("http://www.otzar.org/book.asp?52238","משנה סדורה - 4 כר'")</f>
        <v>משנה סדורה - 4 כר'</v>
      </c>
    </row>
    <row r="26605" spans="1:6" x14ac:dyDescent="0.2">
      <c r="A26605" t="s">
        <v>42263</v>
      </c>
      <c r="B26605" t="s">
        <v>84</v>
      </c>
      <c r="C26605" t="s">
        <v>124</v>
      </c>
      <c r="D26605" t="s">
        <v>1974</v>
      </c>
      <c r="E26605" t="s">
        <v>38</v>
      </c>
      <c r="F26605" s="2" t="str">
        <f>HYPERLINK("http://www.otzar.org/book.asp?64140","משנה סדר מועד ע""פ הרמב""ם - כת""י תימן")</f>
        <v>משנה סדר מועד ע"פ הרמב"ם - כת"י תימן</v>
      </c>
    </row>
    <row r="26606" spans="1:6" x14ac:dyDescent="0.2">
      <c r="A26606" t="s">
        <v>42264</v>
      </c>
      <c r="B26606" t="s">
        <v>36344</v>
      </c>
      <c r="C26606" t="s">
        <v>103</v>
      </c>
      <c r="D26606" t="s">
        <v>14</v>
      </c>
      <c r="F26606" s="2" t="str">
        <f>HYPERLINK("http://www.otzar.org/book.asp?164129","משנה עם פירוש הרמב""ם &lt;מהדורת מעליות&gt; - 4 כר'")</f>
        <v>משנה עם פירוש הרמב"ם &lt;מהדורת מעליות&gt; - 4 כר'</v>
      </c>
    </row>
    <row r="26607" spans="1:6" x14ac:dyDescent="0.2">
      <c r="A26607" t="s">
        <v>42265</v>
      </c>
      <c r="B26607" t="s">
        <v>1320</v>
      </c>
      <c r="C26607" t="s">
        <v>523</v>
      </c>
      <c r="D26607" t="s">
        <v>5421</v>
      </c>
      <c r="E26607" t="s">
        <v>84</v>
      </c>
      <c r="F26607" s="2" t="str">
        <f>HYPERLINK("http://www.otzar.org/book.asp?149935","משנה עם פירוש הרמב""ם &lt;מהדורת ר""י קאפח&gt; - אבות")</f>
        <v>משנה עם פירוש הרמב"ם &lt;מהדורת ר"י קאפח&gt; - אבות</v>
      </c>
    </row>
    <row r="26608" spans="1:6" x14ac:dyDescent="0.2">
      <c r="A26608" t="s">
        <v>42266</v>
      </c>
      <c r="B26608" t="s">
        <v>31215</v>
      </c>
      <c r="C26608" t="s">
        <v>176</v>
      </c>
      <c r="D26608" t="s">
        <v>52</v>
      </c>
      <c r="E26608" t="s">
        <v>84</v>
      </c>
      <c r="F26608" s="2" t="str">
        <f>HYPERLINK("http://www.otzar.org/book.asp?611231","משנה ערוכה לתשב""ר &lt;כנפי יונה&gt; - תענית")</f>
        <v>משנה ערוכה לתשב"ר &lt;כנפי יונה&gt; - תענית</v>
      </c>
    </row>
    <row r="26609" spans="1:6" x14ac:dyDescent="0.2">
      <c r="A26609" t="s">
        <v>42267</v>
      </c>
      <c r="B26609" t="s">
        <v>6984</v>
      </c>
      <c r="C26609" t="s">
        <v>553</v>
      </c>
      <c r="D26609" t="s">
        <v>14</v>
      </c>
      <c r="E26609" t="s">
        <v>84</v>
      </c>
      <c r="F26609" s="2" t="str">
        <f>HYPERLINK("http://www.otzar.org/book.asp?106067","משנה ערוכה - שביעית")</f>
        <v>משנה ערוכה - שביעית</v>
      </c>
    </row>
    <row r="26610" spans="1:6" x14ac:dyDescent="0.2">
      <c r="A26610" t="s">
        <v>42268</v>
      </c>
      <c r="B26610" t="s">
        <v>42269</v>
      </c>
      <c r="C26610" t="s">
        <v>411</v>
      </c>
      <c r="D26610" t="s">
        <v>216</v>
      </c>
      <c r="E26610" t="s">
        <v>144</v>
      </c>
      <c r="F26610" s="2" t="str">
        <f>HYPERLINK("http://www.otzar.org/book.asp?171699","משנה ערוכה - כתובות א")</f>
        <v>משנה ערוכה - כתובות א</v>
      </c>
    </row>
    <row r="26611" spans="1:6" x14ac:dyDescent="0.2">
      <c r="A26611" t="s">
        <v>42270</v>
      </c>
      <c r="B26611" t="s">
        <v>42271</v>
      </c>
      <c r="C26611" t="s">
        <v>454</v>
      </c>
      <c r="D26611" t="s">
        <v>216</v>
      </c>
      <c r="E26611" t="s">
        <v>144</v>
      </c>
      <c r="F26611" s="2" t="str">
        <f>HYPERLINK("http://www.otzar.org/book.asp?174231","משנה ערוכה - תענית")</f>
        <v>משנה ערוכה - תענית</v>
      </c>
    </row>
    <row r="26612" spans="1:6" x14ac:dyDescent="0.2">
      <c r="A26612" t="s">
        <v>42272</v>
      </c>
      <c r="B26612" t="s">
        <v>42273</v>
      </c>
      <c r="C26612" t="s">
        <v>114</v>
      </c>
      <c r="D26612" t="s">
        <v>14</v>
      </c>
      <c r="E26612" t="s">
        <v>15</v>
      </c>
      <c r="F26612" s="2" t="str">
        <f>HYPERLINK("http://www.otzar.org/book.asp?167967","משנה ערוכה - 4 כר'")</f>
        <v>משנה ערוכה - 4 כר'</v>
      </c>
    </row>
    <row r="26613" spans="1:6" x14ac:dyDescent="0.2">
      <c r="A26613" t="s">
        <v>42274</v>
      </c>
      <c r="B26613" t="s">
        <v>42275</v>
      </c>
      <c r="C26613" t="s">
        <v>533</v>
      </c>
      <c r="D26613" t="s">
        <v>14</v>
      </c>
      <c r="E26613" t="s">
        <v>84</v>
      </c>
      <c r="F26613" s="2" t="str">
        <f>HYPERLINK("http://www.otzar.org/book.asp?85171","משנה ערוכה - כלאים")</f>
        <v>משנה ערוכה - כלאים</v>
      </c>
    </row>
    <row r="26614" spans="1:6" x14ac:dyDescent="0.2">
      <c r="A26614" t="s">
        <v>42276</v>
      </c>
      <c r="B26614" t="s">
        <v>36261</v>
      </c>
      <c r="C26614" t="s">
        <v>20</v>
      </c>
      <c r="D26614" t="s">
        <v>14</v>
      </c>
      <c r="E26614" t="s">
        <v>148</v>
      </c>
      <c r="F26614" s="2" t="str">
        <f>HYPERLINK("http://www.otzar.org/book.asp?153468","משנה ערוכה - ברכות הנהנין")</f>
        <v>משנה ערוכה - ברכות הנהנין</v>
      </c>
    </row>
    <row r="26615" spans="1:6" x14ac:dyDescent="0.2">
      <c r="A26615" t="s">
        <v>42277</v>
      </c>
      <c r="B26615" t="s">
        <v>2861</v>
      </c>
      <c r="C26615" t="s">
        <v>411</v>
      </c>
      <c r="D26615" t="s">
        <v>52</v>
      </c>
      <c r="E26615" t="s">
        <v>140</v>
      </c>
      <c r="F26615" s="2" t="str">
        <f>HYPERLINK("http://www.otzar.org/book.asp?193124","משנה צרופה")</f>
        <v>משנה צרופה</v>
      </c>
    </row>
    <row r="26616" spans="1:6" x14ac:dyDescent="0.2">
      <c r="A26616" t="s">
        <v>42278</v>
      </c>
      <c r="B26616" t="s">
        <v>5768</v>
      </c>
      <c r="C26616" t="s">
        <v>37</v>
      </c>
      <c r="D26616" t="s">
        <v>14</v>
      </c>
      <c r="E26616" t="s">
        <v>154</v>
      </c>
      <c r="F26616" s="2" t="str">
        <f>HYPERLINK("http://www.otzar.org/book.asp?181920","משנה שכיר &lt;מהדורה חדשה&gt; - 5 כר'")</f>
        <v>משנה שכיר &lt;מהדורה חדשה&gt; - 5 כר'</v>
      </c>
    </row>
    <row r="26617" spans="1:6" x14ac:dyDescent="0.2">
      <c r="A26617" t="s">
        <v>42279</v>
      </c>
      <c r="B26617" t="s">
        <v>42280</v>
      </c>
      <c r="C26617" t="s">
        <v>767</v>
      </c>
      <c r="D26617" t="s">
        <v>14</v>
      </c>
      <c r="E26617" t="s">
        <v>154</v>
      </c>
      <c r="F26617" s="2" t="str">
        <f>HYPERLINK("http://www.otzar.org/book.asp?85771","משנה שכיר - 4 כר'")</f>
        <v>משנה שכיר - 4 כר'</v>
      </c>
    </row>
    <row r="26618" spans="1:6" x14ac:dyDescent="0.2">
      <c r="A26618" t="s">
        <v>42281</v>
      </c>
      <c r="B26618" t="s">
        <v>5768</v>
      </c>
      <c r="C26618" t="s">
        <v>42282</v>
      </c>
      <c r="D26618" t="s">
        <v>2313</v>
      </c>
      <c r="E26618" t="s">
        <v>10678</v>
      </c>
      <c r="F26618" s="2" t="str">
        <f>HYPERLINK("http://www.otzar.org/book.asp?965","משנה שכיר - 3 כר'")</f>
        <v>משנה שכיר - 3 כר'</v>
      </c>
    </row>
    <row r="26619" spans="1:6" x14ac:dyDescent="0.2">
      <c r="A26619" t="s">
        <v>42283</v>
      </c>
      <c r="B26619" t="s">
        <v>42284</v>
      </c>
      <c r="C26619" t="s">
        <v>143</v>
      </c>
      <c r="D26619" t="s">
        <v>14</v>
      </c>
      <c r="E26619" t="s">
        <v>10</v>
      </c>
      <c r="F26619" s="2" t="str">
        <f>HYPERLINK("http://www.otzar.org/book.asp?60073","משנה שלמה")</f>
        <v>משנה שלמה</v>
      </c>
    </row>
    <row r="26620" spans="1:6" x14ac:dyDescent="0.2">
      <c r="A26620" t="s">
        <v>42285</v>
      </c>
      <c r="B26620" t="s">
        <v>42286</v>
      </c>
      <c r="C26620" t="s">
        <v>103</v>
      </c>
      <c r="D26620" t="s">
        <v>2798</v>
      </c>
      <c r="E26620" t="s">
        <v>42287</v>
      </c>
      <c r="F26620" s="2" t="str">
        <f>HYPERLINK("http://www.otzar.org/book.asp?24476","משנה שלמה - 3 כר'")</f>
        <v>משנה שלמה - 3 כר'</v>
      </c>
    </row>
    <row r="26621" spans="1:6" x14ac:dyDescent="0.2">
      <c r="A26621" t="s">
        <v>42288</v>
      </c>
      <c r="B26621" t="s">
        <v>42289</v>
      </c>
      <c r="C26621" t="s">
        <v>151</v>
      </c>
      <c r="D26621" t="s">
        <v>52</v>
      </c>
      <c r="E26621" t="s">
        <v>84</v>
      </c>
      <c r="F26621" s="2" t="str">
        <f>HYPERLINK("http://www.otzar.org/book.asp?621940","משנה שלמה - שבת, פסחים, יומא")</f>
        <v>משנה שלמה - שבת, פסחים, יומא</v>
      </c>
    </row>
    <row r="26622" spans="1:6" x14ac:dyDescent="0.2">
      <c r="A26622" t="s">
        <v>42290</v>
      </c>
      <c r="B26622" t="s">
        <v>42291</v>
      </c>
      <c r="C26622" t="s">
        <v>20</v>
      </c>
      <c r="D26622" t="s">
        <v>90</v>
      </c>
      <c r="E26622" t="s">
        <v>84</v>
      </c>
      <c r="F26622" s="2" t="str">
        <f>HYPERLINK("http://www.otzar.org/book.asp?629854","משנה שלמה - 8 כר'")</f>
        <v>משנה שלמה - 8 כר'</v>
      </c>
    </row>
    <row r="26623" spans="1:6" x14ac:dyDescent="0.2">
      <c r="A26623" t="s">
        <v>42292</v>
      </c>
      <c r="B26623" t="s">
        <v>42293</v>
      </c>
      <c r="C26623" t="s">
        <v>37</v>
      </c>
      <c r="D26623" t="s">
        <v>423</v>
      </c>
      <c r="E26623" t="s">
        <v>15</v>
      </c>
      <c r="F26623" s="2" t="str">
        <f>HYPERLINK("http://www.otzar.org/book.asp?196738","משנה תורה &lt;הרמב""ם המבואר&gt; - 7 כר'")</f>
        <v>משנה תורה &lt;הרמב"ם המבואר&gt; - 7 כר'</v>
      </c>
    </row>
    <row r="26624" spans="1:6" x14ac:dyDescent="0.2">
      <c r="A26624" t="s">
        <v>42294</v>
      </c>
      <c r="B26624" t="s">
        <v>5932</v>
      </c>
      <c r="C26624" t="s">
        <v>133</v>
      </c>
      <c r="D26624" t="s">
        <v>1840</v>
      </c>
      <c r="E26624" t="s">
        <v>15</v>
      </c>
      <c r="F26624" s="2" t="str">
        <f>HYPERLINK("http://www.otzar.org/book.asp?173440","משנה תורה &lt;מבואר&gt; - זרעים")</f>
        <v>משנה תורה &lt;מבואר&gt; - זרעים</v>
      </c>
    </row>
    <row r="26625" spans="1:6" x14ac:dyDescent="0.2">
      <c r="A26625" t="s">
        <v>42295</v>
      </c>
      <c r="B26625" t="s">
        <v>42296</v>
      </c>
      <c r="C26625" t="s">
        <v>133</v>
      </c>
      <c r="D26625" t="s">
        <v>14</v>
      </c>
      <c r="E26625" t="s">
        <v>15</v>
      </c>
      <c r="F26625" s="2" t="str">
        <f>HYPERLINK("http://www.otzar.org/book.asp?175460","משנה תורה &lt;רמב""ם המאיר&gt; - דעות")</f>
        <v>משנה תורה &lt;רמב"ם המאיר&gt; - דעות</v>
      </c>
    </row>
    <row r="26626" spans="1:6" x14ac:dyDescent="0.2">
      <c r="A26626" t="s">
        <v>42297</v>
      </c>
      <c r="B26626" t="s">
        <v>42298</v>
      </c>
      <c r="C26626" t="s">
        <v>585</v>
      </c>
      <c r="D26626" t="s">
        <v>14</v>
      </c>
      <c r="E26626" t="s">
        <v>674</v>
      </c>
      <c r="F26626" s="2" t="str">
        <f>HYPERLINK("http://www.otzar.org/book.asp?64167","משנה תורה &lt;שם טוב&gt; - 8 כר'")</f>
        <v>משנה תורה &lt;שם טוב&gt; - 8 כר'</v>
      </c>
    </row>
    <row r="26627" spans="1:6" x14ac:dyDescent="0.2">
      <c r="A26627" t="s">
        <v>42299</v>
      </c>
      <c r="B26627" t="s">
        <v>42300</v>
      </c>
      <c r="C26627" t="s">
        <v>20</v>
      </c>
      <c r="D26627" t="s">
        <v>14</v>
      </c>
      <c r="E26627" t="s">
        <v>674</v>
      </c>
      <c r="F26627" s="2" t="str">
        <f>HYPERLINK("http://www.otzar.org/book.asp?64155","משנה תורה &lt;המבואר&gt; - 12 כר'")</f>
        <v>משנה תורה &lt;המבואר&gt; - 12 כר'</v>
      </c>
    </row>
    <row r="26628" spans="1:6" x14ac:dyDescent="0.2">
      <c r="A26628" t="s">
        <v>42301</v>
      </c>
      <c r="B26628" t="s">
        <v>1320</v>
      </c>
      <c r="C26628" t="s">
        <v>106</v>
      </c>
      <c r="D26628" t="s">
        <v>27</v>
      </c>
      <c r="E26628" t="s">
        <v>15</v>
      </c>
      <c r="F26628" s="2" t="str">
        <f>HYPERLINK("http://www.otzar.org/book.asp?169215","משנה תורה &lt;דפוס ר""מ בן שאלתיאל&gt;")</f>
        <v>משנה תורה &lt;דפוס ר"מ בן שאלתיאל&gt;</v>
      </c>
    </row>
    <row r="26629" spans="1:6" x14ac:dyDescent="0.2">
      <c r="A26629" t="s">
        <v>42302</v>
      </c>
      <c r="B26629" t="s">
        <v>1320</v>
      </c>
      <c r="C26629" t="s">
        <v>42303</v>
      </c>
      <c r="D26629" t="s">
        <v>49</v>
      </c>
      <c r="E26629" t="s">
        <v>15</v>
      </c>
      <c r="F26629" s="2" t="str">
        <f>HYPERLINK("http://www.otzar.org/book.asp?53463","משנה תורה &lt;ונציה של""ד&gt; - 4 כר'")</f>
        <v>משנה תורה &lt;ונציה של"ד&gt; - 4 כר'</v>
      </c>
    </row>
    <row r="26630" spans="1:6" x14ac:dyDescent="0.2">
      <c r="A26630" t="s">
        <v>42304</v>
      </c>
      <c r="B26630" t="s">
        <v>1320</v>
      </c>
      <c r="C26630" t="s">
        <v>8222</v>
      </c>
      <c r="D26630" t="s">
        <v>49</v>
      </c>
      <c r="E26630" t="s">
        <v>15</v>
      </c>
      <c r="F26630" s="2" t="str">
        <f>HYPERLINK("http://www.otzar.org/book.asp?173200","משנה תורה &lt;ונציה שע""ה&gt; מדע אהבה זמנים")</f>
        <v>משנה תורה &lt;ונציה שע"ה&gt; מדע אהבה זמנים</v>
      </c>
    </row>
    <row r="26631" spans="1:6" x14ac:dyDescent="0.2">
      <c r="A26631" t="s">
        <v>42305</v>
      </c>
      <c r="B26631" t="s">
        <v>1320</v>
      </c>
      <c r="C26631" t="s">
        <v>129</v>
      </c>
      <c r="D26631" t="s">
        <v>14</v>
      </c>
      <c r="E26631" t="s">
        <v>15</v>
      </c>
      <c r="F26631" s="2" t="str">
        <f>HYPERLINK("http://www.otzar.org/book.asp?142008","משנה תורה &lt;מהדורה חדשה&gt; - 15 כר'")</f>
        <v>משנה תורה &lt;מהדורה חדשה&gt; - 15 כר'</v>
      </c>
    </row>
    <row r="26632" spans="1:6" x14ac:dyDescent="0.2">
      <c r="A26632" t="s">
        <v>42306</v>
      </c>
      <c r="B26632" t="s">
        <v>1320</v>
      </c>
      <c r="C26632" t="s">
        <v>42307</v>
      </c>
      <c r="D26632" t="s">
        <v>5421</v>
      </c>
      <c r="E26632" t="s">
        <v>15</v>
      </c>
      <c r="F26632" s="2" t="str">
        <f>HYPERLINK("http://www.otzar.org/book.asp?149902","משנה תורה &lt;מהדורת ר""י קאפח&gt; - 25 כר'")</f>
        <v>משנה תורה &lt;מהדורת ר"י קאפח&gt; - 25 כר'</v>
      </c>
    </row>
    <row r="26633" spans="1:6" x14ac:dyDescent="0.2">
      <c r="A26633" t="s">
        <v>42308</v>
      </c>
      <c r="B26633" t="s">
        <v>1320</v>
      </c>
      <c r="C26633" t="s">
        <v>18292</v>
      </c>
      <c r="D26633" t="s">
        <v>42309</v>
      </c>
      <c r="E26633" t="s">
        <v>15</v>
      </c>
      <c r="F26633" s="2" t="str">
        <f>HYPERLINK("http://www.otzar.org/book.asp?53460","משנה תורה &lt;ספרד ר""מ&gt;")</f>
        <v>משנה תורה &lt;ספרד ר"מ&gt;</v>
      </c>
    </row>
    <row r="26634" spans="1:6" x14ac:dyDescent="0.2">
      <c r="A26634" t="s">
        <v>42310</v>
      </c>
      <c r="B26634" t="s">
        <v>1320</v>
      </c>
      <c r="C26634" t="s">
        <v>19873</v>
      </c>
      <c r="D26634" t="s">
        <v>49</v>
      </c>
      <c r="E26634" t="s">
        <v>15</v>
      </c>
      <c r="F26634" s="2" t="str">
        <f>HYPERLINK("http://www.otzar.org/book.asp?182242","משנה תורה &lt;ע""פ מגדל עוז&gt; - 4 כר'")</f>
        <v>משנה תורה &lt;ע"פ מגדל עוז&gt; - 4 כר'</v>
      </c>
    </row>
    <row r="26635" spans="1:6" x14ac:dyDescent="0.2">
      <c r="A26635" t="s">
        <v>42311</v>
      </c>
      <c r="B26635" t="s">
        <v>1320</v>
      </c>
      <c r="C26635" t="s">
        <v>985</v>
      </c>
      <c r="D26635" t="s">
        <v>260</v>
      </c>
      <c r="E26635" t="s">
        <v>674</v>
      </c>
      <c r="F26635" s="2" t="str">
        <f>HYPERLINK("http://www.otzar.org/book.asp?13443","משנה תורה &lt;עם פירוש תמציתי&gt; - מדע")</f>
        <v>משנה תורה &lt;עם פירוש תמציתי&gt; - מדע</v>
      </c>
    </row>
    <row r="26636" spans="1:6" x14ac:dyDescent="0.2">
      <c r="A26636" t="s">
        <v>42312</v>
      </c>
      <c r="B26636" t="s">
        <v>1320</v>
      </c>
      <c r="C26636" t="s">
        <v>18933</v>
      </c>
      <c r="D26636" t="s">
        <v>1490</v>
      </c>
      <c r="E26636" t="s">
        <v>15</v>
      </c>
      <c r="F26636" s="2" t="str">
        <f>HYPERLINK("http://www.otzar.org/book.asp?16109","משנה תורה &lt;קושטא&gt; - 5 כר'")</f>
        <v>משנה תורה &lt;קושטא&gt; - 5 כר'</v>
      </c>
    </row>
    <row r="26637" spans="1:6" x14ac:dyDescent="0.2">
      <c r="A26637" t="s">
        <v>42313</v>
      </c>
      <c r="B26637" t="s">
        <v>1320</v>
      </c>
      <c r="C26637" t="s">
        <v>33</v>
      </c>
      <c r="D26637" t="s">
        <v>42309</v>
      </c>
      <c r="E26637" t="s">
        <v>15</v>
      </c>
      <c r="F26637" s="2" t="str">
        <f>HYPERLINK("http://www.otzar.org/book.asp?53458","משנה תורה &lt;קטע בודד מהלכות עבודה זרה&gt;")</f>
        <v>משנה תורה &lt;קטע בודד מהלכות עבודה זרה&gt;</v>
      </c>
    </row>
    <row r="26638" spans="1:6" x14ac:dyDescent="0.2">
      <c r="A26638" t="s">
        <v>42314</v>
      </c>
      <c r="B26638" t="s">
        <v>1320</v>
      </c>
      <c r="C26638" t="s">
        <v>42315</v>
      </c>
      <c r="D26638" t="s">
        <v>1037</v>
      </c>
      <c r="E26638" t="s">
        <v>621</v>
      </c>
      <c r="F26638" s="2" t="str">
        <f>HYPERLINK("http://www.otzar.org/book.asp?101754","משנה תורה &lt;ר""ש לוי&gt; - 3 כר'")</f>
        <v>משנה תורה &lt;ר"ש לוי&gt; - 3 כר'</v>
      </c>
    </row>
    <row r="26639" spans="1:6" x14ac:dyDescent="0.2">
      <c r="A26639" t="s">
        <v>42316</v>
      </c>
      <c r="B26639" t="s">
        <v>1320</v>
      </c>
      <c r="C26639" t="s">
        <v>5527</v>
      </c>
      <c r="D26639" t="s">
        <v>20567</v>
      </c>
      <c r="F26639" s="2" t="str">
        <f>HYPERLINK("http://www.otzar.org/book.asp?53461","משנה תורה &lt;רומי רל""ה&gt; - 2 כר'")</f>
        <v>משנה תורה &lt;רומי רל"ה&gt; - 2 כר'</v>
      </c>
    </row>
    <row r="26640" spans="1:6" x14ac:dyDescent="0.2">
      <c r="A26640" t="s">
        <v>42317</v>
      </c>
      <c r="B26640" t="s">
        <v>1320</v>
      </c>
      <c r="C26640" t="s">
        <v>146</v>
      </c>
      <c r="D26640" t="s">
        <v>14</v>
      </c>
      <c r="F26640" s="2" t="str">
        <f>HYPERLINK("http://www.otzar.org/book.asp?164241","משנה תורה &lt;רמב""ם מדויק&gt; - 9 כר'")</f>
        <v>משנה תורה &lt;רמב"ם מדויק&gt; - 9 כר'</v>
      </c>
    </row>
    <row r="26641" spans="1:6" x14ac:dyDescent="0.2">
      <c r="A26641" t="s">
        <v>42318</v>
      </c>
      <c r="B26641" t="s">
        <v>1320</v>
      </c>
      <c r="C26641" t="s">
        <v>33</v>
      </c>
      <c r="D26641" t="s">
        <v>9012</v>
      </c>
      <c r="E26641" t="s">
        <v>15</v>
      </c>
      <c r="F26641" s="2" t="str">
        <f>HYPERLINK("http://www.otzar.org/book.asp?53459","משנה תורה &lt;שונצינו ר""נ&gt;")</f>
        <v>משנה תורה &lt;שונצינו ר"נ&gt;</v>
      </c>
    </row>
    <row r="26642" spans="1:6" x14ac:dyDescent="0.2">
      <c r="A26642" t="s">
        <v>42319</v>
      </c>
      <c r="B26642" t="s">
        <v>42320</v>
      </c>
      <c r="C26642" t="s">
        <v>37</v>
      </c>
      <c r="D26642" t="s">
        <v>52</v>
      </c>
      <c r="F26642" s="2" t="str">
        <f>HYPERLINK("http://www.otzar.org/book.asp?617212","משנה תורה &lt;שפת מלך&gt; - 6 כר'")</f>
        <v>משנה תורה &lt;שפת מלך&gt; - 6 כר'</v>
      </c>
    </row>
    <row r="26643" spans="1:6" x14ac:dyDescent="0.2">
      <c r="A26643" t="s">
        <v>42321</v>
      </c>
      <c r="B26643" t="s">
        <v>1320</v>
      </c>
      <c r="C26643" t="s">
        <v>129</v>
      </c>
      <c r="D26643" t="s">
        <v>14</v>
      </c>
      <c r="E26643" t="s">
        <v>15</v>
      </c>
      <c r="F26643" s="2" t="str">
        <f>HYPERLINK("http://www.otzar.org/book.asp?50008","משנה תורה להרמב""ם &lt;טקסט&gt;")</f>
        <v>משנה תורה להרמב"ם &lt;טקסט&gt;</v>
      </c>
    </row>
    <row r="26644" spans="1:6" x14ac:dyDescent="0.2">
      <c r="A26644" t="s">
        <v>42322</v>
      </c>
      <c r="B26644" t="s">
        <v>42323</v>
      </c>
      <c r="C26644" t="s">
        <v>775</v>
      </c>
      <c r="D26644" t="s">
        <v>14</v>
      </c>
      <c r="E26644" t="s">
        <v>15</v>
      </c>
      <c r="F26644" s="2" t="str">
        <f>HYPERLINK("http://www.otzar.org/book.asp?142158","משנה תורה להרמב""ם הל' עבדים ע""פ יקר תפארת ומשפטי שמואל")</f>
        <v>משנה תורה להרמב"ם הל' עבדים ע"פ יקר תפארת ומשפטי שמואל</v>
      </c>
    </row>
    <row r="26645" spans="1:6" x14ac:dyDescent="0.2">
      <c r="A26645" t="s">
        <v>42324</v>
      </c>
      <c r="B26645" t="s">
        <v>36013</v>
      </c>
      <c r="C26645" t="s">
        <v>168</v>
      </c>
      <c r="D26645" t="s">
        <v>412</v>
      </c>
      <c r="E26645" t="s">
        <v>15</v>
      </c>
      <c r="F26645" s="2" t="str">
        <f>HYPERLINK("http://www.otzar.org/book.asp?168945","משנה תורה לרמב""ם &lt;דפוסי ספרד&gt;")</f>
        <v>משנה תורה לרמב"ם &lt;דפוסי ספרד&gt;</v>
      </c>
    </row>
    <row r="26646" spans="1:6" x14ac:dyDescent="0.2">
      <c r="A26646" t="s">
        <v>42325</v>
      </c>
      <c r="B26646" t="s">
        <v>42326</v>
      </c>
      <c r="C26646" t="s">
        <v>1619</v>
      </c>
      <c r="D26646" t="s">
        <v>412</v>
      </c>
      <c r="E26646" t="s">
        <v>104</v>
      </c>
      <c r="F26646" s="2" t="str">
        <f>HYPERLINK("http://www.otzar.org/book.asp?605299","משנה תורה לרמב""ם -ביבליוגראפיה של הוצאות")</f>
        <v>משנה תורה לרמב"ם -ביבליוגראפיה של הוצאות</v>
      </c>
    </row>
    <row r="26647" spans="1:6" x14ac:dyDescent="0.2">
      <c r="A26647" t="s">
        <v>42327</v>
      </c>
      <c r="B26647" t="s">
        <v>42328</v>
      </c>
      <c r="C26647" t="s">
        <v>146</v>
      </c>
      <c r="D26647" t="s">
        <v>14</v>
      </c>
      <c r="E26647" t="s">
        <v>104</v>
      </c>
      <c r="F26647" s="2" t="str">
        <f>HYPERLINK("http://www.otzar.org/book.asp?173149","משנה תורה - 20 כר'")</f>
        <v>משנה תורה - 20 כר'</v>
      </c>
    </row>
    <row r="26648" spans="1:6" x14ac:dyDescent="0.2">
      <c r="A26648" t="s">
        <v>42329</v>
      </c>
      <c r="B26648" t="s">
        <v>42330</v>
      </c>
      <c r="C26648" t="s">
        <v>160</v>
      </c>
      <c r="D26648" t="s">
        <v>412</v>
      </c>
      <c r="E26648" t="s">
        <v>15</v>
      </c>
      <c r="F26648" s="2" t="str">
        <f>HYPERLINK("http://www.otzar.org/book.asp?157635","משנה תורה - &lt;שולזינגר - ההוספות&gt; - נזיקין, קנין, משפטים, שופטים, פרקים מספר משנה תורה שנכתבו בעצם כתב יד קדשו של רבינו המחבר")</f>
        <v>משנה תורה - &lt;שולזינגר - ההוספות&gt; - נזיקין, קנין, משפטים, שופטים, פרקים מספר משנה תורה שנכתבו בעצם כתב יד קדשו של רבינו המחבר</v>
      </c>
    </row>
    <row r="26649" spans="1:6" x14ac:dyDescent="0.2">
      <c r="A26649" t="s">
        <v>42331</v>
      </c>
      <c r="B26649" t="s">
        <v>1320</v>
      </c>
      <c r="C26649" t="s">
        <v>442</v>
      </c>
      <c r="D26649" t="s">
        <v>14</v>
      </c>
      <c r="E26649" t="s">
        <v>15</v>
      </c>
      <c r="F26649" s="2" t="str">
        <f>HYPERLINK("http://www.otzar.org/book.asp?52579","משנה תורה - 15 כר'")</f>
        <v>משנה תורה - 15 כר'</v>
      </c>
    </row>
    <row r="26650" spans="1:6" x14ac:dyDescent="0.2">
      <c r="A26650" t="s">
        <v>42332</v>
      </c>
      <c r="B26650" t="s">
        <v>42333</v>
      </c>
      <c r="C26650" t="s">
        <v>23</v>
      </c>
      <c r="D26650" t="s">
        <v>52</v>
      </c>
      <c r="E26650" t="s">
        <v>84</v>
      </c>
      <c r="F26650" s="2" t="str">
        <f>HYPERLINK("http://www.otzar.org/book.asp?189137","משניות  שביעית עם דרך אמונה")</f>
        <v>משניות  שביעית עם דרך אמונה</v>
      </c>
    </row>
    <row r="26651" spans="1:6" x14ac:dyDescent="0.2">
      <c r="A26651" t="s">
        <v>42334</v>
      </c>
      <c r="B26651" t="s">
        <v>42335</v>
      </c>
      <c r="C26651" t="s">
        <v>4144</v>
      </c>
      <c r="D26651" t="s">
        <v>283</v>
      </c>
      <c r="E26651" t="s">
        <v>84</v>
      </c>
      <c r="F26651" s="2" t="str">
        <f>HYPERLINK("http://www.otzar.org/book.asp?149858","משניות &lt;קב ונקי - 4 כר'")</f>
        <v>משניות &lt;קב ונקי - 4 כר'</v>
      </c>
    </row>
    <row r="26652" spans="1:6" x14ac:dyDescent="0.2">
      <c r="A26652" t="s">
        <v>42336</v>
      </c>
      <c r="B26652" t="s">
        <v>42337</v>
      </c>
      <c r="C26652" t="s">
        <v>42338</v>
      </c>
      <c r="D26652" t="s">
        <v>563</v>
      </c>
      <c r="E26652" t="s">
        <v>38</v>
      </c>
      <c r="F26652" s="2" t="str">
        <f>HYPERLINK("http://www.otzar.org/book.asp?200002","משניות &lt;תוספת ומפתח&gt;")</f>
        <v>משניות &lt;תוספת ומפתח&gt;</v>
      </c>
    </row>
    <row r="26653" spans="1:6" x14ac:dyDescent="0.2">
      <c r="A26653" t="s">
        <v>42339</v>
      </c>
      <c r="B26653" t="s">
        <v>42340</v>
      </c>
      <c r="C26653" t="s">
        <v>609</v>
      </c>
      <c r="D26653" t="s">
        <v>42341</v>
      </c>
      <c r="E26653" t="s">
        <v>2338</v>
      </c>
      <c r="F26653" s="2" t="str">
        <f>HYPERLINK("http://www.otzar.org/book.asp?454","משניות &lt;כת""י קאופמן&gt; - 2 כר'")</f>
        <v>משניות &lt;כת"י קאופמן&gt; - 2 כר'</v>
      </c>
    </row>
    <row r="26654" spans="1:6" x14ac:dyDescent="0.2">
      <c r="A26654" t="s">
        <v>42342</v>
      </c>
      <c r="B26654" t="s">
        <v>42343</v>
      </c>
      <c r="C26654" t="s">
        <v>19842</v>
      </c>
      <c r="D26654" t="s">
        <v>1023</v>
      </c>
      <c r="E26654" t="s">
        <v>84</v>
      </c>
      <c r="F26654" s="2" t="str">
        <f>HYPERLINK("http://www.otzar.org/book.asp?104362","משניות &lt;כף נחת&gt; - 2 כר'")</f>
        <v>משניות &lt;כף נחת&gt; - 2 כר'</v>
      </c>
    </row>
    <row r="26655" spans="1:6" x14ac:dyDescent="0.2">
      <c r="A26655" t="s">
        <v>42344</v>
      </c>
      <c r="B26655" t="s">
        <v>42345</v>
      </c>
      <c r="C26655" t="s">
        <v>1619</v>
      </c>
      <c r="D26655" t="s">
        <v>412</v>
      </c>
      <c r="E26655" t="s">
        <v>42346</v>
      </c>
      <c r="F26655" s="2" t="str">
        <f>HYPERLINK("http://www.otzar.org/book.asp?52356","משניות &lt;טהרת יום טוב&gt; - 20 כר'")</f>
        <v>משניות &lt;טהרת יום טוב&gt; - 20 כר'</v>
      </c>
    </row>
    <row r="26656" spans="1:6" x14ac:dyDescent="0.2">
      <c r="A26656" t="s">
        <v>42347</v>
      </c>
      <c r="B26656" t="s">
        <v>42348</v>
      </c>
      <c r="C26656" t="s">
        <v>151</v>
      </c>
      <c r="D26656" t="s">
        <v>147</v>
      </c>
      <c r="E26656" t="s">
        <v>84</v>
      </c>
      <c r="F26656" s="2" t="str">
        <f>HYPERLINK("http://www.otzar.org/book.asp?621420","משניות &lt;עיר חדשה&gt; - זרעים א")</f>
        <v>משניות &lt;עיר חדשה&gt; - זרעים א</v>
      </c>
    </row>
    <row r="26657" spans="1:6" x14ac:dyDescent="0.2">
      <c r="A26657" t="s">
        <v>42349</v>
      </c>
      <c r="B26657" t="s">
        <v>42350</v>
      </c>
      <c r="C26657" t="s">
        <v>1570</v>
      </c>
      <c r="D26657" t="s">
        <v>14</v>
      </c>
      <c r="E26657" t="s">
        <v>38</v>
      </c>
      <c r="F26657" s="2" t="str">
        <f>HYPERLINK("http://www.otzar.org/book.asp?64354","משניות &lt;מנוקדות במסורת תימן&gt; - 6 כר'")</f>
        <v>משניות &lt;מנוקדות במסורת תימן&gt; - 6 כר'</v>
      </c>
    </row>
    <row r="26658" spans="1:6" x14ac:dyDescent="0.2">
      <c r="A26658" t="s">
        <v>42351</v>
      </c>
      <c r="B26658" t="s">
        <v>39305</v>
      </c>
      <c r="C26658" t="s">
        <v>15276</v>
      </c>
      <c r="D26658" t="s">
        <v>14954</v>
      </c>
      <c r="F26658" s="2" t="str">
        <f>HYPERLINK("http://www.otzar.org/book.asp?84192","משניות &lt;פסקי משנה, מנחת יצחק, ליקוטי יצחק&gt; - 5 כר'")</f>
        <v>משניות &lt;פסקי משנה, מנחת יצחק, ליקוטי יצחק&gt; - 5 כר'</v>
      </c>
    </row>
    <row r="26659" spans="1:6" x14ac:dyDescent="0.2">
      <c r="A26659" t="s">
        <v>42352</v>
      </c>
      <c r="B26659" t="s">
        <v>42353</v>
      </c>
      <c r="C26659" t="s">
        <v>15276</v>
      </c>
      <c r="D26659" t="s">
        <v>14954</v>
      </c>
      <c r="E26659" t="s">
        <v>84</v>
      </c>
      <c r="F26659" s="2" t="str">
        <f>HYPERLINK("http://www.otzar.org/book.asp?172277","משניות &lt;פסקי משנה, מנחת יצחק, ליקוטי יצחק&gt; - מועד")</f>
        <v>משניות &lt;פסקי משנה, מנחת יצחק, ליקוטי יצחק&gt; - מועד</v>
      </c>
    </row>
    <row r="26660" spans="1:6" x14ac:dyDescent="0.2">
      <c r="A26660" t="s">
        <v>42354</v>
      </c>
      <c r="B26660" t="s">
        <v>42355</v>
      </c>
      <c r="C26660" t="s">
        <v>1679</v>
      </c>
      <c r="D26660" t="s">
        <v>1023</v>
      </c>
      <c r="F26660" s="2" t="str">
        <f>HYPERLINK("http://www.otzar.org/book.asp?151542","משניות &lt;לחם משנה  באר אברהם&gt; - זרעים , נשים")</f>
        <v>משניות &lt;לחם משנה  באר אברהם&gt; - זרעים , נשים</v>
      </c>
    </row>
    <row r="26661" spans="1:6" x14ac:dyDescent="0.2">
      <c r="A26661" t="s">
        <v>42356</v>
      </c>
      <c r="B26661" t="s">
        <v>42357</v>
      </c>
      <c r="C26661" t="s">
        <v>2945</v>
      </c>
      <c r="D26661" t="s">
        <v>1593</v>
      </c>
      <c r="E26661" t="s">
        <v>84</v>
      </c>
      <c r="F26661" s="2" t="str">
        <f>HYPERLINK("http://www.otzar.org/book.asp?63904","משניות &lt;ע""פ באר אברהם&gt; - 2 כר'")</f>
        <v>משניות &lt;ע"פ באר אברהם&gt; - 2 כר'</v>
      </c>
    </row>
    <row r="26662" spans="1:6" x14ac:dyDescent="0.2">
      <c r="A26662" t="s">
        <v>42358</v>
      </c>
      <c r="B26662" t="s">
        <v>42359</v>
      </c>
      <c r="C26662" t="s">
        <v>99</v>
      </c>
      <c r="D26662" t="s">
        <v>56</v>
      </c>
      <c r="E26662" t="s">
        <v>84</v>
      </c>
      <c r="F26662" s="2" t="str">
        <f>HYPERLINK("http://www.otzar.org/book.asp?6650","משניות &lt;תפארת ישראל&gt; - 14 כר'")</f>
        <v>משניות &lt;תפארת ישראל&gt; - 14 כר'</v>
      </c>
    </row>
    <row r="26663" spans="1:6" x14ac:dyDescent="0.2">
      <c r="A26663" t="s">
        <v>42360</v>
      </c>
      <c r="B26663" t="s">
        <v>84</v>
      </c>
      <c r="C26663" t="s">
        <v>42361</v>
      </c>
      <c r="D26663" t="s">
        <v>5477</v>
      </c>
      <c r="E26663" t="s">
        <v>84</v>
      </c>
      <c r="F26663" s="2" t="str">
        <f>HYPERLINK("http://www.otzar.org/book.asp?105716","משניות &lt;תפארת ישראל&gt; - 12 כר'")</f>
        <v>משניות &lt;תפארת ישראל&gt; - 12 כר'</v>
      </c>
    </row>
    <row r="26664" spans="1:6" x14ac:dyDescent="0.2">
      <c r="A26664" t="s">
        <v>42362</v>
      </c>
      <c r="B26664" t="s">
        <v>42363</v>
      </c>
      <c r="C26664" t="s">
        <v>1124</v>
      </c>
      <c r="D26664" t="s">
        <v>27770</v>
      </c>
      <c r="E26664" t="s">
        <v>84</v>
      </c>
      <c r="F26664" s="2" t="str">
        <f>HYPERLINK("http://www.otzar.org/book.asp?198460","משניות &lt;לעמבערג&gt; - 6 כר'")</f>
        <v>משניות &lt;לעמבערג&gt; - 6 כר'</v>
      </c>
    </row>
    <row r="26665" spans="1:6" x14ac:dyDescent="0.2">
      <c r="A26665" t="s">
        <v>42364</v>
      </c>
      <c r="B26665" t="s">
        <v>42365</v>
      </c>
      <c r="C26665" t="s">
        <v>42366</v>
      </c>
      <c r="D26665" t="s">
        <v>1490</v>
      </c>
      <c r="F26665" s="2" t="str">
        <f>HYPERLINK("http://www.otzar.org/book.asp?164846","משניות &lt;ע""פ כף נחת&gt;")</f>
        <v>משניות &lt;ע"פ כף נחת&gt;</v>
      </c>
    </row>
    <row r="26666" spans="1:6" x14ac:dyDescent="0.2">
      <c r="A26666" t="s">
        <v>42367</v>
      </c>
      <c r="B26666" t="s">
        <v>42368</v>
      </c>
      <c r="C26666" t="s">
        <v>42369</v>
      </c>
      <c r="D26666" t="s">
        <v>1023</v>
      </c>
      <c r="E26666" t="s">
        <v>84</v>
      </c>
      <c r="F26666" s="2" t="str">
        <f>HYPERLINK("http://www.otzar.org/book.asp?172709","משניות &lt;עם תוספות יום טוב&gt; - 4 כר'")</f>
        <v>משניות &lt;עם תוספות יום טוב&gt; - 4 כר'</v>
      </c>
    </row>
    <row r="26667" spans="1:6" x14ac:dyDescent="0.2">
      <c r="A26667" t="s">
        <v>42370</v>
      </c>
      <c r="B26667" t="s">
        <v>42371</v>
      </c>
      <c r="C26667" t="s">
        <v>38389</v>
      </c>
      <c r="D26667" t="s">
        <v>56</v>
      </c>
      <c r="E26667" t="s">
        <v>84</v>
      </c>
      <c r="F26667" s="2" t="str">
        <f>HYPERLINK("http://www.otzar.org/book.asp?25141","משניות &lt;וילנא&gt; - 13 כר'")</f>
        <v>משניות &lt;וילנא&gt; - 13 כר'</v>
      </c>
    </row>
    <row r="26668" spans="1:6" x14ac:dyDescent="0.2">
      <c r="A26668" t="s">
        <v>42372</v>
      </c>
      <c r="B26668" t="s">
        <v>42373</v>
      </c>
      <c r="C26668" t="s">
        <v>42374</v>
      </c>
      <c r="D26668" t="s">
        <v>42375</v>
      </c>
      <c r="F26668" s="2" t="str">
        <f>HYPERLINK("http://www.otzar.org/book.asp?164828","משניות &lt;עם ביאורי המילים ופסק הלכה&gt;")</f>
        <v>משניות &lt;עם ביאורי המילים ופסק הלכה&gt;</v>
      </c>
    </row>
    <row r="26669" spans="1:6" x14ac:dyDescent="0.2">
      <c r="A26669" t="s">
        <v>42376</v>
      </c>
      <c r="B26669" t="s">
        <v>42377</v>
      </c>
      <c r="C26669" t="s">
        <v>422</v>
      </c>
      <c r="D26669" t="s">
        <v>14</v>
      </c>
      <c r="E26669" t="s">
        <v>84</v>
      </c>
      <c r="F26669" s="2" t="str">
        <f>HYPERLINK("http://www.otzar.org/book.asp?173939","משניות &lt;וילנא החדש&gt; - 13 כר'")</f>
        <v>משניות &lt;וילנא החדש&gt; - 13 כר'</v>
      </c>
    </row>
    <row r="26670" spans="1:6" x14ac:dyDescent="0.2">
      <c r="A26670" t="s">
        <v>42378</v>
      </c>
      <c r="B26670" t="s">
        <v>1720</v>
      </c>
      <c r="C26670" t="s">
        <v>75</v>
      </c>
      <c r="D26670" t="s">
        <v>267</v>
      </c>
      <c r="E26670" t="s">
        <v>84</v>
      </c>
      <c r="F26670" s="2" t="str">
        <f>HYPERLINK("http://www.otzar.org/book.asp?8877","משניות &lt;מעשה ארג פני זקן עצי עדן&gt; - 6 כר'")</f>
        <v>משניות &lt;מעשה ארג פני זקן עצי עדן&gt; - 6 כר'</v>
      </c>
    </row>
    <row r="26671" spans="1:6" x14ac:dyDescent="0.2">
      <c r="A26671" t="s">
        <v>42379</v>
      </c>
      <c r="B26671" t="s">
        <v>42380</v>
      </c>
      <c r="C26671" t="s">
        <v>1246</v>
      </c>
      <c r="D26671" t="s">
        <v>412</v>
      </c>
      <c r="E26671" t="s">
        <v>84</v>
      </c>
      <c r="F26671" s="2" t="str">
        <f>HYPERLINK("http://www.otzar.org/book.asp?154809","משניות &lt;ע""פ ביידיש&gt; - 6 כר'")</f>
        <v>משניות &lt;ע"פ ביידיש&gt; - 6 כר'</v>
      </c>
    </row>
    <row r="26672" spans="1:6" x14ac:dyDescent="0.2">
      <c r="A26672" t="s">
        <v>42381</v>
      </c>
      <c r="B26672" t="s">
        <v>42382</v>
      </c>
      <c r="C26672" t="s">
        <v>2105</v>
      </c>
      <c r="D26672" t="s">
        <v>563</v>
      </c>
      <c r="E26672" t="s">
        <v>84</v>
      </c>
      <c r="F26672" s="2" t="str">
        <f>HYPERLINK("http://www.otzar.org/book.asp?103451","משניות &lt;קהלת יעקב&gt;")</f>
        <v>משניות &lt;קהלת יעקב&gt;</v>
      </c>
    </row>
    <row r="26673" spans="1:6" x14ac:dyDescent="0.2">
      <c r="A26673" t="s">
        <v>42383</v>
      </c>
      <c r="B26673" t="s">
        <v>42384</v>
      </c>
      <c r="C26673" t="s">
        <v>5709</v>
      </c>
      <c r="D26673" t="s">
        <v>7163</v>
      </c>
      <c r="E26673" t="s">
        <v>84</v>
      </c>
      <c r="F26673" s="2" t="str">
        <f>HYPERLINK("http://www.otzar.org/book.asp?103454","משניות &lt;מלא כף נחת&gt; - 7 כר'")</f>
        <v>משניות &lt;מלא כף נחת&gt; - 7 כר'</v>
      </c>
    </row>
    <row r="26674" spans="1:6" x14ac:dyDescent="0.2">
      <c r="A26674" t="s">
        <v>42385</v>
      </c>
      <c r="B26674" t="s">
        <v>42386</v>
      </c>
      <c r="C26674" t="s">
        <v>42387</v>
      </c>
      <c r="D26674" t="s">
        <v>14445</v>
      </c>
      <c r="F26674" s="2" t="str">
        <f>HYPERLINK("http://www.otzar.org/book.asp?153131","משניות &lt;דפוס קראקא&gt; - 6 כר'")</f>
        <v>משניות &lt;דפוס קראקא&gt; - 6 כר'</v>
      </c>
    </row>
    <row r="26675" spans="1:6" x14ac:dyDescent="0.2">
      <c r="A26675" t="s">
        <v>42388</v>
      </c>
      <c r="B26675" t="s">
        <v>15971</v>
      </c>
      <c r="C26675" t="s">
        <v>129</v>
      </c>
      <c r="D26675" t="s">
        <v>14</v>
      </c>
      <c r="E26675" t="s">
        <v>84</v>
      </c>
      <c r="F26675" s="2" t="str">
        <f>HYPERLINK("http://www.otzar.org/book.asp?177029","משניות דעת אליהו - 3 כר'")</f>
        <v>משניות דעת אליהו - 3 כר'</v>
      </c>
    </row>
    <row r="26676" spans="1:6" x14ac:dyDescent="0.2">
      <c r="A26676" t="s">
        <v>42389</v>
      </c>
      <c r="B26676" t="s">
        <v>84</v>
      </c>
      <c r="C26676" t="s">
        <v>466</v>
      </c>
      <c r="D26676" t="s">
        <v>14</v>
      </c>
      <c r="E26676" t="s">
        <v>10013</v>
      </c>
      <c r="F26676" s="2" t="str">
        <f>HYPERLINK("http://www.otzar.org/book.asp?105188","משניות זכר חנוך - 13 כר'")</f>
        <v>משניות זכר חנוך - 13 כר'</v>
      </c>
    </row>
    <row r="26677" spans="1:6" x14ac:dyDescent="0.2">
      <c r="A26677" t="s">
        <v>42390</v>
      </c>
      <c r="B26677" t="s">
        <v>42391</v>
      </c>
      <c r="C26677" t="s">
        <v>576</v>
      </c>
      <c r="D26677" t="s">
        <v>287</v>
      </c>
      <c r="E26677" t="s">
        <v>84</v>
      </c>
      <c r="F26677" s="2" t="str">
        <f>HYPERLINK("http://www.otzar.org/book.asp?149629","משניות זכרון אבות")</f>
        <v>משניות זכרון אבות</v>
      </c>
    </row>
    <row r="26678" spans="1:6" x14ac:dyDescent="0.2">
      <c r="A26678" t="s">
        <v>42392</v>
      </c>
      <c r="B26678" t="s">
        <v>42359</v>
      </c>
      <c r="C26678" t="s">
        <v>20</v>
      </c>
      <c r="D26678" t="s">
        <v>52</v>
      </c>
      <c r="E26678" t="s">
        <v>84</v>
      </c>
      <c r="F26678" s="2" t="str">
        <f>HYPERLINK("http://www.otzar.org/book.asp?618171","משניות זרע ישראל - זרעים")</f>
        <v>משניות זרע ישראל - זרעים</v>
      </c>
    </row>
    <row r="26679" spans="1:6" x14ac:dyDescent="0.2">
      <c r="A26679" t="s">
        <v>42393</v>
      </c>
      <c r="B26679" t="s">
        <v>84</v>
      </c>
      <c r="C26679" t="s">
        <v>42394</v>
      </c>
      <c r="D26679" t="s">
        <v>22983</v>
      </c>
      <c r="E26679" t="s">
        <v>84</v>
      </c>
      <c r="F26679" s="2" t="str">
        <f>HYPERLINK("http://www.otzar.org/book.asp?103449","משניות זרעים מועד נשים")</f>
        <v>משניות זרעים מועד נשים</v>
      </c>
    </row>
    <row r="26680" spans="1:6" x14ac:dyDescent="0.2">
      <c r="A26680" t="s">
        <v>42395</v>
      </c>
      <c r="B26680" t="s">
        <v>42396</v>
      </c>
      <c r="C26680" t="s">
        <v>15276</v>
      </c>
      <c r="D26680" t="s">
        <v>225</v>
      </c>
      <c r="E26680" t="s">
        <v>10013</v>
      </c>
      <c r="F26680" s="2" t="str">
        <f>HYPERLINK("http://www.otzar.org/book.asp?11513","משניות זרעים עם תוספות חכמים ומנחת יצחק")</f>
        <v>משניות זרעים עם תוספות חכמים ומנחת יצחק</v>
      </c>
    </row>
    <row r="26681" spans="1:6" x14ac:dyDescent="0.2">
      <c r="A26681" t="s">
        <v>42397</v>
      </c>
      <c r="B26681" t="s">
        <v>84</v>
      </c>
      <c r="C26681" t="s">
        <v>1124</v>
      </c>
      <c r="D26681" t="s">
        <v>1279</v>
      </c>
      <c r="E26681" t="s">
        <v>84</v>
      </c>
      <c r="F26681" s="2" t="str">
        <f>HYPERLINK("http://www.otzar.org/book.asp?103403","משניות זרעים")</f>
        <v>משניות זרעים</v>
      </c>
    </row>
    <row r="26682" spans="1:6" x14ac:dyDescent="0.2">
      <c r="A26682" t="s">
        <v>42398</v>
      </c>
      <c r="B26682" t="s">
        <v>42386</v>
      </c>
      <c r="C26682" t="s">
        <v>68</v>
      </c>
      <c r="D26682" t="s">
        <v>52</v>
      </c>
      <c r="F26682" s="2" t="str">
        <f>HYPERLINK("http://www.otzar.org/book.asp?606447","משניות טהרות &lt;לימודי דעת&gt; - 2 כר'")</f>
        <v>משניות טהרות &lt;לימודי דעת&gt; - 2 כר'</v>
      </c>
    </row>
    <row r="26683" spans="1:6" x14ac:dyDescent="0.2">
      <c r="A26683" t="s">
        <v>42399</v>
      </c>
      <c r="B26683" t="s">
        <v>42400</v>
      </c>
      <c r="C26683" t="s">
        <v>51</v>
      </c>
      <c r="D26683" t="s">
        <v>52</v>
      </c>
      <c r="E26683" t="s">
        <v>84</v>
      </c>
      <c r="F26683" s="2" t="str">
        <f>HYPERLINK("http://www.otzar.org/book.asp?168988","משניות מוארות - 4 כר'")</f>
        <v>משניות מוארות - 4 כר'</v>
      </c>
    </row>
    <row r="26684" spans="1:6" x14ac:dyDescent="0.2">
      <c r="A26684" t="s">
        <v>42401</v>
      </c>
      <c r="B26684" t="s">
        <v>42402</v>
      </c>
      <c r="C26684" t="s">
        <v>20</v>
      </c>
      <c r="D26684" t="s">
        <v>90</v>
      </c>
      <c r="E26684" t="s">
        <v>84</v>
      </c>
      <c r="F26684" s="2" t="str">
        <f>HYPERLINK("http://www.otzar.org/book.asp?191135","משניות מנוקדות - 3 כר'")</f>
        <v>משניות מנוקדות - 3 כר'</v>
      </c>
    </row>
    <row r="26685" spans="1:6" x14ac:dyDescent="0.2">
      <c r="A26685" t="s">
        <v>42403</v>
      </c>
      <c r="B26685" t="s">
        <v>42404</v>
      </c>
      <c r="C26685">
        <v>1927</v>
      </c>
      <c r="D26685" t="s">
        <v>6537</v>
      </c>
      <c r="F26685" s="2" t="str">
        <f>HYPERLINK("http://www.otzar.org/book.asp?630733","משניות מסכת ברכות עם תרגום הולנדית ועם הערות")</f>
        <v>משניות מסכת ברכות עם תרגום הולנדית ועם הערות</v>
      </c>
    </row>
    <row r="26686" spans="1:6" x14ac:dyDescent="0.2">
      <c r="A26686" t="s">
        <v>42405</v>
      </c>
      <c r="B26686" t="s">
        <v>42406</v>
      </c>
      <c r="C26686" t="s">
        <v>332</v>
      </c>
      <c r="D26686" t="s">
        <v>14</v>
      </c>
      <c r="E26686" t="s">
        <v>38</v>
      </c>
      <c r="F26686" s="2" t="str">
        <f>HYPERLINK("http://www.otzar.org/book.asp?103468","משניות מסכת הוריות")</f>
        <v>משניות מסכת הוריות</v>
      </c>
    </row>
    <row r="26687" spans="1:6" x14ac:dyDescent="0.2">
      <c r="A26687" t="s">
        <v>42407</v>
      </c>
      <c r="B26687" t="s">
        <v>42408</v>
      </c>
      <c r="C26687" t="s">
        <v>1954</v>
      </c>
      <c r="D26687" t="s">
        <v>27</v>
      </c>
      <c r="E26687" t="s">
        <v>786</v>
      </c>
      <c r="F26687" s="2" t="str">
        <f>HYPERLINK("http://www.otzar.org/book.asp?14025","משניות מסכת מקואות &lt;מחנה אברהם&gt;")</f>
        <v>משניות מסכת מקואות &lt;מחנה אברהם&gt;</v>
      </c>
    </row>
    <row r="26688" spans="1:6" x14ac:dyDescent="0.2">
      <c r="A26688" t="s">
        <v>42409</v>
      </c>
      <c r="B26688" t="s">
        <v>38206</v>
      </c>
      <c r="C26688" t="s">
        <v>390</v>
      </c>
      <c r="D26688" t="s">
        <v>42410</v>
      </c>
      <c r="E26688" t="s">
        <v>84</v>
      </c>
      <c r="F26688" s="2" t="str">
        <f>HYPERLINK("http://www.otzar.org/book.asp?610909","משניות מסכת פסחים עם ליקוטים ופירושים")</f>
        <v>משניות מסכת פסחים עם ליקוטים ופירושים</v>
      </c>
    </row>
    <row r="26689" spans="1:6" x14ac:dyDescent="0.2">
      <c r="A26689" t="s">
        <v>42411</v>
      </c>
      <c r="B26689" t="s">
        <v>42412</v>
      </c>
      <c r="C26689" t="s">
        <v>37</v>
      </c>
      <c r="D26689" t="s">
        <v>14</v>
      </c>
      <c r="E26689" t="s">
        <v>84</v>
      </c>
      <c r="F26689" s="2" t="str">
        <f>HYPERLINK("http://www.otzar.org/book.asp?186815","משניות מסכת שביעית &lt;דברי שיר - דברי הלכה&gt;")</f>
        <v>משניות מסכת שביעית &lt;דברי שיר - דברי הלכה&gt;</v>
      </c>
    </row>
    <row r="26690" spans="1:6" x14ac:dyDescent="0.2">
      <c r="A26690" t="s">
        <v>42413</v>
      </c>
      <c r="B26690" t="s">
        <v>20270</v>
      </c>
      <c r="C26690">
        <v>1916</v>
      </c>
      <c r="D26690" t="s">
        <v>280</v>
      </c>
      <c r="E26690" t="s">
        <v>84</v>
      </c>
      <c r="F26690" s="2" t="str">
        <f>HYPERLINK("http://www.otzar.org/book.asp?619125","משניות מתורגמים ומפורשים בלשון אשכנז - 2 כר'")</f>
        <v>משניות מתורגמים ומפורשים בלשון אשכנז - 2 כר'</v>
      </c>
    </row>
    <row r="26691" spans="1:6" x14ac:dyDescent="0.2">
      <c r="A26691" t="s">
        <v>42414</v>
      </c>
      <c r="B26691" t="s">
        <v>3484</v>
      </c>
      <c r="C26691" t="s">
        <v>35474</v>
      </c>
      <c r="D26691" t="s">
        <v>14445</v>
      </c>
      <c r="F26691" s="2" t="str">
        <f>HYPERLINK("http://www.otzar.org/book.asp?614594","משניות נזיקין עם תוספות יום טוב")</f>
        <v>משניות נזיקין עם תוספות יום טוב</v>
      </c>
    </row>
    <row r="26692" spans="1:6" x14ac:dyDescent="0.2">
      <c r="A26692" t="s">
        <v>42415</v>
      </c>
      <c r="B26692" t="s">
        <v>3105</v>
      </c>
      <c r="C26692" t="s">
        <v>1166</v>
      </c>
      <c r="D26692" t="s">
        <v>283</v>
      </c>
      <c r="E26692" t="s">
        <v>25967</v>
      </c>
      <c r="F26692" s="2" t="str">
        <f>HYPERLINK("http://www.otzar.org/book.asp?165306","משניות נשמת אדם ע""ט (ע""פ תפארת ציון וישראל)")</f>
        <v>משניות נשמת אדם ע"ט (ע"פ תפארת ציון וישראל)</v>
      </c>
    </row>
    <row r="26693" spans="1:6" x14ac:dyDescent="0.2">
      <c r="A26693" t="s">
        <v>42416</v>
      </c>
      <c r="B26693" t="s">
        <v>42417</v>
      </c>
      <c r="C26693" t="s">
        <v>562</v>
      </c>
      <c r="D26693" t="s">
        <v>42418</v>
      </c>
      <c r="F26693" s="2" t="str">
        <f>HYPERLINK("http://www.otzar.org/book.asp?170346","משניות סדר זרעים &lt;משנת חיים&gt;")</f>
        <v>משניות סדר זרעים &lt;משנת חיים&gt;</v>
      </c>
    </row>
    <row r="26694" spans="1:6" x14ac:dyDescent="0.2">
      <c r="A26694" t="s">
        <v>42419</v>
      </c>
      <c r="B26694" t="s">
        <v>7150</v>
      </c>
      <c r="C26694" t="s">
        <v>330</v>
      </c>
      <c r="D26694" t="s">
        <v>95</v>
      </c>
      <c r="E26694" t="s">
        <v>84</v>
      </c>
      <c r="F26694" s="2" t="str">
        <f>HYPERLINK("http://www.otzar.org/book.asp?29233","משניות סדר טהרות עם הגהות כת""י ר' בצלאל אשכנזי על הרמב""ם והר""ש משאנץ")</f>
        <v>משניות סדר טהרות עם הגהות כת"י ר' בצלאל אשכנזי על הרמב"ם והר"ש משאנץ</v>
      </c>
    </row>
    <row r="26695" spans="1:6" x14ac:dyDescent="0.2">
      <c r="A26695" t="s">
        <v>42420</v>
      </c>
      <c r="B26695" t="s">
        <v>7150</v>
      </c>
      <c r="C26695" t="s">
        <v>330</v>
      </c>
      <c r="D26695" t="s">
        <v>95</v>
      </c>
      <c r="F26695" s="2" t="str">
        <f>HYPERLINK("http://www.otzar.org/book.asp?610284","משניות סדר טהרות עם הגהות כת""י ר' בצלאל אשכנזי על הרמב""ם והר""ש - מקואות")</f>
        <v>משניות סדר טהרות עם הגהות כת"י ר' בצלאל אשכנזי על הרמב"ם והר"ש - מקואות</v>
      </c>
    </row>
    <row r="26696" spans="1:6" x14ac:dyDescent="0.2">
      <c r="A26696" t="s">
        <v>42421</v>
      </c>
      <c r="B26696" t="s">
        <v>42371</v>
      </c>
      <c r="C26696" t="s">
        <v>609</v>
      </c>
      <c r="D26696" t="s">
        <v>56</v>
      </c>
      <c r="E26696" t="s">
        <v>84</v>
      </c>
      <c r="F26696" s="2" t="str">
        <f>HYPERLINK("http://www.otzar.org/book.asp?52493","משניות סדר מועד - הוספות וחידושים")</f>
        <v>משניות סדר מועד - הוספות וחידושים</v>
      </c>
    </row>
    <row r="26697" spans="1:6" x14ac:dyDescent="0.2">
      <c r="A26697" t="s">
        <v>42422</v>
      </c>
      <c r="B26697" t="s">
        <v>42423</v>
      </c>
      <c r="C26697" t="s">
        <v>20</v>
      </c>
      <c r="D26697" t="s">
        <v>90</v>
      </c>
      <c r="E26697" t="s">
        <v>84</v>
      </c>
      <c r="F26697" s="2" t="str">
        <f>HYPERLINK("http://www.otzar.org/book.asp?611474","משניות ע""ב כליל תפארת ישראל - 3 כר'")</f>
        <v>משניות ע"ב כליל תפארת ישראל - 3 כר'</v>
      </c>
    </row>
    <row r="26698" spans="1:6" x14ac:dyDescent="0.2">
      <c r="A26698" t="s">
        <v>42424</v>
      </c>
      <c r="B26698" t="s">
        <v>42425</v>
      </c>
      <c r="C26698" t="s">
        <v>176</v>
      </c>
      <c r="D26698" t="s">
        <v>14</v>
      </c>
      <c r="E26698" t="s">
        <v>84</v>
      </c>
      <c r="F26698" s="2" t="str">
        <f>HYPERLINK("http://www.otzar.org/book.asp?62614","משניות עם ביאור הצבי - מסכת ראש השנה")</f>
        <v>משניות עם ביאור הצבי - מסכת ראש השנה</v>
      </c>
    </row>
    <row r="26699" spans="1:6" x14ac:dyDescent="0.2">
      <c r="A26699" t="s">
        <v>42426</v>
      </c>
      <c r="B26699" t="e">
        <f>- בנעט, יחזקאל</f>
        <v>#NAME?</v>
      </c>
      <c r="C26699" t="s">
        <v>8</v>
      </c>
      <c r="D26699" t="s">
        <v>4352</v>
      </c>
      <c r="E26699" t="s">
        <v>84</v>
      </c>
      <c r="F26699" s="2" t="str">
        <f>HYPERLINK("http://www.otzar.org/book.asp?621018","משניות עם ביאור ותרגום ללשון אשכנז - ב מועד")</f>
        <v>משניות עם ביאור ותרגום ללשון אשכנז - ב מועד</v>
      </c>
    </row>
    <row r="26700" spans="1:6" x14ac:dyDescent="0.2">
      <c r="A26700" t="s">
        <v>42427</v>
      </c>
      <c r="B26700" t="e">
        <f>- הופמן, דוד צבי</f>
        <v>#NAME?</v>
      </c>
      <c r="C26700" t="s">
        <v>2105</v>
      </c>
      <c r="D26700" t="s">
        <v>4352</v>
      </c>
      <c r="E26700" t="s">
        <v>84</v>
      </c>
      <c r="F26700" s="2" t="str">
        <f>HYPERLINK("http://www.otzar.org/book.asp?621008","משניות עם ביאור ותרגום ללשון אשכנז - ד נזיקין")</f>
        <v>משניות עם ביאור ותרגום ללשון אשכנז - ד נזיקין</v>
      </c>
    </row>
    <row r="26701" spans="1:6" x14ac:dyDescent="0.2">
      <c r="A26701" t="s">
        <v>42428</v>
      </c>
      <c r="B26701" t="e">
        <f>- הכהן, יונה בן בנימין - הופמן, דוד צבי - אוירבאך, משה</f>
        <v>#NAME?</v>
      </c>
      <c r="C26701" t="s">
        <v>1374</v>
      </c>
      <c r="D26701" t="s">
        <v>4352</v>
      </c>
      <c r="E26701" t="s">
        <v>84</v>
      </c>
      <c r="F26701" s="2" t="str">
        <f>HYPERLINK("http://www.otzar.org/book.asp?621023","משניות עם ביאור ותרגום ללשון אשכנז - 2 כר'")</f>
        <v>משניות עם ביאור ותרגום ללשון אשכנז - 2 כר'</v>
      </c>
    </row>
    <row r="26702" spans="1:6" x14ac:dyDescent="0.2">
      <c r="A26702" t="s">
        <v>42429</v>
      </c>
      <c r="B26702" t="e">
        <f>- הכהן, יונה בן בנימין</f>
        <v>#NAME?</v>
      </c>
      <c r="C26702" t="s">
        <v>946</v>
      </c>
      <c r="D26702" t="s">
        <v>4352</v>
      </c>
      <c r="E26702" t="s">
        <v>84</v>
      </c>
      <c r="F26702" s="2" t="str">
        <f>HYPERLINK("http://www.otzar.org/book.asp?621020","משניות עם ביאור ותרגום ללשון אשכנז - ה קדשים")</f>
        <v>משניות עם ביאור ותרגום ללשון אשכנז - ה קדשים</v>
      </c>
    </row>
    <row r="26703" spans="1:6" x14ac:dyDescent="0.2">
      <c r="A26703" t="s">
        <v>42430</v>
      </c>
      <c r="B26703" t="e">
        <f>- זמטר, א</f>
        <v>#NAME?</v>
      </c>
      <c r="C26703" t="s">
        <v>506</v>
      </c>
      <c r="D26703" t="s">
        <v>4352</v>
      </c>
      <c r="E26703" t="s">
        <v>84</v>
      </c>
      <c r="F26703" s="2" t="str">
        <f>HYPERLINK("http://www.otzar.org/book.asp?621016","משניות עם ביאור ותרגום ללשון אשכנז - א זרעים")</f>
        <v>משניות עם ביאור ותרגום ללשון אשכנז - א זרעים</v>
      </c>
    </row>
    <row r="26704" spans="1:6" x14ac:dyDescent="0.2">
      <c r="A26704" t="s">
        <v>42431</v>
      </c>
      <c r="B26704" t="e">
        <f>- פטחווסקי, מרדכי יעקב - שלזינגר, שמעון שלמה</f>
        <v>#NAME?</v>
      </c>
      <c r="C26704" t="s">
        <v>1374</v>
      </c>
      <c r="D26704" t="s">
        <v>4352</v>
      </c>
      <c r="F26704" s="2" t="str">
        <f>HYPERLINK("http://www.otzar.org/book.asp?621017","משניות עם ביאור ותרגום ללשון אשכנז - ג נשים")</f>
        <v>משניות עם ביאור ותרגום ללשון אשכנז - ג נשים</v>
      </c>
    </row>
    <row r="26705" spans="1:6" x14ac:dyDescent="0.2">
      <c r="A26705" t="s">
        <v>42432</v>
      </c>
      <c r="B26705" t="s">
        <v>37591</v>
      </c>
      <c r="C26705" t="s">
        <v>37</v>
      </c>
      <c r="D26705" t="s">
        <v>14</v>
      </c>
      <c r="E26705" t="s">
        <v>84</v>
      </c>
      <c r="F26705" s="2" t="str">
        <f>HYPERLINK("http://www.otzar.org/book.asp?182479","משניות עם ביאור מים טהורים - 4 כר'")</f>
        <v>משניות עם ביאור מים טהורים - 4 כר'</v>
      </c>
    </row>
    <row r="26706" spans="1:6" x14ac:dyDescent="0.2">
      <c r="A26706" t="s">
        <v>42433</v>
      </c>
      <c r="B26706" t="s">
        <v>42434</v>
      </c>
      <c r="C26706" t="s">
        <v>103</v>
      </c>
      <c r="D26706" t="s">
        <v>14</v>
      </c>
      <c r="E26706" t="s">
        <v>84</v>
      </c>
      <c r="F26706" s="2" t="str">
        <f>HYPERLINK("http://www.otzar.org/book.asp?151014","משניות עם ביאור ר""פ קהתי - 13 כר'")</f>
        <v>משניות עם ביאור ר"פ קהתי - 13 כר'</v>
      </c>
    </row>
    <row r="26707" spans="1:6" x14ac:dyDescent="0.2">
      <c r="A26707" t="s">
        <v>42435</v>
      </c>
      <c r="B26707" t="s">
        <v>42436</v>
      </c>
      <c r="C26707" t="s">
        <v>313</v>
      </c>
      <c r="D26707" t="s">
        <v>486</v>
      </c>
      <c r="E26707" t="s">
        <v>84</v>
      </c>
      <c r="F26707" s="2" t="str">
        <f>HYPERLINK("http://www.otzar.org/book.asp?169831","משניות עם ביאורי הפוסקים - 3 כר'")</f>
        <v>משניות עם ביאורי הפוסקים - 3 כר'</v>
      </c>
    </row>
    <row r="26708" spans="1:6" x14ac:dyDescent="0.2">
      <c r="A26708" t="s">
        <v>42437</v>
      </c>
      <c r="B26708" t="s">
        <v>42438</v>
      </c>
      <c r="C26708" t="s">
        <v>189</v>
      </c>
      <c r="D26708" t="s">
        <v>52</v>
      </c>
      <c r="E26708" t="s">
        <v>84</v>
      </c>
      <c r="F26708" s="2" t="str">
        <f>HYPERLINK("http://www.otzar.org/book.asp?28129","משניות עם ילקוט ביאורים - 6 כר'")</f>
        <v>משניות עם ילקוט ביאורים - 6 כר'</v>
      </c>
    </row>
    <row r="26709" spans="1:6" x14ac:dyDescent="0.2">
      <c r="A26709" t="s">
        <v>42439</v>
      </c>
      <c r="B26709" t="s">
        <v>42440</v>
      </c>
      <c r="C26709" t="s">
        <v>985</v>
      </c>
      <c r="D26709" t="s">
        <v>412</v>
      </c>
      <c r="E26709" t="s">
        <v>84</v>
      </c>
      <c r="F26709" s="2" t="str">
        <f>HYPERLINK("http://www.otzar.org/book.asp?153942","משניות עם עברי דייטש - 6 כר'")</f>
        <v>משניות עם עברי דייטש - 6 כר'</v>
      </c>
    </row>
    <row r="26710" spans="1:6" x14ac:dyDescent="0.2">
      <c r="A26710" t="s">
        <v>42441</v>
      </c>
      <c r="B26710" t="s">
        <v>9612</v>
      </c>
      <c r="C26710" t="s">
        <v>454</v>
      </c>
      <c r="D26710" t="s">
        <v>412</v>
      </c>
      <c r="E26710" t="s">
        <v>84</v>
      </c>
      <c r="F26710" s="2" t="str">
        <f>HYPERLINK("http://www.otzar.org/book.asp?147793","משניות עם פירוש סיעתא דשמיא - 4 כר'")</f>
        <v>משניות עם פירוש סיעתא דשמיא - 4 כר'</v>
      </c>
    </row>
    <row r="26711" spans="1:6" x14ac:dyDescent="0.2">
      <c r="A26711" t="s">
        <v>42442</v>
      </c>
      <c r="B26711" t="s">
        <v>42443</v>
      </c>
      <c r="C26711" t="s">
        <v>180</v>
      </c>
      <c r="D26711" t="s">
        <v>412</v>
      </c>
      <c r="F26711" s="2" t="str">
        <f>HYPERLINK("http://www.otzar.org/book.asp?614556","משניות עם תרגום אנגלית - 3 כר'")</f>
        <v>משניות עם תרגום אנגלית - 3 כר'</v>
      </c>
    </row>
    <row r="26712" spans="1:6" x14ac:dyDescent="0.2">
      <c r="A26712" t="s">
        <v>42444</v>
      </c>
      <c r="B26712" t="s">
        <v>42445</v>
      </c>
      <c r="C26712" t="s">
        <v>13878</v>
      </c>
      <c r="D26712" t="s">
        <v>280</v>
      </c>
      <c r="E26712" t="s">
        <v>10013</v>
      </c>
      <c r="F26712" s="2" t="str">
        <f>HYPERLINK("http://www.otzar.org/book.asp?330","משניות עץ החיים - 7 כר'")</f>
        <v>משניות עץ החיים - 7 כר'</v>
      </c>
    </row>
    <row r="26713" spans="1:6" x14ac:dyDescent="0.2">
      <c r="A26713" t="s">
        <v>42446</v>
      </c>
      <c r="B26713" t="s">
        <v>2620</v>
      </c>
      <c r="C26713" t="s">
        <v>23</v>
      </c>
      <c r="D26713" t="s">
        <v>367</v>
      </c>
      <c r="E26713" t="s">
        <v>84</v>
      </c>
      <c r="F26713" s="2" t="str">
        <f>HYPERLINK("http://www.otzar.org/book.asp?601468","משניות קנים ע""פ הרשב""ץ")</f>
        <v>משניות קנים ע"פ הרשב"ץ</v>
      </c>
    </row>
    <row r="26714" spans="1:6" x14ac:dyDescent="0.2">
      <c r="A26714" t="s">
        <v>42447</v>
      </c>
      <c r="B26714" t="s">
        <v>7604</v>
      </c>
      <c r="C26714" t="s">
        <v>37</v>
      </c>
      <c r="D26714" t="s">
        <v>52</v>
      </c>
      <c r="E26714" t="s">
        <v>84</v>
      </c>
      <c r="F26714" s="2" t="str">
        <f>HYPERLINK("http://www.otzar.org/book.asp?188825","משניות שביעית &lt;דרך אמונה&gt; - פירוש רבינו נתן אב הישיבה - שביעית")</f>
        <v>משניות שביעית &lt;דרך אמונה&gt; - פירוש רבינו נתן אב הישיבה - שביעית</v>
      </c>
    </row>
    <row r="26715" spans="1:6" x14ac:dyDescent="0.2">
      <c r="A26715" t="s">
        <v>42448</v>
      </c>
      <c r="B26715" t="s">
        <v>42449</v>
      </c>
      <c r="C26715" t="s">
        <v>20</v>
      </c>
      <c r="D26715" t="s">
        <v>14</v>
      </c>
      <c r="E26715" t="s">
        <v>16314</v>
      </c>
      <c r="F26715" s="2" t="str">
        <f>HYPERLINK("http://www.otzar.org/book.asp?52913","משניות שינון המשנה")</f>
        <v>משניות שינון המשנה</v>
      </c>
    </row>
    <row r="26716" spans="1:6" x14ac:dyDescent="0.2">
      <c r="A26716" t="s">
        <v>42450</v>
      </c>
      <c r="B26716" t="s">
        <v>42451</v>
      </c>
      <c r="C26716" t="s">
        <v>133</v>
      </c>
      <c r="D26716" t="s">
        <v>412</v>
      </c>
      <c r="E26716" t="s">
        <v>84</v>
      </c>
      <c r="F26716" s="2" t="str">
        <f>HYPERLINK("http://www.otzar.org/book.asp?600787","משניות תוספות יום טוב המבואר &lt;ששון יום טוב&gt; - 5 כר'")</f>
        <v>משניות תוספות יום טוב המבואר &lt;ששון יום טוב&gt; - 5 כר'</v>
      </c>
    </row>
    <row r="26717" spans="1:6" x14ac:dyDescent="0.2">
      <c r="A26717" t="s">
        <v>42452</v>
      </c>
      <c r="B26717" t="s">
        <v>20053</v>
      </c>
      <c r="C26717" t="s">
        <v>42453</v>
      </c>
      <c r="D26717" t="s">
        <v>27</v>
      </c>
      <c r="E26717" t="s">
        <v>10013</v>
      </c>
      <c r="F26717" s="2" t="str">
        <f>HYPERLINK("http://www.otzar.org/book.asp?103401","משניות תמיד ומדות &lt;אדרת הקודש&gt;")</f>
        <v>משניות תמיד ומדות &lt;אדרת הקודש&gt;</v>
      </c>
    </row>
    <row r="26718" spans="1:6" x14ac:dyDescent="0.2">
      <c r="A26718" t="s">
        <v>42454</v>
      </c>
      <c r="B26718" t="s">
        <v>42455</v>
      </c>
      <c r="C26718" t="s">
        <v>160</v>
      </c>
      <c r="D26718" t="s">
        <v>9</v>
      </c>
      <c r="E26718" t="s">
        <v>84</v>
      </c>
      <c r="F26718" s="2" t="str">
        <f>HYPERLINK("http://www.otzar.org/book.asp?200001","משניות - ברכות, פאה, דמאי")</f>
        <v>משניות - ברכות, פאה, דמאי</v>
      </c>
    </row>
    <row r="26719" spans="1:6" x14ac:dyDescent="0.2">
      <c r="A26719" t="s">
        <v>42373</v>
      </c>
      <c r="B26719" t="s">
        <v>84</v>
      </c>
      <c r="C26719" t="s">
        <v>40873</v>
      </c>
      <c r="D26719" t="s">
        <v>1023</v>
      </c>
      <c r="E26719" t="s">
        <v>84</v>
      </c>
      <c r="F26719" s="2" t="str">
        <f>HYPERLINK("http://www.otzar.org/book.asp?103450","משניות")</f>
        <v>משניות</v>
      </c>
    </row>
    <row r="26720" spans="1:6" x14ac:dyDescent="0.2">
      <c r="A26720" t="s">
        <v>42456</v>
      </c>
      <c r="B26720" t="s">
        <v>42457</v>
      </c>
      <c r="C26720" t="s">
        <v>2617</v>
      </c>
      <c r="D26720" t="s">
        <v>280</v>
      </c>
      <c r="E26720" t="s">
        <v>84</v>
      </c>
      <c r="F26720" s="2" t="str">
        <f>HYPERLINK("http://www.otzar.org/book.asp?172509","משניות - זרעים")</f>
        <v>משניות - זרעים</v>
      </c>
    </row>
    <row r="26721" spans="1:6" x14ac:dyDescent="0.2">
      <c r="A26721" t="s">
        <v>42458</v>
      </c>
      <c r="B26721" t="s">
        <v>42459</v>
      </c>
      <c r="C26721" t="s">
        <v>767</v>
      </c>
      <c r="D26721" t="s">
        <v>52</v>
      </c>
      <c r="E26721" t="s">
        <v>144</v>
      </c>
      <c r="F26721" s="2" t="str">
        <f>HYPERLINK("http://www.otzar.org/book.asp?142892","משנת אב - הוריות")</f>
        <v>משנת אב - הוריות</v>
      </c>
    </row>
    <row r="26722" spans="1:6" x14ac:dyDescent="0.2">
      <c r="A26722" t="s">
        <v>42460</v>
      </c>
      <c r="B26722" t="s">
        <v>42461</v>
      </c>
      <c r="C26722" t="s">
        <v>1418</v>
      </c>
      <c r="D26722" t="s">
        <v>1419</v>
      </c>
      <c r="E26722" t="s">
        <v>42462</v>
      </c>
      <c r="F26722" s="2" t="str">
        <f>HYPERLINK("http://www.otzar.org/book.asp?20297","משנת אברהם")</f>
        <v>משנת אברהם</v>
      </c>
    </row>
    <row r="26723" spans="1:6" x14ac:dyDescent="0.2">
      <c r="A26723" t="s">
        <v>42463</v>
      </c>
      <c r="B26723" t="s">
        <v>42464</v>
      </c>
      <c r="C26723" t="s">
        <v>146</v>
      </c>
      <c r="D26723" t="s">
        <v>52</v>
      </c>
      <c r="E26723" t="s">
        <v>84</v>
      </c>
      <c r="F26723" s="2" t="str">
        <f>HYPERLINK("http://www.otzar.org/book.asp?50254","משנת אברהם - 8 כר'")</f>
        <v>משנת אברהם - 8 כר'</v>
      </c>
    </row>
    <row r="26724" spans="1:6" x14ac:dyDescent="0.2">
      <c r="A26724" t="s">
        <v>42465</v>
      </c>
      <c r="B26724" t="s">
        <v>6127</v>
      </c>
      <c r="C26724" t="s">
        <v>42466</v>
      </c>
      <c r="D26724" t="s">
        <v>9</v>
      </c>
      <c r="E26724" t="s">
        <v>104</v>
      </c>
      <c r="F26724" s="2" t="str">
        <f>HYPERLINK("http://www.otzar.org/book.asp?101026","משנת אברהם - 2 כר'")</f>
        <v>משנת אברהם - 2 כר'</v>
      </c>
    </row>
    <row r="26725" spans="1:6" x14ac:dyDescent="0.2">
      <c r="A26725" t="s">
        <v>42467</v>
      </c>
      <c r="B26725" t="s">
        <v>42468</v>
      </c>
      <c r="C26725" t="s">
        <v>454</v>
      </c>
      <c r="D26725" t="s">
        <v>14</v>
      </c>
      <c r="E26725" t="s">
        <v>186</v>
      </c>
      <c r="F26725" s="2" t="str">
        <f>HYPERLINK("http://www.otzar.org/book.asp?162113","משנת אהרן - בבא בתרא")</f>
        <v>משנת אהרן - בבא בתרא</v>
      </c>
    </row>
    <row r="26726" spans="1:6" x14ac:dyDescent="0.2">
      <c r="A26726" t="s">
        <v>42469</v>
      </c>
      <c r="B26726" t="s">
        <v>42470</v>
      </c>
      <c r="C26726" t="s">
        <v>103</v>
      </c>
      <c r="D26726" t="s">
        <v>14</v>
      </c>
      <c r="E26726" t="s">
        <v>144</v>
      </c>
      <c r="F26726" s="2" t="str">
        <f>HYPERLINK("http://www.otzar.org/book.asp?53048","משנת אהרן")</f>
        <v>משנת אהרן</v>
      </c>
    </row>
    <row r="26727" spans="1:6" x14ac:dyDescent="0.2">
      <c r="A26727" t="s">
        <v>42471</v>
      </c>
      <c r="B26727" t="s">
        <v>42472</v>
      </c>
      <c r="C26727" t="s">
        <v>13</v>
      </c>
      <c r="D26727" t="s">
        <v>14</v>
      </c>
      <c r="E26727" t="s">
        <v>15</v>
      </c>
      <c r="F26727" s="2" t="str">
        <f>HYPERLINK("http://www.otzar.org/book.asp?146820","משנת איש")</f>
        <v>משנת איש</v>
      </c>
    </row>
    <row r="26728" spans="1:6" x14ac:dyDescent="0.2">
      <c r="A26728" t="s">
        <v>42473</v>
      </c>
      <c r="B26728" t="s">
        <v>42474</v>
      </c>
      <c r="C26728" t="s">
        <v>244</v>
      </c>
      <c r="D26728" t="s">
        <v>152</v>
      </c>
      <c r="E26728" t="s">
        <v>148</v>
      </c>
      <c r="F26728" s="2" t="str">
        <f>HYPERLINK("http://www.otzar.org/book.asp?600169","משנת איש - חלה")</f>
        <v>משנת איש - חלה</v>
      </c>
    </row>
    <row r="26729" spans="1:6" x14ac:dyDescent="0.2">
      <c r="A26729" t="s">
        <v>42475</v>
      </c>
      <c r="B26729" t="s">
        <v>1838</v>
      </c>
      <c r="C26729" t="s">
        <v>20</v>
      </c>
      <c r="D26729" t="s">
        <v>14</v>
      </c>
      <c r="F26729" s="2" t="str">
        <f>HYPERLINK("http://www.otzar.org/book.asp?194377","משנת אליהו - 23 כר'")</f>
        <v>משנת אליהו - 23 כר'</v>
      </c>
    </row>
    <row r="26730" spans="1:6" x14ac:dyDescent="0.2">
      <c r="A26730" t="s">
        <v>42476</v>
      </c>
      <c r="B26730" t="s">
        <v>2959</v>
      </c>
      <c r="C26730" t="s">
        <v>553</v>
      </c>
      <c r="D26730" t="s">
        <v>52</v>
      </c>
      <c r="E26730" t="s">
        <v>84</v>
      </c>
      <c r="F26730" s="2" t="str">
        <f>HYPERLINK("http://www.otzar.org/book.asp?163669","משנת אליהו")</f>
        <v>משנת אליהו</v>
      </c>
    </row>
    <row r="26731" spans="1:6" x14ac:dyDescent="0.2">
      <c r="A26731" t="s">
        <v>42477</v>
      </c>
      <c r="B26731" t="s">
        <v>42478</v>
      </c>
      <c r="C26731" t="s">
        <v>533</v>
      </c>
      <c r="D26731" t="s">
        <v>14</v>
      </c>
      <c r="E26731" t="s">
        <v>144</v>
      </c>
      <c r="F26731" s="2" t="str">
        <f>HYPERLINK("http://www.otzar.org/book.asp?144273","משנת אליהו - 2 כר'")</f>
        <v>משנת אליהו - 2 כר'</v>
      </c>
    </row>
    <row r="26732" spans="1:6" x14ac:dyDescent="0.2">
      <c r="A26732" t="s">
        <v>42479</v>
      </c>
      <c r="B26732" t="s">
        <v>12902</v>
      </c>
      <c r="C26732" t="s">
        <v>1284</v>
      </c>
      <c r="D26732" t="s">
        <v>2181</v>
      </c>
      <c r="E26732" t="s">
        <v>10438</v>
      </c>
      <c r="F26732" s="2" t="str">
        <f>HYPERLINK("http://www.otzar.org/book.asp?28644","משנת אליעזר - 2 כר'")</f>
        <v>משנת אליעזר - 2 כר'</v>
      </c>
    </row>
    <row r="26733" spans="1:6" x14ac:dyDescent="0.2">
      <c r="A26733" t="s">
        <v>42480</v>
      </c>
      <c r="B26733" t="s">
        <v>42481</v>
      </c>
      <c r="C26733" t="s">
        <v>411</v>
      </c>
      <c r="D26733" t="s">
        <v>3283</v>
      </c>
      <c r="E26733" t="s">
        <v>15</v>
      </c>
      <c r="F26733" s="2" t="str">
        <f>HYPERLINK("http://www.otzar.org/book.asp?178942","משנת אליעזר - 6 כר'")</f>
        <v>משנת אליעזר - 6 כר'</v>
      </c>
    </row>
    <row r="26734" spans="1:6" x14ac:dyDescent="0.2">
      <c r="A26734" t="s">
        <v>42479</v>
      </c>
      <c r="B26734" t="s">
        <v>15867</v>
      </c>
      <c r="C26734" t="s">
        <v>129</v>
      </c>
      <c r="D26734" t="s">
        <v>14</v>
      </c>
      <c r="E26734" t="s">
        <v>144</v>
      </c>
      <c r="F26734" s="2" t="str">
        <f>HYPERLINK("http://www.otzar.org/book.asp?53743","משנת אליעזר - 2 כר'")</f>
        <v>משנת אליעזר - 2 כר'</v>
      </c>
    </row>
    <row r="26735" spans="1:6" x14ac:dyDescent="0.2">
      <c r="A26735" t="s">
        <v>42479</v>
      </c>
      <c r="B26735" t="s">
        <v>42482</v>
      </c>
      <c r="C26735" t="s">
        <v>42483</v>
      </c>
      <c r="D26735" t="s">
        <v>27</v>
      </c>
      <c r="E26735" t="s">
        <v>84</v>
      </c>
      <c r="F26735" s="2" t="str">
        <f>HYPERLINK("http://www.otzar.org/book.asp?172321","משנת אליעזר - 2 כר'")</f>
        <v>משנת אליעזר - 2 כר'</v>
      </c>
    </row>
    <row r="26736" spans="1:6" x14ac:dyDescent="0.2">
      <c r="A26736" t="s">
        <v>42484</v>
      </c>
      <c r="B26736" t="s">
        <v>42485</v>
      </c>
      <c r="C26736" t="s">
        <v>956</v>
      </c>
      <c r="D26736" t="s">
        <v>216</v>
      </c>
      <c r="E26736" t="s">
        <v>144</v>
      </c>
      <c r="F26736" s="2" t="str">
        <f>HYPERLINK("http://www.otzar.org/book.asp?145265","משנת אריה - 2 כר'")</f>
        <v>משנת אריה - 2 כר'</v>
      </c>
    </row>
    <row r="26737" spans="1:6" x14ac:dyDescent="0.2">
      <c r="A26737" t="s">
        <v>42486</v>
      </c>
      <c r="B26737" t="s">
        <v>42487</v>
      </c>
      <c r="C26737" t="s">
        <v>20</v>
      </c>
      <c r="D26737" t="s">
        <v>14</v>
      </c>
      <c r="E26737" t="s">
        <v>84</v>
      </c>
      <c r="F26737" s="2" t="str">
        <f>HYPERLINK("http://www.otzar.org/book.asp?172733","משנת אריה - 5 כר'")</f>
        <v>משנת אריה - 5 כר'</v>
      </c>
    </row>
    <row r="26738" spans="1:6" x14ac:dyDescent="0.2">
      <c r="A26738" t="s">
        <v>42488</v>
      </c>
      <c r="B26738" t="s">
        <v>42489</v>
      </c>
      <c r="C26738" t="s">
        <v>37</v>
      </c>
      <c r="D26738" t="s">
        <v>52</v>
      </c>
      <c r="E26738" t="s">
        <v>144</v>
      </c>
      <c r="F26738" s="2" t="str">
        <f>HYPERLINK("http://www.otzar.org/book.asp?630444","משנת בבא מציעא")</f>
        <v>משנת בבא מציעא</v>
      </c>
    </row>
    <row r="26739" spans="1:6" x14ac:dyDescent="0.2">
      <c r="A26739" t="s">
        <v>42490</v>
      </c>
      <c r="B26739" t="s">
        <v>42491</v>
      </c>
      <c r="C26739" t="s">
        <v>1448</v>
      </c>
      <c r="D26739" t="s">
        <v>412</v>
      </c>
      <c r="E26739" t="s">
        <v>588</v>
      </c>
      <c r="F26739" s="2" t="str">
        <f>HYPERLINK("http://www.otzar.org/book.asp?604298","משנת בית אבא")</f>
        <v>משנת בית אבא</v>
      </c>
    </row>
    <row r="26740" spans="1:6" x14ac:dyDescent="0.2">
      <c r="A26740" t="s">
        <v>42492</v>
      </c>
      <c r="B26740" t="s">
        <v>42493</v>
      </c>
      <c r="C26740" t="s">
        <v>129</v>
      </c>
      <c r="F26740" s="2" t="str">
        <f>HYPERLINK("http://www.otzar.org/book.asp?622973","משנת בן פקועה")</f>
        <v>משנת בן פקועה</v>
      </c>
    </row>
    <row r="26741" spans="1:6" x14ac:dyDescent="0.2">
      <c r="A26741" t="s">
        <v>42494</v>
      </c>
      <c r="B26741" t="s">
        <v>4886</v>
      </c>
      <c r="C26741" t="s">
        <v>383</v>
      </c>
      <c r="D26741" t="s">
        <v>52</v>
      </c>
      <c r="E26741" t="s">
        <v>10</v>
      </c>
      <c r="F26741" s="2" t="str">
        <f>HYPERLINK("http://www.otzar.org/book.asp?153760","משנת בנימין")</f>
        <v>משנת בנימין</v>
      </c>
    </row>
    <row r="26742" spans="1:6" x14ac:dyDescent="0.2">
      <c r="A26742" t="s">
        <v>42494</v>
      </c>
      <c r="B26742" t="s">
        <v>6545</v>
      </c>
      <c r="C26742" t="s">
        <v>79</v>
      </c>
      <c r="D26742" t="s">
        <v>9</v>
      </c>
      <c r="E26742" t="s">
        <v>154</v>
      </c>
      <c r="F26742" s="2" t="str">
        <f>HYPERLINK("http://www.otzar.org/book.asp?101067","משנת בנימין")</f>
        <v>משנת בנימין</v>
      </c>
    </row>
    <row r="26743" spans="1:6" x14ac:dyDescent="0.2">
      <c r="A26743" t="s">
        <v>42495</v>
      </c>
      <c r="B26743" t="s">
        <v>6178</v>
      </c>
      <c r="C26743" t="s">
        <v>454</v>
      </c>
      <c r="D26743" t="s">
        <v>14</v>
      </c>
      <c r="E26743" t="s">
        <v>2840</v>
      </c>
      <c r="F26743" s="2" t="str">
        <f>HYPERLINK("http://www.otzar.org/book.asp?85419","משנת בר חיובא")</f>
        <v>משנת בר חיובא</v>
      </c>
    </row>
    <row r="26744" spans="1:6" x14ac:dyDescent="0.2">
      <c r="A26744" t="s">
        <v>42496</v>
      </c>
      <c r="B26744" t="s">
        <v>42497</v>
      </c>
      <c r="C26744" t="s">
        <v>523</v>
      </c>
      <c r="D26744" t="s">
        <v>52</v>
      </c>
      <c r="E26744" t="s">
        <v>144</v>
      </c>
      <c r="F26744" s="2" t="str">
        <f>HYPERLINK("http://www.otzar.org/book.asp?154808","משנת ברוך - ברכות")</f>
        <v>משנת ברוך - ברכות</v>
      </c>
    </row>
    <row r="26745" spans="1:6" x14ac:dyDescent="0.2">
      <c r="A26745" t="s">
        <v>42498</v>
      </c>
      <c r="B26745" t="s">
        <v>4093</v>
      </c>
      <c r="C26745" t="s">
        <v>366</v>
      </c>
      <c r="D26745" t="s">
        <v>14</v>
      </c>
      <c r="E26745" t="s">
        <v>144</v>
      </c>
      <c r="F26745" s="2" t="str">
        <f>HYPERLINK("http://www.otzar.org/book.asp?623733","משנת ברוך - 5 כר'")</f>
        <v>משנת ברוך - 5 כר'</v>
      </c>
    </row>
    <row r="26746" spans="1:6" x14ac:dyDescent="0.2">
      <c r="A26746" t="s">
        <v>42499</v>
      </c>
      <c r="B26746" t="s">
        <v>42500</v>
      </c>
      <c r="C26746" t="s">
        <v>68</v>
      </c>
      <c r="D26746" t="s">
        <v>152</v>
      </c>
      <c r="E26746" t="s">
        <v>144</v>
      </c>
      <c r="F26746" s="2" t="str">
        <f>HYPERLINK("http://www.otzar.org/book.asp?154393","משנת ברכה")</f>
        <v>משנת ברכה</v>
      </c>
    </row>
    <row r="26747" spans="1:6" x14ac:dyDescent="0.2">
      <c r="A26747" t="s">
        <v>42501</v>
      </c>
      <c r="B26747" t="s">
        <v>24227</v>
      </c>
      <c r="C26747" t="s">
        <v>422</v>
      </c>
      <c r="D26747" t="s">
        <v>52</v>
      </c>
      <c r="E26747" t="s">
        <v>144</v>
      </c>
      <c r="F26747" s="2" t="str">
        <f>HYPERLINK("http://www.otzar.org/book.asp?161731","משנת ברכות")</f>
        <v>משנת ברכות</v>
      </c>
    </row>
    <row r="26748" spans="1:6" x14ac:dyDescent="0.2">
      <c r="A26748" t="s">
        <v>42502</v>
      </c>
      <c r="B26748" t="s">
        <v>42503</v>
      </c>
      <c r="C26748" t="s">
        <v>454</v>
      </c>
      <c r="D26748" t="s">
        <v>14</v>
      </c>
      <c r="E26748" t="s">
        <v>803</v>
      </c>
      <c r="F26748" s="2" t="str">
        <f>HYPERLINK("http://www.otzar.org/book.asp?52891","משנת דוד")</f>
        <v>משנת דוד</v>
      </c>
    </row>
    <row r="26749" spans="1:6" x14ac:dyDescent="0.2">
      <c r="A26749" t="s">
        <v>42504</v>
      </c>
      <c r="B26749" t="s">
        <v>42505</v>
      </c>
      <c r="C26749" t="s">
        <v>39817</v>
      </c>
      <c r="D26749" t="s">
        <v>42</v>
      </c>
      <c r="E26749" t="s">
        <v>4561</v>
      </c>
      <c r="F26749" s="2" t="str">
        <f>HYPERLINK("http://www.otzar.org/book.asp?101066","משנת דרבי אליעזר - חו""מ")</f>
        <v>משנת דרבי אליעזר - חו"מ</v>
      </c>
    </row>
    <row r="26750" spans="1:6" x14ac:dyDescent="0.2">
      <c r="A26750" t="s">
        <v>42506</v>
      </c>
      <c r="B26750" t="s">
        <v>42507</v>
      </c>
      <c r="C26750" t="s">
        <v>1219</v>
      </c>
      <c r="D26750" t="s">
        <v>32571</v>
      </c>
      <c r="E26750" t="s">
        <v>21150</v>
      </c>
      <c r="F26750" s="2" t="str">
        <f>HYPERLINK("http://www.otzar.org/book.asp?166850","משנת דרבי עקיבא - 3 כר'")</f>
        <v>משנת דרבי עקיבא - 3 כר'</v>
      </c>
    </row>
    <row r="26751" spans="1:6" x14ac:dyDescent="0.2">
      <c r="A26751" t="s">
        <v>42508</v>
      </c>
      <c r="C26751" t="s">
        <v>366</v>
      </c>
      <c r="D26751" t="s">
        <v>2285</v>
      </c>
      <c r="F26751" s="2" t="str">
        <f>HYPERLINK("http://www.otzar.org/book.asp?605013","משנת האדם")</f>
        <v>משנת האדם</v>
      </c>
    </row>
    <row r="26752" spans="1:6" x14ac:dyDescent="0.2">
      <c r="A26752" t="s">
        <v>42509</v>
      </c>
      <c r="B26752" t="s">
        <v>42510</v>
      </c>
      <c r="C26752" t="s">
        <v>151</v>
      </c>
      <c r="D26752" t="s">
        <v>14</v>
      </c>
      <c r="F26752" s="2" t="str">
        <f>HYPERLINK("http://www.otzar.org/book.asp?622578","משנת האותיות")</f>
        <v>משנת האותיות</v>
      </c>
    </row>
    <row r="26753" spans="1:6" x14ac:dyDescent="0.2">
      <c r="A26753" t="s">
        <v>42511</v>
      </c>
      <c r="B26753" t="s">
        <v>42512</v>
      </c>
      <c r="C26753" t="s">
        <v>111</v>
      </c>
      <c r="D26753" t="s">
        <v>14</v>
      </c>
      <c r="E26753" t="s">
        <v>144</v>
      </c>
      <c r="F26753" s="2" t="str">
        <f>HYPERLINK("http://www.otzar.org/book.asp?626243","משנת הבכורה")</f>
        <v>משנת הבכורה</v>
      </c>
    </row>
    <row r="26754" spans="1:6" x14ac:dyDescent="0.2">
      <c r="A26754" t="s">
        <v>42513</v>
      </c>
      <c r="B26754" t="s">
        <v>42514</v>
      </c>
      <c r="C26754" t="s">
        <v>51</v>
      </c>
      <c r="D26754" t="s">
        <v>14</v>
      </c>
      <c r="E26754" t="s">
        <v>15</v>
      </c>
      <c r="F26754" s="2" t="str">
        <f>HYPERLINK("http://www.otzar.org/book.asp?51954","משנת הברכה")</f>
        <v>משנת הברכה</v>
      </c>
    </row>
    <row r="26755" spans="1:6" x14ac:dyDescent="0.2">
      <c r="A26755" t="s">
        <v>42515</v>
      </c>
      <c r="B26755" t="s">
        <v>42516</v>
      </c>
      <c r="C26755" t="s">
        <v>366</v>
      </c>
      <c r="D26755" t="s">
        <v>3939</v>
      </c>
      <c r="E26755" t="s">
        <v>186</v>
      </c>
      <c r="F26755" s="2" t="str">
        <f>HYPERLINK("http://www.otzar.org/book.asp?630034","משנת הגזילה")</f>
        <v>משנת הגזילה</v>
      </c>
    </row>
    <row r="26756" spans="1:6" x14ac:dyDescent="0.2">
      <c r="A26756" t="s">
        <v>42517</v>
      </c>
      <c r="B26756" t="s">
        <v>42518</v>
      </c>
      <c r="C26756" t="s">
        <v>244</v>
      </c>
      <c r="D26756" t="s">
        <v>21</v>
      </c>
      <c r="E26756" t="s">
        <v>15</v>
      </c>
      <c r="F26756" s="2" t="str">
        <f>HYPERLINK("http://www.otzar.org/book.asp?604492","משנת הגט")</f>
        <v>משנת הגט</v>
      </c>
    </row>
    <row r="26757" spans="1:6" x14ac:dyDescent="0.2">
      <c r="A26757" t="s">
        <v>42519</v>
      </c>
      <c r="B26757" t="s">
        <v>42520</v>
      </c>
      <c r="C26757" t="s">
        <v>37</v>
      </c>
      <c r="D26757" t="s">
        <v>14</v>
      </c>
      <c r="E26757" t="s">
        <v>172</v>
      </c>
      <c r="F26757" s="2" t="str">
        <f>HYPERLINK("http://www.otzar.org/book.asp?194174","משנת הגט - 2 כר'")</f>
        <v>משנת הגט - 2 כר'</v>
      </c>
    </row>
    <row r="26758" spans="1:6" x14ac:dyDescent="0.2">
      <c r="A26758" t="s">
        <v>22704</v>
      </c>
      <c r="B26758" t="s">
        <v>1821</v>
      </c>
      <c r="C26758" t="s">
        <v>20</v>
      </c>
      <c r="D26758" t="s">
        <v>90</v>
      </c>
      <c r="E26758" t="s">
        <v>104</v>
      </c>
      <c r="F26758" s="2" t="str">
        <f>HYPERLINK("http://www.otzar.org/book.asp?13582","משנת הגר""א")</f>
        <v>משנת הגר"א</v>
      </c>
    </row>
    <row r="26759" spans="1:6" x14ac:dyDescent="0.2">
      <c r="A26759" t="s">
        <v>42521</v>
      </c>
      <c r="B26759" t="s">
        <v>42522</v>
      </c>
      <c r="C26759" t="s">
        <v>422</v>
      </c>
      <c r="D26759" t="s">
        <v>14</v>
      </c>
      <c r="E26759" t="s">
        <v>15</v>
      </c>
      <c r="F26759" s="2" t="str">
        <f>HYPERLINK("http://www.otzar.org/book.asp?159214","משנת הגר")</f>
        <v>משנת הגר</v>
      </c>
    </row>
    <row r="26760" spans="1:6" x14ac:dyDescent="0.2">
      <c r="A26760" t="s">
        <v>42523</v>
      </c>
      <c r="B26760" t="s">
        <v>42524</v>
      </c>
      <c r="C26760" t="s">
        <v>87</v>
      </c>
      <c r="D26760" t="s">
        <v>14</v>
      </c>
      <c r="F26760" s="2" t="str">
        <f>HYPERLINK("http://www.otzar.org/book.asp?84772","משנת הדברי חיים")</f>
        <v>משנת הדברי חיים</v>
      </c>
    </row>
    <row r="26761" spans="1:6" x14ac:dyDescent="0.2">
      <c r="A26761" t="s">
        <v>42525</v>
      </c>
      <c r="B26761" t="s">
        <v>26209</v>
      </c>
      <c r="C26761" t="s">
        <v>129</v>
      </c>
      <c r="D26761" t="s">
        <v>367</v>
      </c>
      <c r="E26761" t="s">
        <v>15</v>
      </c>
      <c r="F26761" s="2" t="str">
        <f>HYPERLINK("http://www.otzar.org/book.asp?149708","משנת הדעת")</f>
        <v>משנת הדעת</v>
      </c>
    </row>
    <row r="26762" spans="1:6" x14ac:dyDescent="0.2">
      <c r="A26762" t="s">
        <v>42526</v>
      </c>
      <c r="B26762" t="s">
        <v>42516</v>
      </c>
      <c r="C26762" t="s">
        <v>20</v>
      </c>
      <c r="D26762" t="s">
        <v>3939</v>
      </c>
      <c r="E26762" t="s">
        <v>186</v>
      </c>
      <c r="F26762" s="2" t="str">
        <f>HYPERLINK("http://www.otzar.org/book.asp?630035","משנת החזקה")</f>
        <v>משנת החזקה</v>
      </c>
    </row>
    <row r="26763" spans="1:6" x14ac:dyDescent="0.2">
      <c r="A26763" t="s">
        <v>42527</v>
      </c>
      <c r="B26763" t="s">
        <v>42528</v>
      </c>
      <c r="C26763" t="s">
        <v>20</v>
      </c>
      <c r="D26763" t="s">
        <v>14</v>
      </c>
      <c r="E26763" t="s">
        <v>3055</v>
      </c>
      <c r="F26763" s="2" t="str">
        <f>HYPERLINK("http://www.otzar.org/book.asp?621745","משנת החסידות - 10 כר'")</f>
        <v>משנת החסידות - 10 כר'</v>
      </c>
    </row>
    <row r="26764" spans="1:6" x14ac:dyDescent="0.2">
      <c r="A26764" t="s">
        <v>42529</v>
      </c>
      <c r="B26764" t="s">
        <v>941</v>
      </c>
      <c r="C26764" t="s">
        <v>114</v>
      </c>
      <c r="D26764" t="s">
        <v>14</v>
      </c>
      <c r="E26764" t="s">
        <v>14086</v>
      </c>
      <c r="F26764" s="2" t="str">
        <f>HYPERLINK("http://www.otzar.org/book.asp?169393","משנת היחוד")</f>
        <v>משנת היחוד</v>
      </c>
    </row>
    <row r="26765" spans="1:6" x14ac:dyDescent="0.2">
      <c r="A26765" t="s">
        <v>42530</v>
      </c>
      <c r="B26765" t="s">
        <v>1750</v>
      </c>
      <c r="C26765" t="s">
        <v>51</v>
      </c>
      <c r="D26765" t="s">
        <v>412</v>
      </c>
      <c r="E26765" t="s">
        <v>202</v>
      </c>
      <c r="F26765" s="2" t="str">
        <f>HYPERLINK("http://www.otzar.org/book.asp?21640","משנת הישיבה - 2 כר'")</f>
        <v>משנת הישיבה - 2 כר'</v>
      </c>
    </row>
    <row r="26766" spans="1:6" x14ac:dyDescent="0.2">
      <c r="A26766" t="s">
        <v>42531</v>
      </c>
      <c r="B26766" t="s">
        <v>42522</v>
      </c>
      <c r="C26766" t="s">
        <v>133</v>
      </c>
      <c r="D26766" t="s">
        <v>152</v>
      </c>
      <c r="E26766" t="s">
        <v>15</v>
      </c>
      <c r="F26766" s="2" t="str">
        <f>HYPERLINK("http://www.otzar.org/book.asp?198153","משנת הכתובה - ב")</f>
        <v>משנת הכתובה - ב</v>
      </c>
    </row>
    <row r="26767" spans="1:6" x14ac:dyDescent="0.2">
      <c r="A26767" t="s">
        <v>42532</v>
      </c>
      <c r="B26767" t="s">
        <v>42533</v>
      </c>
      <c r="C26767" t="s">
        <v>133</v>
      </c>
      <c r="D26767" t="s">
        <v>152</v>
      </c>
      <c r="E26767" t="s">
        <v>15</v>
      </c>
      <c r="F26767" s="2" t="str">
        <f>HYPERLINK("http://www.otzar.org/book.asp?198152","משנת הכתובה - א")</f>
        <v>משנת הכתובה - א</v>
      </c>
    </row>
    <row r="26768" spans="1:6" x14ac:dyDescent="0.2">
      <c r="A26768" t="s">
        <v>42534</v>
      </c>
      <c r="B26768" t="s">
        <v>42535</v>
      </c>
      <c r="C26768" t="s">
        <v>23</v>
      </c>
      <c r="D26768" t="s">
        <v>1156</v>
      </c>
      <c r="E26768" t="s">
        <v>172</v>
      </c>
      <c r="F26768" s="2" t="str">
        <f>HYPERLINK("http://www.otzar.org/book.asp?193599","משנת הלוי - 2 כר'")</f>
        <v>משנת הלוי - 2 כר'</v>
      </c>
    </row>
    <row r="26769" spans="1:6" x14ac:dyDescent="0.2">
      <c r="A26769" t="s">
        <v>42536</v>
      </c>
      <c r="B26769" t="s">
        <v>42537</v>
      </c>
      <c r="C26769" t="s">
        <v>17</v>
      </c>
      <c r="D26769" t="s">
        <v>764</v>
      </c>
      <c r="E26769" t="s">
        <v>84</v>
      </c>
      <c r="F26769" s="2" t="str">
        <f>HYPERLINK("http://www.otzar.org/book.asp?52291","משנת הלוי - 5 כר'")</f>
        <v>משנת הלוי - 5 כר'</v>
      </c>
    </row>
    <row r="26770" spans="1:6" x14ac:dyDescent="0.2">
      <c r="A26770" t="s">
        <v>42538</v>
      </c>
      <c r="B26770" t="s">
        <v>42539</v>
      </c>
      <c r="C26770" t="s">
        <v>37</v>
      </c>
      <c r="D26770" t="s">
        <v>14</v>
      </c>
      <c r="F26770" s="2" t="str">
        <f>HYPERLINK("http://www.otzar.org/book.asp?196634","משנת המגיד מזלאטשוב - 2 כר'")</f>
        <v>משנת המגיד מזלאטשוב - 2 כר'</v>
      </c>
    </row>
    <row r="26771" spans="1:6" x14ac:dyDescent="0.2">
      <c r="A26771" t="s">
        <v>42540</v>
      </c>
      <c r="B26771" t="s">
        <v>22089</v>
      </c>
      <c r="C26771" t="s">
        <v>533</v>
      </c>
      <c r="D26771" t="s">
        <v>30978</v>
      </c>
      <c r="E26771" t="s">
        <v>84</v>
      </c>
      <c r="F26771" s="2" t="str">
        <f>HYPERLINK("http://www.otzar.org/book.asp?197487","משנת המדות - א")</f>
        <v>משנת המדות - א</v>
      </c>
    </row>
    <row r="26772" spans="1:6" x14ac:dyDescent="0.2">
      <c r="A26772" t="s">
        <v>42541</v>
      </c>
      <c r="B26772" t="s">
        <v>42489</v>
      </c>
      <c r="C26772" t="s">
        <v>111</v>
      </c>
      <c r="D26772" t="s">
        <v>52</v>
      </c>
      <c r="E26772" t="s">
        <v>246</v>
      </c>
      <c r="F26772" s="2" t="str">
        <f>HYPERLINK("http://www.otzar.org/book.asp?630437","משנת המועדים - 7 כר'")</f>
        <v>משנת המועדים - 7 כר'</v>
      </c>
    </row>
    <row r="26773" spans="1:6" x14ac:dyDescent="0.2">
      <c r="A26773" t="s">
        <v>42542</v>
      </c>
      <c r="B26773" t="s">
        <v>4606</v>
      </c>
      <c r="C26773" t="s">
        <v>454</v>
      </c>
      <c r="D26773" t="s">
        <v>90</v>
      </c>
      <c r="E26773" t="s">
        <v>4494</v>
      </c>
      <c r="F26773" s="2" t="str">
        <f>HYPERLINK("http://www.otzar.org/book.asp?61522","משנת המועדים - חנוכה")</f>
        <v>משנת המועדים - חנוכה</v>
      </c>
    </row>
    <row r="26774" spans="1:6" x14ac:dyDescent="0.2">
      <c r="A26774" t="s">
        <v>42543</v>
      </c>
      <c r="B26774" t="s">
        <v>42544</v>
      </c>
      <c r="C26774" t="s">
        <v>20</v>
      </c>
      <c r="D26774" t="s">
        <v>90</v>
      </c>
      <c r="E26774" t="s">
        <v>144</v>
      </c>
      <c r="F26774" s="2" t="str">
        <f>HYPERLINK("http://www.otzar.org/book.asp?181771","משנת המיגו")</f>
        <v>משנת המיגו</v>
      </c>
    </row>
    <row r="26775" spans="1:6" x14ac:dyDescent="0.2">
      <c r="A26775" t="s">
        <v>42545</v>
      </c>
      <c r="B26775" t="s">
        <v>42546</v>
      </c>
      <c r="C26775" t="s">
        <v>151</v>
      </c>
      <c r="D26775" t="s">
        <v>152</v>
      </c>
      <c r="E26775" t="s">
        <v>15</v>
      </c>
      <c r="F26775" s="2" t="str">
        <f>HYPERLINK("http://www.otzar.org/book.asp?629560","משנת המלבן")</f>
        <v>משנת המלבן</v>
      </c>
    </row>
    <row r="26776" spans="1:6" x14ac:dyDescent="0.2">
      <c r="A26776" t="s">
        <v>42547</v>
      </c>
      <c r="B26776" t="s">
        <v>12418</v>
      </c>
      <c r="C26776" t="s">
        <v>37</v>
      </c>
      <c r="D26776" t="s">
        <v>14</v>
      </c>
      <c r="E26776" t="s">
        <v>144</v>
      </c>
      <c r="F26776" s="2" t="str">
        <f>HYPERLINK("http://www.otzar.org/book.asp?179811","משנת המלך - עבודה זרה")</f>
        <v>משנת המלך - עבודה זרה</v>
      </c>
    </row>
    <row r="26777" spans="1:6" x14ac:dyDescent="0.2">
      <c r="A26777" t="s">
        <v>42548</v>
      </c>
      <c r="B26777" t="s">
        <v>42512</v>
      </c>
      <c r="C26777" t="s">
        <v>244</v>
      </c>
      <c r="D26777" t="s">
        <v>21</v>
      </c>
      <c r="E26777" t="s">
        <v>144</v>
      </c>
      <c r="F26777" s="2" t="str">
        <f>HYPERLINK("http://www.otzar.org/book.asp?197826","משנת המנחה")</f>
        <v>משנת המנחה</v>
      </c>
    </row>
    <row r="26778" spans="1:6" x14ac:dyDescent="0.2">
      <c r="A26778" t="s">
        <v>42549</v>
      </c>
      <c r="B26778" t="s">
        <v>42550</v>
      </c>
      <c r="C26778" t="s">
        <v>13</v>
      </c>
      <c r="D26778" t="s">
        <v>1156</v>
      </c>
      <c r="E26778" t="s">
        <v>148</v>
      </c>
      <c r="F26778" s="2" t="str">
        <f>HYPERLINK("http://www.otzar.org/book.asp?63091","משנת המשפט - 3 כר'")</f>
        <v>משנת המשפט - 3 כר'</v>
      </c>
    </row>
    <row r="26779" spans="1:6" x14ac:dyDescent="0.2">
      <c r="A26779" t="s">
        <v>42551</v>
      </c>
      <c r="B26779" t="s">
        <v>42552</v>
      </c>
      <c r="C26779" t="s">
        <v>68</v>
      </c>
      <c r="D26779" t="s">
        <v>152</v>
      </c>
      <c r="E26779" t="s">
        <v>144</v>
      </c>
      <c r="F26779" s="2" t="str">
        <f>HYPERLINK("http://www.otzar.org/book.asp?159217","משנת הנזיר")</f>
        <v>משנת הנזיר</v>
      </c>
    </row>
    <row r="26780" spans="1:6" x14ac:dyDescent="0.2">
      <c r="A26780" t="s">
        <v>42551</v>
      </c>
      <c r="B26780" t="s">
        <v>3854</v>
      </c>
      <c r="C26780" t="s">
        <v>189</v>
      </c>
      <c r="D26780" t="s">
        <v>14</v>
      </c>
      <c r="E26780" t="s">
        <v>119</v>
      </c>
      <c r="F26780" s="2" t="str">
        <f>HYPERLINK("http://www.otzar.org/book.asp?144007","משנת הנזיר")</f>
        <v>משנת הנזיר</v>
      </c>
    </row>
    <row r="26781" spans="1:6" x14ac:dyDescent="0.2">
      <c r="A26781" t="s">
        <v>42553</v>
      </c>
      <c r="B26781" t="s">
        <v>19258</v>
      </c>
      <c r="C26781" t="s">
        <v>23</v>
      </c>
      <c r="D26781" t="s">
        <v>52</v>
      </c>
      <c r="E26781" t="s">
        <v>15</v>
      </c>
      <c r="F26781" s="2" t="str">
        <f>HYPERLINK("http://www.otzar.org/book.asp?191586","משנת הנחלות")</f>
        <v>משנת הנחלות</v>
      </c>
    </row>
    <row r="26782" spans="1:6" x14ac:dyDescent="0.2">
      <c r="A26782" t="s">
        <v>42554</v>
      </c>
      <c r="B26782" t="s">
        <v>6473</v>
      </c>
      <c r="C26782" t="s">
        <v>411</v>
      </c>
      <c r="D26782" t="s">
        <v>52</v>
      </c>
      <c r="E26782" t="s">
        <v>15</v>
      </c>
      <c r="F26782" s="2" t="str">
        <f>HYPERLINK("http://www.otzar.org/book.asp?605502","משנת הסופר - על קסת הסופר")</f>
        <v>משנת הסופר - על קסת הסופר</v>
      </c>
    </row>
    <row r="26783" spans="1:6" x14ac:dyDescent="0.2">
      <c r="A26783" t="s">
        <v>42555</v>
      </c>
      <c r="B26783" t="s">
        <v>4781</v>
      </c>
      <c r="C26783" t="s">
        <v>244</v>
      </c>
      <c r="D26783" t="s">
        <v>80</v>
      </c>
      <c r="E26783" t="s">
        <v>674</v>
      </c>
      <c r="F26783" s="2" t="str">
        <f>HYPERLINK("http://www.otzar.org/book.asp?601159","משנת העיבור")</f>
        <v>משנת העיבור</v>
      </c>
    </row>
    <row r="26784" spans="1:6" x14ac:dyDescent="0.2">
      <c r="A26784" t="s">
        <v>42556</v>
      </c>
      <c r="B26784" t="s">
        <v>7992</v>
      </c>
      <c r="C26784" t="s">
        <v>3690</v>
      </c>
      <c r="D26784" t="s">
        <v>855</v>
      </c>
      <c r="E26784" t="s">
        <v>399</v>
      </c>
      <c r="F26784" s="2" t="str">
        <f>HYPERLINK("http://www.otzar.org/book.asp?25068","משנת העתים")</f>
        <v>משנת העתים</v>
      </c>
    </row>
    <row r="26785" spans="1:6" x14ac:dyDescent="0.2">
      <c r="A26785" t="s">
        <v>42557</v>
      </c>
      <c r="B26785" t="s">
        <v>18253</v>
      </c>
      <c r="C26785" t="s">
        <v>189</v>
      </c>
      <c r="D26785" t="s">
        <v>216</v>
      </c>
      <c r="E26785" t="s">
        <v>104</v>
      </c>
      <c r="F26785" s="2" t="str">
        <f>HYPERLINK("http://www.otzar.org/book.asp?149527","משנת הצניעות")</f>
        <v>משנת הצניעות</v>
      </c>
    </row>
    <row r="26786" spans="1:6" x14ac:dyDescent="0.2">
      <c r="A26786" t="s">
        <v>42558</v>
      </c>
      <c r="B26786" t="s">
        <v>42559</v>
      </c>
      <c r="C26786" t="s">
        <v>189</v>
      </c>
      <c r="D26786" t="s">
        <v>52</v>
      </c>
      <c r="E26786" t="s">
        <v>786</v>
      </c>
      <c r="F26786" s="2" t="str">
        <f>HYPERLINK("http://www.otzar.org/book.asp?600254","משנת הרא""ש - 2 כר'")</f>
        <v>משנת הרא"ש - 2 כר'</v>
      </c>
    </row>
    <row r="26787" spans="1:6" x14ac:dyDescent="0.2">
      <c r="A26787" t="s">
        <v>42560</v>
      </c>
      <c r="B26787" t="s">
        <v>25451</v>
      </c>
      <c r="C26787" t="s">
        <v>189</v>
      </c>
      <c r="D26787" t="s">
        <v>14</v>
      </c>
      <c r="E26787" t="s">
        <v>463</v>
      </c>
      <c r="F26787" s="2" t="str">
        <f>HYPERLINK("http://www.otzar.org/book.asp?165124","משנת הרמ""ל")</f>
        <v>משנת הרמ"ל</v>
      </c>
    </row>
    <row r="26788" spans="1:6" x14ac:dyDescent="0.2">
      <c r="A26788" t="s">
        <v>42561</v>
      </c>
      <c r="B26788" t="s">
        <v>42562</v>
      </c>
      <c r="C26788" t="s">
        <v>244</v>
      </c>
      <c r="D26788" t="s">
        <v>80</v>
      </c>
      <c r="F26788" s="2" t="str">
        <f>HYPERLINK("http://www.otzar.org/book.asp?609730","משנת הש""ס")</f>
        <v>משנת הש"ס</v>
      </c>
    </row>
    <row r="26789" spans="1:6" x14ac:dyDescent="0.2">
      <c r="A26789" t="s">
        <v>42563</v>
      </c>
      <c r="B26789" t="s">
        <v>1750</v>
      </c>
      <c r="C26789" t="s">
        <v>23</v>
      </c>
      <c r="D26789" t="s">
        <v>2285</v>
      </c>
      <c r="E26789" t="s">
        <v>202</v>
      </c>
      <c r="F26789" s="2" t="str">
        <f>HYPERLINK("http://www.otzar.org/book.asp?197580","משנת השביעית")</f>
        <v>משנת השביעית</v>
      </c>
    </row>
    <row r="26790" spans="1:6" x14ac:dyDescent="0.2">
      <c r="A26790" t="s">
        <v>42564</v>
      </c>
      <c r="B26790" t="s">
        <v>42565</v>
      </c>
      <c r="C26790" t="s">
        <v>624</v>
      </c>
      <c r="D26790" t="s">
        <v>52</v>
      </c>
      <c r="E26790" t="s">
        <v>144</v>
      </c>
      <c r="F26790" s="2" t="str">
        <f>HYPERLINK("http://www.otzar.org/book.asp?26767","משנת השבת - 3 כר'")</f>
        <v>משנת השבת - 3 כר'</v>
      </c>
    </row>
    <row r="26791" spans="1:6" x14ac:dyDescent="0.2">
      <c r="A26791" t="s">
        <v>42566</v>
      </c>
      <c r="B26791" t="s">
        <v>18253</v>
      </c>
      <c r="C26791" t="s">
        <v>454</v>
      </c>
      <c r="D26791" t="s">
        <v>14</v>
      </c>
      <c r="E26791" t="s">
        <v>130</v>
      </c>
      <c r="F26791" s="2" t="str">
        <f>HYPERLINK("http://www.otzar.org/book.asp?149498","משנת השבת - 2 כר'")</f>
        <v>משנת השבת - 2 כר'</v>
      </c>
    </row>
    <row r="26792" spans="1:6" x14ac:dyDescent="0.2">
      <c r="A26792" t="s">
        <v>42567</v>
      </c>
      <c r="B26792" t="s">
        <v>1750</v>
      </c>
      <c r="C26792" t="s">
        <v>454</v>
      </c>
      <c r="D26792" t="s">
        <v>412</v>
      </c>
      <c r="E26792" t="s">
        <v>10</v>
      </c>
      <c r="F26792" s="2" t="str">
        <f>HYPERLINK("http://www.otzar.org/book.asp?21639","משנת השבת")</f>
        <v>משנת השבת</v>
      </c>
    </row>
    <row r="26793" spans="1:6" x14ac:dyDescent="0.2">
      <c r="A26793" t="s">
        <v>42568</v>
      </c>
      <c r="B26793" t="s">
        <v>42516</v>
      </c>
      <c r="C26793" t="s">
        <v>151</v>
      </c>
      <c r="D26793" t="s">
        <v>3939</v>
      </c>
      <c r="E26793" t="s">
        <v>186</v>
      </c>
      <c r="F26793" s="2" t="str">
        <f>HYPERLINK("http://www.otzar.org/book.asp?630033","משנת השומרים")</f>
        <v>משנת השומרים</v>
      </c>
    </row>
    <row r="26794" spans="1:6" x14ac:dyDescent="0.2">
      <c r="A26794" t="s">
        <v>42569</v>
      </c>
      <c r="B26794" t="s">
        <v>29949</v>
      </c>
      <c r="C26794" t="s">
        <v>111</v>
      </c>
      <c r="D26794" t="s">
        <v>152</v>
      </c>
      <c r="E26794" t="s">
        <v>172</v>
      </c>
      <c r="F26794" s="2" t="str">
        <f>HYPERLINK("http://www.otzar.org/book.asp?622306","משנת השכירות")</f>
        <v>משנת השכירות</v>
      </c>
    </row>
    <row r="26795" spans="1:6" x14ac:dyDescent="0.2">
      <c r="A26795" t="s">
        <v>42570</v>
      </c>
      <c r="B26795" t="s">
        <v>12613</v>
      </c>
      <c r="C26795" t="s">
        <v>17</v>
      </c>
      <c r="D26795" t="s">
        <v>5421</v>
      </c>
      <c r="E26795" t="s">
        <v>15</v>
      </c>
      <c r="F26795" s="2" t="str">
        <f>HYPERLINK("http://www.otzar.org/book.asp?149927","משנת השמטה")</f>
        <v>משנת השמטה</v>
      </c>
    </row>
    <row r="26796" spans="1:6" x14ac:dyDescent="0.2">
      <c r="A26796" t="s">
        <v>42571</v>
      </c>
      <c r="B26796" t="s">
        <v>42572</v>
      </c>
      <c r="C26796" t="s">
        <v>13</v>
      </c>
      <c r="D26796" t="s">
        <v>9</v>
      </c>
      <c r="E26796" t="s">
        <v>15</v>
      </c>
      <c r="F26796" s="2" t="str">
        <f>HYPERLINK("http://www.otzar.org/book.asp?197787","משנת השמיטה")</f>
        <v>משנת השמיטה</v>
      </c>
    </row>
    <row r="26797" spans="1:6" x14ac:dyDescent="0.2">
      <c r="A26797" t="s">
        <v>42573</v>
      </c>
      <c r="B26797" t="s">
        <v>2688</v>
      </c>
      <c r="C26797" t="s">
        <v>775</v>
      </c>
      <c r="D26797" t="s">
        <v>14</v>
      </c>
      <c r="E26797" t="s">
        <v>674</v>
      </c>
      <c r="F26797" s="2" t="str">
        <f>HYPERLINK("http://www.otzar.org/book.asp?21658","משנת התורה")</f>
        <v>משנת התורה</v>
      </c>
    </row>
    <row r="26798" spans="1:6" x14ac:dyDescent="0.2">
      <c r="A26798" t="s">
        <v>42574</v>
      </c>
      <c r="B26798" t="s">
        <v>42575</v>
      </c>
      <c r="C26798" t="s">
        <v>767</v>
      </c>
      <c r="D26798" t="s">
        <v>14</v>
      </c>
      <c r="E26798" t="s">
        <v>144</v>
      </c>
      <c r="F26798" s="2" t="str">
        <f>HYPERLINK("http://www.otzar.org/book.asp?181471","משנת התלמוד - 6 כר'")</f>
        <v>משנת התלמוד - 6 כר'</v>
      </c>
    </row>
    <row r="26799" spans="1:6" x14ac:dyDescent="0.2">
      <c r="A26799" t="s">
        <v>42576</v>
      </c>
      <c r="B26799" t="s">
        <v>42577</v>
      </c>
      <c r="C26799" t="s">
        <v>111</v>
      </c>
      <c r="D26799" t="s">
        <v>152</v>
      </c>
      <c r="E26799" t="s">
        <v>130</v>
      </c>
      <c r="F26799" s="2" t="str">
        <f>HYPERLINK("http://www.otzar.org/book.asp?629221","משנת ויכולו")</f>
        <v>משנת ויכולו</v>
      </c>
    </row>
    <row r="26800" spans="1:6" x14ac:dyDescent="0.2">
      <c r="A26800" t="s">
        <v>42578</v>
      </c>
      <c r="B26800" t="s">
        <v>42512</v>
      </c>
      <c r="C26800" t="s">
        <v>151</v>
      </c>
      <c r="D26800" t="s">
        <v>14</v>
      </c>
      <c r="F26800" s="2" t="str">
        <f>HYPERLINK("http://www.otzar.org/book.asp?617487","משנת זבחים")</f>
        <v>משנת זבחים</v>
      </c>
    </row>
    <row r="26801" spans="1:6" x14ac:dyDescent="0.2">
      <c r="A26801" t="s">
        <v>42579</v>
      </c>
      <c r="B26801" t="s">
        <v>42514</v>
      </c>
      <c r="C26801" t="s">
        <v>51</v>
      </c>
      <c r="D26801" t="s">
        <v>14</v>
      </c>
      <c r="E26801" t="s">
        <v>15</v>
      </c>
      <c r="F26801" s="2" t="str">
        <f>HYPERLINK("http://www.otzar.org/book.asp?51932","משנת זכויות היוצר")</f>
        <v>משנת זכויות היוצר</v>
      </c>
    </row>
    <row r="26802" spans="1:6" x14ac:dyDescent="0.2">
      <c r="A26802" t="s">
        <v>42580</v>
      </c>
      <c r="B26802" t="s">
        <v>42581</v>
      </c>
      <c r="C26802" t="s">
        <v>189</v>
      </c>
      <c r="D26802" t="s">
        <v>2125</v>
      </c>
      <c r="E26802" t="s">
        <v>42582</v>
      </c>
      <c r="F26802" s="2" t="str">
        <f>HYPERLINK("http://www.otzar.org/book.asp?22596","משנת זרעים - 4 כר'")</f>
        <v>משנת זרעים - 4 כר'</v>
      </c>
    </row>
    <row r="26803" spans="1:6" x14ac:dyDescent="0.2">
      <c r="A26803" t="s">
        <v>42583</v>
      </c>
      <c r="B26803" t="s">
        <v>42584</v>
      </c>
      <c r="C26803" t="s">
        <v>23</v>
      </c>
      <c r="D26803" t="s">
        <v>245</v>
      </c>
      <c r="E26803" t="s">
        <v>84</v>
      </c>
      <c r="F26803" s="2" t="str">
        <f>HYPERLINK("http://www.otzar.org/book.asp?199969","משנת זרעים - 3 כר'")</f>
        <v>משנת זרעים - 3 כר'</v>
      </c>
    </row>
    <row r="26804" spans="1:6" x14ac:dyDescent="0.2">
      <c r="A26804" t="s">
        <v>42585</v>
      </c>
      <c r="B26804" t="s">
        <v>12418</v>
      </c>
      <c r="C26804" t="s">
        <v>133</v>
      </c>
      <c r="D26804" t="s">
        <v>14</v>
      </c>
      <c r="E26804" t="s">
        <v>144</v>
      </c>
      <c r="F26804" s="2" t="str">
        <f>HYPERLINK("http://www.otzar.org/book.asp?173289","משנת חולין")</f>
        <v>משנת חולין</v>
      </c>
    </row>
    <row r="26805" spans="1:6" x14ac:dyDescent="0.2">
      <c r="A26805" t="s">
        <v>42585</v>
      </c>
      <c r="B26805" t="s">
        <v>42586</v>
      </c>
      <c r="C26805" t="s">
        <v>37</v>
      </c>
      <c r="D26805" t="s">
        <v>52</v>
      </c>
      <c r="E26805" t="s">
        <v>144</v>
      </c>
      <c r="F26805" s="2" t="str">
        <f>HYPERLINK("http://www.otzar.org/book.asp?176152","משנת חולין")</f>
        <v>משנת חולין</v>
      </c>
    </row>
    <row r="26806" spans="1:6" x14ac:dyDescent="0.2">
      <c r="A26806" t="s">
        <v>42587</v>
      </c>
      <c r="B26806" t="s">
        <v>42588</v>
      </c>
      <c r="C26806" t="s">
        <v>87</v>
      </c>
      <c r="D26806" t="s">
        <v>14</v>
      </c>
      <c r="E26806" t="s">
        <v>15</v>
      </c>
      <c r="F26806" s="2" t="str">
        <f>HYPERLINK("http://www.otzar.org/book.asp?50909","משנת חיי שעה")</f>
        <v>משנת חיי שעה</v>
      </c>
    </row>
    <row r="26807" spans="1:6" x14ac:dyDescent="0.2">
      <c r="A26807" t="s">
        <v>42589</v>
      </c>
      <c r="B26807" t="s">
        <v>42590</v>
      </c>
      <c r="C26807" t="s">
        <v>189</v>
      </c>
      <c r="D26807" t="s">
        <v>52</v>
      </c>
      <c r="E26807" t="s">
        <v>158</v>
      </c>
      <c r="F26807" s="2" t="str">
        <f>HYPERLINK("http://www.otzar.org/book.asp?26836","משנת חיים &lt;על התורה&gt; - 5 כר'")</f>
        <v>משנת חיים &lt;על התורה&gt; - 5 כר'</v>
      </c>
    </row>
    <row r="26808" spans="1:6" x14ac:dyDescent="0.2">
      <c r="A26808" t="s">
        <v>42591</v>
      </c>
      <c r="B26808" t="s">
        <v>42590</v>
      </c>
      <c r="C26808" t="s">
        <v>23</v>
      </c>
      <c r="D26808" t="s">
        <v>52</v>
      </c>
      <c r="E26808" t="s">
        <v>144</v>
      </c>
      <c r="F26808" s="2" t="str">
        <f>HYPERLINK("http://www.otzar.org/book.asp?193185","משנת חיים - 35 כר'")</f>
        <v>משנת חיים - 35 כר'</v>
      </c>
    </row>
    <row r="26809" spans="1:6" x14ac:dyDescent="0.2">
      <c r="A26809" t="s">
        <v>42592</v>
      </c>
      <c r="B26809" t="s">
        <v>42593</v>
      </c>
      <c r="C26809" t="s">
        <v>20</v>
      </c>
      <c r="D26809" t="s">
        <v>412</v>
      </c>
      <c r="E26809" t="s">
        <v>16314</v>
      </c>
      <c r="F26809" s="2" t="str">
        <f>HYPERLINK("http://www.otzar.org/book.asp?186707","משנת חכמים &lt;מהדורה חדשה&gt; - 2 כר'")</f>
        <v>משנת חכמים &lt;מהדורה חדשה&gt; - 2 כר'</v>
      </c>
    </row>
    <row r="26810" spans="1:6" x14ac:dyDescent="0.2">
      <c r="A26810" t="s">
        <v>42594</v>
      </c>
      <c r="B26810" t="s">
        <v>42595</v>
      </c>
      <c r="C26810" t="s">
        <v>71</v>
      </c>
      <c r="D26810" t="s">
        <v>14</v>
      </c>
      <c r="E26810" t="s">
        <v>15</v>
      </c>
      <c r="F26810" s="2" t="str">
        <f>HYPERLINK("http://www.otzar.org/book.asp?155030","משנת חכמים (יבין שמועה - צפנת פענח)")</f>
        <v>משנת חכמים (יבין שמועה - צפנת פענח)</v>
      </c>
    </row>
    <row r="26811" spans="1:6" x14ac:dyDescent="0.2">
      <c r="A26811" t="s">
        <v>42596</v>
      </c>
      <c r="B26811" t="s">
        <v>42595</v>
      </c>
      <c r="C26811" t="s">
        <v>42597</v>
      </c>
      <c r="D26811" t="s">
        <v>267</v>
      </c>
      <c r="E26811" t="s">
        <v>15</v>
      </c>
      <c r="F26811" s="2" t="str">
        <f>HYPERLINK("http://www.otzar.org/book.asp?21485","משנת חכמים")</f>
        <v>משנת חכמים</v>
      </c>
    </row>
    <row r="26812" spans="1:6" x14ac:dyDescent="0.2">
      <c r="A26812" t="s">
        <v>42598</v>
      </c>
      <c r="B26812" t="s">
        <v>42593</v>
      </c>
      <c r="C26812" t="s">
        <v>2543</v>
      </c>
      <c r="D26812" t="s">
        <v>267</v>
      </c>
      <c r="E26812" t="s">
        <v>84</v>
      </c>
      <c r="F26812" s="2" t="str">
        <f>HYPERLINK("http://www.otzar.org/book.asp?101494","משנת חכמים - 3 כר'")</f>
        <v>משנת חכמים - 3 כר'</v>
      </c>
    </row>
    <row r="26813" spans="1:6" x14ac:dyDescent="0.2">
      <c r="A26813" t="s">
        <v>42599</v>
      </c>
      <c r="B26813" t="s">
        <v>1540</v>
      </c>
      <c r="C26813" t="s">
        <v>1844</v>
      </c>
      <c r="D26813" t="s">
        <v>1538</v>
      </c>
      <c r="E26813" t="s">
        <v>3785</v>
      </c>
      <c r="F26813" s="2" t="str">
        <f>HYPERLINK("http://www.otzar.org/book.asp?6387","משנת חכמים - 4 כר'")</f>
        <v>משנת חכמים - 4 כר'</v>
      </c>
    </row>
    <row r="26814" spans="1:6" x14ac:dyDescent="0.2">
      <c r="A26814" t="s">
        <v>42600</v>
      </c>
      <c r="B26814" t="s">
        <v>7964</v>
      </c>
      <c r="C26814" t="s">
        <v>466</v>
      </c>
      <c r="D26814" t="s">
        <v>14</v>
      </c>
      <c r="E26814" t="s">
        <v>172</v>
      </c>
      <c r="F26814" s="2" t="str">
        <f>HYPERLINK("http://www.otzar.org/book.asp?181481","משנת חכמים - א")</f>
        <v>משנת חכמים - א</v>
      </c>
    </row>
    <row r="26815" spans="1:6" x14ac:dyDescent="0.2">
      <c r="A26815" t="s">
        <v>42596</v>
      </c>
      <c r="B26815" t="s">
        <v>42601</v>
      </c>
      <c r="C26815" t="s">
        <v>908</v>
      </c>
      <c r="D26815" t="s">
        <v>27</v>
      </c>
      <c r="E26815" t="s">
        <v>140</v>
      </c>
      <c r="F26815" s="2" t="str">
        <f>HYPERLINK("http://www.otzar.org/book.asp?103558","משנת חכמים")</f>
        <v>משנת חכמים</v>
      </c>
    </row>
    <row r="26816" spans="1:6" x14ac:dyDescent="0.2">
      <c r="A26816" t="s">
        <v>42602</v>
      </c>
      <c r="B26816" t="s">
        <v>1504</v>
      </c>
      <c r="C26816" t="s">
        <v>51</v>
      </c>
      <c r="D26816" t="s">
        <v>27</v>
      </c>
      <c r="E26816" t="s">
        <v>15</v>
      </c>
      <c r="F26816" s="2" t="str">
        <f>HYPERLINK("http://www.otzar.org/book.asp?156119","משנת חנוך")</f>
        <v>משנת חנוך</v>
      </c>
    </row>
    <row r="26817" spans="1:6" x14ac:dyDescent="0.2">
      <c r="A26817" t="s">
        <v>42603</v>
      </c>
      <c r="B26817" t="s">
        <v>2688</v>
      </c>
      <c r="C26817" t="s">
        <v>37</v>
      </c>
      <c r="D26817" t="s">
        <v>21</v>
      </c>
      <c r="E26817" t="s">
        <v>130</v>
      </c>
      <c r="F26817" s="2" t="str">
        <f>HYPERLINK("http://www.otzar.org/book.asp?600203","משנת חנוכה")</f>
        <v>משנת חנוכה</v>
      </c>
    </row>
    <row r="26818" spans="1:6" x14ac:dyDescent="0.2">
      <c r="A26818" t="s">
        <v>42604</v>
      </c>
      <c r="B26818" t="s">
        <v>42605</v>
      </c>
      <c r="C26818" t="s">
        <v>366</v>
      </c>
      <c r="D26818" t="s">
        <v>14</v>
      </c>
      <c r="E26818" t="s">
        <v>399</v>
      </c>
      <c r="F26818" s="2" t="str">
        <f>HYPERLINK("http://www.otzar.org/book.asp?618861","משנת חסידים &lt;פרי הג""ן&gt;")</f>
        <v>משנת חסידים &lt;פרי הג"ן&gt;</v>
      </c>
    </row>
    <row r="26819" spans="1:6" x14ac:dyDescent="0.2">
      <c r="A26819" t="s">
        <v>42606</v>
      </c>
      <c r="B26819" t="s">
        <v>1827</v>
      </c>
      <c r="C26819" t="s">
        <v>1047</v>
      </c>
      <c r="D26819" t="s">
        <v>1117</v>
      </c>
      <c r="E26819" t="s">
        <v>399</v>
      </c>
      <c r="F26819" s="2" t="str">
        <f>HYPERLINK("http://www.otzar.org/book.asp?101374","משנת חסידים &lt;טעם עצו&gt;")</f>
        <v>משנת חסידים &lt;טעם עצו&gt;</v>
      </c>
    </row>
    <row r="26820" spans="1:6" x14ac:dyDescent="0.2">
      <c r="A26820" t="s">
        <v>42607</v>
      </c>
      <c r="B26820" t="s">
        <v>1827</v>
      </c>
      <c r="C26820" t="s">
        <v>1335</v>
      </c>
      <c r="D26820" t="s">
        <v>14</v>
      </c>
      <c r="E26820" t="s">
        <v>399</v>
      </c>
      <c r="F26820" s="2" t="str">
        <f>HYPERLINK("http://www.otzar.org/book.asp?12740","משנת חסידים &lt;מגיד משנה&gt;")</f>
        <v>משנת חסידים &lt;מגיד משנה&gt;</v>
      </c>
    </row>
    <row r="26821" spans="1:6" x14ac:dyDescent="0.2">
      <c r="A26821" t="s">
        <v>42608</v>
      </c>
      <c r="B26821" t="s">
        <v>1827</v>
      </c>
      <c r="C26821" t="s">
        <v>496</v>
      </c>
      <c r="D26821" t="s">
        <v>27726</v>
      </c>
      <c r="E26821" t="s">
        <v>399</v>
      </c>
      <c r="F26821" s="2" t="str">
        <f>HYPERLINK("http://www.otzar.org/book.asp?105838","משנת חסידים &lt;מגיד שני&gt;")</f>
        <v>משנת חסידים &lt;מגיד שני&gt;</v>
      </c>
    </row>
    <row r="26822" spans="1:6" x14ac:dyDescent="0.2">
      <c r="A26822" t="s">
        <v>42609</v>
      </c>
      <c r="B26822" t="s">
        <v>1827</v>
      </c>
      <c r="C26822" t="s">
        <v>624</v>
      </c>
      <c r="D26822" t="s">
        <v>14</v>
      </c>
      <c r="E26822" t="s">
        <v>1438</v>
      </c>
      <c r="F26822" s="2" t="str">
        <f>HYPERLINK("http://www.otzar.org/book.asp?627734","משנת חסידים &lt;עם הוספות מכת""י&gt;")</f>
        <v>משנת חסידים &lt;עם הוספות מכת"י&gt;</v>
      </c>
    </row>
    <row r="26823" spans="1:6" x14ac:dyDescent="0.2">
      <c r="A26823" t="s">
        <v>42610</v>
      </c>
      <c r="B26823" t="s">
        <v>1827</v>
      </c>
      <c r="C26823" t="s">
        <v>8890</v>
      </c>
      <c r="D26823" t="s">
        <v>1023</v>
      </c>
      <c r="E26823" t="s">
        <v>399</v>
      </c>
      <c r="F26823" s="2" t="str">
        <f>HYPERLINK("http://www.otzar.org/book.asp?104323","משנת חסידים - 2 כר'")</f>
        <v>משנת חסידים - 2 כר'</v>
      </c>
    </row>
    <row r="26824" spans="1:6" x14ac:dyDescent="0.2">
      <c r="A26824" t="s">
        <v>42611</v>
      </c>
      <c r="B26824" t="s">
        <v>42612</v>
      </c>
      <c r="C26824" t="s">
        <v>1135</v>
      </c>
      <c r="D26824" t="s">
        <v>1023</v>
      </c>
      <c r="E26824" t="s">
        <v>399</v>
      </c>
      <c r="F26824" s="2" t="str">
        <f>HYPERLINK("http://www.otzar.org/book.asp?104434","משנת חסידים")</f>
        <v>משנת חסידים</v>
      </c>
    </row>
    <row r="26825" spans="1:6" x14ac:dyDescent="0.2">
      <c r="A26825" t="s">
        <v>42611</v>
      </c>
      <c r="B26825" t="s">
        <v>42613</v>
      </c>
      <c r="C26825" t="s">
        <v>1524</v>
      </c>
      <c r="D26825" t="s">
        <v>4364</v>
      </c>
      <c r="F26825" s="2" t="str">
        <f>HYPERLINK("http://www.otzar.org/book.asp?164784","משנת חסידים")</f>
        <v>משנת חסידים</v>
      </c>
    </row>
    <row r="26826" spans="1:6" x14ac:dyDescent="0.2">
      <c r="A26826" t="s">
        <v>42614</v>
      </c>
      <c r="B26826" t="s">
        <v>25029</v>
      </c>
      <c r="C26826" t="s">
        <v>366</v>
      </c>
      <c r="D26826" t="s">
        <v>52</v>
      </c>
      <c r="E26826" t="s">
        <v>144</v>
      </c>
      <c r="F26826" s="2" t="str">
        <f>HYPERLINK("http://www.otzar.org/book.asp?621328","משנת חציצה")</f>
        <v>משנת חציצה</v>
      </c>
    </row>
    <row r="26827" spans="1:6" x14ac:dyDescent="0.2">
      <c r="A26827" t="s">
        <v>42615</v>
      </c>
      <c r="B26827" t="s">
        <v>25029</v>
      </c>
      <c r="C26827" t="s">
        <v>366</v>
      </c>
      <c r="D26827" t="s">
        <v>52</v>
      </c>
      <c r="E26827" t="s">
        <v>144</v>
      </c>
      <c r="F26827" s="2" t="str">
        <f>HYPERLINK("http://www.otzar.org/book.asp?621329","משנת טהרה")</f>
        <v>משנת טהרה</v>
      </c>
    </row>
    <row r="26828" spans="1:6" x14ac:dyDescent="0.2">
      <c r="A26828" t="s">
        <v>42616</v>
      </c>
      <c r="B26828" t="s">
        <v>42489</v>
      </c>
      <c r="C26828" t="s">
        <v>129</v>
      </c>
      <c r="D26828" t="s">
        <v>52</v>
      </c>
      <c r="E26828" t="s">
        <v>84</v>
      </c>
      <c r="F26828" s="2" t="str">
        <f>HYPERLINK("http://www.otzar.org/book.asp?52897","משנת טהרות - 10 כר'")</f>
        <v>משנת טהרות - 10 כר'</v>
      </c>
    </row>
    <row r="26829" spans="1:6" x14ac:dyDescent="0.2">
      <c r="A26829" t="s">
        <v>42617</v>
      </c>
      <c r="B26829" t="s">
        <v>12418</v>
      </c>
      <c r="C26829" t="s">
        <v>114</v>
      </c>
      <c r="D26829" t="s">
        <v>14</v>
      </c>
      <c r="E26829" t="s">
        <v>144</v>
      </c>
      <c r="F26829" s="2" t="str">
        <f>HYPERLINK("http://www.otzar.org/book.asp?173297","משנת טהרות")</f>
        <v>משנת טהרות</v>
      </c>
    </row>
    <row r="26830" spans="1:6" x14ac:dyDescent="0.2">
      <c r="A26830" t="s">
        <v>42618</v>
      </c>
      <c r="B26830" t="s">
        <v>42584</v>
      </c>
      <c r="C26830" t="s">
        <v>129</v>
      </c>
      <c r="D26830" t="s">
        <v>134</v>
      </c>
      <c r="E26830" t="s">
        <v>84</v>
      </c>
      <c r="F26830" s="2" t="str">
        <f>HYPERLINK("http://www.otzar.org/book.asp?61392","משנת טהרות - 2 כר'")</f>
        <v>משנת טהרות - 2 כר'</v>
      </c>
    </row>
    <row r="26831" spans="1:6" x14ac:dyDescent="0.2">
      <c r="A26831" t="s">
        <v>42619</v>
      </c>
      <c r="B26831" t="s">
        <v>24445</v>
      </c>
      <c r="C26831" t="s">
        <v>1208</v>
      </c>
      <c r="D26831" t="s">
        <v>52</v>
      </c>
      <c r="E26831" t="s">
        <v>144</v>
      </c>
      <c r="F26831" s="2" t="str">
        <f>HYPERLINK("http://www.otzar.org/book.asp?23093","משנת טוביה - 7 כר'")</f>
        <v>משנת טוביה - 7 כר'</v>
      </c>
    </row>
    <row r="26832" spans="1:6" x14ac:dyDescent="0.2">
      <c r="A26832" t="s">
        <v>42620</v>
      </c>
      <c r="B26832" t="s">
        <v>42489</v>
      </c>
      <c r="C26832" t="s">
        <v>146</v>
      </c>
      <c r="D26832" t="s">
        <v>52</v>
      </c>
      <c r="E26832" t="s">
        <v>144</v>
      </c>
      <c r="F26832" s="2" t="str">
        <f>HYPERLINK("http://www.otzar.org/book.asp?183420","משנת יבמות")</f>
        <v>משנת יבמות</v>
      </c>
    </row>
    <row r="26833" spans="1:6" x14ac:dyDescent="0.2">
      <c r="A26833" t="s">
        <v>42621</v>
      </c>
      <c r="B26833" t="s">
        <v>30491</v>
      </c>
      <c r="C26833" t="s">
        <v>151</v>
      </c>
      <c r="D26833" t="s">
        <v>52</v>
      </c>
      <c r="E26833" t="s">
        <v>84</v>
      </c>
      <c r="F26833" s="2" t="str">
        <f>HYPERLINK("http://www.otzar.org/book.asp?629427","משנת יהודה - 2 כר'")</f>
        <v>משנת יהודה - 2 כר'</v>
      </c>
    </row>
    <row r="26834" spans="1:6" x14ac:dyDescent="0.2">
      <c r="A26834" t="s">
        <v>42622</v>
      </c>
      <c r="B26834" t="s">
        <v>42623</v>
      </c>
      <c r="C26834" t="s">
        <v>462</v>
      </c>
      <c r="D26834" t="s">
        <v>283</v>
      </c>
      <c r="E26834" t="s">
        <v>84</v>
      </c>
      <c r="F26834" s="2" t="str">
        <f>HYPERLINK("http://www.otzar.org/book.asp?103398","משנת יהודה")</f>
        <v>משנת יהודה</v>
      </c>
    </row>
    <row r="26835" spans="1:6" x14ac:dyDescent="0.2">
      <c r="A26835" t="s">
        <v>42624</v>
      </c>
      <c r="B26835" t="s">
        <v>6814</v>
      </c>
      <c r="C26835" t="s">
        <v>466</v>
      </c>
      <c r="D26835" t="s">
        <v>52</v>
      </c>
      <c r="E26835" t="s">
        <v>15</v>
      </c>
      <c r="F26835" s="2" t="str">
        <f>HYPERLINK("http://www.otzar.org/book.asp?21827","משנת יהודה - שבת")</f>
        <v>משנת יהודה - שבת</v>
      </c>
    </row>
    <row r="26836" spans="1:6" x14ac:dyDescent="0.2">
      <c r="A26836" t="s">
        <v>42625</v>
      </c>
      <c r="B26836" t="s">
        <v>42626</v>
      </c>
      <c r="C26836" t="s">
        <v>114</v>
      </c>
      <c r="D26836" t="s">
        <v>14</v>
      </c>
      <c r="E26836" t="s">
        <v>15</v>
      </c>
      <c r="F26836" s="2" t="str">
        <f>HYPERLINK("http://www.otzar.org/book.asp?162991","משנת יהושע - 9 כר'")</f>
        <v>משנת יהושע - 9 כר'</v>
      </c>
    </row>
    <row r="26837" spans="1:6" x14ac:dyDescent="0.2">
      <c r="A26837" t="s">
        <v>42627</v>
      </c>
      <c r="B26837" t="s">
        <v>42628</v>
      </c>
      <c r="C26837" t="s">
        <v>133</v>
      </c>
      <c r="D26837" t="s">
        <v>52</v>
      </c>
      <c r="E26837" t="s">
        <v>24232</v>
      </c>
      <c r="F26837" s="2" t="str">
        <f>HYPERLINK("http://www.otzar.org/book.asp?603210","משנת יואל ימי הנעורים")</f>
        <v>משנת יואל ימי הנעורים</v>
      </c>
    </row>
    <row r="26838" spans="1:6" x14ac:dyDescent="0.2">
      <c r="A26838" t="s">
        <v>42629</v>
      </c>
      <c r="B26838" t="s">
        <v>42630</v>
      </c>
      <c r="C26838" t="s">
        <v>356</v>
      </c>
      <c r="D26838" t="s">
        <v>14</v>
      </c>
      <c r="E26838" t="s">
        <v>246</v>
      </c>
      <c r="F26838" s="2" t="str">
        <f>HYPERLINK("http://www.otzar.org/book.asp?145541","משנת יום הכיפורים")</f>
        <v>משנת יום הכיפורים</v>
      </c>
    </row>
    <row r="26839" spans="1:6" x14ac:dyDescent="0.2">
      <c r="A26839" t="s">
        <v>42631</v>
      </c>
      <c r="B26839" t="s">
        <v>25029</v>
      </c>
      <c r="C26839" t="s">
        <v>37</v>
      </c>
      <c r="D26839" t="s">
        <v>52</v>
      </c>
      <c r="E26839" t="s">
        <v>144</v>
      </c>
      <c r="F26839" s="2" t="str">
        <f>HYPERLINK("http://www.otzar.org/book.asp?621330","משנת יום טוב")</f>
        <v>משנת יום טוב</v>
      </c>
    </row>
    <row r="26840" spans="1:6" x14ac:dyDescent="0.2">
      <c r="A26840" t="s">
        <v>42632</v>
      </c>
      <c r="B26840" t="s">
        <v>42633</v>
      </c>
      <c r="C26840" t="s">
        <v>37</v>
      </c>
      <c r="D26840" t="s">
        <v>245</v>
      </c>
      <c r="E26840" t="s">
        <v>144</v>
      </c>
      <c r="F26840" s="2" t="str">
        <f>HYPERLINK("http://www.otzar.org/book.asp?182282","משנת יום טוב - ביצה")</f>
        <v>משנת יום טוב - ביצה</v>
      </c>
    </row>
    <row r="26841" spans="1:6" x14ac:dyDescent="0.2">
      <c r="A26841" t="s">
        <v>42634</v>
      </c>
      <c r="B26841" t="s">
        <v>39550</v>
      </c>
      <c r="C26841" t="s">
        <v>767</v>
      </c>
      <c r="D26841" t="s">
        <v>14</v>
      </c>
      <c r="E26841" t="s">
        <v>144</v>
      </c>
      <c r="F26841" s="2" t="str">
        <f>HYPERLINK("http://www.otzar.org/book.asp?51267","משנת יוסף &lt;אגדות הש""ס&gt; - 2 כר'")</f>
        <v>משנת יוסף &lt;אגדות הש"ס&gt; - 2 כר'</v>
      </c>
    </row>
    <row r="26842" spans="1:6" x14ac:dyDescent="0.2">
      <c r="A26842" t="s">
        <v>42635</v>
      </c>
      <c r="B26842" t="s">
        <v>39550</v>
      </c>
      <c r="C26842" t="s">
        <v>624</v>
      </c>
      <c r="D26842" t="s">
        <v>14</v>
      </c>
      <c r="E26842" t="s">
        <v>241</v>
      </c>
      <c r="F26842" s="2" t="str">
        <f>HYPERLINK("http://www.otzar.org/book.asp?51264","משנת יוסף &lt;דרשות ומאמרים&gt; - 3 כר'")</f>
        <v>משנת יוסף &lt;דרשות ומאמרים&gt; - 3 כר'</v>
      </c>
    </row>
    <row r="26843" spans="1:6" x14ac:dyDescent="0.2">
      <c r="A26843" t="s">
        <v>42636</v>
      </c>
      <c r="B26843" t="s">
        <v>39550</v>
      </c>
      <c r="C26843" t="s">
        <v>68</v>
      </c>
      <c r="D26843" t="s">
        <v>14</v>
      </c>
      <c r="E26843" t="s">
        <v>508</v>
      </c>
      <c r="F26843" s="2" t="str">
        <f>HYPERLINK("http://www.otzar.org/book.asp?172900","משנת יוסף &lt;סוגיות הש""ס&gt; - 2 כר'")</f>
        <v>משנת יוסף &lt;סוגיות הש"ס&gt; - 2 כר'</v>
      </c>
    </row>
    <row r="26844" spans="1:6" x14ac:dyDescent="0.2">
      <c r="A26844" t="s">
        <v>42637</v>
      </c>
      <c r="B26844" t="s">
        <v>39550</v>
      </c>
      <c r="C26844" t="s">
        <v>334</v>
      </c>
      <c r="D26844" t="s">
        <v>14</v>
      </c>
      <c r="E26844" t="s">
        <v>10</v>
      </c>
      <c r="F26844" s="2" t="str">
        <f>HYPERLINK("http://www.otzar.org/book.asp?51271","משנת יוסף &lt;שו""ת&gt; - 14 כר'")</f>
        <v>משנת יוסף &lt;שו"ת&gt; - 14 כר'</v>
      </c>
    </row>
    <row r="26845" spans="1:6" x14ac:dyDescent="0.2">
      <c r="A26845" t="s">
        <v>42638</v>
      </c>
      <c r="B26845" t="s">
        <v>42639</v>
      </c>
      <c r="C26845" t="s">
        <v>366</v>
      </c>
      <c r="D26845" t="s">
        <v>14</v>
      </c>
      <c r="F26845" s="2" t="str">
        <f>HYPERLINK("http://www.otzar.org/book.asp?608888","משנת יוסף - 30 כר'")</f>
        <v>משנת יוסף - 30 כר'</v>
      </c>
    </row>
    <row r="26846" spans="1:6" x14ac:dyDescent="0.2">
      <c r="A26846" t="s">
        <v>42640</v>
      </c>
      <c r="B26846" t="s">
        <v>39550</v>
      </c>
      <c r="C26846" t="s">
        <v>383</v>
      </c>
      <c r="D26846" t="s">
        <v>14</v>
      </c>
      <c r="E26846" t="s">
        <v>15</v>
      </c>
      <c r="F26846" s="2" t="str">
        <f>HYPERLINK("http://www.otzar.org/book.asp?51277","משנת יוסף - 5 כר'")</f>
        <v>משנת יוסף - 5 כר'</v>
      </c>
    </row>
    <row r="26847" spans="1:6" x14ac:dyDescent="0.2">
      <c r="A26847" t="s">
        <v>42641</v>
      </c>
      <c r="B26847" t="s">
        <v>42642</v>
      </c>
      <c r="C26847" t="s">
        <v>129</v>
      </c>
      <c r="D26847" t="s">
        <v>14</v>
      </c>
      <c r="E26847" t="s">
        <v>234</v>
      </c>
      <c r="F26847" s="2" t="str">
        <f>HYPERLINK("http://www.otzar.org/book.asp?147357","משנת יחזקאל")</f>
        <v>משנת יחזקאל</v>
      </c>
    </row>
    <row r="26848" spans="1:6" x14ac:dyDescent="0.2">
      <c r="A26848" t="s">
        <v>42643</v>
      </c>
      <c r="B26848" t="s">
        <v>42644</v>
      </c>
      <c r="C26848" t="s">
        <v>129</v>
      </c>
      <c r="D26848" t="s">
        <v>152</v>
      </c>
      <c r="F26848" s="2" t="str">
        <f>HYPERLINK("http://www.otzar.org/book.asp?163840","משנת יחיאל - 6 כר'")</f>
        <v>משנת יחיאל - 6 כר'</v>
      </c>
    </row>
    <row r="26849" spans="1:6" x14ac:dyDescent="0.2">
      <c r="A26849" t="s">
        <v>42645</v>
      </c>
      <c r="B26849" t="s">
        <v>20824</v>
      </c>
      <c r="C26849" t="s">
        <v>946</v>
      </c>
      <c r="D26849" t="s">
        <v>9</v>
      </c>
      <c r="E26849" t="s">
        <v>42646</v>
      </c>
      <c r="F26849" s="2" t="str">
        <f>HYPERLINK("http://www.otzar.org/book.asp?10019","משנת יעב""ץ")</f>
        <v>משנת יעב"ץ</v>
      </c>
    </row>
    <row r="26850" spans="1:6" x14ac:dyDescent="0.2">
      <c r="A26850" t="s">
        <v>42647</v>
      </c>
      <c r="B26850" t="s">
        <v>42648</v>
      </c>
      <c r="C26850" t="s">
        <v>42649</v>
      </c>
      <c r="D26850" t="s">
        <v>27</v>
      </c>
      <c r="E26850" t="s">
        <v>148</v>
      </c>
      <c r="F26850" s="2" t="str">
        <f>HYPERLINK("http://www.otzar.org/book.asp?9748","משנת יעבץ - 4 כר'")</f>
        <v>משנת יעבץ - 4 כר'</v>
      </c>
    </row>
    <row r="26851" spans="1:6" x14ac:dyDescent="0.2">
      <c r="A26851" t="s">
        <v>42650</v>
      </c>
      <c r="B26851" t="s">
        <v>42651</v>
      </c>
      <c r="C26851" t="s">
        <v>103</v>
      </c>
      <c r="D26851" t="s">
        <v>90</v>
      </c>
      <c r="E26851" t="s">
        <v>933</v>
      </c>
      <c r="F26851" s="2" t="str">
        <f>HYPERLINK("http://www.otzar.org/book.asp?62630","משנת יעקב - 2 כר'")</f>
        <v>משנת יעקב - 2 כר'</v>
      </c>
    </row>
    <row r="26852" spans="1:6" x14ac:dyDescent="0.2">
      <c r="A26852" t="s">
        <v>42652</v>
      </c>
      <c r="B26852" t="s">
        <v>42653</v>
      </c>
      <c r="C26852" t="s">
        <v>20</v>
      </c>
      <c r="D26852" t="s">
        <v>90</v>
      </c>
      <c r="E26852" t="s">
        <v>144</v>
      </c>
      <c r="F26852" s="2" t="str">
        <f>HYPERLINK("http://www.otzar.org/book.asp?630244","משנת יעקב - בבא קמא")</f>
        <v>משנת יעקב - בבא קמא</v>
      </c>
    </row>
    <row r="26853" spans="1:6" x14ac:dyDescent="0.2">
      <c r="A26853" t="s">
        <v>42654</v>
      </c>
      <c r="B26853" t="s">
        <v>42655</v>
      </c>
      <c r="C26853" t="s">
        <v>71</v>
      </c>
      <c r="D26853" t="s">
        <v>1356</v>
      </c>
      <c r="E26853" t="s">
        <v>15</v>
      </c>
      <c r="F26853" s="2" t="str">
        <f>HYPERLINK("http://www.otzar.org/book.asp?60260","משנת יעקב - 15 כר'")</f>
        <v>משנת יעקב - 15 כר'</v>
      </c>
    </row>
    <row r="26854" spans="1:6" x14ac:dyDescent="0.2">
      <c r="A26854" t="s">
        <v>42656</v>
      </c>
      <c r="B26854" t="s">
        <v>42657</v>
      </c>
      <c r="C26854" t="s">
        <v>13</v>
      </c>
      <c r="D26854" t="s">
        <v>14</v>
      </c>
      <c r="E26854" t="s">
        <v>144</v>
      </c>
      <c r="F26854" s="2" t="str">
        <f>HYPERLINK("http://www.otzar.org/book.asp?61071","משנת יצחק - 5 כר'")</f>
        <v>משנת יצחק - 5 כר'</v>
      </c>
    </row>
    <row r="26855" spans="1:6" x14ac:dyDescent="0.2">
      <c r="A26855" t="s">
        <v>42658</v>
      </c>
      <c r="B26855" t="s">
        <v>42659</v>
      </c>
      <c r="C26855" t="s">
        <v>151</v>
      </c>
      <c r="D26855" t="s">
        <v>14</v>
      </c>
      <c r="E26855" t="s">
        <v>172</v>
      </c>
      <c r="F26855" s="2" t="str">
        <f>HYPERLINK("http://www.otzar.org/book.asp?622226","משנת יצחק")</f>
        <v>משנת יצחק</v>
      </c>
    </row>
    <row r="26856" spans="1:6" x14ac:dyDescent="0.2">
      <c r="A26856" t="s">
        <v>42658</v>
      </c>
      <c r="B26856" t="s">
        <v>42660</v>
      </c>
      <c r="C26856" t="s">
        <v>767</v>
      </c>
      <c r="D26856" t="s">
        <v>52</v>
      </c>
      <c r="E26856" t="s">
        <v>144</v>
      </c>
      <c r="F26856" s="2" t="str">
        <f>HYPERLINK("http://www.otzar.org/book.asp?169366","משנת יצחק")</f>
        <v>משנת יצחק</v>
      </c>
    </row>
    <row r="26857" spans="1:6" x14ac:dyDescent="0.2">
      <c r="A26857" t="s">
        <v>42661</v>
      </c>
      <c r="B26857" t="s">
        <v>42662</v>
      </c>
      <c r="C26857" t="s">
        <v>103</v>
      </c>
      <c r="D26857" t="s">
        <v>14</v>
      </c>
      <c r="E26857" t="s">
        <v>144</v>
      </c>
      <c r="F26857" s="2" t="str">
        <f>HYPERLINK("http://www.otzar.org/book.asp?52663","משנת יקרה - 2 כר'")</f>
        <v>משנת יקרה - 2 כר'</v>
      </c>
    </row>
    <row r="26858" spans="1:6" x14ac:dyDescent="0.2">
      <c r="A26858" t="s">
        <v>42663</v>
      </c>
      <c r="B26858" t="s">
        <v>382</v>
      </c>
      <c r="C26858" t="s">
        <v>454</v>
      </c>
      <c r="D26858" t="s">
        <v>14</v>
      </c>
      <c r="E26858" t="s">
        <v>202</v>
      </c>
      <c r="F26858" s="2" t="str">
        <f>HYPERLINK("http://www.otzar.org/book.asp?28894","משנת ירושלים - 2 כר'")</f>
        <v>משנת ירושלים - 2 כר'</v>
      </c>
    </row>
    <row r="26859" spans="1:6" x14ac:dyDescent="0.2">
      <c r="A26859" t="s">
        <v>42664</v>
      </c>
      <c r="B26859" t="s">
        <v>42665</v>
      </c>
      <c r="C26859" t="s">
        <v>176</v>
      </c>
      <c r="D26859" t="s">
        <v>14</v>
      </c>
      <c r="E26859" t="s">
        <v>674</v>
      </c>
      <c r="F26859" s="2" t="str">
        <f>HYPERLINK("http://www.otzar.org/book.asp?149719","משנת ירושלים")</f>
        <v>משנת ירושלים</v>
      </c>
    </row>
    <row r="26860" spans="1:6" x14ac:dyDescent="0.2">
      <c r="A26860" t="s">
        <v>42666</v>
      </c>
      <c r="B26860" t="s">
        <v>29903</v>
      </c>
      <c r="C26860" t="s">
        <v>1570</v>
      </c>
      <c r="D26860" t="s">
        <v>14</v>
      </c>
      <c r="E26860" t="s">
        <v>2088</v>
      </c>
      <c r="F26860" s="2" t="str">
        <f>HYPERLINK("http://www.otzar.org/book.asp?25462","משנת ישעיהו")</f>
        <v>משנת ישעיהו</v>
      </c>
    </row>
    <row r="26861" spans="1:6" x14ac:dyDescent="0.2">
      <c r="A26861" t="s">
        <v>42667</v>
      </c>
      <c r="B26861" t="s">
        <v>42668</v>
      </c>
      <c r="C26861" t="s">
        <v>1663</v>
      </c>
      <c r="D26861" t="s">
        <v>986</v>
      </c>
      <c r="E26861" t="s">
        <v>84</v>
      </c>
      <c r="F26861" s="2" t="str">
        <f>HYPERLINK("http://www.otzar.org/book.asp?51703","משנת ישראל - 2 כר'")</f>
        <v>משנת ישראל - 2 כר'</v>
      </c>
    </row>
    <row r="26862" spans="1:6" x14ac:dyDescent="0.2">
      <c r="A26862" t="s">
        <v>42669</v>
      </c>
      <c r="B26862" t="s">
        <v>42670</v>
      </c>
      <c r="C26862" t="s">
        <v>422</v>
      </c>
      <c r="D26862" t="s">
        <v>14</v>
      </c>
      <c r="E26862" t="s">
        <v>714</v>
      </c>
      <c r="F26862" s="2" t="str">
        <f>HYPERLINK("http://www.otzar.org/book.asp?85464","משנת ישראל")</f>
        <v>משנת ישראל</v>
      </c>
    </row>
    <row r="26863" spans="1:6" x14ac:dyDescent="0.2">
      <c r="A26863" t="s">
        <v>42671</v>
      </c>
      <c r="B26863" t="s">
        <v>42672</v>
      </c>
      <c r="C26863" t="s">
        <v>133</v>
      </c>
      <c r="D26863" t="s">
        <v>134</v>
      </c>
      <c r="E26863" t="s">
        <v>803</v>
      </c>
      <c r="F26863" s="2" t="str">
        <f>HYPERLINK("http://www.otzar.org/book.asp?176141","משנת כהן - 3 כר'")</f>
        <v>משנת כהן - 3 כר'</v>
      </c>
    </row>
    <row r="26864" spans="1:6" x14ac:dyDescent="0.2">
      <c r="A26864" t="s">
        <v>42673</v>
      </c>
      <c r="B26864" t="s">
        <v>42674</v>
      </c>
      <c r="C26864" t="s">
        <v>244</v>
      </c>
      <c r="D26864" t="s">
        <v>14</v>
      </c>
      <c r="E26864" t="s">
        <v>172</v>
      </c>
      <c r="F26864" s="2" t="str">
        <f>HYPERLINK("http://www.otzar.org/book.asp?600648","משנת כהן - כיבוד אב ואם")</f>
        <v>משנת כהן - כיבוד אב ואם</v>
      </c>
    </row>
    <row r="26865" spans="1:6" x14ac:dyDescent="0.2">
      <c r="A26865" t="s">
        <v>42675</v>
      </c>
      <c r="B26865" t="s">
        <v>42676</v>
      </c>
      <c r="C26865" t="s">
        <v>244</v>
      </c>
      <c r="D26865" t="s">
        <v>115</v>
      </c>
      <c r="E26865" t="s">
        <v>202</v>
      </c>
      <c r="F26865" s="2" t="str">
        <f>HYPERLINK("http://www.otzar.org/book.asp?603247","משנת כולל הגר""א - ב")</f>
        <v>משנת כולל הגר"א - ב</v>
      </c>
    </row>
    <row r="26866" spans="1:6" x14ac:dyDescent="0.2">
      <c r="A26866" t="s">
        <v>42677</v>
      </c>
      <c r="B26866" t="s">
        <v>42489</v>
      </c>
      <c r="C26866" t="s">
        <v>411</v>
      </c>
      <c r="D26866" t="s">
        <v>52</v>
      </c>
      <c r="E26866" t="s">
        <v>144</v>
      </c>
      <c r="F26866" s="2" t="str">
        <f>HYPERLINK("http://www.otzar.org/book.asp?192393","משנת כתובות")</f>
        <v>משנת כתובות</v>
      </c>
    </row>
    <row r="26867" spans="1:6" x14ac:dyDescent="0.2">
      <c r="A26867" t="s">
        <v>42678</v>
      </c>
      <c r="B26867" t="s">
        <v>42679</v>
      </c>
      <c r="C26867" t="s">
        <v>366</v>
      </c>
      <c r="D26867" t="s">
        <v>1273</v>
      </c>
      <c r="E26867" t="s">
        <v>2071</v>
      </c>
      <c r="F26867" s="2" t="str">
        <f>HYPERLINK("http://www.otzar.org/book.asp?603602","משנת לוי - תורה ומועדי השנה")</f>
        <v>משנת לוי - תורה ומועדי השנה</v>
      </c>
    </row>
    <row r="26868" spans="1:6" x14ac:dyDescent="0.2">
      <c r="A26868" t="s">
        <v>42680</v>
      </c>
      <c r="B26868" t="s">
        <v>42681</v>
      </c>
      <c r="C26868" t="s">
        <v>23</v>
      </c>
      <c r="D26868" t="s">
        <v>412</v>
      </c>
      <c r="F26868" s="2" t="str">
        <f>HYPERLINK("http://www.otzar.org/book.asp?197654","משנת מהר""ל")</f>
        <v>משנת מהר"ל</v>
      </c>
    </row>
    <row r="26869" spans="1:6" x14ac:dyDescent="0.2">
      <c r="A26869" t="s">
        <v>42682</v>
      </c>
      <c r="B26869" t="s">
        <v>25029</v>
      </c>
      <c r="C26869" t="s">
        <v>411</v>
      </c>
      <c r="D26869" t="s">
        <v>52</v>
      </c>
      <c r="E26869" t="s">
        <v>172</v>
      </c>
      <c r="F26869" s="2" t="str">
        <f>HYPERLINK("http://www.otzar.org/book.asp?621331","משנת מוקצה")</f>
        <v>משנת מוקצה</v>
      </c>
    </row>
    <row r="26870" spans="1:6" x14ac:dyDescent="0.2">
      <c r="A26870" t="s">
        <v>42682</v>
      </c>
      <c r="B26870" t="s">
        <v>42683</v>
      </c>
      <c r="C26870" t="s">
        <v>422</v>
      </c>
      <c r="D26870" t="s">
        <v>152</v>
      </c>
      <c r="E26870" t="s">
        <v>872</v>
      </c>
      <c r="F26870" s="2" t="str">
        <f>HYPERLINK("http://www.otzar.org/book.asp?160763","משנת מוקצה")</f>
        <v>משנת מוקצה</v>
      </c>
    </row>
    <row r="26871" spans="1:6" x14ac:dyDescent="0.2">
      <c r="A26871" t="s">
        <v>42684</v>
      </c>
      <c r="B26871" t="s">
        <v>42685</v>
      </c>
      <c r="C26871" t="s">
        <v>114</v>
      </c>
      <c r="D26871" t="s">
        <v>152</v>
      </c>
      <c r="F26871" s="2" t="str">
        <f>HYPERLINK("http://www.otzar.org/book.asp?614715","משנת מרדכי")</f>
        <v>משנת מרדכי</v>
      </c>
    </row>
    <row r="26872" spans="1:6" x14ac:dyDescent="0.2">
      <c r="A26872" t="s">
        <v>42686</v>
      </c>
      <c r="B26872" t="s">
        <v>12069</v>
      </c>
      <c r="C26872" t="s">
        <v>775</v>
      </c>
      <c r="D26872" t="s">
        <v>52</v>
      </c>
      <c r="E26872" t="s">
        <v>144</v>
      </c>
      <c r="F26872" s="2" t="str">
        <f>HYPERLINK("http://www.otzar.org/book.asp?60569","משנת משה - 10 כר'")</f>
        <v>משנת משה - 10 כר'</v>
      </c>
    </row>
    <row r="26873" spans="1:6" x14ac:dyDescent="0.2">
      <c r="A26873" t="s">
        <v>42687</v>
      </c>
      <c r="B26873" t="s">
        <v>42688</v>
      </c>
      <c r="C26873" t="s">
        <v>422</v>
      </c>
      <c r="D26873" t="s">
        <v>14</v>
      </c>
      <c r="E26873" t="s">
        <v>15</v>
      </c>
      <c r="F26873" s="2" t="str">
        <f>HYPERLINK("http://www.otzar.org/book.asp?160239","משנת משה - גרים, מזוזה")</f>
        <v>משנת משה - גרים, מזוזה</v>
      </c>
    </row>
    <row r="26874" spans="1:6" x14ac:dyDescent="0.2">
      <c r="A26874" t="s">
        <v>42689</v>
      </c>
      <c r="B26874" t="s">
        <v>24192</v>
      </c>
      <c r="C26874" t="s">
        <v>1268</v>
      </c>
      <c r="D26874" t="s">
        <v>14</v>
      </c>
      <c r="E26874" t="s">
        <v>508</v>
      </c>
      <c r="F26874" s="2" t="str">
        <f>HYPERLINK("http://www.otzar.org/book.asp?53647","משנת משה")</f>
        <v>משנת משה</v>
      </c>
    </row>
    <row r="26875" spans="1:6" x14ac:dyDescent="0.2">
      <c r="A26875" t="s">
        <v>42690</v>
      </c>
      <c r="B26875" t="s">
        <v>12418</v>
      </c>
      <c r="C26875" t="s">
        <v>23</v>
      </c>
      <c r="D26875" t="s">
        <v>21</v>
      </c>
      <c r="E26875" t="s">
        <v>144</v>
      </c>
      <c r="F26875" s="2" t="str">
        <f>HYPERLINK("http://www.otzar.org/book.asp?192981","משנת נזיר")</f>
        <v>משנת נזיר</v>
      </c>
    </row>
    <row r="26876" spans="1:6" x14ac:dyDescent="0.2">
      <c r="A26876" t="s">
        <v>42691</v>
      </c>
      <c r="B26876" t="s">
        <v>42692</v>
      </c>
      <c r="C26876" t="s">
        <v>427</v>
      </c>
      <c r="D26876" t="s">
        <v>14</v>
      </c>
      <c r="E26876" t="s">
        <v>15</v>
      </c>
      <c r="F26876" s="2" t="str">
        <f>HYPERLINK("http://www.otzar.org/book.asp?50076","משנת נחמיה - 2 כר'")</f>
        <v>משנת נחמיה - 2 כר'</v>
      </c>
    </row>
    <row r="26877" spans="1:6" x14ac:dyDescent="0.2">
      <c r="A26877" t="s">
        <v>42693</v>
      </c>
      <c r="B26877" t="s">
        <v>42694</v>
      </c>
      <c r="C26877" t="s">
        <v>51</v>
      </c>
      <c r="D26877" t="s">
        <v>14</v>
      </c>
      <c r="E26877" t="s">
        <v>144</v>
      </c>
      <c r="F26877" s="2" t="str">
        <f>HYPERLINK("http://www.otzar.org/book.asp?163048","משנת סופר - שבועות")</f>
        <v>משנת סופר - שבועות</v>
      </c>
    </row>
    <row r="26878" spans="1:6" x14ac:dyDescent="0.2">
      <c r="A26878" t="s">
        <v>42695</v>
      </c>
      <c r="B26878" t="s">
        <v>42696</v>
      </c>
      <c r="C26878" t="s">
        <v>133</v>
      </c>
      <c r="D26878" t="s">
        <v>14</v>
      </c>
      <c r="E26878" t="s">
        <v>15</v>
      </c>
      <c r="F26878" s="2" t="str">
        <f>HYPERLINK("http://www.otzar.org/book.asp?174592","משנת סופר - א")</f>
        <v>משנת סופר - א</v>
      </c>
    </row>
    <row r="26879" spans="1:6" x14ac:dyDescent="0.2">
      <c r="A26879" t="s">
        <v>42697</v>
      </c>
      <c r="B26879" t="s">
        <v>42698</v>
      </c>
      <c r="C26879" t="s">
        <v>533</v>
      </c>
      <c r="D26879" t="s">
        <v>42699</v>
      </c>
      <c r="E26879" t="s">
        <v>15</v>
      </c>
      <c r="F26879" s="2" t="str">
        <f>HYPERLINK("http://www.otzar.org/book.asp?167820","משנת סופרים &lt;עם ביאור באנגלית&gt;")</f>
        <v>משנת סופרים &lt;עם ביאור באנגלית&gt;</v>
      </c>
    </row>
    <row r="26880" spans="1:6" x14ac:dyDescent="0.2">
      <c r="A26880" t="s">
        <v>42700</v>
      </c>
      <c r="B26880" t="s">
        <v>42701</v>
      </c>
      <c r="C26880" t="s">
        <v>334</v>
      </c>
      <c r="D26880" t="s">
        <v>412</v>
      </c>
      <c r="E26880" t="s">
        <v>15</v>
      </c>
      <c r="F26880" s="2" t="str">
        <f>HYPERLINK("http://www.otzar.org/book.asp?196648","משנת סופרים &lt;אותיות א ב&gt; עם משמרת סת""ם")</f>
        <v>משנת סופרים &lt;אותיות א ב&gt; עם משמרת סת"ם</v>
      </c>
    </row>
    <row r="26881" spans="1:6" x14ac:dyDescent="0.2">
      <c r="A26881" t="s">
        <v>42702</v>
      </c>
      <c r="B26881" t="s">
        <v>29348</v>
      </c>
      <c r="C26881" t="s">
        <v>168</v>
      </c>
      <c r="D26881" t="s">
        <v>52</v>
      </c>
      <c r="E26881" t="s">
        <v>15</v>
      </c>
      <c r="F26881" s="2" t="str">
        <f>HYPERLINK("http://www.otzar.org/book.asp?600416","משנת סופרים עם משמרת סת""ם")</f>
        <v>משנת סופרים עם משמרת סת"ם</v>
      </c>
    </row>
    <row r="26882" spans="1:6" x14ac:dyDescent="0.2">
      <c r="A26882" t="s">
        <v>42703</v>
      </c>
      <c r="B26882" t="s">
        <v>876</v>
      </c>
      <c r="C26882" t="s">
        <v>624</v>
      </c>
      <c r="D26882" t="s">
        <v>14</v>
      </c>
      <c r="E26882" t="s">
        <v>172</v>
      </c>
      <c r="F26882" s="2" t="str">
        <f>HYPERLINK("http://www.otzar.org/book.asp?51565","משנת עזר - 2 כר'")</f>
        <v>משנת עזר - 2 כר'</v>
      </c>
    </row>
    <row r="26883" spans="1:6" x14ac:dyDescent="0.2">
      <c r="A26883" t="s">
        <v>42704</v>
      </c>
      <c r="B26883" t="s">
        <v>42705</v>
      </c>
      <c r="C26883" t="s">
        <v>454</v>
      </c>
      <c r="D26883" t="s">
        <v>52</v>
      </c>
      <c r="E26883" t="s">
        <v>901</v>
      </c>
      <c r="F26883" s="2" t="str">
        <f>HYPERLINK("http://www.otzar.org/book.asp?23534","משנת פיקוח נפש")</f>
        <v>משנת פיקוח נפש</v>
      </c>
    </row>
    <row r="26884" spans="1:6" x14ac:dyDescent="0.2">
      <c r="A26884" t="s">
        <v>42706</v>
      </c>
      <c r="B26884" t="s">
        <v>42707</v>
      </c>
      <c r="C26884" t="s">
        <v>68</v>
      </c>
      <c r="D26884" t="s">
        <v>14</v>
      </c>
      <c r="F26884" s="2" t="str">
        <f>HYPERLINK("http://www.otzar.org/book.asp?619366","משנת צדיק")</f>
        <v>משנת צדיק</v>
      </c>
    </row>
    <row r="26885" spans="1:6" x14ac:dyDescent="0.2">
      <c r="A26885" t="s">
        <v>42708</v>
      </c>
      <c r="B26885" t="s">
        <v>42709</v>
      </c>
      <c r="C26885" t="s">
        <v>26</v>
      </c>
      <c r="D26885" t="s">
        <v>14</v>
      </c>
      <c r="E26885" t="s">
        <v>1914</v>
      </c>
      <c r="F26885" s="2" t="str">
        <f>HYPERLINK("http://www.otzar.org/book.asp?172611","משנת צדיקים")</f>
        <v>משנת צדיקים</v>
      </c>
    </row>
    <row r="26886" spans="1:6" x14ac:dyDescent="0.2">
      <c r="A26886" t="s">
        <v>42710</v>
      </c>
      <c r="B26886" t="s">
        <v>20092</v>
      </c>
      <c r="C26886" t="s">
        <v>23</v>
      </c>
      <c r="D26886" t="s">
        <v>52</v>
      </c>
      <c r="E26886" t="s">
        <v>84</v>
      </c>
      <c r="F26886" s="2" t="str">
        <f>HYPERLINK("http://www.otzar.org/book.asp?610786","משנת ציון - 3 כר'")</f>
        <v>משנת ציון - 3 כר'</v>
      </c>
    </row>
    <row r="26887" spans="1:6" x14ac:dyDescent="0.2">
      <c r="A26887" t="s">
        <v>42711</v>
      </c>
      <c r="B26887" t="s">
        <v>42712</v>
      </c>
      <c r="C26887" t="s">
        <v>23</v>
      </c>
      <c r="D26887" t="s">
        <v>21</v>
      </c>
      <c r="F26887" s="2" t="str">
        <f>HYPERLINK("http://www.otzar.org/book.asp?195994","משנת קול אריה")</f>
        <v>משנת קול אריה</v>
      </c>
    </row>
    <row r="26888" spans="1:6" x14ac:dyDescent="0.2">
      <c r="A26888" t="s">
        <v>42713</v>
      </c>
      <c r="B26888" t="s">
        <v>42489</v>
      </c>
      <c r="C26888" t="s">
        <v>366</v>
      </c>
      <c r="D26888" t="s">
        <v>52</v>
      </c>
      <c r="E26888" t="s">
        <v>144</v>
      </c>
      <c r="F26888" s="2" t="str">
        <f>HYPERLINK("http://www.otzar.org/book.asp?630445","משנת קידושין")</f>
        <v>משנת קידושין</v>
      </c>
    </row>
    <row r="26889" spans="1:6" x14ac:dyDescent="0.2">
      <c r="A26889" t="s">
        <v>42713</v>
      </c>
      <c r="B26889" t="s">
        <v>42514</v>
      </c>
      <c r="C26889" t="s">
        <v>383</v>
      </c>
      <c r="D26889" t="s">
        <v>14</v>
      </c>
      <c r="E26889" t="s">
        <v>144</v>
      </c>
      <c r="F26889" s="2" t="str">
        <f>HYPERLINK("http://www.otzar.org/book.asp?179321","משנת קידושין")</f>
        <v>משנת קידושין</v>
      </c>
    </row>
    <row r="26890" spans="1:6" x14ac:dyDescent="0.2">
      <c r="A26890" t="s">
        <v>42714</v>
      </c>
      <c r="B26890" t="s">
        <v>42715</v>
      </c>
      <c r="C26890" t="s">
        <v>291</v>
      </c>
      <c r="D26890" t="s">
        <v>76</v>
      </c>
      <c r="E26890" t="s">
        <v>154</v>
      </c>
      <c r="F26890" s="2" t="str">
        <f>HYPERLINK("http://www.otzar.org/book.asp?101064","משנת ר' אליעזר - 2 כר'")</f>
        <v>משנת ר' אליעזר - 2 כר'</v>
      </c>
    </row>
    <row r="26891" spans="1:6" x14ac:dyDescent="0.2">
      <c r="A26891" t="s">
        <v>42716</v>
      </c>
      <c r="B26891" t="s">
        <v>42717</v>
      </c>
      <c r="C26891" t="s">
        <v>42718</v>
      </c>
      <c r="D26891" t="s">
        <v>27</v>
      </c>
      <c r="E26891" t="s">
        <v>38</v>
      </c>
      <c r="F26891" s="2" t="str">
        <f>HYPERLINK("http://www.otzar.org/book.asp?101063","משנת ר' בנימין - 2 כר'")</f>
        <v>משנת ר' בנימין - 2 כר'</v>
      </c>
    </row>
    <row r="26892" spans="1:6" x14ac:dyDescent="0.2">
      <c r="A26892" t="s">
        <v>42719</v>
      </c>
      <c r="B26892" t="s">
        <v>42720</v>
      </c>
      <c r="C26892" t="s">
        <v>1246</v>
      </c>
      <c r="D26892" t="s">
        <v>27</v>
      </c>
      <c r="E26892" t="s">
        <v>733</v>
      </c>
      <c r="F26892" s="2" t="str">
        <f>HYPERLINK("http://www.otzar.org/book.asp?9697","משנת ר' עקיבה - א")</f>
        <v>משנת ר' עקיבה - א</v>
      </c>
    </row>
    <row r="26893" spans="1:6" x14ac:dyDescent="0.2">
      <c r="A26893" t="s">
        <v>42721</v>
      </c>
      <c r="B26893" t="s">
        <v>1956</v>
      </c>
      <c r="C26893" t="s">
        <v>777</v>
      </c>
      <c r="D26893" t="s">
        <v>9</v>
      </c>
      <c r="E26893" t="s">
        <v>3489</v>
      </c>
      <c r="F26893" s="2" t="str">
        <f>HYPERLINK("http://www.otzar.org/book.asp?51708","משנת רא""ם")</f>
        <v>משנת רא"ם</v>
      </c>
    </row>
    <row r="26894" spans="1:6" x14ac:dyDescent="0.2">
      <c r="A26894" t="s">
        <v>42722</v>
      </c>
      <c r="B26894" t="s">
        <v>42723</v>
      </c>
      <c r="C26894" t="s">
        <v>427</v>
      </c>
      <c r="D26894" t="s">
        <v>14</v>
      </c>
      <c r="E26894" t="s">
        <v>1211</v>
      </c>
      <c r="F26894" s="2" t="str">
        <f>HYPERLINK("http://www.otzar.org/book.asp?165344","משנת ראב""י")</f>
        <v>משנת ראב"י</v>
      </c>
    </row>
    <row r="26895" spans="1:6" x14ac:dyDescent="0.2">
      <c r="A26895" t="s">
        <v>42724</v>
      </c>
      <c r="B26895" t="s">
        <v>42725</v>
      </c>
      <c r="C26895" t="s">
        <v>433</v>
      </c>
      <c r="D26895" t="s">
        <v>27</v>
      </c>
      <c r="E26895" t="s">
        <v>15</v>
      </c>
      <c r="F26895" s="2" t="str">
        <f>HYPERLINK("http://www.otzar.org/book.asp?11548","משנת ראשונים - 3 כר'")</f>
        <v>משנת ראשונים - 3 כר'</v>
      </c>
    </row>
    <row r="26896" spans="1:6" x14ac:dyDescent="0.2">
      <c r="A26896" t="s">
        <v>42726</v>
      </c>
      <c r="B26896" t="s">
        <v>2737</v>
      </c>
      <c r="C26896" t="s">
        <v>51</v>
      </c>
      <c r="D26896" t="s">
        <v>2125</v>
      </c>
      <c r="E26896" t="s">
        <v>213</v>
      </c>
      <c r="F26896" s="2" t="str">
        <f>HYPERLINK("http://www.otzar.org/book.asp?21341","משנת רבי אהרן &lt;מאמרים ושיחות מוסר&gt; - 4 כר'")</f>
        <v>משנת רבי אהרן &lt;מאמרים ושיחות מוסר&gt; - 4 כר'</v>
      </c>
    </row>
    <row r="26897" spans="1:6" x14ac:dyDescent="0.2">
      <c r="A26897" t="s">
        <v>42727</v>
      </c>
      <c r="B26897" t="s">
        <v>2737</v>
      </c>
      <c r="C26897" t="s">
        <v>168</v>
      </c>
      <c r="D26897" t="s">
        <v>14</v>
      </c>
      <c r="E26897" t="s">
        <v>154</v>
      </c>
      <c r="F26897" s="2" t="str">
        <f>HYPERLINK("http://www.otzar.org/book.asp?16473","משנת רבי אהרן &lt;שו""ת&gt; - 2 כר'")</f>
        <v>משנת רבי אהרן &lt;שו"ת&gt; - 2 כר'</v>
      </c>
    </row>
    <row r="26898" spans="1:6" x14ac:dyDescent="0.2">
      <c r="A26898" t="s">
        <v>42728</v>
      </c>
      <c r="B26898" t="s">
        <v>2737</v>
      </c>
      <c r="C26898" t="s">
        <v>42729</v>
      </c>
      <c r="D26898" t="s">
        <v>14</v>
      </c>
      <c r="E26898" t="s">
        <v>144</v>
      </c>
      <c r="F26898" s="2" t="str">
        <f>HYPERLINK("http://www.otzar.org/book.asp?106890","משנת רבי אהרן - 14 כר'")</f>
        <v>משנת רבי אהרן - 14 כר'</v>
      </c>
    </row>
    <row r="26899" spans="1:6" x14ac:dyDescent="0.2">
      <c r="A26899" t="s">
        <v>42730</v>
      </c>
      <c r="B26899" t="s">
        <v>42731</v>
      </c>
      <c r="C26899" t="s">
        <v>13</v>
      </c>
      <c r="D26899" t="s">
        <v>14</v>
      </c>
      <c r="E26899" t="s">
        <v>158</v>
      </c>
      <c r="F26899" s="2" t="str">
        <f>HYPERLINK("http://www.otzar.org/book.asp?159316","משנת רבי אליעזר &lt;מהדורה חדשה&gt;")</f>
        <v>משנת רבי אליעזר &lt;מהדורה חדשה&gt;</v>
      </c>
    </row>
    <row r="26900" spans="1:6" x14ac:dyDescent="0.2">
      <c r="A26900" t="s">
        <v>42732</v>
      </c>
      <c r="B26900" t="s">
        <v>42733</v>
      </c>
      <c r="C26900" t="s">
        <v>189</v>
      </c>
      <c r="D26900" t="s">
        <v>14</v>
      </c>
      <c r="E26900" t="s">
        <v>43</v>
      </c>
      <c r="F26900" s="2" t="str">
        <f>HYPERLINK("http://www.otzar.org/book.asp?621802","משנת רבי אליעזר &lt;משנה שלימה&gt;")</f>
        <v>משנת רבי אליעזר &lt;משנה שלימה&gt;</v>
      </c>
    </row>
    <row r="26901" spans="1:6" x14ac:dyDescent="0.2">
      <c r="A26901" t="s">
        <v>42734</v>
      </c>
      <c r="B26901" t="s">
        <v>42735</v>
      </c>
      <c r="C26901" t="s">
        <v>915</v>
      </c>
      <c r="D26901" t="s">
        <v>544</v>
      </c>
      <c r="E26901" t="s">
        <v>144</v>
      </c>
      <c r="F26901" s="2" t="str">
        <f>HYPERLINK("http://www.otzar.org/book.asp?200244","משנת רבי אליעזר בן יעקב")</f>
        <v>משנת רבי אליעזר בן יעקב</v>
      </c>
    </row>
    <row r="26902" spans="1:6" x14ac:dyDescent="0.2">
      <c r="A26902" t="s">
        <v>42736</v>
      </c>
      <c r="B26902" t="s">
        <v>42737</v>
      </c>
      <c r="C26902" t="s">
        <v>908</v>
      </c>
      <c r="D26902" t="s">
        <v>9</v>
      </c>
      <c r="E26902" t="s">
        <v>43</v>
      </c>
      <c r="F26902" s="2" t="str">
        <f>HYPERLINK("http://www.otzar.org/book.asp?200010","משנת רבי אליעזר עם פרוש")</f>
        <v>משנת רבי אליעזר עם פרוש</v>
      </c>
    </row>
    <row r="26903" spans="1:6" x14ac:dyDescent="0.2">
      <c r="A26903" t="s">
        <v>42738</v>
      </c>
      <c r="B26903" t="s">
        <v>42739</v>
      </c>
      <c r="C26903" t="s">
        <v>244</v>
      </c>
      <c r="D26903" t="s">
        <v>21</v>
      </c>
      <c r="E26903" t="s">
        <v>234</v>
      </c>
      <c r="F26903" s="2" t="str">
        <f>HYPERLINK("http://www.otzar.org/book.asp?601179","משנת רבי אליעזר")</f>
        <v>משנת רבי אליעזר</v>
      </c>
    </row>
    <row r="26904" spans="1:6" x14ac:dyDescent="0.2">
      <c r="A26904" t="s">
        <v>42738</v>
      </c>
      <c r="B26904" t="s">
        <v>42731</v>
      </c>
      <c r="C26904" t="s">
        <v>8294</v>
      </c>
      <c r="D26904" t="s">
        <v>1833</v>
      </c>
      <c r="E26904" t="s">
        <v>158</v>
      </c>
      <c r="F26904" s="2" t="str">
        <f>HYPERLINK("http://www.otzar.org/book.asp?108266","משנת רבי אליעזר")</f>
        <v>משנת רבי אליעזר</v>
      </c>
    </row>
    <row r="26905" spans="1:6" x14ac:dyDescent="0.2">
      <c r="A26905" t="s">
        <v>42738</v>
      </c>
      <c r="B26905" t="s">
        <v>42737</v>
      </c>
      <c r="C26905" t="s">
        <v>908</v>
      </c>
      <c r="D26905" t="s">
        <v>9</v>
      </c>
      <c r="E26905" t="s">
        <v>64</v>
      </c>
      <c r="F26905" s="2" t="str">
        <f>HYPERLINK("http://www.otzar.org/book.asp?728","משנת רבי אליעזר")</f>
        <v>משנת רבי אליעזר</v>
      </c>
    </row>
    <row r="26906" spans="1:6" x14ac:dyDescent="0.2">
      <c r="A26906" t="s">
        <v>42738</v>
      </c>
      <c r="B26906" t="s">
        <v>42740</v>
      </c>
      <c r="D26906" t="s">
        <v>52</v>
      </c>
      <c r="F26906" s="2" t="str">
        <f>HYPERLINK("http://www.otzar.org/book.asp?194432","משנת רבי אליעזר")</f>
        <v>משנת רבי אליעזר</v>
      </c>
    </row>
    <row r="26907" spans="1:6" x14ac:dyDescent="0.2">
      <c r="A26907" t="s">
        <v>42741</v>
      </c>
      <c r="B26907" t="s">
        <v>42742</v>
      </c>
      <c r="C26907" t="s">
        <v>1437</v>
      </c>
      <c r="D26907" t="s">
        <v>56</v>
      </c>
      <c r="E26907" t="s">
        <v>154</v>
      </c>
      <c r="F26907" s="2" t="str">
        <f>HYPERLINK("http://www.otzar.org/book.asp?20300","משנת רבי אלעזר")</f>
        <v>משנת רבי אלעזר</v>
      </c>
    </row>
    <row r="26908" spans="1:6" x14ac:dyDescent="0.2">
      <c r="A26908" t="s">
        <v>42743</v>
      </c>
      <c r="B26908" t="s">
        <v>42744</v>
      </c>
      <c r="C26908" t="s">
        <v>143</v>
      </c>
      <c r="D26908" t="s">
        <v>14</v>
      </c>
      <c r="E26908" t="s">
        <v>144</v>
      </c>
      <c r="F26908" s="2" t="str">
        <f>HYPERLINK("http://www.otzar.org/book.asp?176815","משנת רבי גרשון")</f>
        <v>משנת רבי גרשון</v>
      </c>
    </row>
    <row r="26909" spans="1:6" x14ac:dyDescent="0.2">
      <c r="A26909" t="s">
        <v>42745</v>
      </c>
      <c r="B26909" t="s">
        <v>42746</v>
      </c>
      <c r="C26909" t="s">
        <v>366</v>
      </c>
      <c r="D26909" t="s">
        <v>14</v>
      </c>
      <c r="E26909" t="s">
        <v>144</v>
      </c>
      <c r="F26909" s="2" t="str">
        <f>HYPERLINK("http://www.otzar.org/book.asp?610999","משנת רבי חיים - ב""ק")</f>
        <v>משנת רבי חיים - ב"ק</v>
      </c>
    </row>
    <row r="26910" spans="1:6" x14ac:dyDescent="0.2">
      <c r="A26910" t="s">
        <v>42747</v>
      </c>
      <c r="B26910" t="s">
        <v>14726</v>
      </c>
      <c r="C26910" t="s">
        <v>547</v>
      </c>
      <c r="D26910" t="s">
        <v>225</v>
      </c>
      <c r="E26910" t="s">
        <v>14466</v>
      </c>
      <c r="F26910" s="2" t="str">
        <f>HYPERLINK("http://www.otzar.org/book.asp?103473","משנת רבי יעקב - 2 כר'")</f>
        <v>משנת רבי יעקב - 2 כר'</v>
      </c>
    </row>
    <row r="26911" spans="1:6" x14ac:dyDescent="0.2">
      <c r="A26911" t="s">
        <v>42748</v>
      </c>
      <c r="B26911" t="s">
        <v>42749</v>
      </c>
      <c r="C26911" t="s">
        <v>151</v>
      </c>
      <c r="D26911" t="s">
        <v>14</v>
      </c>
      <c r="E26911" t="s">
        <v>84</v>
      </c>
      <c r="F26911" s="2" t="str">
        <f>HYPERLINK("http://www.otzar.org/book.asp?619115","משנת רבי נתן &lt;מהדורה חדשה&gt;")</f>
        <v>משנת רבי נתן &lt;מהדורה חדשה&gt;</v>
      </c>
    </row>
    <row r="26912" spans="1:6" x14ac:dyDescent="0.2">
      <c r="A26912" t="s">
        <v>42750</v>
      </c>
      <c r="B26912" t="s">
        <v>42749</v>
      </c>
      <c r="C26912" t="s">
        <v>75</v>
      </c>
      <c r="D26912" t="s">
        <v>322</v>
      </c>
      <c r="E26912" t="s">
        <v>10013</v>
      </c>
      <c r="F26912" s="2" t="str">
        <f>HYPERLINK("http://www.otzar.org/book.asp?399","משנת רבי נתן")</f>
        <v>משנת רבי נתן</v>
      </c>
    </row>
    <row r="26913" spans="1:6" x14ac:dyDescent="0.2">
      <c r="A26913" t="s">
        <v>42751</v>
      </c>
      <c r="B26913" t="s">
        <v>3716</v>
      </c>
      <c r="C26913" t="s">
        <v>124</v>
      </c>
      <c r="D26913" t="s">
        <v>14</v>
      </c>
      <c r="E26913" t="s">
        <v>119</v>
      </c>
      <c r="F26913" s="2" t="str">
        <f>HYPERLINK("http://www.otzar.org/book.asp?150187","משנת רבינו יוסף הרוגאצ'ובי")</f>
        <v>משנת רבינו יוסף הרוגאצ'ובי</v>
      </c>
    </row>
    <row r="26914" spans="1:6" x14ac:dyDescent="0.2">
      <c r="A26914" t="s">
        <v>42752</v>
      </c>
      <c r="B26914" t="s">
        <v>42753</v>
      </c>
      <c r="C26914" t="s">
        <v>129</v>
      </c>
      <c r="D26914" t="s">
        <v>52</v>
      </c>
      <c r="E26914" t="s">
        <v>144</v>
      </c>
      <c r="F26914" s="2" t="str">
        <f>HYPERLINK("http://www.otzar.org/book.asp?606383","משנת רבינו עקיבא איגר &lt;האיר יוסף&gt; - 8 כר'")</f>
        <v>משנת רבינו עקיבא איגר &lt;האיר יוסף&gt; - 8 כר'</v>
      </c>
    </row>
    <row r="26915" spans="1:6" x14ac:dyDescent="0.2">
      <c r="A26915" t="s">
        <v>42754</v>
      </c>
      <c r="B26915" t="s">
        <v>35238</v>
      </c>
      <c r="C26915" t="s">
        <v>17</v>
      </c>
      <c r="D26915" t="s">
        <v>412</v>
      </c>
      <c r="E26915" t="s">
        <v>42755</v>
      </c>
      <c r="F26915" s="2" t="str">
        <f>HYPERLINK("http://www.otzar.org/book.asp?159271","משנת רמ""א - מקוואות")</f>
        <v>משנת רמ"א - מקוואות</v>
      </c>
    </row>
    <row r="26916" spans="1:6" x14ac:dyDescent="0.2">
      <c r="A26916" t="s">
        <v>42756</v>
      </c>
      <c r="B26916" t="s">
        <v>25029</v>
      </c>
      <c r="C26916" t="s">
        <v>23</v>
      </c>
      <c r="D26916" t="s">
        <v>52</v>
      </c>
      <c r="E26916" t="s">
        <v>84</v>
      </c>
      <c r="F26916" s="2" t="str">
        <f>HYPERLINK("http://www.otzar.org/book.asp?621332","משנת שביעית")</f>
        <v>משנת שביעית</v>
      </c>
    </row>
    <row r="26917" spans="1:6" x14ac:dyDescent="0.2">
      <c r="A26917" t="s">
        <v>42757</v>
      </c>
      <c r="B26917" t="s">
        <v>25029</v>
      </c>
      <c r="C26917" t="s">
        <v>37</v>
      </c>
      <c r="D26917" t="s">
        <v>52</v>
      </c>
      <c r="E26917" t="s">
        <v>144</v>
      </c>
      <c r="F26917" s="2" t="str">
        <f>HYPERLINK("http://www.otzar.org/book.asp?621333","משנת שבתון")</f>
        <v>משנת שבתון</v>
      </c>
    </row>
    <row r="26918" spans="1:6" x14ac:dyDescent="0.2">
      <c r="A26918" t="s">
        <v>42758</v>
      </c>
      <c r="B26918" t="s">
        <v>25029</v>
      </c>
      <c r="C26918" t="s">
        <v>37</v>
      </c>
      <c r="D26918" t="s">
        <v>52</v>
      </c>
      <c r="E26918" t="s">
        <v>144</v>
      </c>
      <c r="F26918" s="2" t="str">
        <f>HYPERLINK("http://www.otzar.org/book.asp?621334","משנת שהייה והטמנה")</f>
        <v>משנת שהייה והטמנה</v>
      </c>
    </row>
    <row r="26919" spans="1:6" x14ac:dyDescent="0.2">
      <c r="A26919" t="s">
        <v>42759</v>
      </c>
      <c r="B26919" t="s">
        <v>42760</v>
      </c>
      <c r="C26919" t="s">
        <v>411</v>
      </c>
      <c r="D26919" t="s">
        <v>14</v>
      </c>
      <c r="F26919" s="2" t="str">
        <f>HYPERLINK("http://www.otzar.org/book.asp?85887","משנת שלוח הקן (האיר יוסף)")</f>
        <v>משנת שלוח הקן (האיר יוסף)</v>
      </c>
    </row>
    <row r="26920" spans="1:6" x14ac:dyDescent="0.2">
      <c r="A26920" t="s">
        <v>42761</v>
      </c>
      <c r="B26920" t="s">
        <v>42762</v>
      </c>
      <c r="C26920" t="s">
        <v>313</v>
      </c>
      <c r="D26920" t="s">
        <v>412</v>
      </c>
      <c r="E26920" t="s">
        <v>144</v>
      </c>
      <c r="F26920" s="2" t="str">
        <f>HYPERLINK("http://www.otzar.org/book.asp?106896","משנת שלום - 7 כר'")</f>
        <v>משנת שלום - 7 כר'</v>
      </c>
    </row>
    <row r="26921" spans="1:6" x14ac:dyDescent="0.2">
      <c r="A26921" t="s">
        <v>42763</v>
      </c>
      <c r="B26921" t="s">
        <v>42764</v>
      </c>
      <c r="C26921" t="s">
        <v>13</v>
      </c>
      <c r="D26921" t="s">
        <v>412</v>
      </c>
      <c r="E26921" t="s">
        <v>10</v>
      </c>
      <c r="F26921" s="2" t="str">
        <f>HYPERLINK("http://www.otzar.org/book.asp?162812","משנת שלום")</f>
        <v>משנת שלום</v>
      </c>
    </row>
    <row r="26922" spans="1:6" x14ac:dyDescent="0.2">
      <c r="A26922" t="s">
        <v>42765</v>
      </c>
      <c r="B26922" t="s">
        <v>3243</v>
      </c>
      <c r="C26922" t="s">
        <v>383</v>
      </c>
      <c r="D26922" t="s">
        <v>14</v>
      </c>
      <c r="E26922" t="s">
        <v>34177</v>
      </c>
      <c r="F26922" s="2" t="str">
        <f>HYPERLINK("http://www.otzar.org/book.asp?83662","משנת שלמה")</f>
        <v>משנת שלמה</v>
      </c>
    </row>
    <row r="26923" spans="1:6" x14ac:dyDescent="0.2">
      <c r="A26923" t="s">
        <v>42766</v>
      </c>
      <c r="B26923" t="s">
        <v>42767</v>
      </c>
      <c r="C26923" t="s">
        <v>129</v>
      </c>
      <c r="D26923" t="s">
        <v>52</v>
      </c>
      <c r="E26923" t="s">
        <v>144</v>
      </c>
      <c r="F26923" s="2" t="str">
        <f>HYPERLINK("http://www.otzar.org/book.asp?61424","משנת שלמה - 2 כר'")</f>
        <v>משנת שלמה - 2 כר'</v>
      </c>
    </row>
    <row r="26924" spans="1:6" x14ac:dyDescent="0.2">
      <c r="A26924" t="s">
        <v>42768</v>
      </c>
      <c r="B26924" t="s">
        <v>42769</v>
      </c>
      <c r="C26924" t="s">
        <v>103</v>
      </c>
      <c r="D26924" t="s">
        <v>1356</v>
      </c>
      <c r="E26924" t="s">
        <v>144</v>
      </c>
      <c r="F26924" s="2" t="str">
        <f>HYPERLINK("http://www.otzar.org/book.asp?51605","משנת שלמה - 3 כר'")</f>
        <v>משנת שלמה - 3 כר'</v>
      </c>
    </row>
    <row r="26925" spans="1:6" x14ac:dyDescent="0.2">
      <c r="A26925" t="s">
        <v>42770</v>
      </c>
      <c r="B26925" t="s">
        <v>42771</v>
      </c>
      <c r="C26925" t="s">
        <v>244</v>
      </c>
      <c r="D26925" t="s">
        <v>21</v>
      </c>
      <c r="E26925" t="s">
        <v>144</v>
      </c>
      <c r="F26925" s="2" t="str">
        <f>HYPERLINK("http://www.otzar.org/book.asp?607269","משנת שמואל - 2 כר'")</f>
        <v>משנת שמואל - 2 כר'</v>
      </c>
    </row>
    <row r="26926" spans="1:6" x14ac:dyDescent="0.2">
      <c r="A26926" t="s">
        <v>42772</v>
      </c>
      <c r="B26926" t="s">
        <v>42773</v>
      </c>
      <c r="C26926" t="s">
        <v>51</v>
      </c>
      <c r="D26926" t="s">
        <v>1076</v>
      </c>
      <c r="E26926" t="s">
        <v>230</v>
      </c>
      <c r="F26926" s="2" t="str">
        <f>HYPERLINK("http://www.otzar.org/book.asp?159130","משנת שמחה")</f>
        <v>משנת שמחה</v>
      </c>
    </row>
    <row r="26927" spans="1:6" x14ac:dyDescent="0.2">
      <c r="A26927" t="s">
        <v>42774</v>
      </c>
      <c r="B26927" t="s">
        <v>42775</v>
      </c>
      <c r="C26927" t="s">
        <v>23</v>
      </c>
      <c r="D26927" t="s">
        <v>1632</v>
      </c>
      <c r="E26927" t="s">
        <v>140</v>
      </c>
      <c r="F26927" s="2" t="str">
        <f>HYPERLINK("http://www.otzar.org/book.asp?619817","משנת שפת אמת")</f>
        <v>משנת שפת אמת</v>
      </c>
    </row>
    <row r="26928" spans="1:6" x14ac:dyDescent="0.2">
      <c r="A26928" t="s">
        <v>42776</v>
      </c>
      <c r="B26928" t="s">
        <v>1918</v>
      </c>
      <c r="C26928" t="s">
        <v>151</v>
      </c>
      <c r="D26928" t="s">
        <v>14</v>
      </c>
      <c r="E26928" t="s">
        <v>158</v>
      </c>
      <c r="F26928" s="2" t="str">
        <f>HYPERLINK("http://www.otzar.org/book.asp?619678","משנת תורה - 3 כר'")</f>
        <v>משנת תורה - 3 כר'</v>
      </c>
    </row>
    <row r="26929" spans="1:6" x14ac:dyDescent="0.2">
      <c r="A26929" t="s">
        <v>42777</v>
      </c>
      <c r="B26929" t="s">
        <v>42512</v>
      </c>
      <c r="C26929" t="s">
        <v>244</v>
      </c>
      <c r="D26929" t="s">
        <v>21</v>
      </c>
      <c r="E26929" t="s">
        <v>144</v>
      </c>
      <c r="F26929" s="2" t="str">
        <f>HYPERLINK("http://www.otzar.org/book.asp?601080","משנת תמורה")</f>
        <v>משנת תמורה</v>
      </c>
    </row>
    <row r="26930" spans="1:6" x14ac:dyDescent="0.2">
      <c r="A26930" t="s">
        <v>42778</v>
      </c>
      <c r="C26930" t="s">
        <v>366</v>
      </c>
      <c r="D26930" t="s">
        <v>423</v>
      </c>
      <c r="F26930" s="2" t="str">
        <f>HYPERLINK("http://www.otzar.org/book.asp?619061","משנת תנאים &lt;משנה ותוספתא&gt; - 6 כר'")</f>
        <v>משנת תנאים &lt;משנה ותוספתא&gt; - 6 כר'</v>
      </c>
    </row>
    <row r="26931" spans="1:6" x14ac:dyDescent="0.2">
      <c r="A26931" t="s">
        <v>42779</v>
      </c>
      <c r="B26931" t="s">
        <v>42780</v>
      </c>
      <c r="C26931" t="s">
        <v>111</v>
      </c>
      <c r="D26931" t="s">
        <v>90</v>
      </c>
      <c r="E26931" t="s">
        <v>144</v>
      </c>
      <c r="F26931" s="2" t="str">
        <f>HYPERLINK("http://www.otzar.org/book.asp?629429","משנת תשביתו")</f>
        <v>משנת תשביתו</v>
      </c>
    </row>
    <row r="26932" spans="1:6" x14ac:dyDescent="0.2">
      <c r="A26932" t="s">
        <v>42781</v>
      </c>
      <c r="B26932" t="s">
        <v>5941</v>
      </c>
      <c r="C26932" t="s">
        <v>383</v>
      </c>
      <c r="D26932" t="s">
        <v>21</v>
      </c>
      <c r="E26932" t="s">
        <v>119</v>
      </c>
      <c r="F26932" s="2" t="str">
        <f>HYPERLINK("http://www.otzar.org/book.asp?626435","משנתה של אגודת ישראל")</f>
        <v>משנתה של אגודת ישראל</v>
      </c>
    </row>
    <row r="26933" spans="1:6" x14ac:dyDescent="0.2">
      <c r="A26933" t="s">
        <v>42782</v>
      </c>
      <c r="B26933" t="s">
        <v>1385</v>
      </c>
      <c r="C26933" t="s">
        <v>1169</v>
      </c>
      <c r="D26933" t="s">
        <v>27</v>
      </c>
      <c r="E26933" t="s">
        <v>104</v>
      </c>
      <c r="F26933" s="2" t="str">
        <f>HYPERLINK("http://www.otzar.org/book.asp?5603","משנתו של הגאון רבי עקיבא איגר ב""גליון הש""ס""")</f>
        <v>משנתו של הגאון רבי עקיבא איגר ב"גליון הש"ס"</v>
      </c>
    </row>
    <row r="26934" spans="1:6" x14ac:dyDescent="0.2">
      <c r="A26934" t="s">
        <v>42783</v>
      </c>
      <c r="B26934" t="s">
        <v>22501</v>
      </c>
      <c r="C26934" t="s">
        <v>411</v>
      </c>
      <c r="D26934" t="s">
        <v>21</v>
      </c>
      <c r="F26934" s="2" t="str">
        <f>HYPERLINK("http://www.otzar.org/book.asp?600225","משנתו של רבי עמרם")</f>
        <v>משנתו של רבי עמרם</v>
      </c>
    </row>
    <row r="26935" spans="1:6" x14ac:dyDescent="0.2">
      <c r="A26935" t="s">
        <v>42784</v>
      </c>
      <c r="B26935" t="s">
        <v>42785</v>
      </c>
      <c r="F26935" s="2" t="str">
        <f>HYPERLINK("http://www.otzar.org/book.asp?622997","משנתם סדורה - 4 כר'")</f>
        <v>משנתם סדורה - 4 כר'</v>
      </c>
    </row>
    <row r="26936" spans="1:6" x14ac:dyDescent="0.2">
      <c r="A26936" t="s">
        <v>42786</v>
      </c>
      <c r="B26936" t="s">
        <v>552</v>
      </c>
      <c r="C26936" t="s">
        <v>767</v>
      </c>
      <c r="D26936" t="s">
        <v>4478</v>
      </c>
      <c r="E26936" t="s">
        <v>467</v>
      </c>
      <c r="F26936" s="2" t="str">
        <f>HYPERLINK("http://www.otzar.org/book.asp?63150","משעבוד לגאולה מפסח עד שבועות")</f>
        <v>משעבוד לגאולה מפסח עד שבועות</v>
      </c>
    </row>
    <row r="26937" spans="1:6" x14ac:dyDescent="0.2">
      <c r="A26937" t="s">
        <v>42787</v>
      </c>
      <c r="B26937" t="s">
        <v>42788</v>
      </c>
      <c r="C26937" t="s">
        <v>366</v>
      </c>
      <c r="D26937" t="s">
        <v>229</v>
      </c>
      <c r="E26937" t="s">
        <v>144</v>
      </c>
      <c r="F26937" s="2" t="str">
        <f>HYPERLINK("http://www.otzar.org/book.asp?600667","משעול הכרמים")</f>
        <v>משעול הכרמים</v>
      </c>
    </row>
    <row r="26938" spans="1:6" x14ac:dyDescent="0.2">
      <c r="A26938" t="s">
        <v>42789</v>
      </c>
      <c r="B26938" t="s">
        <v>42790</v>
      </c>
      <c r="C26938" t="s">
        <v>244</v>
      </c>
      <c r="D26938" t="s">
        <v>14</v>
      </c>
      <c r="E26938" t="s">
        <v>158</v>
      </c>
      <c r="F26938" s="2" t="str">
        <f>HYPERLINK("http://www.otzar.org/book.asp?600741","משעול יעקב")</f>
        <v>משעול יעקב</v>
      </c>
    </row>
    <row r="26939" spans="1:6" x14ac:dyDescent="0.2">
      <c r="A26939" t="s">
        <v>42791</v>
      </c>
      <c r="B26939" t="s">
        <v>42792</v>
      </c>
      <c r="C26939" t="s">
        <v>51</v>
      </c>
      <c r="D26939" t="s">
        <v>52</v>
      </c>
      <c r="E26939" t="s">
        <v>144</v>
      </c>
      <c r="F26939" s="2" t="str">
        <f>HYPERLINK("http://www.otzar.org/book.asp?158760","משעורי הגרי""ד - זבחים")</f>
        <v>משעורי הגרי"ד - זבחים</v>
      </c>
    </row>
    <row r="26940" spans="1:6" x14ac:dyDescent="0.2">
      <c r="A26940" t="s">
        <v>42793</v>
      </c>
      <c r="B26940" t="s">
        <v>42794</v>
      </c>
      <c r="C26940" t="s">
        <v>26592</v>
      </c>
      <c r="D26940" t="s">
        <v>42795</v>
      </c>
      <c r="E26940" t="s">
        <v>241</v>
      </c>
      <c r="F26940" s="2" t="str">
        <f>HYPERLINK("http://www.otzar.org/book.asp?103758","משעורי רבינו &lt;שעור דעת&gt; - 5 כר'")</f>
        <v>משעורי רבינו &lt;שעור דעת&gt; - 5 כר'</v>
      </c>
    </row>
    <row r="26941" spans="1:6" x14ac:dyDescent="0.2">
      <c r="A26941" t="s">
        <v>42796</v>
      </c>
      <c r="B26941" t="s">
        <v>42794</v>
      </c>
      <c r="C26941" t="s">
        <v>42797</v>
      </c>
      <c r="D26941" t="s">
        <v>42795</v>
      </c>
      <c r="E26941" t="s">
        <v>144</v>
      </c>
      <c r="F26941" s="2" t="str">
        <f>HYPERLINK("http://www.otzar.org/book.asp?106791","משעורי רבינו &lt;שעור הלכה&gt; - 2 כר'")</f>
        <v>משעורי רבינו &lt;שעור הלכה&gt; - 2 כר'</v>
      </c>
    </row>
    <row r="26942" spans="1:6" x14ac:dyDescent="0.2">
      <c r="A26942" t="s">
        <v>42798</v>
      </c>
      <c r="B26942" t="s">
        <v>42799</v>
      </c>
      <c r="C26942" t="s">
        <v>250</v>
      </c>
      <c r="D26942" t="s">
        <v>2303</v>
      </c>
      <c r="E26942" t="s">
        <v>158</v>
      </c>
      <c r="F26942" s="2" t="str">
        <f>HYPERLINK("http://www.otzar.org/book.asp?102030","משען המים - 2 כר'")</f>
        <v>משען המים - 2 כר'</v>
      </c>
    </row>
    <row r="26943" spans="1:6" x14ac:dyDescent="0.2">
      <c r="A26943" t="s">
        <v>42800</v>
      </c>
      <c r="B26943" t="s">
        <v>29885</v>
      </c>
      <c r="C26943" t="s">
        <v>482</v>
      </c>
      <c r="D26943" t="s">
        <v>9</v>
      </c>
      <c r="E26943" t="s">
        <v>474</v>
      </c>
      <c r="F26943" s="2" t="str">
        <f>HYPERLINK("http://www.otzar.org/book.asp?51702","משען מים")</f>
        <v>משען מים</v>
      </c>
    </row>
    <row r="26944" spans="1:6" x14ac:dyDescent="0.2">
      <c r="A26944" t="s">
        <v>42801</v>
      </c>
      <c r="B26944" t="s">
        <v>42802</v>
      </c>
      <c r="C26944" t="s">
        <v>71</v>
      </c>
      <c r="D26944" t="s">
        <v>14</v>
      </c>
      <c r="E26944" t="s">
        <v>119</v>
      </c>
      <c r="F26944" s="2" t="str">
        <f>HYPERLINK("http://www.otzar.org/book.asp?159787","משפחות יואל - אדלר - קרליבך")</f>
        <v>משפחות יואל - אדלר - קרליבך</v>
      </c>
    </row>
    <row r="26945" spans="1:6" x14ac:dyDescent="0.2">
      <c r="A26945" t="s">
        <v>42803</v>
      </c>
      <c r="B26945" t="s">
        <v>42804</v>
      </c>
      <c r="C26945" t="s">
        <v>888</v>
      </c>
      <c r="D26945" t="s">
        <v>283</v>
      </c>
      <c r="E26945" t="s">
        <v>3387</v>
      </c>
      <c r="F26945" s="2" t="str">
        <f>HYPERLINK("http://www.otzar.org/book.asp?14641","משפחות סופרים")</f>
        <v>משפחות סופרים</v>
      </c>
    </row>
    <row r="26946" spans="1:6" x14ac:dyDescent="0.2">
      <c r="A26946" t="s">
        <v>42805</v>
      </c>
      <c r="B26946" t="s">
        <v>42806</v>
      </c>
      <c r="C26946" t="s">
        <v>585</v>
      </c>
      <c r="D26946" t="s">
        <v>216</v>
      </c>
      <c r="E26946" t="s">
        <v>119</v>
      </c>
      <c r="F26946" s="2" t="str">
        <f>HYPERLINK("http://www.otzar.org/book.asp?50750","משפחות עתיקות בישראל")</f>
        <v>משפחות עתיקות בישראל</v>
      </c>
    </row>
    <row r="26947" spans="1:6" x14ac:dyDescent="0.2">
      <c r="A26947" t="s">
        <v>42807</v>
      </c>
      <c r="B26947" t="s">
        <v>42808</v>
      </c>
      <c r="C26947" t="s">
        <v>5903</v>
      </c>
      <c r="D26947" t="s">
        <v>1422</v>
      </c>
      <c r="E26947" t="s">
        <v>119</v>
      </c>
      <c r="F26947" s="2" t="str">
        <f>HYPERLINK("http://www.otzar.org/book.asp?20302","משפחות ק""ק פראג")</f>
        <v>משפחות ק"ק פראג</v>
      </c>
    </row>
    <row r="26948" spans="1:6" x14ac:dyDescent="0.2">
      <c r="A26948" t="s">
        <v>42809</v>
      </c>
      <c r="B26948" t="s">
        <v>42810</v>
      </c>
      <c r="C26948" t="s">
        <v>533</v>
      </c>
      <c r="D26948" t="s">
        <v>21</v>
      </c>
      <c r="F26948" s="2" t="str">
        <f>HYPERLINK("http://www.otzar.org/book.asp?194967","משפחת אויערבך - 2 כר'")</f>
        <v>משפחת אויערבך - 2 כר'</v>
      </c>
    </row>
    <row r="26949" spans="1:6" x14ac:dyDescent="0.2">
      <c r="A26949" t="s">
        <v>42811</v>
      </c>
      <c r="B26949" t="s">
        <v>42812</v>
      </c>
      <c r="C26949" t="s">
        <v>106</v>
      </c>
      <c r="D26949" t="s">
        <v>14</v>
      </c>
      <c r="E26949" t="s">
        <v>119</v>
      </c>
      <c r="F26949" s="2" t="str">
        <f>HYPERLINK("http://www.otzar.org/book.asp?15633","משפחת אלישר בתוככי ירושלים")</f>
        <v>משפחת אלישר בתוככי ירושלים</v>
      </c>
    </row>
    <row r="26950" spans="1:6" x14ac:dyDescent="0.2">
      <c r="A26950" t="s">
        <v>42813</v>
      </c>
      <c r="B26950" t="s">
        <v>42814</v>
      </c>
      <c r="C26950" t="s">
        <v>334</v>
      </c>
      <c r="D26950" t="s">
        <v>14</v>
      </c>
      <c r="E26950" t="s">
        <v>202</v>
      </c>
      <c r="F26950" s="2" t="str">
        <f>HYPERLINK("http://www.otzar.org/book.asp?612899","משפחת במברגר")</f>
        <v>משפחת במברגר</v>
      </c>
    </row>
    <row r="26951" spans="1:6" x14ac:dyDescent="0.2">
      <c r="A26951" t="s">
        <v>42815</v>
      </c>
      <c r="B26951" t="s">
        <v>42816</v>
      </c>
      <c r="C26951" t="s">
        <v>812</v>
      </c>
      <c r="D26951" t="s">
        <v>283</v>
      </c>
      <c r="E26951" t="s">
        <v>119</v>
      </c>
      <c r="F26951" s="2" t="str">
        <f>HYPERLINK("http://www.otzar.org/book.asp?151960","משפחת ברודא")</f>
        <v>משפחת ברודא</v>
      </c>
    </row>
    <row r="26952" spans="1:6" x14ac:dyDescent="0.2">
      <c r="A26952" t="s">
        <v>42817</v>
      </c>
      <c r="B26952" t="s">
        <v>42818</v>
      </c>
      <c r="C26952" t="s">
        <v>523</v>
      </c>
      <c r="D26952" t="s">
        <v>52</v>
      </c>
      <c r="E26952" t="s">
        <v>119</v>
      </c>
      <c r="F26952" s="2" t="str">
        <f>HYPERLINK("http://www.otzar.org/book.asp?625575","משפחת הרבנים אדלר")</f>
        <v>משפחת הרבנים אדלר</v>
      </c>
    </row>
    <row r="26953" spans="1:6" x14ac:dyDescent="0.2">
      <c r="A26953" t="s">
        <v>42819</v>
      </c>
      <c r="B26953" t="s">
        <v>42820</v>
      </c>
      <c r="C26953" t="s">
        <v>68</v>
      </c>
      <c r="D26953" t="s">
        <v>646</v>
      </c>
      <c r="E26953" t="s">
        <v>119</v>
      </c>
      <c r="F26953" s="2" t="str">
        <f>HYPERLINK("http://www.otzar.org/book.asp?613869","משפחת השמעוני")</f>
        <v>משפחת השמעוני</v>
      </c>
    </row>
    <row r="26954" spans="1:6" x14ac:dyDescent="0.2">
      <c r="A26954" t="s">
        <v>42821</v>
      </c>
      <c r="B26954" t="s">
        <v>42822</v>
      </c>
      <c r="C26954" t="s">
        <v>940</v>
      </c>
      <c r="D26954" t="s">
        <v>20</v>
      </c>
      <c r="E26954" t="s">
        <v>733</v>
      </c>
      <c r="F26954" s="2" t="str">
        <f>HYPERLINK("http://www.otzar.org/book.asp?64108","משפחת חבשוש - א")</f>
        <v>משפחת חבשוש - א</v>
      </c>
    </row>
    <row r="26955" spans="1:6" x14ac:dyDescent="0.2">
      <c r="A26955" t="s">
        <v>42823</v>
      </c>
      <c r="B26955" t="s">
        <v>40258</v>
      </c>
      <c r="C26955" t="s">
        <v>362</v>
      </c>
      <c r="D26955" t="s">
        <v>535</v>
      </c>
      <c r="E26955" t="s">
        <v>119</v>
      </c>
      <c r="F26955" s="2" t="str">
        <f>HYPERLINK("http://www.otzar.org/book.asp?20303","משפחת לוריא")</f>
        <v>משפחת לוריא</v>
      </c>
    </row>
    <row r="26956" spans="1:6" x14ac:dyDescent="0.2">
      <c r="A26956" t="s">
        <v>42824</v>
      </c>
      <c r="B26956" t="s">
        <v>42825</v>
      </c>
      <c r="C26956" t="s">
        <v>13</v>
      </c>
      <c r="D26956" t="s">
        <v>412</v>
      </c>
      <c r="E26956" t="s">
        <v>119</v>
      </c>
      <c r="F26956" s="2" t="str">
        <f>HYPERLINK("http://www.otzar.org/book.asp?159246","משפחת סופרים")</f>
        <v>משפחת סופרים</v>
      </c>
    </row>
    <row r="26957" spans="1:6" x14ac:dyDescent="0.2">
      <c r="A26957" t="s">
        <v>42824</v>
      </c>
      <c r="B26957" t="s">
        <v>42826</v>
      </c>
      <c r="C26957" t="s">
        <v>2076</v>
      </c>
      <c r="D26957" t="s">
        <v>56</v>
      </c>
      <c r="E26957" t="s">
        <v>104</v>
      </c>
      <c r="F26957" s="2" t="str">
        <f>HYPERLINK("http://www.otzar.org/book.asp?188594","משפחת סופרים")</f>
        <v>משפחת סופרים</v>
      </c>
    </row>
    <row r="26958" spans="1:6" x14ac:dyDescent="0.2">
      <c r="A26958" t="s">
        <v>42827</v>
      </c>
      <c r="B26958" t="s">
        <v>42810</v>
      </c>
      <c r="C26958" t="s">
        <v>143</v>
      </c>
      <c r="D26958" t="s">
        <v>2798</v>
      </c>
      <c r="E26958" t="s">
        <v>119</v>
      </c>
      <c r="F26958" s="2" t="str">
        <f>HYPERLINK("http://www.otzar.org/book.asp?626153","משפחת פצ'יפיצ'י")</f>
        <v>משפחת פצ'יפיצ'י</v>
      </c>
    </row>
    <row r="26959" spans="1:6" x14ac:dyDescent="0.2">
      <c r="A26959" t="s">
        <v>42828</v>
      </c>
      <c r="B26959" t="s">
        <v>42829</v>
      </c>
      <c r="C26959" t="s">
        <v>20</v>
      </c>
      <c r="D26959" t="s">
        <v>90</v>
      </c>
      <c r="E26959" t="s">
        <v>119</v>
      </c>
      <c r="F26959" s="2" t="str">
        <f>HYPERLINK("http://www.otzar.org/book.asp?612604","משפחת קובו רבניה וגביריה")</f>
        <v>משפחת קובו רבניה וגביריה</v>
      </c>
    </row>
    <row r="26960" spans="1:6" x14ac:dyDescent="0.2">
      <c r="A26960" t="s">
        <v>42830</v>
      </c>
      <c r="B26960" t="s">
        <v>42810</v>
      </c>
      <c r="C26960" t="s">
        <v>553</v>
      </c>
      <c r="D26960" t="s">
        <v>2798</v>
      </c>
      <c r="F26960" s="2" t="str">
        <f>HYPERLINK("http://www.otzar.org/book.asp?620447","משפחת קוטק")</f>
        <v>משפחת קוטק</v>
      </c>
    </row>
    <row r="26961" spans="1:6" x14ac:dyDescent="0.2">
      <c r="A26961" t="s">
        <v>42831</v>
      </c>
      <c r="B26961" t="s">
        <v>42832</v>
      </c>
      <c r="C26961" t="s">
        <v>767</v>
      </c>
      <c r="D26961" t="s">
        <v>412</v>
      </c>
      <c r="E26961" t="s">
        <v>733</v>
      </c>
      <c r="F26961" s="2" t="str">
        <f>HYPERLINK("http://www.otzar.org/book.asp?173046","משפחת רוזנבלט")</f>
        <v>משפחת רוזנבלט</v>
      </c>
    </row>
    <row r="26962" spans="1:6" x14ac:dyDescent="0.2">
      <c r="A26962" t="s">
        <v>42833</v>
      </c>
      <c r="B26962" t="s">
        <v>42834</v>
      </c>
      <c r="C26962" t="s">
        <v>244</v>
      </c>
      <c r="D26962" t="s">
        <v>21</v>
      </c>
      <c r="E26962" t="s">
        <v>15</v>
      </c>
      <c r="F26962" s="2" t="str">
        <f>HYPERLINK("http://www.otzar.org/book.asp?601117","משפט אהרן")</f>
        <v>משפט אהרן</v>
      </c>
    </row>
    <row r="26963" spans="1:6" x14ac:dyDescent="0.2">
      <c r="A26963" t="s">
        <v>42835</v>
      </c>
      <c r="B26963" t="s">
        <v>42836</v>
      </c>
      <c r="C26963" t="s">
        <v>17</v>
      </c>
      <c r="D26963" t="s">
        <v>14</v>
      </c>
      <c r="E26963" t="s">
        <v>172</v>
      </c>
      <c r="F26963" s="2" t="str">
        <f>HYPERLINK("http://www.otzar.org/book.asp?151215","משפט אונאה")</f>
        <v>משפט אונאה</v>
      </c>
    </row>
    <row r="26964" spans="1:6" x14ac:dyDescent="0.2">
      <c r="A26964" t="s">
        <v>42837</v>
      </c>
      <c r="B26964" t="s">
        <v>42838</v>
      </c>
      <c r="C26964" t="s">
        <v>6062</v>
      </c>
      <c r="D26964" t="s">
        <v>212</v>
      </c>
      <c r="E26964" t="s">
        <v>158</v>
      </c>
      <c r="F26964" s="2" t="str">
        <f>HYPERLINK("http://www.otzar.org/book.asp?63830","משפט אמת")</f>
        <v>משפט אמת</v>
      </c>
    </row>
    <row r="26965" spans="1:6" x14ac:dyDescent="0.2">
      <c r="A26965" t="s">
        <v>42837</v>
      </c>
      <c r="B26965" t="s">
        <v>42839</v>
      </c>
      <c r="C26965" t="s">
        <v>466</v>
      </c>
      <c r="D26965" t="s">
        <v>52</v>
      </c>
      <c r="E26965" t="s">
        <v>41096</v>
      </c>
      <c r="F26965" s="2" t="str">
        <f>HYPERLINK("http://www.otzar.org/book.asp?151806","משפט אמת")</f>
        <v>משפט אמת</v>
      </c>
    </row>
    <row r="26966" spans="1:6" x14ac:dyDescent="0.2">
      <c r="A26966" t="s">
        <v>42840</v>
      </c>
      <c r="B26966" t="s">
        <v>42841</v>
      </c>
      <c r="C26966" t="s">
        <v>20</v>
      </c>
      <c r="D26966" t="s">
        <v>14</v>
      </c>
      <c r="F26966" s="2" t="str">
        <f>HYPERLINK("http://www.otzar.org/book.asp?198785","משפט ברור")</f>
        <v>משפט ברור</v>
      </c>
    </row>
    <row r="26967" spans="1:6" x14ac:dyDescent="0.2">
      <c r="A26967" t="s">
        <v>42842</v>
      </c>
      <c r="B26967" t="s">
        <v>42843</v>
      </c>
      <c r="C26967" t="s">
        <v>244</v>
      </c>
      <c r="D26967" t="s">
        <v>21</v>
      </c>
      <c r="E26967" t="s">
        <v>15</v>
      </c>
      <c r="F26967" s="2" t="str">
        <f>HYPERLINK("http://www.otzar.org/book.asp?605343","משפט גרים - 2 כר'")</f>
        <v>משפט גרים - 2 כר'</v>
      </c>
    </row>
    <row r="26968" spans="1:6" x14ac:dyDescent="0.2">
      <c r="A26968" t="s">
        <v>42844</v>
      </c>
      <c r="B26968" t="s">
        <v>1681</v>
      </c>
      <c r="C26968" t="s">
        <v>785</v>
      </c>
      <c r="D26968" t="s">
        <v>52</v>
      </c>
      <c r="E26968" t="s">
        <v>148</v>
      </c>
      <c r="F26968" s="2" t="str">
        <f>HYPERLINK("http://www.otzar.org/book.asp?62212","משפט האבידה - חו""מ רנט - רעא")</f>
        <v>משפט האבידה - חו"מ רנט - רעא</v>
      </c>
    </row>
    <row r="26969" spans="1:6" x14ac:dyDescent="0.2">
      <c r="A26969" t="s">
        <v>42845</v>
      </c>
      <c r="B26969" t="s">
        <v>42846</v>
      </c>
      <c r="C26969" t="s">
        <v>133</v>
      </c>
      <c r="D26969" t="s">
        <v>52</v>
      </c>
      <c r="E26969" t="s">
        <v>144</v>
      </c>
      <c r="F26969" s="2" t="str">
        <f>HYPERLINK("http://www.otzar.org/book.asp?194142","משפט האומנים")</f>
        <v>משפט האומנים</v>
      </c>
    </row>
    <row r="26970" spans="1:6" x14ac:dyDescent="0.2">
      <c r="A26970" t="s">
        <v>42847</v>
      </c>
      <c r="B26970" t="s">
        <v>11311</v>
      </c>
      <c r="C26970" t="s">
        <v>624</v>
      </c>
      <c r="D26970" t="s">
        <v>14</v>
      </c>
      <c r="E26970" t="s">
        <v>144</v>
      </c>
      <c r="F26970" s="2" t="str">
        <f>HYPERLINK("http://www.otzar.org/book.asp?22552","משפט האורים")</f>
        <v>משפט האורים</v>
      </c>
    </row>
    <row r="26971" spans="1:6" x14ac:dyDescent="0.2">
      <c r="A26971" t="s">
        <v>42848</v>
      </c>
      <c r="B26971" t="s">
        <v>25166</v>
      </c>
      <c r="C26971" t="s">
        <v>37</v>
      </c>
      <c r="D26971" t="s">
        <v>412</v>
      </c>
      <c r="E26971" t="s">
        <v>345</v>
      </c>
      <c r="F26971" s="2" t="str">
        <f>HYPERLINK("http://www.otzar.org/book.asp?605391","משפט הארץ")</f>
        <v>משפט הארץ</v>
      </c>
    </row>
    <row r="26972" spans="1:6" x14ac:dyDescent="0.2">
      <c r="A26972" t="s">
        <v>42848</v>
      </c>
      <c r="B26972" t="s">
        <v>42849</v>
      </c>
      <c r="C26972" t="s">
        <v>390</v>
      </c>
      <c r="D26972" t="s">
        <v>14</v>
      </c>
      <c r="E26972" t="s">
        <v>42850</v>
      </c>
      <c r="F26972" s="2" t="str">
        <f>HYPERLINK("http://www.otzar.org/book.asp?15284","משפט הארץ")</f>
        <v>משפט הארץ</v>
      </c>
    </row>
    <row r="26973" spans="1:6" x14ac:dyDescent="0.2">
      <c r="A26973" t="s">
        <v>42851</v>
      </c>
      <c r="B26973" t="s">
        <v>42852</v>
      </c>
      <c r="C26973" t="s">
        <v>42853</v>
      </c>
      <c r="D26973" t="s">
        <v>581</v>
      </c>
      <c r="E26973" t="s">
        <v>104</v>
      </c>
      <c r="F26973" s="2" t="str">
        <f>HYPERLINK("http://www.otzar.org/book.asp?614603","משפט הבחירה")</f>
        <v>משפט הבחירה</v>
      </c>
    </row>
    <row r="26974" spans="1:6" x14ac:dyDescent="0.2">
      <c r="A26974" t="s">
        <v>42854</v>
      </c>
      <c r="B26974" t="s">
        <v>42855</v>
      </c>
      <c r="C26974" t="s">
        <v>68</v>
      </c>
      <c r="D26974" t="s">
        <v>16149</v>
      </c>
      <c r="E26974" t="s">
        <v>15</v>
      </c>
      <c r="F26974" s="2" t="str">
        <f>HYPERLINK("http://www.otzar.org/book.asp?183101","משפט הברכות - ב")</f>
        <v>משפט הברכות - ב</v>
      </c>
    </row>
    <row r="26975" spans="1:6" x14ac:dyDescent="0.2">
      <c r="A26975" t="s">
        <v>42856</v>
      </c>
      <c r="B26975" t="s">
        <v>2847</v>
      </c>
      <c r="C26975" t="s">
        <v>20</v>
      </c>
      <c r="D26975" t="s">
        <v>21</v>
      </c>
      <c r="E26975" t="s">
        <v>172</v>
      </c>
      <c r="F26975" s="2" t="str">
        <f>HYPERLINK("http://www.otzar.org/book.asp?193816","משפט הגט - 3 כר'")</f>
        <v>משפט הגט - 3 כר'</v>
      </c>
    </row>
    <row r="26976" spans="1:6" x14ac:dyDescent="0.2">
      <c r="A26976" t="s">
        <v>42857</v>
      </c>
      <c r="B26976" t="s">
        <v>42858</v>
      </c>
      <c r="C26976" t="s">
        <v>383</v>
      </c>
      <c r="D26976" t="s">
        <v>486</v>
      </c>
      <c r="E26976" t="s">
        <v>144</v>
      </c>
      <c r="F26976" s="2" t="str">
        <f>HYPERLINK("http://www.otzar.org/book.asp?171400","משפט החוב - מילי דגזילה")</f>
        <v>משפט החוב - מילי דגזילה</v>
      </c>
    </row>
    <row r="26977" spans="1:6" x14ac:dyDescent="0.2">
      <c r="A26977" t="s">
        <v>42859</v>
      </c>
      <c r="B26977" t="s">
        <v>31268</v>
      </c>
      <c r="C26977" t="s">
        <v>111</v>
      </c>
      <c r="D26977" t="s">
        <v>14</v>
      </c>
      <c r="E26977" t="s">
        <v>172</v>
      </c>
      <c r="F26977" s="2" t="str">
        <f>HYPERLINK("http://www.otzar.org/book.asp?630207","משפט החושן בימינו - א")</f>
        <v>משפט החושן בימינו - א</v>
      </c>
    </row>
    <row r="26978" spans="1:6" x14ac:dyDescent="0.2">
      <c r="A26978" t="s">
        <v>42860</v>
      </c>
      <c r="B26978" t="s">
        <v>42861</v>
      </c>
      <c r="C26978" t="s">
        <v>133</v>
      </c>
      <c r="D26978" t="s">
        <v>152</v>
      </c>
      <c r="E26978" t="s">
        <v>10</v>
      </c>
      <c r="F26978" s="2" t="str">
        <f>HYPERLINK("http://www.otzar.org/book.asp?176746","משפט החושן")</f>
        <v>משפט החושן</v>
      </c>
    </row>
    <row r="26979" spans="1:6" x14ac:dyDescent="0.2">
      <c r="A26979" t="s">
        <v>42862</v>
      </c>
      <c r="B26979" t="s">
        <v>42863</v>
      </c>
      <c r="C26979" t="s">
        <v>133</v>
      </c>
      <c r="D26979" t="s">
        <v>14</v>
      </c>
      <c r="E26979" t="s">
        <v>2153</v>
      </c>
      <c r="F26979" s="2" t="str">
        <f>HYPERLINK("http://www.otzar.org/book.asp?175936","משפט החושן - טוען ונטען פ""ב-צ""ב")</f>
        <v>משפט החושן - טוען ונטען פ"ב-צ"ב</v>
      </c>
    </row>
    <row r="26980" spans="1:6" x14ac:dyDescent="0.2">
      <c r="A26980" t="s">
        <v>42864</v>
      </c>
      <c r="B26980" t="s">
        <v>42865</v>
      </c>
      <c r="C26980" t="s">
        <v>114</v>
      </c>
      <c r="D26980" t="s">
        <v>1156</v>
      </c>
      <c r="E26980" t="s">
        <v>172</v>
      </c>
      <c r="F26980" s="2" t="str">
        <f>HYPERLINK("http://www.otzar.org/book.asp?182560","משפט החושן - ג")</f>
        <v>משפט החושן - ג</v>
      </c>
    </row>
    <row r="26981" spans="1:6" x14ac:dyDescent="0.2">
      <c r="A26981" t="s">
        <v>42866</v>
      </c>
      <c r="B26981" t="s">
        <v>42867</v>
      </c>
      <c r="C26981" t="s">
        <v>68</v>
      </c>
      <c r="D26981" t="s">
        <v>1156</v>
      </c>
      <c r="E26981" t="s">
        <v>172</v>
      </c>
      <c r="F26981" s="2" t="str">
        <f>HYPERLINK("http://www.otzar.org/book.asp?182558","משפט החושן - 2 כר'")</f>
        <v>משפט החושן - 2 כר'</v>
      </c>
    </row>
    <row r="26982" spans="1:6" x14ac:dyDescent="0.2">
      <c r="A26982" t="s">
        <v>42868</v>
      </c>
      <c r="B26982" t="s">
        <v>19758</v>
      </c>
      <c r="C26982" t="s">
        <v>13</v>
      </c>
      <c r="E26982" t="s">
        <v>172</v>
      </c>
      <c r="F26982" s="2" t="str">
        <f>HYPERLINK("http://www.otzar.org/book.asp?603965","משפט החושן - 3 כר'")</f>
        <v>משפט החושן - 3 כר'</v>
      </c>
    </row>
    <row r="26983" spans="1:6" x14ac:dyDescent="0.2">
      <c r="A26983" t="s">
        <v>42869</v>
      </c>
      <c r="B26983" t="s">
        <v>16090</v>
      </c>
      <c r="C26983" t="s">
        <v>466</v>
      </c>
      <c r="D26983" t="s">
        <v>52</v>
      </c>
      <c r="E26983" t="s">
        <v>172</v>
      </c>
      <c r="F26983" s="2" t="str">
        <f>HYPERLINK("http://www.otzar.org/book.asp?62050","משפט הטענה")</f>
        <v>משפט הטענה</v>
      </c>
    </row>
    <row r="26984" spans="1:6" x14ac:dyDescent="0.2">
      <c r="A26984" t="s">
        <v>42870</v>
      </c>
      <c r="B26984" t="s">
        <v>42855</v>
      </c>
      <c r="C26984" t="s">
        <v>189</v>
      </c>
      <c r="D26984" t="s">
        <v>16149</v>
      </c>
      <c r="E26984" t="s">
        <v>15</v>
      </c>
      <c r="F26984" s="2" t="str">
        <f>HYPERLINK("http://www.otzar.org/book.asp?177158","משפט היחוד")</f>
        <v>משפט היחוד</v>
      </c>
    </row>
    <row r="26985" spans="1:6" x14ac:dyDescent="0.2">
      <c r="A26985" t="s">
        <v>42871</v>
      </c>
      <c r="B26985" t="s">
        <v>35389</v>
      </c>
      <c r="C26985" t="s">
        <v>1335</v>
      </c>
      <c r="D26985" t="s">
        <v>212</v>
      </c>
      <c r="E26985" t="s">
        <v>621</v>
      </c>
      <c r="F26985" s="2" t="str">
        <f>HYPERLINK("http://www.otzar.org/book.asp?83602","משפט הירושה")</f>
        <v>משפט הירושה</v>
      </c>
    </row>
    <row r="26986" spans="1:6" x14ac:dyDescent="0.2">
      <c r="A26986" t="s">
        <v>42872</v>
      </c>
      <c r="B26986" t="s">
        <v>42873</v>
      </c>
      <c r="C26986" t="s">
        <v>23</v>
      </c>
      <c r="D26986" t="s">
        <v>412</v>
      </c>
      <c r="E26986" t="s">
        <v>148</v>
      </c>
      <c r="F26986" s="2" t="str">
        <f>HYPERLINK("http://www.otzar.org/book.asp?600811","משפט הכהנים")</f>
        <v>משפט הכהנים</v>
      </c>
    </row>
    <row r="26987" spans="1:6" x14ac:dyDescent="0.2">
      <c r="A26987" t="s">
        <v>42874</v>
      </c>
      <c r="B26987" t="s">
        <v>42875</v>
      </c>
      <c r="C26987" t="s">
        <v>1535</v>
      </c>
      <c r="D26987" t="s">
        <v>1654</v>
      </c>
      <c r="F26987" s="2" t="str">
        <f>HYPERLINK("http://www.otzar.org/book.asp?600117","משפט הכותל")</f>
        <v>משפט הכותל</v>
      </c>
    </row>
    <row r="26988" spans="1:6" x14ac:dyDescent="0.2">
      <c r="A26988" t="s">
        <v>42876</v>
      </c>
      <c r="B26988" t="s">
        <v>42877</v>
      </c>
      <c r="C26988" t="s">
        <v>114</v>
      </c>
      <c r="D26988" t="s">
        <v>14</v>
      </c>
      <c r="E26988" t="s">
        <v>15</v>
      </c>
      <c r="F26988" s="2" t="str">
        <f>HYPERLINK("http://www.otzar.org/book.asp?612594","משפט הכתובה - 8 כר'")</f>
        <v>משפט הכתובה - 8 כר'</v>
      </c>
    </row>
    <row r="26989" spans="1:6" x14ac:dyDescent="0.2">
      <c r="A26989" t="s">
        <v>42878</v>
      </c>
      <c r="B26989" t="s">
        <v>42879</v>
      </c>
      <c r="C26989" t="s">
        <v>422</v>
      </c>
      <c r="D26989" t="s">
        <v>14</v>
      </c>
      <c r="E26989" t="s">
        <v>246</v>
      </c>
      <c r="F26989" s="2" t="str">
        <f>HYPERLINK("http://www.otzar.org/book.asp?194858","משפט הלילה")</f>
        <v>משפט הלילה</v>
      </c>
    </row>
    <row r="26990" spans="1:6" x14ac:dyDescent="0.2">
      <c r="A26990" t="s">
        <v>42880</v>
      </c>
      <c r="B26990" t="s">
        <v>42881</v>
      </c>
      <c r="C26990" t="s">
        <v>20</v>
      </c>
      <c r="D26990" t="s">
        <v>276</v>
      </c>
      <c r="E26990" t="s">
        <v>15</v>
      </c>
      <c r="F26990" s="2" t="str">
        <f>HYPERLINK("http://www.otzar.org/book.asp?605387","משפט המזיק - 2 כר'")</f>
        <v>משפט המזיק - 2 כר'</v>
      </c>
    </row>
    <row r="26991" spans="1:6" x14ac:dyDescent="0.2">
      <c r="A26991" t="s">
        <v>42882</v>
      </c>
      <c r="B26991" t="s">
        <v>27259</v>
      </c>
      <c r="C26991" t="s">
        <v>189</v>
      </c>
      <c r="D26991" t="s">
        <v>27</v>
      </c>
      <c r="E26991" t="s">
        <v>104</v>
      </c>
      <c r="F26991" s="2" t="str">
        <f>HYPERLINK("http://www.otzar.org/book.asp?155272","משפט המלוכה בישראל (מה' שניה מורחבת)")</f>
        <v>משפט המלוכה בישראל (מה' שניה מורחבת)</v>
      </c>
    </row>
    <row r="26992" spans="1:6" x14ac:dyDescent="0.2">
      <c r="A26992" t="s">
        <v>42883</v>
      </c>
      <c r="B26992" t="s">
        <v>24946</v>
      </c>
      <c r="C26992" t="s">
        <v>433</v>
      </c>
      <c r="D26992" t="s">
        <v>9</v>
      </c>
      <c r="E26992" t="s">
        <v>15</v>
      </c>
      <c r="F26992" s="2" t="str">
        <f>HYPERLINK("http://www.otzar.org/book.asp?101061","משפט המלוכה")</f>
        <v>משפט המלוכה</v>
      </c>
    </row>
    <row r="26993" spans="1:6" x14ac:dyDescent="0.2">
      <c r="A26993" t="s">
        <v>42884</v>
      </c>
      <c r="B26993" t="s">
        <v>42885</v>
      </c>
      <c r="C26993" t="s">
        <v>422</v>
      </c>
      <c r="D26993" t="s">
        <v>486</v>
      </c>
      <c r="E26993" t="s">
        <v>144</v>
      </c>
      <c r="F26993" s="2" t="str">
        <f>HYPERLINK("http://www.otzar.org/book.asp?148588","משפט המלך")</f>
        <v>משפט המלך</v>
      </c>
    </row>
    <row r="26994" spans="1:6" x14ac:dyDescent="0.2">
      <c r="A26994" t="s">
        <v>42886</v>
      </c>
      <c r="B26994" t="s">
        <v>7306</v>
      </c>
      <c r="C26994" t="s">
        <v>17</v>
      </c>
      <c r="D26994" t="s">
        <v>14</v>
      </c>
      <c r="E26994" t="s">
        <v>4738</v>
      </c>
      <c r="F26994" s="2" t="str">
        <f>HYPERLINK("http://www.otzar.org/book.asp?22795","משפט המלכים בתנ""ך")</f>
        <v>משפט המלכים בתנ"ך</v>
      </c>
    </row>
    <row r="26995" spans="1:6" x14ac:dyDescent="0.2">
      <c r="A26995" t="s">
        <v>42887</v>
      </c>
      <c r="B26995" t="s">
        <v>42888</v>
      </c>
      <c r="C26995" t="s">
        <v>366</v>
      </c>
      <c r="D26995" t="s">
        <v>14</v>
      </c>
      <c r="E26995" t="s">
        <v>172</v>
      </c>
      <c r="F26995" s="2" t="str">
        <f>HYPERLINK("http://www.otzar.org/book.asp?604525","משפט המציאה")</f>
        <v>משפט המציאה</v>
      </c>
    </row>
    <row r="26996" spans="1:6" x14ac:dyDescent="0.2">
      <c r="A26996" t="s">
        <v>42889</v>
      </c>
      <c r="B26996" t="s">
        <v>42890</v>
      </c>
      <c r="C26996" t="s">
        <v>111</v>
      </c>
      <c r="D26996" t="s">
        <v>152</v>
      </c>
      <c r="F26996" s="2" t="str">
        <f>HYPERLINK("http://www.otzar.org/book.asp?632211","משפט המצרנות")</f>
        <v>משפט המצרנות</v>
      </c>
    </row>
    <row r="26997" spans="1:6" x14ac:dyDescent="0.2">
      <c r="A26997" t="s">
        <v>42891</v>
      </c>
      <c r="B26997" t="s">
        <v>42892</v>
      </c>
      <c r="C26997" t="s">
        <v>143</v>
      </c>
      <c r="D26997" t="s">
        <v>115</v>
      </c>
      <c r="E26997" t="s">
        <v>803</v>
      </c>
      <c r="F26997" s="2" t="str">
        <f>HYPERLINK("http://www.otzar.org/book.asp?62140","משפט הנזיר")</f>
        <v>משפט הנזיר</v>
      </c>
    </row>
    <row r="26998" spans="1:6" x14ac:dyDescent="0.2">
      <c r="A26998" t="s">
        <v>42893</v>
      </c>
      <c r="B26998" t="s">
        <v>42894</v>
      </c>
      <c r="C26998" t="s">
        <v>51</v>
      </c>
      <c r="D26998" t="s">
        <v>52</v>
      </c>
      <c r="E26998" t="s">
        <v>172</v>
      </c>
      <c r="F26998" s="2" t="str">
        <f>HYPERLINK("http://www.otzar.org/book.asp?85504","משפט העדות")</f>
        <v>משפט העדות</v>
      </c>
    </row>
    <row r="26999" spans="1:6" x14ac:dyDescent="0.2">
      <c r="A26999" t="s">
        <v>42895</v>
      </c>
      <c r="B26999" t="s">
        <v>42896</v>
      </c>
      <c r="C26999" t="s">
        <v>313</v>
      </c>
      <c r="D26999" t="s">
        <v>14</v>
      </c>
      <c r="E26999" t="s">
        <v>148</v>
      </c>
      <c r="F26999" s="2" t="str">
        <f>HYPERLINK("http://www.otzar.org/book.asp?60156","משפט הערב")</f>
        <v>משפט הערב</v>
      </c>
    </row>
    <row r="27000" spans="1:6" x14ac:dyDescent="0.2">
      <c r="A27000" t="s">
        <v>42897</v>
      </c>
      <c r="B27000" t="s">
        <v>42898</v>
      </c>
      <c r="C27000" t="s">
        <v>129</v>
      </c>
      <c r="D27000" t="s">
        <v>486</v>
      </c>
      <c r="E27000" t="s">
        <v>15</v>
      </c>
      <c r="F27000" s="2" t="str">
        <f>HYPERLINK("http://www.otzar.org/book.asp?142401","משפט הפועלים")</f>
        <v>משפט הפועלים</v>
      </c>
    </row>
    <row r="27001" spans="1:6" x14ac:dyDescent="0.2">
      <c r="A27001" t="s">
        <v>42899</v>
      </c>
      <c r="B27001" t="s">
        <v>42900</v>
      </c>
      <c r="C27001" t="s">
        <v>151</v>
      </c>
      <c r="D27001" t="s">
        <v>1156</v>
      </c>
      <c r="F27001" s="2" t="str">
        <f>HYPERLINK("http://www.otzar.org/book.asp?622576","משפט הצוואה &lt;צוואות וירושות&gt; - 2 כר'")</f>
        <v>משפט הצוואה &lt;צוואות וירושות&gt; - 2 כר'</v>
      </c>
    </row>
    <row r="27002" spans="1:6" x14ac:dyDescent="0.2">
      <c r="A27002" t="s">
        <v>42901</v>
      </c>
      <c r="B27002" t="s">
        <v>42902</v>
      </c>
      <c r="C27002" t="s">
        <v>422</v>
      </c>
      <c r="D27002" t="s">
        <v>14</v>
      </c>
      <c r="E27002" t="s">
        <v>144</v>
      </c>
      <c r="F27002" s="2" t="str">
        <f>HYPERLINK("http://www.otzar.org/book.asp?156429","משפט הצנועין")</f>
        <v>משפט הצנועין</v>
      </c>
    </row>
    <row r="27003" spans="1:6" x14ac:dyDescent="0.2">
      <c r="A27003" t="s">
        <v>42903</v>
      </c>
      <c r="B27003" t="s">
        <v>42904</v>
      </c>
      <c r="C27003" t="s">
        <v>1885</v>
      </c>
      <c r="D27003" t="s">
        <v>5209</v>
      </c>
      <c r="E27003" t="s">
        <v>104</v>
      </c>
      <c r="F27003" s="2" t="str">
        <f>HYPERLINK("http://www.otzar.org/book.asp?11923","משפט הקורא")</f>
        <v>משפט הקורא</v>
      </c>
    </row>
    <row r="27004" spans="1:6" x14ac:dyDescent="0.2">
      <c r="A27004" t="s">
        <v>42905</v>
      </c>
      <c r="B27004" t="s">
        <v>8789</v>
      </c>
      <c r="C27004" t="s">
        <v>1169</v>
      </c>
      <c r="D27004" t="s">
        <v>14</v>
      </c>
      <c r="F27004" s="2" t="str">
        <f>HYPERLINK("http://www.otzar.org/book.asp?195000","משפט הקרבנות - 2 כר'")</f>
        <v>משפט הקרבנות - 2 כר'</v>
      </c>
    </row>
    <row r="27005" spans="1:6" x14ac:dyDescent="0.2">
      <c r="A27005" t="s">
        <v>42906</v>
      </c>
      <c r="B27005" t="s">
        <v>42855</v>
      </c>
      <c r="C27005" t="s">
        <v>133</v>
      </c>
      <c r="D27005" t="s">
        <v>16149</v>
      </c>
      <c r="E27005" t="s">
        <v>15</v>
      </c>
      <c r="F27005" s="2" t="str">
        <f>HYPERLINK("http://www.otzar.org/book.asp?183100","משפט הרבית")</f>
        <v>משפט הרבית</v>
      </c>
    </row>
    <row r="27006" spans="1:6" x14ac:dyDescent="0.2">
      <c r="A27006" t="s">
        <v>42907</v>
      </c>
      <c r="B27006" t="s">
        <v>42908</v>
      </c>
      <c r="C27006" t="s">
        <v>422</v>
      </c>
      <c r="D27006" t="s">
        <v>52</v>
      </c>
      <c r="F27006" s="2" t="str">
        <f>HYPERLINK("http://www.otzar.org/book.asp?157194","משפט הרוב")</f>
        <v>משפט הרוב</v>
      </c>
    </row>
    <row r="27007" spans="1:6" x14ac:dyDescent="0.2">
      <c r="A27007" t="s">
        <v>42909</v>
      </c>
      <c r="B27007" t="s">
        <v>38749</v>
      </c>
      <c r="C27007" t="s">
        <v>129</v>
      </c>
      <c r="D27007" t="s">
        <v>152</v>
      </c>
      <c r="E27007" t="s">
        <v>144</v>
      </c>
      <c r="F27007" s="2" t="str">
        <f>HYPERLINK("http://www.otzar.org/book.asp?151284","משפט השבועה")</f>
        <v>משפט השבועה</v>
      </c>
    </row>
    <row r="27008" spans="1:6" x14ac:dyDescent="0.2">
      <c r="A27008" t="s">
        <v>42909</v>
      </c>
      <c r="B27008" t="s">
        <v>4019</v>
      </c>
      <c r="C27008" t="s">
        <v>189</v>
      </c>
      <c r="D27008" t="s">
        <v>14</v>
      </c>
      <c r="E27008" t="s">
        <v>144</v>
      </c>
      <c r="F27008" s="2" t="str">
        <f>HYPERLINK("http://www.otzar.org/book.asp?168392","משפט השבועה")</f>
        <v>משפט השבועה</v>
      </c>
    </row>
    <row r="27009" spans="1:6" x14ac:dyDescent="0.2">
      <c r="A27009" t="s">
        <v>42910</v>
      </c>
      <c r="B27009" t="s">
        <v>42846</v>
      </c>
      <c r="C27009" t="s">
        <v>68</v>
      </c>
      <c r="D27009" t="s">
        <v>52</v>
      </c>
      <c r="E27009" t="s">
        <v>144</v>
      </c>
      <c r="F27009" s="2" t="str">
        <f>HYPERLINK("http://www.otzar.org/book.asp?85847","משפט השכנים")</f>
        <v>משפט השכנים</v>
      </c>
    </row>
    <row r="27010" spans="1:6" x14ac:dyDescent="0.2">
      <c r="A27010" t="s">
        <v>42911</v>
      </c>
      <c r="B27010" t="s">
        <v>18298</v>
      </c>
      <c r="C27010" t="s">
        <v>51</v>
      </c>
      <c r="D27010" t="s">
        <v>14</v>
      </c>
      <c r="E27010" t="s">
        <v>15</v>
      </c>
      <c r="F27010" s="2" t="str">
        <f>HYPERLINK("http://www.otzar.org/book.asp?161239","משפט השלום - בין שלום לגירושין")</f>
        <v>משפט השלום - בין שלום לגירושין</v>
      </c>
    </row>
    <row r="27011" spans="1:6" x14ac:dyDescent="0.2">
      <c r="A27011" t="s">
        <v>42912</v>
      </c>
      <c r="B27011" t="s">
        <v>42913</v>
      </c>
      <c r="C27011" t="s">
        <v>767</v>
      </c>
      <c r="D27011" t="s">
        <v>486</v>
      </c>
      <c r="E27011" t="s">
        <v>144</v>
      </c>
      <c r="F27011" s="2" t="str">
        <f>HYPERLINK("http://www.otzar.org/book.asp?53683","משפט התוספות")</f>
        <v>משפט התוספות</v>
      </c>
    </row>
    <row r="27012" spans="1:6" x14ac:dyDescent="0.2">
      <c r="A27012" t="s">
        <v>42914</v>
      </c>
      <c r="B27012" t="s">
        <v>9551</v>
      </c>
      <c r="C27012" t="s">
        <v>411</v>
      </c>
      <c r="D27012" t="s">
        <v>412</v>
      </c>
      <c r="E27012" t="s">
        <v>144</v>
      </c>
      <c r="F27012" s="2" t="str">
        <f>HYPERLINK("http://www.otzar.org/book.asp?603864","משפט התרועה")</f>
        <v>משפט התרועה</v>
      </c>
    </row>
    <row r="27013" spans="1:6" x14ac:dyDescent="0.2">
      <c r="A27013" t="s">
        <v>42915</v>
      </c>
      <c r="B27013" t="s">
        <v>29853</v>
      </c>
      <c r="C27013" t="s">
        <v>2644</v>
      </c>
      <c r="D27013" t="s">
        <v>27</v>
      </c>
      <c r="E27013" t="s">
        <v>733</v>
      </c>
      <c r="F27013" s="2" t="str">
        <f>HYPERLINK("http://www.otzar.org/book.asp?16967","משפט וצדק")</f>
        <v>משפט וצדק</v>
      </c>
    </row>
    <row r="27014" spans="1:6" x14ac:dyDescent="0.2">
      <c r="A27014" t="s">
        <v>42916</v>
      </c>
      <c r="B27014" t="s">
        <v>42917</v>
      </c>
      <c r="C27014" t="s">
        <v>26145</v>
      </c>
      <c r="D27014" t="s">
        <v>20205</v>
      </c>
      <c r="E27014" t="s">
        <v>154</v>
      </c>
      <c r="F27014" s="2" t="str">
        <f>HYPERLINK("http://www.otzar.org/book.asp?101024","משפט וצדקה ביעקב - 2 כר'")</f>
        <v>משפט וצדקה ביעקב - 2 כר'</v>
      </c>
    </row>
    <row r="27015" spans="1:6" x14ac:dyDescent="0.2">
      <c r="A27015" t="s">
        <v>42918</v>
      </c>
      <c r="B27015" t="s">
        <v>2152</v>
      </c>
      <c r="C27015" t="s">
        <v>114</v>
      </c>
      <c r="D27015" t="s">
        <v>52</v>
      </c>
      <c r="E27015" t="s">
        <v>345</v>
      </c>
      <c r="F27015" s="2" t="str">
        <f>HYPERLINK("http://www.otzar.org/book.asp?166057","משפט וצדקה - 2 כר'")</f>
        <v>משפט וצדקה - 2 כר'</v>
      </c>
    </row>
    <row r="27016" spans="1:6" x14ac:dyDescent="0.2">
      <c r="A27016" t="s">
        <v>42919</v>
      </c>
      <c r="B27016" t="s">
        <v>42920</v>
      </c>
      <c r="C27016" t="s">
        <v>133</v>
      </c>
      <c r="D27016" t="s">
        <v>412</v>
      </c>
      <c r="E27016" t="s">
        <v>154</v>
      </c>
      <c r="F27016" s="2" t="str">
        <f>HYPERLINK("http://www.otzar.org/book.asp?604774","משפט יהודה - 3 כר'")</f>
        <v>משפט יהודה - 3 כר'</v>
      </c>
    </row>
    <row r="27017" spans="1:6" x14ac:dyDescent="0.2">
      <c r="A27017" t="s">
        <v>42921</v>
      </c>
      <c r="B27017" t="s">
        <v>26442</v>
      </c>
      <c r="C27017" t="s">
        <v>506</v>
      </c>
      <c r="D27017" t="s">
        <v>995</v>
      </c>
      <c r="E27017" t="s">
        <v>2775</v>
      </c>
      <c r="F27017" s="2" t="str">
        <f>HYPERLINK("http://www.otzar.org/book.asp?101492","משפט ירושת משרה")</f>
        <v>משפט ירושת משרה</v>
      </c>
    </row>
    <row r="27018" spans="1:6" x14ac:dyDescent="0.2">
      <c r="A27018" t="s">
        <v>42922</v>
      </c>
      <c r="B27018" t="s">
        <v>42923</v>
      </c>
      <c r="C27018" t="s">
        <v>411</v>
      </c>
      <c r="D27018" t="s">
        <v>1156</v>
      </c>
      <c r="E27018" t="s">
        <v>172</v>
      </c>
      <c r="F27018" s="2" t="str">
        <f>HYPERLINK("http://www.otzar.org/book.asp?170031","משפט ישועות")</f>
        <v>משפט ישועות</v>
      </c>
    </row>
    <row r="27019" spans="1:6" x14ac:dyDescent="0.2">
      <c r="A27019" t="s">
        <v>42924</v>
      </c>
      <c r="B27019" t="s">
        <v>42925</v>
      </c>
      <c r="C27019" t="s">
        <v>133</v>
      </c>
      <c r="D27019" t="s">
        <v>646</v>
      </c>
      <c r="E27019" t="s">
        <v>172</v>
      </c>
      <c r="F27019" s="2" t="str">
        <f>HYPERLINK("http://www.otzar.org/book.asp?605389","משפט כהלכה - 2 כר'")</f>
        <v>משפט כהלכה - 2 כר'</v>
      </c>
    </row>
    <row r="27020" spans="1:6" x14ac:dyDescent="0.2">
      <c r="A27020" t="s">
        <v>42926</v>
      </c>
      <c r="B27020" t="s">
        <v>42927</v>
      </c>
      <c r="C27020" t="s">
        <v>23</v>
      </c>
      <c r="D27020" t="s">
        <v>14591</v>
      </c>
      <c r="E27020" t="s">
        <v>15</v>
      </c>
      <c r="F27020" s="2" t="str">
        <f>HYPERLINK("http://www.otzar.org/book.asp?605971","משפט כתוב")</f>
        <v>משפט כתוב</v>
      </c>
    </row>
    <row r="27021" spans="1:6" x14ac:dyDescent="0.2">
      <c r="A27021" t="s">
        <v>42926</v>
      </c>
      <c r="B27021" t="s">
        <v>23129</v>
      </c>
      <c r="C27021" t="s">
        <v>1448</v>
      </c>
      <c r="D27021" t="s">
        <v>52</v>
      </c>
      <c r="E27021" t="s">
        <v>588</v>
      </c>
      <c r="F27021" s="2" t="str">
        <f>HYPERLINK("http://www.otzar.org/book.asp?51101","משפט כתוב")</f>
        <v>משפט כתוב</v>
      </c>
    </row>
    <row r="27022" spans="1:6" x14ac:dyDescent="0.2">
      <c r="A27022" t="s">
        <v>42926</v>
      </c>
      <c r="B27022" t="s">
        <v>7266</v>
      </c>
      <c r="C27022" t="s">
        <v>6448</v>
      </c>
      <c r="D27022" t="s">
        <v>76</v>
      </c>
      <c r="E27022" t="s">
        <v>172</v>
      </c>
      <c r="F27022" s="2" t="str">
        <f>HYPERLINK("http://www.otzar.org/book.asp?100301","משפט כתוב")</f>
        <v>משפט כתוב</v>
      </c>
    </row>
    <row r="27023" spans="1:6" x14ac:dyDescent="0.2">
      <c r="A27023" t="s">
        <v>42928</v>
      </c>
      <c r="B27023" t="s">
        <v>42929</v>
      </c>
      <c r="C27023" t="s">
        <v>42930</v>
      </c>
      <c r="D27023" t="s">
        <v>76</v>
      </c>
      <c r="E27023" t="s">
        <v>241</v>
      </c>
      <c r="F27023" s="2" t="str">
        <f>HYPERLINK("http://www.otzar.org/book.asp?189478","משפט ליעקב - ב")</f>
        <v>משפט ליעקב - ב</v>
      </c>
    </row>
    <row r="27024" spans="1:6" x14ac:dyDescent="0.2">
      <c r="A27024" t="s">
        <v>42931</v>
      </c>
      <c r="B27024" t="s">
        <v>441</v>
      </c>
      <c r="C27024" t="s">
        <v>985</v>
      </c>
      <c r="D27024" t="s">
        <v>9</v>
      </c>
      <c r="E27024" t="s">
        <v>148</v>
      </c>
      <c r="F27024" s="2" t="str">
        <f>HYPERLINK("http://www.otzar.org/book.asp?101062","משפט ליעקב")</f>
        <v>משפט ליעקב</v>
      </c>
    </row>
    <row r="27025" spans="1:6" x14ac:dyDescent="0.2">
      <c r="A27025" t="s">
        <v>42932</v>
      </c>
      <c r="B27025" t="s">
        <v>42933</v>
      </c>
      <c r="C27025" t="s">
        <v>445</v>
      </c>
      <c r="D27025" t="s">
        <v>42934</v>
      </c>
      <c r="E27025" t="s">
        <v>119</v>
      </c>
      <c r="F27025" s="2" t="str">
        <f>HYPERLINK("http://www.otzar.org/book.asp?189477","משפט לעשוקים")</f>
        <v>משפט לעשוקים</v>
      </c>
    </row>
    <row r="27026" spans="1:6" x14ac:dyDescent="0.2">
      <c r="A27026" t="s">
        <v>42935</v>
      </c>
      <c r="B27026" t="s">
        <v>42936</v>
      </c>
      <c r="C27026" t="s">
        <v>617</v>
      </c>
      <c r="D27026" t="s">
        <v>1279</v>
      </c>
      <c r="E27026" t="s">
        <v>18606</v>
      </c>
      <c r="F27026" s="2" t="str">
        <f>HYPERLINK("http://www.otzar.org/book.asp?104114","משפט מחוקק")</f>
        <v>משפט מחוקק</v>
      </c>
    </row>
    <row r="27027" spans="1:6" x14ac:dyDescent="0.2">
      <c r="A27027" t="s">
        <v>42937</v>
      </c>
      <c r="B27027" t="s">
        <v>37887</v>
      </c>
      <c r="C27027" t="s">
        <v>985</v>
      </c>
      <c r="D27027" t="s">
        <v>27</v>
      </c>
      <c r="E27027" t="s">
        <v>144</v>
      </c>
      <c r="F27027" s="2" t="str">
        <f>HYPERLINK("http://www.otzar.org/book.asp?156145","משפט עם הארץ")</f>
        <v>משפט עם הארץ</v>
      </c>
    </row>
    <row r="27028" spans="1:6" x14ac:dyDescent="0.2">
      <c r="A27028" t="s">
        <v>42938</v>
      </c>
      <c r="B27028" t="s">
        <v>11254</v>
      </c>
      <c r="C27028" t="s">
        <v>454</v>
      </c>
      <c r="D27028" t="s">
        <v>11626</v>
      </c>
      <c r="E27028" t="s">
        <v>172</v>
      </c>
      <c r="F27028" s="2" t="str">
        <f>HYPERLINK("http://www.otzar.org/book.asp?64364","משפט ערוך - 6 כר'")</f>
        <v>משפט ערוך - 6 כר'</v>
      </c>
    </row>
    <row r="27029" spans="1:6" x14ac:dyDescent="0.2">
      <c r="A27029" t="s">
        <v>42939</v>
      </c>
      <c r="B27029" t="s">
        <v>42940</v>
      </c>
      <c r="C27029" t="s">
        <v>553</v>
      </c>
      <c r="D27029" t="s">
        <v>80</v>
      </c>
      <c r="E27029" t="s">
        <v>241</v>
      </c>
      <c r="F27029" s="2" t="str">
        <f>HYPERLINK("http://www.otzar.org/book.asp?600311","משפט צדק &lt;מהדורה חדשה&gt;")</f>
        <v>משפט צדק &lt;מהדורה חדשה&gt;</v>
      </c>
    </row>
    <row r="27030" spans="1:6" x14ac:dyDescent="0.2">
      <c r="A27030" t="s">
        <v>42941</v>
      </c>
      <c r="B27030" t="s">
        <v>42942</v>
      </c>
      <c r="C27030" t="s">
        <v>114</v>
      </c>
      <c r="D27030" t="s">
        <v>14</v>
      </c>
      <c r="E27030" t="s">
        <v>15</v>
      </c>
      <c r="F27030" s="2" t="str">
        <f>HYPERLINK("http://www.otzar.org/book.asp?160459","משפט צדק")</f>
        <v>משפט צדק</v>
      </c>
    </row>
    <row r="27031" spans="1:6" x14ac:dyDescent="0.2">
      <c r="A27031" t="s">
        <v>42943</v>
      </c>
      <c r="B27031" t="s">
        <v>42944</v>
      </c>
      <c r="C27031" t="s">
        <v>42945</v>
      </c>
      <c r="D27031" t="s">
        <v>76</v>
      </c>
      <c r="E27031" t="s">
        <v>154</v>
      </c>
      <c r="F27031" s="2" t="str">
        <f>HYPERLINK("http://www.otzar.org/book.asp?15351","משפט צדק - 5 כר'")</f>
        <v>משפט צדק - 5 כר'</v>
      </c>
    </row>
    <row r="27032" spans="1:6" x14ac:dyDescent="0.2">
      <c r="A27032" t="s">
        <v>42941</v>
      </c>
      <c r="B27032" t="s">
        <v>42940</v>
      </c>
      <c r="C27032" t="s">
        <v>1458</v>
      </c>
      <c r="D27032" t="s">
        <v>1279</v>
      </c>
      <c r="E27032" t="s">
        <v>16148</v>
      </c>
      <c r="F27032" s="2" t="str">
        <f>HYPERLINK("http://www.otzar.org/book.asp?5494","משפט צדק")</f>
        <v>משפט צדק</v>
      </c>
    </row>
    <row r="27033" spans="1:6" x14ac:dyDescent="0.2">
      <c r="A27033" t="s">
        <v>42941</v>
      </c>
      <c r="B27033" t="s">
        <v>895</v>
      </c>
      <c r="C27033" t="s">
        <v>503</v>
      </c>
      <c r="D27033" t="s">
        <v>379</v>
      </c>
      <c r="E27033" t="s">
        <v>508</v>
      </c>
      <c r="F27033" s="2" t="str">
        <f>HYPERLINK("http://www.otzar.org/book.asp?101023","משפט צדק")</f>
        <v>משפט צדק</v>
      </c>
    </row>
    <row r="27034" spans="1:6" x14ac:dyDescent="0.2">
      <c r="A27034" t="s">
        <v>42941</v>
      </c>
      <c r="B27034" t="s">
        <v>42946</v>
      </c>
      <c r="C27034" t="s">
        <v>473</v>
      </c>
      <c r="D27034" t="s">
        <v>855</v>
      </c>
      <c r="E27034" t="s">
        <v>588</v>
      </c>
      <c r="F27034" s="2" t="str">
        <f>HYPERLINK("http://www.otzar.org/book.asp?151639","משפט צדק")</f>
        <v>משפט צדק</v>
      </c>
    </row>
    <row r="27035" spans="1:6" x14ac:dyDescent="0.2">
      <c r="A27035" t="s">
        <v>42947</v>
      </c>
      <c r="B27035" t="s">
        <v>42948</v>
      </c>
      <c r="C27035" t="s">
        <v>129</v>
      </c>
      <c r="D27035" t="s">
        <v>14</v>
      </c>
      <c r="E27035" t="s">
        <v>144</v>
      </c>
      <c r="F27035" s="2" t="str">
        <f>HYPERLINK("http://www.otzar.org/book.asp?155800","משפט קלב""ם")</f>
        <v>משפט קלב"ם</v>
      </c>
    </row>
    <row r="27036" spans="1:6" x14ac:dyDescent="0.2">
      <c r="A27036" t="s">
        <v>42949</v>
      </c>
      <c r="B27036" t="s">
        <v>42950</v>
      </c>
      <c r="C27036" t="s">
        <v>37</v>
      </c>
      <c r="D27036" t="s">
        <v>412</v>
      </c>
      <c r="E27036" t="s">
        <v>15</v>
      </c>
      <c r="F27036" s="2" t="str">
        <f>HYPERLINK("http://www.otzar.org/book.asp?606111","משפט שי")</f>
        <v>משפט שי</v>
      </c>
    </row>
    <row r="27037" spans="1:6" x14ac:dyDescent="0.2">
      <c r="A27037" t="s">
        <v>42951</v>
      </c>
      <c r="B27037" t="s">
        <v>13596</v>
      </c>
      <c r="C27037" t="s">
        <v>888</v>
      </c>
      <c r="D27037" t="s">
        <v>225</v>
      </c>
      <c r="E27037" t="s">
        <v>837</v>
      </c>
      <c r="F27037" s="2" t="str">
        <f>HYPERLINK("http://www.otzar.org/book.asp?8346","משפט שלום")</f>
        <v>משפט שלום</v>
      </c>
    </row>
    <row r="27038" spans="1:6" x14ac:dyDescent="0.2">
      <c r="A27038" t="s">
        <v>42952</v>
      </c>
      <c r="B27038" t="s">
        <v>42953</v>
      </c>
      <c r="C27038" t="s">
        <v>411</v>
      </c>
      <c r="D27038" t="s">
        <v>52</v>
      </c>
      <c r="E27038" t="s">
        <v>104</v>
      </c>
      <c r="F27038" s="2" t="str">
        <f>HYPERLINK("http://www.otzar.org/book.asp?182376","משפט שלמה - 2 כר'")</f>
        <v>משפט שלמה - 2 כר'</v>
      </c>
    </row>
    <row r="27039" spans="1:6" x14ac:dyDescent="0.2">
      <c r="A27039" t="s">
        <v>42954</v>
      </c>
      <c r="B27039" t="s">
        <v>22172</v>
      </c>
      <c r="C27039" t="s">
        <v>176</v>
      </c>
      <c r="D27039" t="s">
        <v>14</v>
      </c>
      <c r="E27039" t="s">
        <v>10</v>
      </c>
      <c r="F27039" s="2" t="str">
        <f>HYPERLINK("http://www.otzar.org/book.asp?23403","משפט שלמה - 4 כר'")</f>
        <v>משפט שלמה - 4 כר'</v>
      </c>
    </row>
    <row r="27040" spans="1:6" x14ac:dyDescent="0.2">
      <c r="A27040" t="s">
        <v>42955</v>
      </c>
      <c r="B27040" t="s">
        <v>42956</v>
      </c>
      <c r="C27040" t="s">
        <v>411</v>
      </c>
      <c r="D27040" t="s">
        <v>14</v>
      </c>
      <c r="E27040" t="s">
        <v>172</v>
      </c>
      <c r="F27040" s="2" t="str">
        <f>HYPERLINK("http://www.otzar.org/book.asp?167116","משפטי אביעזרי")</f>
        <v>משפטי אביעזרי</v>
      </c>
    </row>
    <row r="27041" spans="1:6" x14ac:dyDescent="0.2">
      <c r="A27041" t="s">
        <v>42957</v>
      </c>
      <c r="B27041" t="s">
        <v>42958</v>
      </c>
      <c r="C27041" t="s">
        <v>244</v>
      </c>
      <c r="D27041" t="s">
        <v>6853</v>
      </c>
      <c r="F27041" s="2" t="str">
        <f>HYPERLINK("http://www.otzar.org/book.asp?603173","משפטי אברהם")</f>
        <v>משפטי אברהם</v>
      </c>
    </row>
    <row r="27042" spans="1:6" x14ac:dyDescent="0.2">
      <c r="A27042" t="s">
        <v>42959</v>
      </c>
      <c r="B27042" t="s">
        <v>42960</v>
      </c>
      <c r="E27042" t="s">
        <v>154</v>
      </c>
      <c r="F27042" s="2" t="str">
        <f>HYPERLINK("http://www.otzar.org/book.asp?622734","משפטי אהרן")</f>
        <v>משפטי אהרן</v>
      </c>
    </row>
    <row r="27043" spans="1:6" x14ac:dyDescent="0.2">
      <c r="A27043" t="s">
        <v>42961</v>
      </c>
      <c r="B27043" t="s">
        <v>42962</v>
      </c>
      <c r="C27043" t="s">
        <v>237</v>
      </c>
      <c r="D27043" t="s">
        <v>27</v>
      </c>
      <c r="E27043" t="s">
        <v>15</v>
      </c>
      <c r="F27043" s="2" t="str">
        <f>HYPERLINK("http://www.otzar.org/book.asp?144645","משפטי אישות")</f>
        <v>משפטי אישות</v>
      </c>
    </row>
    <row r="27044" spans="1:6" x14ac:dyDescent="0.2">
      <c r="A27044" t="s">
        <v>42963</v>
      </c>
      <c r="B27044" t="s">
        <v>6020</v>
      </c>
      <c r="C27044" t="s">
        <v>71</v>
      </c>
      <c r="D27044" t="s">
        <v>14</v>
      </c>
      <c r="E27044" t="s">
        <v>154</v>
      </c>
      <c r="F27044" s="2" t="str">
        <f>HYPERLINK("http://www.otzar.org/book.asp?171912","משפטי אליהו - 3 כר'")</f>
        <v>משפטי אליהו - 3 כר'</v>
      </c>
    </row>
    <row r="27045" spans="1:6" x14ac:dyDescent="0.2">
      <c r="A27045" t="s">
        <v>42964</v>
      </c>
      <c r="B27045" t="s">
        <v>42965</v>
      </c>
      <c r="C27045" t="s">
        <v>313</v>
      </c>
      <c r="D27045" t="s">
        <v>14</v>
      </c>
      <c r="E27045" t="s">
        <v>144</v>
      </c>
      <c r="F27045" s="2" t="str">
        <f>HYPERLINK("http://www.otzar.org/book.asp?149792","משפטי אלימלך - 7 כר'")</f>
        <v>משפטי אלימלך - 7 כר'</v>
      </c>
    </row>
    <row r="27046" spans="1:6" x14ac:dyDescent="0.2">
      <c r="A27046" t="s">
        <v>42966</v>
      </c>
      <c r="B27046" t="s">
        <v>5567</v>
      </c>
      <c r="C27046" t="s">
        <v>87</v>
      </c>
      <c r="D27046" t="s">
        <v>21</v>
      </c>
      <c r="E27046" t="s">
        <v>172</v>
      </c>
      <c r="F27046" s="2" t="str">
        <f>HYPERLINK("http://www.otzar.org/book.asp?191476","משפטי אמת")</f>
        <v>משפטי אמת</v>
      </c>
    </row>
    <row r="27047" spans="1:6" x14ac:dyDescent="0.2">
      <c r="A27047" t="s">
        <v>42967</v>
      </c>
      <c r="B27047" t="s">
        <v>13125</v>
      </c>
      <c r="C27047" t="s">
        <v>411</v>
      </c>
      <c r="D27047" t="s">
        <v>14</v>
      </c>
      <c r="F27047" s="2" t="str">
        <f>HYPERLINK("http://www.otzar.org/book.asp?630758","משפטי אמת - 2 כר'")</f>
        <v>משפטי אמת - 2 כר'</v>
      </c>
    </row>
    <row r="27048" spans="1:6" x14ac:dyDescent="0.2">
      <c r="A27048" t="s">
        <v>42968</v>
      </c>
      <c r="B27048" t="s">
        <v>42969</v>
      </c>
      <c r="C27048" t="s">
        <v>63</v>
      </c>
      <c r="D27048" t="s">
        <v>216</v>
      </c>
      <c r="E27048" t="s">
        <v>41096</v>
      </c>
      <c r="F27048" s="2" t="str">
        <f>HYPERLINK("http://www.otzar.org/book.asp?100478","משפטי אמת - 4 כר'")</f>
        <v>משפטי אמת - 4 כר'</v>
      </c>
    </row>
    <row r="27049" spans="1:6" x14ac:dyDescent="0.2">
      <c r="A27049" t="s">
        <v>42970</v>
      </c>
      <c r="B27049" t="s">
        <v>38454</v>
      </c>
      <c r="C27049" t="s">
        <v>442</v>
      </c>
      <c r="D27049" t="s">
        <v>27</v>
      </c>
      <c r="E27049" t="s">
        <v>733</v>
      </c>
      <c r="F27049" s="2" t="str">
        <f>HYPERLINK("http://www.otzar.org/book.asp?60672","משפטי בני אדם - 5 כר'")</f>
        <v>משפטי בני אדם - 5 כר'</v>
      </c>
    </row>
    <row r="27050" spans="1:6" x14ac:dyDescent="0.2">
      <c r="A27050" t="s">
        <v>42971</v>
      </c>
      <c r="B27050" t="s">
        <v>42972</v>
      </c>
      <c r="C27050" t="s">
        <v>473</v>
      </c>
      <c r="D27050" t="s">
        <v>225</v>
      </c>
      <c r="E27050" t="s">
        <v>733</v>
      </c>
      <c r="F27050" s="2" t="str">
        <f>HYPERLINK("http://www.otzar.org/book.asp?51705","משפטי ה'")</f>
        <v>משפטי ה'</v>
      </c>
    </row>
    <row r="27051" spans="1:6" x14ac:dyDescent="0.2">
      <c r="A27051" t="s">
        <v>42973</v>
      </c>
      <c r="B27051" t="s">
        <v>42974</v>
      </c>
      <c r="C27051" t="s">
        <v>37</v>
      </c>
      <c r="D27051" t="s">
        <v>52</v>
      </c>
      <c r="E27051" t="s">
        <v>202</v>
      </c>
      <c r="F27051" s="2" t="str">
        <f>HYPERLINK("http://www.otzar.org/book.asp?189314","משפטי ה' - ב")</f>
        <v>משפטי ה' - ב</v>
      </c>
    </row>
    <row r="27052" spans="1:6" x14ac:dyDescent="0.2">
      <c r="A27052" t="s">
        <v>42975</v>
      </c>
      <c r="B27052" t="s">
        <v>42976</v>
      </c>
      <c r="C27052" t="s">
        <v>366</v>
      </c>
      <c r="D27052" t="s">
        <v>52</v>
      </c>
      <c r="F27052" s="2" t="str">
        <f>HYPERLINK("http://www.otzar.org/book.asp?632851","משפטי הבשן - 4 כר'")</f>
        <v>משפטי הבשן - 4 כר'</v>
      </c>
    </row>
    <row r="27053" spans="1:6" x14ac:dyDescent="0.2">
      <c r="A27053" t="s">
        <v>42977</v>
      </c>
      <c r="B27053" t="s">
        <v>42978</v>
      </c>
      <c r="C27053" t="s">
        <v>176</v>
      </c>
      <c r="D27053" t="s">
        <v>14</v>
      </c>
      <c r="E27053" t="s">
        <v>15</v>
      </c>
      <c r="F27053" s="2" t="str">
        <f>HYPERLINK("http://www.otzar.org/book.asp?51599","משפטי הדעת")</f>
        <v>משפטי הדעת</v>
      </c>
    </row>
    <row r="27054" spans="1:6" x14ac:dyDescent="0.2">
      <c r="A27054" t="s">
        <v>42979</v>
      </c>
      <c r="B27054" t="s">
        <v>42980</v>
      </c>
      <c r="C27054" t="s">
        <v>129</v>
      </c>
      <c r="D27054" t="s">
        <v>14</v>
      </c>
      <c r="E27054" t="s">
        <v>172</v>
      </c>
      <c r="F27054" s="2" t="str">
        <f>HYPERLINK("http://www.otzar.org/book.asp?53208","משפטי החושן - 2 כר'")</f>
        <v>משפטי החושן - 2 כר'</v>
      </c>
    </row>
    <row r="27055" spans="1:6" x14ac:dyDescent="0.2">
      <c r="A27055" t="s">
        <v>42981</v>
      </c>
      <c r="B27055" t="s">
        <v>15537</v>
      </c>
      <c r="C27055" t="s">
        <v>466</v>
      </c>
      <c r="D27055" t="s">
        <v>90</v>
      </c>
      <c r="E27055" t="s">
        <v>158</v>
      </c>
      <c r="F27055" s="2" t="str">
        <f>HYPERLINK("http://www.otzar.org/book.asp?160305","משפטי החן")</f>
        <v>משפטי החן</v>
      </c>
    </row>
    <row r="27056" spans="1:6" x14ac:dyDescent="0.2">
      <c r="A27056" t="s">
        <v>42982</v>
      </c>
      <c r="B27056" t="s">
        <v>42982</v>
      </c>
      <c r="C27056" t="s">
        <v>19747</v>
      </c>
      <c r="D27056" t="s">
        <v>1490</v>
      </c>
      <c r="F27056" s="2" t="str">
        <f>HYPERLINK("http://www.otzar.org/book.asp?170248","משפטי החרם והנדוי והנזיפה")</f>
        <v>משפטי החרם והנדוי והנזיפה</v>
      </c>
    </row>
    <row r="27057" spans="1:6" x14ac:dyDescent="0.2">
      <c r="A27057" t="s">
        <v>42983</v>
      </c>
      <c r="B27057" t="s">
        <v>36105</v>
      </c>
      <c r="C27057" t="s">
        <v>2970</v>
      </c>
      <c r="D27057" t="s">
        <v>6801</v>
      </c>
      <c r="E27057" t="s">
        <v>104</v>
      </c>
      <c r="F27057" s="2" t="str">
        <f>HYPERLINK("http://www.otzar.org/book.asp?20305","משפטי הטעמים")</f>
        <v>משפטי הטעמים</v>
      </c>
    </row>
    <row r="27058" spans="1:6" x14ac:dyDescent="0.2">
      <c r="A27058" t="s">
        <v>42984</v>
      </c>
      <c r="B27058" t="s">
        <v>531</v>
      </c>
      <c r="C27058" t="s">
        <v>919</v>
      </c>
      <c r="D27058" t="s">
        <v>14</v>
      </c>
      <c r="E27058" t="s">
        <v>104</v>
      </c>
      <c r="F27058" s="2" t="str">
        <f>HYPERLINK("http://www.otzar.org/book.asp?13451","משפטי הכוכבים - ספר המאורות")</f>
        <v>משפטי הכוכבים - ספר המאורות</v>
      </c>
    </row>
    <row r="27059" spans="1:6" x14ac:dyDescent="0.2">
      <c r="A27059" t="s">
        <v>42985</v>
      </c>
      <c r="B27059" t="s">
        <v>42986</v>
      </c>
      <c r="C27059" t="s">
        <v>124</v>
      </c>
      <c r="D27059" t="s">
        <v>14</v>
      </c>
      <c r="E27059" t="s">
        <v>15</v>
      </c>
      <c r="F27059" s="2" t="str">
        <f>HYPERLINK("http://www.otzar.org/book.asp?103878","משפטי הכתובה")</f>
        <v>משפטי הכתובה</v>
      </c>
    </row>
    <row r="27060" spans="1:6" x14ac:dyDescent="0.2">
      <c r="A27060" t="s">
        <v>42987</v>
      </c>
      <c r="B27060" t="s">
        <v>42988</v>
      </c>
      <c r="C27060" t="s">
        <v>624</v>
      </c>
      <c r="D27060" t="s">
        <v>52</v>
      </c>
      <c r="E27060" t="s">
        <v>15</v>
      </c>
      <c r="F27060" s="2" t="str">
        <f>HYPERLINK("http://www.otzar.org/book.asp?107321","משפטי הלוי - 7 כר'")</f>
        <v>משפטי הלוי - 7 כר'</v>
      </c>
    </row>
    <row r="27061" spans="1:6" x14ac:dyDescent="0.2">
      <c r="A27061" t="s">
        <v>42989</v>
      </c>
      <c r="B27061" t="s">
        <v>1821</v>
      </c>
      <c r="C27061" t="s">
        <v>603</v>
      </c>
      <c r="D27061" t="s">
        <v>56</v>
      </c>
      <c r="E27061" t="s">
        <v>104</v>
      </c>
      <c r="F27061" s="2" t="str">
        <f>HYPERLINK("http://www.otzar.org/book.asp?173157","משפטי הלשון העברית")</f>
        <v>משפטי הלשון העברית</v>
      </c>
    </row>
    <row r="27062" spans="1:6" x14ac:dyDescent="0.2">
      <c r="A27062" t="s">
        <v>42990</v>
      </c>
      <c r="B27062" t="s">
        <v>42991</v>
      </c>
      <c r="C27062" t="s">
        <v>523</v>
      </c>
      <c r="D27062" t="s">
        <v>52</v>
      </c>
      <c r="E27062" t="s">
        <v>144</v>
      </c>
      <c r="F27062" s="2" t="str">
        <f>HYPERLINK("http://www.otzar.org/book.asp?60280","משפטי המיגו")</f>
        <v>משפטי המיגו</v>
      </c>
    </row>
    <row r="27063" spans="1:6" x14ac:dyDescent="0.2">
      <c r="A27063" t="s">
        <v>42992</v>
      </c>
      <c r="B27063" t="s">
        <v>42993</v>
      </c>
      <c r="C27063" t="s">
        <v>23</v>
      </c>
      <c r="D27063" t="s">
        <v>245</v>
      </c>
      <c r="F27063" s="2" t="str">
        <f>HYPERLINK("http://www.otzar.org/book.asp?610057","משפטי המלך - ברית מילה")</f>
        <v>משפטי המלך - ברית מילה</v>
      </c>
    </row>
    <row r="27064" spans="1:6" x14ac:dyDescent="0.2">
      <c r="A27064" t="s">
        <v>42994</v>
      </c>
      <c r="B27064" t="s">
        <v>42991</v>
      </c>
      <c r="C27064" t="s">
        <v>454</v>
      </c>
      <c r="D27064" t="s">
        <v>52</v>
      </c>
      <c r="E27064" t="s">
        <v>148</v>
      </c>
      <c r="F27064" s="2" t="str">
        <f>HYPERLINK("http://www.otzar.org/book.asp?60112","משפטי הממון - 4 כר'")</f>
        <v>משפטי הממון - 4 כר'</v>
      </c>
    </row>
    <row r="27065" spans="1:6" x14ac:dyDescent="0.2">
      <c r="A27065" t="s">
        <v>42995</v>
      </c>
      <c r="B27065" t="s">
        <v>22749</v>
      </c>
      <c r="C27065" t="s">
        <v>151</v>
      </c>
      <c r="D27065" t="s">
        <v>52</v>
      </c>
      <c r="E27065" t="s">
        <v>15</v>
      </c>
      <c r="F27065" s="2" t="str">
        <f>HYPERLINK("http://www.otzar.org/book.asp?617943","משפטי הנישואין")</f>
        <v>משפטי הנישואין</v>
      </c>
    </row>
    <row r="27066" spans="1:6" x14ac:dyDescent="0.2">
      <c r="A27066" t="s">
        <v>42996</v>
      </c>
      <c r="B27066" t="s">
        <v>8365</v>
      </c>
      <c r="C27066" t="s">
        <v>71</v>
      </c>
      <c r="D27066" t="s">
        <v>21</v>
      </c>
      <c r="E27066" t="s">
        <v>15</v>
      </c>
      <c r="F27066" s="2" t="str">
        <f>HYPERLINK("http://www.otzar.org/book.asp?192599","משפטי השכנים")</f>
        <v>משפטי השכנים</v>
      </c>
    </row>
    <row r="27067" spans="1:6" x14ac:dyDescent="0.2">
      <c r="A27067" t="s">
        <v>42997</v>
      </c>
      <c r="B27067" t="s">
        <v>11265</v>
      </c>
      <c r="C27067" t="s">
        <v>189</v>
      </c>
      <c r="D27067" t="s">
        <v>14</v>
      </c>
      <c r="F27067" s="2" t="str">
        <f>HYPERLINK("http://www.otzar.org/book.asp?151280","משפטי השלום")</f>
        <v>משפטי השלום</v>
      </c>
    </row>
    <row r="27068" spans="1:6" x14ac:dyDescent="0.2">
      <c r="A27068" t="s">
        <v>42998</v>
      </c>
      <c r="B27068" t="s">
        <v>37858</v>
      </c>
      <c r="C27068" t="s">
        <v>189</v>
      </c>
      <c r="D27068" t="s">
        <v>14</v>
      </c>
      <c r="E27068" t="s">
        <v>803</v>
      </c>
      <c r="F27068" s="2" t="str">
        <f>HYPERLINK("http://www.otzar.org/book.asp?26535","משפטי השליחות")</f>
        <v>משפטי השליחות</v>
      </c>
    </row>
    <row r="27069" spans="1:6" x14ac:dyDescent="0.2">
      <c r="A27069" t="s">
        <v>42999</v>
      </c>
      <c r="B27069" t="s">
        <v>43000</v>
      </c>
      <c r="C27069" t="s">
        <v>189</v>
      </c>
      <c r="D27069" t="s">
        <v>657</v>
      </c>
      <c r="E27069" t="s">
        <v>172</v>
      </c>
      <c r="F27069" s="2" t="str">
        <f>HYPERLINK("http://www.otzar.org/book.asp?160067","משפטי השם - 5 כר'")</f>
        <v>משפטי השם - 5 כר'</v>
      </c>
    </row>
    <row r="27070" spans="1:6" x14ac:dyDescent="0.2">
      <c r="A27070" t="s">
        <v>43001</v>
      </c>
      <c r="B27070" t="s">
        <v>38975</v>
      </c>
      <c r="C27070" t="s">
        <v>111</v>
      </c>
      <c r="D27070" t="s">
        <v>14</v>
      </c>
      <c r="E27070" t="s">
        <v>10</v>
      </c>
      <c r="F27070" s="2" t="str">
        <f>HYPERLINK("http://www.otzar.org/book.asp?622262","משפטי התורה - 6 כר'")</f>
        <v>משפטי התורה - 6 כר'</v>
      </c>
    </row>
    <row r="27071" spans="1:6" x14ac:dyDescent="0.2">
      <c r="A27071" t="s">
        <v>43002</v>
      </c>
      <c r="B27071" t="s">
        <v>107</v>
      </c>
      <c r="C27071" t="s">
        <v>20</v>
      </c>
      <c r="D27071" t="s">
        <v>14</v>
      </c>
      <c r="E27071" t="s">
        <v>104</v>
      </c>
      <c r="F27071" s="2" t="str">
        <f>HYPERLINK("http://www.otzar.org/book.asp?625796","משפטי התורה, נבואה ונביא")</f>
        <v>משפטי התורה, נבואה ונביא</v>
      </c>
    </row>
    <row r="27072" spans="1:6" x14ac:dyDescent="0.2">
      <c r="A27072" t="s">
        <v>43003</v>
      </c>
      <c r="B27072" t="s">
        <v>32662</v>
      </c>
      <c r="C27072" t="s">
        <v>454</v>
      </c>
      <c r="D27072" t="s">
        <v>14</v>
      </c>
      <c r="E27072" t="s">
        <v>15</v>
      </c>
      <c r="F27072" s="2" t="str">
        <f>HYPERLINK("http://www.otzar.org/book.asp?168694","משפטי התנאים")</f>
        <v>משפטי התנאים</v>
      </c>
    </row>
    <row r="27073" spans="1:6" x14ac:dyDescent="0.2">
      <c r="A27073" t="s">
        <v>43004</v>
      </c>
      <c r="B27073" t="s">
        <v>19837</v>
      </c>
      <c r="C27073" t="s">
        <v>189</v>
      </c>
      <c r="D27073" t="s">
        <v>14</v>
      </c>
      <c r="E27073" t="s">
        <v>154</v>
      </c>
      <c r="F27073" s="2" t="str">
        <f>HYPERLINK("http://www.otzar.org/book.asp?24929","משפטי חיים - 2 כר'")</f>
        <v>משפטי חיים - 2 כר'</v>
      </c>
    </row>
    <row r="27074" spans="1:6" x14ac:dyDescent="0.2">
      <c r="A27074" t="s">
        <v>43005</v>
      </c>
      <c r="B27074" t="s">
        <v>37586</v>
      </c>
      <c r="C27074" t="s">
        <v>189</v>
      </c>
      <c r="D27074" t="s">
        <v>52</v>
      </c>
      <c r="E27074" t="s">
        <v>144</v>
      </c>
      <c r="F27074" s="2" t="str">
        <f>HYPERLINK("http://www.otzar.org/book.asp?626728","משפטי חיים - סנהדרין")</f>
        <v>משפטי חיים - סנהדרין</v>
      </c>
    </row>
    <row r="27075" spans="1:6" x14ac:dyDescent="0.2">
      <c r="A27075" t="s">
        <v>43006</v>
      </c>
      <c r="B27075" t="s">
        <v>40291</v>
      </c>
      <c r="C27075" t="s">
        <v>151</v>
      </c>
      <c r="D27075" t="s">
        <v>1156</v>
      </c>
      <c r="E27075" t="s">
        <v>154</v>
      </c>
      <c r="F27075" s="2" t="str">
        <f>HYPERLINK("http://www.otzar.org/book.asp?621157","משפטי יוסף - א")</f>
        <v>משפטי יוסף - א</v>
      </c>
    </row>
    <row r="27076" spans="1:6" x14ac:dyDescent="0.2">
      <c r="A27076" t="s">
        <v>43007</v>
      </c>
      <c r="B27076" t="s">
        <v>43008</v>
      </c>
      <c r="C27076" t="s">
        <v>1995</v>
      </c>
      <c r="D27076" t="s">
        <v>995</v>
      </c>
      <c r="E27076" t="s">
        <v>588</v>
      </c>
      <c r="F27076" s="2" t="str">
        <f>HYPERLINK("http://www.otzar.org/book.asp?200255","משפטי יעקב - 2 כר'")</f>
        <v>משפטי יעקב - 2 כר'</v>
      </c>
    </row>
    <row r="27077" spans="1:6" x14ac:dyDescent="0.2">
      <c r="A27077" t="s">
        <v>43009</v>
      </c>
      <c r="B27077" t="s">
        <v>11138</v>
      </c>
      <c r="C27077" t="s">
        <v>146</v>
      </c>
      <c r="D27077" t="s">
        <v>14</v>
      </c>
      <c r="E27077" t="s">
        <v>148</v>
      </c>
      <c r="F27077" s="2" t="str">
        <f>HYPERLINK("http://www.otzar.org/book.asp?50128","משפטי יעקב")</f>
        <v>משפטי יעקב</v>
      </c>
    </row>
    <row r="27078" spans="1:6" x14ac:dyDescent="0.2">
      <c r="A27078" t="s">
        <v>43010</v>
      </c>
      <c r="B27078" t="s">
        <v>43011</v>
      </c>
      <c r="C27078" t="s">
        <v>133</v>
      </c>
      <c r="D27078" t="s">
        <v>412</v>
      </c>
      <c r="E27078" t="s">
        <v>15</v>
      </c>
      <c r="F27078" s="2" t="str">
        <f>HYPERLINK("http://www.otzar.org/book.asp?177061","משפטי ישראל")</f>
        <v>משפטי ישראל</v>
      </c>
    </row>
    <row r="27079" spans="1:6" x14ac:dyDescent="0.2">
      <c r="A27079" t="s">
        <v>43010</v>
      </c>
      <c r="B27079" t="s">
        <v>43012</v>
      </c>
      <c r="C27079" t="s">
        <v>51</v>
      </c>
      <c r="D27079" t="s">
        <v>52</v>
      </c>
      <c r="E27079" t="s">
        <v>144</v>
      </c>
      <c r="F27079" s="2" t="str">
        <f>HYPERLINK("http://www.otzar.org/book.asp?159469","משפטי ישראל")</f>
        <v>משפטי ישראל</v>
      </c>
    </row>
    <row r="27080" spans="1:6" x14ac:dyDescent="0.2">
      <c r="A27080" t="s">
        <v>43013</v>
      </c>
      <c r="B27080" t="s">
        <v>43014</v>
      </c>
      <c r="C27080" t="s">
        <v>454</v>
      </c>
      <c r="D27080" t="s">
        <v>14</v>
      </c>
      <c r="E27080" t="s">
        <v>10</v>
      </c>
      <c r="F27080" s="2" t="str">
        <f>HYPERLINK("http://www.otzar.org/book.asp?22875","משפטי מלוכה")</f>
        <v>משפטי מלוכה</v>
      </c>
    </row>
    <row r="27081" spans="1:6" x14ac:dyDescent="0.2">
      <c r="A27081" t="s">
        <v>43015</v>
      </c>
      <c r="B27081" t="s">
        <v>17027</v>
      </c>
      <c r="C27081" t="s">
        <v>43016</v>
      </c>
      <c r="D27081" t="s">
        <v>27</v>
      </c>
      <c r="E27081" t="s">
        <v>154</v>
      </c>
      <c r="F27081" s="2" t="str">
        <f>HYPERLINK("http://www.otzar.org/book.asp?19477","משפטי עזיאל תנינא - א (או""ח)")</f>
        <v>משפטי עזיאל תנינא - א (או"ח)</v>
      </c>
    </row>
    <row r="27082" spans="1:6" x14ac:dyDescent="0.2">
      <c r="A27082" t="s">
        <v>43017</v>
      </c>
      <c r="B27082" t="s">
        <v>17027</v>
      </c>
      <c r="C27082" t="s">
        <v>224</v>
      </c>
      <c r="D27082" t="s">
        <v>260</v>
      </c>
      <c r="E27082" t="s">
        <v>684</v>
      </c>
      <c r="F27082" s="2" t="str">
        <f>HYPERLINK("http://www.otzar.org/book.asp?144106","משפטי עזיאל - 14 כר'")</f>
        <v>משפטי עזיאל - 14 כר'</v>
      </c>
    </row>
    <row r="27083" spans="1:6" x14ac:dyDescent="0.2">
      <c r="A27083" t="s">
        <v>43018</v>
      </c>
      <c r="B27083" t="s">
        <v>1510</v>
      </c>
      <c r="C27083" t="s">
        <v>71</v>
      </c>
      <c r="D27083" t="s">
        <v>1511</v>
      </c>
      <c r="E27083" t="s">
        <v>172</v>
      </c>
      <c r="F27083" s="2" t="str">
        <f>HYPERLINK("http://www.otzar.org/book.asp?171167","משפטי צדק - 2 כר'")</f>
        <v>משפטי צדק - 2 כר'</v>
      </c>
    </row>
    <row r="27084" spans="1:6" x14ac:dyDescent="0.2">
      <c r="A27084" t="s">
        <v>43019</v>
      </c>
      <c r="B27084" t="s">
        <v>43020</v>
      </c>
      <c r="C27084" t="s">
        <v>411</v>
      </c>
      <c r="D27084" t="s">
        <v>152</v>
      </c>
      <c r="F27084" s="2" t="str">
        <f>HYPERLINK("http://www.otzar.org/book.asp?608998","משפטי צדקך - 2 כר'")</f>
        <v>משפטי צדקך - 2 כר'</v>
      </c>
    </row>
    <row r="27085" spans="1:6" x14ac:dyDescent="0.2">
      <c r="A27085" t="s">
        <v>43021</v>
      </c>
      <c r="B27085" t="s">
        <v>13767</v>
      </c>
      <c r="C27085" t="s">
        <v>111</v>
      </c>
      <c r="D27085" t="s">
        <v>367</v>
      </c>
      <c r="E27085" t="s">
        <v>148</v>
      </c>
      <c r="F27085" s="2" t="str">
        <f>HYPERLINK("http://www.otzar.org/book.asp?631536","משפטי רבית")</f>
        <v>משפטי רבית</v>
      </c>
    </row>
    <row r="27086" spans="1:6" x14ac:dyDescent="0.2">
      <c r="A27086" t="s">
        <v>43022</v>
      </c>
      <c r="B27086" t="s">
        <v>43023</v>
      </c>
      <c r="C27086" t="s">
        <v>422</v>
      </c>
      <c r="D27086" t="s">
        <v>14</v>
      </c>
      <c r="E27086" t="s">
        <v>15</v>
      </c>
      <c r="F27086" s="2" t="str">
        <f>HYPERLINK("http://www.otzar.org/book.asp?153026","משפטי רבית - 2 כר'")</f>
        <v>משפטי רבית - 2 כר'</v>
      </c>
    </row>
    <row r="27087" spans="1:6" x14ac:dyDescent="0.2">
      <c r="A27087" t="s">
        <v>43024</v>
      </c>
      <c r="B27087" t="s">
        <v>16997</v>
      </c>
      <c r="C27087" t="s">
        <v>71</v>
      </c>
      <c r="D27087" t="s">
        <v>14</v>
      </c>
      <c r="E27087" t="s">
        <v>154</v>
      </c>
      <c r="F27087" s="2" t="str">
        <f>HYPERLINK("http://www.otzar.org/book.asp?22169","משפטי שאול")</f>
        <v>משפטי שאול</v>
      </c>
    </row>
    <row r="27088" spans="1:6" x14ac:dyDescent="0.2">
      <c r="A27088" t="s">
        <v>43025</v>
      </c>
      <c r="B27088" t="s">
        <v>43026</v>
      </c>
      <c r="C27088" t="s">
        <v>366</v>
      </c>
      <c r="D27088" t="s">
        <v>52</v>
      </c>
      <c r="F27088" s="2" t="str">
        <f>HYPERLINK("http://www.otzar.org/book.asp?610012","משפטי שבועות &lt;שמועות חיים&gt;")</f>
        <v>משפטי שבועות &lt;שמועות חיים&gt;</v>
      </c>
    </row>
    <row r="27089" spans="1:6" x14ac:dyDescent="0.2">
      <c r="A27089" t="s">
        <v>43027</v>
      </c>
      <c r="B27089" t="s">
        <v>20246</v>
      </c>
      <c r="C27089" t="s">
        <v>51</v>
      </c>
      <c r="D27089" t="s">
        <v>52</v>
      </c>
      <c r="E27089" t="s">
        <v>803</v>
      </c>
      <c r="F27089" s="2" t="str">
        <f>HYPERLINK("http://www.otzar.org/book.asp?143513","משפטי שבועות &lt;מהדורת דומב&gt;")</f>
        <v>משפטי שבועות &lt;מהדורת דומב&gt;</v>
      </c>
    </row>
    <row r="27090" spans="1:6" x14ac:dyDescent="0.2">
      <c r="A27090" t="s">
        <v>43028</v>
      </c>
      <c r="B27090" t="s">
        <v>20246</v>
      </c>
      <c r="C27090" t="s">
        <v>87</v>
      </c>
      <c r="D27090" t="s">
        <v>52</v>
      </c>
      <c r="E27090" t="s">
        <v>606</v>
      </c>
      <c r="F27090" s="2" t="str">
        <f>HYPERLINK("http://www.otzar.org/book.asp?9656","משפטי שבועות - 5 כר'")</f>
        <v>משפטי שבועות - 5 כר'</v>
      </c>
    </row>
    <row r="27091" spans="1:6" x14ac:dyDescent="0.2">
      <c r="A27091" t="s">
        <v>43029</v>
      </c>
      <c r="B27091" t="s">
        <v>15096</v>
      </c>
      <c r="C27091" t="s">
        <v>103</v>
      </c>
      <c r="D27091" t="s">
        <v>52</v>
      </c>
      <c r="E27091" t="s">
        <v>325</v>
      </c>
      <c r="F27091" s="2" t="str">
        <f>HYPERLINK("http://www.otzar.org/book.asp?143468","משפטי שלמה - 2 כר'")</f>
        <v>משפטי שלמה - 2 כר'</v>
      </c>
    </row>
    <row r="27092" spans="1:6" x14ac:dyDescent="0.2">
      <c r="A27092" t="s">
        <v>43030</v>
      </c>
      <c r="B27092" t="s">
        <v>43031</v>
      </c>
      <c r="C27092" t="s">
        <v>114</v>
      </c>
      <c r="D27092" t="s">
        <v>9426</v>
      </c>
      <c r="E27092" t="s">
        <v>84</v>
      </c>
      <c r="F27092" s="2" t="str">
        <f>HYPERLINK("http://www.otzar.org/book.asp?179824","משפטי שמואל - זרעים")</f>
        <v>משפטי שמואל - זרעים</v>
      </c>
    </row>
    <row r="27093" spans="1:6" x14ac:dyDescent="0.2">
      <c r="A27093" t="s">
        <v>43032</v>
      </c>
      <c r="B27093" t="s">
        <v>43033</v>
      </c>
      <c r="C27093" t="s">
        <v>1388</v>
      </c>
      <c r="D27093" t="s">
        <v>14</v>
      </c>
      <c r="E27093" t="s">
        <v>148</v>
      </c>
      <c r="F27093" s="2" t="str">
        <f>HYPERLINK("http://www.otzar.org/book.asp?142161","משפטי שמואל")</f>
        <v>משפטי שמואל</v>
      </c>
    </row>
    <row r="27094" spans="1:6" x14ac:dyDescent="0.2">
      <c r="A27094" t="s">
        <v>43032</v>
      </c>
      <c r="B27094" t="s">
        <v>43034</v>
      </c>
      <c r="C27094" t="s">
        <v>24018</v>
      </c>
      <c r="D27094" t="s">
        <v>49</v>
      </c>
      <c r="E27094" t="s">
        <v>154</v>
      </c>
      <c r="F27094" s="2" t="str">
        <f>HYPERLINK("http://www.otzar.org/book.asp?174657","משפטי שמואל")</f>
        <v>משפטי שמואל</v>
      </c>
    </row>
    <row r="27095" spans="1:6" x14ac:dyDescent="0.2">
      <c r="A27095" t="s">
        <v>43035</v>
      </c>
      <c r="B27095" t="s">
        <v>20076</v>
      </c>
      <c r="C27095" t="s">
        <v>473</v>
      </c>
      <c r="D27095" t="s">
        <v>56</v>
      </c>
      <c r="E27095" t="s">
        <v>803</v>
      </c>
      <c r="F27095" s="2" t="str">
        <f>HYPERLINK("http://www.otzar.org/book.asp?20306","משפטי שמואל - 2 כר'")</f>
        <v>משפטי שמואל - 2 כר'</v>
      </c>
    </row>
    <row r="27096" spans="1:6" x14ac:dyDescent="0.2">
      <c r="A27096" t="s">
        <v>43036</v>
      </c>
      <c r="B27096" t="s">
        <v>1716</v>
      </c>
      <c r="C27096" t="s">
        <v>313</v>
      </c>
      <c r="D27096" t="s">
        <v>14</v>
      </c>
      <c r="E27096" t="s">
        <v>15</v>
      </c>
      <c r="F27096" s="2" t="str">
        <f>HYPERLINK("http://www.otzar.org/book.asp?159410","משפטי שמעון - 4 כר'")</f>
        <v>משפטי שמעון - 4 כר'</v>
      </c>
    </row>
    <row r="27097" spans="1:6" x14ac:dyDescent="0.2">
      <c r="A27097" t="s">
        <v>43037</v>
      </c>
      <c r="B27097" t="s">
        <v>13426</v>
      </c>
      <c r="C27097" t="s">
        <v>411</v>
      </c>
      <c r="D27097" t="s">
        <v>14</v>
      </c>
      <c r="E27097" t="s">
        <v>148</v>
      </c>
      <c r="F27097" s="2" t="str">
        <f>HYPERLINK("http://www.otzar.org/book.asp?171705","משפטי תעשו")</f>
        <v>משפטי תעשו</v>
      </c>
    </row>
    <row r="27098" spans="1:6" x14ac:dyDescent="0.2">
      <c r="A27098" t="s">
        <v>43038</v>
      </c>
      <c r="B27098" t="s">
        <v>24696</v>
      </c>
      <c r="C27098" t="s">
        <v>313</v>
      </c>
      <c r="D27098" t="s">
        <v>14</v>
      </c>
      <c r="E27098" t="s">
        <v>148</v>
      </c>
      <c r="F27098" s="2" t="str">
        <f>HYPERLINK("http://www.otzar.org/book.asp?50484","משפטי תשמורו")</f>
        <v>משפטי תשמורו</v>
      </c>
    </row>
    <row r="27099" spans="1:6" x14ac:dyDescent="0.2">
      <c r="A27099" t="s">
        <v>43039</v>
      </c>
      <c r="B27099" t="s">
        <v>43040</v>
      </c>
      <c r="C27099" t="s">
        <v>13</v>
      </c>
      <c r="D27099" t="s">
        <v>14</v>
      </c>
      <c r="E27099" t="s">
        <v>15</v>
      </c>
      <c r="F27099" s="2" t="str">
        <f>HYPERLINK("http://www.otzar.org/book.asp?150901","משפטיו לישראל")</f>
        <v>משפטיו לישראל</v>
      </c>
    </row>
    <row r="27100" spans="1:6" x14ac:dyDescent="0.2">
      <c r="A27100" t="s">
        <v>43041</v>
      </c>
      <c r="B27100" t="s">
        <v>40623</v>
      </c>
      <c r="C27100" t="s">
        <v>176</v>
      </c>
      <c r="D27100" t="s">
        <v>52</v>
      </c>
      <c r="E27100" t="s">
        <v>15</v>
      </c>
      <c r="F27100" s="2" t="str">
        <f>HYPERLINK("http://www.otzar.org/book.asp?50168","משפטיך ליעקב - 10 כר'")</f>
        <v>משפטיך ליעקב - 10 כר'</v>
      </c>
    </row>
    <row r="27101" spans="1:6" x14ac:dyDescent="0.2">
      <c r="A27101" t="s">
        <v>43042</v>
      </c>
      <c r="B27101" t="s">
        <v>17578</v>
      </c>
      <c r="C27101" t="s">
        <v>356</v>
      </c>
      <c r="D27101" t="s">
        <v>14</v>
      </c>
      <c r="F27101" s="2" t="str">
        <f>HYPERLINK("http://www.otzar.org/book.asp?169527","משפטיך ליעקב")</f>
        <v>משפטיך ליעקב</v>
      </c>
    </row>
    <row r="27102" spans="1:6" x14ac:dyDescent="0.2">
      <c r="A27102" t="s">
        <v>43042</v>
      </c>
      <c r="B27102" t="s">
        <v>43043</v>
      </c>
      <c r="C27102" t="s">
        <v>411</v>
      </c>
      <c r="D27102" t="s">
        <v>229</v>
      </c>
      <c r="E27102" t="s">
        <v>144</v>
      </c>
      <c r="F27102" s="2" t="str">
        <f>HYPERLINK("http://www.otzar.org/book.asp?168584","משפטיך ליעקב")</f>
        <v>משפטיך ליעקב</v>
      </c>
    </row>
    <row r="27103" spans="1:6" x14ac:dyDescent="0.2">
      <c r="A27103" t="s">
        <v>43044</v>
      </c>
      <c r="B27103" t="s">
        <v>16352</v>
      </c>
      <c r="C27103" t="s">
        <v>383</v>
      </c>
      <c r="D27103" t="s">
        <v>14</v>
      </c>
      <c r="E27103" t="s">
        <v>148</v>
      </c>
      <c r="F27103" s="2" t="str">
        <f>HYPERLINK("http://www.otzar.org/book.asp?50217","משפטיך שויתי - 3 כר'")</f>
        <v>משפטיך שויתי - 3 כר'</v>
      </c>
    </row>
    <row r="27104" spans="1:6" x14ac:dyDescent="0.2">
      <c r="A27104" t="s">
        <v>43045</v>
      </c>
      <c r="B27104" t="s">
        <v>43046</v>
      </c>
      <c r="C27104" t="s">
        <v>37</v>
      </c>
      <c r="D27104" t="s">
        <v>52</v>
      </c>
      <c r="E27104" t="s">
        <v>144</v>
      </c>
      <c r="F27104" s="2" t="str">
        <f>HYPERLINK("http://www.otzar.org/book.asp?180589","משפטים דד' מזיקים - קונטרס הגניבה והגזילה")</f>
        <v>משפטים דד' מזיקים - קונטרס הגניבה והגזילה</v>
      </c>
    </row>
    <row r="27105" spans="1:6" x14ac:dyDescent="0.2">
      <c r="A27105" t="s">
        <v>43047</v>
      </c>
      <c r="B27105" t="s">
        <v>37330</v>
      </c>
      <c r="C27105" t="s">
        <v>3690</v>
      </c>
      <c r="D27105" t="s">
        <v>1117</v>
      </c>
      <c r="E27105" t="s">
        <v>154</v>
      </c>
      <c r="F27105" s="2" t="str">
        <f>HYPERLINK("http://www.otzar.org/book.asp?148676","משפטים ישרים")</f>
        <v>משפטים ישרים</v>
      </c>
    </row>
    <row r="27106" spans="1:6" x14ac:dyDescent="0.2">
      <c r="A27106" t="s">
        <v>43047</v>
      </c>
      <c r="B27106" t="s">
        <v>43048</v>
      </c>
      <c r="C27106" t="s">
        <v>402</v>
      </c>
      <c r="D27106" t="s">
        <v>76</v>
      </c>
      <c r="E27106" t="s">
        <v>154</v>
      </c>
      <c r="F27106" s="2" t="str">
        <f>HYPERLINK("http://www.otzar.org/book.asp?101022","משפטים ישרים")</f>
        <v>משפטים ישרים</v>
      </c>
    </row>
    <row r="27107" spans="1:6" x14ac:dyDescent="0.2">
      <c r="A27107" t="s">
        <v>43049</v>
      </c>
      <c r="B27107" t="s">
        <v>15516</v>
      </c>
      <c r="C27107" t="s">
        <v>31165</v>
      </c>
      <c r="D27107" t="s">
        <v>27</v>
      </c>
      <c r="E27107" t="s">
        <v>154</v>
      </c>
      <c r="F27107" s="2" t="str">
        <f>HYPERLINK("http://www.otzar.org/book.asp?28648","משפטים צדיקים - 2 כר'")</f>
        <v>משפטים צדיקים - 2 כר'</v>
      </c>
    </row>
    <row r="27108" spans="1:6" x14ac:dyDescent="0.2">
      <c r="A27108" t="s">
        <v>43050</v>
      </c>
      <c r="B27108" t="s">
        <v>43051</v>
      </c>
      <c r="C27108" t="s">
        <v>43052</v>
      </c>
      <c r="D27108" t="s">
        <v>76</v>
      </c>
      <c r="E27108" t="s">
        <v>9760</v>
      </c>
      <c r="F27108" s="2" t="str">
        <f>HYPERLINK("http://www.otzar.org/book.asp?19101","משק ביתי")</f>
        <v>משק ביתי</v>
      </c>
    </row>
    <row r="27109" spans="1:6" x14ac:dyDescent="0.2">
      <c r="A27109" t="s">
        <v>43053</v>
      </c>
      <c r="B27109" t="s">
        <v>206</v>
      </c>
      <c r="C27109" t="s">
        <v>133</v>
      </c>
      <c r="D27109" t="s">
        <v>52</v>
      </c>
      <c r="E27109" t="s">
        <v>144</v>
      </c>
      <c r="F27109" s="2" t="str">
        <f>HYPERLINK("http://www.otzar.org/book.asp?176332","משקה הרים - מועד")</f>
        <v>משקה הרים - מועד</v>
      </c>
    </row>
    <row r="27110" spans="1:6" x14ac:dyDescent="0.2">
      <c r="A27110" t="s">
        <v>43054</v>
      </c>
      <c r="B27110" t="s">
        <v>2396</v>
      </c>
      <c r="C27110" t="s">
        <v>20</v>
      </c>
      <c r="D27110" t="s">
        <v>1076</v>
      </c>
      <c r="E27110" t="s">
        <v>172</v>
      </c>
      <c r="F27110" s="2" t="str">
        <f>HYPERLINK("http://www.otzar.org/book.asp?165245","משקה ישראל")</f>
        <v>משקה ישראל</v>
      </c>
    </row>
    <row r="27111" spans="1:6" x14ac:dyDescent="0.2">
      <c r="A27111" t="s">
        <v>43055</v>
      </c>
      <c r="B27111" t="s">
        <v>43056</v>
      </c>
      <c r="E27111" t="s">
        <v>674</v>
      </c>
      <c r="F27111" s="2" t="str">
        <f>HYPERLINK("http://www.otzar.org/book.asp?623950","משקיעים כהלכה")</f>
        <v>משקיעים כהלכה</v>
      </c>
    </row>
    <row r="27112" spans="1:6" x14ac:dyDescent="0.2">
      <c r="A27112" t="s">
        <v>43057</v>
      </c>
      <c r="B27112" t="s">
        <v>43058</v>
      </c>
      <c r="C27112" t="s">
        <v>1568</v>
      </c>
      <c r="D27112" t="s">
        <v>1490</v>
      </c>
      <c r="E27112" t="s">
        <v>399</v>
      </c>
      <c r="F27112" s="2" t="str">
        <f>HYPERLINK("http://www.otzar.org/book.asp?104673","משרא קטרין - 2 כר'")</f>
        <v>משרא קטרין - 2 כר'</v>
      </c>
    </row>
    <row r="27113" spans="1:6" x14ac:dyDescent="0.2">
      <c r="A27113" t="s">
        <v>43059</v>
      </c>
      <c r="B27113" t="s">
        <v>43060</v>
      </c>
      <c r="C27113" t="s">
        <v>22975</v>
      </c>
      <c r="D27113" t="s">
        <v>9091</v>
      </c>
      <c r="E27113" t="s">
        <v>10</v>
      </c>
      <c r="F27113" s="2" t="str">
        <f>HYPERLINK("http://www.otzar.org/book.asp?300079","משרת משה")</f>
        <v>משרת משה</v>
      </c>
    </row>
    <row r="27114" spans="1:6" x14ac:dyDescent="0.2">
      <c r="A27114" t="s">
        <v>43059</v>
      </c>
      <c r="B27114" t="s">
        <v>8127</v>
      </c>
      <c r="C27114" t="s">
        <v>2465</v>
      </c>
      <c r="D27114" t="s">
        <v>212</v>
      </c>
      <c r="E27114" t="s">
        <v>15</v>
      </c>
      <c r="F27114" s="2" t="str">
        <f>HYPERLINK("http://www.otzar.org/book.asp?101060","משרת משה")</f>
        <v>משרת משה</v>
      </c>
    </row>
    <row r="27115" spans="1:6" x14ac:dyDescent="0.2">
      <c r="A27115" t="s">
        <v>43061</v>
      </c>
      <c r="B27115" t="s">
        <v>43062</v>
      </c>
      <c r="C27115" t="s">
        <v>2236</v>
      </c>
      <c r="D27115" t="s">
        <v>2303</v>
      </c>
      <c r="E27115" t="s">
        <v>158</v>
      </c>
      <c r="F27115" s="2" t="str">
        <f>HYPERLINK("http://www.otzar.org/book.asp?168869","משתה יין - 3 כר'")</f>
        <v>משתה יין - 3 כר'</v>
      </c>
    </row>
    <row r="27116" spans="1:6" x14ac:dyDescent="0.2">
      <c r="A27116" t="s">
        <v>43063</v>
      </c>
      <c r="B27116" t="s">
        <v>43064</v>
      </c>
      <c r="C27116" t="s">
        <v>129</v>
      </c>
      <c r="D27116" t="s">
        <v>147</v>
      </c>
      <c r="E27116" t="s">
        <v>213</v>
      </c>
      <c r="F27116" s="2" t="str">
        <f>HYPERLINK("http://www.otzar.org/book.asp?157849","מת לחיות")</f>
        <v>מת לחיות</v>
      </c>
    </row>
    <row r="27117" spans="1:6" x14ac:dyDescent="0.2">
      <c r="A27117" t="s">
        <v>43065</v>
      </c>
      <c r="B27117" t="s">
        <v>6022</v>
      </c>
      <c r="C27117" t="s">
        <v>1458</v>
      </c>
      <c r="D27117" t="s">
        <v>6785</v>
      </c>
      <c r="E27117" t="s">
        <v>43066</v>
      </c>
      <c r="F27117" s="2" t="str">
        <f>HYPERLINK("http://www.otzar.org/book.asp?9600","מתא דירושלים")</f>
        <v>מתא דירושלים</v>
      </c>
    </row>
    <row r="27118" spans="1:6" x14ac:dyDescent="0.2">
      <c r="A27118" t="s">
        <v>43067</v>
      </c>
      <c r="B27118" t="s">
        <v>43068</v>
      </c>
      <c r="C27118" t="s">
        <v>68</v>
      </c>
      <c r="D27118" t="s">
        <v>52</v>
      </c>
      <c r="E27118" t="s">
        <v>186</v>
      </c>
      <c r="F27118" s="2" t="str">
        <f>HYPERLINK("http://www.otzar.org/book.asp?161278","מתוך האהל - 2 כר'")</f>
        <v>מתוך האהל - 2 כר'</v>
      </c>
    </row>
    <row r="27119" spans="1:6" x14ac:dyDescent="0.2">
      <c r="A27119" t="s">
        <v>43069</v>
      </c>
      <c r="B27119" t="s">
        <v>43070</v>
      </c>
      <c r="C27119" t="s">
        <v>23</v>
      </c>
      <c r="D27119" t="s">
        <v>9909</v>
      </c>
      <c r="E27119" t="s">
        <v>674</v>
      </c>
      <c r="F27119" s="2" t="str">
        <f>HYPERLINK("http://www.otzar.org/book.asp?194189","מתוך האהל")</f>
        <v>מתוך האהל</v>
      </c>
    </row>
    <row r="27120" spans="1:6" x14ac:dyDescent="0.2">
      <c r="A27120" t="s">
        <v>43069</v>
      </c>
      <c r="B27120" t="s">
        <v>43071</v>
      </c>
      <c r="C27120" t="s">
        <v>366</v>
      </c>
      <c r="D27120" t="s">
        <v>367</v>
      </c>
      <c r="F27120" s="2" t="str">
        <f>HYPERLINK("http://www.otzar.org/book.asp?609011","מתוך האהל")</f>
        <v>מתוך האהל</v>
      </c>
    </row>
    <row r="27121" spans="1:6" x14ac:dyDescent="0.2">
      <c r="A27121" t="s">
        <v>43072</v>
      </c>
      <c r="B27121" t="s">
        <v>43073</v>
      </c>
      <c r="C27121" t="s">
        <v>553</v>
      </c>
      <c r="D27121" t="s">
        <v>14</v>
      </c>
      <c r="E27121" t="s">
        <v>119</v>
      </c>
      <c r="F27121" s="2" t="str">
        <f>HYPERLINK("http://www.otzar.org/book.asp?154849","מתוך האש - שואתה של יהדות ראדין")</f>
        <v>מתוך האש - שואתה של יהדות ראדין</v>
      </c>
    </row>
    <row r="27122" spans="1:6" x14ac:dyDescent="0.2">
      <c r="A27122" t="s">
        <v>43074</v>
      </c>
      <c r="B27122" t="s">
        <v>43075</v>
      </c>
      <c r="C27122" t="s">
        <v>411</v>
      </c>
      <c r="D27122" t="s">
        <v>21</v>
      </c>
      <c r="E27122" t="s">
        <v>119</v>
      </c>
      <c r="F27122" s="2" t="str">
        <f>HYPERLINK("http://www.otzar.org/book.asp?605861","מתוך ההפיכה")</f>
        <v>מתוך ההפיכה</v>
      </c>
    </row>
    <row r="27123" spans="1:6" x14ac:dyDescent="0.2">
      <c r="A27123" t="s">
        <v>43076</v>
      </c>
      <c r="B27123" t="s">
        <v>41828</v>
      </c>
      <c r="C27123" t="s">
        <v>20</v>
      </c>
      <c r="D27123" t="s">
        <v>31424</v>
      </c>
      <c r="E27123" t="s">
        <v>424</v>
      </c>
      <c r="F27123" s="2" t="str">
        <f>HYPERLINK("http://www.otzar.org/book.asp?626637","מתוך העמק")</f>
        <v>מתוך העמק</v>
      </c>
    </row>
    <row r="27124" spans="1:6" x14ac:dyDescent="0.2">
      <c r="A27124" t="s">
        <v>43077</v>
      </c>
      <c r="B27124" t="s">
        <v>15961</v>
      </c>
      <c r="C27124" t="s">
        <v>533</v>
      </c>
      <c r="D27124" t="s">
        <v>14</v>
      </c>
      <c r="E27124" t="s">
        <v>2071</v>
      </c>
      <c r="F27124" s="2" t="str">
        <f>HYPERLINK("http://www.otzar.org/book.asp?188531","מתוך הפרשה")</f>
        <v>מתוך הפרשה</v>
      </c>
    </row>
    <row r="27125" spans="1:6" x14ac:dyDescent="0.2">
      <c r="A27125" t="s">
        <v>43078</v>
      </c>
      <c r="E27125" t="s">
        <v>104</v>
      </c>
      <c r="F27125" s="2" t="str">
        <f>HYPERLINK("http://www.otzar.org/book.asp?602582","מתוספות הרשב""ם לרי""ף")</f>
        <v>מתוספות הרשב"ם לרי"ף</v>
      </c>
    </row>
    <row r="27126" spans="1:6" x14ac:dyDescent="0.2">
      <c r="A27126" t="s">
        <v>43079</v>
      </c>
      <c r="B27126" t="s">
        <v>6656</v>
      </c>
      <c r="C27126" t="s">
        <v>17</v>
      </c>
      <c r="D27126" t="s">
        <v>486</v>
      </c>
      <c r="E27126" t="s">
        <v>158</v>
      </c>
      <c r="F27126" s="2" t="str">
        <f>HYPERLINK("http://www.otzar.org/book.asp?25761","מתוק לחכי")</f>
        <v>מתוק לחכי</v>
      </c>
    </row>
    <row r="27127" spans="1:6" x14ac:dyDescent="0.2">
      <c r="A27127" t="s">
        <v>43080</v>
      </c>
      <c r="B27127" t="s">
        <v>34209</v>
      </c>
      <c r="C27127" t="s">
        <v>189</v>
      </c>
      <c r="D27127" t="s">
        <v>14</v>
      </c>
      <c r="E27127" t="s">
        <v>15425</v>
      </c>
      <c r="F27127" s="2" t="str">
        <f>HYPERLINK("http://www.otzar.org/book.asp?50934","מתוק לנפש ומרפא לעצם - 3 כר'")</f>
        <v>מתוק לנפש ומרפא לעצם - 3 כר'</v>
      </c>
    </row>
    <row r="27128" spans="1:6" x14ac:dyDescent="0.2">
      <c r="A27128" t="s">
        <v>43081</v>
      </c>
      <c r="B27128" t="s">
        <v>43082</v>
      </c>
      <c r="C27128" t="s">
        <v>39697</v>
      </c>
      <c r="D27128" t="s">
        <v>29670</v>
      </c>
      <c r="F27128" s="2" t="str">
        <f>HYPERLINK("http://www.otzar.org/book.asp?170293","מתוק לנפש")</f>
        <v>מתוק לנפש</v>
      </c>
    </row>
    <row r="27129" spans="1:6" x14ac:dyDescent="0.2">
      <c r="A27129" t="s">
        <v>43083</v>
      </c>
      <c r="B27129" t="s">
        <v>6636</v>
      </c>
      <c r="C27129" t="s">
        <v>943</v>
      </c>
      <c r="D27129" t="s">
        <v>1660</v>
      </c>
      <c r="E27129" t="s">
        <v>241</v>
      </c>
      <c r="F27129" s="2" t="str">
        <f>HYPERLINK("http://www.otzar.org/book.asp?63421","מתוק לנפש - 2 כר'")</f>
        <v>מתוק לנפש - 2 כר'</v>
      </c>
    </row>
    <row r="27130" spans="1:6" x14ac:dyDescent="0.2">
      <c r="A27130" t="s">
        <v>43081</v>
      </c>
      <c r="B27130" t="s">
        <v>29111</v>
      </c>
      <c r="C27130" t="s">
        <v>360</v>
      </c>
      <c r="D27130" t="s">
        <v>6618</v>
      </c>
      <c r="E27130" t="s">
        <v>4561</v>
      </c>
      <c r="F27130" s="2" t="str">
        <f>HYPERLINK("http://www.otzar.org/book.asp?188626","מתוק לנפש")</f>
        <v>מתוק לנפש</v>
      </c>
    </row>
    <row r="27131" spans="1:6" x14ac:dyDescent="0.2">
      <c r="A27131" t="s">
        <v>43084</v>
      </c>
      <c r="B27131" t="s">
        <v>1990</v>
      </c>
      <c r="C27131" t="s">
        <v>1096</v>
      </c>
      <c r="D27131" t="s">
        <v>661</v>
      </c>
      <c r="F27131" s="2" t="str">
        <f>HYPERLINK("http://www.otzar.org/book.asp?100811","מתוק מדבש - 2 כר'")</f>
        <v>מתוק מדבש - 2 כר'</v>
      </c>
    </row>
    <row r="27132" spans="1:6" x14ac:dyDescent="0.2">
      <c r="A27132" t="s">
        <v>43085</v>
      </c>
      <c r="B27132" t="s">
        <v>43086</v>
      </c>
      <c r="C27132" t="s">
        <v>785</v>
      </c>
      <c r="D27132" t="s">
        <v>52</v>
      </c>
      <c r="E27132" t="s">
        <v>579</v>
      </c>
      <c r="F27132" s="2" t="str">
        <f>HYPERLINK("http://www.otzar.org/book.asp?51135","מתוק מדבש - מתוק לחכי")</f>
        <v>מתוק מדבש - מתוק לחכי</v>
      </c>
    </row>
    <row r="27133" spans="1:6" x14ac:dyDescent="0.2">
      <c r="A27133" t="s">
        <v>43087</v>
      </c>
      <c r="B27133" t="s">
        <v>43088</v>
      </c>
      <c r="C27133" t="s">
        <v>785</v>
      </c>
      <c r="D27133" t="s">
        <v>412</v>
      </c>
      <c r="E27133" t="s">
        <v>1684</v>
      </c>
      <c r="F27133" s="2" t="str">
        <f>HYPERLINK("http://www.otzar.org/book.asp?83728","מתוק מדבש - ג")</f>
        <v>מתוק מדבש - ג</v>
      </c>
    </row>
    <row r="27134" spans="1:6" x14ac:dyDescent="0.2">
      <c r="A27134" t="s">
        <v>43089</v>
      </c>
      <c r="B27134" t="s">
        <v>3292</v>
      </c>
      <c r="C27134" t="s">
        <v>2870</v>
      </c>
      <c r="D27134" t="s">
        <v>43090</v>
      </c>
      <c r="E27134" t="s">
        <v>234</v>
      </c>
      <c r="F27134" s="2" t="str">
        <f>HYPERLINK("http://www.otzar.org/book.asp?16976","מתוק מדבש - 3 כר'")</f>
        <v>מתוק מדבש - 3 כר'</v>
      </c>
    </row>
    <row r="27135" spans="1:6" x14ac:dyDescent="0.2">
      <c r="A27135" t="s">
        <v>43089</v>
      </c>
      <c r="B27135" t="s">
        <v>6636</v>
      </c>
      <c r="C27135" t="s">
        <v>943</v>
      </c>
      <c r="D27135" t="s">
        <v>212</v>
      </c>
      <c r="E27135" t="s">
        <v>714</v>
      </c>
      <c r="F27135" s="2" t="str">
        <f>HYPERLINK("http://www.otzar.org/book.asp?181174","מתוק מדבש - 3 כר'")</f>
        <v>מתוק מדבש - 3 כר'</v>
      </c>
    </row>
    <row r="27136" spans="1:6" x14ac:dyDescent="0.2">
      <c r="A27136" t="s">
        <v>43091</v>
      </c>
      <c r="B27136" t="s">
        <v>15863</v>
      </c>
      <c r="C27136" t="s">
        <v>812</v>
      </c>
      <c r="D27136" t="s">
        <v>23921</v>
      </c>
      <c r="E27136" t="s">
        <v>234</v>
      </c>
      <c r="F27136" s="2" t="str">
        <f>HYPERLINK("http://www.otzar.org/book.asp?7303","מתוק מדבש")</f>
        <v>מתוק מדבש</v>
      </c>
    </row>
    <row r="27137" spans="1:6" x14ac:dyDescent="0.2">
      <c r="A27137" t="s">
        <v>43092</v>
      </c>
      <c r="B27137" t="s">
        <v>6636</v>
      </c>
      <c r="C27137" t="s">
        <v>427</v>
      </c>
      <c r="D27137" t="s">
        <v>14</v>
      </c>
      <c r="E27137" t="s">
        <v>81</v>
      </c>
      <c r="F27137" s="2" t="str">
        <f>HYPERLINK("http://www.otzar.org/book.asp?13136","מתוק מדבש, טוב ירושלים")</f>
        <v>מתוק מדבש, טוב ירושלים</v>
      </c>
    </row>
    <row r="27138" spans="1:6" x14ac:dyDescent="0.2">
      <c r="A27138" t="s">
        <v>43093</v>
      </c>
      <c r="B27138" t="s">
        <v>9495</v>
      </c>
      <c r="C27138" t="s">
        <v>422</v>
      </c>
      <c r="D27138" t="s">
        <v>14</v>
      </c>
      <c r="E27138" t="s">
        <v>579</v>
      </c>
      <c r="F27138" s="2" t="str">
        <f>HYPERLINK("http://www.otzar.org/book.asp?63123","מתוקים מדבש")</f>
        <v>מתוקים מדבש</v>
      </c>
    </row>
    <row r="27139" spans="1:6" x14ac:dyDescent="0.2">
      <c r="A27139" t="s">
        <v>43094</v>
      </c>
      <c r="B27139" t="s">
        <v>37591</v>
      </c>
      <c r="C27139" t="s">
        <v>366</v>
      </c>
      <c r="D27139" t="s">
        <v>21</v>
      </c>
      <c r="F27139" s="2" t="str">
        <f>HYPERLINK("http://www.otzar.org/book.asp?610344","מתוקים מדבש - 2 כר'")</f>
        <v>מתוקים מדבש - 2 כר'</v>
      </c>
    </row>
    <row r="27140" spans="1:6" x14ac:dyDescent="0.2">
      <c r="A27140" t="s">
        <v>43094</v>
      </c>
      <c r="B27140" t="s">
        <v>24998</v>
      </c>
      <c r="C27140" t="s">
        <v>20</v>
      </c>
      <c r="D27140" t="s">
        <v>721</v>
      </c>
      <c r="E27140" t="s">
        <v>104</v>
      </c>
      <c r="F27140" s="2" t="str">
        <f>HYPERLINK("http://www.otzar.org/book.asp?620383","מתוקים מדבש - 2 כר'")</f>
        <v>מתוקים מדבש - 2 כר'</v>
      </c>
    </row>
    <row r="27141" spans="1:6" x14ac:dyDescent="0.2">
      <c r="A27141" t="s">
        <v>43093</v>
      </c>
      <c r="B27141" t="s">
        <v>552</v>
      </c>
      <c r="C27141" t="s">
        <v>129</v>
      </c>
      <c r="D27141" t="s">
        <v>14</v>
      </c>
      <c r="E27141" t="s">
        <v>43095</v>
      </c>
      <c r="F27141" s="2" t="str">
        <f>HYPERLINK("http://www.otzar.org/book.asp?64265","מתוקים מדבש")</f>
        <v>מתוקים מדבש</v>
      </c>
    </row>
    <row r="27142" spans="1:6" x14ac:dyDescent="0.2">
      <c r="A27142" t="s">
        <v>43093</v>
      </c>
      <c r="B27142" t="s">
        <v>43096</v>
      </c>
      <c r="C27142" t="s">
        <v>189</v>
      </c>
      <c r="D27142" t="s">
        <v>14</v>
      </c>
      <c r="E27142" t="s">
        <v>2071</v>
      </c>
      <c r="F27142" s="2" t="str">
        <f>HYPERLINK("http://www.otzar.org/book.asp?60396","מתוקים מדבש")</f>
        <v>מתוקים מדבש</v>
      </c>
    </row>
    <row r="27143" spans="1:6" x14ac:dyDescent="0.2">
      <c r="A27143" t="s">
        <v>43097</v>
      </c>
      <c r="B27143" t="s">
        <v>43098</v>
      </c>
      <c r="C27143" t="s">
        <v>143</v>
      </c>
      <c r="D27143" t="s">
        <v>14</v>
      </c>
      <c r="E27143" t="s">
        <v>202</v>
      </c>
      <c r="F27143" s="2" t="str">
        <f>HYPERLINK("http://www.otzar.org/book.asp?189718","מתוקים מדבש - נדה")</f>
        <v>מתוקים מדבש - נדה</v>
      </c>
    </row>
    <row r="27144" spans="1:6" x14ac:dyDescent="0.2">
      <c r="A27144" t="s">
        <v>43094</v>
      </c>
      <c r="B27144" t="s">
        <v>43099</v>
      </c>
      <c r="C27144" t="s">
        <v>37</v>
      </c>
      <c r="D27144" t="s">
        <v>14</v>
      </c>
      <c r="E27144" t="s">
        <v>158</v>
      </c>
      <c r="F27144" s="2" t="str">
        <f>HYPERLINK("http://www.otzar.org/book.asp?180782","מתוקים מדבש - 2 כר'")</f>
        <v>מתוקים מדבש - 2 כר'</v>
      </c>
    </row>
    <row r="27145" spans="1:6" x14ac:dyDescent="0.2">
      <c r="A27145" t="s">
        <v>43100</v>
      </c>
      <c r="B27145" t="s">
        <v>27568</v>
      </c>
      <c r="C27145" t="s">
        <v>36685</v>
      </c>
      <c r="D27145" t="s">
        <v>43101</v>
      </c>
      <c r="E27145" t="s">
        <v>3261</v>
      </c>
      <c r="F27145" s="2" t="str">
        <f>HYPERLINK("http://www.otzar.org/book.asp?104187","מתורגמן")</f>
        <v>מתורגמן</v>
      </c>
    </row>
    <row r="27146" spans="1:6" x14ac:dyDescent="0.2">
      <c r="A27146" t="s">
        <v>43102</v>
      </c>
      <c r="B27146" t="s">
        <v>43103</v>
      </c>
      <c r="C27146" t="s">
        <v>146</v>
      </c>
      <c r="D27146" t="s">
        <v>721</v>
      </c>
      <c r="F27146" s="2" t="str">
        <f>HYPERLINK("http://www.otzar.org/book.asp?194716","מתורת הלומדים")</f>
        <v>מתורת הלומדים</v>
      </c>
    </row>
    <row r="27147" spans="1:6" x14ac:dyDescent="0.2">
      <c r="A27147" t="s">
        <v>43104</v>
      </c>
      <c r="B27147" t="s">
        <v>43105</v>
      </c>
      <c r="C27147" t="s">
        <v>442</v>
      </c>
      <c r="D27147" t="s">
        <v>27</v>
      </c>
      <c r="E27147" t="s">
        <v>733</v>
      </c>
      <c r="F27147" s="2" t="str">
        <f>HYPERLINK("http://www.otzar.org/book.asp?13590","מתורת הלשון והשירה בימי הביניים")</f>
        <v>מתורת הלשון והשירה בימי הביניים</v>
      </c>
    </row>
    <row r="27148" spans="1:6" x14ac:dyDescent="0.2">
      <c r="A27148" t="s">
        <v>43106</v>
      </c>
      <c r="B27148" t="s">
        <v>43107</v>
      </c>
      <c r="C27148" t="s">
        <v>767</v>
      </c>
      <c r="D27148" t="s">
        <v>52</v>
      </c>
      <c r="E27148" t="s">
        <v>246</v>
      </c>
      <c r="F27148" s="2" t="str">
        <f>HYPERLINK("http://www.otzar.org/book.asp?158334","מתורת חג האסיף")</f>
        <v>מתורת חג האסיף</v>
      </c>
    </row>
    <row r="27149" spans="1:6" x14ac:dyDescent="0.2">
      <c r="A27149" t="s">
        <v>43108</v>
      </c>
      <c r="B27149" t="s">
        <v>43107</v>
      </c>
      <c r="C27149" t="s">
        <v>313</v>
      </c>
      <c r="D27149" t="s">
        <v>52</v>
      </c>
      <c r="E27149" t="s">
        <v>246</v>
      </c>
      <c r="F27149" s="2" t="str">
        <f>HYPERLINK("http://www.otzar.org/book.asp?153736","מתורת ימי הפורים")</f>
        <v>מתורת ימי הפורים</v>
      </c>
    </row>
    <row r="27150" spans="1:6" x14ac:dyDescent="0.2">
      <c r="A27150" t="s">
        <v>43109</v>
      </c>
      <c r="B27150" t="s">
        <v>14823</v>
      </c>
      <c r="C27150" t="s">
        <v>946</v>
      </c>
      <c r="D27150" t="s">
        <v>27</v>
      </c>
      <c r="E27150" t="s">
        <v>3261</v>
      </c>
      <c r="F27150" s="2" t="str">
        <f>HYPERLINK("http://www.otzar.org/book.asp?104115","מתורת צבי יוסף")</f>
        <v>מתורת צבי יוסף</v>
      </c>
    </row>
    <row r="27151" spans="1:6" x14ac:dyDescent="0.2">
      <c r="A27151" t="s">
        <v>43110</v>
      </c>
      <c r="B27151" t="s">
        <v>36248</v>
      </c>
      <c r="C27151" t="s">
        <v>366</v>
      </c>
      <c r="D27151" t="s">
        <v>152</v>
      </c>
      <c r="F27151" s="2" t="str">
        <f>HYPERLINK("http://www.otzar.org/book.asp?610268","מתורת רבינו")</f>
        <v>מתורת רבינו</v>
      </c>
    </row>
    <row r="27152" spans="1:6" x14ac:dyDescent="0.2">
      <c r="A27152" t="s">
        <v>43111</v>
      </c>
      <c r="B27152" t="s">
        <v>43112</v>
      </c>
      <c r="C27152" t="s">
        <v>103</v>
      </c>
      <c r="D27152" t="s">
        <v>52</v>
      </c>
      <c r="E27152" t="s">
        <v>4260</v>
      </c>
      <c r="F27152" s="2" t="str">
        <f>HYPERLINK("http://www.otzar.org/book.asp?63594","מתורת שמחה")</f>
        <v>מתורת שמחה</v>
      </c>
    </row>
    <row r="27153" spans="1:6" x14ac:dyDescent="0.2">
      <c r="A27153" t="s">
        <v>43113</v>
      </c>
      <c r="B27153" t="s">
        <v>43114</v>
      </c>
      <c r="C27153" t="s">
        <v>23</v>
      </c>
      <c r="D27153" t="s">
        <v>21</v>
      </c>
      <c r="E27153" t="s">
        <v>15</v>
      </c>
      <c r="F27153" s="2" t="str">
        <f>HYPERLINK("http://www.otzar.org/book.asp?601209","מתורתו של רבי פנחס")</f>
        <v>מתורתו של רבי פנחס</v>
      </c>
    </row>
    <row r="27154" spans="1:6" x14ac:dyDescent="0.2">
      <c r="A27154" t="s">
        <v>43115</v>
      </c>
      <c r="B27154" t="s">
        <v>14662</v>
      </c>
      <c r="C27154" t="s">
        <v>21397</v>
      </c>
      <c r="D27154" t="s">
        <v>1180</v>
      </c>
      <c r="E27154" t="s">
        <v>2010</v>
      </c>
      <c r="F27154" s="2" t="str">
        <f>HYPERLINK("http://www.otzar.org/book.asp?170744","מתורתו של רבינו - 4 כר'")</f>
        <v>מתורתו של רבינו - 4 כר'</v>
      </c>
    </row>
    <row r="27155" spans="1:6" x14ac:dyDescent="0.2">
      <c r="A27155" t="s">
        <v>43116</v>
      </c>
      <c r="B27155" t="s">
        <v>43117</v>
      </c>
      <c r="C27155" t="s">
        <v>454</v>
      </c>
      <c r="D27155" t="s">
        <v>52</v>
      </c>
      <c r="E27155" t="s">
        <v>158</v>
      </c>
      <c r="F27155" s="2" t="str">
        <f>HYPERLINK("http://www.otzar.org/book.asp?151104","מתורתו של רש""י - 4 כר'")</f>
        <v>מתורתו של רש"י - 4 כר'</v>
      </c>
    </row>
    <row r="27156" spans="1:6" x14ac:dyDescent="0.2">
      <c r="A27156" t="s">
        <v>43118</v>
      </c>
      <c r="B27156" t="s">
        <v>43119</v>
      </c>
      <c r="C27156" t="s">
        <v>1619</v>
      </c>
      <c r="D27156" t="s">
        <v>412</v>
      </c>
      <c r="E27156" t="s">
        <v>130</v>
      </c>
      <c r="F27156" s="2" t="str">
        <f>HYPERLINK("http://www.otzar.org/book.asp?601176","מתורתם של חכמי פרובאנס וספרד")</f>
        <v>מתורתם של חכמי פרובאנס וספרד</v>
      </c>
    </row>
    <row r="27157" spans="1:6" x14ac:dyDescent="0.2">
      <c r="A27157" t="s">
        <v>43120</v>
      </c>
      <c r="B27157" t="s">
        <v>7048</v>
      </c>
      <c r="C27157" t="s">
        <v>553</v>
      </c>
      <c r="D27157" t="s">
        <v>216</v>
      </c>
      <c r="F27157" s="2" t="str">
        <f>HYPERLINK("http://www.otzar.org/book.asp?156253","מתורתם של ראשונים")</f>
        <v>מתורתם של ראשונים</v>
      </c>
    </row>
    <row r="27158" spans="1:6" x14ac:dyDescent="0.2">
      <c r="A27158" t="s">
        <v>43121</v>
      </c>
      <c r="B27158" t="s">
        <v>9926</v>
      </c>
      <c r="C27158" t="s">
        <v>985</v>
      </c>
      <c r="D27158" t="s">
        <v>1855</v>
      </c>
      <c r="E27158" t="s">
        <v>2088</v>
      </c>
      <c r="F27158" s="2" t="str">
        <f>HYPERLINK("http://www.otzar.org/book.asp?160","מתורתן של ראשונים")</f>
        <v>מתורתן של ראשונים</v>
      </c>
    </row>
    <row r="27159" spans="1:6" x14ac:dyDescent="0.2">
      <c r="A27159" t="s">
        <v>43122</v>
      </c>
      <c r="B27159" t="s">
        <v>43123</v>
      </c>
      <c r="C27159" t="s">
        <v>68</v>
      </c>
      <c r="D27159" t="s">
        <v>118</v>
      </c>
      <c r="E27159" t="s">
        <v>202</v>
      </c>
      <c r="F27159" s="2" t="str">
        <f>HYPERLINK("http://www.otzar.org/book.asp?170499","מתחזקים בתורה - 10 כר'")</f>
        <v>מתחזקים בתורה - 10 כר'</v>
      </c>
    </row>
    <row r="27160" spans="1:6" x14ac:dyDescent="0.2">
      <c r="A27160" t="s">
        <v>43124</v>
      </c>
      <c r="B27160" t="s">
        <v>43125</v>
      </c>
      <c r="C27160">
        <v>1983</v>
      </c>
      <c r="D27160" t="s">
        <v>1356</v>
      </c>
      <c r="E27160" t="s">
        <v>733</v>
      </c>
      <c r="F27160" s="2" t="str">
        <f>HYPERLINK("http://www.otzar.org/book.asp?190696","מתחים ואפליה עדתית בישראל")</f>
        <v>מתחים ואפליה עדתית בישראל</v>
      </c>
    </row>
    <row r="27161" spans="1:6" x14ac:dyDescent="0.2">
      <c r="A27161" t="s">
        <v>43126</v>
      </c>
      <c r="B27161" t="s">
        <v>30841</v>
      </c>
      <c r="C27161" t="s">
        <v>13</v>
      </c>
      <c r="D27161" t="s">
        <v>14</v>
      </c>
      <c r="F27161" s="2" t="str">
        <f>HYPERLINK("http://www.otzar.org/book.asp?198746","מתי שמעו ילדי בקולי")</f>
        <v>מתי שמעו ילדי בקולי</v>
      </c>
    </row>
    <row r="27162" spans="1:6" x14ac:dyDescent="0.2">
      <c r="A27162" t="s">
        <v>43127</v>
      </c>
      <c r="B27162" t="s">
        <v>43128</v>
      </c>
      <c r="C27162" t="s">
        <v>908</v>
      </c>
      <c r="D27162" t="s">
        <v>27</v>
      </c>
      <c r="E27162" t="s">
        <v>43129</v>
      </c>
      <c r="F27162" s="2" t="str">
        <f>HYPERLINK("http://www.otzar.org/book.asp?10475","מתיבות")</f>
        <v>מתיבות</v>
      </c>
    </row>
    <row r="27163" spans="1:6" x14ac:dyDescent="0.2">
      <c r="A27163" t="s">
        <v>43130</v>
      </c>
      <c r="B27163" t="s">
        <v>43131</v>
      </c>
      <c r="C27163" t="s">
        <v>37</v>
      </c>
      <c r="D27163" t="s">
        <v>21</v>
      </c>
      <c r="F27163" s="2" t="str">
        <f>HYPERLINK("http://www.otzar.org/book.asp?601890","מתיבתא (כג) בבא בתרא - 9 כר'")</f>
        <v>מתיבתא (כג) בבא בתרא - 9 כר'</v>
      </c>
    </row>
    <row r="27164" spans="1:6" x14ac:dyDescent="0.2">
      <c r="A27164" t="s">
        <v>43132</v>
      </c>
      <c r="B27164" t="s">
        <v>43133</v>
      </c>
      <c r="C27164" t="s">
        <v>51</v>
      </c>
      <c r="D27164" t="s">
        <v>52</v>
      </c>
      <c r="E27164" t="s">
        <v>186</v>
      </c>
      <c r="F27164" s="2" t="str">
        <f>HYPERLINK("http://www.otzar.org/book.asp?52263","מתיבתא דרבנן - 2 כר'")</f>
        <v>מתיבתא דרבנן - 2 כר'</v>
      </c>
    </row>
    <row r="27165" spans="1:6" x14ac:dyDescent="0.2">
      <c r="A27165" t="s">
        <v>43134</v>
      </c>
      <c r="B27165" t="s">
        <v>43135</v>
      </c>
      <c r="C27165" t="s">
        <v>454</v>
      </c>
      <c r="D27165" t="s">
        <v>52</v>
      </c>
      <c r="E27165" t="s">
        <v>144</v>
      </c>
      <c r="F27165" s="2" t="str">
        <f>HYPERLINK("http://www.otzar.org/book.asp?181951","מתיבתא דרבנן - 3 כר'")</f>
        <v>מתיבתא דרבנן - 3 כר'</v>
      </c>
    </row>
    <row r="27166" spans="1:6" x14ac:dyDescent="0.2">
      <c r="A27166" t="s">
        <v>43136</v>
      </c>
      <c r="B27166" t="s">
        <v>43137</v>
      </c>
      <c r="C27166" t="s">
        <v>79</v>
      </c>
      <c r="D27166" t="s">
        <v>27</v>
      </c>
      <c r="E27166" t="s">
        <v>165</v>
      </c>
      <c r="F27166" s="2" t="str">
        <f>HYPERLINK("http://www.otzar.org/book.asp?17038","מתיקא כדובשא")</f>
        <v>מתיקא כדובשא</v>
      </c>
    </row>
    <row r="27167" spans="1:6" x14ac:dyDescent="0.2">
      <c r="A27167" t="s">
        <v>43138</v>
      </c>
      <c r="B27167" t="s">
        <v>7850</v>
      </c>
      <c r="C27167" t="s">
        <v>87</v>
      </c>
      <c r="D27167" t="s">
        <v>14</v>
      </c>
      <c r="E27167" t="s">
        <v>246</v>
      </c>
      <c r="F27167" s="2" t="str">
        <f>HYPERLINK("http://www.otzar.org/book.asp?193304","מתיקות אלול")</f>
        <v>מתיקות אלול</v>
      </c>
    </row>
    <row r="27168" spans="1:6" x14ac:dyDescent="0.2">
      <c r="A27168" t="s">
        <v>43139</v>
      </c>
      <c r="B27168" t="s">
        <v>7850</v>
      </c>
      <c r="C27168" t="s">
        <v>133</v>
      </c>
      <c r="D27168" t="s">
        <v>14</v>
      </c>
      <c r="E27168" t="s">
        <v>241</v>
      </c>
      <c r="F27168" s="2" t="str">
        <f>HYPERLINK("http://www.otzar.org/book.asp?193305","מתיקות האדם")</f>
        <v>מתיקות האדם</v>
      </c>
    </row>
    <row r="27169" spans="1:6" x14ac:dyDescent="0.2">
      <c r="A27169" t="s">
        <v>43140</v>
      </c>
      <c r="B27169" t="s">
        <v>7850</v>
      </c>
      <c r="C27169" t="s">
        <v>244</v>
      </c>
      <c r="D27169" t="s">
        <v>14</v>
      </c>
      <c r="E27169" t="s">
        <v>246</v>
      </c>
      <c r="F27169" s="2" t="str">
        <f>HYPERLINK("http://www.otzar.org/book.asp?604310","מתיקות השבת")</f>
        <v>מתיקות השבת</v>
      </c>
    </row>
    <row r="27170" spans="1:6" x14ac:dyDescent="0.2">
      <c r="A27170" t="s">
        <v>43141</v>
      </c>
      <c r="B27170" t="s">
        <v>43142</v>
      </c>
      <c r="C27170" t="s">
        <v>133</v>
      </c>
      <c r="D27170" t="s">
        <v>21</v>
      </c>
      <c r="E27170" t="s">
        <v>241</v>
      </c>
      <c r="F27170" s="2" t="str">
        <f>HYPERLINK("http://www.otzar.org/book.asp?193230","מתיקות התורה - 2 כר'")</f>
        <v>מתיקות התורה - 2 כר'</v>
      </c>
    </row>
    <row r="27171" spans="1:6" x14ac:dyDescent="0.2">
      <c r="A27171" t="s">
        <v>43143</v>
      </c>
      <c r="B27171" t="s">
        <v>7850</v>
      </c>
      <c r="C27171" t="s">
        <v>133</v>
      </c>
      <c r="D27171" t="s">
        <v>14</v>
      </c>
      <c r="E27171" t="s">
        <v>241</v>
      </c>
      <c r="F27171" s="2" t="str">
        <f>HYPERLINK("http://www.otzar.org/book.asp?175553","מתיקות התפילה - 2 כר'")</f>
        <v>מתיקות התפילה - 2 כר'</v>
      </c>
    </row>
    <row r="27172" spans="1:6" x14ac:dyDescent="0.2">
      <c r="A27172" t="s">
        <v>43144</v>
      </c>
      <c r="B27172" t="s">
        <v>43145</v>
      </c>
      <c r="C27172" t="s">
        <v>146</v>
      </c>
      <c r="D27172" t="s">
        <v>14</v>
      </c>
      <c r="E27172" t="s">
        <v>674</v>
      </c>
      <c r="F27172" s="2" t="str">
        <f>HYPERLINK("http://www.otzar.org/book.asp?52978","מתיקת הפרי &lt;על פרי מגדים&gt; - 4 כר'")</f>
        <v>מתיקת הפרי &lt;על פרי מגדים&gt; - 4 כר'</v>
      </c>
    </row>
    <row r="27173" spans="1:6" x14ac:dyDescent="0.2">
      <c r="A27173" t="s">
        <v>43146</v>
      </c>
      <c r="B27173" t="s">
        <v>249</v>
      </c>
      <c r="C27173" t="s">
        <v>306</v>
      </c>
      <c r="D27173" t="s">
        <v>212</v>
      </c>
      <c r="E27173" t="s">
        <v>144</v>
      </c>
      <c r="F27173" s="2" t="str">
        <f>HYPERLINK("http://www.otzar.org/book.asp?101056","מתן בסתר - 3 כר'")</f>
        <v>מתן בסתר - 3 כר'</v>
      </c>
    </row>
    <row r="27174" spans="1:6" x14ac:dyDescent="0.2">
      <c r="A27174" t="s">
        <v>43147</v>
      </c>
      <c r="B27174" t="s">
        <v>35032</v>
      </c>
      <c r="C27174" t="s">
        <v>51</v>
      </c>
      <c r="D27174" t="s">
        <v>52</v>
      </c>
      <c r="E27174" t="s">
        <v>144</v>
      </c>
      <c r="F27174" s="2" t="str">
        <f>HYPERLINK("http://www.otzar.org/book.asp?23926","מתן קדש - 4 כר'")</f>
        <v>מתן קדש - 4 כר'</v>
      </c>
    </row>
    <row r="27175" spans="1:6" x14ac:dyDescent="0.2">
      <c r="A27175" t="s">
        <v>43148</v>
      </c>
      <c r="B27175" t="s">
        <v>1361</v>
      </c>
      <c r="C27175" t="s">
        <v>37</v>
      </c>
      <c r="D27175" t="s">
        <v>152</v>
      </c>
      <c r="E27175" t="s">
        <v>104</v>
      </c>
      <c r="F27175" s="2" t="str">
        <f>HYPERLINK("http://www.otzar.org/book.asp?181470","מתן שכרן של מצוות &lt;מהדורה חדשה&gt;")</f>
        <v>מתן שכרן של מצוות &lt;מהדורה חדשה&gt;</v>
      </c>
    </row>
    <row r="27176" spans="1:6" x14ac:dyDescent="0.2">
      <c r="A27176" t="s">
        <v>43149</v>
      </c>
      <c r="B27176" t="s">
        <v>1361</v>
      </c>
      <c r="C27176" t="s">
        <v>503</v>
      </c>
      <c r="D27176" t="s">
        <v>17587</v>
      </c>
      <c r="E27176" t="s">
        <v>241</v>
      </c>
      <c r="F27176" s="2" t="str">
        <f>HYPERLINK("http://www.otzar.org/book.asp?107025","מתן שכרן של מצוות")</f>
        <v>מתן שכרן של מצוות</v>
      </c>
    </row>
    <row r="27177" spans="1:6" x14ac:dyDescent="0.2">
      <c r="A27177" t="s">
        <v>43150</v>
      </c>
      <c r="B27177" t="s">
        <v>43151</v>
      </c>
      <c r="C27177" t="s">
        <v>383</v>
      </c>
      <c r="D27177" t="s">
        <v>273</v>
      </c>
      <c r="E27177" t="s">
        <v>20641</v>
      </c>
      <c r="F27177" s="2" t="str">
        <f>HYPERLINK("http://www.otzar.org/book.asp?147688","מתן תורה באור החסידות")</f>
        <v>מתן תורה באור החסידות</v>
      </c>
    </row>
    <row r="27178" spans="1:6" x14ac:dyDescent="0.2">
      <c r="A27178" t="s">
        <v>43152</v>
      </c>
      <c r="B27178" t="s">
        <v>16383</v>
      </c>
      <c r="C27178" t="s">
        <v>37</v>
      </c>
      <c r="D27178" t="s">
        <v>14</v>
      </c>
      <c r="E27178" t="s">
        <v>314</v>
      </c>
      <c r="F27178" s="2" t="str">
        <f>HYPERLINK("http://www.otzar.org/book.asp?180274","מתן תורה וסוד התורה באספקלרית רמח""ל &lt;גילוי מלכותו&gt;")</f>
        <v>מתן תורה וסוד התורה באספקלרית רמח"ל &lt;גילוי מלכותו&gt;</v>
      </c>
    </row>
    <row r="27179" spans="1:6" x14ac:dyDescent="0.2">
      <c r="A27179" t="s">
        <v>43153</v>
      </c>
      <c r="B27179" t="s">
        <v>513</v>
      </c>
      <c r="C27179" t="s">
        <v>13</v>
      </c>
      <c r="D27179" t="s">
        <v>14</v>
      </c>
      <c r="E27179" t="s">
        <v>314</v>
      </c>
      <c r="F27179" s="2" t="str">
        <f>HYPERLINK("http://www.otzar.org/book.asp?144153","מתן תורה - 2 כר'")</f>
        <v>מתן תורה - 2 כר'</v>
      </c>
    </row>
    <row r="27180" spans="1:6" x14ac:dyDescent="0.2">
      <c r="A27180" t="s">
        <v>43154</v>
      </c>
      <c r="B27180" t="s">
        <v>3644</v>
      </c>
      <c r="C27180" t="s">
        <v>20</v>
      </c>
      <c r="D27180" t="s">
        <v>14</v>
      </c>
      <c r="E27180" t="s">
        <v>3055</v>
      </c>
      <c r="F27180" s="2" t="str">
        <f>HYPERLINK("http://www.otzar.org/book.asp?159366","מתן תורתינו")</f>
        <v>מתן תורתינו</v>
      </c>
    </row>
    <row r="27181" spans="1:6" x14ac:dyDescent="0.2">
      <c r="A27181" t="s">
        <v>43155</v>
      </c>
      <c r="B27181" t="s">
        <v>43156</v>
      </c>
      <c r="C27181" t="s">
        <v>13</v>
      </c>
      <c r="D27181" t="s">
        <v>52</v>
      </c>
      <c r="E27181" t="s">
        <v>658</v>
      </c>
      <c r="F27181" s="2" t="str">
        <f>HYPERLINK("http://www.otzar.org/book.asp?157932","מתנה טובה - שבת")</f>
        <v>מתנה טובה - שבת</v>
      </c>
    </row>
    <row r="27182" spans="1:6" x14ac:dyDescent="0.2">
      <c r="A27182" t="s">
        <v>43157</v>
      </c>
      <c r="B27182" t="s">
        <v>43158</v>
      </c>
      <c r="C27182" t="s">
        <v>244</v>
      </c>
      <c r="D27182" t="s">
        <v>80</v>
      </c>
      <c r="E27182" t="s">
        <v>15</v>
      </c>
      <c r="F27182" s="2" t="str">
        <f>HYPERLINK("http://www.otzar.org/book.asp?608357","מתנה טובה")</f>
        <v>מתנה טובה</v>
      </c>
    </row>
    <row r="27183" spans="1:6" x14ac:dyDescent="0.2">
      <c r="A27183" t="s">
        <v>43157</v>
      </c>
      <c r="B27183" t="s">
        <v>1363</v>
      </c>
      <c r="C27183" t="s">
        <v>956</v>
      </c>
      <c r="D27183" t="s">
        <v>52</v>
      </c>
      <c r="E27183" t="s">
        <v>3798</v>
      </c>
      <c r="F27183" s="2" t="str">
        <f>HYPERLINK("http://www.otzar.org/book.asp?103564","מתנה טובה")</f>
        <v>מתנה טובה</v>
      </c>
    </row>
    <row r="27184" spans="1:6" x14ac:dyDescent="0.2">
      <c r="A27184" t="s">
        <v>43157</v>
      </c>
      <c r="B27184" t="s">
        <v>4560</v>
      </c>
      <c r="C27184" t="s">
        <v>462</v>
      </c>
      <c r="D27184" t="s">
        <v>225</v>
      </c>
      <c r="E27184" t="s">
        <v>144</v>
      </c>
      <c r="F27184" s="2" t="str">
        <f>HYPERLINK("http://www.otzar.org/book.asp?9124","מתנה טובה")</f>
        <v>מתנה טובה</v>
      </c>
    </row>
    <row r="27185" spans="1:6" x14ac:dyDescent="0.2">
      <c r="A27185" t="s">
        <v>43159</v>
      </c>
      <c r="B27185" t="s">
        <v>3384</v>
      </c>
      <c r="C27185" t="s">
        <v>785</v>
      </c>
      <c r="D27185" t="s">
        <v>14</v>
      </c>
      <c r="E27185" t="s">
        <v>2840</v>
      </c>
      <c r="F27185" s="2" t="str">
        <f>HYPERLINK("http://www.otzar.org/book.asp?60434","מתנה לבר מצוה - 3 כר'")</f>
        <v>מתנה לבר מצוה - 3 כר'</v>
      </c>
    </row>
    <row r="27186" spans="1:6" x14ac:dyDescent="0.2">
      <c r="A27186" t="s">
        <v>43160</v>
      </c>
      <c r="B27186" t="s">
        <v>43161</v>
      </c>
      <c r="C27186" t="s">
        <v>775</v>
      </c>
      <c r="D27186" t="s">
        <v>52</v>
      </c>
      <c r="E27186" t="s">
        <v>5741</v>
      </c>
      <c r="F27186" s="2" t="str">
        <f>HYPERLINK("http://www.otzar.org/book.asp?161785","מתנה מועטת - 3 כר'")</f>
        <v>מתנה מועטת - 3 כר'</v>
      </c>
    </row>
    <row r="27187" spans="1:6" x14ac:dyDescent="0.2">
      <c r="A27187" t="s">
        <v>43162</v>
      </c>
      <c r="B27187" t="s">
        <v>43163</v>
      </c>
      <c r="C27187" t="s">
        <v>37</v>
      </c>
      <c r="D27187" t="s">
        <v>14</v>
      </c>
      <c r="E27187" t="s">
        <v>144</v>
      </c>
      <c r="F27187" s="2" t="str">
        <f>HYPERLINK("http://www.otzar.org/book.asp?182799","מתנה מרובה")</f>
        <v>מתנה מרובה</v>
      </c>
    </row>
    <row r="27188" spans="1:6" x14ac:dyDescent="0.2">
      <c r="A27188" t="s">
        <v>43164</v>
      </c>
      <c r="B27188" t="s">
        <v>43165</v>
      </c>
      <c r="C27188" t="s">
        <v>13</v>
      </c>
      <c r="D27188" t="s">
        <v>14</v>
      </c>
      <c r="E27188" t="s">
        <v>144</v>
      </c>
      <c r="F27188" s="2" t="str">
        <f>HYPERLINK("http://www.otzar.org/book.asp?61149","מתנובת שדי - 2 כר'")</f>
        <v>מתנובת שדי - 2 כר'</v>
      </c>
    </row>
    <row r="27189" spans="1:6" x14ac:dyDescent="0.2">
      <c r="A27189" t="s">
        <v>43166</v>
      </c>
      <c r="B27189" t="s">
        <v>7038</v>
      </c>
      <c r="C27189" t="s">
        <v>438</v>
      </c>
      <c r="D27189" t="s">
        <v>21</v>
      </c>
      <c r="E27189" t="s">
        <v>15</v>
      </c>
      <c r="F27189" s="2" t="str">
        <f>HYPERLINK("http://www.otzar.org/book.asp?604215","מתנות כהונה")</f>
        <v>מתנות כהונה</v>
      </c>
    </row>
    <row r="27190" spans="1:6" x14ac:dyDescent="0.2">
      <c r="A27190" t="s">
        <v>43167</v>
      </c>
      <c r="B27190" t="s">
        <v>43168</v>
      </c>
      <c r="C27190" t="s">
        <v>68</v>
      </c>
      <c r="D27190" t="s">
        <v>14</v>
      </c>
      <c r="E27190" t="s">
        <v>325</v>
      </c>
      <c r="F27190" s="2" t="str">
        <f>HYPERLINK("http://www.otzar.org/book.asp?149263","מתנות שמים")</f>
        <v>מתנות שמים</v>
      </c>
    </row>
    <row r="27191" spans="1:6" x14ac:dyDescent="0.2">
      <c r="A27191" t="s">
        <v>43169</v>
      </c>
      <c r="B27191" t="s">
        <v>43170</v>
      </c>
      <c r="C27191" t="s">
        <v>151</v>
      </c>
      <c r="D27191" t="s">
        <v>4549</v>
      </c>
      <c r="E27191" t="s">
        <v>130</v>
      </c>
      <c r="F27191" s="2" t="str">
        <f>HYPERLINK("http://www.otzar.org/book.asp?621302","מתנת אברהם - 2 כר'")</f>
        <v>מתנת אברהם - 2 כר'</v>
      </c>
    </row>
    <row r="27192" spans="1:6" x14ac:dyDescent="0.2">
      <c r="A27192" t="s">
        <v>43171</v>
      </c>
      <c r="B27192" t="s">
        <v>43172</v>
      </c>
      <c r="C27192" t="s">
        <v>37</v>
      </c>
      <c r="D27192" t="s">
        <v>245</v>
      </c>
      <c r="E27192" t="s">
        <v>144</v>
      </c>
      <c r="F27192" s="2" t="str">
        <f>HYPERLINK("http://www.otzar.org/book.asp?180967","מתנת אהרן - 2 כר'")</f>
        <v>מתנת אהרן - 2 כר'</v>
      </c>
    </row>
    <row r="27193" spans="1:6" x14ac:dyDescent="0.2">
      <c r="A27193" t="s">
        <v>43173</v>
      </c>
      <c r="B27193" t="s">
        <v>43174</v>
      </c>
      <c r="C27193" t="s">
        <v>366</v>
      </c>
      <c r="D27193" t="s">
        <v>14</v>
      </c>
      <c r="F27193" s="2" t="str">
        <f>HYPERLINK("http://www.otzar.org/book.asp?622595","מתנת איש")</f>
        <v>מתנת איש</v>
      </c>
    </row>
    <row r="27194" spans="1:6" x14ac:dyDescent="0.2">
      <c r="A27194" t="s">
        <v>43175</v>
      </c>
      <c r="B27194" t="s">
        <v>43176</v>
      </c>
      <c r="C27194" t="s">
        <v>111</v>
      </c>
      <c r="D27194" t="s">
        <v>14</v>
      </c>
      <c r="E27194" t="s">
        <v>3516</v>
      </c>
      <c r="F27194" s="2" t="str">
        <f>HYPERLINK("http://www.otzar.org/book.asp?621229","מתנת חינם - 2 כר'")</f>
        <v>מתנת חינם - 2 כר'</v>
      </c>
    </row>
    <row r="27195" spans="1:6" x14ac:dyDescent="0.2">
      <c r="A27195" t="s">
        <v>43177</v>
      </c>
      <c r="B27195" t="s">
        <v>12028</v>
      </c>
      <c r="C27195" t="s">
        <v>523</v>
      </c>
      <c r="D27195" t="s">
        <v>14</v>
      </c>
      <c r="E27195" t="s">
        <v>144</v>
      </c>
      <c r="F27195" s="2" t="str">
        <f>HYPERLINK("http://www.otzar.org/book.asp?143464","מתנת חלקו &lt;בארות המים&gt;")</f>
        <v>מתנת חלקו &lt;בארות המים&gt;</v>
      </c>
    </row>
    <row r="27196" spans="1:6" x14ac:dyDescent="0.2">
      <c r="A27196" t="s">
        <v>43178</v>
      </c>
      <c r="B27196" t="s">
        <v>43179</v>
      </c>
      <c r="C27196" t="s">
        <v>111</v>
      </c>
      <c r="D27196" t="s">
        <v>90</v>
      </c>
      <c r="E27196" t="s">
        <v>144</v>
      </c>
      <c r="F27196" s="2" t="str">
        <f>HYPERLINK("http://www.otzar.org/book.asp?628415","מתנת חלקו - נשים-נזיקין")</f>
        <v>מתנת חלקו - נשים-נזיקין</v>
      </c>
    </row>
    <row r="27197" spans="1:6" x14ac:dyDescent="0.2">
      <c r="A27197" t="s">
        <v>43180</v>
      </c>
      <c r="B27197" t="s">
        <v>43176</v>
      </c>
      <c r="C27197" t="s">
        <v>114</v>
      </c>
      <c r="D27197" t="s">
        <v>52</v>
      </c>
      <c r="E27197" t="s">
        <v>144</v>
      </c>
      <c r="F27197" s="2" t="str">
        <f>HYPERLINK("http://www.otzar.org/book.asp?166518","מתנת חנם - כתובות")</f>
        <v>מתנת חנם - כתובות</v>
      </c>
    </row>
    <row r="27198" spans="1:6" x14ac:dyDescent="0.2">
      <c r="A27198" t="s">
        <v>43181</v>
      </c>
      <c r="B27198" t="s">
        <v>43182</v>
      </c>
      <c r="C27198" t="s">
        <v>43183</v>
      </c>
      <c r="D27198" t="s">
        <v>43184</v>
      </c>
      <c r="E27198" t="s">
        <v>1211</v>
      </c>
      <c r="F27198" s="2" t="str">
        <f>HYPERLINK("http://www.otzar.org/book.asp?11590","מתנת יד - 2 כר'")</f>
        <v>מתנת יד - 2 כר'</v>
      </c>
    </row>
    <row r="27199" spans="1:6" x14ac:dyDescent="0.2">
      <c r="A27199" t="s">
        <v>43185</v>
      </c>
      <c r="B27199" t="s">
        <v>43186</v>
      </c>
      <c r="C27199" t="s">
        <v>129</v>
      </c>
      <c r="D27199" t="s">
        <v>52</v>
      </c>
      <c r="E27199" t="s">
        <v>15</v>
      </c>
      <c r="F27199" s="2" t="str">
        <f>HYPERLINK("http://www.otzar.org/book.asp?62984","מתנת יהודה - שבת")</f>
        <v>מתנת יהודה - שבת</v>
      </c>
    </row>
    <row r="27200" spans="1:6" x14ac:dyDescent="0.2">
      <c r="A27200" t="s">
        <v>43187</v>
      </c>
      <c r="B27200" t="s">
        <v>43188</v>
      </c>
      <c r="C27200" t="s">
        <v>411</v>
      </c>
      <c r="D27200" t="s">
        <v>52</v>
      </c>
      <c r="E27200" t="s">
        <v>15</v>
      </c>
      <c r="F27200" s="2" t="str">
        <f>HYPERLINK("http://www.otzar.org/book.asp?197272","מתנת יהודה - 6 כר'")</f>
        <v>מתנת יהודה - 6 כר'</v>
      </c>
    </row>
    <row r="27201" spans="1:6" x14ac:dyDescent="0.2">
      <c r="A27201" t="s">
        <v>43189</v>
      </c>
      <c r="B27201" t="s">
        <v>43190</v>
      </c>
      <c r="C27201" t="s">
        <v>37</v>
      </c>
      <c r="D27201" t="s">
        <v>14</v>
      </c>
      <c r="E27201" t="s">
        <v>144</v>
      </c>
      <c r="F27201" s="2" t="str">
        <f>HYPERLINK("http://www.otzar.org/book.asp?180950","מתנת יושר - 5 כר'")</f>
        <v>מתנת יושר - 5 כר'</v>
      </c>
    </row>
    <row r="27202" spans="1:6" x14ac:dyDescent="0.2">
      <c r="A27202" t="s">
        <v>43191</v>
      </c>
      <c r="B27202" t="s">
        <v>43192</v>
      </c>
      <c r="C27202" t="s">
        <v>26</v>
      </c>
      <c r="D27202" t="s">
        <v>412</v>
      </c>
      <c r="E27202" t="s">
        <v>43193</v>
      </c>
      <c r="F27202" s="2" t="str">
        <f>HYPERLINK("http://www.otzar.org/book.asp?146786","מתנת יצחק")</f>
        <v>מתנת יצחק</v>
      </c>
    </row>
    <row r="27203" spans="1:6" x14ac:dyDescent="0.2">
      <c r="A27203" t="s">
        <v>43194</v>
      </c>
      <c r="B27203" t="s">
        <v>43195</v>
      </c>
      <c r="C27203" t="s">
        <v>785</v>
      </c>
      <c r="D27203" t="s">
        <v>52</v>
      </c>
      <c r="E27203" t="s">
        <v>2088</v>
      </c>
      <c r="F27203" s="2" t="str">
        <f>HYPERLINK("http://www.otzar.org/book.asp?17458","מתנת כהונה")</f>
        <v>מתנת כהונה</v>
      </c>
    </row>
    <row r="27204" spans="1:6" x14ac:dyDescent="0.2">
      <c r="A27204" t="s">
        <v>43196</v>
      </c>
      <c r="B27204" t="s">
        <v>43197</v>
      </c>
      <c r="C27204" t="s">
        <v>366</v>
      </c>
      <c r="D27204" t="s">
        <v>14</v>
      </c>
      <c r="E27204" t="s">
        <v>144</v>
      </c>
      <c r="F27204" s="2" t="str">
        <f>HYPERLINK("http://www.otzar.org/book.asp?622367","מתנת כהן - 2 כר'")</f>
        <v>מתנת כהן - 2 כר'</v>
      </c>
    </row>
    <row r="27205" spans="1:6" x14ac:dyDescent="0.2">
      <c r="A27205" t="s">
        <v>43198</v>
      </c>
      <c r="B27205" t="s">
        <v>43199</v>
      </c>
      <c r="C27205" t="s">
        <v>133</v>
      </c>
      <c r="D27205" t="s">
        <v>2125</v>
      </c>
      <c r="E27205" t="s">
        <v>144</v>
      </c>
      <c r="F27205" s="2" t="str">
        <f>HYPERLINK("http://www.otzar.org/book.asp?172636","מתנת לוי")</f>
        <v>מתנת לוי</v>
      </c>
    </row>
    <row r="27206" spans="1:6" x14ac:dyDescent="0.2">
      <c r="A27206" t="s">
        <v>43200</v>
      </c>
      <c r="B27206" t="s">
        <v>33374</v>
      </c>
      <c r="C27206" t="s">
        <v>454</v>
      </c>
      <c r="D27206" t="s">
        <v>14</v>
      </c>
      <c r="E27206" t="s">
        <v>15</v>
      </c>
      <c r="F27206" s="2" t="str">
        <f>HYPERLINK("http://www.otzar.org/book.asp?50242","מתנת משה - 2 כר'")</f>
        <v>מתנת משה - 2 כר'</v>
      </c>
    </row>
    <row r="27207" spans="1:6" x14ac:dyDescent="0.2">
      <c r="A27207" t="s">
        <v>43201</v>
      </c>
      <c r="B27207" t="s">
        <v>43202</v>
      </c>
      <c r="C27207" t="s">
        <v>767</v>
      </c>
      <c r="D27207" t="s">
        <v>14</v>
      </c>
      <c r="E27207" t="s">
        <v>834</v>
      </c>
      <c r="F27207" s="2" t="str">
        <f>HYPERLINK("http://www.otzar.org/book.asp?53260","מתנת משה - 3 כר'")</f>
        <v>מתנת משה - 3 כר'</v>
      </c>
    </row>
    <row r="27208" spans="1:6" x14ac:dyDescent="0.2">
      <c r="A27208" t="s">
        <v>43203</v>
      </c>
      <c r="B27208" t="s">
        <v>5919</v>
      </c>
      <c r="C27208" t="s">
        <v>23</v>
      </c>
      <c r="D27208" t="s">
        <v>52</v>
      </c>
      <c r="E27208" t="s">
        <v>10</v>
      </c>
      <c r="F27208" s="2" t="str">
        <f>HYPERLINK("http://www.otzar.org/book.asp?190054","מתנת משה - 4 כר'")</f>
        <v>מתנת משה - 4 כר'</v>
      </c>
    </row>
    <row r="27209" spans="1:6" x14ac:dyDescent="0.2">
      <c r="A27209" t="s">
        <v>43204</v>
      </c>
      <c r="B27209" t="s">
        <v>17584</v>
      </c>
      <c r="C27209" t="s">
        <v>103</v>
      </c>
      <c r="D27209" t="s">
        <v>646</v>
      </c>
      <c r="E27209" t="s">
        <v>3055</v>
      </c>
      <c r="F27209" s="2" t="str">
        <f>HYPERLINK("http://www.otzar.org/book.asp?619866","מתנת שבת")</f>
        <v>מתנת שבת</v>
      </c>
    </row>
    <row r="27210" spans="1:6" x14ac:dyDescent="0.2">
      <c r="A27210" t="s">
        <v>43205</v>
      </c>
      <c r="B27210" t="s">
        <v>43206</v>
      </c>
      <c r="C27210" t="s">
        <v>366</v>
      </c>
      <c r="D27210" t="s">
        <v>52</v>
      </c>
      <c r="E27210" t="s">
        <v>144</v>
      </c>
      <c r="F27210" s="2" t="str">
        <f>HYPERLINK("http://www.otzar.org/book.asp?602927","מתנת שלמה - 5 כר'")</f>
        <v>מתנת שלמה - 5 כר'</v>
      </c>
    </row>
    <row r="27211" spans="1:6" x14ac:dyDescent="0.2">
      <c r="A27211" t="s">
        <v>43207</v>
      </c>
      <c r="B27211" t="s">
        <v>8100</v>
      </c>
      <c r="C27211" t="s">
        <v>23</v>
      </c>
      <c r="D27211" t="s">
        <v>90</v>
      </c>
      <c r="E27211" t="s">
        <v>241</v>
      </c>
      <c r="F27211" s="2" t="str">
        <f>HYPERLINK("http://www.otzar.org/book.asp?183094","מתפללים (לימוד) ליקוט")</f>
        <v>מתפללים (לימוד) ליקוט</v>
      </c>
    </row>
    <row r="27212" spans="1:6" x14ac:dyDescent="0.2">
      <c r="A27212" t="s">
        <v>43208</v>
      </c>
      <c r="B27212" t="s">
        <v>43209</v>
      </c>
      <c r="C27212" t="s">
        <v>71</v>
      </c>
      <c r="E27212" t="s">
        <v>144</v>
      </c>
      <c r="F27212" s="2" t="str">
        <f>HYPERLINK("http://www.otzar.org/book.asp?199611","מתק שפתים - שבת")</f>
        <v>מתק שפתים - שבת</v>
      </c>
    </row>
    <row r="27213" spans="1:6" x14ac:dyDescent="0.2">
      <c r="A27213" t="s">
        <v>43210</v>
      </c>
      <c r="B27213" t="s">
        <v>43211</v>
      </c>
      <c r="C27213" t="s">
        <v>1650</v>
      </c>
      <c r="D27213" t="s">
        <v>16851</v>
      </c>
      <c r="E27213" t="s">
        <v>104</v>
      </c>
      <c r="F27213" s="2" t="str">
        <f>HYPERLINK("http://www.otzar.org/book.asp?148862","מתק שפתים - ב")</f>
        <v>מתק שפתים - ב</v>
      </c>
    </row>
    <row r="27214" spans="1:6" x14ac:dyDescent="0.2">
      <c r="A27214" t="s">
        <v>43212</v>
      </c>
      <c r="B27214" t="s">
        <v>43213</v>
      </c>
      <c r="C27214" t="s">
        <v>4741</v>
      </c>
      <c r="D27214" t="s">
        <v>5758</v>
      </c>
      <c r="E27214" t="s">
        <v>3567</v>
      </c>
      <c r="F27214" s="2" t="str">
        <f>HYPERLINK("http://www.otzar.org/book.asp?84629","מתקנות הגאונים &lt;כתב חרם&gt;")</f>
        <v>מתקנות הגאונים &lt;כתב חרם&gt;</v>
      </c>
    </row>
    <row r="27215" spans="1:6" x14ac:dyDescent="0.2">
      <c r="A27215" t="s">
        <v>43214</v>
      </c>
      <c r="B27215" t="s">
        <v>43215</v>
      </c>
      <c r="C27215" t="s">
        <v>5140</v>
      </c>
      <c r="D27215" t="s">
        <v>5258</v>
      </c>
      <c r="E27215" t="s">
        <v>579</v>
      </c>
      <c r="F27215" s="2" t="str">
        <f>HYPERLINK("http://www.otzar.org/book.asp?25072","מתת אלהים")</f>
        <v>מתת אלהים</v>
      </c>
    </row>
    <row r="27216" spans="1:6" x14ac:dyDescent="0.2">
      <c r="A27216" t="s">
        <v>43216</v>
      </c>
      <c r="B27216" t="s">
        <v>249</v>
      </c>
      <c r="C27216" t="s">
        <v>553</v>
      </c>
      <c r="D27216" t="s">
        <v>14</v>
      </c>
      <c r="E27216" t="s">
        <v>144</v>
      </c>
      <c r="F27216" s="2" t="str">
        <f>HYPERLINK("http://www.otzar.org/book.asp?358","מתת אלהים - 2 כר'")</f>
        <v>מתת אלהים - 2 כר'</v>
      </c>
    </row>
    <row r="27217" spans="1:6" x14ac:dyDescent="0.2">
      <c r="A27217" t="s">
        <v>43217</v>
      </c>
      <c r="B27217" t="s">
        <v>43218</v>
      </c>
      <c r="C27217" t="s">
        <v>4705</v>
      </c>
      <c r="D27217" t="s">
        <v>56</v>
      </c>
      <c r="E27217" t="s">
        <v>930</v>
      </c>
      <c r="F27217" s="2" t="str">
        <f>HYPERLINK("http://www.otzar.org/book.asp?51652","מתת ידו - 2 כר'")</f>
        <v>מתת ידו - 2 כר'</v>
      </c>
    </row>
    <row r="27218" spans="1:6" x14ac:dyDescent="0.2">
      <c r="A27218" t="s">
        <v>43219</v>
      </c>
      <c r="B27218" t="s">
        <v>43220</v>
      </c>
      <c r="C27218" t="s">
        <v>1640</v>
      </c>
      <c r="D27218" t="s">
        <v>412</v>
      </c>
      <c r="E27218" t="s">
        <v>684</v>
      </c>
      <c r="F27218" s="2" t="str">
        <f>HYPERLINK("http://www.otzar.org/book.asp?102710","מתת ידי")</f>
        <v>מתת ידי</v>
      </c>
    </row>
    <row r="27219" spans="1:6" x14ac:dyDescent="0.2">
      <c r="A27219" t="s">
        <v>43221</v>
      </c>
      <c r="B27219" t="s">
        <v>43222</v>
      </c>
      <c r="C27219" t="s">
        <v>10215</v>
      </c>
      <c r="D27219" t="s">
        <v>2290</v>
      </c>
      <c r="E27219" t="s">
        <v>158</v>
      </c>
      <c r="F27219" s="2" t="str">
        <f>HYPERLINK("http://www.otzar.org/book.asp?141112","מתת יה")</f>
        <v>מתת יה</v>
      </c>
    </row>
    <row r="27220" spans="1:6" x14ac:dyDescent="0.2">
      <c r="A27220" t="s">
        <v>43221</v>
      </c>
      <c r="B27220" t="s">
        <v>33153</v>
      </c>
      <c r="C27220" t="s">
        <v>617</v>
      </c>
      <c r="D27220" t="s">
        <v>56</v>
      </c>
      <c r="E27220" t="s">
        <v>34721</v>
      </c>
      <c r="F27220" s="2" t="str">
        <f>HYPERLINK("http://www.otzar.org/book.asp?8753","מתת יה")</f>
        <v>מתת יה</v>
      </c>
    </row>
    <row r="27221" spans="1:6" x14ac:dyDescent="0.2">
      <c r="A27221" t="s">
        <v>43223</v>
      </c>
      <c r="B27221" t="s">
        <v>43224</v>
      </c>
      <c r="C27221" t="s">
        <v>37</v>
      </c>
      <c r="D27221" t="s">
        <v>412</v>
      </c>
      <c r="E27221" t="s">
        <v>154</v>
      </c>
      <c r="F27221" s="2" t="str">
        <f>HYPERLINK("http://www.otzar.org/book.asp?622032","מתת שלומים - 3 כר'")</f>
        <v>מתת שלומים - 3 כר'</v>
      </c>
    </row>
    <row r="27222" spans="1:6" x14ac:dyDescent="0.2">
      <c r="A27222" t="s">
        <v>8819</v>
      </c>
      <c r="B27222" t="s">
        <v>12809</v>
      </c>
      <c r="C27222" t="s">
        <v>43225</v>
      </c>
      <c r="D27222" t="s">
        <v>423</v>
      </c>
      <c r="E27222" t="s">
        <v>202</v>
      </c>
      <c r="F27222" s="2" t="str">
        <f>HYPERLINK("http://www.otzar.org/book.asp?14963","מתתיה")</f>
        <v>מתתיה</v>
      </c>
    </row>
    <row r="27223" spans="1:6" x14ac:dyDescent="0.2">
      <c r="A27223" t="s">
        <v>43226</v>
      </c>
      <c r="B27223" t="s">
        <v>19397</v>
      </c>
      <c r="C27223" t="s">
        <v>20</v>
      </c>
      <c r="D27223" t="s">
        <v>52</v>
      </c>
      <c r="E27223" t="s">
        <v>158</v>
      </c>
      <c r="F27223" s="2" t="str">
        <f>HYPERLINK("http://www.otzar.org/book.asp?168532","נ""ך מקראות גדולות המאיר לישראל - 23 כר'")</f>
        <v>נ"ך מקראות גדולות המאיר לישראל - 23 כר'</v>
      </c>
    </row>
    <row r="27224" spans="1:6" x14ac:dyDescent="0.2">
      <c r="A27224" t="s">
        <v>43227</v>
      </c>
      <c r="B27224" t="s">
        <v>42839</v>
      </c>
      <c r="C27224" t="s">
        <v>956</v>
      </c>
      <c r="D27224" t="s">
        <v>216</v>
      </c>
      <c r="E27224" t="s">
        <v>803</v>
      </c>
      <c r="F27224" s="2" t="str">
        <f>HYPERLINK("http://www.otzar.org/book.asp?617643","נ""ר יהודה")</f>
        <v>נ"ר יהודה</v>
      </c>
    </row>
    <row r="27225" spans="1:6" x14ac:dyDescent="0.2">
      <c r="A27225" t="s">
        <v>43228</v>
      </c>
      <c r="B27225" t="s">
        <v>5703</v>
      </c>
      <c r="C27225" t="s">
        <v>429</v>
      </c>
      <c r="D27225" t="s">
        <v>283</v>
      </c>
      <c r="E27225" t="s">
        <v>3929</v>
      </c>
      <c r="F27225" s="2" t="str">
        <f>HYPERLINK("http://www.otzar.org/book.asp?103565","נאד דמעות")</f>
        <v>נאד דמעות</v>
      </c>
    </row>
    <row r="27226" spans="1:6" x14ac:dyDescent="0.2">
      <c r="A27226" t="s">
        <v>43229</v>
      </c>
      <c r="B27226" t="s">
        <v>43230</v>
      </c>
      <c r="C27226" t="s">
        <v>59</v>
      </c>
      <c r="D27226" t="s">
        <v>1023</v>
      </c>
      <c r="E27226" t="s">
        <v>399</v>
      </c>
      <c r="F27226" s="2" t="str">
        <f>HYPERLINK("http://www.otzar.org/book.asp?173203","נאדר בקדש")</f>
        <v>נאדר בקדש</v>
      </c>
    </row>
    <row r="27227" spans="1:6" x14ac:dyDescent="0.2">
      <c r="A27227" t="s">
        <v>43231</v>
      </c>
      <c r="B27227" t="s">
        <v>13426</v>
      </c>
      <c r="C27227" t="s">
        <v>411</v>
      </c>
      <c r="D27227" t="s">
        <v>14</v>
      </c>
      <c r="E27227" t="s">
        <v>172</v>
      </c>
      <c r="F27227" s="2" t="str">
        <f>HYPERLINK("http://www.otzar.org/book.asp?171703","נאדר בקודש")</f>
        <v>נאדר בקודש</v>
      </c>
    </row>
    <row r="27228" spans="1:6" x14ac:dyDescent="0.2">
      <c r="A27228" t="s">
        <v>43232</v>
      </c>
      <c r="B27228" t="s">
        <v>14093</v>
      </c>
      <c r="C27228" t="s">
        <v>1954</v>
      </c>
      <c r="D27228" t="s">
        <v>27</v>
      </c>
      <c r="E27228" t="s">
        <v>43233</v>
      </c>
      <c r="F27228" s="2" t="str">
        <f>HYPERLINK("http://www.otzar.org/book.asp?148480","נאה דור""ש")</f>
        <v>נאה דור"ש</v>
      </c>
    </row>
    <row r="27229" spans="1:6" x14ac:dyDescent="0.2">
      <c r="A27229" t="s">
        <v>43234</v>
      </c>
      <c r="B27229" t="s">
        <v>3113</v>
      </c>
      <c r="C27229" t="s">
        <v>1284</v>
      </c>
      <c r="D27229" t="s">
        <v>9</v>
      </c>
      <c r="E27229" t="s">
        <v>234</v>
      </c>
      <c r="F27229" s="2" t="str">
        <f>HYPERLINK("http://www.otzar.org/book.asp?188595","נאה דורש")</f>
        <v>נאה דורש</v>
      </c>
    </row>
    <row r="27230" spans="1:6" x14ac:dyDescent="0.2">
      <c r="A27230" t="s">
        <v>43234</v>
      </c>
      <c r="B27230" t="s">
        <v>3292</v>
      </c>
      <c r="C27230" t="s">
        <v>812</v>
      </c>
      <c r="D27230" t="s">
        <v>14</v>
      </c>
      <c r="E27230" t="s">
        <v>564</v>
      </c>
      <c r="F27230" s="2" t="str">
        <f>HYPERLINK("http://www.otzar.org/book.asp?9927","נאה דורש")</f>
        <v>נאה דורש</v>
      </c>
    </row>
    <row r="27231" spans="1:6" x14ac:dyDescent="0.2">
      <c r="A27231" t="s">
        <v>43234</v>
      </c>
      <c r="B27231" t="s">
        <v>2658</v>
      </c>
      <c r="C27231" t="s">
        <v>1374</v>
      </c>
      <c r="D27231" t="s">
        <v>27</v>
      </c>
      <c r="E27231" t="s">
        <v>2879</v>
      </c>
      <c r="F27231" s="2" t="str">
        <f>HYPERLINK("http://www.otzar.org/book.asp?25472","נאה דורש")</f>
        <v>נאה דורש</v>
      </c>
    </row>
    <row r="27232" spans="1:6" x14ac:dyDescent="0.2">
      <c r="A27232" t="s">
        <v>43235</v>
      </c>
      <c r="B27232" t="s">
        <v>686</v>
      </c>
      <c r="C27232" t="s">
        <v>51</v>
      </c>
      <c r="D27232" t="s">
        <v>52</v>
      </c>
      <c r="E27232" t="s">
        <v>4494</v>
      </c>
      <c r="F27232" s="2" t="str">
        <f>HYPERLINK("http://www.otzar.org/book.asp?60491","נאה זיום")</f>
        <v>נאה זיום</v>
      </c>
    </row>
    <row r="27233" spans="1:6" x14ac:dyDescent="0.2">
      <c r="A27233" t="s">
        <v>43236</v>
      </c>
      <c r="B27233" t="s">
        <v>43237</v>
      </c>
      <c r="C27233" t="s">
        <v>1609</v>
      </c>
      <c r="D27233" t="s">
        <v>27</v>
      </c>
      <c r="E27233" t="s">
        <v>154</v>
      </c>
      <c r="F27233" s="2" t="str">
        <f>HYPERLINK("http://www.otzar.org/book.asp?24392","נאה משיב")</f>
        <v>נאה משיב</v>
      </c>
    </row>
    <row r="27234" spans="1:6" x14ac:dyDescent="0.2">
      <c r="A27234" t="s">
        <v>43238</v>
      </c>
      <c r="B27234" t="s">
        <v>43239</v>
      </c>
      <c r="C27234" t="s">
        <v>4404</v>
      </c>
      <c r="D27234" t="s">
        <v>280</v>
      </c>
      <c r="E27234" t="s">
        <v>2463</v>
      </c>
      <c r="F27234" s="2" t="str">
        <f>HYPERLINK("http://www.otzar.org/book.asp?9061","נאוה קדש")</f>
        <v>נאוה קדש</v>
      </c>
    </row>
    <row r="27235" spans="1:6" x14ac:dyDescent="0.2">
      <c r="A27235" t="s">
        <v>43238</v>
      </c>
      <c r="B27235" t="s">
        <v>43240</v>
      </c>
      <c r="C27235" t="s">
        <v>752</v>
      </c>
      <c r="D27235" t="s">
        <v>212</v>
      </c>
      <c r="E27235" t="s">
        <v>158</v>
      </c>
      <c r="F27235" s="2" t="str">
        <f>HYPERLINK("http://www.otzar.org/book.asp?149819","נאוה קדש")</f>
        <v>נאוה קדש</v>
      </c>
    </row>
    <row r="27236" spans="1:6" x14ac:dyDescent="0.2">
      <c r="A27236" t="s">
        <v>43241</v>
      </c>
      <c r="B27236" t="s">
        <v>43242</v>
      </c>
      <c r="C27236" t="s">
        <v>8</v>
      </c>
      <c r="D27236" t="s">
        <v>27</v>
      </c>
      <c r="E27236" t="s">
        <v>246</v>
      </c>
      <c r="F27236" s="2" t="str">
        <f>HYPERLINK("http://www.otzar.org/book.asp?20310","נאוה תהלה")</f>
        <v>נאוה תהלה</v>
      </c>
    </row>
    <row r="27237" spans="1:6" x14ac:dyDescent="0.2">
      <c r="A27237" t="s">
        <v>43243</v>
      </c>
      <c r="B27237" t="s">
        <v>43244</v>
      </c>
      <c r="C27237" t="s">
        <v>20</v>
      </c>
      <c r="D27237" t="s">
        <v>14</v>
      </c>
      <c r="E27237" t="s">
        <v>140</v>
      </c>
      <c r="F27237" s="2" t="str">
        <f>HYPERLINK("http://www.otzar.org/book.asp?611027","נאוו לחייך")</f>
        <v>נאוו לחייך</v>
      </c>
    </row>
    <row r="27238" spans="1:6" x14ac:dyDescent="0.2">
      <c r="A27238" t="s">
        <v>43245</v>
      </c>
      <c r="B27238" t="s">
        <v>28975</v>
      </c>
      <c r="C27238" t="s">
        <v>1246</v>
      </c>
      <c r="D27238" t="s">
        <v>27</v>
      </c>
      <c r="E27238" t="s">
        <v>119</v>
      </c>
      <c r="F27238" s="2" t="str">
        <f>HYPERLINK("http://www.otzar.org/book.asp?148732","נאום ההכתרה של הראשון לציון")</f>
        <v>נאום ההכתרה של הראשון לציון</v>
      </c>
    </row>
    <row r="27239" spans="1:6" x14ac:dyDescent="0.2">
      <c r="A27239" t="s">
        <v>43246</v>
      </c>
      <c r="B27239" t="s">
        <v>43247</v>
      </c>
      <c r="E27239" t="s">
        <v>674</v>
      </c>
      <c r="F27239" s="2" t="str">
        <f>HYPERLINK("http://www.otzar.org/book.asp?183361","נאום על טהרת המשפחה &lt;מהדורה חדשה&gt;")</f>
        <v>נאום על טהרת המשפחה &lt;מהדורה חדשה&gt;</v>
      </c>
    </row>
    <row r="27240" spans="1:6" x14ac:dyDescent="0.2">
      <c r="A27240" t="s">
        <v>43248</v>
      </c>
      <c r="B27240" t="s">
        <v>43247</v>
      </c>
      <c r="C27240" t="s">
        <v>1470</v>
      </c>
      <c r="D27240" t="s">
        <v>10393</v>
      </c>
      <c r="E27240" t="s">
        <v>104</v>
      </c>
      <c r="F27240" s="2" t="str">
        <f>HYPERLINK("http://www.otzar.org/book.asp?188989","נאום על טהרת המשפחה")</f>
        <v>נאום על טהרת המשפחה</v>
      </c>
    </row>
    <row r="27241" spans="1:6" x14ac:dyDescent="0.2">
      <c r="A27241" t="s">
        <v>43249</v>
      </c>
      <c r="B27241" t="s">
        <v>43250</v>
      </c>
      <c r="C27241" t="s">
        <v>956</v>
      </c>
      <c r="D27241" t="s">
        <v>21</v>
      </c>
      <c r="E27241" t="s">
        <v>158</v>
      </c>
      <c r="F27241" s="2" t="str">
        <f>HYPERLINK("http://www.otzar.org/book.asp?191393","נאומי יצחק יעקב")</f>
        <v>נאומי יצחק יעקב</v>
      </c>
    </row>
    <row r="27242" spans="1:6" x14ac:dyDescent="0.2">
      <c r="A27242" t="s">
        <v>43251</v>
      </c>
      <c r="B27242" t="s">
        <v>43252</v>
      </c>
      <c r="C27242" t="s">
        <v>576</v>
      </c>
      <c r="D27242" t="s">
        <v>27</v>
      </c>
      <c r="E27242" t="s">
        <v>158</v>
      </c>
      <c r="F27242" s="2" t="str">
        <f>HYPERLINK("http://www.otzar.org/book.asp?168156","נאומי-שמואל")</f>
        <v>נאומי-שמואל</v>
      </c>
    </row>
    <row r="27243" spans="1:6" x14ac:dyDescent="0.2">
      <c r="A27243" t="s">
        <v>43253</v>
      </c>
      <c r="B27243" t="s">
        <v>20621</v>
      </c>
      <c r="C27243" t="s">
        <v>71</v>
      </c>
      <c r="D27243" t="s">
        <v>52</v>
      </c>
      <c r="E27243" t="s">
        <v>15</v>
      </c>
      <c r="F27243" s="2" t="str">
        <f>HYPERLINK("http://www.otzar.org/book.asp?159354","נאות אפרים - 4 כר'")</f>
        <v>נאות אפרים - 4 כר'</v>
      </c>
    </row>
    <row r="27244" spans="1:6" x14ac:dyDescent="0.2">
      <c r="A27244" t="s">
        <v>43254</v>
      </c>
      <c r="B27244" t="s">
        <v>43255</v>
      </c>
      <c r="C27244" t="s">
        <v>366</v>
      </c>
      <c r="D27244" t="s">
        <v>14</v>
      </c>
      <c r="E27244" t="s">
        <v>144</v>
      </c>
      <c r="F27244" s="2" t="str">
        <f>HYPERLINK("http://www.otzar.org/book.asp?608431","נאות אריה &lt;מהדו""ח&gt;")</f>
        <v>נאות אריה &lt;מהדו"ח&gt;</v>
      </c>
    </row>
    <row r="27245" spans="1:6" x14ac:dyDescent="0.2">
      <c r="A27245" t="s">
        <v>43256</v>
      </c>
      <c r="B27245" t="s">
        <v>43255</v>
      </c>
      <c r="C27245" t="s">
        <v>383</v>
      </c>
      <c r="D27245" t="s">
        <v>14</v>
      </c>
      <c r="E27245" t="s">
        <v>144</v>
      </c>
      <c r="F27245" s="2" t="str">
        <f>HYPERLINK("http://www.otzar.org/book.asp?83752","נאות אריה")</f>
        <v>נאות אריה</v>
      </c>
    </row>
    <row r="27246" spans="1:6" x14ac:dyDescent="0.2">
      <c r="A27246" t="s">
        <v>43257</v>
      </c>
      <c r="B27246" t="s">
        <v>17479</v>
      </c>
      <c r="C27246" t="s">
        <v>26</v>
      </c>
      <c r="D27246" t="s">
        <v>412</v>
      </c>
      <c r="E27246" t="s">
        <v>144</v>
      </c>
      <c r="F27246" s="2" t="str">
        <f>HYPERLINK("http://www.otzar.org/book.asp?605526","נאות דשא &lt;על הש""ס&gt; - א")</f>
        <v>נאות דשא &lt;על הש"ס&gt; - א</v>
      </c>
    </row>
    <row r="27247" spans="1:6" x14ac:dyDescent="0.2">
      <c r="A27247" t="s">
        <v>43258</v>
      </c>
      <c r="B27247" t="s">
        <v>17479</v>
      </c>
      <c r="C27247" t="s">
        <v>26</v>
      </c>
      <c r="D27247" t="s">
        <v>412</v>
      </c>
      <c r="E27247" t="s">
        <v>2614</v>
      </c>
      <c r="F27247" s="2" t="str">
        <f>HYPERLINK("http://www.otzar.org/book.asp?152573","נאות דשא - 3 כר'")</f>
        <v>נאות דשא - 3 כר'</v>
      </c>
    </row>
    <row r="27248" spans="1:6" x14ac:dyDescent="0.2">
      <c r="A27248" t="s">
        <v>43259</v>
      </c>
      <c r="B27248" t="s">
        <v>7899</v>
      </c>
      <c r="C27248" t="s">
        <v>568</v>
      </c>
      <c r="D27248" t="s">
        <v>267</v>
      </c>
      <c r="E27248" t="s">
        <v>154</v>
      </c>
      <c r="F27248" s="2" t="str">
        <f>HYPERLINK("http://www.otzar.org/book.asp?9757","נאות דשא - 2 כר'")</f>
        <v>נאות דשא - 2 כר'</v>
      </c>
    </row>
    <row r="27249" spans="1:6" x14ac:dyDescent="0.2">
      <c r="A27249" t="s">
        <v>43259</v>
      </c>
      <c r="B27249" t="s">
        <v>43260</v>
      </c>
      <c r="C27249" t="s">
        <v>106</v>
      </c>
      <c r="D27249" t="s">
        <v>216</v>
      </c>
      <c r="E27249" t="s">
        <v>234</v>
      </c>
      <c r="F27249" s="2" t="str">
        <f>HYPERLINK("http://www.otzar.org/book.asp?162684","נאות דשא - 2 כר'")</f>
        <v>נאות דשא - 2 כר'</v>
      </c>
    </row>
    <row r="27250" spans="1:6" x14ac:dyDescent="0.2">
      <c r="A27250" t="s">
        <v>43261</v>
      </c>
      <c r="B27250" t="s">
        <v>43262</v>
      </c>
      <c r="C27250" t="s">
        <v>313</v>
      </c>
      <c r="D27250" t="s">
        <v>14</v>
      </c>
      <c r="E27250" t="s">
        <v>144</v>
      </c>
      <c r="F27250" s="2" t="str">
        <f>HYPERLINK("http://www.otzar.org/book.asp?162803","נאות דשא - בבא מציעא")</f>
        <v>נאות דשא - בבא מציעא</v>
      </c>
    </row>
    <row r="27251" spans="1:6" x14ac:dyDescent="0.2">
      <c r="A27251" t="s">
        <v>43263</v>
      </c>
      <c r="B27251" t="s">
        <v>36271</v>
      </c>
      <c r="C27251" t="s">
        <v>17</v>
      </c>
      <c r="D27251" t="s">
        <v>14</v>
      </c>
      <c r="E27251" t="s">
        <v>158</v>
      </c>
      <c r="F27251" s="2" t="str">
        <f>HYPERLINK("http://www.otzar.org/book.asp?50388","נאות דשא - 5 כר'")</f>
        <v>נאות דשא - 5 כר'</v>
      </c>
    </row>
    <row r="27252" spans="1:6" x14ac:dyDescent="0.2">
      <c r="A27252" t="s">
        <v>43264</v>
      </c>
      <c r="B27252" t="s">
        <v>861</v>
      </c>
      <c r="C27252" t="s">
        <v>1570</v>
      </c>
      <c r="D27252" t="s">
        <v>216</v>
      </c>
      <c r="E27252" t="s">
        <v>2614</v>
      </c>
      <c r="F27252" s="2" t="str">
        <f>HYPERLINK("http://www.otzar.org/book.asp?10120","נאות הדשא - 3 כר'")</f>
        <v>נאות הדשא - 3 כר'</v>
      </c>
    </row>
    <row r="27253" spans="1:6" x14ac:dyDescent="0.2">
      <c r="A27253" t="s">
        <v>43265</v>
      </c>
      <c r="B27253" t="s">
        <v>43266</v>
      </c>
      <c r="C27253" t="s">
        <v>13</v>
      </c>
      <c r="D27253" t="s">
        <v>152</v>
      </c>
      <c r="E27253" t="s">
        <v>186</v>
      </c>
      <c r="F27253" s="2" t="str">
        <f>HYPERLINK("http://www.otzar.org/book.asp?169138","נאות יוסף - נדה")</f>
        <v>נאות יוסף - נדה</v>
      </c>
    </row>
    <row r="27254" spans="1:6" x14ac:dyDescent="0.2">
      <c r="A27254" t="s">
        <v>43267</v>
      </c>
      <c r="B27254" t="s">
        <v>6885</v>
      </c>
      <c r="C27254" t="s">
        <v>39156</v>
      </c>
      <c r="D27254" t="s">
        <v>157</v>
      </c>
      <c r="E27254" t="s">
        <v>43268</v>
      </c>
      <c r="F27254" s="2" t="str">
        <f>HYPERLINK("http://www.otzar.org/book.asp?101055","נאות יעקב - 3 כר'")</f>
        <v>נאות יעקב - 3 כר'</v>
      </c>
    </row>
    <row r="27255" spans="1:6" x14ac:dyDescent="0.2">
      <c r="A27255" t="s">
        <v>43269</v>
      </c>
      <c r="B27255" t="s">
        <v>5572</v>
      </c>
      <c r="C27255" t="s">
        <v>17</v>
      </c>
      <c r="D27255" t="s">
        <v>412</v>
      </c>
      <c r="E27255" t="s">
        <v>474</v>
      </c>
      <c r="F27255" s="2" t="str">
        <f>HYPERLINK("http://www.otzar.org/book.asp?155875","נאות יעקב")</f>
        <v>נאות יעקב</v>
      </c>
    </row>
    <row r="27256" spans="1:6" x14ac:dyDescent="0.2">
      <c r="A27256" t="s">
        <v>43269</v>
      </c>
      <c r="B27256" t="s">
        <v>43270</v>
      </c>
      <c r="C27256" t="s">
        <v>558</v>
      </c>
      <c r="D27256" t="s">
        <v>56</v>
      </c>
      <c r="E27256" t="s">
        <v>508</v>
      </c>
      <c r="F27256" s="2" t="str">
        <f>HYPERLINK("http://www.otzar.org/book.asp?9726","נאות יעקב")</f>
        <v>נאות יעקב</v>
      </c>
    </row>
    <row r="27257" spans="1:6" x14ac:dyDescent="0.2">
      <c r="A27257" t="s">
        <v>43271</v>
      </c>
      <c r="B27257" t="s">
        <v>43272</v>
      </c>
      <c r="C27257" t="s">
        <v>37</v>
      </c>
      <c r="D27257" t="s">
        <v>52</v>
      </c>
      <c r="E27257" t="s">
        <v>144</v>
      </c>
      <c r="F27257" s="2" t="str">
        <f>HYPERLINK("http://www.otzar.org/book.asp?181999","נאות יעקב - סוכה")</f>
        <v>נאות יעקב - סוכה</v>
      </c>
    </row>
    <row r="27258" spans="1:6" x14ac:dyDescent="0.2">
      <c r="A27258" t="s">
        <v>43273</v>
      </c>
      <c r="B27258" t="s">
        <v>1681</v>
      </c>
      <c r="C27258" t="s">
        <v>411</v>
      </c>
      <c r="D27258" t="s">
        <v>52</v>
      </c>
      <c r="E27258" t="s">
        <v>15</v>
      </c>
      <c r="F27258" s="2" t="str">
        <f>HYPERLINK("http://www.otzar.org/book.asp?606808","נאות מרדכי - 23 כר'")</f>
        <v>נאות מרדכי - 23 כר'</v>
      </c>
    </row>
    <row r="27259" spans="1:6" x14ac:dyDescent="0.2">
      <c r="A27259" t="s">
        <v>43274</v>
      </c>
      <c r="B27259" t="s">
        <v>8078</v>
      </c>
      <c r="C27259" t="s">
        <v>950</v>
      </c>
      <c r="D27259" t="s">
        <v>212</v>
      </c>
      <c r="F27259" s="2" t="str">
        <f>HYPERLINK("http://www.otzar.org/book.asp?149406","נאם דוד")</f>
        <v>נאם דוד</v>
      </c>
    </row>
    <row r="27260" spans="1:6" x14ac:dyDescent="0.2">
      <c r="A27260" t="s">
        <v>43275</v>
      </c>
      <c r="B27260" t="s">
        <v>38730</v>
      </c>
      <c r="C27260" t="s">
        <v>581</v>
      </c>
      <c r="D27260" t="s">
        <v>280</v>
      </c>
      <c r="E27260" t="s">
        <v>144</v>
      </c>
      <c r="F27260" s="2" t="str">
        <f>HYPERLINK("http://www.otzar.org/book.asp?182154","נאם יהודה")</f>
        <v>נאם יהודה</v>
      </c>
    </row>
    <row r="27261" spans="1:6" x14ac:dyDescent="0.2">
      <c r="A27261" t="s">
        <v>43276</v>
      </c>
      <c r="B27261" t="s">
        <v>3113</v>
      </c>
      <c r="C27261" t="s">
        <v>581</v>
      </c>
      <c r="D27261" t="s">
        <v>9</v>
      </c>
      <c r="E27261" t="s">
        <v>234</v>
      </c>
      <c r="F27261" s="2" t="str">
        <f>HYPERLINK("http://www.otzar.org/book.asp?188596","נאמים לבר מצוה ולאביו")</f>
        <v>נאמים לבר מצוה ולאביו</v>
      </c>
    </row>
    <row r="27262" spans="1:6" x14ac:dyDescent="0.2">
      <c r="A27262" t="s">
        <v>43277</v>
      </c>
      <c r="B27262" t="s">
        <v>7475</v>
      </c>
      <c r="C27262" t="s">
        <v>59</v>
      </c>
      <c r="D27262" t="s">
        <v>76</v>
      </c>
      <c r="E27262" t="s">
        <v>154</v>
      </c>
      <c r="F27262" s="2" t="str">
        <f>HYPERLINK("http://www.otzar.org/book.asp?101020","נאמן שמואל")</f>
        <v>נאמן שמואל</v>
      </c>
    </row>
    <row r="27263" spans="1:6" x14ac:dyDescent="0.2">
      <c r="A27263" t="s">
        <v>43278</v>
      </c>
      <c r="B27263" t="s">
        <v>43279</v>
      </c>
      <c r="C27263" t="s">
        <v>146</v>
      </c>
      <c r="D27263" t="s">
        <v>412</v>
      </c>
      <c r="E27263" t="s">
        <v>43280</v>
      </c>
      <c r="F27263" s="2" t="str">
        <f>HYPERLINK("http://www.otzar.org/book.asp?160855","נאמנו מא""ד")</f>
        <v>נאמנו מא"ד</v>
      </c>
    </row>
    <row r="27264" spans="1:6" x14ac:dyDescent="0.2">
      <c r="A27264" t="s">
        <v>43281</v>
      </c>
      <c r="B27264" t="s">
        <v>1602</v>
      </c>
      <c r="C27264" t="s">
        <v>366</v>
      </c>
      <c r="D27264" t="s">
        <v>14</v>
      </c>
      <c r="F27264" s="2" t="str">
        <f>HYPERLINK("http://www.otzar.org/book.asp?618709","נאמנות ה'")</f>
        <v>נאמנות ה'</v>
      </c>
    </row>
    <row r="27265" spans="1:6" x14ac:dyDescent="0.2">
      <c r="A27265" t="s">
        <v>43282</v>
      </c>
      <c r="B27265" t="s">
        <v>1602</v>
      </c>
      <c r="C27265" t="s">
        <v>151</v>
      </c>
      <c r="D27265" t="s">
        <v>14</v>
      </c>
      <c r="F27265" s="2" t="str">
        <f>HYPERLINK("http://www.otzar.org/book.asp?618713","נאמני ה'")</f>
        <v>נאמני ה'</v>
      </c>
    </row>
    <row r="27266" spans="1:6" x14ac:dyDescent="0.2">
      <c r="A27266" t="s">
        <v>43283</v>
      </c>
      <c r="B27266" t="s">
        <v>43284</v>
      </c>
      <c r="C27266" t="s">
        <v>168</v>
      </c>
      <c r="D27266" t="s">
        <v>52</v>
      </c>
      <c r="E27266" t="s">
        <v>119</v>
      </c>
      <c r="F27266" s="2" t="str">
        <f>HYPERLINK("http://www.otzar.org/book.asp?153578","נבואה והשגחה")</f>
        <v>נבואה והשגחה</v>
      </c>
    </row>
    <row r="27267" spans="1:6" x14ac:dyDescent="0.2">
      <c r="A27267" t="s">
        <v>43285</v>
      </c>
      <c r="B27267" t="s">
        <v>32783</v>
      </c>
      <c r="C27267" t="s">
        <v>168</v>
      </c>
      <c r="D27267" t="s">
        <v>14</v>
      </c>
      <c r="E27267" t="s">
        <v>104</v>
      </c>
      <c r="F27267" s="2" t="str">
        <f>HYPERLINK("http://www.otzar.org/book.asp?173859","נבואה לדורות")</f>
        <v>נבואה לדורות</v>
      </c>
    </row>
    <row r="27268" spans="1:6" x14ac:dyDescent="0.2">
      <c r="A27268" t="s">
        <v>43286</v>
      </c>
      <c r="B27268" t="s">
        <v>43287</v>
      </c>
      <c r="C27268" t="s">
        <v>956</v>
      </c>
      <c r="D27268" t="s">
        <v>14</v>
      </c>
      <c r="E27268" t="s">
        <v>621</v>
      </c>
      <c r="F27268" s="2" t="str">
        <f>HYPERLINK("http://www.otzar.org/book.asp?13505","נבואה שעריך")</f>
        <v>נבואה שעריך</v>
      </c>
    </row>
    <row r="27269" spans="1:6" x14ac:dyDescent="0.2">
      <c r="A27269" t="s">
        <v>43288</v>
      </c>
      <c r="B27269" t="s">
        <v>5129</v>
      </c>
      <c r="C27269" t="s">
        <v>390</v>
      </c>
      <c r="D27269" t="s">
        <v>216</v>
      </c>
      <c r="E27269" t="s">
        <v>158</v>
      </c>
      <c r="F27269" s="2" t="str">
        <f>HYPERLINK("http://www.otzar.org/book.asp?154127","נבואת הושע")</f>
        <v>נבואת הושע</v>
      </c>
    </row>
    <row r="27270" spans="1:6" x14ac:dyDescent="0.2">
      <c r="A27270" t="s">
        <v>43289</v>
      </c>
      <c r="B27270" t="s">
        <v>43290</v>
      </c>
      <c r="C27270" t="s">
        <v>189</v>
      </c>
      <c r="D27270" t="s">
        <v>852</v>
      </c>
      <c r="E27270" t="s">
        <v>81</v>
      </c>
      <c r="F27270" s="2" t="str">
        <f>HYPERLINK("http://www.otzar.org/book.asp?148992","נבואת הילד")</f>
        <v>נבואת הילד</v>
      </c>
    </row>
    <row r="27271" spans="1:6" x14ac:dyDescent="0.2">
      <c r="A27271" t="s">
        <v>43291</v>
      </c>
      <c r="B27271" t="s">
        <v>43292</v>
      </c>
      <c r="C27271" t="s">
        <v>43293</v>
      </c>
      <c r="D27271" t="s">
        <v>9</v>
      </c>
      <c r="E27271" t="s">
        <v>158</v>
      </c>
      <c r="F27271" s="2" t="str">
        <f>HYPERLINK("http://www.otzar.org/book.asp?14466","נבואת יונה")</f>
        <v>נבואת יונה</v>
      </c>
    </row>
    <row r="27272" spans="1:6" x14ac:dyDescent="0.2">
      <c r="A27272" t="s">
        <v>43294</v>
      </c>
      <c r="B27272" t="s">
        <v>3435</v>
      </c>
      <c r="C27272" t="s">
        <v>20</v>
      </c>
      <c r="D27272" t="s">
        <v>486</v>
      </c>
      <c r="E27272" t="s">
        <v>154</v>
      </c>
      <c r="F27272" s="2" t="str">
        <f>HYPERLINK("http://www.otzar.org/book.asp?160041","נבחר מכסף &lt;מהדורה חדשה&gt;")</f>
        <v>נבחר מכסף &lt;מהדורה חדשה&gt;</v>
      </c>
    </row>
    <row r="27273" spans="1:6" x14ac:dyDescent="0.2">
      <c r="A27273" t="s">
        <v>43295</v>
      </c>
      <c r="B27273" t="s">
        <v>206</v>
      </c>
      <c r="C27273" t="s">
        <v>111</v>
      </c>
      <c r="D27273" t="s">
        <v>52</v>
      </c>
      <c r="E27273" t="s">
        <v>144</v>
      </c>
      <c r="F27273" s="2" t="str">
        <f>HYPERLINK("http://www.otzar.org/book.asp?630103","נבחר מכסף")</f>
        <v>נבחר מכסף</v>
      </c>
    </row>
    <row r="27274" spans="1:6" x14ac:dyDescent="0.2">
      <c r="A27274" t="s">
        <v>43295</v>
      </c>
      <c r="B27274" t="s">
        <v>3435</v>
      </c>
      <c r="C27274" t="s">
        <v>1058</v>
      </c>
      <c r="D27274" t="s">
        <v>6608</v>
      </c>
      <c r="E27274" t="s">
        <v>791</v>
      </c>
      <c r="F27274" s="2" t="str">
        <f>HYPERLINK("http://www.otzar.org/book.asp?848","נבחר מכסף")</f>
        <v>נבחר מכסף</v>
      </c>
    </row>
    <row r="27275" spans="1:6" x14ac:dyDescent="0.2">
      <c r="A27275" t="s">
        <v>43296</v>
      </c>
      <c r="B27275" t="s">
        <v>43297</v>
      </c>
      <c r="C27275" t="s">
        <v>422</v>
      </c>
      <c r="D27275" t="s">
        <v>52</v>
      </c>
      <c r="F27275" s="2" t="str">
        <f>HYPERLINK("http://www.otzar.org/book.asp?617137","נבחרים מזבח")</f>
        <v>נבחרים מזבח</v>
      </c>
    </row>
    <row r="27276" spans="1:6" x14ac:dyDescent="0.2">
      <c r="A27276" t="s">
        <v>43298</v>
      </c>
      <c r="B27276" t="s">
        <v>19016</v>
      </c>
      <c r="C27276" t="s">
        <v>180</v>
      </c>
      <c r="D27276" t="s">
        <v>52</v>
      </c>
      <c r="E27276" t="s">
        <v>5935</v>
      </c>
      <c r="F27276" s="2" t="str">
        <f>HYPERLINK("http://www.otzar.org/book.asp?15197","נביאי אמת")</f>
        <v>נביאי אמת</v>
      </c>
    </row>
    <row r="27277" spans="1:6" x14ac:dyDescent="0.2">
      <c r="A27277" t="s">
        <v>43298</v>
      </c>
      <c r="B27277" t="s">
        <v>43299</v>
      </c>
      <c r="C27277" t="s">
        <v>427</v>
      </c>
      <c r="D27277" t="s">
        <v>52</v>
      </c>
      <c r="E27277" t="s">
        <v>213</v>
      </c>
      <c r="F27277" s="2" t="str">
        <f>HYPERLINK("http://www.otzar.org/book.asp?62113","נביאי אמת")</f>
        <v>נביאי אמת</v>
      </c>
    </row>
    <row r="27278" spans="1:6" x14ac:dyDescent="0.2">
      <c r="A27278" t="s">
        <v>43300</v>
      </c>
      <c r="B27278" t="s">
        <v>43301</v>
      </c>
      <c r="F27278" s="2" t="str">
        <f>HYPERLINK("http://www.otzar.org/book.asp?150954","נביאי האמת וצדק")</f>
        <v>נביאי האמת וצדק</v>
      </c>
    </row>
    <row r="27279" spans="1:6" x14ac:dyDescent="0.2">
      <c r="A27279" t="s">
        <v>43302</v>
      </c>
      <c r="B27279" t="s">
        <v>17467</v>
      </c>
      <c r="C27279" t="s">
        <v>43303</v>
      </c>
      <c r="D27279" t="s">
        <v>35729</v>
      </c>
      <c r="F27279" s="2" t="str">
        <f>HYPERLINK("http://www.otzar.org/book.asp?164730","נביאים אחרונים עם פירוש דון יצחק אברבניאל")</f>
        <v>נביאים אחרונים עם פירוש דון יצחק אברבניאל</v>
      </c>
    </row>
    <row r="27280" spans="1:6" x14ac:dyDescent="0.2">
      <c r="A27280" t="s">
        <v>43304</v>
      </c>
      <c r="B27280" t="s">
        <v>43305</v>
      </c>
      <c r="C27280" t="s">
        <v>36768</v>
      </c>
      <c r="D27280" t="s">
        <v>9012</v>
      </c>
      <c r="F27280" s="2" t="str">
        <f>HYPERLINK("http://www.otzar.org/book.asp?53618","נביאים אחרונים")</f>
        <v>נביאים אחרונים</v>
      </c>
    </row>
    <row r="27281" spans="1:6" x14ac:dyDescent="0.2">
      <c r="A27281" t="s">
        <v>43304</v>
      </c>
      <c r="B27281" t="s">
        <v>43306</v>
      </c>
      <c r="C27281" t="s">
        <v>43307</v>
      </c>
      <c r="D27281" t="s">
        <v>43308</v>
      </c>
      <c r="F27281" s="2" t="str">
        <f>HYPERLINK("http://www.otzar.org/book.asp?164942","נביאים אחרונים")</f>
        <v>נביאים אחרונים</v>
      </c>
    </row>
    <row r="27282" spans="1:6" x14ac:dyDescent="0.2">
      <c r="A27282" t="s">
        <v>43309</v>
      </c>
      <c r="B27282" t="s">
        <v>43310</v>
      </c>
      <c r="C27282" t="s">
        <v>43311</v>
      </c>
      <c r="D27282" t="s">
        <v>7163</v>
      </c>
      <c r="E27282" t="s">
        <v>158</v>
      </c>
      <c r="F27282" s="2" t="str">
        <f>HYPERLINK("http://www.otzar.org/book.asp?156421","נביאים אחרונים - יחזקאל")</f>
        <v>נביאים אחרונים - יחזקאל</v>
      </c>
    </row>
    <row r="27283" spans="1:6" x14ac:dyDescent="0.2">
      <c r="A27283" t="s">
        <v>43312</v>
      </c>
      <c r="B27283" t="s">
        <v>3057</v>
      </c>
      <c r="C27283" t="s">
        <v>3690</v>
      </c>
      <c r="D27283" t="s">
        <v>56</v>
      </c>
      <c r="E27283" t="s">
        <v>158</v>
      </c>
      <c r="F27283" s="2" t="str">
        <f>HYPERLINK("http://www.otzar.org/book.asp?150104","נביאים וכתובים &lt;מלבי""ם&gt; - 8 כר'")</f>
        <v>נביאים וכתובים &lt;מלבי"ם&gt; - 8 כר'</v>
      </c>
    </row>
    <row r="27284" spans="1:6" x14ac:dyDescent="0.2">
      <c r="A27284" t="s">
        <v>43313</v>
      </c>
      <c r="B27284" t="s">
        <v>43314</v>
      </c>
      <c r="C27284" t="s">
        <v>151</v>
      </c>
      <c r="D27284" t="s">
        <v>245</v>
      </c>
      <c r="F27284" s="2" t="str">
        <f>HYPERLINK("http://www.otzar.org/book.asp?632064","נביאים וכתובים &lt;יפלס נתיב&gt; - שופטים")</f>
        <v>נביאים וכתובים &lt;יפלס נתיב&gt; - שופטים</v>
      </c>
    </row>
    <row r="27285" spans="1:6" x14ac:dyDescent="0.2">
      <c r="A27285" t="s">
        <v>43315</v>
      </c>
      <c r="B27285" t="s">
        <v>41375</v>
      </c>
      <c r="C27285" t="s">
        <v>17</v>
      </c>
      <c r="D27285" t="s">
        <v>14</v>
      </c>
      <c r="E27285" t="s">
        <v>158</v>
      </c>
      <c r="F27285" s="2" t="str">
        <f>HYPERLINK("http://www.otzar.org/book.asp?158909","נביאים וכתובים מאורי רש""י - 2 כר'")</f>
        <v>נביאים וכתובים מאורי רש"י - 2 כר'</v>
      </c>
    </row>
    <row r="27286" spans="1:6" x14ac:dyDescent="0.2">
      <c r="A27286" t="s">
        <v>43316</v>
      </c>
      <c r="B27286" t="s">
        <v>43317</v>
      </c>
      <c r="C27286" t="s">
        <v>366</v>
      </c>
      <c r="D27286" t="s">
        <v>52</v>
      </c>
      <c r="F27286" s="2" t="str">
        <f>HYPERLINK("http://www.otzar.org/book.asp?620733","נביאים וכתובים מבוארים &lt;ביאורי משה&gt; - 12 כר'")</f>
        <v>נביאים וכתובים מבוארים &lt;ביאורי משה&gt; - 12 כר'</v>
      </c>
    </row>
    <row r="27287" spans="1:6" x14ac:dyDescent="0.2">
      <c r="A27287" t="s">
        <v>43318</v>
      </c>
      <c r="B27287" t="s">
        <v>43319</v>
      </c>
      <c r="C27287" t="s">
        <v>767</v>
      </c>
      <c r="D27287" t="s">
        <v>14</v>
      </c>
      <c r="E27287" t="s">
        <v>158</v>
      </c>
      <c r="F27287" s="2" t="str">
        <f>HYPERLINK("http://www.otzar.org/book.asp?83580","נביאים וכתובים - 11 כר'")</f>
        <v>נביאים וכתובים - 11 כר'</v>
      </c>
    </row>
    <row r="27288" spans="1:6" x14ac:dyDescent="0.2">
      <c r="A27288" t="s">
        <v>43320</v>
      </c>
      <c r="B27288" t="s">
        <v>6772</v>
      </c>
      <c r="C27288" t="s">
        <v>43321</v>
      </c>
      <c r="D27288" t="s">
        <v>729</v>
      </c>
      <c r="E27288" t="s">
        <v>158</v>
      </c>
      <c r="F27288" s="2" t="str">
        <f>HYPERLINK("http://www.otzar.org/book.asp?167245","נביאים כתובים &lt;אילה שלוחה, מגישי מנחה&gt; - 12 כר'")</f>
        <v>נביאים כתובים &lt;אילה שלוחה, מגישי מנחה&gt; - 12 כר'</v>
      </c>
    </row>
    <row r="27289" spans="1:6" x14ac:dyDescent="0.2">
      <c r="A27289" t="s">
        <v>43322</v>
      </c>
      <c r="B27289" t="s">
        <v>43323</v>
      </c>
      <c r="C27289" t="s">
        <v>176</v>
      </c>
      <c r="D27289" t="s">
        <v>52</v>
      </c>
      <c r="E27289" t="s">
        <v>158</v>
      </c>
      <c r="F27289" s="2" t="str">
        <f>HYPERLINK("http://www.otzar.org/book.asp?143128","נביאים ראשונים לאור המסורה - 4 כר'")</f>
        <v>נביאים ראשונים לאור המסורה - 4 כר'</v>
      </c>
    </row>
    <row r="27290" spans="1:6" x14ac:dyDescent="0.2">
      <c r="A27290" t="s">
        <v>43324</v>
      </c>
      <c r="B27290" t="s">
        <v>43325</v>
      </c>
      <c r="C27290" t="s">
        <v>946</v>
      </c>
      <c r="D27290" t="s">
        <v>9</v>
      </c>
      <c r="E27290" t="s">
        <v>158</v>
      </c>
      <c r="F27290" s="2" t="str">
        <f>HYPERLINK("http://www.otzar.org/book.asp?51739","נביאים ראשונים לבתי ספר - ד")</f>
        <v>נביאים ראשונים לבתי ספר - ד</v>
      </c>
    </row>
    <row r="27291" spans="1:6" x14ac:dyDescent="0.2">
      <c r="A27291" t="s">
        <v>43326</v>
      </c>
      <c r="B27291" t="s">
        <v>30378</v>
      </c>
      <c r="C27291" t="s">
        <v>36768</v>
      </c>
      <c r="D27291" t="s">
        <v>1408</v>
      </c>
      <c r="F27291" s="2" t="str">
        <f>HYPERLINK("http://www.otzar.org/book.asp?170130","נביאים ראשונים עם פירוש רד""ק")</f>
        <v>נביאים ראשונים עם פירוש רד"ק</v>
      </c>
    </row>
    <row r="27292" spans="1:6" x14ac:dyDescent="0.2">
      <c r="A27292" t="s">
        <v>43327</v>
      </c>
      <c r="B27292" t="s">
        <v>29197</v>
      </c>
      <c r="C27292" t="s">
        <v>46</v>
      </c>
      <c r="D27292" t="s">
        <v>699</v>
      </c>
      <c r="E27292" t="s">
        <v>158</v>
      </c>
      <c r="F27292" s="2" t="str">
        <f>HYPERLINK("http://www.otzar.org/book.asp?103382","נביאים ראשונים - 2 כר'")</f>
        <v>נביאים ראשונים - 2 כר'</v>
      </c>
    </row>
    <row r="27293" spans="1:6" x14ac:dyDescent="0.2">
      <c r="A27293" t="s">
        <v>43328</v>
      </c>
      <c r="B27293" t="s">
        <v>43305</v>
      </c>
      <c r="C27293" t="s">
        <v>36768</v>
      </c>
      <c r="D27293" t="s">
        <v>9012</v>
      </c>
      <c r="F27293" s="2" t="str">
        <f>HYPERLINK("http://www.otzar.org/book.asp?53619","נביאים ראשונים")</f>
        <v>נביאים ראשונים</v>
      </c>
    </row>
    <row r="27294" spans="1:6" x14ac:dyDescent="0.2">
      <c r="A27294" t="s">
        <v>43329</v>
      </c>
      <c r="B27294" t="s">
        <v>43330</v>
      </c>
      <c r="C27294" t="s">
        <v>356</v>
      </c>
      <c r="D27294" t="s">
        <v>14</v>
      </c>
      <c r="E27294" t="s">
        <v>144</v>
      </c>
      <c r="F27294" s="2" t="str">
        <f>HYPERLINK("http://www.otzar.org/book.asp?149178","נבכי נהרות - 2 כר'")</f>
        <v>נבכי נהרות - 2 כר'</v>
      </c>
    </row>
    <row r="27295" spans="1:6" x14ac:dyDescent="0.2">
      <c r="A27295" t="s">
        <v>43331</v>
      </c>
      <c r="B27295" t="s">
        <v>19226</v>
      </c>
      <c r="C27295" t="s">
        <v>163</v>
      </c>
      <c r="D27295" t="s">
        <v>267</v>
      </c>
      <c r="E27295" t="s">
        <v>2840</v>
      </c>
      <c r="F27295" s="2" t="str">
        <f>HYPERLINK("http://www.otzar.org/book.asp?101586","נבל עשור")</f>
        <v>נבל עשור</v>
      </c>
    </row>
    <row r="27296" spans="1:6" x14ac:dyDescent="0.2">
      <c r="A27296" t="s">
        <v>43332</v>
      </c>
      <c r="B27296" t="s">
        <v>43333</v>
      </c>
      <c r="C27296" t="s">
        <v>1609</v>
      </c>
      <c r="D27296" t="s">
        <v>27</v>
      </c>
      <c r="E27296" t="s">
        <v>579</v>
      </c>
      <c r="F27296" s="2" t="str">
        <f>HYPERLINK("http://www.otzar.org/book.asp?15361","נברשת הילנה")</f>
        <v>נברשת הילנה</v>
      </c>
    </row>
    <row r="27297" spans="1:6" x14ac:dyDescent="0.2">
      <c r="A27297" t="s">
        <v>43334</v>
      </c>
      <c r="B27297" t="s">
        <v>3725</v>
      </c>
      <c r="C27297" t="s">
        <v>43335</v>
      </c>
      <c r="D27297" t="s">
        <v>27</v>
      </c>
      <c r="E27297" t="s">
        <v>43336</v>
      </c>
      <c r="F27297" s="2" t="str">
        <f>HYPERLINK("http://www.otzar.org/book.asp?12781","נברשת - 2 כר'")</f>
        <v>נברשת - 2 כר'</v>
      </c>
    </row>
    <row r="27298" spans="1:6" x14ac:dyDescent="0.2">
      <c r="A27298" t="s">
        <v>43337</v>
      </c>
      <c r="B27298" t="s">
        <v>43338</v>
      </c>
      <c r="C27298" t="s">
        <v>1268</v>
      </c>
      <c r="D27298" t="s">
        <v>14</v>
      </c>
      <c r="E27298" t="s">
        <v>104</v>
      </c>
      <c r="F27298" s="2" t="str">
        <f>HYPERLINK("http://www.otzar.org/book.asp?601144","נגד הזרם")</f>
        <v>נגד הזרם</v>
      </c>
    </row>
    <row r="27299" spans="1:6" x14ac:dyDescent="0.2">
      <c r="A27299" t="s">
        <v>43339</v>
      </c>
      <c r="B27299" t="s">
        <v>43340</v>
      </c>
      <c r="C27299" t="s">
        <v>1885</v>
      </c>
      <c r="D27299" t="s">
        <v>56</v>
      </c>
      <c r="E27299" t="s">
        <v>837</v>
      </c>
      <c r="F27299" s="2" t="str">
        <f>HYPERLINK("http://www.otzar.org/book.asp?84522","נגה אש")</f>
        <v>נגה אש</v>
      </c>
    </row>
    <row r="27300" spans="1:6" x14ac:dyDescent="0.2">
      <c r="A27300" t="s">
        <v>43341</v>
      </c>
      <c r="B27300" t="s">
        <v>20387</v>
      </c>
      <c r="C27300" t="s">
        <v>1062</v>
      </c>
      <c r="D27300" t="s">
        <v>14</v>
      </c>
      <c r="E27300" t="s">
        <v>4656</v>
      </c>
      <c r="F27300" s="2" t="str">
        <f>HYPERLINK("http://www.otzar.org/book.asp?148545","נגוני חסידים של שושלת מודזיץ.")</f>
        <v>נגוני חסידים של שושלת מודזיץ.</v>
      </c>
    </row>
    <row r="27301" spans="1:6" x14ac:dyDescent="0.2">
      <c r="A27301" t="s">
        <v>43342</v>
      </c>
      <c r="B27301" t="s">
        <v>23047</v>
      </c>
      <c r="C27301" t="s">
        <v>133</v>
      </c>
      <c r="D27301" t="s">
        <v>14</v>
      </c>
      <c r="E27301" t="s">
        <v>15</v>
      </c>
      <c r="F27301" s="2" t="str">
        <f>HYPERLINK("http://www.otzar.org/book.asp?170547","נגיד ומצוה &lt;מהדורה חדשה&gt; - א")</f>
        <v>נגיד ומצוה &lt;מהדורה חדשה&gt; - א</v>
      </c>
    </row>
    <row r="27302" spans="1:6" x14ac:dyDescent="0.2">
      <c r="A27302" t="s">
        <v>43343</v>
      </c>
      <c r="B27302" t="s">
        <v>23047</v>
      </c>
      <c r="C27302" t="s">
        <v>1679</v>
      </c>
      <c r="D27302" t="s">
        <v>1490</v>
      </c>
      <c r="F27302" s="2" t="str">
        <f>HYPERLINK("http://www.otzar.org/book.asp?152407","נגיד ומצוה - 4 כר'")</f>
        <v>נגיד ומצוה - 4 כר'</v>
      </c>
    </row>
    <row r="27303" spans="1:6" x14ac:dyDescent="0.2">
      <c r="A27303" t="s">
        <v>43344</v>
      </c>
      <c r="B27303" t="s">
        <v>1750</v>
      </c>
      <c r="C27303" t="s">
        <v>244</v>
      </c>
      <c r="D27303" t="s">
        <v>90</v>
      </c>
      <c r="E27303" t="s">
        <v>202</v>
      </c>
      <c r="F27303" s="2" t="str">
        <f>HYPERLINK("http://www.otzar.org/book.asp?600803","נגילה ונשמחה")</f>
        <v>נגילה ונשמחה</v>
      </c>
    </row>
    <row r="27304" spans="1:6" x14ac:dyDescent="0.2">
      <c r="A27304" t="s">
        <v>43345</v>
      </c>
      <c r="B27304" t="s">
        <v>43346</v>
      </c>
      <c r="C27304" t="s">
        <v>1246</v>
      </c>
      <c r="D27304" t="s">
        <v>43347</v>
      </c>
      <c r="E27304" t="s">
        <v>219</v>
      </c>
      <c r="F27304" s="2" t="str">
        <f>HYPERLINK("http://www.otzar.org/book.asp?179087","נגינות אות תפילות ביי יודן")</f>
        <v>נגינות אות תפילות ביי יודן</v>
      </c>
    </row>
    <row r="27305" spans="1:6" x14ac:dyDescent="0.2">
      <c r="A27305" t="s">
        <v>43348</v>
      </c>
      <c r="B27305" t="s">
        <v>43349</v>
      </c>
      <c r="C27305" t="s">
        <v>133</v>
      </c>
      <c r="D27305" t="s">
        <v>52</v>
      </c>
      <c r="E27305" t="s">
        <v>399</v>
      </c>
      <c r="F27305" s="2" t="str">
        <f>HYPERLINK("http://www.otzar.org/book.asp?608463","נגלות האר""י")</f>
        <v>נגלות האר"י</v>
      </c>
    </row>
    <row r="27306" spans="1:6" x14ac:dyDescent="0.2">
      <c r="A27306" t="s">
        <v>43350</v>
      </c>
      <c r="B27306" t="s">
        <v>36053</v>
      </c>
      <c r="C27306" t="s">
        <v>940</v>
      </c>
      <c r="D27306" t="s">
        <v>14</v>
      </c>
      <c r="E27306" t="s">
        <v>104</v>
      </c>
      <c r="F27306" s="2" t="str">
        <f>HYPERLINK("http://www.otzar.org/book.asp?189195","נגלות ונסתרות בחיים")</f>
        <v>נגלות ונסתרות בחיים</v>
      </c>
    </row>
    <row r="27307" spans="1:6" x14ac:dyDescent="0.2">
      <c r="A27307" t="s">
        <v>43351</v>
      </c>
      <c r="B27307" t="s">
        <v>43352</v>
      </c>
      <c r="C27307">
        <v>1956</v>
      </c>
      <c r="D27307" t="s">
        <v>5108</v>
      </c>
      <c r="F27307" s="2" t="str">
        <f>HYPERLINK("http://www.otzar.org/book.asp?196257","נגנות און תפלות ביי יידן")</f>
        <v>נגנות און תפלות ביי יידן</v>
      </c>
    </row>
    <row r="27308" spans="1:6" x14ac:dyDescent="0.2">
      <c r="A27308" t="s">
        <v>43353</v>
      </c>
      <c r="B27308" t="s">
        <v>43354</v>
      </c>
      <c r="C27308" t="s">
        <v>20</v>
      </c>
      <c r="D27308" t="s">
        <v>90</v>
      </c>
      <c r="F27308" s="2" t="str">
        <f>HYPERLINK("http://www.otzar.org/book.asp?614447","נדב ואביהוא - 2 כר'")</f>
        <v>נדב ואביהוא - 2 כר'</v>
      </c>
    </row>
    <row r="27309" spans="1:6" x14ac:dyDescent="0.2">
      <c r="A27309" t="s">
        <v>43355</v>
      </c>
      <c r="B27309" t="s">
        <v>40968</v>
      </c>
      <c r="C27309" t="s">
        <v>454</v>
      </c>
      <c r="D27309" t="s">
        <v>14</v>
      </c>
      <c r="E27309" t="s">
        <v>474</v>
      </c>
      <c r="F27309" s="2" t="str">
        <f>HYPERLINK("http://www.otzar.org/book.asp?149483","נדבות פי &lt;דרשות&gt; - 4 כר'")</f>
        <v>נדבות פי &lt;דרשות&gt; - 4 כר'</v>
      </c>
    </row>
    <row r="27310" spans="1:6" x14ac:dyDescent="0.2">
      <c r="A27310" t="s">
        <v>43356</v>
      </c>
      <c r="B27310" t="s">
        <v>43357</v>
      </c>
      <c r="C27310" t="s">
        <v>609</v>
      </c>
      <c r="D27310" t="s">
        <v>225</v>
      </c>
      <c r="E27310" t="s">
        <v>786</v>
      </c>
      <c r="F27310" s="2" t="str">
        <f>HYPERLINK("http://www.otzar.org/book.asp?22328","נדבות פי")</f>
        <v>נדבות פי</v>
      </c>
    </row>
    <row r="27311" spans="1:6" x14ac:dyDescent="0.2">
      <c r="A27311" t="s">
        <v>43356</v>
      </c>
      <c r="B27311" t="s">
        <v>43358</v>
      </c>
      <c r="C27311" t="s">
        <v>87</v>
      </c>
      <c r="D27311" t="s">
        <v>14</v>
      </c>
      <c r="E27311" t="s">
        <v>4779</v>
      </c>
      <c r="F27311" s="2" t="str">
        <f>HYPERLINK("http://www.otzar.org/book.asp?165590","נדבות פי")</f>
        <v>נדבות פי</v>
      </c>
    </row>
    <row r="27312" spans="1:6" x14ac:dyDescent="0.2">
      <c r="A27312" t="s">
        <v>43359</v>
      </c>
      <c r="B27312" t="s">
        <v>43360</v>
      </c>
      <c r="C27312" t="s">
        <v>767</v>
      </c>
      <c r="D27312" t="s">
        <v>52</v>
      </c>
      <c r="E27312" t="s">
        <v>144</v>
      </c>
      <c r="F27312" s="2" t="str">
        <f>HYPERLINK("http://www.otzar.org/book.asp?155924","נדבות פי - 2 כר'")</f>
        <v>נדבות פי - 2 כר'</v>
      </c>
    </row>
    <row r="27313" spans="1:6" x14ac:dyDescent="0.2">
      <c r="A27313" t="s">
        <v>43359</v>
      </c>
      <c r="B27313" t="s">
        <v>43361</v>
      </c>
      <c r="C27313" t="s">
        <v>28292</v>
      </c>
      <c r="D27313" t="s">
        <v>280</v>
      </c>
      <c r="E27313" t="s">
        <v>234</v>
      </c>
      <c r="F27313" s="2" t="str">
        <f>HYPERLINK("http://www.otzar.org/book.asp?102033","נדבות פי - 2 כר'")</f>
        <v>נדבות פי - 2 כר'</v>
      </c>
    </row>
    <row r="27314" spans="1:6" x14ac:dyDescent="0.2">
      <c r="A27314" t="s">
        <v>43362</v>
      </c>
      <c r="B27314" t="s">
        <v>43363</v>
      </c>
      <c r="C27314" t="s">
        <v>133</v>
      </c>
      <c r="D27314" t="s">
        <v>1156</v>
      </c>
      <c r="E27314" t="s">
        <v>1174</v>
      </c>
      <c r="F27314" s="2" t="str">
        <f>HYPERLINK("http://www.otzar.org/book.asp?191160","נדברה נא - תל תלפיות - יומא טובא לרבנן")</f>
        <v>נדברה נא - תל תלפיות - יומא טובא לרבנן</v>
      </c>
    </row>
    <row r="27315" spans="1:6" x14ac:dyDescent="0.2">
      <c r="A27315" t="s">
        <v>43364</v>
      </c>
      <c r="B27315" t="s">
        <v>43365</v>
      </c>
      <c r="C27315" t="s">
        <v>37</v>
      </c>
      <c r="D27315" t="s">
        <v>52</v>
      </c>
      <c r="F27315" s="2" t="str">
        <f>HYPERLINK("http://www.otzar.org/book.asp?195082","נדברה נא - 5 כר'")</f>
        <v>נדברה נא - 5 כר'</v>
      </c>
    </row>
    <row r="27316" spans="1:6" x14ac:dyDescent="0.2">
      <c r="A27316" t="s">
        <v>43366</v>
      </c>
      <c r="B27316" t="s">
        <v>1720</v>
      </c>
      <c r="C27316" t="s">
        <v>943</v>
      </c>
      <c r="D27316" t="s">
        <v>267</v>
      </c>
      <c r="E27316" t="s">
        <v>84</v>
      </c>
      <c r="F27316" s="2" t="str">
        <f>HYPERLINK("http://www.otzar.org/book.asp?62068","נדבת פי")</f>
        <v>נדבת פי</v>
      </c>
    </row>
    <row r="27317" spans="1:6" x14ac:dyDescent="0.2">
      <c r="A27317" t="s">
        <v>43367</v>
      </c>
      <c r="B27317" t="s">
        <v>23830</v>
      </c>
      <c r="C27317" t="s">
        <v>13</v>
      </c>
      <c r="D27317" t="s">
        <v>367</v>
      </c>
      <c r="E27317" t="s">
        <v>29441</v>
      </c>
      <c r="F27317" s="2" t="str">
        <f>HYPERLINK("http://www.otzar.org/book.asp?176896","נדבת פרץ - 9 כר'")</f>
        <v>נדבת פרץ - 9 כר'</v>
      </c>
    </row>
    <row r="27318" spans="1:6" x14ac:dyDescent="0.2">
      <c r="A27318" t="s">
        <v>43368</v>
      </c>
      <c r="B27318" t="s">
        <v>1978</v>
      </c>
      <c r="C27318" t="s">
        <v>1706</v>
      </c>
      <c r="D27318" t="s">
        <v>283</v>
      </c>
      <c r="E27318" t="s">
        <v>5935</v>
      </c>
      <c r="F27318" s="2" t="str">
        <f>HYPERLINK("http://www.otzar.org/book.asp?10564","נדחי ישראל")</f>
        <v>נדחי ישראל</v>
      </c>
    </row>
    <row r="27319" spans="1:6" x14ac:dyDescent="0.2">
      <c r="A27319" t="s">
        <v>43369</v>
      </c>
      <c r="B27319" t="s">
        <v>28970</v>
      </c>
      <c r="C27319" t="s">
        <v>43370</v>
      </c>
      <c r="D27319" t="s">
        <v>76</v>
      </c>
      <c r="E27319" t="s">
        <v>154</v>
      </c>
      <c r="F27319" s="2" t="str">
        <f>HYPERLINK("http://www.otzar.org/book.asp?101019","נדיב לב - 3 כר'")</f>
        <v>נדיב לב - 3 כר'</v>
      </c>
    </row>
    <row r="27320" spans="1:6" x14ac:dyDescent="0.2">
      <c r="A27320" t="s">
        <v>43371</v>
      </c>
      <c r="B27320" t="s">
        <v>6303</v>
      </c>
      <c r="C27320" t="s">
        <v>2132</v>
      </c>
      <c r="D27320" t="s">
        <v>27</v>
      </c>
      <c r="E27320" t="s">
        <v>144</v>
      </c>
      <c r="F27320" s="2" t="str">
        <f>HYPERLINK("http://www.otzar.org/book.asp?165860","נדרי איסר - נדרים")</f>
        <v>נדרי איסר - נדרים</v>
      </c>
    </row>
    <row r="27321" spans="1:6" x14ac:dyDescent="0.2">
      <c r="A27321" t="s">
        <v>43372</v>
      </c>
      <c r="B27321" t="s">
        <v>305</v>
      </c>
      <c r="C27321" t="s">
        <v>43373</v>
      </c>
      <c r="D27321" t="s">
        <v>60</v>
      </c>
      <c r="E27321" t="s">
        <v>508</v>
      </c>
      <c r="F27321" s="2" t="str">
        <f>HYPERLINK("http://www.otzar.org/book.asp?19275","נדרי זריזין - 2 כר'")</f>
        <v>נדרי זריזין - 2 כר'</v>
      </c>
    </row>
    <row r="27322" spans="1:6" x14ac:dyDescent="0.2">
      <c r="A27322" t="s">
        <v>43374</v>
      </c>
      <c r="B27322" t="s">
        <v>43375</v>
      </c>
      <c r="C27322" t="s">
        <v>37</v>
      </c>
      <c r="D27322" t="s">
        <v>21</v>
      </c>
      <c r="E27322" t="s">
        <v>15</v>
      </c>
      <c r="F27322" s="2" t="str">
        <f>HYPERLINK("http://www.otzar.org/book.asp?190320","נדרי יעקב")</f>
        <v>נדרי יעקב</v>
      </c>
    </row>
    <row r="27323" spans="1:6" x14ac:dyDescent="0.2">
      <c r="A27323" t="s">
        <v>43376</v>
      </c>
      <c r="B27323" t="s">
        <v>11596</v>
      </c>
      <c r="C27323" t="s">
        <v>68</v>
      </c>
      <c r="D27323" t="s">
        <v>14</v>
      </c>
      <c r="E27323" t="s">
        <v>144</v>
      </c>
      <c r="F27323" s="2" t="str">
        <f>HYPERLINK("http://www.otzar.org/book.asp?151204","נדרי כשרים")</f>
        <v>נדרי כשרים</v>
      </c>
    </row>
    <row r="27324" spans="1:6" x14ac:dyDescent="0.2">
      <c r="A27324" t="s">
        <v>43377</v>
      </c>
      <c r="B27324" t="s">
        <v>11528</v>
      </c>
      <c r="C27324" t="s">
        <v>13</v>
      </c>
      <c r="D27324" t="s">
        <v>14</v>
      </c>
      <c r="E27324" t="s">
        <v>186</v>
      </c>
      <c r="F27324" s="2" t="str">
        <f>HYPERLINK("http://www.otzar.org/book.asp?197921","נדרי לה' - נדרים")</f>
        <v>נדרי לה' - נדרים</v>
      </c>
    </row>
    <row r="27325" spans="1:6" x14ac:dyDescent="0.2">
      <c r="A27325" t="s">
        <v>43378</v>
      </c>
      <c r="B27325" t="s">
        <v>43379</v>
      </c>
      <c r="C27325" t="s">
        <v>523</v>
      </c>
      <c r="D27325" t="s">
        <v>14</v>
      </c>
      <c r="E27325" t="s">
        <v>158</v>
      </c>
      <c r="F27325" s="2" t="str">
        <f>HYPERLINK("http://www.otzar.org/book.asp?199577","נדרי תודה")</f>
        <v>נדרי תודה</v>
      </c>
    </row>
    <row r="27326" spans="1:6" x14ac:dyDescent="0.2">
      <c r="A27326" t="s">
        <v>43380</v>
      </c>
      <c r="B27326" t="s">
        <v>43381</v>
      </c>
      <c r="C27326" t="s">
        <v>356</v>
      </c>
      <c r="D27326" t="s">
        <v>90</v>
      </c>
      <c r="E27326" t="s">
        <v>144</v>
      </c>
      <c r="F27326" s="2" t="str">
        <f>HYPERLINK("http://www.otzar.org/book.asp?85701","נדרי תורה")</f>
        <v>נדרי תורה</v>
      </c>
    </row>
    <row r="27327" spans="1:6" x14ac:dyDescent="0.2">
      <c r="A27327" t="s">
        <v>43382</v>
      </c>
      <c r="B27327" t="s">
        <v>43383</v>
      </c>
      <c r="C27327" t="s">
        <v>366</v>
      </c>
      <c r="D27327" t="s">
        <v>90</v>
      </c>
      <c r="E27327" t="s">
        <v>158</v>
      </c>
      <c r="F27327" s="2" t="str">
        <f>HYPERLINK("http://www.otzar.org/book.asp?606180","נדרשת יפה")</f>
        <v>נדרשת יפה</v>
      </c>
    </row>
    <row r="27328" spans="1:6" x14ac:dyDescent="0.2">
      <c r="A27328" t="s">
        <v>43384</v>
      </c>
      <c r="B27328" t="s">
        <v>43385</v>
      </c>
      <c r="C27328" t="s">
        <v>15870</v>
      </c>
      <c r="D27328" t="s">
        <v>32637</v>
      </c>
      <c r="E27328" t="s">
        <v>31</v>
      </c>
      <c r="F27328" s="2" t="str">
        <f>HYPERLINK("http://www.otzar.org/book.asp?101587","נהג כצאן יוסף")</f>
        <v>נהג כצאן יוסף</v>
      </c>
    </row>
    <row r="27329" spans="1:6" x14ac:dyDescent="0.2">
      <c r="A27329" t="s">
        <v>43386</v>
      </c>
      <c r="B27329" t="s">
        <v>11753</v>
      </c>
      <c r="C27329" t="s">
        <v>244</v>
      </c>
      <c r="D27329" t="s">
        <v>14</v>
      </c>
      <c r="E27329" t="s">
        <v>15</v>
      </c>
      <c r="F27329" s="2" t="str">
        <f>HYPERLINK("http://www.otzar.org/book.asp?625761","נהגו העם")</f>
        <v>נהגו העם</v>
      </c>
    </row>
    <row r="27330" spans="1:6" x14ac:dyDescent="0.2">
      <c r="A27330" t="s">
        <v>43387</v>
      </c>
      <c r="B27330" t="s">
        <v>30642</v>
      </c>
      <c r="C27330" t="s">
        <v>752</v>
      </c>
      <c r="D27330" t="s">
        <v>56</v>
      </c>
      <c r="E27330" t="s">
        <v>144</v>
      </c>
      <c r="F27330" s="2" t="str">
        <f>HYPERLINK("http://www.otzar.org/book.asp?9459","נהור שרגא")</f>
        <v>נהור שרגא</v>
      </c>
    </row>
    <row r="27331" spans="1:6" x14ac:dyDescent="0.2">
      <c r="A27331" t="s">
        <v>43387</v>
      </c>
      <c r="B27331" t="s">
        <v>43388</v>
      </c>
      <c r="C27331" t="s">
        <v>812</v>
      </c>
      <c r="D27331" t="s">
        <v>947</v>
      </c>
      <c r="E27331" t="s">
        <v>1697</v>
      </c>
      <c r="F27331" s="2" t="str">
        <f>HYPERLINK("http://www.otzar.org/book.asp?14586","נהור שרגא")</f>
        <v>נהור שרגא</v>
      </c>
    </row>
    <row r="27332" spans="1:6" x14ac:dyDescent="0.2">
      <c r="A27332" t="s">
        <v>43389</v>
      </c>
      <c r="B27332" t="s">
        <v>43390</v>
      </c>
      <c r="C27332" t="s">
        <v>124</v>
      </c>
      <c r="D27332" t="s">
        <v>52</v>
      </c>
      <c r="E27332" t="s">
        <v>144</v>
      </c>
      <c r="F27332" s="2" t="str">
        <f>HYPERLINK("http://www.otzar.org/book.asp?617968","נהורא דאברהם")</f>
        <v>נהורא דאברהם</v>
      </c>
    </row>
    <row r="27333" spans="1:6" x14ac:dyDescent="0.2">
      <c r="A27333" t="s">
        <v>43391</v>
      </c>
      <c r="B27333" t="s">
        <v>43392</v>
      </c>
      <c r="C27333" t="s">
        <v>603</v>
      </c>
      <c r="D27333" t="s">
        <v>1279</v>
      </c>
      <c r="E27333" t="s">
        <v>104</v>
      </c>
      <c r="F27333" s="2" t="str">
        <f>HYPERLINK("http://www.otzar.org/book.asp?105646","נהורא דאורייתא יקר אורייתא - 2 כר'")</f>
        <v>נהורא דאורייתא יקר אורייתא - 2 כר'</v>
      </c>
    </row>
    <row r="27334" spans="1:6" x14ac:dyDescent="0.2">
      <c r="A27334" t="s">
        <v>43393</v>
      </c>
      <c r="B27334" t="s">
        <v>43394</v>
      </c>
      <c r="C27334" t="s">
        <v>1096</v>
      </c>
      <c r="D27334" t="s">
        <v>283</v>
      </c>
      <c r="E27334" t="s">
        <v>345</v>
      </c>
      <c r="F27334" s="2" t="str">
        <f>HYPERLINK("http://www.otzar.org/book.asp?51733","נהורא דיעקב - 2 כר'")</f>
        <v>נהורא דיעקב - 2 כר'</v>
      </c>
    </row>
    <row r="27335" spans="1:6" x14ac:dyDescent="0.2">
      <c r="A27335" t="s">
        <v>43395</v>
      </c>
      <c r="B27335" t="s">
        <v>43396</v>
      </c>
      <c r="C27335" t="s">
        <v>23</v>
      </c>
      <c r="D27335" t="s">
        <v>14998</v>
      </c>
      <c r="E27335" t="s">
        <v>148</v>
      </c>
      <c r="F27335" s="2" t="str">
        <f>HYPERLINK("http://www.otzar.org/book.asp?606708","נהורא דשבתא - מלאכות שבת")</f>
        <v>נהורא דשבתא - מלאכות שבת</v>
      </c>
    </row>
    <row r="27336" spans="1:6" x14ac:dyDescent="0.2">
      <c r="A27336" t="s">
        <v>43397</v>
      </c>
      <c r="B27336" t="s">
        <v>43398</v>
      </c>
      <c r="C27336" t="s">
        <v>151</v>
      </c>
      <c r="D27336" t="s">
        <v>152</v>
      </c>
      <c r="F27336" s="2" t="str">
        <f>HYPERLINK("http://www.otzar.org/book.asp?617882","נהורא דשמעתתא - 2 כר'")</f>
        <v>נהורא דשמעתתא - 2 כר'</v>
      </c>
    </row>
    <row r="27337" spans="1:6" x14ac:dyDescent="0.2">
      <c r="A27337" t="s">
        <v>43399</v>
      </c>
      <c r="B27337" t="s">
        <v>43400</v>
      </c>
      <c r="C27337" t="s">
        <v>366</v>
      </c>
      <c r="D27337" t="s">
        <v>5172</v>
      </c>
      <c r="E27337" t="s">
        <v>144</v>
      </c>
      <c r="F27337" s="2" t="str">
        <f>HYPERLINK("http://www.otzar.org/book.asp?606456","נהורא דשמעתתא - אגרות עץ ארז")</f>
        <v>נהורא דשמעתתא - אגרות עץ ארז</v>
      </c>
    </row>
    <row r="27338" spans="1:6" x14ac:dyDescent="0.2">
      <c r="A27338" t="s">
        <v>43401</v>
      </c>
      <c r="B27338" t="s">
        <v>43402</v>
      </c>
      <c r="C27338" t="s">
        <v>1096</v>
      </c>
      <c r="D27338" t="s">
        <v>56</v>
      </c>
      <c r="E27338" t="s">
        <v>144</v>
      </c>
      <c r="F27338" s="2" t="str">
        <f>HYPERLINK("http://www.otzar.org/book.asp?141108","נהורא דשרגא - 2 כר'")</f>
        <v>נהורא דשרגא - 2 כר'</v>
      </c>
    </row>
    <row r="27339" spans="1:6" x14ac:dyDescent="0.2">
      <c r="A27339" t="s">
        <v>43403</v>
      </c>
      <c r="B27339" t="s">
        <v>686</v>
      </c>
      <c r="C27339" t="s">
        <v>103</v>
      </c>
      <c r="D27339" t="s">
        <v>52</v>
      </c>
      <c r="E27339" t="s">
        <v>234</v>
      </c>
      <c r="F27339" s="2" t="str">
        <f>HYPERLINK("http://www.otzar.org/book.asp?50414","נהורא וחדותא")</f>
        <v>נהורא וחדותא</v>
      </c>
    </row>
    <row r="27340" spans="1:6" x14ac:dyDescent="0.2">
      <c r="A27340" t="s">
        <v>43404</v>
      </c>
      <c r="B27340" t="s">
        <v>13442</v>
      </c>
      <c r="C27340" t="s">
        <v>244</v>
      </c>
      <c r="D27340" t="s">
        <v>152</v>
      </c>
      <c r="E27340" t="s">
        <v>230</v>
      </c>
      <c r="F27340" s="2" t="str">
        <f>HYPERLINK("http://www.otzar.org/book.asp?197897","נהורא מעליא")</f>
        <v>נהורא מעליא</v>
      </c>
    </row>
    <row r="27341" spans="1:6" x14ac:dyDescent="0.2">
      <c r="A27341" t="s">
        <v>43405</v>
      </c>
      <c r="B27341" t="s">
        <v>43406</v>
      </c>
      <c r="C27341" t="s">
        <v>1706</v>
      </c>
      <c r="D27341" t="s">
        <v>283</v>
      </c>
      <c r="E27341" t="s">
        <v>20725</v>
      </c>
      <c r="F27341" s="2" t="str">
        <f>HYPERLINK("http://www.otzar.org/book.asp?200254","נהורא שרגא")</f>
        <v>נהורא שרגא</v>
      </c>
    </row>
    <row r="27342" spans="1:6" x14ac:dyDescent="0.2">
      <c r="A27342" t="s">
        <v>43407</v>
      </c>
      <c r="B27342" t="s">
        <v>43408</v>
      </c>
      <c r="C27342" t="s">
        <v>106</v>
      </c>
      <c r="D27342" t="s">
        <v>115</v>
      </c>
      <c r="E27342" t="s">
        <v>202</v>
      </c>
      <c r="F27342" s="2" t="str">
        <f>HYPERLINK("http://www.otzar.org/book.asp?180533","נהורא - 5 כר'")</f>
        <v>נהורא - 5 כר'</v>
      </c>
    </row>
    <row r="27343" spans="1:6" x14ac:dyDescent="0.2">
      <c r="A27343" t="s">
        <v>43409</v>
      </c>
      <c r="B27343" t="s">
        <v>19988</v>
      </c>
      <c r="C27343" t="s">
        <v>146</v>
      </c>
      <c r="D27343" t="s">
        <v>52</v>
      </c>
      <c r="E27343" t="s">
        <v>1262</v>
      </c>
      <c r="F27343" s="2" t="str">
        <f>HYPERLINK("http://www.otzar.org/book.asp?142092","נהורא")</f>
        <v>נהורא</v>
      </c>
    </row>
    <row r="27344" spans="1:6" x14ac:dyDescent="0.2">
      <c r="A27344" t="s">
        <v>43410</v>
      </c>
      <c r="B27344" t="s">
        <v>1750</v>
      </c>
      <c r="C27344" t="s">
        <v>1448</v>
      </c>
      <c r="D27344" t="s">
        <v>412</v>
      </c>
      <c r="E27344" t="s">
        <v>186</v>
      </c>
      <c r="F27344" s="2" t="str">
        <f>HYPERLINK("http://www.otzar.org/book.asp?13522","נהוראי - 9 כר'")</f>
        <v>נהוראי - 9 כר'</v>
      </c>
    </row>
    <row r="27345" spans="1:6" x14ac:dyDescent="0.2">
      <c r="A27345" t="s">
        <v>43411</v>
      </c>
      <c r="B27345" t="s">
        <v>1750</v>
      </c>
      <c r="C27345" t="s">
        <v>103</v>
      </c>
      <c r="D27345" t="s">
        <v>4996</v>
      </c>
      <c r="E27345" t="s">
        <v>186</v>
      </c>
      <c r="F27345" s="2" t="str">
        <f>HYPERLINK("http://www.otzar.org/book.asp?162686","נהורי דנורא")</f>
        <v>נהורי דנורא</v>
      </c>
    </row>
    <row r="27346" spans="1:6" x14ac:dyDescent="0.2">
      <c r="A27346" t="s">
        <v>43412</v>
      </c>
      <c r="B27346" t="s">
        <v>43413</v>
      </c>
      <c r="C27346" t="s">
        <v>114</v>
      </c>
      <c r="D27346" t="s">
        <v>486</v>
      </c>
      <c r="E27346" t="s">
        <v>140</v>
      </c>
      <c r="F27346" s="2" t="str">
        <f>HYPERLINK("http://www.otzar.org/book.asp?198359","נהלך ברגש")</f>
        <v>נהלך ברגש</v>
      </c>
    </row>
    <row r="27347" spans="1:6" x14ac:dyDescent="0.2">
      <c r="A27347" t="s">
        <v>43414</v>
      </c>
      <c r="B27347" t="s">
        <v>43415</v>
      </c>
      <c r="C27347" t="s">
        <v>129</v>
      </c>
      <c r="D27347" t="s">
        <v>646</v>
      </c>
      <c r="E27347" t="s">
        <v>148</v>
      </c>
      <c r="F27347" s="2" t="str">
        <f>HYPERLINK("http://www.otzar.org/book.asp?142007","נהמת דוב - 2 כר'")</f>
        <v>נהמת דוב - 2 כר'</v>
      </c>
    </row>
    <row r="27348" spans="1:6" x14ac:dyDescent="0.2">
      <c r="A27348" t="s">
        <v>43416</v>
      </c>
      <c r="B27348" t="s">
        <v>1750</v>
      </c>
      <c r="C27348" t="s">
        <v>332</v>
      </c>
      <c r="D27348" t="s">
        <v>14</v>
      </c>
      <c r="E27348" t="s">
        <v>202</v>
      </c>
      <c r="F27348" s="2" t="str">
        <f>HYPERLINK("http://www.otzar.org/book.asp?106325","נהר דע""ה - 4 כר'")</f>
        <v>נהר דע"ה - 4 כר'</v>
      </c>
    </row>
    <row r="27349" spans="1:6" x14ac:dyDescent="0.2">
      <c r="A27349" t="s">
        <v>43417</v>
      </c>
      <c r="B27349" t="s">
        <v>5867</v>
      </c>
      <c r="C27349" t="s">
        <v>146</v>
      </c>
      <c r="D27349" t="s">
        <v>52</v>
      </c>
      <c r="E27349" t="s">
        <v>5398</v>
      </c>
      <c r="F27349" s="2" t="str">
        <f>HYPERLINK("http://www.otzar.org/book.asp?153868","נהר יוצא מעדן")</f>
        <v>נהר יוצא מעדן</v>
      </c>
    </row>
    <row r="27350" spans="1:6" x14ac:dyDescent="0.2">
      <c r="A27350" t="s">
        <v>43417</v>
      </c>
      <c r="B27350" t="s">
        <v>1255</v>
      </c>
      <c r="C27350" t="s">
        <v>908</v>
      </c>
      <c r="D27350" t="s">
        <v>947</v>
      </c>
      <c r="E27350" t="s">
        <v>43418</v>
      </c>
      <c r="F27350" s="2" t="str">
        <f>HYPERLINK("http://www.otzar.org/book.asp?103568","נהר יוצא מעדן")</f>
        <v>נהר יוצא מעדן</v>
      </c>
    </row>
    <row r="27351" spans="1:6" x14ac:dyDescent="0.2">
      <c r="A27351" t="s">
        <v>43419</v>
      </c>
      <c r="B27351" t="s">
        <v>43420</v>
      </c>
      <c r="F27351" s="2" t="str">
        <f>HYPERLINK("http://www.otzar.org/book.asp?623015","נהר מעדן - 5 כר'")</f>
        <v>נהר מעדן - 5 כר'</v>
      </c>
    </row>
    <row r="27352" spans="1:6" x14ac:dyDescent="0.2">
      <c r="A27352" t="s">
        <v>43421</v>
      </c>
      <c r="B27352" t="s">
        <v>12884</v>
      </c>
      <c r="C27352" t="s">
        <v>462</v>
      </c>
      <c r="D27352" t="s">
        <v>43422</v>
      </c>
      <c r="E27352" t="s">
        <v>15</v>
      </c>
      <c r="F27352" s="2" t="str">
        <f>HYPERLINK("http://www.otzar.org/book.asp?148979","נהר מצרים - 4 כר'")</f>
        <v>נהר מצרים - 4 כר'</v>
      </c>
    </row>
    <row r="27353" spans="1:6" x14ac:dyDescent="0.2">
      <c r="A27353" t="s">
        <v>43423</v>
      </c>
      <c r="B27353" t="s">
        <v>43424</v>
      </c>
      <c r="C27353" t="s">
        <v>37</v>
      </c>
      <c r="D27353" t="s">
        <v>134</v>
      </c>
      <c r="E27353" t="s">
        <v>144</v>
      </c>
      <c r="F27353" s="2" t="str">
        <f>HYPERLINK("http://www.otzar.org/book.asp?181601","נהר משה - 2 כר'")</f>
        <v>נהר משה - 2 כר'</v>
      </c>
    </row>
    <row r="27354" spans="1:6" x14ac:dyDescent="0.2">
      <c r="A27354" t="s">
        <v>43425</v>
      </c>
      <c r="B27354" t="s">
        <v>9177</v>
      </c>
      <c r="C27354" t="s">
        <v>1519</v>
      </c>
      <c r="D27354" t="s">
        <v>60</v>
      </c>
      <c r="E27354" t="s">
        <v>234</v>
      </c>
      <c r="F27354" s="2" t="str">
        <f>HYPERLINK("http://www.otzar.org/book.asp?102035","נהר פישון")</f>
        <v>נהר פישון</v>
      </c>
    </row>
    <row r="27355" spans="1:6" x14ac:dyDescent="0.2">
      <c r="A27355" t="s">
        <v>43426</v>
      </c>
      <c r="B27355" t="s">
        <v>6876</v>
      </c>
      <c r="C27355" t="s">
        <v>20</v>
      </c>
      <c r="D27355" t="s">
        <v>27</v>
      </c>
      <c r="E27355" t="s">
        <v>399</v>
      </c>
      <c r="F27355" s="2" t="str">
        <f>HYPERLINK("http://www.otzar.org/book.asp?154642","נהר שלום &lt;מהדורה חדשה&gt;")</f>
        <v>נהר שלום &lt;מהדורה חדשה&gt;</v>
      </c>
    </row>
    <row r="27356" spans="1:6" x14ac:dyDescent="0.2">
      <c r="A27356" t="s">
        <v>43427</v>
      </c>
      <c r="B27356" t="s">
        <v>686</v>
      </c>
      <c r="C27356" t="s">
        <v>23</v>
      </c>
      <c r="D27356" t="s">
        <v>52</v>
      </c>
      <c r="E27356" t="s">
        <v>1164</v>
      </c>
      <c r="F27356" s="2" t="str">
        <f>HYPERLINK("http://www.otzar.org/book.asp?189771","נהר שלום")</f>
        <v>נהר שלום</v>
      </c>
    </row>
    <row r="27357" spans="1:6" x14ac:dyDescent="0.2">
      <c r="A27357" t="s">
        <v>43428</v>
      </c>
      <c r="B27357" t="s">
        <v>43429</v>
      </c>
      <c r="C27357" t="s">
        <v>9946</v>
      </c>
      <c r="D27357" t="s">
        <v>1023</v>
      </c>
      <c r="E27357" t="s">
        <v>172</v>
      </c>
      <c r="F27357" s="2" t="str">
        <f>HYPERLINK("http://www.otzar.org/book.asp?6805","נהר שלום - 6 כר'")</f>
        <v>נהר שלום - 6 כר'</v>
      </c>
    </row>
    <row r="27358" spans="1:6" x14ac:dyDescent="0.2">
      <c r="A27358" t="s">
        <v>43427</v>
      </c>
      <c r="B27358" t="s">
        <v>43430</v>
      </c>
      <c r="C27358" t="s">
        <v>462</v>
      </c>
      <c r="D27358" t="s">
        <v>283</v>
      </c>
      <c r="E27358" t="s">
        <v>474</v>
      </c>
      <c r="F27358" s="2" t="str">
        <f>HYPERLINK("http://www.otzar.org/book.asp?51718","נהר שלום")</f>
        <v>נהר שלום</v>
      </c>
    </row>
    <row r="27359" spans="1:6" x14ac:dyDescent="0.2">
      <c r="A27359" t="s">
        <v>43427</v>
      </c>
      <c r="B27359" t="s">
        <v>6876</v>
      </c>
      <c r="C27359" t="s">
        <v>1310</v>
      </c>
      <c r="D27359" t="s">
        <v>27</v>
      </c>
      <c r="F27359" s="2" t="str">
        <f>HYPERLINK("http://www.otzar.org/book.asp?170317","נהר שלום")</f>
        <v>נהר שלום</v>
      </c>
    </row>
    <row r="27360" spans="1:6" x14ac:dyDescent="0.2">
      <c r="A27360" t="s">
        <v>43431</v>
      </c>
      <c r="B27360" t="s">
        <v>43432</v>
      </c>
      <c r="C27360" t="s">
        <v>146</v>
      </c>
      <c r="D27360" t="s">
        <v>1180</v>
      </c>
      <c r="E27360" t="s">
        <v>43433</v>
      </c>
      <c r="F27360" s="2" t="str">
        <f>HYPERLINK("http://www.otzar.org/book.asp?60349","נהר שלמה")</f>
        <v>נהר שלמה</v>
      </c>
    </row>
    <row r="27361" spans="1:6" x14ac:dyDescent="0.2">
      <c r="A27361" t="s">
        <v>43434</v>
      </c>
      <c r="B27361" t="s">
        <v>41912</v>
      </c>
      <c r="C27361" t="s">
        <v>422</v>
      </c>
      <c r="D27361" t="s">
        <v>52</v>
      </c>
      <c r="E27361" t="s">
        <v>2135</v>
      </c>
      <c r="F27361" s="2" t="str">
        <f>HYPERLINK("http://www.otzar.org/book.asp?85628","נהרות איתן - 2 כר'")</f>
        <v>נהרות איתן - 2 כר'</v>
      </c>
    </row>
    <row r="27362" spans="1:6" x14ac:dyDescent="0.2">
      <c r="A27362" t="s">
        <v>43435</v>
      </c>
      <c r="B27362" t="s">
        <v>7903</v>
      </c>
      <c r="C27362" t="s">
        <v>553</v>
      </c>
      <c r="D27362" t="s">
        <v>216</v>
      </c>
      <c r="E27362" t="s">
        <v>158</v>
      </c>
      <c r="F27362" s="2" t="str">
        <f>HYPERLINK("http://www.otzar.org/book.asp?144917","נהרות איתן")</f>
        <v>נהרות איתן</v>
      </c>
    </row>
    <row r="27363" spans="1:6" x14ac:dyDescent="0.2">
      <c r="A27363" t="s">
        <v>43436</v>
      </c>
      <c r="B27363" t="s">
        <v>43437</v>
      </c>
      <c r="C27363" t="s">
        <v>129</v>
      </c>
      <c r="D27363" t="s">
        <v>852</v>
      </c>
      <c r="E27363" t="s">
        <v>684</v>
      </c>
      <c r="F27363" s="2" t="str">
        <f>HYPERLINK("http://www.otzar.org/book.asp?143824","נהרות איתן - 5 כר'")</f>
        <v>נהרות איתן - 5 כר'</v>
      </c>
    </row>
    <row r="27364" spans="1:6" x14ac:dyDescent="0.2">
      <c r="A27364" t="s">
        <v>43438</v>
      </c>
      <c r="B27364" t="s">
        <v>10978</v>
      </c>
      <c r="C27364" t="s">
        <v>5257</v>
      </c>
      <c r="D27364" t="s">
        <v>76</v>
      </c>
      <c r="E27364" t="s">
        <v>172</v>
      </c>
      <c r="F27364" s="2" t="str">
        <f>HYPERLINK("http://www.otzar.org/book.asp?101680","נהרות דמשק")</f>
        <v>נהרות דמשק</v>
      </c>
    </row>
    <row r="27365" spans="1:6" x14ac:dyDescent="0.2">
      <c r="A27365" t="s">
        <v>43438</v>
      </c>
      <c r="B27365" t="s">
        <v>26166</v>
      </c>
      <c r="C27365" t="s">
        <v>362</v>
      </c>
      <c r="D27365" t="s">
        <v>27</v>
      </c>
      <c r="E27365" t="s">
        <v>1914</v>
      </c>
      <c r="F27365" s="2" t="str">
        <f>HYPERLINK("http://www.otzar.org/book.asp?175752","נהרות דמשק")</f>
        <v>נהרות דמשק</v>
      </c>
    </row>
    <row r="27366" spans="1:6" x14ac:dyDescent="0.2">
      <c r="A27366" t="s">
        <v>43439</v>
      </c>
      <c r="B27366" t="s">
        <v>43440</v>
      </c>
      <c r="C27366" t="s">
        <v>43441</v>
      </c>
      <c r="D27366" t="s">
        <v>661</v>
      </c>
      <c r="E27366" t="s">
        <v>154</v>
      </c>
      <c r="F27366" s="2" t="str">
        <f>HYPERLINK("http://www.otzar.org/book.asp?9987","נהרי אפרסמון - 3 כר'")</f>
        <v>נהרי אפרסמון - 3 כר'</v>
      </c>
    </row>
    <row r="27367" spans="1:6" x14ac:dyDescent="0.2">
      <c r="A27367" t="s">
        <v>43442</v>
      </c>
      <c r="B27367" t="s">
        <v>5207</v>
      </c>
      <c r="C27367" t="s">
        <v>43443</v>
      </c>
      <c r="D27367" t="s">
        <v>32637</v>
      </c>
      <c r="E27367" t="s">
        <v>314</v>
      </c>
      <c r="F27367" s="2" t="str">
        <f>HYPERLINK("http://www.otzar.org/book.asp?103569","נובלות חכמה")</f>
        <v>נובלות חכמה</v>
      </c>
    </row>
    <row r="27368" spans="1:6" x14ac:dyDescent="0.2">
      <c r="A27368" t="s">
        <v>43442</v>
      </c>
      <c r="B27368" t="s">
        <v>24196</v>
      </c>
      <c r="C27368" t="s">
        <v>1246</v>
      </c>
      <c r="D27368" t="s">
        <v>260</v>
      </c>
      <c r="E27368" t="s">
        <v>5398</v>
      </c>
      <c r="F27368" s="2" t="str">
        <f>HYPERLINK("http://www.otzar.org/book.asp?10130","נובלות חכמה")</f>
        <v>נובלות חכמה</v>
      </c>
    </row>
    <row r="27369" spans="1:6" x14ac:dyDescent="0.2">
      <c r="A27369" t="s">
        <v>43444</v>
      </c>
      <c r="B27369" t="s">
        <v>21909</v>
      </c>
      <c r="C27369" t="s">
        <v>422</v>
      </c>
      <c r="D27369" t="s">
        <v>7458</v>
      </c>
      <c r="E27369" t="s">
        <v>158</v>
      </c>
      <c r="F27369" s="2" t="str">
        <f>HYPERLINK("http://www.otzar.org/book.asp?179437","נודע ביהודה &lt;מהדורה חדשה&gt; - לחם יהודה")</f>
        <v>נודע ביהודה &lt;מהדורה חדשה&gt; - לחם יהודה</v>
      </c>
    </row>
    <row r="27370" spans="1:6" x14ac:dyDescent="0.2">
      <c r="A27370" t="s">
        <v>43445</v>
      </c>
      <c r="B27370" t="s">
        <v>15259</v>
      </c>
      <c r="C27370" t="s">
        <v>624</v>
      </c>
      <c r="D27370" t="s">
        <v>14</v>
      </c>
      <c r="E27370" t="s">
        <v>154</v>
      </c>
      <c r="F27370" s="2" t="str">
        <f>HYPERLINK("http://www.otzar.org/book.asp?174586","נודע ביהודה &lt;מהדורה חדשה&gt; - 4 כר'")</f>
        <v>נודע ביהודה &lt;מהדורה חדשה&gt; - 4 כר'</v>
      </c>
    </row>
    <row r="27371" spans="1:6" x14ac:dyDescent="0.2">
      <c r="A27371" t="s">
        <v>43446</v>
      </c>
      <c r="B27371" t="s">
        <v>15259</v>
      </c>
      <c r="C27371" t="s">
        <v>114</v>
      </c>
      <c r="D27371" t="s">
        <v>52</v>
      </c>
      <c r="E27371" t="s">
        <v>467</v>
      </c>
      <c r="F27371" s="2" t="str">
        <f>HYPERLINK("http://www.otzar.org/book.asp?166364","נודע ביהודה על המועדים - 2 כר'")</f>
        <v>נודע ביהודה על המועדים - 2 כר'</v>
      </c>
    </row>
    <row r="27372" spans="1:6" x14ac:dyDescent="0.2">
      <c r="A27372" t="s">
        <v>43447</v>
      </c>
      <c r="B27372" t="s">
        <v>15259</v>
      </c>
      <c r="C27372" t="s">
        <v>68</v>
      </c>
      <c r="D27372" t="s">
        <v>52</v>
      </c>
      <c r="E27372" t="s">
        <v>158</v>
      </c>
      <c r="F27372" s="2" t="str">
        <f>HYPERLINK("http://www.otzar.org/book.asp?158138","נודע ביהודה על התורה - 2 כר'")</f>
        <v>נודע ביהודה על התורה - 2 כר'</v>
      </c>
    </row>
    <row r="27373" spans="1:6" x14ac:dyDescent="0.2">
      <c r="A27373" t="s">
        <v>43448</v>
      </c>
      <c r="B27373" t="s">
        <v>15259</v>
      </c>
      <c r="C27373" t="s">
        <v>43449</v>
      </c>
      <c r="D27373" t="s">
        <v>267</v>
      </c>
      <c r="F27373" s="2" t="str">
        <f>HYPERLINK("http://www.otzar.org/book.asp?177230","נודע ביהודה תנינא")</f>
        <v>נודע ביהודה תנינא</v>
      </c>
    </row>
    <row r="27374" spans="1:6" x14ac:dyDescent="0.2">
      <c r="A27374" t="s">
        <v>43450</v>
      </c>
      <c r="B27374" t="s">
        <v>43451</v>
      </c>
      <c r="C27374" t="s">
        <v>160</v>
      </c>
      <c r="D27374" t="s">
        <v>43452</v>
      </c>
      <c r="E27374" t="s">
        <v>158</v>
      </c>
      <c r="F27374" s="2" t="str">
        <f>HYPERLINK("http://www.otzar.org/book.asp?171001","נודע ביהודה")</f>
        <v>נודע ביהודה</v>
      </c>
    </row>
    <row r="27375" spans="1:6" x14ac:dyDescent="0.2">
      <c r="A27375" t="s">
        <v>43453</v>
      </c>
      <c r="B27375" t="s">
        <v>15259</v>
      </c>
      <c r="C27375" t="s">
        <v>43454</v>
      </c>
      <c r="D27375" t="s">
        <v>744</v>
      </c>
      <c r="E27375" t="s">
        <v>154</v>
      </c>
      <c r="F27375" s="2" t="str">
        <f>HYPERLINK("http://www.otzar.org/book.asp?104328","נודע ביהודה - 8 כר'")</f>
        <v>נודע ביהודה - 8 כר'</v>
      </c>
    </row>
    <row r="27376" spans="1:6" x14ac:dyDescent="0.2">
      <c r="A27376" t="s">
        <v>43455</v>
      </c>
      <c r="B27376" t="s">
        <v>43456</v>
      </c>
      <c r="C27376" t="s">
        <v>43457</v>
      </c>
      <c r="D27376" t="s">
        <v>283</v>
      </c>
      <c r="E27376" t="s">
        <v>43458</v>
      </c>
      <c r="F27376" s="2" t="str">
        <f>HYPERLINK("http://www.otzar.org/book.asp?9858","נודע בשערים - 2 כר'")</f>
        <v>נודע בשערים - 2 כר'</v>
      </c>
    </row>
    <row r="27377" spans="1:6" x14ac:dyDescent="0.2">
      <c r="A27377" t="s">
        <v>43455</v>
      </c>
      <c r="B27377" t="s">
        <v>43459</v>
      </c>
      <c r="C27377" t="s">
        <v>2644</v>
      </c>
      <c r="D27377" t="s">
        <v>27</v>
      </c>
      <c r="F27377" s="2" t="str">
        <f>HYPERLINK("http://www.otzar.org/book.asp?174349","נודע בשערים - 2 כר'")</f>
        <v>נודע בשערים - 2 כר'</v>
      </c>
    </row>
    <row r="27378" spans="1:6" x14ac:dyDescent="0.2">
      <c r="A27378" t="s">
        <v>43460</v>
      </c>
      <c r="B27378" t="s">
        <v>43461</v>
      </c>
      <c r="C27378" t="s">
        <v>20</v>
      </c>
      <c r="D27378" t="s">
        <v>412</v>
      </c>
      <c r="E27378" t="s">
        <v>234</v>
      </c>
      <c r="F27378" s="2" t="str">
        <f>HYPERLINK("http://www.otzar.org/book.asp?172083","נוה אפריון")</f>
        <v>נוה אפריון</v>
      </c>
    </row>
    <row r="27379" spans="1:6" x14ac:dyDescent="0.2">
      <c r="A27379" t="s">
        <v>43462</v>
      </c>
      <c r="B27379" t="s">
        <v>9396</v>
      </c>
      <c r="C27379" t="s">
        <v>334</v>
      </c>
      <c r="D27379" t="s">
        <v>32327</v>
      </c>
      <c r="F27379" s="2" t="str">
        <f>HYPERLINK("http://www.otzar.org/book.asp?609589","נוה הבחירה")</f>
        <v>נוה הבחירה</v>
      </c>
    </row>
    <row r="27380" spans="1:6" x14ac:dyDescent="0.2">
      <c r="A27380" t="s">
        <v>43463</v>
      </c>
      <c r="B27380" t="s">
        <v>43464</v>
      </c>
      <c r="C27380" t="s">
        <v>356</v>
      </c>
      <c r="D27380" t="s">
        <v>11652</v>
      </c>
      <c r="E27380" t="s">
        <v>213</v>
      </c>
      <c r="F27380" s="2" t="str">
        <f>HYPERLINK("http://www.otzar.org/book.asp?64327","נוה החיים")</f>
        <v>נוה החיים</v>
      </c>
    </row>
    <row r="27381" spans="1:6" x14ac:dyDescent="0.2">
      <c r="A27381" t="s">
        <v>43465</v>
      </c>
      <c r="B27381" t="s">
        <v>10038</v>
      </c>
      <c r="C27381" t="s">
        <v>3106</v>
      </c>
      <c r="D27381" t="s">
        <v>260</v>
      </c>
      <c r="E27381" t="s">
        <v>837</v>
      </c>
      <c r="F27381" s="2" t="str">
        <f>HYPERLINK("http://www.otzar.org/book.asp?144798","נוה הלל")</f>
        <v>נוה הלל</v>
      </c>
    </row>
    <row r="27382" spans="1:6" x14ac:dyDescent="0.2">
      <c r="A27382" t="s">
        <v>43466</v>
      </c>
      <c r="B27382" t="s">
        <v>776</v>
      </c>
      <c r="C27382" t="s">
        <v>1062</v>
      </c>
      <c r="D27382" t="s">
        <v>27</v>
      </c>
      <c r="E27382" t="s">
        <v>104</v>
      </c>
      <c r="F27382" s="2" t="str">
        <f>HYPERLINK("http://www.otzar.org/book.asp?146797","נוה חן")</f>
        <v>נוה חן</v>
      </c>
    </row>
    <row r="27383" spans="1:6" x14ac:dyDescent="0.2">
      <c r="A27383" t="s">
        <v>43467</v>
      </c>
      <c r="B27383" t="s">
        <v>43468</v>
      </c>
      <c r="C27383" t="s">
        <v>68</v>
      </c>
      <c r="D27383" t="s">
        <v>14</v>
      </c>
      <c r="E27383" t="s">
        <v>144</v>
      </c>
      <c r="F27383" s="2" t="str">
        <f>HYPERLINK("http://www.otzar.org/book.asp?163550","נוה יעקב")</f>
        <v>נוה יעקב</v>
      </c>
    </row>
    <row r="27384" spans="1:6" x14ac:dyDescent="0.2">
      <c r="A27384" t="s">
        <v>43469</v>
      </c>
      <c r="B27384" t="s">
        <v>12230</v>
      </c>
      <c r="C27384" t="s">
        <v>103</v>
      </c>
      <c r="D27384" t="s">
        <v>852</v>
      </c>
      <c r="E27384" t="s">
        <v>15</v>
      </c>
      <c r="F27384" s="2" t="str">
        <f>HYPERLINK("http://www.otzar.org/book.asp?62770","נוה לנתיבתי")</f>
        <v>נוה לנתיבתי</v>
      </c>
    </row>
    <row r="27385" spans="1:6" x14ac:dyDescent="0.2">
      <c r="A27385" t="s">
        <v>43470</v>
      </c>
      <c r="B27385" t="s">
        <v>4289</v>
      </c>
      <c r="C27385" t="s">
        <v>427</v>
      </c>
      <c r="D27385" t="s">
        <v>52</v>
      </c>
      <c r="E27385" t="s">
        <v>226</v>
      </c>
      <c r="F27385" s="2" t="str">
        <f>HYPERLINK("http://www.otzar.org/book.asp?179061","נוה צדיקים")</f>
        <v>נוה צדיקים</v>
      </c>
    </row>
    <row r="27386" spans="1:6" x14ac:dyDescent="0.2">
      <c r="A27386" t="s">
        <v>43471</v>
      </c>
      <c r="B27386" t="s">
        <v>43472</v>
      </c>
      <c r="C27386" t="s">
        <v>743</v>
      </c>
      <c r="D27386" t="s">
        <v>76</v>
      </c>
      <c r="E27386" t="s">
        <v>26676</v>
      </c>
      <c r="F27386" s="2" t="str">
        <f>HYPERLINK("http://www.otzar.org/book.asp?200083","נוה צדק")</f>
        <v>נוה צדק</v>
      </c>
    </row>
    <row r="27387" spans="1:6" x14ac:dyDescent="0.2">
      <c r="A27387" t="s">
        <v>43473</v>
      </c>
      <c r="B27387" t="s">
        <v>43474</v>
      </c>
      <c r="C27387" t="s">
        <v>777</v>
      </c>
      <c r="D27387" t="s">
        <v>1889</v>
      </c>
      <c r="E27387" t="s">
        <v>6455</v>
      </c>
      <c r="F27387" s="2" t="str">
        <f>HYPERLINK("http://www.otzar.org/book.asp?300515","נוה ציון")</f>
        <v>נוה ציון</v>
      </c>
    </row>
    <row r="27388" spans="1:6" x14ac:dyDescent="0.2">
      <c r="A27388" t="s">
        <v>43475</v>
      </c>
      <c r="B27388" t="s">
        <v>41868</v>
      </c>
      <c r="C27388" t="s">
        <v>37</v>
      </c>
      <c r="D27388" t="s">
        <v>1273</v>
      </c>
      <c r="E27388" t="s">
        <v>148</v>
      </c>
      <c r="F27388" s="2" t="str">
        <f>HYPERLINK("http://www.otzar.org/book.asp?605273","נוה שאנן - מזוזה")</f>
        <v>נוה שאנן - מזוזה</v>
      </c>
    </row>
    <row r="27389" spans="1:6" x14ac:dyDescent="0.2">
      <c r="A27389" t="s">
        <v>43476</v>
      </c>
      <c r="B27389" t="s">
        <v>23687</v>
      </c>
      <c r="C27389" t="s">
        <v>454</v>
      </c>
      <c r="D27389" t="s">
        <v>14</v>
      </c>
      <c r="E27389" t="s">
        <v>148</v>
      </c>
      <c r="F27389" s="2" t="str">
        <f>HYPERLINK("http://www.otzar.org/book.asp?62084","נוה שלום &lt;מהדורה חדשה&gt;")</f>
        <v>נוה שלום &lt;מהדורה חדשה&gt;</v>
      </c>
    </row>
    <row r="27390" spans="1:6" x14ac:dyDescent="0.2">
      <c r="A27390" t="s">
        <v>43477</v>
      </c>
      <c r="B27390" t="s">
        <v>15055</v>
      </c>
      <c r="C27390" t="s">
        <v>492</v>
      </c>
      <c r="D27390" t="s">
        <v>2293</v>
      </c>
      <c r="E27390" t="s">
        <v>43478</v>
      </c>
      <c r="F27390" s="2" t="str">
        <f>HYPERLINK("http://www.otzar.org/book.asp?101589","נוה שלום")</f>
        <v>נוה שלום</v>
      </c>
    </row>
    <row r="27391" spans="1:6" x14ac:dyDescent="0.2">
      <c r="A27391" t="s">
        <v>43479</v>
      </c>
      <c r="B27391" t="s">
        <v>23687</v>
      </c>
      <c r="C27391" t="s">
        <v>547</v>
      </c>
      <c r="D27391" t="s">
        <v>20205</v>
      </c>
      <c r="E27391" t="s">
        <v>28293</v>
      </c>
      <c r="F27391" s="2" t="str">
        <f>HYPERLINK("http://www.otzar.org/book.asp?912","נוה שלום - 2 כר'")</f>
        <v>נוה שלום - 2 כר'</v>
      </c>
    </row>
    <row r="27392" spans="1:6" x14ac:dyDescent="0.2">
      <c r="A27392" t="s">
        <v>43477</v>
      </c>
      <c r="B27392" t="s">
        <v>37900</v>
      </c>
      <c r="C27392" t="s">
        <v>752</v>
      </c>
      <c r="D27392" t="s">
        <v>790</v>
      </c>
      <c r="E27392" t="s">
        <v>43480</v>
      </c>
      <c r="F27392" s="2" t="str">
        <f>HYPERLINK("http://www.otzar.org/book.asp?103348","נוה שלום")</f>
        <v>נוה שלום</v>
      </c>
    </row>
    <row r="27393" spans="1:6" x14ac:dyDescent="0.2">
      <c r="A27393" t="s">
        <v>43481</v>
      </c>
      <c r="B27393" t="s">
        <v>43482</v>
      </c>
      <c r="C27393" t="s">
        <v>24472</v>
      </c>
      <c r="D27393" t="s">
        <v>225</v>
      </c>
      <c r="E27393" t="s">
        <v>234</v>
      </c>
      <c r="F27393" s="2" t="str">
        <f>HYPERLINK("http://www.otzar.org/book.asp?20316","נוה שלום - ב")</f>
        <v>נוה שלום - ב</v>
      </c>
    </row>
    <row r="27394" spans="1:6" x14ac:dyDescent="0.2">
      <c r="A27394" t="s">
        <v>43483</v>
      </c>
      <c r="B27394" t="s">
        <v>43484</v>
      </c>
      <c r="C27394" t="s">
        <v>114</v>
      </c>
      <c r="D27394" t="s">
        <v>52</v>
      </c>
      <c r="E27394" t="s">
        <v>186</v>
      </c>
      <c r="F27394" s="2" t="str">
        <f>HYPERLINK("http://www.otzar.org/book.asp?168727","נוה שלום - 4 כר'")</f>
        <v>נוה שלום - 4 כר'</v>
      </c>
    </row>
    <row r="27395" spans="1:6" x14ac:dyDescent="0.2">
      <c r="A27395" t="s">
        <v>43477</v>
      </c>
      <c r="B27395" t="s">
        <v>43485</v>
      </c>
      <c r="C27395" t="s">
        <v>538</v>
      </c>
      <c r="D27395" t="s">
        <v>212</v>
      </c>
      <c r="E27395" t="s">
        <v>10190</v>
      </c>
      <c r="F27395" s="2" t="str">
        <f>HYPERLINK("http://www.otzar.org/book.asp?101054","נוה שלום")</f>
        <v>נוה שלום</v>
      </c>
    </row>
    <row r="27396" spans="1:6" x14ac:dyDescent="0.2">
      <c r="A27396" t="s">
        <v>43479</v>
      </c>
      <c r="B27396" t="s">
        <v>43486</v>
      </c>
      <c r="C27396" t="s">
        <v>43487</v>
      </c>
      <c r="D27396" t="s">
        <v>1490</v>
      </c>
      <c r="E27396" t="s">
        <v>573</v>
      </c>
      <c r="F27396" s="2" t="str">
        <f>HYPERLINK("http://www.otzar.org/book.asp?104166","נוה שלום - 2 כר'")</f>
        <v>נוה שלום - 2 כר'</v>
      </c>
    </row>
    <row r="27397" spans="1:6" x14ac:dyDescent="0.2">
      <c r="A27397" t="s">
        <v>43488</v>
      </c>
      <c r="B27397" t="s">
        <v>18229</v>
      </c>
      <c r="C27397" t="s">
        <v>553</v>
      </c>
      <c r="D27397" t="s">
        <v>90</v>
      </c>
      <c r="E27397" t="s">
        <v>15</v>
      </c>
      <c r="F27397" s="2" t="str">
        <f>HYPERLINK("http://www.otzar.org/book.asp?174506","נוהג בחכמה")</f>
        <v>נוהג בחכמה</v>
      </c>
    </row>
    <row r="27398" spans="1:6" x14ac:dyDescent="0.2">
      <c r="A27398" t="s">
        <v>43489</v>
      </c>
      <c r="B27398" t="s">
        <v>43490</v>
      </c>
      <c r="C27398" t="s">
        <v>189</v>
      </c>
      <c r="D27398" t="s">
        <v>14</v>
      </c>
      <c r="E27398" t="s">
        <v>148</v>
      </c>
      <c r="F27398" s="2" t="str">
        <f>HYPERLINK("http://www.otzar.org/book.asp?143710","נוהג בם")</f>
        <v>נוהג בם</v>
      </c>
    </row>
    <row r="27399" spans="1:6" x14ac:dyDescent="0.2">
      <c r="A27399" t="s">
        <v>43491</v>
      </c>
      <c r="B27399" t="s">
        <v>43385</v>
      </c>
      <c r="C27399" t="s">
        <v>427</v>
      </c>
      <c r="D27399" t="s">
        <v>216</v>
      </c>
      <c r="E27399" t="s">
        <v>15</v>
      </c>
      <c r="F27399" s="2" t="str">
        <f>HYPERLINK("http://www.otzar.org/book.asp?8193","נוהג כצאן יוסף")</f>
        <v>נוהג כצאן יוסף</v>
      </c>
    </row>
    <row r="27400" spans="1:6" x14ac:dyDescent="0.2">
      <c r="A27400" t="s">
        <v>43492</v>
      </c>
      <c r="B27400" t="s">
        <v>11464</v>
      </c>
      <c r="C27400" t="s">
        <v>37</v>
      </c>
      <c r="D27400" t="s">
        <v>52</v>
      </c>
      <c r="E27400" t="s">
        <v>4160</v>
      </c>
      <c r="F27400" s="2" t="str">
        <f>HYPERLINK("http://www.otzar.org/book.asp?191691","נווה צבי")</f>
        <v>נווה צבי</v>
      </c>
    </row>
    <row r="27401" spans="1:6" x14ac:dyDescent="0.2">
      <c r="A27401" t="s">
        <v>43493</v>
      </c>
      <c r="B27401" t="s">
        <v>43494</v>
      </c>
      <c r="C27401" t="s">
        <v>103</v>
      </c>
      <c r="D27401" t="s">
        <v>14</v>
      </c>
      <c r="E27401" t="s">
        <v>714</v>
      </c>
      <c r="F27401" s="2" t="str">
        <f>HYPERLINK("http://www.otzar.org/book.asp?25820","נוטרי אמן - 2 כר'")</f>
        <v>נוטרי אמן - 2 כר'</v>
      </c>
    </row>
    <row r="27402" spans="1:6" x14ac:dyDescent="0.2">
      <c r="A27402" t="s">
        <v>43495</v>
      </c>
      <c r="B27402" t="s">
        <v>43496</v>
      </c>
      <c r="C27402" t="s">
        <v>313</v>
      </c>
      <c r="D27402" t="s">
        <v>52</v>
      </c>
      <c r="E27402" t="s">
        <v>104</v>
      </c>
      <c r="F27402" s="2" t="str">
        <f>HYPERLINK("http://www.otzar.org/book.asp?60758","נוטריקון ראשי תיבות - 2 כר'")</f>
        <v>נוטריקון ראשי תיבות - 2 כר'</v>
      </c>
    </row>
    <row r="27403" spans="1:6" x14ac:dyDescent="0.2">
      <c r="A27403" t="s">
        <v>43497</v>
      </c>
      <c r="B27403" t="s">
        <v>3718</v>
      </c>
      <c r="C27403" t="s">
        <v>313</v>
      </c>
      <c r="D27403" t="s">
        <v>52</v>
      </c>
      <c r="E27403" t="s">
        <v>144</v>
      </c>
      <c r="F27403" s="2" t="str">
        <f>HYPERLINK("http://www.otzar.org/book.asp?163980","נוי סוכה")</f>
        <v>נוי סוכה</v>
      </c>
    </row>
    <row r="27404" spans="1:6" x14ac:dyDescent="0.2">
      <c r="A27404" t="s">
        <v>43498</v>
      </c>
      <c r="B27404" t="s">
        <v>18752</v>
      </c>
      <c r="C27404" t="s">
        <v>427</v>
      </c>
      <c r="D27404" t="s">
        <v>14</v>
      </c>
      <c r="E27404" t="s">
        <v>104</v>
      </c>
      <c r="F27404" s="2" t="str">
        <f>HYPERLINK("http://www.otzar.org/book.asp?176588","נויות ברמה")</f>
        <v>נויות ברמה</v>
      </c>
    </row>
    <row r="27405" spans="1:6" x14ac:dyDescent="0.2">
      <c r="A27405" t="s">
        <v>43499</v>
      </c>
      <c r="B27405" t="s">
        <v>43500</v>
      </c>
      <c r="C27405" t="s">
        <v>1019</v>
      </c>
      <c r="D27405" t="s">
        <v>535</v>
      </c>
      <c r="F27405" s="2" t="str">
        <f>HYPERLINK("http://www.otzar.org/book.asp?84986","נוית ברמה")</f>
        <v>נוית ברמה</v>
      </c>
    </row>
    <row r="27406" spans="1:6" x14ac:dyDescent="0.2">
      <c r="A27406" t="s">
        <v>43501</v>
      </c>
      <c r="B27406" t="s">
        <v>24736</v>
      </c>
      <c r="C27406" t="s">
        <v>20</v>
      </c>
      <c r="D27406" t="s">
        <v>90</v>
      </c>
      <c r="F27406" s="2" t="str">
        <f>HYPERLINK("http://www.otzar.org/book.asp?617136","נוכח השולחן - 2 כר'")</f>
        <v>נוכח השולחן - 2 כר'</v>
      </c>
    </row>
    <row r="27407" spans="1:6" x14ac:dyDescent="0.2">
      <c r="A27407" t="s">
        <v>43502</v>
      </c>
      <c r="B27407" t="s">
        <v>43503</v>
      </c>
      <c r="C27407" t="s">
        <v>5163</v>
      </c>
      <c r="D27407" t="s">
        <v>1490</v>
      </c>
      <c r="F27407" s="2" t="str">
        <f>HYPERLINK("http://www.otzar.org/book.asp?164948","נוסח הרשימה הנמצאת במנג'יליס")</f>
        <v>נוסח הרשימה הנמצאת במנג'יליס</v>
      </c>
    </row>
    <row r="27408" spans="1:6" x14ac:dyDescent="0.2">
      <c r="A27408" t="s">
        <v>43504</v>
      </c>
      <c r="B27408" t="s">
        <v>42271</v>
      </c>
      <c r="C27408" t="s">
        <v>151</v>
      </c>
      <c r="D27408" t="s">
        <v>216</v>
      </c>
      <c r="E27408" t="s">
        <v>15</v>
      </c>
      <c r="F27408" s="2" t="str">
        <f>HYPERLINK("http://www.otzar.org/book.asp?629239","נוסח כתובה מתוקן")</f>
        <v>נוסח כתובה מתוקן</v>
      </c>
    </row>
    <row r="27409" spans="1:6" x14ac:dyDescent="0.2">
      <c r="A27409" t="s">
        <v>43505</v>
      </c>
      <c r="B27409" t="s">
        <v>43506</v>
      </c>
      <c r="C27409" t="s">
        <v>1811</v>
      </c>
      <c r="D27409" t="s">
        <v>14</v>
      </c>
      <c r="E27409" t="s">
        <v>219</v>
      </c>
      <c r="F27409" s="2" t="str">
        <f>HYPERLINK("http://www.otzar.org/book.asp?171513","נוסח לחזן - 2 כר'")</f>
        <v>נוסח לחזן - 2 כר'</v>
      </c>
    </row>
    <row r="27410" spans="1:6" x14ac:dyDescent="0.2">
      <c r="A27410" t="s">
        <v>43507</v>
      </c>
      <c r="B27410" t="s">
        <v>43508</v>
      </c>
      <c r="C27410" t="s">
        <v>133</v>
      </c>
      <c r="D27410" t="s">
        <v>14</v>
      </c>
      <c r="F27410" s="2" t="str">
        <f>HYPERLINK("http://www.otzar.org/book.asp?616794","נוסח פירוש רש""י - כיצד הרגל")</f>
        <v>נוסח פירוש רש"י - כיצד הרגל</v>
      </c>
    </row>
    <row r="27411" spans="1:6" x14ac:dyDescent="0.2">
      <c r="A27411" t="s">
        <v>43509</v>
      </c>
      <c r="B27411" t="s">
        <v>43510</v>
      </c>
      <c r="C27411" t="s">
        <v>23</v>
      </c>
      <c r="D27411" t="s">
        <v>90</v>
      </c>
      <c r="E27411" t="s">
        <v>15</v>
      </c>
      <c r="F27411" s="2" t="str">
        <f>HYPERLINK("http://www.otzar.org/book.asp?193381","נוסח שטר היתר מכירה")</f>
        <v>נוסח שטר היתר מכירה</v>
      </c>
    </row>
    <row r="27412" spans="1:6" x14ac:dyDescent="0.2">
      <c r="A27412" t="s">
        <v>43511</v>
      </c>
      <c r="B27412" t="s">
        <v>27047</v>
      </c>
      <c r="C27412" t="s">
        <v>698</v>
      </c>
      <c r="D27412" t="s">
        <v>27</v>
      </c>
      <c r="E27412" t="s">
        <v>219</v>
      </c>
      <c r="F27412" s="2" t="str">
        <f>HYPERLINK("http://www.otzar.org/book.asp?189630","נוסח תפלה קצרה בעד כללות כל ישראל")</f>
        <v>נוסח תפלה קצרה בעד כללות כל ישראל</v>
      </c>
    </row>
    <row r="27413" spans="1:6" x14ac:dyDescent="0.2">
      <c r="A27413" t="s">
        <v>43512</v>
      </c>
      <c r="B27413" t="s">
        <v>43513</v>
      </c>
      <c r="C27413" t="s">
        <v>111</v>
      </c>
      <c r="D27413" t="s">
        <v>90</v>
      </c>
      <c r="E27413" t="s">
        <v>144</v>
      </c>
      <c r="F27413" s="2" t="str">
        <f>HYPERLINK("http://www.otzar.org/book.asp?628129","נוסחא ישרה - יבמות")</f>
        <v>נוסחא ישרה - יבמות</v>
      </c>
    </row>
    <row r="27414" spans="1:6" x14ac:dyDescent="0.2">
      <c r="A27414" t="s">
        <v>43514</v>
      </c>
      <c r="B27414" t="s">
        <v>39141</v>
      </c>
      <c r="C27414" t="s">
        <v>581</v>
      </c>
      <c r="D27414" t="s">
        <v>4352</v>
      </c>
      <c r="E27414" t="s">
        <v>158</v>
      </c>
      <c r="F27414" s="2" t="str">
        <f>HYPERLINK("http://www.otzar.org/book.asp?161786","נוסחאות התרגומים לתורה")</f>
        <v>נוסחאות התרגומים לתורה</v>
      </c>
    </row>
    <row r="27415" spans="1:6" x14ac:dyDescent="0.2">
      <c r="A27415" t="s">
        <v>43515</v>
      </c>
      <c r="B27415" t="s">
        <v>43516</v>
      </c>
      <c r="C27415" t="s">
        <v>2076</v>
      </c>
      <c r="D27415" t="s">
        <v>212</v>
      </c>
      <c r="E27415" t="s">
        <v>15</v>
      </c>
      <c r="F27415" s="2" t="str">
        <f>HYPERLINK("http://www.otzar.org/book.asp?51747","נוסף על נחלת")</f>
        <v>נוסף על נחלת</v>
      </c>
    </row>
    <row r="27416" spans="1:6" x14ac:dyDescent="0.2">
      <c r="A27416" t="s">
        <v>43517</v>
      </c>
      <c r="B27416" t="s">
        <v>43518</v>
      </c>
      <c r="C27416" t="s">
        <v>2076</v>
      </c>
      <c r="D27416" t="s">
        <v>56</v>
      </c>
      <c r="E27416" t="s">
        <v>4561</v>
      </c>
      <c r="F27416" s="2" t="str">
        <f>HYPERLINK("http://www.otzar.org/book.asp?20317","נועם אחים")</f>
        <v>נועם אחים</v>
      </c>
    </row>
    <row r="27417" spans="1:6" x14ac:dyDescent="0.2">
      <c r="A27417" t="s">
        <v>43519</v>
      </c>
      <c r="B27417" t="s">
        <v>16819</v>
      </c>
      <c r="C27417" t="s">
        <v>23</v>
      </c>
      <c r="D27417" t="s">
        <v>27</v>
      </c>
      <c r="E27417" t="s">
        <v>158</v>
      </c>
      <c r="F27417" s="2" t="str">
        <f>HYPERLINK("http://www.otzar.org/book.asp?198424","נועם אלימלך &lt;גליוני מהר""י - 2 כר'")</f>
        <v>נועם אלימלך &lt;גליוני מהר"י - 2 כר'</v>
      </c>
    </row>
    <row r="27418" spans="1:6" x14ac:dyDescent="0.2">
      <c r="A27418" t="s">
        <v>43520</v>
      </c>
      <c r="B27418" t="s">
        <v>16819</v>
      </c>
      <c r="C27418" t="s">
        <v>11298</v>
      </c>
      <c r="D27418" t="s">
        <v>267</v>
      </c>
      <c r="E27418" t="s">
        <v>158</v>
      </c>
      <c r="F27418" s="2" t="str">
        <f>HYPERLINK("http://www.otzar.org/book.asp?53472","נועם אלימלך &lt;דפו""ר&gt; - 2 כר'")</f>
        <v>נועם אלימלך &lt;דפו"ר&gt; - 2 כר'</v>
      </c>
    </row>
    <row r="27419" spans="1:6" x14ac:dyDescent="0.2">
      <c r="A27419" t="s">
        <v>43521</v>
      </c>
      <c r="B27419" t="s">
        <v>16819</v>
      </c>
      <c r="C27419" t="s">
        <v>151</v>
      </c>
      <c r="D27419" t="s">
        <v>14</v>
      </c>
      <c r="E27419" t="s">
        <v>158</v>
      </c>
      <c r="F27419" s="2" t="str">
        <f>HYPERLINK("http://www.otzar.org/book.asp?626768","נועם אלימלך - 9 כר'")</f>
        <v>נועם אלימלך - 9 כר'</v>
      </c>
    </row>
    <row r="27420" spans="1:6" x14ac:dyDescent="0.2">
      <c r="A27420" t="s">
        <v>43522</v>
      </c>
      <c r="B27420" t="s">
        <v>15975</v>
      </c>
      <c r="C27420" t="s">
        <v>533</v>
      </c>
      <c r="D27420" t="s">
        <v>412</v>
      </c>
      <c r="E27420" t="s">
        <v>158</v>
      </c>
      <c r="F27420" s="2" t="str">
        <f>HYPERLINK("http://www.otzar.org/book.asp?625743","נועם אליעזר - א")</f>
        <v>נועם אליעזר - א</v>
      </c>
    </row>
    <row r="27421" spans="1:6" x14ac:dyDescent="0.2">
      <c r="A27421" t="s">
        <v>43523</v>
      </c>
      <c r="B27421" t="s">
        <v>128</v>
      </c>
      <c r="C27421" t="s">
        <v>411</v>
      </c>
      <c r="D27421" t="s">
        <v>52</v>
      </c>
      <c r="E27421" t="s">
        <v>158</v>
      </c>
      <c r="F27421" s="2" t="str">
        <f>HYPERLINK("http://www.otzar.org/book.asp?165448","נועם אליעזר - תורה")</f>
        <v>נועם אליעזר - תורה</v>
      </c>
    </row>
    <row r="27422" spans="1:6" x14ac:dyDescent="0.2">
      <c r="A27422" t="s">
        <v>43524</v>
      </c>
      <c r="B27422" t="s">
        <v>43525</v>
      </c>
      <c r="C27422" t="s">
        <v>129</v>
      </c>
      <c r="D27422" t="s">
        <v>30335</v>
      </c>
      <c r="E27422" t="s">
        <v>2418</v>
      </c>
      <c r="F27422" s="2" t="str">
        <f>HYPERLINK("http://www.otzar.org/book.asp?623859","נועם אמרים")</f>
        <v>נועם אמרים</v>
      </c>
    </row>
    <row r="27423" spans="1:6" x14ac:dyDescent="0.2">
      <c r="A27423" t="s">
        <v>43526</v>
      </c>
      <c r="B27423" t="s">
        <v>20037</v>
      </c>
      <c r="C27423" t="s">
        <v>79</v>
      </c>
      <c r="D27423" t="s">
        <v>9</v>
      </c>
      <c r="E27423" t="s">
        <v>474</v>
      </c>
      <c r="F27423" s="2" t="str">
        <f>HYPERLINK("http://www.otzar.org/book.asp?51746","נועם אפרים")</f>
        <v>נועם אפרים</v>
      </c>
    </row>
    <row r="27424" spans="1:6" x14ac:dyDescent="0.2">
      <c r="A27424" t="s">
        <v>43527</v>
      </c>
      <c r="B27424" t="s">
        <v>43528</v>
      </c>
      <c r="C27424" t="s">
        <v>87</v>
      </c>
      <c r="D27424" t="s">
        <v>412</v>
      </c>
      <c r="E27424" t="s">
        <v>960</v>
      </c>
      <c r="F27424" s="2" t="str">
        <f>HYPERLINK("http://www.otzar.org/book.asp?161483","נועם דברים")</f>
        <v>נועם דברים</v>
      </c>
    </row>
    <row r="27425" spans="1:6" x14ac:dyDescent="0.2">
      <c r="A27425" t="s">
        <v>43529</v>
      </c>
      <c r="B27425" t="s">
        <v>43530</v>
      </c>
      <c r="C27425" t="s">
        <v>422</v>
      </c>
      <c r="D27425" t="s">
        <v>1356</v>
      </c>
      <c r="E27425" t="s">
        <v>140</v>
      </c>
      <c r="F27425" s="2" t="str">
        <f>HYPERLINK("http://www.otzar.org/book.asp?173626","נועם הברכה")</f>
        <v>נועם הברכה</v>
      </c>
    </row>
    <row r="27426" spans="1:6" x14ac:dyDescent="0.2">
      <c r="A27426" t="s">
        <v>43531</v>
      </c>
      <c r="B27426" t="s">
        <v>1750</v>
      </c>
      <c r="C27426" t="s">
        <v>189</v>
      </c>
      <c r="D27426" t="s">
        <v>4519</v>
      </c>
      <c r="E27426" t="s">
        <v>202</v>
      </c>
      <c r="F27426" s="2" t="str">
        <f>HYPERLINK("http://www.otzar.org/book.asp?151201","נועם הגן - א")</f>
        <v>נועם הגן - א</v>
      </c>
    </row>
    <row r="27427" spans="1:6" x14ac:dyDescent="0.2">
      <c r="A27427" t="s">
        <v>43532</v>
      </c>
      <c r="B27427" t="s">
        <v>43533</v>
      </c>
      <c r="C27427" t="s">
        <v>151</v>
      </c>
      <c r="D27427" t="s">
        <v>412</v>
      </c>
      <c r="E27427" t="s">
        <v>393</v>
      </c>
      <c r="F27427" s="2" t="str">
        <f>HYPERLINK("http://www.otzar.org/book.asp?621380","נועם החיים")</f>
        <v>נועם החיים</v>
      </c>
    </row>
    <row r="27428" spans="1:6" x14ac:dyDescent="0.2">
      <c r="A27428" t="s">
        <v>43534</v>
      </c>
      <c r="B27428" t="s">
        <v>1791</v>
      </c>
      <c r="C27428" t="s">
        <v>533</v>
      </c>
      <c r="D27428" t="s">
        <v>14</v>
      </c>
      <c r="E27428" t="s">
        <v>399</v>
      </c>
      <c r="F27428" s="2" t="str">
        <f>HYPERLINK("http://www.otzar.org/book.asp?106017","נועם הכבוד")</f>
        <v>נועם הכבוד</v>
      </c>
    </row>
    <row r="27429" spans="1:6" x14ac:dyDescent="0.2">
      <c r="A27429" t="s">
        <v>43535</v>
      </c>
      <c r="B27429" t="s">
        <v>1393</v>
      </c>
      <c r="C27429" t="s">
        <v>332</v>
      </c>
      <c r="D27429" t="s">
        <v>14</v>
      </c>
      <c r="E27429" t="s">
        <v>241</v>
      </c>
      <c r="F27429" s="2" t="str">
        <f>HYPERLINK("http://www.otzar.org/book.asp?159634","נועם הלבבות - 4 כר'")</f>
        <v>נועם הלבבות - 4 כר'</v>
      </c>
    </row>
    <row r="27430" spans="1:6" x14ac:dyDescent="0.2">
      <c r="A27430" t="s">
        <v>43536</v>
      </c>
      <c r="B27430" t="s">
        <v>43537</v>
      </c>
      <c r="C27430" t="s">
        <v>103</v>
      </c>
      <c r="D27430" t="s">
        <v>486</v>
      </c>
      <c r="E27430" t="s">
        <v>15</v>
      </c>
      <c r="F27430" s="2" t="str">
        <f>HYPERLINK("http://www.otzar.org/book.asp?28242","נועם הלכה - 6 כר'")</f>
        <v>נועם הלכה - 6 כר'</v>
      </c>
    </row>
    <row r="27431" spans="1:6" x14ac:dyDescent="0.2">
      <c r="A27431" t="s">
        <v>43538</v>
      </c>
      <c r="B27431" t="s">
        <v>4373</v>
      </c>
      <c r="C27431" t="s">
        <v>43539</v>
      </c>
      <c r="D27431" t="s">
        <v>76</v>
      </c>
      <c r="E27431" t="s">
        <v>213</v>
      </c>
      <c r="F27431" s="2" t="str">
        <f>HYPERLINK("http://www.otzar.org/book.asp?103571","נועם המדות")</f>
        <v>נועם המדות</v>
      </c>
    </row>
    <row r="27432" spans="1:6" x14ac:dyDescent="0.2">
      <c r="A27432" t="s">
        <v>43540</v>
      </c>
      <c r="B27432" t="s">
        <v>43541</v>
      </c>
      <c r="C27432" t="s">
        <v>42718</v>
      </c>
      <c r="D27432" t="s">
        <v>225</v>
      </c>
      <c r="E27432" t="s">
        <v>213</v>
      </c>
      <c r="F27432" s="2" t="str">
        <f>HYPERLINK("http://www.otzar.org/book.asp?21025","נועם המצות - 5 כר'")</f>
        <v>נועם המצות - 5 כר'</v>
      </c>
    </row>
    <row r="27433" spans="1:6" x14ac:dyDescent="0.2">
      <c r="A27433" t="s">
        <v>43542</v>
      </c>
      <c r="B27433" t="s">
        <v>43543</v>
      </c>
      <c r="E27433" t="s">
        <v>140</v>
      </c>
      <c r="F27433" s="2" t="str">
        <f>HYPERLINK("http://www.otzar.org/book.asp?627919","נועם הנשמות")</f>
        <v>נועם הנשמות</v>
      </c>
    </row>
    <row r="27434" spans="1:6" x14ac:dyDescent="0.2">
      <c r="A27434" t="s">
        <v>43544</v>
      </c>
      <c r="B27434" t="s">
        <v>43545</v>
      </c>
      <c r="C27434" t="s">
        <v>286</v>
      </c>
      <c r="D27434" t="s">
        <v>947</v>
      </c>
      <c r="E27434" t="s">
        <v>1517</v>
      </c>
      <c r="F27434" s="2" t="str">
        <f>HYPERLINK("http://www.otzar.org/book.asp?163997","נועם השבת - ברכת המזון ע""פ ר""נ שפירא")</f>
        <v>נועם השבת - ברכת המזון ע"פ ר"נ שפירא</v>
      </c>
    </row>
    <row r="27435" spans="1:6" x14ac:dyDescent="0.2">
      <c r="A27435" t="s">
        <v>43546</v>
      </c>
      <c r="B27435" t="s">
        <v>40845</v>
      </c>
      <c r="C27435" t="s">
        <v>1208</v>
      </c>
      <c r="D27435" t="s">
        <v>52</v>
      </c>
      <c r="E27435" t="s">
        <v>130</v>
      </c>
      <c r="F27435" s="2" t="str">
        <f>HYPERLINK("http://www.otzar.org/book.asp?163328","נועם השבת")</f>
        <v>נועם השבת</v>
      </c>
    </row>
    <row r="27436" spans="1:6" x14ac:dyDescent="0.2">
      <c r="A27436" t="s">
        <v>43547</v>
      </c>
      <c r="B27436" t="s">
        <v>206</v>
      </c>
      <c r="C27436" t="s">
        <v>114</v>
      </c>
      <c r="D27436" t="s">
        <v>118</v>
      </c>
      <c r="E27436" t="s">
        <v>158</v>
      </c>
      <c r="F27436" s="2" t="str">
        <f>HYPERLINK("http://www.otzar.org/book.asp?165009","נועם התורה")</f>
        <v>נועם התורה</v>
      </c>
    </row>
    <row r="27437" spans="1:6" x14ac:dyDescent="0.2">
      <c r="A27437" t="s">
        <v>43547</v>
      </c>
      <c r="B27437" t="s">
        <v>43548</v>
      </c>
      <c r="C27437" t="s">
        <v>51</v>
      </c>
      <c r="D27437" t="s">
        <v>14</v>
      </c>
      <c r="E27437" t="s">
        <v>158</v>
      </c>
      <c r="F27437" s="2" t="str">
        <f>HYPERLINK("http://www.otzar.org/book.asp?183262","נועם התורה")</f>
        <v>נועם התורה</v>
      </c>
    </row>
    <row r="27438" spans="1:6" x14ac:dyDescent="0.2">
      <c r="A27438" t="s">
        <v>43549</v>
      </c>
      <c r="B27438" t="s">
        <v>43550</v>
      </c>
      <c r="C27438" t="s">
        <v>111</v>
      </c>
      <c r="D27438" t="s">
        <v>1180</v>
      </c>
      <c r="E27438" t="s">
        <v>230</v>
      </c>
      <c r="F27438" s="2" t="str">
        <f>HYPERLINK("http://www.otzar.org/book.asp?627518","נועם זיוך")</f>
        <v>נועם זיוך</v>
      </c>
    </row>
    <row r="27439" spans="1:6" x14ac:dyDescent="0.2">
      <c r="A27439" t="s">
        <v>43551</v>
      </c>
      <c r="B27439" t="s">
        <v>35022</v>
      </c>
      <c r="C27439" t="s">
        <v>124</v>
      </c>
      <c r="D27439" t="s">
        <v>14</v>
      </c>
      <c r="E27439" t="s">
        <v>148</v>
      </c>
      <c r="F27439" s="2" t="str">
        <f>HYPERLINK("http://www.otzar.org/book.asp?176581","נועם יצחק")</f>
        <v>נועם יצחק</v>
      </c>
    </row>
    <row r="27440" spans="1:6" x14ac:dyDescent="0.2">
      <c r="A27440" t="s">
        <v>43552</v>
      </c>
      <c r="B27440" t="s">
        <v>162</v>
      </c>
      <c r="C27440" t="s">
        <v>43553</v>
      </c>
      <c r="D27440" t="s">
        <v>56</v>
      </c>
      <c r="E27440" t="s">
        <v>1097</v>
      </c>
      <c r="F27440" s="2" t="str">
        <f>HYPERLINK("http://www.otzar.org/book.asp?9619","נועם ירושלמי - 4 כר'")</f>
        <v>נועם ירושלמי - 4 כר'</v>
      </c>
    </row>
    <row r="27441" spans="1:6" x14ac:dyDescent="0.2">
      <c r="A27441" t="s">
        <v>43554</v>
      </c>
      <c r="B27441" t="s">
        <v>6051</v>
      </c>
      <c r="C27441" t="s">
        <v>1228</v>
      </c>
      <c r="D27441" t="s">
        <v>379</v>
      </c>
      <c r="E27441" t="s">
        <v>158</v>
      </c>
      <c r="F27441" s="2" t="str">
        <f>HYPERLINK("http://www.otzar.org/book.asp?102037","נועם מגדים וכבוד התורה")</f>
        <v>נועם מגדים וכבוד התורה</v>
      </c>
    </row>
    <row r="27442" spans="1:6" x14ac:dyDescent="0.2">
      <c r="A27442" t="s">
        <v>43555</v>
      </c>
      <c r="B27442" t="s">
        <v>1361</v>
      </c>
      <c r="C27442" t="s">
        <v>946</v>
      </c>
      <c r="D27442" t="s">
        <v>20900</v>
      </c>
      <c r="E27442" t="s">
        <v>15</v>
      </c>
      <c r="F27442" s="2" t="str">
        <f>HYPERLINK("http://www.otzar.org/book.asp?182609","נועם מגדים - 2 כר'")</f>
        <v>נועם מגדים - 2 כר'</v>
      </c>
    </row>
    <row r="27443" spans="1:6" x14ac:dyDescent="0.2">
      <c r="A27443" t="s">
        <v>43556</v>
      </c>
      <c r="B27443" t="s">
        <v>43557</v>
      </c>
      <c r="C27443" t="s">
        <v>129</v>
      </c>
      <c r="D27443" t="s">
        <v>14</v>
      </c>
      <c r="E27443" t="s">
        <v>148</v>
      </c>
      <c r="F27443" s="2" t="str">
        <f>HYPERLINK("http://www.otzar.org/book.asp?156155","נועם מלך")</f>
        <v>נועם מלך</v>
      </c>
    </row>
    <row r="27444" spans="1:6" x14ac:dyDescent="0.2">
      <c r="A27444" t="s">
        <v>43558</v>
      </c>
      <c r="B27444" t="s">
        <v>10617</v>
      </c>
      <c r="E27444" t="s">
        <v>933</v>
      </c>
      <c r="F27444" s="2" t="str">
        <f>HYPERLINK("http://www.otzar.org/book.asp?631192","נועם שבת - 2 כר'")</f>
        <v>נועם שבת - 2 כר'</v>
      </c>
    </row>
    <row r="27445" spans="1:6" x14ac:dyDescent="0.2">
      <c r="A27445" t="s">
        <v>43559</v>
      </c>
      <c r="B27445" t="s">
        <v>3768</v>
      </c>
      <c r="C27445" t="s">
        <v>103</v>
      </c>
      <c r="D27445" t="s">
        <v>14</v>
      </c>
      <c r="E27445" t="s">
        <v>803</v>
      </c>
      <c r="F27445" s="2" t="str">
        <f>HYPERLINK("http://www.otzar.org/book.asp?142106","נועם שבת")</f>
        <v>נועם שבת</v>
      </c>
    </row>
    <row r="27446" spans="1:6" x14ac:dyDescent="0.2">
      <c r="A27446" t="s">
        <v>43559</v>
      </c>
      <c r="B27446" t="s">
        <v>9611</v>
      </c>
      <c r="C27446" t="s">
        <v>523</v>
      </c>
      <c r="D27446" t="s">
        <v>14</v>
      </c>
      <c r="F27446" s="2" t="str">
        <f>HYPERLINK("http://www.otzar.org/book.asp?615377","נועם שבת")</f>
        <v>נועם שבת</v>
      </c>
    </row>
    <row r="27447" spans="1:6" x14ac:dyDescent="0.2">
      <c r="A27447" t="s">
        <v>43559</v>
      </c>
      <c r="B27447" t="s">
        <v>43560</v>
      </c>
      <c r="C27447" t="s">
        <v>114</v>
      </c>
      <c r="D27447" t="s">
        <v>4665</v>
      </c>
      <c r="F27447" s="2" t="str">
        <f>HYPERLINK("http://www.otzar.org/book.asp?619315","נועם שבת")</f>
        <v>נועם שבת</v>
      </c>
    </row>
    <row r="27448" spans="1:6" x14ac:dyDescent="0.2">
      <c r="A27448" t="s">
        <v>43559</v>
      </c>
      <c r="B27448" t="s">
        <v>43561</v>
      </c>
      <c r="C27448" t="s">
        <v>37</v>
      </c>
      <c r="D27448" t="s">
        <v>52</v>
      </c>
      <c r="E27448" t="s">
        <v>246</v>
      </c>
      <c r="F27448" s="2" t="str">
        <f>HYPERLINK("http://www.otzar.org/book.asp?193610","נועם שבת")</f>
        <v>נועם שבת</v>
      </c>
    </row>
    <row r="27449" spans="1:6" x14ac:dyDescent="0.2">
      <c r="A27449" t="s">
        <v>43562</v>
      </c>
      <c r="B27449" t="s">
        <v>12042</v>
      </c>
      <c r="C27449" t="s">
        <v>454</v>
      </c>
      <c r="D27449" t="s">
        <v>52</v>
      </c>
      <c r="E27449" t="s">
        <v>15</v>
      </c>
      <c r="F27449" s="2" t="str">
        <f>HYPERLINK("http://www.otzar.org/book.asp?149753","נועם שבת - 3 כר'")</f>
        <v>נועם שבת - 3 כר'</v>
      </c>
    </row>
    <row r="27450" spans="1:6" x14ac:dyDescent="0.2">
      <c r="A27450" t="s">
        <v>43559</v>
      </c>
      <c r="B27450" t="s">
        <v>1393</v>
      </c>
      <c r="C27450" t="s">
        <v>466</v>
      </c>
      <c r="D27450" t="s">
        <v>14</v>
      </c>
      <c r="E27450" t="s">
        <v>246</v>
      </c>
      <c r="F27450" s="2" t="str">
        <f>HYPERLINK("http://www.otzar.org/book.asp?166632","נועם שבת")</f>
        <v>נועם שבת</v>
      </c>
    </row>
    <row r="27451" spans="1:6" x14ac:dyDescent="0.2">
      <c r="A27451" t="s">
        <v>43563</v>
      </c>
      <c r="B27451" t="s">
        <v>43564</v>
      </c>
      <c r="C27451" t="s">
        <v>411</v>
      </c>
      <c r="D27451" t="s">
        <v>134</v>
      </c>
      <c r="F27451" s="2" t="str">
        <f>HYPERLINK("http://www.otzar.org/book.asp?169586","נועם שי""ח - 3 כר'")</f>
        <v>נועם שי"ח - 3 כר'</v>
      </c>
    </row>
    <row r="27452" spans="1:6" x14ac:dyDescent="0.2">
      <c r="A27452" t="s">
        <v>43565</v>
      </c>
      <c r="B27452" t="s">
        <v>6614</v>
      </c>
      <c r="C27452" t="s">
        <v>422</v>
      </c>
      <c r="D27452" t="s">
        <v>14</v>
      </c>
      <c r="E27452" t="s">
        <v>803</v>
      </c>
      <c r="F27452" s="2" t="str">
        <f>HYPERLINK("http://www.otzar.org/book.asp?148711","נועם שיח &lt;ספיקא דאורייתא&gt; - א")</f>
        <v>נועם שיח &lt;ספיקא דאורייתא&gt; - א</v>
      </c>
    </row>
    <row r="27453" spans="1:6" x14ac:dyDescent="0.2">
      <c r="A27453" t="s">
        <v>43566</v>
      </c>
      <c r="B27453" t="s">
        <v>6614</v>
      </c>
      <c r="C27453" t="s">
        <v>68</v>
      </c>
      <c r="D27453" t="s">
        <v>14</v>
      </c>
      <c r="E27453" t="s">
        <v>674</v>
      </c>
      <c r="F27453" s="2" t="str">
        <f>HYPERLINK("http://www.otzar.org/book.asp?157722","נועם שיח &lt;ספיקא דרבנן&gt; - ב")</f>
        <v>נועם שיח &lt;ספיקא דרבנן&gt; - ב</v>
      </c>
    </row>
    <row r="27454" spans="1:6" x14ac:dyDescent="0.2">
      <c r="A27454" t="s">
        <v>43567</v>
      </c>
      <c r="B27454" t="s">
        <v>6614</v>
      </c>
      <c r="C27454" t="s">
        <v>23</v>
      </c>
      <c r="D27454" t="s">
        <v>14</v>
      </c>
      <c r="E27454" t="s">
        <v>15</v>
      </c>
      <c r="F27454" s="2" t="str">
        <f>HYPERLINK("http://www.otzar.org/book.asp?620999","נועם שיח &lt;ספק ספיקא&gt; - ג")</f>
        <v>נועם שיח &lt;ספק ספיקא&gt; - ג</v>
      </c>
    </row>
    <row r="27455" spans="1:6" x14ac:dyDescent="0.2">
      <c r="A27455" t="s">
        <v>43568</v>
      </c>
      <c r="B27455" t="s">
        <v>26385</v>
      </c>
      <c r="C27455" t="s">
        <v>313</v>
      </c>
      <c r="D27455" t="s">
        <v>14</v>
      </c>
      <c r="E27455" t="s">
        <v>15</v>
      </c>
      <c r="F27455" s="2" t="str">
        <f>HYPERLINK("http://www.otzar.org/book.asp?162837","נועם שיח")</f>
        <v>נועם שיח</v>
      </c>
    </row>
    <row r="27456" spans="1:6" x14ac:dyDescent="0.2">
      <c r="A27456" t="s">
        <v>43569</v>
      </c>
      <c r="B27456" t="s">
        <v>43570</v>
      </c>
      <c r="C27456" t="s">
        <v>454</v>
      </c>
      <c r="D27456" t="s">
        <v>2909</v>
      </c>
      <c r="E27456" t="s">
        <v>144</v>
      </c>
      <c r="F27456" s="2" t="str">
        <f>HYPERLINK("http://www.otzar.org/book.asp?52229","נועם שיח - 2 כר'")</f>
        <v>נועם שיח - 2 כר'</v>
      </c>
    </row>
    <row r="27457" spans="1:6" x14ac:dyDescent="0.2">
      <c r="A27457" t="s">
        <v>43571</v>
      </c>
      <c r="B27457" t="s">
        <v>132</v>
      </c>
      <c r="C27457" t="s">
        <v>114</v>
      </c>
      <c r="D27457" t="s">
        <v>245</v>
      </c>
      <c r="E27457" t="s">
        <v>104</v>
      </c>
      <c r="F27457" s="2" t="str">
        <f>HYPERLINK("http://www.otzar.org/book.asp?197681","נועם שיח - 4 כר'")</f>
        <v>נועם שיח - 4 כר'</v>
      </c>
    </row>
    <row r="27458" spans="1:6" x14ac:dyDescent="0.2">
      <c r="A27458" t="s">
        <v>43572</v>
      </c>
      <c r="B27458" t="s">
        <v>43573</v>
      </c>
      <c r="C27458" t="s">
        <v>43574</v>
      </c>
      <c r="D27458" t="s">
        <v>14</v>
      </c>
      <c r="E27458" t="s">
        <v>202</v>
      </c>
      <c r="F27458" s="2" t="str">
        <f>HYPERLINK("http://www.otzar.org/book.asp?149351","נועם - 25 כר'")</f>
        <v>נועם - 25 כר'</v>
      </c>
    </row>
    <row r="27459" spans="1:6" x14ac:dyDescent="0.2">
      <c r="A27459" t="s">
        <v>43575</v>
      </c>
      <c r="B27459" t="s">
        <v>43576</v>
      </c>
      <c r="C27459" t="s">
        <v>785</v>
      </c>
      <c r="D27459" t="s">
        <v>14</v>
      </c>
      <c r="E27459" t="s">
        <v>144</v>
      </c>
      <c r="F27459" s="2" t="str">
        <f>HYPERLINK("http://www.otzar.org/book.asp?149755","נוף מרדכי - 2 כר'")</f>
        <v>נוף מרדכי - 2 כר'</v>
      </c>
    </row>
    <row r="27460" spans="1:6" x14ac:dyDescent="0.2">
      <c r="A27460" t="s">
        <v>43577</v>
      </c>
      <c r="B27460" t="s">
        <v>206</v>
      </c>
      <c r="C27460" t="s">
        <v>176</v>
      </c>
      <c r="D27460" t="s">
        <v>90</v>
      </c>
      <c r="E27460" t="s">
        <v>130</v>
      </c>
      <c r="F27460" s="2" t="str">
        <f>HYPERLINK("http://www.otzar.org/book.asp?148585","נופך דעת - 12 כר'")</f>
        <v>נופך דעת - 12 כר'</v>
      </c>
    </row>
    <row r="27461" spans="1:6" x14ac:dyDescent="0.2">
      <c r="A27461" t="s">
        <v>43578</v>
      </c>
      <c r="B27461" t="s">
        <v>43579</v>
      </c>
      <c r="C27461" t="s">
        <v>2550</v>
      </c>
      <c r="D27461" t="s">
        <v>225</v>
      </c>
      <c r="E27461" t="s">
        <v>1262</v>
      </c>
      <c r="F27461" s="2" t="str">
        <f>HYPERLINK("http://www.otzar.org/book.asp?11508","נופך משלי")</f>
        <v>נופך משלי</v>
      </c>
    </row>
    <row r="27462" spans="1:6" x14ac:dyDescent="0.2">
      <c r="A27462" t="s">
        <v>43580</v>
      </c>
      <c r="B27462" t="s">
        <v>43581</v>
      </c>
      <c r="C27462" t="s">
        <v>1477</v>
      </c>
      <c r="D27462" t="s">
        <v>1490</v>
      </c>
      <c r="E27462" t="s">
        <v>104</v>
      </c>
      <c r="F27462" s="2" t="str">
        <f>HYPERLINK("http://www.otzar.org/book.asp?147262","נופת צופים - 2 כר'")</f>
        <v>נופת צופים - 2 כר'</v>
      </c>
    </row>
    <row r="27463" spans="1:6" x14ac:dyDescent="0.2">
      <c r="A27463" t="s">
        <v>43582</v>
      </c>
      <c r="B27463" t="s">
        <v>43583</v>
      </c>
      <c r="C27463" t="s">
        <v>176</v>
      </c>
      <c r="D27463" t="s">
        <v>9530</v>
      </c>
      <c r="E27463" t="s">
        <v>7445</v>
      </c>
      <c r="F27463" s="2" t="str">
        <f>HYPERLINK("http://www.otzar.org/book.asp?175444","נופת צופים - עצי בשמים - משנת חכמים")</f>
        <v>נופת צופים - עצי בשמים - משנת חכמים</v>
      </c>
    </row>
    <row r="27464" spans="1:6" x14ac:dyDescent="0.2">
      <c r="A27464" t="s">
        <v>43584</v>
      </c>
      <c r="B27464" t="s">
        <v>43585</v>
      </c>
      <c r="C27464" t="s">
        <v>43586</v>
      </c>
      <c r="D27464" t="s">
        <v>267</v>
      </c>
      <c r="E27464" t="s">
        <v>23256</v>
      </c>
      <c r="F27464" s="2" t="str">
        <f>HYPERLINK("http://www.otzar.org/book.asp?28342","נופת צופים")</f>
        <v>נופת צופים</v>
      </c>
    </row>
    <row r="27465" spans="1:6" x14ac:dyDescent="0.2">
      <c r="A27465" t="s">
        <v>43587</v>
      </c>
      <c r="B27465" t="s">
        <v>37591</v>
      </c>
      <c r="C27465" t="s">
        <v>111</v>
      </c>
      <c r="D27465" t="s">
        <v>14</v>
      </c>
      <c r="E27465" t="s">
        <v>1103</v>
      </c>
      <c r="F27465" s="2" t="str">
        <f>HYPERLINK("http://www.otzar.org/book.asp?627482","נופת צופים - בראשית, ;שמות")</f>
        <v>נופת צופים - בראשית, ;שמות</v>
      </c>
    </row>
    <row r="27466" spans="1:6" x14ac:dyDescent="0.2">
      <c r="A27466" t="s">
        <v>43588</v>
      </c>
      <c r="B27466" t="s">
        <v>12106</v>
      </c>
      <c r="C27466" t="s">
        <v>244</v>
      </c>
      <c r="D27466" t="s">
        <v>14</v>
      </c>
      <c r="F27466" s="2" t="str">
        <f>HYPERLINK("http://www.otzar.org/book.asp?616102","נופת צופים - חופה וקידושין")</f>
        <v>נופת צופים - חופה וקידושין</v>
      </c>
    </row>
    <row r="27467" spans="1:6" x14ac:dyDescent="0.2">
      <c r="A27467" t="s">
        <v>43584</v>
      </c>
      <c r="B27467" t="s">
        <v>43589</v>
      </c>
      <c r="C27467" t="s">
        <v>1458</v>
      </c>
      <c r="D27467" t="s">
        <v>1769</v>
      </c>
      <c r="E27467" t="s">
        <v>158</v>
      </c>
      <c r="F27467" s="2" t="str">
        <f>HYPERLINK("http://www.otzar.org/book.asp?162441","נופת צופים")</f>
        <v>נופת צופים</v>
      </c>
    </row>
    <row r="27468" spans="1:6" x14ac:dyDescent="0.2">
      <c r="A27468" t="s">
        <v>43584</v>
      </c>
      <c r="B27468" t="s">
        <v>43590</v>
      </c>
      <c r="C27468" t="s">
        <v>1844</v>
      </c>
      <c r="D27468" t="s">
        <v>535</v>
      </c>
      <c r="E27468" t="s">
        <v>573</v>
      </c>
      <c r="F27468" s="2" t="str">
        <f>HYPERLINK("http://www.otzar.org/book.asp?102038","נופת צופים")</f>
        <v>נופת צופים</v>
      </c>
    </row>
    <row r="27469" spans="1:6" x14ac:dyDescent="0.2">
      <c r="A27469" t="s">
        <v>43580</v>
      </c>
      <c r="B27469" t="s">
        <v>43591</v>
      </c>
      <c r="C27469" t="s">
        <v>129</v>
      </c>
      <c r="D27469" t="s">
        <v>52</v>
      </c>
      <c r="E27469" t="s">
        <v>144</v>
      </c>
      <c r="F27469" s="2" t="str">
        <f>HYPERLINK("http://www.otzar.org/book.asp?84318","נופת צופים - 2 כר'")</f>
        <v>נופת צופים - 2 כר'</v>
      </c>
    </row>
    <row r="27470" spans="1:6" x14ac:dyDescent="0.2">
      <c r="A27470" t="s">
        <v>43580</v>
      </c>
      <c r="B27470" t="s">
        <v>43592</v>
      </c>
      <c r="C27470" t="s">
        <v>20</v>
      </c>
      <c r="D27470" t="s">
        <v>367</v>
      </c>
      <c r="E27470" t="s">
        <v>144</v>
      </c>
      <c r="F27470" s="2" t="str">
        <f>HYPERLINK("http://www.otzar.org/book.asp?199864","נופת צופים - 2 כר'")</f>
        <v>נופת צופים - 2 כר'</v>
      </c>
    </row>
    <row r="27471" spans="1:6" x14ac:dyDescent="0.2">
      <c r="A27471" t="s">
        <v>43584</v>
      </c>
      <c r="B27471" t="s">
        <v>43593</v>
      </c>
      <c r="C27471" t="s">
        <v>189</v>
      </c>
      <c r="D27471" t="s">
        <v>14</v>
      </c>
      <c r="E27471" t="s">
        <v>144</v>
      </c>
      <c r="F27471" s="2" t="str">
        <f>HYPERLINK("http://www.otzar.org/book.asp?23591","נופת צופים")</f>
        <v>נופת צופים</v>
      </c>
    </row>
    <row r="27472" spans="1:6" x14ac:dyDescent="0.2">
      <c r="A27472" t="s">
        <v>43594</v>
      </c>
      <c r="B27472" t="s">
        <v>43595</v>
      </c>
      <c r="C27472" t="s">
        <v>111</v>
      </c>
      <c r="D27472" t="s">
        <v>52</v>
      </c>
      <c r="E27472" t="s">
        <v>144</v>
      </c>
      <c r="F27472" s="2" t="str">
        <f>HYPERLINK("http://www.otzar.org/book.asp?629439","נופת צופים - 8 כר'")</f>
        <v>נופת צופים - 8 כר'</v>
      </c>
    </row>
    <row r="27473" spans="1:6" x14ac:dyDescent="0.2">
      <c r="A27473" t="s">
        <v>43596</v>
      </c>
      <c r="B27473" t="s">
        <v>4289</v>
      </c>
      <c r="C27473" t="s">
        <v>20</v>
      </c>
      <c r="D27473" t="s">
        <v>52</v>
      </c>
      <c r="E27473" t="s">
        <v>741</v>
      </c>
      <c r="F27473" s="2" t="str">
        <f>HYPERLINK("http://www.otzar.org/book.asp?617835","נופת צופים - 4 כר'")</f>
        <v>נופת צופים - 4 כר'</v>
      </c>
    </row>
    <row r="27474" spans="1:6" x14ac:dyDescent="0.2">
      <c r="A27474" t="s">
        <v>43584</v>
      </c>
      <c r="B27474" t="s">
        <v>6671</v>
      </c>
      <c r="C27474" t="s">
        <v>360</v>
      </c>
      <c r="D27474" t="s">
        <v>225</v>
      </c>
      <c r="E27474" t="s">
        <v>140</v>
      </c>
      <c r="F27474" s="2" t="str">
        <f>HYPERLINK("http://www.otzar.org/book.asp?10529","נופת צופים")</f>
        <v>נופת צופים</v>
      </c>
    </row>
    <row r="27475" spans="1:6" x14ac:dyDescent="0.2">
      <c r="A27475" t="s">
        <v>43584</v>
      </c>
      <c r="B27475" t="s">
        <v>5203</v>
      </c>
      <c r="C27475" t="s">
        <v>1177</v>
      </c>
      <c r="D27475" t="s">
        <v>1801</v>
      </c>
      <c r="E27475" t="s">
        <v>158</v>
      </c>
      <c r="F27475" s="2" t="str">
        <f>HYPERLINK("http://www.otzar.org/book.asp?28484","נופת צופים")</f>
        <v>נופת צופים</v>
      </c>
    </row>
    <row r="27476" spans="1:6" x14ac:dyDescent="0.2">
      <c r="A27476" t="s">
        <v>43597</v>
      </c>
      <c r="B27476" t="s">
        <v>43598</v>
      </c>
      <c r="C27476" t="s">
        <v>6054</v>
      </c>
      <c r="D27476" t="s">
        <v>43599</v>
      </c>
      <c r="E27476" t="s">
        <v>104</v>
      </c>
      <c r="F27476" s="2" t="str">
        <f>HYPERLINK("http://www.otzar.org/book.asp?149618","נוצר אדם")</f>
        <v>נוצר אדם</v>
      </c>
    </row>
    <row r="27477" spans="1:6" x14ac:dyDescent="0.2">
      <c r="A27477" t="s">
        <v>43600</v>
      </c>
      <c r="B27477" t="s">
        <v>1720</v>
      </c>
      <c r="C27477" t="s">
        <v>1414</v>
      </c>
      <c r="D27477" t="s">
        <v>267</v>
      </c>
      <c r="E27477" t="s">
        <v>27774</v>
      </c>
      <c r="F27477" s="2" t="str">
        <f>HYPERLINK("http://www.otzar.org/book.asp?103589","נוצר חסד - 3 כר'")</f>
        <v>נוצר חסד - 3 כר'</v>
      </c>
    </row>
    <row r="27478" spans="1:6" x14ac:dyDescent="0.2">
      <c r="A27478" t="s">
        <v>43601</v>
      </c>
      <c r="B27478" t="s">
        <v>43602</v>
      </c>
      <c r="C27478" t="s">
        <v>114</v>
      </c>
      <c r="D27478" t="s">
        <v>14</v>
      </c>
      <c r="E27478" t="s">
        <v>14089</v>
      </c>
      <c r="F27478" s="2" t="str">
        <f>HYPERLINK("http://www.otzar.org/book.asp?624902","נוצר תאנה")</f>
        <v>נוצר תאנה</v>
      </c>
    </row>
    <row r="27479" spans="1:6" x14ac:dyDescent="0.2">
      <c r="A27479" t="s">
        <v>43603</v>
      </c>
      <c r="B27479" t="s">
        <v>1402</v>
      </c>
      <c r="C27479" t="s">
        <v>454</v>
      </c>
      <c r="D27479" t="s">
        <v>52</v>
      </c>
      <c r="E27479" t="s">
        <v>158</v>
      </c>
      <c r="F27479" s="2" t="str">
        <f>HYPERLINK("http://www.otzar.org/book.asp?157868","נורא עלילה (פירוש על מגילת אסתר ע""פ המהר""ל)")</f>
        <v>נורא עלילה (פירוש על מגילת אסתר ע"פ המהר"ל)</v>
      </c>
    </row>
    <row r="27480" spans="1:6" x14ac:dyDescent="0.2">
      <c r="A27480" t="s">
        <v>43604</v>
      </c>
      <c r="B27480" t="s">
        <v>43605</v>
      </c>
      <c r="C27480" t="s">
        <v>20</v>
      </c>
      <c r="D27480" t="s">
        <v>76</v>
      </c>
      <c r="E27480" t="s">
        <v>158</v>
      </c>
      <c r="F27480" s="2" t="str">
        <f>HYPERLINK("http://www.otzar.org/book.asp?20319","נורא תהלות - 2 כר'")</f>
        <v>נורא תהלות - 2 כר'</v>
      </c>
    </row>
    <row r="27481" spans="1:6" x14ac:dyDescent="0.2">
      <c r="A27481" t="s">
        <v>43604</v>
      </c>
      <c r="B27481" t="s">
        <v>43606</v>
      </c>
      <c r="C27481" t="s">
        <v>43607</v>
      </c>
      <c r="D27481" t="s">
        <v>1889</v>
      </c>
      <c r="E27481" t="s">
        <v>158</v>
      </c>
      <c r="F27481" s="2" t="str">
        <f>HYPERLINK("http://www.otzar.org/book.asp?151345","נורא תהלות - 2 כר'")</f>
        <v>נורא תהלות - 2 כר'</v>
      </c>
    </row>
    <row r="27482" spans="1:6" x14ac:dyDescent="0.2">
      <c r="A27482" t="s">
        <v>43608</v>
      </c>
      <c r="B27482" t="s">
        <v>43609</v>
      </c>
      <c r="C27482" t="s">
        <v>422</v>
      </c>
      <c r="D27482" t="s">
        <v>43610</v>
      </c>
      <c r="E27482" t="s">
        <v>714</v>
      </c>
      <c r="F27482" s="2" t="str">
        <f>HYPERLINK("http://www.otzar.org/book.asp?189023","נורא תהלות")</f>
        <v>נורא תהלות</v>
      </c>
    </row>
    <row r="27483" spans="1:6" x14ac:dyDescent="0.2">
      <c r="A27483" t="s">
        <v>43611</v>
      </c>
      <c r="B27483" t="s">
        <v>4785</v>
      </c>
      <c r="C27483" t="s">
        <v>111</v>
      </c>
      <c r="D27483" t="s">
        <v>52</v>
      </c>
      <c r="F27483" s="2" t="str">
        <f>HYPERLINK("http://www.otzar.org/book.asp?632026","נושא אלמתיו")</f>
        <v>נושא אלמתיו</v>
      </c>
    </row>
    <row r="27484" spans="1:6" x14ac:dyDescent="0.2">
      <c r="A27484" t="s">
        <v>43612</v>
      </c>
      <c r="B27484" t="s">
        <v>30388</v>
      </c>
      <c r="C27484" t="s">
        <v>111</v>
      </c>
      <c r="D27484" t="s">
        <v>43613</v>
      </c>
      <c r="F27484" s="2" t="str">
        <f>HYPERLINK("http://www.otzar.org/book.asp?622883","נושא בעול עם חברו")</f>
        <v>נושא בעול עם חברו</v>
      </c>
    </row>
    <row r="27485" spans="1:6" x14ac:dyDescent="0.2">
      <c r="A27485" t="s">
        <v>43614</v>
      </c>
      <c r="B27485" t="s">
        <v>43615</v>
      </c>
      <c r="C27485" t="s">
        <v>189</v>
      </c>
      <c r="D27485" t="s">
        <v>14</v>
      </c>
      <c r="E27485" t="s">
        <v>158</v>
      </c>
      <c r="F27485" s="2" t="str">
        <f>HYPERLINK("http://www.otzar.org/book.asp?63586","נושא כלי יהונתן")</f>
        <v>נושא כלי יהונתן</v>
      </c>
    </row>
    <row r="27486" spans="1:6" x14ac:dyDescent="0.2">
      <c r="A27486" t="s">
        <v>43616</v>
      </c>
      <c r="B27486" t="s">
        <v>43617</v>
      </c>
      <c r="C27486" t="s">
        <v>366</v>
      </c>
      <c r="D27486" t="s">
        <v>90</v>
      </c>
      <c r="E27486" t="s">
        <v>144</v>
      </c>
      <c r="F27486" s="2" t="str">
        <f>HYPERLINK("http://www.otzar.org/book.asp?610650","נותן טעם - נדרים")</f>
        <v>נותן טעם - נדרים</v>
      </c>
    </row>
    <row r="27487" spans="1:6" x14ac:dyDescent="0.2">
      <c r="A27487" t="s">
        <v>43618</v>
      </c>
      <c r="B27487" t="s">
        <v>43619</v>
      </c>
      <c r="C27487" t="s">
        <v>7384</v>
      </c>
      <c r="D27487" t="s">
        <v>4703</v>
      </c>
      <c r="E27487" t="s">
        <v>241</v>
      </c>
      <c r="F27487" s="2" t="str">
        <f>HYPERLINK("http://www.otzar.org/book.asp?174511","נזד הדמע - 2 כר'")</f>
        <v>נזד הדמע - 2 כר'</v>
      </c>
    </row>
    <row r="27488" spans="1:6" x14ac:dyDescent="0.2">
      <c r="A27488" t="s">
        <v>43620</v>
      </c>
      <c r="B27488" t="s">
        <v>43621</v>
      </c>
      <c r="C27488" t="s">
        <v>1458</v>
      </c>
      <c r="D27488" t="s">
        <v>322</v>
      </c>
      <c r="E27488" t="s">
        <v>119</v>
      </c>
      <c r="F27488" s="2" t="str">
        <f>HYPERLINK("http://www.otzar.org/book.asp?12085","נזיר אלהים")</f>
        <v>נזיר אלהים</v>
      </c>
    </row>
    <row r="27489" spans="1:6" x14ac:dyDescent="0.2">
      <c r="A27489" t="s">
        <v>43622</v>
      </c>
      <c r="B27489" t="s">
        <v>5634</v>
      </c>
      <c r="C27489" t="s">
        <v>133</v>
      </c>
      <c r="D27489" t="s">
        <v>52</v>
      </c>
      <c r="E27489" t="s">
        <v>4333</v>
      </c>
      <c r="F27489" s="2" t="str">
        <f>HYPERLINK("http://www.otzar.org/book.asp?172954","נזיר היה שמואל")</f>
        <v>נזיר היה שמואל</v>
      </c>
    </row>
    <row r="27490" spans="1:6" x14ac:dyDescent="0.2">
      <c r="A27490" t="s">
        <v>43623</v>
      </c>
      <c r="B27490" t="s">
        <v>15110</v>
      </c>
      <c r="C27490" t="s">
        <v>785</v>
      </c>
      <c r="D27490" t="s">
        <v>14</v>
      </c>
      <c r="E27490" t="s">
        <v>43624</v>
      </c>
      <c r="F27490" s="2" t="str">
        <f>HYPERLINK("http://www.otzar.org/book.asp?164263","נזיר השם וסמיכת משה &lt;מהדורה חדשה&gt;")</f>
        <v>נזיר השם וסמיכת משה &lt;מהדורה חדשה&gt;</v>
      </c>
    </row>
    <row r="27491" spans="1:6" x14ac:dyDescent="0.2">
      <c r="A27491" t="s">
        <v>43625</v>
      </c>
      <c r="B27491" t="s">
        <v>15110</v>
      </c>
      <c r="C27491" t="s">
        <v>1058</v>
      </c>
      <c r="D27491" t="s">
        <v>1279</v>
      </c>
      <c r="E27491" t="s">
        <v>43626</v>
      </c>
      <c r="F27491" s="2" t="str">
        <f>HYPERLINK("http://www.otzar.org/book.asp?101590","נזיר השם וסמיכת משה")</f>
        <v>נזיר השם וסמיכת משה</v>
      </c>
    </row>
    <row r="27492" spans="1:6" x14ac:dyDescent="0.2">
      <c r="A27492" t="s">
        <v>43627</v>
      </c>
      <c r="B27492" t="s">
        <v>249</v>
      </c>
      <c r="C27492" t="s">
        <v>12351</v>
      </c>
      <c r="D27492" t="s">
        <v>251</v>
      </c>
      <c r="E27492" t="s">
        <v>34177</v>
      </c>
      <c r="F27492" s="2" t="str">
        <f>HYPERLINK("http://www.otzar.org/book.asp?20320","נזיר שמשון")</f>
        <v>נזיר שמשון</v>
      </c>
    </row>
    <row r="27493" spans="1:6" x14ac:dyDescent="0.2">
      <c r="A27493" t="s">
        <v>43628</v>
      </c>
      <c r="B27493" t="s">
        <v>43629</v>
      </c>
      <c r="C27493" t="s">
        <v>1135</v>
      </c>
      <c r="D27493" t="s">
        <v>280</v>
      </c>
      <c r="E27493" t="s">
        <v>172</v>
      </c>
      <c r="F27493" s="2" t="str">
        <f>HYPERLINK("http://www.otzar.org/book.asp?12929","נזירות שמשון")</f>
        <v>נזירות שמשון</v>
      </c>
    </row>
    <row r="27494" spans="1:6" x14ac:dyDescent="0.2">
      <c r="A27494" t="s">
        <v>43630</v>
      </c>
      <c r="B27494" t="s">
        <v>22557</v>
      </c>
      <c r="C27494" t="s">
        <v>146</v>
      </c>
      <c r="D27494" t="s">
        <v>14</v>
      </c>
      <c r="E27494" t="s">
        <v>15</v>
      </c>
      <c r="F27494" s="2" t="str">
        <f>HYPERLINK("http://www.otzar.org/book.asp?26575","נזקי החיישנים")</f>
        <v>נזקי החיישנים</v>
      </c>
    </row>
    <row r="27495" spans="1:6" x14ac:dyDescent="0.2">
      <c r="A27495" t="s">
        <v>43631</v>
      </c>
      <c r="B27495" t="s">
        <v>13862</v>
      </c>
      <c r="C27495" t="s">
        <v>37</v>
      </c>
      <c r="D27495" t="s">
        <v>412</v>
      </c>
      <c r="E27495" t="s">
        <v>144</v>
      </c>
      <c r="F27495" s="2" t="str">
        <f>HYPERLINK("http://www.otzar.org/book.asp?198563","נזקי ממון")</f>
        <v>נזקי ממון</v>
      </c>
    </row>
    <row r="27496" spans="1:6" x14ac:dyDescent="0.2">
      <c r="A27496" t="s">
        <v>43632</v>
      </c>
      <c r="B27496" t="s">
        <v>4876</v>
      </c>
      <c r="C27496" t="s">
        <v>23</v>
      </c>
      <c r="D27496" t="s">
        <v>3750</v>
      </c>
      <c r="F27496" s="2" t="str">
        <f>HYPERLINK("http://www.otzar.org/book.asp?616707","נזר אברהם - נזיר")</f>
        <v>נזר אברהם - נזיר</v>
      </c>
    </row>
    <row r="27497" spans="1:6" x14ac:dyDescent="0.2">
      <c r="A27497" t="s">
        <v>43633</v>
      </c>
      <c r="B27497" t="s">
        <v>43634</v>
      </c>
      <c r="C27497" t="s">
        <v>466</v>
      </c>
      <c r="D27497" t="s">
        <v>52</v>
      </c>
      <c r="E27497" t="s">
        <v>786</v>
      </c>
      <c r="F27497" s="2" t="str">
        <f>HYPERLINK("http://www.otzar.org/book.asp?23909","נזר אברהם - 4 כר'")</f>
        <v>נזר אברהם - 4 כר'</v>
      </c>
    </row>
    <row r="27498" spans="1:6" x14ac:dyDescent="0.2">
      <c r="A27498" t="s">
        <v>43635</v>
      </c>
      <c r="B27498" t="s">
        <v>43636</v>
      </c>
      <c r="C27498" t="s">
        <v>71</v>
      </c>
      <c r="D27498" t="s">
        <v>52</v>
      </c>
      <c r="E27498" t="s">
        <v>803</v>
      </c>
      <c r="F27498" s="2" t="str">
        <f>HYPERLINK("http://www.otzar.org/book.asp?160319","נזר אריה")</f>
        <v>נזר אריה</v>
      </c>
    </row>
    <row r="27499" spans="1:6" x14ac:dyDescent="0.2">
      <c r="A27499" t="s">
        <v>43637</v>
      </c>
      <c r="B27499" t="s">
        <v>16333</v>
      </c>
      <c r="E27499" t="s">
        <v>10</v>
      </c>
      <c r="F27499" s="2" t="str">
        <f>HYPERLINK("http://www.otzar.org/book.asp?612121","נזר החיים")</f>
        <v>נזר החיים</v>
      </c>
    </row>
    <row r="27500" spans="1:6" x14ac:dyDescent="0.2">
      <c r="A27500" t="s">
        <v>43637</v>
      </c>
      <c r="B27500" t="s">
        <v>10997</v>
      </c>
      <c r="C27500" t="s">
        <v>767</v>
      </c>
      <c r="D27500" t="s">
        <v>52</v>
      </c>
      <c r="E27500" t="s">
        <v>119</v>
      </c>
      <c r="F27500" s="2" t="str">
        <f>HYPERLINK("http://www.otzar.org/book.asp?158755","נזר החיים")</f>
        <v>נזר החיים</v>
      </c>
    </row>
    <row r="27501" spans="1:6" x14ac:dyDescent="0.2">
      <c r="A27501" t="s">
        <v>43638</v>
      </c>
      <c r="B27501" t="s">
        <v>43639</v>
      </c>
      <c r="C27501" t="s">
        <v>767</v>
      </c>
      <c r="D27501" t="s">
        <v>52</v>
      </c>
      <c r="E27501" t="s">
        <v>84</v>
      </c>
      <c r="F27501" s="2" t="str">
        <f>HYPERLINK("http://www.otzar.org/book.asp?149749","נזר הטהרה")</f>
        <v>נזר הטהרה</v>
      </c>
    </row>
    <row r="27502" spans="1:6" x14ac:dyDescent="0.2">
      <c r="A27502" t="s">
        <v>43640</v>
      </c>
      <c r="B27502" t="s">
        <v>43641</v>
      </c>
      <c r="C27502" t="s">
        <v>411</v>
      </c>
      <c r="D27502" t="s">
        <v>14</v>
      </c>
      <c r="E27502" t="s">
        <v>246</v>
      </c>
      <c r="F27502" s="2" t="str">
        <f>HYPERLINK("http://www.otzar.org/book.asp?166994","נזר המועדים")</f>
        <v>נזר המועדים</v>
      </c>
    </row>
    <row r="27503" spans="1:6" x14ac:dyDescent="0.2">
      <c r="A27503" t="s">
        <v>43642</v>
      </c>
      <c r="B27503" t="s">
        <v>10997</v>
      </c>
      <c r="C27503" t="s">
        <v>454</v>
      </c>
      <c r="D27503" t="s">
        <v>52</v>
      </c>
      <c r="E27503" t="s">
        <v>119</v>
      </c>
      <c r="F27503" s="2" t="str">
        <f>HYPERLINK("http://www.otzar.org/book.asp?158748","נזר המלוכה")</f>
        <v>נזר המלוכה</v>
      </c>
    </row>
    <row r="27504" spans="1:6" x14ac:dyDescent="0.2">
      <c r="A27504" t="s">
        <v>43643</v>
      </c>
      <c r="B27504" t="s">
        <v>43644</v>
      </c>
      <c r="C27504" t="s">
        <v>411</v>
      </c>
      <c r="D27504" t="s">
        <v>52</v>
      </c>
      <c r="E27504" t="s">
        <v>144</v>
      </c>
      <c r="F27504" s="2" t="str">
        <f>HYPERLINK("http://www.otzar.org/book.asp?170505","נזר המלך - 5 כר'")</f>
        <v>נזר המלך - 5 כר'</v>
      </c>
    </row>
    <row r="27505" spans="1:6" x14ac:dyDescent="0.2">
      <c r="A27505" t="s">
        <v>43645</v>
      </c>
      <c r="B27505" t="s">
        <v>14744</v>
      </c>
      <c r="C27505" t="s">
        <v>2076</v>
      </c>
      <c r="D27505" t="s">
        <v>56</v>
      </c>
      <c r="E27505" t="s">
        <v>213</v>
      </c>
      <c r="F27505" s="2" t="str">
        <f>HYPERLINK("http://www.otzar.org/book.asp?148582","נזר הנצחון")</f>
        <v>נזר הנצחון</v>
      </c>
    </row>
    <row r="27506" spans="1:6" x14ac:dyDescent="0.2">
      <c r="A27506" t="s">
        <v>43646</v>
      </c>
      <c r="B27506" t="s">
        <v>43647</v>
      </c>
      <c r="C27506" t="s">
        <v>23</v>
      </c>
      <c r="D27506" t="s">
        <v>21</v>
      </c>
      <c r="E27506" t="s">
        <v>43</v>
      </c>
      <c r="F27506" s="2" t="str">
        <f>HYPERLINK("http://www.otzar.org/book.asp?602795","נזר הקדש &lt;מהדורת זכרון אהרן&gt; - 3 כר'")</f>
        <v>נזר הקדש &lt;מהדורת זכרון אהרן&gt; - 3 כר'</v>
      </c>
    </row>
    <row r="27507" spans="1:6" x14ac:dyDescent="0.2">
      <c r="A27507" t="s">
        <v>43648</v>
      </c>
      <c r="B27507" t="s">
        <v>43649</v>
      </c>
      <c r="C27507" t="s">
        <v>224</v>
      </c>
      <c r="D27507" t="s">
        <v>27</v>
      </c>
      <c r="E27507" t="s">
        <v>15</v>
      </c>
      <c r="F27507" s="2" t="str">
        <f>HYPERLINK("http://www.otzar.org/book.asp?101053","נזר הקדש")</f>
        <v>נזר הקדש</v>
      </c>
    </row>
    <row r="27508" spans="1:6" x14ac:dyDescent="0.2">
      <c r="A27508" t="s">
        <v>43650</v>
      </c>
      <c r="B27508" t="s">
        <v>43647</v>
      </c>
      <c r="C27508" t="s">
        <v>96</v>
      </c>
      <c r="D27508" t="s">
        <v>2461</v>
      </c>
      <c r="E27508" t="s">
        <v>43</v>
      </c>
      <c r="F27508" s="2" t="str">
        <f>HYPERLINK("http://www.otzar.org/book.asp?7406","נזר הקדש - 3 כר'")</f>
        <v>נזר הקדש - 3 כר'</v>
      </c>
    </row>
    <row r="27509" spans="1:6" x14ac:dyDescent="0.2">
      <c r="A27509" t="s">
        <v>43651</v>
      </c>
      <c r="B27509" t="s">
        <v>20956</v>
      </c>
      <c r="C27509" t="s">
        <v>2227</v>
      </c>
      <c r="D27509" t="s">
        <v>8370</v>
      </c>
      <c r="E27509" t="s">
        <v>241</v>
      </c>
      <c r="F27509" s="2" t="str">
        <f>HYPERLINK("http://www.otzar.org/book.asp?83593","נזר הקודש")</f>
        <v>נזר הקודש</v>
      </c>
    </row>
    <row r="27510" spans="1:6" x14ac:dyDescent="0.2">
      <c r="A27510" t="s">
        <v>43652</v>
      </c>
      <c r="B27510" t="s">
        <v>43653</v>
      </c>
      <c r="C27510" t="s">
        <v>87</v>
      </c>
      <c r="D27510" t="s">
        <v>14</v>
      </c>
      <c r="E27510" t="s">
        <v>144</v>
      </c>
      <c r="F27510" s="2" t="str">
        <f>HYPERLINK("http://www.otzar.org/book.asp?22953","נזר הקודש - 5 כר'")</f>
        <v>נזר הקודש - 5 כר'</v>
      </c>
    </row>
    <row r="27511" spans="1:6" x14ac:dyDescent="0.2">
      <c r="A27511" t="s">
        <v>43654</v>
      </c>
      <c r="B27511" t="s">
        <v>25805</v>
      </c>
      <c r="C27511" t="s">
        <v>332</v>
      </c>
      <c r="D27511" t="s">
        <v>14</v>
      </c>
      <c r="E27511" t="s">
        <v>144</v>
      </c>
      <c r="F27511" s="2" t="str">
        <f>HYPERLINK("http://www.otzar.org/book.asp?9410","נזר הקודש - 4 כר'")</f>
        <v>נזר הקודש - 4 כר'</v>
      </c>
    </row>
    <row r="27512" spans="1:6" x14ac:dyDescent="0.2">
      <c r="A27512" t="s">
        <v>43655</v>
      </c>
      <c r="B27512" t="s">
        <v>14929</v>
      </c>
      <c r="C27512" t="s">
        <v>46</v>
      </c>
      <c r="D27512" t="s">
        <v>9</v>
      </c>
      <c r="E27512" t="s">
        <v>435</v>
      </c>
      <c r="F27512" s="2" t="str">
        <f>HYPERLINK("http://www.otzar.org/book.asp?22209","נזר הקודש - 15 כר'")</f>
        <v>נזר הקודש - 15 כר'</v>
      </c>
    </row>
    <row r="27513" spans="1:6" x14ac:dyDescent="0.2">
      <c r="A27513" t="s">
        <v>43656</v>
      </c>
      <c r="B27513" t="s">
        <v>43657</v>
      </c>
      <c r="C27513" t="s">
        <v>106</v>
      </c>
      <c r="D27513" t="s">
        <v>14</v>
      </c>
      <c r="E27513" t="s">
        <v>144</v>
      </c>
      <c r="F27513" s="2" t="str">
        <f>HYPERLINK("http://www.otzar.org/book.asp?53082","נזר הראש - 2 כר'")</f>
        <v>נזר הראש - 2 כר'</v>
      </c>
    </row>
    <row r="27514" spans="1:6" x14ac:dyDescent="0.2">
      <c r="A27514" t="s">
        <v>43658</v>
      </c>
      <c r="B27514" t="s">
        <v>43659</v>
      </c>
      <c r="C27514" t="s">
        <v>23</v>
      </c>
      <c r="D27514" t="s">
        <v>20</v>
      </c>
      <c r="E27514" t="s">
        <v>172</v>
      </c>
      <c r="F27514" s="2" t="str">
        <f>HYPERLINK("http://www.otzar.org/book.asp?619295","נזר השולחן")</f>
        <v>נזר השולחן</v>
      </c>
    </row>
    <row r="27515" spans="1:6" x14ac:dyDescent="0.2">
      <c r="A27515" t="s">
        <v>43660</v>
      </c>
      <c r="B27515" t="s">
        <v>43661</v>
      </c>
      <c r="C27515" t="s">
        <v>411</v>
      </c>
      <c r="D27515" t="s">
        <v>412</v>
      </c>
      <c r="E27515" t="s">
        <v>172</v>
      </c>
      <c r="F27515" s="2" t="str">
        <f>HYPERLINK("http://www.otzar.org/book.asp?602953","נזר השלחן")</f>
        <v>נזר השלחן</v>
      </c>
    </row>
    <row r="27516" spans="1:6" x14ac:dyDescent="0.2">
      <c r="A27516" t="s">
        <v>43662</v>
      </c>
      <c r="B27516" t="s">
        <v>11656</v>
      </c>
      <c r="C27516" t="s">
        <v>17</v>
      </c>
      <c r="D27516" t="s">
        <v>14</v>
      </c>
      <c r="E27516" t="s">
        <v>741</v>
      </c>
      <c r="F27516" s="2" t="str">
        <f>HYPERLINK("http://www.otzar.org/book.asp?25780","נזר השמחה")</f>
        <v>נזר השמחה</v>
      </c>
    </row>
    <row r="27517" spans="1:6" x14ac:dyDescent="0.2">
      <c r="A27517" t="s">
        <v>43663</v>
      </c>
      <c r="B27517" t="s">
        <v>43644</v>
      </c>
      <c r="C27517" t="s">
        <v>103</v>
      </c>
      <c r="D27517" t="s">
        <v>52</v>
      </c>
      <c r="E27517" t="s">
        <v>158</v>
      </c>
      <c r="F27517" s="2" t="str">
        <f>HYPERLINK("http://www.otzar.org/book.asp?50505","נזר התורה - 2 כר'")</f>
        <v>נזר התורה - 2 כר'</v>
      </c>
    </row>
    <row r="27518" spans="1:6" x14ac:dyDescent="0.2">
      <c r="A27518" t="s">
        <v>43664</v>
      </c>
      <c r="B27518" t="s">
        <v>4785</v>
      </c>
      <c r="C27518" t="s">
        <v>23</v>
      </c>
      <c r="D27518" t="s">
        <v>52</v>
      </c>
      <c r="E27518" t="s">
        <v>246</v>
      </c>
      <c r="F27518" s="2" t="str">
        <f>HYPERLINK("http://www.otzar.org/book.asp?615963","נזר התורה")</f>
        <v>נזר התורה</v>
      </c>
    </row>
    <row r="27519" spans="1:6" x14ac:dyDescent="0.2">
      <c r="A27519" t="s">
        <v>43665</v>
      </c>
      <c r="B27519" t="s">
        <v>1750</v>
      </c>
      <c r="C27519" t="s">
        <v>17</v>
      </c>
      <c r="D27519" t="s">
        <v>14</v>
      </c>
      <c r="E27519" t="s">
        <v>202</v>
      </c>
      <c r="F27519" s="2" t="str">
        <f>HYPERLINK("http://www.otzar.org/book.asp?25785","נזר התורה - 30 כר'")</f>
        <v>נזר התורה - 30 כר'</v>
      </c>
    </row>
    <row r="27520" spans="1:6" x14ac:dyDescent="0.2">
      <c r="A27520" t="s">
        <v>43666</v>
      </c>
      <c r="B27520" t="s">
        <v>43644</v>
      </c>
      <c r="C27520" t="s">
        <v>23</v>
      </c>
      <c r="D27520" t="s">
        <v>52</v>
      </c>
      <c r="E27520" t="s">
        <v>241</v>
      </c>
      <c r="F27520" s="2" t="str">
        <f>HYPERLINK("http://www.otzar.org/book.asp?190165","נזר התפילה")</f>
        <v>נזר התפילה</v>
      </c>
    </row>
    <row r="27521" spans="1:6" x14ac:dyDescent="0.2">
      <c r="A27521" t="s">
        <v>43667</v>
      </c>
      <c r="B27521" t="s">
        <v>43668</v>
      </c>
      <c r="C27521" t="s">
        <v>800</v>
      </c>
      <c r="D27521" t="s">
        <v>30615</v>
      </c>
      <c r="E27521" t="s">
        <v>579</v>
      </c>
      <c r="F27521" s="2" t="str">
        <f>HYPERLINK("http://www.otzar.org/book.asp?106477","נזר חמודות")</f>
        <v>נזר חמודות</v>
      </c>
    </row>
    <row r="27522" spans="1:6" x14ac:dyDescent="0.2">
      <c r="A27522" t="s">
        <v>43669</v>
      </c>
      <c r="B27522" t="s">
        <v>43670</v>
      </c>
      <c r="C27522" t="s">
        <v>411</v>
      </c>
      <c r="D27522" t="s">
        <v>14</v>
      </c>
      <c r="E27522" t="s">
        <v>246</v>
      </c>
      <c r="F27522" s="2" t="str">
        <f>HYPERLINK("http://www.otzar.org/book.asp?178904","נזר יוסף  &lt;מועדים&gt; - 4 כר'")</f>
        <v>נזר יוסף  &lt;מועדים&gt; - 4 כר'</v>
      </c>
    </row>
    <row r="27523" spans="1:6" x14ac:dyDescent="0.2">
      <c r="A27523" t="s">
        <v>43671</v>
      </c>
      <c r="B27523" t="s">
        <v>43670</v>
      </c>
      <c r="C27523" t="s">
        <v>313</v>
      </c>
      <c r="D27523" t="s">
        <v>14</v>
      </c>
      <c r="E27523" t="s">
        <v>158</v>
      </c>
      <c r="F27523" s="2" t="str">
        <f>HYPERLINK("http://www.otzar.org/book.asp?178906","נזר יוסף  &lt;תורה&gt; - 2 כר'")</f>
        <v>נזר יוסף  &lt;תורה&gt; - 2 כר'</v>
      </c>
    </row>
    <row r="27524" spans="1:6" x14ac:dyDescent="0.2">
      <c r="A27524" t="s">
        <v>43672</v>
      </c>
      <c r="B27524" t="s">
        <v>18687</v>
      </c>
      <c r="C27524" t="s">
        <v>1609</v>
      </c>
      <c r="D27524" t="s">
        <v>43673</v>
      </c>
      <c r="E27524" t="s">
        <v>234</v>
      </c>
      <c r="F27524" s="2" t="str">
        <f>HYPERLINK("http://www.otzar.org/book.asp?158923","נזר יוסף")</f>
        <v>נזר יוסף</v>
      </c>
    </row>
    <row r="27525" spans="1:6" x14ac:dyDescent="0.2">
      <c r="A27525" t="s">
        <v>43674</v>
      </c>
      <c r="B27525" t="s">
        <v>5732</v>
      </c>
      <c r="C27525" t="s">
        <v>351</v>
      </c>
      <c r="D27525" t="s">
        <v>267</v>
      </c>
      <c r="E27525" t="s">
        <v>15</v>
      </c>
      <c r="F27525" s="2" t="str">
        <f>HYPERLINK("http://www.otzar.org/book.asp?11011","נזר ישראל - 2 כר'")</f>
        <v>נזר ישראל - 2 כר'</v>
      </c>
    </row>
    <row r="27526" spans="1:6" x14ac:dyDescent="0.2">
      <c r="A27526" t="s">
        <v>43675</v>
      </c>
      <c r="B27526" t="s">
        <v>43676</v>
      </c>
      <c r="C27526" t="s">
        <v>114</v>
      </c>
      <c r="D27526" t="s">
        <v>52</v>
      </c>
      <c r="E27526" t="s">
        <v>158</v>
      </c>
      <c r="F27526" s="2" t="str">
        <f>HYPERLINK("http://www.otzar.org/book.asp?172224","נזר ישראל")</f>
        <v>נזר ישראל</v>
      </c>
    </row>
    <row r="27527" spans="1:6" x14ac:dyDescent="0.2">
      <c r="A27527" t="s">
        <v>43674</v>
      </c>
      <c r="B27527" t="s">
        <v>4049</v>
      </c>
      <c r="C27527" t="s">
        <v>1844</v>
      </c>
      <c r="D27527" t="s">
        <v>1279</v>
      </c>
      <c r="E27527" t="s">
        <v>399</v>
      </c>
      <c r="F27527" s="2" t="str">
        <f>HYPERLINK("http://www.otzar.org/book.asp?5948","נזר ישראל - 2 כר'")</f>
        <v>נזר ישראל - 2 כר'</v>
      </c>
    </row>
    <row r="27528" spans="1:6" x14ac:dyDescent="0.2">
      <c r="A27528" t="s">
        <v>43674</v>
      </c>
      <c r="B27528" t="s">
        <v>30802</v>
      </c>
      <c r="C27528" t="s">
        <v>523</v>
      </c>
      <c r="D27528" t="s">
        <v>216</v>
      </c>
      <c r="E27528" t="s">
        <v>202</v>
      </c>
      <c r="F27528" s="2" t="str">
        <f>HYPERLINK("http://www.otzar.org/book.asp?189022","נזר ישראל - 2 כר'")</f>
        <v>נזר ישראל - 2 כר'</v>
      </c>
    </row>
    <row r="27529" spans="1:6" x14ac:dyDescent="0.2">
      <c r="A27529" t="s">
        <v>43677</v>
      </c>
      <c r="B27529" t="s">
        <v>29136</v>
      </c>
      <c r="C27529" t="s">
        <v>1268</v>
      </c>
      <c r="D27529" t="s">
        <v>14</v>
      </c>
      <c r="E27529" t="s">
        <v>2071</v>
      </c>
      <c r="F27529" s="2" t="str">
        <f>HYPERLINK("http://www.otzar.org/book.asp?61313","נזר ישראל - על התורה ומועדים")</f>
        <v>נזר ישראל - על התורה ומועדים</v>
      </c>
    </row>
    <row r="27530" spans="1:6" x14ac:dyDescent="0.2">
      <c r="A27530" t="s">
        <v>43678</v>
      </c>
      <c r="B27530" t="s">
        <v>4854</v>
      </c>
      <c r="C27530" t="s">
        <v>51</v>
      </c>
      <c r="D27530" t="s">
        <v>367</v>
      </c>
      <c r="F27530" s="2" t="str">
        <f>HYPERLINK("http://www.otzar.org/book.asp?605447","נזר ישראל - 6 כר'")</f>
        <v>נזר ישראל - 6 כר'</v>
      </c>
    </row>
    <row r="27531" spans="1:6" x14ac:dyDescent="0.2">
      <c r="A27531" t="s">
        <v>43675</v>
      </c>
      <c r="B27531" t="s">
        <v>4073</v>
      </c>
      <c r="C27531" t="s">
        <v>1228</v>
      </c>
      <c r="D27531" t="s">
        <v>56</v>
      </c>
      <c r="E27531" t="s">
        <v>714</v>
      </c>
      <c r="F27531" s="2" t="str">
        <f>HYPERLINK("http://www.otzar.org/book.asp?5649","נזר ישראל")</f>
        <v>נזר ישראל</v>
      </c>
    </row>
    <row r="27532" spans="1:6" x14ac:dyDescent="0.2">
      <c r="A27532" t="s">
        <v>43675</v>
      </c>
      <c r="B27532" t="s">
        <v>10997</v>
      </c>
      <c r="C27532" t="s">
        <v>71</v>
      </c>
      <c r="D27532" t="s">
        <v>52</v>
      </c>
      <c r="E27532" t="s">
        <v>119</v>
      </c>
      <c r="F27532" s="2" t="str">
        <f>HYPERLINK("http://www.otzar.org/book.asp?158757","נזר ישראל")</f>
        <v>נזר ישראל</v>
      </c>
    </row>
    <row r="27533" spans="1:6" x14ac:dyDescent="0.2">
      <c r="A27533" t="s">
        <v>43679</v>
      </c>
      <c r="B27533" t="s">
        <v>3834</v>
      </c>
      <c r="C27533" t="s">
        <v>23</v>
      </c>
      <c r="D27533" t="s">
        <v>14</v>
      </c>
      <c r="F27533" s="2" t="str">
        <f>HYPERLINK("http://www.otzar.org/book.asp?601311","נזר כהן - א")</f>
        <v>נזר כהן - א</v>
      </c>
    </row>
    <row r="27534" spans="1:6" x14ac:dyDescent="0.2">
      <c r="A27534" t="s">
        <v>43680</v>
      </c>
      <c r="B27534" t="s">
        <v>489</v>
      </c>
      <c r="C27534" t="s">
        <v>23</v>
      </c>
      <c r="D27534" t="s">
        <v>80</v>
      </c>
      <c r="F27534" s="2" t="str">
        <f>HYPERLINK("http://www.otzar.org/book.asp?191833","נזר מרדכי - חג השבועות")</f>
        <v>נזר מרדכי - חג השבועות</v>
      </c>
    </row>
    <row r="27535" spans="1:6" x14ac:dyDescent="0.2">
      <c r="A27535" t="s">
        <v>43681</v>
      </c>
      <c r="B27535" t="s">
        <v>43682</v>
      </c>
      <c r="C27535" t="s">
        <v>366</v>
      </c>
      <c r="D27535" t="s">
        <v>14</v>
      </c>
      <c r="E27535" t="s">
        <v>104</v>
      </c>
      <c r="F27535" s="2" t="str">
        <f>HYPERLINK("http://www.otzar.org/book.asp?619637","נזר צבי")</f>
        <v>נזר צבי</v>
      </c>
    </row>
    <row r="27536" spans="1:6" x14ac:dyDescent="0.2">
      <c r="A27536" t="s">
        <v>43681</v>
      </c>
      <c r="B27536" t="s">
        <v>43683</v>
      </c>
      <c r="C27536" t="s">
        <v>168</v>
      </c>
      <c r="D27536" t="s">
        <v>14</v>
      </c>
      <c r="E27536" t="s">
        <v>14900</v>
      </c>
      <c r="F27536" s="2" t="str">
        <f>HYPERLINK("http://www.otzar.org/book.asp?167448","נזר צבי")</f>
        <v>נזר צבי</v>
      </c>
    </row>
    <row r="27537" spans="1:6" x14ac:dyDescent="0.2">
      <c r="A27537" t="s">
        <v>43684</v>
      </c>
      <c r="B27537" t="s">
        <v>5047</v>
      </c>
      <c r="C27537" t="s">
        <v>13</v>
      </c>
      <c r="D27537" t="s">
        <v>21</v>
      </c>
      <c r="E27537" t="s">
        <v>130</v>
      </c>
      <c r="F27537" s="2" t="str">
        <f>HYPERLINK("http://www.otzar.org/book.asp?143186","נזר שושנה - 2 כר'")</f>
        <v>נזר שושנה - 2 כר'</v>
      </c>
    </row>
    <row r="27538" spans="1:6" x14ac:dyDescent="0.2">
      <c r="A27538" t="s">
        <v>43685</v>
      </c>
      <c r="B27538" t="s">
        <v>43686</v>
      </c>
      <c r="C27538" t="s">
        <v>151</v>
      </c>
      <c r="D27538" t="s">
        <v>152</v>
      </c>
      <c r="F27538" s="2" t="str">
        <f>HYPERLINK("http://www.otzar.org/book.asp?615983","נזר תפארה - ב""ב, פסח")</f>
        <v>נזר תפארה - ב"ב, פסח</v>
      </c>
    </row>
    <row r="27539" spans="1:6" x14ac:dyDescent="0.2">
      <c r="A27539" t="s">
        <v>43687</v>
      </c>
      <c r="B27539" t="s">
        <v>43688</v>
      </c>
      <c r="C27539" t="s">
        <v>244</v>
      </c>
      <c r="D27539" t="s">
        <v>657</v>
      </c>
      <c r="F27539" s="2" t="str">
        <f>HYPERLINK("http://www.otzar.org/book.asp?195993","נזר תפארה - בבא מציעא")</f>
        <v>נזר תפארה - בבא מציעא</v>
      </c>
    </row>
    <row r="27540" spans="1:6" x14ac:dyDescent="0.2">
      <c r="A27540" t="s">
        <v>43689</v>
      </c>
      <c r="B27540" t="s">
        <v>43641</v>
      </c>
      <c r="C27540" t="s">
        <v>129</v>
      </c>
      <c r="D27540" t="s">
        <v>52</v>
      </c>
      <c r="E27540" t="s">
        <v>144</v>
      </c>
      <c r="F27540" s="2" t="str">
        <f>HYPERLINK("http://www.otzar.org/book.asp?52197","נזר תפארת - מגילה")</f>
        <v>נזר תפארת - מגילה</v>
      </c>
    </row>
    <row r="27541" spans="1:6" x14ac:dyDescent="0.2">
      <c r="A27541" t="s">
        <v>43690</v>
      </c>
      <c r="B27541" t="s">
        <v>4977</v>
      </c>
      <c r="C27541" t="s">
        <v>20</v>
      </c>
      <c r="D27541" t="s">
        <v>14</v>
      </c>
      <c r="E27541" t="s">
        <v>241</v>
      </c>
      <c r="F27541" s="2" t="str">
        <f>HYPERLINK("http://www.otzar.org/book.asp?153421","נח לבריות")</f>
        <v>נח לבריות</v>
      </c>
    </row>
    <row r="27542" spans="1:6" x14ac:dyDescent="0.2">
      <c r="A27542" t="s">
        <v>43691</v>
      </c>
      <c r="B27542" t="s">
        <v>1714</v>
      </c>
      <c r="C27542" t="s">
        <v>411</v>
      </c>
      <c r="D27542" t="s">
        <v>486</v>
      </c>
      <c r="F27542" s="2" t="str">
        <f>HYPERLINK("http://www.otzar.org/book.asp?195626","נח קרבן הלב")</f>
        <v>נח קרבן הלב</v>
      </c>
    </row>
    <row r="27543" spans="1:6" x14ac:dyDescent="0.2">
      <c r="A27543" t="s">
        <v>43692</v>
      </c>
      <c r="B27543" t="s">
        <v>41828</v>
      </c>
      <c r="C27543" t="s">
        <v>176</v>
      </c>
      <c r="D27543" t="s">
        <v>31424</v>
      </c>
      <c r="E27543" t="s">
        <v>104</v>
      </c>
      <c r="F27543" s="2" t="str">
        <f>HYPERLINK("http://www.otzar.org/book.asp?626642","נחית בחסדך")</f>
        <v>נחית בחסדך</v>
      </c>
    </row>
    <row r="27544" spans="1:6" x14ac:dyDescent="0.2">
      <c r="A27544" t="s">
        <v>43693</v>
      </c>
      <c r="B27544" t="s">
        <v>43694</v>
      </c>
      <c r="C27544" t="s">
        <v>748</v>
      </c>
      <c r="D27544" t="s">
        <v>9</v>
      </c>
      <c r="E27544" t="s">
        <v>5992</v>
      </c>
      <c r="F27544" s="2" t="str">
        <f>HYPERLINK("http://www.otzar.org/book.asp?20321","נחל אברהם")</f>
        <v>נחל אברהם</v>
      </c>
    </row>
    <row r="27545" spans="1:6" x14ac:dyDescent="0.2">
      <c r="A27545" t="s">
        <v>43695</v>
      </c>
      <c r="B27545" t="s">
        <v>7235</v>
      </c>
      <c r="C27545" t="s">
        <v>111</v>
      </c>
      <c r="D27545" t="s">
        <v>52</v>
      </c>
      <c r="E27545" t="s">
        <v>4424</v>
      </c>
      <c r="F27545" s="2" t="str">
        <f>HYPERLINK("http://www.otzar.org/book.asp?623805","נחל איתן")</f>
        <v>נחל איתן</v>
      </c>
    </row>
    <row r="27546" spans="1:6" x14ac:dyDescent="0.2">
      <c r="A27546" t="s">
        <v>43696</v>
      </c>
      <c r="B27546" t="s">
        <v>43697</v>
      </c>
      <c r="C27546" t="s">
        <v>13</v>
      </c>
      <c r="D27546" t="s">
        <v>14</v>
      </c>
      <c r="E27546" t="s">
        <v>474</v>
      </c>
      <c r="F27546" s="2" t="str">
        <f>HYPERLINK("http://www.otzar.org/book.asp?155861","נחל איתן - 3 כר'")</f>
        <v>נחל איתן - 3 כר'</v>
      </c>
    </row>
    <row r="27547" spans="1:6" x14ac:dyDescent="0.2">
      <c r="A27547" t="s">
        <v>43695</v>
      </c>
      <c r="B27547" t="s">
        <v>43698</v>
      </c>
      <c r="F27547" s="2" t="str">
        <f>HYPERLINK("http://www.otzar.org/book.asp?603715","נחל איתן")</f>
        <v>נחל איתן</v>
      </c>
    </row>
    <row r="27548" spans="1:6" x14ac:dyDescent="0.2">
      <c r="A27548" t="s">
        <v>43695</v>
      </c>
      <c r="B27548" t="s">
        <v>43699</v>
      </c>
      <c r="C27548" t="s">
        <v>454</v>
      </c>
      <c r="D27548" t="s">
        <v>14</v>
      </c>
      <c r="E27548" t="s">
        <v>11780</v>
      </c>
      <c r="F27548" s="2" t="str">
        <f>HYPERLINK("http://www.otzar.org/book.asp?62759","נחל איתן")</f>
        <v>נחל איתן</v>
      </c>
    </row>
    <row r="27549" spans="1:6" x14ac:dyDescent="0.2">
      <c r="A27549" t="s">
        <v>43695</v>
      </c>
      <c r="B27549" t="s">
        <v>8285</v>
      </c>
      <c r="C27549" t="s">
        <v>1721</v>
      </c>
      <c r="D27549" t="s">
        <v>56</v>
      </c>
      <c r="E27549" t="s">
        <v>15</v>
      </c>
      <c r="F27549" s="2" t="str">
        <f>HYPERLINK("http://www.otzar.org/book.asp?8919","נחל איתן")</f>
        <v>נחל איתן</v>
      </c>
    </row>
    <row r="27550" spans="1:6" x14ac:dyDescent="0.2">
      <c r="A27550" t="s">
        <v>43695</v>
      </c>
      <c r="B27550" t="s">
        <v>7604</v>
      </c>
      <c r="C27550" t="s">
        <v>356</v>
      </c>
      <c r="D27550" t="s">
        <v>52</v>
      </c>
      <c r="E27550" t="s">
        <v>674</v>
      </c>
      <c r="F27550" s="2" t="str">
        <f>HYPERLINK("http://www.otzar.org/book.asp?106396","נחל איתן")</f>
        <v>נחל איתן</v>
      </c>
    </row>
    <row r="27551" spans="1:6" x14ac:dyDescent="0.2">
      <c r="A27551" t="s">
        <v>43700</v>
      </c>
      <c r="B27551" t="s">
        <v>43701</v>
      </c>
      <c r="E27551" t="s">
        <v>158</v>
      </c>
      <c r="F27551" s="2" t="str">
        <f>HYPERLINK("http://www.otzar.org/book.asp?623932","נחל אליהו")</f>
        <v>נחל אליהו</v>
      </c>
    </row>
    <row r="27552" spans="1:6" x14ac:dyDescent="0.2">
      <c r="A27552" t="s">
        <v>43702</v>
      </c>
      <c r="B27552" t="s">
        <v>43703</v>
      </c>
      <c r="C27552" t="s">
        <v>244</v>
      </c>
      <c r="D27552" t="s">
        <v>52</v>
      </c>
      <c r="F27552" s="2" t="str">
        <f>HYPERLINK("http://www.otzar.org/book.asp?604889","נחל אמונה - 2 כר'")</f>
        <v>נחל אמונה - 2 כר'</v>
      </c>
    </row>
    <row r="27553" spans="1:6" x14ac:dyDescent="0.2">
      <c r="A27553" t="s">
        <v>43704</v>
      </c>
      <c r="B27553" t="s">
        <v>1308</v>
      </c>
      <c r="C27553" t="s">
        <v>775</v>
      </c>
      <c r="D27553" t="s">
        <v>27</v>
      </c>
      <c r="E27553" t="s">
        <v>158</v>
      </c>
      <c r="F27553" s="2" t="str">
        <f>HYPERLINK("http://www.otzar.org/book.asp?83870","נחל אשכול - 2 כר'")</f>
        <v>נחל אשכול - 2 כר'</v>
      </c>
    </row>
    <row r="27554" spans="1:6" x14ac:dyDescent="0.2">
      <c r="A27554" t="s">
        <v>43705</v>
      </c>
      <c r="B27554" t="s">
        <v>8524</v>
      </c>
      <c r="C27554" t="s">
        <v>12024</v>
      </c>
      <c r="D27554" t="s">
        <v>31456</v>
      </c>
      <c r="E27554" t="s">
        <v>158</v>
      </c>
      <c r="F27554" s="2" t="str">
        <f>HYPERLINK("http://www.otzar.org/book.asp?25108","נחל אשכול")</f>
        <v>נחל אשכול</v>
      </c>
    </row>
    <row r="27555" spans="1:6" x14ac:dyDescent="0.2">
      <c r="A27555" t="s">
        <v>43706</v>
      </c>
      <c r="B27555" t="s">
        <v>686</v>
      </c>
      <c r="C27555" t="s">
        <v>366</v>
      </c>
      <c r="D27555" t="s">
        <v>80</v>
      </c>
      <c r="E27555" t="s">
        <v>241</v>
      </c>
      <c r="F27555" s="2" t="str">
        <f>HYPERLINK("http://www.otzar.org/book.asp?606751","נחל אשכל")</f>
        <v>נחל אשכל</v>
      </c>
    </row>
    <row r="27556" spans="1:6" x14ac:dyDescent="0.2">
      <c r="A27556" t="s">
        <v>43707</v>
      </c>
      <c r="B27556" t="s">
        <v>23356</v>
      </c>
      <c r="C27556" t="s">
        <v>1458</v>
      </c>
      <c r="D27556" t="s">
        <v>283</v>
      </c>
      <c r="E27556" t="s">
        <v>8786</v>
      </c>
      <c r="F27556" s="2" t="str">
        <f>HYPERLINK("http://www.otzar.org/book.asp?102039","נחל בכי")</f>
        <v>נחל בכי</v>
      </c>
    </row>
    <row r="27557" spans="1:6" x14ac:dyDescent="0.2">
      <c r="A27557" t="s">
        <v>43708</v>
      </c>
      <c r="B27557" t="s">
        <v>11798</v>
      </c>
      <c r="C27557" t="s">
        <v>351</v>
      </c>
      <c r="D27557" t="s">
        <v>283</v>
      </c>
      <c r="E27557" t="s">
        <v>234</v>
      </c>
      <c r="F27557" s="2" t="str">
        <f>HYPERLINK("http://www.otzar.org/book.asp?51712","נחל דמעה")</f>
        <v>נחל דמעה</v>
      </c>
    </row>
    <row r="27558" spans="1:6" x14ac:dyDescent="0.2">
      <c r="A27558" t="s">
        <v>43708</v>
      </c>
      <c r="B27558" t="s">
        <v>12902</v>
      </c>
      <c r="C27558" t="s">
        <v>429</v>
      </c>
      <c r="D27558" t="s">
        <v>267</v>
      </c>
      <c r="E27558" t="s">
        <v>234</v>
      </c>
      <c r="F27558" s="2" t="str">
        <f>HYPERLINK("http://www.otzar.org/book.asp?103575","נחל דמעה")</f>
        <v>נחל דמעה</v>
      </c>
    </row>
    <row r="27559" spans="1:6" x14ac:dyDescent="0.2">
      <c r="A27559" t="s">
        <v>43708</v>
      </c>
      <c r="B27559" t="s">
        <v>43709</v>
      </c>
      <c r="C27559" t="s">
        <v>2455</v>
      </c>
      <c r="D27559" t="s">
        <v>56</v>
      </c>
      <c r="E27559" t="s">
        <v>43710</v>
      </c>
      <c r="F27559" s="2" t="str">
        <f>HYPERLINK("http://www.otzar.org/book.asp?102062","נחל דמעה")</f>
        <v>נחל דמעה</v>
      </c>
    </row>
    <row r="27560" spans="1:6" x14ac:dyDescent="0.2">
      <c r="A27560" t="s">
        <v>43708</v>
      </c>
      <c r="B27560" t="s">
        <v>43711</v>
      </c>
      <c r="C27560" t="s">
        <v>1706</v>
      </c>
      <c r="D27560" t="s">
        <v>283</v>
      </c>
      <c r="E27560" t="s">
        <v>234</v>
      </c>
      <c r="F27560" s="2" t="str">
        <f>HYPERLINK("http://www.otzar.org/book.asp?167596","נחל דמעה")</f>
        <v>נחל דמעה</v>
      </c>
    </row>
    <row r="27561" spans="1:6" x14ac:dyDescent="0.2">
      <c r="A27561" t="s">
        <v>43708</v>
      </c>
      <c r="B27561" t="s">
        <v>269</v>
      </c>
      <c r="C27561" t="s">
        <v>1706</v>
      </c>
      <c r="D27561" t="s">
        <v>43712</v>
      </c>
      <c r="E27561" t="s">
        <v>2840</v>
      </c>
      <c r="F27561" s="2" t="str">
        <f>HYPERLINK("http://www.otzar.org/book.asp?101591","נחל דמעה")</f>
        <v>נחל דמעה</v>
      </c>
    </row>
    <row r="27562" spans="1:6" x14ac:dyDescent="0.2">
      <c r="A27562" t="s">
        <v>43713</v>
      </c>
      <c r="B27562" t="s">
        <v>43703</v>
      </c>
      <c r="C27562" t="s">
        <v>114</v>
      </c>
      <c r="D27562" t="s">
        <v>52</v>
      </c>
      <c r="F27562" s="2" t="str">
        <f>HYPERLINK("http://www.otzar.org/book.asp?604891","נחל דעת - 2 כר'")</f>
        <v>נחל דעת - 2 כר'</v>
      </c>
    </row>
    <row r="27563" spans="1:6" x14ac:dyDescent="0.2">
      <c r="A27563" t="s">
        <v>43714</v>
      </c>
      <c r="B27563" t="s">
        <v>3076</v>
      </c>
      <c r="C27563" t="s">
        <v>1570</v>
      </c>
      <c r="D27563" t="s">
        <v>412</v>
      </c>
      <c r="E27563" t="s">
        <v>15</v>
      </c>
      <c r="F27563" s="2" t="str">
        <f>HYPERLINK("http://www.otzar.org/book.asp?153816","נחל הברית - 3 כר'")</f>
        <v>נחל הברית - 3 כר'</v>
      </c>
    </row>
    <row r="27564" spans="1:6" x14ac:dyDescent="0.2">
      <c r="A27564" t="s">
        <v>43715</v>
      </c>
      <c r="B27564" t="s">
        <v>43716</v>
      </c>
      <c r="C27564" t="s">
        <v>1310</v>
      </c>
      <c r="D27564" t="s">
        <v>283</v>
      </c>
      <c r="E27564" t="s">
        <v>144</v>
      </c>
      <c r="F27564" s="2" t="str">
        <f>HYPERLINK("http://www.otzar.org/book.asp?101524","נחל הערבים")</f>
        <v>נחל הערבים</v>
      </c>
    </row>
    <row r="27565" spans="1:6" x14ac:dyDescent="0.2">
      <c r="A27565" t="s">
        <v>43717</v>
      </c>
      <c r="B27565" t="s">
        <v>38953</v>
      </c>
      <c r="C27565" t="s">
        <v>553</v>
      </c>
      <c r="D27565" t="s">
        <v>52</v>
      </c>
      <c r="E27565" t="s">
        <v>130</v>
      </c>
      <c r="F27565" s="2" t="str">
        <f>HYPERLINK("http://www.otzar.org/book.asp?154604","נחל זרד - 3 כר'")</f>
        <v>נחל זרד - 3 כר'</v>
      </c>
    </row>
    <row r="27566" spans="1:6" x14ac:dyDescent="0.2">
      <c r="A27566" t="s">
        <v>43718</v>
      </c>
      <c r="B27566" t="s">
        <v>43703</v>
      </c>
      <c r="C27566" t="s">
        <v>37</v>
      </c>
      <c r="D27566" t="s">
        <v>52</v>
      </c>
      <c r="E27566" t="s">
        <v>144</v>
      </c>
      <c r="F27566" s="2" t="str">
        <f>HYPERLINK("http://www.otzar.org/book.asp?604892","נחל חוסן - קידושין")</f>
        <v>נחל חוסן - קידושין</v>
      </c>
    </row>
    <row r="27567" spans="1:6" x14ac:dyDescent="0.2">
      <c r="A27567" t="s">
        <v>43719</v>
      </c>
      <c r="B27567" t="s">
        <v>43703</v>
      </c>
      <c r="C27567" t="s">
        <v>20</v>
      </c>
      <c r="D27567" t="s">
        <v>52</v>
      </c>
      <c r="E27567" t="s">
        <v>144</v>
      </c>
      <c r="F27567" s="2" t="str">
        <f>HYPERLINK("http://www.otzar.org/book.asp?604893","נחל חכמה - זבחים, מנחות, תמורה")</f>
        <v>נחל חכמה - זבחים, מנחות, תמורה</v>
      </c>
    </row>
    <row r="27568" spans="1:6" x14ac:dyDescent="0.2">
      <c r="A27568" t="s">
        <v>43720</v>
      </c>
      <c r="B27568" t="s">
        <v>43721</v>
      </c>
      <c r="C27568" t="s">
        <v>43722</v>
      </c>
      <c r="D27568" t="s">
        <v>27</v>
      </c>
      <c r="E27568" t="s">
        <v>957</v>
      </c>
      <c r="F27568" s="2" t="str">
        <f>HYPERLINK("http://www.otzar.org/book.asp?200112","נחל יאודה - 2 כר'")</f>
        <v>נחל יאודה - 2 כר'</v>
      </c>
    </row>
    <row r="27569" spans="1:6" x14ac:dyDescent="0.2">
      <c r="A27569" t="s">
        <v>43723</v>
      </c>
      <c r="B27569" t="s">
        <v>43724</v>
      </c>
      <c r="C27569" t="s">
        <v>366</v>
      </c>
      <c r="D27569" t="s">
        <v>3744</v>
      </c>
      <c r="E27569" t="s">
        <v>658</v>
      </c>
      <c r="F27569" s="2" t="str">
        <f>HYPERLINK("http://www.otzar.org/book.asp?607638","נחל יבק - 2 כר'")</f>
        <v>נחל יבק - 2 כר'</v>
      </c>
    </row>
    <row r="27570" spans="1:6" x14ac:dyDescent="0.2">
      <c r="A27570" t="s">
        <v>43725</v>
      </c>
      <c r="B27570" t="s">
        <v>15466</v>
      </c>
      <c r="C27570" t="s">
        <v>1166</v>
      </c>
      <c r="D27570" t="s">
        <v>225</v>
      </c>
      <c r="E27570" t="s">
        <v>234</v>
      </c>
      <c r="F27570" s="2" t="str">
        <f>HYPERLINK("http://www.otzar.org/book.asp?144173","נחל יהודה")</f>
        <v>נחל יהודה</v>
      </c>
    </row>
    <row r="27571" spans="1:6" x14ac:dyDescent="0.2">
      <c r="A27571" t="s">
        <v>43726</v>
      </c>
      <c r="B27571" t="s">
        <v>1381</v>
      </c>
      <c r="C27571" t="s">
        <v>43727</v>
      </c>
      <c r="D27571" t="s">
        <v>56</v>
      </c>
      <c r="E27571" t="s">
        <v>396</v>
      </c>
      <c r="F27571" s="2" t="str">
        <f>HYPERLINK("http://www.otzar.org/book.asp?8567","נחל יצחק - 2 כר'")</f>
        <v>נחל יצחק - 2 כר'</v>
      </c>
    </row>
    <row r="27572" spans="1:6" x14ac:dyDescent="0.2">
      <c r="A27572" t="s">
        <v>43728</v>
      </c>
      <c r="B27572" t="s">
        <v>4988</v>
      </c>
      <c r="C27572" t="s">
        <v>454</v>
      </c>
      <c r="D27572" t="s">
        <v>52</v>
      </c>
      <c r="E27572" t="s">
        <v>246</v>
      </c>
      <c r="F27572" s="2" t="str">
        <f>HYPERLINK("http://www.otzar.org/book.asp?164085","נחל יצחק - 3 כר'")</f>
        <v>נחל יצחק - 3 כר'</v>
      </c>
    </row>
    <row r="27573" spans="1:6" x14ac:dyDescent="0.2">
      <c r="A27573" t="s">
        <v>43729</v>
      </c>
      <c r="B27573" t="s">
        <v>43703</v>
      </c>
      <c r="C27573" t="s">
        <v>411</v>
      </c>
      <c r="D27573" t="s">
        <v>52</v>
      </c>
      <c r="E27573" t="s">
        <v>144</v>
      </c>
      <c r="F27573" s="2" t="str">
        <f>HYPERLINK("http://www.otzar.org/book.asp?604894","נחל ישועות - בבא מציעא")</f>
        <v>נחל ישועות - בבא מציעא</v>
      </c>
    </row>
    <row r="27574" spans="1:6" x14ac:dyDescent="0.2">
      <c r="A27574" t="s">
        <v>43730</v>
      </c>
      <c r="B27574" t="s">
        <v>2339</v>
      </c>
      <c r="C27574" t="s">
        <v>896</v>
      </c>
      <c r="D27574" t="s">
        <v>56</v>
      </c>
      <c r="E27574" t="s">
        <v>154</v>
      </c>
      <c r="F27574" s="2" t="str">
        <f>HYPERLINK("http://www.otzar.org/book.asp?20322","נחל משה")</f>
        <v>נחל משה</v>
      </c>
    </row>
    <row r="27575" spans="1:6" x14ac:dyDescent="0.2">
      <c r="A27575" t="s">
        <v>43731</v>
      </c>
      <c r="B27575" t="s">
        <v>28719</v>
      </c>
      <c r="C27575" t="s">
        <v>989</v>
      </c>
      <c r="D27575" t="s">
        <v>14</v>
      </c>
      <c r="E27575" t="s">
        <v>140</v>
      </c>
      <c r="F27575" s="2" t="str">
        <f>HYPERLINK("http://www.otzar.org/book.asp?174072","נחל נובע")</f>
        <v>נחל נובע</v>
      </c>
    </row>
    <row r="27576" spans="1:6" x14ac:dyDescent="0.2">
      <c r="A27576" t="s">
        <v>43732</v>
      </c>
      <c r="B27576" t="s">
        <v>43733</v>
      </c>
      <c r="C27576" t="s">
        <v>21397</v>
      </c>
      <c r="D27576" t="s">
        <v>412</v>
      </c>
      <c r="F27576" s="2" t="str">
        <f>HYPERLINK("http://www.otzar.org/book.asp?169700","נחל עדה")</f>
        <v>נחל עדה</v>
      </c>
    </row>
    <row r="27577" spans="1:6" x14ac:dyDescent="0.2">
      <c r="A27577" t="s">
        <v>43734</v>
      </c>
      <c r="B27577" t="s">
        <v>43735</v>
      </c>
      <c r="C27577" t="s">
        <v>748</v>
      </c>
      <c r="D27577" t="s">
        <v>56</v>
      </c>
      <c r="E27577" t="s">
        <v>24358</v>
      </c>
      <c r="F27577" s="2" t="str">
        <f>HYPERLINK("http://www.otzar.org/book.asp?104923","נחל עדן")</f>
        <v>נחל עדן</v>
      </c>
    </row>
    <row r="27578" spans="1:6" x14ac:dyDescent="0.2">
      <c r="A27578" t="s">
        <v>43736</v>
      </c>
      <c r="B27578" t="s">
        <v>20667</v>
      </c>
      <c r="C27578" t="s">
        <v>411</v>
      </c>
      <c r="D27578" t="s">
        <v>52</v>
      </c>
      <c r="E27578" t="s">
        <v>144</v>
      </c>
      <c r="F27578" s="2" t="str">
        <f>HYPERLINK("http://www.otzar.org/book.asp?172904","נחל עדניך - 5 כר'")</f>
        <v>נחל עדניך - 5 כר'</v>
      </c>
    </row>
    <row r="27579" spans="1:6" x14ac:dyDescent="0.2">
      <c r="A27579" t="s">
        <v>43737</v>
      </c>
      <c r="B27579" t="s">
        <v>43738</v>
      </c>
      <c r="C27579" t="s">
        <v>37</v>
      </c>
      <c r="D27579" t="s">
        <v>14</v>
      </c>
      <c r="E27579" t="s">
        <v>872</v>
      </c>
      <c r="F27579" s="2" t="str">
        <f>HYPERLINK("http://www.otzar.org/book.asp?181772","נחל פז - 2 כר'")</f>
        <v>נחל פז - 2 כר'</v>
      </c>
    </row>
    <row r="27580" spans="1:6" x14ac:dyDescent="0.2">
      <c r="A27580" t="s">
        <v>43739</v>
      </c>
      <c r="B27580" t="s">
        <v>1308</v>
      </c>
      <c r="C27580" t="s">
        <v>454</v>
      </c>
      <c r="D27580" t="s">
        <v>27</v>
      </c>
      <c r="E27580" t="s">
        <v>158</v>
      </c>
      <c r="F27580" s="2" t="str">
        <f>HYPERLINK("http://www.otzar.org/book.asp?83873","נחל קדומים")</f>
        <v>נחל קדומים</v>
      </c>
    </row>
    <row r="27581" spans="1:6" x14ac:dyDescent="0.2">
      <c r="A27581" t="s">
        <v>43739</v>
      </c>
      <c r="B27581" t="s">
        <v>43740</v>
      </c>
      <c r="C27581" t="s">
        <v>291</v>
      </c>
      <c r="D27581" t="s">
        <v>5477</v>
      </c>
      <c r="E27581" t="s">
        <v>5144</v>
      </c>
      <c r="F27581" s="2" t="str">
        <f>HYPERLINK("http://www.otzar.org/book.asp?182030","נחל קדומים")</f>
        <v>נחל קדומים</v>
      </c>
    </row>
    <row r="27582" spans="1:6" x14ac:dyDescent="0.2">
      <c r="A27582" t="s">
        <v>43741</v>
      </c>
      <c r="B27582" t="s">
        <v>43742</v>
      </c>
      <c r="C27582" t="s">
        <v>43743</v>
      </c>
      <c r="D27582" t="s">
        <v>225</v>
      </c>
      <c r="E27582" t="s">
        <v>158</v>
      </c>
      <c r="F27582" s="2" t="str">
        <f>HYPERLINK("http://www.otzar.org/book.asp?25109","נחל קדומים - 2 כר'")</f>
        <v>נחל קדומים - 2 כר'</v>
      </c>
    </row>
    <row r="27583" spans="1:6" x14ac:dyDescent="0.2">
      <c r="A27583" t="s">
        <v>43744</v>
      </c>
      <c r="B27583" t="s">
        <v>1308</v>
      </c>
      <c r="C27583" t="s">
        <v>1047</v>
      </c>
      <c r="D27583" t="s">
        <v>283</v>
      </c>
      <c r="E27583" t="s">
        <v>4940</v>
      </c>
      <c r="F27583" s="2" t="str">
        <f>HYPERLINK("http://www.otzar.org/book.asp?14734","נחל קדומים, נחל אשכול, נחל שורק")</f>
        <v>נחל קדומים, נחל אשכול, נחל שורק</v>
      </c>
    </row>
    <row r="27584" spans="1:6" x14ac:dyDescent="0.2">
      <c r="A27584" t="s">
        <v>43745</v>
      </c>
      <c r="B27584" t="s">
        <v>1308</v>
      </c>
      <c r="C27584" t="s">
        <v>775</v>
      </c>
      <c r="D27584" t="s">
        <v>27</v>
      </c>
      <c r="E27584" t="s">
        <v>158</v>
      </c>
      <c r="F27584" s="2" t="str">
        <f>HYPERLINK("http://www.otzar.org/book.asp?83871","נחל שורק - 2 כר'")</f>
        <v>נחל שורק - 2 כר'</v>
      </c>
    </row>
    <row r="27585" spans="1:6" x14ac:dyDescent="0.2">
      <c r="A27585" t="s">
        <v>43746</v>
      </c>
      <c r="B27585" t="s">
        <v>13369</v>
      </c>
      <c r="C27585" t="s">
        <v>244</v>
      </c>
      <c r="D27585" t="s">
        <v>80</v>
      </c>
      <c r="E27585" t="s">
        <v>15</v>
      </c>
      <c r="F27585" s="2" t="str">
        <f>HYPERLINK("http://www.otzar.org/book.asp?601167","נחל שורק")</f>
        <v>נחל שורק</v>
      </c>
    </row>
    <row r="27586" spans="1:6" x14ac:dyDescent="0.2">
      <c r="A27586" t="s">
        <v>43746</v>
      </c>
      <c r="B27586" t="s">
        <v>39772</v>
      </c>
      <c r="C27586" t="s">
        <v>785</v>
      </c>
      <c r="D27586" t="s">
        <v>14</v>
      </c>
      <c r="E27586" t="s">
        <v>140</v>
      </c>
      <c r="F27586" s="2" t="str">
        <f>HYPERLINK("http://www.otzar.org/book.asp?178946","נחל שורק")</f>
        <v>נחל שורק</v>
      </c>
    </row>
    <row r="27587" spans="1:6" x14ac:dyDescent="0.2">
      <c r="A27587" t="s">
        <v>43747</v>
      </c>
      <c r="B27587" t="s">
        <v>17506</v>
      </c>
      <c r="C27587" t="s">
        <v>114</v>
      </c>
      <c r="D27587" t="s">
        <v>14</v>
      </c>
      <c r="E27587" t="s">
        <v>144</v>
      </c>
      <c r="F27587" s="2" t="str">
        <f>HYPERLINK("http://www.otzar.org/book.asp?157774","נחל שלמה - 12 כר'")</f>
        <v>נחל שלמה - 12 כר'</v>
      </c>
    </row>
    <row r="27588" spans="1:6" x14ac:dyDescent="0.2">
      <c r="A27588" t="s">
        <v>43748</v>
      </c>
      <c r="B27588" t="s">
        <v>43749</v>
      </c>
      <c r="C27588" t="s">
        <v>17448</v>
      </c>
      <c r="D27588" t="s">
        <v>1490</v>
      </c>
      <c r="E27588" t="s">
        <v>508</v>
      </c>
      <c r="F27588" s="2" t="str">
        <f>HYPERLINK("http://www.otzar.org/book.asp?10924","נחלה ליהושע")</f>
        <v>נחלה ליהושע</v>
      </c>
    </row>
    <row r="27589" spans="1:6" x14ac:dyDescent="0.2">
      <c r="A27589" t="s">
        <v>43750</v>
      </c>
      <c r="B27589" t="s">
        <v>7746</v>
      </c>
      <c r="C27589" t="s">
        <v>427</v>
      </c>
      <c r="D27589" t="s">
        <v>27</v>
      </c>
      <c r="E27589" t="s">
        <v>104</v>
      </c>
      <c r="F27589" s="2" t="str">
        <f>HYPERLINK("http://www.otzar.org/book.asp?154353","נחלה לישראל וארץ חמדה")</f>
        <v>נחלה לישראל וארץ חמדה</v>
      </c>
    </row>
    <row r="27590" spans="1:6" x14ac:dyDescent="0.2">
      <c r="A27590" t="s">
        <v>43751</v>
      </c>
      <c r="B27590" t="s">
        <v>7746</v>
      </c>
      <c r="C27590" t="s">
        <v>576</v>
      </c>
      <c r="D27590" t="s">
        <v>43752</v>
      </c>
      <c r="E27590" t="s">
        <v>3055</v>
      </c>
      <c r="F27590" s="2" t="str">
        <f>HYPERLINK("http://www.otzar.org/book.asp?21471","נחלה לישראל - 2 כר'")</f>
        <v>נחלה לישראל - 2 כר'</v>
      </c>
    </row>
    <row r="27591" spans="1:6" x14ac:dyDescent="0.2">
      <c r="A27591" t="s">
        <v>43753</v>
      </c>
      <c r="B27591" t="s">
        <v>18724</v>
      </c>
      <c r="C27591" t="s">
        <v>1124</v>
      </c>
      <c r="D27591" t="s">
        <v>267</v>
      </c>
      <c r="E27591" t="s">
        <v>8786</v>
      </c>
      <c r="F27591" s="2" t="str">
        <f>HYPERLINK("http://www.otzar.org/book.asp?101592","נחלה לישראל")</f>
        <v>נחלה לישראל</v>
      </c>
    </row>
    <row r="27592" spans="1:6" x14ac:dyDescent="0.2">
      <c r="A27592" t="s">
        <v>43753</v>
      </c>
      <c r="B27592" t="s">
        <v>43754</v>
      </c>
      <c r="C27592" t="s">
        <v>270</v>
      </c>
      <c r="D27592" t="s">
        <v>535</v>
      </c>
      <c r="F27592" s="2" t="str">
        <f>HYPERLINK("http://www.otzar.org/book.asp?83985","נחלה לישראל")</f>
        <v>נחלה לישראל</v>
      </c>
    </row>
    <row r="27593" spans="1:6" x14ac:dyDescent="0.2">
      <c r="A27593" t="s">
        <v>43751</v>
      </c>
      <c r="B27593" t="s">
        <v>31382</v>
      </c>
      <c r="C27593" t="s">
        <v>75</v>
      </c>
      <c r="D27593" t="s">
        <v>13414</v>
      </c>
      <c r="E27593" t="s">
        <v>7754</v>
      </c>
      <c r="F27593" s="2" t="str">
        <f>HYPERLINK("http://www.otzar.org/book.asp?100351","נחלה לישראל - 2 כר'")</f>
        <v>נחלה לישראל - 2 כר'</v>
      </c>
    </row>
    <row r="27594" spans="1:6" x14ac:dyDescent="0.2">
      <c r="A27594" t="s">
        <v>43755</v>
      </c>
      <c r="B27594" t="s">
        <v>43756</v>
      </c>
      <c r="C27594" t="s">
        <v>63</v>
      </c>
      <c r="D27594" t="s">
        <v>216</v>
      </c>
      <c r="E27594" t="s">
        <v>5392</v>
      </c>
      <c r="F27594" s="2" t="str">
        <f>HYPERLINK("http://www.otzar.org/book.asp?620452","נחלה - 2 כר'")</f>
        <v>נחלה - 2 כר'</v>
      </c>
    </row>
    <row r="27595" spans="1:6" x14ac:dyDescent="0.2">
      <c r="A27595" t="s">
        <v>43757</v>
      </c>
      <c r="B27595" t="s">
        <v>43758</v>
      </c>
      <c r="C27595" t="s">
        <v>129</v>
      </c>
      <c r="D27595" t="s">
        <v>14</v>
      </c>
      <c r="E27595" t="s">
        <v>2071</v>
      </c>
      <c r="F27595" s="2" t="str">
        <f>HYPERLINK("http://www.otzar.org/book.asp?611241","נחלי אביב")</f>
        <v>נחלי אביב</v>
      </c>
    </row>
    <row r="27596" spans="1:6" x14ac:dyDescent="0.2">
      <c r="A27596" t="s">
        <v>43759</v>
      </c>
      <c r="B27596" t="s">
        <v>43760</v>
      </c>
      <c r="C27596" t="s">
        <v>624</v>
      </c>
      <c r="D27596" t="s">
        <v>52</v>
      </c>
      <c r="E27596" t="s">
        <v>202</v>
      </c>
      <c r="F27596" s="2" t="str">
        <f>HYPERLINK("http://www.otzar.org/book.asp?190896","נחלי אמונה - 8 כר'")</f>
        <v>נחלי אמונה - 8 כר'</v>
      </c>
    </row>
    <row r="27597" spans="1:6" x14ac:dyDescent="0.2">
      <c r="A27597" t="s">
        <v>43761</v>
      </c>
      <c r="B27597" t="s">
        <v>43762</v>
      </c>
      <c r="C27597" t="s">
        <v>106</v>
      </c>
      <c r="D27597" t="s">
        <v>14</v>
      </c>
      <c r="E27597" t="s">
        <v>213</v>
      </c>
      <c r="F27597" s="2" t="str">
        <f>HYPERLINK("http://www.otzar.org/book.asp?154434","נחלי אמונה")</f>
        <v>נחלי אמונה</v>
      </c>
    </row>
    <row r="27598" spans="1:6" x14ac:dyDescent="0.2">
      <c r="A27598" t="s">
        <v>43761</v>
      </c>
      <c r="B27598" t="s">
        <v>43763</v>
      </c>
      <c r="C27598" t="s">
        <v>224</v>
      </c>
      <c r="D27598" t="s">
        <v>726</v>
      </c>
      <c r="E27598" t="s">
        <v>43764</v>
      </c>
      <c r="F27598" s="2" t="str">
        <f>HYPERLINK("http://www.otzar.org/book.asp?21957","נחלי אמונה")</f>
        <v>נחלי אמונה</v>
      </c>
    </row>
    <row r="27599" spans="1:6" x14ac:dyDescent="0.2">
      <c r="A27599" t="s">
        <v>43765</v>
      </c>
      <c r="B27599" t="s">
        <v>43766</v>
      </c>
      <c r="C27599" t="s">
        <v>585</v>
      </c>
      <c r="D27599" t="s">
        <v>21</v>
      </c>
      <c r="E27599" t="s">
        <v>140</v>
      </c>
      <c r="F27599" s="2" t="str">
        <f>HYPERLINK("http://www.otzar.org/book.asp?623818","נחלי אמונה - 14 כר'")</f>
        <v>נחלי אמונה - 14 כר'</v>
      </c>
    </row>
    <row r="27600" spans="1:6" x14ac:dyDescent="0.2">
      <c r="A27600" t="s">
        <v>43761</v>
      </c>
      <c r="B27600" t="s">
        <v>4289</v>
      </c>
      <c r="C27600" t="s">
        <v>1160</v>
      </c>
      <c r="D27600" t="s">
        <v>216</v>
      </c>
      <c r="E27600" t="s">
        <v>741</v>
      </c>
      <c r="F27600" s="2" t="str">
        <f>HYPERLINK("http://www.otzar.org/book.asp?153549","נחלי אמונה")</f>
        <v>נחלי אמונה</v>
      </c>
    </row>
    <row r="27601" spans="1:6" x14ac:dyDescent="0.2">
      <c r="A27601" t="s">
        <v>43767</v>
      </c>
      <c r="B27601" t="s">
        <v>43768</v>
      </c>
      <c r="C27601" t="s">
        <v>13</v>
      </c>
      <c r="D27601" t="s">
        <v>14</v>
      </c>
      <c r="E27601" t="s">
        <v>2363</v>
      </c>
      <c r="F27601" s="2" t="str">
        <f>HYPERLINK("http://www.otzar.org/book.asp?151290","נחלי אפרסמון - 3 כר'")</f>
        <v>נחלי אפרסמון - 3 כר'</v>
      </c>
    </row>
    <row r="27602" spans="1:6" x14ac:dyDescent="0.2">
      <c r="A27602" t="s">
        <v>43769</v>
      </c>
      <c r="B27602" t="s">
        <v>43770</v>
      </c>
      <c r="C27602" t="s">
        <v>189</v>
      </c>
      <c r="D27602" t="s">
        <v>19282</v>
      </c>
      <c r="E27602" t="s">
        <v>733</v>
      </c>
      <c r="F27602" s="2" t="str">
        <f>HYPERLINK("http://www.otzar.org/book.asp?142108","נחלי בא גד - 2 כר'")</f>
        <v>נחלי בא גד - 2 כר'</v>
      </c>
    </row>
    <row r="27603" spans="1:6" x14ac:dyDescent="0.2">
      <c r="A27603" t="s">
        <v>43771</v>
      </c>
      <c r="B27603" t="s">
        <v>43772</v>
      </c>
      <c r="C27603" t="s">
        <v>189</v>
      </c>
      <c r="D27603" t="s">
        <v>90</v>
      </c>
      <c r="F27603" s="2" t="str">
        <f>HYPERLINK("http://www.otzar.org/book.asp?194513","נחלי בינה - 7 כר'")</f>
        <v>נחלי בינה - 7 כר'</v>
      </c>
    </row>
    <row r="27604" spans="1:6" x14ac:dyDescent="0.2">
      <c r="A27604" t="s">
        <v>43773</v>
      </c>
      <c r="B27604" t="s">
        <v>32032</v>
      </c>
      <c r="C27604" t="s">
        <v>2543</v>
      </c>
      <c r="D27604" t="s">
        <v>5211</v>
      </c>
      <c r="E27604" t="s">
        <v>474</v>
      </c>
      <c r="F27604" s="2" t="str">
        <f>HYPERLINK("http://www.otzar.org/book.asp?25112","נחלי דבש")</f>
        <v>נחלי דבש</v>
      </c>
    </row>
    <row r="27605" spans="1:6" x14ac:dyDescent="0.2">
      <c r="A27605" t="s">
        <v>43773</v>
      </c>
      <c r="B27605" t="s">
        <v>43774</v>
      </c>
      <c r="C27605" t="s">
        <v>1310</v>
      </c>
      <c r="D27605" t="s">
        <v>322</v>
      </c>
      <c r="E27605" t="s">
        <v>345</v>
      </c>
      <c r="F27605" s="2" t="str">
        <f>HYPERLINK("http://www.otzar.org/book.asp?9699","נחלי דבש")</f>
        <v>נחלי דבש</v>
      </c>
    </row>
    <row r="27606" spans="1:6" x14ac:dyDescent="0.2">
      <c r="A27606" t="s">
        <v>43773</v>
      </c>
      <c r="B27606" t="s">
        <v>43775</v>
      </c>
      <c r="C27606" t="s">
        <v>13</v>
      </c>
      <c r="D27606" t="s">
        <v>14</v>
      </c>
      <c r="E27606" t="s">
        <v>15</v>
      </c>
      <c r="F27606" s="2" t="str">
        <f>HYPERLINK("http://www.otzar.org/book.asp?168780","נחלי דבש")</f>
        <v>נחלי דבש</v>
      </c>
    </row>
    <row r="27607" spans="1:6" x14ac:dyDescent="0.2">
      <c r="A27607" t="s">
        <v>43776</v>
      </c>
      <c r="B27607" t="s">
        <v>43777</v>
      </c>
      <c r="C27607" t="s">
        <v>383</v>
      </c>
      <c r="D27607" t="s">
        <v>1273</v>
      </c>
      <c r="E27607" t="s">
        <v>144</v>
      </c>
      <c r="F27607" s="2" t="str">
        <f>HYPERLINK("http://www.otzar.org/book.asp?604316","נחלי דבש - 2 כר'")</f>
        <v>נחלי דבש - 2 כר'</v>
      </c>
    </row>
    <row r="27608" spans="1:6" x14ac:dyDescent="0.2">
      <c r="A27608" t="s">
        <v>43773</v>
      </c>
      <c r="B27608" t="s">
        <v>3614</v>
      </c>
      <c r="C27608" t="s">
        <v>13</v>
      </c>
      <c r="D27608" t="s">
        <v>14</v>
      </c>
      <c r="E27608" t="s">
        <v>1185</v>
      </c>
      <c r="F27608" s="2" t="str">
        <f>HYPERLINK("http://www.otzar.org/book.asp?169522","נחלי דבש")</f>
        <v>נחלי דבש</v>
      </c>
    </row>
    <row r="27609" spans="1:6" x14ac:dyDescent="0.2">
      <c r="A27609" t="s">
        <v>43773</v>
      </c>
      <c r="B27609" t="s">
        <v>43778</v>
      </c>
      <c r="C27609" t="s">
        <v>2227</v>
      </c>
      <c r="D27609" t="s">
        <v>280</v>
      </c>
      <c r="E27609" t="s">
        <v>241</v>
      </c>
      <c r="F27609" s="2" t="str">
        <f>HYPERLINK("http://www.otzar.org/book.asp?103574","נחלי דבש")</f>
        <v>נחלי דבש</v>
      </c>
    </row>
    <row r="27610" spans="1:6" x14ac:dyDescent="0.2">
      <c r="A27610" t="s">
        <v>43773</v>
      </c>
      <c r="B27610" t="s">
        <v>43779</v>
      </c>
      <c r="C27610" t="s">
        <v>619</v>
      </c>
      <c r="D27610" t="s">
        <v>267</v>
      </c>
      <c r="E27610" t="s">
        <v>31451</v>
      </c>
      <c r="F27610" s="2" t="str">
        <f>HYPERLINK("http://www.otzar.org/book.asp?553","נחלי דבש")</f>
        <v>נחלי דבש</v>
      </c>
    </row>
    <row r="27611" spans="1:6" x14ac:dyDescent="0.2">
      <c r="A27611" t="s">
        <v>43780</v>
      </c>
      <c r="B27611" t="s">
        <v>43781</v>
      </c>
      <c r="C27611" t="s">
        <v>624</v>
      </c>
      <c r="D27611" t="s">
        <v>14</v>
      </c>
      <c r="E27611" t="s">
        <v>158</v>
      </c>
      <c r="F27611" s="2" t="str">
        <f>HYPERLINK("http://www.otzar.org/book.asp?165335","נחלי דבש - 5 כר'")</f>
        <v>נחלי דבש - 5 כר'</v>
      </c>
    </row>
    <row r="27612" spans="1:6" x14ac:dyDescent="0.2">
      <c r="A27612" t="s">
        <v>43773</v>
      </c>
      <c r="B27612" t="s">
        <v>43782</v>
      </c>
      <c r="C27612" t="s">
        <v>1844</v>
      </c>
      <c r="D27612" t="s">
        <v>267</v>
      </c>
      <c r="E27612" t="s">
        <v>803</v>
      </c>
      <c r="F27612" s="2" t="str">
        <f>HYPERLINK("http://www.otzar.org/book.asp?200261","נחלי דבש")</f>
        <v>נחלי דבש</v>
      </c>
    </row>
    <row r="27613" spans="1:6" x14ac:dyDescent="0.2">
      <c r="A27613" t="s">
        <v>43783</v>
      </c>
      <c r="B27613" t="s">
        <v>43784</v>
      </c>
      <c r="C27613" t="s">
        <v>244</v>
      </c>
      <c r="D27613" t="s">
        <v>21</v>
      </c>
      <c r="E27613" t="s">
        <v>144</v>
      </c>
      <c r="F27613" s="2" t="str">
        <f>HYPERLINK("http://www.otzar.org/book.asp?604570","נחלי דעה - 4 כר'")</f>
        <v>נחלי דעה - 4 כר'</v>
      </c>
    </row>
    <row r="27614" spans="1:6" x14ac:dyDescent="0.2">
      <c r="A27614" t="s">
        <v>43785</v>
      </c>
      <c r="B27614" t="s">
        <v>43786</v>
      </c>
      <c r="C27614" t="s">
        <v>51</v>
      </c>
      <c r="D27614" t="s">
        <v>8720</v>
      </c>
      <c r="E27614" t="s">
        <v>202</v>
      </c>
      <c r="F27614" s="2" t="str">
        <f>HYPERLINK("http://www.otzar.org/book.asp?162119","נחלי דעת - 3 כר'")</f>
        <v>נחלי דעת - 3 כר'</v>
      </c>
    </row>
    <row r="27615" spans="1:6" x14ac:dyDescent="0.2">
      <c r="A27615" t="s">
        <v>43787</v>
      </c>
      <c r="B27615" t="s">
        <v>39984</v>
      </c>
      <c r="C27615" t="s">
        <v>1609</v>
      </c>
      <c r="D27615" t="s">
        <v>43788</v>
      </c>
      <c r="E27615" t="s">
        <v>10</v>
      </c>
      <c r="F27615" s="2" t="str">
        <f>HYPERLINK("http://www.otzar.org/book.asp?300509","נחלי חיים - א")</f>
        <v>נחלי חיים - א</v>
      </c>
    </row>
    <row r="27616" spans="1:6" x14ac:dyDescent="0.2">
      <c r="A27616" t="s">
        <v>43789</v>
      </c>
      <c r="B27616" t="s">
        <v>21652</v>
      </c>
      <c r="C27616" t="s">
        <v>624</v>
      </c>
      <c r="D27616" t="s">
        <v>412</v>
      </c>
      <c r="E27616" t="s">
        <v>144</v>
      </c>
      <c r="F27616" s="2" t="str">
        <f>HYPERLINK("http://www.otzar.org/book.asp?168711","נחלי מים - 3 כר'")</f>
        <v>נחלי מים - 3 כר'</v>
      </c>
    </row>
    <row r="27617" spans="1:6" x14ac:dyDescent="0.2">
      <c r="A27617" t="s">
        <v>43790</v>
      </c>
      <c r="B27617" t="s">
        <v>17891</v>
      </c>
      <c r="C27617" t="s">
        <v>2076</v>
      </c>
      <c r="D27617" t="s">
        <v>283</v>
      </c>
      <c r="E27617" t="s">
        <v>930</v>
      </c>
      <c r="F27617" s="2" t="str">
        <f>HYPERLINK("http://www.otzar.org/book.asp?102040","נחלי מים")</f>
        <v>נחלי מים</v>
      </c>
    </row>
    <row r="27618" spans="1:6" x14ac:dyDescent="0.2">
      <c r="A27618" t="s">
        <v>43790</v>
      </c>
      <c r="B27618" t="s">
        <v>43791</v>
      </c>
      <c r="C27618" t="s">
        <v>26</v>
      </c>
      <c r="D27618" t="s">
        <v>14</v>
      </c>
      <c r="E27618" t="s">
        <v>26678</v>
      </c>
      <c r="F27618" s="2" t="str">
        <f>HYPERLINK("http://www.otzar.org/book.asp?9913","נחלי מים")</f>
        <v>נחלי מים</v>
      </c>
    </row>
    <row r="27619" spans="1:6" x14ac:dyDescent="0.2">
      <c r="A27619" t="s">
        <v>43792</v>
      </c>
      <c r="B27619" t="s">
        <v>43793</v>
      </c>
      <c r="C27619" t="s">
        <v>411</v>
      </c>
      <c r="D27619" t="s">
        <v>1180</v>
      </c>
      <c r="E27619" t="s">
        <v>435</v>
      </c>
      <c r="F27619" s="2" t="str">
        <f>HYPERLINK("http://www.otzar.org/book.asp?608134","נחלי צבי &lt;אגדות הש""ס&gt; - 2 כר'")</f>
        <v>נחלי צבי &lt;אגדות הש"ס&gt; - 2 כר'</v>
      </c>
    </row>
    <row r="27620" spans="1:6" x14ac:dyDescent="0.2">
      <c r="A27620" t="s">
        <v>43794</v>
      </c>
      <c r="B27620" t="s">
        <v>43793</v>
      </c>
      <c r="C27620" t="s">
        <v>23</v>
      </c>
      <c r="D27620" t="s">
        <v>1180</v>
      </c>
      <c r="E27620" t="s">
        <v>158</v>
      </c>
      <c r="F27620" s="2" t="str">
        <f>HYPERLINK("http://www.otzar.org/book.asp?607649","נחלי צבי - 4 כר'")</f>
        <v>נחלי צבי - 4 כר'</v>
      </c>
    </row>
    <row r="27621" spans="1:6" x14ac:dyDescent="0.2">
      <c r="A27621" t="s">
        <v>43795</v>
      </c>
      <c r="B27621" t="s">
        <v>1750</v>
      </c>
      <c r="C27621" t="s">
        <v>1811</v>
      </c>
      <c r="D27621" t="s">
        <v>118</v>
      </c>
      <c r="E27621" t="s">
        <v>199</v>
      </c>
      <c r="F27621" s="2" t="str">
        <f>HYPERLINK("http://www.otzar.org/book.asp?106768","נחליאל &lt;מאסף לתודעה תורתית ולספרות חרדית&gt; - 2 כר'")</f>
        <v>נחליאל &lt;מאסף לתודעה תורתית ולספרות חרדית&gt; - 2 כר'</v>
      </c>
    </row>
    <row r="27622" spans="1:6" x14ac:dyDescent="0.2">
      <c r="A27622" t="s">
        <v>43796</v>
      </c>
      <c r="B27622" t="s">
        <v>1750</v>
      </c>
      <c r="C27622" t="s">
        <v>1268</v>
      </c>
      <c r="D27622" t="s">
        <v>412</v>
      </c>
      <c r="E27622" t="s">
        <v>202</v>
      </c>
      <c r="F27622" s="2" t="str">
        <f>HYPERLINK("http://www.otzar.org/book.asp?52362","נחלים - ב")</f>
        <v>נחלים - ב</v>
      </c>
    </row>
    <row r="27623" spans="1:6" x14ac:dyDescent="0.2">
      <c r="A27623" t="s">
        <v>43797</v>
      </c>
      <c r="B27623" t="s">
        <v>43798</v>
      </c>
      <c r="C27623" t="s">
        <v>576</v>
      </c>
      <c r="D27623" t="s">
        <v>691</v>
      </c>
      <c r="E27623" t="s">
        <v>154</v>
      </c>
      <c r="F27623" s="2" t="str">
        <f>HYPERLINK("http://www.otzar.org/book.asp?28651","נחלת אב""י")</f>
        <v>נחלת אב"י</v>
      </c>
    </row>
    <row r="27624" spans="1:6" x14ac:dyDescent="0.2">
      <c r="A27624" t="s">
        <v>43799</v>
      </c>
      <c r="B27624" t="s">
        <v>17467</v>
      </c>
      <c r="C27624" t="s">
        <v>133</v>
      </c>
      <c r="D27624" t="s">
        <v>1840</v>
      </c>
      <c r="F27624" s="2" t="str">
        <f>HYPERLINK("http://www.otzar.org/book.asp?609062","נחלת אבות &lt;מהדורה חדשה&gt;")</f>
        <v>נחלת אבות &lt;מהדורה חדשה&gt;</v>
      </c>
    </row>
    <row r="27625" spans="1:6" x14ac:dyDescent="0.2">
      <c r="A27625" t="s">
        <v>43800</v>
      </c>
      <c r="B27625" t="s">
        <v>43801</v>
      </c>
      <c r="C27625" t="s">
        <v>37</v>
      </c>
      <c r="D27625" t="s">
        <v>90</v>
      </c>
      <c r="F27625" s="2" t="str">
        <f>HYPERLINK("http://www.otzar.org/book.asp?198454","נחלת אבות &lt;ויז'ניץ&gt; - 3 כר'")</f>
        <v>נחלת אבות &lt;ויז'ניץ&gt; - 3 כר'</v>
      </c>
    </row>
    <row r="27626" spans="1:6" x14ac:dyDescent="0.2">
      <c r="A27626" t="s">
        <v>43802</v>
      </c>
      <c r="B27626" t="s">
        <v>43803</v>
      </c>
      <c r="C27626" t="s">
        <v>1096</v>
      </c>
      <c r="D27626" t="s">
        <v>212</v>
      </c>
      <c r="E27626" t="s">
        <v>24</v>
      </c>
      <c r="F27626" s="2" t="str">
        <f>HYPERLINK("http://www.otzar.org/book.asp?172149","נחלת אבות ותקון יצחק")</f>
        <v>נחלת אבות ותקון יצחק</v>
      </c>
    </row>
    <row r="27627" spans="1:6" x14ac:dyDescent="0.2">
      <c r="A27627" t="s">
        <v>43804</v>
      </c>
      <c r="B27627" t="s">
        <v>18713</v>
      </c>
      <c r="C27627" t="s">
        <v>1706</v>
      </c>
      <c r="D27627" t="s">
        <v>56</v>
      </c>
      <c r="E27627" t="s">
        <v>104</v>
      </c>
      <c r="F27627" s="2" t="str">
        <f>HYPERLINK("http://www.otzar.org/book.asp?20323","נחלת אבות - א")</f>
        <v>נחלת אבות - א</v>
      </c>
    </row>
    <row r="27628" spans="1:6" x14ac:dyDescent="0.2">
      <c r="A27628" t="s">
        <v>43805</v>
      </c>
      <c r="B27628" t="s">
        <v>43806</v>
      </c>
      <c r="C27628" t="s">
        <v>129</v>
      </c>
      <c r="D27628" t="s">
        <v>14</v>
      </c>
      <c r="E27628" t="s">
        <v>43807</v>
      </c>
      <c r="F27628" s="2" t="str">
        <f>HYPERLINK("http://www.otzar.org/book.asp?159021","נחלת אבות")</f>
        <v>נחלת אבות</v>
      </c>
    </row>
    <row r="27629" spans="1:6" x14ac:dyDescent="0.2">
      <c r="A27629" t="s">
        <v>43808</v>
      </c>
      <c r="B27629" t="s">
        <v>7552</v>
      </c>
      <c r="C27629" t="s">
        <v>129</v>
      </c>
      <c r="D27629" t="s">
        <v>7553</v>
      </c>
      <c r="E27629" t="s">
        <v>15</v>
      </c>
      <c r="F27629" s="2" t="str">
        <f>HYPERLINK("http://www.otzar.org/book.asp?163277","נחלת אבות - מנהגי יהדות לוב")</f>
        <v>נחלת אבות - מנהגי יהדות לוב</v>
      </c>
    </row>
    <row r="27630" spans="1:6" x14ac:dyDescent="0.2">
      <c r="A27630" t="s">
        <v>43809</v>
      </c>
      <c r="B27630" t="s">
        <v>41778</v>
      </c>
      <c r="C27630" t="s">
        <v>189</v>
      </c>
      <c r="D27630" t="s">
        <v>52</v>
      </c>
      <c r="E27630" t="s">
        <v>158</v>
      </c>
      <c r="F27630" s="2" t="str">
        <f>HYPERLINK("http://www.otzar.org/book.asp?189670","נחלת אבות - 3 כר'")</f>
        <v>נחלת אבות - 3 כר'</v>
      </c>
    </row>
    <row r="27631" spans="1:6" x14ac:dyDescent="0.2">
      <c r="A27631" t="s">
        <v>43805</v>
      </c>
      <c r="B27631" t="s">
        <v>34399</v>
      </c>
      <c r="C27631" t="s">
        <v>189</v>
      </c>
      <c r="D27631" t="s">
        <v>1632</v>
      </c>
      <c r="F27631" s="2" t="str">
        <f>HYPERLINK("http://www.otzar.org/book.asp?616096","נחלת אבות")</f>
        <v>נחלת אבות</v>
      </c>
    </row>
    <row r="27632" spans="1:6" x14ac:dyDescent="0.2">
      <c r="A27632" t="s">
        <v>43805</v>
      </c>
      <c r="B27632" t="s">
        <v>43516</v>
      </c>
      <c r="C27632" t="s">
        <v>635</v>
      </c>
      <c r="D27632" t="s">
        <v>212</v>
      </c>
      <c r="E27632" t="s">
        <v>104</v>
      </c>
      <c r="F27632" s="2" t="str">
        <f>HYPERLINK("http://www.otzar.org/book.asp?51714","נחלת אבות")</f>
        <v>נחלת אבות</v>
      </c>
    </row>
    <row r="27633" spans="1:6" x14ac:dyDescent="0.2">
      <c r="A27633" t="s">
        <v>43805</v>
      </c>
      <c r="B27633" t="s">
        <v>42799</v>
      </c>
      <c r="C27633" t="s">
        <v>250</v>
      </c>
      <c r="D27633" t="s">
        <v>2303</v>
      </c>
      <c r="E27633" t="s">
        <v>564</v>
      </c>
      <c r="F27633" s="2" t="str">
        <f>HYPERLINK("http://www.otzar.org/book.asp?16546","נחלת אבות")</f>
        <v>נחלת אבות</v>
      </c>
    </row>
    <row r="27634" spans="1:6" x14ac:dyDescent="0.2">
      <c r="A27634" t="s">
        <v>43810</v>
      </c>
      <c r="B27634" t="s">
        <v>21568</v>
      </c>
      <c r="C27634" t="s">
        <v>390</v>
      </c>
      <c r="D27634" t="s">
        <v>11104</v>
      </c>
      <c r="E27634" t="s">
        <v>435</v>
      </c>
      <c r="F27634" s="2" t="str">
        <f>HYPERLINK("http://www.otzar.org/book.asp?300561","נחלת אבות - 2 כר'")</f>
        <v>נחלת אבות - 2 כר'</v>
      </c>
    </row>
    <row r="27635" spans="1:6" x14ac:dyDescent="0.2">
      <c r="A27635" t="s">
        <v>43805</v>
      </c>
      <c r="B27635" t="s">
        <v>16309</v>
      </c>
      <c r="C27635" t="s">
        <v>550</v>
      </c>
      <c r="D27635" t="s">
        <v>43811</v>
      </c>
      <c r="E27635" t="s">
        <v>154</v>
      </c>
      <c r="F27635" s="2" t="str">
        <f>HYPERLINK("http://www.otzar.org/book.asp?1017","נחלת אבות")</f>
        <v>נחלת אבות</v>
      </c>
    </row>
    <row r="27636" spans="1:6" x14ac:dyDescent="0.2">
      <c r="A27636" t="s">
        <v>43809</v>
      </c>
      <c r="B27636" t="s">
        <v>37964</v>
      </c>
      <c r="C27636" t="s">
        <v>1374</v>
      </c>
      <c r="D27636" t="s">
        <v>43812</v>
      </c>
      <c r="E27636" t="s">
        <v>241</v>
      </c>
      <c r="F27636" s="2" t="str">
        <f>HYPERLINK("http://www.otzar.org/book.asp?196366","נחלת אבות - 3 כר'")</f>
        <v>נחלת אבות - 3 כר'</v>
      </c>
    </row>
    <row r="27637" spans="1:6" x14ac:dyDescent="0.2">
      <c r="A27637" t="s">
        <v>43813</v>
      </c>
      <c r="B27637" t="s">
        <v>43814</v>
      </c>
      <c r="C27637" t="s">
        <v>13</v>
      </c>
      <c r="D27637" t="s">
        <v>1840</v>
      </c>
      <c r="E27637" t="s">
        <v>2338</v>
      </c>
      <c r="F27637" s="2" t="str">
        <f>HYPERLINK("http://www.otzar.org/book.asp?173972","נחלת אבות - יד לבני בנים")</f>
        <v>נחלת אבות - יד לבני בנים</v>
      </c>
    </row>
    <row r="27638" spans="1:6" x14ac:dyDescent="0.2">
      <c r="A27638" t="s">
        <v>43805</v>
      </c>
      <c r="B27638" t="s">
        <v>43815</v>
      </c>
      <c r="C27638" t="s">
        <v>13</v>
      </c>
      <c r="D27638" t="s">
        <v>1840</v>
      </c>
      <c r="E27638" t="s">
        <v>84</v>
      </c>
      <c r="F27638" s="2" t="str">
        <f>HYPERLINK("http://www.otzar.org/book.asp?173435","נחלת אבות")</f>
        <v>נחלת אבות</v>
      </c>
    </row>
    <row r="27639" spans="1:6" x14ac:dyDescent="0.2">
      <c r="A27639" t="s">
        <v>43816</v>
      </c>
      <c r="B27639" t="s">
        <v>2999</v>
      </c>
      <c r="C27639" t="s">
        <v>124</v>
      </c>
      <c r="D27639" t="s">
        <v>14</v>
      </c>
      <c r="E27639" t="s">
        <v>84</v>
      </c>
      <c r="F27639" s="2" t="str">
        <f>HYPERLINK("http://www.otzar.org/book.asp?148004","נחלת אבות - 7 כר'")</f>
        <v>נחלת אבות - 7 כר'</v>
      </c>
    </row>
    <row r="27640" spans="1:6" x14ac:dyDescent="0.2">
      <c r="A27640" t="s">
        <v>43817</v>
      </c>
      <c r="B27640" t="s">
        <v>19621</v>
      </c>
      <c r="C27640" t="s">
        <v>151</v>
      </c>
      <c r="D27640" t="s">
        <v>147</v>
      </c>
      <c r="E27640" t="s">
        <v>674</v>
      </c>
      <c r="F27640" s="2" t="str">
        <f>HYPERLINK("http://www.otzar.org/book.asp?629282","נחלת אבות - שרשי מנהגי תימן - א")</f>
        <v>נחלת אבות - שרשי מנהגי תימן - א</v>
      </c>
    </row>
    <row r="27641" spans="1:6" x14ac:dyDescent="0.2">
      <c r="A27641" t="s">
        <v>43818</v>
      </c>
      <c r="B27641" t="s">
        <v>43819</v>
      </c>
      <c r="C27641" t="s">
        <v>37</v>
      </c>
      <c r="D27641" t="s">
        <v>52</v>
      </c>
      <c r="E27641" t="s">
        <v>384</v>
      </c>
      <c r="F27641" s="2" t="str">
        <f>HYPERLINK("http://www.otzar.org/book.asp?180063","נחלת אבות - 6 כר'")</f>
        <v>נחלת אבות - 6 כר'</v>
      </c>
    </row>
    <row r="27642" spans="1:6" x14ac:dyDescent="0.2">
      <c r="A27642" t="s">
        <v>43805</v>
      </c>
      <c r="B27642" t="s">
        <v>43820</v>
      </c>
      <c r="C27642" t="s">
        <v>151</v>
      </c>
      <c r="D27642" t="s">
        <v>14</v>
      </c>
      <c r="F27642" s="2" t="str">
        <f>HYPERLINK("http://www.otzar.org/book.asp?616460","נחלת אבות")</f>
        <v>נחלת אבות</v>
      </c>
    </row>
    <row r="27643" spans="1:6" x14ac:dyDescent="0.2">
      <c r="A27643" t="s">
        <v>43810</v>
      </c>
      <c r="B27643" t="s">
        <v>43821</v>
      </c>
      <c r="C27643" t="s">
        <v>99</v>
      </c>
      <c r="D27643" t="s">
        <v>27</v>
      </c>
      <c r="F27643" s="2" t="str">
        <f>HYPERLINK("http://www.otzar.org/book.asp?169543","נחלת אבות - 2 כר'")</f>
        <v>נחלת אבות - 2 כר'</v>
      </c>
    </row>
    <row r="27644" spans="1:6" x14ac:dyDescent="0.2">
      <c r="A27644" t="s">
        <v>43822</v>
      </c>
      <c r="B27644" t="s">
        <v>43823</v>
      </c>
      <c r="C27644" t="s">
        <v>1619</v>
      </c>
      <c r="D27644" t="s">
        <v>52</v>
      </c>
      <c r="E27644" t="s">
        <v>14089</v>
      </c>
      <c r="F27644" s="2" t="str">
        <f>HYPERLINK("http://www.otzar.org/book.asp?161847","נחלת אברהם יצחק")</f>
        <v>נחלת אברהם יצחק</v>
      </c>
    </row>
    <row r="27645" spans="1:6" x14ac:dyDescent="0.2">
      <c r="A27645" t="s">
        <v>43824</v>
      </c>
      <c r="B27645" t="s">
        <v>43825</v>
      </c>
      <c r="C27645" t="s">
        <v>20</v>
      </c>
      <c r="D27645" t="s">
        <v>412</v>
      </c>
      <c r="E27645" t="s">
        <v>144</v>
      </c>
      <c r="F27645" s="2" t="str">
        <f>HYPERLINK("http://www.otzar.org/book.asp?162090","נחלת אברהם")</f>
        <v>נחלת אברהם</v>
      </c>
    </row>
    <row r="27646" spans="1:6" x14ac:dyDescent="0.2">
      <c r="A27646" t="s">
        <v>43826</v>
      </c>
      <c r="B27646" t="s">
        <v>17710</v>
      </c>
      <c r="C27646" t="s">
        <v>129</v>
      </c>
      <c r="D27646" t="s">
        <v>14</v>
      </c>
      <c r="E27646" t="s">
        <v>158</v>
      </c>
      <c r="F27646" s="2" t="str">
        <f>HYPERLINK("http://www.otzar.org/book.asp?615952","נחלת אברהם - 2 כר'")</f>
        <v>נחלת אברהם - 2 כר'</v>
      </c>
    </row>
    <row r="27647" spans="1:6" x14ac:dyDescent="0.2">
      <c r="A27647" t="s">
        <v>43824</v>
      </c>
      <c r="B27647" t="s">
        <v>43827</v>
      </c>
      <c r="C27647" t="s">
        <v>23</v>
      </c>
      <c r="D27647" t="s">
        <v>486</v>
      </c>
      <c r="E27647" t="s">
        <v>104</v>
      </c>
      <c r="F27647" s="2" t="str">
        <f>HYPERLINK("http://www.otzar.org/book.asp?188796","נחלת אברהם")</f>
        <v>נחלת אברהם</v>
      </c>
    </row>
    <row r="27648" spans="1:6" x14ac:dyDescent="0.2">
      <c r="A27648" t="s">
        <v>43828</v>
      </c>
      <c r="B27648" t="s">
        <v>43829</v>
      </c>
      <c r="C27648" t="s">
        <v>37</v>
      </c>
      <c r="D27648" t="s">
        <v>52</v>
      </c>
      <c r="E27648" t="s">
        <v>15</v>
      </c>
      <c r="F27648" s="2" t="str">
        <f>HYPERLINK("http://www.otzar.org/book.asp?176489","נחלת אברהם - 5 כר'")</f>
        <v>נחלת אברהם - 5 כר'</v>
      </c>
    </row>
    <row r="27649" spans="1:6" x14ac:dyDescent="0.2">
      <c r="A27649" t="s">
        <v>43830</v>
      </c>
      <c r="B27649" t="s">
        <v>43831</v>
      </c>
      <c r="C27649" t="s">
        <v>111</v>
      </c>
      <c r="D27649" t="s">
        <v>2468</v>
      </c>
      <c r="F27649" s="2" t="str">
        <f>HYPERLINK("http://www.otzar.org/book.asp?622872","נחלת אדן")</f>
        <v>נחלת אדן</v>
      </c>
    </row>
    <row r="27650" spans="1:6" x14ac:dyDescent="0.2">
      <c r="A27650" t="s">
        <v>43832</v>
      </c>
      <c r="B27650" t="s">
        <v>26457</v>
      </c>
      <c r="C27650" t="s">
        <v>3840</v>
      </c>
      <c r="D27650" t="s">
        <v>43833</v>
      </c>
      <c r="E27650" t="s">
        <v>15</v>
      </c>
      <c r="F27650" s="2" t="str">
        <f>HYPERLINK("http://www.otzar.org/book.asp?10488","נחלת אהרן")</f>
        <v>נחלת אהרן</v>
      </c>
    </row>
    <row r="27651" spans="1:6" x14ac:dyDescent="0.2">
      <c r="A27651" t="s">
        <v>43832</v>
      </c>
      <c r="B27651" t="s">
        <v>12535</v>
      </c>
      <c r="C27651" t="s">
        <v>20</v>
      </c>
      <c r="D27651" t="s">
        <v>90</v>
      </c>
      <c r="E27651" t="s">
        <v>241</v>
      </c>
      <c r="F27651" s="2" t="str">
        <f>HYPERLINK("http://www.otzar.org/book.asp?159123","נחלת אהרן")</f>
        <v>נחלת אהרן</v>
      </c>
    </row>
    <row r="27652" spans="1:6" x14ac:dyDescent="0.2">
      <c r="A27652" t="s">
        <v>43834</v>
      </c>
      <c r="B27652" t="s">
        <v>43835</v>
      </c>
      <c r="C27652" t="s">
        <v>103</v>
      </c>
      <c r="D27652" t="s">
        <v>852</v>
      </c>
      <c r="E27652" t="s">
        <v>158</v>
      </c>
      <c r="F27652" s="2" t="str">
        <f>HYPERLINK("http://www.otzar.org/book.asp?629895","נחלת אלחנן - 3 כר'")</f>
        <v>נחלת אלחנן - 3 כר'</v>
      </c>
    </row>
    <row r="27653" spans="1:6" x14ac:dyDescent="0.2">
      <c r="A27653" t="s">
        <v>43836</v>
      </c>
      <c r="B27653" t="s">
        <v>43837</v>
      </c>
      <c r="C27653" t="s">
        <v>51</v>
      </c>
      <c r="D27653" t="s">
        <v>52</v>
      </c>
      <c r="E27653" t="s">
        <v>43838</v>
      </c>
      <c r="F27653" s="2" t="str">
        <f>HYPERLINK("http://www.otzar.org/book.asp?24742","נחלת אליהו")</f>
        <v>נחלת אליהו</v>
      </c>
    </row>
    <row r="27654" spans="1:6" x14ac:dyDescent="0.2">
      <c r="A27654" t="s">
        <v>43839</v>
      </c>
      <c r="B27654" t="s">
        <v>43840</v>
      </c>
      <c r="C27654" t="s">
        <v>919</v>
      </c>
      <c r="D27654" t="s">
        <v>14</v>
      </c>
      <c r="E27654" t="s">
        <v>213</v>
      </c>
      <c r="F27654" s="2" t="str">
        <f>HYPERLINK("http://www.otzar.org/book.asp?172284","נחלת אליעזר")</f>
        <v>נחלת אליעזר</v>
      </c>
    </row>
    <row r="27655" spans="1:6" x14ac:dyDescent="0.2">
      <c r="A27655" t="s">
        <v>43841</v>
      </c>
      <c r="B27655" t="s">
        <v>6171</v>
      </c>
      <c r="C27655" t="s">
        <v>775</v>
      </c>
      <c r="D27655" t="s">
        <v>52</v>
      </c>
      <c r="F27655" s="2" t="str">
        <f>HYPERLINK("http://www.otzar.org/book.asp?85875","נחלת אפרים")</f>
        <v>נחלת אפרים</v>
      </c>
    </row>
    <row r="27656" spans="1:6" x14ac:dyDescent="0.2">
      <c r="A27656" t="s">
        <v>43842</v>
      </c>
      <c r="B27656" t="s">
        <v>2124</v>
      </c>
      <c r="C27656" t="s">
        <v>51</v>
      </c>
      <c r="D27656" t="s">
        <v>2125</v>
      </c>
      <c r="E27656" t="s">
        <v>186</v>
      </c>
      <c r="F27656" s="2" t="str">
        <f>HYPERLINK("http://www.otzar.org/book.asp?53732","נחלת אריה אליהו - בבא בתרא")</f>
        <v>נחלת אריה אליהו - בבא בתרא</v>
      </c>
    </row>
    <row r="27657" spans="1:6" x14ac:dyDescent="0.2">
      <c r="A27657" t="s">
        <v>43843</v>
      </c>
      <c r="B27657" t="s">
        <v>43844</v>
      </c>
      <c r="C27657" t="s">
        <v>466</v>
      </c>
      <c r="D27657" t="s">
        <v>52</v>
      </c>
      <c r="E27657" t="s">
        <v>43845</v>
      </c>
      <c r="F27657" s="2" t="str">
        <f>HYPERLINK("http://www.otzar.org/book.asp?143542","נחלת אריה")</f>
        <v>נחלת אריה</v>
      </c>
    </row>
    <row r="27658" spans="1:6" x14ac:dyDescent="0.2">
      <c r="A27658" t="s">
        <v>43846</v>
      </c>
      <c r="B27658" t="s">
        <v>43847</v>
      </c>
      <c r="C27658" t="s">
        <v>558</v>
      </c>
      <c r="D27658" t="s">
        <v>9</v>
      </c>
      <c r="E27658" t="s">
        <v>13627</v>
      </c>
      <c r="F27658" s="2" t="str">
        <f>HYPERLINK("http://www.otzar.org/book.asp?51713","נחלת אשר")</f>
        <v>נחלת אשר</v>
      </c>
    </row>
    <row r="27659" spans="1:6" x14ac:dyDescent="0.2">
      <c r="A27659" t="s">
        <v>43846</v>
      </c>
      <c r="B27659" t="s">
        <v>43848</v>
      </c>
      <c r="C27659" t="s">
        <v>775</v>
      </c>
      <c r="D27659" t="s">
        <v>21</v>
      </c>
      <c r="E27659" t="s">
        <v>104</v>
      </c>
      <c r="F27659" s="2" t="str">
        <f>HYPERLINK("http://www.otzar.org/book.asp?611684","נחלת אשר")</f>
        <v>נחלת אשר</v>
      </c>
    </row>
    <row r="27660" spans="1:6" x14ac:dyDescent="0.2">
      <c r="A27660" t="s">
        <v>43849</v>
      </c>
      <c r="B27660" t="s">
        <v>43850</v>
      </c>
      <c r="C27660" t="s">
        <v>785</v>
      </c>
      <c r="D27660" t="s">
        <v>115</v>
      </c>
      <c r="E27660" t="s">
        <v>104</v>
      </c>
      <c r="F27660" s="2" t="str">
        <f>HYPERLINK("http://www.otzar.org/book.asp?612080","נחלת בנימין - 2 כר'")</f>
        <v>נחלת בנימין - 2 כר'</v>
      </c>
    </row>
    <row r="27661" spans="1:6" x14ac:dyDescent="0.2">
      <c r="A27661" t="s">
        <v>43851</v>
      </c>
      <c r="B27661" t="s">
        <v>43852</v>
      </c>
      <c r="C27661" t="s">
        <v>1047</v>
      </c>
      <c r="D27661" t="s">
        <v>661</v>
      </c>
      <c r="E27661" t="s">
        <v>791</v>
      </c>
      <c r="F27661" s="2" t="str">
        <f>HYPERLINK("http://www.otzar.org/book.asp?10833","נחלת בנימין")</f>
        <v>נחלת בנימין</v>
      </c>
    </row>
    <row r="27662" spans="1:6" x14ac:dyDescent="0.2">
      <c r="A27662" t="s">
        <v>43853</v>
      </c>
      <c r="B27662" t="s">
        <v>29542</v>
      </c>
      <c r="C27662" t="s">
        <v>189</v>
      </c>
      <c r="D27662" t="s">
        <v>43854</v>
      </c>
      <c r="E27662" t="s">
        <v>246</v>
      </c>
      <c r="F27662" s="2" t="str">
        <f>HYPERLINK("http://www.otzar.org/book.asp?143627","נחלת בנימין - 16 כר'")</f>
        <v>נחלת בנימין - 16 כר'</v>
      </c>
    </row>
    <row r="27663" spans="1:6" x14ac:dyDescent="0.2">
      <c r="A27663" t="s">
        <v>43849</v>
      </c>
      <c r="B27663" t="s">
        <v>552</v>
      </c>
      <c r="C27663" t="s">
        <v>189</v>
      </c>
      <c r="D27663" t="s">
        <v>14</v>
      </c>
      <c r="E27663" t="s">
        <v>202</v>
      </c>
      <c r="F27663" s="2" t="str">
        <f>HYPERLINK("http://www.otzar.org/book.asp?62117","נחלת בנימין - 2 כר'")</f>
        <v>נחלת בנימין - 2 כר'</v>
      </c>
    </row>
    <row r="27664" spans="1:6" x14ac:dyDescent="0.2">
      <c r="A27664" t="s">
        <v>43855</v>
      </c>
      <c r="B27664" t="s">
        <v>43856</v>
      </c>
      <c r="C27664" t="s">
        <v>244</v>
      </c>
      <c r="D27664" t="s">
        <v>14</v>
      </c>
      <c r="F27664" s="2" t="str">
        <f>HYPERLINK("http://www.otzar.org/book.asp?609598","נחלת בנימין - ביכורים, זרעים")</f>
        <v>נחלת בנימין - ביכורים, זרעים</v>
      </c>
    </row>
    <row r="27665" spans="1:6" x14ac:dyDescent="0.2">
      <c r="A27665" t="s">
        <v>43851</v>
      </c>
      <c r="B27665" t="s">
        <v>14048</v>
      </c>
      <c r="C27665" t="s">
        <v>8</v>
      </c>
      <c r="D27665" t="s">
        <v>27</v>
      </c>
      <c r="E27665" t="s">
        <v>10</v>
      </c>
      <c r="F27665" s="2" t="str">
        <f>HYPERLINK("http://www.otzar.org/book.asp?9143","נחלת בנימין")</f>
        <v>נחלת בנימין</v>
      </c>
    </row>
    <row r="27666" spans="1:6" x14ac:dyDescent="0.2">
      <c r="A27666" t="s">
        <v>43857</v>
      </c>
      <c r="B27666" t="s">
        <v>43858</v>
      </c>
      <c r="C27666" t="s">
        <v>2589</v>
      </c>
      <c r="D27666" t="s">
        <v>1023</v>
      </c>
      <c r="E27666" t="s">
        <v>104</v>
      </c>
      <c r="F27666" s="2" t="str">
        <f>HYPERLINK("http://www.otzar.org/book.asp?100984","נחלת בנימן")</f>
        <v>נחלת בנימן</v>
      </c>
    </row>
    <row r="27667" spans="1:6" x14ac:dyDescent="0.2">
      <c r="A27667" t="s">
        <v>43859</v>
      </c>
      <c r="B27667" t="s">
        <v>6235</v>
      </c>
      <c r="C27667" t="s">
        <v>854</v>
      </c>
      <c r="D27667" t="s">
        <v>225</v>
      </c>
      <c r="E27667" t="s">
        <v>3736</v>
      </c>
      <c r="F27667" s="2" t="str">
        <f>HYPERLINK("http://www.otzar.org/book.asp?149925","נחלת ברוך")</f>
        <v>נחלת ברוך</v>
      </c>
    </row>
    <row r="27668" spans="1:6" x14ac:dyDescent="0.2">
      <c r="A27668" t="s">
        <v>43859</v>
      </c>
      <c r="B27668" t="s">
        <v>38609</v>
      </c>
      <c r="C27668" t="s">
        <v>1885</v>
      </c>
      <c r="D27668" t="s">
        <v>283</v>
      </c>
      <c r="E27668" t="s">
        <v>154</v>
      </c>
      <c r="F27668" s="2" t="str">
        <f>HYPERLINK("http://www.otzar.org/book.asp?21348","נחלת ברוך")</f>
        <v>נחלת ברוך</v>
      </c>
    </row>
    <row r="27669" spans="1:6" x14ac:dyDescent="0.2">
      <c r="A27669" t="s">
        <v>43860</v>
      </c>
      <c r="B27669" t="s">
        <v>43861</v>
      </c>
      <c r="C27669" t="s">
        <v>21397</v>
      </c>
      <c r="D27669" t="s">
        <v>52</v>
      </c>
      <c r="F27669" s="2" t="str">
        <f>HYPERLINK("http://www.otzar.org/book.asp?153677","נחלת גבריאל")</f>
        <v>נחלת גבריאל</v>
      </c>
    </row>
    <row r="27670" spans="1:6" x14ac:dyDescent="0.2">
      <c r="A27670" t="s">
        <v>43862</v>
      </c>
      <c r="B27670" t="s">
        <v>43863</v>
      </c>
      <c r="C27670" t="s">
        <v>940</v>
      </c>
      <c r="D27670" t="s">
        <v>43864</v>
      </c>
      <c r="E27670" t="s">
        <v>172</v>
      </c>
      <c r="F27670" s="2" t="str">
        <f>HYPERLINK("http://www.otzar.org/book.asp?600001","נחלת גד")</f>
        <v>נחלת גד</v>
      </c>
    </row>
    <row r="27671" spans="1:6" x14ac:dyDescent="0.2">
      <c r="A27671" t="s">
        <v>43865</v>
      </c>
      <c r="B27671" t="s">
        <v>43866</v>
      </c>
      <c r="C27671" t="s">
        <v>422</v>
      </c>
      <c r="D27671" t="s">
        <v>14</v>
      </c>
      <c r="F27671" s="2" t="str">
        <f>HYPERLINK("http://www.otzar.org/book.asp?155928","נחלת דבש")</f>
        <v>נחלת דבש</v>
      </c>
    </row>
    <row r="27672" spans="1:6" x14ac:dyDescent="0.2">
      <c r="A27672" t="s">
        <v>43867</v>
      </c>
      <c r="B27672" t="s">
        <v>43868</v>
      </c>
      <c r="C27672" t="s">
        <v>13</v>
      </c>
      <c r="D27672" t="s">
        <v>646</v>
      </c>
      <c r="E27672" t="s">
        <v>1028</v>
      </c>
      <c r="F27672" s="2" t="str">
        <f>HYPERLINK("http://www.otzar.org/book.asp?147987","נחלת דבש - 4 כר'")</f>
        <v>נחלת דבש - 4 כר'</v>
      </c>
    </row>
    <row r="27673" spans="1:6" x14ac:dyDescent="0.2">
      <c r="A27673" t="s">
        <v>43869</v>
      </c>
      <c r="B27673" t="s">
        <v>9937</v>
      </c>
      <c r="C27673" t="s">
        <v>785</v>
      </c>
      <c r="D27673" t="s">
        <v>14</v>
      </c>
      <c r="E27673" t="s">
        <v>144</v>
      </c>
      <c r="F27673" s="2" t="str">
        <f>HYPERLINK("http://www.otzar.org/book.asp?169293","נחלת דוד &lt;מהדורה חדשה&gt;")</f>
        <v>נחלת דוד &lt;מהדורה חדשה&gt;</v>
      </c>
    </row>
    <row r="27674" spans="1:6" x14ac:dyDescent="0.2">
      <c r="A27674" t="s">
        <v>43870</v>
      </c>
      <c r="B27674" t="s">
        <v>43871</v>
      </c>
      <c r="C27674" t="s">
        <v>43872</v>
      </c>
      <c r="D27674" t="s">
        <v>10985</v>
      </c>
      <c r="E27674" t="s">
        <v>158</v>
      </c>
      <c r="F27674" s="2" t="str">
        <f>HYPERLINK("http://www.otzar.org/book.asp?153732","נחלת דוד - בראשית, שמות")</f>
        <v>נחלת דוד - בראשית, שמות</v>
      </c>
    </row>
    <row r="27675" spans="1:6" x14ac:dyDescent="0.2">
      <c r="A27675" t="s">
        <v>43873</v>
      </c>
      <c r="B27675" t="s">
        <v>43874</v>
      </c>
      <c r="C27675" t="s">
        <v>133</v>
      </c>
      <c r="D27675" t="s">
        <v>52</v>
      </c>
      <c r="E27675" t="s">
        <v>104</v>
      </c>
      <c r="F27675" s="2" t="str">
        <f>HYPERLINK("http://www.otzar.org/book.asp?182374","נחלת דוד")</f>
        <v>נחלת דוד</v>
      </c>
    </row>
    <row r="27676" spans="1:6" x14ac:dyDescent="0.2">
      <c r="A27676" t="s">
        <v>43875</v>
      </c>
      <c r="B27676" t="s">
        <v>9937</v>
      </c>
      <c r="C27676" t="s">
        <v>160</v>
      </c>
      <c r="D27676" t="s">
        <v>9</v>
      </c>
      <c r="E27676" t="s">
        <v>144</v>
      </c>
      <c r="F27676" s="2" t="str">
        <f>HYPERLINK("http://www.otzar.org/book.asp?7889","נחלת דוד - 4 כר'")</f>
        <v>נחלת דוד - 4 כר'</v>
      </c>
    </row>
    <row r="27677" spans="1:6" x14ac:dyDescent="0.2">
      <c r="A27677" t="s">
        <v>43876</v>
      </c>
      <c r="B27677" t="s">
        <v>43877</v>
      </c>
      <c r="C27677" t="s">
        <v>244</v>
      </c>
      <c r="D27677" t="s">
        <v>152</v>
      </c>
      <c r="F27677" s="2" t="str">
        <f>HYPERLINK("http://www.otzar.org/book.asp?608738","נחלת דניאל - 2 כר'")</f>
        <v>נחלת דניאל - 2 כר'</v>
      </c>
    </row>
    <row r="27678" spans="1:6" x14ac:dyDescent="0.2">
      <c r="A27678" t="s">
        <v>43878</v>
      </c>
      <c r="B27678" t="s">
        <v>1750</v>
      </c>
      <c r="C27678" t="s">
        <v>43879</v>
      </c>
      <c r="D27678" t="s">
        <v>152</v>
      </c>
      <c r="E27678" t="s">
        <v>384</v>
      </c>
      <c r="F27678" s="2" t="str">
        <f>HYPERLINK("http://www.otzar.org/book.asp?627653","נחלת ה' - 1 - 62")</f>
        <v>נחלת ה' - 1 - 62</v>
      </c>
    </row>
    <row r="27679" spans="1:6" x14ac:dyDescent="0.2">
      <c r="A27679" t="s">
        <v>43880</v>
      </c>
      <c r="B27679" t="s">
        <v>43881</v>
      </c>
      <c r="C27679" t="s">
        <v>812</v>
      </c>
      <c r="D27679" t="s">
        <v>17328</v>
      </c>
      <c r="E27679" t="s">
        <v>474</v>
      </c>
      <c r="F27679" s="2" t="str">
        <f>HYPERLINK("http://www.otzar.org/book.asp?25115","נחלת הגרשוני")</f>
        <v>נחלת הגרשוני</v>
      </c>
    </row>
    <row r="27680" spans="1:6" x14ac:dyDescent="0.2">
      <c r="A27680" t="s">
        <v>43882</v>
      </c>
      <c r="B27680" t="s">
        <v>9722</v>
      </c>
      <c r="C27680" t="s">
        <v>37</v>
      </c>
      <c r="D27680" t="s">
        <v>152</v>
      </c>
      <c r="E27680" t="s">
        <v>325</v>
      </c>
      <c r="F27680" s="2" t="str">
        <f>HYPERLINK("http://www.otzar.org/book.asp?181881","נחלת הלוי")</f>
        <v>נחלת הלוי</v>
      </c>
    </row>
    <row r="27681" spans="1:6" x14ac:dyDescent="0.2">
      <c r="A27681" t="s">
        <v>43883</v>
      </c>
      <c r="B27681" t="s">
        <v>43884</v>
      </c>
      <c r="C27681" t="s">
        <v>624</v>
      </c>
      <c r="D27681" t="s">
        <v>52</v>
      </c>
      <c r="E27681" t="s">
        <v>144</v>
      </c>
      <c r="F27681" s="2" t="str">
        <f>HYPERLINK("http://www.otzar.org/book.asp?159359","נחלת הלוי - יבמות כתובות")</f>
        <v>נחלת הלוי - יבמות כתובות</v>
      </c>
    </row>
    <row r="27682" spans="1:6" x14ac:dyDescent="0.2">
      <c r="A27682" t="s">
        <v>43885</v>
      </c>
      <c r="B27682" t="s">
        <v>43886</v>
      </c>
      <c r="C27682" t="s">
        <v>79</v>
      </c>
      <c r="D27682" t="s">
        <v>27</v>
      </c>
      <c r="E27682" t="s">
        <v>144</v>
      </c>
      <c r="F27682" s="2" t="str">
        <f>HYPERLINK("http://www.otzar.org/book.asp?5895","נחלת הלוים")</f>
        <v>נחלת הלוים</v>
      </c>
    </row>
    <row r="27683" spans="1:6" x14ac:dyDescent="0.2">
      <c r="A27683" t="s">
        <v>43887</v>
      </c>
      <c r="B27683" t="s">
        <v>14338</v>
      </c>
      <c r="C27683" t="s">
        <v>422</v>
      </c>
      <c r="D27683" t="s">
        <v>14</v>
      </c>
      <c r="E27683" t="s">
        <v>144</v>
      </c>
      <c r="F27683" s="2" t="str">
        <f>HYPERLINK("http://www.otzar.org/book.asp?166109","נחלת התלמוד - בבא בתרא")</f>
        <v>נחלת התלמוד - בבא בתרא</v>
      </c>
    </row>
    <row r="27684" spans="1:6" x14ac:dyDescent="0.2">
      <c r="A27684" t="s">
        <v>43888</v>
      </c>
      <c r="B27684" t="s">
        <v>43889</v>
      </c>
      <c r="C27684" t="s">
        <v>1202</v>
      </c>
      <c r="D27684" t="s">
        <v>43890</v>
      </c>
      <c r="E27684" t="s">
        <v>104</v>
      </c>
      <c r="F27684" s="2" t="str">
        <f>HYPERLINK("http://www.otzar.org/book.asp?619968","נחלת זאב &lt;גרמנית&gt;")</f>
        <v>נחלת זאב &lt;גרמנית&gt;</v>
      </c>
    </row>
    <row r="27685" spans="1:6" x14ac:dyDescent="0.2">
      <c r="A27685" t="s">
        <v>43891</v>
      </c>
      <c r="B27685" t="s">
        <v>43889</v>
      </c>
      <c r="C27685" t="s">
        <v>20</v>
      </c>
      <c r="D27685" t="s">
        <v>90</v>
      </c>
      <c r="E27685" t="s">
        <v>2135</v>
      </c>
      <c r="F27685" s="2" t="str">
        <f>HYPERLINK("http://www.otzar.org/book.asp?176879","נחלת זאב")</f>
        <v>נחלת זאב</v>
      </c>
    </row>
    <row r="27686" spans="1:6" x14ac:dyDescent="0.2">
      <c r="A27686" t="s">
        <v>43892</v>
      </c>
      <c r="B27686" t="s">
        <v>4097</v>
      </c>
      <c r="C27686" t="s">
        <v>103</v>
      </c>
      <c r="D27686" t="s">
        <v>52</v>
      </c>
      <c r="E27686" t="s">
        <v>158</v>
      </c>
      <c r="F27686" s="2" t="str">
        <f>HYPERLINK("http://www.otzar.org/book.asp?23918","נחלת זאב - 2 כר'")</f>
        <v>נחלת זאב - 2 כר'</v>
      </c>
    </row>
    <row r="27687" spans="1:6" x14ac:dyDescent="0.2">
      <c r="A27687" t="s">
        <v>43893</v>
      </c>
      <c r="B27687" t="s">
        <v>37566</v>
      </c>
      <c r="C27687" t="s">
        <v>884</v>
      </c>
      <c r="D27687" t="s">
        <v>885</v>
      </c>
      <c r="E27687" t="s">
        <v>158</v>
      </c>
      <c r="F27687" s="2" t="str">
        <f>HYPERLINK("http://www.otzar.org/book.asp?21473","נחלת חיים שני")</f>
        <v>נחלת חיים שני</v>
      </c>
    </row>
    <row r="27688" spans="1:6" x14ac:dyDescent="0.2">
      <c r="A27688" t="s">
        <v>43894</v>
      </c>
      <c r="B27688" t="s">
        <v>37566</v>
      </c>
      <c r="C27688" t="s">
        <v>7162</v>
      </c>
      <c r="D27688" t="s">
        <v>885</v>
      </c>
      <c r="E27688" t="s">
        <v>463</v>
      </c>
      <c r="F27688" s="2" t="str">
        <f>HYPERLINK("http://www.otzar.org/book.asp?21472","נחלת חיים")</f>
        <v>נחלת חיים</v>
      </c>
    </row>
    <row r="27689" spans="1:6" x14ac:dyDescent="0.2">
      <c r="A27689" t="s">
        <v>43894</v>
      </c>
      <c r="B27689" t="s">
        <v>43895</v>
      </c>
      <c r="C27689" t="s">
        <v>176</v>
      </c>
      <c r="D27689" t="s">
        <v>216</v>
      </c>
      <c r="E27689" t="s">
        <v>43896</v>
      </c>
      <c r="F27689" s="2" t="str">
        <f>HYPERLINK("http://www.otzar.org/book.asp?61560","נחלת חיים")</f>
        <v>נחלת חיים</v>
      </c>
    </row>
    <row r="27690" spans="1:6" x14ac:dyDescent="0.2">
      <c r="A27690" t="s">
        <v>43894</v>
      </c>
      <c r="B27690" t="s">
        <v>43897</v>
      </c>
      <c r="C27690" t="s">
        <v>68</v>
      </c>
      <c r="D27690" t="s">
        <v>52</v>
      </c>
      <c r="F27690" s="2" t="str">
        <f>HYPERLINK("http://www.otzar.org/book.asp?169558","נחלת חיים")</f>
        <v>נחלת חיים</v>
      </c>
    </row>
    <row r="27691" spans="1:6" x14ac:dyDescent="0.2">
      <c r="A27691" t="s">
        <v>43898</v>
      </c>
      <c r="B27691" t="s">
        <v>43899</v>
      </c>
      <c r="C27691" t="s">
        <v>237</v>
      </c>
      <c r="D27691" t="s">
        <v>9</v>
      </c>
      <c r="E27691" t="s">
        <v>158</v>
      </c>
      <c r="F27691" s="2" t="str">
        <f>HYPERLINK("http://www.otzar.org/book.asp?102041","נחלת חמשה")</f>
        <v>נחלת חמשה</v>
      </c>
    </row>
    <row r="27692" spans="1:6" x14ac:dyDescent="0.2">
      <c r="A27692" t="s">
        <v>43900</v>
      </c>
      <c r="B27692" t="s">
        <v>43901</v>
      </c>
      <c r="C27692" t="s">
        <v>3840</v>
      </c>
      <c r="D27692" t="s">
        <v>9</v>
      </c>
      <c r="E27692" t="s">
        <v>474</v>
      </c>
      <c r="F27692" s="2" t="str">
        <f>HYPERLINK("http://www.otzar.org/book.asp?51715","נחלת יהודה")</f>
        <v>נחלת יהודה</v>
      </c>
    </row>
    <row r="27693" spans="1:6" x14ac:dyDescent="0.2">
      <c r="A27693" t="s">
        <v>43900</v>
      </c>
      <c r="B27693" t="s">
        <v>6987</v>
      </c>
      <c r="C27693" t="s">
        <v>23</v>
      </c>
      <c r="D27693" t="s">
        <v>486</v>
      </c>
      <c r="E27693" t="s">
        <v>84</v>
      </c>
      <c r="F27693" s="2" t="str">
        <f>HYPERLINK("http://www.otzar.org/book.asp?189731","נחלת יהודה")</f>
        <v>נחלת יהודה</v>
      </c>
    </row>
    <row r="27694" spans="1:6" x14ac:dyDescent="0.2">
      <c r="A27694" t="s">
        <v>43902</v>
      </c>
      <c r="B27694" t="s">
        <v>43903</v>
      </c>
      <c r="C27694" t="s">
        <v>20</v>
      </c>
      <c r="D27694" t="s">
        <v>147</v>
      </c>
      <c r="E27694" t="s">
        <v>144</v>
      </c>
      <c r="F27694" s="2" t="str">
        <f>HYPERLINK("http://www.otzar.org/book.asp?169462","נחלת יהודה - נדרים")</f>
        <v>נחלת יהודה - נדרים</v>
      </c>
    </row>
    <row r="27695" spans="1:6" x14ac:dyDescent="0.2">
      <c r="A27695" t="s">
        <v>43904</v>
      </c>
      <c r="B27695" t="s">
        <v>43905</v>
      </c>
      <c r="C27695" t="s">
        <v>20</v>
      </c>
      <c r="D27695" t="s">
        <v>90</v>
      </c>
      <c r="E27695" t="s">
        <v>2071</v>
      </c>
      <c r="F27695" s="2" t="str">
        <f>HYPERLINK("http://www.otzar.org/book.asp?63606","נחלת יהושע")</f>
        <v>נחלת יהושע</v>
      </c>
    </row>
    <row r="27696" spans="1:6" x14ac:dyDescent="0.2">
      <c r="A27696" t="s">
        <v>43906</v>
      </c>
      <c r="B27696" t="s">
        <v>38323</v>
      </c>
      <c r="C27696" t="s">
        <v>37</v>
      </c>
      <c r="D27696" t="s">
        <v>14</v>
      </c>
      <c r="F27696" s="2" t="str">
        <f>HYPERLINK("http://www.otzar.org/book.asp?182305","נחלת יהושע - 7 כר'")</f>
        <v>נחלת יהושע - 7 כר'</v>
      </c>
    </row>
    <row r="27697" spans="1:6" x14ac:dyDescent="0.2">
      <c r="A27697" t="s">
        <v>43904</v>
      </c>
      <c r="B27697" t="s">
        <v>43907</v>
      </c>
      <c r="C27697" t="s">
        <v>43908</v>
      </c>
      <c r="D27697" t="s">
        <v>43909</v>
      </c>
      <c r="E27697" t="s">
        <v>158</v>
      </c>
      <c r="F27697" s="2" t="str">
        <f>HYPERLINK("http://www.otzar.org/book.asp?179786","נחלת יהושע")</f>
        <v>נחלת יהושע</v>
      </c>
    </row>
    <row r="27698" spans="1:6" x14ac:dyDescent="0.2">
      <c r="A27698" t="s">
        <v>43910</v>
      </c>
      <c r="B27698" t="s">
        <v>43911</v>
      </c>
      <c r="C27698" t="s">
        <v>351</v>
      </c>
      <c r="D27698" t="s">
        <v>535</v>
      </c>
      <c r="E27698" t="s">
        <v>920</v>
      </c>
      <c r="F27698" s="2" t="str">
        <f>HYPERLINK("http://www.otzar.org/book.asp?104096","נחלת יהושע - 2 כר'")</f>
        <v>נחלת יהושע - 2 כר'</v>
      </c>
    </row>
    <row r="27699" spans="1:6" x14ac:dyDescent="0.2">
      <c r="A27699" t="s">
        <v>43904</v>
      </c>
      <c r="B27699" t="s">
        <v>16683</v>
      </c>
      <c r="C27699" t="s">
        <v>492</v>
      </c>
      <c r="D27699" t="s">
        <v>1419</v>
      </c>
      <c r="E27699" t="s">
        <v>154</v>
      </c>
      <c r="F27699" s="2" t="str">
        <f>HYPERLINK("http://www.otzar.org/book.asp?20325","נחלת יהושע")</f>
        <v>נחלת יהושע</v>
      </c>
    </row>
    <row r="27700" spans="1:6" x14ac:dyDescent="0.2">
      <c r="A27700" t="s">
        <v>43904</v>
      </c>
      <c r="B27700" t="s">
        <v>43912</v>
      </c>
      <c r="C27700" t="s">
        <v>908</v>
      </c>
      <c r="D27700" t="s">
        <v>267</v>
      </c>
      <c r="E27700" t="s">
        <v>154</v>
      </c>
      <c r="F27700" s="2" t="str">
        <f>HYPERLINK("http://www.otzar.org/book.asp?20326","נחלת יהושע")</f>
        <v>נחלת יהושע</v>
      </c>
    </row>
    <row r="27701" spans="1:6" x14ac:dyDescent="0.2">
      <c r="A27701" t="s">
        <v>43904</v>
      </c>
      <c r="B27701" t="s">
        <v>14654</v>
      </c>
      <c r="C27701" t="s">
        <v>812</v>
      </c>
      <c r="D27701" t="s">
        <v>9</v>
      </c>
      <c r="E27701" t="s">
        <v>4455</v>
      </c>
      <c r="F27701" s="2" t="str">
        <f>HYPERLINK("http://www.otzar.org/book.asp?102043","נחלת יהושע")</f>
        <v>נחלת יהושע</v>
      </c>
    </row>
    <row r="27702" spans="1:6" x14ac:dyDescent="0.2">
      <c r="A27702" t="s">
        <v>43910</v>
      </c>
      <c r="B27702" t="s">
        <v>162</v>
      </c>
      <c r="C27702" t="s">
        <v>270</v>
      </c>
      <c r="D27702" t="s">
        <v>283</v>
      </c>
      <c r="E27702" t="s">
        <v>930</v>
      </c>
      <c r="F27702" s="2" t="str">
        <f>HYPERLINK("http://www.otzar.org/book.asp?24381","נחלת יהושע - 2 כר'")</f>
        <v>נחלת יהושע - 2 כר'</v>
      </c>
    </row>
    <row r="27703" spans="1:6" x14ac:dyDescent="0.2">
      <c r="A27703" t="s">
        <v>43913</v>
      </c>
      <c r="B27703" t="s">
        <v>43914</v>
      </c>
      <c r="C27703" t="s">
        <v>1208</v>
      </c>
      <c r="D27703" t="s">
        <v>43915</v>
      </c>
      <c r="E27703" t="s">
        <v>154</v>
      </c>
      <c r="F27703" s="2" t="str">
        <f>HYPERLINK("http://www.otzar.org/book.asp?188859","נחלת יואל זאב - 2 כר'")</f>
        <v>נחלת יואל זאב - 2 כר'</v>
      </c>
    </row>
    <row r="27704" spans="1:6" x14ac:dyDescent="0.2">
      <c r="A27704" t="s">
        <v>43916</v>
      </c>
      <c r="B27704" t="s">
        <v>43917</v>
      </c>
      <c r="C27704" t="s">
        <v>189</v>
      </c>
      <c r="D27704" t="s">
        <v>152</v>
      </c>
      <c r="E27704" t="s">
        <v>144</v>
      </c>
      <c r="F27704" s="2" t="str">
        <f>HYPERLINK("http://www.otzar.org/book.asp?142438","נחלת יום טוב")</f>
        <v>נחלת יום טוב</v>
      </c>
    </row>
    <row r="27705" spans="1:6" x14ac:dyDescent="0.2">
      <c r="A27705" t="s">
        <v>43918</v>
      </c>
      <c r="B27705" t="s">
        <v>43919</v>
      </c>
      <c r="C27705" t="s">
        <v>111</v>
      </c>
      <c r="D27705" t="s">
        <v>52</v>
      </c>
      <c r="E27705" t="s">
        <v>104</v>
      </c>
      <c r="F27705" s="2" t="str">
        <f>HYPERLINK("http://www.otzar.org/book.asp?626495","נחלת יוסף &lt;מהדורה חדשה&gt; - א")</f>
        <v>נחלת יוסף &lt;מהדורה חדשה&gt; - א</v>
      </c>
    </row>
    <row r="27706" spans="1:6" x14ac:dyDescent="0.2">
      <c r="A27706" t="s">
        <v>43920</v>
      </c>
      <c r="B27706" t="s">
        <v>43919</v>
      </c>
      <c r="C27706" t="s">
        <v>1374</v>
      </c>
      <c r="D27706" t="s">
        <v>37168</v>
      </c>
      <c r="E27706" t="s">
        <v>15</v>
      </c>
      <c r="F27706" s="2" t="str">
        <f>HYPERLINK("http://www.otzar.org/book.asp?21474","נחלת יוסף - א")</f>
        <v>נחלת יוסף - א</v>
      </c>
    </row>
    <row r="27707" spans="1:6" x14ac:dyDescent="0.2">
      <c r="A27707" t="s">
        <v>43921</v>
      </c>
      <c r="B27707" t="s">
        <v>43922</v>
      </c>
      <c r="C27707" t="s">
        <v>20</v>
      </c>
      <c r="D27707" t="s">
        <v>90</v>
      </c>
      <c r="E27707" t="s">
        <v>186</v>
      </c>
      <c r="F27707" s="2" t="str">
        <f>HYPERLINK("http://www.otzar.org/book.asp?190186","נחלת יוסף - יבמות")</f>
        <v>נחלת יוסף - יבמות</v>
      </c>
    </row>
    <row r="27708" spans="1:6" x14ac:dyDescent="0.2">
      <c r="A27708" t="s">
        <v>43923</v>
      </c>
      <c r="B27708" t="s">
        <v>35314</v>
      </c>
      <c r="C27708" t="s">
        <v>427</v>
      </c>
      <c r="D27708" t="s">
        <v>216</v>
      </c>
      <c r="E27708" t="s">
        <v>104</v>
      </c>
      <c r="F27708" s="2" t="str">
        <f>HYPERLINK("http://www.otzar.org/book.asp?63647","נחלת יוסף - 5 כר'")</f>
        <v>נחלת יוסף - 5 כר'</v>
      </c>
    </row>
    <row r="27709" spans="1:6" x14ac:dyDescent="0.2">
      <c r="A27709" t="s">
        <v>43920</v>
      </c>
      <c r="B27709" t="s">
        <v>43924</v>
      </c>
      <c r="C27709" t="s">
        <v>1166</v>
      </c>
      <c r="D27709" t="s">
        <v>379</v>
      </c>
      <c r="E27709" t="s">
        <v>930</v>
      </c>
      <c r="F27709" s="2" t="str">
        <f>HYPERLINK("http://www.otzar.org/book.asp?20327","נחלת יוסף - א")</f>
        <v>נחלת יוסף - א</v>
      </c>
    </row>
    <row r="27710" spans="1:6" x14ac:dyDescent="0.2">
      <c r="A27710" t="s">
        <v>43925</v>
      </c>
      <c r="B27710" t="s">
        <v>43926</v>
      </c>
      <c r="C27710" t="s">
        <v>2543</v>
      </c>
      <c r="D27710" t="s">
        <v>27</v>
      </c>
      <c r="E27710" t="s">
        <v>6600</v>
      </c>
      <c r="F27710" s="2" t="str">
        <f>HYPERLINK("http://www.otzar.org/book.asp?103576","נחלת יוסף - 2 כר'")</f>
        <v>נחלת יוסף - 2 כר'</v>
      </c>
    </row>
    <row r="27711" spans="1:6" x14ac:dyDescent="0.2">
      <c r="A27711" t="s">
        <v>43927</v>
      </c>
      <c r="B27711" t="s">
        <v>43928</v>
      </c>
      <c r="C27711" t="s">
        <v>114</v>
      </c>
      <c r="D27711" t="s">
        <v>14</v>
      </c>
      <c r="E27711" t="s">
        <v>144</v>
      </c>
      <c r="F27711" s="2" t="str">
        <f>HYPERLINK("http://www.otzar.org/book.asp?167956","נחלת יחזקאל - 2 כר'")</f>
        <v>נחלת יחזקאל - 2 כר'</v>
      </c>
    </row>
    <row r="27712" spans="1:6" x14ac:dyDescent="0.2">
      <c r="A27712" t="s">
        <v>43929</v>
      </c>
      <c r="B27712" t="s">
        <v>43930</v>
      </c>
      <c r="C27712" t="s">
        <v>43931</v>
      </c>
      <c r="D27712" t="s">
        <v>1117</v>
      </c>
      <c r="E27712" t="s">
        <v>158</v>
      </c>
      <c r="F27712" s="2" t="str">
        <f>HYPERLINK("http://www.otzar.org/book.asp?14111","נחלת יעקב &lt;דפו""ר&gt;")</f>
        <v>נחלת יעקב &lt;דפו"ר&gt;</v>
      </c>
    </row>
    <row r="27713" spans="1:6" x14ac:dyDescent="0.2">
      <c r="A27713" t="s">
        <v>43932</v>
      </c>
      <c r="B27713" t="s">
        <v>43933</v>
      </c>
      <c r="C27713" t="s">
        <v>14</v>
      </c>
      <c r="D27713" t="s">
        <v>313</v>
      </c>
      <c r="F27713" s="2" t="str">
        <f>HYPERLINK("http://www.otzar.org/book.asp?199432","נחלת יעקב &lt;מהדורה חדשה&gt;")</f>
        <v>נחלת יעקב &lt;מהדורה חדשה&gt;</v>
      </c>
    </row>
    <row r="27714" spans="1:6" x14ac:dyDescent="0.2">
      <c r="A27714" t="s">
        <v>43934</v>
      </c>
      <c r="B27714" t="s">
        <v>6859</v>
      </c>
      <c r="C27714" t="s">
        <v>473</v>
      </c>
      <c r="D27714" t="s">
        <v>9</v>
      </c>
      <c r="E27714" t="s">
        <v>234</v>
      </c>
      <c r="F27714" s="2" t="str">
        <f>HYPERLINK("http://www.otzar.org/book.asp?103577","נחלת יעקב &lt;שארית נחלה&gt;")</f>
        <v>נחלת יעקב &lt;שארית נחלה&gt;</v>
      </c>
    </row>
    <row r="27715" spans="1:6" x14ac:dyDescent="0.2">
      <c r="A27715" t="s">
        <v>43932</v>
      </c>
      <c r="B27715" t="s">
        <v>667</v>
      </c>
      <c r="C27715" t="s">
        <v>23</v>
      </c>
      <c r="D27715" t="s">
        <v>14</v>
      </c>
      <c r="E27715" t="s">
        <v>241</v>
      </c>
      <c r="F27715" s="2" t="str">
        <f>HYPERLINK("http://www.otzar.org/book.asp?619037","נחלת יעקב &lt;מהדורה חדשה&gt;")</f>
        <v>נחלת יעקב &lt;מהדורה חדשה&gt;</v>
      </c>
    </row>
    <row r="27716" spans="1:6" x14ac:dyDescent="0.2">
      <c r="A27716" t="s">
        <v>43935</v>
      </c>
      <c r="B27716" t="s">
        <v>43936</v>
      </c>
      <c r="C27716" t="s">
        <v>1169</v>
      </c>
      <c r="D27716" t="s">
        <v>27</v>
      </c>
      <c r="E27716" t="s">
        <v>4940</v>
      </c>
      <c r="F27716" s="2" t="str">
        <f>HYPERLINK("http://www.otzar.org/book.asp?10114","נחלת יעקב יהושע")</f>
        <v>נחלת יעקב יהושע</v>
      </c>
    </row>
    <row r="27717" spans="1:6" x14ac:dyDescent="0.2">
      <c r="A27717" t="s">
        <v>43937</v>
      </c>
      <c r="B27717" t="s">
        <v>43938</v>
      </c>
      <c r="C27717" t="s">
        <v>4907</v>
      </c>
      <c r="D27717" t="s">
        <v>1023</v>
      </c>
      <c r="E27717" t="s">
        <v>104</v>
      </c>
      <c r="F27717" s="2" t="str">
        <f>HYPERLINK("http://www.otzar.org/book.asp?146849","נחלת יעקב מליצות")</f>
        <v>נחלת יעקב מליצות</v>
      </c>
    </row>
    <row r="27718" spans="1:6" x14ac:dyDescent="0.2">
      <c r="A27718" t="s">
        <v>43939</v>
      </c>
      <c r="B27718" t="s">
        <v>43940</v>
      </c>
      <c r="C27718" t="s">
        <v>87</v>
      </c>
      <c r="D27718" t="s">
        <v>412</v>
      </c>
      <c r="F27718" s="2" t="str">
        <f>HYPERLINK("http://www.otzar.org/book.asp?194934","נחלת יעקב - 5 כר'")</f>
        <v>נחלת יעקב - 5 כר'</v>
      </c>
    </row>
    <row r="27719" spans="1:6" x14ac:dyDescent="0.2">
      <c r="A27719" t="s">
        <v>43941</v>
      </c>
      <c r="B27719" t="s">
        <v>43942</v>
      </c>
      <c r="C27719" t="s">
        <v>1374</v>
      </c>
      <c r="D27719" t="s">
        <v>56</v>
      </c>
      <c r="E27719" t="s">
        <v>2018</v>
      </c>
      <c r="F27719" s="2" t="str">
        <f>HYPERLINK("http://www.otzar.org/book.asp?103578","נחלת יעקב")</f>
        <v>נחלת יעקב</v>
      </c>
    </row>
    <row r="27720" spans="1:6" x14ac:dyDescent="0.2">
      <c r="A27720" t="s">
        <v>43943</v>
      </c>
      <c r="B27720" t="s">
        <v>43944</v>
      </c>
      <c r="C27720" t="s">
        <v>23</v>
      </c>
      <c r="D27720" t="s">
        <v>21</v>
      </c>
      <c r="E27720" t="s">
        <v>144</v>
      </c>
      <c r="F27720" s="2" t="str">
        <f>HYPERLINK("http://www.otzar.org/book.asp?605109","נחלת יעקב - 2 כר'")</f>
        <v>נחלת יעקב - 2 כר'</v>
      </c>
    </row>
    <row r="27721" spans="1:6" x14ac:dyDescent="0.2">
      <c r="A27721" t="s">
        <v>43941</v>
      </c>
      <c r="B27721" t="s">
        <v>43945</v>
      </c>
      <c r="C27721" t="s">
        <v>23</v>
      </c>
      <c r="D27721" t="s">
        <v>21</v>
      </c>
      <c r="E27721" t="s">
        <v>15</v>
      </c>
      <c r="F27721" s="2" t="str">
        <f>HYPERLINK("http://www.otzar.org/book.asp?193722","נחלת יעקב")</f>
        <v>נחלת יעקב</v>
      </c>
    </row>
    <row r="27722" spans="1:6" x14ac:dyDescent="0.2">
      <c r="A27722" t="s">
        <v>43946</v>
      </c>
      <c r="B27722" t="s">
        <v>4719</v>
      </c>
      <c r="C27722" t="s">
        <v>23</v>
      </c>
      <c r="D27722" t="s">
        <v>118</v>
      </c>
      <c r="F27722" s="2" t="str">
        <f>HYPERLINK("http://www.otzar.org/book.asp?195455","נחלת יעקב - מגילות")</f>
        <v>נחלת יעקב - מגילות</v>
      </c>
    </row>
    <row r="27723" spans="1:6" x14ac:dyDescent="0.2">
      <c r="A27723" t="s">
        <v>43941</v>
      </c>
      <c r="B27723" t="s">
        <v>10205</v>
      </c>
      <c r="C27723" t="s">
        <v>156</v>
      </c>
      <c r="D27723" t="s">
        <v>56</v>
      </c>
      <c r="E27723" t="s">
        <v>234</v>
      </c>
      <c r="F27723" s="2" t="str">
        <f>HYPERLINK("http://www.otzar.org/book.asp?25117","נחלת יעקב")</f>
        <v>נחלת יעקב</v>
      </c>
    </row>
    <row r="27724" spans="1:6" x14ac:dyDescent="0.2">
      <c r="A27724" t="s">
        <v>43941</v>
      </c>
      <c r="B27724" t="s">
        <v>43947</v>
      </c>
      <c r="C27724" t="s">
        <v>7571</v>
      </c>
      <c r="D27724" t="s">
        <v>16347</v>
      </c>
      <c r="E27724" t="s">
        <v>930</v>
      </c>
      <c r="F27724" s="2" t="str">
        <f>HYPERLINK("http://www.otzar.org/book.asp?10838","נחלת יעקב")</f>
        <v>נחלת יעקב</v>
      </c>
    </row>
    <row r="27725" spans="1:6" x14ac:dyDescent="0.2">
      <c r="A27725" t="s">
        <v>43948</v>
      </c>
      <c r="B27725" t="s">
        <v>4397</v>
      </c>
      <c r="C27725" t="s">
        <v>553</v>
      </c>
      <c r="D27725" t="s">
        <v>14</v>
      </c>
      <c r="E27725" t="s">
        <v>2088</v>
      </c>
      <c r="F27725" s="2" t="str">
        <f>HYPERLINK("http://www.otzar.org/book.asp?62915","נחלת יעקב - 3 כר'")</f>
        <v>נחלת יעקב - 3 כר'</v>
      </c>
    </row>
    <row r="27726" spans="1:6" x14ac:dyDescent="0.2">
      <c r="A27726" t="s">
        <v>43943</v>
      </c>
      <c r="B27726" t="s">
        <v>43949</v>
      </c>
      <c r="C27726" t="s">
        <v>189</v>
      </c>
      <c r="D27726" t="s">
        <v>14919</v>
      </c>
      <c r="E27726" t="s">
        <v>104</v>
      </c>
      <c r="F27726" s="2" t="str">
        <f>HYPERLINK("http://www.otzar.org/book.asp?163985","נחלת יעקב - 2 כר'")</f>
        <v>נחלת יעקב - 2 כר'</v>
      </c>
    </row>
    <row r="27727" spans="1:6" x14ac:dyDescent="0.2">
      <c r="A27727" t="s">
        <v>43950</v>
      </c>
      <c r="B27727" t="s">
        <v>43951</v>
      </c>
      <c r="C27727" t="s">
        <v>75</v>
      </c>
      <c r="D27727" t="s">
        <v>267</v>
      </c>
      <c r="E27727" t="s">
        <v>158</v>
      </c>
      <c r="F27727" s="2" t="str">
        <f>HYPERLINK("http://www.otzar.org/book.asp?15897","נחלת יעקב - אבני שוהם")</f>
        <v>נחלת יעקב - אבני שוהם</v>
      </c>
    </row>
    <row r="27728" spans="1:6" x14ac:dyDescent="0.2">
      <c r="A27728" t="s">
        <v>43941</v>
      </c>
      <c r="B27728" t="s">
        <v>43952</v>
      </c>
      <c r="C27728" t="s">
        <v>462</v>
      </c>
      <c r="D27728" t="s">
        <v>27</v>
      </c>
      <c r="E27728" t="s">
        <v>158</v>
      </c>
      <c r="F27728" s="2" t="str">
        <f>HYPERLINK("http://www.otzar.org/book.asp?83599","נחלת יעקב")</f>
        <v>נחלת יעקב</v>
      </c>
    </row>
    <row r="27729" spans="1:6" x14ac:dyDescent="0.2">
      <c r="A27729" t="s">
        <v>43941</v>
      </c>
      <c r="B27729" t="s">
        <v>43953</v>
      </c>
      <c r="C27729" t="s">
        <v>5148</v>
      </c>
      <c r="D27729" t="s">
        <v>5665</v>
      </c>
      <c r="E27729" t="s">
        <v>4779</v>
      </c>
      <c r="F27729" s="2" t="str">
        <f>HYPERLINK("http://www.otzar.org/book.asp?146584","נחלת יעקב")</f>
        <v>נחלת יעקב</v>
      </c>
    </row>
    <row r="27730" spans="1:6" x14ac:dyDescent="0.2">
      <c r="A27730" t="s">
        <v>43954</v>
      </c>
      <c r="B27730" t="s">
        <v>6496</v>
      </c>
      <c r="C27730" t="s">
        <v>5721</v>
      </c>
      <c r="D27730" t="s">
        <v>1008</v>
      </c>
      <c r="E27730" t="s">
        <v>43955</v>
      </c>
      <c r="F27730" s="2" t="str">
        <f>HYPERLINK("http://www.otzar.org/book.asp?103248","נחלת יעקב - 7 כר'")</f>
        <v>נחלת יעקב - 7 כר'</v>
      </c>
    </row>
    <row r="27731" spans="1:6" x14ac:dyDescent="0.2">
      <c r="A27731" t="s">
        <v>43941</v>
      </c>
      <c r="B27731" t="s">
        <v>311</v>
      </c>
      <c r="C27731" t="s">
        <v>1940</v>
      </c>
      <c r="D27731" t="s">
        <v>2303</v>
      </c>
      <c r="E27731" t="s">
        <v>43</v>
      </c>
      <c r="F27731" s="2" t="str">
        <f>HYPERLINK("http://www.otzar.org/book.asp?103325","נחלת יעקב")</f>
        <v>נחלת יעקב</v>
      </c>
    </row>
    <row r="27732" spans="1:6" x14ac:dyDescent="0.2">
      <c r="A27732" t="s">
        <v>43948</v>
      </c>
      <c r="B27732" t="s">
        <v>43930</v>
      </c>
      <c r="C27732" t="s">
        <v>523</v>
      </c>
      <c r="D27732" t="s">
        <v>14</v>
      </c>
      <c r="E27732" t="s">
        <v>158</v>
      </c>
      <c r="F27732" s="2" t="str">
        <f>HYPERLINK("http://www.otzar.org/book.asp?52563","נחלת יעקב - 3 כר'")</f>
        <v>נחלת יעקב - 3 כר'</v>
      </c>
    </row>
    <row r="27733" spans="1:6" x14ac:dyDescent="0.2">
      <c r="A27733" t="s">
        <v>43941</v>
      </c>
      <c r="B27733" t="s">
        <v>43933</v>
      </c>
      <c r="C27733" t="s">
        <v>14</v>
      </c>
      <c r="D27733" t="s">
        <v>1811</v>
      </c>
      <c r="F27733" s="2" t="str">
        <f>HYPERLINK("http://www.otzar.org/book.asp?199431","נחלת יעקב")</f>
        <v>נחלת יעקב</v>
      </c>
    </row>
    <row r="27734" spans="1:6" x14ac:dyDescent="0.2">
      <c r="A27734" t="s">
        <v>43956</v>
      </c>
      <c r="B27734" t="s">
        <v>43957</v>
      </c>
      <c r="C27734" t="s">
        <v>411</v>
      </c>
      <c r="D27734" t="s">
        <v>90</v>
      </c>
      <c r="E27734" t="s">
        <v>246</v>
      </c>
      <c r="F27734" s="2" t="str">
        <f>HYPERLINK("http://www.otzar.org/book.asp?603865","נחלת יעקב - ב")</f>
        <v>נחלת יעקב - ב</v>
      </c>
    </row>
    <row r="27735" spans="1:6" x14ac:dyDescent="0.2">
      <c r="A27735" t="s">
        <v>43941</v>
      </c>
      <c r="B27735" t="s">
        <v>43958</v>
      </c>
      <c r="C27735" t="s">
        <v>619</v>
      </c>
      <c r="D27735" t="s">
        <v>56</v>
      </c>
      <c r="E27735" t="s">
        <v>435</v>
      </c>
      <c r="F27735" s="2" t="str">
        <f>HYPERLINK("http://www.otzar.org/book.asp?200263","נחלת יעקב")</f>
        <v>נחלת יעקב</v>
      </c>
    </row>
    <row r="27736" spans="1:6" x14ac:dyDescent="0.2">
      <c r="A27736" t="s">
        <v>43941</v>
      </c>
      <c r="B27736" t="s">
        <v>23182</v>
      </c>
      <c r="C27736" t="s">
        <v>37</v>
      </c>
      <c r="D27736" t="s">
        <v>1205</v>
      </c>
      <c r="E27736" t="s">
        <v>130</v>
      </c>
      <c r="F27736" s="2" t="str">
        <f>HYPERLINK("http://www.otzar.org/book.asp?630143","נחלת יעקב")</f>
        <v>נחלת יעקב</v>
      </c>
    </row>
    <row r="27737" spans="1:6" x14ac:dyDescent="0.2">
      <c r="A27737" t="s">
        <v>43941</v>
      </c>
      <c r="B27737" t="s">
        <v>43959</v>
      </c>
      <c r="C27737" t="s">
        <v>558</v>
      </c>
      <c r="D27737" t="s">
        <v>4269</v>
      </c>
      <c r="E27737" t="s">
        <v>154</v>
      </c>
      <c r="F27737" s="2" t="str">
        <f>HYPERLINK("http://www.otzar.org/book.asp?142521","נחלת יעקב")</f>
        <v>נחלת יעקב</v>
      </c>
    </row>
    <row r="27738" spans="1:6" x14ac:dyDescent="0.2">
      <c r="A27738" t="s">
        <v>43941</v>
      </c>
      <c r="B27738" t="s">
        <v>667</v>
      </c>
      <c r="C27738" t="s">
        <v>9090</v>
      </c>
      <c r="D27738" t="s">
        <v>76</v>
      </c>
      <c r="E27738" t="s">
        <v>714</v>
      </c>
      <c r="F27738" s="2" t="str">
        <f>HYPERLINK("http://www.otzar.org/book.asp?24633","נחלת יעקב")</f>
        <v>נחלת יעקב</v>
      </c>
    </row>
    <row r="27739" spans="1:6" x14ac:dyDescent="0.2">
      <c r="A27739" t="s">
        <v>43960</v>
      </c>
      <c r="B27739" t="s">
        <v>43961</v>
      </c>
      <c r="C27739" t="s">
        <v>189</v>
      </c>
      <c r="D27739" t="s">
        <v>412</v>
      </c>
      <c r="E27739" t="s">
        <v>144</v>
      </c>
      <c r="F27739" s="2" t="str">
        <f>HYPERLINK("http://www.otzar.org/book.asp?85591","נחלת יצחק - 3 כר'")</f>
        <v>נחלת יצחק - 3 כר'</v>
      </c>
    </row>
    <row r="27740" spans="1:6" x14ac:dyDescent="0.2">
      <c r="A27740" t="s">
        <v>43962</v>
      </c>
      <c r="B27740" t="s">
        <v>43963</v>
      </c>
      <c r="C27740" t="s">
        <v>438</v>
      </c>
      <c r="D27740" t="s">
        <v>14</v>
      </c>
      <c r="E27740" t="s">
        <v>920</v>
      </c>
      <c r="F27740" s="2" t="str">
        <f>HYPERLINK("http://www.otzar.org/book.asp?9147","נחלת יצחק - 2 כר'")</f>
        <v>נחלת יצחק - 2 כר'</v>
      </c>
    </row>
    <row r="27741" spans="1:6" x14ac:dyDescent="0.2">
      <c r="A27741" t="s">
        <v>43964</v>
      </c>
      <c r="B27741" t="s">
        <v>43965</v>
      </c>
      <c r="C27741" t="s">
        <v>496</v>
      </c>
      <c r="D27741" t="s">
        <v>225</v>
      </c>
      <c r="E27741" t="s">
        <v>144</v>
      </c>
      <c r="F27741" s="2" t="str">
        <f>HYPERLINK("http://www.otzar.org/book.asp?9821","נחלת ישראל - 2 כר'")</f>
        <v>נחלת ישראל - 2 כר'</v>
      </c>
    </row>
    <row r="27742" spans="1:6" x14ac:dyDescent="0.2">
      <c r="A27742" t="s">
        <v>43966</v>
      </c>
      <c r="B27742" t="s">
        <v>14338</v>
      </c>
      <c r="C27742" t="s">
        <v>129</v>
      </c>
      <c r="D27742" t="s">
        <v>14</v>
      </c>
      <c r="E27742" t="s">
        <v>144</v>
      </c>
      <c r="F27742" s="2" t="str">
        <f>HYPERLINK("http://www.otzar.org/book.asp?166110","נחלת ישראל - נדרים")</f>
        <v>נחלת ישראל - נדרים</v>
      </c>
    </row>
    <row r="27743" spans="1:6" x14ac:dyDescent="0.2">
      <c r="A27743" t="s">
        <v>43967</v>
      </c>
      <c r="B27743" t="s">
        <v>43968</v>
      </c>
      <c r="C27743" t="s">
        <v>103</v>
      </c>
      <c r="D27743" t="s">
        <v>1356</v>
      </c>
      <c r="E27743" t="s">
        <v>144</v>
      </c>
      <c r="F27743" s="2" t="str">
        <f>HYPERLINK("http://www.otzar.org/book.asp?146424","נחלת ישראל - גיטין")</f>
        <v>נחלת ישראל - גיטין</v>
      </c>
    </row>
    <row r="27744" spans="1:6" x14ac:dyDescent="0.2">
      <c r="A27744" t="s">
        <v>43969</v>
      </c>
      <c r="B27744" t="s">
        <v>43970</v>
      </c>
      <c r="C27744" t="s">
        <v>3840</v>
      </c>
      <c r="D27744" t="s">
        <v>4650</v>
      </c>
      <c r="E27744" t="s">
        <v>230</v>
      </c>
      <c r="F27744" s="2" t="str">
        <f>HYPERLINK("http://www.otzar.org/book.asp?620073","נחלת ישראל")</f>
        <v>נחלת ישראל</v>
      </c>
    </row>
    <row r="27745" spans="1:6" x14ac:dyDescent="0.2">
      <c r="A27745" t="s">
        <v>43969</v>
      </c>
      <c r="B27745" t="s">
        <v>43971</v>
      </c>
      <c r="C27745" t="s">
        <v>13</v>
      </c>
      <c r="D27745" t="s">
        <v>52</v>
      </c>
      <c r="E27745" t="s">
        <v>15</v>
      </c>
      <c r="F27745" s="2" t="str">
        <f>HYPERLINK("http://www.otzar.org/book.asp?62863","נחלת ישראל")</f>
        <v>נחלת ישראל</v>
      </c>
    </row>
    <row r="27746" spans="1:6" x14ac:dyDescent="0.2">
      <c r="A27746" t="s">
        <v>43972</v>
      </c>
      <c r="B27746" t="s">
        <v>33135</v>
      </c>
      <c r="C27746" t="s">
        <v>20</v>
      </c>
      <c r="D27746" t="s">
        <v>1156</v>
      </c>
      <c r="E27746" t="s">
        <v>241</v>
      </c>
      <c r="F27746" s="2" t="str">
        <f>HYPERLINK("http://www.otzar.org/book.asp?622368","נחלת יששכר")</f>
        <v>נחלת יששכר</v>
      </c>
    </row>
    <row r="27747" spans="1:6" x14ac:dyDescent="0.2">
      <c r="A27747" t="s">
        <v>43973</v>
      </c>
      <c r="B27747" t="s">
        <v>43974</v>
      </c>
      <c r="C27747" t="s">
        <v>356</v>
      </c>
      <c r="D27747" t="s">
        <v>646</v>
      </c>
      <c r="E27747" t="s">
        <v>15</v>
      </c>
      <c r="F27747" s="2" t="str">
        <f>HYPERLINK("http://www.otzar.org/book.asp?167977","נחלת כהן")</f>
        <v>נחלת כהן</v>
      </c>
    </row>
    <row r="27748" spans="1:6" x14ac:dyDescent="0.2">
      <c r="A27748" t="s">
        <v>43975</v>
      </c>
      <c r="B27748" t="s">
        <v>43976</v>
      </c>
      <c r="C27748" t="s">
        <v>51</v>
      </c>
      <c r="D27748" t="s">
        <v>14</v>
      </c>
      <c r="E27748" t="s">
        <v>154</v>
      </c>
      <c r="F27748" s="2" t="str">
        <f>HYPERLINK("http://www.otzar.org/book.asp?25506","נחלת לוי - 2 כר'")</f>
        <v>נחלת לוי - 2 כר'</v>
      </c>
    </row>
    <row r="27749" spans="1:6" x14ac:dyDescent="0.2">
      <c r="A27749" t="s">
        <v>43977</v>
      </c>
      <c r="B27749" t="s">
        <v>21317</v>
      </c>
      <c r="C27749" t="s">
        <v>129</v>
      </c>
      <c r="D27749" t="s">
        <v>52</v>
      </c>
      <c r="E27749" t="s">
        <v>154</v>
      </c>
      <c r="F27749" s="2" t="str">
        <f>HYPERLINK("http://www.otzar.org/book.asp?162315","נחלת מאיר")</f>
        <v>נחלת מאיר</v>
      </c>
    </row>
    <row r="27750" spans="1:6" x14ac:dyDescent="0.2">
      <c r="A27750" t="s">
        <v>43978</v>
      </c>
      <c r="B27750" t="s">
        <v>43979</v>
      </c>
      <c r="C27750" t="s">
        <v>103</v>
      </c>
      <c r="D27750" t="s">
        <v>245</v>
      </c>
      <c r="E27750" t="s">
        <v>144</v>
      </c>
      <c r="F27750" s="2" t="str">
        <f>HYPERLINK("http://www.otzar.org/book.asp?165109","נחלת מים - 3 כר'")</f>
        <v>נחלת מים - 3 כר'</v>
      </c>
    </row>
    <row r="27751" spans="1:6" x14ac:dyDescent="0.2">
      <c r="A27751" t="s">
        <v>43980</v>
      </c>
      <c r="B27751" t="s">
        <v>552</v>
      </c>
      <c r="C27751" t="s">
        <v>775</v>
      </c>
      <c r="D27751" t="s">
        <v>486</v>
      </c>
      <c r="E27751" t="s">
        <v>202</v>
      </c>
      <c r="F27751" s="2" t="str">
        <f>HYPERLINK("http://www.otzar.org/book.asp?53673","נחלת מנוחה")</f>
        <v>נחלת מנוחה</v>
      </c>
    </row>
    <row r="27752" spans="1:6" x14ac:dyDescent="0.2">
      <c r="A27752" t="s">
        <v>43981</v>
      </c>
      <c r="B27752" t="s">
        <v>43982</v>
      </c>
      <c r="C27752" t="s">
        <v>129</v>
      </c>
      <c r="D27752" t="s">
        <v>52</v>
      </c>
      <c r="E27752" t="s">
        <v>658</v>
      </c>
      <c r="F27752" s="2" t="str">
        <f>HYPERLINK("http://www.otzar.org/book.asp?157929","נחלת מנשה - הוצאה, מוקצה, סוטה")</f>
        <v>נחלת מנשה - הוצאה, מוקצה, סוטה</v>
      </c>
    </row>
    <row r="27753" spans="1:6" x14ac:dyDescent="0.2">
      <c r="A27753" t="s">
        <v>43983</v>
      </c>
      <c r="B27753" t="s">
        <v>5703</v>
      </c>
      <c r="C27753" t="s">
        <v>492</v>
      </c>
      <c r="D27753" t="s">
        <v>283</v>
      </c>
      <c r="E27753" t="s">
        <v>158</v>
      </c>
      <c r="F27753" s="2" t="str">
        <f>HYPERLINK("http://www.otzar.org/book.asp?7138","נחלת משה")</f>
        <v>נחלת משה</v>
      </c>
    </row>
    <row r="27754" spans="1:6" x14ac:dyDescent="0.2">
      <c r="A27754" t="s">
        <v>43984</v>
      </c>
      <c r="B27754" t="s">
        <v>41875</v>
      </c>
      <c r="C27754" t="s">
        <v>20</v>
      </c>
      <c r="D27754" t="s">
        <v>52</v>
      </c>
      <c r="E27754" t="s">
        <v>15</v>
      </c>
      <c r="F27754" s="2" t="str">
        <f>HYPERLINK("http://www.otzar.org/book.asp?160963","נחלת משה - הלכות ברכות")</f>
        <v>נחלת משה - הלכות ברכות</v>
      </c>
    </row>
    <row r="27755" spans="1:6" x14ac:dyDescent="0.2">
      <c r="A27755" t="s">
        <v>43985</v>
      </c>
      <c r="B27755" t="s">
        <v>43986</v>
      </c>
      <c r="C27755" t="s">
        <v>454</v>
      </c>
      <c r="D27755" t="s">
        <v>14</v>
      </c>
      <c r="E27755" t="s">
        <v>144</v>
      </c>
      <c r="F27755" s="2" t="str">
        <f>HYPERLINK("http://www.otzar.org/book.asp?23240","נחלת משה - 5 כר'")</f>
        <v>נחלת משה - 5 כר'</v>
      </c>
    </row>
    <row r="27756" spans="1:6" x14ac:dyDescent="0.2">
      <c r="A27756" t="s">
        <v>43987</v>
      </c>
      <c r="B27756" t="s">
        <v>43988</v>
      </c>
      <c r="C27756" t="s">
        <v>454</v>
      </c>
      <c r="D27756" t="s">
        <v>486</v>
      </c>
      <c r="E27756" t="s">
        <v>144</v>
      </c>
      <c r="F27756" s="2" t="str">
        <f>HYPERLINK("http://www.otzar.org/book.asp?53668","נחלת ניסן עטרת צבי")</f>
        <v>נחלת ניסן עטרת צבי</v>
      </c>
    </row>
    <row r="27757" spans="1:6" x14ac:dyDescent="0.2">
      <c r="A27757" t="s">
        <v>43989</v>
      </c>
      <c r="B27757" t="s">
        <v>43990</v>
      </c>
      <c r="C27757" t="s">
        <v>26847</v>
      </c>
      <c r="D27757" t="s">
        <v>1422</v>
      </c>
      <c r="E27757" t="s">
        <v>8318</v>
      </c>
      <c r="F27757" s="2" t="str">
        <f>HYPERLINK("http://www.otzar.org/book.asp?20328","נחלת נפתלי")</f>
        <v>נחלת נפתלי</v>
      </c>
    </row>
    <row r="27758" spans="1:6" x14ac:dyDescent="0.2">
      <c r="A27758" t="s">
        <v>43991</v>
      </c>
      <c r="B27758" t="s">
        <v>43992</v>
      </c>
      <c r="C27758" t="s">
        <v>4705</v>
      </c>
      <c r="D27758" t="s">
        <v>283</v>
      </c>
      <c r="E27758" t="s">
        <v>119</v>
      </c>
      <c r="F27758" s="2" t="str">
        <f>HYPERLINK("http://www.otzar.org/book.asp?20329","נחלת עולמים")</f>
        <v>נחלת עולמים</v>
      </c>
    </row>
    <row r="27759" spans="1:6" x14ac:dyDescent="0.2">
      <c r="A27759" t="s">
        <v>43993</v>
      </c>
      <c r="B27759" t="s">
        <v>43994</v>
      </c>
      <c r="C27759" t="s">
        <v>1388</v>
      </c>
      <c r="D27759" t="s">
        <v>14</v>
      </c>
      <c r="E27759" t="s">
        <v>154</v>
      </c>
      <c r="F27759" s="2" t="str">
        <f>HYPERLINK("http://www.otzar.org/book.asp?152332","נחלת עזרא - 3 כר'")</f>
        <v>נחלת עזרא - 3 כר'</v>
      </c>
    </row>
    <row r="27760" spans="1:6" x14ac:dyDescent="0.2">
      <c r="A27760" t="s">
        <v>43995</v>
      </c>
      <c r="B27760" t="s">
        <v>43996</v>
      </c>
      <c r="C27760" t="s">
        <v>244</v>
      </c>
      <c r="D27760" t="s">
        <v>14</v>
      </c>
      <c r="E27760" t="s">
        <v>29456</v>
      </c>
      <c r="F27760" s="2" t="str">
        <f>HYPERLINK("http://www.otzar.org/book.asp?613969","נחלת עזריאל &lt;מהדורה חדשה&gt;")</f>
        <v>נחלת עזריאל &lt;מהדורה חדשה&gt;</v>
      </c>
    </row>
    <row r="27761" spans="1:6" x14ac:dyDescent="0.2">
      <c r="A27761" t="s">
        <v>43997</v>
      </c>
      <c r="B27761" t="s">
        <v>43998</v>
      </c>
      <c r="C27761" t="s">
        <v>1515</v>
      </c>
      <c r="D27761" t="s">
        <v>2041</v>
      </c>
      <c r="E27761" t="s">
        <v>24572</v>
      </c>
      <c r="F27761" s="2" t="str">
        <f>HYPERLINK("http://www.otzar.org/book.asp?9335","נחלת עזריאל &lt;פרפראות לחכמה&gt;")</f>
        <v>נחלת עזריאל &lt;פרפראות לחכמה&gt;</v>
      </c>
    </row>
    <row r="27762" spans="1:6" x14ac:dyDescent="0.2">
      <c r="A27762" t="s">
        <v>43999</v>
      </c>
      <c r="B27762" t="s">
        <v>44000</v>
      </c>
      <c r="C27762" t="s">
        <v>9998</v>
      </c>
      <c r="D27762" t="s">
        <v>1833</v>
      </c>
      <c r="E27762" t="s">
        <v>158</v>
      </c>
      <c r="F27762" s="2" t="str">
        <f>HYPERLINK("http://www.otzar.org/book.asp?147172","נחלת עזריאל - 2 כר'")</f>
        <v>נחלת עזריאל - 2 כר'</v>
      </c>
    </row>
    <row r="27763" spans="1:6" x14ac:dyDescent="0.2">
      <c r="A27763" t="s">
        <v>44001</v>
      </c>
      <c r="B27763" t="s">
        <v>43996</v>
      </c>
      <c r="C27763" t="s">
        <v>725</v>
      </c>
      <c r="D27763" t="s">
        <v>379</v>
      </c>
      <c r="E27763" t="s">
        <v>5712</v>
      </c>
      <c r="F27763" s="2" t="str">
        <f>HYPERLINK("http://www.otzar.org/book.asp?23476","נחלת עזריאל")</f>
        <v>נחלת עזריאל</v>
      </c>
    </row>
    <row r="27764" spans="1:6" x14ac:dyDescent="0.2">
      <c r="A27764" t="s">
        <v>44001</v>
      </c>
      <c r="B27764" t="s">
        <v>44002</v>
      </c>
      <c r="C27764" t="s">
        <v>1448</v>
      </c>
      <c r="D27764" t="s">
        <v>1422</v>
      </c>
      <c r="F27764" s="2" t="str">
        <f>HYPERLINK("http://www.otzar.org/book.asp?604412","נחלת עזריאל")</f>
        <v>נחלת עזריאל</v>
      </c>
    </row>
    <row r="27765" spans="1:6" x14ac:dyDescent="0.2">
      <c r="A27765" t="s">
        <v>44001</v>
      </c>
      <c r="B27765" t="s">
        <v>44003</v>
      </c>
      <c r="C27765" t="s">
        <v>812</v>
      </c>
      <c r="D27765" t="s">
        <v>1966</v>
      </c>
      <c r="F27765" s="2" t="str">
        <f>HYPERLINK("http://www.otzar.org/book.asp?149617","נחלת עזריאל")</f>
        <v>נחלת עזריאל</v>
      </c>
    </row>
    <row r="27766" spans="1:6" x14ac:dyDescent="0.2">
      <c r="A27766" t="s">
        <v>44001</v>
      </c>
      <c r="B27766" t="s">
        <v>44004</v>
      </c>
      <c r="C27766" t="s">
        <v>1166</v>
      </c>
      <c r="D27766" t="s">
        <v>691</v>
      </c>
      <c r="E27766" t="s">
        <v>144</v>
      </c>
      <c r="F27766" s="2" t="str">
        <f>HYPERLINK("http://www.otzar.org/book.asp?26018","נחלת עזריאל")</f>
        <v>נחלת עזריאל</v>
      </c>
    </row>
    <row r="27767" spans="1:6" x14ac:dyDescent="0.2">
      <c r="A27767" t="s">
        <v>44005</v>
      </c>
      <c r="B27767" t="s">
        <v>44006</v>
      </c>
      <c r="C27767" t="s">
        <v>1811</v>
      </c>
      <c r="D27767" t="s">
        <v>14</v>
      </c>
      <c r="E27767" t="s">
        <v>144</v>
      </c>
      <c r="F27767" s="2" t="str">
        <f>HYPERLINK("http://www.otzar.org/book.asp?9326","נחלת עמי - 4 כר'")</f>
        <v>נחלת עמי - 4 כר'</v>
      </c>
    </row>
    <row r="27768" spans="1:6" x14ac:dyDescent="0.2">
      <c r="A27768" t="s">
        <v>44007</v>
      </c>
      <c r="B27768" t="s">
        <v>44008</v>
      </c>
      <c r="C27768" t="s">
        <v>244</v>
      </c>
      <c r="D27768" t="s">
        <v>44009</v>
      </c>
      <c r="E27768" t="s">
        <v>15</v>
      </c>
      <c r="F27768" s="2" t="str">
        <f>HYPERLINK("http://www.otzar.org/book.asp?611155","נחלת פנחס")</f>
        <v>נחלת פנחס</v>
      </c>
    </row>
    <row r="27769" spans="1:6" x14ac:dyDescent="0.2">
      <c r="A27769" t="s">
        <v>44010</v>
      </c>
      <c r="B27769" t="s">
        <v>44011</v>
      </c>
      <c r="C27769" t="s">
        <v>576</v>
      </c>
      <c r="D27769" t="s">
        <v>287</v>
      </c>
      <c r="E27769" t="s">
        <v>786</v>
      </c>
      <c r="F27769" s="2" t="str">
        <f>HYPERLINK("http://www.otzar.org/book.asp?172335","נחלת צבי")</f>
        <v>נחלת צבי</v>
      </c>
    </row>
    <row r="27770" spans="1:6" x14ac:dyDescent="0.2">
      <c r="A27770" t="s">
        <v>44010</v>
      </c>
      <c r="B27770" t="s">
        <v>44012</v>
      </c>
      <c r="C27770" t="s">
        <v>454</v>
      </c>
      <c r="D27770" t="s">
        <v>646</v>
      </c>
      <c r="E27770" t="s">
        <v>84</v>
      </c>
      <c r="F27770" s="2" t="str">
        <f>HYPERLINK("http://www.otzar.org/book.asp?61275","נחלת צבי")</f>
        <v>נחלת צבי</v>
      </c>
    </row>
    <row r="27771" spans="1:6" x14ac:dyDescent="0.2">
      <c r="A27771" t="s">
        <v>44013</v>
      </c>
      <c r="B27771" t="s">
        <v>44014</v>
      </c>
      <c r="C27771" t="s">
        <v>13</v>
      </c>
      <c r="D27771" t="s">
        <v>14</v>
      </c>
      <c r="E27771" t="s">
        <v>144</v>
      </c>
      <c r="F27771" s="2" t="str">
        <f>HYPERLINK("http://www.otzar.org/book.asp?142530","נחלת צבי - 2 כר'")</f>
        <v>נחלת צבי - 2 כר'</v>
      </c>
    </row>
    <row r="27772" spans="1:6" x14ac:dyDescent="0.2">
      <c r="A27772" t="s">
        <v>44010</v>
      </c>
      <c r="B27772" t="s">
        <v>2134</v>
      </c>
      <c r="C27772" t="s">
        <v>411</v>
      </c>
      <c r="D27772" t="s">
        <v>1632</v>
      </c>
      <c r="E27772" t="s">
        <v>158</v>
      </c>
      <c r="F27772" s="2" t="str">
        <f>HYPERLINK("http://www.otzar.org/book.asp?605970","נחלת צבי")</f>
        <v>נחלת צבי</v>
      </c>
    </row>
    <row r="27773" spans="1:6" x14ac:dyDescent="0.2">
      <c r="A27773" t="s">
        <v>44010</v>
      </c>
      <c r="B27773" t="s">
        <v>44015</v>
      </c>
      <c r="C27773" t="s">
        <v>777</v>
      </c>
      <c r="D27773" t="s">
        <v>9</v>
      </c>
      <c r="E27773" t="s">
        <v>158</v>
      </c>
      <c r="F27773" s="2" t="str">
        <f>HYPERLINK("http://www.otzar.org/book.asp?51716","נחלת צבי")</f>
        <v>נחלת צבי</v>
      </c>
    </row>
    <row r="27774" spans="1:6" x14ac:dyDescent="0.2">
      <c r="A27774" t="s">
        <v>44010</v>
      </c>
      <c r="B27774" t="s">
        <v>11390</v>
      </c>
      <c r="C27774" t="s">
        <v>422</v>
      </c>
      <c r="D27774" t="s">
        <v>7277</v>
      </c>
      <c r="E27774" t="s">
        <v>158</v>
      </c>
      <c r="F27774" s="2" t="str">
        <f>HYPERLINK("http://www.otzar.org/book.asp?626624","נחלת צבי")</f>
        <v>נחלת צבי</v>
      </c>
    </row>
    <row r="27775" spans="1:6" x14ac:dyDescent="0.2">
      <c r="A27775" t="s">
        <v>44013</v>
      </c>
      <c r="B27775" t="s">
        <v>44016</v>
      </c>
      <c r="C27775" t="s">
        <v>26234</v>
      </c>
      <c r="D27775" t="s">
        <v>49</v>
      </c>
      <c r="E27775" t="s">
        <v>84</v>
      </c>
      <c r="F27775" s="2" t="str">
        <f>HYPERLINK("http://www.otzar.org/book.asp?25118","נחלת צבי - 2 כר'")</f>
        <v>נחלת צבי - 2 כר'</v>
      </c>
    </row>
    <row r="27776" spans="1:6" x14ac:dyDescent="0.2">
      <c r="A27776" t="s">
        <v>44010</v>
      </c>
      <c r="B27776" t="s">
        <v>44017</v>
      </c>
      <c r="C27776" t="s">
        <v>44018</v>
      </c>
      <c r="D27776" t="s">
        <v>49</v>
      </c>
      <c r="E27776" t="s">
        <v>172</v>
      </c>
      <c r="F27776" s="2" t="str">
        <f>HYPERLINK("http://www.otzar.org/book.asp?101525","נחלת צבי")</f>
        <v>נחלת צבי</v>
      </c>
    </row>
    <row r="27777" spans="1:6" x14ac:dyDescent="0.2">
      <c r="A27777" t="s">
        <v>44013</v>
      </c>
      <c r="B27777" t="s">
        <v>14618</v>
      </c>
      <c r="C27777" t="s">
        <v>103</v>
      </c>
      <c r="D27777" t="s">
        <v>412</v>
      </c>
      <c r="E27777" t="s">
        <v>2071</v>
      </c>
      <c r="F27777" s="2" t="str">
        <f>HYPERLINK("http://www.otzar.org/book.asp?173632","נחלת צבי - 2 כר'")</f>
        <v>נחלת צבי - 2 כר'</v>
      </c>
    </row>
    <row r="27778" spans="1:6" x14ac:dyDescent="0.2">
      <c r="A27778" t="s">
        <v>44013</v>
      </c>
      <c r="B27778" t="s">
        <v>44019</v>
      </c>
      <c r="C27778" t="s">
        <v>1535</v>
      </c>
      <c r="D27778" t="s">
        <v>20713</v>
      </c>
      <c r="F27778" s="2" t="str">
        <f>HYPERLINK("http://www.otzar.org/book.asp?162272","נחלת צבי - 2 כר'")</f>
        <v>נחלת צבי - 2 כר'</v>
      </c>
    </row>
    <row r="27779" spans="1:6" x14ac:dyDescent="0.2">
      <c r="A27779" t="s">
        <v>44013</v>
      </c>
      <c r="B27779" t="s">
        <v>44020</v>
      </c>
      <c r="C27779" t="s">
        <v>366</v>
      </c>
      <c r="D27779" t="s">
        <v>14</v>
      </c>
      <c r="E27779" t="s">
        <v>144</v>
      </c>
      <c r="F27779" s="2" t="str">
        <f>HYPERLINK("http://www.otzar.org/book.asp?629356","נחלת צבי - 2 כר'")</f>
        <v>נחלת צבי - 2 כר'</v>
      </c>
    </row>
    <row r="27780" spans="1:6" x14ac:dyDescent="0.2">
      <c r="A27780" t="s">
        <v>44010</v>
      </c>
      <c r="B27780" t="s">
        <v>44021</v>
      </c>
      <c r="C27780" t="s">
        <v>20</v>
      </c>
      <c r="D27780" t="s">
        <v>90</v>
      </c>
      <c r="E27780" t="s">
        <v>104</v>
      </c>
      <c r="F27780" s="2" t="str">
        <f>HYPERLINK("http://www.otzar.org/book.asp?63722","נחלת צבי")</f>
        <v>נחלת צבי</v>
      </c>
    </row>
    <row r="27781" spans="1:6" x14ac:dyDescent="0.2">
      <c r="A27781" t="s">
        <v>44010</v>
      </c>
      <c r="B27781" t="s">
        <v>44022</v>
      </c>
      <c r="C27781" t="s">
        <v>146</v>
      </c>
      <c r="D27781" t="s">
        <v>118</v>
      </c>
      <c r="E27781" t="s">
        <v>4779</v>
      </c>
      <c r="F27781" s="2" t="str">
        <f>HYPERLINK("http://www.otzar.org/book.asp?163984","נחלת צבי")</f>
        <v>נחלת צבי</v>
      </c>
    </row>
    <row r="27782" spans="1:6" x14ac:dyDescent="0.2">
      <c r="A27782" t="s">
        <v>44023</v>
      </c>
      <c r="B27782" t="s">
        <v>14749</v>
      </c>
      <c r="C27782" t="s">
        <v>313</v>
      </c>
      <c r="D27782" t="s">
        <v>118</v>
      </c>
      <c r="E27782" t="s">
        <v>158</v>
      </c>
      <c r="F27782" s="2" t="str">
        <f>HYPERLINK("http://www.otzar.org/book.asp?150578","נחלת צבי - 3 כר'")</f>
        <v>נחלת צבי - 3 כר'</v>
      </c>
    </row>
    <row r="27783" spans="1:6" x14ac:dyDescent="0.2">
      <c r="A27783" t="s">
        <v>44023</v>
      </c>
      <c r="B27783" t="s">
        <v>13631</v>
      </c>
      <c r="C27783" t="s">
        <v>313</v>
      </c>
      <c r="D27783" t="s">
        <v>9</v>
      </c>
      <c r="E27783" t="s">
        <v>15</v>
      </c>
      <c r="F27783" s="2" t="str">
        <f>HYPERLINK("http://www.otzar.org/book.asp?603803","נחלת צבי - 3 כר'")</f>
        <v>נחלת צבי - 3 כר'</v>
      </c>
    </row>
    <row r="27784" spans="1:6" x14ac:dyDescent="0.2">
      <c r="A27784" t="s">
        <v>44024</v>
      </c>
      <c r="B27784" t="s">
        <v>44025</v>
      </c>
      <c r="C27784" t="s">
        <v>785</v>
      </c>
      <c r="D27784" t="s">
        <v>52</v>
      </c>
      <c r="E27784" t="s">
        <v>3291</v>
      </c>
      <c r="F27784" s="2" t="str">
        <f>HYPERLINK("http://www.otzar.org/book.asp?143598","נחלת צבי - 16 כר'")</f>
        <v>נחלת צבי - 16 כר'</v>
      </c>
    </row>
    <row r="27785" spans="1:6" x14ac:dyDescent="0.2">
      <c r="A27785" t="s">
        <v>44026</v>
      </c>
      <c r="B27785" t="s">
        <v>44027</v>
      </c>
      <c r="C27785" t="s">
        <v>422</v>
      </c>
      <c r="D27785" t="s">
        <v>14</v>
      </c>
      <c r="E27785" t="s">
        <v>158</v>
      </c>
      <c r="F27785" s="2" t="str">
        <f>HYPERLINK("http://www.otzar.org/book.asp?84295","נחלת צבי - 6 כר'")</f>
        <v>נחלת צבי - 6 כר'</v>
      </c>
    </row>
    <row r="27786" spans="1:6" x14ac:dyDescent="0.2">
      <c r="A27786" t="s">
        <v>44028</v>
      </c>
      <c r="B27786" t="s">
        <v>44029</v>
      </c>
      <c r="C27786" t="s">
        <v>649</v>
      </c>
      <c r="D27786" t="s">
        <v>14445</v>
      </c>
      <c r="E27786" t="s">
        <v>930</v>
      </c>
      <c r="F27786" s="2" t="str">
        <f>HYPERLINK("http://www.otzar.org/book.asp?100999","נחלת ראובן")</f>
        <v>נחלת ראובן</v>
      </c>
    </row>
    <row r="27787" spans="1:6" x14ac:dyDescent="0.2">
      <c r="A27787" t="s">
        <v>44028</v>
      </c>
      <c r="B27787" t="s">
        <v>44030</v>
      </c>
      <c r="C27787" t="s">
        <v>4059</v>
      </c>
      <c r="D27787" t="s">
        <v>322</v>
      </c>
      <c r="E27787" t="s">
        <v>158</v>
      </c>
      <c r="F27787" s="2" t="str">
        <f>HYPERLINK("http://www.otzar.org/book.asp?102044","נחלת ראובן")</f>
        <v>נחלת ראובן</v>
      </c>
    </row>
    <row r="27788" spans="1:6" x14ac:dyDescent="0.2">
      <c r="A27788" t="s">
        <v>44031</v>
      </c>
      <c r="B27788" t="s">
        <v>44032</v>
      </c>
      <c r="C27788" t="s">
        <v>146</v>
      </c>
      <c r="D27788" t="s">
        <v>52</v>
      </c>
      <c r="E27788" t="s">
        <v>10</v>
      </c>
      <c r="F27788" s="2" t="str">
        <f>HYPERLINK("http://www.otzar.org/book.asp?162245","נחלת שבעה &lt;השלם&gt; - 3 כר'")</f>
        <v>נחלת שבעה &lt;השלם&gt; - 3 כר'</v>
      </c>
    </row>
    <row r="27789" spans="1:6" x14ac:dyDescent="0.2">
      <c r="A27789" t="s">
        <v>44033</v>
      </c>
      <c r="B27789" t="s">
        <v>44034</v>
      </c>
      <c r="C27789" t="s">
        <v>919</v>
      </c>
      <c r="D27789" t="s">
        <v>2458</v>
      </c>
      <c r="E27789" t="s">
        <v>119</v>
      </c>
      <c r="F27789" s="2" t="str">
        <f>HYPERLINK("http://www.otzar.org/book.asp?182852","נחלת שבעה בת מאה")</f>
        <v>נחלת שבעה בת מאה</v>
      </c>
    </row>
    <row r="27790" spans="1:6" x14ac:dyDescent="0.2">
      <c r="A27790" t="s">
        <v>44035</v>
      </c>
      <c r="B27790" t="s">
        <v>44032</v>
      </c>
      <c r="C27790" t="s">
        <v>44036</v>
      </c>
      <c r="D27790" t="s">
        <v>1023</v>
      </c>
      <c r="F27790" s="2" t="str">
        <f>HYPERLINK("http://www.otzar.org/book.asp?152850","נחלת שבעה - 4 כר'")</f>
        <v>נחלת שבעה - 4 כר'</v>
      </c>
    </row>
    <row r="27791" spans="1:6" x14ac:dyDescent="0.2">
      <c r="A27791" t="s">
        <v>44037</v>
      </c>
      <c r="B27791" t="s">
        <v>44038</v>
      </c>
      <c r="C27791" t="s">
        <v>454</v>
      </c>
      <c r="D27791" t="s">
        <v>14</v>
      </c>
      <c r="E27791" t="s">
        <v>158</v>
      </c>
      <c r="F27791" s="2" t="str">
        <f>HYPERLINK("http://www.otzar.org/book.asp?145350","נחלת שדה - 6 כר'")</f>
        <v>נחלת שדה - 6 כר'</v>
      </c>
    </row>
    <row r="27792" spans="1:6" x14ac:dyDescent="0.2">
      <c r="A27792" t="s">
        <v>44039</v>
      </c>
      <c r="B27792" t="s">
        <v>29770</v>
      </c>
      <c r="C27792" t="s">
        <v>68</v>
      </c>
      <c r="D27792" t="s">
        <v>14</v>
      </c>
      <c r="E27792" t="s">
        <v>84</v>
      </c>
      <c r="F27792" s="2" t="str">
        <f>HYPERLINK("http://www.otzar.org/book.asp?166950","נחלת שי - 5 כר'")</f>
        <v>נחלת שי - 5 כר'</v>
      </c>
    </row>
    <row r="27793" spans="1:6" x14ac:dyDescent="0.2">
      <c r="A27793" t="s">
        <v>44040</v>
      </c>
      <c r="B27793" t="s">
        <v>44041</v>
      </c>
      <c r="C27793" t="s">
        <v>133</v>
      </c>
      <c r="D27793" t="s">
        <v>2375</v>
      </c>
      <c r="E27793" t="s">
        <v>158</v>
      </c>
      <c r="F27793" s="2" t="str">
        <f>HYPERLINK("http://www.otzar.org/book.asp?198340","נחלת שלמה")</f>
        <v>נחלת שלמה</v>
      </c>
    </row>
    <row r="27794" spans="1:6" x14ac:dyDescent="0.2">
      <c r="A27794" t="s">
        <v>44042</v>
      </c>
      <c r="B27794" t="s">
        <v>489</v>
      </c>
      <c r="C27794" t="s">
        <v>176</v>
      </c>
      <c r="D27794" t="s">
        <v>52</v>
      </c>
      <c r="F27794" s="2" t="str">
        <f>HYPERLINK("http://www.otzar.org/book.asp?195467","נחלת שלמה - שמירת הלשון א")</f>
        <v>נחלת שלמה - שמירת הלשון א</v>
      </c>
    </row>
    <row r="27795" spans="1:6" x14ac:dyDescent="0.2">
      <c r="A27795" t="s">
        <v>44043</v>
      </c>
      <c r="B27795" t="s">
        <v>44044</v>
      </c>
      <c r="C27795" t="s">
        <v>133</v>
      </c>
      <c r="D27795" t="s">
        <v>21</v>
      </c>
      <c r="E27795" t="s">
        <v>246</v>
      </c>
      <c r="F27795" s="2" t="str">
        <f>HYPERLINK("http://www.otzar.org/book.asp?607254","נחלת שמואל")</f>
        <v>נחלת שמואל</v>
      </c>
    </row>
    <row r="27796" spans="1:6" x14ac:dyDescent="0.2">
      <c r="A27796" t="s">
        <v>44043</v>
      </c>
      <c r="B27796" t="s">
        <v>44045</v>
      </c>
      <c r="C27796" t="s">
        <v>224</v>
      </c>
      <c r="D27796" t="s">
        <v>10393</v>
      </c>
      <c r="E27796" t="s">
        <v>15</v>
      </c>
      <c r="F27796" s="2" t="str">
        <f>HYPERLINK("http://www.otzar.org/book.asp?21469","נחלת שמואל")</f>
        <v>נחלת שמואל</v>
      </c>
    </row>
    <row r="27797" spans="1:6" x14ac:dyDescent="0.2">
      <c r="A27797" t="s">
        <v>44046</v>
      </c>
      <c r="B27797" t="s">
        <v>44047</v>
      </c>
      <c r="C27797" t="s">
        <v>44048</v>
      </c>
      <c r="D27797" t="s">
        <v>260</v>
      </c>
      <c r="E27797" t="s">
        <v>154</v>
      </c>
      <c r="F27797" s="2" t="str">
        <f>HYPERLINK("http://www.otzar.org/book.asp?627057","נחלת שמעון - 2 כר'")</f>
        <v>נחלת שמעון - 2 כר'</v>
      </c>
    </row>
    <row r="27798" spans="1:6" x14ac:dyDescent="0.2">
      <c r="A27798" t="s">
        <v>44046</v>
      </c>
      <c r="B27798" t="s">
        <v>44049</v>
      </c>
      <c r="C27798" t="s">
        <v>1278</v>
      </c>
      <c r="D27798" t="s">
        <v>1279</v>
      </c>
      <c r="E27798" t="s">
        <v>158</v>
      </c>
      <c r="F27798" s="2" t="str">
        <f>HYPERLINK("http://www.otzar.org/book.asp?23730","נחלת שמעון - 2 כר'")</f>
        <v>נחלת שמעון - 2 כר'</v>
      </c>
    </row>
    <row r="27799" spans="1:6" x14ac:dyDescent="0.2">
      <c r="A27799" t="s">
        <v>44050</v>
      </c>
      <c r="B27799" t="s">
        <v>44051</v>
      </c>
      <c r="C27799" t="s">
        <v>748</v>
      </c>
      <c r="D27799" t="s">
        <v>56</v>
      </c>
      <c r="E27799" t="s">
        <v>588</v>
      </c>
      <c r="F27799" s="2" t="str">
        <f>HYPERLINK("http://www.otzar.org/book.asp?10896","נחלת שמעון")</f>
        <v>נחלת שמעון</v>
      </c>
    </row>
    <row r="27800" spans="1:6" x14ac:dyDescent="0.2">
      <c r="A27800" t="s">
        <v>44050</v>
      </c>
      <c r="B27800" t="s">
        <v>44052</v>
      </c>
      <c r="C27800" t="s">
        <v>20</v>
      </c>
      <c r="D27800" t="s">
        <v>90</v>
      </c>
      <c r="E27800" t="s">
        <v>172</v>
      </c>
      <c r="F27800" s="2" t="str">
        <f>HYPERLINK("http://www.otzar.org/book.asp?629778","נחלת שמעון")</f>
        <v>נחלת שמעון</v>
      </c>
    </row>
    <row r="27801" spans="1:6" x14ac:dyDescent="0.2">
      <c r="A27801" t="s">
        <v>44053</v>
      </c>
      <c r="B27801" t="s">
        <v>44054</v>
      </c>
      <c r="C27801" t="s">
        <v>41</v>
      </c>
      <c r="D27801" t="s">
        <v>12235</v>
      </c>
      <c r="E27801" t="s">
        <v>579</v>
      </c>
      <c r="F27801" s="2" t="str">
        <f>HYPERLINK("http://www.otzar.org/book.asp?5713","נחלת שמעוני")</f>
        <v>נחלת שמעוני</v>
      </c>
    </row>
    <row r="27802" spans="1:6" x14ac:dyDescent="0.2">
      <c r="A27802" t="s">
        <v>44055</v>
      </c>
      <c r="B27802" t="s">
        <v>39954</v>
      </c>
      <c r="D27802" t="s">
        <v>52</v>
      </c>
      <c r="E27802" t="s">
        <v>202</v>
      </c>
      <c r="F27802" s="2" t="str">
        <f>HYPERLINK("http://www.otzar.org/book.asp?622546","נחלתנו - 6 כר'")</f>
        <v>נחלתנו - 6 כר'</v>
      </c>
    </row>
    <row r="27803" spans="1:6" x14ac:dyDescent="0.2">
      <c r="A27803" t="s">
        <v>44056</v>
      </c>
      <c r="B27803" t="s">
        <v>29588</v>
      </c>
      <c r="C27803" t="s">
        <v>133</v>
      </c>
      <c r="D27803" t="s">
        <v>412</v>
      </c>
      <c r="F27803" s="2" t="str">
        <f>HYPERLINK("http://www.otzar.org/book.asp?170523","נחמד ונעים &lt;מהדורה חדשה&gt;")</f>
        <v>נחמד ונעים &lt;מהדורה חדשה&gt;</v>
      </c>
    </row>
    <row r="27804" spans="1:6" x14ac:dyDescent="0.2">
      <c r="A27804" t="s">
        <v>44057</v>
      </c>
      <c r="B27804" t="s">
        <v>35471</v>
      </c>
      <c r="C27804" t="s">
        <v>1778</v>
      </c>
      <c r="D27804" t="s">
        <v>2461</v>
      </c>
      <c r="E27804" t="s">
        <v>104</v>
      </c>
      <c r="F27804" s="2" t="str">
        <f>HYPERLINK("http://www.otzar.org/book.asp?102046","נחמד ונעים - 2 כר'")</f>
        <v>נחמד ונעים - 2 כר'</v>
      </c>
    </row>
    <row r="27805" spans="1:6" x14ac:dyDescent="0.2">
      <c r="A27805" t="s">
        <v>44058</v>
      </c>
      <c r="B27805" t="s">
        <v>3606</v>
      </c>
      <c r="C27805" t="s">
        <v>44059</v>
      </c>
      <c r="D27805" t="s">
        <v>26172</v>
      </c>
      <c r="E27805" t="s">
        <v>158</v>
      </c>
      <c r="F27805" s="2" t="str">
        <f>HYPERLINK("http://www.otzar.org/book.asp?51730","נחמד ונעים - 5 כר'")</f>
        <v>נחמד ונעים - 5 כר'</v>
      </c>
    </row>
    <row r="27806" spans="1:6" x14ac:dyDescent="0.2">
      <c r="A27806" t="s">
        <v>44060</v>
      </c>
      <c r="B27806" t="s">
        <v>16897</v>
      </c>
      <c r="C27806" t="s">
        <v>44061</v>
      </c>
      <c r="D27806" t="s">
        <v>76</v>
      </c>
      <c r="E27806" t="s">
        <v>1108</v>
      </c>
      <c r="F27806" s="2" t="str">
        <f>HYPERLINK("http://www.otzar.org/book.asp?9618","נחמד למראה - 4 כר'")</f>
        <v>נחמד למראה - 4 כר'</v>
      </c>
    </row>
    <row r="27807" spans="1:6" x14ac:dyDescent="0.2">
      <c r="A27807" t="s">
        <v>44062</v>
      </c>
      <c r="B27807" t="s">
        <v>44063</v>
      </c>
      <c r="C27807" t="s">
        <v>888</v>
      </c>
      <c r="D27807" t="s">
        <v>11517</v>
      </c>
      <c r="E27807" t="s">
        <v>234</v>
      </c>
      <c r="F27807" s="2" t="str">
        <f>HYPERLINK("http://www.otzar.org/book.asp?51729","נחמד למראה")</f>
        <v>נחמד למראה</v>
      </c>
    </row>
    <row r="27808" spans="1:6" x14ac:dyDescent="0.2">
      <c r="A27808" t="s">
        <v>44064</v>
      </c>
      <c r="B27808" t="s">
        <v>10831</v>
      </c>
      <c r="C27808" t="s">
        <v>13</v>
      </c>
      <c r="D27808" t="s">
        <v>147</v>
      </c>
      <c r="E27808" t="s">
        <v>579</v>
      </c>
      <c r="F27808" s="2" t="str">
        <f>HYPERLINK("http://www.otzar.org/book.asp?63743","נחמד למראה - 2 כר'")</f>
        <v>נחמד למראה - 2 כר'</v>
      </c>
    </row>
    <row r="27809" spans="1:6" x14ac:dyDescent="0.2">
      <c r="A27809" t="s">
        <v>44065</v>
      </c>
      <c r="B27809" t="s">
        <v>44066</v>
      </c>
      <c r="C27809" t="s">
        <v>496</v>
      </c>
      <c r="D27809" t="s">
        <v>225</v>
      </c>
      <c r="E27809" t="s">
        <v>463</v>
      </c>
      <c r="F27809" s="2" t="str">
        <f>HYPERLINK("http://www.otzar.org/book.asp?10188","נחמד מזהב")</f>
        <v>נחמד מזהב</v>
      </c>
    </row>
    <row r="27810" spans="1:6" x14ac:dyDescent="0.2">
      <c r="A27810" t="s">
        <v>44067</v>
      </c>
      <c r="B27810" t="s">
        <v>30625</v>
      </c>
      <c r="C27810" t="s">
        <v>13</v>
      </c>
      <c r="D27810" t="s">
        <v>14</v>
      </c>
      <c r="E27810" t="s">
        <v>202</v>
      </c>
      <c r="F27810" s="2" t="str">
        <f>HYPERLINK("http://www.otzar.org/book.asp?155637","נחמו נחמו עמי")</f>
        <v>נחמו נחמו עמי</v>
      </c>
    </row>
    <row r="27811" spans="1:6" x14ac:dyDescent="0.2">
      <c r="A27811" t="s">
        <v>44068</v>
      </c>
      <c r="B27811" t="s">
        <v>44069</v>
      </c>
      <c r="C27811" t="s">
        <v>44070</v>
      </c>
      <c r="D27811" t="s">
        <v>27</v>
      </c>
      <c r="E27811" t="s">
        <v>3489</v>
      </c>
      <c r="F27811" s="2" t="str">
        <f>HYPERLINK("http://www.otzar.org/book.asp?149050","נחמות ארץ ישראל - 2 כר'")</f>
        <v>נחמות ארץ ישראל - 2 כר'</v>
      </c>
    </row>
    <row r="27812" spans="1:6" x14ac:dyDescent="0.2">
      <c r="A27812" t="s">
        <v>44071</v>
      </c>
      <c r="B27812" t="s">
        <v>20831</v>
      </c>
      <c r="C27812" t="s">
        <v>462</v>
      </c>
      <c r="D27812" t="s">
        <v>726</v>
      </c>
      <c r="E27812" t="s">
        <v>241</v>
      </c>
      <c r="F27812" s="2" t="str">
        <f>HYPERLINK("http://www.otzar.org/book.asp?173068","נחמות הנפש")</f>
        <v>נחמות הנפש</v>
      </c>
    </row>
    <row r="27813" spans="1:6" x14ac:dyDescent="0.2">
      <c r="A27813" t="s">
        <v>44072</v>
      </c>
      <c r="B27813" t="s">
        <v>44069</v>
      </c>
      <c r="C27813" t="s">
        <v>558</v>
      </c>
      <c r="D27813" t="s">
        <v>27</v>
      </c>
      <c r="E27813" t="s">
        <v>234</v>
      </c>
      <c r="F27813" s="2" t="str">
        <f>HYPERLINK("http://www.otzar.org/book.asp?26139","נחמות ישראל - 2 כר'")</f>
        <v>נחמות ישראל - 2 כר'</v>
      </c>
    </row>
    <row r="27814" spans="1:6" x14ac:dyDescent="0.2">
      <c r="A27814" t="s">
        <v>44073</v>
      </c>
      <c r="B27814" t="s">
        <v>44074</v>
      </c>
      <c r="C27814" t="s">
        <v>854</v>
      </c>
      <c r="D27814" t="s">
        <v>9</v>
      </c>
      <c r="E27814" t="s">
        <v>8580</v>
      </c>
      <c r="F27814" s="2" t="str">
        <f>HYPERLINK("http://www.otzar.org/book.asp?51723","נחמות ישראל")</f>
        <v>נחמות ישראל</v>
      </c>
    </row>
    <row r="27815" spans="1:6" x14ac:dyDescent="0.2">
      <c r="A27815" t="s">
        <v>44075</v>
      </c>
      <c r="B27815" t="s">
        <v>44076</v>
      </c>
      <c r="C27815" t="s">
        <v>4963</v>
      </c>
      <c r="D27815" t="s">
        <v>6042</v>
      </c>
      <c r="E27815" t="s">
        <v>234</v>
      </c>
      <c r="F27815" s="2" t="str">
        <f>HYPERLINK("http://www.otzar.org/book.asp?25123","נחמות ציון")</f>
        <v>נחמות ציון</v>
      </c>
    </row>
    <row r="27816" spans="1:6" x14ac:dyDescent="0.2">
      <c r="A27816" t="s">
        <v>44077</v>
      </c>
      <c r="B27816" t="s">
        <v>44069</v>
      </c>
      <c r="C27816" t="s">
        <v>44078</v>
      </c>
      <c r="D27816" t="s">
        <v>27</v>
      </c>
      <c r="E27816" t="s">
        <v>158</v>
      </c>
      <c r="F27816" s="2" t="str">
        <f>HYPERLINK("http://www.otzar.org/book.asp?7935","נחמות צמח ישראל")</f>
        <v>נחמות צמח ישראל</v>
      </c>
    </row>
    <row r="27817" spans="1:6" x14ac:dyDescent="0.2">
      <c r="A27817" t="s">
        <v>44079</v>
      </c>
      <c r="B27817" t="s">
        <v>44069</v>
      </c>
      <c r="C27817" t="s">
        <v>1166</v>
      </c>
      <c r="D27817" t="s">
        <v>27</v>
      </c>
      <c r="E27817" t="s">
        <v>3489</v>
      </c>
      <c r="F27817" s="2" t="str">
        <f>HYPERLINK("http://www.otzar.org/book.asp?149049","נחמות קדושת ארץ ישראל")</f>
        <v>נחמות קדושת ארץ ישראל</v>
      </c>
    </row>
    <row r="27818" spans="1:6" x14ac:dyDescent="0.2">
      <c r="A27818" t="s">
        <v>44080</v>
      </c>
      <c r="B27818" t="s">
        <v>44081</v>
      </c>
      <c r="C27818" t="s">
        <v>411</v>
      </c>
      <c r="D27818" t="s">
        <v>14</v>
      </c>
      <c r="E27818" t="s">
        <v>230</v>
      </c>
      <c r="F27818" s="2" t="str">
        <f>HYPERLINK("http://www.otzar.org/book.asp?171917","נחמת אהרן")</f>
        <v>נחמת אהרן</v>
      </c>
    </row>
    <row r="27819" spans="1:6" x14ac:dyDescent="0.2">
      <c r="A27819" t="s">
        <v>44082</v>
      </c>
      <c r="B27819" t="s">
        <v>38569</v>
      </c>
      <c r="C27819" t="s">
        <v>129</v>
      </c>
      <c r="D27819" t="s">
        <v>52</v>
      </c>
      <c r="E27819" t="s">
        <v>15</v>
      </c>
      <c r="F27819" s="2" t="str">
        <f>HYPERLINK("http://www.otzar.org/book.asp?153484","נחמת אמרתך")</f>
        <v>נחמת אמרתך</v>
      </c>
    </row>
    <row r="27820" spans="1:6" x14ac:dyDescent="0.2">
      <c r="A27820" t="s">
        <v>44083</v>
      </c>
      <c r="B27820" t="s">
        <v>44084</v>
      </c>
      <c r="C27820" t="s">
        <v>37</v>
      </c>
      <c r="D27820" t="s">
        <v>14</v>
      </c>
      <c r="F27820" s="2" t="str">
        <f>HYPERLINK("http://www.otzar.org/book.asp?181945","נחמת דוד")</f>
        <v>נחמת דוד</v>
      </c>
    </row>
    <row r="27821" spans="1:6" x14ac:dyDescent="0.2">
      <c r="A27821" t="s">
        <v>44085</v>
      </c>
      <c r="B27821" t="s">
        <v>4061</v>
      </c>
      <c r="C27821" t="s">
        <v>550</v>
      </c>
      <c r="D27821" t="s">
        <v>2295</v>
      </c>
      <c r="E27821" t="s">
        <v>435</v>
      </c>
      <c r="F27821" s="2" t="str">
        <f>HYPERLINK("http://www.otzar.org/book.asp?101527","נחמת יהודא")</f>
        <v>נחמת יהודא</v>
      </c>
    </row>
    <row r="27822" spans="1:6" x14ac:dyDescent="0.2">
      <c r="A27822" t="s">
        <v>44086</v>
      </c>
      <c r="B27822" t="s">
        <v>44087</v>
      </c>
      <c r="C27822" t="s">
        <v>224</v>
      </c>
      <c r="D27822" t="s">
        <v>9</v>
      </c>
      <c r="E27822" t="s">
        <v>234</v>
      </c>
      <c r="F27822" s="2" t="str">
        <f>HYPERLINK("http://www.otzar.org/book.asp?101529","נחמת יהודה")</f>
        <v>נחמת יהודה</v>
      </c>
    </row>
    <row r="27823" spans="1:6" x14ac:dyDescent="0.2">
      <c r="A27823" t="s">
        <v>44088</v>
      </c>
      <c r="B27823" t="s">
        <v>36430</v>
      </c>
      <c r="C27823" t="s">
        <v>433</v>
      </c>
      <c r="D27823" t="s">
        <v>9</v>
      </c>
      <c r="E27823" t="s">
        <v>22375</v>
      </c>
      <c r="F27823" s="2" t="str">
        <f>HYPERLINK("http://www.otzar.org/book.asp?9756","נחמת יוסף")</f>
        <v>נחמת יוסף</v>
      </c>
    </row>
    <row r="27824" spans="1:6" x14ac:dyDescent="0.2">
      <c r="A27824" t="s">
        <v>44089</v>
      </c>
      <c r="B27824" t="s">
        <v>4048</v>
      </c>
      <c r="C27824" t="s">
        <v>189</v>
      </c>
      <c r="D27824" t="s">
        <v>14</v>
      </c>
      <c r="E27824" t="s">
        <v>130</v>
      </c>
      <c r="F27824" s="2" t="str">
        <f>HYPERLINK("http://www.otzar.org/book.asp?141909","נחמת ישראל")</f>
        <v>נחמת ישראל</v>
      </c>
    </row>
    <row r="27825" spans="1:6" x14ac:dyDescent="0.2">
      <c r="A27825" t="s">
        <v>44090</v>
      </c>
      <c r="B27825" t="s">
        <v>44091</v>
      </c>
      <c r="C27825" t="s">
        <v>843</v>
      </c>
      <c r="D27825" t="s">
        <v>44092</v>
      </c>
      <c r="E27825" t="s">
        <v>144</v>
      </c>
      <c r="F27825" s="2" t="str">
        <f>HYPERLINK("http://www.otzar.org/book.asp?167409","נחמת מאיר - 2 כר'")</f>
        <v>נחמת מאיר - 2 כר'</v>
      </c>
    </row>
    <row r="27826" spans="1:6" x14ac:dyDescent="0.2">
      <c r="A27826" t="s">
        <v>44093</v>
      </c>
      <c r="B27826" t="s">
        <v>29679</v>
      </c>
      <c r="C27826" t="s">
        <v>151</v>
      </c>
      <c r="D27826" t="s">
        <v>90</v>
      </c>
      <c r="F27826" s="2" t="str">
        <f>HYPERLINK("http://www.otzar.org/book.asp?617095","נחמת ציון וירושלים")</f>
        <v>נחמת ציון וירושלים</v>
      </c>
    </row>
    <row r="27827" spans="1:6" x14ac:dyDescent="0.2">
      <c r="A27827" t="s">
        <v>44094</v>
      </c>
      <c r="B27827" t="s">
        <v>13303</v>
      </c>
      <c r="C27827" t="s">
        <v>454</v>
      </c>
      <c r="D27827" t="s">
        <v>14</v>
      </c>
      <c r="E27827" t="s">
        <v>144</v>
      </c>
      <c r="F27827" s="2" t="str">
        <f>HYPERLINK("http://www.otzar.org/book.asp?146771","נחמת ציון")</f>
        <v>נחמת ציון</v>
      </c>
    </row>
    <row r="27828" spans="1:6" x14ac:dyDescent="0.2">
      <c r="A27828" t="s">
        <v>44095</v>
      </c>
      <c r="B27828" t="s">
        <v>44096</v>
      </c>
      <c r="C27828" t="s">
        <v>26</v>
      </c>
      <c r="D27828" t="s">
        <v>14</v>
      </c>
      <c r="E27828" t="s">
        <v>435</v>
      </c>
      <c r="F27828" s="2" t="str">
        <f>HYPERLINK("http://www.otzar.org/book.asp?25493","נחמת רות")</f>
        <v>נחמת רות</v>
      </c>
    </row>
    <row r="27829" spans="1:6" x14ac:dyDescent="0.2">
      <c r="A27829" t="s">
        <v>44097</v>
      </c>
      <c r="B27829" t="s">
        <v>15658</v>
      </c>
      <c r="C27829" t="s">
        <v>411</v>
      </c>
      <c r="D27829" t="s">
        <v>52</v>
      </c>
      <c r="E27829" t="s">
        <v>144</v>
      </c>
      <c r="F27829" s="2" t="str">
        <f>HYPERLINK("http://www.otzar.org/book.asp?168885","נחמת רפאל")</f>
        <v>נחמת רפאל</v>
      </c>
    </row>
    <row r="27830" spans="1:6" x14ac:dyDescent="0.2">
      <c r="A27830" t="s">
        <v>44098</v>
      </c>
      <c r="B27830" t="s">
        <v>1402</v>
      </c>
      <c r="C27830" t="s">
        <v>51</v>
      </c>
      <c r="D27830" t="s">
        <v>52</v>
      </c>
      <c r="E27830" t="s">
        <v>158</v>
      </c>
      <c r="F27830" s="2" t="str">
        <f>HYPERLINK("http://www.otzar.org/book.asp?157869","נחמת שלמה על מגילת אסתר - 2 כר'")</f>
        <v>נחמת שלמה על מגילת אסתר - 2 כר'</v>
      </c>
    </row>
    <row r="27831" spans="1:6" x14ac:dyDescent="0.2">
      <c r="A27831" t="s">
        <v>44099</v>
      </c>
      <c r="B27831" t="s">
        <v>13409</v>
      </c>
      <c r="C27831" t="s">
        <v>44100</v>
      </c>
      <c r="D27831" t="s">
        <v>1490</v>
      </c>
      <c r="E27831" t="s">
        <v>10</v>
      </c>
      <c r="F27831" s="2" t="str">
        <f>HYPERLINK("http://www.otzar.org/book.asp?769","נחפה בכסף - 2 כר'")</f>
        <v>נחפה בכסף - 2 כר'</v>
      </c>
    </row>
    <row r="27832" spans="1:6" x14ac:dyDescent="0.2">
      <c r="A27832" t="s">
        <v>44101</v>
      </c>
      <c r="B27832" t="s">
        <v>14472</v>
      </c>
      <c r="C27832" t="s">
        <v>619</v>
      </c>
      <c r="D27832" t="s">
        <v>27</v>
      </c>
      <c r="E27832" t="s">
        <v>241</v>
      </c>
      <c r="F27832" s="2" t="str">
        <f>HYPERLINK("http://www.otzar.org/book.asp?179594","נחפשה דרכינו ונשובה אל ה'")</f>
        <v>נחפשה דרכינו ונשובה אל ה'</v>
      </c>
    </row>
    <row r="27833" spans="1:6" x14ac:dyDescent="0.2">
      <c r="A27833" t="s">
        <v>44102</v>
      </c>
      <c r="B27833" t="s">
        <v>107</v>
      </c>
      <c r="C27833" t="s">
        <v>176</v>
      </c>
      <c r="D27833" t="s">
        <v>14</v>
      </c>
      <c r="E27833" t="s">
        <v>733</v>
      </c>
      <c r="F27833" s="2" t="str">
        <f>HYPERLINK("http://www.otzar.org/book.asp?84021","נחפשה דרכינו")</f>
        <v>נחפשה דרכינו</v>
      </c>
    </row>
    <row r="27834" spans="1:6" x14ac:dyDescent="0.2">
      <c r="A27834" t="s">
        <v>44103</v>
      </c>
      <c r="B27834" t="s">
        <v>44104</v>
      </c>
      <c r="C27834" t="s">
        <v>1811</v>
      </c>
      <c r="D27834" t="s">
        <v>14</v>
      </c>
      <c r="E27834" t="s">
        <v>241</v>
      </c>
      <c r="F27834" s="2" t="str">
        <f>HYPERLINK("http://www.otzar.org/book.asp?84842","נחקרה ונשובה")</f>
        <v>נחקרה ונשובה</v>
      </c>
    </row>
    <row r="27835" spans="1:6" x14ac:dyDescent="0.2">
      <c r="A27835" t="s">
        <v>44105</v>
      </c>
      <c r="B27835" t="s">
        <v>21069</v>
      </c>
      <c r="C27835" t="s">
        <v>13</v>
      </c>
      <c r="D27835" t="s">
        <v>21070</v>
      </c>
      <c r="E27835" t="s">
        <v>119</v>
      </c>
      <c r="F27835" s="2" t="str">
        <f>HYPERLINK("http://www.otzar.org/book.asp?602407","נחשוני השמיטה")</f>
        <v>נחשוני השמיטה</v>
      </c>
    </row>
    <row r="27836" spans="1:6" x14ac:dyDescent="0.2">
      <c r="A27836" t="s">
        <v>44106</v>
      </c>
      <c r="B27836" t="s">
        <v>16506</v>
      </c>
      <c r="C27836" t="s">
        <v>445</v>
      </c>
      <c r="D27836" t="s">
        <v>27</v>
      </c>
      <c r="E27836" t="s">
        <v>44107</v>
      </c>
      <c r="F27836" s="2" t="str">
        <f>HYPERLINK("http://www.otzar.org/book.asp?8995","נחת השלחן")</f>
        <v>נחת השלחן</v>
      </c>
    </row>
    <row r="27837" spans="1:6" x14ac:dyDescent="0.2">
      <c r="A27837" t="s">
        <v>44108</v>
      </c>
      <c r="B27837" t="s">
        <v>44109</v>
      </c>
      <c r="C27837" t="s">
        <v>129</v>
      </c>
      <c r="D27837" t="s">
        <v>52</v>
      </c>
      <c r="E27837" t="s">
        <v>15</v>
      </c>
      <c r="F27837" s="2" t="str">
        <f>HYPERLINK("http://www.otzar.org/book.asp?158380","נחת רוח")</f>
        <v>נחת רוח</v>
      </c>
    </row>
    <row r="27838" spans="1:6" x14ac:dyDescent="0.2">
      <c r="A27838" t="s">
        <v>44110</v>
      </c>
      <c r="B27838" t="s">
        <v>12807</v>
      </c>
      <c r="C27838" t="s">
        <v>189</v>
      </c>
      <c r="D27838" t="s">
        <v>14</v>
      </c>
      <c r="E27838" t="s">
        <v>15</v>
      </c>
      <c r="F27838" s="2" t="str">
        <f>HYPERLINK("http://www.otzar.org/book.asp?162225","נטילה כדת")</f>
        <v>נטילה כדת</v>
      </c>
    </row>
    <row r="27839" spans="1:6" x14ac:dyDescent="0.2">
      <c r="A27839" t="s">
        <v>44111</v>
      </c>
      <c r="B27839" t="s">
        <v>20770</v>
      </c>
      <c r="C27839" t="s">
        <v>103</v>
      </c>
      <c r="D27839" t="s">
        <v>3859</v>
      </c>
      <c r="E27839" t="s">
        <v>15</v>
      </c>
      <c r="F27839" s="2" t="str">
        <f>HYPERLINK("http://www.otzar.org/book.asp?52851","נטילת ידים כהלכתה")</f>
        <v>נטילת ידים כהלכתה</v>
      </c>
    </row>
    <row r="27840" spans="1:6" x14ac:dyDescent="0.2">
      <c r="A27840" t="s">
        <v>44112</v>
      </c>
      <c r="B27840" t="s">
        <v>5956</v>
      </c>
      <c r="C27840" t="s">
        <v>506</v>
      </c>
      <c r="D27840" t="s">
        <v>2940</v>
      </c>
      <c r="E27840" t="s">
        <v>154</v>
      </c>
      <c r="F27840" s="2" t="str">
        <f>HYPERLINK("http://www.otzar.org/book.asp?10839","נטיעה של שמחה")</f>
        <v>נטיעה של שמחה</v>
      </c>
    </row>
    <row r="27841" spans="1:6" x14ac:dyDescent="0.2">
      <c r="A27841" t="s">
        <v>44112</v>
      </c>
      <c r="B27841" t="s">
        <v>2039</v>
      </c>
      <c r="C27841" t="s">
        <v>4114</v>
      </c>
      <c r="D27841" t="s">
        <v>60</v>
      </c>
      <c r="E27841" t="s">
        <v>44113</v>
      </c>
      <c r="F27841" s="2" t="str">
        <f>HYPERLINK("http://www.otzar.org/book.asp?62178","נטיעה של שמחה")</f>
        <v>נטיעה של שמחה</v>
      </c>
    </row>
    <row r="27842" spans="1:6" x14ac:dyDescent="0.2">
      <c r="A27842" t="s">
        <v>44114</v>
      </c>
      <c r="B27842" t="s">
        <v>44115</v>
      </c>
      <c r="C27842" t="s">
        <v>366</v>
      </c>
      <c r="D27842" t="s">
        <v>14</v>
      </c>
      <c r="E27842" t="s">
        <v>202</v>
      </c>
      <c r="F27842" s="2" t="str">
        <f>HYPERLINK("http://www.otzar.org/book.asp?614462","נטיעה של שמחה - 14 כר'")</f>
        <v>נטיעה של שמחה - 14 כר'</v>
      </c>
    </row>
    <row r="27843" spans="1:6" x14ac:dyDescent="0.2">
      <c r="A27843" t="s">
        <v>44116</v>
      </c>
      <c r="B27843" t="s">
        <v>44115</v>
      </c>
      <c r="C27843" t="s">
        <v>111</v>
      </c>
      <c r="D27843" t="s">
        <v>14</v>
      </c>
      <c r="E27843" t="s">
        <v>202</v>
      </c>
      <c r="F27843" s="2" t="str">
        <f>HYPERLINK("http://www.otzar.org/book.asp?628143","נטיעה של תורה ותפלה")</f>
        <v>נטיעה של תורה ותפלה</v>
      </c>
    </row>
    <row r="27844" spans="1:6" x14ac:dyDescent="0.2">
      <c r="A27844" t="s">
        <v>44117</v>
      </c>
      <c r="B27844" t="s">
        <v>44118</v>
      </c>
      <c r="C27844" t="s">
        <v>390</v>
      </c>
      <c r="D27844" t="s">
        <v>14</v>
      </c>
      <c r="E27844" t="s">
        <v>467</v>
      </c>
      <c r="F27844" s="2" t="str">
        <f>HYPERLINK("http://www.otzar.org/book.asp?142881","נטיעות אד""ר")</f>
        <v>נטיעות אד"ר</v>
      </c>
    </row>
    <row r="27845" spans="1:6" x14ac:dyDescent="0.2">
      <c r="A27845" t="s">
        <v>44119</v>
      </c>
      <c r="B27845" t="s">
        <v>5932</v>
      </c>
      <c r="C27845" t="s">
        <v>103</v>
      </c>
      <c r="D27845" t="s">
        <v>108</v>
      </c>
      <c r="E27845" t="s">
        <v>2091</v>
      </c>
      <c r="F27845" s="2" t="str">
        <f>HYPERLINK("http://www.otzar.org/book.asp?26119","נטיעות הארץ")</f>
        <v>נטיעות הארץ</v>
      </c>
    </row>
    <row r="27846" spans="1:6" x14ac:dyDescent="0.2">
      <c r="A27846" t="s">
        <v>44120</v>
      </c>
      <c r="B27846" t="s">
        <v>44121</v>
      </c>
      <c r="C27846" t="s">
        <v>5903</v>
      </c>
      <c r="D27846" t="s">
        <v>56</v>
      </c>
      <c r="E27846" t="s">
        <v>508</v>
      </c>
      <c r="F27846" s="2" t="str">
        <f>HYPERLINK("http://www.otzar.org/book.asp?20334","נטיעות חיים")</f>
        <v>נטיעות חיים</v>
      </c>
    </row>
    <row r="27847" spans="1:6" x14ac:dyDescent="0.2">
      <c r="A27847" t="s">
        <v>44122</v>
      </c>
      <c r="B27847" t="s">
        <v>44123</v>
      </c>
      <c r="C27847" t="s">
        <v>185</v>
      </c>
      <c r="D27847" t="s">
        <v>90</v>
      </c>
      <c r="E27847" t="s">
        <v>144</v>
      </c>
      <c r="F27847" s="2" t="str">
        <f>HYPERLINK("http://www.otzar.org/book.asp?629431","נטיעות משה - תערובות")</f>
        <v>נטיעות משה - תערובות</v>
      </c>
    </row>
    <row r="27848" spans="1:6" x14ac:dyDescent="0.2">
      <c r="A27848" t="s">
        <v>44124</v>
      </c>
      <c r="B27848" t="s">
        <v>44125</v>
      </c>
      <c r="C27848" t="s">
        <v>411</v>
      </c>
      <c r="D27848" t="s">
        <v>90</v>
      </c>
      <c r="E27848" t="s">
        <v>144</v>
      </c>
      <c r="F27848" s="2" t="str">
        <f>HYPERLINK("http://www.otzar.org/book.asp?180616","נטיעות משה - 6 כר'")</f>
        <v>נטיעות משה - 6 כר'</v>
      </c>
    </row>
    <row r="27849" spans="1:6" x14ac:dyDescent="0.2">
      <c r="A27849" t="s">
        <v>44126</v>
      </c>
      <c r="B27849" t="s">
        <v>33148</v>
      </c>
      <c r="C27849" t="s">
        <v>343</v>
      </c>
      <c r="D27849" t="s">
        <v>6776</v>
      </c>
      <c r="E27849" t="s">
        <v>43</v>
      </c>
      <c r="F27849" s="2" t="str">
        <f>HYPERLINK("http://www.otzar.org/book.asp?147015","נטיעות שושנים")</f>
        <v>נטיעות שושנים</v>
      </c>
    </row>
    <row r="27850" spans="1:6" x14ac:dyDescent="0.2">
      <c r="A27850" t="s">
        <v>44127</v>
      </c>
      <c r="B27850" t="s">
        <v>44128</v>
      </c>
      <c r="C27850" t="s">
        <v>37</v>
      </c>
      <c r="D27850" t="s">
        <v>276</v>
      </c>
      <c r="F27850" s="2" t="str">
        <f>HYPERLINK("http://www.otzar.org/book.asp?609678","נטיעת חיים - 3 כר'")</f>
        <v>נטיעת חיים - 3 כר'</v>
      </c>
    </row>
    <row r="27851" spans="1:6" x14ac:dyDescent="0.2">
      <c r="A27851" t="s">
        <v>44129</v>
      </c>
      <c r="B27851" t="s">
        <v>17302</v>
      </c>
      <c r="C27851" t="s">
        <v>244</v>
      </c>
      <c r="D27851" t="s">
        <v>52</v>
      </c>
      <c r="E27851" t="s">
        <v>30316</v>
      </c>
      <c r="F27851" s="2" t="str">
        <f>HYPERLINK("http://www.otzar.org/book.asp?602663","נטע אהלים")</f>
        <v>נטע אהלים</v>
      </c>
    </row>
    <row r="27852" spans="1:6" x14ac:dyDescent="0.2">
      <c r="A27852" t="s">
        <v>44130</v>
      </c>
      <c r="B27852" t="s">
        <v>5092</v>
      </c>
      <c r="C27852" t="s">
        <v>13</v>
      </c>
      <c r="D27852" t="s">
        <v>412</v>
      </c>
      <c r="E27852" t="s">
        <v>15</v>
      </c>
      <c r="F27852" s="2" t="str">
        <f>HYPERLINK("http://www.otzar.org/book.asp?160395","נטע בתוכינו")</f>
        <v>נטע בתוכינו</v>
      </c>
    </row>
    <row r="27853" spans="1:6" x14ac:dyDescent="0.2">
      <c r="A27853" t="s">
        <v>44131</v>
      </c>
      <c r="B27853" t="s">
        <v>5967</v>
      </c>
      <c r="C27853" t="s">
        <v>725</v>
      </c>
      <c r="D27853" t="s">
        <v>27</v>
      </c>
      <c r="E27853" t="s">
        <v>606</v>
      </c>
      <c r="F27853" s="2" t="str">
        <f>HYPERLINK("http://www.otzar.org/book.asp?950","נטע הארץ")</f>
        <v>נטע הארץ</v>
      </c>
    </row>
    <row r="27854" spans="1:6" x14ac:dyDescent="0.2">
      <c r="A27854" t="s">
        <v>44132</v>
      </c>
      <c r="B27854" t="s">
        <v>1504</v>
      </c>
      <c r="C27854" t="s">
        <v>63</v>
      </c>
      <c r="D27854" t="s">
        <v>27</v>
      </c>
      <c r="E27854" t="s">
        <v>15</v>
      </c>
      <c r="F27854" s="2" t="str">
        <f>HYPERLINK("http://www.otzar.org/book.asp?171512","נטע הילולים")</f>
        <v>נטע הילולים</v>
      </c>
    </row>
    <row r="27855" spans="1:6" x14ac:dyDescent="0.2">
      <c r="A27855" t="s">
        <v>44133</v>
      </c>
      <c r="B27855" t="s">
        <v>44134</v>
      </c>
      <c r="C27855" t="s">
        <v>129</v>
      </c>
      <c r="D27855" t="s">
        <v>14</v>
      </c>
      <c r="E27855" t="s">
        <v>144</v>
      </c>
      <c r="F27855" s="2" t="str">
        <f>HYPERLINK("http://www.otzar.org/book.asp?162349","נטע יעקב - 2 כר'")</f>
        <v>נטע יעקב - 2 כר'</v>
      </c>
    </row>
    <row r="27856" spans="1:6" x14ac:dyDescent="0.2">
      <c r="A27856" t="s">
        <v>44135</v>
      </c>
      <c r="B27856" t="s">
        <v>44136</v>
      </c>
      <c r="C27856" t="s">
        <v>466</v>
      </c>
      <c r="D27856" t="s">
        <v>14</v>
      </c>
      <c r="E27856" t="s">
        <v>2153</v>
      </c>
      <c r="F27856" s="2" t="str">
        <f>HYPERLINK("http://www.otzar.org/book.asp?21333","נטע משפט זכרון שלמה - 2 כר'")</f>
        <v>נטע משפט זכרון שלמה - 2 כר'</v>
      </c>
    </row>
    <row r="27857" spans="1:6" x14ac:dyDescent="0.2">
      <c r="A27857" t="s">
        <v>44137</v>
      </c>
      <c r="B27857" t="s">
        <v>44138</v>
      </c>
      <c r="C27857" t="s">
        <v>151</v>
      </c>
      <c r="D27857" t="s">
        <v>367</v>
      </c>
      <c r="F27857" s="2" t="str">
        <f>HYPERLINK("http://www.otzar.org/book.asp?622583","נטע רענן")</f>
        <v>נטע רענן</v>
      </c>
    </row>
    <row r="27858" spans="1:6" x14ac:dyDescent="0.2">
      <c r="A27858" t="s">
        <v>44139</v>
      </c>
      <c r="B27858" t="s">
        <v>44140</v>
      </c>
      <c r="C27858" t="s">
        <v>1096</v>
      </c>
      <c r="D27858" t="s">
        <v>379</v>
      </c>
      <c r="E27858" t="s">
        <v>791</v>
      </c>
      <c r="F27858" s="2" t="str">
        <f>HYPERLINK("http://www.otzar.org/book.asp?9764","נטע שורק - 3 כר'")</f>
        <v>נטע שורק - 3 כר'</v>
      </c>
    </row>
    <row r="27859" spans="1:6" x14ac:dyDescent="0.2">
      <c r="A27859" t="s">
        <v>44141</v>
      </c>
      <c r="B27859" t="s">
        <v>44142</v>
      </c>
      <c r="C27859" t="s">
        <v>189</v>
      </c>
      <c r="D27859" t="s">
        <v>14</v>
      </c>
      <c r="E27859" t="s">
        <v>158</v>
      </c>
      <c r="F27859" s="2" t="str">
        <f>HYPERLINK("http://www.otzar.org/book.asp?175900","נטע שעשועים &lt;מהדורה חדשה&gt;")</f>
        <v>נטע שעשועים &lt;מהדורה חדשה&gt;</v>
      </c>
    </row>
    <row r="27860" spans="1:6" x14ac:dyDescent="0.2">
      <c r="A27860" t="s">
        <v>44143</v>
      </c>
      <c r="B27860" t="s">
        <v>44144</v>
      </c>
      <c r="C27860" t="s">
        <v>362</v>
      </c>
      <c r="D27860" t="s">
        <v>56</v>
      </c>
      <c r="E27860" t="s">
        <v>144</v>
      </c>
      <c r="F27860" s="2" t="str">
        <f>HYPERLINK("http://www.otzar.org/book.asp?100800","נטע שעשועים")</f>
        <v>נטע שעשועים</v>
      </c>
    </row>
    <row r="27861" spans="1:6" x14ac:dyDescent="0.2">
      <c r="A27861" t="s">
        <v>44143</v>
      </c>
      <c r="B27861" t="s">
        <v>44145</v>
      </c>
      <c r="C27861" t="s">
        <v>8799</v>
      </c>
      <c r="D27861" t="s">
        <v>60</v>
      </c>
      <c r="E27861" t="s">
        <v>144</v>
      </c>
      <c r="F27861" s="2" t="str">
        <f>HYPERLINK("http://www.otzar.org/book.asp?200265","נטע שעשועים")</f>
        <v>נטע שעשועים</v>
      </c>
    </row>
    <row r="27862" spans="1:6" x14ac:dyDescent="0.2">
      <c r="A27862" t="s">
        <v>44143</v>
      </c>
      <c r="B27862" t="s">
        <v>44142</v>
      </c>
      <c r="C27862" t="s">
        <v>3690</v>
      </c>
      <c r="D27862" t="s">
        <v>283</v>
      </c>
      <c r="E27862" t="s">
        <v>158</v>
      </c>
      <c r="F27862" s="2" t="str">
        <f>HYPERLINK("http://www.otzar.org/book.asp?51721","נטע שעשועים")</f>
        <v>נטע שעשועים</v>
      </c>
    </row>
    <row r="27863" spans="1:6" x14ac:dyDescent="0.2">
      <c r="A27863" t="s">
        <v>44143</v>
      </c>
      <c r="B27863" t="s">
        <v>44146</v>
      </c>
      <c r="C27863" t="s">
        <v>8450</v>
      </c>
      <c r="D27863" t="s">
        <v>15839</v>
      </c>
      <c r="E27863" t="s">
        <v>144</v>
      </c>
      <c r="F27863" s="2" t="str">
        <f>HYPERLINK("http://www.otzar.org/book.asp?103121","נטע שעשועים")</f>
        <v>נטע שעשועים</v>
      </c>
    </row>
    <row r="27864" spans="1:6" x14ac:dyDescent="0.2">
      <c r="A27864" t="s">
        <v>44143</v>
      </c>
      <c r="B27864" t="s">
        <v>44147</v>
      </c>
      <c r="C27864" t="s">
        <v>1921</v>
      </c>
      <c r="D27864" t="s">
        <v>5258</v>
      </c>
      <c r="E27864" t="s">
        <v>154</v>
      </c>
      <c r="F27864" s="2" t="str">
        <f>HYPERLINK("http://www.otzar.org/book.asp?9773","נטע שעשועים")</f>
        <v>נטע שעשועים</v>
      </c>
    </row>
    <row r="27865" spans="1:6" x14ac:dyDescent="0.2">
      <c r="A27865" t="s">
        <v>44143</v>
      </c>
      <c r="B27865" t="s">
        <v>13499</v>
      </c>
      <c r="C27865" t="s">
        <v>28588</v>
      </c>
      <c r="D27865" t="s">
        <v>379</v>
      </c>
      <c r="E27865" t="s">
        <v>508</v>
      </c>
      <c r="F27865" s="2" t="str">
        <f>HYPERLINK("http://www.otzar.org/book.asp?101594","נטע שעשועים")</f>
        <v>נטע שעשועים</v>
      </c>
    </row>
    <row r="27866" spans="1:6" x14ac:dyDescent="0.2">
      <c r="A27866" t="s">
        <v>44148</v>
      </c>
      <c r="B27866" t="s">
        <v>44149</v>
      </c>
      <c r="C27866" t="s">
        <v>728</v>
      </c>
      <c r="D27866" t="s">
        <v>855</v>
      </c>
      <c r="E27866" t="s">
        <v>44150</v>
      </c>
      <c r="F27866" s="2" t="str">
        <f>HYPERLINK("http://www.otzar.org/book.asp?200266","נטעי אברהם")</f>
        <v>נטעי אברהם</v>
      </c>
    </row>
    <row r="27867" spans="1:6" x14ac:dyDescent="0.2">
      <c r="A27867" t="s">
        <v>44151</v>
      </c>
      <c r="B27867" t="s">
        <v>44152</v>
      </c>
      <c r="C27867" t="s">
        <v>411</v>
      </c>
      <c r="D27867" t="s">
        <v>14</v>
      </c>
      <c r="E27867" t="s">
        <v>29187</v>
      </c>
      <c r="F27867" s="2" t="str">
        <f>HYPERLINK("http://www.otzar.org/book.asp?165020","נטעי אדם")</f>
        <v>נטעי אדם</v>
      </c>
    </row>
    <row r="27868" spans="1:6" x14ac:dyDescent="0.2">
      <c r="A27868" t="s">
        <v>44153</v>
      </c>
      <c r="B27868" t="s">
        <v>18138</v>
      </c>
      <c r="C27868" t="s">
        <v>492</v>
      </c>
      <c r="D27868" t="s">
        <v>56</v>
      </c>
      <c r="E27868" t="s">
        <v>3363</v>
      </c>
      <c r="F27868" s="2" t="str">
        <f>HYPERLINK("http://www.otzar.org/book.asp?152279","נטעי אור")</f>
        <v>נטעי אור</v>
      </c>
    </row>
    <row r="27869" spans="1:6" x14ac:dyDescent="0.2">
      <c r="A27869" t="s">
        <v>44154</v>
      </c>
      <c r="B27869" t="s">
        <v>21463</v>
      </c>
      <c r="C27869" t="s">
        <v>44155</v>
      </c>
      <c r="D27869" t="s">
        <v>283</v>
      </c>
      <c r="E27869" t="s">
        <v>234</v>
      </c>
      <c r="F27869" s="2" t="str">
        <f>HYPERLINK("http://www.otzar.org/book.asp?105497","נטעי איתן - 8 כר'")</f>
        <v>נטעי איתן - 8 כר'</v>
      </c>
    </row>
    <row r="27870" spans="1:6" x14ac:dyDescent="0.2">
      <c r="A27870" t="s">
        <v>44156</v>
      </c>
      <c r="B27870" t="s">
        <v>44157</v>
      </c>
      <c r="C27870" t="s">
        <v>146</v>
      </c>
      <c r="D27870" t="s">
        <v>52</v>
      </c>
      <c r="E27870" t="s">
        <v>202</v>
      </c>
      <c r="F27870" s="2" t="str">
        <f>HYPERLINK("http://www.otzar.org/book.asp?162353","נטעי אליהו - 4 כר'")</f>
        <v>נטעי אליהו - 4 כר'</v>
      </c>
    </row>
    <row r="27871" spans="1:6" x14ac:dyDescent="0.2">
      <c r="A27871" t="s">
        <v>44158</v>
      </c>
      <c r="B27871" t="s">
        <v>44159</v>
      </c>
      <c r="C27871" t="s">
        <v>129</v>
      </c>
      <c r="D27871" t="s">
        <v>52</v>
      </c>
      <c r="E27871" t="s">
        <v>8282</v>
      </c>
      <c r="F27871" s="2" t="str">
        <f>HYPERLINK("http://www.otzar.org/book.asp?145358","נטעי אש""ל")</f>
        <v>נטעי אש"ל</v>
      </c>
    </row>
    <row r="27872" spans="1:6" x14ac:dyDescent="0.2">
      <c r="A27872" t="s">
        <v>44160</v>
      </c>
      <c r="B27872" t="s">
        <v>44159</v>
      </c>
      <c r="C27872" t="s">
        <v>151</v>
      </c>
      <c r="E27872" t="s">
        <v>119</v>
      </c>
      <c r="F27872" s="2" t="str">
        <f>HYPERLINK("http://www.otzar.org/book.asp?628210","נטעי אש")</f>
        <v>נטעי אש</v>
      </c>
    </row>
    <row r="27873" spans="1:6" x14ac:dyDescent="0.2">
      <c r="A27873" t="s">
        <v>44160</v>
      </c>
      <c r="B27873" t="s">
        <v>1005</v>
      </c>
      <c r="C27873" t="s">
        <v>20</v>
      </c>
      <c r="D27873" t="s">
        <v>80</v>
      </c>
      <c r="F27873" s="2" t="str">
        <f>HYPERLINK("http://www.otzar.org/book.asp?609782","נטעי אש")</f>
        <v>נטעי אש</v>
      </c>
    </row>
    <row r="27874" spans="1:6" x14ac:dyDescent="0.2">
      <c r="A27874" t="s">
        <v>44161</v>
      </c>
      <c r="B27874" t="s">
        <v>44162</v>
      </c>
      <c r="C27874" t="s">
        <v>1160</v>
      </c>
      <c r="D27874" t="s">
        <v>1180</v>
      </c>
      <c r="E27874" t="s">
        <v>202</v>
      </c>
      <c r="F27874" s="2" t="str">
        <f>HYPERLINK("http://www.otzar.org/book.asp?619474","נטעי בחורים - 3 כר'")</f>
        <v>נטעי בחורים - 3 כר'</v>
      </c>
    </row>
    <row r="27875" spans="1:6" x14ac:dyDescent="0.2">
      <c r="A27875" t="s">
        <v>44163</v>
      </c>
      <c r="B27875" t="s">
        <v>44164</v>
      </c>
      <c r="C27875" t="s">
        <v>496</v>
      </c>
      <c r="D27875" t="s">
        <v>44165</v>
      </c>
      <c r="F27875" s="2" t="str">
        <f>HYPERLINK("http://www.otzar.org/book.asp?620896","נטעי בחורים - 8 כר'")</f>
        <v>נטעי בחורים - 8 כר'</v>
      </c>
    </row>
    <row r="27876" spans="1:6" x14ac:dyDescent="0.2">
      <c r="A27876" t="s">
        <v>44166</v>
      </c>
      <c r="B27876" t="s">
        <v>3320</v>
      </c>
      <c r="C27876" t="s">
        <v>313</v>
      </c>
      <c r="D27876" t="s">
        <v>14</v>
      </c>
      <c r="E27876" t="s">
        <v>15</v>
      </c>
      <c r="F27876" s="2" t="str">
        <f>HYPERLINK("http://www.otzar.org/book.asp?52816","נטעי גבריאל - 28 כר'")</f>
        <v>נטעי גבריאל - 28 כר'</v>
      </c>
    </row>
    <row r="27877" spans="1:6" x14ac:dyDescent="0.2">
      <c r="A27877" t="s">
        <v>44167</v>
      </c>
      <c r="B27877" t="s">
        <v>1825</v>
      </c>
      <c r="C27877" t="s">
        <v>585</v>
      </c>
      <c r="D27877" t="s">
        <v>14</v>
      </c>
      <c r="E27877" t="s">
        <v>15</v>
      </c>
      <c r="F27877" s="2" t="str">
        <f>HYPERLINK("http://www.otzar.org/book.asp?143085","נטעי הכרם - 2 כר'")</f>
        <v>נטעי הכרם - 2 כר'</v>
      </c>
    </row>
    <row r="27878" spans="1:6" x14ac:dyDescent="0.2">
      <c r="A27878" t="s">
        <v>44168</v>
      </c>
      <c r="B27878" t="s">
        <v>44169</v>
      </c>
      <c r="C27878" t="s">
        <v>189</v>
      </c>
      <c r="D27878" t="s">
        <v>14</v>
      </c>
      <c r="E27878" t="s">
        <v>786</v>
      </c>
      <c r="F27878" s="2" t="str">
        <f>HYPERLINK("http://www.otzar.org/book.asp?84860","נטעי חמד")</f>
        <v>נטעי חמד</v>
      </c>
    </row>
    <row r="27879" spans="1:6" x14ac:dyDescent="0.2">
      <c r="A27879" t="s">
        <v>44170</v>
      </c>
      <c r="B27879" t="s">
        <v>44171</v>
      </c>
      <c r="C27879" t="s">
        <v>114</v>
      </c>
      <c r="D27879" t="s">
        <v>657</v>
      </c>
      <c r="E27879" t="s">
        <v>658</v>
      </c>
      <c r="F27879" s="2" t="str">
        <f>HYPERLINK("http://www.otzar.org/book.asp?165029","נטעי יוסף")</f>
        <v>נטעי יוסף</v>
      </c>
    </row>
    <row r="27880" spans="1:6" x14ac:dyDescent="0.2">
      <c r="A27880" t="s">
        <v>44172</v>
      </c>
      <c r="B27880" t="s">
        <v>44173</v>
      </c>
      <c r="C27880" t="s">
        <v>20</v>
      </c>
      <c r="D27880" t="s">
        <v>646</v>
      </c>
      <c r="E27880" t="s">
        <v>144</v>
      </c>
      <c r="F27880" s="2" t="str">
        <f>HYPERLINK("http://www.otzar.org/book.asp?181944","נטעי יצחק")</f>
        <v>נטעי יצחק</v>
      </c>
    </row>
    <row r="27881" spans="1:6" x14ac:dyDescent="0.2">
      <c r="A27881" t="s">
        <v>44174</v>
      </c>
      <c r="B27881" t="s">
        <v>5112</v>
      </c>
      <c r="C27881" t="s">
        <v>496</v>
      </c>
      <c r="D27881" t="s">
        <v>27</v>
      </c>
      <c r="E27881" t="s">
        <v>119</v>
      </c>
      <c r="F27881" s="2" t="str">
        <f>HYPERLINK("http://www.otzar.org/book.asp?20335","נטעי נאמנה")</f>
        <v>נטעי נאמנה</v>
      </c>
    </row>
    <row r="27882" spans="1:6" x14ac:dyDescent="0.2">
      <c r="A27882" t="s">
        <v>44175</v>
      </c>
      <c r="B27882" t="s">
        <v>44176</v>
      </c>
      <c r="C27882" t="s">
        <v>888</v>
      </c>
      <c r="D27882" t="s">
        <v>379</v>
      </c>
      <c r="E27882" t="s">
        <v>230</v>
      </c>
      <c r="F27882" s="2" t="str">
        <f>HYPERLINK("http://www.otzar.org/book.asp?189600","נטעי נאמנים")</f>
        <v>נטעי נאמנים</v>
      </c>
    </row>
    <row r="27883" spans="1:6" x14ac:dyDescent="0.2">
      <c r="A27883" t="s">
        <v>44177</v>
      </c>
      <c r="B27883" t="s">
        <v>44178</v>
      </c>
      <c r="C27883" t="s">
        <v>68</v>
      </c>
      <c r="D27883" t="s">
        <v>412</v>
      </c>
      <c r="F27883" s="2" t="str">
        <f>HYPERLINK("http://www.otzar.org/book.asp?169598","נטעי נעמנים - 3 כר'")</f>
        <v>נטעי נעמנים - 3 כר'</v>
      </c>
    </row>
    <row r="27884" spans="1:6" x14ac:dyDescent="0.2">
      <c r="A27884" t="s">
        <v>44179</v>
      </c>
      <c r="B27884" t="s">
        <v>44179</v>
      </c>
      <c r="C27884" t="s">
        <v>15405</v>
      </c>
      <c r="D27884" t="s">
        <v>44180</v>
      </c>
      <c r="E27884" t="s">
        <v>202</v>
      </c>
      <c r="F27884" s="2" t="str">
        <f>HYPERLINK("http://www.otzar.org/book.asp?182212","נטעי נעמנים")</f>
        <v>נטעי נעמנים</v>
      </c>
    </row>
    <row r="27885" spans="1:6" x14ac:dyDescent="0.2">
      <c r="A27885" t="s">
        <v>44179</v>
      </c>
      <c r="B27885" t="s">
        <v>44181</v>
      </c>
      <c r="C27885" t="s">
        <v>8375</v>
      </c>
      <c r="D27885" t="s">
        <v>56</v>
      </c>
      <c r="E27885" t="s">
        <v>43</v>
      </c>
      <c r="F27885" s="2" t="str">
        <f>HYPERLINK("http://www.otzar.org/book.asp?146703","נטעי נעמנים")</f>
        <v>נטעי נעמנים</v>
      </c>
    </row>
    <row r="27886" spans="1:6" x14ac:dyDescent="0.2">
      <c r="A27886" t="s">
        <v>44182</v>
      </c>
      <c r="B27886" t="s">
        <v>1005</v>
      </c>
      <c r="C27886" t="s">
        <v>313</v>
      </c>
      <c r="D27886" t="s">
        <v>14</v>
      </c>
      <c r="E27886" t="s">
        <v>202</v>
      </c>
      <c r="F27886" s="2" t="str">
        <f>HYPERLINK("http://www.otzar.org/book.asp?105928","נטעי נעמנים - א")</f>
        <v>נטעי נעמנים - א</v>
      </c>
    </row>
    <row r="27887" spans="1:6" x14ac:dyDescent="0.2">
      <c r="A27887" t="s">
        <v>44183</v>
      </c>
      <c r="B27887" t="s">
        <v>8886</v>
      </c>
      <c r="C27887" t="s">
        <v>313</v>
      </c>
      <c r="D27887" t="s">
        <v>852</v>
      </c>
      <c r="E27887" t="s">
        <v>186</v>
      </c>
      <c r="F27887" s="2" t="str">
        <f>HYPERLINK("http://www.otzar.org/book.asp?169084","נטעי נעמנים - כתובות")</f>
        <v>נטעי נעמנים - כתובות</v>
      </c>
    </row>
    <row r="27888" spans="1:6" x14ac:dyDescent="0.2">
      <c r="A27888" t="s">
        <v>44184</v>
      </c>
      <c r="B27888" t="s">
        <v>1750</v>
      </c>
      <c r="C27888" t="s">
        <v>313</v>
      </c>
      <c r="D27888" t="s">
        <v>14</v>
      </c>
      <c r="E27888" t="s">
        <v>202</v>
      </c>
      <c r="F27888" s="2" t="str">
        <f>HYPERLINK("http://www.otzar.org/book.asp?105929","נטעי נעמנים - 2 כר'")</f>
        <v>נטעי נעמנים - 2 כר'</v>
      </c>
    </row>
    <row r="27889" spans="1:6" x14ac:dyDescent="0.2">
      <c r="A27889" t="s">
        <v>44179</v>
      </c>
      <c r="B27889" t="s">
        <v>14738</v>
      </c>
      <c r="C27889" t="s">
        <v>462</v>
      </c>
      <c r="D27889" t="s">
        <v>225</v>
      </c>
      <c r="E27889" t="s">
        <v>791</v>
      </c>
      <c r="F27889" s="2" t="str">
        <f>HYPERLINK("http://www.otzar.org/book.asp?10897","נטעי נעמנים")</f>
        <v>נטעי נעמנים</v>
      </c>
    </row>
    <row r="27890" spans="1:6" x14ac:dyDescent="0.2">
      <c r="A27890" t="s">
        <v>44185</v>
      </c>
      <c r="B27890" t="s">
        <v>44186</v>
      </c>
      <c r="C27890" t="s">
        <v>143</v>
      </c>
      <c r="D27890" t="s">
        <v>14</v>
      </c>
      <c r="E27890" t="s">
        <v>44187</v>
      </c>
      <c r="F27890" s="2" t="str">
        <f>HYPERLINK("http://www.otzar.org/book.asp?156708","נטעי נתן")</f>
        <v>נטעי נתן</v>
      </c>
    </row>
    <row r="27891" spans="1:6" x14ac:dyDescent="0.2">
      <c r="A27891" t="s">
        <v>44188</v>
      </c>
      <c r="B27891" t="s">
        <v>7346</v>
      </c>
      <c r="C27891" t="s">
        <v>51</v>
      </c>
      <c r="D27891" t="s">
        <v>152</v>
      </c>
      <c r="E27891" t="s">
        <v>674</v>
      </c>
      <c r="F27891" s="2" t="str">
        <f>HYPERLINK("http://www.otzar.org/book.asp?50370","נטעי שושנה")</f>
        <v>נטעי שושנה</v>
      </c>
    </row>
    <row r="27892" spans="1:6" x14ac:dyDescent="0.2">
      <c r="A27892" t="s">
        <v>44189</v>
      </c>
      <c r="B27892" t="s">
        <v>44144</v>
      </c>
      <c r="C27892" t="s">
        <v>473</v>
      </c>
      <c r="D27892" t="s">
        <v>225</v>
      </c>
      <c r="E27892" t="s">
        <v>241</v>
      </c>
      <c r="F27892" s="2" t="str">
        <f>HYPERLINK("http://www.otzar.org/book.asp?176860","נטעי שושנים")</f>
        <v>נטעי שושנים</v>
      </c>
    </row>
    <row r="27893" spans="1:6" x14ac:dyDescent="0.2">
      <c r="A27893" t="s">
        <v>44190</v>
      </c>
      <c r="B27893" t="s">
        <v>44191</v>
      </c>
      <c r="C27893" t="s">
        <v>13</v>
      </c>
      <c r="E27893" t="s">
        <v>1507</v>
      </c>
      <c r="F27893" s="2" t="str">
        <f>HYPERLINK("http://www.otzar.org/book.asp?626055","נטעי שלום")</f>
        <v>נטעי שלום</v>
      </c>
    </row>
    <row r="27894" spans="1:6" x14ac:dyDescent="0.2">
      <c r="A27894" t="s">
        <v>44192</v>
      </c>
      <c r="B27894" t="s">
        <v>31369</v>
      </c>
      <c r="C27894" t="s">
        <v>454</v>
      </c>
      <c r="D27894" t="s">
        <v>14</v>
      </c>
      <c r="E27894" t="s">
        <v>158</v>
      </c>
      <c r="F27894" s="2" t="str">
        <f>HYPERLINK("http://www.otzar.org/book.asp?159179","נטעי שמחה")</f>
        <v>נטעי שמחה</v>
      </c>
    </row>
    <row r="27895" spans="1:6" x14ac:dyDescent="0.2">
      <c r="A27895" t="s">
        <v>44193</v>
      </c>
      <c r="B27895" t="s">
        <v>44194</v>
      </c>
      <c r="C27895" t="s">
        <v>224</v>
      </c>
      <c r="D27895" t="s">
        <v>27</v>
      </c>
      <c r="E27895" t="s">
        <v>144</v>
      </c>
      <c r="F27895" s="2" t="str">
        <f>HYPERLINK("http://www.otzar.org/book.asp?200267","נטעי-נתן")</f>
        <v>נטעי-נתן</v>
      </c>
    </row>
    <row r="27896" spans="1:6" x14ac:dyDescent="0.2">
      <c r="A27896" t="s">
        <v>44195</v>
      </c>
      <c r="B27896" t="s">
        <v>12568</v>
      </c>
      <c r="C27896" t="s">
        <v>23</v>
      </c>
      <c r="D27896" t="s">
        <v>14</v>
      </c>
      <c r="E27896" t="s">
        <v>1626</v>
      </c>
      <c r="F27896" s="2" t="str">
        <f>HYPERLINK("http://www.otzar.org/book.asp?194162","נטפי אורות השירה")</f>
        <v>נטפי אורות השירה</v>
      </c>
    </row>
    <row r="27897" spans="1:6" x14ac:dyDescent="0.2">
      <c r="A27897" t="s">
        <v>44196</v>
      </c>
      <c r="B27897" t="s">
        <v>44197</v>
      </c>
      <c r="C27897" t="s">
        <v>111</v>
      </c>
      <c r="D27897" t="s">
        <v>152</v>
      </c>
      <c r="E27897" t="s">
        <v>144</v>
      </c>
      <c r="F27897" s="2" t="str">
        <f>HYPERLINK("http://www.otzar.org/book.asp?620135","נטפי דבש - 4 כר'")</f>
        <v>נטפי דבש - 4 כר'</v>
      </c>
    </row>
    <row r="27898" spans="1:6" x14ac:dyDescent="0.2">
      <c r="A27898" t="s">
        <v>44198</v>
      </c>
      <c r="B27898" t="s">
        <v>8588</v>
      </c>
      <c r="C27898" t="s">
        <v>1811</v>
      </c>
      <c r="D27898" t="s">
        <v>14</v>
      </c>
      <c r="E27898" t="s">
        <v>158</v>
      </c>
      <c r="F27898" s="2" t="str">
        <f>HYPERLINK("http://www.otzar.org/book.asp?164266","נטפי המים - 2 כר'")</f>
        <v>נטפי המים - 2 כר'</v>
      </c>
    </row>
    <row r="27899" spans="1:6" x14ac:dyDescent="0.2">
      <c r="A27899" t="s">
        <v>44199</v>
      </c>
      <c r="C27899" t="s">
        <v>129</v>
      </c>
      <c r="D27899" t="s">
        <v>486</v>
      </c>
      <c r="E27899" t="s">
        <v>158</v>
      </c>
      <c r="F27899" s="2" t="str">
        <f>HYPERLINK("http://www.otzar.org/book.asp?629132","נטפי חיים")</f>
        <v>נטפי חיים</v>
      </c>
    </row>
    <row r="27900" spans="1:6" x14ac:dyDescent="0.2">
      <c r="A27900" t="s">
        <v>44200</v>
      </c>
      <c r="B27900" t="s">
        <v>12568</v>
      </c>
      <c r="C27900" t="s">
        <v>133</v>
      </c>
      <c r="D27900" t="s">
        <v>21</v>
      </c>
      <c r="E27900" t="s">
        <v>246</v>
      </c>
      <c r="F27900" s="2" t="str">
        <f>HYPERLINK("http://www.otzar.org/book.asp?199350","נטפי מעיינות גנזי חנוכה")</f>
        <v>נטפי מעיינות גנזי חנוכה</v>
      </c>
    </row>
    <row r="27901" spans="1:6" x14ac:dyDescent="0.2">
      <c r="A27901" t="s">
        <v>44201</v>
      </c>
      <c r="B27901" t="s">
        <v>44202</v>
      </c>
      <c r="C27901" t="s">
        <v>366</v>
      </c>
      <c r="D27901" t="s">
        <v>21</v>
      </c>
      <c r="E27901" t="s">
        <v>158</v>
      </c>
      <c r="F27901" s="2" t="str">
        <f>HYPERLINK("http://www.otzar.org/book.asp?601098","נטפי משה - 2 כר'")</f>
        <v>נטפי משה - 2 כר'</v>
      </c>
    </row>
    <row r="27902" spans="1:6" x14ac:dyDescent="0.2">
      <c r="A27902" t="s">
        <v>44203</v>
      </c>
      <c r="B27902" t="s">
        <v>44204</v>
      </c>
      <c r="C27902" t="s">
        <v>2008</v>
      </c>
      <c r="D27902" t="s">
        <v>9</v>
      </c>
      <c r="E27902" t="s">
        <v>234</v>
      </c>
      <c r="F27902" s="2" t="str">
        <f>HYPERLINK("http://www.otzar.org/book.asp?51745","נטפי נאומים")</f>
        <v>נטפי נאומים</v>
      </c>
    </row>
    <row r="27903" spans="1:6" x14ac:dyDescent="0.2">
      <c r="A27903" t="s">
        <v>44205</v>
      </c>
      <c r="B27903" t="s">
        <v>1750</v>
      </c>
      <c r="C27903" t="s">
        <v>989</v>
      </c>
      <c r="D27903" t="s">
        <v>216</v>
      </c>
      <c r="E27903" t="s">
        <v>202</v>
      </c>
      <c r="F27903" s="2" t="str">
        <f>HYPERLINK("http://www.otzar.org/book.asp?607022","ניב המדרשיה - 6 כר'")</f>
        <v>ניב המדרשיה - 6 כר'</v>
      </c>
    </row>
    <row r="27904" spans="1:6" x14ac:dyDescent="0.2">
      <c r="A27904" t="s">
        <v>44206</v>
      </c>
      <c r="B27904" t="s">
        <v>44207</v>
      </c>
      <c r="C27904" t="s">
        <v>176</v>
      </c>
      <c r="D27904" t="s">
        <v>216</v>
      </c>
      <c r="E27904" t="s">
        <v>202</v>
      </c>
      <c r="F27904" s="2" t="str">
        <f>HYPERLINK("http://www.otzar.org/book.asp?603053","ניב המורה (קובץ תורני) - 2 כר'")</f>
        <v>ניב המורה (קובץ תורני) - 2 כר'</v>
      </c>
    </row>
    <row r="27905" spans="1:6" x14ac:dyDescent="0.2">
      <c r="A27905" t="s">
        <v>44208</v>
      </c>
      <c r="B27905" t="s">
        <v>44207</v>
      </c>
      <c r="C27905" t="s">
        <v>454</v>
      </c>
      <c r="D27905" t="s">
        <v>216</v>
      </c>
      <c r="F27905" s="2" t="str">
        <f>HYPERLINK("http://www.otzar.org/book.asp?612249","ניב המורה - 72 כר'")</f>
        <v>ניב המורה - 72 כר'</v>
      </c>
    </row>
    <row r="27906" spans="1:6" x14ac:dyDescent="0.2">
      <c r="A27906" t="s">
        <v>44209</v>
      </c>
      <c r="B27906" t="s">
        <v>23062</v>
      </c>
      <c r="C27906" t="s">
        <v>843</v>
      </c>
      <c r="D27906" t="s">
        <v>9</v>
      </c>
      <c r="E27906" t="s">
        <v>474</v>
      </c>
      <c r="F27906" s="2" t="str">
        <f>HYPERLINK("http://www.otzar.org/book.asp?20336","ניב והגות")</f>
        <v>ניב והגות</v>
      </c>
    </row>
    <row r="27907" spans="1:6" x14ac:dyDescent="0.2">
      <c r="A27907" t="s">
        <v>44210</v>
      </c>
      <c r="B27907" t="s">
        <v>44211</v>
      </c>
      <c r="C27907" t="s">
        <v>523</v>
      </c>
      <c r="D27907" t="s">
        <v>14</v>
      </c>
      <c r="E27907" t="s">
        <v>15</v>
      </c>
      <c r="F27907" s="2" t="str">
        <f>HYPERLINK("http://www.otzar.org/book.asp?149781","ניב מנחם - 2 כר'")</f>
        <v>ניב מנחם - 2 כר'</v>
      </c>
    </row>
    <row r="27908" spans="1:6" x14ac:dyDescent="0.2">
      <c r="A27908" t="s">
        <v>44212</v>
      </c>
      <c r="B27908" t="s">
        <v>44213</v>
      </c>
      <c r="C27908" t="s">
        <v>23</v>
      </c>
      <c r="D27908" t="s">
        <v>21</v>
      </c>
      <c r="F27908" s="2" t="str">
        <f>HYPERLINK("http://www.otzar.org/book.asp?195670","ניב שפתים על הלכות מבשל בשבת")</f>
        <v>ניב שפתים על הלכות מבשל בשבת</v>
      </c>
    </row>
    <row r="27909" spans="1:6" x14ac:dyDescent="0.2">
      <c r="A27909" t="s">
        <v>44214</v>
      </c>
      <c r="B27909" t="s">
        <v>44215</v>
      </c>
      <c r="C27909" t="s">
        <v>422</v>
      </c>
      <c r="D27909" t="s">
        <v>14</v>
      </c>
      <c r="E27909" t="s">
        <v>158</v>
      </c>
      <c r="F27909" s="2" t="str">
        <f>HYPERLINK("http://www.otzar.org/book.asp?170389","ניב שפתים - שערי ציון")</f>
        <v>ניב שפתים - שערי ציון</v>
      </c>
    </row>
    <row r="27910" spans="1:6" x14ac:dyDescent="0.2">
      <c r="A27910" t="s">
        <v>44216</v>
      </c>
      <c r="B27910" t="s">
        <v>14923</v>
      </c>
      <c r="C27910" t="s">
        <v>114</v>
      </c>
      <c r="D27910" t="s">
        <v>14</v>
      </c>
      <c r="E27910" t="s">
        <v>714</v>
      </c>
      <c r="F27910" s="2" t="str">
        <f>HYPERLINK("http://www.otzar.org/book.asp?170411","ניב שפתים - 2 כר'")</f>
        <v>ניב שפתים - 2 כר'</v>
      </c>
    </row>
    <row r="27911" spans="1:6" x14ac:dyDescent="0.2">
      <c r="A27911" t="s">
        <v>44217</v>
      </c>
      <c r="B27911" t="s">
        <v>44218</v>
      </c>
      <c r="C27911" t="s">
        <v>1169</v>
      </c>
      <c r="D27911" t="s">
        <v>260</v>
      </c>
      <c r="E27911" t="s">
        <v>104</v>
      </c>
      <c r="F27911" s="2" t="str">
        <f>HYPERLINK("http://www.otzar.org/book.asp?154060","ניבון עברי")</f>
        <v>ניבון עברי</v>
      </c>
    </row>
    <row r="27912" spans="1:6" x14ac:dyDescent="0.2">
      <c r="A27912" t="s">
        <v>44219</v>
      </c>
      <c r="B27912" t="s">
        <v>44220</v>
      </c>
      <c r="C27912" t="s">
        <v>3205</v>
      </c>
      <c r="D27912" t="s">
        <v>27</v>
      </c>
      <c r="E27912" t="s">
        <v>1211</v>
      </c>
      <c r="F27912" s="2" t="str">
        <f>HYPERLINK("http://www.otzar.org/book.asp?179036","ניבי נפתלי")</f>
        <v>ניבי נפתלי</v>
      </c>
    </row>
    <row r="27913" spans="1:6" x14ac:dyDescent="0.2">
      <c r="A27913" t="s">
        <v>44221</v>
      </c>
      <c r="B27913" t="s">
        <v>44222</v>
      </c>
      <c r="C27913" t="s">
        <v>13</v>
      </c>
      <c r="D27913" t="s">
        <v>14</v>
      </c>
      <c r="E27913" t="s">
        <v>399</v>
      </c>
      <c r="F27913" s="2" t="str">
        <f>HYPERLINK("http://www.otzar.org/book.asp?60189","ניבי שלום")</f>
        <v>ניבי שלום</v>
      </c>
    </row>
    <row r="27914" spans="1:6" x14ac:dyDescent="0.2">
      <c r="A27914" t="s">
        <v>44223</v>
      </c>
      <c r="B27914" t="s">
        <v>44224</v>
      </c>
      <c r="C27914" t="s">
        <v>896</v>
      </c>
      <c r="D27914" t="s">
        <v>563</v>
      </c>
      <c r="E27914" t="s">
        <v>26228</v>
      </c>
      <c r="F27914" s="2" t="str">
        <f>HYPERLINK("http://www.otzar.org/book.asp?104098","ניבת נחום")</f>
        <v>ניבת נחום</v>
      </c>
    </row>
    <row r="27915" spans="1:6" x14ac:dyDescent="0.2">
      <c r="A27915" t="s">
        <v>44225</v>
      </c>
      <c r="B27915" t="s">
        <v>20390</v>
      </c>
      <c r="C27915" t="s">
        <v>114</v>
      </c>
      <c r="D27915" t="s">
        <v>90</v>
      </c>
      <c r="E27915" t="s">
        <v>104</v>
      </c>
      <c r="F27915" s="2" t="str">
        <f>HYPERLINK("http://www.otzar.org/book.asp?603696","ניגון כשר מנגן כשר ושו""ת")</f>
        <v>ניגון כשר מנגן כשר ושו"ת</v>
      </c>
    </row>
    <row r="27916" spans="1:6" x14ac:dyDescent="0.2">
      <c r="A27916" t="s">
        <v>44226</v>
      </c>
      <c r="B27916" t="s">
        <v>44227</v>
      </c>
      <c r="C27916" t="s">
        <v>244</v>
      </c>
      <c r="D27916" t="s">
        <v>412</v>
      </c>
      <c r="E27916" t="s">
        <v>393</v>
      </c>
      <c r="F27916" s="2" t="str">
        <f>HYPERLINK("http://www.otzar.org/book.asp?630123","ניגוני הרבי שלימד לאורך השנים")</f>
        <v>ניגוני הרבי שלימד לאורך השנים</v>
      </c>
    </row>
    <row r="27917" spans="1:6" x14ac:dyDescent="0.2">
      <c r="A27917" t="s">
        <v>44228</v>
      </c>
      <c r="B27917" t="s">
        <v>44229</v>
      </c>
      <c r="C27917" t="s">
        <v>244</v>
      </c>
      <c r="D27917" t="s">
        <v>21</v>
      </c>
      <c r="E27917" t="s">
        <v>246</v>
      </c>
      <c r="F27917" s="2" t="str">
        <f>HYPERLINK("http://www.otzar.org/book.asp?601570","נידוני המועדים")</f>
        <v>נידוני המועדים</v>
      </c>
    </row>
    <row r="27918" spans="1:6" x14ac:dyDescent="0.2">
      <c r="A27918" t="s">
        <v>44230</v>
      </c>
      <c r="B27918" t="s">
        <v>44231</v>
      </c>
      <c r="C27918" t="s">
        <v>366</v>
      </c>
      <c r="D27918" t="s">
        <v>80</v>
      </c>
      <c r="F27918" s="2" t="str">
        <f>HYPERLINK("http://www.otzar.org/book.asp?610216","נידונים הלכתיים שכיחים לנופשים")</f>
        <v>נידונים הלכתיים שכיחים לנופשים</v>
      </c>
    </row>
    <row r="27919" spans="1:6" x14ac:dyDescent="0.2">
      <c r="A27919" t="s">
        <v>44232</v>
      </c>
      <c r="B27919" t="s">
        <v>44233</v>
      </c>
      <c r="C27919" t="s">
        <v>20</v>
      </c>
      <c r="D27919" t="s">
        <v>14</v>
      </c>
      <c r="F27919" s="2" t="str">
        <f>HYPERLINK("http://www.otzar.org/book.asp?603312","ניות ברמה - 4 כר'")</f>
        <v>ניות ברמה - 4 כר'</v>
      </c>
    </row>
    <row r="27920" spans="1:6" x14ac:dyDescent="0.2">
      <c r="A27920" t="s">
        <v>44234</v>
      </c>
      <c r="B27920" t="s">
        <v>5070</v>
      </c>
      <c r="C27920" t="s">
        <v>454</v>
      </c>
      <c r="D27920" t="s">
        <v>657</v>
      </c>
      <c r="E27920" t="s">
        <v>84</v>
      </c>
      <c r="F27920" s="2" t="str">
        <f>HYPERLINK("http://www.otzar.org/book.asp?152579","ניחוח אבות")</f>
        <v>ניחוח אבות</v>
      </c>
    </row>
    <row r="27921" spans="1:6" x14ac:dyDescent="0.2">
      <c r="A27921" t="s">
        <v>44235</v>
      </c>
      <c r="B27921" t="s">
        <v>1604</v>
      </c>
      <c r="C27921" t="s">
        <v>553</v>
      </c>
      <c r="D27921" t="s">
        <v>14</v>
      </c>
      <c r="E27921" t="s">
        <v>241</v>
      </c>
      <c r="F27921" s="2" t="str">
        <f>HYPERLINK("http://www.otzar.org/book.asp?606655","ניחום אבלים")</f>
        <v>ניחום אבלים</v>
      </c>
    </row>
    <row r="27922" spans="1:6" x14ac:dyDescent="0.2">
      <c r="A27922" t="s">
        <v>44236</v>
      </c>
      <c r="B27922" t="s">
        <v>44237</v>
      </c>
      <c r="C27922" t="s">
        <v>3840</v>
      </c>
      <c r="D27922" t="s">
        <v>14</v>
      </c>
      <c r="F27922" s="2" t="str">
        <f>HYPERLINK("http://www.otzar.org/book.asp?626391","ניט אויסדערציילן")</f>
        <v>ניט אויסדערציילן</v>
      </c>
    </row>
    <row r="27923" spans="1:6" x14ac:dyDescent="0.2">
      <c r="A27923" t="s">
        <v>44238</v>
      </c>
      <c r="B27923" t="s">
        <v>14446</v>
      </c>
      <c r="C27923" t="s">
        <v>103</v>
      </c>
      <c r="D27923" t="s">
        <v>14</v>
      </c>
      <c r="E27923" t="s">
        <v>172</v>
      </c>
      <c r="F27923" s="2" t="str">
        <f>HYPERLINK("http://www.otzar.org/book.asp?170722","נימוקי אורח חיים &lt;מהדורה חדשה&gt;")</f>
        <v>נימוקי אורח חיים &lt;מהדורה חדשה&gt;</v>
      </c>
    </row>
    <row r="27924" spans="1:6" x14ac:dyDescent="0.2">
      <c r="A27924" t="s">
        <v>44239</v>
      </c>
      <c r="B27924" t="s">
        <v>14446</v>
      </c>
      <c r="C27924" t="s">
        <v>547</v>
      </c>
      <c r="D27924" t="s">
        <v>8024</v>
      </c>
      <c r="E27924" t="s">
        <v>32932</v>
      </c>
      <c r="F27924" s="2" t="str">
        <f>HYPERLINK("http://www.otzar.org/book.asp?6488","נימוקי אורח חיים")</f>
        <v>נימוקי אורח חיים</v>
      </c>
    </row>
    <row r="27925" spans="1:6" x14ac:dyDescent="0.2">
      <c r="A27925" t="s">
        <v>44240</v>
      </c>
      <c r="B27925" t="s">
        <v>44241</v>
      </c>
      <c r="C27925" t="s">
        <v>111</v>
      </c>
      <c r="D27925" t="s">
        <v>52</v>
      </c>
      <c r="E27925" t="s">
        <v>104</v>
      </c>
      <c r="F27925" s="2" t="str">
        <f>HYPERLINK("http://www.otzar.org/book.asp?625892","נימוקי המנחה")</f>
        <v>נימוקי המנחה</v>
      </c>
    </row>
    <row r="27926" spans="1:6" x14ac:dyDescent="0.2">
      <c r="A27926" t="s">
        <v>44242</v>
      </c>
      <c r="B27926" t="s">
        <v>44243</v>
      </c>
      <c r="C27926" t="s">
        <v>1663</v>
      </c>
      <c r="D27926" t="s">
        <v>260</v>
      </c>
      <c r="E27926" t="s">
        <v>44244</v>
      </c>
      <c r="F27926" s="2" t="str">
        <f>HYPERLINK("http://www.otzar.org/book.asp?6494","נימוקי חיים")</f>
        <v>נימוקי חיים</v>
      </c>
    </row>
    <row r="27927" spans="1:6" x14ac:dyDescent="0.2">
      <c r="A27927" t="s">
        <v>44245</v>
      </c>
      <c r="B27927" t="s">
        <v>44246</v>
      </c>
      <c r="C27927" t="s">
        <v>454</v>
      </c>
      <c r="D27927" t="s">
        <v>216</v>
      </c>
      <c r="E27927" t="s">
        <v>144</v>
      </c>
      <c r="F27927" s="2" t="str">
        <f>HYPERLINK("http://www.otzar.org/book.asp?143519","נימוקי יוסף")</f>
        <v>נימוקי יוסף</v>
      </c>
    </row>
    <row r="27928" spans="1:6" x14ac:dyDescent="0.2">
      <c r="A27928" t="s">
        <v>44247</v>
      </c>
      <c r="B27928" t="s">
        <v>44248</v>
      </c>
      <c r="C27928" t="s">
        <v>13</v>
      </c>
      <c r="D27928" t="s">
        <v>52</v>
      </c>
      <c r="E27928" t="s">
        <v>144</v>
      </c>
      <c r="F27928" s="2" t="str">
        <f>HYPERLINK("http://www.otzar.org/book.asp?160385","נימוקי יעקב")</f>
        <v>נימוקי יעקב</v>
      </c>
    </row>
    <row r="27929" spans="1:6" x14ac:dyDescent="0.2">
      <c r="A27929" t="s">
        <v>44249</v>
      </c>
      <c r="B27929" t="s">
        <v>13478</v>
      </c>
      <c r="C27929" t="s">
        <v>13</v>
      </c>
      <c r="D27929" t="s">
        <v>486</v>
      </c>
      <c r="E27929" t="s">
        <v>172</v>
      </c>
      <c r="F27929" s="2" t="str">
        <f>HYPERLINK("http://www.otzar.org/book.asp?61426","נימוקי לוי - א")</f>
        <v>נימוקי לוי - א</v>
      </c>
    </row>
    <row r="27930" spans="1:6" x14ac:dyDescent="0.2">
      <c r="A27930" t="s">
        <v>44250</v>
      </c>
      <c r="B27930" t="s">
        <v>44251</v>
      </c>
      <c r="C27930" t="s">
        <v>919</v>
      </c>
      <c r="D27930" t="s">
        <v>14</v>
      </c>
      <c r="E27930" t="s">
        <v>144</v>
      </c>
      <c r="F27930" s="2" t="str">
        <f>HYPERLINK("http://www.otzar.org/book.asp?200269","נימוקי מלב""ם - 2 כר'")</f>
        <v>נימוקי מלב"ם - 2 כר'</v>
      </c>
    </row>
    <row r="27931" spans="1:6" x14ac:dyDescent="0.2">
      <c r="A27931" t="s">
        <v>44252</v>
      </c>
      <c r="B27931" t="s">
        <v>10517</v>
      </c>
      <c r="C27931" t="s">
        <v>2644</v>
      </c>
      <c r="D27931" t="s">
        <v>2293</v>
      </c>
      <c r="E27931" t="s">
        <v>158</v>
      </c>
      <c r="F27931" s="2" t="str">
        <f>HYPERLINK("http://www.otzar.org/book.asp?102060","נימוקי רידב""ז")</f>
        <v>נימוקי רידב"ז</v>
      </c>
    </row>
    <row r="27932" spans="1:6" x14ac:dyDescent="0.2">
      <c r="A27932" t="s">
        <v>44253</v>
      </c>
      <c r="B27932" t="s">
        <v>16383</v>
      </c>
      <c r="C27932" t="s">
        <v>114</v>
      </c>
      <c r="D27932" t="s">
        <v>14</v>
      </c>
      <c r="E27932" t="s">
        <v>2758</v>
      </c>
      <c r="F27932" s="2" t="str">
        <f>HYPERLINK("http://www.otzar.org/book.asp?180277","נימוקי רמח""ל על עניני ר""ה ויוה""כ")</f>
        <v>נימוקי רמח"ל על עניני ר"ה ויוה"כ</v>
      </c>
    </row>
    <row r="27933" spans="1:6" x14ac:dyDescent="0.2">
      <c r="A27933" t="s">
        <v>44254</v>
      </c>
      <c r="B27933" t="s">
        <v>2396</v>
      </c>
      <c r="C27933" t="s">
        <v>20</v>
      </c>
      <c r="D27933" t="s">
        <v>1076</v>
      </c>
      <c r="E27933" t="s">
        <v>158</v>
      </c>
      <c r="F27933" s="2" t="str">
        <f>HYPERLINK("http://www.otzar.org/book.asp?165270","ניצוצות בפסוקים שבתורה")</f>
        <v>ניצוצות בפסוקים שבתורה</v>
      </c>
    </row>
    <row r="27934" spans="1:6" x14ac:dyDescent="0.2">
      <c r="A27934" t="s">
        <v>44255</v>
      </c>
      <c r="B27934" t="s">
        <v>44256</v>
      </c>
      <c r="E27934" t="s">
        <v>119</v>
      </c>
      <c r="F27934" s="2" t="str">
        <f>HYPERLINK("http://www.otzar.org/book.asp?621094","ניצוצות האור והתקוה")</f>
        <v>ניצוצות האור והתקוה</v>
      </c>
    </row>
    <row r="27935" spans="1:6" x14ac:dyDescent="0.2">
      <c r="A27935" t="s">
        <v>44257</v>
      </c>
      <c r="B27935" t="s">
        <v>44258</v>
      </c>
      <c r="C27935" t="s">
        <v>23</v>
      </c>
      <c r="D27935" t="s">
        <v>2909</v>
      </c>
      <c r="F27935" s="2" t="str">
        <f>HYPERLINK("http://www.otzar.org/book.asp?612029","ניצוצות מעולם האצילות - א")</f>
        <v>ניצוצות מעולם האצילות - א</v>
      </c>
    </row>
    <row r="27936" spans="1:6" x14ac:dyDescent="0.2">
      <c r="A27936" t="s">
        <v>44259</v>
      </c>
      <c r="B27936" t="s">
        <v>1393</v>
      </c>
      <c r="C27936" t="s">
        <v>411</v>
      </c>
      <c r="D27936" t="s">
        <v>27</v>
      </c>
      <c r="F27936" s="2" t="str">
        <f>HYPERLINK("http://www.otzar.org/book.asp?613384","ניצוצי אגרות")</f>
        <v>ניצוצי אגרות</v>
      </c>
    </row>
    <row r="27937" spans="1:6" x14ac:dyDescent="0.2">
      <c r="A27937" t="s">
        <v>44260</v>
      </c>
      <c r="B27937" t="s">
        <v>27094</v>
      </c>
      <c r="C27937" t="s">
        <v>23</v>
      </c>
      <c r="D27937" t="s">
        <v>52</v>
      </c>
      <c r="E27937" t="s">
        <v>104</v>
      </c>
      <c r="F27937" s="2" t="str">
        <f>HYPERLINK("http://www.otzar.org/book.asp?623844","ניצוצי אור החיים הקדוש")</f>
        <v>ניצוצי אור החיים הקדוש</v>
      </c>
    </row>
    <row r="27938" spans="1:6" x14ac:dyDescent="0.2">
      <c r="A27938" t="s">
        <v>44261</v>
      </c>
      <c r="B27938" t="s">
        <v>1340</v>
      </c>
      <c r="C27938" t="s">
        <v>422</v>
      </c>
      <c r="D27938" t="s">
        <v>52</v>
      </c>
      <c r="E27938" t="s">
        <v>144</v>
      </c>
      <c r="F27938" s="2" t="str">
        <f>HYPERLINK("http://www.otzar.org/book.asp?157794","ניצוצי אור החיים - ב""ק, ב""מ, ב""ב")</f>
        <v>ניצוצי אור החיים - ב"ק, ב"מ, ב"ב</v>
      </c>
    </row>
    <row r="27939" spans="1:6" x14ac:dyDescent="0.2">
      <c r="A27939" t="s">
        <v>44262</v>
      </c>
      <c r="B27939" t="s">
        <v>44263</v>
      </c>
      <c r="C27939" t="s">
        <v>1570</v>
      </c>
      <c r="D27939" t="s">
        <v>52</v>
      </c>
      <c r="E27939" t="s">
        <v>1185</v>
      </c>
      <c r="F27939" s="2" t="str">
        <f>HYPERLINK("http://www.otzar.org/book.asp?615827","ניצוצי אור המאיר")</f>
        <v>ניצוצי אור המאיר</v>
      </c>
    </row>
    <row r="27940" spans="1:6" x14ac:dyDescent="0.2">
      <c r="A27940" t="s">
        <v>44264</v>
      </c>
      <c r="B27940" t="s">
        <v>44265</v>
      </c>
      <c r="C27940" t="s">
        <v>422</v>
      </c>
      <c r="D27940" t="s">
        <v>52</v>
      </c>
      <c r="E27940" t="s">
        <v>158</v>
      </c>
      <c r="F27940" s="2" t="str">
        <f>HYPERLINK("http://www.otzar.org/book.asp?156414","ניצוצי אור")</f>
        <v>ניצוצי אור</v>
      </c>
    </row>
    <row r="27941" spans="1:6" x14ac:dyDescent="0.2">
      <c r="A27941" t="s">
        <v>44266</v>
      </c>
      <c r="B27941" t="s">
        <v>44267</v>
      </c>
      <c r="C27941" t="s">
        <v>129</v>
      </c>
      <c r="D27941" t="s">
        <v>52</v>
      </c>
      <c r="E27941" t="s">
        <v>246</v>
      </c>
      <c r="F27941" s="2" t="str">
        <f>HYPERLINK("http://www.otzar.org/book.asp?160335","ניצוצי אור - 2 כר'")</f>
        <v>ניצוצי אור - 2 כר'</v>
      </c>
    </row>
    <row r="27942" spans="1:6" x14ac:dyDescent="0.2">
      <c r="A27942" t="s">
        <v>44264</v>
      </c>
      <c r="B27942" t="s">
        <v>7589</v>
      </c>
      <c r="C27942" t="s">
        <v>224</v>
      </c>
      <c r="D27942" t="s">
        <v>27</v>
      </c>
      <c r="E27942" t="s">
        <v>4333</v>
      </c>
      <c r="F27942" s="2" t="str">
        <f>HYPERLINK("http://www.otzar.org/book.asp?11701","ניצוצי אור")</f>
        <v>ניצוצי אור</v>
      </c>
    </row>
    <row r="27943" spans="1:6" x14ac:dyDescent="0.2">
      <c r="A27943" t="s">
        <v>44268</v>
      </c>
      <c r="B27943" t="s">
        <v>44269</v>
      </c>
      <c r="C27943" t="s">
        <v>334</v>
      </c>
      <c r="D27943" t="s">
        <v>2458</v>
      </c>
      <c r="E27943" t="s">
        <v>241</v>
      </c>
      <c r="F27943" s="2" t="str">
        <f>HYPERLINK("http://www.otzar.org/book.asp?153059","ניצוצי אורות - ב (ניצוצי התחיה)")</f>
        <v>ניצוצי אורות - ב (ניצוצי התחיה)</v>
      </c>
    </row>
    <row r="27944" spans="1:6" x14ac:dyDescent="0.2">
      <c r="A27944" t="s">
        <v>44270</v>
      </c>
      <c r="B27944" t="s">
        <v>44271</v>
      </c>
      <c r="C27944" t="s">
        <v>133</v>
      </c>
      <c r="D27944" t="s">
        <v>2468</v>
      </c>
      <c r="E27944" t="s">
        <v>44272</v>
      </c>
      <c r="F27944" s="2" t="str">
        <f>HYPERLINK("http://www.otzar.org/book.asp?171389","ניצוצי אש פנחס")</f>
        <v>ניצוצי אש פנחס</v>
      </c>
    </row>
    <row r="27945" spans="1:6" x14ac:dyDescent="0.2">
      <c r="A27945" t="s">
        <v>44273</v>
      </c>
      <c r="B27945" t="s">
        <v>44274</v>
      </c>
      <c r="C27945" t="s">
        <v>767</v>
      </c>
      <c r="D27945" t="s">
        <v>52</v>
      </c>
      <c r="E27945" t="s">
        <v>119</v>
      </c>
      <c r="F27945" s="2" t="str">
        <f>HYPERLINK("http://www.otzar.org/book.asp?153639","ניצוצי אש")</f>
        <v>ניצוצי אש</v>
      </c>
    </row>
    <row r="27946" spans="1:6" x14ac:dyDescent="0.2">
      <c r="A27946" t="s">
        <v>44273</v>
      </c>
      <c r="B27946" t="s">
        <v>552</v>
      </c>
      <c r="C27946" t="s">
        <v>103</v>
      </c>
      <c r="D27946" t="s">
        <v>14</v>
      </c>
      <c r="E27946" t="s">
        <v>202</v>
      </c>
      <c r="F27946" s="2" t="str">
        <f>HYPERLINK("http://www.otzar.org/book.asp?60775","ניצוצי אש")</f>
        <v>ניצוצי אש</v>
      </c>
    </row>
    <row r="27947" spans="1:6" x14ac:dyDescent="0.2">
      <c r="A27947" t="s">
        <v>44275</v>
      </c>
      <c r="B27947" t="s">
        <v>5574</v>
      </c>
      <c r="C27947" t="s">
        <v>1062</v>
      </c>
      <c r="D27947" t="s">
        <v>260</v>
      </c>
      <c r="E27947" t="s">
        <v>104</v>
      </c>
      <c r="F27947" s="2" t="str">
        <f>HYPERLINK("http://www.otzar.org/book.asp?172931","ניצוצי גבורה")</f>
        <v>ניצוצי גבורה</v>
      </c>
    </row>
    <row r="27948" spans="1:6" x14ac:dyDescent="0.2">
      <c r="A27948" t="s">
        <v>44276</v>
      </c>
      <c r="B27948" t="s">
        <v>27009</v>
      </c>
      <c r="C27948" t="s">
        <v>466</v>
      </c>
      <c r="D27948" t="s">
        <v>52</v>
      </c>
      <c r="E27948" t="s">
        <v>213</v>
      </c>
      <c r="F27948" s="2" t="str">
        <f>HYPERLINK("http://www.otzar.org/book.asp?608554","ניצוצי החסד לאברהם - ב")</f>
        <v>ניצוצי החסד לאברהם - ב</v>
      </c>
    </row>
    <row r="27949" spans="1:6" x14ac:dyDescent="0.2">
      <c r="A27949" t="s">
        <v>44277</v>
      </c>
      <c r="B27949" t="s">
        <v>3520</v>
      </c>
      <c r="C27949" t="s">
        <v>37</v>
      </c>
      <c r="D27949" t="s">
        <v>14</v>
      </c>
      <c r="E27949" t="s">
        <v>158</v>
      </c>
      <c r="F27949" s="2" t="str">
        <f>HYPERLINK("http://www.otzar.org/book.asp?197659","ניצוצי התורה - 5 כר'")</f>
        <v>ניצוצי התורה - 5 כר'</v>
      </c>
    </row>
    <row r="27950" spans="1:6" x14ac:dyDescent="0.2">
      <c r="A27950" t="s">
        <v>44278</v>
      </c>
      <c r="B27950" t="s">
        <v>44279</v>
      </c>
      <c r="C27950" t="s">
        <v>419</v>
      </c>
      <c r="D27950" t="s">
        <v>412</v>
      </c>
      <c r="E27950" t="s">
        <v>741</v>
      </c>
      <c r="F27950" s="2" t="str">
        <f>HYPERLINK("http://www.otzar.org/book.asp?605544","ניצוצי התפארת שלמה - 2 כר'")</f>
        <v>ניצוצי התפארת שלמה - 2 כר'</v>
      </c>
    </row>
    <row r="27951" spans="1:6" x14ac:dyDescent="0.2">
      <c r="A27951" t="s">
        <v>44280</v>
      </c>
      <c r="B27951" t="s">
        <v>44281</v>
      </c>
      <c r="C27951" t="s">
        <v>466</v>
      </c>
      <c r="D27951" t="s">
        <v>52</v>
      </c>
      <c r="E27951" t="s">
        <v>5392</v>
      </c>
      <c r="F27951" s="2" t="str">
        <f>HYPERLINK("http://www.otzar.org/book.asp?604075","ניצוצי חמה")</f>
        <v>ניצוצי חמה</v>
      </c>
    </row>
    <row r="27952" spans="1:6" x14ac:dyDescent="0.2">
      <c r="A27952" t="s">
        <v>44282</v>
      </c>
      <c r="B27952" t="s">
        <v>1417</v>
      </c>
      <c r="C27952" t="s">
        <v>366</v>
      </c>
      <c r="D27952" t="s">
        <v>14</v>
      </c>
      <c r="E27952" t="s">
        <v>399</v>
      </c>
      <c r="F27952" s="2" t="str">
        <f>HYPERLINK("http://www.otzar.org/book.asp?619611","ניצוצי יעב""ץ -דקדוקי יעב""ץ - נסתרות יעב""ץ")</f>
        <v>ניצוצי יעב"ץ -דקדוקי יעב"ץ - נסתרות יעב"ץ</v>
      </c>
    </row>
    <row r="27953" spans="1:6" x14ac:dyDescent="0.2">
      <c r="A27953" t="s">
        <v>44283</v>
      </c>
      <c r="B27953" t="s">
        <v>23233</v>
      </c>
      <c r="C27953" t="s">
        <v>1166</v>
      </c>
      <c r="D27953" t="s">
        <v>225</v>
      </c>
      <c r="F27953" s="2" t="str">
        <f>HYPERLINK("http://www.otzar.org/book.asp?178962","ניצוצי ישראל")</f>
        <v>ניצוצי ישראל</v>
      </c>
    </row>
    <row r="27954" spans="1:6" x14ac:dyDescent="0.2">
      <c r="A27954" t="s">
        <v>44284</v>
      </c>
      <c r="B27954" t="s">
        <v>552</v>
      </c>
      <c r="C27954" t="s">
        <v>244</v>
      </c>
      <c r="D27954" t="s">
        <v>412</v>
      </c>
      <c r="E27954" t="s">
        <v>202</v>
      </c>
      <c r="F27954" s="2" t="str">
        <f>HYPERLINK("http://www.otzar.org/book.asp?604552","ניצוצי צבי מאיר")</f>
        <v>ניצוצי צבי מאיר</v>
      </c>
    </row>
    <row r="27955" spans="1:6" x14ac:dyDescent="0.2">
      <c r="A27955" t="s">
        <v>44285</v>
      </c>
      <c r="B27955" t="s">
        <v>44286</v>
      </c>
      <c r="C27955" t="s">
        <v>114</v>
      </c>
      <c r="D27955" t="s">
        <v>14</v>
      </c>
      <c r="E27955" t="s">
        <v>202</v>
      </c>
      <c r="F27955" s="2" t="str">
        <f>HYPERLINK("http://www.otzar.org/book.asp?167771","ניצוצי ציון")</f>
        <v>ניצוצי ציון</v>
      </c>
    </row>
    <row r="27956" spans="1:6" x14ac:dyDescent="0.2">
      <c r="A27956" t="s">
        <v>44287</v>
      </c>
      <c r="B27956" t="s">
        <v>44288</v>
      </c>
      <c r="C27956" t="s">
        <v>71</v>
      </c>
      <c r="D27956" t="s">
        <v>14</v>
      </c>
      <c r="E27956" t="s">
        <v>158</v>
      </c>
      <c r="F27956" s="2" t="str">
        <f>HYPERLINK("http://www.otzar.org/book.asp?619501","ניצוצי רש""י - 2 כר'")</f>
        <v>ניצוצי רש"י - 2 כר'</v>
      </c>
    </row>
    <row r="27957" spans="1:6" x14ac:dyDescent="0.2">
      <c r="A27957" t="s">
        <v>44289</v>
      </c>
      <c r="B27957" t="s">
        <v>44290</v>
      </c>
      <c r="C27957" t="s">
        <v>133</v>
      </c>
      <c r="D27957" t="s">
        <v>21</v>
      </c>
      <c r="F27957" s="2" t="str">
        <f>HYPERLINK("http://www.otzar.org/book.asp?199373","ניצוצי שמשון &lt;מהדורה חדשה&gt;")</f>
        <v>ניצוצי שמשון &lt;מהדורה חדשה&gt;</v>
      </c>
    </row>
    <row r="27958" spans="1:6" x14ac:dyDescent="0.2">
      <c r="A27958" t="s">
        <v>44291</v>
      </c>
      <c r="B27958" t="s">
        <v>33137</v>
      </c>
      <c r="C27958" t="s">
        <v>1268</v>
      </c>
      <c r="D27958" t="s">
        <v>52</v>
      </c>
      <c r="E27958" t="s">
        <v>44292</v>
      </c>
      <c r="F27958" s="2" t="str">
        <f>HYPERLINK("http://www.otzar.org/book.asp?180096","ניצוצי שמשון &lt;מהדורה ישנה&gt;")</f>
        <v>ניצוצי שמשון &lt;מהדורה ישנה&gt;</v>
      </c>
    </row>
    <row r="27959" spans="1:6" x14ac:dyDescent="0.2">
      <c r="A27959" t="s">
        <v>44293</v>
      </c>
      <c r="B27959" t="s">
        <v>2396</v>
      </c>
      <c r="C27959" t="s">
        <v>20</v>
      </c>
      <c r="D27959" t="s">
        <v>1076</v>
      </c>
      <c r="E27959" t="s">
        <v>158</v>
      </c>
      <c r="F27959" s="2" t="str">
        <f>HYPERLINK("http://www.otzar.org/book.asp?85104","ניצוצין בפסוקי התורה")</f>
        <v>ניצוצין בפסוקי התורה</v>
      </c>
    </row>
    <row r="27960" spans="1:6" x14ac:dyDescent="0.2">
      <c r="A27960" t="s">
        <v>44294</v>
      </c>
      <c r="B27960" t="s">
        <v>2396</v>
      </c>
      <c r="C27960" t="s">
        <v>20</v>
      </c>
      <c r="D27960" t="s">
        <v>1076</v>
      </c>
      <c r="F27960" s="2" t="str">
        <f>HYPERLINK("http://www.otzar.org/book.asp?197552","ניצוצין בפסוקים שבתורה")</f>
        <v>ניצוצין בפסוקים שבתורה</v>
      </c>
    </row>
    <row r="27961" spans="1:6" x14ac:dyDescent="0.2">
      <c r="A27961" t="s">
        <v>44295</v>
      </c>
      <c r="B27961" t="s">
        <v>12463</v>
      </c>
      <c r="C27961" t="s">
        <v>13</v>
      </c>
      <c r="D27961" t="s">
        <v>412</v>
      </c>
      <c r="E27961" t="s">
        <v>104</v>
      </c>
      <c r="F27961" s="2" t="str">
        <f>HYPERLINK("http://www.otzar.org/book.asp?161123","ניצוצין מאירין")</f>
        <v>ניצוצין מאירין</v>
      </c>
    </row>
    <row r="27962" spans="1:6" x14ac:dyDescent="0.2">
      <c r="A27962" t="s">
        <v>44296</v>
      </c>
      <c r="B27962" t="s">
        <v>44297</v>
      </c>
      <c r="C27962" t="s">
        <v>114</v>
      </c>
      <c r="D27962" t="s">
        <v>14</v>
      </c>
      <c r="E27962" t="s">
        <v>9356</v>
      </c>
      <c r="F27962" s="2" t="str">
        <f>HYPERLINK("http://www.otzar.org/book.asp?166166","ניצני ארץ - 2 כר'")</f>
        <v>ניצני ארץ - 2 כר'</v>
      </c>
    </row>
    <row r="27963" spans="1:6" x14ac:dyDescent="0.2">
      <c r="A27963" t="s">
        <v>44298</v>
      </c>
      <c r="B27963" t="s">
        <v>11528</v>
      </c>
      <c r="C27963" t="s">
        <v>133</v>
      </c>
      <c r="D27963" t="s">
        <v>14</v>
      </c>
      <c r="E27963" t="s">
        <v>202</v>
      </c>
      <c r="F27963" s="2" t="str">
        <f>HYPERLINK("http://www.otzar.org/book.asp?176025","ניצני ארץ - יח")</f>
        <v>ניצני ארץ - יח</v>
      </c>
    </row>
    <row r="27964" spans="1:6" x14ac:dyDescent="0.2">
      <c r="A27964" t="s">
        <v>44299</v>
      </c>
      <c r="B27964" t="s">
        <v>44300</v>
      </c>
      <c r="C27964" t="s">
        <v>168</v>
      </c>
      <c r="D27964" t="s">
        <v>14</v>
      </c>
      <c r="E27964" t="s">
        <v>202</v>
      </c>
      <c r="F27964" s="2" t="str">
        <f>HYPERLINK("http://www.otzar.org/book.asp?603058","ניצני ארץ - 5 כר'")</f>
        <v>ניצני ארץ - 5 כר'</v>
      </c>
    </row>
    <row r="27965" spans="1:6" x14ac:dyDescent="0.2">
      <c r="A27965" t="s">
        <v>44301</v>
      </c>
      <c r="B27965" t="s">
        <v>44302</v>
      </c>
      <c r="C27965" t="s">
        <v>585</v>
      </c>
      <c r="D27965" t="s">
        <v>2798</v>
      </c>
      <c r="E27965" t="s">
        <v>202</v>
      </c>
      <c r="F27965" s="2" t="str">
        <f>HYPERLINK("http://www.otzar.org/book.asp?160903","ניצני הנגב - 5")</f>
        <v>ניצני הנגב - 5</v>
      </c>
    </row>
    <row r="27966" spans="1:6" x14ac:dyDescent="0.2">
      <c r="A27966" t="s">
        <v>44303</v>
      </c>
      <c r="B27966" t="s">
        <v>44304</v>
      </c>
      <c r="C27966" t="s">
        <v>533</v>
      </c>
      <c r="D27966" t="s">
        <v>52</v>
      </c>
      <c r="E27966" t="s">
        <v>158</v>
      </c>
      <c r="F27966" s="2" t="str">
        <f>HYPERLINK("http://www.otzar.org/book.asp?166133","ניצני ניסן")</f>
        <v>ניצני ניסן</v>
      </c>
    </row>
    <row r="27967" spans="1:6" x14ac:dyDescent="0.2">
      <c r="A27967" t="s">
        <v>44303</v>
      </c>
      <c r="B27967" t="s">
        <v>44305</v>
      </c>
      <c r="C27967" t="s">
        <v>26</v>
      </c>
      <c r="D27967" t="s">
        <v>2458</v>
      </c>
      <c r="E27967" t="s">
        <v>15</v>
      </c>
      <c r="F27967" s="2" t="str">
        <f>HYPERLINK("http://www.otzar.org/book.asp?154140","ניצני ניסן")</f>
        <v>ניצני ניסן</v>
      </c>
    </row>
    <row r="27968" spans="1:6" x14ac:dyDescent="0.2">
      <c r="A27968" t="s">
        <v>44306</v>
      </c>
      <c r="B27968" t="s">
        <v>44307</v>
      </c>
      <c r="C27968">
        <v>1996</v>
      </c>
      <c r="D27968" t="s">
        <v>14</v>
      </c>
      <c r="E27968" t="s">
        <v>104</v>
      </c>
      <c r="F27968" s="2" t="str">
        <f>HYPERLINK("http://www.otzar.org/book.asp?625844","ניצני עוז בימי עברה")</f>
        <v>ניצני עוז בימי עברה</v>
      </c>
    </row>
    <row r="27969" spans="1:6" x14ac:dyDescent="0.2">
      <c r="A27969" t="s">
        <v>44308</v>
      </c>
      <c r="B27969" t="s">
        <v>2396</v>
      </c>
      <c r="C27969" t="s">
        <v>129</v>
      </c>
      <c r="D27969" t="s">
        <v>1076</v>
      </c>
      <c r="E27969" t="s">
        <v>144</v>
      </c>
      <c r="F27969" s="2" t="str">
        <f>HYPERLINK("http://www.otzar.org/book.asp?165239","ניצני תורה")</f>
        <v>ניצני תורה</v>
      </c>
    </row>
    <row r="27970" spans="1:6" x14ac:dyDescent="0.2">
      <c r="A27970" t="s">
        <v>44309</v>
      </c>
      <c r="B27970" t="s">
        <v>4837</v>
      </c>
      <c r="C27970" t="s">
        <v>585</v>
      </c>
      <c r="D27970" t="s">
        <v>21</v>
      </c>
      <c r="E27970" t="s">
        <v>104</v>
      </c>
      <c r="F27970" s="2" t="str">
        <f>HYPERLINK("http://www.otzar.org/book.asp?603216","ניקוד ומשמעותו במקרא - א שורוק חולם")</f>
        <v>ניקוד ומשמעותו במקרא - א שורוק חולם</v>
      </c>
    </row>
    <row r="27971" spans="1:6" x14ac:dyDescent="0.2">
      <c r="A27971" t="s">
        <v>44310</v>
      </c>
      <c r="B27971" t="s">
        <v>41398</v>
      </c>
      <c r="C27971" t="s">
        <v>20</v>
      </c>
      <c r="D27971" t="s">
        <v>216</v>
      </c>
      <c r="E27971" t="s">
        <v>15</v>
      </c>
      <c r="F27971" s="2" t="str">
        <f>HYPERLINK("http://www.otzar.org/book.asp?63678","ניקור המעשי בתמונות")</f>
        <v>ניקור המעשי בתמונות</v>
      </c>
    </row>
    <row r="27972" spans="1:6" x14ac:dyDescent="0.2">
      <c r="A27972" t="s">
        <v>44311</v>
      </c>
      <c r="B27972" t="s">
        <v>732</v>
      </c>
      <c r="C27972" t="s">
        <v>8</v>
      </c>
      <c r="D27972" t="s">
        <v>592</v>
      </c>
      <c r="F27972" s="2" t="str">
        <f>HYPERLINK("http://www.otzar.org/book.asp?617060","ניר לבית הלוי")</f>
        <v>ניר לבית הלוי</v>
      </c>
    </row>
    <row r="27973" spans="1:6" x14ac:dyDescent="0.2">
      <c r="A27973" t="s">
        <v>44312</v>
      </c>
      <c r="B27973" t="s">
        <v>44313</v>
      </c>
      <c r="C27973" t="s">
        <v>946</v>
      </c>
      <c r="D27973" t="s">
        <v>307</v>
      </c>
      <c r="E27973" t="s">
        <v>733</v>
      </c>
      <c r="F27973" s="2" t="str">
        <f>HYPERLINK("http://www.otzar.org/book.asp?188570","ניר לדוד ולזרעו")</f>
        <v>ניר לדוד ולזרעו</v>
      </c>
    </row>
    <row r="27974" spans="1:6" x14ac:dyDescent="0.2">
      <c r="A27974" t="s">
        <v>44314</v>
      </c>
      <c r="B27974" t="s">
        <v>9698</v>
      </c>
      <c r="C27974" t="s">
        <v>146</v>
      </c>
      <c r="D27974" t="s">
        <v>21</v>
      </c>
      <c r="F27974" s="2" t="str">
        <f>HYPERLINK("http://www.otzar.org/book.asp?199593","ניר לדוד")</f>
        <v>ניר לדוד</v>
      </c>
    </row>
    <row r="27975" spans="1:6" x14ac:dyDescent="0.2">
      <c r="A27975" t="s">
        <v>44314</v>
      </c>
      <c r="B27975" t="s">
        <v>44315</v>
      </c>
      <c r="C27975" t="s">
        <v>360</v>
      </c>
      <c r="D27975" t="s">
        <v>27</v>
      </c>
      <c r="E27975" t="s">
        <v>154</v>
      </c>
      <c r="F27975" s="2" t="str">
        <f>HYPERLINK("http://www.otzar.org/book.asp?866","ניר לדוד")</f>
        <v>ניר לדוד</v>
      </c>
    </row>
    <row r="27976" spans="1:6" x14ac:dyDescent="0.2">
      <c r="A27976" t="s">
        <v>44316</v>
      </c>
      <c r="B27976" t="s">
        <v>44317</v>
      </c>
      <c r="C27976" t="s">
        <v>1640</v>
      </c>
      <c r="D27976" t="s">
        <v>14</v>
      </c>
      <c r="E27976" t="s">
        <v>15</v>
      </c>
      <c r="F27976" s="2" t="str">
        <f>HYPERLINK("http://www.otzar.org/book.asp?200268","ניר לדוד - 2 כר'")</f>
        <v>ניר לדוד - 2 כר'</v>
      </c>
    </row>
    <row r="27977" spans="1:6" x14ac:dyDescent="0.2">
      <c r="A27977" t="s">
        <v>44318</v>
      </c>
      <c r="B27977" t="s">
        <v>257</v>
      </c>
      <c r="C27977" t="s">
        <v>313</v>
      </c>
      <c r="D27977" t="s">
        <v>486</v>
      </c>
      <c r="E27977" t="s">
        <v>2840</v>
      </c>
      <c r="F27977" s="2" t="str">
        <f>HYPERLINK("http://www.otzar.org/book.asp?53635","נישואין כהלכה")</f>
        <v>נישואין כהלכה</v>
      </c>
    </row>
    <row r="27978" spans="1:6" x14ac:dyDescent="0.2">
      <c r="A27978" t="s">
        <v>44319</v>
      </c>
      <c r="B27978" t="s">
        <v>44320</v>
      </c>
      <c r="C27978" t="s">
        <v>20</v>
      </c>
      <c r="D27978" t="s">
        <v>52</v>
      </c>
      <c r="F27978" s="2" t="str">
        <f>HYPERLINK("http://www.otzar.org/book.asp?614401","נישואין משלחן גבוה")</f>
        <v>נישואין משלחן גבוה</v>
      </c>
    </row>
    <row r="27979" spans="1:6" x14ac:dyDescent="0.2">
      <c r="A27979" t="s">
        <v>44321</v>
      </c>
      <c r="B27979" t="s">
        <v>44322</v>
      </c>
      <c r="C27979" t="s">
        <v>103</v>
      </c>
      <c r="D27979" t="s">
        <v>14</v>
      </c>
      <c r="F27979" s="2" t="str">
        <f>HYPERLINK("http://www.otzar.org/book.asp?615502","נכבדי נעם - 3 כר'")</f>
        <v>נכבדי נעם - 3 כר'</v>
      </c>
    </row>
    <row r="27980" spans="1:6" x14ac:dyDescent="0.2">
      <c r="A27980" t="s">
        <v>44323</v>
      </c>
      <c r="B27980" t="s">
        <v>686</v>
      </c>
      <c r="C27980" t="s">
        <v>422</v>
      </c>
      <c r="D27980" t="s">
        <v>52</v>
      </c>
      <c r="E27980" t="s">
        <v>165</v>
      </c>
      <c r="F27980" s="2" t="str">
        <f>HYPERLINK("http://www.otzar.org/book.asp?63336","נכון כסאך")</f>
        <v>נכון כסאך</v>
      </c>
    </row>
    <row r="27981" spans="1:6" x14ac:dyDescent="0.2">
      <c r="A27981" t="s">
        <v>44324</v>
      </c>
      <c r="B27981" t="s">
        <v>3623</v>
      </c>
      <c r="C27981" t="s">
        <v>146</v>
      </c>
      <c r="D27981" t="s">
        <v>6138</v>
      </c>
      <c r="E27981" t="s">
        <v>84</v>
      </c>
      <c r="F27981" s="2" t="str">
        <f>HYPERLINK("http://www.otzar.org/book.asp?617908","נכון להיום &lt;מסכת אבות&gt; - 2 כר'")</f>
        <v>נכון להיום &lt;מסכת אבות&gt; - 2 כר'</v>
      </c>
    </row>
    <row r="27982" spans="1:6" x14ac:dyDescent="0.2">
      <c r="A27982" t="s">
        <v>44325</v>
      </c>
      <c r="B27982" t="s">
        <v>3623</v>
      </c>
      <c r="C27982" t="s">
        <v>189</v>
      </c>
      <c r="D27982" t="s">
        <v>6138</v>
      </c>
      <c r="E27982" t="s">
        <v>158</v>
      </c>
      <c r="F27982" s="2" t="str">
        <f>HYPERLINK("http://www.otzar.org/book.asp?148376","נכון להיום - ויקרא, במדבר, דברים")</f>
        <v>נכון להיום - ויקרא, במדבר, דברים</v>
      </c>
    </row>
    <row r="27983" spans="1:6" x14ac:dyDescent="0.2">
      <c r="A27983" t="s">
        <v>44326</v>
      </c>
      <c r="B27983" t="s">
        <v>10936</v>
      </c>
      <c r="C27983" t="s">
        <v>17</v>
      </c>
      <c r="D27983" t="s">
        <v>14</v>
      </c>
      <c r="E27983" t="s">
        <v>172</v>
      </c>
      <c r="F27983" s="2" t="str">
        <f>HYPERLINK("http://www.otzar.org/book.asp?152016","נכח השלחן &lt;מכון הכתב&gt;")</f>
        <v>נכח השלחן &lt;מכון הכתב&gt;</v>
      </c>
    </row>
    <row r="27984" spans="1:6" x14ac:dyDescent="0.2">
      <c r="A27984" t="s">
        <v>44327</v>
      </c>
      <c r="B27984" t="s">
        <v>4785</v>
      </c>
      <c r="C27984" t="s">
        <v>111</v>
      </c>
      <c r="D27984" t="s">
        <v>52</v>
      </c>
      <c r="F27984" s="2" t="str">
        <f>HYPERLINK("http://www.otzar.org/book.asp?632024","נכח השלחן")</f>
        <v>נכח השלחן</v>
      </c>
    </row>
    <row r="27985" spans="1:6" x14ac:dyDescent="0.2">
      <c r="A27985" t="s">
        <v>44328</v>
      </c>
      <c r="B27985" t="s">
        <v>10936</v>
      </c>
      <c r="C27985" t="s">
        <v>1418</v>
      </c>
      <c r="D27985" t="s">
        <v>157</v>
      </c>
      <c r="E27985" t="s">
        <v>172</v>
      </c>
      <c r="F27985" s="2" t="str">
        <f>HYPERLINK("http://www.otzar.org/book.asp?101531","נכח השלחן - 2 כר'")</f>
        <v>נכח השלחן - 2 כר'</v>
      </c>
    </row>
    <row r="27986" spans="1:6" x14ac:dyDescent="0.2">
      <c r="A27986" t="s">
        <v>44327</v>
      </c>
      <c r="B27986" t="s">
        <v>44329</v>
      </c>
      <c r="C27986" t="s">
        <v>13</v>
      </c>
      <c r="D27986" t="s">
        <v>14</v>
      </c>
      <c r="E27986" t="s">
        <v>172</v>
      </c>
      <c r="F27986" s="2" t="str">
        <f>HYPERLINK("http://www.otzar.org/book.asp?148939","נכח השלחן")</f>
        <v>נכח השלחן</v>
      </c>
    </row>
    <row r="27987" spans="1:6" x14ac:dyDescent="0.2">
      <c r="A27987" t="s">
        <v>44330</v>
      </c>
      <c r="B27987" t="s">
        <v>5790</v>
      </c>
      <c r="C27987" t="s">
        <v>20</v>
      </c>
      <c r="D27987" t="s">
        <v>90</v>
      </c>
      <c r="E27987" t="s">
        <v>674</v>
      </c>
      <c r="F27987" s="2" t="str">
        <f>HYPERLINK("http://www.otzar.org/book.asp?606245","נכנס יין יצא סוד")</f>
        <v>נכנס יין יצא סוד</v>
      </c>
    </row>
    <row r="27988" spans="1:6" x14ac:dyDescent="0.2">
      <c r="A27988" t="s">
        <v>44331</v>
      </c>
      <c r="B27988" t="s">
        <v>44332</v>
      </c>
      <c r="C27988" t="s">
        <v>558</v>
      </c>
      <c r="D27988" t="s">
        <v>1490</v>
      </c>
      <c r="E27988" t="s">
        <v>219</v>
      </c>
      <c r="F27988" s="2" t="str">
        <f>HYPERLINK("http://www.otzar.org/book.asp?178890","נכנס יין")</f>
        <v>נכנס יין</v>
      </c>
    </row>
    <row r="27989" spans="1:6" x14ac:dyDescent="0.2">
      <c r="A27989" t="s">
        <v>44333</v>
      </c>
      <c r="B27989" t="s">
        <v>9037</v>
      </c>
      <c r="C27989" t="s">
        <v>20</v>
      </c>
      <c r="D27989" t="s">
        <v>412</v>
      </c>
      <c r="F27989" s="2" t="str">
        <f>HYPERLINK("http://www.otzar.org/book.asp?181943","נכנס יין - מגילת המלך")</f>
        <v>נכנס יין - מגילת המלך</v>
      </c>
    </row>
    <row r="27990" spans="1:6" x14ac:dyDescent="0.2">
      <c r="A27990" t="s">
        <v>44334</v>
      </c>
      <c r="B27990" t="s">
        <v>44335</v>
      </c>
      <c r="C27990" t="s">
        <v>37</v>
      </c>
      <c r="D27990" t="s">
        <v>14</v>
      </c>
      <c r="F27990" s="2" t="str">
        <f>HYPERLINK("http://www.otzar.org/book.asp?616041","נכספה")</f>
        <v>נכספה</v>
      </c>
    </row>
    <row r="27991" spans="1:6" x14ac:dyDescent="0.2">
      <c r="A27991" t="s">
        <v>44336</v>
      </c>
      <c r="B27991" t="s">
        <v>44337</v>
      </c>
      <c r="C27991" t="s">
        <v>151</v>
      </c>
      <c r="D27991" t="s">
        <v>412</v>
      </c>
      <c r="E27991" t="s">
        <v>15</v>
      </c>
      <c r="F27991" s="2" t="str">
        <f>HYPERLINK("http://www.otzar.org/book.asp?620300","נמוקי הלכה")</f>
        <v>נמוקי הלכה</v>
      </c>
    </row>
    <row r="27992" spans="1:6" x14ac:dyDescent="0.2">
      <c r="A27992" t="s">
        <v>44338</v>
      </c>
      <c r="B27992" t="s">
        <v>44339</v>
      </c>
      <c r="C27992" t="s">
        <v>553</v>
      </c>
      <c r="D27992" t="s">
        <v>412</v>
      </c>
      <c r="E27992" t="s">
        <v>144</v>
      </c>
      <c r="F27992" s="2" t="str">
        <f>HYPERLINK("http://www.otzar.org/book.asp?61547","נמוקי יוסף &lt;מהדורת בלוי&gt; - שבת")</f>
        <v>נמוקי יוסף &lt;מהדורת בלוי&gt; - שבת</v>
      </c>
    </row>
    <row r="27993" spans="1:6" x14ac:dyDescent="0.2">
      <c r="A27993" t="s">
        <v>44340</v>
      </c>
      <c r="B27993" t="s">
        <v>44341</v>
      </c>
      <c r="C27993" t="s">
        <v>785</v>
      </c>
      <c r="D27993" t="s">
        <v>412</v>
      </c>
      <c r="E27993" t="s">
        <v>144</v>
      </c>
      <c r="F27993" s="2" t="str">
        <f>HYPERLINK("http://www.otzar.org/book.asp?62343","נמוקי יוסף &lt;מהדורת בלוי&gt; - 6 כר'")</f>
        <v>נמוקי יוסף &lt;מהדורת בלוי&gt; - 6 כר'</v>
      </c>
    </row>
    <row r="27994" spans="1:6" x14ac:dyDescent="0.2">
      <c r="A27994" t="s">
        <v>44342</v>
      </c>
      <c r="B27994" t="s">
        <v>44341</v>
      </c>
      <c r="C27994" t="s">
        <v>168</v>
      </c>
      <c r="D27994" t="s">
        <v>52</v>
      </c>
      <c r="E27994" t="s">
        <v>144</v>
      </c>
      <c r="F27994" s="2" t="str">
        <f>HYPERLINK("http://www.otzar.org/book.asp?9154","נמוקי יוסף - 7 כר'")</f>
        <v>נמוקי יוסף - 7 כר'</v>
      </c>
    </row>
    <row r="27995" spans="1:6" x14ac:dyDescent="0.2">
      <c r="A27995" t="s">
        <v>44343</v>
      </c>
      <c r="B27995" t="s">
        <v>11818</v>
      </c>
      <c r="C27995" t="s">
        <v>609</v>
      </c>
      <c r="D27995" t="s">
        <v>100</v>
      </c>
      <c r="E27995" t="s">
        <v>158</v>
      </c>
      <c r="F27995" s="2" t="str">
        <f>HYPERLINK("http://www.otzar.org/book.asp?51743","נמוקי רש""י ז""ל - 4 כר'")</f>
        <v>נמוקי רש"י ז"ל - 4 כר'</v>
      </c>
    </row>
    <row r="27996" spans="1:6" x14ac:dyDescent="0.2">
      <c r="A27996" t="s">
        <v>44344</v>
      </c>
      <c r="B27996" t="s">
        <v>18337</v>
      </c>
      <c r="C27996" t="s">
        <v>37901</v>
      </c>
      <c r="D27996" t="s">
        <v>27</v>
      </c>
      <c r="E27996" t="s">
        <v>144</v>
      </c>
      <c r="F27996" s="2" t="str">
        <f>HYPERLINK("http://www.otzar.org/book.asp?8190","נמוקי שזבנ""י")</f>
        <v>נמוקי שזבנ"י</v>
      </c>
    </row>
    <row r="27997" spans="1:6" x14ac:dyDescent="0.2">
      <c r="A27997" t="s">
        <v>44345</v>
      </c>
      <c r="B27997" t="s">
        <v>15103</v>
      </c>
      <c r="C27997" t="s">
        <v>15870</v>
      </c>
      <c r="D27997" t="s">
        <v>1023</v>
      </c>
      <c r="E27997" t="s">
        <v>11780</v>
      </c>
      <c r="F27997" s="2" t="str">
        <f>HYPERLINK("http://www.otzar.org/book.asp?107339","נמוקי שמואל &lt;מעולפת ספירים&gt;")</f>
        <v>נמוקי שמואל &lt;מעולפת ספירים&gt;</v>
      </c>
    </row>
    <row r="27998" spans="1:6" x14ac:dyDescent="0.2">
      <c r="A27998" t="s">
        <v>44346</v>
      </c>
      <c r="B27998" t="s">
        <v>18229</v>
      </c>
      <c r="C27998" t="s">
        <v>133</v>
      </c>
      <c r="D27998" t="s">
        <v>721</v>
      </c>
      <c r="E27998" t="s">
        <v>158</v>
      </c>
      <c r="F27998" s="2" t="str">
        <f>HYPERLINK("http://www.otzar.org/book.asp?174476","נמכר יוסף השלם")</f>
        <v>נמכר יוסף השלם</v>
      </c>
    </row>
    <row r="27999" spans="1:6" x14ac:dyDescent="0.2">
      <c r="A27999" t="s">
        <v>44347</v>
      </c>
      <c r="B27999" t="s">
        <v>44348</v>
      </c>
      <c r="C27999" t="s">
        <v>454</v>
      </c>
      <c r="D27999" t="s">
        <v>14</v>
      </c>
      <c r="E27999" t="s">
        <v>15</v>
      </c>
      <c r="F27999" s="2" t="str">
        <f>HYPERLINK("http://www.otzar.org/book.asp?24934","נמלא טל - 3 כר'")</f>
        <v>נמלא טל - 3 כר'</v>
      </c>
    </row>
    <row r="28000" spans="1:6" x14ac:dyDescent="0.2">
      <c r="A28000" t="s">
        <v>44349</v>
      </c>
      <c r="B28000" t="s">
        <v>5574</v>
      </c>
      <c r="C28000" t="s">
        <v>1169</v>
      </c>
      <c r="D28000" t="s">
        <v>27</v>
      </c>
      <c r="E28000" t="s">
        <v>741</v>
      </c>
      <c r="F28000" s="2" t="str">
        <f>HYPERLINK("http://www.otzar.org/book.asp?158024","נס ההצלה של הרבי מגור")</f>
        <v>נס ההצלה של הרבי מגור</v>
      </c>
    </row>
    <row r="28001" spans="1:6" x14ac:dyDescent="0.2">
      <c r="A28001" t="s">
        <v>44350</v>
      </c>
      <c r="B28001" t="s">
        <v>2205</v>
      </c>
      <c r="C28001" t="s">
        <v>124</v>
      </c>
      <c r="D28001" t="s">
        <v>14</v>
      </c>
      <c r="E28001" t="s">
        <v>119</v>
      </c>
      <c r="F28001" s="2" t="str">
        <f>HYPERLINK("http://www.otzar.org/book.asp?16907","נס ההצלה של ישיבת מיר")</f>
        <v>נס ההצלה של ישיבת מיר</v>
      </c>
    </row>
    <row r="28002" spans="1:6" x14ac:dyDescent="0.2">
      <c r="A28002" t="s">
        <v>44351</v>
      </c>
      <c r="B28002" t="s">
        <v>44352</v>
      </c>
      <c r="C28002" t="s">
        <v>1208</v>
      </c>
      <c r="D28002" t="s">
        <v>52</v>
      </c>
      <c r="E28002" t="s">
        <v>119</v>
      </c>
      <c r="F28002" s="2" t="str">
        <f>HYPERLINK("http://www.otzar.org/book.asp?160605","נס ההצלה של רה""ק מסאטמאר")</f>
        <v>נס ההצלה של רה"ק מסאטמאר</v>
      </c>
    </row>
    <row r="28003" spans="1:6" x14ac:dyDescent="0.2">
      <c r="A28003" t="s">
        <v>44353</v>
      </c>
      <c r="B28003" t="s">
        <v>1602</v>
      </c>
      <c r="C28003" t="s">
        <v>466</v>
      </c>
      <c r="D28003" t="s">
        <v>21</v>
      </c>
      <c r="E28003" t="s">
        <v>241</v>
      </c>
      <c r="F28003" s="2" t="str">
        <f>HYPERLINK("http://www.otzar.org/book.asp?191156","נס התשובה")</f>
        <v>נס התשובה</v>
      </c>
    </row>
    <row r="28004" spans="1:6" x14ac:dyDescent="0.2">
      <c r="A28004" t="s">
        <v>44354</v>
      </c>
      <c r="B28004" t="s">
        <v>30388</v>
      </c>
      <c r="C28004" t="s">
        <v>17</v>
      </c>
      <c r="D28004" t="s">
        <v>4665</v>
      </c>
      <c r="E28004" t="s">
        <v>246</v>
      </c>
      <c r="F28004" s="2" t="str">
        <f>HYPERLINK("http://www.otzar.org/book.asp?170791","נס חנוכה במקום ובזמן")</f>
        <v>נס חנוכה במקום ובזמן</v>
      </c>
    </row>
    <row r="28005" spans="1:6" x14ac:dyDescent="0.2">
      <c r="A28005" t="s">
        <v>44355</v>
      </c>
      <c r="B28005" t="s">
        <v>44356</v>
      </c>
      <c r="C28005" t="s">
        <v>1437</v>
      </c>
      <c r="D28005" t="s">
        <v>17609</v>
      </c>
      <c r="E28005" t="s">
        <v>246</v>
      </c>
      <c r="F28005" s="2" t="str">
        <f>HYPERLINK("http://www.otzar.org/book.asp?189358","נס חנוכה - אגדת פך השמן")</f>
        <v>נס חנוכה - אגדת פך השמן</v>
      </c>
    </row>
    <row r="28006" spans="1:6" x14ac:dyDescent="0.2">
      <c r="A28006" t="s">
        <v>44357</v>
      </c>
      <c r="B28006" t="s">
        <v>44358</v>
      </c>
      <c r="C28006" t="s">
        <v>411</v>
      </c>
      <c r="D28006" t="s">
        <v>14</v>
      </c>
      <c r="E28006" t="s">
        <v>158</v>
      </c>
      <c r="F28006" s="2" t="str">
        <f>HYPERLINK("http://www.otzar.org/book.asp?170772","נס יהודה - 3 כר'")</f>
        <v>נס יהודה - 3 כר'</v>
      </c>
    </row>
    <row r="28007" spans="1:6" x14ac:dyDescent="0.2">
      <c r="A28007" t="s">
        <v>44359</v>
      </c>
      <c r="B28007" t="s">
        <v>7620</v>
      </c>
      <c r="C28007" t="s">
        <v>114</v>
      </c>
      <c r="D28007" t="s">
        <v>80</v>
      </c>
      <c r="F28007" s="2" t="str">
        <f>HYPERLINK("http://www.otzar.org/book.asp?606864","נס להתנוסס")</f>
        <v>נס להתנוסס</v>
      </c>
    </row>
    <row r="28008" spans="1:6" x14ac:dyDescent="0.2">
      <c r="A28008" t="s">
        <v>44359</v>
      </c>
      <c r="B28008" t="s">
        <v>107</v>
      </c>
      <c r="C28008" t="s">
        <v>383</v>
      </c>
      <c r="D28008" t="s">
        <v>14</v>
      </c>
      <c r="E28008" t="s">
        <v>241</v>
      </c>
      <c r="F28008" s="2" t="str">
        <f>HYPERLINK("http://www.otzar.org/book.asp?84014","נס להתנוסס")</f>
        <v>נס להתנוסס</v>
      </c>
    </row>
    <row r="28009" spans="1:6" x14ac:dyDescent="0.2">
      <c r="A28009" t="s">
        <v>44359</v>
      </c>
      <c r="B28009" t="s">
        <v>44360</v>
      </c>
      <c r="C28009" t="s">
        <v>624</v>
      </c>
      <c r="D28009" t="s">
        <v>14</v>
      </c>
      <c r="E28009" t="s">
        <v>44361</v>
      </c>
      <c r="F28009" s="2" t="str">
        <f>HYPERLINK("http://www.otzar.org/book.asp?84279","נס להתנוסס")</f>
        <v>נס להתנוסס</v>
      </c>
    </row>
    <row r="28010" spans="1:6" x14ac:dyDescent="0.2">
      <c r="A28010" t="s">
        <v>44362</v>
      </c>
      <c r="B28010" t="s">
        <v>44363</v>
      </c>
      <c r="C28010" t="s">
        <v>189</v>
      </c>
      <c r="D28010" t="s">
        <v>412</v>
      </c>
      <c r="E28010" t="s">
        <v>246</v>
      </c>
      <c r="F28010" s="2" t="str">
        <f>HYPERLINK("http://www.otzar.org/book.asp?611139","נס לשושנים (אידיש)")</f>
        <v>נס לשושנים (אידיש)</v>
      </c>
    </row>
    <row r="28011" spans="1:6" x14ac:dyDescent="0.2">
      <c r="A28011" t="s">
        <v>44364</v>
      </c>
      <c r="B28011" t="s">
        <v>5556</v>
      </c>
      <c r="C28011" t="s">
        <v>496</v>
      </c>
      <c r="D28011" t="s">
        <v>283</v>
      </c>
      <c r="E28011" t="s">
        <v>44365</v>
      </c>
      <c r="F28011" s="2" t="str">
        <f>HYPERLINK("http://www.otzar.org/book.asp?101595","נס לשושנים")</f>
        <v>נס לשושנים</v>
      </c>
    </row>
    <row r="28012" spans="1:6" x14ac:dyDescent="0.2">
      <c r="A28012" t="s">
        <v>44364</v>
      </c>
      <c r="B28012" t="s">
        <v>44363</v>
      </c>
      <c r="C28012" t="s">
        <v>87</v>
      </c>
      <c r="D28012" t="s">
        <v>14</v>
      </c>
      <c r="E28012" t="s">
        <v>246</v>
      </c>
      <c r="F28012" s="2" t="str">
        <f>HYPERLINK("http://www.otzar.org/book.asp?611138","נס לשושנים")</f>
        <v>נס לשושנים</v>
      </c>
    </row>
    <row r="28013" spans="1:6" x14ac:dyDescent="0.2">
      <c r="A28013" t="s">
        <v>44366</v>
      </c>
      <c r="B28013" t="s">
        <v>5608</v>
      </c>
      <c r="C28013" t="s">
        <v>617</v>
      </c>
      <c r="D28013" t="s">
        <v>56</v>
      </c>
      <c r="E28013" t="s">
        <v>246</v>
      </c>
      <c r="F28013" s="2" t="str">
        <f>HYPERLINK("http://www.otzar.org/book.asp?100433","נס פך השמן")</f>
        <v>נס פך השמן</v>
      </c>
    </row>
    <row r="28014" spans="1:6" x14ac:dyDescent="0.2">
      <c r="A28014" t="s">
        <v>44367</v>
      </c>
      <c r="B28014" t="s">
        <v>44368</v>
      </c>
      <c r="C28014" t="s">
        <v>176</v>
      </c>
      <c r="D28014" t="s">
        <v>14</v>
      </c>
      <c r="E28014" t="s">
        <v>733</v>
      </c>
      <c r="F28014" s="2" t="str">
        <f>HYPERLINK("http://www.otzar.org/book.asp?152232","נסי מלחמת המפרץ")</f>
        <v>נסי מלחמת המפרץ</v>
      </c>
    </row>
    <row r="28015" spans="1:6" x14ac:dyDescent="0.2">
      <c r="A28015" t="s">
        <v>44369</v>
      </c>
      <c r="B28015" t="s">
        <v>44370</v>
      </c>
      <c r="C28015" t="s">
        <v>2455</v>
      </c>
      <c r="D28015" t="s">
        <v>56</v>
      </c>
      <c r="E28015" t="s">
        <v>579</v>
      </c>
      <c r="F28015" s="2" t="str">
        <f>HYPERLINK("http://www.otzar.org/book.asp?103584","נסיונות אברהם")</f>
        <v>נסיונות אברהם</v>
      </c>
    </row>
    <row r="28016" spans="1:6" x14ac:dyDescent="0.2">
      <c r="A28016" t="s">
        <v>44371</v>
      </c>
      <c r="B28016" t="s">
        <v>1602</v>
      </c>
      <c r="C28016" t="s">
        <v>114</v>
      </c>
      <c r="D28016" t="s">
        <v>21</v>
      </c>
      <c r="F28016" s="2" t="str">
        <f>HYPERLINK("http://www.otzar.org/book.asp?191157","נסיונות")</f>
        <v>נסיונות</v>
      </c>
    </row>
    <row r="28017" spans="1:6" x14ac:dyDescent="0.2">
      <c r="A28017" t="s">
        <v>44372</v>
      </c>
      <c r="B28017" t="s">
        <v>13963</v>
      </c>
      <c r="C28017" t="s">
        <v>20</v>
      </c>
      <c r="D28017" t="s">
        <v>90</v>
      </c>
      <c r="E28017" t="s">
        <v>119</v>
      </c>
      <c r="F28017" s="2" t="str">
        <f>HYPERLINK("http://www.otzar.org/book.asp?176933","נסיך מלכות התורה - הגרי""מ גורדון")</f>
        <v>נסיך מלכות התורה - הגרי"מ גורדון</v>
      </c>
    </row>
    <row r="28018" spans="1:6" x14ac:dyDescent="0.2">
      <c r="A28018" t="s">
        <v>44373</v>
      </c>
      <c r="B28018" t="s">
        <v>18210</v>
      </c>
      <c r="C28018" t="s">
        <v>17</v>
      </c>
      <c r="D28018" t="s">
        <v>14</v>
      </c>
      <c r="E28018" t="s">
        <v>119</v>
      </c>
      <c r="F28018" s="2" t="str">
        <f>HYPERLINK("http://www.otzar.org/book.asp?180635","נסיך ממלכת התורה - הגרש""ז ברוידא")</f>
        <v>נסיך ממלכת התורה - הגרש"ז ברוידא</v>
      </c>
    </row>
    <row r="28019" spans="1:6" x14ac:dyDescent="0.2">
      <c r="A28019" t="s">
        <v>44374</v>
      </c>
      <c r="B28019" t="s">
        <v>686</v>
      </c>
      <c r="C28019" t="s">
        <v>87</v>
      </c>
      <c r="D28019" t="s">
        <v>52</v>
      </c>
      <c r="E28019" t="s">
        <v>104</v>
      </c>
      <c r="F28019" s="2" t="str">
        <f>HYPERLINK("http://www.otzar.org/book.asp?189257","נסים ונפלאות")</f>
        <v>נסים ונפלאות</v>
      </c>
    </row>
    <row r="28020" spans="1:6" x14ac:dyDescent="0.2">
      <c r="A28020" t="s">
        <v>44375</v>
      </c>
      <c r="B28020" t="s">
        <v>2820</v>
      </c>
      <c r="C28020" t="s">
        <v>114</v>
      </c>
      <c r="D28020" t="s">
        <v>52</v>
      </c>
      <c r="E28020" t="s">
        <v>104</v>
      </c>
      <c r="F28020" s="2" t="str">
        <f>HYPERLINK("http://www.otzar.org/book.asp?174278","נסיעה לצדיק")</f>
        <v>נסיעה לצדיק</v>
      </c>
    </row>
    <row r="28021" spans="1:6" x14ac:dyDescent="0.2">
      <c r="A28021" t="s">
        <v>44376</v>
      </c>
      <c r="B28021" t="s">
        <v>107</v>
      </c>
      <c r="C28021" t="s">
        <v>17</v>
      </c>
      <c r="D28021" t="s">
        <v>14</v>
      </c>
      <c r="E28021" t="s">
        <v>15</v>
      </c>
      <c r="F28021" s="2" t="str">
        <f>HYPERLINK("http://www.otzar.org/book.asp?6350","נסיעות והליכה בדרכים בהלכה")</f>
        <v>נסיעות והליכה בדרכים בהלכה</v>
      </c>
    </row>
    <row r="28022" spans="1:6" x14ac:dyDescent="0.2">
      <c r="A28022" t="s">
        <v>44377</v>
      </c>
      <c r="B28022" t="s">
        <v>44377</v>
      </c>
      <c r="C28022" t="s">
        <v>20</v>
      </c>
      <c r="D28022" t="s">
        <v>2347</v>
      </c>
      <c r="E28022" t="s">
        <v>741</v>
      </c>
      <c r="F28022" s="2" t="str">
        <f>HYPERLINK("http://www.otzar.org/book.asp?106158","נסיעות לאה""ק מאדמו""ר שליט""א מגור")</f>
        <v>נסיעות לאה"ק מאדמו"ר שליט"א מגור</v>
      </c>
    </row>
    <row r="28023" spans="1:6" x14ac:dyDescent="0.2">
      <c r="A28023" t="s">
        <v>44378</v>
      </c>
      <c r="B28023" t="s">
        <v>39772</v>
      </c>
      <c r="C28023" t="s">
        <v>20</v>
      </c>
      <c r="D28023" t="s">
        <v>90</v>
      </c>
      <c r="E28023" t="s">
        <v>140</v>
      </c>
      <c r="F28023" s="2" t="str">
        <f>HYPERLINK("http://www.otzar.org/book.asp?615269","נסיעת הבעל שם טוב לארץ ישראל")</f>
        <v>נסיעת הבעל שם טוב לארץ ישראל</v>
      </c>
    </row>
    <row r="28024" spans="1:6" x14ac:dyDescent="0.2">
      <c r="A28024" t="s">
        <v>44379</v>
      </c>
      <c r="B28024" t="s">
        <v>686</v>
      </c>
      <c r="C28024" t="s">
        <v>422</v>
      </c>
      <c r="D28024" t="s">
        <v>52</v>
      </c>
      <c r="E28024" t="s">
        <v>104</v>
      </c>
      <c r="F28024" s="2" t="str">
        <f>HYPERLINK("http://www.otzar.org/book.asp?84403","נסך לה'")</f>
        <v>נסך לה'</v>
      </c>
    </row>
    <row r="28025" spans="1:6" x14ac:dyDescent="0.2">
      <c r="A28025" t="s">
        <v>44380</v>
      </c>
      <c r="B28025" t="s">
        <v>44381</v>
      </c>
      <c r="C28025" t="s">
        <v>189</v>
      </c>
      <c r="D28025" t="s">
        <v>52</v>
      </c>
      <c r="F28025" s="2" t="str">
        <f>HYPERLINK("http://www.otzar.org/book.asp?198409","נסכתי מלכי על ציון")</f>
        <v>נסכתי מלכי על ציון</v>
      </c>
    </row>
    <row r="28026" spans="1:6" x14ac:dyDescent="0.2">
      <c r="A28026" t="s">
        <v>44382</v>
      </c>
      <c r="B28026" t="s">
        <v>44383</v>
      </c>
      <c r="C28026" t="s">
        <v>919</v>
      </c>
      <c r="D28026" t="s">
        <v>14</v>
      </c>
      <c r="E28026" t="s">
        <v>1097</v>
      </c>
      <c r="F28026" s="2" t="str">
        <f>HYPERLINK("http://www.otzar.org/book.asp?168128","נספח לתלמוד ירושלמי כתב יד ליידן")</f>
        <v>נספח לתלמוד ירושלמי כתב יד ליידן</v>
      </c>
    </row>
    <row r="28027" spans="1:6" x14ac:dyDescent="0.2">
      <c r="A28027" t="s">
        <v>44384</v>
      </c>
      <c r="B28027" t="s">
        <v>39487</v>
      </c>
      <c r="C28027" t="s">
        <v>2644</v>
      </c>
      <c r="D28027" t="s">
        <v>2373</v>
      </c>
      <c r="E28027" t="s">
        <v>43</v>
      </c>
      <c r="F28027" s="2" t="str">
        <f>HYPERLINK("http://www.otzar.org/book.asp?166405","נספחים לסדר אליהו זוטא")</f>
        <v>נספחים לסדר אליהו זוטא</v>
      </c>
    </row>
    <row r="28028" spans="1:6" x14ac:dyDescent="0.2">
      <c r="A28028" t="s">
        <v>44385</v>
      </c>
      <c r="B28028" t="s">
        <v>44386</v>
      </c>
      <c r="C28028" t="s">
        <v>20</v>
      </c>
      <c r="D28028" t="s">
        <v>90</v>
      </c>
      <c r="E28028" t="s">
        <v>246</v>
      </c>
      <c r="F28028" s="2" t="str">
        <f>HYPERLINK("http://www.otzar.org/book.asp?625827","נספר נפלאותיך")</f>
        <v>נספר נפלאותיך</v>
      </c>
    </row>
    <row r="28029" spans="1:6" x14ac:dyDescent="0.2">
      <c r="A28029" t="s">
        <v>44387</v>
      </c>
      <c r="B28029" t="s">
        <v>78</v>
      </c>
      <c r="C28029" t="s">
        <v>1246</v>
      </c>
      <c r="D28029" t="s">
        <v>80</v>
      </c>
      <c r="E28029" t="s">
        <v>158</v>
      </c>
      <c r="F28029" s="2" t="str">
        <f>HYPERLINK("http://www.otzar.org/book.asp?6866","נעים זמירות ישראל - 8 כר'")</f>
        <v>נעים זמירות ישראל - 8 כר'</v>
      </c>
    </row>
    <row r="28030" spans="1:6" x14ac:dyDescent="0.2">
      <c r="A28030" t="s">
        <v>44388</v>
      </c>
      <c r="B28030" t="s">
        <v>44389</v>
      </c>
      <c r="C28030" t="s">
        <v>31586</v>
      </c>
      <c r="D28030" t="s">
        <v>267</v>
      </c>
      <c r="E28030" t="s">
        <v>44390</v>
      </c>
      <c r="F28030" s="2" t="str">
        <f>HYPERLINK("http://www.otzar.org/book.asp?165839","נעים זמירות ישראל")</f>
        <v>נעים זמירות ישראל</v>
      </c>
    </row>
    <row r="28031" spans="1:6" x14ac:dyDescent="0.2">
      <c r="A28031" t="s">
        <v>44391</v>
      </c>
      <c r="B28031" t="s">
        <v>30683</v>
      </c>
      <c r="C28031" t="s">
        <v>1191</v>
      </c>
      <c r="D28031" t="s">
        <v>60</v>
      </c>
      <c r="E28031" t="s">
        <v>213</v>
      </c>
      <c r="F28031" s="2" t="str">
        <f>HYPERLINK("http://www.otzar.org/book.asp?21470","נעימה קדושה &lt;שפה ברורה&gt; א - ב")</f>
        <v>נעימה קדושה &lt;שפה ברורה&gt; א - ב</v>
      </c>
    </row>
    <row r="28032" spans="1:6" x14ac:dyDescent="0.2">
      <c r="A28032" t="s">
        <v>44392</v>
      </c>
      <c r="B28032" t="s">
        <v>29632</v>
      </c>
      <c r="C28032" t="s">
        <v>752</v>
      </c>
      <c r="D28032" t="s">
        <v>56</v>
      </c>
      <c r="E28032" t="s">
        <v>22062</v>
      </c>
      <c r="F28032" s="2" t="str">
        <f>HYPERLINK("http://www.otzar.org/book.asp?102064","נעימה קדושה &lt;ברכת יוסף&gt;")</f>
        <v>נעימה קדושה &lt;ברכת יוסף&gt;</v>
      </c>
    </row>
    <row r="28033" spans="1:6" x14ac:dyDescent="0.2">
      <c r="A28033" t="s">
        <v>44393</v>
      </c>
      <c r="B28033" t="s">
        <v>44394</v>
      </c>
      <c r="C28033" t="s">
        <v>244</v>
      </c>
      <c r="D28033" t="s">
        <v>412</v>
      </c>
      <c r="E28033" t="s">
        <v>2915</v>
      </c>
      <c r="F28033" s="2" t="str">
        <f>HYPERLINK("http://www.otzar.org/book.asp?621685","נעימות ברוך")</f>
        <v>נעימות ברוך</v>
      </c>
    </row>
    <row r="28034" spans="1:6" x14ac:dyDescent="0.2">
      <c r="A28034" t="s">
        <v>44395</v>
      </c>
      <c r="B28034" t="s">
        <v>42896</v>
      </c>
      <c r="C28034" t="s">
        <v>68</v>
      </c>
      <c r="D28034" t="s">
        <v>14</v>
      </c>
      <c r="E28034" t="s">
        <v>144</v>
      </c>
      <c r="F28034" s="2" t="str">
        <f>HYPERLINK("http://www.otzar.org/book.asp?166257","נעימות נצח - 3 כר'")</f>
        <v>נעימות נצח - 3 כר'</v>
      </c>
    </row>
    <row r="28035" spans="1:6" x14ac:dyDescent="0.2">
      <c r="A28035" t="s">
        <v>44396</v>
      </c>
      <c r="B28035" t="s">
        <v>44397</v>
      </c>
      <c r="C28035" t="s">
        <v>1570</v>
      </c>
      <c r="D28035" t="s">
        <v>52</v>
      </c>
      <c r="E28035" t="s">
        <v>741</v>
      </c>
      <c r="F28035" s="2" t="str">
        <f>HYPERLINK("http://www.otzar.org/book.asp?163978","נעימות נצח")</f>
        <v>נעימות נצח</v>
      </c>
    </row>
    <row r="28036" spans="1:6" x14ac:dyDescent="0.2">
      <c r="A28036" t="s">
        <v>44395</v>
      </c>
      <c r="B28036" t="s">
        <v>11138</v>
      </c>
      <c r="C28036" t="s">
        <v>143</v>
      </c>
      <c r="D28036" t="s">
        <v>14</v>
      </c>
      <c r="E28036" t="s">
        <v>15</v>
      </c>
      <c r="F28036" s="2" t="str">
        <f>HYPERLINK("http://www.otzar.org/book.asp?50182","נעימות נצח - 3 כר'")</f>
        <v>נעימות נצח - 3 כר'</v>
      </c>
    </row>
    <row r="28037" spans="1:6" x14ac:dyDescent="0.2">
      <c r="A28037" t="s">
        <v>44398</v>
      </c>
      <c r="B28037" t="s">
        <v>44399</v>
      </c>
      <c r="C28037" t="s">
        <v>103</v>
      </c>
      <c r="D28037" t="s">
        <v>412</v>
      </c>
      <c r="E28037" t="s">
        <v>213</v>
      </c>
      <c r="F28037" s="2" t="str">
        <f>HYPERLINK("http://www.otzar.org/book.asp?145317","נעימת החיים")</f>
        <v>נעימת החיים</v>
      </c>
    </row>
    <row r="28038" spans="1:6" x14ac:dyDescent="0.2">
      <c r="A28038" t="s">
        <v>44400</v>
      </c>
      <c r="B28038" t="s">
        <v>44401</v>
      </c>
      <c r="C28038" t="s">
        <v>411</v>
      </c>
      <c r="D28038" t="s">
        <v>412</v>
      </c>
      <c r="E28038" t="s">
        <v>158</v>
      </c>
      <c r="F28038" s="2" t="str">
        <f>HYPERLINK("http://www.otzar.org/book.asp?167923","נעימת המגילה")</f>
        <v>נעימת המגילה</v>
      </c>
    </row>
    <row r="28039" spans="1:6" x14ac:dyDescent="0.2">
      <c r="A28039" t="s">
        <v>44402</v>
      </c>
      <c r="B28039" t="s">
        <v>44403</v>
      </c>
      <c r="C28039" t="s">
        <v>725</v>
      </c>
      <c r="D28039" t="s">
        <v>7683</v>
      </c>
      <c r="F28039" s="2" t="str">
        <f>HYPERLINK("http://www.otzar.org/book.asp?188627","נעכטן היינט און מארגן")</f>
        <v>נעכטן היינט און מארגן</v>
      </c>
    </row>
    <row r="28040" spans="1:6" x14ac:dyDescent="0.2">
      <c r="A28040" t="s">
        <v>44404</v>
      </c>
      <c r="B28040" t="s">
        <v>44405</v>
      </c>
      <c r="C28040" t="s">
        <v>129</v>
      </c>
      <c r="D28040" t="s">
        <v>412</v>
      </c>
      <c r="E28040" t="s">
        <v>144</v>
      </c>
      <c r="F28040" s="2" t="str">
        <f>HYPERLINK("http://www.otzar.org/book.asp?85164","נעלה ביהודה - 6 כר'")</f>
        <v>נעלה ביהודה - 6 כר'</v>
      </c>
    </row>
    <row r="28041" spans="1:6" x14ac:dyDescent="0.2">
      <c r="A28041" t="s">
        <v>44406</v>
      </c>
      <c r="B28041" t="s">
        <v>44407</v>
      </c>
      <c r="C28041" t="s">
        <v>8</v>
      </c>
      <c r="D28041" t="s">
        <v>4441</v>
      </c>
      <c r="E28041" t="s">
        <v>234</v>
      </c>
      <c r="F28041" s="2" t="str">
        <f>HYPERLINK("http://www.otzar.org/book.asp?159124","נעם אהרן")</f>
        <v>נעם אהרן</v>
      </c>
    </row>
    <row r="28042" spans="1:6" x14ac:dyDescent="0.2">
      <c r="A28042" t="s">
        <v>44408</v>
      </c>
      <c r="B28042" t="s">
        <v>44407</v>
      </c>
      <c r="C28042" t="s">
        <v>68</v>
      </c>
      <c r="D28042" t="s">
        <v>14</v>
      </c>
      <c r="E28042" t="s">
        <v>803</v>
      </c>
      <c r="F28042" s="2" t="str">
        <f>HYPERLINK("http://www.otzar.org/book.asp?156386","נעם אליעזר - 4 כר'")</f>
        <v>נעם אליעזר - 4 כר'</v>
      </c>
    </row>
    <row r="28043" spans="1:6" x14ac:dyDescent="0.2">
      <c r="A28043" t="s">
        <v>44409</v>
      </c>
      <c r="B28043" t="s">
        <v>6835</v>
      </c>
      <c r="C28043" t="s">
        <v>23</v>
      </c>
      <c r="D28043" t="s">
        <v>6836</v>
      </c>
      <c r="F28043" s="2" t="str">
        <f>HYPERLINK("http://www.otzar.org/book.asp?616499","נעם אמרי - 5 כר'")</f>
        <v>נעם אמרי - 5 כר'</v>
      </c>
    </row>
    <row r="28044" spans="1:6" x14ac:dyDescent="0.2">
      <c r="A28044" t="s">
        <v>44410</v>
      </c>
      <c r="B28044" t="s">
        <v>44411</v>
      </c>
      <c r="C28044" t="s">
        <v>244</v>
      </c>
      <c r="D28044" t="s">
        <v>90</v>
      </c>
      <c r="E28044" t="s">
        <v>15</v>
      </c>
      <c r="F28044" s="2" t="str">
        <f>HYPERLINK("http://www.otzar.org/book.asp?603222","נעם הליכות")</f>
        <v>נעם הליכות</v>
      </c>
    </row>
    <row r="28045" spans="1:6" x14ac:dyDescent="0.2">
      <c r="A28045" t="s">
        <v>44412</v>
      </c>
      <c r="B28045" t="s">
        <v>776</v>
      </c>
      <c r="C28045" t="s">
        <v>79</v>
      </c>
      <c r="D28045" t="s">
        <v>27</v>
      </c>
      <c r="E28045" t="s">
        <v>241</v>
      </c>
      <c r="F28045" s="2" t="str">
        <f>HYPERLINK("http://www.otzar.org/book.asp?179222","נעם חן")</f>
        <v>נעם חן</v>
      </c>
    </row>
    <row r="28046" spans="1:6" x14ac:dyDescent="0.2">
      <c r="A28046" t="s">
        <v>44413</v>
      </c>
      <c r="B28046" t="s">
        <v>44414</v>
      </c>
      <c r="C28046" t="s">
        <v>23</v>
      </c>
      <c r="D28046" t="s">
        <v>52</v>
      </c>
      <c r="E28046" t="s">
        <v>144</v>
      </c>
      <c r="F28046" s="2" t="str">
        <f>HYPERLINK("http://www.otzar.org/book.asp?193520","נעם יעקב - 2 כר'")</f>
        <v>נעם יעקב - 2 כר'</v>
      </c>
    </row>
    <row r="28047" spans="1:6" x14ac:dyDescent="0.2">
      <c r="A28047" t="s">
        <v>44415</v>
      </c>
      <c r="B28047" t="s">
        <v>44416</v>
      </c>
      <c r="C28047" t="s">
        <v>1062</v>
      </c>
      <c r="D28047" t="s">
        <v>412</v>
      </c>
      <c r="E28047" t="s">
        <v>172</v>
      </c>
      <c r="F28047" s="2" t="str">
        <f>HYPERLINK("http://www.otzar.org/book.asp?8186","נעם מגדים - 2 כר'")</f>
        <v>נעם מגדים - 2 כר'</v>
      </c>
    </row>
    <row r="28048" spans="1:6" x14ac:dyDescent="0.2">
      <c r="A28048" t="s">
        <v>44417</v>
      </c>
      <c r="B28048" t="s">
        <v>10617</v>
      </c>
      <c r="C28048" t="s">
        <v>13</v>
      </c>
      <c r="D28048" t="s">
        <v>2285</v>
      </c>
      <c r="E28048" t="s">
        <v>803</v>
      </c>
      <c r="F28048" s="2" t="str">
        <f>HYPERLINK("http://www.otzar.org/book.asp?147619","נעם שבת - 4 כר'")</f>
        <v>נעם שבת - 4 כר'</v>
      </c>
    </row>
    <row r="28049" spans="1:6" x14ac:dyDescent="0.2">
      <c r="A28049" t="s">
        <v>44418</v>
      </c>
      <c r="B28049" t="s">
        <v>44419</v>
      </c>
      <c r="C28049" t="s">
        <v>775</v>
      </c>
      <c r="D28049" t="s">
        <v>52</v>
      </c>
      <c r="E28049" t="s">
        <v>5186</v>
      </c>
      <c r="F28049" s="2" t="str">
        <f>HYPERLINK("http://www.otzar.org/book.asp?61379","נעם שיח")</f>
        <v>נעם שיח</v>
      </c>
    </row>
    <row r="28050" spans="1:6" x14ac:dyDescent="0.2">
      <c r="A28050" t="s">
        <v>44420</v>
      </c>
      <c r="B28050" t="s">
        <v>44421</v>
      </c>
      <c r="C28050" t="s">
        <v>37</v>
      </c>
      <c r="D28050" t="s">
        <v>14</v>
      </c>
      <c r="E28050" t="s">
        <v>246</v>
      </c>
      <c r="F28050" s="2" t="str">
        <f>HYPERLINK("http://www.otzar.org/book.asp?611131","נעם שיח - 2 כר'")</f>
        <v>נעם שיח - 2 כר'</v>
      </c>
    </row>
    <row r="28051" spans="1:6" x14ac:dyDescent="0.2">
      <c r="A28051" t="s">
        <v>44418</v>
      </c>
      <c r="B28051" t="s">
        <v>4945</v>
      </c>
      <c r="C28051" t="s">
        <v>946</v>
      </c>
      <c r="D28051" t="s">
        <v>225</v>
      </c>
      <c r="E28051" t="s">
        <v>960</v>
      </c>
      <c r="F28051" s="2" t="str">
        <f>HYPERLINK("http://www.otzar.org/book.asp?20339","נעם שיח")</f>
        <v>נעם שיח</v>
      </c>
    </row>
    <row r="28052" spans="1:6" x14ac:dyDescent="0.2">
      <c r="A28052" t="s">
        <v>44422</v>
      </c>
      <c r="B28052" t="s">
        <v>686</v>
      </c>
      <c r="C28052" t="s">
        <v>767</v>
      </c>
      <c r="D28052" t="s">
        <v>52</v>
      </c>
      <c r="E28052" t="s">
        <v>104</v>
      </c>
      <c r="F28052" s="2" t="str">
        <f>HYPERLINK("http://www.otzar.org/book.asp?189260","נעמות בימינך")</f>
        <v>נעמות בימינך</v>
      </c>
    </row>
    <row r="28053" spans="1:6" x14ac:dyDescent="0.2">
      <c r="A28053" t="s">
        <v>44423</v>
      </c>
      <c r="B28053" t="s">
        <v>5634</v>
      </c>
      <c r="C28053" t="s">
        <v>114</v>
      </c>
      <c r="D28053" t="s">
        <v>52</v>
      </c>
      <c r="E28053" t="s">
        <v>234</v>
      </c>
      <c r="F28053" s="2" t="str">
        <f>HYPERLINK("http://www.otzar.org/book.asp?172946","נעמת לי מאד")</f>
        <v>נעמת לי מאד</v>
      </c>
    </row>
    <row r="28054" spans="1:6" x14ac:dyDescent="0.2">
      <c r="A28054" t="s">
        <v>44424</v>
      </c>
      <c r="B28054" t="s">
        <v>44425</v>
      </c>
      <c r="C28054" t="s">
        <v>37</v>
      </c>
      <c r="D28054" t="s">
        <v>118</v>
      </c>
      <c r="E28054" t="s">
        <v>241</v>
      </c>
      <c r="F28054" s="2" t="str">
        <f>HYPERLINK("http://www.otzar.org/book.asp?180072","נער הייתי")</f>
        <v>נער הייתי</v>
      </c>
    </row>
    <row r="28055" spans="1:6" x14ac:dyDescent="0.2">
      <c r="A28055" t="s">
        <v>44426</v>
      </c>
      <c r="B28055" t="s">
        <v>1602</v>
      </c>
      <c r="C28055" t="s">
        <v>366</v>
      </c>
      <c r="D28055" t="s">
        <v>14</v>
      </c>
      <c r="F28055" s="2" t="str">
        <f>HYPERLINK("http://www.otzar.org/book.asp?618710","נער ישראל")</f>
        <v>נער ישראל</v>
      </c>
    </row>
    <row r="28056" spans="1:6" x14ac:dyDescent="0.2">
      <c r="A28056" t="s">
        <v>44427</v>
      </c>
      <c r="B28056" t="s">
        <v>33782</v>
      </c>
      <c r="C28056" t="s">
        <v>129</v>
      </c>
      <c r="D28056" t="s">
        <v>852</v>
      </c>
      <c r="E28056" t="s">
        <v>213</v>
      </c>
      <c r="F28056" s="2" t="str">
        <f>HYPERLINK("http://www.otzar.org/book.asp?151183","נעשה אדם")</f>
        <v>נעשה אדם</v>
      </c>
    </row>
    <row r="28057" spans="1:6" x14ac:dyDescent="0.2">
      <c r="A28057" t="s">
        <v>44428</v>
      </c>
      <c r="B28057" t="s">
        <v>4399</v>
      </c>
      <c r="C28057" t="s">
        <v>332</v>
      </c>
      <c r="D28057" t="s">
        <v>646</v>
      </c>
      <c r="E28057" t="s">
        <v>130</v>
      </c>
      <c r="F28057" s="2" t="str">
        <f>HYPERLINK("http://www.otzar.org/book.asp?61450","נעשה ונשמע")</f>
        <v>נעשה ונשמע</v>
      </c>
    </row>
    <row r="28058" spans="1:6" x14ac:dyDescent="0.2">
      <c r="A28058" t="s">
        <v>44429</v>
      </c>
      <c r="B28058" t="s">
        <v>4064</v>
      </c>
      <c r="C28058" t="s">
        <v>3106</v>
      </c>
      <c r="D28058" t="s">
        <v>27</v>
      </c>
      <c r="E28058" t="s">
        <v>213</v>
      </c>
      <c r="F28058" s="2" t="str">
        <f>HYPERLINK("http://www.otzar.org/book.asp?106771","נעשה ונשמע - 2 כר'")</f>
        <v>נעשה ונשמע - 2 כר'</v>
      </c>
    </row>
    <row r="28059" spans="1:6" x14ac:dyDescent="0.2">
      <c r="A28059" t="s">
        <v>44428</v>
      </c>
      <c r="B28059" t="s">
        <v>6661</v>
      </c>
      <c r="C28059" t="s">
        <v>366</v>
      </c>
      <c r="D28059" t="s">
        <v>486</v>
      </c>
      <c r="E28059" t="s">
        <v>246</v>
      </c>
      <c r="F28059" s="2" t="str">
        <f>HYPERLINK("http://www.otzar.org/book.asp?626155","נעשה ונשמע")</f>
        <v>נעשה ונשמע</v>
      </c>
    </row>
    <row r="28060" spans="1:6" x14ac:dyDescent="0.2">
      <c r="A28060" t="s">
        <v>44430</v>
      </c>
      <c r="B28060" t="s">
        <v>44431</v>
      </c>
      <c r="C28060" t="s">
        <v>547</v>
      </c>
      <c r="D28060" t="s">
        <v>27</v>
      </c>
      <c r="E28060" t="s">
        <v>10</v>
      </c>
      <c r="F28060" s="2" t="str">
        <f>HYPERLINK("http://www.otzar.org/book.asp?790","נעשה לך")</f>
        <v>נעשה לך</v>
      </c>
    </row>
    <row r="28061" spans="1:6" x14ac:dyDescent="0.2">
      <c r="A28061" t="s">
        <v>44432</v>
      </c>
      <c r="B28061" t="s">
        <v>44433</v>
      </c>
      <c r="C28061" t="s">
        <v>16493</v>
      </c>
      <c r="D28061" t="s">
        <v>49</v>
      </c>
      <c r="F28061" s="2" t="str">
        <f>HYPERLINK("http://www.otzar.org/book.asp?164813","נפוצות יהודה - 5 כר'")</f>
        <v>נפוצות יהודה - 5 כר'</v>
      </c>
    </row>
    <row r="28062" spans="1:6" x14ac:dyDescent="0.2">
      <c r="A28062" t="s">
        <v>44434</v>
      </c>
      <c r="B28062" t="s">
        <v>686</v>
      </c>
      <c r="C28062" t="s">
        <v>114</v>
      </c>
      <c r="D28062" t="s">
        <v>52</v>
      </c>
      <c r="E28062" t="s">
        <v>104</v>
      </c>
      <c r="F28062" s="2" t="str">
        <f>HYPERLINK("http://www.otzar.org/book.asp?163665","נפלאו דבריך")</f>
        <v>נפלאו דבריך</v>
      </c>
    </row>
    <row r="28063" spans="1:6" x14ac:dyDescent="0.2">
      <c r="A28063" t="s">
        <v>44435</v>
      </c>
      <c r="B28063" t="s">
        <v>29025</v>
      </c>
      <c r="C28063" t="s">
        <v>360</v>
      </c>
      <c r="D28063" t="s">
        <v>225</v>
      </c>
      <c r="E28063" t="s">
        <v>213</v>
      </c>
      <c r="F28063" s="2" t="str">
        <f>HYPERLINK("http://www.otzar.org/book.asp?165951","נפלאות אליהו")</f>
        <v>נפלאות אליהו</v>
      </c>
    </row>
    <row r="28064" spans="1:6" x14ac:dyDescent="0.2">
      <c r="A28064" t="s">
        <v>44436</v>
      </c>
      <c r="B28064" t="s">
        <v>25067</v>
      </c>
      <c r="C28064" t="s">
        <v>44437</v>
      </c>
      <c r="D28064" t="s">
        <v>44438</v>
      </c>
      <c r="F28064" s="2" t="str">
        <f>HYPERLINK("http://www.otzar.org/book.asp?620622","נפלאות אשר")</f>
        <v>נפלאות אשר</v>
      </c>
    </row>
    <row r="28065" spans="1:6" x14ac:dyDescent="0.2">
      <c r="A28065" t="s">
        <v>44439</v>
      </c>
      <c r="B28065" t="s">
        <v>44440</v>
      </c>
      <c r="C28065" t="s">
        <v>129</v>
      </c>
      <c r="D28065" t="s">
        <v>52</v>
      </c>
      <c r="E28065" t="s">
        <v>583</v>
      </c>
      <c r="F28065" s="2" t="str">
        <f>HYPERLINK("http://www.otzar.org/book.asp?162226","נפלאות בעיננו")</f>
        <v>נפלאות בעיננו</v>
      </c>
    </row>
    <row r="28066" spans="1:6" x14ac:dyDescent="0.2">
      <c r="A28066" t="s">
        <v>44441</v>
      </c>
      <c r="B28066" t="s">
        <v>11403</v>
      </c>
      <c r="C28066" t="s">
        <v>20</v>
      </c>
      <c r="D28066" t="s">
        <v>90</v>
      </c>
      <c r="E28066" t="s">
        <v>158</v>
      </c>
      <c r="F28066" s="2" t="str">
        <f>HYPERLINK("http://www.otzar.org/book.asp?180685","נפלאות בתורה")</f>
        <v>נפלאות בתורה</v>
      </c>
    </row>
    <row r="28067" spans="1:6" x14ac:dyDescent="0.2">
      <c r="A28067" t="s">
        <v>44442</v>
      </c>
      <c r="B28067" t="s">
        <v>21568</v>
      </c>
      <c r="C28067" t="s">
        <v>1470</v>
      </c>
      <c r="D28067" t="s">
        <v>1889</v>
      </c>
      <c r="E28067" t="s">
        <v>104</v>
      </c>
      <c r="F28067" s="2" t="str">
        <f>HYPERLINK("http://www.otzar.org/book.asp?166289","נפלאות גדולות")</f>
        <v>נפלאות גדולות</v>
      </c>
    </row>
    <row r="28068" spans="1:6" x14ac:dyDescent="0.2">
      <c r="A28068" t="s">
        <v>44442</v>
      </c>
      <c r="B28068" t="s">
        <v>2516</v>
      </c>
      <c r="C28068" t="s">
        <v>44443</v>
      </c>
      <c r="D28068" t="s">
        <v>10480</v>
      </c>
      <c r="F28068" s="2" t="str">
        <f>HYPERLINK("http://www.otzar.org/book.asp?608918","נפלאות גדולות")</f>
        <v>נפלאות גדולות</v>
      </c>
    </row>
    <row r="28069" spans="1:6" x14ac:dyDescent="0.2">
      <c r="A28069" t="s">
        <v>44444</v>
      </c>
      <c r="B28069" t="s">
        <v>4453</v>
      </c>
      <c r="C28069" t="s">
        <v>151</v>
      </c>
      <c r="D28069" t="s">
        <v>14</v>
      </c>
      <c r="E28069" t="s">
        <v>241</v>
      </c>
      <c r="F28069" s="2" t="str">
        <f>HYPERLINK("http://www.otzar.org/book.asp?615527","נפלאות האמונה - 2 כר'")</f>
        <v>נפלאות האמונה - 2 כר'</v>
      </c>
    </row>
    <row r="28070" spans="1:6" x14ac:dyDescent="0.2">
      <c r="A28070" t="s">
        <v>44445</v>
      </c>
      <c r="B28070" t="s">
        <v>44445</v>
      </c>
      <c r="C28070" t="s">
        <v>427</v>
      </c>
      <c r="D28070" t="s">
        <v>412</v>
      </c>
      <c r="E28070" t="s">
        <v>140</v>
      </c>
      <c r="F28070" s="2" t="str">
        <f>HYPERLINK("http://www.otzar.org/book.asp?159914","נפלאות הבעל שם")</f>
        <v>נפלאות הבעל שם</v>
      </c>
    </row>
    <row r="28071" spans="1:6" x14ac:dyDescent="0.2">
      <c r="A28071" t="s">
        <v>44446</v>
      </c>
      <c r="B28071" t="s">
        <v>2516</v>
      </c>
      <c r="C28071" t="s">
        <v>44447</v>
      </c>
      <c r="D28071" t="s">
        <v>44448</v>
      </c>
      <c r="F28071" s="2" t="str">
        <f>HYPERLINK("http://www.otzar.org/book.asp?608916","נפלאות הגאונים")</f>
        <v>נפלאות הגאונים</v>
      </c>
    </row>
    <row r="28072" spans="1:6" x14ac:dyDescent="0.2">
      <c r="A28072" t="s">
        <v>44449</v>
      </c>
      <c r="B28072" t="s">
        <v>44450</v>
      </c>
      <c r="C28072" t="s">
        <v>8</v>
      </c>
      <c r="D28072" t="s">
        <v>14778</v>
      </c>
      <c r="E28072" t="s">
        <v>399</v>
      </c>
      <c r="F28072" s="2" t="str">
        <f>HYPERLINK("http://www.otzar.org/book.asp?51742","נפלאות הזהר")</f>
        <v>נפלאות הזהר</v>
      </c>
    </row>
    <row r="28073" spans="1:6" x14ac:dyDescent="0.2">
      <c r="A28073" t="s">
        <v>44451</v>
      </c>
      <c r="B28073" t="s">
        <v>44452</v>
      </c>
      <c r="C28073" t="s">
        <v>360</v>
      </c>
      <c r="D28073" t="s">
        <v>225</v>
      </c>
      <c r="E28073" t="s">
        <v>31451</v>
      </c>
      <c r="F28073" s="2" t="str">
        <f>HYPERLINK("http://www.otzar.org/book.asp?6872","נפלאות החוזה")</f>
        <v>נפלאות החוזה</v>
      </c>
    </row>
    <row r="28074" spans="1:6" x14ac:dyDescent="0.2">
      <c r="A28074" t="s">
        <v>44453</v>
      </c>
      <c r="B28074" t="s">
        <v>25352</v>
      </c>
      <c r="C28074" t="s">
        <v>547</v>
      </c>
      <c r="D28074" t="s">
        <v>283</v>
      </c>
      <c r="E28074" t="s">
        <v>140</v>
      </c>
      <c r="F28074" s="2" t="str">
        <f>HYPERLINK("http://www.otzar.org/book.asp?102058","נפלאות היהודי")</f>
        <v>נפלאות היהודי</v>
      </c>
    </row>
    <row r="28075" spans="1:6" x14ac:dyDescent="0.2">
      <c r="A28075" t="s">
        <v>44454</v>
      </c>
      <c r="B28075" t="s">
        <v>44455</v>
      </c>
      <c r="C28075" t="s">
        <v>20</v>
      </c>
      <c r="D28075" t="s">
        <v>44456</v>
      </c>
      <c r="E28075" t="s">
        <v>119</v>
      </c>
      <c r="F28075" s="2" t="str">
        <f>HYPERLINK("http://www.otzar.org/book.asp?619847","נפלאות המהר""ל - מעשה פונ'ם מהר""ל מפראג &lt;בלה""ק ובאידיש&gt;")</f>
        <v>נפלאות המהר"ל - מעשה פונ'ם מהר"ל מפראג &lt;בלה"ק ובאידיש&gt;</v>
      </c>
    </row>
    <row r="28076" spans="1:6" x14ac:dyDescent="0.2">
      <c r="A28076" t="s">
        <v>44457</v>
      </c>
      <c r="B28076" t="s">
        <v>44458</v>
      </c>
      <c r="C28076" t="s">
        <v>151</v>
      </c>
      <c r="D28076" t="s">
        <v>21</v>
      </c>
      <c r="E28076" t="s">
        <v>44459</v>
      </c>
      <c r="F28076" s="2" t="str">
        <f>HYPERLINK("http://www.otzar.org/book.asp?623202","נפלאות הסבא קדישא &lt;מהדורה חדשה&gt; - א")</f>
        <v>נפלאות הסבא קדישא &lt;מהדורה חדשה&gt; - א</v>
      </c>
    </row>
    <row r="28077" spans="1:6" x14ac:dyDescent="0.2">
      <c r="A28077" t="s">
        <v>44460</v>
      </c>
      <c r="B28077" t="s">
        <v>44458</v>
      </c>
      <c r="C28077" t="s">
        <v>609</v>
      </c>
      <c r="D28077" t="s">
        <v>225</v>
      </c>
      <c r="E28077" t="s">
        <v>119</v>
      </c>
      <c r="F28077" s="2" t="str">
        <f>HYPERLINK("http://www.otzar.org/book.asp?51740","נפלאות הסבא קדישא - 2 כר'")</f>
        <v>נפלאות הסבא קדישא - 2 כר'</v>
      </c>
    </row>
    <row r="28078" spans="1:6" x14ac:dyDescent="0.2">
      <c r="A28078" t="s">
        <v>44461</v>
      </c>
      <c r="B28078" t="s">
        <v>44462</v>
      </c>
      <c r="C28078" t="s">
        <v>360</v>
      </c>
      <c r="D28078" t="s">
        <v>225</v>
      </c>
      <c r="E28078" t="s">
        <v>140</v>
      </c>
      <c r="F28078" s="2" t="str">
        <f>HYPERLINK("http://www.otzar.org/book.asp?102057","נפלאות הצדיקים - 2 כר'")</f>
        <v>נפלאות הצדיקים - 2 כר'</v>
      </c>
    </row>
    <row r="28079" spans="1:6" x14ac:dyDescent="0.2">
      <c r="A28079" t="s">
        <v>44463</v>
      </c>
      <c r="C28079" t="s">
        <v>360</v>
      </c>
      <c r="D28079" t="s">
        <v>1566</v>
      </c>
      <c r="E28079" t="s">
        <v>733</v>
      </c>
      <c r="F28079" s="2" t="str">
        <f>HYPERLINK("http://www.otzar.org/book.asp?161555","נפלאות הקדושים")</f>
        <v>נפלאות הקדושים</v>
      </c>
    </row>
    <row r="28080" spans="1:6" x14ac:dyDescent="0.2">
      <c r="A28080" t="s">
        <v>44464</v>
      </c>
      <c r="B28080" t="s">
        <v>7405</v>
      </c>
      <c r="C28080" t="s">
        <v>411</v>
      </c>
      <c r="D28080" t="s">
        <v>14</v>
      </c>
      <c r="E28080" t="s">
        <v>714</v>
      </c>
      <c r="F28080" s="2" t="str">
        <f>HYPERLINK("http://www.otzar.org/book.asp?165571","נפלאות הקדיש")</f>
        <v>נפלאות הקדיש</v>
      </c>
    </row>
    <row r="28081" spans="1:6" x14ac:dyDescent="0.2">
      <c r="A28081" t="s">
        <v>44465</v>
      </c>
      <c r="B28081" t="s">
        <v>2161</v>
      </c>
      <c r="C28081" t="s">
        <v>189</v>
      </c>
      <c r="D28081" t="s">
        <v>52</v>
      </c>
      <c r="E28081" t="s">
        <v>733</v>
      </c>
      <c r="F28081" s="2" t="str">
        <f>HYPERLINK("http://www.otzar.org/book.asp?183286","נפלאות הרבי &lt;מהדורה חדשה&gt;")</f>
        <v>נפלאות הרבי &lt;מהדורה חדשה&gt;</v>
      </c>
    </row>
    <row r="28082" spans="1:6" x14ac:dyDescent="0.2">
      <c r="A28082" t="s">
        <v>44466</v>
      </c>
      <c r="B28082" t="s">
        <v>44467</v>
      </c>
      <c r="C28082" t="s">
        <v>99</v>
      </c>
      <c r="D28082" t="s">
        <v>1566</v>
      </c>
      <c r="E28082" t="s">
        <v>226</v>
      </c>
      <c r="F28082" s="2" t="str">
        <f>HYPERLINK("http://www.otzar.org/book.asp?191703","נפלאות הרבי ר' בונם מפרשיסחא")</f>
        <v>נפלאות הרבי ר' בונם מפרשיסחא</v>
      </c>
    </row>
    <row r="28083" spans="1:6" x14ac:dyDescent="0.2">
      <c r="A28083" t="s">
        <v>44468</v>
      </c>
      <c r="B28083" t="s">
        <v>2161</v>
      </c>
      <c r="C28083" t="s">
        <v>360</v>
      </c>
      <c r="D28083" t="s">
        <v>691</v>
      </c>
      <c r="E28083" t="s">
        <v>140</v>
      </c>
      <c r="F28083" s="2" t="str">
        <f>HYPERLINK("http://www.otzar.org/book.asp?23361","נפלאות הרבי")</f>
        <v>נפלאות הרבי</v>
      </c>
    </row>
    <row r="28084" spans="1:6" x14ac:dyDescent="0.2">
      <c r="A28084" t="s">
        <v>44469</v>
      </c>
      <c r="B28084" t="s">
        <v>44469</v>
      </c>
      <c r="C28084" t="s">
        <v>558</v>
      </c>
      <c r="D28084" t="s">
        <v>267</v>
      </c>
      <c r="E28084" t="s">
        <v>104</v>
      </c>
      <c r="F28084" s="2" t="str">
        <f>HYPERLINK("http://www.otzar.org/book.asp?159912","נפלאות השם")</f>
        <v>נפלאות השם</v>
      </c>
    </row>
    <row r="28085" spans="1:6" x14ac:dyDescent="0.2">
      <c r="A28085" t="s">
        <v>44469</v>
      </c>
      <c r="B28085" t="s">
        <v>2516</v>
      </c>
      <c r="C28085" t="s">
        <v>44447</v>
      </c>
      <c r="D28085" t="s">
        <v>44448</v>
      </c>
      <c r="F28085" s="2" t="str">
        <f>HYPERLINK("http://www.otzar.org/book.asp?608919","נפלאות השם")</f>
        <v>נפלאות השם</v>
      </c>
    </row>
    <row r="28086" spans="1:6" x14ac:dyDescent="0.2">
      <c r="A28086" t="s">
        <v>44470</v>
      </c>
      <c r="B28086" t="s">
        <v>44471</v>
      </c>
      <c r="C28086" t="s">
        <v>1202</v>
      </c>
      <c r="D28086" t="s">
        <v>225</v>
      </c>
      <c r="E28086" t="s">
        <v>140</v>
      </c>
      <c r="F28086" s="2" t="str">
        <f>HYPERLINK("http://www.otzar.org/book.asp?102056","נפלאות התפארת שלמה")</f>
        <v>נפלאות התפארת שלמה</v>
      </c>
    </row>
    <row r="28087" spans="1:6" x14ac:dyDescent="0.2">
      <c r="A28087" t="s">
        <v>44472</v>
      </c>
      <c r="B28087" t="s">
        <v>44473</v>
      </c>
      <c r="C28087" t="s">
        <v>1659</v>
      </c>
      <c r="D28087" t="s">
        <v>2041</v>
      </c>
      <c r="E28087" t="s">
        <v>158</v>
      </c>
      <c r="F28087" s="2" t="str">
        <f>HYPERLINK("http://www.otzar.org/book.asp?53473","נפלאות חדשות &lt;דפו""ר&gt;")</f>
        <v>נפלאות חדשות &lt;דפו"ר&gt;</v>
      </c>
    </row>
    <row r="28088" spans="1:6" x14ac:dyDescent="0.2">
      <c r="A28088" t="s">
        <v>44474</v>
      </c>
      <c r="B28088" t="s">
        <v>33223</v>
      </c>
      <c r="C28088" t="s">
        <v>748</v>
      </c>
      <c r="D28088" t="s">
        <v>225</v>
      </c>
      <c r="E28088" t="s">
        <v>140</v>
      </c>
      <c r="F28088" s="2" t="str">
        <f>HYPERLINK("http://www.otzar.org/book.asp?102059","נפלאות חדשות")</f>
        <v>נפלאות חדשות</v>
      </c>
    </row>
    <row r="28089" spans="1:6" x14ac:dyDescent="0.2">
      <c r="A28089" t="s">
        <v>44475</v>
      </c>
      <c r="B28089" t="s">
        <v>44473</v>
      </c>
      <c r="C28089" t="s">
        <v>360</v>
      </c>
      <c r="D28089" t="s">
        <v>283</v>
      </c>
      <c r="E28089" t="s">
        <v>158</v>
      </c>
      <c r="F28089" s="2" t="str">
        <f>HYPERLINK("http://www.otzar.org/book.asp?159118","נפלאות חדשות - 2 כר'")</f>
        <v>נפלאות חדשות - 2 כר'</v>
      </c>
    </row>
    <row r="28090" spans="1:6" x14ac:dyDescent="0.2">
      <c r="A28090" t="s">
        <v>44476</v>
      </c>
      <c r="B28090" t="s">
        <v>44477</v>
      </c>
      <c r="C28090" t="s">
        <v>466</v>
      </c>
      <c r="D28090" t="s">
        <v>14</v>
      </c>
      <c r="E28090" t="s">
        <v>158</v>
      </c>
      <c r="F28090" s="2" t="str">
        <f>HYPERLINK("http://www.otzar.org/book.asp?179759","נפלאות יעקב - בראשית")</f>
        <v>נפלאות יעקב - בראשית</v>
      </c>
    </row>
    <row r="28091" spans="1:6" x14ac:dyDescent="0.2">
      <c r="A28091" t="s">
        <v>44478</v>
      </c>
      <c r="B28091" t="s">
        <v>44479</v>
      </c>
      <c r="C28091" t="s">
        <v>1062</v>
      </c>
      <c r="D28091" t="s">
        <v>21</v>
      </c>
      <c r="F28091" s="2" t="str">
        <f>HYPERLINK("http://www.otzar.org/book.asp?197405","נפלאות ישראל")</f>
        <v>נפלאות ישראל</v>
      </c>
    </row>
    <row r="28092" spans="1:6" x14ac:dyDescent="0.2">
      <c r="A28092" t="s">
        <v>44480</v>
      </c>
      <c r="B28092" t="s">
        <v>5667</v>
      </c>
      <c r="C28092" t="s">
        <v>3840</v>
      </c>
      <c r="D28092" t="s">
        <v>27</v>
      </c>
      <c r="E28092" t="s">
        <v>733</v>
      </c>
      <c r="F28092" s="2" t="str">
        <f>HYPERLINK("http://www.otzar.org/book.asp?14681","נפלאות מהר""ל - 2 כר'")</f>
        <v>נפלאות מהר"ל - 2 כר'</v>
      </c>
    </row>
    <row r="28093" spans="1:6" x14ac:dyDescent="0.2">
      <c r="A28093" t="s">
        <v>44481</v>
      </c>
      <c r="B28093" t="s">
        <v>44482</v>
      </c>
      <c r="C28093" t="s">
        <v>585</v>
      </c>
      <c r="D28093" t="s">
        <v>412</v>
      </c>
      <c r="E28093" t="s">
        <v>119</v>
      </c>
      <c r="F28093" s="2" t="str">
        <f>HYPERLINK("http://www.otzar.org/book.asp?603533","נפלאות מהרי""ט")</f>
        <v>נפלאות מהרי"ט</v>
      </c>
    </row>
    <row r="28094" spans="1:6" x14ac:dyDescent="0.2">
      <c r="A28094" t="s">
        <v>44483</v>
      </c>
      <c r="B28094" t="s">
        <v>11403</v>
      </c>
      <c r="C28094" t="s">
        <v>1177</v>
      </c>
      <c r="D28094" t="s">
        <v>283</v>
      </c>
      <c r="E28094" t="s">
        <v>564</v>
      </c>
      <c r="F28094" s="2" t="str">
        <f>HYPERLINK("http://www.otzar.org/book.asp?16908","נפלאות מתורת השי""ת")</f>
        <v>נפלאות מתורת השי"ת</v>
      </c>
    </row>
    <row r="28095" spans="1:6" x14ac:dyDescent="0.2">
      <c r="A28095" t="s">
        <v>44484</v>
      </c>
      <c r="B28095" t="s">
        <v>44485</v>
      </c>
      <c r="C28095" t="s">
        <v>313</v>
      </c>
      <c r="D28095" t="s">
        <v>21</v>
      </c>
      <c r="E28095" t="s">
        <v>230</v>
      </c>
      <c r="F28095" s="2" t="str">
        <f>HYPERLINK("http://www.otzar.org/book.asp?190958","נפלאות מתורתיך")</f>
        <v>נפלאות מתורתיך</v>
      </c>
    </row>
    <row r="28096" spans="1:6" x14ac:dyDescent="0.2">
      <c r="A28096" t="s">
        <v>44486</v>
      </c>
      <c r="B28096" t="s">
        <v>17331</v>
      </c>
      <c r="C28096" t="s">
        <v>13</v>
      </c>
      <c r="D28096" t="s">
        <v>52</v>
      </c>
      <c r="E28096" t="s">
        <v>158</v>
      </c>
      <c r="F28096" s="2" t="str">
        <f>HYPERLINK("http://www.otzar.org/book.asp?157430","נפלאות מתורתך &lt;במדבר א&gt;")</f>
        <v>נפלאות מתורתך &lt;במדבר א&gt;</v>
      </c>
    </row>
    <row r="28097" spans="1:6" x14ac:dyDescent="0.2">
      <c r="A28097" t="s">
        <v>44487</v>
      </c>
      <c r="B28097" t="s">
        <v>17331</v>
      </c>
      <c r="C28097" t="s">
        <v>422</v>
      </c>
      <c r="D28097" t="s">
        <v>52</v>
      </c>
      <c r="E28097" t="s">
        <v>158</v>
      </c>
      <c r="F28097" s="2" t="str">
        <f>HYPERLINK("http://www.otzar.org/book.asp?157431","נפלאות מתורתך &lt;במדבר ב&gt;")</f>
        <v>נפלאות מתורתך &lt;במדבר ב&gt;</v>
      </c>
    </row>
    <row r="28098" spans="1:6" x14ac:dyDescent="0.2">
      <c r="A28098" t="s">
        <v>44488</v>
      </c>
      <c r="B28098" t="s">
        <v>44489</v>
      </c>
      <c r="C28098" t="s">
        <v>111</v>
      </c>
      <c r="D28098" t="s">
        <v>14</v>
      </c>
      <c r="E28098" t="s">
        <v>104</v>
      </c>
      <c r="F28098" s="2" t="str">
        <f>HYPERLINK("http://www.otzar.org/book.asp?619914","נפלאות מתורתך")</f>
        <v>נפלאות מתורתך</v>
      </c>
    </row>
    <row r="28099" spans="1:6" x14ac:dyDescent="0.2">
      <c r="A28099" t="s">
        <v>44488</v>
      </c>
      <c r="B28099" t="s">
        <v>44490</v>
      </c>
      <c r="C28099" t="s">
        <v>383</v>
      </c>
      <c r="D28099" t="s">
        <v>52</v>
      </c>
      <c r="E28099" t="s">
        <v>158</v>
      </c>
      <c r="F28099" s="2" t="str">
        <f>HYPERLINK("http://www.otzar.org/book.asp?606251","נפלאות מתורתך")</f>
        <v>נפלאות מתורתך</v>
      </c>
    </row>
    <row r="28100" spans="1:6" x14ac:dyDescent="0.2">
      <c r="A28100" t="s">
        <v>44488</v>
      </c>
      <c r="B28100" t="s">
        <v>31942</v>
      </c>
      <c r="C28100" t="s">
        <v>366</v>
      </c>
      <c r="D28100" t="s">
        <v>14</v>
      </c>
      <c r="E28100" t="s">
        <v>202</v>
      </c>
      <c r="F28100" s="2" t="str">
        <f>HYPERLINK("http://www.otzar.org/book.asp?608284","נפלאות מתורתך")</f>
        <v>נפלאות מתורתך</v>
      </c>
    </row>
    <row r="28101" spans="1:6" x14ac:dyDescent="0.2">
      <c r="A28101" t="s">
        <v>44491</v>
      </c>
      <c r="B28101" t="s">
        <v>44492</v>
      </c>
      <c r="C28101" t="s">
        <v>68</v>
      </c>
      <c r="D28101" t="s">
        <v>52</v>
      </c>
      <c r="E28101" t="s">
        <v>230</v>
      </c>
      <c r="F28101" s="2" t="str">
        <f>HYPERLINK("http://www.otzar.org/book.asp?157927","נפלאות מתורתך - בראשית, חנוכה")</f>
        <v>נפלאות מתורתך - בראשית, חנוכה</v>
      </c>
    </row>
    <row r="28102" spans="1:6" x14ac:dyDescent="0.2">
      <c r="A28102" t="s">
        <v>44493</v>
      </c>
      <c r="B28102" t="s">
        <v>4320</v>
      </c>
      <c r="C28102" t="s">
        <v>767</v>
      </c>
      <c r="D28102" t="s">
        <v>412</v>
      </c>
      <c r="E28102" t="s">
        <v>588</v>
      </c>
      <c r="F28102" s="2" t="str">
        <f>HYPERLINK("http://www.otzar.org/book.asp?145191","נפלאות מתורתך - 2 כר'")</f>
        <v>נפלאות מתורתך - 2 כר'</v>
      </c>
    </row>
    <row r="28103" spans="1:6" x14ac:dyDescent="0.2">
      <c r="A28103" t="s">
        <v>44494</v>
      </c>
      <c r="B28103" t="s">
        <v>44495</v>
      </c>
      <c r="C28103" t="s">
        <v>383</v>
      </c>
      <c r="D28103" t="s">
        <v>14</v>
      </c>
      <c r="E28103" t="s">
        <v>140</v>
      </c>
      <c r="F28103" s="2" t="str">
        <f>HYPERLINK("http://www.otzar.org/book.asp?105728","נפלאות רבי יהושע מדינוב")</f>
        <v>נפלאות רבי יהושע מדינוב</v>
      </c>
    </row>
    <row r="28104" spans="1:6" x14ac:dyDescent="0.2">
      <c r="A28104" t="s">
        <v>44496</v>
      </c>
      <c r="B28104" t="s">
        <v>15607</v>
      </c>
      <c r="C28104" t="s">
        <v>244</v>
      </c>
      <c r="D28104" t="s">
        <v>852</v>
      </c>
      <c r="F28104" s="2" t="str">
        <f>HYPERLINK("http://www.otzar.org/book.asp?613987","נפלאות רש""י - 2 כר'")</f>
        <v>נפלאות רש"י - 2 כר'</v>
      </c>
    </row>
    <row r="28105" spans="1:6" x14ac:dyDescent="0.2">
      <c r="A28105" t="s">
        <v>44497</v>
      </c>
      <c r="B28105" t="s">
        <v>44467</v>
      </c>
      <c r="C28105" t="s">
        <v>286</v>
      </c>
      <c r="D28105" t="s">
        <v>1566</v>
      </c>
      <c r="E28105" t="s">
        <v>140</v>
      </c>
      <c r="F28105" s="2" t="str">
        <f>HYPERLINK("http://www.otzar.org/book.asp?191702","נפלאות - 31 כר'")</f>
        <v>נפלאות - 31 כר'</v>
      </c>
    </row>
    <row r="28106" spans="1:6" x14ac:dyDescent="0.2">
      <c r="A28106" t="s">
        <v>44498</v>
      </c>
      <c r="B28106" t="s">
        <v>44499</v>
      </c>
      <c r="C28106" t="s">
        <v>111</v>
      </c>
      <c r="D28106" t="s">
        <v>367</v>
      </c>
      <c r="F28106" s="2" t="str">
        <f>HYPERLINK("http://www.otzar.org/book.asp?624840","נפלאותיך אשיחה - 2 כר'")</f>
        <v>נפלאותיך אשיחה - 2 כר'</v>
      </c>
    </row>
    <row r="28107" spans="1:6" x14ac:dyDescent="0.2">
      <c r="A28107" t="s">
        <v>44500</v>
      </c>
      <c r="B28107" t="s">
        <v>9290</v>
      </c>
      <c r="C28107" t="s">
        <v>23</v>
      </c>
      <c r="D28107" t="s">
        <v>21</v>
      </c>
      <c r="E28107" t="s">
        <v>144</v>
      </c>
      <c r="F28107" s="2" t="str">
        <f>HYPERLINK("http://www.otzar.org/book.asp?191582","נפלאים מעשיך - רוב וחזקות פ""ק דחולין")</f>
        <v>נפלאים מעשיך - רוב וחזקות פ"ק דחולין</v>
      </c>
    </row>
    <row r="28108" spans="1:6" x14ac:dyDescent="0.2">
      <c r="A28108" t="s">
        <v>44501</v>
      </c>
      <c r="B28108" t="s">
        <v>210</v>
      </c>
      <c r="C28108" t="s">
        <v>728</v>
      </c>
      <c r="D28108" t="s">
        <v>212</v>
      </c>
      <c r="E28108" t="s">
        <v>104</v>
      </c>
      <c r="F28108" s="2" t="str">
        <f>HYPERLINK("http://www.otzar.org/book.asp?84540","נפלאים מעשיך")</f>
        <v>נפלאים מעשיך</v>
      </c>
    </row>
    <row r="28109" spans="1:6" x14ac:dyDescent="0.2">
      <c r="A28109" t="s">
        <v>44502</v>
      </c>
      <c r="B28109" t="s">
        <v>599</v>
      </c>
      <c r="C28109" t="s">
        <v>1246</v>
      </c>
      <c r="D28109" t="s">
        <v>27</v>
      </c>
      <c r="E28109" t="s">
        <v>104</v>
      </c>
      <c r="F28109" s="2" t="str">
        <f>HYPERLINK("http://www.otzar.org/book.asp?5912","נפלאים מעשיך - 2 כר'")</f>
        <v>נפלאים מעשיך - 2 כר'</v>
      </c>
    </row>
    <row r="28110" spans="1:6" x14ac:dyDescent="0.2">
      <c r="A28110" t="s">
        <v>44501</v>
      </c>
      <c r="B28110" t="s">
        <v>3367</v>
      </c>
      <c r="C28110" t="s">
        <v>20</v>
      </c>
      <c r="D28110" t="s">
        <v>3560</v>
      </c>
      <c r="E28110" t="s">
        <v>104</v>
      </c>
      <c r="F28110" s="2" t="str">
        <f>HYPERLINK("http://www.otzar.org/book.asp?22950","נפלאים מעשיך")</f>
        <v>נפלאים מעשיך</v>
      </c>
    </row>
    <row r="28111" spans="1:6" x14ac:dyDescent="0.2">
      <c r="A28111" t="s">
        <v>44503</v>
      </c>
      <c r="B28111" t="s">
        <v>44504</v>
      </c>
      <c r="C28111" t="s">
        <v>286</v>
      </c>
      <c r="D28111" t="s">
        <v>44505</v>
      </c>
      <c r="E28111" t="s">
        <v>219</v>
      </c>
      <c r="F28111" s="2" t="str">
        <f>HYPERLINK("http://www.otzar.org/book.asp?196311","נפלאתיך אשיחה")</f>
        <v>נפלאתיך אשיחה</v>
      </c>
    </row>
    <row r="28112" spans="1:6" x14ac:dyDescent="0.2">
      <c r="A28112" t="s">
        <v>44506</v>
      </c>
      <c r="B28112" t="s">
        <v>44507</v>
      </c>
      <c r="C28112" t="s">
        <v>133</v>
      </c>
      <c r="D28112" t="s">
        <v>412</v>
      </c>
      <c r="E28112" t="s">
        <v>1507</v>
      </c>
      <c r="F28112" s="2" t="str">
        <f>HYPERLINK("http://www.otzar.org/book.asp?176500","נפש אד""ם &lt;מהדורה חדשה&gt;")</f>
        <v>נפש אד"ם &lt;מהדורה חדשה&gt;</v>
      </c>
    </row>
    <row r="28113" spans="1:6" x14ac:dyDescent="0.2">
      <c r="A28113" t="s">
        <v>44508</v>
      </c>
      <c r="B28113" t="s">
        <v>44507</v>
      </c>
      <c r="C28113" t="s">
        <v>1284</v>
      </c>
      <c r="D28113" t="s">
        <v>379</v>
      </c>
      <c r="E28113" t="s">
        <v>15</v>
      </c>
      <c r="F28113" s="2" t="str">
        <f>HYPERLINK("http://www.otzar.org/book.asp?161105","נפש אד""ם")</f>
        <v>נפש אד"ם</v>
      </c>
    </row>
    <row r="28114" spans="1:6" x14ac:dyDescent="0.2">
      <c r="A28114" t="s">
        <v>44509</v>
      </c>
      <c r="B28114" t="s">
        <v>44510</v>
      </c>
      <c r="C28114" t="s">
        <v>908</v>
      </c>
      <c r="D28114" t="s">
        <v>100</v>
      </c>
      <c r="E28114" t="s">
        <v>3878</v>
      </c>
      <c r="F28114" s="2" t="str">
        <f>HYPERLINK("http://www.otzar.org/book.asp?10123","נפש אדוני'")</f>
        <v>נפש אדוני'</v>
      </c>
    </row>
    <row r="28115" spans="1:6" x14ac:dyDescent="0.2">
      <c r="A28115" t="s">
        <v>44511</v>
      </c>
      <c r="B28115" t="s">
        <v>44512</v>
      </c>
      <c r="C28115" t="s">
        <v>1885</v>
      </c>
      <c r="D28115" t="s">
        <v>267</v>
      </c>
      <c r="E28115" t="s">
        <v>15</v>
      </c>
      <c r="F28115" s="2" t="str">
        <f>HYPERLINK("http://www.otzar.org/book.asp?149828","נפש אדם")</f>
        <v>נפש אדם</v>
      </c>
    </row>
    <row r="28116" spans="1:6" x14ac:dyDescent="0.2">
      <c r="A28116" t="s">
        <v>44513</v>
      </c>
      <c r="B28116" t="s">
        <v>44514</v>
      </c>
      <c r="C28116" t="s">
        <v>68</v>
      </c>
      <c r="D28116" t="s">
        <v>14</v>
      </c>
      <c r="E28116" t="s">
        <v>119</v>
      </c>
      <c r="F28116" s="2" t="str">
        <f>HYPERLINK("http://www.otzar.org/book.asp?189017","נפש אחת מישראל")</f>
        <v>נפש אחת מישראל</v>
      </c>
    </row>
    <row r="28117" spans="1:6" x14ac:dyDescent="0.2">
      <c r="A28117" t="s">
        <v>44515</v>
      </c>
      <c r="B28117" t="s">
        <v>11462</v>
      </c>
      <c r="C28117" t="s">
        <v>411</v>
      </c>
      <c r="D28117" t="s">
        <v>52</v>
      </c>
      <c r="E28117" t="s">
        <v>241</v>
      </c>
      <c r="F28117" s="2" t="str">
        <f>HYPERLINK("http://www.otzar.org/book.asp?169850","נפש אליהו &lt;מהדורה חדשה&gt;")</f>
        <v>נפש אליהו &lt;מהדורה חדשה&gt;</v>
      </c>
    </row>
    <row r="28118" spans="1:6" x14ac:dyDescent="0.2">
      <c r="A28118" t="s">
        <v>44516</v>
      </c>
      <c r="B28118" t="s">
        <v>11462</v>
      </c>
      <c r="C28118" t="s">
        <v>422</v>
      </c>
      <c r="D28118" t="s">
        <v>52</v>
      </c>
      <c r="E28118" t="s">
        <v>399</v>
      </c>
      <c r="F28118" s="2" t="str">
        <f>HYPERLINK("http://www.otzar.org/book.asp?153610","נפש אליהו")</f>
        <v>נפש אליהו</v>
      </c>
    </row>
    <row r="28119" spans="1:6" x14ac:dyDescent="0.2">
      <c r="A28119" t="s">
        <v>44517</v>
      </c>
      <c r="B28119" t="s">
        <v>32722</v>
      </c>
      <c r="C28119" t="s">
        <v>244</v>
      </c>
      <c r="D28119" t="s">
        <v>2798</v>
      </c>
      <c r="E28119" t="s">
        <v>158</v>
      </c>
      <c r="F28119" s="2" t="str">
        <f>HYPERLINK("http://www.otzar.org/book.asp?622265","נפש בצלאל - 2 כר'")</f>
        <v>נפש בצלאל - 2 כר'</v>
      </c>
    </row>
    <row r="28120" spans="1:6" x14ac:dyDescent="0.2">
      <c r="A28120" t="s">
        <v>44518</v>
      </c>
      <c r="B28120" t="s">
        <v>44519</v>
      </c>
      <c r="C28120" t="s">
        <v>533</v>
      </c>
      <c r="D28120" t="s">
        <v>80</v>
      </c>
      <c r="E28120" t="s">
        <v>158</v>
      </c>
      <c r="F28120" s="2" t="str">
        <f>HYPERLINK("http://www.otzar.org/book.asp?610432","נפש ברכה - ב (ויקרא, במדבר, דברים)")</f>
        <v>נפש ברכה - ב (ויקרא, במדבר, דברים)</v>
      </c>
    </row>
    <row r="28121" spans="1:6" x14ac:dyDescent="0.2">
      <c r="A28121" t="s">
        <v>44520</v>
      </c>
      <c r="B28121" t="s">
        <v>44521</v>
      </c>
      <c r="C28121" t="s">
        <v>2040</v>
      </c>
      <c r="D28121" t="s">
        <v>267</v>
      </c>
      <c r="E28121" t="s">
        <v>5712</v>
      </c>
      <c r="F28121" s="2" t="str">
        <f>HYPERLINK("http://www.otzar.org/book.asp?21464","נפש דוד")</f>
        <v>נפש דוד</v>
      </c>
    </row>
    <row r="28122" spans="1:6" x14ac:dyDescent="0.2">
      <c r="A28122" t="s">
        <v>44520</v>
      </c>
      <c r="B28122" t="s">
        <v>44522</v>
      </c>
      <c r="C28122" t="s">
        <v>1335</v>
      </c>
      <c r="D28122" t="s">
        <v>2276</v>
      </c>
      <c r="E28122" t="s">
        <v>44523</v>
      </c>
      <c r="F28122" s="2" t="str">
        <f>HYPERLINK("http://www.otzar.org/book.asp?16315","נפש דוד")</f>
        <v>נפש דוד</v>
      </c>
    </row>
    <row r="28123" spans="1:6" x14ac:dyDescent="0.2">
      <c r="A28123" t="s">
        <v>44520</v>
      </c>
      <c r="B28123" t="s">
        <v>44524</v>
      </c>
      <c r="C28123" t="s">
        <v>22961</v>
      </c>
      <c r="D28123" t="s">
        <v>1490</v>
      </c>
      <c r="E28123" t="s">
        <v>158</v>
      </c>
      <c r="F28123" s="2" t="str">
        <f>HYPERLINK("http://www.otzar.org/book.asp?103545","נפש דוד")</f>
        <v>נפש דוד</v>
      </c>
    </row>
    <row r="28124" spans="1:6" x14ac:dyDescent="0.2">
      <c r="A28124" t="s">
        <v>44520</v>
      </c>
      <c r="B28124" t="s">
        <v>44525</v>
      </c>
      <c r="C28124" t="s">
        <v>609</v>
      </c>
      <c r="D28124" t="s">
        <v>100</v>
      </c>
      <c r="E28124" t="s">
        <v>158</v>
      </c>
      <c r="F28124" s="2" t="str">
        <f>HYPERLINK("http://www.otzar.org/book.asp?25126","נפש דוד")</f>
        <v>נפש דוד</v>
      </c>
    </row>
    <row r="28125" spans="1:6" x14ac:dyDescent="0.2">
      <c r="A28125" t="s">
        <v>44520</v>
      </c>
      <c r="B28125" t="s">
        <v>1149</v>
      </c>
      <c r="C28125" t="s">
        <v>4705</v>
      </c>
      <c r="D28125" t="s">
        <v>1913</v>
      </c>
      <c r="E28125" t="s">
        <v>399</v>
      </c>
      <c r="F28125" s="2" t="str">
        <f>HYPERLINK("http://www.otzar.org/book.asp?5943","נפש דוד")</f>
        <v>נפש דוד</v>
      </c>
    </row>
    <row r="28126" spans="1:6" x14ac:dyDescent="0.2">
      <c r="A28126" t="s">
        <v>44520</v>
      </c>
      <c r="B28126" t="s">
        <v>5058</v>
      </c>
      <c r="C28126" t="s">
        <v>585</v>
      </c>
      <c r="D28126" t="s">
        <v>216</v>
      </c>
      <c r="E28126" t="s">
        <v>119</v>
      </c>
      <c r="F28126" s="2" t="str">
        <f>HYPERLINK("http://www.otzar.org/book.asp?143052","נפש דוד")</f>
        <v>נפש דוד</v>
      </c>
    </row>
    <row r="28127" spans="1:6" x14ac:dyDescent="0.2">
      <c r="A28127" t="s">
        <v>44526</v>
      </c>
      <c r="B28127" t="s">
        <v>44527</v>
      </c>
      <c r="C28127" t="s">
        <v>44528</v>
      </c>
      <c r="D28127" t="s">
        <v>225</v>
      </c>
      <c r="E28127" t="s">
        <v>158</v>
      </c>
      <c r="F28127" s="2" t="str">
        <f>HYPERLINK("http://www.otzar.org/book.asp?14138","נפש הגר")</f>
        <v>נפש הגר</v>
      </c>
    </row>
    <row r="28128" spans="1:6" x14ac:dyDescent="0.2">
      <c r="A28128" t="s">
        <v>44529</v>
      </c>
      <c r="B28128" t="s">
        <v>11462</v>
      </c>
      <c r="C28128" t="s">
        <v>422</v>
      </c>
      <c r="D28128" t="s">
        <v>52</v>
      </c>
      <c r="E28128" t="s">
        <v>241</v>
      </c>
      <c r="F28128" s="2" t="str">
        <f>HYPERLINK("http://www.otzar.org/book.asp?169852","נפש החיים &lt;ביאור יראת חיים&gt;")</f>
        <v>נפש החיים &lt;ביאור יראת חיים&gt;</v>
      </c>
    </row>
    <row r="28129" spans="1:6" x14ac:dyDescent="0.2">
      <c r="A28129" t="s">
        <v>44530</v>
      </c>
      <c r="B28129" t="s">
        <v>44531</v>
      </c>
      <c r="C28129" t="s">
        <v>129</v>
      </c>
      <c r="D28129" t="s">
        <v>736</v>
      </c>
      <c r="E28129" t="s">
        <v>213</v>
      </c>
      <c r="F28129" s="2" t="str">
        <f>HYPERLINK("http://www.otzar.org/book.asp?84378","נפש החיים &lt;ובחרת בחיים&gt;")</f>
        <v>נפש החיים &lt;ובחרת בחיים&gt;</v>
      </c>
    </row>
    <row r="28130" spans="1:6" x14ac:dyDescent="0.2">
      <c r="A28130" t="s">
        <v>44532</v>
      </c>
      <c r="B28130" t="s">
        <v>44533</v>
      </c>
      <c r="C28130" t="s">
        <v>411</v>
      </c>
      <c r="D28130" t="s">
        <v>14</v>
      </c>
      <c r="F28130" s="2" t="str">
        <f>HYPERLINK("http://www.otzar.org/book.asp?85886","נפש החיים &lt;רנת יצחק&gt;")</f>
        <v>נפש החיים &lt;רנת יצחק&gt;</v>
      </c>
    </row>
    <row r="28131" spans="1:6" x14ac:dyDescent="0.2">
      <c r="A28131" t="s">
        <v>44534</v>
      </c>
      <c r="B28131" t="s">
        <v>1465</v>
      </c>
      <c r="C28131" t="s">
        <v>111</v>
      </c>
      <c r="D28131" t="s">
        <v>52</v>
      </c>
      <c r="E28131" t="s">
        <v>241</v>
      </c>
      <c r="F28131" s="2" t="str">
        <f>HYPERLINK("http://www.otzar.org/book.asp?630237","נפש החיים &lt;לוח הלימוד היומי&gt;")</f>
        <v>נפש החיים &lt;לוח הלימוד היומי&gt;</v>
      </c>
    </row>
    <row r="28132" spans="1:6" x14ac:dyDescent="0.2">
      <c r="A28132" t="s">
        <v>44535</v>
      </c>
      <c r="B28132" t="s">
        <v>1465</v>
      </c>
      <c r="C28132" t="s">
        <v>785</v>
      </c>
      <c r="D28132" t="s">
        <v>52</v>
      </c>
      <c r="E28132" t="s">
        <v>213</v>
      </c>
      <c r="F28132" s="2" t="str">
        <f>HYPERLINK("http://www.otzar.org/book.asp?62954","נפש החיים &lt;מילואים וציונים ליקוטים והוספות&gt;")</f>
        <v>נפש החיים &lt;מילואים וציונים ליקוטים והוספות&gt;</v>
      </c>
    </row>
    <row r="28133" spans="1:6" x14ac:dyDescent="0.2">
      <c r="A28133" t="s">
        <v>44536</v>
      </c>
      <c r="B28133" t="s">
        <v>44537</v>
      </c>
      <c r="C28133" t="s">
        <v>13</v>
      </c>
      <c r="D28133" t="s">
        <v>14</v>
      </c>
      <c r="F28133" s="2" t="str">
        <f>HYPERLINK("http://www.otzar.org/book.asp?157486","נפש החיים עם ביאור משיבת נפש - 4 כר'")</f>
        <v>נפש החיים עם ביאור משיבת נפש - 4 כר'</v>
      </c>
    </row>
    <row r="28134" spans="1:6" x14ac:dyDescent="0.2">
      <c r="A28134" t="s">
        <v>44538</v>
      </c>
      <c r="B28134" t="s">
        <v>44539</v>
      </c>
      <c r="C28134" t="s">
        <v>114</v>
      </c>
      <c r="D28134" t="s">
        <v>21</v>
      </c>
      <c r="F28134" s="2" t="str">
        <f>HYPERLINK("http://www.otzar.org/book.asp?195537","נפש החיים שער ד עם ביאור נשמת יונה")</f>
        <v>נפש החיים שער ד עם ביאור נשמת יונה</v>
      </c>
    </row>
    <row r="28135" spans="1:6" x14ac:dyDescent="0.2">
      <c r="A28135" t="s">
        <v>44540</v>
      </c>
      <c r="B28135" t="s">
        <v>44541</v>
      </c>
      <c r="C28135" t="s">
        <v>129</v>
      </c>
      <c r="D28135" t="s">
        <v>14</v>
      </c>
      <c r="E28135" t="s">
        <v>213</v>
      </c>
      <c r="F28135" s="2" t="str">
        <f>HYPERLINK("http://www.otzar.org/book.asp?62687","נפש החיים - הקדמות ושערים")</f>
        <v>נפש החיים - הקדמות ושערים</v>
      </c>
    </row>
    <row r="28136" spans="1:6" x14ac:dyDescent="0.2">
      <c r="A28136" t="s">
        <v>44542</v>
      </c>
      <c r="B28136" t="s">
        <v>1465</v>
      </c>
      <c r="C28136" t="s">
        <v>603</v>
      </c>
      <c r="D28136" t="s">
        <v>56</v>
      </c>
      <c r="E28136" t="s">
        <v>1391</v>
      </c>
      <c r="F28136" s="2" t="str">
        <f>HYPERLINK("http://www.otzar.org/book.asp?6141","נפש החיים - 4 כר'")</f>
        <v>נפש החיים - 4 כר'</v>
      </c>
    </row>
    <row r="28137" spans="1:6" x14ac:dyDescent="0.2">
      <c r="A28137" t="s">
        <v>44543</v>
      </c>
      <c r="B28137" t="s">
        <v>1565</v>
      </c>
      <c r="C28137" t="s">
        <v>1885</v>
      </c>
      <c r="D28137" t="s">
        <v>283</v>
      </c>
      <c r="E28137" t="s">
        <v>1164</v>
      </c>
      <c r="F28137" s="2" t="str">
        <f>HYPERLINK("http://www.otzar.org/book.asp?14642","נפש המסכת - ענג שבת")</f>
        <v>נפש המסכת - ענג שבת</v>
      </c>
    </row>
    <row r="28138" spans="1:6" x14ac:dyDescent="0.2">
      <c r="A28138" t="s">
        <v>44544</v>
      </c>
      <c r="B28138" t="s">
        <v>44545</v>
      </c>
      <c r="C28138" t="s">
        <v>466</v>
      </c>
      <c r="D28138" t="s">
        <v>14</v>
      </c>
      <c r="E28138" t="s">
        <v>119</v>
      </c>
      <c r="F28138" s="2" t="str">
        <f>HYPERLINK("http://www.otzar.org/book.asp?64100","נפש הרב")</f>
        <v>נפש הרב</v>
      </c>
    </row>
    <row r="28139" spans="1:6" x14ac:dyDescent="0.2">
      <c r="A28139" t="s">
        <v>44546</v>
      </c>
      <c r="B28139" t="s">
        <v>44547</v>
      </c>
      <c r="C28139" t="s">
        <v>334</v>
      </c>
      <c r="D28139" t="s">
        <v>216</v>
      </c>
      <c r="E28139" t="s">
        <v>384</v>
      </c>
      <c r="F28139" s="2" t="str">
        <f>HYPERLINK("http://www.otzar.org/book.asp?160278","נפש זכ""ה")</f>
        <v>נפש זכ"ה</v>
      </c>
    </row>
    <row r="28140" spans="1:6" x14ac:dyDescent="0.2">
      <c r="A28140" t="s">
        <v>44548</v>
      </c>
      <c r="B28140" t="s">
        <v>3759</v>
      </c>
      <c r="C28140" t="s">
        <v>129</v>
      </c>
      <c r="D28140" t="s">
        <v>2798</v>
      </c>
      <c r="E28140" t="s">
        <v>172</v>
      </c>
      <c r="F28140" s="2" t="str">
        <f>HYPERLINK("http://www.otzar.org/book.asp?153722","נפש חיה &lt;מהדורה חדשה&gt;")</f>
        <v>נפש חיה &lt;מהדורה חדשה&gt;</v>
      </c>
    </row>
    <row r="28141" spans="1:6" x14ac:dyDescent="0.2">
      <c r="A28141" t="s">
        <v>44549</v>
      </c>
      <c r="B28141" t="s">
        <v>44550</v>
      </c>
      <c r="C28141" t="s">
        <v>143</v>
      </c>
      <c r="D28141" t="s">
        <v>52</v>
      </c>
      <c r="F28141" s="2" t="str">
        <f>HYPERLINK("http://www.otzar.org/book.asp?617521","נפש חיה")</f>
        <v>נפש חיה</v>
      </c>
    </row>
    <row r="28142" spans="1:6" x14ac:dyDescent="0.2">
      <c r="A28142" t="s">
        <v>44551</v>
      </c>
      <c r="B28142" t="s">
        <v>44552</v>
      </c>
      <c r="C28142" t="s">
        <v>11939</v>
      </c>
      <c r="D28142" t="s">
        <v>225</v>
      </c>
      <c r="E28142" t="s">
        <v>9557</v>
      </c>
      <c r="F28142" s="2" t="str">
        <f>HYPERLINK("http://www.otzar.org/book.asp?155050","נפש חיה - 7 כר'")</f>
        <v>נפש חיה - 7 כר'</v>
      </c>
    </row>
    <row r="28143" spans="1:6" x14ac:dyDescent="0.2">
      <c r="A28143" t="s">
        <v>44553</v>
      </c>
      <c r="B28143" t="s">
        <v>25176</v>
      </c>
      <c r="C28143" t="s">
        <v>51</v>
      </c>
      <c r="D28143" t="s">
        <v>90</v>
      </c>
      <c r="E28143" t="s">
        <v>158</v>
      </c>
      <c r="F28143" s="2" t="str">
        <f>HYPERLINK("http://www.otzar.org/book.asp?618465","נפש חיה - 2 כר'")</f>
        <v>נפש חיה - 2 כר'</v>
      </c>
    </row>
    <row r="28144" spans="1:6" x14ac:dyDescent="0.2">
      <c r="A28144" t="s">
        <v>44549</v>
      </c>
      <c r="B28144" t="s">
        <v>44554</v>
      </c>
      <c r="C28144" t="s">
        <v>366</v>
      </c>
      <c r="D28144" t="s">
        <v>14</v>
      </c>
      <c r="E28144" t="s">
        <v>202</v>
      </c>
      <c r="F28144" s="2" t="str">
        <f>HYPERLINK("http://www.otzar.org/book.asp?621803","נפש חיה")</f>
        <v>נפש חיה</v>
      </c>
    </row>
    <row r="28145" spans="1:6" x14ac:dyDescent="0.2">
      <c r="A28145" t="s">
        <v>44549</v>
      </c>
      <c r="B28145" t="s">
        <v>44555</v>
      </c>
      <c r="C28145" t="s">
        <v>445</v>
      </c>
      <c r="D28145" t="s">
        <v>4269</v>
      </c>
      <c r="E28145" t="s">
        <v>44556</v>
      </c>
      <c r="F28145" s="2" t="str">
        <f>HYPERLINK("http://www.otzar.org/book.asp?200270","נפש חיה")</f>
        <v>נפש חיה</v>
      </c>
    </row>
    <row r="28146" spans="1:6" x14ac:dyDescent="0.2">
      <c r="A28146" t="s">
        <v>44549</v>
      </c>
      <c r="B28146" t="s">
        <v>30642</v>
      </c>
      <c r="C28146" t="s">
        <v>156</v>
      </c>
      <c r="D28146" t="s">
        <v>283</v>
      </c>
      <c r="E28146" t="s">
        <v>144</v>
      </c>
      <c r="F28146" s="2" t="str">
        <f>HYPERLINK("http://www.otzar.org/book.asp?183","נפש חיה")</f>
        <v>נפש חיה</v>
      </c>
    </row>
    <row r="28147" spans="1:6" x14ac:dyDescent="0.2">
      <c r="A28147" t="s">
        <v>44549</v>
      </c>
      <c r="B28147" t="s">
        <v>3759</v>
      </c>
      <c r="C28147" t="s">
        <v>482</v>
      </c>
      <c r="D28147" t="s">
        <v>260</v>
      </c>
      <c r="E28147" t="s">
        <v>172</v>
      </c>
      <c r="F28147" s="2" t="str">
        <f>HYPERLINK("http://www.otzar.org/book.asp?5266","נפש חיה")</f>
        <v>נפש חיה</v>
      </c>
    </row>
    <row r="28148" spans="1:6" x14ac:dyDescent="0.2">
      <c r="A28148" t="s">
        <v>44549</v>
      </c>
      <c r="B28148" t="s">
        <v>16472</v>
      </c>
      <c r="C28148" t="s">
        <v>23</v>
      </c>
      <c r="D28148" t="s">
        <v>52</v>
      </c>
      <c r="E28148" t="s">
        <v>241</v>
      </c>
      <c r="F28148" s="2" t="str">
        <f>HYPERLINK("http://www.otzar.org/book.asp?629628","נפש חיה")</f>
        <v>נפש חיה</v>
      </c>
    </row>
    <row r="28149" spans="1:6" x14ac:dyDescent="0.2">
      <c r="A28149" t="s">
        <v>44549</v>
      </c>
      <c r="B28149" t="s">
        <v>44557</v>
      </c>
      <c r="C28149" t="s">
        <v>1954</v>
      </c>
      <c r="D28149" t="s">
        <v>9</v>
      </c>
      <c r="E28149" t="s">
        <v>230</v>
      </c>
      <c r="F28149" s="2" t="str">
        <f>HYPERLINK("http://www.otzar.org/book.asp?51731","נפש חיה")</f>
        <v>נפש חיה</v>
      </c>
    </row>
    <row r="28150" spans="1:6" x14ac:dyDescent="0.2">
      <c r="A28150" t="s">
        <v>44549</v>
      </c>
      <c r="B28150" t="s">
        <v>18215</v>
      </c>
      <c r="C28150" t="s">
        <v>146</v>
      </c>
      <c r="D28150" t="s">
        <v>14</v>
      </c>
      <c r="E28150" t="s">
        <v>213</v>
      </c>
      <c r="F28150" s="2" t="str">
        <f>HYPERLINK("http://www.otzar.org/book.asp?50700","נפש חיה")</f>
        <v>נפש חיה</v>
      </c>
    </row>
    <row r="28151" spans="1:6" x14ac:dyDescent="0.2">
      <c r="A28151" t="s">
        <v>44553</v>
      </c>
      <c r="B28151" t="s">
        <v>44558</v>
      </c>
      <c r="C28151" t="s">
        <v>129</v>
      </c>
      <c r="D28151" t="s">
        <v>52</v>
      </c>
      <c r="E28151" t="s">
        <v>10</v>
      </c>
      <c r="F28151" s="2" t="str">
        <f>HYPERLINK("http://www.otzar.org/book.asp?51118","נפש חיה - 2 כר'")</f>
        <v>נפש חיה - 2 כר'</v>
      </c>
    </row>
    <row r="28152" spans="1:6" x14ac:dyDescent="0.2">
      <c r="A28152" t="s">
        <v>44549</v>
      </c>
      <c r="B28152" t="s">
        <v>13473</v>
      </c>
      <c r="C28152" t="s">
        <v>1470</v>
      </c>
      <c r="D28152" t="s">
        <v>27</v>
      </c>
      <c r="E28152" t="s">
        <v>674</v>
      </c>
      <c r="F28152" s="2" t="str">
        <f>HYPERLINK("http://www.otzar.org/book.asp?182581","נפש חיה")</f>
        <v>נפש חיה</v>
      </c>
    </row>
    <row r="28153" spans="1:6" x14ac:dyDescent="0.2">
      <c r="A28153" t="s">
        <v>44559</v>
      </c>
      <c r="B28153" t="s">
        <v>155</v>
      </c>
      <c r="C28153" t="s">
        <v>103</v>
      </c>
      <c r="D28153" t="s">
        <v>118</v>
      </c>
      <c r="E28153" t="s">
        <v>104</v>
      </c>
      <c r="F28153" s="2" t="str">
        <f>HYPERLINK("http://www.otzar.org/book.asp?23636","נפש חיים &lt;מהדורה חדשה&gt;")</f>
        <v>נפש חיים &lt;מהדורה חדשה&gt;</v>
      </c>
    </row>
    <row r="28154" spans="1:6" x14ac:dyDescent="0.2">
      <c r="A28154" t="s">
        <v>44560</v>
      </c>
      <c r="B28154" t="s">
        <v>155</v>
      </c>
      <c r="C28154" t="s">
        <v>3709</v>
      </c>
      <c r="D28154" t="s">
        <v>76</v>
      </c>
      <c r="E28154" t="s">
        <v>213</v>
      </c>
      <c r="F28154" s="2" t="str">
        <f>HYPERLINK("http://www.otzar.org/book.asp?104444","נפש חיים")</f>
        <v>נפש חיים</v>
      </c>
    </row>
    <row r="28155" spans="1:6" x14ac:dyDescent="0.2">
      <c r="A28155" t="s">
        <v>44561</v>
      </c>
      <c r="B28155" t="s">
        <v>21931</v>
      </c>
      <c r="C28155" t="s">
        <v>23</v>
      </c>
      <c r="D28155" t="s">
        <v>52</v>
      </c>
      <c r="E28155" t="s">
        <v>144</v>
      </c>
      <c r="F28155" s="2" t="str">
        <f>HYPERLINK("http://www.otzar.org/book.asp?193504","נפש חנה - 2 כר'")</f>
        <v>נפש חנה - 2 כר'</v>
      </c>
    </row>
    <row r="28156" spans="1:6" x14ac:dyDescent="0.2">
      <c r="A28156" t="s">
        <v>44562</v>
      </c>
      <c r="B28156" t="s">
        <v>5218</v>
      </c>
      <c r="C28156" t="s">
        <v>1619</v>
      </c>
      <c r="D28156" t="s">
        <v>1840</v>
      </c>
      <c r="E28156" t="s">
        <v>786</v>
      </c>
      <c r="F28156" s="2" t="str">
        <f>HYPERLINK("http://www.otzar.org/book.asp?53651","נפש טוב")</f>
        <v>נפש טוב</v>
      </c>
    </row>
    <row r="28157" spans="1:6" x14ac:dyDescent="0.2">
      <c r="A28157" t="s">
        <v>44563</v>
      </c>
      <c r="B28157" t="s">
        <v>44564</v>
      </c>
      <c r="C28157" t="s">
        <v>1047</v>
      </c>
      <c r="D28157" t="s">
        <v>756</v>
      </c>
      <c r="E28157" t="s">
        <v>158</v>
      </c>
      <c r="F28157" s="2" t="str">
        <f>HYPERLINK("http://www.otzar.org/book.asp?151587","נפש טובה")</f>
        <v>נפש טובה</v>
      </c>
    </row>
    <row r="28158" spans="1:6" x14ac:dyDescent="0.2">
      <c r="A28158" t="s">
        <v>44565</v>
      </c>
      <c r="B28158" t="s">
        <v>38741</v>
      </c>
      <c r="C28158" t="s">
        <v>445</v>
      </c>
      <c r="D28158" t="s">
        <v>379</v>
      </c>
      <c r="E28158" t="s">
        <v>32419</v>
      </c>
      <c r="F28158" s="2" t="str">
        <f>HYPERLINK("http://www.otzar.org/book.asp?22329","נפש יהודה - 2 כר'")</f>
        <v>נפש יהודה - 2 כר'</v>
      </c>
    </row>
    <row r="28159" spans="1:6" x14ac:dyDescent="0.2">
      <c r="A28159" t="s">
        <v>44566</v>
      </c>
      <c r="B28159" t="s">
        <v>1990</v>
      </c>
      <c r="C28159" t="s">
        <v>854</v>
      </c>
      <c r="D28159" t="s">
        <v>225</v>
      </c>
      <c r="E28159" t="s">
        <v>44567</v>
      </c>
      <c r="F28159" s="2" t="str">
        <f>HYPERLINK("http://www.otzar.org/book.asp?5520","נפש יהונתן &lt;ציון לנפש&gt; - 2 כר'")</f>
        <v>נפש יהונתן &lt;ציון לנפש&gt; - 2 כר'</v>
      </c>
    </row>
    <row r="28160" spans="1:6" x14ac:dyDescent="0.2">
      <c r="A28160" t="s">
        <v>44568</v>
      </c>
      <c r="B28160" t="s">
        <v>44569</v>
      </c>
      <c r="C28160" t="s">
        <v>29112</v>
      </c>
      <c r="D28160" t="s">
        <v>4772</v>
      </c>
      <c r="E28160" t="s">
        <v>27748</v>
      </c>
      <c r="F28160" s="2" t="str">
        <f>HYPERLINK("http://www.otzar.org/book.asp?502","נפש יהונתן - 3 כר'")</f>
        <v>נפש יהונתן - 3 כר'</v>
      </c>
    </row>
    <row r="28161" spans="1:6" x14ac:dyDescent="0.2">
      <c r="A28161" t="s">
        <v>44570</v>
      </c>
      <c r="B28161" t="s">
        <v>44571</v>
      </c>
      <c r="C28161" t="s">
        <v>13</v>
      </c>
      <c r="D28161" t="s">
        <v>14</v>
      </c>
      <c r="F28161" s="2" t="str">
        <f>HYPERLINK("http://www.otzar.org/book.asp?197079","נפש יוסף &lt;זמירות שבת&gt;")</f>
        <v>נפש יוסף &lt;זמירות שבת&gt;</v>
      </c>
    </row>
    <row r="28162" spans="1:6" x14ac:dyDescent="0.2">
      <c r="A28162" t="s">
        <v>44572</v>
      </c>
      <c r="B28162" t="s">
        <v>44571</v>
      </c>
      <c r="C28162" t="s">
        <v>37</v>
      </c>
      <c r="D28162" t="s">
        <v>14</v>
      </c>
      <c r="F28162" s="2" t="str">
        <f>HYPERLINK("http://www.otzar.org/book.asp?197078","נפש יוסף")</f>
        <v>נפש יוסף</v>
      </c>
    </row>
    <row r="28163" spans="1:6" x14ac:dyDescent="0.2">
      <c r="A28163" t="s">
        <v>44572</v>
      </c>
      <c r="B28163" t="s">
        <v>44573</v>
      </c>
      <c r="C28163" t="s">
        <v>624</v>
      </c>
      <c r="D28163" t="s">
        <v>44574</v>
      </c>
      <c r="E28163" t="s">
        <v>474</v>
      </c>
      <c r="F28163" s="2" t="str">
        <f>HYPERLINK("http://www.otzar.org/book.asp?171394","נפש יוסף")</f>
        <v>נפש יוסף</v>
      </c>
    </row>
    <row r="28164" spans="1:6" x14ac:dyDescent="0.2">
      <c r="A28164" t="s">
        <v>44572</v>
      </c>
      <c r="B28164" t="s">
        <v>44575</v>
      </c>
      <c r="C28164" t="s">
        <v>1414</v>
      </c>
      <c r="D28164" t="s">
        <v>76</v>
      </c>
      <c r="E28164" t="s">
        <v>158</v>
      </c>
      <c r="F28164" s="2" t="str">
        <f>HYPERLINK("http://www.otzar.org/book.asp?21465","נפש יוסף")</f>
        <v>נפש יוסף</v>
      </c>
    </row>
    <row r="28165" spans="1:6" x14ac:dyDescent="0.2">
      <c r="A28165" t="s">
        <v>44576</v>
      </c>
      <c r="B28165" t="s">
        <v>44577</v>
      </c>
      <c r="C28165" t="s">
        <v>20</v>
      </c>
      <c r="D28165" t="s">
        <v>52</v>
      </c>
      <c r="E28165" t="s">
        <v>104</v>
      </c>
      <c r="F28165" s="2" t="str">
        <f>HYPERLINK("http://www.otzar.org/book.asp?176333","נפש יחזקאל - מאמרים")</f>
        <v>נפש יחזקאל - מאמרים</v>
      </c>
    </row>
    <row r="28166" spans="1:6" x14ac:dyDescent="0.2">
      <c r="A28166" t="s">
        <v>44578</v>
      </c>
      <c r="B28166" t="s">
        <v>44579</v>
      </c>
      <c r="C28166" t="s">
        <v>23</v>
      </c>
      <c r="D28166" t="s">
        <v>52</v>
      </c>
      <c r="E28166" t="s">
        <v>172</v>
      </c>
      <c r="F28166" s="2" t="str">
        <f>HYPERLINK("http://www.otzar.org/book.asp?623238","נפש יחזקאל - 3 כר'")</f>
        <v>נפש יחזקאל - 3 כר'</v>
      </c>
    </row>
    <row r="28167" spans="1:6" x14ac:dyDescent="0.2">
      <c r="A28167" t="s">
        <v>44580</v>
      </c>
      <c r="B28167" t="s">
        <v>44581</v>
      </c>
      <c r="C28167" t="s">
        <v>151</v>
      </c>
      <c r="D28167" t="s">
        <v>14</v>
      </c>
      <c r="F28167" s="2" t="str">
        <f>HYPERLINK("http://www.otzar.org/book.asp?609234","נפש יצחק")</f>
        <v>נפש יצחק</v>
      </c>
    </row>
    <row r="28168" spans="1:6" x14ac:dyDescent="0.2">
      <c r="A28168" t="s">
        <v>44582</v>
      </c>
      <c r="B28168" t="s">
        <v>44583</v>
      </c>
      <c r="C28168" t="s">
        <v>244</v>
      </c>
      <c r="D28168" t="s">
        <v>90</v>
      </c>
      <c r="F28168" s="2" t="str">
        <f>HYPERLINK("http://www.otzar.org/book.asp?199845","נפש יקרה")</f>
        <v>נפש יקרה</v>
      </c>
    </row>
    <row r="28169" spans="1:6" x14ac:dyDescent="0.2">
      <c r="A28169" t="s">
        <v>44584</v>
      </c>
      <c r="B28169" t="s">
        <v>2500</v>
      </c>
      <c r="C28169" t="s">
        <v>1811</v>
      </c>
      <c r="D28169" t="s">
        <v>412</v>
      </c>
      <c r="E28169" t="s">
        <v>15</v>
      </c>
      <c r="F28169" s="2" t="str">
        <f>HYPERLINK("http://www.otzar.org/book.asp?63240","נפש ישעיה - א")</f>
        <v>נפש ישעיה - א</v>
      </c>
    </row>
    <row r="28170" spans="1:6" x14ac:dyDescent="0.2">
      <c r="A28170" t="s">
        <v>44585</v>
      </c>
      <c r="B28170" t="s">
        <v>2396</v>
      </c>
      <c r="C28170" t="s">
        <v>13</v>
      </c>
      <c r="D28170" t="s">
        <v>1076</v>
      </c>
      <c r="E28170" t="s">
        <v>803</v>
      </c>
      <c r="F28170" s="2" t="str">
        <f>HYPERLINK("http://www.otzar.org/book.asp?165267","נפש יששכר - 2 כר'")</f>
        <v>נפש יששכר - 2 כר'</v>
      </c>
    </row>
    <row r="28171" spans="1:6" x14ac:dyDescent="0.2">
      <c r="A28171" t="s">
        <v>44586</v>
      </c>
      <c r="B28171" t="s">
        <v>155</v>
      </c>
      <c r="C28171" t="s">
        <v>603</v>
      </c>
      <c r="D28171" t="s">
        <v>157</v>
      </c>
      <c r="E28171" t="s">
        <v>104</v>
      </c>
      <c r="F28171" s="2" t="str">
        <f>HYPERLINK("http://www.otzar.org/book.asp?20341","נפש כל חי")</f>
        <v>נפש כל חי</v>
      </c>
    </row>
    <row r="28172" spans="1:6" x14ac:dyDescent="0.2">
      <c r="A28172" t="s">
        <v>44586</v>
      </c>
      <c r="B28172" t="s">
        <v>17331</v>
      </c>
      <c r="C28172" t="s">
        <v>624</v>
      </c>
      <c r="D28172" t="s">
        <v>52</v>
      </c>
      <c r="F28172" s="2" t="str">
        <f>HYPERLINK("http://www.otzar.org/book.asp?196605","נפש כל חי")</f>
        <v>נפש כל חי</v>
      </c>
    </row>
    <row r="28173" spans="1:6" x14ac:dyDescent="0.2">
      <c r="A28173" t="s">
        <v>44586</v>
      </c>
      <c r="B28173" t="s">
        <v>30917</v>
      </c>
      <c r="C28173" t="s">
        <v>51</v>
      </c>
      <c r="D28173" t="s">
        <v>14</v>
      </c>
      <c r="E28173" t="s">
        <v>15</v>
      </c>
      <c r="F28173" s="2" t="str">
        <f>HYPERLINK("http://www.otzar.org/book.asp?22529","נפש כל חי")</f>
        <v>נפש כל חי</v>
      </c>
    </row>
    <row r="28174" spans="1:6" x14ac:dyDescent="0.2">
      <c r="A28174" t="s">
        <v>44587</v>
      </c>
      <c r="B28174" t="s">
        <v>44588</v>
      </c>
      <c r="C28174" t="s">
        <v>334</v>
      </c>
      <c r="D28174" t="s">
        <v>90</v>
      </c>
      <c r="E28174" t="s">
        <v>199</v>
      </c>
      <c r="F28174" s="2" t="str">
        <f>HYPERLINK("http://www.otzar.org/book.asp?160265","נפש להרב פינחס קהתי")</f>
        <v>נפש להרב פינחס קהתי</v>
      </c>
    </row>
    <row r="28175" spans="1:6" x14ac:dyDescent="0.2">
      <c r="A28175" t="s">
        <v>44589</v>
      </c>
      <c r="B28175" t="s">
        <v>44590</v>
      </c>
      <c r="C28175" t="s">
        <v>576</v>
      </c>
      <c r="D28175" t="s">
        <v>27</v>
      </c>
      <c r="E28175" t="s">
        <v>202</v>
      </c>
      <c r="F28175" s="2" t="str">
        <f>HYPERLINK("http://www.otzar.org/book.asp?11746","נפש לחבר")</f>
        <v>נפש לחבר</v>
      </c>
    </row>
    <row r="28176" spans="1:6" x14ac:dyDescent="0.2">
      <c r="A28176" t="s">
        <v>44591</v>
      </c>
      <c r="B28176" t="s">
        <v>44592</v>
      </c>
      <c r="C28176" t="s">
        <v>482</v>
      </c>
      <c r="D28176" t="s">
        <v>260</v>
      </c>
      <c r="F28176" s="2" t="str">
        <f>HYPERLINK("http://www.otzar.org/book.asp?194715","נפש לכהר""ר סעדיה עוזרי")</f>
        <v>נפש לכהר"ר סעדיה עוזרי</v>
      </c>
    </row>
    <row r="28177" spans="1:6" x14ac:dyDescent="0.2">
      <c r="A28177" t="s">
        <v>44593</v>
      </c>
      <c r="B28177" t="s">
        <v>1306</v>
      </c>
      <c r="C28177" t="s">
        <v>427</v>
      </c>
      <c r="D28177" t="s">
        <v>14</v>
      </c>
      <c r="E28177" t="s">
        <v>44594</v>
      </c>
      <c r="F28177" s="2" t="str">
        <f>HYPERLINK("http://www.otzar.org/book.asp?25860","נפש לראובן")</f>
        <v>נפש לראובן</v>
      </c>
    </row>
    <row r="28178" spans="1:6" x14ac:dyDescent="0.2">
      <c r="A28178" t="s">
        <v>44595</v>
      </c>
      <c r="B28178" t="s">
        <v>44596</v>
      </c>
      <c r="C28178" t="s">
        <v>411</v>
      </c>
      <c r="D28178" t="s">
        <v>14</v>
      </c>
      <c r="E28178" t="s">
        <v>119</v>
      </c>
      <c r="F28178" s="2" t="str">
        <f>HYPERLINK("http://www.otzar.org/book.asp?611041","נפש נקי וצדיק")</f>
        <v>נפש נקי וצדיק</v>
      </c>
    </row>
    <row r="28179" spans="1:6" x14ac:dyDescent="0.2">
      <c r="A28179" t="s">
        <v>44597</v>
      </c>
      <c r="B28179" t="s">
        <v>31346</v>
      </c>
      <c r="C28179" t="s">
        <v>291</v>
      </c>
      <c r="D28179" t="s">
        <v>283</v>
      </c>
      <c r="E28179" t="s">
        <v>234</v>
      </c>
      <c r="F28179" s="2" t="str">
        <f>HYPERLINK("http://www.otzar.org/book.asp?102053","נפש נקי חקוק לזכרון")</f>
        <v>נפש נקי חקוק לזכרון</v>
      </c>
    </row>
    <row r="28180" spans="1:6" x14ac:dyDescent="0.2">
      <c r="A28180" t="s">
        <v>44598</v>
      </c>
      <c r="B28180" t="s">
        <v>12085</v>
      </c>
      <c r="C28180" t="s">
        <v>189</v>
      </c>
      <c r="D28180" t="s">
        <v>14</v>
      </c>
      <c r="E28180" t="s">
        <v>213</v>
      </c>
      <c r="F28180" s="2" t="str">
        <f>HYPERLINK("http://www.otzar.org/book.asp?26369","נפש שמשון - 6 כר'")</f>
        <v>נפש שמשון - 6 כר'</v>
      </c>
    </row>
    <row r="28181" spans="1:6" x14ac:dyDescent="0.2">
      <c r="A28181" t="s">
        <v>44599</v>
      </c>
      <c r="B28181" t="s">
        <v>44600</v>
      </c>
      <c r="C28181" t="s">
        <v>313</v>
      </c>
      <c r="D28181" t="s">
        <v>14</v>
      </c>
      <c r="E28181" t="s">
        <v>140</v>
      </c>
      <c r="F28181" s="2" t="str">
        <f>HYPERLINK("http://www.otzar.org/book.asp?180098","נפשות חסידיו - 2 כר'")</f>
        <v>נפשות חסידיו - 2 כר'</v>
      </c>
    </row>
    <row r="28182" spans="1:6" x14ac:dyDescent="0.2">
      <c r="A28182" t="s">
        <v>44601</v>
      </c>
      <c r="B28182" t="s">
        <v>44602</v>
      </c>
      <c r="C28182" t="s">
        <v>812</v>
      </c>
      <c r="D28182" t="s">
        <v>44603</v>
      </c>
      <c r="E28182" t="s">
        <v>234</v>
      </c>
      <c r="F28182" s="2" t="str">
        <f>HYPERLINK("http://www.otzar.org/book.asp?149420","נפשות לצדיקים")</f>
        <v>נפשות לצדיקים</v>
      </c>
    </row>
    <row r="28183" spans="1:6" x14ac:dyDescent="0.2">
      <c r="A28183" t="s">
        <v>44604</v>
      </c>
      <c r="B28183" t="s">
        <v>31305</v>
      </c>
      <c r="C28183" t="s">
        <v>114</v>
      </c>
      <c r="D28183" t="s">
        <v>367</v>
      </c>
      <c r="E28183" t="s">
        <v>219</v>
      </c>
      <c r="F28183" s="2" t="str">
        <f>HYPERLINK("http://www.otzar.org/book.asp?195714","נפשי בכפי")</f>
        <v>נפשי בכפי</v>
      </c>
    </row>
    <row r="28184" spans="1:6" x14ac:dyDescent="0.2">
      <c r="A28184" t="s">
        <v>44605</v>
      </c>
      <c r="B28184" t="s">
        <v>1602</v>
      </c>
      <c r="C28184" t="s">
        <v>129</v>
      </c>
      <c r="D28184" t="s">
        <v>14</v>
      </c>
      <c r="E28184" t="s">
        <v>154</v>
      </c>
      <c r="F28184" s="2" t="str">
        <f>HYPERLINK("http://www.otzar.org/book.asp?63792","נפשי בשאלתי - 3 כר'")</f>
        <v>נפשי בשאלתי - 3 כר'</v>
      </c>
    </row>
    <row r="28185" spans="1:6" x14ac:dyDescent="0.2">
      <c r="A28185" t="s">
        <v>44606</v>
      </c>
      <c r="B28185" t="s">
        <v>27584</v>
      </c>
      <c r="C28185" t="s">
        <v>454</v>
      </c>
      <c r="D28185" t="s">
        <v>14</v>
      </c>
      <c r="E28185" t="s">
        <v>219</v>
      </c>
      <c r="F28185" s="2" t="str">
        <f>HYPERLINK("http://www.otzar.org/book.asp?26755","נפשי חולת אהבתך - 2 כר'")</f>
        <v>נפשי חולת אהבתך - 2 כר'</v>
      </c>
    </row>
    <row r="28186" spans="1:6" x14ac:dyDescent="0.2">
      <c r="A28186" t="s">
        <v>44607</v>
      </c>
      <c r="B28186" t="s">
        <v>44608</v>
      </c>
      <c r="C28186" t="s">
        <v>23</v>
      </c>
      <c r="D28186" t="s">
        <v>367</v>
      </c>
      <c r="F28186" s="2" t="str">
        <f>HYPERLINK("http://www.otzar.org/book.asp?609968","נפת צופים &lt;מהדורה חדשה&gt;")</f>
        <v>נפת צופים &lt;מהדורה חדשה&gt;</v>
      </c>
    </row>
    <row r="28187" spans="1:6" x14ac:dyDescent="0.2">
      <c r="A28187" t="s">
        <v>44609</v>
      </c>
      <c r="B28187" t="s">
        <v>44608</v>
      </c>
      <c r="C28187" t="s">
        <v>812</v>
      </c>
      <c r="D28187" t="s">
        <v>6974</v>
      </c>
      <c r="E28187" t="s">
        <v>154</v>
      </c>
      <c r="F28187" s="2" t="str">
        <f>HYPERLINK("http://www.otzar.org/book.asp?20342","נפת צופים")</f>
        <v>נפת צופים</v>
      </c>
    </row>
    <row r="28188" spans="1:6" x14ac:dyDescent="0.2">
      <c r="A28188" t="s">
        <v>44609</v>
      </c>
      <c r="B28188" t="s">
        <v>44610</v>
      </c>
      <c r="C28188" t="s">
        <v>940</v>
      </c>
      <c r="D28188" t="s">
        <v>52</v>
      </c>
      <c r="E28188" t="s">
        <v>172</v>
      </c>
      <c r="F28188" s="2" t="str">
        <f>HYPERLINK("http://www.otzar.org/book.asp?61943","נפת צופים")</f>
        <v>נפת צופים</v>
      </c>
    </row>
    <row r="28189" spans="1:6" x14ac:dyDescent="0.2">
      <c r="A28189" t="s">
        <v>44609</v>
      </c>
      <c r="B28189" t="s">
        <v>43590</v>
      </c>
      <c r="C28189" t="s">
        <v>5527</v>
      </c>
      <c r="D28189" t="s">
        <v>1411</v>
      </c>
      <c r="E28189" t="s">
        <v>517</v>
      </c>
      <c r="F28189" s="2" t="str">
        <f>HYPERLINK("http://www.otzar.org/book.asp?5225","נפת צופים")</f>
        <v>נפת צופים</v>
      </c>
    </row>
    <row r="28190" spans="1:6" x14ac:dyDescent="0.2">
      <c r="A28190" t="s">
        <v>44611</v>
      </c>
      <c r="B28190" t="s">
        <v>44612</v>
      </c>
      <c r="C28190" t="s">
        <v>146</v>
      </c>
      <c r="D28190" t="s">
        <v>14</v>
      </c>
      <c r="E28190" t="s">
        <v>803</v>
      </c>
      <c r="F28190" s="2" t="str">
        <f>HYPERLINK("http://www.otzar.org/book.asp?26753","נפתולי נפתלי")</f>
        <v>נפתולי נפתלי</v>
      </c>
    </row>
    <row r="28191" spans="1:6" x14ac:dyDescent="0.2">
      <c r="A28191" t="s">
        <v>44613</v>
      </c>
      <c r="B28191" t="s">
        <v>44614</v>
      </c>
      <c r="C28191" t="s">
        <v>21898</v>
      </c>
      <c r="D28191" t="s">
        <v>2303</v>
      </c>
      <c r="E28191" t="s">
        <v>104</v>
      </c>
      <c r="F28191" s="2" t="str">
        <f>HYPERLINK("http://www.otzar.org/book.asp?142496","נפתלי אילה שלוחה")</f>
        <v>נפתלי אילה שלוחה</v>
      </c>
    </row>
    <row r="28192" spans="1:6" x14ac:dyDescent="0.2">
      <c r="A28192" t="s">
        <v>44615</v>
      </c>
      <c r="B28192" t="s">
        <v>44616</v>
      </c>
      <c r="C28192" t="s">
        <v>8294</v>
      </c>
      <c r="D28192" t="s">
        <v>4288</v>
      </c>
      <c r="E28192" t="s">
        <v>158</v>
      </c>
      <c r="F28192" s="2" t="str">
        <f>HYPERLINK("http://www.otzar.org/book.asp?153566","נפתלי שבע רצון - 3 כר'")</f>
        <v>נפתלי שבע רצון - 3 כר'</v>
      </c>
    </row>
    <row r="28193" spans="1:6" x14ac:dyDescent="0.2">
      <c r="A28193" t="s">
        <v>44617</v>
      </c>
      <c r="B28193" t="s">
        <v>107</v>
      </c>
      <c r="C28193" t="s">
        <v>383</v>
      </c>
      <c r="D28193" t="s">
        <v>14</v>
      </c>
      <c r="E28193" t="s">
        <v>213</v>
      </c>
      <c r="F28193" s="2" t="str">
        <f>HYPERLINK("http://www.otzar.org/book.asp?84030","נצא השדה")</f>
        <v>נצא השדה</v>
      </c>
    </row>
    <row r="28194" spans="1:6" x14ac:dyDescent="0.2">
      <c r="A28194" t="s">
        <v>44618</v>
      </c>
      <c r="B28194" t="s">
        <v>20083</v>
      </c>
      <c r="C28194" t="s">
        <v>383</v>
      </c>
      <c r="D28194" t="s">
        <v>14</v>
      </c>
      <c r="E28194" t="s">
        <v>703</v>
      </c>
      <c r="F28194" s="2" t="str">
        <f>HYPERLINK("http://www.otzar.org/book.asp?623709","נצוצות")</f>
        <v>נצוצות</v>
      </c>
    </row>
    <row r="28195" spans="1:6" x14ac:dyDescent="0.2">
      <c r="A28195" t="s">
        <v>44619</v>
      </c>
      <c r="B28195" t="s">
        <v>3554</v>
      </c>
      <c r="C28195" t="s">
        <v>1570</v>
      </c>
      <c r="D28195" t="s">
        <v>52</v>
      </c>
      <c r="F28195" s="2" t="str">
        <f>HYPERLINK("http://www.otzar.org/book.asp?157192","נצוצי אור המאיר")</f>
        <v>נצוצי אור המאיר</v>
      </c>
    </row>
    <row r="28196" spans="1:6" x14ac:dyDescent="0.2">
      <c r="A28196" t="s">
        <v>44620</v>
      </c>
      <c r="B28196" t="s">
        <v>1306</v>
      </c>
      <c r="C28196" t="s">
        <v>442</v>
      </c>
      <c r="D28196" t="s">
        <v>27</v>
      </c>
      <c r="E28196" t="s">
        <v>5935</v>
      </c>
      <c r="F28196" s="2" t="str">
        <f>HYPERLINK("http://www.otzar.org/book.asp?104102","נצוצי אורות")</f>
        <v>נצוצי אורות</v>
      </c>
    </row>
    <row r="28197" spans="1:6" x14ac:dyDescent="0.2">
      <c r="A28197" t="s">
        <v>44621</v>
      </c>
      <c r="B28197" t="s">
        <v>44622</v>
      </c>
      <c r="C28197" t="s">
        <v>454</v>
      </c>
      <c r="D28197" t="s">
        <v>14</v>
      </c>
      <c r="E28197" t="s">
        <v>140</v>
      </c>
      <c r="F28197" s="2" t="str">
        <f>HYPERLINK("http://www.otzar.org/book.asp?169052","נצח דוד - 3 כר'")</f>
        <v>נצח דוד - 3 כר'</v>
      </c>
    </row>
    <row r="28198" spans="1:6" x14ac:dyDescent="0.2">
      <c r="A28198" t="s">
        <v>44623</v>
      </c>
      <c r="B28198" t="s">
        <v>15161</v>
      </c>
      <c r="C28198" t="s">
        <v>51</v>
      </c>
      <c r="D28198" t="s">
        <v>52</v>
      </c>
      <c r="E28198" t="s">
        <v>241</v>
      </c>
      <c r="F28198" s="2" t="str">
        <f>HYPERLINK("http://www.otzar.org/book.asp?146456","נצח חיינו")</f>
        <v>נצח חיינו</v>
      </c>
    </row>
    <row r="28199" spans="1:6" x14ac:dyDescent="0.2">
      <c r="A28199" t="s">
        <v>44624</v>
      </c>
      <c r="B28199" t="s">
        <v>22328</v>
      </c>
      <c r="C28199" t="s">
        <v>533</v>
      </c>
      <c r="D28199" t="s">
        <v>14</v>
      </c>
      <c r="E28199" t="s">
        <v>154</v>
      </c>
      <c r="F28199" s="2" t="str">
        <f>HYPERLINK("http://www.otzar.org/book.asp?61142","נצח יוסף - 2 כר'")</f>
        <v>נצח יוסף - 2 כר'</v>
      </c>
    </row>
    <row r="28200" spans="1:6" x14ac:dyDescent="0.2">
      <c r="A28200" t="s">
        <v>44625</v>
      </c>
      <c r="B28200" t="s">
        <v>44626</v>
      </c>
      <c r="C28200" t="s">
        <v>189</v>
      </c>
      <c r="D28200" t="s">
        <v>118</v>
      </c>
      <c r="E28200" t="s">
        <v>15</v>
      </c>
      <c r="F28200" s="2" t="str">
        <f>HYPERLINK("http://www.otzar.org/book.asp?165576","נצח ישראל - 4 כר'")</f>
        <v>נצח ישראל - 4 כר'</v>
      </c>
    </row>
    <row r="28201" spans="1:6" x14ac:dyDescent="0.2">
      <c r="A28201" t="s">
        <v>44627</v>
      </c>
      <c r="B28201" t="s">
        <v>44628</v>
      </c>
      <c r="C28201" t="s">
        <v>442</v>
      </c>
      <c r="D28201" t="s">
        <v>27</v>
      </c>
      <c r="E28201" t="s">
        <v>2088</v>
      </c>
      <c r="F28201" s="2" t="str">
        <f>HYPERLINK("http://www.otzar.org/book.asp?9160","נצח ישראל")</f>
        <v>נצח ישראל</v>
      </c>
    </row>
    <row r="28202" spans="1:6" x14ac:dyDescent="0.2">
      <c r="A28202" t="s">
        <v>44627</v>
      </c>
      <c r="B28202" t="s">
        <v>4547</v>
      </c>
      <c r="C28202" t="s">
        <v>940</v>
      </c>
      <c r="D28202" t="s">
        <v>14</v>
      </c>
      <c r="E28202" t="s">
        <v>154</v>
      </c>
      <c r="F28202" s="2" t="str">
        <f>HYPERLINK("http://www.otzar.org/book.asp?84964","נצח ישראל")</f>
        <v>נצח ישראל</v>
      </c>
    </row>
    <row r="28203" spans="1:6" x14ac:dyDescent="0.2">
      <c r="A28203" t="s">
        <v>44629</v>
      </c>
      <c r="B28203" t="s">
        <v>3923</v>
      </c>
      <c r="C28203" t="s">
        <v>843</v>
      </c>
      <c r="D28203" t="s">
        <v>563</v>
      </c>
      <c r="E28203" t="s">
        <v>213</v>
      </c>
      <c r="F28203" s="2" t="str">
        <f>HYPERLINK("http://www.otzar.org/book.asp?103368","נצח ישראל - 2 כר'")</f>
        <v>נצח ישראל - 2 כר'</v>
      </c>
    </row>
    <row r="28204" spans="1:6" x14ac:dyDescent="0.2">
      <c r="A28204" t="s">
        <v>44627</v>
      </c>
      <c r="B28204" t="s">
        <v>3941</v>
      </c>
      <c r="C28204" t="s">
        <v>24018</v>
      </c>
      <c r="D28204" t="s">
        <v>744</v>
      </c>
      <c r="F28204" s="2" t="str">
        <f>HYPERLINK("http://www.otzar.org/book.asp?152851","נצח ישראל")</f>
        <v>נצח ישראל</v>
      </c>
    </row>
    <row r="28205" spans="1:6" x14ac:dyDescent="0.2">
      <c r="A28205" t="s">
        <v>44627</v>
      </c>
      <c r="B28205" t="s">
        <v>43619</v>
      </c>
      <c r="C28205" t="s">
        <v>3573</v>
      </c>
      <c r="D28205" t="s">
        <v>2290</v>
      </c>
      <c r="E28205" t="s">
        <v>786</v>
      </c>
      <c r="F28205" s="2" t="str">
        <f>HYPERLINK("http://www.otzar.org/book.asp?100979","נצח ישראל")</f>
        <v>נצח ישראל</v>
      </c>
    </row>
    <row r="28206" spans="1:6" x14ac:dyDescent="0.2">
      <c r="A28206" t="s">
        <v>44627</v>
      </c>
      <c r="B28206" t="s">
        <v>552</v>
      </c>
      <c r="C28206" t="s">
        <v>176</v>
      </c>
      <c r="D28206" t="s">
        <v>52</v>
      </c>
      <c r="E28206" t="s">
        <v>119</v>
      </c>
      <c r="F28206" s="2" t="str">
        <f>HYPERLINK("http://www.otzar.org/book.asp?143556","נצח ישראל")</f>
        <v>נצח ישראל</v>
      </c>
    </row>
    <row r="28207" spans="1:6" x14ac:dyDescent="0.2">
      <c r="A28207" t="s">
        <v>44627</v>
      </c>
      <c r="B28207" t="s">
        <v>44630</v>
      </c>
      <c r="C28207" t="s">
        <v>473</v>
      </c>
      <c r="D28207" t="s">
        <v>283</v>
      </c>
      <c r="E28207" t="s">
        <v>583</v>
      </c>
      <c r="F28207" s="2" t="str">
        <f>HYPERLINK("http://www.otzar.org/book.asp?103588","נצח ישראל")</f>
        <v>נצח ישראל</v>
      </c>
    </row>
    <row r="28208" spans="1:6" x14ac:dyDescent="0.2">
      <c r="A28208" t="s">
        <v>44627</v>
      </c>
      <c r="B28208" t="s">
        <v>489</v>
      </c>
      <c r="C28208" t="s">
        <v>114</v>
      </c>
      <c r="D28208" t="s">
        <v>367</v>
      </c>
      <c r="E28208" t="s">
        <v>202</v>
      </c>
      <c r="F28208" s="2" t="str">
        <f>HYPERLINK("http://www.otzar.org/book.asp?162075","נצח ישראל")</f>
        <v>נצח ישראל</v>
      </c>
    </row>
    <row r="28209" spans="1:6" x14ac:dyDescent="0.2">
      <c r="A28209" t="s">
        <v>44631</v>
      </c>
      <c r="B28209" t="s">
        <v>8566</v>
      </c>
      <c r="C28209" t="s">
        <v>523</v>
      </c>
      <c r="D28209" t="s">
        <v>80</v>
      </c>
      <c r="E28209" t="s">
        <v>2091</v>
      </c>
      <c r="F28209" s="2" t="str">
        <f>HYPERLINK("http://www.otzar.org/book.asp?195812","נצח ישראל - זכרון לאה")</f>
        <v>נצח ישראל - זכרון לאה</v>
      </c>
    </row>
    <row r="28210" spans="1:6" x14ac:dyDescent="0.2">
      <c r="A28210" t="s">
        <v>44627</v>
      </c>
      <c r="B28210" t="s">
        <v>44632</v>
      </c>
      <c r="C28210" t="s">
        <v>286</v>
      </c>
      <c r="D28210" t="s">
        <v>27</v>
      </c>
      <c r="E28210" t="s">
        <v>213</v>
      </c>
      <c r="F28210" s="2" t="str">
        <f>HYPERLINK("http://www.otzar.org/book.asp?12008","נצח ישראל")</f>
        <v>נצח ישראל</v>
      </c>
    </row>
    <row r="28211" spans="1:6" x14ac:dyDescent="0.2">
      <c r="A28211" t="s">
        <v>44627</v>
      </c>
      <c r="B28211" t="s">
        <v>44633</v>
      </c>
      <c r="C28211" t="s">
        <v>748</v>
      </c>
      <c r="D28211" t="s">
        <v>2293</v>
      </c>
      <c r="E28211" t="s">
        <v>213</v>
      </c>
      <c r="F28211" s="2" t="str">
        <f>HYPERLINK("http://www.otzar.org/book.asp?51738","נצח ישראל")</f>
        <v>נצח ישראל</v>
      </c>
    </row>
    <row r="28212" spans="1:6" x14ac:dyDescent="0.2">
      <c r="A28212" t="s">
        <v>44634</v>
      </c>
      <c r="B28212" t="s">
        <v>44635</v>
      </c>
      <c r="C28212" t="s">
        <v>1663</v>
      </c>
      <c r="D28212" t="s">
        <v>52</v>
      </c>
      <c r="E28212" t="s">
        <v>104</v>
      </c>
      <c r="F28212" s="2" t="str">
        <f>HYPERLINK("http://www.otzar.org/book.asp?180556","נצח מכון ספרותי מסורתי")</f>
        <v>נצח מכון ספרותי מסורתי</v>
      </c>
    </row>
    <row r="28213" spans="1:6" x14ac:dyDescent="0.2">
      <c r="A28213" t="s">
        <v>44636</v>
      </c>
      <c r="B28213" t="s">
        <v>44637</v>
      </c>
      <c r="C28213" t="s">
        <v>71</v>
      </c>
      <c r="D28213" t="s">
        <v>14</v>
      </c>
      <c r="E28213" t="s">
        <v>2091</v>
      </c>
      <c r="F28213" s="2" t="str">
        <f>HYPERLINK("http://www.otzar.org/book.asp?163990","נצח משה")</f>
        <v>נצח משה</v>
      </c>
    </row>
    <row r="28214" spans="1:6" x14ac:dyDescent="0.2">
      <c r="A28214" t="s">
        <v>44636</v>
      </c>
      <c r="B28214" t="s">
        <v>9496</v>
      </c>
      <c r="C28214" t="s">
        <v>767</v>
      </c>
      <c r="D28214" t="s">
        <v>216</v>
      </c>
      <c r="E28214" t="s">
        <v>158</v>
      </c>
      <c r="F28214" s="2" t="str">
        <f>HYPERLINK("http://www.otzar.org/book.asp?603049","נצח משה")</f>
        <v>נצח משה</v>
      </c>
    </row>
    <row r="28215" spans="1:6" x14ac:dyDescent="0.2">
      <c r="A28215" t="s">
        <v>44638</v>
      </c>
      <c r="B28215" t="s">
        <v>489</v>
      </c>
      <c r="C28215" t="s">
        <v>129</v>
      </c>
      <c r="D28215" t="s">
        <v>147</v>
      </c>
      <c r="E28215" t="s">
        <v>202</v>
      </c>
      <c r="F28215" s="2" t="str">
        <f>HYPERLINK("http://www.otzar.org/book.asp?160914","נצח רחל - ב")</f>
        <v>נצח רחל - ב</v>
      </c>
    </row>
    <row r="28216" spans="1:6" x14ac:dyDescent="0.2">
      <c r="A28216" t="s">
        <v>44639</v>
      </c>
      <c r="B28216" t="s">
        <v>5364</v>
      </c>
      <c r="C28216" t="s">
        <v>87</v>
      </c>
      <c r="D28216" t="s">
        <v>14</v>
      </c>
      <c r="E28216" t="s">
        <v>119</v>
      </c>
      <c r="F28216" s="2" t="str">
        <f>HYPERLINK("http://www.otzar.org/book.asp?172332","נצח שבנצח")</f>
        <v>נצח שבנצח</v>
      </c>
    </row>
    <row r="28217" spans="1:6" x14ac:dyDescent="0.2">
      <c r="A28217" t="s">
        <v>44640</v>
      </c>
      <c r="B28217" t="s">
        <v>44641</v>
      </c>
      <c r="C28217" t="s">
        <v>581</v>
      </c>
      <c r="D28217" t="s">
        <v>1365</v>
      </c>
      <c r="E28217" t="s">
        <v>213</v>
      </c>
      <c r="F28217" s="2" t="str">
        <f>HYPERLINK("http://www.otzar.org/book.asp?626463","נצחיות הנפש")</f>
        <v>נצחיות הנפש</v>
      </c>
    </row>
    <row r="28218" spans="1:6" x14ac:dyDescent="0.2">
      <c r="A28218" t="s">
        <v>44642</v>
      </c>
      <c r="B28218" t="s">
        <v>14035</v>
      </c>
      <c r="C28218" t="s">
        <v>547</v>
      </c>
      <c r="D28218" t="s">
        <v>3293</v>
      </c>
      <c r="E28218" t="s">
        <v>508</v>
      </c>
      <c r="F28218" s="2" t="str">
        <f>HYPERLINK("http://www.otzar.org/book.asp?200272","נצני ניסן")</f>
        <v>נצני ניסן</v>
      </c>
    </row>
    <row r="28219" spans="1:6" x14ac:dyDescent="0.2">
      <c r="A28219" t="s">
        <v>44643</v>
      </c>
      <c r="B28219" t="s">
        <v>44644</v>
      </c>
      <c r="C28219" t="s">
        <v>1246</v>
      </c>
      <c r="D28219" t="s">
        <v>27</v>
      </c>
      <c r="E28219" t="s">
        <v>84</v>
      </c>
      <c r="F28219" s="2" t="str">
        <f>HYPERLINK("http://www.otzar.org/book.asp?156807","נצר חסד")</f>
        <v>נצר חסד</v>
      </c>
    </row>
    <row r="28220" spans="1:6" x14ac:dyDescent="0.2">
      <c r="A28220" t="s">
        <v>44645</v>
      </c>
      <c r="B28220" t="s">
        <v>552</v>
      </c>
      <c r="C28220" t="s">
        <v>143</v>
      </c>
      <c r="D28220" t="s">
        <v>4400</v>
      </c>
      <c r="E28220" t="s">
        <v>44646</v>
      </c>
      <c r="F28220" s="2" t="str">
        <f>HYPERLINK("http://www.otzar.org/book.asp?13023","נצר מטעי [ראקאוו]")</f>
        <v>נצר מטעי [ראקאוו]</v>
      </c>
    </row>
    <row r="28221" spans="1:6" x14ac:dyDescent="0.2">
      <c r="A28221" t="s">
        <v>44647</v>
      </c>
      <c r="B28221" t="s">
        <v>44648</v>
      </c>
      <c r="C28221" t="s">
        <v>843</v>
      </c>
      <c r="D28221" t="s">
        <v>260</v>
      </c>
      <c r="F28221" s="2" t="str">
        <f>HYPERLINK("http://www.otzar.org/book.asp?172157","נצר מטעי")</f>
        <v>נצר מטעי</v>
      </c>
    </row>
    <row r="28222" spans="1:6" x14ac:dyDescent="0.2">
      <c r="A28222" t="s">
        <v>44647</v>
      </c>
      <c r="B28222" t="s">
        <v>44649</v>
      </c>
      <c r="C28222" t="s">
        <v>422</v>
      </c>
      <c r="D28222" t="s">
        <v>412</v>
      </c>
      <c r="E28222" t="s">
        <v>674</v>
      </c>
      <c r="F28222" s="2" t="str">
        <f>HYPERLINK("http://www.otzar.org/book.asp?171614","נצר מטעי")</f>
        <v>נצר מטעי</v>
      </c>
    </row>
    <row r="28223" spans="1:6" x14ac:dyDescent="0.2">
      <c r="A28223" t="s">
        <v>44650</v>
      </c>
      <c r="B28223" t="s">
        <v>1005</v>
      </c>
      <c r="C28223" t="s">
        <v>13</v>
      </c>
      <c r="D28223" t="s">
        <v>90</v>
      </c>
      <c r="F28223" s="2" t="str">
        <f>HYPERLINK("http://www.otzar.org/book.asp?610001","נצר משרשים - 4 כר'")</f>
        <v>נצר משרשים - 4 כר'</v>
      </c>
    </row>
    <row r="28224" spans="1:6" x14ac:dyDescent="0.2">
      <c r="A28224" t="s">
        <v>44651</v>
      </c>
      <c r="B28224" t="s">
        <v>44652</v>
      </c>
      <c r="C28224" t="s">
        <v>576</v>
      </c>
      <c r="D28224" t="s">
        <v>1966</v>
      </c>
      <c r="E28224" t="s">
        <v>104</v>
      </c>
      <c r="F28224" s="2" t="str">
        <f>HYPERLINK("http://www.otzar.org/book.asp?161113","נצר תאנה")</f>
        <v>נצר תאנה</v>
      </c>
    </row>
    <row r="28225" spans="1:6" x14ac:dyDescent="0.2">
      <c r="A28225" t="s">
        <v>44653</v>
      </c>
      <c r="B28225" t="s">
        <v>13091</v>
      </c>
      <c r="C28225" t="s">
        <v>4963</v>
      </c>
      <c r="D28225" t="s">
        <v>1833</v>
      </c>
      <c r="E28225" t="s">
        <v>172</v>
      </c>
      <c r="F28225" s="2" t="str">
        <f>HYPERLINK("http://www.otzar.org/book.asp?146722","נקדות הכסף &lt;דפו""ר&gt;")</f>
        <v>נקדות הכסף &lt;דפו"ר&gt;</v>
      </c>
    </row>
    <row r="28226" spans="1:6" x14ac:dyDescent="0.2">
      <c r="A28226" t="s">
        <v>44654</v>
      </c>
      <c r="B28226" t="s">
        <v>35449</v>
      </c>
      <c r="C28226" t="s">
        <v>44655</v>
      </c>
      <c r="D28226" t="s">
        <v>49</v>
      </c>
      <c r="E28226" t="s">
        <v>158</v>
      </c>
      <c r="F28226" s="2" t="str">
        <f>HYPERLINK("http://www.otzar.org/book.asp?21466","נקדות הכסף")</f>
        <v>נקדות הכסף</v>
      </c>
    </row>
    <row r="28227" spans="1:6" x14ac:dyDescent="0.2">
      <c r="A28227" t="s">
        <v>44656</v>
      </c>
      <c r="B28227" t="s">
        <v>22663</v>
      </c>
      <c r="C28227" t="s">
        <v>111</v>
      </c>
      <c r="D28227" t="s">
        <v>90</v>
      </c>
      <c r="E28227" t="s">
        <v>213</v>
      </c>
      <c r="F28227" s="2" t="str">
        <f>HYPERLINK("http://www.otzar.org/book.asp?625821","נקדמה פניו בתודה")</f>
        <v>נקדמה פניו בתודה</v>
      </c>
    </row>
    <row r="28228" spans="1:6" x14ac:dyDescent="0.2">
      <c r="A28228" t="s">
        <v>44657</v>
      </c>
      <c r="B28228" t="s">
        <v>44658</v>
      </c>
      <c r="C28228" t="s">
        <v>129</v>
      </c>
      <c r="D28228" t="s">
        <v>14</v>
      </c>
      <c r="E28228" t="s">
        <v>15</v>
      </c>
      <c r="F28228" s="2" t="str">
        <f>HYPERLINK("http://www.otzar.org/book.asp?168800","נקדש את שמך - מלאכת הקודש")</f>
        <v>נקדש את שמך - מלאכת הקודש</v>
      </c>
    </row>
    <row r="28229" spans="1:6" x14ac:dyDescent="0.2">
      <c r="A28229" t="s">
        <v>44659</v>
      </c>
      <c r="B28229" t="s">
        <v>41811</v>
      </c>
      <c r="C28229" t="s">
        <v>143</v>
      </c>
      <c r="D28229" t="s">
        <v>852</v>
      </c>
      <c r="E28229" t="s">
        <v>15</v>
      </c>
      <c r="F28229" s="2" t="str">
        <f>HYPERLINK("http://www.otzar.org/book.asp?143668","נקדש בצדקה")</f>
        <v>נקדש בצדקה</v>
      </c>
    </row>
    <row r="28230" spans="1:6" x14ac:dyDescent="0.2">
      <c r="A28230" t="s">
        <v>44660</v>
      </c>
      <c r="B28230" t="s">
        <v>2109</v>
      </c>
      <c r="C28230" t="s">
        <v>411</v>
      </c>
      <c r="D28230" t="s">
        <v>14</v>
      </c>
      <c r="E28230" t="s">
        <v>246</v>
      </c>
      <c r="F28230" s="2" t="str">
        <f>HYPERLINK("http://www.otzar.org/book.asp?166498","נקדש השבת")</f>
        <v>נקדש השבת</v>
      </c>
    </row>
    <row r="28231" spans="1:6" x14ac:dyDescent="0.2">
      <c r="A28231" t="s">
        <v>44661</v>
      </c>
      <c r="B28231" t="s">
        <v>44662</v>
      </c>
      <c r="C28231" t="s">
        <v>244</v>
      </c>
      <c r="D28231" t="s">
        <v>486</v>
      </c>
      <c r="F28231" s="2" t="str">
        <f>HYPERLINK("http://www.otzar.org/book.asp?199151","נקודות אור - 8 כר'")</f>
        <v>נקודות אור - 8 כר'</v>
      </c>
    </row>
    <row r="28232" spans="1:6" x14ac:dyDescent="0.2">
      <c r="A28232" t="s">
        <v>44663</v>
      </c>
      <c r="B28232" t="s">
        <v>44664</v>
      </c>
      <c r="C28232" t="s">
        <v>111</v>
      </c>
      <c r="D28232" t="s">
        <v>90</v>
      </c>
      <c r="E28232" t="s">
        <v>104</v>
      </c>
      <c r="F28232" s="2" t="str">
        <f>HYPERLINK("http://www.otzar.org/book.asp?629739","נקודות אור")</f>
        <v>נקודות אור</v>
      </c>
    </row>
    <row r="28233" spans="1:6" x14ac:dyDescent="0.2">
      <c r="A28233" t="s">
        <v>44665</v>
      </c>
      <c r="B28233" t="s">
        <v>19617</v>
      </c>
      <c r="C28233" t="s">
        <v>23</v>
      </c>
      <c r="D28233" t="s">
        <v>52</v>
      </c>
      <c r="E28233" t="s">
        <v>130</v>
      </c>
      <c r="F28233" s="2" t="str">
        <f>HYPERLINK("http://www.otzar.org/book.asp?191559","נקודות בהלכה - הלכות המועדים")</f>
        <v>נקודות בהלכה - הלכות המועדים</v>
      </c>
    </row>
    <row r="28234" spans="1:6" x14ac:dyDescent="0.2">
      <c r="A28234" t="s">
        <v>44666</v>
      </c>
      <c r="B28234" t="s">
        <v>44667</v>
      </c>
      <c r="C28234" t="s">
        <v>411</v>
      </c>
      <c r="D28234" t="s">
        <v>52</v>
      </c>
      <c r="E28234" t="s">
        <v>399</v>
      </c>
      <c r="F28234" s="2" t="str">
        <f>HYPERLINK("http://www.otzar.org/book.asp?180821","נקודות הכסף על סידור הרש""ש - 19 כר'")</f>
        <v>נקודות הכסף על סידור הרש"ש - 19 כר'</v>
      </c>
    </row>
    <row r="28235" spans="1:6" x14ac:dyDescent="0.2">
      <c r="A28235" t="s">
        <v>44668</v>
      </c>
      <c r="B28235" t="s">
        <v>44667</v>
      </c>
      <c r="C28235" t="s">
        <v>13</v>
      </c>
      <c r="D28235" t="s">
        <v>52</v>
      </c>
      <c r="E28235" t="s">
        <v>399</v>
      </c>
      <c r="F28235" s="2" t="str">
        <f>HYPERLINK("http://www.otzar.org/book.asp?61354","נקודות הכסף - 10 כר'")</f>
        <v>נקודות הכסף - 10 כר'</v>
      </c>
    </row>
    <row r="28236" spans="1:6" x14ac:dyDescent="0.2">
      <c r="A28236" t="s">
        <v>44669</v>
      </c>
      <c r="B28236" t="s">
        <v>44670</v>
      </c>
      <c r="D28236" t="s">
        <v>2798</v>
      </c>
      <c r="E28236" t="s">
        <v>158</v>
      </c>
      <c r="F28236" s="2" t="str">
        <f>HYPERLINK("http://www.otzar.org/book.asp?625280","נקודות הכסף - שיר השירים")</f>
        <v>נקודות הכסף - שיר השירים</v>
      </c>
    </row>
    <row r="28237" spans="1:6" x14ac:dyDescent="0.2">
      <c r="A28237" t="s">
        <v>44671</v>
      </c>
      <c r="B28237" t="s">
        <v>44672</v>
      </c>
      <c r="C28237" t="s">
        <v>17</v>
      </c>
      <c r="D28237" t="s">
        <v>52</v>
      </c>
      <c r="E28237" t="s">
        <v>703</v>
      </c>
      <c r="F28237" s="2" t="str">
        <f>HYPERLINK("http://www.otzar.org/book.asp?84587","נקודת השמחה")</f>
        <v>נקודת השמחה</v>
      </c>
    </row>
    <row r="28238" spans="1:6" x14ac:dyDescent="0.2">
      <c r="A28238" t="s">
        <v>44673</v>
      </c>
      <c r="B28238" t="s">
        <v>44674</v>
      </c>
      <c r="C28238" t="s">
        <v>133</v>
      </c>
      <c r="D28238" t="s">
        <v>1156</v>
      </c>
      <c r="E28238" t="s">
        <v>230</v>
      </c>
      <c r="F28238" s="2" t="str">
        <f>HYPERLINK("http://www.otzar.org/book.asp?179707","נקודת לבבי &lt;מהדורה חדשה עם הוספות&gt;")</f>
        <v>נקודת לבבי &lt;מהדורה חדשה עם הוספות&gt;</v>
      </c>
    </row>
    <row r="28239" spans="1:6" x14ac:dyDescent="0.2">
      <c r="A28239" t="s">
        <v>44675</v>
      </c>
      <c r="B28239" t="s">
        <v>44674</v>
      </c>
      <c r="C28239" t="s">
        <v>20</v>
      </c>
      <c r="D28239" t="s">
        <v>2909</v>
      </c>
      <c r="E28239" t="s">
        <v>9828</v>
      </c>
      <c r="F28239" s="2" t="str">
        <f>HYPERLINK("http://www.otzar.org/book.asp?172530","נקודת לבבי")</f>
        <v>נקודת לבבי</v>
      </c>
    </row>
    <row r="28240" spans="1:6" x14ac:dyDescent="0.2">
      <c r="A28240" t="s">
        <v>44676</v>
      </c>
      <c r="B28240" t="s">
        <v>206</v>
      </c>
      <c r="C28240" t="s">
        <v>454</v>
      </c>
      <c r="D28240" t="s">
        <v>52</v>
      </c>
      <c r="E28240" t="s">
        <v>674</v>
      </c>
      <c r="F28240" s="2" t="str">
        <f>HYPERLINK("http://www.otzar.org/book.asp?153791","נקי יהיה")</f>
        <v>נקי יהיה</v>
      </c>
    </row>
    <row r="28241" spans="1:6" x14ac:dyDescent="0.2">
      <c r="A28241" t="s">
        <v>44677</v>
      </c>
      <c r="B28241" t="s">
        <v>1602</v>
      </c>
      <c r="C28241" t="s">
        <v>20</v>
      </c>
      <c r="D28241" t="s">
        <v>21</v>
      </c>
      <c r="E28241" t="s">
        <v>241</v>
      </c>
      <c r="F28241" s="2" t="str">
        <f>HYPERLINK("http://www.otzar.org/book.asp?191158","נקי כפים")</f>
        <v>נקי כפים</v>
      </c>
    </row>
    <row r="28242" spans="1:6" x14ac:dyDescent="0.2">
      <c r="A28242" t="s">
        <v>44678</v>
      </c>
      <c r="B28242" t="s">
        <v>7463</v>
      </c>
      <c r="C28242" t="s">
        <v>13</v>
      </c>
      <c r="D28242" t="s">
        <v>52</v>
      </c>
      <c r="E28242" t="s">
        <v>15</v>
      </c>
      <c r="F28242" s="2" t="str">
        <f>HYPERLINK("http://www.otzar.org/book.asp?145565","נקיות וכבוד בתפלה")</f>
        <v>נקיות וכבוד בתפלה</v>
      </c>
    </row>
    <row r="28243" spans="1:6" x14ac:dyDescent="0.2">
      <c r="A28243" t="s">
        <v>44679</v>
      </c>
      <c r="B28243" t="s">
        <v>2663</v>
      </c>
      <c r="C28243" t="s">
        <v>13</v>
      </c>
      <c r="D28243" t="s">
        <v>14</v>
      </c>
      <c r="E28243" t="s">
        <v>186</v>
      </c>
      <c r="F28243" s="2" t="str">
        <f>HYPERLINK("http://www.otzar.org/book.asp?158678","נקנית בחבורה - יבמות")</f>
        <v>נקנית בחבורה - יבמות</v>
      </c>
    </row>
    <row r="28244" spans="1:6" x14ac:dyDescent="0.2">
      <c r="A28244" t="s">
        <v>44680</v>
      </c>
      <c r="B28244" t="s">
        <v>44681</v>
      </c>
      <c r="C28244" t="s">
        <v>366</v>
      </c>
      <c r="D28244" t="s">
        <v>14</v>
      </c>
      <c r="F28244" s="2" t="str">
        <f>HYPERLINK("http://www.otzar.org/book.asp?609658","נר אבנר - מועדים וראש חודש")</f>
        <v>נר אבנר - מועדים וראש חודש</v>
      </c>
    </row>
    <row r="28245" spans="1:6" x14ac:dyDescent="0.2">
      <c r="A28245" t="s">
        <v>44682</v>
      </c>
      <c r="B28245" t="s">
        <v>44683</v>
      </c>
      <c r="C28245" t="s">
        <v>68</v>
      </c>
      <c r="D28245" t="s">
        <v>412</v>
      </c>
      <c r="E28245" t="s">
        <v>230</v>
      </c>
      <c r="F28245" s="2" t="str">
        <f>HYPERLINK("http://www.otzar.org/book.asp?162118","נר אברהם")</f>
        <v>נר אברהם</v>
      </c>
    </row>
    <row r="28246" spans="1:6" x14ac:dyDescent="0.2">
      <c r="A28246" t="s">
        <v>44684</v>
      </c>
      <c r="B28246" t="s">
        <v>44685</v>
      </c>
      <c r="C28246" t="s">
        <v>624</v>
      </c>
      <c r="D28246" t="s">
        <v>52</v>
      </c>
      <c r="E28246" t="s">
        <v>15</v>
      </c>
      <c r="F28246" s="2" t="str">
        <f>HYPERLINK("http://www.otzar.org/book.asp?189580","נר אברהם - פלגי מים")</f>
        <v>נר אברהם - פלגי מים</v>
      </c>
    </row>
    <row r="28247" spans="1:6" x14ac:dyDescent="0.2">
      <c r="A28247" t="s">
        <v>44682</v>
      </c>
      <c r="B28247" t="s">
        <v>44686</v>
      </c>
      <c r="C28247" t="s">
        <v>124</v>
      </c>
      <c r="D28247" t="s">
        <v>412</v>
      </c>
      <c r="E28247" t="s">
        <v>901</v>
      </c>
      <c r="F28247" s="2" t="str">
        <f>HYPERLINK("http://www.otzar.org/book.asp?102712","נר אברהם")</f>
        <v>נר אברהם</v>
      </c>
    </row>
    <row r="28248" spans="1:6" x14ac:dyDescent="0.2">
      <c r="A28248" t="s">
        <v>44682</v>
      </c>
      <c r="B28248" t="s">
        <v>1750</v>
      </c>
      <c r="C28248" t="s">
        <v>51</v>
      </c>
      <c r="D28248" t="s">
        <v>14</v>
      </c>
      <c r="E28248" t="s">
        <v>202</v>
      </c>
      <c r="F28248" s="2" t="str">
        <f>HYPERLINK("http://www.otzar.org/book.asp?176808","נר אברהם")</f>
        <v>נר אברהם</v>
      </c>
    </row>
    <row r="28249" spans="1:6" x14ac:dyDescent="0.2">
      <c r="A28249" t="s">
        <v>44687</v>
      </c>
      <c r="B28249" t="s">
        <v>44688</v>
      </c>
      <c r="C28249" t="s">
        <v>1470</v>
      </c>
      <c r="D28249" t="s">
        <v>260</v>
      </c>
      <c r="E28249" t="s">
        <v>154</v>
      </c>
      <c r="F28249" s="2" t="str">
        <f>HYPERLINK("http://www.otzar.org/book.asp?23570","נר אהרן")</f>
        <v>נר אהרן</v>
      </c>
    </row>
    <row r="28250" spans="1:6" x14ac:dyDescent="0.2">
      <c r="A28250" t="s">
        <v>44689</v>
      </c>
      <c r="B28250" t="s">
        <v>44690</v>
      </c>
      <c r="C28250" t="s">
        <v>133</v>
      </c>
      <c r="D28250" t="s">
        <v>52</v>
      </c>
      <c r="E28250" t="s">
        <v>130</v>
      </c>
      <c r="F28250" s="2" t="str">
        <f>HYPERLINK("http://www.otzar.org/book.asp?191766","נר איש וביתו - 3 כר'")</f>
        <v>נר איש וביתו - 3 כר'</v>
      </c>
    </row>
    <row r="28251" spans="1:6" x14ac:dyDescent="0.2">
      <c r="A28251" t="s">
        <v>44691</v>
      </c>
      <c r="B28251" t="s">
        <v>3306</v>
      </c>
      <c r="C28251" t="s">
        <v>51</v>
      </c>
      <c r="D28251" t="s">
        <v>14</v>
      </c>
      <c r="E28251" t="s">
        <v>399</v>
      </c>
      <c r="F28251" s="2" t="str">
        <f>HYPERLINK("http://www.otzar.org/book.asp?149009","נר אלהים")</f>
        <v>נר אלהים</v>
      </c>
    </row>
    <row r="28252" spans="1:6" x14ac:dyDescent="0.2">
      <c r="A28252" t="s">
        <v>44692</v>
      </c>
      <c r="B28252" t="s">
        <v>552</v>
      </c>
      <c r="C28252" t="s">
        <v>1388</v>
      </c>
      <c r="D28252" t="s">
        <v>14</v>
      </c>
      <c r="E28252" t="s">
        <v>202</v>
      </c>
      <c r="F28252" s="2" t="str">
        <f>HYPERLINK("http://www.otzar.org/book.asp?84820","נר אלחנן")</f>
        <v>נר אלחנן</v>
      </c>
    </row>
    <row r="28253" spans="1:6" x14ac:dyDescent="0.2">
      <c r="A28253" t="s">
        <v>44693</v>
      </c>
      <c r="B28253" t="s">
        <v>44694</v>
      </c>
      <c r="C28253" t="s">
        <v>466</v>
      </c>
      <c r="D28253" t="s">
        <v>14</v>
      </c>
      <c r="E28253" t="s">
        <v>2091</v>
      </c>
      <c r="F28253" s="2" t="str">
        <f>HYPERLINK("http://www.otzar.org/book.asp?158802","נר אליהו - 20 כר'")</f>
        <v>נר אליהו - 20 כר'</v>
      </c>
    </row>
    <row r="28254" spans="1:6" x14ac:dyDescent="0.2">
      <c r="A28254" t="s">
        <v>44695</v>
      </c>
      <c r="B28254" t="s">
        <v>44696</v>
      </c>
      <c r="C28254" t="s">
        <v>68</v>
      </c>
      <c r="D28254" t="s">
        <v>32842</v>
      </c>
      <c r="F28254" s="2" t="str">
        <f>HYPERLINK("http://www.otzar.org/book.asp?608810","נר אליהו - חנוכה")</f>
        <v>נר אליהו - חנוכה</v>
      </c>
    </row>
    <row r="28255" spans="1:6" x14ac:dyDescent="0.2">
      <c r="A28255" t="s">
        <v>44697</v>
      </c>
      <c r="B28255" t="s">
        <v>2663</v>
      </c>
      <c r="C28255" t="s">
        <v>624</v>
      </c>
      <c r="D28255" t="s">
        <v>21</v>
      </c>
      <c r="E28255" t="s">
        <v>202</v>
      </c>
      <c r="F28255" s="2" t="str">
        <f>HYPERLINK("http://www.otzar.org/book.asp?602145","נר אלכסנדר")</f>
        <v>נר אלכסנדר</v>
      </c>
    </row>
    <row r="28256" spans="1:6" x14ac:dyDescent="0.2">
      <c r="A28256" t="s">
        <v>44698</v>
      </c>
      <c r="B28256" t="s">
        <v>2122</v>
      </c>
      <c r="C28256" t="s">
        <v>442</v>
      </c>
      <c r="D28256" t="s">
        <v>27</v>
      </c>
      <c r="E28256" t="s">
        <v>2840</v>
      </c>
      <c r="F28256" s="2" t="str">
        <f>HYPERLINK("http://www.otzar.org/book.asp?9144","נר בנימין")</f>
        <v>נר בנימין</v>
      </c>
    </row>
    <row r="28257" spans="1:6" x14ac:dyDescent="0.2">
      <c r="A28257" t="s">
        <v>44699</v>
      </c>
      <c r="B28257" t="s">
        <v>44700</v>
      </c>
      <c r="C28257" t="s">
        <v>1418</v>
      </c>
      <c r="D28257" t="s">
        <v>212</v>
      </c>
      <c r="E28257" t="s">
        <v>144</v>
      </c>
      <c r="F28257" s="2" t="str">
        <f>HYPERLINK("http://www.otzar.org/book.asp?101532","נר דוד")</f>
        <v>נר דוד</v>
      </c>
    </row>
    <row r="28258" spans="1:6" x14ac:dyDescent="0.2">
      <c r="A28258" t="s">
        <v>44701</v>
      </c>
      <c r="B28258" t="s">
        <v>44702</v>
      </c>
      <c r="C28258" t="s">
        <v>624</v>
      </c>
      <c r="D28258" t="s">
        <v>52</v>
      </c>
      <c r="E28258" t="s">
        <v>130</v>
      </c>
      <c r="F28258" s="2" t="str">
        <f>HYPERLINK("http://www.otzar.org/book.asp?85657","נר דוד - חנוכה")</f>
        <v>נר דוד - חנוכה</v>
      </c>
    </row>
    <row r="28259" spans="1:6" x14ac:dyDescent="0.2">
      <c r="A28259" t="s">
        <v>44703</v>
      </c>
      <c r="B28259" t="s">
        <v>44704</v>
      </c>
      <c r="C28259" t="s">
        <v>624</v>
      </c>
      <c r="D28259" t="s">
        <v>14</v>
      </c>
      <c r="E28259" t="s">
        <v>803</v>
      </c>
      <c r="F28259" s="2" t="str">
        <f>HYPERLINK("http://www.otzar.org/book.asp?84293","נר דוד - 3 כר'")</f>
        <v>נר דוד - 3 כר'</v>
      </c>
    </row>
    <row r="28260" spans="1:6" x14ac:dyDescent="0.2">
      <c r="A28260" t="s">
        <v>44705</v>
      </c>
      <c r="B28260" t="s">
        <v>44706</v>
      </c>
      <c r="C28260" t="s">
        <v>51</v>
      </c>
      <c r="D28260" t="s">
        <v>412</v>
      </c>
      <c r="E28260" t="s">
        <v>3055</v>
      </c>
      <c r="F28260" s="2" t="str">
        <f>HYPERLINK("http://www.otzar.org/book.asp?141605","נר דוד, אור שבעת הימים")</f>
        <v>נר דוד, אור שבעת הימים</v>
      </c>
    </row>
    <row r="28261" spans="1:6" x14ac:dyDescent="0.2">
      <c r="A28261" t="s">
        <v>44707</v>
      </c>
      <c r="B28261" t="s">
        <v>44708</v>
      </c>
      <c r="C28261" t="s">
        <v>411</v>
      </c>
      <c r="D28261" t="s">
        <v>1180</v>
      </c>
      <c r="F28261" s="2" t="str">
        <f>HYPERLINK("http://www.otzar.org/book.asp?198366","נר דוד, חידושי מהרא""ך")</f>
        <v>נר דוד, חידושי מהרא"ך</v>
      </c>
    </row>
    <row r="28262" spans="1:6" x14ac:dyDescent="0.2">
      <c r="A28262" t="s">
        <v>44709</v>
      </c>
      <c r="B28262" t="s">
        <v>44710</v>
      </c>
      <c r="C28262" t="s">
        <v>52</v>
      </c>
      <c r="D28262" t="s">
        <v>133</v>
      </c>
      <c r="E28262" t="s">
        <v>144</v>
      </c>
      <c r="F28262" s="2" t="str">
        <f>HYPERLINK("http://www.otzar.org/book.asp?629293","נר דולק")</f>
        <v>נר דולק</v>
      </c>
    </row>
    <row r="28263" spans="1:6" x14ac:dyDescent="0.2">
      <c r="A28263" t="s">
        <v>44711</v>
      </c>
      <c r="B28263" t="s">
        <v>686</v>
      </c>
      <c r="C28263" t="s">
        <v>37</v>
      </c>
      <c r="D28263" t="s">
        <v>52</v>
      </c>
      <c r="E28263" t="s">
        <v>158</v>
      </c>
      <c r="F28263" s="2" t="str">
        <f>HYPERLINK("http://www.otzar.org/book.asp?189268","נר ה'")</f>
        <v>נר ה'</v>
      </c>
    </row>
    <row r="28264" spans="1:6" x14ac:dyDescent="0.2">
      <c r="A28264" t="s">
        <v>44712</v>
      </c>
      <c r="B28264" t="s">
        <v>3068</v>
      </c>
      <c r="C28264" t="s">
        <v>151</v>
      </c>
      <c r="D28264" t="s">
        <v>3069</v>
      </c>
      <c r="E28264" t="s">
        <v>1164</v>
      </c>
      <c r="F28264" s="2" t="str">
        <f>HYPERLINK("http://www.otzar.org/book.asp?626268","נר המאיר")</f>
        <v>נר המאיר</v>
      </c>
    </row>
    <row r="28265" spans="1:6" x14ac:dyDescent="0.2">
      <c r="A28265" t="s">
        <v>44712</v>
      </c>
      <c r="B28265" t="s">
        <v>44713</v>
      </c>
      <c r="C28265" t="s">
        <v>351</v>
      </c>
      <c r="D28265" t="s">
        <v>661</v>
      </c>
      <c r="E28265" t="s">
        <v>803</v>
      </c>
      <c r="F28265" s="2" t="str">
        <f>HYPERLINK("http://www.otzar.org/book.asp?25127","נר המאיר")</f>
        <v>נר המאיר</v>
      </c>
    </row>
    <row r="28266" spans="1:6" x14ac:dyDescent="0.2">
      <c r="A28266" t="s">
        <v>44712</v>
      </c>
      <c r="B28266" t="s">
        <v>4112</v>
      </c>
      <c r="C28266" t="s">
        <v>13</v>
      </c>
      <c r="D28266" t="s">
        <v>52</v>
      </c>
      <c r="E28266" t="s">
        <v>15</v>
      </c>
      <c r="F28266" s="2" t="str">
        <f>HYPERLINK("http://www.otzar.org/book.asp?610690","נר המאיר")</f>
        <v>נר המאיר</v>
      </c>
    </row>
    <row r="28267" spans="1:6" x14ac:dyDescent="0.2">
      <c r="A28267" t="s">
        <v>44714</v>
      </c>
      <c r="B28267" t="s">
        <v>44715</v>
      </c>
      <c r="C28267" t="s">
        <v>21397</v>
      </c>
      <c r="D28267" t="s">
        <v>52</v>
      </c>
      <c r="E28267" t="s">
        <v>186</v>
      </c>
      <c r="F28267" s="2" t="str">
        <f>HYPERLINK("http://www.otzar.org/book.asp?191736","נר המאיר - שבת")</f>
        <v>נר המאיר - שבת</v>
      </c>
    </row>
    <row r="28268" spans="1:6" x14ac:dyDescent="0.2">
      <c r="A28268" t="s">
        <v>44716</v>
      </c>
      <c r="B28268" t="s">
        <v>1005</v>
      </c>
      <c r="C28268" t="s">
        <v>624</v>
      </c>
      <c r="D28268" t="s">
        <v>2798</v>
      </c>
      <c r="E28268" t="s">
        <v>202</v>
      </c>
      <c r="F28268" s="2" t="str">
        <f>HYPERLINK("http://www.otzar.org/book.asp?147950","נר המאיר - 2 כר'")</f>
        <v>נר המאיר - 2 כר'</v>
      </c>
    </row>
    <row r="28269" spans="1:6" x14ac:dyDescent="0.2">
      <c r="A28269" t="s">
        <v>44717</v>
      </c>
      <c r="B28269" t="s">
        <v>44718</v>
      </c>
      <c r="C28269" t="s">
        <v>785</v>
      </c>
      <c r="D28269" t="s">
        <v>14</v>
      </c>
      <c r="E28269" t="s">
        <v>119</v>
      </c>
      <c r="F28269" s="2" t="str">
        <f>HYPERLINK("http://www.otzar.org/book.asp?143970","נר המערב - תולדות עם ישראל במרוקו")</f>
        <v>נר המערב - תולדות עם ישראל במרוקו</v>
      </c>
    </row>
    <row r="28270" spans="1:6" x14ac:dyDescent="0.2">
      <c r="A28270" t="s">
        <v>44719</v>
      </c>
      <c r="B28270" t="s">
        <v>44720</v>
      </c>
      <c r="C28270" t="s">
        <v>143</v>
      </c>
      <c r="D28270" t="s">
        <v>1180</v>
      </c>
      <c r="E28270" t="s">
        <v>226</v>
      </c>
      <c r="F28270" s="2" t="str">
        <f>HYPERLINK("http://www.otzar.org/book.asp?199174","נר המערבי ונרותיו שהדליק")</f>
        <v>נר המערבי ונרותיו שהדליק</v>
      </c>
    </row>
    <row r="28271" spans="1:6" x14ac:dyDescent="0.2">
      <c r="A28271" t="s">
        <v>44721</v>
      </c>
      <c r="B28271" t="s">
        <v>26288</v>
      </c>
      <c r="C28271" t="s">
        <v>989</v>
      </c>
      <c r="D28271" t="s">
        <v>21</v>
      </c>
      <c r="E28271" t="s">
        <v>119</v>
      </c>
      <c r="F28271" s="2" t="str">
        <f>HYPERLINK("http://www.otzar.org/book.asp?196322","נר המערבי")</f>
        <v>נר המערבי</v>
      </c>
    </row>
    <row r="28272" spans="1:6" x14ac:dyDescent="0.2">
      <c r="A28272" t="s">
        <v>44722</v>
      </c>
      <c r="B28272" t="s">
        <v>44723</v>
      </c>
      <c r="C28272" t="s">
        <v>189</v>
      </c>
      <c r="D28272" t="s">
        <v>14</v>
      </c>
      <c r="F28272" s="2" t="str">
        <f>HYPERLINK("http://www.otzar.org/book.asp?613069","נר השבת")</f>
        <v>נר השבת</v>
      </c>
    </row>
    <row r="28273" spans="1:6" x14ac:dyDescent="0.2">
      <c r="A28273" t="s">
        <v>44724</v>
      </c>
      <c r="B28273" t="s">
        <v>9526</v>
      </c>
      <c r="D28273" t="s">
        <v>52</v>
      </c>
      <c r="E28273" t="s">
        <v>130</v>
      </c>
      <c r="F28273" s="2" t="str">
        <f>HYPERLINK("http://www.otzar.org/book.asp?628727","נר והלל")</f>
        <v>נר והלל</v>
      </c>
    </row>
    <row r="28274" spans="1:6" x14ac:dyDescent="0.2">
      <c r="A28274" t="s">
        <v>44725</v>
      </c>
      <c r="B28274" t="s">
        <v>44726</v>
      </c>
      <c r="C28274" t="s">
        <v>940</v>
      </c>
      <c r="D28274" t="s">
        <v>52</v>
      </c>
      <c r="E28274" t="s">
        <v>202</v>
      </c>
      <c r="F28274" s="2" t="str">
        <f>HYPERLINK("http://www.otzar.org/book.asp?175836","נר זכרון לגרי""א ורהפטיג זצ""ל")</f>
        <v>נר זכרון לגרי"א ורהפטיג זצ"ל</v>
      </c>
    </row>
    <row r="28275" spans="1:6" x14ac:dyDescent="0.2">
      <c r="A28275" t="s">
        <v>44727</v>
      </c>
      <c r="B28275" t="s">
        <v>552</v>
      </c>
      <c r="C28275" t="s">
        <v>1208</v>
      </c>
      <c r="D28275" t="s">
        <v>52</v>
      </c>
      <c r="E28275" t="s">
        <v>202</v>
      </c>
      <c r="F28275" s="2" t="str">
        <f>HYPERLINK("http://www.otzar.org/book.asp?143104","נר זכרון למחנכת הצדקת מרת חנה אידלמן ע""ה")</f>
        <v>נר זכרון למחנכת הצדקת מרת חנה אידלמן ע"ה</v>
      </c>
    </row>
    <row r="28276" spans="1:6" x14ac:dyDescent="0.2">
      <c r="A28276" t="s">
        <v>44728</v>
      </c>
      <c r="B28276" t="s">
        <v>1306</v>
      </c>
      <c r="C28276" t="s">
        <v>26</v>
      </c>
      <c r="D28276" t="s">
        <v>14</v>
      </c>
      <c r="F28276" s="2" t="str">
        <f>HYPERLINK("http://www.otzar.org/book.asp?152949","נר זכרון")</f>
        <v>נר זכרון</v>
      </c>
    </row>
    <row r="28277" spans="1:6" x14ac:dyDescent="0.2">
      <c r="A28277" t="s">
        <v>44728</v>
      </c>
      <c r="B28277" t="s">
        <v>44729</v>
      </c>
      <c r="C28277" t="s">
        <v>523</v>
      </c>
      <c r="D28277" t="s">
        <v>14</v>
      </c>
      <c r="E28277" t="s">
        <v>226</v>
      </c>
      <c r="F28277" s="2" t="str">
        <f>HYPERLINK("http://www.otzar.org/book.asp?612099","נר זכרון")</f>
        <v>נר זכרון</v>
      </c>
    </row>
    <row r="28278" spans="1:6" x14ac:dyDescent="0.2">
      <c r="A28278" t="s">
        <v>44728</v>
      </c>
      <c r="B28278" t="s">
        <v>30625</v>
      </c>
      <c r="C28278" t="s">
        <v>20</v>
      </c>
      <c r="D28278" t="s">
        <v>1076</v>
      </c>
      <c r="E28278" t="s">
        <v>202</v>
      </c>
      <c r="F28278" s="2" t="str">
        <f>HYPERLINK("http://www.otzar.org/book.asp?165332","נר זכרון")</f>
        <v>נר זכרון</v>
      </c>
    </row>
    <row r="28279" spans="1:6" x14ac:dyDescent="0.2">
      <c r="A28279" t="s">
        <v>44730</v>
      </c>
      <c r="B28279" t="s">
        <v>44731</v>
      </c>
      <c r="C28279" t="s">
        <v>71</v>
      </c>
      <c r="D28279" t="s">
        <v>412</v>
      </c>
      <c r="F28279" s="2" t="str">
        <f>HYPERLINK("http://www.otzar.org/book.asp?151270","נר חדש - 5 כר'")</f>
        <v>נר חדש - 5 כר'</v>
      </c>
    </row>
    <row r="28280" spans="1:6" x14ac:dyDescent="0.2">
      <c r="A28280" t="s">
        <v>44732</v>
      </c>
      <c r="B28280" t="s">
        <v>44733</v>
      </c>
      <c r="C28280" t="s">
        <v>366</v>
      </c>
      <c r="D28280" t="s">
        <v>52</v>
      </c>
      <c r="E28280" t="s">
        <v>104</v>
      </c>
      <c r="F28280" s="2" t="str">
        <f>HYPERLINK("http://www.otzar.org/book.asp?626913","נר חוה - 9 כר'")</f>
        <v>נר חוה - 9 כר'</v>
      </c>
    </row>
    <row r="28281" spans="1:6" x14ac:dyDescent="0.2">
      <c r="A28281" t="s">
        <v>44734</v>
      </c>
      <c r="B28281" t="s">
        <v>552</v>
      </c>
      <c r="C28281" t="s">
        <v>940</v>
      </c>
      <c r="D28281" t="s">
        <v>14</v>
      </c>
      <c r="E28281" t="s">
        <v>202</v>
      </c>
      <c r="F28281" s="2" t="str">
        <f>HYPERLINK("http://www.otzar.org/book.asp?174346","נר חיים [אלעזרי]")</f>
        <v>נר חיים [אלעזרי]</v>
      </c>
    </row>
    <row r="28282" spans="1:6" x14ac:dyDescent="0.2">
      <c r="A28282" t="s">
        <v>44735</v>
      </c>
      <c r="B28282" t="s">
        <v>552</v>
      </c>
      <c r="C28282" t="s">
        <v>466</v>
      </c>
      <c r="D28282" t="s">
        <v>52</v>
      </c>
      <c r="E28282" t="s">
        <v>202</v>
      </c>
      <c r="F28282" s="2" t="str">
        <f>HYPERLINK("http://www.otzar.org/book.asp?144331","נר חיים [לזכר הרב חיים אריה דויטש]")</f>
        <v>נר חיים [לזכר הרב חיים אריה דויטש]</v>
      </c>
    </row>
    <row r="28283" spans="1:6" x14ac:dyDescent="0.2">
      <c r="A28283" t="s">
        <v>44736</v>
      </c>
      <c r="B28283" t="s">
        <v>44737</v>
      </c>
      <c r="C28283" t="s">
        <v>114</v>
      </c>
      <c r="D28283" t="s">
        <v>412</v>
      </c>
      <c r="E28283" t="s">
        <v>148</v>
      </c>
      <c r="F28283" s="2" t="str">
        <f>HYPERLINK("http://www.otzar.org/book.asp?167952","נר חיים - על בי' הגר""א הל' בשר בחלב")</f>
        <v>נר חיים - על בי' הגר"א הל' בשר בחלב</v>
      </c>
    </row>
    <row r="28284" spans="1:6" x14ac:dyDescent="0.2">
      <c r="A28284" t="s">
        <v>44738</v>
      </c>
      <c r="B28284" t="s">
        <v>1510</v>
      </c>
      <c r="C28284" t="s">
        <v>133</v>
      </c>
      <c r="D28284" t="s">
        <v>1511</v>
      </c>
      <c r="E28284" t="s">
        <v>130</v>
      </c>
      <c r="F28284" s="2" t="str">
        <f>HYPERLINK("http://www.otzar.org/book.asp?171176","נר חנוכה")</f>
        <v>נר חנוכה</v>
      </c>
    </row>
    <row r="28285" spans="1:6" x14ac:dyDescent="0.2">
      <c r="A28285" t="s">
        <v>44739</v>
      </c>
      <c r="B28285" t="s">
        <v>552</v>
      </c>
      <c r="C28285" t="s">
        <v>767</v>
      </c>
      <c r="D28285" t="s">
        <v>52</v>
      </c>
      <c r="E28285" t="s">
        <v>384</v>
      </c>
      <c r="F28285" s="2" t="str">
        <f>HYPERLINK("http://www.otzar.org/book.asp?157531","נר יאיר")</f>
        <v>נר יאיר</v>
      </c>
    </row>
    <row r="28286" spans="1:6" x14ac:dyDescent="0.2">
      <c r="A28286" t="s">
        <v>44740</v>
      </c>
      <c r="B28286" t="s">
        <v>44741</v>
      </c>
      <c r="C28286" t="s">
        <v>1208</v>
      </c>
      <c r="D28286" t="s">
        <v>21</v>
      </c>
      <c r="F28286" s="2" t="str">
        <f>HYPERLINK("http://www.otzar.org/book.asp?197711","נר יהודה אריה")</f>
        <v>נר יהודה אריה</v>
      </c>
    </row>
    <row r="28287" spans="1:6" x14ac:dyDescent="0.2">
      <c r="A28287" t="s">
        <v>44742</v>
      </c>
      <c r="B28287" t="s">
        <v>3166</v>
      </c>
      <c r="C28287" t="s">
        <v>383</v>
      </c>
      <c r="D28287" t="s">
        <v>14</v>
      </c>
      <c r="E28287" t="s">
        <v>733</v>
      </c>
      <c r="F28287" s="2" t="str">
        <f>HYPERLINK("http://www.otzar.org/book.asp?200375","נר יהודה")</f>
        <v>נר יהודה</v>
      </c>
    </row>
    <row r="28288" spans="1:6" x14ac:dyDescent="0.2">
      <c r="A28288" t="s">
        <v>44743</v>
      </c>
      <c r="B28288" t="s">
        <v>44744</v>
      </c>
      <c r="C28288" t="s">
        <v>466</v>
      </c>
      <c r="D28288" t="s">
        <v>412</v>
      </c>
      <c r="E28288" t="s">
        <v>246</v>
      </c>
      <c r="F28288" s="2" t="str">
        <f>HYPERLINK("http://www.otzar.org/book.asp?84598","נר יהושע - 2 כר'")</f>
        <v>נר יהושע - 2 כר'</v>
      </c>
    </row>
    <row r="28289" spans="1:6" x14ac:dyDescent="0.2">
      <c r="A28289" t="s">
        <v>44745</v>
      </c>
      <c r="B28289" t="s">
        <v>4626</v>
      </c>
      <c r="C28289" t="s">
        <v>523</v>
      </c>
      <c r="D28289" t="s">
        <v>14</v>
      </c>
      <c r="E28289" t="s">
        <v>202</v>
      </c>
      <c r="F28289" s="2" t="str">
        <f>HYPERLINK("http://www.otzar.org/book.asp?152350","נר יום טוב - 15 כר'")</f>
        <v>נר יום טוב - 15 כר'</v>
      </c>
    </row>
    <row r="28290" spans="1:6" x14ac:dyDescent="0.2">
      <c r="A28290" t="s">
        <v>44746</v>
      </c>
      <c r="B28290" t="s">
        <v>17331</v>
      </c>
      <c r="C28290" t="s">
        <v>13</v>
      </c>
      <c r="D28290" t="s">
        <v>52</v>
      </c>
      <c r="E28290" t="s">
        <v>15</v>
      </c>
      <c r="F28290" s="2" t="str">
        <f>HYPERLINK("http://www.otzar.org/book.asp?147611","נר יום טוב")</f>
        <v>נר יום טוב</v>
      </c>
    </row>
    <row r="28291" spans="1:6" x14ac:dyDescent="0.2">
      <c r="A28291" t="s">
        <v>44747</v>
      </c>
      <c r="B28291" t="s">
        <v>44748</v>
      </c>
      <c r="C28291" t="s">
        <v>23</v>
      </c>
      <c r="D28291" t="s">
        <v>657</v>
      </c>
      <c r="E28291" t="s">
        <v>130</v>
      </c>
      <c r="F28291" s="2" t="str">
        <f>HYPERLINK("http://www.otzar.org/book.asp?183418","נר יוסף - 4 כר'")</f>
        <v>נר יוסף - 4 כר'</v>
      </c>
    </row>
    <row r="28292" spans="1:6" x14ac:dyDescent="0.2">
      <c r="A28292" t="s">
        <v>44749</v>
      </c>
      <c r="B28292" t="s">
        <v>37036</v>
      </c>
      <c r="C28292" t="s">
        <v>68</v>
      </c>
      <c r="D28292" t="s">
        <v>90</v>
      </c>
      <c r="E28292" t="s">
        <v>186</v>
      </c>
      <c r="F28292" s="2" t="str">
        <f>HYPERLINK("http://www.otzar.org/book.asp?158186","נר יחיאל  - סוכה")</f>
        <v>נר יחיאל  - סוכה</v>
      </c>
    </row>
    <row r="28293" spans="1:6" x14ac:dyDescent="0.2">
      <c r="A28293" t="s">
        <v>44750</v>
      </c>
      <c r="B28293" t="s">
        <v>2413</v>
      </c>
      <c r="C28293" t="s">
        <v>168</v>
      </c>
      <c r="D28293" t="s">
        <v>21</v>
      </c>
      <c r="E28293" t="s">
        <v>202</v>
      </c>
      <c r="F28293" s="2" t="str">
        <f>HYPERLINK("http://www.otzar.org/book.asp?605034","נר יצחק")</f>
        <v>נר יצחק</v>
      </c>
    </row>
    <row r="28294" spans="1:6" x14ac:dyDescent="0.2">
      <c r="A28294" t="s">
        <v>44751</v>
      </c>
      <c r="B28294" t="s">
        <v>1750</v>
      </c>
      <c r="C28294" t="s">
        <v>775</v>
      </c>
      <c r="D28294" t="s">
        <v>14</v>
      </c>
      <c r="E28294" t="s">
        <v>202</v>
      </c>
      <c r="F28294" s="2" t="str">
        <f>HYPERLINK("http://www.otzar.org/book.asp?160953","נר יצחק - 4 כר'")</f>
        <v>נר יצחק - 4 כר'</v>
      </c>
    </row>
    <row r="28295" spans="1:6" x14ac:dyDescent="0.2">
      <c r="A28295" t="s">
        <v>44750</v>
      </c>
      <c r="B28295" t="s">
        <v>44752</v>
      </c>
      <c r="C28295" t="s">
        <v>843</v>
      </c>
      <c r="D28295" t="s">
        <v>260</v>
      </c>
      <c r="E28295" t="s">
        <v>44753</v>
      </c>
      <c r="F28295" s="2" t="str">
        <f>HYPERLINK("http://www.otzar.org/book.asp?104103","נר יצחק")</f>
        <v>נר יצחק</v>
      </c>
    </row>
    <row r="28296" spans="1:6" x14ac:dyDescent="0.2">
      <c r="A28296" t="s">
        <v>44754</v>
      </c>
      <c r="B28296" t="s">
        <v>44755</v>
      </c>
      <c r="C28296" t="s">
        <v>17</v>
      </c>
      <c r="D28296" t="s">
        <v>14</v>
      </c>
      <c r="E28296" t="s">
        <v>6688</v>
      </c>
      <c r="F28296" s="2" t="str">
        <f>HYPERLINK("http://www.otzar.org/book.asp?50966","נר ישראל &lt;פתילת הנר&gt;")</f>
        <v>נר ישראל &lt;פתילת הנר&gt;</v>
      </c>
    </row>
    <row r="28297" spans="1:6" x14ac:dyDescent="0.2">
      <c r="A28297" t="s">
        <v>44756</v>
      </c>
      <c r="B28297" t="s">
        <v>11526</v>
      </c>
      <c r="C28297" t="s">
        <v>114</v>
      </c>
      <c r="D28297" t="s">
        <v>44757</v>
      </c>
      <c r="E28297" t="s">
        <v>202</v>
      </c>
      <c r="F28297" s="2" t="str">
        <f>HYPERLINK("http://www.otzar.org/book.asp?626023","נר ישראל יעקב - 3 כר'")</f>
        <v>נר ישראל יעקב - 3 כר'</v>
      </c>
    </row>
    <row r="28298" spans="1:6" x14ac:dyDescent="0.2">
      <c r="A28298" t="s">
        <v>44756</v>
      </c>
      <c r="B28298" t="s">
        <v>44758</v>
      </c>
      <c r="C28298" t="s">
        <v>133</v>
      </c>
      <c r="D28298" t="s">
        <v>44757</v>
      </c>
      <c r="E28298" t="s">
        <v>15</v>
      </c>
      <c r="F28298" s="2" t="str">
        <f>HYPERLINK("http://www.otzar.org/book.asp?626017","נר ישראל יעקב - 3 כר'")</f>
        <v>נר ישראל יעקב - 3 כר'</v>
      </c>
    </row>
    <row r="28299" spans="1:6" x14ac:dyDescent="0.2">
      <c r="A28299" t="s">
        <v>44759</v>
      </c>
      <c r="B28299" t="s">
        <v>4211</v>
      </c>
      <c r="C28299" t="s">
        <v>114</v>
      </c>
      <c r="D28299" t="s">
        <v>14</v>
      </c>
      <c r="E28299" t="s">
        <v>158</v>
      </c>
      <c r="F28299" s="2" t="str">
        <f>HYPERLINK("http://www.otzar.org/book.asp?162946","נר ישראל")</f>
        <v>נר ישראל</v>
      </c>
    </row>
    <row r="28300" spans="1:6" x14ac:dyDescent="0.2">
      <c r="A28300" t="s">
        <v>44760</v>
      </c>
      <c r="B28300" t="s">
        <v>44761</v>
      </c>
      <c r="C28300" t="s">
        <v>146</v>
      </c>
      <c r="D28300" t="s">
        <v>118</v>
      </c>
      <c r="E28300" t="s">
        <v>148</v>
      </c>
      <c r="F28300" s="2" t="str">
        <f>HYPERLINK("http://www.otzar.org/book.asp?618453","נר ישראל - מליחה")</f>
        <v>נר ישראל - מליחה</v>
      </c>
    </row>
    <row r="28301" spans="1:6" x14ac:dyDescent="0.2">
      <c r="A28301" t="s">
        <v>44762</v>
      </c>
      <c r="B28301" t="s">
        <v>44763</v>
      </c>
      <c r="C28301" t="s">
        <v>87</v>
      </c>
      <c r="D28301" t="s">
        <v>14</v>
      </c>
      <c r="E28301" t="s">
        <v>4163</v>
      </c>
      <c r="F28301" s="2" t="str">
        <f>HYPERLINK("http://www.otzar.org/book.asp?160366","נר ישראל - ל""ט מלאכות")</f>
        <v>נר ישראל - ל"ט מלאכות</v>
      </c>
    </row>
    <row r="28302" spans="1:6" x14ac:dyDescent="0.2">
      <c r="A28302" t="s">
        <v>44764</v>
      </c>
      <c r="B28302" t="s">
        <v>9698</v>
      </c>
      <c r="C28302" t="s">
        <v>17</v>
      </c>
      <c r="D28302" t="s">
        <v>21</v>
      </c>
      <c r="F28302" s="2" t="str">
        <f>HYPERLINK("http://www.otzar.org/book.asp?199544","נר ישראל - חנוכה")</f>
        <v>נר ישראל - חנוכה</v>
      </c>
    </row>
    <row r="28303" spans="1:6" x14ac:dyDescent="0.2">
      <c r="A28303" t="s">
        <v>44765</v>
      </c>
      <c r="B28303" t="s">
        <v>44766</v>
      </c>
      <c r="C28303" t="s">
        <v>843</v>
      </c>
      <c r="D28303" t="s">
        <v>27</v>
      </c>
      <c r="E28303" t="s">
        <v>44767</v>
      </c>
      <c r="F28303" s="2" t="str">
        <f>HYPERLINK("http://www.otzar.org/book.asp?103590","נר ישראל - 2 כר'")</f>
        <v>נר ישראל - 2 כר'</v>
      </c>
    </row>
    <row r="28304" spans="1:6" x14ac:dyDescent="0.2">
      <c r="A28304" t="s">
        <v>44759</v>
      </c>
      <c r="B28304" t="s">
        <v>11464</v>
      </c>
      <c r="C28304" t="s">
        <v>146</v>
      </c>
      <c r="D28304" t="s">
        <v>52</v>
      </c>
      <c r="E28304" t="s">
        <v>5392</v>
      </c>
      <c r="F28304" s="2" t="str">
        <f>HYPERLINK("http://www.otzar.org/book.asp?191688","נר ישראל")</f>
        <v>נר ישראל</v>
      </c>
    </row>
    <row r="28305" spans="1:6" x14ac:dyDescent="0.2">
      <c r="A28305" t="s">
        <v>44759</v>
      </c>
      <c r="B28305" t="s">
        <v>1750</v>
      </c>
      <c r="C28305" t="s">
        <v>785</v>
      </c>
      <c r="D28305" t="s">
        <v>1076</v>
      </c>
      <c r="E28305" t="s">
        <v>4022</v>
      </c>
      <c r="F28305" s="2" t="str">
        <f>HYPERLINK("http://www.otzar.org/book.asp?23885","נר ישראל")</f>
        <v>נר ישראל</v>
      </c>
    </row>
    <row r="28306" spans="1:6" x14ac:dyDescent="0.2">
      <c r="A28306" t="s">
        <v>44768</v>
      </c>
      <c r="B28306" t="s">
        <v>44769</v>
      </c>
      <c r="C28306" t="s">
        <v>332</v>
      </c>
      <c r="D28306" t="s">
        <v>260</v>
      </c>
      <c r="E28306" t="s">
        <v>202</v>
      </c>
      <c r="F28306" s="2" t="str">
        <f>HYPERLINK("http://www.otzar.org/book.asp?607256","נר ישראל - ב")</f>
        <v>נר ישראל - ב</v>
      </c>
    </row>
    <row r="28307" spans="1:6" x14ac:dyDescent="0.2">
      <c r="A28307" t="s">
        <v>44770</v>
      </c>
      <c r="B28307" t="s">
        <v>44771</v>
      </c>
      <c r="C28307" t="s">
        <v>466</v>
      </c>
      <c r="D28307" t="s">
        <v>52</v>
      </c>
      <c r="F28307" s="2" t="str">
        <f>HYPERLINK("http://www.otzar.org/book.asp?622777","נר ישראל - 6 כר'")</f>
        <v>נר ישראל - 6 כר'</v>
      </c>
    </row>
    <row r="28308" spans="1:6" x14ac:dyDescent="0.2">
      <c r="A28308" t="s">
        <v>44772</v>
      </c>
      <c r="B28308" t="s">
        <v>20402</v>
      </c>
      <c r="C28308" t="s">
        <v>553</v>
      </c>
      <c r="D28308" t="s">
        <v>14</v>
      </c>
      <c r="E28308" t="s">
        <v>474</v>
      </c>
      <c r="F28308" s="2" t="str">
        <f>HYPERLINK("http://www.otzar.org/book.asp?50651","נר לאבות")</f>
        <v>נר לאבות</v>
      </c>
    </row>
    <row r="28309" spans="1:6" x14ac:dyDescent="0.2">
      <c r="A28309" t="s">
        <v>44773</v>
      </c>
      <c r="B28309" t="s">
        <v>44774</v>
      </c>
      <c r="C28309" t="s">
        <v>51</v>
      </c>
      <c r="D28309" t="s">
        <v>115</v>
      </c>
      <c r="E28309" t="s">
        <v>158</v>
      </c>
      <c r="F28309" s="2" t="str">
        <f>HYPERLINK("http://www.otzar.org/book.asp?608156","נר לאברהם - 3 כר'")</f>
        <v>נר לאברהם - 3 כר'</v>
      </c>
    </row>
    <row r="28310" spans="1:6" x14ac:dyDescent="0.2">
      <c r="A28310" t="s">
        <v>44775</v>
      </c>
      <c r="B28310" t="s">
        <v>552</v>
      </c>
      <c r="C28310" t="s">
        <v>146</v>
      </c>
      <c r="D28310" t="s">
        <v>657</v>
      </c>
      <c r="E28310" t="s">
        <v>202</v>
      </c>
      <c r="F28310" s="2" t="str">
        <f>HYPERLINK("http://www.otzar.org/book.asp?26789","נר לאחד")</f>
        <v>נר לאחד</v>
      </c>
    </row>
    <row r="28311" spans="1:6" x14ac:dyDescent="0.2">
      <c r="A28311" t="s">
        <v>44776</v>
      </c>
      <c r="B28311" t="s">
        <v>39607</v>
      </c>
      <c r="C28311" t="s">
        <v>919</v>
      </c>
      <c r="D28311" t="s">
        <v>52</v>
      </c>
      <c r="E28311" t="s">
        <v>5580</v>
      </c>
      <c r="F28311" s="2" t="str">
        <f>HYPERLINK("http://www.otzar.org/book.asp?148880","נר לדוד")</f>
        <v>נר לדוד</v>
      </c>
    </row>
    <row r="28312" spans="1:6" x14ac:dyDescent="0.2">
      <c r="A28312" t="s">
        <v>44777</v>
      </c>
      <c r="B28312" t="s">
        <v>2885</v>
      </c>
      <c r="C28312" t="s">
        <v>20</v>
      </c>
      <c r="D28312" t="s">
        <v>14</v>
      </c>
      <c r="E28312" t="s">
        <v>3055</v>
      </c>
      <c r="F28312" s="2" t="str">
        <f>HYPERLINK("http://www.otzar.org/book.asp?60859","נר להצדיק")</f>
        <v>נר להצדיק</v>
      </c>
    </row>
    <row r="28313" spans="1:6" x14ac:dyDescent="0.2">
      <c r="A28313" t="s">
        <v>44778</v>
      </c>
      <c r="B28313" t="s">
        <v>552</v>
      </c>
      <c r="C28313" t="s">
        <v>989</v>
      </c>
      <c r="D28313" t="s">
        <v>14</v>
      </c>
      <c r="E28313" t="s">
        <v>723</v>
      </c>
      <c r="F28313" s="2" t="str">
        <f>HYPERLINK("http://www.otzar.org/book.asp?15041","נר ליחזקאל [בצלאל]")</f>
        <v>נר ליחזקאל [בצלאל]</v>
      </c>
    </row>
    <row r="28314" spans="1:6" x14ac:dyDescent="0.2">
      <c r="A28314" t="s">
        <v>44779</v>
      </c>
      <c r="B28314" t="s">
        <v>44780</v>
      </c>
      <c r="C28314" t="s">
        <v>785</v>
      </c>
      <c r="D28314" t="s">
        <v>52</v>
      </c>
      <c r="E28314" t="s">
        <v>241</v>
      </c>
      <c r="F28314" s="2" t="str">
        <f>HYPERLINK("http://www.otzar.org/book.asp?196187","נר ליצהר - צהר ליוסף")</f>
        <v>נר ליצהר - צהר ליוסף</v>
      </c>
    </row>
    <row r="28315" spans="1:6" x14ac:dyDescent="0.2">
      <c r="A28315" t="s">
        <v>44781</v>
      </c>
      <c r="B28315" t="s">
        <v>44782</v>
      </c>
      <c r="C28315" t="s">
        <v>624</v>
      </c>
      <c r="D28315" t="s">
        <v>216</v>
      </c>
      <c r="E28315" t="s">
        <v>202</v>
      </c>
      <c r="F28315" s="2" t="str">
        <f>HYPERLINK("http://www.otzar.org/book.asp?170546","נר לישראל")</f>
        <v>נר לישראל</v>
      </c>
    </row>
    <row r="28316" spans="1:6" x14ac:dyDescent="0.2">
      <c r="A28316" t="s">
        <v>44783</v>
      </c>
      <c r="B28316" t="s">
        <v>34695</v>
      </c>
      <c r="C28316" t="s">
        <v>114</v>
      </c>
      <c r="D28316" t="s">
        <v>52</v>
      </c>
      <c r="E28316" t="s">
        <v>84</v>
      </c>
      <c r="F28316" s="2" t="str">
        <f>HYPERLINK("http://www.otzar.org/book.asp?165451","נר למאה - פירוש למסכת אבות")</f>
        <v>נר למאה - פירוש למסכת אבות</v>
      </c>
    </row>
    <row r="28317" spans="1:6" x14ac:dyDescent="0.2">
      <c r="A28317" t="s">
        <v>44784</v>
      </c>
      <c r="B28317" t="s">
        <v>44785</v>
      </c>
      <c r="C28317" t="s">
        <v>1268</v>
      </c>
      <c r="D28317" t="s">
        <v>412</v>
      </c>
      <c r="E28317" t="s">
        <v>246</v>
      </c>
      <c r="F28317" s="2" t="str">
        <f>HYPERLINK("http://www.otzar.org/book.asp?620609","נר למאה - 2 כר'")</f>
        <v>נר למאה - 2 כר'</v>
      </c>
    </row>
    <row r="28318" spans="1:6" x14ac:dyDescent="0.2">
      <c r="A28318" t="s">
        <v>44784</v>
      </c>
      <c r="B28318" t="s">
        <v>44786</v>
      </c>
      <c r="C28318" t="s">
        <v>558</v>
      </c>
      <c r="D28318" t="s">
        <v>225</v>
      </c>
      <c r="E28318" t="s">
        <v>234</v>
      </c>
      <c r="F28318" s="2" t="str">
        <f>HYPERLINK("http://www.otzar.org/book.asp?102051","נר למאה - 2 כר'")</f>
        <v>נר למאה - 2 כר'</v>
      </c>
    </row>
    <row r="28319" spans="1:6" x14ac:dyDescent="0.2">
      <c r="A28319" t="s">
        <v>44787</v>
      </c>
      <c r="B28319" t="s">
        <v>552</v>
      </c>
      <c r="C28319" t="s">
        <v>176</v>
      </c>
      <c r="D28319" t="s">
        <v>52</v>
      </c>
      <c r="E28319" t="s">
        <v>202</v>
      </c>
      <c r="F28319" s="2" t="str">
        <f>HYPERLINK("http://www.otzar.org/book.asp?61942","נר למאה")</f>
        <v>נר למאה</v>
      </c>
    </row>
    <row r="28320" spans="1:6" x14ac:dyDescent="0.2">
      <c r="A28320" t="s">
        <v>44788</v>
      </c>
      <c r="B28320" t="s">
        <v>44789</v>
      </c>
      <c r="C28320" t="s">
        <v>896</v>
      </c>
      <c r="D28320" t="s">
        <v>225</v>
      </c>
      <c r="E28320" t="s">
        <v>10</v>
      </c>
      <c r="F28320" s="2" t="str">
        <f>HYPERLINK("http://www.otzar.org/book.asp?300407","נר למאור")</f>
        <v>נר למאור</v>
      </c>
    </row>
    <row r="28321" spans="1:6" x14ac:dyDescent="0.2">
      <c r="A28321" t="s">
        <v>44790</v>
      </c>
      <c r="B28321" t="s">
        <v>3759</v>
      </c>
      <c r="C28321" t="s">
        <v>44791</v>
      </c>
      <c r="D28321" t="s">
        <v>691</v>
      </c>
      <c r="E28321" t="s">
        <v>579</v>
      </c>
      <c r="F28321" s="2" t="str">
        <f>HYPERLINK("http://www.otzar.org/book.asp?103591","נר למאור - 2 כר'")</f>
        <v>נר למאור - 2 כר'</v>
      </c>
    </row>
    <row r="28322" spans="1:6" x14ac:dyDescent="0.2">
      <c r="A28322" t="s">
        <v>44790</v>
      </c>
      <c r="B28322" t="s">
        <v>40821</v>
      </c>
      <c r="C28322" t="s">
        <v>189</v>
      </c>
      <c r="D28322" t="s">
        <v>4478</v>
      </c>
      <c r="E28322" t="s">
        <v>246</v>
      </c>
      <c r="F28322" s="2" t="str">
        <f>HYPERLINK("http://www.otzar.org/book.asp?63144","נר למאור - 2 כר'")</f>
        <v>נר למאור - 2 כר'</v>
      </c>
    </row>
    <row r="28323" spans="1:6" x14ac:dyDescent="0.2">
      <c r="A28323" t="s">
        <v>44788</v>
      </c>
      <c r="B28323" t="s">
        <v>44792</v>
      </c>
      <c r="C28323" t="s">
        <v>313</v>
      </c>
      <c r="D28323" t="s">
        <v>412</v>
      </c>
      <c r="E28323" t="s">
        <v>144</v>
      </c>
      <c r="F28323" s="2" t="str">
        <f>HYPERLINK("http://www.otzar.org/book.asp?168582","נר למאור")</f>
        <v>נר למאור</v>
      </c>
    </row>
    <row r="28324" spans="1:6" x14ac:dyDescent="0.2">
      <c r="A28324" t="s">
        <v>44788</v>
      </c>
      <c r="B28324" t="s">
        <v>1750</v>
      </c>
      <c r="C28324" t="s">
        <v>989</v>
      </c>
      <c r="D28324" t="s">
        <v>14</v>
      </c>
      <c r="E28324" t="s">
        <v>202</v>
      </c>
      <c r="F28324" s="2" t="str">
        <f>HYPERLINK("http://www.otzar.org/book.asp?106089","נר למאור")</f>
        <v>נר למאור</v>
      </c>
    </row>
    <row r="28325" spans="1:6" x14ac:dyDescent="0.2">
      <c r="A28325" t="s">
        <v>44788</v>
      </c>
      <c r="B28325" t="s">
        <v>14196</v>
      </c>
      <c r="C28325" t="s">
        <v>427</v>
      </c>
      <c r="D28325" t="s">
        <v>14</v>
      </c>
      <c r="F28325" s="2" t="str">
        <f>HYPERLINK("http://www.otzar.org/book.asp?156488","נר למאור")</f>
        <v>נר למאור</v>
      </c>
    </row>
    <row r="28326" spans="1:6" x14ac:dyDescent="0.2">
      <c r="A28326" t="s">
        <v>44788</v>
      </c>
      <c r="B28326" t="s">
        <v>6720</v>
      </c>
      <c r="C28326" t="s">
        <v>1047</v>
      </c>
      <c r="D28326" t="s">
        <v>283</v>
      </c>
      <c r="E28326" t="s">
        <v>154</v>
      </c>
      <c r="F28326" s="2" t="str">
        <f>HYPERLINK("http://www.otzar.org/book.asp?101533","נר למאור")</f>
        <v>נר למאור</v>
      </c>
    </row>
    <row r="28327" spans="1:6" x14ac:dyDescent="0.2">
      <c r="A28327" t="s">
        <v>44793</v>
      </c>
      <c r="B28327" t="s">
        <v>9336</v>
      </c>
      <c r="C28327" t="s">
        <v>956</v>
      </c>
      <c r="D28327" t="s">
        <v>115</v>
      </c>
      <c r="E28327" t="s">
        <v>40259</v>
      </c>
      <c r="F28327" s="2" t="str">
        <f>HYPERLINK("http://www.otzar.org/book.asp?104542","נר למנחם")</f>
        <v>נר למנחם</v>
      </c>
    </row>
    <row r="28328" spans="1:6" x14ac:dyDescent="0.2">
      <c r="A28328" t="s">
        <v>44794</v>
      </c>
      <c r="B28328" t="s">
        <v>44795</v>
      </c>
      <c r="C28328" t="s">
        <v>919</v>
      </c>
      <c r="D28328" t="s">
        <v>14</v>
      </c>
      <c r="E28328" t="s">
        <v>144</v>
      </c>
      <c r="F28328" s="2" t="str">
        <f>HYPERLINK("http://www.otzar.org/book.asp?160262","נר למרדכי")</f>
        <v>נר למרדכי</v>
      </c>
    </row>
    <row r="28329" spans="1:6" x14ac:dyDescent="0.2">
      <c r="A28329" t="s">
        <v>44796</v>
      </c>
      <c r="B28329" t="s">
        <v>44797</v>
      </c>
      <c r="C28329" t="s">
        <v>1208</v>
      </c>
      <c r="E28329" t="s">
        <v>1174</v>
      </c>
      <c r="F28329" s="2" t="str">
        <f>HYPERLINK("http://www.otzar.org/book.asp?191232","נר למשה")</f>
        <v>נר למשה</v>
      </c>
    </row>
    <row r="28330" spans="1:6" x14ac:dyDescent="0.2">
      <c r="A28330" t="s">
        <v>44796</v>
      </c>
      <c r="B28330" t="s">
        <v>23831</v>
      </c>
      <c r="C28330" t="s">
        <v>20</v>
      </c>
      <c r="D28330" t="s">
        <v>14</v>
      </c>
      <c r="E28330" t="s">
        <v>104</v>
      </c>
      <c r="F28330" s="2" t="str">
        <f>HYPERLINK("http://www.otzar.org/book.asp?157757","נר למשה")</f>
        <v>נר למשה</v>
      </c>
    </row>
    <row r="28331" spans="1:6" x14ac:dyDescent="0.2">
      <c r="A28331" t="s">
        <v>44798</v>
      </c>
      <c r="B28331" t="s">
        <v>9037</v>
      </c>
      <c r="C28331" t="s">
        <v>133</v>
      </c>
      <c r="D28331" t="s">
        <v>412</v>
      </c>
      <c r="E28331" t="s">
        <v>246</v>
      </c>
      <c r="F28331" s="2" t="str">
        <f>HYPERLINK("http://www.otzar.org/book.asp?180188","נר למשיחי חנו כ""ה")</f>
        <v>נר למשיחי חנו כ"ה</v>
      </c>
    </row>
    <row r="28332" spans="1:6" x14ac:dyDescent="0.2">
      <c r="A28332" t="s">
        <v>44799</v>
      </c>
      <c r="B28332" t="s">
        <v>4785</v>
      </c>
      <c r="C28332" t="s">
        <v>151</v>
      </c>
      <c r="D28332" t="s">
        <v>52</v>
      </c>
      <c r="E28332" t="s">
        <v>165</v>
      </c>
      <c r="F28332" s="2" t="str">
        <f>HYPERLINK("http://www.otzar.org/book.asp?613841","נר למשיחי")</f>
        <v>נר למשיחי</v>
      </c>
    </row>
    <row r="28333" spans="1:6" x14ac:dyDescent="0.2">
      <c r="A28333" t="s">
        <v>44800</v>
      </c>
      <c r="B28333" t="s">
        <v>15689</v>
      </c>
      <c r="C28333" t="s">
        <v>20</v>
      </c>
      <c r="D28333" t="s">
        <v>3069</v>
      </c>
      <c r="E28333" t="s">
        <v>10</v>
      </c>
      <c r="F28333" s="2" t="str">
        <f>HYPERLINK("http://www.otzar.org/book.asp?162164","נר לעזרא - 2 כר'")</f>
        <v>נר לעזרא - 2 כר'</v>
      </c>
    </row>
    <row r="28334" spans="1:6" x14ac:dyDescent="0.2">
      <c r="A28334" t="s">
        <v>44801</v>
      </c>
      <c r="B28334" t="s">
        <v>44802</v>
      </c>
      <c r="C28334" t="s">
        <v>111</v>
      </c>
      <c r="D28334" t="s">
        <v>90</v>
      </c>
      <c r="E28334" t="s">
        <v>230</v>
      </c>
      <c r="F28334" s="2" t="str">
        <f>HYPERLINK("http://www.otzar.org/book.asp?628768","נר לצדיק - ה דברים")</f>
        <v>נר לצדיק - ה דברים</v>
      </c>
    </row>
    <row r="28335" spans="1:6" x14ac:dyDescent="0.2">
      <c r="A28335" t="s">
        <v>44803</v>
      </c>
      <c r="B28335" t="s">
        <v>44804</v>
      </c>
      <c r="C28335" t="s">
        <v>37</v>
      </c>
      <c r="D28335" t="s">
        <v>412</v>
      </c>
      <c r="F28335" s="2" t="str">
        <f>HYPERLINK("http://www.otzar.org/book.asp?623047","נר לצדיק - 4 כר'")</f>
        <v>נר לצדיק - 4 כר'</v>
      </c>
    </row>
    <row r="28336" spans="1:6" x14ac:dyDescent="0.2">
      <c r="A28336" t="s">
        <v>44805</v>
      </c>
      <c r="B28336" t="s">
        <v>44806</v>
      </c>
      <c r="C28336" t="s">
        <v>23</v>
      </c>
      <c r="D28336" t="s">
        <v>14</v>
      </c>
      <c r="E28336" t="s">
        <v>241</v>
      </c>
      <c r="F28336" s="2" t="str">
        <f>HYPERLINK("http://www.otzar.org/book.asp?608534","נר לרגלי דבריך")</f>
        <v>נר לרגלי דבריך</v>
      </c>
    </row>
    <row r="28337" spans="1:6" x14ac:dyDescent="0.2">
      <c r="A28337" t="s">
        <v>44807</v>
      </c>
      <c r="B28337" t="s">
        <v>44808</v>
      </c>
      <c r="C28337" t="s">
        <v>185</v>
      </c>
      <c r="D28337" t="s">
        <v>90</v>
      </c>
      <c r="E28337" t="s">
        <v>3798</v>
      </c>
      <c r="F28337" s="2" t="str">
        <f>HYPERLINK("http://www.otzar.org/book.asp?631104","נר לרגלי דברך")</f>
        <v>נר לרגלי דברך</v>
      </c>
    </row>
    <row r="28338" spans="1:6" x14ac:dyDescent="0.2">
      <c r="A28338" t="s">
        <v>44809</v>
      </c>
      <c r="B28338" t="s">
        <v>26738</v>
      </c>
      <c r="C28338" t="s">
        <v>146</v>
      </c>
      <c r="D28338" t="s">
        <v>14</v>
      </c>
      <c r="E28338" t="s">
        <v>158</v>
      </c>
      <c r="F28338" s="2" t="str">
        <f>HYPERLINK("http://www.otzar.org/book.asp?84414","נר לרגלי - 2 כר'")</f>
        <v>נר לרגלי - 2 כר'</v>
      </c>
    </row>
    <row r="28339" spans="1:6" x14ac:dyDescent="0.2">
      <c r="A28339" t="s">
        <v>44810</v>
      </c>
      <c r="B28339" t="s">
        <v>1602</v>
      </c>
      <c r="C28339" t="s">
        <v>189</v>
      </c>
      <c r="D28339" t="s">
        <v>14</v>
      </c>
      <c r="E28339" t="s">
        <v>241</v>
      </c>
      <c r="F28339" s="2" t="str">
        <f>HYPERLINK("http://www.otzar.org/book.asp?84602","נר לרגלי")</f>
        <v>נר לרגלי</v>
      </c>
    </row>
    <row r="28340" spans="1:6" x14ac:dyDescent="0.2">
      <c r="A28340" t="s">
        <v>44811</v>
      </c>
      <c r="B28340" t="s">
        <v>4854</v>
      </c>
      <c r="C28340" t="s">
        <v>20</v>
      </c>
      <c r="D28340" t="s">
        <v>367</v>
      </c>
      <c r="E28340" t="s">
        <v>3055</v>
      </c>
      <c r="F28340" s="2" t="str">
        <f>HYPERLINK("http://www.otzar.org/book.asp?623587","נר לרגלי - חנוכה")</f>
        <v>נר לרגלי - חנוכה</v>
      </c>
    </row>
    <row r="28341" spans="1:6" x14ac:dyDescent="0.2">
      <c r="A28341" t="s">
        <v>44812</v>
      </c>
      <c r="B28341" t="s">
        <v>44813</v>
      </c>
      <c r="C28341" t="s">
        <v>146</v>
      </c>
      <c r="D28341" t="s">
        <v>52</v>
      </c>
      <c r="E28341" t="s">
        <v>158</v>
      </c>
      <c r="F28341" s="2" t="str">
        <f>HYPERLINK("http://www.otzar.org/book.asp?607333","נר לשבת - 2 כר'")</f>
        <v>נר לשבת - 2 כר'</v>
      </c>
    </row>
    <row r="28342" spans="1:6" x14ac:dyDescent="0.2">
      <c r="A28342" t="s">
        <v>44814</v>
      </c>
      <c r="B28342" t="s">
        <v>44815</v>
      </c>
      <c r="C28342" t="s">
        <v>1208</v>
      </c>
      <c r="D28342" t="s">
        <v>52</v>
      </c>
      <c r="E28342" t="s">
        <v>202</v>
      </c>
      <c r="F28342" s="2" t="str">
        <f>HYPERLINK("http://www.otzar.org/book.asp?155423","נר לשמעיה")</f>
        <v>נר לשמעיה</v>
      </c>
    </row>
    <row r="28343" spans="1:6" x14ac:dyDescent="0.2">
      <c r="A28343" t="s">
        <v>44816</v>
      </c>
      <c r="B28343" t="s">
        <v>12245</v>
      </c>
      <c r="C28343" t="s">
        <v>114</v>
      </c>
      <c r="D28343" t="s">
        <v>147</v>
      </c>
      <c r="E28343" t="s">
        <v>12419</v>
      </c>
      <c r="F28343" s="2" t="str">
        <f>HYPERLINK("http://www.otzar.org/book.asp?158071","נר מאיר")</f>
        <v>נר מאיר</v>
      </c>
    </row>
    <row r="28344" spans="1:6" x14ac:dyDescent="0.2">
      <c r="A28344" t="s">
        <v>44817</v>
      </c>
      <c r="B28344" t="s">
        <v>552</v>
      </c>
      <c r="C28344" t="s">
        <v>1448</v>
      </c>
      <c r="D28344" t="s">
        <v>1840</v>
      </c>
      <c r="E28344" t="s">
        <v>202</v>
      </c>
      <c r="F28344" s="2" t="str">
        <f>HYPERLINK("http://www.otzar.org/book.asp?163993","נר מיכאל")</f>
        <v>נר מיכאל</v>
      </c>
    </row>
    <row r="28345" spans="1:6" x14ac:dyDescent="0.2">
      <c r="A28345" t="s">
        <v>44818</v>
      </c>
      <c r="B28345" t="s">
        <v>44819</v>
      </c>
      <c r="C28345" t="s">
        <v>496</v>
      </c>
      <c r="D28345" t="s">
        <v>27</v>
      </c>
      <c r="E28345" t="s">
        <v>3936</v>
      </c>
      <c r="F28345" s="2" t="str">
        <f>HYPERLINK("http://www.otzar.org/book.asp?19383","נר מנרות")</f>
        <v>נר מנרות</v>
      </c>
    </row>
    <row r="28346" spans="1:6" x14ac:dyDescent="0.2">
      <c r="A28346" t="s">
        <v>44820</v>
      </c>
      <c r="B28346" t="s">
        <v>44821</v>
      </c>
      <c r="C28346" t="s">
        <v>775</v>
      </c>
      <c r="D28346" t="s">
        <v>14</v>
      </c>
      <c r="E28346" t="s">
        <v>44822</v>
      </c>
      <c r="F28346" s="2" t="str">
        <f>HYPERLINK("http://www.otzar.org/book.asp?163975","נר מערבי - 13 כר'")</f>
        <v>נר מערבי - 13 כר'</v>
      </c>
    </row>
    <row r="28347" spans="1:6" x14ac:dyDescent="0.2">
      <c r="A28347" t="s">
        <v>44823</v>
      </c>
      <c r="B28347" t="s">
        <v>44824</v>
      </c>
      <c r="C28347" t="s">
        <v>13</v>
      </c>
      <c r="D28347" t="s">
        <v>486</v>
      </c>
      <c r="E28347" t="s">
        <v>158</v>
      </c>
      <c r="F28347" s="2" t="str">
        <f>HYPERLINK("http://www.otzar.org/book.asp?189740","נר מערבי - 2 כר'")</f>
        <v>נר מערבי - 2 כר'</v>
      </c>
    </row>
    <row r="28348" spans="1:6" x14ac:dyDescent="0.2">
      <c r="A28348" t="s">
        <v>44823</v>
      </c>
      <c r="B28348" t="s">
        <v>382</v>
      </c>
      <c r="C28348" t="s">
        <v>581</v>
      </c>
      <c r="D28348" t="s">
        <v>9</v>
      </c>
      <c r="E28348" t="s">
        <v>202</v>
      </c>
      <c r="F28348" s="2" t="str">
        <f>HYPERLINK("http://www.otzar.org/book.asp?60673","נר מערבי - 2 כר'")</f>
        <v>נר מערבי - 2 כר'</v>
      </c>
    </row>
    <row r="28349" spans="1:6" x14ac:dyDescent="0.2">
      <c r="A28349" t="s">
        <v>44823</v>
      </c>
      <c r="B28349" t="s">
        <v>44825</v>
      </c>
      <c r="C28349" t="s">
        <v>23885</v>
      </c>
      <c r="D28349" t="s">
        <v>27</v>
      </c>
      <c r="E28349" t="s">
        <v>10</v>
      </c>
      <c r="F28349" s="2" t="str">
        <f>HYPERLINK("http://www.otzar.org/book.asp?28653","נר מערבי - 2 כר'")</f>
        <v>נר מערבי - 2 כר'</v>
      </c>
    </row>
    <row r="28350" spans="1:6" x14ac:dyDescent="0.2">
      <c r="A28350" t="s">
        <v>44823</v>
      </c>
      <c r="B28350" t="s">
        <v>44826</v>
      </c>
      <c r="C28350" t="s">
        <v>114</v>
      </c>
      <c r="D28350" t="s">
        <v>90</v>
      </c>
      <c r="F28350" s="2" t="str">
        <f>HYPERLINK("http://www.otzar.org/book.asp?614427","נר מערבי - 2 כר'")</f>
        <v>נר מערבי - 2 כר'</v>
      </c>
    </row>
    <row r="28351" spans="1:6" x14ac:dyDescent="0.2">
      <c r="A28351" t="s">
        <v>44827</v>
      </c>
      <c r="B28351" t="s">
        <v>44828</v>
      </c>
      <c r="C28351" t="s">
        <v>30887</v>
      </c>
      <c r="D28351" t="s">
        <v>1490</v>
      </c>
      <c r="E28351" t="s">
        <v>219</v>
      </c>
      <c r="F28351" s="2" t="str">
        <f>HYPERLINK("http://www.otzar.org/book.asp?53475","נר מצוה &lt;פירוש על האזהרות שחיבר ר' שלמה אבן גבירול&gt; - 2 כר'")</f>
        <v>נר מצוה &lt;פירוש על האזהרות שחיבר ר' שלמה אבן גבירול&gt; - 2 כר'</v>
      </c>
    </row>
    <row r="28352" spans="1:6" x14ac:dyDescent="0.2">
      <c r="A28352" t="s">
        <v>44829</v>
      </c>
      <c r="B28352" t="s">
        <v>44830</v>
      </c>
      <c r="C28352" t="s">
        <v>68</v>
      </c>
      <c r="D28352" t="s">
        <v>20</v>
      </c>
      <c r="E28352" t="s">
        <v>158</v>
      </c>
      <c r="F28352" s="2" t="str">
        <f>HYPERLINK("http://www.otzar.org/book.asp?176888","נר מצוה ותורה אור")</f>
        <v>נר מצוה ותורה אור</v>
      </c>
    </row>
    <row r="28353" spans="1:6" x14ac:dyDescent="0.2">
      <c r="A28353" t="s">
        <v>44831</v>
      </c>
      <c r="B28353" t="s">
        <v>4925</v>
      </c>
      <c r="C28353" t="s">
        <v>27278</v>
      </c>
      <c r="D28353" t="s">
        <v>76</v>
      </c>
      <c r="E28353" t="s">
        <v>219</v>
      </c>
      <c r="F28353" s="2" t="str">
        <f>HYPERLINK("http://www.otzar.org/book.asp?147264","נר מצוה")</f>
        <v>נר מצוה</v>
      </c>
    </row>
    <row r="28354" spans="1:6" x14ac:dyDescent="0.2">
      <c r="A28354" t="s">
        <v>44831</v>
      </c>
      <c r="B28354" t="s">
        <v>44832</v>
      </c>
      <c r="C28354" t="s">
        <v>466</v>
      </c>
      <c r="D28354" t="s">
        <v>52</v>
      </c>
      <c r="E28354" t="s">
        <v>4022</v>
      </c>
      <c r="F28354" s="2" t="str">
        <f>HYPERLINK("http://www.otzar.org/book.asp?61817","נר מצוה")</f>
        <v>נר מצוה</v>
      </c>
    </row>
    <row r="28355" spans="1:6" x14ac:dyDescent="0.2">
      <c r="A28355" t="s">
        <v>44833</v>
      </c>
      <c r="B28355" t="s">
        <v>23066</v>
      </c>
      <c r="C28355" t="s">
        <v>956</v>
      </c>
      <c r="D28355" t="s">
        <v>14</v>
      </c>
      <c r="E28355" t="s">
        <v>246</v>
      </c>
      <c r="F28355" s="2" t="str">
        <f>HYPERLINK("http://www.otzar.org/book.asp?62856","נר מצוה - 3 כר'")</f>
        <v>נר מצוה - 3 כר'</v>
      </c>
    </row>
    <row r="28356" spans="1:6" x14ac:dyDescent="0.2">
      <c r="A28356" t="s">
        <v>44833</v>
      </c>
      <c r="B28356" t="s">
        <v>23597</v>
      </c>
      <c r="C28356" t="s">
        <v>10175</v>
      </c>
      <c r="D28356" t="s">
        <v>947</v>
      </c>
      <c r="E28356" t="s">
        <v>15</v>
      </c>
      <c r="F28356" s="2" t="str">
        <f>HYPERLINK("http://www.otzar.org/book.asp?104104","נר מצוה - 3 כר'")</f>
        <v>נר מצוה - 3 כר'</v>
      </c>
    </row>
    <row r="28357" spans="1:6" x14ac:dyDescent="0.2">
      <c r="A28357" t="s">
        <v>44831</v>
      </c>
      <c r="B28357" t="s">
        <v>44834</v>
      </c>
      <c r="C28357" t="s">
        <v>2543</v>
      </c>
      <c r="D28357" t="s">
        <v>225</v>
      </c>
      <c r="E28357" t="s">
        <v>674</v>
      </c>
      <c r="F28357" s="2" t="str">
        <f>HYPERLINK("http://www.otzar.org/book.asp?2043","נר מצוה")</f>
        <v>נר מצוה</v>
      </c>
    </row>
    <row r="28358" spans="1:6" x14ac:dyDescent="0.2">
      <c r="A28358" t="s">
        <v>44835</v>
      </c>
      <c r="B28358" t="s">
        <v>2999</v>
      </c>
      <c r="C28358" t="s">
        <v>725</v>
      </c>
      <c r="D28358" t="s">
        <v>7458</v>
      </c>
      <c r="F28358" s="2" t="str">
        <f>HYPERLINK("http://www.otzar.org/book.asp?25149","נר מצוה - 2 כר'")</f>
        <v>נר מצוה - 2 כר'</v>
      </c>
    </row>
    <row r="28359" spans="1:6" x14ac:dyDescent="0.2">
      <c r="A28359" t="s">
        <v>44835</v>
      </c>
      <c r="B28359" t="s">
        <v>4743</v>
      </c>
      <c r="C28359" t="s">
        <v>44836</v>
      </c>
      <c r="D28359" t="s">
        <v>76</v>
      </c>
      <c r="E28359" t="s">
        <v>424</v>
      </c>
      <c r="F28359" s="2" t="str">
        <f>HYPERLINK("http://www.otzar.org/book.asp?100977","נר מצוה - 2 כר'")</f>
        <v>נר מצוה - 2 כר'</v>
      </c>
    </row>
    <row r="28360" spans="1:6" x14ac:dyDescent="0.2">
      <c r="A28360" t="s">
        <v>44837</v>
      </c>
      <c r="B28360" t="s">
        <v>2396</v>
      </c>
      <c r="C28360" t="s">
        <v>411</v>
      </c>
      <c r="D28360" t="s">
        <v>1076</v>
      </c>
      <c r="E28360" t="s">
        <v>158</v>
      </c>
      <c r="F28360" s="2" t="str">
        <f>HYPERLINK("http://www.otzar.org/book.asp?617271","נר מצוה - בפסוקי התורה")</f>
        <v>נר מצוה - בפסוקי התורה</v>
      </c>
    </row>
    <row r="28361" spans="1:6" x14ac:dyDescent="0.2">
      <c r="A28361" t="s">
        <v>44831</v>
      </c>
      <c r="B28361" t="s">
        <v>30555</v>
      </c>
      <c r="C28361" t="s">
        <v>2644</v>
      </c>
      <c r="D28361" t="s">
        <v>4269</v>
      </c>
      <c r="E28361" t="s">
        <v>1211</v>
      </c>
      <c r="F28361" s="2" t="str">
        <f>HYPERLINK("http://www.otzar.org/book.asp?101596","נר מצוה")</f>
        <v>נר מצוה</v>
      </c>
    </row>
    <row r="28362" spans="1:6" x14ac:dyDescent="0.2">
      <c r="A28362" t="s">
        <v>44838</v>
      </c>
      <c r="B28362" t="s">
        <v>3923</v>
      </c>
      <c r="C28362" t="s">
        <v>1619</v>
      </c>
      <c r="D28362" t="s">
        <v>52</v>
      </c>
      <c r="E28362" t="s">
        <v>230</v>
      </c>
      <c r="F28362" s="2" t="str">
        <f>HYPERLINK("http://www.otzar.org/book.asp?23388","נר מצוה, אור חדש")</f>
        <v>נר מצוה, אור חדש</v>
      </c>
    </row>
    <row r="28363" spans="1:6" x14ac:dyDescent="0.2">
      <c r="A28363" t="s">
        <v>44839</v>
      </c>
      <c r="B28363" t="s">
        <v>30470</v>
      </c>
      <c r="C28363" t="s">
        <v>466</v>
      </c>
      <c r="D28363" t="s">
        <v>1840</v>
      </c>
      <c r="F28363" s="2" t="str">
        <f>HYPERLINK("http://www.otzar.org/book.asp?198664","נר מציון - פרקי אבות")</f>
        <v>נר מציון - פרקי אבות</v>
      </c>
    </row>
    <row r="28364" spans="1:6" x14ac:dyDescent="0.2">
      <c r="A28364" t="s">
        <v>44840</v>
      </c>
      <c r="B28364" t="s">
        <v>44841</v>
      </c>
      <c r="C28364" t="s">
        <v>143</v>
      </c>
      <c r="D28364" t="s">
        <v>412</v>
      </c>
      <c r="E28364" t="s">
        <v>144</v>
      </c>
      <c r="F28364" s="2" t="str">
        <f>HYPERLINK("http://www.otzar.org/book.asp?162375","נר משפט")</f>
        <v>נר משפט</v>
      </c>
    </row>
    <row r="28365" spans="1:6" x14ac:dyDescent="0.2">
      <c r="A28365" t="s">
        <v>44842</v>
      </c>
      <c r="B28365" t="s">
        <v>44843</v>
      </c>
      <c r="C28365" t="s">
        <v>51</v>
      </c>
      <c r="D28365" t="s">
        <v>52</v>
      </c>
      <c r="E28365" t="s">
        <v>474</v>
      </c>
      <c r="F28365" s="2" t="str">
        <f>HYPERLINK("http://www.otzar.org/book.asp?144332","נר צבי")</f>
        <v>נר צבי</v>
      </c>
    </row>
    <row r="28366" spans="1:6" x14ac:dyDescent="0.2">
      <c r="A28366" t="s">
        <v>44844</v>
      </c>
      <c r="B28366" t="s">
        <v>44845</v>
      </c>
      <c r="C28366" t="s">
        <v>411</v>
      </c>
      <c r="D28366" t="s">
        <v>14</v>
      </c>
      <c r="E28366" t="s">
        <v>246</v>
      </c>
      <c r="F28366" s="2" t="str">
        <f>HYPERLINK("http://www.otzar.org/book.asp?166573","נר ציון - 14 כר'")</f>
        <v>נר ציון - 14 כר'</v>
      </c>
    </row>
    <row r="28367" spans="1:6" x14ac:dyDescent="0.2">
      <c r="A28367" t="s">
        <v>44846</v>
      </c>
      <c r="B28367" t="s">
        <v>41078</v>
      </c>
      <c r="C28367" t="s">
        <v>313</v>
      </c>
      <c r="D28367" t="s">
        <v>1156</v>
      </c>
      <c r="F28367" s="2" t="str">
        <f>HYPERLINK("http://www.otzar.org/book.asp?197799","נר רחמים")</f>
        <v>נר רחמים</v>
      </c>
    </row>
    <row r="28368" spans="1:6" x14ac:dyDescent="0.2">
      <c r="A28368" t="s">
        <v>44847</v>
      </c>
      <c r="B28368" t="s">
        <v>552</v>
      </c>
      <c r="C28368" t="s">
        <v>422</v>
      </c>
      <c r="D28368" t="s">
        <v>412</v>
      </c>
      <c r="E28368" t="s">
        <v>4163</v>
      </c>
      <c r="F28368" s="2" t="str">
        <f>HYPERLINK("http://www.otzar.org/book.asp?158130","נר שאול")</f>
        <v>נר שאול</v>
      </c>
    </row>
    <row r="28369" spans="1:6" x14ac:dyDescent="0.2">
      <c r="A28369" t="s">
        <v>44848</v>
      </c>
      <c r="B28369" t="s">
        <v>23243</v>
      </c>
      <c r="C28369" t="s">
        <v>106</v>
      </c>
      <c r="D28369" t="s">
        <v>216</v>
      </c>
      <c r="E28369" t="s">
        <v>44849</v>
      </c>
      <c r="F28369" s="2" t="str">
        <f>HYPERLINK("http://www.otzar.org/book.asp?14672","נר שבת")</f>
        <v>נר שבת</v>
      </c>
    </row>
    <row r="28370" spans="1:6" x14ac:dyDescent="0.2">
      <c r="A28370" t="s">
        <v>44848</v>
      </c>
      <c r="B28370" t="s">
        <v>2900</v>
      </c>
      <c r="C28370" t="s">
        <v>698</v>
      </c>
      <c r="D28370" t="s">
        <v>27</v>
      </c>
      <c r="E28370" t="s">
        <v>144</v>
      </c>
      <c r="F28370" s="2" t="str">
        <f>HYPERLINK("http://www.otzar.org/book.asp?11589","נר שבת")</f>
        <v>נר שבת</v>
      </c>
    </row>
    <row r="28371" spans="1:6" x14ac:dyDescent="0.2">
      <c r="A28371" t="s">
        <v>44850</v>
      </c>
      <c r="B28371" t="s">
        <v>44851</v>
      </c>
      <c r="C28371" t="s">
        <v>17</v>
      </c>
      <c r="D28371" t="s">
        <v>14</v>
      </c>
      <c r="E28371" t="s">
        <v>920</v>
      </c>
      <c r="F28371" s="2" t="str">
        <f>HYPERLINK("http://www.otzar.org/book.asp?106928","נר שמואל")</f>
        <v>נר שמואל</v>
      </c>
    </row>
    <row r="28372" spans="1:6" x14ac:dyDescent="0.2">
      <c r="A28372" t="s">
        <v>44852</v>
      </c>
      <c r="B28372" t="s">
        <v>1005</v>
      </c>
      <c r="C28372" t="s">
        <v>422</v>
      </c>
      <c r="D28372" t="s">
        <v>52</v>
      </c>
      <c r="E28372" t="s">
        <v>202</v>
      </c>
      <c r="F28372" s="2" t="str">
        <f>HYPERLINK("http://www.otzar.org/book.asp?166992","נר שרגא")</f>
        <v>נר שרגא</v>
      </c>
    </row>
    <row r="28373" spans="1:6" x14ac:dyDescent="0.2">
      <c r="A28373" t="s">
        <v>44853</v>
      </c>
      <c r="B28373" t="s">
        <v>44854</v>
      </c>
      <c r="C28373" t="s">
        <v>129</v>
      </c>
      <c r="D28373" t="s">
        <v>52</v>
      </c>
      <c r="E28373" t="s">
        <v>158</v>
      </c>
      <c r="F28373" s="2" t="str">
        <f>HYPERLINK("http://www.otzar.org/book.asp?52270","נר תורה - 2 כר'")</f>
        <v>נר תורה - 2 כר'</v>
      </c>
    </row>
    <row r="28374" spans="1:6" x14ac:dyDescent="0.2">
      <c r="A28374" t="s">
        <v>44855</v>
      </c>
      <c r="B28374" t="s">
        <v>44856</v>
      </c>
      <c r="C28374" t="s">
        <v>189</v>
      </c>
      <c r="D28374" t="s">
        <v>21</v>
      </c>
      <c r="E28374" t="s">
        <v>84</v>
      </c>
      <c r="F28374" s="2" t="str">
        <f>HYPERLINK("http://www.otzar.org/book.asp?197127","נר תמיד")</f>
        <v>נר תמיד</v>
      </c>
    </row>
    <row r="28375" spans="1:6" x14ac:dyDescent="0.2">
      <c r="A28375" t="s">
        <v>44855</v>
      </c>
      <c r="B28375" t="s">
        <v>39589</v>
      </c>
      <c r="C28375" t="s">
        <v>11127</v>
      </c>
      <c r="D28375" t="s">
        <v>1495</v>
      </c>
      <c r="E28375" t="s">
        <v>144</v>
      </c>
      <c r="F28375" s="2" t="str">
        <f>HYPERLINK("http://www.otzar.org/book.asp?9805","נר תמיד")</f>
        <v>נר תמיד</v>
      </c>
    </row>
    <row r="28376" spans="1:6" x14ac:dyDescent="0.2">
      <c r="A28376" t="s">
        <v>44855</v>
      </c>
      <c r="B28376" t="s">
        <v>44857</v>
      </c>
      <c r="C28376" t="s">
        <v>395</v>
      </c>
      <c r="D28376" t="s">
        <v>283</v>
      </c>
      <c r="E28376" t="s">
        <v>130</v>
      </c>
      <c r="F28376" s="2" t="str">
        <f>HYPERLINK("http://www.otzar.org/book.asp?101597","נר תמיד")</f>
        <v>נר תמיד</v>
      </c>
    </row>
    <row r="28377" spans="1:6" x14ac:dyDescent="0.2">
      <c r="A28377" t="s">
        <v>44855</v>
      </c>
      <c r="B28377" t="s">
        <v>11462</v>
      </c>
      <c r="C28377" t="s">
        <v>20</v>
      </c>
      <c r="D28377" t="s">
        <v>52</v>
      </c>
      <c r="E28377" t="s">
        <v>130</v>
      </c>
      <c r="F28377" s="2" t="str">
        <f>HYPERLINK("http://www.otzar.org/book.asp?169853","נר תמיד")</f>
        <v>נר תמיד</v>
      </c>
    </row>
    <row r="28378" spans="1:6" x14ac:dyDescent="0.2">
      <c r="A28378" t="s">
        <v>44855</v>
      </c>
      <c r="B28378" t="s">
        <v>18138</v>
      </c>
      <c r="C28378" t="s">
        <v>473</v>
      </c>
      <c r="D28378" t="s">
        <v>283</v>
      </c>
      <c r="E28378" t="s">
        <v>234</v>
      </c>
      <c r="F28378" s="2" t="str">
        <f>HYPERLINK("http://www.otzar.org/book.asp?10208","נר תמיד")</f>
        <v>נר תמיד</v>
      </c>
    </row>
    <row r="28379" spans="1:6" x14ac:dyDescent="0.2">
      <c r="A28379" t="s">
        <v>44855</v>
      </c>
      <c r="B28379" t="s">
        <v>3830</v>
      </c>
      <c r="C28379" t="s">
        <v>103</v>
      </c>
      <c r="D28379" t="s">
        <v>14</v>
      </c>
      <c r="E28379" t="s">
        <v>15</v>
      </c>
      <c r="F28379" s="2" t="str">
        <f>HYPERLINK("http://www.otzar.org/book.asp?161780","נר תמיד")</f>
        <v>נר תמיד</v>
      </c>
    </row>
    <row r="28380" spans="1:6" x14ac:dyDescent="0.2">
      <c r="A28380" t="s">
        <v>44858</v>
      </c>
      <c r="B28380" t="s">
        <v>44859</v>
      </c>
      <c r="C28380" t="s">
        <v>411</v>
      </c>
      <c r="D28380" t="s">
        <v>646</v>
      </c>
      <c r="E28380" t="s">
        <v>158</v>
      </c>
      <c r="F28380" s="2" t="str">
        <f>HYPERLINK("http://www.otzar.org/book.asp?171395","נר תמיד - 4 כר'")</f>
        <v>נר תמיד - 4 כר'</v>
      </c>
    </row>
    <row r="28381" spans="1:6" x14ac:dyDescent="0.2">
      <c r="A28381" t="s">
        <v>44860</v>
      </c>
      <c r="B28381" t="s">
        <v>23018</v>
      </c>
      <c r="C28381" t="s">
        <v>1202</v>
      </c>
      <c r="D28381" t="s">
        <v>3007</v>
      </c>
      <c r="E28381" t="s">
        <v>1438</v>
      </c>
      <c r="F28381" s="2" t="str">
        <f>HYPERLINK("http://www.otzar.org/book.asp?101257","נרדפי זהר")</f>
        <v>נרדפי זהר</v>
      </c>
    </row>
    <row r="28382" spans="1:6" x14ac:dyDescent="0.2">
      <c r="A28382" t="s">
        <v>44861</v>
      </c>
      <c r="B28382" t="s">
        <v>17914</v>
      </c>
      <c r="C28382" t="s">
        <v>553</v>
      </c>
      <c r="D28382" t="s">
        <v>14</v>
      </c>
      <c r="E28382" t="s">
        <v>15</v>
      </c>
      <c r="F28382" s="2" t="str">
        <f>HYPERLINK("http://www.otzar.org/book.asp?159886","נרות אהרן")</f>
        <v>נרות אהרן</v>
      </c>
    </row>
    <row r="28383" spans="1:6" x14ac:dyDescent="0.2">
      <c r="A28383" t="s">
        <v>44862</v>
      </c>
      <c r="B28383" t="s">
        <v>3589</v>
      </c>
      <c r="D28383" t="s">
        <v>14</v>
      </c>
      <c r="E28383" t="s">
        <v>104</v>
      </c>
      <c r="F28383" s="2" t="str">
        <f>HYPERLINK("http://www.otzar.org/book.asp?624756","נרות המערכה")</f>
        <v>נרות המערכה</v>
      </c>
    </row>
    <row r="28384" spans="1:6" x14ac:dyDescent="0.2">
      <c r="A28384" t="s">
        <v>44863</v>
      </c>
      <c r="B28384" t="s">
        <v>552</v>
      </c>
      <c r="C28384" t="s">
        <v>775</v>
      </c>
      <c r="D28384" t="s">
        <v>52</v>
      </c>
      <c r="E28384" t="s">
        <v>384</v>
      </c>
      <c r="F28384" s="2" t="str">
        <f>HYPERLINK("http://www.otzar.org/book.asp?64225","נרות זכריה")</f>
        <v>נרות זכריה</v>
      </c>
    </row>
    <row r="28385" spans="1:6" x14ac:dyDescent="0.2">
      <c r="A28385" t="s">
        <v>44864</v>
      </c>
      <c r="B28385" t="s">
        <v>44865</v>
      </c>
      <c r="C28385" t="s">
        <v>454</v>
      </c>
      <c r="D28385" t="s">
        <v>14</v>
      </c>
      <c r="E28385" t="s">
        <v>158</v>
      </c>
      <c r="F28385" s="2" t="str">
        <f>HYPERLINK("http://www.otzar.org/book.asp?85205","נרות יהושע - 2 כר'")</f>
        <v>נרות יהושע - 2 כר'</v>
      </c>
    </row>
    <row r="28386" spans="1:6" x14ac:dyDescent="0.2">
      <c r="A28386" t="s">
        <v>44866</v>
      </c>
      <c r="B28386" t="s">
        <v>44867</v>
      </c>
      <c r="C28386" t="s">
        <v>129</v>
      </c>
      <c r="D28386" t="s">
        <v>273</v>
      </c>
      <c r="F28386" s="2" t="str">
        <f>HYPERLINK("http://www.otzar.org/book.asp?606911","נרות להאיר - אלבום")</f>
        <v>נרות להאיר - אלבום</v>
      </c>
    </row>
    <row r="28387" spans="1:6" x14ac:dyDescent="0.2">
      <c r="A28387" t="s">
        <v>44868</v>
      </c>
      <c r="B28387" t="s">
        <v>44869</v>
      </c>
      <c r="C28387" t="s">
        <v>44870</v>
      </c>
      <c r="D28387" t="s">
        <v>14</v>
      </c>
      <c r="E28387" t="s">
        <v>202</v>
      </c>
      <c r="F28387" s="2" t="str">
        <f>HYPERLINK("http://www.otzar.org/book.asp?175403","נרות שבת - 5 כר'")</f>
        <v>נרות שבת - 5 כר'</v>
      </c>
    </row>
    <row r="28388" spans="1:6" x14ac:dyDescent="0.2">
      <c r="A28388" t="s">
        <v>44871</v>
      </c>
      <c r="B28388" t="s">
        <v>5634</v>
      </c>
      <c r="C28388" t="s">
        <v>422</v>
      </c>
      <c r="D28388" t="s">
        <v>52</v>
      </c>
      <c r="E28388" t="s">
        <v>104</v>
      </c>
      <c r="F28388" s="2" t="str">
        <f>HYPERLINK("http://www.otzar.org/book.asp?150506","נרות שלמה &lt;פנינים ואגרות משמר הלוי ח&gt;")</f>
        <v>נרות שלמה &lt;פנינים ואגרות משמר הלוי ח&gt;</v>
      </c>
    </row>
    <row r="28389" spans="1:6" x14ac:dyDescent="0.2">
      <c r="A28389" t="s">
        <v>44872</v>
      </c>
      <c r="B28389" t="s">
        <v>42953</v>
      </c>
      <c r="C28389" t="s">
        <v>37</v>
      </c>
      <c r="D28389" t="s">
        <v>52</v>
      </c>
      <c r="E28389" t="s">
        <v>246</v>
      </c>
      <c r="F28389" s="2" t="str">
        <f>HYPERLINK("http://www.otzar.org/book.asp?182375","נרות שלמה")</f>
        <v>נרות שלמה</v>
      </c>
    </row>
    <row r="28390" spans="1:6" x14ac:dyDescent="0.2">
      <c r="A28390" t="s">
        <v>44872</v>
      </c>
      <c r="B28390" t="s">
        <v>44873</v>
      </c>
      <c r="C28390" t="s">
        <v>1470</v>
      </c>
      <c r="D28390" t="s">
        <v>27</v>
      </c>
      <c r="E28390" t="s">
        <v>44874</v>
      </c>
      <c r="F28390" s="2" t="str">
        <f>HYPERLINK("http://www.otzar.org/book.asp?103592","נרות שלמה")</f>
        <v>נרות שלמה</v>
      </c>
    </row>
    <row r="28391" spans="1:6" x14ac:dyDescent="0.2">
      <c r="A28391" t="s">
        <v>44875</v>
      </c>
      <c r="B28391" t="s">
        <v>4399</v>
      </c>
      <c r="C28391" t="s">
        <v>356</v>
      </c>
      <c r="D28391" t="s">
        <v>563</v>
      </c>
      <c r="F28391" s="2" t="str">
        <f>HYPERLINK("http://www.otzar.org/book.asp?196368","נרות שמונה")</f>
        <v>נרות שמונה</v>
      </c>
    </row>
    <row r="28392" spans="1:6" x14ac:dyDescent="0.2">
      <c r="A28392" t="s">
        <v>44876</v>
      </c>
      <c r="B28392" t="s">
        <v>44877</v>
      </c>
      <c r="C28392" t="s">
        <v>313</v>
      </c>
      <c r="D28392" t="s">
        <v>486</v>
      </c>
      <c r="E28392" t="s">
        <v>154</v>
      </c>
      <c r="F28392" s="2" t="str">
        <f>HYPERLINK("http://www.otzar.org/book.asp?154509","נשא פריו - א")</f>
        <v>נשא פריו - א</v>
      </c>
    </row>
    <row r="28393" spans="1:6" x14ac:dyDescent="0.2">
      <c r="A28393" t="s">
        <v>44878</v>
      </c>
      <c r="B28393" t="s">
        <v>44879</v>
      </c>
      <c r="C28393" t="s">
        <v>2455</v>
      </c>
      <c r="D28393" t="s">
        <v>212</v>
      </c>
      <c r="E28393" t="s">
        <v>1517</v>
      </c>
      <c r="F28393" s="2" t="str">
        <f>HYPERLINK("http://www.otzar.org/book.asp?51500","נשאו קול מגיד דוד")</f>
        <v>נשאו קול מגיד דוד</v>
      </c>
    </row>
    <row r="28394" spans="1:6" x14ac:dyDescent="0.2">
      <c r="A28394" t="s">
        <v>44880</v>
      </c>
      <c r="B28394" t="s">
        <v>28229</v>
      </c>
      <c r="C28394" t="s">
        <v>1619</v>
      </c>
      <c r="D28394" t="s">
        <v>44881</v>
      </c>
      <c r="E28394" t="s">
        <v>154</v>
      </c>
      <c r="F28394" s="2" t="str">
        <f>HYPERLINK("http://www.otzar.org/book.asp?26733","נשאל דוד &lt;הוצאת חמדה גנוזה&gt; - שו""ת על ד""ח שו""ע")</f>
        <v>נשאל דוד &lt;הוצאת חמדה גנוזה&gt; - שו"ת על ד"ח שו"ע</v>
      </c>
    </row>
    <row r="28395" spans="1:6" x14ac:dyDescent="0.2">
      <c r="A28395" t="s">
        <v>44882</v>
      </c>
      <c r="B28395" t="s">
        <v>28229</v>
      </c>
      <c r="C28395" t="s">
        <v>106</v>
      </c>
      <c r="D28395" t="s">
        <v>14</v>
      </c>
      <c r="E28395" t="s">
        <v>154</v>
      </c>
      <c r="F28395" s="2" t="str">
        <f>HYPERLINK("http://www.otzar.org/book.asp?8556","נשאל דוד - 3 כר'")</f>
        <v>נשאל דוד - 3 כר'</v>
      </c>
    </row>
    <row r="28396" spans="1:6" x14ac:dyDescent="0.2">
      <c r="A28396" t="s">
        <v>44883</v>
      </c>
      <c r="B28396" t="s">
        <v>18117</v>
      </c>
      <c r="C28396" t="s">
        <v>523</v>
      </c>
      <c r="D28396" t="s">
        <v>412</v>
      </c>
      <c r="E28396" t="s">
        <v>84</v>
      </c>
      <c r="F28396" s="2" t="str">
        <f>HYPERLINK("http://www.otzar.org/book.asp?25535","נשבע לאבותיך - 3 כר'")</f>
        <v>נשבע לאבותיך - 3 כר'</v>
      </c>
    </row>
    <row r="28397" spans="1:6" x14ac:dyDescent="0.2">
      <c r="A28397" t="s">
        <v>44884</v>
      </c>
      <c r="B28397" t="s">
        <v>2500</v>
      </c>
      <c r="C28397" t="s">
        <v>553</v>
      </c>
      <c r="D28397" t="s">
        <v>412</v>
      </c>
      <c r="E28397" t="s">
        <v>15</v>
      </c>
      <c r="F28397" s="2" t="str">
        <f>HYPERLINK("http://www.otzar.org/book.asp?182946","נשואי ישראל כהלכה")</f>
        <v>נשואי ישראל כהלכה</v>
      </c>
    </row>
    <row r="28398" spans="1:6" x14ac:dyDescent="0.2">
      <c r="A28398" t="s">
        <v>44885</v>
      </c>
      <c r="B28398" t="s">
        <v>13192</v>
      </c>
      <c r="C28398" t="s">
        <v>383</v>
      </c>
      <c r="D28398" t="s">
        <v>52</v>
      </c>
      <c r="E28398" t="s">
        <v>119</v>
      </c>
      <c r="F28398" s="2" t="str">
        <f>HYPERLINK("http://www.otzar.org/book.asp?9702","נשיא הלויים")</f>
        <v>נשיא הלויים</v>
      </c>
    </row>
    <row r="28399" spans="1:6" x14ac:dyDescent="0.2">
      <c r="A28399" t="s">
        <v>44886</v>
      </c>
      <c r="B28399" t="s">
        <v>44887</v>
      </c>
      <c r="C28399" t="s">
        <v>111</v>
      </c>
      <c r="D28399" t="s">
        <v>14</v>
      </c>
      <c r="E28399" t="s">
        <v>158</v>
      </c>
      <c r="F28399" s="2" t="str">
        <f>HYPERLINK("http://www.otzar.org/book.asp?626745","נשיא יששכר - 2 כר'")</f>
        <v>נשיא יששכר - 2 כר'</v>
      </c>
    </row>
    <row r="28400" spans="1:6" x14ac:dyDescent="0.2">
      <c r="A28400" t="s">
        <v>44888</v>
      </c>
      <c r="B28400" t="s">
        <v>1750</v>
      </c>
      <c r="C28400" t="s">
        <v>68</v>
      </c>
      <c r="D28400" t="s">
        <v>14</v>
      </c>
      <c r="E28400" t="s">
        <v>674</v>
      </c>
      <c r="F28400" s="2" t="str">
        <f>HYPERLINK("http://www.otzar.org/book.asp?153971","נשיאות כפים בערי הגליל")</f>
        <v>נשיאות כפים בערי הגליל</v>
      </c>
    </row>
    <row r="28401" spans="1:6" x14ac:dyDescent="0.2">
      <c r="A28401" t="s">
        <v>44889</v>
      </c>
      <c r="B28401" t="s">
        <v>44890</v>
      </c>
      <c r="C28401" t="s">
        <v>37</v>
      </c>
      <c r="D28401" t="s">
        <v>52</v>
      </c>
      <c r="E28401" t="s">
        <v>219</v>
      </c>
      <c r="F28401" s="2" t="str">
        <f>HYPERLINK("http://www.otzar.org/book.asp?605358","נשיאי מועד")</f>
        <v>נשיאי מועד</v>
      </c>
    </row>
    <row r="28402" spans="1:6" x14ac:dyDescent="0.2">
      <c r="A28402" t="s">
        <v>44891</v>
      </c>
      <c r="B28402" t="s">
        <v>44892</v>
      </c>
      <c r="C28402" t="s">
        <v>334</v>
      </c>
      <c r="D28402" t="s">
        <v>14</v>
      </c>
      <c r="F28402" s="2" t="str">
        <f>HYPERLINK("http://www.otzar.org/book.asp?152961","נשיאים בישראל הראשונים לציון")</f>
        <v>נשיאים בישראל הראשונים לציון</v>
      </c>
    </row>
    <row r="28403" spans="1:6" x14ac:dyDescent="0.2">
      <c r="A28403" t="s">
        <v>44893</v>
      </c>
      <c r="B28403" t="s">
        <v>20999</v>
      </c>
      <c r="C28403" t="s">
        <v>523</v>
      </c>
      <c r="D28403" t="s">
        <v>14</v>
      </c>
      <c r="E28403" t="s">
        <v>119</v>
      </c>
      <c r="F28403" s="2" t="str">
        <f>HYPERLINK("http://www.otzar.org/book.asp?143697","נשיאים בישראל")</f>
        <v>נשיאים בישראל</v>
      </c>
    </row>
    <row r="28404" spans="1:6" x14ac:dyDescent="0.2">
      <c r="A28404" t="s">
        <v>44894</v>
      </c>
      <c r="B28404" t="s">
        <v>44895</v>
      </c>
      <c r="C28404" t="s">
        <v>454</v>
      </c>
      <c r="D28404" t="s">
        <v>367</v>
      </c>
      <c r="E28404" t="s">
        <v>15</v>
      </c>
      <c r="F28404" s="2" t="str">
        <f>HYPERLINK("http://www.otzar.org/book.asp?52919","נשיאת כפים כהלכתה")</f>
        <v>נשיאת כפים כהלכתה</v>
      </c>
    </row>
    <row r="28405" spans="1:6" x14ac:dyDescent="0.2">
      <c r="A28405" t="s">
        <v>44896</v>
      </c>
      <c r="B28405" t="s">
        <v>44897</v>
      </c>
      <c r="C28405" t="s">
        <v>767</v>
      </c>
      <c r="D28405" t="s">
        <v>52</v>
      </c>
      <c r="F28405" s="2" t="str">
        <f>HYPERLINK("http://www.otzar.org/book.asp?622312","נשיאת כפים")</f>
        <v>נשיאת כפים</v>
      </c>
    </row>
    <row r="28406" spans="1:6" x14ac:dyDescent="0.2">
      <c r="A28406" t="s">
        <v>44898</v>
      </c>
      <c r="B28406" t="s">
        <v>16538</v>
      </c>
      <c r="C28406" t="s">
        <v>68</v>
      </c>
      <c r="D28406" t="s">
        <v>52</v>
      </c>
      <c r="E28406" t="s">
        <v>15</v>
      </c>
      <c r="F28406" s="2" t="str">
        <f>HYPERLINK("http://www.otzar.org/book.asp?158993","נשיח בחוקיך")</f>
        <v>נשיח בחוקיך</v>
      </c>
    </row>
    <row r="28407" spans="1:6" x14ac:dyDescent="0.2">
      <c r="A28407" t="s">
        <v>44899</v>
      </c>
      <c r="B28407" t="s">
        <v>37627</v>
      </c>
      <c r="C28407" t="s">
        <v>13</v>
      </c>
      <c r="D28407" t="s">
        <v>34614</v>
      </c>
      <c r="E28407" t="s">
        <v>674</v>
      </c>
      <c r="F28407" s="2" t="str">
        <f>HYPERLINK("http://www.otzar.org/book.asp?603866","נשיח בחוקיך - כללי המצוות לחיי אדם")</f>
        <v>נשיח בחוקיך - כללי המצוות לחיי אדם</v>
      </c>
    </row>
    <row r="28408" spans="1:6" x14ac:dyDescent="0.2">
      <c r="A28408" t="s">
        <v>44898</v>
      </c>
      <c r="B28408" t="s">
        <v>44900</v>
      </c>
      <c r="C28408" t="s">
        <v>13</v>
      </c>
      <c r="D28408" t="s">
        <v>90</v>
      </c>
      <c r="E28408" t="s">
        <v>15</v>
      </c>
      <c r="F28408" s="2" t="str">
        <f>HYPERLINK("http://www.otzar.org/book.asp?61046","נשיח בחוקיך")</f>
        <v>נשיח בחוקיך</v>
      </c>
    </row>
    <row r="28409" spans="1:6" x14ac:dyDescent="0.2">
      <c r="A28409" t="s">
        <v>44901</v>
      </c>
      <c r="B28409" t="s">
        <v>21578</v>
      </c>
      <c r="C28409" t="s">
        <v>103</v>
      </c>
      <c r="D28409" t="s">
        <v>1153</v>
      </c>
      <c r="E28409" t="s">
        <v>674</v>
      </c>
      <c r="F28409" s="2" t="str">
        <f>HYPERLINK("http://www.otzar.org/book.asp?84667","נשים בהלכה")</f>
        <v>נשים בהלכה</v>
      </c>
    </row>
    <row r="28410" spans="1:6" x14ac:dyDescent="0.2">
      <c r="A28410" t="s">
        <v>44902</v>
      </c>
      <c r="B28410" t="s">
        <v>44903</v>
      </c>
      <c r="C28410" t="s">
        <v>133</v>
      </c>
      <c r="D28410" t="s">
        <v>3283</v>
      </c>
      <c r="E28410" t="s">
        <v>104</v>
      </c>
      <c r="F28410" s="2" t="str">
        <f>HYPERLINK("http://www.otzar.org/book.asp?619729","נשים במאי קזכיין - ג")</f>
        <v>נשים במאי קזכיין - ג</v>
      </c>
    </row>
    <row r="28411" spans="1:6" x14ac:dyDescent="0.2">
      <c r="A28411" t="s">
        <v>44904</v>
      </c>
      <c r="B28411" t="s">
        <v>12124</v>
      </c>
      <c r="C28411" t="s">
        <v>1374</v>
      </c>
      <c r="D28411" t="s">
        <v>280</v>
      </c>
      <c r="E28411" t="s">
        <v>119</v>
      </c>
      <c r="F28411" s="2" t="str">
        <f>HYPERLINK("http://www.otzar.org/book.asp?84200","נשים עבריות בתור מדפיסות")</f>
        <v>נשים עבריות בתור מדפיסות</v>
      </c>
    </row>
    <row r="28412" spans="1:6" x14ac:dyDescent="0.2">
      <c r="A28412" t="s">
        <v>44905</v>
      </c>
      <c r="B28412" t="s">
        <v>24920</v>
      </c>
      <c r="C28412" t="s">
        <v>71</v>
      </c>
      <c r="D28412" t="s">
        <v>14</v>
      </c>
      <c r="E28412" t="s">
        <v>15</v>
      </c>
      <c r="F28412" s="2" t="str">
        <f>HYPERLINK("http://www.otzar.org/book.asp?6078","נשך כסף המקוצר")</f>
        <v>נשך כסף המקוצר</v>
      </c>
    </row>
    <row r="28413" spans="1:6" x14ac:dyDescent="0.2">
      <c r="A28413" t="s">
        <v>44906</v>
      </c>
      <c r="B28413" t="s">
        <v>24920</v>
      </c>
      <c r="C28413" t="s">
        <v>189</v>
      </c>
      <c r="D28413" t="s">
        <v>14</v>
      </c>
      <c r="E28413" t="s">
        <v>15</v>
      </c>
      <c r="F28413" s="2" t="str">
        <f>HYPERLINK("http://www.otzar.org/book.asp?62138","נשך כסף")</f>
        <v>נשך כסף</v>
      </c>
    </row>
    <row r="28414" spans="1:6" x14ac:dyDescent="0.2">
      <c r="A28414" t="s">
        <v>44907</v>
      </c>
      <c r="B28414" t="s">
        <v>9043</v>
      </c>
      <c r="C28414" t="s">
        <v>114</v>
      </c>
      <c r="D28414" t="s">
        <v>90</v>
      </c>
      <c r="E28414" t="s">
        <v>241</v>
      </c>
      <c r="F28414" s="2" t="str">
        <f>HYPERLINK("http://www.otzar.org/book.asp?160095","נשמחה בך")</f>
        <v>נשמחה בך</v>
      </c>
    </row>
    <row r="28415" spans="1:6" x14ac:dyDescent="0.2">
      <c r="A28415" t="s">
        <v>44908</v>
      </c>
      <c r="B28415" t="s">
        <v>44909</v>
      </c>
      <c r="C28415" t="s">
        <v>411</v>
      </c>
      <c r="D28415" t="s">
        <v>147</v>
      </c>
      <c r="F28415" s="2" t="str">
        <f>HYPERLINK("http://www.otzar.org/book.asp?602130","נשמע קולם - 8 כר'")</f>
        <v>נשמע קולם - 8 כר'</v>
      </c>
    </row>
    <row r="28416" spans="1:6" x14ac:dyDescent="0.2">
      <c r="A28416" t="s">
        <v>44910</v>
      </c>
      <c r="B28416" t="s">
        <v>15687</v>
      </c>
      <c r="C28416" t="s">
        <v>129</v>
      </c>
      <c r="D28416" t="s">
        <v>14</v>
      </c>
      <c r="E28416" t="s">
        <v>730</v>
      </c>
      <c r="F28416" s="2" t="str">
        <f>HYPERLINK("http://www.otzar.org/book.asp?143797","נשמת אברהם &lt;מהד""ב&gt; - 5 כר'")</f>
        <v>נשמת אברהם &lt;מהד"ב&gt; - 5 כר'</v>
      </c>
    </row>
    <row r="28417" spans="1:6" x14ac:dyDescent="0.2">
      <c r="A28417" t="s">
        <v>44911</v>
      </c>
      <c r="B28417" t="s">
        <v>15687</v>
      </c>
      <c r="C28417" t="s">
        <v>1388</v>
      </c>
      <c r="D28417" t="s">
        <v>14</v>
      </c>
      <c r="E28417" t="s">
        <v>730</v>
      </c>
      <c r="F28417" s="2" t="str">
        <f>HYPERLINK("http://www.otzar.org/book.asp?143794","נשמת אברהם - 6 כר'")</f>
        <v>נשמת אברהם - 6 כר'</v>
      </c>
    </row>
    <row r="28418" spans="1:6" x14ac:dyDescent="0.2">
      <c r="A28418" t="s">
        <v>44912</v>
      </c>
      <c r="B28418" t="s">
        <v>44913</v>
      </c>
      <c r="C28418" t="s">
        <v>146</v>
      </c>
      <c r="D28418" t="s">
        <v>14</v>
      </c>
      <c r="E28418" t="s">
        <v>234</v>
      </c>
      <c r="F28418" s="2" t="str">
        <f>HYPERLINK("http://www.otzar.org/book.asp?173764","נשמת אדם &lt;מכון שפתי צדיקים&gt;")</f>
        <v>נשמת אדם &lt;מכון שפתי צדיקים&gt;</v>
      </c>
    </row>
    <row r="28419" spans="1:6" x14ac:dyDescent="0.2">
      <c r="A28419" t="s">
        <v>44914</v>
      </c>
      <c r="B28419" t="s">
        <v>44913</v>
      </c>
      <c r="C28419" t="s">
        <v>44915</v>
      </c>
      <c r="D28419" t="s">
        <v>225</v>
      </c>
      <c r="E28419" t="s">
        <v>314</v>
      </c>
      <c r="F28419" s="2" t="str">
        <f>HYPERLINK("http://www.otzar.org/book.asp?10242","נשמת אדם - 2 כר'")</f>
        <v>נשמת אדם - 2 כר'</v>
      </c>
    </row>
    <row r="28420" spans="1:6" x14ac:dyDescent="0.2">
      <c r="A28420" t="s">
        <v>44916</v>
      </c>
      <c r="B28420" t="s">
        <v>23162</v>
      </c>
      <c r="C28420" t="s">
        <v>454</v>
      </c>
      <c r="D28420" t="s">
        <v>90</v>
      </c>
      <c r="E28420" t="s">
        <v>1626</v>
      </c>
      <c r="F28420" s="2" t="str">
        <f>HYPERLINK("http://www.otzar.org/book.asp?64353","נשמת אדם - סדר לוויה כמנהג תימן")</f>
        <v>נשמת אדם - סדר לוויה כמנהג תימן</v>
      </c>
    </row>
    <row r="28421" spans="1:6" x14ac:dyDescent="0.2">
      <c r="A28421" t="s">
        <v>44917</v>
      </c>
      <c r="B28421" t="s">
        <v>1091</v>
      </c>
      <c r="C28421" t="s">
        <v>313</v>
      </c>
      <c r="D28421" t="s">
        <v>14</v>
      </c>
      <c r="E28421" t="s">
        <v>714</v>
      </c>
      <c r="F28421" s="2" t="str">
        <f>HYPERLINK("http://www.otzar.org/book.asp?26712","נשמת אדם")</f>
        <v>נשמת אדם</v>
      </c>
    </row>
    <row r="28422" spans="1:6" x14ac:dyDescent="0.2">
      <c r="A28422" t="s">
        <v>44918</v>
      </c>
      <c r="B28422" t="s">
        <v>44919</v>
      </c>
      <c r="C28422" t="s">
        <v>103</v>
      </c>
      <c r="D28422" t="s">
        <v>14</v>
      </c>
      <c r="F28422" s="2" t="str">
        <f>HYPERLINK("http://www.otzar.org/book.asp?609594","נשמת אליעזר")</f>
        <v>נשמת אליעזר</v>
      </c>
    </row>
    <row r="28423" spans="1:6" x14ac:dyDescent="0.2">
      <c r="A28423" t="s">
        <v>44920</v>
      </c>
      <c r="B28423" t="s">
        <v>44921</v>
      </c>
      <c r="C28423" t="s">
        <v>37</v>
      </c>
      <c r="D28423" t="s">
        <v>27</v>
      </c>
      <c r="E28423" t="s">
        <v>674</v>
      </c>
      <c r="F28423" s="2" t="str">
        <f>HYPERLINK("http://www.otzar.org/book.asp?604313","נשמת העזר")</f>
        <v>נשמת העזר</v>
      </c>
    </row>
    <row r="28424" spans="1:6" x14ac:dyDescent="0.2">
      <c r="A28424" t="s">
        <v>44922</v>
      </c>
      <c r="B28424" t="s">
        <v>44923</v>
      </c>
      <c r="C28424" t="s">
        <v>454</v>
      </c>
      <c r="D28424" t="s">
        <v>14</v>
      </c>
      <c r="F28424" s="2" t="str">
        <f>HYPERLINK("http://www.otzar.org/book.asp?198612","נשמת חיים &lt;מהדורת קוסובסקי&gt; - 2 כר'")</f>
        <v>נשמת חיים &lt;מהדורת קוסובסקי&gt; - 2 כר'</v>
      </c>
    </row>
    <row r="28425" spans="1:6" x14ac:dyDescent="0.2">
      <c r="A28425" t="s">
        <v>44924</v>
      </c>
      <c r="B28425" t="s">
        <v>44925</v>
      </c>
      <c r="C28425" t="s">
        <v>1519</v>
      </c>
      <c r="D28425" t="s">
        <v>76</v>
      </c>
      <c r="E28425" t="s">
        <v>29819</v>
      </c>
      <c r="F28425" s="2" t="str">
        <f>HYPERLINK("http://www.otzar.org/book.asp?20344","נשמת חיים")</f>
        <v>נשמת חיים</v>
      </c>
    </row>
    <row r="28426" spans="1:6" x14ac:dyDescent="0.2">
      <c r="A28426" t="s">
        <v>44926</v>
      </c>
      <c r="B28426" t="s">
        <v>41001</v>
      </c>
      <c r="C28426" t="s">
        <v>1124</v>
      </c>
      <c r="D28426" t="s">
        <v>283</v>
      </c>
      <c r="E28426" t="s">
        <v>213</v>
      </c>
      <c r="F28426" s="2" t="str">
        <f>HYPERLINK("http://www.otzar.org/book.asp?11462","נשמת חיים - 2 כר'")</f>
        <v>נשמת חיים - 2 כר'</v>
      </c>
    </row>
    <row r="28427" spans="1:6" x14ac:dyDescent="0.2">
      <c r="A28427" t="s">
        <v>44924</v>
      </c>
      <c r="B28427" t="s">
        <v>44927</v>
      </c>
      <c r="C28427" t="s">
        <v>4907</v>
      </c>
      <c r="D28427" t="s">
        <v>1023</v>
      </c>
      <c r="F28427" s="2" t="str">
        <f>HYPERLINK("http://www.otzar.org/book.asp?164858","נשמת חיים")</f>
        <v>נשמת חיים</v>
      </c>
    </row>
    <row r="28428" spans="1:6" x14ac:dyDescent="0.2">
      <c r="A28428" t="s">
        <v>44928</v>
      </c>
      <c r="B28428" t="s">
        <v>44923</v>
      </c>
      <c r="C28428" t="s">
        <v>13</v>
      </c>
      <c r="D28428" t="s">
        <v>14</v>
      </c>
      <c r="E28428" t="s">
        <v>154</v>
      </c>
      <c r="F28428" s="2" t="str">
        <f>HYPERLINK("http://www.otzar.org/book.asp?176455","נשמת חיים - 4 כר'")</f>
        <v>נשמת חיים - 4 כר'</v>
      </c>
    </row>
    <row r="28429" spans="1:6" x14ac:dyDescent="0.2">
      <c r="A28429" t="s">
        <v>44924</v>
      </c>
      <c r="B28429" t="s">
        <v>41832</v>
      </c>
      <c r="C28429" t="s">
        <v>20</v>
      </c>
      <c r="D28429" t="s">
        <v>90</v>
      </c>
      <c r="F28429" s="2" t="str">
        <f>HYPERLINK("http://www.otzar.org/book.asp?609937","נשמת חיים")</f>
        <v>נשמת חיים</v>
      </c>
    </row>
    <row r="28430" spans="1:6" x14ac:dyDescent="0.2">
      <c r="A28430" t="s">
        <v>44924</v>
      </c>
      <c r="B28430" t="s">
        <v>44929</v>
      </c>
      <c r="C28430" t="s">
        <v>189</v>
      </c>
      <c r="D28430" t="s">
        <v>44930</v>
      </c>
      <c r="E28430" t="s">
        <v>4435</v>
      </c>
      <c r="F28430" s="2" t="str">
        <f>HYPERLINK("http://www.otzar.org/book.asp?61504","נשמת חיים")</f>
        <v>נשמת חיים</v>
      </c>
    </row>
    <row r="28431" spans="1:6" x14ac:dyDescent="0.2">
      <c r="A28431" t="s">
        <v>44924</v>
      </c>
      <c r="B28431" t="s">
        <v>7782</v>
      </c>
      <c r="D28431" t="s">
        <v>2798</v>
      </c>
      <c r="E28431" t="s">
        <v>920</v>
      </c>
      <c r="F28431" s="2" t="str">
        <f>HYPERLINK("http://www.otzar.org/book.asp?624714","נשמת חיים")</f>
        <v>נשמת חיים</v>
      </c>
    </row>
    <row r="28432" spans="1:6" x14ac:dyDescent="0.2">
      <c r="A28432" t="s">
        <v>44924</v>
      </c>
      <c r="B28432" t="s">
        <v>6053</v>
      </c>
      <c r="C28432" t="s">
        <v>743</v>
      </c>
      <c r="D28432" t="s">
        <v>60</v>
      </c>
      <c r="E28432" t="s">
        <v>234</v>
      </c>
      <c r="F28432" s="2" t="str">
        <f>HYPERLINK("http://www.otzar.org/book.asp?147292","נשמת חיים")</f>
        <v>נשמת חיים</v>
      </c>
    </row>
    <row r="28433" spans="1:6" x14ac:dyDescent="0.2">
      <c r="A28433" t="s">
        <v>44928</v>
      </c>
      <c r="B28433" t="s">
        <v>44931</v>
      </c>
      <c r="C28433" t="s">
        <v>244</v>
      </c>
      <c r="D28433" t="s">
        <v>216</v>
      </c>
      <c r="E28433" t="s">
        <v>399</v>
      </c>
      <c r="F28433" s="2" t="str">
        <f>HYPERLINK("http://www.otzar.org/book.asp?629296","נשמת חיים - 4 כר'")</f>
        <v>נשמת חיים - 4 כר'</v>
      </c>
    </row>
    <row r="28434" spans="1:6" x14ac:dyDescent="0.2">
      <c r="A28434" t="s">
        <v>44924</v>
      </c>
      <c r="B28434" t="s">
        <v>44932</v>
      </c>
      <c r="C28434" t="s">
        <v>466</v>
      </c>
      <c r="D28434" t="s">
        <v>721</v>
      </c>
      <c r="E28434" t="s">
        <v>674</v>
      </c>
      <c r="F28434" s="2" t="str">
        <f>HYPERLINK("http://www.otzar.org/book.asp?174503","נשמת חיים")</f>
        <v>נשמת חיים</v>
      </c>
    </row>
    <row r="28435" spans="1:6" x14ac:dyDescent="0.2">
      <c r="A28435" t="s">
        <v>44933</v>
      </c>
      <c r="B28435" t="s">
        <v>44934</v>
      </c>
      <c r="C28435" t="s">
        <v>767</v>
      </c>
      <c r="D28435" t="s">
        <v>14</v>
      </c>
      <c r="E28435" t="s">
        <v>44935</v>
      </c>
      <c r="F28435" s="2" t="str">
        <f>HYPERLINK("http://www.otzar.org/book.asp?148016","נשמת חיים - לקט הקמח - תפארת בנים אבותם")</f>
        <v>נשמת חיים - לקט הקמח - תפארת בנים אבותם</v>
      </c>
    </row>
    <row r="28436" spans="1:6" x14ac:dyDescent="0.2">
      <c r="A28436" t="s">
        <v>44924</v>
      </c>
      <c r="B28436" t="s">
        <v>21336</v>
      </c>
      <c r="C28436" t="s">
        <v>462</v>
      </c>
      <c r="D28436" t="s">
        <v>27</v>
      </c>
      <c r="E28436" t="s">
        <v>7754</v>
      </c>
      <c r="F28436" s="2" t="str">
        <f>HYPERLINK("http://www.otzar.org/book.asp?15438","נשמת חיים")</f>
        <v>נשמת חיים</v>
      </c>
    </row>
    <row r="28437" spans="1:6" x14ac:dyDescent="0.2">
      <c r="A28437" t="s">
        <v>44924</v>
      </c>
      <c r="B28437" t="s">
        <v>44936</v>
      </c>
      <c r="C28437" t="s">
        <v>1166</v>
      </c>
      <c r="D28437" t="s">
        <v>379</v>
      </c>
      <c r="E28437" t="s">
        <v>84</v>
      </c>
      <c r="F28437" s="2" t="str">
        <f>HYPERLINK("http://www.otzar.org/book.asp?103396","נשמת חיים")</f>
        <v>נשמת חיים</v>
      </c>
    </row>
    <row r="28438" spans="1:6" x14ac:dyDescent="0.2">
      <c r="A28438" t="s">
        <v>44937</v>
      </c>
      <c r="B28438" t="s">
        <v>12062</v>
      </c>
      <c r="C28438" t="s">
        <v>286</v>
      </c>
      <c r="D28438" t="s">
        <v>27</v>
      </c>
      <c r="E28438" t="s">
        <v>213</v>
      </c>
      <c r="F28438" s="2" t="str">
        <f>HYPERLINK("http://www.otzar.org/book.asp?20345","נשמת יוסף")</f>
        <v>נשמת יוסף</v>
      </c>
    </row>
    <row r="28439" spans="1:6" x14ac:dyDescent="0.2">
      <c r="A28439" t="s">
        <v>44938</v>
      </c>
      <c r="B28439" t="s">
        <v>16291</v>
      </c>
      <c r="C28439" t="s">
        <v>71</v>
      </c>
      <c r="D28439" t="s">
        <v>14</v>
      </c>
      <c r="E28439" t="s">
        <v>213</v>
      </c>
      <c r="F28439" s="2" t="str">
        <f>HYPERLINK("http://www.otzar.org/book.asp?106178","נשמת יעקב")</f>
        <v>נשמת יעקב</v>
      </c>
    </row>
    <row r="28440" spans="1:6" x14ac:dyDescent="0.2">
      <c r="A28440" t="s">
        <v>44939</v>
      </c>
      <c r="B28440" t="s">
        <v>44940</v>
      </c>
      <c r="C28440" t="s">
        <v>224</v>
      </c>
      <c r="D28440" t="s">
        <v>10393</v>
      </c>
      <c r="E28440" t="s">
        <v>3516</v>
      </c>
      <c r="F28440" s="2" t="str">
        <f>HYPERLINK("http://www.otzar.org/book.asp?188682","נשמת יעקב - 2 כר'")</f>
        <v>נשמת יעקב - 2 כר'</v>
      </c>
    </row>
    <row r="28441" spans="1:6" x14ac:dyDescent="0.2">
      <c r="A28441" t="s">
        <v>44938</v>
      </c>
      <c r="B28441" t="s">
        <v>42655</v>
      </c>
      <c r="C28441" t="s">
        <v>68</v>
      </c>
      <c r="D28441" t="s">
        <v>240</v>
      </c>
      <c r="E28441" t="s">
        <v>144</v>
      </c>
      <c r="F28441" s="2" t="str">
        <f>HYPERLINK("http://www.otzar.org/book.asp?176355","נשמת יעקב")</f>
        <v>נשמת יעקב</v>
      </c>
    </row>
    <row r="28442" spans="1:6" x14ac:dyDescent="0.2">
      <c r="A28442" t="s">
        <v>44941</v>
      </c>
      <c r="B28442" t="s">
        <v>15402</v>
      </c>
      <c r="C28442" t="s">
        <v>68</v>
      </c>
      <c r="D28442" t="s">
        <v>412</v>
      </c>
      <c r="E28442" t="s">
        <v>15</v>
      </c>
      <c r="F28442" s="2" t="str">
        <f>HYPERLINK("http://www.otzar.org/book.asp?168883","נשמת ישראל - 3 כר'")</f>
        <v>נשמת ישראל - 3 כר'</v>
      </c>
    </row>
    <row r="28443" spans="1:6" x14ac:dyDescent="0.2">
      <c r="A28443" t="s">
        <v>44942</v>
      </c>
      <c r="B28443" t="s">
        <v>2663</v>
      </c>
      <c r="C28443" t="s">
        <v>313</v>
      </c>
      <c r="D28443" t="s">
        <v>44943</v>
      </c>
      <c r="E28443" t="s">
        <v>186</v>
      </c>
      <c r="F28443" s="2" t="str">
        <f>HYPERLINK("http://www.otzar.org/book.asp?159087","נשמת ישראל - 5 כר'")</f>
        <v>נשמת ישראל - 5 כר'</v>
      </c>
    </row>
    <row r="28444" spans="1:6" x14ac:dyDescent="0.2">
      <c r="A28444" t="s">
        <v>44944</v>
      </c>
      <c r="B28444" t="s">
        <v>44945</v>
      </c>
      <c r="C28444" t="s">
        <v>454</v>
      </c>
      <c r="D28444" t="s">
        <v>14</v>
      </c>
      <c r="E28444" t="s">
        <v>15</v>
      </c>
      <c r="F28444" s="2" t="str">
        <f>HYPERLINK("http://www.otzar.org/book.asp?142141","נשמת ישראל - הלכות טהרה")</f>
        <v>נשמת ישראל - הלכות טהרה</v>
      </c>
    </row>
    <row r="28445" spans="1:6" x14ac:dyDescent="0.2">
      <c r="A28445" t="s">
        <v>44946</v>
      </c>
      <c r="B28445" t="s">
        <v>44947</v>
      </c>
      <c r="C28445" t="s">
        <v>146</v>
      </c>
      <c r="D28445" t="s">
        <v>14</v>
      </c>
      <c r="E28445" t="s">
        <v>44948</v>
      </c>
      <c r="F28445" s="2" t="str">
        <f>HYPERLINK("http://www.otzar.org/book.asp?50662","נשמת כל חי")</f>
        <v>נשמת כל חי</v>
      </c>
    </row>
    <row r="28446" spans="1:6" x14ac:dyDescent="0.2">
      <c r="A28446" t="s">
        <v>44949</v>
      </c>
      <c r="B28446" t="s">
        <v>206</v>
      </c>
      <c r="C28446" t="s">
        <v>37</v>
      </c>
      <c r="D28446" t="s">
        <v>52</v>
      </c>
      <c r="F28446" s="2" t="str">
        <f>HYPERLINK("http://www.otzar.org/book.asp?194170","נשמת כל חי - 2 כר'")</f>
        <v>נשמת כל חי - 2 כר'</v>
      </c>
    </row>
    <row r="28447" spans="1:6" x14ac:dyDescent="0.2">
      <c r="A28447" t="s">
        <v>44946</v>
      </c>
      <c r="B28447" t="s">
        <v>12370</v>
      </c>
      <c r="C28447" t="s">
        <v>133</v>
      </c>
      <c r="D28447" t="s">
        <v>52</v>
      </c>
      <c r="E28447" t="s">
        <v>219</v>
      </c>
      <c r="F28447" s="2" t="str">
        <f>HYPERLINK("http://www.otzar.org/book.asp?175568","נשמת כל חי")</f>
        <v>נשמת כל חי</v>
      </c>
    </row>
    <row r="28448" spans="1:6" x14ac:dyDescent="0.2">
      <c r="A28448" t="s">
        <v>44950</v>
      </c>
      <c r="B28448" t="s">
        <v>44951</v>
      </c>
      <c r="C28448" t="s">
        <v>13</v>
      </c>
      <c r="D28448" t="s">
        <v>21</v>
      </c>
      <c r="E28448" t="s">
        <v>154</v>
      </c>
      <c r="F28448" s="2" t="str">
        <f>HYPERLINK("http://www.otzar.org/book.asp?618739","נשמת כל חי - 4 כר'")</f>
        <v>נשמת כל חי - 4 כר'</v>
      </c>
    </row>
    <row r="28449" spans="1:6" x14ac:dyDescent="0.2">
      <c r="A28449" t="s">
        <v>44946</v>
      </c>
      <c r="B28449" t="s">
        <v>155</v>
      </c>
      <c r="C28449" t="s">
        <v>44952</v>
      </c>
      <c r="D28449" t="s">
        <v>76</v>
      </c>
      <c r="E28449" t="s">
        <v>154</v>
      </c>
      <c r="F28449" s="2" t="str">
        <f>HYPERLINK("http://www.otzar.org/book.asp?101528","נשמת כל חי")</f>
        <v>נשמת כל חי</v>
      </c>
    </row>
    <row r="28450" spans="1:6" x14ac:dyDescent="0.2">
      <c r="A28450" t="s">
        <v>44946</v>
      </c>
      <c r="B28450" t="s">
        <v>23418</v>
      </c>
      <c r="C28450" t="s">
        <v>8</v>
      </c>
      <c r="D28450" t="s">
        <v>535</v>
      </c>
      <c r="E28450" t="s">
        <v>213</v>
      </c>
      <c r="F28450" s="2" t="str">
        <f>HYPERLINK("http://www.otzar.org/book.asp?103594","נשמת כל חי")</f>
        <v>נשמת כל חי</v>
      </c>
    </row>
    <row r="28451" spans="1:6" x14ac:dyDescent="0.2">
      <c r="A28451" t="s">
        <v>44946</v>
      </c>
      <c r="B28451" t="s">
        <v>1091</v>
      </c>
      <c r="C28451" t="s">
        <v>313</v>
      </c>
      <c r="D28451" t="s">
        <v>14</v>
      </c>
      <c r="E28451" t="s">
        <v>104</v>
      </c>
      <c r="F28451" s="2" t="str">
        <f>HYPERLINK("http://www.otzar.org/book.asp?189182","נשמת כל חי")</f>
        <v>נשמת כל חי</v>
      </c>
    </row>
    <row r="28452" spans="1:6" x14ac:dyDescent="0.2">
      <c r="A28452" t="s">
        <v>44953</v>
      </c>
      <c r="B28452" t="s">
        <v>15402</v>
      </c>
      <c r="C28452" t="s">
        <v>129</v>
      </c>
      <c r="D28452" t="s">
        <v>412</v>
      </c>
      <c r="E28452" t="s">
        <v>10</v>
      </c>
      <c r="F28452" s="2" t="str">
        <f>HYPERLINK("http://www.otzar.org/book.asp?52921","נשמת שבת - 8 כר'")</f>
        <v>נשמת שבת - 8 כר'</v>
      </c>
    </row>
    <row r="28453" spans="1:6" x14ac:dyDescent="0.2">
      <c r="A28453" t="s">
        <v>44954</v>
      </c>
      <c r="B28453" t="s">
        <v>44955</v>
      </c>
      <c r="C28453" t="s">
        <v>5823</v>
      </c>
      <c r="D28453" t="s">
        <v>352</v>
      </c>
      <c r="E28453" t="s">
        <v>399</v>
      </c>
      <c r="F28453" s="2" t="str">
        <f>HYPERLINK("http://www.otzar.org/book.asp?103595","נשמת שבתי הלוי - 2 כר'")</f>
        <v>נשמת שבתי הלוי - 2 כר'</v>
      </c>
    </row>
    <row r="28454" spans="1:6" x14ac:dyDescent="0.2">
      <c r="A28454" t="s">
        <v>44956</v>
      </c>
      <c r="B28454" t="s">
        <v>44957</v>
      </c>
      <c r="C28454" t="s">
        <v>151</v>
      </c>
      <c r="D28454" t="s">
        <v>486</v>
      </c>
      <c r="F28454" s="2" t="str">
        <f>HYPERLINK("http://www.otzar.org/book.asp?616099","נשמת שלום - תשע""ח")</f>
        <v>נשמת שלום - תשע"ח</v>
      </c>
    </row>
    <row r="28455" spans="1:6" x14ac:dyDescent="0.2">
      <c r="A28455" t="s">
        <v>44958</v>
      </c>
      <c r="B28455" t="s">
        <v>1390</v>
      </c>
      <c r="C28455" t="s">
        <v>291</v>
      </c>
      <c r="D28455" t="s">
        <v>35335</v>
      </c>
      <c r="E28455" t="s">
        <v>399</v>
      </c>
      <c r="F28455" s="2" t="str">
        <f>HYPERLINK("http://www.otzar.org/book.asp?102048","נשמת שלמה מרדכי")</f>
        <v>נשמת שלמה מרדכי</v>
      </c>
    </row>
    <row r="28456" spans="1:6" x14ac:dyDescent="0.2">
      <c r="A28456" t="s">
        <v>44959</v>
      </c>
      <c r="B28456" t="s">
        <v>44960</v>
      </c>
      <c r="C28456" t="s">
        <v>114</v>
      </c>
      <c r="D28456" t="s">
        <v>14</v>
      </c>
      <c r="E28456" t="s">
        <v>3755</v>
      </c>
      <c r="F28456" s="2" t="str">
        <f>HYPERLINK("http://www.otzar.org/book.asp?629973","נשמתא דצלותא")</f>
        <v>נשמתא דצלותא</v>
      </c>
    </row>
    <row r="28457" spans="1:6" x14ac:dyDescent="0.2">
      <c r="A28457" t="s">
        <v>44961</v>
      </c>
      <c r="B28457" t="s">
        <v>15901</v>
      </c>
      <c r="C28457" t="s">
        <v>133</v>
      </c>
      <c r="D28457" t="s">
        <v>14</v>
      </c>
      <c r="E28457" t="s">
        <v>158</v>
      </c>
      <c r="F28457" s="2" t="str">
        <f>HYPERLINK("http://www.otzar.org/book.asp?174271","נשמתין חדתין - 2 כר'")</f>
        <v>נשמתין חדתין - 2 כר'</v>
      </c>
    </row>
    <row r="28458" spans="1:6" x14ac:dyDescent="0.2">
      <c r="A28458" t="s">
        <v>44962</v>
      </c>
      <c r="B28458" t="s">
        <v>44963</v>
      </c>
      <c r="C28458" t="s">
        <v>1160</v>
      </c>
      <c r="D28458" t="s">
        <v>14</v>
      </c>
      <c r="E28458" t="s">
        <v>104</v>
      </c>
      <c r="F28458" s="2" t="str">
        <f>HYPERLINK("http://www.otzar.org/book.asp?107133","נתוחי מתים בהלכה &lt;סקירה ביבליוגרפית&gt;")</f>
        <v>נתוחי מתים בהלכה &lt;סקירה ביבליוגרפית&gt;</v>
      </c>
    </row>
    <row r="28459" spans="1:6" x14ac:dyDescent="0.2">
      <c r="A28459" t="s">
        <v>44964</v>
      </c>
      <c r="B28459" t="s">
        <v>5092</v>
      </c>
      <c r="C28459" t="s">
        <v>13</v>
      </c>
      <c r="D28459" t="s">
        <v>412</v>
      </c>
      <c r="E28459" t="s">
        <v>15</v>
      </c>
      <c r="F28459" s="2" t="str">
        <f>HYPERLINK("http://www.otzar.org/book.asp?160396","נתון תתן")</f>
        <v>נתון תתן</v>
      </c>
    </row>
    <row r="28460" spans="1:6" x14ac:dyDescent="0.2">
      <c r="A28460" t="s">
        <v>44965</v>
      </c>
      <c r="B28460" t="s">
        <v>4112</v>
      </c>
      <c r="C28460" t="s">
        <v>133</v>
      </c>
      <c r="D28460" t="s">
        <v>52</v>
      </c>
      <c r="E28460" t="s">
        <v>25310</v>
      </c>
      <c r="F28460" s="2" t="str">
        <f>HYPERLINK("http://www.otzar.org/book.asp?610697","נתחדשה הלכה")</f>
        <v>נתחדשה הלכה</v>
      </c>
    </row>
    <row r="28461" spans="1:6" x14ac:dyDescent="0.2">
      <c r="A28461" t="s">
        <v>44966</v>
      </c>
      <c r="B28461" t="s">
        <v>44967</v>
      </c>
      <c r="C28461" t="s">
        <v>427</v>
      </c>
      <c r="D28461" t="s">
        <v>1356</v>
      </c>
      <c r="E28461" t="s">
        <v>144</v>
      </c>
      <c r="F28461" s="2" t="str">
        <f>HYPERLINK("http://www.otzar.org/book.asp?156040","נתיב אברהם א - סוגיות הש""ס")</f>
        <v>נתיב אברהם א - סוגיות הש"ס</v>
      </c>
    </row>
    <row r="28462" spans="1:6" x14ac:dyDescent="0.2">
      <c r="A28462" t="s">
        <v>44968</v>
      </c>
      <c r="B28462" t="s">
        <v>44967</v>
      </c>
      <c r="C28462" t="s">
        <v>332</v>
      </c>
      <c r="D28462" t="s">
        <v>14</v>
      </c>
      <c r="E28462" t="s">
        <v>3489</v>
      </c>
      <c r="F28462" s="2" t="str">
        <f>HYPERLINK("http://www.otzar.org/book.asp?156041","נתיב אברהם ב - מקואות")</f>
        <v>נתיב אברהם ב - מקואות</v>
      </c>
    </row>
    <row r="28463" spans="1:6" x14ac:dyDescent="0.2">
      <c r="A28463" t="s">
        <v>44969</v>
      </c>
      <c r="B28463" t="s">
        <v>41181</v>
      </c>
      <c r="C28463" t="s">
        <v>103</v>
      </c>
      <c r="D28463" t="s">
        <v>52</v>
      </c>
      <c r="E28463" t="s">
        <v>84</v>
      </c>
      <c r="F28463" s="2" t="str">
        <f>HYPERLINK("http://www.otzar.org/book.asp?22725","נתיב בינה - 30 כר'")</f>
        <v>נתיב בינה - 30 כר'</v>
      </c>
    </row>
    <row r="28464" spans="1:6" x14ac:dyDescent="0.2">
      <c r="A28464" t="s">
        <v>44970</v>
      </c>
      <c r="B28464" t="s">
        <v>44971</v>
      </c>
      <c r="C28464" t="s">
        <v>68</v>
      </c>
      <c r="D28464" t="s">
        <v>9909</v>
      </c>
      <c r="E28464" t="s">
        <v>241</v>
      </c>
      <c r="F28464" s="2" t="str">
        <f>HYPERLINK("http://www.otzar.org/book.asp?159673","נתיב במים עזים")</f>
        <v>נתיב במים עזים</v>
      </c>
    </row>
    <row r="28465" spans="1:6" x14ac:dyDescent="0.2">
      <c r="A28465" t="s">
        <v>44972</v>
      </c>
      <c r="B28465" t="s">
        <v>44973</v>
      </c>
      <c r="C28465" t="s">
        <v>20</v>
      </c>
      <c r="D28465" t="s">
        <v>412</v>
      </c>
      <c r="E28465" t="s">
        <v>144</v>
      </c>
      <c r="F28465" s="2" t="str">
        <f>HYPERLINK("http://www.otzar.org/book.asp?606709","נתיב ברכה")</f>
        <v>נתיב ברכה</v>
      </c>
    </row>
    <row r="28466" spans="1:6" x14ac:dyDescent="0.2">
      <c r="A28466" t="s">
        <v>44974</v>
      </c>
      <c r="B28466" t="s">
        <v>7322</v>
      </c>
      <c r="C28466" t="s">
        <v>185</v>
      </c>
      <c r="D28466" t="s">
        <v>2125</v>
      </c>
      <c r="E28466" t="s">
        <v>144</v>
      </c>
      <c r="F28466" s="2" t="str">
        <f>HYPERLINK("http://www.otzar.org/book.asp?629554","נתיב גבוה - יבמות")</f>
        <v>נתיב גבוה - יבמות</v>
      </c>
    </row>
    <row r="28467" spans="1:6" x14ac:dyDescent="0.2">
      <c r="A28467" t="s">
        <v>44975</v>
      </c>
      <c r="B28467" t="s">
        <v>11397</v>
      </c>
      <c r="C28467" t="s">
        <v>466</v>
      </c>
      <c r="D28467" t="s">
        <v>115</v>
      </c>
      <c r="F28467" s="2" t="str">
        <f>HYPERLINK("http://www.otzar.org/book.asp?199424","נתיב החינוך - 2 כר'")</f>
        <v>נתיב החינוך - 2 כר'</v>
      </c>
    </row>
    <row r="28468" spans="1:6" x14ac:dyDescent="0.2">
      <c r="A28468" t="s">
        <v>44976</v>
      </c>
      <c r="B28468" t="s">
        <v>10055</v>
      </c>
      <c r="C28468" t="s">
        <v>5903</v>
      </c>
      <c r="D28468" t="s">
        <v>1117</v>
      </c>
      <c r="E28468" t="s">
        <v>3261</v>
      </c>
      <c r="F28468" s="2" t="str">
        <f>HYPERLINK("http://www.otzar.org/book.asp?20346","נתיב החכמה")</f>
        <v>נתיב החכמה</v>
      </c>
    </row>
    <row r="28469" spans="1:6" x14ac:dyDescent="0.2">
      <c r="A28469" t="s">
        <v>44977</v>
      </c>
      <c r="B28469" t="s">
        <v>44978</v>
      </c>
      <c r="C28469" t="s">
        <v>5619</v>
      </c>
      <c r="D28469" t="s">
        <v>4703</v>
      </c>
      <c r="E28469" t="s">
        <v>474</v>
      </c>
      <c r="F28469" s="2" t="str">
        <f>HYPERLINK("http://www.otzar.org/book.asp?151475","נתיב הישר")</f>
        <v>נתיב הישר</v>
      </c>
    </row>
    <row r="28470" spans="1:6" x14ac:dyDescent="0.2">
      <c r="A28470" t="s">
        <v>44977</v>
      </c>
      <c r="B28470" t="s">
        <v>29025</v>
      </c>
      <c r="C28470" t="s">
        <v>156</v>
      </c>
      <c r="D28470" t="s">
        <v>2295</v>
      </c>
      <c r="E28470" t="s">
        <v>104</v>
      </c>
      <c r="F28470" s="2" t="str">
        <f>HYPERLINK("http://www.otzar.org/book.asp?19220","נתיב הישר")</f>
        <v>נתיב הישר</v>
      </c>
    </row>
    <row r="28471" spans="1:6" x14ac:dyDescent="0.2">
      <c r="A28471" t="s">
        <v>44979</v>
      </c>
      <c r="B28471" t="s">
        <v>11397</v>
      </c>
      <c r="C28471" t="s">
        <v>454</v>
      </c>
      <c r="D28471" t="s">
        <v>115</v>
      </c>
      <c r="F28471" s="2" t="str">
        <f>HYPERLINK("http://www.otzar.org/book.asp?199423","נתיב הכתובה")</f>
        <v>נתיב הכתובה</v>
      </c>
    </row>
    <row r="28472" spans="1:6" x14ac:dyDescent="0.2">
      <c r="A28472" t="s">
        <v>44980</v>
      </c>
      <c r="B28472" t="s">
        <v>22328</v>
      </c>
      <c r="C28472" t="s">
        <v>454</v>
      </c>
      <c r="D28472" t="s">
        <v>3406</v>
      </c>
      <c r="E28472" t="s">
        <v>130</v>
      </c>
      <c r="F28472" s="2" t="str">
        <f>HYPERLINK("http://www.otzar.org/book.asp?60996","נתיב המצוות")</f>
        <v>נתיב המצוות</v>
      </c>
    </row>
    <row r="28473" spans="1:6" x14ac:dyDescent="0.2">
      <c r="A28473" t="s">
        <v>44981</v>
      </c>
      <c r="B28473" t="s">
        <v>418</v>
      </c>
      <c r="C28473" t="s">
        <v>244</v>
      </c>
      <c r="D28473" t="s">
        <v>14</v>
      </c>
      <c r="E28473" t="s">
        <v>15</v>
      </c>
      <c r="F28473" s="2" t="str">
        <f>HYPERLINK("http://www.otzar.org/book.asp?604503","נתיב המצרנות")</f>
        <v>נתיב המצרנות</v>
      </c>
    </row>
    <row r="28474" spans="1:6" x14ac:dyDescent="0.2">
      <c r="A28474" t="s">
        <v>44982</v>
      </c>
      <c r="B28474" t="s">
        <v>11397</v>
      </c>
      <c r="C28474" t="s">
        <v>189</v>
      </c>
      <c r="D28474" t="s">
        <v>115</v>
      </c>
      <c r="F28474" s="2" t="str">
        <f>HYPERLINK("http://www.otzar.org/book.asp?199427","נתיב המשפחה - 2 כר'")</f>
        <v>נתיב המשפחה - 2 כר'</v>
      </c>
    </row>
    <row r="28475" spans="1:6" x14ac:dyDescent="0.2">
      <c r="A28475" t="s">
        <v>44983</v>
      </c>
      <c r="B28475" t="s">
        <v>23461</v>
      </c>
      <c r="C28475" t="s">
        <v>133</v>
      </c>
      <c r="D28475" t="s">
        <v>14</v>
      </c>
      <c r="E28475" t="s">
        <v>148</v>
      </c>
      <c r="F28475" s="2" t="str">
        <f>HYPERLINK("http://www.otzar.org/book.asp?182936","נתיב הקודש - מוקצה")</f>
        <v>נתיב הקודש - מוקצה</v>
      </c>
    </row>
    <row r="28476" spans="1:6" x14ac:dyDescent="0.2">
      <c r="A28476" t="s">
        <v>44984</v>
      </c>
      <c r="B28476" t="s">
        <v>418</v>
      </c>
      <c r="C28476" t="s">
        <v>244</v>
      </c>
      <c r="D28476" t="s">
        <v>14</v>
      </c>
      <c r="E28476" t="s">
        <v>15</v>
      </c>
      <c r="F28476" s="2" t="str">
        <f>HYPERLINK("http://www.otzar.org/book.asp?604505","נתיב השכירות")</f>
        <v>נתיב השכירות</v>
      </c>
    </row>
    <row r="28477" spans="1:6" x14ac:dyDescent="0.2">
      <c r="A28477" t="s">
        <v>44985</v>
      </c>
      <c r="B28477" t="s">
        <v>17910</v>
      </c>
      <c r="C28477" t="s">
        <v>13</v>
      </c>
      <c r="D28477" t="s">
        <v>52</v>
      </c>
      <c r="E28477" t="s">
        <v>15</v>
      </c>
      <c r="F28477" s="2" t="str">
        <f>HYPERLINK("http://www.otzar.org/book.asp?62971","נתיב השמיטה")</f>
        <v>נתיב השמיטה</v>
      </c>
    </row>
    <row r="28478" spans="1:6" x14ac:dyDescent="0.2">
      <c r="A28478" t="s">
        <v>44986</v>
      </c>
      <c r="B28478" t="s">
        <v>44987</v>
      </c>
      <c r="C28478" t="s">
        <v>146</v>
      </c>
      <c r="D28478" t="s">
        <v>14</v>
      </c>
      <c r="E28478" t="s">
        <v>230</v>
      </c>
      <c r="F28478" s="2" t="str">
        <f>HYPERLINK("http://www.otzar.org/book.asp?159478","נתיב התורה - 6 כר'")</f>
        <v>נתיב התורה - 6 כר'</v>
      </c>
    </row>
    <row r="28479" spans="1:6" x14ac:dyDescent="0.2">
      <c r="A28479" t="s">
        <v>44988</v>
      </c>
      <c r="B28479" t="s">
        <v>38911</v>
      </c>
      <c r="C28479" t="s">
        <v>6203</v>
      </c>
      <c r="D28479" t="s">
        <v>2303</v>
      </c>
      <c r="E28479" t="s">
        <v>172</v>
      </c>
      <c r="F28479" s="2" t="str">
        <f>HYPERLINK("http://www.otzar.org/book.asp?172274","נתיב חיים")</f>
        <v>נתיב חיים</v>
      </c>
    </row>
    <row r="28480" spans="1:6" x14ac:dyDescent="0.2">
      <c r="A28480" t="s">
        <v>44988</v>
      </c>
      <c r="B28480" t="s">
        <v>15901</v>
      </c>
      <c r="C28480" t="s">
        <v>114</v>
      </c>
      <c r="D28480" t="s">
        <v>14</v>
      </c>
      <c r="F28480" s="2" t="str">
        <f>HYPERLINK("http://www.otzar.org/book.asp?617886","נתיב חיים")</f>
        <v>נתיב חיים</v>
      </c>
    </row>
    <row r="28481" spans="1:6" x14ac:dyDescent="0.2">
      <c r="A28481" t="s">
        <v>44989</v>
      </c>
      <c r="B28481" t="s">
        <v>44990</v>
      </c>
      <c r="C28481" t="s">
        <v>17</v>
      </c>
      <c r="D28481" t="s">
        <v>14</v>
      </c>
      <c r="E28481" t="s">
        <v>15</v>
      </c>
      <c r="F28481" s="2" t="str">
        <f>HYPERLINK("http://www.otzar.org/book.asp?50942","נתיב חיים - 7 כר'")</f>
        <v>נתיב חיים - 7 כר'</v>
      </c>
    </row>
    <row r="28482" spans="1:6" x14ac:dyDescent="0.2">
      <c r="A28482" t="s">
        <v>44991</v>
      </c>
      <c r="B28482" t="s">
        <v>418</v>
      </c>
      <c r="C28482" t="s">
        <v>244</v>
      </c>
      <c r="D28482" t="s">
        <v>14</v>
      </c>
      <c r="E28482" t="s">
        <v>15</v>
      </c>
      <c r="F28482" s="2" t="str">
        <f>HYPERLINK("http://www.otzar.org/book.asp?604504","נתיב יושר - מקח וממכר")</f>
        <v>נתיב יושר - מקח וממכר</v>
      </c>
    </row>
    <row r="28483" spans="1:6" x14ac:dyDescent="0.2">
      <c r="A28483" t="s">
        <v>44992</v>
      </c>
      <c r="B28483" t="s">
        <v>7696</v>
      </c>
      <c r="C28483" t="s">
        <v>111</v>
      </c>
      <c r="D28483" t="s">
        <v>14</v>
      </c>
      <c r="E28483" t="s">
        <v>158</v>
      </c>
      <c r="F28483" s="2" t="str">
        <f>HYPERLINK("http://www.otzar.org/book.asp?621326","נתיב יחיאל - 6 כר'")</f>
        <v>נתיב יחיאל - 6 כר'</v>
      </c>
    </row>
    <row r="28484" spans="1:6" x14ac:dyDescent="0.2">
      <c r="A28484" t="s">
        <v>44993</v>
      </c>
      <c r="B28484" t="s">
        <v>44994</v>
      </c>
      <c r="C28484" t="s">
        <v>1954</v>
      </c>
      <c r="D28484" t="s">
        <v>27</v>
      </c>
      <c r="E28484" t="s">
        <v>144</v>
      </c>
      <c r="F28484" s="2" t="str">
        <f>HYPERLINK("http://www.otzar.org/book.asp?144642","נתיב ים - 2 כר'")</f>
        <v>נתיב ים - 2 כר'</v>
      </c>
    </row>
    <row r="28485" spans="1:6" x14ac:dyDescent="0.2">
      <c r="A28485" t="s">
        <v>44995</v>
      </c>
      <c r="B28485" t="s">
        <v>13530</v>
      </c>
      <c r="C28485" t="s">
        <v>237</v>
      </c>
      <c r="D28485" t="s">
        <v>27</v>
      </c>
      <c r="E28485" t="s">
        <v>463</v>
      </c>
      <c r="F28485" s="2" t="str">
        <f>HYPERLINK("http://www.otzar.org/book.asp?14253","נתיב ישר - 3 כר'")</f>
        <v>נתיב ישר - 3 כר'</v>
      </c>
    </row>
    <row r="28486" spans="1:6" x14ac:dyDescent="0.2">
      <c r="A28486" t="s">
        <v>44996</v>
      </c>
      <c r="B28486" t="s">
        <v>9479</v>
      </c>
      <c r="C28486" t="s">
        <v>26</v>
      </c>
      <c r="D28486" t="s">
        <v>14</v>
      </c>
      <c r="E28486" t="s">
        <v>15</v>
      </c>
      <c r="F28486" s="2" t="str">
        <f>HYPERLINK("http://www.otzar.org/book.asp?167572","נתיב לגר - 2 כר'")</f>
        <v>נתיב לגר - 2 כר'</v>
      </c>
    </row>
    <row r="28487" spans="1:6" x14ac:dyDescent="0.2">
      <c r="A28487" t="s">
        <v>44997</v>
      </c>
      <c r="B28487" t="s">
        <v>44998</v>
      </c>
      <c r="C28487" t="s">
        <v>3709</v>
      </c>
      <c r="D28487" t="s">
        <v>283</v>
      </c>
      <c r="E28487" t="s">
        <v>104</v>
      </c>
      <c r="F28487" s="2" t="str">
        <f>HYPERLINK("http://www.otzar.org/book.asp?25618","נתיב לדרך החיים")</f>
        <v>נתיב לדרך החיים</v>
      </c>
    </row>
    <row r="28488" spans="1:6" x14ac:dyDescent="0.2">
      <c r="A28488" t="s">
        <v>44999</v>
      </c>
      <c r="B28488" t="s">
        <v>5822</v>
      </c>
      <c r="C28488" t="s">
        <v>45000</v>
      </c>
      <c r="D28488" t="s">
        <v>6214</v>
      </c>
      <c r="E28488" t="s">
        <v>219</v>
      </c>
      <c r="F28488" s="2" t="str">
        <f>HYPERLINK("http://www.otzar.org/book.asp?626509","נתיב לחיי עולם - 2 כר'")</f>
        <v>נתיב לחיי עולם - 2 כר'</v>
      </c>
    </row>
    <row r="28489" spans="1:6" x14ac:dyDescent="0.2">
      <c r="A28489" t="s">
        <v>45001</v>
      </c>
      <c r="B28489" t="s">
        <v>107</v>
      </c>
      <c r="C28489" t="s">
        <v>71</v>
      </c>
      <c r="D28489" t="s">
        <v>14</v>
      </c>
      <c r="E28489" t="s">
        <v>104</v>
      </c>
      <c r="F28489" s="2" t="str">
        <f>HYPERLINK("http://www.otzar.org/book.asp?6062","נתיב לישיבה")</f>
        <v>נתיב לישיבה</v>
      </c>
    </row>
    <row r="28490" spans="1:6" x14ac:dyDescent="0.2">
      <c r="A28490" t="s">
        <v>45002</v>
      </c>
      <c r="B28490" t="s">
        <v>45003</v>
      </c>
      <c r="C28490" t="s">
        <v>103</v>
      </c>
      <c r="D28490" t="s">
        <v>14</v>
      </c>
      <c r="E28490" t="s">
        <v>241</v>
      </c>
      <c r="F28490" s="2" t="str">
        <f>HYPERLINK("http://www.otzar.org/book.asp?148352","נתיב למהר""ל")</f>
        <v>נתיב למהר"ל</v>
      </c>
    </row>
    <row r="28491" spans="1:6" x14ac:dyDescent="0.2">
      <c r="A28491" t="s">
        <v>45004</v>
      </c>
      <c r="B28491" t="s">
        <v>45005</v>
      </c>
      <c r="C28491" t="s">
        <v>151</v>
      </c>
      <c r="D28491" t="s">
        <v>412</v>
      </c>
      <c r="E28491" t="s">
        <v>144</v>
      </c>
      <c r="F28491" s="2" t="str">
        <f>HYPERLINK("http://www.otzar.org/book.asp?623361","נתיב מאיר - יבמות")</f>
        <v>נתיב מאיר - יבמות</v>
      </c>
    </row>
    <row r="28492" spans="1:6" x14ac:dyDescent="0.2">
      <c r="A28492" t="s">
        <v>45006</v>
      </c>
      <c r="B28492" t="s">
        <v>45007</v>
      </c>
      <c r="C28492" t="s">
        <v>1535</v>
      </c>
      <c r="D28492" t="s">
        <v>10393</v>
      </c>
      <c r="E28492" t="s">
        <v>15</v>
      </c>
      <c r="F28492" s="2" t="str">
        <f>HYPERLINK("http://www.otzar.org/book.asp?151535","נתיב מאיר")</f>
        <v>נתיב מאיר</v>
      </c>
    </row>
    <row r="28493" spans="1:6" x14ac:dyDescent="0.2">
      <c r="A28493" t="s">
        <v>45008</v>
      </c>
      <c r="B28493" t="s">
        <v>11254</v>
      </c>
      <c r="C28493" t="s">
        <v>244</v>
      </c>
      <c r="D28493" t="s">
        <v>11626</v>
      </c>
      <c r="E28493" t="s">
        <v>674</v>
      </c>
      <c r="F28493" s="2" t="str">
        <f>HYPERLINK("http://www.otzar.org/book.asp?605477","נתיב מצוותיך")</f>
        <v>נתיב מצוותיך</v>
      </c>
    </row>
    <row r="28494" spans="1:6" x14ac:dyDescent="0.2">
      <c r="A28494" t="s">
        <v>45009</v>
      </c>
      <c r="B28494" t="s">
        <v>28550</v>
      </c>
      <c r="C28494" t="s">
        <v>146</v>
      </c>
      <c r="D28494" t="s">
        <v>152</v>
      </c>
      <c r="E28494" t="s">
        <v>15</v>
      </c>
      <c r="F28494" s="2" t="str">
        <f>HYPERLINK("http://www.otzar.org/book.asp?61866","נתיב מצותיך")</f>
        <v>נתיב מצותיך</v>
      </c>
    </row>
    <row r="28495" spans="1:6" x14ac:dyDescent="0.2">
      <c r="A28495" t="s">
        <v>45009</v>
      </c>
      <c r="B28495" t="s">
        <v>4909</v>
      </c>
      <c r="C28495" t="s">
        <v>743</v>
      </c>
      <c r="D28495" t="s">
        <v>212</v>
      </c>
      <c r="E28495" t="s">
        <v>40971</v>
      </c>
      <c r="F28495" s="2" t="str">
        <f>HYPERLINK("http://www.otzar.org/book.asp?300503","נתיב מצותיך")</f>
        <v>נתיב מצותיך</v>
      </c>
    </row>
    <row r="28496" spans="1:6" x14ac:dyDescent="0.2">
      <c r="A28496" t="s">
        <v>45010</v>
      </c>
      <c r="B28496" t="s">
        <v>1720</v>
      </c>
      <c r="C28496" t="s">
        <v>503</v>
      </c>
      <c r="D28496" t="s">
        <v>855</v>
      </c>
      <c r="E28496" t="s">
        <v>6688</v>
      </c>
      <c r="F28496" s="2" t="str">
        <f>HYPERLINK("http://www.otzar.org/book.asp?102047","נתיב מצותיך - 2 כר'")</f>
        <v>נתיב מצותיך - 2 כר'</v>
      </c>
    </row>
    <row r="28497" spans="1:6" x14ac:dyDescent="0.2">
      <c r="A28497" t="s">
        <v>45011</v>
      </c>
      <c r="B28497" t="s">
        <v>45012</v>
      </c>
      <c r="C28497" t="s">
        <v>23</v>
      </c>
      <c r="D28497" t="s">
        <v>4508</v>
      </c>
      <c r="F28497" s="2" t="str">
        <f>HYPERLINK("http://www.otzar.org/book.asp?198569","נתיב מרדכי")</f>
        <v>נתיב מרדכי</v>
      </c>
    </row>
    <row r="28498" spans="1:6" x14ac:dyDescent="0.2">
      <c r="A28498" t="s">
        <v>45013</v>
      </c>
      <c r="B28498" t="s">
        <v>45014</v>
      </c>
      <c r="C28498" t="s">
        <v>180</v>
      </c>
      <c r="D28498" t="s">
        <v>52</v>
      </c>
      <c r="E28498" t="s">
        <v>1174</v>
      </c>
      <c r="F28498" s="2" t="str">
        <f>HYPERLINK("http://www.otzar.org/book.asp?180305","נתיב ניטרא - 11 כר'")</f>
        <v>נתיב ניטרא - 11 כר'</v>
      </c>
    </row>
    <row r="28499" spans="1:6" x14ac:dyDescent="0.2">
      <c r="A28499" t="s">
        <v>45015</v>
      </c>
      <c r="B28499" t="s">
        <v>34580</v>
      </c>
      <c r="C28499" t="s">
        <v>13</v>
      </c>
      <c r="D28499" t="s">
        <v>367</v>
      </c>
      <c r="E28499" t="s">
        <v>241</v>
      </c>
      <c r="F28499" s="2" t="str">
        <f>HYPERLINK("http://www.otzar.org/book.asp?159189","נתיב עבודת התפלה - 2 כר'")</f>
        <v>נתיב עבודת התפלה - 2 כר'</v>
      </c>
    </row>
    <row r="28500" spans="1:6" x14ac:dyDescent="0.2">
      <c r="A28500" t="s">
        <v>45016</v>
      </c>
      <c r="B28500" t="s">
        <v>45017</v>
      </c>
      <c r="C28500" t="s">
        <v>617</v>
      </c>
      <c r="D28500" t="s">
        <v>56</v>
      </c>
      <c r="E28500" t="s">
        <v>119</v>
      </c>
      <c r="F28500" s="2" t="str">
        <f>HYPERLINK("http://www.otzar.org/book.asp?172348","נתיב עולם")</f>
        <v>נתיב עולם</v>
      </c>
    </row>
    <row r="28501" spans="1:6" x14ac:dyDescent="0.2">
      <c r="A28501" t="s">
        <v>45018</v>
      </c>
      <c r="B28501" t="s">
        <v>45019</v>
      </c>
      <c r="C28501" t="s">
        <v>785</v>
      </c>
      <c r="D28501" t="s">
        <v>2504</v>
      </c>
      <c r="E28501" t="s">
        <v>144</v>
      </c>
      <c r="F28501" s="2" t="str">
        <f>HYPERLINK("http://www.otzar.org/book.asp?168698","נתיב עז - 15 כר'")</f>
        <v>נתיב עז - 15 כר'</v>
      </c>
    </row>
    <row r="28502" spans="1:6" x14ac:dyDescent="0.2">
      <c r="A28502" t="s">
        <v>45020</v>
      </c>
      <c r="B28502" t="s">
        <v>4289</v>
      </c>
      <c r="C28502" t="s">
        <v>919</v>
      </c>
      <c r="D28502" t="s">
        <v>52</v>
      </c>
      <c r="E28502" t="s">
        <v>104</v>
      </c>
      <c r="F28502" s="2" t="str">
        <f>HYPERLINK("http://www.otzar.org/book.asp?179576","נתיב צדיק")</f>
        <v>נתיב צדיק</v>
      </c>
    </row>
    <row r="28503" spans="1:6" x14ac:dyDescent="0.2">
      <c r="A28503" t="s">
        <v>45021</v>
      </c>
      <c r="B28503" t="s">
        <v>45022</v>
      </c>
      <c r="C28503" t="s">
        <v>133</v>
      </c>
      <c r="D28503" t="s">
        <v>52</v>
      </c>
      <c r="E28503" t="s">
        <v>158</v>
      </c>
      <c r="F28503" s="2" t="str">
        <f>HYPERLINK("http://www.otzar.org/book.asp?625947","נתיב רפאל")</f>
        <v>נתיב רפאל</v>
      </c>
    </row>
    <row r="28504" spans="1:6" x14ac:dyDescent="0.2">
      <c r="A28504" t="s">
        <v>45023</v>
      </c>
      <c r="B28504" t="s">
        <v>2247</v>
      </c>
      <c r="C28504" t="s">
        <v>23</v>
      </c>
      <c r="D28504" t="s">
        <v>14</v>
      </c>
      <c r="E28504" t="s">
        <v>202</v>
      </c>
      <c r="F28504" s="2" t="str">
        <f>HYPERLINK("http://www.otzar.org/book.asp?193593","נתיב של חכמה - 2 כר'")</f>
        <v>נתיב של חכמה - 2 כר'</v>
      </c>
    </row>
    <row r="28505" spans="1:6" x14ac:dyDescent="0.2">
      <c r="A28505" t="s">
        <v>45024</v>
      </c>
      <c r="B28505" t="s">
        <v>45025</v>
      </c>
      <c r="C28505" t="s">
        <v>1811</v>
      </c>
      <c r="D28505" t="s">
        <v>21</v>
      </c>
      <c r="E28505" t="s">
        <v>202</v>
      </c>
      <c r="F28505" s="2" t="str">
        <f>HYPERLINK("http://www.otzar.org/book.asp?199989","נתיב - א")</f>
        <v>נתיב - א</v>
      </c>
    </row>
    <row r="28506" spans="1:6" x14ac:dyDescent="0.2">
      <c r="A28506" t="s">
        <v>45026</v>
      </c>
      <c r="B28506" t="s">
        <v>2663</v>
      </c>
      <c r="C28506" t="s">
        <v>160</v>
      </c>
      <c r="D28506" t="s">
        <v>2504</v>
      </c>
      <c r="E28506" t="s">
        <v>202</v>
      </c>
      <c r="F28506" s="2" t="str">
        <f>HYPERLINK("http://www.otzar.org/book.asp?163514","נתיב - 2 כר'")</f>
        <v>נתיב - 2 כר'</v>
      </c>
    </row>
    <row r="28507" spans="1:6" x14ac:dyDescent="0.2">
      <c r="A28507" t="s">
        <v>45027</v>
      </c>
      <c r="B28507" t="s">
        <v>23173</v>
      </c>
      <c r="C28507" t="s">
        <v>151</v>
      </c>
      <c r="D28507" t="s">
        <v>14</v>
      </c>
      <c r="F28507" s="2" t="str">
        <f>HYPERLINK("http://www.otzar.org/book.asp?630768","נתיבות אברהם  - הבונה")</f>
        <v>נתיבות אברהם  - הבונה</v>
      </c>
    </row>
    <row r="28508" spans="1:6" x14ac:dyDescent="0.2">
      <c r="A28508" t="s">
        <v>45028</v>
      </c>
      <c r="B28508" t="s">
        <v>1234</v>
      </c>
      <c r="C28508" t="s">
        <v>129</v>
      </c>
      <c r="D28508" t="s">
        <v>3283</v>
      </c>
      <c r="E28508" t="s">
        <v>158</v>
      </c>
      <c r="F28508" s="2" t="str">
        <f>HYPERLINK("http://www.otzar.org/book.asp?607581","נתיבות אגם")</f>
        <v>נתיבות אגם</v>
      </c>
    </row>
    <row r="28509" spans="1:6" x14ac:dyDescent="0.2">
      <c r="A28509" t="s">
        <v>45029</v>
      </c>
      <c r="B28509" t="s">
        <v>45030</v>
      </c>
      <c r="C28509" t="s">
        <v>17</v>
      </c>
      <c r="D28509" t="s">
        <v>14</v>
      </c>
      <c r="E28509" t="s">
        <v>10</v>
      </c>
      <c r="F28509" s="2" t="str">
        <f>HYPERLINK("http://www.otzar.org/book.asp?22574","נתיבות אדם - 2 כר'")</f>
        <v>נתיבות אדם - 2 כר'</v>
      </c>
    </row>
    <row r="28510" spans="1:6" x14ac:dyDescent="0.2">
      <c r="A28510" t="s">
        <v>45031</v>
      </c>
      <c r="B28510" t="s">
        <v>206</v>
      </c>
      <c r="C28510" t="s">
        <v>20</v>
      </c>
      <c r="D28510" t="s">
        <v>216</v>
      </c>
      <c r="E28510" t="s">
        <v>314</v>
      </c>
      <c r="F28510" s="2" t="str">
        <f>HYPERLINK("http://www.otzar.org/book.asp?174599","נתיבות אור - בירורי הדעות")</f>
        <v>נתיבות אור - בירורי הדעות</v>
      </c>
    </row>
    <row r="28511" spans="1:6" x14ac:dyDescent="0.2">
      <c r="A28511" t="s">
        <v>45032</v>
      </c>
      <c r="B28511" t="s">
        <v>45017</v>
      </c>
      <c r="C28511" t="s">
        <v>351</v>
      </c>
      <c r="D28511" t="s">
        <v>56</v>
      </c>
      <c r="E28511" t="s">
        <v>930</v>
      </c>
      <c r="F28511" s="2" t="str">
        <f>HYPERLINK("http://www.otzar.org/book.asp?20347","נתיבות אור - 2 כר'")</f>
        <v>נתיבות אור - 2 כר'</v>
      </c>
    </row>
    <row r="28512" spans="1:6" x14ac:dyDescent="0.2">
      <c r="A28512" t="s">
        <v>45033</v>
      </c>
      <c r="B28512" t="s">
        <v>45034</v>
      </c>
      <c r="C28512" t="s">
        <v>146</v>
      </c>
      <c r="D28512" t="s">
        <v>14</v>
      </c>
      <c r="E28512" t="s">
        <v>202</v>
      </c>
      <c r="F28512" s="2" t="str">
        <f>HYPERLINK("http://www.otzar.org/book.asp?169048","נתיבות אור - ג")</f>
        <v>נתיבות אור - ג</v>
      </c>
    </row>
    <row r="28513" spans="1:6" x14ac:dyDescent="0.2">
      <c r="A28513" t="s">
        <v>45035</v>
      </c>
      <c r="B28513" t="s">
        <v>1750</v>
      </c>
      <c r="C28513" t="s">
        <v>71</v>
      </c>
      <c r="D28513" t="s">
        <v>52</v>
      </c>
      <c r="E28513" t="s">
        <v>1174</v>
      </c>
      <c r="F28513" s="2" t="str">
        <f>HYPERLINK("http://www.otzar.org/book.asp?143200","נתיבות אור")</f>
        <v>נתיבות אור</v>
      </c>
    </row>
    <row r="28514" spans="1:6" x14ac:dyDescent="0.2">
      <c r="A28514" t="s">
        <v>45036</v>
      </c>
      <c r="B28514" t="s">
        <v>4131</v>
      </c>
      <c r="C28514" t="s">
        <v>51</v>
      </c>
      <c r="D28514" t="s">
        <v>52</v>
      </c>
      <c r="E28514" t="s">
        <v>144</v>
      </c>
      <c r="F28514" s="2" t="str">
        <f>HYPERLINK("http://www.otzar.org/book.asp?52790","נתיבות אורה - 5 כר'")</f>
        <v>נתיבות אורה - 5 כר'</v>
      </c>
    </row>
    <row r="28515" spans="1:6" x14ac:dyDescent="0.2">
      <c r="A28515" t="s">
        <v>45037</v>
      </c>
      <c r="B28515" t="s">
        <v>45038</v>
      </c>
      <c r="E28515" t="s">
        <v>104</v>
      </c>
      <c r="F28515" s="2" t="str">
        <f>HYPERLINK("http://www.otzar.org/book.asp?622612","נתיבות אשר - מאמרים")</f>
        <v>נתיבות אשר - מאמרים</v>
      </c>
    </row>
    <row r="28516" spans="1:6" x14ac:dyDescent="0.2">
      <c r="A28516" t="s">
        <v>45039</v>
      </c>
      <c r="B28516" t="s">
        <v>45040</v>
      </c>
      <c r="C28516" t="s">
        <v>71</v>
      </c>
      <c r="D28516" t="s">
        <v>14</v>
      </c>
      <c r="E28516" t="s">
        <v>144</v>
      </c>
      <c r="F28516" s="2" t="str">
        <f>HYPERLINK("http://www.otzar.org/book.asp?160932","נתיבות אשר")</f>
        <v>נתיבות אשר</v>
      </c>
    </row>
    <row r="28517" spans="1:6" x14ac:dyDescent="0.2">
      <c r="A28517" t="s">
        <v>45041</v>
      </c>
      <c r="B28517" t="s">
        <v>45042</v>
      </c>
      <c r="C28517" t="s">
        <v>482</v>
      </c>
      <c r="D28517" t="s">
        <v>260</v>
      </c>
      <c r="E28517" t="s">
        <v>104</v>
      </c>
      <c r="F28517" s="2" t="str">
        <f>HYPERLINK("http://www.otzar.org/book.asp?106347","נתיבות בחנוך")</f>
        <v>נתיבות בחנוך</v>
      </c>
    </row>
    <row r="28518" spans="1:6" x14ac:dyDescent="0.2">
      <c r="A28518" t="s">
        <v>45043</v>
      </c>
      <c r="B28518" t="s">
        <v>3716</v>
      </c>
      <c r="C28518" t="s">
        <v>106</v>
      </c>
      <c r="D28518" t="s">
        <v>14</v>
      </c>
      <c r="E28518" t="s">
        <v>140</v>
      </c>
      <c r="F28518" s="2" t="str">
        <f>HYPERLINK("http://www.otzar.org/book.asp?607611","נתיבות במחשבת החסידות")</f>
        <v>נתיבות במחשבת החסידות</v>
      </c>
    </row>
    <row r="28519" spans="1:6" x14ac:dyDescent="0.2">
      <c r="A28519" t="s">
        <v>45044</v>
      </c>
      <c r="B28519" t="s">
        <v>33648</v>
      </c>
      <c r="C28519" t="s">
        <v>189</v>
      </c>
      <c r="D28519" t="s">
        <v>14</v>
      </c>
      <c r="E28519" t="s">
        <v>384</v>
      </c>
      <c r="F28519" s="2" t="str">
        <f>HYPERLINK("http://www.otzar.org/book.asp?152654","נתיבות בנים")</f>
        <v>נתיבות בנים</v>
      </c>
    </row>
    <row r="28520" spans="1:6" x14ac:dyDescent="0.2">
      <c r="A28520" t="s">
        <v>45045</v>
      </c>
      <c r="B28520" t="s">
        <v>45046</v>
      </c>
      <c r="C28520" t="s">
        <v>111</v>
      </c>
      <c r="D28520" t="s">
        <v>367</v>
      </c>
      <c r="E28520" t="s">
        <v>144</v>
      </c>
      <c r="F28520" s="2" t="str">
        <f>HYPERLINK("http://www.otzar.org/book.asp?627549","נתיבות בסוגיות - יבמות")</f>
        <v>נתיבות בסוגיות - יבמות</v>
      </c>
    </row>
    <row r="28521" spans="1:6" x14ac:dyDescent="0.2">
      <c r="A28521" t="s">
        <v>45047</v>
      </c>
      <c r="B28521" t="s">
        <v>37649</v>
      </c>
      <c r="C28521" t="s">
        <v>244</v>
      </c>
      <c r="D28521" t="s">
        <v>14</v>
      </c>
      <c r="F28521" s="2" t="str">
        <f>HYPERLINK("http://www.otzar.org/book.asp?603645","נתיבות ברכה")</f>
        <v>נתיבות ברכה</v>
      </c>
    </row>
    <row r="28522" spans="1:6" x14ac:dyDescent="0.2">
      <c r="A28522" t="s">
        <v>45048</v>
      </c>
      <c r="B28522" t="s">
        <v>45049</v>
      </c>
      <c r="C28522" t="s">
        <v>168</v>
      </c>
      <c r="D28522" t="s">
        <v>21</v>
      </c>
      <c r="E28522" t="s">
        <v>241</v>
      </c>
      <c r="F28522" s="2" t="str">
        <f>HYPERLINK("http://www.otzar.org/book.asp?196618","נתיבות האושר")</f>
        <v>נתיבות האושר</v>
      </c>
    </row>
    <row r="28523" spans="1:6" x14ac:dyDescent="0.2">
      <c r="A28523" t="s">
        <v>45050</v>
      </c>
      <c r="B28523" t="s">
        <v>45051</v>
      </c>
      <c r="C28523" t="s">
        <v>111</v>
      </c>
      <c r="D28523" t="s">
        <v>14</v>
      </c>
      <c r="E28523" t="s">
        <v>144</v>
      </c>
      <c r="F28523" s="2" t="str">
        <f>HYPERLINK("http://www.otzar.org/book.asp?629838","נתיבות הברכה")</f>
        <v>נתיבות הברכה</v>
      </c>
    </row>
    <row r="28524" spans="1:6" x14ac:dyDescent="0.2">
      <c r="A28524" t="s">
        <v>45052</v>
      </c>
      <c r="B28524" t="s">
        <v>45053</v>
      </c>
      <c r="C28524" t="s">
        <v>180</v>
      </c>
      <c r="D28524" t="s">
        <v>27</v>
      </c>
      <c r="E28524" t="s">
        <v>144</v>
      </c>
      <c r="F28524" s="2" t="str">
        <f>HYPERLINK("http://www.otzar.org/book.asp?618749","נתיבות החיים - 4 כר'")</f>
        <v>נתיבות החיים - 4 כר'</v>
      </c>
    </row>
    <row r="28525" spans="1:6" x14ac:dyDescent="0.2">
      <c r="A28525" t="s">
        <v>45054</v>
      </c>
      <c r="B28525" t="s">
        <v>45055</v>
      </c>
      <c r="C28525" t="s">
        <v>87</v>
      </c>
      <c r="D28525" t="s">
        <v>52</v>
      </c>
      <c r="E28525" t="s">
        <v>148</v>
      </c>
      <c r="F28525" s="2" t="str">
        <f>HYPERLINK("http://www.otzar.org/book.asp?22754","נתיבות החיים - 5 כר'")</f>
        <v>נתיבות החיים - 5 כר'</v>
      </c>
    </row>
    <row r="28526" spans="1:6" x14ac:dyDescent="0.2">
      <c r="A28526" t="s">
        <v>45056</v>
      </c>
      <c r="B28526" t="s">
        <v>43583</v>
      </c>
      <c r="C28526" t="s">
        <v>419</v>
      </c>
      <c r="D28526" t="s">
        <v>9530</v>
      </c>
      <c r="E28526" t="s">
        <v>213</v>
      </c>
      <c r="F28526" s="2" t="str">
        <f>HYPERLINK("http://www.otzar.org/book.asp?64227","נתיבות החכמה - 2 כר'")</f>
        <v>נתיבות החכמה - 2 כר'</v>
      </c>
    </row>
    <row r="28527" spans="1:6" x14ac:dyDescent="0.2">
      <c r="A28527" t="s">
        <v>45057</v>
      </c>
      <c r="B28527" t="s">
        <v>206</v>
      </c>
      <c r="C28527" t="s">
        <v>71</v>
      </c>
      <c r="D28527" t="s">
        <v>14</v>
      </c>
      <c r="E28527" t="s">
        <v>241</v>
      </c>
      <c r="F28527" s="2" t="str">
        <f>HYPERLINK("http://www.otzar.org/book.asp?160812","נתיבות החכמה")</f>
        <v>נתיבות החכמה</v>
      </c>
    </row>
    <row r="28528" spans="1:6" x14ac:dyDescent="0.2">
      <c r="A28528" t="s">
        <v>45057</v>
      </c>
      <c r="B28528" t="s">
        <v>45058</v>
      </c>
      <c r="C28528" t="s">
        <v>3635</v>
      </c>
      <c r="D28528" t="s">
        <v>535</v>
      </c>
      <c r="E28528" t="s">
        <v>154</v>
      </c>
      <c r="F28528" s="2" t="str">
        <f>HYPERLINK("http://www.otzar.org/book.asp?168872","נתיבות החכמה")</f>
        <v>נתיבות החכמה</v>
      </c>
    </row>
    <row r="28529" spans="1:6" x14ac:dyDescent="0.2">
      <c r="A28529" t="s">
        <v>45059</v>
      </c>
      <c r="B28529" t="s">
        <v>45060</v>
      </c>
      <c r="C28529" t="s">
        <v>103</v>
      </c>
      <c r="D28529" t="s">
        <v>486</v>
      </c>
      <c r="E28529" t="s">
        <v>148</v>
      </c>
      <c r="F28529" s="2" t="str">
        <f>HYPERLINK("http://www.otzar.org/book.asp?53234","נתיבות הטהרה")</f>
        <v>נתיבות הטהרה</v>
      </c>
    </row>
    <row r="28530" spans="1:6" x14ac:dyDescent="0.2">
      <c r="A28530" t="s">
        <v>45059</v>
      </c>
      <c r="B28530" t="s">
        <v>45061</v>
      </c>
      <c r="C28530" t="s">
        <v>68</v>
      </c>
      <c r="D28530" t="s">
        <v>147</v>
      </c>
      <c r="E28530" t="s">
        <v>803</v>
      </c>
      <c r="F28530" s="2" t="str">
        <f>HYPERLINK("http://www.otzar.org/book.asp?163241","נתיבות הטהרה")</f>
        <v>נתיבות הטהרה</v>
      </c>
    </row>
    <row r="28531" spans="1:6" x14ac:dyDescent="0.2">
      <c r="A28531" t="s">
        <v>45059</v>
      </c>
      <c r="B28531" t="s">
        <v>12513</v>
      </c>
      <c r="C28531" t="s">
        <v>466</v>
      </c>
      <c r="D28531" t="s">
        <v>486</v>
      </c>
      <c r="E28531" t="s">
        <v>15</v>
      </c>
      <c r="F28531" s="2" t="str">
        <f>HYPERLINK("http://www.otzar.org/book.asp?159482","נתיבות הטהרה")</f>
        <v>נתיבות הטהרה</v>
      </c>
    </row>
    <row r="28532" spans="1:6" x14ac:dyDescent="0.2">
      <c r="A28532" t="s">
        <v>45062</v>
      </c>
      <c r="B28532" t="s">
        <v>45063</v>
      </c>
      <c r="C28532" t="s">
        <v>151</v>
      </c>
      <c r="D28532" t="s">
        <v>90</v>
      </c>
      <c r="F28532" s="2" t="str">
        <f>HYPERLINK("http://www.otzar.org/book.asp?616951","נתיבות הי""ם")</f>
        <v>נתיבות הי"ם</v>
      </c>
    </row>
    <row r="28533" spans="1:6" x14ac:dyDescent="0.2">
      <c r="A28533" t="s">
        <v>45064</v>
      </c>
      <c r="B28533" t="s">
        <v>45065</v>
      </c>
      <c r="C28533" t="s">
        <v>133</v>
      </c>
      <c r="D28533" t="s">
        <v>21</v>
      </c>
      <c r="E28533" t="s">
        <v>144</v>
      </c>
      <c r="F28533" s="2" t="str">
        <f>HYPERLINK("http://www.otzar.org/book.asp?605689","נתיבות הי""ם - עירובין")</f>
        <v>נתיבות הי"ם - עירובין</v>
      </c>
    </row>
    <row r="28534" spans="1:6" x14ac:dyDescent="0.2">
      <c r="A28534" t="s">
        <v>45066</v>
      </c>
      <c r="B28534" t="s">
        <v>45067</v>
      </c>
      <c r="C28534" t="s">
        <v>940</v>
      </c>
      <c r="D28534" t="s">
        <v>14</v>
      </c>
      <c r="E28534" t="s">
        <v>674</v>
      </c>
      <c r="F28534" s="2" t="str">
        <f>HYPERLINK("http://www.otzar.org/book.asp?623597","נתיבות הכשרות - 13 כר'")</f>
        <v>נתיבות הכשרות - 13 כר'</v>
      </c>
    </row>
    <row r="28535" spans="1:6" x14ac:dyDescent="0.2">
      <c r="A28535" t="s">
        <v>45068</v>
      </c>
      <c r="B28535" t="s">
        <v>37189</v>
      </c>
      <c r="C28535" t="s">
        <v>462</v>
      </c>
      <c r="D28535" t="s">
        <v>283</v>
      </c>
      <c r="E28535" t="s">
        <v>154</v>
      </c>
      <c r="F28535" s="2" t="str">
        <f>HYPERLINK("http://www.otzar.org/book.asp?28654","נתיבות הלכה (מתוך מצות הלבבות)")</f>
        <v>נתיבות הלכה (מתוך מצות הלבבות)</v>
      </c>
    </row>
    <row r="28536" spans="1:6" x14ac:dyDescent="0.2">
      <c r="A28536" t="s">
        <v>45069</v>
      </c>
      <c r="B28536" t="s">
        <v>45070</v>
      </c>
      <c r="C28536" t="s">
        <v>114</v>
      </c>
      <c r="D28536" t="s">
        <v>14</v>
      </c>
      <c r="E28536" t="s">
        <v>172</v>
      </c>
      <c r="F28536" s="2" t="str">
        <f>HYPERLINK("http://www.otzar.org/book.asp?611169","נתיבות הלכה - 2 כר'")</f>
        <v>נתיבות הלכה - 2 כר'</v>
      </c>
    </row>
    <row r="28537" spans="1:6" x14ac:dyDescent="0.2">
      <c r="A28537" t="s">
        <v>45071</v>
      </c>
      <c r="B28537" t="s">
        <v>45072</v>
      </c>
      <c r="C28537" t="s">
        <v>146</v>
      </c>
      <c r="D28537" t="s">
        <v>14</v>
      </c>
      <c r="E28537" t="s">
        <v>241</v>
      </c>
      <c r="F28537" s="2" t="str">
        <f>HYPERLINK("http://www.otzar.org/book.asp?170726","נתיבות המוסר &lt;מהדורה חדשה&gt;")</f>
        <v>נתיבות המוסר &lt;מהדורה חדשה&gt;</v>
      </c>
    </row>
    <row r="28538" spans="1:6" x14ac:dyDescent="0.2">
      <c r="A28538" t="s">
        <v>45073</v>
      </c>
      <c r="B28538" t="s">
        <v>45072</v>
      </c>
      <c r="C28538" t="s">
        <v>390</v>
      </c>
      <c r="D28538" t="s">
        <v>216</v>
      </c>
      <c r="E28538" t="s">
        <v>241</v>
      </c>
      <c r="F28538" s="2" t="str">
        <f>HYPERLINK("http://www.otzar.org/book.asp?154110","נתיבות המוסר")</f>
        <v>נתיבות המוסר</v>
      </c>
    </row>
    <row r="28539" spans="1:6" x14ac:dyDescent="0.2">
      <c r="A28539" t="s">
        <v>45074</v>
      </c>
      <c r="B28539" t="s">
        <v>45075</v>
      </c>
      <c r="C28539" t="s">
        <v>775</v>
      </c>
      <c r="D28539" t="s">
        <v>52</v>
      </c>
      <c r="E28539" t="s">
        <v>140</v>
      </c>
      <c r="F28539" s="2" t="str">
        <f>HYPERLINK("http://www.otzar.org/book.asp?611150","נתיבות המלוכה")</f>
        <v>נתיבות המלוכה</v>
      </c>
    </row>
    <row r="28540" spans="1:6" x14ac:dyDescent="0.2">
      <c r="A28540" t="s">
        <v>45076</v>
      </c>
      <c r="B28540" t="s">
        <v>7552</v>
      </c>
      <c r="C28540" t="s">
        <v>146</v>
      </c>
      <c r="D28540" t="s">
        <v>14</v>
      </c>
      <c r="E28540" t="s">
        <v>15</v>
      </c>
      <c r="F28540" s="2" t="str">
        <f>HYPERLINK("http://www.otzar.org/book.asp?618039","נתיבות המערב - מנהגי מרוקו")</f>
        <v>נתיבות המערב - מנהגי מרוקו</v>
      </c>
    </row>
    <row r="28541" spans="1:6" x14ac:dyDescent="0.2">
      <c r="A28541" t="s">
        <v>45077</v>
      </c>
      <c r="B28541" t="s">
        <v>6496</v>
      </c>
      <c r="C28541" t="s">
        <v>1036</v>
      </c>
      <c r="D28541" t="s">
        <v>9091</v>
      </c>
      <c r="E28541" t="s">
        <v>172</v>
      </c>
      <c r="F28541" s="2" t="str">
        <f>HYPERLINK("http://www.otzar.org/book.asp?52469","נתיבות המשפט - 5 כר'")</f>
        <v>נתיבות המשפט - 5 כר'</v>
      </c>
    </row>
    <row r="28542" spans="1:6" x14ac:dyDescent="0.2">
      <c r="A28542" t="s">
        <v>45078</v>
      </c>
      <c r="B28542" t="s">
        <v>11614</v>
      </c>
      <c r="C28542" t="s">
        <v>146</v>
      </c>
      <c r="D28542" t="s">
        <v>423</v>
      </c>
      <c r="E28542" t="s">
        <v>186</v>
      </c>
      <c r="F28542" s="2" t="str">
        <f>HYPERLINK("http://www.otzar.org/book.asp?162383","נתיבות העיון - שבת")</f>
        <v>נתיבות העיון - שבת</v>
      </c>
    </row>
    <row r="28543" spans="1:6" x14ac:dyDescent="0.2">
      <c r="A28543" t="s">
        <v>45079</v>
      </c>
      <c r="B28543" t="s">
        <v>45080</v>
      </c>
      <c r="C28543" t="s">
        <v>1246</v>
      </c>
      <c r="D28543" t="s">
        <v>27</v>
      </c>
      <c r="E28543" t="s">
        <v>144</v>
      </c>
      <c r="F28543" s="2" t="str">
        <f>HYPERLINK("http://www.otzar.org/book.asp?13745","נתיבות הקודש - 3 כר'")</f>
        <v>נתיבות הקודש - 3 כר'</v>
      </c>
    </row>
    <row r="28544" spans="1:6" x14ac:dyDescent="0.2">
      <c r="A28544" t="s">
        <v>45081</v>
      </c>
      <c r="B28544" t="s">
        <v>45082</v>
      </c>
      <c r="C28544" t="s">
        <v>51</v>
      </c>
      <c r="D28544" t="s">
        <v>14</v>
      </c>
      <c r="E28544" t="s">
        <v>474</v>
      </c>
      <c r="F28544" s="2" t="str">
        <f>HYPERLINK("http://www.otzar.org/book.asp?28178","נתיבות הקודש")</f>
        <v>נתיבות הקודש</v>
      </c>
    </row>
    <row r="28545" spans="1:6" x14ac:dyDescent="0.2">
      <c r="A28545" t="s">
        <v>45083</v>
      </c>
      <c r="B28545" t="s">
        <v>6294</v>
      </c>
      <c r="C28545" t="s">
        <v>366</v>
      </c>
      <c r="D28545" t="s">
        <v>657</v>
      </c>
      <c r="E28545" t="s">
        <v>144</v>
      </c>
      <c r="F28545" s="2" t="str">
        <f>HYPERLINK("http://www.otzar.org/book.asp?621832","נתיבות השבת - קונטרס המוקצה")</f>
        <v>נתיבות השבת - קונטרס המוקצה</v>
      </c>
    </row>
    <row r="28546" spans="1:6" x14ac:dyDescent="0.2">
      <c r="A28546" t="s">
        <v>45084</v>
      </c>
      <c r="B28546" t="s">
        <v>7757</v>
      </c>
      <c r="C28546" t="s">
        <v>1458</v>
      </c>
      <c r="D28546" t="s">
        <v>27</v>
      </c>
      <c r="E28546" t="s">
        <v>933</v>
      </c>
      <c r="F28546" s="2" t="str">
        <f>HYPERLINK("http://www.otzar.org/book.asp?53476","נתיבות השלום - 4 כר'")</f>
        <v>נתיבות השלום - 4 כר'</v>
      </c>
    </row>
    <row r="28547" spans="1:6" x14ac:dyDescent="0.2">
      <c r="A28547" t="s">
        <v>45085</v>
      </c>
      <c r="B28547" t="s">
        <v>45055</v>
      </c>
      <c r="C28547" t="s">
        <v>17</v>
      </c>
      <c r="D28547" t="s">
        <v>14</v>
      </c>
      <c r="E28547" t="s">
        <v>230</v>
      </c>
      <c r="F28547" s="2" t="str">
        <f>HYPERLINK("http://www.otzar.org/book.asp?22734","נתיבות התורה")</f>
        <v>נתיבות התורה</v>
      </c>
    </row>
    <row r="28548" spans="1:6" x14ac:dyDescent="0.2">
      <c r="A28548" t="s">
        <v>45086</v>
      </c>
      <c r="B28548" t="s">
        <v>45087</v>
      </c>
      <c r="C28548" t="s">
        <v>383</v>
      </c>
      <c r="D28548" t="s">
        <v>52</v>
      </c>
      <c r="E28548" t="s">
        <v>202</v>
      </c>
      <c r="F28548" s="2" t="str">
        <f>HYPERLINK("http://www.otzar.org/book.asp?189768","נתיבות התורה - ב")</f>
        <v>נתיבות התורה - ב</v>
      </c>
    </row>
    <row r="28549" spans="1:6" x14ac:dyDescent="0.2">
      <c r="A28549" t="s">
        <v>45088</v>
      </c>
      <c r="B28549" t="s">
        <v>45089</v>
      </c>
      <c r="C28549" t="s">
        <v>438</v>
      </c>
      <c r="D28549" t="s">
        <v>52</v>
      </c>
      <c r="E28549" t="s">
        <v>202</v>
      </c>
      <c r="F28549" s="2" t="str">
        <f>HYPERLINK("http://www.otzar.org/book.asp?155740","נתיבות התורה - 6 כר'")</f>
        <v>נתיבות התורה - 6 כר'</v>
      </c>
    </row>
    <row r="28550" spans="1:6" x14ac:dyDescent="0.2">
      <c r="A28550" t="s">
        <v>45085</v>
      </c>
      <c r="B28550" t="s">
        <v>45090</v>
      </c>
      <c r="C28550" t="s">
        <v>99</v>
      </c>
      <c r="D28550" t="s">
        <v>45091</v>
      </c>
      <c r="E28550" t="s">
        <v>202</v>
      </c>
      <c r="F28550" s="2" t="str">
        <f>HYPERLINK("http://www.otzar.org/book.asp?192293","נתיבות התורה")</f>
        <v>נתיבות התורה</v>
      </c>
    </row>
    <row r="28551" spans="1:6" x14ac:dyDescent="0.2">
      <c r="A28551" t="s">
        <v>45092</v>
      </c>
      <c r="B28551" t="s">
        <v>5810</v>
      </c>
      <c r="C28551" t="s">
        <v>506</v>
      </c>
      <c r="D28551" t="s">
        <v>1722</v>
      </c>
      <c r="E28551" t="s">
        <v>45093</v>
      </c>
      <c r="F28551" s="2" t="str">
        <f>HYPERLINK("http://www.otzar.org/book.asp?16433","נתיבות התלמוד")</f>
        <v>נתיבות התלמוד</v>
      </c>
    </row>
    <row r="28552" spans="1:6" x14ac:dyDescent="0.2">
      <c r="A28552" t="s">
        <v>45094</v>
      </c>
      <c r="B28552" t="s">
        <v>10619</v>
      </c>
      <c r="C28552" t="s">
        <v>51</v>
      </c>
      <c r="D28552" t="s">
        <v>139</v>
      </c>
      <c r="E28552" t="s">
        <v>241</v>
      </c>
      <c r="F28552" s="2" t="str">
        <f>HYPERLINK("http://www.otzar.org/book.asp?160830","נתיבות התשובה")</f>
        <v>נתיבות התשובה</v>
      </c>
    </row>
    <row r="28553" spans="1:6" x14ac:dyDescent="0.2">
      <c r="A28553" t="s">
        <v>45095</v>
      </c>
      <c r="B28553" t="s">
        <v>23635</v>
      </c>
      <c r="C28553" t="s">
        <v>812</v>
      </c>
      <c r="D28553" t="s">
        <v>10393</v>
      </c>
      <c r="E28553" t="s">
        <v>144</v>
      </c>
      <c r="F28553" s="2" t="str">
        <f>HYPERLINK("http://www.otzar.org/book.asp?20348","נתיבות זוהר")</f>
        <v>נתיבות זוהר</v>
      </c>
    </row>
    <row r="28554" spans="1:6" x14ac:dyDescent="0.2">
      <c r="A28554" t="s">
        <v>45096</v>
      </c>
      <c r="B28554" t="s">
        <v>27820</v>
      </c>
      <c r="C28554" t="s">
        <v>45097</v>
      </c>
      <c r="D28554" t="s">
        <v>9</v>
      </c>
      <c r="E28554" t="s">
        <v>803</v>
      </c>
      <c r="F28554" s="2" t="str">
        <f>HYPERLINK("http://www.otzar.org/book.asp?101536","נתיבות חיים - 5 כר'")</f>
        <v>נתיבות חיים - 5 כר'</v>
      </c>
    </row>
    <row r="28555" spans="1:6" x14ac:dyDescent="0.2">
      <c r="A28555" t="s">
        <v>45098</v>
      </c>
      <c r="B28555" t="s">
        <v>21733</v>
      </c>
      <c r="C28555" t="s">
        <v>624</v>
      </c>
      <c r="D28555" t="s">
        <v>216</v>
      </c>
      <c r="E28555" t="s">
        <v>84</v>
      </c>
      <c r="F28555" s="2" t="str">
        <f>HYPERLINK("http://www.otzar.org/book.asp?189780","נתיבות חיים - פרקי אבות")</f>
        <v>נתיבות חיים - פרקי אבות</v>
      </c>
    </row>
    <row r="28556" spans="1:6" x14ac:dyDescent="0.2">
      <c r="A28556" t="s">
        <v>45099</v>
      </c>
      <c r="B28556" t="s">
        <v>1281</v>
      </c>
      <c r="C28556" t="s">
        <v>51</v>
      </c>
      <c r="D28556" t="s">
        <v>14</v>
      </c>
      <c r="E28556" t="s">
        <v>4333</v>
      </c>
      <c r="F28556" s="2" t="str">
        <f>HYPERLINK("http://www.otzar.org/book.asp?143885","נתיבות חיים")</f>
        <v>נתיבות חיים</v>
      </c>
    </row>
    <row r="28557" spans="1:6" x14ac:dyDescent="0.2">
      <c r="A28557" t="s">
        <v>45099</v>
      </c>
      <c r="B28557" t="s">
        <v>45100</v>
      </c>
      <c r="C28557" t="s">
        <v>422</v>
      </c>
      <c r="D28557" t="s">
        <v>14</v>
      </c>
      <c r="E28557" t="s">
        <v>104</v>
      </c>
      <c r="F28557" s="2" t="str">
        <f>HYPERLINK("http://www.otzar.org/book.asp?162136","נתיבות חיים")</f>
        <v>נתיבות חיים</v>
      </c>
    </row>
    <row r="28558" spans="1:6" x14ac:dyDescent="0.2">
      <c r="A28558" t="s">
        <v>45101</v>
      </c>
      <c r="B28558" t="s">
        <v>4138</v>
      </c>
      <c r="C28558" t="s">
        <v>411</v>
      </c>
      <c r="D28558" t="s">
        <v>14</v>
      </c>
      <c r="E28558" t="s">
        <v>186</v>
      </c>
      <c r="F28558" s="2" t="str">
        <f>HYPERLINK("http://www.otzar.org/book.asp?170245","נתיבות חכמה - 2 כר'")</f>
        <v>נתיבות חכמה - 2 כר'</v>
      </c>
    </row>
    <row r="28559" spans="1:6" x14ac:dyDescent="0.2">
      <c r="A28559" t="s">
        <v>45102</v>
      </c>
      <c r="B28559" t="s">
        <v>45103</v>
      </c>
      <c r="C28559" t="s">
        <v>1268</v>
      </c>
      <c r="D28559" t="s">
        <v>563</v>
      </c>
      <c r="E28559" t="s">
        <v>314</v>
      </c>
      <c r="F28559" s="2" t="str">
        <f>HYPERLINK("http://www.otzar.org/book.asp?154340","נתיבות חן - 2 כר'")</f>
        <v>נתיבות חן - 2 כר'</v>
      </c>
    </row>
    <row r="28560" spans="1:6" x14ac:dyDescent="0.2">
      <c r="A28560" t="s">
        <v>45104</v>
      </c>
      <c r="B28560" t="s">
        <v>45105</v>
      </c>
      <c r="C28560" t="s">
        <v>37</v>
      </c>
      <c r="D28560" t="s">
        <v>14</v>
      </c>
      <c r="E28560" t="s">
        <v>148</v>
      </c>
      <c r="F28560" s="2" t="str">
        <f>HYPERLINK("http://www.otzar.org/book.asp?608146","נתיבות טהרה")</f>
        <v>נתיבות טהרה</v>
      </c>
    </row>
    <row r="28561" spans="1:6" x14ac:dyDescent="0.2">
      <c r="A28561" t="s">
        <v>45106</v>
      </c>
      <c r="B28561" t="s">
        <v>45107</v>
      </c>
      <c r="C28561" t="s">
        <v>129</v>
      </c>
      <c r="D28561" t="s">
        <v>52</v>
      </c>
      <c r="E28561" t="s">
        <v>144</v>
      </c>
      <c r="F28561" s="2" t="str">
        <f>HYPERLINK("http://www.otzar.org/book.asp?63605","נתיבות יאיר")</f>
        <v>נתיבות יאיר</v>
      </c>
    </row>
    <row r="28562" spans="1:6" x14ac:dyDescent="0.2">
      <c r="A28562" t="s">
        <v>45108</v>
      </c>
      <c r="B28562" t="s">
        <v>45109</v>
      </c>
      <c r="C28562" t="s">
        <v>2132</v>
      </c>
      <c r="D28562" t="s">
        <v>6865</v>
      </c>
      <c r="E28562" t="s">
        <v>144</v>
      </c>
      <c r="F28562" s="2" t="str">
        <f>HYPERLINK("http://www.otzar.org/book.asp?161203","נתיבות יהושע")</f>
        <v>נתיבות יהושע</v>
      </c>
    </row>
    <row r="28563" spans="1:6" x14ac:dyDescent="0.2">
      <c r="A28563" t="s">
        <v>45108</v>
      </c>
      <c r="B28563" t="s">
        <v>45110</v>
      </c>
      <c r="C28563" t="s">
        <v>767</v>
      </c>
      <c r="D28563" t="s">
        <v>24482</v>
      </c>
      <c r="E28563" t="s">
        <v>45111</v>
      </c>
      <c r="F28563" s="2" t="str">
        <f>HYPERLINK("http://www.otzar.org/book.asp?9621","נתיבות יהושע")</f>
        <v>נתיבות יהושע</v>
      </c>
    </row>
    <row r="28564" spans="1:6" x14ac:dyDescent="0.2">
      <c r="A28564" t="s">
        <v>45112</v>
      </c>
      <c r="B28564" t="s">
        <v>45113</v>
      </c>
      <c r="C28564" t="s">
        <v>17</v>
      </c>
      <c r="D28564" t="s">
        <v>486</v>
      </c>
      <c r="E28564" t="s">
        <v>213</v>
      </c>
      <c r="F28564" s="2" t="str">
        <f>HYPERLINK("http://www.otzar.org/book.asp?165051","נתיבות יושר - 3 כר'")</f>
        <v>נתיבות יושר - 3 כר'</v>
      </c>
    </row>
    <row r="28565" spans="1:6" x14ac:dyDescent="0.2">
      <c r="A28565" t="s">
        <v>45114</v>
      </c>
      <c r="B28565" t="s">
        <v>45115</v>
      </c>
      <c r="C28565" t="s">
        <v>17</v>
      </c>
      <c r="D28565" t="s">
        <v>52</v>
      </c>
      <c r="E28565" t="s">
        <v>45116</v>
      </c>
      <c r="F28565" s="2" t="str">
        <f>HYPERLINK("http://www.otzar.org/book.asp?147938","נתיבות יושר")</f>
        <v>נתיבות יושר</v>
      </c>
    </row>
    <row r="28566" spans="1:6" x14ac:dyDescent="0.2">
      <c r="A28566" t="s">
        <v>45117</v>
      </c>
      <c r="B28566" t="s">
        <v>20250</v>
      </c>
      <c r="C28566" t="s">
        <v>13</v>
      </c>
      <c r="D28566" t="s">
        <v>412</v>
      </c>
      <c r="E28566" t="s">
        <v>144</v>
      </c>
      <c r="F28566" s="2" t="str">
        <f>HYPERLINK("http://www.otzar.org/book.asp?147561","נתיבות ים - 3 כר'")</f>
        <v>נתיבות ים - 3 כר'</v>
      </c>
    </row>
    <row r="28567" spans="1:6" x14ac:dyDescent="0.2">
      <c r="A28567" t="s">
        <v>45118</v>
      </c>
      <c r="B28567" t="s">
        <v>12549</v>
      </c>
      <c r="C28567" t="s">
        <v>454</v>
      </c>
      <c r="D28567" t="s">
        <v>52</v>
      </c>
      <c r="E28567" t="s">
        <v>246</v>
      </c>
      <c r="F28567" s="2" t="str">
        <f>HYPERLINK("http://www.otzar.org/book.asp?26821","נתיבות יצחק - 3 כר'")</f>
        <v>נתיבות יצחק - 3 כר'</v>
      </c>
    </row>
    <row r="28568" spans="1:6" x14ac:dyDescent="0.2">
      <c r="A28568" t="s">
        <v>45119</v>
      </c>
      <c r="B28568" t="s">
        <v>45120</v>
      </c>
      <c r="C28568" t="s">
        <v>1202</v>
      </c>
      <c r="D28568" t="s">
        <v>27</v>
      </c>
      <c r="F28568" s="2" t="str">
        <f>HYPERLINK("http://www.otzar.org/book.asp?189620","נתיבות יצחק")</f>
        <v>נתיבות יצחק</v>
      </c>
    </row>
    <row r="28569" spans="1:6" x14ac:dyDescent="0.2">
      <c r="A28569" t="s">
        <v>45121</v>
      </c>
      <c r="B28569" t="s">
        <v>13163</v>
      </c>
      <c r="C28569" t="s">
        <v>383</v>
      </c>
      <c r="D28569" t="s">
        <v>21</v>
      </c>
      <c r="F28569" s="2" t="str">
        <f>HYPERLINK("http://www.otzar.org/book.asp?194503","נתיבות לשבת &lt;מהדורה חדשה&gt;")</f>
        <v>נתיבות לשבת &lt;מהדורה חדשה&gt;</v>
      </c>
    </row>
    <row r="28570" spans="1:6" x14ac:dyDescent="0.2">
      <c r="A28570" t="s">
        <v>45122</v>
      </c>
      <c r="B28570" t="s">
        <v>13163</v>
      </c>
      <c r="C28570" t="s">
        <v>248</v>
      </c>
      <c r="D28570" t="s">
        <v>1279</v>
      </c>
      <c r="E28570" t="s">
        <v>172</v>
      </c>
      <c r="F28570" s="2" t="str">
        <f>HYPERLINK("http://www.otzar.org/book.asp?8222","נתיבות לשבת")</f>
        <v>נתיבות לשבת</v>
      </c>
    </row>
    <row r="28571" spans="1:6" x14ac:dyDescent="0.2">
      <c r="A28571" t="s">
        <v>45123</v>
      </c>
      <c r="B28571" t="s">
        <v>45124</v>
      </c>
      <c r="C28571" t="s">
        <v>129</v>
      </c>
      <c r="D28571" t="s">
        <v>52</v>
      </c>
      <c r="E28571" t="s">
        <v>144</v>
      </c>
      <c r="F28571" s="2" t="str">
        <f>HYPERLINK("http://www.otzar.org/book.asp?142348","נתיבות מאיר - 2 כר'")</f>
        <v>נתיבות מאיר - 2 כר'</v>
      </c>
    </row>
    <row r="28572" spans="1:6" x14ac:dyDescent="0.2">
      <c r="A28572" t="s">
        <v>45125</v>
      </c>
      <c r="B28572" t="s">
        <v>45126</v>
      </c>
      <c r="C28572" t="s">
        <v>23</v>
      </c>
      <c r="D28572" t="s">
        <v>52</v>
      </c>
      <c r="F28572" s="2" t="str">
        <f>HYPERLINK("http://www.otzar.org/book.asp?606138","נתיבות מאיר")</f>
        <v>נתיבות מאיר</v>
      </c>
    </row>
    <row r="28573" spans="1:6" x14ac:dyDescent="0.2">
      <c r="A28573" t="s">
        <v>45127</v>
      </c>
      <c r="B28573" t="s">
        <v>19171</v>
      </c>
      <c r="C28573" t="s">
        <v>13</v>
      </c>
      <c r="D28573" t="s">
        <v>9909</v>
      </c>
      <c r="E28573" t="s">
        <v>18381</v>
      </c>
      <c r="F28573" s="2" t="str">
        <f>HYPERLINK("http://www.otzar.org/book.asp?85049","נתיבות מעש")</f>
        <v>נתיבות מעש</v>
      </c>
    </row>
    <row r="28574" spans="1:6" x14ac:dyDescent="0.2">
      <c r="A28574" t="s">
        <v>45128</v>
      </c>
      <c r="B28574" t="s">
        <v>17563</v>
      </c>
      <c r="C28574" t="s">
        <v>133</v>
      </c>
      <c r="D28574" t="s">
        <v>14546</v>
      </c>
      <c r="E28574" t="s">
        <v>144</v>
      </c>
      <c r="F28574" s="2" t="str">
        <f>HYPERLINK("http://www.otzar.org/book.asp?176679","נתיבות מרדכי - 6 כר'")</f>
        <v>נתיבות מרדכי - 6 כר'</v>
      </c>
    </row>
    <row r="28575" spans="1:6" x14ac:dyDescent="0.2">
      <c r="A28575" t="s">
        <v>45129</v>
      </c>
      <c r="B28575" t="s">
        <v>18483</v>
      </c>
      <c r="C28575" t="s">
        <v>129</v>
      </c>
      <c r="D28575" t="s">
        <v>11571</v>
      </c>
      <c r="E28575" t="s">
        <v>158</v>
      </c>
      <c r="F28575" s="2" t="str">
        <f>HYPERLINK("http://www.otzar.org/book.asp?606473","נתיבות משה")</f>
        <v>נתיבות משה</v>
      </c>
    </row>
    <row r="28576" spans="1:6" x14ac:dyDescent="0.2">
      <c r="A28576" t="s">
        <v>45130</v>
      </c>
      <c r="B28576" t="s">
        <v>45131</v>
      </c>
      <c r="C28576" t="s">
        <v>133</v>
      </c>
      <c r="D28576" t="s">
        <v>276</v>
      </c>
      <c r="F28576" s="2" t="str">
        <f>HYPERLINK("http://www.otzar.org/book.asp?194466","נתיבות משה - ריבית")</f>
        <v>נתיבות משה - ריבית</v>
      </c>
    </row>
    <row r="28577" spans="1:6" x14ac:dyDescent="0.2">
      <c r="A28577" t="s">
        <v>45132</v>
      </c>
      <c r="B28577" t="s">
        <v>45133</v>
      </c>
      <c r="C28577" t="s">
        <v>244</v>
      </c>
      <c r="D28577" t="s">
        <v>90</v>
      </c>
      <c r="E28577" t="s">
        <v>144</v>
      </c>
      <c r="F28577" s="2" t="str">
        <f>HYPERLINK("http://www.otzar.org/book.asp?626213","נתיבות משה - איזהו נשך א")</f>
        <v>נתיבות משה - איזהו נשך א</v>
      </c>
    </row>
    <row r="28578" spans="1:6" x14ac:dyDescent="0.2">
      <c r="A28578" t="s">
        <v>45134</v>
      </c>
      <c r="B28578" t="s">
        <v>45135</v>
      </c>
      <c r="C28578" t="s">
        <v>31840</v>
      </c>
      <c r="D28578" t="s">
        <v>1490</v>
      </c>
      <c r="E28578" t="s">
        <v>15</v>
      </c>
      <c r="F28578" s="2" t="str">
        <f>HYPERLINK("http://www.otzar.org/book.asp?16552","נתיבות משפט")</f>
        <v>נתיבות משפט</v>
      </c>
    </row>
    <row r="28579" spans="1:6" x14ac:dyDescent="0.2">
      <c r="A28579" t="s">
        <v>45136</v>
      </c>
      <c r="B28579" t="s">
        <v>45137</v>
      </c>
      <c r="C28579" t="s">
        <v>151</v>
      </c>
      <c r="D28579" t="s">
        <v>14</v>
      </c>
      <c r="E28579" t="s">
        <v>186</v>
      </c>
      <c r="F28579" s="2" t="str">
        <f>HYPERLINK("http://www.otzar.org/book.asp?615524","נתיבות נפתלי - בבא מציעא, גיטין")</f>
        <v>נתיבות נפתלי - בבא מציעא, גיטין</v>
      </c>
    </row>
    <row r="28580" spans="1:6" x14ac:dyDescent="0.2">
      <c r="A28580" t="s">
        <v>45138</v>
      </c>
      <c r="B28580" t="s">
        <v>3923</v>
      </c>
      <c r="C28580" t="s">
        <v>585</v>
      </c>
      <c r="D28580" t="s">
        <v>216</v>
      </c>
      <c r="E28580" t="s">
        <v>241</v>
      </c>
      <c r="F28580" s="2" t="str">
        <f>HYPERLINK("http://www.otzar.org/book.asp?144905","נתיבות עולם &lt;מהדורת פרדס&gt; - 2 כר'")</f>
        <v>נתיבות עולם &lt;מהדורת פרדס&gt; - 2 כר'</v>
      </c>
    </row>
    <row r="28581" spans="1:6" x14ac:dyDescent="0.2">
      <c r="A28581" t="s">
        <v>45139</v>
      </c>
      <c r="B28581" t="s">
        <v>3923</v>
      </c>
      <c r="C28581" t="s">
        <v>37</v>
      </c>
      <c r="D28581" t="s">
        <v>14</v>
      </c>
      <c r="F28581" s="2" t="str">
        <f>HYPERLINK("http://www.otzar.org/book.asp?193552","נתיבות עולם &lt;נתיב התורה&gt; - 2 כר'")</f>
        <v>נתיבות עולם &lt;נתיב התורה&gt; - 2 כר'</v>
      </c>
    </row>
    <row r="28582" spans="1:6" x14ac:dyDescent="0.2">
      <c r="A28582" t="s">
        <v>45140</v>
      </c>
      <c r="B28582" t="s">
        <v>3941</v>
      </c>
      <c r="C28582" t="s">
        <v>45141</v>
      </c>
      <c r="D28582" t="s">
        <v>744</v>
      </c>
      <c r="F28582" s="2" t="str">
        <f>HYPERLINK("http://www.otzar.org/book.asp?164896","נתיבות עולם &lt;דפו""ר&gt;")</f>
        <v>נתיבות עולם &lt;דפו"ר&gt;</v>
      </c>
    </row>
    <row r="28583" spans="1:6" x14ac:dyDescent="0.2">
      <c r="A28583" t="s">
        <v>45142</v>
      </c>
      <c r="B28583" t="s">
        <v>3923</v>
      </c>
      <c r="C28583" t="s">
        <v>5912</v>
      </c>
      <c r="D28583" t="s">
        <v>8579</v>
      </c>
      <c r="E28583" t="s">
        <v>241</v>
      </c>
      <c r="F28583" s="2" t="str">
        <f>HYPERLINK("http://www.otzar.org/book.asp?16024","נתיבות עולם - 3 כר'")</f>
        <v>נתיבות עולם - 3 כר'</v>
      </c>
    </row>
    <row r="28584" spans="1:6" x14ac:dyDescent="0.2">
      <c r="A28584" t="s">
        <v>45143</v>
      </c>
      <c r="B28584" t="s">
        <v>3941</v>
      </c>
      <c r="C28584" t="s">
        <v>45144</v>
      </c>
      <c r="D28584" t="s">
        <v>6214</v>
      </c>
      <c r="E28584" t="s">
        <v>241</v>
      </c>
      <c r="F28584" s="2" t="str">
        <f>HYPERLINK("http://www.otzar.org/book.asp?624810","נתיבות עולם")</f>
        <v>נתיבות עולם</v>
      </c>
    </row>
    <row r="28585" spans="1:6" x14ac:dyDescent="0.2">
      <c r="A28585" t="s">
        <v>45143</v>
      </c>
      <c r="B28585" t="s">
        <v>45145</v>
      </c>
      <c r="C28585" t="s">
        <v>11821</v>
      </c>
      <c r="D28585" t="s">
        <v>267</v>
      </c>
      <c r="E28585" t="s">
        <v>104</v>
      </c>
      <c r="F28585" s="2" t="str">
        <f>HYPERLINK("http://www.otzar.org/book.asp?100976","נתיבות עולם")</f>
        <v>נתיבות עולם</v>
      </c>
    </row>
    <row r="28586" spans="1:6" x14ac:dyDescent="0.2">
      <c r="A28586" t="s">
        <v>45146</v>
      </c>
      <c r="B28586" t="s">
        <v>45147</v>
      </c>
      <c r="C28586" t="s">
        <v>3106</v>
      </c>
      <c r="D28586" t="s">
        <v>412</v>
      </c>
      <c r="E28586" t="s">
        <v>213</v>
      </c>
      <c r="F28586" s="2" t="str">
        <f>HYPERLINK("http://www.otzar.org/book.asp?14264","נתיבות עולם - מפתח לספר")</f>
        <v>נתיבות עולם - מפתח לספר</v>
      </c>
    </row>
    <row r="28587" spans="1:6" x14ac:dyDescent="0.2">
      <c r="A28587" t="s">
        <v>45143</v>
      </c>
      <c r="B28587" t="s">
        <v>43709</v>
      </c>
      <c r="C28587" t="s">
        <v>22975</v>
      </c>
      <c r="D28587" t="s">
        <v>56</v>
      </c>
      <c r="E28587" t="s">
        <v>64</v>
      </c>
      <c r="F28587" s="2" t="str">
        <f>HYPERLINK("http://www.otzar.org/book.asp?695","נתיבות עולם")</f>
        <v>נתיבות עולם</v>
      </c>
    </row>
    <row r="28588" spans="1:6" x14ac:dyDescent="0.2">
      <c r="A28588" t="s">
        <v>45148</v>
      </c>
      <c r="B28588" t="s">
        <v>45149</v>
      </c>
      <c r="C28588" t="s">
        <v>13</v>
      </c>
      <c r="D28588" t="s">
        <v>14</v>
      </c>
      <c r="E28588" t="s">
        <v>144</v>
      </c>
      <c r="F28588" s="2" t="str">
        <f>HYPERLINK("http://www.otzar.org/book.asp?62940","נתיבות עירובין")</f>
        <v>נתיבות עירובין</v>
      </c>
    </row>
    <row r="28589" spans="1:6" x14ac:dyDescent="0.2">
      <c r="A28589" t="s">
        <v>45150</v>
      </c>
      <c r="B28589" t="s">
        <v>11932</v>
      </c>
      <c r="C28589" t="s">
        <v>785</v>
      </c>
      <c r="D28589" t="s">
        <v>14</v>
      </c>
      <c r="E28589" t="s">
        <v>15</v>
      </c>
      <c r="F28589" s="2" t="str">
        <f>HYPERLINK("http://www.otzar.org/book.asp?53217","נתיבות שבת")</f>
        <v>נתיבות שבת</v>
      </c>
    </row>
    <row r="28590" spans="1:6" x14ac:dyDescent="0.2">
      <c r="A28590" t="s">
        <v>45151</v>
      </c>
      <c r="B28590" t="s">
        <v>418</v>
      </c>
      <c r="C28590" t="s">
        <v>244</v>
      </c>
      <c r="D28590" t="s">
        <v>14</v>
      </c>
      <c r="E28590" t="s">
        <v>15</v>
      </c>
      <c r="F28590" s="2" t="str">
        <f>HYPERLINK("http://www.otzar.org/book.asp?604506","נתיבות שכיר")</f>
        <v>נתיבות שכיר</v>
      </c>
    </row>
    <row r="28591" spans="1:6" x14ac:dyDescent="0.2">
      <c r="A28591" t="s">
        <v>45152</v>
      </c>
      <c r="B28591" t="s">
        <v>45153</v>
      </c>
      <c r="C28591" t="s">
        <v>79</v>
      </c>
      <c r="D28591" t="s">
        <v>6974</v>
      </c>
      <c r="E28591" t="s">
        <v>158</v>
      </c>
      <c r="F28591" s="2" t="str">
        <f>HYPERLINK("http://www.otzar.org/book.asp?10122","נתיבות שלום")</f>
        <v>נתיבות שלום</v>
      </c>
    </row>
    <row r="28592" spans="1:6" x14ac:dyDescent="0.2">
      <c r="A28592" t="s">
        <v>45154</v>
      </c>
      <c r="B28592" t="s">
        <v>45155</v>
      </c>
      <c r="C28592" t="s">
        <v>466</v>
      </c>
      <c r="D28592" t="s">
        <v>14</v>
      </c>
      <c r="E28592" t="s">
        <v>148</v>
      </c>
      <c r="F28592" s="2" t="str">
        <f>HYPERLINK("http://www.otzar.org/book.asp?24931","נתיבות שלום - 2 כר'")</f>
        <v>נתיבות שלום - 2 כר'</v>
      </c>
    </row>
    <row r="28593" spans="1:6" x14ac:dyDescent="0.2">
      <c r="A28593" t="s">
        <v>45152</v>
      </c>
      <c r="B28593" t="s">
        <v>45156</v>
      </c>
      <c r="C28593" t="s">
        <v>68</v>
      </c>
      <c r="D28593" t="s">
        <v>721</v>
      </c>
      <c r="F28593" s="2" t="str">
        <f>HYPERLINK("http://www.otzar.org/book.asp?199931","נתיבות שלום")</f>
        <v>נתיבות שלום</v>
      </c>
    </row>
    <row r="28594" spans="1:6" x14ac:dyDescent="0.2">
      <c r="A28594" t="s">
        <v>45152</v>
      </c>
      <c r="B28594" t="s">
        <v>45157</v>
      </c>
      <c r="C28594" t="s">
        <v>1640</v>
      </c>
      <c r="D28594" t="s">
        <v>216</v>
      </c>
      <c r="E28594" t="s">
        <v>45158</v>
      </c>
      <c r="F28594" s="2" t="str">
        <f>HYPERLINK("http://www.otzar.org/book.asp?19458","נתיבות שלום")</f>
        <v>נתיבות שלום</v>
      </c>
    </row>
    <row r="28595" spans="1:6" x14ac:dyDescent="0.2">
      <c r="A28595" t="s">
        <v>45154</v>
      </c>
      <c r="B28595" t="s">
        <v>45159</v>
      </c>
      <c r="C28595" t="s">
        <v>68</v>
      </c>
      <c r="D28595" t="s">
        <v>12936</v>
      </c>
      <c r="E28595" t="s">
        <v>158</v>
      </c>
      <c r="F28595" s="2" t="str">
        <f>HYPERLINK("http://www.otzar.org/book.asp?172125","נתיבות שלום - 2 כר'")</f>
        <v>נתיבות שלום - 2 כר'</v>
      </c>
    </row>
    <row r="28596" spans="1:6" x14ac:dyDescent="0.2">
      <c r="A28596" t="s">
        <v>45152</v>
      </c>
      <c r="B28596" t="s">
        <v>41851</v>
      </c>
      <c r="C28596" t="s">
        <v>1374</v>
      </c>
      <c r="D28596" t="s">
        <v>691</v>
      </c>
      <c r="E28596" t="s">
        <v>158</v>
      </c>
      <c r="F28596" s="2" t="str">
        <f>HYPERLINK("http://www.otzar.org/book.asp?25156","נתיבות שלום")</f>
        <v>נתיבות שלום</v>
      </c>
    </row>
    <row r="28597" spans="1:6" x14ac:dyDescent="0.2">
      <c r="A28597" t="s">
        <v>45152</v>
      </c>
      <c r="B28597" t="s">
        <v>45160</v>
      </c>
      <c r="C28597" t="s">
        <v>13416</v>
      </c>
      <c r="D28597" t="s">
        <v>27</v>
      </c>
      <c r="E28597" t="s">
        <v>158</v>
      </c>
      <c r="F28597" s="2" t="str">
        <f>HYPERLINK("http://www.otzar.org/book.asp?103597","נתיבות שלום")</f>
        <v>נתיבות שלום</v>
      </c>
    </row>
    <row r="28598" spans="1:6" x14ac:dyDescent="0.2">
      <c r="A28598" t="s">
        <v>45161</v>
      </c>
      <c r="B28598" t="s">
        <v>1275</v>
      </c>
      <c r="C28598" t="s">
        <v>20</v>
      </c>
      <c r="D28598" t="s">
        <v>52</v>
      </c>
      <c r="E28598" t="s">
        <v>241</v>
      </c>
      <c r="F28598" s="2" t="str">
        <f>HYPERLINK("http://www.otzar.org/book.asp?626237","נתיבות שמואל - 3 כר'")</f>
        <v>נתיבות שמואל - 3 כר'</v>
      </c>
    </row>
    <row r="28599" spans="1:6" x14ac:dyDescent="0.2">
      <c r="A28599" t="s">
        <v>45161</v>
      </c>
      <c r="B28599" t="s">
        <v>45162</v>
      </c>
      <c r="C28599" t="s">
        <v>1663</v>
      </c>
      <c r="D28599" t="s">
        <v>986</v>
      </c>
      <c r="E28599" t="s">
        <v>474</v>
      </c>
      <c r="F28599" s="2" t="str">
        <f>HYPERLINK("http://www.otzar.org/book.asp?103598","נתיבות שמואל - 3 כר'")</f>
        <v>נתיבות שמואל - 3 כר'</v>
      </c>
    </row>
    <row r="28600" spans="1:6" x14ac:dyDescent="0.2">
      <c r="A28600" t="s">
        <v>45163</v>
      </c>
      <c r="B28600" t="s">
        <v>45164</v>
      </c>
      <c r="C28600" t="s">
        <v>383</v>
      </c>
      <c r="D28600" t="s">
        <v>52</v>
      </c>
      <c r="E28600" t="s">
        <v>45165</v>
      </c>
      <c r="F28600" s="2" t="str">
        <f>HYPERLINK("http://www.otzar.org/book.asp?160284","נתיבות תורה - 8 כר'")</f>
        <v>נתיבות תורה - 8 כר'</v>
      </c>
    </row>
    <row r="28601" spans="1:6" x14ac:dyDescent="0.2">
      <c r="A28601" t="s">
        <v>45166</v>
      </c>
      <c r="B28601" t="s">
        <v>8100</v>
      </c>
      <c r="C28601" t="s">
        <v>411</v>
      </c>
      <c r="D28601" t="s">
        <v>367</v>
      </c>
      <c r="E28601" t="s">
        <v>158</v>
      </c>
      <c r="F28601" s="2" t="str">
        <f>HYPERLINK("http://www.otzar.org/book.asp?176353","נתיבותיה שלום - 2 כר'")</f>
        <v>נתיבותיה שלום - 2 כר'</v>
      </c>
    </row>
    <row r="28602" spans="1:6" x14ac:dyDescent="0.2">
      <c r="A28602" t="s">
        <v>45167</v>
      </c>
      <c r="B28602" t="s">
        <v>45168</v>
      </c>
      <c r="C28602" t="s">
        <v>20</v>
      </c>
      <c r="D28602" t="s">
        <v>14</v>
      </c>
      <c r="E28602" t="s">
        <v>786</v>
      </c>
      <c r="F28602" s="2" t="str">
        <f>HYPERLINK("http://www.otzar.org/book.asp?170819","נתיבי א""ש - ראש השנה")</f>
        <v>נתיבי א"ש - ראש השנה</v>
      </c>
    </row>
    <row r="28603" spans="1:6" x14ac:dyDescent="0.2">
      <c r="A28603" t="s">
        <v>45169</v>
      </c>
      <c r="B28603" t="s">
        <v>45170</v>
      </c>
      <c r="C28603" t="s">
        <v>20</v>
      </c>
      <c r="D28603" t="s">
        <v>21</v>
      </c>
      <c r="E28603" t="s">
        <v>15</v>
      </c>
      <c r="F28603" s="2" t="str">
        <f>HYPERLINK("http://www.otzar.org/book.asp?622206","נתיבי א""ש - מפתח כללי הש""ס")</f>
        <v>נתיבי א"ש - מפתח כללי הש"ס</v>
      </c>
    </row>
    <row r="28604" spans="1:6" x14ac:dyDescent="0.2">
      <c r="A28604" t="s">
        <v>45171</v>
      </c>
      <c r="B28604" t="s">
        <v>9549</v>
      </c>
      <c r="C28604" t="s">
        <v>63</v>
      </c>
      <c r="D28604" t="s">
        <v>260</v>
      </c>
      <c r="E28604" t="s">
        <v>246</v>
      </c>
      <c r="F28604" s="2" t="str">
        <f>HYPERLINK("http://www.otzar.org/book.asp?85176","נתיבי אשר")</f>
        <v>נתיבי אשר</v>
      </c>
    </row>
    <row r="28605" spans="1:6" x14ac:dyDescent="0.2">
      <c r="A28605" t="s">
        <v>45172</v>
      </c>
      <c r="B28605" t="s">
        <v>45173</v>
      </c>
      <c r="C28605" t="s">
        <v>411</v>
      </c>
      <c r="D28605" t="s">
        <v>14</v>
      </c>
      <c r="E28605" t="s">
        <v>15</v>
      </c>
      <c r="F28605" s="2" t="str">
        <f>HYPERLINK("http://www.otzar.org/book.asp?180778","נתיבי דעה - בשר בחלב, תערובות")</f>
        <v>נתיבי דעה - בשר בחלב, תערובות</v>
      </c>
    </row>
    <row r="28606" spans="1:6" x14ac:dyDescent="0.2">
      <c r="A28606" t="s">
        <v>45174</v>
      </c>
      <c r="B28606" t="s">
        <v>1748</v>
      </c>
      <c r="C28606" t="s">
        <v>111</v>
      </c>
      <c r="D28606" t="s">
        <v>90</v>
      </c>
      <c r="E28606" t="s">
        <v>84</v>
      </c>
      <c r="F28606" s="2" t="str">
        <f>HYPERLINK("http://www.otzar.org/book.asp?628770","נתיבי דעת - 2 כר'")</f>
        <v>נתיבי דעת - 2 כר'</v>
      </c>
    </row>
    <row r="28607" spans="1:6" x14ac:dyDescent="0.2">
      <c r="A28607" t="s">
        <v>45175</v>
      </c>
      <c r="B28607" t="s">
        <v>38435</v>
      </c>
      <c r="C28607" t="s">
        <v>13</v>
      </c>
      <c r="D28607" t="s">
        <v>52</v>
      </c>
      <c r="E28607" t="s">
        <v>144</v>
      </c>
      <c r="F28607" s="2" t="str">
        <f>HYPERLINK("http://www.otzar.org/book.asp?166188","נתיבי האור")</f>
        <v>נתיבי האור</v>
      </c>
    </row>
    <row r="28608" spans="1:6" x14ac:dyDescent="0.2">
      <c r="A28608" t="s">
        <v>45176</v>
      </c>
      <c r="B28608" t="s">
        <v>11397</v>
      </c>
      <c r="C28608" t="s">
        <v>13</v>
      </c>
      <c r="D28608" t="s">
        <v>115</v>
      </c>
      <c r="F28608" s="2" t="str">
        <f>HYPERLINK("http://www.otzar.org/book.asp?199391","נתיבי האירוסין")</f>
        <v>נתיבי האירוסין</v>
      </c>
    </row>
    <row r="28609" spans="1:6" x14ac:dyDescent="0.2">
      <c r="A28609" t="s">
        <v>45177</v>
      </c>
      <c r="B28609" t="s">
        <v>876</v>
      </c>
      <c r="C28609" t="s">
        <v>624</v>
      </c>
      <c r="D28609" t="s">
        <v>14</v>
      </c>
      <c r="E28609" t="s">
        <v>15</v>
      </c>
      <c r="F28609" s="2" t="str">
        <f>HYPERLINK("http://www.otzar.org/book.asp?51611","נתיבי הוראה")</f>
        <v>נתיבי הוראה</v>
      </c>
    </row>
    <row r="28610" spans="1:6" x14ac:dyDescent="0.2">
      <c r="A28610" t="s">
        <v>45178</v>
      </c>
      <c r="B28610" t="s">
        <v>45179</v>
      </c>
      <c r="C28610" t="s">
        <v>129</v>
      </c>
      <c r="D28610" t="s">
        <v>152</v>
      </c>
      <c r="E28610" t="s">
        <v>2091</v>
      </c>
      <c r="F28610" s="2" t="str">
        <f>HYPERLINK("http://www.otzar.org/book.asp?63251","נתיבי הוראה - רבית")</f>
        <v>נתיבי הוראה - רבית</v>
      </c>
    </row>
    <row r="28611" spans="1:6" x14ac:dyDescent="0.2">
      <c r="A28611" t="s">
        <v>45180</v>
      </c>
      <c r="B28611" t="s">
        <v>45181</v>
      </c>
      <c r="C28611" t="s">
        <v>20</v>
      </c>
      <c r="D28611" t="s">
        <v>14</v>
      </c>
      <c r="E28611" t="s">
        <v>104</v>
      </c>
      <c r="F28611" s="2" t="str">
        <f>HYPERLINK("http://www.otzar.org/book.asp?16914","נתיבי החנוך")</f>
        <v>נתיבי החנוך</v>
      </c>
    </row>
    <row r="28612" spans="1:6" x14ac:dyDescent="0.2">
      <c r="A28612" t="s">
        <v>45182</v>
      </c>
      <c r="B28612" t="s">
        <v>45183</v>
      </c>
      <c r="C28612" t="s">
        <v>366</v>
      </c>
      <c r="D28612" t="s">
        <v>15682</v>
      </c>
      <c r="E28612" t="s">
        <v>803</v>
      </c>
      <c r="F28612" s="2" t="str">
        <f>HYPERLINK("http://www.otzar.org/book.asp?629914","נתיבי הלכה - 2 כר'")</f>
        <v>נתיבי הלכה - 2 כר'</v>
      </c>
    </row>
    <row r="28613" spans="1:6" x14ac:dyDescent="0.2">
      <c r="A28613" t="s">
        <v>45182</v>
      </c>
      <c r="B28613" t="s">
        <v>45184</v>
      </c>
      <c r="C28613" t="s">
        <v>87</v>
      </c>
      <c r="D28613" t="s">
        <v>4519</v>
      </c>
      <c r="E28613" t="s">
        <v>15</v>
      </c>
      <c r="F28613" s="2" t="str">
        <f>HYPERLINK("http://www.otzar.org/book.asp?50221","נתיבי הלכה - 2 כר'")</f>
        <v>נתיבי הלכה - 2 כר'</v>
      </c>
    </row>
    <row r="28614" spans="1:6" x14ac:dyDescent="0.2">
      <c r="A28614" t="s">
        <v>45185</v>
      </c>
      <c r="B28614" t="s">
        <v>45186</v>
      </c>
      <c r="C28614" t="s">
        <v>68</v>
      </c>
      <c r="D28614" t="s">
        <v>14</v>
      </c>
      <c r="E28614" t="s">
        <v>15</v>
      </c>
      <c r="F28614" s="2" t="str">
        <f>HYPERLINK("http://www.otzar.org/book.asp?153972","נתיבי המנהגים")</f>
        <v>נתיבי המנהגים</v>
      </c>
    </row>
    <row r="28615" spans="1:6" x14ac:dyDescent="0.2">
      <c r="A28615" t="s">
        <v>45187</v>
      </c>
      <c r="B28615" t="s">
        <v>1748</v>
      </c>
      <c r="C28615" t="s">
        <v>411</v>
      </c>
      <c r="D28615" t="s">
        <v>52</v>
      </c>
      <c r="E28615" t="s">
        <v>144</v>
      </c>
      <c r="F28615" s="2" t="str">
        <f>HYPERLINK("http://www.otzar.org/book.asp?607598","נתיבי הספיקות - שער החזקה")</f>
        <v>נתיבי הספיקות - שער החזקה</v>
      </c>
    </row>
    <row r="28616" spans="1:6" x14ac:dyDescent="0.2">
      <c r="A28616" t="s">
        <v>45188</v>
      </c>
      <c r="B28616" t="s">
        <v>11397</v>
      </c>
      <c r="C28616" t="s">
        <v>422</v>
      </c>
      <c r="D28616" t="s">
        <v>115</v>
      </c>
      <c r="F28616" s="2" t="str">
        <f>HYPERLINK("http://www.otzar.org/book.asp?199429","נתיבי השידוך")</f>
        <v>נתיבי השידוך</v>
      </c>
    </row>
    <row r="28617" spans="1:6" x14ac:dyDescent="0.2">
      <c r="A28617" t="s">
        <v>45189</v>
      </c>
      <c r="B28617" t="s">
        <v>6033</v>
      </c>
      <c r="C28617" t="s">
        <v>1448</v>
      </c>
      <c r="D28617" t="s">
        <v>52</v>
      </c>
      <c r="E28617" t="s">
        <v>158</v>
      </c>
      <c r="F28617" s="2" t="str">
        <f>HYPERLINK("http://www.otzar.org/book.asp?52223","נתיבי חיים - 6 כר'")</f>
        <v>נתיבי חיים - 6 כר'</v>
      </c>
    </row>
    <row r="28618" spans="1:6" x14ac:dyDescent="0.2">
      <c r="A28618" t="s">
        <v>45190</v>
      </c>
      <c r="B28618" t="s">
        <v>45191</v>
      </c>
      <c r="C28618" t="s">
        <v>13</v>
      </c>
      <c r="D28618" t="s">
        <v>52</v>
      </c>
      <c r="E28618" t="s">
        <v>463</v>
      </c>
      <c r="F28618" s="2" t="str">
        <f>HYPERLINK("http://www.otzar.org/book.asp?191719","נתיבי חיים - מיד ולדורות")</f>
        <v>נתיבי חיים - מיד ולדורות</v>
      </c>
    </row>
    <row r="28619" spans="1:6" x14ac:dyDescent="0.2">
      <c r="A28619" t="s">
        <v>45192</v>
      </c>
      <c r="B28619" t="s">
        <v>45193</v>
      </c>
      <c r="C28619" t="s">
        <v>624</v>
      </c>
      <c r="D28619" t="s">
        <v>21</v>
      </c>
      <c r="F28619" s="2" t="str">
        <f>HYPERLINK("http://www.otzar.org/book.asp?197784","נתיבי יבמות")</f>
        <v>נתיבי יבמות</v>
      </c>
    </row>
    <row r="28620" spans="1:6" x14ac:dyDescent="0.2">
      <c r="A28620" t="s">
        <v>45194</v>
      </c>
      <c r="B28620" t="s">
        <v>45195</v>
      </c>
      <c r="C28620" t="s">
        <v>189</v>
      </c>
      <c r="D28620" t="s">
        <v>52</v>
      </c>
      <c r="E28620" t="s">
        <v>84</v>
      </c>
      <c r="F28620" s="2" t="str">
        <f>HYPERLINK("http://www.otzar.org/book.asp?142417","נתיבי ים - חלה")</f>
        <v>נתיבי ים - חלה</v>
      </c>
    </row>
    <row r="28621" spans="1:6" x14ac:dyDescent="0.2">
      <c r="A28621" t="s">
        <v>45196</v>
      </c>
      <c r="B28621" t="s">
        <v>45197</v>
      </c>
      <c r="C28621" t="s">
        <v>189</v>
      </c>
      <c r="D28621" t="s">
        <v>412</v>
      </c>
      <c r="E28621" t="s">
        <v>144</v>
      </c>
      <c r="F28621" s="2" t="str">
        <f>HYPERLINK("http://www.otzar.org/book.asp?168367","נתיבי ים - קדושין")</f>
        <v>נתיבי ים - קדושין</v>
      </c>
    </row>
    <row r="28622" spans="1:6" x14ac:dyDescent="0.2">
      <c r="A28622" t="s">
        <v>45198</v>
      </c>
      <c r="B28622" t="s">
        <v>45199</v>
      </c>
      <c r="C28622" t="s">
        <v>103</v>
      </c>
      <c r="D28622" t="s">
        <v>14</v>
      </c>
      <c r="E28622" t="s">
        <v>144</v>
      </c>
      <c r="F28622" s="2" t="str">
        <f>HYPERLINK("http://www.otzar.org/book.asp?161146","נתיבי ישורון - 17 כר'")</f>
        <v>נתיבי ישורון - 17 כר'</v>
      </c>
    </row>
    <row r="28623" spans="1:6" x14ac:dyDescent="0.2">
      <c r="A28623" t="s">
        <v>45200</v>
      </c>
      <c r="B28623" t="s">
        <v>45201</v>
      </c>
      <c r="C28623" t="s">
        <v>133</v>
      </c>
      <c r="D28623" t="s">
        <v>7569</v>
      </c>
      <c r="E28623" t="s">
        <v>241</v>
      </c>
      <c r="F28623" s="2" t="str">
        <f>HYPERLINK("http://www.otzar.org/book.asp?605357","נתיבי מאיר")</f>
        <v>נתיבי מאיר</v>
      </c>
    </row>
    <row r="28624" spans="1:6" x14ac:dyDescent="0.2">
      <c r="A28624" t="s">
        <v>45202</v>
      </c>
      <c r="B28624" t="s">
        <v>9495</v>
      </c>
      <c r="C28624" t="s">
        <v>624</v>
      </c>
      <c r="D28624" t="s">
        <v>14</v>
      </c>
      <c r="E28624" t="s">
        <v>15</v>
      </c>
      <c r="F28624" s="2" t="str">
        <f>HYPERLINK("http://www.otzar.org/book.asp?24944","נתיבי מועד - חול המועד")</f>
        <v>נתיבי מועד - חול המועד</v>
      </c>
    </row>
    <row r="28625" spans="1:6" x14ac:dyDescent="0.2">
      <c r="A28625" t="s">
        <v>45203</v>
      </c>
      <c r="B28625" t="s">
        <v>1748</v>
      </c>
      <c r="C28625" t="s">
        <v>68</v>
      </c>
      <c r="D28625" t="s">
        <v>52</v>
      </c>
      <c r="E28625" t="s">
        <v>3516</v>
      </c>
      <c r="F28625" s="2" t="str">
        <f>HYPERLINK("http://www.otzar.org/book.asp?161045","נתיבי מועד - שבת")</f>
        <v>נתיבי מועד - שבת</v>
      </c>
    </row>
    <row r="28626" spans="1:6" x14ac:dyDescent="0.2">
      <c r="A28626" t="s">
        <v>45204</v>
      </c>
      <c r="B28626" t="s">
        <v>45205</v>
      </c>
      <c r="C28626" t="s">
        <v>244</v>
      </c>
      <c r="D28626" t="s">
        <v>147</v>
      </c>
      <c r="E28626" t="s">
        <v>172</v>
      </c>
      <c r="F28626" s="2" t="str">
        <f>HYPERLINK("http://www.otzar.org/book.asp?601177","נתיבי מליחה")</f>
        <v>נתיבי מליחה</v>
      </c>
    </row>
    <row r="28627" spans="1:6" x14ac:dyDescent="0.2">
      <c r="A28627" t="s">
        <v>45206</v>
      </c>
      <c r="B28627" t="s">
        <v>45207</v>
      </c>
      <c r="C28627" t="s">
        <v>146</v>
      </c>
      <c r="D28627" t="s">
        <v>14</v>
      </c>
      <c r="E28627" t="s">
        <v>15</v>
      </c>
      <c r="F28627" s="2" t="str">
        <f>HYPERLINK("http://www.otzar.org/book.asp?177128","נתיבי עם &lt;מהדורה חדשה&gt;")</f>
        <v>נתיבי עם &lt;מהדורה חדשה&gt;</v>
      </c>
    </row>
    <row r="28628" spans="1:6" x14ac:dyDescent="0.2">
      <c r="A28628" t="s">
        <v>45208</v>
      </c>
      <c r="B28628" t="s">
        <v>45207</v>
      </c>
      <c r="C28628" t="s">
        <v>180</v>
      </c>
      <c r="D28628" t="s">
        <v>14</v>
      </c>
      <c r="E28628" t="s">
        <v>674</v>
      </c>
      <c r="F28628" s="2" t="str">
        <f>HYPERLINK("http://www.otzar.org/book.asp?300059","נתיבי עם - 2 כר'")</f>
        <v>נתיבי עם - 2 כר'</v>
      </c>
    </row>
    <row r="28629" spans="1:6" x14ac:dyDescent="0.2">
      <c r="A28629" t="s">
        <v>45209</v>
      </c>
      <c r="B28629" t="s">
        <v>45210</v>
      </c>
      <c r="C28629" t="s">
        <v>366</v>
      </c>
      <c r="D28629" t="s">
        <v>14</v>
      </c>
      <c r="E28629" t="s">
        <v>213</v>
      </c>
      <c r="F28629" s="2" t="str">
        <f>HYPERLINK("http://www.otzar.org/book.asp?624829","נתיבי ריפוי")</f>
        <v>נתיבי ריפוי</v>
      </c>
    </row>
    <row r="28630" spans="1:6" x14ac:dyDescent="0.2">
      <c r="A28630" t="s">
        <v>45211</v>
      </c>
      <c r="B28630" t="s">
        <v>45212</v>
      </c>
      <c r="C28630" t="s">
        <v>429</v>
      </c>
      <c r="D28630" t="s">
        <v>56</v>
      </c>
      <c r="E28630" t="s">
        <v>144</v>
      </c>
      <c r="F28630" s="2" t="str">
        <f>HYPERLINK("http://www.otzar.org/book.asp?149198","נתיבי רש""י")</f>
        <v>נתיבי רש"י</v>
      </c>
    </row>
    <row r="28631" spans="1:6" x14ac:dyDescent="0.2">
      <c r="A28631" t="s">
        <v>45213</v>
      </c>
      <c r="B28631" t="s">
        <v>45173</v>
      </c>
      <c r="C28631" t="s">
        <v>151</v>
      </c>
      <c r="D28631" t="s">
        <v>90</v>
      </c>
      <c r="E28631" t="s">
        <v>15</v>
      </c>
      <c r="F28631" s="2" t="str">
        <f>HYPERLINK("http://www.otzar.org/book.asp?615523","נתיבי שבת")</f>
        <v>נתיבי שבת</v>
      </c>
    </row>
    <row r="28632" spans="1:6" x14ac:dyDescent="0.2">
      <c r="A28632" t="s">
        <v>45214</v>
      </c>
      <c r="B28632" t="s">
        <v>16885</v>
      </c>
      <c r="C28632" t="s">
        <v>45215</v>
      </c>
      <c r="D28632" t="s">
        <v>27</v>
      </c>
      <c r="E28632" t="s">
        <v>12306</v>
      </c>
      <c r="F28632" s="2" t="str">
        <f>HYPERLINK("http://www.otzar.org/book.asp?104106","נתיבים במי הים - 3 כר'")</f>
        <v>נתיבים במי הים - 3 כר'</v>
      </c>
    </row>
    <row r="28633" spans="1:6" x14ac:dyDescent="0.2">
      <c r="A28633" t="s">
        <v>45216</v>
      </c>
      <c r="B28633" t="s">
        <v>45217</v>
      </c>
      <c r="C28633" t="s">
        <v>151</v>
      </c>
      <c r="D28633" t="s">
        <v>216</v>
      </c>
      <c r="E28633" t="s">
        <v>733</v>
      </c>
      <c r="F28633" s="2" t="str">
        <f>HYPERLINK("http://www.otzar.org/book.asp?611775","נתינת הדורות")</f>
        <v>נתינת הדורות</v>
      </c>
    </row>
    <row r="28634" spans="1:6" x14ac:dyDescent="0.2">
      <c r="A28634" t="s">
        <v>45218</v>
      </c>
      <c r="B28634" t="s">
        <v>206</v>
      </c>
      <c r="C28634" t="s">
        <v>68</v>
      </c>
      <c r="D28634" t="s">
        <v>14</v>
      </c>
      <c r="E28634" t="s">
        <v>241</v>
      </c>
      <c r="F28634" s="2" t="str">
        <f>HYPERLINK("http://www.otzar.org/book.asp?165017","נתן בלבו")</f>
        <v>נתן בלבו</v>
      </c>
    </row>
    <row r="28635" spans="1:6" x14ac:dyDescent="0.2">
      <c r="A28635" t="s">
        <v>45219</v>
      </c>
      <c r="B28635" t="s">
        <v>45220</v>
      </c>
      <c r="C28635" t="s">
        <v>111</v>
      </c>
      <c r="D28635" t="s">
        <v>4996</v>
      </c>
      <c r="E28635" t="s">
        <v>144</v>
      </c>
      <c r="F28635" s="2" t="str">
        <f>HYPERLINK("http://www.otzar.org/book.asp?629994","נתן דברו - 3 כר'")</f>
        <v>נתן דברו - 3 כר'</v>
      </c>
    </row>
    <row r="28636" spans="1:6" x14ac:dyDescent="0.2">
      <c r="A28636" t="s">
        <v>45221</v>
      </c>
      <c r="B28636" t="s">
        <v>11753</v>
      </c>
      <c r="C28636" t="s">
        <v>111</v>
      </c>
      <c r="D28636" t="s">
        <v>14</v>
      </c>
      <c r="E28636" t="s">
        <v>10</v>
      </c>
      <c r="F28636" s="2" t="str">
        <f>HYPERLINK("http://www.otzar.org/book.asp?625762","נתן דויד")</f>
        <v>נתן דויד</v>
      </c>
    </row>
    <row r="28637" spans="1:6" x14ac:dyDescent="0.2">
      <c r="A28637" t="s">
        <v>45222</v>
      </c>
      <c r="B28637" t="s">
        <v>45223</v>
      </c>
      <c r="C28637" t="s">
        <v>51</v>
      </c>
      <c r="D28637" t="s">
        <v>52</v>
      </c>
      <c r="E28637" t="s">
        <v>158</v>
      </c>
      <c r="F28637" s="2" t="str">
        <f>HYPERLINK("http://www.otzar.org/book.asp?161892","נתן דעת - 2 כר'")</f>
        <v>נתן דעת - 2 כר'</v>
      </c>
    </row>
    <row r="28638" spans="1:6" x14ac:dyDescent="0.2">
      <c r="A28638" t="s">
        <v>45224</v>
      </c>
      <c r="B28638" t="s">
        <v>45225</v>
      </c>
      <c r="C28638" t="s">
        <v>785</v>
      </c>
      <c r="D28638" t="s">
        <v>14</v>
      </c>
      <c r="E28638" t="s">
        <v>45226</v>
      </c>
      <c r="F28638" s="2" t="str">
        <f>HYPERLINK("http://www.otzar.org/book.asp?159022","נתן חכמה לשלמה")</f>
        <v>נתן חכמה לשלמה</v>
      </c>
    </row>
    <row r="28639" spans="1:6" x14ac:dyDescent="0.2">
      <c r="A28639" t="s">
        <v>45227</v>
      </c>
      <c r="B28639" t="s">
        <v>45223</v>
      </c>
      <c r="C28639" t="s">
        <v>71</v>
      </c>
      <c r="D28639" t="s">
        <v>52</v>
      </c>
      <c r="E28639" t="s">
        <v>144</v>
      </c>
      <c r="F28639" s="2" t="str">
        <f>HYPERLINK("http://www.otzar.org/book.asp?162678","נתן חכמה")</f>
        <v>נתן חכמה</v>
      </c>
    </row>
    <row r="28640" spans="1:6" x14ac:dyDescent="0.2">
      <c r="A28640" t="s">
        <v>45228</v>
      </c>
      <c r="B28640" t="s">
        <v>14381</v>
      </c>
      <c r="C28640" t="s">
        <v>466</v>
      </c>
      <c r="D28640" t="s">
        <v>14</v>
      </c>
      <c r="E28640" t="s">
        <v>144</v>
      </c>
      <c r="F28640" s="2" t="str">
        <f>HYPERLINK("http://www.otzar.org/book.asp?171486","נתן פריו - 23 כר'")</f>
        <v>נתן פריו - 23 כר'</v>
      </c>
    </row>
    <row r="28641" spans="1:6" x14ac:dyDescent="0.2">
      <c r="A28641" t="s">
        <v>45229</v>
      </c>
      <c r="B28641" t="s">
        <v>34723</v>
      </c>
      <c r="C28641" t="s">
        <v>13</v>
      </c>
      <c r="D28641" t="s">
        <v>14</v>
      </c>
      <c r="E28641" t="s">
        <v>1103</v>
      </c>
      <c r="F28641" s="2" t="str">
        <f>HYPERLINK("http://www.otzar.org/book.asp?146445","נתעלמה ממנו הלכה")</f>
        <v>נתעלמה ממנו הלכה</v>
      </c>
    </row>
    <row r="28642" spans="1:6" x14ac:dyDescent="0.2">
      <c r="A28642" t="s">
        <v>45230</v>
      </c>
      <c r="B28642" t="s">
        <v>45231</v>
      </c>
      <c r="C28642" t="s">
        <v>37</v>
      </c>
      <c r="D28642" t="s">
        <v>412</v>
      </c>
      <c r="E28642" t="s">
        <v>202</v>
      </c>
      <c r="F28642" s="2" t="str">
        <f>HYPERLINK("http://www.otzar.org/book.asp?182446","נתקיימה בי")</f>
        <v>נתקיימה בי</v>
      </c>
    </row>
    <row r="28643" spans="1:6" x14ac:dyDescent="0.2">
      <c r="A28643" t="s">
        <v>45232</v>
      </c>
      <c r="B28643" t="s">
        <v>17331</v>
      </c>
      <c r="C28643" t="s">
        <v>20</v>
      </c>
      <c r="D28643" t="s">
        <v>52</v>
      </c>
      <c r="F28643" s="2" t="str">
        <f>HYPERLINK("http://www.otzar.org/book.asp?157505","ס""ת המנוקד - תגא דאורייתא")</f>
        <v>ס"ת המנוקד - תגא דאורייתא</v>
      </c>
    </row>
    <row r="28644" spans="1:6" x14ac:dyDescent="0.2">
      <c r="A28644" t="s">
        <v>45233</v>
      </c>
      <c r="B28644" t="s">
        <v>4537</v>
      </c>
      <c r="C28644" t="s">
        <v>1278</v>
      </c>
      <c r="D28644" t="s">
        <v>9091</v>
      </c>
      <c r="E28644" t="s">
        <v>241</v>
      </c>
      <c r="F28644" s="2" t="str">
        <f>HYPERLINK("http://www.otzar.org/book.asp?149651","סאה סלת - 2 כר'")</f>
        <v>סאה סלת - 2 כר'</v>
      </c>
    </row>
    <row r="28645" spans="1:6" x14ac:dyDescent="0.2">
      <c r="A28645" t="s">
        <v>45234</v>
      </c>
      <c r="B28645" t="s">
        <v>45235</v>
      </c>
      <c r="C28645" t="s">
        <v>103</v>
      </c>
      <c r="D28645" t="s">
        <v>14</v>
      </c>
      <c r="E28645" t="s">
        <v>119</v>
      </c>
      <c r="F28645" s="2" t="str">
        <f>HYPERLINK("http://www.otzar.org/book.asp?84041","סאלי וחכמיה")</f>
        <v>סאלי וחכמיה</v>
      </c>
    </row>
    <row r="28646" spans="1:6" x14ac:dyDescent="0.2">
      <c r="A28646" t="s">
        <v>45236</v>
      </c>
      <c r="B28646" t="s">
        <v>45237</v>
      </c>
      <c r="C28646" t="s">
        <v>20</v>
      </c>
      <c r="D28646" t="s">
        <v>90</v>
      </c>
      <c r="F28646" s="2" t="str">
        <f>HYPERLINK("http://www.otzar.org/book.asp?606533","סבא אליהו")</f>
        <v>סבא אליהו</v>
      </c>
    </row>
    <row r="28647" spans="1:6" x14ac:dyDescent="0.2">
      <c r="A28647" t="s">
        <v>45238</v>
      </c>
      <c r="B28647" t="s">
        <v>45239</v>
      </c>
      <c r="C28647" t="s">
        <v>422</v>
      </c>
      <c r="D28647" t="s">
        <v>21</v>
      </c>
      <c r="F28647" s="2" t="str">
        <f>HYPERLINK("http://www.otzar.org/book.asp?193114","סבא שמעון מספר")</f>
        <v>סבא שמעון מספר</v>
      </c>
    </row>
    <row r="28648" spans="1:6" x14ac:dyDescent="0.2">
      <c r="A28648" t="s">
        <v>45240</v>
      </c>
      <c r="B28648" t="s">
        <v>9598</v>
      </c>
      <c r="C28648" t="s">
        <v>20</v>
      </c>
      <c r="D28648" t="s">
        <v>14</v>
      </c>
      <c r="E28648" t="s">
        <v>588</v>
      </c>
      <c r="F28648" s="2" t="str">
        <f>HYPERLINK("http://www.otzar.org/book.asp?62279","סבו ציון")</f>
        <v>סבו ציון</v>
      </c>
    </row>
    <row r="28649" spans="1:6" x14ac:dyDescent="0.2">
      <c r="A28649" t="s">
        <v>45241</v>
      </c>
      <c r="B28649" t="s">
        <v>45242</v>
      </c>
      <c r="C28649" t="s">
        <v>1228</v>
      </c>
      <c r="D28649" t="s">
        <v>27</v>
      </c>
      <c r="E28649" t="s">
        <v>104</v>
      </c>
      <c r="F28649" s="2" t="str">
        <f>HYPERLINK("http://www.otzar.org/book.asp?106543","סבוב הרב רבי פתחיה מרעגנשפורג")</f>
        <v>סבוב הרב רבי פתחיה מרעגנשפורג</v>
      </c>
    </row>
    <row r="28650" spans="1:6" x14ac:dyDescent="0.2">
      <c r="A28650" t="s">
        <v>45243</v>
      </c>
      <c r="B28650" t="s">
        <v>45242</v>
      </c>
      <c r="C28650" t="s">
        <v>4562</v>
      </c>
      <c r="D28650" t="s">
        <v>744</v>
      </c>
      <c r="F28650" s="2" t="str">
        <f>HYPERLINK("http://www.otzar.org/book.asp?170158","סבוב הרב רבי פתחיה")</f>
        <v>סבוב הרב רבי פתחיה</v>
      </c>
    </row>
    <row r="28651" spans="1:6" x14ac:dyDescent="0.2">
      <c r="A28651" t="s">
        <v>45244</v>
      </c>
      <c r="B28651" t="s">
        <v>8947</v>
      </c>
      <c r="C28651" t="s">
        <v>129</v>
      </c>
      <c r="D28651" t="s">
        <v>8952</v>
      </c>
      <c r="E28651" t="s">
        <v>158</v>
      </c>
      <c r="F28651" s="2" t="str">
        <f>HYPERLINK("http://www.otzar.org/book.asp?161936","סביב לעמו - אסתר")</f>
        <v>סביב לעמו - אסתר</v>
      </c>
    </row>
    <row r="28652" spans="1:6" x14ac:dyDescent="0.2">
      <c r="A28652" t="s">
        <v>45245</v>
      </c>
      <c r="B28652" t="s">
        <v>552</v>
      </c>
      <c r="C28652" t="s">
        <v>767</v>
      </c>
      <c r="D28652" t="s">
        <v>14</v>
      </c>
      <c r="E28652" t="s">
        <v>202</v>
      </c>
      <c r="F28652" s="2" t="str">
        <f>HYPERLINK("http://www.otzar.org/book.asp?163994","סבנו ד""ר יצחק ברויאר")</f>
        <v>סבנו ד"ר יצחק ברויאר</v>
      </c>
    </row>
    <row r="28653" spans="1:6" x14ac:dyDescent="0.2">
      <c r="A28653" t="s">
        <v>45246</v>
      </c>
      <c r="B28653" t="s">
        <v>2903</v>
      </c>
      <c r="C28653" t="s">
        <v>68</v>
      </c>
      <c r="D28653" t="s">
        <v>52</v>
      </c>
      <c r="E28653" t="s">
        <v>230</v>
      </c>
      <c r="F28653" s="2" t="str">
        <f>HYPERLINK("http://www.otzar.org/book.asp?168320","סבר נפתלי - 6 כר'")</f>
        <v>סבר נפתלי - 6 כר'</v>
      </c>
    </row>
    <row r="28654" spans="1:6" x14ac:dyDescent="0.2">
      <c r="A28654" t="s">
        <v>45247</v>
      </c>
      <c r="B28654" t="s">
        <v>9322</v>
      </c>
      <c r="C28654" t="s">
        <v>624</v>
      </c>
      <c r="D28654" t="s">
        <v>52</v>
      </c>
      <c r="E28654" t="s">
        <v>424</v>
      </c>
      <c r="F28654" s="2" t="str">
        <f>HYPERLINK("http://www.otzar.org/book.asp?51157","סבר פנים &lt;מהדורה חדשה&gt;")</f>
        <v>סבר פנים &lt;מהדורה חדשה&gt;</v>
      </c>
    </row>
    <row r="28655" spans="1:6" x14ac:dyDescent="0.2">
      <c r="A28655" t="s">
        <v>45248</v>
      </c>
      <c r="B28655" t="s">
        <v>9322</v>
      </c>
      <c r="C28655" t="s">
        <v>728</v>
      </c>
      <c r="D28655" t="s">
        <v>212</v>
      </c>
      <c r="E28655" t="s">
        <v>529</v>
      </c>
      <c r="F28655" s="2" t="str">
        <f>HYPERLINK("http://www.otzar.org/book.asp?6819","סבר פנים")</f>
        <v>סבר פנים</v>
      </c>
    </row>
    <row r="28656" spans="1:6" x14ac:dyDescent="0.2">
      <c r="A28656" t="s">
        <v>45249</v>
      </c>
      <c r="B28656" t="s">
        <v>45250</v>
      </c>
      <c r="C28656" t="s">
        <v>20</v>
      </c>
      <c r="D28656" t="s">
        <v>14</v>
      </c>
      <c r="E28656" t="s">
        <v>144</v>
      </c>
      <c r="F28656" s="2" t="str">
        <f>HYPERLINK("http://www.otzar.org/book.asp?25757","סברא דשמעתא")</f>
        <v>סברא דשמעתא</v>
      </c>
    </row>
    <row r="28657" spans="1:6" x14ac:dyDescent="0.2">
      <c r="A28657" t="s">
        <v>45251</v>
      </c>
      <c r="B28657" t="s">
        <v>45252</v>
      </c>
      <c r="C28657" t="s">
        <v>411</v>
      </c>
      <c r="D28657" t="s">
        <v>14</v>
      </c>
      <c r="F28657" s="2" t="str">
        <f>HYPERLINK("http://www.otzar.org/book.asp?170385","סברא דשמעתתא")</f>
        <v>סברא דשמעתתא</v>
      </c>
    </row>
    <row r="28658" spans="1:6" x14ac:dyDescent="0.2">
      <c r="A28658" t="s">
        <v>45253</v>
      </c>
      <c r="B28658" t="s">
        <v>45254</v>
      </c>
      <c r="C28658" t="s">
        <v>1156</v>
      </c>
      <c r="D28658" t="s">
        <v>23</v>
      </c>
      <c r="E28658" t="s">
        <v>15</v>
      </c>
      <c r="F28658" s="2" t="str">
        <f>HYPERLINK("http://www.otzar.org/book.asp?611013","סברי מרנן")</f>
        <v>סברי מרנן</v>
      </c>
    </row>
    <row r="28659" spans="1:6" x14ac:dyDescent="0.2">
      <c r="A28659" t="s">
        <v>45255</v>
      </c>
      <c r="B28659" t="s">
        <v>7007</v>
      </c>
      <c r="C28659" t="s">
        <v>189</v>
      </c>
      <c r="D28659" t="s">
        <v>52</v>
      </c>
      <c r="E28659" t="s">
        <v>202</v>
      </c>
      <c r="F28659" s="2" t="str">
        <f>HYPERLINK("http://www.otzar.org/book.asp?603967","סבתא מחיה")</f>
        <v>סבתא מחיה</v>
      </c>
    </row>
    <row r="28660" spans="1:6" x14ac:dyDescent="0.2">
      <c r="A28660" t="s">
        <v>45256</v>
      </c>
      <c r="B28660" t="s">
        <v>13716</v>
      </c>
      <c r="C28660" t="s">
        <v>1706</v>
      </c>
      <c r="D28660" t="s">
        <v>27</v>
      </c>
      <c r="E28660" t="s">
        <v>104</v>
      </c>
      <c r="F28660" s="2" t="str">
        <f>HYPERLINK("http://www.otzar.org/book.asp?102067","סגולה זהב")</f>
        <v>סגולה זהב</v>
      </c>
    </row>
    <row r="28661" spans="1:6" x14ac:dyDescent="0.2">
      <c r="A28661" t="s">
        <v>45257</v>
      </c>
      <c r="B28661" t="s">
        <v>31883</v>
      </c>
      <c r="C28661" t="s">
        <v>244</v>
      </c>
      <c r="D28661" t="s">
        <v>80</v>
      </c>
      <c r="F28661" s="2" t="str">
        <f>HYPERLINK("http://www.otzar.org/book.asp?610584","סגולה מהבעל שם טוב - 2 כר'")</f>
        <v>סגולה מהבעל שם טוב - 2 כר'</v>
      </c>
    </row>
    <row r="28662" spans="1:6" x14ac:dyDescent="0.2">
      <c r="A28662" t="s">
        <v>45258</v>
      </c>
      <c r="B28662" t="s">
        <v>12900</v>
      </c>
      <c r="C28662" t="s">
        <v>151</v>
      </c>
      <c r="D28662" t="s">
        <v>90</v>
      </c>
      <c r="E28662" t="s">
        <v>104</v>
      </c>
      <c r="F28662" s="2" t="str">
        <f>HYPERLINK("http://www.otzar.org/book.asp?615384","סגולה מכל העמים")</f>
        <v>סגולה מכל העמים</v>
      </c>
    </row>
    <row r="28663" spans="1:6" x14ac:dyDescent="0.2">
      <c r="A28663" t="s">
        <v>45259</v>
      </c>
      <c r="B28663" t="s">
        <v>45260</v>
      </c>
      <c r="C28663" t="s">
        <v>411</v>
      </c>
      <c r="D28663" t="s">
        <v>14</v>
      </c>
      <c r="E28663" t="s">
        <v>24</v>
      </c>
      <c r="F28663" s="2" t="str">
        <f>HYPERLINK("http://www.otzar.org/book.asp?172031","סגולה")</f>
        <v>סגולה</v>
      </c>
    </row>
    <row r="28664" spans="1:6" x14ac:dyDescent="0.2">
      <c r="A28664" t="s">
        <v>45261</v>
      </c>
      <c r="B28664" t="s">
        <v>1308</v>
      </c>
      <c r="C28664" t="s">
        <v>940</v>
      </c>
      <c r="D28664" t="s">
        <v>90</v>
      </c>
      <c r="E28664" t="s">
        <v>104</v>
      </c>
      <c r="F28664" s="2" t="str">
        <f>HYPERLINK("http://www.otzar.org/book.asp?145027","סגולות &lt;החיד""א&gt; לשמירה ברכה והצלחה")</f>
        <v>סגולות &lt;החיד"א&gt; לשמירה ברכה והצלחה</v>
      </c>
    </row>
    <row r="28665" spans="1:6" x14ac:dyDescent="0.2">
      <c r="A28665" t="s">
        <v>45262</v>
      </c>
      <c r="B28665" t="s">
        <v>45263</v>
      </c>
      <c r="C28665" t="s">
        <v>23</v>
      </c>
      <c r="D28665" t="s">
        <v>14</v>
      </c>
      <c r="E28665" t="s">
        <v>104</v>
      </c>
      <c r="F28665" s="2" t="str">
        <f>HYPERLINK("http://www.otzar.org/book.asp?611052","סגולות אברהם - אוצר סגולות")</f>
        <v>סגולות אברהם - אוצר סגולות</v>
      </c>
    </row>
    <row r="28666" spans="1:6" x14ac:dyDescent="0.2">
      <c r="A28666" t="s">
        <v>45264</v>
      </c>
      <c r="B28666" t="s">
        <v>5667</v>
      </c>
      <c r="C28666">
        <v>1914</v>
      </c>
      <c r="D28666" t="s">
        <v>15924</v>
      </c>
      <c r="F28666" s="2" t="str">
        <f>HYPERLINK("http://www.otzar.org/book.asp?191707","סגולות ורפואות - רפאל המלאך")</f>
        <v>סגולות ורפואות - רפאל המלאך</v>
      </c>
    </row>
    <row r="28667" spans="1:6" x14ac:dyDescent="0.2">
      <c r="A28667" t="s">
        <v>45265</v>
      </c>
      <c r="B28667" t="s">
        <v>3384</v>
      </c>
      <c r="C28667" t="s">
        <v>1208</v>
      </c>
      <c r="D28667" t="s">
        <v>14</v>
      </c>
      <c r="E28667" t="s">
        <v>1626</v>
      </c>
      <c r="F28667" s="2" t="str">
        <f>HYPERLINK("http://www.otzar.org/book.asp?60643","סגולות ותפילות")</f>
        <v>סגולות ותפילות</v>
      </c>
    </row>
    <row r="28668" spans="1:6" x14ac:dyDescent="0.2">
      <c r="A28668" t="s">
        <v>45266</v>
      </c>
      <c r="B28668" t="s">
        <v>17327</v>
      </c>
      <c r="C28668" t="s">
        <v>1228</v>
      </c>
      <c r="D28668" t="s">
        <v>379</v>
      </c>
      <c r="E28668" t="s">
        <v>104</v>
      </c>
      <c r="F28668" s="2" t="str">
        <f>HYPERLINK("http://www.otzar.org/book.asp?144757","סגולות ישראל")</f>
        <v>סגולות ישראל</v>
      </c>
    </row>
    <row r="28669" spans="1:6" x14ac:dyDescent="0.2">
      <c r="A28669" t="s">
        <v>45267</v>
      </c>
      <c r="B28669" t="s">
        <v>13089</v>
      </c>
      <c r="C28669" t="s">
        <v>37</v>
      </c>
      <c r="D28669" t="s">
        <v>1974</v>
      </c>
      <c r="E28669" t="s">
        <v>104</v>
      </c>
      <c r="F28669" s="2" t="str">
        <f>HYPERLINK("http://www.otzar.org/book.asp?193880","סגולות רבותינו")</f>
        <v>סגולות רבותינו</v>
      </c>
    </row>
    <row r="28670" spans="1:6" x14ac:dyDescent="0.2">
      <c r="A28670" t="s">
        <v>45268</v>
      </c>
      <c r="B28670" t="s">
        <v>45269</v>
      </c>
      <c r="C28670" t="s">
        <v>585</v>
      </c>
      <c r="D28670" t="s">
        <v>52</v>
      </c>
      <c r="E28670" t="s">
        <v>104</v>
      </c>
      <c r="F28670" s="2" t="str">
        <f>HYPERLINK("http://www.otzar.org/book.asp?605895","סגולת אש""י")</f>
        <v>סגולת אש"י</v>
      </c>
    </row>
    <row r="28671" spans="1:6" x14ac:dyDescent="0.2">
      <c r="A28671" t="s">
        <v>45270</v>
      </c>
      <c r="B28671" t="s">
        <v>45271</v>
      </c>
      <c r="C28671" t="s">
        <v>51</v>
      </c>
      <c r="D28671" t="s">
        <v>52</v>
      </c>
      <c r="E28671" t="s">
        <v>674</v>
      </c>
      <c r="F28671" s="2" t="str">
        <f>HYPERLINK("http://www.otzar.org/book.asp?157491","סגולת השוחטים - קובץ טעמי תורה")</f>
        <v>סגולת השוחטים - קובץ טעמי תורה</v>
      </c>
    </row>
    <row r="28672" spans="1:6" x14ac:dyDescent="0.2">
      <c r="A28672" t="s">
        <v>45272</v>
      </c>
      <c r="B28672" t="s">
        <v>45273</v>
      </c>
      <c r="C28672" t="s">
        <v>146</v>
      </c>
      <c r="D28672" t="s">
        <v>14</v>
      </c>
      <c r="E28672" t="s">
        <v>148</v>
      </c>
      <c r="F28672" s="2" t="str">
        <f>HYPERLINK("http://www.otzar.org/book.asp?50014","סגולת יחיאל")</f>
        <v>סגולת יחיאל</v>
      </c>
    </row>
    <row r="28673" spans="1:6" x14ac:dyDescent="0.2">
      <c r="A28673" t="s">
        <v>45274</v>
      </c>
      <c r="B28673" t="s">
        <v>45275</v>
      </c>
      <c r="C28673" t="s">
        <v>20</v>
      </c>
      <c r="D28673" t="s">
        <v>412</v>
      </c>
      <c r="E28673" t="s">
        <v>64</v>
      </c>
      <c r="F28673" s="2" t="str">
        <f>HYPERLINK("http://www.otzar.org/book.asp?601258","סגולת ישראל")</f>
        <v>סגולת ישראל</v>
      </c>
    </row>
    <row r="28674" spans="1:6" x14ac:dyDescent="0.2">
      <c r="A28674" t="s">
        <v>45274</v>
      </c>
      <c r="B28674" t="s">
        <v>45276</v>
      </c>
      <c r="C28674" t="s">
        <v>313</v>
      </c>
      <c r="D28674" t="s">
        <v>14</v>
      </c>
      <c r="E28674" t="s">
        <v>158</v>
      </c>
      <c r="F28674" s="2" t="str">
        <f>HYPERLINK("http://www.otzar.org/book.asp?155971","סגולת ישראל")</f>
        <v>סגולת ישראל</v>
      </c>
    </row>
    <row r="28675" spans="1:6" x14ac:dyDescent="0.2">
      <c r="A28675" t="s">
        <v>45277</v>
      </c>
      <c r="B28675" t="s">
        <v>45278</v>
      </c>
      <c r="C28675" t="s">
        <v>45279</v>
      </c>
      <c r="D28675" t="s">
        <v>4269</v>
      </c>
      <c r="E28675" t="s">
        <v>579</v>
      </c>
      <c r="F28675" s="2" t="str">
        <f>HYPERLINK("http://www.otzar.org/book.asp?14710","סגולת משה")</f>
        <v>סגולת משה</v>
      </c>
    </row>
    <row r="28676" spans="1:6" x14ac:dyDescent="0.2">
      <c r="A28676" t="s">
        <v>45277</v>
      </c>
      <c r="B28676" t="s">
        <v>552</v>
      </c>
      <c r="C28676" t="s">
        <v>13</v>
      </c>
      <c r="D28676" t="s">
        <v>412</v>
      </c>
      <c r="E28676" t="s">
        <v>202</v>
      </c>
      <c r="F28676" s="2" t="str">
        <f>HYPERLINK("http://www.otzar.org/book.asp?154296","סגולת משה")</f>
        <v>סגולת משה</v>
      </c>
    </row>
    <row r="28677" spans="1:6" x14ac:dyDescent="0.2">
      <c r="A28677" t="s">
        <v>45280</v>
      </c>
      <c r="B28677" t="s">
        <v>776</v>
      </c>
      <c r="C28677" t="s">
        <v>3106</v>
      </c>
      <c r="D28677" t="s">
        <v>27</v>
      </c>
      <c r="E28677" t="s">
        <v>104</v>
      </c>
      <c r="F28677" s="2" t="str">
        <f>HYPERLINK("http://www.otzar.org/book.asp?146798","סגל חן")</f>
        <v>סגל חן</v>
      </c>
    </row>
    <row r="28678" spans="1:6" x14ac:dyDescent="0.2">
      <c r="A28678" t="s">
        <v>45281</v>
      </c>
      <c r="B28678" t="s">
        <v>776</v>
      </c>
      <c r="C28678" t="s">
        <v>79</v>
      </c>
      <c r="D28678" t="s">
        <v>27</v>
      </c>
      <c r="E28678" t="s">
        <v>241</v>
      </c>
      <c r="F28678" s="2" t="str">
        <f>HYPERLINK("http://www.otzar.org/book.asp?179223","סגלת חן")</f>
        <v>סגלת חן</v>
      </c>
    </row>
    <row r="28679" spans="1:6" x14ac:dyDescent="0.2">
      <c r="A28679" t="s">
        <v>45282</v>
      </c>
      <c r="B28679" t="s">
        <v>32266</v>
      </c>
      <c r="C28679" t="s">
        <v>45283</v>
      </c>
      <c r="D28679" t="s">
        <v>283</v>
      </c>
      <c r="E28679" t="s">
        <v>573</v>
      </c>
      <c r="F28679" s="2" t="str">
        <f>HYPERLINK("http://www.otzar.org/book.asp?106502","סגלת ישראל - 2 כר'")</f>
        <v>סגלת ישראל - 2 כר'</v>
      </c>
    </row>
    <row r="28680" spans="1:6" x14ac:dyDescent="0.2">
      <c r="A28680" t="s">
        <v>45284</v>
      </c>
      <c r="B28680" t="s">
        <v>45285</v>
      </c>
      <c r="C28680" t="s">
        <v>111</v>
      </c>
      <c r="D28680" t="s">
        <v>52</v>
      </c>
      <c r="E28680" t="s">
        <v>144</v>
      </c>
      <c r="F28680" s="2" t="str">
        <f>HYPERLINK("http://www.otzar.org/book.asp?628772","סגן הכהנים")</f>
        <v>סגן הכהנים</v>
      </c>
    </row>
    <row r="28681" spans="1:6" x14ac:dyDescent="0.2">
      <c r="A28681" t="s">
        <v>45286</v>
      </c>
      <c r="B28681" t="s">
        <v>45287</v>
      </c>
      <c r="C28681" t="s">
        <v>20</v>
      </c>
      <c r="D28681" t="s">
        <v>20460</v>
      </c>
      <c r="E28681" t="s">
        <v>219</v>
      </c>
      <c r="F28681" s="2" t="str">
        <f>HYPERLINK("http://www.otzar.org/book.asp?177032","סדור בית יוסף ע""פ מקור חיים")</f>
        <v>סדור בית יוסף ע"פ מקור חיים</v>
      </c>
    </row>
    <row r="28682" spans="1:6" x14ac:dyDescent="0.2">
      <c r="A28682" t="s">
        <v>45288</v>
      </c>
      <c r="B28682" t="s">
        <v>12038</v>
      </c>
      <c r="C28682" t="s">
        <v>13138</v>
      </c>
      <c r="D28682" t="s">
        <v>49</v>
      </c>
      <c r="F28682" s="2" t="str">
        <f>HYPERLINK("http://www.otzar.org/book.asp?170268","סדור ברכה")</f>
        <v>סדור ברכה</v>
      </c>
    </row>
    <row r="28683" spans="1:6" x14ac:dyDescent="0.2">
      <c r="A28683" t="s">
        <v>45289</v>
      </c>
      <c r="B28683" t="s">
        <v>6053</v>
      </c>
      <c r="C28683" t="s">
        <v>5903</v>
      </c>
      <c r="D28683" t="s">
        <v>45290</v>
      </c>
      <c r="E28683" t="s">
        <v>219</v>
      </c>
      <c r="F28683" s="2" t="str">
        <f>HYPERLINK("http://www.otzar.org/book.asp?168302","סדור דעת קדושים &lt;תפילה לדוד&gt;")</f>
        <v>סדור דעת קדושים &lt;תפילה לדוד&gt;</v>
      </c>
    </row>
    <row r="28684" spans="1:6" x14ac:dyDescent="0.2">
      <c r="A28684" t="s">
        <v>45291</v>
      </c>
      <c r="B28684" t="s">
        <v>45292</v>
      </c>
      <c r="C28684" t="s">
        <v>45293</v>
      </c>
      <c r="D28684" t="s">
        <v>379</v>
      </c>
      <c r="E28684" t="s">
        <v>45294</v>
      </c>
      <c r="F28684" s="2" t="str">
        <f>HYPERLINK("http://www.otzar.org/book.asp?19229","סדור המנהגים - 4 כר'")</f>
        <v>סדור המנהגים - 4 כר'</v>
      </c>
    </row>
    <row r="28685" spans="1:6" x14ac:dyDescent="0.2">
      <c r="A28685" t="s">
        <v>45295</v>
      </c>
      <c r="B28685" t="s">
        <v>45296</v>
      </c>
      <c r="C28685" t="s">
        <v>956</v>
      </c>
      <c r="D28685" t="s">
        <v>19689</v>
      </c>
      <c r="E28685" t="s">
        <v>219</v>
      </c>
      <c r="F28685" s="2" t="str">
        <f>HYPERLINK("http://www.otzar.org/book.asp?83978","סדור השלום")</f>
        <v>סדור השלום</v>
      </c>
    </row>
    <row r="28686" spans="1:6" x14ac:dyDescent="0.2">
      <c r="A28686" t="s">
        <v>45297</v>
      </c>
      <c r="B28686" t="s">
        <v>1091</v>
      </c>
      <c r="C28686" t="s">
        <v>71</v>
      </c>
      <c r="D28686" t="s">
        <v>14</v>
      </c>
      <c r="E28686" t="s">
        <v>219</v>
      </c>
      <c r="F28686" s="2" t="str">
        <f>HYPERLINK("http://www.otzar.org/book.asp?189176","סדור התהלה והתפארת")</f>
        <v>סדור התהלה והתפארת</v>
      </c>
    </row>
    <row r="28687" spans="1:6" x14ac:dyDescent="0.2">
      <c r="A28687" t="s">
        <v>45298</v>
      </c>
      <c r="B28687" t="s">
        <v>1159</v>
      </c>
      <c r="C28687" t="s">
        <v>124</v>
      </c>
      <c r="D28687" t="s">
        <v>216</v>
      </c>
      <c r="E28687" t="s">
        <v>1626</v>
      </c>
      <c r="F28687" s="2" t="str">
        <f>HYPERLINK("http://www.otzar.org/book.asp?143866","סדור כנסת הגדולה &lt;תכלאל&gt; - 5 כר'")</f>
        <v>סדור כנסת הגדולה &lt;תכלאל&gt; - 5 כר'</v>
      </c>
    </row>
    <row r="28688" spans="1:6" x14ac:dyDescent="0.2">
      <c r="A28688" t="s">
        <v>45299</v>
      </c>
      <c r="B28688" t="s">
        <v>12038</v>
      </c>
      <c r="C28688" t="s">
        <v>11715</v>
      </c>
      <c r="D28688" t="s">
        <v>49</v>
      </c>
      <c r="F28688" s="2" t="str">
        <f>HYPERLINK("http://www.otzar.org/book.asp?164924","סדור מברכה - 4 כר'")</f>
        <v>סדור מברכה - 4 כר'</v>
      </c>
    </row>
    <row r="28689" spans="1:6" x14ac:dyDescent="0.2">
      <c r="A28689" t="s">
        <v>45300</v>
      </c>
      <c r="B28689" t="s">
        <v>20866</v>
      </c>
      <c r="C28689" t="s">
        <v>51</v>
      </c>
      <c r="D28689" t="s">
        <v>14816</v>
      </c>
      <c r="F28689" s="2" t="str">
        <f>HYPERLINK("http://www.otzar.org/book.asp?180893","סדור מה""ר שבתי סופר מפרעמישלא - 4 כר'")</f>
        <v>סדור מה"ר שבתי סופר מפרעמישלא - 4 כר'</v>
      </c>
    </row>
    <row r="28690" spans="1:6" x14ac:dyDescent="0.2">
      <c r="A28690" t="s">
        <v>45301</v>
      </c>
      <c r="B28690" t="s">
        <v>45302</v>
      </c>
      <c r="C28690" t="s">
        <v>1954</v>
      </c>
      <c r="D28690" t="s">
        <v>1787</v>
      </c>
      <c r="E28690" t="s">
        <v>202</v>
      </c>
      <c r="F28690" s="2" t="str">
        <f>HYPERLINK("http://www.otzar.org/book.asp?179934","סדור מנחת ערב")</f>
        <v>סדור מנחת ערב</v>
      </c>
    </row>
    <row r="28691" spans="1:6" x14ac:dyDescent="0.2">
      <c r="A28691" t="s">
        <v>45303</v>
      </c>
      <c r="B28691" t="s">
        <v>2020</v>
      </c>
      <c r="C28691" t="s">
        <v>224</v>
      </c>
      <c r="D28691" t="s">
        <v>45304</v>
      </c>
      <c r="E28691" t="s">
        <v>219</v>
      </c>
      <c r="F28691" s="2" t="str">
        <f>HYPERLINK("http://www.otzar.org/book.asp?83979","סדור מקור התפלות")</f>
        <v>סדור מקור התפלות</v>
      </c>
    </row>
    <row r="28692" spans="1:6" x14ac:dyDescent="0.2">
      <c r="A28692" t="s">
        <v>45305</v>
      </c>
      <c r="B28692" t="s">
        <v>15664</v>
      </c>
      <c r="C28692" t="s">
        <v>146</v>
      </c>
      <c r="D28692" t="s">
        <v>14</v>
      </c>
      <c r="E28692" t="s">
        <v>219</v>
      </c>
      <c r="F28692" s="2" t="str">
        <f>HYPERLINK("http://www.otzar.org/book.asp?152495","סדור משכן אהרון (עם תרגום אנגלית)")</f>
        <v>סדור משכן אהרון (עם תרגום אנגלית)</v>
      </c>
    </row>
    <row r="28693" spans="1:6" x14ac:dyDescent="0.2">
      <c r="A28693" t="s">
        <v>45306</v>
      </c>
      <c r="B28693" t="s">
        <v>6876</v>
      </c>
      <c r="C28693" t="s">
        <v>1268</v>
      </c>
      <c r="D28693" t="s">
        <v>14</v>
      </c>
      <c r="E28693" t="s">
        <v>399</v>
      </c>
      <c r="F28693" s="2" t="str">
        <f>HYPERLINK("http://www.otzar.org/book.asp?152993","סדור נהר שלום &lt;כתב יד&gt; - 4 כר'")</f>
        <v>סדור נהר שלום &lt;כתב יד&gt; - 4 כר'</v>
      </c>
    </row>
    <row r="28694" spans="1:6" x14ac:dyDescent="0.2">
      <c r="A28694" t="s">
        <v>45307</v>
      </c>
      <c r="B28694" t="s">
        <v>45308</v>
      </c>
      <c r="C28694" t="s">
        <v>20</v>
      </c>
      <c r="D28694" t="s">
        <v>52</v>
      </c>
      <c r="E28694" t="s">
        <v>219</v>
      </c>
      <c r="F28694" s="2" t="str">
        <f>HYPERLINK("http://www.otzar.org/book.asp?148771","סדור עבודת תמיד")</f>
        <v>סדור עבודת תמיד</v>
      </c>
    </row>
    <row r="28695" spans="1:6" x14ac:dyDescent="0.2">
      <c r="A28695" t="s">
        <v>45309</v>
      </c>
      <c r="B28695" t="s">
        <v>45310</v>
      </c>
      <c r="C28695" t="s">
        <v>427</v>
      </c>
      <c r="D28695" t="s">
        <v>14</v>
      </c>
      <c r="F28695" s="2" t="str">
        <f>HYPERLINK("http://www.otzar.org/book.asp?164039","סדור על כנפי הנפש (עם תרגום הונגרי)")</f>
        <v>סדור על כנפי הנפש (עם תרגום הונגרי)</v>
      </c>
    </row>
    <row r="28696" spans="1:6" x14ac:dyDescent="0.2">
      <c r="A28696" t="s">
        <v>45311</v>
      </c>
      <c r="B28696" t="s">
        <v>45312</v>
      </c>
      <c r="C28696" t="s">
        <v>422</v>
      </c>
      <c r="D28696" t="s">
        <v>5421</v>
      </c>
      <c r="E28696" t="s">
        <v>219</v>
      </c>
      <c r="F28696" s="2" t="str">
        <f>HYPERLINK("http://www.otzar.org/book.asp?150179","סדור שיח ירושלים &lt;תכלאל מהדורת ר""י קאפח&gt; - 6 כר'")</f>
        <v>סדור שיח ירושלים &lt;תכלאל מהדורת ר"י קאפח&gt; - 6 כר'</v>
      </c>
    </row>
    <row r="28697" spans="1:6" x14ac:dyDescent="0.2">
      <c r="A28697" t="s">
        <v>45313</v>
      </c>
      <c r="B28697" t="s">
        <v>42212</v>
      </c>
      <c r="C28697" t="s">
        <v>237</v>
      </c>
      <c r="D28697" t="s">
        <v>14</v>
      </c>
      <c r="F28697" s="2" t="str">
        <f>HYPERLINK("http://www.otzar.org/book.asp?616448","סדור שירה חדשה")</f>
        <v>סדור שירה חדשה</v>
      </c>
    </row>
    <row r="28698" spans="1:6" x14ac:dyDescent="0.2">
      <c r="A28698" t="s">
        <v>45314</v>
      </c>
      <c r="B28698" t="s">
        <v>45315</v>
      </c>
      <c r="C28698" t="s">
        <v>5140</v>
      </c>
      <c r="D28698" t="s">
        <v>6801</v>
      </c>
      <c r="E28698" t="s">
        <v>219</v>
      </c>
      <c r="F28698" s="2" t="str">
        <f>HYPERLINK("http://www.otzar.org/book.asp?153947","סדור שפת אמת")</f>
        <v>סדור שפת אמת</v>
      </c>
    </row>
    <row r="28699" spans="1:6" x14ac:dyDescent="0.2">
      <c r="A28699" t="s">
        <v>45316</v>
      </c>
      <c r="B28699" t="s">
        <v>4090</v>
      </c>
      <c r="C28699" t="s">
        <v>422</v>
      </c>
      <c r="D28699" t="s">
        <v>52</v>
      </c>
      <c r="E28699" t="s">
        <v>219</v>
      </c>
      <c r="F28699" s="2" t="str">
        <f>HYPERLINK("http://www.otzar.org/book.asp?168374","סדור תפילה &lt;מנחת יהודה&gt; - 4 כר'")</f>
        <v>סדור תפילה &lt;מנחת יהודה&gt; - 4 כר'</v>
      </c>
    </row>
    <row r="28700" spans="1:6" x14ac:dyDescent="0.2">
      <c r="A28700" t="s">
        <v>45317</v>
      </c>
      <c r="B28700" t="s">
        <v>45318</v>
      </c>
      <c r="C28700" t="s">
        <v>124</v>
      </c>
      <c r="D28700" t="s">
        <v>21</v>
      </c>
      <c r="E28700" t="s">
        <v>219</v>
      </c>
      <c r="F28700" s="2" t="str">
        <f>HYPERLINK("http://www.otzar.org/book.asp?196167","סדור תפילה ליום השבת עולת שבת")</f>
        <v>סדור תפילה ליום השבת עולת שבת</v>
      </c>
    </row>
    <row r="28701" spans="1:6" x14ac:dyDescent="0.2">
      <c r="A28701" t="s">
        <v>45319</v>
      </c>
      <c r="B28701" t="s">
        <v>45287</v>
      </c>
      <c r="C28701" t="s">
        <v>37</v>
      </c>
      <c r="D28701" t="s">
        <v>21</v>
      </c>
      <c r="E28701" t="s">
        <v>219</v>
      </c>
      <c r="F28701" s="2" t="str">
        <f>HYPERLINK("http://www.otzar.org/book.asp?602089","סדור תפילה קול אליהו  עם פסקי הגר""מ אליהו")</f>
        <v>סדור תפילה קול אליהו  עם פסקי הגר"מ אליהו</v>
      </c>
    </row>
    <row r="28702" spans="1:6" x14ac:dyDescent="0.2">
      <c r="A28702" t="s">
        <v>45320</v>
      </c>
      <c r="B28702" t="s">
        <v>45287</v>
      </c>
      <c r="C28702" t="s">
        <v>20</v>
      </c>
      <c r="D28702" t="s">
        <v>21</v>
      </c>
      <c r="E28702" t="s">
        <v>219</v>
      </c>
      <c r="F28702" s="2" t="str">
        <f>HYPERLINK("http://www.otzar.org/book.asp?602070","סדור תפילה קול יעקב עם פסקי הגר""מ אליהו")</f>
        <v>סדור תפילה קול יעקב עם פסקי הגר"מ אליהו</v>
      </c>
    </row>
    <row r="28703" spans="1:6" x14ac:dyDescent="0.2">
      <c r="A28703" t="s">
        <v>45321</v>
      </c>
      <c r="B28703" t="s">
        <v>21684</v>
      </c>
      <c r="C28703" t="s">
        <v>23</v>
      </c>
      <c r="D28703" t="s">
        <v>52</v>
      </c>
      <c r="E28703" t="s">
        <v>219</v>
      </c>
      <c r="F28703" s="2" t="str">
        <f>HYPERLINK("http://www.otzar.org/book.asp?626044","סדור תפילת השבים")</f>
        <v>סדור תפילת השבים</v>
      </c>
    </row>
    <row r="28704" spans="1:6" x14ac:dyDescent="0.2">
      <c r="A28704" t="s">
        <v>45322</v>
      </c>
      <c r="B28704" t="s">
        <v>45323</v>
      </c>
      <c r="C28704" t="s">
        <v>2132</v>
      </c>
      <c r="D28704" t="s">
        <v>412</v>
      </c>
      <c r="F28704" s="2" t="str">
        <f>HYPERLINK("http://www.otzar.org/book.asp?603252","סדור תפילת יונה ע""פ יסוד ושורש העבודה")</f>
        <v>סדור תפילת יונה ע"פ יסוד ושורש העבודה</v>
      </c>
    </row>
    <row r="28705" spans="1:6" x14ac:dyDescent="0.2">
      <c r="A28705" t="s">
        <v>45324</v>
      </c>
      <c r="B28705" t="s">
        <v>45325</v>
      </c>
      <c r="C28705" t="s">
        <v>989</v>
      </c>
      <c r="D28705" t="s">
        <v>14</v>
      </c>
      <c r="E28705" t="s">
        <v>1626</v>
      </c>
      <c r="F28705" s="2" t="str">
        <f>HYPERLINK("http://www.otzar.org/book.asp?64338","סדור תפילת כל פה &lt;תכלאל בלדי&gt; - 3 כר'")</f>
        <v>סדור תפילת כל פה &lt;תכלאל בלדי&gt; - 3 כר'</v>
      </c>
    </row>
    <row r="28706" spans="1:6" x14ac:dyDescent="0.2">
      <c r="A28706" t="s">
        <v>45326</v>
      </c>
      <c r="B28706" t="s">
        <v>39607</v>
      </c>
      <c r="C28706" t="s">
        <v>114</v>
      </c>
      <c r="D28706" t="s">
        <v>14</v>
      </c>
      <c r="E28706" t="s">
        <v>219</v>
      </c>
      <c r="F28706" s="2" t="str">
        <f>HYPERLINK("http://www.otzar.org/book.asp?182624","סדור תפילת רש""י")</f>
        <v>סדור תפילת רש"י</v>
      </c>
    </row>
    <row r="28707" spans="1:6" x14ac:dyDescent="0.2">
      <c r="A28707" t="s">
        <v>45327</v>
      </c>
      <c r="B28707" t="s">
        <v>45328</v>
      </c>
      <c r="C28707" t="s">
        <v>1169</v>
      </c>
      <c r="D28707" t="s">
        <v>45329</v>
      </c>
      <c r="E28707" t="s">
        <v>219</v>
      </c>
      <c r="F28707" s="2" t="str">
        <f>HYPERLINK("http://www.otzar.org/book.asp?196632","סדור תפלה (מנהג איטאליאני)")</f>
        <v>סדור תפלה (מנהג איטאליאני)</v>
      </c>
    </row>
    <row r="28708" spans="1:6" x14ac:dyDescent="0.2">
      <c r="A28708" t="s">
        <v>45330</v>
      </c>
      <c r="B28708" t="s">
        <v>45331</v>
      </c>
      <c r="C28708" t="s">
        <v>11172</v>
      </c>
      <c r="D28708" t="s">
        <v>280</v>
      </c>
      <c r="F28708" s="2" t="str">
        <f>HYPERLINK("http://www.otzar.org/book.asp?170136","סדור תפלה דרך שיח השדה")</f>
        <v>סדור תפלה דרך שיח השדה</v>
      </c>
    </row>
    <row r="28709" spans="1:6" x14ac:dyDescent="0.2">
      <c r="A28709" t="s">
        <v>45332</v>
      </c>
      <c r="B28709" t="s">
        <v>45333</v>
      </c>
      <c r="C28709" t="s">
        <v>843</v>
      </c>
      <c r="D28709" t="s">
        <v>27</v>
      </c>
      <c r="E28709" t="s">
        <v>219</v>
      </c>
      <c r="F28709" s="2" t="str">
        <f>HYPERLINK("http://www.otzar.org/book.asp?176979","סדור תפלה השלם &lt;אור הישר - וראה ישר&gt;")</f>
        <v>סדור תפלה השלם &lt;אור הישר - וראה ישר&gt;</v>
      </c>
    </row>
    <row r="28710" spans="1:6" x14ac:dyDescent="0.2">
      <c r="A28710" t="s">
        <v>45334</v>
      </c>
      <c r="B28710" t="s">
        <v>123</v>
      </c>
      <c r="C28710" t="s">
        <v>1619</v>
      </c>
      <c r="D28710" t="s">
        <v>14</v>
      </c>
      <c r="E28710" t="s">
        <v>219</v>
      </c>
      <c r="F28710" s="2" t="str">
        <f>HYPERLINK("http://www.otzar.org/book.asp?145179","סדור תפלה למשה")</f>
        <v>סדור תפלה למשה</v>
      </c>
    </row>
    <row r="28711" spans="1:6" x14ac:dyDescent="0.2">
      <c r="A28711" t="s">
        <v>45335</v>
      </c>
      <c r="B28711" t="s">
        <v>45336</v>
      </c>
      <c r="C28711" t="s">
        <v>45337</v>
      </c>
      <c r="D28711" t="s">
        <v>27</v>
      </c>
      <c r="E28711" t="s">
        <v>219</v>
      </c>
      <c r="F28711" s="2" t="str">
        <f>HYPERLINK("http://www.otzar.org/book.asp?159550","סדור תפלה משאת בנימין עם תרגום פרסית")</f>
        <v>סדור תפלה משאת בנימין עם תרגום פרסית</v>
      </c>
    </row>
    <row r="28712" spans="1:6" x14ac:dyDescent="0.2">
      <c r="A28712" t="s">
        <v>45338</v>
      </c>
      <c r="B28712" t="s">
        <v>45339</v>
      </c>
      <c r="C28712" t="s">
        <v>462</v>
      </c>
      <c r="D28712" t="s">
        <v>27</v>
      </c>
      <c r="E28712" t="s">
        <v>219</v>
      </c>
      <c r="F28712" s="2" t="str">
        <f>HYPERLINK("http://www.otzar.org/book.asp?189166","סדור תפלה עבודת התמיד")</f>
        <v>סדור תפלה עבודת התמיד</v>
      </c>
    </row>
    <row r="28713" spans="1:6" x14ac:dyDescent="0.2">
      <c r="A28713" t="s">
        <v>45340</v>
      </c>
      <c r="B28713" t="s">
        <v>6080</v>
      </c>
      <c r="C28713" t="s">
        <v>20</v>
      </c>
      <c r="D28713" t="s">
        <v>14</v>
      </c>
      <c r="E28713" t="s">
        <v>219</v>
      </c>
      <c r="F28713" s="2" t="str">
        <f>HYPERLINK("http://www.otzar.org/book.asp?163863","סדור תפלה שפתי רננות")</f>
        <v>סדור תפלה שפתי רננות</v>
      </c>
    </row>
    <row r="28714" spans="1:6" x14ac:dyDescent="0.2">
      <c r="A28714" t="s">
        <v>45341</v>
      </c>
      <c r="B28714" t="s">
        <v>45342</v>
      </c>
      <c r="C28714" t="s">
        <v>45343</v>
      </c>
      <c r="D28714" t="s">
        <v>5133</v>
      </c>
      <c r="F28714" s="2" t="str">
        <f>HYPERLINK("http://www.otzar.org/book.asp?164915","סדור תפלה")</f>
        <v>סדור תפלה</v>
      </c>
    </row>
    <row r="28715" spans="1:6" x14ac:dyDescent="0.2">
      <c r="A28715" t="s">
        <v>45344</v>
      </c>
      <c r="B28715" t="s">
        <v>45345</v>
      </c>
      <c r="C28715" t="s">
        <v>22883</v>
      </c>
      <c r="D28715" t="s">
        <v>49</v>
      </c>
      <c r="F28715" s="2" t="str">
        <f>HYPERLINK("http://www.otzar.org/book.asp?164873","סדור תפלות השנה למנהג קהלות רומניא")</f>
        <v>סדור תפלות השנה למנהג קהלות רומניא</v>
      </c>
    </row>
    <row r="28716" spans="1:6" x14ac:dyDescent="0.2">
      <c r="A28716" t="s">
        <v>45346</v>
      </c>
      <c r="B28716" t="s">
        <v>45347</v>
      </c>
      <c r="C28716" t="s">
        <v>10907</v>
      </c>
      <c r="D28716" t="s">
        <v>32637</v>
      </c>
      <c r="F28716" s="2" t="str">
        <f>HYPERLINK("http://www.otzar.org/book.asp?170314","סדור תפלות כמנהג האשכנזים")</f>
        <v>סדור תפלות כמנהג האשכנזים</v>
      </c>
    </row>
    <row r="28717" spans="1:6" x14ac:dyDescent="0.2">
      <c r="A28717" t="s">
        <v>45348</v>
      </c>
      <c r="B28717" t="s">
        <v>45349</v>
      </c>
      <c r="C28717" t="s">
        <v>356</v>
      </c>
      <c r="D28717" t="s">
        <v>52</v>
      </c>
      <c r="F28717" s="2" t="str">
        <f>HYPERLINK("http://www.otzar.org/book.asp?617567","סדור תפלות לערב שבת וליל שבת קודש")</f>
        <v>סדור תפלות לערב שבת וליל שבת קודש</v>
      </c>
    </row>
    <row r="28718" spans="1:6" x14ac:dyDescent="0.2">
      <c r="A28718" t="s">
        <v>45350</v>
      </c>
      <c r="B28718" t="s">
        <v>45351</v>
      </c>
      <c r="C28718">
        <v>1925</v>
      </c>
      <c r="D28718" t="s">
        <v>412</v>
      </c>
      <c r="E28718" t="s">
        <v>219</v>
      </c>
      <c r="F28718" s="2" t="str">
        <f>HYPERLINK("http://www.otzar.org/book.asp?626316","סדור תפלות לשבת ויום טוב")</f>
        <v>סדור תפלות לשבת ויום טוב</v>
      </c>
    </row>
    <row r="28719" spans="1:6" x14ac:dyDescent="0.2">
      <c r="A28719" t="s">
        <v>45352</v>
      </c>
      <c r="B28719" t="s">
        <v>45353</v>
      </c>
      <c r="C28719" t="s">
        <v>33</v>
      </c>
      <c r="D28719" t="s">
        <v>340</v>
      </c>
      <c r="E28719" t="s">
        <v>219</v>
      </c>
      <c r="F28719" s="2" t="str">
        <f>HYPERLINK("http://www.otzar.org/book.asp?147352","סדור תפלות")</f>
        <v>סדור תפלות</v>
      </c>
    </row>
    <row r="28720" spans="1:6" x14ac:dyDescent="0.2">
      <c r="A28720" t="s">
        <v>45354</v>
      </c>
      <c r="B28720" t="s">
        <v>45355</v>
      </c>
      <c r="C28720" t="s">
        <v>332</v>
      </c>
      <c r="D28720" t="s">
        <v>52</v>
      </c>
      <c r="F28720" s="2" t="str">
        <f>HYPERLINK("http://www.otzar.org/book.asp?617176","סדור תפלת אליהו - נוסח הגר""א")</f>
        <v>סדור תפלת אליהו - נוסח הגר"א</v>
      </c>
    </row>
    <row r="28721" spans="1:6" x14ac:dyDescent="0.2">
      <c r="A28721" t="s">
        <v>45356</v>
      </c>
      <c r="B28721" t="s">
        <v>36651</v>
      </c>
      <c r="C28721" t="s">
        <v>422</v>
      </c>
      <c r="D28721" t="s">
        <v>18543</v>
      </c>
      <c r="E28721" t="s">
        <v>219</v>
      </c>
      <c r="F28721" s="2" t="str">
        <f>HYPERLINK("http://www.otzar.org/book.asp?602995","סדור תפלת החדש &lt;מהדורת ארץ ישראל&gt;")</f>
        <v>סדור תפלת החדש &lt;מהדורת ארץ ישראל&gt;</v>
      </c>
    </row>
    <row r="28722" spans="1:6" x14ac:dyDescent="0.2">
      <c r="A28722" t="s">
        <v>45357</v>
      </c>
      <c r="B28722" t="s">
        <v>45358</v>
      </c>
      <c r="C28722" t="s">
        <v>176</v>
      </c>
      <c r="D28722" t="s">
        <v>14</v>
      </c>
      <c r="E28722" t="s">
        <v>219</v>
      </c>
      <c r="F28722" s="2" t="str">
        <f>HYPERLINK("http://www.otzar.org/book.asp?144239","סדור תפלת יוסף")</f>
        <v>סדור תפלת יוסף</v>
      </c>
    </row>
    <row r="28723" spans="1:6" x14ac:dyDescent="0.2">
      <c r="A28723" t="s">
        <v>45359</v>
      </c>
      <c r="B28723" t="s">
        <v>45360</v>
      </c>
      <c r="C28723" t="s">
        <v>356</v>
      </c>
      <c r="D28723" t="s">
        <v>14</v>
      </c>
      <c r="E28723" t="s">
        <v>1626</v>
      </c>
      <c r="F28723" s="2" t="str">
        <f>HYPERLINK("http://www.otzar.org/book.asp?618114","סדור תפלת כל פה - ג")</f>
        <v>סדור תפלת כל פה - ג</v>
      </c>
    </row>
    <row r="28724" spans="1:6" x14ac:dyDescent="0.2">
      <c r="A28724" t="s">
        <v>45361</v>
      </c>
      <c r="B28724" t="s">
        <v>15664</v>
      </c>
      <c r="C28724" t="s">
        <v>143</v>
      </c>
      <c r="D28724" t="s">
        <v>14</v>
      </c>
      <c r="E28724" t="s">
        <v>219</v>
      </c>
      <c r="F28724" s="2" t="str">
        <f>HYPERLINK("http://www.otzar.org/book.asp?152493","סדור תקרב רנתי (עם תרגום ספרדית)")</f>
        <v>סדור תקרב רנתי (עם תרגום ספרדית)</v>
      </c>
    </row>
    <row r="28725" spans="1:6" x14ac:dyDescent="0.2">
      <c r="A28725" t="s">
        <v>45362</v>
      </c>
      <c r="B28725" t="s">
        <v>3402</v>
      </c>
      <c r="C28725" t="s">
        <v>17</v>
      </c>
      <c r="E28725" t="s">
        <v>144</v>
      </c>
      <c r="F28725" s="2" t="str">
        <f>HYPERLINK("http://www.otzar.org/book.asp?52800","סדורה משנתו - 6 כר'")</f>
        <v>סדורה משנתו - 6 כר'</v>
      </c>
    </row>
    <row r="28726" spans="1:6" x14ac:dyDescent="0.2">
      <c r="A28726" t="s">
        <v>45363</v>
      </c>
      <c r="B28726" t="s">
        <v>305</v>
      </c>
      <c r="C28726" t="s">
        <v>1885</v>
      </c>
      <c r="D28726" t="s">
        <v>9484</v>
      </c>
      <c r="E28726" t="s">
        <v>219</v>
      </c>
      <c r="F28726" s="2" t="str">
        <f>HYPERLINK("http://www.otzar.org/book.asp?154847","סדר אור זרוע, דרך החיים, יריעות שלמה עם נהורא השלם - 2 כר'")</f>
        <v>סדר אור זרוע, דרך החיים, יריעות שלמה עם נהורא השלם - 2 כר'</v>
      </c>
    </row>
    <row r="28727" spans="1:6" x14ac:dyDescent="0.2">
      <c r="A28727" t="s">
        <v>45364</v>
      </c>
      <c r="B28727" t="s">
        <v>45365</v>
      </c>
      <c r="C28727" t="s">
        <v>492</v>
      </c>
      <c r="D28727" t="s">
        <v>283</v>
      </c>
      <c r="E28727" t="s">
        <v>4486</v>
      </c>
      <c r="F28727" s="2" t="str">
        <f>HYPERLINK("http://www.otzar.org/book.asp?107102","סדר אושפיזין")</f>
        <v>סדר אושפיזין</v>
      </c>
    </row>
    <row r="28728" spans="1:6" x14ac:dyDescent="0.2">
      <c r="A28728" t="s">
        <v>45366</v>
      </c>
      <c r="B28728" t="s">
        <v>33181</v>
      </c>
      <c r="C28728" t="s">
        <v>20</v>
      </c>
      <c r="D28728" t="s">
        <v>90</v>
      </c>
      <c r="E28728" t="s">
        <v>219</v>
      </c>
      <c r="F28728" s="2" t="str">
        <f>HYPERLINK("http://www.otzar.org/book.asp?190756","סדר אירוסין ונישואין עם פירוש שפת אמת וליקוטי יהודה")</f>
        <v>סדר אירוסין ונישואין עם פירוש שפת אמת וליקוטי יהודה</v>
      </c>
    </row>
    <row r="28729" spans="1:6" x14ac:dyDescent="0.2">
      <c r="A28729" t="s">
        <v>45367</v>
      </c>
      <c r="B28729" t="s">
        <v>45368</v>
      </c>
      <c r="C28729" t="s">
        <v>4538</v>
      </c>
      <c r="D28729" t="s">
        <v>4288</v>
      </c>
      <c r="E28729" t="s">
        <v>84</v>
      </c>
      <c r="F28729" s="2" t="str">
        <f>HYPERLINK("http://www.otzar.org/book.asp?51247","סדר אליהו זוטא")</f>
        <v>סדר אליהו זוטא</v>
      </c>
    </row>
    <row r="28730" spans="1:6" x14ac:dyDescent="0.2">
      <c r="A28730" t="s">
        <v>45369</v>
      </c>
      <c r="B28730" t="s">
        <v>22714</v>
      </c>
      <c r="C28730" t="s">
        <v>124</v>
      </c>
      <c r="D28730" t="s">
        <v>14</v>
      </c>
      <c r="E28730" t="s">
        <v>14466</v>
      </c>
      <c r="F28730" s="2" t="str">
        <f>HYPERLINK("http://www.otzar.org/book.asp?84104","סדר אליהו זוטא - 3 כר'")</f>
        <v>סדר אליהו זוטא - 3 כר'</v>
      </c>
    </row>
    <row r="28731" spans="1:6" x14ac:dyDescent="0.2">
      <c r="A28731" t="s">
        <v>45370</v>
      </c>
      <c r="B28731" t="s">
        <v>37759</v>
      </c>
      <c r="C28731" t="s">
        <v>96</v>
      </c>
      <c r="D28731" t="s">
        <v>1490</v>
      </c>
      <c r="E28731" t="s">
        <v>345</v>
      </c>
      <c r="F28731" s="2" t="str">
        <f>HYPERLINK("http://www.otzar.org/book.asp?8196","סדר אליהו רבה וזוטא")</f>
        <v>סדר אליהו רבה וזוטא</v>
      </c>
    </row>
    <row r="28732" spans="1:6" x14ac:dyDescent="0.2">
      <c r="A28732" t="s">
        <v>45371</v>
      </c>
      <c r="B28732" t="s">
        <v>45372</v>
      </c>
      <c r="C28732" t="s">
        <v>492</v>
      </c>
      <c r="D28732" t="s">
        <v>2373</v>
      </c>
      <c r="E28732" t="s">
        <v>43</v>
      </c>
      <c r="F28732" s="2" t="str">
        <f>HYPERLINK("http://www.otzar.org/book.asp?166404","סדר אליהו רבה וסדר אליהו זוטא - 2 כר'")</f>
        <v>סדר אליהו רבה וסדר אליהו זוטא - 2 כר'</v>
      </c>
    </row>
    <row r="28733" spans="1:6" x14ac:dyDescent="0.2">
      <c r="A28733" t="s">
        <v>45373</v>
      </c>
      <c r="B28733" t="s">
        <v>14311</v>
      </c>
      <c r="C28733" t="s">
        <v>619</v>
      </c>
      <c r="D28733" t="s">
        <v>307</v>
      </c>
      <c r="E28733" t="s">
        <v>172</v>
      </c>
      <c r="F28733" s="2" t="str">
        <f>HYPERLINK("http://www.otzar.org/book.asp?298","סדר אליהו - א")</f>
        <v>סדר אליהו - א</v>
      </c>
    </row>
    <row r="28734" spans="1:6" x14ac:dyDescent="0.2">
      <c r="A28734" t="s">
        <v>45374</v>
      </c>
      <c r="B28734" t="s">
        <v>45375</v>
      </c>
      <c r="C28734" t="s">
        <v>5826</v>
      </c>
      <c r="D28734" t="s">
        <v>76</v>
      </c>
      <c r="E28734" t="s">
        <v>158</v>
      </c>
      <c r="F28734" s="2" t="str">
        <f>HYPERLINK("http://www.otzar.org/book.asp?84987","סדר אליהו")</f>
        <v>סדר אליהו</v>
      </c>
    </row>
    <row r="28735" spans="1:6" x14ac:dyDescent="0.2">
      <c r="A28735" t="s">
        <v>45376</v>
      </c>
      <c r="B28735" t="s">
        <v>1821</v>
      </c>
      <c r="C28735" t="s">
        <v>445</v>
      </c>
      <c r="D28735" t="s">
        <v>27</v>
      </c>
      <c r="E28735" t="s">
        <v>1517</v>
      </c>
      <c r="F28735" s="2" t="str">
        <f>HYPERLINK("http://www.otzar.org/book.asp?161592","סדר אמירת קרבן פסח")</f>
        <v>סדר אמירת קרבן פסח</v>
      </c>
    </row>
    <row r="28736" spans="1:6" x14ac:dyDescent="0.2">
      <c r="A28736" t="s">
        <v>45377</v>
      </c>
      <c r="B28736" t="s">
        <v>7393</v>
      </c>
      <c r="C28736" t="s">
        <v>20</v>
      </c>
      <c r="D28736" t="s">
        <v>90</v>
      </c>
      <c r="E28736" t="s">
        <v>1517</v>
      </c>
      <c r="F28736" s="2" t="str">
        <f>HYPERLINK("http://www.otzar.org/book.asp?168942","סדר אקדמות וארכין")</f>
        <v>סדר אקדמות וארכין</v>
      </c>
    </row>
    <row r="28737" spans="1:6" x14ac:dyDescent="0.2">
      <c r="A28737" t="s">
        <v>45378</v>
      </c>
      <c r="B28737" t="s">
        <v>45379</v>
      </c>
      <c r="C28737" t="s">
        <v>31771</v>
      </c>
      <c r="D28737" t="s">
        <v>49</v>
      </c>
      <c r="F28737" s="2" t="str">
        <f>HYPERLINK("http://www.otzar.org/book.asp?611765","סדר ארבע תעניות - 2 כר'")</f>
        <v>סדר ארבע תעניות - 2 כר'</v>
      </c>
    </row>
    <row r="28738" spans="1:6" x14ac:dyDescent="0.2">
      <c r="A28738" t="s">
        <v>45380</v>
      </c>
      <c r="B28738" t="s">
        <v>45381</v>
      </c>
      <c r="C28738" t="s">
        <v>4198</v>
      </c>
      <c r="D28738" t="s">
        <v>1023</v>
      </c>
      <c r="E28738" t="s">
        <v>219</v>
      </c>
      <c r="F28738" s="2" t="str">
        <f>HYPERLINK("http://www.otzar.org/book.asp?182096","סדר ארבע תעניות")</f>
        <v>סדר ארבע תעניות</v>
      </c>
    </row>
    <row r="28739" spans="1:6" x14ac:dyDescent="0.2">
      <c r="A28739" t="s">
        <v>45380</v>
      </c>
      <c r="B28739" t="s">
        <v>45382</v>
      </c>
      <c r="C28739" t="s">
        <v>163</v>
      </c>
      <c r="D28739" t="s">
        <v>1660</v>
      </c>
      <c r="E28739" t="s">
        <v>219</v>
      </c>
      <c r="F28739" s="2" t="str">
        <f>HYPERLINK("http://www.otzar.org/book.asp?179450","סדר ארבע תעניות")</f>
        <v>סדר ארבע תעניות</v>
      </c>
    </row>
    <row r="28740" spans="1:6" x14ac:dyDescent="0.2">
      <c r="A28740" t="s">
        <v>45383</v>
      </c>
      <c r="B28740" t="s">
        <v>45384</v>
      </c>
      <c r="C28740" t="s">
        <v>1335</v>
      </c>
      <c r="D28740" t="s">
        <v>8492</v>
      </c>
      <c r="E28740" t="s">
        <v>1517</v>
      </c>
      <c r="F28740" s="2" t="str">
        <f>HYPERLINK("http://www.otzar.org/book.asp?153752","סדר ארבע תענית כמנהג ספרדים")</f>
        <v>סדר ארבע תענית כמנהג ספרדים</v>
      </c>
    </row>
    <row r="28741" spans="1:6" x14ac:dyDescent="0.2">
      <c r="A28741" t="s">
        <v>45385</v>
      </c>
      <c r="B28741" t="s">
        <v>45386</v>
      </c>
      <c r="C28741" t="s">
        <v>775</v>
      </c>
      <c r="D28741" t="s">
        <v>52</v>
      </c>
      <c r="E28741" t="s">
        <v>674</v>
      </c>
      <c r="F28741" s="2" t="str">
        <f>HYPERLINK("http://www.otzar.org/book.asp?8220","סדר ארוסין ונשואין")</f>
        <v>סדר ארוסין ונשואין</v>
      </c>
    </row>
    <row r="28742" spans="1:6" x14ac:dyDescent="0.2">
      <c r="A28742" t="s">
        <v>45387</v>
      </c>
      <c r="B28742" t="s">
        <v>45388</v>
      </c>
      <c r="C28742" t="s">
        <v>13</v>
      </c>
      <c r="D28742" t="s">
        <v>90</v>
      </c>
      <c r="E28742" t="s">
        <v>1626</v>
      </c>
      <c r="F28742" s="2" t="str">
        <f>HYPERLINK("http://www.otzar.org/book.asp?64341","סדר אשמורות &lt;מנהג ביצ'א&gt;")</f>
        <v>סדר אשמורות &lt;מנהג ביצ'א&gt;</v>
      </c>
    </row>
    <row r="28743" spans="1:6" x14ac:dyDescent="0.2">
      <c r="A28743" t="s">
        <v>45389</v>
      </c>
      <c r="B28743" t="s">
        <v>39707</v>
      </c>
      <c r="C28743" t="s">
        <v>45390</v>
      </c>
      <c r="D28743" t="s">
        <v>5528</v>
      </c>
      <c r="E28743" t="s">
        <v>219</v>
      </c>
      <c r="F28743" s="2" t="str">
        <f>HYPERLINK("http://www.otzar.org/book.asp?618522","סדר אשמורת הבוקר")</f>
        <v>סדר אשמורת הבוקר</v>
      </c>
    </row>
    <row r="28744" spans="1:6" x14ac:dyDescent="0.2">
      <c r="A28744" t="s">
        <v>45391</v>
      </c>
      <c r="B28744" t="s">
        <v>45392</v>
      </c>
      <c r="C28744" t="s">
        <v>71</v>
      </c>
      <c r="D28744" t="s">
        <v>80</v>
      </c>
      <c r="E28744" t="s">
        <v>130</v>
      </c>
      <c r="F28744" s="2" t="str">
        <f>HYPERLINK("http://www.otzar.org/book.asp?604392","סדר ברכות המגילה עם פסקי הלכות")</f>
        <v>סדר ברכות המגילה עם פסקי הלכות</v>
      </c>
    </row>
    <row r="28745" spans="1:6" x14ac:dyDescent="0.2">
      <c r="A28745" t="s">
        <v>45393</v>
      </c>
      <c r="B28745" t="s">
        <v>45394</v>
      </c>
      <c r="C28745" t="s">
        <v>71</v>
      </c>
      <c r="D28745" t="s">
        <v>14</v>
      </c>
      <c r="E28745" t="s">
        <v>803</v>
      </c>
      <c r="F28745" s="2" t="str">
        <f>HYPERLINK("http://www.otzar.org/book.asp?50735","סדר ברכות השחר")</f>
        <v>סדר ברכות השחר</v>
      </c>
    </row>
    <row r="28746" spans="1:6" x14ac:dyDescent="0.2">
      <c r="A28746" t="s">
        <v>45395</v>
      </c>
      <c r="B28746" t="s">
        <v>45396</v>
      </c>
      <c r="C28746" t="s">
        <v>68</v>
      </c>
      <c r="D28746" t="s">
        <v>14</v>
      </c>
      <c r="E28746" t="s">
        <v>15</v>
      </c>
      <c r="F28746" s="2" t="str">
        <f>HYPERLINK("http://www.otzar.org/book.asp?160115","סדר ברכות - 2 כר'")</f>
        <v>סדר ברכות - 2 כר'</v>
      </c>
    </row>
    <row r="28747" spans="1:6" x14ac:dyDescent="0.2">
      <c r="A28747" t="s">
        <v>45395</v>
      </c>
      <c r="B28747" t="s">
        <v>45397</v>
      </c>
      <c r="C28747" t="s">
        <v>445</v>
      </c>
      <c r="D28747" t="s">
        <v>322</v>
      </c>
      <c r="E28747" t="s">
        <v>15</v>
      </c>
      <c r="F28747" s="2" t="str">
        <f>HYPERLINK("http://www.otzar.org/book.asp?975","סדר ברכות - 2 כר'")</f>
        <v>סדר ברכות - 2 כר'</v>
      </c>
    </row>
    <row r="28748" spans="1:6" x14ac:dyDescent="0.2">
      <c r="A28748" t="s">
        <v>45398</v>
      </c>
      <c r="B28748" t="s">
        <v>2688</v>
      </c>
      <c r="C28748" t="s">
        <v>422</v>
      </c>
      <c r="D28748" t="s">
        <v>412</v>
      </c>
      <c r="E28748" t="s">
        <v>24</v>
      </c>
      <c r="F28748" s="2" t="str">
        <f>HYPERLINK("http://www.otzar.org/book.asp?150895","סדר ברכת החמה &lt;עם שו""ת בסוגיא דברכת החמה&gt;")</f>
        <v>סדר ברכת החמה &lt;עם שו"ת בסוגיא דברכת החמה&gt;</v>
      </c>
    </row>
    <row r="28749" spans="1:6" x14ac:dyDescent="0.2">
      <c r="A28749" t="s">
        <v>45399</v>
      </c>
      <c r="B28749" t="s">
        <v>45400</v>
      </c>
      <c r="C28749" t="s">
        <v>1268</v>
      </c>
      <c r="D28749" t="s">
        <v>14</v>
      </c>
      <c r="E28749" t="s">
        <v>219</v>
      </c>
      <c r="F28749" s="2" t="str">
        <f>HYPERLINK("http://www.otzar.org/book.asp?151278","סדר ברכת החמה &lt;מכון הכתב&gt;")</f>
        <v>סדר ברכת החמה &lt;מכון הכתב&gt;</v>
      </c>
    </row>
    <row r="28750" spans="1:6" x14ac:dyDescent="0.2">
      <c r="A28750" t="s">
        <v>45401</v>
      </c>
      <c r="B28750" t="s">
        <v>155</v>
      </c>
      <c r="C28750" t="s">
        <v>422</v>
      </c>
      <c r="D28750" t="s">
        <v>14</v>
      </c>
      <c r="E28750" t="s">
        <v>24</v>
      </c>
      <c r="F28750" s="2" t="str">
        <f>HYPERLINK("http://www.otzar.org/book.asp?160993","סדר ברכת החמה (מתוך ספר עתרת החיים)")</f>
        <v>סדר ברכת החמה (מתוך ספר עתרת החיים)</v>
      </c>
    </row>
    <row r="28751" spans="1:6" x14ac:dyDescent="0.2">
      <c r="A28751" t="s">
        <v>45402</v>
      </c>
      <c r="B28751" t="s">
        <v>45402</v>
      </c>
      <c r="C28751" t="s">
        <v>422</v>
      </c>
      <c r="D28751" t="s">
        <v>2196</v>
      </c>
      <c r="E28751" t="s">
        <v>219</v>
      </c>
      <c r="F28751" s="2" t="str">
        <f>HYPERLINK("http://www.otzar.org/book.asp?162396","סדר ברכת החמה")</f>
        <v>סדר ברכת החמה</v>
      </c>
    </row>
    <row r="28752" spans="1:6" x14ac:dyDescent="0.2">
      <c r="A28752" t="s">
        <v>45403</v>
      </c>
      <c r="B28752" t="s">
        <v>45404</v>
      </c>
      <c r="C28752" t="s">
        <v>422</v>
      </c>
      <c r="D28752" t="s">
        <v>21</v>
      </c>
      <c r="F28752" s="2" t="str">
        <f>HYPERLINK("http://www.otzar.org/book.asp?603287","סדר ברכת החמה- פשט רמז סוד")</f>
        <v>סדר ברכת החמה- פשט רמז סוד</v>
      </c>
    </row>
    <row r="28753" spans="1:6" x14ac:dyDescent="0.2">
      <c r="A28753" t="s">
        <v>45402</v>
      </c>
      <c r="B28753" t="s">
        <v>45405</v>
      </c>
      <c r="C28753" t="s">
        <v>1058</v>
      </c>
      <c r="D28753" t="s">
        <v>6537</v>
      </c>
      <c r="F28753" s="2" t="str">
        <f>HYPERLINK("http://www.otzar.org/book.asp?170348","סדר ברכת החמה")</f>
        <v>סדר ברכת החמה</v>
      </c>
    </row>
    <row r="28754" spans="1:6" x14ac:dyDescent="0.2">
      <c r="A28754" t="s">
        <v>45406</v>
      </c>
      <c r="B28754" t="s">
        <v>12665</v>
      </c>
      <c r="C28754" t="s">
        <v>946</v>
      </c>
      <c r="D28754" t="s">
        <v>45407</v>
      </c>
      <c r="E28754" t="s">
        <v>219</v>
      </c>
      <c r="F28754" s="2" t="str">
        <f>HYPERLINK("http://www.otzar.org/book.asp?618519","סדר ברכת החמה - 2 כר'")</f>
        <v>סדר ברכת החמה - 2 כר'</v>
      </c>
    </row>
    <row r="28755" spans="1:6" x14ac:dyDescent="0.2">
      <c r="A28755" t="s">
        <v>45402</v>
      </c>
      <c r="B28755" t="s">
        <v>12354</v>
      </c>
      <c r="C28755" t="s">
        <v>433</v>
      </c>
      <c r="D28755" t="s">
        <v>14</v>
      </c>
      <c r="E28755" t="s">
        <v>219</v>
      </c>
      <c r="F28755" s="2" t="str">
        <f>HYPERLINK("http://www.otzar.org/book.asp?196321","סדר ברכת החמה")</f>
        <v>סדר ברכת החמה</v>
      </c>
    </row>
    <row r="28756" spans="1:6" x14ac:dyDescent="0.2">
      <c r="A28756" t="s">
        <v>45408</v>
      </c>
      <c r="B28756" t="s">
        <v>45409</v>
      </c>
      <c r="C28756" t="s">
        <v>114</v>
      </c>
      <c r="D28756" t="s">
        <v>1356</v>
      </c>
      <c r="E28756" t="s">
        <v>219</v>
      </c>
      <c r="F28756" s="2" t="str">
        <f>HYPERLINK("http://www.otzar.org/book.asp?166725","סדר ברכת המזון אוצרות השל""ה")</f>
        <v>סדר ברכת המזון אוצרות השל"ה</v>
      </c>
    </row>
    <row r="28757" spans="1:6" x14ac:dyDescent="0.2">
      <c r="A28757" t="s">
        <v>45410</v>
      </c>
      <c r="B28757" t="s">
        <v>45410</v>
      </c>
      <c r="C28757" t="s">
        <v>10572</v>
      </c>
      <c r="D28757" t="s">
        <v>2373</v>
      </c>
      <c r="E28757" t="s">
        <v>30704</v>
      </c>
      <c r="F28757" s="2" t="str">
        <f>HYPERLINK("http://www.otzar.org/book.asp?13295","סדר ברכת המזון ותי' קריאת שמע על המטה")</f>
        <v>סדר ברכת המזון ותי' קריאת שמע על המטה</v>
      </c>
    </row>
    <row r="28758" spans="1:6" x14ac:dyDescent="0.2">
      <c r="A28758" t="s">
        <v>45411</v>
      </c>
      <c r="B28758" t="s">
        <v>6829</v>
      </c>
      <c r="C28758" t="s">
        <v>624</v>
      </c>
      <c r="D28758" t="s">
        <v>14816</v>
      </c>
      <c r="E28758" t="s">
        <v>219</v>
      </c>
      <c r="F28758" s="2" t="str">
        <f>HYPERLINK("http://www.otzar.org/book.asp?180876","סדר ברכת המזון עם פירוש מה""ר נתן שפירא")</f>
        <v>סדר ברכת המזון עם פירוש מה"ר נתן שפירא</v>
      </c>
    </row>
    <row r="28759" spans="1:6" x14ac:dyDescent="0.2">
      <c r="A28759" t="s">
        <v>45412</v>
      </c>
      <c r="B28759" t="s">
        <v>45413</v>
      </c>
      <c r="C28759" t="s">
        <v>422</v>
      </c>
      <c r="D28759" t="s">
        <v>412</v>
      </c>
      <c r="E28759" t="s">
        <v>219</v>
      </c>
      <c r="F28759" s="2" t="str">
        <f>HYPERLINK("http://www.otzar.org/book.asp?151177","סדר ברכת קידוש החמה")</f>
        <v>סדר ברכת קידוש החמה</v>
      </c>
    </row>
    <row r="28760" spans="1:6" x14ac:dyDescent="0.2">
      <c r="A28760" t="s">
        <v>45414</v>
      </c>
      <c r="B28760" t="s">
        <v>12396</v>
      </c>
      <c r="C28760" t="s">
        <v>2617</v>
      </c>
      <c r="D28760" t="s">
        <v>56</v>
      </c>
      <c r="E28760" t="s">
        <v>15</v>
      </c>
      <c r="F28760" s="2" t="str">
        <f>HYPERLINK("http://www.otzar.org/book.asp?169706","סדר גיטין וחליצה")</f>
        <v>סדר גיטין וחליצה</v>
      </c>
    </row>
    <row r="28761" spans="1:6" x14ac:dyDescent="0.2">
      <c r="A28761" t="s">
        <v>45415</v>
      </c>
      <c r="B28761" t="s">
        <v>45416</v>
      </c>
      <c r="C28761" t="s">
        <v>45417</v>
      </c>
      <c r="D28761" t="s">
        <v>18409</v>
      </c>
      <c r="E28761" t="s">
        <v>119</v>
      </c>
      <c r="F28761" s="2" t="str">
        <f>HYPERLINK("http://www.otzar.org/book.asp?196595","סדר דורות ראשונים")</f>
        <v>סדר דורות ראשונים</v>
      </c>
    </row>
    <row r="28762" spans="1:6" x14ac:dyDescent="0.2">
      <c r="A28762" t="s">
        <v>45418</v>
      </c>
      <c r="B28762" t="s">
        <v>45419</v>
      </c>
      <c r="C28762" t="s">
        <v>1208</v>
      </c>
      <c r="D28762" t="s">
        <v>52</v>
      </c>
      <c r="E28762" t="s">
        <v>1626</v>
      </c>
      <c r="F28762" s="2" t="str">
        <f>HYPERLINK("http://www.otzar.org/book.asp?157494","סדר האשמורות")</f>
        <v>סדר האשמורות</v>
      </c>
    </row>
    <row r="28763" spans="1:6" x14ac:dyDescent="0.2">
      <c r="A28763" t="s">
        <v>45420</v>
      </c>
      <c r="B28763" t="s">
        <v>45421</v>
      </c>
      <c r="C28763" t="s">
        <v>550</v>
      </c>
      <c r="D28763" t="s">
        <v>1722</v>
      </c>
      <c r="E28763" t="s">
        <v>399</v>
      </c>
      <c r="F28763" s="2" t="str">
        <f>HYPERLINK("http://www.otzar.org/book.asp?618662","סדר הגדה וספירת העומד עם כונות האר""י")</f>
        <v>סדר הגדה וספירת העומד עם כונות האר"י</v>
      </c>
    </row>
    <row r="28764" spans="1:6" x14ac:dyDescent="0.2">
      <c r="A28764" t="s">
        <v>45422</v>
      </c>
      <c r="B28764" t="s">
        <v>3314</v>
      </c>
      <c r="C28764" t="s">
        <v>20</v>
      </c>
      <c r="D28764" t="s">
        <v>45423</v>
      </c>
      <c r="F28764" s="2" t="str">
        <f>HYPERLINK("http://www.otzar.org/book.asp?197297","סדר הגדה של פסח &lt;עם תרגום בערבית&gt;")</f>
        <v>סדר הגדה של פסח &lt;עם תרגום בערבית&gt;</v>
      </c>
    </row>
    <row r="28765" spans="1:6" x14ac:dyDescent="0.2">
      <c r="A28765" t="s">
        <v>45424</v>
      </c>
      <c r="B28765" t="s">
        <v>3314</v>
      </c>
      <c r="C28765" t="s">
        <v>2236</v>
      </c>
      <c r="D28765" t="s">
        <v>729</v>
      </c>
      <c r="E28765" t="s">
        <v>246</v>
      </c>
      <c r="F28765" s="2" t="str">
        <f>HYPERLINK("http://www.otzar.org/book.asp?159889","סדר הגדה של פסח (כתב יד) - 10 כר'")</f>
        <v>סדר הגדה של פסח (כתב יד) - 10 כר'</v>
      </c>
    </row>
    <row r="28766" spans="1:6" x14ac:dyDescent="0.2">
      <c r="A28766" t="s">
        <v>45425</v>
      </c>
      <c r="B28766" t="s">
        <v>45426</v>
      </c>
      <c r="C28766" t="s">
        <v>29803</v>
      </c>
      <c r="D28766" t="s">
        <v>744</v>
      </c>
      <c r="E28766" t="s">
        <v>246</v>
      </c>
      <c r="F28766" s="2" t="str">
        <f>HYPERLINK("http://www.otzar.org/book.asp?147189","סדר הגדות של פסח")</f>
        <v>סדר הגדות של פסח</v>
      </c>
    </row>
    <row r="28767" spans="1:6" x14ac:dyDescent="0.2">
      <c r="A28767" t="s">
        <v>45427</v>
      </c>
      <c r="B28767" t="s">
        <v>12396</v>
      </c>
      <c r="C28767" t="s">
        <v>533</v>
      </c>
      <c r="D28767" t="s">
        <v>14</v>
      </c>
      <c r="E28767" t="s">
        <v>3567</v>
      </c>
      <c r="F28767" s="2" t="str">
        <f>HYPERLINK("http://www.otzar.org/book.asp?8199","סדר הגט &lt;ברכת המים&gt;")</f>
        <v>סדר הגט &lt;ברכת המים&gt;</v>
      </c>
    </row>
    <row r="28768" spans="1:6" x14ac:dyDescent="0.2">
      <c r="A28768" t="s">
        <v>45428</v>
      </c>
      <c r="B28768" t="s">
        <v>31988</v>
      </c>
      <c r="C28768" t="s">
        <v>32681</v>
      </c>
      <c r="D28768" t="s">
        <v>1411</v>
      </c>
      <c r="E28768" t="s">
        <v>3567</v>
      </c>
      <c r="F28768" s="2" t="str">
        <f>HYPERLINK("http://www.otzar.org/book.asp?167191","סדר הגיטו")</f>
        <v>סדר הגיטו</v>
      </c>
    </row>
    <row r="28769" spans="1:6" x14ac:dyDescent="0.2">
      <c r="A28769" t="s">
        <v>45429</v>
      </c>
      <c r="B28769" t="s">
        <v>45430</v>
      </c>
      <c r="C28769" t="s">
        <v>45431</v>
      </c>
      <c r="D28769" t="s">
        <v>283</v>
      </c>
      <c r="E28769" t="s">
        <v>119</v>
      </c>
      <c r="F28769" s="2" t="str">
        <f>HYPERLINK("http://www.otzar.org/book.asp?169189","סדר הדורות &lt;מהדורת רנמ""ל&gt; - 2 כר'")</f>
        <v>סדר הדורות &lt;מהדורת רנמ"ל&gt; - 2 כר'</v>
      </c>
    </row>
    <row r="28770" spans="1:6" x14ac:dyDescent="0.2">
      <c r="A28770" t="s">
        <v>45432</v>
      </c>
      <c r="B28770" t="s">
        <v>23776</v>
      </c>
      <c r="C28770" t="s">
        <v>698</v>
      </c>
      <c r="D28770" t="s">
        <v>1966</v>
      </c>
      <c r="E28770" t="s">
        <v>140</v>
      </c>
      <c r="F28770" s="2" t="str">
        <f>HYPERLINK("http://www.otzar.org/book.asp?11932","סדר הדורות החדש")</f>
        <v>סדר הדורות החדש</v>
      </c>
    </row>
    <row r="28771" spans="1:6" x14ac:dyDescent="0.2">
      <c r="A28771" t="s">
        <v>45433</v>
      </c>
      <c r="B28771" t="s">
        <v>316</v>
      </c>
      <c r="C28771" t="s">
        <v>111</v>
      </c>
      <c r="D28771" t="s">
        <v>14</v>
      </c>
      <c r="E28771" t="s">
        <v>119</v>
      </c>
      <c r="F28771" s="2" t="str">
        <f>HYPERLINK("http://www.otzar.org/book.asp?628137","סדר הדורות הקצר")</f>
        <v>סדר הדורות הקצר</v>
      </c>
    </row>
    <row r="28772" spans="1:6" x14ac:dyDescent="0.2">
      <c r="A28772" t="s">
        <v>45434</v>
      </c>
      <c r="B28772" t="s">
        <v>45430</v>
      </c>
      <c r="C28772" t="s">
        <v>45435</v>
      </c>
      <c r="D28772" t="s">
        <v>283</v>
      </c>
      <c r="E28772" t="s">
        <v>733</v>
      </c>
      <c r="F28772" s="2" t="str">
        <f>HYPERLINK("http://www.otzar.org/book.asp?14692","סדר הדורות השלם א -ב")</f>
        <v>סדר הדורות השלם א -ב</v>
      </c>
    </row>
    <row r="28773" spans="1:6" x14ac:dyDescent="0.2">
      <c r="A28773" t="s">
        <v>45436</v>
      </c>
      <c r="B28773" t="s">
        <v>23776</v>
      </c>
      <c r="C28773" t="s">
        <v>45437</v>
      </c>
      <c r="D28773" t="s">
        <v>726</v>
      </c>
      <c r="E28773" t="s">
        <v>119</v>
      </c>
      <c r="F28773" s="2" t="str">
        <f>HYPERLINK("http://www.otzar.org/book.asp?23550","סדר הדורות מתלמידי הבעש""ט")</f>
        <v>סדר הדורות מתלמידי הבעש"ט</v>
      </c>
    </row>
    <row r="28774" spans="1:6" x14ac:dyDescent="0.2">
      <c r="A28774" t="s">
        <v>45438</v>
      </c>
      <c r="B28774" t="s">
        <v>45430</v>
      </c>
      <c r="C28774" t="s">
        <v>7625</v>
      </c>
      <c r="D28774" t="s">
        <v>4088</v>
      </c>
      <c r="E28774" t="s">
        <v>119</v>
      </c>
      <c r="F28774" s="2" t="str">
        <f>HYPERLINK("http://www.otzar.org/book.asp?104543","סדר הדורות - 4 כר'")</f>
        <v>סדר הדורות - 4 כר'</v>
      </c>
    </row>
    <row r="28775" spans="1:6" x14ac:dyDescent="0.2">
      <c r="A28775" t="s">
        <v>45439</v>
      </c>
      <c r="B28775" t="s">
        <v>22557</v>
      </c>
      <c r="C28775" t="s">
        <v>68</v>
      </c>
      <c r="D28775" t="s">
        <v>14</v>
      </c>
      <c r="E28775" t="s">
        <v>15</v>
      </c>
      <c r="F28775" s="2" t="str">
        <f>HYPERLINK("http://www.otzar.org/book.asp?156685","סדר הדין")</f>
        <v>סדר הדין</v>
      </c>
    </row>
    <row r="28776" spans="1:6" x14ac:dyDescent="0.2">
      <c r="A28776" t="s">
        <v>45440</v>
      </c>
      <c r="B28776" t="s">
        <v>45441</v>
      </c>
      <c r="C28776" t="s">
        <v>366</v>
      </c>
      <c r="D28776" t="s">
        <v>14</v>
      </c>
      <c r="F28776" s="2" t="str">
        <f>HYPERLINK("http://www.otzar.org/book.asp?609012","סדר הדלקת נר חנוכה אמרי חיים ואמונה &lt;קרעטשניף סיגעט&gt;")</f>
        <v>סדר הדלקת נר חנוכה אמרי חיים ואמונה &lt;קרעטשניף סיגעט&gt;</v>
      </c>
    </row>
    <row r="28777" spans="1:6" x14ac:dyDescent="0.2">
      <c r="A28777" t="s">
        <v>45442</v>
      </c>
      <c r="B28777" t="s">
        <v>45443</v>
      </c>
      <c r="C28777" t="s">
        <v>129</v>
      </c>
      <c r="D28777" t="s">
        <v>1356</v>
      </c>
      <c r="E28777" t="s">
        <v>246</v>
      </c>
      <c r="F28777" s="2" t="str">
        <f>HYPERLINK("http://www.otzar.org/book.asp?162390","סדר הדלקת נר חנוכה כמנהג צאנז")</f>
        <v>סדר הדלקת נר חנוכה כמנהג צאנז</v>
      </c>
    </row>
    <row r="28778" spans="1:6" x14ac:dyDescent="0.2">
      <c r="A28778" t="s">
        <v>45444</v>
      </c>
      <c r="B28778" t="s">
        <v>45445</v>
      </c>
      <c r="C28778" t="s">
        <v>332</v>
      </c>
      <c r="D28778" t="s">
        <v>1646</v>
      </c>
      <c r="E28778" t="s">
        <v>1517</v>
      </c>
      <c r="F28778" s="2" t="str">
        <f>HYPERLINK("http://www.otzar.org/book.asp?173418","סדר הדלקת נר חנוכה כנוסח קרעטשניף")</f>
        <v>סדר הדלקת נר חנוכה כנוסח קרעטשניף</v>
      </c>
    </row>
    <row r="28779" spans="1:6" x14ac:dyDescent="0.2">
      <c r="A28779" t="s">
        <v>45446</v>
      </c>
      <c r="B28779" t="s">
        <v>45447</v>
      </c>
      <c r="C28779" t="s">
        <v>51</v>
      </c>
      <c r="D28779" t="s">
        <v>14</v>
      </c>
      <c r="E28779" t="s">
        <v>399</v>
      </c>
      <c r="F28779" s="2" t="str">
        <f>HYPERLINK("http://www.otzar.org/book.asp?62070","סדר הדלקת נר חנוכה עם כוונות האריז""ל")</f>
        <v>סדר הדלקת נר חנוכה עם כוונות האריז"ל</v>
      </c>
    </row>
    <row r="28780" spans="1:6" x14ac:dyDescent="0.2">
      <c r="A28780" t="s">
        <v>45448</v>
      </c>
      <c r="C28780" t="s">
        <v>114</v>
      </c>
      <c r="D28780" t="s">
        <v>52</v>
      </c>
      <c r="E28780" t="s">
        <v>246</v>
      </c>
      <c r="F28780" s="2" t="str">
        <f>HYPERLINK("http://www.otzar.org/book.asp?623968","סדר הדלקת נר חנוכה עם פסקי בעל המנחת יצחק")</f>
        <v>סדר הדלקת נר חנוכה עם פסקי בעל המנחת יצחק</v>
      </c>
    </row>
    <row r="28781" spans="1:6" x14ac:dyDescent="0.2">
      <c r="A28781" t="s">
        <v>45449</v>
      </c>
      <c r="B28781" t="s">
        <v>8936</v>
      </c>
      <c r="C28781" t="s">
        <v>151</v>
      </c>
      <c r="D28781" t="s">
        <v>412</v>
      </c>
      <c r="E28781" t="s">
        <v>1517</v>
      </c>
      <c r="F28781" s="2" t="str">
        <f>HYPERLINK("http://www.otzar.org/book.asp?611377","סדר הדלקת נר חנוכה - זרע קודש")</f>
        <v>סדר הדלקת נר חנוכה - זרע קודש</v>
      </c>
    </row>
    <row r="28782" spans="1:6" x14ac:dyDescent="0.2">
      <c r="A28782" t="s">
        <v>45450</v>
      </c>
      <c r="B28782" t="s">
        <v>45451</v>
      </c>
      <c r="C28782" t="s">
        <v>20</v>
      </c>
      <c r="D28782" t="s">
        <v>52</v>
      </c>
      <c r="E28782" t="s">
        <v>1517</v>
      </c>
      <c r="F28782" s="2" t="str">
        <f>HYPERLINK("http://www.otzar.org/book.asp?623232","סדר ההושענות עם פירוש המילים וביאורים")</f>
        <v>סדר ההושענות עם פירוש המילים וביאורים</v>
      </c>
    </row>
    <row r="28783" spans="1:6" x14ac:dyDescent="0.2">
      <c r="A28783" t="s">
        <v>45452</v>
      </c>
      <c r="B28783" t="s">
        <v>31988</v>
      </c>
      <c r="C28783" t="s">
        <v>1625</v>
      </c>
      <c r="D28783" t="s">
        <v>1411</v>
      </c>
      <c r="E28783" t="s">
        <v>15</v>
      </c>
      <c r="F28783" s="2" t="str">
        <f>HYPERLINK("http://www.otzar.org/book.asp?84548","סדר ההסכמה")</f>
        <v>סדר ההסכמה</v>
      </c>
    </row>
    <row r="28784" spans="1:6" x14ac:dyDescent="0.2">
      <c r="A28784" t="s">
        <v>45453</v>
      </c>
      <c r="B28784" t="s">
        <v>31988</v>
      </c>
      <c r="C28784" t="s">
        <v>45454</v>
      </c>
      <c r="D28784" t="s">
        <v>45455</v>
      </c>
      <c r="E28784" t="s">
        <v>119</v>
      </c>
      <c r="F28784" s="2" t="str">
        <f>HYPERLINK("http://www.otzar.org/book.asp?152916","סדר ההערכה")</f>
        <v>סדר ההערכה</v>
      </c>
    </row>
    <row r="28785" spans="1:6" x14ac:dyDescent="0.2">
      <c r="A28785" t="s">
        <v>45456</v>
      </c>
      <c r="B28785" t="s">
        <v>45457</v>
      </c>
      <c r="C28785" t="s">
        <v>9914</v>
      </c>
      <c r="D28785" t="s">
        <v>45458</v>
      </c>
      <c r="F28785" s="2" t="str">
        <f>HYPERLINK("http://www.otzar.org/book.asp?164796","סדר ההפטרות &lt;מקבץ נדחי ישראל&gt;")</f>
        <v>סדר ההפטרות &lt;מקבץ נדחי ישראל&gt;</v>
      </c>
    </row>
    <row r="28786" spans="1:6" x14ac:dyDescent="0.2">
      <c r="A28786" t="s">
        <v>45459</v>
      </c>
      <c r="B28786" t="s">
        <v>36673</v>
      </c>
      <c r="C28786" t="s">
        <v>151</v>
      </c>
      <c r="D28786" t="s">
        <v>14</v>
      </c>
      <c r="E28786" t="s">
        <v>158</v>
      </c>
      <c r="F28786" s="2" t="str">
        <f>HYPERLINK("http://www.otzar.org/book.asp?620290","סדר ההפטרות כמנהג בני רומה")</f>
        <v>סדר ההפטרות כמנהג בני רומה</v>
      </c>
    </row>
    <row r="28787" spans="1:6" x14ac:dyDescent="0.2">
      <c r="A28787" t="s">
        <v>45460</v>
      </c>
      <c r="B28787" t="s">
        <v>45461</v>
      </c>
      <c r="C28787" t="s">
        <v>767</v>
      </c>
      <c r="D28787" t="s">
        <v>21</v>
      </c>
      <c r="E28787" t="s">
        <v>158</v>
      </c>
      <c r="F28787" s="2" t="str">
        <f>HYPERLINK("http://www.otzar.org/book.asp?605749","סדר ההפטרות עם פירוש")</f>
        <v>סדר ההפטרות עם פירוש</v>
      </c>
    </row>
    <row r="28788" spans="1:6" x14ac:dyDescent="0.2">
      <c r="A28788" t="s">
        <v>45462</v>
      </c>
      <c r="B28788" t="s">
        <v>206</v>
      </c>
      <c r="F28788" s="2" t="str">
        <f>HYPERLINK("http://www.otzar.org/book.asp?623087","סדר ההפרשות לרבינו החזו""א ותלמידיו")</f>
        <v>סדר ההפרשות לרבינו החזו"א ותלמידיו</v>
      </c>
    </row>
    <row r="28789" spans="1:6" x14ac:dyDescent="0.2">
      <c r="A28789" t="s">
        <v>45463</v>
      </c>
      <c r="B28789" t="s">
        <v>1988</v>
      </c>
      <c r="C28789" t="s">
        <v>45464</v>
      </c>
      <c r="D28789" t="s">
        <v>45465</v>
      </c>
      <c r="F28789" s="2" t="str">
        <f>HYPERLINK("http://www.otzar.org/book.asp?611731","סדר הוידוי הנהוג לבני חברת מרפא לנפש")</f>
        <v>סדר הוידוי הנהוג לבני חברת מרפא לנפש</v>
      </c>
    </row>
    <row r="28790" spans="1:6" x14ac:dyDescent="0.2">
      <c r="A28790" t="s">
        <v>45466</v>
      </c>
      <c r="B28790" t="s">
        <v>1988</v>
      </c>
      <c r="C28790" t="s">
        <v>1191</v>
      </c>
      <c r="D28790" t="s">
        <v>1411</v>
      </c>
      <c r="E28790" t="s">
        <v>1517</v>
      </c>
      <c r="F28790" s="2" t="str">
        <f>HYPERLINK("http://www.otzar.org/book.asp?148953","סדר הוידוי ומסירת מודעה והתרת קללות")</f>
        <v>סדר הוידוי ומסירת מודעה והתרת קללות</v>
      </c>
    </row>
    <row r="28791" spans="1:6" x14ac:dyDescent="0.2">
      <c r="A28791" t="s">
        <v>45467</v>
      </c>
      <c r="B28791" t="s">
        <v>7058</v>
      </c>
      <c r="D28791" t="s">
        <v>5576</v>
      </c>
      <c r="F28791" s="2" t="str">
        <f>HYPERLINK("http://www.otzar.org/book.asp?170070","סדר הוראות התפילות &lt;קראים&gt;")</f>
        <v>סדר הוראות התפילות &lt;קראים&gt;</v>
      </c>
    </row>
    <row r="28792" spans="1:6" x14ac:dyDescent="0.2">
      <c r="A28792" t="s">
        <v>45468</v>
      </c>
      <c r="B28792" t="s">
        <v>6991</v>
      </c>
      <c r="C28792" t="s">
        <v>13</v>
      </c>
      <c r="D28792" t="s">
        <v>14</v>
      </c>
      <c r="E28792" t="s">
        <v>1517</v>
      </c>
      <c r="F28792" s="2" t="str">
        <f>HYPERLINK("http://www.otzar.org/book.asp?625509","סדר הושענות הבהיר")</f>
        <v>סדר הושענות הבהיר</v>
      </c>
    </row>
    <row r="28793" spans="1:6" x14ac:dyDescent="0.2">
      <c r="A28793" t="s">
        <v>45469</v>
      </c>
      <c r="B28793" t="s">
        <v>45470</v>
      </c>
      <c r="C28793" t="s">
        <v>812</v>
      </c>
      <c r="D28793" t="s">
        <v>260</v>
      </c>
      <c r="E28793" t="s">
        <v>1517</v>
      </c>
      <c r="F28793" s="2" t="str">
        <f>HYPERLINK("http://www.otzar.org/book.asp?168853","סדר הושענות כמנהג ק""ק עדן ותימן")</f>
        <v>סדר הושענות כמנהג ק"ק עדן ותימן</v>
      </c>
    </row>
    <row r="28794" spans="1:6" x14ac:dyDescent="0.2">
      <c r="A28794" t="s">
        <v>45471</v>
      </c>
      <c r="B28794" t="s">
        <v>45472</v>
      </c>
      <c r="C28794" t="s">
        <v>854</v>
      </c>
      <c r="D28794" t="s">
        <v>212</v>
      </c>
      <c r="E28794" t="s">
        <v>18910</v>
      </c>
      <c r="F28794" s="2" t="str">
        <f>HYPERLINK("http://www.otzar.org/book.asp?152806","סדר הושענות כמנהג ק""ק תימן")</f>
        <v>סדר הושענות כמנהג ק"ק תימן</v>
      </c>
    </row>
    <row r="28795" spans="1:6" x14ac:dyDescent="0.2">
      <c r="A28795" t="s">
        <v>45473</v>
      </c>
      <c r="B28795" t="s">
        <v>24063</v>
      </c>
      <c r="C28795" t="s">
        <v>37</v>
      </c>
      <c r="D28795" t="s">
        <v>412</v>
      </c>
      <c r="E28795" t="s">
        <v>1517</v>
      </c>
      <c r="F28795" s="2" t="str">
        <f>HYPERLINK("http://www.otzar.org/book.asp?196268","סדר הושענות - ישועות אליעזר")</f>
        <v>סדר הושענות - ישועות אליעזר</v>
      </c>
    </row>
    <row r="28796" spans="1:6" x14ac:dyDescent="0.2">
      <c r="A28796" t="s">
        <v>45474</v>
      </c>
      <c r="B28796" t="s">
        <v>45475</v>
      </c>
      <c r="C28796" t="s">
        <v>1663</v>
      </c>
      <c r="D28796" t="s">
        <v>9</v>
      </c>
      <c r="E28796" t="s">
        <v>219</v>
      </c>
      <c r="F28796" s="2" t="str">
        <f>HYPERLINK("http://www.otzar.org/book.asp?51379","סדר הושענות")</f>
        <v>סדר הושענות</v>
      </c>
    </row>
    <row r="28797" spans="1:6" x14ac:dyDescent="0.2">
      <c r="A28797" t="s">
        <v>45476</v>
      </c>
      <c r="B28797" t="s">
        <v>45477</v>
      </c>
      <c r="C28797" t="s">
        <v>1885</v>
      </c>
      <c r="D28797" t="s">
        <v>27</v>
      </c>
      <c r="E28797" t="s">
        <v>2261</v>
      </c>
      <c r="F28797" s="2" t="str">
        <f>HYPERLINK("http://www.otzar.org/book.asp?13430","סדר הושענות, סליחות ויוצרות - ב")</f>
        <v>סדר הושענות, סליחות ויוצרות - ב</v>
      </c>
    </row>
    <row r="28798" spans="1:6" x14ac:dyDescent="0.2">
      <c r="A28798" t="s">
        <v>45478</v>
      </c>
      <c r="B28798" t="s">
        <v>732</v>
      </c>
      <c r="C28798" t="s">
        <v>619</v>
      </c>
      <c r="D28798" t="s">
        <v>27</v>
      </c>
      <c r="E28798" t="s">
        <v>119</v>
      </c>
      <c r="F28798" s="2" t="str">
        <f>HYPERLINK("http://www.otzar.org/book.asp?188656","סדר החגיגה לחברת נחלת השבים")</f>
        <v>סדר החגיגה לחברת נחלת השבים</v>
      </c>
    </row>
    <row r="28799" spans="1:6" x14ac:dyDescent="0.2">
      <c r="A28799" t="s">
        <v>45479</v>
      </c>
      <c r="B28799" t="s">
        <v>45480</v>
      </c>
      <c r="C28799" t="s">
        <v>111</v>
      </c>
      <c r="D28799" t="s">
        <v>229</v>
      </c>
      <c r="E28799" t="s">
        <v>148</v>
      </c>
      <c r="F28799" s="2" t="str">
        <f>HYPERLINK("http://www.otzar.org/book.asp?627249","סדר החיים")</f>
        <v>סדר החיים</v>
      </c>
    </row>
    <row r="28800" spans="1:6" x14ac:dyDescent="0.2">
      <c r="A28800" t="s">
        <v>45481</v>
      </c>
      <c r="B28800" t="s">
        <v>45482</v>
      </c>
      <c r="C28800" t="s">
        <v>45483</v>
      </c>
      <c r="D28800" t="s">
        <v>39832</v>
      </c>
      <c r="E28800" t="s">
        <v>733</v>
      </c>
      <c r="F28800" s="2" t="str">
        <f>HYPERLINK("http://www.otzar.org/book.asp?177118","סדר החכמים וקורות הימים - 2 כר'")</f>
        <v>סדר החכמים וקורות הימים - 2 כר'</v>
      </c>
    </row>
    <row r="28801" spans="1:6" x14ac:dyDescent="0.2">
      <c r="A28801" t="s">
        <v>45484</v>
      </c>
      <c r="B28801" t="s">
        <v>28910</v>
      </c>
      <c r="C28801" t="s">
        <v>68</v>
      </c>
      <c r="D28801" t="s">
        <v>14</v>
      </c>
      <c r="F28801" s="2" t="str">
        <f>HYPERLINK("http://www.otzar.org/book.asp?156462","סדר החליצה ונוסח הגט")</f>
        <v>סדר החליצה ונוסח הגט</v>
      </c>
    </row>
    <row r="28802" spans="1:6" x14ac:dyDescent="0.2">
      <c r="A28802" t="s">
        <v>45485</v>
      </c>
      <c r="B28802" t="s">
        <v>45486</v>
      </c>
      <c r="C28802" t="s">
        <v>332</v>
      </c>
      <c r="D28802" t="s">
        <v>14</v>
      </c>
      <c r="E28802" t="s">
        <v>45487</v>
      </c>
      <c r="F28802" s="2" t="str">
        <f>HYPERLINK("http://www.otzar.org/book.asp?8290","סדר היום &lt;עם אות יעקב&gt;")</f>
        <v>סדר היום &lt;עם אות יעקב&gt;</v>
      </c>
    </row>
    <row r="28803" spans="1:6" x14ac:dyDescent="0.2">
      <c r="A28803" t="s">
        <v>45488</v>
      </c>
      <c r="B28803" t="s">
        <v>45486</v>
      </c>
      <c r="C28803" t="s">
        <v>332</v>
      </c>
      <c r="D28803" t="s">
        <v>14</v>
      </c>
      <c r="F28803" s="2" t="str">
        <f>HYPERLINK("http://www.otzar.org/book.asp?617045","סדר היום &lt;עם אמרי ישראל&gt;")</f>
        <v>סדר היום &lt;עם אמרי ישראל&gt;</v>
      </c>
    </row>
    <row r="28804" spans="1:6" x14ac:dyDescent="0.2">
      <c r="A28804" t="s">
        <v>45489</v>
      </c>
      <c r="B28804" t="s">
        <v>206</v>
      </c>
      <c r="C28804" t="s">
        <v>133</v>
      </c>
      <c r="D28804" t="s">
        <v>118</v>
      </c>
      <c r="E28804" t="s">
        <v>15</v>
      </c>
      <c r="F28804" s="2" t="str">
        <f>HYPERLINK("http://www.otzar.org/book.asp?195108","סדר היום בהלכה ובאגדה")</f>
        <v>סדר היום בהלכה ובאגדה</v>
      </c>
    </row>
    <row r="28805" spans="1:6" x14ac:dyDescent="0.2">
      <c r="A28805" t="s">
        <v>45490</v>
      </c>
      <c r="B28805" t="s">
        <v>45486</v>
      </c>
      <c r="C28805" t="s">
        <v>1124</v>
      </c>
      <c r="D28805" t="s">
        <v>1769</v>
      </c>
      <c r="E28805" t="s">
        <v>15</v>
      </c>
      <c r="F28805" s="2" t="str">
        <f>HYPERLINK("http://www.otzar.org/book.asp?149221","סדר היום - 6 כר'")</f>
        <v>סדר היום - 6 כר'</v>
      </c>
    </row>
    <row r="28806" spans="1:6" x14ac:dyDescent="0.2">
      <c r="A28806" t="s">
        <v>45491</v>
      </c>
      <c r="B28806" t="s">
        <v>45492</v>
      </c>
      <c r="C28806" t="s">
        <v>1160</v>
      </c>
      <c r="E28806" t="s">
        <v>219</v>
      </c>
      <c r="F28806" s="2" t="str">
        <f>HYPERLINK("http://www.otzar.org/book.asp?196331","סדר היום")</f>
        <v>סדר היום</v>
      </c>
    </row>
    <row r="28807" spans="1:6" x14ac:dyDescent="0.2">
      <c r="A28807" t="s">
        <v>45491</v>
      </c>
      <c r="B28807" t="s">
        <v>28916</v>
      </c>
      <c r="C28807" t="s">
        <v>133</v>
      </c>
      <c r="D28807" t="s">
        <v>14</v>
      </c>
      <c r="E28807" t="s">
        <v>140</v>
      </c>
      <c r="F28807" s="2" t="str">
        <f>HYPERLINK("http://www.otzar.org/book.asp?179098","סדר היום")</f>
        <v>סדר היום</v>
      </c>
    </row>
    <row r="28808" spans="1:6" x14ac:dyDescent="0.2">
      <c r="A28808" t="s">
        <v>45493</v>
      </c>
      <c r="B28808" t="s">
        <v>3253</v>
      </c>
      <c r="C28808" t="s">
        <v>940</v>
      </c>
      <c r="D28808" t="s">
        <v>52</v>
      </c>
      <c r="E28808" t="s">
        <v>140</v>
      </c>
      <c r="F28808" s="2" t="str">
        <f>HYPERLINK("http://www.otzar.org/book.asp?10780","סדר היום - 2 כר'")</f>
        <v>סדר היום - 2 כר'</v>
      </c>
    </row>
    <row r="28809" spans="1:6" x14ac:dyDescent="0.2">
      <c r="A28809" t="s">
        <v>45491</v>
      </c>
      <c r="B28809" t="s">
        <v>32253</v>
      </c>
      <c r="C28809" t="s">
        <v>1169</v>
      </c>
      <c r="D28809" t="s">
        <v>6974</v>
      </c>
      <c r="E28809" t="s">
        <v>219</v>
      </c>
      <c r="F28809" s="2" t="str">
        <f>HYPERLINK("http://www.otzar.org/book.asp?148616","סדר היום")</f>
        <v>סדר היום</v>
      </c>
    </row>
    <row r="28810" spans="1:6" x14ac:dyDescent="0.2">
      <c r="A28810" t="s">
        <v>45494</v>
      </c>
      <c r="B28810" t="s">
        <v>26930</v>
      </c>
      <c r="C28810" t="s">
        <v>624</v>
      </c>
      <c r="D28810" t="s">
        <v>90</v>
      </c>
      <c r="E28810" t="s">
        <v>15</v>
      </c>
      <c r="F28810" s="2" t="str">
        <f>HYPERLINK("http://www.otzar.org/book.asp?52890","סדר הכנסת ספר תורה")</f>
        <v>סדר הכנסת ספר תורה</v>
      </c>
    </row>
    <row r="28811" spans="1:6" x14ac:dyDescent="0.2">
      <c r="A28811" t="s">
        <v>45495</v>
      </c>
      <c r="B28811" t="s">
        <v>7036</v>
      </c>
      <c r="C28811" t="s">
        <v>1811</v>
      </c>
      <c r="D28811" t="s">
        <v>14</v>
      </c>
      <c r="E28811" t="s">
        <v>15</v>
      </c>
      <c r="F28811" s="2" t="str">
        <f>HYPERLINK("http://www.otzar.org/book.asp?84835","סדר הכשרות כהלכתו")</f>
        <v>סדר הכשרות כהלכתו</v>
      </c>
    </row>
    <row r="28812" spans="1:6" x14ac:dyDescent="0.2">
      <c r="A28812" t="s">
        <v>45496</v>
      </c>
      <c r="B28812" t="s">
        <v>45497</v>
      </c>
      <c r="C28812" t="s">
        <v>940</v>
      </c>
      <c r="D28812" t="s">
        <v>52</v>
      </c>
      <c r="E28812" t="s">
        <v>15</v>
      </c>
      <c r="F28812" s="2" t="str">
        <f>HYPERLINK("http://www.otzar.org/book.asp?164080","סדר הליכות היום")</f>
        <v>סדר הליכות היום</v>
      </c>
    </row>
    <row r="28813" spans="1:6" x14ac:dyDescent="0.2">
      <c r="A28813" t="s">
        <v>45498</v>
      </c>
      <c r="B28813" t="s">
        <v>45497</v>
      </c>
      <c r="C28813" t="s">
        <v>103</v>
      </c>
      <c r="D28813" t="s">
        <v>52</v>
      </c>
      <c r="E28813" t="s">
        <v>1517</v>
      </c>
      <c r="F28813" s="2" t="str">
        <f>HYPERLINK("http://www.otzar.org/book.asp?156920","סדר הליכות זמירות שבת")</f>
        <v>סדר הליכות זמירות שבת</v>
      </c>
    </row>
    <row r="28814" spans="1:6" x14ac:dyDescent="0.2">
      <c r="A28814" t="s">
        <v>45499</v>
      </c>
      <c r="B28814" t="s">
        <v>45500</v>
      </c>
      <c r="C28814" t="s">
        <v>2870</v>
      </c>
      <c r="D28814" t="s">
        <v>283</v>
      </c>
      <c r="E28814" t="s">
        <v>15</v>
      </c>
      <c r="F28814" s="2" t="str">
        <f>HYPERLINK("http://www.otzar.org/book.asp?20350","סדר הלכה")</f>
        <v>סדר הלכה</v>
      </c>
    </row>
    <row r="28815" spans="1:6" x14ac:dyDescent="0.2">
      <c r="A28815" t="s">
        <v>45501</v>
      </c>
      <c r="B28815" t="s">
        <v>45502</v>
      </c>
      <c r="C28815" t="s">
        <v>617</v>
      </c>
      <c r="D28815" t="s">
        <v>646</v>
      </c>
      <c r="F28815" s="2" t="str">
        <f>HYPERLINK("http://www.otzar.org/book.asp?610494","סדר הלכות פסח לרש""י")</f>
        <v>סדר הלכות פסח לרש"י</v>
      </c>
    </row>
    <row r="28816" spans="1:6" x14ac:dyDescent="0.2">
      <c r="A28816" t="s">
        <v>45503</v>
      </c>
      <c r="B28816" t="s">
        <v>45504</v>
      </c>
      <c r="C28816" t="s">
        <v>1335</v>
      </c>
      <c r="D28816" t="s">
        <v>6801</v>
      </c>
      <c r="E28816" t="s">
        <v>219</v>
      </c>
      <c r="F28816" s="2" t="str">
        <f>HYPERLINK("http://www.otzar.org/book.asp?107110","סדר הלמוד בליל חג השבועות ובליל הושענא רבא")</f>
        <v>סדר הלמוד בליל חג השבועות ובליל הושענא רבא</v>
      </c>
    </row>
    <row r="28817" spans="1:6" x14ac:dyDescent="0.2">
      <c r="A28817" t="s">
        <v>45505</v>
      </c>
      <c r="B28817" t="s">
        <v>45506</v>
      </c>
      <c r="C28817" t="s">
        <v>4059</v>
      </c>
      <c r="D28817" t="s">
        <v>5665</v>
      </c>
      <c r="E28817" t="s">
        <v>219</v>
      </c>
      <c r="F28817" s="2" t="str">
        <f>HYPERLINK("http://www.otzar.org/book.asp?16093","סדר המחזור - ב")</f>
        <v>סדר המחזור - ב</v>
      </c>
    </row>
    <row r="28818" spans="1:6" x14ac:dyDescent="0.2">
      <c r="A28818" t="s">
        <v>45507</v>
      </c>
      <c r="B28818" t="s">
        <v>45508</v>
      </c>
      <c r="C28818" t="s">
        <v>2289</v>
      </c>
      <c r="D28818" t="s">
        <v>1023</v>
      </c>
      <c r="E28818" t="s">
        <v>219</v>
      </c>
      <c r="F28818" s="2" t="str">
        <f>HYPERLINK("http://www.otzar.org/book.asp?52523","סדר המעמדות")</f>
        <v>סדר המעמדות</v>
      </c>
    </row>
    <row r="28819" spans="1:6" x14ac:dyDescent="0.2">
      <c r="A28819" t="s">
        <v>45509</v>
      </c>
      <c r="B28819" t="s">
        <v>3158</v>
      </c>
      <c r="C28819" t="s">
        <v>624</v>
      </c>
      <c r="D28819" t="s">
        <v>14</v>
      </c>
      <c r="E28819" t="s">
        <v>15</v>
      </c>
      <c r="F28819" s="2" t="str">
        <f>HYPERLINK("http://www.otzar.org/book.asp?62104","סדר המצוה היומית")</f>
        <v>סדר המצוה היומית</v>
      </c>
    </row>
    <row r="28820" spans="1:6" x14ac:dyDescent="0.2">
      <c r="A28820" t="s">
        <v>45510</v>
      </c>
      <c r="B28820" t="s">
        <v>39404</v>
      </c>
      <c r="C28820" t="s">
        <v>46</v>
      </c>
      <c r="D28820" t="s">
        <v>9</v>
      </c>
      <c r="E28820" t="s">
        <v>15</v>
      </c>
      <c r="F28820" s="2" t="str">
        <f>HYPERLINK("http://www.otzar.org/book.asp?149132","סדר המצות להרמב""ם")</f>
        <v>סדר המצות להרמב"ם</v>
      </c>
    </row>
    <row r="28821" spans="1:6" x14ac:dyDescent="0.2">
      <c r="A28821" t="s">
        <v>45511</v>
      </c>
      <c r="B28821" t="s">
        <v>45512</v>
      </c>
      <c r="C28821" t="s">
        <v>75</v>
      </c>
      <c r="D28821" t="s">
        <v>2295</v>
      </c>
      <c r="E28821" t="s">
        <v>674</v>
      </c>
      <c r="F28821" s="2" t="str">
        <f>HYPERLINK("http://www.otzar.org/book.asp?19221","סדר המצות")</f>
        <v>סדר המצות</v>
      </c>
    </row>
    <row r="28822" spans="1:6" x14ac:dyDescent="0.2">
      <c r="A28822" t="s">
        <v>45513</v>
      </c>
      <c r="B28822" t="s">
        <v>45513</v>
      </c>
      <c r="C28822" t="s">
        <v>950</v>
      </c>
      <c r="D28822" t="s">
        <v>139</v>
      </c>
      <c r="F28822" s="2" t="str">
        <f>HYPERLINK("http://www.otzar.org/book.asp?170140","סדר הנהגת אדם")</f>
        <v>סדר הנהגת אדם</v>
      </c>
    </row>
    <row r="28823" spans="1:6" x14ac:dyDescent="0.2">
      <c r="A28823" t="s">
        <v>45514</v>
      </c>
      <c r="B28823" t="s">
        <v>10750</v>
      </c>
      <c r="C28823" t="s">
        <v>454</v>
      </c>
      <c r="D28823" t="s">
        <v>1180</v>
      </c>
      <c r="E28823" t="s">
        <v>3915</v>
      </c>
      <c r="F28823" s="2" t="str">
        <f>HYPERLINK("http://www.otzar.org/book.asp?51449","סדר הנחת תפילין")</f>
        <v>סדר הנחת תפילין</v>
      </c>
    </row>
    <row r="28824" spans="1:6" x14ac:dyDescent="0.2">
      <c r="A28824" t="s">
        <v>45515</v>
      </c>
      <c r="B28824" t="s">
        <v>45516</v>
      </c>
      <c r="C28824" t="s">
        <v>1310</v>
      </c>
      <c r="D28824" t="s">
        <v>56</v>
      </c>
      <c r="E28824" t="s">
        <v>15</v>
      </c>
      <c r="F28824" s="2" t="str">
        <f>HYPERLINK("http://www.otzar.org/book.asp?188628","סדר הניקור")</f>
        <v>סדר הניקור</v>
      </c>
    </row>
    <row r="28825" spans="1:6" x14ac:dyDescent="0.2">
      <c r="A28825" t="s">
        <v>45517</v>
      </c>
      <c r="B28825" t="s">
        <v>45518</v>
      </c>
      <c r="C28825" t="s">
        <v>26830</v>
      </c>
      <c r="D28825" t="s">
        <v>4934</v>
      </c>
      <c r="E28825" t="s">
        <v>15</v>
      </c>
      <c r="F28825" s="2" t="str">
        <f>HYPERLINK("http://www.otzar.org/book.asp?188548","סדר הנקור עם בעל העיטור")</f>
        <v>סדר הנקור עם בעל העיטור</v>
      </c>
    </row>
    <row r="28826" spans="1:6" x14ac:dyDescent="0.2">
      <c r="A28826" t="s">
        <v>45519</v>
      </c>
      <c r="B28826" t="s">
        <v>45518</v>
      </c>
      <c r="C28826" t="s">
        <v>4562</v>
      </c>
      <c r="D28826" t="s">
        <v>49</v>
      </c>
      <c r="E28826" t="s">
        <v>15</v>
      </c>
      <c r="F28826" s="2" t="str">
        <f>HYPERLINK("http://www.otzar.org/book.asp?147275","סדר הנקור")</f>
        <v>סדר הנקור</v>
      </c>
    </row>
    <row r="28827" spans="1:6" x14ac:dyDescent="0.2">
      <c r="A28827" t="s">
        <v>45520</v>
      </c>
      <c r="B28827" t="s">
        <v>12106</v>
      </c>
      <c r="C28827" t="s">
        <v>129</v>
      </c>
      <c r="D28827" t="s">
        <v>14</v>
      </c>
      <c r="E28827" t="s">
        <v>219</v>
      </c>
      <c r="F28827" s="2" t="str">
        <f>HYPERLINK("http://www.otzar.org/book.asp?142308","סדר הסליחות השלם עטרת פז")</f>
        <v>סדר הסליחות השלם עטרת פז</v>
      </c>
    </row>
    <row r="28828" spans="1:6" x14ac:dyDescent="0.2">
      <c r="A28828" t="s">
        <v>45521</v>
      </c>
      <c r="B28828" t="s">
        <v>19887</v>
      </c>
      <c r="C28828" t="s">
        <v>383</v>
      </c>
      <c r="D28828" t="s">
        <v>14</v>
      </c>
      <c r="E28828" t="s">
        <v>1517</v>
      </c>
      <c r="F28828" s="2" t="str">
        <f>HYPERLINK("http://www.otzar.org/book.asp?179891","סדר הסליחות והתפילות דרבינו מאיר ז""ל מרוטנבורג")</f>
        <v>סדר הסליחות והתפילות דרבינו מאיר ז"ל מרוטנבורג</v>
      </c>
    </row>
    <row r="28829" spans="1:6" x14ac:dyDescent="0.2">
      <c r="A28829" t="s">
        <v>45522</v>
      </c>
      <c r="B28829" t="s">
        <v>45523</v>
      </c>
      <c r="C28829" t="s">
        <v>775</v>
      </c>
      <c r="D28829" t="s">
        <v>52</v>
      </c>
      <c r="E28829" t="s">
        <v>219</v>
      </c>
      <c r="F28829" s="2" t="str">
        <f>HYPERLINK("http://www.otzar.org/book.asp?61431","סדר הסליחות כמנהג הספרדים ובני עדות המזרח")</f>
        <v>סדר הסליחות כמנהג הספרדים ובני עדות המזרח</v>
      </c>
    </row>
    <row r="28830" spans="1:6" x14ac:dyDescent="0.2">
      <c r="A28830" t="s">
        <v>45524</v>
      </c>
      <c r="B28830" t="s">
        <v>45525</v>
      </c>
      <c r="C28830" t="s">
        <v>1448</v>
      </c>
      <c r="D28830" t="s">
        <v>45526</v>
      </c>
      <c r="F28830" s="2" t="str">
        <f>HYPERLINK("http://www.otzar.org/book.asp?623106","סדר הסליחות כמנהג קהילות הרומניוטים")</f>
        <v>סדר הסליחות כמנהג קהילות הרומניוטים</v>
      </c>
    </row>
    <row r="28831" spans="1:6" x14ac:dyDescent="0.2">
      <c r="A28831" t="s">
        <v>45527</v>
      </c>
      <c r="B28831" t="s">
        <v>45528</v>
      </c>
      <c r="D28831" t="s">
        <v>216</v>
      </c>
      <c r="F28831" s="2" t="str">
        <f>HYPERLINK("http://www.otzar.org/book.asp?614502","סדר הסליחות לתעניות")</f>
        <v>סדר הסליחות לתעניות</v>
      </c>
    </row>
    <row r="28832" spans="1:6" x14ac:dyDescent="0.2">
      <c r="A28832" t="s">
        <v>45529</v>
      </c>
      <c r="B28832" t="s">
        <v>45530</v>
      </c>
      <c r="C28832" t="s">
        <v>8678</v>
      </c>
      <c r="D28832" t="s">
        <v>2714</v>
      </c>
      <c r="E28832" t="s">
        <v>1517</v>
      </c>
      <c r="F28832" s="2" t="str">
        <f>HYPERLINK("http://www.otzar.org/book.asp?181179","סדר הסליחות של שובבים ת""ת")</f>
        <v>סדר הסליחות של שובבים ת"ת</v>
      </c>
    </row>
    <row r="28833" spans="1:6" x14ac:dyDescent="0.2">
      <c r="A28833" t="s">
        <v>45531</v>
      </c>
      <c r="B28833" t="s">
        <v>45532</v>
      </c>
      <c r="C28833" t="s">
        <v>37</v>
      </c>
      <c r="D28833" t="s">
        <v>90</v>
      </c>
      <c r="E28833" t="s">
        <v>399</v>
      </c>
      <c r="F28833" s="2" t="str">
        <f>HYPERLINK("http://www.otzar.org/book.asp?193006","סדר העבודה  לוית חן")</f>
        <v>סדר העבודה  לוית חן</v>
      </c>
    </row>
    <row r="28834" spans="1:6" x14ac:dyDescent="0.2">
      <c r="A28834" t="s">
        <v>45533</v>
      </c>
      <c r="B28834" t="s">
        <v>45534</v>
      </c>
      <c r="C28834" t="s">
        <v>45535</v>
      </c>
      <c r="D28834" t="s">
        <v>20713</v>
      </c>
      <c r="E28834" t="s">
        <v>1517</v>
      </c>
      <c r="F28834" s="2" t="str">
        <f>HYPERLINK("http://www.otzar.org/book.asp?606191","סדר העבודה לר""ה וילי""כ (בית הכנסת ניעדדערהאפהיים)")</f>
        <v>סדר העבודה לר"ה וילי"כ (בית הכנסת ניעדדערהאפהיים)</v>
      </c>
    </row>
    <row r="28835" spans="1:6" x14ac:dyDescent="0.2">
      <c r="A28835" t="s">
        <v>45536</v>
      </c>
      <c r="B28835" t="s">
        <v>45537</v>
      </c>
      <c r="C28835" t="s">
        <v>360</v>
      </c>
      <c r="D28835" t="s">
        <v>412</v>
      </c>
      <c r="E28835" t="s">
        <v>219</v>
      </c>
      <c r="F28835" s="2" t="str">
        <f>HYPERLINK("http://www.otzar.org/book.asp?154661","סדר העבודה")</f>
        <v>סדר העבודה</v>
      </c>
    </row>
    <row r="28836" spans="1:6" x14ac:dyDescent="0.2">
      <c r="A28836" t="s">
        <v>45538</v>
      </c>
      <c r="B28836" t="s">
        <v>45539</v>
      </c>
      <c r="C28836" t="s">
        <v>445</v>
      </c>
      <c r="D28836" t="s">
        <v>27</v>
      </c>
      <c r="E28836" t="s">
        <v>15</v>
      </c>
      <c r="F28836" s="2" t="str">
        <f>HYPERLINK("http://www.otzar.org/book.asp?10239","סדר הפורים המשולש - 2 כר'")</f>
        <v>סדר הפורים המשולש - 2 כר'</v>
      </c>
    </row>
    <row r="28837" spans="1:6" x14ac:dyDescent="0.2">
      <c r="A28837" t="s">
        <v>45540</v>
      </c>
      <c r="B28837" t="s">
        <v>45523</v>
      </c>
      <c r="C28837" t="s">
        <v>143</v>
      </c>
      <c r="D28837" t="s">
        <v>52</v>
      </c>
      <c r="E28837" t="s">
        <v>219</v>
      </c>
      <c r="F28837" s="2" t="str">
        <f>HYPERLINK("http://www.otzar.org/book.asp?61433","סדר הפזמונים לשמחת תורה כמנהג ק""ק תימן")</f>
        <v>סדר הפזמונים לשמחת תורה כמנהג ק"ק תימן</v>
      </c>
    </row>
    <row r="28838" spans="1:6" x14ac:dyDescent="0.2">
      <c r="A28838" t="s">
        <v>45541</v>
      </c>
      <c r="B28838" t="s">
        <v>45542</v>
      </c>
      <c r="C28838" t="s">
        <v>23</v>
      </c>
      <c r="D28838" t="s">
        <v>52</v>
      </c>
      <c r="E28838" t="s">
        <v>15</v>
      </c>
      <c r="F28838" s="2" t="str">
        <f>HYPERLINK("http://www.otzar.org/book.asp?604916","סדר הפרשת תרומות ומעשרות באולמות שמחה")</f>
        <v>סדר הפרשת תרומות ומעשרות באולמות שמחה</v>
      </c>
    </row>
    <row r="28839" spans="1:6" x14ac:dyDescent="0.2">
      <c r="A28839" t="s">
        <v>45543</v>
      </c>
      <c r="B28839" t="s">
        <v>45544</v>
      </c>
      <c r="C28839" t="s">
        <v>1570</v>
      </c>
      <c r="D28839" t="s">
        <v>14</v>
      </c>
      <c r="E28839" t="s">
        <v>219</v>
      </c>
      <c r="F28839" s="2" t="str">
        <f>HYPERLINK("http://www.otzar.org/book.asp?626367","סדר הקאפיטליך")</f>
        <v>סדר הקאפיטליך</v>
      </c>
    </row>
    <row r="28840" spans="1:6" x14ac:dyDescent="0.2">
      <c r="A28840" t="s">
        <v>45545</v>
      </c>
      <c r="B28840" t="s">
        <v>8353</v>
      </c>
      <c r="F28840" s="2" t="str">
        <f>HYPERLINK("http://www.otzar.org/book.asp?608883","סדר הקהל")</f>
        <v>סדר הקהל</v>
      </c>
    </row>
    <row r="28841" spans="1:6" x14ac:dyDescent="0.2">
      <c r="A28841" t="s">
        <v>45546</v>
      </c>
      <c r="B28841" t="s">
        <v>45547</v>
      </c>
      <c r="C28841" t="s">
        <v>1706</v>
      </c>
      <c r="D28841" t="s">
        <v>45548</v>
      </c>
      <c r="E28841" t="s">
        <v>1517</v>
      </c>
      <c r="F28841" s="2" t="str">
        <f>HYPERLINK("http://www.otzar.org/book.asp?179447","סדר הקינות לתשעה באב - 2 כר'")</f>
        <v>סדר הקינות לתשעה באב - 2 כר'</v>
      </c>
    </row>
    <row r="28842" spans="1:6" x14ac:dyDescent="0.2">
      <c r="A28842" t="s">
        <v>45549</v>
      </c>
      <c r="B28842" t="s">
        <v>22438</v>
      </c>
      <c r="E28842" t="s">
        <v>219</v>
      </c>
      <c r="F28842" s="2" t="str">
        <f>HYPERLINK("http://www.otzar.org/book.asp?605244","סדר הקמת מצבה")</f>
        <v>סדר הקמת מצבה</v>
      </c>
    </row>
    <row r="28843" spans="1:6" x14ac:dyDescent="0.2">
      <c r="A28843" t="s">
        <v>45550</v>
      </c>
      <c r="B28843" t="s">
        <v>45551</v>
      </c>
      <c r="C28843" t="s">
        <v>151</v>
      </c>
      <c r="D28843" t="s">
        <v>412</v>
      </c>
      <c r="E28843" t="s">
        <v>4656</v>
      </c>
      <c r="F28843" s="2" t="str">
        <f>HYPERLINK("http://www.otzar.org/book.asp?610872","סדר הקפות לשמח""ת &lt;קרעטישנוף - סיגעט&gt;")</f>
        <v>סדר הקפות לשמח"ת &lt;קרעטישנוף - סיגעט&gt;</v>
      </c>
    </row>
    <row r="28844" spans="1:6" x14ac:dyDescent="0.2">
      <c r="A28844" t="s">
        <v>45552</v>
      </c>
      <c r="B28844" t="s">
        <v>45553</v>
      </c>
      <c r="C28844" t="s">
        <v>496</v>
      </c>
      <c r="D28844" t="s">
        <v>225</v>
      </c>
      <c r="E28844" t="s">
        <v>219</v>
      </c>
      <c r="F28844" s="2" t="str">
        <f>HYPERLINK("http://www.otzar.org/book.asp?142495","סדר הקפות לשמיני עצרת ולשמחת תורה")</f>
        <v>סדר הקפות לשמיני עצרת ולשמחת תורה</v>
      </c>
    </row>
    <row r="28845" spans="1:6" x14ac:dyDescent="0.2">
      <c r="A28845" t="s">
        <v>45554</v>
      </c>
      <c r="B28845" t="s">
        <v>45555</v>
      </c>
      <c r="C28845" t="s">
        <v>189</v>
      </c>
      <c r="D28845" t="s">
        <v>412</v>
      </c>
      <c r="E28845" t="s">
        <v>1517</v>
      </c>
      <c r="F28845" s="2" t="str">
        <f>HYPERLINK("http://www.otzar.org/book.asp?603867","סדר הקפות לשמנ""ע ושמח""ת")</f>
        <v>סדר הקפות לשמנ"ע ושמח"ת</v>
      </c>
    </row>
    <row r="28846" spans="1:6" x14ac:dyDescent="0.2">
      <c r="A28846" t="s">
        <v>45556</v>
      </c>
      <c r="B28846" t="s">
        <v>24063</v>
      </c>
      <c r="C28846" t="s">
        <v>37</v>
      </c>
      <c r="D28846" t="s">
        <v>412</v>
      </c>
      <c r="E28846" t="s">
        <v>1517</v>
      </c>
      <c r="F28846" s="2" t="str">
        <f>HYPERLINK("http://www.otzar.org/book.asp?196269","סדר הקפות - שמחת אליעזר")</f>
        <v>סדר הקפות - שמחת אליעזר</v>
      </c>
    </row>
    <row r="28847" spans="1:6" x14ac:dyDescent="0.2">
      <c r="A28847" t="s">
        <v>45557</v>
      </c>
      <c r="B28847" t="s">
        <v>45558</v>
      </c>
      <c r="C28847" t="s">
        <v>2644</v>
      </c>
      <c r="D28847" t="s">
        <v>45559</v>
      </c>
      <c r="F28847" s="2" t="str">
        <f>HYPERLINK("http://www.otzar.org/book.asp?170282","סדר הקפות")</f>
        <v>סדר הקפות</v>
      </c>
    </row>
    <row r="28848" spans="1:6" x14ac:dyDescent="0.2">
      <c r="A28848" t="s">
        <v>45560</v>
      </c>
      <c r="B28848" t="s">
        <v>45561</v>
      </c>
      <c r="C28848" t="s">
        <v>390</v>
      </c>
      <c r="D28848" t="s">
        <v>21</v>
      </c>
      <c r="E28848" t="s">
        <v>1517</v>
      </c>
      <c r="F28848" s="2" t="str">
        <f>HYPERLINK("http://www.otzar.org/book.asp?626418","סדר הקפות, הקרבנות ואושפיזין על פי נוסח צאנז")</f>
        <v>סדר הקפות, הקרבנות ואושפיזין על פי נוסח צאנז</v>
      </c>
    </row>
    <row r="28849" spans="1:6" x14ac:dyDescent="0.2">
      <c r="A28849" t="s">
        <v>45562</v>
      </c>
      <c r="B28849" t="s">
        <v>45563</v>
      </c>
      <c r="C28849" t="s">
        <v>20</v>
      </c>
      <c r="D28849" t="s">
        <v>21</v>
      </c>
      <c r="E28849" t="s">
        <v>30176</v>
      </c>
      <c r="F28849" s="2" t="str">
        <f>HYPERLINK("http://www.otzar.org/book.asp?197190","סדר הקרבנות")</f>
        <v>סדר הקרבנות</v>
      </c>
    </row>
    <row r="28850" spans="1:6" x14ac:dyDescent="0.2">
      <c r="A28850" t="s">
        <v>45564</v>
      </c>
      <c r="B28850" t="s">
        <v>45565</v>
      </c>
      <c r="C28850" t="s">
        <v>68</v>
      </c>
      <c r="D28850" t="s">
        <v>367</v>
      </c>
      <c r="E28850" t="s">
        <v>1517</v>
      </c>
      <c r="F28850" s="2" t="str">
        <f>HYPERLINK("http://www.otzar.org/book.asp?608230","סדר הקרבת קרבן הפסח למעשה")</f>
        <v>סדר הקרבת קרבן הפסח למעשה</v>
      </c>
    </row>
    <row r="28851" spans="1:6" x14ac:dyDescent="0.2">
      <c r="A28851" t="s">
        <v>45566</v>
      </c>
      <c r="B28851" t="s">
        <v>45567</v>
      </c>
      <c r="C28851" t="s">
        <v>244</v>
      </c>
      <c r="D28851" t="s">
        <v>14</v>
      </c>
      <c r="E28851" t="s">
        <v>15</v>
      </c>
      <c r="F28851" s="2" t="str">
        <f>HYPERLINK("http://www.otzar.org/book.asp?630590","סדר הרבית - 2 כר'")</f>
        <v>סדר הרבית - 2 כר'</v>
      </c>
    </row>
    <row r="28852" spans="1:6" x14ac:dyDescent="0.2">
      <c r="A28852" t="s">
        <v>45568</v>
      </c>
      <c r="B28852" t="s">
        <v>33664</v>
      </c>
      <c r="C28852" t="s">
        <v>442</v>
      </c>
      <c r="D28852" t="s">
        <v>80</v>
      </c>
      <c r="E28852" t="s">
        <v>15</v>
      </c>
      <c r="F28852" s="2" t="str">
        <f>HYPERLINK("http://www.otzar.org/book.asp?618980","סדר השביעית - 10 כר'")</f>
        <v>סדר השביעית - 10 כר'</v>
      </c>
    </row>
    <row r="28853" spans="1:6" x14ac:dyDescent="0.2">
      <c r="A28853" t="s">
        <v>45569</v>
      </c>
      <c r="B28853" t="s">
        <v>45570</v>
      </c>
      <c r="C28853" t="s">
        <v>2289</v>
      </c>
      <c r="D28853" t="s">
        <v>45571</v>
      </c>
      <c r="E28853" t="s">
        <v>219</v>
      </c>
      <c r="F28853" s="2" t="str">
        <f>HYPERLINK("http://www.otzar.org/book.asp?53479","סדר התמיד - 2 כר'")</f>
        <v>סדר התמיד - 2 כר'</v>
      </c>
    </row>
    <row r="28854" spans="1:6" x14ac:dyDescent="0.2">
      <c r="A28854" t="s">
        <v>45572</v>
      </c>
      <c r="B28854" t="s">
        <v>45573</v>
      </c>
      <c r="C28854" t="s">
        <v>1166</v>
      </c>
      <c r="D28854" t="s">
        <v>225</v>
      </c>
      <c r="E28854" t="s">
        <v>15</v>
      </c>
      <c r="F28854" s="2" t="str">
        <f>HYPERLINK("http://www.otzar.org/book.asp?29235","סדר התנאים והכתובה - 2 כר'")</f>
        <v>סדר התנאים והכתובה - 2 כר'</v>
      </c>
    </row>
    <row r="28855" spans="1:6" x14ac:dyDescent="0.2">
      <c r="A28855" t="s">
        <v>45574</v>
      </c>
      <c r="B28855" t="s">
        <v>10819</v>
      </c>
      <c r="C28855" t="s">
        <v>466</v>
      </c>
      <c r="D28855" t="s">
        <v>14</v>
      </c>
      <c r="E28855" t="s">
        <v>15</v>
      </c>
      <c r="F28855" s="2" t="str">
        <f>HYPERLINK("http://www.otzar.org/book.asp?52967","סדר התפילה")</f>
        <v>סדר התפילה</v>
      </c>
    </row>
    <row r="28856" spans="1:6" x14ac:dyDescent="0.2">
      <c r="A28856" t="s">
        <v>45575</v>
      </c>
      <c r="B28856" t="s">
        <v>45576</v>
      </c>
      <c r="E28856" t="s">
        <v>219</v>
      </c>
      <c r="F28856" s="2" t="str">
        <f>HYPERLINK("http://www.otzar.org/book.asp?622376","סדר התפילות לברית")</f>
        <v>סדר התפילות לברית</v>
      </c>
    </row>
    <row r="28857" spans="1:6" x14ac:dyDescent="0.2">
      <c r="A28857" t="s">
        <v>45577</v>
      </c>
      <c r="B28857" t="s">
        <v>7058</v>
      </c>
      <c r="C28857" t="s">
        <v>20</v>
      </c>
      <c r="D28857" t="s">
        <v>14</v>
      </c>
      <c r="E28857" t="s">
        <v>219</v>
      </c>
      <c r="F28857" s="2" t="str">
        <f>HYPERLINK("http://www.otzar.org/book.asp?143235","סדר התפילות למציאת זווג הגון")</f>
        <v>סדר התפילות למציאת זווג הגון</v>
      </c>
    </row>
    <row r="28858" spans="1:6" x14ac:dyDescent="0.2">
      <c r="A28858" t="s">
        <v>45578</v>
      </c>
      <c r="B28858" t="s">
        <v>31988</v>
      </c>
      <c r="C28858" t="s">
        <v>45579</v>
      </c>
      <c r="D28858" t="s">
        <v>1411</v>
      </c>
      <c r="F28858" s="2" t="str">
        <f>HYPERLINK("http://www.otzar.org/book.asp?170066","סדר התפלה שנעשית פה מנטובה")</f>
        <v>סדר התפלה שנעשית פה מנטובה</v>
      </c>
    </row>
    <row r="28859" spans="1:6" x14ac:dyDescent="0.2">
      <c r="A28859" t="s">
        <v>45580</v>
      </c>
      <c r="B28859" t="s">
        <v>45581</v>
      </c>
      <c r="C28859" t="s">
        <v>26</v>
      </c>
      <c r="D28859" t="s">
        <v>14</v>
      </c>
      <c r="F28859" s="2" t="str">
        <f>HYPERLINK("http://www.otzar.org/book.asp?620404","סדר התפלות וההודיות")</f>
        <v>סדר התפלות וההודיות</v>
      </c>
    </row>
    <row r="28860" spans="1:6" x14ac:dyDescent="0.2">
      <c r="A28860" t="s">
        <v>45582</v>
      </c>
      <c r="B28860" t="s">
        <v>45583</v>
      </c>
      <c r="C28860" t="s">
        <v>1663</v>
      </c>
      <c r="D28860" t="s">
        <v>563</v>
      </c>
      <c r="E28860" t="s">
        <v>1517</v>
      </c>
      <c r="F28860" s="2" t="str">
        <f>HYPERLINK("http://www.otzar.org/book.asp?166047","סדר התפלות כפי מנהג ק""ק ספרדים שער השמים - (פסח, שבועות)")</f>
        <v>סדר התפלות כפי מנהג ק"ק ספרדים שער השמים - (פסח, שבועות)</v>
      </c>
    </row>
    <row r="28861" spans="1:6" x14ac:dyDescent="0.2">
      <c r="A28861" t="s">
        <v>45584</v>
      </c>
      <c r="B28861" t="s">
        <v>45585</v>
      </c>
      <c r="C28861" t="s">
        <v>189</v>
      </c>
      <c r="D28861" t="s">
        <v>52</v>
      </c>
      <c r="E28861" t="s">
        <v>219</v>
      </c>
      <c r="F28861" s="2" t="str">
        <f>HYPERLINK("http://www.otzar.org/book.asp?168724","סדר התרת נדרים לכל השנה")</f>
        <v>סדר התרת נדרים לכל השנה</v>
      </c>
    </row>
    <row r="28862" spans="1:6" x14ac:dyDescent="0.2">
      <c r="A28862" t="s">
        <v>45586</v>
      </c>
      <c r="B28862" t="s">
        <v>45587</v>
      </c>
      <c r="C28862" t="s">
        <v>8002</v>
      </c>
      <c r="D28862" t="s">
        <v>6042</v>
      </c>
      <c r="E28862" t="s">
        <v>674</v>
      </c>
      <c r="F28862" s="2" t="str">
        <f>HYPERLINK("http://www.otzar.org/book.asp?174514","סדר והנהגה של נשואין - 3 כר'")</f>
        <v>סדר והנהגה של נשואין - 3 כר'</v>
      </c>
    </row>
    <row r="28863" spans="1:6" x14ac:dyDescent="0.2">
      <c r="A28863" t="s">
        <v>45588</v>
      </c>
      <c r="B28863" t="s">
        <v>206</v>
      </c>
      <c r="C28863" t="s">
        <v>68</v>
      </c>
      <c r="D28863" t="s">
        <v>14</v>
      </c>
      <c r="E28863" t="s">
        <v>703</v>
      </c>
      <c r="F28863" s="2" t="str">
        <f>HYPERLINK("http://www.otzar.org/book.asp?614807","סדר וידוי דברים")</f>
        <v>סדר וידוי דברים</v>
      </c>
    </row>
    <row r="28864" spans="1:6" x14ac:dyDescent="0.2">
      <c r="A28864" t="s">
        <v>45589</v>
      </c>
      <c r="B28864" t="s">
        <v>38250</v>
      </c>
      <c r="C28864" t="s">
        <v>466</v>
      </c>
      <c r="D28864" t="s">
        <v>52</v>
      </c>
      <c r="E28864" t="s">
        <v>15</v>
      </c>
      <c r="F28864" s="2" t="str">
        <f>HYPERLINK("http://www.otzar.org/book.asp?62968","סדר ומנהגי הבדלה")</f>
        <v>סדר ומנהגי הבדלה</v>
      </c>
    </row>
    <row r="28865" spans="1:6" x14ac:dyDescent="0.2">
      <c r="A28865" t="s">
        <v>45590</v>
      </c>
      <c r="B28865" t="s">
        <v>45405</v>
      </c>
      <c r="C28865" t="s">
        <v>1058</v>
      </c>
      <c r="D28865" t="s">
        <v>212</v>
      </c>
      <c r="F28865" s="2" t="str">
        <f>HYPERLINK("http://www.otzar.org/book.asp?170257","סדר ותיקון ברכת החמה בתקופתה")</f>
        <v>סדר ותיקון ברכת החמה בתקופתה</v>
      </c>
    </row>
    <row r="28866" spans="1:6" x14ac:dyDescent="0.2">
      <c r="A28866" t="s">
        <v>45591</v>
      </c>
      <c r="B28866" t="s">
        <v>45592</v>
      </c>
      <c r="C28866" t="s">
        <v>7158</v>
      </c>
      <c r="D28866" t="s">
        <v>1411</v>
      </c>
      <c r="E28866" t="s">
        <v>219</v>
      </c>
      <c r="F28866" s="2" t="str">
        <f>HYPERLINK("http://www.otzar.org/book.asp?163368","סדר ותיקון ז באדר")</f>
        <v>סדר ותיקון ז באדר</v>
      </c>
    </row>
    <row r="28867" spans="1:6" x14ac:dyDescent="0.2">
      <c r="A28867" t="s">
        <v>45593</v>
      </c>
      <c r="B28867" t="s">
        <v>45594</v>
      </c>
      <c r="C28867" t="s">
        <v>8222</v>
      </c>
      <c r="D28867" t="s">
        <v>744</v>
      </c>
      <c r="E28867" t="s">
        <v>219</v>
      </c>
      <c r="F28867" s="2" t="str">
        <f>HYPERLINK("http://www.otzar.org/book.asp?146888","סדר ותיקון ק""ש שעל המטה")</f>
        <v>סדר ותיקון ק"ש שעל המטה</v>
      </c>
    </row>
    <row r="28868" spans="1:6" x14ac:dyDescent="0.2">
      <c r="A28868" t="s">
        <v>45595</v>
      </c>
      <c r="B28868" t="s">
        <v>18398</v>
      </c>
      <c r="C28868" t="s">
        <v>390</v>
      </c>
      <c r="D28868" t="s">
        <v>14</v>
      </c>
      <c r="E28868" t="s">
        <v>5144</v>
      </c>
      <c r="F28868" s="2" t="str">
        <f>HYPERLINK("http://www.otzar.org/book.asp?5505","סדר ז' אדר")</f>
        <v>סדר ז' אדר</v>
      </c>
    </row>
    <row r="28869" spans="1:6" x14ac:dyDescent="0.2">
      <c r="A28869" t="s">
        <v>45596</v>
      </c>
      <c r="B28869" t="s">
        <v>9641</v>
      </c>
      <c r="C28869" t="s">
        <v>14</v>
      </c>
      <c r="D28869" t="s">
        <v>1448</v>
      </c>
      <c r="F28869" s="2" t="str">
        <f>HYPERLINK("http://www.otzar.org/book.asp?192881","סדר זמירות ובקשות")</f>
        <v>סדר זמירות ובקשות</v>
      </c>
    </row>
    <row r="28870" spans="1:6" x14ac:dyDescent="0.2">
      <c r="A28870" t="s">
        <v>45597</v>
      </c>
      <c r="B28870" t="s">
        <v>45598</v>
      </c>
      <c r="D28870" t="s">
        <v>412</v>
      </c>
      <c r="E28870" t="s">
        <v>1517</v>
      </c>
      <c r="F28870" s="2" t="str">
        <f>HYPERLINK("http://www.otzar.org/book.asp?624741","סדר זמירות לשבת &lt;עונג ושמחה לשבת&gt;")</f>
        <v>סדר זמירות לשבת &lt;עונג ושמחה לשבת&gt;</v>
      </c>
    </row>
    <row r="28871" spans="1:6" x14ac:dyDescent="0.2">
      <c r="A28871" t="s">
        <v>45599</v>
      </c>
      <c r="B28871" t="s">
        <v>45600</v>
      </c>
      <c r="C28871" t="s">
        <v>383</v>
      </c>
      <c r="D28871" t="s">
        <v>52</v>
      </c>
      <c r="E28871" t="s">
        <v>1517</v>
      </c>
      <c r="F28871" s="2" t="str">
        <f>HYPERLINK("http://www.otzar.org/book.asp?611141","סדר זמירות לשבת ומועדי השנה &lt;טשערנאביל&gt;")</f>
        <v>סדר זמירות לשבת ומועדי השנה &lt;טשערנאביל&gt;</v>
      </c>
    </row>
    <row r="28872" spans="1:6" x14ac:dyDescent="0.2">
      <c r="A28872" t="s">
        <v>45601</v>
      </c>
      <c r="B28872" t="s">
        <v>12291</v>
      </c>
      <c r="C28872" t="s">
        <v>71</v>
      </c>
      <c r="D28872" t="s">
        <v>52</v>
      </c>
      <c r="E28872" t="s">
        <v>4656</v>
      </c>
      <c r="F28872" s="2" t="str">
        <f>HYPERLINK("http://www.otzar.org/book.asp?107236","סדר זמירות לשבת עם באר החסידות")</f>
        <v>סדר זמירות לשבת עם באר החסידות</v>
      </c>
    </row>
    <row r="28873" spans="1:6" x14ac:dyDescent="0.2">
      <c r="A28873" t="s">
        <v>45602</v>
      </c>
      <c r="B28873" t="s">
        <v>45603</v>
      </c>
      <c r="C28873" t="s">
        <v>111</v>
      </c>
      <c r="D28873" t="s">
        <v>1156</v>
      </c>
      <c r="E28873" t="s">
        <v>1517</v>
      </c>
      <c r="F28873" s="2" t="str">
        <f>HYPERLINK("http://www.otzar.org/book.asp?622516","סדר זמירות לשבת קודש &lt;מעשה אבותי&gt;")</f>
        <v>סדר זמירות לשבת קודש &lt;מעשה אבותי&gt;</v>
      </c>
    </row>
    <row r="28874" spans="1:6" x14ac:dyDescent="0.2">
      <c r="A28874" t="s">
        <v>45604</v>
      </c>
      <c r="B28874" t="s">
        <v>45605</v>
      </c>
      <c r="C28874" t="s">
        <v>114</v>
      </c>
      <c r="D28874" t="s">
        <v>14</v>
      </c>
      <c r="F28874" s="2" t="str">
        <f>HYPERLINK("http://www.otzar.org/book.asp?612164","סדר זמירות לשבת קודש זוועהיל")</f>
        <v>סדר זמירות לשבת קודש זוועהיל</v>
      </c>
    </row>
    <row r="28875" spans="1:6" x14ac:dyDescent="0.2">
      <c r="A28875" t="s">
        <v>45606</v>
      </c>
      <c r="B28875" t="s">
        <v>45607</v>
      </c>
      <c r="C28875" t="s">
        <v>244</v>
      </c>
      <c r="D28875" t="s">
        <v>14</v>
      </c>
      <c r="E28875" t="s">
        <v>1517</v>
      </c>
      <c r="F28875" s="2" t="str">
        <f>HYPERLINK("http://www.otzar.org/book.asp?612314","סדר זמירות שבת קודש לעטר פתורא")</f>
        <v>סדר זמירות שבת קודש לעטר פתורא</v>
      </c>
    </row>
    <row r="28876" spans="1:6" x14ac:dyDescent="0.2">
      <c r="A28876" t="s">
        <v>45608</v>
      </c>
      <c r="B28876" t="s">
        <v>5092</v>
      </c>
      <c r="C28876" t="s">
        <v>37</v>
      </c>
      <c r="D28876" t="s">
        <v>412</v>
      </c>
      <c r="E28876" t="s">
        <v>1517</v>
      </c>
      <c r="F28876" s="2" t="str">
        <f>HYPERLINK("http://www.otzar.org/book.asp?194341","סדר זמירות שירין ורחשין")</f>
        <v>סדר זמירות שירין ורחשין</v>
      </c>
    </row>
    <row r="28877" spans="1:6" x14ac:dyDescent="0.2">
      <c r="A28877" t="s">
        <v>45609</v>
      </c>
      <c r="B28877" t="s">
        <v>45610</v>
      </c>
      <c r="C28877" t="s">
        <v>7193</v>
      </c>
      <c r="D28877" t="s">
        <v>49</v>
      </c>
      <c r="E28877" t="s">
        <v>104</v>
      </c>
      <c r="F28877" s="2" t="str">
        <f>HYPERLINK("http://www.otzar.org/book.asp?173187","סדר זמנים")</f>
        <v>סדר זמנים</v>
      </c>
    </row>
    <row r="28878" spans="1:6" x14ac:dyDescent="0.2">
      <c r="A28878" t="s">
        <v>45611</v>
      </c>
      <c r="B28878" t="s">
        <v>3522</v>
      </c>
      <c r="C28878" t="s">
        <v>189</v>
      </c>
      <c r="D28878" t="s">
        <v>14</v>
      </c>
      <c r="E28878" t="s">
        <v>1262</v>
      </c>
      <c r="F28878" s="2" t="str">
        <f>HYPERLINK("http://www.otzar.org/book.asp?141977","סדר זמנים - 2 כר'")</f>
        <v>סדר זמנים - 2 כר'</v>
      </c>
    </row>
    <row r="28879" spans="1:6" x14ac:dyDescent="0.2">
      <c r="A28879" t="s">
        <v>45609</v>
      </c>
      <c r="B28879" t="s">
        <v>45612</v>
      </c>
      <c r="C28879" t="s">
        <v>22368</v>
      </c>
      <c r="D28879" t="s">
        <v>45613</v>
      </c>
      <c r="E28879" t="s">
        <v>1626</v>
      </c>
      <c r="F28879" s="2" t="str">
        <f>HYPERLINK("http://www.otzar.org/book.asp?146949","סדר זמנים")</f>
        <v>סדר זמנים</v>
      </c>
    </row>
    <row r="28880" spans="1:6" x14ac:dyDescent="0.2">
      <c r="A28880" t="s">
        <v>45614</v>
      </c>
      <c r="B28880" t="s">
        <v>45615</v>
      </c>
      <c r="C28880" t="s">
        <v>244</v>
      </c>
      <c r="D28880" t="s">
        <v>14</v>
      </c>
      <c r="E28880" t="s">
        <v>15</v>
      </c>
      <c r="F28880" s="2" t="str">
        <f>HYPERLINK("http://www.otzar.org/book.asp?611906","סדר חופה וקידושין אהל יעקב")</f>
        <v>סדר חופה וקידושין אהל יעקב</v>
      </c>
    </row>
    <row r="28881" spans="1:6" x14ac:dyDescent="0.2">
      <c r="A28881" t="s">
        <v>45616</v>
      </c>
      <c r="B28881" t="s">
        <v>45617</v>
      </c>
      <c r="C28881" t="s">
        <v>6054</v>
      </c>
      <c r="D28881" t="s">
        <v>1467</v>
      </c>
      <c r="E28881" t="s">
        <v>15</v>
      </c>
      <c r="F28881" s="2" t="str">
        <f>HYPERLINK("http://www.otzar.org/book.asp?166308","סדר חיבור ברכות &lt;STUDIES IN JEWISH LITURGY&gt;")</f>
        <v>סדר חיבור ברכות &lt;STUDIES IN JEWISH LITURGY&gt;</v>
      </c>
    </row>
    <row r="28882" spans="1:6" x14ac:dyDescent="0.2">
      <c r="A28882" t="s">
        <v>45618</v>
      </c>
      <c r="B28882" t="s">
        <v>45619</v>
      </c>
      <c r="C28882" t="s">
        <v>20</v>
      </c>
      <c r="D28882" t="s">
        <v>90</v>
      </c>
      <c r="F28882" s="2" t="str">
        <f>HYPERLINK("http://www.otzar.org/book.asp?180996","סדר חיבור ברכות")</f>
        <v>סדר חיבור ברכות</v>
      </c>
    </row>
    <row r="28883" spans="1:6" x14ac:dyDescent="0.2">
      <c r="A28883" t="s">
        <v>45620</v>
      </c>
      <c r="B28883" t="s">
        <v>14381</v>
      </c>
      <c r="C28883" t="s">
        <v>68</v>
      </c>
      <c r="D28883" t="s">
        <v>52</v>
      </c>
      <c r="E28883" t="s">
        <v>15</v>
      </c>
      <c r="F28883" s="2" t="str">
        <f>HYPERLINK("http://www.otzar.org/book.asp?173789","סדר חליצה - טיב חליצה - נתן פריו")</f>
        <v>סדר חליצה - טיב חליצה - נתן פריו</v>
      </c>
    </row>
    <row r="28884" spans="1:6" x14ac:dyDescent="0.2">
      <c r="A28884" t="s">
        <v>45621</v>
      </c>
      <c r="B28884" t="s">
        <v>45622</v>
      </c>
      <c r="C28884" t="s">
        <v>51</v>
      </c>
      <c r="D28884" t="s">
        <v>14</v>
      </c>
      <c r="E28884" t="s">
        <v>24</v>
      </c>
      <c r="F28884" s="2" t="str">
        <f>HYPERLINK("http://www.otzar.org/book.asp?60111","סדר חליצה")</f>
        <v>סדר חליצה</v>
      </c>
    </row>
    <row r="28885" spans="1:6" x14ac:dyDescent="0.2">
      <c r="A28885" t="s">
        <v>45623</v>
      </c>
      <c r="B28885" t="s">
        <v>32428</v>
      </c>
      <c r="C28885" t="s">
        <v>313</v>
      </c>
      <c r="D28885" t="s">
        <v>1356</v>
      </c>
      <c r="E28885" t="s">
        <v>15</v>
      </c>
      <c r="F28885" s="2" t="str">
        <f>HYPERLINK("http://www.otzar.org/book.asp?50419","סדר טהרה")</f>
        <v>סדר טהרה</v>
      </c>
    </row>
    <row r="28886" spans="1:6" x14ac:dyDescent="0.2">
      <c r="A28886" t="s">
        <v>45624</v>
      </c>
      <c r="B28886" t="s">
        <v>45625</v>
      </c>
      <c r="C28886" t="s">
        <v>133</v>
      </c>
      <c r="D28886" t="s">
        <v>486</v>
      </c>
      <c r="E28886" t="s">
        <v>84</v>
      </c>
      <c r="F28886" s="2" t="str">
        <f>HYPERLINK("http://www.otzar.org/book.asp?179547","סדר טהרות - 4 כר'")</f>
        <v>סדר טהרות - 4 כר'</v>
      </c>
    </row>
    <row r="28887" spans="1:6" x14ac:dyDescent="0.2">
      <c r="A28887" t="s">
        <v>45626</v>
      </c>
      <c r="B28887" t="s">
        <v>45627</v>
      </c>
      <c r="C28887" t="s">
        <v>1228</v>
      </c>
      <c r="D28887" t="s">
        <v>322</v>
      </c>
      <c r="E28887" t="s">
        <v>24</v>
      </c>
      <c r="F28887" s="2" t="str">
        <f>HYPERLINK("http://www.otzar.org/book.asp?7772","סדר טרוייש")</f>
        <v>סדר טרוייש</v>
      </c>
    </row>
    <row r="28888" spans="1:6" x14ac:dyDescent="0.2">
      <c r="A28888" t="s">
        <v>45628</v>
      </c>
      <c r="B28888" t="s">
        <v>39494</v>
      </c>
      <c r="C28888" t="s">
        <v>114</v>
      </c>
      <c r="D28888" t="s">
        <v>216</v>
      </c>
      <c r="E28888" t="s">
        <v>24</v>
      </c>
      <c r="F28888" s="2" t="str">
        <f>HYPERLINK("http://www.otzar.org/book.asp?178935","סדר יום ברית מילה")</f>
        <v>סדר יום ברית מילה</v>
      </c>
    </row>
    <row r="28889" spans="1:6" x14ac:dyDescent="0.2">
      <c r="A28889" t="s">
        <v>45629</v>
      </c>
      <c r="B28889" t="s">
        <v>39494</v>
      </c>
      <c r="C28889" t="s">
        <v>411</v>
      </c>
      <c r="D28889" t="s">
        <v>216</v>
      </c>
      <c r="E28889" t="s">
        <v>24</v>
      </c>
      <c r="F28889" s="2" t="str">
        <f>HYPERLINK("http://www.otzar.org/book.asp?178936","סדר יום הבר מצוה")</f>
        <v>סדר יום הבר מצוה</v>
      </c>
    </row>
    <row r="28890" spans="1:6" x14ac:dyDescent="0.2">
      <c r="A28890" t="s">
        <v>45630</v>
      </c>
      <c r="B28890" t="s">
        <v>45631</v>
      </c>
      <c r="C28890" t="s">
        <v>20</v>
      </c>
      <c r="D28890" t="s">
        <v>52</v>
      </c>
      <c r="E28890" t="s">
        <v>219</v>
      </c>
      <c r="F28890" s="2" t="str">
        <f>HYPERLINK("http://www.otzar.org/book.asp?623525","סדר יום כיפור קטן עם ביאורים ממרן הגר""ח קנייבסקי")</f>
        <v>סדר יום כיפור קטן עם ביאורים ממרן הגר"ח קנייבסקי</v>
      </c>
    </row>
    <row r="28891" spans="1:6" x14ac:dyDescent="0.2">
      <c r="A28891" t="s">
        <v>45632</v>
      </c>
      <c r="B28891" t="s">
        <v>4206</v>
      </c>
      <c r="C28891" t="s">
        <v>1609</v>
      </c>
      <c r="D28891" t="s">
        <v>4207</v>
      </c>
      <c r="E28891" t="s">
        <v>219</v>
      </c>
      <c r="F28891" s="2" t="str">
        <f>HYPERLINK("http://www.otzar.org/book.asp?160658","סדר יום כפור קטן עם משמרת החדש")</f>
        <v>סדר יום כפור קטן עם משמרת החדש</v>
      </c>
    </row>
    <row r="28892" spans="1:6" x14ac:dyDescent="0.2">
      <c r="A28892" t="s">
        <v>45633</v>
      </c>
      <c r="E28892" t="s">
        <v>219</v>
      </c>
      <c r="F28892" s="2" t="str">
        <f>HYPERLINK("http://www.otzar.org/book.asp?626594","סדר יום כפור קטן")</f>
        <v>סדר יום כפור קטן</v>
      </c>
    </row>
    <row r="28893" spans="1:6" x14ac:dyDescent="0.2">
      <c r="A28893" t="s">
        <v>45634</v>
      </c>
      <c r="B28893" t="s">
        <v>45635</v>
      </c>
      <c r="C28893" t="s">
        <v>2617</v>
      </c>
      <c r="D28893" t="s">
        <v>5209</v>
      </c>
      <c r="E28893" t="s">
        <v>219</v>
      </c>
      <c r="F28893" s="2" t="str">
        <f>HYPERLINK("http://www.otzar.org/book.asp?179018","סדר יוצרות &lt;ע""פ ידי יוצר&gt;")</f>
        <v>סדר יוצרות &lt;ע"פ ידי יוצר&gt;</v>
      </c>
    </row>
    <row r="28894" spans="1:6" x14ac:dyDescent="0.2">
      <c r="A28894" t="s">
        <v>45636</v>
      </c>
      <c r="B28894" t="s">
        <v>41785</v>
      </c>
      <c r="C28894" t="s">
        <v>23</v>
      </c>
      <c r="D28894" t="s">
        <v>52</v>
      </c>
      <c r="E28894" t="s">
        <v>219</v>
      </c>
      <c r="F28894" s="2" t="str">
        <f>HYPERLINK("http://www.otzar.org/book.asp?189673","סדר יוצרות המבואר - כונת הלב")</f>
        <v>סדר יוצרות המבואר - כונת הלב</v>
      </c>
    </row>
    <row r="28895" spans="1:6" x14ac:dyDescent="0.2">
      <c r="A28895" t="s">
        <v>45637</v>
      </c>
      <c r="B28895" t="s">
        <v>24063</v>
      </c>
      <c r="C28895" t="s">
        <v>23</v>
      </c>
      <c r="D28895" t="s">
        <v>412</v>
      </c>
      <c r="E28895" t="s">
        <v>219</v>
      </c>
      <c r="F28895" s="2" t="str">
        <f>HYPERLINK("http://www.otzar.org/book.asp?196266","סדר יוצרות לארבע פרשיות - הגיון אליעזר")</f>
        <v>סדר יוצרות לארבע פרשיות - הגיון אליעזר</v>
      </c>
    </row>
    <row r="28896" spans="1:6" x14ac:dyDescent="0.2">
      <c r="A28896" t="s">
        <v>45638</v>
      </c>
      <c r="B28896" t="s">
        <v>45639</v>
      </c>
      <c r="E28896" t="s">
        <v>1517</v>
      </c>
      <c r="F28896" s="2" t="str">
        <f>HYPERLINK("http://www.otzar.org/book.asp?626587","סדר יוצרות עם קרובץ לפורים")</f>
        <v>סדר יוצרות עם קרובץ לפורים</v>
      </c>
    </row>
    <row r="28897" spans="1:6" x14ac:dyDescent="0.2">
      <c r="A28897" t="s">
        <v>45640</v>
      </c>
      <c r="B28897" t="s">
        <v>45641</v>
      </c>
      <c r="C28897" t="s">
        <v>1537</v>
      </c>
      <c r="D28897" t="s">
        <v>744</v>
      </c>
      <c r="E28897" t="s">
        <v>1517</v>
      </c>
      <c r="F28897" s="2" t="str">
        <f>HYPERLINK("http://www.otzar.org/book.asp?179787","סדר ימי הסליחות")</f>
        <v>סדר ימי הסליחות</v>
      </c>
    </row>
    <row r="28898" spans="1:6" x14ac:dyDescent="0.2">
      <c r="A28898" t="s">
        <v>45642</v>
      </c>
      <c r="B28898" t="s">
        <v>36105</v>
      </c>
      <c r="C28898" t="s">
        <v>2140</v>
      </c>
      <c r="D28898" t="s">
        <v>6801</v>
      </c>
      <c r="E28898" t="s">
        <v>1517</v>
      </c>
      <c r="F28898" s="2" t="str">
        <f>HYPERLINK("http://www.otzar.org/book.asp?179461","סדר ימי הפורים")</f>
        <v>סדר ימי הפורים</v>
      </c>
    </row>
    <row r="28899" spans="1:6" x14ac:dyDescent="0.2">
      <c r="A28899" t="s">
        <v>45643</v>
      </c>
      <c r="B28899" t="s">
        <v>45644</v>
      </c>
      <c r="C28899" t="s">
        <v>163</v>
      </c>
      <c r="D28899" t="s">
        <v>1459</v>
      </c>
      <c r="E28899" t="s">
        <v>219</v>
      </c>
      <c r="F28899" s="2" t="str">
        <f>HYPERLINK("http://www.otzar.org/book.asp?26543","סדר ימי סליחות כמנהג ק""ק אונגארן, בעהמען, מעהרען ושלעזיען")</f>
        <v>סדר ימי סליחות כמנהג ק"ק אונגארן, בעהמען, מעהרען ושלעזיען</v>
      </c>
    </row>
    <row r="28900" spans="1:6" x14ac:dyDescent="0.2">
      <c r="A28900" t="s">
        <v>45645</v>
      </c>
      <c r="B28900" t="s">
        <v>17802</v>
      </c>
      <c r="C28900" t="s">
        <v>946</v>
      </c>
      <c r="D28900" t="s">
        <v>283</v>
      </c>
      <c r="E28900" t="s">
        <v>119</v>
      </c>
      <c r="F28900" s="2" t="str">
        <f>HYPERLINK("http://www.otzar.org/book.asp?14543","סדר ימי עולם")</f>
        <v>סדר ימי עולם</v>
      </c>
    </row>
    <row r="28901" spans="1:6" x14ac:dyDescent="0.2">
      <c r="A28901" t="s">
        <v>45646</v>
      </c>
      <c r="B28901" t="s">
        <v>45647</v>
      </c>
      <c r="C28901" t="s">
        <v>725</v>
      </c>
      <c r="D28901" t="s">
        <v>45648</v>
      </c>
      <c r="E28901" t="s">
        <v>130</v>
      </c>
      <c r="F28901" s="2" t="str">
        <f>HYPERLINK("http://www.otzar.org/book.asp?196327","סדר ימים נוראים")</f>
        <v>סדר ימים נוראים</v>
      </c>
    </row>
    <row r="28902" spans="1:6" x14ac:dyDescent="0.2">
      <c r="A28902" t="s">
        <v>45649</v>
      </c>
      <c r="B28902" t="s">
        <v>16572</v>
      </c>
      <c r="C28902" t="s">
        <v>68</v>
      </c>
      <c r="D28902" t="s">
        <v>14</v>
      </c>
      <c r="E28902" t="s">
        <v>144</v>
      </c>
      <c r="F28902" s="2" t="str">
        <f>HYPERLINK("http://www.otzar.org/book.asp?163177","סדר יעקב - 5 כר'")</f>
        <v>סדר יעקב - 5 כר'</v>
      </c>
    </row>
    <row r="28903" spans="1:6" x14ac:dyDescent="0.2">
      <c r="A28903" t="s">
        <v>45650</v>
      </c>
      <c r="B28903" t="s">
        <v>11283</v>
      </c>
      <c r="C28903" t="s">
        <v>20</v>
      </c>
      <c r="D28903" t="s">
        <v>14</v>
      </c>
      <c r="E28903" t="s">
        <v>246</v>
      </c>
      <c r="F28903" s="2" t="str">
        <f>HYPERLINK("http://www.otzar.org/book.asp?174300","סדר כוונות ר""ה ועשי""ת")</f>
        <v>סדר כוונות ר"ה ועשי"ת</v>
      </c>
    </row>
    <row r="28904" spans="1:6" x14ac:dyDescent="0.2">
      <c r="A28904" t="s">
        <v>45651</v>
      </c>
      <c r="B28904" t="s">
        <v>11283</v>
      </c>
      <c r="C28904" t="s">
        <v>146</v>
      </c>
      <c r="D28904" t="s">
        <v>14</v>
      </c>
      <c r="E28904" t="s">
        <v>246</v>
      </c>
      <c r="F28904" s="2" t="str">
        <f>HYPERLINK("http://www.otzar.org/book.asp?174302","סדר כוונת הרי""ו בר""ה")</f>
        <v>סדר כוונת הרי"ו בר"ה</v>
      </c>
    </row>
    <row r="28905" spans="1:6" x14ac:dyDescent="0.2">
      <c r="A28905" t="s">
        <v>45652</v>
      </c>
      <c r="B28905" t="s">
        <v>45653</v>
      </c>
      <c r="F28905" s="2" t="str">
        <f>HYPERLINK("http://www.otzar.org/book.asp?628759","סדר כונת ברכת הסוכה וסדר הקפות לשמחת תורה")</f>
        <v>סדר כונת ברכת הסוכה וסדר הקפות לשמחת תורה</v>
      </c>
    </row>
    <row r="28906" spans="1:6" x14ac:dyDescent="0.2">
      <c r="A28906" t="s">
        <v>45654</v>
      </c>
      <c r="B28906" t="s">
        <v>45655</v>
      </c>
      <c r="C28906" t="s">
        <v>103</v>
      </c>
      <c r="D28906" t="s">
        <v>1156</v>
      </c>
      <c r="E28906" t="s">
        <v>219</v>
      </c>
      <c r="F28906" s="2" t="str">
        <f>HYPERLINK("http://www.otzar.org/book.asp?84273","סדר ליל הברית")</f>
        <v>סדר ליל הברית</v>
      </c>
    </row>
    <row r="28907" spans="1:6" x14ac:dyDescent="0.2">
      <c r="A28907" t="s">
        <v>45656</v>
      </c>
      <c r="B28907" t="s">
        <v>45657</v>
      </c>
      <c r="C28907" t="s">
        <v>45658</v>
      </c>
      <c r="D28907" t="s">
        <v>5528</v>
      </c>
      <c r="E28907" t="s">
        <v>219</v>
      </c>
      <c r="F28907" s="2" t="str">
        <f>HYPERLINK("http://www.otzar.org/book.asp?618640","סדר ליל הושענא רבא")</f>
        <v>סדר ליל הושענא רבא</v>
      </c>
    </row>
    <row r="28908" spans="1:6" x14ac:dyDescent="0.2">
      <c r="A28908" t="s">
        <v>45659</v>
      </c>
      <c r="B28908" t="s">
        <v>12038</v>
      </c>
      <c r="C28908" t="s">
        <v>45660</v>
      </c>
      <c r="D28908" t="s">
        <v>14</v>
      </c>
      <c r="E28908" t="s">
        <v>1517</v>
      </c>
      <c r="F28908" s="2" t="str">
        <f>HYPERLINK("http://www.otzar.org/book.asp?626366","סדר ליל ר""ה")</f>
        <v>סדר ליל ר"ה</v>
      </c>
    </row>
    <row r="28909" spans="1:6" x14ac:dyDescent="0.2">
      <c r="A28909" t="s">
        <v>45661</v>
      </c>
      <c r="B28909" t="s">
        <v>45662</v>
      </c>
      <c r="C28909" t="s">
        <v>20</v>
      </c>
      <c r="D28909" t="s">
        <v>14</v>
      </c>
      <c r="E28909" t="s">
        <v>1185</v>
      </c>
      <c r="F28909" s="2" t="str">
        <f>HYPERLINK("http://www.otzar.org/book.asp?630347","סדר לימוד ליל ש""ק - חיי שרה")</f>
        <v>סדר לימוד ליל ש"ק - חיי שרה</v>
      </c>
    </row>
    <row r="28910" spans="1:6" x14ac:dyDescent="0.2">
      <c r="A28910" t="s">
        <v>45663</v>
      </c>
      <c r="B28910" t="s">
        <v>206</v>
      </c>
      <c r="C28910" t="s">
        <v>20</v>
      </c>
      <c r="D28910" t="s">
        <v>90</v>
      </c>
      <c r="F28910" s="2" t="str">
        <f>HYPERLINK("http://www.otzar.org/book.asp?629862","סדר לימוד משניות לעילוי הנשמה")</f>
        <v>סדר לימוד משניות לעילוי הנשמה</v>
      </c>
    </row>
    <row r="28911" spans="1:6" x14ac:dyDescent="0.2">
      <c r="A28911" t="s">
        <v>45664</v>
      </c>
      <c r="B28911" t="s">
        <v>45664</v>
      </c>
      <c r="C28911" t="s">
        <v>1811</v>
      </c>
      <c r="D28911" t="s">
        <v>14</v>
      </c>
      <c r="E28911" t="s">
        <v>104</v>
      </c>
      <c r="F28911" s="2" t="str">
        <f>HYPERLINK("http://www.otzar.org/book.asp?14886","סדר לימוד תשב""ר")</f>
        <v>סדר לימוד תשב"ר</v>
      </c>
    </row>
    <row r="28912" spans="1:6" x14ac:dyDescent="0.2">
      <c r="A28912" t="s">
        <v>45665</v>
      </c>
      <c r="B28912" t="s">
        <v>12038</v>
      </c>
      <c r="C28912" t="s">
        <v>1317</v>
      </c>
      <c r="D28912" t="s">
        <v>49</v>
      </c>
      <c r="E28912" t="s">
        <v>219</v>
      </c>
      <c r="F28912" s="2" t="str">
        <f>HYPERLINK("http://www.otzar.org/book.asp?53486","סדר מאה ברכות")</f>
        <v>סדר מאה ברכות</v>
      </c>
    </row>
    <row r="28913" spans="1:6" x14ac:dyDescent="0.2">
      <c r="A28913" t="s">
        <v>45666</v>
      </c>
      <c r="B28913" t="s">
        <v>45667</v>
      </c>
      <c r="C28913" t="s">
        <v>466</v>
      </c>
      <c r="D28913" t="s">
        <v>14</v>
      </c>
      <c r="E28913" t="s">
        <v>119</v>
      </c>
      <c r="F28913" s="2" t="str">
        <f>HYPERLINK("http://www.otzar.org/book.asp?84530","סדר מאמר &lt;על סדר הדורות&gt;")</f>
        <v>סדר מאמר &lt;על סדר הדורות&gt;</v>
      </c>
    </row>
    <row r="28914" spans="1:6" x14ac:dyDescent="0.2">
      <c r="A28914" t="s">
        <v>45668</v>
      </c>
      <c r="E28914" t="s">
        <v>219</v>
      </c>
      <c r="F28914" s="2" t="str">
        <f>HYPERLINK("http://www.otzar.org/book.asp?196828","סדר מוצאי שבת השלם")</f>
        <v>סדר מוצאי שבת השלם</v>
      </c>
    </row>
    <row r="28915" spans="1:6" x14ac:dyDescent="0.2">
      <c r="A28915" t="s">
        <v>45669</v>
      </c>
      <c r="B28915" t="s">
        <v>7870</v>
      </c>
      <c r="C28915" t="s">
        <v>624</v>
      </c>
      <c r="D28915" t="s">
        <v>412</v>
      </c>
      <c r="E28915" t="s">
        <v>130</v>
      </c>
      <c r="F28915" s="2" t="str">
        <f>HYPERLINK("http://www.otzar.org/book.asp?619392","סדר מלוה מלכה")</f>
        <v>סדר מלוה מלכה</v>
      </c>
    </row>
    <row r="28916" spans="1:6" x14ac:dyDescent="0.2">
      <c r="A28916" t="s">
        <v>45670</v>
      </c>
      <c r="B28916" t="s">
        <v>45671</v>
      </c>
      <c r="C28916" t="s">
        <v>1458</v>
      </c>
      <c r="D28916" t="s">
        <v>76</v>
      </c>
      <c r="E28916" t="s">
        <v>219</v>
      </c>
      <c r="F28916" s="2" t="str">
        <f>HYPERLINK("http://www.otzar.org/book.asp?105890","סדר מנחת ערב ראש חדש")</f>
        <v>סדר מנחת ערב ראש חדש</v>
      </c>
    </row>
    <row r="28917" spans="1:6" x14ac:dyDescent="0.2">
      <c r="A28917" t="s">
        <v>45672</v>
      </c>
      <c r="B28917" t="s">
        <v>45673</v>
      </c>
      <c r="C28917" t="s">
        <v>20</v>
      </c>
      <c r="D28917" t="s">
        <v>486</v>
      </c>
      <c r="E28917" t="s">
        <v>219</v>
      </c>
      <c r="F28917" s="2" t="str">
        <f>HYPERLINK("http://www.otzar.org/book.asp?614465","סדר מעמדות")</f>
        <v>סדר מעמדות</v>
      </c>
    </row>
    <row r="28918" spans="1:6" x14ac:dyDescent="0.2">
      <c r="A28918" t="s">
        <v>45672</v>
      </c>
      <c r="B28918" t="s">
        <v>45674</v>
      </c>
      <c r="C28918" t="s">
        <v>26830</v>
      </c>
      <c r="D28918" t="s">
        <v>49</v>
      </c>
      <c r="E28918" t="s">
        <v>219</v>
      </c>
      <c r="F28918" s="2" t="str">
        <f>HYPERLINK("http://www.otzar.org/book.asp?166307","סדר מעמדות")</f>
        <v>סדר מעמדות</v>
      </c>
    </row>
    <row r="28919" spans="1:6" x14ac:dyDescent="0.2">
      <c r="A28919" t="s">
        <v>45672</v>
      </c>
      <c r="B28919" t="s">
        <v>45675</v>
      </c>
      <c r="C28919" t="s">
        <v>306</v>
      </c>
      <c r="D28919" t="s">
        <v>1538</v>
      </c>
      <c r="E28919" t="s">
        <v>219</v>
      </c>
      <c r="F28919" s="2" t="str">
        <f>HYPERLINK("http://www.otzar.org/book.asp?168178","סדר מעמדות")</f>
        <v>סדר מעמדות</v>
      </c>
    </row>
    <row r="28920" spans="1:6" x14ac:dyDescent="0.2">
      <c r="A28920" t="s">
        <v>45676</v>
      </c>
      <c r="B28920" t="s">
        <v>41651</v>
      </c>
      <c r="C28920" t="s">
        <v>20922</v>
      </c>
      <c r="D28920" t="s">
        <v>4934</v>
      </c>
      <c r="E28920" t="s">
        <v>15</v>
      </c>
      <c r="F28920" s="2" t="str">
        <f>HYPERLINK("http://www.otzar.org/book.asp?146718","סדר מצות הנשים")</f>
        <v>סדר מצות הנשים</v>
      </c>
    </row>
    <row r="28921" spans="1:6" x14ac:dyDescent="0.2">
      <c r="A28921" t="s">
        <v>45677</v>
      </c>
      <c r="B28921" t="s">
        <v>32274</v>
      </c>
      <c r="C28921" t="s">
        <v>5169</v>
      </c>
      <c r="D28921" t="s">
        <v>1992</v>
      </c>
      <c r="E28921" t="s">
        <v>15</v>
      </c>
      <c r="F28921" s="2" t="str">
        <f>HYPERLINK("http://www.otzar.org/book.asp?101195","סדר משנה - 9 כר'")</f>
        <v>סדר משנה - 9 כר'</v>
      </c>
    </row>
    <row r="28922" spans="1:6" x14ac:dyDescent="0.2">
      <c r="A28922" t="s">
        <v>45678</v>
      </c>
      <c r="B28922" t="s">
        <v>45679</v>
      </c>
      <c r="C28922" t="s">
        <v>1268</v>
      </c>
      <c r="D28922" t="s">
        <v>14</v>
      </c>
      <c r="E28922" t="s">
        <v>15</v>
      </c>
      <c r="F28922" s="2" t="str">
        <f>HYPERLINK("http://www.otzar.org/book.asp?144137","סדר משנה")</f>
        <v>סדר משנה</v>
      </c>
    </row>
    <row r="28923" spans="1:6" x14ac:dyDescent="0.2">
      <c r="A28923" t="s">
        <v>45680</v>
      </c>
      <c r="B28923" t="s">
        <v>45681</v>
      </c>
      <c r="C28923" t="s">
        <v>950</v>
      </c>
      <c r="D28923" t="s">
        <v>11697</v>
      </c>
      <c r="E28923" t="s">
        <v>219</v>
      </c>
      <c r="F28923" s="2" t="str">
        <f>HYPERLINK("http://www.otzar.org/book.asp?13425","סדר נהורא השלם &lt;דרך החיים&gt;")</f>
        <v>סדר נהורא השלם &lt;דרך החיים&gt;</v>
      </c>
    </row>
    <row r="28924" spans="1:6" x14ac:dyDescent="0.2">
      <c r="A28924" t="s">
        <v>45682</v>
      </c>
      <c r="B28924" t="s">
        <v>45683</v>
      </c>
      <c r="C28924" t="s">
        <v>698</v>
      </c>
      <c r="D28924" t="s">
        <v>27</v>
      </c>
      <c r="E28924" t="s">
        <v>1517</v>
      </c>
      <c r="F28924" s="2" t="str">
        <f>HYPERLINK("http://www.otzar.org/book.asp?168941","סדר נוסח ההקפות")</f>
        <v>סדר נוסח ההקפות</v>
      </c>
    </row>
    <row r="28925" spans="1:6" x14ac:dyDescent="0.2">
      <c r="A28925" t="s">
        <v>45684</v>
      </c>
      <c r="B28925" t="s">
        <v>45685</v>
      </c>
      <c r="C28925" t="s">
        <v>946</v>
      </c>
      <c r="D28925" t="s">
        <v>30</v>
      </c>
      <c r="E28925" t="s">
        <v>1517</v>
      </c>
      <c r="F28925" s="2" t="str">
        <f>HYPERLINK("http://www.otzar.org/book.asp?168940","סדר נוסח הקפות")</f>
        <v>סדר נוסח הקפות</v>
      </c>
    </row>
    <row r="28926" spans="1:6" x14ac:dyDescent="0.2">
      <c r="A28926" t="s">
        <v>45686</v>
      </c>
      <c r="B28926" t="s">
        <v>45687</v>
      </c>
      <c r="C28926" t="s">
        <v>3205</v>
      </c>
      <c r="D28926" t="s">
        <v>563</v>
      </c>
      <c r="E28926" t="s">
        <v>1517</v>
      </c>
      <c r="F28926" s="2" t="str">
        <f>HYPERLINK("http://www.otzar.org/book.asp?150571","סדר נוסח הקרבנות ואושפיזין והקפות")</f>
        <v>סדר נוסח הקרבנות ואושפיזין והקפות</v>
      </c>
    </row>
    <row r="28927" spans="1:6" x14ac:dyDescent="0.2">
      <c r="A28927" t="s">
        <v>45688</v>
      </c>
      <c r="B28927" t="s">
        <v>45689</v>
      </c>
      <c r="C28927" t="s">
        <v>151</v>
      </c>
      <c r="D28927" t="s">
        <v>152</v>
      </c>
      <c r="E28927" t="s">
        <v>144</v>
      </c>
      <c r="F28927" s="2" t="str">
        <f>HYPERLINK("http://www.otzar.org/book.asp?621235","סדר נחלות")</f>
        <v>סדר נחלות</v>
      </c>
    </row>
    <row r="28928" spans="1:6" x14ac:dyDescent="0.2">
      <c r="A28928" t="s">
        <v>45690</v>
      </c>
      <c r="B28928" t="s">
        <v>39494</v>
      </c>
      <c r="C28928" t="s">
        <v>422</v>
      </c>
      <c r="D28928" t="s">
        <v>52</v>
      </c>
      <c r="E28928" t="s">
        <v>1626</v>
      </c>
      <c r="F28928" s="2" t="str">
        <f>HYPERLINK("http://www.otzar.org/book.asp?158955","סדר נישואין ושבע ברכות עם מאמרים נבחרים")</f>
        <v>סדר נישואין ושבע ברכות עם מאמרים נבחרים</v>
      </c>
    </row>
    <row r="28929" spans="1:6" x14ac:dyDescent="0.2">
      <c r="A28929" t="s">
        <v>45691</v>
      </c>
      <c r="B28929" t="s">
        <v>45692</v>
      </c>
      <c r="C28929" t="s">
        <v>1725</v>
      </c>
      <c r="D28929" t="s">
        <v>23031</v>
      </c>
      <c r="E28929" t="s">
        <v>219</v>
      </c>
      <c r="F28929" s="2" t="str">
        <f>HYPERLINK("http://www.otzar.org/book.asp?53487","סדר נשים - סידור לנשים")</f>
        <v>סדר נשים - סידור לנשים</v>
      </c>
    </row>
    <row r="28930" spans="1:6" x14ac:dyDescent="0.2">
      <c r="A28930" t="s">
        <v>45693</v>
      </c>
      <c r="B28930" t="s">
        <v>45694</v>
      </c>
      <c r="C28930" t="s">
        <v>45695</v>
      </c>
      <c r="D28930" t="s">
        <v>646</v>
      </c>
      <c r="E28930" t="s">
        <v>219</v>
      </c>
      <c r="F28930" s="2" t="str">
        <f>HYPERLINK("http://www.otzar.org/book.asp?612639","סדר סליחות השלם")</f>
        <v>סדר סליחות השלם</v>
      </c>
    </row>
    <row r="28931" spans="1:6" x14ac:dyDescent="0.2">
      <c r="A28931" t="s">
        <v>45696</v>
      </c>
      <c r="B28931" t="s">
        <v>45697</v>
      </c>
      <c r="C28931" t="s">
        <v>282</v>
      </c>
      <c r="D28931" t="s">
        <v>535</v>
      </c>
      <c r="F28931" s="2" t="str">
        <f>HYPERLINK("http://www.otzar.org/book.asp?26549","סדר סליחות כמנהג בהמען, מערהען, אונגארן ופולין")</f>
        <v>סדר סליחות כמנהג בהמען, מערהען, אונגארן ופולין</v>
      </c>
    </row>
    <row r="28932" spans="1:6" x14ac:dyDescent="0.2">
      <c r="A28932" t="s">
        <v>45698</v>
      </c>
      <c r="B28932" t="s">
        <v>3949</v>
      </c>
      <c r="C28932" t="s">
        <v>176</v>
      </c>
      <c r="D28932" t="s">
        <v>21</v>
      </c>
      <c r="E28932" t="s">
        <v>219</v>
      </c>
      <c r="F28932" s="2" t="str">
        <f>HYPERLINK("http://www.otzar.org/book.asp?191278","סדר סליחות כמנהג הספרדים &lt;מכתם לדוד&gt;")</f>
        <v>סדר סליחות כמנהג הספרדים &lt;מכתם לדוד&gt;</v>
      </c>
    </row>
    <row r="28933" spans="1:6" x14ac:dyDescent="0.2">
      <c r="A28933" t="s">
        <v>45699</v>
      </c>
      <c r="B28933" t="s">
        <v>45700</v>
      </c>
      <c r="C28933" t="s">
        <v>6995</v>
      </c>
      <c r="D28933" t="s">
        <v>2303</v>
      </c>
      <c r="E28933" t="s">
        <v>219</v>
      </c>
      <c r="F28933" s="2" t="str">
        <f>HYPERLINK("http://www.otzar.org/book.asp?26545","סדר סליחות כמנהג עלזוז")</f>
        <v>סדר סליחות כמנהג עלזוז</v>
      </c>
    </row>
    <row r="28934" spans="1:6" x14ac:dyDescent="0.2">
      <c r="A28934" t="s">
        <v>45701</v>
      </c>
      <c r="B28934" t="s">
        <v>23306</v>
      </c>
      <c r="C28934" t="s">
        <v>176</v>
      </c>
      <c r="D28934" t="s">
        <v>14</v>
      </c>
      <c r="E28934" t="s">
        <v>1517</v>
      </c>
      <c r="F28934" s="2" t="str">
        <f>HYPERLINK("http://www.otzar.org/book.asp?152601","סדר סליחות כמנהג קהילות ישראל שבצפון אפריקה")</f>
        <v>סדר סליחות כמנהג קהילות ישראל שבצפון אפריקה</v>
      </c>
    </row>
    <row r="28935" spans="1:6" x14ac:dyDescent="0.2">
      <c r="A28935" t="s">
        <v>45702</v>
      </c>
      <c r="B28935" t="s">
        <v>23306</v>
      </c>
      <c r="C28935" t="s">
        <v>176</v>
      </c>
      <c r="D28935" t="s">
        <v>14</v>
      </c>
      <c r="E28935" t="s">
        <v>1517</v>
      </c>
      <c r="F28935" s="2" t="str">
        <f>HYPERLINK("http://www.otzar.org/book.asp?152602","סדר סליחות כפי מנהג הספרדים בארץ ישראל")</f>
        <v>סדר סליחות כפי מנהג הספרדים בארץ ישראל</v>
      </c>
    </row>
    <row r="28936" spans="1:6" x14ac:dyDescent="0.2">
      <c r="A28936" t="s">
        <v>45703</v>
      </c>
      <c r="B28936" t="s">
        <v>23306</v>
      </c>
      <c r="C28936" t="s">
        <v>176</v>
      </c>
      <c r="D28936" t="s">
        <v>14</v>
      </c>
      <c r="E28936" t="s">
        <v>1517</v>
      </c>
      <c r="F28936" s="2" t="str">
        <f>HYPERLINK("http://www.otzar.org/book.asp?152600","סדר סליחות כפי מנהגי הספרדים")</f>
        <v>סדר סליחות כפי מנהגי הספרדים</v>
      </c>
    </row>
    <row r="28937" spans="1:6" x14ac:dyDescent="0.2">
      <c r="A28937" t="s">
        <v>45704</v>
      </c>
      <c r="B28937" t="s">
        <v>45705</v>
      </c>
      <c r="C28937" t="s">
        <v>1121</v>
      </c>
      <c r="D28937" t="s">
        <v>1660</v>
      </c>
      <c r="E28937" t="s">
        <v>1517</v>
      </c>
      <c r="F28937" s="2" t="str">
        <f>HYPERLINK("http://www.otzar.org/book.asp?181129","סדר סליחות לאשמורת הבוקר")</f>
        <v>סדר סליחות לאשמורת הבוקר</v>
      </c>
    </row>
    <row r="28938" spans="1:6" x14ac:dyDescent="0.2">
      <c r="A28938" t="s">
        <v>45706</v>
      </c>
      <c r="B28938" t="s">
        <v>45451</v>
      </c>
      <c r="C28938" t="s">
        <v>20</v>
      </c>
      <c r="D28938" t="s">
        <v>52</v>
      </c>
      <c r="E28938" t="s">
        <v>219</v>
      </c>
      <c r="F28938" s="2" t="str">
        <f>HYPERLINK("http://www.otzar.org/book.asp?623233","סדר סליחות לימות השנה -בה""ב, י' בטבת, תענית אסתר, י""ז בתמוז, יוכ""ק")</f>
        <v>סדר סליחות לימות השנה -בה"ב, י' בטבת, תענית אסתר, י"ז בתמוז, יוכ"ק</v>
      </c>
    </row>
    <row r="28939" spans="1:6" x14ac:dyDescent="0.2">
      <c r="A28939" t="s">
        <v>45707</v>
      </c>
      <c r="B28939" t="s">
        <v>1159</v>
      </c>
      <c r="C28939" t="s">
        <v>143</v>
      </c>
      <c r="D28939" t="s">
        <v>14</v>
      </c>
      <c r="E28939" t="s">
        <v>18910</v>
      </c>
      <c r="F28939" s="2" t="str">
        <f>HYPERLINK("http://www.otzar.org/book.asp?157493","סדר סליחות ללילי האשמורות &lt;אשמורה בלילה&gt;")</f>
        <v>סדר סליחות ללילי האשמורות &lt;אשמורה בלילה&gt;</v>
      </c>
    </row>
    <row r="28940" spans="1:6" x14ac:dyDescent="0.2">
      <c r="A28940" t="s">
        <v>45708</v>
      </c>
      <c r="B28940" t="s">
        <v>45709</v>
      </c>
      <c r="C28940" t="s">
        <v>248</v>
      </c>
      <c r="D28940" t="s">
        <v>6801</v>
      </c>
      <c r="E28940" t="s">
        <v>219</v>
      </c>
      <c r="F28940" s="2" t="str">
        <f>HYPERLINK("http://www.otzar.org/book.asp?145236","סדר סליחות מכל השנה כמנהג עלזאס")</f>
        <v>סדר סליחות מכל השנה כמנהג עלזאס</v>
      </c>
    </row>
    <row r="28941" spans="1:6" x14ac:dyDescent="0.2">
      <c r="A28941" t="s">
        <v>45710</v>
      </c>
      <c r="B28941" t="s">
        <v>14608</v>
      </c>
      <c r="C28941" t="s">
        <v>176</v>
      </c>
      <c r="D28941" t="s">
        <v>14</v>
      </c>
      <c r="E28941" t="s">
        <v>219</v>
      </c>
      <c r="F28941" s="2" t="str">
        <f>HYPERLINK("http://www.otzar.org/book.asp?143784","סדר סליחות מפורשות באר יעקב - 2 כר'")</f>
        <v>סדר סליחות מפורשות באר יעקב - 2 כר'</v>
      </c>
    </row>
    <row r="28942" spans="1:6" x14ac:dyDescent="0.2">
      <c r="A28942" t="s">
        <v>45711</v>
      </c>
      <c r="B28942" t="s">
        <v>45712</v>
      </c>
      <c r="C28942" t="s">
        <v>8</v>
      </c>
      <c r="D28942" t="s">
        <v>14</v>
      </c>
      <c r="E28942" t="s">
        <v>1517</v>
      </c>
      <c r="F28942" s="2" t="str">
        <f>HYPERLINK("http://www.otzar.org/book.asp?145224","סדר סליחות עם תרגום בלשון פרס")</f>
        <v>סדר סליחות עם תרגום בלשון פרס</v>
      </c>
    </row>
    <row r="28943" spans="1:6" x14ac:dyDescent="0.2">
      <c r="A28943" t="s">
        <v>45713</v>
      </c>
      <c r="B28943" t="s">
        <v>45714</v>
      </c>
      <c r="C28943" t="s">
        <v>946</v>
      </c>
      <c r="D28943" t="s">
        <v>56</v>
      </c>
      <c r="E28943" t="s">
        <v>1517</v>
      </c>
      <c r="F28943" s="2" t="str">
        <f>HYPERLINK("http://www.otzar.org/book.asp?179448","סדר סליחות")</f>
        <v>סדר סליחות</v>
      </c>
    </row>
    <row r="28944" spans="1:6" x14ac:dyDescent="0.2">
      <c r="A28944" t="s">
        <v>45715</v>
      </c>
      <c r="B28944" t="s">
        <v>3880</v>
      </c>
      <c r="C28944" t="s">
        <v>20</v>
      </c>
      <c r="D28944" t="s">
        <v>14</v>
      </c>
      <c r="E28944" t="s">
        <v>219</v>
      </c>
      <c r="F28944" s="2" t="str">
        <f>HYPERLINK("http://www.otzar.org/book.asp?6261","סדר סעודה וברכת המזון על פי ספר אור השנים")</f>
        <v>סדר סעודה וברכת המזון על פי ספר אור השנים</v>
      </c>
    </row>
    <row r="28945" spans="1:6" x14ac:dyDescent="0.2">
      <c r="A28945" t="s">
        <v>45716</v>
      </c>
      <c r="B28945" t="s">
        <v>6986</v>
      </c>
      <c r="C28945" t="s">
        <v>411</v>
      </c>
      <c r="D28945" t="s">
        <v>646</v>
      </c>
      <c r="E28945" t="s">
        <v>246</v>
      </c>
      <c r="F28945" s="2" t="str">
        <f>HYPERLINK("http://www.otzar.org/book.asp?173144","סדר ספירת העומר עם מ""ח קניני תורה")</f>
        <v>סדר ספירת העומר עם מ"ח קניני תורה</v>
      </c>
    </row>
    <row r="28946" spans="1:6" x14ac:dyDescent="0.2">
      <c r="A28946" t="s">
        <v>45717</v>
      </c>
      <c r="B28946" t="s">
        <v>2844</v>
      </c>
      <c r="C28946" t="s">
        <v>20</v>
      </c>
      <c r="D28946" t="s">
        <v>14</v>
      </c>
      <c r="E28946" t="s">
        <v>1517</v>
      </c>
      <c r="F28946" s="2" t="str">
        <f>HYPERLINK("http://www.otzar.org/book.asp?190236","סדר ספירת העומר")</f>
        <v>סדר ספירת העומר</v>
      </c>
    </row>
    <row r="28947" spans="1:6" x14ac:dyDescent="0.2">
      <c r="A28947" t="s">
        <v>45717</v>
      </c>
      <c r="B28947" t="s">
        <v>45718</v>
      </c>
      <c r="C28947" t="s">
        <v>1537</v>
      </c>
      <c r="D28947" t="s">
        <v>20124</v>
      </c>
      <c r="E28947" t="s">
        <v>1517</v>
      </c>
      <c r="F28947" s="2" t="str">
        <f>HYPERLINK("http://www.otzar.org/book.asp?196324","סדר ספירת העומר")</f>
        <v>סדר ספירת העומר</v>
      </c>
    </row>
    <row r="28948" spans="1:6" x14ac:dyDescent="0.2">
      <c r="A28948" t="s">
        <v>45719</v>
      </c>
      <c r="B28948" t="s">
        <v>45720</v>
      </c>
      <c r="C28948" t="s">
        <v>1458</v>
      </c>
      <c r="D28948" t="s">
        <v>157</v>
      </c>
      <c r="E28948" t="s">
        <v>1517</v>
      </c>
      <c r="F28948" s="2" t="str">
        <f>HYPERLINK("http://www.otzar.org/book.asp?182345","סדר עבודה והודאה")</f>
        <v>סדר עבודה והודאה</v>
      </c>
    </row>
    <row r="28949" spans="1:6" x14ac:dyDescent="0.2">
      <c r="A28949" t="s">
        <v>45721</v>
      </c>
      <c r="B28949" t="s">
        <v>45722</v>
      </c>
      <c r="C28949" t="s">
        <v>5308</v>
      </c>
      <c r="D28949" t="s">
        <v>27174</v>
      </c>
      <c r="E28949" t="s">
        <v>219</v>
      </c>
      <c r="F28949" s="2" t="str">
        <f>HYPERLINK("http://www.otzar.org/book.asp?180761","סדר עבודה ומורה דרך - 2 כר'")</f>
        <v>סדר עבודה ומורה דרך - 2 כר'</v>
      </c>
    </row>
    <row r="28950" spans="1:6" x14ac:dyDescent="0.2">
      <c r="A28950" t="s">
        <v>45723</v>
      </c>
      <c r="B28950" t="s">
        <v>6040</v>
      </c>
      <c r="C28950" t="s">
        <v>422</v>
      </c>
      <c r="D28950" t="s">
        <v>14</v>
      </c>
      <c r="E28950" t="s">
        <v>1626</v>
      </c>
      <c r="F28950" s="2" t="str">
        <f>HYPERLINK("http://www.otzar.org/book.asp?182523","סדר עבודה לתמידין ולמוספין &lt;עבודת ישראל&gt;")</f>
        <v>סדר עבודה לתמידין ולמוספין &lt;עבודת ישראל&gt;</v>
      </c>
    </row>
    <row r="28951" spans="1:6" x14ac:dyDescent="0.2">
      <c r="A28951" t="s">
        <v>45724</v>
      </c>
      <c r="B28951" t="s">
        <v>6040</v>
      </c>
      <c r="C28951" t="s">
        <v>27030</v>
      </c>
      <c r="D28951" t="s">
        <v>49</v>
      </c>
      <c r="F28951" s="2" t="str">
        <f>HYPERLINK("http://www.otzar.org/book.asp?152801","סדר עבודה לתמידין ולמוספין - 2 כר'")</f>
        <v>סדר עבודה לתמידין ולמוספין - 2 כר'</v>
      </c>
    </row>
    <row r="28952" spans="1:6" x14ac:dyDescent="0.2">
      <c r="A28952" t="s">
        <v>45725</v>
      </c>
      <c r="B28952" t="s">
        <v>6040</v>
      </c>
      <c r="C28952" t="s">
        <v>1981</v>
      </c>
      <c r="D28952" t="s">
        <v>1411</v>
      </c>
      <c r="F28952" s="2" t="str">
        <f>HYPERLINK("http://www.otzar.org/book.asp?152410","סדר עבודה רבא וזוטא")</f>
        <v>סדר עבודה רבא וזוטא</v>
      </c>
    </row>
    <row r="28953" spans="1:6" x14ac:dyDescent="0.2">
      <c r="A28953" t="s">
        <v>45726</v>
      </c>
      <c r="B28953" t="s">
        <v>45727</v>
      </c>
      <c r="C28953" t="s">
        <v>411</v>
      </c>
      <c r="D28953" t="s">
        <v>2909</v>
      </c>
      <c r="E28953" t="s">
        <v>104</v>
      </c>
      <c r="F28953" s="2" t="str">
        <f>HYPERLINK("http://www.otzar.org/book.asp?191576","סדר עבודת הקרבנות")</f>
        <v>סדר עבודת הקרבנות</v>
      </c>
    </row>
    <row r="28954" spans="1:6" x14ac:dyDescent="0.2">
      <c r="A28954" t="s">
        <v>45728</v>
      </c>
      <c r="B28954" t="s">
        <v>19826</v>
      </c>
      <c r="C28954" t="s">
        <v>71</v>
      </c>
      <c r="D28954" t="s">
        <v>721</v>
      </c>
      <c r="F28954" s="2" t="str">
        <f>HYPERLINK("http://www.otzar.org/book.asp?613407","סדר עבודת יום הכיפורים לר' יצחק אבן גיאת הספרדי")</f>
        <v>סדר עבודת יום הכיפורים לר' יצחק אבן גיאת הספרדי</v>
      </c>
    </row>
    <row r="28955" spans="1:6" x14ac:dyDescent="0.2">
      <c r="A28955" t="s">
        <v>45729</v>
      </c>
      <c r="B28955" t="s">
        <v>45730</v>
      </c>
      <c r="C28955" t="s">
        <v>523</v>
      </c>
      <c r="D28955" t="s">
        <v>52</v>
      </c>
      <c r="E28955" t="s">
        <v>246</v>
      </c>
      <c r="F28955" s="2" t="str">
        <f>HYPERLINK("http://www.otzar.org/book.asp?150829","סדר עבודת יום הכפורים &lt;פירוש רחב&gt;")</f>
        <v>סדר עבודת יום הכפורים &lt;פירוש רחב&gt;</v>
      </c>
    </row>
    <row r="28956" spans="1:6" x14ac:dyDescent="0.2">
      <c r="A28956" t="s">
        <v>45731</v>
      </c>
      <c r="B28956" t="s">
        <v>9769</v>
      </c>
      <c r="C28956" t="s">
        <v>362</v>
      </c>
      <c r="D28956" t="s">
        <v>283</v>
      </c>
      <c r="F28956" s="2" t="str">
        <f>HYPERLINK("http://www.otzar.org/book.asp?25103","סדר עבודת יום הכפורים")</f>
        <v>סדר עבודת יום הכפורים</v>
      </c>
    </row>
    <row r="28957" spans="1:6" x14ac:dyDescent="0.2">
      <c r="A28957" t="s">
        <v>45732</v>
      </c>
      <c r="B28957" t="s">
        <v>45733</v>
      </c>
      <c r="C28957" t="s">
        <v>1418</v>
      </c>
      <c r="D28957" t="s">
        <v>45734</v>
      </c>
      <c r="E28957" t="s">
        <v>219</v>
      </c>
      <c r="F28957" s="2" t="str">
        <f>HYPERLINK("http://www.otzar.org/book.asp?174107","סדר עבודת ישראל &lt;נוסח אשכנז&gt;")</f>
        <v>סדר עבודת ישראל &lt;נוסח אשכנז&gt;</v>
      </c>
    </row>
    <row r="28958" spans="1:6" x14ac:dyDescent="0.2">
      <c r="A28958" t="s">
        <v>45735</v>
      </c>
      <c r="B28958" t="s">
        <v>45733</v>
      </c>
      <c r="C28958" t="s">
        <v>1418</v>
      </c>
      <c r="D28958" t="s">
        <v>45734</v>
      </c>
      <c r="E28958" t="s">
        <v>219</v>
      </c>
      <c r="F28958" s="2" t="str">
        <f>HYPERLINK("http://www.otzar.org/book.asp?13402","סדר עבודת ישראל &lt;נוסח פולין&gt;")</f>
        <v>סדר עבודת ישראל &lt;נוסח פולין&gt;</v>
      </c>
    </row>
    <row r="28959" spans="1:6" x14ac:dyDescent="0.2">
      <c r="A28959" t="s">
        <v>45736</v>
      </c>
      <c r="B28959" t="s">
        <v>45733</v>
      </c>
      <c r="C28959" t="s">
        <v>151</v>
      </c>
      <c r="D28959" t="s">
        <v>14</v>
      </c>
      <c r="F28959" s="2" t="str">
        <f>HYPERLINK("http://www.otzar.org/book.asp?610159","סדר עבודת ישראל &lt;פולין -אשכנז  מהדורת סץ&gt; - ההערות")</f>
        <v>סדר עבודת ישראל &lt;פולין -אשכנז  מהדורת סץ&gt; - ההערות</v>
      </c>
    </row>
    <row r="28960" spans="1:6" x14ac:dyDescent="0.2">
      <c r="A28960" t="s">
        <v>45737</v>
      </c>
      <c r="B28960" t="s">
        <v>1793</v>
      </c>
      <c r="C28960" t="s">
        <v>624</v>
      </c>
      <c r="D28960" t="s">
        <v>115</v>
      </c>
      <c r="E28960" t="s">
        <v>1626</v>
      </c>
      <c r="F28960" s="2" t="str">
        <f>HYPERLINK("http://www.otzar.org/book.asp?27606","סדר עבודת כהן גדול ביום הכפורים בבהמ""ק")</f>
        <v>סדר עבודת כהן גדול ביום הכפורים בבהמ"ק</v>
      </c>
    </row>
    <row r="28961" spans="1:6" x14ac:dyDescent="0.2">
      <c r="A28961" t="s">
        <v>45738</v>
      </c>
      <c r="B28961" t="s">
        <v>45739</v>
      </c>
      <c r="C28961" t="s">
        <v>20</v>
      </c>
      <c r="D28961" t="s">
        <v>14</v>
      </c>
      <c r="E28961" t="s">
        <v>43</v>
      </c>
      <c r="F28961" s="2" t="str">
        <f>HYPERLINK("http://www.otzar.org/book.asp?63338","סדר עולם &lt;ניב עולם&gt;")</f>
        <v>סדר עולם &lt;ניב עולם&gt;</v>
      </c>
    </row>
    <row r="28962" spans="1:6" x14ac:dyDescent="0.2">
      <c r="A28962" t="s">
        <v>45740</v>
      </c>
      <c r="B28962" t="s">
        <v>45741</v>
      </c>
      <c r="C28962" t="s">
        <v>445</v>
      </c>
      <c r="D28962" t="s">
        <v>563</v>
      </c>
      <c r="E28962" t="s">
        <v>14466</v>
      </c>
      <c r="F28962" s="2" t="str">
        <f>HYPERLINK("http://www.otzar.org/book.asp?200063","סדר עולם זוטא")</f>
        <v>סדר עולם זוטא</v>
      </c>
    </row>
    <row r="28963" spans="1:6" x14ac:dyDescent="0.2">
      <c r="A28963" t="s">
        <v>45742</v>
      </c>
      <c r="B28963" t="s">
        <v>1821</v>
      </c>
      <c r="C28963" t="s">
        <v>2243</v>
      </c>
      <c r="D28963" t="s">
        <v>45743</v>
      </c>
      <c r="E28963" t="s">
        <v>43</v>
      </c>
      <c r="F28963" s="2" t="str">
        <f>HYPERLINK("http://www.otzar.org/book.asp?613872","סדר עולם רבא &lt;ע""פ הגר""א -דפו""ר&gt;")</f>
        <v>סדר עולם רבא &lt;ע"פ הגר"א -דפו"ר&gt;</v>
      </c>
    </row>
    <row r="28964" spans="1:6" x14ac:dyDescent="0.2">
      <c r="A28964" t="s">
        <v>45744</v>
      </c>
      <c r="B28964" t="s">
        <v>45745</v>
      </c>
      <c r="C28964" t="s">
        <v>5163</v>
      </c>
      <c r="D28964" t="s">
        <v>56</v>
      </c>
      <c r="E28964" t="s">
        <v>14466</v>
      </c>
      <c r="F28964" s="2" t="str">
        <f>HYPERLINK("http://www.otzar.org/book.asp?200066","סדר עולם רבא")</f>
        <v>סדר עולם רבא</v>
      </c>
    </row>
    <row r="28965" spans="1:6" x14ac:dyDescent="0.2">
      <c r="A28965" t="s">
        <v>45744</v>
      </c>
      <c r="B28965" t="s">
        <v>45746</v>
      </c>
      <c r="C28965" t="s">
        <v>1246</v>
      </c>
      <c r="D28965" t="s">
        <v>27</v>
      </c>
      <c r="E28965" t="s">
        <v>14466</v>
      </c>
      <c r="F28965" s="2" t="str">
        <f>HYPERLINK("http://www.otzar.org/book.asp?6595","סדר עולם רבא")</f>
        <v>סדר עולם רבא</v>
      </c>
    </row>
    <row r="28966" spans="1:6" x14ac:dyDescent="0.2">
      <c r="A28966" t="s">
        <v>45747</v>
      </c>
      <c r="B28966" t="s">
        <v>45748</v>
      </c>
      <c r="C28966" t="s">
        <v>45749</v>
      </c>
      <c r="D28966" t="s">
        <v>27</v>
      </c>
      <c r="E28966" t="s">
        <v>14466</v>
      </c>
      <c r="F28966" s="2" t="str">
        <f>HYPERLINK("http://www.otzar.org/book.asp?7319","סדר עולם רבה השלם - 3 כר'")</f>
        <v>סדר עולם רבה השלם - 3 כר'</v>
      </c>
    </row>
    <row r="28967" spans="1:6" x14ac:dyDescent="0.2">
      <c r="A28967" t="s">
        <v>45750</v>
      </c>
      <c r="B28967" t="s">
        <v>45751</v>
      </c>
      <c r="C28967" t="s">
        <v>4538</v>
      </c>
      <c r="D28967" t="s">
        <v>45752</v>
      </c>
      <c r="F28967" s="2" t="str">
        <f>HYPERLINK("http://www.otzar.org/book.asp?164941","סדר עולם רבה וזוטא &lt;עם פולמוס מהיעב""ץ&gt;")</f>
        <v>סדר עולם רבה וזוטא &lt;עם פולמוס מהיעב"ץ&gt;</v>
      </c>
    </row>
    <row r="28968" spans="1:6" x14ac:dyDescent="0.2">
      <c r="A28968" t="s">
        <v>45753</v>
      </c>
      <c r="B28968" t="s">
        <v>45754</v>
      </c>
      <c r="C28968" t="s">
        <v>45755</v>
      </c>
      <c r="D28968" t="s">
        <v>56</v>
      </c>
      <c r="E28968" t="s">
        <v>14466</v>
      </c>
      <c r="F28968" s="2" t="str">
        <f>HYPERLINK("http://www.otzar.org/book.asp?200064","סדר עולם רבה עם הערות ותיקונים - 2 כר'")</f>
        <v>סדר עולם רבה עם הערות ותיקונים - 2 כר'</v>
      </c>
    </row>
    <row r="28969" spans="1:6" x14ac:dyDescent="0.2">
      <c r="A28969" t="s">
        <v>45756</v>
      </c>
      <c r="B28969" t="s">
        <v>45754</v>
      </c>
      <c r="C28969" t="s">
        <v>1208</v>
      </c>
      <c r="D28969" t="s">
        <v>14</v>
      </c>
      <c r="E28969" t="s">
        <v>45757</v>
      </c>
      <c r="F28969" s="2" t="str">
        <f>HYPERLINK("http://www.otzar.org/book.asp?665","סדר עולם")</f>
        <v>סדר עולם</v>
      </c>
    </row>
    <row r="28970" spans="1:6" x14ac:dyDescent="0.2">
      <c r="A28970" t="s">
        <v>45756</v>
      </c>
      <c r="B28970" t="s">
        <v>45758</v>
      </c>
      <c r="C28970" t="s">
        <v>1228</v>
      </c>
      <c r="D28970" t="s">
        <v>283</v>
      </c>
      <c r="E28970" t="s">
        <v>43</v>
      </c>
      <c r="F28970" s="2" t="str">
        <f>HYPERLINK("http://www.otzar.org/book.asp?172258","סדר עולם")</f>
        <v>סדר עולם</v>
      </c>
    </row>
    <row r="28971" spans="1:6" x14ac:dyDescent="0.2">
      <c r="A28971" t="s">
        <v>45759</v>
      </c>
      <c r="B28971" t="s">
        <v>8415</v>
      </c>
      <c r="C28971" t="s">
        <v>133</v>
      </c>
      <c r="D28971" t="s">
        <v>14</v>
      </c>
      <c r="E28971" t="s">
        <v>15</v>
      </c>
      <c r="F28971" s="2" t="str">
        <f>HYPERLINK("http://www.otzar.org/book.asp?175594","סדר עירוב תבשילין - 3 כר'")</f>
        <v>סדר עירוב תבשילין - 3 כר'</v>
      </c>
    </row>
    <row r="28972" spans="1:6" x14ac:dyDescent="0.2">
      <c r="A28972" t="s">
        <v>45760</v>
      </c>
      <c r="B28972" t="s">
        <v>34167</v>
      </c>
      <c r="C28972" t="s">
        <v>244</v>
      </c>
      <c r="D28972" t="s">
        <v>21</v>
      </c>
      <c r="E28972" t="s">
        <v>3755</v>
      </c>
      <c r="F28972" s="2" t="str">
        <f>HYPERLINK("http://www.otzar.org/book.asp?196307","סדר עננו הגדול עם פירוש ברית שלום")</f>
        <v>סדר עננו הגדול עם פירוש ברית שלום</v>
      </c>
    </row>
    <row r="28973" spans="1:6" x14ac:dyDescent="0.2">
      <c r="A28973" t="s">
        <v>45761</v>
      </c>
      <c r="B28973" t="s">
        <v>2872</v>
      </c>
      <c r="C28973" t="s">
        <v>20</v>
      </c>
      <c r="D28973" t="s">
        <v>52</v>
      </c>
      <c r="E28973" t="s">
        <v>104</v>
      </c>
      <c r="F28973" s="2" t="str">
        <f>HYPERLINK("http://www.otzar.org/book.asp?607578","סדר עשית קרבן פסח בקצרה")</f>
        <v>סדר עשית קרבן פסח בקצרה</v>
      </c>
    </row>
    <row r="28974" spans="1:6" x14ac:dyDescent="0.2">
      <c r="A28974" t="s">
        <v>45762</v>
      </c>
      <c r="B28974" t="s">
        <v>45763</v>
      </c>
      <c r="C28974" t="s">
        <v>20</v>
      </c>
      <c r="D28974" t="s">
        <v>90</v>
      </c>
      <c r="E28974" t="s">
        <v>219</v>
      </c>
      <c r="F28974" s="2" t="str">
        <f>HYPERLINK("http://www.otzar.org/book.asp?183236","סדר פדיון הבן עם ליקוטים מר""ח מוולוזין")</f>
        <v>סדר פדיון הבן עם ליקוטים מר"ח מוולוזין</v>
      </c>
    </row>
    <row r="28975" spans="1:6" x14ac:dyDescent="0.2">
      <c r="A28975" t="s">
        <v>45764</v>
      </c>
      <c r="B28975" t="s">
        <v>45765</v>
      </c>
      <c r="C28975" t="s">
        <v>356</v>
      </c>
      <c r="D28975" t="s">
        <v>14</v>
      </c>
      <c r="E28975" t="s">
        <v>15</v>
      </c>
      <c r="F28975" s="2" t="str">
        <f>HYPERLINK("http://www.otzar.org/book.asp?108229","סדר פורים משולש")</f>
        <v>סדר פורים משולש</v>
      </c>
    </row>
    <row r="28976" spans="1:6" x14ac:dyDescent="0.2">
      <c r="A28976" t="s">
        <v>45766</v>
      </c>
      <c r="B28976" t="s">
        <v>45767</v>
      </c>
      <c r="C28976" t="s">
        <v>1124</v>
      </c>
      <c r="D28976" t="s">
        <v>6801</v>
      </c>
      <c r="E28976" t="s">
        <v>8785</v>
      </c>
      <c r="F28976" s="2" t="str">
        <f>HYPERLINK("http://www.otzar.org/book.asp?106087","סדר פורים")</f>
        <v>סדר פורים</v>
      </c>
    </row>
    <row r="28977" spans="1:6" x14ac:dyDescent="0.2">
      <c r="A28977" t="s">
        <v>45768</v>
      </c>
      <c r="B28977" t="s">
        <v>20866</v>
      </c>
      <c r="C28977" t="s">
        <v>767</v>
      </c>
      <c r="D28977" t="s">
        <v>14</v>
      </c>
      <c r="E28977" t="s">
        <v>219</v>
      </c>
      <c r="F28977" s="2" t="str">
        <f>HYPERLINK("http://www.otzar.org/book.asp?106614","סדר פטום הקטורת")</f>
        <v>סדר פטום הקטורת</v>
      </c>
    </row>
    <row r="28978" spans="1:6" x14ac:dyDescent="0.2">
      <c r="A28978" t="s">
        <v>45769</v>
      </c>
      <c r="B28978" t="s">
        <v>36689</v>
      </c>
      <c r="C28978" t="s">
        <v>37</v>
      </c>
      <c r="D28978" t="s">
        <v>1156</v>
      </c>
      <c r="E28978" t="s">
        <v>1517</v>
      </c>
      <c r="F28978" s="2" t="str">
        <f>HYPERLINK("http://www.otzar.org/book.asp?619351","סדר פיוטים לחג השבועות")</f>
        <v>סדר פיוטים לחג השבועות</v>
      </c>
    </row>
    <row r="28979" spans="1:6" x14ac:dyDescent="0.2">
      <c r="A28979" t="s">
        <v>45770</v>
      </c>
      <c r="B28979" t="s">
        <v>45771</v>
      </c>
      <c r="C28979" t="s">
        <v>5140</v>
      </c>
      <c r="D28979" t="s">
        <v>1279</v>
      </c>
      <c r="E28979" t="s">
        <v>246</v>
      </c>
      <c r="F28979" s="2" t="str">
        <f>HYPERLINK("http://www.otzar.org/book.asp?143535","סדר פירוש על הגדה של פסח")</f>
        <v>סדר פירוש על הגדה של פסח</v>
      </c>
    </row>
    <row r="28980" spans="1:6" x14ac:dyDescent="0.2">
      <c r="A28980" t="s">
        <v>45772</v>
      </c>
      <c r="B28980" t="s">
        <v>45773</v>
      </c>
      <c r="C28980" t="s">
        <v>466</v>
      </c>
      <c r="D28980" t="s">
        <v>721</v>
      </c>
      <c r="E28980" t="s">
        <v>246</v>
      </c>
      <c r="F28980" s="2" t="str">
        <f>HYPERLINK("http://www.otzar.org/book.asp?175450","סדר פסח")</f>
        <v>סדר פסח</v>
      </c>
    </row>
    <row r="28981" spans="1:6" x14ac:dyDescent="0.2">
      <c r="A28981" t="s">
        <v>45774</v>
      </c>
      <c r="B28981" t="s">
        <v>30754</v>
      </c>
      <c r="C28981" t="s">
        <v>767</v>
      </c>
      <c r="D28981" t="s">
        <v>14</v>
      </c>
      <c r="E28981" t="s">
        <v>15</v>
      </c>
      <c r="F28981" s="2" t="str">
        <f>HYPERLINK("http://www.otzar.org/book.asp?22085","סדר פרשיות")</f>
        <v>סדר פרשיות</v>
      </c>
    </row>
    <row r="28982" spans="1:6" x14ac:dyDescent="0.2">
      <c r="A28982" t="s">
        <v>45775</v>
      </c>
      <c r="B28982" t="s">
        <v>45776</v>
      </c>
      <c r="C28982" t="s">
        <v>224</v>
      </c>
      <c r="D28982" t="s">
        <v>27</v>
      </c>
      <c r="E28982" t="s">
        <v>219</v>
      </c>
      <c r="F28982" s="2" t="str">
        <f>HYPERLINK("http://www.otzar.org/book.asp?12981","סדר קול יעקב")</f>
        <v>סדר קול יעקב</v>
      </c>
    </row>
    <row r="28983" spans="1:6" x14ac:dyDescent="0.2">
      <c r="A28983" t="s">
        <v>45777</v>
      </c>
      <c r="B28983" t="s">
        <v>45778</v>
      </c>
      <c r="C28983" t="s">
        <v>1885</v>
      </c>
      <c r="D28983" t="s">
        <v>45779</v>
      </c>
      <c r="E28983" t="s">
        <v>219</v>
      </c>
      <c r="F28983" s="2" t="str">
        <f>HYPERLINK("http://www.otzar.org/book.asp?152404","סדר קידוש החמה &lt;ברכת החמה&gt;")</f>
        <v>סדר קידוש החמה &lt;ברכת החמה&gt;</v>
      </c>
    </row>
    <row r="28984" spans="1:6" x14ac:dyDescent="0.2">
      <c r="A28984" t="s">
        <v>45780</v>
      </c>
      <c r="B28984" t="s">
        <v>13438</v>
      </c>
      <c r="C28984" t="s">
        <v>383</v>
      </c>
      <c r="D28984" t="s">
        <v>52</v>
      </c>
      <c r="E28984" t="s">
        <v>24</v>
      </c>
      <c r="F28984" s="2" t="str">
        <f>HYPERLINK("http://www.otzar.org/book.asp?146823","סדר קידוש והבדלה לרבותינו הראשונים")</f>
        <v>סדר קידוש והבדלה לרבותינו הראשונים</v>
      </c>
    </row>
    <row r="28985" spans="1:6" x14ac:dyDescent="0.2">
      <c r="A28985" t="s">
        <v>45781</v>
      </c>
      <c r="B28985" t="s">
        <v>45782</v>
      </c>
      <c r="C28985" t="s">
        <v>180</v>
      </c>
      <c r="D28985" t="s">
        <v>646</v>
      </c>
      <c r="F28985" s="2" t="str">
        <f>HYPERLINK("http://www.otzar.org/book.asp?199730","סדר קינות השלם")</f>
        <v>סדר קינות השלם</v>
      </c>
    </row>
    <row r="28986" spans="1:6" x14ac:dyDescent="0.2">
      <c r="A28986" t="s">
        <v>45783</v>
      </c>
      <c r="B28986" t="s">
        <v>18179</v>
      </c>
      <c r="C28986" t="s">
        <v>133</v>
      </c>
      <c r="D28986" t="s">
        <v>14</v>
      </c>
      <c r="F28986" s="2" t="str">
        <f>HYPERLINK("http://www.otzar.org/book.asp?199822","סדר קינות לתשעה באב &lt;לב אהרן&gt;")</f>
        <v>סדר קינות לתשעה באב &lt;לב אהרן&gt;</v>
      </c>
    </row>
    <row r="28987" spans="1:6" x14ac:dyDescent="0.2">
      <c r="A28987" t="s">
        <v>45784</v>
      </c>
      <c r="B28987" t="s">
        <v>45785</v>
      </c>
      <c r="C28987" t="s">
        <v>146</v>
      </c>
      <c r="D28987" t="s">
        <v>14</v>
      </c>
      <c r="F28987" s="2" t="str">
        <f>HYPERLINK("http://www.otzar.org/book.asp?183179","סדר קינות לתשעה באב &lt;מבוארות ומפורשות&gt;")</f>
        <v>סדר קינות לתשעה באב &lt;מבוארות ומפורשות&gt;</v>
      </c>
    </row>
    <row r="28988" spans="1:6" x14ac:dyDescent="0.2">
      <c r="A28988" t="s">
        <v>45786</v>
      </c>
      <c r="B28988" t="s">
        <v>45787</v>
      </c>
      <c r="C28988" t="s">
        <v>624</v>
      </c>
      <c r="D28988" t="s">
        <v>1907</v>
      </c>
      <c r="E28988" t="s">
        <v>84</v>
      </c>
      <c r="F28988" s="2" t="str">
        <f>HYPERLINK("http://www.otzar.org/book.asp?193063","סדר קנים - ביאור למסכת קנים")</f>
        <v>סדר קנים - ביאור למסכת קנים</v>
      </c>
    </row>
    <row r="28989" spans="1:6" x14ac:dyDescent="0.2">
      <c r="A28989" t="s">
        <v>45788</v>
      </c>
      <c r="B28989" t="s">
        <v>45789</v>
      </c>
      <c r="C28989" t="s">
        <v>31840</v>
      </c>
      <c r="D28989" t="s">
        <v>1023</v>
      </c>
      <c r="E28989" t="s">
        <v>1517</v>
      </c>
      <c r="F28989" s="2" t="str">
        <f>HYPERLINK("http://www.otzar.org/book.asp?174367","סדר קריאה ותיקון")</f>
        <v>סדר קריאה ותיקון</v>
      </c>
    </row>
    <row r="28990" spans="1:6" x14ac:dyDescent="0.2">
      <c r="A28990" t="s">
        <v>45790</v>
      </c>
      <c r="B28990" t="s">
        <v>3035</v>
      </c>
      <c r="C28990" t="s">
        <v>390</v>
      </c>
      <c r="D28990" t="s">
        <v>14</v>
      </c>
      <c r="E28990" t="s">
        <v>219</v>
      </c>
      <c r="F28990" s="2" t="str">
        <f>HYPERLINK("http://www.otzar.org/book.asp?23741","סדר קריאת הנשיא")</f>
        <v>סדר קריאת הנשיא</v>
      </c>
    </row>
    <row r="28991" spans="1:6" x14ac:dyDescent="0.2">
      <c r="A28991" t="s">
        <v>45791</v>
      </c>
      <c r="B28991" t="s">
        <v>45792</v>
      </c>
      <c r="C28991" t="s">
        <v>87</v>
      </c>
      <c r="D28991" t="s">
        <v>52</v>
      </c>
      <c r="E28991" t="s">
        <v>24</v>
      </c>
      <c r="F28991" s="2" t="str">
        <f>HYPERLINK("http://www.otzar.org/book.asp?172150","סדר רב עמרם גאון &lt;גרש ירחים&gt;")</f>
        <v>סדר רב עמרם גאון &lt;גרש ירחים&gt;</v>
      </c>
    </row>
    <row r="28992" spans="1:6" x14ac:dyDescent="0.2">
      <c r="A28992" t="s">
        <v>45793</v>
      </c>
      <c r="B28992" t="s">
        <v>45792</v>
      </c>
      <c r="C28992" t="s">
        <v>1163</v>
      </c>
      <c r="D28992" t="s">
        <v>1163</v>
      </c>
      <c r="E28992" t="s">
        <v>22776</v>
      </c>
      <c r="F28992" s="2" t="str">
        <f>HYPERLINK("http://www.otzar.org/book.asp?104925","סדר רב עמרם גאון &lt;כת""י בריטיש מוזיאון&gt;")</f>
        <v>סדר רב עמרם גאון &lt;כת"י בריטיש מוזיאון&gt;</v>
      </c>
    </row>
    <row r="28993" spans="1:6" x14ac:dyDescent="0.2">
      <c r="A28993" t="s">
        <v>45794</v>
      </c>
      <c r="B28993" t="s">
        <v>45792</v>
      </c>
      <c r="C28993" t="s">
        <v>37</v>
      </c>
      <c r="D28993" t="s">
        <v>14</v>
      </c>
      <c r="E28993" t="s">
        <v>219</v>
      </c>
      <c r="F28993" s="2" t="str">
        <f>HYPERLINK("http://www.otzar.org/book.asp?603438","סדר רב עמרם גאון &lt;מהדורת סץ&gt; - 3 כר'")</f>
        <v>סדר רב עמרם גאון &lt;מהדורת סץ&gt; - 3 כר'</v>
      </c>
    </row>
    <row r="28994" spans="1:6" x14ac:dyDescent="0.2">
      <c r="A28994" t="s">
        <v>45795</v>
      </c>
      <c r="B28994" t="s">
        <v>45792</v>
      </c>
      <c r="C28994" t="s">
        <v>950</v>
      </c>
      <c r="D28994" t="s">
        <v>283</v>
      </c>
      <c r="E28994" t="s">
        <v>24</v>
      </c>
      <c r="F28994" s="2" t="str">
        <f>HYPERLINK("http://www.otzar.org/book.asp?6579","סדר רב עמרם גאון ז""ל")</f>
        <v>סדר רב עמרם גאון ז"ל</v>
      </c>
    </row>
    <row r="28995" spans="1:6" x14ac:dyDescent="0.2">
      <c r="A28995" t="s">
        <v>45796</v>
      </c>
      <c r="B28995" t="s">
        <v>45792</v>
      </c>
      <c r="C28995" t="s">
        <v>1619</v>
      </c>
      <c r="D28995" t="s">
        <v>14</v>
      </c>
      <c r="E28995" t="s">
        <v>219</v>
      </c>
      <c r="F28995" s="2" t="str">
        <f>HYPERLINK("http://www.otzar.org/book.asp?200650","סדר רב עמרם גאון - 2 כר'")</f>
        <v>סדר רב עמרם גאון - 2 כר'</v>
      </c>
    </row>
    <row r="28996" spans="1:6" x14ac:dyDescent="0.2">
      <c r="A28996" t="s">
        <v>45797</v>
      </c>
      <c r="B28996" t="s">
        <v>45798</v>
      </c>
      <c r="C28996" t="s">
        <v>558</v>
      </c>
      <c r="D28996" t="s">
        <v>27</v>
      </c>
      <c r="E28996" t="s">
        <v>24</v>
      </c>
      <c r="F28996" s="2" t="str">
        <f>HYPERLINK("http://www.otzar.org/book.asp?15892","סדר רב עמרם השלם")</f>
        <v>סדר רב עמרם השלם</v>
      </c>
    </row>
    <row r="28997" spans="1:6" x14ac:dyDescent="0.2">
      <c r="A28997" t="s">
        <v>45799</v>
      </c>
      <c r="B28997" t="s">
        <v>38074</v>
      </c>
      <c r="C28997" t="s">
        <v>383</v>
      </c>
      <c r="D28997" t="s">
        <v>2375</v>
      </c>
      <c r="F28997" s="2" t="str">
        <f>HYPERLINK("http://www.otzar.org/book.asp?199471","סדר רננות")</f>
        <v>סדר רננות</v>
      </c>
    </row>
    <row r="28998" spans="1:6" x14ac:dyDescent="0.2">
      <c r="A28998" t="s">
        <v>45800</v>
      </c>
      <c r="B28998" t="s">
        <v>3035</v>
      </c>
      <c r="C28998" t="s">
        <v>843</v>
      </c>
      <c r="D28998" t="s">
        <v>27</v>
      </c>
      <c r="E28998" t="s">
        <v>24</v>
      </c>
      <c r="F28998" s="2" t="str">
        <f>HYPERLINK("http://www.otzar.org/book.asp?51822","סדר שובבי""ם ת""ת")</f>
        <v>סדר שובבי"ם ת"ת</v>
      </c>
    </row>
    <row r="28999" spans="1:6" x14ac:dyDescent="0.2">
      <c r="A28999" t="s">
        <v>45801</v>
      </c>
      <c r="B28999" t="s">
        <v>45802</v>
      </c>
      <c r="C28999" t="s">
        <v>2589</v>
      </c>
      <c r="D28999" t="s">
        <v>1769</v>
      </c>
      <c r="E28999" t="s">
        <v>219</v>
      </c>
      <c r="F28999" s="2" t="str">
        <f>HYPERLINK("http://www.otzar.org/book.asp?62159","סדר שומרים לבקר")</f>
        <v>סדר שומרים לבקר</v>
      </c>
    </row>
    <row r="29000" spans="1:6" x14ac:dyDescent="0.2">
      <c r="A29000" t="s">
        <v>45803</v>
      </c>
      <c r="B29000" t="s">
        <v>3880</v>
      </c>
      <c r="C29000" t="s">
        <v>20</v>
      </c>
      <c r="D29000" t="s">
        <v>14</v>
      </c>
      <c r="E29000" t="s">
        <v>219</v>
      </c>
      <c r="F29000" s="2" t="str">
        <f>HYPERLINK("http://www.otzar.org/book.asp?6226","סדר שכיבה וקימה על פי ספר אור השנים")</f>
        <v>סדר שכיבה וקימה על פי ספר אור השנים</v>
      </c>
    </row>
    <row r="29001" spans="1:6" x14ac:dyDescent="0.2">
      <c r="A29001" t="s">
        <v>45804</v>
      </c>
      <c r="B29001" t="s">
        <v>33452</v>
      </c>
      <c r="C29001" t="s">
        <v>624</v>
      </c>
      <c r="D29001" t="s">
        <v>412</v>
      </c>
      <c r="E29001" t="s">
        <v>733</v>
      </c>
      <c r="F29001" s="2" t="str">
        <f>HYPERLINK("http://www.otzar.org/book.asp?52475","סדר שנה האחרונה - 2 כר'")</f>
        <v>סדר שנה האחרונה - 2 כר'</v>
      </c>
    </row>
    <row r="29002" spans="1:6" x14ac:dyDescent="0.2">
      <c r="A29002" t="s">
        <v>45805</v>
      </c>
      <c r="B29002" t="s">
        <v>40013</v>
      </c>
      <c r="C29002" t="s">
        <v>51</v>
      </c>
      <c r="D29002" t="s">
        <v>412</v>
      </c>
      <c r="E29002" t="s">
        <v>219</v>
      </c>
      <c r="F29002" s="2" t="str">
        <f>HYPERLINK("http://www.otzar.org/book.asp?161125","סדר תיקון סעודה")</f>
        <v>סדר תיקון סעודה</v>
      </c>
    </row>
    <row r="29003" spans="1:6" x14ac:dyDescent="0.2">
      <c r="A29003" t="s">
        <v>45806</v>
      </c>
      <c r="B29003" t="s">
        <v>45807</v>
      </c>
      <c r="C29003" t="s">
        <v>6050</v>
      </c>
      <c r="D29003" t="s">
        <v>1117</v>
      </c>
      <c r="E29003" t="s">
        <v>219</v>
      </c>
      <c r="F29003" s="2" t="str">
        <f>HYPERLINK("http://www.otzar.org/book.asp?146713","סדר תיקון קריאת שמע שעל המטה")</f>
        <v>סדר תיקון קריאת שמע שעל המטה</v>
      </c>
    </row>
    <row r="29004" spans="1:6" x14ac:dyDescent="0.2">
      <c r="A29004" t="s">
        <v>45808</v>
      </c>
      <c r="B29004" t="s">
        <v>45809</v>
      </c>
      <c r="C29004" t="s">
        <v>17</v>
      </c>
      <c r="D29004" t="s">
        <v>14</v>
      </c>
      <c r="E29004" t="s">
        <v>733</v>
      </c>
      <c r="F29004" s="2" t="str">
        <f>HYPERLINK("http://www.otzar.org/book.asp?166365","סדר תנאים ואמוראים &lt;עם הערות&gt;")</f>
        <v>סדר תנאים ואמוראים &lt;עם הערות&gt;</v>
      </c>
    </row>
    <row r="29005" spans="1:6" x14ac:dyDescent="0.2">
      <c r="A29005" t="s">
        <v>45810</v>
      </c>
      <c r="B29005" t="s">
        <v>45811</v>
      </c>
      <c r="C29005" t="s">
        <v>360</v>
      </c>
      <c r="D29005" t="s">
        <v>45812</v>
      </c>
      <c r="E29005" t="s">
        <v>119</v>
      </c>
      <c r="F29005" s="2" t="str">
        <f>HYPERLINK("http://www.otzar.org/book.asp?169736","סדר תנאים ואמוראים - 2 כר'")</f>
        <v>סדר תנאים ואמוראים - 2 כר'</v>
      </c>
    </row>
    <row r="29006" spans="1:6" x14ac:dyDescent="0.2">
      <c r="A29006" t="s">
        <v>45813</v>
      </c>
      <c r="B29006" t="s">
        <v>45814</v>
      </c>
      <c r="C29006" t="s">
        <v>151</v>
      </c>
      <c r="D29006" t="s">
        <v>1356</v>
      </c>
      <c r="E29006" t="s">
        <v>219</v>
      </c>
      <c r="F29006" s="2" t="str">
        <f>HYPERLINK("http://www.otzar.org/book.asp?619210","סדר תפילה בבית הכנסת - 5 כר'")</f>
        <v>סדר תפילה בבית הכנסת - 5 כר'</v>
      </c>
    </row>
    <row r="29007" spans="1:6" x14ac:dyDescent="0.2">
      <c r="A29007" t="s">
        <v>45815</v>
      </c>
      <c r="B29007" t="s">
        <v>3299</v>
      </c>
      <c r="C29007" t="s">
        <v>775</v>
      </c>
      <c r="D29007" t="s">
        <v>14</v>
      </c>
      <c r="E29007" t="s">
        <v>4731</v>
      </c>
      <c r="F29007" s="2" t="str">
        <f>HYPERLINK("http://www.otzar.org/book.asp?145531","סדר תפילה ורינה, מנהגי חתם סופר ויוצאי חלציו")</f>
        <v>סדר תפילה ורינה, מנהגי חתם סופר ויוצאי חלציו</v>
      </c>
    </row>
    <row r="29008" spans="1:6" x14ac:dyDescent="0.2">
      <c r="A29008" t="s">
        <v>45816</v>
      </c>
      <c r="B29008" t="s">
        <v>45817</v>
      </c>
      <c r="C29008" t="s">
        <v>956</v>
      </c>
      <c r="D29008" t="s">
        <v>14</v>
      </c>
      <c r="F29008" s="2" t="str">
        <f>HYPERLINK("http://www.otzar.org/book.asp?183000","סדר תפילה עם ביאור שיח יצחק")</f>
        <v>סדר תפילה עם ביאור שיח יצחק</v>
      </c>
    </row>
    <row r="29009" spans="1:6" x14ac:dyDescent="0.2">
      <c r="A29009" t="s">
        <v>45818</v>
      </c>
      <c r="B29009" t="s">
        <v>45819</v>
      </c>
      <c r="C29009" t="s">
        <v>68</v>
      </c>
      <c r="D29009" t="s">
        <v>14</v>
      </c>
      <c r="F29009" s="2" t="str">
        <f>HYPERLINK("http://www.otzar.org/book.asp?183029","סדר תפילות כמנהג איטאלייאני")</f>
        <v>סדר תפילות כמנהג איטאלייאני</v>
      </c>
    </row>
    <row r="29010" spans="1:6" x14ac:dyDescent="0.2">
      <c r="A29010" t="s">
        <v>45820</v>
      </c>
      <c r="B29010" t="s">
        <v>36673</v>
      </c>
      <c r="D29010" t="s">
        <v>14</v>
      </c>
      <c r="E29010" t="s">
        <v>219</v>
      </c>
      <c r="F29010" s="2" t="str">
        <f>HYPERLINK("http://www.otzar.org/book.asp?620289","סדר תפילות כמנהג בני רומה &lt;סידורילו&gt;")</f>
        <v>סדר תפילות כמנהג בני רומה &lt;סידורילו&gt;</v>
      </c>
    </row>
    <row r="29011" spans="1:6" x14ac:dyDescent="0.2">
      <c r="A29011" t="s">
        <v>45821</v>
      </c>
      <c r="B29011" t="s">
        <v>36673</v>
      </c>
      <c r="C29011" t="s">
        <v>244</v>
      </c>
      <c r="D29011" t="s">
        <v>14</v>
      </c>
      <c r="E29011" t="s">
        <v>219</v>
      </c>
      <c r="F29011" s="2" t="str">
        <f>HYPERLINK("http://www.otzar.org/book.asp?620287","סדר תפילות כמנהג בני רומה - 2 כר'")</f>
        <v>סדר תפילות כמנהג בני רומה - 2 כר'</v>
      </c>
    </row>
    <row r="29012" spans="1:6" x14ac:dyDescent="0.2">
      <c r="A29012" t="s">
        <v>45822</v>
      </c>
      <c r="B29012" t="s">
        <v>45823</v>
      </c>
      <c r="C29012" t="s">
        <v>6995</v>
      </c>
      <c r="D29012" t="s">
        <v>95</v>
      </c>
      <c r="E29012" t="s">
        <v>219</v>
      </c>
      <c r="F29012" s="2" t="str">
        <f>HYPERLINK("http://www.otzar.org/book.asp?181185","סדר תפילות כמנהג ק""ק ספרדים")</f>
        <v>סדר תפילות כמנהג ק"ק ספרדים</v>
      </c>
    </row>
    <row r="29013" spans="1:6" x14ac:dyDescent="0.2">
      <c r="A29013" t="s">
        <v>45824</v>
      </c>
      <c r="B29013" t="s">
        <v>45287</v>
      </c>
      <c r="C29013" t="s">
        <v>160</v>
      </c>
      <c r="D29013" t="s">
        <v>412</v>
      </c>
      <c r="E29013" t="s">
        <v>219</v>
      </c>
      <c r="F29013" s="2" t="str">
        <f>HYPERLINK("http://www.otzar.org/book.asp?172748","סדר תפילות כפי מנהג הספרדים באמריקא")</f>
        <v>סדר תפילות כפי מנהג הספרדים באמריקא</v>
      </c>
    </row>
    <row r="29014" spans="1:6" x14ac:dyDescent="0.2">
      <c r="A29014" t="s">
        <v>45825</v>
      </c>
      <c r="B29014" t="s">
        <v>45826</v>
      </c>
      <c r="C29014" t="s">
        <v>20680</v>
      </c>
      <c r="D29014" t="s">
        <v>729</v>
      </c>
      <c r="F29014" s="2" t="str">
        <f>HYPERLINK("http://www.otzar.org/book.asp?618516","סדר תפילות מכל השנה - 2 כר'")</f>
        <v>סדר תפילות מכל השנה - 2 כר'</v>
      </c>
    </row>
    <row r="29015" spans="1:6" x14ac:dyDescent="0.2">
      <c r="A29015" t="s">
        <v>45827</v>
      </c>
      <c r="B29015" t="s">
        <v>1314</v>
      </c>
      <c r="C29015" t="s">
        <v>244</v>
      </c>
      <c r="D29015" t="s">
        <v>32811</v>
      </c>
      <c r="E29015" t="s">
        <v>219</v>
      </c>
      <c r="F29015" s="2" t="str">
        <f>HYPERLINK("http://www.otzar.org/book.asp?629503","סדר תפילות - סידור הרמ""ז")</f>
        <v>סדר תפילות - סידור הרמ"ז</v>
      </c>
    </row>
    <row r="29016" spans="1:6" x14ac:dyDescent="0.2">
      <c r="A29016" t="s">
        <v>45828</v>
      </c>
      <c r="B29016" t="s">
        <v>45829</v>
      </c>
      <c r="C29016" t="s">
        <v>45830</v>
      </c>
      <c r="D29016" t="s">
        <v>2599</v>
      </c>
      <c r="E29016" t="s">
        <v>24</v>
      </c>
      <c r="F29016" s="2" t="str">
        <f>HYPERLINK("http://www.otzar.org/book.asp?196250","סדר תפילת ישראל &lt;דרך החיים עם הוספות ר""א פולד&gt;")</f>
        <v>סדר תפילת ישראל &lt;דרך החיים עם הוספות ר"א פולד&gt;</v>
      </c>
    </row>
    <row r="29017" spans="1:6" x14ac:dyDescent="0.2">
      <c r="A29017" t="s">
        <v>45831</v>
      </c>
      <c r="B29017" t="s">
        <v>45832</v>
      </c>
      <c r="C29017" t="s">
        <v>1940</v>
      </c>
      <c r="D29017" t="s">
        <v>7163</v>
      </c>
      <c r="E29017" t="s">
        <v>219</v>
      </c>
      <c r="F29017" s="2" t="str">
        <f>HYPERLINK("http://www.otzar.org/book.asp?174356","סדר תפלה דרך ישרה")</f>
        <v>סדר תפלה דרך ישרה</v>
      </c>
    </row>
    <row r="29018" spans="1:6" x14ac:dyDescent="0.2">
      <c r="A29018" t="s">
        <v>45831</v>
      </c>
      <c r="B29018" t="s">
        <v>45833</v>
      </c>
      <c r="C29018" t="s">
        <v>16540</v>
      </c>
      <c r="D29018" t="s">
        <v>20713</v>
      </c>
      <c r="E29018" t="s">
        <v>219</v>
      </c>
      <c r="F29018" s="2" t="str">
        <f>HYPERLINK("http://www.otzar.org/book.asp?628773","סדר תפלה דרך ישרה")</f>
        <v>סדר תפלה דרך ישרה</v>
      </c>
    </row>
    <row r="29019" spans="1:6" x14ac:dyDescent="0.2">
      <c r="A29019" t="s">
        <v>45834</v>
      </c>
      <c r="B29019" t="s">
        <v>45835</v>
      </c>
      <c r="C29019" t="s">
        <v>129</v>
      </c>
      <c r="D29019" t="s">
        <v>36383</v>
      </c>
      <c r="E29019" t="s">
        <v>219</v>
      </c>
      <c r="F29019" s="2" t="str">
        <f>HYPERLINK("http://www.otzar.org/book.asp?188991","סדר תפלה דרך שיח השדה &lt;ר""א ור""ע&gt; - מהדורת אוצרנו")</f>
        <v>סדר תפלה דרך שיח השדה &lt;ר"א ור"ע&gt; - מהדורת אוצרנו</v>
      </c>
    </row>
    <row r="29020" spans="1:6" x14ac:dyDescent="0.2">
      <c r="A29020" t="s">
        <v>45836</v>
      </c>
      <c r="B29020" t="s">
        <v>45837</v>
      </c>
      <c r="C29020" t="s">
        <v>624</v>
      </c>
      <c r="D29020" t="s">
        <v>14</v>
      </c>
      <c r="E29020" t="s">
        <v>219</v>
      </c>
      <c r="F29020" s="2" t="str">
        <f>HYPERLINK("http://www.otzar.org/book.asp?173409","סדר תפלה ישרה החדש וכתר נהורא השלם")</f>
        <v>סדר תפלה ישרה החדש וכתר נהורא השלם</v>
      </c>
    </row>
    <row r="29021" spans="1:6" x14ac:dyDescent="0.2">
      <c r="A29021" t="s">
        <v>45838</v>
      </c>
      <c r="B29021" t="s">
        <v>45839</v>
      </c>
      <c r="C29021" t="s">
        <v>10148</v>
      </c>
      <c r="D29021" t="s">
        <v>6042</v>
      </c>
      <c r="E29021" t="s">
        <v>219</v>
      </c>
      <c r="F29021" s="2" t="str">
        <f>HYPERLINK("http://www.otzar.org/book.asp?53488","סדר תפלה מכל השנה כמנהג אשכנז ופולין &lt;סידור רבי עזריאל ורבי אליהו&gt;")</f>
        <v>סדר תפלה מכל השנה כמנהג אשכנז ופולין &lt;סידור רבי עזריאל ורבי אליהו&gt;</v>
      </c>
    </row>
    <row r="29022" spans="1:6" x14ac:dyDescent="0.2">
      <c r="A29022" t="s">
        <v>45840</v>
      </c>
      <c r="B29022" t="s">
        <v>39747</v>
      </c>
      <c r="C29022" t="s">
        <v>270</v>
      </c>
      <c r="D29022" t="s">
        <v>1722</v>
      </c>
      <c r="F29022" s="2" t="str">
        <f>HYPERLINK("http://www.otzar.org/book.asp?622402","סדר תפלה - 2 כר'")</f>
        <v>סדר תפלה - 2 כר'</v>
      </c>
    </row>
    <row r="29023" spans="1:6" x14ac:dyDescent="0.2">
      <c r="A29023" t="s">
        <v>45841</v>
      </c>
      <c r="B29023" t="s">
        <v>45842</v>
      </c>
      <c r="C29023" t="s">
        <v>75</v>
      </c>
      <c r="D29023" t="s">
        <v>1459</v>
      </c>
      <c r="E29023" t="s">
        <v>219</v>
      </c>
      <c r="F29023" s="2" t="str">
        <f>HYPERLINK("http://www.otzar.org/book.asp?153975","סדר תפלה")</f>
        <v>סדר תפלה</v>
      </c>
    </row>
    <row r="29024" spans="1:6" x14ac:dyDescent="0.2">
      <c r="A29024" t="s">
        <v>45843</v>
      </c>
      <c r="B29024" t="s">
        <v>45844</v>
      </c>
      <c r="C29024" t="s">
        <v>176</v>
      </c>
      <c r="D29024" t="s">
        <v>45845</v>
      </c>
      <c r="E29024" t="s">
        <v>219</v>
      </c>
      <c r="F29024" s="2" t="str">
        <f>HYPERLINK("http://www.otzar.org/book.asp?196633","סדר תפלות (כמנהג איטאליאני)")</f>
        <v>סדר תפלות (כמנהג איטאליאני)</v>
      </c>
    </row>
    <row r="29025" spans="1:6" x14ac:dyDescent="0.2">
      <c r="A29025" t="s">
        <v>45846</v>
      </c>
      <c r="B29025" t="s">
        <v>45847</v>
      </c>
      <c r="C29025" t="s">
        <v>27671</v>
      </c>
      <c r="D29025" t="s">
        <v>49</v>
      </c>
      <c r="E29025" t="s">
        <v>219</v>
      </c>
      <c r="F29025" s="2" t="str">
        <f>HYPERLINK("http://www.otzar.org/book.asp?53443","סדר תפלות למועדים טובים")</f>
        <v>סדר תפלות למועדים טובים</v>
      </c>
    </row>
    <row r="29026" spans="1:6" x14ac:dyDescent="0.2">
      <c r="A29026" t="s">
        <v>45848</v>
      </c>
      <c r="B29026" t="s">
        <v>45849</v>
      </c>
      <c r="C29026" t="s">
        <v>1470</v>
      </c>
      <c r="D29026" t="s">
        <v>21</v>
      </c>
      <c r="E29026" t="s">
        <v>219</v>
      </c>
      <c r="F29026" s="2" t="str">
        <f>HYPERLINK("http://www.otzar.org/book.asp?612188","סדר תפלות למתעסקים במתים")</f>
        <v>סדר תפלות למתעסקים במתים</v>
      </c>
    </row>
    <row r="29027" spans="1:6" x14ac:dyDescent="0.2">
      <c r="A29027" t="s">
        <v>45850</v>
      </c>
      <c r="B29027" t="s">
        <v>45851</v>
      </c>
      <c r="C29027" t="s">
        <v>40182</v>
      </c>
      <c r="D29027" t="s">
        <v>5528</v>
      </c>
      <c r="E29027" t="s">
        <v>219</v>
      </c>
      <c r="F29027" s="2" t="str">
        <f>HYPERLINK("http://www.otzar.org/book.asp?196084","סדר תפלות מכל השנה כמנהג האשכנזים")</f>
        <v>סדר תפלות מכל השנה כמנהג האשכנזים</v>
      </c>
    </row>
    <row r="29028" spans="1:6" x14ac:dyDescent="0.2">
      <c r="A29028" t="s">
        <v>45852</v>
      </c>
      <c r="B29028" t="s">
        <v>865</v>
      </c>
      <c r="C29028" t="s">
        <v>503</v>
      </c>
      <c r="D29028" t="s">
        <v>307</v>
      </c>
      <c r="E29028" t="s">
        <v>219</v>
      </c>
      <c r="F29028" s="2" t="str">
        <f>HYPERLINK("http://www.otzar.org/book.asp?142899","סדר תפלות מכל השנה עם פירוש הרי בשמים")</f>
        <v>סדר תפלות מכל השנה עם פירוש הרי בשמים</v>
      </c>
    </row>
    <row r="29029" spans="1:6" x14ac:dyDescent="0.2">
      <c r="A29029" t="s">
        <v>45853</v>
      </c>
      <c r="B29029" t="s">
        <v>45854</v>
      </c>
      <c r="C29029" t="s">
        <v>45855</v>
      </c>
      <c r="D29029" t="s">
        <v>95</v>
      </c>
      <c r="E29029" t="s">
        <v>219</v>
      </c>
      <c r="F29029" s="2" t="str">
        <f>HYPERLINK("http://www.otzar.org/book.asp?196082","סדר תפלות תחנות ופזמונים")</f>
        <v>סדר תפלות תחנות ופזמונים</v>
      </c>
    </row>
    <row r="29030" spans="1:6" x14ac:dyDescent="0.2">
      <c r="A29030" t="s">
        <v>45853</v>
      </c>
      <c r="B29030" t="s">
        <v>45856</v>
      </c>
      <c r="C29030" t="s">
        <v>45857</v>
      </c>
      <c r="D29030" t="s">
        <v>21010</v>
      </c>
      <c r="F29030" s="2" t="str">
        <f>HYPERLINK("http://www.otzar.org/book.asp?614530","סדר תפלות תחנות ופזמונים")</f>
        <v>סדר תפלות תחנות ופזמונים</v>
      </c>
    </row>
    <row r="29031" spans="1:6" x14ac:dyDescent="0.2">
      <c r="A29031" t="s">
        <v>45858</v>
      </c>
      <c r="B29031" t="s">
        <v>45859</v>
      </c>
      <c r="C29031" t="s">
        <v>506</v>
      </c>
      <c r="D29031" t="s">
        <v>344</v>
      </c>
      <c r="E29031" t="s">
        <v>219</v>
      </c>
      <c r="F29031" s="2" t="str">
        <f>HYPERLINK("http://www.otzar.org/book.asp?174361","סדר תפלת ישראל ע""פ אור הישר")</f>
        <v>סדר תפלת ישראל ע"פ אור הישר</v>
      </c>
    </row>
    <row r="29032" spans="1:6" x14ac:dyDescent="0.2">
      <c r="A29032" t="s">
        <v>45860</v>
      </c>
      <c r="B29032" t="s">
        <v>45861</v>
      </c>
      <c r="C29032" t="s">
        <v>11776</v>
      </c>
      <c r="D29032" t="s">
        <v>43184</v>
      </c>
      <c r="E29032" t="s">
        <v>219</v>
      </c>
      <c r="F29032" s="2" t="str">
        <f>HYPERLINK("http://www.otzar.org/book.asp?53490","סדר תפלת מנחה של ערב ראש חדש")</f>
        <v>סדר תפלת מנחה של ערב ראש חדש</v>
      </c>
    </row>
    <row r="29033" spans="1:6" x14ac:dyDescent="0.2">
      <c r="A29033" t="s">
        <v>45862</v>
      </c>
      <c r="B29033" t="s">
        <v>45862</v>
      </c>
      <c r="C29033" t="s">
        <v>106</v>
      </c>
      <c r="D29033" t="s">
        <v>52</v>
      </c>
      <c r="E29033" t="s">
        <v>1517</v>
      </c>
      <c r="F29033" s="2" t="str">
        <f>HYPERLINK("http://www.otzar.org/book.asp?11864","סדר תקון חצות")</f>
        <v>סדר תקון חצות</v>
      </c>
    </row>
    <row r="29034" spans="1:6" x14ac:dyDescent="0.2">
      <c r="A29034" t="s">
        <v>45863</v>
      </c>
      <c r="B29034" t="s">
        <v>45864</v>
      </c>
      <c r="C29034" t="s">
        <v>5169</v>
      </c>
      <c r="D29034" t="s">
        <v>27174</v>
      </c>
      <c r="E29034" t="s">
        <v>1517</v>
      </c>
      <c r="F29034" s="2" t="str">
        <f>HYPERLINK("http://www.otzar.org/book.asp?623720","סדר תקון ליל שבועות והושענא רבה")</f>
        <v>סדר תקון ליל שבועות והושענא רבה</v>
      </c>
    </row>
    <row r="29035" spans="1:6" x14ac:dyDescent="0.2">
      <c r="A29035" t="s">
        <v>45865</v>
      </c>
      <c r="B29035" t="s">
        <v>45864</v>
      </c>
      <c r="C29035" t="s">
        <v>8375</v>
      </c>
      <c r="D29035" t="s">
        <v>45866</v>
      </c>
      <c r="E29035" t="s">
        <v>219</v>
      </c>
      <c r="F29035" s="2" t="str">
        <f>HYPERLINK("http://www.otzar.org/book.asp?619108","סדר תקון ליל שבועות וליל הושענא רבה")</f>
        <v>סדר תקון ליל שבועות וליל הושענא רבה</v>
      </c>
    </row>
    <row r="29036" spans="1:6" x14ac:dyDescent="0.2">
      <c r="A29036" t="s">
        <v>45867</v>
      </c>
      <c r="B29036" t="s">
        <v>44032</v>
      </c>
      <c r="C29036" t="s">
        <v>6041</v>
      </c>
      <c r="D29036" t="s">
        <v>2303</v>
      </c>
      <c r="E29036" t="s">
        <v>15</v>
      </c>
      <c r="F29036" s="2" t="str">
        <f>HYPERLINK("http://www.otzar.org/book.asp?28314","סדר תקוני שטרות")</f>
        <v>סדר תקוני שטרות</v>
      </c>
    </row>
    <row r="29037" spans="1:6" x14ac:dyDescent="0.2">
      <c r="A29037" t="s">
        <v>45868</v>
      </c>
      <c r="B29037" t="s">
        <v>2347</v>
      </c>
      <c r="C29037" t="s">
        <v>20</v>
      </c>
      <c r="D29037" t="s">
        <v>1163</v>
      </c>
      <c r="E29037" t="s">
        <v>2758</v>
      </c>
      <c r="F29037" s="2" t="str">
        <f>HYPERLINK("http://www.otzar.org/book.asp?104443","סדר תקיעת שופר - כתב יד")</f>
        <v>סדר תקיעת שופר - כתב יד</v>
      </c>
    </row>
    <row r="29038" spans="1:6" x14ac:dyDescent="0.2">
      <c r="A29038" t="s">
        <v>45869</v>
      </c>
      <c r="B29038" t="s">
        <v>6040</v>
      </c>
      <c r="C29038" t="s">
        <v>767</v>
      </c>
      <c r="D29038" t="s">
        <v>14</v>
      </c>
      <c r="F29038" s="2" t="str">
        <f>HYPERLINK("http://www.otzar.org/book.asp?617236","סדר תקיעת שופר")</f>
        <v>סדר תקיעת שופר</v>
      </c>
    </row>
    <row r="29039" spans="1:6" x14ac:dyDescent="0.2">
      <c r="A29039" t="s">
        <v>45870</v>
      </c>
      <c r="B29039" t="s">
        <v>38250</v>
      </c>
      <c r="C29039" t="s">
        <v>189</v>
      </c>
      <c r="D29039" t="s">
        <v>52</v>
      </c>
      <c r="E29039" t="s">
        <v>130</v>
      </c>
      <c r="F29039" s="2" t="str">
        <f>HYPERLINK("http://www.otzar.org/book.asp?62966","סדר תשליך ומנהגיו")</f>
        <v>סדר תשליך ומנהגיו</v>
      </c>
    </row>
    <row r="29040" spans="1:6" x14ac:dyDescent="0.2">
      <c r="A29040" t="s">
        <v>45871</v>
      </c>
      <c r="B29040" t="s">
        <v>45872</v>
      </c>
      <c r="C29040" t="s">
        <v>5140</v>
      </c>
      <c r="D29040" t="s">
        <v>744</v>
      </c>
      <c r="E29040" t="s">
        <v>1517</v>
      </c>
      <c r="F29040" s="2" t="str">
        <f>HYPERLINK("http://www.otzar.org/book.asp?162289","סדר תשעה באב לילה ויום")</f>
        <v>סדר תשעה באב לילה ויום</v>
      </c>
    </row>
    <row r="29041" spans="1:6" x14ac:dyDescent="0.2">
      <c r="A29041" t="s">
        <v>45873</v>
      </c>
      <c r="B29041" t="s">
        <v>45874</v>
      </c>
      <c r="C29041" t="s">
        <v>411</v>
      </c>
      <c r="D29041" t="s">
        <v>90</v>
      </c>
      <c r="F29041" s="2" t="str">
        <f>HYPERLINK("http://www.otzar.org/book.asp?605928","סדרא דהילולא")</f>
        <v>סדרא דהילולא</v>
      </c>
    </row>
    <row r="29042" spans="1:6" x14ac:dyDescent="0.2">
      <c r="A29042" t="s">
        <v>45875</v>
      </c>
      <c r="B29042" t="s">
        <v>45876</v>
      </c>
      <c r="C29042" t="s">
        <v>23</v>
      </c>
      <c r="D29042" t="s">
        <v>152</v>
      </c>
      <c r="F29042" s="2" t="str">
        <f>HYPERLINK("http://www.otzar.org/book.asp?197942","סדרי גיטין")</f>
        <v>סדרי גיטין</v>
      </c>
    </row>
    <row r="29043" spans="1:6" x14ac:dyDescent="0.2">
      <c r="A29043" t="s">
        <v>45877</v>
      </c>
      <c r="B29043" t="s">
        <v>84</v>
      </c>
      <c r="C29043" t="s">
        <v>20</v>
      </c>
      <c r="D29043" t="s">
        <v>14</v>
      </c>
      <c r="E29043" t="s">
        <v>84</v>
      </c>
      <c r="F29043" s="2" t="str">
        <f>HYPERLINK("http://www.otzar.org/book.asp?21344","סדרי המשנה - 2 כר'")</f>
        <v>סדרי המשנה - 2 כר'</v>
      </c>
    </row>
    <row r="29044" spans="1:6" x14ac:dyDescent="0.2">
      <c r="A29044" t="s">
        <v>45878</v>
      </c>
      <c r="B29044" t="s">
        <v>45879</v>
      </c>
      <c r="C29044" t="s">
        <v>244</v>
      </c>
      <c r="D29044" t="s">
        <v>152</v>
      </c>
      <c r="F29044" s="2" t="str">
        <f>HYPERLINK("http://www.otzar.org/book.asp?600910","סדרי הש""ס (שבת, סוכה, ע""ז, חולין)")</f>
        <v>סדרי הש"ס (שבת, סוכה, ע"ז, חולין)</v>
      </c>
    </row>
    <row r="29045" spans="1:6" x14ac:dyDescent="0.2">
      <c r="A29045" t="s">
        <v>45880</v>
      </c>
      <c r="B29045" t="s">
        <v>21492</v>
      </c>
      <c r="C29045" t="s">
        <v>438</v>
      </c>
      <c r="D29045" t="s">
        <v>14</v>
      </c>
      <c r="F29045" s="2" t="str">
        <f>HYPERLINK("http://www.otzar.org/book.asp?182836","סדרי חינוך")</f>
        <v>סדרי חינוך</v>
      </c>
    </row>
    <row r="29046" spans="1:6" x14ac:dyDescent="0.2">
      <c r="A29046" t="s">
        <v>45881</v>
      </c>
      <c r="B29046" t="s">
        <v>45882</v>
      </c>
      <c r="C29046" t="s">
        <v>2488</v>
      </c>
      <c r="D29046" t="s">
        <v>280</v>
      </c>
      <c r="E29046" t="s">
        <v>172</v>
      </c>
      <c r="F29046" s="2" t="str">
        <f>HYPERLINK("http://www.otzar.org/book.asp?166855","סדרי טהרה - 2 כר'")</f>
        <v>סדרי טהרה - 2 כר'</v>
      </c>
    </row>
    <row r="29047" spans="1:6" x14ac:dyDescent="0.2">
      <c r="A29047" t="s">
        <v>45883</v>
      </c>
      <c r="B29047" t="s">
        <v>15789</v>
      </c>
      <c r="C29047" t="s">
        <v>45884</v>
      </c>
      <c r="D29047" t="s">
        <v>8579</v>
      </c>
      <c r="E29047" t="s">
        <v>84</v>
      </c>
      <c r="F29047" s="2" t="str">
        <f>HYPERLINK("http://www.otzar.org/book.asp?106815","סדרי טהרות - 2 כר'")</f>
        <v>סדרי טהרות - 2 כר'</v>
      </c>
    </row>
    <row r="29048" spans="1:6" x14ac:dyDescent="0.2">
      <c r="A29048" t="s">
        <v>45885</v>
      </c>
      <c r="B29048" t="s">
        <v>21338</v>
      </c>
      <c r="C29048" t="s">
        <v>111</v>
      </c>
      <c r="D29048" t="s">
        <v>21339</v>
      </c>
      <c r="E29048" t="s">
        <v>15</v>
      </c>
      <c r="F29048" s="2" t="str">
        <f>HYPERLINK("http://www.otzar.org/book.asp?628658","סדרי משיח לרמב""ם")</f>
        <v>סדרי משיח לרמב"ם</v>
      </c>
    </row>
    <row r="29049" spans="1:6" x14ac:dyDescent="0.2">
      <c r="A29049" t="s">
        <v>45886</v>
      </c>
      <c r="B29049" t="s">
        <v>45876</v>
      </c>
      <c r="C29049" t="s">
        <v>244</v>
      </c>
      <c r="D29049" t="s">
        <v>152</v>
      </c>
      <c r="F29049" s="2" t="str">
        <f>HYPERLINK("http://www.otzar.org/book.asp?197943","סדרי נדה")</f>
        <v>סדרי נדה</v>
      </c>
    </row>
    <row r="29050" spans="1:6" x14ac:dyDescent="0.2">
      <c r="A29050" t="s">
        <v>45887</v>
      </c>
      <c r="B29050" t="s">
        <v>45888</v>
      </c>
      <c r="C29050" t="s">
        <v>244</v>
      </c>
      <c r="D29050" t="s">
        <v>657</v>
      </c>
      <c r="F29050" s="2" t="str">
        <f>HYPERLINK("http://www.otzar.org/book.asp?198585","סדרי פרשיות")</f>
        <v>סדרי פרשיות</v>
      </c>
    </row>
    <row r="29051" spans="1:6" x14ac:dyDescent="0.2">
      <c r="A29051" t="s">
        <v>45889</v>
      </c>
      <c r="B29051" t="s">
        <v>45394</v>
      </c>
      <c r="C29051" t="s">
        <v>13</v>
      </c>
      <c r="D29051" t="s">
        <v>14</v>
      </c>
      <c r="E29051" t="s">
        <v>158</v>
      </c>
      <c r="F29051" s="2" t="str">
        <f>HYPERLINK("http://www.otzar.org/book.asp?61623","סדרי תורה")</f>
        <v>סדרי תורה</v>
      </c>
    </row>
    <row r="29052" spans="1:6" x14ac:dyDescent="0.2">
      <c r="A29052" t="s">
        <v>45890</v>
      </c>
      <c r="B29052" t="s">
        <v>107</v>
      </c>
      <c r="C29052" t="s">
        <v>313</v>
      </c>
      <c r="D29052" t="s">
        <v>14</v>
      </c>
      <c r="E29052" t="s">
        <v>119</v>
      </c>
      <c r="F29052" s="2" t="str">
        <f>HYPERLINK("http://www.otzar.org/book.asp?148240","סדרת גדולי ישראל - 2 כר'")</f>
        <v>סדרת גדולי ישראל - 2 כר'</v>
      </c>
    </row>
    <row r="29053" spans="1:6" x14ac:dyDescent="0.2">
      <c r="A29053" t="s">
        <v>45891</v>
      </c>
      <c r="B29053" t="s">
        <v>107</v>
      </c>
      <c r="C29053" t="s">
        <v>466</v>
      </c>
      <c r="D29053" t="s">
        <v>14</v>
      </c>
      <c r="E29053" t="s">
        <v>241</v>
      </c>
      <c r="F29053" s="2" t="str">
        <f>HYPERLINK("http://www.otzar.org/book.asp?6266","סדרת המידות - 3 כר'")</f>
        <v>סדרת המידות - 3 כר'</v>
      </c>
    </row>
    <row r="29054" spans="1:6" x14ac:dyDescent="0.2">
      <c r="A29054" t="s">
        <v>45892</v>
      </c>
      <c r="B29054" t="s">
        <v>107</v>
      </c>
      <c r="C29054" t="s">
        <v>533</v>
      </c>
      <c r="D29054" t="s">
        <v>14</v>
      </c>
      <c r="E29054" t="s">
        <v>15</v>
      </c>
      <c r="F29054" s="2" t="str">
        <f>HYPERLINK("http://www.otzar.org/book.asp?84447","סדרת כשרות המזון - מדריך להלכות ערלה")</f>
        <v>סדרת כשרות המזון - מדריך להלכות ערלה</v>
      </c>
    </row>
    <row r="29055" spans="1:6" x14ac:dyDescent="0.2">
      <c r="A29055" t="s">
        <v>45893</v>
      </c>
      <c r="B29055" t="s">
        <v>107</v>
      </c>
      <c r="C29055" t="s">
        <v>71</v>
      </c>
      <c r="D29055" t="s">
        <v>14</v>
      </c>
      <c r="E29055" t="s">
        <v>6305</v>
      </c>
      <c r="F29055" s="2" t="str">
        <f>HYPERLINK("http://www.otzar.org/book.asp?6374","סדרת נפלאות הבורא - 5 כר'")</f>
        <v>סדרת נפלאות הבורא - 5 כר'</v>
      </c>
    </row>
    <row r="29056" spans="1:6" x14ac:dyDescent="0.2">
      <c r="A29056" t="s">
        <v>45894</v>
      </c>
      <c r="B29056" t="s">
        <v>45895</v>
      </c>
      <c r="C29056" t="s">
        <v>20</v>
      </c>
      <c r="D29056" t="s">
        <v>90</v>
      </c>
      <c r="E29056" t="s">
        <v>15</v>
      </c>
      <c r="F29056" s="2" t="str">
        <f>HYPERLINK("http://www.otzar.org/book.asp?621509","סדרת שיעורים בהלכות טהרה")</f>
        <v>סדרת שיעורים בהלכות טהרה</v>
      </c>
    </row>
    <row r="29057" spans="1:6" x14ac:dyDescent="0.2">
      <c r="A29057" t="s">
        <v>45896</v>
      </c>
      <c r="B29057" t="s">
        <v>107</v>
      </c>
      <c r="C29057" t="s">
        <v>20</v>
      </c>
      <c r="D29057" t="s">
        <v>14</v>
      </c>
      <c r="E29057" t="s">
        <v>104</v>
      </c>
      <c r="F29057" s="2" t="str">
        <f>HYPERLINK("http://www.otzar.org/book.asp?625803","סדרת תורה ומדע - 3 כר'")</f>
        <v>סדרת תורה ומדע - 3 כר'</v>
      </c>
    </row>
    <row r="29058" spans="1:6" x14ac:dyDescent="0.2">
      <c r="A29058" t="s">
        <v>45897</v>
      </c>
      <c r="B29058" t="s">
        <v>9358</v>
      </c>
      <c r="C29058" t="s">
        <v>390</v>
      </c>
      <c r="D29058" t="s">
        <v>412</v>
      </c>
      <c r="E29058" t="s">
        <v>202</v>
      </c>
      <c r="F29058" s="2" t="str">
        <f>HYPERLINK("http://www.otzar.org/book.asp?106352","סובאלק - יזכור בוך סואוואלק")</f>
        <v>סובאלק - יזכור בוך סואוואלק</v>
      </c>
    </row>
    <row r="29059" spans="1:6" x14ac:dyDescent="0.2">
      <c r="A29059" t="s">
        <v>45898</v>
      </c>
      <c r="B29059" t="s">
        <v>4991</v>
      </c>
      <c r="C29059" t="s">
        <v>454</v>
      </c>
      <c r="D29059" t="s">
        <v>14</v>
      </c>
      <c r="E29059" t="s">
        <v>241</v>
      </c>
      <c r="F29059" s="2" t="str">
        <f>HYPERLINK("http://www.otzar.org/book.asp?166014","סובלנות וויתור")</f>
        <v>סובלנות וויתור</v>
      </c>
    </row>
    <row r="29060" spans="1:6" x14ac:dyDescent="0.2">
      <c r="A29060" t="s">
        <v>45899</v>
      </c>
      <c r="B29060" t="s">
        <v>45900</v>
      </c>
      <c r="C29060" t="s">
        <v>68</v>
      </c>
      <c r="D29060" t="s">
        <v>14</v>
      </c>
      <c r="E29060" t="s">
        <v>15</v>
      </c>
      <c r="F29060" s="2" t="str">
        <f>HYPERLINK("http://www.otzar.org/book.asp?166258","סוגה בשושנים &lt;רועה בשושנים&gt;")</f>
        <v>סוגה בשושנים &lt;רועה בשושנים&gt;</v>
      </c>
    </row>
    <row r="29061" spans="1:6" x14ac:dyDescent="0.2">
      <c r="A29061" t="s">
        <v>45901</v>
      </c>
      <c r="B29061" t="s">
        <v>45902</v>
      </c>
      <c r="C29061" t="s">
        <v>2644</v>
      </c>
      <c r="D29061" t="s">
        <v>1722</v>
      </c>
      <c r="E29061" t="s">
        <v>15</v>
      </c>
      <c r="F29061" s="2" t="str">
        <f>HYPERLINK("http://www.otzar.org/book.asp?8146","סוגה בשושנים")</f>
        <v>סוגה בשושנים</v>
      </c>
    </row>
    <row r="29062" spans="1:6" x14ac:dyDescent="0.2">
      <c r="A29062" t="s">
        <v>45903</v>
      </c>
      <c r="B29062" t="s">
        <v>45904</v>
      </c>
      <c r="C29062" t="s">
        <v>473</v>
      </c>
      <c r="D29062" t="s">
        <v>283</v>
      </c>
      <c r="E29062" t="s">
        <v>148</v>
      </c>
      <c r="F29062" s="2" t="str">
        <f>HYPERLINK("http://www.otzar.org/book.asp?52050","סוגה בשושנים - 2 כר'")</f>
        <v>סוגה בשושנים - 2 כר'</v>
      </c>
    </row>
    <row r="29063" spans="1:6" x14ac:dyDescent="0.2">
      <c r="A29063" t="s">
        <v>45901</v>
      </c>
      <c r="B29063" t="s">
        <v>18048</v>
      </c>
      <c r="C29063" t="s">
        <v>332</v>
      </c>
      <c r="D29063" t="s">
        <v>14</v>
      </c>
      <c r="E29063" t="s">
        <v>15</v>
      </c>
      <c r="F29063" s="2" t="str">
        <f>HYPERLINK("http://www.otzar.org/book.asp?148672","סוגה בשושנים")</f>
        <v>סוגה בשושנים</v>
      </c>
    </row>
    <row r="29064" spans="1:6" x14ac:dyDescent="0.2">
      <c r="A29064" t="s">
        <v>45901</v>
      </c>
      <c r="B29064" t="s">
        <v>45905</v>
      </c>
      <c r="C29064" t="s">
        <v>1706</v>
      </c>
      <c r="D29064" t="s">
        <v>56</v>
      </c>
      <c r="E29064" t="s">
        <v>10</v>
      </c>
      <c r="F29064" s="2" t="str">
        <f>HYPERLINK("http://www.otzar.org/book.asp?21467","סוגה בשושנים")</f>
        <v>סוגה בשושנים</v>
      </c>
    </row>
    <row r="29065" spans="1:6" x14ac:dyDescent="0.2">
      <c r="A29065" t="s">
        <v>45906</v>
      </c>
      <c r="B29065" t="s">
        <v>11082</v>
      </c>
      <c r="C29065" t="s">
        <v>68</v>
      </c>
      <c r="D29065" t="s">
        <v>1974</v>
      </c>
      <c r="E29065" t="s">
        <v>158</v>
      </c>
      <c r="F29065" s="2" t="str">
        <f>HYPERLINK("http://www.otzar.org/book.asp?172211","סוגה בשושנים - שיר השירים")</f>
        <v>סוגה בשושנים - שיר השירים</v>
      </c>
    </row>
    <row r="29066" spans="1:6" x14ac:dyDescent="0.2">
      <c r="A29066" t="s">
        <v>45901</v>
      </c>
      <c r="B29066" t="s">
        <v>489</v>
      </c>
      <c r="C29066" t="s">
        <v>103</v>
      </c>
      <c r="D29066" t="s">
        <v>147</v>
      </c>
      <c r="E29066" t="s">
        <v>186</v>
      </c>
      <c r="F29066" s="2" t="str">
        <f>HYPERLINK("http://www.otzar.org/book.asp?152431","סוגה בשושנים")</f>
        <v>סוגה בשושנים</v>
      </c>
    </row>
    <row r="29067" spans="1:6" x14ac:dyDescent="0.2">
      <c r="A29067" t="s">
        <v>45907</v>
      </c>
      <c r="B29067" t="s">
        <v>45908</v>
      </c>
      <c r="C29067" t="s">
        <v>189</v>
      </c>
      <c r="D29067" t="s">
        <v>90</v>
      </c>
      <c r="F29067" s="2" t="str">
        <f>HYPERLINK("http://www.otzar.org/book.asp?197796","סוגה בשושנים - הלכות נדה")</f>
        <v>סוגה בשושנים - הלכות נדה</v>
      </c>
    </row>
    <row r="29068" spans="1:6" x14ac:dyDescent="0.2">
      <c r="A29068" t="s">
        <v>45909</v>
      </c>
      <c r="B29068" t="s">
        <v>2844</v>
      </c>
      <c r="C29068" t="s">
        <v>17</v>
      </c>
      <c r="D29068" t="s">
        <v>14</v>
      </c>
      <c r="E29068" t="s">
        <v>144</v>
      </c>
      <c r="F29068" s="2" t="str">
        <f>HYPERLINK("http://www.otzar.org/book.asp?156837","סוגיא דחוששין לסבלונות")</f>
        <v>סוגיא דחוששין לסבלונות</v>
      </c>
    </row>
    <row r="29069" spans="1:6" x14ac:dyDescent="0.2">
      <c r="A29069" t="s">
        <v>45910</v>
      </c>
      <c r="B29069" t="s">
        <v>10546</v>
      </c>
      <c r="C29069" t="s">
        <v>466</v>
      </c>
      <c r="D29069" t="s">
        <v>1156</v>
      </c>
      <c r="E29069" t="s">
        <v>15</v>
      </c>
      <c r="F29069" s="2" t="str">
        <f>HYPERLINK("http://www.otzar.org/book.asp?53690","סוגיא דמוקצה - 4 כר'")</f>
        <v>סוגיא דמוקצה - 4 כר'</v>
      </c>
    </row>
    <row r="29070" spans="1:6" x14ac:dyDescent="0.2">
      <c r="A29070" t="s">
        <v>45911</v>
      </c>
      <c r="B29070" t="s">
        <v>45912</v>
      </c>
      <c r="C29070" t="s">
        <v>1448</v>
      </c>
      <c r="D29070" t="s">
        <v>14</v>
      </c>
      <c r="E29070" t="s">
        <v>144</v>
      </c>
      <c r="F29070" s="2" t="str">
        <f>HYPERLINK("http://www.otzar.org/book.asp?173433","סוגיא דסימנים")</f>
        <v>סוגיא דסימנים</v>
      </c>
    </row>
    <row r="29071" spans="1:6" x14ac:dyDescent="0.2">
      <c r="A29071" t="s">
        <v>45913</v>
      </c>
      <c r="B29071" t="s">
        <v>45914</v>
      </c>
      <c r="C29071" t="s">
        <v>103</v>
      </c>
      <c r="D29071" t="s">
        <v>412</v>
      </c>
      <c r="E29071" t="s">
        <v>15</v>
      </c>
      <c r="F29071" s="2" t="str">
        <f>HYPERLINK("http://www.otzar.org/book.asp?147827","סוגיא דפאה נכרית")</f>
        <v>סוגיא דפאה נכרית</v>
      </c>
    </row>
    <row r="29072" spans="1:6" x14ac:dyDescent="0.2">
      <c r="A29072" t="s">
        <v>45915</v>
      </c>
      <c r="B29072" t="s">
        <v>45916</v>
      </c>
      <c r="C29072" t="s">
        <v>13</v>
      </c>
      <c r="D29072" t="s">
        <v>52</v>
      </c>
      <c r="E29072" t="s">
        <v>186</v>
      </c>
      <c r="F29072" s="2" t="str">
        <f>HYPERLINK("http://www.otzar.org/book.asp?85535","סוגיות בבא קמא")</f>
        <v>סוגיות בבא קמא</v>
      </c>
    </row>
    <row r="29073" spans="1:6" x14ac:dyDescent="0.2">
      <c r="A29073" t="s">
        <v>45917</v>
      </c>
      <c r="B29073" t="s">
        <v>45918</v>
      </c>
      <c r="C29073" t="s">
        <v>366</v>
      </c>
      <c r="D29073" t="s">
        <v>367</v>
      </c>
      <c r="F29073" s="2" t="str">
        <f>HYPERLINK("http://www.otzar.org/book.asp?610345","סוגיות במסכת כתובות")</f>
        <v>סוגיות במסכת כתובות</v>
      </c>
    </row>
    <row r="29074" spans="1:6" x14ac:dyDescent="0.2">
      <c r="A29074" t="s">
        <v>45919</v>
      </c>
      <c r="B29074" t="s">
        <v>45920</v>
      </c>
      <c r="C29074" t="s">
        <v>427</v>
      </c>
      <c r="D29074" t="s">
        <v>14</v>
      </c>
      <c r="E29074" t="s">
        <v>144</v>
      </c>
      <c r="F29074" s="2" t="str">
        <f>HYPERLINK("http://www.otzar.org/book.asp?179511","סוגיות בקדשים")</f>
        <v>סוגיות בקדשים</v>
      </c>
    </row>
    <row r="29075" spans="1:6" x14ac:dyDescent="0.2">
      <c r="A29075" t="s">
        <v>45921</v>
      </c>
      <c r="B29075" t="s">
        <v>45922</v>
      </c>
      <c r="C29075">
        <v>1989</v>
      </c>
      <c r="D29075" t="s">
        <v>118</v>
      </c>
      <c r="E29075" t="s">
        <v>144</v>
      </c>
      <c r="F29075" s="2" t="str">
        <f>HYPERLINK("http://www.otzar.org/book.asp?189986","סוגיות בקידושין")</f>
        <v>סוגיות בקידושין</v>
      </c>
    </row>
    <row r="29076" spans="1:6" x14ac:dyDescent="0.2">
      <c r="A29076" t="s">
        <v>45923</v>
      </c>
      <c r="B29076" t="s">
        <v>45916</v>
      </c>
      <c r="C29076" t="s">
        <v>129</v>
      </c>
      <c r="D29076" t="s">
        <v>52</v>
      </c>
      <c r="E29076" t="s">
        <v>186</v>
      </c>
      <c r="F29076" s="2" t="str">
        <f>HYPERLINK("http://www.otzar.org/book.asp?85536","סוגיות גיטין")</f>
        <v>סוגיות גיטין</v>
      </c>
    </row>
    <row r="29077" spans="1:6" x14ac:dyDescent="0.2">
      <c r="A29077" t="s">
        <v>45924</v>
      </c>
      <c r="B29077" t="s">
        <v>45925</v>
      </c>
      <c r="C29077" t="s">
        <v>6041</v>
      </c>
      <c r="D29077" t="s">
        <v>4288</v>
      </c>
      <c r="E29077" t="s">
        <v>158</v>
      </c>
      <c r="F29077" s="2" t="str">
        <f>HYPERLINK("http://www.otzar.org/book.asp?83930","סוגיות התלמוד - 2 כר'")</f>
        <v>סוגיות התלמוד - 2 כר'</v>
      </c>
    </row>
    <row r="29078" spans="1:6" x14ac:dyDescent="0.2">
      <c r="A29078" t="s">
        <v>45926</v>
      </c>
      <c r="B29078" t="s">
        <v>45927</v>
      </c>
      <c r="C29078" t="s">
        <v>775</v>
      </c>
      <c r="D29078" t="s">
        <v>19282</v>
      </c>
      <c r="F29078" s="2" t="str">
        <f>HYPERLINK("http://www.otzar.org/book.asp?158536","סוגיות מכון ש""ס בש""ס - 35 כר'")</f>
        <v>סוגיות מכון ש"ס בש"ס - 35 כר'</v>
      </c>
    </row>
    <row r="29079" spans="1:6" x14ac:dyDescent="0.2">
      <c r="A29079" t="s">
        <v>45928</v>
      </c>
      <c r="B29079" t="s">
        <v>45916</v>
      </c>
      <c r="C29079" t="s">
        <v>13</v>
      </c>
      <c r="D29079" t="s">
        <v>52</v>
      </c>
      <c r="E29079" t="s">
        <v>2338</v>
      </c>
      <c r="F29079" s="2" t="str">
        <f>HYPERLINK("http://www.otzar.org/book.asp?85534","סוגיות שביעית")</f>
        <v>סוגיות שביעית</v>
      </c>
    </row>
    <row r="29080" spans="1:6" x14ac:dyDescent="0.2">
      <c r="A29080" t="s">
        <v>45929</v>
      </c>
      <c r="B29080" t="s">
        <v>45930</v>
      </c>
      <c r="C29080" t="s">
        <v>20</v>
      </c>
      <c r="D29080" t="s">
        <v>52</v>
      </c>
      <c r="E29080" t="s">
        <v>144</v>
      </c>
      <c r="F29080" s="2" t="str">
        <f>HYPERLINK("http://www.otzar.org/book.asp?176334","סוגית יחוד כלים - תש""ע")</f>
        <v>סוגית יחוד כלים - תש"ע</v>
      </c>
    </row>
    <row r="29081" spans="1:6" x14ac:dyDescent="0.2">
      <c r="A29081" t="s">
        <v>45931</v>
      </c>
      <c r="B29081" t="s">
        <v>45932</v>
      </c>
      <c r="C29081" t="s">
        <v>1937</v>
      </c>
      <c r="D29081" t="s">
        <v>60</v>
      </c>
      <c r="E29081" t="s">
        <v>158</v>
      </c>
      <c r="F29081" s="2" t="str">
        <f>HYPERLINK("http://www.otzar.org/book.asp?102069","סוד ברית יצחק")</f>
        <v>סוד ברית יצחק</v>
      </c>
    </row>
    <row r="29082" spans="1:6" x14ac:dyDescent="0.2">
      <c r="A29082" t="s">
        <v>45933</v>
      </c>
      <c r="B29082" t="s">
        <v>8602</v>
      </c>
      <c r="C29082" t="s">
        <v>1885</v>
      </c>
      <c r="D29082" t="s">
        <v>535</v>
      </c>
      <c r="E29082" t="s">
        <v>28</v>
      </c>
      <c r="F29082" s="2" t="str">
        <f>HYPERLINK("http://www.otzar.org/book.asp?21461","סוד ה'")</f>
        <v>סוד ה'</v>
      </c>
    </row>
    <row r="29083" spans="1:6" x14ac:dyDescent="0.2">
      <c r="A29083" t="s">
        <v>45933</v>
      </c>
      <c r="B29083" t="s">
        <v>45934</v>
      </c>
      <c r="C29083" t="s">
        <v>5334</v>
      </c>
      <c r="D29083" t="s">
        <v>4364</v>
      </c>
      <c r="F29083" s="2" t="str">
        <f>HYPERLINK("http://www.otzar.org/book.asp?170171","סוד ה'")</f>
        <v>סוד ה'</v>
      </c>
    </row>
    <row r="29084" spans="1:6" x14ac:dyDescent="0.2">
      <c r="A29084" t="s">
        <v>45935</v>
      </c>
      <c r="B29084" t="s">
        <v>45936</v>
      </c>
      <c r="C29084" t="s">
        <v>129</v>
      </c>
      <c r="D29084" t="s">
        <v>1840</v>
      </c>
      <c r="E29084" t="s">
        <v>15</v>
      </c>
      <c r="F29084" s="2" t="str">
        <f>HYPERLINK("http://www.otzar.org/book.asp?173439","סוד הארץ")</f>
        <v>סוד הארץ</v>
      </c>
    </row>
    <row r="29085" spans="1:6" x14ac:dyDescent="0.2">
      <c r="A29085" t="s">
        <v>45937</v>
      </c>
      <c r="B29085" t="s">
        <v>206</v>
      </c>
      <c r="C29085" t="s">
        <v>133</v>
      </c>
      <c r="D29085" t="s">
        <v>367</v>
      </c>
      <c r="F29085" s="2" t="str">
        <f>HYPERLINK("http://www.otzar.org/book.asp?600069","סוד הבנים")</f>
        <v>סוד הבנים</v>
      </c>
    </row>
    <row r="29086" spans="1:6" x14ac:dyDescent="0.2">
      <c r="A29086" t="s">
        <v>45938</v>
      </c>
      <c r="B29086" t="s">
        <v>10000</v>
      </c>
      <c r="C29086" t="s">
        <v>13</v>
      </c>
      <c r="D29086" t="s">
        <v>14</v>
      </c>
      <c r="E29086" t="s">
        <v>241</v>
      </c>
      <c r="F29086" s="2" t="str">
        <f>HYPERLINK("http://www.otzar.org/book.asp?182633","סוד ההצלחה")</f>
        <v>סוד ההצלחה</v>
      </c>
    </row>
    <row r="29087" spans="1:6" x14ac:dyDescent="0.2">
      <c r="A29087" t="s">
        <v>45939</v>
      </c>
      <c r="B29087" t="s">
        <v>45940</v>
      </c>
      <c r="C29087" t="s">
        <v>244</v>
      </c>
      <c r="D29087" t="s">
        <v>52</v>
      </c>
      <c r="E29087" t="s">
        <v>104</v>
      </c>
      <c r="F29087" s="2" t="str">
        <f>HYPERLINK("http://www.otzar.org/book.asp?611005","סוד החינוך")</f>
        <v>סוד החינוך</v>
      </c>
    </row>
    <row r="29088" spans="1:6" x14ac:dyDescent="0.2">
      <c r="A29088" t="s">
        <v>45941</v>
      </c>
      <c r="B29088" t="s">
        <v>45942</v>
      </c>
      <c r="C29088" t="s">
        <v>422</v>
      </c>
      <c r="D29088" t="s">
        <v>14</v>
      </c>
      <c r="E29088" t="s">
        <v>399</v>
      </c>
      <c r="F29088" s="2" t="str">
        <f>HYPERLINK("http://www.otzar.org/book.asp?154952","סוד החצי")</f>
        <v>סוד החצי</v>
      </c>
    </row>
    <row r="29089" spans="1:6" x14ac:dyDescent="0.2">
      <c r="A29089" t="s">
        <v>45943</v>
      </c>
      <c r="B29089" t="s">
        <v>45942</v>
      </c>
      <c r="C29089" t="s">
        <v>146</v>
      </c>
      <c r="D29089" t="s">
        <v>14</v>
      </c>
      <c r="E29089" t="s">
        <v>399</v>
      </c>
      <c r="F29089" s="2" t="str">
        <f>HYPERLINK("http://www.otzar.org/book.asp?142111","סוד החשמל - 6 כר'")</f>
        <v>סוד החשמל - 6 כר'</v>
      </c>
    </row>
    <row r="29090" spans="1:6" x14ac:dyDescent="0.2">
      <c r="A29090" t="s">
        <v>45944</v>
      </c>
      <c r="B29090" t="s">
        <v>16383</v>
      </c>
      <c r="C29090" t="s">
        <v>133</v>
      </c>
      <c r="D29090" t="s">
        <v>14</v>
      </c>
      <c r="E29090" t="s">
        <v>399</v>
      </c>
      <c r="F29090" s="2" t="str">
        <f>HYPERLINK("http://www.otzar.org/book.asp?180272","סוד היחוד")</f>
        <v>סוד היחוד</v>
      </c>
    </row>
    <row r="29091" spans="1:6" x14ac:dyDescent="0.2">
      <c r="A29091" t="s">
        <v>45945</v>
      </c>
      <c r="B29091" t="s">
        <v>45946</v>
      </c>
      <c r="C29091" t="s">
        <v>20</v>
      </c>
      <c r="D29091" t="s">
        <v>90</v>
      </c>
      <c r="E29091" t="s">
        <v>241</v>
      </c>
      <c r="F29091" s="2" t="str">
        <f>HYPERLINK("http://www.otzar.org/book.asp?163404","סוד היסודות")</f>
        <v>סוד היסודות</v>
      </c>
    </row>
    <row r="29092" spans="1:6" x14ac:dyDescent="0.2">
      <c r="A29092" t="s">
        <v>45947</v>
      </c>
      <c r="B29092" t="s">
        <v>4735</v>
      </c>
      <c r="C29092" t="s">
        <v>624</v>
      </c>
      <c r="D29092" t="s">
        <v>14</v>
      </c>
      <c r="E29092" t="s">
        <v>104</v>
      </c>
      <c r="F29092" s="2" t="str">
        <f>HYPERLINK("http://www.otzar.org/book.asp?159097","סוד הנישואין באותיות ומילים")</f>
        <v>סוד הנישואין באותיות ומילים</v>
      </c>
    </row>
    <row r="29093" spans="1:6" x14ac:dyDescent="0.2">
      <c r="A29093" t="s">
        <v>45948</v>
      </c>
      <c r="B29093" t="s">
        <v>45949</v>
      </c>
      <c r="C29093" t="s">
        <v>37</v>
      </c>
      <c r="D29093" t="s">
        <v>152</v>
      </c>
      <c r="E29093" t="s">
        <v>1626</v>
      </c>
      <c r="F29093" s="2" t="str">
        <f>HYPERLINK("http://www.otzar.org/book.asp?179971","סוד הפרנסה")</f>
        <v>סוד הפרנסה</v>
      </c>
    </row>
    <row r="29094" spans="1:6" x14ac:dyDescent="0.2">
      <c r="A29094" t="s">
        <v>45950</v>
      </c>
      <c r="B29094" t="s">
        <v>7813</v>
      </c>
      <c r="C29094" t="s">
        <v>1640</v>
      </c>
      <c r="D29094" t="s">
        <v>14</v>
      </c>
      <c r="E29094" t="s">
        <v>158</v>
      </c>
      <c r="F29094" s="2" t="str">
        <f>HYPERLINK("http://www.otzar.org/book.asp?161507","סוד השבועה")</f>
        <v>סוד השבועה</v>
      </c>
    </row>
    <row r="29095" spans="1:6" x14ac:dyDescent="0.2">
      <c r="A29095" t="s">
        <v>45951</v>
      </c>
      <c r="B29095" t="s">
        <v>45952</v>
      </c>
      <c r="C29095" t="s">
        <v>114</v>
      </c>
      <c r="D29095" t="s">
        <v>52</v>
      </c>
      <c r="E29095" t="s">
        <v>241</v>
      </c>
      <c r="F29095" s="2" t="str">
        <f>HYPERLINK("http://www.otzar.org/book.asp?602941","סוד השמחה - 2 כר'")</f>
        <v>סוד השמחה - 2 כר'</v>
      </c>
    </row>
    <row r="29096" spans="1:6" x14ac:dyDescent="0.2">
      <c r="A29096" t="s">
        <v>45953</v>
      </c>
      <c r="B29096" t="s">
        <v>40141</v>
      </c>
      <c r="C29096" t="s">
        <v>244</v>
      </c>
      <c r="D29096" t="s">
        <v>21</v>
      </c>
      <c r="E29096" t="s">
        <v>241</v>
      </c>
      <c r="F29096" s="2" t="str">
        <f>HYPERLINK("http://www.otzar.org/book.asp?601118","סוד התשובה")</f>
        <v>סוד התשובה</v>
      </c>
    </row>
    <row r="29097" spans="1:6" x14ac:dyDescent="0.2">
      <c r="A29097" t="s">
        <v>45954</v>
      </c>
      <c r="B29097" t="s">
        <v>9970</v>
      </c>
      <c r="C29097" t="s">
        <v>189</v>
      </c>
      <c r="D29097" t="s">
        <v>52</v>
      </c>
      <c r="E29097" t="s">
        <v>674</v>
      </c>
      <c r="F29097" s="2" t="str">
        <f>HYPERLINK("http://www.otzar.org/book.asp?621478","סוד טהרת המשפחה")</f>
        <v>סוד טהרת המשפחה</v>
      </c>
    </row>
    <row r="29098" spans="1:6" x14ac:dyDescent="0.2">
      <c r="A29098" t="s">
        <v>45955</v>
      </c>
      <c r="B29098" t="s">
        <v>45956</v>
      </c>
      <c r="C29098" t="s">
        <v>366</v>
      </c>
      <c r="D29098" t="s">
        <v>34200</v>
      </c>
      <c r="E29098" t="s">
        <v>467</v>
      </c>
      <c r="F29098" s="2" t="str">
        <f>HYPERLINK("http://www.otzar.org/book.asp?605538","סוד ישרים &lt;מהדורה חדשה&gt; - נפש אליהו")</f>
        <v>סוד ישרים &lt;מהדורה חדשה&gt; - נפש אליהו</v>
      </c>
    </row>
    <row r="29099" spans="1:6" x14ac:dyDescent="0.2">
      <c r="A29099" t="s">
        <v>45957</v>
      </c>
      <c r="B29099" t="s">
        <v>15789</v>
      </c>
      <c r="C29099" t="s">
        <v>45958</v>
      </c>
      <c r="D29099" t="s">
        <v>283</v>
      </c>
      <c r="E29099" t="s">
        <v>140</v>
      </c>
      <c r="F29099" s="2" t="str">
        <f>HYPERLINK("http://www.otzar.org/book.asp?102071","סוד ישרים - 4 כר'")</f>
        <v>סוד ישרים - 4 כר'</v>
      </c>
    </row>
    <row r="29100" spans="1:6" x14ac:dyDescent="0.2">
      <c r="A29100" t="s">
        <v>45959</v>
      </c>
      <c r="B29100" t="s">
        <v>1387</v>
      </c>
      <c r="C29100" t="s">
        <v>40413</v>
      </c>
      <c r="D29100" t="s">
        <v>15675</v>
      </c>
      <c r="E29100" t="s">
        <v>104</v>
      </c>
      <c r="F29100" s="2" t="str">
        <f>HYPERLINK("http://www.otzar.org/book.asp?167252","סוד ישרים")</f>
        <v>סוד ישרים</v>
      </c>
    </row>
    <row r="29101" spans="1:6" x14ac:dyDescent="0.2">
      <c r="A29101" t="s">
        <v>45960</v>
      </c>
      <c r="B29101" t="s">
        <v>45961</v>
      </c>
      <c r="C29101" t="s">
        <v>366</v>
      </c>
      <c r="D29101" t="s">
        <v>20</v>
      </c>
      <c r="E29101" t="s">
        <v>104</v>
      </c>
      <c r="F29101" s="2" t="str">
        <f>HYPERLINK("http://www.otzar.org/book.asp?608507","סוד לשון הקודש - ב")</f>
        <v>סוד לשון הקודש - ב</v>
      </c>
    </row>
    <row r="29102" spans="1:6" x14ac:dyDescent="0.2">
      <c r="A29102" t="s">
        <v>45962</v>
      </c>
      <c r="B29102" t="s">
        <v>45961</v>
      </c>
      <c r="C29102" t="s">
        <v>23</v>
      </c>
      <c r="D29102" t="s">
        <v>20</v>
      </c>
      <c r="E29102" t="s">
        <v>158</v>
      </c>
      <c r="F29102" s="2" t="str">
        <f>HYPERLINK("http://www.otzar.org/book.asp?608503","סוד מדרש התולדות - 2 כר'")</f>
        <v>סוד מדרש התולדות - 2 כר'</v>
      </c>
    </row>
    <row r="29103" spans="1:6" x14ac:dyDescent="0.2">
      <c r="A29103" t="s">
        <v>45963</v>
      </c>
      <c r="B29103" t="s">
        <v>45964</v>
      </c>
      <c r="C29103" t="s">
        <v>23</v>
      </c>
      <c r="D29103" t="s">
        <v>147</v>
      </c>
      <c r="E29103" t="s">
        <v>241</v>
      </c>
      <c r="F29103" s="2" t="str">
        <f>HYPERLINK("http://www.otzar.org/book.asp?196805","סוד נשמות עם ישראל")</f>
        <v>סוד נשמות עם ישראל</v>
      </c>
    </row>
    <row r="29104" spans="1:6" x14ac:dyDescent="0.2">
      <c r="A29104" t="s">
        <v>45965</v>
      </c>
      <c r="B29104" t="s">
        <v>4735</v>
      </c>
      <c r="C29104" t="s">
        <v>189</v>
      </c>
      <c r="D29104" t="s">
        <v>14</v>
      </c>
      <c r="E29104" t="s">
        <v>104</v>
      </c>
      <c r="F29104" s="2" t="str">
        <f>HYPERLINK("http://www.otzar.org/book.asp?159098","סוד פלשתים וההנתקות בדילוגים")</f>
        <v>סוד פלשתים וההנתקות בדילוגים</v>
      </c>
    </row>
    <row r="29105" spans="1:6" x14ac:dyDescent="0.2">
      <c r="A29105" t="s">
        <v>45966</v>
      </c>
      <c r="B29105" t="s">
        <v>3105</v>
      </c>
      <c r="C29105" t="s">
        <v>908</v>
      </c>
      <c r="D29105" t="s">
        <v>27</v>
      </c>
      <c r="E29105" t="s">
        <v>213</v>
      </c>
      <c r="F29105" s="2" t="str">
        <f>HYPERLINK("http://www.otzar.org/book.asp?7532","סוד קיומנו או המחנך")</f>
        <v>סוד קיומנו או המחנך</v>
      </c>
    </row>
    <row r="29106" spans="1:6" x14ac:dyDescent="0.2">
      <c r="A29106" t="s">
        <v>45967</v>
      </c>
      <c r="B29106" t="s">
        <v>45968</v>
      </c>
      <c r="C29106" t="s">
        <v>438</v>
      </c>
      <c r="D29106" t="s">
        <v>52</v>
      </c>
      <c r="E29106" t="s">
        <v>140</v>
      </c>
      <c r="F29106" s="2" t="str">
        <f>HYPERLINK("http://www.otzar.org/book.asp?626165","סוד תקון העולם")</f>
        <v>סוד תקון העולם</v>
      </c>
    </row>
    <row r="29107" spans="1:6" x14ac:dyDescent="0.2">
      <c r="A29107" t="s">
        <v>45969</v>
      </c>
      <c r="B29107" t="s">
        <v>107</v>
      </c>
      <c r="C29107" t="s">
        <v>244</v>
      </c>
      <c r="D29107" t="s">
        <v>14</v>
      </c>
      <c r="E29107" t="s">
        <v>104</v>
      </c>
      <c r="F29107" s="2" t="str">
        <f>HYPERLINK("http://www.otzar.org/book.asp?622150","סודות נפלאות הבורא - עולם הזוחלים")</f>
        <v>סודות נפלאות הבורא - עולם הזוחלים</v>
      </c>
    </row>
    <row r="29108" spans="1:6" x14ac:dyDescent="0.2">
      <c r="A29108" t="s">
        <v>45970</v>
      </c>
      <c r="B29108" t="s">
        <v>45971</v>
      </c>
      <c r="C29108" t="s">
        <v>422</v>
      </c>
      <c r="D29108" t="s">
        <v>14</v>
      </c>
      <c r="E29108" t="s">
        <v>579</v>
      </c>
      <c r="F29108" s="2" t="str">
        <f>HYPERLINK("http://www.otzar.org/book.asp?155000","סודי חומש ושאר")</f>
        <v>סודי חומש ושאר</v>
      </c>
    </row>
    <row r="29109" spans="1:6" x14ac:dyDescent="0.2">
      <c r="A29109" t="s">
        <v>45972</v>
      </c>
      <c r="B29109" t="s">
        <v>16927</v>
      </c>
      <c r="C29109" t="s">
        <v>17</v>
      </c>
      <c r="D29109" t="s">
        <v>14</v>
      </c>
      <c r="E29109" t="s">
        <v>399</v>
      </c>
      <c r="F29109" s="2" t="str">
        <f>HYPERLINK("http://www.otzar.org/book.asp?143645","סודי רזי סמוכים")</f>
        <v>סודי רזי סמוכים</v>
      </c>
    </row>
    <row r="29110" spans="1:6" x14ac:dyDescent="0.2">
      <c r="A29110" t="s">
        <v>45973</v>
      </c>
      <c r="B29110" t="s">
        <v>45974</v>
      </c>
      <c r="C29110" t="s">
        <v>168</v>
      </c>
      <c r="D29110" t="s">
        <v>14</v>
      </c>
      <c r="E29110" t="s">
        <v>12896</v>
      </c>
      <c r="F29110" s="2" t="str">
        <f>HYPERLINK("http://www.otzar.org/book.asp?160369","סודי רזיא &lt;פרישת שלום&gt;")</f>
        <v>סודי רזיא &lt;פרישת שלום&gt;</v>
      </c>
    </row>
    <row r="29111" spans="1:6" x14ac:dyDescent="0.2">
      <c r="A29111" t="s">
        <v>45975</v>
      </c>
      <c r="B29111" t="s">
        <v>45976</v>
      </c>
      <c r="C29111" t="s">
        <v>466</v>
      </c>
      <c r="D29111" t="s">
        <v>52</v>
      </c>
      <c r="E29111" t="s">
        <v>314</v>
      </c>
      <c r="F29111" s="2" t="str">
        <f>HYPERLINK("http://www.otzar.org/book.asp?146455","סודי רזיא עם פי' סודות השמים")</f>
        <v>סודי רזיא עם פי' סודות השמים</v>
      </c>
    </row>
    <row r="29112" spans="1:6" x14ac:dyDescent="0.2">
      <c r="A29112" t="s">
        <v>45977</v>
      </c>
      <c r="B29112" t="s">
        <v>16927</v>
      </c>
      <c r="C29112" t="s">
        <v>286</v>
      </c>
      <c r="D29112" t="s">
        <v>691</v>
      </c>
      <c r="E29112" t="s">
        <v>399</v>
      </c>
      <c r="F29112" s="2" t="str">
        <f>HYPERLINK("http://www.otzar.org/book.asp?6018","סודי רזיא - 2 כר'")</f>
        <v>סודי רזיא - 2 כר'</v>
      </c>
    </row>
    <row r="29113" spans="1:6" x14ac:dyDescent="0.2">
      <c r="A29113" t="s">
        <v>45978</v>
      </c>
      <c r="B29113" t="s">
        <v>45979</v>
      </c>
      <c r="C29113" t="s">
        <v>785</v>
      </c>
      <c r="D29113" t="s">
        <v>14</v>
      </c>
      <c r="E29113" t="s">
        <v>15</v>
      </c>
      <c r="F29113" s="2" t="str">
        <f>HYPERLINK("http://www.otzar.org/book.asp?147402","סוכה וארבעת המינים")</f>
        <v>סוכה וארבעת המינים</v>
      </c>
    </row>
    <row r="29114" spans="1:6" x14ac:dyDescent="0.2">
      <c r="A29114" t="s">
        <v>45980</v>
      </c>
      <c r="B29114" t="s">
        <v>9453</v>
      </c>
      <c r="C29114" t="s">
        <v>13</v>
      </c>
      <c r="D29114" t="s">
        <v>118</v>
      </c>
      <c r="E29114" t="s">
        <v>104</v>
      </c>
      <c r="F29114" s="2" t="str">
        <f>HYPERLINK("http://www.otzar.org/book.asp?182568","סוכה ולולב")</f>
        <v>סוכה ולולב</v>
      </c>
    </row>
    <row r="29115" spans="1:6" x14ac:dyDescent="0.2">
      <c r="A29115" t="s">
        <v>45981</v>
      </c>
      <c r="B29115" t="s">
        <v>107</v>
      </c>
      <c r="C29115" t="s">
        <v>585</v>
      </c>
      <c r="D29115" t="s">
        <v>14</v>
      </c>
      <c r="E29115" t="s">
        <v>130</v>
      </c>
      <c r="F29115" s="2" t="str">
        <f>HYPERLINK("http://www.otzar.org/book.asp?158099","סוכה כהלכתה")</f>
        <v>סוכה כהלכתה</v>
      </c>
    </row>
    <row r="29116" spans="1:6" x14ac:dyDescent="0.2">
      <c r="A29116" t="s">
        <v>45982</v>
      </c>
      <c r="B29116" t="s">
        <v>255</v>
      </c>
      <c r="C29116" t="s">
        <v>189</v>
      </c>
      <c r="D29116" t="s">
        <v>14</v>
      </c>
      <c r="E29116" t="s">
        <v>144</v>
      </c>
      <c r="F29116" s="2" t="str">
        <f>HYPERLINK("http://www.otzar.org/book.asp?152686","סוכה נאה - סוכה")</f>
        <v>סוכה נאה - סוכה</v>
      </c>
    </row>
    <row r="29117" spans="1:6" x14ac:dyDescent="0.2">
      <c r="A29117" t="s">
        <v>45983</v>
      </c>
      <c r="B29117" t="s">
        <v>45984</v>
      </c>
      <c r="C29117" t="s">
        <v>68</v>
      </c>
      <c r="D29117" t="s">
        <v>152</v>
      </c>
      <c r="E29117" t="s">
        <v>144</v>
      </c>
      <c r="F29117" s="2" t="str">
        <f>HYPERLINK("http://www.otzar.org/book.asp?621710","סוכה קטנה")</f>
        <v>סוכה קטנה</v>
      </c>
    </row>
    <row r="29118" spans="1:6" x14ac:dyDescent="0.2">
      <c r="A29118" t="s">
        <v>45985</v>
      </c>
      <c r="B29118" t="s">
        <v>37253</v>
      </c>
      <c r="C29118" t="s">
        <v>13</v>
      </c>
      <c r="D29118" t="s">
        <v>52</v>
      </c>
      <c r="E29118" t="s">
        <v>144</v>
      </c>
      <c r="F29118" s="2" t="str">
        <f>HYPERLINK("http://www.otzar.org/book.asp?621862","סוכה של מי")</f>
        <v>סוכה של מי</v>
      </c>
    </row>
    <row r="29119" spans="1:6" x14ac:dyDescent="0.2">
      <c r="A29119" t="s">
        <v>45986</v>
      </c>
      <c r="B29119" t="s">
        <v>12780</v>
      </c>
      <c r="C29119" t="s">
        <v>129</v>
      </c>
      <c r="D29119" t="s">
        <v>2798</v>
      </c>
      <c r="F29119" s="2" t="str">
        <f>HYPERLINK("http://www.otzar.org/book.asp?609074","סוכות כהלכה")</f>
        <v>סוכות כהלכה</v>
      </c>
    </row>
    <row r="29120" spans="1:6" x14ac:dyDescent="0.2">
      <c r="A29120" t="s">
        <v>45987</v>
      </c>
      <c r="B29120" t="s">
        <v>45988</v>
      </c>
      <c r="C29120" t="s">
        <v>454</v>
      </c>
      <c r="D29120" t="s">
        <v>14</v>
      </c>
      <c r="E29120" t="s">
        <v>43710</v>
      </c>
      <c r="F29120" s="2" t="str">
        <f>HYPERLINK("http://www.otzar.org/book.asp?163701","סוכת אריה")</f>
        <v>סוכת אריה</v>
      </c>
    </row>
    <row r="29121" spans="1:6" x14ac:dyDescent="0.2">
      <c r="A29121" t="s">
        <v>45989</v>
      </c>
      <c r="B29121" t="s">
        <v>18045</v>
      </c>
      <c r="D29121" t="s">
        <v>216</v>
      </c>
      <c r="E29121" t="s">
        <v>246</v>
      </c>
      <c r="F29121" s="2" t="str">
        <f>HYPERLINK("http://www.otzar.org/book.asp?628223","סוכת גדולי ישראל")</f>
        <v>סוכת גדולי ישראל</v>
      </c>
    </row>
    <row r="29122" spans="1:6" x14ac:dyDescent="0.2">
      <c r="A29122" t="s">
        <v>45990</v>
      </c>
      <c r="B29122" t="s">
        <v>45991</v>
      </c>
      <c r="C29122" t="s">
        <v>13</v>
      </c>
      <c r="D29122" t="s">
        <v>14</v>
      </c>
      <c r="E29122" t="s">
        <v>467</v>
      </c>
      <c r="F29122" s="2" t="str">
        <f>HYPERLINK("http://www.otzar.org/book.asp?61160","סוכת דוד &lt;מקראי קודש&gt; - 2 כר'")</f>
        <v>סוכת דוד &lt;מקראי קודש&gt; - 2 כר'</v>
      </c>
    </row>
    <row r="29123" spans="1:6" x14ac:dyDescent="0.2">
      <c r="A29123" t="s">
        <v>45992</v>
      </c>
      <c r="B29123" t="s">
        <v>45991</v>
      </c>
      <c r="C29123" t="s">
        <v>189</v>
      </c>
      <c r="D29123" t="s">
        <v>14</v>
      </c>
      <c r="E29123" t="s">
        <v>130</v>
      </c>
      <c r="F29123" s="2" t="str">
        <f>HYPERLINK("http://www.otzar.org/book.asp?52896","סוכת דוד &lt;על המועדים&gt; - 6 כר'")</f>
        <v>סוכת דוד &lt;על המועדים&gt; - 6 כר'</v>
      </c>
    </row>
    <row r="29124" spans="1:6" x14ac:dyDescent="0.2">
      <c r="A29124" t="s">
        <v>45993</v>
      </c>
      <c r="B29124" t="s">
        <v>45991</v>
      </c>
      <c r="C29124" t="s">
        <v>785</v>
      </c>
      <c r="D29124" t="s">
        <v>14</v>
      </c>
      <c r="E29124" t="s">
        <v>158</v>
      </c>
      <c r="F29124" s="2" t="str">
        <f>HYPERLINK("http://www.otzar.org/book.asp?107136","סוכת דוד &lt;על התורה&gt; - 9 כר'")</f>
        <v>סוכת דוד &lt;על התורה&gt; - 9 כר'</v>
      </c>
    </row>
    <row r="29125" spans="1:6" x14ac:dyDescent="0.2">
      <c r="A29125" t="s">
        <v>45994</v>
      </c>
      <c r="B29125" t="s">
        <v>45991</v>
      </c>
      <c r="C29125" t="s">
        <v>189</v>
      </c>
      <c r="D29125" t="s">
        <v>14</v>
      </c>
      <c r="E29125" t="s">
        <v>84</v>
      </c>
      <c r="F29125" s="2" t="str">
        <f>HYPERLINK("http://www.otzar.org/book.asp?52903","סוכת דוד &lt;על פרקי אבות&gt;")</f>
        <v>סוכת דוד &lt;על פרקי אבות&gt;</v>
      </c>
    </row>
    <row r="29126" spans="1:6" x14ac:dyDescent="0.2">
      <c r="A29126" t="s">
        <v>45995</v>
      </c>
      <c r="B29126" t="s">
        <v>45996</v>
      </c>
      <c r="C29126" t="s">
        <v>51</v>
      </c>
      <c r="D29126" t="s">
        <v>52</v>
      </c>
      <c r="E29126" t="s">
        <v>144</v>
      </c>
      <c r="F29126" s="2" t="str">
        <f>HYPERLINK("http://www.otzar.org/book.asp?150632","סוכת דוד על מסכת סוכה")</f>
        <v>סוכת דוד על מסכת סוכה</v>
      </c>
    </row>
    <row r="29127" spans="1:6" x14ac:dyDescent="0.2">
      <c r="A29127" t="s">
        <v>45997</v>
      </c>
      <c r="B29127" t="s">
        <v>2476</v>
      </c>
      <c r="C29127" t="s">
        <v>422</v>
      </c>
      <c r="D29127" t="s">
        <v>14</v>
      </c>
      <c r="F29127" s="2" t="str">
        <f>HYPERLINK("http://www.otzar.org/book.asp?163823","סוכת דוד - 2 כר'")</f>
        <v>סוכת דוד - 2 כר'</v>
      </c>
    </row>
    <row r="29128" spans="1:6" x14ac:dyDescent="0.2">
      <c r="A29128" t="s">
        <v>45998</v>
      </c>
      <c r="B29128" t="s">
        <v>8563</v>
      </c>
      <c r="C29128" t="s">
        <v>422</v>
      </c>
      <c r="D29128" t="s">
        <v>8564</v>
      </c>
      <c r="E29128" t="s">
        <v>144</v>
      </c>
      <c r="F29128" s="2" t="str">
        <f>HYPERLINK("http://www.otzar.org/book.asp?168321","סוכת דוד")</f>
        <v>סוכת דוד</v>
      </c>
    </row>
    <row r="29129" spans="1:6" x14ac:dyDescent="0.2">
      <c r="A29129" t="s">
        <v>45999</v>
      </c>
      <c r="B29129" t="s">
        <v>45991</v>
      </c>
      <c r="C29129" t="s">
        <v>383</v>
      </c>
      <c r="D29129" t="s">
        <v>14</v>
      </c>
      <c r="E29129" t="s">
        <v>144</v>
      </c>
      <c r="F29129" s="2" t="str">
        <f>HYPERLINK("http://www.otzar.org/book.asp?105923","סוכת דוד - 13 כר'")</f>
        <v>סוכת דוד - 13 כר'</v>
      </c>
    </row>
    <row r="29130" spans="1:6" x14ac:dyDescent="0.2">
      <c r="A29130" t="s">
        <v>45998</v>
      </c>
      <c r="B29130" t="s">
        <v>42243</v>
      </c>
      <c r="C29130" t="s">
        <v>528</v>
      </c>
      <c r="D29130" t="s">
        <v>76</v>
      </c>
      <c r="E29130" t="s">
        <v>158</v>
      </c>
      <c r="F29130" s="2" t="str">
        <f>HYPERLINK("http://www.otzar.org/book.asp?103250","סוכת דוד")</f>
        <v>סוכת דוד</v>
      </c>
    </row>
    <row r="29131" spans="1:6" x14ac:dyDescent="0.2">
      <c r="A29131" t="s">
        <v>46000</v>
      </c>
      <c r="B29131" t="s">
        <v>8247</v>
      </c>
      <c r="C29131" t="s">
        <v>23</v>
      </c>
      <c r="D29131" t="s">
        <v>147</v>
      </c>
      <c r="F29131" s="2" t="str">
        <f>HYPERLINK("http://www.otzar.org/book.asp?616739","סוכת הגר""א")</f>
        <v>סוכת הגר"א</v>
      </c>
    </row>
    <row r="29132" spans="1:6" x14ac:dyDescent="0.2">
      <c r="A29132" t="s">
        <v>46001</v>
      </c>
      <c r="B29132" t="s">
        <v>42846</v>
      </c>
      <c r="C29132" t="s">
        <v>151</v>
      </c>
      <c r="D29132" t="s">
        <v>52</v>
      </c>
      <c r="E29132" t="s">
        <v>130</v>
      </c>
      <c r="F29132" s="2" t="str">
        <f>HYPERLINK("http://www.otzar.org/book.asp?621321","סוכת החג")</f>
        <v>סוכת החג</v>
      </c>
    </row>
    <row r="29133" spans="1:6" x14ac:dyDescent="0.2">
      <c r="A29133" t="s">
        <v>46002</v>
      </c>
      <c r="B29133" t="s">
        <v>46003</v>
      </c>
      <c r="C29133" t="s">
        <v>133</v>
      </c>
      <c r="D29133" t="s">
        <v>14</v>
      </c>
      <c r="E29133" t="s">
        <v>658</v>
      </c>
      <c r="F29133" s="2" t="str">
        <f>HYPERLINK("http://www.otzar.org/book.asp?623983","סוכת הלויים")</f>
        <v>סוכת הלויים</v>
      </c>
    </row>
    <row r="29134" spans="1:6" x14ac:dyDescent="0.2">
      <c r="A29134" t="s">
        <v>46004</v>
      </c>
      <c r="B29134" t="s">
        <v>46005</v>
      </c>
      <c r="C29134" t="s">
        <v>767</v>
      </c>
      <c r="D29134" t="s">
        <v>14</v>
      </c>
      <c r="E29134" t="s">
        <v>3516</v>
      </c>
      <c r="F29134" s="2" t="str">
        <f>HYPERLINK("http://www.otzar.org/book.asp?162350","סוכת זכרון")</f>
        <v>סוכת זכרון</v>
      </c>
    </row>
    <row r="29135" spans="1:6" x14ac:dyDescent="0.2">
      <c r="A29135" t="s">
        <v>46006</v>
      </c>
      <c r="B29135" t="s">
        <v>46007</v>
      </c>
      <c r="C29135" t="s">
        <v>51</v>
      </c>
      <c r="D29135" t="s">
        <v>657</v>
      </c>
      <c r="E29135" t="s">
        <v>144</v>
      </c>
      <c r="F29135" s="2" t="str">
        <f>HYPERLINK("http://www.otzar.org/book.asp?63724","סוכת חיים")</f>
        <v>סוכת חיים</v>
      </c>
    </row>
    <row r="29136" spans="1:6" x14ac:dyDescent="0.2">
      <c r="A29136" t="s">
        <v>46008</v>
      </c>
      <c r="B29136" t="s">
        <v>46009</v>
      </c>
      <c r="C29136" t="s">
        <v>146</v>
      </c>
      <c r="D29136" t="s">
        <v>245</v>
      </c>
      <c r="E29136" t="s">
        <v>144</v>
      </c>
      <c r="F29136" s="2" t="str">
        <f>HYPERLINK("http://www.otzar.org/book.asp?172997","סוכת חיים - 4 כר'")</f>
        <v>סוכת חיים - 4 כר'</v>
      </c>
    </row>
    <row r="29137" spans="1:6" x14ac:dyDescent="0.2">
      <c r="A29137" t="s">
        <v>46010</v>
      </c>
      <c r="B29137" t="s">
        <v>35247</v>
      </c>
      <c r="C29137" t="s">
        <v>20</v>
      </c>
      <c r="D29137" t="s">
        <v>52</v>
      </c>
      <c r="E29137" t="s">
        <v>144</v>
      </c>
      <c r="F29137" s="2" t="str">
        <f>HYPERLINK("http://www.otzar.org/book.asp?610877","סוכת יעקב - סוכה")</f>
        <v>סוכת יעקב - סוכה</v>
      </c>
    </row>
    <row r="29138" spans="1:6" x14ac:dyDescent="0.2">
      <c r="A29138" t="s">
        <v>46011</v>
      </c>
      <c r="B29138" t="s">
        <v>13901</v>
      </c>
      <c r="C29138" t="s">
        <v>37</v>
      </c>
      <c r="D29138" t="s">
        <v>14</v>
      </c>
      <c r="E29138" t="s">
        <v>144</v>
      </c>
      <c r="F29138" s="2" t="str">
        <f>HYPERLINK("http://www.otzar.org/book.asp?623567","סוכת עצי היער")</f>
        <v>סוכת עצי היער</v>
      </c>
    </row>
    <row r="29139" spans="1:6" x14ac:dyDescent="0.2">
      <c r="A29139" t="s">
        <v>46012</v>
      </c>
      <c r="B29139" t="s">
        <v>7629</v>
      </c>
      <c r="C29139" t="s">
        <v>37</v>
      </c>
      <c r="D29139" t="s">
        <v>14</v>
      </c>
      <c r="F29139" s="2" t="str">
        <f>HYPERLINK("http://www.otzar.org/book.asp?616135","סוכת ציון")</f>
        <v>סוכת ציון</v>
      </c>
    </row>
    <row r="29140" spans="1:6" x14ac:dyDescent="0.2">
      <c r="A29140" t="s">
        <v>46013</v>
      </c>
      <c r="B29140" t="s">
        <v>24025</v>
      </c>
      <c r="C29140" t="s">
        <v>454</v>
      </c>
      <c r="D29140" t="s">
        <v>52</v>
      </c>
      <c r="E29140" t="s">
        <v>1517</v>
      </c>
      <c r="F29140" s="2" t="str">
        <f>HYPERLINK("http://www.otzar.org/book.asp?188869","סוכת רועים עם עטרת בני שלשים")</f>
        <v>סוכת רועים עם עטרת בני שלשים</v>
      </c>
    </row>
    <row r="29141" spans="1:6" x14ac:dyDescent="0.2">
      <c r="A29141" t="s">
        <v>46014</v>
      </c>
      <c r="B29141" t="s">
        <v>24493</v>
      </c>
      <c r="C29141" t="s">
        <v>143</v>
      </c>
      <c r="D29141" t="s">
        <v>52</v>
      </c>
      <c r="E29141" t="s">
        <v>130</v>
      </c>
      <c r="F29141" s="2" t="str">
        <f>HYPERLINK("http://www.otzar.org/book.asp?143015","סוכת רחל")</f>
        <v>סוכת רחל</v>
      </c>
    </row>
    <row r="29142" spans="1:6" x14ac:dyDescent="0.2">
      <c r="A29142" t="s">
        <v>46015</v>
      </c>
      <c r="B29142" t="s">
        <v>46016</v>
      </c>
      <c r="C29142" t="s">
        <v>313</v>
      </c>
      <c r="D29142" t="s">
        <v>52</v>
      </c>
      <c r="E29142" t="s">
        <v>144</v>
      </c>
      <c r="F29142" s="2" t="str">
        <f>HYPERLINK("http://www.otzar.org/book.asp?160302","סוכת רחמים")</f>
        <v>סוכת רחמים</v>
      </c>
    </row>
    <row r="29143" spans="1:6" x14ac:dyDescent="0.2">
      <c r="A29143" t="s">
        <v>46017</v>
      </c>
      <c r="B29143" t="s">
        <v>46018</v>
      </c>
      <c r="C29143" t="s">
        <v>2076</v>
      </c>
      <c r="D29143" t="s">
        <v>592</v>
      </c>
      <c r="F29143" s="2" t="str">
        <f>HYPERLINK("http://www.otzar.org/book.asp?617971","סוכת שלום &lt;עטרת זקנים&gt;")</f>
        <v>סוכת שלום &lt;עטרת זקנים&gt;</v>
      </c>
    </row>
    <row r="29144" spans="1:6" x14ac:dyDescent="0.2">
      <c r="A29144" t="s">
        <v>46019</v>
      </c>
      <c r="B29144" t="s">
        <v>15066</v>
      </c>
      <c r="C29144" t="s">
        <v>8</v>
      </c>
      <c r="D29144" t="s">
        <v>2295</v>
      </c>
      <c r="E29144" t="s">
        <v>588</v>
      </c>
      <c r="F29144" s="2" t="str">
        <f>HYPERLINK("http://www.otzar.org/book.asp?100179","סוכת שלום יצחק")</f>
        <v>סוכת שלום יצחק</v>
      </c>
    </row>
    <row r="29145" spans="1:6" x14ac:dyDescent="0.2">
      <c r="A29145" t="s">
        <v>46020</v>
      </c>
      <c r="B29145" t="s">
        <v>15979</v>
      </c>
      <c r="C29145" t="s">
        <v>20</v>
      </c>
      <c r="D29145" t="s">
        <v>14</v>
      </c>
      <c r="E29145" t="s">
        <v>241</v>
      </c>
      <c r="F29145" s="2" t="str">
        <f>HYPERLINK("http://www.otzar.org/book.asp?157685","סוכת שלום")</f>
        <v>סוכת שלום</v>
      </c>
    </row>
    <row r="29146" spans="1:6" x14ac:dyDescent="0.2">
      <c r="A29146" t="s">
        <v>46021</v>
      </c>
      <c r="B29146" t="s">
        <v>46022</v>
      </c>
      <c r="C29146" t="s">
        <v>466</v>
      </c>
      <c r="D29146" t="s">
        <v>14</v>
      </c>
      <c r="E29146" t="s">
        <v>130</v>
      </c>
      <c r="F29146" s="2" t="str">
        <f>HYPERLINK("http://www.otzar.org/book.asp?107369","סוכת שלום - כל בו לחג הסוכות ושמחת תורה")</f>
        <v>סוכת שלום - כל בו לחג הסוכות ושמחת תורה</v>
      </c>
    </row>
    <row r="29147" spans="1:6" x14ac:dyDescent="0.2">
      <c r="A29147" t="s">
        <v>46023</v>
      </c>
      <c r="B29147" t="s">
        <v>7816</v>
      </c>
      <c r="C29147" t="s">
        <v>71</v>
      </c>
      <c r="D29147" t="s">
        <v>9</v>
      </c>
      <c r="E29147" t="s">
        <v>144</v>
      </c>
      <c r="F29147" s="2" t="str">
        <f>HYPERLINK("http://www.otzar.org/book.asp?606327","סוכת שלום - סוכה")</f>
        <v>סוכת שלום - סוכה</v>
      </c>
    </row>
    <row r="29148" spans="1:6" x14ac:dyDescent="0.2">
      <c r="A29148" t="s">
        <v>46020</v>
      </c>
      <c r="B29148" t="s">
        <v>46024</v>
      </c>
      <c r="C29148" t="s">
        <v>114</v>
      </c>
      <c r="D29148" t="s">
        <v>21</v>
      </c>
      <c r="E29148" t="s">
        <v>144</v>
      </c>
      <c r="F29148" s="2" t="str">
        <f>HYPERLINK("http://www.otzar.org/book.asp?605258","סוכת שלום")</f>
        <v>סוכת שלום</v>
      </c>
    </row>
    <row r="29149" spans="1:6" x14ac:dyDescent="0.2">
      <c r="A29149" t="s">
        <v>46025</v>
      </c>
      <c r="B29149" t="s">
        <v>46026</v>
      </c>
      <c r="C29149" t="s">
        <v>143</v>
      </c>
      <c r="D29149" t="s">
        <v>52</v>
      </c>
      <c r="E29149" t="s">
        <v>144</v>
      </c>
      <c r="F29149" s="2" t="str">
        <f>HYPERLINK("http://www.otzar.org/book.asp?143088","סוכת שלום - 2 כר'")</f>
        <v>סוכת שלום - 2 כר'</v>
      </c>
    </row>
    <row r="29150" spans="1:6" x14ac:dyDescent="0.2">
      <c r="A29150" t="s">
        <v>46020</v>
      </c>
      <c r="B29150" t="s">
        <v>46027</v>
      </c>
      <c r="C29150" t="s">
        <v>3690</v>
      </c>
      <c r="D29150" t="s">
        <v>27</v>
      </c>
      <c r="E29150" t="s">
        <v>3387</v>
      </c>
      <c r="F29150" s="2" t="str">
        <f>HYPERLINK("http://www.otzar.org/book.asp?1031","סוכת שלום")</f>
        <v>סוכת שלום</v>
      </c>
    </row>
    <row r="29151" spans="1:6" x14ac:dyDescent="0.2">
      <c r="A29151" t="s">
        <v>46025</v>
      </c>
      <c r="B29151" t="s">
        <v>3292</v>
      </c>
      <c r="C29151" t="s">
        <v>581</v>
      </c>
      <c r="D29151" t="s">
        <v>699</v>
      </c>
      <c r="E29151" t="s">
        <v>144</v>
      </c>
      <c r="F29151" s="2" t="str">
        <f>HYPERLINK("http://www.otzar.org/book.asp?52051","סוכת שלום - 2 כר'")</f>
        <v>סוכת שלום - 2 כר'</v>
      </c>
    </row>
    <row r="29152" spans="1:6" x14ac:dyDescent="0.2">
      <c r="A29152" t="s">
        <v>46020</v>
      </c>
      <c r="B29152" t="s">
        <v>46028</v>
      </c>
      <c r="C29152" t="s">
        <v>785</v>
      </c>
      <c r="D29152" t="s">
        <v>139</v>
      </c>
      <c r="E29152" t="s">
        <v>202</v>
      </c>
      <c r="F29152" s="2" t="str">
        <f>HYPERLINK("http://www.otzar.org/book.asp?620491","סוכת שלום")</f>
        <v>סוכת שלום</v>
      </c>
    </row>
    <row r="29153" spans="1:6" x14ac:dyDescent="0.2">
      <c r="A29153" t="s">
        <v>46020</v>
      </c>
      <c r="B29153" t="s">
        <v>46029</v>
      </c>
      <c r="C29153" t="s">
        <v>5903</v>
      </c>
      <c r="D29153" t="s">
        <v>283</v>
      </c>
      <c r="E29153" t="s">
        <v>1517</v>
      </c>
      <c r="F29153" s="2" t="str">
        <f>HYPERLINK("http://www.otzar.org/book.asp?944","סוכת שלום")</f>
        <v>סוכת שלום</v>
      </c>
    </row>
    <row r="29154" spans="1:6" x14ac:dyDescent="0.2">
      <c r="A29154" t="s">
        <v>46030</v>
      </c>
      <c r="B29154" t="s">
        <v>46031</v>
      </c>
      <c r="C29154" t="s">
        <v>23</v>
      </c>
      <c r="D29154" t="s">
        <v>245</v>
      </c>
      <c r="F29154" s="2" t="str">
        <f>HYPERLINK("http://www.otzar.org/book.asp?600564","סוכת שלומך - סוכה")</f>
        <v>סוכת שלומך - סוכה</v>
      </c>
    </row>
    <row r="29155" spans="1:6" x14ac:dyDescent="0.2">
      <c r="A29155" t="s">
        <v>46032</v>
      </c>
      <c r="B29155" t="s">
        <v>46033</v>
      </c>
      <c r="C29155" t="s">
        <v>151</v>
      </c>
      <c r="D29155" t="s">
        <v>14</v>
      </c>
      <c r="E29155" t="s">
        <v>144</v>
      </c>
      <c r="F29155" s="2" t="str">
        <f>HYPERLINK("http://www.otzar.org/book.asp?624834","סוכת שלומך")</f>
        <v>סוכת שלומך</v>
      </c>
    </row>
    <row r="29156" spans="1:6" x14ac:dyDescent="0.2">
      <c r="A29156" t="s">
        <v>46032</v>
      </c>
      <c r="B29156" t="s">
        <v>9326</v>
      </c>
      <c r="C29156" t="s">
        <v>244</v>
      </c>
      <c r="D29156" t="s">
        <v>3436</v>
      </c>
      <c r="F29156" s="2" t="str">
        <f>HYPERLINK("http://www.otzar.org/book.asp?194047","סוכת שלומך")</f>
        <v>סוכת שלומך</v>
      </c>
    </row>
    <row r="29157" spans="1:6" x14ac:dyDescent="0.2">
      <c r="A29157" t="s">
        <v>46034</v>
      </c>
      <c r="B29157" t="s">
        <v>18321</v>
      </c>
      <c r="C29157" t="s">
        <v>422</v>
      </c>
      <c r="D29157" t="s">
        <v>90</v>
      </c>
      <c r="E29157" t="s">
        <v>246</v>
      </c>
      <c r="F29157" s="2" t="str">
        <f>HYPERLINK("http://www.otzar.org/book.asp?151094","סוכת שמואל")</f>
        <v>סוכת שמואל</v>
      </c>
    </row>
    <row r="29158" spans="1:6" x14ac:dyDescent="0.2">
      <c r="A29158" t="s">
        <v>46035</v>
      </c>
      <c r="B29158" t="s">
        <v>46036</v>
      </c>
      <c r="C29158" t="s">
        <v>151</v>
      </c>
      <c r="D29158" t="s">
        <v>52</v>
      </c>
      <c r="F29158" s="2" t="str">
        <f>HYPERLINK("http://www.otzar.org/book.asp?622733","סוכת שמחה")</f>
        <v>סוכת שמחה</v>
      </c>
    </row>
    <row r="29159" spans="1:6" x14ac:dyDescent="0.2">
      <c r="A29159" t="s">
        <v>46035</v>
      </c>
      <c r="B29159" t="s">
        <v>4398</v>
      </c>
      <c r="C29159" t="s">
        <v>37</v>
      </c>
      <c r="D29159" t="s">
        <v>216</v>
      </c>
      <c r="F29159" s="2" t="str">
        <f>HYPERLINK("http://www.otzar.org/book.asp?616324","סוכת שמחה")</f>
        <v>סוכת שמחה</v>
      </c>
    </row>
    <row r="29160" spans="1:6" x14ac:dyDescent="0.2">
      <c r="A29160" t="s">
        <v>46037</v>
      </c>
      <c r="B29160" t="s">
        <v>12838</v>
      </c>
      <c r="C29160" t="s">
        <v>383</v>
      </c>
      <c r="D29160" t="s">
        <v>52</v>
      </c>
      <c r="F29160" s="2" t="str">
        <f>HYPERLINK("http://www.otzar.org/book.asp?190934","סולו המסילה")</f>
        <v>סולו המסילה</v>
      </c>
    </row>
    <row r="29161" spans="1:6" x14ac:dyDescent="0.2">
      <c r="A29161" t="s">
        <v>46038</v>
      </c>
      <c r="B29161" t="s">
        <v>1417</v>
      </c>
      <c r="C29161" t="s">
        <v>523</v>
      </c>
      <c r="D29161" t="s">
        <v>14</v>
      </c>
      <c r="E29161" t="s">
        <v>3755</v>
      </c>
      <c r="F29161" s="2" t="str">
        <f>HYPERLINK("http://www.otzar.org/book.asp?12820","סולם בית אל - 2 כר'")</f>
        <v>סולם בית אל - 2 כר'</v>
      </c>
    </row>
    <row r="29162" spans="1:6" x14ac:dyDescent="0.2">
      <c r="A29162" t="s">
        <v>46039</v>
      </c>
      <c r="B29162" t="s">
        <v>441</v>
      </c>
      <c r="C29162" t="s">
        <v>1470</v>
      </c>
      <c r="D29162" t="s">
        <v>9</v>
      </c>
      <c r="E29162" t="s">
        <v>154</v>
      </c>
      <c r="F29162" s="2" t="str">
        <f>HYPERLINK("http://www.otzar.org/book.asp?100972","סולם יעקב")</f>
        <v>סולם יעקב</v>
      </c>
    </row>
    <row r="29163" spans="1:6" x14ac:dyDescent="0.2">
      <c r="A29163" t="s">
        <v>46039</v>
      </c>
      <c r="B29163" t="s">
        <v>34261</v>
      </c>
      <c r="C29163" t="s">
        <v>1448</v>
      </c>
      <c r="D29163" t="s">
        <v>423</v>
      </c>
      <c r="F29163" s="2" t="str">
        <f>HYPERLINK("http://www.otzar.org/book.asp?191730","סולם יעקב")</f>
        <v>סולם יעקב</v>
      </c>
    </row>
    <row r="29164" spans="1:6" x14ac:dyDescent="0.2">
      <c r="A29164" t="s">
        <v>46040</v>
      </c>
      <c r="B29164" t="s">
        <v>46041</v>
      </c>
      <c r="C29164" t="s">
        <v>13</v>
      </c>
      <c r="D29164" t="s">
        <v>52</v>
      </c>
      <c r="E29164" t="s">
        <v>15</v>
      </c>
      <c r="F29164" s="2" t="str">
        <f>HYPERLINK("http://www.otzar.org/book.asp?163333","סופה וסערה &lt;מהדורה ישנה&gt;")</f>
        <v>סופה וסערה &lt;מהדורה ישנה&gt;</v>
      </c>
    </row>
    <row r="29165" spans="1:6" x14ac:dyDescent="0.2">
      <c r="A29165" t="s">
        <v>46042</v>
      </c>
      <c r="B29165" t="s">
        <v>107</v>
      </c>
      <c r="C29165" t="s">
        <v>454</v>
      </c>
      <c r="D29165" t="s">
        <v>14</v>
      </c>
      <c r="E29165" t="s">
        <v>119</v>
      </c>
      <c r="F29165" s="2" t="str">
        <f>HYPERLINK("http://www.otzar.org/book.asp?164077","סופה של מפת הדרכים")</f>
        <v>סופה של מפת הדרכים</v>
      </c>
    </row>
    <row r="29166" spans="1:6" x14ac:dyDescent="0.2">
      <c r="A29166" t="s">
        <v>46043</v>
      </c>
      <c r="B29166" t="s">
        <v>9358</v>
      </c>
      <c r="C29166" t="s">
        <v>3205</v>
      </c>
      <c r="D29166" t="s">
        <v>118</v>
      </c>
      <c r="F29166" s="2" t="str">
        <f>HYPERLINK("http://www.otzar.org/book.asp?199719","סופוטקין")</f>
        <v>סופוטקין</v>
      </c>
    </row>
    <row r="29167" spans="1:6" x14ac:dyDescent="0.2">
      <c r="A29167" t="s">
        <v>46044</v>
      </c>
      <c r="B29167" t="s">
        <v>46045</v>
      </c>
      <c r="C29167" t="s">
        <v>124</v>
      </c>
      <c r="D29167" t="s">
        <v>52</v>
      </c>
      <c r="E29167" t="s">
        <v>10</v>
      </c>
      <c r="F29167" s="2" t="str">
        <f>HYPERLINK("http://www.otzar.org/book.asp?144421","סופר המלך - 3 כר'")</f>
        <v>סופר המלך - 3 כר'</v>
      </c>
    </row>
    <row r="29168" spans="1:6" x14ac:dyDescent="0.2">
      <c r="A29168" t="s">
        <v>46046</v>
      </c>
      <c r="B29168" t="s">
        <v>46047</v>
      </c>
      <c r="C29168" t="s">
        <v>68</v>
      </c>
      <c r="D29168" t="s">
        <v>14</v>
      </c>
      <c r="E29168" t="s">
        <v>529</v>
      </c>
      <c r="F29168" s="2" t="str">
        <f>HYPERLINK("http://www.otzar.org/book.asp?156436","סופר מהיר - 2 כר'")</f>
        <v>סופר מהיר - 2 כר'</v>
      </c>
    </row>
    <row r="29169" spans="1:6" x14ac:dyDescent="0.2">
      <c r="A29169" t="s">
        <v>46048</v>
      </c>
      <c r="B29169" t="s">
        <v>46049</v>
      </c>
      <c r="C29169" t="s">
        <v>37</v>
      </c>
      <c r="D29169" t="s">
        <v>646</v>
      </c>
      <c r="E29169" t="s">
        <v>2633</v>
      </c>
      <c r="F29169" s="2" t="str">
        <f>HYPERLINK("http://www.otzar.org/book.asp?181645","סופרי המלך עוללות מרן החתם סופר - 3 כר'")</f>
        <v>סופרי המלך עוללות מרן החתם סופר - 3 כר'</v>
      </c>
    </row>
    <row r="29170" spans="1:6" x14ac:dyDescent="0.2">
      <c r="A29170" t="s">
        <v>46050</v>
      </c>
      <c r="B29170" t="s">
        <v>46049</v>
      </c>
      <c r="C29170" t="s">
        <v>133</v>
      </c>
      <c r="D29170" t="s">
        <v>646</v>
      </c>
      <c r="E29170" t="s">
        <v>2509</v>
      </c>
      <c r="F29170" s="2" t="str">
        <f>HYPERLINK("http://www.otzar.org/book.asp?171239","סופרי המלך עוללות רבינו עקיבא איגר")</f>
        <v>סופרי המלך עוללות רבינו עקיבא איגר</v>
      </c>
    </row>
    <row r="29171" spans="1:6" x14ac:dyDescent="0.2">
      <c r="A29171" t="s">
        <v>46051</v>
      </c>
      <c r="B29171" t="s">
        <v>46049</v>
      </c>
      <c r="C29171" t="s">
        <v>23</v>
      </c>
      <c r="D29171" t="s">
        <v>646</v>
      </c>
      <c r="F29171" s="2" t="str">
        <f>HYPERLINK("http://www.otzar.org/book.asp?600272","סופרי המלך - זכור לאברהם")</f>
        <v>סופרי המלך - זכור לאברהם</v>
      </c>
    </row>
    <row r="29172" spans="1:6" x14ac:dyDescent="0.2">
      <c r="A29172" t="s">
        <v>46052</v>
      </c>
      <c r="B29172" t="s">
        <v>46053</v>
      </c>
      <c r="C29172" t="s">
        <v>594</v>
      </c>
      <c r="D29172" t="s">
        <v>56</v>
      </c>
      <c r="E29172" t="s">
        <v>384</v>
      </c>
      <c r="F29172" s="2" t="str">
        <f>HYPERLINK("http://www.otzar.org/book.asp?171542","סופרי ישראל")</f>
        <v>סופרי ישראל</v>
      </c>
    </row>
    <row r="29173" spans="1:6" x14ac:dyDescent="0.2">
      <c r="A29173" t="s">
        <v>46054</v>
      </c>
      <c r="B29173" t="s">
        <v>12124</v>
      </c>
      <c r="C29173" t="s">
        <v>442</v>
      </c>
      <c r="D29173" t="s">
        <v>216</v>
      </c>
      <c r="E29173" t="s">
        <v>104</v>
      </c>
      <c r="F29173" s="2" t="str">
        <f>HYPERLINK("http://www.otzar.org/book.asp?143405","סופרים וגניזותיהם")</f>
        <v>סופרים וגניזותיהם</v>
      </c>
    </row>
    <row r="29174" spans="1:6" x14ac:dyDescent="0.2">
      <c r="A29174" t="s">
        <v>46055</v>
      </c>
      <c r="B29174" t="s">
        <v>5449</v>
      </c>
      <c r="C29174" t="s">
        <v>1169</v>
      </c>
      <c r="D29174" t="s">
        <v>260</v>
      </c>
      <c r="E29174" t="s">
        <v>733</v>
      </c>
      <c r="F29174" s="2" t="str">
        <f>HYPERLINK("http://www.otzar.org/book.asp?144720","סופרים וספרים - 3 כר'")</f>
        <v>סופרים וספרים - 3 כר'</v>
      </c>
    </row>
    <row r="29175" spans="1:6" x14ac:dyDescent="0.2">
      <c r="A29175" t="s">
        <v>46056</v>
      </c>
      <c r="B29175" t="s">
        <v>1371</v>
      </c>
      <c r="C29175" t="s">
        <v>71</v>
      </c>
      <c r="D29175" t="s">
        <v>14</v>
      </c>
      <c r="E29175" t="s">
        <v>241</v>
      </c>
      <c r="F29175" s="2" t="str">
        <f>HYPERLINK("http://www.otzar.org/book.asp?170725","סור מרע ועשה טוב &lt;מהדורה חדשה&gt;")</f>
        <v>סור מרע ועשה טוב &lt;מהדורה חדשה&gt;</v>
      </c>
    </row>
    <row r="29176" spans="1:6" x14ac:dyDescent="0.2">
      <c r="A29176" t="s">
        <v>46057</v>
      </c>
      <c r="B29176" t="s">
        <v>1371</v>
      </c>
      <c r="C29176" t="s">
        <v>558</v>
      </c>
      <c r="D29176" t="s">
        <v>726</v>
      </c>
      <c r="E29176" t="s">
        <v>46058</v>
      </c>
      <c r="F29176" s="2" t="str">
        <f>HYPERLINK("http://www.otzar.org/book.asp?10265","סור מרע ועשה טוב - 4 כר'")</f>
        <v>סור מרע ועשה טוב - 4 כר'</v>
      </c>
    </row>
    <row r="29177" spans="1:6" x14ac:dyDescent="0.2">
      <c r="A29177" t="s">
        <v>46059</v>
      </c>
      <c r="B29177" t="s">
        <v>46060</v>
      </c>
      <c r="C29177" t="s">
        <v>1954</v>
      </c>
      <c r="D29177" t="s">
        <v>14</v>
      </c>
      <c r="E29177" t="s">
        <v>202</v>
      </c>
      <c r="F29177" s="2" t="str">
        <f>HYPERLINK("http://www.otzar.org/book.asp?151842","סורא - ב &lt;תשט""ו - תשט""ז&gt;")</f>
        <v>סורא - ב &lt;תשט"ו - תשט"ז&gt;</v>
      </c>
    </row>
    <row r="29178" spans="1:6" x14ac:dyDescent="0.2">
      <c r="A29178" t="s">
        <v>46061</v>
      </c>
      <c r="B29178" t="s">
        <v>46062</v>
      </c>
      <c r="C29178" t="s">
        <v>133</v>
      </c>
      <c r="D29178" t="s">
        <v>245</v>
      </c>
      <c r="E29178" t="s">
        <v>104</v>
      </c>
      <c r="F29178" s="2" t="str">
        <f>HYPERLINK("http://www.otzar.org/book.asp?177260","סח אהרן")</f>
        <v>סח אהרן</v>
      </c>
    </row>
    <row r="29179" spans="1:6" x14ac:dyDescent="0.2">
      <c r="A29179" t="s">
        <v>46063</v>
      </c>
      <c r="B29179" t="s">
        <v>46064</v>
      </c>
      <c r="C29179" t="s">
        <v>176</v>
      </c>
      <c r="D29179" t="s">
        <v>52</v>
      </c>
      <c r="E29179" t="s">
        <v>119</v>
      </c>
      <c r="F29179" s="2" t="str">
        <f>HYPERLINK("http://www.otzar.org/book.asp?162371","סיביר - עדות אישית")</f>
        <v>סיביר - עדות אישית</v>
      </c>
    </row>
    <row r="29180" spans="1:6" x14ac:dyDescent="0.2">
      <c r="A29180" t="s">
        <v>46065</v>
      </c>
      <c r="B29180" t="s">
        <v>5973</v>
      </c>
      <c r="C29180" t="s">
        <v>1268</v>
      </c>
      <c r="D29180" t="s">
        <v>14</v>
      </c>
      <c r="E29180" t="s">
        <v>714</v>
      </c>
      <c r="F29180" s="2" t="str">
        <f>HYPERLINK("http://www.otzar.org/book.asp?106837","סיגריות והמכשולים הנולדים מהן")</f>
        <v>סיגריות והמכשולים הנולדים מהן</v>
      </c>
    </row>
    <row r="29181" spans="1:6" x14ac:dyDescent="0.2">
      <c r="A29181" t="s">
        <v>46066</v>
      </c>
      <c r="B29181" t="s">
        <v>5504</v>
      </c>
      <c r="C29181" t="s">
        <v>37</v>
      </c>
      <c r="D29181" t="s">
        <v>21</v>
      </c>
      <c r="F29181" s="2" t="str">
        <f>HYPERLINK("http://www.otzar.org/book.asp?197626","סידור אבותינו &lt;נוסח מרוקו&gt;")</f>
        <v>סידור אבותינו &lt;נוסח מרוקו&gt;</v>
      </c>
    </row>
    <row r="29182" spans="1:6" x14ac:dyDescent="0.2">
      <c r="A29182" t="s">
        <v>46067</v>
      </c>
      <c r="B29182" t="s">
        <v>2467</v>
      </c>
      <c r="C29182" t="s">
        <v>244</v>
      </c>
      <c r="D29182" t="s">
        <v>2468</v>
      </c>
      <c r="E29182" t="s">
        <v>219</v>
      </c>
      <c r="F29182" s="2" t="str">
        <f>HYPERLINK("http://www.otzar.org/book.asp?606624","סידור אהלי יעקב")</f>
        <v>סידור אהלי יעקב</v>
      </c>
    </row>
    <row r="29183" spans="1:6" x14ac:dyDescent="0.2">
      <c r="A29183" t="s">
        <v>46068</v>
      </c>
      <c r="B29183" t="s">
        <v>3064</v>
      </c>
      <c r="C29183" t="s">
        <v>114</v>
      </c>
      <c r="D29183" t="s">
        <v>14</v>
      </c>
      <c r="E29183" t="s">
        <v>960</v>
      </c>
      <c r="F29183" s="2" t="str">
        <f>HYPERLINK("http://www.otzar.org/book.asp?162950","סידור אוצר המטמונים")</f>
        <v>סידור אוצר המטמונים</v>
      </c>
    </row>
    <row r="29184" spans="1:6" x14ac:dyDescent="0.2">
      <c r="A29184" t="s">
        <v>46069</v>
      </c>
      <c r="B29184" t="s">
        <v>46070</v>
      </c>
      <c r="C29184" t="s">
        <v>20</v>
      </c>
      <c r="D29184" t="s">
        <v>118</v>
      </c>
      <c r="E29184" t="s">
        <v>219</v>
      </c>
      <c r="F29184" s="2" t="str">
        <f>HYPERLINK("http://www.otzar.org/book.asp?13281","סידור אוצר התפלות - 3 כר'")</f>
        <v>סידור אוצר התפלות - 3 כר'</v>
      </c>
    </row>
    <row r="29185" spans="1:6" x14ac:dyDescent="0.2">
      <c r="A29185" t="s">
        <v>46071</v>
      </c>
      <c r="B29185" t="s">
        <v>3704</v>
      </c>
      <c r="C29185" t="s">
        <v>20</v>
      </c>
      <c r="D29185" t="s">
        <v>14</v>
      </c>
      <c r="E29185" t="s">
        <v>219</v>
      </c>
      <c r="F29185" s="2" t="str">
        <f>HYPERLINK("http://www.otzar.org/book.asp?10579","סידור אור החמה")</f>
        <v>סידור אור החמה</v>
      </c>
    </row>
    <row r="29186" spans="1:6" x14ac:dyDescent="0.2">
      <c r="A29186" t="s">
        <v>46072</v>
      </c>
      <c r="B29186" t="s">
        <v>46073</v>
      </c>
      <c r="C29186" t="s">
        <v>334</v>
      </c>
      <c r="D29186" t="s">
        <v>216</v>
      </c>
      <c r="F29186" s="2" t="str">
        <f>HYPERLINK("http://www.otzar.org/book.asp?156530","סידור אור הישר &lt;קוידינוב&gt;")</f>
        <v>סידור אור הישר &lt;קוידינוב&gt;</v>
      </c>
    </row>
    <row r="29187" spans="1:6" x14ac:dyDescent="0.2">
      <c r="A29187" t="s">
        <v>46074</v>
      </c>
      <c r="B29187" t="s">
        <v>46075</v>
      </c>
      <c r="C29187" t="s">
        <v>950</v>
      </c>
      <c r="D29187" t="s">
        <v>17784</v>
      </c>
      <c r="F29187" s="2" t="str">
        <f>HYPERLINK("http://www.otzar.org/book.asp?164889","סידור אור לישרים - 2 כר'")</f>
        <v>סידור אור לישרים - 2 כר'</v>
      </c>
    </row>
    <row r="29188" spans="1:6" x14ac:dyDescent="0.2">
      <c r="A29188" t="s">
        <v>46076</v>
      </c>
      <c r="B29188" t="s">
        <v>46077</v>
      </c>
      <c r="C29188" t="s">
        <v>13</v>
      </c>
      <c r="D29188" t="s">
        <v>14</v>
      </c>
      <c r="E29188" t="s">
        <v>219</v>
      </c>
      <c r="F29188" s="2" t="str">
        <f>HYPERLINK("http://www.otzar.org/book.asp?147980","סידור אזור אליהו - 2 כר'")</f>
        <v>סידור אזור אליהו - 2 כר'</v>
      </c>
    </row>
    <row r="29189" spans="1:6" x14ac:dyDescent="0.2">
      <c r="A29189" t="s">
        <v>46078</v>
      </c>
      <c r="B29189" t="s">
        <v>4918</v>
      </c>
      <c r="C29189" t="s">
        <v>13</v>
      </c>
      <c r="D29189" t="s">
        <v>4919</v>
      </c>
      <c r="E29189" t="s">
        <v>219</v>
      </c>
      <c r="F29189" s="2" t="str">
        <f>HYPERLINK("http://www.otzar.org/book.asp?63933","סידור אשל אברהם")</f>
        <v>סידור אשל אברהם</v>
      </c>
    </row>
    <row r="29190" spans="1:6" x14ac:dyDescent="0.2">
      <c r="A29190" t="s">
        <v>46079</v>
      </c>
      <c r="B29190" t="s">
        <v>25643</v>
      </c>
      <c r="C29190" t="s">
        <v>20</v>
      </c>
      <c r="D29190" t="s">
        <v>1076</v>
      </c>
      <c r="F29190" s="2" t="str">
        <f>HYPERLINK("http://www.otzar.org/book.asp?600057","סידור אשת חיל")</f>
        <v>סידור אשת חיל</v>
      </c>
    </row>
    <row r="29191" spans="1:6" x14ac:dyDescent="0.2">
      <c r="A29191" t="s">
        <v>46080</v>
      </c>
      <c r="B29191" t="s">
        <v>46081</v>
      </c>
      <c r="C29191" t="s">
        <v>244</v>
      </c>
      <c r="D29191" t="s">
        <v>21</v>
      </c>
      <c r="E29191" t="s">
        <v>144</v>
      </c>
      <c r="F29191" s="2" t="str">
        <f>HYPERLINK("http://www.otzar.org/book.asp?601239","סידור באר משה")</f>
        <v>סידור באר משה</v>
      </c>
    </row>
    <row r="29192" spans="1:6" x14ac:dyDescent="0.2">
      <c r="A29192" t="s">
        <v>46082</v>
      </c>
      <c r="B29192" t="s">
        <v>46083</v>
      </c>
      <c r="C29192" t="s">
        <v>1062</v>
      </c>
      <c r="D29192" t="s">
        <v>412</v>
      </c>
      <c r="F29192" s="2" t="str">
        <f>HYPERLINK("http://www.otzar.org/book.asp?614635","סידור בית אהרן וישראל")</f>
        <v>סידור בית אהרן וישראל</v>
      </c>
    </row>
    <row r="29193" spans="1:6" x14ac:dyDescent="0.2">
      <c r="A29193" t="s">
        <v>46084</v>
      </c>
      <c r="B29193" t="s">
        <v>46084</v>
      </c>
      <c r="C29193" t="s">
        <v>332</v>
      </c>
      <c r="D29193" t="s">
        <v>21</v>
      </c>
      <c r="E29193" t="s">
        <v>219</v>
      </c>
      <c r="F29193" s="2" t="str">
        <f>HYPERLINK("http://www.otzar.org/book.asp?195624","סידור בית דוד ושלמה")</f>
        <v>סידור בית דוד ושלמה</v>
      </c>
    </row>
    <row r="29194" spans="1:6" x14ac:dyDescent="0.2">
      <c r="A29194" t="s">
        <v>46085</v>
      </c>
      <c r="B29194" t="s">
        <v>20783</v>
      </c>
      <c r="C29194" t="s">
        <v>313</v>
      </c>
      <c r="D29194" t="s">
        <v>52</v>
      </c>
      <c r="E29194" t="s">
        <v>219</v>
      </c>
      <c r="F29194" s="2" t="str">
        <f>HYPERLINK("http://www.otzar.org/book.asp?188870","סידור בית הלוי &lt;ע""פ עטרת בני שלשים&gt;")</f>
        <v>סידור בית הלוי &lt;ע"פ עטרת בני שלשים&gt;</v>
      </c>
    </row>
    <row r="29195" spans="1:6" x14ac:dyDescent="0.2">
      <c r="A29195" t="s">
        <v>46086</v>
      </c>
      <c r="B29195" t="s">
        <v>46087</v>
      </c>
      <c r="C29195" t="s">
        <v>2644</v>
      </c>
      <c r="D29195" t="s">
        <v>9484</v>
      </c>
      <c r="E29195" t="s">
        <v>219</v>
      </c>
      <c r="F29195" s="2" t="str">
        <f>HYPERLINK("http://www.otzar.org/book.asp?12984","סידור בית יעקב")</f>
        <v>סידור בית יעקב</v>
      </c>
    </row>
    <row r="29196" spans="1:6" x14ac:dyDescent="0.2">
      <c r="A29196" t="s">
        <v>46088</v>
      </c>
      <c r="B29196" t="s">
        <v>46089</v>
      </c>
      <c r="C29196" t="s">
        <v>68</v>
      </c>
      <c r="D29196" t="s">
        <v>14</v>
      </c>
      <c r="E29196" t="s">
        <v>219</v>
      </c>
      <c r="F29196" s="2" t="str">
        <f>HYPERLINK("http://www.otzar.org/book.asp?168664","סידור בכתב אשורית")</f>
        <v>סידור בכתב אשורית</v>
      </c>
    </row>
    <row r="29197" spans="1:6" x14ac:dyDescent="0.2">
      <c r="A29197" t="s">
        <v>46090</v>
      </c>
      <c r="B29197" t="s">
        <v>1264</v>
      </c>
      <c r="C29197" t="s">
        <v>523</v>
      </c>
      <c r="D29197" t="s">
        <v>14</v>
      </c>
      <c r="E29197" t="s">
        <v>219</v>
      </c>
      <c r="F29197" s="2" t="str">
        <f>HYPERLINK("http://www.otzar.org/book.asp?623635","סידור בני יששכר")</f>
        <v>סידור בני יששכר</v>
      </c>
    </row>
    <row r="29198" spans="1:6" x14ac:dyDescent="0.2">
      <c r="A29198" t="s">
        <v>46091</v>
      </c>
      <c r="B29198" t="s">
        <v>46091</v>
      </c>
      <c r="C29198" t="s">
        <v>133</v>
      </c>
      <c r="D29198" t="s">
        <v>14</v>
      </c>
      <c r="E29198" t="s">
        <v>219</v>
      </c>
      <c r="F29198" s="2" t="str">
        <f>HYPERLINK("http://www.otzar.org/book.asp?180148","סידור ברכה ותהלה")</f>
        <v>סידור ברכה ותהלה</v>
      </c>
    </row>
    <row r="29199" spans="1:6" x14ac:dyDescent="0.2">
      <c r="A29199" t="s">
        <v>46092</v>
      </c>
      <c r="B29199" t="s">
        <v>46093</v>
      </c>
      <c r="C29199" t="s">
        <v>17</v>
      </c>
      <c r="D29199" t="s">
        <v>14</v>
      </c>
      <c r="E29199" t="s">
        <v>1517</v>
      </c>
      <c r="F29199" s="2" t="str">
        <f>HYPERLINK("http://www.otzar.org/book.asp?152825","סידור גאולת ישראל - 2 כר'")</f>
        <v>סידור גאולת ישראל - 2 כר'</v>
      </c>
    </row>
    <row r="29200" spans="1:6" x14ac:dyDescent="0.2">
      <c r="A29200" t="s">
        <v>46094</v>
      </c>
      <c r="B29200" t="s">
        <v>46095</v>
      </c>
      <c r="C29200" t="s">
        <v>20</v>
      </c>
      <c r="D29200" t="s">
        <v>486</v>
      </c>
      <c r="E29200" t="s">
        <v>1517</v>
      </c>
      <c r="F29200" s="2" t="str">
        <f>HYPERLINK("http://www.otzar.org/book.asp?608556","סידור דרך החיים עבודת ישראל - שבת")</f>
        <v>סידור דרך החיים עבודת ישראל - שבת</v>
      </c>
    </row>
    <row r="29201" spans="1:6" x14ac:dyDescent="0.2">
      <c r="A29201" t="s">
        <v>46096</v>
      </c>
      <c r="B29201" t="s">
        <v>19377</v>
      </c>
      <c r="C29201" t="s">
        <v>854</v>
      </c>
      <c r="D29201" t="s">
        <v>307</v>
      </c>
      <c r="E29201" t="s">
        <v>219</v>
      </c>
      <c r="F29201" s="2" t="str">
        <f>HYPERLINK("http://www.otzar.org/book.asp?155428","סידור דרך החיים עם עיון תפילה - אשכנז")</f>
        <v>סידור דרך החיים עם עיון תפילה - אשכנז</v>
      </c>
    </row>
    <row r="29202" spans="1:6" x14ac:dyDescent="0.2">
      <c r="A29202" t="s">
        <v>46097</v>
      </c>
      <c r="B29202" t="s">
        <v>19377</v>
      </c>
      <c r="C29202" t="s">
        <v>854</v>
      </c>
      <c r="D29202" t="s">
        <v>307</v>
      </c>
      <c r="E29202" t="s">
        <v>219</v>
      </c>
      <c r="F29202" s="2" t="str">
        <f>HYPERLINK("http://www.otzar.org/book.asp?151420","סידור דרך החיים עם עיון תפלה - ספרד")</f>
        <v>סידור דרך החיים עם עיון תפלה - ספרד</v>
      </c>
    </row>
    <row r="29203" spans="1:6" x14ac:dyDescent="0.2">
      <c r="A29203" t="s">
        <v>46098</v>
      </c>
      <c r="B29203" t="s">
        <v>46099</v>
      </c>
      <c r="C29203" t="s">
        <v>538</v>
      </c>
      <c r="D29203" t="s">
        <v>27174</v>
      </c>
      <c r="E29203" t="s">
        <v>399</v>
      </c>
      <c r="F29203" s="2" t="str">
        <f>HYPERLINK("http://www.otzar.org/book.asp?52432","סידור האר""י - 5 כר'")</f>
        <v>סידור האר"י - 5 כר'</v>
      </c>
    </row>
    <row r="29204" spans="1:6" x14ac:dyDescent="0.2">
      <c r="A29204" t="s">
        <v>46100</v>
      </c>
      <c r="B29204" t="s">
        <v>46101</v>
      </c>
      <c r="C29204" t="s">
        <v>114</v>
      </c>
      <c r="D29204" t="s">
        <v>52</v>
      </c>
      <c r="E29204" t="s">
        <v>219</v>
      </c>
      <c r="F29204" s="2" t="str">
        <f>HYPERLINK("http://www.otzar.org/book.asp?188979","סידור האר""י  - סדור ר' אשר &lt;הגהות עטרת צבי - הצבי והצדק&gt;")</f>
        <v>סידור האר"י  - סדור ר' אשר &lt;הגהות עטרת צבי - הצבי והצדק&gt;</v>
      </c>
    </row>
    <row r="29205" spans="1:6" x14ac:dyDescent="0.2">
      <c r="A29205" t="s">
        <v>46102</v>
      </c>
      <c r="B29205" t="s">
        <v>46103</v>
      </c>
      <c r="C29205" t="s">
        <v>550</v>
      </c>
      <c r="D29205" t="s">
        <v>1722</v>
      </c>
      <c r="E29205" t="s">
        <v>219</v>
      </c>
      <c r="F29205" s="2" t="str">
        <f>HYPERLINK("http://www.otzar.org/book.asp?13101","סידור האר""י - סידור ר' שבתי")</f>
        <v>סידור האר"י - סידור ר' שבתי</v>
      </c>
    </row>
    <row r="29206" spans="1:6" x14ac:dyDescent="0.2">
      <c r="A29206" t="s">
        <v>46104</v>
      </c>
      <c r="B29206" t="s">
        <v>46105</v>
      </c>
      <c r="F29206" s="2" t="str">
        <f>HYPERLINK("http://www.otzar.org/book.asp?618399","סידור האר""י - כת""י הרה""ק רא""ש בן התולדות")</f>
        <v>סידור האר"י - כת"י הרה"ק רא"ש בן התולדות</v>
      </c>
    </row>
    <row r="29207" spans="1:6" x14ac:dyDescent="0.2">
      <c r="A29207" t="s">
        <v>46106</v>
      </c>
      <c r="B29207" t="s">
        <v>46107</v>
      </c>
      <c r="C29207" t="s">
        <v>1219</v>
      </c>
      <c r="D29207" t="s">
        <v>60</v>
      </c>
      <c r="E29207" t="s">
        <v>3755</v>
      </c>
      <c r="F29207" s="2" t="str">
        <f>HYPERLINK("http://www.otzar.org/book.asp?104165","סידור האר""י - זולקווא")</f>
        <v>סידור האר"י - זולקווא</v>
      </c>
    </row>
    <row r="29208" spans="1:6" x14ac:dyDescent="0.2">
      <c r="A29208" t="s">
        <v>46108</v>
      </c>
      <c r="B29208" t="s">
        <v>46109</v>
      </c>
      <c r="C29208" t="s">
        <v>46110</v>
      </c>
      <c r="D29208" t="s">
        <v>43909</v>
      </c>
      <c r="E29208" t="s">
        <v>3755</v>
      </c>
      <c r="F29208" s="2" t="str">
        <f>HYPERLINK("http://www.otzar.org/book.asp?150546","סידור האר""י - 3 כר'")</f>
        <v>סידור האר"י - 3 כר'</v>
      </c>
    </row>
    <row r="29209" spans="1:6" x14ac:dyDescent="0.2">
      <c r="A29209" t="s">
        <v>46111</v>
      </c>
      <c r="B29209" t="s">
        <v>45833</v>
      </c>
      <c r="C29209" t="s">
        <v>550</v>
      </c>
      <c r="D29209" t="s">
        <v>267</v>
      </c>
      <c r="E29209" t="s">
        <v>219</v>
      </c>
      <c r="F29209" s="2" t="str">
        <f>HYPERLINK("http://www.otzar.org/book.asp?104341","סידור האר""י - 2 כר'")</f>
        <v>סידור האר"י - 2 כר'</v>
      </c>
    </row>
    <row r="29210" spans="1:6" x14ac:dyDescent="0.2">
      <c r="A29210" t="s">
        <v>46112</v>
      </c>
      <c r="B29210" t="s">
        <v>1791</v>
      </c>
      <c r="C29210" t="s">
        <v>332</v>
      </c>
      <c r="D29210" t="s">
        <v>14</v>
      </c>
      <c r="E29210" t="s">
        <v>219</v>
      </c>
      <c r="F29210" s="2" t="str">
        <f>HYPERLINK("http://www.otzar.org/book.asp?8125","סידור הגאונים והמקובלים - 20 כר'")</f>
        <v>סידור הגאונים והמקובלים - 20 כר'</v>
      </c>
    </row>
    <row r="29211" spans="1:6" x14ac:dyDescent="0.2">
      <c r="A29211" t="s">
        <v>46113</v>
      </c>
      <c r="B29211" t="s">
        <v>46114</v>
      </c>
      <c r="C29211" t="s">
        <v>1437</v>
      </c>
      <c r="D29211" t="s">
        <v>14</v>
      </c>
      <c r="E29211" t="s">
        <v>24</v>
      </c>
      <c r="F29211" s="2" t="str">
        <f>HYPERLINK("http://www.otzar.org/book.asp?19230","סידור הגר""א &lt;שער נפתלי, אמרי שפר&gt;")</f>
        <v>סידור הגר"א &lt;שער נפתלי, אמרי שפר&gt;</v>
      </c>
    </row>
    <row r="29212" spans="1:6" x14ac:dyDescent="0.2">
      <c r="A29212" t="s">
        <v>46115</v>
      </c>
      <c r="B29212" t="s">
        <v>46116</v>
      </c>
      <c r="C29212" t="s">
        <v>313</v>
      </c>
      <c r="D29212" t="s">
        <v>27</v>
      </c>
      <c r="E29212" t="s">
        <v>219</v>
      </c>
      <c r="F29212" s="2" t="str">
        <f>HYPERLINK("http://www.otzar.org/book.asp?179463","סידור הגר""א אשי ישראל &lt;שיח יצחק - 2 כר'")</f>
        <v>סידור הגר"א אשי ישראל &lt;שיח יצחק - 2 כר'</v>
      </c>
    </row>
    <row r="29213" spans="1:6" x14ac:dyDescent="0.2">
      <c r="A29213" t="s">
        <v>46117</v>
      </c>
      <c r="B29213" t="s">
        <v>1308</v>
      </c>
      <c r="C29213" t="s">
        <v>71</v>
      </c>
      <c r="D29213" t="s">
        <v>14</v>
      </c>
      <c r="E29213" t="s">
        <v>219</v>
      </c>
      <c r="F29213" s="2" t="str">
        <f>HYPERLINK("http://www.otzar.org/book.asp?6044","סידור החיד""א - 2 כר'")</f>
        <v>סידור החיד"א - 2 כר'</v>
      </c>
    </row>
    <row r="29214" spans="1:6" x14ac:dyDescent="0.2">
      <c r="A29214" t="s">
        <v>46118</v>
      </c>
      <c r="B29214" t="s">
        <v>46119</v>
      </c>
      <c r="C29214" t="s">
        <v>111</v>
      </c>
      <c r="D29214" t="s">
        <v>46120</v>
      </c>
      <c r="E29214" t="s">
        <v>219</v>
      </c>
      <c r="F29214" s="2" t="str">
        <f>HYPERLINK("http://www.otzar.org/book.asp?626002","סידור המבואר  אביר יעקב - ימות החול")</f>
        <v>סידור המבואר  אביר יעקב - ימות החול</v>
      </c>
    </row>
    <row r="29215" spans="1:6" x14ac:dyDescent="0.2">
      <c r="A29215" t="s">
        <v>46121</v>
      </c>
      <c r="B29215" t="s">
        <v>46122</v>
      </c>
      <c r="C29215" t="s">
        <v>422</v>
      </c>
      <c r="D29215" t="s">
        <v>273</v>
      </c>
      <c r="E29215" t="s">
        <v>46123</v>
      </c>
      <c r="F29215" s="2" t="str">
        <f>HYPERLINK("http://www.otzar.org/book.asp?150938","סידור המפורש")</f>
        <v>סידור המפורש</v>
      </c>
    </row>
    <row r="29216" spans="1:6" x14ac:dyDescent="0.2">
      <c r="A29216" t="s">
        <v>46124</v>
      </c>
      <c r="B29216" t="s">
        <v>46125</v>
      </c>
      <c r="C29216" t="s">
        <v>87</v>
      </c>
      <c r="D29216" t="s">
        <v>2458</v>
      </c>
      <c r="F29216" s="2" t="str">
        <f>HYPERLINK("http://www.otzar.org/book.asp?190061","סידור הנאו שפה")</f>
        <v>סידור הנאו שפה</v>
      </c>
    </row>
    <row r="29217" spans="1:6" x14ac:dyDescent="0.2">
      <c r="A29217" t="s">
        <v>46126</v>
      </c>
      <c r="B29217" t="s">
        <v>17496</v>
      </c>
      <c r="C29217" t="s">
        <v>143</v>
      </c>
      <c r="D29217" t="s">
        <v>52</v>
      </c>
      <c r="E29217" t="s">
        <v>219</v>
      </c>
      <c r="F29217" s="2" t="str">
        <f>HYPERLINK("http://www.otzar.org/book.asp?13465","סידור הראב""ן")</f>
        <v>סידור הראב"ן</v>
      </c>
    </row>
    <row r="29218" spans="1:6" x14ac:dyDescent="0.2">
      <c r="A29218" t="s">
        <v>46127</v>
      </c>
      <c r="B29218" t="s">
        <v>46128</v>
      </c>
      <c r="C29218" t="s">
        <v>46129</v>
      </c>
      <c r="D29218" t="s">
        <v>46130</v>
      </c>
      <c r="E29218" t="s">
        <v>219</v>
      </c>
      <c r="F29218" s="2" t="str">
        <f>HYPERLINK("http://www.otzar.org/book.asp?195452","סידור הרב &lt;דפוס ראשון&gt;")</f>
        <v>סידור הרב &lt;דפוס ראשון&gt;</v>
      </c>
    </row>
    <row r="29219" spans="1:6" x14ac:dyDescent="0.2">
      <c r="A29219" t="s">
        <v>46131</v>
      </c>
      <c r="B29219" t="s">
        <v>16383</v>
      </c>
      <c r="C29219" t="s">
        <v>146</v>
      </c>
      <c r="D29219" t="s">
        <v>14</v>
      </c>
      <c r="E29219" t="s">
        <v>219</v>
      </c>
      <c r="F29219" s="2" t="str">
        <f>HYPERLINK("http://www.otzar.org/book.asp?64309","סידור הרמח""ל - 2 כר'")</f>
        <v>סידור הרמח"ל - 2 כר'</v>
      </c>
    </row>
    <row r="29220" spans="1:6" x14ac:dyDescent="0.2">
      <c r="A29220" t="s">
        <v>46132</v>
      </c>
      <c r="B29220" t="s">
        <v>46133</v>
      </c>
      <c r="C29220" t="s">
        <v>68</v>
      </c>
      <c r="D29220" t="s">
        <v>139</v>
      </c>
      <c r="E29220" t="s">
        <v>399</v>
      </c>
      <c r="F29220" s="2" t="str">
        <f>HYPERLINK("http://www.otzar.org/book.asp?180258","סידור הרש""ש &lt;בית אל - 4 כר'")</f>
        <v>סידור הרש"ש &lt;בית אל - 4 כר'</v>
      </c>
    </row>
    <row r="29221" spans="1:6" x14ac:dyDescent="0.2">
      <c r="A29221" t="s">
        <v>46134</v>
      </c>
      <c r="B29221" t="s">
        <v>6876</v>
      </c>
      <c r="E29221" t="s">
        <v>399</v>
      </c>
      <c r="F29221" s="2" t="str">
        <f>HYPERLINK("http://www.otzar.org/book.asp?613094","סידור הרש""ש &lt;כת""י השמן ששון&gt; - ספירת העומר")</f>
        <v>סידור הרש"ש &lt;כת"י השמן ששון&gt; - ספירת העומר</v>
      </c>
    </row>
    <row r="29222" spans="1:6" x14ac:dyDescent="0.2">
      <c r="A29222" t="s">
        <v>46135</v>
      </c>
      <c r="B29222" t="s">
        <v>46136</v>
      </c>
      <c r="C29222" t="s">
        <v>360</v>
      </c>
      <c r="D29222" t="s">
        <v>27</v>
      </c>
      <c r="E29222" t="s">
        <v>399</v>
      </c>
      <c r="F29222" s="2" t="str">
        <f>HYPERLINK("http://www.otzar.org/book.asp?171298","סידור הרש""ש &lt;תרע""א - הארוך&gt; - א")</f>
        <v>סידור הרש"ש &lt;תרע"א - הארוך&gt; - א</v>
      </c>
    </row>
    <row r="29223" spans="1:6" x14ac:dyDescent="0.2">
      <c r="A29223" t="s">
        <v>46137</v>
      </c>
      <c r="B29223" t="s">
        <v>46138</v>
      </c>
      <c r="C29223" t="s">
        <v>244</v>
      </c>
      <c r="D29223" t="s">
        <v>118</v>
      </c>
      <c r="E29223" t="s">
        <v>3755</v>
      </c>
      <c r="F29223" s="2" t="str">
        <f>HYPERLINK("http://www.otzar.org/book.asp?602817","סידור הרש""ש &lt;ע""פ עבודת המלך&gt;")</f>
        <v>סידור הרש"ש &lt;ע"פ עבודת המלך&gt;</v>
      </c>
    </row>
    <row r="29224" spans="1:6" x14ac:dyDescent="0.2">
      <c r="A29224" t="s">
        <v>46139</v>
      </c>
      <c r="C29224" t="s">
        <v>20</v>
      </c>
      <c r="D29224" t="s">
        <v>90</v>
      </c>
      <c r="E29224" t="s">
        <v>399</v>
      </c>
      <c r="F29224" s="2" t="str">
        <f>HYPERLINK("http://www.otzar.org/book.asp?182565","סידור הרש""ש אור המלך")</f>
        <v>סידור הרש"ש אור המלך</v>
      </c>
    </row>
    <row r="29225" spans="1:6" x14ac:dyDescent="0.2">
      <c r="A29225" t="s">
        <v>46140</v>
      </c>
      <c r="B29225" t="s">
        <v>46141</v>
      </c>
      <c r="C29225" t="s">
        <v>129</v>
      </c>
      <c r="D29225" t="s">
        <v>14</v>
      </c>
      <c r="E29225" t="s">
        <v>2758</v>
      </c>
      <c r="F29225" s="2" t="str">
        <f>HYPERLINK("http://www.otzar.org/book.asp?141990","סידור הרש""ש - הגדה של פסח")</f>
        <v>סידור הרש"ש - הגדה של פסח</v>
      </c>
    </row>
    <row r="29226" spans="1:6" x14ac:dyDescent="0.2">
      <c r="A29226" t="s">
        <v>46142</v>
      </c>
      <c r="B29226" t="s">
        <v>46136</v>
      </c>
      <c r="C29226" t="s">
        <v>4144</v>
      </c>
      <c r="D29226" t="s">
        <v>27</v>
      </c>
      <c r="E29226" t="s">
        <v>1318</v>
      </c>
      <c r="F29226" s="2" t="str">
        <f>HYPERLINK("http://www.otzar.org/book.asp?6002","סידור הרש""ש - 3 כר'")</f>
        <v>סידור הרש"ש - 3 כר'</v>
      </c>
    </row>
    <row r="29227" spans="1:6" x14ac:dyDescent="0.2">
      <c r="A29227" t="s">
        <v>46143</v>
      </c>
      <c r="B29227" t="s">
        <v>46144</v>
      </c>
      <c r="C29227" t="s">
        <v>37</v>
      </c>
      <c r="D29227" t="s">
        <v>118</v>
      </c>
      <c r="E29227" t="s">
        <v>1626</v>
      </c>
      <c r="F29227" s="2" t="str">
        <f>HYPERLINK("http://www.otzar.org/book.asp?176814","סידור השולחן &lt;מנהגי עדן&gt;")</f>
        <v>סידור השולחן &lt;מנהגי עדן&gt;</v>
      </c>
    </row>
    <row r="29228" spans="1:6" x14ac:dyDescent="0.2">
      <c r="A29228" t="s">
        <v>46145</v>
      </c>
      <c r="B29228" t="s">
        <v>46146</v>
      </c>
      <c r="C29228" t="s">
        <v>1863</v>
      </c>
      <c r="D29228" t="s">
        <v>1023</v>
      </c>
      <c r="E29228" t="s">
        <v>219</v>
      </c>
      <c r="F29228" s="2" t="str">
        <f>HYPERLINK("http://www.otzar.org/book.asp?104216","סידור השל""ה &lt;שער השמים&gt;")</f>
        <v>סידור השל"ה &lt;שער השמים&gt;</v>
      </c>
    </row>
    <row r="29229" spans="1:6" x14ac:dyDescent="0.2">
      <c r="A29229" t="s">
        <v>46145</v>
      </c>
      <c r="B29229" t="s">
        <v>46147</v>
      </c>
      <c r="C29229" t="s">
        <v>11715</v>
      </c>
      <c r="D29229" t="s">
        <v>1023</v>
      </c>
      <c r="F29229" s="2" t="str">
        <f>HYPERLINK("http://www.otzar.org/book.asp?153072","סידור השל""ה &lt;שער השמים&gt;")</f>
        <v>סידור השל"ה &lt;שער השמים&gt;</v>
      </c>
    </row>
    <row r="29230" spans="1:6" x14ac:dyDescent="0.2">
      <c r="A29230" t="s">
        <v>46148</v>
      </c>
      <c r="B29230" t="s">
        <v>5182</v>
      </c>
      <c r="C29230" t="s">
        <v>129</v>
      </c>
      <c r="D29230" t="s">
        <v>5183</v>
      </c>
      <c r="E29230" t="s">
        <v>148</v>
      </c>
      <c r="F29230" s="2" t="str">
        <f>HYPERLINK("http://www.otzar.org/book.asp?51970","סידור השלחן (שו""ע - של""ז-של""ט)")</f>
        <v>סידור השלחן (שו"ע - של"ז-של"ט)</v>
      </c>
    </row>
    <row r="29231" spans="1:6" x14ac:dyDescent="0.2">
      <c r="A29231" t="s">
        <v>46149</v>
      </c>
      <c r="B29231" t="s">
        <v>107</v>
      </c>
      <c r="C29231" t="s">
        <v>454</v>
      </c>
      <c r="D29231" t="s">
        <v>14</v>
      </c>
      <c r="E29231" t="s">
        <v>219</v>
      </c>
      <c r="F29231" s="2" t="str">
        <f>HYPERLINK("http://www.otzar.org/book.asp?84032","סידור התפלה")</f>
        <v>סידור התפלה</v>
      </c>
    </row>
    <row r="29232" spans="1:6" x14ac:dyDescent="0.2">
      <c r="A29232" t="s">
        <v>46150</v>
      </c>
      <c r="B29232" t="s">
        <v>46150</v>
      </c>
      <c r="C29232" t="s">
        <v>775</v>
      </c>
      <c r="D29232" t="s">
        <v>21</v>
      </c>
      <c r="F29232" s="2" t="str">
        <f>HYPERLINK("http://www.otzar.org/book.asp?194566","סידור ווילנא")</f>
        <v>סידור ווילנא</v>
      </c>
    </row>
    <row r="29233" spans="1:6" x14ac:dyDescent="0.2">
      <c r="A29233" t="s">
        <v>46151</v>
      </c>
      <c r="B29233" t="s">
        <v>46152</v>
      </c>
      <c r="C29233" t="s">
        <v>244</v>
      </c>
      <c r="D29233" t="s">
        <v>46153</v>
      </c>
      <c r="E29233" t="s">
        <v>219</v>
      </c>
      <c r="F29233" s="2" t="str">
        <f>HYPERLINK("http://www.otzar.org/book.asp?603920","סידור ושננתם")</f>
        <v>סידור ושננתם</v>
      </c>
    </row>
    <row r="29234" spans="1:6" x14ac:dyDescent="0.2">
      <c r="A29234" t="s">
        <v>46154</v>
      </c>
      <c r="B29234" t="s">
        <v>5003</v>
      </c>
      <c r="C29234" t="s">
        <v>366</v>
      </c>
      <c r="D29234" t="s">
        <v>147</v>
      </c>
      <c r="E29234" t="s">
        <v>15</v>
      </c>
      <c r="F29234" s="2" t="str">
        <f>HYPERLINK("http://www.otzar.org/book.asp?606548","סידור זבח כהלכתו")</f>
        <v>סידור זבח כהלכתו</v>
      </c>
    </row>
    <row r="29235" spans="1:6" x14ac:dyDescent="0.2">
      <c r="A29235" t="s">
        <v>46155</v>
      </c>
      <c r="B29235" t="s">
        <v>46155</v>
      </c>
      <c r="C29235" t="s">
        <v>20</v>
      </c>
      <c r="D29235" t="s">
        <v>2285</v>
      </c>
      <c r="E29235" t="s">
        <v>219</v>
      </c>
      <c r="F29235" s="2" t="str">
        <f>HYPERLINK("http://www.otzar.org/book.asp?156724","סידור זכרון תפילה")</f>
        <v>סידור זכרון תפילה</v>
      </c>
    </row>
    <row r="29236" spans="1:6" x14ac:dyDescent="0.2">
      <c r="A29236" t="s">
        <v>46156</v>
      </c>
      <c r="B29236" t="s">
        <v>9611</v>
      </c>
      <c r="C29236" t="s">
        <v>160</v>
      </c>
      <c r="D29236" t="s">
        <v>592</v>
      </c>
      <c r="F29236" s="2" t="str">
        <f>HYPERLINK("http://www.otzar.org/book.asp?620595","סידור זמירות")</f>
        <v>סידור זמירות</v>
      </c>
    </row>
    <row r="29237" spans="1:6" x14ac:dyDescent="0.2">
      <c r="A29237" t="s">
        <v>46157</v>
      </c>
      <c r="B29237" t="s">
        <v>46158</v>
      </c>
      <c r="C29237" t="s">
        <v>20</v>
      </c>
      <c r="D29237" t="s">
        <v>90</v>
      </c>
      <c r="F29237" s="2" t="str">
        <f>HYPERLINK("http://www.otzar.org/book.asp?616291","סידור ח""ן - סדר ט""ו בשבט")</f>
        <v>סידור ח"ן - סדר ט"ו בשבט</v>
      </c>
    </row>
    <row r="29238" spans="1:6" x14ac:dyDescent="0.2">
      <c r="A29238" t="s">
        <v>46159</v>
      </c>
      <c r="B29238" t="s">
        <v>6876</v>
      </c>
      <c r="C29238" t="s">
        <v>2543</v>
      </c>
      <c r="D29238" t="s">
        <v>27</v>
      </c>
      <c r="E29238" t="s">
        <v>399</v>
      </c>
      <c r="F29238" s="2" t="str">
        <f>HYPERLINK("http://www.otzar.org/book.asp?170881","סידור חיים ושלום")</f>
        <v>סידור חיים ושלום</v>
      </c>
    </row>
    <row r="29239" spans="1:6" x14ac:dyDescent="0.2">
      <c r="A29239" t="s">
        <v>46160</v>
      </c>
      <c r="B29239" t="s">
        <v>46161</v>
      </c>
      <c r="C29239" t="s">
        <v>362</v>
      </c>
      <c r="D29239" t="s">
        <v>991</v>
      </c>
      <c r="E29239" t="s">
        <v>3755</v>
      </c>
      <c r="F29239" s="2" t="str">
        <f>HYPERLINK("http://www.otzar.org/book.asp?13092","סידור חמדת ישראל - כוונות האר""י")</f>
        <v>סידור חמדת ישראל - כוונות האר"י</v>
      </c>
    </row>
    <row r="29240" spans="1:6" x14ac:dyDescent="0.2">
      <c r="A29240" t="s">
        <v>46162</v>
      </c>
      <c r="B29240" t="s">
        <v>46163</v>
      </c>
      <c r="C29240" t="s">
        <v>360</v>
      </c>
      <c r="D29240" t="s">
        <v>582</v>
      </c>
      <c r="E29240" t="s">
        <v>219</v>
      </c>
      <c r="F29240" s="2" t="str">
        <f>HYPERLINK("http://www.otzar.org/book.asp?13274","סידור חנוך תפלה &lt;מסלול ודרך&gt;")</f>
        <v>סידור חנוך תפלה &lt;מסלול ודרך&gt;</v>
      </c>
    </row>
    <row r="29241" spans="1:6" x14ac:dyDescent="0.2">
      <c r="A29241" t="s">
        <v>46164</v>
      </c>
      <c r="B29241" t="s">
        <v>3299</v>
      </c>
      <c r="C29241" t="s">
        <v>63</v>
      </c>
      <c r="D29241" t="s">
        <v>412</v>
      </c>
      <c r="E29241" t="s">
        <v>24</v>
      </c>
      <c r="F29241" s="2" t="str">
        <f>HYPERLINK("http://www.otzar.org/book.asp?13294","סידור חתם סופר - 2 כר'")</f>
        <v>סידור חתם סופר - 2 כר'</v>
      </c>
    </row>
    <row r="29242" spans="1:6" x14ac:dyDescent="0.2">
      <c r="A29242" t="s">
        <v>46165</v>
      </c>
      <c r="B29242" t="s">
        <v>46166</v>
      </c>
      <c r="C29242" t="s">
        <v>8</v>
      </c>
      <c r="D29242" t="s">
        <v>27</v>
      </c>
      <c r="E29242" t="s">
        <v>219</v>
      </c>
      <c r="F29242" s="2" t="str">
        <f>HYPERLINK("http://www.otzar.org/book.asp?173185","סידור טהרת השם")</f>
        <v>סידור טהרת השם</v>
      </c>
    </row>
    <row r="29243" spans="1:6" x14ac:dyDescent="0.2">
      <c r="A29243" t="s">
        <v>46167</v>
      </c>
      <c r="B29243" t="s">
        <v>28906</v>
      </c>
      <c r="C29243" t="s">
        <v>20</v>
      </c>
      <c r="D29243" t="s">
        <v>90</v>
      </c>
      <c r="F29243" s="2" t="str">
        <f>HYPERLINK("http://www.otzar.org/book.asp?619773","סידור יחודים כמותך - 4 כר'")</f>
        <v>סידור יחודים כמותך - 4 כר'</v>
      </c>
    </row>
    <row r="29244" spans="1:6" x14ac:dyDescent="0.2">
      <c r="A29244" t="s">
        <v>46168</v>
      </c>
      <c r="B29244" t="s">
        <v>29624</v>
      </c>
      <c r="C29244" t="s">
        <v>422</v>
      </c>
      <c r="D29244" t="s">
        <v>52</v>
      </c>
      <c r="F29244" s="2" t="str">
        <f>HYPERLINK("http://www.otzar.org/book.asp?183187","סידור יסוד ושורש העבודה")</f>
        <v>סידור יסוד ושורש העבודה</v>
      </c>
    </row>
    <row r="29245" spans="1:6" x14ac:dyDescent="0.2">
      <c r="A29245" t="s">
        <v>46169</v>
      </c>
      <c r="B29245" t="s">
        <v>46170</v>
      </c>
      <c r="C29245" t="s">
        <v>433</v>
      </c>
      <c r="D29245" t="s">
        <v>90</v>
      </c>
      <c r="E29245" t="s">
        <v>219</v>
      </c>
      <c r="F29245" s="2" t="str">
        <f>HYPERLINK("http://www.otzar.org/book.asp?154478","סידור ישועות ישראל &lt;דברי חיים&gt;")</f>
        <v>סידור ישועות ישראל &lt;דברי חיים&gt;</v>
      </c>
    </row>
    <row r="29246" spans="1:6" x14ac:dyDescent="0.2">
      <c r="A29246" t="s">
        <v>46171</v>
      </c>
      <c r="B29246" t="s">
        <v>46172</v>
      </c>
      <c r="C29246" t="s">
        <v>129</v>
      </c>
      <c r="D29246" t="s">
        <v>139</v>
      </c>
      <c r="E29246" t="s">
        <v>3755</v>
      </c>
      <c r="F29246" s="2" t="str">
        <f>HYPERLINK("http://www.otzar.org/book.asp?60104","סידור כוונות בית אל - 3 כר'")</f>
        <v>סידור כוונות בית אל - 3 כר'</v>
      </c>
    </row>
    <row r="29247" spans="1:6" x14ac:dyDescent="0.2">
      <c r="A29247" t="s">
        <v>46173</v>
      </c>
      <c r="B29247" t="s">
        <v>46174</v>
      </c>
      <c r="C29247" t="s">
        <v>37</v>
      </c>
      <c r="D29247" t="s">
        <v>21</v>
      </c>
      <c r="F29247" s="2" t="str">
        <f>HYPERLINK("http://www.otzar.org/book.asp?199543","סידור כוונות היר""א &lt;שלחן הטהור&gt; - סדר ט""ו בשבט")</f>
        <v>סידור כוונות היר"א &lt;שלחן הטהור&gt; - סדר ט"ו בשבט</v>
      </c>
    </row>
    <row r="29248" spans="1:6" x14ac:dyDescent="0.2">
      <c r="A29248" t="s">
        <v>46175</v>
      </c>
      <c r="B29248" t="s">
        <v>13773</v>
      </c>
      <c r="C29248" t="s">
        <v>366</v>
      </c>
      <c r="D29248" t="s">
        <v>14</v>
      </c>
      <c r="F29248" s="2" t="str">
        <f>HYPERLINK("http://www.otzar.org/book.asp?608873","סידור כוונות היר""א - ישא ברכה")</f>
        <v>סידור כוונות היר"א - ישא ברכה</v>
      </c>
    </row>
    <row r="29249" spans="1:6" x14ac:dyDescent="0.2">
      <c r="A29249" t="s">
        <v>46176</v>
      </c>
      <c r="B29249" t="s">
        <v>2074</v>
      </c>
      <c r="C29249" t="s">
        <v>785</v>
      </c>
      <c r="D29249" t="s">
        <v>14</v>
      </c>
      <c r="E29249" t="s">
        <v>3755</v>
      </c>
      <c r="F29249" s="2" t="str">
        <f>HYPERLINK("http://www.otzar.org/book.asp?61434","סידור כוונות הרש""ש &lt;אהבת שלום&gt; - 9 כר'")</f>
        <v>סידור כוונות הרש"ש &lt;אהבת שלום&gt; - 9 כר'</v>
      </c>
    </row>
    <row r="29250" spans="1:6" x14ac:dyDescent="0.2">
      <c r="A29250" t="s">
        <v>46177</v>
      </c>
      <c r="B29250" t="s">
        <v>46178</v>
      </c>
      <c r="C29250" t="s">
        <v>454</v>
      </c>
      <c r="D29250" t="s">
        <v>14</v>
      </c>
      <c r="E29250" t="s">
        <v>399</v>
      </c>
      <c r="F29250" s="2" t="str">
        <f>HYPERLINK("http://www.otzar.org/book.asp?158583","סידור כוונות הרש""ש הירא - 4 כר'")</f>
        <v>סידור כוונות הרש"ש הירא - 4 כר'</v>
      </c>
    </row>
    <row r="29251" spans="1:6" x14ac:dyDescent="0.2">
      <c r="A29251" t="s">
        <v>46179</v>
      </c>
      <c r="B29251" t="s">
        <v>23047</v>
      </c>
      <c r="C29251" t="s">
        <v>940</v>
      </c>
      <c r="D29251" t="s">
        <v>14</v>
      </c>
      <c r="E29251" t="s">
        <v>399</v>
      </c>
      <c r="F29251" s="2" t="str">
        <f>HYPERLINK("http://www.otzar.org/book.asp?177117","סידור כוונות התפילה בקצרה")</f>
        <v>סידור כוונות התפילה בקצרה</v>
      </c>
    </row>
    <row r="29252" spans="1:6" x14ac:dyDescent="0.2">
      <c r="A29252" t="s">
        <v>46180</v>
      </c>
      <c r="B29252" t="s">
        <v>46181</v>
      </c>
      <c r="C29252" t="s">
        <v>176</v>
      </c>
      <c r="D29252" t="s">
        <v>21</v>
      </c>
      <c r="F29252" s="2" t="str">
        <f>HYPERLINK("http://www.otzar.org/book.asp?199547","סידור כוונות עץ התדהר - 2 כר'")</f>
        <v>סידור כוונות עץ התדהר - 2 כר'</v>
      </c>
    </row>
    <row r="29253" spans="1:6" x14ac:dyDescent="0.2">
      <c r="A29253" t="s">
        <v>46182</v>
      </c>
      <c r="B29253" t="s">
        <v>35106</v>
      </c>
      <c r="C29253" t="s">
        <v>114</v>
      </c>
      <c r="D29253" t="s">
        <v>115</v>
      </c>
      <c r="E29253" t="s">
        <v>246</v>
      </c>
      <c r="F29253" s="2" t="str">
        <f>HYPERLINK("http://www.otzar.org/book.asp?195152","סידור כוונת הלב - 12 כר'")</f>
        <v>סידור כוונת הלב - 12 כר'</v>
      </c>
    </row>
    <row r="29254" spans="1:6" x14ac:dyDescent="0.2">
      <c r="A29254" t="s">
        <v>46183</v>
      </c>
      <c r="B29254" t="s">
        <v>46184</v>
      </c>
      <c r="C29254" t="s">
        <v>523</v>
      </c>
      <c r="D29254" t="s">
        <v>14</v>
      </c>
      <c r="F29254" s="2" t="str">
        <f>HYPERLINK("http://www.otzar.org/book.asp?617367","סידור כוונת השם")</f>
        <v>סידור כוונת השם</v>
      </c>
    </row>
    <row r="29255" spans="1:6" x14ac:dyDescent="0.2">
      <c r="A29255" t="s">
        <v>46185</v>
      </c>
      <c r="B29255" t="s">
        <v>21525</v>
      </c>
      <c r="C29255" t="s">
        <v>68</v>
      </c>
      <c r="D29255" t="s">
        <v>52</v>
      </c>
      <c r="E29255" t="s">
        <v>219</v>
      </c>
      <c r="F29255" s="2" t="str">
        <f>HYPERLINK("http://www.otzar.org/book.asp?156422","סידור כונת הלב עם ביאור (אשכנז)")</f>
        <v>סידור כונת הלב עם ביאור (אשכנז)</v>
      </c>
    </row>
    <row r="29256" spans="1:6" x14ac:dyDescent="0.2">
      <c r="A29256" t="s">
        <v>46186</v>
      </c>
      <c r="B29256" t="s">
        <v>21525</v>
      </c>
      <c r="C29256" t="s">
        <v>68</v>
      </c>
      <c r="D29256" t="s">
        <v>52</v>
      </c>
      <c r="E29256" t="s">
        <v>219</v>
      </c>
      <c r="F29256" s="2" t="str">
        <f>HYPERLINK("http://www.otzar.org/book.asp?157171","סידור כונת הלב עם ביאור (ספרד)")</f>
        <v>סידור כונת הלב עם ביאור (ספרד)</v>
      </c>
    </row>
    <row r="29257" spans="1:6" x14ac:dyDescent="0.2">
      <c r="A29257" t="s">
        <v>46187</v>
      </c>
      <c r="B29257" t="s">
        <v>46089</v>
      </c>
      <c r="C29257" t="s">
        <v>775</v>
      </c>
      <c r="D29257" t="s">
        <v>14</v>
      </c>
      <c r="F29257" s="2" t="str">
        <f>HYPERLINK("http://www.otzar.org/book.asp?617547","סידור כונת הרש""ש בכתב אשורית עם שילוב הויה ואדנות - 3 כר'")</f>
        <v>סידור כונת הרש"ש בכתב אשורית עם שילוב הויה ואדנות - 3 כר'</v>
      </c>
    </row>
    <row r="29258" spans="1:6" x14ac:dyDescent="0.2">
      <c r="A29258" t="s">
        <v>46188</v>
      </c>
      <c r="B29258" t="s">
        <v>46189</v>
      </c>
      <c r="C29258" t="s">
        <v>9159</v>
      </c>
      <c r="D29258" t="s">
        <v>5758</v>
      </c>
      <c r="E29258" t="s">
        <v>219</v>
      </c>
      <c r="F29258" s="2" t="str">
        <f>HYPERLINK("http://www.otzar.org/book.asp?53492","סידור כמנהג אשכנז &lt;יוצרות&gt;")</f>
        <v>סידור כמנהג אשכנז &lt;יוצרות&gt;</v>
      </c>
    </row>
    <row r="29259" spans="1:6" x14ac:dyDescent="0.2">
      <c r="A29259" t="s">
        <v>46190</v>
      </c>
      <c r="B29259" t="s">
        <v>2740</v>
      </c>
      <c r="C29259" t="s">
        <v>30363</v>
      </c>
      <c r="D29259" t="s">
        <v>14</v>
      </c>
      <c r="E29259" t="s">
        <v>219</v>
      </c>
      <c r="F29259" s="2" t="str">
        <f>HYPERLINK("http://www.otzar.org/book.asp?148316","סידור כת""י - ערבית ליל שבת &lt;כתב יד&gt;")</f>
        <v>סידור כת"י - ערבית ליל שבת &lt;כתב יד&gt;</v>
      </c>
    </row>
    <row r="29260" spans="1:6" x14ac:dyDescent="0.2">
      <c r="A29260" t="s">
        <v>46191</v>
      </c>
      <c r="B29260" t="s">
        <v>36689</v>
      </c>
      <c r="C29260" t="s">
        <v>20</v>
      </c>
      <c r="D29260" t="s">
        <v>90</v>
      </c>
      <c r="F29260" s="2" t="str">
        <f>HYPERLINK("http://www.otzar.org/book.asp?619354","סידור לחופה")</f>
        <v>סידור לחופה</v>
      </c>
    </row>
    <row r="29261" spans="1:6" x14ac:dyDescent="0.2">
      <c r="A29261" t="s">
        <v>46192</v>
      </c>
      <c r="B29261" t="s">
        <v>32456</v>
      </c>
      <c r="C29261" t="s">
        <v>422</v>
      </c>
      <c r="D29261" t="s">
        <v>3406</v>
      </c>
      <c r="E29261" t="s">
        <v>1517</v>
      </c>
      <c r="F29261" s="2" t="str">
        <f>HYPERLINK("http://www.otzar.org/book.asp?165502","סידור ליום כיפור &lt;זכור לרפאל&gt; - מנהג לוב")</f>
        <v>סידור ליום כיפור &lt;זכור לרפאל&gt; - מנהג לוב</v>
      </c>
    </row>
    <row r="29262" spans="1:6" x14ac:dyDescent="0.2">
      <c r="A29262" t="s">
        <v>46193</v>
      </c>
      <c r="B29262" t="s">
        <v>46194</v>
      </c>
      <c r="C29262" t="s">
        <v>20</v>
      </c>
      <c r="D29262" t="s">
        <v>14</v>
      </c>
      <c r="E29262" t="s">
        <v>219</v>
      </c>
      <c r="F29262" s="2" t="str">
        <f>HYPERLINK("http://www.otzar.org/book.asp?60800","סידור לימות החול עם פירוש עת רצון - 2 כר'")</f>
        <v>סידור לימות החול עם פירוש עת רצון - 2 כר'</v>
      </c>
    </row>
    <row r="29263" spans="1:6" x14ac:dyDescent="0.2">
      <c r="A29263" t="s">
        <v>46195</v>
      </c>
      <c r="B29263" t="s">
        <v>46196</v>
      </c>
      <c r="C29263" t="s">
        <v>5156</v>
      </c>
      <c r="D29263" t="s">
        <v>1117</v>
      </c>
      <c r="E29263" t="s">
        <v>219</v>
      </c>
      <c r="F29263" s="2" t="str">
        <f>HYPERLINK("http://www.otzar.org/book.asp?104994","סידור לכל השנה כמנהג פולין")</f>
        <v>סידור לכל השנה כמנהג פולין</v>
      </c>
    </row>
    <row r="29264" spans="1:6" x14ac:dyDescent="0.2">
      <c r="A29264" t="s">
        <v>46197</v>
      </c>
      <c r="B29264" t="s">
        <v>32456</v>
      </c>
      <c r="C29264" t="s">
        <v>114</v>
      </c>
      <c r="D29264" t="s">
        <v>3406</v>
      </c>
      <c r="E29264" t="s">
        <v>1517</v>
      </c>
      <c r="F29264" s="2" t="str">
        <f>HYPERLINK("http://www.otzar.org/book.asp?165503","סידור לפסח &lt;זכור לרפאל&gt; - מנהג לוב")</f>
        <v>סידור לפסח &lt;זכור לרפאל&gt; - מנהג לוב</v>
      </c>
    </row>
    <row r="29265" spans="1:6" x14ac:dyDescent="0.2">
      <c r="A29265" t="s">
        <v>46198</v>
      </c>
      <c r="B29265" t="s">
        <v>32456</v>
      </c>
      <c r="C29265" t="s">
        <v>422</v>
      </c>
      <c r="D29265" t="s">
        <v>3406</v>
      </c>
      <c r="E29265" t="s">
        <v>1517</v>
      </c>
      <c r="F29265" s="2" t="str">
        <f>HYPERLINK("http://www.otzar.org/book.asp?165504","סידור לראש השנה &lt;זכור לרפאל&gt; - מנהג לוב")</f>
        <v>סידור לראש השנה &lt;זכור לרפאל&gt; - מנהג לוב</v>
      </c>
    </row>
    <row r="29266" spans="1:6" x14ac:dyDescent="0.2">
      <c r="A29266" t="s">
        <v>46199</v>
      </c>
      <c r="B29266" t="s">
        <v>46200</v>
      </c>
      <c r="C29266" t="s">
        <v>466</v>
      </c>
      <c r="D29266" t="s">
        <v>14</v>
      </c>
      <c r="E29266" t="s">
        <v>219</v>
      </c>
      <c r="F29266" s="2" t="str">
        <f>HYPERLINK("http://www.otzar.org/book.asp?154492","סידור מאורי הגר""א")</f>
        <v>סידור מאורי הגר"א</v>
      </c>
    </row>
    <row r="29267" spans="1:6" x14ac:dyDescent="0.2">
      <c r="A29267" t="s">
        <v>46201</v>
      </c>
      <c r="B29267" t="s">
        <v>12038</v>
      </c>
      <c r="C29267" t="s">
        <v>11715</v>
      </c>
      <c r="D29267" t="s">
        <v>49</v>
      </c>
      <c r="E29267" t="s">
        <v>219</v>
      </c>
      <c r="F29267" s="2" t="str">
        <f>HYPERLINK("http://www.otzar.org/book.asp?53478","סידור מברכה")</f>
        <v>סידור מברכה</v>
      </c>
    </row>
    <row r="29268" spans="1:6" x14ac:dyDescent="0.2">
      <c r="A29268" t="s">
        <v>46202</v>
      </c>
      <c r="B29268" t="s">
        <v>20866</v>
      </c>
      <c r="C29268" t="s">
        <v>46203</v>
      </c>
      <c r="E29268" t="s">
        <v>219</v>
      </c>
      <c r="F29268" s="2" t="str">
        <f>HYPERLINK("http://www.otzar.org/book.asp?104996","סידור מה""ר שבתי סופר מפרעמישלע &lt;כת""י ב""ד לונדון&gt;")</f>
        <v>סידור מה"ר שבתי סופר מפרעמישלע &lt;כת"י ב"ד לונדון&gt;</v>
      </c>
    </row>
    <row r="29269" spans="1:6" x14ac:dyDescent="0.2">
      <c r="A29269" t="s">
        <v>46204</v>
      </c>
      <c r="B29269" t="s">
        <v>45287</v>
      </c>
      <c r="C29269" t="s">
        <v>36768</v>
      </c>
      <c r="D29269" t="s">
        <v>95</v>
      </c>
      <c r="E29269" t="s">
        <v>219</v>
      </c>
      <c r="F29269" s="2" t="str">
        <f>HYPERLINK("http://www.otzar.org/book.asp?150858","סידור מנהג בני רומי")</f>
        <v>סידור מנהג בני רומי</v>
      </c>
    </row>
    <row r="29270" spans="1:6" x14ac:dyDescent="0.2">
      <c r="A29270" t="s">
        <v>46205</v>
      </c>
      <c r="B29270" t="s">
        <v>46206</v>
      </c>
      <c r="C29270" t="s">
        <v>854</v>
      </c>
      <c r="D29270" t="s">
        <v>582</v>
      </c>
      <c r="E29270" t="s">
        <v>219</v>
      </c>
      <c r="F29270" s="2" t="str">
        <f>HYPERLINK("http://www.otzar.org/book.asp?623347","סידור מנחת יהודה")</f>
        <v>סידור מנחת יהודה</v>
      </c>
    </row>
    <row r="29271" spans="1:6" x14ac:dyDescent="0.2">
      <c r="A29271" t="s">
        <v>46207</v>
      </c>
      <c r="B29271" t="s">
        <v>46208</v>
      </c>
      <c r="C29271" t="s">
        <v>129</v>
      </c>
      <c r="D29271" t="s">
        <v>14</v>
      </c>
      <c r="E29271" t="s">
        <v>219</v>
      </c>
      <c r="F29271" s="2" t="str">
        <f>HYPERLINK("http://www.otzar.org/book.asp?143673","סידור נחלת אבות השלם כמנהג כל קהילות מרוקו")</f>
        <v>סידור נחלת אבות השלם כמנהג כל קהילות מרוקו</v>
      </c>
    </row>
    <row r="29272" spans="1:6" x14ac:dyDescent="0.2">
      <c r="A29272" t="s">
        <v>46209</v>
      </c>
      <c r="B29272" t="s">
        <v>46209</v>
      </c>
      <c r="C29272" t="s">
        <v>360</v>
      </c>
      <c r="D29272" t="s">
        <v>582</v>
      </c>
      <c r="E29272" t="s">
        <v>219</v>
      </c>
      <c r="F29272" s="2" t="str">
        <f>HYPERLINK("http://www.otzar.org/book.asp?188719","סידור סדר העבודה")</f>
        <v>סידור סדר העבודה</v>
      </c>
    </row>
    <row r="29273" spans="1:6" x14ac:dyDescent="0.2">
      <c r="A29273" t="s">
        <v>46210</v>
      </c>
      <c r="B29273" t="s">
        <v>15508</v>
      </c>
      <c r="C29273" t="s">
        <v>1169</v>
      </c>
      <c r="D29273" t="s">
        <v>14</v>
      </c>
      <c r="E29273" t="s">
        <v>1626</v>
      </c>
      <c r="F29273" s="2" t="str">
        <f>HYPERLINK("http://www.otzar.org/book.asp?10230","סידור עבודת תמיד")</f>
        <v>סידור עבודת תמיד</v>
      </c>
    </row>
    <row r="29274" spans="1:6" x14ac:dyDescent="0.2">
      <c r="A29274" t="s">
        <v>46211</v>
      </c>
      <c r="B29274" t="s">
        <v>46212</v>
      </c>
      <c r="C29274" t="s">
        <v>422</v>
      </c>
      <c r="D29274" t="s">
        <v>52</v>
      </c>
      <c r="E29274" t="s">
        <v>219</v>
      </c>
      <c r="F29274" s="2" t="str">
        <f>HYPERLINK("http://www.otzar.org/book.asp?156906","סידור עטרת ירושלים - 2 כר'")</f>
        <v>סידור עטרת ירושלים - 2 כר'</v>
      </c>
    </row>
    <row r="29275" spans="1:6" x14ac:dyDescent="0.2">
      <c r="A29275" t="s">
        <v>46213</v>
      </c>
      <c r="B29275" t="s">
        <v>12106</v>
      </c>
      <c r="C29275" t="s">
        <v>244</v>
      </c>
      <c r="D29275" t="s">
        <v>14</v>
      </c>
      <c r="F29275" s="2" t="str">
        <f>HYPERLINK("http://www.otzar.org/book.asp?616104","סידור עטרת פז השלם")</f>
        <v>סידור עטרת פז השלם</v>
      </c>
    </row>
    <row r="29276" spans="1:6" x14ac:dyDescent="0.2">
      <c r="A29276" t="s">
        <v>46214</v>
      </c>
      <c r="B29276" t="s">
        <v>1091</v>
      </c>
      <c r="C29276" t="s">
        <v>13</v>
      </c>
      <c r="D29276" t="s">
        <v>14</v>
      </c>
      <c r="E29276" t="s">
        <v>219</v>
      </c>
      <c r="F29276" s="2" t="str">
        <f>HYPERLINK("http://www.otzar.org/book.asp?162802","סידור עיון תפלה")</f>
        <v>סידור עיון תפלה</v>
      </c>
    </row>
    <row r="29277" spans="1:6" x14ac:dyDescent="0.2">
      <c r="A29277" t="s">
        <v>46215</v>
      </c>
      <c r="B29277" t="s">
        <v>46216</v>
      </c>
      <c r="C29277" t="s">
        <v>133</v>
      </c>
      <c r="D29277" t="s">
        <v>14</v>
      </c>
      <c r="E29277" t="s">
        <v>219</v>
      </c>
      <c r="F29277" s="2" t="str">
        <f>HYPERLINK("http://www.otzar.org/book.asp?173284","סידור עליות אליהו")</f>
        <v>סידור עליות אליהו</v>
      </c>
    </row>
    <row r="29278" spans="1:6" x14ac:dyDescent="0.2">
      <c r="A29278" t="s">
        <v>46217</v>
      </c>
      <c r="B29278" t="s">
        <v>35427</v>
      </c>
      <c r="C29278" t="s">
        <v>1177</v>
      </c>
      <c r="D29278" t="s">
        <v>56</v>
      </c>
      <c r="E29278" t="s">
        <v>219</v>
      </c>
      <c r="F29278" s="2" t="str">
        <f>HYPERLINK("http://www.otzar.org/book.asp?162369","סידור עם פירוש באר חיים")</f>
        <v>סידור עם פירוש באר חיים</v>
      </c>
    </row>
    <row r="29279" spans="1:6" x14ac:dyDescent="0.2">
      <c r="A29279" t="s">
        <v>46218</v>
      </c>
      <c r="B29279" t="s">
        <v>39607</v>
      </c>
      <c r="C29279" t="s">
        <v>411</v>
      </c>
      <c r="D29279" t="s">
        <v>14</v>
      </c>
      <c r="E29279" t="s">
        <v>3755</v>
      </c>
      <c r="F29279" s="2" t="str">
        <f>HYPERLINK("http://www.otzar.org/book.asp?173881","סידור עם פירוש הזהר השלם - 2 כר'")</f>
        <v>סידור עם פירוש הזהר השלם - 2 כר'</v>
      </c>
    </row>
    <row r="29280" spans="1:6" x14ac:dyDescent="0.2">
      <c r="A29280" t="s">
        <v>46219</v>
      </c>
      <c r="B29280" t="s">
        <v>39607</v>
      </c>
      <c r="E29280" t="s">
        <v>3755</v>
      </c>
      <c r="F29280" s="2" t="str">
        <f>HYPERLINK("http://www.otzar.org/book.asp?168160","סידור עם פירוש הזהר")</f>
        <v>סידור עם פירוש הזהר</v>
      </c>
    </row>
    <row r="29281" spans="1:6" x14ac:dyDescent="0.2">
      <c r="A29281" t="s">
        <v>46220</v>
      </c>
      <c r="B29281" t="s">
        <v>1417</v>
      </c>
      <c r="C29281" t="s">
        <v>46221</v>
      </c>
      <c r="D29281" t="s">
        <v>42</v>
      </c>
      <c r="E29281" t="s">
        <v>219</v>
      </c>
      <c r="F29281" s="2" t="str">
        <f>HYPERLINK("http://www.otzar.org/book.asp?13472","סידור עמודי ושערי שמים &lt;סידור יעב""ץ&gt; - 2 כר'")</f>
        <v>סידור עמודי ושערי שמים &lt;סידור יעב"ץ&gt; - 2 כר'</v>
      </c>
    </row>
    <row r="29282" spans="1:6" x14ac:dyDescent="0.2">
      <c r="A29282" t="s">
        <v>46222</v>
      </c>
      <c r="B29282" t="s">
        <v>1417</v>
      </c>
      <c r="C29282" t="s">
        <v>366</v>
      </c>
      <c r="D29282" t="s">
        <v>14</v>
      </c>
      <c r="F29282" s="2" t="str">
        <f>HYPERLINK("http://www.otzar.org/book.asp?623014","סידור עמודי שמים &lt;סידור יעב""ץ&gt; - מהדורת כוכב מיעקב")</f>
        <v>סידור עמודי שמים &lt;סידור יעב"ץ&gt; - מהדורת כוכב מיעקב</v>
      </c>
    </row>
    <row r="29283" spans="1:6" x14ac:dyDescent="0.2">
      <c r="A29283" t="s">
        <v>46223</v>
      </c>
      <c r="B29283" t="s">
        <v>290</v>
      </c>
      <c r="C29283" t="s">
        <v>20</v>
      </c>
      <c r="D29283" t="s">
        <v>52</v>
      </c>
      <c r="E29283" t="s">
        <v>219</v>
      </c>
      <c r="F29283" s="2" t="str">
        <f>HYPERLINK("http://www.otzar.org/book.asp?606621","סידור ערוגת הבושם - סדר ליל שבת, תפילות וזמירות")</f>
        <v>סידור ערוגת הבושם - סדר ליל שבת, תפילות וזמירות</v>
      </c>
    </row>
    <row r="29284" spans="1:6" x14ac:dyDescent="0.2">
      <c r="A29284" t="s">
        <v>46224</v>
      </c>
      <c r="B29284" t="s">
        <v>36668</v>
      </c>
      <c r="C29284" t="s">
        <v>103</v>
      </c>
      <c r="D29284" t="s">
        <v>90</v>
      </c>
      <c r="E29284" t="s">
        <v>1626</v>
      </c>
      <c r="F29284" s="2" t="str">
        <f>HYPERLINK("http://www.otzar.org/book.asp?64323","סידור פאר התפילה  &lt;תכלאל מנהג ביד'א&gt;")</f>
        <v>סידור פאר התפילה  &lt;תכלאל מנהג ביד'א&gt;</v>
      </c>
    </row>
    <row r="29285" spans="1:6" x14ac:dyDescent="0.2">
      <c r="A29285" t="s">
        <v>46225</v>
      </c>
      <c r="B29285" t="s">
        <v>19710</v>
      </c>
      <c r="C29285" t="s">
        <v>189</v>
      </c>
      <c r="D29285" t="s">
        <v>147</v>
      </c>
      <c r="E29285" t="s">
        <v>130</v>
      </c>
      <c r="F29285" s="2" t="str">
        <f>HYPERLINK("http://www.otzar.org/book.asp?142869","סידור פסח כהלכתו - 2 כר'")</f>
        <v>סידור פסח כהלכתו - 2 כר'</v>
      </c>
    </row>
    <row r="29286" spans="1:6" x14ac:dyDescent="0.2">
      <c r="A29286" t="s">
        <v>46226</v>
      </c>
      <c r="B29286" t="s">
        <v>46227</v>
      </c>
      <c r="C29286" t="s">
        <v>133</v>
      </c>
      <c r="D29286" t="s">
        <v>486</v>
      </c>
      <c r="F29286" s="2" t="str">
        <f>HYPERLINK("http://www.otzar.org/book.asp?612527","סידור צלותא דאבא")</f>
        <v>סידור צלותא דאבא</v>
      </c>
    </row>
    <row r="29287" spans="1:6" x14ac:dyDescent="0.2">
      <c r="A29287" t="s">
        <v>46228</v>
      </c>
      <c r="B29287" t="s">
        <v>7557</v>
      </c>
      <c r="C29287" t="s">
        <v>411</v>
      </c>
      <c r="D29287" t="s">
        <v>14</v>
      </c>
      <c r="E29287" t="s">
        <v>219</v>
      </c>
      <c r="F29287" s="2" t="str">
        <f>HYPERLINK("http://www.otzar.org/book.asp?630792","סידור צלותא דאהרן &lt;בית אהרן&gt; - 2 כר'")</f>
        <v>סידור צלותא דאהרן &lt;בית אהרן&gt; - 2 כר'</v>
      </c>
    </row>
    <row r="29288" spans="1:6" x14ac:dyDescent="0.2">
      <c r="A29288" t="s">
        <v>46229</v>
      </c>
      <c r="B29288" t="s">
        <v>46230</v>
      </c>
      <c r="C29288" t="s">
        <v>422</v>
      </c>
      <c r="D29288" t="s">
        <v>17847</v>
      </c>
      <c r="E29288" t="s">
        <v>219</v>
      </c>
      <c r="F29288" s="2" t="str">
        <f>HYPERLINK("http://www.otzar.org/book.asp?159637","סידור צלותא דאהרן")</f>
        <v>סידור צלותא דאהרן</v>
      </c>
    </row>
    <row r="29289" spans="1:6" x14ac:dyDescent="0.2">
      <c r="A29289" t="s">
        <v>46231</v>
      </c>
      <c r="B29289" t="s">
        <v>46232</v>
      </c>
      <c r="C29289" t="s">
        <v>37</v>
      </c>
      <c r="D29289" t="s">
        <v>32448</v>
      </c>
      <c r="E29289" t="s">
        <v>219</v>
      </c>
      <c r="F29289" s="2" t="str">
        <f>HYPERLINK("http://www.otzar.org/book.asp?188990","סידור קמחא דאבישונא &lt;מהדורת אוצרנו&gt;")</f>
        <v>סידור קמחא דאבישונא &lt;מהדורת אוצרנו&gt;</v>
      </c>
    </row>
    <row r="29290" spans="1:6" x14ac:dyDescent="0.2">
      <c r="A29290" t="s">
        <v>46233</v>
      </c>
      <c r="B29290" t="s">
        <v>46216</v>
      </c>
      <c r="C29290" t="s">
        <v>51</v>
      </c>
      <c r="D29290" t="s">
        <v>14</v>
      </c>
      <c r="E29290" t="s">
        <v>219</v>
      </c>
      <c r="F29290" s="2" t="str">
        <f>HYPERLINK("http://www.otzar.org/book.asp?606241","סידור קרני הוד")</f>
        <v>סידור קרני הוד</v>
      </c>
    </row>
    <row r="29291" spans="1:6" x14ac:dyDescent="0.2">
      <c r="A29291" t="s">
        <v>46234</v>
      </c>
      <c r="B29291" t="s">
        <v>46235</v>
      </c>
      <c r="C29291" t="s">
        <v>1725</v>
      </c>
      <c r="D29291" t="s">
        <v>1726</v>
      </c>
      <c r="E29291" t="s">
        <v>3755</v>
      </c>
      <c r="F29291" s="2" t="str">
        <f>HYPERLINK("http://www.otzar.org/book.asp?13284","סידור ר' הירץ ש""ץ &lt;מלאה הארץ דעה&gt;")</f>
        <v>סידור ר' הירץ ש"ץ &lt;מלאה הארץ דעה&gt;</v>
      </c>
    </row>
    <row r="29292" spans="1:6" x14ac:dyDescent="0.2">
      <c r="A29292" t="s">
        <v>46236</v>
      </c>
      <c r="B29292" t="s">
        <v>46237</v>
      </c>
      <c r="C29292" t="s">
        <v>698</v>
      </c>
      <c r="D29292" t="s">
        <v>27</v>
      </c>
      <c r="E29292" t="s">
        <v>219</v>
      </c>
      <c r="F29292" s="2" t="str">
        <f>HYPERLINK("http://www.otzar.org/book.asp?8149","סידור רב סעדיה גאון")</f>
        <v>סידור רב סעדיה גאון</v>
      </c>
    </row>
    <row r="29293" spans="1:6" x14ac:dyDescent="0.2">
      <c r="A29293" t="s">
        <v>46238</v>
      </c>
      <c r="B29293" t="s">
        <v>46239</v>
      </c>
      <c r="C29293" t="s">
        <v>609</v>
      </c>
      <c r="D29293" t="s">
        <v>646</v>
      </c>
      <c r="E29293" t="s">
        <v>219</v>
      </c>
      <c r="F29293" s="2" t="str">
        <f>HYPERLINK("http://www.otzar.org/book.asp?615950","סידור רביד הזהב")</f>
        <v>סידור רביד הזהב</v>
      </c>
    </row>
    <row r="29294" spans="1:6" x14ac:dyDescent="0.2">
      <c r="A29294" t="s">
        <v>46240</v>
      </c>
      <c r="B29294" t="s">
        <v>46241</v>
      </c>
      <c r="C29294" t="s">
        <v>176</v>
      </c>
      <c r="D29294" t="s">
        <v>14</v>
      </c>
      <c r="E29294" t="s">
        <v>30704</v>
      </c>
      <c r="F29294" s="2" t="str">
        <f>HYPERLINK("http://www.otzar.org/book.asp?12990","סידור רבינו שלמה ברבי נתן")</f>
        <v>סידור רבינו שלמה ברבי נתן</v>
      </c>
    </row>
    <row r="29295" spans="1:6" x14ac:dyDescent="0.2">
      <c r="A29295" t="s">
        <v>46242</v>
      </c>
      <c r="B29295" t="s">
        <v>46243</v>
      </c>
      <c r="C29295" t="s">
        <v>1619</v>
      </c>
      <c r="D29295" t="s">
        <v>14</v>
      </c>
      <c r="E29295" t="s">
        <v>24</v>
      </c>
      <c r="F29295" s="2" t="str">
        <f>HYPERLINK("http://www.otzar.org/book.asp?12997","סידור רבנו שלמה, סידור חסידי אשכנז")</f>
        <v>סידור רבנו שלמה, סידור חסידי אשכנז</v>
      </c>
    </row>
    <row r="29296" spans="1:6" x14ac:dyDescent="0.2">
      <c r="A29296" t="s">
        <v>46244</v>
      </c>
      <c r="B29296" t="s">
        <v>46245</v>
      </c>
      <c r="C29296" t="s">
        <v>366</v>
      </c>
      <c r="D29296" t="s">
        <v>14</v>
      </c>
      <c r="E29296" t="s">
        <v>219</v>
      </c>
      <c r="F29296" s="2" t="str">
        <f>HYPERLINK("http://www.otzar.org/book.asp?612126","סידור רינת ישראל &lt;מהדורה חדשה&gt; - ספרד")</f>
        <v>סידור רינת ישראל &lt;מהדורה חדשה&gt; - ספרד</v>
      </c>
    </row>
    <row r="29297" spans="1:6" x14ac:dyDescent="0.2">
      <c r="A29297" t="s">
        <v>46246</v>
      </c>
      <c r="B29297" t="s">
        <v>46247</v>
      </c>
      <c r="C29297" t="s">
        <v>37</v>
      </c>
      <c r="D29297" t="s">
        <v>14</v>
      </c>
      <c r="F29297" s="2" t="str">
        <f>HYPERLINK("http://www.otzar.org/book.asp?612524","סידור רינת ישראל - 2 כר'")</f>
        <v>סידור רינת ישראל - 2 כר'</v>
      </c>
    </row>
    <row r="29298" spans="1:6" x14ac:dyDescent="0.2">
      <c r="A29298" t="s">
        <v>46248</v>
      </c>
      <c r="B29298" t="s">
        <v>5332</v>
      </c>
      <c r="C29298" t="s">
        <v>9920</v>
      </c>
      <c r="D29298" t="s">
        <v>280</v>
      </c>
      <c r="E29298" t="s">
        <v>24</v>
      </c>
      <c r="F29298" s="2" t="str">
        <f>HYPERLINK("http://www.otzar.org/book.asp?101535","סידור רש""י")</f>
        <v>סידור רש"י</v>
      </c>
    </row>
    <row r="29299" spans="1:6" x14ac:dyDescent="0.2">
      <c r="A29299" t="s">
        <v>46249</v>
      </c>
      <c r="B29299" t="s">
        <v>38174</v>
      </c>
      <c r="C29299" t="s">
        <v>1706</v>
      </c>
      <c r="D29299" t="s">
        <v>1459</v>
      </c>
      <c r="E29299" t="s">
        <v>1517</v>
      </c>
      <c r="F29299" s="2" t="str">
        <f>HYPERLINK("http://www.otzar.org/book.asp?102066","סידור רשב""ן")</f>
        <v>סידור רשב"ן</v>
      </c>
    </row>
    <row r="29300" spans="1:6" x14ac:dyDescent="0.2">
      <c r="A29300" t="s">
        <v>46250</v>
      </c>
      <c r="B29300" t="s">
        <v>21100</v>
      </c>
      <c r="C29300" t="s">
        <v>411</v>
      </c>
      <c r="D29300" t="s">
        <v>52</v>
      </c>
      <c r="E29300" t="s">
        <v>219</v>
      </c>
      <c r="F29300" s="2" t="str">
        <f>HYPERLINK("http://www.otzar.org/book.asp?172995","סידור שיח תפילה - 2 כר'")</f>
        <v>סידור שיח תפילה - 2 כר'</v>
      </c>
    </row>
    <row r="29301" spans="1:6" x14ac:dyDescent="0.2">
      <c r="A29301" t="s">
        <v>46251</v>
      </c>
      <c r="B29301" t="s">
        <v>36655</v>
      </c>
      <c r="C29301" t="s">
        <v>37</v>
      </c>
      <c r="D29301" t="s">
        <v>52</v>
      </c>
      <c r="E29301" t="s">
        <v>219</v>
      </c>
      <c r="F29301" s="2" t="str">
        <f>HYPERLINK("http://www.otzar.org/book.asp?196528","סידור שים שלום &lt;נוסח עדן&gt; - ימות החול, שבת ור""ח")</f>
        <v>סידור שים שלום &lt;נוסח עדן&gt; - ימות החול, שבת ור"ח</v>
      </c>
    </row>
    <row r="29302" spans="1:6" x14ac:dyDescent="0.2">
      <c r="A29302" t="s">
        <v>46252</v>
      </c>
      <c r="B29302" t="s">
        <v>46253</v>
      </c>
      <c r="C29302" t="s">
        <v>775</v>
      </c>
      <c r="D29302" t="s">
        <v>52</v>
      </c>
      <c r="E29302" t="s">
        <v>219</v>
      </c>
      <c r="F29302" s="2" t="str">
        <f>HYPERLINK("http://www.otzar.org/book.asp?83688","סידור שמע ישראל קול מנחם")</f>
        <v>סידור שמע ישראל קול מנחם</v>
      </c>
    </row>
    <row r="29303" spans="1:6" x14ac:dyDescent="0.2">
      <c r="A29303" t="s">
        <v>46254</v>
      </c>
      <c r="B29303" t="s">
        <v>18268</v>
      </c>
      <c r="C29303" t="s">
        <v>244</v>
      </c>
      <c r="D29303" t="s">
        <v>52</v>
      </c>
      <c r="F29303" s="2" t="str">
        <f>HYPERLINK("http://www.otzar.org/book.asp?198276","סידור שער בנימין - 4 כר'")</f>
        <v>סידור שער בנימין - 4 כר'</v>
      </c>
    </row>
    <row r="29304" spans="1:6" x14ac:dyDescent="0.2">
      <c r="A29304" t="s">
        <v>46255</v>
      </c>
      <c r="B29304" t="s">
        <v>46256</v>
      </c>
      <c r="C29304" t="s">
        <v>1619</v>
      </c>
      <c r="D29304" t="s">
        <v>412</v>
      </c>
      <c r="E29304" t="s">
        <v>219</v>
      </c>
      <c r="F29304" s="2" t="str">
        <f>HYPERLINK("http://www.otzar.org/book.asp?608169","סידור שער יששכר &lt;מונקאטש&gt;")</f>
        <v>סידור שער יששכר &lt;מונקאטש&gt;</v>
      </c>
    </row>
    <row r="29305" spans="1:6" x14ac:dyDescent="0.2">
      <c r="A29305" t="s">
        <v>46257</v>
      </c>
      <c r="B29305" t="s">
        <v>1204</v>
      </c>
      <c r="C29305" t="s">
        <v>366</v>
      </c>
      <c r="D29305" t="s">
        <v>3750</v>
      </c>
      <c r="F29305" s="2" t="str">
        <f>HYPERLINK("http://www.otzar.org/book.asp?609054","סידור שערי יחזקאל")</f>
        <v>סידור שערי יחזקאל</v>
      </c>
    </row>
    <row r="29306" spans="1:6" x14ac:dyDescent="0.2">
      <c r="A29306" t="s">
        <v>46258</v>
      </c>
      <c r="B29306" t="s">
        <v>46259</v>
      </c>
      <c r="C29306" t="s">
        <v>20</v>
      </c>
      <c r="D29306" t="s">
        <v>14</v>
      </c>
      <c r="E29306" t="s">
        <v>219</v>
      </c>
      <c r="F29306" s="2" t="str">
        <f>HYPERLINK("http://www.otzar.org/book.asp?60190","סידור תהילת יצחק")</f>
        <v>סידור תהילת יצחק</v>
      </c>
    </row>
    <row r="29307" spans="1:6" x14ac:dyDescent="0.2">
      <c r="A29307" t="s">
        <v>46260</v>
      </c>
      <c r="B29307" t="s">
        <v>1536</v>
      </c>
      <c r="C29307" t="s">
        <v>68</v>
      </c>
      <c r="D29307" t="s">
        <v>412</v>
      </c>
      <c r="E29307" t="s">
        <v>393</v>
      </c>
      <c r="F29307" s="2" t="str">
        <f>HYPERLINK("http://www.otzar.org/book.asp?162901","סידור תהלת ה' עם תרגום צרפתי")</f>
        <v>סידור תהלת ה' עם תרגום צרפתי</v>
      </c>
    </row>
    <row r="29308" spans="1:6" x14ac:dyDescent="0.2">
      <c r="A29308" t="s">
        <v>46261</v>
      </c>
      <c r="B29308" t="s">
        <v>29969</v>
      </c>
      <c r="C29308" t="s">
        <v>37</v>
      </c>
      <c r="D29308" t="s">
        <v>14</v>
      </c>
      <c r="F29308" s="2" t="str">
        <f>HYPERLINK("http://www.otzar.org/book.asp?617527","סידור תורת חכם - 2 כר'")</f>
        <v>סידור תורת חכם - 2 כר'</v>
      </c>
    </row>
    <row r="29309" spans="1:6" x14ac:dyDescent="0.2">
      <c r="A29309" t="s">
        <v>46262</v>
      </c>
      <c r="B29309" t="s">
        <v>9627</v>
      </c>
      <c r="C29309" t="s">
        <v>26</v>
      </c>
      <c r="D29309" t="s">
        <v>9628</v>
      </c>
      <c r="F29309" s="2" t="str">
        <f>HYPERLINK("http://www.otzar.org/book.asp?197291","סידור תיקון אשר")</f>
        <v>סידור תיקון אשר</v>
      </c>
    </row>
    <row r="29310" spans="1:6" x14ac:dyDescent="0.2">
      <c r="A29310" t="s">
        <v>46263</v>
      </c>
      <c r="B29310" t="s">
        <v>46264</v>
      </c>
      <c r="C29310" t="s">
        <v>35278</v>
      </c>
      <c r="D29310" t="s">
        <v>4539</v>
      </c>
      <c r="E29310" t="s">
        <v>219</v>
      </c>
      <c r="F29310" s="2" t="str">
        <f>HYPERLINK("http://www.otzar.org/book.asp?167050","סידור תפילה &lt;פראג רע""ג&gt;")</f>
        <v>סידור תפילה &lt;פראג רע"ג&gt;</v>
      </c>
    </row>
    <row r="29311" spans="1:6" x14ac:dyDescent="0.2">
      <c r="A29311" t="s">
        <v>46265</v>
      </c>
      <c r="B29311" t="s">
        <v>46266</v>
      </c>
      <c r="C29311" t="s">
        <v>11172</v>
      </c>
      <c r="D29311" t="s">
        <v>280</v>
      </c>
      <c r="F29311" s="2" t="str">
        <f>HYPERLINK("http://www.otzar.org/book.asp?53773","סידור תפילה דרך שיח השדה")</f>
        <v>סידור תפילה דרך שיח השדה</v>
      </c>
    </row>
    <row r="29312" spans="1:6" x14ac:dyDescent="0.2">
      <c r="A29312" t="s">
        <v>46267</v>
      </c>
      <c r="B29312" t="s">
        <v>12366</v>
      </c>
      <c r="C29312" t="s">
        <v>20</v>
      </c>
      <c r="D29312" t="s">
        <v>52</v>
      </c>
      <c r="E29312" t="s">
        <v>219</v>
      </c>
      <c r="F29312" s="2" t="str">
        <f>HYPERLINK("http://www.otzar.org/book.asp?172934","סידור תפילה למשה &lt;ביאורי הגר""ח קנייבסקי&gt; - 2 כר'")</f>
        <v>סידור תפילה למשה &lt;ביאורי הגר"ח קנייבסקי&gt; - 2 כר'</v>
      </c>
    </row>
    <row r="29313" spans="1:6" x14ac:dyDescent="0.2">
      <c r="A29313" t="s">
        <v>46268</v>
      </c>
      <c r="B29313" t="s">
        <v>18194</v>
      </c>
      <c r="C29313" t="s">
        <v>438</v>
      </c>
      <c r="D29313" t="s">
        <v>14</v>
      </c>
      <c r="E29313" t="s">
        <v>1626</v>
      </c>
      <c r="F29313" s="2" t="str">
        <f>HYPERLINK("http://www.otzar.org/book.asp?143920","סידור תפילה עם סיפורים חסידיים")</f>
        <v>סידור תפילה עם סיפורים חסידיים</v>
      </c>
    </row>
    <row r="29314" spans="1:6" x14ac:dyDescent="0.2">
      <c r="A29314" t="s">
        <v>46269</v>
      </c>
      <c r="B29314" t="s">
        <v>2895</v>
      </c>
      <c r="C29314" t="s">
        <v>151</v>
      </c>
      <c r="D29314" t="s">
        <v>1356</v>
      </c>
      <c r="E29314" t="s">
        <v>219</v>
      </c>
      <c r="F29314" s="2" t="str">
        <f>HYPERLINK("http://www.otzar.org/book.asp?625877","סידור תפילת החודש החדש &lt;מהדורת אור וישועה&gt;")</f>
        <v>סידור תפילת החודש החדש &lt;מהדורת אור וישועה&gt;</v>
      </c>
    </row>
    <row r="29315" spans="1:6" x14ac:dyDescent="0.2">
      <c r="A29315" t="s">
        <v>46270</v>
      </c>
      <c r="B29315" t="s">
        <v>7387</v>
      </c>
      <c r="C29315" t="s">
        <v>940</v>
      </c>
      <c r="D29315" t="s">
        <v>3161</v>
      </c>
      <c r="E29315" t="s">
        <v>219</v>
      </c>
      <c r="F29315" s="2" t="str">
        <f>HYPERLINK("http://www.otzar.org/book.asp?605428","סידור תפילת חנה")</f>
        <v>סידור תפילת חנה</v>
      </c>
    </row>
    <row r="29316" spans="1:6" x14ac:dyDescent="0.2">
      <c r="A29316" t="s">
        <v>46271</v>
      </c>
      <c r="B29316" t="s">
        <v>38446</v>
      </c>
      <c r="D29316" t="s">
        <v>6201</v>
      </c>
      <c r="F29316" s="2" t="str">
        <f>HYPERLINK("http://www.otzar.org/book.asp?620671","סידור תפילת ישראל עם פירוש דברי שלמה")</f>
        <v>סידור תפילת ישראל עם פירוש דברי שלמה</v>
      </c>
    </row>
    <row r="29317" spans="1:6" x14ac:dyDescent="0.2">
      <c r="A29317" t="s">
        <v>46272</v>
      </c>
      <c r="B29317" t="s">
        <v>39607</v>
      </c>
      <c r="C29317" t="s">
        <v>1268</v>
      </c>
      <c r="D29317" t="s">
        <v>52</v>
      </c>
      <c r="E29317" t="s">
        <v>219</v>
      </c>
      <c r="F29317" s="2" t="str">
        <f>HYPERLINK("http://www.otzar.org/book.asp?84475","סידור תפילת רש""י")</f>
        <v>סידור תפילת רש"י</v>
      </c>
    </row>
    <row r="29318" spans="1:6" x14ac:dyDescent="0.2">
      <c r="A29318" t="s">
        <v>46273</v>
      </c>
      <c r="B29318" t="s">
        <v>4201</v>
      </c>
      <c r="C29318" t="s">
        <v>5903</v>
      </c>
      <c r="D29318" t="s">
        <v>38372</v>
      </c>
      <c r="E29318" t="s">
        <v>219</v>
      </c>
      <c r="F29318" s="2" t="str">
        <f>HYPERLINK("http://www.otzar.org/book.asp?21527","סידור תפלה &lt;תפלה למשה, אור הישר&gt; - א")</f>
        <v>סידור תפלה &lt;תפלה למשה, אור הישר&gt; - א</v>
      </c>
    </row>
    <row r="29319" spans="1:6" x14ac:dyDescent="0.2">
      <c r="A29319" t="s">
        <v>46274</v>
      </c>
      <c r="B29319" t="s">
        <v>46275</v>
      </c>
      <c r="C29319" t="s">
        <v>1885</v>
      </c>
      <c r="D29319" t="s">
        <v>855</v>
      </c>
      <c r="E29319" t="s">
        <v>219</v>
      </c>
      <c r="F29319" s="2" t="str">
        <f>HYPERLINK("http://www.otzar.org/book.asp?13052","סידור תפלה &lt;עולת תמיד&gt;")</f>
        <v>סידור תפלה &lt;עולת תמיד&gt;</v>
      </c>
    </row>
    <row r="29320" spans="1:6" x14ac:dyDescent="0.2">
      <c r="A29320" t="s">
        <v>46276</v>
      </c>
      <c r="B29320" t="s">
        <v>46277</v>
      </c>
      <c r="C29320" t="s">
        <v>558</v>
      </c>
      <c r="D29320" t="s">
        <v>27</v>
      </c>
      <c r="E29320" t="s">
        <v>219</v>
      </c>
      <c r="F29320" s="2" t="str">
        <f>HYPERLINK("http://www.otzar.org/book.asp?15893","סידור תפלה כמנהג אשכנז")</f>
        <v>סידור תפלה כמנהג אשכנז</v>
      </c>
    </row>
    <row r="29321" spans="1:6" x14ac:dyDescent="0.2">
      <c r="A29321" t="s">
        <v>46278</v>
      </c>
      <c r="B29321" t="s">
        <v>46279</v>
      </c>
      <c r="C29321" t="s">
        <v>558</v>
      </c>
      <c r="D29321" t="s">
        <v>56</v>
      </c>
      <c r="E29321" t="s">
        <v>219</v>
      </c>
      <c r="F29321" s="2" t="str">
        <f>HYPERLINK("http://www.otzar.org/book.asp?104354","סידור תפלה עם ליקוטי תורה - 2 כר'")</f>
        <v>סידור תפלה עם ליקוטי תורה - 2 כר'</v>
      </c>
    </row>
    <row r="29322" spans="1:6" x14ac:dyDescent="0.2">
      <c r="A29322" t="s">
        <v>46280</v>
      </c>
      <c r="B29322" t="s">
        <v>24886</v>
      </c>
      <c r="C29322" t="s">
        <v>5823</v>
      </c>
      <c r="D29322" t="s">
        <v>27</v>
      </c>
      <c r="E29322" t="s">
        <v>399</v>
      </c>
      <c r="F29322" s="2" t="str">
        <f>HYPERLINK("http://www.otzar.org/book.asp?141164","סידור תפלה")</f>
        <v>סידור תפלה</v>
      </c>
    </row>
    <row r="29323" spans="1:6" x14ac:dyDescent="0.2">
      <c r="A29323" t="s">
        <v>46281</v>
      </c>
      <c r="B29323" t="s">
        <v>46282</v>
      </c>
      <c r="C29323" t="s">
        <v>1437</v>
      </c>
      <c r="D29323" t="s">
        <v>322</v>
      </c>
      <c r="E29323" t="s">
        <v>219</v>
      </c>
      <c r="F29323" s="2" t="str">
        <f>HYPERLINK("http://www.otzar.org/book.asp?105787","סידור תפלות ישראל &lt;עם פירוש ותרגום גרמנית&gt;")</f>
        <v>סידור תפלות ישראל &lt;עם פירוש ותרגום גרמנית&gt;</v>
      </c>
    </row>
    <row r="29324" spans="1:6" x14ac:dyDescent="0.2">
      <c r="A29324" t="s">
        <v>46283</v>
      </c>
      <c r="B29324" t="s">
        <v>46284</v>
      </c>
      <c r="C29324" t="s">
        <v>10907</v>
      </c>
      <c r="D29324" t="s">
        <v>32637</v>
      </c>
      <c r="E29324" t="s">
        <v>219</v>
      </c>
      <c r="F29324" s="2" t="str">
        <f>HYPERLINK("http://www.otzar.org/book.asp?53483","סידור תפלות כמנהג האשכנזים ופולין")</f>
        <v>סידור תפלות כמנהג האשכנזים ופולין</v>
      </c>
    </row>
    <row r="29325" spans="1:6" x14ac:dyDescent="0.2">
      <c r="A29325" t="s">
        <v>46285</v>
      </c>
      <c r="B29325" t="s">
        <v>35599</v>
      </c>
      <c r="C29325" t="s">
        <v>37</v>
      </c>
      <c r="D29325" t="s">
        <v>412</v>
      </c>
      <c r="F29325" s="2" t="str">
        <f>HYPERLINK("http://www.otzar.org/book.asp?199651","סידור תפלת ישראל")</f>
        <v>סידור תפלת ישראל</v>
      </c>
    </row>
    <row r="29326" spans="1:6" x14ac:dyDescent="0.2">
      <c r="A29326" t="s">
        <v>46286</v>
      </c>
      <c r="B29326" t="s">
        <v>46287</v>
      </c>
      <c r="C29326" t="s">
        <v>2543</v>
      </c>
      <c r="D29326" t="s">
        <v>21</v>
      </c>
      <c r="E29326" t="s">
        <v>219</v>
      </c>
      <c r="F29326" s="2" t="str">
        <f>HYPERLINK("http://www.otzar.org/book.asp?603431","סידור תפלת ישרים")</f>
        <v>סידור תפלת ישרים</v>
      </c>
    </row>
    <row r="29327" spans="1:6" x14ac:dyDescent="0.2">
      <c r="A29327" t="s">
        <v>46288</v>
      </c>
      <c r="B29327" t="s">
        <v>46289</v>
      </c>
      <c r="C29327" t="s">
        <v>224</v>
      </c>
      <c r="D29327" t="s">
        <v>412</v>
      </c>
      <c r="E29327" t="s">
        <v>219</v>
      </c>
      <c r="F29327" s="2" t="str">
        <f>HYPERLINK("http://www.otzar.org/book.asp?84419","סידור תקון מאיר")</f>
        <v>סידור תקון מאיר</v>
      </c>
    </row>
    <row r="29328" spans="1:6" x14ac:dyDescent="0.2">
      <c r="A29328" t="s">
        <v>46290</v>
      </c>
      <c r="B29328" t="s">
        <v>42885</v>
      </c>
      <c r="C29328" t="s">
        <v>129</v>
      </c>
      <c r="D29328" t="s">
        <v>486</v>
      </c>
      <c r="E29328" t="s">
        <v>803</v>
      </c>
      <c r="F29328" s="2" t="str">
        <f>HYPERLINK("http://www.otzar.org/book.asp?148587","סידורא דפת")</f>
        <v>סידורא דפת</v>
      </c>
    </row>
    <row r="29329" spans="1:6" x14ac:dyDescent="0.2">
      <c r="A29329" t="s">
        <v>46291</v>
      </c>
      <c r="B29329" t="s">
        <v>46292</v>
      </c>
      <c r="C29329" t="s">
        <v>366</v>
      </c>
      <c r="D29329" t="s">
        <v>52</v>
      </c>
      <c r="F29329" s="2" t="str">
        <f>HYPERLINK("http://www.otzar.org/book.asp?610414","סידורא דשמעתא - מר""מ נדה")</f>
        <v>סידורא דשמעתא - מר"מ נדה</v>
      </c>
    </row>
    <row r="29330" spans="1:6" x14ac:dyDescent="0.2">
      <c r="A29330" t="s">
        <v>46293</v>
      </c>
      <c r="B29330" t="s">
        <v>46294</v>
      </c>
      <c r="C29330" t="s">
        <v>366</v>
      </c>
      <c r="D29330" t="s">
        <v>52</v>
      </c>
      <c r="E29330" t="s">
        <v>144</v>
      </c>
      <c r="F29330" s="2" t="str">
        <f>HYPERLINK("http://www.otzar.org/book.asp?606182","סידורא דשמעתתא - נדה")</f>
        <v>סידורא דשמעתתא - נדה</v>
      </c>
    </row>
    <row r="29331" spans="1:6" x14ac:dyDescent="0.2">
      <c r="A29331" t="s">
        <v>46295</v>
      </c>
      <c r="B29331" t="s">
        <v>7723</v>
      </c>
      <c r="C29331" t="s">
        <v>1663</v>
      </c>
      <c r="D29331" t="s">
        <v>27</v>
      </c>
      <c r="E29331" t="s">
        <v>46296</v>
      </c>
      <c r="F29331" s="2" t="str">
        <f>HYPERLINK("http://www.otzar.org/book.asp?5090","סידורו של שבת - 7 כר'")</f>
        <v>סידורו של שבת - 7 כר'</v>
      </c>
    </row>
    <row r="29332" spans="1:6" x14ac:dyDescent="0.2">
      <c r="A29332" t="s">
        <v>46297</v>
      </c>
      <c r="B29332" t="s">
        <v>46298</v>
      </c>
      <c r="C29332" t="s">
        <v>68</v>
      </c>
      <c r="D29332" t="s">
        <v>14</v>
      </c>
      <c r="E29332" t="s">
        <v>119</v>
      </c>
      <c r="F29332" s="2" t="str">
        <f>HYPERLINK("http://www.otzar.org/book.asp?166189","סידנא בבא חאקי")</f>
        <v>סידנא בבא חאקי</v>
      </c>
    </row>
    <row r="29333" spans="1:6" x14ac:dyDescent="0.2">
      <c r="A29333" t="s">
        <v>46299</v>
      </c>
      <c r="B29333" t="s">
        <v>46300</v>
      </c>
      <c r="C29333" t="s">
        <v>103</v>
      </c>
      <c r="D29333" t="s">
        <v>14</v>
      </c>
      <c r="E29333" t="s">
        <v>28142</v>
      </c>
      <c r="F29333" s="2" t="str">
        <f>HYPERLINK("http://www.otzar.org/book.asp?25827","סידרת מקדש ישראל והזמנים - 2 כר'")</f>
        <v>סידרת מקדש ישראל והזמנים - 2 כר'</v>
      </c>
    </row>
    <row r="29334" spans="1:6" x14ac:dyDescent="0.2">
      <c r="A29334" t="s">
        <v>46301</v>
      </c>
      <c r="B29334" t="s">
        <v>34631</v>
      </c>
      <c r="C29334" t="s">
        <v>383</v>
      </c>
      <c r="D29334" t="s">
        <v>14</v>
      </c>
      <c r="E29334" t="s">
        <v>1097</v>
      </c>
      <c r="F29334" s="2" t="str">
        <f>HYPERLINK("http://www.otzar.org/book.asp?163267","סיום על הירושלמי")</f>
        <v>סיום על הירושלמי</v>
      </c>
    </row>
    <row r="29335" spans="1:6" x14ac:dyDescent="0.2">
      <c r="A29335" t="s">
        <v>46302</v>
      </c>
      <c r="B29335" t="s">
        <v>46303</v>
      </c>
      <c r="C29335" t="s">
        <v>7162</v>
      </c>
      <c r="D29335" t="s">
        <v>7163</v>
      </c>
      <c r="E29335" t="s">
        <v>158</v>
      </c>
      <c r="F29335" s="2" t="str">
        <f>HYPERLINK("http://www.otzar.org/book.asp?63917","סיומה הפרשיות מהתורה")</f>
        <v>סיומה הפרשיות מהתורה</v>
      </c>
    </row>
    <row r="29336" spans="1:6" x14ac:dyDescent="0.2">
      <c r="A29336" t="s">
        <v>46304</v>
      </c>
      <c r="B29336" t="s">
        <v>46305</v>
      </c>
      <c r="C29336" t="s">
        <v>438</v>
      </c>
      <c r="D29336" t="s">
        <v>1180</v>
      </c>
      <c r="E29336" t="s">
        <v>263</v>
      </c>
      <c r="F29336" s="2" t="str">
        <f>HYPERLINK("http://www.otzar.org/book.asp?11612","סיומי המסכתות במשנה ובתלמוד הבבלי")</f>
        <v>סיומי המסכתות במשנה ובתלמוד הבבלי</v>
      </c>
    </row>
    <row r="29337" spans="1:6" x14ac:dyDescent="0.2">
      <c r="A29337" t="s">
        <v>46306</v>
      </c>
      <c r="B29337" t="s">
        <v>46307</v>
      </c>
      <c r="C29337" t="s">
        <v>356</v>
      </c>
      <c r="D29337" t="s">
        <v>216</v>
      </c>
      <c r="E29337" t="s">
        <v>234</v>
      </c>
      <c r="F29337" s="2" t="str">
        <f>HYPERLINK("http://www.otzar.org/book.asp?176507","סיחה נאה")</f>
        <v>סיחה נאה</v>
      </c>
    </row>
    <row r="29338" spans="1:6" x14ac:dyDescent="0.2">
      <c r="A29338" t="s">
        <v>46308</v>
      </c>
      <c r="B29338" t="s">
        <v>46309</v>
      </c>
      <c r="C29338" t="s">
        <v>6995</v>
      </c>
      <c r="D29338" t="s">
        <v>322</v>
      </c>
      <c r="E29338" t="s">
        <v>158</v>
      </c>
      <c r="F29338" s="2" t="str">
        <f>HYPERLINK("http://www.otzar.org/book.asp?100001","סייג לתורה")</f>
        <v>סייג לתורה</v>
      </c>
    </row>
    <row r="29339" spans="1:6" x14ac:dyDescent="0.2">
      <c r="A29339" t="s">
        <v>46310</v>
      </c>
      <c r="B29339" t="s">
        <v>9612</v>
      </c>
      <c r="C29339" t="s">
        <v>1619</v>
      </c>
      <c r="D29339" t="s">
        <v>14</v>
      </c>
      <c r="E29339" t="s">
        <v>2088</v>
      </c>
      <c r="F29339" s="2" t="str">
        <f>HYPERLINK("http://www.otzar.org/book.asp?104108","סייעתא דשמיא - 2 כר'")</f>
        <v>סייעתא דשמיא - 2 כר'</v>
      </c>
    </row>
    <row r="29340" spans="1:6" x14ac:dyDescent="0.2">
      <c r="A29340" t="s">
        <v>46310</v>
      </c>
      <c r="B29340" t="s">
        <v>46311</v>
      </c>
      <c r="C29340" t="s">
        <v>6895</v>
      </c>
      <c r="D29340" t="s">
        <v>4703</v>
      </c>
      <c r="E29340" t="s">
        <v>158</v>
      </c>
      <c r="F29340" s="2" t="str">
        <f>HYPERLINK("http://www.otzar.org/book.asp?25178","סייעתא דשמיא - 2 כר'")</f>
        <v>סייעתא דשמיא - 2 כר'</v>
      </c>
    </row>
    <row r="29341" spans="1:6" x14ac:dyDescent="0.2">
      <c r="A29341" t="s">
        <v>46312</v>
      </c>
      <c r="B29341" t="s">
        <v>9151</v>
      </c>
      <c r="C29341" t="s">
        <v>133</v>
      </c>
      <c r="D29341" t="s">
        <v>14</v>
      </c>
      <c r="F29341" s="2" t="str">
        <f>HYPERLINK("http://www.otzar.org/book.asp?177067","סיכום הטור בית יוסף - 2 כר'")</f>
        <v>סיכום הטור בית יוסף - 2 כר'</v>
      </c>
    </row>
    <row r="29342" spans="1:6" x14ac:dyDescent="0.2">
      <c r="A29342" t="s">
        <v>46313</v>
      </c>
      <c r="B29342" t="s">
        <v>46314</v>
      </c>
      <c r="C29342" t="s">
        <v>37</v>
      </c>
      <c r="D29342" t="s">
        <v>21</v>
      </c>
      <c r="E29342" t="s">
        <v>148</v>
      </c>
      <c r="F29342" s="2" t="str">
        <f>HYPERLINK("http://www.otzar.org/book.asp?193398","סיכום הלכות שחיטה וטריפות על ספר בית דוד")</f>
        <v>סיכום הלכות שחיטה וטריפות על ספר בית דוד</v>
      </c>
    </row>
    <row r="29343" spans="1:6" x14ac:dyDescent="0.2">
      <c r="A29343" t="s">
        <v>46315</v>
      </c>
      <c r="B29343" t="s">
        <v>46316</v>
      </c>
      <c r="C29343" t="s">
        <v>111</v>
      </c>
      <c r="D29343" t="s">
        <v>14</v>
      </c>
      <c r="E29343" t="s">
        <v>15</v>
      </c>
      <c r="F29343" s="2" t="str">
        <f>HYPERLINK("http://www.otzar.org/book.asp?629269","סיכום הלכות - 12 כר'")</f>
        <v>סיכום הלכות - 12 כר'</v>
      </c>
    </row>
    <row r="29344" spans="1:6" x14ac:dyDescent="0.2">
      <c r="A29344" t="s">
        <v>46317</v>
      </c>
      <c r="B29344" t="s">
        <v>46318</v>
      </c>
      <c r="C29344" t="s">
        <v>146</v>
      </c>
      <c r="D29344" t="s">
        <v>14</v>
      </c>
      <c r="E29344" t="s">
        <v>144</v>
      </c>
      <c r="F29344" s="2" t="str">
        <f>HYPERLINK("http://www.otzar.org/book.asp?28156","סיכום הש""ס - בכורות, ערכין, תמורה")</f>
        <v>סיכום הש"ס - בכורות, ערכין, תמורה</v>
      </c>
    </row>
    <row r="29345" spans="1:6" x14ac:dyDescent="0.2">
      <c r="A29345" t="s">
        <v>46319</v>
      </c>
      <c r="B29345" t="s">
        <v>46320</v>
      </c>
      <c r="C29345" t="s">
        <v>23</v>
      </c>
      <c r="F29345" s="2" t="str">
        <f>HYPERLINK("http://www.otzar.org/book.asp?616056","סיכום סוגיות - 5 כר'")</f>
        <v>סיכום סוגיות - 5 כר'</v>
      </c>
    </row>
    <row r="29346" spans="1:6" x14ac:dyDescent="0.2">
      <c r="A29346" t="s">
        <v>46321</v>
      </c>
      <c r="B29346" t="s">
        <v>3669</v>
      </c>
      <c r="C29346" t="s">
        <v>133</v>
      </c>
      <c r="D29346" t="s">
        <v>14</v>
      </c>
      <c r="E29346" t="s">
        <v>144</v>
      </c>
      <c r="F29346" s="2" t="str">
        <f>HYPERLINK("http://www.otzar.org/book.asp?628089","סיכום פסחים")</f>
        <v>סיכום פסחים</v>
      </c>
    </row>
    <row r="29347" spans="1:6" x14ac:dyDescent="0.2">
      <c r="A29347" t="s">
        <v>46322</v>
      </c>
      <c r="B29347" t="s">
        <v>46323</v>
      </c>
      <c r="C29347" t="s">
        <v>37</v>
      </c>
      <c r="E29347" t="s">
        <v>172</v>
      </c>
      <c r="F29347" s="2" t="str">
        <f>HYPERLINK("http://www.otzar.org/book.asp?603742","סיכום שו""ע ונו""כ - הלכות נדה")</f>
        <v>סיכום שו"ע ונו"כ - הלכות נדה</v>
      </c>
    </row>
    <row r="29348" spans="1:6" x14ac:dyDescent="0.2">
      <c r="A29348" t="s">
        <v>46324</v>
      </c>
      <c r="B29348" t="s">
        <v>46325</v>
      </c>
      <c r="C29348" t="s">
        <v>20</v>
      </c>
      <c r="D29348" t="s">
        <v>90</v>
      </c>
      <c r="F29348" s="2" t="str">
        <f>HYPERLINK("http://www.otzar.org/book.asp?622006","סיכומי הלכות הלכות גיטין")</f>
        <v>סיכומי הלכות הלכות גיטין</v>
      </c>
    </row>
    <row r="29349" spans="1:6" x14ac:dyDescent="0.2">
      <c r="A29349" t="s">
        <v>46326</v>
      </c>
      <c r="B29349" t="s">
        <v>46327</v>
      </c>
      <c r="C29349" t="s">
        <v>111</v>
      </c>
      <c r="D29349" t="s">
        <v>367</v>
      </c>
      <c r="E29349" t="s">
        <v>172</v>
      </c>
      <c r="F29349" s="2" t="str">
        <f>HYPERLINK("http://www.otzar.org/book.asp?620690","סיכומי הלכות - 2 כר'")</f>
        <v>סיכומי הלכות - 2 כר'</v>
      </c>
    </row>
    <row r="29350" spans="1:6" x14ac:dyDescent="0.2">
      <c r="A29350" t="s">
        <v>46326</v>
      </c>
      <c r="B29350" t="s">
        <v>46328</v>
      </c>
      <c r="C29350" t="s">
        <v>20</v>
      </c>
      <c r="D29350" t="s">
        <v>21</v>
      </c>
      <c r="F29350" s="2" t="str">
        <f>HYPERLINK("http://www.otzar.org/book.asp?197761","סיכומי הלכות - 2 כר'")</f>
        <v>סיכומי הלכות - 2 כר'</v>
      </c>
    </row>
    <row r="29351" spans="1:6" x14ac:dyDescent="0.2">
      <c r="A29351" t="s">
        <v>46329</v>
      </c>
      <c r="B29351" t="s">
        <v>46330</v>
      </c>
      <c r="C29351" t="s">
        <v>87</v>
      </c>
      <c r="D29351" t="s">
        <v>52</v>
      </c>
      <c r="E29351" t="s">
        <v>144</v>
      </c>
      <c r="F29351" s="2" t="str">
        <f>HYPERLINK("http://www.otzar.org/book.asp?183291","סיכומי הסוגיות - 2 כר'")</f>
        <v>סיכומי הסוגיות - 2 כר'</v>
      </c>
    </row>
    <row r="29352" spans="1:6" x14ac:dyDescent="0.2">
      <c r="A29352" t="s">
        <v>46331</v>
      </c>
      <c r="B29352" t="s">
        <v>6987</v>
      </c>
      <c r="C29352" t="s">
        <v>151</v>
      </c>
      <c r="D29352" t="s">
        <v>657</v>
      </c>
      <c r="E29352" t="s">
        <v>241</v>
      </c>
      <c r="F29352" s="2" t="str">
        <f>HYPERLINK("http://www.otzar.org/book.asp?630142","סיכומי וביאורי ספר נפש החיים - א")</f>
        <v>סיכומי וביאורי ספר נפש החיים - א</v>
      </c>
    </row>
    <row r="29353" spans="1:6" x14ac:dyDescent="0.2">
      <c r="A29353" t="s">
        <v>46332</v>
      </c>
      <c r="B29353" t="s">
        <v>46333</v>
      </c>
      <c r="C29353" t="s">
        <v>37</v>
      </c>
      <c r="D29353" t="s">
        <v>152</v>
      </c>
      <c r="F29353" s="2" t="str">
        <f>HYPERLINK("http://www.otzar.org/book.asp?197561","סיכומי סוגיות והערות - 5 כר'")</f>
        <v>סיכומי סוגיות והערות - 5 כר'</v>
      </c>
    </row>
    <row r="29354" spans="1:6" x14ac:dyDescent="0.2">
      <c r="A29354" t="s">
        <v>46334</v>
      </c>
      <c r="B29354" t="s">
        <v>46335</v>
      </c>
      <c r="C29354" t="s">
        <v>151</v>
      </c>
      <c r="D29354" t="s">
        <v>486</v>
      </c>
      <c r="E29354" t="s">
        <v>144</v>
      </c>
      <c r="F29354" s="2" t="str">
        <f>HYPERLINK("http://www.otzar.org/book.asp?617604","סיכומי סוגיות - 2 כר'")</f>
        <v>סיכומי סוגיות - 2 כר'</v>
      </c>
    </row>
    <row r="29355" spans="1:6" x14ac:dyDescent="0.2">
      <c r="A29355" t="s">
        <v>46336</v>
      </c>
      <c r="B29355" t="s">
        <v>46337</v>
      </c>
      <c r="C29355" t="s">
        <v>366</v>
      </c>
      <c r="D29355" t="s">
        <v>6283</v>
      </c>
      <c r="F29355" s="2" t="str">
        <f>HYPERLINK("http://www.otzar.org/book.asp?606586","סיכומי סוגיות - 3 כר'")</f>
        <v>סיכומי סוגיות - 3 כר'</v>
      </c>
    </row>
    <row r="29356" spans="1:6" x14ac:dyDescent="0.2">
      <c r="A29356" t="s">
        <v>46338</v>
      </c>
      <c r="B29356" t="s">
        <v>46339</v>
      </c>
      <c r="C29356" t="s">
        <v>114</v>
      </c>
      <c r="D29356" t="s">
        <v>14</v>
      </c>
      <c r="E29356" t="s">
        <v>144</v>
      </c>
      <c r="F29356" s="2" t="str">
        <f>HYPERLINK("http://www.otzar.org/book.asp?177139","סיכומי סוגיות - 4 כר'")</f>
        <v>סיכומי סוגיות - 4 כר'</v>
      </c>
    </row>
    <row r="29357" spans="1:6" x14ac:dyDescent="0.2">
      <c r="A29357" t="s">
        <v>46338</v>
      </c>
      <c r="B29357" t="s">
        <v>46340</v>
      </c>
      <c r="C29357" t="s">
        <v>51</v>
      </c>
      <c r="D29357" t="s">
        <v>14</v>
      </c>
      <c r="E29357" t="s">
        <v>144</v>
      </c>
      <c r="F29357" s="2" t="str">
        <f>HYPERLINK("http://www.otzar.org/book.asp?6058","סיכומי סוגיות - 4 כר'")</f>
        <v>סיכומי סוגיות - 4 כר'</v>
      </c>
    </row>
    <row r="29358" spans="1:6" x14ac:dyDescent="0.2">
      <c r="A29358" t="s">
        <v>46341</v>
      </c>
      <c r="B29358" t="s">
        <v>46342</v>
      </c>
      <c r="C29358" t="s">
        <v>37</v>
      </c>
      <c r="D29358" t="s">
        <v>90</v>
      </c>
      <c r="E29358" t="s">
        <v>144</v>
      </c>
      <c r="F29358" s="2" t="str">
        <f>HYPERLINK("http://www.otzar.org/book.asp?622572","סיכומי סוגיות - 5 כר'")</f>
        <v>סיכומי סוגיות - 5 כר'</v>
      </c>
    </row>
    <row r="29359" spans="1:6" x14ac:dyDescent="0.2">
      <c r="A29359" t="s">
        <v>46343</v>
      </c>
      <c r="B29359" t="s">
        <v>46344</v>
      </c>
      <c r="C29359" t="s">
        <v>111</v>
      </c>
      <c r="D29359" t="s">
        <v>152</v>
      </c>
      <c r="E29359" t="s">
        <v>144</v>
      </c>
      <c r="F29359" s="2" t="str">
        <f>HYPERLINK("http://www.otzar.org/book.asp?629817","סיכומי סוגיות - ב""ק")</f>
        <v>סיכומי סוגיות - ב"ק</v>
      </c>
    </row>
    <row r="29360" spans="1:6" x14ac:dyDescent="0.2">
      <c r="A29360" t="s">
        <v>46345</v>
      </c>
      <c r="B29360" t="s">
        <v>46346</v>
      </c>
      <c r="D29360" t="s">
        <v>52</v>
      </c>
      <c r="E29360" t="s">
        <v>15</v>
      </c>
      <c r="F29360" s="2" t="str">
        <f>HYPERLINK("http://www.otzar.org/book.asp?625191","סיכומים בהלכות שביעית")</f>
        <v>סיכומים בהלכות שביעית</v>
      </c>
    </row>
    <row r="29361" spans="1:6" x14ac:dyDescent="0.2">
      <c r="A29361" t="s">
        <v>46347</v>
      </c>
      <c r="B29361" t="s">
        <v>46348</v>
      </c>
      <c r="C29361" t="s">
        <v>23</v>
      </c>
      <c r="E29361" t="s">
        <v>172</v>
      </c>
      <c r="F29361" s="2" t="str">
        <f>HYPERLINK("http://www.otzar.org/book.asp?193716","סיכומים בשלחן ערוך")</f>
        <v>סיכומים בשלחן ערוך</v>
      </c>
    </row>
    <row r="29362" spans="1:6" x14ac:dyDescent="0.2">
      <c r="A29362" t="s">
        <v>46349</v>
      </c>
      <c r="B29362" t="s">
        <v>46350</v>
      </c>
      <c r="C29362" t="s">
        <v>411</v>
      </c>
      <c r="D29362" t="s">
        <v>367</v>
      </c>
      <c r="E29362" t="s">
        <v>144</v>
      </c>
      <c r="F29362" s="2" t="str">
        <f>HYPERLINK("http://www.otzar.org/book.asp?189566","סיכומים והערות - 4 כר'")</f>
        <v>סיכומים והערות - 4 כר'</v>
      </c>
    </row>
    <row r="29363" spans="1:6" x14ac:dyDescent="0.2">
      <c r="A29363" t="s">
        <v>46351</v>
      </c>
      <c r="B29363" t="s">
        <v>5634</v>
      </c>
      <c r="C29363" t="s">
        <v>103</v>
      </c>
      <c r="D29363" t="s">
        <v>52</v>
      </c>
      <c r="E29363" t="s">
        <v>1211</v>
      </c>
      <c r="F29363" s="2" t="str">
        <f>HYPERLINK("http://www.otzar.org/book.asp?178871","סימא בביתא &lt;פנינים ואגרות משמר הלוי ז&gt;")</f>
        <v>סימא בביתא &lt;פנינים ואגרות משמר הלוי ז&gt;</v>
      </c>
    </row>
    <row r="29364" spans="1:6" x14ac:dyDescent="0.2">
      <c r="A29364" t="s">
        <v>46352</v>
      </c>
      <c r="B29364" t="s">
        <v>5377</v>
      </c>
      <c r="C29364" t="s">
        <v>411</v>
      </c>
      <c r="D29364" t="s">
        <v>21</v>
      </c>
      <c r="F29364" s="2" t="str">
        <f>HYPERLINK("http://www.otzar.org/book.asp?197797","סימן ברכה")</f>
        <v>סימן ברכה</v>
      </c>
    </row>
    <row r="29365" spans="1:6" x14ac:dyDescent="0.2">
      <c r="A29365" t="s">
        <v>46353</v>
      </c>
      <c r="B29365" t="s">
        <v>46354</v>
      </c>
      <c r="C29365" t="s">
        <v>17</v>
      </c>
      <c r="D29365" t="s">
        <v>14</v>
      </c>
      <c r="E29365" t="s">
        <v>104</v>
      </c>
      <c r="F29365" s="2" t="str">
        <f>HYPERLINK("http://www.otzar.org/book.asp?107290","סימן טוב")</f>
        <v>סימן טוב</v>
      </c>
    </row>
    <row r="29366" spans="1:6" x14ac:dyDescent="0.2">
      <c r="A29366" t="s">
        <v>46353</v>
      </c>
      <c r="B29366" t="s">
        <v>3445</v>
      </c>
      <c r="C29366" t="s">
        <v>17</v>
      </c>
      <c r="D29366" t="s">
        <v>52</v>
      </c>
      <c r="E29366" t="s">
        <v>15</v>
      </c>
      <c r="F29366" s="2" t="str">
        <f>HYPERLINK("http://www.otzar.org/book.asp?107456","סימן טוב")</f>
        <v>סימן טוב</v>
      </c>
    </row>
    <row r="29367" spans="1:6" x14ac:dyDescent="0.2">
      <c r="A29367" t="s">
        <v>46353</v>
      </c>
      <c r="B29367" t="s">
        <v>46355</v>
      </c>
      <c r="C29367" t="s">
        <v>1169</v>
      </c>
      <c r="D29367" t="s">
        <v>27</v>
      </c>
      <c r="E29367" t="s">
        <v>1211</v>
      </c>
      <c r="F29367" s="2" t="str">
        <f>HYPERLINK("http://www.otzar.org/book.asp?11738","סימן טוב")</f>
        <v>סימן טוב</v>
      </c>
    </row>
    <row r="29368" spans="1:6" x14ac:dyDescent="0.2">
      <c r="A29368" t="s">
        <v>46356</v>
      </c>
      <c r="B29368" t="s">
        <v>2396</v>
      </c>
      <c r="C29368" t="s">
        <v>114</v>
      </c>
      <c r="D29368" t="s">
        <v>1076</v>
      </c>
      <c r="E29368" t="s">
        <v>325</v>
      </c>
      <c r="F29368" s="2" t="str">
        <f>HYPERLINK("http://www.otzar.org/book.asp?165265","סימן טוב - 2 כר'")</f>
        <v>סימן טוב - 2 כר'</v>
      </c>
    </row>
    <row r="29369" spans="1:6" x14ac:dyDescent="0.2">
      <c r="A29369" t="s">
        <v>46357</v>
      </c>
      <c r="B29369" t="s">
        <v>11403</v>
      </c>
      <c r="C29369" t="s">
        <v>133</v>
      </c>
      <c r="D29369" t="s">
        <v>412</v>
      </c>
      <c r="F29369" s="2" t="str">
        <f>HYPERLINK("http://www.otzar.org/book.asp?198240","סימן כד &lt;מהדורה חדשה&gt;")</f>
        <v>סימן כד &lt;מהדורה חדשה&gt;</v>
      </c>
    </row>
    <row r="29370" spans="1:6" x14ac:dyDescent="0.2">
      <c r="A29370" t="s">
        <v>46358</v>
      </c>
      <c r="B29370" t="s">
        <v>11403</v>
      </c>
      <c r="C29370" t="s">
        <v>888</v>
      </c>
      <c r="D29370" t="s">
        <v>4269</v>
      </c>
      <c r="E29370" t="s">
        <v>158</v>
      </c>
      <c r="F29370" s="2" t="str">
        <f>HYPERLINK("http://www.otzar.org/book.asp?100002","סימן כד")</f>
        <v>סימן כד</v>
      </c>
    </row>
    <row r="29371" spans="1:6" x14ac:dyDescent="0.2">
      <c r="A29371" t="s">
        <v>46359</v>
      </c>
      <c r="B29371" t="s">
        <v>8442</v>
      </c>
      <c r="C29371" t="s">
        <v>366</v>
      </c>
      <c r="D29371" t="s">
        <v>52</v>
      </c>
      <c r="E29371" t="s">
        <v>158</v>
      </c>
      <c r="F29371" s="2" t="str">
        <f>HYPERLINK("http://www.otzar.org/book.asp?608425","סימן לבנים - שמות")</f>
        <v>סימן לבנים - שמות</v>
      </c>
    </row>
    <row r="29372" spans="1:6" x14ac:dyDescent="0.2">
      <c r="A29372" t="s">
        <v>46360</v>
      </c>
      <c r="B29372" t="s">
        <v>46361</v>
      </c>
      <c r="C29372" t="s">
        <v>20</v>
      </c>
      <c r="D29372" t="s">
        <v>90</v>
      </c>
      <c r="F29372" s="2" t="str">
        <f>HYPERLINK("http://www.otzar.org/book.asp?198573","סימן סיבה והבדלה")</f>
        <v>סימן סיבה והבדלה</v>
      </c>
    </row>
    <row r="29373" spans="1:6" x14ac:dyDescent="0.2">
      <c r="A29373" t="s">
        <v>46362</v>
      </c>
      <c r="B29373" t="s">
        <v>46363</v>
      </c>
      <c r="C29373" t="s">
        <v>390</v>
      </c>
      <c r="D29373" t="s">
        <v>14</v>
      </c>
      <c r="E29373" t="s">
        <v>246</v>
      </c>
      <c r="F29373" s="2" t="str">
        <f>HYPERLINK("http://www.otzar.org/book.asp?617341","סימנא טבא / סדר ברכות")</f>
        <v>סימנא טבא / סדר ברכות</v>
      </c>
    </row>
    <row r="29374" spans="1:6" x14ac:dyDescent="0.2">
      <c r="A29374" t="s">
        <v>46364</v>
      </c>
      <c r="B29374" t="s">
        <v>46365</v>
      </c>
      <c r="C29374" t="s">
        <v>445</v>
      </c>
      <c r="D29374" t="s">
        <v>225</v>
      </c>
      <c r="E29374" t="s">
        <v>9092</v>
      </c>
      <c r="F29374" s="2" t="str">
        <f>HYPERLINK("http://www.otzar.org/book.asp?104107","סימנא מילתא")</f>
        <v>סימנא מילתא</v>
      </c>
    </row>
    <row r="29375" spans="1:6" x14ac:dyDescent="0.2">
      <c r="A29375" t="s">
        <v>46364</v>
      </c>
      <c r="B29375" t="s">
        <v>2396</v>
      </c>
      <c r="C29375" t="s">
        <v>422</v>
      </c>
      <c r="D29375" t="s">
        <v>1076</v>
      </c>
      <c r="E29375" t="s">
        <v>579</v>
      </c>
      <c r="F29375" s="2" t="str">
        <f>HYPERLINK("http://www.otzar.org/book.asp?165282","סימנא מילתא")</f>
        <v>סימנא מילתא</v>
      </c>
    </row>
    <row r="29376" spans="1:6" x14ac:dyDescent="0.2">
      <c r="A29376" t="s">
        <v>46366</v>
      </c>
      <c r="B29376" t="s">
        <v>46367</v>
      </c>
      <c r="C29376" t="s">
        <v>466</v>
      </c>
      <c r="D29376" t="s">
        <v>14</v>
      </c>
      <c r="E29376" t="s">
        <v>15</v>
      </c>
      <c r="F29376" s="2" t="str">
        <f>HYPERLINK("http://www.otzar.org/book.asp?169307","סימני אור זרוע - ברכות")</f>
        <v>סימני אור זרוע - ברכות</v>
      </c>
    </row>
    <row r="29377" spans="1:6" x14ac:dyDescent="0.2">
      <c r="A29377" t="s">
        <v>46368</v>
      </c>
      <c r="B29377" t="s">
        <v>46369</v>
      </c>
      <c r="C29377" t="s">
        <v>37</v>
      </c>
      <c r="D29377" t="s">
        <v>52</v>
      </c>
      <c r="F29377" s="2" t="str">
        <f>HYPERLINK("http://www.otzar.org/book.asp?621790","סימני ברכה")</f>
        <v>סימני ברכה</v>
      </c>
    </row>
    <row r="29378" spans="1:6" x14ac:dyDescent="0.2">
      <c r="A29378" t="s">
        <v>46370</v>
      </c>
      <c r="B29378" t="s">
        <v>46371</v>
      </c>
      <c r="C29378" t="s">
        <v>133</v>
      </c>
      <c r="D29378" t="s">
        <v>14</v>
      </c>
      <c r="E29378" t="s">
        <v>144</v>
      </c>
      <c r="F29378" s="2" t="str">
        <f>HYPERLINK("http://www.otzar.org/book.asp?172081","סימני השחיטה")</f>
        <v>סימני השחיטה</v>
      </c>
    </row>
    <row r="29379" spans="1:6" x14ac:dyDescent="0.2">
      <c r="A29379" t="s">
        <v>46372</v>
      </c>
      <c r="B29379" t="s">
        <v>40400</v>
      </c>
      <c r="C29379" t="s">
        <v>68</v>
      </c>
      <c r="D29379" t="s">
        <v>2798</v>
      </c>
      <c r="F29379" s="2" t="str">
        <f>HYPERLINK("http://www.otzar.org/book.asp?618094","סימני התורה")</f>
        <v>סימני התורה</v>
      </c>
    </row>
    <row r="29380" spans="1:6" x14ac:dyDescent="0.2">
      <c r="A29380" t="s">
        <v>46373</v>
      </c>
      <c r="B29380" t="s">
        <v>19872</v>
      </c>
      <c r="C29380" t="s">
        <v>41107</v>
      </c>
      <c r="D29380" t="s">
        <v>13372</v>
      </c>
      <c r="E29380" t="s">
        <v>104</v>
      </c>
      <c r="F29380" s="2" t="str">
        <f>HYPERLINK("http://www.otzar.org/book.asp?145463","סימני וקיצורי המרדכי")</f>
        <v>סימני וקיצורי המרדכי</v>
      </c>
    </row>
    <row r="29381" spans="1:6" x14ac:dyDescent="0.2">
      <c r="A29381" t="s">
        <v>46374</v>
      </c>
      <c r="B29381" t="s">
        <v>2396</v>
      </c>
      <c r="C29381" t="s">
        <v>20</v>
      </c>
      <c r="D29381" t="s">
        <v>1076</v>
      </c>
      <c r="E29381" t="s">
        <v>172</v>
      </c>
      <c r="F29381" s="2" t="str">
        <f>HYPERLINK("http://www.otzar.org/book.asp?165241","סימני טהרה")</f>
        <v>סימני טהרה</v>
      </c>
    </row>
    <row r="29382" spans="1:6" x14ac:dyDescent="0.2">
      <c r="A29382" t="s">
        <v>46375</v>
      </c>
      <c r="B29382" t="s">
        <v>19869</v>
      </c>
      <c r="C29382" t="s">
        <v>19870</v>
      </c>
      <c r="D29382" t="s">
        <v>46376</v>
      </c>
      <c r="F29382" s="2" t="str">
        <f>HYPERLINK("http://www.otzar.org/book.asp?63898","סימני כל השמנה בנינים")</f>
        <v>סימני כל השמנה בנינים</v>
      </c>
    </row>
    <row r="29383" spans="1:6" x14ac:dyDescent="0.2">
      <c r="A29383" t="s">
        <v>46377</v>
      </c>
      <c r="B29383" t="s">
        <v>46378</v>
      </c>
      <c r="C29383" t="s">
        <v>23</v>
      </c>
      <c r="D29383" t="s">
        <v>14</v>
      </c>
      <c r="E29383" t="s">
        <v>579</v>
      </c>
      <c r="F29383" s="2" t="str">
        <f>HYPERLINK("http://www.otzar.org/book.asp?182517","סימני ספר תהלות")</f>
        <v>סימני ספר תהלות</v>
      </c>
    </row>
    <row r="29384" spans="1:6" x14ac:dyDescent="0.2">
      <c r="A29384" t="s">
        <v>46379</v>
      </c>
      <c r="B29384" t="s">
        <v>46380</v>
      </c>
      <c r="C29384" t="s">
        <v>943</v>
      </c>
      <c r="D29384" t="s">
        <v>60</v>
      </c>
      <c r="E29384" t="s">
        <v>104</v>
      </c>
      <c r="F29384" s="2" t="str">
        <f>HYPERLINK("http://www.otzar.org/book.asp?147313","סימני רעשים ורעמים - 3 כר'")</f>
        <v>סימני רעשים ורעמים - 3 כר'</v>
      </c>
    </row>
    <row r="29385" spans="1:6" x14ac:dyDescent="0.2">
      <c r="A29385" t="s">
        <v>46381</v>
      </c>
      <c r="B29385" t="s">
        <v>46382</v>
      </c>
      <c r="C29385" t="s">
        <v>445</v>
      </c>
      <c r="D29385" t="s">
        <v>225</v>
      </c>
      <c r="E29385" t="s">
        <v>399</v>
      </c>
      <c r="F29385" s="2" t="str">
        <f>HYPERLINK("http://www.otzar.org/book.asp?11471","סימני רעשים ורעמים")</f>
        <v>סימני רעשים ורעמים</v>
      </c>
    </row>
    <row r="29386" spans="1:6" x14ac:dyDescent="0.2">
      <c r="A29386" t="s">
        <v>46383</v>
      </c>
      <c r="B29386" t="s">
        <v>3888</v>
      </c>
      <c r="C29386" t="s">
        <v>523</v>
      </c>
      <c r="D29386" t="s">
        <v>14</v>
      </c>
      <c r="E29386" t="s">
        <v>130</v>
      </c>
      <c r="F29386" s="2" t="str">
        <f>HYPERLINK("http://www.otzar.org/book.asp?630191","סימנים טובים")</f>
        <v>סימנים טובים</v>
      </c>
    </row>
    <row r="29387" spans="1:6" x14ac:dyDescent="0.2">
      <c r="A29387" t="s">
        <v>46384</v>
      </c>
      <c r="B29387" t="s">
        <v>35000</v>
      </c>
      <c r="C29387" t="s">
        <v>111</v>
      </c>
      <c r="D29387" t="s">
        <v>90</v>
      </c>
      <c r="E29387" t="s">
        <v>104</v>
      </c>
      <c r="F29387" s="2" t="str">
        <f>HYPERLINK("http://www.otzar.org/book.asp?629440","סימנים עשה")</f>
        <v>סימנים עשה</v>
      </c>
    </row>
    <row r="29388" spans="1:6" x14ac:dyDescent="0.2">
      <c r="A29388" t="s">
        <v>46385</v>
      </c>
      <c r="B29388" t="s">
        <v>46386</v>
      </c>
      <c r="C29388" t="s">
        <v>133</v>
      </c>
      <c r="D29388" t="s">
        <v>14</v>
      </c>
      <c r="E29388" t="s">
        <v>119</v>
      </c>
      <c r="F29388" s="2" t="str">
        <f>HYPERLINK("http://www.otzar.org/book.asp?174074","סיני ועוקר הרים")</f>
        <v>סיני ועוקר הרים</v>
      </c>
    </row>
    <row r="29389" spans="1:6" x14ac:dyDescent="0.2">
      <c r="A29389" t="s">
        <v>46387</v>
      </c>
      <c r="B29389" t="s">
        <v>46388</v>
      </c>
      <c r="C29389" t="s">
        <v>989</v>
      </c>
      <c r="D29389" t="s">
        <v>14</v>
      </c>
      <c r="E29389" t="s">
        <v>144</v>
      </c>
      <c r="F29389" s="2" t="str">
        <f>HYPERLINK("http://www.otzar.org/book.asp?9098","סיעתא דשמיא")</f>
        <v>סיעתא דשמיא</v>
      </c>
    </row>
    <row r="29390" spans="1:6" x14ac:dyDescent="0.2">
      <c r="A29390" t="s">
        <v>46389</v>
      </c>
      <c r="B29390" t="s">
        <v>46390</v>
      </c>
      <c r="C29390" t="s">
        <v>1470</v>
      </c>
      <c r="D29390" t="s">
        <v>27</v>
      </c>
      <c r="E29390" t="s">
        <v>733</v>
      </c>
      <c r="F29390" s="2" t="str">
        <f>HYPERLINK("http://www.otzar.org/book.asp?561","סיפור דוד הראובני")</f>
        <v>סיפור דוד הראובני</v>
      </c>
    </row>
    <row r="29391" spans="1:6" x14ac:dyDescent="0.2">
      <c r="A29391" t="s">
        <v>46391</v>
      </c>
      <c r="B29391" t="s">
        <v>46392</v>
      </c>
      <c r="C29391" t="s">
        <v>146</v>
      </c>
      <c r="D29391" t="s">
        <v>115</v>
      </c>
      <c r="E29391" t="s">
        <v>104</v>
      </c>
      <c r="F29391" s="2" t="str">
        <f>HYPERLINK("http://www.otzar.org/book.asp?190976","סיפור הצלתו המופלאה של ס""ת")</f>
        <v>סיפור הצלתו המופלאה של ס"ת</v>
      </c>
    </row>
    <row r="29392" spans="1:6" x14ac:dyDescent="0.2">
      <c r="A29392" t="s">
        <v>46393</v>
      </c>
      <c r="B29392" t="s">
        <v>8329</v>
      </c>
      <c r="C29392" t="s">
        <v>68</v>
      </c>
      <c r="D29392" t="s">
        <v>21</v>
      </c>
      <c r="E29392" t="s">
        <v>741</v>
      </c>
      <c r="F29392" s="2" t="str">
        <f>HYPERLINK("http://www.otzar.org/book.asp?191146","סיפור השתלשלות הגילויים של ספר סיפורי מעשיות")</f>
        <v>סיפור השתלשלות הגילויים של ספר סיפורי מעשיות</v>
      </c>
    </row>
    <row r="29393" spans="1:6" x14ac:dyDescent="0.2">
      <c r="A29393" t="s">
        <v>46394</v>
      </c>
      <c r="B29393" t="s">
        <v>10819</v>
      </c>
      <c r="C29393" t="s">
        <v>111</v>
      </c>
      <c r="D29393" t="s">
        <v>14</v>
      </c>
      <c r="E29393" t="s">
        <v>246</v>
      </c>
      <c r="F29393" s="2" t="str">
        <f>HYPERLINK("http://www.otzar.org/book.asp?629768","סיפור יציאת מצרים")</f>
        <v>סיפור יציאת מצרים</v>
      </c>
    </row>
    <row r="29394" spans="1:6" x14ac:dyDescent="0.2">
      <c r="A29394" t="s">
        <v>46394</v>
      </c>
      <c r="B29394" t="s">
        <v>46395</v>
      </c>
      <c r="C29394" t="s">
        <v>1570</v>
      </c>
      <c r="D29394" t="s">
        <v>412</v>
      </c>
      <c r="E29394" t="s">
        <v>1164</v>
      </c>
      <c r="F29394" s="2" t="str">
        <f>HYPERLINK("http://www.otzar.org/book.asp?604208","סיפור יציאת מצרים")</f>
        <v>סיפור יציאת מצרים</v>
      </c>
    </row>
    <row r="29395" spans="1:6" x14ac:dyDescent="0.2">
      <c r="A29395" t="s">
        <v>46396</v>
      </c>
      <c r="B29395" t="s">
        <v>1093</v>
      </c>
      <c r="C29395" t="s">
        <v>17</v>
      </c>
      <c r="D29395" t="s">
        <v>14</v>
      </c>
      <c r="E29395" t="s">
        <v>104</v>
      </c>
      <c r="F29395" s="2" t="str">
        <f>HYPERLINK("http://www.otzar.org/book.asp?613728","סיפור לחג - 4 כר'")</f>
        <v>סיפור לחג - 4 כר'</v>
      </c>
    </row>
    <row r="29396" spans="1:6" x14ac:dyDescent="0.2">
      <c r="A29396" t="s">
        <v>46397</v>
      </c>
      <c r="B29396" t="s">
        <v>1093</v>
      </c>
      <c r="C29396" t="s">
        <v>624</v>
      </c>
      <c r="D29396" t="s">
        <v>14</v>
      </c>
      <c r="E29396" t="s">
        <v>104</v>
      </c>
      <c r="F29396" s="2" t="str">
        <f>HYPERLINK("http://www.otzar.org/book.asp?613725","סיפור לשבת - 8 כר'")</f>
        <v>סיפור לשבת - 8 כר'</v>
      </c>
    </row>
    <row r="29397" spans="1:6" x14ac:dyDescent="0.2">
      <c r="A29397" t="s">
        <v>46398</v>
      </c>
      <c r="B29397" t="s">
        <v>1093</v>
      </c>
      <c r="C29397" t="s">
        <v>68</v>
      </c>
      <c r="D29397" t="s">
        <v>14</v>
      </c>
      <c r="E29397" t="s">
        <v>104</v>
      </c>
      <c r="F29397" s="2" t="str">
        <f>HYPERLINK("http://www.otzar.org/book.asp?612404","סיפור מבית אבא -א")</f>
        <v>סיפור מבית אבא -א</v>
      </c>
    </row>
    <row r="29398" spans="1:6" x14ac:dyDescent="0.2">
      <c r="A29398" t="s">
        <v>46399</v>
      </c>
      <c r="B29398" t="s">
        <v>46400</v>
      </c>
      <c r="C29398" t="s">
        <v>114</v>
      </c>
      <c r="D29398" t="s">
        <v>21</v>
      </c>
      <c r="E29398" t="s">
        <v>158</v>
      </c>
      <c r="F29398" s="2" t="str">
        <f>HYPERLINK("http://www.otzar.org/book.asp?607241","סיפור מן ההפטרה")</f>
        <v>סיפור מן ההפטרה</v>
      </c>
    </row>
    <row r="29399" spans="1:6" x14ac:dyDescent="0.2">
      <c r="A29399" t="s">
        <v>46401</v>
      </c>
      <c r="B29399" t="s">
        <v>46402</v>
      </c>
      <c r="C29399" t="s">
        <v>90</v>
      </c>
      <c r="D29399" t="s">
        <v>20</v>
      </c>
      <c r="E29399" t="s">
        <v>213</v>
      </c>
      <c r="F29399" s="2" t="str">
        <f>HYPERLINK("http://www.otzar.org/book.asp?607513","סיפור מפליא הנוגע לכבוד התורה")</f>
        <v>סיפור מפליא הנוגע לכבוד התורה</v>
      </c>
    </row>
    <row r="29400" spans="1:6" x14ac:dyDescent="0.2">
      <c r="A29400" t="s">
        <v>46403</v>
      </c>
      <c r="B29400" t="s">
        <v>8194</v>
      </c>
      <c r="C29400" t="s">
        <v>111</v>
      </c>
      <c r="D29400" t="s">
        <v>367</v>
      </c>
      <c r="E29400" t="s">
        <v>104</v>
      </c>
      <c r="F29400" s="2" t="str">
        <f>HYPERLINK("http://www.otzar.org/book.asp?627300","סיפור קטן - מעשה גדול")</f>
        <v>סיפור קטן - מעשה גדול</v>
      </c>
    </row>
    <row r="29401" spans="1:6" x14ac:dyDescent="0.2">
      <c r="A29401" t="s">
        <v>46404</v>
      </c>
      <c r="B29401" t="s">
        <v>107</v>
      </c>
      <c r="C29401" t="s">
        <v>189</v>
      </c>
      <c r="D29401" t="s">
        <v>14</v>
      </c>
      <c r="E29401" t="s">
        <v>119</v>
      </c>
      <c r="F29401" s="2" t="str">
        <f>HYPERLINK("http://www.otzar.org/book.asp?84471","סיפורה של משפחה בני הדור הקודם")</f>
        <v>סיפורה של משפחה בני הדור הקודם</v>
      </c>
    </row>
    <row r="29402" spans="1:6" x14ac:dyDescent="0.2">
      <c r="A29402" t="s">
        <v>46405</v>
      </c>
      <c r="B29402" t="s">
        <v>1733</v>
      </c>
      <c r="C29402" t="s">
        <v>956</v>
      </c>
      <c r="D29402" t="s">
        <v>118</v>
      </c>
      <c r="E29402" t="s">
        <v>104</v>
      </c>
      <c r="F29402" s="2" t="str">
        <f>HYPERLINK("http://www.otzar.org/book.asp?153810","סיפורי אליהו הנביא - 2 כר'")</f>
        <v>סיפורי אליהו הנביא - 2 כר'</v>
      </c>
    </row>
    <row r="29403" spans="1:6" x14ac:dyDescent="0.2">
      <c r="A29403" t="s">
        <v>46406</v>
      </c>
      <c r="B29403" t="s">
        <v>29237</v>
      </c>
      <c r="C29403" t="s">
        <v>332</v>
      </c>
      <c r="D29403" t="s">
        <v>52</v>
      </c>
      <c r="E29403" t="s">
        <v>104</v>
      </c>
      <c r="F29403" s="2" t="str">
        <f>HYPERLINK("http://www.otzar.org/book.asp?174305","סיפורי בית דין של מעלה")</f>
        <v>סיפורי בית דין של מעלה</v>
      </c>
    </row>
    <row r="29404" spans="1:6" x14ac:dyDescent="0.2">
      <c r="A29404" t="s">
        <v>46407</v>
      </c>
      <c r="B29404" t="s">
        <v>46408</v>
      </c>
      <c r="C29404" t="s">
        <v>334</v>
      </c>
      <c r="D29404" t="s">
        <v>21</v>
      </c>
      <c r="E29404" t="s">
        <v>1164</v>
      </c>
      <c r="F29404" s="2" t="str">
        <f>HYPERLINK("http://www.otzar.org/book.asp?199982","סיפורי החג - פסח")</f>
        <v>סיפורי החג - פסח</v>
      </c>
    </row>
    <row r="29405" spans="1:6" x14ac:dyDescent="0.2">
      <c r="A29405" t="s">
        <v>46409</v>
      </c>
      <c r="B29405" t="s">
        <v>1091</v>
      </c>
      <c r="C29405" t="s">
        <v>244</v>
      </c>
      <c r="D29405" t="s">
        <v>21</v>
      </c>
      <c r="E29405" t="s">
        <v>64</v>
      </c>
      <c r="F29405" s="2" t="str">
        <f>HYPERLINK("http://www.otzar.org/book.asp?605664","סיפורי חז""ל ממדרש רבה עם הערות וביאורים")</f>
        <v>סיפורי חז"ל ממדרש רבה עם הערות וביאורים</v>
      </c>
    </row>
    <row r="29406" spans="1:6" x14ac:dyDescent="0.2">
      <c r="A29406" t="s">
        <v>46410</v>
      </c>
      <c r="B29406" t="s">
        <v>1091</v>
      </c>
      <c r="C29406" t="s">
        <v>23</v>
      </c>
      <c r="D29406" t="s">
        <v>21</v>
      </c>
      <c r="E29406" t="s">
        <v>144</v>
      </c>
      <c r="F29406" s="2" t="str">
        <f>HYPERLINK("http://www.otzar.org/book.asp?605661","סיפורי חז""ל מתלמוד בבלי עם הערות וביאורים - 2 כר'")</f>
        <v>סיפורי חז"ל מתלמוד בבלי עם הערות וביאורים - 2 כר'</v>
      </c>
    </row>
    <row r="29407" spans="1:6" x14ac:dyDescent="0.2">
      <c r="A29407" t="s">
        <v>46411</v>
      </c>
      <c r="B29407" t="s">
        <v>1091</v>
      </c>
      <c r="C29407" t="s">
        <v>244</v>
      </c>
      <c r="D29407" t="s">
        <v>21</v>
      </c>
      <c r="E29407" t="s">
        <v>1097</v>
      </c>
      <c r="F29407" s="2" t="str">
        <f>HYPERLINK("http://www.otzar.org/book.asp?605663","סיפורי חז""ל מתלמוד ירושלמי עם הערות וביאורים")</f>
        <v>סיפורי חז"ל מתלמוד ירושלמי עם הערות וביאורים</v>
      </c>
    </row>
    <row r="29408" spans="1:6" x14ac:dyDescent="0.2">
      <c r="A29408" t="s">
        <v>46412</v>
      </c>
      <c r="B29408" t="s">
        <v>18194</v>
      </c>
      <c r="C29408" t="s">
        <v>20</v>
      </c>
      <c r="D29408" t="s">
        <v>14</v>
      </c>
      <c r="E29408" t="s">
        <v>579</v>
      </c>
      <c r="F29408" s="2" t="str">
        <f>HYPERLINK("http://www.otzar.org/book.asp?143961","סיפורי חסידים באר יעקב חיים - 3 כר'")</f>
        <v>סיפורי חסידים באר יעקב חיים - 3 כר'</v>
      </c>
    </row>
    <row r="29409" spans="1:6" x14ac:dyDescent="0.2">
      <c r="A29409" t="s">
        <v>46413</v>
      </c>
      <c r="B29409" t="s">
        <v>5449</v>
      </c>
      <c r="C29409" t="s">
        <v>51</v>
      </c>
      <c r="D29409" t="s">
        <v>14</v>
      </c>
      <c r="E29409" t="s">
        <v>741</v>
      </c>
      <c r="F29409" s="2" t="str">
        <f>HYPERLINK("http://www.otzar.org/book.asp?144220","סיפורי חסידים - 3 כר'")</f>
        <v>סיפורי חסידים - 3 כר'</v>
      </c>
    </row>
    <row r="29410" spans="1:6" x14ac:dyDescent="0.2">
      <c r="A29410" t="s">
        <v>46414</v>
      </c>
      <c r="B29410" t="s">
        <v>12948</v>
      </c>
      <c r="C29410" t="s">
        <v>146</v>
      </c>
      <c r="D29410" t="s">
        <v>21</v>
      </c>
      <c r="E29410" t="s">
        <v>202</v>
      </c>
      <c r="F29410" s="2" t="str">
        <f>HYPERLINK("http://www.otzar.org/book.asp?185503","סיפורי חצרות ובתים בין החומות")</f>
        <v>סיפורי חצרות ובתים בין החומות</v>
      </c>
    </row>
    <row r="29411" spans="1:6" x14ac:dyDescent="0.2">
      <c r="A29411" t="s">
        <v>46415</v>
      </c>
      <c r="B29411" t="s">
        <v>3614</v>
      </c>
      <c r="C29411" t="s">
        <v>3695</v>
      </c>
      <c r="D29411" t="s">
        <v>3817</v>
      </c>
      <c r="E29411" t="s">
        <v>140</v>
      </c>
      <c r="F29411" s="2" t="str">
        <f>HYPERLINK("http://www.otzar.org/book.asp?53493","סיפורי מעשיות &lt;דפו""ר&gt;")</f>
        <v>סיפורי מעשיות &lt;דפו"ר&gt;</v>
      </c>
    </row>
    <row r="29412" spans="1:6" x14ac:dyDescent="0.2">
      <c r="A29412" t="s">
        <v>46416</v>
      </c>
      <c r="B29412" t="s">
        <v>3614</v>
      </c>
      <c r="C29412" t="s">
        <v>114</v>
      </c>
      <c r="D29412" t="s">
        <v>14</v>
      </c>
      <c r="E29412" t="s">
        <v>104</v>
      </c>
      <c r="F29412" s="2" t="str">
        <f>HYPERLINK("http://www.otzar.org/book.asp?178924","סיפורי מעשיות עם נועם מגדים")</f>
        <v>סיפורי מעשיות עם נועם מגדים</v>
      </c>
    </row>
    <row r="29413" spans="1:6" x14ac:dyDescent="0.2">
      <c r="A29413" t="s">
        <v>46417</v>
      </c>
      <c r="B29413" t="s">
        <v>3614</v>
      </c>
      <c r="C29413" t="s">
        <v>237</v>
      </c>
      <c r="D29413" t="s">
        <v>9</v>
      </c>
      <c r="E29413" t="s">
        <v>140</v>
      </c>
      <c r="F29413" s="2" t="str">
        <f>HYPERLINK("http://www.otzar.org/book.asp?10573","סיפורי מעשיות")</f>
        <v>סיפורי מעשיות</v>
      </c>
    </row>
    <row r="29414" spans="1:6" x14ac:dyDescent="0.2">
      <c r="A29414" t="s">
        <v>46418</v>
      </c>
      <c r="B29414" t="s">
        <v>46419</v>
      </c>
      <c r="C29414" t="s">
        <v>68</v>
      </c>
      <c r="D29414" t="s">
        <v>14</v>
      </c>
      <c r="E29414" t="s">
        <v>104</v>
      </c>
      <c r="F29414" s="2" t="str">
        <f>HYPERLINK("http://www.otzar.org/book.asp?174535","סיפורי עדות המזרח")</f>
        <v>סיפורי עדות המזרח</v>
      </c>
    </row>
    <row r="29415" spans="1:6" x14ac:dyDescent="0.2">
      <c r="A29415" t="s">
        <v>46420</v>
      </c>
      <c r="B29415" t="s">
        <v>46421</v>
      </c>
      <c r="C29415" t="s">
        <v>649</v>
      </c>
      <c r="D29415" t="s">
        <v>535</v>
      </c>
      <c r="E29415" t="s">
        <v>741</v>
      </c>
      <c r="F29415" s="2" t="str">
        <f>HYPERLINK("http://www.otzar.org/book.asp?102080","סיפורי צדיקים החדש")</f>
        <v>סיפורי צדיקים החדש</v>
      </c>
    </row>
    <row r="29416" spans="1:6" x14ac:dyDescent="0.2">
      <c r="A29416" t="s">
        <v>46422</v>
      </c>
      <c r="B29416" t="s">
        <v>206</v>
      </c>
      <c r="C29416" t="s">
        <v>20</v>
      </c>
      <c r="D29416" t="s">
        <v>90</v>
      </c>
      <c r="F29416" s="2" t="str">
        <f>HYPERLINK("http://www.otzar.org/book.asp?190957","סיפורי צדיקים - חנוכה")</f>
        <v>סיפורי צדיקים - חנוכה</v>
      </c>
    </row>
    <row r="29417" spans="1:6" x14ac:dyDescent="0.2">
      <c r="A29417" t="s">
        <v>46423</v>
      </c>
      <c r="B29417" t="s">
        <v>6766</v>
      </c>
      <c r="C29417" t="s">
        <v>433</v>
      </c>
      <c r="D29417" t="s">
        <v>3208</v>
      </c>
      <c r="F29417" s="2" t="str">
        <f>HYPERLINK("http://www.otzar.org/book.asp?617362","סיפורי שמואל")</f>
        <v>סיפורי שמואל</v>
      </c>
    </row>
    <row r="29418" spans="1:6" x14ac:dyDescent="0.2">
      <c r="A29418" t="s">
        <v>46424</v>
      </c>
      <c r="B29418" t="s">
        <v>206</v>
      </c>
      <c r="C29418" t="s">
        <v>244</v>
      </c>
      <c r="D29418" t="s">
        <v>21</v>
      </c>
      <c r="E29418" t="s">
        <v>104</v>
      </c>
      <c r="F29418" s="2" t="str">
        <f>HYPERLINK("http://www.otzar.org/book.asp?605092","סיפורים וחיזוקים - 3 כר'")</f>
        <v>סיפורים וחיזוקים - 3 כר'</v>
      </c>
    </row>
    <row r="29419" spans="1:6" x14ac:dyDescent="0.2">
      <c r="A29419" t="s">
        <v>46425</v>
      </c>
      <c r="B29419" t="s">
        <v>46426</v>
      </c>
      <c r="C29419" t="s">
        <v>176</v>
      </c>
      <c r="D29419" t="s">
        <v>14</v>
      </c>
      <c r="E29419" t="s">
        <v>104</v>
      </c>
      <c r="F29419" s="2" t="str">
        <f>HYPERLINK("http://www.otzar.org/book.asp?181986","סיפורים ירושלמים - 5 כר'")</f>
        <v>סיפורים ירושלמים - 5 כר'</v>
      </c>
    </row>
    <row r="29420" spans="1:6" x14ac:dyDescent="0.2">
      <c r="A29420" t="s">
        <v>46427</v>
      </c>
      <c r="B29420" t="s">
        <v>42423</v>
      </c>
      <c r="C29420" t="s">
        <v>20</v>
      </c>
      <c r="D29420" t="s">
        <v>90</v>
      </c>
      <c r="E29420" t="s">
        <v>104</v>
      </c>
      <c r="F29420" s="2" t="str">
        <f>HYPERLINK("http://www.otzar.org/book.asp?611451","סיפורים מחכימים")</f>
        <v>סיפורים מחכימים</v>
      </c>
    </row>
    <row r="29421" spans="1:6" x14ac:dyDescent="0.2">
      <c r="A29421" t="s">
        <v>46428</v>
      </c>
      <c r="B29421" t="s">
        <v>21679</v>
      </c>
      <c r="C29421" t="s">
        <v>1470</v>
      </c>
      <c r="D29421" t="s">
        <v>1966</v>
      </c>
      <c r="E29421" t="s">
        <v>104</v>
      </c>
      <c r="F29421" s="2" t="str">
        <f>HYPERLINK("http://www.otzar.org/book.asp?52045","סיפורים נפלאים")</f>
        <v>סיפורים נפלאים</v>
      </c>
    </row>
    <row r="29422" spans="1:6" x14ac:dyDescent="0.2">
      <c r="A29422" t="s">
        <v>46429</v>
      </c>
      <c r="B29422" t="s">
        <v>18628</v>
      </c>
      <c r="C29422" t="s">
        <v>37</v>
      </c>
      <c r="D29422" t="s">
        <v>21</v>
      </c>
      <c r="E29422" t="s">
        <v>104</v>
      </c>
      <c r="F29422" s="2" t="str">
        <f>HYPERLINK("http://www.otzar.org/book.asp?195832","סיפורים קטנים על אנשים גדולים - ב")</f>
        <v>סיפורים קטנים על אנשים גדולים - ב</v>
      </c>
    </row>
    <row r="29423" spans="1:6" x14ac:dyDescent="0.2">
      <c r="A29423" t="s">
        <v>46430</v>
      </c>
      <c r="B29423" t="s">
        <v>46431</v>
      </c>
      <c r="C29423" t="s">
        <v>180</v>
      </c>
      <c r="D29423" t="s">
        <v>14</v>
      </c>
      <c r="E29423" t="s">
        <v>104</v>
      </c>
      <c r="F29423" s="2" t="str">
        <f>HYPERLINK("http://www.otzar.org/book.asp?7366","סיפורים - א")</f>
        <v>סיפורים - א</v>
      </c>
    </row>
    <row r="29424" spans="1:6" x14ac:dyDescent="0.2">
      <c r="A29424" t="s">
        <v>46432</v>
      </c>
      <c r="B29424" t="s">
        <v>46433</v>
      </c>
      <c r="C29424" t="s">
        <v>366</v>
      </c>
      <c r="D29424" t="s">
        <v>486</v>
      </c>
      <c r="F29424" s="2" t="str">
        <f>HYPERLINK("http://www.otzar.org/book.asp?609276","סכורא וחכמיה")</f>
        <v>סכורא וחכמיה</v>
      </c>
    </row>
    <row r="29425" spans="1:6" x14ac:dyDescent="0.2">
      <c r="A29425" t="s">
        <v>46434</v>
      </c>
      <c r="B29425" t="s">
        <v>3286</v>
      </c>
      <c r="C29425" t="s">
        <v>466</v>
      </c>
      <c r="D29425" t="s">
        <v>52</v>
      </c>
      <c r="E29425" t="s">
        <v>15</v>
      </c>
      <c r="F29425" s="2" t="str">
        <f>HYPERLINK("http://www.otzar.org/book.asp?142294","סכותה לראשי")</f>
        <v>סכותה לראשי</v>
      </c>
    </row>
    <row r="29426" spans="1:6" x14ac:dyDescent="0.2">
      <c r="A29426" t="s">
        <v>46435</v>
      </c>
      <c r="B29426" t="s">
        <v>46436</v>
      </c>
      <c r="C29426" t="s">
        <v>168</v>
      </c>
      <c r="D29426" t="s">
        <v>14</v>
      </c>
      <c r="F29426" s="2" t="str">
        <f>HYPERLINK("http://www.otzar.org/book.asp?199555","סכין שחיטה כהלכתה")</f>
        <v>סכין שחיטה כהלכתה</v>
      </c>
    </row>
    <row r="29427" spans="1:6" x14ac:dyDescent="0.2">
      <c r="A29427" t="s">
        <v>46437</v>
      </c>
      <c r="B29427" t="s">
        <v>13648</v>
      </c>
      <c r="C29427" t="s">
        <v>594</v>
      </c>
      <c r="D29427" t="s">
        <v>56</v>
      </c>
      <c r="E29427" t="s">
        <v>246</v>
      </c>
      <c r="F29427" s="2" t="str">
        <f>HYPERLINK("http://www.otzar.org/book.asp?51820","סל המצות")</f>
        <v>סל המצות</v>
      </c>
    </row>
    <row r="29428" spans="1:6" x14ac:dyDescent="0.2">
      <c r="A29428" t="s">
        <v>46438</v>
      </c>
      <c r="B29428" t="s">
        <v>5239</v>
      </c>
      <c r="C29428" t="s">
        <v>411</v>
      </c>
      <c r="D29428" t="s">
        <v>14</v>
      </c>
      <c r="E29428" t="s">
        <v>246</v>
      </c>
      <c r="F29428" s="2" t="str">
        <f>HYPERLINK("http://www.otzar.org/book.asp?183296","סלא דפלפלי - חג הסוכות")</f>
        <v>סלא דפלפלי - חג הסוכות</v>
      </c>
    </row>
    <row r="29429" spans="1:6" x14ac:dyDescent="0.2">
      <c r="A29429" t="s">
        <v>46439</v>
      </c>
      <c r="B29429" t="s">
        <v>28797</v>
      </c>
      <c r="C29429" t="s">
        <v>550</v>
      </c>
      <c r="D29429" t="s">
        <v>46440</v>
      </c>
      <c r="E29429" t="s">
        <v>104</v>
      </c>
      <c r="F29429" s="2" t="str">
        <f>HYPERLINK("http://www.otzar.org/book.asp?102076","סלו סלו המסילה")</f>
        <v>סלו סלו המסילה</v>
      </c>
    </row>
    <row r="29430" spans="1:6" x14ac:dyDescent="0.2">
      <c r="A29430" t="s">
        <v>46441</v>
      </c>
      <c r="B29430" t="s">
        <v>18535</v>
      </c>
      <c r="C29430" t="s">
        <v>24167</v>
      </c>
      <c r="D29430" t="s">
        <v>27</v>
      </c>
      <c r="E29430" t="s">
        <v>213</v>
      </c>
      <c r="F29430" s="2" t="str">
        <f>HYPERLINK("http://www.otzar.org/book.asp?103606","סלו סלו המסלה - 2 כר'")</f>
        <v>סלו סלו המסלה - 2 כר'</v>
      </c>
    </row>
    <row r="29431" spans="1:6" x14ac:dyDescent="0.2">
      <c r="A29431" t="s">
        <v>46442</v>
      </c>
      <c r="B29431" t="s">
        <v>9358</v>
      </c>
      <c r="C29431" t="s">
        <v>20</v>
      </c>
      <c r="D29431" t="s">
        <v>216</v>
      </c>
      <c r="F29431" s="2" t="str">
        <f>HYPERLINK("http://www.otzar.org/book.asp?614673","סלונים - 3 כר'")</f>
        <v>סלונים - 3 כר'</v>
      </c>
    </row>
    <row r="29432" spans="1:6" x14ac:dyDescent="0.2">
      <c r="A29432" t="s">
        <v>46443</v>
      </c>
      <c r="B29432" t="s">
        <v>17512</v>
      </c>
      <c r="C29432" t="s">
        <v>7059</v>
      </c>
      <c r="D29432" t="s">
        <v>23875</v>
      </c>
      <c r="E29432" t="s">
        <v>219</v>
      </c>
      <c r="F29432" s="2" t="str">
        <f>HYPERLINK("http://www.otzar.org/book.asp?63902","סליחה בשביל ילדים קטנים")</f>
        <v>סליחה בשביל ילדים קטנים</v>
      </c>
    </row>
    <row r="29433" spans="1:6" x14ac:dyDescent="0.2">
      <c r="A29433" t="s">
        <v>46444</v>
      </c>
      <c r="B29433" t="s">
        <v>46445</v>
      </c>
      <c r="C29433" t="s">
        <v>433</v>
      </c>
      <c r="D29433" t="s">
        <v>4338</v>
      </c>
      <c r="F29433" s="2" t="str">
        <f>HYPERLINK("http://www.otzar.org/book.asp?197480","סליחה כל בו השלמה")</f>
        <v>סליחה כל בו השלמה</v>
      </c>
    </row>
    <row r="29434" spans="1:6" x14ac:dyDescent="0.2">
      <c r="A29434" t="s">
        <v>46446</v>
      </c>
      <c r="B29434" t="s">
        <v>35381</v>
      </c>
      <c r="C29434" t="s">
        <v>29814</v>
      </c>
      <c r="D29434" t="s">
        <v>1117</v>
      </c>
      <c r="E29434" t="s">
        <v>219</v>
      </c>
      <c r="F29434" s="2" t="str">
        <f>HYPERLINK("http://www.otzar.org/book.asp?63901","סליחה לקדושים")</f>
        <v>סליחה לקדושים</v>
      </c>
    </row>
    <row r="29435" spans="1:6" x14ac:dyDescent="0.2">
      <c r="A29435" t="s">
        <v>46447</v>
      </c>
      <c r="B29435" t="s">
        <v>46448</v>
      </c>
      <c r="C29435" t="s">
        <v>1666</v>
      </c>
      <c r="D29435" t="s">
        <v>726</v>
      </c>
      <c r="E29435" t="s">
        <v>1626</v>
      </c>
      <c r="F29435" s="2" t="str">
        <f>HYPERLINK("http://www.otzar.org/book.asp?147218","סליחה נתייסדה על הקדושים")</f>
        <v>סליחה נתייסדה על הקדושים</v>
      </c>
    </row>
    <row r="29436" spans="1:6" x14ac:dyDescent="0.2">
      <c r="A29436" t="s">
        <v>46449</v>
      </c>
      <c r="B29436" t="s">
        <v>46450</v>
      </c>
      <c r="C29436" t="s">
        <v>1228</v>
      </c>
      <c r="D29436" t="s">
        <v>35382</v>
      </c>
      <c r="E29436" t="s">
        <v>1517</v>
      </c>
      <c r="F29436" s="2" t="str">
        <f>HYPERLINK("http://www.otzar.org/book.asp?153210","סליחות באותיות גדולות")</f>
        <v>סליחות באותיות גדולות</v>
      </c>
    </row>
    <row r="29437" spans="1:6" x14ac:dyDescent="0.2">
      <c r="A29437" t="s">
        <v>46451</v>
      </c>
      <c r="B29437" t="s">
        <v>46452</v>
      </c>
      <c r="C29437" t="s">
        <v>558</v>
      </c>
      <c r="D29437" t="s">
        <v>56</v>
      </c>
      <c r="E29437" t="s">
        <v>219</v>
      </c>
      <c r="F29437" s="2" t="str">
        <f>HYPERLINK("http://www.otzar.org/book.asp?152926","סליחות בעד חברה קדישא")</f>
        <v>סליחות בעד חברה קדישא</v>
      </c>
    </row>
    <row r="29438" spans="1:6" x14ac:dyDescent="0.2">
      <c r="A29438" t="s">
        <v>46453</v>
      </c>
      <c r="B29438" t="s">
        <v>46454</v>
      </c>
      <c r="C29438" t="s">
        <v>2870</v>
      </c>
      <c r="D29438" t="s">
        <v>283</v>
      </c>
      <c r="E29438" t="s">
        <v>219</v>
      </c>
      <c r="F29438" s="2" t="str">
        <f>HYPERLINK("http://www.otzar.org/book.asp?149856","סליחות ומענה לשון &lt;קודש הלולים&gt;")</f>
        <v>סליחות ומענה לשון &lt;קודש הלולים&gt;</v>
      </c>
    </row>
    <row r="29439" spans="1:6" x14ac:dyDescent="0.2">
      <c r="A29439" t="s">
        <v>46455</v>
      </c>
      <c r="B29439" t="s">
        <v>46456</v>
      </c>
      <c r="C29439" t="s">
        <v>23</v>
      </c>
      <c r="D29439" t="s">
        <v>21</v>
      </c>
      <c r="F29439" s="2" t="str">
        <f>HYPERLINK("http://www.otzar.org/book.asp?194533","סליחות כמנהג אשכנז - שער אפרים")</f>
        <v>סליחות כמנהג אשכנז - שער אפרים</v>
      </c>
    </row>
    <row r="29440" spans="1:6" x14ac:dyDescent="0.2">
      <c r="A29440" t="s">
        <v>46457</v>
      </c>
      <c r="B29440" t="s">
        <v>46458</v>
      </c>
      <c r="C29440" t="s">
        <v>37</v>
      </c>
      <c r="D29440" t="s">
        <v>5172</v>
      </c>
      <c r="E29440" t="s">
        <v>219</v>
      </c>
      <c r="F29440" s="2" t="str">
        <f>HYPERLINK("http://www.otzar.org/book.asp?182040","סליחות כמנהג אשכנז - מפורשות")</f>
        <v>סליחות כמנהג אשכנז - מפורשות</v>
      </c>
    </row>
    <row r="29441" spans="1:6" x14ac:dyDescent="0.2">
      <c r="A29441" t="s">
        <v>46459</v>
      </c>
      <c r="B29441" t="s">
        <v>46460</v>
      </c>
      <c r="C29441" t="s">
        <v>5527</v>
      </c>
      <c r="D29441" t="s">
        <v>46461</v>
      </c>
      <c r="E29441" t="s">
        <v>219</v>
      </c>
      <c r="F29441" s="2" t="str">
        <f>HYPERLINK("http://www.otzar.org/book.asp?62226","סליחות כמנהג אשכנז")</f>
        <v>סליחות כמנהג אשכנז</v>
      </c>
    </row>
    <row r="29442" spans="1:6" x14ac:dyDescent="0.2">
      <c r="A29442" t="s">
        <v>46462</v>
      </c>
      <c r="B29442" t="s">
        <v>46463</v>
      </c>
      <c r="C29442" t="s">
        <v>5903</v>
      </c>
      <c r="D29442" t="s">
        <v>56</v>
      </c>
      <c r="F29442" s="2" t="str">
        <f>HYPERLINK("http://www.otzar.org/book.asp?604151","סליחות כמנהג ליטא, רייסין, וזאמוט")</f>
        <v>סליחות כמנהג ליטא, רייסין, וזאמוט</v>
      </c>
    </row>
    <row r="29443" spans="1:6" x14ac:dyDescent="0.2">
      <c r="A29443" t="s">
        <v>46464</v>
      </c>
      <c r="B29443" t="s">
        <v>46465</v>
      </c>
      <c r="C29443" t="s">
        <v>75</v>
      </c>
      <c r="D29443" t="s">
        <v>9091</v>
      </c>
      <c r="E29443" t="s">
        <v>219</v>
      </c>
      <c r="F29443" s="2" t="str">
        <f>HYPERLINK("http://www.otzar.org/book.asp?26544","סליחות כמנהג ליטא, רייסין, זאמיט, ושאר קהלות")</f>
        <v>סליחות כמנהג ליטא, רייסין, זאמיט, ושאר קהלות</v>
      </c>
    </row>
    <row r="29444" spans="1:6" x14ac:dyDescent="0.2">
      <c r="A29444" t="s">
        <v>46466</v>
      </c>
      <c r="B29444" t="s">
        <v>46467</v>
      </c>
      <c r="C29444" t="s">
        <v>2465</v>
      </c>
      <c r="D29444" t="s">
        <v>42</v>
      </c>
      <c r="E29444" t="s">
        <v>219</v>
      </c>
      <c r="F29444" s="2" t="str">
        <f>HYPERLINK("http://www.otzar.org/book.asp?26542","סליחות כמנהג פולין, בעהמן, מעהרין, אונגרארן, אנגליא ודענימארק")</f>
        <v>סליחות כמנהג פולין, בעהמן, מעהרין, אונגרארן, אנגליא ודענימארק</v>
      </c>
    </row>
    <row r="29445" spans="1:6" x14ac:dyDescent="0.2">
      <c r="A29445" t="s">
        <v>46468</v>
      </c>
      <c r="B29445" t="s">
        <v>46469</v>
      </c>
      <c r="C29445" t="s">
        <v>5169</v>
      </c>
      <c r="D29445" t="s">
        <v>8370</v>
      </c>
      <c r="E29445" t="s">
        <v>219</v>
      </c>
      <c r="F29445" s="2" t="str">
        <f>HYPERLINK("http://www.otzar.org/book.asp?26546","סליחות כמנהג פיהם, פולין, מעהרן, אונגארן")</f>
        <v>סליחות כמנהג פיהם, פולין, מעהרן, אונגארן</v>
      </c>
    </row>
    <row r="29446" spans="1:6" x14ac:dyDescent="0.2">
      <c r="A29446" t="s">
        <v>46470</v>
      </c>
      <c r="B29446" t="s">
        <v>46471</v>
      </c>
      <c r="C29446" t="s">
        <v>725</v>
      </c>
      <c r="D29446" t="s">
        <v>212</v>
      </c>
      <c r="E29446" t="s">
        <v>219</v>
      </c>
      <c r="F29446" s="2" t="str">
        <f>HYPERLINK("http://www.otzar.org/book.asp?9892","סליחות כמנהג קהל קדוש תימנים")</f>
        <v>סליחות כמנהג קהל קדוש תימנים</v>
      </c>
    </row>
    <row r="29447" spans="1:6" x14ac:dyDescent="0.2">
      <c r="A29447" t="s">
        <v>46472</v>
      </c>
      <c r="B29447" t="s">
        <v>46473</v>
      </c>
      <c r="C29447" t="s">
        <v>603</v>
      </c>
      <c r="D29447" t="s">
        <v>46474</v>
      </c>
      <c r="E29447" t="s">
        <v>1517</v>
      </c>
      <c r="F29447" s="2" t="str">
        <f>HYPERLINK("http://www.otzar.org/book.asp?174363","סליחות לאשמורת הבקר")</f>
        <v>סליחות לאשמורת הבקר</v>
      </c>
    </row>
    <row r="29448" spans="1:6" x14ac:dyDescent="0.2">
      <c r="A29448" t="s">
        <v>46475</v>
      </c>
      <c r="B29448" t="s">
        <v>46476</v>
      </c>
      <c r="C29448" t="s">
        <v>1659</v>
      </c>
      <c r="D29448" t="s">
        <v>729</v>
      </c>
      <c r="E29448" t="s">
        <v>219</v>
      </c>
      <c r="F29448" s="2" t="str">
        <f>HYPERLINK("http://www.otzar.org/book.asp?148958","סליחות להתפלל על חולי הילדים שקרוין רובליז")</f>
        <v>סליחות להתפלל על חולי הילדים שקרוין רובליז</v>
      </c>
    </row>
    <row r="29449" spans="1:6" x14ac:dyDescent="0.2">
      <c r="A29449" t="s">
        <v>46477</v>
      </c>
      <c r="B29449" t="s">
        <v>46477</v>
      </c>
      <c r="C29449" t="s">
        <v>985</v>
      </c>
      <c r="D29449" t="s">
        <v>5961</v>
      </c>
      <c r="E29449" t="s">
        <v>219</v>
      </c>
      <c r="F29449" s="2" t="str">
        <f>HYPERLINK("http://www.otzar.org/book.asp?107092","סליחות ליום כ' סיון")</f>
        <v>סליחות ליום כ' סיון</v>
      </c>
    </row>
    <row r="29450" spans="1:6" x14ac:dyDescent="0.2">
      <c r="A29450" t="s">
        <v>46478</v>
      </c>
      <c r="B29450" t="s">
        <v>46479</v>
      </c>
      <c r="C29450" t="s">
        <v>635</v>
      </c>
      <c r="D29450" t="s">
        <v>56</v>
      </c>
      <c r="E29450" t="s">
        <v>219</v>
      </c>
      <c r="F29450" s="2" t="str">
        <f>HYPERLINK("http://www.otzar.org/book.asp?26541","סליחות לימים נוראים כמנהג פוזנן והוראדני")</f>
        <v>סליחות לימים נוראים כמנהג פוזנן והוראדני</v>
      </c>
    </row>
    <row r="29451" spans="1:6" x14ac:dyDescent="0.2">
      <c r="A29451" t="s">
        <v>46480</v>
      </c>
      <c r="B29451" t="s">
        <v>46481</v>
      </c>
      <c r="C29451" t="s">
        <v>1625</v>
      </c>
      <c r="D29451" t="s">
        <v>1117</v>
      </c>
      <c r="E29451" t="s">
        <v>219</v>
      </c>
      <c r="F29451" s="2" t="str">
        <f>HYPERLINK("http://www.otzar.org/book.asp?147328","סליחות לכ' סיון")</f>
        <v>סליחות לכ' סיון</v>
      </c>
    </row>
    <row r="29452" spans="1:6" x14ac:dyDescent="0.2">
      <c r="A29452" t="s">
        <v>46482</v>
      </c>
      <c r="B29452" t="s">
        <v>20147</v>
      </c>
      <c r="C29452" t="s">
        <v>1208</v>
      </c>
      <c r="D29452" t="s">
        <v>216</v>
      </c>
      <c r="E29452" t="s">
        <v>219</v>
      </c>
      <c r="F29452" s="2" t="str">
        <f>HYPERLINK("http://www.otzar.org/book.asp?177099","סליחות לכל יום מפוסקות ע""פ טעמיהם")</f>
        <v>סליחות לכל יום מפוסקות ע"פ טעמיהם</v>
      </c>
    </row>
    <row r="29453" spans="1:6" x14ac:dyDescent="0.2">
      <c r="A29453" t="s">
        <v>46483</v>
      </c>
      <c r="B29453" t="s">
        <v>45528</v>
      </c>
      <c r="E29453" t="s">
        <v>1517</v>
      </c>
      <c r="F29453" s="2" t="str">
        <f>HYPERLINK("http://www.otzar.org/book.asp?617029","סליחות לשחרית של יום הכפורים")</f>
        <v>סליחות לשחרית של יום הכפורים</v>
      </c>
    </row>
    <row r="29454" spans="1:6" x14ac:dyDescent="0.2">
      <c r="A29454" t="s">
        <v>46484</v>
      </c>
      <c r="B29454" t="s">
        <v>46485</v>
      </c>
      <c r="C29454" t="s">
        <v>1640</v>
      </c>
      <c r="D29454" t="s">
        <v>80</v>
      </c>
      <c r="F29454" s="2" t="str">
        <f>HYPERLINK("http://www.otzar.org/book.asp?197538","סליחות מבוארות")</f>
        <v>סליחות מבוארות</v>
      </c>
    </row>
    <row r="29455" spans="1:6" x14ac:dyDescent="0.2">
      <c r="A29455" t="s">
        <v>46486</v>
      </c>
      <c r="C29455" t="s">
        <v>46487</v>
      </c>
      <c r="D29455" t="s">
        <v>29670</v>
      </c>
      <c r="E29455" t="s">
        <v>219</v>
      </c>
      <c r="F29455" s="2" t="str">
        <f>HYPERLINK("http://www.otzar.org/book.asp?611738","סליחות מכל השנה כמנהג האשכנזים")</f>
        <v>סליחות מכל השנה כמנהג האשכנזים</v>
      </c>
    </row>
    <row r="29456" spans="1:6" x14ac:dyDescent="0.2">
      <c r="A29456" t="s">
        <v>46488</v>
      </c>
      <c r="B29456" t="s">
        <v>46489</v>
      </c>
      <c r="C29456" t="s">
        <v>11776</v>
      </c>
      <c r="D29456" t="s">
        <v>2303</v>
      </c>
      <c r="E29456" t="s">
        <v>219</v>
      </c>
      <c r="F29456" s="2" t="str">
        <f>HYPERLINK("http://www.otzar.org/book.asp?53495","סליחות מכל השנה")</f>
        <v>סליחות מכל השנה</v>
      </c>
    </row>
    <row r="29457" spans="1:6" x14ac:dyDescent="0.2">
      <c r="A29457" t="s">
        <v>46490</v>
      </c>
      <c r="B29457" t="s">
        <v>4953</v>
      </c>
      <c r="C29457" t="s">
        <v>133</v>
      </c>
      <c r="D29457" t="s">
        <v>14</v>
      </c>
      <c r="F29457" s="2" t="str">
        <f>HYPERLINK("http://www.otzar.org/book.asp?614686","סליחות מפורשות ומבוארות &lt;ישמיענו סלחתי&gt; - פולין")</f>
        <v>סליחות מפורשות ומבוארות &lt;ישמיענו סלחתי&gt; - פולין</v>
      </c>
    </row>
    <row r="29458" spans="1:6" x14ac:dyDescent="0.2">
      <c r="A29458" t="s">
        <v>46491</v>
      </c>
      <c r="B29458" t="s">
        <v>46492</v>
      </c>
      <c r="C29458" t="s">
        <v>2550</v>
      </c>
      <c r="D29458" t="s">
        <v>283</v>
      </c>
      <c r="E29458" t="s">
        <v>219</v>
      </c>
      <c r="F29458" s="2" t="str">
        <f>HYPERLINK("http://www.otzar.org/book.asp?26540","סליחות עם רב פנינים כמנהג פוילן")</f>
        <v>סליחות עם רב פנינים כמנהג פוילן</v>
      </c>
    </row>
    <row r="29459" spans="1:6" x14ac:dyDescent="0.2">
      <c r="A29459" t="s">
        <v>46493</v>
      </c>
      <c r="B29459" t="s">
        <v>123</v>
      </c>
      <c r="C29459" t="s">
        <v>585</v>
      </c>
      <c r="D29459" t="s">
        <v>14</v>
      </c>
      <c r="E29459" t="s">
        <v>219</v>
      </c>
      <c r="F29459" s="2" t="str">
        <f>HYPERLINK("http://www.otzar.org/book.asp?150508","סליחות תפלה למשה")</f>
        <v>סליחות תפלה למשה</v>
      </c>
    </row>
    <row r="29460" spans="1:6" x14ac:dyDescent="0.2">
      <c r="A29460" t="s">
        <v>45528</v>
      </c>
      <c r="B29460" t="s">
        <v>45528</v>
      </c>
      <c r="C29460" t="s">
        <v>5527</v>
      </c>
      <c r="D29460" t="s">
        <v>46494</v>
      </c>
      <c r="F29460" s="2" t="str">
        <f>HYPERLINK("http://www.otzar.org/book.asp?164827","סליחות")</f>
        <v>סליחות</v>
      </c>
    </row>
    <row r="29461" spans="1:6" x14ac:dyDescent="0.2">
      <c r="A29461" t="s">
        <v>46495</v>
      </c>
      <c r="B29461" t="s">
        <v>46496</v>
      </c>
      <c r="C29461" t="s">
        <v>10572</v>
      </c>
      <c r="D29461" t="s">
        <v>1023</v>
      </c>
      <c r="E29461" t="s">
        <v>219</v>
      </c>
      <c r="F29461" s="2" t="str">
        <f>HYPERLINK("http://www.otzar.org/book.asp?152242","סליחות - כמנהג קהילות קדושות דמדינות ליטא")</f>
        <v>סליחות - כמנהג קהילות קדושות דמדינות ליטא</v>
      </c>
    </row>
    <row r="29462" spans="1:6" x14ac:dyDescent="0.2">
      <c r="A29462" t="s">
        <v>45528</v>
      </c>
      <c r="B29462" t="s">
        <v>46497</v>
      </c>
      <c r="C29462" t="s">
        <v>1177</v>
      </c>
      <c r="D29462" t="s">
        <v>1566</v>
      </c>
      <c r="E29462" t="s">
        <v>219</v>
      </c>
      <c r="F29462" s="2" t="str">
        <f>HYPERLINK("http://www.otzar.org/book.asp?179454","סליחות")</f>
        <v>סליחות</v>
      </c>
    </row>
    <row r="29463" spans="1:6" x14ac:dyDescent="0.2">
      <c r="A29463" t="s">
        <v>46498</v>
      </c>
      <c r="B29463" t="s">
        <v>46499</v>
      </c>
      <c r="C29463" t="s">
        <v>1228</v>
      </c>
      <c r="D29463" t="s">
        <v>56</v>
      </c>
      <c r="E29463" t="s">
        <v>219</v>
      </c>
      <c r="F29463" s="2" t="str">
        <f>HYPERLINK("http://www.otzar.org/book.asp?28690","סליחות - כמנהג יושבי רוססיא הצפונית מערבית")</f>
        <v>סליחות - כמנהג יושבי רוססיא הצפונית מערבית</v>
      </c>
    </row>
    <row r="29464" spans="1:6" x14ac:dyDescent="0.2">
      <c r="A29464" t="s">
        <v>46500</v>
      </c>
      <c r="B29464" t="s">
        <v>552</v>
      </c>
      <c r="C29464" t="s">
        <v>133</v>
      </c>
      <c r="D29464" t="s">
        <v>90</v>
      </c>
      <c r="E29464" t="s">
        <v>202</v>
      </c>
      <c r="F29464" s="2" t="str">
        <f>HYPERLINK("http://www.otzar.org/book.asp?175602","סלם יעקב")</f>
        <v>סלם יעקב</v>
      </c>
    </row>
    <row r="29465" spans="1:6" x14ac:dyDescent="0.2">
      <c r="A29465" t="s">
        <v>46501</v>
      </c>
      <c r="B29465" t="s">
        <v>46502</v>
      </c>
      <c r="C29465" t="s">
        <v>585</v>
      </c>
      <c r="D29465" t="s">
        <v>31191</v>
      </c>
      <c r="E29465" t="s">
        <v>46503</v>
      </c>
      <c r="F29465" s="2" t="str">
        <f>HYPERLINK("http://www.otzar.org/book.asp?163976","סלם מצב")</f>
        <v>סלם מצב</v>
      </c>
    </row>
    <row r="29466" spans="1:6" x14ac:dyDescent="0.2">
      <c r="A29466" t="s">
        <v>46504</v>
      </c>
      <c r="B29466" t="s">
        <v>46505</v>
      </c>
      <c r="C29466" t="s">
        <v>576</v>
      </c>
      <c r="D29466" t="s">
        <v>14913</v>
      </c>
      <c r="E29466" t="s">
        <v>154</v>
      </c>
      <c r="F29466" s="2" t="str">
        <f>HYPERLINK("http://www.otzar.org/book.asp?108827","סלסלות יוסף")</f>
        <v>סלסלות יוסף</v>
      </c>
    </row>
    <row r="29467" spans="1:6" x14ac:dyDescent="0.2">
      <c r="A29467" t="s">
        <v>46506</v>
      </c>
      <c r="B29467" t="s">
        <v>46507</v>
      </c>
      <c r="C29467" t="s">
        <v>114</v>
      </c>
      <c r="D29467" t="s">
        <v>90</v>
      </c>
      <c r="F29467" s="2" t="str">
        <f>HYPERLINK("http://www.otzar.org/book.asp?164620","סלע מדינה")</f>
        <v>סלע מדינה</v>
      </c>
    </row>
    <row r="29468" spans="1:6" x14ac:dyDescent="0.2">
      <c r="A29468" t="s">
        <v>46508</v>
      </c>
      <c r="B29468" t="s">
        <v>46509</v>
      </c>
      <c r="C29468" t="s">
        <v>185</v>
      </c>
      <c r="D29468" t="s">
        <v>14</v>
      </c>
      <c r="E29468" t="s">
        <v>241</v>
      </c>
      <c r="F29468" s="2" t="str">
        <f>HYPERLINK("http://www.otzar.org/book.asp?627472","סלעי ומצודתי - 2 כר'")</f>
        <v>סלעי ומצודתי - 2 כר'</v>
      </c>
    </row>
    <row r="29469" spans="1:6" x14ac:dyDescent="0.2">
      <c r="A29469" t="s">
        <v>46510</v>
      </c>
      <c r="B29469" t="s">
        <v>34445</v>
      </c>
      <c r="C29469" t="s">
        <v>1659</v>
      </c>
      <c r="D29469" t="s">
        <v>42</v>
      </c>
      <c r="E29469" t="s">
        <v>2098</v>
      </c>
      <c r="F29469" s="2" t="str">
        <f>HYPERLINK("http://www.otzar.org/book.asp?141121","סלת מנחה בלולה - 2 כר'")</f>
        <v>סלת מנחה בלולה - 2 כר'</v>
      </c>
    </row>
    <row r="29470" spans="1:6" x14ac:dyDescent="0.2">
      <c r="A29470" t="s">
        <v>46511</v>
      </c>
      <c r="B29470" t="s">
        <v>5297</v>
      </c>
      <c r="C29470" t="s">
        <v>20</v>
      </c>
      <c r="D29470" t="s">
        <v>52</v>
      </c>
      <c r="F29470" s="2" t="str">
        <f>HYPERLINK("http://www.otzar.org/book.asp?622965","סם החיים")</f>
        <v>סם החיים</v>
      </c>
    </row>
    <row r="29471" spans="1:6" x14ac:dyDescent="0.2">
      <c r="A29471" t="s">
        <v>46512</v>
      </c>
      <c r="B29471" t="s">
        <v>46513</v>
      </c>
      <c r="C29471" t="s">
        <v>10155</v>
      </c>
      <c r="D29471" t="s">
        <v>76</v>
      </c>
      <c r="E29471" t="s">
        <v>559</v>
      </c>
      <c r="F29471" s="2" t="str">
        <f>HYPERLINK("http://www.otzar.org/book.asp?101534","סם חיי")</f>
        <v>סם חיי</v>
      </c>
    </row>
    <row r="29472" spans="1:6" x14ac:dyDescent="0.2">
      <c r="A29472" t="s">
        <v>46514</v>
      </c>
      <c r="B29472" t="s">
        <v>46515</v>
      </c>
      <c r="C29472" t="s">
        <v>17</v>
      </c>
      <c r="D29472" t="s">
        <v>14</v>
      </c>
      <c r="E29472" t="s">
        <v>621</v>
      </c>
      <c r="F29472" s="2" t="str">
        <f>HYPERLINK("http://www.otzar.org/book.asp?16424","סם חיים &lt;בענין מכונות הגילוח&gt;")</f>
        <v>סם חיים &lt;בענין מכונות הגילוח&gt;</v>
      </c>
    </row>
    <row r="29473" spans="1:6" x14ac:dyDescent="0.2">
      <c r="A29473" t="s">
        <v>46516</v>
      </c>
      <c r="B29473" t="s">
        <v>46517</v>
      </c>
      <c r="C29473" t="s">
        <v>2243</v>
      </c>
      <c r="D29473" t="s">
        <v>212</v>
      </c>
      <c r="E29473" t="s">
        <v>529</v>
      </c>
      <c r="F29473" s="2" t="str">
        <f>HYPERLINK("http://www.otzar.org/book.asp?5666","סם חיים - תוס' שאנץ מכות, פסקי רי""ד ה""ק וסוכה, ר' יונה סנהדרין")</f>
        <v>סם חיים - תוס' שאנץ מכות, פסקי רי"ד ה"ק וסוכה, ר' יונה סנהדרין</v>
      </c>
    </row>
    <row r="29474" spans="1:6" x14ac:dyDescent="0.2">
      <c r="A29474" t="s">
        <v>46518</v>
      </c>
      <c r="B29474" t="s">
        <v>46519</v>
      </c>
      <c r="C29474" t="s">
        <v>103</v>
      </c>
      <c r="D29474" t="s">
        <v>14</v>
      </c>
      <c r="E29474" t="s">
        <v>8469</v>
      </c>
      <c r="F29474" s="2" t="str">
        <f>HYPERLINK("http://www.otzar.org/book.asp?175428","סם חיים - ליקוטי תורה")</f>
        <v>סם חיים - ליקוטי תורה</v>
      </c>
    </row>
    <row r="29475" spans="1:6" x14ac:dyDescent="0.2">
      <c r="A29475" t="s">
        <v>46515</v>
      </c>
      <c r="B29475" t="s">
        <v>40860</v>
      </c>
      <c r="C29475" t="s">
        <v>29803</v>
      </c>
      <c r="D29475" t="s">
        <v>744</v>
      </c>
      <c r="F29475" s="2" t="str">
        <f>HYPERLINK("http://www.otzar.org/book.asp?147305","סם חיים")</f>
        <v>סם חיים</v>
      </c>
    </row>
    <row r="29476" spans="1:6" x14ac:dyDescent="0.2">
      <c r="A29476" t="s">
        <v>46515</v>
      </c>
      <c r="B29476" t="s">
        <v>46520</v>
      </c>
      <c r="C29476" t="s">
        <v>20</v>
      </c>
      <c r="D29476" t="s">
        <v>21</v>
      </c>
      <c r="F29476" s="2" t="str">
        <f>HYPERLINK("http://www.otzar.org/book.asp?191756","סם חיים")</f>
        <v>סם חיים</v>
      </c>
    </row>
    <row r="29477" spans="1:6" x14ac:dyDescent="0.2">
      <c r="A29477" t="s">
        <v>46515</v>
      </c>
      <c r="B29477" t="s">
        <v>46521</v>
      </c>
      <c r="C29477" t="s">
        <v>16796</v>
      </c>
      <c r="D29477" t="s">
        <v>1023</v>
      </c>
      <c r="E29477" t="s">
        <v>564</v>
      </c>
      <c r="F29477" s="2" t="str">
        <f>HYPERLINK("http://www.otzar.org/book.asp?102077","סם חיים")</f>
        <v>סם חיים</v>
      </c>
    </row>
    <row r="29478" spans="1:6" x14ac:dyDescent="0.2">
      <c r="A29478" t="s">
        <v>46522</v>
      </c>
      <c r="B29478" t="s">
        <v>46523</v>
      </c>
      <c r="C29478" t="s">
        <v>1619</v>
      </c>
      <c r="D29478" t="s">
        <v>14</v>
      </c>
      <c r="E29478" t="s">
        <v>674</v>
      </c>
      <c r="F29478" s="2" t="str">
        <f>HYPERLINK("http://www.otzar.org/book.asp?171762","סמ""ג &lt;ע""פ משנת אברהם&gt; - 3 כר'")</f>
        <v>סמ"ג &lt;ע"פ משנת אברהם&gt; - 3 כר'</v>
      </c>
    </row>
    <row r="29479" spans="1:6" x14ac:dyDescent="0.2">
      <c r="A29479" t="s">
        <v>46524</v>
      </c>
      <c r="B29479" t="s">
        <v>46525</v>
      </c>
      <c r="C29479" t="s">
        <v>785</v>
      </c>
      <c r="D29479" t="s">
        <v>14</v>
      </c>
      <c r="E29479" t="s">
        <v>104</v>
      </c>
      <c r="F29479" s="2" t="str">
        <f>HYPERLINK("http://www.otzar.org/book.asp?22149","סמ""ג &lt;עם פירוש מי קמא&gt; - 3 כר'")</f>
        <v>סמ"ג &lt;עם פירוש מי קמא&gt; - 3 כר'</v>
      </c>
    </row>
    <row r="29480" spans="1:6" x14ac:dyDescent="0.2">
      <c r="A29480" t="s">
        <v>46526</v>
      </c>
      <c r="B29480" t="s">
        <v>5213</v>
      </c>
      <c r="C29480" t="s">
        <v>23</v>
      </c>
      <c r="D29480" t="s">
        <v>14</v>
      </c>
      <c r="E29480" t="s">
        <v>241</v>
      </c>
      <c r="F29480" s="2" t="str">
        <f>HYPERLINK("http://www.otzar.org/book.asp?608690","סמ""י דחיי")</f>
        <v>סמ"י דחיי</v>
      </c>
    </row>
    <row r="29481" spans="1:6" x14ac:dyDescent="0.2">
      <c r="A29481" t="s">
        <v>46527</v>
      </c>
      <c r="B29481" t="s">
        <v>46528</v>
      </c>
      <c r="C29481" t="s">
        <v>146</v>
      </c>
      <c r="D29481" t="s">
        <v>14</v>
      </c>
      <c r="E29481" t="s">
        <v>172</v>
      </c>
      <c r="F29481" s="2" t="str">
        <f>HYPERLINK("http://www.otzar.org/book.asp?166317","סמ""ע ליור""ד &lt;שלחן ערוך ע""פ סמ""ע&gt;")</f>
        <v>סמ"ע ליור"ד &lt;שלחן ערוך ע"פ סמ"ע&gt;</v>
      </c>
    </row>
    <row r="29482" spans="1:6" x14ac:dyDescent="0.2">
      <c r="A29482" t="s">
        <v>46529</v>
      </c>
      <c r="B29482" t="s">
        <v>686</v>
      </c>
      <c r="C29482" t="s">
        <v>422</v>
      </c>
      <c r="D29482" t="s">
        <v>52</v>
      </c>
      <c r="E29482" t="s">
        <v>104</v>
      </c>
      <c r="F29482" s="2" t="str">
        <f>HYPERLINK("http://www.otzar.org/book.asp?149800","סמא דחיי")</f>
        <v>סמא דחיי</v>
      </c>
    </row>
    <row r="29483" spans="1:6" x14ac:dyDescent="0.2">
      <c r="A29483" t="s">
        <v>46529</v>
      </c>
      <c r="B29483" t="s">
        <v>46530</v>
      </c>
      <c r="C29483" t="s">
        <v>10572</v>
      </c>
      <c r="D29483" t="s">
        <v>1023</v>
      </c>
      <c r="E29483" t="s">
        <v>154</v>
      </c>
      <c r="F29483" s="2" t="str">
        <f>HYPERLINK("http://www.otzar.org/book.asp?101724","סמא דחיי")</f>
        <v>סמא דחיי</v>
      </c>
    </row>
    <row r="29484" spans="1:6" x14ac:dyDescent="0.2">
      <c r="A29484" t="s">
        <v>46529</v>
      </c>
      <c r="B29484" t="s">
        <v>23424</v>
      </c>
      <c r="C29484" t="s">
        <v>1284</v>
      </c>
      <c r="D29484" t="s">
        <v>100</v>
      </c>
      <c r="E29484" t="s">
        <v>234</v>
      </c>
      <c r="F29484" s="2" t="str">
        <f>HYPERLINK("http://www.otzar.org/book.asp?5704","סמא דחיי")</f>
        <v>סמא דחיי</v>
      </c>
    </row>
    <row r="29485" spans="1:6" x14ac:dyDescent="0.2">
      <c r="A29485" t="s">
        <v>46529</v>
      </c>
      <c r="B29485" t="s">
        <v>4537</v>
      </c>
      <c r="C29485" t="s">
        <v>581</v>
      </c>
      <c r="D29485" t="s">
        <v>27</v>
      </c>
      <c r="E29485" t="s">
        <v>399</v>
      </c>
      <c r="F29485" s="2" t="str">
        <f>HYPERLINK("http://www.otzar.org/book.asp?9949","סמא דחיי")</f>
        <v>סמא דחיי</v>
      </c>
    </row>
    <row r="29486" spans="1:6" x14ac:dyDescent="0.2">
      <c r="A29486" t="s">
        <v>46529</v>
      </c>
      <c r="B29486" t="s">
        <v>38578</v>
      </c>
      <c r="C29486" t="s">
        <v>1885</v>
      </c>
      <c r="D29486" t="s">
        <v>4269</v>
      </c>
      <c r="E29486" t="s">
        <v>15</v>
      </c>
      <c r="F29486" s="2" t="str">
        <f>HYPERLINK("http://www.otzar.org/book.asp?25592","סמא דחיי")</f>
        <v>סמא דחיי</v>
      </c>
    </row>
    <row r="29487" spans="1:6" x14ac:dyDescent="0.2">
      <c r="A29487" t="s">
        <v>46531</v>
      </c>
      <c r="B29487" t="s">
        <v>42423</v>
      </c>
      <c r="C29487" t="s">
        <v>20</v>
      </c>
      <c r="D29487" t="s">
        <v>90</v>
      </c>
      <c r="E29487" t="s">
        <v>104</v>
      </c>
      <c r="F29487" s="2" t="str">
        <f>HYPERLINK("http://www.otzar.org/book.asp?611503","סמבטיון עשרת השבטים ובני משה &lt;אוסף&gt;")</f>
        <v>סמבטיון עשרת השבטים ובני משה &lt;אוסף&gt;</v>
      </c>
    </row>
    <row r="29488" spans="1:6" x14ac:dyDescent="0.2">
      <c r="A29488" t="s">
        <v>46532</v>
      </c>
      <c r="B29488" t="s">
        <v>1112</v>
      </c>
      <c r="C29488" t="s">
        <v>313</v>
      </c>
      <c r="D29488" t="s">
        <v>118</v>
      </c>
      <c r="E29488" t="s">
        <v>158</v>
      </c>
      <c r="F29488" s="2" t="str">
        <f>HYPERLINK("http://www.otzar.org/book.asp?155231","סמוכים לעד &lt;מהדורה חדשה&gt; - 2 כר'")</f>
        <v>סמוכים לעד &lt;מהדורה חדשה&gt; - 2 כר'</v>
      </c>
    </row>
    <row r="29489" spans="1:6" x14ac:dyDescent="0.2">
      <c r="A29489" t="s">
        <v>46533</v>
      </c>
      <c r="B29489" t="s">
        <v>1112</v>
      </c>
      <c r="C29489" t="s">
        <v>2271</v>
      </c>
      <c r="D29489" t="s">
        <v>76</v>
      </c>
      <c r="E29489" t="s">
        <v>158</v>
      </c>
      <c r="F29489" s="2" t="str">
        <f>HYPERLINK("http://www.otzar.org/book.asp?104383","סמוכים לעד")</f>
        <v>סמוכים לעד</v>
      </c>
    </row>
    <row r="29490" spans="1:6" x14ac:dyDescent="0.2">
      <c r="A29490" t="s">
        <v>46534</v>
      </c>
      <c r="B29490" t="s">
        <v>16508</v>
      </c>
      <c r="C29490" t="s">
        <v>362</v>
      </c>
      <c r="D29490" t="s">
        <v>267</v>
      </c>
      <c r="E29490" t="s">
        <v>38723</v>
      </c>
      <c r="F29490" s="2" t="str">
        <f>HYPERLINK("http://www.otzar.org/book.asp?20357","סמוכים לעולם")</f>
        <v>סמוכים לעולם</v>
      </c>
    </row>
    <row r="29491" spans="1:6" x14ac:dyDescent="0.2">
      <c r="A29491" t="s">
        <v>46535</v>
      </c>
      <c r="B29491" t="s">
        <v>155</v>
      </c>
      <c r="C29491" t="s">
        <v>2271</v>
      </c>
      <c r="D29491" t="s">
        <v>76</v>
      </c>
      <c r="E29491" t="s">
        <v>154</v>
      </c>
      <c r="F29491" s="2" t="str">
        <f>HYPERLINK("http://www.otzar.org/book.asp?835","סמיכה לחיים")</f>
        <v>סמיכה לחיים</v>
      </c>
    </row>
    <row r="29492" spans="1:6" x14ac:dyDescent="0.2">
      <c r="A29492" t="s">
        <v>46536</v>
      </c>
      <c r="B29492" t="s">
        <v>46537</v>
      </c>
      <c r="C29492" t="s">
        <v>189</v>
      </c>
      <c r="D29492" t="s">
        <v>14</v>
      </c>
      <c r="E29492" t="s">
        <v>119</v>
      </c>
      <c r="F29492" s="2" t="str">
        <f>HYPERLINK("http://www.otzar.org/book.asp?165219","סמיכת זקנים (קונטרס הסמיכה)")</f>
        <v>סמיכת זקנים (קונטרס הסמיכה)</v>
      </c>
    </row>
    <row r="29493" spans="1:6" x14ac:dyDescent="0.2">
      <c r="A29493" t="s">
        <v>46538</v>
      </c>
      <c r="B29493" t="s">
        <v>46539</v>
      </c>
      <c r="C29493" t="s">
        <v>46540</v>
      </c>
      <c r="D29493" t="s">
        <v>322</v>
      </c>
      <c r="E29493" t="s">
        <v>144</v>
      </c>
      <c r="F29493" s="2" t="str">
        <f>HYPERLINK("http://www.otzar.org/book.asp?100376","סמיכת חכמים - א-ב")</f>
        <v>סמיכת חכמים - א-ב</v>
      </c>
    </row>
    <row r="29494" spans="1:6" x14ac:dyDescent="0.2">
      <c r="A29494" t="s">
        <v>46541</v>
      </c>
      <c r="B29494" t="s">
        <v>301</v>
      </c>
      <c r="C29494" t="s">
        <v>360</v>
      </c>
      <c r="D29494" t="s">
        <v>303</v>
      </c>
      <c r="E29494" t="s">
        <v>104</v>
      </c>
      <c r="F29494" s="2" t="str">
        <f>HYPERLINK("http://www.otzar.org/book.asp?149171","סמיכת חכמים")</f>
        <v>סמיכת חכמים</v>
      </c>
    </row>
    <row r="29495" spans="1:6" x14ac:dyDescent="0.2">
      <c r="A29495" t="s">
        <v>46542</v>
      </c>
      <c r="B29495" t="s">
        <v>25441</v>
      </c>
      <c r="C29495" t="s">
        <v>395</v>
      </c>
      <c r="D29495" t="s">
        <v>855</v>
      </c>
      <c r="E29495" t="s">
        <v>22298</v>
      </c>
      <c r="F29495" s="2" t="str">
        <f>HYPERLINK("http://www.otzar.org/book.asp?8302","סמיכת משה")</f>
        <v>סמיכת משה</v>
      </c>
    </row>
    <row r="29496" spans="1:6" x14ac:dyDescent="0.2">
      <c r="A29496" t="s">
        <v>46543</v>
      </c>
      <c r="B29496" t="s">
        <v>46544</v>
      </c>
      <c r="C29496" t="s">
        <v>2543</v>
      </c>
      <c r="D29496" t="s">
        <v>756</v>
      </c>
      <c r="E29496" t="s">
        <v>583</v>
      </c>
      <c r="F29496" s="2" t="str">
        <f>HYPERLINK("http://www.otzar.org/book.asp?6436","סמיכת נופלים - 2 כר'")</f>
        <v>סמיכת נופלים - 2 כר'</v>
      </c>
    </row>
    <row r="29497" spans="1:6" x14ac:dyDescent="0.2">
      <c r="A29497" t="s">
        <v>46545</v>
      </c>
      <c r="B29497" t="s">
        <v>686</v>
      </c>
      <c r="C29497" t="s">
        <v>51</v>
      </c>
      <c r="D29497" t="s">
        <v>52</v>
      </c>
      <c r="E29497" t="s">
        <v>104</v>
      </c>
      <c r="F29497" s="2" t="str">
        <f>HYPERLINK("http://www.otzar.org/book.asp?182741","סמכוני באשישות")</f>
        <v>סמכוני באשישות</v>
      </c>
    </row>
    <row r="29498" spans="1:6" x14ac:dyDescent="0.2">
      <c r="A29498" t="s">
        <v>46546</v>
      </c>
      <c r="B29498" t="s">
        <v>11403</v>
      </c>
      <c r="C29498" t="s">
        <v>492</v>
      </c>
      <c r="D29498" t="s">
        <v>4269</v>
      </c>
      <c r="E29498" t="s">
        <v>158</v>
      </c>
      <c r="F29498" s="2" t="str">
        <f>HYPERLINK("http://www.otzar.org/book.asp?102078","סמן טוב")</f>
        <v>סמן טוב</v>
      </c>
    </row>
    <row r="29499" spans="1:6" x14ac:dyDescent="0.2">
      <c r="A29499" t="s">
        <v>46547</v>
      </c>
      <c r="B29499" t="s">
        <v>46235</v>
      </c>
      <c r="C29499" t="s">
        <v>330</v>
      </c>
      <c r="D29499" t="s">
        <v>46548</v>
      </c>
      <c r="E29499" t="s">
        <v>579</v>
      </c>
      <c r="F29499" s="2" t="str">
        <f>HYPERLINK("http://www.otzar.org/book.asp?103249","סמנים על חידושי הבחיי")</f>
        <v>סמנים על חידושי הבחיי</v>
      </c>
    </row>
    <row r="29500" spans="1:6" x14ac:dyDescent="0.2">
      <c r="A29500" t="s">
        <v>46549</v>
      </c>
      <c r="B29500" t="s">
        <v>13438</v>
      </c>
      <c r="C29500" t="s">
        <v>454</v>
      </c>
      <c r="D29500" t="s">
        <v>52</v>
      </c>
      <c r="E29500" t="s">
        <v>583</v>
      </c>
      <c r="F29500" s="2" t="str">
        <f>HYPERLINK("http://www.otzar.org/book.asp?50732","סנה בוער באש")</f>
        <v>סנה בוער באש</v>
      </c>
    </row>
    <row r="29501" spans="1:6" x14ac:dyDescent="0.2">
      <c r="A29501" t="s">
        <v>46550</v>
      </c>
      <c r="B29501" t="s">
        <v>46551</v>
      </c>
      <c r="C29501" t="s">
        <v>111</v>
      </c>
      <c r="D29501" t="s">
        <v>14</v>
      </c>
      <c r="E29501" t="s">
        <v>144</v>
      </c>
      <c r="F29501" s="2" t="str">
        <f>HYPERLINK("http://www.otzar.org/book.asp?626540","סנהדרי גדולה &lt;סנהדרין&gt; - ט")</f>
        <v>סנהדרי גדולה &lt;סנהדרין&gt; - ט</v>
      </c>
    </row>
    <row r="29502" spans="1:6" x14ac:dyDescent="0.2">
      <c r="A29502" t="s">
        <v>46552</v>
      </c>
      <c r="B29502" t="s">
        <v>46553</v>
      </c>
      <c r="C29502" t="s">
        <v>956</v>
      </c>
      <c r="D29502" t="s">
        <v>14</v>
      </c>
      <c r="E29502" t="s">
        <v>144</v>
      </c>
      <c r="F29502" s="2" t="str">
        <f>HYPERLINK("http://www.otzar.org/book.asp?103934","סנהדרי גדולה &lt;סנהדרין&gt; - ה")</f>
        <v>סנהדרי גדולה &lt;סנהדרין&gt; - ה</v>
      </c>
    </row>
    <row r="29503" spans="1:6" x14ac:dyDescent="0.2">
      <c r="A29503" t="s">
        <v>46554</v>
      </c>
      <c r="B29503" t="s">
        <v>46555</v>
      </c>
      <c r="C29503" t="s">
        <v>956</v>
      </c>
      <c r="D29503" t="s">
        <v>14</v>
      </c>
      <c r="E29503" t="s">
        <v>2088</v>
      </c>
      <c r="F29503" s="2" t="str">
        <f>HYPERLINK("http://www.otzar.org/book.asp?103930","סנהדרי גדולה &lt;סנהדרין&gt; - 6 כר'")</f>
        <v>סנהדרי גדולה &lt;סנהדרין&gt; - 6 כר'</v>
      </c>
    </row>
    <row r="29504" spans="1:6" x14ac:dyDescent="0.2">
      <c r="A29504" t="s">
        <v>46556</v>
      </c>
      <c r="B29504" t="s">
        <v>19636</v>
      </c>
      <c r="C29504" t="s">
        <v>133</v>
      </c>
      <c r="D29504" t="s">
        <v>14</v>
      </c>
      <c r="E29504" t="s">
        <v>144</v>
      </c>
      <c r="F29504" s="2" t="str">
        <f>HYPERLINK("http://www.otzar.org/book.asp?189157","סנהדרי גדולה &lt;מהדורה חדשה&gt; - סנהדרין  א")</f>
        <v>סנהדרי גדולה &lt;מהדורה חדשה&gt; - סנהדרין  א</v>
      </c>
    </row>
    <row r="29505" spans="1:6" x14ac:dyDescent="0.2">
      <c r="A29505" t="s">
        <v>46557</v>
      </c>
      <c r="B29505" t="s">
        <v>46558</v>
      </c>
      <c r="C29505" t="s">
        <v>1811</v>
      </c>
      <c r="D29505" t="s">
        <v>14</v>
      </c>
      <c r="E29505" t="s">
        <v>144</v>
      </c>
      <c r="F29505" s="2" t="str">
        <f>HYPERLINK("http://www.otzar.org/book.asp?103937","סנהדרי גדולה &lt;מכות&gt; - 2 כר'")</f>
        <v>סנהדרי גדולה &lt;מכות&gt; - 2 כר'</v>
      </c>
    </row>
    <row r="29506" spans="1:6" x14ac:dyDescent="0.2">
      <c r="A29506" t="s">
        <v>46559</v>
      </c>
      <c r="B29506" t="s">
        <v>46560</v>
      </c>
      <c r="C29506" t="s">
        <v>956</v>
      </c>
      <c r="D29506" t="s">
        <v>14</v>
      </c>
      <c r="E29506" t="s">
        <v>144</v>
      </c>
      <c r="F29506" s="2" t="str">
        <f>HYPERLINK("http://www.otzar.org/book.asp?103931","סנהדרי גדולה &lt;סנהדרין&gt; - ב")</f>
        <v>סנהדרי גדולה &lt;סנהדרין&gt; - ב</v>
      </c>
    </row>
    <row r="29507" spans="1:6" x14ac:dyDescent="0.2">
      <c r="A29507" t="s">
        <v>46561</v>
      </c>
      <c r="B29507" t="s">
        <v>46562</v>
      </c>
      <c r="C29507" t="s">
        <v>956</v>
      </c>
      <c r="D29507" t="s">
        <v>14</v>
      </c>
      <c r="E29507" t="s">
        <v>144</v>
      </c>
      <c r="F29507" s="2" t="str">
        <f>HYPERLINK("http://www.otzar.org/book.asp?103933","סנהדרי גדולה &lt;סנהדרין&gt; - ד")</f>
        <v>סנהדרי גדולה &lt;סנהדרין&gt; - ד</v>
      </c>
    </row>
    <row r="29508" spans="1:6" x14ac:dyDescent="0.2">
      <c r="A29508" t="s">
        <v>46563</v>
      </c>
      <c r="B29508" t="s">
        <v>16307</v>
      </c>
      <c r="C29508" t="s">
        <v>888</v>
      </c>
      <c r="D29508" t="s">
        <v>225</v>
      </c>
      <c r="E29508" t="s">
        <v>144</v>
      </c>
      <c r="F29508" s="2" t="str">
        <f>HYPERLINK("http://www.otzar.org/book.asp?9323","סנהדרי קטנה")</f>
        <v>סנהדרי קטנה</v>
      </c>
    </row>
    <row r="29509" spans="1:6" x14ac:dyDescent="0.2">
      <c r="A29509" t="s">
        <v>46563</v>
      </c>
      <c r="B29509" t="s">
        <v>46564</v>
      </c>
      <c r="C29509" t="s">
        <v>1811</v>
      </c>
      <c r="D29509" t="s">
        <v>412</v>
      </c>
      <c r="E29509" t="s">
        <v>202</v>
      </c>
      <c r="F29509" s="2" t="str">
        <f>HYPERLINK("http://www.otzar.org/book.asp?148718","סנהדרי קטנה")</f>
        <v>סנהדרי קטנה</v>
      </c>
    </row>
    <row r="29510" spans="1:6" x14ac:dyDescent="0.2">
      <c r="A29510" t="s">
        <v>46565</v>
      </c>
      <c r="B29510" t="s">
        <v>46566</v>
      </c>
      <c r="C29510" t="s">
        <v>576</v>
      </c>
      <c r="D29510" t="s">
        <v>9</v>
      </c>
      <c r="E29510" t="s">
        <v>10</v>
      </c>
      <c r="F29510" s="2" t="str">
        <f>HYPERLINK("http://www.otzar.org/book.asp?101601","סניא דיבי")</f>
        <v>סניא דיבי</v>
      </c>
    </row>
    <row r="29511" spans="1:6" x14ac:dyDescent="0.2">
      <c r="A29511" t="s">
        <v>46567</v>
      </c>
      <c r="B29511" t="s">
        <v>46568</v>
      </c>
      <c r="C29511" t="s">
        <v>151</v>
      </c>
      <c r="D29511" t="s">
        <v>46569</v>
      </c>
      <c r="E29511" t="s">
        <v>15</v>
      </c>
      <c r="F29511" s="2" t="str">
        <f>HYPERLINK("http://www.otzar.org/book.asp?625523","סניגור של הציבור")</f>
        <v>סניגור של הציבור</v>
      </c>
    </row>
    <row r="29512" spans="1:6" x14ac:dyDescent="0.2">
      <c r="A29512" t="s">
        <v>46570</v>
      </c>
      <c r="B29512" t="s">
        <v>18333</v>
      </c>
      <c r="C29512" t="s">
        <v>1470</v>
      </c>
      <c r="D29512" t="s">
        <v>27</v>
      </c>
      <c r="E29512" t="s">
        <v>46571</v>
      </c>
      <c r="F29512" s="2" t="str">
        <f>HYPERLINK("http://www.otzar.org/book.asp?11765","סניגוריא")</f>
        <v>סניגוריא</v>
      </c>
    </row>
    <row r="29513" spans="1:6" x14ac:dyDescent="0.2">
      <c r="A29513" t="s">
        <v>46572</v>
      </c>
      <c r="B29513" t="s">
        <v>1308</v>
      </c>
      <c r="C29513" t="s">
        <v>3709</v>
      </c>
      <c r="D29513" t="s">
        <v>1660</v>
      </c>
      <c r="F29513" s="2" t="str">
        <f>HYPERLINK("http://www.otzar.org/book.asp?169536","סנסן ליאיר")</f>
        <v>סנסן ליאיר</v>
      </c>
    </row>
    <row r="29514" spans="1:6" x14ac:dyDescent="0.2">
      <c r="A29514" t="s">
        <v>46572</v>
      </c>
      <c r="B29514" t="s">
        <v>7191</v>
      </c>
      <c r="C29514" t="s">
        <v>37</v>
      </c>
      <c r="D29514" t="s">
        <v>52</v>
      </c>
      <c r="F29514" s="2" t="str">
        <f>HYPERLINK("http://www.otzar.org/book.asp?608772","סנסן ליאיר")</f>
        <v>סנסן ליאיר</v>
      </c>
    </row>
    <row r="29515" spans="1:6" x14ac:dyDescent="0.2">
      <c r="A29515" t="s">
        <v>46573</v>
      </c>
      <c r="B29515" t="s">
        <v>46574</v>
      </c>
      <c r="C29515" t="s">
        <v>366</v>
      </c>
      <c r="D29515" t="s">
        <v>21</v>
      </c>
      <c r="E29515" t="s">
        <v>2071</v>
      </c>
      <c r="F29515" s="2" t="str">
        <f>HYPERLINK("http://www.otzar.org/book.asp?603549","סנסני חיים")</f>
        <v>סנסני חיים</v>
      </c>
    </row>
    <row r="29516" spans="1:6" x14ac:dyDescent="0.2">
      <c r="A29516" t="s">
        <v>46575</v>
      </c>
      <c r="B29516" t="s">
        <v>4840</v>
      </c>
      <c r="C29516" t="s">
        <v>888</v>
      </c>
      <c r="D29516" t="s">
        <v>46576</v>
      </c>
      <c r="E29516" t="s">
        <v>8394</v>
      </c>
      <c r="F29516" s="2" t="str">
        <f>HYPERLINK("http://www.otzar.org/book.asp?103939","סעדיאנא &lt;Saadyana&gt;")</f>
        <v>סעדיאנא &lt;Saadyana&gt;</v>
      </c>
    </row>
    <row r="29517" spans="1:6" x14ac:dyDescent="0.2">
      <c r="A29517" t="s">
        <v>46577</v>
      </c>
      <c r="B29517" t="s">
        <v>46578</v>
      </c>
      <c r="C29517" t="s">
        <v>1609</v>
      </c>
      <c r="D29517" t="s">
        <v>216</v>
      </c>
      <c r="E29517" t="s">
        <v>119</v>
      </c>
      <c r="F29517" s="2" t="str">
        <f>HYPERLINK("http://www.otzar.org/book.asp?167593","סעדיה בן יוסף גאון סורא")</f>
        <v>סעדיה בן יוסף גאון סורא</v>
      </c>
    </row>
    <row r="29518" spans="1:6" x14ac:dyDescent="0.2">
      <c r="A29518" t="s">
        <v>46579</v>
      </c>
      <c r="B29518" t="s">
        <v>12807</v>
      </c>
      <c r="C29518" t="s">
        <v>411</v>
      </c>
      <c r="D29518" t="s">
        <v>4223</v>
      </c>
      <c r="E29518" t="s">
        <v>15</v>
      </c>
      <c r="F29518" s="2" t="str">
        <f>HYPERLINK("http://www.otzar.org/book.asp?172468","סעודה כדת")</f>
        <v>סעודה כדת</v>
      </c>
    </row>
    <row r="29519" spans="1:6" x14ac:dyDescent="0.2">
      <c r="A29519" t="s">
        <v>46580</v>
      </c>
      <c r="B29519" t="s">
        <v>5143</v>
      </c>
      <c r="C29519" t="s">
        <v>20</v>
      </c>
      <c r="D29519" t="s">
        <v>721</v>
      </c>
      <c r="E29519" t="s">
        <v>15</v>
      </c>
      <c r="F29519" s="2" t="str">
        <f>HYPERLINK("http://www.otzar.org/book.asp?165877","סעודת יתרו")</f>
        <v>סעודת יתרו</v>
      </c>
    </row>
    <row r="29520" spans="1:6" x14ac:dyDescent="0.2">
      <c r="A29520" t="s">
        <v>46581</v>
      </c>
      <c r="B29520" t="s">
        <v>43182</v>
      </c>
      <c r="C29520" t="s">
        <v>1991</v>
      </c>
      <c r="D29520" t="s">
        <v>49</v>
      </c>
      <c r="E29520" t="s">
        <v>241</v>
      </c>
      <c r="F29520" s="2" t="str">
        <f>HYPERLINK("http://www.otzar.org/book.asp?20358","סעודת מצוה")</f>
        <v>סעודת מצוה</v>
      </c>
    </row>
    <row r="29521" spans="1:6" x14ac:dyDescent="0.2">
      <c r="A29521" t="s">
        <v>46582</v>
      </c>
      <c r="B29521" t="s">
        <v>9358</v>
      </c>
      <c r="C29521" t="s">
        <v>624</v>
      </c>
      <c r="D29521" t="s">
        <v>52</v>
      </c>
      <c r="E29521" t="s">
        <v>199</v>
      </c>
      <c r="F29521" s="2" t="str">
        <f>HYPERLINK("http://www.otzar.org/book.asp?147974","סעפלאק וגליל מארגרטין - עולמי ספר זכרון")</f>
        <v>סעפלאק וגליל מארגרטין - עולמי ספר זכרון</v>
      </c>
    </row>
    <row r="29522" spans="1:6" x14ac:dyDescent="0.2">
      <c r="A29522" t="s">
        <v>46583</v>
      </c>
      <c r="B29522" t="s">
        <v>206</v>
      </c>
      <c r="C29522" t="s">
        <v>114</v>
      </c>
      <c r="D29522" t="s">
        <v>14</v>
      </c>
      <c r="E29522" t="s">
        <v>714</v>
      </c>
      <c r="F29522" s="2" t="str">
        <f>HYPERLINK("http://www.otzar.org/book.asp?167508","סערה לדממה")</f>
        <v>סערה לדממה</v>
      </c>
    </row>
    <row r="29523" spans="1:6" x14ac:dyDescent="0.2">
      <c r="A29523" t="s">
        <v>46584</v>
      </c>
      <c r="B29523" t="s">
        <v>46585</v>
      </c>
      <c r="C29523" t="s">
        <v>1706</v>
      </c>
      <c r="D29523" t="s">
        <v>56</v>
      </c>
      <c r="E29523" t="s">
        <v>733</v>
      </c>
      <c r="F29523" s="2" t="str">
        <f>HYPERLINK("http://www.otzar.org/book.asp?10219","סערת אליהו")</f>
        <v>סערת אליהו</v>
      </c>
    </row>
    <row r="29524" spans="1:6" x14ac:dyDescent="0.2">
      <c r="A29524" t="s">
        <v>46586</v>
      </c>
      <c r="B29524" t="s">
        <v>46587</v>
      </c>
      <c r="C29524" t="s">
        <v>482</v>
      </c>
      <c r="D29524" t="s">
        <v>27</v>
      </c>
      <c r="E29524" t="s">
        <v>119</v>
      </c>
      <c r="F29524" s="2" t="str">
        <f>HYPERLINK("http://www.otzar.org/book.asp?25183","סערת תימן")</f>
        <v>סערת תימן</v>
      </c>
    </row>
    <row r="29525" spans="1:6" x14ac:dyDescent="0.2">
      <c r="A29525" t="s">
        <v>46588</v>
      </c>
      <c r="B29525" t="s">
        <v>46589</v>
      </c>
      <c r="C29525" t="s">
        <v>39156</v>
      </c>
      <c r="D29525" t="s">
        <v>76</v>
      </c>
      <c r="E29525" t="s">
        <v>474</v>
      </c>
      <c r="F29525" s="2" t="str">
        <f>HYPERLINK("http://www.otzar.org/book.asp?151674","ספור החיים")</f>
        <v>ספור החיים</v>
      </c>
    </row>
    <row r="29526" spans="1:6" x14ac:dyDescent="0.2">
      <c r="A29526" t="s">
        <v>46590</v>
      </c>
      <c r="B29526" t="s">
        <v>24911</v>
      </c>
      <c r="C29526" t="s">
        <v>20</v>
      </c>
      <c r="D29526" t="s">
        <v>52</v>
      </c>
      <c r="E29526" t="s">
        <v>158</v>
      </c>
      <c r="F29526" s="2" t="str">
        <f>HYPERLINK("http://www.otzar.org/book.asp?629776","ספור מן ההפטרה - 2 כר'")</f>
        <v>ספור מן ההפטרה - 2 כר'</v>
      </c>
    </row>
    <row r="29527" spans="1:6" x14ac:dyDescent="0.2">
      <c r="A29527" t="s">
        <v>46591</v>
      </c>
      <c r="B29527" t="s">
        <v>46390</v>
      </c>
      <c r="C29527" t="s">
        <v>649</v>
      </c>
      <c r="D29527" t="s">
        <v>2295</v>
      </c>
      <c r="E29527" t="s">
        <v>104</v>
      </c>
      <c r="F29527" s="2" t="str">
        <f>HYPERLINK("http://www.otzar.org/book.asp?106548","ספור נסיעת דוד ראובני")</f>
        <v>ספור נסיעת דוד ראובני</v>
      </c>
    </row>
    <row r="29528" spans="1:6" x14ac:dyDescent="0.2">
      <c r="A29528" t="s">
        <v>46592</v>
      </c>
      <c r="B29528" t="s">
        <v>29010</v>
      </c>
      <c r="C29528" t="s">
        <v>124</v>
      </c>
      <c r="D29528" t="s">
        <v>21</v>
      </c>
      <c r="E29528" t="s">
        <v>733</v>
      </c>
      <c r="F29528" s="2" t="str">
        <f>HYPERLINK("http://www.otzar.org/book.asp?191347","ספורו של הבית הספרדי ברובע היהודי")</f>
        <v>ספורו של הבית הספרדי ברובע היהודי</v>
      </c>
    </row>
    <row r="29529" spans="1:6" x14ac:dyDescent="0.2">
      <c r="A29529" t="s">
        <v>46593</v>
      </c>
      <c r="B29529" t="s">
        <v>7473</v>
      </c>
      <c r="C29529" t="s">
        <v>888</v>
      </c>
      <c r="D29529" t="s">
        <v>352</v>
      </c>
      <c r="F29529" s="2" t="str">
        <f>HYPERLINK("http://www.otzar.org/book.asp?156068","ספורי אנשי שם")</f>
        <v>ספורי אנשי שם</v>
      </c>
    </row>
    <row r="29530" spans="1:6" x14ac:dyDescent="0.2">
      <c r="A29530" t="s">
        <v>46594</v>
      </c>
      <c r="B29530" t="s">
        <v>46595</v>
      </c>
      <c r="C29530" t="s">
        <v>20</v>
      </c>
      <c r="D29530" t="s">
        <v>412</v>
      </c>
      <c r="E29530" t="s">
        <v>733</v>
      </c>
      <c r="F29530" s="2" t="str">
        <f>HYPERLINK("http://www.otzar.org/book.asp?161250","ספורי האר""י ושבחי ר' חיים ויטאל")</f>
        <v>ספורי האר"י ושבחי ר' חיים ויטאל</v>
      </c>
    </row>
    <row r="29531" spans="1:6" x14ac:dyDescent="0.2">
      <c r="A29531" t="s">
        <v>46596</v>
      </c>
      <c r="B29531" t="s">
        <v>46597</v>
      </c>
      <c r="C29531" t="s">
        <v>585</v>
      </c>
      <c r="D29531" t="s">
        <v>14</v>
      </c>
      <c r="E29531" t="s">
        <v>119</v>
      </c>
      <c r="F29531" s="2" t="str">
        <f>HYPERLINK("http://www.otzar.org/book.asp?14748","ספורי הגזרות בשנות ת""ח ות""ט")</f>
        <v>ספורי הגזרות בשנות ת"ח ות"ט</v>
      </c>
    </row>
    <row r="29532" spans="1:6" x14ac:dyDescent="0.2">
      <c r="A29532" t="s">
        <v>46598</v>
      </c>
      <c r="C29532" t="s">
        <v>1448</v>
      </c>
      <c r="D29532" t="s">
        <v>14</v>
      </c>
      <c r="E29532" t="s">
        <v>1164</v>
      </c>
      <c r="F29532" s="2" t="str">
        <f>HYPERLINK("http://www.otzar.org/book.asp?624372","ספורי החג - סוכות")</f>
        <v>ספורי החג - סוכות</v>
      </c>
    </row>
    <row r="29533" spans="1:6" x14ac:dyDescent="0.2">
      <c r="A29533" t="s">
        <v>46599</v>
      </c>
      <c r="B29533" t="s">
        <v>4394</v>
      </c>
      <c r="C29533" t="s">
        <v>176</v>
      </c>
      <c r="D29533" t="s">
        <v>14</v>
      </c>
      <c r="E29533" t="s">
        <v>104</v>
      </c>
      <c r="F29533" s="2" t="str">
        <f>HYPERLINK("http://www.otzar.org/book.asp?161646","ספורי י""ש")</f>
        <v>ספורי י"ש</v>
      </c>
    </row>
    <row r="29534" spans="1:6" x14ac:dyDescent="0.2">
      <c r="A29534" t="s">
        <v>46600</v>
      </c>
      <c r="B29534" t="s">
        <v>46601</v>
      </c>
      <c r="C29534" t="s">
        <v>46602</v>
      </c>
      <c r="D29534" t="s">
        <v>6459</v>
      </c>
      <c r="E29534" t="s">
        <v>140</v>
      </c>
      <c r="F29534" s="2" t="str">
        <f>HYPERLINK("http://www.otzar.org/book.asp?106080","ספורי יעקב - 2 כר'")</f>
        <v>ספורי יעקב - 2 כר'</v>
      </c>
    </row>
    <row r="29535" spans="1:6" x14ac:dyDescent="0.2">
      <c r="A29535" t="s">
        <v>46603</v>
      </c>
      <c r="B29535" t="s">
        <v>732</v>
      </c>
      <c r="C29535" t="s">
        <v>286</v>
      </c>
      <c r="D29535" t="s">
        <v>27</v>
      </c>
      <c r="E29535" t="s">
        <v>104</v>
      </c>
      <c r="F29535" s="2" t="str">
        <f>HYPERLINK("http://www.otzar.org/book.asp?168908","ספורי כתל המערבי")</f>
        <v>ספורי כתל המערבי</v>
      </c>
    </row>
    <row r="29536" spans="1:6" x14ac:dyDescent="0.2">
      <c r="A29536" t="s">
        <v>46604</v>
      </c>
      <c r="B29536" t="s">
        <v>3614</v>
      </c>
      <c r="C29536" t="s">
        <v>20</v>
      </c>
      <c r="D29536" t="s">
        <v>14</v>
      </c>
      <c r="E29536" t="s">
        <v>741</v>
      </c>
      <c r="F29536" s="2" t="str">
        <f>HYPERLINK("http://www.otzar.org/book.asp?166284","ספורי מעשיות &lt;המנוקד&gt;")</f>
        <v>ספורי מעשיות &lt;המנוקד&gt;</v>
      </c>
    </row>
    <row r="29537" spans="1:6" x14ac:dyDescent="0.2">
      <c r="A29537" t="s">
        <v>46605</v>
      </c>
      <c r="B29537" t="s">
        <v>3614</v>
      </c>
      <c r="C29537" t="s">
        <v>20</v>
      </c>
      <c r="D29537" t="s">
        <v>14</v>
      </c>
      <c r="E29537" t="s">
        <v>741</v>
      </c>
      <c r="F29537" s="2" t="str">
        <f>HYPERLINK("http://www.otzar.org/book.asp?60802","ספורי מעשיות עם פרוש נהרי אפרסמון - 2 כר'")</f>
        <v>ספורי מעשיות עם פרוש נהרי אפרסמון - 2 כר'</v>
      </c>
    </row>
    <row r="29538" spans="1:6" x14ac:dyDescent="0.2">
      <c r="A29538" t="s">
        <v>46606</v>
      </c>
      <c r="B29538" t="s">
        <v>3614</v>
      </c>
      <c r="C29538" t="s">
        <v>609</v>
      </c>
      <c r="D29538" t="s">
        <v>412</v>
      </c>
      <c r="E29538" t="s">
        <v>104</v>
      </c>
      <c r="F29538" s="2" t="str">
        <f>HYPERLINK("http://www.otzar.org/book.asp?171832","ספורי מעשיות פון רבי נחמן בראסלאווער")</f>
        <v>ספורי מעשיות פון רבי נחמן בראסלאווער</v>
      </c>
    </row>
    <row r="29539" spans="1:6" x14ac:dyDescent="0.2">
      <c r="A29539" t="s">
        <v>46607</v>
      </c>
      <c r="B29539" t="s">
        <v>3614</v>
      </c>
      <c r="C29539" t="s">
        <v>3695</v>
      </c>
      <c r="D29539" t="s">
        <v>46608</v>
      </c>
      <c r="F29539" s="2" t="str">
        <f>HYPERLINK("http://www.otzar.org/book.asp?164795","ספורי מעשיות - 2 כר'")</f>
        <v>ספורי מעשיות - 2 כר'</v>
      </c>
    </row>
    <row r="29540" spans="1:6" x14ac:dyDescent="0.2">
      <c r="A29540" t="s">
        <v>46609</v>
      </c>
      <c r="B29540" t="s">
        <v>2004</v>
      </c>
      <c r="C29540" t="s">
        <v>427</v>
      </c>
      <c r="D29540" t="s">
        <v>216</v>
      </c>
      <c r="E29540" t="s">
        <v>733</v>
      </c>
      <c r="F29540" s="2" t="str">
        <f>HYPERLINK("http://www.otzar.org/book.asp?152925","ספורי נפלאות מגדולי ישראל - 2 כר'")</f>
        <v>ספורי נפלאות מגדולי ישראל - 2 כר'</v>
      </c>
    </row>
    <row r="29541" spans="1:6" x14ac:dyDescent="0.2">
      <c r="A29541" t="s">
        <v>46610</v>
      </c>
      <c r="B29541" t="s">
        <v>46611</v>
      </c>
      <c r="C29541" t="s">
        <v>79</v>
      </c>
      <c r="D29541" t="s">
        <v>27</v>
      </c>
      <c r="E29541" t="s">
        <v>733</v>
      </c>
      <c r="F29541" s="2" t="str">
        <f>HYPERLINK("http://www.otzar.org/book.asp?167576","ספורי נפלאות")</f>
        <v>ספורי נפלאות</v>
      </c>
    </row>
    <row r="29542" spans="1:6" x14ac:dyDescent="0.2">
      <c r="A29542" t="s">
        <v>46612</v>
      </c>
      <c r="B29542" t="s">
        <v>206</v>
      </c>
      <c r="C29542" t="s">
        <v>1885</v>
      </c>
      <c r="D29542" t="s">
        <v>14445</v>
      </c>
      <c r="E29542" t="s">
        <v>140</v>
      </c>
      <c r="F29542" s="2" t="str">
        <f>HYPERLINK("http://www.otzar.org/book.asp?162400","ספורי צדיקים מהחוט המשולש")</f>
        <v>ספורי צדיקים מהחוט המשולש</v>
      </c>
    </row>
    <row r="29543" spans="1:6" x14ac:dyDescent="0.2">
      <c r="A29543" t="s">
        <v>46613</v>
      </c>
      <c r="B29543" t="s">
        <v>40428</v>
      </c>
      <c r="C29543" t="s">
        <v>888</v>
      </c>
      <c r="D29543" t="s">
        <v>283</v>
      </c>
      <c r="E29543" t="s">
        <v>140</v>
      </c>
      <c r="F29543" s="2" t="str">
        <f>HYPERLINK("http://www.otzar.org/book.asp?20360","ספורים ומאמרים יקרים")</f>
        <v>ספורים ומאמרים יקרים</v>
      </c>
    </row>
    <row r="29544" spans="1:6" x14ac:dyDescent="0.2">
      <c r="A29544" t="s">
        <v>46614</v>
      </c>
      <c r="B29544" t="s">
        <v>40428</v>
      </c>
      <c r="C29544" t="s">
        <v>888</v>
      </c>
      <c r="D29544" t="s">
        <v>1419</v>
      </c>
      <c r="E29544" t="s">
        <v>104</v>
      </c>
      <c r="F29544" s="2" t="str">
        <f>HYPERLINK("http://www.otzar.org/book.asp?52044","ספורים נחמדים")</f>
        <v>ספורים נחמדים</v>
      </c>
    </row>
    <row r="29545" spans="1:6" x14ac:dyDescent="0.2">
      <c r="A29545" t="s">
        <v>46615</v>
      </c>
      <c r="B29545" t="s">
        <v>40428</v>
      </c>
      <c r="C29545" t="s">
        <v>462</v>
      </c>
      <c r="D29545" t="s">
        <v>267</v>
      </c>
      <c r="E29545" t="s">
        <v>104</v>
      </c>
      <c r="F29545" s="2" t="str">
        <f>HYPERLINK("http://www.otzar.org/book.asp?52046","ספורים נפלאים ומאמרים יקרים")</f>
        <v>ספורים נפלאים ומאמרים יקרים</v>
      </c>
    </row>
    <row r="29546" spans="1:6" x14ac:dyDescent="0.2">
      <c r="A29546" t="s">
        <v>46616</v>
      </c>
      <c r="B29546" t="s">
        <v>46617</v>
      </c>
      <c r="C29546" t="s">
        <v>160</v>
      </c>
      <c r="D29546" t="s">
        <v>27</v>
      </c>
      <c r="E29546" t="s">
        <v>104</v>
      </c>
      <c r="F29546" s="2" t="str">
        <f>HYPERLINK("http://www.otzar.org/book.asp?158929","ספורים נפלאים - 3 כר'")</f>
        <v>ספורים נפלאים - 3 כר'</v>
      </c>
    </row>
    <row r="29547" spans="1:6" x14ac:dyDescent="0.2">
      <c r="A29547" t="s">
        <v>46618</v>
      </c>
      <c r="B29547" t="s">
        <v>46619</v>
      </c>
      <c r="C29547" t="s">
        <v>1437</v>
      </c>
      <c r="D29547" t="s">
        <v>344</v>
      </c>
      <c r="E29547" t="s">
        <v>104</v>
      </c>
      <c r="F29547" s="2" t="str">
        <f>HYPERLINK("http://www.otzar.org/book.asp?179886","ספורים פון רבי יצחק אשכנזי לוריא")</f>
        <v>ספורים פון רבי יצחק אשכנזי לוריא</v>
      </c>
    </row>
    <row r="29548" spans="1:6" x14ac:dyDescent="0.2">
      <c r="A29548" t="s">
        <v>46620</v>
      </c>
      <c r="B29548" t="s">
        <v>46621</v>
      </c>
      <c r="C29548" t="s">
        <v>383</v>
      </c>
      <c r="D29548" t="s">
        <v>14</v>
      </c>
      <c r="E29548" t="s">
        <v>579</v>
      </c>
      <c r="F29548" s="2" t="str">
        <f>HYPERLINK("http://www.otzar.org/book.asp?25801","ספורנו על התורה &lt;השלם והמבואר&gt; - 2 כר'")</f>
        <v>ספורנו על התורה &lt;השלם והמבואר&gt; - 2 כר'</v>
      </c>
    </row>
    <row r="29549" spans="1:6" x14ac:dyDescent="0.2">
      <c r="A29549" t="s">
        <v>46622</v>
      </c>
      <c r="B29549" t="s">
        <v>46621</v>
      </c>
      <c r="C29549" t="s">
        <v>244</v>
      </c>
      <c r="D29549" t="s">
        <v>14</v>
      </c>
      <c r="F29549" s="2" t="str">
        <f>HYPERLINK("http://www.otzar.org/book.asp?622794","ספורנו על התורה &lt;עם הערות וביאורים&gt; - 4 כר'")</f>
        <v>ספורנו על התורה &lt;עם הערות וביאורים&gt; - 4 כר'</v>
      </c>
    </row>
    <row r="29550" spans="1:6" x14ac:dyDescent="0.2">
      <c r="A29550" t="s">
        <v>46623</v>
      </c>
      <c r="B29550" t="s">
        <v>31493</v>
      </c>
      <c r="C29550" t="s">
        <v>20</v>
      </c>
      <c r="D29550" t="s">
        <v>1356</v>
      </c>
      <c r="F29550" s="2" t="str">
        <f>HYPERLINK("http://www.otzar.org/book.asp?606541","ספיח למנחה")</f>
        <v>ספיח למנחה</v>
      </c>
    </row>
    <row r="29551" spans="1:6" x14ac:dyDescent="0.2">
      <c r="A29551" t="s">
        <v>46624</v>
      </c>
      <c r="B29551" t="s">
        <v>46625</v>
      </c>
      <c r="C29551" t="s">
        <v>854</v>
      </c>
      <c r="D29551" t="s">
        <v>4269</v>
      </c>
      <c r="E29551" t="s">
        <v>104</v>
      </c>
      <c r="F29551" s="2" t="str">
        <f>HYPERLINK("http://www.otzar.org/book.asp?141007","ספיח קציר")</f>
        <v>ספיח קציר</v>
      </c>
    </row>
    <row r="29552" spans="1:6" x14ac:dyDescent="0.2">
      <c r="A29552" t="s">
        <v>46626</v>
      </c>
      <c r="B29552" t="s">
        <v>24105</v>
      </c>
      <c r="C29552" t="s">
        <v>103</v>
      </c>
      <c r="D29552" t="s">
        <v>152</v>
      </c>
      <c r="E29552" t="s">
        <v>130</v>
      </c>
      <c r="F29552" s="2" t="str">
        <f>HYPERLINK("http://www.otzar.org/book.asp?24885","ספיקא דמוקפין")</f>
        <v>ספיקא דמוקפין</v>
      </c>
    </row>
    <row r="29553" spans="1:6" x14ac:dyDescent="0.2">
      <c r="A29553" t="s">
        <v>46627</v>
      </c>
      <c r="B29553" t="s">
        <v>37282</v>
      </c>
      <c r="C29553" t="s">
        <v>1169</v>
      </c>
      <c r="D29553" t="s">
        <v>27</v>
      </c>
      <c r="E29553" t="s">
        <v>144</v>
      </c>
      <c r="F29553" s="2" t="str">
        <f>HYPERLINK("http://www.otzar.org/book.asp?14164","ספיקא דרבנן")</f>
        <v>ספיקא דרבנן</v>
      </c>
    </row>
    <row r="29554" spans="1:6" x14ac:dyDescent="0.2">
      <c r="A29554" t="s">
        <v>46628</v>
      </c>
      <c r="B29554" t="s">
        <v>22487</v>
      </c>
      <c r="C29554" t="s">
        <v>767</v>
      </c>
      <c r="D29554" t="s">
        <v>52</v>
      </c>
      <c r="E29554" t="s">
        <v>15</v>
      </c>
      <c r="F29554" s="2" t="str">
        <f>HYPERLINK("http://www.otzar.org/book.asp?159329","ספיקות הסופר")</f>
        <v>ספיקות הסופר</v>
      </c>
    </row>
    <row r="29555" spans="1:6" x14ac:dyDescent="0.2">
      <c r="A29555" t="s">
        <v>46629</v>
      </c>
      <c r="B29555" t="s">
        <v>30566</v>
      </c>
      <c r="C29555" t="s">
        <v>46630</v>
      </c>
      <c r="D29555" t="s">
        <v>46631</v>
      </c>
      <c r="E29555" t="s">
        <v>1211</v>
      </c>
      <c r="F29555" s="2" t="str">
        <f>HYPERLINK("http://www.otzar.org/book.asp?60559","ספיקות מלכים")</f>
        <v>ספיקות מלכים</v>
      </c>
    </row>
    <row r="29556" spans="1:6" x14ac:dyDescent="0.2">
      <c r="A29556" t="s">
        <v>46632</v>
      </c>
      <c r="B29556" t="s">
        <v>2802</v>
      </c>
      <c r="C29556" t="s">
        <v>411</v>
      </c>
      <c r="D29556" t="s">
        <v>14</v>
      </c>
      <c r="E29556" t="s">
        <v>144</v>
      </c>
      <c r="F29556" s="2" t="str">
        <f>HYPERLINK("http://www.otzar.org/book.asp?195829","ספיר גזרתם - 2 כר'")</f>
        <v>ספיר גזרתם - 2 כר'</v>
      </c>
    </row>
    <row r="29557" spans="1:6" x14ac:dyDescent="0.2">
      <c r="A29557" t="s">
        <v>46633</v>
      </c>
      <c r="B29557" t="s">
        <v>8766</v>
      </c>
      <c r="C29557" t="s">
        <v>23</v>
      </c>
      <c r="D29557" t="s">
        <v>14</v>
      </c>
      <c r="F29557" s="2" t="str">
        <f>HYPERLINK("http://www.otzar.org/book.asp?198791","ספק דברי סופרים")</f>
        <v>ספק דברי סופרים</v>
      </c>
    </row>
    <row r="29558" spans="1:6" x14ac:dyDescent="0.2">
      <c r="A29558" t="s">
        <v>46634</v>
      </c>
      <c r="B29558" t="s">
        <v>46635</v>
      </c>
      <c r="C29558" t="s">
        <v>22691</v>
      </c>
      <c r="D29558" t="s">
        <v>412</v>
      </c>
      <c r="E29558" t="s">
        <v>234</v>
      </c>
      <c r="F29558" s="2" t="str">
        <f>HYPERLINK("http://www.otzar.org/book.asp?605056","ספר א""ש פנחס - 3 כר'")</f>
        <v>ספר א"ש פנחס - 3 כר'</v>
      </c>
    </row>
    <row r="29559" spans="1:6" x14ac:dyDescent="0.2">
      <c r="A29559" t="s">
        <v>46636</v>
      </c>
      <c r="B29559" t="s">
        <v>46637</v>
      </c>
      <c r="C29559" t="s">
        <v>20</v>
      </c>
      <c r="D29559" t="s">
        <v>90</v>
      </c>
      <c r="E29559" t="s">
        <v>144</v>
      </c>
      <c r="F29559" s="2" t="str">
        <f>HYPERLINK("http://www.otzar.org/book.asp?193715","ספר אאלף בינה")</f>
        <v>ספר אאלף בינה</v>
      </c>
    </row>
    <row r="29560" spans="1:6" x14ac:dyDescent="0.2">
      <c r="A29560" t="s">
        <v>46638</v>
      </c>
      <c r="B29560" t="s">
        <v>8353</v>
      </c>
      <c r="C29560" t="s">
        <v>133</v>
      </c>
      <c r="D29560" t="s">
        <v>367</v>
      </c>
      <c r="E29560" t="s">
        <v>104</v>
      </c>
      <c r="F29560" s="2" t="str">
        <f>HYPERLINK("http://www.otzar.org/book.asp?172773","ספר אאלפך חכמה")</f>
        <v>ספר אאלפך חכמה</v>
      </c>
    </row>
    <row r="29561" spans="1:6" x14ac:dyDescent="0.2">
      <c r="A29561" t="s">
        <v>46639</v>
      </c>
      <c r="B29561" t="s">
        <v>46640</v>
      </c>
      <c r="C29561" t="s">
        <v>37</v>
      </c>
      <c r="D29561" t="s">
        <v>14</v>
      </c>
      <c r="E29561" t="s">
        <v>144</v>
      </c>
      <c r="F29561" s="2" t="str">
        <f>HYPERLINK("http://www.otzar.org/book.asp?183278","ספר אב בברכה - פרק כיצד מברכין")</f>
        <v>ספר אב בברכה - פרק כיצד מברכין</v>
      </c>
    </row>
    <row r="29562" spans="1:6" x14ac:dyDescent="0.2">
      <c r="A29562" t="s">
        <v>46641</v>
      </c>
      <c r="B29562" t="s">
        <v>46642</v>
      </c>
      <c r="C29562" t="s">
        <v>37</v>
      </c>
      <c r="D29562" t="s">
        <v>2458</v>
      </c>
      <c r="E29562" t="s">
        <v>15</v>
      </c>
      <c r="F29562" s="2" t="str">
        <f>HYPERLINK("http://www.otzar.org/book.asp?176568","ספר אב בדעת")</f>
        <v>ספר אב בדעת</v>
      </c>
    </row>
    <row r="29563" spans="1:6" x14ac:dyDescent="0.2">
      <c r="A29563" t="s">
        <v>46643</v>
      </c>
      <c r="B29563" t="s">
        <v>22291</v>
      </c>
      <c r="C29563" t="s">
        <v>114</v>
      </c>
      <c r="D29563" t="s">
        <v>90</v>
      </c>
      <c r="E29563" t="s">
        <v>119</v>
      </c>
      <c r="F29563" s="2" t="str">
        <f>HYPERLINK("http://www.otzar.org/book.asp?629241","ספר אב הרחמים - 2 כר'")</f>
        <v>ספר אב הרחמים - 2 כר'</v>
      </c>
    </row>
    <row r="29564" spans="1:6" x14ac:dyDescent="0.2">
      <c r="A29564" t="s">
        <v>46644</v>
      </c>
      <c r="B29564" t="s">
        <v>8872</v>
      </c>
      <c r="C29564" t="s">
        <v>37</v>
      </c>
      <c r="D29564" t="s">
        <v>21</v>
      </c>
      <c r="E29564" t="s">
        <v>15</v>
      </c>
      <c r="F29564" s="2" t="str">
        <f>HYPERLINK("http://www.otzar.org/book.asp?193461","ספר אב מלאכה - מלאכת מחשבת")</f>
        <v>ספר אב מלאכה - מלאכת מחשבת</v>
      </c>
    </row>
    <row r="29565" spans="1:6" x14ac:dyDescent="0.2">
      <c r="A29565" t="s">
        <v>46645</v>
      </c>
      <c r="B29565" t="s">
        <v>552</v>
      </c>
      <c r="C29565" t="s">
        <v>124</v>
      </c>
      <c r="D29565" t="s">
        <v>4665</v>
      </c>
      <c r="E29565" t="s">
        <v>202</v>
      </c>
      <c r="F29565" s="2" t="str">
        <f>HYPERLINK("http://www.otzar.org/book.asp?172035","ספר אב""י יושבי אהל")</f>
        <v>ספר אב"י יושבי אהל</v>
      </c>
    </row>
    <row r="29566" spans="1:6" x14ac:dyDescent="0.2">
      <c r="A29566" t="s">
        <v>46646</v>
      </c>
      <c r="B29566" t="s">
        <v>17786</v>
      </c>
      <c r="C29566" t="s">
        <v>133</v>
      </c>
      <c r="D29566" t="s">
        <v>2867</v>
      </c>
      <c r="E29566" t="s">
        <v>15</v>
      </c>
      <c r="F29566" s="2" t="str">
        <f>HYPERLINK("http://www.otzar.org/book.asp?171714","ספר אבא באהל ביתי")</f>
        <v>ספר אבא באהל ביתי</v>
      </c>
    </row>
    <row r="29567" spans="1:6" x14ac:dyDescent="0.2">
      <c r="A29567" t="s">
        <v>46647</v>
      </c>
      <c r="B29567" t="s">
        <v>33304</v>
      </c>
      <c r="C29567" t="s">
        <v>189</v>
      </c>
      <c r="D29567" t="s">
        <v>14</v>
      </c>
      <c r="E29567" t="s">
        <v>130</v>
      </c>
      <c r="F29567" s="2" t="str">
        <f>HYPERLINK("http://www.otzar.org/book.asp?24837","ספר אבא באהל")</f>
        <v>ספר אבא באהל</v>
      </c>
    </row>
    <row r="29568" spans="1:6" x14ac:dyDescent="0.2">
      <c r="A29568" t="s">
        <v>46647</v>
      </c>
      <c r="B29568" t="s">
        <v>46648</v>
      </c>
      <c r="C29568" t="s">
        <v>151</v>
      </c>
      <c r="D29568" t="s">
        <v>21</v>
      </c>
      <c r="F29568" s="2" t="str">
        <f>HYPERLINK("http://www.otzar.org/book.asp?621771","ספר אבא באהל")</f>
        <v>ספר אבא באהל</v>
      </c>
    </row>
    <row r="29569" spans="1:6" x14ac:dyDescent="0.2">
      <c r="A29569" t="s">
        <v>46649</v>
      </c>
      <c r="B29569" t="s">
        <v>32428</v>
      </c>
      <c r="C29569" t="s">
        <v>366</v>
      </c>
      <c r="D29569" t="s">
        <v>1356</v>
      </c>
      <c r="E29569" t="s">
        <v>241</v>
      </c>
      <c r="F29569" s="2" t="str">
        <f>HYPERLINK("http://www.otzar.org/book.asp?616376","ספר אבא בגבורות")</f>
        <v>ספר אבא בגבורות</v>
      </c>
    </row>
    <row r="29570" spans="1:6" x14ac:dyDescent="0.2">
      <c r="A29570" t="s">
        <v>46650</v>
      </c>
      <c r="B29570" t="s">
        <v>46648</v>
      </c>
      <c r="C29570" t="s">
        <v>111</v>
      </c>
      <c r="D29570" t="s">
        <v>21</v>
      </c>
      <c r="F29570" s="2" t="str">
        <f>HYPERLINK("http://www.otzar.org/book.asp?621770","ספר אבא ביתך")</f>
        <v>ספר אבא ביתך</v>
      </c>
    </row>
    <row r="29571" spans="1:6" x14ac:dyDescent="0.2">
      <c r="A29571" t="s">
        <v>46651</v>
      </c>
      <c r="B29571" t="s">
        <v>206</v>
      </c>
      <c r="C29571" t="s">
        <v>151</v>
      </c>
      <c r="D29571" t="s">
        <v>21</v>
      </c>
      <c r="F29571" s="2" t="str">
        <f>HYPERLINK("http://www.otzar.org/book.asp?610078","ספר אבא ביתך - על השב שמעתתא")</f>
        <v>ספר אבא ביתך - על השב שמעתתא</v>
      </c>
    </row>
    <row r="29572" spans="1:6" x14ac:dyDescent="0.2">
      <c r="A29572" t="s">
        <v>46652</v>
      </c>
      <c r="B29572" t="s">
        <v>46653</v>
      </c>
      <c r="C29572" t="s">
        <v>23</v>
      </c>
      <c r="D29572" t="s">
        <v>152</v>
      </c>
      <c r="E29572" t="s">
        <v>1211</v>
      </c>
      <c r="F29572" s="2" t="str">
        <f>HYPERLINK("http://www.otzar.org/book.asp?183307","ספר אבא ביתך - 2 כר'")</f>
        <v>ספר אבא ביתך - 2 כר'</v>
      </c>
    </row>
    <row r="29573" spans="1:6" x14ac:dyDescent="0.2">
      <c r="A29573" t="s">
        <v>46654</v>
      </c>
      <c r="B29573" t="s">
        <v>46655</v>
      </c>
      <c r="C29573" t="s">
        <v>114</v>
      </c>
      <c r="D29573" t="s">
        <v>52</v>
      </c>
      <c r="E29573" t="s">
        <v>158</v>
      </c>
      <c r="F29573" s="2" t="str">
        <f>HYPERLINK("http://www.otzar.org/book.asp?191912","ספר אבא בם")</f>
        <v>ספר אבא בם</v>
      </c>
    </row>
    <row r="29574" spans="1:6" x14ac:dyDescent="0.2">
      <c r="A29574" t="s">
        <v>46654</v>
      </c>
      <c r="B29574" t="s">
        <v>46656</v>
      </c>
      <c r="C29574" t="s">
        <v>20</v>
      </c>
      <c r="D29574" t="s">
        <v>90</v>
      </c>
      <c r="E29574" t="s">
        <v>154</v>
      </c>
      <c r="F29574" s="2" t="str">
        <f>HYPERLINK("http://www.otzar.org/book.asp?601138","ספר אבא בם")</f>
        <v>ספר אבא בם</v>
      </c>
    </row>
    <row r="29575" spans="1:6" x14ac:dyDescent="0.2">
      <c r="A29575" t="s">
        <v>46657</v>
      </c>
      <c r="B29575" t="s">
        <v>46658</v>
      </c>
      <c r="C29575" t="s">
        <v>151</v>
      </c>
      <c r="D29575" t="s">
        <v>20</v>
      </c>
      <c r="E29575" t="s">
        <v>144</v>
      </c>
      <c r="F29575" s="2" t="str">
        <f>HYPERLINK("http://www.otzar.org/book.asp?616357","ספר אבא בם - זבחים")</f>
        <v>ספר אבא בם - זבחים</v>
      </c>
    </row>
    <row r="29576" spans="1:6" x14ac:dyDescent="0.2">
      <c r="A29576" t="s">
        <v>46659</v>
      </c>
      <c r="B29576" t="s">
        <v>46660</v>
      </c>
      <c r="C29576" t="s">
        <v>189</v>
      </c>
      <c r="D29576" t="s">
        <v>367</v>
      </c>
      <c r="E29576" t="s">
        <v>901</v>
      </c>
      <c r="F29576" s="2" t="str">
        <f>HYPERLINK("http://www.otzar.org/book.asp?159403","ספר אבא בם - חולין")</f>
        <v>ספר אבא בם - חולין</v>
      </c>
    </row>
    <row r="29577" spans="1:6" x14ac:dyDescent="0.2">
      <c r="A29577" t="s">
        <v>46661</v>
      </c>
      <c r="B29577" t="s">
        <v>2396</v>
      </c>
      <c r="C29577" t="s">
        <v>37</v>
      </c>
      <c r="D29577" t="s">
        <v>1076</v>
      </c>
      <c r="E29577" t="s">
        <v>325</v>
      </c>
      <c r="F29577" s="2" t="str">
        <f>HYPERLINK("http://www.otzar.org/book.asp?617323","ספר אבא חלקיה - בסוגיות הש""ס")</f>
        <v>ספר אבא חלקיה - בסוגיות הש"ס</v>
      </c>
    </row>
    <row r="29578" spans="1:6" x14ac:dyDescent="0.2">
      <c r="A29578" t="s">
        <v>46662</v>
      </c>
      <c r="B29578" t="s">
        <v>46663</v>
      </c>
      <c r="C29578" t="s">
        <v>523</v>
      </c>
      <c r="D29578" t="s">
        <v>486</v>
      </c>
      <c r="E29578" t="s">
        <v>119</v>
      </c>
      <c r="F29578" s="2" t="str">
        <f>HYPERLINK("http://www.otzar.org/book.asp?611142","ספר אבא לכולם - הרבי מפיטסבורג")</f>
        <v>ספר אבא לכולם - הרבי מפיטסבורג</v>
      </c>
    </row>
    <row r="29579" spans="1:6" x14ac:dyDescent="0.2">
      <c r="A29579" t="s">
        <v>46664</v>
      </c>
      <c r="B29579" t="s">
        <v>552</v>
      </c>
      <c r="C29579" t="s">
        <v>20</v>
      </c>
      <c r="D29579" t="s">
        <v>14</v>
      </c>
      <c r="E29579" t="s">
        <v>202</v>
      </c>
      <c r="F29579" s="2" t="str">
        <f>HYPERLINK("http://www.otzar.org/book.asp?175946","ספר אבד חסיד מן הארץ")</f>
        <v>ספר אבד חסיד מן הארץ</v>
      </c>
    </row>
    <row r="29580" spans="1:6" x14ac:dyDescent="0.2">
      <c r="A29580" t="s">
        <v>46665</v>
      </c>
      <c r="B29580" t="s">
        <v>46666</v>
      </c>
      <c r="C29580" t="s">
        <v>37</v>
      </c>
      <c r="D29580" t="s">
        <v>52</v>
      </c>
      <c r="E29580" t="s">
        <v>119</v>
      </c>
      <c r="F29580" s="2" t="str">
        <f>HYPERLINK("http://www.otzar.org/book.asp?178879","ספר אבוקה בודדה")</f>
        <v>ספר אבוקה בודדה</v>
      </c>
    </row>
    <row r="29581" spans="1:6" x14ac:dyDescent="0.2">
      <c r="A29581" t="s">
        <v>46667</v>
      </c>
      <c r="B29581" t="s">
        <v>8353</v>
      </c>
      <c r="C29581" t="s">
        <v>244</v>
      </c>
      <c r="D29581" t="s">
        <v>367</v>
      </c>
      <c r="E29581" t="s">
        <v>8469</v>
      </c>
      <c r="F29581" s="2" t="str">
        <f>HYPERLINK("http://www.otzar.org/book.asp?195461","ספר אבוקות של אור")</f>
        <v>ספר אבוקות של אור</v>
      </c>
    </row>
    <row r="29582" spans="1:6" x14ac:dyDescent="0.2">
      <c r="A29582" t="s">
        <v>46668</v>
      </c>
      <c r="B29582" t="s">
        <v>8353</v>
      </c>
      <c r="C29582" t="s">
        <v>366</v>
      </c>
      <c r="D29582" t="s">
        <v>367</v>
      </c>
      <c r="E29582" t="s">
        <v>84</v>
      </c>
      <c r="F29582" s="2" t="str">
        <f>HYPERLINK("http://www.otzar.org/book.asp?603521","ספר אבוקת תמיד")</f>
        <v>ספר אבוקת תמיד</v>
      </c>
    </row>
    <row r="29583" spans="1:6" x14ac:dyDescent="0.2">
      <c r="A29583" t="s">
        <v>46669</v>
      </c>
      <c r="B29583" t="s">
        <v>18179</v>
      </c>
      <c r="C29583" t="s">
        <v>411</v>
      </c>
      <c r="D29583" t="s">
        <v>14</v>
      </c>
      <c r="F29583" s="2" t="str">
        <f>HYPERLINK("http://www.otzar.org/book.asp?199823","ספר אבותינו")</f>
        <v>ספר אבותינו</v>
      </c>
    </row>
    <row r="29584" spans="1:6" x14ac:dyDescent="0.2">
      <c r="A29584" t="s">
        <v>46670</v>
      </c>
      <c r="B29584" t="s">
        <v>46671</v>
      </c>
      <c r="C29584" t="s">
        <v>244</v>
      </c>
      <c r="D29584" t="s">
        <v>14</v>
      </c>
      <c r="F29584" s="2" t="str">
        <f>HYPERLINK("http://www.otzar.org/book.asp?620774","ספר אביע בם")</f>
        <v>ספר אביע בם</v>
      </c>
    </row>
    <row r="29585" spans="1:6" x14ac:dyDescent="0.2">
      <c r="A29585" t="s">
        <v>46672</v>
      </c>
      <c r="B29585" t="s">
        <v>1552</v>
      </c>
      <c r="C29585" t="s">
        <v>20</v>
      </c>
      <c r="D29585" t="s">
        <v>14</v>
      </c>
      <c r="E29585" t="s">
        <v>158</v>
      </c>
      <c r="F29585" s="2" t="str">
        <f>HYPERLINK("http://www.otzar.org/book.asp?6106","ספר איוב &lt;רמב""ן, תוכחת חיים&gt;")</f>
        <v>ספר איוב &lt;רמב"ן, תוכחת חיים&gt;</v>
      </c>
    </row>
    <row r="29586" spans="1:6" x14ac:dyDescent="0.2">
      <c r="A29586" t="s">
        <v>46673</v>
      </c>
      <c r="B29586" t="s">
        <v>31913</v>
      </c>
      <c r="C29586" t="s">
        <v>2970</v>
      </c>
      <c r="D29586" t="s">
        <v>56</v>
      </c>
      <c r="E29586" t="s">
        <v>158</v>
      </c>
      <c r="F29586" s="2" t="str">
        <f>HYPERLINK("http://www.otzar.org/book.asp?102568","ספר איוב &lt;גבעת פנחס&gt;")</f>
        <v>ספר איוב &lt;גבעת פנחס&gt;</v>
      </c>
    </row>
    <row r="29587" spans="1:6" x14ac:dyDescent="0.2">
      <c r="A29587" t="s">
        <v>46674</v>
      </c>
      <c r="B29587" t="s">
        <v>46675</v>
      </c>
      <c r="C29587" t="s">
        <v>3106</v>
      </c>
      <c r="D29587" t="s">
        <v>412</v>
      </c>
      <c r="E29587" t="s">
        <v>579</v>
      </c>
      <c r="F29587" s="2" t="str">
        <f>HYPERLINK("http://www.otzar.org/book.asp?196073","ספר איוב ע""פ רמב""ן, תוכחת חיים, פי הבאר")</f>
        <v>ספר איוב ע"פ רמב"ן, תוכחת חיים, פי הבאר</v>
      </c>
    </row>
    <row r="29588" spans="1:6" x14ac:dyDescent="0.2">
      <c r="A29588" t="s">
        <v>46676</v>
      </c>
      <c r="B29588" t="s">
        <v>46677</v>
      </c>
      <c r="C29588" t="s">
        <v>266</v>
      </c>
      <c r="D29588" t="s">
        <v>56</v>
      </c>
      <c r="E29588" t="s">
        <v>158</v>
      </c>
      <c r="F29588" s="2" t="str">
        <f>HYPERLINK("http://www.otzar.org/book.asp?25459","ספר איוב עם באור מורה חיים")</f>
        <v>ספר איוב עם באור מורה חיים</v>
      </c>
    </row>
    <row r="29589" spans="1:6" x14ac:dyDescent="0.2">
      <c r="A29589" t="s">
        <v>46678</v>
      </c>
      <c r="B29589" t="s">
        <v>232</v>
      </c>
      <c r="C29589" t="s">
        <v>1160</v>
      </c>
      <c r="D29589" t="s">
        <v>52</v>
      </c>
      <c r="E29589" t="s">
        <v>579</v>
      </c>
      <c r="F29589" s="2" t="str">
        <f>HYPERLINK("http://www.otzar.org/book.asp?174400","ספר איזוב")</f>
        <v>ספר איזוב</v>
      </c>
    </row>
    <row r="29590" spans="1:6" x14ac:dyDescent="0.2">
      <c r="A29590" t="s">
        <v>46679</v>
      </c>
      <c r="B29590" t="s">
        <v>46680</v>
      </c>
      <c r="C29590" t="s">
        <v>224</v>
      </c>
      <c r="D29590" t="s">
        <v>27</v>
      </c>
      <c r="E29590" t="s">
        <v>104</v>
      </c>
      <c r="F29590" s="2" t="str">
        <f>HYPERLINK("http://www.otzar.org/book.asp?160517","ספר אליהו ופרקי משיח")</f>
        <v>ספר אליהו ופרקי משיח</v>
      </c>
    </row>
    <row r="29591" spans="1:6" x14ac:dyDescent="0.2">
      <c r="A29591" t="s">
        <v>46681</v>
      </c>
      <c r="B29591" t="s">
        <v>776</v>
      </c>
      <c r="C29591" t="s">
        <v>985</v>
      </c>
      <c r="D29591" t="s">
        <v>27</v>
      </c>
      <c r="E29591" t="s">
        <v>158</v>
      </c>
      <c r="F29591" s="2" t="str">
        <f>HYPERLINK("http://www.otzar.org/book.asp?108431","ספר אלישיב")</f>
        <v>ספר אלישיב</v>
      </c>
    </row>
    <row r="29592" spans="1:6" x14ac:dyDescent="0.2">
      <c r="A29592" t="s">
        <v>46682</v>
      </c>
      <c r="B29592" t="s">
        <v>17149</v>
      </c>
      <c r="C29592" t="s">
        <v>427</v>
      </c>
      <c r="D29592" t="s">
        <v>14</v>
      </c>
      <c r="E29592" t="s">
        <v>226</v>
      </c>
      <c r="F29592" s="2" t="str">
        <f>HYPERLINK("http://www.otzar.org/book.asp?6997","ספר אלכסנדר &lt;האדמו""ר רבי חנוך מאלכסנדר&gt;")</f>
        <v>ספר אלכסנדר &lt;האדמו"ר רבי חנוך מאלכסנדר&gt;</v>
      </c>
    </row>
    <row r="29593" spans="1:6" x14ac:dyDescent="0.2">
      <c r="A29593" t="s">
        <v>46683</v>
      </c>
      <c r="B29593" t="s">
        <v>28188</v>
      </c>
      <c r="C29593" t="s">
        <v>237</v>
      </c>
      <c r="D29593" t="s">
        <v>986</v>
      </c>
      <c r="E29593" t="s">
        <v>241</v>
      </c>
      <c r="F29593" s="2" t="str">
        <f>HYPERLINK("http://www.otzar.org/book.asp?624692","ספר אמת")</f>
        <v>ספר אמת</v>
      </c>
    </row>
    <row r="29594" spans="1:6" x14ac:dyDescent="0.2">
      <c r="A29594" t="s">
        <v>46684</v>
      </c>
      <c r="B29594" t="s">
        <v>46685</v>
      </c>
      <c r="C29594" t="s">
        <v>176</v>
      </c>
      <c r="D29594" t="s">
        <v>14</v>
      </c>
      <c r="E29594" t="s">
        <v>2091</v>
      </c>
      <c r="F29594" s="2" t="str">
        <f>HYPERLINK("http://www.otzar.org/book.asp?188953","ספר אסיא - ח")</f>
        <v>ספר אסיא - ח</v>
      </c>
    </row>
    <row r="29595" spans="1:6" x14ac:dyDescent="0.2">
      <c r="A29595" t="s">
        <v>46686</v>
      </c>
      <c r="B29595" t="s">
        <v>46687</v>
      </c>
      <c r="C29595" t="s">
        <v>103</v>
      </c>
      <c r="D29595" t="s">
        <v>14</v>
      </c>
      <c r="E29595" t="s">
        <v>2091</v>
      </c>
      <c r="F29595" s="2" t="str">
        <f>HYPERLINK("http://www.otzar.org/book.asp?188954","ספר אסיא - 2 כר'")</f>
        <v>ספר אסיא - 2 כר'</v>
      </c>
    </row>
    <row r="29596" spans="1:6" x14ac:dyDescent="0.2">
      <c r="A29596" t="s">
        <v>46688</v>
      </c>
      <c r="B29596" t="s">
        <v>46689</v>
      </c>
      <c r="C29596" t="s">
        <v>111</v>
      </c>
      <c r="D29596" t="s">
        <v>14</v>
      </c>
      <c r="E29596" t="s">
        <v>674</v>
      </c>
      <c r="F29596" s="2" t="str">
        <f>HYPERLINK("http://www.otzar.org/book.asp?627034","ספר אסיא - טז")</f>
        <v>ספר אסיא - טז</v>
      </c>
    </row>
    <row r="29597" spans="1:6" x14ac:dyDescent="0.2">
      <c r="A29597" t="s">
        <v>46690</v>
      </c>
      <c r="B29597" t="s">
        <v>46691</v>
      </c>
      <c r="C29597" t="s">
        <v>422</v>
      </c>
      <c r="D29597" t="s">
        <v>14</v>
      </c>
      <c r="E29597" t="s">
        <v>2091</v>
      </c>
      <c r="F29597" s="2" t="str">
        <f>HYPERLINK("http://www.otzar.org/book.asp?188956","ספר אסיא - 5 כר'")</f>
        <v>ספר אסיא - 5 כר'</v>
      </c>
    </row>
    <row r="29598" spans="1:6" x14ac:dyDescent="0.2">
      <c r="A29598" t="s">
        <v>46692</v>
      </c>
      <c r="B29598" t="s">
        <v>46693</v>
      </c>
      <c r="C29598" t="s">
        <v>785</v>
      </c>
      <c r="D29598" t="s">
        <v>14</v>
      </c>
      <c r="E29598" t="s">
        <v>2091</v>
      </c>
      <c r="F29598" s="2" t="str">
        <f>HYPERLINK("http://www.otzar.org/book.asp?188952","ספר אסיא - ז")</f>
        <v>ספר אסיא - ז</v>
      </c>
    </row>
    <row r="29599" spans="1:6" x14ac:dyDescent="0.2">
      <c r="A29599" t="s">
        <v>46686</v>
      </c>
      <c r="B29599" t="s">
        <v>46694</v>
      </c>
      <c r="C29599" t="s">
        <v>940</v>
      </c>
      <c r="D29599" t="s">
        <v>14</v>
      </c>
      <c r="E29599" t="s">
        <v>2091</v>
      </c>
      <c r="F29599" s="2" t="str">
        <f>HYPERLINK("http://www.otzar.org/book.asp?188950","ספר אסיא - 2 כר'")</f>
        <v>ספר אסיא - 2 כר'</v>
      </c>
    </row>
    <row r="29600" spans="1:6" x14ac:dyDescent="0.2">
      <c r="A29600" t="s">
        <v>46695</v>
      </c>
      <c r="B29600" t="s">
        <v>46696</v>
      </c>
      <c r="C29600" t="s">
        <v>785</v>
      </c>
      <c r="D29600" t="s">
        <v>14</v>
      </c>
      <c r="E29600" t="s">
        <v>2091</v>
      </c>
      <c r="F29600" s="2" t="str">
        <f>HYPERLINK("http://www.otzar.org/book.asp?188946","ספר אסיא - 4 כר'")</f>
        <v>ספר אסיא - 4 כר'</v>
      </c>
    </row>
    <row r="29601" spans="1:6" x14ac:dyDescent="0.2">
      <c r="A29601" t="s">
        <v>46697</v>
      </c>
      <c r="B29601" t="s">
        <v>10056</v>
      </c>
      <c r="C29601" t="s">
        <v>133</v>
      </c>
      <c r="D29601" t="s">
        <v>118</v>
      </c>
      <c r="F29601" s="2" t="str">
        <f>HYPERLINK("http://www.otzar.org/book.asp?199143","ספר באבוב")</f>
        <v>ספר באבוב</v>
      </c>
    </row>
    <row r="29602" spans="1:6" x14ac:dyDescent="0.2">
      <c r="A29602" t="s">
        <v>46698</v>
      </c>
      <c r="B29602" t="s">
        <v>46699</v>
      </c>
      <c r="C29602" t="s">
        <v>7367</v>
      </c>
      <c r="D29602" t="s">
        <v>46700</v>
      </c>
      <c r="E29602" t="s">
        <v>104</v>
      </c>
      <c r="F29602" s="2" t="str">
        <f>HYPERLINK("http://www.otzar.org/book.asp?62154","ספר בכושרות")</f>
        <v>ספר בכושרות</v>
      </c>
    </row>
    <row r="29603" spans="1:6" x14ac:dyDescent="0.2">
      <c r="A29603" t="s">
        <v>46701</v>
      </c>
      <c r="B29603" t="s">
        <v>20147</v>
      </c>
      <c r="C29603" t="s">
        <v>1268</v>
      </c>
      <c r="D29603" t="s">
        <v>216</v>
      </c>
      <c r="E29603" t="s">
        <v>158</v>
      </c>
      <c r="F29603" s="2" t="str">
        <f>HYPERLINK("http://www.otzar.org/book.asp?177078","ספר במדבר מפוסק ע""פ טעמי המקרא")</f>
        <v>ספר במדבר מפוסק ע"פ טעמי המקרא</v>
      </c>
    </row>
    <row r="29604" spans="1:6" x14ac:dyDescent="0.2">
      <c r="A29604" t="s">
        <v>46702</v>
      </c>
      <c r="B29604" t="s">
        <v>46703</v>
      </c>
      <c r="C29604" t="s">
        <v>46704</v>
      </c>
      <c r="D29604" t="s">
        <v>1411</v>
      </c>
      <c r="E29604" t="s">
        <v>733</v>
      </c>
      <c r="F29604" s="2" t="str">
        <f>HYPERLINK("http://www.otzar.org/book.asp?152776","ספר בן גוריון &lt;יוסיפון&gt; - 2 כר'")</f>
        <v>ספר בן גוריון &lt;יוסיפון&gt; - 2 כר'</v>
      </c>
    </row>
    <row r="29605" spans="1:6" x14ac:dyDescent="0.2">
      <c r="A29605" t="s">
        <v>46705</v>
      </c>
      <c r="B29605" t="s">
        <v>46539</v>
      </c>
      <c r="C29605" t="s">
        <v>1022</v>
      </c>
      <c r="D29605" t="s">
        <v>1593</v>
      </c>
      <c r="E29605" t="s">
        <v>158</v>
      </c>
      <c r="F29605" s="2" t="str">
        <f>HYPERLINK("http://www.otzar.org/book.asp?53881","ספר בראשית ופירוש פי ישרים")</f>
        <v>ספר בראשית ופירוש פי ישרים</v>
      </c>
    </row>
    <row r="29606" spans="1:6" x14ac:dyDescent="0.2">
      <c r="A29606" t="s">
        <v>46706</v>
      </c>
      <c r="B29606" t="s">
        <v>20147</v>
      </c>
      <c r="C29606" t="s">
        <v>334</v>
      </c>
      <c r="D29606" t="s">
        <v>216</v>
      </c>
      <c r="E29606" t="s">
        <v>158</v>
      </c>
      <c r="F29606" s="2" t="str">
        <f>HYPERLINK("http://www.otzar.org/book.asp?177080","ספר בראשית מפוסק ע""פ טעמי המקרא")</f>
        <v>ספר בראשית מפוסק ע"פ טעמי המקרא</v>
      </c>
    </row>
    <row r="29607" spans="1:6" x14ac:dyDescent="0.2">
      <c r="A29607" t="s">
        <v>46707</v>
      </c>
      <c r="B29607" t="s">
        <v>6044</v>
      </c>
      <c r="C29607" t="s">
        <v>189</v>
      </c>
      <c r="D29607" t="s">
        <v>14</v>
      </c>
      <c r="E29607" t="s">
        <v>104</v>
      </c>
      <c r="F29607" s="2" t="str">
        <f>HYPERLINK("http://www.otzar.org/book.asp?155410","ספר גימטריאות - 2 כר'")</f>
        <v>ספר גימטריאות - 2 כר'</v>
      </c>
    </row>
    <row r="29608" spans="1:6" x14ac:dyDescent="0.2">
      <c r="A29608" t="s">
        <v>46708</v>
      </c>
      <c r="B29608" t="s">
        <v>46709</v>
      </c>
      <c r="C29608" t="s">
        <v>20</v>
      </c>
      <c r="D29608" t="s">
        <v>16149</v>
      </c>
      <c r="E29608" t="s">
        <v>144</v>
      </c>
      <c r="F29608" s="2" t="str">
        <f>HYPERLINK("http://www.otzar.org/book.asp?176695","ספר גליונות")</f>
        <v>ספר גליונות</v>
      </c>
    </row>
    <row r="29609" spans="1:6" x14ac:dyDescent="0.2">
      <c r="A29609" t="s">
        <v>46710</v>
      </c>
      <c r="B29609" t="s">
        <v>4201</v>
      </c>
      <c r="C29609" t="s">
        <v>176</v>
      </c>
      <c r="D29609" t="s">
        <v>21</v>
      </c>
      <c r="F29609" s="2" t="str">
        <f>HYPERLINK("http://www.otzar.org/book.asp?199394","ספר גרושין ותומר דבורה &lt;מהדורה חדשה&gt;")</f>
        <v>ספר גרושין ותומר דבורה &lt;מהדורה חדשה&gt;</v>
      </c>
    </row>
    <row r="29610" spans="1:6" x14ac:dyDescent="0.2">
      <c r="A29610" t="s">
        <v>46711</v>
      </c>
      <c r="B29610" t="s">
        <v>4201</v>
      </c>
      <c r="C29610" t="s">
        <v>6773</v>
      </c>
      <c r="D29610" t="s">
        <v>49</v>
      </c>
      <c r="E29610" t="s">
        <v>399</v>
      </c>
      <c r="F29610" s="2" t="str">
        <f>HYPERLINK("http://www.otzar.org/book.asp?100431","ספר גרושין - 2 כר'")</f>
        <v>ספר גרושין - 2 כר'</v>
      </c>
    </row>
    <row r="29611" spans="1:6" x14ac:dyDescent="0.2">
      <c r="A29611" t="s">
        <v>46712</v>
      </c>
      <c r="B29611" t="s">
        <v>20147</v>
      </c>
      <c r="C29611" t="s">
        <v>1268</v>
      </c>
      <c r="D29611" t="s">
        <v>216</v>
      </c>
      <c r="E29611" t="s">
        <v>158</v>
      </c>
      <c r="F29611" s="2" t="str">
        <f>HYPERLINK("http://www.otzar.org/book.asp?177079","ספר דברים מפוסק ע""פ טעמי המקרא")</f>
        <v>ספר דברים מפוסק ע"פ טעמי המקרא</v>
      </c>
    </row>
    <row r="29612" spans="1:6" x14ac:dyDescent="0.2">
      <c r="A29612" t="s">
        <v>46713</v>
      </c>
      <c r="B29612" t="s">
        <v>46714</v>
      </c>
      <c r="C29612" t="s">
        <v>553</v>
      </c>
      <c r="D29612" t="s">
        <v>412</v>
      </c>
      <c r="E29612" t="s">
        <v>435</v>
      </c>
      <c r="F29612" s="2" t="str">
        <f>HYPERLINK("http://www.otzar.org/book.asp?153626","ספר דבש")</f>
        <v>ספר דבש</v>
      </c>
    </row>
    <row r="29613" spans="1:6" x14ac:dyDescent="0.2">
      <c r="A29613" t="s">
        <v>46715</v>
      </c>
      <c r="B29613" t="s">
        <v>46716</v>
      </c>
      <c r="C29613" t="s">
        <v>581</v>
      </c>
      <c r="D29613" t="s">
        <v>691</v>
      </c>
      <c r="E29613" t="s">
        <v>158</v>
      </c>
      <c r="F29613" s="2" t="str">
        <f>HYPERLINK("http://www.otzar.org/book.asp?28332","ספר דודאים")</f>
        <v>ספר דודאים</v>
      </c>
    </row>
    <row r="29614" spans="1:6" x14ac:dyDescent="0.2">
      <c r="A29614" t="s">
        <v>46717</v>
      </c>
      <c r="B29614" t="s">
        <v>46718</v>
      </c>
      <c r="C29614" t="s">
        <v>2970</v>
      </c>
      <c r="D29614" t="s">
        <v>46719</v>
      </c>
      <c r="E29614" t="s">
        <v>158</v>
      </c>
      <c r="F29614" s="2" t="str">
        <f>HYPERLINK("http://www.otzar.org/book.asp?624783","ספר דניאל &lt;מתורגם בלשון אשכנז - פירוש הרב אבן יחיא")</f>
        <v>ספר דניאל &lt;מתורגם בלשון אשכנז - פירוש הרב אבן יחיא</v>
      </c>
    </row>
    <row r="29615" spans="1:6" x14ac:dyDescent="0.2">
      <c r="A29615" t="s">
        <v>46720</v>
      </c>
      <c r="B29615" t="s">
        <v>46721</v>
      </c>
      <c r="C29615" t="s">
        <v>1163</v>
      </c>
      <c r="F29615" s="2" t="str">
        <f>HYPERLINK("http://www.otzar.org/book.asp?610930","ספר דניאל כתב יד בבלי תימני")</f>
        <v>ספר דניאל כתב יד בבלי תימני</v>
      </c>
    </row>
    <row r="29616" spans="1:6" x14ac:dyDescent="0.2">
      <c r="A29616" t="s">
        <v>46722</v>
      </c>
      <c r="B29616" t="s">
        <v>46723</v>
      </c>
      <c r="C29616" t="s">
        <v>22883</v>
      </c>
      <c r="D29616" t="s">
        <v>49</v>
      </c>
      <c r="E29616" t="s">
        <v>104</v>
      </c>
      <c r="F29616" s="2" t="str">
        <f>HYPERLINK("http://www.otzar.org/book.asp?104230","ספר דקדוק")</f>
        <v>ספר דקדוק</v>
      </c>
    </row>
    <row r="29617" spans="1:6" x14ac:dyDescent="0.2">
      <c r="A29617" t="s">
        <v>46724</v>
      </c>
      <c r="B29617" t="s">
        <v>46725</v>
      </c>
      <c r="C29617" t="s">
        <v>51</v>
      </c>
      <c r="D29617" t="s">
        <v>412</v>
      </c>
      <c r="E29617" t="s">
        <v>158</v>
      </c>
      <c r="F29617" s="2" t="str">
        <f>HYPERLINK("http://www.otzar.org/book.asp?142380","ספר דרושים ולקחי מוסר - 2 כר'")</f>
        <v>ספר דרושים ולקחי מוסר - 2 כר'</v>
      </c>
    </row>
    <row r="29618" spans="1:6" x14ac:dyDescent="0.2">
      <c r="A29618" t="s">
        <v>46726</v>
      </c>
      <c r="B29618" t="s">
        <v>46727</v>
      </c>
      <c r="C29618" t="s">
        <v>1374</v>
      </c>
      <c r="D29618" t="s">
        <v>1459</v>
      </c>
      <c r="E29618" t="s">
        <v>21910</v>
      </c>
      <c r="F29618" s="2" t="str">
        <f>HYPERLINK("http://www.otzar.org/book.asp?25185","ספר האביב")</f>
        <v>ספר האביב</v>
      </c>
    </row>
    <row r="29619" spans="1:6" x14ac:dyDescent="0.2">
      <c r="A29619" t="s">
        <v>46728</v>
      </c>
      <c r="B29619" t="s">
        <v>46729</v>
      </c>
      <c r="C29619" t="s">
        <v>989</v>
      </c>
      <c r="D29619" t="s">
        <v>27</v>
      </c>
      <c r="E29619" t="s">
        <v>920</v>
      </c>
      <c r="F29619" s="2" t="str">
        <f>HYPERLINK("http://www.otzar.org/book.asp?5138","ספר האגודה &lt;הגהות וביאורים&gt; - 8 כר'")</f>
        <v>ספר האגודה &lt;הגהות וביאורים&gt; - 8 כר'</v>
      </c>
    </row>
    <row r="29620" spans="1:6" x14ac:dyDescent="0.2">
      <c r="A29620" t="s">
        <v>46730</v>
      </c>
      <c r="B29620" t="s">
        <v>46729</v>
      </c>
      <c r="C29620" t="s">
        <v>624</v>
      </c>
      <c r="D29620" t="s">
        <v>52</v>
      </c>
      <c r="E29620" t="s">
        <v>84</v>
      </c>
      <c r="F29620" s="2" t="str">
        <f>HYPERLINK("http://www.otzar.org/book.asp?60013","ספר האגודה על מסכת פרה")</f>
        <v>ספר האגודה על מסכת פרה</v>
      </c>
    </row>
    <row r="29621" spans="1:6" x14ac:dyDescent="0.2">
      <c r="A29621" t="s">
        <v>46731</v>
      </c>
      <c r="B29621" t="s">
        <v>46732</v>
      </c>
      <c r="C29621" t="s">
        <v>1166</v>
      </c>
      <c r="D29621" t="s">
        <v>303</v>
      </c>
      <c r="E29621" t="s">
        <v>104</v>
      </c>
      <c r="F29621" s="2" t="str">
        <f>HYPERLINK("http://www.otzar.org/book.asp?189588","ספר האגודה")</f>
        <v>ספר האגודה</v>
      </c>
    </row>
    <row r="29622" spans="1:6" x14ac:dyDescent="0.2">
      <c r="A29622" t="s">
        <v>46733</v>
      </c>
      <c r="B29622" t="s">
        <v>46729</v>
      </c>
      <c r="C29622" t="s">
        <v>46734</v>
      </c>
      <c r="D29622" t="s">
        <v>1117</v>
      </c>
      <c r="E29622" t="s">
        <v>144</v>
      </c>
      <c r="F29622" s="2" t="str">
        <f>HYPERLINK("http://www.otzar.org/book.asp?11190","ספר האגודה - 2 כר'")</f>
        <v>ספר האגודה - 2 כר'</v>
      </c>
    </row>
    <row r="29623" spans="1:6" x14ac:dyDescent="0.2">
      <c r="A29623" t="s">
        <v>46735</v>
      </c>
      <c r="B29623" t="s">
        <v>19004</v>
      </c>
      <c r="C29623" t="s">
        <v>390</v>
      </c>
      <c r="D29623" t="s">
        <v>216</v>
      </c>
      <c r="E29623" t="s">
        <v>226</v>
      </c>
      <c r="F29623" s="2" t="str">
        <f>HYPERLINK("http://www.otzar.org/book.asp?189193","ספר האדמורי""ם")</f>
        <v>ספר האדמורי"ם</v>
      </c>
    </row>
    <row r="29624" spans="1:6" x14ac:dyDescent="0.2">
      <c r="A29624" t="s">
        <v>46736</v>
      </c>
      <c r="B29624" t="s">
        <v>5332</v>
      </c>
      <c r="C29624" t="s">
        <v>1228</v>
      </c>
      <c r="D29624" t="s">
        <v>1279</v>
      </c>
      <c r="E29624" t="s">
        <v>15</v>
      </c>
      <c r="F29624" s="2" t="str">
        <f>HYPERLINK("http://www.otzar.org/book.asp?53498","ספר האורה - 2 כר'")</f>
        <v>ספר האורה - 2 כר'</v>
      </c>
    </row>
    <row r="29625" spans="1:6" x14ac:dyDescent="0.2">
      <c r="A29625" t="s">
        <v>46737</v>
      </c>
      <c r="B29625" t="s">
        <v>3306</v>
      </c>
      <c r="C29625" t="s">
        <v>1124</v>
      </c>
      <c r="D29625" t="s">
        <v>535</v>
      </c>
      <c r="E29625" t="s">
        <v>104</v>
      </c>
      <c r="F29625" s="2" t="str">
        <f>HYPERLINK("http://www.otzar.org/book.asp?147139","ספר האות - 2 כר'")</f>
        <v>ספר האות - 2 כר'</v>
      </c>
    </row>
    <row r="29626" spans="1:6" x14ac:dyDescent="0.2">
      <c r="A29626" t="s">
        <v>46738</v>
      </c>
      <c r="B29626" t="s">
        <v>46739</v>
      </c>
      <c r="C29626" t="s">
        <v>160</v>
      </c>
      <c r="D29626" t="s">
        <v>27</v>
      </c>
      <c r="E29626" t="s">
        <v>202</v>
      </c>
      <c r="F29626" s="2" t="str">
        <f>HYPERLINK("http://www.otzar.org/book.asp?161623","ספר האחוה")</f>
        <v>ספר האחוה</v>
      </c>
    </row>
    <row r="29627" spans="1:6" x14ac:dyDescent="0.2">
      <c r="A29627" t="s">
        <v>46740</v>
      </c>
      <c r="B29627" t="s">
        <v>4373</v>
      </c>
      <c r="C29627" t="s">
        <v>291</v>
      </c>
      <c r="D29627" t="s">
        <v>76</v>
      </c>
      <c r="E29627" t="s">
        <v>104</v>
      </c>
      <c r="F29627" s="2" t="str">
        <f>HYPERLINK("http://www.otzar.org/book.asp?165168","ספר האחלמה - 2 כר'")</f>
        <v>ספר האחלמה - 2 כר'</v>
      </c>
    </row>
    <row r="29628" spans="1:6" x14ac:dyDescent="0.2">
      <c r="A29628" t="s">
        <v>46741</v>
      </c>
      <c r="B29628" t="s">
        <v>46742</v>
      </c>
      <c r="C29628" t="s">
        <v>46743</v>
      </c>
      <c r="D29628" t="s">
        <v>3963</v>
      </c>
      <c r="E29628" t="s">
        <v>241</v>
      </c>
      <c r="F29628" s="2" t="str">
        <f>HYPERLINK("http://www.otzar.org/book.asp?12168","ספר האמונות - 2 כר'")</f>
        <v>ספר האמונות - 2 כר'</v>
      </c>
    </row>
    <row r="29629" spans="1:6" x14ac:dyDescent="0.2">
      <c r="A29629" t="s">
        <v>46744</v>
      </c>
      <c r="B29629" t="s">
        <v>46745</v>
      </c>
      <c r="C29629" t="s">
        <v>2312</v>
      </c>
      <c r="D29629" t="s">
        <v>27</v>
      </c>
      <c r="E29629" t="s">
        <v>3567</v>
      </c>
      <c r="F29629" s="2" t="str">
        <f>HYPERLINK("http://www.otzar.org/book.asp?12119","ספר האשכול &lt;מהדורת אלבק&gt; - 2 כר'")</f>
        <v>ספר האשכול &lt;מהדורת אלבק&gt; - 2 כר'</v>
      </c>
    </row>
    <row r="29630" spans="1:6" x14ac:dyDescent="0.2">
      <c r="A29630" t="s">
        <v>46746</v>
      </c>
      <c r="B29630" t="s">
        <v>46745</v>
      </c>
      <c r="C29630" t="s">
        <v>1418</v>
      </c>
      <c r="D29630" t="s">
        <v>5232</v>
      </c>
      <c r="E29630" t="s">
        <v>3567</v>
      </c>
      <c r="F29630" s="2" t="str">
        <f>HYPERLINK("http://www.otzar.org/book.asp?6038","ספר האשכול &lt;מהדורת נחל אשכול&gt; - 4 כר'")</f>
        <v>ספר האשכול &lt;מהדורת נחל אשכול&gt; - 4 כר'</v>
      </c>
    </row>
    <row r="29631" spans="1:6" x14ac:dyDescent="0.2">
      <c r="A29631" t="s">
        <v>46747</v>
      </c>
      <c r="B29631" t="s">
        <v>46748</v>
      </c>
      <c r="C29631" t="s">
        <v>466</v>
      </c>
      <c r="D29631" t="s">
        <v>14</v>
      </c>
      <c r="E29631" t="s">
        <v>104</v>
      </c>
      <c r="F29631" s="2" t="str">
        <f>HYPERLINK("http://www.otzar.org/book.asp?152604","ספר הבגרות לרב שמואל בן חפני גאון")</f>
        <v>ספר הבגרות לרב שמואל בן חפני גאון</v>
      </c>
    </row>
    <row r="29632" spans="1:6" x14ac:dyDescent="0.2">
      <c r="A29632" t="s">
        <v>46749</v>
      </c>
      <c r="B29632" t="s">
        <v>46750</v>
      </c>
      <c r="C29632" t="s">
        <v>13</v>
      </c>
      <c r="D29632" t="s">
        <v>52</v>
      </c>
      <c r="E29632" t="s">
        <v>64</v>
      </c>
      <c r="F29632" s="2" t="str">
        <f>HYPERLINK("http://www.otzar.org/book.asp?64109","ספר הבהיר &lt;ע""פ רחש לבי&gt; - ביאורי הכנויים")</f>
        <v>ספר הבהיר &lt;ע"פ רחש לבי&gt; - ביאורי הכנויים</v>
      </c>
    </row>
    <row r="29633" spans="1:6" x14ac:dyDescent="0.2">
      <c r="A29633" t="s">
        <v>46751</v>
      </c>
      <c r="B29633" t="s">
        <v>46752</v>
      </c>
      <c r="C29633" t="s">
        <v>27916</v>
      </c>
      <c r="D29633" t="s">
        <v>1023</v>
      </c>
      <c r="E29633" t="s">
        <v>43</v>
      </c>
      <c r="F29633" s="2" t="str">
        <f>HYPERLINK("http://www.otzar.org/book.asp?53499","ספר הבהיר")</f>
        <v>ספר הבהיר</v>
      </c>
    </row>
    <row r="29634" spans="1:6" x14ac:dyDescent="0.2">
      <c r="A29634" t="s">
        <v>46751</v>
      </c>
      <c r="B29634" t="s">
        <v>46753</v>
      </c>
      <c r="C29634" t="s">
        <v>25392</v>
      </c>
      <c r="D29634" t="s">
        <v>280</v>
      </c>
      <c r="E29634" t="s">
        <v>43</v>
      </c>
      <c r="F29634" s="2" t="str">
        <f>HYPERLINK("http://www.otzar.org/book.asp?174637","ספר הבהיר")</f>
        <v>ספר הבהיר</v>
      </c>
    </row>
    <row r="29635" spans="1:6" x14ac:dyDescent="0.2">
      <c r="A29635" t="s">
        <v>46751</v>
      </c>
      <c r="B29635" t="s">
        <v>46754</v>
      </c>
      <c r="C29635" t="s">
        <v>1166</v>
      </c>
      <c r="D29635" t="s">
        <v>1862</v>
      </c>
      <c r="E29635" t="s">
        <v>43</v>
      </c>
      <c r="F29635" s="2" t="str">
        <f>HYPERLINK("http://www.otzar.org/book.asp?5947","ספר הבהיר")</f>
        <v>ספר הבהיר</v>
      </c>
    </row>
    <row r="29636" spans="1:6" x14ac:dyDescent="0.2">
      <c r="A29636" t="s">
        <v>46755</v>
      </c>
      <c r="B29636" t="s">
        <v>27568</v>
      </c>
      <c r="C29636" t="s">
        <v>2289</v>
      </c>
      <c r="D29636" t="s">
        <v>4352</v>
      </c>
      <c r="E29636" t="s">
        <v>104</v>
      </c>
      <c r="F29636" s="2" t="str">
        <f>HYPERLINK("http://www.otzar.org/book.asp?17643","ספר הבחור - 3 כר'")</f>
        <v>ספר הבחור - 3 כר'</v>
      </c>
    </row>
    <row r="29637" spans="1:6" x14ac:dyDescent="0.2">
      <c r="A29637" t="s">
        <v>46756</v>
      </c>
      <c r="B29637" t="s">
        <v>46757</v>
      </c>
      <c r="C29637" t="s">
        <v>609</v>
      </c>
      <c r="D29637" t="s">
        <v>307</v>
      </c>
      <c r="E29637" t="s">
        <v>213</v>
      </c>
      <c r="F29637" s="2" t="str">
        <f>HYPERLINK("http://www.otzar.org/book.asp?159911","ספר הברית &lt;באידיש&gt;")</f>
        <v>ספר הברית &lt;באידיש&gt;</v>
      </c>
    </row>
    <row r="29638" spans="1:6" x14ac:dyDescent="0.2">
      <c r="A29638" t="s">
        <v>46758</v>
      </c>
      <c r="B29638" t="s">
        <v>46757</v>
      </c>
      <c r="C29638" t="s">
        <v>37</v>
      </c>
      <c r="D29638" t="s">
        <v>423</v>
      </c>
      <c r="E29638" t="s">
        <v>104</v>
      </c>
      <c r="F29638" s="2" t="str">
        <f>HYPERLINK("http://www.otzar.org/book.asp?196530","ספר הברית &lt;מהדורה חדשה ומורחבת&gt;")</f>
        <v>ספר הברית &lt;מהדורה חדשה ומורחבת&gt;</v>
      </c>
    </row>
    <row r="29639" spans="1:6" x14ac:dyDescent="0.2">
      <c r="A29639" t="s">
        <v>46759</v>
      </c>
      <c r="B29639" t="s">
        <v>46757</v>
      </c>
      <c r="C29639" t="s">
        <v>1166</v>
      </c>
      <c r="D29639" t="s">
        <v>14954</v>
      </c>
      <c r="E29639" t="s">
        <v>3261</v>
      </c>
      <c r="F29639" s="2" t="str">
        <f>HYPERLINK("http://www.otzar.org/book.asp?21032","ספר הברית השלם")</f>
        <v>ספר הברית השלם</v>
      </c>
    </row>
    <row r="29640" spans="1:6" x14ac:dyDescent="0.2">
      <c r="A29640" t="s">
        <v>46760</v>
      </c>
      <c r="B29640" t="s">
        <v>46757</v>
      </c>
      <c r="C29640" t="s">
        <v>1659</v>
      </c>
      <c r="D29640" t="s">
        <v>2714</v>
      </c>
      <c r="E29640" t="s">
        <v>213</v>
      </c>
      <c r="F29640" s="2" t="str">
        <f>HYPERLINK("http://www.otzar.org/book.asp?155622","ספר הברית")</f>
        <v>ספר הברית</v>
      </c>
    </row>
    <row r="29641" spans="1:6" x14ac:dyDescent="0.2">
      <c r="A29641" t="s">
        <v>46760</v>
      </c>
      <c r="B29641" t="s">
        <v>46761</v>
      </c>
      <c r="C29641" t="s">
        <v>5823</v>
      </c>
      <c r="D29641" t="s">
        <v>283</v>
      </c>
      <c r="E29641" t="s">
        <v>104</v>
      </c>
      <c r="F29641" s="2" t="str">
        <f>HYPERLINK("http://www.otzar.org/book.asp?189587","ספר הברית")</f>
        <v>ספר הברית</v>
      </c>
    </row>
    <row r="29642" spans="1:6" x14ac:dyDescent="0.2">
      <c r="A29642" t="s">
        <v>46760</v>
      </c>
      <c r="B29642" t="s">
        <v>46762</v>
      </c>
      <c r="C29642" t="s">
        <v>743</v>
      </c>
      <c r="D29642" t="s">
        <v>20713</v>
      </c>
      <c r="E29642" t="s">
        <v>219</v>
      </c>
      <c r="F29642" s="2" t="str">
        <f>HYPERLINK("http://www.otzar.org/book.asp?606196","ספר הברית")</f>
        <v>ספר הברית</v>
      </c>
    </row>
    <row r="29643" spans="1:6" x14ac:dyDescent="0.2">
      <c r="A29643" t="s">
        <v>46760</v>
      </c>
      <c r="B29643" t="s">
        <v>46763</v>
      </c>
      <c r="C29643" t="s">
        <v>332</v>
      </c>
      <c r="D29643" t="s">
        <v>412</v>
      </c>
      <c r="E29643" t="s">
        <v>172</v>
      </c>
      <c r="F29643" s="2" t="str">
        <f>HYPERLINK("http://www.otzar.org/book.asp?163286","ספר הברית")</f>
        <v>ספר הברית</v>
      </c>
    </row>
    <row r="29644" spans="1:6" x14ac:dyDescent="0.2">
      <c r="A29644" t="s">
        <v>46764</v>
      </c>
      <c r="B29644" t="s">
        <v>46765</v>
      </c>
      <c r="C29644" t="s">
        <v>14</v>
      </c>
      <c r="D29644" t="s">
        <v>51</v>
      </c>
      <c r="E29644" t="s">
        <v>104</v>
      </c>
      <c r="F29644" s="2" t="str">
        <f>HYPERLINK("http://www.otzar.org/book.asp?194916","ספר הבריתות")</f>
        <v>ספר הבריתות</v>
      </c>
    </row>
    <row r="29645" spans="1:6" x14ac:dyDescent="0.2">
      <c r="A29645" t="s">
        <v>46766</v>
      </c>
      <c r="B29645" t="s">
        <v>46767</v>
      </c>
      <c r="C29645" t="s">
        <v>106</v>
      </c>
      <c r="D29645" t="s">
        <v>412</v>
      </c>
      <c r="E29645" t="s">
        <v>15</v>
      </c>
      <c r="F29645" s="2" t="str">
        <f>HYPERLINK("http://www.otzar.org/book.asp?61621","ספר הבתים &lt;מהדורת בלוי&gt; - 3 כר'")</f>
        <v>ספר הבתים &lt;מהדורת בלוי&gt; - 3 כר'</v>
      </c>
    </row>
    <row r="29646" spans="1:6" x14ac:dyDescent="0.2">
      <c r="A29646" t="s">
        <v>46768</v>
      </c>
      <c r="B29646" t="s">
        <v>46767</v>
      </c>
      <c r="C29646" t="s">
        <v>533</v>
      </c>
      <c r="D29646" t="s">
        <v>14</v>
      </c>
      <c r="E29646" t="s">
        <v>81</v>
      </c>
      <c r="F29646" s="2" t="str">
        <f>HYPERLINK("http://www.otzar.org/book.asp?8677","ספר הבתים &lt;מהדורת הרשלר&gt; - 3 כר'")</f>
        <v>ספר הבתים &lt;מהדורת הרשלר&gt; - 3 כר'</v>
      </c>
    </row>
    <row r="29647" spans="1:6" x14ac:dyDescent="0.2">
      <c r="A29647" t="s">
        <v>46769</v>
      </c>
      <c r="B29647" t="s">
        <v>46767</v>
      </c>
      <c r="C29647" t="s">
        <v>313</v>
      </c>
      <c r="D29647" t="s">
        <v>6283</v>
      </c>
      <c r="E29647" t="s">
        <v>15</v>
      </c>
      <c r="F29647" s="2" t="str">
        <f>HYPERLINK("http://www.otzar.org/book.asp?16504","ספר הבתים &lt;עם נתיבות הבית&gt; - 4 כר'")</f>
        <v>ספר הבתים &lt;עם נתיבות הבית&gt; - 4 כר'</v>
      </c>
    </row>
    <row r="29648" spans="1:6" x14ac:dyDescent="0.2">
      <c r="A29648" t="s">
        <v>46770</v>
      </c>
      <c r="B29648" t="s">
        <v>17062</v>
      </c>
      <c r="C29648" t="s">
        <v>103</v>
      </c>
      <c r="D29648" t="s">
        <v>118</v>
      </c>
      <c r="E29648" t="s">
        <v>104</v>
      </c>
      <c r="F29648" s="2" t="str">
        <f>HYPERLINK("http://www.otzar.org/book.asp?85748","ספר הגאולה &lt;חזון הגאולה&gt;")</f>
        <v>ספר הגאולה &lt;חזון הגאולה&gt;</v>
      </c>
    </row>
    <row r="29649" spans="1:6" x14ac:dyDescent="0.2">
      <c r="A29649" t="s">
        <v>46771</v>
      </c>
      <c r="B29649" t="s">
        <v>1552</v>
      </c>
      <c r="C29649" t="s">
        <v>496</v>
      </c>
      <c r="D29649" t="s">
        <v>563</v>
      </c>
      <c r="E29649" t="s">
        <v>104</v>
      </c>
      <c r="F29649" s="2" t="str">
        <f>HYPERLINK("http://www.otzar.org/book.asp?145226","ספר הגאולה - 3 כר'")</f>
        <v>ספר הגאולה - 3 כר'</v>
      </c>
    </row>
    <row r="29650" spans="1:6" x14ac:dyDescent="0.2">
      <c r="A29650" t="s">
        <v>46772</v>
      </c>
      <c r="B29650" t="s">
        <v>46773</v>
      </c>
      <c r="C29650" t="s">
        <v>30887</v>
      </c>
      <c r="D29650" t="s">
        <v>76</v>
      </c>
      <c r="E29650" t="s">
        <v>104</v>
      </c>
      <c r="F29650" s="2" t="str">
        <f>HYPERLINK("http://www.otzar.org/book.asp?145446","ספר הגדרים")</f>
        <v>ספר הגדרים</v>
      </c>
    </row>
    <row r="29651" spans="1:6" x14ac:dyDescent="0.2">
      <c r="A29651" t="s">
        <v>46774</v>
      </c>
      <c r="B29651" t="s">
        <v>405</v>
      </c>
      <c r="C29651" t="s">
        <v>46775</v>
      </c>
      <c r="D29651" t="s">
        <v>27</v>
      </c>
      <c r="F29651" s="2" t="str">
        <f>HYPERLINK("http://www.otzar.org/book.asp?189631","ספר הגורלות - 3 כר'")</f>
        <v>ספר הגורלות - 3 כר'</v>
      </c>
    </row>
    <row r="29652" spans="1:6" x14ac:dyDescent="0.2">
      <c r="A29652" t="s">
        <v>46776</v>
      </c>
      <c r="B29652" t="s">
        <v>46777</v>
      </c>
      <c r="C29652" t="s">
        <v>8002</v>
      </c>
      <c r="D29652" t="s">
        <v>1023</v>
      </c>
      <c r="E29652" t="s">
        <v>104</v>
      </c>
      <c r="F29652" s="2" t="str">
        <f>HYPERLINK("http://www.otzar.org/book.asp?147314","ספר הגורלות - 2 כר'")</f>
        <v>ספר הגורלות - 2 כר'</v>
      </c>
    </row>
    <row r="29653" spans="1:6" x14ac:dyDescent="0.2">
      <c r="A29653" t="s">
        <v>46778</v>
      </c>
      <c r="B29653" t="s">
        <v>4201</v>
      </c>
      <c r="C29653" t="s">
        <v>114</v>
      </c>
      <c r="D29653" t="s">
        <v>52</v>
      </c>
      <c r="E29653" t="s">
        <v>399</v>
      </c>
      <c r="F29653" s="2" t="str">
        <f>HYPERLINK("http://www.otzar.org/book.asp?162712","ספר הגירושין")</f>
        <v>ספר הגירושין</v>
      </c>
    </row>
    <row r="29654" spans="1:6" x14ac:dyDescent="0.2">
      <c r="A29654" t="s">
        <v>46779</v>
      </c>
      <c r="B29654" t="s">
        <v>405</v>
      </c>
      <c r="C29654" t="s">
        <v>896</v>
      </c>
      <c r="D29654" t="s">
        <v>56</v>
      </c>
      <c r="E29654" t="s">
        <v>1438</v>
      </c>
      <c r="F29654" s="2" t="str">
        <f>HYPERLINK("http://www.otzar.org/book.asp?12750","ספר הגלגולים - 5 כר'")</f>
        <v>ספר הגלגולים - 5 כר'</v>
      </c>
    </row>
    <row r="29655" spans="1:6" x14ac:dyDescent="0.2">
      <c r="A29655" t="s">
        <v>46780</v>
      </c>
      <c r="B29655" t="s">
        <v>2245</v>
      </c>
      <c r="C29655" t="s">
        <v>114</v>
      </c>
      <c r="D29655" t="s">
        <v>14</v>
      </c>
      <c r="E29655" t="s">
        <v>241</v>
      </c>
      <c r="F29655" s="2" t="str">
        <f>HYPERLINK("http://www.otzar.org/book.asp?173127","ספר הגן ודרך משה &lt;מהדורה חדשה&gt;")</f>
        <v>ספר הגן ודרך משה &lt;מהדורה חדשה&gt;</v>
      </c>
    </row>
    <row r="29656" spans="1:6" x14ac:dyDescent="0.2">
      <c r="A29656" t="s">
        <v>46781</v>
      </c>
      <c r="B29656" t="s">
        <v>46782</v>
      </c>
      <c r="C29656" t="s">
        <v>533</v>
      </c>
      <c r="D29656" t="s">
        <v>14</v>
      </c>
      <c r="E29656" t="s">
        <v>241</v>
      </c>
      <c r="F29656" s="2" t="str">
        <f>HYPERLINK("http://www.otzar.org/book.asp?163018","ספר הגן ודרך משה - 2 כר'")</f>
        <v>ספר הגן ודרך משה - 2 כר'</v>
      </c>
    </row>
    <row r="29657" spans="1:6" x14ac:dyDescent="0.2">
      <c r="A29657" t="s">
        <v>46781</v>
      </c>
      <c r="B29657" t="s">
        <v>2245</v>
      </c>
      <c r="C29657" t="s">
        <v>1706</v>
      </c>
      <c r="D29657" t="s">
        <v>379</v>
      </c>
      <c r="E29657" t="s">
        <v>714</v>
      </c>
      <c r="F29657" s="2" t="str">
        <f>HYPERLINK("http://www.otzar.org/book.asp?15990","ספר הגן ודרך משה - 2 כר'")</f>
        <v>ספר הגן ודרך משה - 2 כר'</v>
      </c>
    </row>
    <row r="29658" spans="1:6" x14ac:dyDescent="0.2">
      <c r="A29658" t="s">
        <v>46783</v>
      </c>
      <c r="B29658" t="s">
        <v>46784</v>
      </c>
      <c r="C29658" t="s">
        <v>343</v>
      </c>
      <c r="D29658" t="s">
        <v>4269</v>
      </c>
      <c r="E29658" t="s">
        <v>104</v>
      </c>
      <c r="F29658" s="2" t="str">
        <f>HYPERLINK("http://www.otzar.org/book.asp?170153","ספר הגן ודרך משה")</f>
        <v>ספר הגן ודרך משה</v>
      </c>
    </row>
    <row r="29659" spans="1:6" x14ac:dyDescent="0.2">
      <c r="A29659" t="s">
        <v>46785</v>
      </c>
      <c r="B29659" t="s">
        <v>46784</v>
      </c>
      <c r="C29659" t="s">
        <v>11172</v>
      </c>
      <c r="D29659" t="s">
        <v>1023</v>
      </c>
      <c r="E29659" t="s">
        <v>15</v>
      </c>
      <c r="F29659" s="2" t="str">
        <f>HYPERLINK("http://www.otzar.org/book.asp?168098","ספר הגן")</f>
        <v>ספר הגן</v>
      </c>
    </row>
    <row r="29660" spans="1:6" x14ac:dyDescent="0.2">
      <c r="A29660" t="s">
        <v>46786</v>
      </c>
      <c r="B29660" t="s">
        <v>46787</v>
      </c>
      <c r="C29660" t="s">
        <v>356</v>
      </c>
      <c r="D29660" t="s">
        <v>14</v>
      </c>
      <c r="E29660" t="s">
        <v>15</v>
      </c>
      <c r="F29660" s="2" t="str">
        <f>HYPERLINK("http://www.otzar.org/book.asp?188765","ספר הדינים (שרידים)")</f>
        <v>ספר הדינים (שרידים)</v>
      </c>
    </row>
    <row r="29661" spans="1:6" x14ac:dyDescent="0.2">
      <c r="A29661" t="s">
        <v>46788</v>
      </c>
      <c r="B29661" t="s">
        <v>46789</v>
      </c>
      <c r="C29661" t="s">
        <v>635</v>
      </c>
      <c r="D29661" t="s">
        <v>283</v>
      </c>
      <c r="E29661" t="s">
        <v>38</v>
      </c>
      <c r="F29661" s="2" t="str">
        <f>HYPERLINK("http://www.otzar.org/book.asp?104819","ספר הדעת")</f>
        <v>ספר הדעת</v>
      </c>
    </row>
    <row r="29662" spans="1:6" x14ac:dyDescent="0.2">
      <c r="A29662" t="s">
        <v>46790</v>
      </c>
      <c r="B29662" t="s">
        <v>46791</v>
      </c>
      <c r="C29662" t="s">
        <v>87</v>
      </c>
      <c r="D29662" t="s">
        <v>412</v>
      </c>
      <c r="E29662" t="s">
        <v>104</v>
      </c>
      <c r="F29662" s="2" t="str">
        <f>HYPERLINK("http://www.otzar.org/book.asp?623472","ספר הדקדוק לרמח""ל &lt;הגהות אשי בני ישראל&gt;")</f>
        <v>ספר הדקדוק לרמח"ל &lt;הגהות אשי בני ישראל&gt;</v>
      </c>
    </row>
    <row r="29663" spans="1:6" x14ac:dyDescent="0.2">
      <c r="A29663" t="s">
        <v>46792</v>
      </c>
      <c r="B29663" t="s">
        <v>27568</v>
      </c>
      <c r="C29663" t="s">
        <v>46793</v>
      </c>
      <c r="D29663" t="s">
        <v>37955</v>
      </c>
      <c r="F29663" s="2" t="str">
        <f>HYPERLINK("http://www.otzar.org/book.asp?170324","ספר הדקדוק")</f>
        <v>ספר הדקדוק</v>
      </c>
    </row>
    <row r="29664" spans="1:6" x14ac:dyDescent="0.2">
      <c r="A29664" t="s">
        <v>46794</v>
      </c>
      <c r="B29664" t="s">
        <v>1390</v>
      </c>
      <c r="C29664" t="s">
        <v>1863</v>
      </c>
      <c r="D29664" t="s">
        <v>729</v>
      </c>
      <c r="E29664" t="s">
        <v>384</v>
      </c>
      <c r="F29664" s="2" t="str">
        <f>HYPERLINK("http://www.otzar.org/book.asp?12801","ספר הדקדוק - כת""י")</f>
        <v>ספר הדקדוק - כת"י</v>
      </c>
    </row>
    <row r="29665" spans="1:6" x14ac:dyDescent="0.2">
      <c r="A29665" t="s">
        <v>46795</v>
      </c>
      <c r="B29665" t="s">
        <v>46796</v>
      </c>
      <c r="C29665" t="s">
        <v>176</v>
      </c>
      <c r="D29665" t="s">
        <v>412</v>
      </c>
      <c r="E29665" t="s">
        <v>234</v>
      </c>
      <c r="F29665" s="2" t="str">
        <f>HYPERLINK("http://www.otzar.org/book.asp?161481","ספר הדרושים")</f>
        <v>ספר הדרושים</v>
      </c>
    </row>
    <row r="29666" spans="1:6" x14ac:dyDescent="0.2">
      <c r="A29666" t="s">
        <v>46797</v>
      </c>
      <c r="B29666" t="s">
        <v>46798</v>
      </c>
      <c r="C29666" t="s">
        <v>2605</v>
      </c>
      <c r="D29666" t="s">
        <v>1008</v>
      </c>
      <c r="E29666" t="s">
        <v>213</v>
      </c>
      <c r="F29666" s="2" t="str">
        <f>HYPERLINK("http://www.otzar.org/book.asp?100159","ספר הדרכה")</f>
        <v>ספר הדרכה</v>
      </c>
    </row>
    <row r="29667" spans="1:6" x14ac:dyDescent="0.2">
      <c r="A29667" t="s">
        <v>46799</v>
      </c>
      <c r="B29667" t="s">
        <v>1390</v>
      </c>
      <c r="C29667" t="s">
        <v>843</v>
      </c>
      <c r="D29667" t="s">
        <v>27</v>
      </c>
      <c r="E29667" t="s">
        <v>46800</v>
      </c>
      <c r="F29667" s="2" t="str">
        <f>HYPERLINK("http://www.otzar.org/book.asp?102967","ספר הדרכים")</f>
        <v>ספר הדרכים</v>
      </c>
    </row>
    <row r="29668" spans="1:6" x14ac:dyDescent="0.2">
      <c r="A29668" t="s">
        <v>46801</v>
      </c>
      <c r="B29668" t="s">
        <v>1390</v>
      </c>
      <c r="C29668" t="s">
        <v>454</v>
      </c>
      <c r="D29668" t="s">
        <v>14</v>
      </c>
      <c r="E29668" t="s">
        <v>241</v>
      </c>
      <c r="F29668" s="2" t="str">
        <f>HYPERLINK("http://www.otzar.org/book.asp?148358","ספר ההגיון &lt;עם תרגום צרפתית&gt;")</f>
        <v>ספר ההגיון &lt;עם תרגום צרפתית&gt;</v>
      </c>
    </row>
    <row r="29669" spans="1:6" x14ac:dyDescent="0.2">
      <c r="A29669" t="s">
        <v>46802</v>
      </c>
      <c r="B29669" t="s">
        <v>1390</v>
      </c>
      <c r="C29669" t="s">
        <v>17</v>
      </c>
      <c r="D29669" t="s">
        <v>14</v>
      </c>
      <c r="E29669" t="s">
        <v>314</v>
      </c>
      <c r="F29669" s="2" t="str">
        <f>HYPERLINK("http://www.otzar.org/book.asp?6048","ספר ההגיון - 2 כר'")</f>
        <v>ספר ההגיון - 2 כר'</v>
      </c>
    </row>
    <row r="29670" spans="1:6" x14ac:dyDescent="0.2">
      <c r="A29670" t="s">
        <v>46803</v>
      </c>
      <c r="B29670" t="s">
        <v>16501</v>
      </c>
      <c r="C29670" t="s">
        <v>748</v>
      </c>
      <c r="D29670" t="s">
        <v>283</v>
      </c>
      <c r="E29670" t="s">
        <v>104</v>
      </c>
      <c r="F29670" s="2" t="str">
        <f>HYPERLINK("http://www.otzar.org/book.asp?188456","ספר ההגיון")</f>
        <v>ספר ההגיון</v>
      </c>
    </row>
    <row r="29671" spans="1:6" x14ac:dyDescent="0.2">
      <c r="A29671" t="s">
        <v>46804</v>
      </c>
      <c r="B29671" t="s">
        <v>255</v>
      </c>
      <c r="C29671" t="s">
        <v>189</v>
      </c>
      <c r="D29671" t="s">
        <v>14</v>
      </c>
      <c r="E29671" t="s">
        <v>234</v>
      </c>
      <c r="F29671" s="2" t="str">
        <f>HYPERLINK("http://www.otzar.org/book.asp?152697","ספר ההדרנים")</f>
        <v>ספר ההדרנים</v>
      </c>
    </row>
    <row r="29672" spans="1:6" x14ac:dyDescent="0.2">
      <c r="A29672" t="s">
        <v>46805</v>
      </c>
      <c r="B29672" t="s">
        <v>8815</v>
      </c>
      <c r="C29672" t="s">
        <v>71</v>
      </c>
      <c r="D29672" t="s">
        <v>14</v>
      </c>
      <c r="E29672" t="s">
        <v>24</v>
      </c>
      <c r="F29672" s="2" t="str">
        <f>HYPERLINK("http://www.otzar.org/book.asp?61888","ספר ההודיה")</f>
        <v>ספר ההודיה</v>
      </c>
    </row>
    <row r="29673" spans="1:6" x14ac:dyDescent="0.2">
      <c r="A29673" t="s">
        <v>46806</v>
      </c>
      <c r="B29673" t="s">
        <v>46807</v>
      </c>
      <c r="C29673" t="s">
        <v>23</v>
      </c>
      <c r="D29673" t="s">
        <v>260</v>
      </c>
      <c r="E29673" t="s">
        <v>241</v>
      </c>
      <c r="F29673" s="2" t="str">
        <f>HYPERLINK("http://www.otzar.org/book.asp?604156","ספר ההוכחות - ב")</f>
        <v>ספר ההוכחות - ב</v>
      </c>
    </row>
    <row r="29674" spans="1:6" x14ac:dyDescent="0.2">
      <c r="A29674" t="s">
        <v>46808</v>
      </c>
      <c r="B29674" t="s">
        <v>34322</v>
      </c>
      <c r="C29674" t="s">
        <v>6054</v>
      </c>
      <c r="D29674" t="s">
        <v>260</v>
      </c>
      <c r="E29674" t="s">
        <v>119</v>
      </c>
      <c r="F29674" s="2" t="str">
        <f>HYPERLINK("http://www.otzar.org/book.asp?167512","ספר ההסתלקות")</f>
        <v>ספר ההסתלקות</v>
      </c>
    </row>
    <row r="29675" spans="1:6" x14ac:dyDescent="0.2">
      <c r="A29675" t="s">
        <v>46809</v>
      </c>
      <c r="B29675" t="s">
        <v>46810</v>
      </c>
      <c r="C29675" t="s">
        <v>1169</v>
      </c>
      <c r="D29675" t="s">
        <v>16149</v>
      </c>
      <c r="F29675" s="2" t="str">
        <f>HYPERLINK("http://www.otzar.org/book.asp?176593","ספר ההפטרות לכל השנה")</f>
        <v>ספר ההפטרות לכל השנה</v>
      </c>
    </row>
    <row r="29676" spans="1:6" x14ac:dyDescent="0.2">
      <c r="A29676" t="s">
        <v>46811</v>
      </c>
      <c r="B29676" t="s">
        <v>20147</v>
      </c>
      <c r="C29676" t="s">
        <v>533</v>
      </c>
      <c r="D29676" t="s">
        <v>216</v>
      </c>
      <c r="E29676" t="s">
        <v>158</v>
      </c>
      <c r="F29676" s="2" t="str">
        <f>HYPERLINK("http://www.otzar.org/book.asp?177084","ספר ההפטרות מפוסק ע""פ טעמי המקרא")</f>
        <v>ספר ההפטרות מפוסק ע"פ טעמי המקרא</v>
      </c>
    </row>
    <row r="29677" spans="1:6" x14ac:dyDescent="0.2">
      <c r="A29677" t="s">
        <v>46812</v>
      </c>
      <c r="B29677" t="s">
        <v>46813</v>
      </c>
      <c r="C29677" t="s">
        <v>433</v>
      </c>
      <c r="D29677" t="s">
        <v>27</v>
      </c>
      <c r="E29677" t="s">
        <v>957</v>
      </c>
      <c r="F29677" s="2" t="str">
        <f>HYPERLINK("http://www.otzar.org/book.asp?14487","ספר ההפטריות לכל השנה")</f>
        <v>ספר ההפטריות לכל השנה</v>
      </c>
    </row>
    <row r="29678" spans="1:6" x14ac:dyDescent="0.2">
      <c r="A29678" t="s">
        <v>46814</v>
      </c>
      <c r="B29678" t="s">
        <v>46815</v>
      </c>
      <c r="C29678" t="s">
        <v>37</v>
      </c>
      <c r="D29678" t="s">
        <v>152</v>
      </c>
      <c r="E29678" t="s">
        <v>241</v>
      </c>
      <c r="F29678" s="2" t="str">
        <f>HYPERLINK("http://www.otzar.org/book.asp?180991","ספר ההקדמה &lt;דרך הקדים&gt;")</f>
        <v>ספר ההקדמה &lt;דרך הקדים&gt;</v>
      </c>
    </row>
    <row r="29679" spans="1:6" x14ac:dyDescent="0.2">
      <c r="A29679" t="s">
        <v>46816</v>
      </c>
      <c r="B29679" t="s">
        <v>46817</v>
      </c>
      <c r="C29679" t="s">
        <v>1160</v>
      </c>
      <c r="D29679" t="s">
        <v>646</v>
      </c>
      <c r="E29679" t="s">
        <v>399</v>
      </c>
      <c r="F29679" s="2" t="str">
        <f>HYPERLINK("http://www.otzar.org/book.asp?165370","ספר ההקדמות - 2 כר'")</f>
        <v>ספר ההקדמות - 2 כר'</v>
      </c>
    </row>
    <row r="29680" spans="1:6" x14ac:dyDescent="0.2">
      <c r="A29680" t="s">
        <v>46818</v>
      </c>
      <c r="B29680" t="s">
        <v>27568</v>
      </c>
      <c r="C29680" t="s">
        <v>1940</v>
      </c>
      <c r="D29680" t="s">
        <v>744</v>
      </c>
      <c r="E29680" t="s">
        <v>104</v>
      </c>
      <c r="F29680" s="2" t="str">
        <f>HYPERLINK("http://www.otzar.org/book.asp?200073","ספר ההרכבה")</f>
        <v>ספר ההרכבה</v>
      </c>
    </row>
    <row r="29681" spans="1:6" x14ac:dyDescent="0.2">
      <c r="A29681" t="s">
        <v>46819</v>
      </c>
      <c r="B29681" t="s">
        <v>46820</v>
      </c>
      <c r="C29681" t="s">
        <v>1160</v>
      </c>
      <c r="D29681" t="s">
        <v>216</v>
      </c>
      <c r="E29681" t="s">
        <v>144</v>
      </c>
      <c r="F29681" s="2" t="str">
        <f>HYPERLINK("http://www.otzar.org/book.asp?9864","ספר ההשלמה &lt;ראשית ההשלמה&gt; - 11 כר'")</f>
        <v>ספר ההשלמה &lt;ראשית ההשלמה&gt; - 11 כר'</v>
      </c>
    </row>
    <row r="29682" spans="1:6" x14ac:dyDescent="0.2">
      <c r="A29682" t="s">
        <v>46821</v>
      </c>
      <c r="B29682" t="s">
        <v>46822</v>
      </c>
      <c r="C29682" t="s">
        <v>46823</v>
      </c>
      <c r="D29682" t="s">
        <v>1731</v>
      </c>
      <c r="E29682" t="s">
        <v>920</v>
      </c>
      <c r="F29682" s="2" t="str">
        <f>HYPERLINK("http://www.otzar.org/book.asp?34","ספר ההשלמה &lt;תורת ההשלמה&gt; - 2 כר'")</f>
        <v>ספר ההשלמה &lt;תורת ההשלמה&gt; - 2 כר'</v>
      </c>
    </row>
    <row r="29683" spans="1:6" x14ac:dyDescent="0.2">
      <c r="A29683" t="s">
        <v>46824</v>
      </c>
      <c r="B29683" t="s">
        <v>46825</v>
      </c>
      <c r="C29683" t="s">
        <v>180</v>
      </c>
      <c r="D29683" t="s">
        <v>412</v>
      </c>
      <c r="E29683" t="s">
        <v>144</v>
      </c>
      <c r="F29683" s="2" t="str">
        <f>HYPERLINK("http://www.otzar.org/book.asp?62320","ספר ההשלמה &lt;בלוי&gt; - 6 כר'")</f>
        <v>ספר ההשלמה &lt;בלוי&gt; - 6 כר'</v>
      </c>
    </row>
    <row r="29684" spans="1:6" x14ac:dyDescent="0.2">
      <c r="A29684" t="s">
        <v>46826</v>
      </c>
      <c r="B29684" t="s">
        <v>46827</v>
      </c>
      <c r="C29684" t="s">
        <v>1062</v>
      </c>
      <c r="D29684" t="s">
        <v>412</v>
      </c>
      <c r="E29684" t="s">
        <v>674</v>
      </c>
      <c r="F29684" s="2" t="str">
        <f>HYPERLINK("http://www.otzar.org/book.asp?8776","ספר ההשלמה על ספר מנחת חינוך &lt;כולל עשרים וששה הוספות&gt;")</f>
        <v>ספר ההשלמה על ספר מנחת חינוך &lt;כולל עשרים וששה הוספות&gt;</v>
      </c>
    </row>
    <row r="29685" spans="1:6" x14ac:dyDescent="0.2">
      <c r="A29685" t="s">
        <v>46828</v>
      </c>
      <c r="B29685" t="s">
        <v>46825</v>
      </c>
      <c r="C29685" t="s">
        <v>617</v>
      </c>
      <c r="D29685" t="s">
        <v>280</v>
      </c>
      <c r="F29685" s="2" t="str">
        <f>HYPERLINK("http://www.otzar.org/book.asp?620270","ספר ההשלמה - ברכות")</f>
        <v>ספר ההשלמה - ברכות</v>
      </c>
    </row>
    <row r="29686" spans="1:6" x14ac:dyDescent="0.2">
      <c r="A29686" t="s">
        <v>46829</v>
      </c>
      <c r="B29686" t="s">
        <v>46830</v>
      </c>
      <c r="C29686" t="s">
        <v>8</v>
      </c>
      <c r="D29686" t="s">
        <v>9</v>
      </c>
      <c r="E29686" t="s">
        <v>564</v>
      </c>
      <c r="F29686" s="2" t="str">
        <f>HYPERLINK("http://www.otzar.org/book.asp?51826","ספר הזהב")</f>
        <v>ספר הזהב</v>
      </c>
    </row>
    <row r="29687" spans="1:6" x14ac:dyDescent="0.2">
      <c r="A29687" t="s">
        <v>46831</v>
      </c>
      <c r="B29687" t="s">
        <v>46832</v>
      </c>
      <c r="C29687" t="s">
        <v>244</v>
      </c>
      <c r="D29687" t="s">
        <v>52</v>
      </c>
      <c r="F29687" s="2" t="str">
        <f>HYPERLINK("http://www.otzar.org/book.asp?621364","ספר הזהר &lt;מפעל הזהר שע""י מכון מפיקים נגה&gt; - הקדמת הזהר")</f>
        <v>ספר הזהר &lt;מפעל הזהר שע"י מכון מפיקים נגה&gt; - הקדמת הזהר</v>
      </c>
    </row>
    <row r="29688" spans="1:6" x14ac:dyDescent="0.2">
      <c r="A29688" t="s">
        <v>46833</v>
      </c>
      <c r="B29688" t="s">
        <v>46834</v>
      </c>
      <c r="C29688" t="s">
        <v>129</v>
      </c>
      <c r="D29688" t="s">
        <v>14</v>
      </c>
      <c r="E29688" t="s">
        <v>393</v>
      </c>
      <c r="F29688" s="2" t="str">
        <f>HYPERLINK("http://www.otzar.org/book.asp?141684","ספר הזהר &lt;טקסט&gt;")</f>
        <v>ספר הזהר &lt;טקסט&gt;</v>
      </c>
    </row>
    <row r="29689" spans="1:6" x14ac:dyDescent="0.2">
      <c r="A29689" t="s">
        <v>46835</v>
      </c>
      <c r="C29689" t="s">
        <v>366</v>
      </c>
      <c r="D29689" t="s">
        <v>14</v>
      </c>
      <c r="E29689" t="s">
        <v>399</v>
      </c>
      <c r="F29689" s="2" t="str">
        <f>HYPERLINK("http://www.otzar.org/book.asp?623267","ספר הזהר ע""פ הסולם &lt;מאורות הסולם&gt; - הקדמות")</f>
        <v>ספר הזהר ע"פ הסולם &lt;מאורות הסולם&gt; - הקדמות</v>
      </c>
    </row>
    <row r="29690" spans="1:6" x14ac:dyDescent="0.2">
      <c r="A29690" t="s">
        <v>46836</v>
      </c>
      <c r="B29690" t="s">
        <v>46837</v>
      </c>
      <c r="C29690" t="s">
        <v>133</v>
      </c>
      <c r="D29690" t="s">
        <v>14</v>
      </c>
      <c r="F29690" s="2" t="str">
        <f>HYPERLINK("http://www.otzar.org/book.asp?198375","ספר הזהר ע""פ שי עולמות")</f>
        <v>ספר הזהר ע"פ שי עולמות</v>
      </c>
    </row>
    <row r="29691" spans="1:6" x14ac:dyDescent="0.2">
      <c r="A29691" t="s">
        <v>46838</v>
      </c>
      <c r="B29691" t="s">
        <v>29316</v>
      </c>
      <c r="C29691" t="s">
        <v>13</v>
      </c>
      <c r="D29691" t="s">
        <v>52</v>
      </c>
      <c r="E29691" t="s">
        <v>2758</v>
      </c>
      <c r="F29691" s="2" t="str">
        <f>HYPERLINK("http://www.otzar.org/book.asp?169878","ספר הזהר על מועדים")</f>
        <v>ספר הזהר על מועדים</v>
      </c>
    </row>
    <row r="29692" spans="1:6" x14ac:dyDescent="0.2">
      <c r="A29692" t="s">
        <v>46839</v>
      </c>
      <c r="B29692" t="s">
        <v>4201</v>
      </c>
      <c r="C29692" t="s">
        <v>46840</v>
      </c>
      <c r="D29692" t="s">
        <v>21</v>
      </c>
      <c r="E29692" t="s">
        <v>399</v>
      </c>
      <c r="F29692" s="2" t="str">
        <f>HYPERLINK("http://www.otzar.org/book.asp?603331","ספר הזהר עם פירוש אור יקר - 20 כר'")</f>
        <v>ספר הזהר עם פירוש אור יקר - 20 כר'</v>
      </c>
    </row>
    <row r="29693" spans="1:6" x14ac:dyDescent="0.2">
      <c r="A29693" t="s">
        <v>46841</v>
      </c>
      <c r="B29693" t="s">
        <v>13305</v>
      </c>
      <c r="C29693" t="s">
        <v>20</v>
      </c>
      <c r="D29693" t="s">
        <v>14</v>
      </c>
      <c r="E29693" t="s">
        <v>1847</v>
      </c>
      <c r="F29693" s="2" t="str">
        <f>HYPERLINK("http://www.otzar.org/book.asp?149668","ספר הזהר עם פירוש חמדת הזוהר")</f>
        <v>ספר הזהר עם פירוש חמדת הזוהר</v>
      </c>
    </row>
    <row r="29694" spans="1:6" x14ac:dyDescent="0.2">
      <c r="A29694" t="s">
        <v>46842</v>
      </c>
      <c r="B29694" t="s">
        <v>46843</v>
      </c>
      <c r="C29694" t="s">
        <v>383</v>
      </c>
      <c r="D29694" t="s">
        <v>115</v>
      </c>
      <c r="E29694" t="s">
        <v>399</v>
      </c>
      <c r="F29694" s="2" t="str">
        <f>HYPERLINK("http://www.otzar.org/book.asp?84311","ספר הזהר עם פירוש ידיד נפש - 13 כר'")</f>
        <v>ספר הזהר עם פירוש ידיד נפש - 13 כר'</v>
      </c>
    </row>
    <row r="29695" spans="1:6" x14ac:dyDescent="0.2">
      <c r="A29695" t="s">
        <v>46844</v>
      </c>
      <c r="B29695" t="s">
        <v>39127</v>
      </c>
      <c r="C29695" t="s">
        <v>189</v>
      </c>
      <c r="D29695" t="s">
        <v>52</v>
      </c>
      <c r="E29695" t="s">
        <v>399</v>
      </c>
      <c r="F29695" s="2" t="str">
        <f>HYPERLINK("http://www.otzar.org/book.asp?170438","ספר הזהר עניני נישואין ע""פ הסולם")</f>
        <v>ספר הזהר עניני נישואין ע"פ הסולם</v>
      </c>
    </row>
    <row r="29696" spans="1:6" x14ac:dyDescent="0.2">
      <c r="A29696" t="s">
        <v>46845</v>
      </c>
      <c r="B29696" t="s">
        <v>46846</v>
      </c>
      <c r="C29696" t="s">
        <v>46847</v>
      </c>
      <c r="D29696" t="s">
        <v>212</v>
      </c>
      <c r="E29696" t="s">
        <v>399</v>
      </c>
      <c r="F29696" s="2" t="str">
        <f>HYPERLINK("http://www.otzar.org/book.asp?171010","ספר הזהר - 3 כר'")</f>
        <v>ספר הזהר - 3 כר'</v>
      </c>
    </row>
    <row r="29697" spans="1:6" x14ac:dyDescent="0.2">
      <c r="A29697" t="s">
        <v>46848</v>
      </c>
      <c r="B29697" t="s">
        <v>7056</v>
      </c>
      <c r="C29697" t="s">
        <v>411</v>
      </c>
      <c r="D29697" t="s">
        <v>367</v>
      </c>
      <c r="F29697" s="2" t="str">
        <f>HYPERLINK("http://www.otzar.org/book.asp?620356","ספר הזוהר לש""ס דף היומי - בכורות")</f>
        <v>ספר הזוהר לש"ס דף היומי - בכורות</v>
      </c>
    </row>
    <row r="29698" spans="1:6" x14ac:dyDescent="0.2">
      <c r="A29698" t="s">
        <v>46849</v>
      </c>
      <c r="B29698" t="s">
        <v>46850</v>
      </c>
      <c r="C29698" t="s">
        <v>5154</v>
      </c>
      <c r="D29698" t="s">
        <v>5665</v>
      </c>
      <c r="F29698" s="2" t="str">
        <f>HYPERLINK("http://www.otzar.org/book.asp?189173","ספר הזוהר")</f>
        <v>ספר הזוהר</v>
      </c>
    </row>
    <row r="29699" spans="1:6" x14ac:dyDescent="0.2">
      <c r="A29699" t="s">
        <v>46851</v>
      </c>
      <c r="B29699" t="s">
        <v>46852</v>
      </c>
      <c r="E29699" t="s">
        <v>399</v>
      </c>
      <c r="F29699" s="2" t="str">
        <f>HYPERLINK("http://www.otzar.org/book.asp?624811","ספר הזוהר - בראשית")</f>
        <v>ספר הזוהר - בראשית</v>
      </c>
    </row>
    <row r="29700" spans="1:6" x14ac:dyDescent="0.2">
      <c r="A29700" t="s">
        <v>46853</v>
      </c>
      <c r="B29700" t="s">
        <v>6322</v>
      </c>
      <c r="C29700" t="s">
        <v>777</v>
      </c>
      <c r="D29700" t="s">
        <v>14</v>
      </c>
      <c r="E29700" t="s">
        <v>8482</v>
      </c>
      <c r="F29700" s="2" t="str">
        <f>HYPERLINK("http://www.otzar.org/book.asp?177247","ספר הזכות - 4 כר'")</f>
        <v>ספר הזכות - 4 כר'</v>
      </c>
    </row>
    <row r="29701" spans="1:6" x14ac:dyDescent="0.2">
      <c r="A29701" t="s">
        <v>46854</v>
      </c>
      <c r="B29701" t="s">
        <v>1552</v>
      </c>
      <c r="C29701" t="s">
        <v>20</v>
      </c>
      <c r="D29701" t="s">
        <v>2347</v>
      </c>
      <c r="E29701" t="s">
        <v>508</v>
      </c>
      <c r="F29701" s="2" t="str">
        <f>HYPERLINK("http://www.otzar.org/book.asp?3","ספר הזכות")</f>
        <v>ספר הזכות</v>
      </c>
    </row>
    <row r="29702" spans="1:6" x14ac:dyDescent="0.2">
      <c r="A29702" t="s">
        <v>46855</v>
      </c>
      <c r="B29702" t="s">
        <v>46856</v>
      </c>
      <c r="C29702" t="s">
        <v>87</v>
      </c>
      <c r="D29702" t="s">
        <v>14</v>
      </c>
      <c r="E29702" t="s">
        <v>119</v>
      </c>
      <c r="F29702" s="2" t="str">
        <f>HYPERLINK("http://www.otzar.org/book.asp?143707","ספר הזכירה")</f>
        <v>ספר הזכירה</v>
      </c>
    </row>
    <row r="29703" spans="1:6" x14ac:dyDescent="0.2">
      <c r="A29703" t="s">
        <v>46857</v>
      </c>
      <c r="B29703" t="s">
        <v>46858</v>
      </c>
      <c r="C29703" t="s">
        <v>1135</v>
      </c>
      <c r="D29703" t="s">
        <v>5258</v>
      </c>
      <c r="F29703" s="2" t="str">
        <f>HYPERLINK("http://www.otzar.org/book.asp?170339","ספר הזכירות - 4 כר'")</f>
        <v>ספר הזכירות - 4 כר'</v>
      </c>
    </row>
    <row r="29704" spans="1:6" x14ac:dyDescent="0.2">
      <c r="A29704" t="s">
        <v>46859</v>
      </c>
      <c r="B29704" t="s">
        <v>46860</v>
      </c>
      <c r="C29704" t="s">
        <v>5163</v>
      </c>
      <c r="D29704" t="s">
        <v>212</v>
      </c>
      <c r="E29704" t="s">
        <v>158</v>
      </c>
      <c r="F29704" s="2" t="str">
        <f>HYPERLINK("http://www.otzar.org/book.asp?10060","ספר הזכרון &lt;על התורה&gt;")</f>
        <v>ספר הזכרון &lt;על התורה&gt;</v>
      </c>
    </row>
    <row r="29705" spans="1:6" x14ac:dyDescent="0.2">
      <c r="A29705" t="s">
        <v>46861</v>
      </c>
      <c r="B29705" t="s">
        <v>46862</v>
      </c>
      <c r="C29705" t="s">
        <v>1570</v>
      </c>
      <c r="D29705" t="s">
        <v>646</v>
      </c>
      <c r="E29705" t="s">
        <v>144</v>
      </c>
      <c r="F29705" s="2" t="str">
        <f>HYPERLINK("http://www.otzar.org/book.asp?5755","ספר הזכרון &lt;על התלמוד&gt;")</f>
        <v>ספר הזכרון &lt;על התלמוד&gt;</v>
      </c>
    </row>
    <row r="29706" spans="1:6" x14ac:dyDescent="0.2">
      <c r="A29706" t="s">
        <v>46863</v>
      </c>
      <c r="B29706" t="s">
        <v>46864</v>
      </c>
      <c r="C29706" t="s">
        <v>46865</v>
      </c>
      <c r="D29706" t="s">
        <v>889</v>
      </c>
      <c r="E29706" t="s">
        <v>1211</v>
      </c>
      <c r="F29706" s="2" t="str">
        <f>HYPERLINK("http://www.otzar.org/book.asp?105622","ספר הזכרון &lt;תפארת יצחק&gt;")</f>
        <v>ספר הזכרון &lt;תפארת יצחק&gt;</v>
      </c>
    </row>
    <row r="29707" spans="1:6" x14ac:dyDescent="0.2">
      <c r="A29707" t="s">
        <v>46866</v>
      </c>
      <c r="B29707" t="s">
        <v>46867</v>
      </c>
      <c r="C29707" t="s">
        <v>1388</v>
      </c>
      <c r="D29707" t="s">
        <v>14</v>
      </c>
      <c r="E29707" t="s">
        <v>202</v>
      </c>
      <c r="F29707" s="2" t="str">
        <f>HYPERLINK("http://www.otzar.org/book.asp?151903","ספר הזכרון &lt;למרן בעל הפחד יצחק זצ""ל&gt;")</f>
        <v>ספר הזכרון &lt;למרן בעל הפחד יצחק זצ"ל&gt;</v>
      </c>
    </row>
    <row r="29708" spans="1:6" x14ac:dyDescent="0.2">
      <c r="A29708" t="s">
        <v>46868</v>
      </c>
      <c r="B29708" t="s">
        <v>46867</v>
      </c>
      <c r="C29708" t="s">
        <v>313</v>
      </c>
      <c r="D29708" t="s">
        <v>14</v>
      </c>
      <c r="E29708" t="s">
        <v>202</v>
      </c>
      <c r="F29708" s="2" t="str">
        <f>HYPERLINK("http://www.otzar.org/book.asp?108646","ספר הזכרון &lt;למרן הגר""ח שמואלביץ זצ""ל&gt;")</f>
        <v>ספר הזכרון &lt;למרן הגר"ח שמואלביץ זצ"ל&gt;</v>
      </c>
    </row>
    <row r="29709" spans="1:6" x14ac:dyDescent="0.2">
      <c r="A29709" t="s">
        <v>46869</v>
      </c>
      <c r="B29709" t="s">
        <v>46867</v>
      </c>
      <c r="C29709" t="s">
        <v>313</v>
      </c>
      <c r="D29709" t="s">
        <v>14</v>
      </c>
      <c r="E29709" t="s">
        <v>202</v>
      </c>
      <c r="F29709" s="2" t="str">
        <f>HYPERLINK("http://www.otzar.org/book.asp?108645","ספר הזכרון &lt;למרן הגר""י אברמסקי זצ""ל&gt;")</f>
        <v>ספר הזכרון &lt;למרן הגר"י אברמסקי זצ"ל&gt;</v>
      </c>
    </row>
    <row r="29710" spans="1:6" x14ac:dyDescent="0.2">
      <c r="A29710" t="s">
        <v>46870</v>
      </c>
      <c r="B29710" t="s">
        <v>46867</v>
      </c>
      <c r="C29710" t="s">
        <v>533</v>
      </c>
      <c r="D29710" t="s">
        <v>14</v>
      </c>
      <c r="E29710" t="s">
        <v>202</v>
      </c>
      <c r="F29710" s="2" t="str">
        <f>HYPERLINK("http://www.otzar.org/book.asp?108641","ספר הזכרון &lt;למרן הגר""ש קוטלר זצ""ל&gt;")</f>
        <v>ספר הזכרון &lt;למרן הגר"ש קוטלר זצ"ל&gt;</v>
      </c>
    </row>
    <row r="29711" spans="1:6" x14ac:dyDescent="0.2">
      <c r="A29711" t="s">
        <v>46871</v>
      </c>
      <c r="B29711" t="s">
        <v>46867</v>
      </c>
      <c r="C29711" t="s">
        <v>1388</v>
      </c>
      <c r="D29711" t="s">
        <v>14</v>
      </c>
      <c r="E29711" t="s">
        <v>202</v>
      </c>
      <c r="F29711" s="2" t="str">
        <f>HYPERLINK("http://www.otzar.org/book.asp?108643","ספר הזכרון &lt;למרן הגרא""ז גורביץ זצ""ל&gt;")</f>
        <v>ספר הזכרון &lt;למרן הגרא"ז גורביץ זצ"ל&gt;</v>
      </c>
    </row>
    <row r="29712" spans="1:6" x14ac:dyDescent="0.2">
      <c r="A29712" t="s">
        <v>46872</v>
      </c>
      <c r="B29712" t="s">
        <v>46867</v>
      </c>
      <c r="C29712" t="s">
        <v>553</v>
      </c>
      <c r="D29712" t="s">
        <v>14</v>
      </c>
      <c r="E29712" t="s">
        <v>202</v>
      </c>
      <c r="F29712" s="2" t="str">
        <f>HYPERLINK("http://www.otzar.org/book.asp?108648","ספר הזכרון &lt;למרן הגרי""ב ז'ולטי זצ""ל&gt;")</f>
        <v>ספר הזכרון &lt;למרן הגרי"ב ז'ולטי זצ"ל&gt;</v>
      </c>
    </row>
    <row r="29713" spans="1:6" x14ac:dyDescent="0.2">
      <c r="A29713" t="s">
        <v>46873</v>
      </c>
      <c r="B29713" t="s">
        <v>46867</v>
      </c>
      <c r="C29713" t="s">
        <v>767</v>
      </c>
      <c r="D29713" t="s">
        <v>14</v>
      </c>
      <c r="E29713" t="s">
        <v>202</v>
      </c>
      <c r="F29713" s="2" t="str">
        <f>HYPERLINK("http://www.otzar.org/book.asp?108644","ספר הזכרון &lt;למרן הגרש""ב ורנר זצ""ל&gt;")</f>
        <v>ספר הזכרון &lt;למרן הגרש"ב ורנר זצ"ל&gt;</v>
      </c>
    </row>
    <row r="29714" spans="1:6" x14ac:dyDescent="0.2">
      <c r="A29714" t="s">
        <v>46874</v>
      </c>
      <c r="B29714" t="s">
        <v>46867</v>
      </c>
      <c r="C29714" t="s">
        <v>940</v>
      </c>
      <c r="D29714" t="s">
        <v>14</v>
      </c>
      <c r="E29714" t="s">
        <v>202</v>
      </c>
      <c r="F29714" s="2" t="str">
        <f>HYPERLINK("http://www.otzar.org/book.asp?108642","ספר הזכרון &lt;לרבי משה סוויפט זצ""ל&gt;")</f>
        <v>ספר הזכרון &lt;לרבי משה סוויפט זצ"ל&gt;</v>
      </c>
    </row>
    <row r="29715" spans="1:6" x14ac:dyDescent="0.2">
      <c r="A29715" t="s">
        <v>46875</v>
      </c>
      <c r="B29715" t="s">
        <v>552</v>
      </c>
      <c r="C29715" t="s">
        <v>383</v>
      </c>
      <c r="D29715" t="s">
        <v>14</v>
      </c>
      <c r="E29715" t="s">
        <v>202</v>
      </c>
      <c r="F29715" s="2" t="str">
        <f>HYPERLINK("http://www.otzar.org/book.asp?108647","ספר הזכרון &lt;למרן הגרי""י פרנקל זצ""ל&gt;")</f>
        <v>ספר הזכרון &lt;למרן הגרי"י פרנקל זצ"ל&gt;</v>
      </c>
    </row>
    <row r="29716" spans="1:6" x14ac:dyDescent="0.2">
      <c r="A29716" t="s">
        <v>46876</v>
      </c>
      <c r="B29716" t="s">
        <v>552</v>
      </c>
      <c r="C29716" t="s">
        <v>989</v>
      </c>
      <c r="D29716" t="s">
        <v>14</v>
      </c>
      <c r="E29716" t="s">
        <v>202</v>
      </c>
      <c r="F29716" s="2" t="str">
        <f>HYPERLINK("http://www.otzar.org/book.asp?14983","ספר הזכרון &lt;ר' יחיאל יעקב וינברג&gt;")</f>
        <v>ספר הזכרון &lt;ר' יחיאל יעקב וינברג&gt;</v>
      </c>
    </row>
    <row r="29717" spans="1:6" x14ac:dyDescent="0.2">
      <c r="A29717" t="s">
        <v>46877</v>
      </c>
      <c r="B29717" t="s">
        <v>46878</v>
      </c>
      <c r="C29717" t="s">
        <v>114</v>
      </c>
      <c r="D29717" t="s">
        <v>52</v>
      </c>
      <c r="E29717" t="s">
        <v>4022</v>
      </c>
      <c r="F29717" s="2" t="str">
        <f>HYPERLINK("http://www.otzar.org/book.asp?167462","ספר הזכרון אהל שרה")</f>
        <v>ספר הזכרון אהל שרה</v>
      </c>
    </row>
    <row r="29718" spans="1:6" x14ac:dyDescent="0.2">
      <c r="A29718" t="s">
        <v>46879</v>
      </c>
      <c r="B29718" t="s">
        <v>46880</v>
      </c>
      <c r="C29718" t="s">
        <v>114</v>
      </c>
      <c r="D29718" t="s">
        <v>52</v>
      </c>
      <c r="E29718" t="s">
        <v>202</v>
      </c>
      <c r="F29718" s="2" t="str">
        <f>HYPERLINK("http://www.otzar.org/book.asp?167464","ספר הזכרון בצאת ישראל")</f>
        <v>ספר הזכרון בצאת ישראל</v>
      </c>
    </row>
    <row r="29719" spans="1:6" x14ac:dyDescent="0.2">
      <c r="A29719" t="s">
        <v>46881</v>
      </c>
      <c r="B29719" t="s">
        <v>46882</v>
      </c>
      <c r="C29719" t="s">
        <v>146</v>
      </c>
      <c r="D29719" t="s">
        <v>14</v>
      </c>
      <c r="F29719" s="2" t="str">
        <f>HYPERLINK("http://www.otzar.org/book.asp?609508","ספר הזכרון דברי ראובן")</f>
        <v>ספר הזכרון דברי ראובן</v>
      </c>
    </row>
    <row r="29720" spans="1:6" x14ac:dyDescent="0.2">
      <c r="A29720" t="s">
        <v>46883</v>
      </c>
      <c r="B29720" t="s">
        <v>46884</v>
      </c>
      <c r="C29720" t="s">
        <v>168</v>
      </c>
      <c r="D29720" t="s">
        <v>14</v>
      </c>
      <c r="E29720" t="s">
        <v>202</v>
      </c>
      <c r="F29720" s="2" t="str">
        <f>HYPERLINK("http://www.otzar.org/book.asp?628745","ספר הזכרון יד יהודה")</f>
        <v>ספר הזכרון יד יהודה</v>
      </c>
    </row>
    <row r="29721" spans="1:6" x14ac:dyDescent="0.2">
      <c r="A29721" t="s">
        <v>46885</v>
      </c>
      <c r="B29721" t="s">
        <v>552</v>
      </c>
      <c r="C29721" t="s">
        <v>624</v>
      </c>
      <c r="D29721" t="s">
        <v>118</v>
      </c>
      <c r="E29721" t="s">
        <v>202</v>
      </c>
      <c r="F29721" s="2" t="str">
        <f>HYPERLINK("http://www.otzar.org/book.asp?13527","ספר הזכרון כנסת עזרא [עטיה]")</f>
        <v>ספר הזכרון כנסת עזרא [עטיה]</v>
      </c>
    </row>
    <row r="29722" spans="1:6" x14ac:dyDescent="0.2">
      <c r="A29722" t="s">
        <v>46886</v>
      </c>
      <c r="B29722" t="s">
        <v>46887</v>
      </c>
      <c r="C29722" t="s">
        <v>111</v>
      </c>
      <c r="D29722" t="s">
        <v>367</v>
      </c>
      <c r="F29722" s="2" t="str">
        <f>HYPERLINK("http://www.otzar.org/book.asp?622374","ספר הזכרון לב אריה")</f>
        <v>ספר הזכרון לב אריה</v>
      </c>
    </row>
    <row r="29723" spans="1:6" x14ac:dyDescent="0.2">
      <c r="A29723" t="s">
        <v>46888</v>
      </c>
      <c r="B29723" t="s">
        <v>18040</v>
      </c>
      <c r="C29723" t="s">
        <v>103</v>
      </c>
      <c r="D29723" t="s">
        <v>52</v>
      </c>
      <c r="E29723" t="s">
        <v>202</v>
      </c>
      <c r="F29723" s="2" t="str">
        <f>HYPERLINK("http://www.otzar.org/book.asp?142120","ספר הזכרון לבעל המכתב מאליהו - 2 כר'")</f>
        <v>ספר הזכרון לבעל המכתב מאליהו - 2 כר'</v>
      </c>
    </row>
    <row r="29724" spans="1:6" x14ac:dyDescent="0.2">
      <c r="A29724" t="s">
        <v>46889</v>
      </c>
      <c r="B29724" t="s">
        <v>552</v>
      </c>
      <c r="C29724" t="s">
        <v>151</v>
      </c>
      <c r="D29724" t="s">
        <v>14</v>
      </c>
      <c r="F29724" s="2" t="str">
        <f>HYPERLINK("http://www.otzar.org/book.asp?616060","ספר הזכרון למורינו הגאון רבי עקיבא קיסטר - כתובות")</f>
        <v>ספר הזכרון למורינו הגאון רבי עקיבא קיסטר - כתובות</v>
      </c>
    </row>
    <row r="29725" spans="1:6" x14ac:dyDescent="0.2">
      <c r="A29725" t="s">
        <v>46890</v>
      </c>
      <c r="B29725" t="s">
        <v>15154</v>
      </c>
      <c r="C29725" t="s">
        <v>13</v>
      </c>
      <c r="D29725" t="s">
        <v>14</v>
      </c>
      <c r="E29725" t="s">
        <v>202</v>
      </c>
      <c r="F29725" s="2" t="str">
        <f>HYPERLINK("http://www.otzar.org/book.asp?147105","ספר הזכרון למרן בעל הפחד יצחק זצ""ל")</f>
        <v>ספר הזכרון למרן בעל הפחד יצחק זצ"ל</v>
      </c>
    </row>
    <row r="29726" spans="1:6" x14ac:dyDescent="0.2">
      <c r="A29726" t="s">
        <v>46891</v>
      </c>
      <c r="B29726" t="s">
        <v>552</v>
      </c>
      <c r="C29726" t="s">
        <v>133</v>
      </c>
      <c r="D29726" t="s">
        <v>21</v>
      </c>
      <c r="E29726" t="s">
        <v>202</v>
      </c>
      <c r="F29726" s="2" t="str">
        <f>HYPERLINK("http://www.otzar.org/book.asp?195470","ספר הזכרון למרן הגאון רבי דב שורצמן - סוכה")</f>
        <v>ספר הזכרון למרן הגאון רבי דב שורצמן - סוכה</v>
      </c>
    </row>
    <row r="29727" spans="1:6" x14ac:dyDescent="0.2">
      <c r="A29727" t="s">
        <v>46892</v>
      </c>
      <c r="B29727" t="s">
        <v>46893</v>
      </c>
      <c r="C29727" t="s">
        <v>189</v>
      </c>
      <c r="D29727" t="s">
        <v>216</v>
      </c>
      <c r="E29727" t="s">
        <v>202</v>
      </c>
      <c r="F29727" s="2" t="str">
        <f>HYPERLINK("http://www.otzar.org/book.asp?188874","ספר הזכרון לצביה חמלניצקי")</f>
        <v>ספר הזכרון לצביה חמלניצקי</v>
      </c>
    </row>
    <row r="29728" spans="1:6" x14ac:dyDescent="0.2">
      <c r="A29728" t="s">
        <v>46894</v>
      </c>
      <c r="B29728" t="s">
        <v>552</v>
      </c>
      <c r="C29728" t="s">
        <v>767</v>
      </c>
      <c r="D29728" t="s">
        <v>412</v>
      </c>
      <c r="E29728" t="s">
        <v>202</v>
      </c>
      <c r="F29728" s="2" t="str">
        <f>HYPERLINK("http://www.otzar.org/book.asp?144237","ספר הזכרון לרבי משה ליפשיץ זצ""ל")</f>
        <v>ספר הזכרון לרבי משה ליפשיץ זצ"ל</v>
      </c>
    </row>
    <row r="29729" spans="1:6" x14ac:dyDescent="0.2">
      <c r="A29729" t="s">
        <v>46895</v>
      </c>
      <c r="B29729" t="s">
        <v>46896</v>
      </c>
      <c r="C29729" t="s">
        <v>585</v>
      </c>
      <c r="D29729" t="s">
        <v>16390</v>
      </c>
      <c r="E29729" t="s">
        <v>202</v>
      </c>
      <c r="F29729" s="2" t="str">
        <f>HYPERLINK("http://www.otzar.org/book.asp?196201","ספר הזכרון לרבי רפאל ברוך סורוצקין")</f>
        <v>ספר הזכרון לרבי רפאל ברוך סורוצקין</v>
      </c>
    </row>
    <row r="29730" spans="1:6" x14ac:dyDescent="0.2">
      <c r="A29730" t="s">
        <v>46897</v>
      </c>
      <c r="B29730" t="s">
        <v>46898</v>
      </c>
      <c r="C29730" t="s">
        <v>68</v>
      </c>
      <c r="D29730" t="s">
        <v>52</v>
      </c>
      <c r="E29730" t="s">
        <v>2248</v>
      </c>
      <c r="F29730" s="2" t="str">
        <f>HYPERLINK("http://www.otzar.org/book.asp?160329","ספר הזכרון עין הבאר - 2 כר'")</f>
        <v>ספר הזכרון עין הבאר - 2 כר'</v>
      </c>
    </row>
    <row r="29731" spans="1:6" x14ac:dyDescent="0.2">
      <c r="A29731" t="s">
        <v>46899</v>
      </c>
      <c r="B29731" t="s">
        <v>46900</v>
      </c>
      <c r="C29731" t="s">
        <v>52</v>
      </c>
      <c r="D29731" t="s">
        <v>146</v>
      </c>
      <c r="E29731" t="s">
        <v>199</v>
      </c>
      <c r="F29731" s="2" t="str">
        <f>HYPERLINK("http://www.otzar.org/book.asp?600390","ספר הזכרון שמעתתא דבי רב")</f>
        <v>ספר הזכרון שמעתתא דבי רב</v>
      </c>
    </row>
    <row r="29732" spans="1:6" x14ac:dyDescent="0.2">
      <c r="A29732" t="s">
        <v>46901</v>
      </c>
      <c r="B29732" t="s">
        <v>46902</v>
      </c>
      <c r="C29732" t="s">
        <v>133</v>
      </c>
      <c r="D29732" t="s">
        <v>14</v>
      </c>
      <c r="E29732" t="s">
        <v>202</v>
      </c>
      <c r="F29732" s="2" t="str">
        <f>HYPERLINK("http://www.otzar.org/book.asp?608464","ספר הזכרון תורת יעקב")</f>
        <v>ספר הזכרון תורת יעקב</v>
      </c>
    </row>
    <row r="29733" spans="1:6" x14ac:dyDescent="0.2">
      <c r="A29733" t="s">
        <v>46903</v>
      </c>
      <c r="B29733" t="s">
        <v>732</v>
      </c>
      <c r="C29733" t="s">
        <v>286</v>
      </c>
      <c r="D29733" t="s">
        <v>27</v>
      </c>
      <c r="E29733" t="s">
        <v>202</v>
      </c>
      <c r="F29733" s="2" t="str">
        <f>HYPERLINK("http://www.otzar.org/book.asp?188636","ספר הזכרון - א")</f>
        <v>ספר הזכרון - א</v>
      </c>
    </row>
    <row r="29734" spans="1:6" x14ac:dyDescent="0.2">
      <c r="A29734" t="s">
        <v>46904</v>
      </c>
      <c r="B29734" t="s">
        <v>19669</v>
      </c>
      <c r="C29734" t="s">
        <v>1954</v>
      </c>
      <c r="D29734" t="s">
        <v>27</v>
      </c>
      <c r="E29734" t="s">
        <v>579</v>
      </c>
      <c r="F29734" s="2" t="str">
        <f>HYPERLINK("http://www.otzar.org/book.asp?14449","ספר הזכרון")</f>
        <v>ספר הזכרון</v>
      </c>
    </row>
    <row r="29735" spans="1:6" x14ac:dyDescent="0.2">
      <c r="A29735" t="s">
        <v>46904</v>
      </c>
      <c r="B29735" t="s">
        <v>3299</v>
      </c>
      <c r="C29735" t="s">
        <v>843</v>
      </c>
      <c r="D29735" t="s">
        <v>27</v>
      </c>
      <c r="E29735" t="s">
        <v>16920</v>
      </c>
      <c r="F29735" s="2" t="str">
        <f>HYPERLINK("http://www.otzar.org/book.asp?103003","ספר הזכרון")</f>
        <v>ספר הזכרון</v>
      </c>
    </row>
    <row r="29736" spans="1:6" x14ac:dyDescent="0.2">
      <c r="A29736" t="s">
        <v>46905</v>
      </c>
      <c r="B29736" t="s">
        <v>46906</v>
      </c>
      <c r="C29736" t="s">
        <v>956</v>
      </c>
      <c r="D29736" t="s">
        <v>1356</v>
      </c>
      <c r="E29736" t="s">
        <v>384</v>
      </c>
      <c r="F29736" s="2" t="str">
        <f>HYPERLINK("http://www.otzar.org/book.asp?144199","ספר הזכרונות לבית ליסקא")</f>
        <v>ספר הזכרונות לבית ליסקא</v>
      </c>
    </row>
    <row r="29737" spans="1:6" x14ac:dyDescent="0.2">
      <c r="A29737" t="s">
        <v>46907</v>
      </c>
      <c r="B29737" t="s">
        <v>14210</v>
      </c>
      <c r="C29737" t="s">
        <v>46908</v>
      </c>
      <c r="D29737" t="s">
        <v>744</v>
      </c>
      <c r="E29737" t="s">
        <v>241</v>
      </c>
      <c r="F29737" s="2" t="str">
        <f>HYPERLINK("http://www.otzar.org/book.asp?100920","ספר הזכרונות - 2 כר'")</f>
        <v>ספר הזכרונות - 2 כר'</v>
      </c>
    </row>
    <row r="29738" spans="1:6" x14ac:dyDescent="0.2">
      <c r="A29738" t="s">
        <v>46909</v>
      </c>
      <c r="B29738" t="s">
        <v>9886</v>
      </c>
      <c r="C29738" t="s">
        <v>2408</v>
      </c>
      <c r="D29738" t="s">
        <v>260</v>
      </c>
      <c r="E29738" t="s">
        <v>104</v>
      </c>
      <c r="F29738" s="2" t="str">
        <f>HYPERLINK("http://www.otzar.org/book.asp?150035","ספר הזכרונות")</f>
        <v>ספר הזכרונות</v>
      </c>
    </row>
    <row r="29739" spans="1:6" x14ac:dyDescent="0.2">
      <c r="A29739" t="s">
        <v>46909</v>
      </c>
      <c r="B29739" t="s">
        <v>2993</v>
      </c>
      <c r="C29739" t="s">
        <v>1954</v>
      </c>
      <c r="D29739" t="s">
        <v>216</v>
      </c>
      <c r="E29739" t="s">
        <v>733</v>
      </c>
      <c r="F29739" s="2" t="str">
        <f>HYPERLINK("http://www.otzar.org/book.asp?25605","ספר הזכרונות")</f>
        <v>ספר הזכרונות</v>
      </c>
    </row>
    <row r="29740" spans="1:6" x14ac:dyDescent="0.2">
      <c r="A29740" t="s">
        <v>46910</v>
      </c>
      <c r="B29740" t="s">
        <v>2993</v>
      </c>
      <c r="C29740" t="s">
        <v>13</v>
      </c>
      <c r="D29740" t="s">
        <v>14919</v>
      </c>
      <c r="E29740" t="s">
        <v>241</v>
      </c>
      <c r="F29740" s="2" t="str">
        <f>HYPERLINK("http://www.otzar.org/book.asp?84189","ספר הזכרונות, משיב הטענה, משיב צדק, לבושי צדקה &lt;מהדורת הר ברכה&gt;")</f>
        <v>ספר הזכרונות, משיב הטענה, משיב צדק, לבושי צדקה &lt;מהדורת הר ברכה&gt;</v>
      </c>
    </row>
    <row r="29741" spans="1:6" x14ac:dyDescent="0.2">
      <c r="A29741" t="s">
        <v>46911</v>
      </c>
      <c r="B29741" t="s">
        <v>46912</v>
      </c>
      <c r="C29741" t="s">
        <v>37</v>
      </c>
      <c r="D29741" t="s">
        <v>14</v>
      </c>
      <c r="E29741" t="s">
        <v>1517</v>
      </c>
      <c r="F29741" s="2" t="str">
        <f>HYPERLINK("http://www.otzar.org/book.asp?182057","ספר הזמירות מאור ישראל")</f>
        <v>ספר הזמירות מאור ישראל</v>
      </c>
    </row>
    <row r="29742" spans="1:6" x14ac:dyDescent="0.2">
      <c r="A29742" t="s">
        <v>46913</v>
      </c>
      <c r="B29742" t="s">
        <v>17129</v>
      </c>
      <c r="C29742" t="s">
        <v>609</v>
      </c>
      <c r="D29742" t="s">
        <v>283</v>
      </c>
      <c r="E29742" t="s">
        <v>104</v>
      </c>
      <c r="F29742" s="2" t="str">
        <f>HYPERLINK("http://www.otzar.org/book.asp?103841","ספר החזון")</f>
        <v>ספר החזון</v>
      </c>
    </row>
    <row r="29743" spans="1:6" x14ac:dyDescent="0.2">
      <c r="A29743" t="s">
        <v>46914</v>
      </c>
      <c r="B29743" t="s">
        <v>42064</v>
      </c>
      <c r="C29743" t="s">
        <v>854</v>
      </c>
      <c r="D29743" t="s">
        <v>563</v>
      </c>
      <c r="E29743" t="s">
        <v>213</v>
      </c>
      <c r="F29743" s="2" t="str">
        <f>HYPERLINK("http://www.otzar.org/book.asp?83959","ספר החיבור וספר המצרף")</f>
        <v>ספר החיבור וספר המצרף</v>
      </c>
    </row>
    <row r="29744" spans="1:6" x14ac:dyDescent="0.2">
      <c r="A29744" t="s">
        <v>46915</v>
      </c>
      <c r="B29744" t="s">
        <v>46916</v>
      </c>
      <c r="C29744" t="s">
        <v>51</v>
      </c>
      <c r="D29744" t="s">
        <v>2375</v>
      </c>
      <c r="E29744" t="s">
        <v>2647</v>
      </c>
      <c r="F29744" s="2" t="str">
        <f>HYPERLINK("http://www.otzar.org/book.asp?84230","ספר החידושים")</f>
        <v>ספר החידושים</v>
      </c>
    </row>
    <row r="29745" spans="1:6" x14ac:dyDescent="0.2">
      <c r="A29745" t="s">
        <v>46917</v>
      </c>
      <c r="B29745" t="s">
        <v>46918</v>
      </c>
      <c r="C29745" t="s">
        <v>8</v>
      </c>
      <c r="D29745" t="s">
        <v>30657</v>
      </c>
      <c r="F29745" s="2" t="str">
        <f>HYPERLINK("http://www.otzar.org/book.asp?619300","ספר החידות - 2 כר'")</f>
        <v>ספר החידות - 2 כר'</v>
      </c>
    </row>
    <row r="29746" spans="1:6" x14ac:dyDescent="0.2">
      <c r="A29746" t="s">
        <v>46919</v>
      </c>
      <c r="B29746" t="s">
        <v>1472</v>
      </c>
      <c r="C29746" t="s">
        <v>523</v>
      </c>
      <c r="D29746" t="s">
        <v>14</v>
      </c>
      <c r="E29746" t="s">
        <v>241</v>
      </c>
      <c r="F29746" s="2" t="str">
        <f>HYPERLINK("http://www.otzar.org/book.asp?179007","ספר החיים &lt;מהדורת שפתי צדיקים&gt;")</f>
        <v>ספר החיים &lt;מהדורת שפתי צדיקים&gt;</v>
      </c>
    </row>
    <row r="29747" spans="1:6" x14ac:dyDescent="0.2">
      <c r="A29747" t="s">
        <v>46920</v>
      </c>
      <c r="B29747" t="s">
        <v>46921</v>
      </c>
      <c r="C29747" t="s">
        <v>46922</v>
      </c>
      <c r="D29747" t="s">
        <v>5258</v>
      </c>
      <c r="E29747" t="s">
        <v>148</v>
      </c>
      <c r="F29747" s="2" t="str">
        <f>HYPERLINK("http://www.otzar.org/book.asp?24303","ספר החיים")</f>
        <v>ספר החיים</v>
      </c>
    </row>
    <row r="29748" spans="1:6" x14ac:dyDescent="0.2">
      <c r="A29748" t="s">
        <v>46923</v>
      </c>
      <c r="B29748" t="s">
        <v>2002</v>
      </c>
      <c r="C29748" t="s">
        <v>1414</v>
      </c>
      <c r="D29748" t="s">
        <v>1279</v>
      </c>
      <c r="E29748" t="s">
        <v>2010</v>
      </c>
      <c r="F29748" s="2" t="str">
        <f>HYPERLINK("http://www.otzar.org/book.asp?103077","ספר החיים - 2 כר'")</f>
        <v>ספר החיים - 2 כר'</v>
      </c>
    </row>
    <row r="29749" spans="1:6" x14ac:dyDescent="0.2">
      <c r="A29749" t="s">
        <v>46924</v>
      </c>
      <c r="B29749" t="s">
        <v>1472</v>
      </c>
      <c r="C29749" t="s">
        <v>9307</v>
      </c>
      <c r="D29749" t="s">
        <v>1117</v>
      </c>
      <c r="E29749" t="s">
        <v>241</v>
      </c>
      <c r="F29749" s="2" t="str">
        <f>HYPERLINK("http://www.otzar.org/book.asp?146606","ספר החיים - 5 כר'")</f>
        <v>ספר החיים - 5 כר'</v>
      </c>
    </row>
    <row r="29750" spans="1:6" x14ac:dyDescent="0.2">
      <c r="A29750" t="s">
        <v>46920</v>
      </c>
      <c r="B29750" t="s">
        <v>305</v>
      </c>
      <c r="C29750" t="s">
        <v>2140</v>
      </c>
      <c r="D29750" t="s">
        <v>5258</v>
      </c>
      <c r="E29750" t="s">
        <v>172</v>
      </c>
      <c r="F29750" s="2" t="str">
        <f>HYPERLINK("http://www.otzar.org/book.asp?144900","ספר החיים")</f>
        <v>ספר החיים</v>
      </c>
    </row>
    <row r="29751" spans="1:6" x14ac:dyDescent="0.2">
      <c r="A29751" t="s">
        <v>46925</v>
      </c>
      <c r="B29751" t="s">
        <v>7322</v>
      </c>
      <c r="C29751" t="s">
        <v>523</v>
      </c>
      <c r="D29751" t="s">
        <v>2125</v>
      </c>
      <c r="E29751" t="s">
        <v>246</v>
      </c>
      <c r="F29751" s="2" t="str">
        <f>HYPERLINK("http://www.otzar.org/book.asp?603245","ספר החיים - על יום הדין של ר""ה")</f>
        <v>ספר החיים - על יום הדין של ר"ה</v>
      </c>
    </row>
    <row r="29752" spans="1:6" x14ac:dyDescent="0.2">
      <c r="A29752" t="s">
        <v>46920</v>
      </c>
      <c r="B29752" t="s">
        <v>24624</v>
      </c>
      <c r="C29752" t="s">
        <v>649</v>
      </c>
      <c r="D29752" t="s">
        <v>46926</v>
      </c>
      <c r="F29752" s="2" t="str">
        <f>HYPERLINK("http://www.otzar.org/book.asp?151494","ספר החיים")</f>
        <v>ספר החיים</v>
      </c>
    </row>
    <row r="29753" spans="1:6" x14ac:dyDescent="0.2">
      <c r="A29753" t="s">
        <v>46920</v>
      </c>
      <c r="B29753" t="s">
        <v>1988</v>
      </c>
      <c r="C29753" t="s">
        <v>1228</v>
      </c>
      <c r="D29753" t="s">
        <v>6742</v>
      </c>
      <c r="E29753" t="s">
        <v>219</v>
      </c>
      <c r="F29753" s="2" t="str">
        <f>HYPERLINK("http://www.otzar.org/book.asp?160522","ספר החיים")</f>
        <v>ספר החיים</v>
      </c>
    </row>
    <row r="29754" spans="1:6" x14ac:dyDescent="0.2">
      <c r="A29754" t="s">
        <v>46927</v>
      </c>
      <c r="B29754" t="s">
        <v>46928</v>
      </c>
      <c r="C29754" t="s">
        <v>20</v>
      </c>
      <c r="D29754" t="s">
        <v>14</v>
      </c>
      <c r="E29754" t="s">
        <v>674</v>
      </c>
      <c r="F29754" s="2" t="str">
        <f>HYPERLINK("http://www.otzar.org/book.asp?615929","ספר החינוך &lt;מכון מירב&gt;")</f>
        <v>ספר החינוך &lt;מכון מירב&gt;</v>
      </c>
    </row>
    <row r="29755" spans="1:6" x14ac:dyDescent="0.2">
      <c r="A29755" t="s">
        <v>46929</v>
      </c>
      <c r="B29755" t="s">
        <v>46930</v>
      </c>
      <c r="C29755" t="s">
        <v>114</v>
      </c>
      <c r="D29755" t="s">
        <v>14</v>
      </c>
      <c r="E29755" t="s">
        <v>104</v>
      </c>
      <c r="F29755" s="2" t="str">
        <f>HYPERLINK("http://www.otzar.org/book.asp?175465","ספר החינוך &lt;מהדורת ספרי אוה""ח&gt; - 2 כר'")</f>
        <v>ספר החינוך &lt;מהדורת ספרי אוה"ח&gt; - 2 כר'</v>
      </c>
    </row>
    <row r="29756" spans="1:6" x14ac:dyDescent="0.2">
      <c r="A29756" t="s">
        <v>46931</v>
      </c>
      <c r="B29756" t="s">
        <v>46930</v>
      </c>
      <c r="C29756" t="s">
        <v>1388</v>
      </c>
      <c r="D29756" t="s">
        <v>14</v>
      </c>
      <c r="E29756" t="s">
        <v>674</v>
      </c>
      <c r="F29756" s="2" t="str">
        <f>HYPERLINK("http://www.otzar.org/book.asp?9833","ספר החינוך &lt;מנחת חינוך - עשירית האיפה&gt;")</f>
        <v>ספר החינוך &lt;מנחת חינוך - עשירית האיפה&gt;</v>
      </c>
    </row>
    <row r="29757" spans="1:6" x14ac:dyDescent="0.2">
      <c r="A29757" t="s">
        <v>46932</v>
      </c>
      <c r="B29757" t="s">
        <v>28317</v>
      </c>
      <c r="C29757" t="s">
        <v>15467</v>
      </c>
      <c r="D29757" t="s">
        <v>56</v>
      </c>
      <c r="E29757" t="s">
        <v>674</v>
      </c>
      <c r="F29757" s="2" t="str">
        <f>HYPERLINK("http://www.otzar.org/book.asp?19076","ספר החינוך &lt;מנחת יצחק&gt; - 3 כר'")</f>
        <v>ספר החינוך &lt;מנחת יצחק&gt; - 3 כר'</v>
      </c>
    </row>
    <row r="29758" spans="1:6" x14ac:dyDescent="0.2">
      <c r="A29758" t="s">
        <v>46933</v>
      </c>
      <c r="B29758" t="s">
        <v>32629</v>
      </c>
      <c r="C29758" t="s">
        <v>129</v>
      </c>
      <c r="D29758" t="s">
        <v>14</v>
      </c>
      <c r="E29758" t="s">
        <v>15</v>
      </c>
      <c r="F29758" s="2" t="str">
        <f>HYPERLINK("http://www.otzar.org/book.asp?163559","ספר החינוך המבואר השלם")</f>
        <v>ספר החינוך המבואר השלם</v>
      </c>
    </row>
    <row r="29759" spans="1:6" x14ac:dyDescent="0.2">
      <c r="A29759" t="s">
        <v>46934</v>
      </c>
      <c r="B29759" t="s">
        <v>46935</v>
      </c>
      <c r="C29759" t="s">
        <v>37</v>
      </c>
      <c r="D29759" t="s">
        <v>139</v>
      </c>
      <c r="E29759" t="s">
        <v>104</v>
      </c>
      <c r="F29759" s="2" t="str">
        <f>HYPERLINK("http://www.otzar.org/book.asp?628216","ספר החינוך מבואר - 3 כר'")</f>
        <v>ספר החינוך מבואר - 3 כר'</v>
      </c>
    </row>
    <row r="29760" spans="1:6" x14ac:dyDescent="0.2">
      <c r="A29760" t="s">
        <v>46936</v>
      </c>
      <c r="B29760" t="s">
        <v>10567</v>
      </c>
      <c r="C29760" t="s">
        <v>13</v>
      </c>
      <c r="D29760" t="s">
        <v>1180</v>
      </c>
      <c r="E29760" t="s">
        <v>674</v>
      </c>
      <c r="F29760" s="2" t="str">
        <f>HYPERLINK("http://www.otzar.org/book.asp?165413","ספר החינוך ע""פ מנחת צבי - 3 כר'")</f>
        <v>ספר החינוך ע"פ מנחת צבי - 3 כר'</v>
      </c>
    </row>
    <row r="29761" spans="1:6" x14ac:dyDescent="0.2">
      <c r="A29761" t="s">
        <v>46937</v>
      </c>
      <c r="B29761" t="s">
        <v>46928</v>
      </c>
      <c r="C29761" t="s">
        <v>46938</v>
      </c>
      <c r="D29761" t="s">
        <v>49</v>
      </c>
      <c r="E29761" t="s">
        <v>674</v>
      </c>
      <c r="F29761" s="2" t="str">
        <f>HYPERLINK("http://www.otzar.org/book.asp?23655","ספר החינוך - 2 כר'")</f>
        <v>ספר החינוך - 2 כר'</v>
      </c>
    </row>
    <row r="29762" spans="1:6" x14ac:dyDescent="0.2">
      <c r="A29762" t="s">
        <v>46939</v>
      </c>
      <c r="B29762" t="s">
        <v>46940</v>
      </c>
      <c r="C29762" t="s">
        <v>22883</v>
      </c>
      <c r="D29762" t="s">
        <v>49</v>
      </c>
      <c r="F29762" s="2" t="str">
        <f>HYPERLINK("http://www.otzar.org/book.asp?152796","ספר החינוך")</f>
        <v>ספר החינוך</v>
      </c>
    </row>
    <row r="29763" spans="1:6" x14ac:dyDescent="0.2">
      <c r="A29763" t="s">
        <v>46939</v>
      </c>
      <c r="B29763" t="s">
        <v>46941</v>
      </c>
      <c r="C29763" t="s">
        <v>30737</v>
      </c>
      <c r="D29763" t="s">
        <v>1023</v>
      </c>
      <c r="F29763" s="2" t="str">
        <f>HYPERLINK("http://www.otzar.org/book.asp?152798","ספר החינוך")</f>
        <v>ספר החינוך</v>
      </c>
    </row>
    <row r="29764" spans="1:6" x14ac:dyDescent="0.2">
      <c r="A29764" t="s">
        <v>46939</v>
      </c>
      <c r="B29764" t="s">
        <v>46942</v>
      </c>
      <c r="C29764" t="s">
        <v>12036</v>
      </c>
      <c r="D29764" t="s">
        <v>283</v>
      </c>
      <c r="E29764" t="s">
        <v>674</v>
      </c>
      <c r="F29764" s="2" t="str">
        <f>HYPERLINK("http://www.otzar.org/book.asp?156065","ספר החינוך")</f>
        <v>ספר החינוך</v>
      </c>
    </row>
    <row r="29765" spans="1:6" x14ac:dyDescent="0.2">
      <c r="A29765" t="s">
        <v>46943</v>
      </c>
      <c r="B29765" t="s">
        <v>7186</v>
      </c>
      <c r="C29765" t="s">
        <v>1244</v>
      </c>
      <c r="D29765" t="s">
        <v>15839</v>
      </c>
      <c r="E29765" t="s">
        <v>158</v>
      </c>
      <c r="F29765" s="2" t="str">
        <f>HYPERLINK("http://www.otzar.org/book.asp?62179","ספר החכמה עם פירוש אסירי התקוה")</f>
        <v>ספר החכמה עם פירוש אסירי התקוה</v>
      </c>
    </row>
    <row r="29766" spans="1:6" x14ac:dyDescent="0.2">
      <c r="A29766" t="s">
        <v>46944</v>
      </c>
      <c r="B29766" t="s">
        <v>46945</v>
      </c>
      <c r="C29766" t="s">
        <v>438</v>
      </c>
      <c r="D29766" t="s">
        <v>14</v>
      </c>
      <c r="E29766" t="s">
        <v>920</v>
      </c>
      <c r="F29766" s="2" t="str">
        <f>HYPERLINK("http://www.otzar.org/book.asp?104857","ספר החכמה")</f>
        <v>ספר החכמה</v>
      </c>
    </row>
    <row r="29767" spans="1:6" x14ac:dyDescent="0.2">
      <c r="A29767" t="s">
        <v>46946</v>
      </c>
      <c r="B29767" t="s">
        <v>1733</v>
      </c>
      <c r="C29767" t="s">
        <v>1640</v>
      </c>
      <c r="D29767" t="s">
        <v>90</v>
      </c>
      <c r="E29767" t="s">
        <v>140</v>
      </c>
      <c r="F29767" s="2" t="str">
        <f>HYPERLINK("http://www.otzar.org/book.asp?150564","ספר החסידות מתורת בעלז")</f>
        <v>ספר החסידות מתורת בעלז</v>
      </c>
    </row>
    <row r="29768" spans="1:6" x14ac:dyDescent="0.2">
      <c r="A29768" t="s">
        <v>46947</v>
      </c>
      <c r="B29768" t="s">
        <v>3306</v>
      </c>
      <c r="C29768" t="s">
        <v>51</v>
      </c>
      <c r="D29768" t="s">
        <v>14</v>
      </c>
      <c r="E29768" t="s">
        <v>399</v>
      </c>
      <c r="F29768" s="2" t="str">
        <f>HYPERLINK("http://www.otzar.org/book.asp?148994","ספר החשק - 2 כר'")</f>
        <v>ספר החשק - 2 כר'</v>
      </c>
    </row>
    <row r="29769" spans="1:6" x14ac:dyDescent="0.2">
      <c r="A29769" t="s">
        <v>46948</v>
      </c>
      <c r="B29769" t="s">
        <v>46948</v>
      </c>
      <c r="C29769" t="s">
        <v>550</v>
      </c>
      <c r="D29769" t="s">
        <v>1279</v>
      </c>
      <c r="E29769" t="s">
        <v>399</v>
      </c>
      <c r="F29769" s="2" t="str">
        <f>HYPERLINK("http://www.otzar.org/book.asp?103196","ספר החשק")</f>
        <v>ספר החשק</v>
      </c>
    </row>
    <row r="29770" spans="1:6" x14ac:dyDescent="0.2">
      <c r="A29770" t="s">
        <v>46949</v>
      </c>
      <c r="B29770" t="s">
        <v>531</v>
      </c>
      <c r="C29770" t="s">
        <v>698</v>
      </c>
      <c r="D29770" t="s">
        <v>27</v>
      </c>
      <c r="E29770" t="s">
        <v>104</v>
      </c>
      <c r="F29770" s="2" t="str">
        <f>HYPERLINK("http://www.otzar.org/book.asp?103","ספר הטעמים - 2 כר'")</f>
        <v>ספר הטעמים - 2 כר'</v>
      </c>
    </row>
    <row r="29771" spans="1:6" x14ac:dyDescent="0.2">
      <c r="A29771" t="s">
        <v>46950</v>
      </c>
      <c r="B29771" t="s">
        <v>3299</v>
      </c>
      <c r="C29771" t="s">
        <v>411</v>
      </c>
      <c r="D29771" t="s">
        <v>412</v>
      </c>
      <c r="E29771" t="s">
        <v>15</v>
      </c>
      <c r="F29771" s="2" t="str">
        <f>HYPERLINK("http://www.otzar.org/book.asp?173249","ספר הטעמים")</f>
        <v>ספר הטעמים</v>
      </c>
    </row>
    <row r="29772" spans="1:6" x14ac:dyDescent="0.2">
      <c r="A29772" t="s">
        <v>46951</v>
      </c>
      <c r="B29772" t="s">
        <v>46952</v>
      </c>
      <c r="C29772" t="s">
        <v>160</v>
      </c>
      <c r="D29772" t="s">
        <v>412</v>
      </c>
      <c r="E29772" t="s">
        <v>4940</v>
      </c>
      <c r="F29772" s="2" t="str">
        <f>HYPERLINK("http://www.otzar.org/book.asp?5707","ספר הטעמים - בראשית")</f>
        <v>ספר הטעמים - בראשית</v>
      </c>
    </row>
    <row r="29773" spans="1:6" x14ac:dyDescent="0.2">
      <c r="A29773" t="s">
        <v>46953</v>
      </c>
      <c r="B29773" t="s">
        <v>2802</v>
      </c>
      <c r="C29773" t="s">
        <v>151</v>
      </c>
      <c r="D29773" t="s">
        <v>14</v>
      </c>
      <c r="F29773" s="2" t="str">
        <f>HYPERLINK("http://www.otzar.org/book.asp?617371","ספר היארצייט - א")</f>
        <v>ספר היארצייט - א</v>
      </c>
    </row>
    <row r="29774" spans="1:6" x14ac:dyDescent="0.2">
      <c r="A29774" t="s">
        <v>46954</v>
      </c>
      <c r="B29774" t="s">
        <v>46955</v>
      </c>
      <c r="C29774" t="s">
        <v>438</v>
      </c>
      <c r="D29774" t="s">
        <v>412</v>
      </c>
      <c r="E29774" t="s">
        <v>202</v>
      </c>
      <c r="F29774" s="2" t="str">
        <f>HYPERLINK("http://www.otzar.org/book.asp?14964","ספר היובל &lt;לכבוד הרב דר. אליהו יונג&gt;")</f>
        <v>ספר היובל &lt;לכבוד הרב דר. אליהו יונג&gt;</v>
      </c>
    </row>
    <row r="29775" spans="1:6" x14ac:dyDescent="0.2">
      <c r="A29775" t="s">
        <v>46956</v>
      </c>
      <c r="B29775" t="s">
        <v>46957</v>
      </c>
      <c r="C29775" t="s">
        <v>224</v>
      </c>
      <c r="D29775" t="s">
        <v>27</v>
      </c>
      <c r="E29775" t="s">
        <v>202</v>
      </c>
      <c r="F29775" s="2" t="str">
        <f>HYPERLINK("http://www.otzar.org/book.asp?14801","ספר היובל &lt;פישל&gt;")</f>
        <v>ספר היובל &lt;פישל&gt;</v>
      </c>
    </row>
    <row r="29776" spans="1:6" x14ac:dyDescent="0.2">
      <c r="A29776" t="s">
        <v>46958</v>
      </c>
      <c r="B29776" t="s">
        <v>1750</v>
      </c>
      <c r="C29776" t="s">
        <v>1811</v>
      </c>
      <c r="D29776" t="s">
        <v>52</v>
      </c>
      <c r="E29776" t="s">
        <v>186</v>
      </c>
      <c r="F29776" s="2" t="str">
        <f>HYPERLINK("http://www.otzar.org/book.asp?13517","ספר היובל &lt;ר' שמעון יהודא הכהן שקאפ&gt;")</f>
        <v>ספר היובל &lt;ר' שמעון יהודא הכהן שקאפ&gt;</v>
      </c>
    </row>
    <row r="29777" spans="1:6" x14ac:dyDescent="0.2">
      <c r="A29777" t="s">
        <v>46959</v>
      </c>
      <c r="B29777" t="s">
        <v>46026</v>
      </c>
      <c r="C29777" t="s">
        <v>13</v>
      </c>
      <c r="D29777" t="s">
        <v>52</v>
      </c>
      <c r="E29777" t="s">
        <v>202</v>
      </c>
      <c r="F29777" s="2" t="str">
        <f>HYPERLINK("http://www.otzar.org/book.asp?161473","ספר היובל אהלי יעקב")</f>
        <v>ספר היובל אהלי יעקב</v>
      </c>
    </row>
    <row r="29778" spans="1:6" x14ac:dyDescent="0.2">
      <c r="A29778" t="s">
        <v>46960</v>
      </c>
      <c r="B29778" t="s">
        <v>1750</v>
      </c>
      <c r="C29778" t="s">
        <v>390</v>
      </c>
      <c r="D29778" t="s">
        <v>216</v>
      </c>
      <c r="E29778" t="s">
        <v>384</v>
      </c>
      <c r="F29778" s="2" t="str">
        <f>HYPERLINK("http://www.otzar.org/book.asp?14970","ספר היובל ה - 25")</f>
        <v>ספר היובל ה - 25</v>
      </c>
    </row>
    <row r="29779" spans="1:6" x14ac:dyDescent="0.2">
      <c r="A29779" t="s">
        <v>46961</v>
      </c>
      <c r="B29779" t="s">
        <v>46962</v>
      </c>
      <c r="C29779" t="s">
        <v>940</v>
      </c>
      <c r="D29779" t="s">
        <v>216</v>
      </c>
      <c r="E29779" t="s">
        <v>119</v>
      </c>
      <c r="F29779" s="2" t="str">
        <f>HYPERLINK("http://www.otzar.org/book.asp?154523","ספר היובל לבית הכנסת הגדול בתל אביב")</f>
        <v>ספר היובל לבית הכנסת הגדול בתל אביב</v>
      </c>
    </row>
    <row r="29780" spans="1:6" x14ac:dyDescent="0.2">
      <c r="A29780" t="s">
        <v>46963</v>
      </c>
      <c r="B29780" t="s">
        <v>46955</v>
      </c>
      <c r="E29780" t="s">
        <v>202</v>
      </c>
      <c r="F29780" s="2" t="str">
        <f>HYPERLINK("http://www.otzar.org/book.asp?625945","ספר היובל לישיבת לוצערן")</f>
        <v>ספר היובל לישיבת לוצערן</v>
      </c>
    </row>
    <row r="29781" spans="1:6" x14ac:dyDescent="0.2">
      <c r="A29781" t="s">
        <v>46964</v>
      </c>
      <c r="B29781" t="s">
        <v>46955</v>
      </c>
      <c r="C29781" t="s">
        <v>775</v>
      </c>
      <c r="D29781" t="s">
        <v>14</v>
      </c>
      <c r="E29781" t="s">
        <v>202</v>
      </c>
      <c r="F29781" s="2" t="str">
        <f>HYPERLINK("http://www.otzar.org/book.asp?167399","ספר היובל לישיבת מקור חיים")</f>
        <v>ספר היובל לישיבת מקור חיים</v>
      </c>
    </row>
    <row r="29782" spans="1:6" x14ac:dyDescent="0.2">
      <c r="A29782" t="s">
        <v>46965</v>
      </c>
      <c r="B29782" t="s">
        <v>46966</v>
      </c>
      <c r="C29782" t="s">
        <v>433</v>
      </c>
      <c r="D29782" t="s">
        <v>9</v>
      </c>
      <c r="E29782" t="s">
        <v>202</v>
      </c>
      <c r="F29782" s="2" t="str">
        <f>HYPERLINK("http://www.otzar.org/book.asp?14786","ספר היובל לכבוד אלכסנדר מארכס")</f>
        <v>ספר היובל לכבוד אלכסנדר מארכס</v>
      </c>
    </row>
    <row r="29783" spans="1:6" x14ac:dyDescent="0.2">
      <c r="A29783" t="s">
        <v>46967</v>
      </c>
      <c r="B29783" t="s">
        <v>38220</v>
      </c>
      <c r="C29783" t="s">
        <v>585</v>
      </c>
      <c r="D29783" t="s">
        <v>14</v>
      </c>
      <c r="E29783" t="s">
        <v>202</v>
      </c>
      <c r="F29783" s="2" t="str">
        <f>HYPERLINK("http://www.otzar.org/book.asp?14789","ספר היובל למהר""ם שפירא")</f>
        <v>ספר היובל למהר"ם שפירא</v>
      </c>
    </row>
    <row r="29784" spans="1:6" x14ac:dyDescent="0.2">
      <c r="A29784" t="s">
        <v>46968</v>
      </c>
      <c r="B29784" t="s">
        <v>46969</v>
      </c>
      <c r="C29784" t="s">
        <v>609</v>
      </c>
      <c r="D29784" t="s">
        <v>260</v>
      </c>
      <c r="E29784" t="s">
        <v>384</v>
      </c>
      <c r="F29784" s="2" t="str">
        <f>HYPERLINK("http://www.otzar.org/book.asp?14825","ספר היובל למלאת חמשים שנה ליסוד פתח-תקוה")</f>
        <v>ספר היובל למלאת חמשים שנה ליסוד פתח-תקוה</v>
      </c>
    </row>
    <row r="29785" spans="1:6" x14ac:dyDescent="0.2">
      <c r="A29785" t="s">
        <v>46970</v>
      </c>
      <c r="B29785" t="s">
        <v>46971</v>
      </c>
      <c r="C29785" t="s">
        <v>775</v>
      </c>
      <c r="D29785" t="s">
        <v>14</v>
      </c>
      <c r="E29785" t="s">
        <v>202</v>
      </c>
      <c r="F29785" s="2" t="str">
        <f>HYPERLINK("http://www.otzar.org/book.asp?146343","ספר היובל למרן בעל החתם סופר")</f>
        <v>ספר היובל למרן בעל החתם סופר</v>
      </c>
    </row>
    <row r="29786" spans="1:6" x14ac:dyDescent="0.2">
      <c r="A29786" t="s">
        <v>46972</v>
      </c>
      <c r="B29786" t="s">
        <v>38220</v>
      </c>
      <c r="C29786" t="s">
        <v>775</v>
      </c>
      <c r="D29786" t="s">
        <v>1356</v>
      </c>
      <c r="E29786" t="s">
        <v>202</v>
      </c>
      <c r="F29786" s="2" t="str">
        <f>HYPERLINK("http://www.otzar.org/book.asp?166930","ספר היובל לקהילת חברת אהבת תורה")</f>
        <v>ספר היובל לקהילת חברת אהבת תורה</v>
      </c>
    </row>
    <row r="29787" spans="1:6" x14ac:dyDescent="0.2">
      <c r="A29787" t="s">
        <v>46973</v>
      </c>
      <c r="B29787" t="s">
        <v>7824</v>
      </c>
      <c r="C29787" t="s">
        <v>99</v>
      </c>
      <c r="D29787" t="s">
        <v>27</v>
      </c>
      <c r="E29787" t="s">
        <v>202</v>
      </c>
      <c r="F29787" s="2" t="str">
        <f>HYPERLINK("http://www.otzar.org/book.asp?14797","ספר היובל לרבי יהודה ליב הכהן פישמן")</f>
        <v>ספר היובל לרבי יהודה ליב הכהן פישמן</v>
      </c>
    </row>
    <row r="29788" spans="1:6" x14ac:dyDescent="0.2">
      <c r="A29788" t="s">
        <v>46974</v>
      </c>
      <c r="B29788" t="s">
        <v>22519</v>
      </c>
      <c r="C29788" t="s">
        <v>37</v>
      </c>
      <c r="D29788" t="s">
        <v>412</v>
      </c>
      <c r="E29788" t="s">
        <v>202</v>
      </c>
      <c r="F29788" s="2" t="str">
        <f>HYPERLINK("http://www.otzar.org/book.asp?613584","ספר היובל מבצר הכוללים")</f>
        <v>ספר היובל מבצר הכוללים</v>
      </c>
    </row>
    <row r="29789" spans="1:6" x14ac:dyDescent="0.2">
      <c r="A29789" t="s">
        <v>46975</v>
      </c>
      <c r="B29789" t="s">
        <v>253</v>
      </c>
      <c r="C29789" t="s">
        <v>785</v>
      </c>
      <c r="D29789" t="s">
        <v>14</v>
      </c>
      <c r="F29789" s="2" t="str">
        <f>HYPERLINK("http://www.otzar.org/book.asp?619952","ספר היובל מנחה ליהודה")</f>
        <v>ספר היובל מנחה ליהודה</v>
      </c>
    </row>
    <row r="29790" spans="1:6" x14ac:dyDescent="0.2">
      <c r="A29790" t="s">
        <v>46976</v>
      </c>
      <c r="B29790" t="s">
        <v>8670</v>
      </c>
      <c r="C29790" t="s">
        <v>68</v>
      </c>
      <c r="D29790" t="s">
        <v>52</v>
      </c>
      <c r="E29790" t="s">
        <v>46977</v>
      </c>
      <c r="F29790" s="2" t="str">
        <f>HYPERLINK("http://www.otzar.org/book.asp?154635","ספר היובל שומר אמת")</f>
        <v>ספר היובל שומר אמת</v>
      </c>
    </row>
    <row r="29791" spans="1:6" x14ac:dyDescent="0.2">
      <c r="A29791" t="s">
        <v>46978</v>
      </c>
      <c r="B29791" t="s">
        <v>32318</v>
      </c>
      <c r="C29791" t="s">
        <v>506</v>
      </c>
      <c r="E29791" t="s">
        <v>202</v>
      </c>
      <c r="F29791" s="2" t="str">
        <f>HYPERLINK("http://www.otzar.org/book.asp?172753","ספר היובל של אגודת הרבנים האורטודוכסים")</f>
        <v>ספר היובל של אגודת הרבנים האורטודוכסים</v>
      </c>
    </row>
    <row r="29792" spans="1:6" x14ac:dyDescent="0.2">
      <c r="A29792" t="s">
        <v>46979</v>
      </c>
      <c r="B29792" t="s">
        <v>552</v>
      </c>
      <c r="C29792" t="s">
        <v>1160</v>
      </c>
      <c r="D29792" t="s">
        <v>646</v>
      </c>
      <c r="E29792" t="s">
        <v>202</v>
      </c>
      <c r="F29792" s="2" t="str">
        <f>HYPERLINK("http://www.otzar.org/book.asp?175839","ספר היובל תפארת ישראל")</f>
        <v>ספר היובל תפארת ישראל</v>
      </c>
    </row>
    <row r="29793" spans="1:6" x14ac:dyDescent="0.2">
      <c r="A29793" t="s">
        <v>46980</v>
      </c>
      <c r="B29793" t="s">
        <v>46981</v>
      </c>
      <c r="C29793" t="s">
        <v>37</v>
      </c>
      <c r="D29793" t="s">
        <v>52</v>
      </c>
      <c r="F29793" s="2" t="str">
        <f>HYPERLINK("http://www.otzar.org/book.asp?189815","ספר היובל - חוג חתם סופר")</f>
        <v>ספר היובל - חוג חתם סופר</v>
      </c>
    </row>
    <row r="29794" spans="1:6" x14ac:dyDescent="0.2">
      <c r="A29794" t="s">
        <v>46955</v>
      </c>
      <c r="B29794" t="s">
        <v>46982</v>
      </c>
      <c r="C29794" t="s">
        <v>2008</v>
      </c>
      <c r="D29794" t="s">
        <v>27</v>
      </c>
      <c r="E29794" t="s">
        <v>202</v>
      </c>
      <c r="F29794" s="2" t="str">
        <f>HYPERLINK("http://www.otzar.org/book.asp?182441","ספר היובל")</f>
        <v>ספר היובל</v>
      </c>
    </row>
    <row r="29795" spans="1:6" x14ac:dyDescent="0.2">
      <c r="A29795" t="s">
        <v>46983</v>
      </c>
      <c r="B29795" t="s">
        <v>46984</v>
      </c>
      <c r="C29795" t="s">
        <v>411</v>
      </c>
      <c r="D29795" t="s">
        <v>2531</v>
      </c>
      <c r="E29795" t="s">
        <v>202</v>
      </c>
      <c r="F29795" s="2" t="str">
        <f>HYPERLINK("http://www.otzar.org/book.asp?606124","ספר היובל - כתר תורה")</f>
        <v>ספר היובל - כתר תורה</v>
      </c>
    </row>
    <row r="29796" spans="1:6" x14ac:dyDescent="0.2">
      <c r="A29796" t="s">
        <v>46955</v>
      </c>
      <c r="B29796" t="s">
        <v>2900</v>
      </c>
      <c r="C29796" t="s">
        <v>1470</v>
      </c>
      <c r="D29796" t="s">
        <v>27</v>
      </c>
      <c r="E29796" t="s">
        <v>2091</v>
      </c>
      <c r="F29796" s="2" t="str">
        <f>HYPERLINK("http://www.otzar.org/book.asp?15003","ספר היובל")</f>
        <v>ספר היובל</v>
      </c>
    </row>
    <row r="29797" spans="1:6" x14ac:dyDescent="0.2">
      <c r="A29797" t="s">
        <v>46955</v>
      </c>
      <c r="B29797" t="s">
        <v>46985</v>
      </c>
      <c r="C29797" t="s">
        <v>51</v>
      </c>
      <c r="D29797" t="s">
        <v>52</v>
      </c>
      <c r="E29797" t="s">
        <v>202</v>
      </c>
      <c r="F29797" s="2" t="str">
        <f>HYPERLINK("http://www.otzar.org/book.asp?624908","ספר היובל")</f>
        <v>ספר היובל</v>
      </c>
    </row>
    <row r="29798" spans="1:6" x14ac:dyDescent="0.2">
      <c r="A29798" t="s">
        <v>46955</v>
      </c>
      <c r="B29798" t="s">
        <v>23984</v>
      </c>
      <c r="C29798" t="s">
        <v>619</v>
      </c>
      <c r="D29798" t="s">
        <v>6042</v>
      </c>
      <c r="E29798" t="s">
        <v>202</v>
      </c>
      <c r="F29798" s="2" t="str">
        <f>HYPERLINK("http://www.otzar.org/book.asp?182235","ספר היובל")</f>
        <v>ספר היובל</v>
      </c>
    </row>
    <row r="29799" spans="1:6" x14ac:dyDescent="0.2">
      <c r="A29799" t="s">
        <v>46955</v>
      </c>
      <c r="B29799" t="s">
        <v>3760</v>
      </c>
      <c r="C29799" t="s">
        <v>6054</v>
      </c>
      <c r="D29799" t="s">
        <v>32478</v>
      </c>
      <c r="E29799" t="s">
        <v>202</v>
      </c>
      <c r="F29799" s="2" t="str">
        <f>HYPERLINK("http://www.otzar.org/book.asp?197024","ספר היובל")</f>
        <v>ספר היובל</v>
      </c>
    </row>
    <row r="29800" spans="1:6" x14ac:dyDescent="0.2">
      <c r="A29800" t="s">
        <v>46986</v>
      </c>
      <c r="B29800" t="s">
        <v>19004</v>
      </c>
      <c r="C29800" t="s">
        <v>124</v>
      </c>
      <c r="D29800" t="s">
        <v>14</v>
      </c>
      <c r="E29800" t="s">
        <v>733</v>
      </c>
      <c r="F29800" s="2" t="str">
        <f>HYPERLINK("http://www.otzar.org/book.asp?143517","ספר היחס לבית עליאש")</f>
        <v>ספר היחס לבית עליאש</v>
      </c>
    </row>
    <row r="29801" spans="1:6" x14ac:dyDescent="0.2">
      <c r="A29801" t="s">
        <v>46987</v>
      </c>
      <c r="B29801" t="s">
        <v>19127</v>
      </c>
      <c r="C29801" t="s">
        <v>812</v>
      </c>
      <c r="D29801" t="s">
        <v>726</v>
      </c>
      <c r="E29801" t="s">
        <v>5398</v>
      </c>
      <c r="F29801" s="2" t="str">
        <f>HYPERLINK("http://www.otzar.org/book.asp?52458","ספר היחס מטשרנוביל ורוזין")</f>
        <v>ספר היחס מטשרנוביל ורוזין</v>
      </c>
    </row>
    <row r="29802" spans="1:6" x14ac:dyDescent="0.2">
      <c r="A29802" t="s">
        <v>46988</v>
      </c>
      <c r="B29802" t="s">
        <v>46989</v>
      </c>
      <c r="C29802" t="s">
        <v>609</v>
      </c>
      <c r="D29802" t="s">
        <v>27</v>
      </c>
      <c r="E29802" t="s">
        <v>104</v>
      </c>
      <c r="F29802" s="2" t="str">
        <f>HYPERLINK("http://www.otzar.org/book.asp?158015","ספר היחס")</f>
        <v>ספר היחס</v>
      </c>
    </row>
    <row r="29803" spans="1:6" x14ac:dyDescent="0.2">
      <c r="A29803" t="s">
        <v>46988</v>
      </c>
      <c r="B29803" t="s">
        <v>20805</v>
      </c>
      <c r="C29803" t="s">
        <v>46990</v>
      </c>
      <c r="D29803" t="s">
        <v>27</v>
      </c>
      <c r="E29803" t="s">
        <v>104</v>
      </c>
      <c r="F29803" s="2" t="str">
        <f>HYPERLINK("http://www.otzar.org/book.asp?159242","ספר היחס")</f>
        <v>ספר היחס</v>
      </c>
    </row>
    <row r="29804" spans="1:6" x14ac:dyDescent="0.2">
      <c r="A29804" t="s">
        <v>46991</v>
      </c>
      <c r="B29804" t="s">
        <v>34600</v>
      </c>
      <c r="C29804" t="s">
        <v>163</v>
      </c>
      <c r="D29804" t="s">
        <v>283</v>
      </c>
      <c r="E29804" t="s">
        <v>579</v>
      </c>
      <c r="F29804" s="2" t="str">
        <f>HYPERLINK("http://www.otzar.org/book.asp?20365","ספר היחש")</f>
        <v>ספר היחש</v>
      </c>
    </row>
    <row r="29805" spans="1:6" x14ac:dyDescent="0.2">
      <c r="A29805" t="s">
        <v>46992</v>
      </c>
      <c r="B29805" t="s">
        <v>1821</v>
      </c>
      <c r="C29805" t="s">
        <v>989</v>
      </c>
      <c r="D29805" t="s">
        <v>14</v>
      </c>
      <c r="E29805" t="s">
        <v>38661</v>
      </c>
      <c r="F29805" s="2" t="str">
        <f>HYPERLINK("http://www.otzar.org/book.asp?102985","ספר היכלות &lt;הגר""א כת""י&gt;")</f>
        <v>ספר היכלות &lt;הגר"א כת"י&gt;</v>
      </c>
    </row>
    <row r="29806" spans="1:6" x14ac:dyDescent="0.2">
      <c r="A29806" t="s">
        <v>46993</v>
      </c>
      <c r="B29806" t="s">
        <v>46994</v>
      </c>
      <c r="C29806" t="s">
        <v>4374</v>
      </c>
      <c r="D29806" t="s">
        <v>267</v>
      </c>
      <c r="E29806" t="s">
        <v>399</v>
      </c>
      <c r="F29806" s="2" t="str">
        <f>HYPERLINK("http://www.otzar.org/book.asp?149196","ספר היכלות")</f>
        <v>ספר היכלות</v>
      </c>
    </row>
    <row r="29807" spans="1:6" x14ac:dyDescent="0.2">
      <c r="A29807" t="s">
        <v>46995</v>
      </c>
      <c r="B29807" t="s">
        <v>46996</v>
      </c>
      <c r="C29807" t="s">
        <v>1458</v>
      </c>
      <c r="D29807" t="s">
        <v>283</v>
      </c>
      <c r="E29807" t="s">
        <v>23256</v>
      </c>
      <c r="F29807" s="2" t="str">
        <f>HYPERLINK("http://www.otzar.org/book.asp?6998","ספר היכלות - 2 כר'")</f>
        <v>ספר היכלות - 2 כר'</v>
      </c>
    </row>
    <row r="29808" spans="1:6" x14ac:dyDescent="0.2">
      <c r="A29808" t="s">
        <v>46997</v>
      </c>
      <c r="B29808" t="s">
        <v>29389</v>
      </c>
      <c r="C29808" t="s">
        <v>46998</v>
      </c>
      <c r="D29808" t="s">
        <v>212</v>
      </c>
      <c r="E29808" t="s">
        <v>43</v>
      </c>
      <c r="F29808" s="2" t="str">
        <f>HYPERLINK("http://www.otzar.org/book.asp?101434","ספר הילקוט &lt;ילקוט שמעוני ע""פ ברית אברהם&gt; - 2 כר'")</f>
        <v>ספר הילקוט &lt;ילקוט שמעוני ע"פ ברית אברהם&gt; - 2 כר'</v>
      </c>
    </row>
    <row r="29809" spans="1:6" x14ac:dyDescent="0.2">
      <c r="A29809" t="s">
        <v>46999</v>
      </c>
      <c r="B29809" t="s">
        <v>47000</v>
      </c>
      <c r="C29809" t="s">
        <v>492</v>
      </c>
      <c r="D29809" t="s">
        <v>2181</v>
      </c>
      <c r="E29809" t="s">
        <v>241</v>
      </c>
      <c r="F29809" s="2" t="str">
        <f>HYPERLINK("http://www.otzar.org/book.asp?12683","ספר היסודות")</f>
        <v>ספר היסודות</v>
      </c>
    </row>
    <row r="29810" spans="1:6" x14ac:dyDescent="0.2">
      <c r="A29810" t="s">
        <v>47001</v>
      </c>
      <c r="B29810" t="s">
        <v>47002</v>
      </c>
      <c r="C29810" t="s">
        <v>3957</v>
      </c>
      <c r="D29810" t="s">
        <v>267</v>
      </c>
      <c r="E29810" t="s">
        <v>172</v>
      </c>
      <c r="F29810" s="2" t="str">
        <f>HYPERLINK("http://www.otzar.org/book.asp?5643","ספר היקר")</f>
        <v>ספר היקר</v>
      </c>
    </row>
    <row r="29811" spans="1:6" x14ac:dyDescent="0.2">
      <c r="A29811" t="s">
        <v>47003</v>
      </c>
      <c r="B29811" t="s">
        <v>47004</v>
      </c>
      <c r="C29811" t="s">
        <v>17</v>
      </c>
      <c r="D29811" t="s">
        <v>27</v>
      </c>
      <c r="E29811" t="s">
        <v>241</v>
      </c>
      <c r="F29811" s="2" t="str">
        <f>HYPERLINK("http://www.otzar.org/book.asp?603408","ספר היראה &lt;עם ביאורים והערות&gt;")</f>
        <v>ספר היראה &lt;עם ביאורים והערות&gt;</v>
      </c>
    </row>
    <row r="29812" spans="1:6" x14ac:dyDescent="0.2">
      <c r="A29812" t="s">
        <v>47005</v>
      </c>
      <c r="B29812" t="s">
        <v>1574</v>
      </c>
      <c r="C29812" t="s">
        <v>1169</v>
      </c>
      <c r="D29812" t="s">
        <v>27</v>
      </c>
      <c r="E29812" t="s">
        <v>24461</v>
      </c>
      <c r="F29812" s="2" t="str">
        <f>HYPERLINK("http://www.otzar.org/book.asp?11895","ספר היראה &lt;מקור היראה&gt;")</f>
        <v>ספר היראה &lt;מקור היראה&gt;</v>
      </c>
    </row>
    <row r="29813" spans="1:6" x14ac:dyDescent="0.2">
      <c r="A29813" t="s">
        <v>47006</v>
      </c>
      <c r="B29813" t="s">
        <v>47007</v>
      </c>
      <c r="C29813" t="s">
        <v>624</v>
      </c>
      <c r="D29813" t="s">
        <v>2504</v>
      </c>
      <c r="E29813" t="s">
        <v>241</v>
      </c>
      <c r="F29813" s="2" t="str">
        <f>HYPERLINK("http://www.otzar.org/book.asp?180877","ספר היראה עם הגהות רבינו משה נגרין")</f>
        <v>ספר היראה עם הגהות רבינו משה נגרין</v>
      </c>
    </row>
    <row r="29814" spans="1:6" x14ac:dyDescent="0.2">
      <c r="A29814" t="s">
        <v>47008</v>
      </c>
      <c r="B29814" t="s">
        <v>1574</v>
      </c>
      <c r="C29814" t="s">
        <v>5721</v>
      </c>
      <c r="D29814" t="s">
        <v>267</v>
      </c>
      <c r="E29814" t="s">
        <v>241</v>
      </c>
      <c r="F29814" s="2" t="str">
        <f>HYPERLINK("http://www.otzar.org/book.asp?181140","ספר היראה - 3 כר'")</f>
        <v>ספר היראה - 3 כר'</v>
      </c>
    </row>
    <row r="29815" spans="1:6" x14ac:dyDescent="0.2">
      <c r="A29815" t="s">
        <v>47009</v>
      </c>
      <c r="B29815" t="s">
        <v>732</v>
      </c>
      <c r="C29815" t="s">
        <v>725</v>
      </c>
      <c r="D29815" t="s">
        <v>27</v>
      </c>
      <c r="E29815" t="s">
        <v>733</v>
      </c>
      <c r="F29815" s="2" t="str">
        <f>HYPERLINK("http://www.otzar.org/book.asp?168919","ספר הישוב")</f>
        <v>ספר הישוב</v>
      </c>
    </row>
    <row r="29816" spans="1:6" x14ac:dyDescent="0.2">
      <c r="A29816" t="s">
        <v>47010</v>
      </c>
      <c r="B29816" t="s">
        <v>47011</v>
      </c>
      <c r="C29816" t="s">
        <v>87</v>
      </c>
      <c r="D29816" t="s">
        <v>52</v>
      </c>
      <c r="E29816" t="s">
        <v>241</v>
      </c>
      <c r="F29816" s="2" t="str">
        <f>HYPERLINK("http://www.otzar.org/book.asp?84280","ספר הישר &lt;בעקבות בית אבא&gt;")</f>
        <v>ספר הישר &lt;בעקבות בית אבא&gt;</v>
      </c>
    </row>
    <row r="29817" spans="1:6" x14ac:dyDescent="0.2">
      <c r="A29817" t="s">
        <v>47012</v>
      </c>
      <c r="B29817" t="s">
        <v>47013</v>
      </c>
      <c r="C29817" t="s">
        <v>1058</v>
      </c>
      <c r="D29817" t="s">
        <v>1419</v>
      </c>
      <c r="E29817" t="s">
        <v>144</v>
      </c>
      <c r="F29817" s="2" t="str">
        <f>HYPERLINK("http://www.otzar.org/book.asp?142475","ספר הישר &lt;אור לישרים&gt;")</f>
        <v>ספר הישר &lt;אור לישרים&gt;</v>
      </c>
    </row>
    <row r="29818" spans="1:6" x14ac:dyDescent="0.2">
      <c r="A29818" t="s">
        <v>47014</v>
      </c>
      <c r="B29818" t="s">
        <v>47013</v>
      </c>
      <c r="C29818" t="s">
        <v>185</v>
      </c>
      <c r="D29818" t="s">
        <v>52</v>
      </c>
      <c r="E29818" t="s">
        <v>15</v>
      </c>
      <c r="F29818" s="2" t="str">
        <f>HYPERLINK("http://www.otzar.org/book.asp?627685","ספר הישר &lt;מהדורת דבליצקי&gt; - חלק החידושים")</f>
        <v>ספר הישר &lt;מהדורת דבליצקי&gt; - חלק החידושים</v>
      </c>
    </row>
    <row r="29819" spans="1:6" x14ac:dyDescent="0.2">
      <c r="A29819" t="s">
        <v>47015</v>
      </c>
      <c r="B29819" t="s">
        <v>47016</v>
      </c>
      <c r="C29819" t="s">
        <v>1169</v>
      </c>
      <c r="D29819" t="s">
        <v>1654</v>
      </c>
      <c r="F29819" s="2" t="str">
        <f>HYPERLINK("http://www.otzar.org/book.asp?612885","ספר הישר &lt;מעובד&gt; - 2 כר'")</f>
        <v>ספר הישר &lt;מעובד&gt; - 2 כר'</v>
      </c>
    </row>
    <row r="29820" spans="1:6" x14ac:dyDescent="0.2">
      <c r="A29820" t="s">
        <v>47017</v>
      </c>
      <c r="B29820" t="s">
        <v>7620</v>
      </c>
      <c r="C29820" t="s">
        <v>71</v>
      </c>
      <c r="D29820" t="s">
        <v>52</v>
      </c>
      <c r="E29820" t="s">
        <v>241</v>
      </c>
      <c r="F29820" s="2" t="str">
        <f>HYPERLINK("http://www.otzar.org/book.asp?23158","ספר הישר &lt;דברי יושר&gt;")</f>
        <v>ספר הישר &lt;דברי יושר&gt;</v>
      </c>
    </row>
    <row r="29821" spans="1:6" x14ac:dyDescent="0.2">
      <c r="A29821" t="s">
        <v>47018</v>
      </c>
      <c r="B29821" t="s">
        <v>47013</v>
      </c>
      <c r="C29821" t="s">
        <v>168</v>
      </c>
      <c r="D29821" t="s">
        <v>14</v>
      </c>
      <c r="E29821" t="s">
        <v>15</v>
      </c>
      <c r="F29821" s="2" t="str">
        <f>HYPERLINK("http://www.otzar.org/book.asp?148520","ספר הישר לרבינו תם - 2 כר'")</f>
        <v>ספר הישר לרבינו תם - 2 כר'</v>
      </c>
    </row>
    <row r="29822" spans="1:6" x14ac:dyDescent="0.2">
      <c r="A29822" t="s">
        <v>47019</v>
      </c>
      <c r="B29822" t="s">
        <v>47011</v>
      </c>
      <c r="C29822" t="s">
        <v>20</v>
      </c>
      <c r="D29822" t="s">
        <v>14</v>
      </c>
      <c r="E29822" t="s">
        <v>6305</v>
      </c>
      <c r="F29822" s="2" t="str">
        <f>HYPERLINK("http://www.otzar.org/book.asp?6582","ספר הישר - 4 כר'")</f>
        <v>ספר הישר - 4 כר'</v>
      </c>
    </row>
    <row r="29823" spans="1:6" x14ac:dyDescent="0.2">
      <c r="A29823" t="s">
        <v>47020</v>
      </c>
      <c r="B29823" t="s">
        <v>47013</v>
      </c>
      <c r="C29823" t="s">
        <v>250</v>
      </c>
      <c r="D29823" t="s">
        <v>535</v>
      </c>
      <c r="E29823" t="s">
        <v>144</v>
      </c>
      <c r="F29823" s="2" t="str">
        <f>HYPERLINK("http://www.otzar.org/book.asp?101336","ספר הישר")</f>
        <v>ספר הישר</v>
      </c>
    </row>
    <row r="29824" spans="1:6" x14ac:dyDescent="0.2">
      <c r="A29824" t="s">
        <v>47021</v>
      </c>
      <c r="B29824" t="s">
        <v>47022</v>
      </c>
      <c r="C29824" t="s">
        <v>10337</v>
      </c>
      <c r="D29824" t="s">
        <v>49</v>
      </c>
      <c r="F29824" s="2" t="str">
        <f>HYPERLINK("http://www.otzar.org/book.asp?153077","ספר הישר - 2 כר'")</f>
        <v>ספר הישר - 2 כר'</v>
      </c>
    </row>
    <row r="29825" spans="1:6" x14ac:dyDescent="0.2">
      <c r="A29825" t="s">
        <v>47020</v>
      </c>
      <c r="B29825" t="s">
        <v>47023</v>
      </c>
      <c r="C29825" t="s">
        <v>25392</v>
      </c>
      <c r="D29825" t="s">
        <v>6042</v>
      </c>
      <c r="F29825" s="2" t="str">
        <f>HYPERLINK("http://www.otzar.org/book.asp?170340","ספר הישר")</f>
        <v>ספר הישר</v>
      </c>
    </row>
    <row r="29826" spans="1:6" x14ac:dyDescent="0.2">
      <c r="A29826" t="s">
        <v>47020</v>
      </c>
      <c r="B29826" t="s">
        <v>47024</v>
      </c>
      <c r="C29826" t="s">
        <v>600</v>
      </c>
      <c r="D29826" t="s">
        <v>212</v>
      </c>
      <c r="E29826" t="s">
        <v>1103</v>
      </c>
      <c r="F29826" s="2" t="str">
        <f>HYPERLINK("http://www.otzar.org/book.asp?152233","ספר הישר")</f>
        <v>ספר הישר</v>
      </c>
    </row>
    <row r="29827" spans="1:6" x14ac:dyDescent="0.2">
      <c r="A29827" t="s">
        <v>47020</v>
      </c>
      <c r="B29827" t="s">
        <v>47025</v>
      </c>
      <c r="C29827" t="s">
        <v>5823</v>
      </c>
      <c r="D29827" t="s">
        <v>283</v>
      </c>
      <c r="E29827" t="s">
        <v>1103</v>
      </c>
      <c r="F29827" s="2" t="str">
        <f>HYPERLINK("http://www.otzar.org/book.asp?11412","ספר הישר")</f>
        <v>ספר הישר</v>
      </c>
    </row>
    <row r="29828" spans="1:6" x14ac:dyDescent="0.2">
      <c r="A29828" t="s">
        <v>47020</v>
      </c>
      <c r="B29828" t="s">
        <v>47026</v>
      </c>
      <c r="C29828" t="s">
        <v>1202</v>
      </c>
      <c r="D29828" t="s">
        <v>280</v>
      </c>
      <c r="E29828" t="s">
        <v>1103</v>
      </c>
      <c r="F29828" s="2" t="str">
        <f>HYPERLINK("http://www.otzar.org/book.asp?14731","ספר הישר")</f>
        <v>ספר הישר</v>
      </c>
    </row>
    <row r="29829" spans="1:6" x14ac:dyDescent="0.2">
      <c r="A29829" t="s">
        <v>47020</v>
      </c>
      <c r="B29829" t="s">
        <v>47027</v>
      </c>
      <c r="C29829" t="s">
        <v>1246</v>
      </c>
      <c r="D29829" t="s">
        <v>260</v>
      </c>
      <c r="E29829" t="s">
        <v>1103</v>
      </c>
      <c r="F29829" s="2" t="str">
        <f>HYPERLINK("http://www.otzar.org/book.asp?6757","ספר הישר")</f>
        <v>ספר הישר</v>
      </c>
    </row>
    <row r="29830" spans="1:6" x14ac:dyDescent="0.2">
      <c r="A29830" t="s">
        <v>47028</v>
      </c>
      <c r="B29830" t="s">
        <v>35381</v>
      </c>
      <c r="C29830" t="s">
        <v>111</v>
      </c>
      <c r="D29830" t="s">
        <v>32811</v>
      </c>
      <c r="E29830" t="s">
        <v>399</v>
      </c>
      <c r="F29830" s="2" t="str">
        <f>HYPERLINK("http://www.otzar.org/book.asp?629502","ספר הכוונות - מאורות נתן")</f>
        <v>ספר הכוונות - מאורות נתן</v>
      </c>
    </row>
    <row r="29831" spans="1:6" x14ac:dyDescent="0.2">
      <c r="A29831" t="s">
        <v>47029</v>
      </c>
      <c r="B29831" t="s">
        <v>47030</v>
      </c>
      <c r="C29831" t="s">
        <v>427</v>
      </c>
      <c r="D29831" t="s">
        <v>52</v>
      </c>
      <c r="E29831" t="s">
        <v>241</v>
      </c>
      <c r="F29831" s="2" t="str">
        <f>HYPERLINK("http://www.otzar.org/book.asp?145178","ספר הכוזרי &lt;המפורש&gt;")</f>
        <v>ספר הכוזרי &lt;המפורש&gt;</v>
      </c>
    </row>
    <row r="29832" spans="1:6" x14ac:dyDescent="0.2">
      <c r="A29832" t="s">
        <v>47031</v>
      </c>
      <c r="B29832" t="s">
        <v>47032</v>
      </c>
      <c r="C29832" t="s">
        <v>37</v>
      </c>
      <c r="D29832" t="s">
        <v>52</v>
      </c>
      <c r="E29832" t="s">
        <v>241</v>
      </c>
      <c r="F29832" s="2" t="str">
        <f>HYPERLINK("http://www.otzar.org/book.asp?191754","ספר הכוזרי &lt;הכוזרי המפורש&gt;")</f>
        <v>ספר הכוזרי &lt;הכוזרי המפורש&gt;</v>
      </c>
    </row>
    <row r="29833" spans="1:6" x14ac:dyDescent="0.2">
      <c r="A29833" t="s">
        <v>47033</v>
      </c>
      <c r="B29833" t="s">
        <v>47034</v>
      </c>
      <c r="C29833" t="s">
        <v>1640</v>
      </c>
      <c r="D29833" t="s">
        <v>10373</v>
      </c>
      <c r="E29833" t="s">
        <v>241</v>
      </c>
      <c r="F29833" s="2" t="str">
        <f>HYPERLINK("http://www.otzar.org/book.asp?181807","ספר הכוזרי &lt;ערוך לפי ערכים&gt;")</f>
        <v>ספר הכוזרי &lt;ערוך לפי ערכים&gt;</v>
      </c>
    </row>
    <row r="29834" spans="1:6" x14ac:dyDescent="0.2">
      <c r="A29834" t="s">
        <v>47035</v>
      </c>
      <c r="B29834" t="s">
        <v>47036</v>
      </c>
      <c r="C29834" t="s">
        <v>189</v>
      </c>
      <c r="D29834" t="s">
        <v>5421</v>
      </c>
      <c r="E29834" t="s">
        <v>241</v>
      </c>
      <c r="F29834" s="2" t="str">
        <f>HYPERLINK("http://www.otzar.org/book.asp?149876","ספר הכוזרי &lt;מקור ותרגום&gt;")</f>
        <v>ספר הכוזרי &lt;מקור ותרגום&gt;</v>
      </c>
    </row>
    <row r="29835" spans="1:6" x14ac:dyDescent="0.2">
      <c r="A29835" t="s">
        <v>47037</v>
      </c>
      <c r="B29835" t="s">
        <v>12911</v>
      </c>
      <c r="C29835" t="s">
        <v>395</v>
      </c>
      <c r="D29835" t="s">
        <v>11133</v>
      </c>
      <c r="E29835" t="s">
        <v>213</v>
      </c>
      <c r="F29835" s="2" t="str">
        <f>HYPERLINK("http://www.otzar.org/book.asp?12170","ספר הכוזרי &lt;המקור הערבי ותרגום ר""י אבן תבון. מהדורה מדעית&gt;")</f>
        <v>ספר הכוזרי &lt;המקור הערבי ותרגום ר"י אבן תבון. מהדורה מדעית&gt;</v>
      </c>
    </row>
    <row r="29836" spans="1:6" x14ac:dyDescent="0.2">
      <c r="A29836" t="s">
        <v>47038</v>
      </c>
      <c r="B29836" t="s">
        <v>12911</v>
      </c>
      <c r="C29836" t="s">
        <v>68</v>
      </c>
      <c r="D29836" t="s">
        <v>27</v>
      </c>
      <c r="E29836" t="s">
        <v>241</v>
      </c>
      <c r="F29836" s="2" t="str">
        <f>HYPERLINK("http://www.otzar.org/book.asp?196210","ספר הכוזרי &lt;מהדורת שילת&gt;")</f>
        <v>ספר הכוזרי &lt;מהדורת שילת&gt;</v>
      </c>
    </row>
    <row r="29837" spans="1:6" x14ac:dyDescent="0.2">
      <c r="A29837" t="s">
        <v>47039</v>
      </c>
      <c r="B29837" t="s">
        <v>12911</v>
      </c>
      <c r="C29837" t="s">
        <v>3957</v>
      </c>
      <c r="D29837" t="s">
        <v>4352</v>
      </c>
      <c r="F29837" s="2" t="str">
        <f>HYPERLINK("http://www.otzar.org/book.asp?152815","ספר הכוזרי &lt;נוסח לקוי&gt;")</f>
        <v>ספר הכוזרי &lt;נוסח לקוי&gt;</v>
      </c>
    </row>
    <row r="29838" spans="1:6" x14ac:dyDescent="0.2">
      <c r="A29838" t="s">
        <v>47040</v>
      </c>
      <c r="B29838" t="s">
        <v>47041</v>
      </c>
      <c r="C29838" t="s">
        <v>609</v>
      </c>
      <c r="D29838" t="s">
        <v>307</v>
      </c>
      <c r="E29838" t="s">
        <v>241</v>
      </c>
      <c r="F29838" s="2" t="str">
        <f>HYPERLINK("http://www.otzar.org/book.asp?196018","ספר הכוזרי - השוואת, הערות, מפתחות")</f>
        <v>ספר הכוזרי - השוואת, הערות, מפתחות</v>
      </c>
    </row>
    <row r="29839" spans="1:6" x14ac:dyDescent="0.2">
      <c r="A29839" t="s">
        <v>47042</v>
      </c>
      <c r="B29839" t="s">
        <v>12911</v>
      </c>
      <c r="C29839" t="s">
        <v>47043</v>
      </c>
      <c r="D29839" t="s">
        <v>8545</v>
      </c>
      <c r="E29839" t="s">
        <v>241</v>
      </c>
      <c r="F29839" s="2" t="str">
        <f>HYPERLINK("http://www.otzar.org/book.asp?623473","ספר הכוזרי - 8 כר'")</f>
        <v>ספר הכוזרי - 8 כר'</v>
      </c>
    </row>
    <row r="29840" spans="1:6" x14ac:dyDescent="0.2">
      <c r="A29840" t="s">
        <v>47044</v>
      </c>
      <c r="B29840" t="s">
        <v>47045</v>
      </c>
      <c r="C29840" t="s">
        <v>160</v>
      </c>
      <c r="D29840" t="s">
        <v>14</v>
      </c>
      <c r="E29840" t="s">
        <v>104</v>
      </c>
      <c r="F29840" s="2" t="str">
        <f>HYPERLINK("http://www.otzar.org/book.asp?12839","ספר הכוכבים")</f>
        <v>ספר הכוכבים</v>
      </c>
    </row>
    <row r="29841" spans="1:6" x14ac:dyDescent="0.2">
      <c r="A29841" t="s">
        <v>47046</v>
      </c>
      <c r="B29841" t="s">
        <v>24828</v>
      </c>
      <c r="C29841" t="s">
        <v>47047</v>
      </c>
      <c r="D29841" t="s">
        <v>22983</v>
      </c>
      <c r="F29841" s="2" t="str">
        <f>HYPERLINK("http://www.otzar.org/book.asp?170299","ספר הכונות &lt;ר""מ טרינקי&gt; - 2 כר'")</f>
        <v>ספר הכונות &lt;ר"מ טרינקי&gt; - 2 כר'</v>
      </c>
    </row>
    <row r="29842" spans="1:6" x14ac:dyDescent="0.2">
      <c r="A29842" t="s">
        <v>47048</v>
      </c>
      <c r="B29842" t="s">
        <v>24828</v>
      </c>
      <c r="C29842" t="s">
        <v>47049</v>
      </c>
      <c r="D29842" t="s">
        <v>47050</v>
      </c>
      <c r="E29842" t="s">
        <v>399</v>
      </c>
      <c r="F29842" s="2" t="str">
        <f>HYPERLINK("http://www.otzar.org/book.asp?618647","ספר הכונות ומעשה ניסים")</f>
        <v>ספר הכונות ומעשה ניסים</v>
      </c>
    </row>
    <row r="29843" spans="1:6" x14ac:dyDescent="0.2">
      <c r="A29843" t="s">
        <v>47051</v>
      </c>
      <c r="B29843" t="s">
        <v>24828</v>
      </c>
      <c r="C29843" t="s">
        <v>10538</v>
      </c>
      <c r="D29843" t="s">
        <v>1490</v>
      </c>
      <c r="E29843" t="s">
        <v>2075</v>
      </c>
      <c r="F29843" s="2" t="str">
        <f>HYPERLINK("http://www.otzar.org/book.asp?104453","ספר הכונות ומעשה נסים")</f>
        <v>ספר הכונות ומעשה נסים</v>
      </c>
    </row>
    <row r="29844" spans="1:6" x14ac:dyDescent="0.2">
      <c r="A29844" t="s">
        <v>47052</v>
      </c>
      <c r="B29844" t="s">
        <v>47053</v>
      </c>
      <c r="C29844" t="s">
        <v>133</v>
      </c>
      <c r="D29844" t="s">
        <v>47054</v>
      </c>
      <c r="E29844" t="s">
        <v>399</v>
      </c>
      <c r="F29844" s="2" t="str">
        <f>HYPERLINK("http://www.otzar.org/book.asp?179747","ספר הכונות ישן עם הגהות הרמ""ז")</f>
        <v>ספר הכונות ישן עם הגהות הרמ"ז</v>
      </c>
    </row>
    <row r="29845" spans="1:6" x14ac:dyDescent="0.2">
      <c r="A29845" t="s">
        <v>47055</v>
      </c>
      <c r="B29845" t="s">
        <v>24828</v>
      </c>
      <c r="C29845" t="s">
        <v>5334</v>
      </c>
      <c r="D29845" t="s">
        <v>4364</v>
      </c>
      <c r="E29845" t="s">
        <v>399</v>
      </c>
      <c r="F29845" s="2" t="str">
        <f>HYPERLINK("http://www.otzar.org/book.asp?23789","ספר הכונות - 2 כר'")</f>
        <v>ספר הכונות - 2 כר'</v>
      </c>
    </row>
    <row r="29846" spans="1:6" x14ac:dyDescent="0.2">
      <c r="A29846" t="s">
        <v>47056</v>
      </c>
      <c r="B29846" t="s">
        <v>1712</v>
      </c>
      <c r="C29846" t="s">
        <v>429</v>
      </c>
      <c r="D29846" t="s">
        <v>379</v>
      </c>
      <c r="E29846" t="s">
        <v>6688</v>
      </c>
      <c r="F29846" s="2" t="str">
        <f>HYPERLINK("http://www.otzar.org/book.asp?105953","ספר הכל")</f>
        <v>ספר הכל</v>
      </c>
    </row>
    <row r="29847" spans="1:6" x14ac:dyDescent="0.2">
      <c r="A29847" t="s">
        <v>47057</v>
      </c>
      <c r="B29847" t="s">
        <v>46009</v>
      </c>
      <c r="C29847" t="s">
        <v>366</v>
      </c>
      <c r="D29847" t="s">
        <v>245</v>
      </c>
      <c r="E29847" t="s">
        <v>803</v>
      </c>
      <c r="F29847" s="2" t="str">
        <f>HYPERLINK("http://www.otzar.org/book.asp?605541","ספר הכללים - עירובין")</f>
        <v>ספר הכללים - עירובין</v>
      </c>
    </row>
    <row r="29848" spans="1:6" x14ac:dyDescent="0.2">
      <c r="A29848" t="s">
        <v>47058</v>
      </c>
      <c r="B29848" t="s">
        <v>47059</v>
      </c>
      <c r="C29848" t="s">
        <v>8468</v>
      </c>
      <c r="D29848" t="s">
        <v>283</v>
      </c>
      <c r="E29848" t="s">
        <v>144</v>
      </c>
      <c r="F29848" s="2" t="str">
        <f>HYPERLINK("http://www.otzar.org/book.asp?6328","ספר הכריתות &lt;תחלת חכמה&gt;")</f>
        <v>ספר הכריתות &lt;תחלת חכמה&gt;</v>
      </c>
    </row>
    <row r="29849" spans="1:6" x14ac:dyDescent="0.2">
      <c r="A29849" t="s">
        <v>47060</v>
      </c>
      <c r="B29849" t="s">
        <v>47061</v>
      </c>
      <c r="C29849" t="s">
        <v>306</v>
      </c>
      <c r="D29849" t="s">
        <v>15825</v>
      </c>
      <c r="E29849" t="s">
        <v>674</v>
      </c>
      <c r="F29849" s="2" t="str">
        <f>HYPERLINK("http://www.otzar.org/book.asp?103895","ספר הכריתות, ספר הברית")</f>
        <v>ספר הכריתות, ספר הברית</v>
      </c>
    </row>
    <row r="29850" spans="1:6" x14ac:dyDescent="0.2">
      <c r="A29850" t="s">
        <v>47062</v>
      </c>
      <c r="B29850" t="s">
        <v>9963</v>
      </c>
      <c r="C29850" t="s">
        <v>176</v>
      </c>
      <c r="D29850" t="s">
        <v>14</v>
      </c>
      <c r="E29850" t="s">
        <v>130</v>
      </c>
      <c r="F29850" s="2" t="str">
        <f>HYPERLINK("http://www.otzar.org/book.asp?161070","ספר הלולב הגדול למאירי - תלמיד הרמב""ן - רשב""ן")</f>
        <v>ספר הלולב הגדול למאירי - תלמיד הרמב"ן - רשב"ן</v>
      </c>
    </row>
    <row r="29851" spans="1:6" x14ac:dyDescent="0.2">
      <c r="A29851" t="s">
        <v>47063</v>
      </c>
      <c r="B29851" t="s">
        <v>11501</v>
      </c>
      <c r="C29851" t="s">
        <v>176</v>
      </c>
      <c r="D29851" t="s">
        <v>14</v>
      </c>
      <c r="E29851" t="s">
        <v>130</v>
      </c>
      <c r="F29851" s="2" t="str">
        <f>HYPERLINK("http://www.otzar.org/book.asp?161068","ספר הלולב הגדול לראב""ד")</f>
        <v>ספר הלולב הגדול לראב"ד</v>
      </c>
    </row>
    <row r="29852" spans="1:6" x14ac:dyDescent="0.2">
      <c r="A29852" t="s">
        <v>47064</v>
      </c>
      <c r="B29852" t="s">
        <v>25457</v>
      </c>
      <c r="C29852" t="s">
        <v>176</v>
      </c>
      <c r="D29852" t="s">
        <v>14</v>
      </c>
      <c r="E29852" t="s">
        <v>130</v>
      </c>
      <c r="F29852" s="2" t="str">
        <f>HYPERLINK("http://www.otzar.org/book.asp?161069","ספר הלולב הגדול לרמב""ן")</f>
        <v>ספר הלולב הגדול לרמב"ן</v>
      </c>
    </row>
    <row r="29853" spans="1:6" x14ac:dyDescent="0.2">
      <c r="A29853" t="s">
        <v>47065</v>
      </c>
      <c r="B29853" t="s">
        <v>34736</v>
      </c>
      <c r="C29853" t="s">
        <v>28306</v>
      </c>
      <c r="D29853" t="s">
        <v>27</v>
      </c>
      <c r="E29853" t="s">
        <v>64</v>
      </c>
      <c r="F29853" s="2" t="str">
        <f>HYPERLINK("http://www.otzar.org/book.asp?8725","ספר הליקוטים - 6 כר'")</f>
        <v>ספר הליקוטים - 6 כר'</v>
      </c>
    </row>
    <row r="29854" spans="1:6" x14ac:dyDescent="0.2">
      <c r="A29854" t="s">
        <v>47066</v>
      </c>
      <c r="B29854" t="s">
        <v>4211</v>
      </c>
      <c r="C29854" t="s">
        <v>624</v>
      </c>
      <c r="D29854" t="s">
        <v>14</v>
      </c>
      <c r="E29854" t="s">
        <v>399</v>
      </c>
      <c r="F29854" s="2" t="str">
        <f>HYPERLINK("http://www.otzar.org/book.asp?50098","ספר הליקוטים - 2 כר'")</f>
        <v>ספר הליקוטים - 2 כר'</v>
      </c>
    </row>
    <row r="29855" spans="1:6" x14ac:dyDescent="0.2">
      <c r="A29855" t="s">
        <v>47067</v>
      </c>
      <c r="B29855" t="s">
        <v>47068</v>
      </c>
      <c r="C29855" t="s">
        <v>17</v>
      </c>
      <c r="D29855" t="s">
        <v>412</v>
      </c>
      <c r="E29855" t="s">
        <v>140</v>
      </c>
      <c r="F29855" s="2" t="str">
        <f>HYPERLINK("http://www.otzar.org/book.asp?164984","ספר הליקוטים")</f>
        <v>ספר הליקוטים</v>
      </c>
    </row>
    <row r="29856" spans="1:6" x14ac:dyDescent="0.2">
      <c r="A29856" t="s">
        <v>47066</v>
      </c>
      <c r="B29856" t="s">
        <v>24828</v>
      </c>
      <c r="C29856" t="s">
        <v>71</v>
      </c>
      <c r="D29856" t="s">
        <v>27</v>
      </c>
      <c r="E29856" t="s">
        <v>399</v>
      </c>
      <c r="F29856" s="2" t="str">
        <f>HYPERLINK("http://www.otzar.org/book.asp?105209","ספר הליקוטים - 2 כר'")</f>
        <v>ספר הליקוטים - 2 כר'</v>
      </c>
    </row>
    <row r="29857" spans="1:6" x14ac:dyDescent="0.2">
      <c r="A29857" t="s">
        <v>47069</v>
      </c>
      <c r="B29857" t="s">
        <v>27784</v>
      </c>
      <c r="C29857" t="s">
        <v>68</v>
      </c>
      <c r="D29857" t="s">
        <v>52</v>
      </c>
      <c r="E29857" t="s">
        <v>15</v>
      </c>
      <c r="F29857" s="2" t="str">
        <f>HYPERLINK("http://www.otzar.org/book.asp?624896","ספר הלכה למעשה - ברכות הנהנין")</f>
        <v>ספר הלכה למעשה - ברכות הנהנין</v>
      </c>
    </row>
    <row r="29858" spans="1:6" x14ac:dyDescent="0.2">
      <c r="A29858" t="s">
        <v>47070</v>
      </c>
      <c r="B29858" t="s">
        <v>5846</v>
      </c>
      <c r="C29858" t="s">
        <v>624</v>
      </c>
      <c r="D29858" t="s">
        <v>216</v>
      </c>
      <c r="E29858" t="s">
        <v>15</v>
      </c>
      <c r="F29858" s="2" t="str">
        <f>HYPERLINK("http://www.otzar.org/book.asp?21873","ספר הלכה - 11 כר'")</f>
        <v>ספר הלכה - 11 כר'</v>
      </c>
    </row>
    <row r="29859" spans="1:6" x14ac:dyDescent="0.2">
      <c r="A29859" t="s">
        <v>47071</v>
      </c>
      <c r="B29859" t="s">
        <v>7913</v>
      </c>
      <c r="C29859" t="s">
        <v>1570</v>
      </c>
      <c r="D29859" t="s">
        <v>14</v>
      </c>
      <c r="E29859" t="s">
        <v>2248</v>
      </c>
      <c r="F29859" s="2" t="str">
        <f>HYPERLINK("http://www.otzar.org/book.asp?100514","ספר הלכות רבתי לרבינו יצחק אלפסי - 2 כר'")</f>
        <v>ספר הלכות רבתי לרבינו יצחק אלפסי - 2 כר'</v>
      </c>
    </row>
    <row r="29860" spans="1:6" x14ac:dyDescent="0.2">
      <c r="A29860" t="s">
        <v>47072</v>
      </c>
      <c r="B29860" t="s">
        <v>14827</v>
      </c>
      <c r="C29860" t="s">
        <v>1268</v>
      </c>
      <c r="D29860" t="s">
        <v>21</v>
      </c>
      <c r="F29860" s="2" t="str">
        <f>HYPERLINK("http://www.otzar.org/book.asp?197262","ספר הלכות - ב")</f>
        <v>ספר הלכות - ב</v>
      </c>
    </row>
    <row r="29861" spans="1:6" x14ac:dyDescent="0.2">
      <c r="A29861" t="s">
        <v>47073</v>
      </c>
      <c r="B29861" t="s">
        <v>1390</v>
      </c>
      <c r="C29861" t="s">
        <v>17</v>
      </c>
      <c r="D29861" t="s">
        <v>14</v>
      </c>
      <c r="E29861" t="s">
        <v>314</v>
      </c>
      <c r="F29861" s="2" t="str">
        <f>HYPERLINK("http://www.otzar.org/book.asp?148286","ספר הלשון לרמח""ל - לשון למודים, ספר המליצה, ספר ההגיון")</f>
        <v>ספר הלשון לרמח"ל - לשון למודים, ספר המליצה, ספר ההגיון</v>
      </c>
    </row>
    <row r="29862" spans="1:6" x14ac:dyDescent="0.2">
      <c r="A29862" t="s">
        <v>47074</v>
      </c>
      <c r="B29862" t="s">
        <v>14497</v>
      </c>
      <c r="C29862" t="s">
        <v>1160</v>
      </c>
      <c r="D29862" t="s">
        <v>14</v>
      </c>
      <c r="E29862" t="s">
        <v>47075</v>
      </c>
      <c r="F29862" s="2" t="str">
        <f>HYPERLINK("http://www.otzar.org/book.asp?9120","ספר המאור &lt;מאורות שלמה&gt;")</f>
        <v>ספר המאור &lt;מאורות שלמה&gt;</v>
      </c>
    </row>
    <row r="29863" spans="1:6" x14ac:dyDescent="0.2">
      <c r="A29863" t="s">
        <v>47076</v>
      </c>
      <c r="B29863" t="s">
        <v>47077</v>
      </c>
      <c r="C29863" t="s">
        <v>523</v>
      </c>
      <c r="D29863" t="s">
        <v>14</v>
      </c>
      <c r="E29863" t="s">
        <v>144</v>
      </c>
      <c r="F29863" s="2" t="str">
        <f>HYPERLINK("http://www.otzar.org/book.asp?63673","ספר המאור - 8 כר'")</f>
        <v>ספר המאור - 8 כר'</v>
      </c>
    </row>
    <row r="29864" spans="1:6" x14ac:dyDescent="0.2">
      <c r="A29864" t="s">
        <v>47078</v>
      </c>
      <c r="B29864" t="s">
        <v>47079</v>
      </c>
      <c r="C29864" t="s">
        <v>47080</v>
      </c>
      <c r="D29864" t="s">
        <v>216</v>
      </c>
      <c r="E29864" t="s">
        <v>84</v>
      </c>
      <c r="F29864" s="2" t="str">
        <f>HYPERLINK("http://www.otzar.org/book.asp?143532","ספר המאור - ב")</f>
        <v>ספר המאור - ב</v>
      </c>
    </row>
    <row r="29865" spans="1:6" x14ac:dyDescent="0.2">
      <c r="A29865" t="s">
        <v>47081</v>
      </c>
      <c r="B29865" t="s">
        <v>47082</v>
      </c>
      <c r="C29865" t="s">
        <v>180</v>
      </c>
      <c r="D29865" t="s">
        <v>412</v>
      </c>
      <c r="E29865" t="s">
        <v>803</v>
      </c>
      <c r="F29865" s="2" t="str">
        <f>HYPERLINK("http://www.otzar.org/book.asp?62326","ספר המאורות - 15 כר'")</f>
        <v>ספר המאורות - 15 כר'</v>
      </c>
    </row>
    <row r="29866" spans="1:6" x14ac:dyDescent="0.2">
      <c r="A29866" t="s">
        <v>47083</v>
      </c>
      <c r="B29866" t="s">
        <v>1390</v>
      </c>
      <c r="C29866" t="s">
        <v>985</v>
      </c>
      <c r="D29866" t="s">
        <v>27</v>
      </c>
      <c r="E29866" t="s">
        <v>1391</v>
      </c>
      <c r="F29866" s="2" t="str">
        <f>HYPERLINK("http://www.otzar.org/book.asp?103357","ספר המאמרים")</f>
        <v>ספר המאמרים</v>
      </c>
    </row>
    <row r="29867" spans="1:6" x14ac:dyDescent="0.2">
      <c r="A29867" t="s">
        <v>47084</v>
      </c>
      <c r="B29867" t="s">
        <v>29163</v>
      </c>
      <c r="C29867" t="s">
        <v>492</v>
      </c>
      <c r="D29867" t="s">
        <v>6214</v>
      </c>
      <c r="F29867" s="2" t="str">
        <f>HYPERLINK("http://www.otzar.org/book.asp?197612","ספר המבחן")</f>
        <v>ספר המבחן</v>
      </c>
    </row>
    <row r="29868" spans="1:6" x14ac:dyDescent="0.2">
      <c r="A29868" t="s">
        <v>47085</v>
      </c>
      <c r="B29868" t="s">
        <v>1457</v>
      </c>
      <c r="C29868" t="s">
        <v>47086</v>
      </c>
      <c r="D29868" t="s">
        <v>29553</v>
      </c>
      <c r="E29868" t="s">
        <v>213</v>
      </c>
      <c r="F29868" s="2" t="str">
        <f>HYPERLINK("http://www.otzar.org/book.asp?12195","ספר המבקש - 2 כר'")</f>
        <v>ספר המבקש - 2 כר'</v>
      </c>
    </row>
    <row r="29869" spans="1:6" x14ac:dyDescent="0.2">
      <c r="A29869" t="s">
        <v>47087</v>
      </c>
      <c r="B29869" t="s">
        <v>47088</v>
      </c>
      <c r="C29869" t="s">
        <v>21898</v>
      </c>
      <c r="D29869" t="s">
        <v>1023</v>
      </c>
      <c r="E29869" t="s">
        <v>158</v>
      </c>
      <c r="F29869" s="2" t="str">
        <f>HYPERLINK("http://www.otzar.org/book.asp?182152","ספר המגיד - 10 כר'")</f>
        <v>ספר המגיד - 10 כר'</v>
      </c>
    </row>
    <row r="29870" spans="1:6" x14ac:dyDescent="0.2">
      <c r="A29870" t="s">
        <v>47089</v>
      </c>
      <c r="B29870" t="s">
        <v>1361</v>
      </c>
      <c r="C29870" t="s">
        <v>775</v>
      </c>
      <c r="D29870" t="s">
        <v>646</v>
      </c>
      <c r="E29870" t="s">
        <v>158</v>
      </c>
      <c r="F29870" s="2" t="str">
        <f>HYPERLINK("http://www.otzar.org/book.asp?168266","ספר המגיד - 4 כר'")</f>
        <v>ספר המגיד - 4 כר'</v>
      </c>
    </row>
    <row r="29871" spans="1:6" x14ac:dyDescent="0.2">
      <c r="A29871" t="s">
        <v>47090</v>
      </c>
      <c r="B29871" t="s">
        <v>47091</v>
      </c>
      <c r="C29871" t="s">
        <v>1477</v>
      </c>
      <c r="D29871" t="s">
        <v>14445</v>
      </c>
      <c r="F29871" s="2" t="str">
        <f>HYPERLINK("http://www.otzar.org/book.asp?164807","ספר המדות &lt;הוא ארחות צדיקים&gt;")</f>
        <v>ספר המדות &lt;הוא ארחות צדיקים&gt;</v>
      </c>
    </row>
    <row r="29872" spans="1:6" x14ac:dyDescent="0.2">
      <c r="A29872" t="s">
        <v>47092</v>
      </c>
      <c r="B29872" t="s">
        <v>3614</v>
      </c>
      <c r="C29872" t="s">
        <v>87</v>
      </c>
      <c r="D29872" t="s">
        <v>14</v>
      </c>
      <c r="E29872" t="s">
        <v>703</v>
      </c>
      <c r="F29872" s="2" t="str">
        <f>HYPERLINK("http://www.otzar.org/book.asp?60798","ספר המדות &lt;המנוקד&gt;")</f>
        <v>ספר המדות &lt;המנוקד&gt;</v>
      </c>
    </row>
    <row r="29873" spans="1:6" x14ac:dyDescent="0.2">
      <c r="A29873" t="s">
        <v>47093</v>
      </c>
      <c r="B29873" t="s">
        <v>3614</v>
      </c>
      <c r="C29873" t="s">
        <v>13</v>
      </c>
      <c r="D29873" t="s">
        <v>14</v>
      </c>
      <c r="E29873" t="s">
        <v>140</v>
      </c>
      <c r="F29873" s="2" t="str">
        <f>HYPERLINK("http://www.otzar.org/book.asp?142501","ספר המדות &lt;טקסט&gt;")</f>
        <v>ספר המדות &lt;טקסט&gt;</v>
      </c>
    </row>
    <row r="29874" spans="1:6" x14ac:dyDescent="0.2">
      <c r="A29874" t="s">
        <v>47094</v>
      </c>
      <c r="B29874" t="s">
        <v>3614</v>
      </c>
      <c r="C29874" t="s">
        <v>20</v>
      </c>
      <c r="D29874" t="s">
        <v>14</v>
      </c>
      <c r="E29874" t="s">
        <v>140</v>
      </c>
      <c r="F29874" s="2" t="str">
        <f>HYPERLINK("http://www.otzar.org/book.asp?178918","ספר המדות &lt;משך הנחל&gt;")</f>
        <v>ספר המדות &lt;משך הנחל&gt;</v>
      </c>
    </row>
    <row r="29875" spans="1:6" x14ac:dyDescent="0.2">
      <c r="A29875" t="s">
        <v>47095</v>
      </c>
      <c r="B29875" t="s">
        <v>3614</v>
      </c>
      <c r="C29875" t="s">
        <v>143</v>
      </c>
      <c r="D29875" t="s">
        <v>14</v>
      </c>
      <c r="E29875" t="s">
        <v>140</v>
      </c>
      <c r="F29875" s="2" t="str">
        <f>HYPERLINK("http://www.otzar.org/book.asp?154147","ספר המדות &lt;עם מראה מקומות&gt;")</f>
        <v>ספר המדות &lt;עם מראה מקומות&gt;</v>
      </c>
    </row>
    <row r="29876" spans="1:6" x14ac:dyDescent="0.2">
      <c r="A29876" t="s">
        <v>47096</v>
      </c>
      <c r="B29876" t="s">
        <v>9963</v>
      </c>
      <c r="C29876" t="s">
        <v>1160</v>
      </c>
      <c r="D29876" t="s">
        <v>14</v>
      </c>
      <c r="E29876" t="s">
        <v>241</v>
      </c>
      <c r="F29876" s="2" t="str">
        <f>HYPERLINK("http://www.otzar.org/book.asp?149175","ספר המדות להמאירי")</f>
        <v>ספר המדות להמאירי</v>
      </c>
    </row>
    <row r="29877" spans="1:6" x14ac:dyDescent="0.2">
      <c r="A29877" t="s">
        <v>47097</v>
      </c>
      <c r="B29877" t="s">
        <v>3614</v>
      </c>
      <c r="C29877" t="s">
        <v>20</v>
      </c>
      <c r="D29877" t="s">
        <v>14</v>
      </c>
      <c r="E29877" t="s">
        <v>140</v>
      </c>
      <c r="F29877" s="2" t="str">
        <f>HYPERLINK("http://www.otzar.org/book.asp?179186","ספר המדות - 5 כר'")</f>
        <v>ספר המדות - 5 כר'</v>
      </c>
    </row>
    <row r="29878" spans="1:6" x14ac:dyDescent="0.2">
      <c r="A29878" t="s">
        <v>47098</v>
      </c>
      <c r="B29878" t="s">
        <v>2220</v>
      </c>
      <c r="C29878" t="s">
        <v>523</v>
      </c>
      <c r="D29878" t="s">
        <v>14</v>
      </c>
      <c r="E29878" t="s">
        <v>241</v>
      </c>
      <c r="F29878" s="2" t="str">
        <f>HYPERLINK("http://www.otzar.org/book.asp?62013","ספר המדות - 3 כר'")</f>
        <v>ספר המדות - 3 כר'</v>
      </c>
    </row>
    <row r="29879" spans="1:6" x14ac:dyDescent="0.2">
      <c r="A29879" t="s">
        <v>47099</v>
      </c>
      <c r="B29879" t="s">
        <v>2232</v>
      </c>
      <c r="C29879" t="s">
        <v>1169</v>
      </c>
      <c r="D29879" t="s">
        <v>1654</v>
      </c>
      <c r="E29879" t="s">
        <v>241</v>
      </c>
      <c r="F29879" s="2" t="str">
        <f>HYPERLINK("http://www.otzar.org/book.asp?623444","ספר המדות - 2 כר'")</f>
        <v>ספר המדות - 2 כר'</v>
      </c>
    </row>
    <row r="29880" spans="1:6" x14ac:dyDescent="0.2">
      <c r="A29880" t="s">
        <v>47100</v>
      </c>
      <c r="B29880" t="s">
        <v>1990</v>
      </c>
      <c r="C29880" t="s">
        <v>47101</v>
      </c>
      <c r="D29880" t="s">
        <v>1576</v>
      </c>
      <c r="F29880" s="2" t="str">
        <f>HYPERLINK("http://www.otzar.org/book.asp?620906","ספר המדע - 2 כר'")</f>
        <v>ספר המדע - 2 כר'</v>
      </c>
    </row>
    <row r="29881" spans="1:6" x14ac:dyDescent="0.2">
      <c r="A29881" t="s">
        <v>47102</v>
      </c>
      <c r="B29881" t="s">
        <v>47103</v>
      </c>
      <c r="C29881" t="s">
        <v>1246</v>
      </c>
      <c r="D29881" t="s">
        <v>216</v>
      </c>
      <c r="F29881" s="2" t="str">
        <f>HYPERLINK("http://www.otzar.org/book.asp?621091","ספר המדריך")</f>
        <v>ספר המדריך</v>
      </c>
    </row>
    <row r="29882" spans="1:6" x14ac:dyDescent="0.2">
      <c r="A29882" t="s">
        <v>47104</v>
      </c>
      <c r="B29882" t="s">
        <v>47105</v>
      </c>
      <c r="C29882" t="s">
        <v>47106</v>
      </c>
      <c r="D29882" t="s">
        <v>535</v>
      </c>
      <c r="E29882" t="s">
        <v>234</v>
      </c>
      <c r="F29882" s="2" t="str">
        <f>HYPERLINK("http://www.otzar.org/book.asp?105452","ספר המו""ד - 5 כר'")</f>
        <v>ספר המו"ד - 5 כר'</v>
      </c>
    </row>
    <row r="29883" spans="1:6" x14ac:dyDescent="0.2">
      <c r="A29883" t="s">
        <v>47107</v>
      </c>
      <c r="B29883" t="s">
        <v>47108</v>
      </c>
      <c r="C29883" t="s">
        <v>13</v>
      </c>
      <c r="D29883" t="s">
        <v>52</v>
      </c>
      <c r="E29883" t="s">
        <v>1626</v>
      </c>
      <c r="F29883" s="2" t="str">
        <f>HYPERLINK("http://www.otzar.org/book.asp?83781","ספר המוסר &lt;השירה והפיוט&gt;")</f>
        <v>ספר המוסר &lt;השירה והפיוט&gt;</v>
      </c>
    </row>
    <row r="29884" spans="1:6" x14ac:dyDescent="0.2">
      <c r="A29884" t="s">
        <v>47109</v>
      </c>
      <c r="B29884" t="s">
        <v>47110</v>
      </c>
      <c r="C29884" t="s">
        <v>332</v>
      </c>
      <c r="D29884" t="s">
        <v>52</v>
      </c>
      <c r="E29884" t="s">
        <v>241</v>
      </c>
      <c r="F29884" s="2" t="str">
        <f>HYPERLINK("http://www.otzar.org/book.asp?623430","ספר המוסר &lt;הנהגות ישרות&gt;")</f>
        <v>ספר המוסר &lt;הנהגות ישרות&gt;</v>
      </c>
    </row>
    <row r="29885" spans="1:6" x14ac:dyDescent="0.2">
      <c r="A29885" t="s">
        <v>47111</v>
      </c>
      <c r="B29885" t="s">
        <v>41870</v>
      </c>
      <c r="C29885" t="s">
        <v>1425</v>
      </c>
      <c r="D29885" t="s">
        <v>2038</v>
      </c>
      <c r="F29885" s="2" t="str">
        <f>HYPERLINK("http://www.otzar.org/book.asp?611755","ספר המוסר - 4 כר'")</f>
        <v>ספר המוסר - 4 כר'</v>
      </c>
    </row>
    <row r="29886" spans="1:6" x14ac:dyDescent="0.2">
      <c r="A29886" t="s">
        <v>47112</v>
      </c>
      <c r="B29886" t="s">
        <v>8129</v>
      </c>
      <c r="C29886" t="s">
        <v>553</v>
      </c>
      <c r="D29886" t="s">
        <v>646</v>
      </c>
      <c r="E29886" t="s">
        <v>246</v>
      </c>
      <c r="F29886" s="2" t="str">
        <f>HYPERLINK("http://www.otzar.org/book.asp?161195","ספר המועדים")</f>
        <v>ספר המועדים</v>
      </c>
    </row>
    <row r="29887" spans="1:6" x14ac:dyDescent="0.2">
      <c r="A29887" t="s">
        <v>47113</v>
      </c>
      <c r="B29887" t="s">
        <v>47114</v>
      </c>
      <c r="C29887" t="s">
        <v>411</v>
      </c>
      <c r="D29887" t="s">
        <v>52</v>
      </c>
      <c r="E29887" t="s">
        <v>15</v>
      </c>
      <c r="F29887" s="2" t="str">
        <f>HYPERLINK("http://www.otzar.org/book.asp?169309","ספר המחלוקות - 4 כר'")</f>
        <v>ספר המחלוקות - 4 כר'</v>
      </c>
    </row>
    <row r="29888" spans="1:6" x14ac:dyDescent="0.2">
      <c r="A29888" t="s">
        <v>47115</v>
      </c>
      <c r="B29888" t="s">
        <v>4829</v>
      </c>
      <c r="C29888" t="s">
        <v>454</v>
      </c>
      <c r="D29888" t="s">
        <v>14</v>
      </c>
      <c r="E29888" t="s">
        <v>104</v>
      </c>
      <c r="F29888" s="2" t="str">
        <f>HYPERLINK("http://www.otzar.org/book.asp?163282","ספר המחנך")</f>
        <v>ספר המחנך</v>
      </c>
    </row>
    <row r="29889" spans="1:6" x14ac:dyDescent="0.2">
      <c r="A29889" t="s">
        <v>47116</v>
      </c>
      <c r="B29889" t="s">
        <v>26648</v>
      </c>
      <c r="C29889" t="s">
        <v>812</v>
      </c>
      <c r="D29889" t="s">
        <v>17587</v>
      </c>
      <c r="E29889" t="s">
        <v>4940</v>
      </c>
      <c r="F29889" s="2" t="str">
        <f>HYPERLINK("http://www.otzar.org/book.asp?102228","ספר המילואים לספר כלי חמדה")</f>
        <v>ספר המילואים לספר כלי חמדה</v>
      </c>
    </row>
    <row r="29890" spans="1:6" x14ac:dyDescent="0.2">
      <c r="A29890" t="s">
        <v>47117</v>
      </c>
      <c r="B29890" t="s">
        <v>47118</v>
      </c>
      <c r="C29890" t="s">
        <v>624</v>
      </c>
      <c r="D29890" t="s">
        <v>14</v>
      </c>
      <c r="E29890" t="s">
        <v>15</v>
      </c>
      <c r="F29890" s="2" t="str">
        <f>HYPERLINK("http://www.otzar.org/book.asp?83724","ספר המכריע &lt;מהדורת ורטהימר&gt;")</f>
        <v>ספר המכריע &lt;מהדורת ורטהימר&gt;</v>
      </c>
    </row>
    <row r="29891" spans="1:6" x14ac:dyDescent="0.2">
      <c r="A29891" t="s">
        <v>47119</v>
      </c>
      <c r="B29891" t="s">
        <v>47118</v>
      </c>
      <c r="C29891" t="s">
        <v>748</v>
      </c>
      <c r="D29891" t="s">
        <v>726</v>
      </c>
      <c r="E29891" t="s">
        <v>15</v>
      </c>
      <c r="F29891" s="2" t="str">
        <f>HYPERLINK("http://www.otzar.org/book.asp?19293","ספר המכריע - 3 כר'")</f>
        <v>ספר המכריע - 3 כר'</v>
      </c>
    </row>
    <row r="29892" spans="1:6" x14ac:dyDescent="0.2">
      <c r="A29892" t="s">
        <v>47120</v>
      </c>
      <c r="B29892" t="s">
        <v>481</v>
      </c>
      <c r="C29892" t="s">
        <v>332</v>
      </c>
      <c r="D29892" t="s">
        <v>52</v>
      </c>
      <c r="E29892" t="s">
        <v>241</v>
      </c>
      <c r="F29892" s="2" t="str">
        <f>HYPERLINK("http://www.otzar.org/book.asp?154802","ספר המכתבים &lt;אגרת הזאת&gt;")</f>
        <v>ספר המכתבים &lt;אגרת הזאת&gt;</v>
      </c>
    </row>
    <row r="29893" spans="1:6" x14ac:dyDescent="0.2">
      <c r="A29893" t="s">
        <v>47121</v>
      </c>
      <c r="B29893" t="s">
        <v>47122</v>
      </c>
      <c r="C29893" t="s">
        <v>20</v>
      </c>
      <c r="D29893" t="s">
        <v>21</v>
      </c>
      <c r="E29893" t="s">
        <v>674</v>
      </c>
      <c r="F29893" s="2" t="str">
        <f>HYPERLINK("http://www.otzar.org/book.asp?605670","ספר המכתבים תשובה מאהבה")</f>
        <v>ספר המכתבים תשובה מאהבה</v>
      </c>
    </row>
    <row r="29894" spans="1:6" x14ac:dyDescent="0.2">
      <c r="A29894" t="s">
        <v>47123</v>
      </c>
      <c r="B29894" t="s">
        <v>47124</v>
      </c>
      <c r="C29894" t="s">
        <v>334</v>
      </c>
      <c r="D29894" t="s">
        <v>52</v>
      </c>
      <c r="E29894" t="s">
        <v>119</v>
      </c>
      <c r="F29894" s="2" t="str">
        <f>HYPERLINK("http://www.otzar.org/book.asp?106795","ספר המלבי""ם")</f>
        <v>ספר המלבי"ם</v>
      </c>
    </row>
    <row r="29895" spans="1:6" x14ac:dyDescent="0.2">
      <c r="A29895" t="s">
        <v>47125</v>
      </c>
      <c r="B29895" t="s">
        <v>47126</v>
      </c>
      <c r="C29895" t="s">
        <v>2076</v>
      </c>
      <c r="D29895" t="s">
        <v>283</v>
      </c>
      <c r="E29895" t="s">
        <v>104</v>
      </c>
      <c r="F29895" s="2" t="str">
        <f>HYPERLINK("http://www.otzar.org/book.asp?6088","ספר המלים &lt;קונקורדנציה&gt;")</f>
        <v>ספר המלים &lt;קונקורדנציה&gt;</v>
      </c>
    </row>
    <row r="29896" spans="1:6" x14ac:dyDescent="0.2">
      <c r="A29896" t="s">
        <v>47127</v>
      </c>
      <c r="B29896" t="s">
        <v>1390</v>
      </c>
      <c r="C29896" t="s">
        <v>17</v>
      </c>
      <c r="D29896" t="s">
        <v>14</v>
      </c>
      <c r="E29896" t="s">
        <v>104</v>
      </c>
      <c r="F29896" s="2" t="str">
        <f>HYPERLINK("http://www.otzar.org/book.asp?6046","ספר המליצה - 2 כר'")</f>
        <v>ספר המליצה - 2 כר'</v>
      </c>
    </row>
    <row r="29897" spans="1:6" x14ac:dyDescent="0.2">
      <c r="A29897" t="s">
        <v>47128</v>
      </c>
      <c r="B29897" t="s">
        <v>47129</v>
      </c>
      <c r="C29897" t="s">
        <v>6054</v>
      </c>
      <c r="D29897" t="s">
        <v>6974</v>
      </c>
      <c r="E29897" t="s">
        <v>15</v>
      </c>
      <c r="F29897" s="2" t="str">
        <f>HYPERLINK("http://www.otzar.org/book.asp?148840","ספר המלכות &lt;ואינו&gt;")</f>
        <v>ספר המלכות &lt;ואינו&gt;</v>
      </c>
    </row>
    <row r="29898" spans="1:6" x14ac:dyDescent="0.2">
      <c r="A29898" t="s">
        <v>47130</v>
      </c>
      <c r="B29898" t="s">
        <v>47129</v>
      </c>
      <c r="C29898" t="s">
        <v>13</v>
      </c>
      <c r="D29898" t="s">
        <v>14</v>
      </c>
      <c r="E29898" t="s">
        <v>314</v>
      </c>
      <c r="F29898" s="2" t="str">
        <f>HYPERLINK("http://www.otzar.org/book.asp?195022","ספר המלכות &lt;מהדורת אלנקוה&gt;")</f>
        <v>ספר המלכות &lt;מהדורת אלנקוה&gt;</v>
      </c>
    </row>
    <row r="29899" spans="1:6" x14ac:dyDescent="0.2">
      <c r="A29899" t="s">
        <v>47131</v>
      </c>
      <c r="B29899" t="s">
        <v>3306</v>
      </c>
      <c r="C29899" t="s">
        <v>51</v>
      </c>
      <c r="D29899" t="s">
        <v>14</v>
      </c>
      <c r="E29899" t="s">
        <v>399</v>
      </c>
      <c r="F29899" s="2" t="str">
        <f>HYPERLINK("http://www.otzar.org/book.asp?148996","ספר המלמד")</f>
        <v>ספר המלמד</v>
      </c>
    </row>
    <row r="29900" spans="1:6" x14ac:dyDescent="0.2">
      <c r="A29900" t="s">
        <v>47132</v>
      </c>
      <c r="B29900" t="s">
        <v>38292</v>
      </c>
      <c r="C29900" t="s">
        <v>20</v>
      </c>
      <c r="D29900" t="s">
        <v>90</v>
      </c>
      <c r="E29900" t="s">
        <v>15</v>
      </c>
      <c r="F29900" s="2" t="str">
        <f>HYPERLINK("http://www.otzar.org/book.asp?28323","ספר המנהגים עם ביאור ליקוטי אמרים")</f>
        <v>ספר המנהגים עם ביאור ליקוטי אמרים</v>
      </c>
    </row>
    <row r="29901" spans="1:6" x14ac:dyDescent="0.2">
      <c r="A29901" t="s">
        <v>47133</v>
      </c>
      <c r="B29901" t="s">
        <v>38292</v>
      </c>
      <c r="C29901" t="s">
        <v>1047</v>
      </c>
      <c r="D29901" t="s">
        <v>283</v>
      </c>
      <c r="E29901" t="s">
        <v>714</v>
      </c>
      <c r="F29901" s="2" t="str">
        <f>HYPERLINK("http://www.otzar.org/book.asp?103876","ספר המנהגים - 4 כר'")</f>
        <v>ספר המנהגים - 4 כר'</v>
      </c>
    </row>
    <row r="29902" spans="1:6" x14ac:dyDescent="0.2">
      <c r="A29902" t="s">
        <v>47134</v>
      </c>
      <c r="B29902" t="s">
        <v>47135</v>
      </c>
      <c r="C29902" t="s">
        <v>9310</v>
      </c>
      <c r="D29902" t="s">
        <v>1490</v>
      </c>
      <c r="E29902" t="s">
        <v>15</v>
      </c>
      <c r="F29902" s="2" t="str">
        <f>HYPERLINK("http://www.otzar.org/book.asp?103881","ספר המנהיג - 3 כר'")</f>
        <v>ספר המנהיג - 3 כר'</v>
      </c>
    </row>
    <row r="29903" spans="1:6" x14ac:dyDescent="0.2">
      <c r="A29903" t="s">
        <v>47136</v>
      </c>
      <c r="B29903" t="s">
        <v>47137</v>
      </c>
      <c r="C29903" t="s">
        <v>1177</v>
      </c>
      <c r="D29903" t="s">
        <v>1422</v>
      </c>
      <c r="E29903" t="s">
        <v>803</v>
      </c>
      <c r="F29903" s="2" t="str">
        <f>HYPERLINK("http://www.otzar.org/book.asp?101072","ספר המנוחה &lt;בית מנוחה&gt;")</f>
        <v>ספר המנוחה &lt;בית מנוחה&gt;</v>
      </c>
    </row>
    <row r="29904" spans="1:6" x14ac:dyDescent="0.2">
      <c r="A29904" t="s">
        <v>47138</v>
      </c>
      <c r="B29904" t="s">
        <v>47139</v>
      </c>
      <c r="C29904" t="s">
        <v>1954</v>
      </c>
      <c r="D29904" t="s">
        <v>216</v>
      </c>
      <c r="E29904" t="s">
        <v>15</v>
      </c>
      <c r="F29904" s="2" t="str">
        <f>HYPERLINK("http://www.otzar.org/book.asp?158149","ספר המנוחה - 3 כר'")</f>
        <v>ספר המנוחה - 3 כר'</v>
      </c>
    </row>
    <row r="29905" spans="1:6" x14ac:dyDescent="0.2">
      <c r="A29905" t="s">
        <v>47140</v>
      </c>
      <c r="B29905" t="s">
        <v>34600</v>
      </c>
      <c r="C29905" t="s">
        <v>503</v>
      </c>
      <c r="D29905" t="s">
        <v>283</v>
      </c>
      <c r="E29905" t="s">
        <v>104</v>
      </c>
      <c r="F29905" s="2" t="str">
        <f>HYPERLINK("http://www.otzar.org/book.asp?179909","ספר המסע לארץ הקדושה")</f>
        <v>ספר המסע לארץ הקדושה</v>
      </c>
    </row>
    <row r="29906" spans="1:6" x14ac:dyDescent="0.2">
      <c r="A29906" t="s">
        <v>47141</v>
      </c>
      <c r="B29906" t="s">
        <v>47142</v>
      </c>
      <c r="C29906" t="s">
        <v>503</v>
      </c>
      <c r="D29906" t="s">
        <v>5615</v>
      </c>
      <c r="E29906" t="s">
        <v>104</v>
      </c>
      <c r="F29906" s="2" t="str">
        <f>HYPERLINK("http://www.otzar.org/book.asp?148675","ספר המסעות")</f>
        <v>ספר המסעות</v>
      </c>
    </row>
    <row r="29907" spans="1:6" x14ac:dyDescent="0.2">
      <c r="A29907" t="s">
        <v>47143</v>
      </c>
      <c r="B29907" t="s">
        <v>531</v>
      </c>
      <c r="C29907" t="s">
        <v>1437</v>
      </c>
      <c r="D29907" t="s">
        <v>322</v>
      </c>
      <c r="E29907" t="s">
        <v>104</v>
      </c>
      <c r="F29907" s="2" t="str">
        <f>HYPERLINK("http://www.otzar.org/book.asp?13098","ספר המספר")</f>
        <v>ספר המספר</v>
      </c>
    </row>
    <row r="29908" spans="1:6" x14ac:dyDescent="0.2">
      <c r="A29908" t="s">
        <v>47143</v>
      </c>
      <c r="B29908" t="s">
        <v>5658</v>
      </c>
      <c r="C29908" t="s">
        <v>47144</v>
      </c>
      <c r="D29908" t="s">
        <v>1490</v>
      </c>
      <c r="E29908" t="s">
        <v>104</v>
      </c>
      <c r="F29908" s="2" t="str">
        <f>HYPERLINK("http://www.otzar.org/book.asp?146945","ספר המספר")</f>
        <v>ספר המספר</v>
      </c>
    </row>
    <row r="29909" spans="1:6" x14ac:dyDescent="0.2">
      <c r="A29909" t="s">
        <v>47145</v>
      </c>
      <c r="B29909" t="s">
        <v>47146</v>
      </c>
      <c r="C29909" t="s">
        <v>1609</v>
      </c>
      <c r="D29909" t="s">
        <v>15715</v>
      </c>
      <c r="F29909" s="2" t="str">
        <f>HYPERLINK("http://www.otzar.org/book.asp?198471","ספר המספרים")</f>
        <v>ספר המספרים</v>
      </c>
    </row>
    <row r="29910" spans="1:6" x14ac:dyDescent="0.2">
      <c r="A29910" t="s">
        <v>47147</v>
      </c>
      <c r="B29910" t="s">
        <v>1457</v>
      </c>
      <c r="C29910" t="s">
        <v>1706</v>
      </c>
      <c r="D29910" t="s">
        <v>280</v>
      </c>
      <c r="E29910" t="s">
        <v>6305</v>
      </c>
      <c r="F29910" s="2" t="str">
        <f>HYPERLINK("http://www.otzar.org/book.asp?12193","ספר המעלות")</f>
        <v>ספר המעלות</v>
      </c>
    </row>
    <row r="29911" spans="1:6" x14ac:dyDescent="0.2">
      <c r="A29911" t="s">
        <v>47148</v>
      </c>
      <c r="B29911" t="s">
        <v>47148</v>
      </c>
      <c r="C29911" t="s">
        <v>581</v>
      </c>
      <c r="D29911" t="s">
        <v>1037</v>
      </c>
      <c r="E29911" t="s">
        <v>104</v>
      </c>
      <c r="F29911" s="2" t="str">
        <f>HYPERLINK("http://www.otzar.org/book.asp?200062","ספר המעשיות")</f>
        <v>ספר המעשיות</v>
      </c>
    </row>
    <row r="29912" spans="1:6" x14ac:dyDescent="0.2">
      <c r="A29912" t="s">
        <v>47149</v>
      </c>
      <c r="B29912" t="s">
        <v>47150</v>
      </c>
      <c r="C29912" t="s">
        <v>68</v>
      </c>
      <c r="D29912" t="s">
        <v>118</v>
      </c>
      <c r="E29912" t="s">
        <v>104</v>
      </c>
      <c r="F29912" s="2" t="str">
        <f>HYPERLINK("http://www.otzar.org/book.asp?158123","ספר המעשים - 2 כר'")</f>
        <v>ספר המעשים - 2 כר'</v>
      </c>
    </row>
    <row r="29913" spans="1:6" x14ac:dyDescent="0.2">
      <c r="A29913" t="s">
        <v>47151</v>
      </c>
      <c r="B29913" t="s">
        <v>47152</v>
      </c>
      <c r="C29913" t="s">
        <v>3739</v>
      </c>
      <c r="D29913" t="s">
        <v>1023</v>
      </c>
      <c r="E29913" t="s">
        <v>399</v>
      </c>
      <c r="F29913" s="2" t="str">
        <f>HYPERLINK("http://www.otzar.org/book.asp?21932","ספר המפואר - 2 כר'")</f>
        <v>ספר המפואר - 2 כר'</v>
      </c>
    </row>
    <row r="29914" spans="1:6" x14ac:dyDescent="0.2">
      <c r="A29914" t="s">
        <v>47153</v>
      </c>
      <c r="B29914" t="s">
        <v>27211</v>
      </c>
      <c r="C29914" t="s">
        <v>785</v>
      </c>
      <c r="D29914" t="s">
        <v>14</v>
      </c>
      <c r="E29914" t="s">
        <v>104</v>
      </c>
      <c r="F29914" s="2" t="str">
        <f>HYPERLINK("http://www.otzar.org/book.asp?153516","ספר המפתחות")</f>
        <v>ספר המפתחות</v>
      </c>
    </row>
    <row r="29915" spans="1:6" x14ac:dyDescent="0.2">
      <c r="A29915" t="s">
        <v>47154</v>
      </c>
      <c r="B29915" t="s">
        <v>1320</v>
      </c>
      <c r="C29915" t="s">
        <v>1568</v>
      </c>
      <c r="D29915" t="s">
        <v>1490</v>
      </c>
      <c r="E29915" t="s">
        <v>674</v>
      </c>
      <c r="F29915" s="2" t="str">
        <f>HYPERLINK("http://www.otzar.org/book.asp?53508","ספר המצוות &lt;קושטא ר""ע&gt;")</f>
        <v>ספר המצוות &lt;קושטא ר"ע&gt;</v>
      </c>
    </row>
    <row r="29916" spans="1:6" x14ac:dyDescent="0.2">
      <c r="A29916" t="s">
        <v>47155</v>
      </c>
      <c r="B29916" t="s">
        <v>47156</v>
      </c>
      <c r="C29916" t="s">
        <v>129</v>
      </c>
      <c r="D29916" t="s">
        <v>657</v>
      </c>
      <c r="E29916" t="s">
        <v>15</v>
      </c>
      <c r="F29916" s="2" t="str">
        <f>HYPERLINK("http://www.otzar.org/book.asp?150947","ספר המצוות לרמב""ם עם ביאור בקוראי שמו - עשים, שרשים")</f>
        <v>ספר המצוות לרמב"ם עם ביאור בקוראי שמו - עשים, שרשים</v>
      </c>
    </row>
    <row r="29917" spans="1:6" x14ac:dyDescent="0.2">
      <c r="A29917" t="s">
        <v>47157</v>
      </c>
      <c r="B29917" t="s">
        <v>47158</v>
      </c>
      <c r="C29917" t="s">
        <v>1535</v>
      </c>
      <c r="D29917" t="s">
        <v>27</v>
      </c>
      <c r="E29917" t="s">
        <v>674</v>
      </c>
      <c r="F29917" s="2" t="str">
        <f>HYPERLINK("http://www.otzar.org/book.asp?19074","ספר המצות &lt;יד הלוי - מגילת אסתר&gt; - א")</f>
        <v>ספר המצות &lt;יד הלוי - מגילת אסתר&gt; - א</v>
      </c>
    </row>
    <row r="29918" spans="1:6" x14ac:dyDescent="0.2">
      <c r="A29918" t="s">
        <v>47159</v>
      </c>
      <c r="B29918" t="s">
        <v>47158</v>
      </c>
      <c r="C29918" t="s">
        <v>8</v>
      </c>
      <c r="D29918" t="s">
        <v>27</v>
      </c>
      <c r="E29918" t="s">
        <v>674</v>
      </c>
      <c r="F29918" s="2" t="str">
        <f>HYPERLINK("http://www.otzar.org/book.asp?157074","ספר המצות &lt;יד הלוי&gt;")</f>
        <v>ספר המצות &lt;יד הלוי&gt;</v>
      </c>
    </row>
    <row r="29919" spans="1:6" x14ac:dyDescent="0.2">
      <c r="A29919" t="s">
        <v>47160</v>
      </c>
      <c r="B29919" t="s">
        <v>1320</v>
      </c>
      <c r="C29919" t="s">
        <v>2076</v>
      </c>
      <c r="D29919" t="s">
        <v>283</v>
      </c>
      <c r="E29919" t="s">
        <v>674</v>
      </c>
      <c r="F29919" s="2" t="str">
        <f>HYPERLINK("http://www.otzar.org/book.asp?8933","ספר המצות &lt;ז' פירושים&gt;")</f>
        <v>ספר המצות &lt;ז' פירושים&gt;</v>
      </c>
    </row>
    <row r="29920" spans="1:6" x14ac:dyDescent="0.2">
      <c r="A29920" t="s">
        <v>47161</v>
      </c>
      <c r="B29920" t="s">
        <v>1320</v>
      </c>
      <c r="C29920" t="s">
        <v>594</v>
      </c>
      <c r="D29920" t="s">
        <v>283</v>
      </c>
      <c r="E29920" t="s">
        <v>674</v>
      </c>
      <c r="F29920" s="2" t="str">
        <f>HYPERLINK("http://www.otzar.org/book.asp?101153","ספר המצות &lt;חידושי מהרד""ם&gt;")</f>
        <v>ספר המצות &lt;חידושי מהרד"ם&gt;</v>
      </c>
    </row>
    <row r="29921" spans="1:6" x14ac:dyDescent="0.2">
      <c r="A29921" t="s">
        <v>47162</v>
      </c>
      <c r="B29921" t="s">
        <v>1320</v>
      </c>
      <c r="C29921" t="s">
        <v>473</v>
      </c>
      <c r="D29921" t="s">
        <v>225</v>
      </c>
      <c r="E29921" t="s">
        <v>674</v>
      </c>
      <c r="F29921" s="2" t="str">
        <f>HYPERLINK("http://www.otzar.org/book.asp?101156","ספר המצות &lt;תוצאות חיים&gt;")</f>
        <v>ספר המצות &lt;תוצאות חיים&gt;</v>
      </c>
    </row>
    <row r="29922" spans="1:6" x14ac:dyDescent="0.2">
      <c r="A29922" t="s">
        <v>47163</v>
      </c>
      <c r="B29922" t="s">
        <v>47164</v>
      </c>
      <c r="C29922" t="s">
        <v>71</v>
      </c>
      <c r="D29922" t="s">
        <v>412</v>
      </c>
      <c r="E29922" t="s">
        <v>15</v>
      </c>
      <c r="F29922" s="2" t="str">
        <f>HYPERLINK("http://www.otzar.org/book.asp?159460","ספר המצות הקצר לנשים")</f>
        <v>ספר המצות הקצר לנשים</v>
      </c>
    </row>
    <row r="29923" spans="1:6" x14ac:dyDescent="0.2">
      <c r="A29923" t="s">
        <v>47165</v>
      </c>
      <c r="B29923" t="s">
        <v>47166</v>
      </c>
      <c r="C29923" t="s">
        <v>940</v>
      </c>
      <c r="D29923" t="s">
        <v>14</v>
      </c>
      <c r="E29923" t="s">
        <v>15</v>
      </c>
      <c r="F29923" s="2" t="str">
        <f>HYPERLINK("http://www.otzar.org/book.asp?163561","ספר המצות הקצר עם הערות וציונים")</f>
        <v>ספר המצות הקצר עם הערות וציונים</v>
      </c>
    </row>
    <row r="29924" spans="1:6" x14ac:dyDescent="0.2">
      <c r="A29924" t="s">
        <v>47167</v>
      </c>
      <c r="B29924" t="s">
        <v>1978</v>
      </c>
      <c r="C29924" t="s">
        <v>63</v>
      </c>
      <c r="D29924" t="s">
        <v>14</v>
      </c>
      <c r="E29924" t="s">
        <v>104</v>
      </c>
      <c r="F29924" s="2" t="str">
        <f>HYPERLINK("http://www.otzar.org/book.asp?5120","ספר המצות הקצר - 2 כר'")</f>
        <v>ספר המצות הקצר - 2 כר'</v>
      </c>
    </row>
    <row r="29925" spans="1:6" x14ac:dyDescent="0.2">
      <c r="A29925" t="s">
        <v>47168</v>
      </c>
      <c r="B29925" t="s">
        <v>1320</v>
      </c>
      <c r="C29925" t="s">
        <v>24127</v>
      </c>
      <c r="D29925" t="s">
        <v>1023</v>
      </c>
      <c r="E29925" t="s">
        <v>15</v>
      </c>
      <c r="F29925" s="2" t="str">
        <f>HYPERLINK("http://www.otzar.org/book.asp?182093","ספר המצות להרמב""ם &lt;מגילת אסתר&gt;")</f>
        <v>ספר המצות להרמב"ם &lt;מגילת אסתר&gt;</v>
      </c>
    </row>
    <row r="29926" spans="1:6" x14ac:dyDescent="0.2">
      <c r="A29926" t="s">
        <v>47169</v>
      </c>
      <c r="E29926" t="s">
        <v>15</v>
      </c>
      <c r="F29926" s="2" t="str">
        <f>HYPERLINK("http://www.otzar.org/book.asp?160778","ספר המצות לרמב""ם  כתב יד המבורג")</f>
        <v>ספר המצות לרמב"ם  כתב יד המבורג</v>
      </c>
    </row>
    <row r="29927" spans="1:6" x14ac:dyDescent="0.2">
      <c r="A29927" t="s">
        <v>47170</v>
      </c>
      <c r="E29927" t="s">
        <v>15</v>
      </c>
      <c r="F29927" s="2" t="str">
        <f>HYPERLINK("http://www.otzar.org/book.asp?160777","ספר המצות לרמב""ם  כתב יד מינכן")</f>
        <v>ספר המצות לרמב"ם  כתב יד מינכן</v>
      </c>
    </row>
    <row r="29928" spans="1:6" x14ac:dyDescent="0.2">
      <c r="A29928" t="s">
        <v>47171</v>
      </c>
      <c r="B29928" t="s">
        <v>21925</v>
      </c>
      <c r="C29928" t="s">
        <v>313</v>
      </c>
      <c r="D29928" t="s">
        <v>10790</v>
      </c>
      <c r="E29928" t="s">
        <v>15</v>
      </c>
      <c r="F29928" s="2" t="str">
        <f>HYPERLINK("http://www.otzar.org/book.asp?164229","ספר המצות לרמב""ם עם פירוש פקודי ישרים - 2 כר'")</f>
        <v>ספר המצות לרמב"ם עם פירוש פקודי ישרים - 2 כר'</v>
      </c>
    </row>
    <row r="29929" spans="1:6" x14ac:dyDescent="0.2">
      <c r="A29929" t="s">
        <v>47172</v>
      </c>
      <c r="B29929" t="s">
        <v>4840</v>
      </c>
      <c r="C29929" t="s">
        <v>129</v>
      </c>
      <c r="D29929" t="s">
        <v>52</v>
      </c>
      <c r="E29929" t="s">
        <v>674</v>
      </c>
      <c r="F29929" s="2" t="str">
        <f>HYPERLINK("http://www.otzar.org/book.asp?83922","ספר המצות לרס""ג &lt;ביאור הגרי""פ פערלא&gt; - 2 כר'")</f>
        <v>ספר המצות לרס"ג &lt;ביאור הגרי"פ פערלא&gt; - 2 כר'</v>
      </c>
    </row>
    <row r="29930" spans="1:6" x14ac:dyDescent="0.2">
      <c r="A29930" t="s">
        <v>47173</v>
      </c>
      <c r="B29930" t="s">
        <v>4840</v>
      </c>
      <c r="C29930" t="s">
        <v>47174</v>
      </c>
      <c r="D29930" t="s">
        <v>283</v>
      </c>
      <c r="E29930" t="s">
        <v>674</v>
      </c>
      <c r="F29930" s="2" t="str">
        <f>HYPERLINK("http://www.otzar.org/book.asp?192995","ספר המצות לרס""ג &lt;ביאורי הגרי""פ פערלא&gt; - 6 כר'")</f>
        <v>ספר המצות לרס"ג &lt;ביאורי הגרי"פ פערלא&gt; - 6 כר'</v>
      </c>
    </row>
    <row r="29931" spans="1:6" x14ac:dyDescent="0.2">
      <c r="A29931" t="s">
        <v>47175</v>
      </c>
      <c r="B29931" t="s">
        <v>4840</v>
      </c>
      <c r="C29931" t="s">
        <v>6054</v>
      </c>
      <c r="D29931" t="s">
        <v>27</v>
      </c>
      <c r="E29931" t="s">
        <v>674</v>
      </c>
      <c r="F29931" s="2" t="str">
        <f>HYPERLINK("http://www.otzar.org/book.asp?149044","ספר המצות לרס""ג")</f>
        <v>ספר המצות לרס"ג</v>
      </c>
    </row>
    <row r="29932" spans="1:6" x14ac:dyDescent="0.2">
      <c r="A29932" t="s">
        <v>47176</v>
      </c>
      <c r="B29932" t="s">
        <v>37943</v>
      </c>
      <c r="C29932" t="s">
        <v>3246</v>
      </c>
      <c r="D29932" t="s">
        <v>47177</v>
      </c>
      <c r="E29932" t="s">
        <v>384</v>
      </c>
      <c r="F29932" s="2" t="str">
        <f>HYPERLINK("http://www.otzar.org/book.asp?103871","ספר המצות - 2 כר'")</f>
        <v>ספר המצות - 2 כר'</v>
      </c>
    </row>
    <row r="29933" spans="1:6" x14ac:dyDescent="0.2">
      <c r="A29933" t="s">
        <v>47178</v>
      </c>
      <c r="B29933" t="s">
        <v>1320</v>
      </c>
      <c r="C29933" t="s">
        <v>1568</v>
      </c>
      <c r="D29933" t="s">
        <v>1667</v>
      </c>
      <c r="F29933" s="2" t="str">
        <f>HYPERLINK("http://www.otzar.org/book.asp?170080","ספר המצות - 3 כר'")</f>
        <v>ספר המצות - 3 כר'</v>
      </c>
    </row>
    <row r="29934" spans="1:6" x14ac:dyDescent="0.2">
      <c r="A29934" t="s">
        <v>47179</v>
      </c>
      <c r="B29934" t="s">
        <v>10945</v>
      </c>
      <c r="C29934" t="s">
        <v>47180</v>
      </c>
      <c r="D29934" t="s">
        <v>535</v>
      </c>
      <c r="E29934" t="s">
        <v>791</v>
      </c>
      <c r="F29934" s="2" t="str">
        <f>HYPERLINK("http://www.otzar.org/book.asp?101235","ספר המצרף - ב")</f>
        <v>ספר המצרף - ב</v>
      </c>
    </row>
    <row r="29935" spans="1:6" x14ac:dyDescent="0.2">
      <c r="A29935" t="s">
        <v>47181</v>
      </c>
      <c r="B29935" t="s">
        <v>2530</v>
      </c>
      <c r="C29935" t="s">
        <v>422</v>
      </c>
      <c r="D29935" t="s">
        <v>2531</v>
      </c>
      <c r="E29935" t="s">
        <v>84</v>
      </c>
      <c r="F29935" s="2" t="str">
        <f>HYPERLINK("http://www.otzar.org/book.asp?85587","ספר המקדש")</f>
        <v>ספר המקדש</v>
      </c>
    </row>
    <row r="29936" spans="1:6" x14ac:dyDescent="0.2">
      <c r="A29936" t="s">
        <v>47182</v>
      </c>
      <c r="B29936" t="s">
        <v>13163</v>
      </c>
      <c r="C29936" t="s">
        <v>47183</v>
      </c>
      <c r="D29936" t="s">
        <v>7163</v>
      </c>
      <c r="E29936" t="s">
        <v>933</v>
      </c>
      <c r="F29936" s="2" t="str">
        <f>HYPERLINK("http://www.otzar.org/book.asp?101162","ספר המקנה &lt;ספר הפלאה&gt;")</f>
        <v>ספר המקנה &lt;ספר הפלאה&gt;</v>
      </c>
    </row>
    <row r="29937" spans="1:6" x14ac:dyDescent="0.2">
      <c r="A29937" t="s">
        <v>47184</v>
      </c>
      <c r="B29937" t="s">
        <v>15834</v>
      </c>
      <c r="C29937" t="s">
        <v>411</v>
      </c>
      <c r="D29937" t="s">
        <v>1422</v>
      </c>
      <c r="E29937" t="s">
        <v>15</v>
      </c>
      <c r="F29937" s="2" t="str">
        <f>HYPERLINK("http://www.otzar.org/book.asp?626130","ספר המקנה &lt;מהדורה חדשה&gt; - 3 כר'")</f>
        <v>ספר המקנה &lt;מהדורה חדשה&gt; - 3 כר'</v>
      </c>
    </row>
    <row r="29938" spans="1:6" x14ac:dyDescent="0.2">
      <c r="A29938" t="s">
        <v>47185</v>
      </c>
      <c r="B29938" t="s">
        <v>4050</v>
      </c>
      <c r="C29938" t="s">
        <v>445</v>
      </c>
      <c r="D29938" t="s">
        <v>691</v>
      </c>
      <c r="E29938" t="s">
        <v>15</v>
      </c>
      <c r="F29938" s="2" t="str">
        <f>HYPERLINK("http://www.otzar.org/book.asp?141038","ספר המקנה")</f>
        <v>ספר המקנה</v>
      </c>
    </row>
    <row r="29939" spans="1:6" x14ac:dyDescent="0.2">
      <c r="A29939" t="s">
        <v>47185</v>
      </c>
      <c r="B29939" t="s">
        <v>47186</v>
      </c>
      <c r="C29939" t="s">
        <v>989</v>
      </c>
      <c r="D29939" t="s">
        <v>14</v>
      </c>
      <c r="E29939" t="s">
        <v>583</v>
      </c>
      <c r="F29939" s="2" t="str">
        <f>HYPERLINK("http://www.otzar.org/book.asp?70","ספר המקנה")</f>
        <v>ספר המקנה</v>
      </c>
    </row>
    <row r="29940" spans="1:6" x14ac:dyDescent="0.2">
      <c r="A29940" t="s">
        <v>47187</v>
      </c>
      <c r="B29940" t="s">
        <v>15834</v>
      </c>
      <c r="C29940" t="s">
        <v>47188</v>
      </c>
      <c r="D29940" t="s">
        <v>1422</v>
      </c>
      <c r="E29940" t="s">
        <v>9760</v>
      </c>
      <c r="F29940" s="2" t="str">
        <f>HYPERLINK("http://www.otzar.org/book.asp?101164","ספר המקנה - 3 כר'")</f>
        <v>ספר המקנה - 3 כר'</v>
      </c>
    </row>
    <row r="29941" spans="1:6" x14ac:dyDescent="0.2">
      <c r="A29941" t="s">
        <v>47189</v>
      </c>
      <c r="B29941" t="s">
        <v>47189</v>
      </c>
      <c r="C29941" t="s">
        <v>160</v>
      </c>
      <c r="D29941" t="s">
        <v>27</v>
      </c>
      <c r="E29941" t="s">
        <v>15</v>
      </c>
      <c r="F29941" s="2" t="str">
        <f>HYPERLINK("http://www.otzar.org/book.asp?103860","ספר המקצועות")</f>
        <v>ספר המקצועות</v>
      </c>
    </row>
    <row r="29942" spans="1:6" x14ac:dyDescent="0.2">
      <c r="A29942" t="s">
        <v>47190</v>
      </c>
      <c r="B29942" t="s">
        <v>47191</v>
      </c>
      <c r="C29942" t="s">
        <v>12351</v>
      </c>
      <c r="D29942" t="s">
        <v>535</v>
      </c>
      <c r="E29942" t="s">
        <v>551</v>
      </c>
      <c r="F29942" s="2" t="str">
        <f>HYPERLINK("http://www.otzar.org/book.asp?16554","ספר המרדכי &lt;באור מרדכי&gt;")</f>
        <v>ספר המרדכי &lt;באור מרדכי&gt;</v>
      </c>
    </row>
    <row r="29943" spans="1:6" x14ac:dyDescent="0.2">
      <c r="A29943" t="s">
        <v>47192</v>
      </c>
      <c r="B29943" t="s">
        <v>47193</v>
      </c>
      <c r="C29943" t="s">
        <v>332</v>
      </c>
      <c r="D29943" t="s">
        <v>3161</v>
      </c>
      <c r="E29943" t="s">
        <v>144</v>
      </c>
      <c r="F29943" s="2" t="str">
        <f>HYPERLINK("http://www.otzar.org/book.asp?196753","ספר המרדכי השלם - ב""ק ב")</f>
        <v>ספר המרדכי השלם - ב"ק ב</v>
      </c>
    </row>
    <row r="29944" spans="1:6" x14ac:dyDescent="0.2">
      <c r="A29944" t="s">
        <v>47194</v>
      </c>
      <c r="B29944" t="s">
        <v>13868</v>
      </c>
      <c r="C29944" t="s">
        <v>383</v>
      </c>
      <c r="D29944" t="s">
        <v>139</v>
      </c>
      <c r="E29944" t="s">
        <v>213</v>
      </c>
      <c r="F29944" s="2" t="str">
        <f>HYPERLINK("http://www.otzar.org/book.asp?22996","ספר המשלים")</f>
        <v>ספר המשלים</v>
      </c>
    </row>
    <row r="29945" spans="1:6" x14ac:dyDescent="0.2">
      <c r="A29945" t="s">
        <v>47195</v>
      </c>
      <c r="B29945" t="s">
        <v>13868</v>
      </c>
      <c r="C29945" t="s">
        <v>1096</v>
      </c>
      <c r="D29945" t="s">
        <v>582</v>
      </c>
      <c r="E29945" t="s">
        <v>399</v>
      </c>
      <c r="F29945" s="2" t="str">
        <f>HYPERLINK("http://www.otzar.org/book.asp?103585","ספר הניקוד")</f>
        <v>ספר הניקוד</v>
      </c>
    </row>
    <row r="29946" spans="1:6" x14ac:dyDescent="0.2">
      <c r="A29946" t="s">
        <v>47196</v>
      </c>
      <c r="B29946" t="s">
        <v>47197</v>
      </c>
      <c r="C29946" t="s">
        <v>775</v>
      </c>
      <c r="D29946" t="s">
        <v>14</v>
      </c>
      <c r="E29946" t="s">
        <v>9245</v>
      </c>
      <c r="F29946" s="2" t="str">
        <f>HYPERLINK("http://www.otzar.org/book.asp?604575","ספר הנעים - ספר הותיק")</f>
        <v>ספר הנעים - ספר הותיק</v>
      </c>
    </row>
    <row r="29947" spans="1:6" x14ac:dyDescent="0.2">
      <c r="A29947" t="s">
        <v>47198</v>
      </c>
      <c r="B29947" t="s">
        <v>1457</v>
      </c>
      <c r="C29947" t="s">
        <v>47199</v>
      </c>
      <c r="D29947" t="s">
        <v>47200</v>
      </c>
      <c r="E29947" t="s">
        <v>241</v>
      </c>
      <c r="F29947" s="2" t="str">
        <f>HYPERLINK("http://www.otzar.org/book.asp?626471","ספר הנפש &lt;עם ביאור&gt;")</f>
        <v>ספר הנפש &lt;עם ביאור&gt;</v>
      </c>
    </row>
    <row r="29948" spans="1:6" x14ac:dyDescent="0.2">
      <c r="A29948" t="s">
        <v>47201</v>
      </c>
      <c r="B29948" t="s">
        <v>1457</v>
      </c>
      <c r="C29948" t="s">
        <v>47202</v>
      </c>
      <c r="D29948" t="s">
        <v>1279</v>
      </c>
      <c r="E29948" t="s">
        <v>241</v>
      </c>
      <c r="F29948" s="2" t="str">
        <f>HYPERLINK("http://www.otzar.org/book.asp?102055","ספר הנפש - 2 כר'")</f>
        <v>ספר הנפש - 2 כר'</v>
      </c>
    </row>
    <row r="29949" spans="1:6" x14ac:dyDescent="0.2">
      <c r="A29949" t="s">
        <v>47203</v>
      </c>
      <c r="B29949" t="s">
        <v>30645</v>
      </c>
      <c r="C29949" t="s">
        <v>35474</v>
      </c>
      <c r="D29949" t="s">
        <v>47204</v>
      </c>
      <c r="E29949" t="s">
        <v>16148</v>
      </c>
      <c r="F29949" s="2" t="str">
        <f>HYPERLINK("http://www.otzar.org/book.asp?200218","ספר הנצחון")</f>
        <v>ספר הנצחון</v>
      </c>
    </row>
    <row r="29950" spans="1:6" x14ac:dyDescent="0.2">
      <c r="A29950" t="s">
        <v>47205</v>
      </c>
      <c r="B29950" t="s">
        <v>47206</v>
      </c>
      <c r="C29950" t="s">
        <v>2105</v>
      </c>
      <c r="D29950" t="s">
        <v>283</v>
      </c>
      <c r="E29950" t="s">
        <v>15</v>
      </c>
      <c r="F29950" s="2" t="str">
        <f>HYPERLINK("http://www.otzar.org/book.asp?181304","ספר הנקור")</f>
        <v>ספר הנקור</v>
      </c>
    </row>
    <row r="29951" spans="1:6" x14ac:dyDescent="0.2">
      <c r="A29951" t="s">
        <v>47207</v>
      </c>
      <c r="B29951" t="s">
        <v>47208</v>
      </c>
      <c r="C29951" t="s">
        <v>390</v>
      </c>
      <c r="D29951" t="s">
        <v>646</v>
      </c>
      <c r="E29951" t="s">
        <v>186</v>
      </c>
      <c r="F29951" s="2" t="str">
        <f>HYPERLINK("http://www.otzar.org/book.asp?16637","ספר הנר (כת""י) - 3 כר'")</f>
        <v>ספר הנר (כת"י) - 3 כר'</v>
      </c>
    </row>
    <row r="29952" spans="1:6" x14ac:dyDescent="0.2">
      <c r="A29952" t="s">
        <v>47209</v>
      </c>
      <c r="B29952" t="s">
        <v>47208</v>
      </c>
      <c r="C29952" t="s">
        <v>411</v>
      </c>
      <c r="D29952" t="s">
        <v>21</v>
      </c>
      <c r="E29952" t="s">
        <v>144</v>
      </c>
      <c r="F29952" s="2" t="str">
        <f>HYPERLINK("http://www.otzar.org/book.asp?603962","ספר הנר - 4 כר'")</f>
        <v>ספר הנר - 4 כר'</v>
      </c>
    </row>
    <row r="29953" spans="1:6" x14ac:dyDescent="0.2">
      <c r="A29953" t="s">
        <v>47210</v>
      </c>
      <c r="B29953" t="s">
        <v>28723</v>
      </c>
      <c r="C29953" t="s">
        <v>1163</v>
      </c>
      <c r="D29953" t="s">
        <v>1163</v>
      </c>
      <c r="E29953" t="s">
        <v>104</v>
      </c>
      <c r="F29953" s="2" t="str">
        <f>HYPERLINK("http://www.otzar.org/book.asp?192755","ספר הסגולות והתרופות &lt;כתב יד&gt;")</f>
        <v>ספר הסגולות והתרופות &lt;כתב יד&gt;</v>
      </c>
    </row>
    <row r="29954" spans="1:6" x14ac:dyDescent="0.2">
      <c r="A29954" t="s">
        <v>47211</v>
      </c>
      <c r="B29954" t="s">
        <v>47212</v>
      </c>
      <c r="C29954" t="s">
        <v>71</v>
      </c>
      <c r="D29954" t="s">
        <v>14</v>
      </c>
      <c r="E29954" t="s">
        <v>104</v>
      </c>
      <c r="F29954" s="2" t="str">
        <f>HYPERLINK("http://www.otzar.org/book.asp?152231","ספר הסגולות")</f>
        <v>ספר הסגולות</v>
      </c>
    </row>
    <row r="29955" spans="1:6" x14ac:dyDescent="0.2">
      <c r="A29955" t="s">
        <v>47213</v>
      </c>
      <c r="B29955" t="s">
        <v>7387</v>
      </c>
      <c r="C29955" t="s">
        <v>20</v>
      </c>
      <c r="E29955" t="s">
        <v>144</v>
      </c>
      <c r="F29955" s="2" t="str">
        <f>HYPERLINK("http://www.otzar.org/book.asp?605425","ספר הסוגיא - 4 כר'")</f>
        <v>ספר הסוגיא - 4 כר'</v>
      </c>
    </row>
    <row r="29956" spans="1:6" x14ac:dyDescent="0.2">
      <c r="A29956" t="s">
        <v>47214</v>
      </c>
      <c r="B29956" t="s">
        <v>47215</v>
      </c>
      <c r="C29956" t="s">
        <v>103</v>
      </c>
      <c r="D29956" t="s">
        <v>21</v>
      </c>
      <c r="F29956" s="2" t="str">
        <f>HYPERLINK("http://www.otzar.org/book.asp?616248","ספר הסומא")</f>
        <v>ספר הסומא</v>
      </c>
    </row>
    <row r="29957" spans="1:6" x14ac:dyDescent="0.2">
      <c r="A29957" t="s">
        <v>47216</v>
      </c>
      <c r="B29957" t="s">
        <v>13393</v>
      </c>
      <c r="C29957" t="s">
        <v>20</v>
      </c>
      <c r="D29957" t="s">
        <v>412</v>
      </c>
      <c r="E29957" t="s">
        <v>104</v>
      </c>
      <c r="F29957" s="2" t="str">
        <f>HYPERLINK("http://www.otzar.org/book.asp?603082","ספר הסימנים")</f>
        <v>ספר הסימנים</v>
      </c>
    </row>
    <row r="29958" spans="1:6" x14ac:dyDescent="0.2">
      <c r="A29958" t="s">
        <v>47217</v>
      </c>
      <c r="B29958" t="s">
        <v>16317</v>
      </c>
      <c r="C29958" t="s">
        <v>51</v>
      </c>
      <c r="D29958" t="s">
        <v>14</v>
      </c>
      <c r="E29958" t="s">
        <v>463</v>
      </c>
      <c r="F29958" s="2" t="str">
        <f>HYPERLINK("http://www.otzar.org/book.asp?51167","ספר הסתום")</f>
        <v>ספר הסתום</v>
      </c>
    </row>
    <row r="29959" spans="1:6" x14ac:dyDescent="0.2">
      <c r="A29959" t="s">
        <v>47218</v>
      </c>
      <c r="B29959" t="s">
        <v>531</v>
      </c>
      <c r="C29959" t="s">
        <v>20</v>
      </c>
      <c r="D29959" t="s">
        <v>14</v>
      </c>
      <c r="E29959" t="s">
        <v>104</v>
      </c>
      <c r="F29959" s="2" t="str">
        <f>HYPERLINK("http://www.otzar.org/book.asp?13673","ספר העבור - 2 כר'")</f>
        <v>ספר העבור - 2 כר'</v>
      </c>
    </row>
    <row r="29960" spans="1:6" x14ac:dyDescent="0.2">
      <c r="A29960" t="s">
        <v>47219</v>
      </c>
      <c r="B29960" t="s">
        <v>18405</v>
      </c>
      <c r="C29960" t="s">
        <v>270</v>
      </c>
      <c r="D29960" t="s">
        <v>563</v>
      </c>
      <c r="E29960" t="s">
        <v>104</v>
      </c>
      <c r="F29960" s="2" t="str">
        <f>HYPERLINK("http://www.otzar.org/book.asp?23547","ספר העבור")</f>
        <v>ספר העבור</v>
      </c>
    </row>
    <row r="29961" spans="1:6" x14ac:dyDescent="0.2">
      <c r="A29961" t="s">
        <v>47220</v>
      </c>
      <c r="B29961" t="s">
        <v>47221</v>
      </c>
      <c r="C29961" t="s">
        <v>4705</v>
      </c>
      <c r="D29961" t="s">
        <v>1117</v>
      </c>
      <c r="E29961" t="s">
        <v>104</v>
      </c>
      <c r="F29961" s="2" t="str">
        <f>HYPERLINK("http://www.otzar.org/book.asp?23548","ספר העברונות - 2 כר'")</f>
        <v>ספר העברונות - 2 כר'</v>
      </c>
    </row>
    <row r="29962" spans="1:6" x14ac:dyDescent="0.2">
      <c r="A29962" t="s">
        <v>47222</v>
      </c>
      <c r="B29962" t="s">
        <v>47223</v>
      </c>
      <c r="C29962" t="s">
        <v>47224</v>
      </c>
      <c r="D29962" t="s">
        <v>283</v>
      </c>
      <c r="F29962" s="2" t="str">
        <f>HYPERLINK("http://www.otzar.org/book.asp?616961","ספר העיטור &lt;שער החדש&gt; - 2 כר'")</f>
        <v>ספר העיטור &lt;שער החדש&gt; - 2 כר'</v>
      </c>
    </row>
    <row r="29963" spans="1:6" x14ac:dyDescent="0.2">
      <c r="A29963" t="s">
        <v>47225</v>
      </c>
      <c r="B29963" t="s">
        <v>47223</v>
      </c>
      <c r="C29963" t="s">
        <v>47226</v>
      </c>
      <c r="D29963" t="s">
        <v>283</v>
      </c>
      <c r="E29963" t="s">
        <v>15</v>
      </c>
      <c r="F29963" s="2" t="str">
        <f>HYPERLINK("http://www.otzar.org/book.asp?103907","ספר העיטור - 2 כר'")</f>
        <v>ספר העיטור - 2 כר'</v>
      </c>
    </row>
    <row r="29964" spans="1:6" x14ac:dyDescent="0.2">
      <c r="A29964" t="s">
        <v>47227</v>
      </c>
      <c r="B29964" t="s">
        <v>7046</v>
      </c>
      <c r="C29964" t="s">
        <v>1570</v>
      </c>
      <c r="D29964" t="s">
        <v>14</v>
      </c>
      <c r="E29964" t="s">
        <v>733</v>
      </c>
      <c r="F29964" s="2" t="str">
        <f>HYPERLINK("http://www.otzar.org/book.asp?15415","ספר העליות לארץ ישראל")</f>
        <v>ספר העליות לארץ ישראל</v>
      </c>
    </row>
    <row r="29965" spans="1:6" x14ac:dyDescent="0.2">
      <c r="A29965" t="s">
        <v>47228</v>
      </c>
      <c r="B29965" t="s">
        <v>47229</v>
      </c>
      <c r="C29965" t="s">
        <v>896</v>
      </c>
      <c r="D29965" t="s">
        <v>280</v>
      </c>
      <c r="E29965" t="s">
        <v>104</v>
      </c>
      <c r="F29965" s="2" t="str">
        <f>HYPERLINK("http://www.otzar.org/book.asp?100476","ספר הענק הוא התרשיש")</f>
        <v>ספר הענק הוא התרשיש</v>
      </c>
    </row>
    <row r="29966" spans="1:6" x14ac:dyDescent="0.2">
      <c r="A29966" t="s">
        <v>47230</v>
      </c>
      <c r="B29966" t="s">
        <v>531</v>
      </c>
      <c r="C29966" t="s">
        <v>362</v>
      </c>
      <c r="D29966" t="s">
        <v>563</v>
      </c>
      <c r="E29966" t="s">
        <v>38986</v>
      </c>
      <c r="F29966" s="2" t="str">
        <f>HYPERLINK("http://www.otzar.org/book.asp?103647","ספר העצמים")</f>
        <v>ספר העצמים</v>
      </c>
    </row>
    <row r="29967" spans="1:6" x14ac:dyDescent="0.2">
      <c r="A29967" t="s">
        <v>47231</v>
      </c>
      <c r="B29967" t="s">
        <v>8895</v>
      </c>
      <c r="C29967" t="s">
        <v>20</v>
      </c>
      <c r="D29967" t="s">
        <v>90</v>
      </c>
      <c r="E29967" t="s">
        <v>104</v>
      </c>
      <c r="F29967" s="2" t="str">
        <f>HYPERLINK("http://www.otzar.org/book.asp?627006","ספר העקרונות")</f>
        <v>ספר העקרונות</v>
      </c>
    </row>
    <row r="29968" spans="1:6" x14ac:dyDescent="0.2">
      <c r="A29968" t="s">
        <v>47232</v>
      </c>
      <c r="B29968" t="s">
        <v>47233</v>
      </c>
      <c r="C29968" t="s">
        <v>114</v>
      </c>
      <c r="D29968" t="s">
        <v>21</v>
      </c>
      <c r="E29968" t="s">
        <v>241</v>
      </c>
      <c r="F29968" s="2" t="str">
        <f>HYPERLINK("http://www.otzar.org/book.asp?603426","ספר העקרים &lt;ע""פ טעם בעיקר&gt;")</f>
        <v>ספר העקרים &lt;ע"פ טעם בעיקר&gt;</v>
      </c>
    </row>
    <row r="29969" spans="1:6" x14ac:dyDescent="0.2">
      <c r="A29969" t="s">
        <v>47234</v>
      </c>
      <c r="B29969" t="s">
        <v>47235</v>
      </c>
      <c r="C29969" t="s">
        <v>36768</v>
      </c>
      <c r="D29969" t="s">
        <v>9012</v>
      </c>
      <c r="E29969" t="s">
        <v>241</v>
      </c>
      <c r="F29969" s="2" t="str">
        <f>HYPERLINK("http://www.otzar.org/book.asp?53509","ספר העקרים &lt;דפו""ר&gt;")</f>
        <v>ספר העקרים &lt;דפו"ר&gt;</v>
      </c>
    </row>
    <row r="29970" spans="1:6" x14ac:dyDescent="0.2">
      <c r="A29970" t="s">
        <v>47236</v>
      </c>
      <c r="B29970" t="s">
        <v>47235</v>
      </c>
      <c r="C29970" t="s">
        <v>547</v>
      </c>
      <c r="D29970" t="s">
        <v>283</v>
      </c>
      <c r="E29970" t="s">
        <v>241</v>
      </c>
      <c r="F29970" s="2" t="str">
        <f>HYPERLINK("http://www.otzar.org/book.asp?6157","ספר העקרים &lt;עץ שתול&gt;")</f>
        <v>ספר העקרים &lt;עץ שתול&gt;</v>
      </c>
    </row>
    <row r="29971" spans="1:6" x14ac:dyDescent="0.2">
      <c r="A29971" t="s">
        <v>47237</v>
      </c>
      <c r="B29971" t="s">
        <v>47235</v>
      </c>
      <c r="C29971" t="s">
        <v>6054</v>
      </c>
      <c r="D29971" t="s">
        <v>283</v>
      </c>
      <c r="F29971" s="2" t="str">
        <f>HYPERLINK("http://www.otzar.org/book.asp?152951","ספר העקרים - 3 כר'")</f>
        <v>ספר העקרים - 3 כר'</v>
      </c>
    </row>
    <row r="29972" spans="1:6" x14ac:dyDescent="0.2">
      <c r="A29972" t="s">
        <v>47238</v>
      </c>
      <c r="B29972" t="s">
        <v>47239</v>
      </c>
      <c r="C29972" t="s">
        <v>888</v>
      </c>
      <c r="D29972" t="s">
        <v>1117</v>
      </c>
      <c r="E29972" t="s">
        <v>15</v>
      </c>
      <c r="F29972" s="2" t="str">
        <f>HYPERLINK("http://www.otzar.org/book.asp?6323","ספר העתים")</f>
        <v>ספר העתים</v>
      </c>
    </row>
    <row r="29973" spans="1:6" x14ac:dyDescent="0.2">
      <c r="A29973" t="s">
        <v>47240</v>
      </c>
      <c r="D29973" t="s">
        <v>657</v>
      </c>
      <c r="F29973" s="2" t="str">
        <f>HYPERLINK("http://www.otzar.org/book.asp?619056","ספר הפטרות")</f>
        <v>ספר הפטרות</v>
      </c>
    </row>
    <row r="29974" spans="1:6" x14ac:dyDescent="0.2">
      <c r="A29974" t="s">
        <v>47241</v>
      </c>
      <c r="B29974" t="s">
        <v>47242</v>
      </c>
      <c r="C29974" t="s">
        <v>503</v>
      </c>
      <c r="D29974" t="s">
        <v>855</v>
      </c>
      <c r="E29974" t="s">
        <v>158</v>
      </c>
      <c r="F29974" s="2" t="str">
        <f>HYPERLINK("http://www.otzar.org/book.asp?102202","ספר הפליאה")</f>
        <v>ספר הפליאה</v>
      </c>
    </row>
    <row r="29975" spans="1:6" x14ac:dyDescent="0.2">
      <c r="A29975" t="s">
        <v>47243</v>
      </c>
      <c r="B29975" t="s">
        <v>22757</v>
      </c>
      <c r="C29975" t="s">
        <v>360</v>
      </c>
      <c r="D29975" t="s">
        <v>267</v>
      </c>
      <c r="E29975" t="s">
        <v>16417</v>
      </c>
      <c r="F29975" s="2" t="str">
        <f>HYPERLINK("http://www.otzar.org/book.asp?6471","ספר הפנים")</f>
        <v>ספר הפנים</v>
      </c>
    </row>
    <row r="29976" spans="1:6" x14ac:dyDescent="0.2">
      <c r="A29976" t="s">
        <v>47244</v>
      </c>
      <c r="B29976" t="s">
        <v>47245</v>
      </c>
      <c r="C29976" t="s">
        <v>4848</v>
      </c>
      <c r="D29976" t="s">
        <v>260</v>
      </c>
      <c r="E29976" t="s">
        <v>104</v>
      </c>
      <c r="F29976" s="2" t="str">
        <f>HYPERLINK("http://www.otzar.org/book.asp?13624","ספר הפעלים")</f>
        <v>ספר הפעלים</v>
      </c>
    </row>
    <row r="29977" spans="1:6" x14ac:dyDescent="0.2">
      <c r="A29977" t="s">
        <v>47246</v>
      </c>
      <c r="B29977" t="s">
        <v>47247</v>
      </c>
      <c r="C29977" t="s">
        <v>4848</v>
      </c>
      <c r="D29977" t="s">
        <v>260</v>
      </c>
      <c r="E29977" t="s">
        <v>104</v>
      </c>
      <c r="F29977" s="2" t="str">
        <f>HYPERLINK("http://www.otzar.org/book.asp?152923","ספר הפעלים - מדריך תורה שבע""פ")</f>
        <v>ספר הפעלים - מדריך תורה שבע"פ</v>
      </c>
    </row>
    <row r="29978" spans="1:6" x14ac:dyDescent="0.2">
      <c r="A29978" t="s">
        <v>47248</v>
      </c>
      <c r="B29978" t="s">
        <v>3880</v>
      </c>
      <c r="C29978" t="s">
        <v>2306</v>
      </c>
      <c r="D29978" t="s">
        <v>47249</v>
      </c>
      <c r="E29978" t="s">
        <v>15</v>
      </c>
      <c r="F29978" s="2" t="str">
        <f>HYPERLINK("http://www.otzar.org/book.asp?153609","ספר הפרד""ס - 2 כר'")</f>
        <v>ספר הפרד"ס - 2 כר'</v>
      </c>
    </row>
    <row r="29979" spans="1:6" x14ac:dyDescent="0.2">
      <c r="A29979" t="s">
        <v>47250</v>
      </c>
      <c r="B29979" t="s">
        <v>47251</v>
      </c>
      <c r="C29979" t="s">
        <v>168</v>
      </c>
      <c r="D29979" t="s">
        <v>14</v>
      </c>
      <c r="E29979" t="s">
        <v>3567</v>
      </c>
      <c r="F29979" s="2" t="str">
        <f>HYPERLINK("http://www.otzar.org/book.asp?8599","ספר הפרדס - 2 כר'")</f>
        <v>ספר הפרדס - 2 כר'</v>
      </c>
    </row>
    <row r="29980" spans="1:6" x14ac:dyDescent="0.2">
      <c r="A29980" t="s">
        <v>47252</v>
      </c>
      <c r="B29980" t="s">
        <v>1406</v>
      </c>
      <c r="C29980" t="s">
        <v>20</v>
      </c>
      <c r="D29980" t="s">
        <v>90</v>
      </c>
      <c r="E29980" t="s">
        <v>674</v>
      </c>
      <c r="F29980" s="2" t="str">
        <f>HYPERLINK("http://www.otzar.org/book.asp?611530","ספר הפרדס")</f>
        <v>ספר הפרדס</v>
      </c>
    </row>
    <row r="29981" spans="1:6" x14ac:dyDescent="0.2">
      <c r="A29981" t="s">
        <v>47253</v>
      </c>
      <c r="B29981" t="s">
        <v>5332</v>
      </c>
      <c r="C29981" t="s">
        <v>5257</v>
      </c>
      <c r="D29981" t="s">
        <v>1490</v>
      </c>
      <c r="E29981" t="s">
        <v>10</v>
      </c>
      <c r="F29981" s="2" t="str">
        <f>HYPERLINK("http://www.otzar.org/book.asp?53512","ספר הפרדס - 3 כר'")</f>
        <v>ספר הפרדס - 3 כר'</v>
      </c>
    </row>
    <row r="29982" spans="1:6" x14ac:dyDescent="0.2">
      <c r="A29982" t="s">
        <v>47254</v>
      </c>
      <c r="B29982" t="s">
        <v>47255</v>
      </c>
      <c r="C29982" t="s">
        <v>427</v>
      </c>
      <c r="D29982" t="s">
        <v>216</v>
      </c>
      <c r="E29982" t="s">
        <v>172</v>
      </c>
      <c r="F29982" s="2" t="str">
        <f>HYPERLINK("http://www.otzar.org/book.asp?144670","ספר הפרנס עם ביאור אמרי צבי")</f>
        <v>ספר הפרנס עם ביאור אמרי צבי</v>
      </c>
    </row>
    <row r="29983" spans="1:6" x14ac:dyDescent="0.2">
      <c r="A29983" t="s">
        <v>47256</v>
      </c>
      <c r="B29983" t="s">
        <v>47255</v>
      </c>
      <c r="C29983" t="s">
        <v>3690</v>
      </c>
      <c r="D29983" t="s">
        <v>56</v>
      </c>
      <c r="E29983" t="s">
        <v>22860</v>
      </c>
      <c r="F29983" s="2" t="str">
        <f>HYPERLINK("http://www.otzar.org/book.asp?152","ספר הפרנס")</f>
        <v>ספר הפרנס</v>
      </c>
    </row>
    <row r="29984" spans="1:6" x14ac:dyDescent="0.2">
      <c r="A29984" t="s">
        <v>47257</v>
      </c>
      <c r="B29984" t="s">
        <v>47258</v>
      </c>
      <c r="C29984" t="s">
        <v>619</v>
      </c>
      <c r="D29984" t="s">
        <v>2481</v>
      </c>
      <c r="E29984" t="s">
        <v>733</v>
      </c>
      <c r="F29984" s="2" t="str">
        <f>HYPERLINK("http://www.otzar.org/book.asp?182349","ספר הפרעות")</f>
        <v>ספר הפרעות</v>
      </c>
    </row>
    <row r="29985" spans="1:6" x14ac:dyDescent="0.2">
      <c r="A29985" t="s">
        <v>47259</v>
      </c>
      <c r="B29985" t="s">
        <v>47260</v>
      </c>
      <c r="C29985" t="s">
        <v>106</v>
      </c>
      <c r="D29985" t="s">
        <v>412</v>
      </c>
      <c r="E29985" t="s">
        <v>5445</v>
      </c>
      <c r="F29985" s="2" t="str">
        <f>HYPERLINK("http://www.otzar.org/book.asp?21808","ספר הפרענומעראנטן")</f>
        <v>ספר הפרענומעראנטן</v>
      </c>
    </row>
    <row r="29986" spans="1:6" x14ac:dyDescent="0.2">
      <c r="A29986" t="s">
        <v>47261</v>
      </c>
      <c r="B29986" t="s">
        <v>107</v>
      </c>
      <c r="C29986" t="s">
        <v>422</v>
      </c>
      <c r="D29986" t="s">
        <v>14</v>
      </c>
      <c r="E29986" t="s">
        <v>158</v>
      </c>
      <c r="F29986" s="2" t="str">
        <f>HYPERLINK("http://www.otzar.org/book.asp?164052","ספר הפרשיות - בראשית נח")</f>
        <v>ספר הפרשיות - בראשית נח</v>
      </c>
    </row>
    <row r="29987" spans="1:6" x14ac:dyDescent="0.2">
      <c r="A29987" t="s">
        <v>47262</v>
      </c>
      <c r="B29987" t="s">
        <v>13530</v>
      </c>
      <c r="C29987" t="s">
        <v>390</v>
      </c>
      <c r="D29987" t="s">
        <v>14</v>
      </c>
      <c r="E29987" t="s">
        <v>104</v>
      </c>
      <c r="F29987" s="2" t="str">
        <f>HYPERLINK("http://www.otzar.org/book.asp?153665","ספר הפתגמים")</f>
        <v>ספר הפתגמים</v>
      </c>
    </row>
    <row r="29988" spans="1:6" x14ac:dyDescent="0.2">
      <c r="A29988" t="s">
        <v>47263</v>
      </c>
      <c r="B29988" t="s">
        <v>14497</v>
      </c>
      <c r="C29988" t="s">
        <v>5823</v>
      </c>
      <c r="D29988" t="s">
        <v>56</v>
      </c>
      <c r="E29988" t="s">
        <v>104</v>
      </c>
      <c r="F29988" s="2" t="str">
        <f>HYPERLINK("http://www.otzar.org/book.asp?104035","ספר הצבא &lt;ע""פ דבר הצבא&gt;")</f>
        <v>ספר הצבא &lt;ע"פ דבר הצבא&gt;</v>
      </c>
    </row>
    <row r="29989" spans="1:6" x14ac:dyDescent="0.2">
      <c r="A29989" t="s">
        <v>47264</v>
      </c>
      <c r="B29989" t="s">
        <v>47265</v>
      </c>
      <c r="C29989" t="s">
        <v>71</v>
      </c>
      <c r="D29989" t="s">
        <v>52</v>
      </c>
      <c r="E29989" t="s">
        <v>674</v>
      </c>
      <c r="F29989" s="2" t="str">
        <f>HYPERLINK("http://www.otzar.org/book.asp?145161","ספר הצבא עם תקון הצבא")</f>
        <v>ספר הצבא עם תקון הצבא</v>
      </c>
    </row>
    <row r="29990" spans="1:6" x14ac:dyDescent="0.2">
      <c r="A29990" t="s">
        <v>47266</v>
      </c>
      <c r="B29990" t="s">
        <v>14497</v>
      </c>
      <c r="C29990" t="s">
        <v>11127</v>
      </c>
      <c r="D29990" t="s">
        <v>544</v>
      </c>
      <c r="E29990" t="s">
        <v>39616</v>
      </c>
      <c r="F29990" s="2" t="str">
        <f>HYPERLINK("http://www.otzar.org/book.asp?104034","ספר הצבא")</f>
        <v>ספר הצבא</v>
      </c>
    </row>
    <row r="29991" spans="1:6" x14ac:dyDescent="0.2">
      <c r="A29991" t="s">
        <v>47267</v>
      </c>
      <c r="B29991" t="s">
        <v>15664</v>
      </c>
      <c r="C29991" t="s">
        <v>71</v>
      </c>
      <c r="D29991" t="s">
        <v>14</v>
      </c>
      <c r="E29991" t="s">
        <v>674</v>
      </c>
      <c r="F29991" s="2" t="str">
        <f>HYPERLINK("http://www.otzar.org/book.asp?152329","ספר הצואות (בעברית ובאנגלית)")</f>
        <v>ספר הצואות (בעברית ובאנגלית)</v>
      </c>
    </row>
    <row r="29992" spans="1:6" x14ac:dyDescent="0.2">
      <c r="A29992" t="s">
        <v>47268</v>
      </c>
      <c r="B29992" t="s">
        <v>47269</v>
      </c>
      <c r="C29992" t="s">
        <v>956</v>
      </c>
      <c r="D29992" t="s">
        <v>14</v>
      </c>
      <c r="E29992" t="s">
        <v>241</v>
      </c>
      <c r="F29992" s="2" t="str">
        <f>HYPERLINK("http://www.otzar.org/book.asp?158917","ספר הצוואה &lt;לדוד להזכיר&gt;")</f>
        <v>ספר הצוואה &lt;לדוד להזכיר&gt;</v>
      </c>
    </row>
    <row r="29993" spans="1:6" x14ac:dyDescent="0.2">
      <c r="A29993" t="s">
        <v>47270</v>
      </c>
      <c r="B29993" t="s">
        <v>46539</v>
      </c>
      <c r="C29993" t="s">
        <v>2644</v>
      </c>
      <c r="D29993" t="s">
        <v>379</v>
      </c>
      <c r="E29993" t="s">
        <v>104</v>
      </c>
      <c r="F29993" s="2" t="str">
        <f>HYPERLINK("http://www.otzar.org/book.asp?51825","ספר הצוואה")</f>
        <v>ספר הצוואה</v>
      </c>
    </row>
    <row r="29994" spans="1:6" x14ac:dyDescent="0.2">
      <c r="A29994" t="s">
        <v>47271</v>
      </c>
      <c r="B29994" t="s">
        <v>1393</v>
      </c>
      <c r="C29994" t="s">
        <v>63</v>
      </c>
      <c r="D29994" t="s">
        <v>367</v>
      </c>
      <c r="E29994" t="s">
        <v>241</v>
      </c>
      <c r="F29994" s="2" t="str">
        <f>HYPERLINK("http://www.otzar.org/book.asp?624777","ספר הצוואה - 2 כר'")</f>
        <v>ספר הצוואה - 2 כר'</v>
      </c>
    </row>
    <row r="29995" spans="1:6" x14ac:dyDescent="0.2">
      <c r="A29995" t="s">
        <v>47272</v>
      </c>
      <c r="B29995" t="s">
        <v>531</v>
      </c>
      <c r="C29995" t="s">
        <v>248</v>
      </c>
      <c r="D29995" t="s">
        <v>43811</v>
      </c>
      <c r="E29995" t="s">
        <v>104</v>
      </c>
      <c r="F29995" s="2" t="str">
        <f>HYPERLINK("http://www.otzar.org/book.asp?46","ספר הצחוק")</f>
        <v>ספר הצחוק</v>
      </c>
    </row>
    <row r="29996" spans="1:6" x14ac:dyDescent="0.2">
      <c r="A29996" t="s">
        <v>47273</v>
      </c>
      <c r="B29996" t="s">
        <v>3306</v>
      </c>
      <c r="C29996" t="s">
        <v>103</v>
      </c>
      <c r="D29996" t="s">
        <v>14</v>
      </c>
      <c r="E29996" t="s">
        <v>399</v>
      </c>
      <c r="F29996" s="2" t="str">
        <f>HYPERLINK("http://www.otzar.org/book.asp?149008","ספר הצירוף")</f>
        <v>ספר הצירוף</v>
      </c>
    </row>
    <row r="29997" spans="1:6" x14ac:dyDescent="0.2">
      <c r="A29997" t="s">
        <v>47274</v>
      </c>
      <c r="B29997" t="s">
        <v>4988</v>
      </c>
      <c r="C29997" t="s">
        <v>383</v>
      </c>
      <c r="D29997" t="s">
        <v>52</v>
      </c>
      <c r="F29997" s="2" t="str">
        <f>HYPERLINK("http://www.otzar.org/book.asp?617926","ספר הצלה")</f>
        <v>ספר הצלה</v>
      </c>
    </row>
    <row r="29998" spans="1:6" x14ac:dyDescent="0.2">
      <c r="A29998" t="s">
        <v>47275</v>
      </c>
      <c r="B29998" t="s">
        <v>47276</v>
      </c>
      <c r="C29998" t="s">
        <v>47277</v>
      </c>
      <c r="D29998" t="s">
        <v>47278</v>
      </c>
      <c r="F29998" s="2" t="str">
        <f>HYPERLINK("http://www.otzar.org/book.asp?620581","ספר הקבוצה")</f>
        <v>ספר הקבוצה</v>
      </c>
    </row>
    <row r="29999" spans="1:6" x14ac:dyDescent="0.2">
      <c r="A29999" t="s">
        <v>47279</v>
      </c>
      <c r="B29999" t="s">
        <v>17236</v>
      </c>
      <c r="C29999" t="s">
        <v>1160</v>
      </c>
      <c r="D29999" t="s">
        <v>31723</v>
      </c>
      <c r="F29999" s="2" t="str">
        <f>HYPERLINK("http://www.otzar.org/book.asp?603906","ספר הקבלה &lt;מהדורת גרשון כהן&gt;")</f>
        <v>ספר הקבלה &lt;מהדורת גרשון כהן&gt;</v>
      </c>
    </row>
    <row r="30000" spans="1:6" x14ac:dyDescent="0.2">
      <c r="A30000" t="s">
        <v>47280</v>
      </c>
      <c r="B30000" t="s">
        <v>17236</v>
      </c>
      <c r="C30000" t="s">
        <v>38383</v>
      </c>
      <c r="D30000" t="s">
        <v>5528</v>
      </c>
      <c r="E30000" t="s">
        <v>733</v>
      </c>
      <c r="F30000" s="2" t="str">
        <f>HYPERLINK("http://www.otzar.org/book.asp?62233","ספר הקבלה")</f>
        <v>ספר הקבלה</v>
      </c>
    </row>
    <row r="30001" spans="1:6" x14ac:dyDescent="0.2">
      <c r="A30001" t="s">
        <v>47281</v>
      </c>
      <c r="B30001" t="s">
        <v>5932</v>
      </c>
      <c r="C30001" t="s">
        <v>17</v>
      </c>
      <c r="D30001" t="s">
        <v>108</v>
      </c>
      <c r="E30001" t="s">
        <v>15</v>
      </c>
      <c r="F30001" s="2" t="str">
        <f>HYPERLINK("http://www.otzar.org/book.asp?26123","ספר הקהל")</f>
        <v>ספר הקהל</v>
      </c>
    </row>
    <row r="30002" spans="1:6" x14ac:dyDescent="0.2">
      <c r="A30002" t="s">
        <v>47282</v>
      </c>
      <c r="B30002" t="s">
        <v>47283</v>
      </c>
      <c r="C30002" t="s">
        <v>47284</v>
      </c>
      <c r="D30002" t="s">
        <v>744</v>
      </c>
      <c r="F30002" s="2" t="str">
        <f>HYPERLINK("http://www.otzar.org/book.asp?152784","ספר הקנה &lt;קנה בינה&gt;")</f>
        <v>ספר הקנה &lt;קנה בינה&gt;</v>
      </c>
    </row>
    <row r="30003" spans="1:6" x14ac:dyDescent="0.2">
      <c r="A30003" t="s">
        <v>47285</v>
      </c>
      <c r="B30003" t="s">
        <v>47242</v>
      </c>
      <c r="C30003" t="s">
        <v>5334</v>
      </c>
      <c r="D30003" t="s">
        <v>4364</v>
      </c>
      <c r="E30003" t="s">
        <v>8854</v>
      </c>
      <c r="F30003" s="2" t="str">
        <f>HYPERLINK("http://www.otzar.org/book.asp?53513","ספר הקנה - 3 כר'")</f>
        <v>ספר הקנה - 3 כר'</v>
      </c>
    </row>
    <row r="30004" spans="1:6" x14ac:dyDescent="0.2">
      <c r="A30004" t="s">
        <v>47286</v>
      </c>
      <c r="B30004" t="s">
        <v>2688</v>
      </c>
      <c r="C30004" t="s">
        <v>103</v>
      </c>
      <c r="D30004" t="s">
        <v>412</v>
      </c>
      <c r="E30004" t="s">
        <v>47287</v>
      </c>
      <c r="F30004" s="2" t="str">
        <f>HYPERLINK("http://www.otzar.org/book.asp?22090","ספר הקנינים &lt;משנה הלכות&gt;")</f>
        <v>ספר הקנינים &lt;משנה הלכות&gt;</v>
      </c>
    </row>
    <row r="30005" spans="1:6" x14ac:dyDescent="0.2">
      <c r="A30005" t="s">
        <v>47288</v>
      </c>
      <c r="B30005" t="s">
        <v>2688</v>
      </c>
      <c r="C30005" t="s">
        <v>13</v>
      </c>
      <c r="D30005" t="s">
        <v>14</v>
      </c>
      <c r="E30005" t="s">
        <v>47287</v>
      </c>
      <c r="F30005" s="2" t="str">
        <f>HYPERLINK("http://www.otzar.org/book.asp?142513","ספר הקנינים (משנה הלכות) &lt;טקסט&gt;")</f>
        <v>ספר הקנינים (משנה הלכות) &lt;טקסט&gt;</v>
      </c>
    </row>
    <row r="30006" spans="1:6" x14ac:dyDescent="0.2">
      <c r="A30006" t="s">
        <v>47289</v>
      </c>
      <c r="B30006" t="s">
        <v>255</v>
      </c>
      <c r="C30006" t="s">
        <v>189</v>
      </c>
      <c r="D30006" t="s">
        <v>14</v>
      </c>
      <c r="E30006" t="s">
        <v>144</v>
      </c>
      <c r="F30006" s="2" t="str">
        <f>HYPERLINK("http://www.otzar.org/book.asp?152687","ספר הראיון זכור לאברהם")</f>
        <v>ספר הראיון זכור לאברהם</v>
      </c>
    </row>
    <row r="30007" spans="1:6" x14ac:dyDescent="0.2">
      <c r="A30007" t="s">
        <v>47290</v>
      </c>
      <c r="B30007" t="s">
        <v>4373</v>
      </c>
      <c r="C30007" t="s">
        <v>291</v>
      </c>
      <c r="D30007" t="s">
        <v>76</v>
      </c>
      <c r="E30007" t="s">
        <v>1391</v>
      </c>
      <c r="F30007" s="2" t="str">
        <f>HYPERLINK("http://www.otzar.org/book.asp?167456","ספר הרוחות - 2 כר'")</f>
        <v>ספר הרוחות - 2 כר'</v>
      </c>
    </row>
    <row r="30008" spans="1:6" x14ac:dyDescent="0.2">
      <c r="A30008" t="s">
        <v>47291</v>
      </c>
      <c r="B30008" t="s">
        <v>16927</v>
      </c>
      <c r="C30008" t="s">
        <v>47292</v>
      </c>
      <c r="D30008" t="s">
        <v>47293</v>
      </c>
      <c r="E30008" t="s">
        <v>714</v>
      </c>
      <c r="F30008" s="2" t="str">
        <f>HYPERLINK("http://www.otzar.org/book.asp?53514","ספר הרוקח &lt;דפו""ר&gt;")</f>
        <v>ספר הרוקח &lt;דפו"ר&gt;</v>
      </c>
    </row>
    <row r="30009" spans="1:6" x14ac:dyDescent="0.2">
      <c r="A30009" t="s">
        <v>47294</v>
      </c>
      <c r="B30009" t="s">
        <v>16927</v>
      </c>
      <c r="C30009" t="s">
        <v>313</v>
      </c>
      <c r="D30009" t="s">
        <v>412</v>
      </c>
      <c r="E30009" t="s">
        <v>15</v>
      </c>
      <c r="F30009" s="2" t="str">
        <f>HYPERLINK("http://www.otzar.org/book.asp?153522","ספר הרוקח &lt;מהדורת רוזנפלד&gt; - הלכות תשובה")</f>
        <v>ספר הרוקח &lt;מהדורת רוזנפלד&gt; - הלכות תשובה</v>
      </c>
    </row>
    <row r="30010" spans="1:6" x14ac:dyDescent="0.2">
      <c r="A30010" t="s">
        <v>47295</v>
      </c>
      <c r="B30010" t="s">
        <v>16927</v>
      </c>
      <c r="C30010" t="s">
        <v>1706</v>
      </c>
      <c r="D30010" t="s">
        <v>379</v>
      </c>
      <c r="E30010" t="s">
        <v>714</v>
      </c>
      <c r="F30010" s="2" t="str">
        <f>HYPERLINK("http://www.otzar.org/book.asp?100630","ספר הרוקח - 5 כר'")</f>
        <v>ספר הרוקח - 5 כר'</v>
      </c>
    </row>
    <row r="30011" spans="1:6" x14ac:dyDescent="0.2">
      <c r="A30011" t="s">
        <v>47296</v>
      </c>
      <c r="B30011" t="s">
        <v>27568</v>
      </c>
      <c r="C30011" t="s">
        <v>330</v>
      </c>
      <c r="D30011" t="s">
        <v>49</v>
      </c>
      <c r="E30011" t="s">
        <v>104</v>
      </c>
      <c r="F30011" s="2" t="str">
        <f>HYPERLINK("http://www.otzar.org/book.asp?62187","ספר הרכבה")</f>
        <v>ספר הרכבה</v>
      </c>
    </row>
    <row r="30012" spans="1:6" x14ac:dyDescent="0.2">
      <c r="A30012" t="s">
        <v>47297</v>
      </c>
      <c r="B30012" t="s">
        <v>47298</v>
      </c>
      <c r="C30012" t="s">
        <v>422</v>
      </c>
      <c r="D30012" t="s">
        <v>17707</v>
      </c>
      <c r="E30012" t="s">
        <v>1517</v>
      </c>
      <c r="F30012" s="2" t="str">
        <f>HYPERLINK("http://www.otzar.org/book.asp?172608","ספר הרמון - ר""ה ויוה""כ")</f>
        <v>ספר הרמון - ר"ה ויוה"כ</v>
      </c>
    </row>
    <row r="30013" spans="1:6" x14ac:dyDescent="0.2">
      <c r="A30013" t="s">
        <v>47299</v>
      </c>
      <c r="B30013" t="s">
        <v>47300</v>
      </c>
      <c r="C30013" t="s">
        <v>20</v>
      </c>
      <c r="D30013" t="s">
        <v>90</v>
      </c>
      <c r="E30013" t="s">
        <v>246</v>
      </c>
      <c r="F30013" s="2" t="str">
        <f>HYPERLINK("http://www.otzar.org/book.asp?189772","ספר השבת")</f>
        <v>ספר השבת</v>
      </c>
    </row>
    <row r="30014" spans="1:6" x14ac:dyDescent="0.2">
      <c r="A30014" t="s">
        <v>47299</v>
      </c>
      <c r="B30014" t="s">
        <v>4829</v>
      </c>
      <c r="C30014" t="s">
        <v>624</v>
      </c>
      <c r="D30014" t="s">
        <v>14</v>
      </c>
      <c r="E30014" t="s">
        <v>130</v>
      </c>
      <c r="F30014" s="2" t="str">
        <f>HYPERLINK("http://www.otzar.org/book.asp?163274","ספר השבת")</f>
        <v>ספר השבת</v>
      </c>
    </row>
    <row r="30015" spans="1:6" x14ac:dyDescent="0.2">
      <c r="A30015" t="s">
        <v>47301</v>
      </c>
      <c r="B30015" t="s">
        <v>14097</v>
      </c>
      <c r="C30015" t="s">
        <v>313</v>
      </c>
      <c r="D30015" t="s">
        <v>14</v>
      </c>
      <c r="E30015" t="s">
        <v>84</v>
      </c>
      <c r="F30015" s="2" t="str">
        <f>HYPERLINK("http://www.otzar.org/book.asp?160246","ספר השדה - 2 כר'")</f>
        <v>ספר השדה - 2 כר'</v>
      </c>
    </row>
    <row r="30016" spans="1:6" x14ac:dyDescent="0.2">
      <c r="A30016" t="s">
        <v>47302</v>
      </c>
      <c r="B30016" t="s">
        <v>33991</v>
      </c>
      <c r="C30016" t="s">
        <v>785</v>
      </c>
      <c r="D30016" t="s">
        <v>6853</v>
      </c>
      <c r="E30016" t="s">
        <v>345</v>
      </c>
      <c r="F30016" s="2" t="str">
        <f>HYPERLINK("http://www.otzar.org/book.asp?176874","ספר השו""ת - 3 כר'")</f>
        <v>ספר השו"ת - 3 כר'</v>
      </c>
    </row>
    <row r="30017" spans="1:6" x14ac:dyDescent="0.2">
      <c r="A30017" t="s">
        <v>47303</v>
      </c>
      <c r="B30017" t="s">
        <v>47239</v>
      </c>
      <c r="C30017" t="s">
        <v>37</v>
      </c>
      <c r="D30017" t="s">
        <v>52</v>
      </c>
      <c r="E30017" t="s">
        <v>15</v>
      </c>
      <c r="F30017" s="2" t="str">
        <f>HYPERLINK("http://www.otzar.org/book.asp?191583","ספר השטרות (מהדורת ריבלין)")</f>
        <v>ספר השטרות (מהדורת ריבלין)</v>
      </c>
    </row>
    <row r="30018" spans="1:6" x14ac:dyDescent="0.2">
      <c r="A30018" t="s">
        <v>47304</v>
      </c>
      <c r="B30018" t="s">
        <v>13438</v>
      </c>
      <c r="C30018" t="s">
        <v>466</v>
      </c>
      <c r="D30018" t="s">
        <v>52</v>
      </c>
      <c r="E30018" t="s">
        <v>15</v>
      </c>
      <c r="F30018" s="2" t="str">
        <f>HYPERLINK("http://www.otzar.org/book.asp?50070","ספר השטרות להלכה ולמעשה")</f>
        <v>ספר השטרות להלכה ולמעשה</v>
      </c>
    </row>
    <row r="30019" spans="1:6" x14ac:dyDescent="0.2">
      <c r="A30019" t="s">
        <v>47305</v>
      </c>
      <c r="B30019" t="s">
        <v>20246</v>
      </c>
      <c r="C30019" t="s">
        <v>547</v>
      </c>
      <c r="D30019" t="s">
        <v>27</v>
      </c>
      <c r="E30019" t="s">
        <v>15</v>
      </c>
      <c r="F30019" s="2" t="str">
        <f>HYPERLINK("http://www.otzar.org/book.asp?10460","ספר השטרות")</f>
        <v>ספר השטרות</v>
      </c>
    </row>
    <row r="30020" spans="1:6" x14ac:dyDescent="0.2">
      <c r="A30020" t="s">
        <v>47305</v>
      </c>
      <c r="B30020" t="s">
        <v>47239</v>
      </c>
      <c r="C30020" t="s">
        <v>1096</v>
      </c>
      <c r="D30020" t="s">
        <v>280</v>
      </c>
      <c r="E30020" t="s">
        <v>15</v>
      </c>
      <c r="F30020" s="2" t="str">
        <f>HYPERLINK("http://www.otzar.org/book.asp?6324","ספר השטרות")</f>
        <v>ספר השטרות</v>
      </c>
    </row>
    <row r="30021" spans="1:6" x14ac:dyDescent="0.2">
      <c r="A30021" t="s">
        <v>47306</v>
      </c>
      <c r="B30021" t="s">
        <v>47307</v>
      </c>
      <c r="C30021" t="s">
        <v>624</v>
      </c>
      <c r="D30021" t="s">
        <v>52</v>
      </c>
      <c r="E30021" t="s">
        <v>15</v>
      </c>
      <c r="F30021" s="2" t="str">
        <f>HYPERLINK("http://www.otzar.org/book.asp?52241","ספר השיטות - 4 כר'")</f>
        <v>ספר השיטות - 4 כר'</v>
      </c>
    </row>
    <row r="30022" spans="1:6" x14ac:dyDescent="0.2">
      <c r="A30022" t="s">
        <v>47308</v>
      </c>
      <c r="B30022" t="s">
        <v>26625</v>
      </c>
      <c r="C30022" t="s">
        <v>176</v>
      </c>
      <c r="D30022" t="s">
        <v>14</v>
      </c>
      <c r="E30022" t="s">
        <v>1626</v>
      </c>
      <c r="F30022" s="2" t="str">
        <f>HYPERLINK("http://www.otzar.org/book.asp?64203","ספר השירים הגדול והשלם")</f>
        <v>ספר השירים הגדול והשלם</v>
      </c>
    </row>
    <row r="30023" spans="1:6" x14ac:dyDescent="0.2">
      <c r="A30023" t="s">
        <v>47309</v>
      </c>
      <c r="B30023" t="s">
        <v>1390</v>
      </c>
      <c r="C30023" t="s">
        <v>433</v>
      </c>
      <c r="D30023" t="s">
        <v>27</v>
      </c>
      <c r="E30023" t="s">
        <v>104</v>
      </c>
      <c r="F30023" s="2" t="str">
        <f>HYPERLINK("http://www.otzar.org/book.asp?13356","ספר השירים")</f>
        <v>ספר השירים</v>
      </c>
    </row>
    <row r="30024" spans="1:6" x14ac:dyDescent="0.2">
      <c r="A30024" t="s">
        <v>47309</v>
      </c>
      <c r="B30024" t="s">
        <v>47310</v>
      </c>
      <c r="C30024" t="s">
        <v>1284</v>
      </c>
      <c r="D30024" t="s">
        <v>1801</v>
      </c>
      <c r="E30024" t="s">
        <v>219</v>
      </c>
      <c r="F30024" s="2" t="str">
        <f>HYPERLINK("http://www.otzar.org/book.asp?189168","ספר השירים")</f>
        <v>ספר השירים</v>
      </c>
    </row>
    <row r="30025" spans="1:6" x14ac:dyDescent="0.2">
      <c r="A30025" t="s">
        <v>47311</v>
      </c>
      <c r="B30025" t="s">
        <v>47312</v>
      </c>
      <c r="C30025" t="s">
        <v>1388</v>
      </c>
      <c r="D30025" t="s">
        <v>412</v>
      </c>
      <c r="E30025" t="s">
        <v>15</v>
      </c>
      <c r="F30025" s="2" t="str">
        <f>HYPERLINK("http://www.otzar.org/book.asp?62238","ספר השלחן - 2 כר'")</f>
        <v>ספר השלחן - 2 כר'</v>
      </c>
    </row>
    <row r="30026" spans="1:6" x14ac:dyDescent="0.2">
      <c r="A30026" t="s">
        <v>47313</v>
      </c>
      <c r="B30026" t="s">
        <v>47314</v>
      </c>
      <c r="C30026" t="s">
        <v>160</v>
      </c>
      <c r="D30026" t="s">
        <v>412</v>
      </c>
      <c r="E30026" t="s">
        <v>202</v>
      </c>
      <c r="F30026" s="2" t="str">
        <f>HYPERLINK("http://www.otzar.org/book.asp?172248","ספר השנה - שנה טו")</f>
        <v>ספר השנה - שנה טו</v>
      </c>
    </row>
    <row r="30027" spans="1:6" x14ac:dyDescent="0.2">
      <c r="A30027" t="s">
        <v>47315</v>
      </c>
      <c r="B30027" t="s">
        <v>47316</v>
      </c>
      <c r="C30027" t="s">
        <v>466</v>
      </c>
      <c r="D30027" t="s">
        <v>14</v>
      </c>
      <c r="E30027" t="s">
        <v>104</v>
      </c>
      <c r="F30027" s="2" t="str">
        <f>HYPERLINK("http://www.otzar.org/book.asp?152605","ספר השנים לרב יהודה הכהן ראש הסדר")</f>
        <v>ספר השנים לרב יהודה הכהן ראש הסדר</v>
      </c>
    </row>
    <row r="30028" spans="1:6" x14ac:dyDescent="0.2">
      <c r="A30028" t="s">
        <v>47317</v>
      </c>
      <c r="B30028" t="s">
        <v>47318</v>
      </c>
      <c r="C30028" t="s">
        <v>624</v>
      </c>
      <c r="D30028" t="s">
        <v>14</v>
      </c>
      <c r="E30028" t="s">
        <v>158</v>
      </c>
      <c r="F30028" s="2" t="str">
        <f>HYPERLINK("http://www.otzar.org/book.asp?51132","ספר השעשועים")</f>
        <v>ספר השעשועים</v>
      </c>
    </row>
    <row r="30029" spans="1:6" x14ac:dyDescent="0.2">
      <c r="A30029" t="s">
        <v>47319</v>
      </c>
      <c r="B30029" t="s">
        <v>21196</v>
      </c>
      <c r="C30029" t="s">
        <v>47320</v>
      </c>
      <c r="D30029" t="s">
        <v>280</v>
      </c>
      <c r="E30029" t="s">
        <v>104</v>
      </c>
      <c r="F30029" s="2" t="str">
        <f>HYPERLINK("http://www.otzar.org/book.asp?100587","ספר השרשים")</f>
        <v>ספר השרשים</v>
      </c>
    </row>
    <row r="30030" spans="1:6" x14ac:dyDescent="0.2">
      <c r="A30030" t="s">
        <v>47321</v>
      </c>
      <c r="B30030" t="s">
        <v>30378</v>
      </c>
      <c r="C30030" t="s">
        <v>26828</v>
      </c>
      <c r="D30030" t="s">
        <v>340</v>
      </c>
      <c r="E30030" t="s">
        <v>104</v>
      </c>
      <c r="F30030" s="2" t="str">
        <f>HYPERLINK("http://www.otzar.org/book.asp?53516","ספר השרשים - 6 כר'")</f>
        <v>ספר השרשים - 6 כר'</v>
      </c>
    </row>
    <row r="30031" spans="1:6" x14ac:dyDescent="0.2">
      <c r="A30031" t="s">
        <v>47322</v>
      </c>
      <c r="B30031" t="s">
        <v>47323</v>
      </c>
      <c r="C30031" t="s">
        <v>454</v>
      </c>
      <c r="D30031" t="s">
        <v>8141</v>
      </c>
      <c r="E30031" t="s">
        <v>24</v>
      </c>
      <c r="F30031" s="2" t="str">
        <f>HYPERLINK("http://www.otzar.org/book.asp?16953","ספר השתיקה")</f>
        <v>ספר השתיקה</v>
      </c>
    </row>
    <row r="30032" spans="1:6" x14ac:dyDescent="0.2">
      <c r="A30032" t="s">
        <v>47324</v>
      </c>
      <c r="B30032" t="s">
        <v>47325</v>
      </c>
      <c r="C30032" t="s">
        <v>383</v>
      </c>
      <c r="D30032" t="s">
        <v>412</v>
      </c>
      <c r="E30032" t="s">
        <v>15</v>
      </c>
      <c r="F30032" s="2" t="str">
        <f>HYPERLINK("http://www.otzar.org/book.asp?61544","ספר התדיר")</f>
        <v>ספר התדיר</v>
      </c>
    </row>
    <row r="30033" spans="1:6" x14ac:dyDescent="0.2">
      <c r="A30033" t="s">
        <v>47326</v>
      </c>
      <c r="B30033" t="s">
        <v>22538</v>
      </c>
      <c r="C30033" t="s">
        <v>20</v>
      </c>
      <c r="D30033" t="s">
        <v>90</v>
      </c>
      <c r="E30033" t="s">
        <v>12089</v>
      </c>
      <c r="F30033" s="2" t="str">
        <f>HYPERLINK("http://www.otzar.org/book.asp?630248","ספר התיקונים")</f>
        <v>ספר התיקונים</v>
      </c>
    </row>
    <row r="30034" spans="1:6" x14ac:dyDescent="0.2">
      <c r="A30034" t="s">
        <v>47327</v>
      </c>
      <c r="B30034" t="s">
        <v>405</v>
      </c>
      <c r="C30034" t="s">
        <v>1160</v>
      </c>
      <c r="D30034" t="s">
        <v>27</v>
      </c>
      <c r="E30034" t="s">
        <v>104</v>
      </c>
      <c r="F30034" s="2" t="str">
        <f>HYPERLINK("http://www.otzar.org/book.asp?12123","ספר התכונה - 2 כר'")</f>
        <v>ספר התכונה - 2 כר'</v>
      </c>
    </row>
    <row r="30035" spans="1:6" x14ac:dyDescent="0.2">
      <c r="A30035" t="s">
        <v>47328</v>
      </c>
      <c r="B30035" t="s">
        <v>47329</v>
      </c>
      <c r="C30035" t="s">
        <v>5334</v>
      </c>
      <c r="D30035" t="s">
        <v>4364</v>
      </c>
      <c r="E30035" t="s">
        <v>399</v>
      </c>
      <c r="F30035" s="2" t="str">
        <f>HYPERLINK("http://www.otzar.org/book.asp?53517","ספר התמונה &lt;דפו""ר&gt; - 2 כר'")</f>
        <v>ספר התמונה &lt;דפו"ר&gt; - 2 כר'</v>
      </c>
    </row>
    <row r="30036" spans="1:6" x14ac:dyDescent="0.2">
      <c r="A30036" t="s">
        <v>47329</v>
      </c>
      <c r="B30036" t="s">
        <v>47329</v>
      </c>
      <c r="C30036" t="s">
        <v>47330</v>
      </c>
      <c r="D30036" t="s">
        <v>2069</v>
      </c>
      <c r="F30036" s="2" t="str">
        <f>HYPERLINK("http://www.otzar.org/book.asp?619304","ספר התמונה")</f>
        <v>ספר התמונה</v>
      </c>
    </row>
    <row r="30037" spans="1:6" x14ac:dyDescent="0.2">
      <c r="A30037" t="s">
        <v>47331</v>
      </c>
      <c r="B30037" t="s">
        <v>47332</v>
      </c>
      <c r="C30037" t="s">
        <v>767</v>
      </c>
      <c r="D30037" t="s">
        <v>1974</v>
      </c>
      <c r="E30037" t="s">
        <v>733</v>
      </c>
      <c r="F30037" s="2" t="str">
        <f>HYPERLINK("http://www.otzar.org/book.asp?64127","ספר התעודה ממפעל חשיפת גנזי תימן")</f>
        <v>ספר התעודה ממפעל חשיפת גנזי תימן</v>
      </c>
    </row>
    <row r="30038" spans="1:6" x14ac:dyDescent="0.2">
      <c r="A30038" t="s">
        <v>47333</v>
      </c>
      <c r="B30038" t="s">
        <v>16597</v>
      </c>
      <c r="C30038" t="s">
        <v>71</v>
      </c>
      <c r="D30038" t="s">
        <v>721</v>
      </c>
      <c r="E30038" t="s">
        <v>104</v>
      </c>
      <c r="F30038" s="2" t="str">
        <f>HYPERLINK("http://www.otzar.org/book.asp?174496","ספר התפוח")</f>
        <v>ספר התפוח</v>
      </c>
    </row>
    <row r="30039" spans="1:6" x14ac:dyDescent="0.2">
      <c r="A30039" t="s">
        <v>47334</v>
      </c>
      <c r="B30039" t="s">
        <v>7457</v>
      </c>
      <c r="C30039" t="s">
        <v>133</v>
      </c>
      <c r="D30039" t="s">
        <v>14</v>
      </c>
      <c r="E30039" t="s">
        <v>15</v>
      </c>
      <c r="F30039" s="2" t="str">
        <f>HYPERLINK("http://www.otzar.org/book.asp?179434","ספר התקנות (המגורשים)")</f>
        <v>ספר התקנות (המגורשים)</v>
      </c>
    </row>
    <row r="30040" spans="1:6" x14ac:dyDescent="0.2">
      <c r="A30040" t="s">
        <v>47335</v>
      </c>
      <c r="B30040" t="s">
        <v>47336</v>
      </c>
      <c r="C30040" t="s">
        <v>37</v>
      </c>
      <c r="D30040" t="s">
        <v>14</v>
      </c>
      <c r="E30040" t="s">
        <v>15</v>
      </c>
      <c r="F30040" s="2" t="str">
        <f>HYPERLINK("http://www.otzar.org/book.asp?182548","ספר התקנות ומנהגי ירושלים &lt;חומות ירושלים&gt;")</f>
        <v>ספר התקנות ומנהגי ירושלים &lt;חומות ירושלים&gt;</v>
      </c>
    </row>
    <row r="30041" spans="1:6" x14ac:dyDescent="0.2">
      <c r="A30041" t="s">
        <v>47337</v>
      </c>
      <c r="B30041" t="s">
        <v>47338</v>
      </c>
      <c r="C30041" t="s">
        <v>2644</v>
      </c>
      <c r="D30041" t="s">
        <v>27</v>
      </c>
      <c r="E30041" t="s">
        <v>15</v>
      </c>
      <c r="F30041" s="2" t="str">
        <f>HYPERLINK("http://www.otzar.org/book.asp?178892","ספר התקנות חברת אור תורה משמורים")</f>
        <v>ספר התקנות חברת אור תורה משמורים</v>
      </c>
    </row>
    <row r="30042" spans="1:6" x14ac:dyDescent="0.2">
      <c r="A30042" t="s">
        <v>47339</v>
      </c>
      <c r="B30042" t="s">
        <v>47340</v>
      </c>
      <c r="C30042" t="s">
        <v>1437</v>
      </c>
      <c r="D30042" t="s">
        <v>1722</v>
      </c>
      <c r="E30042" t="s">
        <v>15</v>
      </c>
      <c r="F30042" s="2" t="str">
        <f>HYPERLINK("http://www.otzar.org/book.asp?168765","ספר התקנות לדוגמא")</f>
        <v>ספר התקנות לדוגמא</v>
      </c>
    </row>
    <row r="30043" spans="1:6" x14ac:dyDescent="0.2">
      <c r="A30043" t="s">
        <v>47341</v>
      </c>
      <c r="B30043" t="s">
        <v>47342</v>
      </c>
      <c r="C30043" t="s">
        <v>1718</v>
      </c>
      <c r="D30043" t="s">
        <v>27</v>
      </c>
      <c r="E30043" t="s">
        <v>15</v>
      </c>
      <c r="F30043" s="2" t="str">
        <f>HYPERLINK("http://www.otzar.org/book.asp?178891","ספר התקנות מחברה גמילות חסדים")</f>
        <v>ספר התקנות מחברה גמילות חסדים</v>
      </c>
    </row>
    <row r="30044" spans="1:6" x14ac:dyDescent="0.2">
      <c r="A30044" t="s">
        <v>47336</v>
      </c>
      <c r="B30044" t="s">
        <v>47336</v>
      </c>
      <c r="C30044" t="s">
        <v>2076</v>
      </c>
      <c r="D30044" t="s">
        <v>14</v>
      </c>
      <c r="E30044" t="s">
        <v>674</v>
      </c>
      <c r="F30044" s="2" t="str">
        <f>HYPERLINK("http://www.otzar.org/book.asp?101995","ספר התקנות")</f>
        <v>ספר התקנות</v>
      </c>
    </row>
    <row r="30045" spans="1:6" x14ac:dyDescent="0.2">
      <c r="A30045" t="s">
        <v>47343</v>
      </c>
      <c r="B30045" t="s">
        <v>47344</v>
      </c>
      <c r="C30045" t="s">
        <v>767</v>
      </c>
      <c r="D30045" t="s">
        <v>52</v>
      </c>
      <c r="E30045" t="s">
        <v>579</v>
      </c>
      <c r="F30045" s="2" t="str">
        <f>HYPERLINK("http://www.otzar.org/book.asp?64145","ספר התרגום")</f>
        <v>ספר התרגום</v>
      </c>
    </row>
    <row r="30046" spans="1:6" x14ac:dyDescent="0.2">
      <c r="A30046" t="s">
        <v>47345</v>
      </c>
      <c r="B30046" t="s">
        <v>47346</v>
      </c>
      <c r="C30046" t="s">
        <v>13</v>
      </c>
      <c r="D30046" t="s">
        <v>1840</v>
      </c>
      <c r="E30046" t="s">
        <v>674</v>
      </c>
      <c r="F30046" s="2" t="str">
        <f>HYPERLINK("http://www.otzar.org/book.asp?143607","ספר התרומה הלכות ארץ ישראל (נוסח כת""י לונדון)")</f>
        <v>ספר התרומה הלכות ארץ ישראל (נוסח כת"י לונדון)</v>
      </c>
    </row>
    <row r="30047" spans="1:6" x14ac:dyDescent="0.2">
      <c r="A30047" t="s">
        <v>47347</v>
      </c>
      <c r="B30047" t="s">
        <v>47346</v>
      </c>
      <c r="C30047" t="s">
        <v>244</v>
      </c>
      <c r="D30047" t="s">
        <v>14</v>
      </c>
      <c r="F30047" s="2" t="str">
        <f>HYPERLINK("http://www.otzar.org/book.asp?198579","ספר התרומה - תשלומי התרומה, לעזי התרומה")</f>
        <v>ספר התרומה - תשלומי התרומה, לעזי התרומה</v>
      </c>
    </row>
    <row r="30048" spans="1:6" x14ac:dyDescent="0.2">
      <c r="A30048" t="s">
        <v>47348</v>
      </c>
      <c r="B30048" t="s">
        <v>47349</v>
      </c>
      <c r="C30048" t="s">
        <v>22883</v>
      </c>
      <c r="D30048" t="s">
        <v>49</v>
      </c>
      <c r="F30048" s="2" t="str">
        <f>HYPERLINK("http://www.otzar.org/book.asp?164886","ספר התרומה - 4 כר'")</f>
        <v>ספר התרומה - 4 כר'</v>
      </c>
    </row>
    <row r="30049" spans="1:6" x14ac:dyDescent="0.2">
      <c r="A30049" t="s">
        <v>47350</v>
      </c>
      <c r="B30049" t="s">
        <v>47351</v>
      </c>
      <c r="C30049" t="s">
        <v>12024</v>
      </c>
      <c r="D30049" t="s">
        <v>5258</v>
      </c>
      <c r="E30049" t="s">
        <v>15</v>
      </c>
      <c r="F30049" s="2" t="str">
        <f>HYPERLINK("http://www.otzar.org/book.asp?100866","ספר התרומות עם גדולי תרומה - 3 כר'")</f>
        <v>ספר התרומות עם גדולי תרומה - 3 כר'</v>
      </c>
    </row>
    <row r="30050" spans="1:6" x14ac:dyDescent="0.2">
      <c r="A30050" t="s">
        <v>47352</v>
      </c>
      <c r="B30050" t="s">
        <v>47353</v>
      </c>
      <c r="C30050" t="s">
        <v>19842</v>
      </c>
      <c r="D30050" t="s">
        <v>49</v>
      </c>
      <c r="F30050" s="2" t="str">
        <f>HYPERLINK("http://www.otzar.org/book.asp?623638","ספר התרומות עם גדולי תרומה - 2 כר'")</f>
        <v>ספר התרומות עם גדולי תרומה - 2 כר'</v>
      </c>
    </row>
    <row r="30051" spans="1:6" x14ac:dyDescent="0.2">
      <c r="A30051" t="s">
        <v>47354</v>
      </c>
      <c r="B30051" t="s">
        <v>47355</v>
      </c>
      <c r="C30051" t="s">
        <v>14216</v>
      </c>
      <c r="D30051" t="s">
        <v>76</v>
      </c>
      <c r="E30051" t="s">
        <v>15</v>
      </c>
      <c r="F30051" s="2" t="str">
        <f>HYPERLINK("http://www.otzar.org/book.asp?173034","ספר התרומות")</f>
        <v>ספר התרומות</v>
      </c>
    </row>
    <row r="30052" spans="1:6" x14ac:dyDescent="0.2">
      <c r="A30052" t="s">
        <v>47356</v>
      </c>
      <c r="B30052" t="s">
        <v>27568</v>
      </c>
      <c r="C30052" t="s">
        <v>445</v>
      </c>
      <c r="D30052" t="s">
        <v>756</v>
      </c>
      <c r="E30052" t="s">
        <v>104</v>
      </c>
      <c r="F30052" s="2" t="str">
        <f>HYPERLINK("http://www.otzar.org/book.asp?23788","ספר התשבי - 5 כר'")</f>
        <v>ספר התשבי - 5 כר'</v>
      </c>
    </row>
    <row r="30053" spans="1:6" x14ac:dyDescent="0.2">
      <c r="A30053" t="s">
        <v>47357</v>
      </c>
      <c r="B30053" t="s">
        <v>14680</v>
      </c>
      <c r="C30053" t="s">
        <v>523</v>
      </c>
      <c r="D30053" t="s">
        <v>14</v>
      </c>
      <c r="E30053" t="s">
        <v>148</v>
      </c>
      <c r="F30053" s="2" t="str">
        <f>HYPERLINK("http://www.otzar.org/book.asp?160748","ספר התשובה - 3 כר'")</f>
        <v>ספר התשובה - 3 כר'</v>
      </c>
    </row>
    <row r="30054" spans="1:6" x14ac:dyDescent="0.2">
      <c r="A30054" t="s">
        <v>47358</v>
      </c>
      <c r="B30054" t="s">
        <v>20147</v>
      </c>
      <c r="C30054" t="s">
        <v>1448</v>
      </c>
      <c r="D30054" t="s">
        <v>216</v>
      </c>
      <c r="E30054" t="s">
        <v>158</v>
      </c>
      <c r="F30054" s="2" t="str">
        <f>HYPERLINK("http://www.otzar.org/book.asp?177082","ספר ויקרא מפוסק ע""פ טעמי המקרא")</f>
        <v>ספר ויקרא מפוסק ע"פ טעמי המקרא</v>
      </c>
    </row>
    <row r="30055" spans="1:6" x14ac:dyDescent="0.2">
      <c r="A30055" t="s">
        <v>47359</v>
      </c>
      <c r="B30055" t="s">
        <v>6235</v>
      </c>
      <c r="C30055" t="s">
        <v>1166</v>
      </c>
      <c r="D30055" t="s">
        <v>225</v>
      </c>
      <c r="F30055" s="2" t="str">
        <f>HYPERLINK("http://www.otzar.org/book.asp?152987","ספר וכוח")</f>
        <v>ספר וכוח</v>
      </c>
    </row>
    <row r="30056" spans="1:6" x14ac:dyDescent="0.2">
      <c r="A30056" t="s">
        <v>47360</v>
      </c>
      <c r="B30056" t="s">
        <v>10750</v>
      </c>
      <c r="C30056" t="s">
        <v>103</v>
      </c>
      <c r="D30056" t="s">
        <v>1180</v>
      </c>
      <c r="E30056" t="s">
        <v>3055</v>
      </c>
      <c r="F30056" s="2" t="str">
        <f>HYPERLINK("http://www.otzar.org/book.asp?51443","ספר וסיפור")</f>
        <v>ספר וסיפור</v>
      </c>
    </row>
    <row r="30057" spans="1:6" x14ac:dyDescent="0.2">
      <c r="A30057" t="s">
        <v>47361</v>
      </c>
      <c r="B30057" t="s">
        <v>23909</v>
      </c>
      <c r="C30057" t="s">
        <v>51</v>
      </c>
      <c r="D30057" t="s">
        <v>52</v>
      </c>
      <c r="E30057" t="s">
        <v>202</v>
      </c>
      <c r="F30057" s="2" t="str">
        <f>HYPERLINK("http://www.otzar.org/book.asp?143511","ספר זיכרון למרן האבי עזרי")</f>
        <v>ספר זיכרון למרן האבי עזרי</v>
      </c>
    </row>
    <row r="30058" spans="1:6" x14ac:dyDescent="0.2">
      <c r="A30058" t="s">
        <v>47362</v>
      </c>
      <c r="B30058" t="s">
        <v>20328</v>
      </c>
      <c r="C30058" t="s">
        <v>3739</v>
      </c>
      <c r="D30058" t="s">
        <v>4288</v>
      </c>
      <c r="E30058" t="s">
        <v>104</v>
      </c>
      <c r="F30058" s="2" t="str">
        <f>HYPERLINK("http://www.otzar.org/book.asp?53518","ספר זכירה &lt;דפו""ר&gt;")</f>
        <v>ספר זכירה &lt;דפו"ר&gt;</v>
      </c>
    </row>
    <row r="30059" spans="1:6" x14ac:dyDescent="0.2">
      <c r="A30059" t="s">
        <v>47363</v>
      </c>
      <c r="B30059" t="s">
        <v>20328</v>
      </c>
      <c r="C30059" t="s">
        <v>422</v>
      </c>
      <c r="D30059" t="s">
        <v>52</v>
      </c>
      <c r="E30059" t="s">
        <v>674</v>
      </c>
      <c r="F30059" s="2" t="str">
        <f>HYPERLINK("http://www.otzar.org/book.asp?170423","ספר זכירה &lt;עם זכירת מנחם&gt;")</f>
        <v>ספר זכירה &lt;עם זכירת מנחם&gt;</v>
      </c>
    </row>
    <row r="30060" spans="1:6" x14ac:dyDescent="0.2">
      <c r="A30060" t="s">
        <v>47364</v>
      </c>
      <c r="B30060" t="s">
        <v>20328</v>
      </c>
      <c r="C30060" t="s">
        <v>1458</v>
      </c>
      <c r="D30060" t="s">
        <v>283</v>
      </c>
      <c r="E30060" t="s">
        <v>104</v>
      </c>
      <c r="F30060" s="2" t="str">
        <f>HYPERLINK("http://www.otzar.org/book.asp?200135","ספר זכירה")</f>
        <v>ספר זכירה</v>
      </c>
    </row>
    <row r="30061" spans="1:6" x14ac:dyDescent="0.2">
      <c r="A30061" t="s">
        <v>47365</v>
      </c>
      <c r="B30061" t="s">
        <v>47366</v>
      </c>
      <c r="C30061" t="s">
        <v>106</v>
      </c>
      <c r="D30061" t="s">
        <v>14</v>
      </c>
      <c r="E30061" t="s">
        <v>463</v>
      </c>
      <c r="F30061" s="2" t="str">
        <f>HYPERLINK("http://www.otzar.org/book.asp?143123","ספר זכר לדוד")</f>
        <v>ספר זכר לדוד</v>
      </c>
    </row>
    <row r="30062" spans="1:6" x14ac:dyDescent="0.2">
      <c r="A30062" t="s">
        <v>47367</v>
      </c>
      <c r="B30062" t="s">
        <v>47368</v>
      </c>
      <c r="C30062" t="s">
        <v>2008</v>
      </c>
      <c r="D30062" t="s">
        <v>27</v>
      </c>
      <c r="E30062" t="s">
        <v>28098</v>
      </c>
      <c r="F30062" s="2" t="str">
        <f>HYPERLINK("http://www.otzar.org/book.asp?14984","ספר זכרון &lt;ר' יצחק וינאגראד, ר' יוסף אליהו וינאגראד&gt;")</f>
        <v>ספר זכרון &lt;ר' יצחק וינאגראד, ר' יוסף אליהו וינאגראד&gt;</v>
      </c>
    </row>
    <row r="30063" spans="1:6" x14ac:dyDescent="0.2">
      <c r="A30063" t="s">
        <v>47369</v>
      </c>
      <c r="B30063" t="s">
        <v>47370</v>
      </c>
      <c r="C30063" t="s">
        <v>1448</v>
      </c>
      <c r="D30063" t="s">
        <v>14</v>
      </c>
      <c r="E30063" t="s">
        <v>202</v>
      </c>
      <c r="F30063" s="2" t="str">
        <f>HYPERLINK("http://www.otzar.org/book.asp?168310","ספר זכרון &lt;מנחת ירושלים - מנחת העומר&gt;")</f>
        <v>ספר זכרון &lt;מנחת ירושלים - מנחת העומר&gt;</v>
      </c>
    </row>
    <row r="30064" spans="1:6" x14ac:dyDescent="0.2">
      <c r="A30064" t="s">
        <v>47371</v>
      </c>
      <c r="B30064" t="s">
        <v>3299</v>
      </c>
      <c r="C30064" t="s">
        <v>1177</v>
      </c>
      <c r="D30064" t="s">
        <v>1422</v>
      </c>
      <c r="E30064" t="s">
        <v>5580</v>
      </c>
      <c r="F30064" s="2" t="str">
        <f>HYPERLINK("http://www.otzar.org/book.asp?102449","ספר זכרון &lt;חתם סופר&gt; - 2 כר'")</f>
        <v>ספר זכרון &lt;חתם סופר&gt; - 2 כר'</v>
      </c>
    </row>
    <row r="30065" spans="1:6" x14ac:dyDescent="0.2">
      <c r="A30065" t="s">
        <v>47372</v>
      </c>
      <c r="B30065" t="s">
        <v>552</v>
      </c>
      <c r="C30065" t="s">
        <v>334</v>
      </c>
      <c r="D30065" t="s">
        <v>646</v>
      </c>
      <c r="E30065" t="s">
        <v>202</v>
      </c>
      <c r="F30065" s="2" t="str">
        <f>HYPERLINK("http://www.otzar.org/book.asp?158949","ספר זכרון &lt;להרב זליג פריבלסקי&gt;")</f>
        <v>ספר זכרון &lt;להרב זליג פריבלסקי&gt;</v>
      </c>
    </row>
    <row r="30066" spans="1:6" x14ac:dyDescent="0.2">
      <c r="A30066" t="s">
        <v>47373</v>
      </c>
      <c r="B30066" t="s">
        <v>552</v>
      </c>
      <c r="C30066" t="s">
        <v>1640</v>
      </c>
      <c r="D30066" t="s">
        <v>52</v>
      </c>
      <c r="E30066" t="s">
        <v>202</v>
      </c>
      <c r="F30066" s="2" t="str">
        <f>HYPERLINK("http://www.otzar.org/book.asp?154346","ספר זכרון &lt;ר' חיים משה יהודה שניידר&gt; - 2 כר'")</f>
        <v>ספר זכרון &lt;ר' חיים משה יהודה שניידר&gt; - 2 כר'</v>
      </c>
    </row>
    <row r="30067" spans="1:6" x14ac:dyDescent="0.2">
      <c r="A30067" t="s">
        <v>47374</v>
      </c>
      <c r="B30067" t="s">
        <v>47375</v>
      </c>
      <c r="C30067" t="s">
        <v>429</v>
      </c>
      <c r="D30067" t="s">
        <v>280</v>
      </c>
      <c r="E30067" t="s">
        <v>104</v>
      </c>
      <c r="F30067" s="2" t="str">
        <f>HYPERLINK("http://www.otzar.org/book.asp?100464","ספר זכרון &lt;קמחי&gt;")</f>
        <v>ספר זכרון &lt;קמחי&gt;</v>
      </c>
    </row>
    <row r="30068" spans="1:6" x14ac:dyDescent="0.2">
      <c r="A30068" t="s">
        <v>47376</v>
      </c>
      <c r="B30068" t="s">
        <v>47377</v>
      </c>
      <c r="C30068" t="s">
        <v>71</v>
      </c>
      <c r="D30068" t="s">
        <v>14</v>
      </c>
      <c r="E30068" t="s">
        <v>5166</v>
      </c>
      <c r="F30068" s="2" t="str">
        <f>HYPERLINK("http://www.otzar.org/book.asp?176703","ספר זכרון אבוא בם")</f>
        <v>ספר זכרון אבוא בם</v>
      </c>
    </row>
    <row r="30069" spans="1:6" x14ac:dyDescent="0.2">
      <c r="A30069" t="s">
        <v>47378</v>
      </c>
      <c r="B30069" t="s">
        <v>47379</v>
      </c>
      <c r="C30069" t="s">
        <v>244</v>
      </c>
      <c r="D30069" t="s">
        <v>14</v>
      </c>
      <c r="F30069" s="2" t="str">
        <f>HYPERLINK("http://www.otzar.org/book.asp?616128","ספר זכרון אהלה של תורה - כג")</f>
        <v>ספר זכרון אהלה של תורה - כג</v>
      </c>
    </row>
    <row r="30070" spans="1:6" x14ac:dyDescent="0.2">
      <c r="A30070" t="s">
        <v>47380</v>
      </c>
      <c r="B30070" t="s">
        <v>47381</v>
      </c>
      <c r="C30070" t="s">
        <v>383</v>
      </c>
      <c r="D30070" t="s">
        <v>14</v>
      </c>
      <c r="E30070" t="s">
        <v>47382</v>
      </c>
      <c r="F30070" s="2" t="str">
        <f>HYPERLINK("http://www.otzar.org/book.asp?154426","ספר זכרון אילת אהבים אש""ד הנחלים")</f>
        <v>ספר זכרון אילת אהבים אש"ד הנחלים</v>
      </c>
    </row>
    <row r="30071" spans="1:6" x14ac:dyDescent="0.2">
      <c r="A30071" t="s">
        <v>47383</v>
      </c>
      <c r="B30071" t="s">
        <v>47384</v>
      </c>
      <c r="C30071" t="s">
        <v>37</v>
      </c>
      <c r="D30071" t="s">
        <v>21</v>
      </c>
      <c r="E30071" t="s">
        <v>10</v>
      </c>
      <c r="F30071" s="2" t="str">
        <f>HYPERLINK("http://www.otzar.org/book.asp?604985","ספר זכרון בחקתיך אשתעשע")</f>
        <v>ספר זכרון בחקתיך אשתעשע</v>
      </c>
    </row>
    <row r="30072" spans="1:6" x14ac:dyDescent="0.2">
      <c r="A30072" t="s">
        <v>47385</v>
      </c>
      <c r="B30072" t="s">
        <v>47386</v>
      </c>
      <c r="C30072" t="s">
        <v>129</v>
      </c>
      <c r="D30072" t="s">
        <v>14</v>
      </c>
      <c r="E30072" t="s">
        <v>202</v>
      </c>
      <c r="F30072" s="2" t="str">
        <f>HYPERLINK("http://www.otzar.org/book.asp?163747","ספר זכרון בית יהודה")</f>
        <v>ספר זכרון בית יהודה</v>
      </c>
    </row>
    <row r="30073" spans="1:6" x14ac:dyDescent="0.2">
      <c r="A30073" t="s">
        <v>47387</v>
      </c>
      <c r="B30073" t="s">
        <v>47388</v>
      </c>
      <c r="C30073" t="s">
        <v>313</v>
      </c>
      <c r="D30073" t="s">
        <v>2798</v>
      </c>
      <c r="E30073" t="s">
        <v>186</v>
      </c>
      <c r="F30073" s="2" t="str">
        <f>HYPERLINK("http://www.otzar.org/book.asp?171459","ספר זכרון הצבי והצדק")</f>
        <v>ספר זכרון הצבי והצדק</v>
      </c>
    </row>
    <row r="30074" spans="1:6" x14ac:dyDescent="0.2">
      <c r="A30074" t="s">
        <v>47389</v>
      </c>
      <c r="B30074" t="s">
        <v>47390</v>
      </c>
      <c r="C30074" t="s">
        <v>767</v>
      </c>
      <c r="D30074" t="s">
        <v>14</v>
      </c>
      <c r="E30074" t="s">
        <v>4022</v>
      </c>
      <c r="F30074" s="2" t="str">
        <f>HYPERLINK("http://www.otzar.org/book.asp?627818","ספר זכרון זכרון פנחס")</f>
        <v>ספר זכרון זכרון פנחס</v>
      </c>
    </row>
    <row r="30075" spans="1:6" x14ac:dyDescent="0.2">
      <c r="A30075" t="s">
        <v>47391</v>
      </c>
      <c r="B30075" t="s">
        <v>47392</v>
      </c>
      <c r="C30075" t="s">
        <v>313</v>
      </c>
      <c r="D30075" t="s">
        <v>14</v>
      </c>
      <c r="E30075" t="s">
        <v>202</v>
      </c>
      <c r="F30075" s="2" t="str">
        <f>HYPERLINK("http://www.otzar.org/book.asp?166183","ספר זכרון חסדי אברהם")</f>
        <v>ספר זכרון חסדי אברהם</v>
      </c>
    </row>
    <row r="30076" spans="1:6" x14ac:dyDescent="0.2">
      <c r="A30076" t="s">
        <v>47393</v>
      </c>
      <c r="B30076" t="s">
        <v>42584</v>
      </c>
      <c r="C30076" t="s">
        <v>313</v>
      </c>
      <c r="D30076" t="s">
        <v>2196</v>
      </c>
      <c r="E30076" t="s">
        <v>202</v>
      </c>
      <c r="F30076" s="2" t="str">
        <f>HYPERLINK("http://www.otzar.org/book.asp?163989","ספר זכרון יד משה צבי הלוי")</f>
        <v>ספר זכרון יד משה צבי הלוי</v>
      </c>
    </row>
    <row r="30077" spans="1:6" x14ac:dyDescent="0.2">
      <c r="A30077" t="s">
        <v>47394</v>
      </c>
      <c r="B30077" t="s">
        <v>37876</v>
      </c>
      <c r="C30077" t="s">
        <v>422</v>
      </c>
      <c r="D30077" t="s">
        <v>14</v>
      </c>
      <c r="F30077" s="2" t="str">
        <f>HYPERLINK("http://www.otzar.org/book.asp?191222","ספר זכרון ישרים יעלוזו")</f>
        <v>ספר זכרון ישרים יעלוזו</v>
      </c>
    </row>
    <row r="30078" spans="1:6" x14ac:dyDescent="0.2">
      <c r="A30078" t="s">
        <v>47395</v>
      </c>
      <c r="B30078" t="s">
        <v>47396</v>
      </c>
      <c r="C30078" t="s">
        <v>366</v>
      </c>
      <c r="D30078" t="s">
        <v>14</v>
      </c>
      <c r="F30078" s="2" t="str">
        <f>HYPERLINK("http://www.otzar.org/book.asp?608842","ספר זכרון כרם ישראל")</f>
        <v>ספר זכרון כרם ישראל</v>
      </c>
    </row>
    <row r="30079" spans="1:6" x14ac:dyDescent="0.2">
      <c r="A30079" t="s">
        <v>47397</v>
      </c>
      <c r="B30079" t="s">
        <v>47398</v>
      </c>
      <c r="C30079" t="s">
        <v>20</v>
      </c>
      <c r="D30079" t="s">
        <v>3560</v>
      </c>
      <c r="E30079" t="s">
        <v>202</v>
      </c>
      <c r="F30079" s="2" t="str">
        <f>HYPERLINK("http://www.otzar.org/book.asp?151603","ספר זכרון לגרח""ש ברוק")</f>
        <v>ספר זכרון לגרח"ש ברוק</v>
      </c>
    </row>
    <row r="30080" spans="1:6" x14ac:dyDescent="0.2">
      <c r="A30080" t="s">
        <v>47399</v>
      </c>
      <c r="B30080" t="s">
        <v>552</v>
      </c>
      <c r="C30080" t="s">
        <v>133</v>
      </c>
      <c r="D30080" t="s">
        <v>2201</v>
      </c>
      <c r="E30080" t="s">
        <v>186</v>
      </c>
      <c r="F30080" s="2" t="str">
        <f>HYPERLINK("http://www.otzar.org/book.asp?173469","ספר זכרון להג""ר נסים טולידנו")</f>
        <v>ספר זכרון להג"ר נסים טולידנו</v>
      </c>
    </row>
    <row r="30081" spans="1:6" x14ac:dyDescent="0.2">
      <c r="A30081" t="s">
        <v>47400</v>
      </c>
      <c r="B30081" t="s">
        <v>47401</v>
      </c>
      <c r="C30081" t="s">
        <v>624</v>
      </c>
      <c r="D30081" t="s">
        <v>14</v>
      </c>
      <c r="E30081" t="s">
        <v>202</v>
      </c>
      <c r="F30081" s="2" t="str">
        <f>HYPERLINK("http://www.otzar.org/book.asp?13087","ספר זכרון להגאון רבי שילה רפאל זצ""ל - 2 כר'")</f>
        <v>ספר זכרון להגאון רבי שילה רפאל זצ"ל - 2 כר'</v>
      </c>
    </row>
    <row r="30082" spans="1:6" x14ac:dyDescent="0.2">
      <c r="A30082" t="s">
        <v>47402</v>
      </c>
      <c r="B30082" t="s">
        <v>47403</v>
      </c>
      <c r="C30082" t="s">
        <v>111</v>
      </c>
      <c r="D30082" t="s">
        <v>14</v>
      </c>
      <c r="E30082" t="s">
        <v>202</v>
      </c>
      <c r="F30082" s="2" t="str">
        <f>HYPERLINK("http://www.otzar.org/book.asp?626067","ספר זכרון להגאון רבי שמואל דוד ורשבצ'יק")</f>
        <v>ספר זכרון להגאון רבי שמואל דוד ורשבצ'יק</v>
      </c>
    </row>
    <row r="30083" spans="1:6" x14ac:dyDescent="0.2">
      <c r="A30083" t="s">
        <v>47404</v>
      </c>
      <c r="B30083" t="s">
        <v>23745</v>
      </c>
      <c r="C30083">
        <v>1908</v>
      </c>
      <c r="D30083" t="s">
        <v>47405</v>
      </c>
      <c r="E30083" t="s">
        <v>202</v>
      </c>
      <c r="F30083" s="2" t="str">
        <f>HYPERLINK("http://www.otzar.org/book.asp?612547","ספר זכרון להרכבי - החלק הלועזי")</f>
        <v>ספר זכרון להרכבי - החלק הלועזי</v>
      </c>
    </row>
    <row r="30084" spans="1:6" x14ac:dyDescent="0.2">
      <c r="A30084" t="s">
        <v>47406</v>
      </c>
      <c r="B30084" t="s">
        <v>552</v>
      </c>
      <c r="C30084" t="s">
        <v>624</v>
      </c>
      <c r="D30084" t="s">
        <v>14</v>
      </c>
      <c r="E30084" t="s">
        <v>202</v>
      </c>
      <c r="F30084" s="2" t="str">
        <f>HYPERLINK("http://www.otzar.org/book.asp?60098","ספר זכרון לע""נ הבחור אביגדור כהן ז""ל")</f>
        <v>ספר זכרון לע"נ הבחור אביגדור כהן ז"ל</v>
      </c>
    </row>
    <row r="30085" spans="1:6" x14ac:dyDescent="0.2">
      <c r="A30085" t="s">
        <v>47407</v>
      </c>
      <c r="B30085" t="s">
        <v>552</v>
      </c>
      <c r="C30085" t="s">
        <v>8</v>
      </c>
      <c r="D30085" t="s">
        <v>3214</v>
      </c>
      <c r="E30085" t="s">
        <v>202</v>
      </c>
      <c r="F30085" s="2" t="str">
        <f>HYPERLINK("http://www.otzar.org/book.asp?604384","ספר זכרון לפוזננסקי (החלק הלועזי)")</f>
        <v>ספר זכרון לפוזננסקי (החלק הלועזי)</v>
      </c>
    </row>
    <row r="30086" spans="1:6" x14ac:dyDescent="0.2">
      <c r="A30086" t="s">
        <v>47408</v>
      </c>
      <c r="B30086" t="s">
        <v>47409</v>
      </c>
      <c r="C30086" t="s">
        <v>547</v>
      </c>
      <c r="D30086" t="s">
        <v>27</v>
      </c>
      <c r="E30086" t="s">
        <v>202</v>
      </c>
      <c r="F30086" s="2" t="str">
        <f>HYPERLINK("http://www.otzar.org/book.asp?106939","ספר זכרון לקדושי ישיבת חברון")</f>
        <v>ספר זכרון לקדושי ישיבת חברון</v>
      </c>
    </row>
    <row r="30087" spans="1:6" x14ac:dyDescent="0.2">
      <c r="A30087" t="s">
        <v>47410</v>
      </c>
      <c r="B30087" t="s">
        <v>9358</v>
      </c>
      <c r="C30087" t="s">
        <v>1448</v>
      </c>
      <c r="D30087" t="s">
        <v>90</v>
      </c>
      <c r="E30087" t="s">
        <v>202</v>
      </c>
      <c r="F30087" s="2" t="str">
        <f>HYPERLINK("http://www.otzar.org/book.asp?191244","ספר זכרון לקהילת קליינווארדיין והסביבה")</f>
        <v>ספר זכרון לקהילת קליינווארדיין והסביבה</v>
      </c>
    </row>
    <row r="30088" spans="1:6" x14ac:dyDescent="0.2">
      <c r="A30088" t="s">
        <v>47411</v>
      </c>
      <c r="B30088" t="s">
        <v>552</v>
      </c>
      <c r="C30088" t="s">
        <v>8</v>
      </c>
      <c r="D30088" t="s">
        <v>15270</v>
      </c>
      <c r="E30088" t="s">
        <v>47412</v>
      </c>
      <c r="F30088" s="2" t="str">
        <f>HYPERLINK("http://www.otzar.org/book.asp?14820","ספר זכרון לר' שמואל אברהם פוזננסקי")</f>
        <v>ספר זכרון לר' שמואל אברהם פוזננסקי</v>
      </c>
    </row>
    <row r="30089" spans="1:6" x14ac:dyDescent="0.2">
      <c r="A30089" t="s">
        <v>47413</v>
      </c>
      <c r="B30089" t="s">
        <v>47414</v>
      </c>
      <c r="C30089" t="s">
        <v>180</v>
      </c>
      <c r="D30089" t="s">
        <v>52</v>
      </c>
      <c r="E30089" t="s">
        <v>583</v>
      </c>
      <c r="F30089" s="2" t="str">
        <f>HYPERLINK("http://www.otzar.org/book.asp?26081","ספר זכרון לרבי יצחק אייזיק הלוי")</f>
        <v>ספר זכרון לרבי יצחק אייזיק הלוי</v>
      </c>
    </row>
    <row r="30090" spans="1:6" x14ac:dyDescent="0.2">
      <c r="A30090" t="s">
        <v>47415</v>
      </c>
      <c r="B30090" t="s">
        <v>47416</v>
      </c>
      <c r="C30090" t="s">
        <v>71</v>
      </c>
      <c r="D30090" t="s">
        <v>52</v>
      </c>
      <c r="E30090" t="s">
        <v>384</v>
      </c>
      <c r="F30090" s="2" t="str">
        <f>HYPERLINK("http://www.otzar.org/book.asp?64260","ספר זכרון מעשה נסים")</f>
        <v>ספר זכרון מעשה נסים</v>
      </c>
    </row>
    <row r="30091" spans="1:6" x14ac:dyDescent="0.2">
      <c r="A30091" t="s">
        <v>47417</v>
      </c>
      <c r="B30091" t="s">
        <v>47418</v>
      </c>
      <c r="C30091" t="s">
        <v>956</v>
      </c>
      <c r="D30091" t="s">
        <v>412</v>
      </c>
      <c r="F30091" s="2" t="str">
        <f>HYPERLINK("http://www.otzar.org/book.asp?191623","ספר זכרון סטראפקאוו - סטרופקוב")</f>
        <v>ספר זכרון סטראפקאוו - סטרופקוב</v>
      </c>
    </row>
    <row r="30092" spans="1:6" x14ac:dyDescent="0.2">
      <c r="A30092" t="s">
        <v>47419</v>
      </c>
      <c r="B30092" t="s">
        <v>552</v>
      </c>
      <c r="C30092" t="s">
        <v>68</v>
      </c>
      <c r="D30092" t="s">
        <v>90</v>
      </c>
      <c r="E30092" t="s">
        <v>2091</v>
      </c>
      <c r="F30092" s="2" t="str">
        <f>HYPERLINK("http://www.otzar.org/book.asp?153438","ספר זכרון עיונים בתענית - 2 כר'")</f>
        <v>ספר זכרון עיונים בתענית - 2 כר'</v>
      </c>
    </row>
    <row r="30093" spans="1:6" x14ac:dyDescent="0.2">
      <c r="A30093" t="s">
        <v>47420</v>
      </c>
      <c r="B30093" t="s">
        <v>47421</v>
      </c>
      <c r="C30093" t="s">
        <v>180</v>
      </c>
      <c r="D30093" t="s">
        <v>14</v>
      </c>
      <c r="E30093" t="s">
        <v>19043</v>
      </c>
      <c r="F30093" s="2" t="str">
        <f>HYPERLINK("http://www.otzar.org/book.asp?150566","ספר זכרון עמוד השלשה")</f>
        <v>ספר זכרון עמוד השלשה</v>
      </c>
    </row>
    <row r="30094" spans="1:6" x14ac:dyDescent="0.2">
      <c r="A30094" t="s">
        <v>47422</v>
      </c>
      <c r="B30094" t="s">
        <v>47423</v>
      </c>
      <c r="C30094" t="s">
        <v>114</v>
      </c>
      <c r="D30094" t="s">
        <v>90</v>
      </c>
      <c r="E30094" t="s">
        <v>144</v>
      </c>
      <c r="F30094" s="2" t="str">
        <f>HYPERLINK("http://www.otzar.org/book.asp?179563","ספר זכרון עקבי יהודה - חולין")</f>
        <v>ספר זכרון עקבי יהודה - חולין</v>
      </c>
    </row>
    <row r="30095" spans="1:6" x14ac:dyDescent="0.2">
      <c r="A30095" t="s">
        <v>47424</v>
      </c>
      <c r="B30095" t="s">
        <v>47425</v>
      </c>
      <c r="C30095" t="s">
        <v>2550</v>
      </c>
      <c r="D30095" t="s">
        <v>14</v>
      </c>
      <c r="E30095" t="s">
        <v>202</v>
      </c>
      <c r="F30095" s="2" t="str">
        <f>HYPERLINK("http://www.otzar.org/book.asp?100460","ספר זכרון רבינו שמואל סלאנט")</f>
        <v>ספר זכרון רבינו שמואל סלאנט</v>
      </c>
    </row>
    <row r="30096" spans="1:6" x14ac:dyDescent="0.2">
      <c r="A30096" t="s">
        <v>47426</v>
      </c>
      <c r="B30096" t="s">
        <v>47427</v>
      </c>
      <c r="C30096" t="s">
        <v>411</v>
      </c>
      <c r="D30096" t="s">
        <v>245</v>
      </c>
      <c r="E30096" t="s">
        <v>202</v>
      </c>
      <c r="F30096" s="2" t="str">
        <f>HYPERLINK("http://www.otzar.org/book.asp?172924","ספר זכרון רוח יוסף")</f>
        <v>ספר זכרון רוח יוסף</v>
      </c>
    </row>
    <row r="30097" spans="1:6" x14ac:dyDescent="0.2">
      <c r="A30097" t="s">
        <v>47428</v>
      </c>
      <c r="B30097" t="s">
        <v>47429</v>
      </c>
      <c r="C30097" t="s">
        <v>37</v>
      </c>
      <c r="D30097" t="s">
        <v>14</v>
      </c>
      <c r="E30097" t="s">
        <v>2091</v>
      </c>
      <c r="F30097" s="2" t="str">
        <f>HYPERLINK("http://www.otzar.org/book.asp?189154","ספר זכרון שירת מרים")</f>
        <v>ספר זכרון שירת מרים</v>
      </c>
    </row>
    <row r="30098" spans="1:6" x14ac:dyDescent="0.2">
      <c r="A30098" t="s">
        <v>47430</v>
      </c>
      <c r="B30098" t="s">
        <v>47431</v>
      </c>
      <c r="C30098" t="s">
        <v>777</v>
      </c>
      <c r="D30098" t="s">
        <v>563</v>
      </c>
      <c r="E30098" t="s">
        <v>202</v>
      </c>
      <c r="F30098" s="2" t="str">
        <f>HYPERLINK("http://www.otzar.org/book.asp?196236","ספר זכרון - למרן ר' חיים עוזר גרודזינסקי זצ""ל")</f>
        <v>ספר זכרון - למרן ר' חיים עוזר גרודזינסקי זצ"ל</v>
      </c>
    </row>
    <row r="30099" spans="1:6" x14ac:dyDescent="0.2">
      <c r="A30099" t="s">
        <v>552</v>
      </c>
      <c r="B30099" t="s">
        <v>15191</v>
      </c>
      <c r="C30099" t="s">
        <v>99</v>
      </c>
      <c r="D30099" t="s">
        <v>947</v>
      </c>
      <c r="E30099" t="s">
        <v>47432</v>
      </c>
      <c r="F30099" s="2" t="str">
        <f>HYPERLINK("http://www.otzar.org/book.asp?20368","ספר זכרון")</f>
        <v>ספר זכרון</v>
      </c>
    </row>
    <row r="30100" spans="1:6" x14ac:dyDescent="0.2">
      <c r="A30100" t="s">
        <v>552</v>
      </c>
      <c r="B30100" t="s">
        <v>4694</v>
      </c>
      <c r="C30100" t="s">
        <v>624</v>
      </c>
      <c r="D30100" t="s">
        <v>2201</v>
      </c>
      <c r="E30100" t="s">
        <v>202</v>
      </c>
      <c r="F30100" s="2" t="str">
        <f>HYPERLINK("http://www.otzar.org/book.asp?148849","ספר זכרון")</f>
        <v>ספר זכרון</v>
      </c>
    </row>
    <row r="30101" spans="1:6" x14ac:dyDescent="0.2">
      <c r="A30101" t="s">
        <v>47433</v>
      </c>
      <c r="B30101" t="s">
        <v>16542</v>
      </c>
      <c r="C30101" t="s">
        <v>1047</v>
      </c>
      <c r="D30101" t="s">
        <v>283</v>
      </c>
      <c r="E30101" t="s">
        <v>172</v>
      </c>
      <c r="F30101" s="2" t="str">
        <f>HYPERLINK("http://www.otzar.org/book.asp?189522","ספר זכרון - 2 כר'")</f>
        <v>ספר זכרון - 2 כר'</v>
      </c>
    </row>
    <row r="30102" spans="1:6" x14ac:dyDescent="0.2">
      <c r="A30102" t="s">
        <v>552</v>
      </c>
      <c r="B30102" t="s">
        <v>964</v>
      </c>
      <c r="C30102" t="s">
        <v>854</v>
      </c>
      <c r="D30102" t="s">
        <v>4269</v>
      </c>
      <c r="E30102" t="s">
        <v>104</v>
      </c>
      <c r="F30102" s="2" t="str">
        <f>HYPERLINK("http://www.otzar.org/book.asp?148132","ספר זכרון")</f>
        <v>ספר זכרון</v>
      </c>
    </row>
    <row r="30103" spans="1:6" x14ac:dyDescent="0.2">
      <c r="A30103" t="s">
        <v>47433</v>
      </c>
      <c r="B30103" t="s">
        <v>3299</v>
      </c>
      <c r="C30103" t="s">
        <v>777</v>
      </c>
      <c r="D30103" t="s">
        <v>14182</v>
      </c>
      <c r="E30103" t="s">
        <v>202</v>
      </c>
      <c r="F30103" s="2" t="str">
        <f>HYPERLINK("http://www.otzar.org/book.asp?196237","ספר זכרון - 2 כר'")</f>
        <v>ספר זכרון - 2 כר'</v>
      </c>
    </row>
    <row r="30104" spans="1:6" x14ac:dyDescent="0.2">
      <c r="A30104" t="s">
        <v>552</v>
      </c>
      <c r="B30104" t="s">
        <v>47434</v>
      </c>
      <c r="C30104" t="s">
        <v>390</v>
      </c>
      <c r="D30104" t="s">
        <v>21</v>
      </c>
      <c r="E30104" t="s">
        <v>202</v>
      </c>
      <c r="F30104" s="2" t="str">
        <f>HYPERLINK("http://www.otzar.org/book.asp?195219","ספר זכרון")</f>
        <v>ספר זכרון</v>
      </c>
    </row>
    <row r="30105" spans="1:6" x14ac:dyDescent="0.2">
      <c r="A30105" t="s">
        <v>47435</v>
      </c>
      <c r="B30105" t="s">
        <v>47436</v>
      </c>
      <c r="C30105" t="s">
        <v>23</v>
      </c>
      <c r="D30105" t="s">
        <v>21</v>
      </c>
      <c r="E30105" t="s">
        <v>202</v>
      </c>
      <c r="F30105" s="2" t="str">
        <f>HYPERLINK("http://www.otzar.org/book.asp?193430","ספר זכרון - אבא ז""ל")</f>
        <v>ספר זכרון - אבא ז"ל</v>
      </c>
    </row>
    <row r="30106" spans="1:6" x14ac:dyDescent="0.2">
      <c r="A30106" t="s">
        <v>552</v>
      </c>
      <c r="B30106" t="s">
        <v>47437</v>
      </c>
      <c r="C30106" t="s">
        <v>1448</v>
      </c>
      <c r="D30106" t="s">
        <v>646</v>
      </c>
      <c r="F30106" s="2" t="str">
        <f>HYPERLINK("http://www.otzar.org/book.asp?615821","ספר זכרון")</f>
        <v>ספר זכרון</v>
      </c>
    </row>
    <row r="30107" spans="1:6" x14ac:dyDescent="0.2">
      <c r="A30107" t="s">
        <v>552</v>
      </c>
      <c r="B30107" t="s">
        <v>47438</v>
      </c>
      <c r="C30107" t="s">
        <v>5156</v>
      </c>
      <c r="D30107" t="s">
        <v>744</v>
      </c>
      <c r="E30107" t="s">
        <v>15</v>
      </c>
      <c r="F30107" s="2" t="str">
        <f>HYPERLINK("http://www.otzar.org/book.asp?146832","ספר זכרון")</f>
        <v>ספר זכרון</v>
      </c>
    </row>
    <row r="30108" spans="1:6" x14ac:dyDescent="0.2">
      <c r="A30108" t="s">
        <v>47439</v>
      </c>
      <c r="B30108" t="s">
        <v>27568</v>
      </c>
      <c r="C30108" t="s">
        <v>1458</v>
      </c>
      <c r="D30108" t="s">
        <v>6042</v>
      </c>
      <c r="E30108" t="s">
        <v>104</v>
      </c>
      <c r="F30108" s="2" t="str">
        <f>HYPERLINK("http://www.otzar.org/book.asp?188577","ספר זכרונות")</f>
        <v>ספר זכרונות</v>
      </c>
    </row>
    <row r="30109" spans="1:6" x14ac:dyDescent="0.2">
      <c r="A30109" t="s">
        <v>47440</v>
      </c>
      <c r="B30109" t="s">
        <v>47441</v>
      </c>
      <c r="C30109" t="s">
        <v>224</v>
      </c>
      <c r="D30109" t="s">
        <v>27</v>
      </c>
      <c r="E30109" t="s">
        <v>104</v>
      </c>
      <c r="F30109" s="2" t="str">
        <f>HYPERLINK("http://www.otzar.org/book.asp?168907","ספר זרובבל ונחמת ציון")</f>
        <v>ספר זרובבל ונחמת ציון</v>
      </c>
    </row>
    <row r="30110" spans="1:6" x14ac:dyDescent="0.2">
      <c r="A30110" t="s">
        <v>47442</v>
      </c>
      <c r="B30110" t="s">
        <v>47375</v>
      </c>
      <c r="C30110" t="s">
        <v>1418</v>
      </c>
      <c r="D30110" t="s">
        <v>1008</v>
      </c>
      <c r="E30110" t="s">
        <v>213</v>
      </c>
      <c r="F30110" s="2" t="str">
        <f>HYPERLINK("http://www.otzar.org/book.asp?145380","ספר חוקה")</f>
        <v>ספר חוקה</v>
      </c>
    </row>
    <row r="30111" spans="1:6" x14ac:dyDescent="0.2">
      <c r="A30111" t="s">
        <v>47443</v>
      </c>
      <c r="B30111" t="s">
        <v>17129</v>
      </c>
      <c r="C30111" t="s">
        <v>1768</v>
      </c>
      <c r="D30111" t="s">
        <v>4934</v>
      </c>
      <c r="E30111" t="s">
        <v>104</v>
      </c>
      <c r="F30111" s="2" t="str">
        <f>HYPERLINK("http://www.otzar.org/book.asp?167045","ספר חזון - 2 כר'")</f>
        <v>ספר חזון - 2 כר'</v>
      </c>
    </row>
    <row r="30112" spans="1:6" x14ac:dyDescent="0.2">
      <c r="A30112" t="s">
        <v>47444</v>
      </c>
      <c r="B30112" t="s">
        <v>13362</v>
      </c>
      <c r="C30112" t="s">
        <v>1414</v>
      </c>
      <c r="D30112" t="s">
        <v>47445</v>
      </c>
      <c r="E30112" t="s">
        <v>104</v>
      </c>
      <c r="F30112" s="2" t="str">
        <f>HYPERLINK("http://www.otzar.org/book.asp?191409","ספר חיים")</f>
        <v>ספר חיים</v>
      </c>
    </row>
    <row r="30113" spans="1:6" x14ac:dyDescent="0.2">
      <c r="A30113" t="s">
        <v>47446</v>
      </c>
      <c r="B30113" t="s">
        <v>155</v>
      </c>
      <c r="C30113" t="s">
        <v>63</v>
      </c>
      <c r="D30113" t="s">
        <v>14</v>
      </c>
      <c r="E30113" t="s">
        <v>15</v>
      </c>
      <c r="F30113" s="2" t="str">
        <f>HYPERLINK("http://www.otzar.org/book.asp?938","ספר חיים - 2 כר'")</f>
        <v>ספר חיים - 2 כר'</v>
      </c>
    </row>
    <row r="30114" spans="1:6" x14ac:dyDescent="0.2">
      <c r="A30114" t="s">
        <v>47444</v>
      </c>
      <c r="B30114" t="s">
        <v>1973</v>
      </c>
      <c r="C30114" t="s">
        <v>37</v>
      </c>
      <c r="D30114" t="s">
        <v>1974</v>
      </c>
      <c r="F30114" s="2" t="str">
        <f>HYPERLINK("http://www.otzar.org/book.asp?193704","ספר חיים")</f>
        <v>ספר חיים</v>
      </c>
    </row>
    <row r="30115" spans="1:6" x14ac:dyDescent="0.2">
      <c r="A30115" t="s">
        <v>47447</v>
      </c>
      <c r="B30115" t="s">
        <v>47448</v>
      </c>
      <c r="C30115" t="s">
        <v>454</v>
      </c>
      <c r="D30115" t="s">
        <v>52</v>
      </c>
      <c r="E30115" t="s">
        <v>2075</v>
      </c>
      <c r="F30115" s="2" t="str">
        <f>HYPERLINK("http://www.otzar.org/book.asp?22482","ספר חכמוני")</f>
        <v>ספר חכמוני</v>
      </c>
    </row>
    <row r="30116" spans="1:6" x14ac:dyDescent="0.2">
      <c r="A30116" t="s">
        <v>47447</v>
      </c>
      <c r="B30116" t="s">
        <v>47449</v>
      </c>
      <c r="C30116" t="s">
        <v>20</v>
      </c>
      <c r="D30116" t="s">
        <v>2347</v>
      </c>
      <c r="E30116" t="s">
        <v>1438</v>
      </c>
      <c r="F30116" s="2" t="str">
        <f>HYPERLINK("http://www.otzar.org/book.asp?13491","ספר חכמוני")</f>
        <v>ספר חכמוני</v>
      </c>
    </row>
    <row r="30117" spans="1:6" x14ac:dyDescent="0.2">
      <c r="A30117" t="s">
        <v>47450</v>
      </c>
      <c r="B30117" t="s">
        <v>47451</v>
      </c>
      <c r="C30117" t="s">
        <v>1640</v>
      </c>
      <c r="D30117" t="s">
        <v>412</v>
      </c>
      <c r="E30117" t="s">
        <v>5935</v>
      </c>
      <c r="F30117" s="2" t="str">
        <f>HYPERLINK("http://www.otzar.org/book.asp?13817","ספר חסידים &lt;משנת אברהם&gt; - 3 כר'")</f>
        <v>ספר חסידים &lt;משנת אברהם&gt; - 3 כר'</v>
      </c>
    </row>
    <row r="30118" spans="1:6" x14ac:dyDescent="0.2">
      <c r="A30118" t="s">
        <v>47452</v>
      </c>
      <c r="B30118" t="s">
        <v>6044</v>
      </c>
      <c r="C30118" t="s">
        <v>600</v>
      </c>
      <c r="D30118" t="s">
        <v>8579</v>
      </c>
      <c r="E30118" t="s">
        <v>5935</v>
      </c>
      <c r="F30118" s="2" t="str">
        <f>HYPERLINK("http://www.otzar.org/book.asp?23675","ספר חסידים &lt;ברית עולם&gt;")</f>
        <v>ספר חסידים &lt;ברית עולם&gt;</v>
      </c>
    </row>
    <row r="30119" spans="1:6" x14ac:dyDescent="0.2">
      <c r="A30119" t="s">
        <v>47453</v>
      </c>
      <c r="B30119" t="s">
        <v>6044</v>
      </c>
      <c r="C30119" t="s">
        <v>47454</v>
      </c>
      <c r="D30119" t="s">
        <v>4248</v>
      </c>
      <c r="E30119" t="s">
        <v>5935</v>
      </c>
      <c r="F30119" s="2" t="str">
        <f>HYPERLINK("http://www.otzar.org/book.asp?53519","ספר חסידים &lt;דפו""ר&gt;")</f>
        <v>ספר חסידים &lt;דפו"ר&gt;</v>
      </c>
    </row>
    <row r="30120" spans="1:6" x14ac:dyDescent="0.2">
      <c r="A30120" t="s">
        <v>47455</v>
      </c>
      <c r="B30120" t="s">
        <v>6044</v>
      </c>
      <c r="C30120" t="s">
        <v>3690</v>
      </c>
      <c r="D30120" t="s">
        <v>280</v>
      </c>
      <c r="E30120" t="s">
        <v>1578</v>
      </c>
      <c r="F30120" s="2" t="str">
        <f>HYPERLINK("http://www.otzar.org/book.asp?12022","ספר חסידים &lt;מהדורת מקיצי נרדמים - 2 כר'")</f>
        <v>ספר חסידים &lt;מהדורת מקיצי נרדמים - 2 כר'</v>
      </c>
    </row>
    <row r="30121" spans="1:6" x14ac:dyDescent="0.2">
      <c r="A30121" t="s">
        <v>47456</v>
      </c>
      <c r="B30121" t="s">
        <v>47457</v>
      </c>
      <c r="C30121" t="s">
        <v>362</v>
      </c>
      <c r="D30121" t="s">
        <v>283</v>
      </c>
      <c r="E30121" t="s">
        <v>241</v>
      </c>
      <c r="F30121" s="2" t="str">
        <f>HYPERLINK("http://www.otzar.org/book.asp?5515","ספר חסידים החדש")</f>
        <v>ספר חסידים החדש</v>
      </c>
    </row>
    <row r="30122" spans="1:6" x14ac:dyDescent="0.2">
      <c r="A30122" t="s">
        <v>47458</v>
      </c>
      <c r="B30122" t="s">
        <v>47459</v>
      </c>
      <c r="C30122" t="s">
        <v>445</v>
      </c>
      <c r="D30122" t="s">
        <v>10557</v>
      </c>
      <c r="E30122" t="s">
        <v>241</v>
      </c>
      <c r="F30122" s="2" t="str">
        <f>HYPERLINK("http://www.otzar.org/book.asp?195975","ספר חסידים תנינא")</f>
        <v>ספר חסידים תנינא</v>
      </c>
    </row>
    <row r="30123" spans="1:6" x14ac:dyDescent="0.2">
      <c r="A30123" t="s">
        <v>47460</v>
      </c>
      <c r="B30123" t="s">
        <v>6044</v>
      </c>
      <c r="C30123" t="s">
        <v>30690</v>
      </c>
      <c r="D30123" t="s">
        <v>1396</v>
      </c>
      <c r="E30123" t="s">
        <v>5935</v>
      </c>
      <c r="F30123" s="2" t="str">
        <f>HYPERLINK("http://www.otzar.org/book.asp?53780","ספר חסידים - 8 כר'")</f>
        <v>ספר חסידים - 8 כר'</v>
      </c>
    </row>
    <row r="30124" spans="1:6" x14ac:dyDescent="0.2">
      <c r="A30124" t="s">
        <v>47461</v>
      </c>
      <c r="B30124" t="s">
        <v>47459</v>
      </c>
      <c r="C30124" t="s">
        <v>698</v>
      </c>
      <c r="D30124" t="s">
        <v>30</v>
      </c>
      <c r="E30124" t="s">
        <v>15</v>
      </c>
      <c r="F30124" s="2" t="str">
        <f>HYPERLINK("http://www.otzar.org/book.asp?161114","ספר חסידים - 2 כר'")</f>
        <v>ספר חסידים - 2 כר'</v>
      </c>
    </row>
    <row r="30125" spans="1:6" x14ac:dyDescent="0.2">
      <c r="A30125" t="s">
        <v>47462</v>
      </c>
      <c r="B30125" t="s">
        <v>14773</v>
      </c>
      <c r="C30125" t="s">
        <v>6778</v>
      </c>
      <c r="D30125" t="s">
        <v>49</v>
      </c>
      <c r="F30125" s="2" t="str">
        <f>HYPERLINK("http://www.otzar.org/book.asp?619133","ספר חרדים &lt;דפו""ר&gt; - 2 כר'")</f>
        <v>ספר חרדים &lt;דפו"ר&gt; - 2 כר'</v>
      </c>
    </row>
    <row r="30126" spans="1:6" x14ac:dyDescent="0.2">
      <c r="A30126" t="s">
        <v>47463</v>
      </c>
      <c r="B30126" t="s">
        <v>14773</v>
      </c>
      <c r="C30126" t="s">
        <v>775</v>
      </c>
      <c r="D30126" t="s">
        <v>14</v>
      </c>
      <c r="E30126" t="s">
        <v>15</v>
      </c>
      <c r="F30126" s="2" t="str">
        <f>HYPERLINK("http://www.otzar.org/book.asp?143568","ספר חרדים השלם")</f>
        <v>ספר חרדים השלם</v>
      </c>
    </row>
    <row r="30127" spans="1:6" x14ac:dyDescent="0.2">
      <c r="A30127" t="s">
        <v>47464</v>
      </c>
      <c r="B30127" t="s">
        <v>47465</v>
      </c>
      <c r="C30127" t="s">
        <v>63</v>
      </c>
      <c r="D30127" t="s">
        <v>14</v>
      </c>
      <c r="E30127" t="s">
        <v>15</v>
      </c>
      <c r="F30127" s="2" t="str">
        <f>HYPERLINK("http://www.otzar.org/book.asp?181083","ספר חרדים עם ביאור באר יהודה")</f>
        <v>ספר חרדים עם ביאור באר יהודה</v>
      </c>
    </row>
    <row r="30128" spans="1:6" x14ac:dyDescent="0.2">
      <c r="A30128" t="s">
        <v>47466</v>
      </c>
      <c r="B30128" t="s">
        <v>14773</v>
      </c>
      <c r="C30128" t="s">
        <v>224</v>
      </c>
      <c r="D30128" t="s">
        <v>38710</v>
      </c>
      <c r="E30128" t="s">
        <v>15</v>
      </c>
      <c r="F30128" s="2" t="str">
        <f>HYPERLINK("http://www.otzar.org/book.asp?144846","ספר חרדים - 4 כר'")</f>
        <v>ספר חרדים - 4 כר'</v>
      </c>
    </row>
    <row r="30129" spans="1:6" x14ac:dyDescent="0.2">
      <c r="A30129" t="s">
        <v>47467</v>
      </c>
      <c r="B30129" t="s">
        <v>14608</v>
      </c>
      <c r="C30129" t="s">
        <v>103</v>
      </c>
      <c r="D30129" t="s">
        <v>14</v>
      </c>
      <c r="E30129" t="s">
        <v>158</v>
      </c>
      <c r="F30129" s="2" t="str">
        <f>HYPERLINK("http://www.otzar.org/book.asp?143786","ספר יהושע עם פירוש באר חיים")</f>
        <v>ספר יהושע עם פירוש באר חיים</v>
      </c>
    </row>
    <row r="30130" spans="1:6" x14ac:dyDescent="0.2">
      <c r="A30130" t="s">
        <v>47468</v>
      </c>
      <c r="B30130" t="s">
        <v>290</v>
      </c>
      <c r="C30130" t="s">
        <v>989</v>
      </c>
      <c r="D30130" t="s">
        <v>14</v>
      </c>
      <c r="E30130" t="s">
        <v>158</v>
      </c>
      <c r="F30130" s="2" t="str">
        <f>HYPERLINK("http://www.otzar.org/book.asp?10227","ספר יהושע עם פירוש פורת יוסף")</f>
        <v>ספר יהושע עם פירוש פורת יוסף</v>
      </c>
    </row>
    <row r="30131" spans="1:6" x14ac:dyDescent="0.2">
      <c r="A30131" t="s">
        <v>47469</v>
      </c>
      <c r="B30131" t="s">
        <v>47197</v>
      </c>
      <c r="C30131" t="s">
        <v>1921</v>
      </c>
      <c r="D30131" t="s">
        <v>60</v>
      </c>
      <c r="E30131" t="s">
        <v>47470</v>
      </c>
      <c r="F30131" s="2" t="str">
        <f>HYPERLINK("http://www.otzar.org/book.asp?10005","ספר יהושע")</f>
        <v>ספר יהושע</v>
      </c>
    </row>
    <row r="30132" spans="1:6" x14ac:dyDescent="0.2">
      <c r="A30132" t="s">
        <v>47469</v>
      </c>
      <c r="B30132" t="s">
        <v>47471</v>
      </c>
      <c r="C30132" t="s">
        <v>777</v>
      </c>
      <c r="D30132" t="s">
        <v>27</v>
      </c>
      <c r="E30132" t="s">
        <v>957</v>
      </c>
      <c r="F30132" s="2" t="str">
        <f>HYPERLINK("http://www.otzar.org/book.asp?102508","ספר יהושע")</f>
        <v>ספר יהושע</v>
      </c>
    </row>
    <row r="30133" spans="1:6" x14ac:dyDescent="0.2">
      <c r="A30133" t="s">
        <v>47469</v>
      </c>
      <c r="B30133" t="s">
        <v>47472</v>
      </c>
      <c r="C30133" t="s">
        <v>47473</v>
      </c>
      <c r="D30133" t="s">
        <v>27</v>
      </c>
      <c r="E30133" t="s">
        <v>202</v>
      </c>
      <c r="F30133" s="2" t="str">
        <f>HYPERLINK("http://www.otzar.org/book.asp?14985","ספר יהושע")</f>
        <v>ספר יהושע</v>
      </c>
    </row>
    <row r="30134" spans="1:6" x14ac:dyDescent="0.2">
      <c r="A30134" t="s">
        <v>47474</v>
      </c>
      <c r="B30134" t="s">
        <v>38220</v>
      </c>
      <c r="C30134" t="s">
        <v>473</v>
      </c>
      <c r="D30134" t="s">
        <v>4352</v>
      </c>
      <c r="E30134" t="s">
        <v>202</v>
      </c>
      <c r="F30134" s="2" t="str">
        <f>HYPERLINK("http://www.otzar.org/book.asp?604385","ספר יובל &lt;דוד הופמן&gt;")</f>
        <v>ספר יובל &lt;דוד הופמן&gt;</v>
      </c>
    </row>
    <row r="30135" spans="1:6" x14ac:dyDescent="0.2">
      <c r="A30135" t="s">
        <v>47475</v>
      </c>
      <c r="B30135" t="s">
        <v>47476</v>
      </c>
      <c r="C30135" t="s">
        <v>1609</v>
      </c>
      <c r="D30135" t="s">
        <v>9</v>
      </c>
      <c r="E30135" t="s">
        <v>202</v>
      </c>
      <c r="F30135" s="2" t="str">
        <f>HYPERLINK("http://www.otzar.org/book.asp?52166","ספר יובל לכבוד שמואל קלמן מירסקי")</f>
        <v>ספר יובל לכבוד שמואל קלמן מירסקי</v>
      </c>
    </row>
    <row r="30136" spans="1:6" x14ac:dyDescent="0.2">
      <c r="A30136" t="s">
        <v>47477</v>
      </c>
      <c r="B30136" t="s">
        <v>47478</v>
      </c>
      <c r="C30136" t="s">
        <v>26</v>
      </c>
      <c r="D30136" t="s">
        <v>14</v>
      </c>
      <c r="E30136" t="s">
        <v>119</v>
      </c>
      <c r="F30136" s="2" t="str">
        <f>HYPERLINK("http://www.otzar.org/book.asp?28353","ספר יוחסין השלם - 3 כר'")</f>
        <v>ספר יוחסין השלם - 3 כר'</v>
      </c>
    </row>
    <row r="30137" spans="1:6" x14ac:dyDescent="0.2">
      <c r="A30137" t="s">
        <v>47479</v>
      </c>
      <c r="C30137" t="s">
        <v>133</v>
      </c>
      <c r="D30137" t="s">
        <v>16149</v>
      </c>
      <c r="E30137" t="s">
        <v>104</v>
      </c>
      <c r="F30137" s="2" t="str">
        <f>HYPERLINK("http://www.otzar.org/book.asp?611032","ספר יוחסין למשפחת ברייער גאלדהירש")</f>
        <v>ספר יוחסין למשפחת ברייער גאלדהירש</v>
      </c>
    </row>
    <row r="30138" spans="1:6" x14ac:dyDescent="0.2">
      <c r="A30138" t="s">
        <v>47480</v>
      </c>
      <c r="B30138" t="s">
        <v>47478</v>
      </c>
      <c r="C30138" t="s">
        <v>5544</v>
      </c>
      <c r="D30138" t="s">
        <v>1490</v>
      </c>
      <c r="F30138" s="2" t="str">
        <f>HYPERLINK("http://www.otzar.org/book.asp?28364","ספר יוחסין - 4 כר'")</f>
        <v>ספר יוחסין - 4 כר'</v>
      </c>
    </row>
    <row r="30139" spans="1:6" x14ac:dyDescent="0.2">
      <c r="A30139" t="s">
        <v>47481</v>
      </c>
      <c r="B30139" t="s">
        <v>6987</v>
      </c>
      <c r="C30139" t="s">
        <v>146</v>
      </c>
      <c r="D30139" t="s">
        <v>3283</v>
      </c>
      <c r="E30139" t="s">
        <v>104</v>
      </c>
      <c r="F30139" s="2" t="str">
        <f>HYPERLINK("http://www.otzar.org/book.asp?168748","ספר יוחסין")</f>
        <v>ספר יוחסין</v>
      </c>
    </row>
    <row r="30140" spans="1:6" x14ac:dyDescent="0.2">
      <c r="A30140" t="s">
        <v>47482</v>
      </c>
      <c r="B30140" t="s">
        <v>1821</v>
      </c>
      <c r="C30140" t="s">
        <v>176</v>
      </c>
      <c r="D30140" t="s">
        <v>56</v>
      </c>
      <c r="E30140" t="s">
        <v>158</v>
      </c>
      <c r="F30140" s="2" t="str">
        <f>HYPERLINK("http://www.otzar.org/book.asp?191587","ספר יונה עם ביאור הגר""א")</f>
        <v>ספר יונה עם ביאור הגר"א</v>
      </c>
    </row>
    <row r="30141" spans="1:6" x14ac:dyDescent="0.2">
      <c r="A30141" t="s">
        <v>47483</v>
      </c>
      <c r="B30141" t="s">
        <v>107</v>
      </c>
      <c r="C30141" t="s">
        <v>466</v>
      </c>
      <c r="D30141" t="s">
        <v>14</v>
      </c>
      <c r="E30141" t="s">
        <v>158</v>
      </c>
      <c r="F30141" s="2" t="str">
        <f>HYPERLINK("http://www.otzar.org/book.asp?6239","ספר יונה עם פירוש דבר ירושלים")</f>
        <v>ספר יונה עם פירוש דבר ירושלים</v>
      </c>
    </row>
    <row r="30142" spans="1:6" x14ac:dyDescent="0.2">
      <c r="A30142" t="s">
        <v>47484</v>
      </c>
      <c r="B30142" t="s">
        <v>3900</v>
      </c>
      <c r="C30142" t="s">
        <v>624</v>
      </c>
      <c r="D30142" t="s">
        <v>657</v>
      </c>
      <c r="E30142" t="s">
        <v>158</v>
      </c>
      <c r="F30142" s="2" t="str">
        <f>HYPERLINK("http://www.otzar.org/book.asp?26862","ספר יונה עם פירוש ויזרע יצחק")</f>
        <v>ספר יונה עם פירוש ויזרע יצחק</v>
      </c>
    </row>
    <row r="30143" spans="1:6" x14ac:dyDescent="0.2">
      <c r="A30143" t="s">
        <v>47485</v>
      </c>
      <c r="B30143" t="s">
        <v>47486</v>
      </c>
      <c r="C30143" t="s">
        <v>16924</v>
      </c>
      <c r="D30143" t="s">
        <v>412</v>
      </c>
      <c r="E30143" t="s">
        <v>158</v>
      </c>
      <c r="F30143" s="2" t="str">
        <f>HYPERLINK("http://www.otzar.org/book.asp?603187","ספר יונה עם פירוש כנפי יונה")</f>
        <v>ספר יונה עם פירוש כנפי יונה</v>
      </c>
    </row>
    <row r="30144" spans="1:6" x14ac:dyDescent="0.2">
      <c r="A30144" t="s">
        <v>47487</v>
      </c>
      <c r="B30144" t="s">
        <v>47488</v>
      </c>
      <c r="C30144" t="s">
        <v>454</v>
      </c>
      <c r="D30144" t="s">
        <v>14</v>
      </c>
      <c r="E30144" t="s">
        <v>158</v>
      </c>
      <c r="F30144" s="2" t="str">
        <f>HYPERLINK("http://www.otzar.org/book.asp?25500","ספר יונה עם פירוש רזי יונה")</f>
        <v>ספר יונה עם פירוש רזי יונה</v>
      </c>
    </row>
    <row r="30145" spans="1:6" x14ac:dyDescent="0.2">
      <c r="A30145" t="s">
        <v>47489</v>
      </c>
      <c r="B30145" t="s">
        <v>47490</v>
      </c>
      <c r="C30145" t="s">
        <v>1163</v>
      </c>
      <c r="D30145" t="s">
        <v>1163</v>
      </c>
      <c r="E30145" t="s">
        <v>119</v>
      </c>
      <c r="F30145" s="2" t="str">
        <f>HYPERLINK("http://www.otzar.org/book.asp?179888","ספר יוסיפון &lt;כתב יד ירושלים&gt;")</f>
        <v>ספר יוסיפון &lt;כתב יד ירושלים&gt;</v>
      </c>
    </row>
    <row r="30146" spans="1:6" x14ac:dyDescent="0.2">
      <c r="A30146" t="s">
        <v>47491</v>
      </c>
      <c r="B30146" t="s">
        <v>43323</v>
      </c>
      <c r="C30146" t="s">
        <v>124</v>
      </c>
      <c r="D30146" t="s">
        <v>52</v>
      </c>
      <c r="E30146" t="s">
        <v>158</v>
      </c>
      <c r="F30146" s="2" t="str">
        <f>HYPERLINK("http://www.otzar.org/book.asp?179170","ספר יעקב שלמה - שמואל")</f>
        <v>ספר יעקב שלמה - שמואל</v>
      </c>
    </row>
    <row r="30147" spans="1:6" x14ac:dyDescent="0.2">
      <c r="A30147" t="s">
        <v>47492</v>
      </c>
      <c r="B30147" t="s">
        <v>1821</v>
      </c>
      <c r="C30147" t="s">
        <v>151</v>
      </c>
      <c r="D30147" t="s">
        <v>14</v>
      </c>
      <c r="E30147" t="s">
        <v>43</v>
      </c>
      <c r="F30147" s="2" t="str">
        <f>HYPERLINK("http://www.otzar.org/book.asp?628487","ספר יצירה &lt;פירוש הגר""א - מהדורה חדשה&gt;")</f>
        <v>ספר יצירה &lt;פירוש הגר"א - מהדורה חדשה&gt;</v>
      </c>
    </row>
    <row r="30148" spans="1:6" x14ac:dyDescent="0.2">
      <c r="A30148" t="s">
        <v>47493</v>
      </c>
      <c r="B30148" t="s">
        <v>47494</v>
      </c>
      <c r="C30148" t="s">
        <v>5619</v>
      </c>
      <c r="D30148" t="s">
        <v>1023</v>
      </c>
      <c r="F30148" s="2" t="str">
        <f>HYPERLINK("http://www.otzar.org/book.asp?151556","ספר יצירה &lt;הקדמת הר""מ חאגיז בלבד&gt;")</f>
        <v>ספר יצירה &lt;הקדמת הר"מ חאגיז בלבד&gt;</v>
      </c>
    </row>
    <row r="30149" spans="1:6" x14ac:dyDescent="0.2">
      <c r="A30149" t="s">
        <v>47495</v>
      </c>
      <c r="B30149" t="s">
        <v>47496</v>
      </c>
      <c r="C30149" t="s">
        <v>1519</v>
      </c>
      <c r="D30149" t="s">
        <v>2041</v>
      </c>
      <c r="E30149" t="s">
        <v>43</v>
      </c>
      <c r="F30149" s="2" t="str">
        <f>HYPERLINK("http://www.otzar.org/book.asp?173201","ספר יצירה &lt;פירוש הגר""א דפו""ר&gt;")</f>
        <v>ספר יצירה &lt;פירוש הגר"א דפו"ר&gt;</v>
      </c>
    </row>
    <row r="30150" spans="1:6" x14ac:dyDescent="0.2">
      <c r="A30150" t="s">
        <v>47497</v>
      </c>
      <c r="B30150" t="s">
        <v>47498</v>
      </c>
      <c r="C30150" t="s">
        <v>47499</v>
      </c>
      <c r="D30150" t="s">
        <v>27</v>
      </c>
      <c r="F30150" s="2" t="str">
        <f>HYPERLINK("http://www.otzar.org/book.asp?152773","ספר יצירה &lt;ביאור הגר""א - תולדות יצחק&gt;")</f>
        <v>ספר יצירה &lt;ביאור הגר"א - תולדות יצחק&gt;</v>
      </c>
    </row>
    <row r="30151" spans="1:6" x14ac:dyDescent="0.2">
      <c r="A30151" t="s">
        <v>47500</v>
      </c>
      <c r="B30151" t="s">
        <v>47501</v>
      </c>
      <c r="C30151" t="s">
        <v>103</v>
      </c>
      <c r="D30151" t="s">
        <v>14</v>
      </c>
      <c r="E30151" t="s">
        <v>399</v>
      </c>
      <c r="F30151" s="2" t="str">
        <f>HYPERLINK("http://www.otzar.org/book.asp?50627","ספר יצירה &lt;רזא דיצירה&gt;")</f>
        <v>ספר יצירה &lt;רזא דיצירה&gt;</v>
      </c>
    </row>
    <row r="30152" spans="1:6" x14ac:dyDescent="0.2">
      <c r="A30152" t="s">
        <v>47502</v>
      </c>
      <c r="B30152" t="s">
        <v>1791</v>
      </c>
      <c r="C30152" t="s">
        <v>533</v>
      </c>
      <c r="D30152" t="s">
        <v>14</v>
      </c>
      <c r="E30152" t="s">
        <v>399</v>
      </c>
      <c r="F30152" s="2" t="str">
        <f>HYPERLINK("http://www.otzar.org/book.asp?106024","ספר יצירה השלם")</f>
        <v>ספר יצירה השלם</v>
      </c>
    </row>
    <row r="30153" spans="1:6" x14ac:dyDescent="0.2">
      <c r="A30153" t="s">
        <v>47503</v>
      </c>
      <c r="B30153" t="s">
        <v>47504</v>
      </c>
      <c r="C30153" t="s">
        <v>1619</v>
      </c>
      <c r="D30153" t="s">
        <v>14</v>
      </c>
      <c r="E30153" t="s">
        <v>399</v>
      </c>
      <c r="F30153" s="2" t="str">
        <f>HYPERLINK("http://www.otzar.org/book.asp?23506","ספר יצירה עם פי' רס""ג")</f>
        <v>ספר יצירה עם פי' רס"ג</v>
      </c>
    </row>
    <row r="30154" spans="1:6" x14ac:dyDescent="0.2">
      <c r="A30154" t="s">
        <v>47505</v>
      </c>
      <c r="B30154" t="s">
        <v>206</v>
      </c>
      <c r="C30154" t="s">
        <v>23</v>
      </c>
      <c r="D30154" t="s">
        <v>90</v>
      </c>
      <c r="E30154" t="s">
        <v>43</v>
      </c>
      <c r="F30154" s="2" t="str">
        <f>HYPERLINK("http://www.otzar.org/book.asp?193445","ספר יצירה עם פירוש יוצר המאורות")</f>
        <v>ספר יצירה עם פירוש יוצר המאורות</v>
      </c>
    </row>
    <row r="30155" spans="1:6" x14ac:dyDescent="0.2">
      <c r="A30155" t="s">
        <v>47506</v>
      </c>
      <c r="B30155" t="s">
        <v>47507</v>
      </c>
      <c r="C30155" t="s">
        <v>445</v>
      </c>
      <c r="D30155" t="s">
        <v>1239</v>
      </c>
      <c r="E30155" t="s">
        <v>144</v>
      </c>
      <c r="F30155" s="2" t="str">
        <f>HYPERLINK("http://www.otzar.org/book.asp?151630","ספר יצירה")</f>
        <v>ספר יצירה</v>
      </c>
    </row>
    <row r="30156" spans="1:6" x14ac:dyDescent="0.2">
      <c r="A30156" t="s">
        <v>47508</v>
      </c>
      <c r="B30156" t="s">
        <v>47509</v>
      </c>
      <c r="C30156" t="s">
        <v>854</v>
      </c>
      <c r="D30156" t="s">
        <v>563</v>
      </c>
      <c r="E30156" t="s">
        <v>399</v>
      </c>
      <c r="F30156" s="2" t="str">
        <f>HYPERLINK("http://www.otzar.org/book.asp?21516","ספר יצירה - עם פירוש אבוסהל דונש בן תמים")</f>
        <v>ספר יצירה - עם פירוש אבוסהל דונש בן תמים</v>
      </c>
    </row>
    <row r="30157" spans="1:6" x14ac:dyDescent="0.2">
      <c r="A30157" t="s">
        <v>47510</v>
      </c>
      <c r="B30157" t="s">
        <v>47511</v>
      </c>
      <c r="C30157" t="s">
        <v>1458</v>
      </c>
      <c r="D30157" t="s">
        <v>27</v>
      </c>
      <c r="E30157" t="s">
        <v>399</v>
      </c>
      <c r="F30157" s="2" t="str">
        <f>HYPERLINK("http://www.otzar.org/book.asp?102220","ספר יצירה - עם תולדות יצחק וביאור הגר""א")</f>
        <v>ספר יצירה - עם תולדות יצחק וביאור הגר"א</v>
      </c>
    </row>
    <row r="30158" spans="1:6" x14ac:dyDescent="0.2">
      <c r="A30158" t="s">
        <v>47506</v>
      </c>
      <c r="B30158" t="s">
        <v>47512</v>
      </c>
      <c r="C30158" t="s">
        <v>13371</v>
      </c>
      <c r="D30158" t="s">
        <v>1411</v>
      </c>
      <c r="E30158" t="s">
        <v>399</v>
      </c>
      <c r="F30158" s="2" t="str">
        <f>HYPERLINK("http://www.otzar.org/book.asp?53522","ספר יצירה")</f>
        <v>ספר יצירה</v>
      </c>
    </row>
    <row r="30159" spans="1:6" x14ac:dyDescent="0.2">
      <c r="A30159" t="s">
        <v>47513</v>
      </c>
      <c r="B30159" t="s">
        <v>47514</v>
      </c>
      <c r="C30159" t="s">
        <v>503</v>
      </c>
      <c r="D30159" t="s">
        <v>283</v>
      </c>
      <c r="E30159" t="s">
        <v>399</v>
      </c>
      <c r="F30159" s="2" t="str">
        <f>HYPERLINK("http://www.otzar.org/book.asp?15705","ספר יצירה - ט' פירושים")</f>
        <v>ספר יצירה - ט' פירושים</v>
      </c>
    </row>
    <row r="30160" spans="1:6" x14ac:dyDescent="0.2">
      <c r="A30160" t="s">
        <v>47515</v>
      </c>
      <c r="B30160" t="s">
        <v>47516</v>
      </c>
      <c r="C30160" t="s">
        <v>366</v>
      </c>
      <c r="D30160" t="s">
        <v>14</v>
      </c>
      <c r="F30160" s="2" t="str">
        <f>HYPERLINK("http://www.otzar.org/book.asp?619610","ספר יראה")</f>
        <v>ספר יראה</v>
      </c>
    </row>
    <row r="30161" spans="1:6" x14ac:dyDescent="0.2">
      <c r="A30161" t="s">
        <v>47515</v>
      </c>
      <c r="B30161" t="s">
        <v>47517</v>
      </c>
      <c r="C30161" t="s">
        <v>24721</v>
      </c>
      <c r="D30161" t="s">
        <v>280</v>
      </c>
      <c r="F30161" s="2" t="str">
        <f>HYPERLINK("http://www.otzar.org/book.asp?85001","ספר יראה")</f>
        <v>ספר יראה</v>
      </c>
    </row>
    <row r="30162" spans="1:6" x14ac:dyDescent="0.2">
      <c r="A30162" t="s">
        <v>47518</v>
      </c>
      <c r="B30162" t="s">
        <v>47110</v>
      </c>
      <c r="C30162" t="s">
        <v>2269</v>
      </c>
      <c r="D30162" t="s">
        <v>267</v>
      </c>
      <c r="E30162" t="s">
        <v>241</v>
      </c>
      <c r="F30162" s="2" t="str">
        <f>HYPERLINK("http://www.otzar.org/book.asp?168039","ספר יראה - ארחות חיים - מדרש כונן - כולם אהובים")</f>
        <v>ספר יראה - ארחות חיים - מדרש כונן - כולם אהובים</v>
      </c>
    </row>
    <row r="30163" spans="1:6" x14ac:dyDescent="0.2">
      <c r="A30163" t="s">
        <v>47519</v>
      </c>
      <c r="B30163" t="s">
        <v>47520</v>
      </c>
      <c r="C30163" t="s">
        <v>47521</v>
      </c>
      <c r="D30163" t="s">
        <v>56</v>
      </c>
      <c r="E30163" t="s">
        <v>674</v>
      </c>
      <c r="F30163" s="2" t="str">
        <f>HYPERLINK("http://www.otzar.org/book.asp?16407","ספר יראים &lt;תועפות ראם&gt;")</f>
        <v>ספר יראים &lt;תועפות ראם&gt;</v>
      </c>
    </row>
    <row r="30164" spans="1:6" x14ac:dyDescent="0.2">
      <c r="A30164" t="s">
        <v>47522</v>
      </c>
      <c r="B30164" t="s">
        <v>9809</v>
      </c>
      <c r="C30164" t="s">
        <v>224</v>
      </c>
      <c r="D30164" t="s">
        <v>22848</v>
      </c>
      <c r="E30164" t="s">
        <v>674</v>
      </c>
      <c r="F30164" s="2" t="str">
        <f>HYPERLINK("http://www.otzar.org/book.asp?10197","ספר יראים &lt;סביב ליראיו&gt;")</f>
        <v>ספר יראים &lt;סביב ליראיו&gt;</v>
      </c>
    </row>
    <row r="30165" spans="1:6" x14ac:dyDescent="0.2">
      <c r="A30165" t="s">
        <v>47523</v>
      </c>
      <c r="B30165" t="s">
        <v>21859</v>
      </c>
      <c r="C30165" t="s">
        <v>1278</v>
      </c>
      <c r="D30165" t="s">
        <v>47524</v>
      </c>
      <c r="E30165" t="s">
        <v>15</v>
      </c>
      <c r="F30165" s="2" t="str">
        <f>HYPERLINK("http://www.otzar.org/book.asp?627366","ספר יראים &lt;ווי העמודים&gt;")</f>
        <v>ספר יראים &lt;ווי העמודים&gt;</v>
      </c>
    </row>
    <row r="30166" spans="1:6" x14ac:dyDescent="0.2">
      <c r="A30166" t="s">
        <v>47525</v>
      </c>
      <c r="B30166" t="s">
        <v>8751</v>
      </c>
      <c r="C30166" t="s">
        <v>168</v>
      </c>
      <c r="D30166" t="s">
        <v>14</v>
      </c>
      <c r="E30166" t="s">
        <v>621</v>
      </c>
      <c r="F30166" s="2" t="str">
        <f>HYPERLINK("http://www.otzar.org/book.asp?10192","ספר יראים &lt;יראה ואהבה&gt;")</f>
        <v>ספר יראים &lt;יראה ואהבה&gt;</v>
      </c>
    </row>
    <row r="30167" spans="1:6" x14ac:dyDescent="0.2">
      <c r="A30167" t="s">
        <v>47526</v>
      </c>
      <c r="B30167" t="s">
        <v>47520</v>
      </c>
      <c r="C30167" t="s">
        <v>13</v>
      </c>
      <c r="D30167" t="s">
        <v>52</v>
      </c>
      <c r="E30167" t="s">
        <v>15</v>
      </c>
      <c r="F30167" s="2" t="str">
        <f>HYPERLINK("http://www.otzar.org/book.asp?154489","ספר יראים השלם &lt;מהדורה חדשה&gt; - 3 כר'")</f>
        <v>ספר יראים השלם &lt;מהדורה חדשה&gt; - 3 כר'</v>
      </c>
    </row>
    <row r="30168" spans="1:6" x14ac:dyDescent="0.2">
      <c r="A30168" t="s">
        <v>47527</v>
      </c>
      <c r="B30168" t="s">
        <v>47520</v>
      </c>
      <c r="C30168" t="s">
        <v>5544</v>
      </c>
      <c r="D30168" t="s">
        <v>49</v>
      </c>
      <c r="F30168" s="2" t="str">
        <f>HYPERLINK("http://www.otzar.org/book.asp?164811","ספר יראים")</f>
        <v>ספר יראים</v>
      </c>
    </row>
    <row r="30169" spans="1:6" x14ac:dyDescent="0.2">
      <c r="A30169" t="s">
        <v>47528</v>
      </c>
      <c r="B30169" t="s">
        <v>47529</v>
      </c>
      <c r="C30169" t="s">
        <v>562</v>
      </c>
      <c r="D30169" t="s">
        <v>4352</v>
      </c>
      <c r="E30169" t="s">
        <v>158</v>
      </c>
      <c r="F30169" s="2" t="str">
        <f>HYPERLINK("http://www.otzar.org/book.asp?151333","ספר ישעיה &lt;נחמות ציון&gt;")</f>
        <v>ספר ישעיה &lt;נחמות ציון&gt;</v>
      </c>
    </row>
    <row r="30170" spans="1:6" x14ac:dyDescent="0.2">
      <c r="A30170" t="s">
        <v>47530</v>
      </c>
      <c r="B30170" t="s">
        <v>47531</v>
      </c>
      <c r="C30170" t="s">
        <v>5721</v>
      </c>
      <c r="D30170" t="s">
        <v>327</v>
      </c>
      <c r="E30170" t="s">
        <v>158</v>
      </c>
      <c r="F30170" s="2" t="str">
        <f>HYPERLINK("http://www.otzar.org/book.asp?148826","ספר ישעיהו &lt;עם פירוש מלבי""ם&gt;")</f>
        <v>ספר ישעיהו &lt;עם פירוש מלבי"ם&gt;</v>
      </c>
    </row>
    <row r="30171" spans="1:6" x14ac:dyDescent="0.2">
      <c r="A30171" t="s">
        <v>47532</v>
      </c>
      <c r="B30171" t="s">
        <v>47059</v>
      </c>
      <c r="C30171" t="s">
        <v>40413</v>
      </c>
      <c r="D30171" t="s">
        <v>15675</v>
      </c>
      <c r="F30171" s="2" t="str">
        <f>HYPERLINK("http://www.otzar.org/book.asp?164841","ספר כריתות &lt;התחלת חכמה&gt;")</f>
        <v>ספר כריתות &lt;התחלת חכמה&gt;</v>
      </c>
    </row>
    <row r="30172" spans="1:6" x14ac:dyDescent="0.2">
      <c r="A30172" t="s">
        <v>47533</v>
      </c>
      <c r="B30172" t="s">
        <v>47059</v>
      </c>
      <c r="C30172" t="s">
        <v>390</v>
      </c>
      <c r="D30172" t="s">
        <v>1180</v>
      </c>
      <c r="E30172" t="s">
        <v>47534</v>
      </c>
      <c r="F30172" s="2" t="str">
        <f>HYPERLINK("http://www.otzar.org/book.asp?10500","ספר כריתות &lt;מעט צר""י ושערי המדות&gt;")</f>
        <v>ספר כריתות &lt;מעט צר"י ושערי המדות&gt;</v>
      </c>
    </row>
    <row r="30173" spans="1:6" x14ac:dyDescent="0.2">
      <c r="A30173" t="s">
        <v>47535</v>
      </c>
      <c r="B30173" t="s">
        <v>47059</v>
      </c>
      <c r="C30173" t="s">
        <v>843</v>
      </c>
      <c r="D30173" t="s">
        <v>412</v>
      </c>
      <c r="E30173" t="s">
        <v>1211</v>
      </c>
      <c r="F30173" s="2" t="str">
        <f>HYPERLINK("http://www.otzar.org/book.asp?103849","ספר כריתות &lt;מעט צרי ושערי המדות&gt;")</f>
        <v>ספר כריתות &lt;מעט צרי ושערי המדות&gt;</v>
      </c>
    </row>
    <row r="30174" spans="1:6" x14ac:dyDescent="0.2">
      <c r="A30174" t="s">
        <v>47536</v>
      </c>
      <c r="B30174" t="s">
        <v>47059</v>
      </c>
      <c r="C30174" t="s">
        <v>1640</v>
      </c>
      <c r="D30174" t="s">
        <v>14</v>
      </c>
      <c r="E30174" t="s">
        <v>47537</v>
      </c>
      <c r="F30174" s="2" t="str">
        <f>HYPERLINK("http://www.otzar.org/book.asp?11075","ספר כריתות &lt;עיטור סופרים&gt;")</f>
        <v>ספר כריתות &lt;עיטור סופרים&gt;</v>
      </c>
    </row>
    <row r="30175" spans="1:6" x14ac:dyDescent="0.2">
      <c r="A30175" t="s">
        <v>47538</v>
      </c>
      <c r="B30175" t="s">
        <v>47059</v>
      </c>
      <c r="C30175" t="s">
        <v>163</v>
      </c>
      <c r="D30175" t="s">
        <v>283</v>
      </c>
      <c r="E30175" t="s">
        <v>1211</v>
      </c>
      <c r="F30175" s="2" t="str">
        <f>HYPERLINK("http://www.otzar.org/book.asp?101232","ספר כריתות &lt;עם פירוש ליקוטי מרדכי&gt;")</f>
        <v>ספר כריתות &lt;עם פירוש ליקוטי מרדכי&gt;</v>
      </c>
    </row>
    <row r="30176" spans="1:6" x14ac:dyDescent="0.2">
      <c r="A30176" t="s">
        <v>47539</v>
      </c>
      <c r="B30176" t="s">
        <v>7457</v>
      </c>
      <c r="C30176" t="s">
        <v>133</v>
      </c>
      <c r="D30176" t="s">
        <v>14</v>
      </c>
      <c r="E30176" t="s">
        <v>15</v>
      </c>
      <c r="F30176" s="2" t="str">
        <f>HYPERLINK("http://www.otzar.org/book.asp?179432","ספר כריתות")</f>
        <v>ספר כריתות</v>
      </c>
    </row>
    <row r="30177" spans="1:6" x14ac:dyDescent="0.2">
      <c r="A30177" t="s">
        <v>47540</v>
      </c>
      <c r="B30177" t="s">
        <v>47059</v>
      </c>
      <c r="C30177" t="s">
        <v>47541</v>
      </c>
      <c r="D30177" t="s">
        <v>1490</v>
      </c>
      <c r="E30177" t="s">
        <v>15</v>
      </c>
      <c r="F30177" s="2" t="str">
        <f>HYPERLINK("http://www.otzar.org/book.asp?182135","ספר כריתות - 3 כר'")</f>
        <v>ספר כריתות - 3 כר'</v>
      </c>
    </row>
    <row r="30178" spans="1:6" x14ac:dyDescent="0.2">
      <c r="A30178" t="s">
        <v>47542</v>
      </c>
      <c r="B30178" t="s">
        <v>1990</v>
      </c>
      <c r="C30178" t="s">
        <v>111</v>
      </c>
      <c r="D30178" t="s">
        <v>152</v>
      </c>
      <c r="E30178" t="s">
        <v>172</v>
      </c>
      <c r="F30178" s="2" t="str">
        <f>HYPERLINK("http://www.otzar.org/book.asp?621191","ספר כרתי &lt;ספר המדע&gt; - המבואר")</f>
        <v>ספר כרתי &lt;ספר המדע&gt; - המבואר</v>
      </c>
    </row>
    <row r="30179" spans="1:6" x14ac:dyDescent="0.2">
      <c r="A30179" t="s">
        <v>47543</v>
      </c>
      <c r="B30179" t="s">
        <v>47544</v>
      </c>
      <c r="C30179" t="s">
        <v>445</v>
      </c>
      <c r="D30179" t="s">
        <v>27</v>
      </c>
      <c r="E30179" t="s">
        <v>213</v>
      </c>
      <c r="F30179" s="2" t="str">
        <f>HYPERLINK("http://www.otzar.org/book.asp?102244","ספר כתוב")</f>
        <v>ספר כתוב</v>
      </c>
    </row>
    <row r="30180" spans="1:6" x14ac:dyDescent="0.2">
      <c r="A30180" t="s">
        <v>47545</v>
      </c>
      <c r="B30180" t="s">
        <v>47546</v>
      </c>
      <c r="C30180" t="s">
        <v>1885</v>
      </c>
      <c r="D30180" t="s">
        <v>47547</v>
      </c>
      <c r="E30180" t="s">
        <v>2915</v>
      </c>
      <c r="F30180" s="2" t="str">
        <f>HYPERLINK("http://www.otzar.org/book.asp?7675","ספר מבי""ט")</f>
        <v>ספר מבי"ט</v>
      </c>
    </row>
    <row r="30181" spans="1:6" x14ac:dyDescent="0.2">
      <c r="A30181" t="s">
        <v>47548</v>
      </c>
      <c r="B30181" t="s">
        <v>16786</v>
      </c>
      <c r="C30181" t="s">
        <v>1524</v>
      </c>
      <c r="D30181" t="s">
        <v>45752</v>
      </c>
      <c r="E30181" t="s">
        <v>104</v>
      </c>
      <c r="F30181" s="2" t="str">
        <f>HYPERLINK("http://www.otzar.org/book.asp?100461","ספר מהלך")</f>
        <v>ספר מהלך</v>
      </c>
    </row>
    <row r="30182" spans="1:6" x14ac:dyDescent="0.2">
      <c r="A30182" t="s">
        <v>47549</v>
      </c>
      <c r="B30182" t="s">
        <v>47550</v>
      </c>
      <c r="C30182" t="s">
        <v>1374</v>
      </c>
      <c r="D30182" t="s">
        <v>44603</v>
      </c>
      <c r="E30182" t="s">
        <v>10</v>
      </c>
      <c r="F30182" s="2" t="str">
        <f>HYPERLINK("http://www.otzar.org/book.asp?28456","ספר מהרי""ל &lt;שאל שלמה&gt;")</f>
        <v>ספר מהרי"ל &lt;שאל שלמה&gt;</v>
      </c>
    </row>
    <row r="30183" spans="1:6" x14ac:dyDescent="0.2">
      <c r="A30183" t="s">
        <v>47551</v>
      </c>
      <c r="B30183" t="s">
        <v>17290</v>
      </c>
      <c r="C30183" t="s">
        <v>619</v>
      </c>
      <c r="D30183" t="s">
        <v>10393</v>
      </c>
      <c r="E30183" t="s">
        <v>674</v>
      </c>
      <c r="F30183" s="2" t="str">
        <f>HYPERLINK("http://www.otzar.org/book.asp?103896","ספר מהרי""ל &lt;עם מזרח שמש ועין השמש&gt;")</f>
        <v>ספר מהרי"ל &lt;עם מזרח שמש ועין השמש&gt;</v>
      </c>
    </row>
    <row r="30184" spans="1:6" x14ac:dyDescent="0.2">
      <c r="A30184" t="s">
        <v>47552</v>
      </c>
      <c r="B30184" t="s">
        <v>47550</v>
      </c>
      <c r="C30184" t="s">
        <v>1458</v>
      </c>
      <c r="D30184" t="s">
        <v>283</v>
      </c>
      <c r="E30184" t="s">
        <v>15</v>
      </c>
      <c r="F30184" s="2" t="str">
        <f>HYPERLINK("http://www.otzar.org/book.asp?101151","ספר מהרי""ל - 4 כר'")</f>
        <v>ספר מהרי"ל - 4 כר'</v>
      </c>
    </row>
    <row r="30185" spans="1:6" x14ac:dyDescent="0.2">
      <c r="A30185" t="s">
        <v>47553</v>
      </c>
      <c r="B30185" t="s">
        <v>34713</v>
      </c>
      <c r="C30185" t="s">
        <v>360</v>
      </c>
      <c r="D30185" t="s">
        <v>280</v>
      </c>
      <c r="E30185" t="s">
        <v>25257</v>
      </c>
      <c r="F30185" s="2" t="str">
        <f>HYPERLINK("http://www.otzar.org/book.asp?101978","ספר מוסר &lt;פרקי אבות&gt;")</f>
        <v>ספר מוסר &lt;פרקי אבות&gt;</v>
      </c>
    </row>
    <row r="30186" spans="1:6" x14ac:dyDescent="0.2">
      <c r="A30186" t="s">
        <v>47554</v>
      </c>
      <c r="B30186" t="s">
        <v>47091</v>
      </c>
      <c r="C30186" t="s">
        <v>767</v>
      </c>
      <c r="D30186" t="s">
        <v>14</v>
      </c>
      <c r="E30186" t="s">
        <v>714</v>
      </c>
      <c r="F30186" s="2" t="str">
        <f>HYPERLINK("http://www.otzar.org/book.asp?144495","ספר מוסר")</f>
        <v>ספר מוסר</v>
      </c>
    </row>
    <row r="30187" spans="1:6" x14ac:dyDescent="0.2">
      <c r="A30187" t="s">
        <v>47555</v>
      </c>
      <c r="B30187" t="s">
        <v>47556</v>
      </c>
      <c r="C30187" t="s">
        <v>496</v>
      </c>
      <c r="D30187" t="s">
        <v>1117</v>
      </c>
      <c r="E30187" t="s">
        <v>15</v>
      </c>
      <c r="F30187" s="2" t="str">
        <f>HYPERLINK("http://www.otzar.org/book.asp?103883","ספר מחכים &lt;ספר המחכים&gt;")</f>
        <v>ספר מחכים &lt;ספר המחכים&gt;</v>
      </c>
    </row>
    <row r="30188" spans="1:6" x14ac:dyDescent="0.2">
      <c r="A30188" t="s">
        <v>47557</v>
      </c>
      <c r="B30188" t="s">
        <v>47558</v>
      </c>
      <c r="C30188" t="s">
        <v>1208</v>
      </c>
      <c r="D30188" t="s">
        <v>14</v>
      </c>
      <c r="F30188" s="2" t="str">
        <f>HYPERLINK("http://www.otzar.org/book.asp?618126","ספר מירון")</f>
        <v>ספר מירון</v>
      </c>
    </row>
    <row r="30189" spans="1:6" x14ac:dyDescent="0.2">
      <c r="A30189" t="s">
        <v>47559</v>
      </c>
      <c r="B30189" t="s">
        <v>47560</v>
      </c>
      <c r="C30189" t="s">
        <v>989</v>
      </c>
      <c r="D30189" t="s">
        <v>118</v>
      </c>
      <c r="E30189" t="s">
        <v>104</v>
      </c>
      <c r="F30189" s="2" t="str">
        <f>HYPERLINK("http://www.otzar.org/book.asp?159121","ספר מלים &lt;יאסטרוב&gt; - 2 כר'")</f>
        <v>ספר מלים &lt;יאסטרוב&gt; - 2 כר'</v>
      </c>
    </row>
    <row r="30190" spans="1:6" x14ac:dyDescent="0.2">
      <c r="A30190" t="s">
        <v>47561</v>
      </c>
      <c r="B30190" t="s">
        <v>19887</v>
      </c>
      <c r="C30190" t="s">
        <v>812</v>
      </c>
      <c r="D30190" t="s">
        <v>9</v>
      </c>
      <c r="E30190" t="s">
        <v>20357</v>
      </c>
      <c r="F30190" s="2" t="str">
        <f>HYPERLINK("http://www.otzar.org/book.asp?8272","ספר מנהגים דבי מהר""ם")</f>
        <v>ספר מנהגים דבי מהר"ם</v>
      </c>
    </row>
    <row r="30191" spans="1:6" x14ac:dyDescent="0.2">
      <c r="A30191" t="s">
        <v>47562</v>
      </c>
      <c r="B30191" t="s">
        <v>38286</v>
      </c>
      <c r="C30191" t="s">
        <v>1811</v>
      </c>
      <c r="D30191" t="s">
        <v>32571</v>
      </c>
      <c r="F30191" s="2" t="str">
        <f>HYPERLINK("http://www.otzar.org/book.asp?617180","ספר מנהגים דקהלתנו פיורדא יצ""ו &lt;מנהגים דקהילתינו&gt;")</f>
        <v>ספר מנהגים דקהלתנו פיורדא יצ"ו &lt;מנהגים דקהילתינו&gt;</v>
      </c>
    </row>
    <row r="30192" spans="1:6" x14ac:dyDescent="0.2">
      <c r="A30192" t="s">
        <v>47563</v>
      </c>
      <c r="B30192" t="s">
        <v>20218</v>
      </c>
      <c r="C30192" t="s">
        <v>5823</v>
      </c>
      <c r="D30192" t="s">
        <v>307</v>
      </c>
      <c r="E30192" t="s">
        <v>11851</v>
      </c>
      <c r="F30192" s="2" t="str">
        <f>HYPERLINK("http://www.otzar.org/book.asp?23581","ספר מעשיות")</f>
        <v>ספר מעשיות</v>
      </c>
    </row>
    <row r="30193" spans="1:6" x14ac:dyDescent="0.2">
      <c r="A30193" t="s">
        <v>47564</v>
      </c>
      <c r="B30193" t="s">
        <v>47565</v>
      </c>
      <c r="C30193" t="s">
        <v>5527</v>
      </c>
      <c r="D30193" t="s">
        <v>20567</v>
      </c>
      <c r="F30193" s="2" t="str">
        <f>HYPERLINK("http://www.otzar.org/book.asp?152812","ספר מצוות גדול (סמ""ג)")</f>
        <v>ספר מצוות גדול (סמ"ג)</v>
      </c>
    </row>
    <row r="30194" spans="1:6" x14ac:dyDescent="0.2">
      <c r="A30194" t="s">
        <v>47566</v>
      </c>
      <c r="B30194" t="s">
        <v>47567</v>
      </c>
      <c r="C30194" t="s">
        <v>466</v>
      </c>
      <c r="D30194" t="s">
        <v>14</v>
      </c>
      <c r="E30194" t="s">
        <v>104</v>
      </c>
      <c r="F30194" s="2" t="str">
        <f>HYPERLINK("http://www.otzar.org/book.asp?179302","ספר מצוות הערוך - 3 כר'")</f>
        <v>ספר מצוות הערוך - 3 כר'</v>
      </c>
    </row>
    <row r="30195" spans="1:6" x14ac:dyDescent="0.2">
      <c r="A30195" t="s">
        <v>47568</v>
      </c>
      <c r="B30195" t="s">
        <v>47569</v>
      </c>
      <c r="C30195" t="s">
        <v>51</v>
      </c>
      <c r="D30195" t="s">
        <v>245</v>
      </c>
      <c r="E30195" t="s">
        <v>130</v>
      </c>
      <c r="F30195" s="2" t="str">
        <f>HYPERLINK("http://www.otzar.org/book.asp?200636","ספר מצות גדול (סמ""ג) &lt;עם אוסף פירושים&gt; - 4 כר'")</f>
        <v>ספר מצות גדול (סמ"ג) &lt;עם אוסף פירושים&gt; - 4 כר'</v>
      </c>
    </row>
    <row r="30196" spans="1:6" x14ac:dyDescent="0.2">
      <c r="A30196" t="s">
        <v>47570</v>
      </c>
      <c r="B30196" t="s">
        <v>47571</v>
      </c>
      <c r="C30196" t="s">
        <v>47572</v>
      </c>
      <c r="D30196" t="s">
        <v>47573</v>
      </c>
      <c r="F30196" s="2" t="str">
        <f>HYPERLINK("http://www.otzar.org/book.asp?194709","ספר מצות גדול (סמ""ג) &lt;ברית משה&gt; - 2 כר'")</f>
        <v>ספר מצות גדול (סמ"ג) &lt;ברית משה&gt; - 2 כר'</v>
      </c>
    </row>
    <row r="30197" spans="1:6" x14ac:dyDescent="0.2">
      <c r="A30197" t="s">
        <v>47574</v>
      </c>
      <c r="B30197" t="s">
        <v>47565</v>
      </c>
      <c r="C30197" t="s">
        <v>339</v>
      </c>
      <c r="D30197" t="s">
        <v>9012</v>
      </c>
      <c r="E30197" t="s">
        <v>104</v>
      </c>
      <c r="F30197" s="2" t="str">
        <f>HYPERLINK("http://www.otzar.org/book.asp?53523","ספר מצות גדול (סמ""ג) - 4 כר'")</f>
        <v>ספר מצות גדול (סמ"ג) - 4 כר'</v>
      </c>
    </row>
    <row r="30198" spans="1:6" x14ac:dyDescent="0.2">
      <c r="A30198" t="s">
        <v>47575</v>
      </c>
      <c r="B30198" t="s">
        <v>47565</v>
      </c>
      <c r="C30198" t="s">
        <v>16350</v>
      </c>
      <c r="D30198" t="s">
        <v>49</v>
      </c>
      <c r="E30198" t="s">
        <v>15</v>
      </c>
      <c r="F30198" s="2" t="str">
        <f>HYPERLINK("http://www.otzar.org/book.asp?155426","ספר מצות גדול - עשין")</f>
        <v>ספר מצות גדול - עשין</v>
      </c>
    </row>
    <row r="30199" spans="1:6" x14ac:dyDescent="0.2">
      <c r="A30199" t="s">
        <v>47576</v>
      </c>
      <c r="B30199" t="s">
        <v>47565</v>
      </c>
      <c r="C30199" t="s">
        <v>16350</v>
      </c>
      <c r="D30199" t="s">
        <v>1324</v>
      </c>
      <c r="F30199" s="2" t="str">
        <f>HYPERLINK("http://www.otzar.org/book.asp?622187","ספר מצות הגדול")</f>
        <v>ספר מצות הגדול</v>
      </c>
    </row>
    <row r="30200" spans="1:6" x14ac:dyDescent="0.2">
      <c r="A30200" t="s">
        <v>47577</v>
      </c>
      <c r="B30200" t="s">
        <v>19872</v>
      </c>
      <c r="C30200" t="s">
        <v>68</v>
      </c>
      <c r="D30200" t="s">
        <v>14</v>
      </c>
      <c r="E30200" t="s">
        <v>144</v>
      </c>
      <c r="F30200" s="2" t="str">
        <f>HYPERLINK("http://www.otzar.org/book.asp?613083","ספר מרדכי - בבא מציעא")</f>
        <v>ספר מרדכי - בבא מציעא</v>
      </c>
    </row>
    <row r="30201" spans="1:6" x14ac:dyDescent="0.2">
      <c r="A30201" t="s">
        <v>47578</v>
      </c>
      <c r="B30201" t="s">
        <v>3068</v>
      </c>
      <c r="C30201" t="s">
        <v>111</v>
      </c>
      <c r="D30201" t="s">
        <v>3069</v>
      </c>
      <c r="E30201" t="s">
        <v>384</v>
      </c>
      <c r="F30201" s="2" t="str">
        <f>HYPERLINK("http://www.otzar.org/book.asp?627485","ספר מרי""ח ניחוח - א")</f>
        <v>ספר מרי"ח ניחוח - א</v>
      </c>
    </row>
    <row r="30202" spans="1:6" x14ac:dyDescent="0.2">
      <c r="A30202" t="s">
        <v>47579</v>
      </c>
      <c r="B30202" t="s">
        <v>10461</v>
      </c>
      <c r="C30202" t="s">
        <v>1535</v>
      </c>
      <c r="D30202" t="s">
        <v>47580</v>
      </c>
      <c r="E30202" t="s">
        <v>1097</v>
      </c>
      <c r="F30202" s="2" t="str">
        <f>HYPERLINK("http://www.otzar.org/book.asp?193925","ספר משבח - 2 כר'")</f>
        <v>ספר משבח - 2 כר'</v>
      </c>
    </row>
    <row r="30203" spans="1:6" x14ac:dyDescent="0.2">
      <c r="A30203" t="s">
        <v>47581</v>
      </c>
      <c r="B30203" t="s">
        <v>10461</v>
      </c>
      <c r="C30203" t="s">
        <v>38528</v>
      </c>
      <c r="D30203" t="s">
        <v>3293</v>
      </c>
      <c r="E30203" t="s">
        <v>1108</v>
      </c>
      <c r="F30203" s="2" t="str">
        <f>HYPERLINK("http://www.otzar.org/book.asp?279","ספר משבי""ח - 3 כר'")</f>
        <v>ספר משבי"ח - 3 כר'</v>
      </c>
    </row>
    <row r="30204" spans="1:6" x14ac:dyDescent="0.2">
      <c r="A30204" t="s">
        <v>47582</v>
      </c>
      <c r="B30204" t="s">
        <v>15380</v>
      </c>
      <c r="C30204" t="s">
        <v>1058</v>
      </c>
      <c r="D30204" t="s">
        <v>56</v>
      </c>
      <c r="E30204" t="s">
        <v>158</v>
      </c>
      <c r="F30204" s="2" t="str">
        <f>HYPERLINK("http://www.otzar.org/book.asp?146707","ספר משלי &lt;כפלים לתושיה, משל ומליצה, מפורש, דברי חכמים&gt;")</f>
        <v>ספר משלי &lt;כפלים לתושיה, משל ומליצה, מפורש, דברי חכמים&gt;</v>
      </c>
    </row>
    <row r="30205" spans="1:6" x14ac:dyDescent="0.2">
      <c r="A30205" t="s">
        <v>47583</v>
      </c>
      <c r="B30205" t="s">
        <v>17331</v>
      </c>
      <c r="C30205" t="s">
        <v>422</v>
      </c>
      <c r="D30205" t="s">
        <v>52</v>
      </c>
      <c r="E30205" t="s">
        <v>579</v>
      </c>
      <c r="F30205" s="2" t="str">
        <f>HYPERLINK("http://www.otzar.org/book.asp?157433","ספר משלי &lt;בינה במקרא&gt;")</f>
        <v>ספר משלי &lt;בינה במקרא&gt;</v>
      </c>
    </row>
    <row r="30206" spans="1:6" x14ac:dyDescent="0.2">
      <c r="A30206" t="s">
        <v>47584</v>
      </c>
      <c r="B30206" t="s">
        <v>47585</v>
      </c>
      <c r="C30206" t="s">
        <v>1160</v>
      </c>
      <c r="D30206" t="s">
        <v>14</v>
      </c>
      <c r="E30206" t="s">
        <v>158</v>
      </c>
      <c r="F30206" s="2" t="str">
        <f>HYPERLINK("http://www.otzar.org/book.asp?14507","ספר משלי בדברי חז""ל עם ביאור דברי יעקב - 2 כר'")</f>
        <v>ספר משלי בדברי חז"ל עם ביאור דברי יעקב - 2 כר'</v>
      </c>
    </row>
    <row r="30207" spans="1:6" x14ac:dyDescent="0.2">
      <c r="A30207" t="s">
        <v>47586</v>
      </c>
      <c r="B30207" t="s">
        <v>47587</v>
      </c>
      <c r="C30207" t="s">
        <v>366</v>
      </c>
      <c r="D30207" t="s">
        <v>21</v>
      </c>
      <c r="F30207" s="2" t="str">
        <f>HYPERLINK("http://www.otzar.org/book.asp?622082","ספר משלי עם ביאורי מהר""ל מפראג")</f>
        <v>ספר משלי עם ביאורי מהר"ל מפראג</v>
      </c>
    </row>
    <row r="30208" spans="1:6" x14ac:dyDescent="0.2">
      <c r="A30208" t="s">
        <v>47588</v>
      </c>
      <c r="B30208" t="s">
        <v>107</v>
      </c>
      <c r="C30208" t="s">
        <v>103</v>
      </c>
      <c r="D30208" t="s">
        <v>14</v>
      </c>
      <c r="E30208" t="s">
        <v>158</v>
      </c>
      <c r="F30208" s="2" t="str">
        <f>HYPERLINK("http://www.otzar.org/book.asp?148254","ספר משלי עם פירוש דבר ירושלים")</f>
        <v>ספר משלי עם פירוש דבר ירושלים</v>
      </c>
    </row>
    <row r="30209" spans="1:6" x14ac:dyDescent="0.2">
      <c r="A30209" t="s">
        <v>47589</v>
      </c>
      <c r="B30209" t="s">
        <v>1440</v>
      </c>
      <c r="C30209" t="s">
        <v>1228</v>
      </c>
      <c r="D30209" t="s">
        <v>1081</v>
      </c>
      <c r="E30209" t="s">
        <v>43</v>
      </c>
      <c r="F30209" s="2" t="str">
        <f>HYPERLINK("http://www.otzar.org/book.asp?103579","ספר נחמד")</f>
        <v>ספר נחמד</v>
      </c>
    </row>
    <row r="30210" spans="1:6" x14ac:dyDescent="0.2">
      <c r="A30210" t="s">
        <v>47590</v>
      </c>
      <c r="B30210" t="s">
        <v>1361</v>
      </c>
      <c r="C30210" t="s">
        <v>445</v>
      </c>
      <c r="D30210" t="s">
        <v>691</v>
      </c>
      <c r="E30210" t="s">
        <v>241</v>
      </c>
      <c r="F30210" s="2" t="str">
        <f>HYPERLINK("http://www.otzar.org/book.asp?102061","ספר נטריקן")</f>
        <v>ספר נטריקן</v>
      </c>
    </row>
    <row r="30211" spans="1:6" x14ac:dyDescent="0.2">
      <c r="A30211" t="s">
        <v>47591</v>
      </c>
      <c r="B30211" t="s">
        <v>47592</v>
      </c>
      <c r="C30211" t="s">
        <v>47593</v>
      </c>
      <c r="D30211" t="s">
        <v>283</v>
      </c>
      <c r="E30211" t="s">
        <v>1097</v>
      </c>
      <c r="F30211" s="2" t="str">
        <f>HYPERLINK("http://www.otzar.org/book.asp?19336","ספר ניר - 3 כר'")</f>
        <v>ספר ניר - 3 כר'</v>
      </c>
    </row>
    <row r="30212" spans="1:6" x14ac:dyDescent="0.2">
      <c r="A30212" t="s">
        <v>47594</v>
      </c>
      <c r="B30212" t="s">
        <v>5975</v>
      </c>
      <c r="C30212" t="s">
        <v>1208</v>
      </c>
      <c r="D30212" t="s">
        <v>2458</v>
      </c>
      <c r="E30212" t="s">
        <v>104</v>
      </c>
      <c r="F30212" s="2" t="str">
        <f>HYPERLINK("http://www.otzar.org/book.asp?158882","ספר נמוקי יוסף לר' יוסף חביבא - תדפיס")</f>
        <v>ספר נמוקי יוסף לר' יוסף חביבא - תדפיס</v>
      </c>
    </row>
    <row r="30213" spans="1:6" x14ac:dyDescent="0.2">
      <c r="A30213" t="s">
        <v>47595</v>
      </c>
      <c r="B30213" t="s">
        <v>47596</v>
      </c>
      <c r="C30213" t="s">
        <v>286</v>
      </c>
      <c r="D30213" t="s">
        <v>27</v>
      </c>
      <c r="E30213" t="s">
        <v>104</v>
      </c>
      <c r="F30213" s="2" t="str">
        <f>HYPERLINK("http://www.otzar.org/book.asp?174487","ספר נפלאות")</f>
        <v>ספר נפלאות</v>
      </c>
    </row>
    <row r="30214" spans="1:6" x14ac:dyDescent="0.2">
      <c r="A30214" t="s">
        <v>47597</v>
      </c>
      <c r="B30214" t="s">
        <v>46235</v>
      </c>
      <c r="C30214" t="s">
        <v>114</v>
      </c>
      <c r="D30214" t="s">
        <v>14</v>
      </c>
      <c r="E30214" t="s">
        <v>158</v>
      </c>
      <c r="F30214" s="2" t="str">
        <f>HYPERLINK("http://www.otzar.org/book.asp?162708","ספר נפתלי &lt;נפתולי אלקים נפתלתי&gt; - 3 כר'")</f>
        <v>ספר נפתלי &lt;נפתולי אלקים נפתלתי&gt; - 3 כר'</v>
      </c>
    </row>
    <row r="30215" spans="1:6" x14ac:dyDescent="0.2">
      <c r="A30215" t="s">
        <v>47598</v>
      </c>
      <c r="B30215" t="s">
        <v>27299</v>
      </c>
      <c r="C30215" t="s">
        <v>27916</v>
      </c>
      <c r="D30215" t="s">
        <v>729</v>
      </c>
      <c r="E30215" t="s">
        <v>104</v>
      </c>
      <c r="F30215" s="2" t="str">
        <f>HYPERLINK("http://www.otzar.org/book.asp?146932","ספר סגולה להציל נפשות. וגם אן שפראך")</f>
        <v>ספר סגולה להציל נפשות. וגם אן שפראך</v>
      </c>
    </row>
    <row r="30216" spans="1:6" x14ac:dyDescent="0.2">
      <c r="A30216" t="s">
        <v>47599</v>
      </c>
      <c r="B30216" t="s">
        <v>47600</v>
      </c>
      <c r="C30216" t="s">
        <v>13</v>
      </c>
      <c r="D30216" t="s">
        <v>52</v>
      </c>
      <c r="E30216" t="s">
        <v>1391</v>
      </c>
      <c r="F30216" s="2" t="str">
        <f>HYPERLINK("http://www.otzar.org/book.asp?64261","ספר סגולות - לחם שלמה  - מפעלות אלהים - עשר אותות")</f>
        <v>ספר סגולות - לחם שלמה  - מפעלות אלהים - עשר אותות</v>
      </c>
    </row>
    <row r="30217" spans="1:6" x14ac:dyDescent="0.2">
      <c r="A30217" t="s">
        <v>47601</v>
      </c>
      <c r="B30217" t="s">
        <v>15729</v>
      </c>
      <c r="C30217" t="s">
        <v>624</v>
      </c>
      <c r="D30217" t="s">
        <v>14</v>
      </c>
      <c r="E30217" t="s">
        <v>246</v>
      </c>
      <c r="F30217" s="2" t="str">
        <f>HYPERLINK("http://www.otzar.org/book.asp?625542","ספר סוכה וארבעת המינים")</f>
        <v>ספר סוכה וארבעת המינים</v>
      </c>
    </row>
    <row r="30218" spans="1:6" x14ac:dyDescent="0.2">
      <c r="A30218" t="s">
        <v>47602</v>
      </c>
      <c r="B30218" t="s">
        <v>47603</v>
      </c>
      <c r="C30218" t="s">
        <v>6054</v>
      </c>
      <c r="D30218" t="s">
        <v>3208</v>
      </c>
      <c r="F30218" s="2" t="str">
        <f>HYPERLINK("http://www.otzar.org/book.asp?196389","ספר סטטיסטי לארץ ישראל תרפ""ט - 1929")</f>
        <v>ספר סטטיסטי לארץ ישראל תרפ"ט - 1929</v>
      </c>
    </row>
    <row r="30219" spans="1:6" x14ac:dyDescent="0.2">
      <c r="A30219" t="s">
        <v>47604</v>
      </c>
      <c r="B30219" t="s">
        <v>47605</v>
      </c>
      <c r="C30219" t="s">
        <v>752</v>
      </c>
      <c r="D30219" t="s">
        <v>212</v>
      </c>
      <c r="E30219" t="s">
        <v>158</v>
      </c>
      <c r="F30219" s="2" t="str">
        <f>HYPERLINK("http://www.otzar.org/book.asp?179755","ספר סמד""ר")</f>
        <v>ספר סמד"ר</v>
      </c>
    </row>
    <row r="30220" spans="1:6" x14ac:dyDescent="0.2">
      <c r="A30220" t="s">
        <v>47606</v>
      </c>
      <c r="B30220" t="s">
        <v>47607</v>
      </c>
      <c r="C30220" t="s">
        <v>908</v>
      </c>
      <c r="D30220" t="s">
        <v>27</v>
      </c>
      <c r="E30220" t="s">
        <v>104</v>
      </c>
      <c r="F30220" s="2" t="str">
        <f>HYPERLINK("http://www.otzar.org/book.asp?11763","ספר סניגור - 3 כר'")</f>
        <v>ספר סניגור - 3 כר'</v>
      </c>
    </row>
    <row r="30221" spans="1:6" x14ac:dyDescent="0.2">
      <c r="A30221" t="s">
        <v>47608</v>
      </c>
      <c r="B30221" t="s">
        <v>305</v>
      </c>
      <c r="C30221" t="s">
        <v>1414</v>
      </c>
      <c r="D30221" t="s">
        <v>1722</v>
      </c>
      <c r="E30221" t="s">
        <v>10</v>
      </c>
      <c r="F30221" s="2" t="str">
        <f>HYPERLINK("http://www.otzar.org/book.asp?28656","ספר סת""ם")</f>
        <v>ספר סת"ם</v>
      </c>
    </row>
    <row r="30222" spans="1:6" x14ac:dyDescent="0.2">
      <c r="A30222" t="s">
        <v>47609</v>
      </c>
      <c r="B30222" t="s">
        <v>47610</v>
      </c>
      <c r="C30222" t="s">
        <v>8222</v>
      </c>
      <c r="D30222" t="s">
        <v>726</v>
      </c>
      <c r="E30222" t="s">
        <v>104</v>
      </c>
      <c r="F30222" s="2" t="str">
        <f>HYPERLINK("http://www.otzar.org/book.asp?146743","ספר עברנות שע""ה")</f>
        <v>ספר עברנות שע"ה</v>
      </c>
    </row>
    <row r="30223" spans="1:6" x14ac:dyDescent="0.2">
      <c r="A30223" t="s">
        <v>47611</v>
      </c>
      <c r="B30223" t="s">
        <v>22027</v>
      </c>
      <c r="C30223" t="s">
        <v>1166</v>
      </c>
      <c r="D30223" t="s">
        <v>27</v>
      </c>
      <c r="E30223" t="s">
        <v>295</v>
      </c>
      <c r="F30223" s="2" t="str">
        <f>HYPERLINK("http://www.otzar.org/book.asp?5993","ספר עזרא")</f>
        <v>ספר עזרא</v>
      </c>
    </row>
    <row r="30224" spans="1:6" x14ac:dyDescent="0.2">
      <c r="A30224" t="s">
        <v>47612</v>
      </c>
      <c r="B30224" t="s">
        <v>47613</v>
      </c>
      <c r="C30224" t="s">
        <v>785</v>
      </c>
      <c r="D30224" t="s">
        <v>14</v>
      </c>
      <c r="E30224" t="s">
        <v>130</v>
      </c>
      <c r="F30224" s="2" t="str">
        <f>HYPERLINK("http://www.otzar.org/book.asp?26145","ספר עצרת - 3 כר'")</f>
        <v>ספר עצרת - 3 כר'</v>
      </c>
    </row>
    <row r="30225" spans="1:6" x14ac:dyDescent="0.2">
      <c r="A30225" t="s">
        <v>47614</v>
      </c>
      <c r="B30225" t="s">
        <v>11725</v>
      </c>
      <c r="C30225" t="s">
        <v>609</v>
      </c>
      <c r="D30225" t="s">
        <v>27</v>
      </c>
      <c r="F30225" s="2" t="str">
        <f>HYPERLINK("http://www.otzar.org/book.asp?189642","ספר פזמונים")</f>
        <v>ספר פזמונים</v>
      </c>
    </row>
    <row r="30226" spans="1:6" x14ac:dyDescent="0.2">
      <c r="A30226" t="s">
        <v>47615</v>
      </c>
      <c r="B30226" t="s">
        <v>33577</v>
      </c>
      <c r="C30226" t="s">
        <v>433</v>
      </c>
      <c r="D30226" t="s">
        <v>412</v>
      </c>
      <c r="F30226" s="2" t="str">
        <f>HYPERLINK("http://www.otzar.org/book.asp?613390","ספר פסקים לר""י הזקן ר""ת ושאר בעלי תוספות")</f>
        <v>ספר פסקים לר"י הזקן ר"ת ושאר בעלי תוספות</v>
      </c>
    </row>
    <row r="30227" spans="1:6" x14ac:dyDescent="0.2">
      <c r="A30227" t="s">
        <v>47616</v>
      </c>
      <c r="B30227" t="s">
        <v>47617</v>
      </c>
      <c r="C30227" t="s">
        <v>506</v>
      </c>
      <c r="D30227" t="s">
        <v>31180</v>
      </c>
      <c r="E30227" t="s">
        <v>47618</v>
      </c>
      <c r="F30227" s="2" t="str">
        <f>HYPERLINK("http://www.otzar.org/book.asp?61729","ספר צב""א")</f>
        <v>ספר צב"א</v>
      </c>
    </row>
    <row r="30228" spans="1:6" x14ac:dyDescent="0.2">
      <c r="A30228" t="s">
        <v>47619</v>
      </c>
      <c r="B30228" t="s">
        <v>47620</v>
      </c>
      <c r="C30228" t="s">
        <v>854</v>
      </c>
      <c r="D30228" t="s">
        <v>9</v>
      </c>
      <c r="E30228" t="s">
        <v>213</v>
      </c>
      <c r="F30228" s="2" t="str">
        <f>HYPERLINK("http://www.otzar.org/book.asp?52123","ספר צהר")</f>
        <v>ספר צהר</v>
      </c>
    </row>
    <row r="30229" spans="1:6" x14ac:dyDescent="0.2">
      <c r="A30229" t="s">
        <v>47621</v>
      </c>
      <c r="B30229" t="s">
        <v>531</v>
      </c>
      <c r="C30229" t="s">
        <v>5308</v>
      </c>
      <c r="D30229" t="s">
        <v>2303</v>
      </c>
      <c r="E30229" t="s">
        <v>104</v>
      </c>
      <c r="F30229" s="2" t="str">
        <f>HYPERLINK("http://www.otzar.org/book.asp?100606","ספר צחות")</f>
        <v>ספר צחות</v>
      </c>
    </row>
    <row r="30230" spans="1:6" x14ac:dyDescent="0.2">
      <c r="A30230" t="s">
        <v>47622</v>
      </c>
      <c r="B30230" t="s">
        <v>40737</v>
      </c>
      <c r="C30230" t="s">
        <v>332</v>
      </c>
      <c r="D30230" t="s">
        <v>14</v>
      </c>
      <c r="E30230" t="s">
        <v>213</v>
      </c>
      <c r="F30230" s="2" t="str">
        <f>HYPERLINK("http://www.otzar.org/book.asp?106751","ספר קדושה")</f>
        <v>ספר קדושה</v>
      </c>
    </row>
    <row r="30231" spans="1:6" x14ac:dyDescent="0.2">
      <c r="A30231" t="s">
        <v>47623</v>
      </c>
      <c r="B30231" t="s">
        <v>47624</v>
      </c>
      <c r="C30231" t="s">
        <v>1160</v>
      </c>
      <c r="D30231" t="s">
        <v>412</v>
      </c>
      <c r="E30231" t="s">
        <v>119</v>
      </c>
      <c r="F30231" s="2" t="str">
        <f>HYPERLINK("http://www.otzar.org/book.asp?165333","ספר קדושים")</f>
        <v>ספר קדושים</v>
      </c>
    </row>
    <row r="30232" spans="1:6" x14ac:dyDescent="0.2">
      <c r="A30232" t="s">
        <v>47625</v>
      </c>
      <c r="B30232" t="s">
        <v>47626</v>
      </c>
      <c r="C30232" t="s">
        <v>594</v>
      </c>
      <c r="D30232" t="s">
        <v>283</v>
      </c>
      <c r="E30232" t="s">
        <v>158</v>
      </c>
      <c r="F30232" s="2" t="str">
        <f>HYPERLINK("http://www.otzar.org/book.asp?141132","ספר קהלת &lt;עם ביאור כוכב מיעקב ושבט מאפרים&gt;")</f>
        <v>ספר קהלת &lt;עם ביאור כוכב מיעקב ושבט מאפרים&gt;</v>
      </c>
    </row>
    <row r="30233" spans="1:6" x14ac:dyDescent="0.2">
      <c r="A30233" t="s">
        <v>47627</v>
      </c>
      <c r="B30233" t="s">
        <v>31913</v>
      </c>
      <c r="C30233" t="s">
        <v>538</v>
      </c>
      <c r="D30233" t="s">
        <v>2041</v>
      </c>
      <c r="E30233" t="s">
        <v>158</v>
      </c>
      <c r="F30233" s="2" t="str">
        <f>HYPERLINK("http://www.otzar.org/book.asp?146749","ספר קהלת &lt;דרך החיים&gt;")</f>
        <v>ספר קהלת &lt;דרך החיים&gt;</v>
      </c>
    </row>
    <row r="30234" spans="1:6" x14ac:dyDescent="0.2">
      <c r="A30234" t="s">
        <v>47628</v>
      </c>
      <c r="B30234" t="s">
        <v>47629</v>
      </c>
      <c r="C30234" t="s">
        <v>129</v>
      </c>
      <c r="D30234" t="s">
        <v>14</v>
      </c>
      <c r="E30234" t="s">
        <v>803</v>
      </c>
      <c r="F30234" s="2" t="str">
        <f>HYPERLINK("http://www.otzar.org/book.asp?155412","ספר קושיות")</f>
        <v>ספר קושיות</v>
      </c>
    </row>
    <row r="30235" spans="1:6" x14ac:dyDescent="0.2">
      <c r="A30235" t="s">
        <v>47630</v>
      </c>
      <c r="B30235" t="s">
        <v>31883</v>
      </c>
      <c r="C30235" t="s">
        <v>1537</v>
      </c>
      <c r="D30235" t="s">
        <v>283</v>
      </c>
      <c r="F30235" s="2" t="str">
        <f>HYPERLINK("http://www.otzar.org/book.asp?153099","ספר קטן &lt;פירושו הודו, כונות מקוה&gt;")</f>
        <v>ספר קטן &lt;פירושו הודו, כונות מקוה&gt;</v>
      </c>
    </row>
    <row r="30236" spans="1:6" x14ac:dyDescent="0.2">
      <c r="A30236" t="s">
        <v>47631</v>
      </c>
      <c r="B30236" t="s">
        <v>47632</v>
      </c>
      <c r="C30236" t="s">
        <v>1208</v>
      </c>
      <c r="D30236" t="s">
        <v>80</v>
      </c>
      <c r="E30236" t="s">
        <v>15</v>
      </c>
      <c r="F30236" s="2" t="str">
        <f>HYPERLINK("http://www.otzar.org/book.asp?606935","ספר קצור על פי בן איש חי - שנה א")</f>
        <v>ספר קצור על פי בן איש חי - שנה א</v>
      </c>
    </row>
    <row r="30237" spans="1:6" x14ac:dyDescent="0.2">
      <c r="A30237" t="s">
        <v>47633</v>
      </c>
      <c r="B30237" t="s">
        <v>47634</v>
      </c>
      <c r="C30237" t="s">
        <v>47635</v>
      </c>
      <c r="D30237" t="s">
        <v>14</v>
      </c>
      <c r="F30237" s="2" t="str">
        <f>HYPERLINK("http://www.otzar.org/book.asp?617237","ספר קרניים &lt;דן ידין - 2 כר'")</f>
        <v>ספר קרניים &lt;דן ידין - 2 כר'</v>
      </c>
    </row>
    <row r="30238" spans="1:6" x14ac:dyDescent="0.2">
      <c r="A30238" t="s">
        <v>47636</v>
      </c>
      <c r="B30238" t="s">
        <v>47637</v>
      </c>
      <c r="C30238" t="s">
        <v>2269</v>
      </c>
      <c r="D30238" t="s">
        <v>1419</v>
      </c>
      <c r="E30238" t="s">
        <v>399</v>
      </c>
      <c r="F30238" s="2" t="str">
        <f>HYPERLINK("http://www.otzar.org/book.asp?141049","ספר קרניים &lt;דן ידין - פרשת אליעזר&gt;")</f>
        <v>ספר קרניים &lt;דן ידין - פרשת אליעזר&gt;</v>
      </c>
    </row>
    <row r="30239" spans="1:6" x14ac:dyDescent="0.2">
      <c r="A30239" t="s">
        <v>47638</v>
      </c>
      <c r="B30239" t="s">
        <v>47637</v>
      </c>
      <c r="C30239" t="s">
        <v>4374</v>
      </c>
      <c r="D30239" t="s">
        <v>1279</v>
      </c>
      <c r="E30239" t="s">
        <v>1847</v>
      </c>
      <c r="F30239" s="2" t="str">
        <f>HYPERLINK("http://www.otzar.org/book.asp?102218","ספר קרניים &lt;דן ידין&gt; - 2 כר'")</f>
        <v>ספר קרניים &lt;דן ידין&gt; - 2 כר'</v>
      </c>
    </row>
    <row r="30240" spans="1:6" x14ac:dyDescent="0.2">
      <c r="A30240" t="s">
        <v>47639</v>
      </c>
      <c r="B30240" t="s">
        <v>47637</v>
      </c>
      <c r="C30240" t="s">
        <v>2140</v>
      </c>
      <c r="D30240" t="s">
        <v>212</v>
      </c>
      <c r="E30240" t="s">
        <v>399</v>
      </c>
      <c r="F30240" s="2" t="str">
        <f>HYPERLINK("http://www.otzar.org/book.asp?141161","ספר קרניים &lt;קרן הצבי&gt;")</f>
        <v>ספר קרניים &lt;קרן הצבי&gt;</v>
      </c>
    </row>
    <row r="30241" spans="1:6" x14ac:dyDescent="0.2">
      <c r="A30241" t="s">
        <v>47640</v>
      </c>
      <c r="B30241" t="s">
        <v>47637</v>
      </c>
      <c r="C30241" t="s">
        <v>1524</v>
      </c>
      <c r="D30241" t="s">
        <v>4364</v>
      </c>
      <c r="E30241" t="s">
        <v>1438</v>
      </c>
      <c r="F30241" s="2" t="str">
        <f>HYPERLINK("http://www.otzar.org/book.asp?174369","ספר קרניים")</f>
        <v>ספר קרניים</v>
      </c>
    </row>
    <row r="30242" spans="1:6" x14ac:dyDescent="0.2">
      <c r="A30242" t="s">
        <v>47641</v>
      </c>
      <c r="B30242" t="s">
        <v>7913</v>
      </c>
      <c r="C30242" t="s">
        <v>47642</v>
      </c>
      <c r="D30242" t="s">
        <v>49</v>
      </c>
      <c r="E30242" t="s">
        <v>15</v>
      </c>
      <c r="F30242" s="2" t="str">
        <f>HYPERLINK("http://www.otzar.org/book.asp?182237","ספר רב אלפס - 4 כר'")</f>
        <v>ספר רב אלפס - 4 כר'</v>
      </c>
    </row>
    <row r="30243" spans="1:6" x14ac:dyDescent="0.2">
      <c r="A30243" t="s">
        <v>47643</v>
      </c>
      <c r="B30243" t="s">
        <v>19872</v>
      </c>
      <c r="C30243" t="s">
        <v>1425</v>
      </c>
      <c r="D30243" t="s">
        <v>14445</v>
      </c>
      <c r="F30243" s="2" t="str">
        <f>HYPERLINK("http://www.otzar.org/book.asp?614528","ספר רב מרדכי - 2 כר'")</f>
        <v>ספר רב מרדכי - 2 כר'</v>
      </c>
    </row>
    <row r="30244" spans="1:6" x14ac:dyDescent="0.2">
      <c r="A30244" t="s">
        <v>47644</v>
      </c>
      <c r="B30244" t="s">
        <v>18179</v>
      </c>
      <c r="C30244" t="s">
        <v>68</v>
      </c>
      <c r="D30244" t="s">
        <v>14</v>
      </c>
      <c r="F30244" s="2" t="str">
        <f>HYPERLINK("http://www.otzar.org/book.asp?199831","ספר רבותינו")</f>
        <v>ספר רבותינו</v>
      </c>
    </row>
    <row r="30245" spans="1:6" x14ac:dyDescent="0.2">
      <c r="A30245" t="s">
        <v>47645</v>
      </c>
      <c r="B30245" t="s">
        <v>47646</v>
      </c>
      <c r="C30245" t="s">
        <v>785</v>
      </c>
      <c r="D30245" t="s">
        <v>14</v>
      </c>
      <c r="F30245" s="2" t="str">
        <f>HYPERLINK("http://www.otzar.org/book.asp?618754","ספר רבי שמעון בר יוחאי")</f>
        <v>ספר רבי שמעון בר יוחאי</v>
      </c>
    </row>
    <row r="30246" spans="1:6" x14ac:dyDescent="0.2">
      <c r="A30246" t="s">
        <v>47647</v>
      </c>
      <c r="B30246" t="s">
        <v>1973</v>
      </c>
      <c r="C30246" t="s">
        <v>37</v>
      </c>
      <c r="D30246" t="s">
        <v>1974</v>
      </c>
      <c r="E30246" t="s">
        <v>213</v>
      </c>
      <c r="F30246" s="2" t="str">
        <f>HYPERLINK("http://www.otzar.org/book.asp?193828","ספר רחל")</f>
        <v>ספר רחל</v>
      </c>
    </row>
    <row r="30247" spans="1:6" x14ac:dyDescent="0.2">
      <c r="A30247" t="s">
        <v>47648</v>
      </c>
      <c r="B30247" t="s">
        <v>47649</v>
      </c>
      <c r="C30247" t="s">
        <v>1706</v>
      </c>
      <c r="D30247" t="s">
        <v>225</v>
      </c>
      <c r="E30247" t="s">
        <v>10</v>
      </c>
      <c r="F30247" s="2" t="str">
        <f>HYPERLINK("http://www.otzar.org/book.asp?6616","ספר ריקאנטי &lt;מעשה בצלאל&gt;")</f>
        <v>ספר ריקאנטי &lt;מעשה בצלאל&gt;</v>
      </c>
    </row>
    <row r="30248" spans="1:6" x14ac:dyDescent="0.2">
      <c r="A30248" t="s">
        <v>47650</v>
      </c>
      <c r="B30248" t="s">
        <v>13473</v>
      </c>
      <c r="C30248" t="s">
        <v>1470</v>
      </c>
      <c r="D30248" t="s">
        <v>3208</v>
      </c>
      <c r="E30248" t="s">
        <v>158</v>
      </c>
      <c r="F30248" s="2" t="str">
        <f>HYPERLINK("http://www.otzar.org/book.asp?197048","ספר רמ""ז")</f>
        <v>ספר רמ"ז</v>
      </c>
    </row>
    <row r="30249" spans="1:6" x14ac:dyDescent="0.2">
      <c r="A30249" t="s">
        <v>47651</v>
      </c>
      <c r="B30249" t="s">
        <v>47652</v>
      </c>
      <c r="C30249" t="s">
        <v>558</v>
      </c>
      <c r="D30249" t="s">
        <v>307</v>
      </c>
      <c r="E30249" t="s">
        <v>104</v>
      </c>
      <c r="F30249" s="2" t="str">
        <f>HYPERLINK("http://www.otzar.org/book.asp?188605","ספר רפואות הגדול")</f>
        <v>ספר רפואות הגדול</v>
      </c>
    </row>
    <row r="30250" spans="1:6" x14ac:dyDescent="0.2">
      <c r="A30250" t="s">
        <v>47653</v>
      </c>
      <c r="B30250" t="s">
        <v>47654</v>
      </c>
      <c r="C30250" t="s">
        <v>47655</v>
      </c>
      <c r="D30250" t="s">
        <v>756</v>
      </c>
      <c r="E30250" t="s">
        <v>104</v>
      </c>
      <c r="F30250" s="2" t="str">
        <f>HYPERLINK("http://www.otzar.org/book.asp?161246","ספר רפואות - חבל מנשה")</f>
        <v>ספר רפואות - חבל מנשה</v>
      </c>
    </row>
    <row r="30251" spans="1:6" x14ac:dyDescent="0.2">
      <c r="A30251" t="s">
        <v>47656</v>
      </c>
      <c r="B30251" t="s">
        <v>47657</v>
      </c>
      <c r="C30251" t="s">
        <v>8</v>
      </c>
      <c r="D30251" t="s">
        <v>1459</v>
      </c>
      <c r="E30251" t="s">
        <v>104</v>
      </c>
      <c r="F30251" s="2" t="str">
        <f>HYPERLINK("http://www.otzar.org/book.asp?13396","ספר רפואות")</f>
        <v>ספר רפואות</v>
      </c>
    </row>
    <row r="30252" spans="1:6" x14ac:dyDescent="0.2">
      <c r="A30252" t="s">
        <v>47658</v>
      </c>
      <c r="B30252" t="s">
        <v>16927</v>
      </c>
      <c r="C30252" t="s">
        <v>624</v>
      </c>
      <c r="D30252" t="s">
        <v>412</v>
      </c>
      <c r="E30252" t="s">
        <v>15</v>
      </c>
      <c r="F30252" s="2" t="str">
        <f>HYPERLINK("http://www.otzar.org/book.asp?196202","ספר רקח &lt;מהדורת רוזנפלד&gt; - הקדמה הלכות חסידות")</f>
        <v>ספר רקח &lt;מהדורת רוזנפלד&gt; - הקדמה הלכות חסידות</v>
      </c>
    </row>
    <row r="30253" spans="1:6" x14ac:dyDescent="0.2">
      <c r="A30253" t="s">
        <v>47659</v>
      </c>
      <c r="B30253" t="s">
        <v>47659</v>
      </c>
      <c r="C30253" t="s">
        <v>1954</v>
      </c>
      <c r="D30253" t="s">
        <v>27</v>
      </c>
      <c r="E30253" t="s">
        <v>384</v>
      </c>
      <c r="F30253" s="2" t="str">
        <f>HYPERLINK("http://www.otzar.org/book.asp?15007","ספר רש""י")</f>
        <v>ספר רש"י</v>
      </c>
    </row>
    <row r="30254" spans="1:6" x14ac:dyDescent="0.2">
      <c r="A30254" t="s">
        <v>47660</v>
      </c>
      <c r="B30254" t="s">
        <v>1303</v>
      </c>
      <c r="C30254" t="s">
        <v>47661</v>
      </c>
      <c r="D30254" t="s">
        <v>56</v>
      </c>
      <c r="E30254" t="s">
        <v>15</v>
      </c>
      <c r="F30254" s="2" t="str">
        <f>HYPERLINK("http://www.otzar.org/book.asp?25614","ספר שאילתות &lt;העמק שאלה - 3 כר'")</f>
        <v>ספר שאילתות &lt;העמק שאלה - 3 כר'</v>
      </c>
    </row>
    <row r="30255" spans="1:6" x14ac:dyDescent="0.2">
      <c r="A30255" t="s">
        <v>47662</v>
      </c>
      <c r="B30255" t="s">
        <v>1303</v>
      </c>
      <c r="C30255" t="s">
        <v>1470</v>
      </c>
      <c r="D30255" t="s">
        <v>14</v>
      </c>
      <c r="E30255" t="s">
        <v>2054</v>
      </c>
      <c r="F30255" s="2" t="str">
        <f>HYPERLINK("http://www.otzar.org/book.asp?7299","ספר שאילתות &lt;העמק שאלה&gt; - 3 כר'")</f>
        <v>ספר שאילתות &lt;העמק שאלה&gt; - 3 כר'</v>
      </c>
    </row>
    <row r="30256" spans="1:6" x14ac:dyDescent="0.2">
      <c r="A30256" t="s">
        <v>47663</v>
      </c>
      <c r="B30256" t="s">
        <v>2700</v>
      </c>
      <c r="C30256" t="s">
        <v>1470</v>
      </c>
      <c r="D30256" t="s">
        <v>27</v>
      </c>
      <c r="E30256" t="s">
        <v>2135</v>
      </c>
      <c r="F30256" s="2" t="str">
        <f>HYPERLINK("http://www.otzar.org/book.asp?7341","ספר שאילתות &lt;שאילת שלום, ראשון לציון - 2 כר'")</f>
        <v>ספר שאילתות &lt;שאילת שלום, ראשון לציון - 2 כר'</v>
      </c>
    </row>
    <row r="30257" spans="1:6" x14ac:dyDescent="0.2">
      <c r="A30257" t="s">
        <v>47664</v>
      </c>
      <c r="B30257" t="s">
        <v>2700</v>
      </c>
      <c r="C30257" t="s">
        <v>1228</v>
      </c>
      <c r="D30257" t="s">
        <v>344</v>
      </c>
      <c r="F30257" s="2" t="str">
        <f>HYPERLINK("http://www.otzar.org/book.asp?610644","ספר שאילתות &lt;שאילת שלום, שואל כענין&gt;")</f>
        <v>ספר שאילתות &lt;שאילת שלום, שואל כענין&gt;</v>
      </c>
    </row>
    <row r="30258" spans="1:6" x14ac:dyDescent="0.2">
      <c r="A30258" t="s">
        <v>47665</v>
      </c>
      <c r="B30258" t="s">
        <v>47666</v>
      </c>
      <c r="C30258" t="s">
        <v>383</v>
      </c>
      <c r="D30258" t="s">
        <v>2458</v>
      </c>
      <c r="F30258" s="2" t="str">
        <f>HYPERLINK("http://www.otzar.org/book.asp?156858","ספר שבטיאל")</f>
        <v>ספר שבטיאל</v>
      </c>
    </row>
    <row r="30259" spans="1:6" x14ac:dyDescent="0.2">
      <c r="A30259" t="s">
        <v>47667</v>
      </c>
      <c r="B30259" t="s">
        <v>47668</v>
      </c>
      <c r="C30259" t="s">
        <v>37</v>
      </c>
      <c r="D30259" t="s">
        <v>7468</v>
      </c>
      <c r="E30259" t="s">
        <v>158</v>
      </c>
      <c r="F30259" s="2" t="str">
        <f>HYPERLINK("http://www.otzar.org/book.asp?190851","ספר שופטים בגובה חז""ל")</f>
        <v>ספר שופטים בגובה חז"ל</v>
      </c>
    </row>
    <row r="30260" spans="1:6" x14ac:dyDescent="0.2">
      <c r="A30260" t="s">
        <v>47669</v>
      </c>
      <c r="B30260" t="s">
        <v>47670</v>
      </c>
      <c r="C30260" t="s">
        <v>482</v>
      </c>
      <c r="D30260" t="s">
        <v>27</v>
      </c>
      <c r="E30260" t="s">
        <v>219</v>
      </c>
      <c r="F30260" s="2" t="str">
        <f>HYPERLINK("http://www.otzar.org/book.asp?942","ספר שירים")</f>
        <v>ספר שירים</v>
      </c>
    </row>
    <row r="30261" spans="1:6" x14ac:dyDescent="0.2">
      <c r="A30261" t="s">
        <v>47671</v>
      </c>
      <c r="B30261" t="s">
        <v>18784</v>
      </c>
      <c r="C30261" t="s">
        <v>30690</v>
      </c>
      <c r="D30261" t="s">
        <v>1117</v>
      </c>
      <c r="E30261" t="s">
        <v>104</v>
      </c>
      <c r="F30261" s="2" t="str">
        <f>HYPERLINK("http://www.otzar.org/book.asp?63903","ספר של תריג מצות")</f>
        <v>ספר של תריג מצות</v>
      </c>
    </row>
    <row r="30262" spans="1:6" x14ac:dyDescent="0.2">
      <c r="A30262" t="s">
        <v>47672</v>
      </c>
      <c r="B30262" t="s">
        <v>47673</v>
      </c>
      <c r="C30262" t="s">
        <v>1202</v>
      </c>
      <c r="D30262" t="s">
        <v>16851</v>
      </c>
      <c r="F30262" s="2" t="str">
        <f>HYPERLINK("http://www.otzar.org/book.asp?620095","ספר שמואל &lt;עם פירוש בגרמנית&gt; - שמואל א")</f>
        <v>ספר שמואל &lt;עם פירוש בגרמנית&gt; - שמואל א</v>
      </c>
    </row>
    <row r="30263" spans="1:6" x14ac:dyDescent="0.2">
      <c r="A30263" t="s">
        <v>47674</v>
      </c>
      <c r="B30263" t="s">
        <v>1417</v>
      </c>
      <c r="C30263" t="s">
        <v>4687</v>
      </c>
      <c r="D30263" t="s">
        <v>42</v>
      </c>
      <c r="E30263" t="s">
        <v>81</v>
      </c>
      <c r="F30263" s="2" t="str">
        <f>HYPERLINK("http://www.otzar.org/book.asp?12796","ספר שמוש - 2 כר'")</f>
        <v>ספר שמוש - 2 כר'</v>
      </c>
    </row>
    <row r="30264" spans="1:6" x14ac:dyDescent="0.2">
      <c r="A30264" t="s">
        <v>47675</v>
      </c>
      <c r="B30264" t="s">
        <v>47676</v>
      </c>
      <c r="C30264" t="s">
        <v>4057</v>
      </c>
      <c r="D30264" t="s">
        <v>49</v>
      </c>
      <c r="E30264" t="s">
        <v>15</v>
      </c>
      <c r="F30264" s="2" t="str">
        <f>HYPERLINK("http://www.otzar.org/book.asp?103956","ספר שמות")</f>
        <v>ספר שמות</v>
      </c>
    </row>
    <row r="30265" spans="1:6" x14ac:dyDescent="0.2">
      <c r="A30265" t="s">
        <v>47677</v>
      </c>
      <c r="B30265" t="s">
        <v>47678</v>
      </c>
      <c r="C30265" t="s">
        <v>1163</v>
      </c>
      <c r="D30265" t="s">
        <v>1163</v>
      </c>
      <c r="E30265" t="s">
        <v>104</v>
      </c>
      <c r="F30265" s="2" t="str">
        <f>HYPERLINK("http://www.otzar.org/book.asp?64283","ספר שמירה וסגולה &lt;כת""י&gt;")</f>
        <v>ספר שמירה וסגולה &lt;כת"י&gt;</v>
      </c>
    </row>
    <row r="30266" spans="1:6" x14ac:dyDescent="0.2">
      <c r="A30266" t="s">
        <v>47679</v>
      </c>
      <c r="B30266" t="s">
        <v>47680</v>
      </c>
      <c r="C30266" t="s">
        <v>1163</v>
      </c>
      <c r="D30266" t="s">
        <v>1167</v>
      </c>
      <c r="E30266" t="s">
        <v>104</v>
      </c>
      <c r="F30266" s="2" t="str">
        <f>HYPERLINK("http://www.otzar.org/book.asp?157498","ספר שמירה, תפלות סגולות ורפואות (כת""י)")</f>
        <v>ספר שמירה, תפלות סגולות ורפואות (כת"י)</v>
      </c>
    </row>
    <row r="30267" spans="1:6" x14ac:dyDescent="0.2">
      <c r="A30267" t="s">
        <v>47681</v>
      </c>
      <c r="B30267" t="s">
        <v>47682</v>
      </c>
      <c r="C30267" t="s">
        <v>1124</v>
      </c>
      <c r="D30267" t="s">
        <v>283</v>
      </c>
      <c r="E30267" t="s">
        <v>104</v>
      </c>
      <c r="F30267" s="2" t="str">
        <f>HYPERLINK("http://www.otzar.org/book.asp?11493","ספר שער השמים - 2 כר'")</f>
        <v>ספר שער השמים - 2 כר'</v>
      </c>
    </row>
    <row r="30268" spans="1:6" x14ac:dyDescent="0.2">
      <c r="A30268" t="s">
        <v>47683</v>
      </c>
      <c r="B30268" t="s">
        <v>47684</v>
      </c>
      <c r="C30268" t="s">
        <v>946</v>
      </c>
      <c r="D30268" t="s">
        <v>280</v>
      </c>
      <c r="E30268" t="s">
        <v>104</v>
      </c>
      <c r="F30268" s="2" t="str">
        <f>HYPERLINK("http://www.otzar.org/book.asp?191887","ספר שעשועים")</f>
        <v>ספר שעשועים</v>
      </c>
    </row>
    <row r="30269" spans="1:6" x14ac:dyDescent="0.2">
      <c r="A30269" t="s">
        <v>47685</v>
      </c>
      <c r="B30269" t="s">
        <v>47686</v>
      </c>
      <c r="C30269" t="s">
        <v>550</v>
      </c>
      <c r="D30269" t="s">
        <v>1731</v>
      </c>
      <c r="E30269" t="s">
        <v>2135</v>
      </c>
      <c r="F30269" s="2" t="str">
        <f>HYPERLINK("http://www.otzar.org/book.asp?13583","ספר תגין - 2 כר'")</f>
        <v>ספר תגין - 2 כר'</v>
      </c>
    </row>
    <row r="30270" spans="1:6" x14ac:dyDescent="0.2">
      <c r="A30270" t="s">
        <v>47687</v>
      </c>
      <c r="B30270" t="s">
        <v>47688</v>
      </c>
      <c r="E30270" t="s">
        <v>241</v>
      </c>
      <c r="F30270" s="2" t="str">
        <f>HYPERLINK("http://www.otzar.org/book.asp?611173","ספר תגמולי הנפש")</f>
        <v>ספר תגמולי הנפש</v>
      </c>
    </row>
    <row r="30271" spans="1:6" x14ac:dyDescent="0.2">
      <c r="A30271" t="s">
        <v>47689</v>
      </c>
      <c r="B30271" t="s">
        <v>47690</v>
      </c>
      <c r="C30271" t="s">
        <v>422</v>
      </c>
      <c r="D30271" t="s">
        <v>14</v>
      </c>
      <c r="E30271" t="s">
        <v>158</v>
      </c>
      <c r="F30271" s="2" t="str">
        <f>HYPERLINK("http://www.otzar.org/book.asp?161812","ספר תהילים עם פירוש רבי אברהם בן רמוך")</f>
        <v>ספר תהילים עם פירוש רבי אברהם בן רמוך</v>
      </c>
    </row>
    <row r="30272" spans="1:6" x14ac:dyDescent="0.2">
      <c r="A30272" t="s">
        <v>47691</v>
      </c>
      <c r="B30272" t="s">
        <v>43583</v>
      </c>
      <c r="C30272" t="s">
        <v>523</v>
      </c>
      <c r="D30272" t="s">
        <v>118</v>
      </c>
      <c r="E30272" t="s">
        <v>579</v>
      </c>
      <c r="F30272" s="2" t="str">
        <f>HYPERLINK("http://www.otzar.org/book.asp?64216","ספר תהלים &lt;קדש הלולים - 2 כר'")</f>
        <v>ספר תהלים &lt;קדש הלולים - 2 כר'</v>
      </c>
    </row>
    <row r="30273" spans="1:6" x14ac:dyDescent="0.2">
      <c r="A30273" t="s">
        <v>47692</v>
      </c>
      <c r="B30273" t="s">
        <v>1791</v>
      </c>
      <c r="C30273" t="s">
        <v>523</v>
      </c>
      <c r="D30273" t="s">
        <v>14</v>
      </c>
      <c r="E30273" t="s">
        <v>579</v>
      </c>
      <c r="F30273" s="2" t="str">
        <f>HYPERLINK("http://www.otzar.org/book.asp?106020","ספר תהלים &lt;אור עולם&gt;")</f>
        <v>ספר תהלים &lt;אור עולם&gt;</v>
      </c>
    </row>
    <row r="30274" spans="1:6" x14ac:dyDescent="0.2">
      <c r="A30274" t="s">
        <v>47693</v>
      </c>
      <c r="B30274" t="s">
        <v>38455</v>
      </c>
      <c r="C30274" t="s">
        <v>1150</v>
      </c>
      <c r="D30274" t="s">
        <v>1023</v>
      </c>
      <c r="E30274" t="s">
        <v>957</v>
      </c>
      <c r="F30274" s="2" t="str">
        <f>HYPERLINK("http://www.otzar.org/book.asp?102548","ספר תהלים &lt;תהלת ה'&gt;")</f>
        <v>ספר תהלים &lt;תהלת ה'&gt;</v>
      </c>
    </row>
    <row r="30275" spans="1:6" x14ac:dyDescent="0.2">
      <c r="A30275" t="s">
        <v>47694</v>
      </c>
      <c r="B30275" t="s">
        <v>15380</v>
      </c>
      <c r="C30275" t="s">
        <v>3690</v>
      </c>
      <c r="D30275" t="s">
        <v>56</v>
      </c>
      <c r="E30275" t="s">
        <v>957</v>
      </c>
      <c r="F30275" s="2" t="str">
        <f>HYPERLINK("http://www.otzar.org/book.asp?102527","ספר תהלים &lt;כפלים לתושיה&gt;")</f>
        <v>ספר תהלים &lt;כפלים לתושיה&gt;</v>
      </c>
    </row>
    <row r="30276" spans="1:6" x14ac:dyDescent="0.2">
      <c r="A30276" t="s">
        <v>47695</v>
      </c>
      <c r="B30276" t="s">
        <v>47696</v>
      </c>
      <c r="C30276" t="s">
        <v>244</v>
      </c>
      <c r="D30276" t="s">
        <v>412</v>
      </c>
      <c r="F30276" s="2" t="str">
        <f>HYPERLINK("http://www.otzar.org/book.asp?199622","ספר תהלים &lt;דברי משה&gt;")</f>
        <v>ספר תהלים &lt;דברי משה&gt;</v>
      </c>
    </row>
    <row r="30277" spans="1:6" x14ac:dyDescent="0.2">
      <c r="A30277" t="s">
        <v>47697</v>
      </c>
      <c r="B30277" t="s">
        <v>47698</v>
      </c>
      <c r="C30277" t="s">
        <v>411</v>
      </c>
      <c r="D30277" t="s">
        <v>14</v>
      </c>
      <c r="E30277" t="s">
        <v>158</v>
      </c>
      <c r="F30277" s="2" t="str">
        <f>HYPERLINK("http://www.otzar.org/book.asp?630130","ספר תהלים &lt;עתרת רחמים, נאוה תהילה&gt;")</f>
        <v>ספר תהלים &lt;עתרת רחמים, נאוה תהילה&gt;</v>
      </c>
    </row>
    <row r="30278" spans="1:6" x14ac:dyDescent="0.2">
      <c r="A30278" t="s">
        <v>47699</v>
      </c>
      <c r="B30278" t="s">
        <v>42940</v>
      </c>
      <c r="C30278" t="s">
        <v>1414</v>
      </c>
      <c r="D30278" t="s">
        <v>1459</v>
      </c>
      <c r="E30278" t="s">
        <v>158</v>
      </c>
      <c r="F30278" s="2" t="str">
        <f>HYPERLINK("http://www.otzar.org/book.asp?146923","ספר תהלים &lt;משפט צדק&gt; - 2 כר'")</f>
        <v>ספר תהלים &lt;משפט צדק&gt; - 2 כר'</v>
      </c>
    </row>
    <row r="30279" spans="1:6" x14ac:dyDescent="0.2">
      <c r="A30279" t="s">
        <v>47700</v>
      </c>
      <c r="B30279" t="s">
        <v>47701</v>
      </c>
      <c r="C30279" t="s">
        <v>129</v>
      </c>
      <c r="D30279" t="s">
        <v>14</v>
      </c>
      <c r="E30279" t="s">
        <v>158</v>
      </c>
      <c r="F30279" s="2" t="str">
        <f>HYPERLINK("http://www.otzar.org/book.asp?173640","ספר תהלים &lt;תהלות סופרים&gt;")</f>
        <v>ספר תהלים &lt;תהלות סופרים&gt;</v>
      </c>
    </row>
    <row r="30280" spans="1:6" x14ac:dyDescent="0.2">
      <c r="A30280" t="s">
        <v>47702</v>
      </c>
      <c r="B30280" t="s">
        <v>47703</v>
      </c>
      <c r="C30280" t="s">
        <v>47704</v>
      </c>
      <c r="D30280" t="s">
        <v>49</v>
      </c>
      <c r="E30280" t="s">
        <v>2135</v>
      </c>
      <c r="F30280" s="2" t="str">
        <f>HYPERLINK("http://www.otzar.org/book.asp?141116","ספר תהלים &lt;ע""פ שלמה עתיה&gt;")</f>
        <v>ספר תהלים &lt;ע"פ שלמה עתיה&gt;</v>
      </c>
    </row>
    <row r="30281" spans="1:6" x14ac:dyDescent="0.2">
      <c r="A30281" t="s">
        <v>47705</v>
      </c>
      <c r="B30281" t="s">
        <v>22804</v>
      </c>
      <c r="C30281" t="s">
        <v>454</v>
      </c>
      <c r="D30281" t="s">
        <v>52</v>
      </c>
      <c r="E30281" t="s">
        <v>579</v>
      </c>
      <c r="F30281" s="2" t="str">
        <f>HYPERLINK("http://www.otzar.org/book.asp?107438","ספר תהלים &lt;חלק הדקדוק&gt;")</f>
        <v>ספר תהלים &lt;חלק הדקדוק&gt;</v>
      </c>
    </row>
    <row r="30282" spans="1:6" x14ac:dyDescent="0.2">
      <c r="A30282" t="s">
        <v>47706</v>
      </c>
      <c r="B30282" t="s">
        <v>47707</v>
      </c>
      <c r="C30282" t="s">
        <v>767</v>
      </c>
      <c r="D30282" t="s">
        <v>14</v>
      </c>
      <c r="E30282" t="s">
        <v>34904</v>
      </c>
      <c r="F30282" s="2" t="str">
        <f>HYPERLINK("http://www.otzar.org/book.asp?7112","ספר תהלים &lt;תהלות שמואל&gt;")</f>
        <v>ספר תהלים &lt;תהלות שמואל&gt;</v>
      </c>
    </row>
    <row r="30283" spans="1:6" x14ac:dyDescent="0.2">
      <c r="A30283" t="s">
        <v>47708</v>
      </c>
      <c r="B30283" t="s">
        <v>12106</v>
      </c>
      <c r="C30283" t="s">
        <v>129</v>
      </c>
      <c r="D30283" t="s">
        <v>14</v>
      </c>
      <c r="E30283" t="s">
        <v>158</v>
      </c>
      <c r="F30283" s="2" t="str">
        <f>HYPERLINK("http://www.otzar.org/book.asp?142305","ספר תהלים המבואר והמדויק עטרת פז")</f>
        <v>ספר תהלים המבואר והמדויק עטרת פז</v>
      </c>
    </row>
    <row r="30284" spans="1:6" x14ac:dyDescent="0.2">
      <c r="A30284" t="s">
        <v>47709</v>
      </c>
      <c r="B30284" t="s">
        <v>2308</v>
      </c>
      <c r="C30284" t="s">
        <v>71</v>
      </c>
      <c r="D30284" t="s">
        <v>14</v>
      </c>
      <c r="E30284" t="s">
        <v>158</v>
      </c>
      <c r="F30284" s="2" t="str">
        <f>HYPERLINK("http://www.otzar.org/book.asp?51269","ספר תהלים המפואר עם ביאור תפילה למשה")</f>
        <v>ספר תהלים המפואר עם ביאור תפילה למשה</v>
      </c>
    </row>
    <row r="30285" spans="1:6" x14ac:dyDescent="0.2">
      <c r="A30285" t="s">
        <v>47710</v>
      </c>
      <c r="B30285" t="s">
        <v>47711</v>
      </c>
      <c r="C30285" t="s">
        <v>395</v>
      </c>
      <c r="D30285" t="s">
        <v>56</v>
      </c>
      <c r="E30285" t="s">
        <v>219</v>
      </c>
      <c r="F30285" s="2" t="str">
        <f>HYPERLINK("http://www.otzar.org/book.asp?147337","ספר תהלים ומעמדות &lt;עם ילקוט, ועוד פירושים והוספות&gt;")</f>
        <v>ספר תהלים ומעמדות &lt;עם ילקוט, ועוד פירושים והוספות&gt;</v>
      </c>
    </row>
    <row r="30286" spans="1:6" x14ac:dyDescent="0.2">
      <c r="A30286" t="s">
        <v>47712</v>
      </c>
      <c r="B30286" t="s">
        <v>47713</v>
      </c>
      <c r="C30286" t="s">
        <v>2008</v>
      </c>
      <c r="D30286" t="s">
        <v>412</v>
      </c>
      <c r="F30286" s="2" t="str">
        <f>HYPERLINK("http://www.otzar.org/book.asp?196490","ספר תהלים ושירי ציון בחרוזים")</f>
        <v>ספר תהלים ושירי ציון בחרוזים</v>
      </c>
    </row>
    <row r="30287" spans="1:6" x14ac:dyDescent="0.2">
      <c r="A30287" t="s">
        <v>47714</v>
      </c>
      <c r="B30287" t="s">
        <v>47714</v>
      </c>
      <c r="C30287" t="s">
        <v>189</v>
      </c>
      <c r="D30287" t="s">
        <v>3283</v>
      </c>
      <c r="E30287" t="s">
        <v>158</v>
      </c>
      <c r="F30287" s="2" t="str">
        <f>HYPERLINK("http://www.otzar.org/book.asp?144284","ספר תהלים יוסף חיים")</f>
        <v>ספר תהלים יוסף חיים</v>
      </c>
    </row>
    <row r="30288" spans="1:6" x14ac:dyDescent="0.2">
      <c r="A30288" t="s">
        <v>47715</v>
      </c>
      <c r="B30288" t="s">
        <v>47716</v>
      </c>
      <c r="C30288" t="s">
        <v>133</v>
      </c>
      <c r="D30288" t="s">
        <v>412</v>
      </c>
      <c r="F30288" s="2" t="str">
        <f>HYPERLINK("http://www.otzar.org/book.asp?609052","ספר תהלים ע""פ קן צפור")</f>
        <v>ספר תהלים ע"פ קן צפור</v>
      </c>
    </row>
    <row r="30289" spans="1:6" x14ac:dyDescent="0.2">
      <c r="A30289" t="s">
        <v>47717</v>
      </c>
      <c r="B30289" t="s">
        <v>3900</v>
      </c>
      <c r="C30289" t="s">
        <v>146</v>
      </c>
      <c r="D30289" t="s">
        <v>657</v>
      </c>
      <c r="E30289" t="s">
        <v>158</v>
      </c>
      <c r="F30289" s="2" t="str">
        <f>HYPERLINK("http://www.otzar.org/book.asp?26818","ספר תהלים עם פירוש אשרי האיש")</f>
        <v>ספר תהלים עם פירוש אשרי האיש</v>
      </c>
    </row>
    <row r="30290" spans="1:6" x14ac:dyDescent="0.2">
      <c r="A30290" t="s">
        <v>47718</v>
      </c>
      <c r="B30290" t="s">
        <v>3941</v>
      </c>
      <c r="C30290" t="s">
        <v>466</v>
      </c>
      <c r="D30290" t="s">
        <v>216</v>
      </c>
      <c r="E30290" t="s">
        <v>158</v>
      </c>
      <c r="F30290" s="2" t="str">
        <f>HYPERLINK("http://www.otzar.org/book.asp?144912","ספר תהלים עם פירוש המהר""ל מפראג")</f>
        <v>ספר תהלים עם פירוש המהר"ל מפראג</v>
      </c>
    </row>
    <row r="30291" spans="1:6" x14ac:dyDescent="0.2">
      <c r="A30291" t="s">
        <v>47719</v>
      </c>
      <c r="B30291" t="s">
        <v>47720</v>
      </c>
      <c r="C30291" t="s">
        <v>313</v>
      </c>
      <c r="D30291" t="s">
        <v>412</v>
      </c>
      <c r="E30291" t="s">
        <v>158</v>
      </c>
      <c r="F30291" s="2" t="str">
        <f>HYPERLINK("http://www.otzar.org/book.asp?60350","ספר תהלים עם פירוש עצי חיים")</f>
        <v>ספר תהלים עם פירוש עצי חיים</v>
      </c>
    </row>
    <row r="30292" spans="1:6" x14ac:dyDescent="0.2">
      <c r="A30292" t="s">
        <v>47721</v>
      </c>
      <c r="B30292" t="s">
        <v>13163</v>
      </c>
      <c r="C30292" t="s">
        <v>87</v>
      </c>
      <c r="D30292" t="s">
        <v>14</v>
      </c>
      <c r="E30292" t="s">
        <v>158</v>
      </c>
      <c r="F30292" s="2" t="str">
        <f>HYPERLINK("http://www.otzar.org/book.asp?7136","ספר תהלים עם פירוש פנים יפות השלם")</f>
        <v>ספר תהלים עם פירוש פנים יפות השלם</v>
      </c>
    </row>
    <row r="30293" spans="1:6" x14ac:dyDescent="0.2">
      <c r="A30293" t="s">
        <v>47722</v>
      </c>
      <c r="B30293" t="s">
        <v>47723</v>
      </c>
      <c r="C30293" t="s">
        <v>956</v>
      </c>
      <c r="D30293" t="s">
        <v>216</v>
      </c>
      <c r="F30293" s="2" t="str">
        <f>HYPERLINK("http://www.otzar.org/book.asp?619892","ספר תהלים עם פירוש פשוטו של מקרא")</f>
        <v>ספר תהלים עם פירוש פשוטו של מקרא</v>
      </c>
    </row>
    <row r="30294" spans="1:6" x14ac:dyDescent="0.2">
      <c r="A30294" t="s">
        <v>47724</v>
      </c>
      <c r="B30294" t="s">
        <v>30378</v>
      </c>
      <c r="C30294" t="s">
        <v>43307</v>
      </c>
      <c r="D30294" t="s">
        <v>340</v>
      </c>
      <c r="E30294" t="s">
        <v>158</v>
      </c>
      <c r="F30294" s="2" t="str">
        <f>HYPERLINK("http://www.otzar.org/book.asp?53526","ספר תהלים עם פירוש רד""ק")</f>
        <v>ספר תהלים עם פירוש רד"ק</v>
      </c>
    </row>
    <row r="30295" spans="1:6" x14ac:dyDescent="0.2">
      <c r="A30295" t="s">
        <v>47725</v>
      </c>
      <c r="B30295" t="s">
        <v>47726</v>
      </c>
      <c r="C30295" t="s">
        <v>533</v>
      </c>
      <c r="D30295" t="s">
        <v>14</v>
      </c>
      <c r="E30295" t="s">
        <v>158</v>
      </c>
      <c r="F30295" s="2" t="str">
        <f>HYPERLINK("http://www.otzar.org/book.asp?148209","ספר תהלים עם פירוש תהלה לדוד - 3 כר'")</f>
        <v>ספר תהלים עם פירוש תהלה לדוד - 3 כר'</v>
      </c>
    </row>
    <row r="30296" spans="1:6" x14ac:dyDescent="0.2">
      <c r="A30296" t="s">
        <v>47727</v>
      </c>
      <c r="B30296" t="s">
        <v>47728</v>
      </c>
      <c r="C30296" t="s">
        <v>16350</v>
      </c>
      <c r="D30296" t="s">
        <v>76</v>
      </c>
      <c r="E30296" t="s">
        <v>158</v>
      </c>
      <c r="F30296" s="2" t="str">
        <f>HYPERLINK("http://www.otzar.org/book.asp?200545","ספר תהלים עם פירושי רד""ק ור' יוסף חיון")</f>
        <v>ספר תהלים עם פירושי רד"ק ור' יוסף חיון</v>
      </c>
    </row>
    <row r="30297" spans="1:6" x14ac:dyDescent="0.2">
      <c r="A30297" t="s">
        <v>47729</v>
      </c>
      <c r="B30297" t="s">
        <v>7903</v>
      </c>
      <c r="C30297" t="s">
        <v>51</v>
      </c>
      <c r="D30297" t="s">
        <v>216</v>
      </c>
      <c r="E30297" t="s">
        <v>158</v>
      </c>
      <c r="F30297" s="2" t="str">
        <f>HYPERLINK("http://www.otzar.org/book.asp?144913","ספר תהלים עם פירש""י מבואר ומפורש")</f>
        <v>ספר תהלים עם פירש"י מבואר ומפורש</v>
      </c>
    </row>
    <row r="30298" spans="1:6" x14ac:dyDescent="0.2">
      <c r="A30298" t="s">
        <v>47730</v>
      </c>
      <c r="B30298" t="s">
        <v>25643</v>
      </c>
      <c r="C30298" t="s">
        <v>20</v>
      </c>
      <c r="D30298" t="s">
        <v>1076</v>
      </c>
      <c r="F30298" s="2" t="str">
        <f>HYPERLINK("http://www.otzar.org/book.asp?600058","ספר תהלים - משה פירש")</f>
        <v>ספר תהלים - משה פירש</v>
      </c>
    </row>
    <row r="30299" spans="1:6" x14ac:dyDescent="0.2">
      <c r="A30299" t="s">
        <v>47731</v>
      </c>
      <c r="B30299" t="s">
        <v>47732</v>
      </c>
      <c r="C30299" t="s">
        <v>20</v>
      </c>
      <c r="D30299" t="s">
        <v>16149</v>
      </c>
      <c r="F30299" s="2" t="str">
        <f>HYPERLINK("http://www.otzar.org/book.asp?605566","ספר תורה המיוחד של הרה""ק מאפטא")</f>
        <v>ספר תורה המיוחד של הרה"ק מאפטא</v>
      </c>
    </row>
    <row r="30300" spans="1:6" x14ac:dyDescent="0.2">
      <c r="A30300" t="s">
        <v>47733</v>
      </c>
      <c r="B30300" t="s">
        <v>47734</v>
      </c>
      <c r="C30300" t="s">
        <v>888</v>
      </c>
      <c r="D30300" t="s">
        <v>5301</v>
      </c>
      <c r="E30300" t="s">
        <v>15</v>
      </c>
      <c r="F30300" s="2" t="str">
        <f>HYPERLINK("http://www.otzar.org/book.asp?21806","ספר תקנות - עדת ישראל אורטודוקסים דיאהאנגעסבורג")</f>
        <v>ספר תקנות - עדת ישראל אורטודוקסים דיאהאנגעסבורג</v>
      </c>
    </row>
    <row r="30301" spans="1:6" x14ac:dyDescent="0.2">
      <c r="A30301" t="s">
        <v>47735</v>
      </c>
      <c r="B30301" t="s">
        <v>47736</v>
      </c>
      <c r="C30301" t="s">
        <v>20</v>
      </c>
      <c r="D30301" t="s">
        <v>1356</v>
      </c>
      <c r="E30301" t="s">
        <v>104</v>
      </c>
      <c r="F30301" s="2" t="str">
        <f>HYPERLINK("http://www.otzar.org/book.asp?159956","ספר תרי""ג מצות")</f>
        <v>ספר תרי"ג מצות</v>
      </c>
    </row>
    <row r="30302" spans="1:6" x14ac:dyDescent="0.2">
      <c r="A30302" t="s">
        <v>47737</v>
      </c>
      <c r="B30302" t="s">
        <v>47738</v>
      </c>
      <c r="C30302" t="s">
        <v>362</v>
      </c>
      <c r="D30302" t="s">
        <v>283</v>
      </c>
      <c r="E30302" t="s">
        <v>15</v>
      </c>
      <c r="F30302" s="2" t="str">
        <f>HYPERLINK("http://www.otzar.org/book.asp?101454","ספר תשב""ץ &lt;תשב""ץ קטן&gt; ע""פ שבעת הנרות")</f>
        <v>ספר תשב"ץ &lt;תשב"ץ קטן&gt; ע"פ שבעת הנרות</v>
      </c>
    </row>
    <row r="30303" spans="1:6" x14ac:dyDescent="0.2">
      <c r="A30303" t="s">
        <v>47739</v>
      </c>
      <c r="B30303" t="s">
        <v>47738</v>
      </c>
      <c r="C30303" t="s">
        <v>1570</v>
      </c>
      <c r="D30303" t="s">
        <v>14</v>
      </c>
      <c r="E30303" t="s">
        <v>15</v>
      </c>
      <c r="F30303" s="2" t="str">
        <f>HYPERLINK("http://www.otzar.org/book.asp?172298","ספר תשב""ץ &lt;תשב""ץ קטן&gt; ע""פ שבעת הנרות והוספות")</f>
        <v>ספר תשב"ץ &lt;תשב"ץ קטן&gt; ע"פ שבעת הנרות והוספות</v>
      </c>
    </row>
    <row r="30304" spans="1:6" x14ac:dyDescent="0.2">
      <c r="A30304" t="s">
        <v>47740</v>
      </c>
      <c r="B30304" t="s">
        <v>47741</v>
      </c>
      <c r="C30304" t="s">
        <v>1124</v>
      </c>
      <c r="D30304" t="s">
        <v>283</v>
      </c>
      <c r="E30304" t="s">
        <v>15</v>
      </c>
      <c r="F30304" s="2" t="str">
        <f>HYPERLINK("http://www.otzar.org/book.asp?6101","ספר תשב""ץ &lt;תשב""ץ קטן&gt; - 3 כר'")</f>
        <v>ספר תשב"ץ &lt;תשב"ץ קטן&gt; - 3 כר'</v>
      </c>
    </row>
    <row r="30305" spans="1:6" x14ac:dyDescent="0.2">
      <c r="A30305" t="s">
        <v>47742</v>
      </c>
      <c r="B30305" t="s">
        <v>47741</v>
      </c>
      <c r="C30305" t="s">
        <v>189</v>
      </c>
      <c r="D30305" t="s">
        <v>21</v>
      </c>
      <c r="E30305" t="s">
        <v>15</v>
      </c>
      <c r="F30305" s="2" t="str">
        <f>HYPERLINK("http://www.otzar.org/book.asp?191291","ספר תשב""ץ &lt;תשב""ץ קטן&gt; &lt;מהדורת שניאורסון&gt;")</f>
        <v>ספר תשב"ץ &lt;תשב"ץ קטן&gt; &lt;מהדורת שניאורסון&gt;</v>
      </c>
    </row>
    <row r="30306" spans="1:6" x14ac:dyDescent="0.2">
      <c r="A30306" t="s">
        <v>47743</v>
      </c>
      <c r="B30306" t="s">
        <v>47744</v>
      </c>
      <c r="C30306" t="s">
        <v>600</v>
      </c>
      <c r="D30306" t="s">
        <v>1459</v>
      </c>
      <c r="E30306" t="s">
        <v>104</v>
      </c>
      <c r="F30306" s="2" t="str">
        <f>HYPERLINK("http://www.otzar.org/book.asp?36","ספר תשובות &lt;תלמידי מנחם ותלמיד דונש&gt;")</f>
        <v>ספר תשובות &lt;תלמידי מנחם ותלמיד דונש&gt;</v>
      </c>
    </row>
    <row r="30307" spans="1:6" x14ac:dyDescent="0.2">
      <c r="A30307" t="s">
        <v>47745</v>
      </c>
      <c r="B30307" t="s">
        <v>47746</v>
      </c>
      <c r="C30307" t="s">
        <v>47747</v>
      </c>
      <c r="D30307" t="s">
        <v>49</v>
      </c>
      <c r="E30307" t="s">
        <v>43</v>
      </c>
      <c r="F30307" s="2" t="str">
        <f>HYPERLINK("http://www.otzar.org/book.asp?7903","ספרא &lt;דפו""ר&gt; - 2 כר'")</f>
        <v>ספרא &lt;דפו"ר&gt; - 2 כר'</v>
      </c>
    </row>
    <row r="30308" spans="1:6" x14ac:dyDescent="0.2">
      <c r="A30308" t="s">
        <v>47748</v>
      </c>
      <c r="B30308" t="s">
        <v>25803</v>
      </c>
      <c r="C30308" t="s">
        <v>550</v>
      </c>
      <c r="D30308" t="s">
        <v>283</v>
      </c>
      <c r="E30308" t="s">
        <v>43</v>
      </c>
      <c r="F30308" s="2" t="str">
        <f>HYPERLINK("http://www.otzar.org/book.asp?101440","ספרא &lt;ר""ש משאנץ&gt;")</f>
        <v>ספרא &lt;ר"ש משאנץ&gt;</v>
      </c>
    </row>
    <row r="30309" spans="1:6" x14ac:dyDescent="0.2">
      <c r="A30309" t="s">
        <v>47749</v>
      </c>
      <c r="B30309" t="s">
        <v>26144</v>
      </c>
      <c r="C30309" t="s">
        <v>1885</v>
      </c>
      <c r="D30309" t="s">
        <v>2181</v>
      </c>
      <c r="E30309" t="s">
        <v>246</v>
      </c>
      <c r="F30309" s="2" t="str">
        <f>HYPERLINK("http://www.otzar.org/book.asp?141198","ספרא דאגדתא")</f>
        <v>ספרא דאגדתא</v>
      </c>
    </row>
    <row r="30310" spans="1:6" x14ac:dyDescent="0.2">
      <c r="A30310" t="s">
        <v>47749</v>
      </c>
      <c r="B30310" t="s">
        <v>47750</v>
      </c>
      <c r="C30310" t="s">
        <v>908</v>
      </c>
      <c r="D30310" t="s">
        <v>31723</v>
      </c>
      <c r="E30310" t="s">
        <v>399</v>
      </c>
      <c r="F30310" s="2" t="str">
        <f>HYPERLINK("http://www.otzar.org/book.asp?145029","ספרא דאגדתא")</f>
        <v>ספרא דאגדתא</v>
      </c>
    </row>
    <row r="30311" spans="1:6" x14ac:dyDescent="0.2">
      <c r="A30311" t="s">
        <v>47751</v>
      </c>
      <c r="B30311" t="s">
        <v>47752</v>
      </c>
      <c r="C30311" t="s">
        <v>111</v>
      </c>
      <c r="D30311" t="s">
        <v>367</v>
      </c>
      <c r="E30311" t="s">
        <v>158</v>
      </c>
      <c r="F30311" s="2" t="str">
        <f>HYPERLINK("http://www.otzar.org/book.asp?627252","ספרא דאפטרתא - ביאור על ההפטרות")</f>
        <v>ספרא דאפטרתא - ביאור על ההפטרות</v>
      </c>
    </row>
    <row r="30312" spans="1:6" x14ac:dyDescent="0.2">
      <c r="A30312" t="s">
        <v>47753</v>
      </c>
      <c r="B30312" t="s">
        <v>3057</v>
      </c>
      <c r="C30312" t="s">
        <v>800</v>
      </c>
      <c r="D30312" t="s">
        <v>31460</v>
      </c>
      <c r="E30312" t="s">
        <v>43</v>
      </c>
      <c r="F30312" s="2" t="str">
        <f>HYPERLINK("http://www.otzar.org/book.asp?103306","ספרא דבי רב &lt;מלבי""ם&gt;")</f>
        <v>ספרא דבי רב &lt;מלבי"ם&gt;</v>
      </c>
    </row>
    <row r="30313" spans="1:6" x14ac:dyDescent="0.2">
      <c r="A30313" t="s">
        <v>47754</v>
      </c>
      <c r="B30313" t="s">
        <v>47755</v>
      </c>
      <c r="C30313" t="s">
        <v>785</v>
      </c>
      <c r="D30313" t="s">
        <v>412</v>
      </c>
      <c r="E30313" t="s">
        <v>43</v>
      </c>
      <c r="F30313" s="2" t="str">
        <f>HYPERLINK("http://www.otzar.org/book.asp?601365","ספרא דבי רב &lt;מהדורת פינקלשטיין&gt; - 5 כר'")</f>
        <v>ספרא דבי רב &lt;מהדורת פינקלשטיין&gt; - 5 כר'</v>
      </c>
    </row>
    <row r="30314" spans="1:6" x14ac:dyDescent="0.2">
      <c r="A30314" t="s">
        <v>47756</v>
      </c>
      <c r="B30314" t="s">
        <v>34351</v>
      </c>
      <c r="C30314" t="s">
        <v>3246</v>
      </c>
      <c r="D30314" t="s">
        <v>1008</v>
      </c>
      <c r="E30314" t="s">
        <v>43</v>
      </c>
      <c r="F30314" s="2" t="str">
        <f>HYPERLINK("http://www.otzar.org/book.asp?8741","ספרא דבי רב")</f>
        <v>ספרא דבי רב</v>
      </c>
    </row>
    <row r="30315" spans="1:6" x14ac:dyDescent="0.2">
      <c r="A30315" t="s">
        <v>47756</v>
      </c>
      <c r="B30315" t="s">
        <v>47757</v>
      </c>
      <c r="C30315" t="s">
        <v>1169</v>
      </c>
      <c r="D30315" t="s">
        <v>27</v>
      </c>
      <c r="E30315" t="s">
        <v>43</v>
      </c>
      <c r="F30315" s="2" t="str">
        <f>HYPERLINK("http://www.otzar.org/book.asp?699","ספרא דבי רב")</f>
        <v>ספרא דבי רב</v>
      </c>
    </row>
    <row r="30316" spans="1:6" x14ac:dyDescent="0.2">
      <c r="A30316" t="s">
        <v>47758</v>
      </c>
      <c r="B30316" t="s">
        <v>1821</v>
      </c>
      <c r="C30316" t="s">
        <v>940</v>
      </c>
      <c r="D30316" t="s">
        <v>14</v>
      </c>
      <c r="E30316" t="s">
        <v>399</v>
      </c>
      <c r="F30316" s="2" t="str">
        <f>HYPERLINK("http://www.otzar.org/book.asp?25830","ספרא דצניעותא &lt;הגר""א&gt; - 3 כר'")</f>
        <v>ספרא דצניעותא &lt;הגר"א&gt; - 3 כר'</v>
      </c>
    </row>
    <row r="30317" spans="1:6" x14ac:dyDescent="0.2">
      <c r="A30317" t="s">
        <v>47759</v>
      </c>
      <c r="B30317" t="s">
        <v>1821</v>
      </c>
      <c r="C30317" t="s">
        <v>151</v>
      </c>
      <c r="D30317" t="s">
        <v>14</v>
      </c>
      <c r="E30317" t="s">
        <v>399</v>
      </c>
      <c r="F30317" s="2" t="str">
        <f>HYPERLINK("http://www.otzar.org/book.asp?628482","ספרא דצניעותא &lt;פירוש הגר""א - מהדורה חדשה&gt;")</f>
        <v>ספרא דצניעותא &lt;פירוש הגר"א - מהדורה חדשה&gt;</v>
      </c>
    </row>
    <row r="30318" spans="1:6" x14ac:dyDescent="0.2">
      <c r="A30318" t="s">
        <v>47760</v>
      </c>
      <c r="B30318" t="s">
        <v>1805</v>
      </c>
      <c r="C30318" t="s">
        <v>356</v>
      </c>
      <c r="D30318" t="s">
        <v>14</v>
      </c>
      <c r="E30318" t="s">
        <v>399</v>
      </c>
      <c r="F30318" s="2" t="str">
        <f>HYPERLINK("http://www.otzar.org/book.asp?62525","ספרא דצניעותא &lt;יפה שעה&gt;")</f>
        <v>ספרא דצניעותא &lt;יפה שעה&gt;</v>
      </c>
    </row>
    <row r="30319" spans="1:6" x14ac:dyDescent="0.2">
      <c r="A30319" t="s">
        <v>47761</v>
      </c>
      <c r="B30319" t="s">
        <v>1791</v>
      </c>
      <c r="C30319" t="s">
        <v>106</v>
      </c>
      <c r="D30319" t="s">
        <v>14</v>
      </c>
      <c r="E30319" t="s">
        <v>399</v>
      </c>
      <c r="F30319" s="2" t="str">
        <f>HYPERLINK("http://www.otzar.org/book.asp?103071","ספרא דצניעותא &lt;נתיבות יאיר&gt;")</f>
        <v>ספרא דצניעותא &lt;נתיבות יאיר&gt;</v>
      </c>
    </row>
    <row r="30320" spans="1:6" x14ac:dyDescent="0.2">
      <c r="A30320" t="s">
        <v>47762</v>
      </c>
      <c r="B30320" t="s">
        <v>47763</v>
      </c>
      <c r="C30320" t="s">
        <v>4705</v>
      </c>
      <c r="D30320" t="s">
        <v>56</v>
      </c>
      <c r="E30320" t="s">
        <v>23256</v>
      </c>
      <c r="F30320" s="2" t="str">
        <f>HYPERLINK("http://www.otzar.org/book.asp?25928","ספרא דצניעותא &lt;הגר""א&gt; עם הערות כ""י מבעל הלשם - 2 כר'")</f>
        <v>ספרא דצניעותא &lt;הגר"א&gt; עם הערות כ"י מבעל הלשם - 2 כר'</v>
      </c>
    </row>
    <row r="30321" spans="1:6" x14ac:dyDescent="0.2">
      <c r="A30321" t="s">
        <v>47764</v>
      </c>
      <c r="B30321" t="s">
        <v>47765</v>
      </c>
      <c r="C30321" t="s">
        <v>31840</v>
      </c>
      <c r="D30321" t="s">
        <v>1023</v>
      </c>
      <c r="F30321" s="2" t="str">
        <f>HYPERLINK("http://www.otzar.org/book.asp?154352","ספרא דצניעותא דיעקב - 2 כר'")</f>
        <v>ספרא דצניעותא דיעקב - 2 כר'</v>
      </c>
    </row>
    <row r="30322" spans="1:6" x14ac:dyDescent="0.2">
      <c r="A30322" t="s">
        <v>47766</v>
      </c>
      <c r="B30322" t="s">
        <v>47767</v>
      </c>
      <c r="C30322" t="s">
        <v>244</v>
      </c>
      <c r="D30322" t="s">
        <v>1632</v>
      </c>
      <c r="F30322" s="2" t="str">
        <f>HYPERLINK("http://www.otzar.org/book.asp?603659","ספרא דשלמה")</f>
        <v>ספרא דשלמה</v>
      </c>
    </row>
    <row r="30323" spans="1:6" x14ac:dyDescent="0.2">
      <c r="A30323" t="s">
        <v>47768</v>
      </c>
      <c r="B30323" t="s">
        <v>7023</v>
      </c>
      <c r="C30323" t="s">
        <v>1619</v>
      </c>
      <c r="D30323" t="s">
        <v>260</v>
      </c>
      <c r="E30323" t="s">
        <v>1164</v>
      </c>
      <c r="F30323" s="2" t="str">
        <f>HYPERLINK("http://www.otzar.org/book.asp?154551","ספרא חדתא")</f>
        <v>ספרא חדתא</v>
      </c>
    </row>
    <row r="30324" spans="1:6" x14ac:dyDescent="0.2">
      <c r="A30324" t="s">
        <v>47769</v>
      </c>
      <c r="B30324" t="s">
        <v>47770</v>
      </c>
      <c r="C30324" t="s">
        <v>1208</v>
      </c>
      <c r="D30324" t="s">
        <v>412</v>
      </c>
      <c r="E30324" t="s">
        <v>119</v>
      </c>
      <c r="F30324" s="2" t="str">
        <f>HYPERLINK("http://www.otzar.org/book.asp?172747","ספרא רבה דישראל")</f>
        <v>ספרא רבה דישראל</v>
      </c>
    </row>
    <row r="30325" spans="1:6" x14ac:dyDescent="0.2">
      <c r="A30325" t="s">
        <v>47771</v>
      </c>
      <c r="B30325" t="s">
        <v>47772</v>
      </c>
      <c r="C30325" t="s">
        <v>482</v>
      </c>
      <c r="D30325" t="s">
        <v>986</v>
      </c>
      <c r="E30325" t="s">
        <v>202</v>
      </c>
      <c r="F30325" s="2" t="str">
        <f>HYPERLINK("http://www.otzar.org/book.asp?179083","ספרא - א")</f>
        <v>ספרא - א</v>
      </c>
    </row>
    <row r="30326" spans="1:6" x14ac:dyDescent="0.2">
      <c r="A30326" t="s">
        <v>47773</v>
      </c>
      <c r="B30326" t="s">
        <v>905</v>
      </c>
      <c r="C30326" t="s">
        <v>146</v>
      </c>
      <c r="D30326" t="s">
        <v>14</v>
      </c>
      <c r="E30326" t="s">
        <v>119</v>
      </c>
      <c r="F30326" s="2" t="str">
        <f>HYPERLINK("http://www.otzar.org/book.asp?63183","ספרד וגירוש קנ""א")</f>
        <v>ספרד וגירוש קנ"א</v>
      </c>
    </row>
    <row r="30327" spans="1:6" x14ac:dyDescent="0.2">
      <c r="A30327" t="s">
        <v>47774</v>
      </c>
      <c r="B30327" t="s">
        <v>1105</v>
      </c>
      <c r="C30327" t="s">
        <v>366</v>
      </c>
      <c r="D30327" t="s">
        <v>14</v>
      </c>
      <c r="F30327" s="2" t="str">
        <f>HYPERLINK("http://www.otzar.org/book.asp?620313","ספרו של בדאי")</f>
        <v>ספרו של בדאי</v>
      </c>
    </row>
    <row r="30328" spans="1:6" x14ac:dyDescent="0.2">
      <c r="A30328" t="s">
        <v>47775</v>
      </c>
      <c r="B30328" t="s">
        <v>47776</v>
      </c>
      <c r="C30328" t="s">
        <v>748</v>
      </c>
      <c r="D30328" t="s">
        <v>283</v>
      </c>
      <c r="E30328" t="s">
        <v>104</v>
      </c>
      <c r="F30328" s="2" t="str">
        <f>HYPERLINK("http://www.otzar.org/book.asp?15516","ספרות ישראל - 4 כר'")</f>
        <v>ספרות ישראל - 4 כר'</v>
      </c>
    </row>
    <row r="30329" spans="1:6" x14ac:dyDescent="0.2">
      <c r="A30329" t="s">
        <v>47777</v>
      </c>
      <c r="B30329" t="s">
        <v>38143</v>
      </c>
      <c r="C30329" t="s">
        <v>46</v>
      </c>
      <c r="D30329" t="s">
        <v>27</v>
      </c>
      <c r="E30329" t="s">
        <v>104</v>
      </c>
      <c r="F30329" s="2" t="str">
        <f>HYPERLINK("http://www.otzar.org/book.asp?143394","ספרות ציונית דתית")</f>
        <v>ספרות ציונית דתית</v>
      </c>
    </row>
    <row r="30330" spans="1:6" x14ac:dyDescent="0.2">
      <c r="A30330" t="s">
        <v>47778</v>
      </c>
      <c r="B30330" t="s">
        <v>1821</v>
      </c>
      <c r="C30330" t="s">
        <v>11383</v>
      </c>
      <c r="D30330" t="s">
        <v>4288</v>
      </c>
      <c r="E30330" t="s">
        <v>20993</v>
      </c>
      <c r="F30330" s="2" t="str">
        <f>HYPERLINK("http://www.otzar.org/book.asp?104816","ספרי &lt;הגהות הגר""א כת""י&gt;")</f>
        <v>ספרי &lt;הגהות הגר"א כת"י&gt;</v>
      </c>
    </row>
    <row r="30331" spans="1:6" x14ac:dyDescent="0.2">
      <c r="A30331" t="s">
        <v>47779</v>
      </c>
      <c r="B30331" t="s">
        <v>47780</v>
      </c>
      <c r="C30331" t="s">
        <v>1844</v>
      </c>
      <c r="D30331" t="s">
        <v>535</v>
      </c>
      <c r="E30331" t="s">
        <v>43</v>
      </c>
      <c r="F30331" s="2" t="str">
        <f>HYPERLINK("http://www.otzar.org/book.asp?23462","ספרי &lt;מאיר עין&gt;")</f>
        <v>ספרי &lt;מאיר עין&gt;</v>
      </c>
    </row>
    <row r="30332" spans="1:6" x14ac:dyDescent="0.2">
      <c r="A30332" t="s">
        <v>47781</v>
      </c>
      <c r="B30332" t="s">
        <v>47782</v>
      </c>
      <c r="C30332" t="s">
        <v>1470</v>
      </c>
      <c r="D30332" t="s">
        <v>280</v>
      </c>
      <c r="F30332" s="2" t="str">
        <f>HYPERLINK("http://www.otzar.org/book.asp?185376","ספרי &lt;מהדורת פינקלשטיין&gt;")</f>
        <v>ספרי &lt;מהדורת פינקלשטיין&gt;</v>
      </c>
    </row>
    <row r="30333" spans="1:6" x14ac:dyDescent="0.2">
      <c r="A30333" t="s">
        <v>47783</v>
      </c>
      <c r="B30333" t="s">
        <v>47784</v>
      </c>
      <c r="C30333" t="s">
        <v>330</v>
      </c>
      <c r="D30333" t="s">
        <v>49</v>
      </c>
      <c r="E30333" t="s">
        <v>43</v>
      </c>
      <c r="F30333" s="2" t="str">
        <f>HYPERLINK("http://www.otzar.org/book.asp?7904","ספרי &lt;דפו""ר&gt; - 2 כר'")</f>
        <v>ספרי &lt;דפו"ר&gt; - 2 כר'</v>
      </c>
    </row>
    <row r="30334" spans="1:6" x14ac:dyDescent="0.2">
      <c r="A30334" t="s">
        <v>47785</v>
      </c>
      <c r="B30334" t="s">
        <v>47786</v>
      </c>
      <c r="C30334" t="s">
        <v>5257</v>
      </c>
      <c r="D30334" t="s">
        <v>5665</v>
      </c>
      <c r="E30334" t="s">
        <v>43</v>
      </c>
      <c r="F30334" s="2" t="str">
        <f>HYPERLINK("http://www.otzar.org/book.asp?7914","ספרי &lt;עם קונטרס אחרון&gt;")</f>
        <v>ספרי &lt;עם קונטרס אחרון&gt;</v>
      </c>
    </row>
    <row r="30335" spans="1:6" x14ac:dyDescent="0.2">
      <c r="A30335" t="s">
        <v>47787</v>
      </c>
      <c r="B30335" t="s">
        <v>47788</v>
      </c>
      <c r="C30335" t="s">
        <v>47789</v>
      </c>
      <c r="D30335" t="s">
        <v>403</v>
      </c>
      <c r="E30335" t="s">
        <v>43</v>
      </c>
      <c r="F30335" s="2" t="str">
        <f>HYPERLINK("http://www.otzar.org/book.asp?101439","ספרי &lt;זרע אברהם&gt;")</f>
        <v>ספרי &lt;זרע אברהם&gt;</v>
      </c>
    </row>
    <row r="30336" spans="1:6" x14ac:dyDescent="0.2">
      <c r="A30336" t="s">
        <v>47790</v>
      </c>
      <c r="B30336" t="s">
        <v>47791</v>
      </c>
      <c r="C30336" t="s">
        <v>550</v>
      </c>
      <c r="D30336" t="s">
        <v>56</v>
      </c>
      <c r="E30336" t="s">
        <v>43</v>
      </c>
      <c r="F30336" s="2" t="str">
        <f>HYPERLINK("http://www.otzar.org/book.asp?8755","ספרי &lt;הגהות הגר""א&gt;")</f>
        <v>ספרי &lt;הגהות הגר"א&gt;</v>
      </c>
    </row>
    <row r="30337" spans="1:6" x14ac:dyDescent="0.2">
      <c r="A30337" t="s">
        <v>47792</v>
      </c>
      <c r="B30337" t="s">
        <v>47793</v>
      </c>
      <c r="C30337" t="s">
        <v>523</v>
      </c>
      <c r="D30337" t="s">
        <v>47794</v>
      </c>
      <c r="E30337" t="s">
        <v>43</v>
      </c>
      <c r="F30337" s="2" t="str">
        <f>HYPERLINK("http://www.otzar.org/book.asp?601350","ספרי &lt;מהדורת פינקלשטיין הורביץ&gt; - דברים")</f>
        <v>ספרי &lt;מהדורת פינקלשטיין הורביץ&gt; - דברים</v>
      </c>
    </row>
    <row r="30338" spans="1:6" x14ac:dyDescent="0.2">
      <c r="A30338" t="s">
        <v>47795</v>
      </c>
      <c r="B30338" t="s">
        <v>47796</v>
      </c>
      <c r="C30338" t="s">
        <v>427</v>
      </c>
      <c r="D30338" t="s">
        <v>14</v>
      </c>
      <c r="E30338" t="s">
        <v>140</v>
      </c>
      <c r="F30338" s="2" t="str">
        <f>HYPERLINK("http://www.otzar.org/book.asp?153439","ספרי אבות החסידות בארץ הקודש")</f>
        <v>ספרי אבות החסידות בארץ הקודש</v>
      </c>
    </row>
    <row r="30339" spans="1:6" x14ac:dyDescent="0.2">
      <c r="A30339" t="s">
        <v>47797</v>
      </c>
      <c r="B30339" t="s">
        <v>47798</v>
      </c>
      <c r="C30339" t="s">
        <v>71</v>
      </c>
      <c r="D30339" t="s">
        <v>14</v>
      </c>
      <c r="E30339" t="s">
        <v>733</v>
      </c>
      <c r="F30339" s="2" t="str">
        <f>HYPERLINK("http://www.otzar.org/book.asp?175797","ספרי אר""ץ")</f>
        <v>ספרי אר"ץ</v>
      </c>
    </row>
    <row r="30340" spans="1:6" x14ac:dyDescent="0.2">
      <c r="A30340" t="s">
        <v>47799</v>
      </c>
      <c r="B30340" t="s">
        <v>34557</v>
      </c>
      <c r="C30340" t="s">
        <v>20502</v>
      </c>
      <c r="D30340" t="s">
        <v>27</v>
      </c>
      <c r="E30340" t="s">
        <v>43</v>
      </c>
      <c r="F30340" s="2" t="str">
        <f>HYPERLINK("http://www.otzar.org/book.asp?7412","ספרי במדבר - 3 כר'")</f>
        <v>ספרי במדבר - 3 כר'</v>
      </c>
    </row>
    <row r="30341" spans="1:6" x14ac:dyDescent="0.2">
      <c r="A30341" t="s">
        <v>47800</v>
      </c>
      <c r="B30341" t="s">
        <v>47782</v>
      </c>
      <c r="C30341" t="s">
        <v>20</v>
      </c>
      <c r="D30341" t="s">
        <v>14</v>
      </c>
      <c r="E30341" t="s">
        <v>43</v>
      </c>
      <c r="F30341" s="2" t="str">
        <f>HYPERLINK("http://www.otzar.org/book.asp?630567","ספרי במדבר - גירסת הגר""א")</f>
        <v>ספרי במדבר - גירסת הגר"א</v>
      </c>
    </row>
    <row r="30342" spans="1:6" x14ac:dyDescent="0.2">
      <c r="A30342" t="s">
        <v>47801</v>
      </c>
      <c r="B30342" t="s">
        <v>3880</v>
      </c>
      <c r="C30342" t="s">
        <v>332</v>
      </c>
      <c r="D30342" t="s">
        <v>52</v>
      </c>
      <c r="E30342" t="s">
        <v>2840</v>
      </c>
      <c r="F30342" s="2" t="str">
        <f>HYPERLINK("http://www.otzar.org/book.asp?194963","ספרי בעל הפרדס - 2 כר'")</f>
        <v>ספרי בעל הפרדס - 2 כר'</v>
      </c>
    </row>
    <row r="30343" spans="1:6" x14ac:dyDescent="0.2">
      <c r="A30343" t="s">
        <v>47802</v>
      </c>
      <c r="B30343" t="s">
        <v>47803</v>
      </c>
      <c r="C30343" t="s">
        <v>1169</v>
      </c>
      <c r="D30343" t="s">
        <v>563</v>
      </c>
      <c r="F30343" s="2" t="str">
        <f>HYPERLINK("http://www.otzar.org/book.asp?152976","ספרי ברוך (אהל ברוך)")</f>
        <v>ספרי ברוך (אהל ברוך)</v>
      </c>
    </row>
    <row r="30344" spans="1:6" x14ac:dyDescent="0.2">
      <c r="A30344" t="s">
        <v>47804</v>
      </c>
      <c r="B30344" t="s">
        <v>7075</v>
      </c>
      <c r="C30344" t="s">
        <v>395</v>
      </c>
      <c r="D30344" t="s">
        <v>56</v>
      </c>
      <c r="E30344" t="s">
        <v>43</v>
      </c>
      <c r="F30344" s="2" t="str">
        <f>HYPERLINK("http://www.otzar.org/book.asp?104814","ספרי דאגדתא על מגילת אסתר &lt;לקח טוב&gt;")</f>
        <v>ספרי דאגדתא על מגילת אסתר &lt;לקח טוב&gt;</v>
      </c>
    </row>
    <row r="30345" spans="1:6" x14ac:dyDescent="0.2">
      <c r="A30345" t="s">
        <v>47805</v>
      </c>
      <c r="B30345" t="s">
        <v>7075</v>
      </c>
      <c r="C30345" t="s">
        <v>395</v>
      </c>
      <c r="D30345" t="s">
        <v>56</v>
      </c>
      <c r="E30345" t="s">
        <v>43</v>
      </c>
      <c r="F30345" s="2" t="str">
        <f>HYPERLINK("http://www.otzar.org/book.asp?17434","ספרי דאגדתא על מגילת אסתר")</f>
        <v>ספרי דאגדתא על מגילת אסתר</v>
      </c>
    </row>
    <row r="30346" spans="1:6" x14ac:dyDescent="0.2">
      <c r="A30346" t="s">
        <v>47806</v>
      </c>
      <c r="B30346" t="s">
        <v>47793</v>
      </c>
      <c r="C30346" t="s">
        <v>523</v>
      </c>
      <c r="D30346" t="s">
        <v>47794</v>
      </c>
      <c r="E30346" t="s">
        <v>43</v>
      </c>
      <c r="F30346" s="2" t="str">
        <f>HYPERLINK("http://www.otzar.org/book.asp?602620","ספרי דבי רב וספרא זוטא &lt;מהדורת פינקלשטיין הורביץ&gt; - במדבר")</f>
        <v>ספרי דבי רב וספרא זוטא &lt;מהדורת פינקלשטיין הורביץ&gt; - במדבר</v>
      </c>
    </row>
    <row r="30347" spans="1:6" x14ac:dyDescent="0.2">
      <c r="A30347" t="s">
        <v>47807</v>
      </c>
      <c r="B30347" t="s">
        <v>27038</v>
      </c>
      <c r="C30347" t="s">
        <v>1937</v>
      </c>
      <c r="D30347" t="s">
        <v>76</v>
      </c>
      <c r="E30347" t="s">
        <v>43</v>
      </c>
      <c r="F30347" s="2" t="str">
        <f>HYPERLINK("http://www.otzar.org/book.asp?101438","ספרי דבי רב - 5 כר'")</f>
        <v>ספרי דבי רב - 5 כר'</v>
      </c>
    </row>
    <row r="30348" spans="1:6" x14ac:dyDescent="0.2">
      <c r="A30348" t="s">
        <v>47808</v>
      </c>
      <c r="B30348" t="s">
        <v>41600</v>
      </c>
      <c r="C30348" t="s">
        <v>1096</v>
      </c>
      <c r="D30348" t="s">
        <v>283</v>
      </c>
      <c r="E30348" t="s">
        <v>202</v>
      </c>
      <c r="F30348" s="2" t="str">
        <f>HYPERLINK("http://www.otzar.org/book.asp?188744","ספרי הזכרונות לסיר משה מונטיפיורי ורעיתו יהודית - 2 כר'")</f>
        <v>ספרי הזכרונות לסיר משה מונטיפיורי ורעיתו יהודית - 2 כר'</v>
      </c>
    </row>
    <row r="30349" spans="1:6" x14ac:dyDescent="0.2">
      <c r="A30349" t="s">
        <v>47809</v>
      </c>
      <c r="B30349" t="s">
        <v>47810</v>
      </c>
      <c r="C30349" t="s">
        <v>1268</v>
      </c>
      <c r="D30349" t="s">
        <v>412</v>
      </c>
      <c r="E30349" t="s">
        <v>241</v>
      </c>
      <c r="F30349" s="2" t="str">
        <f>HYPERLINK("http://www.otzar.org/book.asp?608364","ספרי החפץ חיים באידיש - 3 כר'")</f>
        <v>ספרי החפץ חיים באידיש - 3 כר'</v>
      </c>
    </row>
    <row r="30350" spans="1:6" x14ac:dyDescent="0.2">
      <c r="A30350" t="s">
        <v>47811</v>
      </c>
      <c r="B30350" t="s">
        <v>4049</v>
      </c>
      <c r="C30350" t="s">
        <v>133</v>
      </c>
      <c r="D30350" t="s">
        <v>14</v>
      </c>
      <c r="E30350" t="s">
        <v>8469</v>
      </c>
      <c r="F30350" s="2" t="str">
        <f>HYPERLINK("http://www.otzar.org/book.asp?173630","ספרי המגיד מקאזניץ - יקר מפז, שארית ישראל, תהלות ישראל, אבות ישראל")</f>
        <v>ספרי המגיד מקאזניץ - יקר מפז, שארית ישראל, תהלות ישראל, אבות ישראל</v>
      </c>
    </row>
    <row r="30351" spans="1:6" x14ac:dyDescent="0.2">
      <c r="A30351" t="s">
        <v>47812</v>
      </c>
      <c r="C30351" t="s">
        <v>124</v>
      </c>
      <c r="D30351" t="s">
        <v>14</v>
      </c>
      <c r="E30351" t="s">
        <v>399</v>
      </c>
      <c r="F30351" s="2" t="str">
        <f>HYPERLINK("http://www.otzar.org/book.asp?627966","ספרי הערכים בקבלה - מאורי אור, ציצים ופרחים, כל הנקרא בשמי")</f>
        <v>ספרי הערכים בקבלה - מאורי אור, ציצים ופרחים, כל הנקרא בשמי</v>
      </c>
    </row>
    <row r="30352" spans="1:6" x14ac:dyDescent="0.2">
      <c r="A30352" t="s">
        <v>47813</v>
      </c>
      <c r="B30352" t="s">
        <v>15110</v>
      </c>
      <c r="C30352" t="s">
        <v>624</v>
      </c>
      <c r="D30352" t="s">
        <v>14</v>
      </c>
      <c r="F30352" s="2" t="str">
        <f>HYPERLINK("http://www.otzar.org/book.asp?161765","ספרי הרה""ק רבי שמעלקא - תולדות שמואל, דברי שמואל, אמרי שמואל")</f>
        <v>ספרי הרה"ק רבי שמעלקא - תולדות שמואל, דברי שמואל, אמרי שמואל</v>
      </c>
    </row>
    <row r="30353" spans="1:6" x14ac:dyDescent="0.2">
      <c r="A30353" t="s">
        <v>47814</v>
      </c>
      <c r="B30353" t="s">
        <v>24561</v>
      </c>
      <c r="C30353" t="s">
        <v>553</v>
      </c>
      <c r="D30353" t="s">
        <v>118</v>
      </c>
      <c r="E30353" t="s">
        <v>47815</v>
      </c>
      <c r="F30353" s="2" t="str">
        <f>HYPERLINK("http://www.otzar.org/book.asp?106068","ספרי הרשב""א - 2 כר'")</f>
        <v>ספרי הרשב"א - 2 כר'</v>
      </c>
    </row>
    <row r="30354" spans="1:6" x14ac:dyDescent="0.2">
      <c r="A30354" t="s">
        <v>47816</v>
      </c>
      <c r="B30354" t="s">
        <v>47817</v>
      </c>
      <c r="C30354" t="s">
        <v>151</v>
      </c>
      <c r="D30354" t="s">
        <v>14</v>
      </c>
      <c r="E30354" t="s">
        <v>172</v>
      </c>
      <c r="F30354" s="2" t="str">
        <f>HYPERLINK("http://www.otzar.org/book.asp?629073","ספרי הרשב""ש - 5 כר'")</f>
        <v>ספרי הרשב"ש - 5 כר'</v>
      </c>
    </row>
    <row r="30355" spans="1:6" x14ac:dyDescent="0.2">
      <c r="A30355" t="s">
        <v>47818</v>
      </c>
      <c r="B30355" t="s">
        <v>35227</v>
      </c>
      <c r="C30355" t="s">
        <v>146</v>
      </c>
      <c r="D30355" t="s">
        <v>14</v>
      </c>
      <c r="E30355" t="s">
        <v>3915</v>
      </c>
      <c r="F30355" s="2" t="str">
        <f>HYPERLINK("http://www.otzar.org/book.asp?158655","ספרי התורה של אבות החסידות")</f>
        <v>ספרי התורה של אבות החסידות</v>
      </c>
    </row>
    <row r="30356" spans="1:6" x14ac:dyDescent="0.2">
      <c r="A30356" t="s">
        <v>47819</v>
      </c>
      <c r="B30356" t="s">
        <v>39603</v>
      </c>
      <c r="C30356" t="s">
        <v>812</v>
      </c>
      <c r="D30356" t="s">
        <v>4772</v>
      </c>
      <c r="E30356" t="s">
        <v>12306</v>
      </c>
      <c r="F30356" s="2" t="str">
        <f>HYPERLINK("http://www.otzar.org/book.asp?103940","ספרי התנאים בתקופת הגאונים")</f>
        <v>ספרי התנאים בתקופת הגאונים</v>
      </c>
    </row>
    <row r="30357" spans="1:6" x14ac:dyDescent="0.2">
      <c r="A30357" t="s">
        <v>47820</v>
      </c>
      <c r="B30357" t="s">
        <v>20946</v>
      </c>
      <c r="C30357" t="s">
        <v>160</v>
      </c>
      <c r="D30357" t="s">
        <v>27</v>
      </c>
      <c r="E30357" t="s">
        <v>43</v>
      </c>
      <c r="F30357" s="2" t="str">
        <f>HYPERLINK("http://www.otzar.org/book.asp?7411","ספרי זוטא &lt;ספירי אפרים&gt;")</f>
        <v>ספרי זוטא &lt;ספירי אפרים&gt;</v>
      </c>
    </row>
    <row r="30358" spans="1:6" x14ac:dyDescent="0.2">
      <c r="A30358" t="s">
        <v>47821</v>
      </c>
      <c r="B30358" t="s">
        <v>47822</v>
      </c>
      <c r="C30358" t="s">
        <v>445</v>
      </c>
      <c r="D30358" t="s">
        <v>45812</v>
      </c>
      <c r="E30358" t="s">
        <v>43</v>
      </c>
      <c r="F30358" s="2" t="str">
        <f>HYPERLINK("http://www.otzar.org/book.asp?16558","ספרי זוטא במדבר - מתוך הילקוט שמעוני ומקורות אחרים")</f>
        <v>ספרי זוטא במדבר - מתוך הילקוט שמעוני ומקורות אחרים</v>
      </c>
    </row>
    <row r="30359" spans="1:6" x14ac:dyDescent="0.2">
      <c r="A30359" t="s">
        <v>47823</v>
      </c>
      <c r="B30359" t="s">
        <v>47824</v>
      </c>
      <c r="C30359" t="s">
        <v>47825</v>
      </c>
      <c r="D30359" t="s">
        <v>47826</v>
      </c>
      <c r="E30359" t="s">
        <v>43</v>
      </c>
      <c r="F30359" s="2" t="str">
        <f>HYPERLINK("http://www.otzar.org/book.asp?189502","ספרי זוטא - 2 כר'")</f>
        <v>ספרי זוטא - 2 כר'</v>
      </c>
    </row>
    <row r="30360" spans="1:6" x14ac:dyDescent="0.2">
      <c r="A30360" t="s">
        <v>47827</v>
      </c>
      <c r="B30360" t="s">
        <v>47828</v>
      </c>
      <c r="C30360" t="s">
        <v>609</v>
      </c>
      <c r="D30360" t="s">
        <v>947</v>
      </c>
      <c r="E30360" t="s">
        <v>43</v>
      </c>
      <c r="F30360" s="2" t="str">
        <f>HYPERLINK("http://www.otzar.org/book.asp?683","ספרי זוטא - 3 כר'")</f>
        <v>ספרי זוטא - 3 כר'</v>
      </c>
    </row>
    <row r="30361" spans="1:6" x14ac:dyDescent="0.2">
      <c r="A30361" t="s">
        <v>47829</v>
      </c>
      <c r="B30361" t="s">
        <v>155</v>
      </c>
      <c r="C30361" t="s">
        <v>728</v>
      </c>
      <c r="D30361" t="s">
        <v>157</v>
      </c>
      <c r="E30361" t="s">
        <v>1103</v>
      </c>
      <c r="F30361" s="2" t="str">
        <f>HYPERLINK("http://www.otzar.org/book.asp?101603","ספרי חיים")</f>
        <v>ספרי חיים</v>
      </c>
    </row>
    <row r="30362" spans="1:6" x14ac:dyDescent="0.2">
      <c r="A30362" t="s">
        <v>47830</v>
      </c>
      <c r="B30362" t="s">
        <v>24088</v>
      </c>
      <c r="C30362" t="s">
        <v>989</v>
      </c>
      <c r="D30362" t="s">
        <v>14</v>
      </c>
      <c r="E30362" t="s">
        <v>104</v>
      </c>
      <c r="F30362" s="2" t="str">
        <f>HYPERLINK("http://www.otzar.org/book.asp?25093","ספרי מוסד הרב קוק")</f>
        <v>ספרי מוסד הרב קוק</v>
      </c>
    </row>
    <row r="30363" spans="1:6" x14ac:dyDescent="0.2">
      <c r="A30363" t="s">
        <v>47831</v>
      </c>
      <c r="B30363" t="s">
        <v>15569</v>
      </c>
      <c r="C30363" t="s">
        <v>129</v>
      </c>
      <c r="D30363" t="s">
        <v>14</v>
      </c>
      <c r="E30363" t="s">
        <v>104</v>
      </c>
      <c r="F30363" s="2" t="str">
        <f>HYPERLINK("http://www.otzar.org/book.asp?155956","ספרי מנחם מנדל - 37 כר'")</f>
        <v>ספרי מנחם מנדל - 37 כר'</v>
      </c>
    </row>
    <row r="30364" spans="1:6" x14ac:dyDescent="0.2">
      <c r="A30364" t="s">
        <v>47832</v>
      </c>
      <c r="B30364" t="s">
        <v>47833</v>
      </c>
      <c r="C30364" t="s">
        <v>1470</v>
      </c>
      <c r="D30364" t="s">
        <v>280</v>
      </c>
      <c r="E30364" t="s">
        <v>43</v>
      </c>
      <c r="F30364" s="2" t="str">
        <f>HYPERLINK("http://www.otzar.org/book.asp?16557","ספרי על ספר דברים")</f>
        <v>ספרי על ספר דברים</v>
      </c>
    </row>
    <row r="30365" spans="1:6" x14ac:dyDescent="0.2">
      <c r="A30365" t="s">
        <v>47834</v>
      </c>
      <c r="B30365" t="s">
        <v>6984</v>
      </c>
      <c r="C30365" t="s">
        <v>146</v>
      </c>
      <c r="D30365" t="s">
        <v>10373</v>
      </c>
      <c r="E30365" t="s">
        <v>399</v>
      </c>
      <c r="F30365" s="2" t="str">
        <f>HYPERLINK("http://www.otzar.org/book.asp?50084","ספרי קבלת הגאונים")</f>
        <v>ספרי קבלת הגאונים</v>
      </c>
    </row>
    <row r="30366" spans="1:6" x14ac:dyDescent="0.2">
      <c r="A30366" t="s">
        <v>47835</v>
      </c>
      <c r="B30366" t="s">
        <v>16927</v>
      </c>
      <c r="C30366" t="s">
        <v>103</v>
      </c>
      <c r="D30366" t="s">
        <v>14</v>
      </c>
      <c r="E30366" t="s">
        <v>15</v>
      </c>
      <c r="F30366" s="2" t="str">
        <f>HYPERLINK("http://www.otzar.org/book.asp?168654","ספרי ר""א מגרמייזא בעל הרוקח - 2 כר'")</f>
        <v>ספרי ר"א מגרמייזא בעל הרוקח - 2 כר'</v>
      </c>
    </row>
    <row r="30367" spans="1:6" x14ac:dyDescent="0.2">
      <c r="A30367" t="s">
        <v>47836</v>
      </c>
      <c r="B30367" t="s">
        <v>28530</v>
      </c>
      <c r="C30367" t="s">
        <v>1160</v>
      </c>
      <c r="D30367" t="s">
        <v>14</v>
      </c>
      <c r="E30367" t="s">
        <v>674</v>
      </c>
      <c r="F30367" s="2" t="str">
        <f>HYPERLINK("http://www.otzar.org/book.asp?160520","ספרי ראשונים")</f>
        <v>ספרי ראשונים</v>
      </c>
    </row>
    <row r="30368" spans="1:6" x14ac:dyDescent="0.2">
      <c r="A30368" t="s">
        <v>47837</v>
      </c>
      <c r="B30368" t="s">
        <v>10056</v>
      </c>
      <c r="C30368" t="s">
        <v>411</v>
      </c>
      <c r="D30368" t="s">
        <v>1180</v>
      </c>
      <c r="F30368" s="2" t="str">
        <f>HYPERLINK("http://www.otzar.org/book.asp?199140","ספרי רבותינו לימי הקיץ")</f>
        <v>ספרי רבותינו לימי הקיץ</v>
      </c>
    </row>
    <row r="30369" spans="1:6" x14ac:dyDescent="0.2">
      <c r="A30369" t="s">
        <v>47838</v>
      </c>
      <c r="B30369" t="s">
        <v>47839</v>
      </c>
      <c r="E30369" t="s">
        <v>3055</v>
      </c>
      <c r="F30369" s="2" t="str">
        <f>HYPERLINK("http://www.otzar.org/book.asp?624373","ספרי רבותינו לפסח")</f>
        <v>ספרי רבותינו לפסח</v>
      </c>
    </row>
    <row r="30370" spans="1:6" x14ac:dyDescent="0.2">
      <c r="A30370" t="s">
        <v>47840</v>
      </c>
      <c r="B30370" t="s">
        <v>7681</v>
      </c>
      <c r="C30370" t="s">
        <v>13</v>
      </c>
      <c r="D30370" t="s">
        <v>27</v>
      </c>
      <c r="E30370" t="s">
        <v>47841</v>
      </c>
      <c r="F30370" s="2" t="str">
        <f>HYPERLINK("http://www.otzar.org/book.asp?152355","ספרי רבי אליעזר ידיד הלוי &lt;שבחי מהר""ם&gt;")</f>
        <v>ספרי רבי אליעזר ידיד הלוי &lt;שבחי מהר"ם&gt;</v>
      </c>
    </row>
    <row r="30371" spans="1:6" x14ac:dyDescent="0.2">
      <c r="A30371" t="s">
        <v>47842</v>
      </c>
      <c r="B30371" t="s">
        <v>4840</v>
      </c>
      <c r="C30371" t="s">
        <v>47843</v>
      </c>
      <c r="D30371" t="s">
        <v>1731</v>
      </c>
      <c r="E30371" t="s">
        <v>33308</v>
      </c>
      <c r="F30371" s="2" t="str">
        <f>HYPERLINK("http://www.otzar.org/book.asp?93","ספרי רבינו סעדיה גאון - ספר הירושות")</f>
        <v>ספרי רבינו סעדיה גאון - ספר הירושות</v>
      </c>
    </row>
    <row r="30372" spans="1:6" x14ac:dyDescent="0.2">
      <c r="A30372" t="s">
        <v>47844</v>
      </c>
      <c r="B30372" t="s">
        <v>47845</v>
      </c>
      <c r="C30372" t="s">
        <v>2132</v>
      </c>
      <c r="D30372" t="s">
        <v>412</v>
      </c>
      <c r="E30372" t="s">
        <v>15</v>
      </c>
      <c r="F30372" s="2" t="str">
        <f>HYPERLINK("http://www.otzar.org/book.asp?63231","ספרי שמירת מצוות כהלכתן - 4 כר'")</f>
        <v>ספרי שמירת מצוות כהלכתן - 4 כר'</v>
      </c>
    </row>
    <row r="30373" spans="1:6" x14ac:dyDescent="0.2">
      <c r="A30373" t="s">
        <v>47846</v>
      </c>
      <c r="B30373" t="s">
        <v>1303</v>
      </c>
      <c r="C30373" t="s">
        <v>15343</v>
      </c>
      <c r="D30373" t="s">
        <v>27</v>
      </c>
      <c r="E30373" t="s">
        <v>43</v>
      </c>
      <c r="F30373" s="2" t="str">
        <f>HYPERLINK("http://www.otzar.org/book.asp?103310","ספרי - 3 כר'")</f>
        <v>ספרי - 3 כר'</v>
      </c>
    </row>
    <row r="30374" spans="1:6" x14ac:dyDescent="0.2">
      <c r="A30374" t="s">
        <v>47847</v>
      </c>
      <c r="B30374" t="s">
        <v>47848</v>
      </c>
      <c r="C30374" t="s">
        <v>79</v>
      </c>
      <c r="D30374" t="s">
        <v>27</v>
      </c>
      <c r="E30374" t="s">
        <v>43</v>
      </c>
      <c r="F30374" s="2" t="str">
        <f>HYPERLINK("http://www.otzar.org/book.asp?7396","ספרי - 2 כר'")</f>
        <v>ספרי - 2 כר'</v>
      </c>
    </row>
    <row r="30375" spans="1:6" x14ac:dyDescent="0.2">
      <c r="A30375" t="s">
        <v>47782</v>
      </c>
      <c r="B30375" t="s">
        <v>47786</v>
      </c>
      <c r="C30375" t="s">
        <v>5257</v>
      </c>
      <c r="D30375" t="s">
        <v>5665</v>
      </c>
      <c r="E30375" t="s">
        <v>43</v>
      </c>
      <c r="F30375" s="2" t="str">
        <f>HYPERLINK("http://www.otzar.org/book.asp?200059","ספרי")</f>
        <v>ספרי</v>
      </c>
    </row>
    <row r="30376" spans="1:6" x14ac:dyDescent="0.2">
      <c r="A30376" t="s">
        <v>47782</v>
      </c>
      <c r="B30376" t="s">
        <v>47791</v>
      </c>
      <c r="C30376" t="s">
        <v>550</v>
      </c>
      <c r="D30376" t="s">
        <v>267</v>
      </c>
      <c r="E30376" t="s">
        <v>43</v>
      </c>
      <c r="F30376" s="2" t="str">
        <f>HYPERLINK("http://www.otzar.org/book.asp?16569","ספרי")</f>
        <v>ספרי</v>
      </c>
    </row>
    <row r="30377" spans="1:6" x14ac:dyDescent="0.2">
      <c r="A30377" t="s">
        <v>47849</v>
      </c>
      <c r="B30377" t="s">
        <v>47850</v>
      </c>
      <c r="C30377" t="s">
        <v>2870</v>
      </c>
      <c r="D30377" t="s">
        <v>1037</v>
      </c>
      <c r="E30377" t="s">
        <v>1103</v>
      </c>
      <c r="F30377" s="2" t="str">
        <f>HYPERLINK("http://www.otzar.org/book.asp?739","ספרי - &lt;הורוויץ&gt;")</f>
        <v>ספרי - &lt;הורוויץ&gt;</v>
      </c>
    </row>
    <row r="30378" spans="1:6" x14ac:dyDescent="0.2">
      <c r="A30378" t="s">
        <v>47851</v>
      </c>
      <c r="B30378" t="s">
        <v>47852</v>
      </c>
      <c r="C30378" t="s">
        <v>151</v>
      </c>
      <c r="D30378" t="s">
        <v>412</v>
      </c>
      <c r="F30378" s="2" t="str">
        <f>HYPERLINK("http://www.otzar.org/book.asp?616282","ספרי - עם פירוש המיוחס לראב""ד")</f>
        <v>ספרי - עם פירוש המיוחס לראב"ד</v>
      </c>
    </row>
    <row r="30379" spans="1:6" x14ac:dyDescent="0.2">
      <c r="A30379" t="s">
        <v>47853</v>
      </c>
      <c r="B30379" t="s">
        <v>47854</v>
      </c>
      <c r="C30379" t="s">
        <v>13</v>
      </c>
      <c r="D30379" t="s">
        <v>14</v>
      </c>
      <c r="E30379" t="s">
        <v>15</v>
      </c>
      <c r="F30379" s="2" t="str">
        <f>HYPERLINK("http://www.otzar.org/book.asp?166173","ספרים  בספרדית - כשרות")</f>
        <v>ספרים  בספרדית - כשרות</v>
      </c>
    </row>
    <row r="30380" spans="1:6" x14ac:dyDescent="0.2">
      <c r="A30380" t="s">
        <v>47855</v>
      </c>
      <c r="B30380" t="e">
        <f>-  דוד מנחם בן ישראל מרדכי</f>
        <v>#NAME?</v>
      </c>
      <c r="C30380" t="s">
        <v>13</v>
      </c>
      <c r="D30380" t="s">
        <v>47856</v>
      </c>
      <c r="E30380" t="s">
        <v>158</v>
      </c>
      <c r="F30380" s="2" t="str">
        <f>HYPERLINK("http://www.otzar.org/book.asp?603884","ספרים באנגלית - ציבי ציונים מדור דור")</f>
        <v>ספרים באנגלית - ציבי ציונים מדור דור</v>
      </c>
    </row>
    <row r="30381" spans="1:6" x14ac:dyDescent="0.2">
      <c r="A30381" t="s">
        <v>47857</v>
      </c>
      <c r="B30381" t="e">
        <f>- Abraham A. - Kellner M.A.</f>
        <v>#NAME?</v>
      </c>
      <c r="C30381" t="s">
        <v>46</v>
      </c>
      <c r="D30381" t="s">
        <v>412</v>
      </c>
      <c r="F30381" s="2" t="str">
        <f>HYPERLINK("http://www.otzar.org/book.asp?616315","ספרים באנגלית - A Rabbi's Faith")</f>
        <v>ספרים באנגלית - A Rabbi's Faith</v>
      </c>
    </row>
    <row r="30382" spans="1:6" x14ac:dyDescent="0.2">
      <c r="A30382" t="s">
        <v>47858</v>
      </c>
      <c r="B30382" t="e">
        <f>- BASRI, DAVID SHALOM</f>
        <v>#NAME?</v>
      </c>
      <c r="D30382" t="s">
        <v>14</v>
      </c>
      <c r="E30382" t="s">
        <v>399</v>
      </c>
      <c r="F30382" s="2" t="str">
        <f>HYPERLINK("http://www.otzar.org/book.asp?152472","ספרים באנגלית - TALES FROM THE ZOHAR 1")</f>
        <v>ספרים באנגלית - TALES FROM THE ZOHAR 1</v>
      </c>
    </row>
    <row r="30383" spans="1:6" x14ac:dyDescent="0.2">
      <c r="A30383" t="s">
        <v>47859</v>
      </c>
      <c r="B30383" t="e">
        <f>- BASRI, EZRA</f>
        <v>#NAME?</v>
      </c>
      <c r="D30383" t="s">
        <v>14</v>
      </c>
      <c r="F30383" s="2" t="str">
        <f>HYPERLINK("http://www.otzar.org/book.asp?152523","ספרים באנגלית - 9 כר'")</f>
        <v>ספרים באנגלית - 9 כר'</v>
      </c>
    </row>
    <row r="30384" spans="1:6" x14ac:dyDescent="0.2">
      <c r="A30384" t="s">
        <v>47860</v>
      </c>
      <c r="B30384" t="e">
        <f>- BASRI, MOSHE</f>
        <v>#NAME?</v>
      </c>
      <c r="C30384" t="s">
        <v>87</v>
      </c>
      <c r="D30384" t="s">
        <v>14</v>
      </c>
      <c r="E30384" t="s">
        <v>144</v>
      </c>
      <c r="F30384" s="2" t="str">
        <f>HYPERLINK("http://www.otzar.org/book.asp?152484","ספרים באנגלית - 4 כר'")</f>
        <v>ספרים באנגלית - 4 כר'</v>
      </c>
    </row>
    <row r="30385" spans="1:6" x14ac:dyDescent="0.2">
      <c r="A30385" t="s">
        <v>47861</v>
      </c>
      <c r="B30385" t="e">
        <f>- BASRI, SIMA</f>
        <v>#NAME?</v>
      </c>
      <c r="C30385" t="s">
        <v>383</v>
      </c>
      <c r="D30385" t="s">
        <v>14</v>
      </c>
      <c r="E30385" t="s">
        <v>104</v>
      </c>
      <c r="F30385" s="2" t="str">
        <f>HYPERLINK("http://www.otzar.org/book.asp?152473","ספרים באנגלית - 2 כר'")</f>
        <v>ספרים באנגלית - 2 כר'</v>
      </c>
    </row>
    <row r="30386" spans="1:6" x14ac:dyDescent="0.2">
      <c r="A30386" t="s">
        <v>47862</v>
      </c>
      <c r="B30386" t="e">
        <f>- Bernstein Philip s.</f>
        <v>#NAME?</v>
      </c>
      <c r="C30386" t="s">
        <v>3840</v>
      </c>
      <c r="D30386" t="s">
        <v>412</v>
      </c>
      <c r="F30386" s="2" t="str">
        <f>HYPERLINK("http://www.otzar.org/book.asp?616313","ספרים באנגלית - What The Jews Belive")</f>
        <v>ספרים באנגלית - What The Jews Belive</v>
      </c>
    </row>
    <row r="30387" spans="1:6" x14ac:dyDescent="0.2">
      <c r="A30387" t="s">
        <v>47863</v>
      </c>
      <c r="B30387" t="e">
        <f>- Breuer Joseph</f>
        <v>#NAME?</v>
      </c>
      <c r="C30387" t="s">
        <v>79</v>
      </c>
      <c r="D30387" t="s">
        <v>4338</v>
      </c>
      <c r="F30387" s="2" t="str">
        <f>HYPERLINK("http://www.otzar.org/book.asp?616310","ספרים באנגלית - Introduction to Rabbi Samson Raphael Hirsch's commentary on the")</f>
        <v>ספרים באנגלית - Introduction to Rabbi Samson Raphael Hirsch's commentary on the</v>
      </c>
    </row>
    <row r="30388" spans="1:6" x14ac:dyDescent="0.2">
      <c r="A30388" t="s">
        <v>47864</v>
      </c>
      <c r="B30388" t="e">
        <f>- DAVIS, ELISE  DAVIS</f>
        <v>#NAME?</v>
      </c>
      <c r="C30388">
        <v>1977</v>
      </c>
      <c r="D30388" t="s">
        <v>14</v>
      </c>
      <c r="F30388" s="2" t="str">
        <f>HYPERLINK("http://www.otzar.org/book.asp?618780","ספרים באנגלית - JEWISH FOLK ART OVER THE AGES")</f>
        <v>ספרים באנגלית - JEWISH FOLK ART OVER THE AGES</v>
      </c>
    </row>
    <row r="30389" spans="1:6" x14ac:dyDescent="0.2">
      <c r="A30389" t="s">
        <v>47861</v>
      </c>
      <c r="B30389" t="e">
        <f>- EVEN - HEN, YAAKOV</f>
        <v>#NAME?</v>
      </c>
      <c r="D30389" t="s">
        <v>14</v>
      </c>
      <c r="E30389" t="s">
        <v>119</v>
      </c>
      <c r="F30389" s="2" t="str">
        <f>HYPERLINK("http://www.otzar.org/book.asp?152513","ספרים באנגלית - 2 כר'")</f>
        <v>ספרים באנגלית - 2 כר'</v>
      </c>
    </row>
    <row r="30390" spans="1:6" x14ac:dyDescent="0.2">
      <c r="A30390" t="s">
        <v>47865</v>
      </c>
      <c r="B30390" t="e">
        <f>- Hammer, Louis</f>
        <v>#NAME?</v>
      </c>
      <c r="C30390" t="s">
        <v>442</v>
      </c>
      <c r="D30390" t="s">
        <v>412</v>
      </c>
      <c r="F30390" s="2" t="str">
        <f>HYPERLINK("http://www.otzar.org/book.asp?616316","ספרים באנגלית - A WORD IN SEASON")</f>
        <v>ספרים באנגלית - A WORD IN SEASON</v>
      </c>
    </row>
    <row r="30391" spans="1:6" x14ac:dyDescent="0.2">
      <c r="A30391" t="s">
        <v>47866</v>
      </c>
      <c r="B30391" t="e">
        <f>- Harris L. Selig</f>
        <v>#NAME?</v>
      </c>
      <c r="C30391" t="s">
        <v>698</v>
      </c>
      <c r="D30391" t="s">
        <v>412</v>
      </c>
      <c r="F30391" s="2" t="str">
        <f>HYPERLINK("http://www.otzar.org/book.asp?614736","ספרים באנגלית - The Eternal Fount")</f>
        <v>ספרים באנגלית - The Eternal Fount</v>
      </c>
    </row>
    <row r="30392" spans="1:6" x14ac:dyDescent="0.2">
      <c r="A30392" t="s">
        <v>47867</v>
      </c>
      <c r="B30392" t="e">
        <f>- JUNG, LEO</f>
        <v>#NAME?</v>
      </c>
      <c r="C30392" t="s">
        <v>609</v>
      </c>
      <c r="D30392" t="s">
        <v>3744</v>
      </c>
      <c r="F30392" s="2" t="str">
        <f>HYPERLINK("http://www.otzar.org/book.asp?616320","ספרים באנגלית  - TOWARD SINAI")</f>
        <v>ספרים באנגלית  - TOWARD SINAI</v>
      </c>
    </row>
    <row r="30393" spans="1:6" x14ac:dyDescent="0.2">
      <c r="A30393" t="s">
        <v>47868</v>
      </c>
      <c r="B30393" t="e">
        <f>- Klein Isaac</f>
        <v>#NAME?</v>
      </c>
      <c r="C30393" t="s">
        <v>442</v>
      </c>
      <c r="D30393" t="s">
        <v>4338</v>
      </c>
      <c r="F30393" s="2" t="str">
        <f>HYPERLINK("http://www.otzar.org/book.asp?616311","ספרים באנגלית - The Ten Commandments in a changing world")</f>
        <v>ספרים באנגלית - The Ten Commandments in a changing world</v>
      </c>
    </row>
    <row r="30394" spans="1:6" x14ac:dyDescent="0.2">
      <c r="A30394" t="s">
        <v>47869</v>
      </c>
      <c r="B30394" t="e">
        <f>- Lehrman s. M.</f>
        <v>#NAME?</v>
      </c>
      <c r="C30394" t="s">
        <v>79</v>
      </c>
      <c r="D30394" t="s">
        <v>412</v>
      </c>
      <c r="F30394" s="2" t="str">
        <f>HYPERLINK("http://www.otzar.org/book.asp?616312","ספרים באנגלית - The Jewish Festivals")</f>
        <v>ספרים באנגלית - The Jewish Festivals</v>
      </c>
    </row>
    <row r="30395" spans="1:6" x14ac:dyDescent="0.2">
      <c r="A30395" t="s">
        <v>47870</v>
      </c>
      <c r="B30395" t="e">
        <f>- Levinthal, Israel Herbert</f>
        <v>#NAME?</v>
      </c>
      <c r="C30395" t="s">
        <v>2008</v>
      </c>
      <c r="D30395" t="s">
        <v>412</v>
      </c>
      <c r="F30395" s="2" t="str">
        <f>HYPERLINK("http://www.otzar.org/book.asp?616317","ספרים באנגלית - A NEW WORLD IS BORN")</f>
        <v>ספרים באנגלית - A NEW WORLD IS BORN</v>
      </c>
    </row>
    <row r="30396" spans="1:6" x14ac:dyDescent="0.2">
      <c r="A30396" t="s">
        <v>47871</v>
      </c>
      <c r="B30396" t="e">
        <f>- Loebenstein, Dovid</f>
        <v>#NAME?</v>
      </c>
      <c r="C30396" t="s">
        <v>785</v>
      </c>
      <c r="D30396" t="s">
        <v>14</v>
      </c>
      <c r="F30396" s="2" t="str">
        <f>HYPERLINK("http://www.otzar.org/book.asp?158722","ספרים באנגלית - A GUIDE to shatbez")</f>
        <v>ספרים באנגלית - A GUIDE to shatbez</v>
      </c>
    </row>
    <row r="30397" spans="1:6" x14ac:dyDescent="0.2">
      <c r="A30397" t="s">
        <v>47872</v>
      </c>
      <c r="B30397" t="e">
        <f>- MANNES, SHLOIME</f>
        <v>#NAME?</v>
      </c>
      <c r="C30397" t="s">
        <v>114</v>
      </c>
      <c r="D30397" t="s">
        <v>90</v>
      </c>
      <c r="F30397" s="2" t="str">
        <f>HYPERLINK("http://www.otzar.org/book.asp?618856","ספרים באנגלית - ESSENCE OF THE JEWISH HOLIDAYS")</f>
        <v>ספרים באנגלית - ESSENCE OF THE JEWISH HOLIDAYS</v>
      </c>
    </row>
    <row r="30398" spans="1:6" x14ac:dyDescent="0.2">
      <c r="A30398" t="s">
        <v>47873</v>
      </c>
      <c r="B30398" t="e">
        <f>- Rubinstein, A. L.</f>
        <v>#NAME?</v>
      </c>
      <c r="C30398" t="s">
        <v>1609</v>
      </c>
      <c r="D30398" t="s">
        <v>412</v>
      </c>
      <c r="F30398" s="2" t="str">
        <f>HYPERLINK("http://www.otzar.org/book.asp?616314","ספרים באנגלית - מדריך למחזור של ר""ה ויוה""כ")</f>
        <v>ספרים באנגלית - מדריך למחזור של ר"ה ויוה"כ</v>
      </c>
    </row>
    <row r="30399" spans="1:6" x14ac:dyDescent="0.2">
      <c r="A30399" t="s">
        <v>47861</v>
      </c>
      <c r="B30399" t="e">
        <f>- Shlomy dickman</f>
        <v>#NAME?</v>
      </c>
      <c r="C30399" t="s">
        <v>244</v>
      </c>
      <c r="D30399" t="s">
        <v>90</v>
      </c>
      <c r="F30399" s="2" t="str">
        <f>HYPERLINK("http://www.otzar.org/book.asp?607199","ספרים באנגלית - 2 כר'")</f>
        <v>ספרים באנגלית - 2 כר'</v>
      </c>
    </row>
    <row r="30400" spans="1:6" x14ac:dyDescent="0.2">
      <c r="A30400" t="s">
        <v>47874</v>
      </c>
      <c r="B30400" t="e">
        <f>- TEPLITZ, SAUL</f>
        <v>#NAME?</v>
      </c>
      <c r="C30400" t="s">
        <v>843</v>
      </c>
      <c r="D30400" t="s">
        <v>412</v>
      </c>
      <c r="F30400" s="2" t="str">
        <f>HYPERLINK("http://www.otzar.org/book.asp?616319","ספרים באנגלית - Best Jewish Sermons of 5715-5716")</f>
        <v>ספרים באנגלית - Best Jewish Sermons of 5715-5716</v>
      </c>
    </row>
    <row r="30401" spans="1:6" x14ac:dyDescent="0.2">
      <c r="A30401" t="s">
        <v>47875</v>
      </c>
      <c r="B30401" t="e">
        <f>- WHITEMAN, KALMAN</f>
        <v>#NAME?</v>
      </c>
      <c r="C30401" t="s">
        <v>1535</v>
      </c>
      <c r="D30401" t="s">
        <v>4338</v>
      </c>
      <c r="F30401" s="2" t="str">
        <f>HYPERLINK("http://www.otzar.org/book.asp?616309","ספרים באנגלית - BAR MITZVAH")</f>
        <v>ספרים באנגלית - BAR MITZVAH</v>
      </c>
    </row>
    <row r="30402" spans="1:6" x14ac:dyDescent="0.2">
      <c r="A30402" t="s">
        <v>47876</v>
      </c>
      <c r="B30402" t="e">
        <f>- Wiener MOSHE Nisan</f>
        <v>#NAME?</v>
      </c>
      <c r="C30402" t="s">
        <v>111</v>
      </c>
      <c r="D30402" t="s">
        <v>412</v>
      </c>
      <c r="F30402" s="2" t="str">
        <f>HYPERLINK("http://www.otzar.org/book.asp?627256","ספרים באנגלית - AUTHORITATIVE RESPONSES")</f>
        <v>ספרים באנגלית - AUTHORITATIVE RESPONSES</v>
      </c>
    </row>
    <row r="30403" spans="1:6" x14ac:dyDescent="0.2">
      <c r="A30403" t="s">
        <v>47877</v>
      </c>
      <c r="B30403" t="e">
        <f>- אופן, מנחם משה</f>
        <v>#NAME?</v>
      </c>
      <c r="F30403" s="2" t="str">
        <f>HYPERLINK("http://www.otzar.org/book.asp?193886","ספרים באנגלית - The Yom Kippur Avodah")</f>
        <v>ספרים באנגלית - The Yom Kippur Avodah</v>
      </c>
    </row>
    <row r="30404" spans="1:6" x14ac:dyDescent="0.2">
      <c r="A30404" t="s">
        <v>47878</v>
      </c>
      <c r="B30404" t="e">
        <f>- אייבשיץ, יהושע</f>
        <v>#NAME?</v>
      </c>
      <c r="C30404" t="s">
        <v>51</v>
      </c>
      <c r="D30404" t="s">
        <v>1356</v>
      </c>
      <c r="F30404" s="2" t="str">
        <f>HYPERLINK("http://www.otzar.org/book.asp?159694","ספרים באנגלית - THE UPROOTED")</f>
        <v>ספרים באנגלית - THE UPROOTED</v>
      </c>
    </row>
    <row r="30405" spans="1:6" x14ac:dyDescent="0.2">
      <c r="A30405" t="s">
        <v>47860</v>
      </c>
      <c r="B30405" t="e">
        <f>- איילנברג-אייבשיץ, חנה</f>
        <v>#NAME?</v>
      </c>
      <c r="C30405" t="s">
        <v>422</v>
      </c>
      <c r="D30405" t="s">
        <v>1356</v>
      </c>
      <c r="F30405" s="2" t="str">
        <f>HYPERLINK("http://www.otzar.org/book.asp?159701","ספרים באנגלית - 4 כר'")</f>
        <v>ספרים באנגלית - 4 כר'</v>
      </c>
    </row>
    <row r="30406" spans="1:6" x14ac:dyDescent="0.2">
      <c r="A30406" t="s">
        <v>47879</v>
      </c>
      <c r="B30406" t="e">
        <f>- אסחייק, יחזקאל</f>
        <v>#NAME?</v>
      </c>
      <c r="C30406" t="s">
        <v>151</v>
      </c>
      <c r="D30406" t="s">
        <v>52</v>
      </c>
      <c r="F30406" s="2" t="str">
        <f>HYPERLINK("http://www.otzar.org/book.asp?630631","ספרים באנגלית - חיים בריאים כהלכה")</f>
        <v>ספרים באנגלית - חיים בריאים כהלכה</v>
      </c>
    </row>
    <row r="30407" spans="1:6" x14ac:dyDescent="0.2">
      <c r="A30407" t="s">
        <v>47861</v>
      </c>
      <c r="B30407" t="e">
        <f>- ארחות צדיקים בתרגום אנגלי</f>
        <v>#NAME?</v>
      </c>
      <c r="C30407" t="s">
        <v>1570</v>
      </c>
      <c r="D30407" t="s">
        <v>72</v>
      </c>
      <c r="E30407" t="s">
        <v>241</v>
      </c>
      <c r="F30407" s="2" t="str">
        <f>HYPERLINK("http://www.otzar.org/book.asp?610830","ספרים באנגלית - 2 כר'")</f>
        <v>ספרים באנגלית - 2 כר'</v>
      </c>
    </row>
    <row r="30408" spans="1:6" x14ac:dyDescent="0.2">
      <c r="A30408" t="s">
        <v>47880</v>
      </c>
      <c r="B30408" t="e">
        <f>- בושנק, ראובן</f>
        <v>#NAME?</v>
      </c>
      <c r="C30408" t="s">
        <v>411</v>
      </c>
      <c r="D30408" t="s">
        <v>412</v>
      </c>
      <c r="F30408" s="2" t="str">
        <f>HYPERLINK("http://www.otzar.org/book.asp?610864","ספרים באנגלית - 3 כר'")</f>
        <v>ספרים באנגלית - 3 כר'</v>
      </c>
    </row>
    <row r="30409" spans="1:6" x14ac:dyDescent="0.2">
      <c r="A30409" t="s">
        <v>47881</v>
      </c>
      <c r="B30409" t="e">
        <f>- בייפוס, יוסף שלמה בן יעקב ישראל הכהן</f>
        <v>#NAME?</v>
      </c>
      <c r="C30409" t="s">
        <v>37</v>
      </c>
      <c r="D30409" t="s">
        <v>1180</v>
      </c>
      <c r="F30409" s="2" t="str">
        <f>HYPERLINK("http://www.otzar.org/book.asp?605941","ספרים באנגלית - the housekeeper in the home")</f>
        <v>ספרים באנגלית - the housekeeper in the home</v>
      </c>
    </row>
    <row r="30410" spans="1:6" x14ac:dyDescent="0.2">
      <c r="A30410" t="s">
        <v>47882</v>
      </c>
      <c r="B30410" t="e">
        <f>- בנדהיים, מאיר</f>
        <v>#NAME?</v>
      </c>
      <c r="C30410" t="s">
        <v>71</v>
      </c>
      <c r="D30410" t="s">
        <v>14</v>
      </c>
      <c r="F30410" s="2" t="str">
        <f>HYPERLINK("http://www.otzar.org/book.asp?158671","ספרים באנגלית - The Lesson of AMALEK")</f>
        <v>ספרים באנגלית - The Lesson of AMALEK</v>
      </c>
    </row>
    <row r="30411" spans="1:6" x14ac:dyDescent="0.2">
      <c r="A30411" t="s">
        <v>47883</v>
      </c>
      <c r="B30411" t="e">
        <f>- בעילום שם</f>
        <v>#NAME?</v>
      </c>
      <c r="C30411" t="s">
        <v>20</v>
      </c>
      <c r="D30411" t="s">
        <v>90</v>
      </c>
      <c r="F30411" s="2" t="str">
        <f>HYPERLINK("http://www.otzar.org/book.asp?605825","ספרים באנגלית - 36 כר'")</f>
        <v>ספרים באנגלית - 36 כר'</v>
      </c>
    </row>
    <row r="30412" spans="1:6" x14ac:dyDescent="0.2">
      <c r="A30412" t="s">
        <v>47884</v>
      </c>
      <c r="B30412" t="e">
        <f>- בצרי, עזרא בן יוסף</f>
        <v>#NAME?</v>
      </c>
      <c r="C30412" t="s">
        <v>168</v>
      </c>
      <c r="D30412" t="s">
        <v>14</v>
      </c>
      <c r="E30412" t="s">
        <v>15</v>
      </c>
      <c r="F30412" s="2" t="str">
        <f>HYPERLINK("http://www.otzar.org/book.asp?152474","ספרים באנגלית - THE JEWISH MONETARY CODE OF TEN PER CENT")</f>
        <v>ספרים באנגלית - THE JEWISH MONETARY CODE OF TEN PER CENT</v>
      </c>
    </row>
    <row r="30413" spans="1:6" x14ac:dyDescent="0.2">
      <c r="A30413" t="s">
        <v>47885</v>
      </c>
      <c r="B30413" t="e">
        <f>- גלביין, משה בן יעקב יוסף</f>
        <v>#NAME?</v>
      </c>
      <c r="C30413" t="s">
        <v>366</v>
      </c>
      <c r="D30413" t="s">
        <v>152</v>
      </c>
      <c r="F30413" s="2" t="str">
        <f>HYPERLINK("http://www.otzar.org/book.asp?620988","ספרים באנגלית - Days of splndor")</f>
        <v>ספרים באנגלית - Days of splndor</v>
      </c>
    </row>
    <row r="30414" spans="1:6" x14ac:dyDescent="0.2">
      <c r="A30414" t="s">
        <v>47886</v>
      </c>
      <c r="B30414" t="e">
        <f>- גלזרסון, מתתיהו</f>
        <v>#NAME?</v>
      </c>
      <c r="C30414" t="s">
        <v>129</v>
      </c>
      <c r="D30414" t="s">
        <v>14</v>
      </c>
      <c r="F30414" s="2" t="str">
        <f>HYPERLINK("http://www.otzar.org/book.asp?168967","ספרים באנגלית - 13 כר'")</f>
        <v>ספרים באנגלית - 13 כר'</v>
      </c>
    </row>
    <row r="30415" spans="1:6" x14ac:dyDescent="0.2">
      <c r="A30415" t="s">
        <v>47887</v>
      </c>
      <c r="B30415" t="e">
        <f>- גרוסמן, אירווינג</f>
        <v>#NAME?</v>
      </c>
      <c r="C30415" t="s">
        <v>176</v>
      </c>
      <c r="D30415" t="s">
        <v>4338</v>
      </c>
      <c r="E30415" t="s">
        <v>246</v>
      </c>
      <c r="F30415" s="2" t="str">
        <f>HYPERLINK("http://www.otzar.org/book.asp?606834","ספרים באנגלית - עיונים שביבים ובאורים על הגדה של פסח")</f>
        <v>ספרים באנגלית - עיונים שביבים ובאורים על הגדה של פסח</v>
      </c>
    </row>
    <row r="30416" spans="1:6" x14ac:dyDescent="0.2">
      <c r="A30416" t="s">
        <v>47860</v>
      </c>
      <c r="B30416" t="e">
        <f>- גרוסמן, יוסף</f>
        <v>#NAME?</v>
      </c>
      <c r="C30416" t="s">
        <v>466</v>
      </c>
      <c r="D30416" t="s">
        <v>412</v>
      </c>
      <c r="F30416" s="2" t="str">
        <f>HYPERLINK("http://www.otzar.org/book.asp?605810","ספרים באנגלית - 4 כר'")</f>
        <v>ספרים באנגלית - 4 כר'</v>
      </c>
    </row>
    <row r="30417" spans="1:6" x14ac:dyDescent="0.2">
      <c r="A30417" t="s">
        <v>47888</v>
      </c>
      <c r="B30417" t="e">
        <f>- דרוק, ישראל חיים בן זלמן</f>
        <v>#NAME?</v>
      </c>
      <c r="D30417" t="s">
        <v>52</v>
      </c>
      <c r="E30417" t="s">
        <v>15</v>
      </c>
      <c r="F30417" s="2" t="str">
        <f>HYPERLINK("http://www.otzar.org/book.asp?613642","ספרים באנגלית - מנחת ישראל - כיבוד אב ואם")</f>
        <v>ספרים באנגלית - מנחת ישראל - כיבוד אב ואם</v>
      </c>
    </row>
    <row r="30418" spans="1:6" x14ac:dyDescent="0.2">
      <c r="A30418" t="s">
        <v>47889</v>
      </c>
      <c r="B30418" t="e">
        <f>- הירש, שמשון בן רפאל</f>
        <v>#NAME?</v>
      </c>
      <c r="C30418" t="s">
        <v>558</v>
      </c>
      <c r="D30418" t="s">
        <v>90</v>
      </c>
      <c r="E30418" t="s">
        <v>246</v>
      </c>
      <c r="F30418" s="2" t="str">
        <f>HYPERLINK("http://www.otzar.org/book.asp?174529","ספרים באנגלית - THE JEWISH SABBATH")</f>
        <v>ספרים באנגלית - THE JEWISH SABBATH</v>
      </c>
    </row>
    <row r="30419" spans="1:6" x14ac:dyDescent="0.2">
      <c r="A30419" t="s">
        <v>47880</v>
      </c>
      <c r="B30419" t="e">
        <f>- הרצוג, יצחק אייזיק בן יואל ליב הלוי</f>
        <v>#NAME?</v>
      </c>
      <c r="C30419">
        <v>1974</v>
      </c>
      <c r="D30419" t="s">
        <v>412</v>
      </c>
      <c r="F30419" s="2" t="str">
        <f>HYPERLINK("http://www.otzar.org/book.asp?624514","ספרים באנגלית - 3 כר'")</f>
        <v>ספרים באנגלית - 3 כר'</v>
      </c>
    </row>
    <row r="30420" spans="1:6" x14ac:dyDescent="0.2">
      <c r="A30420" t="s">
        <v>47890</v>
      </c>
      <c r="B30420" t="e">
        <f>- הרשקוביץ, יהודה</f>
        <v>#NAME?</v>
      </c>
      <c r="C30420" t="s">
        <v>422</v>
      </c>
      <c r="D30420" t="s">
        <v>1632</v>
      </c>
      <c r="F30420" s="2" t="str">
        <f>HYPERLINK("http://www.otzar.org/book.asp?199887","ספרים באנגלית - The Sun Cycle")</f>
        <v>ספרים באנגלית - The Sun Cycle</v>
      </c>
    </row>
    <row r="30421" spans="1:6" x14ac:dyDescent="0.2">
      <c r="A30421" t="s">
        <v>47891</v>
      </c>
      <c r="B30421" t="e">
        <f>- וינרוט, אברהם</f>
        <v>#NAME?</v>
      </c>
      <c r="C30421" t="s">
        <v>20</v>
      </c>
      <c r="D30421" t="s">
        <v>90</v>
      </c>
      <c r="E30421" t="s">
        <v>1626</v>
      </c>
      <c r="F30421" s="2" t="str">
        <f>HYPERLINK("http://www.otzar.org/book.asp?629902","ספרים באנגלית - עיוני תפילה")</f>
        <v>ספרים באנגלית - עיוני תפילה</v>
      </c>
    </row>
    <row r="30422" spans="1:6" x14ac:dyDescent="0.2">
      <c r="A30422" t="s">
        <v>47892</v>
      </c>
      <c r="B30422" t="e">
        <f>- ויצמן, יחיאל</f>
        <v>#NAME?</v>
      </c>
      <c r="C30422" t="s">
        <v>20</v>
      </c>
      <c r="D30422" t="s">
        <v>14</v>
      </c>
      <c r="F30422" s="2" t="str">
        <f>HYPERLINK("http://www.otzar.org/book.asp?619624","ספרים באנגלית - THE ISHMAELITE EXILE")</f>
        <v>ספרים באנגלית - THE ISHMAELITE EXILE</v>
      </c>
    </row>
    <row r="30423" spans="1:6" x14ac:dyDescent="0.2">
      <c r="A30423" t="s">
        <v>47893</v>
      </c>
      <c r="B30423" t="e">
        <f>- חיגר, משה</f>
        <v>#NAME?</v>
      </c>
      <c r="C30423" t="s">
        <v>168</v>
      </c>
      <c r="D30423" t="s">
        <v>14</v>
      </c>
      <c r="F30423" s="2" t="str">
        <f>HYPERLINK("http://www.otzar.org/book.asp?166174","ספרים באנגלית - HUSBAND AND WIFE")</f>
        <v>ספרים באנגלית - HUSBAND AND WIFE</v>
      </c>
    </row>
    <row r="30424" spans="1:6" x14ac:dyDescent="0.2">
      <c r="A30424" t="s">
        <v>47894</v>
      </c>
      <c r="B30424" t="e">
        <f>- חיטריק, מענדי</f>
        <v>#NAME?</v>
      </c>
      <c r="C30424" t="s">
        <v>37</v>
      </c>
      <c r="D30424" t="s">
        <v>90</v>
      </c>
      <c r="F30424" s="2" t="str">
        <f>HYPERLINK("http://www.otzar.org/book.asp?600295","ספרים באנגלית - BAR MI")</f>
        <v>ספרים באנגלית - BAR MI</v>
      </c>
    </row>
    <row r="30425" spans="1:6" x14ac:dyDescent="0.2">
      <c r="A30425" t="s">
        <v>47861</v>
      </c>
      <c r="B30425" t="e">
        <f>- טרביס, דניאל יעקב בן פסח</f>
        <v>#NAME?</v>
      </c>
      <c r="C30425" t="s">
        <v>68</v>
      </c>
      <c r="D30425" t="s">
        <v>14</v>
      </c>
      <c r="F30425" s="2" t="str">
        <f>HYPERLINK("http://www.otzar.org/book.asp?197216","ספרים באנגלית - 2 כר'")</f>
        <v>ספרים באנגלית - 2 כר'</v>
      </c>
    </row>
    <row r="30426" spans="1:6" x14ac:dyDescent="0.2">
      <c r="A30426" t="s">
        <v>47895</v>
      </c>
      <c r="B30426" t="e">
        <f>- כולל חושן משפט שיקגו</f>
        <v>#NAME?</v>
      </c>
      <c r="C30426" t="s">
        <v>411</v>
      </c>
      <c r="D30426" t="s">
        <v>47896</v>
      </c>
      <c r="F30426" s="2" t="str">
        <f>HYPERLINK("http://www.otzar.org/book.asp?607202","ספרים באנגלית - הלכות נזקי שכנים")</f>
        <v>ספרים באנגלית - הלכות נזקי שכנים</v>
      </c>
    </row>
    <row r="30427" spans="1:6" x14ac:dyDescent="0.2">
      <c r="A30427" t="s">
        <v>47897</v>
      </c>
      <c r="B30427" t="e">
        <f>- כץ, אלי</f>
        <v>#NAME?</v>
      </c>
      <c r="C30427" t="s">
        <v>23</v>
      </c>
      <c r="D30427" t="s">
        <v>646</v>
      </c>
      <c r="F30427" s="2" t="str">
        <f>HYPERLINK("http://www.otzar.org/book.asp?199669","ספרים באנגלית - אמור אל הכהנים")</f>
        <v>ספרים באנגלית - אמור אל הכהנים</v>
      </c>
    </row>
    <row r="30428" spans="1:6" x14ac:dyDescent="0.2">
      <c r="A30428" t="s">
        <v>47898</v>
      </c>
      <c r="B30428" t="e">
        <f>- כשר, מנחם מנדל</f>
        <v>#NAME?</v>
      </c>
      <c r="C30428" t="s">
        <v>940</v>
      </c>
      <c r="D30428" t="s">
        <v>2383</v>
      </c>
      <c r="F30428" s="2" t="str">
        <f>HYPERLINK("http://www.otzar.org/book.asp?158672","ספרים באנגלית - TheMANHATTAN ERUV")</f>
        <v>ספרים באנגלית - TheMANHATTAN ERUV</v>
      </c>
    </row>
    <row r="30429" spans="1:6" x14ac:dyDescent="0.2">
      <c r="A30429" t="s">
        <v>47899</v>
      </c>
      <c r="B30429" t="e">
        <f>- לווינגר, י.מ.</f>
        <v>#NAME?</v>
      </c>
      <c r="C30429" t="s">
        <v>103</v>
      </c>
      <c r="F30429" s="2" t="str">
        <f>HYPERLINK("http://www.otzar.org/book.asp?174489","ספרים באנגלית - GUID TO MASECHET CHULIN - 2")</f>
        <v>ספרים באנגלית - GUID TO MASECHET CHULIN - 2</v>
      </c>
    </row>
    <row r="30430" spans="1:6" x14ac:dyDescent="0.2">
      <c r="A30430" t="s">
        <v>47900</v>
      </c>
      <c r="B30430" t="e">
        <f>- לוינגר, ישראל מאיר</f>
        <v>#NAME?</v>
      </c>
      <c r="C30430" t="s">
        <v>176</v>
      </c>
      <c r="D30430" t="s">
        <v>21</v>
      </c>
      <c r="F30430" s="2" t="str">
        <f>HYPERLINK("http://www.otzar.org/book.asp?197705","ספרים באנגלית - SHCHITA IN LIGHT OF THE YEAR 2000")</f>
        <v>ספרים באנגלית - SHCHITA IN LIGHT OF THE YEAR 2000</v>
      </c>
    </row>
    <row r="30431" spans="1:6" x14ac:dyDescent="0.2">
      <c r="A30431" t="s">
        <v>47901</v>
      </c>
      <c r="B30431" t="e">
        <f>- ליבוביץ, יצחק</f>
        <v>#NAME?</v>
      </c>
      <c r="F30431" s="2" t="str">
        <f>HYPERLINK("http://www.otzar.org/book.asp?199876","ספרים באנגלית - the stolen light")</f>
        <v>ספרים באנגלית - the stolen light</v>
      </c>
    </row>
    <row r="30432" spans="1:6" x14ac:dyDescent="0.2">
      <c r="A30432" t="s">
        <v>47902</v>
      </c>
      <c r="B30432" t="e">
        <f>- לימאן, חיים דב</f>
        <v>#NAME?</v>
      </c>
      <c r="C30432" t="s">
        <v>68</v>
      </c>
      <c r="D30432" t="s">
        <v>14</v>
      </c>
      <c r="F30432" s="2" t="str">
        <f>HYPERLINK("http://www.otzar.org/book.asp?165120","ספרים באנגלית - our lost treasure")</f>
        <v>ספרים באנגלית - our lost treasure</v>
      </c>
    </row>
    <row r="30433" spans="1:6" x14ac:dyDescent="0.2">
      <c r="A30433" t="s">
        <v>47903</v>
      </c>
      <c r="B30433" t="e">
        <f>- מילר, דוד</f>
        <v>#NAME?</v>
      </c>
      <c r="C30433" t="s">
        <v>6054</v>
      </c>
      <c r="D30433" t="s">
        <v>47904</v>
      </c>
      <c r="E30433" t="s">
        <v>241</v>
      </c>
      <c r="F30433" s="2" t="str">
        <f>HYPERLINK("http://www.otzar.org/book.asp?176595","ספרים באנגלית - סוד נצח ישראל")</f>
        <v>ספרים באנגלית - סוד נצח ישראל</v>
      </c>
    </row>
    <row r="30434" spans="1:6" x14ac:dyDescent="0.2">
      <c r="A30434" t="s">
        <v>47905</v>
      </c>
      <c r="B30434" t="e">
        <f>- מכון מורשת אשכנז</f>
        <v>#NAME?</v>
      </c>
      <c r="C30434" t="s">
        <v>68</v>
      </c>
      <c r="D30434" t="s">
        <v>52</v>
      </c>
      <c r="F30434" s="2" t="str">
        <f>HYPERLINK("http://www.otzar.org/book.asp?618730","ספרים באנגלית - guide to minhag ashkenaz &lt;גירסא זמנית&gt;")</f>
        <v>ספרים באנגלית - guide to minhag ashkenaz &lt;גירסא זמנית&gt;</v>
      </c>
    </row>
    <row r="30435" spans="1:6" x14ac:dyDescent="0.2">
      <c r="A30435" t="s">
        <v>47906</v>
      </c>
      <c r="B30435" t="e">
        <f>- נאור, בצלאל</f>
        <v>#NAME?</v>
      </c>
      <c r="C30435" t="s">
        <v>176</v>
      </c>
      <c r="D30435" t="s">
        <v>412</v>
      </c>
      <c r="F30435" s="2" t="str">
        <f>HYPERLINK("http://www.otzar.org/book.asp?199590","ספרים באנגלית - OF SOCIETIES PERFECT AND IMPERFECT")</f>
        <v>ספרים באנגלית - OF SOCIETIES PERFECT AND IMPERFECT</v>
      </c>
    </row>
    <row r="30436" spans="1:6" x14ac:dyDescent="0.2">
      <c r="A30436" t="s">
        <v>47907</v>
      </c>
      <c r="B30436" t="e">
        <f>- סביבה, ישראל</f>
        <v>#NAME?</v>
      </c>
      <c r="D30436" t="s">
        <v>14</v>
      </c>
      <c r="F30436" s="2" t="str">
        <f>HYPERLINK("http://www.otzar.org/book.asp?605732","ספרים באנגלית - The Environment in Jewish Thought and Law")</f>
        <v>ספרים באנגלית - The Environment in Jewish Thought and Law</v>
      </c>
    </row>
    <row r="30437" spans="1:6" x14ac:dyDescent="0.2">
      <c r="A30437" t="s">
        <v>47908</v>
      </c>
      <c r="B30437" t="e">
        <f>- סלטין, חנוך</f>
        <v>#NAME?</v>
      </c>
      <c r="C30437" t="s">
        <v>454</v>
      </c>
      <c r="D30437" t="s">
        <v>72</v>
      </c>
      <c r="F30437" s="2" t="str">
        <f>HYPERLINK("http://www.otzar.org/book.asp?611226","ספרים באנגלית - REI'ACH HASADEH")</f>
        <v>ספרים באנגלית - REI'ACH HASADEH</v>
      </c>
    </row>
    <row r="30438" spans="1:6" x14ac:dyDescent="0.2">
      <c r="A30438" t="s">
        <v>47909</v>
      </c>
      <c r="B30438" t="e">
        <f>- סרבריינסקי, יוסף יצחק</f>
        <v>#NAME?</v>
      </c>
      <c r="C30438" t="s">
        <v>244</v>
      </c>
      <c r="D30438" t="s">
        <v>90</v>
      </c>
      <c r="F30438" s="2" t="str">
        <f>HYPERLINK("http://www.otzar.org/book.asp?621815","ספרים באנגלית - AKEIDA")</f>
        <v>ספרים באנגלית - AKEIDA</v>
      </c>
    </row>
    <row r="30439" spans="1:6" x14ac:dyDescent="0.2">
      <c r="A30439" t="s">
        <v>47860</v>
      </c>
      <c r="B30439" t="e">
        <f>- עדס, אברהם חיים בן דניאל</f>
        <v>#NAME?</v>
      </c>
      <c r="C30439" t="s">
        <v>244</v>
      </c>
      <c r="D30439" t="s">
        <v>14</v>
      </c>
      <c r="E30439" t="s">
        <v>15</v>
      </c>
      <c r="F30439" s="2" t="str">
        <f>HYPERLINK("http://www.otzar.org/book.asp?630575","ספרים באנגלית - 4 כר'")</f>
        <v>ספרים באנגלית - 4 כר'</v>
      </c>
    </row>
    <row r="30440" spans="1:6" x14ac:dyDescent="0.2">
      <c r="A30440" t="s">
        <v>47910</v>
      </c>
      <c r="B30440" t="e">
        <f>- פינטו, דוד חנניה</f>
        <v>#NAME?</v>
      </c>
      <c r="C30440" t="s">
        <v>37</v>
      </c>
      <c r="D30440" t="s">
        <v>21</v>
      </c>
      <c r="F30440" s="2" t="str">
        <f>HYPERLINK("http://www.otzar.org/book.asp?193014","ספרים באנגלית - MEN of FAITH")</f>
        <v>ספרים באנגלית - MEN of FAITH</v>
      </c>
    </row>
    <row r="30441" spans="1:6" x14ac:dyDescent="0.2">
      <c r="A30441" t="s">
        <v>47911</v>
      </c>
      <c r="B30441" t="e">
        <f>- פסין, אהרן יהושע</f>
        <v>#NAME?</v>
      </c>
      <c r="C30441" t="s">
        <v>244</v>
      </c>
      <c r="D30441" t="s">
        <v>412</v>
      </c>
      <c r="F30441" s="2" t="str">
        <f>HYPERLINK("http://www.otzar.org/book.asp?601315","ספרים באנגלית - To Fill The Earth")</f>
        <v>ספרים באנגלית - To Fill The Earth</v>
      </c>
    </row>
    <row r="30442" spans="1:6" x14ac:dyDescent="0.2">
      <c r="A30442" t="s">
        <v>47912</v>
      </c>
      <c r="B30442" t="e">
        <f>- פרישמן, אברהם</f>
        <v>#NAME?</v>
      </c>
      <c r="C30442" t="s">
        <v>23</v>
      </c>
      <c r="D30442" t="s">
        <v>14</v>
      </c>
      <c r="F30442" s="2" t="str">
        <f>HYPERLINK("http://www.otzar.org/book.asp?199856","ספרים באנגלית - Sheva Kehillos")</f>
        <v>ספרים באנגלית - Sheva Kehillos</v>
      </c>
    </row>
    <row r="30443" spans="1:6" x14ac:dyDescent="0.2">
      <c r="A30443" t="s">
        <v>47860</v>
      </c>
      <c r="B30443" t="e">
        <f>- פרנקל, יצחק ד.</f>
        <v>#NAME?</v>
      </c>
      <c r="C30443" t="s">
        <v>244</v>
      </c>
      <c r="D30443" t="s">
        <v>412</v>
      </c>
      <c r="E30443" t="s">
        <v>158</v>
      </c>
      <c r="F30443" s="2" t="str">
        <f>HYPERLINK("http://www.otzar.org/book.asp?630427","ספרים באנגלית - 4 כר'")</f>
        <v>ספרים באנגלית - 4 כר'</v>
      </c>
    </row>
    <row r="30444" spans="1:6" x14ac:dyDescent="0.2">
      <c r="A30444" t="s">
        <v>47861</v>
      </c>
      <c r="B30444" t="e">
        <f>- צימרמאן, אהרן חיים בן יעקב משה הלוי</f>
        <v>#NAME?</v>
      </c>
      <c r="C30444" t="s">
        <v>553</v>
      </c>
      <c r="D30444" t="s">
        <v>986</v>
      </c>
      <c r="F30444" s="2" t="str">
        <f>HYPERLINK("http://www.otzar.org/book.asp?159258","ספרים באנגלית - 2 כר'")</f>
        <v>ספרים באנגלית - 2 כר'</v>
      </c>
    </row>
    <row r="30445" spans="1:6" x14ac:dyDescent="0.2">
      <c r="A30445" t="s">
        <v>47913</v>
      </c>
      <c r="B30445" t="e">
        <f>- קובץ</f>
        <v>#NAME?</v>
      </c>
      <c r="C30445" t="s">
        <v>244</v>
      </c>
      <c r="D30445" t="s">
        <v>90</v>
      </c>
      <c r="E30445" t="s">
        <v>202</v>
      </c>
      <c r="F30445" s="2" t="str">
        <f>HYPERLINK("http://www.otzar.org/book.asp?600804","ספרים באנגלית - נגילה ונשמחה")</f>
        <v>ספרים באנגלית - נגילה ונשמחה</v>
      </c>
    </row>
    <row r="30446" spans="1:6" x14ac:dyDescent="0.2">
      <c r="A30446" t="s">
        <v>47914</v>
      </c>
      <c r="B30446" t="e">
        <f>- קלפהולץ, ישראל יעקב</f>
        <v>#NAME?</v>
      </c>
      <c r="C30446" t="s">
        <v>785</v>
      </c>
      <c r="D30446" t="s">
        <v>52</v>
      </c>
      <c r="F30446" s="2" t="str">
        <f>HYPERLINK("http://www.otzar.org/book.asp?61633","ספרים באנגלית - 8 כר'")</f>
        <v>ספרים באנגלית - 8 כר'</v>
      </c>
    </row>
    <row r="30447" spans="1:6" x14ac:dyDescent="0.2">
      <c r="A30447" t="s">
        <v>47915</v>
      </c>
      <c r="B30447" t="e">
        <f>- רוס, משה</f>
        <v>#NAME?</v>
      </c>
      <c r="C30447" t="s">
        <v>13</v>
      </c>
      <c r="D30447" t="s">
        <v>21</v>
      </c>
      <c r="F30447" s="2" t="str">
        <f>HYPERLINK("http://www.otzar.org/book.asp?197695","ספרים באנגלית - The Conference of European Rabbis")</f>
        <v>ספרים באנגלית - The Conference of European Rabbis</v>
      </c>
    </row>
    <row r="30448" spans="1:6" x14ac:dyDescent="0.2">
      <c r="A30448" t="s">
        <v>47916</v>
      </c>
      <c r="B30448" t="e">
        <f>- ריבקין, פרץ</f>
        <v>#NAME?</v>
      </c>
      <c r="C30448" t="s">
        <v>111</v>
      </c>
      <c r="D30448" t="s">
        <v>412</v>
      </c>
      <c r="F30448" s="2" t="str">
        <f>HYPERLINK("http://www.otzar.org/book.asp?631136","ספרים באנגלית - Bat Kohen To a Kohen")</f>
        <v>ספרים באנגלית - Bat Kohen To a Kohen</v>
      </c>
    </row>
    <row r="30449" spans="1:6" x14ac:dyDescent="0.2">
      <c r="A30449" t="s">
        <v>47917</v>
      </c>
      <c r="B30449" t="e">
        <f>- שוורץ, יואל</f>
        <v>#NAME?</v>
      </c>
      <c r="C30449" t="s">
        <v>366</v>
      </c>
      <c r="D30449" t="s">
        <v>21</v>
      </c>
      <c r="F30449" s="2" t="str">
        <f>HYPERLINK("http://www.otzar.org/book.asp?623722","ספרים באנגלית - Grasshoppersx and Locusts in Jewish Tradhition")</f>
        <v>ספרים באנגלית - Grasshoppersx and Locusts in Jewish Tradhition</v>
      </c>
    </row>
    <row r="30450" spans="1:6" x14ac:dyDescent="0.2">
      <c r="A30450" t="s">
        <v>47918</v>
      </c>
      <c r="B30450" t="e">
        <f>- שטרן, יחיאל מיכל</f>
        <v>#NAME?</v>
      </c>
      <c r="C30450" t="s">
        <v>624</v>
      </c>
      <c r="D30450" t="s">
        <v>14</v>
      </c>
      <c r="F30450" s="2" t="str">
        <f>HYPERLINK("http://www.otzar.org/book.asp?189188","ספרים באנגלית - Mashgiach המשגיח (אנגלית)")</f>
        <v>ספרים באנגלית - Mashgiach המשגיח (אנגלית)</v>
      </c>
    </row>
    <row r="30451" spans="1:6" x14ac:dyDescent="0.2">
      <c r="A30451" t="s">
        <v>47919</v>
      </c>
      <c r="B30451" t="e">
        <f>- שטרן, משה אהרן</f>
        <v>#NAME?</v>
      </c>
      <c r="C30451" t="s">
        <v>454</v>
      </c>
      <c r="D30451" t="s">
        <v>14</v>
      </c>
      <c r="F30451" s="2" t="str">
        <f>HYPERLINK("http://www.otzar.org/book.asp?189189","ספרים באנגלית - ranquiliy in the Home")</f>
        <v>ספרים באנגלית - ranquiliy in the Home</v>
      </c>
    </row>
    <row r="30452" spans="1:6" x14ac:dyDescent="0.2">
      <c r="A30452" t="s">
        <v>47920</v>
      </c>
      <c r="B30452" t="e">
        <f>- שטרן, משה אריה</f>
        <v>#NAME?</v>
      </c>
      <c r="C30452" t="s">
        <v>20</v>
      </c>
      <c r="D30452" t="s">
        <v>90</v>
      </c>
      <c r="F30452" s="2" t="str">
        <f>HYPERLINK("http://www.otzar.org/book.asp?605691","ספרים באנגלית - שיחות רבי משה אהרן שטרן")</f>
        <v>ספרים באנגלית - שיחות רבי משה אהרן שטרן</v>
      </c>
    </row>
    <row r="30453" spans="1:6" x14ac:dyDescent="0.2">
      <c r="A30453" t="s">
        <v>47921</v>
      </c>
      <c r="B30453" t="e">
        <f>- שטרן, שמואל</f>
        <v>#NAME?</v>
      </c>
      <c r="C30453" t="s">
        <v>411</v>
      </c>
      <c r="D30453" t="s">
        <v>14</v>
      </c>
      <c r="F30453" s="2" t="str">
        <f>HYPERLINK("http://www.otzar.org/book.asp?169276","ספרים באנגלית - BRESLEV a guide to life")</f>
        <v>ספרים באנגלית - BRESLEV a guide to life</v>
      </c>
    </row>
    <row r="30454" spans="1:6" x14ac:dyDescent="0.2">
      <c r="A30454" t="s">
        <v>47880</v>
      </c>
      <c r="B30454" t="e">
        <f>- שטרנבוך, משה בן אשר</f>
        <v>#NAME?</v>
      </c>
      <c r="C30454" t="s">
        <v>106</v>
      </c>
      <c r="D30454" t="s">
        <v>14</v>
      </c>
      <c r="E30454" t="s">
        <v>15</v>
      </c>
      <c r="F30454" s="2" t="str">
        <f>HYPERLINK("http://www.otzar.org/book.asp?144452","ספרים באנגלית - 3 כר'")</f>
        <v>ספרים באנגלית - 3 כר'</v>
      </c>
    </row>
    <row r="30455" spans="1:6" x14ac:dyDescent="0.2">
      <c r="A30455" t="s">
        <v>47922</v>
      </c>
      <c r="B30455" t="e">
        <f>- שפיצר, שלמה בן דוד</f>
        <v>#NAME?</v>
      </c>
      <c r="C30455" t="s">
        <v>624</v>
      </c>
      <c r="D30455" t="s">
        <v>52</v>
      </c>
      <c r="F30455" s="2" t="str">
        <f>HYPERLINK("http://www.otzar.org/book.asp?615105","ספרים באנגלית - רבי אליעזר אשכנזי")</f>
        <v>ספרים באנגלית - רבי אליעזר אשכנזי</v>
      </c>
    </row>
    <row r="30456" spans="1:6" x14ac:dyDescent="0.2">
      <c r="A30456" t="s">
        <v>47923</v>
      </c>
      <c r="B30456" t="e">
        <f>- תאומים, דוד</f>
        <v>#NAME?</v>
      </c>
      <c r="C30456" t="s">
        <v>114</v>
      </c>
      <c r="D30456" t="s">
        <v>229</v>
      </c>
      <c r="F30456" s="2" t="str">
        <f>HYPERLINK("http://www.otzar.org/book.asp?630213","ספרים באנגלית - The Complete Gude To The Arba Minim")</f>
        <v>ספרים באנגלית - The Complete Gude To The Arba Minim</v>
      </c>
    </row>
    <row r="30457" spans="1:6" x14ac:dyDescent="0.2">
      <c r="A30457" t="s">
        <v>47924</v>
      </c>
      <c r="B30457" t="s">
        <v>27056</v>
      </c>
      <c r="C30457" t="s">
        <v>20</v>
      </c>
      <c r="D30457" t="s">
        <v>412</v>
      </c>
      <c r="F30457" s="2" t="str">
        <f>HYPERLINK("http://www.otzar.org/book.asp?626629","ספרים באנגלית - Chasdei Hashem")</f>
        <v>ספרים באנגלית - Chasdei Hashem</v>
      </c>
    </row>
    <row r="30458" spans="1:6" x14ac:dyDescent="0.2">
      <c r="A30458" t="s">
        <v>47925</v>
      </c>
      <c r="C30458">
        <v>1918</v>
      </c>
      <c r="D30458" t="s">
        <v>47926</v>
      </c>
      <c r="F30458" s="2" t="str">
        <f>HYPERLINK("http://www.otzar.org/book.asp?623437","ספרים בגרמנית- Dr Leo Munk")</f>
        <v>ספרים בגרמנית- Dr Leo Munk</v>
      </c>
    </row>
    <row r="30459" spans="1:6" x14ac:dyDescent="0.2">
      <c r="A30459" t="s">
        <v>47927</v>
      </c>
      <c r="B30459" t="e">
        <f>- הירש, שמשון בן רפאל</f>
        <v>#NAME?</v>
      </c>
      <c r="C30459" t="s">
        <v>2550</v>
      </c>
      <c r="D30459" t="s">
        <v>16851</v>
      </c>
      <c r="F30459" s="2" t="str">
        <f>HYPERLINK("http://www.otzar.org/book.asp?159081","ספרים בגרמנית - נפתולי נפתלי")</f>
        <v>ספרים בגרמנית - נפתולי נפתלי</v>
      </c>
    </row>
    <row r="30460" spans="1:6" x14ac:dyDescent="0.2">
      <c r="A30460" t="s">
        <v>47928</v>
      </c>
      <c r="B30460" t="e">
        <f>- לוינגר, ישראל מאיר</f>
        <v>#NAME?</v>
      </c>
      <c r="C30460" t="s">
        <v>13</v>
      </c>
      <c r="D30460" t="s">
        <v>21</v>
      </c>
      <c r="F30460" s="2" t="str">
        <f>HYPERLINK("http://www.otzar.org/book.asp?197703","ספרים בגרמנית - Gedanken und anekdoten zu ben Wochenabschnitten")</f>
        <v>ספרים בגרמנית - Gedanken und anekdoten zu ben Wochenabschnitten</v>
      </c>
    </row>
    <row r="30461" spans="1:6" x14ac:dyDescent="0.2">
      <c r="A30461" t="s">
        <v>47929</v>
      </c>
      <c r="B30461" t="e">
        <f>- מינץ, לאזאר</f>
        <v>#NAME?</v>
      </c>
      <c r="C30461" t="s">
        <v>496</v>
      </c>
      <c r="D30461" t="s">
        <v>739</v>
      </c>
      <c r="F30461" s="2" t="str">
        <f>HYPERLINK("http://www.otzar.org/book.asp?619761","ספרים בגרמנית - תורת נשים")</f>
        <v>ספרים בגרמנית - תורת נשים</v>
      </c>
    </row>
    <row r="30462" spans="1:6" x14ac:dyDescent="0.2">
      <c r="A30462" t="s">
        <v>47930</v>
      </c>
      <c r="B30462" t="e">
        <f>- פרידמן, מ.</f>
        <v>#NAME?</v>
      </c>
      <c r="C30462" t="s">
        <v>1885</v>
      </c>
      <c r="D30462" t="s">
        <v>3604</v>
      </c>
      <c r="F30462" s="2" t="str">
        <f>HYPERLINK("http://www.otzar.org/book.asp?197697","ספרים בגרמנית - אונקלוס ועקילס")</f>
        <v>ספרים בגרמנית - אונקלוס ועקילס</v>
      </c>
    </row>
    <row r="30463" spans="1:6" x14ac:dyDescent="0.2">
      <c r="A30463" t="s">
        <v>47931</v>
      </c>
      <c r="B30463" t="s">
        <v>47932</v>
      </c>
      <c r="C30463" t="s">
        <v>908</v>
      </c>
      <c r="D30463" t="s">
        <v>4352</v>
      </c>
      <c r="E30463" t="s">
        <v>144</v>
      </c>
      <c r="F30463" s="2" t="str">
        <f>HYPERLINK("http://www.otzar.org/book.asp?166149","ספרים בגרמנית - DER BABYLONISCHE TALMUD")</f>
        <v>ספרים בגרמנית - DER BABYLONISCHE TALMUD</v>
      </c>
    </row>
    <row r="30464" spans="1:6" x14ac:dyDescent="0.2">
      <c r="A30464" t="s">
        <v>47933</v>
      </c>
      <c r="B30464" t="s">
        <v>47934</v>
      </c>
      <c r="C30464" t="s">
        <v>1470</v>
      </c>
      <c r="D30464" t="s">
        <v>18380</v>
      </c>
      <c r="F30464" s="2" t="str">
        <f>HYPERLINK("http://www.otzar.org/book.asp?600573","ספרים בגרמנית - 6 כר'")</f>
        <v>ספרים בגרמנית - 6 כר'</v>
      </c>
    </row>
    <row r="30465" spans="1:6" x14ac:dyDescent="0.2">
      <c r="A30465" t="s">
        <v>47935</v>
      </c>
      <c r="B30465" t="s">
        <v>12187</v>
      </c>
      <c r="C30465">
        <v>1903</v>
      </c>
      <c r="D30465" t="s">
        <v>280</v>
      </c>
      <c r="F30465" s="2" t="str">
        <f>HYPERLINK("http://www.otzar.org/book.asp?612909","ספרים בגרמנית -")</f>
        <v>ספרים בגרמנית -</v>
      </c>
    </row>
    <row r="30466" spans="1:6" x14ac:dyDescent="0.2">
      <c r="A30466" t="s">
        <v>47936</v>
      </c>
      <c r="B30466" t="s">
        <v>15469</v>
      </c>
      <c r="C30466" t="s">
        <v>466</v>
      </c>
      <c r="D30466" t="s">
        <v>21</v>
      </c>
      <c r="F30466" s="2" t="str">
        <f>HYPERLINK("http://www.otzar.org/book.asp?197706","ספרים בגרמנית - SHCHITA IM LICHTE DES JAHRES 2000")</f>
        <v>ספרים בגרמנית - SHCHITA IM LICHTE DES JAHRES 2000</v>
      </c>
    </row>
    <row r="30467" spans="1:6" x14ac:dyDescent="0.2">
      <c r="A30467" t="s">
        <v>47937</v>
      </c>
      <c r="B30467" t="s">
        <v>47938</v>
      </c>
      <c r="C30467" t="s">
        <v>20</v>
      </c>
      <c r="D30467" t="s">
        <v>18380</v>
      </c>
      <c r="F30467" s="2" t="str">
        <f>HYPERLINK("http://www.otzar.org/book.asp?197691","ספרים בגרמנית - לבנון")</f>
        <v>ספרים בגרמנית - לבנון</v>
      </c>
    </row>
    <row r="30468" spans="1:6" x14ac:dyDescent="0.2">
      <c r="A30468" t="s">
        <v>47939</v>
      </c>
      <c r="B30468" t="s">
        <v>47940</v>
      </c>
      <c r="F30468" s="2" t="str">
        <f>HYPERLINK("http://www.otzar.org/book.asp?623436","ספרים בגרמנית- HERMANN SCHWAB זצ""ל")</f>
        <v>ספרים בגרמנית- HERMANN SCHWAB זצ"ל</v>
      </c>
    </row>
    <row r="30469" spans="1:6" x14ac:dyDescent="0.2">
      <c r="A30469" t="s">
        <v>47941</v>
      </c>
      <c r="B30469" t="e">
        <f>- bendheim, eis</f>
        <v>#NAME?</v>
      </c>
      <c r="C30469" t="s">
        <v>17</v>
      </c>
      <c r="D30469" t="s">
        <v>412</v>
      </c>
      <c r="F30469" s="2" t="str">
        <f>HYPERLINK("http://www.otzar.org/book.asp?63418","ספרים בהולנדית - liepman philip prins")</f>
        <v>ספרים בהולנדית - liepman philip prins</v>
      </c>
    </row>
    <row r="30470" spans="1:6" x14ac:dyDescent="0.2">
      <c r="A30470" t="s">
        <v>47942</v>
      </c>
      <c r="B30470" t="e">
        <f>- BASRI, EZRA</f>
        <v>#NAME?</v>
      </c>
      <c r="C30470" t="s">
        <v>383</v>
      </c>
      <c r="D30470" t="s">
        <v>14</v>
      </c>
      <c r="F30470" s="2" t="str">
        <f>HYPERLINK("http://www.otzar.org/book.asp?152537","ספרים בספרדית - 5 כר'")</f>
        <v>ספרים בספרדית - 5 כר'</v>
      </c>
    </row>
    <row r="30471" spans="1:6" x14ac:dyDescent="0.2">
      <c r="A30471" t="s">
        <v>47943</v>
      </c>
      <c r="B30471" t="e">
        <f>- BASRI, MOSHE</f>
        <v>#NAME?</v>
      </c>
      <c r="D30471" t="s">
        <v>14</v>
      </c>
      <c r="E30471" t="s">
        <v>144</v>
      </c>
      <c r="F30471" s="2" t="str">
        <f>HYPERLINK("http://www.otzar.org/book.asp?152559","ספרים בספרדית - 4 כר'")</f>
        <v>ספרים בספרדית - 4 כר'</v>
      </c>
    </row>
    <row r="30472" spans="1:6" x14ac:dyDescent="0.2">
      <c r="A30472" t="s">
        <v>47944</v>
      </c>
      <c r="B30472" t="e">
        <f>- BAZRI, SIMA</f>
        <v>#NAME?</v>
      </c>
      <c r="C30472" t="s">
        <v>143</v>
      </c>
      <c r="D30472" t="s">
        <v>14</v>
      </c>
      <c r="E30472" t="s">
        <v>104</v>
      </c>
      <c r="F30472" s="2" t="str">
        <f>HYPERLINK("http://www.otzar.org/book.asp?152542","ספרים בספרדית - 3 כר'")</f>
        <v>ספרים בספרדית - 3 כר'</v>
      </c>
    </row>
    <row r="30473" spans="1:6" x14ac:dyDescent="0.2">
      <c r="A30473" t="s">
        <v>47945</v>
      </c>
      <c r="B30473" t="e">
        <f>- BITTON, IOSEF</f>
        <v>#NAME?</v>
      </c>
      <c r="C30473" t="s">
        <v>624</v>
      </c>
      <c r="D30473" t="s">
        <v>14</v>
      </c>
      <c r="F30473" s="2" t="str">
        <f>HYPERLINK("http://www.otzar.org/book.asp?152515","ספרים בספרדית - DESPUES DE LA VIDA")</f>
        <v>ספרים בספרדית - DESPUES DE LA VIDA</v>
      </c>
    </row>
    <row r="30474" spans="1:6" x14ac:dyDescent="0.2">
      <c r="A30474" t="s">
        <v>47946</v>
      </c>
      <c r="B30474" t="e">
        <f>- EVEN HEN, YACOB</f>
        <v>#NAME?</v>
      </c>
      <c r="C30474" t="s">
        <v>176</v>
      </c>
      <c r="D30474" t="s">
        <v>14</v>
      </c>
      <c r="E30474" t="s">
        <v>119</v>
      </c>
      <c r="F30474" s="2" t="str">
        <f>HYPERLINK("http://www.otzar.org/book.asp?152514","ספרים בספרדית - EL RAMBAM")</f>
        <v>ספרים בספרדית - EL RAMBAM</v>
      </c>
    </row>
    <row r="30475" spans="1:6" x14ac:dyDescent="0.2">
      <c r="A30475" t="s">
        <v>47947</v>
      </c>
      <c r="B30475" t="e">
        <f>- HADAIAN, Abraham BAR ISHAIA</f>
        <v>#NAME?</v>
      </c>
      <c r="C30475" t="s">
        <v>383</v>
      </c>
      <c r="D30475" t="s">
        <v>14</v>
      </c>
      <c r="E30475" t="s">
        <v>213</v>
      </c>
      <c r="F30475" s="2" t="str">
        <f>HYPERLINK("http://www.otzar.org/book.asp?152516","ספרים בספרדית - EL RECUERDO DEL ALMA")</f>
        <v>ספרים בספרדית - EL RECUERDO DEL ALMA</v>
      </c>
    </row>
    <row r="30476" spans="1:6" x14ac:dyDescent="0.2">
      <c r="A30476" t="s">
        <v>47948</v>
      </c>
      <c r="B30476" t="e">
        <f>- LANIADO, SHMUEL</f>
        <v>#NAME?</v>
      </c>
      <c r="C30476" t="s">
        <v>775</v>
      </c>
      <c r="D30476" t="s">
        <v>14</v>
      </c>
      <c r="E30476" t="s">
        <v>148</v>
      </c>
      <c r="F30476" s="2" t="str">
        <f>HYPERLINK("http://www.otzar.org/book.asp?152538","ספרים בספרדית - SHULJAN HAMELEJ 1")</f>
        <v>ספרים בספרדית - SHULJAN HAMELEJ 1</v>
      </c>
    </row>
    <row r="30477" spans="1:6" x14ac:dyDescent="0.2">
      <c r="A30477" t="s">
        <v>47949</v>
      </c>
      <c r="B30477" t="e">
        <f>- LUZZATTO, MOSHE JAIM</f>
        <v>#NAME?</v>
      </c>
      <c r="C30477" t="s">
        <v>51</v>
      </c>
      <c r="D30477" t="s">
        <v>14</v>
      </c>
      <c r="E30477" t="s">
        <v>314</v>
      </c>
      <c r="F30477" s="2" t="str">
        <f>HYPERLINK("http://www.otzar.org/book.asp?152492","ספרים בספרדית - LA SENDA DE LOS JUSTOS")</f>
        <v>ספרים בספרדית - LA SENDA DE LOS JUSTOS</v>
      </c>
    </row>
    <row r="30478" spans="1:6" x14ac:dyDescent="0.2">
      <c r="A30478" t="s">
        <v>47950</v>
      </c>
      <c r="B30478" t="e">
        <f>- SUTTHON,SHAUL DAVID</f>
        <v>#NAME?</v>
      </c>
      <c r="C30478" t="s">
        <v>383</v>
      </c>
      <c r="D30478" t="s">
        <v>14</v>
      </c>
      <c r="F30478" s="2" t="str">
        <f>HYPERLINK("http://www.otzar.org/book.asp?152512","ספרים בספרדית -  DIBER SHAUL")</f>
        <v>ספרים בספרדית -  DIBER SHAUL</v>
      </c>
    </row>
    <row r="30479" spans="1:6" x14ac:dyDescent="0.2">
      <c r="A30479" t="s">
        <v>47942</v>
      </c>
      <c r="B30479" t="e">
        <f>- Tabachnik, DAVID</f>
        <v>#NAME?</v>
      </c>
      <c r="C30479" t="s">
        <v>20</v>
      </c>
      <c r="D30479" t="s">
        <v>14</v>
      </c>
      <c r="F30479" s="2" t="str">
        <f>HYPERLINK("http://www.otzar.org/book.asp?148563","ספרים בספרדית - 5 כר'")</f>
        <v>ספרים בספרדית - 5 כר'</v>
      </c>
    </row>
    <row r="30480" spans="1:6" x14ac:dyDescent="0.2">
      <c r="A30480" t="s">
        <v>47951</v>
      </c>
      <c r="B30480" t="e">
        <f>- WEITZMAM,YEJIEL</f>
        <v>#NAME?</v>
      </c>
      <c r="C30480" t="s">
        <v>129</v>
      </c>
      <c r="D30480" t="s">
        <v>90</v>
      </c>
      <c r="F30480" s="2" t="str">
        <f>HYPERLINK("http://www.otzar.org/book.asp?624468","ספרים בספרדית - EL EXILIO ISMAELITA")</f>
        <v>ספרים בספרדית - EL EXILIO ISMAELITA</v>
      </c>
    </row>
    <row r="30481" spans="1:6" x14ac:dyDescent="0.2">
      <c r="A30481" t="s">
        <v>47952</v>
      </c>
      <c r="B30481" t="e">
        <f>- אסחייק, יחזקאל</f>
        <v>#NAME?</v>
      </c>
      <c r="C30481" t="s">
        <v>244</v>
      </c>
      <c r="D30481" t="s">
        <v>52</v>
      </c>
      <c r="F30481" s="2" t="str">
        <f>HYPERLINK("http://www.otzar.org/book.asp?630629","ספרים בספרדית - חיים בריאים כהלכה")</f>
        <v>ספרים בספרדית - חיים בריאים כהלכה</v>
      </c>
    </row>
    <row r="30482" spans="1:6" x14ac:dyDescent="0.2">
      <c r="A30482" t="s">
        <v>47953</v>
      </c>
      <c r="B30482" t="e">
        <f>- חדד, נסים</f>
        <v>#NAME?</v>
      </c>
      <c r="C30482" t="s">
        <v>20</v>
      </c>
      <c r="D30482" t="s">
        <v>276</v>
      </c>
      <c r="F30482" s="2" t="str">
        <f>HYPERLINK("http://www.otzar.org/book.asp?197874","ספרים בספרדית - 2 כר'")</f>
        <v>ספרים בספרדית - 2 כר'</v>
      </c>
    </row>
    <row r="30483" spans="1:6" x14ac:dyDescent="0.2">
      <c r="A30483" t="s">
        <v>47954</v>
      </c>
      <c r="B30483" t="e">
        <f>- רבי משה בן מימון - סגל, מרדכי דוד הלוי</f>
        <v>#NAME?</v>
      </c>
      <c r="C30483" t="s">
        <v>23</v>
      </c>
      <c r="D30483" t="s">
        <v>2574</v>
      </c>
      <c r="F30483" s="2" t="str">
        <f>HYPERLINK("http://www.otzar.org/book.asp?632033","ספרים בספרדית - משנה תורה לרמב""ם - זמנים")</f>
        <v>ספרים בספרדית - משנה תורה לרמב"ם - זמנים</v>
      </c>
    </row>
    <row r="30484" spans="1:6" x14ac:dyDescent="0.2">
      <c r="A30484" t="s">
        <v>47943</v>
      </c>
      <c r="B30484" t="s">
        <v>47934</v>
      </c>
      <c r="C30484" t="s">
        <v>366</v>
      </c>
      <c r="D30484" t="s">
        <v>90</v>
      </c>
      <c r="F30484" s="2" t="str">
        <f>HYPERLINK("http://www.otzar.org/book.asp?610062","ספרים בספרדית - 4 כר'")</f>
        <v>ספרים בספרדית - 4 כר'</v>
      </c>
    </row>
    <row r="30485" spans="1:6" x14ac:dyDescent="0.2">
      <c r="A30485" t="s">
        <v>47953</v>
      </c>
      <c r="B30485" t="s">
        <v>236</v>
      </c>
      <c r="C30485" t="s">
        <v>20</v>
      </c>
      <c r="D30485" t="s">
        <v>2531</v>
      </c>
      <c r="F30485" s="2" t="str">
        <f>HYPERLINK("http://www.otzar.org/book.asp?196466","ספרים בספרדית - 2 כר'")</f>
        <v>ספרים בספרדית - 2 כר'</v>
      </c>
    </row>
    <row r="30486" spans="1:6" x14ac:dyDescent="0.2">
      <c r="A30486" t="s">
        <v>47955</v>
      </c>
      <c r="B30486" t="s">
        <v>47956</v>
      </c>
      <c r="C30486" t="s">
        <v>366</v>
      </c>
      <c r="D30486" t="s">
        <v>90</v>
      </c>
      <c r="F30486" s="2" t="str">
        <f>HYPERLINK("http://www.otzar.org/book.asp?621950","ספרים בספרדית - קיצור הלכות נדה")</f>
        <v>ספרים בספרדית - קיצור הלכות נדה</v>
      </c>
    </row>
    <row r="30487" spans="1:6" x14ac:dyDescent="0.2">
      <c r="A30487" t="s">
        <v>47957</v>
      </c>
      <c r="B30487" t="s">
        <v>40247</v>
      </c>
      <c r="C30487" t="s">
        <v>133</v>
      </c>
      <c r="D30487" t="s">
        <v>486</v>
      </c>
      <c r="F30487" s="2" t="str">
        <f>HYPERLINK("http://www.otzar.org/book.asp?605966","ספרים בספרדית - נסים אדירים")</f>
        <v>ספרים בספרדית - נסים אדירים</v>
      </c>
    </row>
    <row r="30488" spans="1:6" x14ac:dyDescent="0.2">
      <c r="A30488" t="s">
        <v>47958</v>
      </c>
      <c r="B30488" t="s">
        <v>7696</v>
      </c>
      <c r="C30488" t="s">
        <v>20</v>
      </c>
      <c r="D30488" t="s">
        <v>14</v>
      </c>
      <c r="F30488" s="2" t="str">
        <f>HYPERLINK("http://www.otzar.org/book.asp?619625","ספרים בספרדית - EXILIO DE YISHMAEL")</f>
        <v>ספרים בספרדית - EXILIO DE YISHMAEL</v>
      </c>
    </row>
    <row r="30489" spans="1:6" x14ac:dyDescent="0.2">
      <c r="A30489" t="s">
        <v>47959</v>
      </c>
      <c r="B30489" t="s">
        <v>47854</v>
      </c>
      <c r="C30489" t="s">
        <v>13</v>
      </c>
      <c r="D30489" t="s">
        <v>14</v>
      </c>
      <c r="F30489" s="2" t="str">
        <f>HYPERLINK("http://www.otzar.org/book.asp?166172","ספרים בספרדית - מגילת איכה וקינות")</f>
        <v>ספרים בספרדית - מגילת איכה וקינות</v>
      </c>
    </row>
    <row r="30490" spans="1:6" x14ac:dyDescent="0.2">
      <c r="A30490" t="s">
        <v>47942</v>
      </c>
      <c r="B30490" t="s">
        <v>18268</v>
      </c>
      <c r="C30490" t="s">
        <v>37</v>
      </c>
      <c r="D30490" t="s">
        <v>52</v>
      </c>
      <c r="E30490" t="s">
        <v>246</v>
      </c>
      <c r="F30490" s="2" t="str">
        <f>HYPERLINK("http://www.otzar.org/book.asp?198268","ספרים בספרדית - 5 כר'")</f>
        <v>ספרים בספרדית - 5 כר'</v>
      </c>
    </row>
    <row r="30491" spans="1:6" x14ac:dyDescent="0.2">
      <c r="A30491" t="s">
        <v>47942</v>
      </c>
      <c r="B30491" t="s">
        <v>39006</v>
      </c>
      <c r="C30491" t="s">
        <v>151</v>
      </c>
      <c r="D30491" t="s">
        <v>90</v>
      </c>
      <c r="F30491" s="2" t="str">
        <f>HYPERLINK("http://www.otzar.org/book.asp?615212","ספרים בספרדית - 5 כר'")</f>
        <v>ספרים בספרדית - 5 כר'</v>
      </c>
    </row>
    <row r="30492" spans="1:6" x14ac:dyDescent="0.2">
      <c r="A30492" t="s">
        <v>47960</v>
      </c>
      <c r="B30492" t="s">
        <v>17904</v>
      </c>
      <c r="C30492" t="s">
        <v>23</v>
      </c>
      <c r="D30492" t="s">
        <v>152</v>
      </c>
      <c r="E30492" t="s">
        <v>158</v>
      </c>
      <c r="F30492" s="2" t="str">
        <f>HYPERLINK("http://www.otzar.org/book.asp?193008","ספרים בספרדית - 6 כר'")</f>
        <v>ספרים בספרדית - 6 כר'</v>
      </c>
    </row>
    <row r="30493" spans="1:6" x14ac:dyDescent="0.2">
      <c r="A30493" t="s">
        <v>47961</v>
      </c>
      <c r="B30493" t="s">
        <v>47962</v>
      </c>
      <c r="C30493" t="s">
        <v>133</v>
      </c>
      <c r="D30493" t="s">
        <v>47963</v>
      </c>
      <c r="F30493" s="2" t="str">
        <f>HYPERLINK("http://www.otzar.org/book.asp?605799","ספרים בספרדית - נצור לשונך Guarde sua Fala")</f>
        <v>ספרים בספרדית - נצור לשונך Guarde sua Fala</v>
      </c>
    </row>
    <row r="30494" spans="1:6" x14ac:dyDescent="0.2">
      <c r="A30494" t="s">
        <v>47964</v>
      </c>
      <c r="B30494" t="e">
        <f>- BASRI, MOCHE</f>
        <v>#NAME?</v>
      </c>
      <c r="C30494" t="s">
        <v>71</v>
      </c>
      <c r="D30494" t="s">
        <v>14</v>
      </c>
      <c r="F30494" s="2" t="str">
        <f>HYPERLINK("http://www.otzar.org/book.asp?152558","ספרים בצרפתית - 2 כר'")</f>
        <v>ספרים בצרפתית - 2 כר'</v>
      </c>
    </row>
    <row r="30495" spans="1:6" x14ac:dyDescent="0.2">
      <c r="A30495" t="s">
        <v>47964</v>
      </c>
      <c r="B30495" t="e">
        <f>- BATSRI, DAVID CHALOM</f>
        <v>#NAME?</v>
      </c>
      <c r="C30495" t="s">
        <v>523</v>
      </c>
      <c r="D30495" t="s">
        <v>14</v>
      </c>
      <c r="E30495" t="s">
        <v>399</v>
      </c>
      <c r="F30495" s="2" t="str">
        <f>HYPERLINK("http://www.otzar.org/book.asp?152720","ספרים בצרפתית - 2 כר'")</f>
        <v>ספרים בצרפתית - 2 כר'</v>
      </c>
    </row>
    <row r="30496" spans="1:6" x14ac:dyDescent="0.2">
      <c r="A30496" t="s">
        <v>47965</v>
      </c>
      <c r="B30496" t="e">
        <f>- BATSRI, EZRA</f>
        <v>#NAME?</v>
      </c>
      <c r="C30496" t="s">
        <v>87</v>
      </c>
      <c r="D30496" t="s">
        <v>14</v>
      </c>
      <c r="E30496" t="s">
        <v>15</v>
      </c>
      <c r="F30496" s="2" t="str">
        <f>HYPERLINK("http://www.otzar.org/book.asp?152543","ספרים בצרפתית - 6 כר'")</f>
        <v>ספרים בצרפתית - 6 כר'</v>
      </c>
    </row>
    <row r="30497" spans="1:6" x14ac:dyDescent="0.2">
      <c r="A30497" t="s">
        <v>47964</v>
      </c>
      <c r="B30497" t="e">
        <f>- BATSRI, MOCHE</f>
        <v>#NAME?</v>
      </c>
      <c r="C30497" t="s">
        <v>176</v>
      </c>
      <c r="D30497" t="s">
        <v>14</v>
      </c>
      <c r="E30497" t="s">
        <v>144</v>
      </c>
      <c r="F30497" s="2" t="str">
        <f>HYPERLINK("http://www.otzar.org/book.asp?152554","ספרים בצרפתית - 2 כר'")</f>
        <v>ספרים בצרפתית - 2 כר'</v>
      </c>
    </row>
    <row r="30498" spans="1:6" x14ac:dyDescent="0.2">
      <c r="A30498" t="s">
        <v>47966</v>
      </c>
      <c r="B30498" t="e">
        <f>- BAZRI, SIMA</f>
        <v>#NAME?</v>
      </c>
      <c r="D30498" t="s">
        <v>14</v>
      </c>
      <c r="E30498" t="s">
        <v>104</v>
      </c>
      <c r="F30498" s="2" t="str">
        <f>HYPERLINK("http://www.otzar.org/book.asp?152565","ספרים בצרפתית - UNE ENTREPRISE A DEUX")</f>
        <v>ספרים בצרפתית - UNE ENTREPRISE A DEUX</v>
      </c>
    </row>
    <row r="30499" spans="1:6" x14ac:dyDescent="0.2">
      <c r="A30499" t="s">
        <v>47967</v>
      </c>
      <c r="B30499" t="e">
        <f>- CHRQUI, Mordekhai</f>
        <v>#NAME?</v>
      </c>
      <c r="C30499" t="s">
        <v>51</v>
      </c>
      <c r="D30499" t="s">
        <v>14</v>
      </c>
      <c r="F30499" s="2" t="str">
        <f>HYPERLINK("http://www.otzar.org/book.asp?148359","ספרים בצרפתית - Le Roi du monde")</f>
        <v>ספרים בצרפתית - Le Roi du monde</v>
      </c>
    </row>
    <row r="30500" spans="1:6" x14ac:dyDescent="0.2">
      <c r="A30500" t="s">
        <v>47968</v>
      </c>
      <c r="B30500" t="e">
        <f>- DOUEK, YAAKOV CHSOUL</f>
        <v>#NAME?</v>
      </c>
      <c r="C30500" t="s">
        <v>313</v>
      </c>
      <c r="D30500" t="s">
        <v>14</v>
      </c>
      <c r="F30500" s="2" t="str">
        <f>HYPERLINK("http://www.otzar.org/book.asp?152723","ספרים בצרפתית - LA VOIE DE LHONNETETE")</f>
        <v>ספרים בצרפתית - LA VOIE DE LHONNETETE</v>
      </c>
    </row>
    <row r="30501" spans="1:6" x14ac:dyDescent="0.2">
      <c r="A30501" t="s">
        <v>47969</v>
      </c>
      <c r="B30501" t="e">
        <f>- DWECK, YAACOV CHAOUL</f>
        <v>#NAME?</v>
      </c>
      <c r="D30501" t="s">
        <v>14</v>
      </c>
      <c r="F30501" s="2" t="str">
        <f>HYPERLINK("http://www.otzar.org/book.asp?152564","ספרים בצרפתית - CHEERIT YAACUV - MICHKENOT YAACOV")</f>
        <v>ספרים בצרפתית - CHEERIT YAACUV - MICHKENOT YAACOV</v>
      </c>
    </row>
    <row r="30502" spans="1:6" x14ac:dyDescent="0.2">
      <c r="A30502" t="s">
        <v>47970</v>
      </c>
      <c r="B30502" t="e">
        <f>- EVEN HEN, YAQOV</f>
        <v>#NAME?</v>
      </c>
      <c r="C30502" t="s">
        <v>87</v>
      </c>
      <c r="D30502" t="s">
        <v>14</v>
      </c>
      <c r="E30502" t="s">
        <v>119</v>
      </c>
      <c r="F30502" s="2" t="str">
        <f>HYPERLINK("http://www.otzar.org/book.asp?152722","ספרים בצרפתית - MAIMONIDE")</f>
        <v>ספרים בצרפתית - MAIMONIDE</v>
      </c>
    </row>
    <row r="30503" spans="1:6" x14ac:dyDescent="0.2">
      <c r="A30503" t="s">
        <v>47964</v>
      </c>
      <c r="B30503" t="e">
        <f>- LANYADO, CHMOUEL</f>
        <v>#NAME?</v>
      </c>
      <c r="C30503" t="s">
        <v>143</v>
      </c>
      <c r="D30503" t="s">
        <v>14</v>
      </c>
      <c r="E30503" t="s">
        <v>172</v>
      </c>
      <c r="F30503" s="2" t="str">
        <f>HYPERLINK("http://www.otzar.org/book.asp?152540","ספרים בצרפתית - 2 כר'")</f>
        <v>ספרים בצרפתית - 2 כר'</v>
      </c>
    </row>
    <row r="30504" spans="1:6" x14ac:dyDescent="0.2">
      <c r="A30504" t="s">
        <v>47971</v>
      </c>
      <c r="B30504" t="e">
        <f>- אסחייק, יחזקאל</f>
        <v>#NAME?</v>
      </c>
      <c r="C30504" t="s">
        <v>244</v>
      </c>
      <c r="D30504" t="s">
        <v>52</v>
      </c>
      <c r="F30504" s="2" t="str">
        <f>HYPERLINK("http://www.otzar.org/book.asp?630630","ספרים בצרפתית - חיים בריאים כהלכה")</f>
        <v>ספרים בצרפתית - חיים בריאים כהלכה</v>
      </c>
    </row>
    <row r="30505" spans="1:6" x14ac:dyDescent="0.2">
      <c r="A30505" t="s">
        <v>47972</v>
      </c>
      <c r="B30505" t="e">
        <f>- שבילי, חיים בן ירמיהו</f>
        <v>#NAME?</v>
      </c>
      <c r="F30505" s="2" t="str">
        <f>HYPERLINK("http://www.otzar.org/book.asp?612006","ספרים בצרפתית - חיים שבילי")</f>
        <v>ספרים בצרפתית - חיים שבילי</v>
      </c>
    </row>
    <row r="30506" spans="1:6" x14ac:dyDescent="0.2">
      <c r="A30506" t="s">
        <v>47973</v>
      </c>
      <c r="B30506" t="s">
        <v>42006</v>
      </c>
      <c r="C30506" t="s">
        <v>103</v>
      </c>
      <c r="D30506" t="s">
        <v>47974</v>
      </c>
      <c r="F30506" s="2" t="str">
        <f>HYPERLINK("http://www.otzar.org/book.asp?603240","ספרים בצרפתית - HOUKE HANACHIM &lt;משל ונמשל&gt;")</f>
        <v>ספרים בצרפתית - HOUKE HANACHIM &lt;משל ונמשל&gt;</v>
      </c>
    </row>
    <row r="30507" spans="1:6" x14ac:dyDescent="0.2">
      <c r="A30507" t="s">
        <v>47964</v>
      </c>
      <c r="B30507" t="s">
        <v>9316</v>
      </c>
      <c r="C30507" t="s">
        <v>23</v>
      </c>
      <c r="D30507" t="s">
        <v>152</v>
      </c>
      <c r="F30507" s="2" t="str">
        <f>HYPERLINK("http://www.otzar.org/book.asp?607118","ספרים בצרפתית - 2 כר'")</f>
        <v>ספרים בצרפתית - 2 כר'</v>
      </c>
    </row>
    <row r="30508" spans="1:6" x14ac:dyDescent="0.2">
      <c r="A30508" t="s">
        <v>47975</v>
      </c>
      <c r="B30508" t="s">
        <v>21968</v>
      </c>
      <c r="C30508" t="s">
        <v>37</v>
      </c>
      <c r="D30508" t="s">
        <v>14</v>
      </c>
      <c r="F30508" s="2" t="str">
        <f>HYPERLINK("http://www.otzar.org/book.asp?610787","ספרים בצרפתית - לב אבות על בנים")</f>
        <v>ספרים בצרפתית - לב אבות על בנים</v>
      </c>
    </row>
    <row r="30509" spans="1:6" x14ac:dyDescent="0.2">
      <c r="A30509" t="s">
        <v>47976</v>
      </c>
      <c r="B30509" t="s">
        <v>11414</v>
      </c>
      <c r="D30509" t="s">
        <v>52</v>
      </c>
      <c r="F30509" s="2" t="str">
        <f>HYPERLINK("http://www.otzar.org/book.asp?625971","ספרים בצרפתית - LHOMME ET SON CHEMIN")</f>
        <v>ספרים בצרפתית - LHOMME ET SON CHEMIN</v>
      </c>
    </row>
    <row r="30510" spans="1:6" x14ac:dyDescent="0.2">
      <c r="A30510" t="s">
        <v>47977</v>
      </c>
      <c r="B30510" t="e">
        <f>- אסחייק, יחזקאל</f>
        <v>#NAME?</v>
      </c>
      <c r="C30510" t="s">
        <v>244</v>
      </c>
      <c r="D30510" t="s">
        <v>52</v>
      </c>
      <c r="F30510" s="2" t="str">
        <f>HYPERLINK("http://www.otzar.org/book.asp?630627","ספרים ברוסית - חיים בריאים כהלכה")</f>
        <v>ספרים ברוסית - חיים בריאים כהלכה</v>
      </c>
    </row>
    <row r="30511" spans="1:6" x14ac:dyDescent="0.2">
      <c r="A30511" t="s">
        <v>47978</v>
      </c>
      <c r="B30511" t="e">
        <f>- גלזרסון, מתתיהו</f>
        <v>#NAME?</v>
      </c>
      <c r="C30511" t="s">
        <v>51</v>
      </c>
      <c r="D30511" t="s">
        <v>19689</v>
      </c>
      <c r="F30511" s="2" t="str">
        <f>HYPERLINK("http://www.otzar.org/book.asp?168977","ספרים ברוסית - 5 כר'")</f>
        <v>ספרים ברוסית - 5 כר'</v>
      </c>
    </row>
    <row r="30512" spans="1:6" x14ac:dyDescent="0.2">
      <c r="A30512" t="s">
        <v>47979</v>
      </c>
      <c r="B30512" t="s">
        <v>22804</v>
      </c>
      <c r="C30512" t="s">
        <v>1448</v>
      </c>
      <c r="D30512" t="s">
        <v>14</v>
      </c>
      <c r="F30512" s="2" t="str">
        <f>HYPERLINK("http://www.otzar.org/book.asp?169688","ספרים חמשה")</f>
        <v>ספרים חמשה</v>
      </c>
    </row>
    <row r="30513" spans="1:6" x14ac:dyDescent="0.2">
      <c r="A30513" t="s">
        <v>47980</v>
      </c>
      <c r="B30513" t="s">
        <v>47981</v>
      </c>
      <c r="C30513" t="s">
        <v>79</v>
      </c>
      <c r="D30513" t="s">
        <v>21</v>
      </c>
      <c r="E30513" t="s">
        <v>104</v>
      </c>
      <c r="F30513" s="2" t="str">
        <f>HYPERLINK("http://www.otzar.org/book.asp?196043","ספרים עבריים עתיקים - רשימה 38")</f>
        <v>ספרים עבריים עתיקים - רשימה 38</v>
      </c>
    </row>
    <row r="30514" spans="1:6" x14ac:dyDescent="0.2">
      <c r="A30514" t="s">
        <v>47982</v>
      </c>
      <c r="B30514" t="s">
        <v>47981</v>
      </c>
      <c r="C30514" t="s">
        <v>908</v>
      </c>
      <c r="D30514" t="s">
        <v>14</v>
      </c>
      <c r="E30514" t="s">
        <v>104</v>
      </c>
      <c r="F30514" s="2" t="str">
        <f>HYPERLINK("http://www.otzar.org/book.asp?610669","ספרים עברים עתיקים - 2 כר'")</f>
        <v>ספרים עברים עתיקים - 2 כר'</v>
      </c>
    </row>
    <row r="30515" spans="1:6" x14ac:dyDescent="0.2">
      <c r="A30515" t="s">
        <v>47983</v>
      </c>
      <c r="B30515" t="s">
        <v>18978</v>
      </c>
      <c r="C30515" t="s">
        <v>523</v>
      </c>
      <c r="D30515" t="s">
        <v>14</v>
      </c>
      <c r="E30515" t="s">
        <v>104</v>
      </c>
      <c r="F30515" s="2" t="str">
        <f>HYPERLINK("http://www.otzar.org/book.asp?154594","ספרים שנתחברו בבבל וספרים שנעתקו בה")</f>
        <v>ספרים שנתחברו בבבל וספרים שנעתקו בה</v>
      </c>
    </row>
    <row r="30516" spans="1:6" x14ac:dyDescent="0.2">
      <c r="A30516" t="s">
        <v>47984</v>
      </c>
      <c r="B30516" t="s">
        <v>13686</v>
      </c>
      <c r="C30516" t="s">
        <v>609</v>
      </c>
      <c r="D30516" t="s">
        <v>726</v>
      </c>
      <c r="E30516" t="s">
        <v>140</v>
      </c>
      <c r="F30516" s="2" t="str">
        <f>HYPERLINK("http://www.otzar.org/book.asp?106198","ספרן של צדיקים - 3 כר'")</f>
        <v>ספרן של צדיקים - 3 כר'</v>
      </c>
    </row>
    <row r="30517" spans="1:6" x14ac:dyDescent="0.2">
      <c r="A30517" t="s">
        <v>47985</v>
      </c>
      <c r="B30517" t="s">
        <v>47986</v>
      </c>
      <c r="C30517" t="s">
        <v>224</v>
      </c>
      <c r="D30517" t="s">
        <v>27</v>
      </c>
      <c r="E30517" t="s">
        <v>38079</v>
      </c>
      <c r="F30517" s="2" t="str">
        <f>HYPERLINK("http://www.otzar.org/book.asp?101605","ספרן של ראשונים - תשובות ראב""י אב""ד, תשובות הרמב""ן, המנהגות, איסור משהו לראב""ד")</f>
        <v>ספרן של ראשונים - תשובות ראב"י אב"ד, תשובות הרמב"ן, המנהגות, איסור משהו לראב"ד</v>
      </c>
    </row>
    <row r="30518" spans="1:6" x14ac:dyDescent="0.2">
      <c r="A30518" t="s">
        <v>47987</v>
      </c>
      <c r="B30518" t="s">
        <v>31095</v>
      </c>
      <c r="C30518" t="s">
        <v>1374</v>
      </c>
      <c r="D30518" t="s">
        <v>27</v>
      </c>
      <c r="E30518" t="s">
        <v>119</v>
      </c>
      <c r="F30518" s="2" t="str">
        <f>HYPERLINK("http://www.otzar.org/book.asp?154569","סקירה לתולדות עדת היהודים הספרדים בירושלים.")</f>
        <v>סקירה לתולדות עדת היהודים הספרדים בירושלים.</v>
      </c>
    </row>
    <row r="30519" spans="1:6" x14ac:dyDescent="0.2">
      <c r="A30519" t="s">
        <v>47988</v>
      </c>
      <c r="B30519" t="s">
        <v>47989</v>
      </c>
      <c r="C30519" t="s">
        <v>1374</v>
      </c>
      <c r="D30519" t="s">
        <v>27</v>
      </c>
      <c r="F30519" s="2" t="str">
        <f>HYPERLINK("http://www.otzar.org/book.asp?189643","סקירה פרטית")</f>
        <v>סקירה פרטית</v>
      </c>
    </row>
    <row r="30520" spans="1:6" x14ac:dyDescent="0.2">
      <c r="A30520" t="s">
        <v>47990</v>
      </c>
      <c r="B30520" t="s">
        <v>47991</v>
      </c>
      <c r="C30520" t="s">
        <v>956</v>
      </c>
      <c r="D30520" t="s">
        <v>14</v>
      </c>
      <c r="E30520" t="s">
        <v>104</v>
      </c>
      <c r="F30520" s="2" t="str">
        <f>HYPERLINK("http://www.otzar.org/book.asp?14868","סקר הועדה לבדיקת חילול בתי העלמין בהר הזיתים ובחברון")</f>
        <v>סקר הועדה לבדיקת חילול בתי העלמין בהר הזיתים ובחברון</v>
      </c>
    </row>
    <row r="30521" spans="1:6" x14ac:dyDescent="0.2">
      <c r="A30521" t="s">
        <v>47992</v>
      </c>
      <c r="B30521" t="s">
        <v>4991</v>
      </c>
      <c r="C30521" t="s">
        <v>20</v>
      </c>
      <c r="D30521" t="s">
        <v>14</v>
      </c>
      <c r="E30521" t="s">
        <v>241</v>
      </c>
      <c r="F30521" s="2" t="str">
        <f>HYPERLINK("http://www.otzar.org/book.asp?166012","סקרנות ופיזור הדעת")</f>
        <v>סקרנות ופיזור הדעת</v>
      </c>
    </row>
    <row r="30522" spans="1:6" x14ac:dyDescent="0.2">
      <c r="A30522" t="s">
        <v>47993</v>
      </c>
      <c r="B30522" t="s">
        <v>9358</v>
      </c>
      <c r="C30522" t="s">
        <v>106</v>
      </c>
      <c r="D30522" t="s">
        <v>118</v>
      </c>
      <c r="E30522" t="s">
        <v>119</v>
      </c>
      <c r="F30522" s="2" t="str">
        <f>HYPERLINK("http://www.otzar.org/book.asp?172875","סרדאהלי &lt;דונאסרדאהלי&gt; - ספר זכרון לקהילה")</f>
        <v>סרדאהלי &lt;דונאסרדאהלי&gt; - ספר זכרון לקהילה</v>
      </c>
    </row>
    <row r="30523" spans="1:6" x14ac:dyDescent="0.2">
      <c r="A30523" t="s">
        <v>47994</v>
      </c>
      <c r="B30523" t="s">
        <v>4606</v>
      </c>
      <c r="C30523" t="s">
        <v>129</v>
      </c>
      <c r="D30523" t="s">
        <v>14</v>
      </c>
      <c r="E30523" t="s">
        <v>15</v>
      </c>
      <c r="F30523" s="2" t="str">
        <f>HYPERLINK("http://www.otzar.org/book.asp?61523","סת""ם כהלכתן")</f>
        <v>סת"ם כהלכתן</v>
      </c>
    </row>
    <row r="30524" spans="1:6" x14ac:dyDescent="0.2">
      <c r="A30524" t="s">
        <v>47995</v>
      </c>
      <c r="B30524" t="s">
        <v>13378</v>
      </c>
      <c r="C30524" t="s">
        <v>46</v>
      </c>
      <c r="D30524" t="s">
        <v>260</v>
      </c>
      <c r="E30524" t="s">
        <v>104</v>
      </c>
      <c r="F30524" s="2" t="str">
        <f>HYPERLINK("http://www.otzar.org/book.asp?177056","סתומים וחתומים")</f>
        <v>סתומים וחתומים</v>
      </c>
    </row>
    <row r="30525" spans="1:6" x14ac:dyDescent="0.2">
      <c r="A30525" t="s">
        <v>47996</v>
      </c>
      <c r="B30525" t="s">
        <v>2702</v>
      </c>
      <c r="C30525" t="s">
        <v>79</v>
      </c>
      <c r="D30525" t="s">
        <v>27</v>
      </c>
      <c r="E30525" t="s">
        <v>674</v>
      </c>
      <c r="F30525" s="2" t="str">
        <f>HYPERLINK("http://www.otzar.org/book.asp?146978","סתירת זקנים")</f>
        <v>סתירת זקנים</v>
      </c>
    </row>
    <row r="30526" spans="1:6" x14ac:dyDescent="0.2">
      <c r="A30526" t="s">
        <v>47997</v>
      </c>
      <c r="B30526" t="s">
        <v>40790</v>
      </c>
      <c r="C30526" t="s">
        <v>26</v>
      </c>
      <c r="D30526" t="s">
        <v>14</v>
      </c>
      <c r="E30526" t="s">
        <v>803</v>
      </c>
      <c r="F30526" s="2" t="str">
        <f>HYPERLINK("http://www.otzar.org/book.asp?62139","סתרי ומגיני ישן וחדש")</f>
        <v>סתרי ומגיני ישן וחדש</v>
      </c>
    </row>
    <row r="30527" spans="1:6" x14ac:dyDescent="0.2">
      <c r="A30527" t="s">
        <v>47998</v>
      </c>
      <c r="B30527" t="s">
        <v>40790</v>
      </c>
      <c r="C30527" t="s">
        <v>8736</v>
      </c>
      <c r="D30527" t="s">
        <v>4088</v>
      </c>
      <c r="E30527" t="s">
        <v>154</v>
      </c>
      <c r="F30527" s="2" t="str">
        <f>HYPERLINK("http://www.otzar.org/book.asp?20462","סתרי ומגני")</f>
        <v>סתרי ומגני</v>
      </c>
    </row>
    <row r="30528" spans="1:6" x14ac:dyDescent="0.2">
      <c r="A30528" t="s">
        <v>47999</v>
      </c>
      <c r="B30528" t="s">
        <v>3306</v>
      </c>
      <c r="C30528" t="s">
        <v>51</v>
      </c>
      <c r="D30528" t="s">
        <v>14</v>
      </c>
      <c r="E30528" t="s">
        <v>399</v>
      </c>
      <c r="F30528" s="2" t="str">
        <f>HYPERLINK("http://www.otzar.org/book.asp?183407","סתרי תורה")</f>
        <v>סתרי תורה</v>
      </c>
    </row>
    <row r="30529" spans="1:6" x14ac:dyDescent="0.2">
      <c r="A30529" t="s">
        <v>48000</v>
      </c>
      <c r="B30529" t="s">
        <v>22343</v>
      </c>
      <c r="C30529" t="s">
        <v>10290</v>
      </c>
      <c r="D30529" t="s">
        <v>8167</v>
      </c>
      <c r="E30529" t="s">
        <v>399</v>
      </c>
      <c r="F30529" s="2" t="str">
        <f>HYPERLINK("http://www.otzar.org/book.asp?20464","ע שמות דמטטרון")</f>
        <v>ע שמות דמטטרון</v>
      </c>
    </row>
    <row r="30530" spans="1:6" x14ac:dyDescent="0.2">
      <c r="A30530" t="s">
        <v>48001</v>
      </c>
      <c r="B30530" t="s">
        <v>6928</v>
      </c>
      <c r="C30530" t="s">
        <v>366</v>
      </c>
      <c r="D30530" t="s">
        <v>486</v>
      </c>
      <c r="E30530" t="s">
        <v>104</v>
      </c>
      <c r="F30530" s="2" t="str">
        <f>HYPERLINK("http://www.otzar.org/book.asp?605537","עב הענן")</f>
        <v>עב הענן</v>
      </c>
    </row>
    <row r="30531" spans="1:6" x14ac:dyDescent="0.2">
      <c r="A30531" t="s">
        <v>48002</v>
      </c>
      <c r="B30531" t="s">
        <v>48003</v>
      </c>
      <c r="C30531" t="s">
        <v>728</v>
      </c>
      <c r="D30531" t="s">
        <v>157</v>
      </c>
      <c r="E30531" t="s">
        <v>219</v>
      </c>
      <c r="F30531" s="2" t="str">
        <f>HYPERLINK("http://www.otzar.org/book.asp?20465","עבד אברהם")</f>
        <v>עבד אברהם</v>
      </c>
    </row>
    <row r="30532" spans="1:6" x14ac:dyDescent="0.2">
      <c r="A30532" t="s">
        <v>48004</v>
      </c>
      <c r="B30532" t="s">
        <v>48005</v>
      </c>
      <c r="C30532" t="s">
        <v>14</v>
      </c>
      <c r="D30532" t="s">
        <v>244</v>
      </c>
      <c r="E30532" t="s">
        <v>158</v>
      </c>
      <c r="F30532" s="2" t="str">
        <f>HYPERLINK("http://www.otzar.org/book.asp?629903","עבד ה'")</f>
        <v>עבד ה'</v>
      </c>
    </row>
    <row r="30533" spans="1:6" x14ac:dyDescent="0.2">
      <c r="A30533" t="s">
        <v>48004</v>
      </c>
      <c r="B30533" t="s">
        <v>20330</v>
      </c>
      <c r="C30533" t="s">
        <v>767</v>
      </c>
      <c r="D30533" t="s">
        <v>1974</v>
      </c>
      <c r="E30533" t="s">
        <v>241</v>
      </c>
      <c r="F30533" s="2" t="str">
        <f>HYPERLINK("http://www.otzar.org/book.asp?52543","עבד ה'")</f>
        <v>עבד ה'</v>
      </c>
    </row>
    <row r="30534" spans="1:6" x14ac:dyDescent="0.2">
      <c r="A30534" t="s">
        <v>48006</v>
      </c>
      <c r="B30534" t="s">
        <v>15898</v>
      </c>
      <c r="C30534" t="s">
        <v>422</v>
      </c>
      <c r="D30534" t="s">
        <v>27</v>
      </c>
      <c r="E30534" t="s">
        <v>15</v>
      </c>
      <c r="F30534" s="2" t="str">
        <f>HYPERLINK("http://www.otzar.org/book.asp?154252","עבד המלך &lt;מהדורה חדשה&gt;")</f>
        <v>עבד המלך &lt;מהדורה חדשה&gt;</v>
      </c>
    </row>
    <row r="30535" spans="1:6" x14ac:dyDescent="0.2">
      <c r="A30535" t="s">
        <v>48007</v>
      </c>
      <c r="B30535" t="s">
        <v>15898</v>
      </c>
      <c r="C30535" t="s">
        <v>698</v>
      </c>
      <c r="D30535" t="s">
        <v>27</v>
      </c>
      <c r="E30535" t="s">
        <v>2840</v>
      </c>
      <c r="F30535" s="2" t="str">
        <f>HYPERLINK("http://www.otzar.org/book.asp?674","עבד המלך - עבדא דרבנן - ויקח עבדיהו")</f>
        <v>עבד המלך - עבדא דרבנן - ויקח עבדיהו</v>
      </c>
    </row>
    <row r="30536" spans="1:6" x14ac:dyDescent="0.2">
      <c r="A30536" t="s">
        <v>48008</v>
      </c>
      <c r="B30536" t="s">
        <v>6977</v>
      </c>
      <c r="C30536" t="s">
        <v>48009</v>
      </c>
      <c r="D30536" t="s">
        <v>27</v>
      </c>
      <c r="E30536" t="s">
        <v>579</v>
      </c>
      <c r="F30536" s="2" t="str">
        <f>HYPERLINK("http://www.otzar.org/book.asp?7915","עבד המלך - 9 כר'")</f>
        <v>עבד המלך - 9 כר'</v>
      </c>
    </row>
    <row r="30537" spans="1:6" x14ac:dyDescent="0.2">
      <c r="A30537" t="s">
        <v>48010</v>
      </c>
      <c r="B30537" t="s">
        <v>20330</v>
      </c>
      <c r="C30537" t="s">
        <v>466</v>
      </c>
      <c r="D30537" t="s">
        <v>1974</v>
      </c>
      <c r="E30537" t="s">
        <v>213</v>
      </c>
      <c r="F30537" s="2" t="str">
        <f>HYPERLINK("http://www.otzar.org/book.asp?52541","עבד לעבדי ה'")</f>
        <v>עבד לעבדי ה'</v>
      </c>
    </row>
    <row r="30538" spans="1:6" x14ac:dyDescent="0.2">
      <c r="A30538" t="s">
        <v>48011</v>
      </c>
      <c r="B30538" t="s">
        <v>28080</v>
      </c>
      <c r="C30538" t="s">
        <v>523</v>
      </c>
      <c r="D30538" t="s">
        <v>8564</v>
      </c>
      <c r="E30538" t="s">
        <v>241</v>
      </c>
      <c r="F30538" s="2" t="str">
        <f>HYPERLINK("http://www.otzar.org/book.asp?163078","עבד נאמן")</f>
        <v>עבד נאמן</v>
      </c>
    </row>
    <row r="30539" spans="1:6" x14ac:dyDescent="0.2">
      <c r="A30539" t="s">
        <v>48012</v>
      </c>
      <c r="B30539" t="s">
        <v>48013</v>
      </c>
      <c r="C30539" t="s">
        <v>454</v>
      </c>
      <c r="D30539" t="s">
        <v>14</v>
      </c>
      <c r="E30539" t="s">
        <v>119</v>
      </c>
      <c r="F30539" s="2" t="str">
        <f>HYPERLINK("http://www.otzar.org/book.asp?160161","עבד נאמן - חייו ופועלו של הרב שלום לופס")</f>
        <v>עבד נאמן - חייו ופועלו של הרב שלום לופס</v>
      </c>
    </row>
    <row r="30540" spans="1:6" x14ac:dyDescent="0.2">
      <c r="A30540" t="s">
        <v>48011</v>
      </c>
      <c r="B30540" t="s">
        <v>4397</v>
      </c>
      <c r="C30540" t="s">
        <v>23</v>
      </c>
      <c r="D30540" t="s">
        <v>4318</v>
      </c>
      <c r="E30540" t="s">
        <v>104</v>
      </c>
      <c r="F30540" s="2" t="str">
        <f>HYPERLINK("http://www.otzar.org/book.asp?603869","עבד נאמן")</f>
        <v>עבד נאמן</v>
      </c>
    </row>
    <row r="30541" spans="1:6" x14ac:dyDescent="0.2">
      <c r="A30541" t="s">
        <v>48011</v>
      </c>
      <c r="B30541" t="s">
        <v>48014</v>
      </c>
      <c r="C30541" t="s">
        <v>129</v>
      </c>
      <c r="D30541" t="s">
        <v>152</v>
      </c>
      <c r="E30541" t="s">
        <v>872</v>
      </c>
      <c r="F30541" s="2" t="str">
        <f>HYPERLINK("http://www.otzar.org/book.asp?156159","עבד נאמן")</f>
        <v>עבד נאמן</v>
      </c>
    </row>
    <row r="30542" spans="1:6" x14ac:dyDescent="0.2">
      <c r="A30542" t="s">
        <v>48015</v>
      </c>
      <c r="B30542" t="s">
        <v>48016</v>
      </c>
      <c r="C30542" t="s">
        <v>114</v>
      </c>
      <c r="D30542" t="s">
        <v>139</v>
      </c>
      <c r="E30542" t="s">
        <v>241</v>
      </c>
      <c r="F30542" s="2" t="str">
        <f>HYPERLINK("http://www.otzar.org/book.asp?168553","עבד פלא")</f>
        <v>עבד פלא</v>
      </c>
    </row>
    <row r="30543" spans="1:6" x14ac:dyDescent="0.2">
      <c r="A30543" t="s">
        <v>48017</v>
      </c>
      <c r="B30543" t="s">
        <v>48018</v>
      </c>
      <c r="C30543" t="s">
        <v>244</v>
      </c>
      <c r="D30543" t="s">
        <v>90</v>
      </c>
      <c r="E30543" t="s">
        <v>144</v>
      </c>
      <c r="F30543" s="2" t="str">
        <f>HYPERLINK("http://www.otzar.org/book.asp?199107","עבדא דמלכא")</f>
        <v>עבדא דמלכא</v>
      </c>
    </row>
    <row r="30544" spans="1:6" x14ac:dyDescent="0.2">
      <c r="A30544" t="s">
        <v>48019</v>
      </c>
      <c r="B30544" t="s">
        <v>4402</v>
      </c>
      <c r="C30544" t="s">
        <v>51</v>
      </c>
      <c r="D30544" t="s">
        <v>52</v>
      </c>
      <c r="E30544" t="s">
        <v>24</v>
      </c>
      <c r="F30544" s="2" t="str">
        <f>HYPERLINK("http://www.otzar.org/book.asp?189571","עבדו את ה' בשמחה - תפילה")</f>
        <v>עבדו את ה' בשמחה - תפילה</v>
      </c>
    </row>
    <row r="30545" spans="1:6" x14ac:dyDescent="0.2">
      <c r="A30545" t="s">
        <v>48020</v>
      </c>
      <c r="B30545" t="s">
        <v>22663</v>
      </c>
      <c r="C30545" t="s">
        <v>244</v>
      </c>
      <c r="D30545" t="s">
        <v>90</v>
      </c>
      <c r="E30545" t="s">
        <v>213</v>
      </c>
      <c r="F30545" s="2" t="str">
        <f>HYPERLINK("http://www.otzar.org/book.asp?625818","עבדו את ה' בשמחה")</f>
        <v>עבדו את ה' בשמחה</v>
      </c>
    </row>
    <row r="30546" spans="1:6" x14ac:dyDescent="0.2">
      <c r="A30546" t="s">
        <v>48021</v>
      </c>
      <c r="C30546" t="s">
        <v>366</v>
      </c>
      <c r="D30546" t="s">
        <v>90</v>
      </c>
      <c r="E30546" t="s">
        <v>241</v>
      </c>
      <c r="F30546" s="2" t="str">
        <f>HYPERLINK("http://www.otzar.org/book.asp?604926","עבדו את ה' בשמחה, ולא תתרו")</f>
        <v>עבדו את ה' בשמחה, ולא תתרו</v>
      </c>
    </row>
    <row r="30547" spans="1:6" x14ac:dyDescent="0.2">
      <c r="A30547" t="s">
        <v>48022</v>
      </c>
      <c r="B30547" t="s">
        <v>20636</v>
      </c>
      <c r="C30547" t="s">
        <v>383</v>
      </c>
      <c r="D30547" t="s">
        <v>1550</v>
      </c>
      <c r="E30547" t="s">
        <v>148</v>
      </c>
      <c r="F30547" s="2" t="str">
        <f>HYPERLINK("http://www.otzar.org/book.asp?63784","עבדי המלך")</f>
        <v>עבדי המלך</v>
      </c>
    </row>
    <row r="30548" spans="1:6" x14ac:dyDescent="0.2">
      <c r="A30548" t="s">
        <v>48023</v>
      </c>
      <c r="B30548" t="s">
        <v>48024</v>
      </c>
      <c r="C30548" t="s">
        <v>366</v>
      </c>
      <c r="D30548" t="s">
        <v>90</v>
      </c>
      <c r="E30548" t="s">
        <v>199</v>
      </c>
      <c r="F30548" s="2" t="str">
        <f>HYPERLINK("http://www.otzar.org/book.asp?608203","עבדי יעקב")</f>
        <v>עבדי יעקב</v>
      </c>
    </row>
    <row r="30549" spans="1:6" x14ac:dyDescent="0.2">
      <c r="A30549" t="s">
        <v>48025</v>
      </c>
      <c r="B30549" t="e">
        <f>- מיטניק, יצחק בן יוסף ישראל</f>
        <v>#NAME?</v>
      </c>
      <c r="C30549" t="s">
        <v>68</v>
      </c>
      <c r="D30549" t="s">
        <v>14</v>
      </c>
      <c r="E30549" t="s">
        <v>144</v>
      </c>
      <c r="F30549" s="2" t="str">
        <f>HYPERLINK("http://www.otzar.org/book.asp?166512","עבודה ברורה - 5 כר'")</f>
        <v>עבודה ברורה - 5 כר'</v>
      </c>
    </row>
    <row r="30550" spans="1:6" x14ac:dyDescent="0.2">
      <c r="A30550" t="s">
        <v>48026</v>
      </c>
      <c r="B30550" t="e">
        <f>- עטיה, אליהו בן מרדכי</f>
        <v>#NAME?</v>
      </c>
      <c r="C30550" t="s">
        <v>146</v>
      </c>
      <c r="D30550" t="s">
        <v>14</v>
      </c>
      <c r="E30550" t="s">
        <v>144</v>
      </c>
      <c r="F30550" s="2" t="str">
        <f>HYPERLINK("http://www.otzar.org/book.asp?150869","עבודה ברורה - ראש השנה - ג")</f>
        <v>עבודה ברורה - ראש השנה - ג</v>
      </c>
    </row>
    <row r="30551" spans="1:6" x14ac:dyDescent="0.2">
      <c r="A30551" t="s">
        <v>48027</v>
      </c>
      <c r="B30551" t="s">
        <v>48028</v>
      </c>
      <c r="C30551" t="s">
        <v>146</v>
      </c>
      <c r="D30551" t="s">
        <v>14</v>
      </c>
      <c r="E30551" t="s">
        <v>144</v>
      </c>
      <c r="F30551" s="2" t="str">
        <f>HYPERLINK("http://www.otzar.org/book.asp?166509","עבודה ברורה - הוריות")</f>
        <v>עבודה ברורה - הוריות</v>
      </c>
    </row>
    <row r="30552" spans="1:6" x14ac:dyDescent="0.2">
      <c r="A30552" t="s">
        <v>48029</v>
      </c>
      <c r="B30552" t="s">
        <v>48030</v>
      </c>
      <c r="C30552" t="s">
        <v>133</v>
      </c>
      <c r="D30552" t="s">
        <v>14</v>
      </c>
      <c r="E30552" t="s">
        <v>144</v>
      </c>
      <c r="F30552" s="2" t="str">
        <f>HYPERLINK("http://www.otzar.org/book.asp?179562","עבודה ברורה - 2 כר'")</f>
        <v>עבודה ברורה - 2 כר'</v>
      </c>
    </row>
    <row r="30553" spans="1:6" x14ac:dyDescent="0.2">
      <c r="A30553" t="s">
        <v>48031</v>
      </c>
      <c r="B30553" t="s">
        <v>48032</v>
      </c>
      <c r="C30553" t="s">
        <v>23</v>
      </c>
      <c r="D30553" t="s">
        <v>14</v>
      </c>
      <c r="E30553" t="s">
        <v>144</v>
      </c>
      <c r="F30553" s="2" t="str">
        <f>HYPERLINK("http://www.otzar.org/book.asp?613711","עבודה ברורה - 12 כר'")</f>
        <v>עבודה ברורה - 12 כר'</v>
      </c>
    </row>
    <row r="30554" spans="1:6" x14ac:dyDescent="0.2">
      <c r="A30554" t="s">
        <v>48033</v>
      </c>
      <c r="B30554" t="s">
        <v>17476</v>
      </c>
      <c r="C30554" t="s">
        <v>843</v>
      </c>
      <c r="D30554" t="s">
        <v>9</v>
      </c>
      <c r="E30554" t="s">
        <v>3915</v>
      </c>
      <c r="F30554" s="2" t="str">
        <f>HYPERLINK("http://www.otzar.org/book.asp?169719","עבודה ומורה דרך")</f>
        <v>עבודה ומורה דרך</v>
      </c>
    </row>
    <row r="30555" spans="1:6" x14ac:dyDescent="0.2">
      <c r="A30555" t="s">
        <v>48034</v>
      </c>
      <c r="B30555" t="s">
        <v>8442</v>
      </c>
      <c r="C30555" t="s">
        <v>151</v>
      </c>
      <c r="D30555" t="s">
        <v>52</v>
      </c>
      <c r="E30555" t="s">
        <v>158</v>
      </c>
      <c r="F30555" s="2" t="str">
        <f>HYPERLINK("http://www.otzar.org/book.asp?622052","עבודה שבלב")</f>
        <v>עבודה שבלב</v>
      </c>
    </row>
    <row r="30556" spans="1:6" x14ac:dyDescent="0.2">
      <c r="A30556" t="s">
        <v>48034</v>
      </c>
      <c r="B30556" t="s">
        <v>48035</v>
      </c>
      <c r="C30556">
        <v>1915</v>
      </c>
      <c r="E30556" t="s">
        <v>219</v>
      </c>
      <c r="F30556" s="2" t="str">
        <f>HYPERLINK("http://www.otzar.org/book.asp?626318","עבודה שבלב")</f>
        <v>עבודה שבלב</v>
      </c>
    </row>
    <row r="30557" spans="1:6" x14ac:dyDescent="0.2">
      <c r="A30557" t="s">
        <v>48036</v>
      </c>
      <c r="B30557" t="s">
        <v>48037</v>
      </c>
      <c r="C30557" t="s">
        <v>775</v>
      </c>
      <c r="D30557" t="s">
        <v>14</v>
      </c>
      <c r="E30557" t="s">
        <v>219</v>
      </c>
      <c r="F30557" s="2" t="str">
        <f>HYPERLINK("http://www.otzar.org/book.asp?151680","עבודה שבלב - יד גבריאל (סדור בכתב אשורית)")</f>
        <v>עבודה שבלב - יד גבריאל (סדור בכתב אשורית)</v>
      </c>
    </row>
    <row r="30558" spans="1:6" x14ac:dyDescent="0.2">
      <c r="A30558" t="s">
        <v>48038</v>
      </c>
      <c r="B30558" t="s">
        <v>48039</v>
      </c>
      <c r="C30558" t="s">
        <v>8375</v>
      </c>
      <c r="D30558" t="s">
        <v>1913</v>
      </c>
      <c r="E30558" t="s">
        <v>219</v>
      </c>
      <c r="F30558" s="2" t="str">
        <f>HYPERLINK("http://www.otzar.org/book.asp?146710","עבודה תמה - 2 כר'")</f>
        <v>עבודה תמה - 2 כר'</v>
      </c>
    </row>
    <row r="30559" spans="1:6" x14ac:dyDescent="0.2">
      <c r="A30559" t="s">
        <v>48040</v>
      </c>
      <c r="B30559" t="s">
        <v>373</v>
      </c>
      <c r="C30559" t="s">
        <v>752</v>
      </c>
      <c r="D30559" t="s">
        <v>42</v>
      </c>
      <c r="E30559" t="s">
        <v>733</v>
      </c>
      <c r="F30559" s="2" t="str">
        <f>HYPERLINK("http://www.otzar.org/book.asp?13352","עבודה תמה")</f>
        <v>עבודה תמה</v>
      </c>
    </row>
    <row r="30560" spans="1:6" x14ac:dyDescent="0.2">
      <c r="A30560" t="s">
        <v>48040</v>
      </c>
      <c r="B30560" t="s">
        <v>48040</v>
      </c>
      <c r="C30560" t="s">
        <v>2617</v>
      </c>
      <c r="D30560" t="s">
        <v>56</v>
      </c>
      <c r="E30560" t="s">
        <v>219</v>
      </c>
      <c r="F30560" s="2" t="str">
        <f>HYPERLINK("http://www.otzar.org/book.asp?20466","עבודה תמה")</f>
        <v>עבודה תמה</v>
      </c>
    </row>
    <row r="30561" spans="1:6" x14ac:dyDescent="0.2">
      <c r="A30561" t="s">
        <v>48040</v>
      </c>
      <c r="B30561" t="s">
        <v>48041</v>
      </c>
      <c r="C30561" t="s">
        <v>888</v>
      </c>
      <c r="D30561" t="s">
        <v>27</v>
      </c>
      <c r="E30561" t="s">
        <v>48042</v>
      </c>
      <c r="F30561" s="2" t="str">
        <f>HYPERLINK("http://www.otzar.org/book.asp?11615","עבודה תמה")</f>
        <v>עבודה תמה</v>
      </c>
    </row>
    <row r="30562" spans="1:6" x14ac:dyDescent="0.2">
      <c r="A30562" t="s">
        <v>48040</v>
      </c>
      <c r="B30562" t="s">
        <v>48043</v>
      </c>
      <c r="C30562" t="s">
        <v>23694</v>
      </c>
      <c r="D30562" t="s">
        <v>344</v>
      </c>
      <c r="F30562" s="2" t="str">
        <f>HYPERLINK("http://www.otzar.org/book.asp?152965","עבודה תמה")</f>
        <v>עבודה תמה</v>
      </c>
    </row>
    <row r="30563" spans="1:6" x14ac:dyDescent="0.2">
      <c r="A30563" t="s">
        <v>48044</v>
      </c>
      <c r="B30563" t="s">
        <v>1390</v>
      </c>
      <c r="C30563" t="s">
        <v>473</v>
      </c>
      <c r="D30563" t="s">
        <v>27</v>
      </c>
      <c r="E30563" t="s">
        <v>314</v>
      </c>
      <c r="F30563" s="2" t="str">
        <f>HYPERLINK("http://www.otzar.org/book.asp?12795","עבודה תמימה")</f>
        <v>עבודה תמימה</v>
      </c>
    </row>
    <row r="30564" spans="1:6" x14ac:dyDescent="0.2">
      <c r="A30564" t="s">
        <v>48045</v>
      </c>
      <c r="B30564" t="s">
        <v>48046</v>
      </c>
      <c r="C30564" t="s">
        <v>1096</v>
      </c>
      <c r="D30564" t="s">
        <v>283</v>
      </c>
      <c r="E30564" t="s">
        <v>2088</v>
      </c>
      <c r="F30564" s="2" t="str">
        <f>HYPERLINK("http://www.otzar.org/book.asp?16556","עבודת אהרן השלם")</f>
        <v>עבודת אהרן השלם</v>
      </c>
    </row>
    <row r="30565" spans="1:6" x14ac:dyDescent="0.2">
      <c r="A30565" t="s">
        <v>48047</v>
      </c>
      <c r="B30565" t="s">
        <v>48046</v>
      </c>
      <c r="C30565" t="s">
        <v>1706</v>
      </c>
      <c r="D30565" t="s">
        <v>283</v>
      </c>
      <c r="E30565" t="s">
        <v>325</v>
      </c>
      <c r="F30565" s="2" t="str">
        <f>HYPERLINK("http://www.otzar.org/book.asp?16555","עבודת אהרן")</f>
        <v>עבודת אהרן</v>
      </c>
    </row>
    <row r="30566" spans="1:6" x14ac:dyDescent="0.2">
      <c r="A30566" t="s">
        <v>48047</v>
      </c>
      <c r="B30566" t="s">
        <v>48048</v>
      </c>
      <c r="C30566" t="s">
        <v>843</v>
      </c>
      <c r="D30566" t="s">
        <v>412</v>
      </c>
      <c r="E30566" t="s">
        <v>674</v>
      </c>
      <c r="F30566" s="2" t="str">
        <f>HYPERLINK("http://www.otzar.org/book.asp?13728","עבודת אהרן")</f>
        <v>עבודת אהרן</v>
      </c>
    </row>
    <row r="30567" spans="1:6" x14ac:dyDescent="0.2">
      <c r="A30567" t="s">
        <v>48049</v>
      </c>
      <c r="B30567" t="s">
        <v>48050</v>
      </c>
      <c r="C30567" t="s">
        <v>313</v>
      </c>
      <c r="D30567" t="s">
        <v>52</v>
      </c>
      <c r="E30567" t="s">
        <v>140</v>
      </c>
      <c r="F30567" s="2" t="str">
        <f>HYPERLINK("http://www.otzar.org/book.asp?623280","עבודת אמת - ב")</f>
        <v>עבודת אמת - ב</v>
      </c>
    </row>
    <row r="30568" spans="1:6" x14ac:dyDescent="0.2">
      <c r="A30568" t="s">
        <v>48051</v>
      </c>
      <c r="B30568" t="s">
        <v>2820</v>
      </c>
      <c r="C30568" t="s">
        <v>767</v>
      </c>
      <c r="D30568" t="s">
        <v>52</v>
      </c>
      <c r="E30568" t="s">
        <v>15</v>
      </c>
      <c r="F30568" s="2" t="str">
        <f>HYPERLINK("http://www.otzar.org/book.asp?23304","עבודת אפרים - 2 כר'")</f>
        <v>עבודת אפרים - 2 כר'</v>
      </c>
    </row>
    <row r="30569" spans="1:6" x14ac:dyDescent="0.2">
      <c r="A30569" t="s">
        <v>48052</v>
      </c>
      <c r="B30569" t="s">
        <v>48053</v>
      </c>
      <c r="C30569" t="s">
        <v>492</v>
      </c>
      <c r="D30569" t="s">
        <v>283</v>
      </c>
      <c r="E30569" t="s">
        <v>714</v>
      </c>
      <c r="F30569" s="2" t="str">
        <f>HYPERLINK("http://www.otzar.org/book.asp?147161","עבודת בורא")</f>
        <v>עבודת בורא</v>
      </c>
    </row>
    <row r="30570" spans="1:6" x14ac:dyDescent="0.2">
      <c r="A30570" t="s">
        <v>48054</v>
      </c>
      <c r="B30570" t="s">
        <v>48055</v>
      </c>
      <c r="C30570" t="s">
        <v>151</v>
      </c>
      <c r="D30570" t="s">
        <v>11098</v>
      </c>
      <c r="E30570" t="s">
        <v>119</v>
      </c>
      <c r="F30570" s="2" t="str">
        <f>HYPERLINK("http://www.otzar.org/book.asp?610835","עבודת בנימין")</f>
        <v>עבודת בנימין</v>
      </c>
    </row>
    <row r="30571" spans="1:6" x14ac:dyDescent="0.2">
      <c r="A30571" t="s">
        <v>48056</v>
      </c>
      <c r="B30571" t="s">
        <v>18658</v>
      </c>
      <c r="C30571" t="s">
        <v>20</v>
      </c>
      <c r="D30571" t="s">
        <v>52</v>
      </c>
      <c r="E30571" t="s">
        <v>144</v>
      </c>
      <c r="F30571" s="2" t="str">
        <f>HYPERLINK("http://www.otzar.org/book.asp?62963","עבודת בצלאל")</f>
        <v>עבודת בצלאל</v>
      </c>
    </row>
    <row r="30572" spans="1:6" x14ac:dyDescent="0.2">
      <c r="A30572" t="s">
        <v>48057</v>
      </c>
      <c r="B30572" t="s">
        <v>48058</v>
      </c>
      <c r="C30572" t="s">
        <v>151</v>
      </c>
      <c r="D30572" t="s">
        <v>16390</v>
      </c>
      <c r="E30572" t="s">
        <v>144</v>
      </c>
      <c r="F30572" s="2" t="str">
        <f>HYPERLINK("http://www.otzar.org/book.asp?615127","עבודת דוד - 9 כר'")</f>
        <v>עבודת דוד - 9 כר'</v>
      </c>
    </row>
    <row r="30573" spans="1:6" x14ac:dyDescent="0.2">
      <c r="A30573" t="s">
        <v>48059</v>
      </c>
      <c r="B30573" t="s">
        <v>48060</v>
      </c>
      <c r="C30573" t="s">
        <v>503</v>
      </c>
      <c r="D30573" t="s">
        <v>592</v>
      </c>
      <c r="E30573" t="s">
        <v>158</v>
      </c>
      <c r="F30573" s="2" t="str">
        <f>HYPERLINK("http://www.otzar.org/book.asp?197012","עבודת ה'")</f>
        <v>עבודת ה'</v>
      </c>
    </row>
    <row r="30574" spans="1:6" x14ac:dyDescent="0.2">
      <c r="A30574" t="s">
        <v>48061</v>
      </c>
      <c r="B30574" t="s">
        <v>1402</v>
      </c>
      <c r="C30574" t="s">
        <v>17</v>
      </c>
      <c r="D30574" t="s">
        <v>52</v>
      </c>
      <c r="E30574" t="s">
        <v>158</v>
      </c>
      <c r="F30574" s="2" t="str">
        <f>HYPERLINK("http://www.otzar.org/book.asp?157882","עבודת האדם - פירוש על יונה בדרך הרמז ע""פ הגר""א")</f>
        <v>עבודת האדם - פירוש על יונה בדרך הרמז ע"פ הגר"א</v>
      </c>
    </row>
    <row r="30575" spans="1:6" x14ac:dyDescent="0.2">
      <c r="A30575" t="s">
        <v>48062</v>
      </c>
      <c r="B30575" t="s">
        <v>48063</v>
      </c>
      <c r="C30575" t="s">
        <v>2076</v>
      </c>
      <c r="D30575" t="s">
        <v>27</v>
      </c>
      <c r="E30575" t="s">
        <v>104</v>
      </c>
      <c r="F30575" s="2" t="str">
        <f>HYPERLINK("http://www.otzar.org/book.asp?182098","עבודת האדמה")</f>
        <v>עבודת האדמה</v>
      </c>
    </row>
    <row r="30576" spans="1:6" x14ac:dyDescent="0.2">
      <c r="A30576" t="s">
        <v>48064</v>
      </c>
      <c r="B30576" t="s">
        <v>1393</v>
      </c>
      <c r="C30576" t="s">
        <v>785</v>
      </c>
      <c r="D30576" t="s">
        <v>14</v>
      </c>
      <c r="E30576" t="s">
        <v>703</v>
      </c>
      <c r="F30576" s="2" t="str">
        <f>HYPERLINK("http://www.otzar.org/book.asp?167938","עבודת הבורא - 3 כר'")</f>
        <v>עבודת הבורא - 3 כר'</v>
      </c>
    </row>
    <row r="30577" spans="1:6" x14ac:dyDescent="0.2">
      <c r="A30577" t="s">
        <v>48065</v>
      </c>
      <c r="B30577" t="s">
        <v>48053</v>
      </c>
      <c r="C30577" t="s">
        <v>492</v>
      </c>
      <c r="D30577" t="s">
        <v>283</v>
      </c>
      <c r="E30577" t="s">
        <v>314</v>
      </c>
      <c r="F30577" s="2" t="str">
        <f>HYPERLINK("http://www.otzar.org/book.asp?11747","עבודת הבורא")</f>
        <v>עבודת הבורא</v>
      </c>
    </row>
    <row r="30578" spans="1:6" x14ac:dyDescent="0.2">
      <c r="A30578" t="s">
        <v>48066</v>
      </c>
      <c r="B30578" t="s">
        <v>48067</v>
      </c>
      <c r="C30578" t="s">
        <v>313</v>
      </c>
      <c r="D30578" t="s">
        <v>412</v>
      </c>
      <c r="E30578" t="s">
        <v>474</v>
      </c>
      <c r="F30578" s="2" t="str">
        <f>HYPERLINK("http://www.otzar.org/book.asp?171521","עבודת הגרשוני &lt;מהדורה חדשה&gt; - 2 כר'")</f>
        <v>עבודת הגרשוני &lt;מהדורה חדשה&gt; - 2 כר'</v>
      </c>
    </row>
    <row r="30579" spans="1:6" x14ac:dyDescent="0.2">
      <c r="A30579" t="s">
        <v>48068</v>
      </c>
      <c r="B30579" t="s">
        <v>48067</v>
      </c>
      <c r="C30579" t="s">
        <v>2076</v>
      </c>
      <c r="D30579" t="s">
        <v>6238</v>
      </c>
      <c r="E30579" t="s">
        <v>38</v>
      </c>
      <c r="F30579" s="2" t="str">
        <f>HYPERLINK("http://www.otzar.org/book.asp?151336","עבודת הגרשוני תנינא")</f>
        <v>עבודת הגרשוני תנינא</v>
      </c>
    </row>
    <row r="30580" spans="1:6" x14ac:dyDescent="0.2">
      <c r="A30580" t="s">
        <v>48069</v>
      </c>
      <c r="B30580" t="s">
        <v>48067</v>
      </c>
      <c r="C30580" t="s">
        <v>2617</v>
      </c>
      <c r="D30580" t="s">
        <v>60</v>
      </c>
      <c r="E30580" t="s">
        <v>158</v>
      </c>
      <c r="F30580" s="2" t="str">
        <f>HYPERLINK("http://www.otzar.org/book.asp?63919","עבודת הגרשוני")</f>
        <v>עבודת הגרשוני</v>
      </c>
    </row>
    <row r="30581" spans="1:6" x14ac:dyDescent="0.2">
      <c r="A30581" t="s">
        <v>48070</v>
      </c>
      <c r="B30581" t="s">
        <v>25346</v>
      </c>
      <c r="C30581" t="s">
        <v>1937</v>
      </c>
      <c r="D30581" t="s">
        <v>322</v>
      </c>
      <c r="E30581" t="s">
        <v>154</v>
      </c>
      <c r="F30581" s="2" t="str">
        <f>HYPERLINK("http://www.otzar.org/book.asp?101515","עבודת הגרשוני - 2 כר'")</f>
        <v>עבודת הגרשוני - 2 כר'</v>
      </c>
    </row>
    <row r="30582" spans="1:6" x14ac:dyDescent="0.2">
      <c r="A30582" t="s">
        <v>48071</v>
      </c>
      <c r="B30582" t="s">
        <v>46064</v>
      </c>
      <c r="C30582" t="s">
        <v>767</v>
      </c>
      <c r="D30582" t="s">
        <v>52</v>
      </c>
      <c r="E30582" t="s">
        <v>158</v>
      </c>
      <c r="F30582" s="2" t="str">
        <f>HYPERLINK("http://www.otzar.org/book.asp?164264","עבודת הגרשוני - 4 כר'")</f>
        <v>עבודת הגרשוני - 4 כר'</v>
      </c>
    </row>
    <row r="30583" spans="1:6" x14ac:dyDescent="0.2">
      <c r="A30583" t="s">
        <v>48069</v>
      </c>
      <c r="B30583" t="s">
        <v>48072</v>
      </c>
      <c r="C30583" t="s">
        <v>185</v>
      </c>
      <c r="D30583" t="s">
        <v>90</v>
      </c>
      <c r="E30583" t="s">
        <v>202</v>
      </c>
      <c r="F30583" s="2" t="str">
        <f>HYPERLINK("http://www.otzar.org/book.asp?629900","עבודת הגרשוני")</f>
        <v>עבודת הגרשוני</v>
      </c>
    </row>
    <row r="30584" spans="1:6" x14ac:dyDescent="0.2">
      <c r="A30584" t="s">
        <v>48073</v>
      </c>
      <c r="B30584" t="s">
        <v>4093</v>
      </c>
      <c r="C30584" t="s">
        <v>189</v>
      </c>
      <c r="D30584" t="s">
        <v>14</v>
      </c>
      <c r="E30584" t="s">
        <v>144</v>
      </c>
      <c r="F30584" s="2" t="str">
        <f>HYPERLINK("http://www.otzar.org/book.asp?50422","עבודת הזבח - 4 כר'")</f>
        <v>עבודת הזבח - 4 כר'</v>
      </c>
    </row>
    <row r="30585" spans="1:6" x14ac:dyDescent="0.2">
      <c r="A30585" t="s">
        <v>48074</v>
      </c>
      <c r="B30585" t="s">
        <v>47720</v>
      </c>
      <c r="C30585" t="s">
        <v>244</v>
      </c>
      <c r="D30585" t="s">
        <v>14</v>
      </c>
      <c r="E30585" t="s">
        <v>246</v>
      </c>
      <c r="F30585" s="2" t="str">
        <f>HYPERLINK("http://www.otzar.org/book.asp?603299","עבודת החיים")</f>
        <v>עבודת החיים</v>
      </c>
    </row>
    <row r="30586" spans="1:6" x14ac:dyDescent="0.2">
      <c r="A30586" t="s">
        <v>48075</v>
      </c>
      <c r="B30586" t="s">
        <v>9551</v>
      </c>
      <c r="C30586" t="s">
        <v>13</v>
      </c>
      <c r="D30586" t="s">
        <v>412</v>
      </c>
      <c r="E30586" t="s">
        <v>144</v>
      </c>
      <c r="F30586" s="2" t="str">
        <f>HYPERLINK("http://www.otzar.org/book.asp?603574","עבודת היום - יומא פרק יום הכיפורים")</f>
        <v>עבודת היום - יומא פרק יום הכיפורים</v>
      </c>
    </row>
    <row r="30587" spans="1:6" x14ac:dyDescent="0.2">
      <c r="A30587" t="s">
        <v>48076</v>
      </c>
      <c r="B30587" t="s">
        <v>48077</v>
      </c>
      <c r="C30587" t="s">
        <v>1418</v>
      </c>
      <c r="D30587" t="s">
        <v>267</v>
      </c>
      <c r="E30587" t="s">
        <v>10</v>
      </c>
      <c r="F30587" s="2" t="str">
        <f>HYPERLINK("http://www.otzar.org/book.asp?158314","עבודת היום")</f>
        <v>עבודת היום</v>
      </c>
    </row>
    <row r="30588" spans="1:6" x14ac:dyDescent="0.2">
      <c r="A30588" t="s">
        <v>48078</v>
      </c>
      <c r="B30588" t="s">
        <v>14797</v>
      </c>
      <c r="C30588" t="s">
        <v>244</v>
      </c>
      <c r="D30588" t="s">
        <v>5172</v>
      </c>
      <c r="F30588" s="2" t="str">
        <f>HYPERLINK("http://www.otzar.org/book.asp?600157","עבודת הימים הנוראים")</f>
        <v>עבודת הימים הנוראים</v>
      </c>
    </row>
    <row r="30589" spans="1:6" x14ac:dyDescent="0.2">
      <c r="A30589" t="s">
        <v>48079</v>
      </c>
      <c r="B30589" t="s">
        <v>9457</v>
      </c>
      <c r="C30589" t="s">
        <v>129</v>
      </c>
      <c r="D30589" t="s">
        <v>6283</v>
      </c>
      <c r="E30589" t="s">
        <v>246</v>
      </c>
      <c r="F30589" s="2" t="str">
        <f>HYPERLINK("http://www.otzar.org/book.asp?153704","עבודת הכהן - סדר עבודת יום הכיפורים")</f>
        <v>עבודת הכהן - סדר עבודת יום הכיפורים</v>
      </c>
    </row>
    <row r="30590" spans="1:6" x14ac:dyDescent="0.2">
      <c r="A30590" t="s">
        <v>48080</v>
      </c>
      <c r="B30590" t="s">
        <v>48081</v>
      </c>
      <c r="C30590" t="s">
        <v>48082</v>
      </c>
      <c r="D30590" t="s">
        <v>1654</v>
      </c>
      <c r="E30590" t="s">
        <v>104</v>
      </c>
      <c r="F30590" s="2" t="str">
        <f>HYPERLINK("http://www.otzar.org/book.asp?619374","עבודת הכהן")</f>
        <v>עבודת הכהן</v>
      </c>
    </row>
    <row r="30591" spans="1:6" x14ac:dyDescent="0.2">
      <c r="A30591" t="s">
        <v>48080</v>
      </c>
      <c r="B30591" t="s">
        <v>22527</v>
      </c>
      <c r="C30591" t="s">
        <v>1047</v>
      </c>
      <c r="D30591" t="s">
        <v>283</v>
      </c>
      <c r="E30591" t="s">
        <v>11803</v>
      </c>
      <c r="F30591" s="2" t="str">
        <f>HYPERLINK("http://www.otzar.org/book.asp?6625","עבודת הכהן")</f>
        <v>עבודת הכהן</v>
      </c>
    </row>
    <row r="30592" spans="1:6" x14ac:dyDescent="0.2">
      <c r="A30592" t="s">
        <v>48083</v>
      </c>
      <c r="B30592" t="s">
        <v>3880</v>
      </c>
      <c r="C30592" t="s">
        <v>20</v>
      </c>
      <c r="D30592" t="s">
        <v>14</v>
      </c>
      <c r="E30592" t="s">
        <v>246</v>
      </c>
      <c r="F30592" s="2" t="str">
        <f>HYPERLINK("http://www.otzar.org/book.asp?6119","עבודת הכנת הלב לימי הפסח &lt;אור השנים&gt;")</f>
        <v>עבודת הכנת הלב לימי הפסח &lt;אור השנים&gt;</v>
      </c>
    </row>
    <row r="30593" spans="1:6" x14ac:dyDescent="0.2">
      <c r="A30593" t="s">
        <v>48084</v>
      </c>
      <c r="B30593" t="s">
        <v>6875</v>
      </c>
      <c r="C30593" t="s">
        <v>356</v>
      </c>
      <c r="D30593" t="s">
        <v>52</v>
      </c>
      <c r="E30593" t="s">
        <v>241</v>
      </c>
      <c r="F30593" s="2" t="str">
        <f>HYPERLINK("http://www.otzar.org/book.asp?618458","עבודת הלב - 2 כר'")</f>
        <v>עבודת הלב - 2 כר'</v>
      </c>
    </row>
    <row r="30594" spans="1:6" x14ac:dyDescent="0.2">
      <c r="A30594" t="s">
        <v>48085</v>
      </c>
      <c r="B30594" t="s">
        <v>107</v>
      </c>
      <c r="C30594" t="s">
        <v>1268</v>
      </c>
      <c r="D30594" t="s">
        <v>14</v>
      </c>
      <c r="E30594" t="s">
        <v>3902</v>
      </c>
      <c r="F30594" s="2" t="str">
        <f>HYPERLINK("http://www.otzar.org/book.asp?6360","עבודת הלב")</f>
        <v>עבודת הלב</v>
      </c>
    </row>
    <row r="30595" spans="1:6" x14ac:dyDescent="0.2">
      <c r="A30595" t="s">
        <v>48086</v>
      </c>
      <c r="B30595" t="s">
        <v>48087</v>
      </c>
      <c r="C30595" t="s">
        <v>87</v>
      </c>
      <c r="D30595" t="s">
        <v>412</v>
      </c>
      <c r="E30595" t="s">
        <v>158</v>
      </c>
      <c r="F30595" s="2" t="str">
        <f>HYPERLINK("http://www.otzar.org/book.asp?25187","עבודת הלוי")</f>
        <v>עבודת הלוי</v>
      </c>
    </row>
    <row r="30596" spans="1:6" x14ac:dyDescent="0.2">
      <c r="A30596" t="s">
        <v>48086</v>
      </c>
      <c r="B30596" t="s">
        <v>9457</v>
      </c>
      <c r="C30596" t="s">
        <v>332</v>
      </c>
      <c r="D30596" t="s">
        <v>52</v>
      </c>
      <c r="E30596" t="s">
        <v>424</v>
      </c>
      <c r="F30596" s="2" t="str">
        <f>HYPERLINK("http://www.otzar.org/book.asp?153699","עבודת הלוי")</f>
        <v>עבודת הלוי</v>
      </c>
    </row>
    <row r="30597" spans="1:6" x14ac:dyDescent="0.2">
      <c r="A30597" t="s">
        <v>48086</v>
      </c>
      <c r="B30597" t="s">
        <v>9891</v>
      </c>
      <c r="C30597" t="s">
        <v>270</v>
      </c>
      <c r="D30597" t="s">
        <v>5258</v>
      </c>
      <c r="E30597" t="s">
        <v>158</v>
      </c>
      <c r="F30597" s="2" t="str">
        <f>HYPERLINK("http://www.otzar.org/book.asp?25188","עבודת הלוי")</f>
        <v>עבודת הלוי</v>
      </c>
    </row>
    <row r="30598" spans="1:6" x14ac:dyDescent="0.2">
      <c r="A30598" t="s">
        <v>48086</v>
      </c>
      <c r="B30598" t="s">
        <v>48088</v>
      </c>
      <c r="C30598" t="s">
        <v>581</v>
      </c>
      <c r="D30598" t="s">
        <v>27</v>
      </c>
      <c r="E30598" t="s">
        <v>144</v>
      </c>
      <c r="F30598" s="2" t="str">
        <f>HYPERLINK("http://www.otzar.org/book.asp?25505","עבודת הלוי")</f>
        <v>עבודת הלוי</v>
      </c>
    </row>
    <row r="30599" spans="1:6" x14ac:dyDescent="0.2">
      <c r="A30599" t="s">
        <v>48086</v>
      </c>
      <c r="B30599" t="s">
        <v>48089</v>
      </c>
      <c r="C30599" t="s">
        <v>176</v>
      </c>
      <c r="D30599" t="s">
        <v>14</v>
      </c>
      <c r="E30599" t="s">
        <v>144</v>
      </c>
      <c r="F30599" s="2" t="str">
        <f>HYPERLINK("http://www.otzar.org/book.asp?84302","עבודת הלוי")</f>
        <v>עבודת הלוי</v>
      </c>
    </row>
    <row r="30600" spans="1:6" x14ac:dyDescent="0.2">
      <c r="A30600" t="s">
        <v>48090</v>
      </c>
      <c r="B30600" t="s">
        <v>36361</v>
      </c>
      <c r="C30600" t="s">
        <v>330</v>
      </c>
      <c r="D30600" t="s">
        <v>49</v>
      </c>
      <c r="E30600" t="s">
        <v>15</v>
      </c>
      <c r="F30600" s="2" t="str">
        <f>HYPERLINK("http://www.otzar.org/book.asp?145456","עבודת הלוי - 2 כר'")</f>
        <v>עבודת הלוי - 2 כר'</v>
      </c>
    </row>
    <row r="30601" spans="1:6" x14ac:dyDescent="0.2">
      <c r="A30601" t="s">
        <v>48091</v>
      </c>
      <c r="B30601" t="s">
        <v>48092</v>
      </c>
      <c r="C30601" t="s">
        <v>908</v>
      </c>
      <c r="D30601" t="s">
        <v>947</v>
      </c>
      <c r="E30601" t="s">
        <v>920</v>
      </c>
      <c r="F30601" s="2" t="str">
        <f>HYPERLINK("http://www.otzar.org/book.asp?5537","עבודת הלוים")</f>
        <v>עבודת הלוים</v>
      </c>
    </row>
    <row r="30602" spans="1:6" x14ac:dyDescent="0.2">
      <c r="A30602" t="s">
        <v>48091</v>
      </c>
      <c r="B30602" t="s">
        <v>9457</v>
      </c>
      <c r="C30602" t="s">
        <v>244</v>
      </c>
      <c r="D30602" t="s">
        <v>90</v>
      </c>
      <c r="F30602" s="2" t="str">
        <f>HYPERLINK("http://www.otzar.org/book.asp?600113","עבודת הלוים")</f>
        <v>עבודת הלוים</v>
      </c>
    </row>
    <row r="30603" spans="1:6" x14ac:dyDescent="0.2">
      <c r="A30603" t="s">
        <v>48091</v>
      </c>
      <c r="B30603" t="s">
        <v>48093</v>
      </c>
      <c r="C30603" t="s">
        <v>547</v>
      </c>
      <c r="D30603" t="s">
        <v>1117</v>
      </c>
      <c r="E30603" t="s">
        <v>158</v>
      </c>
      <c r="F30603" s="2" t="str">
        <f>HYPERLINK("http://www.otzar.org/book.asp?102925","עבודת הלוים")</f>
        <v>עבודת הלוים</v>
      </c>
    </row>
    <row r="30604" spans="1:6" x14ac:dyDescent="0.2">
      <c r="A30604" t="s">
        <v>48091</v>
      </c>
      <c r="B30604" t="s">
        <v>25688</v>
      </c>
      <c r="C30604" t="s">
        <v>594</v>
      </c>
      <c r="D30604" t="s">
        <v>322</v>
      </c>
      <c r="E30604" t="s">
        <v>144</v>
      </c>
      <c r="F30604" s="2" t="str">
        <f>HYPERLINK("http://www.otzar.org/book.asp?11638","עבודת הלוים")</f>
        <v>עבודת הלוים</v>
      </c>
    </row>
    <row r="30605" spans="1:6" x14ac:dyDescent="0.2">
      <c r="A30605" t="s">
        <v>48094</v>
      </c>
      <c r="B30605" t="s">
        <v>48095</v>
      </c>
      <c r="C30605" t="s">
        <v>71</v>
      </c>
      <c r="D30605" t="s">
        <v>14</v>
      </c>
      <c r="E30605" t="s">
        <v>463</v>
      </c>
      <c r="F30605" s="2" t="str">
        <f>HYPERLINK("http://www.otzar.org/book.asp?606038","עבודת הלוים, אור הגנוז")</f>
        <v>עבודת הלוים, אור הגנוז</v>
      </c>
    </row>
    <row r="30606" spans="1:6" x14ac:dyDescent="0.2">
      <c r="A30606" t="s">
        <v>48096</v>
      </c>
      <c r="B30606" t="s">
        <v>48097</v>
      </c>
      <c r="C30606" t="s">
        <v>189</v>
      </c>
      <c r="D30606" t="s">
        <v>14</v>
      </c>
      <c r="E30606" t="s">
        <v>241</v>
      </c>
      <c r="F30606" s="2" t="str">
        <f>HYPERLINK("http://www.otzar.org/book.asp?23406","עבודת המדות")</f>
        <v>עבודת המדות</v>
      </c>
    </row>
    <row r="30607" spans="1:6" x14ac:dyDescent="0.2">
      <c r="A30607" t="s">
        <v>48098</v>
      </c>
      <c r="B30607" t="s">
        <v>34167</v>
      </c>
      <c r="C30607" t="s">
        <v>244</v>
      </c>
      <c r="D30607" t="s">
        <v>21</v>
      </c>
      <c r="E30607" t="s">
        <v>399</v>
      </c>
      <c r="F30607" s="2" t="str">
        <f>HYPERLINK("http://www.otzar.org/book.asp?601489","עבודת המלך על סידור הרש""ש")</f>
        <v>עבודת המלך על סידור הרש"ש</v>
      </c>
    </row>
    <row r="30608" spans="1:6" x14ac:dyDescent="0.2">
      <c r="A30608" t="s">
        <v>48099</v>
      </c>
      <c r="B30608" t="s">
        <v>48100</v>
      </c>
      <c r="C30608" t="s">
        <v>466</v>
      </c>
      <c r="D30608" t="s">
        <v>52</v>
      </c>
      <c r="E30608" t="s">
        <v>140</v>
      </c>
      <c r="F30608" s="2" t="str">
        <f>HYPERLINK("http://www.otzar.org/book.asp?163459","עבודת המלך")</f>
        <v>עבודת המלך</v>
      </c>
    </row>
    <row r="30609" spans="1:6" x14ac:dyDescent="0.2">
      <c r="A30609" t="s">
        <v>48099</v>
      </c>
      <c r="B30609" t="s">
        <v>48101</v>
      </c>
      <c r="C30609" t="s">
        <v>4059</v>
      </c>
      <c r="D30609" t="s">
        <v>60</v>
      </c>
      <c r="E30609" t="s">
        <v>467</v>
      </c>
      <c r="F30609" s="2" t="str">
        <f>HYPERLINK("http://www.otzar.org/book.asp?25189","עבודת המלך")</f>
        <v>עבודת המלך</v>
      </c>
    </row>
    <row r="30610" spans="1:6" x14ac:dyDescent="0.2">
      <c r="A30610" t="s">
        <v>48099</v>
      </c>
      <c r="B30610" t="s">
        <v>7509</v>
      </c>
      <c r="C30610" t="s">
        <v>1535</v>
      </c>
      <c r="D30610" t="s">
        <v>56</v>
      </c>
      <c r="E30610" t="s">
        <v>15</v>
      </c>
      <c r="F30610" s="2" t="str">
        <f>HYPERLINK("http://www.otzar.org/book.asp?8939","עבודת המלך")</f>
        <v>עבודת המלך</v>
      </c>
    </row>
    <row r="30611" spans="1:6" x14ac:dyDescent="0.2">
      <c r="A30611" t="s">
        <v>48102</v>
      </c>
      <c r="B30611" t="s">
        <v>7346</v>
      </c>
      <c r="C30611" t="s">
        <v>103</v>
      </c>
      <c r="D30611" t="s">
        <v>152</v>
      </c>
      <c r="E30611" t="s">
        <v>144</v>
      </c>
      <c r="F30611" s="2" t="str">
        <f>HYPERLINK("http://www.otzar.org/book.asp?50333","עבודת הפסח")</f>
        <v>עבודת הפסח</v>
      </c>
    </row>
    <row r="30612" spans="1:6" x14ac:dyDescent="0.2">
      <c r="A30612" t="s">
        <v>48103</v>
      </c>
      <c r="B30612" t="s">
        <v>1308</v>
      </c>
      <c r="C30612" t="s">
        <v>15405</v>
      </c>
      <c r="D30612" t="s">
        <v>14</v>
      </c>
      <c r="E30612" t="s">
        <v>15</v>
      </c>
      <c r="F30612" s="2" t="str">
        <f>HYPERLINK("http://www.otzar.org/book.asp?618034","עבודת הקדש - לדוד אמת")</f>
        <v>עבודת הקדש - לדוד אמת</v>
      </c>
    </row>
    <row r="30613" spans="1:6" x14ac:dyDescent="0.2">
      <c r="A30613" t="s">
        <v>48104</v>
      </c>
      <c r="B30613" t="s">
        <v>24561</v>
      </c>
      <c r="C30613" t="s">
        <v>1811</v>
      </c>
      <c r="D30613" t="s">
        <v>52</v>
      </c>
      <c r="E30613" t="s">
        <v>15</v>
      </c>
      <c r="F30613" s="2" t="str">
        <f>HYPERLINK("http://www.otzar.org/book.asp?104009","עבודת הקדש - 2 כר'")</f>
        <v>עבודת הקדש - 2 כר'</v>
      </c>
    </row>
    <row r="30614" spans="1:6" x14ac:dyDescent="0.2">
      <c r="A30614" t="s">
        <v>48105</v>
      </c>
      <c r="B30614" t="s">
        <v>24561</v>
      </c>
      <c r="C30614" t="s">
        <v>624</v>
      </c>
      <c r="D30614" t="s">
        <v>6283</v>
      </c>
      <c r="E30614" t="s">
        <v>10</v>
      </c>
      <c r="F30614" s="2" t="str">
        <f>HYPERLINK("http://www.otzar.org/book.asp?16523","עבודת הקודש  &lt;נתיבות הבית&gt;- א")</f>
        <v>עבודת הקודש  &lt;נתיבות הבית&gt;- א</v>
      </c>
    </row>
    <row r="30615" spans="1:6" x14ac:dyDescent="0.2">
      <c r="A30615" t="s">
        <v>48106</v>
      </c>
      <c r="B30615" t="s">
        <v>16343</v>
      </c>
      <c r="C30615" t="s">
        <v>68</v>
      </c>
      <c r="D30615" t="s">
        <v>14</v>
      </c>
      <c r="E30615" t="s">
        <v>241</v>
      </c>
      <c r="F30615" s="2" t="str">
        <f>HYPERLINK("http://www.otzar.org/book.asp?170464","עבודת הקודש &lt;מהדורה חדשה&gt;")</f>
        <v>עבודת הקודש &lt;מהדורה חדשה&gt;</v>
      </c>
    </row>
    <row r="30616" spans="1:6" x14ac:dyDescent="0.2">
      <c r="A30616" t="s">
        <v>48107</v>
      </c>
      <c r="B30616" t="s">
        <v>1308</v>
      </c>
      <c r="C30616" t="s">
        <v>2543</v>
      </c>
      <c r="D30616" t="s">
        <v>56</v>
      </c>
      <c r="E30616" t="s">
        <v>28</v>
      </c>
      <c r="F30616" s="2" t="str">
        <f>HYPERLINK("http://www.otzar.org/book.asp?102083","עבודת הקודש &lt;שערי הקודש&gt;")</f>
        <v>עבודת הקודש &lt;שערי הקודש&gt;</v>
      </c>
    </row>
    <row r="30617" spans="1:6" x14ac:dyDescent="0.2">
      <c r="A30617" t="s">
        <v>48108</v>
      </c>
      <c r="B30617" t="s">
        <v>1308</v>
      </c>
      <c r="C30617" t="s">
        <v>553</v>
      </c>
      <c r="D30617" t="s">
        <v>14</v>
      </c>
      <c r="E30617" t="s">
        <v>15</v>
      </c>
      <c r="F30617" s="2" t="str">
        <f>HYPERLINK("http://www.otzar.org/book.asp?83853","עבודת הקודש &lt;שערי קדושה, אצבע קטנה&gt; - 2 כר'")</f>
        <v>עבודת הקודש &lt;שערי קדושה, אצבע קטנה&gt; - 2 כר'</v>
      </c>
    </row>
    <row r="30618" spans="1:6" x14ac:dyDescent="0.2">
      <c r="A30618" t="s">
        <v>48109</v>
      </c>
      <c r="B30618" t="s">
        <v>24561</v>
      </c>
      <c r="C30618" t="s">
        <v>624</v>
      </c>
      <c r="D30618" t="s">
        <v>6283</v>
      </c>
      <c r="F30618" s="2" t="str">
        <f>HYPERLINK("http://www.otzar.org/book.asp?156700","עבודת הקודש &lt;נתיבות הבית&gt; - ב")</f>
        <v>עבודת הקודש &lt;נתיבות הבית&gt; - ב</v>
      </c>
    </row>
    <row r="30619" spans="1:6" x14ac:dyDescent="0.2">
      <c r="A30619" t="s">
        <v>48110</v>
      </c>
      <c r="B30619" t="s">
        <v>24561</v>
      </c>
      <c r="C30619" t="s">
        <v>1135</v>
      </c>
      <c r="D30619" t="s">
        <v>1516</v>
      </c>
      <c r="E30619" t="s">
        <v>803</v>
      </c>
      <c r="F30619" s="2" t="str">
        <f>HYPERLINK("http://www.otzar.org/book.asp?150025","עבודת הקודש &lt;פורת יוסף&gt;")</f>
        <v>עבודת הקודש &lt;פורת יוסף&gt;</v>
      </c>
    </row>
    <row r="30620" spans="1:6" x14ac:dyDescent="0.2">
      <c r="A30620" t="s">
        <v>48111</v>
      </c>
      <c r="B30620" t="s">
        <v>1308</v>
      </c>
      <c r="C30620" t="s">
        <v>5721</v>
      </c>
      <c r="D30620" t="s">
        <v>5258</v>
      </c>
      <c r="F30620" s="2" t="str">
        <f>HYPERLINK("http://www.otzar.org/book.asp?152963","עבודת הקודש החדש - 2 כר'")</f>
        <v>עבודת הקודש החדש - 2 כר'</v>
      </c>
    </row>
    <row r="30621" spans="1:6" x14ac:dyDescent="0.2">
      <c r="A30621" t="s">
        <v>48112</v>
      </c>
      <c r="B30621" t="s">
        <v>16343</v>
      </c>
      <c r="C30621" t="s">
        <v>45437</v>
      </c>
      <c r="D30621" t="s">
        <v>283</v>
      </c>
      <c r="E30621" t="s">
        <v>399</v>
      </c>
      <c r="F30621" s="2" t="str">
        <f>HYPERLINK("http://www.otzar.org/book.asp?5294","עבודת הקודש - 2 כר'")</f>
        <v>עבודת הקודש - 2 כר'</v>
      </c>
    </row>
    <row r="30622" spans="1:6" x14ac:dyDescent="0.2">
      <c r="A30622" t="s">
        <v>48113</v>
      </c>
      <c r="B30622" t="s">
        <v>16345</v>
      </c>
      <c r="C30622" t="s">
        <v>48114</v>
      </c>
      <c r="D30622" t="s">
        <v>2038</v>
      </c>
      <c r="E30622" t="s">
        <v>241</v>
      </c>
      <c r="F30622" s="2" t="str">
        <f>HYPERLINK("http://www.otzar.org/book.asp?191437","עבודת הקודש - א")</f>
        <v>עבודת הקודש - א</v>
      </c>
    </row>
    <row r="30623" spans="1:6" x14ac:dyDescent="0.2">
      <c r="A30623" t="s">
        <v>48115</v>
      </c>
      <c r="B30623" t="s">
        <v>1308</v>
      </c>
      <c r="C30623" t="s">
        <v>26</v>
      </c>
      <c r="D30623" t="s">
        <v>14</v>
      </c>
      <c r="E30623" t="s">
        <v>7486</v>
      </c>
      <c r="F30623" s="2" t="str">
        <f>HYPERLINK("http://www.otzar.org/book.asp?13478","עבודת הקודש - 7 כר'")</f>
        <v>עבודת הקודש - 7 כר'</v>
      </c>
    </row>
    <row r="30624" spans="1:6" x14ac:dyDescent="0.2">
      <c r="A30624" t="s">
        <v>48116</v>
      </c>
      <c r="B30624" t="s">
        <v>24561</v>
      </c>
      <c r="C30624" t="s">
        <v>1124</v>
      </c>
      <c r="D30624" t="s">
        <v>307</v>
      </c>
      <c r="E30624" t="s">
        <v>15</v>
      </c>
      <c r="F30624" s="2" t="str">
        <f>HYPERLINK("http://www.otzar.org/book.asp?12404","עבודת הקודש - 4 כר'")</f>
        <v>עבודת הקודש - 4 כר'</v>
      </c>
    </row>
    <row r="30625" spans="1:6" x14ac:dyDescent="0.2">
      <c r="A30625" t="s">
        <v>48117</v>
      </c>
      <c r="B30625" t="s">
        <v>4211</v>
      </c>
      <c r="C30625" t="s">
        <v>133</v>
      </c>
      <c r="D30625" t="s">
        <v>14</v>
      </c>
      <c r="E30625" t="s">
        <v>158</v>
      </c>
      <c r="F30625" s="2" t="str">
        <f>HYPERLINK("http://www.otzar.org/book.asp?615202","עבודת הקודש - ויקרא")</f>
        <v>עבודת הקודש - ויקרא</v>
      </c>
    </row>
    <row r="30626" spans="1:6" x14ac:dyDescent="0.2">
      <c r="A30626" t="s">
        <v>48118</v>
      </c>
      <c r="B30626" t="s">
        <v>22791</v>
      </c>
      <c r="C30626" t="s">
        <v>224</v>
      </c>
      <c r="D30626" t="s">
        <v>2009</v>
      </c>
      <c r="E30626" t="s">
        <v>24</v>
      </c>
      <c r="F30626" s="2" t="str">
        <f>HYPERLINK("http://www.otzar.org/book.asp?1006","עבודת הקודש")</f>
        <v>עבודת הקודש</v>
      </c>
    </row>
    <row r="30627" spans="1:6" x14ac:dyDescent="0.2">
      <c r="A30627" t="s">
        <v>48119</v>
      </c>
      <c r="B30627" t="s">
        <v>23620</v>
      </c>
      <c r="C30627" t="s">
        <v>48120</v>
      </c>
      <c r="D30627" t="s">
        <v>225</v>
      </c>
      <c r="E30627" t="s">
        <v>3261</v>
      </c>
      <c r="F30627" s="2" t="str">
        <f>HYPERLINK("http://www.otzar.org/book.asp?5729","עבודת הקרבנות")</f>
        <v>עבודת הקרבנות</v>
      </c>
    </row>
    <row r="30628" spans="1:6" x14ac:dyDescent="0.2">
      <c r="A30628" t="s">
        <v>48121</v>
      </c>
      <c r="B30628" t="s">
        <v>48122</v>
      </c>
      <c r="C30628" t="s">
        <v>48123</v>
      </c>
      <c r="D30628" t="s">
        <v>60</v>
      </c>
      <c r="E30628" t="s">
        <v>158</v>
      </c>
      <c r="F30628" s="2" t="str">
        <f>HYPERLINK("http://www.otzar.org/book.asp?6507","עבודת השיר הלוי")</f>
        <v>עבודת השיר הלוי</v>
      </c>
    </row>
    <row r="30629" spans="1:6" x14ac:dyDescent="0.2">
      <c r="A30629" t="s">
        <v>48124</v>
      </c>
      <c r="B30629" t="s">
        <v>32253</v>
      </c>
      <c r="C30629" t="s">
        <v>1650</v>
      </c>
      <c r="D30629" t="s">
        <v>9</v>
      </c>
      <c r="E30629" t="s">
        <v>219</v>
      </c>
      <c r="F30629" s="2" t="str">
        <f>HYPERLINK("http://www.otzar.org/book.asp?141209","עבודת השלחן")</f>
        <v>עבודת השלחן</v>
      </c>
    </row>
    <row r="30630" spans="1:6" x14ac:dyDescent="0.2">
      <c r="A30630" t="s">
        <v>48125</v>
      </c>
      <c r="B30630" t="s">
        <v>48126</v>
      </c>
      <c r="C30630" t="s">
        <v>617</v>
      </c>
      <c r="D30630" t="s">
        <v>76</v>
      </c>
      <c r="E30630" t="s">
        <v>154</v>
      </c>
      <c r="F30630" s="2" t="str">
        <f>HYPERLINK("http://www.otzar.org/book.asp?102714","עבודת השם")</f>
        <v>עבודת השם</v>
      </c>
    </row>
    <row r="30631" spans="1:6" x14ac:dyDescent="0.2">
      <c r="A30631" t="s">
        <v>48127</v>
      </c>
      <c r="B30631" t="s">
        <v>48128</v>
      </c>
      <c r="C30631" t="s">
        <v>244</v>
      </c>
      <c r="D30631" t="s">
        <v>52</v>
      </c>
      <c r="F30631" s="2" t="str">
        <f>HYPERLINK("http://www.otzar.org/book.asp?600991","עבודת השמחה")</f>
        <v>עבודת השמחה</v>
      </c>
    </row>
    <row r="30632" spans="1:6" x14ac:dyDescent="0.2">
      <c r="A30632" t="s">
        <v>48129</v>
      </c>
      <c r="B30632" t="s">
        <v>20058</v>
      </c>
      <c r="C30632" t="s">
        <v>543</v>
      </c>
      <c r="D30632" t="s">
        <v>212</v>
      </c>
      <c r="E30632" t="s">
        <v>24</v>
      </c>
      <c r="F30632" s="2" t="str">
        <f>HYPERLINK("http://www.otzar.org/book.asp?141170","עבודת התמיד")</f>
        <v>עבודת התמיד</v>
      </c>
    </row>
    <row r="30633" spans="1:6" x14ac:dyDescent="0.2">
      <c r="A30633" t="s">
        <v>48130</v>
      </c>
      <c r="B30633" t="s">
        <v>48131</v>
      </c>
      <c r="C30633" t="s">
        <v>411</v>
      </c>
      <c r="D30633" t="s">
        <v>14</v>
      </c>
      <c r="E30633" t="s">
        <v>3798</v>
      </c>
      <c r="F30633" s="2" t="str">
        <f>HYPERLINK("http://www.otzar.org/book.asp?169630","עבודת חג הסוכות ושמחת תורה")</f>
        <v>עבודת חג הסוכות ושמחת תורה</v>
      </c>
    </row>
    <row r="30634" spans="1:6" x14ac:dyDescent="0.2">
      <c r="A30634" t="s">
        <v>48132</v>
      </c>
      <c r="B30634" t="s">
        <v>48131</v>
      </c>
      <c r="C30634" t="s">
        <v>422</v>
      </c>
      <c r="D30634" t="s">
        <v>14</v>
      </c>
      <c r="E30634" t="s">
        <v>3798</v>
      </c>
      <c r="F30634" s="2" t="str">
        <f>HYPERLINK("http://www.otzar.org/book.asp?169505","עבודת חג הפסח - 2 כר'")</f>
        <v>עבודת חג הפסח - 2 כר'</v>
      </c>
    </row>
    <row r="30635" spans="1:6" x14ac:dyDescent="0.2">
      <c r="A30635" t="s">
        <v>48133</v>
      </c>
      <c r="B30635" t="s">
        <v>48131</v>
      </c>
      <c r="C30635" t="s">
        <v>114</v>
      </c>
      <c r="D30635" t="s">
        <v>14</v>
      </c>
      <c r="E30635" t="s">
        <v>3798</v>
      </c>
      <c r="F30635" s="2" t="str">
        <f>HYPERLINK("http://www.otzar.org/book.asp?169628","עבודת חודש אלול וימי הסליחות")</f>
        <v>עבודת חודש אלול וימי הסליחות</v>
      </c>
    </row>
    <row r="30636" spans="1:6" x14ac:dyDescent="0.2">
      <c r="A30636" t="s">
        <v>48134</v>
      </c>
      <c r="B30636" t="s">
        <v>48135</v>
      </c>
      <c r="C30636" t="s">
        <v>160</v>
      </c>
      <c r="D30636" t="s">
        <v>260</v>
      </c>
      <c r="E30636" t="s">
        <v>15</v>
      </c>
      <c r="F30636" s="2" t="str">
        <f>HYPERLINK("http://www.otzar.org/book.asp?158331","עבודת חיים")</f>
        <v>עבודת חיים</v>
      </c>
    </row>
    <row r="30637" spans="1:6" x14ac:dyDescent="0.2">
      <c r="A30637" t="s">
        <v>48136</v>
      </c>
      <c r="B30637" t="s">
        <v>6353</v>
      </c>
      <c r="C30637" t="s">
        <v>189</v>
      </c>
      <c r="D30637" t="s">
        <v>52</v>
      </c>
      <c r="E30637" t="s">
        <v>213</v>
      </c>
      <c r="F30637" s="2" t="str">
        <f>HYPERLINK("http://www.otzar.org/book.asp?63014","עבודת חיים - שערי הדרכה")</f>
        <v>עבודת חיים - שערי הדרכה</v>
      </c>
    </row>
    <row r="30638" spans="1:6" x14ac:dyDescent="0.2">
      <c r="A30638" t="s">
        <v>48137</v>
      </c>
      <c r="B30638" t="s">
        <v>48138</v>
      </c>
      <c r="C30638" t="s">
        <v>114</v>
      </c>
      <c r="D30638" t="s">
        <v>412</v>
      </c>
      <c r="E30638" t="s">
        <v>158</v>
      </c>
      <c r="F30638" s="2" t="str">
        <f>HYPERLINK("http://www.otzar.org/book.asp?163011","עבודת יהודה")</f>
        <v>עבודת יהודה</v>
      </c>
    </row>
    <row r="30639" spans="1:6" x14ac:dyDescent="0.2">
      <c r="A30639" t="s">
        <v>48139</v>
      </c>
      <c r="B30639" t="s">
        <v>33149</v>
      </c>
      <c r="C30639" t="s">
        <v>13</v>
      </c>
      <c r="D30639" t="s">
        <v>2196</v>
      </c>
      <c r="E30639" t="s">
        <v>144</v>
      </c>
      <c r="F30639" s="2" t="str">
        <f>HYPERLINK("http://www.otzar.org/book.asp?85590","עבודת יו""ט - ביצה")</f>
        <v>עבודת יו"ט - ביצה</v>
      </c>
    </row>
    <row r="30640" spans="1:6" x14ac:dyDescent="0.2">
      <c r="A30640" t="s">
        <v>48140</v>
      </c>
      <c r="B30640" t="s">
        <v>48141</v>
      </c>
      <c r="C30640" t="s">
        <v>114</v>
      </c>
      <c r="D30640" t="s">
        <v>52</v>
      </c>
      <c r="E30640" t="s">
        <v>1517</v>
      </c>
      <c r="F30640" s="2" t="str">
        <f>HYPERLINK("http://www.otzar.org/book.asp?158592","עבודת יום הכיפורים עם פירוש הדרת יוסף")</f>
        <v>עבודת יום הכיפורים עם פירוש הדרת יוסף</v>
      </c>
    </row>
    <row r="30641" spans="1:6" x14ac:dyDescent="0.2">
      <c r="A30641" t="s">
        <v>48142</v>
      </c>
      <c r="B30641" t="s">
        <v>48143</v>
      </c>
      <c r="C30641" t="s">
        <v>189</v>
      </c>
      <c r="D30641" t="s">
        <v>412</v>
      </c>
      <c r="F30641" s="2" t="str">
        <f>HYPERLINK("http://www.otzar.org/book.asp?610003","עבודת יום הכיפורים")</f>
        <v>עבודת יום הכיפורים</v>
      </c>
    </row>
    <row r="30642" spans="1:6" x14ac:dyDescent="0.2">
      <c r="A30642" t="s">
        <v>48144</v>
      </c>
      <c r="B30642" t="s">
        <v>48131</v>
      </c>
      <c r="C30642" t="s">
        <v>23</v>
      </c>
      <c r="D30642" t="s">
        <v>14</v>
      </c>
      <c r="F30642" s="2" t="str">
        <f>HYPERLINK("http://www.otzar.org/book.asp?601101","עבודת יום הפורים")</f>
        <v>עבודת יום הפורים</v>
      </c>
    </row>
    <row r="30643" spans="1:6" x14ac:dyDescent="0.2">
      <c r="A30643" t="s">
        <v>48145</v>
      </c>
      <c r="B30643" t="s">
        <v>33151</v>
      </c>
      <c r="C30643" t="s">
        <v>114</v>
      </c>
      <c r="D30643" t="s">
        <v>229</v>
      </c>
      <c r="E30643" t="s">
        <v>144</v>
      </c>
      <c r="F30643" s="2" t="str">
        <f>HYPERLINK("http://www.otzar.org/book.asp?192311","עבודת יום טוב - ביצה ב")</f>
        <v>עבודת יום טוב - ביצה ב</v>
      </c>
    </row>
    <row r="30644" spans="1:6" x14ac:dyDescent="0.2">
      <c r="A30644" t="s">
        <v>48146</v>
      </c>
      <c r="B30644" t="s">
        <v>48147</v>
      </c>
      <c r="C30644" t="s">
        <v>68</v>
      </c>
      <c r="D30644" t="s">
        <v>52</v>
      </c>
      <c r="E30644" t="s">
        <v>15</v>
      </c>
      <c r="F30644" s="2" t="str">
        <f>HYPERLINK("http://www.otzar.org/book.asp?159743","עבודת יום טוב")</f>
        <v>עבודת יום טוב</v>
      </c>
    </row>
    <row r="30645" spans="1:6" x14ac:dyDescent="0.2">
      <c r="A30645" t="s">
        <v>48148</v>
      </c>
      <c r="B30645" t="s">
        <v>47646</v>
      </c>
      <c r="C30645" t="s">
        <v>2132</v>
      </c>
      <c r="D30645" t="s">
        <v>14</v>
      </c>
      <c r="E30645" t="s">
        <v>241</v>
      </c>
      <c r="F30645" s="2" t="str">
        <f>HYPERLINK("http://www.otzar.org/book.asp?613081","עבודת יחיאל - א")</f>
        <v>עבודת יחיאל - א</v>
      </c>
    </row>
    <row r="30646" spans="1:6" x14ac:dyDescent="0.2">
      <c r="A30646" t="s">
        <v>48149</v>
      </c>
      <c r="B30646" t="s">
        <v>48150</v>
      </c>
      <c r="C30646" t="s">
        <v>37</v>
      </c>
      <c r="D30646" t="s">
        <v>134</v>
      </c>
      <c r="F30646" s="2" t="str">
        <f>HYPERLINK("http://www.otzar.org/book.asp?197664","עבודת ים")</f>
        <v>עבודת ים</v>
      </c>
    </row>
    <row r="30647" spans="1:6" x14ac:dyDescent="0.2">
      <c r="A30647" t="s">
        <v>48151</v>
      </c>
      <c r="B30647" t="s">
        <v>48131</v>
      </c>
      <c r="C30647" t="s">
        <v>422</v>
      </c>
      <c r="D30647" t="s">
        <v>14</v>
      </c>
      <c r="F30647" s="2" t="str">
        <f>HYPERLINK("http://www.otzar.org/book.asp?169631","עבודת ימי בין המצרים ותשעה באב")</f>
        <v>עבודת ימי בין המצרים ותשעה באב</v>
      </c>
    </row>
    <row r="30648" spans="1:6" x14ac:dyDescent="0.2">
      <c r="A30648" t="s">
        <v>48152</v>
      </c>
      <c r="B30648" t="s">
        <v>48131</v>
      </c>
      <c r="C30648" t="s">
        <v>422</v>
      </c>
      <c r="D30648" t="s">
        <v>14</v>
      </c>
      <c r="E30648" t="s">
        <v>3798</v>
      </c>
      <c r="F30648" s="2" t="str">
        <f>HYPERLINK("http://www.otzar.org/book.asp?169632","עבודת ימי החנוכה")</f>
        <v>עבודת ימי החנוכה</v>
      </c>
    </row>
    <row r="30649" spans="1:6" x14ac:dyDescent="0.2">
      <c r="A30649" t="s">
        <v>48153</v>
      </c>
      <c r="B30649" t="s">
        <v>48131</v>
      </c>
      <c r="C30649" t="s">
        <v>23</v>
      </c>
      <c r="D30649" t="s">
        <v>14</v>
      </c>
      <c r="F30649" s="2" t="str">
        <f>HYPERLINK("http://www.otzar.org/book.asp?601102","עבודת ימי חנוכה")</f>
        <v>עבודת ימי חנוכה</v>
      </c>
    </row>
    <row r="30650" spans="1:6" x14ac:dyDescent="0.2">
      <c r="A30650" t="s">
        <v>48154</v>
      </c>
      <c r="B30650" t="s">
        <v>18792</v>
      </c>
      <c r="C30650" t="s">
        <v>51</v>
      </c>
      <c r="D30650" t="s">
        <v>52</v>
      </c>
      <c r="E30650" t="s">
        <v>467</v>
      </c>
      <c r="F30650" s="2" t="str">
        <f>HYPERLINK("http://www.otzar.org/book.asp?61445","עבודת ימים נוראים הקדושים")</f>
        <v>עבודת ימים נוראים הקדושים</v>
      </c>
    </row>
    <row r="30651" spans="1:6" x14ac:dyDescent="0.2">
      <c r="A30651" t="s">
        <v>48155</v>
      </c>
      <c r="B30651" t="s">
        <v>48156</v>
      </c>
      <c r="C30651" t="s">
        <v>103</v>
      </c>
      <c r="D30651" t="s">
        <v>14</v>
      </c>
      <c r="E30651" t="s">
        <v>474</v>
      </c>
      <c r="F30651" s="2" t="str">
        <f>HYPERLINK("http://www.otzar.org/book.asp?63023","עבודת יצחק - 3 כר'")</f>
        <v>עבודת יצחק - 3 כר'</v>
      </c>
    </row>
    <row r="30652" spans="1:6" x14ac:dyDescent="0.2">
      <c r="A30652" t="s">
        <v>48157</v>
      </c>
      <c r="B30652" t="s">
        <v>4049</v>
      </c>
      <c r="C30652" t="s">
        <v>27787</v>
      </c>
      <c r="D30652" t="s">
        <v>48158</v>
      </c>
      <c r="F30652" s="2" t="str">
        <f>HYPERLINK("http://www.otzar.org/book.asp?620604","עבודת ישראל השלם - 2 כר'")</f>
        <v>עבודת ישראל השלם - 2 כר'</v>
      </c>
    </row>
    <row r="30653" spans="1:6" x14ac:dyDescent="0.2">
      <c r="A30653" t="s">
        <v>48159</v>
      </c>
      <c r="B30653" t="s">
        <v>48160</v>
      </c>
      <c r="C30653" t="s">
        <v>1640</v>
      </c>
      <c r="D30653" t="s">
        <v>52</v>
      </c>
      <c r="E30653" t="s">
        <v>48161</v>
      </c>
      <c r="F30653" s="2" t="str">
        <f>HYPERLINK("http://www.otzar.org/book.asp?165339","עבודת ישראל - תולדות המגיד מקוז'ניץ")</f>
        <v>עבודת ישראל - תולדות המגיד מקוז'ניץ</v>
      </c>
    </row>
    <row r="30654" spans="1:6" x14ac:dyDescent="0.2">
      <c r="A30654" t="s">
        <v>48162</v>
      </c>
      <c r="B30654" t="s">
        <v>4049</v>
      </c>
      <c r="C30654" t="s">
        <v>20</v>
      </c>
      <c r="D30654" t="s">
        <v>1722</v>
      </c>
      <c r="E30654" t="s">
        <v>158</v>
      </c>
      <c r="F30654" s="2" t="str">
        <f>HYPERLINK("http://www.otzar.org/book.asp?155798","עבודת ישראל - 3 כר'")</f>
        <v>עבודת ישראל - 3 כר'</v>
      </c>
    </row>
    <row r="30655" spans="1:6" x14ac:dyDescent="0.2">
      <c r="A30655" t="s">
        <v>48163</v>
      </c>
      <c r="B30655" t="s">
        <v>48164</v>
      </c>
      <c r="C30655" t="s">
        <v>2236</v>
      </c>
      <c r="D30655" t="s">
        <v>157</v>
      </c>
      <c r="E30655" t="s">
        <v>1517</v>
      </c>
      <c r="F30655" s="2" t="str">
        <f>HYPERLINK("http://www.otzar.org/book.asp?8333","עבודת ישראל")</f>
        <v>עבודת ישראל</v>
      </c>
    </row>
    <row r="30656" spans="1:6" x14ac:dyDescent="0.2">
      <c r="A30656" t="s">
        <v>48163</v>
      </c>
      <c r="B30656" t="s">
        <v>48165</v>
      </c>
      <c r="C30656" t="s">
        <v>1437</v>
      </c>
      <c r="D30656" t="s">
        <v>6042</v>
      </c>
      <c r="E30656" t="s">
        <v>158</v>
      </c>
      <c r="F30656" s="2" t="str">
        <f>HYPERLINK("http://www.otzar.org/book.asp?144309","עבודת ישראל")</f>
        <v>עבודת ישראל</v>
      </c>
    </row>
    <row r="30657" spans="1:6" x14ac:dyDescent="0.2">
      <c r="A30657" t="s">
        <v>48166</v>
      </c>
      <c r="B30657" t="s">
        <v>2254</v>
      </c>
      <c r="C30657" t="s">
        <v>106</v>
      </c>
      <c r="D30657" t="s">
        <v>412</v>
      </c>
      <c r="F30657" s="2" t="str">
        <f>HYPERLINK("http://www.otzar.org/book.asp?615862","עבודת יששכר - 2 כר'")</f>
        <v>עבודת יששכר - 2 כר'</v>
      </c>
    </row>
    <row r="30658" spans="1:6" x14ac:dyDescent="0.2">
      <c r="A30658" t="s">
        <v>48167</v>
      </c>
      <c r="B30658" t="s">
        <v>48168</v>
      </c>
      <c r="C30658" t="s">
        <v>1706</v>
      </c>
      <c r="D30658" t="s">
        <v>855</v>
      </c>
      <c r="E30658" t="s">
        <v>399</v>
      </c>
      <c r="F30658" s="2" t="str">
        <f>HYPERLINK("http://www.otzar.org/book.asp?155764","עבודת כהונה")</f>
        <v>עבודת כהונה</v>
      </c>
    </row>
    <row r="30659" spans="1:6" x14ac:dyDescent="0.2">
      <c r="A30659" t="s">
        <v>48169</v>
      </c>
      <c r="B30659" t="s">
        <v>7220</v>
      </c>
      <c r="C30659" t="s">
        <v>1208</v>
      </c>
      <c r="D30659" t="s">
        <v>52</v>
      </c>
      <c r="E30659" t="s">
        <v>219</v>
      </c>
      <c r="F30659" s="2" t="str">
        <f>HYPERLINK("http://www.otzar.org/book.asp?148274","עבודת לבב")</f>
        <v>עבודת לבב</v>
      </c>
    </row>
    <row r="30660" spans="1:6" x14ac:dyDescent="0.2">
      <c r="A30660" t="s">
        <v>48170</v>
      </c>
      <c r="B30660" t="s">
        <v>48171</v>
      </c>
      <c r="C30660" t="s">
        <v>124</v>
      </c>
      <c r="D30660" t="s">
        <v>52</v>
      </c>
      <c r="E30660" t="s">
        <v>144</v>
      </c>
      <c r="F30660" s="2" t="str">
        <f>HYPERLINK("http://www.otzar.org/book.asp?104045","עבודת לוי")</f>
        <v>עבודת לוי</v>
      </c>
    </row>
    <row r="30661" spans="1:6" x14ac:dyDescent="0.2">
      <c r="A30661" t="s">
        <v>48172</v>
      </c>
      <c r="B30661" t="s">
        <v>41676</v>
      </c>
      <c r="C30661" t="s">
        <v>547</v>
      </c>
      <c r="D30661" t="s">
        <v>11729</v>
      </c>
      <c r="E30661" t="s">
        <v>15</v>
      </c>
      <c r="F30661" s="2" t="str">
        <f>HYPERLINK("http://www.otzar.org/book.asp?85416","עבודת לוי - 2 כר'")</f>
        <v>עבודת לוי - 2 כר'</v>
      </c>
    </row>
    <row r="30662" spans="1:6" x14ac:dyDescent="0.2">
      <c r="A30662" t="s">
        <v>48173</v>
      </c>
      <c r="B30662" t="s">
        <v>48174</v>
      </c>
      <c r="C30662" t="s">
        <v>454</v>
      </c>
      <c r="D30662" t="s">
        <v>52</v>
      </c>
      <c r="E30662" t="s">
        <v>803</v>
      </c>
      <c r="F30662" s="2" t="str">
        <f>HYPERLINK("http://www.otzar.org/book.asp?52857","עבודת מלך")</f>
        <v>עבודת מלך</v>
      </c>
    </row>
    <row r="30663" spans="1:6" x14ac:dyDescent="0.2">
      <c r="A30663" t="s">
        <v>48175</v>
      </c>
      <c r="B30663" t="s">
        <v>8070</v>
      </c>
      <c r="C30663" t="s">
        <v>111</v>
      </c>
      <c r="D30663" t="s">
        <v>152</v>
      </c>
      <c r="E30663" t="s">
        <v>104</v>
      </c>
      <c r="F30663" s="2" t="str">
        <f>HYPERLINK("http://www.otzar.org/book.asp?630236","עבודת מנורה")</f>
        <v>עבודת מנורה</v>
      </c>
    </row>
    <row r="30664" spans="1:6" x14ac:dyDescent="0.2">
      <c r="A30664" t="s">
        <v>48176</v>
      </c>
      <c r="B30664" t="s">
        <v>4347</v>
      </c>
      <c r="C30664" t="s">
        <v>16489</v>
      </c>
      <c r="D30664" t="s">
        <v>1667</v>
      </c>
      <c r="F30664" s="2" t="str">
        <f>HYPERLINK("http://www.otzar.org/book.asp?170301","עבודת מקדש &lt;דפו""ר&gt;")</f>
        <v>עבודת מקדש &lt;דפו"ר&gt;</v>
      </c>
    </row>
    <row r="30665" spans="1:6" x14ac:dyDescent="0.2">
      <c r="A30665" t="s">
        <v>48177</v>
      </c>
      <c r="B30665" t="s">
        <v>4347</v>
      </c>
      <c r="C30665" t="s">
        <v>189</v>
      </c>
      <c r="D30665" t="s">
        <v>152</v>
      </c>
      <c r="E30665" t="s">
        <v>104</v>
      </c>
      <c r="F30665" s="2" t="str">
        <f>HYPERLINK("http://www.otzar.org/book.asp?50366","עבודת מקדש &lt;מהדורה חדשה&gt;")</f>
        <v>עבודת מקדש &lt;מהדורה חדשה&gt;</v>
      </c>
    </row>
    <row r="30666" spans="1:6" x14ac:dyDescent="0.2">
      <c r="A30666" t="s">
        <v>48178</v>
      </c>
      <c r="B30666" t="s">
        <v>4347</v>
      </c>
      <c r="C30666" t="s">
        <v>146</v>
      </c>
      <c r="D30666" t="s">
        <v>152</v>
      </c>
      <c r="E30666" t="s">
        <v>1626</v>
      </c>
      <c r="F30666" s="2" t="str">
        <f>HYPERLINK("http://www.otzar.org/book.asp?181813","עבודת מקדש")</f>
        <v>עבודת מקדש</v>
      </c>
    </row>
    <row r="30667" spans="1:6" x14ac:dyDescent="0.2">
      <c r="A30667" t="s">
        <v>48178</v>
      </c>
      <c r="B30667" t="s">
        <v>48179</v>
      </c>
      <c r="C30667" t="s">
        <v>1659</v>
      </c>
      <c r="D30667" t="s">
        <v>1660</v>
      </c>
      <c r="E30667" t="s">
        <v>219</v>
      </c>
      <c r="F30667" s="2" t="str">
        <f>HYPERLINK("http://www.otzar.org/book.asp?25104","עבודת מקדש")</f>
        <v>עבודת מקדש</v>
      </c>
    </row>
    <row r="30668" spans="1:6" x14ac:dyDescent="0.2">
      <c r="A30668" t="s">
        <v>48180</v>
      </c>
      <c r="B30668" t="s">
        <v>48181</v>
      </c>
      <c r="C30668" t="s">
        <v>189</v>
      </c>
      <c r="D30668" t="s">
        <v>52</v>
      </c>
      <c r="E30668" t="s">
        <v>144</v>
      </c>
      <c r="F30668" s="2" t="str">
        <f>HYPERLINK("http://www.otzar.org/book.asp?157916","עבודת מקדש - מנחות")</f>
        <v>עבודת מקדש - מנחות</v>
      </c>
    </row>
    <row r="30669" spans="1:6" x14ac:dyDescent="0.2">
      <c r="A30669" t="s">
        <v>48182</v>
      </c>
      <c r="B30669" t="s">
        <v>48183</v>
      </c>
      <c r="C30669" t="s">
        <v>2289</v>
      </c>
      <c r="D30669" t="s">
        <v>212</v>
      </c>
      <c r="F30669" s="2" t="str">
        <f>HYPERLINK("http://www.otzar.org/book.asp?170302","עבודת מקדש - 2 כר'")</f>
        <v>עבודת מקדש - 2 כר'</v>
      </c>
    </row>
    <row r="30670" spans="1:6" x14ac:dyDescent="0.2">
      <c r="A30670" t="s">
        <v>48184</v>
      </c>
      <c r="B30670" t="s">
        <v>48185</v>
      </c>
      <c r="C30670" t="s">
        <v>1640</v>
      </c>
      <c r="D30670" t="s">
        <v>14</v>
      </c>
      <c r="E30670" t="s">
        <v>119</v>
      </c>
      <c r="F30670" s="2" t="str">
        <f>HYPERLINK("http://www.otzar.org/book.asp?152927","עבודת משא &lt;חלקי&gt;")</f>
        <v>עבודת משא &lt;חלקי&gt;</v>
      </c>
    </row>
    <row r="30671" spans="1:6" x14ac:dyDescent="0.2">
      <c r="A30671" t="s">
        <v>48186</v>
      </c>
      <c r="B30671" t="s">
        <v>48187</v>
      </c>
      <c r="C30671" t="s">
        <v>989</v>
      </c>
      <c r="D30671" t="s">
        <v>412</v>
      </c>
      <c r="E30671" t="s">
        <v>144</v>
      </c>
      <c r="F30671" s="2" t="str">
        <f>HYPERLINK("http://www.otzar.org/book.asp?6728","עבודת משא")</f>
        <v>עבודת משא</v>
      </c>
    </row>
    <row r="30672" spans="1:6" x14ac:dyDescent="0.2">
      <c r="A30672" t="s">
        <v>48186</v>
      </c>
      <c r="B30672" t="s">
        <v>48185</v>
      </c>
      <c r="C30672" t="s">
        <v>321</v>
      </c>
      <c r="D30672" t="s">
        <v>76</v>
      </c>
      <c r="E30672" t="s">
        <v>48188</v>
      </c>
      <c r="F30672" s="2" t="str">
        <f>HYPERLINK("http://www.otzar.org/book.asp?101516","עבודת משא")</f>
        <v>עבודת משא</v>
      </c>
    </row>
    <row r="30673" spans="1:6" x14ac:dyDescent="0.2">
      <c r="A30673" t="s">
        <v>48189</v>
      </c>
      <c r="B30673" t="s">
        <v>45252</v>
      </c>
      <c r="C30673" t="s">
        <v>313</v>
      </c>
      <c r="D30673" t="s">
        <v>14</v>
      </c>
      <c r="E30673" t="s">
        <v>15</v>
      </c>
      <c r="F30673" s="2" t="str">
        <f>HYPERLINK("http://www.otzar.org/book.asp?23151","עבודת משא - 3 כר'")</f>
        <v>עבודת משא - 3 כר'</v>
      </c>
    </row>
    <row r="30674" spans="1:6" x14ac:dyDescent="0.2">
      <c r="A30674" t="s">
        <v>48190</v>
      </c>
      <c r="B30674" t="s">
        <v>48191</v>
      </c>
      <c r="C30674" t="s">
        <v>775</v>
      </c>
      <c r="D30674" t="s">
        <v>52</v>
      </c>
      <c r="E30674" t="s">
        <v>186</v>
      </c>
      <c r="F30674" s="2" t="str">
        <f>HYPERLINK("http://www.otzar.org/book.asp?618925","עבודת מתנה - עבודה זרה")</f>
        <v>עבודת מתנה - עבודה זרה</v>
      </c>
    </row>
    <row r="30675" spans="1:6" x14ac:dyDescent="0.2">
      <c r="A30675" t="s">
        <v>48192</v>
      </c>
      <c r="B30675" t="s">
        <v>48131</v>
      </c>
      <c r="C30675" t="s">
        <v>68</v>
      </c>
      <c r="D30675" t="s">
        <v>14</v>
      </c>
      <c r="E30675" t="s">
        <v>246</v>
      </c>
      <c r="F30675" s="2" t="str">
        <f>HYPERLINK("http://www.otzar.org/book.asp?157426","עבודת ספירת העומר וחג השבועות")</f>
        <v>עבודת ספירת העומר וחג השבועות</v>
      </c>
    </row>
    <row r="30676" spans="1:6" x14ac:dyDescent="0.2">
      <c r="A30676" t="s">
        <v>48193</v>
      </c>
      <c r="B30676" t="s">
        <v>44004</v>
      </c>
      <c r="C30676" t="s">
        <v>635</v>
      </c>
      <c r="D30676" t="s">
        <v>283</v>
      </c>
      <c r="E30676" t="s">
        <v>158</v>
      </c>
      <c r="F30676" s="2" t="str">
        <f>HYPERLINK("http://www.otzar.org/book.asp?14501","עבודת עבד")</f>
        <v>עבודת עבד</v>
      </c>
    </row>
    <row r="30677" spans="1:6" x14ac:dyDescent="0.2">
      <c r="A30677" t="s">
        <v>48194</v>
      </c>
      <c r="B30677" t="s">
        <v>305</v>
      </c>
      <c r="C30677" t="s">
        <v>48195</v>
      </c>
      <c r="D30677" t="s">
        <v>60</v>
      </c>
      <c r="E30677" t="s">
        <v>144</v>
      </c>
      <c r="F30677" s="2" t="str">
        <f>HYPERLINK("http://www.otzar.org/book.asp?104046","עבודת עבודה - 2 כר'")</f>
        <v>עבודת עבודה - 2 כר'</v>
      </c>
    </row>
    <row r="30678" spans="1:6" x14ac:dyDescent="0.2">
      <c r="A30678" t="s">
        <v>48196</v>
      </c>
      <c r="B30678" t="s">
        <v>48197</v>
      </c>
      <c r="C30678" t="s">
        <v>585</v>
      </c>
      <c r="D30678" t="s">
        <v>14</v>
      </c>
      <c r="E30678" t="s">
        <v>213</v>
      </c>
      <c r="F30678" s="2" t="str">
        <f>HYPERLINK("http://www.otzar.org/book.asp?142787","עבודת פנים")</f>
        <v>עבודת פנים</v>
      </c>
    </row>
    <row r="30679" spans="1:6" x14ac:dyDescent="0.2">
      <c r="A30679" t="s">
        <v>48198</v>
      </c>
      <c r="B30679" t="s">
        <v>19803</v>
      </c>
      <c r="C30679" t="s">
        <v>366</v>
      </c>
      <c r="D30679" t="s">
        <v>52</v>
      </c>
      <c r="E30679" t="s">
        <v>15</v>
      </c>
      <c r="F30679" s="2" t="str">
        <f>HYPERLINK("http://www.otzar.org/book.asp?606132","עבודת שלמה - 4 כר'")</f>
        <v>עבודת שלמה - 4 כר'</v>
      </c>
    </row>
    <row r="30680" spans="1:6" x14ac:dyDescent="0.2">
      <c r="A30680" t="s">
        <v>48199</v>
      </c>
      <c r="B30680" t="s">
        <v>48200</v>
      </c>
      <c r="C30680" t="s">
        <v>133</v>
      </c>
      <c r="D30680" t="s">
        <v>152</v>
      </c>
      <c r="E30680" t="s">
        <v>104</v>
      </c>
      <c r="F30680" s="2" t="str">
        <f>HYPERLINK("http://www.otzar.org/book.asp?172779","עבודת שמואל - א")</f>
        <v>עבודת שמואל - א</v>
      </c>
    </row>
    <row r="30681" spans="1:6" x14ac:dyDescent="0.2">
      <c r="A30681" t="s">
        <v>48201</v>
      </c>
      <c r="B30681" t="s">
        <v>48202</v>
      </c>
      <c r="C30681" t="s">
        <v>68</v>
      </c>
      <c r="D30681" t="s">
        <v>14</v>
      </c>
      <c r="E30681" t="s">
        <v>119</v>
      </c>
      <c r="F30681" s="2" t="str">
        <f>HYPERLINK("http://www.otzar.org/book.asp?166417","עבודת שמואל")</f>
        <v>עבודת שמואל</v>
      </c>
    </row>
    <row r="30682" spans="1:6" x14ac:dyDescent="0.2">
      <c r="A30682" t="s">
        <v>48203</v>
      </c>
      <c r="B30682" t="s">
        <v>48204</v>
      </c>
      <c r="C30682" t="s">
        <v>176</v>
      </c>
      <c r="D30682" t="s">
        <v>14</v>
      </c>
      <c r="E30682" t="s">
        <v>144</v>
      </c>
      <c r="F30682" s="2" t="str">
        <f>HYPERLINK("http://www.otzar.org/book.asp?169319","עבודת שש")</f>
        <v>עבודת שש</v>
      </c>
    </row>
    <row r="30683" spans="1:6" x14ac:dyDescent="0.2">
      <c r="A30683" t="s">
        <v>48205</v>
      </c>
      <c r="B30683" t="s">
        <v>15508</v>
      </c>
      <c r="C30683" t="s">
        <v>3106</v>
      </c>
      <c r="D30683" t="s">
        <v>9</v>
      </c>
      <c r="E30683" t="s">
        <v>960</v>
      </c>
      <c r="F30683" s="2" t="str">
        <f>HYPERLINK("http://www.otzar.org/book.asp?5274","עבודת תמיד")</f>
        <v>עבודת תמיד</v>
      </c>
    </row>
    <row r="30684" spans="1:6" x14ac:dyDescent="0.2">
      <c r="A30684" t="s">
        <v>48206</v>
      </c>
      <c r="B30684" t="s">
        <v>29374</v>
      </c>
      <c r="C30684" t="s">
        <v>411</v>
      </c>
      <c r="D30684" t="s">
        <v>14</v>
      </c>
      <c r="F30684" s="2" t="str">
        <f>HYPERLINK("http://www.otzar.org/book.asp?610288","עברא דדשא - 2 כר'")</f>
        <v>עברא דדשא - 2 כר'</v>
      </c>
    </row>
    <row r="30685" spans="1:6" x14ac:dyDescent="0.2">
      <c r="A30685" t="s">
        <v>48207</v>
      </c>
      <c r="B30685" t="s">
        <v>48208</v>
      </c>
      <c r="C30685" t="s">
        <v>5156</v>
      </c>
      <c r="D30685" t="s">
        <v>726</v>
      </c>
      <c r="E30685" t="s">
        <v>104</v>
      </c>
      <c r="F30685" s="2" t="str">
        <f>HYPERLINK("http://www.otzar.org/book.asp?141896","עברונות תנ""א")</f>
        <v>עברונות תנ"א</v>
      </c>
    </row>
    <row r="30686" spans="1:6" x14ac:dyDescent="0.2">
      <c r="A30686" t="s">
        <v>48209</v>
      </c>
      <c r="B30686" t="s">
        <v>48210</v>
      </c>
      <c r="C30686" t="s">
        <v>7162</v>
      </c>
      <c r="D30686" t="s">
        <v>7163</v>
      </c>
      <c r="E30686" t="s">
        <v>104</v>
      </c>
      <c r="F30686" s="2" t="str">
        <f>HYPERLINK("http://www.otzar.org/book.asp?141897","עברונות תפ""ב")</f>
        <v>עברונות תפ"ב</v>
      </c>
    </row>
    <row r="30687" spans="1:6" x14ac:dyDescent="0.2">
      <c r="A30687" t="s">
        <v>48211</v>
      </c>
      <c r="B30687" t="s">
        <v>4049</v>
      </c>
      <c r="C30687" t="s">
        <v>20</v>
      </c>
      <c r="D30687" t="s">
        <v>48212</v>
      </c>
      <c r="E30687" t="s">
        <v>154</v>
      </c>
      <c r="F30687" s="2" t="str">
        <f>HYPERLINK("http://www.otzar.org/book.asp?105882","עגונת ישראל &lt;בית ישראל&gt;")</f>
        <v>עגונת ישראל &lt;בית ישראל&gt;</v>
      </c>
    </row>
    <row r="30688" spans="1:6" x14ac:dyDescent="0.2">
      <c r="A30688" t="s">
        <v>48213</v>
      </c>
      <c r="B30688" t="s">
        <v>14181</v>
      </c>
      <c r="C30688" t="s">
        <v>224</v>
      </c>
      <c r="D30688" t="s">
        <v>14182</v>
      </c>
      <c r="E30688" t="s">
        <v>104</v>
      </c>
      <c r="F30688" s="2" t="str">
        <f>HYPERLINK("http://www.otzar.org/book.asp?192246","עד דאתו נביאים")</f>
        <v>עד דאתו נביאים</v>
      </c>
    </row>
    <row r="30689" spans="1:6" x14ac:dyDescent="0.2">
      <c r="A30689" t="s">
        <v>48214</v>
      </c>
      <c r="B30689" t="s">
        <v>5797</v>
      </c>
      <c r="C30689" t="s">
        <v>366</v>
      </c>
      <c r="D30689" t="s">
        <v>5798</v>
      </c>
      <c r="F30689" s="2" t="str">
        <f>HYPERLINK("http://www.otzar.org/book.asp?603608","עד דרוש אחיך")</f>
        <v>עד דרוש אחיך</v>
      </c>
    </row>
    <row r="30690" spans="1:6" x14ac:dyDescent="0.2">
      <c r="A30690" t="s">
        <v>48215</v>
      </c>
      <c r="B30690" t="s">
        <v>2074</v>
      </c>
      <c r="C30690" t="s">
        <v>189</v>
      </c>
      <c r="D30690" t="s">
        <v>14</v>
      </c>
      <c r="E30690" t="s">
        <v>1517</v>
      </c>
      <c r="F30690" s="2" t="str">
        <f>HYPERLINK("http://www.otzar.org/book.asp?150823","עד הגל הזה")</f>
        <v>עד הגל הזה</v>
      </c>
    </row>
    <row r="30691" spans="1:6" x14ac:dyDescent="0.2">
      <c r="A30691" t="s">
        <v>48216</v>
      </c>
      <c r="B30691" t="s">
        <v>30841</v>
      </c>
      <c r="C30691" t="s">
        <v>20</v>
      </c>
      <c r="D30691" t="s">
        <v>367</v>
      </c>
      <c r="E30691" t="s">
        <v>104</v>
      </c>
      <c r="F30691" s="2" t="str">
        <f>HYPERLINK("http://www.otzar.org/book.asp?620133","עד כאן")</f>
        <v>עד כאן</v>
      </c>
    </row>
    <row r="30692" spans="1:6" x14ac:dyDescent="0.2">
      <c r="A30692" t="s">
        <v>48216</v>
      </c>
      <c r="B30692" t="s">
        <v>48217</v>
      </c>
      <c r="C30692" t="s">
        <v>20</v>
      </c>
      <c r="D30692" t="s">
        <v>367</v>
      </c>
      <c r="F30692" s="2" t="str">
        <f>HYPERLINK("http://www.otzar.org/book.asp?198763","עד כאן")</f>
        <v>עד כאן</v>
      </c>
    </row>
    <row r="30693" spans="1:6" x14ac:dyDescent="0.2">
      <c r="A30693" t="s">
        <v>48218</v>
      </c>
      <c r="B30693" t="s">
        <v>23590</v>
      </c>
      <c r="C30693" t="s">
        <v>20</v>
      </c>
      <c r="D30693" t="s">
        <v>14</v>
      </c>
      <c r="E30693" t="s">
        <v>733</v>
      </c>
      <c r="F30693" s="2" t="str">
        <f>HYPERLINK("http://www.otzar.org/book.asp?170470","עד שבחברון")</f>
        <v>עד שבחברון</v>
      </c>
    </row>
    <row r="30694" spans="1:6" x14ac:dyDescent="0.2">
      <c r="A30694" t="s">
        <v>48219</v>
      </c>
      <c r="B30694" t="s">
        <v>2396</v>
      </c>
      <c r="C30694" t="s">
        <v>87</v>
      </c>
      <c r="D30694" t="s">
        <v>1076</v>
      </c>
      <c r="E30694" t="s">
        <v>158</v>
      </c>
      <c r="F30694" s="2" t="str">
        <f>HYPERLINK("http://www.otzar.org/book.asp?22815","עד שהמלך במסיבו")</f>
        <v>עד שהמלך במסיבו</v>
      </c>
    </row>
    <row r="30695" spans="1:6" x14ac:dyDescent="0.2">
      <c r="A30695" t="s">
        <v>48220</v>
      </c>
      <c r="B30695" t="s">
        <v>48221</v>
      </c>
      <c r="C30695" t="s">
        <v>366</v>
      </c>
      <c r="D30695" t="s">
        <v>152</v>
      </c>
      <c r="E30695" t="s">
        <v>104</v>
      </c>
      <c r="F30695" s="2" t="str">
        <f>HYPERLINK("http://www.otzar.org/book.asp?608188","עד שתצא נפשה")</f>
        <v>עד שתצא נפשה</v>
      </c>
    </row>
    <row r="30696" spans="1:6" x14ac:dyDescent="0.2">
      <c r="A30696" t="s">
        <v>48222</v>
      </c>
      <c r="B30696" t="s">
        <v>5975</v>
      </c>
      <c r="C30696" t="s">
        <v>106</v>
      </c>
      <c r="D30696" t="s">
        <v>2458</v>
      </c>
      <c r="E30696" t="s">
        <v>104</v>
      </c>
      <c r="F30696" s="2" t="str">
        <f>HYPERLINK("http://www.otzar.org/book.asp?163058","עדויות על ספרי דפוס בלתי ידועים")</f>
        <v>עדויות על ספרי דפוס בלתי ידועים</v>
      </c>
    </row>
    <row r="30697" spans="1:6" x14ac:dyDescent="0.2">
      <c r="A30697" t="s">
        <v>48223</v>
      </c>
      <c r="B30697" t="s">
        <v>1728</v>
      </c>
      <c r="C30697" t="s">
        <v>13</v>
      </c>
      <c r="D30697" t="s">
        <v>273</v>
      </c>
      <c r="E30697" t="s">
        <v>48224</v>
      </c>
      <c r="F30697" s="2" t="str">
        <f>HYPERLINK("http://www.otzar.org/book.asp?628563","עדון המידות")</f>
        <v>עדון המידות</v>
      </c>
    </row>
    <row r="30698" spans="1:6" x14ac:dyDescent="0.2">
      <c r="A30698" t="s">
        <v>48225</v>
      </c>
      <c r="B30698" t="s">
        <v>16597</v>
      </c>
      <c r="C30698" t="s">
        <v>71</v>
      </c>
      <c r="D30698" t="s">
        <v>721</v>
      </c>
      <c r="E30698" t="s">
        <v>15</v>
      </c>
      <c r="F30698" s="2" t="str">
        <f>HYPERLINK("http://www.otzar.org/book.asp?174492","עדות בהוסף")</f>
        <v>עדות בהוסף</v>
      </c>
    </row>
    <row r="30699" spans="1:6" x14ac:dyDescent="0.2">
      <c r="A30699" t="s">
        <v>48226</v>
      </c>
      <c r="B30699" t="s">
        <v>48227</v>
      </c>
      <c r="C30699" t="s">
        <v>51</v>
      </c>
      <c r="D30699" t="s">
        <v>52</v>
      </c>
      <c r="E30699" t="s">
        <v>140</v>
      </c>
      <c r="F30699" s="2" t="str">
        <f>HYPERLINK("http://www.otzar.org/book.asp?175713","עדות ביהוסף  &lt;מנהגי ויזניץ&gt; - 2 כר'")</f>
        <v>עדות ביהוסף  &lt;מנהגי ויזניץ&gt; - 2 כר'</v>
      </c>
    </row>
    <row r="30700" spans="1:6" x14ac:dyDescent="0.2">
      <c r="A30700" t="s">
        <v>48228</v>
      </c>
      <c r="B30700" t="s">
        <v>48229</v>
      </c>
      <c r="C30700" t="s">
        <v>3635</v>
      </c>
      <c r="D30700" t="s">
        <v>212</v>
      </c>
      <c r="E30700" t="s">
        <v>144</v>
      </c>
      <c r="F30700" s="2" t="str">
        <f>HYPERLINK("http://www.otzar.org/book.asp?149989","עדות ביהוסף - 2 כר'")</f>
        <v>עדות ביהוסף - 2 כר'</v>
      </c>
    </row>
    <row r="30701" spans="1:6" x14ac:dyDescent="0.2">
      <c r="A30701" t="s">
        <v>48228</v>
      </c>
      <c r="B30701" t="s">
        <v>48230</v>
      </c>
      <c r="C30701" t="s">
        <v>48231</v>
      </c>
      <c r="D30701" t="s">
        <v>1490</v>
      </c>
      <c r="E30701" t="s">
        <v>154</v>
      </c>
      <c r="F30701" s="2" t="str">
        <f>HYPERLINK("http://www.otzar.org/book.asp?101519","עדות ביהוסף - 2 כר'")</f>
        <v>עדות ביהוסף - 2 כר'</v>
      </c>
    </row>
    <row r="30702" spans="1:6" x14ac:dyDescent="0.2">
      <c r="A30702" t="s">
        <v>48232</v>
      </c>
      <c r="B30702" t="s">
        <v>48233</v>
      </c>
      <c r="F30702" s="2" t="str">
        <f>HYPERLINK("http://www.otzar.org/book.asp?623011","עדות ביהוסף - מנהגי ויז'ניץ לירח האיתנים")</f>
        <v>עדות ביהוסף - מנהגי ויז'ניץ לירח האיתנים</v>
      </c>
    </row>
    <row r="30703" spans="1:6" x14ac:dyDescent="0.2">
      <c r="A30703" t="s">
        <v>48234</v>
      </c>
      <c r="B30703" t="s">
        <v>48235</v>
      </c>
      <c r="C30703" t="s">
        <v>51</v>
      </c>
      <c r="D30703" t="s">
        <v>14</v>
      </c>
      <c r="E30703" t="s">
        <v>15</v>
      </c>
      <c r="F30703" s="2" t="str">
        <f>HYPERLINK("http://www.otzar.org/book.asp?85077","עדות ביהוסף")</f>
        <v>עדות ביהוסף</v>
      </c>
    </row>
    <row r="30704" spans="1:6" x14ac:dyDescent="0.2">
      <c r="A30704" t="s">
        <v>48234</v>
      </c>
      <c r="B30704" t="s">
        <v>48236</v>
      </c>
      <c r="C30704" t="s">
        <v>454</v>
      </c>
      <c r="D30704" t="s">
        <v>4478</v>
      </c>
      <c r="E30704" t="s">
        <v>144</v>
      </c>
      <c r="F30704" s="2" t="str">
        <f>HYPERLINK("http://www.otzar.org/book.asp?63148","עדות ביהוסף")</f>
        <v>עדות ביהוסף</v>
      </c>
    </row>
    <row r="30705" spans="1:6" x14ac:dyDescent="0.2">
      <c r="A30705" t="s">
        <v>48237</v>
      </c>
      <c r="B30705" t="s">
        <v>48238</v>
      </c>
      <c r="C30705" t="s">
        <v>103</v>
      </c>
      <c r="D30705" t="s">
        <v>14</v>
      </c>
      <c r="E30705" t="s">
        <v>733</v>
      </c>
      <c r="F30705" s="2" t="str">
        <f>HYPERLINK("http://www.otzar.org/book.asp?64137","עדות ביהוסף - קורות הזמן בתימן")</f>
        <v>עדות ביהוסף - קורות הזמן בתימן</v>
      </c>
    </row>
    <row r="30706" spans="1:6" x14ac:dyDescent="0.2">
      <c r="A30706" t="s">
        <v>48228</v>
      </c>
      <c r="B30706" t="s">
        <v>1591</v>
      </c>
      <c r="C30706" t="s">
        <v>1374</v>
      </c>
      <c r="D30706" t="s">
        <v>27</v>
      </c>
      <c r="E30706" t="s">
        <v>733</v>
      </c>
      <c r="F30706" s="2" t="str">
        <f>HYPERLINK("http://www.otzar.org/book.asp?152937","עדות ביהוסף - 2 כר'")</f>
        <v>עדות ביהוסף - 2 כר'</v>
      </c>
    </row>
    <row r="30707" spans="1:6" x14ac:dyDescent="0.2">
      <c r="A30707" t="s">
        <v>48234</v>
      </c>
      <c r="B30707" t="s">
        <v>48239</v>
      </c>
      <c r="C30707" t="s">
        <v>14</v>
      </c>
      <c r="D30707" t="s">
        <v>51</v>
      </c>
      <c r="E30707" t="s">
        <v>579</v>
      </c>
      <c r="F30707" s="2" t="str">
        <f>HYPERLINK("http://www.otzar.org/book.asp?626041","עדות ביהוסף")</f>
        <v>עדות ביהוסף</v>
      </c>
    </row>
    <row r="30708" spans="1:6" x14ac:dyDescent="0.2">
      <c r="A30708" t="s">
        <v>48234</v>
      </c>
      <c r="B30708" t="s">
        <v>514</v>
      </c>
      <c r="C30708" t="s">
        <v>603</v>
      </c>
      <c r="D30708" t="s">
        <v>8340</v>
      </c>
      <c r="E30708" t="s">
        <v>15</v>
      </c>
      <c r="F30708" s="2" t="str">
        <f>HYPERLINK("http://www.otzar.org/book.asp?28657","עדות ביהוסף")</f>
        <v>עדות ביהוסף</v>
      </c>
    </row>
    <row r="30709" spans="1:6" x14ac:dyDescent="0.2">
      <c r="A30709" t="s">
        <v>48234</v>
      </c>
      <c r="B30709" t="s">
        <v>48240</v>
      </c>
      <c r="C30709" t="s">
        <v>1268</v>
      </c>
      <c r="D30709" t="s">
        <v>14</v>
      </c>
      <c r="E30709" t="s">
        <v>172</v>
      </c>
      <c r="F30709" s="2" t="str">
        <f>HYPERLINK("http://www.otzar.org/book.asp?159141","עדות ביהוסף")</f>
        <v>עדות ביהוסף</v>
      </c>
    </row>
    <row r="30710" spans="1:6" x14ac:dyDescent="0.2">
      <c r="A30710" t="s">
        <v>48234</v>
      </c>
      <c r="B30710" t="s">
        <v>26733</v>
      </c>
      <c r="C30710" t="s">
        <v>103</v>
      </c>
      <c r="D30710" t="s">
        <v>14</v>
      </c>
      <c r="E30710" t="s">
        <v>674</v>
      </c>
      <c r="F30710" s="2" t="str">
        <f>HYPERLINK("http://www.otzar.org/book.asp?64190","עדות ביהוסף")</f>
        <v>עדות ביהוסף</v>
      </c>
    </row>
    <row r="30711" spans="1:6" x14ac:dyDescent="0.2">
      <c r="A30711" t="s">
        <v>48228</v>
      </c>
      <c r="B30711" t="s">
        <v>48241</v>
      </c>
      <c r="C30711" t="s">
        <v>48242</v>
      </c>
      <c r="D30711" t="s">
        <v>56</v>
      </c>
      <c r="E30711" t="s">
        <v>48243</v>
      </c>
      <c r="F30711" s="2" t="str">
        <f>HYPERLINK("http://www.otzar.org/book.asp?19202","עדות ביהוסף - 2 כר'")</f>
        <v>עדות ביהוסף - 2 כר'</v>
      </c>
    </row>
    <row r="30712" spans="1:6" x14ac:dyDescent="0.2">
      <c r="A30712" t="s">
        <v>48234</v>
      </c>
      <c r="B30712" t="s">
        <v>48244</v>
      </c>
      <c r="C30712" t="s">
        <v>550</v>
      </c>
      <c r="D30712" t="s">
        <v>56</v>
      </c>
      <c r="E30712" t="s">
        <v>154</v>
      </c>
      <c r="F30712" s="2" t="str">
        <f>HYPERLINK("http://www.otzar.org/book.asp?747","עדות ביהוסף")</f>
        <v>עדות ביהוסף</v>
      </c>
    </row>
    <row r="30713" spans="1:6" x14ac:dyDescent="0.2">
      <c r="A30713" t="s">
        <v>48245</v>
      </c>
      <c r="B30713" t="s">
        <v>48246</v>
      </c>
      <c r="C30713" t="s">
        <v>51</v>
      </c>
      <c r="D30713" t="s">
        <v>14</v>
      </c>
      <c r="E30713" t="s">
        <v>158</v>
      </c>
      <c r="F30713" s="2" t="str">
        <f>HYPERLINK("http://www.otzar.org/book.asp?159307","עדות ביוסף &lt;מהדורה חדשה&gt;")</f>
        <v>עדות ביוסף &lt;מהדורה חדשה&gt;</v>
      </c>
    </row>
    <row r="30714" spans="1:6" x14ac:dyDescent="0.2">
      <c r="A30714" t="s">
        <v>48247</v>
      </c>
      <c r="B30714" t="s">
        <v>48246</v>
      </c>
      <c r="C30714" t="s">
        <v>3573</v>
      </c>
      <c r="D30714" t="s">
        <v>5665</v>
      </c>
      <c r="E30714" t="s">
        <v>158</v>
      </c>
      <c r="F30714" s="2" t="str">
        <f>HYPERLINK("http://www.otzar.org/book.asp?25193","עדות ביוסף")</f>
        <v>עדות ביוסף</v>
      </c>
    </row>
    <row r="30715" spans="1:6" x14ac:dyDescent="0.2">
      <c r="A30715" t="s">
        <v>48247</v>
      </c>
      <c r="B30715" t="s">
        <v>1005</v>
      </c>
      <c r="C30715" t="s">
        <v>23</v>
      </c>
      <c r="D30715" t="s">
        <v>52</v>
      </c>
      <c r="E30715" t="s">
        <v>202</v>
      </c>
      <c r="F30715" s="2" t="str">
        <f>HYPERLINK("http://www.otzar.org/book.asp?194067","עדות ביוסף")</f>
        <v>עדות ביוסף</v>
      </c>
    </row>
    <row r="30716" spans="1:6" x14ac:dyDescent="0.2">
      <c r="A30716" t="s">
        <v>48248</v>
      </c>
      <c r="B30716" t="s">
        <v>48249</v>
      </c>
      <c r="C30716" t="s">
        <v>3106</v>
      </c>
      <c r="D30716" t="s">
        <v>18232</v>
      </c>
      <c r="E30716" t="s">
        <v>202</v>
      </c>
      <c r="F30716" s="2" t="str">
        <f>HYPERLINK("http://www.otzar.org/book.asp?171000","עדות ביעקב")</f>
        <v>עדות ביעקב</v>
      </c>
    </row>
    <row r="30717" spans="1:6" x14ac:dyDescent="0.2">
      <c r="A30717" t="s">
        <v>48248</v>
      </c>
      <c r="B30717" t="s">
        <v>48250</v>
      </c>
      <c r="C30717" t="s">
        <v>767</v>
      </c>
      <c r="D30717" t="s">
        <v>14</v>
      </c>
      <c r="E30717" t="s">
        <v>154</v>
      </c>
      <c r="F30717" s="2" t="str">
        <f>HYPERLINK("http://www.otzar.org/book.asp?172152","עדות ביעקב")</f>
        <v>עדות ביעקב</v>
      </c>
    </row>
    <row r="30718" spans="1:6" x14ac:dyDescent="0.2">
      <c r="A30718" t="s">
        <v>48248</v>
      </c>
      <c r="B30718" t="s">
        <v>48251</v>
      </c>
      <c r="C30718" t="s">
        <v>10538</v>
      </c>
      <c r="D30718" t="s">
        <v>76</v>
      </c>
      <c r="E30718" t="s">
        <v>154</v>
      </c>
      <c r="F30718" s="2" t="str">
        <f>HYPERLINK("http://www.otzar.org/book.asp?100969","עדות ביעקב")</f>
        <v>עדות ביעקב</v>
      </c>
    </row>
    <row r="30719" spans="1:6" x14ac:dyDescent="0.2">
      <c r="A30719" t="s">
        <v>48252</v>
      </c>
      <c r="B30719" t="s">
        <v>3166</v>
      </c>
      <c r="C30719" t="s">
        <v>68</v>
      </c>
      <c r="D30719" t="s">
        <v>14</v>
      </c>
      <c r="E30719" t="s">
        <v>144</v>
      </c>
      <c r="F30719" s="2" t="str">
        <f>HYPERLINK("http://www.otzar.org/book.asp?167851","עדות ביעקב - 2 כר'")</f>
        <v>עדות ביעקב - 2 כר'</v>
      </c>
    </row>
    <row r="30720" spans="1:6" x14ac:dyDescent="0.2">
      <c r="A30720" t="s">
        <v>48252</v>
      </c>
      <c r="B30720" t="s">
        <v>48253</v>
      </c>
      <c r="C30720" t="s">
        <v>17</v>
      </c>
      <c r="D30720" t="s">
        <v>14</v>
      </c>
      <c r="E30720" t="s">
        <v>803</v>
      </c>
      <c r="F30720" s="2" t="str">
        <f>HYPERLINK("http://www.otzar.org/book.asp?22687","עדות ביעקב - 2 כר'")</f>
        <v>עדות ביעקב - 2 כר'</v>
      </c>
    </row>
    <row r="30721" spans="1:6" x14ac:dyDescent="0.2">
      <c r="A30721" t="s">
        <v>48248</v>
      </c>
      <c r="B30721" t="s">
        <v>667</v>
      </c>
      <c r="C30721" t="s">
        <v>1177</v>
      </c>
      <c r="D30721" t="s">
        <v>267</v>
      </c>
      <c r="E30721" t="s">
        <v>28642</v>
      </c>
      <c r="F30721" s="2" t="str">
        <f>HYPERLINK("http://www.otzar.org/book.asp?101792","עדות ביעקב")</f>
        <v>עדות ביעקב</v>
      </c>
    </row>
    <row r="30722" spans="1:6" x14ac:dyDescent="0.2">
      <c r="A30722" t="s">
        <v>48254</v>
      </c>
      <c r="B30722" t="s">
        <v>24757</v>
      </c>
      <c r="C30722" t="s">
        <v>442</v>
      </c>
      <c r="D30722" t="s">
        <v>14778</v>
      </c>
      <c r="E30722" t="s">
        <v>5772</v>
      </c>
      <c r="F30722" s="2" t="str">
        <f>HYPERLINK("http://www.otzar.org/book.asp?101739","עדות בישראל")</f>
        <v>עדות בישראל</v>
      </c>
    </row>
    <row r="30723" spans="1:6" x14ac:dyDescent="0.2">
      <c r="A30723" t="s">
        <v>48255</v>
      </c>
      <c r="B30723" t="s">
        <v>48256</v>
      </c>
      <c r="C30723" t="s">
        <v>103</v>
      </c>
      <c r="D30723" t="s">
        <v>14</v>
      </c>
      <c r="E30723" t="s">
        <v>144</v>
      </c>
      <c r="F30723" s="2" t="str">
        <f>HYPERLINK("http://www.otzar.org/book.asp?163551","עדות חיים")</f>
        <v>עדות חיים</v>
      </c>
    </row>
    <row r="30724" spans="1:6" x14ac:dyDescent="0.2">
      <c r="A30724" t="s">
        <v>48257</v>
      </c>
      <c r="B30724" t="s">
        <v>19482</v>
      </c>
      <c r="C30724" t="s">
        <v>366</v>
      </c>
      <c r="D30724" t="s">
        <v>152</v>
      </c>
      <c r="E30724" t="s">
        <v>15</v>
      </c>
      <c r="F30724" s="2" t="str">
        <f>HYPERLINK("http://www.otzar.org/book.asp?621474","עדות יוסף - נדה")</f>
        <v>עדות יוסף - נדה</v>
      </c>
    </row>
    <row r="30725" spans="1:6" x14ac:dyDescent="0.2">
      <c r="A30725" t="s">
        <v>48258</v>
      </c>
      <c r="B30725" t="s">
        <v>48259</v>
      </c>
      <c r="C30725" t="s">
        <v>6607</v>
      </c>
      <c r="D30725" t="s">
        <v>32637</v>
      </c>
      <c r="F30725" s="2" t="str">
        <f>HYPERLINK("http://www.otzar.org/book.asp?619165","עדות יעקב - 2 כר'")</f>
        <v>עדות יעקב - 2 כר'</v>
      </c>
    </row>
    <row r="30726" spans="1:6" x14ac:dyDescent="0.2">
      <c r="A30726" t="s">
        <v>48260</v>
      </c>
      <c r="B30726" t="s">
        <v>48261</v>
      </c>
      <c r="C30726" t="s">
        <v>1954</v>
      </c>
      <c r="D30726" t="s">
        <v>986</v>
      </c>
      <c r="E30726" t="s">
        <v>26676</v>
      </c>
      <c r="F30726" s="2" t="str">
        <f>HYPERLINK("http://www.otzar.org/book.asp?51242","עדות לאסף")</f>
        <v>עדות לאסף</v>
      </c>
    </row>
    <row r="30727" spans="1:6" x14ac:dyDescent="0.2">
      <c r="A30727" t="s">
        <v>48262</v>
      </c>
      <c r="B30727" t="s">
        <v>48263</v>
      </c>
      <c r="C30727" t="s">
        <v>129</v>
      </c>
      <c r="D30727" t="s">
        <v>14</v>
      </c>
      <c r="E30727" t="s">
        <v>144</v>
      </c>
      <c r="F30727" s="2" t="str">
        <f>HYPERLINK("http://www.otzar.org/book.asp?142533","עדות ליוסף")</f>
        <v>עדות ליוסף</v>
      </c>
    </row>
    <row r="30728" spans="1:6" x14ac:dyDescent="0.2">
      <c r="A30728" t="s">
        <v>48264</v>
      </c>
      <c r="B30728" t="s">
        <v>1540</v>
      </c>
      <c r="C30728" t="s">
        <v>884</v>
      </c>
      <c r="D30728" t="s">
        <v>1023</v>
      </c>
      <c r="E30728" t="s">
        <v>119</v>
      </c>
      <c r="F30728" s="2" t="str">
        <f>HYPERLINK("http://www.otzar.org/book.asp?84626","עדות לישראל &lt;נגד נחמיה חיון&gt;")</f>
        <v>עדות לישראל &lt;נגד נחמיה חיון&gt;</v>
      </c>
    </row>
    <row r="30729" spans="1:6" x14ac:dyDescent="0.2">
      <c r="A30729" t="s">
        <v>48265</v>
      </c>
      <c r="B30729" t="s">
        <v>23243</v>
      </c>
      <c r="C30729" t="s">
        <v>438</v>
      </c>
      <c r="D30729" t="s">
        <v>216</v>
      </c>
      <c r="E30729" t="s">
        <v>48266</v>
      </c>
      <c r="F30729" s="2" t="str">
        <f>HYPERLINK("http://www.otzar.org/book.asp?8323","עדות לישראל")</f>
        <v>עדות לישראל</v>
      </c>
    </row>
    <row r="30730" spans="1:6" x14ac:dyDescent="0.2">
      <c r="A30730" t="s">
        <v>48265</v>
      </c>
      <c r="B30730" t="s">
        <v>48267</v>
      </c>
      <c r="C30730" t="s">
        <v>550</v>
      </c>
      <c r="D30730" t="s">
        <v>535</v>
      </c>
      <c r="E30730" t="s">
        <v>10</v>
      </c>
      <c r="F30730" s="2" t="str">
        <f>HYPERLINK("http://www.otzar.org/book.asp?28660","עדות לישראל")</f>
        <v>עדות לישראל</v>
      </c>
    </row>
    <row r="30731" spans="1:6" x14ac:dyDescent="0.2">
      <c r="A30731" t="s">
        <v>48265</v>
      </c>
      <c r="B30731" t="s">
        <v>30614</v>
      </c>
      <c r="C30731" t="s">
        <v>4374</v>
      </c>
      <c r="D30731" t="s">
        <v>1008</v>
      </c>
      <c r="E30731" t="s">
        <v>241</v>
      </c>
      <c r="F30731" s="2" t="str">
        <f>HYPERLINK("http://www.otzar.org/book.asp?148823","עדות לישראל")</f>
        <v>עדות לישראל</v>
      </c>
    </row>
    <row r="30732" spans="1:6" x14ac:dyDescent="0.2">
      <c r="A30732" t="s">
        <v>48265</v>
      </c>
      <c r="B30732" t="s">
        <v>48268</v>
      </c>
      <c r="C30732" t="s">
        <v>237</v>
      </c>
      <c r="D30732" t="s">
        <v>9</v>
      </c>
      <c r="E30732" t="s">
        <v>48269</v>
      </c>
      <c r="F30732" s="2" t="str">
        <f>HYPERLINK("http://www.otzar.org/book.asp?13014","עדות לישראל")</f>
        <v>עדות לישראל</v>
      </c>
    </row>
    <row r="30733" spans="1:6" x14ac:dyDescent="0.2">
      <c r="A30733" t="s">
        <v>48265</v>
      </c>
      <c r="B30733" t="s">
        <v>45058</v>
      </c>
      <c r="C30733" t="s">
        <v>6052</v>
      </c>
      <c r="D30733" t="s">
        <v>1422</v>
      </c>
      <c r="E30733" t="s">
        <v>144</v>
      </c>
      <c r="F30733" s="2" t="str">
        <f>HYPERLINK("http://www.otzar.org/book.asp?100304","עדות לישראל")</f>
        <v>עדות לישראל</v>
      </c>
    </row>
    <row r="30734" spans="1:6" x14ac:dyDescent="0.2">
      <c r="A30734" t="s">
        <v>48270</v>
      </c>
      <c r="B30734" t="s">
        <v>48271</v>
      </c>
      <c r="C30734" t="s">
        <v>168</v>
      </c>
      <c r="D30734" t="s">
        <v>367</v>
      </c>
      <c r="E30734" t="s">
        <v>202</v>
      </c>
      <c r="F30734" s="2" t="str">
        <f>HYPERLINK("http://www.otzar.org/book.asp?624913","עדות לשושן - 1")</f>
        <v>עדות לשושן - 1</v>
      </c>
    </row>
    <row r="30735" spans="1:6" x14ac:dyDescent="0.2">
      <c r="A30735" t="s">
        <v>48272</v>
      </c>
      <c r="B30735" t="s">
        <v>48273</v>
      </c>
      <c r="C30735" t="s">
        <v>767</v>
      </c>
      <c r="D30735" t="s">
        <v>5183</v>
      </c>
      <c r="E30735" t="s">
        <v>154</v>
      </c>
      <c r="F30735" s="2" t="str">
        <f>HYPERLINK("http://www.otzar.org/book.asp?60991","עדות משה")</f>
        <v>עדות משה</v>
      </c>
    </row>
    <row r="30736" spans="1:6" x14ac:dyDescent="0.2">
      <c r="A30736" t="s">
        <v>48274</v>
      </c>
      <c r="B30736" t="s">
        <v>48275</v>
      </c>
      <c r="C30736" t="s">
        <v>106</v>
      </c>
      <c r="D30736" t="s">
        <v>14</v>
      </c>
      <c r="E30736" t="s">
        <v>2775</v>
      </c>
      <c r="F30736" s="2" t="str">
        <f>HYPERLINK("http://www.otzar.org/book.asp?144665","עדות נאמנה - 2 כר'")</f>
        <v>עדות נאמנה - 2 כר'</v>
      </c>
    </row>
    <row r="30737" spans="1:6" x14ac:dyDescent="0.2">
      <c r="A30737" t="s">
        <v>48276</v>
      </c>
      <c r="B30737" t="s">
        <v>2553</v>
      </c>
      <c r="C30737" t="s">
        <v>12351</v>
      </c>
      <c r="D30737" t="s">
        <v>8592</v>
      </c>
      <c r="E30737" t="s">
        <v>10013</v>
      </c>
      <c r="F30737" s="2" t="str">
        <f>HYPERLINK("http://www.otzar.org/book.asp?104369","עדות נאמנה")</f>
        <v>עדות נאמנה</v>
      </c>
    </row>
    <row r="30738" spans="1:6" x14ac:dyDescent="0.2">
      <c r="A30738" t="s">
        <v>48277</v>
      </c>
      <c r="B30738" t="s">
        <v>1750</v>
      </c>
      <c r="C30738" t="s">
        <v>16207</v>
      </c>
      <c r="D30738" t="s">
        <v>14</v>
      </c>
      <c r="E30738" t="s">
        <v>202</v>
      </c>
      <c r="F30738" s="2" t="str">
        <f>HYPERLINK("http://www.otzar.org/book.asp?100012","עדות קובץ תורני - 17 כר'")</f>
        <v>עדות קובץ תורני - 17 כר'</v>
      </c>
    </row>
    <row r="30739" spans="1:6" x14ac:dyDescent="0.2">
      <c r="A30739" t="s">
        <v>48278</v>
      </c>
      <c r="B30739" t="s">
        <v>48279</v>
      </c>
      <c r="C30739" t="s">
        <v>775</v>
      </c>
      <c r="D30739" t="s">
        <v>14</v>
      </c>
      <c r="E30739" t="s">
        <v>15</v>
      </c>
      <c r="F30739" s="2" t="str">
        <f>HYPERLINK("http://www.otzar.org/book.asp?183280","עדות שמואל")</f>
        <v>עדות שמואל</v>
      </c>
    </row>
    <row r="30740" spans="1:6" x14ac:dyDescent="0.2">
      <c r="A30740" t="s">
        <v>48280</v>
      </c>
      <c r="B30740" t="s">
        <v>48281</v>
      </c>
      <c r="C30740" t="s">
        <v>366</v>
      </c>
      <c r="D30740" t="s">
        <v>486</v>
      </c>
      <c r="F30740" s="2" t="str">
        <f>HYPERLINK("http://www.otzar.org/book.asp?616123","עדותיך אתבונן")</f>
        <v>עדותיך אתבונן</v>
      </c>
    </row>
    <row r="30741" spans="1:6" x14ac:dyDescent="0.2">
      <c r="A30741" t="s">
        <v>48282</v>
      </c>
      <c r="B30741" t="s">
        <v>22527</v>
      </c>
      <c r="C30741" t="s">
        <v>3690</v>
      </c>
      <c r="D30741" t="s">
        <v>283</v>
      </c>
      <c r="E30741" t="s">
        <v>564</v>
      </c>
      <c r="F30741" s="2" t="str">
        <f>HYPERLINK("http://www.otzar.org/book.asp?103611","עדן גנים")</f>
        <v>עדן גנים</v>
      </c>
    </row>
    <row r="30742" spans="1:6" x14ac:dyDescent="0.2">
      <c r="A30742" t="s">
        <v>48283</v>
      </c>
      <c r="B30742" t="s">
        <v>7457</v>
      </c>
      <c r="C30742" t="s">
        <v>114</v>
      </c>
      <c r="D30742" t="s">
        <v>14</v>
      </c>
      <c r="E30742" t="s">
        <v>104</v>
      </c>
      <c r="F30742" s="2" t="str">
        <f>HYPERLINK("http://www.otzar.org/book.asp?171446","עדן מקדם &lt;מהדורת ישמח לב&gt;")</f>
        <v>עדן מקדם &lt;מהדורת ישמח לב&gt;</v>
      </c>
    </row>
    <row r="30743" spans="1:6" x14ac:dyDescent="0.2">
      <c r="A30743" t="s">
        <v>48284</v>
      </c>
      <c r="B30743" t="s">
        <v>7457</v>
      </c>
      <c r="C30743" t="s">
        <v>1470</v>
      </c>
      <c r="D30743" t="s">
        <v>7458</v>
      </c>
      <c r="E30743" t="s">
        <v>104</v>
      </c>
      <c r="F30743" s="2" t="str">
        <f>HYPERLINK("http://www.otzar.org/book.asp?149176","עדן מקדם")</f>
        <v>עדן מקדם</v>
      </c>
    </row>
    <row r="30744" spans="1:6" x14ac:dyDescent="0.2">
      <c r="A30744" t="s">
        <v>48285</v>
      </c>
      <c r="B30744" t="s">
        <v>28040</v>
      </c>
      <c r="C30744" t="s">
        <v>1954</v>
      </c>
      <c r="D30744" t="s">
        <v>27</v>
      </c>
      <c r="E30744" t="s">
        <v>104</v>
      </c>
      <c r="F30744" s="2" t="str">
        <f>HYPERLINK("http://www.otzar.org/book.asp?15342","עדן ציון")</f>
        <v>עדן ציון</v>
      </c>
    </row>
    <row r="30745" spans="1:6" x14ac:dyDescent="0.2">
      <c r="A30745" t="s">
        <v>48286</v>
      </c>
      <c r="B30745" t="s">
        <v>40578</v>
      </c>
      <c r="C30745" t="s">
        <v>168</v>
      </c>
      <c r="D30745" t="s">
        <v>3825</v>
      </c>
      <c r="E30745" t="s">
        <v>2071</v>
      </c>
      <c r="F30745" s="2" t="str">
        <f>HYPERLINK("http://www.otzar.org/book.asp?85433","עדרי צאן")</f>
        <v>עדרי צאן</v>
      </c>
    </row>
    <row r="30746" spans="1:6" x14ac:dyDescent="0.2">
      <c r="A30746" t="s">
        <v>48287</v>
      </c>
      <c r="B30746" t="s">
        <v>48288</v>
      </c>
      <c r="C30746" t="s">
        <v>44059</v>
      </c>
      <c r="D30746" t="s">
        <v>27</v>
      </c>
      <c r="E30746" t="s">
        <v>7754</v>
      </c>
      <c r="F30746" s="2" t="str">
        <f>HYPERLINK("http://www.otzar.org/book.asp?13802","עדת יעקב - א")</f>
        <v>עדת יעקב - א</v>
      </c>
    </row>
    <row r="30747" spans="1:6" x14ac:dyDescent="0.2">
      <c r="A30747" t="s">
        <v>48289</v>
      </c>
      <c r="B30747" t="s">
        <v>48290</v>
      </c>
      <c r="C30747" t="s">
        <v>585</v>
      </c>
      <c r="D30747" t="s">
        <v>412</v>
      </c>
      <c r="E30747" t="s">
        <v>144</v>
      </c>
      <c r="F30747" s="2" t="str">
        <f>HYPERLINK("http://www.otzar.org/book.asp?154122","עדת יעקב - 6 כר'")</f>
        <v>עדת יעקב - 6 כר'</v>
      </c>
    </row>
    <row r="30748" spans="1:6" x14ac:dyDescent="0.2">
      <c r="A30748" t="s">
        <v>48291</v>
      </c>
      <c r="B30748" t="s">
        <v>665</v>
      </c>
      <c r="C30748" t="s">
        <v>411</v>
      </c>
      <c r="D30748" t="s">
        <v>14</v>
      </c>
      <c r="E30748" t="s">
        <v>172</v>
      </c>
      <c r="F30748" s="2" t="str">
        <f>HYPERLINK("http://www.otzar.org/book.asp?602793","עדת מעזו - 2 כר'")</f>
        <v>עדת מעזו - 2 כר'</v>
      </c>
    </row>
    <row r="30749" spans="1:6" x14ac:dyDescent="0.2">
      <c r="A30749" t="s">
        <v>48292</v>
      </c>
      <c r="B30749" t="s">
        <v>48293</v>
      </c>
      <c r="C30749" t="s">
        <v>87</v>
      </c>
      <c r="D30749" t="s">
        <v>27</v>
      </c>
      <c r="E30749" t="s">
        <v>5398</v>
      </c>
      <c r="F30749" s="2" t="str">
        <f>HYPERLINK("http://www.otzar.org/book.asp?154059","עובדא דאהרן - 2 כר'")</f>
        <v>עובדא דאהרן - 2 כר'</v>
      </c>
    </row>
    <row r="30750" spans="1:6" x14ac:dyDescent="0.2">
      <c r="A30750" t="s">
        <v>48294</v>
      </c>
      <c r="B30750" t="s">
        <v>48295</v>
      </c>
      <c r="C30750" t="s">
        <v>244</v>
      </c>
      <c r="D30750" t="s">
        <v>90</v>
      </c>
      <c r="E30750" t="s">
        <v>119</v>
      </c>
      <c r="F30750" s="2" t="str">
        <f>HYPERLINK("http://www.otzar.org/book.asp?601103","עובדות דרבי לוי - 2 כר'")</f>
        <v>עובדות דרבי לוי - 2 כר'</v>
      </c>
    </row>
    <row r="30751" spans="1:6" x14ac:dyDescent="0.2">
      <c r="A30751" t="s">
        <v>48296</v>
      </c>
      <c r="B30751" t="s">
        <v>18210</v>
      </c>
      <c r="C30751" t="s">
        <v>466</v>
      </c>
      <c r="D30751" t="s">
        <v>14</v>
      </c>
      <c r="E30751" t="s">
        <v>119</v>
      </c>
      <c r="F30751" s="2" t="str">
        <f>HYPERLINK("http://www.otzar.org/book.asp?180645","עובדות והנהגות - 4 כר'")</f>
        <v>עובדות והנהגות - 4 כר'</v>
      </c>
    </row>
    <row r="30752" spans="1:6" x14ac:dyDescent="0.2">
      <c r="A30752" t="s">
        <v>48297</v>
      </c>
      <c r="B30752" t="s">
        <v>48298</v>
      </c>
      <c r="C30752" t="s">
        <v>37</v>
      </c>
      <c r="D30752" t="s">
        <v>147</v>
      </c>
      <c r="E30752" t="s">
        <v>15</v>
      </c>
      <c r="F30752" s="2" t="str">
        <f>HYPERLINK("http://www.otzar.org/book.asp?601387","עובדין דחול")</f>
        <v>עובדין דחול</v>
      </c>
    </row>
    <row r="30753" spans="1:6" x14ac:dyDescent="0.2">
      <c r="A30753" t="s">
        <v>48299</v>
      </c>
      <c r="B30753" t="s">
        <v>48300</v>
      </c>
      <c r="C30753" t="s">
        <v>946</v>
      </c>
      <c r="D30753" t="s">
        <v>8555</v>
      </c>
      <c r="E30753" t="s">
        <v>15</v>
      </c>
      <c r="F30753" s="2" t="str">
        <f>HYPERLINK("http://www.otzar.org/book.asp?147023","עובר אורח")</f>
        <v>עובר אורח</v>
      </c>
    </row>
    <row r="30754" spans="1:6" x14ac:dyDescent="0.2">
      <c r="A30754" t="s">
        <v>48301</v>
      </c>
      <c r="B30754" t="s">
        <v>5058</v>
      </c>
      <c r="C30754" t="s">
        <v>411</v>
      </c>
      <c r="D30754" t="s">
        <v>118</v>
      </c>
      <c r="E30754" t="s">
        <v>172</v>
      </c>
      <c r="F30754" s="2" t="str">
        <f>HYPERLINK("http://www.otzar.org/book.asp?165115","עובר אורח - מתוך ארחות חיים")</f>
        <v>עובר אורח - מתוך ארחות חיים</v>
      </c>
    </row>
    <row r="30755" spans="1:6" x14ac:dyDescent="0.2">
      <c r="A30755" t="s">
        <v>48299</v>
      </c>
      <c r="B30755" t="s">
        <v>48302</v>
      </c>
      <c r="C30755" t="s">
        <v>4114</v>
      </c>
      <c r="D30755" t="s">
        <v>48303</v>
      </c>
      <c r="E30755" t="s">
        <v>28</v>
      </c>
      <c r="F30755" s="2" t="str">
        <f>HYPERLINK("http://www.otzar.org/book.asp?21459","עובר אורח")</f>
        <v>עובר אורח</v>
      </c>
    </row>
    <row r="30756" spans="1:6" x14ac:dyDescent="0.2">
      <c r="A30756" t="s">
        <v>48304</v>
      </c>
      <c r="B30756" t="s">
        <v>1105</v>
      </c>
      <c r="C30756" t="s">
        <v>244</v>
      </c>
      <c r="D30756" t="s">
        <v>14</v>
      </c>
      <c r="E30756" t="s">
        <v>104</v>
      </c>
      <c r="F30756" s="2" t="str">
        <f>HYPERLINK("http://www.otzar.org/book.asp?620312","עובר לסופר")</f>
        <v>עובר לסופר</v>
      </c>
    </row>
    <row r="30757" spans="1:6" x14ac:dyDescent="0.2">
      <c r="A30757" t="s">
        <v>48305</v>
      </c>
      <c r="B30757" t="s">
        <v>107</v>
      </c>
      <c r="C30757" t="s">
        <v>17</v>
      </c>
      <c r="D30757" t="s">
        <v>14</v>
      </c>
      <c r="E30757" t="s">
        <v>674</v>
      </c>
      <c r="F30757" s="2" t="str">
        <f>HYPERLINK("http://www.otzar.org/book.asp?6342","עוברי דרכים")</f>
        <v>עוברי דרכים</v>
      </c>
    </row>
    <row r="30758" spans="1:6" x14ac:dyDescent="0.2">
      <c r="A30758" t="s">
        <v>48306</v>
      </c>
      <c r="B30758" t="s">
        <v>1845</v>
      </c>
      <c r="C30758" t="s">
        <v>2605</v>
      </c>
      <c r="D30758" t="s">
        <v>212</v>
      </c>
      <c r="E30758" t="s">
        <v>154</v>
      </c>
      <c r="F30758" s="2" t="str">
        <f>HYPERLINK("http://www.otzar.org/book.asp?101740","עוגת אליהו")</f>
        <v>עוגת אליהו</v>
      </c>
    </row>
    <row r="30759" spans="1:6" x14ac:dyDescent="0.2">
      <c r="A30759" t="s">
        <v>48306</v>
      </c>
      <c r="B30759" t="s">
        <v>28188</v>
      </c>
      <c r="C30759" t="s">
        <v>1663</v>
      </c>
      <c r="D30759" t="s">
        <v>986</v>
      </c>
      <c r="E30759" t="s">
        <v>154</v>
      </c>
      <c r="F30759" s="2" t="str">
        <f>HYPERLINK("http://www.otzar.org/book.asp?10828","עוגת אליהו")</f>
        <v>עוגת אליהו</v>
      </c>
    </row>
    <row r="30760" spans="1:6" x14ac:dyDescent="0.2">
      <c r="A30760" t="s">
        <v>48307</v>
      </c>
      <c r="B30760" t="s">
        <v>48308</v>
      </c>
      <c r="C30760" t="s">
        <v>68</v>
      </c>
      <c r="D30760" t="s">
        <v>229</v>
      </c>
      <c r="E30760" t="s">
        <v>3516</v>
      </c>
      <c r="F30760" s="2" t="str">
        <f>HYPERLINK("http://www.otzar.org/book.asp?167919","עוד חזון למועד - 3 כר'")</f>
        <v>עוד חזון למועד - 3 כר'</v>
      </c>
    </row>
    <row r="30761" spans="1:6" x14ac:dyDescent="0.2">
      <c r="A30761" t="s">
        <v>48309</v>
      </c>
      <c r="B30761" t="s">
        <v>48310</v>
      </c>
      <c r="C30761" t="s">
        <v>176</v>
      </c>
      <c r="D30761" t="s">
        <v>412</v>
      </c>
      <c r="F30761" s="2" t="str">
        <f>HYPERLINK("http://www.otzar.org/book.asp?163727","עוד יהללוך סלה - עניני הלל")</f>
        <v>עוד יהללוך סלה - עניני הלל</v>
      </c>
    </row>
    <row r="30762" spans="1:6" x14ac:dyDescent="0.2">
      <c r="A30762" t="s">
        <v>48311</v>
      </c>
      <c r="B30762" t="s">
        <v>48312</v>
      </c>
      <c r="C30762" t="s">
        <v>20</v>
      </c>
      <c r="D30762" t="s">
        <v>90</v>
      </c>
      <c r="E30762" t="s">
        <v>119</v>
      </c>
      <c r="F30762" s="2" t="str">
        <f>HYPERLINK("http://www.otzar.org/book.asp?624905","עוד יוסף חי")</f>
        <v>עוד יוסף חי</v>
      </c>
    </row>
    <row r="30763" spans="1:6" x14ac:dyDescent="0.2">
      <c r="A30763" t="s">
        <v>48311</v>
      </c>
      <c r="B30763" t="s">
        <v>4980</v>
      </c>
      <c r="C30763" t="s">
        <v>585</v>
      </c>
      <c r="D30763" t="s">
        <v>14</v>
      </c>
      <c r="E30763" t="s">
        <v>119</v>
      </c>
      <c r="F30763" s="2" t="str">
        <f>HYPERLINK("http://www.otzar.org/book.asp?174263","עוד יוסף חי")</f>
        <v>עוד יוסף חי</v>
      </c>
    </row>
    <row r="30764" spans="1:6" x14ac:dyDescent="0.2">
      <c r="A30764" t="s">
        <v>48311</v>
      </c>
      <c r="B30764" t="s">
        <v>48313</v>
      </c>
      <c r="C30764" t="s">
        <v>433</v>
      </c>
      <c r="D30764" t="s">
        <v>27</v>
      </c>
      <c r="E30764" t="s">
        <v>583</v>
      </c>
      <c r="F30764" s="2" t="str">
        <f>HYPERLINK("http://www.otzar.org/book.asp?106555","עוד יוסף חי")</f>
        <v>עוד יוסף חי</v>
      </c>
    </row>
    <row r="30765" spans="1:6" x14ac:dyDescent="0.2">
      <c r="A30765" t="s">
        <v>48314</v>
      </c>
      <c r="B30765" t="s">
        <v>599</v>
      </c>
      <c r="C30765" t="s">
        <v>445</v>
      </c>
      <c r="D30765" t="s">
        <v>27</v>
      </c>
      <c r="E30765" t="s">
        <v>15</v>
      </c>
      <c r="F30765" s="2" t="str">
        <f>HYPERLINK("http://www.otzar.org/book.asp?166897","עוד יוסף חי - 3 כר'")</f>
        <v>עוד יוסף חי - 3 כר'</v>
      </c>
    </row>
    <row r="30766" spans="1:6" x14ac:dyDescent="0.2">
      <c r="A30766" t="s">
        <v>48311</v>
      </c>
      <c r="B30766" t="s">
        <v>48315</v>
      </c>
      <c r="D30766" t="s">
        <v>1156</v>
      </c>
      <c r="E30766" t="s">
        <v>202</v>
      </c>
      <c r="F30766" s="2" t="str">
        <f>HYPERLINK("http://www.otzar.org/book.asp?622375","עוד יוסף חי")</f>
        <v>עוד יוסף חי</v>
      </c>
    </row>
    <row r="30767" spans="1:6" x14ac:dyDescent="0.2">
      <c r="A30767" t="s">
        <v>48311</v>
      </c>
      <c r="B30767" t="s">
        <v>48316</v>
      </c>
      <c r="C30767" t="s">
        <v>411</v>
      </c>
      <c r="D30767" t="s">
        <v>90</v>
      </c>
      <c r="E30767" t="s">
        <v>119</v>
      </c>
      <c r="F30767" s="2" t="str">
        <f>HYPERLINK("http://www.otzar.org/book.asp?181676","עוד יוסף חי")</f>
        <v>עוד יוסף חי</v>
      </c>
    </row>
    <row r="30768" spans="1:6" x14ac:dyDescent="0.2">
      <c r="A30768" t="s">
        <v>48317</v>
      </c>
      <c r="B30768" t="s">
        <v>48318</v>
      </c>
      <c r="C30768" t="s">
        <v>189</v>
      </c>
      <c r="D30768" t="s">
        <v>14</v>
      </c>
      <c r="E30768" t="s">
        <v>219</v>
      </c>
      <c r="F30768" s="2" t="str">
        <f>HYPERLINK("http://www.otzar.org/book.asp?28466","עוד יוסף חי - 8 כר'")</f>
        <v>עוד יוסף חי - 8 כר'</v>
      </c>
    </row>
    <row r="30769" spans="1:6" x14ac:dyDescent="0.2">
      <c r="A30769" t="s">
        <v>48319</v>
      </c>
      <c r="B30769" t="s">
        <v>48320</v>
      </c>
      <c r="C30769" t="s">
        <v>129</v>
      </c>
      <c r="D30769" t="s">
        <v>14</v>
      </c>
      <c r="E30769" t="s">
        <v>1517</v>
      </c>
      <c r="F30769" s="2" t="str">
        <f>HYPERLINK("http://www.otzar.org/book.asp?150876","עוד יוסף חי - מחזור לתשעה באב")</f>
        <v>עוד יוסף חי - מחזור לתשעה באב</v>
      </c>
    </row>
    <row r="30770" spans="1:6" x14ac:dyDescent="0.2">
      <c r="A30770" t="s">
        <v>48321</v>
      </c>
      <c r="B30770" t="s">
        <v>48322</v>
      </c>
      <c r="C30770" t="s">
        <v>114</v>
      </c>
      <c r="D30770" t="s">
        <v>520</v>
      </c>
      <c r="E30770" t="s">
        <v>5392</v>
      </c>
      <c r="F30770" s="2" t="str">
        <f>HYPERLINK("http://www.otzar.org/book.asp?189235","עוד יצחק חי")</f>
        <v>עוד יצחק חי</v>
      </c>
    </row>
    <row r="30771" spans="1:6" x14ac:dyDescent="0.2">
      <c r="A30771" t="s">
        <v>48323</v>
      </c>
      <c r="B30771" t="s">
        <v>48324</v>
      </c>
      <c r="C30771" t="s">
        <v>523</v>
      </c>
      <c r="D30771" t="s">
        <v>2362</v>
      </c>
      <c r="F30771" s="2" t="str">
        <f>HYPERLINK("http://www.otzar.org/book.asp?610819","עוד ישראל יוסף בני חי")</f>
        <v>עוד ישראל יוסף בני חי</v>
      </c>
    </row>
    <row r="30772" spans="1:6" x14ac:dyDescent="0.2">
      <c r="A30772" t="s">
        <v>48325</v>
      </c>
      <c r="B30772" t="s">
        <v>40454</v>
      </c>
      <c r="C30772">
        <v>2000</v>
      </c>
      <c r="D30772" t="s">
        <v>1356</v>
      </c>
      <c r="E30772" t="s">
        <v>119</v>
      </c>
      <c r="F30772" s="2" t="str">
        <f>HYPERLINK("http://www.otzar.org/book.asp?602621","עודני זוכר")</f>
        <v>עודני זוכר</v>
      </c>
    </row>
    <row r="30773" spans="1:6" x14ac:dyDescent="0.2">
      <c r="A30773" t="s">
        <v>48326</v>
      </c>
      <c r="B30773" t="s">
        <v>11549</v>
      </c>
      <c r="C30773" t="s">
        <v>366</v>
      </c>
      <c r="D30773" t="s">
        <v>14</v>
      </c>
      <c r="E30773" t="s">
        <v>15</v>
      </c>
      <c r="F30773" s="2" t="str">
        <f>HYPERLINK("http://www.otzar.org/book.asp?617881","עוז בהדר")</f>
        <v>עוז בהדר</v>
      </c>
    </row>
    <row r="30774" spans="1:6" x14ac:dyDescent="0.2">
      <c r="A30774" t="s">
        <v>48327</v>
      </c>
      <c r="B30774" t="s">
        <v>48328</v>
      </c>
      <c r="C30774" t="s">
        <v>313</v>
      </c>
      <c r="D30774" t="s">
        <v>52</v>
      </c>
      <c r="E30774" t="s">
        <v>144</v>
      </c>
      <c r="F30774" s="2" t="str">
        <f>HYPERLINK("http://www.otzar.org/book.asp?159351","עוז ואורה")</f>
        <v>עוז ואורה</v>
      </c>
    </row>
    <row r="30775" spans="1:6" x14ac:dyDescent="0.2">
      <c r="A30775" t="s">
        <v>48329</v>
      </c>
      <c r="B30775" t="s">
        <v>1750</v>
      </c>
      <c r="C30775" t="s">
        <v>51</v>
      </c>
      <c r="D30775" t="s">
        <v>1511</v>
      </c>
      <c r="E30775" t="s">
        <v>186</v>
      </c>
      <c r="F30775" s="2" t="str">
        <f>HYPERLINK("http://www.otzar.org/book.asp?146473","עוז ואורה - א")</f>
        <v>עוז ואורה - א</v>
      </c>
    </row>
    <row r="30776" spans="1:6" x14ac:dyDescent="0.2">
      <c r="A30776" t="s">
        <v>48330</v>
      </c>
      <c r="B30776" t="s">
        <v>32218</v>
      </c>
      <c r="C30776" t="s">
        <v>624</v>
      </c>
      <c r="D30776" t="s">
        <v>8985</v>
      </c>
      <c r="E30776" t="s">
        <v>15</v>
      </c>
      <c r="F30776" s="2" t="str">
        <f>HYPERLINK("http://www.otzar.org/book.asp?154960","עוז והדר לבושה &lt;באנגלית&gt;")</f>
        <v>עוז והדר לבושה &lt;באנגלית&gt;</v>
      </c>
    </row>
    <row r="30777" spans="1:6" x14ac:dyDescent="0.2">
      <c r="A30777" t="s">
        <v>48331</v>
      </c>
      <c r="B30777" t="s">
        <v>32218</v>
      </c>
      <c r="C30777" t="s">
        <v>103</v>
      </c>
      <c r="D30777" t="s">
        <v>14</v>
      </c>
      <c r="E30777" t="s">
        <v>714</v>
      </c>
      <c r="F30777" s="2" t="str">
        <f>HYPERLINK("http://www.otzar.org/book.asp?154959","עוז והדר לבושה")</f>
        <v>עוז והדר לבושה</v>
      </c>
    </row>
    <row r="30778" spans="1:6" x14ac:dyDescent="0.2">
      <c r="A30778" t="s">
        <v>48332</v>
      </c>
      <c r="B30778" t="s">
        <v>5218</v>
      </c>
      <c r="C30778" t="s">
        <v>1388</v>
      </c>
      <c r="D30778" t="s">
        <v>14</v>
      </c>
      <c r="E30778" t="s">
        <v>158</v>
      </c>
      <c r="F30778" s="2" t="str">
        <f>HYPERLINK("http://www.otzar.org/book.asp?53661","עוז והדר - 2 כר'")</f>
        <v>עוז והדר - 2 כר'</v>
      </c>
    </row>
    <row r="30779" spans="1:6" x14ac:dyDescent="0.2">
      <c r="A30779" t="s">
        <v>48333</v>
      </c>
      <c r="B30779" t="s">
        <v>48334</v>
      </c>
      <c r="C30779" t="s">
        <v>1721</v>
      </c>
      <c r="D30779" t="s">
        <v>212</v>
      </c>
      <c r="E30779" t="s">
        <v>144</v>
      </c>
      <c r="F30779" s="2" t="str">
        <f>HYPERLINK("http://www.otzar.org/book.asp?9330","עוז והדר - א - שבועות ע""ז הוריות")</f>
        <v>עוז והדר - א - שבועות ע"ז הוריות</v>
      </c>
    </row>
    <row r="30780" spans="1:6" x14ac:dyDescent="0.2">
      <c r="A30780" t="s">
        <v>48335</v>
      </c>
      <c r="B30780" t="s">
        <v>3971</v>
      </c>
      <c r="C30780" t="s">
        <v>20</v>
      </c>
      <c r="D30780" t="s">
        <v>90</v>
      </c>
      <c r="E30780" t="s">
        <v>158</v>
      </c>
      <c r="F30780" s="2" t="str">
        <f>HYPERLINK("http://www.otzar.org/book.asp?180786","עוז יהודה")</f>
        <v>עוז יהודה</v>
      </c>
    </row>
    <row r="30781" spans="1:6" x14ac:dyDescent="0.2">
      <c r="A30781" t="s">
        <v>48336</v>
      </c>
      <c r="B30781" t="s">
        <v>3166</v>
      </c>
      <c r="C30781" t="s">
        <v>68</v>
      </c>
      <c r="D30781" t="s">
        <v>14</v>
      </c>
      <c r="E30781" t="s">
        <v>246</v>
      </c>
      <c r="F30781" s="2" t="str">
        <f>HYPERLINK("http://www.otzar.org/book.asp?150845","עוז יעקב - א")</f>
        <v>עוז יעקב - א</v>
      </c>
    </row>
    <row r="30782" spans="1:6" x14ac:dyDescent="0.2">
      <c r="A30782" t="s">
        <v>48337</v>
      </c>
      <c r="B30782" t="s">
        <v>48338</v>
      </c>
      <c r="C30782" t="s">
        <v>332</v>
      </c>
      <c r="D30782" t="s">
        <v>14</v>
      </c>
      <c r="E30782" t="s">
        <v>158</v>
      </c>
      <c r="F30782" s="2" t="str">
        <f>HYPERLINK("http://www.otzar.org/book.asp?617928","עוז ישועות")</f>
        <v>עוז ישועות</v>
      </c>
    </row>
    <row r="30783" spans="1:6" x14ac:dyDescent="0.2">
      <c r="A30783" t="s">
        <v>48339</v>
      </c>
      <c r="B30783" t="s">
        <v>11441</v>
      </c>
      <c r="C30783" t="s">
        <v>13</v>
      </c>
      <c r="D30783" t="s">
        <v>21</v>
      </c>
      <c r="E30783" t="s">
        <v>246</v>
      </c>
      <c r="F30783" s="2" t="str">
        <f>HYPERLINK("http://www.otzar.org/book.asp?610190","עוז לו בך - 3 כר'")</f>
        <v>עוז לו בך - 3 כר'</v>
      </c>
    </row>
    <row r="30784" spans="1:6" x14ac:dyDescent="0.2">
      <c r="A30784" t="s">
        <v>48340</v>
      </c>
      <c r="B30784" t="s">
        <v>48341</v>
      </c>
      <c r="C30784" t="s">
        <v>9914</v>
      </c>
      <c r="D30784" t="s">
        <v>1023</v>
      </c>
      <c r="E30784" t="s">
        <v>241</v>
      </c>
      <c r="F30784" s="2" t="str">
        <f>HYPERLINK("http://www.otzar.org/book.asp?147135","עוז מבטחה")</f>
        <v>עוז מבטחה</v>
      </c>
    </row>
    <row r="30785" spans="1:6" x14ac:dyDescent="0.2">
      <c r="A30785" t="s">
        <v>48342</v>
      </c>
      <c r="B30785" t="s">
        <v>4413</v>
      </c>
      <c r="C30785" t="s">
        <v>888</v>
      </c>
      <c r="D30785" t="s">
        <v>283</v>
      </c>
      <c r="E30785" t="s">
        <v>241</v>
      </c>
      <c r="F30785" s="2" t="str">
        <f>HYPERLINK("http://www.otzar.org/book.asp?11579","עוז מלך")</f>
        <v>עוז מלך</v>
      </c>
    </row>
    <row r="30786" spans="1:6" x14ac:dyDescent="0.2">
      <c r="A30786" t="s">
        <v>48342</v>
      </c>
      <c r="B30786" t="s">
        <v>776</v>
      </c>
      <c r="C30786" t="s">
        <v>433</v>
      </c>
      <c r="D30786" t="s">
        <v>27</v>
      </c>
      <c r="E30786" t="s">
        <v>246</v>
      </c>
      <c r="F30786" s="2" t="str">
        <f>HYPERLINK("http://www.otzar.org/book.asp?158931","עוז מלך")</f>
        <v>עוז מלך</v>
      </c>
    </row>
    <row r="30787" spans="1:6" x14ac:dyDescent="0.2">
      <c r="A30787" t="s">
        <v>48343</v>
      </c>
      <c r="B30787" t="s">
        <v>1681</v>
      </c>
      <c r="C30787" t="s">
        <v>23</v>
      </c>
      <c r="D30787" t="s">
        <v>80</v>
      </c>
      <c r="E30787" t="s">
        <v>246</v>
      </c>
      <c r="F30787" s="2" t="str">
        <f>HYPERLINK("http://www.otzar.org/book.asp?606829","עוז - אין עוז אלא תורה")</f>
        <v>עוז - אין עוז אלא תורה</v>
      </c>
    </row>
    <row r="30788" spans="1:6" x14ac:dyDescent="0.2">
      <c r="A30788" t="s">
        <v>48344</v>
      </c>
      <c r="B30788" t="s">
        <v>21366</v>
      </c>
      <c r="C30788" t="s">
        <v>20</v>
      </c>
      <c r="D30788" t="s">
        <v>90</v>
      </c>
      <c r="E30788" t="s">
        <v>158</v>
      </c>
      <c r="F30788" s="2" t="str">
        <f>HYPERLINK("http://www.otzar.org/book.asp?602054","עוזר ומושיע ומגן")</f>
        <v>עוזר ומושיע ומגן</v>
      </c>
    </row>
    <row r="30789" spans="1:6" x14ac:dyDescent="0.2">
      <c r="A30789" t="s">
        <v>48345</v>
      </c>
      <c r="B30789" t="s">
        <v>48346</v>
      </c>
      <c r="C30789" t="s">
        <v>244</v>
      </c>
      <c r="D30789" t="s">
        <v>14</v>
      </c>
      <c r="E30789" t="s">
        <v>15</v>
      </c>
      <c r="F30789" s="2" t="str">
        <f>HYPERLINK("http://www.otzar.org/book.asp?628114","עוזר ישראל - 4 כר'")</f>
        <v>עוזר ישראל - 4 כר'</v>
      </c>
    </row>
    <row r="30790" spans="1:6" x14ac:dyDescent="0.2">
      <c r="A30790" t="s">
        <v>48347</v>
      </c>
      <c r="B30790" t="s">
        <v>48348</v>
      </c>
      <c r="C30790" t="s">
        <v>4404</v>
      </c>
      <c r="D30790" t="s">
        <v>544</v>
      </c>
      <c r="E30790" t="s">
        <v>219</v>
      </c>
      <c r="F30790" s="2" t="str">
        <f>HYPERLINK("http://www.otzar.org/book.asp?146698","עוזר ישראל")</f>
        <v>עוזר ישראל</v>
      </c>
    </row>
    <row r="30791" spans="1:6" x14ac:dyDescent="0.2">
      <c r="A30791" t="s">
        <v>48349</v>
      </c>
      <c r="B30791" t="s">
        <v>898</v>
      </c>
      <c r="C30791" t="s">
        <v>306</v>
      </c>
      <c r="D30791" t="s">
        <v>56</v>
      </c>
      <c r="E30791" t="s">
        <v>957</v>
      </c>
      <c r="F30791" s="2" t="str">
        <f>HYPERLINK("http://www.otzar.org/book.asp?103610","עוטה אור")</f>
        <v>עוטה אור</v>
      </c>
    </row>
    <row r="30792" spans="1:6" x14ac:dyDescent="0.2">
      <c r="A30792" t="s">
        <v>48350</v>
      </c>
      <c r="B30792" t="s">
        <v>2844</v>
      </c>
      <c r="C30792" t="s">
        <v>114</v>
      </c>
      <c r="D30792" t="s">
        <v>14</v>
      </c>
      <c r="E30792" t="s">
        <v>15</v>
      </c>
      <c r="F30792" s="2" t="str">
        <f>HYPERLINK("http://www.otzar.org/book.asp?168012","עוטר ישראל בתפארה")</f>
        <v>עוטר ישראל בתפארה</v>
      </c>
    </row>
    <row r="30793" spans="1:6" x14ac:dyDescent="0.2">
      <c r="A30793" t="s">
        <v>48350</v>
      </c>
      <c r="B30793" t="s">
        <v>21895</v>
      </c>
      <c r="C30793" t="s">
        <v>244</v>
      </c>
      <c r="D30793" t="s">
        <v>1156</v>
      </c>
      <c r="E30793" t="s">
        <v>2091</v>
      </c>
      <c r="F30793" s="2" t="str">
        <f>HYPERLINK("http://www.otzar.org/book.asp?614457","עוטר ישראל בתפארה")</f>
        <v>עוטר ישראל בתפארה</v>
      </c>
    </row>
    <row r="30794" spans="1:6" x14ac:dyDescent="0.2">
      <c r="A30794" t="s">
        <v>48350</v>
      </c>
      <c r="B30794" t="s">
        <v>2396</v>
      </c>
      <c r="C30794" t="s">
        <v>114</v>
      </c>
      <c r="D30794" t="s">
        <v>1076</v>
      </c>
      <c r="E30794" t="s">
        <v>158</v>
      </c>
      <c r="F30794" s="2" t="str">
        <f>HYPERLINK("http://www.otzar.org/book.asp?165291","עוטר ישראל בתפארה")</f>
        <v>עוטר ישראל בתפארה</v>
      </c>
    </row>
    <row r="30795" spans="1:6" x14ac:dyDescent="0.2">
      <c r="A30795" t="s">
        <v>48351</v>
      </c>
      <c r="B30795" t="s">
        <v>48352</v>
      </c>
      <c r="C30795" t="s">
        <v>23</v>
      </c>
      <c r="D30795" t="s">
        <v>90</v>
      </c>
      <c r="E30795" t="s">
        <v>15</v>
      </c>
      <c r="F30795" s="2" t="str">
        <f>HYPERLINK("http://www.otzar.org/book.asp?611213","עוטר ישראל")</f>
        <v>עוטר ישראל</v>
      </c>
    </row>
    <row r="30796" spans="1:6" x14ac:dyDescent="0.2">
      <c r="A30796" t="s">
        <v>48353</v>
      </c>
      <c r="B30796" t="s">
        <v>48354</v>
      </c>
      <c r="C30796" t="s">
        <v>68</v>
      </c>
      <c r="D30796" t="s">
        <v>90</v>
      </c>
      <c r="E30796" t="s">
        <v>15</v>
      </c>
      <c r="F30796" s="2" t="str">
        <f>HYPERLINK("http://www.otzar.org/book.asp?158058","עול תורה ומצוות")</f>
        <v>עול תורה ומצוות</v>
      </c>
    </row>
    <row r="30797" spans="1:6" x14ac:dyDescent="0.2">
      <c r="A30797" t="s">
        <v>48355</v>
      </c>
      <c r="B30797" t="s">
        <v>48356</v>
      </c>
      <c r="C30797" t="s">
        <v>248</v>
      </c>
      <c r="D30797" t="s">
        <v>212</v>
      </c>
      <c r="E30797" t="s">
        <v>463</v>
      </c>
      <c r="F30797" s="2" t="str">
        <f>HYPERLINK("http://www.otzar.org/book.asp?151553","עולה חדשה")</f>
        <v>עולה חדשה</v>
      </c>
    </row>
    <row r="30798" spans="1:6" x14ac:dyDescent="0.2">
      <c r="A30798" t="s">
        <v>48357</v>
      </c>
      <c r="B30798" t="s">
        <v>686</v>
      </c>
      <c r="C30798" t="s">
        <v>13</v>
      </c>
      <c r="D30798" t="s">
        <v>52</v>
      </c>
      <c r="E30798" t="s">
        <v>2840</v>
      </c>
      <c r="F30798" s="2" t="str">
        <f>HYPERLINK("http://www.otzar.org/book.asp?61188","עולה לה'")</f>
        <v>עולה לה'</v>
      </c>
    </row>
    <row r="30799" spans="1:6" x14ac:dyDescent="0.2">
      <c r="A30799" t="s">
        <v>48358</v>
      </c>
      <c r="B30799" t="s">
        <v>15047</v>
      </c>
      <c r="C30799" t="s">
        <v>360</v>
      </c>
      <c r="D30799" t="s">
        <v>225</v>
      </c>
      <c r="E30799" t="s">
        <v>1072</v>
      </c>
      <c r="F30799" s="2" t="str">
        <f>HYPERLINK("http://www.otzar.org/book.asp?103612","עולה ליפה")</f>
        <v>עולה ליפה</v>
      </c>
    </row>
    <row r="30800" spans="1:6" x14ac:dyDescent="0.2">
      <c r="A30800" t="s">
        <v>48359</v>
      </c>
      <c r="B30800" t="s">
        <v>5005</v>
      </c>
      <c r="C30800" t="s">
        <v>411</v>
      </c>
      <c r="D30800" t="s">
        <v>14</v>
      </c>
      <c r="E30800" t="s">
        <v>172</v>
      </c>
      <c r="F30800" s="2" t="str">
        <f>HYPERLINK("http://www.otzar.org/book.asp?168660","עולה מן המדבר")</f>
        <v>עולה מן המדבר</v>
      </c>
    </row>
    <row r="30801" spans="1:6" x14ac:dyDescent="0.2">
      <c r="A30801" t="s">
        <v>48360</v>
      </c>
      <c r="B30801" t="s">
        <v>48361</v>
      </c>
      <c r="C30801" t="s">
        <v>454</v>
      </c>
      <c r="D30801" t="s">
        <v>14</v>
      </c>
      <c r="E30801" t="s">
        <v>172</v>
      </c>
      <c r="F30801" s="2" t="str">
        <f>HYPERLINK("http://www.otzar.org/book.asp?148044","עולה תמימה")</f>
        <v>עולה תמימה</v>
      </c>
    </row>
    <row r="30802" spans="1:6" x14ac:dyDescent="0.2">
      <c r="A30802" t="s">
        <v>48362</v>
      </c>
      <c r="B30802" t="s">
        <v>48363</v>
      </c>
      <c r="C30802" t="s">
        <v>146</v>
      </c>
      <c r="D30802" t="s">
        <v>3825</v>
      </c>
      <c r="E30802" t="s">
        <v>48364</v>
      </c>
      <c r="F30802" s="2" t="str">
        <f>HYPERLINK("http://www.otzar.org/book.asp?85423","עוללות אפרים")</f>
        <v>עוללות אפרים</v>
      </c>
    </row>
    <row r="30803" spans="1:6" x14ac:dyDescent="0.2">
      <c r="A30803" t="s">
        <v>48365</v>
      </c>
      <c r="B30803" t="s">
        <v>7232</v>
      </c>
      <c r="D30803" t="s">
        <v>152</v>
      </c>
      <c r="F30803" s="2" t="str">
        <f>HYPERLINK("http://www.otzar.org/book.asp?622693","עוללות אפרים - עביד אינש דינא לנפשיה")</f>
        <v>עוללות אפרים - עביד אינש דינא לנפשיה</v>
      </c>
    </row>
    <row r="30804" spans="1:6" x14ac:dyDescent="0.2">
      <c r="A30804" t="s">
        <v>48366</v>
      </c>
      <c r="B30804" t="s">
        <v>4556</v>
      </c>
      <c r="C30804" t="s">
        <v>1036</v>
      </c>
      <c r="D30804" t="s">
        <v>1279</v>
      </c>
      <c r="E30804" t="s">
        <v>1262</v>
      </c>
      <c r="F30804" s="2" t="str">
        <f>HYPERLINK("http://www.otzar.org/book.asp?465","עוללות אפרים - 3 כר'")</f>
        <v>עוללות אפרים - 3 כר'</v>
      </c>
    </row>
    <row r="30805" spans="1:6" x14ac:dyDescent="0.2">
      <c r="A30805" t="s">
        <v>48362</v>
      </c>
      <c r="B30805" t="s">
        <v>1291</v>
      </c>
      <c r="C30805" t="s">
        <v>896</v>
      </c>
      <c r="D30805" t="s">
        <v>267</v>
      </c>
      <c r="E30805" t="s">
        <v>15</v>
      </c>
      <c r="F30805" s="2" t="str">
        <f>HYPERLINK("http://www.otzar.org/book.asp?200644","עוללות אפרים")</f>
        <v>עוללות אפרים</v>
      </c>
    </row>
    <row r="30806" spans="1:6" x14ac:dyDescent="0.2">
      <c r="A30806" t="s">
        <v>48362</v>
      </c>
      <c r="B30806" t="s">
        <v>48367</v>
      </c>
      <c r="C30806" t="s">
        <v>473</v>
      </c>
      <c r="D30806" t="s">
        <v>379</v>
      </c>
      <c r="E30806" t="s">
        <v>733</v>
      </c>
      <c r="F30806" s="2" t="str">
        <f>HYPERLINK("http://www.otzar.org/book.asp?10126","עוללות אפרים")</f>
        <v>עוללות אפרים</v>
      </c>
    </row>
    <row r="30807" spans="1:6" x14ac:dyDescent="0.2">
      <c r="A30807" t="s">
        <v>48368</v>
      </c>
      <c r="B30807" t="s">
        <v>48369</v>
      </c>
      <c r="C30807" t="s">
        <v>427</v>
      </c>
      <c r="D30807" t="s">
        <v>14</v>
      </c>
      <c r="E30807" t="s">
        <v>1211</v>
      </c>
      <c r="F30807" s="2" t="str">
        <f>HYPERLINK("http://www.otzar.org/book.asp?170727","עוללות ישראל")</f>
        <v>עוללות ישראל</v>
      </c>
    </row>
    <row r="30808" spans="1:6" x14ac:dyDescent="0.2">
      <c r="A30808" t="s">
        <v>48370</v>
      </c>
      <c r="B30808" t="s">
        <v>26029</v>
      </c>
      <c r="C30808" t="s">
        <v>68</v>
      </c>
      <c r="D30808" t="s">
        <v>412</v>
      </c>
      <c r="E30808" t="s">
        <v>2071</v>
      </c>
      <c r="F30808" s="2" t="str">
        <f>HYPERLINK("http://www.otzar.org/book.asp?170849","עוללות שמואל")</f>
        <v>עוללות שמואל</v>
      </c>
    </row>
    <row r="30809" spans="1:6" x14ac:dyDescent="0.2">
      <c r="A30809" t="s">
        <v>48371</v>
      </c>
      <c r="B30809" t="s">
        <v>20665</v>
      </c>
      <c r="C30809" t="s">
        <v>419</v>
      </c>
      <c r="D30809" t="s">
        <v>216</v>
      </c>
      <c r="E30809" t="s">
        <v>84</v>
      </c>
      <c r="F30809" s="2" t="str">
        <f>HYPERLINK("http://www.otzar.org/book.asp?179800","עוללות")</f>
        <v>עוללות</v>
      </c>
    </row>
    <row r="30810" spans="1:6" x14ac:dyDescent="0.2">
      <c r="A30810" t="s">
        <v>48372</v>
      </c>
      <c r="B30810" t="s">
        <v>35751</v>
      </c>
      <c r="C30810" t="s">
        <v>48373</v>
      </c>
      <c r="D30810" t="s">
        <v>60</v>
      </c>
      <c r="E30810" t="s">
        <v>399</v>
      </c>
      <c r="F30810" s="2" t="str">
        <f>HYPERLINK("http://www.otzar.org/book.asp?102089","עולם אחד")</f>
        <v>עולם אחד</v>
      </c>
    </row>
    <row r="30811" spans="1:6" x14ac:dyDescent="0.2">
      <c r="A30811" t="s">
        <v>48374</v>
      </c>
      <c r="B30811" t="s">
        <v>35751</v>
      </c>
      <c r="C30811" t="s">
        <v>48373</v>
      </c>
      <c r="D30811" t="s">
        <v>60</v>
      </c>
      <c r="E30811" t="s">
        <v>399</v>
      </c>
      <c r="F30811" s="2" t="str">
        <f>HYPERLINK("http://www.otzar.org/book.asp?12912","עולם ברור")</f>
        <v>עולם ברור</v>
      </c>
    </row>
    <row r="30812" spans="1:6" x14ac:dyDescent="0.2">
      <c r="A30812" t="s">
        <v>48375</v>
      </c>
      <c r="B30812" t="s">
        <v>35751</v>
      </c>
      <c r="C30812" t="s">
        <v>3635</v>
      </c>
      <c r="D30812" t="s">
        <v>60</v>
      </c>
      <c r="E30812" t="s">
        <v>399</v>
      </c>
      <c r="F30812" s="2" t="str">
        <f>HYPERLINK("http://www.otzar.org/book.asp?102090","עולם הגדול")</f>
        <v>עולם הגדול</v>
      </c>
    </row>
    <row r="30813" spans="1:6" x14ac:dyDescent="0.2">
      <c r="A30813" t="s">
        <v>48376</v>
      </c>
      <c r="B30813" t="s">
        <v>5427</v>
      </c>
      <c r="C30813" t="s">
        <v>103</v>
      </c>
      <c r="D30813" t="s">
        <v>14</v>
      </c>
      <c r="E30813" t="s">
        <v>741</v>
      </c>
      <c r="F30813" s="2" t="str">
        <f>HYPERLINK("http://www.otzar.org/book.asp?190839","עולם הזה עולם הבא")</f>
        <v>עולם הזה עולם הבא</v>
      </c>
    </row>
    <row r="30814" spans="1:6" x14ac:dyDescent="0.2">
      <c r="A30814" t="s">
        <v>48377</v>
      </c>
      <c r="B30814" t="s">
        <v>48378</v>
      </c>
      <c r="C30814" t="s">
        <v>422</v>
      </c>
      <c r="D30814" t="s">
        <v>152</v>
      </c>
      <c r="E30814" t="s">
        <v>241</v>
      </c>
      <c r="F30814" s="2" t="str">
        <f>HYPERLINK("http://www.otzar.org/book.asp?153990","עולם הישיבה")</f>
        <v>עולם הישיבה</v>
      </c>
    </row>
    <row r="30815" spans="1:6" x14ac:dyDescent="0.2">
      <c r="A30815" t="s">
        <v>48379</v>
      </c>
      <c r="B30815" t="s">
        <v>6539</v>
      </c>
      <c r="C30815" t="s">
        <v>146</v>
      </c>
      <c r="D30815" t="s">
        <v>4400</v>
      </c>
      <c r="E30815" t="s">
        <v>703</v>
      </c>
      <c r="F30815" s="2" t="str">
        <f>HYPERLINK("http://www.otzar.org/book.asp?148340","עולם המחשבה - 2 כר'")</f>
        <v>עולם המחשבה - 2 כר'</v>
      </c>
    </row>
    <row r="30816" spans="1:6" x14ac:dyDescent="0.2">
      <c r="A30816" t="s">
        <v>48380</v>
      </c>
      <c r="B30816" t="s">
        <v>3384</v>
      </c>
      <c r="C30816" t="s">
        <v>466</v>
      </c>
      <c r="D30816" t="s">
        <v>14</v>
      </c>
      <c r="E30816" t="s">
        <v>104</v>
      </c>
      <c r="F30816" s="2" t="str">
        <f>HYPERLINK("http://www.otzar.org/book.asp?60646","עולם הנצח")</f>
        <v>עולם הנצח</v>
      </c>
    </row>
    <row r="30817" spans="1:6" x14ac:dyDescent="0.2">
      <c r="A30817" t="s">
        <v>48381</v>
      </c>
      <c r="B30817" t="s">
        <v>35751</v>
      </c>
      <c r="C30817" t="s">
        <v>48373</v>
      </c>
      <c r="D30817" t="s">
        <v>60</v>
      </c>
      <c r="E30817" t="s">
        <v>399</v>
      </c>
      <c r="F30817" s="2" t="str">
        <f>HYPERLINK("http://www.otzar.org/book.asp?102088","עולם הפוך")</f>
        <v>עולם הפוך</v>
      </c>
    </row>
    <row r="30818" spans="1:6" x14ac:dyDescent="0.2">
      <c r="A30818" t="s">
        <v>48381</v>
      </c>
      <c r="B30818" t="s">
        <v>48382</v>
      </c>
      <c r="C30818" t="s">
        <v>985</v>
      </c>
      <c r="D30818" t="s">
        <v>27</v>
      </c>
      <c r="E30818" t="s">
        <v>119</v>
      </c>
      <c r="F30818" s="2" t="str">
        <f>HYPERLINK("http://www.otzar.org/book.asp?147120","עולם הפוך")</f>
        <v>עולם הפוך</v>
      </c>
    </row>
    <row r="30819" spans="1:6" x14ac:dyDescent="0.2">
      <c r="A30819" t="s">
        <v>48383</v>
      </c>
      <c r="B30819" t="s">
        <v>20523</v>
      </c>
      <c r="C30819" t="s">
        <v>163</v>
      </c>
      <c r="D30819" t="s">
        <v>1037</v>
      </c>
      <c r="E30819" t="s">
        <v>241</v>
      </c>
      <c r="F30819" s="2" t="str">
        <f>HYPERLINK("http://www.otzar.org/book.asp?102093","עולם הקטן")</f>
        <v>עולם הקטן</v>
      </c>
    </row>
    <row r="30820" spans="1:6" x14ac:dyDescent="0.2">
      <c r="A30820" t="s">
        <v>48384</v>
      </c>
      <c r="B30820" t="s">
        <v>48385</v>
      </c>
      <c r="C30820" t="s">
        <v>433</v>
      </c>
      <c r="D30820" t="s">
        <v>9</v>
      </c>
      <c r="E30820" t="s">
        <v>202</v>
      </c>
      <c r="F30820" s="2" t="str">
        <f>HYPERLINK("http://www.otzar.org/book.asp?51748","עולם התורה - א א")</f>
        <v>עולם התורה - א א</v>
      </c>
    </row>
    <row r="30821" spans="1:6" x14ac:dyDescent="0.2">
      <c r="A30821" t="s">
        <v>48386</v>
      </c>
      <c r="B30821" t="s">
        <v>48387</v>
      </c>
      <c r="C30821" t="s">
        <v>48388</v>
      </c>
      <c r="D30821" t="s">
        <v>412</v>
      </c>
      <c r="E30821" t="s">
        <v>202</v>
      </c>
      <c r="F30821" s="2" t="str">
        <f>HYPERLINK("http://www.otzar.org/book.asp?171546","עולם התורה - 2 כר'")</f>
        <v>עולם התורה - 2 כר'</v>
      </c>
    </row>
    <row r="30822" spans="1:6" x14ac:dyDescent="0.2">
      <c r="A30822" t="s">
        <v>48386</v>
      </c>
      <c r="B30822" t="s">
        <v>1091</v>
      </c>
      <c r="C30822" t="s">
        <v>244</v>
      </c>
      <c r="D30822" t="s">
        <v>21</v>
      </c>
      <c r="E30822" t="s">
        <v>119</v>
      </c>
      <c r="F30822" s="2" t="str">
        <f>HYPERLINK("http://www.otzar.org/book.asp?605659","עולם התורה - 2 כר'")</f>
        <v>עולם התורה - 2 כר'</v>
      </c>
    </row>
    <row r="30823" spans="1:6" x14ac:dyDescent="0.2">
      <c r="A30823" t="s">
        <v>48385</v>
      </c>
      <c r="B30823" t="s">
        <v>48389</v>
      </c>
      <c r="C30823" t="s">
        <v>146</v>
      </c>
      <c r="D30823" t="s">
        <v>52</v>
      </c>
      <c r="E30823" t="s">
        <v>186</v>
      </c>
      <c r="F30823" s="2" t="str">
        <f>HYPERLINK("http://www.otzar.org/book.asp?161609","עולם התורה")</f>
        <v>עולם התורה</v>
      </c>
    </row>
    <row r="30824" spans="1:6" x14ac:dyDescent="0.2">
      <c r="A30824" t="s">
        <v>48390</v>
      </c>
      <c r="B30824" t="s">
        <v>48391</v>
      </c>
      <c r="C30824" t="s">
        <v>812</v>
      </c>
      <c r="D30824" t="s">
        <v>739</v>
      </c>
      <c r="E30824" t="s">
        <v>219</v>
      </c>
      <c r="F30824" s="2" t="str">
        <f>HYPERLINK("http://www.otzar.org/book.asp?153934","עולם התפילות - 3 כר'")</f>
        <v>עולם התפילות - 3 כר'</v>
      </c>
    </row>
    <row r="30825" spans="1:6" x14ac:dyDescent="0.2">
      <c r="A30825" t="s">
        <v>48392</v>
      </c>
      <c r="B30825" t="s">
        <v>48393</v>
      </c>
      <c r="C30825" t="s">
        <v>11383</v>
      </c>
      <c r="D30825" t="s">
        <v>563</v>
      </c>
      <c r="F30825" s="2" t="str">
        <f>HYPERLINK("http://www.otzar.org/book.asp?53529","עולם חדש עולם הפוך")</f>
        <v>עולם חדש עולם הפוך</v>
      </c>
    </row>
    <row r="30826" spans="1:6" x14ac:dyDescent="0.2">
      <c r="A30826" t="s">
        <v>48394</v>
      </c>
      <c r="B30826" t="s">
        <v>48395</v>
      </c>
      <c r="C30826" t="s">
        <v>1208</v>
      </c>
      <c r="D30826" t="s">
        <v>52</v>
      </c>
      <c r="E30826" t="s">
        <v>241</v>
      </c>
      <c r="F30826" s="2" t="str">
        <f>HYPERLINK("http://www.otzar.org/book.asp?191231","עולם חסד יבנה")</f>
        <v>עולם חסד יבנה</v>
      </c>
    </row>
    <row r="30827" spans="1:6" x14ac:dyDescent="0.2">
      <c r="A30827" t="s">
        <v>48396</v>
      </c>
      <c r="B30827" t="s">
        <v>48397</v>
      </c>
      <c r="C30827" t="s">
        <v>466</v>
      </c>
      <c r="D30827" t="s">
        <v>423</v>
      </c>
      <c r="E30827" t="s">
        <v>2098</v>
      </c>
      <c r="F30827" s="2" t="str">
        <f>HYPERLINK("http://www.otzar.org/book.asp?190914","עולם חסד יבנה - 8 כר'")</f>
        <v>עולם חסד יבנה - 8 כר'</v>
      </c>
    </row>
    <row r="30828" spans="1:6" x14ac:dyDescent="0.2">
      <c r="A30828" t="s">
        <v>48394</v>
      </c>
      <c r="B30828" t="s">
        <v>48398</v>
      </c>
      <c r="C30828" t="s">
        <v>533</v>
      </c>
      <c r="D30828" t="s">
        <v>52</v>
      </c>
      <c r="E30828" t="s">
        <v>241</v>
      </c>
      <c r="F30828" s="2" t="str">
        <f>HYPERLINK("http://www.otzar.org/book.asp?63653","עולם חסד יבנה")</f>
        <v>עולם חסד יבנה</v>
      </c>
    </row>
    <row r="30829" spans="1:6" x14ac:dyDescent="0.2">
      <c r="A30829" t="s">
        <v>48399</v>
      </c>
      <c r="B30829" t="s">
        <v>20310</v>
      </c>
      <c r="C30829" t="s">
        <v>411</v>
      </c>
      <c r="D30829" t="s">
        <v>486</v>
      </c>
      <c r="E30829" t="s">
        <v>213</v>
      </c>
      <c r="F30829" s="2" t="str">
        <f>HYPERLINK("http://www.otzar.org/book.asp?603990","עולם יפה יותר")</f>
        <v>עולם יפה יותר</v>
      </c>
    </row>
    <row r="30830" spans="1:6" x14ac:dyDescent="0.2">
      <c r="A30830" t="s">
        <v>48400</v>
      </c>
      <c r="B30830" t="s">
        <v>48401</v>
      </c>
      <c r="C30830" t="s">
        <v>360</v>
      </c>
      <c r="D30830" t="s">
        <v>283</v>
      </c>
      <c r="E30830" t="s">
        <v>64</v>
      </c>
      <c r="F30830" s="2" t="str">
        <f>HYPERLINK("http://www.otzar.org/book.asp?158321","עולם עשייה - 2 כר'")</f>
        <v>עולם עשייה - 2 כר'</v>
      </c>
    </row>
    <row r="30831" spans="1:6" x14ac:dyDescent="0.2">
      <c r="A30831" t="s">
        <v>48402</v>
      </c>
      <c r="B30831" t="s">
        <v>1827</v>
      </c>
      <c r="C30831" t="s">
        <v>8</v>
      </c>
      <c r="D30831" t="s">
        <v>1966</v>
      </c>
      <c r="E30831" t="s">
        <v>8049</v>
      </c>
      <c r="F30831" s="2" t="str">
        <f>HYPERLINK("http://www.otzar.org/book.asp?103614","עולם קטן")</f>
        <v>עולם קטן</v>
      </c>
    </row>
    <row r="30832" spans="1:6" x14ac:dyDescent="0.2">
      <c r="A30832" t="s">
        <v>48403</v>
      </c>
      <c r="B30832" t="s">
        <v>3270</v>
      </c>
      <c r="C30832" t="s">
        <v>1388</v>
      </c>
      <c r="D30832" t="s">
        <v>14</v>
      </c>
      <c r="E30832" t="s">
        <v>119</v>
      </c>
      <c r="F30832" s="2" t="str">
        <f>HYPERLINK("http://www.otzar.org/book.asp?147835","עולמו של אבא")</f>
        <v>עולמו של אבא</v>
      </c>
    </row>
    <row r="30833" spans="1:6" x14ac:dyDescent="0.2">
      <c r="A30833" t="s">
        <v>48404</v>
      </c>
      <c r="B30833" t="s">
        <v>48405</v>
      </c>
      <c r="C30833" t="s">
        <v>17</v>
      </c>
      <c r="D30833" t="s">
        <v>52</v>
      </c>
      <c r="E30833" t="s">
        <v>119</v>
      </c>
      <c r="F30833" s="2" t="str">
        <f>HYPERLINK("http://www.otzar.org/book.asp?159173","עולמו של חסיד - 2 כר'")</f>
        <v>עולמו של חסיד - 2 כר'</v>
      </c>
    </row>
    <row r="30834" spans="1:6" x14ac:dyDescent="0.2">
      <c r="A30834" t="s">
        <v>48406</v>
      </c>
      <c r="B30834" t="s">
        <v>7629</v>
      </c>
      <c r="C30834" t="s">
        <v>124</v>
      </c>
      <c r="D30834" t="s">
        <v>14</v>
      </c>
      <c r="E30834" t="s">
        <v>119</v>
      </c>
      <c r="F30834" s="2" t="str">
        <f>HYPERLINK("http://www.otzar.org/book.asp?83886","עולמו של צדיק")</f>
        <v>עולמו של צדיק</v>
      </c>
    </row>
    <row r="30835" spans="1:6" x14ac:dyDescent="0.2">
      <c r="A30835" t="s">
        <v>48407</v>
      </c>
      <c r="B30835" t="s">
        <v>48408</v>
      </c>
      <c r="C30835" t="s">
        <v>843</v>
      </c>
      <c r="D30835" t="s">
        <v>260</v>
      </c>
      <c r="E30835" t="s">
        <v>733</v>
      </c>
      <c r="F30835" s="2" t="str">
        <f>HYPERLINK("http://www.otzar.org/book.asp?154050","עולמות טמירים")</f>
        <v>עולמות טמירים</v>
      </c>
    </row>
    <row r="30836" spans="1:6" x14ac:dyDescent="0.2">
      <c r="A30836" t="s">
        <v>48409</v>
      </c>
      <c r="B30836" t="s">
        <v>48410</v>
      </c>
      <c r="C30836" t="s">
        <v>17</v>
      </c>
      <c r="D30836" t="s">
        <v>52</v>
      </c>
      <c r="F30836" s="2" t="str">
        <f>HYPERLINK("http://www.otzar.org/book.asp?182808","עולמות של טוהר")</f>
        <v>עולמות של טוהר</v>
      </c>
    </row>
    <row r="30837" spans="1:6" x14ac:dyDescent="0.2">
      <c r="A30837" t="s">
        <v>48411</v>
      </c>
      <c r="B30837" t="s">
        <v>48412</v>
      </c>
      <c r="C30837" t="s">
        <v>466</v>
      </c>
      <c r="D30837" t="s">
        <v>52</v>
      </c>
      <c r="E30837" t="s">
        <v>119</v>
      </c>
      <c r="F30837" s="2" t="str">
        <f>HYPERLINK("http://www.otzar.org/book.asp?165787","עולמם של גדולים - ואלה תולדות יצחק")</f>
        <v>עולמם של גדולים - ואלה תולדות יצחק</v>
      </c>
    </row>
    <row r="30838" spans="1:6" x14ac:dyDescent="0.2">
      <c r="A30838" t="s">
        <v>48413</v>
      </c>
      <c r="B30838" t="s">
        <v>41804</v>
      </c>
      <c r="C30838" t="s">
        <v>402</v>
      </c>
      <c r="D30838" t="s">
        <v>7163</v>
      </c>
      <c r="E30838" t="s">
        <v>144</v>
      </c>
      <c r="F30838" s="2" t="str">
        <f>HYPERLINK("http://www.otzar.org/book.asp?200079","עולת אהרן")</f>
        <v>עולת אהרן</v>
      </c>
    </row>
    <row r="30839" spans="1:6" x14ac:dyDescent="0.2">
      <c r="A30839" t="s">
        <v>48414</v>
      </c>
      <c r="B30839" t="s">
        <v>5358</v>
      </c>
      <c r="C30839" t="s">
        <v>1096</v>
      </c>
      <c r="D30839" t="s">
        <v>27</v>
      </c>
      <c r="E30839" t="s">
        <v>559</v>
      </c>
      <c r="F30839" s="2" t="str">
        <f>HYPERLINK("http://www.otzar.org/book.asp?100968","עולת אי""ש")</f>
        <v>עולת אי"ש</v>
      </c>
    </row>
    <row r="30840" spans="1:6" x14ac:dyDescent="0.2">
      <c r="A30840" t="s">
        <v>48415</v>
      </c>
      <c r="B30840" t="s">
        <v>48416</v>
      </c>
      <c r="C30840" t="s">
        <v>68</v>
      </c>
      <c r="D30840" t="s">
        <v>14</v>
      </c>
      <c r="E30840" t="s">
        <v>144</v>
      </c>
      <c r="F30840" s="2" t="str">
        <f>HYPERLINK("http://www.otzar.org/book.asp?158782","עולת איש - 3 כר'")</f>
        <v>עולת איש - 3 כר'</v>
      </c>
    </row>
    <row r="30841" spans="1:6" x14ac:dyDescent="0.2">
      <c r="A30841" t="s">
        <v>48417</v>
      </c>
      <c r="B30841" t="s">
        <v>48418</v>
      </c>
      <c r="C30841" t="s">
        <v>37</v>
      </c>
      <c r="D30841" t="s">
        <v>14</v>
      </c>
      <c r="E30841" t="s">
        <v>933</v>
      </c>
      <c r="F30841" s="2" t="str">
        <f>HYPERLINK("http://www.otzar.org/book.asp?191162","עולת איש - 4 כר'")</f>
        <v>עולת איש - 4 כר'</v>
      </c>
    </row>
    <row r="30842" spans="1:6" x14ac:dyDescent="0.2">
      <c r="A30842" t="s">
        <v>48419</v>
      </c>
      <c r="B30842" t="s">
        <v>48420</v>
      </c>
      <c r="C30842" t="s">
        <v>244</v>
      </c>
      <c r="D30842" t="s">
        <v>412</v>
      </c>
      <c r="E30842" t="s">
        <v>84</v>
      </c>
      <c r="F30842" s="2" t="str">
        <f>HYPERLINK("http://www.otzar.org/book.asp?600182","עולת הבקר - 3 כר'")</f>
        <v>עולת הבקר - 3 כר'</v>
      </c>
    </row>
    <row r="30843" spans="1:6" x14ac:dyDescent="0.2">
      <c r="A30843" t="s">
        <v>48421</v>
      </c>
      <c r="B30843" t="s">
        <v>35267</v>
      </c>
      <c r="C30843" t="s">
        <v>266</v>
      </c>
      <c r="D30843" t="s">
        <v>855</v>
      </c>
      <c r="E30843" t="s">
        <v>399</v>
      </c>
      <c r="F30843" s="2" t="str">
        <f>HYPERLINK("http://www.otzar.org/book.asp?7924","עולת החדש")</f>
        <v>עולת החדש</v>
      </c>
    </row>
    <row r="30844" spans="1:6" x14ac:dyDescent="0.2">
      <c r="A30844" t="s">
        <v>48421</v>
      </c>
      <c r="B30844" t="s">
        <v>48422</v>
      </c>
      <c r="C30844" t="s">
        <v>79</v>
      </c>
      <c r="D30844" t="s">
        <v>1889</v>
      </c>
      <c r="E30844" t="s">
        <v>219</v>
      </c>
      <c r="F30844" s="2" t="str">
        <f>HYPERLINK("http://www.otzar.org/book.asp?300512","עולת החדש")</f>
        <v>עולת החדש</v>
      </c>
    </row>
    <row r="30845" spans="1:6" x14ac:dyDescent="0.2">
      <c r="A30845" t="s">
        <v>48421</v>
      </c>
      <c r="B30845" t="s">
        <v>48423</v>
      </c>
      <c r="C30845" t="s">
        <v>1036</v>
      </c>
      <c r="D30845" t="s">
        <v>56</v>
      </c>
      <c r="E30845" t="s">
        <v>219</v>
      </c>
      <c r="F30845" s="2" t="str">
        <f>HYPERLINK("http://www.otzar.org/book.asp?21691","עולת החדש")</f>
        <v>עולת החדש</v>
      </c>
    </row>
    <row r="30846" spans="1:6" x14ac:dyDescent="0.2">
      <c r="A30846" t="s">
        <v>48424</v>
      </c>
      <c r="B30846" t="s">
        <v>290</v>
      </c>
      <c r="C30846" t="s">
        <v>23</v>
      </c>
      <c r="D30846" t="s">
        <v>52</v>
      </c>
      <c r="E30846" t="s">
        <v>219</v>
      </c>
      <c r="F30846" s="2" t="str">
        <f>HYPERLINK("http://www.otzar.org/book.asp?606622","עולת החודש - יום כיפור קטן")</f>
        <v>עולת החודש - יום כיפור קטן</v>
      </c>
    </row>
    <row r="30847" spans="1:6" x14ac:dyDescent="0.2">
      <c r="A30847" t="s">
        <v>48425</v>
      </c>
      <c r="B30847" t="s">
        <v>7023</v>
      </c>
      <c r="C30847" t="s">
        <v>433</v>
      </c>
      <c r="D30847" t="s">
        <v>260</v>
      </c>
      <c r="E30847" t="s">
        <v>674</v>
      </c>
      <c r="F30847" s="2" t="str">
        <f>HYPERLINK("http://www.otzar.org/book.asp?12832","עולת החודש")</f>
        <v>עולת החודש</v>
      </c>
    </row>
    <row r="30848" spans="1:6" x14ac:dyDescent="0.2">
      <c r="A30848" t="s">
        <v>48426</v>
      </c>
      <c r="B30848" t="s">
        <v>489</v>
      </c>
      <c r="C30848" t="s">
        <v>332</v>
      </c>
      <c r="D30848" t="s">
        <v>412</v>
      </c>
      <c r="E30848" t="s">
        <v>202</v>
      </c>
      <c r="F30848" s="2" t="str">
        <f>HYPERLINK("http://www.otzar.org/book.asp?190943","עולת החודש - 7 כר'")</f>
        <v>עולת החודש - 7 כר'</v>
      </c>
    </row>
    <row r="30849" spans="1:6" x14ac:dyDescent="0.2">
      <c r="A30849" t="s">
        <v>48427</v>
      </c>
      <c r="B30849" t="s">
        <v>28706</v>
      </c>
      <c r="C30849" t="s">
        <v>46</v>
      </c>
      <c r="D30849" t="s">
        <v>7894</v>
      </c>
      <c r="E30849" t="s">
        <v>1517</v>
      </c>
      <c r="F30849" s="2" t="str">
        <f>HYPERLINK("http://www.otzar.org/book.asp?151256","עולת הרגל")</f>
        <v>עולת הרגל</v>
      </c>
    </row>
    <row r="30850" spans="1:6" x14ac:dyDescent="0.2">
      <c r="A30850" t="s">
        <v>48428</v>
      </c>
      <c r="B30850" t="s">
        <v>11406</v>
      </c>
      <c r="C30850" t="s">
        <v>20</v>
      </c>
      <c r="D30850" t="s">
        <v>90</v>
      </c>
      <c r="E30850" t="s">
        <v>467</v>
      </c>
      <c r="F30850" s="2" t="str">
        <f>HYPERLINK("http://www.otzar.org/book.asp?602861","עולת חדש בחדשו")</f>
        <v>עולת חדש בחדשו</v>
      </c>
    </row>
    <row r="30851" spans="1:6" x14ac:dyDescent="0.2">
      <c r="A30851" t="s">
        <v>48429</v>
      </c>
      <c r="B30851" t="s">
        <v>1923</v>
      </c>
      <c r="C30851" t="s">
        <v>244</v>
      </c>
      <c r="D30851" t="s">
        <v>1180</v>
      </c>
      <c r="F30851" s="2" t="str">
        <f>HYPERLINK("http://www.otzar.org/book.asp?600675","עולת חודש שני - אהבת דוד- מבשר טוב &lt;מהדורה חדשה&gt;")</f>
        <v>עולת חודש שני - אהבת דוד- מבשר טוב &lt;מהדורה חדשה&gt;</v>
      </c>
    </row>
    <row r="30852" spans="1:6" x14ac:dyDescent="0.2">
      <c r="A30852" t="s">
        <v>48430</v>
      </c>
      <c r="B30852" t="s">
        <v>38933</v>
      </c>
      <c r="C30852" t="s">
        <v>48431</v>
      </c>
      <c r="D30852" t="s">
        <v>283</v>
      </c>
      <c r="E30852" t="s">
        <v>234</v>
      </c>
      <c r="F30852" s="2" t="str">
        <f>HYPERLINK("http://www.otzar.org/book.asp?102096","עולת חודש - 3 כר'")</f>
        <v>עולת חודש - 3 כר'</v>
      </c>
    </row>
    <row r="30853" spans="1:6" x14ac:dyDescent="0.2">
      <c r="A30853" t="s">
        <v>48432</v>
      </c>
      <c r="B30853" t="s">
        <v>1923</v>
      </c>
      <c r="C30853" t="s">
        <v>1924</v>
      </c>
      <c r="D30853" t="s">
        <v>744</v>
      </c>
      <c r="E30853" t="s">
        <v>564</v>
      </c>
      <c r="F30853" s="2" t="str">
        <f>HYPERLINK("http://www.otzar.org/book.asp?102098","עולת חודש - 6 כר'")</f>
        <v>עולת חודש - 6 כר'</v>
      </c>
    </row>
    <row r="30854" spans="1:6" x14ac:dyDescent="0.2">
      <c r="A30854" t="s">
        <v>48433</v>
      </c>
      <c r="B30854" t="s">
        <v>489</v>
      </c>
      <c r="C30854" t="s">
        <v>48434</v>
      </c>
      <c r="D30854" t="s">
        <v>1731</v>
      </c>
      <c r="E30854" t="s">
        <v>202</v>
      </c>
      <c r="F30854" s="2" t="str">
        <f>HYPERLINK("http://www.otzar.org/book.asp?22467","עולת חודש")</f>
        <v>עולת חודש</v>
      </c>
    </row>
    <row r="30855" spans="1:6" x14ac:dyDescent="0.2">
      <c r="A30855" t="s">
        <v>48435</v>
      </c>
      <c r="B30855" t="s">
        <v>48436</v>
      </c>
      <c r="C30855" t="s">
        <v>244</v>
      </c>
      <c r="D30855" t="s">
        <v>2196</v>
      </c>
      <c r="E30855" t="s">
        <v>144</v>
      </c>
      <c r="F30855" s="2" t="str">
        <f>HYPERLINK("http://www.otzar.org/book.asp?607623","עולת יוסף")</f>
        <v>עולת יוסף</v>
      </c>
    </row>
    <row r="30856" spans="1:6" x14ac:dyDescent="0.2">
      <c r="A30856" t="s">
        <v>48437</v>
      </c>
      <c r="B30856" t="s">
        <v>48438</v>
      </c>
      <c r="C30856" t="s">
        <v>454</v>
      </c>
      <c r="D30856" t="s">
        <v>14</v>
      </c>
      <c r="E30856" t="s">
        <v>144</v>
      </c>
      <c r="F30856" s="2" t="str">
        <f>HYPERLINK("http://www.otzar.org/book.asp?150984","עולת יצחק - 2 כר'")</f>
        <v>עולת יצחק - 2 כר'</v>
      </c>
    </row>
    <row r="30857" spans="1:6" x14ac:dyDescent="0.2">
      <c r="A30857" t="s">
        <v>48439</v>
      </c>
      <c r="B30857" t="s">
        <v>48440</v>
      </c>
      <c r="C30857" t="s">
        <v>11127</v>
      </c>
      <c r="D30857" t="s">
        <v>544</v>
      </c>
      <c r="E30857" t="s">
        <v>35854</v>
      </c>
      <c r="F30857" s="2" t="str">
        <f>HYPERLINK("http://www.otzar.org/book.asp?102099","עולת יצחק")</f>
        <v>עולת יצחק</v>
      </c>
    </row>
    <row r="30858" spans="1:6" x14ac:dyDescent="0.2">
      <c r="A30858" t="s">
        <v>48441</v>
      </c>
      <c r="B30858" t="s">
        <v>48442</v>
      </c>
      <c r="C30858" t="s">
        <v>8882</v>
      </c>
      <c r="D30858" t="s">
        <v>744</v>
      </c>
      <c r="E30858" t="s">
        <v>15</v>
      </c>
      <c r="F30858" s="2" t="str">
        <f>HYPERLINK("http://www.otzar.org/book.asp?64056","עולת יצחק - 3 כר'")</f>
        <v>עולת יצחק - 3 כר'</v>
      </c>
    </row>
    <row r="30859" spans="1:6" x14ac:dyDescent="0.2">
      <c r="A30859" t="s">
        <v>48443</v>
      </c>
      <c r="B30859" t="s">
        <v>48444</v>
      </c>
      <c r="C30859" t="s">
        <v>16796</v>
      </c>
      <c r="D30859" t="s">
        <v>1833</v>
      </c>
      <c r="E30859" t="s">
        <v>15</v>
      </c>
      <c r="F30859" s="2" t="str">
        <f>HYPERLINK("http://www.otzar.org/book.asp?147145","עולת יצחק - מהדורה תנינא")</f>
        <v>עולת יצחק - מהדורה תנינא</v>
      </c>
    </row>
    <row r="30860" spans="1:6" x14ac:dyDescent="0.2">
      <c r="A30860" t="s">
        <v>48445</v>
      </c>
      <c r="B30860" t="s">
        <v>5360</v>
      </c>
      <c r="C30860" t="s">
        <v>244</v>
      </c>
      <c r="D30860" t="s">
        <v>90</v>
      </c>
      <c r="E30860" t="s">
        <v>144</v>
      </c>
      <c r="F30860" s="2" t="str">
        <f>HYPERLINK("http://www.otzar.org/book.asp?610412","עולת יצחק - מראי מקומות נשים נזיקין")</f>
        <v>עולת יצחק - מראי מקומות נשים נזיקין</v>
      </c>
    </row>
    <row r="30861" spans="1:6" x14ac:dyDescent="0.2">
      <c r="A30861" t="s">
        <v>48446</v>
      </c>
      <c r="B30861" t="s">
        <v>48447</v>
      </c>
      <c r="C30861" t="s">
        <v>185</v>
      </c>
      <c r="D30861" t="s">
        <v>90</v>
      </c>
      <c r="E30861" t="s">
        <v>144</v>
      </c>
      <c r="F30861" s="2" t="str">
        <f>HYPERLINK("http://www.otzar.org/book.asp?629324","עולת יצחק - 12 כר'")</f>
        <v>עולת יצחק - 12 כר'</v>
      </c>
    </row>
    <row r="30862" spans="1:6" x14ac:dyDescent="0.2">
      <c r="A30862" t="s">
        <v>48437</v>
      </c>
      <c r="B30862" t="s">
        <v>48448</v>
      </c>
      <c r="C30862" t="s">
        <v>1718</v>
      </c>
      <c r="D30862" t="s">
        <v>56</v>
      </c>
      <c r="E30862" t="s">
        <v>154</v>
      </c>
      <c r="F30862" s="2" t="str">
        <f>HYPERLINK("http://www.otzar.org/book.asp?9737","עולת יצחק - 2 כר'")</f>
        <v>עולת יצחק - 2 כר'</v>
      </c>
    </row>
    <row r="30863" spans="1:6" x14ac:dyDescent="0.2">
      <c r="A30863" t="s">
        <v>48441</v>
      </c>
      <c r="B30863" t="s">
        <v>17331</v>
      </c>
      <c r="C30863" t="s">
        <v>785</v>
      </c>
      <c r="D30863" t="s">
        <v>52</v>
      </c>
      <c r="E30863" t="s">
        <v>588</v>
      </c>
      <c r="F30863" s="2" t="str">
        <f>HYPERLINK("http://www.otzar.org/book.asp?107427","עולת יצחק - 3 כר'")</f>
        <v>עולת יצחק - 3 כר'</v>
      </c>
    </row>
    <row r="30864" spans="1:6" x14ac:dyDescent="0.2">
      <c r="A30864" t="s">
        <v>48439</v>
      </c>
      <c r="B30864" t="s">
        <v>48449</v>
      </c>
      <c r="C30864" t="s">
        <v>1096</v>
      </c>
      <c r="D30864" t="s">
        <v>2181</v>
      </c>
      <c r="E30864" t="s">
        <v>463</v>
      </c>
      <c r="F30864" s="2" t="str">
        <f>HYPERLINK("http://www.otzar.org/book.asp?141114","עולת יצחק")</f>
        <v>עולת יצחק</v>
      </c>
    </row>
    <row r="30865" spans="1:6" x14ac:dyDescent="0.2">
      <c r="A30865" t="s">
        <v>48450</v>
      </c>
      <c r="B30865" t="s">
        <v>4737</v>
      </c>
      <c r="C30865" t="s">
        <v>482</v>
      </c>
      <c r="D30865" t="s">
        <v>27</v>
      </c>
      <c r="E30865" t="s">
        <v>10</v>
      </c>
      <c r="F30865" s="2" t="str">
        <f>HYPERLINK("http://www.otzar.org/book.asp?20470","עולת ירוחם")</f>
        <v>עולת ירוחם</v>
      </c>
    </row>
    <row r="30866" spans="1:6" x14ac:dyDescent="0.2">
      <c r="A30866" t="s">
        <v>48451</v>
      </c>
      <c r="B30866" t="s">
        <v>16806</v>
      </c>
      <c r="C30866" t="s">
        <v>454</v>
      </c>
      <c r="D30866" t="s">
        <v>14</v>
      </c>
      <c r="E30866" t="s">
        <v>15</v>
      </c>
      <c r="F30866" s="2" t="str">
        <f>HYPERLINK("http://www.otzar.org/book.asp?23248","עולת כהן - 2 כר'")</f>
        <v>עולת כהן - 2 כר'</v>
      </c>
    </row>
    <row r="30867" spans="1:6" x14ac:dyDescent="0.2">
      <c r="A30867" t="s">
        <v>48452</v>
      </c>
      <c r="B30867" t="s">
        <v>10638</v>
      </c>
      <c r="C30867" t="s">
        <v>151</v>
      </c>
      <c r="D30867" t="s">
        <v>52</v>
      </c>
      <c r="E30867" t="s">
        <v>144</v>
      </c>
      <c r="F30867" s="2" t="str">
        <f>HYPERLINK("http://www.otzar.org/book.asp?612145","עולת כהנים - 3 כר'")</f>
        <v>עולת כהנים - 3 כר'</v>
      </c>
    </row>
    <row r="30868" spans="1:6" x14ac:dyDescent="0.2">
      <c r="A30868" t="s">
        <v>48453</v>
      </c>
      <c r="B30868" t="s">
        <v>48454</v>
      </c>
      <c r="C30868" t="s">
        <v>609</v>
      </c>
      <c r="D30868" t="s">
        <v>1117</v>
      </c>
      <c r="E30868" t="s">
        <v>234</v>
      </c>
      <c r="F30868" s="2" t="str">
        <f>HYPERLINK("http://www.otzar.org/book.asp?51515","עולת מועד")</f>
        <v>עולת מועד</v>
      </c>
    </row>
    <row r="30869" spans="1:6" x14ac:dyDescent="0.2">
      <c r="A30869" t="s">
        <v>48455</v>
      </c>
      <c r="B30869" t="s">
        <v>48456</v>
      </c>
      <c r="C30869" t="s">
        <v>23</v>
      </c>
      <c r="D30869" t="s">
        <v>152</v>
      </c>
      <c r="E30869" t="s">
        <v>144</v>
      </c>
      <c r="F30869" s="2" t="str">
        <f>HYPERLINK("http://www.otzar.org/book.asp?193827","עולת משה")</f>
        <v>עולת משה</v>
      </c>
    </row>
    <row r="30870" spans="1:6" x14ac:dyDescent="0.2">
      <c r="A30870" t="s">
        <v>48457</v>
      </c>
      <c r="B30870" t="s">
        <v>2016</v>
      </c>
      <c r="C30870" t="s">
        <v>160</v>
      </c>
      <c r="D30870" t="s">
        <v>260</v>
      </c>
      <c r="E30870" t="s">
        <v>154</v>
      </c>
      <c r="F30870" s="2" t="str">
        <f>HYPERLINK("http://www.otzar.org/book.asp?102715","עולת נח")</f>
        <v>עולת נח</v>
      </c>
    </row>
    <row r="30871" spans="1:6" x14ac:dyDescent="0.2">
      <c r="A30871" t="s">
        <v>48458</v>
      </c>
      <c r="B30871" t="s">
        <v>14569</v>
      </c>
      <c r="C30871" t="s">
        <v>20</v>
      </c>
      <c r="D30871" t="s">
        <v>90</v>
      </c>
      <c r="E30871" t="s">
        <v>158</v>
      </c>
      <c r="F30871" s="2" t="str">
        <f>HYPERLINK("http://www.otzar.org/book.asp?190952","עולת שבת בשבתו ומועד במועדו - 5 כר'")</f>
        <v>עולת שבת בשבתו ומועד במועדו - 5 כר'</v>
      </c>
    </row>
    <row r="30872" spans="1:6" x14ac:dyDescent="0.2">
      <c r="A30872" t="s">
        <v>48459</v>
      </c>
      <c r="B30872" t="s">
        <v>43605</v>
      </c>
      <c r="C30872" t="s">
        <v>5125</v>
      </c>
      <c r="D30872" t="s">
        <v>49</v>
      </c>
      <c r="E30872" t="s">
        <v>158</v>
      </c>
      <c r="F30872" s="2" t="str">
        <f>HYPERLINK("http://www.otzar.org/book.asp?5085","עולת שבת")</f>
        <v>עולת שבת</v>
      </c>
    </row>
    <row r="30873" spans="1:6" x14ac:dyDescent="0.2">
      <c r="A30873" t="s">
        <v>48459</v>
      </c>
      <c r="B30873" t="s">
        <v>35267</v>
      </c>
      <c r="C30873" t="s">
        <v>752</v>
      </c>
      <c r="D30873" t="s">
        <v>855</v>
      </c>
      <c r="E30873" t="s">
        <v>2758</v>
      </c>
      <c r="F30873" s="2" t="str">
        <f>HYPERLINK("http://www.otzar.org/book.asp?7923","עולת שבת")</f>
        <v>עולת שבת</v>
      </c>
    </row>
    <row r="30874" spans="1:6" x14ac:dyDescent="0.2">
      <c r="A30874" t="s">
        <v>48460</v>
      </c>
      <c r="B30874" t="s">
        <v>477</v>
      </c>
      <c r="C30874" t="s">
        <v>23</v>
      </c>
      <c r="D30874" t="s">
        <v>21</v>
      </c>
      <c r="E30874" t="s">
        <v>158</v>
      </c>
      <c r="F30874" s="2" t="str">
        <f>HYPERLINK("http://www.otzar.org/book.asp?603995","עולת שבת - בראשית, שמות")</f>
        <v>עולת שבת - בראשית, שמות</v>
      </c>
    </row>
    <row r="30875" spans="1:6" x14ac:dyDescent="0.2">
      <c r="A30875" t="s">
        <v>48461</v>
      </c>
      <c r="B30875" t="s">
        <v>48462</v>
      </c>
      <c r="C30875" t="s">
        <v>1640</v>
      </c>
      <c r="D30875" t="s">
        <v>1180</v>
      </c>
      <c r="E30875" t="s">
        <v>144</v>
      </c>
      <c r="F30875" s="2" t="str">
        <f>HYPERLINK("http://www.otzar.org/book.asp?104047","עולת שבת - א")</f>
        <v>עולת שבת - א</v>
      </c>
    </row>
    <row r="30876" spans="1:6" x14ac:dyDescent="0.2">
      <c r="A30876" t="s">
        <v>48459</v>
      </c>
      <c r="B30876" t="s">
        <v>1064</v>
      </c>
      <c r="C30876" t="s">
        <v>37</v>
      </c>
      <c r="D30876" t="s">
        <v>52</v>
      </c>
      <c r="E30876" t="s">
        <v>48463</v>
      </c>
      <c r="F30876" s="2" t="str">
        <f>HYPERLINK("http://www.otzar.org/book.asp?612392","עולת שבת")</f>
        <v>עולת שבת</v>
      </c>
    </row>
    <row r="30877" spans="1:6" x14ac:dyDescent="0.2">
      <c r="A30877" t="s">
        <v>48464</v>
      </c>
      <c r="B30877" t="s">
        <v>48465</v>
      </c>
      <c r="C30877" t="s">
        <v>71</v>
      </c>
      <c r="D30877" t="s">
        <v>412</v>
      </c>
      <c r="E30877" t="s">
        <v>10473</v>
      </c>
      <c r="F30877" s="2" t="str">
        <f>HYPERLINK("http://www.otzar.org/book.asp?147603","עולת שבת - 2 כר'")</f>
        <v>עולת שבת - 2 כר'</v>
      </c>
    </row>
    <row r="30878" spans="1:6" x14ac:dyDescent="0.2">
      <c r="A30878" t="s">
        <v>48459</v>
      </c>
      <c r="B30878" t="s">
        <v>48466</v>
      </c>
      <c r="C30878" t="s">
        <v>985</v>
      </c>
      <c r="D30878" t="s">
        <v>1889</v>
      </c>
      <c r="E30878" t="s">
        <v>219</v>
      </c>
      <c r="F30878" s="2" t="str">
        <f>HYPERLINK("http://www.otzar.org/book.asp?300510","עולת שבת")</f>
        <v>עולת שבת</v>
      </c>
    </row>
    <row r="30879" spans="1:6" x14ac:dyDescent="0.2">
      <c r="A30879" t="s">
        <v>48467</v>
      </c>
      <c r="B30879" t="s">
        <v>36331</v>
      </c>
      <c r="C30879" t="s">
        <v>87</v>
      </c>
      <c r="D30879" t="s">
        <v>21</v>
      </c>
      <c r="F30879" s="2" t="str">
        <f>HYPERLINK("http://www.otzar.org/book.asp?617541","עולת שיחי - 3 כר'")</f>
        <v>עולת שיחי - 3 כר'</v>
      </c>
    </row>
    <row r="30880" spans="1:6" x14ac:dyDescent="0.2">
      <c r="A30880" t="s">
        <v>48468</v>
      </c>
      <c r="B30880" t="s">
        <v>48469</v>
      </c>
      <c r="C30880" t="s">
        <v>87</v>
      </c>
      <c r="D30880" t="s">
        <v>52</v>
      </c>
      <c r="E30880" t="s">
        <v>158</v>
      </c>
      <c r="F30880" s="2" t="str">
        <f>HYPERLINK("http://www.otzar.org/book.asp?154818","עולת שלמה")</f>
        <v>עולת שלמה</v>
      </c>
    </row>
    <row r="30881" spans="1:6" x14ac:dyDescent="0.2">
      <c r="A30881" t="s">
        <v>48470</v>
      </c>
      <c r="B30881" t="s">
        <v>31600</v>
      </c>
      <c r="C30881" t="s">
        <v>785</v>
      </c>
      <c r="D30881" t="s">
        <v>118</v>
      </c>
      <c r="E30881" t="s">
        <v>48471</v>
      </c>
      <c r="F30881" s="2" t="str">
        <f>HYPERLINK("http://www.otzar.org/book.asp?13020","עולת שלמה - 3 כר'")</f>
        <v>עולת שלמה - 3 כר'</v>
      </c>
    </row>
    <row r="30882" spans="1:6" x14ac:dyDescent="0.2">
      <c r="A30882" t="s">
        <v>48472</v>
      </c>
      <c r="B30882" t="s">
        <v>48473</v>
      </c>
      <c r="C30882" t="s">
        <v>445</v>
      </c>
      <c r="D30882" t="s">
        <v>283</v>
      </c>
      <c r="E30882" t="s">
        <v>44556</v>
      </c>
      <c r="F30882" s="2" t="str">
        <f>HYPERLINK("http://www.otzar.org/book.asp?5864","עולת שלמה - 4 כר'")</f>
        <v>עולת שלמה - 4 כר'</v>
      </c>
    </row>
    <row r="30883" spans="1:6" x14ac:dyDescent="0.2">
      <c r="A30883" t="s">
        <v>48468</v>
      </c>
      <c r="B30883" t="s">
        <v>48474</v>
      </c>
      <c r="C30883" t="s">
        <v>454</v>
      </c>
      <c r="D30883" t="s">
        <v>90</v>
      </c>
      <c r="E30883" t="s">
        <v>202</v>
      </c>
      <c r="F30883" s="2" t="str">
        <f>HYPERLINK("http://www.otzar.org/book.asp?191507","עולת שלמה")</f>
        <v>עולת שלמה</v>
      </c>
    </row>
    <row r="30884" spans="1:6" x14ac:dyDescent="0.2">
      <c r="A30884" t="s">
        <v>48475</v>
      </c>
      <c r="B30884" t="s">
        <v>12407</v>
      </c>
      <c r="C30884" t="s">
        <v>411</v>
      </c>
      <c r="D30884" t="s">
        <v>14</v>
      </c>
      <c r="E30884" t="s">
        <v>144</v>
      </c>
      <c r="F30884" s="2" t="str">
        <f>HYPERLINK("http://www.otzar.org/book.asp?165443","עולת שמואל - בכורות")</f>
        <v>עולת שמואל - בכורות</v>
      </c>
    </row>
    <row r="30885" spans="1:6" x14ac:dyDescent="0.2">
      <c r="A30885" t="s">
        <v>48476</v>
      </c>
      <c r="B30885" t="s">
        <v>48477</v>
      </c>
      <c r="C30885" t="s">
        <v>1160</v>
      </c>
      <c r="D30885" t="s">
        <v>412</v>
      </c>
      <c r="E30885" t="s">
        <v>234</v>
      </c>
      <c r="F30885" s="2" t="str">
        <f>HYPERLINK("http://www.otzar.org/book.asp?167405","עולת שמואל")</f>
        <v>עולת שמואל</v>
      </c>
    </row>
    <row r="30886" spans="1:6" x14ac:dyDescent="0.2">
      <c r="A30886" t="s">
        <v>48478</v>
      </c>
      <c r="B30886" t="s">
        <v>48479</v>
      </c>
      <c r="C30886" t="s">
        <v>362</v>
      </c>
      <c r="D30886" t="s">
        <v>56</v>
      </c>
      <c r="E30886" t="s">
        <v>920</v>
      </c>
      <c r="F30886" s="2" t="str">
        <f>HYPERLINK("http://www.otzar.org/book.asp?9161","עולת שמואל - 2 כר'")</f>
        <v>עולת שמואל - 2 כר'</v>
      </c>
    </row>
    <row r="30887" spans="1:6" x14ac:dyDescent="0.2">
      <c r="A30887" t="s">
        <v>48476</v>
      </c>
      <c r="B30887" t="s">
        <v>48480</v>
      </c>
      <c r="C30887" t="s">
        <v>23</v>
      </c>
      <c r="D30887" t="s">
        <v>14</v>
      </c>
      <c r="E30887" t="s">
        <v>786</v>
      </c>
      <c r="F30887" s="2" t="str">
        <f>HYPERLINK("http://www.otzar.org/book.asp?618996","עולת שמואל")</f>
        <v>עולת שמואל</v>
      </c>
    </row>
    <row r="30888" spans="1:6" x14ac:dyDescent="0.2">
      <c r="A30888" t="s">
        <v>48476</v>
      </c>
      <c r="B30888" t="s">
        <v>10065</v>
      </c>
      <c r="C30888" t="s">
        <v>279</v>
      </c>
      <c r="D30888" t="s">
        <v>76</v>
      </c>
      <c r="E30888" t="s">
        <v>154</v>
      </c>
      <c r="F30888" s="2" t="str">
        <f>HYPERLINK("http://www.otzar.org/book.asp?170937","עולת שמואל")</f>
        <v>עולת שמואל</v>
      </c>
    </row>
    <row r="30889" spans="1:6" x14ac:dyDescent="0.2">
      <c r="A30889" t="s">
        <v>48476</v>
      </c>
      <c r="B30889" t="s">
        <v>1920</v>
      </c>
      <c r="C30889" t="s">
        <v>2465</v>
      </c>
      <c r="D30889" t="s">
        <v>1992</v>
      </c>
      <c r="E30889" t="s">
        <v>154</v>
      </c>
      <c r="F30889" s="2" t="str">
        <f>HYPERLINK("http://www.otzar.org/book.asp?100967","עולת שמואל")</f>
        <v>עולת שמואל</v>
      </c>
    </row>
    <row r="30890" spans="1:6" x14ac:dyDescent="0.2">
      <c r="A30890" t="s">
        <v>48478</v>
      </c>
      <c r="B30890" t="s">
        <v>48481</v>
      </c>
      <c r="C30890" t="s">
        <v>1937</v>
      </c>
      <c r="D30890" t="s">
        <v>9756</v>
      </c>
      <c r="E30890" t="s">
        <v>48482</v>
      </c>
      <c r="F30890" s="2" t="str">
        <f>HYPERLINK("http://www.otzar.org/book.asp?101518","עולת שמואל - 2 כר'")</f>
        <v>עולת שמואל - 2 כר'</v>
      </c>
    </row>
    <row r="30891" spans="1:6" x14ac:dyDescent="0.2">
      <c r="A30891" t="s">
        <v>48483</v>
      </c>
      <c r="B30891" t="s">
        <v>48484</v>
      </c>
      <c r="C30891" t="s">
        <v>411</v>
      </c>
      <c r="D30891" t="s">
        <v>14</v>
      </c>
      <c r="E30891" t="s">
        <v>144</v>
      </c>
      <c r="F30891" s="2" t="str">
        <f>HYPERLINK("http://www.otzar.org/book.asp?165563","עולת שמואל - בעניני פיגול ושלא לשמה")</f>
        <v>עולת שמואל - בעניני פיגול ושלא לשמה</v>
      </c>
    </row>
    <row r="30892" spans="1:6" x14ac:dyDescent="0.2">
      <c r="A30892" t="s">
        <v>48485</v>
      </c>
      <c r="B30892" t="s">
        <v>16914</v>
      </c>
      <c r="C30892" t="s">
        <v>6778</v>
      </c>
      <c r="D30892" t="s">
        <v>49</v>
      </c>
      <c r="E30892" t="s">
        <v>158</v>
      </c>
      <c r="F30892" s="2" t="str">
        <f>HYPERLINK("http://www.otzar.org/book.asp?104146","עולת תמיד")</f>
        <v>עולת תמיד</v>
      </c>
    </row>
    <row r="30893" spans="1:6" x14ac:dyDescent="0.2">
      <c r="A30893" t="s">
        <v>48485</v>
      </c>
      <c r="B30893" t="s">
        <v>17409</v>
      </c>
      <c r="C30893" t="s">
        <v>2008</v>
      </c>
      <c r="D30893" t="s">
        <v>974</v>
      </c>
      <c r="E30893" t="s">
        <v>1211</v>
      </c>
      <c r="F30893" s="2" t="str">
        <f>HYPERLINK("http://www.otzar.org/book.asp?104048","עולת תמיד")</f>
        <v>עולת תמיד</v>
      </c>
    </row>
    <row r="30894" spans="1:6" x14ac:dyDescent="0.2">
      <c r="A30894" t="s">
        <v>48485</v>
      </c>
      <c r="B30894" t="s">
        <v>405</v>
      </c>
      <c r="C30894" t="s">
        <v>2543</v>
      </c>
      <c r="D30894" t="s">
        <v>27</v>
      </c>
      <c r="E30894" t="s">
        <v>399</v>
      </c>
      <c r="F30894" s="2" t="str">
        <f>HYPERLINK("http://www.otzar.org/book.asp?102100","עולת תמיד")</f>
        <v>עולת תמיד</v>
      </c>
    </row>
    <row r="30895" spans="1:6" x14ac:dyDescent="0.2">
      <c r="A30895" t="s">
        <v>48486</v>
      </c>
      <c r="B30895" t="s">
        <v>48487</v>
      </c>
      <c r="C30895" t="s">
        <v>20680</v>
      </c>
      <c r="D30895" t="s">
        <v>1023</v>
      </c>
      <c r="E30895" t="s">
        <v>172</v>
      </c>
      <c r="F30895" s="2" t="str">
        <f>HYPERLINK("http://www.otzar.org/book.asp?6829","עולת תמיד - עולת שבת")</f>
        <v>עולת תמיד - עולת שבת</v>
      </c>
    </row>
    <row r="30896" spans="1:6" x14ac:dyDescent="0.2">
      <c r="A30896" t="s">
        <v>48485</v>
      </c>
      <c r="B30896" t="s">
        <v>14446</v>
      </c>
      <c r="C30896" t="s">
        <v>649</v>
      </c>
      <c r="D30896" t="s">
        <v>1422</v>
      </c>
      <c r="E30896" t="s">
        <v>786</v>
      </c>
      <c r="F30896" s="2" t="str">
        <f>HYPERLINK("http://www.otzar.org/book.asp?7614","עולת תמיד")</f>
        <v>עולת תמיד</v>
      </c>
    </row>
    <row r="30897" spans="1:6" x14ac:dyDescent="0.2">
      <c r="A30897" t="s">
        <v>48485</v>
      </c>
      <c r="B30897" t="s">
        <v>48488</v>
      </c>
      <c r="C30897" t="s">
        <v>395</v>
      </c>
      <c r="D30897" t="s">
        <v>212</v>
      </c>
      <c r="E30897" t="s">
        <v>219</v>
      </c>
      <c r="F30897" s="2" t="str">
        <f>HYPERLINK("http://www.otzar.org/book.asp?155342","עולת תמיד")</f>
        <v>עולת תמיד</v>
      </c>
    </row>
    <row r="30898" spans="1:6" x14ac:dyDescent="0.2">
      <c r="A30898" t="s">
        <v>48489</v>
      </c>
      <c r="B30898" t="s">
        <v>48490</v>
      </c>
      <c r="C30898" t="s">
        <v>411</v>
      </c>
      <c r="D30898" t="s">
        <v>14</v>
      </c>
      <c r="E30898" t="s">
        <v>148</v>
      </c>
      <c r="F30898" s="2" t="str">
        <f>HYPERLINK("http://www.otzar.org/book.asp?166626","עומק הטהרה")</f>
        <v>עומק הטהרה</v>
      </c>
    </row>
    <row r="30899" spans="1:6" x14ac:dyDescent="0.2">
      <c r="A30899" t="s">
        <v>48491</v>
      </c>
      <c r="B30899" t="s">
        <v>2224</v>
      </c>
      <c r="C30899" t="s">
        <v>1425</v>
      </c>
      <c r="D30899" t="s">
        <v>1117</v>
      </c>
      <c r="E30899" t="s">
        <v>84</v>
      </c>
      <c r="F30899" s="2" t="str">
        <f>HYPERLINK("http://www.otzar.org/book.asp?146616","עומק הלכה - 3 כר'")</f>
        <v>עומק הלכה - 3 כר'</v>
      </c>
    </row>
    <row r="30900" spans="1:6" x14ac:dyDescent="0.2">
      <c r="A30900" t="s">
        <v>48492</v>
      </c>
      <c r="B30900" t="s">
        <v>48493</v>
      </c>
      <c r="C30900" t="s">
        <v>422</v>
      </c>
      <c r="D30900" t="s">
        <v>14</v>
      </c>
      <c r="E30900" t="s">
        <v>933</v>
      </c>
      <c r="F30900" s="2" t="str">
        <f>HYPERLINK("http://www.otzar.org/book.asp?154410","עומק הפשט - 3 כר'")</f>
        <v>עומק הפשט - 3 כר'</v>
      </c>
    </row>
    <row r="30901" spans="1:6" x14ac:dyDescent="0.2">
      <c r="A30901" t="s">
        <v>48494</v>
      </c>
      <c r="B30901" t="s">
        <v>48495</v>
      </c>
      <c r="C30901" t="s">
        <v>48496</v>
      </c>
      <c r="D30901" t="s">
        <v>21</v>
      </c>
      <c r="F30901" s="2" t="str">
        <f>HYPERLINK("http://www.otzar.org/book.asp?610020","עומק הפשט - 001-135")</f>
        <v>עומק הפשט - 001-135</v>
      </c>
    </row>
    <row r="30902" spans="1:6" x14ac:dyDescent="0.2">
      <c r="A30902" t="s">
        <v>48497</v>
      </c>
      <c r="B30902" t="s">
        <v>48490</v>
      </c>
      <c r="C30902" t="s">
        <v>422</v>
      </c>
      <c r="D30902" t="s">
        <v>14</v>
      </c>
      <c r="E30902" t="s">
        <v>15</v>
      </c>
      <c r="F30902" s="2" t="str">
        <f>HYPERLINK("http://www.otzar.org/book.asp?154257","עומק הרבית - ברית פנחס")</f>
        <v>עומק הרבית - ברית פנחס</v>
      </c>
    </row>
    <row r="30903" spans="1:6" x14ac:dyDescent="0.2">
      <c r="A30903" t="s">
        <v>48498</v>
      </c>
      <c r="B30903" t="s">
        <v>1750</v>
      </c>
      <c r="C30903" t="s">
        <v>454</v>
      </c>
      <c r="D30903" t="s">
        <v>14</v>
      </c>
      <c r="E30903" t="s">
        <v>7138</v>
      </c>
      <c r="F30903" s="2" t="str">
        <f>HYPERLINK("http://www.otzar.org/book.asp?26758","עומקא דדינא - 3 כר'")</f>
        <v>עומקא דדינא - 3 כר'</v>
      </c>
    </row>
    <row r="30904" spans="1:6" x14ac:dyDescent="0.2">
      <c r="A30904" t="s">
        <v>48499</v>
      </c>
      <c r="B30904" t="s">
        <v>48500</v>
      </c>
      <c r="D30904" t="s">
        <v>14</v>
      </c>
      <c r="F30904" s="2" t="str">
        <f>HYPERLINK("http://www.otzar.org/book.asp?622967","עומקא דהוצאה")</f>
        <v>עומקא דהוצאה</v>
      </c>
    </row>
    <row r="30905" spans="1:6" x14ac:dyDescent="0.2">
      <c r="A30905" t="s">
        <v>48501</v>
      </c>
      <c r="B30905" t="s">
        <v>48502</v>
      </c>
      <c r="C30905" t="s">
        <v>411</v>
      </c>
      <c r="D30905" t="s">
        <v>21</v>
      </c>
      <c r="E30905" t="s">
        <v>202</v>
      </c>
      <c r="F30905" s="2" t="str">
        <f>HYPERLINK("http://www.otzar.org/book.asp?191163","עומקא דפרשה &lt;רמת שלמה&gt; - תשע""ב")</f>
        <v>עומקא דפרשה &lt;רמת שלמה&gt; - תשע"ב</v>
      </c>
    </row>
    <row r="30906" spans="1:6" x14ac:dyDescent="0.2">
      <c r="A30906" t="s">
        <v>48503</v>
      </c>
      <c r="B30906" t="s">
        <v>48502</v>
      </c>
      <c r="C30906" t="s">
        <v>114</v>
      </c>
      <c r="D30906" t="s">
        <v>152</v>
      </c>
      <c r="E30906" t="s">
        <v>158</v>
      </c>
      <c r="F30906" s="2" t="str">
        <f>HYPERLINK("http://www.otzar.org/book.asp?164101","עומקא דפרשה - 4 כר'")</f>
        <v>עומקא דפרשה - 4 כר'</v>
      </c>
    </row>
    <row r="30907" spans="1:6" x14ac:dyDescent="0.2">
      <c r="A30907" t="s">
        <v>48504</v>
      </c>
      <c r="B30907" t="s">
        <v>48505</v>
      </c>
      <c r="C30907" t="s">
        <v>17</v>
      </c>
      <c r="D30907" t="s">
        <v>52</v>
      </c>
      <c r="E30907" t="s">
        <v>144</v>
      </c>
      <c r="F30907" s="2" t="str">
        <f>HYPERLINK("http://www.otzar.org/book.asp?162319","עומקא דשמעתתא - 4 כר'")</f>
        <v>עומקא דשמעתתא - 4 כר'</v>
      </c>
    </row>
    <row r="30908" spans="1:6" x14ac:dyDescent="0.2">
      <c r="A30908" t="s">
        <v>48506</v>
      </c>
      <c r="B30908" t="s">
        <v>48507</v>
      </c>
      <c r="C30908" t="s">
        <v>20</v>
      </c>
      <c r="D30908" t="s">
        <v>412</v>
      </c>
      <c r="E30908" t="s">
        <v>144</v>
      </c>
      <c r="F30908" s="2" t="str">
        <f>HYPERLINK("http://www.otzar.org/book.asp?605107","עומקא דשמעתתא - גיטין")</f>
        <v>עומקא דשמעתתא - גיטין</v>
      </c>
    </row>
    <row r="30909" spans="1:6" x14ac:dyDescent="0.2">
      <c r="A30909" t="s">
        <v>48508</v>
      </c>
      <c r="B30909" t="s">
        <v>48509</v>
      </c>
      <c r="C30909" t="s">
        <v>111</v>
      </c>
      <c r="D30909" t="s">
        <v>21</v>
      </c>
      <c r="E30909" t="s">
        <v>15</v>
      </c>
      <c r="F30909" s="2" t="str">
        <f>HYPERLINK("http://www.otzar.org/book.asp?630594","עומקה של הלכה")</f>
        <v>עומקה של הלכה</v>
      </c>
    </row>
    <row r="30910" spans="1:6" x14ac:dyDescent="0.2">
      <c r="A30910" t="s">
        <v>48510</v>
      </c>
      <c r="B30910" t="s">
        <v>30917</v>
      </c>
      <c r="C30910" t="s">
        <v>68</v>
      </c>
      <c r="D30910" t="s">
        <v>14</v>
      </c>
      <c r="E30910" t="s">
        <v>144</v>
      </c>
      <c r="F30910" s="2" t="str">
        <f>HYPERLINK("http://www.otzar.org/book.asp?172915","עומקה של הלכה - פרק ערבי פסחים")</f>
        <v>עומקה של הלכה - פרק ערבי פסחים</v>
      </c>
    </row>
    <row r="30911" spans="1:6" x14ac:dyDescent="0.2">
      <c r="A30911" t="s">
        <v>48511</v>
      </c>
      <c r="B30911" t="s">
        <v>48512</v>
      </c>
      <c r="C30911" t="s">
        <v>8799</v>
      </c>
      <c r="D30911" t="s">
        <v>212</v>
      </c>
      <c r="E30911" t="s">
        <v>4940</v>
      </c>
      <c r="F30911" s="2" t="str">
        <f>HYPERLINK("http://www.otzar.org/book.asp?103618","עומר השכחה")</f>
        <v>עומר השכחה</v>
      </c>
    </row>
    <row r="30912" spans="1:6" x14ac:dyDescent="0.2">
      <c r="A30912" t="s">
        <v>48513</v>
      </c>
      <c r="B30912" t="s">
        <v>48514</v>
      </c>
      <c r="C30912" t="s">
        <v>383</v>
      </c>
      <c r="D30912" t="s">
        <v>14</v>
      </c>
      <c r="E30912" t="s">
        <v>48515</v>
      </c>
      <c r="F30912" s="2" t="str">
        <f>HYPERLINK("http://www.otzar.org/book.asp?61786","עומר התנופה")</f>
        <v>עומר התנופה</v>
      </c>
    </row>
    <row r="30913" spans="1:6" x14ac:dyDescent="0.2">
      <c r="A30913" t="s">
        <v>48513</v>
      </c>
      <c r="B30913" t="s">
        <v>38421</v>
      </c>
      <c r="C30913" t="s">
        <v>1124</v>
      </c>
      <c r="D30913" t="s">
        <v>1279</v>
      </c>
      <c r="E30913" t="s">
        <v>3287</v>
      </c>
      <c r="F30913" s="2" t="str">
        <f>HYPERLINK("http://www.otzar.org/book.asp?21460","עומר התנופה")</f>
        <v>עומר התנופה</v>
      </c>
    </row>
    <row r="30914" spans="1:6" x14ac:dyDescent="0.2">
      <c r="A30914" t="s">
        <v>48516</v>
      </c>
      <c r="B30914" t="s">
        <v>48517</v>
      </c>
      <c r="C30914" t="s">
        <v>111</v>
      </c>
      <c r="D30914" t="s">
        <v>52</v>
      </c>
      <c r="F30914" s="2" t="str">
        <f>HYPERLINK("http://www.otzar.org/book.asp?632056","עומר התנופה - בבא מציעא")</f>
        <v>עומר התנופה - בבא מציעא</v>
      </c>
    </row>
    <row r="30915" spans="1:6" x14ac:dyDescent="0.2">
      <c r="A30915" t="s">
        <v>48513</v>
      </c>
      <c r="B30915" t="s">
        <v>48518</v>
      </c>
      <c r="C30915" t="s">
        <v>366</v>
      </c>
      <c r="D30915" t="s">
        <v>14</v>
      </c>
      <c r="E30915" t="s">
        <v>246</v>
      </c>
      <c r="F30915" s="2" t="str">
        <f>HYPERLINK("http://www.otzar.org/book.asp?608481","עומר התנופה")</f>
        <v>עומר התנופה</v>
      </c>
    </row>
    <row r="30916" spans="1:6" x14ac:dyDescent="0.2">
      <c r="A30916" t="s">
        <v>48519</v>
      </c>
      <c r="B30916" t="s">
        <v>48520</v>
      </c>
      <c r="C30916" t="s">
        <v>558</v>
      </c>
      <c r="D30916" t="s">
        <v>283</v>
      </c>
      <c r="E30916" t="s">
        <v>104</v>
      </c>
      <c r="F30916" s="2" t="str">
        <f>HYPERLINK("http://www.otzar.org/book.asp?181960","עומר מן")</f>
        <v>עומר מן</v>
      </c>
    </row>
    <row r="30917" spans="1:6" x14ac:dyDescent="0.2">
      <c r="A30917" t="s">
        <v>48521</v>
      </c>
      <c r="B30917" t="s">
        <v>48522</v>
      </c>
      <c r="C30917" t="s">
        <v>48523</v>
      </c>
      <c r="D30917" t="s">
        <v>260</v>
      </c>
      <c r="E30917" t="s">
        <v>202</v>
      </c>
      <c r="F30917" s="2" t="str">
        <f>HYPERLINK("http://www.otzar.org/book.asp?600440","עומר - 3 כר'")</f>
        <v>עומר - 3 כר'</v>
      </c>
    </row>
    <row r="30918" spans="1:6" x14ac:dyDescent="0.2">
      <c r="A30918" t="s">
        <v>48524</v>
      </c>
      <c r="B30918" t="s">
        <v>14285</v>
      </c>
      <c r="C30918" t="s">
        <v>1470</v>
      </c>
      <c r="D30918" t="s">
        <v>27</v>
      </c>
      <c r="E30918" t="s">
        <v>25967</v>
      </c>
      <c r="F30918" s="2" t="str">
        <f>HYPERLINK("http://www.otzar.org/book.asp?51753","עונג אברהם")</f>
        <v>עונג אברהם</v>
      </c>
    </row>
    <row r="30919" spans="1:6" x14ac:dyDescent="0.2">
      <c r="A30919" t="s">
        <v>48525</v>
      </c>
      <c r="B30919" t="s">
        <v>19386</v>
      </c>
      <c r="C30919" t="s">
        <v>462</v>
      </c>
      <c r="D30919" t="s">
        <v>1081</v>
      </c>
      <c r="E30919" t="s">
        <v>8833</v>
      </c>
      <c r="F30919" s="2" t="str">
        <f>HYPERLINK("http://www.otzar.org/book.asp?101741","עונג חיים לשבת")</f>
        <v>עונג חיים לשבת</v>
      </c>
    </row>
    <row r="30920" spans="1:6" x14ac:dyDescent="0.2">
      <c r="A30920" t="s">
        <v>48526</v>
      </c>
      <c r="B30920" t="s">
        <v>48527</v>
      </c>
      <c r="C30920" t="s">
        <v>1284</v>
      </c>
      <c r="D30920" t="s">
        <v>225</v>
      </c>
      <c r="E30920" t="s">
        <v>234</v>
      </c>
      <c r="F30920" s="2" t="str">
        <f>HYPERLINK("http://www.otzar.org/book.asp?102101","עונג יום טוב &lt;דרוש&gt;")</f>
        <v>עונג יום טוב &lt;דרוש&gt;</v>
      </c>
    </row>
    <row r="30921" spans="1:6" x14ac:dyDescent="0.2">
      <c r="A30921" t="s">
        <v>48528</v>
      </c>
      <c r="B30921" t="s">
        <v>48527</v>
      </c>
      <c r="C30921" t="s">
        <v>156</v>
      </c>
      <c r="D30921" t="s">
        <v>56</v>
      </c>
      <c r="E30921" t="s">
        <v>901</v>
      </c>
      <c r="F30921" s="2" t="str">
        <f>HYPERLINK("http://www.otzar.org/book.asp?11538","עונג יום טוב &lt;שו""ת&gt; - 3 כר'")</f>
        <v>עונג יום טוב &lt;שו"ת&gt; - 3 כר'</v>
      </c>
    </row>
    <row r="30922" spans="1:6" x14ac:dyDescent="0.2">
      <c r="A30922" t="s">
        <v>48529</v>
      </c>
      <c r="B30922" t="s">
        <v>42723</v>
      </c>
      <c r="C30922" t="s">
        <v>332</v>
      </c>
      <c r="D30922" t="s">
        <v>14</v>
      </c>
      <c r="F30922" s="2" t="str">
        <f>HYPERLINK("http://www.otzar.org/book.asp?197380","עונג לשבת ויום טוב")</f>
        <v>עונג לשבת ויום טוב</v>
      </c>
    </row>
    <row r="30923" spans="1:6" x14ac:dyDescent="0.2">
      <c r="A30923" t="s">
        <v>48530</v>
      </c>
      <c r="B30923" t="s">
        <v>48531</v>
      </c>
      <c r="C30923" t="s">
        <v>1166</v>
      </c>
      <c r="D30923" t="s">
        <v>27</v>
      </c>
      <c r="E30923" t="s">
        <v>158</v>
      </c>
      <c r="F30923" s="2" t="str">
        <f>HYPERLINK("http://www.otzar.org/book.asp?179038","עונג לשבת")</f>
        <v>עונג לשבת</v>
      </c>
    </row>
    <row r="30924" spans="1:6" x14ac:dyDescent="0.2">
      <c r="A30924" t="s">
        <v>48532</v>
      </c>
      <c r="B30924" t="s">
        <v>48533</v>
      </c>
      <c r="C30924" t="s">
        <v>13</v>
      </c>
      <c r="D30924" t="s">
        <v>412</v>
      </c>
      <c r="E30924" t="s">
        <v>27774</v>
      </c>
      <c r="F30924" s="2" t="str">
        <f>HYPERLINK("http://www.otzar.org/book.asp?191099","עונג שבת &lt;מהדורה חדשה&gt;")</f>
        <v>עונג שבת &lt;מהדורה חדשה&gt;</v>
      </c>
    </row>
    <row r="30925" spans="1:6" x14ac:dyDescent="0.2">
      <c r="A30925" t="s">
        <v>48534</v>
      </c>
      <c r="B30925" t="s">
        <v>3634</v>
      </c>
      <c r="C30925" t="s">
        <v>568</v>
      </c>
      <c r="D30925" t="s">
        <v>1279</v>
      </c>
      <c r="E30925" t="s">
        <v>10893</v>
      </c>
      <c r="F30925" s="2" t="str">
        <f>HYPERLINK("http://www.otzar.org/book.asp?151334","עונג שבת")</f>
        <v>עונג שבת</v>
      </c>
    </row>
    <row r="30926" spans="1:6" x14ac:dyDescent="0.2">
      <c r="A30926" t="s">
        <v>48535</v>
      </c>
      <c r="B30926" t="s">
        <v>14198</v>
      </c>
      <c r="C30926" t="s">
        <v>5154</v>
      </c>
      <c r="D30926" t="s">
        <v>5665</v>
      </c>
      <c r="F30926" s="2" t="str">
        <f>HYPERLINK("http://www.otzar.org/book.asp?170176","עונג שבת - 3 כר'")</f>
        <v>עונג שבת - 3 כר'</v>
      </c>
    </row>
    <row r="30927" spans="1:6" x14ac:dyDescent="0.2">
      <c r="A30927" t="s">
        <v>48534</v>
      </c>
      <c r="B30927" t="s">
        <v>47796</v>
      </c>
      <c r="C30927" t="s">
        <v>1885</v>
      </c>
      <c r="D30927" t="s">
        <v>1188</v>
      </c>
      <c r="E30927" t="s">
        <v>1517</v>
      </c>
      <c r="F30927" s="2" t="str">
        <f>HYPERLINK("http://www.otzar.org/book.asp?159547","עונג שבת")</f>
        <v>עונג שבת</v>
      </c>
    </row>
    <row r="30928" spans="1:6" x14ac:dyDescent="0.2">
      <c r="A30928" t="s">
        <v>48534</v>
      </c>
      <c r="B30928" t="s">
        <v>48536</v>
      </c>
      <c r="C30928" t="s">
        <v>3840</v>
      </c>
      <c r="D30928" t="s">
        <v>646</v>
      </c>
      <c r="E30928" t="s">
        <v>1517</v>
      </c>
      <c r="F30928" s="2" t="str">
        <f>HYPERLINK("http://www.otzar.org/book.asp?106360","עונג שבת")</f>
        <v>עונג שבת</v>
      </c>
    </row>
    <row r="30929" spans="1:6" x14ac:dyDescent="0.2">
      <c r="A30929" t="s">
        <v>48534</v>
      </c>
      <c r="B30929" t="s">
        <v>48537</v>
      </c>
      <c r="C30929" t="s">
        <v>1246</v>
      </c>
      <c r="D30929" t="s">
        <v>27</v>
      </c>
      <c r="E30929" t="s">
        <v>144</v>
      </c>
      <c r="F30929" s="2" t="str">
        <f>HYPERLINK("http://www.otzar.org/book.asp?25210","עונג שבת")</f>
        <v>עונג שבת</v>
      </c>
    </row>
    <row r="30930" spans="1:6" x14ac:dyDescent="0.2">
      <c r="A30930" t="s">
        <v>48534</v>
      </c>
      <c r="B30930" t="s">
        <v>48538</v>
      </c>
      <c r="C30930" t="s">
        <v>63</v>
      </c>
      <c r="D30930" t="s">
        <v>412</v>
      </c>
      <c r="E30930" t="s">
        <v>2071</v>
      </c>
      <c r="F30930" s="2" t="str">
        <f>HYPERLINK("http://www.otzar.org/book.asp?144883","עונג שבת")</f>
        <v>עונג שבת</v>
      </c>
    </row>
    <row r="30931" spans="1:6" x14ac:dyDescent="0.2">
      <c r="A30931" t="s">
        <v>48534</v>
      </c>
      <c r="B30931" t="s">
        <v>15697</v>
      </c>
      <c r="C30931" t="s">
        <v>313</v>
      </c>
      <c r="D30931" t="s">
        <v>21</v>
      </c>
      <c r="E30931" t="s">
        <v>148</v>
      </c>
      <c r="F30931" s="2" t="str">
        <f>HYPERLINK("http://www.otzar.org/book.asp?194712","עונג שבת")</f>
        <v>עונג שבת</v>
      </c>
    </row>
    <row r="30932" spans="1:6" x14ac:dyDescent="0.2">
      <c r="A30932" t="s">
        <v>48539</v>
      </c>
      <c r="B30932" t="s">
        <v>338</v>
      </c>
      <c r="C30932" t="s">
        <v>13</v>
      </c>
      <c r="D30932" t="s">
        <v>14</v>
      </c>
      <c r="F30932" s="2" t="str">
        <f>HYPERLINK("http://www.otzar.org/book.asp?182466","עונה עשוקים")</f>
        <v>עונה עשוקים</v>
      </c>
    </row>
    <row r="30933" spans="1:6" x14ac:dyDescent="0.2">
      <c r="A30933" t="s">
        <v>48540</v>
      </c>
      <c r="B30933" t="s">
        <v>48541</v>
      </c>
      <c r="C30933" t="s">
        <v>114</v>
      </c>
      <c r="D30933" t="s">
        <v>147</v>
      </c>
      <c r="E30933" t="s">
        <v>2091</v>
      </c>
      <c r="F30933" s="2" t="str">
        <f>HYPERLINK("http://www.otzar.org/book.asp?162537","עוקר הרים")</f>
        <v>עוקר הרים</v>
      </c>
    </row>
    <row r="30934" spans="1:6" x14ac:dyDescent="0.2">
      <c r="A30934" t="s">
        <v>48542</v>
      </c>
      <c r="B30934" t="s">
        <v>776</v>
      </c>
      <c r="C30934" t="s">
        <v>103</v>
      </c>
      <c r="D30934" t="s">
        <v>486</v>
      </c>
      <c r="E30934" t="s">
        <v>230</v>
      </c>
      <c r="F30934" s="2" t="str">
        <f>HYPERLINK("http://www.otzar.org/book.asp?108429","עורה כבודי - 2 כר'")</f>
        <v>עורה כבודי - 2 כר'</v>
      </c>
    </row>
    <row r="30935" spans="1:6" x14ac:dyDescent="0.2">
      <c r="A30935" t="s">
        <v>48543</v>
      </c>
      <c r="B30935" t="s">
        <v>46009</v>
      </c>
      <c r="C30935" t="s">
        <v>151</v>
      </c>
      <c r="D30935" t="s">
        <v>245</v>
      </c>
      <c r="E30935" t="s">
        <v>15</v>
      </c>
      <c r="F30935" s="2" t="str">
        <f>HYPERLINK("http://www.otzar.org/book.asp?618852","עורה כבודי - 3 כר'")</f>
        <v>עורה כבודי - 3 כר'</v>
      </c>
    </row>
    <row r="30936" spans="1:6" x14ac:dyDescent="0.2">
      <c r="A30936" t="s">
        <v>48544</v>
      </c>
      <c r="B30936" t="s">
        <v>48545</v>
      </c>
      <c r="C30936" t="s">
        <v>23</v>
      </c>
      <c r="D30936" t="s">
        <v>245</v>
      </c>
      <c r="E30936" t="s">
        <v>186</v>
      </c>
      <c r="F30936" s="2" t="str">
        <f>HYPERLINK("http://www.otzar.org/book.asp?618855","עורה כבודי  - ברכות")</f>
        <v>עורה כבודי  - ברכות</v>
      </c>
    </row>
    <row r="30937" spans="1:6" x14ac:dyDescent="0.2">
      <c r="A30937" t="s">
        <v>48546</v>
      </c>
      <c r="B30937" t="s">
        <v>31085</v>
      </c>
      <c r="C30937" t="s">
        <v>427</v>
      </c>
      <c r="D30937" t="s">
        <v>646</v>
      </c>
      <c r="E30937" t="s">
        <v>517</v>
      </c>
      <c r="F30937" s="2" t="str">
        <f>HYPERLINK("http://www.otzar.org/book.asp?11038","עורה שחר - 2 כר'")</f>
        <v>עורה שחר - 2 כר'</v>
      </c>
    </row>
    <row r="30938" spans="1:6" x14ac:dyDescent="0.2">
      <c r="A30938" t="s">
        <v>48547</v>
      </c>
      <c r="B30938" t="s">
        <v>48548</v>
      </c>
      <c r="C30938" t="s">
        <v>286</v>
      </c>
      <c r="D30938" t="s">
        <v>260</v>
      </c>
      <c r="F30938" s="2" t="str">
        <f>HYPERLINK("http://www.otzar.org/book.asp?197591","עורון ומחלות עינים בארץ כנען וסבותיהן")</f>
        <v>עורון ומחלות עינים בארץ כנען וסבותיהן</v>
      </c>
    </row>
    <row r="30939" spans="1:6" x14ac:dyDescent="0.2">
      <c r="A30939" t="s">
        <v>48549</v>
      </c>
      <c r="B30939" t="s">
        <v>3286</v>
      </c>
      <c r="C30939" t="s">
        <v>523</v>
      </c>
      <c r="D30939" t="s">
        <v>52</v>
      </c>
      <c r="E30939" t="s">
        <v>234</v>
      </c>
      <c r="F30939" s="2" t="str">
        <f>HYPERLINK("http://www.otzar.org/book.asp?142287","עורי דבורה &lt;דרש דרש  ג&gt;")</f>
        <v>עורי דבורה &lt;דרש דרש  ג&gt;</v>
      </c>
    </row>
    <row r="30940" spans="1:6" x14ac:dyDescent="0.2">
      <c r="A30940" t="s">
        <v>48550</v>
      </c>
      <c r="B30940" t="s">
        <v>2663</v>
      </c>
      <c r="C30940" t="s">
        <v>244</v>
      </c>
      <c r="D30940" t="s">
        <v>52</v>
      </c>
      <c r="E30940" t="s">
        <v>202</v>
      </c>
      <c r="F30940" s="2" t="str">
        <f>HYPERLINK("http://www.otzar.org/book.asp?602818","עורי עורי דברי שיר")</f>
        <v>עורי עורי דברי שיר</v>
      </c>
    </row>
    <row r="30941" spans="1:6" x14ac:dyDescent="0.2">
      <c r="A30941" t="s">
        <v>48551</v>
      </c>
      <c r="B30941" t="s">
        <v>48552</v>
      </c>
      <c r="C30941" t="s">
        <v>176</v>
      </c>
      <c r="D30941" t="s">
        <v>139</v>
      </c>
      <c r="E30941" t="s">
        <v>202</v>
      </c>
      <c r="F30941" s="2" t="str">
        <f>HYPERLINK("http://www.otzar.org/book.asp?199994","עורי צפון - 4")</f>
        <v>עורי צפון - 4</v>
      </c>
    </row>
    <row r="30942" spans="1:6" x14ac:dyDescent="0.2">
      <c r="A30942" t="s">
        <v>48553</v>
      </c>
      <c r="B30942" t="s">
        <v>2396</v>
      </c>
      <c r="C30942" t="s">
        <v>129</v>
      </c>
      <c r="D30942" t="s">
        <v>1076</v>
      </c>
      <c r="E30942" t="s">
        <v>158</v>
      </c>
      <c r="F30942" s="2" t="str">
        <f>HYPERLINK("http://www.otzar.org/book.asp?165243","עורי צפון")</f>
        <v>עורי צפון</v>
      </c>
    </row>
    <row r="30943" spans="1:6" x14ac:dyDescent="0.2">
      <c r="A30943" t="s">
        <v>48554</v>
      </c>
      <c r="B30943" t="s">
        <v>48555</v>
      </c>
      <c r="C30943" t="s">
        <v>356</v>
      </c>
      <c r="D30943" t="s">
        <v>14</v>
      </c>
      <c r="E30943" t="s">
        <v>15</v>
      </c>
      <c r="F30943" s="2" t="str">
        <f>HYPERLINK("http://www.otzar.org/book.asp?174237","עורף מול פנים")</f>
        <v>עורף מול פנים</v>
      </c>
    </row>
    <row r="30944" spans="1:6" x14ac:dyDescent="0.2">
      <c r="A30944" t="s">
        <v>48556</v>
      </c>
      <c r="B30944" t="s">
        <v>48557</v>
      </c>
      <c r="C30944" t="s">
        <v>151</v>
      </c>
      <c r="D30944" t="s">
        <v>14</v>
      </c>
      <c r="E30944" t="s">
        <v>158</v>
      </c>
      <c r="F30944" s="2" t="str">
        <f>HYPERLINK("http://www.otzar.org/book.asp?619282","עושה חיל")</f>
        <v>עושה חיל</v>
      </c>
    </row>
    <row r="30945" spans="1:6" x14ac:dyDescent="0.2">
      <c r="A30945" t="s">
        <v>48558</v>
      </c>
      <c r="B30945" t="s">
        <v>8442</v>
      </c>
      <c r="C30945" t="s">
        <v>366</v>
      </c>
      <c r="D30945" t="s">
        <v>52</v>
      </c>
      <c r="E30945" t="s">
        <v>213</v>
      </c>
      <c r="F30945" s="2" t="str">
        <f>HYPERLINK("http://www.otzar.org/book.asp?622036","עושה שלום")</f>
        <v>עושה שלום</v>
      </c>
    </row>
    <row r="30946" spans="1:6" x14ac:dyDescent="0.2">
      <c r="A30946" t="s">
        <v>48558</v>
      </c>
      <c r="B30946" t="s">
        <v>16857</v>
      </c>
      <c r="C30946" t="s">
        <v>1481</v>
      </c>
      <c r="D30946" t="s">
        <v>76</v>
      </c>
      <c r="E30946" t="s">
        <v>25613</v>
      </c>
      <c r="F30946" s="2" t="str">
        <f>HYPERLINK("http://www.otzar.org/book.asp?20472","עושה שלום")</f>
        <v>עושה שלום</v>
      </c>
    </row>
    <row r="30947" spans="1:6" x14ac:dyDescent="0.2">
      <c r="A30947" t="s">
        <v>48559</v>
      </c>
      <c r="B30947" t="s">
        <v>27584</v>
      </c>
      <c r="C30947" t="s">
        <v>146</v>
      </c>
      <c r="D30947" t="s">
        <v>14</v>
      </c>
      <c r="E30947" t="s">
        <v>234</v>
      </c>
      <c r="F30947" s="2" t="str">
        <f>HYPERLINK("http://www.otzar.org/book.asp?61446","עושין בשמחה - 3 כר'")</f>
        <v>עושין בשמחה - 3 כר'</v>
      </c>
    </row>
    <row r="30948" spans="1:6" x14ac:dyDescent="0.2">
      <c r="A30948" t="s">
        <v>48560</v>
      </c>
      <c r="B30948" t="s">
        <v>48561</v>
      </c>
      <c r="C30948" t="s">
        <v>103</v>
      </c>
      <c r="D30948" t="s">
        <v>367</v>
      </c>
      <c r="E30948" t="s">
        <v>202</v>
      </c>
      <c r="F30948" s="2" t="str">
        <f>HYPERLINK("http://www.otzar.org/book.asp?52878","עז ואורה &lt;מאסף תורני&gt; - 11 כר'")</f>
        <v>עז ואורה &lt;מאסף תורני&gt; - 11 כר'</v>
      </c>
    </row>
    <row r="30949" spans="1:6" x14ac:dyDescent="0.2">
      <c r="A30949" t="s">
        <v>48562</v>
      </c>
      <c r="B30949" t="s">
        <v>4373</v>
      </c>
      <c r="C30949" t="s">
        <v>3709</v>
      </c>
      <c r="D30949" t="s">
        <v>1023</v>
      </c>
      <c r="E30949" t="s">
        <v>1103</v>
      </c>
      <c r="F30949" s="2" t="str">
        <f>HYPERLINK("http://www.otzar.org/book.asp?146590","עז וחדוה")</f>
        <v>עז וחדוה</v>
      </c>
    </row>
    <row r="30950" spans="1:6" x14ac:dyDescent="0.2">
      <c r="A30950" t="s">
        <v>48563</v>
      </c>
      <c r="B30950" t="s">
        <v>686</v>
      </c>
      <c r="C30950" t="s">
        <v>189</v>
      </c>
      <c r="D30950" t="s">
        <v>52</v>
      </c>
      <c r="E30950" t="s">
        <v>104</v>
      </c>
      <c r="F30950" s="2" t="str">
        <f>HYPERLINK("http://www.otzar.org/book.asp?189267","עז לאלקים")</f>
        <v>עז לאלקים</v>
      </c>
    </row>
    <row r="30951" spans="1:6" x14ac:dyDescent="0.2">
      <c r="A30951" t="s">
        <v>48564</v>
      </c>
      <c r="B30951" t="s">
        <v>107</v>
      </c>
      <c r="C30951" t="s">
        <v>87</v>
      </c>
      <c r="D30951" t="s">
        <v>14</v>
      </c>
      <c r="E30951" t="s">
        <v>733</v>
      </c>
      <c r="F30951" s="2" t="str">
        <f>HYPERLINK("http://www.otzar.org/book.asp?84472","עזה ויריחו תחילה באספקלריה תורנית")</f>
        <v>עזה ויריחו תחילה באספקלריה תורנית</v>
      </c>
    </row>
    <row r="30952" spans="1:6" x14ac:dyDescent="0.2">
      <c r="A30952" t="s">
        <v>48565</v>
      </c>
      <c r="B30952" t="s">
        <v>33407</v>
      </c>
      <c r="C30952" t="s">
        <v>20</v>
      </c>
      <c r="D30952" t="s">
        <v>1840</v>
      </c>
      <c r="E30952" t="s">
        <v>158</v>
      </c>
      <c r="F30952" s="2" t="str">
        <f>HYPERLINK("http://www.otzar.org/book.asp?198660","עזך ציון - מגילת אסתר, רות")</f>
        <v>עזך ציון - מגילת אסתר, רות</v>
      </c>
    </row>
    <row r="30953" spans="1:6" x14ac:dyDescent="0.2">
      <c r="A30953" t="s">
        <v>48566</v>
      </c>
      <c r="B30953" t="s">
        <v>43763</v>
      </c>
      <c r="C30953" t="s">
        <v>1228</v>
      </c>
      <c r="D30953" t="s">
        <v>225</v>
      </c>
      <c r="E30953" t="s">
        <v>474</v>
      </c>
      <c r="F30953" s="2" t="str">
        <f>HYPERLINK("http://www.otzar.org/book.asp?25211","עזר אליעזר")</f>
        <v>עזר אליעזר</v>
      </c>
    </row>
    <row r="30954" spans="1:6" x14ac:dyDescent="0.2">
      <c r="A30954" t="s">
        <v>48567</v>
      </c>
      <c r="B30954" t="s">
        <v>48568</v>
      </c>
      <c r="C30954" t="s">
        <v>1388</v>
      </c>
      <c r="D30954" t="s">
        <v>216</v>
      </c>
      <c r="F30954" s="2" t="str">
        <f>HYPERLINK("http://www.otzar.org/book.asp?615240","עזר הדת &lt;מהדורת לוינגר&gt;")</f>
        <v>עזר הדת &lt;מהדורת לוינגר&gt;</v>
      </c>
    </row>
    <row r="30955" spans="1:6" x14ac:dyDescent="0.2">
      <c r="A30955" t="s">
        <v>48569</v>
      </c>
      <c r="B30955" t="s">
        <v>48570</v>
      </c>
      <c r="C30955" t="s">
        <v>71</v>
      </c>
      <c r="D30955" t="s">
        <v>14</v>
      </c>
      <c r="E30955" t="s">
        <v>154</v>
      </c>
      <c r="F30955" s="2" t="str">
        <f>HYPERLINK("http://www.otzar.org/book.asp?142867","עזר יצחק")</f>
        <v>עזר יצחק</v>
      </c>
    </row>
    <row r="30956" spans="1:6" x14ac:dyDescent="0.2">
      <c r="A30956" t="s">
        <v>48571</v>
      </c>
      <c r="B30956" t="s">
        <v>338</v>
      </c>
      <c r="C30956" t="s">
        <v>37</v>
      </c>
      <c r="D30956" t="s">
        <v>14</v>
      </c>
      <c r="E30956" t="s">
        <v>15</v>
      </c>
      <c r="F30956" s="2" t="str">
        <f>HYPERLINK("http://www.otzar.org/book.asp?608673","עזר כנגדו - שידוכין")</f>
        <v>עזר כנגדו - שידוכין</v>
      </c>
    </row>
    <row r="30957" spans="1:6" x14ac:dyDescent="0.2">
      <c r="A30957" t="s">
        <v>48572</v>
      </c>
      <c r="B30957" t="s">
        <v>10000</v>
      </c>
      <c r="C30957" t="s">
        <v>422</v>
      </c>
      <c r="D30957" t="s">
        <v>14</v>
      </c>
      <c r="E30957" t="s">
        <v>172</v>
      </c>
      <c r="F30957" s="2" t="str">
        <f>HYPERLINK("http://www.otzar.org/book.asp?182631","עזר לחושן")</f>
        <v>עזר לחושן</v>
      </c>
    </row>
    <row r="30958" spans="1:6" x14ac:dyDescent="0.2">
      <c r="A30958" t="s">
        <v>48573</v>
      </c>
      <c r="B30958" t="s">
        <v>48574</v>
      </c>
      <c r="C30958" t="s">
        <v>48575</v>
      </c>
      <c r="D30958" t="s">
        <v>48576</v>
      </c>
      <c r="E30958" t="s">
        <v>674</v>
      </c>
      <c r="F30958" s="2" t="str">
        <f>HYPERLINK("http://www.otzar.org/book.asp?619388","עזר ליצחק")</f>
        <v>עזר ליצחק</v>
      </c>
    </row>
    <row r="30959" spans="1:6" x14ac:dyDescent="0.2">
      <c r="A30959" t="s">
        <v>48577</v>
      </c>
      <c r="B30959" t="s">
        <v>19859</v>
      </c>
      <c r="C30959" t="s">
        <v>133</v>
      </c>
      <c r="D30959" t="s">
        <v>1273</v>
      </c>
      <c r="E30959" t="s">
        <v>172</v>
      </c>
      <c r="F30959" s="2" t="str">
        <f>HYPERLINK("http://www.otzar.org/book.asp?605331","עזר לשלחן - 3 כר'")</f>
        <v>עזר לשלחן - 3 כר'</v>
      </c>
    </row>
    <row r="30960" spans="1:6" x14ac:dyDescent="0.2">
      <c r="A30960" t="s">
        <v>48578</v>
      </c>
      <c r="B30960" t="s">
        <v>8609</v>
      </c>
      <c r="C30960" t="s">
        <v>111</v>
      </c>
      <c r="D30960" t="s">
        <v>14</v>
      </c>
      <c r="E30960" t="s">
        <v>148</v>
      </c>
      <c r="F30960" s="2" t="str">
        <f>HYPERLINK("http://www.otzar.org/book.asp?631251","עזר מציון")</f>
        <v>עזר מציון</v>
      </c>
    </row>
    <row r="30961" spans="1:6" x14ac:dyDescent="0.2">
      <c r="A30961" t="s">
        <v>48579</v>
      </c>
      <c r="B30961" t="s">
        <v>6053</v>
      </c>
      <c r="C30961" t="s">
        <v>1374</v>
      </c>
      <c r="D30961" t="s">
        <v>691</v>
      </c>
      <c r="E30961" t="s">
        <v>148</v>
      </c>
      <c r="F30961" s="2" t="str">
        <f>HYPERLINK("http://www.otzar.org/book.asp?20473","עזר מקודש")</f>
        <v>עזר מקודש</v>
      </c>
    </row>
    <row r="30962" spans="1:6" x14ac:dyDescent="0.2">
      <c r="A30962" t="s">
        <v>48580</v>
      </c>
      <c r="B30962" t="s">
        <v>5473</v>
      </c>
      <c r="C30962" t="s">
        <v>114</v>
      </c>
      <c r="D30962" t="s">
        <v>152</v>
      </c>
      <c r="E30962" t="s">
        <v>104</v>
      </c>
      <c r="F30962" s="2" t="str">
        <f>HYPERLINK("http://www.otzar.org/book.asp?162145","עזר קדשים")</f>
        <v>עזר קדשים</v>
      </c>
    </row>
    <row r="30963" spans="1:6" x14ac:dyDescent="0.2">
      <c r="A30963" t="s">
        <v>48581</v>
      </c>
      <c r="B30963" t="s">
        <v>48582</v>
      </c>
      <c r="C30963" t="s">
        <v>114</v>
      </c>
      <c r="D30963" t="s">
        <v>14</v>
      </c>
      <c r="E30963" t="s">
        <v>219</v>
      </c>
      <c r="F30963" s="2" t="str">
        <f>HYPERLINK("http://www.otzar.org/book.asp?618048","עזרה בצרות")</f>
        <v>עזרה בצרות</v>
      </c>
    </row>
    <row r="30964" spans="1:6" x14ac:dyDescent="0.2">
      <c r="A30964" t="s">
        <v>48583</v>
      </c>
      <c r="B30964" t="s">
        <v>41202</v>
      </c>
      <c r="C30964" t="s">
        <v>411</v>
      </c>
      <c r="D30964" t="s">
        <v>14</v>
      </c>
      <c r="E30964" t="s">
        <v>15</v>
      </c>
      <c r="F30964" s="2" t="str">
        <f>HYPERLINK("http://www.otzar.org/book.asp?167103","עזרה כהלכה")</f>
        <v>עזרה כהלכה</v>
      </c>
    </row>
    <row r="30965" spans="1:6" x14ac:dyDescent="0.2">
      <c r="A30965" t="s">
        <v>48584</v>
      </c>
      <c r="B30965" t="s">
        <v>48585</v>
      </c>
      <c r="C30965" t="s">
        <v>492</v>
      </c>
      <c r="D30965" t="s">
        <v>4269</v>
      </c>
      <c r="E30965" t="s">
        <v>23289</v>
      </c>
      <c r="F30965" s="2" t="str">
        <f>HYPERLINK("http://www.otzar.org/book.asp?103619","עזרה להבין")</f>
        <v>עזרה להבין</v>
      </c>
    </row>
    <row r="30966" spans="1:6" x14ac:dyDescent="0.2">
      <c r="A30966" t="s">
        <v>48586</v>
      </c>
      <c r="B30966" t="s">
        <v>48587</v>
      </c>
      <c r="C30966" t="s">
        <v>23</v>
      </c>
      <c r="D30966" t="s">
        <v>14591</v>
      </c>
      <c r="E30966" t="s">
        <v>158</v>
      </c>
      <c r="F30966" s="2" t="str">
        <f>HYPERLINK("http://www.otzar.org/book.asp?190307","עזרי מעם ד' - 19 כר'")</f>
        <v>עזרי מעם ד' - 19 כר'</v>
      </c>
    </row>
    <row r="30967" spans="1:6" x14ac:dyDescent="0.2">
      <c r="A30967" t="s">
        <v>48588</v>
      </c>
      <c r="B30967" t="s">
        <v>48589</v>
      </c>
      <c r="C30967" t="s">
        <v>366</v>
      </c>
      <c r="D30967" t="s">
        <v>48590</v>
      </c>
      <c r="E30967" t="s">
        <v>158</v>
      </c>
      <c r="F30967" s="2" t="str">
        <f>HYPERLINK("http://www.otzar.org/book.asp?627989","עזרי מעם ה' - 15 כר'")</f>
        <v>עזרי מעם ה' - 15 כר'</v>
      </c>
    </row>
    <row r="30968" spans="1:6" x14ac:dyDescent="0.2">
      <c r="A30968" t="s">
        <v>48591</v>
      </c>
      <c r="B30968" t="s">
        <v>48592</v>
      </c>
      <c r="C30968" t="s">
        <v>189</v>
      </c>
      <c r="D30968" t="s">
        <v>2798</v>
      </c>
      <c r="E30968" t="s">
        <v>3516</v>
      </c>
      <c r="F30968" s="2" t="str">
        <f>HYPERLINK("http://www.otzar.org/book.asp?163859","עזרך מקדש")</f>
        <v>עזרך מקדש</v>
      </c>
    </row>
    <row r="30969" spans="1:6" x14ac:dyDescent="0.2">
      <c r="A30969" t="s">
        <v>48593</v>
      </c>
      <c r="B30969" t="s">
        <v>11990</v>
      </c>
      <c r="C30969" t="s">
        <v>20</v>
      </c>
      <c r="D30969" t="s">
        <v>14</v>
      </c>
      <c r="E30969" t="s">
        <v>15</v>
      </c>
      <c r="F30969" s="2" t="str">
        <f>HYPERLINK("http://www.otzar.org/book.asp?608468","עזרך מקודש - חופה וקידושין")</f>
        <v>עזרך מקודש - חופה וקידושין</v>
      </c>
    </row>
    <row r="30970" spans="1:6" x14ac:dyDescent="0.2">
      <c r="A30970" t="s">
        <v>48594</v>
      </c>
      <c r="B30970" t="s">
        <v>7552</v>
      </c>
      <c r="C30970" t="s">
        <v>13</v>
      </c>
      <c r="D30970" t="s">
        <v>7553</v>
      </c>
      <c r="E30970" t="s">
        <v>15</v>
      </c>
      <c r="F30970" s="2" t="str">
        <f>HYPERLINK("http://www.otzar.org/book.asp?163308","עזרת אבות")</f>
        <v>עזרת אבות</v>
      </c>
    </row>
    <row r="30971" spans="1:6" x14ac:dyDescent="0.2">
      <c r="A30971" t="s">
        <v>48595</v>
      </c>
      <c r="B30971" t="s">
        <v>48596</v>
      </c>
      <c r="C30971" t="s">
        <v>23</v>
      </c>
      <c r="D30971" t="s">
        <v>367</v>
      </c>
      <c r="E30971" t="s">
        <v>1626</v>
      </c>
      <c r="F30971" s="2" t="str">
        <f>HYPERLINK("http://www.otzar.org/book.asp?601474","עזרת הנשים")</f>
        <v>עזרת הנשים</v>
      </c>
    </row>
    <row r="30972" spans="1:6" x14ac:dyDescent="0.2">
      <c r="A30972" t="s">
        <v>48597</v>
      </c>
      <c r="B30972" t="s">
        <v>48598</v>
      </c>
      <c r="C30972" t="s">
        <v>550</v>
      </c>
      <c r="D30972" t="s">
        <v>1023</v>
      </c>
      <c r="F30972" s="2" t="str">
        <f>HYPERLINK("http://www.otzar.org/book.asp?608722","עזרת הסופר - בראשית")</f>
        <v>עזרת הסופר - בראשית</v>
      </c>
    </row>
    <row r="30973" spans="1:6" x14ac:dyDescent="0.2">
      <c r="A30973" t="s">
        <v>48599</v>
      </c>
      <c r="B30973" t="s">
        <v>48600</v>
      </c>
      <c r="C30973" t="s">
        <v>550</v>
      </c>
      <c r="D30973" t="s">
        <v>1023</v>
      </c>
      <c r="E30973" t="s">
        <v>2135</v>
      </c>
      <c r="F30973" s="2" t="str">
        <f>HYPERLINK("http://www.otzar.org/book.asp?180759","עזרת הסופר")</f>
        <v>עזרת הסופר</v>
      </c>
    </row>
    <row r="30974" spans="1:6" x14ac:dyDescent="0.2">
      <c r="A30974" t="s">
        <v>48601</v>
      </c>
      <c r="B30974" t="s">
        <v>4061</v>
      </c>
      <c r="C30974" t="s">
        <v>75</v>
      </c>
      <c r="D30974" t="s">
        <v>283</v>
      </c>
      <c r="E30974" t="s">
        <v>154</v>
      </c>
      <c r="F30974" s="2" t="str">
        <f>HYPERLINK("http://www.otzar.org/book.asp?100966","עזרת יהודה")</f>
        <v>עזרת יהודה</v>
      </c>
    </row>
    <row r="30975" spans="1:6" x14ac:dyDescent="0.2">
      <c r="A30975" t="s">
        <v>48602</v>
      </c>
      <c r="B30975" t="s">
        <v>48603</v>
      </c>
      <c r="C30975" t="s">
        <v>176</v>
      </c>
      <c r="D30975" t="s">
        <v>14</v>
      </c>
      <c r="E30975" t="s">
        <v>144</v>
      </c>
      <c r="F30975" s="2" t="str">
        <f>HYPERLINK("http://www.otzar.org/book.asp?148971","עזרת יהושע - פסחים")</f>
        <v>עזרת יהושע - פסחים</v>
      </c>
    </row>
    <row r="30976" spans="1:6" x14ac:dyDescent="0.2">
      <c r="A30976" t="s">
        <v>48604</v>
      </c>
      <c r="B30976" t="s">
        <v>48605</v>
      </c>
      <c r="C30976" t="s">
        <v>129</v>
      </c>
      <c r="D30976" t="s">
        <v>14</v>
      </c>
      <c r="E30976" t="s">
        <v>872</v>
      </c>
      <c r="F30976" s="2" t="str">
        <f>HYPERLINK("http://www.otzar.org/book.asp?62205","עזרת יעקב - 2 כר'")</f>
        <v>עזרת יעקב - 2 כר'</v>
      </c>
    </row>
    <row r="30977" spans="1:6" x14ac:dyDescent="0.2">
      <c r="A30977" t="s">
        <v>48606</v>
      </c>
      <c r="B30977" t="s">
        <v>48607</v>
      </c>
      <c r="C30977" t="s">
        <v>2543</v>
      </c>
      <c r="D30977" t="s">
        <v>225</v>
      </c>
      <c r="E30977" t="s">
        <v>325</v>
      </c>
      <c r="F30977" s="2" t="str">
        <f>HYPERLINK("http://www.otzar.org/book.asp?9329","עזרת ישראל")</f>
        <v>עזרת ישראל</v>
      </c>
    </row>
    <row r="30978" spans="1:6" x14ac:dyDescent="0.2">
      <c r="A30978" t="s">
        <v>48606</v>
      </c>
      <c r="B30978" t="s">
        <v>29270</v>
      </c>
      <c r="C30978" t="s">
        <v>6054</v>
      </c>
      <c r="D30978" t="s">
        <v>610</v>
      </c>
      <c r="E30978" t="s">
        <v>234</v>
      </c>
      <c r="F30978" s="2" t="str">
        <f>HYPERLINK("http://www.otzar.org/book.asp?188597","עזרת ישראל")</f>
        <v>עזרת ישראל</v>
      </c>
    </row>
    <row r="30979" spans="1:6" x14ac:dyDescent="0.2">
      <c r="A30979" t="s">
        <v>48608</v>
      </c>
      <c r="B30979" t="s">
        <v>48609</v>
      </c>
      <c r="C30979" t="s">
        <v>244</v>
      </c>
      <c r="D30979" t="s">
        <v>14</v>
      </c>
      <c r="E30979" t="s">
        <v>144</v>
      </c>
      <c r="F30979" s="2" t="str">
        <f>HYPERLINK("http://www.otzar.org/book.asp?606057","עזרת ישראל - 2 כר'")</f>
        <v>עזרת ישראל - 2 כר'</v>
      </c>
    </row>
    <row r="30980" spans="1:6" x14ac:dyDescent="0.2">
      <c r="A30980" t="s">
        <v>48608</v>
      </c>
      <c r="B30980" t="s">
        <v>48610</v>
      </c>
      <c r="C30980" t="s">
        <v>17</v>
      </c>
      <c r="D30980" t="s">
        <v>14</v>
      </c>
      <c r="E30980" t="s">
        <v>234</v>
      </c>
      <c r="F30980" s="2" t="str">
        <f>HYPERLINK("http://www.otzar.org/book.asp?160453","עזרת ישראל - 2 כר'")</f>
        <v>עזרת ישראל - 2 כר'</v>
      </c>
    </row>
    <row r="30981" spans="1:6" x14ac:dyDescent="0.2">
      <c r="A30981" t="s">
        <v>48606</v>
      </c>
      <c r="B30981" t="s">
        <v>48611</v>
      </c>
      <c r="C30981" t="s">
        <v>3690</v>
      </c>
      <c r="D30981" t="s">
        <v>283</v>
      </c>
      <c r="E30981" t="s">
        <v>154</v>
      </c>
      <c r="F30981" s="2" t="str">
        <f>HYPERLINK("http://www.otzar.org/book.asp?10899","עזרת ישראל")</f>
        <v>עזרת ישראל</v>
      </c>
    </row>
    <row r="30982" spans="1:6" x14ac:dyDescent="0.2">
      <c r="A30982" t="s">
        <v>48612</v>
      </c>
      <c r="B30982" t="s">
        <v>17029</v>
      </c>
      <c r="C30982" t="s">
        <v>48613</v>
      </c>
      <c r="D30982" t="s">
        <v>283</v>
      </c>
      <c r="E30982" t="s">
        <v>84</v>
      </c>
      <c r="F30982" s="2" t="str">
        <f>HYPERLINK("http://www.otzar.org/book.asp?9184","עזרת כהנים - 4 כר'")</f>
        <v>עזרת כהנים - 4 כר'</v>
      </c>
    </row>
    <row r="30983" spans="1:6" x14ac:dyDescent="0.2">
      <c r="A30983" t="s">
        <v>48614</v>
      </c>
      <c r="B30983" t="s">
        <v>23814</v>
      </c>
      <c r="C30983" t="s">
        <v>2644</v>
      </c>
      <c r="D30983" t="s">
        <v>352</v>
      </c>
      <c r="E30983" t="s">
        <v>213</v>
      </c>
      <c r="F30983" s="2" t="str">
        <f>HYPERLINK("http://www.otzar.org/book.asp?147335","עזרת נדחים")</f>
        <v>עזרת נדחים</v>
      </c>
    </row>
    <row r="30984" spans="1:6" x14ac:dyDescent="0.2">
      <c r="A30984" t="s">
        <v>48615</v>
      </c>
      <c r="B30984" t="s">
        <v>13411</v>
      </c>
      <c r="C30984" t="s">
        <v>1036</v>
      </c>
      <c r="D30984" t="s">
        <v>1037</v>
      </c>
      <c r="E30984" t="s">
        <v>345</v>
      </c>
      <c r="F30984" s="2" t="str">
        <f>HYPERLINK("http://www.otzar.org/book.asp?16401","עזרת נשים")</f>
        <v>עזרת נשים</v>
      </c>
    </row>
    <row r="30985" spans="1:6" x14ac:dyDescent="0.2">
      <c r="A30985" t="s">
        <v>48615</v>
      </c>
      <c r="B30985" t="s">
        <v>5336</v>
      </c>
      <c r="C30985" t="s">
        <v>989</v>
      </c>
      <c r="D30985" t="s">
        <v>412</v>
      </c>
      <c r="E30985" t="s">
        <v>15</v>
      </c>
      <c r="F30985" s="2" t="str">
        <f>HYPERLINK("http://www.otzar.org/book.asp?62245","עזרת נשים")</f>
        <v>עזרת נשים</v>
      </c>
    </row>
    <row r="30986" spans="1:6" x14ac:dyDescent="0.2">
      <c r="A30986" t="s">
        <v>48616</v>
      </c>
      <c r="B30986" t="s">
        <v>6539</v>
      </c>
      <c r="C30986" t="s">
        <v>48617</v>
      </c>
      <c r="D30986" t="s">
        <v>322</v>
      </c>
      <c r="E30986" t="s">
        <v>901</v>
      </c>
      <c r="F30986" s="2" t="str">
        <f>HYPERLINK("http://www.otzar.org/book.asp?14008","עזרת נשים - 3 כר'")</f>
        <v>עזרת נשים - 3 כר'</v>
      </c>
    </row>
    <row r="30987" spans="1:6" x14ac:dyDescent="0.2">
      <c r="A30987" t="s">
        <v>48618</v>
      </c>
      <c r="B30987" t="s">
        <v>48619</v>
      </c>
      <c r="C30987" t="s">
        <v>55</v>
      </c>
      <c r="D30987" t="s">
        <v>280</v>
      </c>
      <c r="E30987" t="s">
        <v>435</v>
      </c>
      <c r="F30987" s="2" t="str">
        <f>HYPERLINK("http://www.otzar.org/book.asp?101538","עט ברזל")</f>
        <v>עט ברזל</v>
      </c>
    </row>
    <row r="30988" spans="1:6" x14ac:dyDescent="0.2">
      <c r="A30988" t="s">
        <v>48620</v>
      </c>
      <c r="B30988" t="s">
        <v>48621</v>
      </c>
      <c r="C30988" t="s">
        <v>422</v>
      </c>
      <c r="D30988" t="s">
        <v>52</v>
      </c>
      <c r="E30988" t="s">
        <v>3790</v>
      </c>
      <c r="F30988" s="2" t="str">
        <f>HYPERLINK("http://www.otzar.org/book.asp?85247","עט הזמיר")</f>
        <v>עט הזמיר</v>
      </c>
    </row>
    <row r="30989" spans="1:6" x14ac:dyDescent="0.2">
      <c r="A30989" t="s">
        <v>48622</v>
      </c>
      <c r="B30989" t="s">
        <v>48623</v>
      </c>
      <c r="C30989" t="s">
        <v>13</v>
      </c>
      <c r="D30989" t="s">
        <v>14</v>
      </c>
      <c r="E30989" t="s">
        <v>144</v>
      </c>
      <c r="F30989" s="2" t="str">
        <f>HYPERLINK("http://www.otzar.org/book.asp?175576","עט יוסף - 3 כר'")</f>
        <v>עט יוסף - 3 כר'</v>
      </c>
    </row>
    <row r="30990" spans="1:6" x14ac:dyDescent="0.2">
      <c r="A30990" t="s">
        <v>48624</v>
      </c>
      <c r="B30990" t="s">
        <v>48625</v>
      </c>
      <c r="C30990" t="s">
        <v>366</v>
      </c>
      <c r="D30990" t="s">
        <v>52</v>
      </c>
      <c r="F30990" s="2" t="str">
        <f>HYPERLINK("http://www.otzar.org/book.asp?609257","עט יוסף")</f>
        <v>עט יוסף</v>
      </c>
    </row>
    <row r="30991" spans="1:6" x14ac:dyDescent="0.2">
      <c r="A30991" t="s">
        <v>48626</v>
      </c>
      <c r="B30991" t="s">
        <v>686</v>
      </c>
      <c r="C30991" t="s">
        <v>146</v>
      </c>
      <c r="D30991" t="s">
        <v>52</v>
      </c>
      <c r="E30991" t="s">
        <v>4333</v>
      </c>
      <c r="F30991" s="2" t="str">
        <f>HYPERLINK("http://www.otzar.org/book.asp?50407","עט סופר")</f>
        <v>עט סופר</v>
      </c>
    </row>
    <row r="30992" spans="1:6" x14ac:dyDescent="0.2">
      <c r="A30992" t="s">
        <v>48626</v>
      </c>
      <c r="B30992" t="s">
        <v>48627</v>
      </c>
      <c r="C30992" t="s">
        <v>506</v>
      </c>
      <c r="D30992" t="s">
        <v>27</v>
      </c>
      <c r="E30992" t="s">
        <v>930</v>
      </c>
      <c r="F30992" s="2" t="str">
        <f>HYPERLINK("http://www.otzar.org/book.asp?10903","עט סופר")</f>
        <v>עט סופר</v>
      </c>
    </row>
    <row r="30993" spans="1:6" x14ac:dyDescent="0.2">
      <c r="A30993" t="s">
        <v>48628</v>
      </c>
      <c r="B30993" t="s">
        <v>48629</v>
      </c>
      <c r="C30993" t="s">
        <v>523</v>
      </c>
      <c r="D30993" t="s">
        <v>1356</v>
      </c>
      <c r="E30993" t="s">
        <v>154</v>
      </c>
      <c r="F30993" s="2" t="str">
        <f>HYPERLINK("http://www.otzar.org/book.asp?189222","עט סופר - 2 כר'")</f>
        <v>עט סופר - 2 כר'</v>
      </c>
    </row>
    <row r="30994" spans="1:6" x14ac:dyDescent="0.2">
      <c r="A30994" t="s">
        <v>48630</v>
      </c>
      <c r="B30994" t="s">
        <v>15834</v>
      </c>
      <c r="C30994" t="s">
        <v>41247</v>
      </c>
      <c r="D30994" t="s">
        <v>661</v>
      </c>
      <c r="E30994" t="s">
        <v>1211</v>
      </c>
      <c r="F30994" s="2" t="str">
        <f>HYPERLINK("http://www.otzar.org/book.asp?9171","עט סופר - 4 כר'")</f>
        <v>עט סופר - 4 כר'</v>
      </c>
    </row>
    <row r="30995" spans="1:6" x14ac:dyDescent="0.2">
      <c r="A30995" t="s">
        <v>48626</v>
      </c>
      <c r="B30995" t="s">
        <v>30378</v>
      </c>
      <c r="C30995" t="s">
        <v>1844</v>
      </c>
      <c r="D30995" t="s">
        <v>516</v>
      </c>
      <c r="E30995" t="s">
        <v>104</v>
      </c>
      <c r="F30995" s="2" t="str">
        <f>HYPERLINK("http://www.otzar.org/book.asp?13076","עט סופר")</f>
        <v>עט סופר</v>
      </c>
    </row>
    <row r="30996" spans="1:6" x14ac:dyDescent="0.2">
      <c r="A30996" t="s">
        <v>48628</v>
      </c>
      <c r="B30996" t="s">
        <v>1222</v>
      </c>
      <c r="C30996" t="s">
        <v>176</v>
      </c>
      <c r="D30996" t="s">
        <v>14</v>
      </c>
      <c r="E30996" t="s">
        <v>144</v>
      </c>
      <c r="F30996" s="2" t="str">
        <f>HYPERLINK("http://www.otzar.org/book.asp?52887","עט סופר - 2 כר'")</f>
        <v>עט סופר - 2 כר'</v>
      </c>
    </row>
    <row r="30997" spans="1:6" x14ac:dyDescent="0.2">
      <c r="A30997" t="s">
        <v>48631</v>
      </c>
      <c r="B30997" t="s">
        <v>24148</v>
      </c>
      <c r="C30997" t="s">
        <v>20</v>
      </c>
      <c r="D30997" t="s">
        <v>7857</v>
      </c>
      <c r="E30997" t="s">
        <v>158</v>
      </c>
      <c r="F30997" s="2" t="str">
        <f>HYPERLINK("http://www.otzar.org/book.asp?165224","עט שאסף")</f>
        <v>עט שאסף</v>
      </c>
    </row>
    <row r="30998" spans="1:6" x14ac:dyDescent="0.2">
      <c r="A30998" t="s">
        <v>48632</v>
      </c>
      <c r="B30998" t="s">
        <v>48633</v>
      </c>
      <c r="C30998" t="s">
        <v>68</v>
      </c>
      <c r="D30998" t="s">
        <v>52</v>
      </c>
      <c r="E30998" t="s">
        <v>158</v>
      </c>
      <c r="F30998" s="2" t="str">
        <f>HYPERLINK("http://www.otzar.org/book.asp?150959","עטה אור &lt;דעת ואמונה&gt; - בראשית, שמות")</f>
        <v>עטה אור &lt;דעת ואמונה&gt; - בראשית, שמות</v>
      </c>
    </row>
    <row r="30999" spans="1:6" x14ac:dyDescent="0.2">
      <c r="A30999" t="s">
        <v>48634</v>
      </c>
      <c r="B30999" t="s">
        <v>48633</v>
      </c>
      <c r="C30999" t="s">
        <v>51</v>
      </c>
      <c r="D30999" t="s">
        <v>14</v>
      </c>
      <c r="E30999" t="s">
        <v>15</v>
      </c>
      <c r="F30999" s="2" t="str">
        <f>HYPERLINK("http://www.otzar.org/book.asp?108291","עטה אור - 13 כר'")</f>
        <v>עטה אור - 13 כר'</v>
      </c>
    </row>
    <row r="31000" spans="1:6" x14ac:dyDescent="0.2">
      <c r="A31000" t="s">
        <v>48635</v>
      </c>
      <c r="B31000" t="s">
        <v>30878</v>
      </c>
      <c r="C31000" t="s">
        <v>5721</v>
      </c>
      <c r="D31000" t="s">
        <v>2234</v>
      </c>
      <c r="E31000" t="s">
        <v>104</v>
      </c>
      <c r="F31000" s="2" t="str">
        <f>HYPERLINK("http://www.otzar.org/book.asp?195884","עטור סופרים")</f>
        <v>עטור סופרים</v>
      </c>
    </row>
    <row r="31001" spans="1:6" x14ac:dyDescent="0.2">
      <c r="A31001" t="s">
        <v>48636</v>
      </c>
      <c r="B31001" t="s">
        <v>48637</v>
      </c>
      <c r="C31001" t="s">
        <v>785</v>
      </c>
      <c r="D31001" t="s">
        <v>21</v>
      </c>
      <c r="E31001" t="s">
        <v>202</v>
      </c>
      <c r="F31001" s="2" t="str">
        <f>HYPERLINK("http://www.otzar.org/book.asp?607272","עטורי כהנים - 71 כר'")</f>
        <v>עטורי כהנים - 71 כר'</v>
      </c>
    </row>
    <row r="31002" spans="1:6" x14ac:dyDescent="0.2">
      <c r="A31002" t="s">
        <v>48638</v>
      </c>
      <c r="B31002" t="s">
        <v>15589</v>
      </c>
      <c r="C31002" t="s">
        <v>189</v>
      </c>
      <c r="D31002" t="s">
        <v>52</v>
      </c>
      <c r="E31002" t="s">
        <v>15</v>
      </c>
      <c r="F31002" s="2" t="str">
        <f>HYPERLINK("http://www.otzar.org/book.asp?52532","עטיפת ציצית כהלכתה")</f>
        <v>עטיפת ציצית כהלכתה</v>
      </c>
    </row>
    <row r="31003" spans="1:6" x14ac:dyDescent="0.2">
      <c r="A31003" t="s">
        <v>48639</v>
      </c>
      <c r="B31003" t="s">
        <v>7693</v>
      </c>
      <c r="C31003" t="s">
        <v>13</v>
      </c>
      <c r="D31003" t="s">
        <v>14</v>
      </c>
      <c r="E31003" t="s">
        <v>219</v>
      </c>
      <c r="F31003" s="2" t="str">
        <f>HYPERLINK("http://www.otzar.org/book.asp?63078","עטרה ליושנה")</f>
        <v>עטרה ליושנה</v>
      </c>
    </row>
    <row r="31004" spans="1:6" x14ac:dyDescent="0.2">
      <c r="A31004" t="s">
        <v>48640</v>
      </c>
      <c r="B31004" t="s">
        <v>17893</v>
      </c>
      <c r="C31004" t="s">
        <v>523</v>
      </c>
      <c r="D31004" t="s">
        <v>412</v>
      </c>
      <c r="E31004" t="s">
        <v>241</v>
      </c>
      <c r="F31004" s="2" t="str">
        <f>HYPERLINK("http://www.otzar.org/book.asp?150717","עטרה למלך")</f>
        <v>עטרה למלך</v>
      </c>
    </row>
    <row r="31005" spans="1:6" x14ac:dyDescent="0.2">
      <c r="A31005" t="s">
        <v>48641</v>
      </c>
      <c r="B31005" t="s">
        <v>21913</v>
      </c>
      <c r="C31005" t="s">
        <v>13</v>
      </c>
      <c r="D31005" t="s">
        <v>412</v>
      </c>
      <c r="E31005" t="s">
        <v>15</v>
      </c>
      <c r="F31005" s="2" t="str">
        <f>HYPERLINK("http://www.otzar.org/book.asp?153476","עטרה למרדכי - ציצית")</f>
        <v>עטרה למרדכי - ציצית</v>
      </c>
    </row>
    <row r="31006" spans="1:6" x14ac:dyDescent="0.2">
      <c r="A31006" t="s">
        <v>48642</v>
      </c>
      <c r="B31006" t="s">
        <v>48643</v>
      </c>
      <c r="C31006" t="s">
        <v>1437</v>
      </c>
      <c r="D31006" t="s">
        <v>307</v>
      </c>
      <c r="E31006" t="s">
        <v>5712</v>
      </c>
      <c r="F31006" s="2" t="str">
        <f>HYPERLINK("http://www.otzar.org/book.asp?141195","עטרה לראש צדיק")</f>
        <v>עטרה לראש צדיק</v>
      </c>
    </row>
    <row r="31007" spans="1:6" x14ac:dyDescent="0.2">
      <c r="A31007" t="s">
        <v>48644</v>
      </c>
      <c r="B31007" t="s">
        <v>48645</v>
      </c>
      <c r="C31007" t="s">
        <v>366</v>
      </c>
      <c r="D31007" t="s">
        <v>412</v>
      </c>
      <c r="E31007" t="s">
        <v>144</v>
      </c>
      <c r="F31007" s="2" t="str">
        <f>HYPERLINK("http://www.otzar.org/book.asp?606677","עטרה לראש - עירובין")</f>
        <v>עטרה לראש - עירובין</v>
      </c>
    </row>
    <row r="31008" spans="1:6" x14ac:dyDescent="0.2">
      <c r="A31008" t="s">
        <v>48646</v>
      </c>
      <c r="B31008" t="s">
        <v>552</v>
      </c>
      <c r="C31008" t="s">
        <v>20</v>
      </c>
      <c r="D31008" t="s">
        <v>486</v>
      </c>
      <c r="E31008" t="s">
        <v>202</v>
      </c>
      <c r="F31008" s="2" t="str">
        <f>HYPERLINK("http://www.otzar.org/book.asp?193585","עטרה שעטרה")</f>
        <v>עטרה שעטרה</v>
      </c>
    </row>
    <row r="31009" spans="1:6" x14ac:dyDescent="0.2">
      <c r="A31009" t="s">
        <v>48647</v>
      </c>
      <c r="B31009" t="s">
        <v>489</v>
      </c>
      <c r="C31009" t="s">
        <v>20</v>
      </c>
      <c r="D31009" t="s">
        <v>367</v>
      </c>
      <c r="E31009" t="s">
        <v>202</v>
      </c>
      <c r="F31009" s="2" t="str">
        <f>HYPERLINK("http://www.otzar.org/book.asp?142893","עטרה שעיטרה")</f>
        <v>עטרה שעיטרה</v>
      </c>
    </row>
    <row r="31010" spans="1:6" x14ac:dyDescent="0.2">
      <c r="A31010" t="s">
        <v>48648</v>
      </c>
      <c r="B31010" t="s">
        <v>48649</v>
      </c>
      <c r="C31010" t="s">
        <v>244</v>
      </c>
      <c r="D31010" t="s">
        <v>17847</v>
      </c>
      <c r="E31010" t="s">
        <v>741</v>
      </c>
      <c r="F31010" s="2" t="str">
        <f>HYPERLINK("http://www.otzar.org/book.asp?612313","עטרות חתנים")</f>
        <v>עטרות חתנים</v>
      </c>
    </row>
    <row r="31011" spans="1:6" x14ac:dyDescent="0.2">
      <c r="A31011" t="s">
        <v>48650</v>
      </c>
      <c r="B31011" t="s">
        <v>48651</v>
      </c>
      <c r="C31011" t="s">
        <v>4705</v>
      </c>
      <c r="D31011" t="s">
        <v>56</v>
      </c>
      <c r="E31011" t="s">
        <v>325</v>
      </c>
      <c r="F31011" s="2" t="str">
        <f>HYPERLINK("http://www.otzar.org/book.asp?20474","עטרות יהושע")</f>
        <v>עטרות יהושע</v>
      </c>
    </row>
    <row r="31012" spans="1:6" x14ac:dyDescent="0.2">
      <c r="A31012" t="s">
        <v>48652</v>
      </c>
      <c r="B31012" t="s">
        <v>25512</v>
      </c>
      <c r="C31012" t="s">
        <v>176</v>
      </c>
      <c r="D31012" t="s">
        <v>412</v>
      </c>
      <c r="E31012" t="s">
        <v>474</v>
      </c>
      <c r="F31012" s="2" t="str">
        <f>HYPERLINK("http://www.otzar.org/book.asp?160851","עטרות סופרים")</f>
        <v>עטרות סופרים</v>
      </c>
    </row>
    <row r="31013" spans="1:6" x14ac:dyDescent="0.2">
      <c r="A31013" t="s">
        <v>48653</v>
      </c>
      <c r="B31013" t="s">
        <v>13621</v>
      </c>
      <c r="C31013" t="s">
        <v>189</v>
      </c>
      <c r="D31013" t="s">
        <v>1646</v>
      </c>
      <c r="E31013" t="s">
        <v>144</v>
      </c>
      <c r="F31013" s="2" t="str">
        <f>HYPERLINK("http://www.otzar.org/book.asp?147610","עטרות שמואל - ברכות, חולין")</f>
        <v>עטרות שמואל - ברכות, חולין</v>
      </c>
    </row>
    <row r="31014" spans="1:6" x14ac:dyDescent="0.2">
      <c r="A31014" t="s">
        <v>48654</v>
      </c>
      <c r="B31014" t="s">
        <v>12916</v>
      </c>
      <c r="C31014" t="s">
        <v>366</v>
      </c>
      <c r="D31014" t="s">
        <v>21</v>
      </c>
      <c r="E31014" t="s">
        <v>158</v>
      </c>
      <c r="F31014" s="2" t="str">
        <f>HYPERLINK("http://www.otzar.org/book.asp?608404","עטרותיהם - 2 כר'")</f>
        <v>עטרותיהם - 2 כר'</v>
      </c>
    </row>
    <row r="31015" spans="1:6" x14ac:dyDescent="0.2">
      <c r="A31015" t="s">
        <v>48655</v>
      </c>
      <c r="B31015" t="s">
        <v>3384</v>
      </c>
      <c r="C31015" t="s">
        <v>313</v>
      </c>
      <c r="D31015" t="s">
        <v>14</v>
      </c>
      <c r="E31015" t="s">
        <v>84</v>
      </c>
      <c r="F31015" s="2" t="str">
        <f>HYPERLINK("http://www.otzar.org/book.asp?60538","עטרת אבות - 2 כר'")</f>
        <v>עטרת אבות - 2 כר'</v>
      </c>
    </row>
    <row r="31016" spans="1:6" x14ac:dyDescent="0.2">
      <c r="A31016" t="s">
        <v>48656</v>
      </c>
      <c r="B31016" t="s">
        <v>48657</v>
      </c>
      <c r="C31016" t="s">
        <v>103</v>
      </c>
      <c r="D31016" t="s">
        <v>52</v>
      </c>
      <c r="E31016" t="s">
        <v>48658</v>
      </c>
      <c r="F31016" s="2" t="str">
        <f>HYPERLINK("http://www.otzar.org/book.asp?147860","עטרת אבות")</f>
        <v>עטרת אבות</v>
      </c>
    </row>
    <row r="31017" spans="1:6" x14ac:dyDescent="0.2">
      <c r="A31017" t="s">
        <v>48656</v>
      </c>
      <c r="B31017" t="s">
        <v>48659</v>
      </c>
      <c r="C31017" t="s">
        <v>36914</v>
      </c>
      <c r="D31017" t="s">
        <v>283</v>
      </c>
      <c r="E31017" t="s">
        <v>84</v>
      </c>
      <c r="F31017" s="2" t="str">
        <f>HYPERLINK("http://www.otzar.org/book.asp?104321","עטרת אבות")</f>
        <v>עטרת אבות</v>
      </c>
    </row>
    <row r="31018" spans="1:6" x14ac:dyDescent="0.2">
      <c r="A31018" t="s">
        <v>48656</v>
      </c>
      <c r="B31018" t="s">
        <v>4320</v>
      </c>
      <c r="C31018" t="s">
        <v>17</v>
      </c>
      <c r="D31018" t="s">
        <v>412</v>
      </c>
      <c r="E31018" t="s">
        <v>84</v>
      </c>
      <c r="F31018" s="2" t="str">
        <f>HYPERLINK("http://www.otzar.org/book.asp?145189","עטרת אבות")</f>
        <v>עטרת אבות</v>
      </c>
    </row>
    <row r="31019" spans="1:6" x14ac:dyDescent="0.2">
      <c r="A31019" t="s">
        <v>48660</v>
      </c>
      <c r="B31019" t="s">
        <v>48661</v>
      </c>
      <c r="C31019" t="s">
        <v>23</v>
      </c>
      <c r="D31019" t="s">
        <v>14</v>
      </c>
      <c r="E31019" t="s">
        <v>15</v>
      </c>
      <c r="F31019" s="2" t="str">
        <f>HYPERLINK("http://www.otzar.org/book.asp?199832","עטרת אבות - 3 כר'")</f>
        <v>עטרת אבות - 3 כר'</v>
      </c>
    </row>
    <row r="31020" spans="1:6" x14ac:dyDescent="0.2">
      <c r="A31020" t="s">
        <v>48656</v>
      </c>
      <c r="B31020" t="s">
        <v>48662</v>
      </c>
      <c r="C31020" t="s">
        <v>129</v>
      </c>
      <c r="D31020" t="s">
        <v>14</v>
      </c>
      <c r="E31020" t="s">
        <v>48663</v>
      </c>
      <c r="F31020" s="2" t="str">
        <f>HYPERLINK("http://www.otzar.org/book.asp?153772","עטרת אבות")</f>
        <v>עטרת אבות</v>
      </c>
    </row>
    <row r="31021" spans="1:6" x14ac:dyDescent="0.2">
      <c r="A31021" t="s">
        <v>48664</v>
      </c>
      <c r="B31021" t="s">
        <v>32300</v>
      </c>
      <c r="C31021" t="s">
        <v>146</v>
      </c>
      <c r="D31021" t="s">
        <v>52</v>
      </c>
      <c r="E31021" t="s">
        <v>144</v>
      </c>
      <c r="F31021" s="2" t="str">
        <f>HYPERLINK("http://www.otzar.org/book.asp?158702","עטרת אבי")</f>
        <v>עטרת אבי</v>
      </c>
    </row>
    <row r="31022" spans="1:6" x14ac:dyDescent="0.2">
      <c r="A31022" t="s">
        <v>48665</v>
      </c>
      <c r="B31022" t="s">
        <v>48666</v>
      </c>
      <c r="C31022" t="s">
        <v>454</v>
      </c>
      <c r="E31022" t="s">
        <v>144</v>
      </c>
      <c r="F31022" s="2" t="str">
        <f>HYPERLINK("http://www.otzar.org/book.asp?53200","עטרת אבי - 2 כר'")</f>
        <v>עטרת אבי - 2 כר'</v>
      </c>
    </row>
    <row r="31023" spans="1:6" x14ac:dyDescent="0.2">
      <c r="A31023" t="s">
        <v>48667</v>
      </c>
      <c r="B31023" t="s">
        <v>48668</v>
      </c>
      <c r="C31023" t="s">
        <v>189</v>
      </c>
      <c r="D31023" t="s">
        <v>147</v>
      </c>
      <c r="E31023" t="s">
        <v>186</v>
      </c>
      <c r="F31023" s="2" t="str">
        <f>HYPERLINK("http://www.otzar.org/book.asp?157853","עטרת אהרן - שבת, ב""ב")</f>
        <v>עטרת אהרן - שבת, ב"ב</v>
      </c>
    </row>
    <row r="31024" spans="1:6" x14ac:dyDescent="0.2">
      <c r="A31024" t="s">
        <v>48669</v>
      </c>
      <c r="B31024" t="s">
        <v>48670</v>
      </c>
      <c r="C31024" t="s">
        <v>279</v>
      </c>
      <c r="D31024" t="s">
        <v>2303</v>
      </c>
      <c r="E31024" t="s">
        <v>3736</v>
      </c>
      <c r="F31024" s="2" t="str">
        <f>HYPERLINK("http://www.otzar.org/book.asp?101742","עטרת אלי'")</f>
        <v>עטרת אלי'</v>
      </c>
    </row>
    <row r="31025" spans="1:6" x14ac:dyDescent="0.2">
      <c r="A31025" t="s">
        <v>48671</v>
      </c>
      <c r="B31025" t="s">
        <v>642</v>
      </c>
      <c r="C31025" t="s">
        <v>1166</v>
      </c>
      <c r="D31025" t="s">
        <v>27</v>
      </c>
      <c r="E31025" t="s">
        <v>144</v>
      </c>
      <c r="F31025" s="2" t="str">
        <f>HYPERLINK("http://www.otzar.org/book.asp?1039","עטרת אליהו")</f>
        <v>עטרת אליהו</v>
      </c>
    </row>
    <row r="31026" spans="1:6" x14ac:dyDescent="0.2">
      <c r="A31026" t="s">
        <v>48671</v>
      </c>
      <c r="B31026" t="s">
        <v>48672</v>
      </c>
      <c r="C31026" t="s">
        <v>114</v>
      </c>
      <c r="D31026" t="s">
        <v>90</v>
      </c>
      <c r="F31026" s="2" t="str">
        <f>HYPERLINK("http://www.otzar.org/book.asp?603159","עטרת אליהו")</f>
        <v>עטרת אליהו</v>
      </c>
    </row>
    <row r="31027" spans="1:6" x14ac:dyDescent="0.2">
      <c r="A31027" t="s">
        <v>48673</v>
      </c>
      <c r="B31027" t="s">
        <v>48674</v>
      </c>
      <c r="C31027" t="s">
        <v>13</v>
      </c>
      <c r="D31027" t="s">
        <v>14</v>
      </c>
      <c r="E31027" t="s">
        <v>186</v>
      </c>
      <c r="F31027" s="2" t="str">
        <f>HYPERLINK("http://www.otzar.org/book.asp?145370","עטרת אלימלך")</f>
        <v>עטרת אלימלך</v>
      </c>
    </row>
    <row r="31028" spans="1:6" x14ac:dyDescent="0.2">
      <c r="A31028" t="s">
        <v>48675</v>
      </c>
      <c r="B31028" t="s">
        <v>23467</v>
      </c>
      <c r="C31028" t="s">
        <v>360</v>
      </c>
      <c r="D31028" t="s">
        <v>726</v>
      </c>
      <c r="E31028" t="s">
        <v>1072</v>
      </c>
      <c r="F31028" s="2" t="str">
        <f>HYPERLINK("http://www.otzar.org/book.asp?102102","עטרת אפרים")</f>
        <v>עטרת אפרים</v>
      </c>
    </row>
    <row r="31029" spans="1:6" x14ac:dyDescent="0.2">
      <c r="A31029" t="s">
        <v>48676</v>
      </c>
      <c r="B31029" t="s">
        <v>48677</v>
      </c>
      <c r="C31029" t="s">
        <v>151</v>
      </c>
      <c r="D31029" t="s">
        <v>14</v>
      </c>
      <c r="E31029" t="s">
        <v>148</v>
      </c>
      <c r="F31029" s="2" t="str">
        <f>HYPERLINK("http://www.otzar.org/book.asp?612196","עטרת ארי")</f>
        <v>עטרת ארי</v>
      </c>
    </row>
    <row r="31030" spans="1:6" x14ac:dyDescent="0.2">
      <c r="A31030" t="s">
        <v>48678</v>
      </c>
      <c r="B31030" t="s">
        <v>21667</v>
      </c>
      <c r="C31030" t="s">
        <v>411</v>
      </c>
      <c r="D31030" t="s">
        <v>486</v>
      </c>
      <c r="E31030" t="s">
        <v>202</v>
      </c>
      <c r="F31030" s="2" t="str">
        <f>HYPERLINK("http://www.otzar.org/book.asp?619218","עטרת גבריאל")</f>
        <v>עטרת גבריאל</v>
      </c>
    </row>
    <row r="31031" spans="1:6" x14ac:dyDescent="0.2">
      <c r="A31031" t="s">
        <v>48679</v>
      </c>
      <c r="B31031" t="s">
        <v>44806</v>
      </c>
      <c r="C31031" t="s">
        <v>411</v>
      </c>
      <c r="D31031" t="s">
        <v>152</v>
      </c>
      <c r="E31031" t="s">
        <v>144</v>
      </c>
      <c r="F31031" s="2" t="str">
        <f>HYPERLINK("http://www.otzar.org/book.asp?173385","עטרת גיטין")</f>
        <v>עטרת גיטין</v>
      </c>
    </row>
    <row r="31032" spans="1:6" x14ac:dyDescent="0.2">
      <c r="A31032" t="s">
        <v>48680</v>
      </c>
      <c r="B31032" t="s">
        <v>48681</v>
      </c>
      <c r="C31032" t="s">
        <v>422</v>
      </c>
      <c r="D31032" t="s">
        <v>48682</v>
      </c>
      <c r="E31032" t="s">
        <v>154</v>
      </c>
      <c r="F31032" s="2" t="str">
        <f>HYPERLINK("http://www.otzar.org/book.asp?175803","עטרת דבורה - 2 כר'")</f>
        <v>עטרת דבורה - 2 כר'</v>
      </c>
    </row>
    <row r="31033" spans="1:6" x14ac:dyDescent="0.2">
      <c r="A31033" t="s">
        <v>48683</v>
      </c>
      <c r="B31033" t="s">
        <v>10750</v>
      </c>
      <c r="C31033" t="s">
        <v>785</v>
      </c>
      <c r="D31033" t="s">
        <v>1180</v>
      </c>
      <c r="E31033" t="s">
        <v>1185</v>
      </c>
      <c r="F31033" s="2" t="str">
        <f>HYPERLINK("http://www.otzar.org/book.asp?51451","עטרת דוד - 2 כר'")</f>
        <v>עטרת דוד - 2 כר'</v>
      </c>
    </row>
    <row r="31034" spans="1:6" x14ac:dyDescent="0.2">
      <c r="A31034" t="s">
        <v>48684</v>
      </c>
      <c r="B31034" t="s">
        <v>48685</v>
      </c>
      <c r="C31034" t="s">
        <v>366</v>
      </c>
      <c r="D31034" t="s">
        <v>7116</v>
      </c>
      <c r="E31034" t="s">
        <v>16417</v>
      </c>
      <c r="F31034" s="2" t="str">
        <f>HYPERLINK("http://www.otzar.org/book.asp?612401","עטרת החכמה")</f>
        <v>עטרת החכמה</v>
      </c>
    </row>
    <row r="31035" spans="1:6" x14ac:dyDescent="0.2">
      <c r="A31035" t="s">
        <v>48686</v>
      </c>
      <c r="B31035" t="s">
        <v>48687</v>
      </c>
      <c r="C31035" t="s">
        <v>854</v>
      </c>
      <c r="D31035" t="s">
        <v>283</v>
      </c>
      <c r="E31035" t="s">
        <v>119</v>
      </c>
      <c r="F31035" s="2" t="str">
        <f>HYPERLINK("http://www.otzar.org/book.asp?611340","עטרת הלוים")</f>
        <v>עטרת הלוים</v>
      </c>
    </row>
    <row r="31036" spans="1:6" x14ac:dyDescent="0.2">
      <c r="A31036" t="s">
        <v>48688</v>
      </c>
      <c r="B31036" t="s">
        <v>48689</v>
      </c>
      <c r="C31036" t="s">
        <v>133</v>
      </c>
      <c r="D31036" t="s">
        <v>14</v>
      </c>
      <c r="E31036" t="s">
        <v>246</v>
      </c>
      <c r="F31036" s="2" t="str">
        <f>HYPERLINK("http://www.otzar.org/book.asp?174651","עטרת המועדים - תניינא")</f>
        <v>עטרת המועדים - תניינא</v>
      </c>
    </row>
    <row r="31037" spans="1:6" x14ac:dyDescent="0.2">
      <c r="A31037" t="s">
        <v>48690</v>
      </c>
      <c r="B31037" t="s">
        <v>48690</v>
      </c>
      <c r="C31037" t="s">
        <v>581</v>
      </c>
      <c r="D31037" t="s">
        <v>1566</v>
      </c>
      <c r="F31037" s="2" t="str">
        <f>HYPERLINK("http://www.otzar.org/book.asp?191701","עטרת הצדיקים")</f>
        <v>עטרת הצדיקים</v>
      </c>
    </row>
    <row r="31038" spans="1:6" x14ac:dyDescent="0.2">
      <c r="A31038" t="s">
        <v>48691</v>
      </c>
      <c r="B31038" t="s">
        <v>48689</v>
      </c>
      <c r="C31038" t="s">
        <v>244</v>
      </c>
      <c r="D31038" t="s">
        <v>21</v>
      </c>
      <c r="E31038" t="s">
        <v>144</v>
      </c>
      <c r="F31038" s="2" t="str">
        <f>HYPERLINK("http://www.otzar.org/book.asp?601218","עטרת הקדשים")</f>
        <v>עטרת הקדשים</v>
      </c>
    </row>
    <row r="31039" spans="1:6" x14ac:dyDescent="0.2">
      <c r="A31039" t="s">
        <v>48692</v>
      </c>
      <c r="B31039" t="s">
        <v>48693</v>
      </c>
      <c r="C31039" t="s">
        <v>2105</v>
      </c>
      <c r="D31039" t="s">
        <v>9</v>
      </c>
      <c r="E31039" t="s">
        <v>234</v>
      </c>
      <c r="F31039" s="2" t="str">
        <f>HYPERLINK("http://www.otzar.org/book.asp?102103","עטרת זהב")</f>
        <v>עטרת זהב</v>
      </c>
    </row>
    <row r="31040" spans="1:6" x14ac:dyDescent="0.2">
      <c r="A31040" t="s">
        <v>48692</v>
      </c>
      <c r="B31040" t="s">
        <v>13716</v>
      </c>
      <c r="C31040" t="s">
        <v>10408</v>
      </c>
      <c r="D31040" t="s">
        <v>27</v>
      </c>
      <c r="E31040" t="s">
        <v>674</v>
      </c>
      <c r="F31040" s="2" t="str">
        <f>HYPERLINK("http://www.otzar.org/book.asp?873","עטרת זהב")</f>
        <v>עטרת זהב</v>
      </c>
    </row>
    <row r="31041" spans="1:6" x14ac:dyDescent="0.2">
      <c r="A31041" t="s">
        <v>48692</v>
      </c>
      <c r="B31041" t="s">
        <v>31942</v>
      </c>
      <c r="C31041" t="s">
        <v>37</v>
      </c>
      <c r="D31041" t="s">
        <v>14</v>
      </c>
      <c r="E31041" t="s">
        <v>144</v>
      </c>
      <c r="F31041" s="2" t="str">
        <f>HYPERLINK("http://www.otzar.org/book.asp?608285","עטרת זהב")</f>
        <v>עטרת זהב</v>
      </c>
    </row>
    <row r="31042" spans="1:6" x14ac:dyDescent="0.2">
      <c r="A31042" t="s">
        <v>48694</v>
      </c>
      <c r="B31042" t="s">
        <v>38395</v>
      </c>
      <c r="C31042" t="s">
        <v>37</v>
      </c>
      <c r="D31042" t="s">
        <v>21</v>
      </c>
      <c r="F31042" s="2" t="str">
        <f>HYPERLINK("http://www.otzar.org/book.asp?622944","עטרת זהב - פורים")</f>
        <v>עטרת זהב - פורים</v>
      </c>
    </row>
    <row r="31043" spans="1:6" x14ac:dyDescent="0.2">
      <c r="A31043" t="s">
        <v>48692</v>
      </c>
      <c r="B31043" t="s">
        <v>255</v>
      </c>
      <c r="C31043" t="s">
        <v>189</v>
      </c>
      <c r="D31043" t="s">
        <v>14</v>
      </c>
      <c r="E31043" t="s">
        <v>158</v>
      </c>
      <c r="F31043" s="2" t="str">
        <f>HYPERLINK("http://www.otzar.org/book.asp?152691","עטרת זהב")</f>
        <v>עטרת זהב</v>
      </c>
    </row>
    <row r="31044" spans="1:6" x14ac:dyDescent="0.2">
      <c r="A31044" t="s">
        <v>48695</v>
      </c>
      <c r="B31044" t="s">
        <v>7058</v>
      </c>
      <c r="C31044" t="s">
        <v>168</v>
      </c>
      <c r="D31044" t="s">
        <v>90</v>
      </c>
      <c r="E31044" t="s">
        <v>1626</v>
      </c>
      <c r="F31044" s="2" t="str">
        <f>HYPERLINK("http://www.otzar.org/book.asp?64378","עטרת זקנים &lt;מנהג חבאן&gt; - מועדים")</f>
        <v>עטרת זקנים &lt;מנהג חבאן&gt; - מועדים</v>
      </c>
    </row>
    <row r="31045" spans="1:6" x14ac:dyDescent="0.2">
      <c r="A31045" t="s">
        <v>48696</v>
      </c>
      <c r="B31045" t="s">
        <v>17467</v>
      </c>
      <c r="C31045" t="s">
        <v>10572</v>
      </c>
      <c r="D31045" t="s">
        <v>1023</v>
      </c>
      <c r="E31045" t="s">
        <v>579</v>
      </c>
      <c r="F31045" s="2" t="str">
        <f>HYPERLINK("http://www.otzar.org/book.asp?945","עטרת זקנים - 3 כר'")</f>
        <v>עטרת זקנים - 3 כר'</v>
      </c>
    </row>
    <row r="31046" spans="1:6" x14ac:dyDescent="0.2">
      <c r="A31046" t="s">
        <v>48697</v>
      </c>
      <c r="B31046" t="s">
        <v>48698</v>
      </c>
      <c r="C31046" t="s">
        <v>462</v>
      </c>
      <c r="D31046" t="s">
        <v>267</v>
      </c>
      <c r="E31046" t="s">
        <v>158</v>
      </c>
      <c r="F31046" s="2" t="str">
        <f>HYPERLINK("http://www.otzar.org/book.asp?175406","עטרת זקנים")</f>
        <v>עטרת זקנים</v>
      </c>
    </row>
    <row r="31047" spans="1:6" x14ac:dyDescent="0.2">
      <c r="A31047" t="s">
        <v>48697</v>
      </c>
      <c r="B31047" t="s">
        <v>48699</v>
      </c>
      <c r="C31047" t="s">
        <v>594</v>
      </c>
      <c r="D31047" t="s">
        <v>267</v>
      </c>
      <c r="E31047" t="s">
        <v>463</v>
      </c>
      <c r="F31047" s="2" t="str">
        <f>HYPERLINK("http://www.otzar.org/book.asp?101743","עטרת זקנים")</f>
        <v>עטרת זקנים</v>
      </c>
    </row>
    <row r="31048" spans="1:6" x14ac:dyDescent="0.2">
      <c r="A31048" t="s">
        <v>48700</v>
      </c>
      <c r="B31048" t="s">
        <v>48701</v>
      </c>
      <c r="C31048" t="s">
        <v>13</v>
      </c>
      <c r="D31048" t="s">
        <v>412</v>
      </c>
      <c r="E31048" t="s">
        <v>674</v>
      </c>
      <c r="F31048" s="2" t="str">
        <f>HYPERLINK("http://www.otzar.org/book.asp?163752","עטרת זקנים - בני בנים בהלכה")</f>
        <v>עטרת זקנים - בני בנים בהלכה</v>
      </c>
    </row>
    <row r="31049" spans="1:6" x14ac:dyDescent="0.2">
      <c r="A31049" t="s">
        <v>48697</v>
      </c>
      <c r="B31049" t="s">
        <v>48702</v>
      </c>
      <c r="C31049" t="s">
        <v>20</v>
      </c>
      <c r="D31049" t="s">
        <v>412</v>
      </c>
      <c r="E31049" t="s">
        <v>104</v>
      </c>
      <c r="F31049" s="2" t="str">
        <f>HYPERLINK("http://www.otzar.org/book.asp?85695","עטרת זקנים")</f>
        <v>עטרת זקנים</v>
      </c>
    </row>
    <row r="31050" spans="1:6" x14ac:dyDescent="0.2">
      <c r="A31050" t="s">
        <v>48697</v>
      </c>
      <c r="B31050" t="s">
        <v>48697</v>
      </c>
      <c r="C31050" t="s">
        <v>146</v>
      </c>
      <c r="D31050" t="s">
        <v>14</v>
      </c>
      <c r="E31050" t="s">
        <v>674</v>
      </c>
      <c r="F31050" s="2" t="str">
        <f>HYPERLINK("http://www.otzar.org/book.asp?142112","עטרת זקנים")</f>
        <v>עטרת זקנים</v>
      </c>
    </row>
    <row r="31051" spans="1:6" x14ac:dyDescent="0.2">
      <c r="A31051" t="s">
        <v>48697</v>
      </c>
      <c r="B31051" t="s">
        <v>48703</v>
      </c>
      <c r="C31051" t="s">
        <v>17</v>
      </c>
      <c r="D31051" t="s">
        <v>52</v>
      </c>
      <c r="E31051" t="s">
        <v>202</v>
      </c>
      <c r="F31051" s="2" t="str">
        <f>HYPERLINK("http://www.otzar.org/book.asp?143174","עטרת זקנים")</f>
        <v>עטרת זקנים</v>
      </c>
    </row>
    <row r="31052" spans="1:6" x14ac:dyDescent="0.2">
      <c r="A31052" t="s">
        <v>48704</v>
      </c>
      <c r="B31052" t="s">
        <v>1750</v>
      </c>
      <c r="C31052" t="s">
        <v>940</v>
      </c>
      <c r="D31052" t="s">
        <v>52</v>
      </c>
      <c r="E31052" t="s">
        <v>202</v>
      </c>
      <c r="F31052" s="2" t="str">
        <f>HYPERLINK("http://www.otzar.org/book.asp?61461","עטרת זקנים - 9 כר'")</f>
        <v>עטרת זקנים - 9 כר'</v>
      </c>
    </row>
    <row r="31053" spans="1:6" x14ac:dyDescent="0.2">
      <c r="A31053" t="s">
        <v>48697</v>
      </c>
      <c r="B31053" t="s">
        <v>48705</v>
      </c>
      <c r="C31053" t="s">
        <v>68</v>
      </c>
      <c r="D31053" t="s">
        <v>14</v>
      </c>
      <c r="E31053" t="s">
        <v>158</v>
      </c>
      <c r="F31053" s="2" t="str">
        <f>HYPERLINK("http://www.otzar.org/book.asp?174038","עטרת זקנים")</f>
        <v>עטרת זקנים</v>
      </c>
    </row>
    <row r="31054" spans="1:6" x14ac:dyDescent="0.2">
      <c r="A31054" t="s">
        <v>48706</v>
      </c>
      <c r="B31054" t="s">
        <v>48707</v>
      </c>
      <c r="C31054" t="s">
        <v>383</v>
      </c>
      <c r="D31054" t="s">
        <v>14</v>
      </c>
      <c r="E31054" t="s">
        <v>15</v>
      </c>
      <c r="F31054" s="2" t="str">
        <f>HYPERLINK("http://www.otzar.org/book.asp?21823","עטרת חזקיה")</f>
        <v>עטרת חזקיה</v>
      </c>
    </row>
    <row r="31055" spans="1:6" x14ac:dyDescent="0.2">
      <c r="A31055" t="s">
        <v>48708</v>
      </c>
      <c r="B31055" t="s">
        <v>4485</v>
      </c>
      <c r="C31055" t="s">
        <v>332</v>
      </c>
      <c r="D31055" t="s">
        <v>1180</v>
      </c>
      <c r="E31055" t="s">
        <v>48709</v>
      </c>
      <c r="F31055" s="2" t="str">
        <f>HYPERLINK("http://www.otzar.org/book.asp?7938","עטרת חיים - 2 כר'")</f>
        <v>עטרת חיים - 2 כר'</v>
      </c>
    </row>
    <row r="31056" spans="1:6" x14ac:dyDescent="0.2">
      <c r="A31056" t="s">
        <v>48710</v>
      </c>
      <c r="B31056" t="s">
        <v>48711</v>
      </c>
      <c r="C31056" t="s">
        <v>103</v>
      </c>
      <c r="D31056" t="s">
        <v>90</v>
      </c>
      <c r="E31056" t="s">
        <v>15</v>
      </c>
      <c r="F31056" s="2" t="str">
        <f>HYPERLINK("http://www.otzar.org/book.asp?64370","עטרת חיים")</f>
        <v>עטרת חיים</v>
      </c>
    </row>
    <row r="31057" spans="1:6" x14ac:dyDescent="0.2">
      <c r="A31057" t="s">
        <v>48710</v>
      </c>
      <c r="B31057" t="s">
        <v>1750</v>
      </c>
      <c r="C31057" t="s">
        <v>129</v>
      </c>
      <c r="D31057" t="s">
        <v>52</v>
      </c>
      <c r="E31057" t="s">
        <v>202</v>
      </c>
      <c r="F31057" s="2" t="str">
        <f>HYPERLINK("http://www.otzar.org/book.asp?85699","עטרת חיים")</f>
        <v>עטרת חיים</v>
      </c>
    </row>
    <row r="31058" spans="1:6" x14ac:dyDescent="0.2">
      <c r="A31058" t="s">
        <v>48712</v>
      </c>
      <c r="B31058" t="s">
        <v>48713</v>
      </c>
      <c r="C31058" t="s">
        <v>775</v>
      </c>
      <c r="D31058" t="s">
        <v>52</v>
      </c>
      <c r="E31058" t="s">
        <v>186</v>
      </c>
      <c r="F31058" s="2" t="str">
        <f>HYPERLINK("http://www.otzar.org/book.asp?144525","עטרת חכמים - 5 כר'")</f>
        <v>עטרת חכמים - 5 כר'</v>
      </c>
    </row>
    <row r="31059" spans="1:6" x14ac:dyDescent="0.2">
      <c r="A31059" t="s">
        <v>48714</v>
      </c>
      <c r="B31059" t="s">
        <v>4015</v>
      </c>
      <c r="C31059" t="s">
        <v>462</v>
      </c>
      <c r="D31059" t="s">
        <v>2295</v>
      </c>
      <c r="E31059" t="s">
        <v>8796</v>
      </c>
      <c r="F31059" s="2" t="str">
        <f>HYPERLINK("http://www.otzar.org/book.asp?11455","עטרת חכמים - 2 כר'")</f>
        <v>עטרת חכמים - 2 כר'</v>
      </c>
    </row>
    <row r="31060" spans="1:6" x14ac:dyDescent="0.2">
      <c r="A31060" t="s">
        <v>48715</v>
      </c>
      <c r="B31060" t="s">
        <v>905</v>
      </c>
      <c r="C31060" t="s">
        <v>133</v>
      </c>
      <c r="D31060" t="s">
        <v>14</v>
      </c>
      <c r="E31060" t="s">
        <v>119</v>
      </c>
      <c r="F31060" s="2" t="str">
        <f>HYPERLINK("http://www.otzar.org/book.asp?604581","עטרת חכמים - על רבי חיים בן עטר")</f>
        <v>עטרת חכמים - על רבי חיים בן עטר</v>
      </c>
    </row>
    <row r="31061" spans="1:6" x14ac:dyDescent="0.2">
      <c r="A31061" t="s">
        <v>48716</v>
      </c>
      <c r="B31061" t="s">
        <v>11802</v>
      </c>
      <c r="C31061" t="s">
        <v>550</v>
      </c>
      <c r="D31061" t="s">
        <v>8579</v>
      </c>
      <c r="E31061" t="s">
        <v>508</v>
      </c>
      <c r="F31061" s="2" t="str">
        <f>HYPERLINK("http://www.otzar.org/book.asp?6915","עטרת חכמים")</f>
        <v>עטרת חכמים</v>
      </c>
    </row>
    <row r="31062" spans="1:6" x14ac:dyDescent="0.2">
      <c r="A31062" t="s">
        <v>48717</v>
      </c>
      <c r="B31062" t="s">
        <v>43682</v>
      </c>
      <c r="C31062" t="s">
        <v>244</v>
      </c>
      <c r="D31062" t="s">
        <v>412</v>
      </c>
      <c r="F31062" s="2" t="str">
        <f>HYPERLINK("http://www.otzar.org/book.asp?601608","עטרת חן")</f>
        <v>עטרת חן</v>
      </c>
    </row>
    <row r="31063" spans="1:6" x14ac:dyDescent="0.2">
      <c r="A31063" t="s">
        <v>48718</v>
      </c>
      <c r="B31063" t="s">
        <v>41281</v>
      </c>
      <c r="C31063" t="s">
        <v>313</v>
      </c>
      <c r="D31063" t="s">
        <v>486</v>
      </c>
      <c r="E31063" t="s">
        <v>263</v>
      </c>
      <c r="F31063" s="2" t="str">
        <f>HYPERLINK("http://www.otzar.org/book.asp?52861","עטרת חן - 2 כר'")</f>
        <v>עטרת חן - 2 כר'</v>
      </c>
    </row>
    <row r="31064" spans="1:6" x14ac:dyDescent="0.2">
      <c r="A31064" t="s">
        <v>48717</v>
      </c>
      <c r="B31064" t="s">
        <v>776</v>
      </c>
      <c r="C31064" t="s">
        <v>237</v>
      </c>
      <c r="D31064" t="s">
        <v>27</v>
      </c>
      <c r="E31064" t="s">
        <v>241</v>
      </c>
      <c r="F31064" s="2" t="str">
        <f>HYPERLINK("http://www.otzar.org/book.asp?179224","עטרת חן")</f>
        <v>עטרת חן</v>
      </c>
    </row>
    <row r="31065" spans="1:6" x14ac:dyDescent="0.2">
      <c r="A31065" t="s">
        <v>48718</v>
      </c>
      <c r="B31065" t="s">
        <v>29163</v>
      </c>
      <c r="C31065" t="s">
        <v>2076</v>
      </c>
      <c r="D31065" t="s">
        <v>15324</v>
      </c>
      <c r="E31065" t="s">
        <v>15</v>
      </c>
      <c r="F31065" s="2" t="str">
        <f>HYPERLINK("http://www.otzar.org/book.asp?619712","עטרת חן - 2 כר'")</f>
        <v>עטרת חן - 2 כר'</v>
      </c>
    </row>
    <row r="31066" spans="1:6" x14ac:dyDescent="0.2">
      <c r="A31066" t="s">
        <v>48719</v>
      </c>
      <c r="B31066" t="s">
        <v>48720</v>
      </c>
      <c r="C31066" t="s">
        <v>13</v>
      </c>
      <c r="D31066" t="s">
        <v>1840</v>
      </c>
      <c r="E31066" t="s">
        <v>202</v>
      </c>
      <c r="F31066" s="2" t="str">
        <f>HYPERLINK("http://www.otzar.org/book.asp?85251","עטרת חן - 5 כר'")</f>
        <v>עטרת חן - 5 כר'</v>
      </c>
    </row>
    <row r="31067" spans="1:6" x14ac:dyDescent="0.2">
      <c r="A31067" t="s">
        <v>48721</v>
      </c>
      <c r="B31067" t="s">
        <v>48722</v>
      </c>
      <c r="C31067" t="s">
        <v>454</v>
      </c>
      <c r="D31067" t="s">
        <v>14</v>
      </c>
      <c r="E31067" t="s">
        <v>104</v>
      </c>
      <c r="F31067" s="2" t="str">
        <f>HYPERLINK("http://www.otzar.org/book.asp?176903","עטרת חתנים")</f>
        <v>עטרת חתנים</v>
      </c>
    </row>
    <row r="31068" spans="1:6" x14ac:dyDescent="0.2">
      <c r="A31068" t="s">
        <v>48723</v>
      </c>
      <c r="B31068" t="s">
        <v>294</v>
      </c>
      <c r="C31068" t="s">
        <v>1535</v>
      </c>
      <c r="D31068" t="s">
        <v>2295</v>
      </c>
      <c r="E31068" t="s">
        <v>14342</v>
      </c>
      <c r="F31068" s="2" t="str">
        <f>HYPERLINK("http://www.otzar.org/book.asp?19154","עטרת טוביה")</f>
        <v>עטרת טוביה</v>
      </c>
    </row>
    <row r="31069" spans="1:6" x14ac:dyDescent="0.2">
      <c r="A31069" t="s">
        <v>48724</v>
      </c>
      <c r="B31069" t="s">
        <v>32959</v>
      </c>
      <c r="C31069" t="s">
        <v>176</v>
      </c>
      <c r="D31069" t="s">
        <v>14</v>
      </c>
      <c r="E31069" t="s">
        <v>158</v>
      </c>
      <c r="F31069" s="2" t="str">
        <f>HYPERLINK("http://www.otzar.org/book.asp?152642","עטרת יהושע &lt;על התורה&gt; - 5 כר'")</f>
        <v>עטרת יהושע &lt;על התורה&gt; - 5 כר'</v>
      </c>
    </row>
    <row r="31070" spans="1:6" x14ac:dyDescent="0.2">
      <c r="A31070" t="s">
        <v>48725</v>
      </c>
      <c r="B31070" t="s">
        <v>32959</v>
      </c>
      <c r="C31070" t="s">
        <v>767</v>
      </c>
      <c r="D31070" t="s">
        <v>14</v>
      </c>
      <c r="E31070" t="s">
        <v>234</v>
      </c>
      <c r="F31070" s="2" t="str">
        <f>HYPERLINK("http://www.otzar.org/book.asp?152638","עטרת יהושע - 11 כר'")</f>
        <v>עטרת יהושע - 11 כר'</v>
      </c>
    </row>
    <row r="31071" spans="1:6" x14ac:dyDescent="0.2">
      <c r="A31071" t="s">
        <v>48726</v>
      </c>
      <c r="B31071" t="s">
        <v>13240</v>
      </c>
      <c r="C31071" t="s">
        <v>286</v>
      </c>
      <c r="D31071" t="s">
        <v>691</v>
      </c>
      <c r="E31071" t="s">
        <v>119</v>
      </c>
      <c r="F31071" s="2" t="str">
        <f>HYPERLINK("http://www.otzar.org/book.asp?19426","עטרת יהושע")</f>
        <v>עטרת יהושע</v>
      </c>
    </row>
    <row r="31072" spans="1:6" x14ac:dyDescent="0.2">
      <c r="A31072" t="s">
        <v>48727</v>
      </c>
      <c r="B31072" t="s">
        <v>48728</v>
      </c>
      <c r="C31072" t="s">
        <v>1096</v>
      </c>
      <c r="D31072" t="s">
        <v>27</v>
      </c>
      <c r="E31072" t="s">
        <v>399</v>
      </c>
      <c r="F31072" s="2" t="str">
        <f>HYPERLINK("http://www.otzar.org/book.asp?15981","עטרת יוסף - 2 כר'")</f>
        <v>עטרת יוסף - 2 כר'</v>
      </c>
    </row>
    <row r="31073" spans="1:6" x14ac:dyDescent="0.2">
      <c r="A31073" t="s">
        <v>48729</v>
      </c>
      <c r="B31073" t="s">
        <v>48730</v>
      </c>
      <c r="C31073" t="s">
        <v>10155</v>
      </c>
      <c r="D31073" t="s">
        <v>280</v>
      </c>
      <c r="E31073" t="s">
        <v>144</v>
      </c>
      <c r="F31073" s="2" t="str">
        <f>HYPERLINK("http://www.otzar.org/book.asp?25213","עטרת יוסף")</f>
        <v>עטרת יוסף</v>
      </c>
    </row>
    <row r="31074" spans="1:6" x14ac:dyDescent="0.2">
      <c r="A31074" t="s">
        <v>48729</v>
      </c>
      <c r="B31074" t="s">
        <v>552</v>
      </c>
      <c r="C31074" t="s">
        <v>411</v>
      </c>
      <c r="D31074" t="s">
        <v>52</v>
      </c>
      <c r="E31074" t="s">
        <v>202</v>
      </c>
      <c r="F31074" s="2" t="str">
        <f>HYPERLINK("http://www.otzar.org/book.asp?169041","עטרת יוסף")</f>
        <v>עטרת יוסף</v>
      </c>
    </row>
    <row r="31075" spans="1:6" x14ac:dyDescent="0.2">
      <c r="A31075" t="s">
        <v>48731</v>
      </c>
      <c r="B31075" t="s">
        <v>48732</v>
      </c>
      <c r="C31075" t="s">
        <v>728</v>
      </c>
      <c r="D31075" t="s">
        <v>267</v>
      </c>
      <c r="E31075" t="s">
        <v>467</v>
      </c>
      <c r="F31075" s="2" t="str">
        <f>HYPERLINK("http://www.otzar.org/book.asp?20477","עטרת יעקב וישראל")</f>
        <v>עטרת יעקב וישראל</v>
      </c>
    </row>
    <row r="31076" spans="1:6" x14ac:dyDescent="0.2">
      <c r="A31076" t="s">
        <v>48733</v>
      </c>
      <c r="B31076" t="s">
        <v>13305</v>
      </c>
      <c r="C31076" t="s">
        <v>785</v>
      </c>
      <c r="D31076" t="s">
        <v>14</v>
      </c>
      <c r="E31076" t="s">
        <v>2533</v>
      </c>
      <c r="F31076" s="2" t="str">
        <f>HYPERLINK("http://www.otzar.org/book.asp?615617","עטרת יעקב - 6 כר'")</f>
        <v>עטרת יעקב - 6 כר'</v>
      </c>
    </row>
    <row r="31077" spans="1:6" x14ac:dyDescent="0.2">
      <c r="A31077" t="s">
        <v>48734</v>
      </c>
      <c r="B31077" t="s">
        <v>12535</v>
      </c>
      <c r="C31077" t="s">
        <v>1177</v>
      </c>
      <c r="D31077" t="s">
        <v>48735</v>
      </c>
      <c r="E31077" t="s">
        <v>4333</v>
      </c>
      <c r="F31077" s="2" t="str">
        <f>HYPERLINK("http://www.otzar.org/book.asp?166822","עטרת יעקב")</f>
        <v>עטרת יעקב</v>
      </c>
    </row>
    <row r="31078" spans="1:6" x14ac:dyDescent="0.2">
      <c r="A31078" t="s">
        <v>48736</v>
      </c>
      <c r="B31078" t="s">
        <v>48737</v>
      </c>
      <c r="C31078" t="s">
        <v>68</v>
      </c>
      <c r="D31078" t="s">
        <v>14</v>
      </c>
      <c r="F31078" s="2" t="str">
        <f>HYPERLINK("http://www.otzar.org/book.asp?156610","עטרת יצחק - 4 כר'")</f>
        <v>עטרת יצחק - 4 כר'</v>
      </c>
    </row>
    <row r="31079" spans="1:6" x14ac:dyDescent="0.2">
      <c r="A31079" t="s">
        <v>48738</v>
      </c>
      <c r="B31079" t="s">
        <v>14738</v>
      </c>
      <c r="C31079" t="s">
        <v>946</v>
      </c>
      <c r="D31079" t="s">
        <v>27</v>
      </c>
      <c r="E31079" t="s">
        <v>2441</v>
      </c>
      <c r="F31079" s="2" t="str">
        <f>HYPERLINK("http://www.otzar.org/book.asp?5710","עטרת יצחק")</f>
        <v>עטרת יצחק</v>
      </c>
    </row>
    <row r="31080" spans="1:6" x14ac:dyDescent="0.2">
      <c r="A31080" t="s">
        <v>48739</v>
      </c>
      <c r="B31080" t="s">
        <v>48740</v>
      </c>
      <c r="C31080" t="s">
        <v>332</v>
      </c>
      <c r="D31080" t="s">
        <v>14</v>
      </c>
      <c r="E31080" t="s">
        <v>43</v>
      </c>
      <c r="F31080" s="2" t="str">
        <f>HYPERLINK("http://www.otzar.org/book.asp?613989","עטרת יצחק - בבא בתרא")</f>
        <v>עטרת יצחק - בבא בתרא</v>
      </c>
    </row>
    <row r="31081" spans="1:6" x14ac:dyDescent="0.2">
      <c r="A31081" t="s">
        <v>48741</v>
      </c>
      <c r="B31081" t="s">
        <v>48742</v>
      </c>
      <c r="C31081" t="s">
        <v>619</v>
      </c>
      <c r="D31081" t="s">
        <v>1117</v>
      </c>
      <c r="E31081" t="s">
        <v>154</v>
      </c>
      <c r="F31081" s="2" t="str">
        <f>HYPERLINK("http://www.otzar.org/book.asp?10830","עטרת ישועה &lt;שו""ת&gt;")</f>
        <v>עטרת ישועה &lt;שו"ת&gt;</v>
      </c>
    </row>
    <row r="31082" spans="1:6" x14ac:dyDescent="0.2">
      <c r="A31082" t="s">
        <v>48743</v>
      </c>
      <c r="B31082" t="s">
        <v>48742</v>
      </c>
      <c r="C31082" t="s">
        <v>124</v>
      </c>
      <c r="D31082" t="s">
        <v>14</v>
      </c>
      <c r="E31082" t="s">
        <v>588</v>
      </c>
      <c r="F31082" s="2" t="str">
        <f>HYPERLINK("http://www.otzar.org/book.asp?162026","עטרת ישועה - 5 כר'")</f>
        <v>עטרת ישועה - 5 כר'</v>
      </c>
    </row>
    <row r="31083" spans="1:6" x14ac:dyDescent="0.2">
      <c r="A31083" t="s">
        <v>48744</v>
      </c>
      <c r="B31083" t="s">
        <v>48745</v>
      </c>
      <c r="C31083" t="s">
        <v>1937</v>
      </c>
      <c r="D31083" t="s">
        <v>56</v>
      </c>
      <c r="E31083" t="s">
        <v>1211</v>
      </c>
      <c r="F31083" s="2" t="str">
        <f>HYPERLINK("http://www.otzar.org/book.asp?83765","עטרת ישועה")</f>
        <v>עטרת ישועה</v>
      </c>
    </row>
    <row r="31084" spans="1:6" x14ac:dyDescent="0.2">
      <c r="A31084" t="s">
        <v>48744</v>
      </c>
      <c r="B31084" t="s">
        <v>39816</v>
      </c>
      <c r="C31084" t="s">
        <v>812</v>
      </c>
      <c r="D31084" t="s">
        <v>283</v>
      </c>
      <c r="E31084" t="s">
        <v>246</v>
      </c>
      <c r="F31084" s="2" t="str">
        <f>HYPERLINK("http://www.otzar.org/book.asp?141199","עטרת ישועה")</f>
        <v>עטרת ישועה</v>
      </c>
    </row>
    <row r="31085" spans="1:6" x14ac:dyDescent="0.2">
      <c r="A31085" t="s">
        <v>48744</v>
      </c>
      <c r="B31085" t="s">
        <v>489</v>
      </c>
      <c r="C31085" t="s">
        <v>133</v>
      </c>
      <c r="D31085" t="s">
        <v>48746</v>
      </c>
      <c r="E31085" t="s">
        <v>202</v>
      </c>
      <c r="F31085" s="2" t="str">
        <f>HYPERLINK("http://www.otzar.org/book.asp?173013","עטרת ישועה")</f>
        <v>עטרת ישועה</v>
      </c>
    </row>
    <row r="31086" spans="1:6" x14ac:dyDescent="0.2">
      <c r="A31086" t="s">
        <v>48744</v>
      </c>
      <c r="B31086" t="s">
        <v>20526</v>
      </c>
      <c r="C31086" t="s">
        <v>581</v>
      </c>
      <c r="D31086" t="s">
        <v>27</v>
      </c>
      <c r="E31086" t="s">
        <v>144</v>
      </c>
      <c r="F31086" s="2" t="str">
        <f>HYPERLINK("http://www.otzar.org/book.asp?101745","עטרת ישועה")</f>
        <v>עטרת ישועה</v>
      </c>
    </row>
    <row r="31087" spans="1:6" x14ac:dyDescent="0.2">
      <c r="A31087" t="s">
        <v>48747</v>
      </c>
      <c r="B31087" t="s">
        <v>48748</v>
      </c>
      <c r="C31087" t="s">
        <v>111</v>
      </c>
      <c r="D31087" t="s">
        <v>14</v>
      </c>
      <c r="E31087" t="s">
        <v>144</v>
      </c>
      <c r="F31087" s="2" t="str">
        <f>HYPERLINK("http://www.otzar.org/book.asp?620137","עטרת ישן - 3 כר'")</f>
        <v>עטרת ישן - 3 כר'</v>
      </c>
    </row>
    <row r="31088" spans="1:6" x14ac:dyDescent="0.2">
      <c r="A31088" t="s">
        <v>48749</v>
      </c>
      <c r="B31088" t="s">
        <v>48750</v>
      </c>
      <c r="C31088" t="s">
        <v>106</v>
      </c>
      <c r="D31088" t="s">
        <v>412</v>
      </c>
      <c r="E31088" t="s">
        <v>2088</v>
      </c>
      <c r="F31088" s="2" t="str">
        <f>HYPERLINK("http://www.otzar.org/book.asp?144885","עטרת ישעיה")</f>
        <v>עטרת ישעיה</v>
      </c>
    </row>
    <row r="31089" spans="1:6" x14ac:dyDescent="0.2">
      <c r="A31089" t="s">
        <v>48751</v>
      </c>
      <c r="B31089" t="s">
        <v>48752</v>
      </c>
      <c r="C31089" t="s">
        <v>151</v>
      </c>
      <c r="D31089" t="s">
        <v>1153</v>
      </c>
      <c r="E31089" t="s">
        <v>674</v>
      </c>
      <c r="F31089" s="2" t="str">
        <f>HYPERLINK("http://www.otzar.org/book.asp?621723","עטרת ישראל ורחמים - 2 כר'")</f>
        <v>עטרת ישראל ורחמים - 2 כר'</v>
      </c>
    </row>
    <row r="31090" spans="1:6" x14ac:dyDescent="0.2">
      <c r="A31090" t="s">
        <v>48753</v>
      </c>
      <c r="C31090" t="s">
        <v>37</v>
      </c>
      <c r="D31090" t="s">
        <v>52</v>
      </c>
      <c r="F31090" s="2" t="str">
        <f>HYPERLINK("http://www.otzar.org/book.asp?197665","עטרת ישראל - בר מצוה")</f>
        <v>עטרת ישראל - בר מצוה</v>
      </c>
    </row>
    <row r="31091" spans="1:6" x14ac:dyDescent="0.2">
      <c r="A31091" t="s">
        <v>48754</v>
      </c>
      <c r="B31091" t="s">
        <v>48755</v>
      </c>
      <c r="C31091" t="s">
        <v>1310</v>
      </c>
      <c r="D31091" t="s">
        <v>1419</v>
      </c>
      <c r="E31091" t="s">
        <v>474</v>
      </c>
      <c r="F31091" s="2" t="str">
        <f>HYPERLINK("http://www.otzar.org/book.asp?105834","עטרת ישראל - 3 כר'")</f>
        <v>עטרת ישראל - 3 כר'</v>
      </c>
    </row>
    <row r="31092" spans="1:6" x14ac:dyDescent="0.2">
      <c r="A31092" t="s">
        <v>48756</v>
      </c>
      <c r="B31092" t="s">
        <v>48757</v>
      </c>
      <c r="C31092" t="s">
        <v>1640</v>
      </c>
      <c r="D31092" t="s">
        <v>216</v>
      </c>
      <c r="E31092" t="s">
        <v>144</v>
      </c>
      <c r="F31092" s="2" t="str">
        <f>HYPERLINK("http://www.otzar.org/book.asp?156066","עטרת ישראל")</f>
        <v>עטרת ישראל</v>
      </c>
    </row>
    <row r="31093" spans="1:6" x14ac:dyDescent="0.2">
      <c r="A31093" t="s">
        <v>48756</v>
      </c>
      <c r="B31093" t="s">
        <v>11753</v>
      </c>
      <c r="C31093" t="s">
        <v>189</v>
      </c>
      <c r="D31093" t="s">
        <v>90</v>
      </c>
      <c r="E31093" t="s">
        <v>234</v>
      </c>
      <c r="F31093" s="2" t="str">
        <f>HYPERLINK("http://www.otzar.org/book.asp?85914","עטרת ישראל")</f>
        <v>עטרת ישראל</v>
      </c>
    </row>
    <row r="31094" spans="1:6" x14ac:dyDescent="0.2">
      <c r="A31094" t="s">
        <v>48756</v>
      </c>
      <c r="B31094" t="s">
        <v>29136</v>
      </c>
      <c r="C31094" t="s">
        <v>48758</v>
      </c>
      <c r="D31094" t="s">
        <v>6459</v>
      </c>
      <c r="E31094" t="s">
        <v>140</v>
      </c>
      <c r="F31094" s="2" t="str">
        <f>HYPERLINK("http://www.otzar.org/book.asp?11126","עטרת ישראל")</f>
        <v>עטרת ישראל</v>
      </c>
    </row>
    <row r="31095" spans="1:6" x14ac:dyDescent="0.2">
      <c r="A31095" t="s">
        <v>48759</v>
      </c>
      <c r="B31095" t="s">
        <v>48760</v>
      </c>
      <c r="C31095" t="s">
        <v>1619</v>
      </c>
      <c r="D31095" t="s">
        <v>14</v>
      </c>
      <c r="E31095" t="s">
        <v>186</v>
      </c>
      <c r="F31095" s="2" t="str">
        <f>HYPERLINK("http://www.otzar.org/book.asp?151997","עטרת ישראל - 7 כר'")</f>
        <v>עטרת ישראל - 7 כר'</v>
      </c>
    </row>
    <row r="31096" spans="1:6" x14ac:dyDescent="0.2">
      <c r="A31096" t="s">
        <v>48761</v>
      </c>
      <c r="B31096" t="s">
        <v>48762</v>
      </c>
      <c r="C31096" t="s">
        <v>20</v>
      </c>
      <c r="D31096" t="s">
        <v>152</v>
      </c>
      <c r="E31096" t="s">
        <v>158</v>
      </c>
      <c r="F31096" s="2" t="str">
        <f>HYPERLINK("http://www.otzar.org/book.asp?615581","עטרת כתובים - חמש מגילות, עזרא, נחמיה, דניאל, דברי הימים")</f>
        <v>עטרת כתובים - חמש מגילות, עזרא, נחמיה, דניאל, דברי הימים</v>
      </c>
    </row>
    <row r="31097" spans="1:6" x14ac:dyDescent="0.2">
      <c r="A31097" t="s">
        <v>48763</v>
      </c>
      <c r="B31097" t="s">
        <v>1750</v>
      </c>
      <c r="C31097" t="s">
        <v>767</v>
      </c>
      <c r="D31097" t="s">
        <v>52</v>
      </c>
      <c r="E31097" t="s">
        <v>186</v>
      </c>
      <c r="F31097" s="2" t="str">
        <f>HYPERLINK("http://www.otzar.org/book.asp?63436","עטרת מיכאל")</f>
        <v>עטרת מיכאל</v>
      </c>
    </row>
    <row r="31098" spans="1:6" x14ac:dyDescent="0.2">
      <c r="A31098" t="s">
        <v>48764</v>
      </c>
      <c r="B31098" t="s">
        <v>5227</v>
      </c>
      <c r="C31098" t="s">
        <v>445</v>
      </c>
      <c r="D31098" t="s">
        <v>691</v>
      </c>
      <c r="E31098" t="s">
        <v>140</v>
      </c>
      <c r="F31098" s="2" t="str">
        <f>HYPERLINK("http://www.otzar.org/book.asp?6751","עטרת מנחם")</f>
        <v>עטרת מנחם</v>
      </c>
    </row>
    <row r="31099" spans="1:6" x14ac:dyDescent="0.2">
      <c r="A31099" t="s">
        <v>48765</v>
      </c>
      <c r="B31099" t="s">
        <v>48766</v>
      </c>
      <c r="C31099" t="s">
        <v>48767</v>
      </c>
      <c r="D31099" t="s">
        <v>48768</v>
      </c>
      <c r="E31099" t="s">
        <v>154</v>
      </c>
      <c r="F31099" s="2" t="str">
        <f>HYPERLINK("http://www.otzar.org/book.asp?151654","עטרת מרדכי - 2 כר'")</f>
        <v>עטרת מרדכי - 2 כר'</v>
      </c>
    </row>
    <row r="31100" spans="1:6" x14ac:dyDescent="0.2">
      <c r="A31100" t="s">
        <v>48769</v>
      </c>
      <c r="B31100" t="s">
        <v>48770</v>
      </c>
      <c r="C31100" t="s">
        <v>411</v>
      </c>
      <c r="D31100" t="s">
        <v>14605</v>
      </c>
      <c r="E31100" t="s">
        <v>144</v>
      </c>
      <c r="F31100" s="2" t="str">
        <f>HYPERLINK("http://www.otzar.org/book.asp?192977","עטרת מרדכי")</f>
        <v>עטרת מרדכי</v>
      </c>
    </row>
    <row r="31101" spans="1:6" x14ac:dyDescent="0.2">
      <c r="A31101" t="s">
        <v>48771</v>
      </c>
      <c r="B31101" t="s">
        <v>48772</v>
      </c>
      <c r="C31101" t="s">
        <v>129</v>
      </c>
      <c r="D31101" t="s">
        <v>14</v>
      </c>
      <c r="E31101" t="s">
        <v>2758</v>
      </c>
      <c r="F31101" s="2" t="str">
        <f>HYPERLINK("http://www.otzar.org/book.asp?84736","עטרת מרדכי - 6 כר'")</f>
        <v>עטרת מרדכי - 6 כר'</v>
      </c>
    </row>
    <row r="31102" spans="1:6" x14ac:dyDescent="0.2">
      <c r="A31102" t="s">
        <v>48769</v>
      </c>
      <c r="B31102" t="s">
        <v>48773</v>
      </c>
      <c r="C31102" t="s">
        <v>3106</v>
      </c>
      <c r="D31102" t="s">
        <v>563</v>
      </c>
      <c r="E31102" t="s">
        <v>84</v>
      </c>
      <c r="F31102" s="2" t="str">
        <f>HYPERLINK("http://www.otzar.org/book.asp?181292","עטרת מרדכי")</f>
        <v>עטרת מרדכי</v>
      </c>
    </row>
    <row r="31103" spans="1:6" x14ac:dyDescent="0.2">
      <c r="A31103" t="s">
        <v>48769</v>
      </c>
      <c r="B31103" t="s">
        <v>1750</v>
      </c>
      <c r="C31103" t="s">
        <v>13</v>
      </c>
      <c r="D31103" t="s">
        <v>52</v>
      </c>
      <c r="E31103" t="s">
        <v>2091</v>
      </c>
      <c r="F31103" s="2" t="str">
        <f>HYPERLINK("http://www.otzar.org/book.asp?143386","עטרת מרדכי")</f>
        <v>עטרת מרדכי</v>
      </c>
    </row>
    <row r="31104" spans="1:6" x14ac:dyDescent="0.2">
      <c r="A31104" t="s">
        <v>48765</v>
      </c>
      <c r="B31104" t="s">
        <v>48774</v>
      </c>
      <c r="C31104" t="s">
        <v>438</v>
      </c>
      <c r="D31104" t="s">
        <v>412</v>
      </c>
      <c r="E31104" t="s">
        <v>144</v>
      </c>
      <c r="F31104" s="2" t="str">
        <f>HYPERLINK("http://www.otzar.org/book.asp?62865","עטרת מרדכי - 2 כר'")</f>
        <v>עטרת מרדכי - 2 כר'</v>
      </c>
    </row>
    <row r="31105" spans="1:6" x14ac:dyDescent="0.2">
      <c r="A31105" t="s">
        <v>48769</v>
      </c>
      <c r="B31105" t="s">
        <v>36963</v>
      </c>
      <c r="C31105" t="s">
        <v>581</v>
      </c>
      <c r="D31105" t="s">
        <v>699</v>
      </c>
      <c r="E31105" t="s">
        <v>952</v>
      </c>
      <c r="F31105" s="2" t="str">
        <f>HYPERLINK("http://www.otzar.org/book.asp?101746","עטרת מרדכי")</f>
        <v>עטרת מרדכי</v>
      </c>
    </row>
    <row r="31106" spans="1:6" x14ac:dyDescent="0.2">
      <c r="A31106" t="s">
        <v>48775</v>
      </c>
      <c r="B31106" t="s">
        <v>24823</v>
      </c>
      <c r="C31106" t="s">
        <v>68</v>
      </c>
      <c r="D31106" t="s">
        <v>152</v>
      </c>
      <c r="E31106" t="s">
        <v>158</v>
      </c>
      <c r="F31106" s="2" t="str">
        <f>HYPERLINK("http://www.otzar.org/book.asp?158780","עטרת מרים - הפטרות השנה מבוארות")</f>
        <v>עטרת מרים - הפטרות השנה מבוארות</v>
      </c>
    </row>
    <row r="31107" spans="1:6" x14ac:dyDescent="0.2">
      <c r="A31107" t="s">
        <v>48776</v>
      </c>
      <c r="B31107" t="s">
        <v>48777</v>
      </c>
      <c r="C31107">
        <v>94</v>
      </c>
      <c r="D31107" t="s">
        <v>412</v>
      </c>
      <c r="E31107" t="s">
        <v>15</v>
      </c>
      <c r="F31107" s="2" t="str">
        <f>HYPERLINK("http://www.otzar.org/book.asp?615296","עטרת משה אהרן  - בשר בחלב ותערובת")</f>
        <v>עטרת משה אהרן  - בשר בחלב ותערובת</v>
      </c>
    </row>
    <row r="31108" spans="1:6" x14ac:dyDescent="0.2">
      <c r="A31108" t="s">
        <v>48778</v>
      </c>
      <c r="B31108" t="s">
        <v>48779</v>
      </c>
      <c r="C31108" t="s">
        <v>114</v>
      </c>
      <c r="D31108" t="s">
        <v>273</v>
      </c>
      <c r="E31108" t="s">
        <v>325</v>
      </c>
      <c r="F31108" s="2" t="str">
        <f>HYPERLINK("http://www.otzar.org/book.asp?193822","עטרת משה - 2 כר'")</f>
        <v>עטרת משה - 2 כר'</v>
      </c>
    </row>
    <row r="31109" spans="1:6" x14ac:dyDescent="0.2">
      <c r="A31109" t="s">
        <v>48780</v>
      </c>
      <c r="B31109" t="s">
        <v>4263</v>
      </c>
      <c r="C31109" t="s">
        <v>313</v>
      </c>
      <c r="D31109" t="s">
        <v>14</v>
      </c>
      <c r="E31109" t="s">
        <v>154</v>
      </c>
      <c r="F31109" s="2" t="str">
        <f>HYPERLINK("http://www.otzar.org/book.asp?154542","עטרת משה - 19 כר'")</f>
        <v>עטרת משה - 19 כר'</v>
      </c>
    </row>
    <row r="31110" spans="1:6" x14ac:dyDescent="0.2">
      <c r="A31110" t="s">
        <v>48781</v>
      </c>
      <c r="B31110" t="s">
        <v>23156</v>
      </c>
      <c r="C31110" t="s">
        <v>68</v>
      </c>
      <c r="D31110" t="s">
        <v>52</v>
      </c>
      <c r="E31110" t="s">
        <v>674</v>
      </c>
      <c r="F31110" s="2" t="str">
        <f>HYPERLINK("http://www.otzar.org/book.asp?170757","עטרת משולם - 2 כר'")</f>
        <v>עטרת משולם - 2 כר'</v>
      </c>
    </row>
    <row r="31111" spans="1:6" x14ac:dyDescent="0.2">
      <c r="A31111" t="s">
        <v>48782</v>
      </c>
      <c r="B31111" t="s">
        <v>11753</v>
      </c>
      <c r="C31111" t="s">
        <v>466</v>
      </c>
      <c r="D31111" t="s">
        <v>14</v>
      </c>
      <c r="E31111" t="s">
        <v>172</v>
      </c>
      <c r="F31111" s="2" t="str">
        <f>HYPERLINK("http://www.otzar.org/book.asp?61631","עטרת משפט")</f>
        <v>עטרת משפט</v>
      </c>
    </row>
    <row r="31112" spans="1:6" x14ac:dyDescent="0.2">
      <c r="A31112" t="s">
        <v>48783</v>
      </c>
      <c r="B31112" t="s">
        <v>48762</v>
      </c>
      <c r="C31112" t="s">
        <v>20</v>
      </c>
      <c r="D31112" t="s">
        <v>152</v>
      </c>
      <c r="F31112" s="2" t="str">
        <f>HYPERLINK("http://www.otzar.org/book.asp?616061","עטרת נביאים - 4 כר'")</f>
        <v>עטרת נביאים - 4 כר'</v>
      </c>
    </row>
    <row r="31113" spans="1:6" x14ac:dyDescent="0.2">
      <c r="A31113" t="s">
        <v>48784</v>
      </c>
      <c r="B31113" t="s">
        <v>48785</v>
      </c>
      <c r="C31113" t="s">
        <v>68</v>
      </c>
      <c r="D31113" t="s">
        <v>14</v>
      </c>
      <c r="E31113" t="s">
        <v>144</v>
      </c>
      <c r="F31113" s="2" t="str">
        <f>HYPERLINK("http://www.otzar.org/book.asp?173708","עטרת נזיר")</f>
        <v>עטרת נזיר</v>
      </c>
    </row>
    <row r="31114" spans="1:6" x14ac:dyDescent="0.2">
      <c r="A31114" t="s">
        <v>48786</v>
      </c>
      <c r="B31114" t="s">
        <v>44806</v>
      </c>
      <c r="C31114" t="s">
        <v>411</v>
      </c>
      <c r="D31114" t="s">
        <v>152</v>
      </c>
      <c r="E31114" t="s">
        <v>144</v>
      </c>
      <c r="F31114" s="2" t="str">
        <f>HYPERLINK("http://www.otzar.org/book.asp?173386","עטרת סנהדרין")</f>
        <v>עטרת סנהדרין</v>
      </c>
    </row>
    <row r="31115" spans="1:6" x14ac:dyDescent="0.2">
      <c r="A31115" t="s">
        <v>48787</v>
      </c>
      <c r="B31115" t="s">
        <v>48788</v>
      </c>
      <c r="C31115" t="s">
        <v>189</v>
      </c>
      <c r="D31115" t="s">
        <v>52</v>
      </c>
      <c r="E31115" t="s">
        <v>11780</v>
      </c>
      <c r="F31115" s="2" t="str">
        <f>HYPERLINK("http://www.otzar.org/book.asp?147859","עטרת עקיבא")</f>
        <v>עטרת עקיבא</v>
      </c>
    </row>
    <row r="31116" spans="1:6" x14ac:dyDescent="0.2">
      <c r="A31116" t="s">
        <v>48789</v>
      </c>
      <c r="B31116" t="s">
        <v>48790</v>
      </c>
      <c r="C31116" t="s">
        <v>1160</v>
      </c>
      <c r="D31116" t="s">
        <v>14</v>
      </c>
      <c r="E31116" t="s">
        <v>48791</v>
      </c>
      <c r="F31116" s="2" t="str">
        <f>HYPERLINK("http://www.otzar.org/book.asp?7948","עטרת פ""ז על התורה ומועדים - א")</f>
        <v>עטרת פ"ז על התורה ומועדים - א</v>
      </c>
    </row>
    <row r="31117" spans="1:6" x14ac:dyDescent="0.2">
      <c r="A31117" t="s">
        <v>48792</v>
      </c>
      <c r="B31117" t="s">
        <v>16939</v>
      </c>
      <c r="C31117" t="s">
        <v>2465</v>
      </c>
      <c r="D31117" t="s">
        <v>42</v>
      </c>
      <c r="E31117" t="s">
        <v>144</v>
      </c>
      <c r="F31117" s="2" t="str">
        <f>HYPERLINK("http://www.otzar.org/book.asp?9113","עטרת פז")</f>
        <v>עטרת פז</v>
      </c>
    </row>
    <row r="31118" spans="1:6" x14ac:dyDescent="0.2">
      <c r="A31118" t="s">
        <v>48792</v>
      </c>
      <c r="B31118" t="s">
        <v>48793</v>
      </c>
      <c r="C31118" t="s">
        <v>46</v>
      </c>
      <c r="D31118" t="s">
        <v>260</v>
      </c>
      <c r="E31118" t="s">
        <v>24</v>
      </c>
      <c r="F31118" s="2" t="str">
        <f>HYPERLINK("http://www.otzar.org/book.asp?20481","עטרת פז")</f>
        <v>עטרת פז</v>
      </c>
    </row>
    <row r="31119" spans="1:6" x14ac:dyDescent="0.2">
      <c r="A31119" t="s">
        <v>48792</v>
      </c>
      <c r="B31119" t="s">
        <v>48794</v>
      </c>
      <c r="C31119" t="s">
        <v>812</v>
      </c>
      <c r="D31119" t="s">
        <v>48795</v>
      </c>
      <c r="E31119" t="s">
        <v>119</v>
      </c>
      <c r="F31119" s="2" t="str">
        <f>HYPERLINK("http://www.otzar.org/book.asp?151634","עטרת פז")</f>
        <v>עטרת פז</v>
      </c>
    </row>
    <row r="31120" spans="1:6" x14ac:dyDescent="0.2">
      <c r="A31120" t="s">
        <v>48796</v>
      </c>
      <c r="B31120" t="s">
        <v>12106</v>
      </c>
      <c r="C31120" t="s">
        <v>13</v>
      </c>
      <c r="D31120" t="s">
        <v>14</v>
      </c>
      <c r="E31120" t="s">
        <v>130</v>
      </c>
      <c r="F31120" s="2" t="str">
        <f>HYPERLINK("http://www.otzar.org/book.asp?62681","עטרת פז - 9 כר'")</f>
        <v>עטרת פז - 9 כר'</v>
      </c>
    </row>
    <row r="31121" spans="1:6" x14ac:dyDescent="0.2">
      <c r="A31121" t="s">
        <v>48797</v>
      </c>
      <c r="B31121" t="s">
        <v>48798</v>
      </c>
      <c r="C31121" t="s">
        <v>6624</v>
      </c>
      <c r="D31121" t="s">
        <v>2290</v>
      </c>
      <c r="E31121" t="s">
        <v>2088</v>
      </c>
      <c r="F31121" s="2" t="str">
        <f>HYPERLINK("http://www.otzar.org/book.asp?101539","עטרת פז - 2 כר'")</f>
        <v>עטרת פז - 2 כר'</v>
      </c>
    </row>
    <row r="31122" spans="1:6" x14ac:dyDescent="0.2">
      <c r="A31122" t="s">
        <v>48792</v>
      </c>
      <c r="B31122" t="s">
        <v>28892</v>
      </c>
      <c r="C31122" t="s">
        <v>506</v>
      </c>
      <c r="D31122" t="s">
        <v>9896</v>
      </c>
      <c r="F31122" s="2" t="str">
        <f>HYPERLINK("http://www.otzar.org/book.asp?169394","עטרת פז")</f>
        <v>עטרת פז</v>
      </c>
    </row>
    <row r="31123" spans="1:6" x14ac:dyDescent="0.2">
      <c r="A31123" t="s">
        <v>48799</v>
      </c>
      <c r="B31123" t="s">
        <v>48800</v>
      </c>
      <c r="C31123" t="s">
        <v>366</v>
      </c>
      <c r="D31123" t="s">
        <v>412</v>
      </c>
      <c r="F31123" s="2" t="str">
        <f>HYPERLINK("http://www.otzar.org/book.asp?609586","עטרת צבי &lt;מהדורה חדשה&gt; - א בראשית, לך לך")</f>
        <v>עטרת צבי &lt;מהדורה חדשה&gt; - א בראשית, לך לך</v>
      </c>
    </row>
    <row r="31124" spans="1:6" x14ac:dyDescent="0.2">
      <c r="A31124" t="s">
        <v>48801</v>
      </c>
      <c r="B31124" t="s">
        <v>30710</v>
      </c>
      <c r="C31124" t="s">
        <v>146</v>
      </c>
      <c r="D31124" t="s">
        <v>1180</v>
      </c>
      <c r="E31124" t="s">
        <v>975</v>
      </c>
      <c r="F31124" s="2" t="str">
        <f>HYPERLINK("http://www.otzar.org/book.asp?199166","עטרת צבי &lt;מהדורה חדשה&gt;")</f>
        <v>עטרת צבי &lt;מהדורה חדשה&gt;</v>
      </c>
    </row>
    <row r="31125" spans="1:6" x14ac:dyDescent="0.2">
      <c r="A31125" t="s">
        <v>48802</v>
      </c>
      <c r="B31125" t="s">
        <v>1371</v>
      </c>
      <c r="C31125" t="s">
        <v>422</v>
      </c>
      <c r="D31125" t="s">
        <v>52</v>
      </c>
      <c r="E31125" t="s">
        <v>399</v>
      </c>
      <c r="F31125" s="2" t="str">
        <f>HYPERLINK("http://www.otzar.org/book.asp?158590","עטרת צבי עם הגהות הצבי והצדק - 2 כר'")</f>
        <v>עטרת צבי עם הגהות הצבי והצדק - 2 כר'</v>
      </c>
    </row>
    <row r="31126" spans="1:6" x14ac:dyDescent="0.2">
      <c r="A31126" t="s">
        <v>48803</v>
      </c>
      <c r="B31126" t="s">
        <v>1371</v>
      </c>
      <c r="C31126" t="s">
        <v>1663</v>
      </c>
      <c r="D31126" t="s">
        <v>986</v>
      </c>
      <c r="E31126" t="s">
        <v>6688</v>
      </c>
      <c r="F31126" s="2" t="str">
        <f>HYPERLINK("http://www.otzar.org/book.asp?451","עטרת צבי - 2 כר'")</f>
        <v>עטרת צבי - 2 כר'</v>
      </c>
    </row>
    <row r="31127" spans="1:6" x14ac:dyDescent="0.2">
      <c r="A31127" t="s">
        <v>48804</v>
      </c>
      <c r="B31127" t="s">
        <v>48805</v>
      </c>
      <c r="C31127" t="s">
        <v>956</v>
      </c>
      <c r="D31127" t="s">
        <v>216</v>
      </c>
      <c r="E31127" t="s">
        <v>48806</v>
      </c>
      <c r="F31127" s="2" t="str">
        <f>HYPERLINK("http://www.otzar.org/book.asp?7867","עטרת צבי - עה""ת וסוגיות")</f>
        <v>עטרת צבי - עה"ת וסוגיות</v>
      </c>
    </row>
    <row r="31128" spans="1:6" x14ac:dyDescent="0.2">
      <c r="A31128" t="s">
        <v>48803</v>
      </c>
      <c r="B31128" t="s">
        <v>30710</v>
      </c>
      <c r="C31128" t="s">
        <v>538</v>
      </c>
      <c r="D31128" t="s">
        <v>267</v>
      </c>
      <c r="E31128" t="s">
        <v>48807</v>
      </c>
      <c r="F31128" s="2" t="str">
        <f>HYPERLINK("http://www.otzar.org/book.asp?9738","עטרת צבי - 2 כר'")</f>
        <v>עטרת צבי - 2 כר'</v>
      </c>
    </row>
    <row r="31129" spans="1:6" x14ac:dyDescent="0.2">
      <c r="A31129" t="s">
        <v>48803</v>
      </c>
      <c r="B31129" t="s">
        <v>48808</v>
      </c>
      <c r="C31129" t="s">
        <v>366</v>
      </c>
      <c r="D31129" t="s">
        <v>245</v>
      </c>
      <c r="E31129" t="s">
        <v>158</v>
      </c>
      <c r="F31129" s="2" t="str">
        <f>HYPERLINK("http://www.otzar.org/book.asp?624362","עטרת צבי - 2 כר'")</f>
        <v>עטרת צבי - 2 כר'</v>
      </c>
    </row>
    <row r="31130" spans="1:6" x14ac:dyDescent="0.2">
      <c r="A31130" t="s">
        <v>48809</v>
      </c>
      <c r="B31130" t="s">
        <v>44015</v>
      </c>
      <c r="C31130" t="s">
        <v>79</v>
      </c>
      <c r="D31130" t="s">
        <v>9</v>
      </c>
      <c r="E31130" t="s">
        <v>463</v>
      </c>
      <c r="F31130" s="2" t="str">
        <f>HYPERLINK("http://www.otzar.org/book.asp?141201","עטרת צבי")</f>
        <v>עטרת צבי</v>
      </c>
    </row>
    <row r="31131" spans="1:6" x14ac:dyDescent="0.2">
      <c r="A31131" t="s">
        <v>48810</v>
      </c>
      <c r="B31131" t="s">
        <v>41281</v>
      </c>
      <c r="C31131" t="s">
        <v>466</v>
      </c>
      <c r="D31131" t="s">
        <v>52</v>
      </c>
      <c r="E31131" t="s">
        <v>144</v>
      </c>
      <c r="F31131" s="2" t="str">
        <f>HYPERLINK("http://www.otzar.org/book.asp?53081","עטרת צבי - 3 כר'")</f>
        <v>עטרת צבי - 3 כר'</v>
      </c>
    </row>
    <row r="31132" spans="1:6" x14ac:dyDescent="0.2">
      <c r="A31132" t="s">
        <v>48809</v>
      </c>
      <c r="B31132" t="s">
        <v>26663</v>
      </c>
      <c r="C31132" t="s">
        <v>1418</v>
      </c>
      <c r="D31132" t="s">
        <v>60</v>
      </c>
      <c r="E31132" t="s">
        <v>144</v>
      </c>
      <c r="F31132" s="2" t="str">
        <f>HYPERLINK("http://www.otzar.org/book.asp?25105","עטרת צבי")</f>
        <v>עטרת צבי</v>
      </c>
    </row>
    <row r="31133" spans="1:6" x14ac:dyDescent="0.2">
      <c r="A31133" t="s">
        <v>48811</v>
      </c>
      <c r="B31133" t="s">
        <v>48812</v>
      </c>
      <c r="C31133" t="s">
        <v>111</v>
      </c>
      <c r="D31133" t="s">
        <v>90</v>
      </c>
      <c r="E31133" t="s">
        <v>144</v>
      </c>
      <c r="F31133" s="2" t="str">
        <f>HYPERLINK("http://www.otzar.org/book.asp?627486","עטרת צבי - עירובין")</f>
        <v>עטרת צבי - עירובין</v>
      </c>
    </row>
    <row r="31134" spans="1:6" x14ac:dyDescent="0.2">
      <c r="A31134" t="s">
        <v>48809</v>
      </c>
      <c r="B31134" t="s">
        <v>8947</v>
      </c>
      <c r="C31134" t="s">
        <v>189</v>
      </c>
      <c r="D31134" t="s">
        <v>14</v>
      </c>
      <c r="E31134" t="s">
        <v>84</v>
      </c>
      <c r="F31134" s="2" t="str">
        <f>HYPERLINK("http://www.otzar.org/book.asp?159132","עטרת צבי")</f>
        <v>עטרת צבי</v>
      </c>
    </row>
    <row r="31135" spans="1:6" x14ac:dyDescent="0.2">
      <c r="A31135" t="s">
        <v>48809</v>
      </c>
      <c r="B31135" t="s">
        <v>1421</v>
      </c>
      <c r="C31135" t="s">
        <v>48813</v>
      </c>
      <c r="D31135" t="s">
        <v>60</v>
      </c>
      <c r="E31135" t="s">
        <v>2199</v>
      </c>
      <c r="F31135" s="2" t="str">
        <f>HYPERLINK("http://www.otzar.org/book.asp?102105","עטרת צבי")</f>
        <v>עטרת צבי</v>
      </c>
    </row>
    <row r="31136" spans="1:6" x14ac:dyDescent="0.2">
      <c r="A31136" t="s">
        <v>48809</v>
      </c>
      <c r="B31136" t="s">
        <v>18814</v>
      </c>
      <c r="C31136" t="s">
        <v>748</v>
      </c>
      <c r="D31136" t="s">
        <v>283</v>
      </c>
      <c r="E31136" t="s">
        <v>48814</v>
      </c>
      <c r="F31136" s="2" t="str">
        <f>HYPERLINK("http://www.otzar.org/book.asp?101520","עטרת צבי")</f>
        <v>עטרת צבי</v>
      </c>
    </row>
    <row r="31137" spans="1:6" x14ac:dyDescent="0.2">
      <c r="A31137" t="s">
        <v>48809</v>
      </c>
      <c r="B31137" t="s">
        <v>4015</v>
      </c>
      <c r="C31137" t="s">
        <v>362</v>
      </c>
      <c r="D31137" t="s">
        <v>283</v>
      </c>
      <c r="E31137" t="s">
        <v>48815</v>
      </c>
      <c r="F31137" s="2" t="str">
        <f>HYPERLINK("http://www.otzar.org/book.asp?7002","עטרת צבי")</f>
        <v>עטרת צבי</v>
      </c>
    </row>
    <row r="31138" spans="1:6" x14ac:dyDescent="0.2">
      <c r="A31138" t="s">
        <v>48809</v>
      </c>
      <c r="B31138" t="s">
        <v>48816</v>
      </c>
      <c r="C31138" t="s">
        <v>282</v>
      </c>
      <c r="D31138" t="s">
        <v>56</v>
      </c>
      <c r="E31138" t="s">
        <v>158</v>
      </c>
      <c r="F31138" s="2" t="str">
        <f>HYPERLINK("http://www.otzar.org/book.asp?103621","עטרת צבי")</f>
        <v>עטרת צבי</v>
      </c>
    </row>
    <row r="31139" spans="1:6" x14ac:dyDescent="0.2">
      <c r="A31139" t="s">
        <v>48809</v>
      </c>
      <c r="B31139" t="s">
        <v>11678</v>
      </c>
      <c r="C31139" t="s">
        <v>503</v>
      </c>
      <c r="D31139" t="s">
        <v>280</v>
      </c>
      <c r="E31139" t="s">
        <v>119</v>
      </c>
      <c r="F31139" s="2" t="str">
        <f>HYPERLINK("http://www.otzar.org/book.asp?25218","עטרת צבי")</f>
        <v>עטרת צבי</v>
      </c>
    </row>
    <row r="31140" spans="1:6" x14ac:dyDescent="0.2">
      <c r="A31140" t="s">
        <v>48809</v>
      </c>
      <c r="B31140" t="s">
        <v>48817</v>
      </c>
      <c r="C31140" t="s">
        <v>854</v>
      </c>
      <c r="D31140" t="s">
        <v>9</v>
      </c>
      <c r="E31140" t="s">
        <v>213</v>
      </c>
      <c r="F31140" s="2" t="str">
        <f>HYPERLINK("http://www.otzar.org/book.asp?141202","עטרת צבי")</f>
        <v>עטרת צבי</v>
      </c>
    </row>
    <row r="31141" spans="1:6" x14ac:dyDescent="0.2">
      <c r="A31141" t="s">
        <v>48809</v>
      </c>
      <c r="B31141" t="s">
        <v>48818</v>
      </c>
      <c r="C31141" t="s">
        <v>176</v>
      </c>
      <c r="D31141" t="s">
        <v>52</v>
      </c>
      <c r="E31141" t="s">
        <v>230</v>
      </c>
      <c r="F31141" s="2" t="str">
        <f>HYPERLINK("http://www.otzar.org/book.asp?144971","עטרת צבי")</f>
        <v>עטרת צבי</v>
      </c>
    </row>
    <row r="31142" spans="1:6" x14ac:dyDescent="0.2">
      <c r="A31142" t="s">
        <v>48809</v>
      </c>
      <c r="B31142" t="s">
        <v>11464</v>
      </c>
      <c r="C31142" t="s">
        <v>422</v>
      </c>
      <c r="D31142" t="s">
        <v>52</v>
      </c>
      <c r="E31142" t="s">
        <v>714</v>
      </c>
      <c r="F31142" s="2" t="str">
        <f>HYPERLINK("http://www.otzar.org/book.asp?191692","עטרת צבי")</f>
        <v>עטרת צבי</v>
      </c>
    </row>
    <row r="31143" spans="1:6" x14ac:dyDescent="0.2">
      <c r="A31143" t="s">
        <v>48809</v>
      </c>
      <c r="B31143" t="s">
        <v>48819</v>
      </c>
      <c r="C31143" t="s">
        <v>48820</v>
      </c>
      <c r="D31143" t="s">
        <v>60</v>
      </c>
      <c r="E31143" t="s">
        <v>158</v>
      </c>
      <c r="F31143" s="2" t="str">
        <f>HYPERLINK("http://www.otzar.org/book.asp?25216","עטרת צבי")</f>
        <v>עטרת צבי</v>
      </c>
    </row>
    <row r="31144" spans="1:6" x14ac:dyDescent="0.2">
      <c r="A31144" t="s">
        <v>48809</v>
      </c>
      <c r="B31144" t="s">
        <v>48821</v>
      </c>
      <c r="C31144" t="s">
        <v>71</v>
      </c>
      <c r="D31144" t="s">
        <v>14</v>
      </c>
      <c r="E31144" t="s">
        <v>144</v>
      </c>
      <c r="F31144" s="2" t="str">
        <f>HYPERLINK("http://www.otzar.org/book.asp?188995","עטרת צבי")</f>
        <v>עטרת צבי</v>
      </c>
    </row>
    <row r="31145" spans="1:6" x14ac:dyDescent="0.2">
      <c r="A31145" t="s">
        <v>48803</v>
      </c>
      <c r="B31145" t="s">
        <v>48822</v>
      </c>
      <c r="C31145" t="s">
        <v>775</v>
      </c>
      <c r="D31145" t="s">
        <v>90</v>
      </c>
      <c r="E31145" t="s">
        <v>144</v>
      </c>
      <c r="F31145" s="2" t="str">
        <f>HYPERLINK("http://www.otzar.org/book.asp?156460","עטרת צבי - 2 כר'")</f>
        <v>עטרת צבי - 2 כר'</v>
      </c>
    </row>
    <row r="31146" spans="1:6" x14ac:dyDescent="0.2">
      <c r="A31146" t="s">
        <v>48803</v>
      </c>
      <c r="B31146" t="s">
        <v>48823</v>
      </c>
      <c r="C31146" t="s">
        <v>5826</v>
      </c>
      <c r="D31146" t="s">
        <v>4227</v>
      </c>
      <c r="E31146" t="s">
        <v>684</v>
      </c>
      <c r="F31146" s="2" t="str">
        <f>HYPERLINK("http://www.otzar.org/book.asp?101537","עטרת צבי - 2 כר'")</f>
        <v>עטרת צבי - 2 כר'</v>
      </c>
    </row>
    <row r="31147" spans="1:6" x14ac:dyDescent="0.2">
      <c r="A31147" t="s">
        <v>48824</v>
      </c>
      <c r="B31147" t="s">
        <v>489</v>
      </c>
      <c r="C31147" t="s">
        <v>133</v>
      </c>
      <c r="D31147" t="s">
        <v>486</v>
      </c>
      <c r="E31147" t="s">
        <v>202</v>
      </c>
      <c r="F31147" s="2" t="str">
        <f>HYPERLINK("http://www.otzar.org/book.asp?197974","עטרת צבי - 10 כר'")</f>
        <v>עטרת צבי - 10 כר'</v>
      </c>
    </row>
    <row r="31148" spans="1:6" x14ac:dyDescent="0.2">
      <c r="A31148" t="s">
        <v>48809</v>
      </c>
      <c r="B31148" t="s">
        <v>4789</v>
      </c>
      <c r="C31148" t="s">
        <v>22770</v>
      </c>
      <c r="D31148" t="s">
        <v>4791</v>
      </c>
      <c r="F31148" s="2" t="str">
        <f>HYPERLINK("http://www.otzar.org/book.asp?84647","עטרת צבי")</f>
        <v>עטרת צבי</v>
      </c>
    </row>
    <row r="31149" spans="1:6" x14ac:dyDescent="0.2">
      <c r="A31149" t="s">
        <v>48803</v>
      </c>
      <c r="B31149" t="s">
        <v>24991</v>
      </c>
      <c r="C31149" t="s">
        <v>1364</v>
      </c>
      <c r="D31149" t="s">
        <v>1422</v>
      </c>
      <c r="E31149" t="s">
        <v>8469</v>
      </c>
      <c r="F31149" s="2" t="str">
        <f>HYPERLINK("http://www.otzar.org/book.asp?155751","עטרת צבי - 2 כר'")</f>
        <v>עטרת צבי - 2 כר'</v>
      </c>
    </row>
    <row r="31150" spans="1:6" x14ac:dyDescent="0.2">
      <c r="A31150" t="s">
        <v>48825</v>
      </c>
      <c r="B31150" t="s">
        <v>48826</v>
      </c>
      <c r="C31150" t="s">
        <v>37</v>
      </c>
      <c r="D31150" t="s">
        <v>14</v>
      </c>
      <c r="E31150" t="s">
        <v>144</v>
      </c>
      <c r="F31150" s="2" t="str">
        <f>HYPERLINK("http://www.otzar.org/book.asp?182515","עטרת קדמונים - סוכה")</f>
        <v>עטרת קדמונים - סוכה</v>
      </c>
    </row>
    <row r="31151" spans="1:6" x14ac:dyDescent="0.2">
      <c r="A31151" t="s">
        <v>48827</v>
      </c>
      <c r="C31151" t="s">
        <v>20</v>
      </c>
      <c r="D31151" t="s">
        <v>90</v>
      </c>
      <c r="E31151" t="s">
        <v>15</v>
      </c>
      <c r="F31151" s="2" t="str">
        <f>HYPERLINK("http://www.otzar.org/book.asp?622380","עטרת ראש")</f>
        <v>עטרת ראש</v>
      </c>
    </row>
    <row r="31152" spans="1:6" x14ac:dyDescent="0.2">
      <c r="A31152" t="s">
        <v>48827</v>
      </c>
      <c r="B31152" t="s">
        <v>12547</v>
      </c>
      <c r="C31152" t="s">
        <v>48828</v>
      </c>
      <c r="D31152" t="s">
        <v>225</v>
      </c>
      <c r="E31152" t="s">
        <v>84</v>
      </c>
      <c r="F31152" s="2" t="str">
        <f>HYPERLINK("http://www.otzar.org/book.asp?142344","עטרת ראש")</f>
        <v>עטרת ראש</v>
      </c>
    </row>
    <row r="31153" spans="1:6" x14ac:dyDescent="0.2">
      <c r="A31153" t="s">
        <v>48829</v>
      </c>
      <c r="B31153" t="s">
        <v>48830</v>
      </c>
      <c r="C31153" t="s">
        <v>411</v>
      </c>
      <c r="D31153" t="s">
        <v>14</v>
      </c>
      <c r="E31153" t="s">
        <v>786</v>
      </c>
      <c r="F31153" s="2" t="str">
        <f>HYPERLINK("http://www.otzar.org/book.asp?169972","עטרת ראש, עטרת תפארת &lt;מהדורה חדשה&gt;")</f>
        <v>עטרת ראש, עטרת תפארת &lt;מהדורה חדשה&gt;</v>
      </c>
    </row>
    <row r="31154" spans="1:6" x14ac:dyDescent="0.2">
      <c r="A31154" t="s">
        <v>48831</v>
      </c>
      <c r="B31154" t="s">
        <v>48830</v>
      </c>
      <c r="C31154" t="s">
        <v>48832</v>
      </c>
      <c r="D31154" t="s">
        <v>1023</v>
      </c>
      <c r="E31154" t="s">
        <v>24232</v>
      </c>
      <c r="F31154" s="2" t="str">
        <f>HYPERLINK("http://www.otzar.org/book.asp?101749","עטרת ראש, עטרת תפארת")</f>
        <v>עטרת ראש, עטרת תפארת</v>
      </c>
    </row>
    <row r="31155" spans="1:6" x14ac:dyDescent="0.2">
      <c r="A31155" t="s">
        <v>48833</v>
      </c>
      <c r="B31155" t="s">
        <v>1800</v>
      </c>
      <c r="C31155" t="s">
        <v>20</v>
      </c>
      <c r="D31155" t="s">
        <v>27</v>
      </c>
      <c r="E31155" t="s">
        <v>84</v>
      </c>
      <c r="F31155" s="2" t="str">
        <f>HYPERLINK("http://www.otzar.org/book.asp?164285","עטרת רחל")</f>
        <v>עטרת רחל</v>
      </c>
    </row>
    <row r="31156" spans="1:6" x14ac:dyDescent="0.2">
      <c r="A31156" t="s">
        <v>48834</v>
      </c>
      <c r="B31156" t="s">
        <v>48835</v>
      </c>
      <c r="C31156" t="s">
        <v>3709</v>
      </c>
      <c r="D31156" t="s">
        <v>56</v>
      </c>
      <c r="E31156" t="s">
        <v>24572</v>
      </c>
      <c r="F31156" s="2" t="str">
        <f>HYPERLINK("http://www.otzar.org/book.asp?101540","עטרת שאול")</f>
        <v>עטרת שאול</v>
      </c>
    </row>
    <row r="31157" spans="1:6" x14ac:dyDescent="0.2">
      <c r="A31157" t="s">
        <v>48836</v>
      </c>
      <c r="B31157" t="s">
        <v>11753</v>
      </c>
      <c r="C31157" t="s">
        <v>51</v>
      </c>
      <c r="D31157" t="s">
        <v>14</v>
      </c>
      <c r="E31157" t="s">
        <v>15</v>
      </c>
      <c r="F31157" s="2" t="str">
        <f>HYPERLINK("http://www.otzar.org/book.asp?61632","עטרת שבת")</f>
        <v>עטרת שבת</v>
      </c>
    </row>
    <row r="31158" spans="1:6" x14ac:dyDescent="0.2">
      <c r="A31158" t="s">
        <v>48837</v>
      </c>
      <c r="B31158" t="s">
        <v>48838</v>
      </c>
      <c r="C31158" t="s">
        <v>68</v>
      </c>
      <c r="D31158" t="s">
        <v>47963</v>
      </c>
      <c r="E31158" t="s">
        <v>803</v>
      </c>
      <c r="F31158" s="2" t="str">
        <f>HYPERLINK("http://www.otzar.org/book.asp?153504","עטרת שלום - 2 כר'")</f>
        <v>עטרת שלום - 2 כר'</v>
      </c>
    </row>
    <row r="31159" spans="1:6" x14ac:dyDescent="0.2">
      <c r="A31159" t="s">
        <v>48839</v>
      </c>
      <c r="B31159" t="s">
        <v>15033</v>
      </c>
      <c r="C31159" t="s">
        <v>1437</v>
      </c>
      <c r="D31159" t="s">
        <v>283</v>
      </c>
      <c r="E31159" t="s">
        <v>48840</v>
      </c>
      <c r="F31159" s="2" t="str">
        <f>HYPERLINK("http://www.otzar.org/book.asp?102104","עטרת שלום")</f>
        <v>עטרת שלום</v>
      </c>
    </row>
    <row r="31160" spans="1:6" x14ac:dyDescent="0.2">
      <c r="A31160" t="s">
        <v>48841</v>
      </c>
      <c r="B31160" t="s">
        <v>48842</v>
      </c>
      <c r="C31160" t="s">
        <v>103</v>
      </c>
      <c r="D31160" t="s">
        <v>90</v>
      </c>
      <c r="E31160" t="s">
        <v>158</v>
      </c>
      <c r="F31160" s="2" t="str">
        <f>HYPERLINK("http://www.otzar.org/book.asp?23437","עטרת שלום, שמן ששון - בראשית")</f>
        <v>עטרת שלום, שמן ששון - בראשית</v>
      </c>
    </row>
    <row r="31161" spans="1:6" x14ac:dyDescent="0.2">
      <c r="A31161" t="s">
        <v>48843</v>
      </c>
      <c r="B31161" t="s">
        <v>7354</v>
      </c>
      <c r="C31161" t="s">
        <v>48844</v>
      </c>
      <c r="D31161" t="s">
        <v>26609</v>
      </c>
      <c r="F31161" s="2" t="str">
        <f>HYPERLINK("http://www.otzar.org/book.asp?614592","עטרת שלמה &lt;איסור והיתר למהרש""ל&gt;")</f>
        <v>עטרת שלמה &lt;איסור והיתר למהרש"ל&gt;</v>
      </c>
    </row>
    <row r="31162" spans="1:6" x14ac:dyDescent="0.2">
      <c r="A31162" t="s">
        <v>48845</v>
      </c>
      <c r="B31162" t="s">
        <v>22791</v>
      </c>
      <c r="C31162" t="s">
        <v>146</v>
      </c>
      <c r="D31162" t="s">
        <v>21</v>
      </c>
      <c r="E31162" t="s">
        <v>15</v>
      </c>
      <c r="F31162" s="2" t="str">
        <f>HYPERLINK("http://www.otzar.org/book.asp?197624","עטרת שלמה למהרש""ל - שחיטות ובדיקות מהרי""ו עם הגהות מהרש""ל &lt;מהדורה חדשה&gt;")</f>
        <v>עטרת שלמה למהרש"ל - שחיטות ובדיקות מהרי"ו עם הגהות מהרש"ל &lt;מהדורה חדשה&gt;</v>
      </c>
    </row>
    <row r="31163" spans="1:6" x14ac:dyDescent="0.2">
      <c r="A31163" t="s">
        <v>48846</v>
      </c>
      <c r="B31163" t="s">
        <v>48847</v>
      </c>
      <c r="C31163" t="s">
        <v>1166</v>
      </c>
      <c r="D31163" t="s">
        <v>225</v>
      </c>
      <c r="E31163" t="s">
        <v>234</v>
      </c>
      <c r="F31163" s="2" t="str">
        <f>HYPERLINK("http://www.otzar.org/book.asp?20483","עטרת שלמה")</f>
        <v>עטרת שלמה</v>
      </c>
    </row>
    <row r="31164" spans="1:6" x14ac:dyDescent="0.2">
      <c r="A31164" t="s">
        <v>48846</v>
      </c>
      <c r="B31164" t="s">
        <v>4900</v>
      </c>
      <c r="C31164" t="s">
        <v>11298</v>
      </c>
      <c r="D31164" t="s">
        <v>2714</v>
      </c>
      <c r="E31164" t="s">
        <v>172</v>
      </c>
      <c r="F31164" s="2" t="str">
        <f>HYPERLINK("http://www.otzar.org/book.asp?103952","עטרת שלמה")</f>
        <v>עטרת שלמה</v>
      </c>
    </row>
    <row r="31165" spans="1:6" x14ac:dyDescent="0.2">
      <c r="A31165" t="s">
        <v>48846</v>
      </c>
      <c r="B31165" t="s">
        <v>48848</v>
      </c>
      <c r="C31165" t="s">
        <v>103</v>
      </c>
      <c r="D31165" t="s">
        <v>14</v>
      </c>
      <c r="E31165" t="s">
        <v>15</v>
      </c>
      <c r="F31165" s="2" t="str">
        <f>HYPERLINK("http://www.otzar.org/book.asp?52568","עטרת שלמה")</f>
        <v>עטרת שלמה</v>
      </c>
    </row>
    <row r="31166" spans="1:6" x14ac:dyDescent="0.2">
      <c r="A31166" t="s">
        <v>48849</v>
      </c>
      <c r="B31166" t="s">
        <v>48850</v>
      </c>
      <c r="C31166" t="s">
        <v>21457</v>
      </c>
      <c r="D31166" t="s">
        <v>56</v>
      </c>
      <c r="E31166" t="s">
        <v>154</v>
      </c>
      <c r="F31166" s="2" t="str">
        <f>HYPERLINK("http://www.otzar.org/book.asp?14221","עטרת שלמה - 2 כר'")</f>
        <v>עטרת שלמה - 2 כר'</v>
      </c>
    </row>
    <row r="31167" spans="1:6" x14ac:dyDescent="0.2">
      <c r="A31167" t="s">
        <v>48846</v>
      </c>
      <c r="B31167" t="s">
        <v>48851</v>
      </c>
      <c r="C31167" t="s">
        <v>15405</v>
      </c>
      <c r="D31167" t="s">
        <v>27</v>
      </c>
      <c r="E31167" t="s">
        <v>837</v>
      </c>
      <c r="F31167" s="2" t="str">
        <f>HYPERLINK("http://www.otzar.org/book.asp?147844","עטרת שלמה")</f>
        <v>עטרת שלמה</v>
      </c>
    </row>
    <row r="31168" spans="1:6" x14ac:dyDescent="0.2">
      <c r="A31168" t="s">
        <v>48846</v>
      </c>
      <c r="B31168" t="s">
        <v>22172</v>
      </c>
      <c r="C31168" t="s">
        <v>114</v>
      </c>
      <c r="D31168" t="s">
        <v>14</v>
      </c>
      <c r="F31168" s="2" t="str">
        <f>HYPERLINK("http://www.otzar.org/book.asp?164143","עטרת שלמה")</f>
        <v>עטרת שלמה</v>
      </c>
    </row>
    <row r="31169" spans="1:6" x14ac:dyDescent="0.2">
      <c r="A31169" t="s">
        <v>48852</v>
      </c>
      <c r="B31169" t="s">
        <v>48853</v>
      </c>
      <c r="C31169" t="s">
        <v>143</v>
      </c>
      <c r="D31169" t="s">
        <v>14</v>
      </c>
      <c r="E31169" t="s">
        <v>15</v>
      </c>
      <c r="F31169" s="2" t="str">
        <f>HYPERLINK("http://www.otzar.org/book.asp?620257","עטרת שלמה - שכנים")</f>
        <v>עטרת שלמה - שכנים</v>
      </c>
    </row>
    <row r="31170" spans="1:6" x14ac:dyDescent="0.2">
      <c r="A31170" t="s">
        <v>48846</v>
      </c>
      <c r="B31170" t="s">
        <v>10328</v>
      </c>
      <c r="C31170" t="s">
        <v>10572</v>
      </c>
      <c r="D31170" t="s">
        <v>60</v>
      </c>
      <c r="E31170" t="s">
        <v>158</v>
      </c>
      <c r="F31170" s="2" t="str">
        <f>HYPERLINK("http://www.otzar.org/book.asp?25222","עטרת שלמה")</f>
        <v>עטרת שלמה</v>
      </c>
    </row>
    <row r="31171" spans="1:6" x14ac:dyDescent="0.2">
      <c r="A31171" t="s">
        <v>48846</v>
      </c>
      <c r="B31171" t="s">
        <v>48854</v>
      </c>
      <c r="C31171" t="s">
        <v>854</v>
      </c>
      <c r="D31171" t="s">
        <v>27</v>
      </c>
      <c r="E31171" t="s">
        <v>234</v>
      </c>
      <c r="F31171" s="2" t="str">
        <f>HYPERLINK("http://www.otzar.org/book.asp?25224","עטרת שלמה")</f>
        <v>עטרת שלמה</v>
      </c>
    </row>
    <row r="31172" spans="1:6" x14ac:dyDescent="0.2">
      <c r="A31172" t="s">
        <v>48846</v>
      </c>
      <c r="B31172" t="s">
        <v>552</v>
      </c>
      <c r="C31172" t="s">
        <v>87</v>
      </c>
      <c r="D31172" t="s">
        <v>14</v>
      </c>
      <c r="E31172" t="s">
        <v>202</v>
      </c>
      <c r="F31172" s="2" t="str">
        <f>HYPERLINK("http://www.otzar.org/book.asp?25782","עטרת שלמה")</f>
        <v>עטרת שלמה</v>
      </c>
    </row>
    <row r="31173" spans="1:6" x14ac:dyDescent="0.2">
      <c r="A31173" t="s">
        <v>48855</v>
      </c>
      <c r="B31173" t="s">
        <v>1005</v>
      </c>
      <c r="C31173" t="s">
        <v>767</v>
      </c>
      <c r="D31173" t="s">
        <v>14</v>
      </c>
      <c r="E31173" t="s">
        <v>202</v>
      </c>
      <c r="F31173" s="2" t="str">
        <f>HYPERLINK("http://www.otzar.org/book.asp?13117","עטרת שלמה - 10 כר'")</f>
        <v>עטרת שלמה - 10 כר'</v>
      </c>
    </row>
    <row r="31174" spans="1:6" x14ac:dyDescent="0.2">
      <c r="A31174" t="s">
        <v>48849</v>
      </c>
      <c r="B31174" t="s">
        <v>15096</v>
      </c>
      <c r="C31174" t="s">
        <v>71</v>
      </c>
      <c r="D31174" t="s">
        <v>52</v>
      </c>
      <c r="E31174" t="s">
        <v>154</v>
      </c>
      <c r="F31174" s="2" t="str">
        <f>HYPERLINK("http://www.otzar.org/book.asp?154219","עטרת שלמה - 2 כר'")</f>
        <v>עטרת שלמה - 2 כר'</v>
      </c>
    </row>
    <row r="31175" spans="1:6" x14ac:dyDescent="0.2">
      <c r="A31175" t="s">
        <v>48846</v>
      </c>
      <c r="B31175" t="s">
        <v>2386</v>
      </c>
      <c r="C31175" t="s">
        <v>99</v>
      </c>
      <c r="D31175" t="s">
        <v>225</v>
      </c>
      <c r="E31175" t="s">
        <v>5398</v>
      </c>
      <c r="F31175" s="2" t="str">
        <f>HYPERLINK("http://www.otzar.org/book.asp?102106","עטרת שלמה")</f>
        <v>עטרת שלמה</v>
      </c>
    </row>
    <row r="31176" spans="1:6" x14ac:dyDescent="0.2">
      <c r="A31176" t="s">
        <v>48856</v>
      </c>
      <c r="B31176" t="s">
        <v>1402</v>
      </c>
      <c r="C31176" t="s">
        <v>454</v>
      </c>
      <c r="D31176" t="s">
        <v>52</v>
      </c>
      <c r="E31176" t="s">
        <v>15</v>
      </c>
      <c r="F31176" s="2" t="str">
        <f>HYPERLINK("http://www.otzar.org/book.asp?157862","עטרת שמואל - כיבוד אב ואם")</f>
        <v>עטרת שמואל - כיבוד אב ואם</v>
      </c>
    </row>
    <row r="31177" spans="1:6" x14ac:dyDescent="0.2">
      <c r="A31177" t="s">
        <v>48857</v>
      </c>
      <c r="B31177" t="s">
        <v>48858</v>
      </c>
      <c r="C31177" t="s">
        <v>37</v>
      </c>
      <c r="D31177" t="s">
        <v>134</v>
      </c>
      <c r="E31177" t="s">
        <v>144</v>
      </c>
      <c r="F31177" s="2" t="str">
        <f>HYPERLINK("http://www.otzar.org/book.asp?603885","עטרת שמואל - 13 כר'")</f>
        <v>עטרת שמואל - 13 כר'</v>
      </c>
    </row>
    <row r="31178" spans="1:6" x14ac:dyDescent="0.2">
      <c r="A31178" t="s">
        <v>48859</v>
      </c>
      <c r="B31178" t="s">
        <v>48860</v>
      </c>
      <c r="C31178" t="s">
        <v>151</v>
      </c>
      <c r="D31178" t="s">
        <v>52</v>
      </c>
      <c r="E31178" t="s">
        <v>144</v>
      </c>
      <c r="F31178" s="2" t="str">
        <f>HYPERLINK("http://www.otzar.org/book.asp?623577","עטרת שמעון - 3 כר'")</f>
        <v>עטרת שמעון - 3 כר'</v>
      </c>
    </row>
    <row r="31179" spans="1:6" x14ac:dyDescent="0.2">
      <c r="A31179" t="s">
        <v>48861</v>
      </c>
      <c r="B31179" t="s">
        <v>48862</v>
      </c>
      <c r="C31179" t="s">
        <v>133</v>
      </c>
      <c r="D31179" t="s">
        <v>52</v>
      </c>
      <c r="E31179" t="s">
        <v>202</v>
      </c>
      <c r="F31179" s="2" t="str">
        <f>HYPERLINK("http://www.otzar.org/book.asp?620258","עטרת שמעון - חיי שמעון")</f>
        <v>עטרת שמעון - חיי שמעון</v>
      </c>
    </row>
    <row r="31180" spans="1:6" x14ac:dyDescent="0.2">
      <c r="A31180" t="s">
        <v>48863</v>
      </c>
      <c r="B31180" t="s">
        <v>48864</v>
      </c>
      <c r="C31180" t="s">
        <v>427</v>
      </c>
      <c r="D31180" t="s">
        <v>512</v>
      </c>
      <c r="E31180" t="s">
        <v>733</v>
      </c>
      <c r="F31180" s="2" t="str">
        <f>HYPERLINK("http://www.otzar.org/book.asp?151961","עטרת תפארת ישראל")</f>
        <v>עטרת תפארת ישראל</v>
      </c>
    </row>
    <row r="31181" spans="1:6" x14ac:dyDescent="0.2">
      <c r="A31181" t="s">
        <v>48865</v>
      </c>
      <c r="B31181" t="s">
        <v>48866</v>
      </c>
      <c r="C31181" t="s">
        <v>20</v>
      </c>
      <c r="D31181" t="s">
        <v>14</v>
      </c>
      <c r="E31181" t="s">
        <v>48867</v>
      </c>
      <c r="F31181" s="2" t="str">
        <f>HYPERLINK("http://www.otzar.org/book.asp?166270","עטרת תפארת")</f>
        <v>עטרת תפארת</v>
      </c>
    </row>
    <row r="31182" spans="1:6" x14ac:dyDescent="0.2">
      <c r="A31182" t="s">
        <v>48865</v>
      </c>
      <c r="B31182" t="s">
        <v>11753</v>
      </c>
      <c r="C31182" t="s">
        <v>454</v>
      </c>
      <c r="D31182" t="s">
        <v>14</v>
      </c>
      <c r="E31182" t="s">
        <v>144</v>
      </c>
      <c r="F31182" s="2" t="str">
        <f>HYPERLINK("http://www.otzar.org/book.asp?85915","עטרת תפארת")</f>
        <v>עטרת תפארת</v>
      </c>
    </row>
    <row r="31183" spans="1:6" x14ac:dyDescent="0.2">
      <c r="A31183" t="s">
        <v>48865</v>
      </c>
      <c r="B31183" t="s">
        <v>48865</v>
      </c>
      <c r="C31183" t="s">
        <v>13702</v>
      </c>
      <c r="D31183" t="s">
        <v>691</v>
      </c>
      <c r="E31183" t="s">
        <v>202</v>
      </c>
      <c r="F31183" s="2" t="str">
        <f>HYPERLINK("http://www.otzar.org/book.asp?20484","עטרת תפארת")</f>
        <v>עטרת תפארת</v>
      </c>
    </row>
    <row r="31184" spans="1:6" x14ac:dyDescent="0.2">
      <c r="A31184" t="s">
        <v>48865</v>
      </c>
      <c r="B31184" t="s">
        <v>2553</v>
      </c>
      <c r="C31184" t="s">
        <v>360</v>
      </c>
      <c r="D31184" t="s">
        <v>283</v>
      </c>
      <c r="E31184" t="s">
        <v>226</v>
      </c>
      <c r="F31184" s="2" t="str">
        <f>HYPERLINK("http://www.otzar.org/book.asp?6753","עטרת תפארת")</f>
        <v>עטרת תפארת</v>
      </c>
    </row>
    <row r="31185" spans="1:6" x14ac:dyDescent="0.2">
      <c r="A31185" t="s">
        <v>48868</v>
      </c>
      <c r="B31185" t="s">
        <v>48869</v>
      </c>
      <c r="C31185" t="s">
        <v>383</v>
      </c>
      <c r="D31185" t="s">
        <v>14605</v>
      </c>
      <c r="E31185" t="s">
        <v>202</v>
      </c>
      <c r="F31185" s="2" t="str">
        <f>HYPERLINK("http://www.otzar.org/book.asp?603488","עטרת תפארת - 2 כר'")</f>
        <v>עטרת תפארת - 2 כר'</v>
      </c>
    </row>
    <row r="31186" spans="1:6" x14ac:dyDescent="0.2">
      <c r="A31186" t="s">
        <v>48865</v>
      </c>
      <c r="B31186" t="s">
        <v>5667</v>
      </c>
      <c r="C31186" t="s">
        <v>1535</v>
      </c>
      <c r="D31186" t="s">
        <v>9</v>
      </c>
      <c r="E31186" t="s">
        <v>474</v>
      </c>
      <c r="F31186" s="2" t="str">
        <f>HYPERLINK("http://www.otzar.org/book.asp?13119","עטרת תפארת")</f>
        <v>עטרת תפארת</v>
      </c>
    </row>
    <row r="31187" spans="1:6" x14ac:dyDescent="0.2">
      <c r="A31187" t="s">
        <v>48865</v>
      </c>
      <c r="B31187" t="s">
        <v>48870</v>
      </c>
      <c r="C31187" t="s">
        <v>558</v>
      </c>
      <c r="D31187" t="s">
        <v>1081</v>
      </c>
      <c r="E31187" t="s">
        <v>234</v>
      </c>
      <c r="F31187" s="2" t="str">
        <f>HYPERLINK("http://www.otzar.org/book.asp?103623","עטרת תפארת")</f>
        <v>עטרת תפארת</v>
      </c>
    </row>
    <row r="31188" spans="1:6" x14ac:dyDescent="0.2">
      <c r="A31188" t="s">
        <v>48871</v>
      </c>
      <c r="B31188" t="s">
        <v>48872</v>
      </c>
      <c r="C31188" t="s">
        <v>12392</v>
      </c>
      <c r="D31188" t="s">
        <v>49</v>
      </c>
      <c r="E31188" t="s">
        <v>733</v>
      </c>
      <c r="F31188" s="2" t="str">
        <f>HYPERLINK("http://www.otzar.org/book.asp?8254","עיבור שנים ותקופות &lt;תקון יששכר&gt;")</f>
        <v>עיבור שנים ותקופות &lt;תקון יששכר&gt;</v>
      </c>
    </row>
    <row r="31189" spans="1:6" x14ac:dyDescent="0.2">
      <c r="A31189" t="s">
        <v>48873</v>
      </c>
      <c r="B31189" t="s">
        <v>48874</v>
      </c>
      <c r="C31189" t="s">
        <v>52</v>
      </c>
      <c r="F31189" s="2" t="str">
        <f>HYPERLINK("http://www.otzar.org/book.asp?630391","עידוד בתופת")</f>
        <v>עידוד בתופת</v>
      </c>
    </row>
    <row r="31190" spans="1:6" x14ac:dyDescent="0.2">
      <c r="A31190" t="s">
        <v>48875</v>
      </c>
      <c r="B31190" t="s">
        <v>107</v>
      </c>
      <c r="C31190" t="s">
        <v>189</v>
      </c>
      <c r="D31190" t="s">
        <v>14</v>
      </c>
      <c r="E31190" t="s">
        <v>104</v>
      </c>
      <c r="F31190" s="2" t="str">
        <f>HYPERLINK("http://www.otzar.org/book.asp?23405","עידן המחשב ולקחיו")</f>
        <v>עידן המחשב ולקחיו</v>
      </c>
    </row>
    <row r="31191" spans="1:6" x14ac:dyDescent="0.2">
      <c r="A31191" t="s">
        <v>48876</v>
      </c>
      <c r="B31191" t="s">
        <v>28559</v>
      </c>
      <c r="C31191" t="s">
        <v>114</v>
      </c>
      <c r="D31191" t="s">
        <v>14</v>
      </c>
      <c r="E31191" t="s">
        <v>119</v>
      </c>
      <c r="F31191" s="2" t="str">
        <f>HYPERLINK("http://www.otzar.org/book.asp?168944","עידן הראשונים")</f>
        <v>עידן הראשונים</v>
      </c>
    </row>
    <row r="31192" spans="1:6" x14ac:dyDescent="0.2">
      <c r="A31192" t="s">
        <v>48877</v>
      </c>
      <c r="B31192" t="s">
        <v>28559</v>
      </c>
      <c r="C31192" t="s">
        <v>454</v>
      </c>
      <c r="D31192" t="s">
        <v>52</v>
      </c>
      <c r="E31192" t="s">
        <v>119</v>
      </c>
      <c r="F31192" s="2" t="str">
        <f>HYPERLINK("http://www.otzar.org/book.asp?168462","עידן התלמוד")</f>
        <v>עידן התלמוד</v>
      </c>
    </row>
    <row r="31193" spans="1:6" x14ac:dyDescent="0.2">
      <c r="A31193" t="s">
        <v>48878</v>
      </c>
      <c r="B31193" t="s">
        <v>26865</v>
      </c>
      <c r="C31193" t="s">
        <v>411</v>
      </c>
      <c r="D31193" t="s">
        <v>152</v>
      </c>
      <c r="E31193" t="s">
        <v>234</v>
      </c>
      <c r="F31193" s="2" t="str">
        <f>HYPERLINK("http://www.otzar.org/book.asp?182911","עידנא דחדוותא")</f>
        <v>עידנא דחדוותא</v>
      </c>
    </row>
    <row r="31194" spans="1:6" x14ac:dyDescent="0.2">
      <c r="A31194" t="s">
        <v>48879</v>
      </c>
      <c r="B31194" t="s">
        <v>13786</v>
      </c>
      <c r="C31194" t="s">
        <v>37</v>
      </c>
      <c r="D31194" t="s">
        <v>412</v>
      </c>
      <c r="F31194" s="2" t="str">
        <f>HYPERLINK("http://www.otzar.org/book.asp?177073","עיון במועדים - תשרי")</f>
        <v>עיון במועדים - תשרי</v>
      </c>
    </row>
    <row r="31195" spans="1:6" x14ac:dyDescent="0.2">
      <c r="A31195" t="s">
        <v>48880</v>
      </c>
      <c r="B31195" t="s">
        <v>48881</v>
      </c>
      <c r="C31195" t="s">
        <v>523</v>
      </c>
      <c r="D31195" t="s">
        <v>216</v>
      </c>
      <c r="E31195" t="s">
        <v>2071</v>
      </c>
      <c r="F31195" s="2" t="str">
        <f>HYPERLINK("http://www.otzar.org/book.asp?63641","עיון בפרשה")</f>
        <v>עיון בפרשה</v>
      </c>
    </row>
    <row r="31196" spans="1:6" x14ac:dyDescent="0.2">
      <c r="A31196" t="s">
        <v>48882</v>
      </c>
      <c r="B31196" t="s">
        <v>5519</v>
      </c>
      <c r="C31196" t="s">
        <v>3246</v>
      </c>
      <c r="D31196" t="s">
        <v>283</v>
      </c>
      <c r="E31196" t="s">
        <v>48883</v>
      </c>
      <c r="F31196" s="2" t="str">
        <f>HYPERLINK("http://www.otzar.org/book.asp?20486","עיון בתורה")</f>
        <v>עיון בתורה</v>
      </c>
    </row>
    <row r="31197" spans="1:6" x14ac:dyDescent="0.2">
      <c r="A31197" t="s">
        <v>48884</v>
      </c>
      <c r="B31197" t="s">
        <v>48885</v>
      </c>
      <c r="C31197" t="s">
        <v>111</v>
      </c>
      <c r="D31197" t="s">
        <v>14</v>
      </c>
      <c r="E31197" t="s">
        <v>172</v>
      </c>
      <c r="F31197" s="2" t="str">
        <f>HYPERLINK("http://www.otzar.org/book.asp?627415","עיון ההלכה - משנה ברורה ח""ב")</f>
        <v>עיון ההלכה - משנה ברורה ח"ב</v>
      </c>
    </row>
    <row r="31198" spans="1:6" x14ac:dyDescent="0.2">
      <c r="A31198" t="s">
        <v>48886</v>
      </c>
      <c r="B31198" t="s">
        <v>48887</v>
      </c>
      <c r="C31198" t="s">
        <v>334</v>
      </c>
      <c r="D31198" t="s">
        <v>14</v>
      </c>
      <c r="E31198" t="s">
        <v>15</v>
      </c>
      <c r="F31198" s="2" t="str">
        <f>HYPERLINK("http://www.otzar.org/book.asp?143069","עיון הלכה")</f>
        <v>עיון הלכה</v>
      </c>
    </row>
    <row r="31199" spans="1:6" x14ac:dyDescent="0.2">
      <c r="A31199" t="s">
        <v>48888</v>
      </c>
      <c r="B31199" t="s">
        <v>48889</v>
      </c>
      <c r="C31199" t="s">
        <v>129</v>
      </c>
      <c r="D31199" t="s">
        <v>147</v>
      </c>
      <c r="E31199" t="s">
        <v>130</v>
      </c>
      <c r="F31199" s="2" t="str">
        <f>HYPERLINK("http://www.otzar.org/book.asp?60782","עיון המועדים - 7 כר'")</f>
        <v>עיון המועדים - 7 כר'</v>
      </c>
    </row>
    <row r="31200" spans="1:6" x14ac:dyDescent="0.2">
      <c r="A31200" t="s">
        <v>48890</v>
      </c>
      <c r="B31200" t="s">
        <v>48889</v>
      </c>
      <c r="C31200" t="s">
        <v>13</v>
      </c>
      <c r="D31200" t="s">
        <v>147</v>
      </c>
      <c r="E31200" t="s">
        <v>2840</v>
      </c>
      <c r="F31200" s="2" t="str">
        <f>HYPERLINK("http://www.otzar.org/book.asp?60783","עיון המצוות - בר מצוה")</f>
        <v>עיון המצוות - בר מצוה</v>
      </c>
    </row>
    <row r="31201" spans="1:6" x14ac:dyDescent="0.2">
      <c r="A31201" t="s">
        <v>48891</v>
      </c>
      <c r="B31201" t="s">
        <v>48892</v>
      </c>
      <c r="C31201" t="s">
        <v>185</v>
      </c>
      <c r="D31201" t="s">
        <v>52</v>
      </c>
      <c r="E31201" t="s">
        <v>144</v>
      </c>
      <c r="F31201" s="2" t="str">
        <f>HYPERLINK("http://www.otzar.org/book.asp?629446","עיון הסוגיא - 11 כר'")</f>
        <v>עיון הסוגיא - 11 כר'</v>
      </c>
    </row>
    <row r="31202" spans="1:6" x14ac:dyDescent="0.2">
      <c r="A31202" t="s">
        <v>48893</v>
      </c>
      <c r="B31202" t="s">
        <v>48894</v>
      </c>
      <c r="E31202" t="s">
        <v>202</v>
      </c>
      <c r="F31202" s="2" t="str">
        <f>HYPERLINK("http://www.otzar.org/book.asp?619034","עיון הסוגיא - א")</f>
        <v>עיון הסוגיא - א</v>
      </c>
    </row>
    <row r="31203" spans="1:6" x14ac:dyDescent="0.2">
      <c r="A31203" t="s">
        <v>48895</v>
      </c>
      <c r="B31203" t="s">
        <v>16688</v>
      </c>
      <c r="C31203" t="s">
        <v>23</v>
      </c>
      <c r="D31203" t="s">
        <v>52</v>
      </c>
      <c r="E31203" t="s">
        <v>144</v>
      </c>
      <c r="F31203" s="2" t="str">
        <f>HYPERLINK("http://www.otzar.org/book.asp?616195","עיון הסוגיא - מכות")</f>
        <v>עיון הסוגיא - מכות</v>
      </c>
    </row>
    <row r="31204" spans="1:6" x14ac:dyDescent="0.2">
      <c r="A31204" t="s">
        <v>48896</v>
      </c>
      <c r="B31204" t="s">
        <v>48897</v>
      </c>
      <c r="C31204" t="s">
        <v>244</v>
      </c>
      <c r="D31204" t="s">
        <v>14</v>
      </c>
      <c r="E31204" t="s">
        <v>104</v>
      </c>
      <c r="F31204" s="2" t="str">
        <f>HYPERLINK("http://www.otzar.org/book.asp?612324","עיון הפרשה - 7 כר'")</f>
        <v>עיון הפרשה - 7 כר'</v>
      </c>
    </row>
    <row r="31205" spans="1:6" x14ac:dyDescent="0.2">
      <c r="A31205" t="s">
        <v>48898</v>
      </c>
      <c r="B31205" t="s">
        <v>382</v>
      </c>
      <c r="C31205" t="s">
        <v>411</v>
      </c>
      <c r="D31205" t="s">
        <v>52</v>
      </c>
      <c r="E31205" t="s">
        <v>2091</v>
      </c>
      <c r="F31205" s="2" t="str">
        <f>HYPERLINK("http://www.otzar.org/book.asp?171651","עיון השבת")</f>
        <v>עיון השבת</v>
      </c>
    </row>
    <row r="31206" spans="1:6" x14ac:dyDescent="0.2">
      <c r="A31206" t="s">
        <v>48899</v>
      </c>
      <c r="B31206" t="s">
        <v>27157</v>
      </c>
      <c r="C31206" t="s">
        <v>8476</v>
      </c>
      <c r="D31206" t="s">
        <v>8167</v>
      </c>
      <c r="E31206" t="s">
        <v>786</v>
      </c>
      <c r="F31206" s="2" t="str">
        <f>HYPERLINK("http://www.otzar.org/book.asp?103312","עיון יעקב")</f>
        <v>עיון יעקב</v>
      </c>
    </row>
    <row r="31207" spans="1:6" x14ac:dyDescent="0.2">
      <c r="A31207" t="s">
        <v>48900</v>
      </c>
      <c r="B31207" t="s">
        <v>16986</v>
      </c>
      <c r="C31207" t="s">
        <v>411</v>
      </c>
      <c r="D31207" t="s">
        <v>412</v>
      </c>
      <c r="E31207" t="s">
        <v>144</v>
      </c>
      <c r="F31207" s="2" t="str">
        <f>HYPERLINK("http://www.otzar.org/book.asp?169587","עיון מנחם - 4 כר'")</f>
        <v>עיון מנחם - 4 כר'</v>
      </c>
    </row>
    <row r="31208" spans="1:6" x14ac:dyDescent="0.2">
      <c r="A31208" t="s">
        <v>48901</v>
      </c>
      <c r="B31208" t="s">
        <v>25884</v>
      </c>
      <c r="C31208" t="s">
        <v>422</v>
      </c>
      <c r="D31208" t="s">
        <v>147</v>
      </c>
      <c r="E31208" t="s">
        <v>219</v>
      </c>
      <c r="F31208" s="2" t="str">
        <f>HYPERLINK("http://www.otzar.org/book.asp?62732","עיון תפילה")</f>
        <v>עיון תפילה</v>
      </c>
    </row>
    <row r="31209" spans="1:6" x14ac:dyDescent="0.2">
      <c r="A31209" t="s">
        <v>48902</v>
      </c>
      <c r="B31209" t="s">
        <v>48903</v>
      </c>
      <c r="C31209" t="s">
        <v>5721</v>
      </c>
      <c r="D31209" t="s">
        <v>267</v>
      </c>
      <c r="E31209" t="s">
        <v>1626</v>
      </c>
      <c r="F31209" s="2" t="str">
        <f>HYPERLINK("http://www.otzar.org/book.asp?181169","עיון תפלה")</f>
        <v>עיון תפלה</v>
      </c>
    </row>
    <row r="31210" spans="1:6" x14ac:dyDescent="0.2">
      <c r="A31210" t="s">
        <v>48904</v>
      </c>
      <c r="B31210" t="s">
        <v>48905</v>
      </c>
      <c r="C31210" t="s">
        <v>103</v>
      </c>
      <c r="D31210" t="s">
        <v>152</v>
      </c>
      <c r="E31210" t="s">
        <v>246</v>
      </c>
      <c r="F31210" s="2" t="str">
        <f>HYPERLINK("http://www.otzar.org/book.asp?84276","עיוני הגדה - 2 כר'")</f>
        <v>עיוני הגדה - 2 כר'</v>
      </c>
    </row>
    <row r="31211" spans="1:6" x14ac:dyDescent="0.2">
      <c r="A31211" t="s">
        <v>48906</v>
      </c>
      <c r="B31211" t="s">
        <v>39785</v>
      </c>
      <c r="C31211" t="s">
        <v>37</v>
      </c>
      <c r="D31211" t="s">
        <v>486</v>
      </c>
      <c r="E31211" t="s">
        <v>144</v>
      </c>
      <c r="F31211" s="2" t="str">
        <f>HYPERLINK("http://www.otzar.org/book.asp?188873","עיוני הדף מעדני שי - בבא מציעא")</f>
        <v>עיוני הדף מעדני שי - בבא מציעא</v>
      </c>
    </row>
    <row r="31212" spans="1:6" x14ac:dyDescent="0.2">
      <c r="A31212" t="s">
        <v>48907</v>
      </c>
      <c r="B31212" t="s">
        <v>48908</v>
      </c>
      <c r="C31212" t="s">
        <v>68</v>
      </c>
      <c r="D31212" t="s">
        <v>52</v>
      </c>
      <c r="E31212" t="s">
        <v>202</v>
      </c>
      <c r="F31212" s="2" t="str">
        <f>HYPERLINK("http://www.otzar.org/book.asp?158179","עיוני הוראה")</f>
        <v>עיוני הוראה</v>
      </c>
    </row>
    <row r="31213" spans="1:6" x14ac:dyDescent="0.2">
      <c r="A31213" t="s">
        <v>48909</v>
      </c>
      <c r="B31213" t="s">
        <v>48910</v>
      </c>
      <c r="C31213" t="s">
        <v>390</v>
      </c>
      <c r="D31213" t="s">
        <v>2362</v>
      </c>
      <c r="E31213" t="s">
        <v>3798</v>
      </c>
      <c r="F31213" s="2" t="str">
        <f>HYPERLINK("http://www.otzar.org/book.asp?144202","עיוני הלכה והגיונות")</f>
        <v>עיוני הלכה והגיונות</v>
      </c>
    </row>
    <row r="31214" spans="1:6" x14ac:dyDescent="0.2">
      <c r="A31214" t="s">
        <v>48911</v>
      </c>
      <c r="C31214" t="s">
        <v>20</v>
      </c>
      <c r="D31214" t="s">
        <v>90</v>
      </c>
      <c r="E31214" t="s">
        <v>104</v>
      </c>
      <c r="F31214" s="2" t="str">
        <f>HYPERLINK("http://www.otzar.org/book.asp?606133","עיוני הלכה - תכלת")</f>
        <v>עיוני הלכה - תכלת</v>
      </c>
    </row>
    <row r="31215" spans="1:6" x14ac:dyDescent="0.2">
      <c r="A31215" t="s">
        <v>48912</v>
      </c>
      <c r="B31215" t="s">
        <v>33780</v>
      </c>
      <c r="C31215" t="s">
        <v>37</v>
      </c>
      <c r="D31215" t="s">
        <v>4665</v>
      </c>
      <c r="E31215" t="s">
        <v>172</v>
      </c>
      <c r="F31215" s="2" t="str">
        <f>HYPERLINK("http://www.otzar.org/book.asp?606276","עיוני הלכה")</f>
        <v>עיוני הלכה</v>
      </c>
    </row>
    <row r="31216" spans="1:6" x14ac:dyDescent="0.2">
      <c r="A31216" t="s">
        <v>48913</v>
      </c>
      <c r="B31216" t="s">
        <v>48914</v>
      </c>
      <c r="C31216" t="s">
        <v>146</v>
      </c>
      <c r="D31216" t="s">
        <v>52</v>
      </c>
      <c r="E31216" t="s">
        <v>15</v>
      </c>
      <c r="F31216" s="2" t="str">
        <f>HYPERLINK("http://www.otzar.org/book.asp?603417","עיוני הלכות - 3 כר'")</f>
        <v>עיוני הלכות - 3 כר'</v>
      </c>
    </row>
    <row r="31217" spans="1:6" x14ac:dyDescent="0.2">
      <c r="A31217" t="s">
        <v>48915</v>
      </c>
      <c r="B31217" t="s">
        <v>48916</v>
      </c>
      <c r="C31217" t="s">
        <v>189</v>
      </c>
      <c r="D31217" t="s">
        <v>646</v>
      </c>
      <c r="E31217" t="s">
        <v>158</v>
      </c>
      <c r="F31217" s="2" t="str">
        <f>HYPERLINK("http://www.otzar.org/book.asp?619494","עיוני חיים - 2 כר'")</f>
        <v>עיוני חיים - 2 כר'</v>
      </c>
    </row>
    <row r="31218" spans="1:6" x14ac:dyDescent="0.2">
      <c r="A31218" t="s">
        <v>48917</v>
      </c>
      <c r="B31218" t="s">
        <v>18483</v>
      </c>
      <c r="C31218" t="s">
        <v>129</v>
      </c>
      <c r="D31218" t="s">
        <v>11571</v>
      </c>
      <c r="E31218" t="s">
        <v>158</v>
      </c>
      <c r="F31218" s="2" t="str">
        <f>HYPERLINK("http://www.otzar.org/book.asp?606466","עיוני משה")</f>
        <v>עיוני משה</v>
      </c>
    </row>
    <row r="31219" spans="1:6" x14ac:dyDescent="0.2">
      <c r="A31219" t="s">
        <v>48918</v>
      </c>
      <c r="B31219" t="s">
        <v>48919</v>
      </c>
      <c r="C31219" t="s">
        <v>129</v>
      </c>
      <c r="D31219" t="s">
        <v>14</v>
      </c>
      <c r="E31219" t="s">
        <v>2091</v>
      </c>
      <c r="F31219" s="2" t="str">
        <f>HYPERLINK("http://www.otzar.org/book.asp?147574","עיוני משפט - 2 כר'")</f>
        <v>עיוני משפט - 2 כר'</v>
      </c>
    </row>
    <row r="31220" spans="1:6" x14ac:dyDescent="0.2">
      <c r="A31220" t="s">
        <v>48920</v>
      </c>
      <c r="B31220" t="s">
        <v>12152</v>
      </c>
      <c r="C31220" t="s">
        <v>13</v>
      </c>
      <c r="D31220" t="s">
        <v>152</v>
      </c>
      <c r="E31220" t="s">
        <v>158</v>
      </c>
      <c r="F31220" s="2" t="str">
        <f>HYPERLINK("http://www.otzar.org/book.asp?61737","עיוני רש""י - 10 כר'")</f>
        <v>עיוני רש"י - 10 כר'</v>
      </c>
    </row>
    <row r="31221" spans="1:6" x14ac:dyDescent="0.2">
      <c r="A31221" t="s">
        <v>48921</v>
      </c>
      <c r="B31221" t="s">
        <v>48922</v>
      </c>
      <c r="C31221" t="s">
        <v>454</v>
      </c>
      <c r="D31221" t="s">
        <v>52</v>
      </c>
      <c r="E31221" t="s">
        <v>803</v>
      </c>
      <c r="F31221" s="2" t="str">
        <f>HYPERLINK("http://www.otzar.org/book.asp?62668","עיוני שמועה")</f>
        <v>עיוני שמועה</v>
      </c>
    </row>
    <row r="31222" spans="1:6" x14ac:dyDescent="0.2">
      <c r="A31222" t="s">
        <v>48923</v>
      </c>
      <c r="B31222" t="s">
        <v>48924</v>
      </c>
      <c r="C31222" t="s">
        <v>111</v>
      </c>
      <c r="D31222" t="s">
        <v>52</v>
      </c>
      <c r="E31222" t="s">
        <v>202</v>
      </c>
      <c r="F31222" s="2" t="str">
        <f>HYPERLINK("http://www.otzar.org/book.asp?627140","עיוני שמעתתא - 16 כר'")</f>
        <v>עיוני שמעתתא - 16 כר'</v>
      </c>
    </row>
    <row r="31223" spans="1:6" x14ac:dyDescent="0.2">
      <c r="A31223" t="s">
        <v>48925</v>
      </c>
      <c r="B31223" t="s">
        <v>48926</v>
      </c>
      <c r="C31223" t="s">
        <v>151</v>
      </c>
      <c r="D31223" t="s">
        <v>52</v>
      </c>
      <c r="F31223" s="2" t="str">
        <f>HYPERLINK("http://www.otzar.org/book.asp?632609","עיוני תוספות - 2 כר'")</f>
        <v>עיוני תוספות - 2 כר'</v>
      </c>
    </row>
    <row r="31224" spans="1:6" x14ac:dyDescent="0.2">
      <c r="A31224" t="s">
        <v>48927</v>
      </c>
      <c r="B31224" t="s">
        <v>9079</v>
      </c>
      <c r="C31224" t="s">
        <v>37</v>
      </c>
      <c r="D31224" t="s">
        <v>14</v>
      </c>
      <c r="E31224" t="s">
        <v>241</v>
      </c>
      <c r="F31224" s="2" t="str">
        <f>HYPERLINK("http://www.otzar.org/book.asp?182975","עיוני תפילה")</f>
        <v>עיוני תפילה</v>
      </c>
    </row>
    <row r="31225" spans="1:6" x14ac:dyDescent="0.2">
      <c r="A31225" t="s">
        <v>48928</v>
      </c>
      <c r="B31225" t="s">
        <v>48929</v>
      </c>
      <c r="C31225" t="s">
        <v>244</v>
      </c>
      <c r="D31225" t="s">
        <v>21</v>
      </c>
      <c r="F31225" s="2" t="str">
        <f>HYPERLINK("http://www.otzar.org/book.asp?610585","עיונים בברכת הזימון")</f>
        <v>עיונים בברכת הזימון</v>
      </c>
    </row>
    <row r="31226" spans="1:6" x14ac:dyDescent="0.2">
      <c r="A31226" t="s">
        <v>48930</v>
      </c>
      <c r="B31226" t="s">
        <v>12597</v>
      </c>
      <c r="C31226" t="s">
        <v>189</v>
      </c>
      <c r="D31226" t="s">
        <v>14</v>
      </c>
      <c r="E31226" t="s">
        <v>148</v>
      </c>
      <c r="F31226" s="2" t="str">
        <f>HYPERLINK("http://www.otzar.org/book.asp?50465","עיונים בהלכה - 5 כר'")</f>
        <v>עיונים בהלכה - 5 כר'</v>
      </c>
    </row>
    <row r="31227" spans="1:6" x14ac:dyDescent="0.2">
      <c r="A31227" t="s">
        <v>48931</v>
      </c>
      <c r="B31227" t="s">
        <v>48932</v>
      </c>
      <c r="C31227" t="s">
        <v>20</v>
      </c>
      <c r="D31227" t="s">
        <v>14</v>
      </c>
      <c r="E31227" t="s">
        <v>15</v>
      </c>
      <c r="F31227" s="2" t="str">
        <f>HYPERLINK("http://www.otzar.org/book.asp?180787","עיונים בהלכות שחיטה")</f>
        <v>עיונים בהלכות שחיטה</v>
      </c>
    </row>
    <row r="31228" spans="1:6" x14ac:dyDescent="0.2">
      <c r="A31228" t="s">
        <v>48933</v>
      </c>
      <c r="B31228" t="s">
        <v>48881</v>
      </c>
      <c r="C31228" t="s">
        <v>189</v>
      </c>
      <c r="D31228" t="s">
        <v>216</v>
      </c>
      <c r="E31228" t="s">
        <v>158</v>
      </c>
      <c r="F31228" s="2" t="str">
        <f>HYPERLINK("http://www.otzar.org/book.asp?61584","עיונים בהפטרה")</f>
        <v>עיונים בהפטרה</v>
      </c>
    </row>
    <row r="31229" spans="1:6" x14ac:dyDescent="0.2">
      <c r="A31229" t="s">
        <v>48934</v>
      </c>
      <c r="B31229" t="s">
        <v>48935</v>
      </c>
      <c r="C31229" t="s">
        <v>1811</v>
      </c>
      <c r="D31229" t="s">
        <v>412</v>
      </c>
      <c r="E31229" t="s">
        <v>1211</v>
      </c>
      <c r="F31229" s="2" t="str">
        <f>HYPERLINK("http://www.otzar.org/book.asp?14673","עיונים בחידושי הרשב""א")</f>
        <v>עיונים בחידושי הרשב"א</v>
      </c>
    </row>
    <row r="31230" spans="1:6" x14ac:dyDescent="0.2">
      <c r="A31230" t="s">
        <v>48936</v>
      </c>
      <c r="B31230" t="s">
        <v>48937</v>
      </c>
      <c r="C31230" t="s">
        <v>68</v>
      </c>
      <c r="D31230" t="s">
        <v>52</v>
      </c>
      <c r="E31230" t="s">
        <v>148</v>
      </c>
      <c r="F31230" s="2" t="str">
        <f>HYPERLINK("http://www.otzar.org/book.asp?629936","עיונים בחנוכה")</f>
        <v>עיונים בחנוכה</v>
      </c>
    </row>
    <row r="31231" spans="1:6" x14ac:dyDescent="0.2">
      <c r="A31231" t="s">
        <v>48938</v>
      </c>
      <c r="B31231" t="s">
        <v>48939</v>
      </c>
      <c r="C31231" t="s">
        <v>775</v>
      </c>
      <c r="D31231" t="s">
        <v>20</v>
      </c>
      <c r="E31231" t="s">
        <v>104</v>
      </c>
      <c r="F31231" s="2" t="str">
        <f>HYPERLINK("http://www.otzar.org/book.asp?61419","עיונים בכללי חינוך שבאיגרת הגר""א")</f>
        <v>עיונים בכללי חינוך שבאיגרת הגר"א</v>
      </c>
    </row>
    <row r="31232" spans="1:6" x14ac:dyDescent="0.2">
      <c r="A31232" t="s">
        <v>48940</v>
      </c>
      <c r="B31232" t="s">
        <v>48941</v>
      </c>
      <c r="C31232" t="s">
        <v>427</v>
      </c>
      <c r="D31232" t="s">
        <v>14</v>
      </c>
      <c r="E31232" t="s">
        <v>579</v>
      </c>
      <c r="F31232" s="2" t="str">
        <f>HYPERLINK("http://www.otzar.org/book.asp?103628","עיונים בלשונות הראב""ע")</f>
        <v>עיונים בלשונות הראב"ע</v>
      </c>
    </row>
    <row r="31233" spans="1:6" x14ac:dyDescent="0.2">
      <c r="A31233" t="s">
        <v>48942</v>
      </c>
      <c r="B31233" t="s">
        <v>48881</v>
      </c>
      <c r="C31233" t="s">
        <v>129</v>
      </c>
      <c r="D31233" t="s">
        <v>216</v>
      </c>
      <c r="E31233" t="s">
        <v>10473</v>
      </c>
      <c r="F31233" s="2" t="str">
        <f>HYPERLINK("http://www.otzar.org/book.asp?61550","עיונים במועדים")</f>
        <v>עיונים במועדים</v>
      </c>
    </row>
    <row r="31234" spans="1:6" x14ac:dyDescent="0.2">
      <c r="A31234" t="s">
        <v>48943</v>
      </c>
      <c r="B31234" t="s">
        <v>3716</v>
      </c>
      <c r="C31234" t="s">
        <v>1570</v>
      </c>
      <c r="D31234" t="s">
        <v>14</v>
      </c>
      <c r="E31234" t="s">
        <v>140</v>
      </c>
      <c r="F31234" s="2" t="str">
        <f>HYPERLINK("http://www.otzar.org/book.asp?150142","עיונים במחשבת החסידות")</f>
        <v>עיונים במחשבת החסידות</v>
      </c>
    </row>
    <row r="31235" spans="1:6" x14ac:dyDescent="0.2">
      <c r="A31235" t="s">
        <v>48944</v>
      </c>
      <c r="B31235" t="s">
        <v>48236</v>
      </c>
      <c r="C31235" t="s">
        <v>189</v>
      </c>
      <c r="D31235" t="s">
        <v>4478</v>
      </c>
      <c r="E31235" t="s">
        <v>144</v>
      </c>
      <c r="F31235" s="2" t="str">
        <f>HYPERLINK("http://www.otzar.org/book.asp?63151","עיונים במסכתות סנהדרין וברכות")</f>
        <v>עיונים במסכתות סנהדרין וברכות</v>
      </c>
    </row>
    <row r="31236" spans="1:6" x14ac:dyDescent="0.2">
      <c r="A31236" t="s">
        <v>48945</v>
      </c>
      <c r="B31236" t="s">
        <v>48881</v>
      </c>
      <c r="C31236" t="s">
        <v>146</v>
      </c>
      <c r="D31236" t="s">
        <v>216</v>
      </c>
      <c r="E31236" t="s">
        <v>158</v>
      </c>
      <c r="F31236" s="2" t="str">
        <f>HYPERLINK("http://www.otzar.org/book.asp?61616","עיונים במשלי")</f>
        <v>עיונים במשלי</v>
      </c>
    </row>
    <row r="31237" spans="1:6" x14ac:dyDescent="0.2">
      <c r="A31237" t="s">
        <v>48946</v>
      </c>
      <c r="B31237" t="s">
        <v>48937</v>
      </c>
      <c r="C31237" t="s">
        <v>114</v>
      </c>
      <c r="D31237" t="s">
        <v>52</v>
      </c>
      <c r="E31237" t="s">
        <v>172</v>
      </c>
      <c r="F31237" s="2" t="str">
        <f>HYPERLINK("http://www.otzar.org/book.asp?629938","עיונים במשנה ברורה - 7 כר'")</f>
        <v>עיונים במשנה ברורה - 7 כר'</v>
      </c>
    </row>
    <row r="31238" spans="1:6" x14ac:dyDescent="0.2">
      <c r="A31238" t="s">
        <v>48947</v>
      </c>
      <c r="B31238" t="s">
        <v>48948</v>
      </c>
      <c r="C31238" t="s">
        <v>114</v>
      </c>
      <c r="D31238" t="s">
        <v>52</v>
      </c>
      <c r="E31238" t="s">
        <v>154</v>
      </c>
      <c r="F31238" s="2" t="str">
        <f>HYPERLINK("http://www.otzar.org/book.asp?158765","עיונים במשפט - 3 כר'")</f>
        <v>עיונים במשפט - 3 כר'</v>
      </c>
    </row>
    <row r="31239" spans="1:6" x14ac:dyDescent="0.2">
      <c r="A31239" t="s">
        <v>48949</v>
      </c>
      <c r="B31239" t="s">
        <v>48950</v>
      </c>
      <c r="C31239" t="s">
        <v>20</v>
      </c>
      <c r="D31239" t="s">
        <v>6853</v>
      </c>
      <c r="E31239" t="s">
        <v>246</v>
      </c>
      <c r="F31239" s="2" t="str">
        <f>HYPERLINK("http://www.otzar.org/book.asp?606876","עיונים בנושא החנוכה")</f>
        <v>עיונים בנושא החנוכה</v>
      </c>
    </row>
    <row r="31240" spans="1:6" x14ac:dyDescent="0.2">
      <c r="A31240" t="s">
        <v>48951</v>
      </c>
      <c r="B31240" t="s">
        <v>21874</v>
      </c>
      <c r="C31240" t="s">
        <v>20</v>
      </c>
      <c r="D31240" t="s">
        <v>90</v>
      </c>
      <c r="E31240" t="s">
        <v>144</v>
      </c>
      <c r="F31240" s="2" t="str">
        <f>HYPERLINK("http://www.otzar.org/book.asp?83579","עיונים בסוגיות נזקי אש")</f>
        <v>עיונים בסוגיות נזקי אש</v>
      </c>
    </row>
    <row r="31241" spans="1:6" x14ac:dyDescent="0.2">
      <c r="A31241" t="s">
        <v>48952</v>
      </c>
      <c r="B31241" t="s">
        <v>21874</v>
      </c>
      <c r="C31241" t="s">
        <v>20</v>
      </c>
      <c r="D31241" t="s">
        <v>90</v>
      </c>
      <c r="E31241" t="s">
        <v>144</v>
      </c>
      <c r="F31241" s="2" t="str">
        <f>HYPERLINK("http://www.otzar.org/book.asp?83578","עיונים בסוגיות נזקי בור")</f>
        <v>עיונים בסוגיות נזקי בור</v>
      </c>
    </row>
    <row r="31242" spans="1:6" x14ac:dyDescent="0.2">
      <c r="A31242" t="s">
        <v>48953</v>
      </c>
      <c r="B31242" t="s">
        <v>48881</v>
      </c>
      <c r="C31242" t="s">
        <v>17</v>
      </c>
      <c r="D31242" t="s">
        <v>216</v>
      </c>
      <c r="E31242" t="s">
        <v>84</v>
      </c>
      <c r="F31242" s="2" t="str">
        <f>HYPERLINK("http://www.otzar.org/book.asp?145023","עיונים בפרקי אבות")</f>
        <v>עיונים בפרקי אבות</v>
      </c>
    </row>
    <row r="31243" spans="1:6" x14ac:dyDescent="0.2">
      <c r="A31243" t="s">
        <v>48954</v>
      </c>
      <c r="B31243" t="s">
        <v>48955</v>
      </c>
      <c r="C31243" t="s">
        <v>68</v>
      </c>
      <c r="D31243" t="s">
        <v>90</v>
      </c>
      <c r="E31243" t="s">
        <v>158</v>
      </c>
      <c r="F31243" s="2" t="str">
        <f>HYPERLINK("http://www.otzar.org/book.asp?196100","עיונים בפרשה - 5 כר'")</f>
        <v>עיונים בפרשה - 5 כר'</v>
      </c>
    </row>
    <row r="31244" spans="1:6" x14ac:dyDescent="0.2">
      <c r="A31244" t="s">
        <v>48956</v>
      </c>
      <c r="B31244" t="s">
        <v>48948</v>
      </c>
      <c r="C31244" t="s">
        <v>13</v>
      </c>
      <c r="D31244" t="s">
        <v>52</v>
      </c>
      <c r="E31244" t="s">
        <v>158</v>
      </c>
      <c r="F31244" s="2" t="str">
        <f>HYPERLINK("http://www.otzar.org/book.asp?158767","עיונים בפרשה")</f>
        <v>עיונים בפרשה</v>
      </c>
    </row>
    <row r="31245" spans="1:6" x14ac:dyDescent="0.2">
      <c r="A31245" t="s">
        <v>48957</v>
      </c>
      <c r="B31245" t="s">
        <v>34723</v>
      </c>
      <c r="C31245" t="s">
        <v>71</v>
      </c>
      <c r="D31245" t="s">
        <v>14</v>
      </c>
      <c r="E31245" t="s">
        <v>158</v>
      </c>
      <c r="F31245" s="2" t="str">
        <f>HYPERLINK("http://www.otzar.org/book.asp?154207","עיונים בפרשנות המקרא")</f>
        <v>עיונים בפרשנות המקרא</v>
      </c>
    </row>
    <row r="31246" spans="1:6" x14ac:dyDescent="0.2">
      <c r="A31246" t="s">
        <v>48958</v>
      </c>
      <c r="B31246" t="s">
        <v>35193</v>
      </c>
      <c r="C31246" t="s">
        <v>422</v>
      </c>
      <c r="D31246" t="s">
        <v>52</v>
      </c>
      <c r="E31246" t="s">
        <v>158</v>
      </c>
      <c r="F31246" s="2" t="str">
        <f>HYPERLINK("http://www.otzar.org/book.asp?170465","עיונים ברש""י")</f>
        <v>עיונים ברש"י</v>
      </c>
    </row>
    <row r="31247" spans="1:6" x14ac:dyDescent="0.2">
      <c r="A31247" t="s">
        <v>48959</v>
      </c>
      <c r="B31247" t="s">
        <v>48881</v>
      </c>
      <c r="C31247" t="s">
        <v>23</v>
      </c>
      <c r="D31247" t="s">
        <v>90</v>
      </c>
      <c r="E31247" t="s">
        <v>158</v>
      </c>
      <c r="F31247" s="2" t="str">
        <f>HYPERLINK("http://www.otzar.org/book.asp?192182","עיונים בתהלים")</f>
        <v>עיונים בתהלים</v>
      </c>
    </row>
    <row r="31248" spans="1:6" x14ac:dyDescent="0.2">
      <c r="A31248" t="s">
        <v>48960</v>
      </c>
      <c r="B31248" t="s">
        <v>48961</v>
      </c>
      <c r="C31248" t="s">
        <v>1570</v>
      </c>
      <c r="D31248" t="s">
        <v>412</v>
      </c>
      <c r="E31248" t="s">
        <v>241</v>
      </c>
      <c r="F31248" s="2" t="str">
        <f>HYPERLINK("http://www.otzar.org/book.asp?154067","עיונים בתפלה")</f>
        <v>עיונים בתפלה</v>
      </c>
    </row>
    <row r="31249" spans="1:6" x14ac:dyDescent="0.2">
      <c r="A31249" t="s">
        <v>48962</v>
      </c>
      <c r="B31249" t="s">
        <v>48963</v>
      </c>
      <c r="C31249" t="s">
        <v>411</v>
      </c>
      <c r="D31249" t="s">
        <v>52</v>
      </c>
      <c r="E31249" t="s">
        <v>144</v>
      </c>
      <c r="F31249" s="2" t="str">
        <f>HYPERLINK("http://www.otzar.org/book.asp?170790","עיונים ובאורים - הוריות")</f>
        <v>עיונים ובאורים - הוריות</v>
      </c>
    </row>
    <row r="31250" spans="1:6" x14ac:dyDescent="0.2">
      <c r="A31250" t="s">
        <v>48964</v>
      </c>
      <c r="B31250" t="s">
        <v>48963</v>
      </c>
      <c r="C31250" t="s">
        <v>23</v>
      </c>
      <c r="D31250" t="s">
        <v>80</v>
      </c>
      <c r="E31250" t="s">
        <v>674</v>
      </c>
      <c r="F31250" s="2" t="str">
        <f>HYPERLINK("http://www.otzar.org/book.asp?195761","עיונים וביאורים בענייני ערבות במצוות")</f>
        <v>עיונים וביאורים בענייני ערבות במצוות</v>
      </c>
    </row>
    <row r="31251" spans="1:6" x14ac:dyDescent="0.2">
      <c r="A31251" t="s">
        <v>48965</v>
      </c>
      <c r="B31251" t="s">
        <v>7622</v>
      </c>
      <c r="C31251" t="s">
        <v>523</v>
      </c>
      <c r="D31251" t="s">
        <v>14</v>
      </c>
      <c r="E31251" t="s">
        <v>474</v>
      </c>
      <c r="F31251" s="2" t="str">
        <f>HYPERLINK("http://www.otzar.org/book.asp?144031","עיונים וביאורים בפרשה ובהפטרה")</f>
        <v>עיונים וביאורים בפרשה ובהפטרה</v>
      </c>
    </row>
    <row r="31252" spans="1:6" x14ac:dyDescent="0.2">
      <c r="A31252" t="s">
        <v>48966</v>
      </c>
      <c r="B31252" t="s">
        <v>1728</v>
      </c>
      <c r="C31252" t="s">
        <v>411</v>
      </c>
      <c r="D31252" t="s">
        <v>273</v>
      </c>
      <c r="E31252" t="s">
        <v>393</v>
      </c>
      <c r="F31252" s="2" t="str">
        <f>HYPERLINK("http://www.otzar.org/book.asp?628517","עיונים וביאורים מאמר איתא במדרש תילים")</f>
        <v>עיונים וביאורים מאמר איתא במדרש תילים</v>
      </c>
    </row>
    <row r="31253" spans="1:6" x14ac:dyDescent="0.2">
      <c r="A31253" t="s">
        <v>48967</v>
      </c>
      <c r="B31253" t="s">
        <v>48968</v>
      </c>
      <c r="C31253" t="s">
        <v>114</v>
      </c>
      <c r="D31253" t="s">
        <v>486</v>
      </c>
      <c r="E31253" t="s">
        <v>158</v>
      </c>
      <c r="F31253" s="2" t="str">
        <f>HYPERLINK("http://www.otzar.org/book.asp?619058","עיונים וביאורים")</f>
        <v>עיונים וביאורים</v>
      </c>
    </row>
    <row r="31254" spans="1:6" x14ac:dyDescent="0.2">
      <c r="A31254" t="s">
        <v>48969</v>
      </c>
      <c r="B31254" t="s">
        <v>48970</v>
      </c>
      <c r="C31254" t="s">
        <v>37</v>
      </c>
      <c r="D31254" t="s">
        <v>21</v>
      </c>
      <c r="F31254" s="2" t="str">
        <f>HYPERLINK("http://www.otzar.org/book.asp?197817","עיונים והערות במלאכת שביעית")</f>
        <v>עיונים והערות במלאכת שביעית</v>
      </c>
    </row>
    <row r="31255" spans="1:6" x14ac:dyDescent="0.2">
      <c r="A31255" t="s">
        <v>48971</v>
      </c>
      <c r="B31255" t="s">
        <v>48972</v>
      </c>
      <c r="C31255" t="s">
        <v>454</v>
      </c>
      <c r="D31255" t="s">
        <v>14</v>
      </c>
      <c r="E31255" t="s">
        <v>144</v>
      </c>
      <c r="F31255" s="2" t="str">
        <f>HYPERLINK("http://www.otzar.org/book.asp?26754","עיונים וציונים")</f>
        <v>עיונים וציונים</v>
      </c>
    </row>
    <row r="31256" spans="1:6" x14ac:dyDescent="0.2">
      <c r="A31256" t="s">
        <v>48973</v>
      </c>
      <c r="B31256" t="s">
        <v>8274</v>
      </c>
      <c r="C31256" t="s">
        <v>114</v>
      </c>
      <c r="D31256" t="s">
        <v>5798</v>
      </c>
      <c r="E31256" t="s">
        <v>144</v>
      </c>
      <c r="F31256" s="2" t="str">
        <f>HYPERLINK("http://www.otzar.org/book.asp?166615","עיונים משיעורי הרב מרדכי - 4 כר'")</f>
        <v>עיונים משיעורי הרב מרדכי - 4 כר'</v>
      </c>
    </row>
    <row r="31257" spans="1:6" x14ac:dyDescent="0.2">
      <c r="A31257" t="s">
        <v>48974</v>
      </c>
      <c r="B31257" t="s">
        <v>32943</v>
      </c>
      <c r="C31257" t="s">
        <v>20</v>
      </c>
      <c r="D31257" t="s">
        <v>90</v>
      </c>
      <c r="E31257" t="s">
        <v>399</v>
      </c>
      <c r="F31257" s="2" t="str">
        <f>HYPERLINK("http://www.otzar.org/book.asp?617923","עיונים סביב שבעה צירופי שם יקו""ק ב""ה")</f>
        <v>עיונים סביב שבעה צירופי שם יקו"ק ב"ה</v>
      </c>
    </row>
    <row r="31258" spans="1:6" x14ac:dyDescent="0.2">
      <c r="A31258" t="s">
        <v>48975</v>
      </c>
      <c r="B31258" t="s">
        <v>48976</v>
      </c>
      <c r="C31258" t="s">
        <v>411</v>
      </c>
      <c r="D31258" t="s">
        <v>52</v>
      </c>
      <c r="E31258" t="s">
        <v>144</v>
      </c>
      <c r="F31258" s="2" t="str">
        <f>HYPERLINK("http://www.otzar.org/book.asp?611035","עיונים על הש""ס - א")</f>
        <v>עיונים על הש"ס - א</v>
      </c>
    </row>
    <row r="31259" spans="1:6" x14ac:dyDescent="0.2">
      <c r="A31259" t="s">
        <v>48977</v>
      </c>
      <c r="B31259" t="s">
        <v>48955</v>
      </c>
      <c r="C31259" t="s">
        <v>151</v>
      </c>
      <c r="D31259" t="s">
        <v>90</v>
      </c>
      <c r="E31259" t="s">
        <v>230</v>
      </c>
      <c r="F31259" s="2" t="str">
        <f>HYPERLINK("http://www.otzar.org/book.asp?611126","עיונים קצרים בפרשה ובמועדי ישראל")</f>
        <v>עיונים קצרים בפרשה ובמועדי ישראל</v>
      </c>
    </row>
    <row r="31260" spans="1:6" x14ac:dyDescent="0.2">
      <c r="A31260" t="s">
        <v>48978</v>
      </c>
      <c r="B31260" t="s">
        <v>48979</v>
      </c>
      <c r="C31260" t="s">
        <v>2672</v>
      </c>
      <c r="D31260" t="s">
        <v>49</v>
      </c>
      <c r="E31260" t="s">
        <v>7138</v>
      </c>
      <c r="F31260" s="2" t="str">
        <f>HYPERLINK("http://www.otzar.org/book.asp?10901","עיטור בכורי קציר")</f>
        <v>עיטור בכורי קציר</v>
      </c>
    </row>
    <row r="31261" spans="1:6" x14ac:dyDescent="0.2">
      <c r="A31261" t="s">
        <v>48980</v>
      </c>
      <c r="B31261" t="s">
        <v>48981</v>
      </c>
      <c r="C31261" t="s">
        <v>989</v>
      </c>
      <c r="D31261" t="s">
        <v>27</v>
      </c>
      <c r="E31261" t="s">
        <v>15</v>
      </c>
      <c r="F31261" s="2" t="str">
        <f>HYPERLINK("http://www.otzar.org/book.asp?172171","עיטור בכורים - 2 כר'")</f>
        <v>עיטור בכורים - 2 כר'</v>
      </c>
    </row>
    <row r="31262" spans="1:6" x14ac:dyDescent="0.2">
      <c r="A31262" t="s">
        <v>48982</v>
      </c>
      <c r="B31262" t="s">
        <v>6314</v>
      </c>
      <c r="C31262" t="s">
        <v>180</v>
      </c>
      <c r="D31262" t="s">
        <v>412</v>
      </c>
      <c r="E31262" t="s">
        <v>230</v>
      </c>
      <c r="F31262" s="2" t="str">
        <f>HYPERLINK("http://www.otzar.org/book.asp?188446","עיטור ברכה")</f>
        <v>עיטור ברכה</v>
      </c>
    </row>
    <row r="31263" spans="1:6" x14ac:dyDescent="0.2">
      <c r="A31263" t="s">
        <v>48983</v>
      </c>
      <c r="B31263" t="s">
        <v>48984</v>
      </c>
      <c r="E31263" t="s">
        <v>104</v>
      </c>
      <c r="F31263" s="2" t="str">
        <f>HYPERLINK("http://www.otzar.org/book.asp?185397","עיטור סופרים")</f>
        <v>עיטור סופרים</v>
      </c>
    </row>
    <row r="31264" spans="1:6" x14ac:dyDescent="0.2">
      <c r="A31264" t="s">
        <v>48985</v>
      </c>
      <c r="B31264" t="s">
        <v>48986</v>
      </c>
      <c r="C31264" t="s">
        <v>114</v>
      </c>
      <c r="D31264" t="s">
        <v>9909</v>
      </c>
      <c r="F31264" s="2" t="str">
        <f>HYPERLINK("http://www.otzar.org/book.asp?614391","עיטור סופרים - נדה")</f>
        <v>עיטור סופרים - נדה</v>
      </c>
    </row>
    <row r="31265" spans="1:6" x14ac:dyDescent="0.2">
      <c r="A31265" t="s">
        <v>48983</v>
      </c>
      <c r="B31265" t="s">
        <v>48987</v>
      </c>
      <c r="C31265" t="s">
        <v>17774</v>
      </c>
      <c r="D31265" t="s">
        <v>4288</v>
      </c>
      <c r="E31265" t="s">
        <v>104</v>
      </c>
      <c r="F31265" s="2" t="str">
        <f>HYPERLINK("http://www.otzar.org/book.asp?62172","עיטור סופרים")</f>
        <v>עיטור סופרים</v>
      </c>
    </row>
    <row r="31266" spans="1:6" x14ac:dyDescent="0.2">
      <c r="A31266" t="s">
        <v>48983</v>
      </c>
      <c r="B31266" t="s">
        <v>48988</v>
      </c>
      <c r="C31266" t="s">
        <v>1659</v>
      </c>
      <c r="D31266" t="s">
        <v>1833</v>
      </c>
      <c r="E31266" t="s">
        <v>104</v>
      </c>
      <c r="F31266" s="2" t="str">
        <f>HYPERLINK("http://www.otzar.org/book.asp?143622","עיטור סופרים")</f>
        <v>עיטור סופרים</v>
      </c>
    </row>
    <row r="31267" spans="1:6" x14ac:dyDescent="0.2">
      <c r="A31267" t="s">
        <v>48983</v>
      </c>
      <c r="B31267" t="s">
        <v>1469</v>
      </c>
      <c r="C31267" t="s">
        <v>48989</v>
      </c>
      <c r="D31267" t="s">
        <v>56</v>
      </c>
      <c r="E31267" t="s">
        <v>202</v>
      </c>
      <c r="F31267" s="2" t="str">
        <f>HYPERLINK("http://www.otzar.org/book.asp?103620","עיטור סופרים")</f>
        <v>עיטור סופרים</v>
      </c>
    </row>
    <row r="31268" spans="1:6" x14ac:dyDescent="0.2">
      <c r="A31268" t="s">
        <v>48990</v>
      </c>
      <c r="B31268" t="s">
        <v>48991</v>
      </c>
      <c r="C31268" t="s">
        <v>151</v>
      </c>
      <c r="D31268" t="s">
        <v>14</v>
      </c>
      <c r="F31268" s="2" t="str">
        <f>HYPERLINK("http://www.otzar.org/book.asp?610362","עיטור שנה")</f>
        <v>עיטור שנה</v>
      </c>
    </row>
    <row r="31269" spans="1:6" x14ac:dyDescent="0.2">
      <c r="A31269" t="s">
        <v>48992</v>
      </c>
      <c r="B31269" t="s">
        <v>48991</v>
      </c>
      <c r="C31269" t="s">
        <v>366</v>
      </c>
      <c r="D31269" t="s">
        <v>14</v>
      </c>
      <c r="F31269" s="2" t="str">
        <f>HYPERLINK("http://www.otzar.org/book.asp?610363","עיטורי אמונה")</f>
        <v>עיטורי אמונה</v>
      </c>
    </row>
    <row r="31270" spans="1:6" x14ac:dyDescent="0.2">
      <c r="A31270" t="s">
        <v>48993</v>
      </c>
      <c r="B31270" t="s">
        <v>4756</v>
      </c>
      <c r="C31270" t="s">
        <v>767</v>
      </c>
      <c r="D31270" t="s">
        <v>14</v>
      </c>
      <c r="E31270" t="s">
        <v>241</v>
      </c>
      <c r="F31270" s="2" t="str">
        <f>HYPERLINK("http://www.otzar.org/book.asp?28213","עיטורי הלכה - 11 כר'")</f>
        <v>עיטורי הלכה - 11 כר'</v>
      </c>
    </row>
    <row r="31271" spans="1:6" x14ac:dyDescent="0.2">
      <c r="A31271" t="s">
        <v>48994</v>
      </c>
      <c r="B31271" t="s">
        <v>48995</v>
      </c>
      <c r="C31271" t="s">
        <v>68</v>
      </c>
      <c r="D31271" t="s">
        <v>52</v>
      </c>
      <c r="E31271" t="s">
        <v>158</v>
      </c>
      <c r="F31271" s="2" t="str">
        <f>HYPERLINK("http://www.otzar.org/book.asp?157699","עיטורי חיים - על אור החיים")</f>
        <v>עיטורי חיים - על אור החיים</v>
      </c>
    </row>
    <row r="31272" spans="1:6" x14ac:dyDescent="0.2">
      <c r="A31272" t="s">
        <v>48996</v>
      </c>
      <c r="B31272" t="s">
        <v>48997</v>
      </c>
      <c r="C31272" t="s">
        <v>114</v>
      </c>
      <c r="D31272" t="s">
        <v>52</v>
      </c>
      <c r="E31272" t="s">
        <v>186</v>
      </c>
      <c r="F31272" s="2" t="str">
        <f>HYPERLINK("http://www.otzar.org/book.asp?161967","עיטורי טהרה - 2 כר'")</f>
        <v>עיטורי טהרה - 2 כר'</v>
      </c>
    </row>
    <row r="31273" spans="1:6" x14ac:dyDescent="0.2">
      <c r="A31273" t="s">
        <v>48998</v>
      </c>
      <c r="B31273" t="s">
        <v>48999</v>
      </c>
      <c r="C31273" t="s">
        <v>68</v>
      </c>
      <c r="D31273" t="s">
        <v>14</v>
      </c>
      <c r="F31273" s="2" t="str">
        <f>HYPERLINK("http://www.otzar.org/book.asp?620398","עיטורי ירושלים - 3 כר'")</f>
        <v>עיטורי ירושלים - 3 כר'</v>
      </c>
    </row>
    <row r="31274" spans="1:6" x14ac:dyDescent="0.2">
      <c r="A31274" t="s">
        <v>49000</v>
      </c>
      <c r="B31274" t="s">
        <v>48991</v>
      </c>
      <c r="C31274" t="s">
        <v>411</v>
      </c>
      <c r="D31274" t="s">
        <v>14</v>
      </c>
      <c r="E31274" t="s">
        <v>658</v>
      </c>
      <c r="F31274" s="2" t="str">
        <f>HYPERLINK("http://www.otzar.org/book.asp?166960","עיטורי מגילה")</f>
        <v>עיטורי מגילה</v>
      </c>
    </row>
    <row r="31275" spans="1:6" x14ac:dyDescent="0.2">
      <c r="A31275" t="s">
        <v>49001</v>
      </c>
      <c r="B31275" t="s">
        <v>1750</v>
      </c>
      <c r="C31275" t="s">
        <v>68</v>
      </c>
      <c r="D31275" t="s">
        <v>14</v>
      </c>
      <c r="E31275" t="s">
        <v>4022</v>
      </c>
      <c r="F31275" s="2" t="str">
        <f>HYPERLINK("http://www.otzar.org/book.asp?158837","עיטורי מנורה")</f>
        <v>עיטורי מנורה</v>
      </c>
    </row>
    <row r="31276" spans="1:6" x14ac:dyDescent="0.2">
      <c r="A31276" t="s">
        <v>49002</v>
      </c>
      <c r="B31276" t="s">
        <v>1750</v>
      </c>
      <c r="C31276" t="s">
        <v>114</v>
      </c>
      <c r="D31276" t="s">
        <v>367</v>
      </c>
      <c r="E31276" t="s">
        <v>384</v>
      </c>
      <c r="F31276" s="2" t="str">
        <f>HYPERLINK("http://www.otzar.org/book.asp?158812","עיטורי מצוות")</f>
        <v>עיטורי מצוות</v>
      </c>
    </row>
    <row r="31277" spans="1:6" x14ac:dyDescent="0.2">
      <c r="A31277" t="s">
        <v>49003</v>
      </c>
      <c r="B31277" t="s">
        <v>49004</v>
      </c>
      <c r="C31277" t="s">
        <v>185</v>
      </c>
      <c r="D31277" t="s">
        <v>52</v>
      </c>
      <c r="E31277" t="s">
        <v>15</v>
      </c>
      <c r="F31277" s="2" t="str">
        <f>HYPERLINK("http://www.otzar.org/book.asp?629559","עיטורי מרדכי - 13 כר'")</f>
        <v>עיטורי מרדכי - 13 כר'</v>
      </c>
    </row>
    <row r="31278" spans="1:6" x14ac:dyDescent="0.2">
      <c r="A31278" t="s">
        <v>49005</v>
      </c>
      <c r="B31278" t="s">
        <v>41398</v>
      </c>
      <c r="C31278" t="s">
        <v>106</v>
      </c>
      <c r="D31278" t="s">
        <v>216</v>
      </c>
      <c r="E31278" t="s">
        <v>172</v>
      </c>
      <c r="F31278" s="2" t="str">
        <f>HYPERLINK("http://www.otzar.org/book.asp?8308","עיטורי צבי")</f>
        <v>עיטורי צבי</v>
      </c>
    </row>
    <row r="31279" spans="1:6" x14ac:dyDescent="0.2">
      <c r="A31279" t="s">
        <v>49005</v>
      </c>
      <c r="B31279" t="s">
        <v>49006</v>
      </c>
      <c r="C31279" t="s">
        <v>143</v>
      </c>
      <c r="D31279" t="s">
        <v>14</v>
      </c>
      <c r="E31279" t="s">
        <v>144</v>
      </c>
      <c r="F31279" s="2" t="str">
        <f>HYPERLINK("http://www.otzar.org/book.asp?61698","עיטורי צבי")</f>
        <v>עיטורי צבי</v>
      </c>
    </row>
    <row r="31280" spans="1:6" x14ac:dyDescent="0.2">
      <c r="A31280" t="s">
        <v>49007</v>
      </c>
      <c r="B31280" t="s">
        <v>49008</v>
      </c>
      <c r="C31280" t="s">
        <v>133</v>
      </c>
      <c r="D31280" t="s">
        <v>52</v>
      </c>
      <c r="E31280" t="s">
        <v>144</v>
      </c>
      <c r="F31280" s="2" t="str">
        <f>HYPERLINK("http://www.otzar.org/book.asp?611143","עיטורי שבת - ב")</f>
        <v>עיטורי שבת - ב</v>
      </c>
    </row>
    <row r="31281" spans="1:6" x14ac:dyDescent="0.2">
      <c r="A31281" t="s">
        <v>49009</v>
      </c>
      <c r="B31281" t="s">
        <v>49010</v>
      </c>
      <c r="C31281" t="s">
        <v>133</v>
      </c>
      <c r="D31281" t="s">
        <v>367</v>
      </c>
      <c r="E31281" t="s">
        <v>172</v>
      </c>
      <c r="F31281" s="2" t="str">
        <f>HYPERLINK("http://www.otzar.org/book.asp?173722","עיטורי תורה - 2 כר'")</f>
        <v>עיטורי תורה - 2 כר'</v>
      </c>
    </row>
    <row r="31282" spans="1:6" x14ac:dyDescent="0.2">
      <c r="A31282" t="s">
        <v>49011</v>
      </c>
      <c r="B31282" t="s">
        <v>48991</v>
      </c>
      <c r="C31282" t="s">
        <v>37</v>
      </c>
      <c r="D31282" t="s">
        <v>14</v>
      </c>
      <c r="E31282" t="s">
        <v>144</v>
      </c>
      <c r="F31282" s="2" t="str">
        <f>HYPERLINK("http://www.otzar.org/book.asp?600781","עיטורי תלמוד - 2 כר'")</f>
        <v>עיטורי תלמוד - 2 כר'</v>
      </c>
    </row>
    <row r="31283" spans="1:6" x14ac:dyDescent="0.2">
      <c r="A31283" t="s">
        <v>49012</v>
      </c>
      <c r="B31283" t="s">
        <v>49013</v>
      </c>
      <c r="C31283" t="s">
        <v>68</v>
      </c>
      <c r="D31283" t="s">
        <v>1156</v>
      </c>
      <c r="E31283" t="s">
        <v>172</v>
      </c>
      <c r="F31283" s="2" t="str">
        <f>HYPERLINK("http://www.otzar.org/book.asp?159211","עיין ר""ש - ביאור הגר""א הלכות מקוואות")</f>
        <v>עיין ר"ש - ביאור הגר"א הלכות מקוואות</v>
      </c>
    </row>
    <row r="31284" spans="1:6" x14ac:dyDescent="0.2">
      <c r="A31284" t="s">
        <v>49014</v>
      </c>
      <c r="B31284" t="s">
        <v>49013</v>
      </c>
      <c r="C31284" t="s">
        <v>133</v>
      </c>
      <c r="D31284" t="s">
        <v>1156</v>
      </c>
      <c r="E31284" t="s">
        <v>172</v>
      </c>
      <c r="F31284" s="2" t="str">
        <f>HYPERLINK("http://www.otzar.org/book.asp?180694","עיין תוס' - ביאור הגר""א הלכות ברכת הפירות")</f>
        <v>עיין תוס' - ביאור הגר"א הלכות ברכת הפירות</v>
      </c>
    </row>
    <row r="31285" spans="1:6" x14ac:dyDescent="0.2">
      <c r="A31285" t="s">
        <v>49015</v>
      </c>
      <c r="B31285" t="s">
        <v>49016</v>
      </c>
      <c r="C31285" t="s">
        <v>454</v>
      </c>
      <c r="D31285" t="s">
        <v>90</v>
      </c>
      <c r="E31285" t="s">
        <v>1626</v>
      </c>
      <c r="F31285" s="2" t="str">
        <f>HYPERLINK("http://www.otzar.org/book.asp?64277","עילוי נשמות &lt;נוסח בלדי, שאמי&gt;")</f>
        <v>עילוי נשמות &lt;נוסח בלדי, שאמי&gt;</v>
      </c>
    </row>
    <row r="31286" spans="1:6" x14ac:dyDescent="0.2">
      <c r="A31286" t="s">
        <v>49017</v>
      </c>
      <c r="B31286" t="s">
        <v>49016</v>
      </c>
      <c r="C31286" t="s">
        <v>129</v>
      </c>
      <c r="D31286" t="s">
        <v>90</v>
      </c>
      <c r="E31286" t="s">
        <v>1626</v>
      </c>
      <c r="F31286" s="2" t="str">
        <f>HYPERLINK("http://www.otzar.org/book.asp?64279","עילוי נשמות &lt;נוסח ראדה&gt;")</f>
        <v>עילוי נשמות &lt;נוסח ראדה&gt;</v>
      </c>
    </row>
    <row r="31287" spans="1:6" x14ac:dyDescent="0.2">
      <c r="A31287" t="s">
        <v>49018</v>
      </c>
      <c r="B31287" t="s">
        <v>49019</v>
      </c>
      <c r="C31287" t="s">
        <v>129</v>
      </c>
      <c r="D31287" t="s">
        <v>90</v>
      </c>
      <c r="E31287" t="s">
        <v>1626</v>
      </c>
      <c r="F31287" s="2" t="str">
        <f>HYPERLINK("http://www.otzar.org/book.asp?64278","עילוי נשמות &lt;נוסח ק""ק עדן&gt;")</f>
        <v>עילוי נשמות &lt;נוסח ק"ק עדן&gt;</v>
      </c>
    </row>
    <row r="31288" spans="1:6" x14ac:dyDescent="0.2">
      <c r="A31288" t="s">
        <v>49020</v>
      </c>
      <c r="B31288" t="s">
        <v>49021</v>
      </c>
      <c r="C31288" t="s">
        <v>366</v>
      </c>
      <c r="D31288" t="s">
        <v>14</v>
      </c>
      <c r="E31288" t="s">
        <v>154</v>
      </c>
      <c r="F31288" s="2" t="str">
        <f>HYPERLINK("http://www.otzar.org/book.asp?627855","עין אברהם - 2 כר'")</f>
        <v>עין אברהם - 2 כר'</v>
      </c>
    </row>
    <row r="31289" spans="1:6" x14ac:dyDescent="0.2">
      <c r="A31289" t="s">
        <v>49022</v>
      </c>
      <c r="B31289" t="s">
        <v>16324</v>
      </c>
      <c r="C31289" t="s">
        <v>454</v>
      </c>
      <c r="D31289" t="s">
        <v>52</v>
      </c>
      <c r="E31289" t="s">
        <v>786</v>
      </c>
      <c r="F31289" s="2" t="str">
        <f>HYPERLINK("http://www.otzar.org/book.asp?142114","עין אליהו - 4 כר'")</f>
        <v>עין אליהו - 4 כר'</v>
      </c>
    </row>
    <row r="31290" spans="1:6" x14ac:dyDescent="0.2">
      <c r="A31290" t="s">
        <v>49023</v>
      </c>
      <c r="B31290" t="s">
        <v>49024</v>
      </c>
      <c r="C31290" t="s">
        <v>506</v>
      </c>
      <c r="D31290" t="s">
        <v>27</v>
      </c>
      <c r="E31290" t="s">
        <v>508</v>
      </c>
      <c r="F31290" s="2" t="str">
        <f>HYPERLINK("http://www.otzar.org/book.asp?101541","עין אליעזר")</f>
        <v>עין אליעזר</v>
      </c>
    </row>
    <row r="31291" spans="1:6" x14ac:dyDescent="0.2">
      <c r="A31291" t="s">
        <v>49025</v>
      </c>
      <c r="B31291" t="s">
        <v>2847</v>
      </c>
      <c r="C31291" t="s">
        <v>23</v>
      </c>
      <c r="D31291" t="s">
        <v>21</v>
      </c>
      <c r="E31291" t="s">
        <v>714</v>
      </c>
      <c r="F31291" s="2" t="str">
        <f>HYPERLINK("http://www.otzar.org/book.asp?193863","עין במשפט")</f>
        <v>עין במשפט</v>
      </c>
    </row>
    <row r="31292" spans="1:6" x14ac:dyDescent="0.2">
      <c r="A31292" t="s">
        <v>49026</v>
      </c>
      <c r="B31292" t="s">
        <v>49027</v>
      </c>
      <c r="C31292" t="s">
        <v>1448</v>
      </c>
      <c r="D31292" t="s">
        <v>412</v>
      </c>
      <c r="E31292" t="s">
        <v>791</v>
      </c>
      <c r="F31292" s="2" t="str">
        <f>HYPERLINK("http://www.otzar.org/book.asp?142811","עין דמעה")</f>
        <v>עין דמעה</v>
      </c>
    </row>
    <row r="31293" spans="1:6" x14ac:dyDescent="0.2">
      <c r="A31293" t="s">
        <v>49026</v>
      </c>
      <c r="B31293" t="s">
        <v>12844</v>
      </c>
      <c r="C31293" t="s">
        <v>429</v>
      </c>
      <c r="D31293" t="s">
        <v>1117</v>
      </c>
      <c r="E31293" t="s">
        <v>234</v>
      </c>
      <c r="F31293" s="2" t="str">
        <f>HYPERLINK("http://www.otzar.org/book.asp?167588","עין דמעה")</f>
        <v>עין דמעה</v>
      </c>
    </row>
    <row r="31294" spans="1:6" x14ac:dyDescent="0.2">
      <c r="A31294" t="s">
        <v>49028</v>
      </c>
      <c r="B31294" t="s">
        <v>305</v>
      </c>
      <c r="C31294" t="s">
        <v>49029</v>
      </c>
      <c r="D31294" t="s">
        <v>60</v>
      </c>
      <c r="E31294" t="s">
        <v>234</v>
      </c>
      <c r="F31294" s="2" t="str">
        <f>HYPERLINK("http://www.otzar.org/book.asp?102907","עין דמעה - 8 כר'")</f>
        <v>עין דמעה - 8 כר'</v>
      </c>
    </row>
    <row r="31295" spans="1:6" x14ac:dyDescent="0.2">
      <c r="A31295" t="s">
        <v>49030</v>
      </c>
      <c r="B31295" t="s">
        <v>46898</v>
      </c>
      <c r="C31295" t="s">
        <v>51</v>
      </c>
      <c r="D31295" t="s">
        <v>52</v>
      </c>
      <c r="E31295" t="s">
        <v>144</v>
      </c>
      <c r="F31295" s="2" t="str">
        <f>HYPERLINK("http://www.otzar.org/book.asp?160338","עין הבאר - שיח אפרים")</f>
        <v>עין הבאר - שיח אפרים</v>
      </c>
    </row>
    <row r="31296" spans="1:6" x14ac:dyDescent="0.2">
      <c r="A31296" t="s">
        <v>49031</v>
      </c>
      <c r="B31296" t="s">
        <v>206</v>
      </c>
      <c r="C31296" t="s">
        <v>151</v>
      </c>
      <c r="D31296" t="s">
        <v>21</v>
      </c>
      <c r="F31296" s="2" t="str">
        <f>HYPERLINK("http://www.otzar.org/book.asp?616246","עין הבדולח")</f>
        <v>עין הבדולח</v>
      </c>
    </row>
    <row r="31297" spans="1:6" x14ac:dyDescent="0.2">
      <c r="A31297" t="s">
        <v>49032</v>
      </c>
      <c r="B31297" t="s">
        <v>49033</v>
      </c>
      <c r="C31297" t="s">
        <v>244</v>
      </c>
      <c r="D31297" t="s">
        <v>32621</v>
      </c>
      <c r="E31297" t="s">
        <v>144</v>
      </c>
      <c r="F31297" s="2" t="str">
        <f>HYPERLINK("http://www.otzar.org/book.asp?624603","עין הבדולח - שבת")</f>
        <v>עין הבדולח - שבת</v>
      </c>
    </row>
    <row r="31298" spans="1:6" x14ac:dyDescent="0.2">
      <c r="A31298" t="s">
        <v>49031</v>
      </c>
      <c r="B31298" t="s">
        <v>39816</v>
      </c>
      <c r="C31298" t="s">
        <v>362</v>
      </c>
      <c r="D31298" t="s">
        <v>225</v>
      </c>
      <c r="E31298" t="s">
        <v>920</v>
      </c>
      <c r="F31298" s="2" t="str">
        <f>HYPERLINK("http://www.otzar.org/book.asp?101521","עין הבדולח")</f>
        <v>עין הבדולח</v>
      </c>
    </row>
    <row r="31299" spans="1:6" x14ac:dyDescent="0.2">
      <c r="A31299" t="s">
        <v>49031</v>
      </c>
      <c r="B31299" t="s">
        <v>11810</v>
      </c>
      <c r="C31299" t="s">
        <v>151</v>
      </c>
      <c r="D31299" t="s">
        <v>14</v>
      </c>
      <c r="E31299" t="s">
        <v>13156</v>
      </c>
      <c r="F31299" s="2" t="str">
        <f>HYPERLINK("http://www.otzar.org/book.asp?627821","עין הבדולח")</f>
        <v>עין הבדולח</v>
      </c>
    </row>
    <row r="31300" spans="1:6" x14ac:dyDescent="0.2">
      <c r="A31300" t="s">
        <v>49034</v>
      </c>
      <c r="B31300" t="s">
        <v>49035</v>
      </c>
      <c r="C31300" t="s">
        <v>812</v>
      </c>
      <c r="D31300" t="s">
        <v>9</v>
      </c>
      <c r="E31300" t="s">
        <v>791</v>
      </c>
      <c r="F31300" s="2" t="str">
        <f>HYPERLINK("http://www.otzar.org/book.asp?9721","עין הבדלח - 3 כר'")</f>
        <v>עין הבדלח - 3 כר'</v>
      </c>
    </row>
    <row r="31301" spans="1:6" x14ac:dyDescent="0.2">
      <c r="A31301" t="s">
        <v>49036</v>
      </c>
      <c r="B31301" t="s">
        <v>49037</v>
      </c>
      <c r="C31301" t="s">
        <v>68</v>
      </c>
      <c r="D31301" t="s">
        <v>14</v>
      </c>
      <c r="F31301" s="2" t="str">
        <f>HYPERLINK("http://www.otzar.org/book.asp?157123","עין המים - 3 כר'")</f>
        <v>עין המים - 3 כר'</v>
      </c>
    </row>
    <row r="31302" spans="1:6" x14ac:dyDescent="0.2">
      <c r="A31302" t="s">
        <v>49038</v>
      </c>
      <c r="B31302" t="s">
        <v>49039</v>
      </c>
      <c r="C31302" t="s">
        <v>49040</v>
      </c>
      <c r="D31302" t="s">
        <v>10557</v>
      </c>
      <c r="F31302" s="2" t="str">
        <f>HYPERLINK("http://www.otzar.org/book.asp?620909","עין המים")</f>
        <v>עין המים</v>
      </c>
    </row>
    <row r="31303" spans="1:6" x14ac:dyDescent="0.2">
      <c r="A31303" t="s">
        <v>49038</v>
      </c>
      <c r="B31303" t="s">
        <v>49041</v>
      </c>
      <c r="C31303" t="s">
        <v>13</v>
      </c>
      <c r="D31303" t="s">
        <v>14</v>
      </c>
      <c r="E31303" t="s">
        <v>144</v>
      </c>
      <c r="F31303" s="2" t="str">
        <f>HYPERLINK("http://www.otzar.org/book.asp?157739","עין המים")</f>
        <v>עין המים</v>
      </c>
    </row>
    <row r="31304" spans="1:6" x14ac:dyDescent="0.2">
      <c r="A31304" t="s">
        <v>49042</v>
      </c>
      <c r="B31304" t="s">
        <v>4019</v>
      </c>
      <c r="C31304" t="s">
        <v>454</v>
      </c>
      <c r="D31304" t="s">
        <v>14</v>
      </c>
      <c r="E31304" t="s">
        <v>84</v>
      </c>
      <c r="F31304" s="2" t="str">
        <f>HYPERLINK("http://www.otzar.org/book.asp?168397","עין המים - מקוואות")</f>
        <v>עין המים - מקוואות</v>
      </c>
    </row>
    <row r="31305" spans="1:6" x14ac:dyDescent="0.2">
      <c r="A31305" t="s">
        <v>49038</v>
      </c>
      <c r="B31305" t="s">
        <v>2226</v>
      </c>
      <c r="C31305" t="s">
        <v>1278</v>
      </c>
      <c r="D31305" t="s">
        <v>76</v>
      </c>
      <c r="E31305" t="s">
        <v>4561</v>
      </c>
      <c r="F31305" s="2" t="str">
        <f>HYPERLINK("http://www.otzar.org/book.asp?20487","עין המים")</f>
        <v>עין המים</v>
      </c>
    </row>
    <row r="31306" spans="1:6" x14ac:dyDescent="0.2">
      <c r="A31306" t="s">
        <v>49043</v>
      </c>
      <c r="B31306" t="s">
        <v>281</v>
      </c>
      <c r="C31306" t="s">
        <v>266</v>
      </c>
      <c r="D31306" t="s">
        <v>726</v>
      </c>
      <c r="E31306" t="s">
        <v>234</v>
      </c>
      <c r="F31306" s="2" t="str">
        <f>HYPERLINK("http://www.otzar.org/book.asp?103605","עין המים - הספד על מוהר""ר דובערוש מייזליש זצ""ל")</f>
        <v>עין המים - הספד על מוהר"ר דובערוש מייזליש זצ"ל</v>
      </c>
    </row>
    <row r="31307" spans="1:6" x14ac:dyDescent="0.2">
      <c r="A31307" t="s">
        <v>49044</v>
      </c>
      <c r="B31307" t="s">
        <v>49045</v>
      </c>
      <c r="C31307" t="s">
        <v>248</v>
      </c>
      <c r="D31307" t="s">
        <v>1008</v>
      </c>
      <c r="E31307" t="s">
        <v>234</v>
      </c>
      <c r="F31307" s="2" t="str">
        <f>HYPERLINK("http://www.otzar.org/book.asp?25228","עין המים - הספד על מוהר""ר עקיבא איגר זצ""ל")</f>
        <v>עין המים - הספד על מוהר"ר עקיבא איגר זצ"ל</v>
      </c>
    </row>
    <row r="31308" spans="1:6" x14ac:dyDescent="0.2">
      <c r="A31308" t="s">
        <v>49046</v>
      </c>
      <c r="B31308" t="s">
        <v>2483</v>
      </c>
      <c r="C31308" t="s">
        <v>313</v>
      </c>
      <c r="D31308" t="s">
        <v>52</v>
      </c>
      <c r="E31308" t="s">
        <v>786</v>
      </c>
      <c r="F31308" s="2" t="str">
        <f>HYPERLINK("http://www.otzar.org/book.asp?142054","עין המים, פנת יקרת")</f>
        <v>עין המים, פנת יקרת</v>
      </c>
    </row>
    <row r="31309" spans="1:6" x14ac:dyDescent="0.2">
      <c r="A31309" t="s">
        <v>49047</v>
      </c>
      <c r="B31309" t="s">
        <v>14677</v>
      </c>
      <c r="C31309" t="s">
        <v>114</v>
      </c>
      <c r="D31309" t="s">
        <v>14</v>
      </c>
      <c r="E31309" t="s">
        <v>325</v>
      </c>
      <c r="F31309" s="2" t="str">
        <f>HYPERLINK("http://www.otzar.org/book.asp?162066","עין המשפט - 4 כר'")</f>
        <v>עין המשפט - 4 כר'</v>
      </c>
    </row>
    <row r="31310" spans="1:6" x14ac:dyDescent="0.2">
      <c r="A31310" t="s">
        <v>49048</v>
      </c>
      <c r="B31310" t="s">
        <v>39944</v>
      </c>
      <c r="C31310" t="s">
        <v>11127</v>
      </c>
      <c r="D31310" t="s">
        <v>280</v>
      </c>
      <c r="E31310" t="s">
        <v>104</v>
      </c>
      <c r="F31310" s="2" t="str">
        <f>HYPERLINK("http://www.otzar.org/book.asp?150069","עין הקורא")</f>
        <v>עין הקורא</v>
      </c>
    </row>
    <row r="31311" spans="1:6" x14ac:dyDescent="0.2">
      <c r="A31311" t="s">
        <v>49049</v>
      </c>
      <c r="B31311" t="s">
        <v>49050</v>
      </c>
      <c r="C31311" t="s">
        <v>533</v>
      </c>
      <c r="D31311" t="s">
        <v>52</v>
      </c>
      <c r="E31311" t="s">
        <v>579</v>
      </c>
      <c r="F31311" s="2" t="str">
        <f>HYPERLINK("http://www.otzar.org/book.asp?154529","עין הקורא - 2 כר'")</f>
        <v>עין הקורא - 2 כר'</v>
      </c>
    </row>
    <row r="31312" spans="1:6" x14ac:dyDescent="0.2">
      <c r="A31312" t="s">
        <v>49051</v>
      </c>
      <c r="B31312" t="s">
        <v>13596</v>
      </c>
      <c r="C31312" t="s">
        <v>3840</v>
      </c>
      <c r="D31312" t="s">
        <v>14</v>
      </c>
      <c r="E31312" t="s">
        <v>144</v>
      </c>
      <c r="F31312" s="2" t="str">
        <f>HYPERLINK("http://www.otzar.org/book.asp?610961","עין הרועים - 2 כר'")</f>
        <v>עין הרועים - 2 כר'</v>
      </c>
    </row>
    <row r="31313" spans="1:6" x14ac:dyDescent="0.2">
      <c r="A31313" t="s">
        <v>49052</v>
      </c>
      <c r="B31313" t="s">
        <v>15789</v>
      </c>
      <c r="C31313" t="s">
        <v>5903</v>
      </c>
      <c r="D31313" t="s">
        <v>283</v>
      </c>
      <c r="E31313" t="s">
        <v>733</v>
      </c>
      <c r="F31313" s="2" t="str">
        <f>HYPERLINK("http://www.otzar.org/book.asp?12214","עין התכלת - 2 כר'")</f>
        <v>עין התכלת - 2 כר'</v>
      </c>
    </row>
    <row r="31314" spans="1:6" x14ac:dyDescent="0.2">
      <c r="A31314" t="s">
        <v>49053</v>
      </c>
      <c r="B31314" t="s">
        <v>8416</v>
      </c>
      <c r="C31314" t="s">
        <v>427</v>
      </c>
      <c r="D31314" t="s">
        <v>412</v>
      </c>
      <c r="E31314" t="s">
        <v>803</v>
      </c>
      <c r="F31314" s="2" t="str">
        <f>HYPERLINK("http://www.otzar.org/book.asp?60795","עין חיים - 2 כר'")</f>
        <v>עין חיים - 2 כר'</v>
      </c>
    </row>
    <row r="31315" spans="1:6" x14ac:dyDescent="0.2">
      <c r="A31315" t="s">
        <v>49054</v>
      </c>
      <c r="B31315" t="s">
        <v>49055</v>
      </c>
      <c r="C31315" t="s">
        <v>49056</v>
      </c>
      <c r="D31315" t="s">
        <v>225</v>
      </c>
      <c r="E31315" t="s">
        <v>8035</v>
      </c>
      <c r="F31315" s="2" t="str">
        <f>HYPERLINK("http://www.otzar.org/book.asp?104029","עין טוביה")</f>
        <v>עין טוביה</v>
      </c>
    </row>
    <row r="31316" spans="1:6" x14ac:dyDescent="0.2">
      <c r="A31316" t="s">
        <v>49057</v>
      </c>
      <c r="B31316" t="s">
        <v>22172</v>
      </c>
      <c r="C31316" t="s">
        <v>366</v>
      </c>
      <c r="D31316" t="s">
        <v>14</v>
      </c>
      <c r="E31316" t="s">
        <v>15</v>
      </c>
      <c r="F31316" s="2" t="str">
        <f>HYPERLINK("http://www.otzar.org/book.asp?606455","עין ידיד - שבת")</f>
        <v>עין ידיד - שבת</v>
      </c>
    </row>
    <row r="31317" spans="1:6" x14ac:dyDescent="0.2">
      <c r="A31317" t="s">
        <v>49058</v>
      </c>
      <c r="B31317" t="s">
        <v>48853</v>
      </c>
      <c r="C31317" t="s">
        <v>37</v>
      </c>
      <c r="D31317" t="s">
        <v>14</v>
      </c>
      <c r="E31317" t="s">
        <v>148</v>
      </c>
      <c r="F31317" s="2" t="str">
        <f>HYPERLINK("http://www.otzar.org/book.asp?182294","עין ידיד - נדה, יחוד")</f>
        <v>עין ידיד - נדה, יחוד</v>
      </c>
    </row>
    <row r="31318" spans="1:6" x14ac:dyDescent="0.2">
      <c r="A31318" t="s">
        <v>49059</v>
      </c>
      <c r="B31318" t="s">
        <v>49060</v>
      </c>
      <c r="C31318" t="s">
        <v>79</v>
      </c>
      <c r="D31318" t="s">
        <v>27</v>
      </c>
      <c r="E31318" t="s">
        <v>791</v>
      </c>
      <c r="F31318" s="2" t="str">
        <f>HYPERLINK("http://www.otzar.org/book.asp?10874","עין יהודה")</f>
        <v>עין יהודה</v>
      </c>
    </row>
    <row r="31319" spans="1:6" x14ac:dyDescent="0.2">
      <c r="A31319" t="s">
        <v>49061</v>
      </c>
      <c r="B31319" t="s">
        <v>49062</v>
      </c>
      <c r="C31319" t="s">
        <v>7193</v>
      </c>
      <c r="D31319" t="s">
        <v>157</v>
      </c>
      <c r="E31319" t="s">
        <v>158</v>
      </c>
      <c r="F31319" s="2" t="str">
        <f>HYPERLINK("http://www.otzar.org/book.asp?151615","עין יהוסף - 3 כר'")</f>
        <v>עין יהוסף - 3 כר'</v>
      </c>
    </row>
    <row r="31320" spans="1:6" x14ac:dyDescent="0.2">
      <c r="A31320" t="s">
        <v>49063</v>
      </c>
      <c r="B31320" t="s">
        <v>49064</v>
      </c>
      <c r="C31320" t="s">
        <v>1570</v>
      </c>
      <c r="D31320" t="s">
        <v>14</v>
      </c>
      <c r="F31320" s="2" t="str">
        <f>HYPERLINK("http://www.otzar.org/book.asp?169672","עין יוסף")</f>
        <v>עין יוסף</v>
      </c>
    </row>
    <row r="31321" spans="1:6" x14ac:dyDescent="0.2">
      <c r="A31321" t="s">
        <v>49065</v>
      </c>
      <c r="B31321" t="s">
        <v>16598</v>
      </c>
      <c r="C31321" t="s">
        <v>1515</v>
      </c>
      <c r="D31321" t="s">
        <v>76</v>
      </c>
      <c r="E31321" t="s">
        <v>14342</v>
      </c>
      <c r="F31321" s="2" t="str">
        <f>HYPERLINK("http://www.otzar.org/book.asp?141042","עין ימין")</f>
        <v>עין ימין</v>
      </c>
    </row>
    <row r="31322" spans="1:6" x14ac:dyDescent="0.2">
      <c r="A31322" t="s">
        <v>49066</v>
      </c>
      <c r="B31322" t="s">
        <v>1137</v>
      </c>
      <c r="C31322" t="s">
        <v>49067</v>
      </c>
      <c r="D31322" t="s">
        <v>76</v>
      </c>
      <c r="E31322" t="s">
        <v>144</v>
      </c>
      <c r="F31322" s="2" t="str">
        <f>HYPERLINK("http://www.otzar.org/book.asp?53530","עין יעקב &lt;דפו""ר&gt; - 2 כר'")</f>
        <v>עין יעקב &lt;דפו"ר&gt; - 2 כר'</v>
      </c>
    </row>
    <row r="31323" spans="1:6" x14ac:dyDescent="0.2">
      <c r="A31323" t="s">
        <v>49068</v>
      </c>
      <c r="B31323" t="s">
        <v>1137</v>
      </c>
      <c r="C31323" t="s">
        <v>13</v>
      </c>
      <c r="D31323" t="s">
        <v>14</v>
      </c>
      <c r="E31323" t="s">
        <v>19164</v>
      </c>
      <c r="F31323" s="2" t="str">
        <f>HYPERLINK("http://www.otzar.org/book.asp?173952","עין יעקב &lt;מהדורה חדשה&gt; - 7 כר'")</f>
        <v>עין יעקב &lt;מהדורה חדשה&gt; - 7 כר'</v>
      </c>
    </row>
    <row r="31324" spans="1:6" x14ac:dyDescent="0.2">
      <c r="A31324" t="s">
        <v>49069</v>
      </c>
      <c r="B31324" t="s">
        <v>1137</v>
      </c>
      <c r="C31324" t="s">
        <v>1058</v>
      </c>
      <c r="D31324" t="s">
        <v>56</v>
      </c>
      <c r="E31324" t="s">
        <v>144</v>
      </c>
      <c r="F31324" s="2" t="str">
        <f>HYPERLINK("http://www.otzar.org/book.asp?28309","עין יעקב &lt;עין אליהו&gt; - 5 כר'")</f>
        <v>עין יעקב &lt;עין אליהו&gt; - 5 כר'</v>
      </c>
    </row>
    <row r="31325" spans="1:6" x14ac:dyDescent="0.2">
      <c r="A31325" t="s">
        <v>49070</v>
      </c>
      <c r="B31325" t="s">
        <v>49071</v>
      </c>
      <c r="C31325" t="s">
        <v>176</v>
      </c>
      <c r="D31325" t="s">
        <v>14</v>
      </c>
      <c r="E31325" t="s">
        <v>144</v>
      </c>
      <c r="F31325" s="2" t="str">
        <f>HYPERLINK("http://www.otzar.org/book.asp?168075","עין יעקב המבואר - 7 כר'")</f>
        <v>עין יעקב המבואר - 7 כר'</v>
      </c>
    </row>
    <row r="31326" spans="1:6" x14ac:dyDescent="0.2">
      <c r="A31326" t="s">
        <v>49072</v>
      </c>
      <c r="B31326" t="s">
        <v>9120</v>
      </c>
      <c r="C31326" t="s">
        <v>13</v>
      </c>
      <c r="D31326" t="s">
        <v>21</v>
      </c>
      <c r="E31326" t="s">
        <v>144</v>
      </c>
      <c r="F31326" s="2" t="str">
        <f>HYPERLINK("http://www.otzar.org/book.asp?601644","עין יעקב המפואר &lt;ביאורי האגדות&gt; - 4 כר'")</f>
        <v>עין יעקב המפואר &lt;ביאורי האגדות&gt; - 4 כר'</v>
      </c>
    </row>
    <row r="31327" spans="1:6" x14ac:dyDescent="0.2">
      <c r="A31327" t="s">
        <v>49073</v>
      </c>
      <c r="B31327" t="s">
        <v>49074</v>
      </c>
      <c r="C31327" t="s">
        <v>943</v>
      </c>
      <c r="D31327" t="s">
        <v>9091</v>
      </c>
      <c r="E31327" t="s">
        <v>144</v>
      </c>
      <c r="F31327" s="2" t="str">
        <f>HYPERLINK("http://www.otzar.org/book.asp?146744","עין יעקב עם ביאור עין אברהם - 4 כר'")</f>
        <v>עין יעקב עם ביאור עין אברהם - 4 כר'</v>
      </c>
    </row>
    <row r="31328" spans="1:6" x14ac:dyDescent="0.2">
      <c r="A31328" t="s">
        <v>49075</v>
      </c>
      <c r="B31328" t="s">
        <v>49076</v>
      </c>
      <c r="E31328" t="s">
        <v>144</v>
      </c>
      <c r="F31328" s="2" t="str">
        <f>HYPERLINK("http://www.otzar.org/book.asp?628028","עין יעקב עם עברי דייטש - 4 כר'")</f>
        <v>עין יעקב עם עברי דייטש - 4 כר'</v>
      </c>
    </row>
    <row r="31329" spans="1:6" x14ac:dyDescent="0.2">
      <c r="A31329" t="s">
        <v>49077</v>
      </c>
      <c r="B31329" t="s">
        <v>1137</v>
      </c>
      <c r="C31329" t="s">
        <v>1202</v>
      </c>
      <c r="D31329" t="s">
        <v>56</v>
      </c>
      <c r="E31329" t="s">
        <v>2533</v>
      </c>
      <c r="F31329" s="2" t="str">
        <f>HYPERLINK("http://www.otzar.org/book.asp?21675","עין יעקב - 9 כר'")</f>
        <v>עין יעקב - 9 כר'</v>
      </c>
    </row>
    <row r="31330" spans="1:6" x14ac:dyDescent="0.2">
      <c r="A31330" t="s">
        <v>49078</v>
      </c>
      <c r="B31330" t="s">
        <v>30228</v>
      </c>
      <c r="C31330" t="s">
        <v>3246</v>
      </c>
      <c r="D31330" t="s">
        <v>1419</v>
      </c>
      <c r="E31330" t="s">
        <v>154</v>
      </c>
      <c r="F31330" s="2" t="str">
        <f>HYPERLINK("http://www.otzar.org/book.asp?20489","עין יעקב")</f>
        <v>עין יעקב</v>
      </c>
    </row>
    <row r="31331" spans="1:6" x14ac:dyDescent="0.2">
      <c r="A31331" t="s">
        <v>49079</v>
      </c>
      <c r="B31331" t="s">
        <v>1600</v>
      </c>
      <c r="C31331" t="s">
        <v>37</v>
      </c>
      <c r="D31331" t="s">
        <v>14</v>
      </c>
      <c r="E31331" t="s">
        <v>104</v>
      </c>
      <c r="F31331" s="2" t="str">
        <f>HYPERLINK("http://www.otzar.org/book.asp?193864","עין יצחק - 4 כר'")</f>
        <v>עין יצחק - 4 כר'</v>
      </c>
    </row>
    <row r="31332" spans="1:6" x14ac:dyDescent="0.2">
      <c r="A31332" t="s">
        <v>49080</v>
      </c>
      <c r="B31332" t="s">
        <v>1381</v>
      </c>
      <c r="C31332" t="s">
        <v>1047</v>
      </c>
      <c r="D31332" t="s">
        <v>56</v>
      </c>
      <c r="E31332" t="s">
        <v>154</v>
      </c>
      <c r="F31332" s="2" t="str">
        <f>HYPERLINK("http://www.otzar.org/book.asp?9734","עין יצחק - 2 כר'")</f>
        <v>עין יצחק - 2 כר'</v>
      </c>
    </row>
    <row r="31333" spans="1:6" x14ac:dyDescent="0.2">
      <c r="A31333" t="s">
        <v>49081</v>
      </c>
      <c r="B31333" t="s">
        <v>1137</v>
      </c>
      <c r="C31333" t="s">
        <v>55</v>
      </c>
      <c r="D31333" t="s">
        <v>1660</v>
      </c>
      <c r="E31333" t="s">
        <v>49082</v>
      </c>
      <c r="F31333" s="2" t="str">
        <f>HYPERLINK("http://www.otzar.org/book.asp?149225","עין ישראל &lt;עין יעקב ע""פ בית יהודה&gt; - 2 כר'")</f>
        <v>עין ישראל &lt;עין יעקב ע"פ בית יהודה&gt; - 2 כר'</v>
      </c>
    </row>
    <row r="31334" spans="1:6" x14ac:dyDescent="0.2">
      <c r="A31334" t="s">
        <v>49083</v>
      </c>
      <c r="B31334" t="s">
        <v>1137</v>
      </c>
      <c r="C31334" t="s">
        <v>5619</v>
      </c>
      <c r="D31334" t="s">
        <v>280</v>
      </c>
      <c r="E31334" t="s">
        <v>144</v>
      </c>
      <c r="F31334" s="2" t="str">
        <f>HYPERLINK("http://www.otzar.org/book.asp?16572","עין ישראל - 2 כר'")</f>
        <v>עין ישראל - 2 כר'</v>
      </c>
    </row>
    <row r="31335" spans="1:6" x14ac:dyDescent="0.2">
      <c r="A31335" t="s">
        <v>49083</v>
      </c>
      <c r="B31335" t="s">
        <v>4923</v>
      </c>
      <c r="C31335" t="s">
        <v>51</v>
      </c>
      <c r="D31335" t="s">
        <v>14</v>
      </c>
      <c r="E31335" t="s">
        <v>144</v>
      </c>
      <c r="F31335" s="2" t="str">
        <f>HYPERLINK("http://www.otzar.org/book.asp?159524","עין ישראל - 2 כר'")</f>
        <v>עין ישראל - 2 כר'</v>
      </c>
    </row>
    <row r="31336" spans="1:6" x14ac:dyDescent="0.2">
      <c r="A31336" t="s">
        <v>49084</v>
      </c>
      <c r="B31336" t="s">
        <v>49085</v>
      </c>
      <c r="C31336" t="s">
        <v>37</v>
      </c>
      <c r="D31336" t="s">
        <v>21</v>
      </c>
      <c r="E31336" t="s">
        <v>158</v>
      </c>
      <c r="F31336" s="2" t="str">
        <f>HYPERLINK("http://www.otzar.org/book.asp?601121","עין לאב")</f>
        <v>עין לאב</v>
      </c>
    </row>
    <row r="31337" spans="1:6" x14ac:dyDescent="0.2">
      <c r="A31337" t="s">
        <v>49086</v>
      </c>
      <c r="B31337" t="s">
        <v>49087</v>
      </c>
      <c r="C31337" t="s">
        <v>351</v>
      </c>
      <c r="D31337" t="s">
        <v>1422</v>
      </c>
      <c r="E31337" t="s">
        <v>49088</v>
      </c>
      <c r="F31337" s="2" t="str">
        <f>HYPERLINK("http://www.otzar.org/book.asp?104053","עין מאיר")</f>
        <v>עין מאיר</v>
      </c>
    </row>
    <row r="31338" spans="1:6" x14ac:dyDescent="0.2">
      <c r="A31338" t="s">
        <v>49089</v>
      </c>
      <c r="B31338" t="s">
        <v>49090</v>
      </c>
      <c r="C31338" t="s">
        <v>748</v>
      </c>
      <c r="D31338" t="s">
        <v>76</v>
      </c>
      <c r="E31338" t="s">
        <v>154</v>
      </c>
      <c r="F31338" s="2" t="str">
        <f>HYPERLINK("http://www.otzar.org/book.asp?101543","עין משפט")</f>
        <v>עין משפט</v>
      </c>
    </row>
    <row r="31339" spans="1:6" x14ac:dyDescent="0.2">
      <c r="A31339" t="s">
        <v>49089</v>
      </c>
      <c r="B31339" t="s">
        <v>39944</v>
      </c>
      <c r="C31339" t="s">
        <v>11127</v>
      </c>
      <c r="D31339" t="s">
        <v>6801</v>
      </c>
      <c r="E31339" t="s">
        <v>104</v>
      </c>
      <c r="F31339" s="2" t="str">
        <f>HYPERLINK("http://www.otzar.org/book.asp?150378","עין משפט")</f>
        <v>עין משפט</v>
      </c>
    </row>
    <row r="31340" spans="1:6" x14ac:dyDescent="0.2">
      <c r="A31340" t="s">
        <v>49091</v>
      </c>
      <c r="B31340" t="s">
        <v>4560</v>
      </c>
      <c r="C31340" t="s">
        <v>49092</v>
      </c>
      <c r="D31340" t="s">
        <v>225</v>
      </c>
      <c r="E31340" t="s">
        <v>172</v>
      </c>
      <c r="F31340" s="2" t="str">
        <f>HYPERLINK("http://www.otzar.org/book.asp?20491","עין משפט - 2 כר'")</f>
        <v>עין משפט - 2 כר'</v>
      </c>
    </row>
    <row r="31341" spans="1:6" x14ac:dyDescent="0.2">
      <c r="A31341" t="s">
        <v>49089</v>
      </c>
      <c r="B31341" t="s">
        <v>20202</v>
      </c>
      <c r="C31341" t="s">
        <v>8222</v>
      </c>
      <c r="D31341" t="s">
        <v>744</v>
      </c>
      <c r="E31341" t="s">
        <v>15</v>
      </c>
      <c r="F31341" s="2" t="str">
        <f>HYPERLINK("http://www.otzar.org/book.asp?147273","עין משפט")</f>
        <v>עין משפט</v>
      </c>
    </row>
    <row r="31342" spans="1:6" x14ac:dyDescent="0.2">
      <c r="A31342" t="s">
        <v>49089</v>
      </c>
      <c r="B31342" t="s">
        <v>38059</v>
      </c>
      <c r="C31342" t="s">
        <v>4059</v>
      </c>
      <c r="D31342" t="s">
        <v>1490</v>
      </c>
      <c r="E31342" t="s">
        <v>154</v>
      </c>
      <c r="F31342" s="2" t="str">
        <f>HYPERLINK("http://www.otzar.org/book.asp?101683","עין משפט")</f>
        <v>עין משפט</v>
      </c>
    </row>
    <row r="31343" spans="1:6" x14ac:dyDescent="0.2">
      <c r="A31343" t="s">
        <v>49089</v>
      </c>
      <c r="B31343" t="s">
        <v>4073</v>
      </c>
      <c r="C31343" t="s">
        <v>2076</v>
      </c>
      <c r="D31343" t="s">
        <v>267</v>
      </c>
      <c r="E31343" t="s">
        <v>172</v>
      </c>
      <c r="F31343" s="2" t="str">
        <f>HYPERLINK("http://www.otzar.org/book.asp?141179","עין משפט")</f>
        <v>עין משפט</v>
      </c>
    </row>
    <row r="31344" spans="1:6" x14ac:dyDescent="0.2">
      <c r="A31344" t="s">
        <v>49093</v>
      </c>
      <c r="B31344" t="s">
        <v>10219</v>
      </c>
      <c r="C31344" t="s">
        <v>1659</v>
      </c>
      <c r="D31344" t="s">
        <v>283</v>
      </c>
      <c r="E31344" t="s">
        <v>399</v>
      </c>
      <c r="F31344" s="2" t="str">
        <f>HYPERLINK("http://www.otzar.org/book.asp?52426","עין פנים בתורה - 2 כר'")</f>
        <v>עין פנים בתורה - 2 כר'</v>
      </c>
    </row>
    <row r="31345" spans="1:6" x14ac:dyDescent="0.2">
      <c r="A31345" t="s">
        <v>49094</v>
      </c>
      <c r="B31345" t="s">
        <v>38140</v>
      </c>
      <c r="C31345" t="s">
        <v>12111</v>
      </c>
      <c r="D31345" t="s">
        <v>56</v>
      </c>
      <c r="E31345" t="s">
        <v>158</v>
      </c>
      <c r="F31345" s="2" t="str">
        <f>HYPERLINK("http://www.otzar.org/book.asp?14751","עין צופים")</f>
        <v>עין צופים</v>
      </c>
    </row>
    <row r="31346" spans="1:6" x14ac:dyDescent="0.2">
      <c r="A31346" t="s">
        <v>49095</v>
      </c>
      <c r="B31346" t="s">
        <v>49096</v>
      </c>
      <c r="C31346" t="s">
        <v>1921</v>
      </c>
      <c r="D31346" t="s">
        <v>212</v>
      </c>
      <c r="E31346" t="s">
        <v>158</v>
      </c>
      <c r="F31346" s="2" t="str">
        <f>HYPERLINK("http://www.otzar.org/book.asp?21458","עין ראי")</f>
        <v>עין ראי</v>
      </c>
    </row>
    <row r="31347" spans="1:6" x14ac:dyDescent="0.2">
      <c r="A31347" t="s">
        <v>49097</v>
      </c>
      <c r="B31347" t="s">
        <v>107</v>
      </c>
      <c r="C31347" t="s">
        <v>419</v>
      </c>
      <c r="D31347" t="s">
        <v>14</v>
      </c>
      <c r="E31347" t="s">
        <v>104</v>
      </c>
      <c r="F31347" s="2" t="str">
        <f>HYPERLINK("http://www.otzar.org/book.asp?176798","עין רואה")</f>
        <v>עין רואה</v>
      </c>
    </row>
    <row r="31348" spans="1:6" x14ac:dyDescent="0.2">
      <c r="A31348" t="s">
        <v>49098</v>
      </c>
      <c r="B31348" t="s">
        <v>10250</v>
      </c>
      <c r="C31348" t="s">
        <v>224</v>
      </c>
      <c r="D31348" t="s">
        <v>986</v>
      </c>
      <c r="E31348" t="s">
        <v>144</v>
      </c>
      <c r="F31348" s="2" t="str">
        <f>HYPERLINK("http://www.otzar.org/book.asp?51244","עין שמעון")</f>
        <v>עין שמעון</v>
      </c>
    </row>
    <row r="31349" spans="1:6" x14ac:dyDescent="0.2">
      <c r="A31349" t="s">
        <v>49099</v>
      </c>
      <c r="B31349" t="s">
        <v>49100</v>
      </c>
      <c r="C31349" t="s">
        <v>37664</v>
      </c>
      <c r="D31349" t="s">
        <v>995</v>
      </c>
      <c r="E31349" t="s">
        <v>933</v>
      </c>
      <c r="F31349" s="2" t="str">
        <f>HYPERLINK("http://www.otzar.org/book.asp?104054","עין תרשיש - 3 כר'")</f>
        <v>עין תרשיש - 3 כר'</v>
      </c>
    </row>
    <row r="31350" spans="1:6" x14ac:dyDescent="0.2">
      <c r="A31350" t="s">
        <v>49101</v>
      </c>
      <c r="B31350" t="s">
        <v>49102</v>
      </c>
      <c r="C31350" t="s">
        <v>1619</v>
      </c>
      <c r="D31350" t="s">
        <v>14</v>
      </c>
      <c r="F31350" s="2" t="str">
        <f>HYPERLINK("http://www.otzar.org/book.asp?604325","עינא פקיחא - הבו גודל")</f>
        <v>עינא פקיחא - הבו גודל</v>
      </c>
    </row>
    <row r="31351" spans="1:6" x14ac:dyDescent="0.2">
      <c r="A31351" t="s">
        <v>49103</v>
      </c>
      <c r="B31351" t="s">
        <v>49104</v>
      </c>
      <c r="C31351" t="s">
        <v>802</v>
      </c>
      <c r="D31351" t="s">
        <v>283</v>
      </c>
      <c r="E31351" t="s">
        <v>234</v>
      </c>
      <c r="F31351" s="2" t="str">
        <f>HYPERLINK("http://www.otzar.org/book.asp?142601","עינות מים")</f>
        <v>עינות מים</v>
      </c>
    </row>
    <row r="31352" spans="1:6" x14ac:dyDescent="0.2">
      <c r="A31352" t="s">
        <v>49103</v>
      </c>
      <c r="B31352" t="s">
        <v>38059</v>
      </c>
      <c r="C31352" t="s">
        <v>250</v>
      </c>
      <c r="D31352" t="s">
        <v>76</v>
      </c>
      <c r="E31352" t="s">
        <v>474</v>
      </c>
      <c r="F31352" s="2" t="str">
        <f>HYPERLINK("http://www.otzar.org/book.asp?101682","עינות מים")</f>
        <v>עינות מים</v>
      </c>
    </row>
    <row r="31353" spans="1:6" x14ac:dyDescent="0.2">
      <c r="A31353" t="s">
        <v>49105</v>
      </c>
      <c r="B31353" t="s">
        <v>49106</v>
      </c>
      <c r="C31353" t="s">
        <v>151</v>
      </c>
      <c r="D31353" t="s">
        <v>3744</v>
      </c>
      <c r="E31353" t="s">
        <v>202</v>
      </c>
      <c r="F31353" s="2" t="str">
        <f>HYPERLINK("http://www.otzar.org/book.asp?616841","עינות מים - חולין, ע""ז")</f>
        <v>עינות מים - חולין, ע"ז</v>
      </c>
    </row>
    <row r="31354" spans="1:6" x14ac:dyDescent="0.2">
      <c r="A31354" t="s">
        <v>49107</v>
      </c>
      <c r="B31354" t="s">
        <v>49108</v>
      </c>
      <c r="C31354" t="s">
        <v>5334</v>
      </c>
      <c r="D31354" t="s">
        <v>1023</v>
      </c>
      <c r="E31354" t="s">
        <v>15</v>
      </c>
      <c r="F31354" s="2" t="str">
        <f>HYPERLINK("http://www.otzar.org/book.asp?12866","עיני אברהם")</f>
        <v>עיני אברהם</v>
      </c>
    </row>
    <row r="31355" spans="1:6" x14ac:dyDescent="0.2">
      <c r="A31355" t="s">
        <v>49109</v>
      </c>
      <c r="B31355" t="s">
        <v>686</v>
      </c>
      <c r="C31355" t="s">
        <v>114</v>
      </c>
      <c r="D31355" t="s">
        <v>52</v>
      </c>
      <c r="E31355" t="s">
        <v>674</v>
      </c>
      <c r="F31355" s="2" t="str">
        <f>HYPERLINK("http://www.otzar.org/book.asp?165081","עיני אל ה'")</f>
        <v>עיני אל ה'</v>
      </c>
    </row>
    <row r="31356" spans="1:6" x14ac:dyDescent="0.2">
      <c r="A31356" t="s">
        <v>49110</v>
      </c>
      <c r="B31356" t="s">
        <v>49111</v>
      </c>
      <c r="C31356" t="s">
        <v>492</v>
      </c>
      <c r="D31356" t="s">
        <v>267</v>
      </c>
      <c r="E31356" t="s">
        <v>1438</v>
      </c>
      <c r="F31356" s="2" t="str">
        <f>HYPERLINK("http://www.otzar.org/book.asp?103633","עיני ארי")</f>
        <v>עיני ארי</v>
      </c>
    </row>
    <row r="31357" spans="1:6" x14ac:dyDescent="0.2">
      <c r="A31357" t="s">
        <v>49112</v>
      </c>
      <c r="B31357" t="s">
        <v>686</v>
      </c>
      <c r="C31357" t="s">
        <v>114</v>
      </c>
      <c r="D31357" t="s">
        <v>52</v>
      </c>
      <c r="E31357" t="s">
        <v>104</v>
      </c>
      <c r="F31357" s="2" t="str">
        <f>HYPERLINK("http://www.otzar.org/book.asp?182734","עיני בך")</f>
        <v>עיני בך</v>
      </c>
    </row>
    <row r="31358" spans="1:6" x14ac:dyDescent="0.2">
      <c r="A31358" t="s">
        <v>49113</v>
      </c>
      <c r="B31358" t="s">
        <v>30276</v>
      </c>
      <c r="C31358" t="s">
        <v>8</v>
      </c>
      <c r="D31358" t="s">
        <v>27</v>
      </c>
      <c r="E31358" t="s">
        <v>144</v>
      </c>
      <c r="F31358" s="2" t="str">
        <f>HYPERLINK("http://www.otzar.org/book.asp?101756","עיני בנימין")</f>
        <v>עיני בנימין</v>
      </c>
    </row>
    <row r="31359" spans="1:6" x14ac:dyDescent="0.2">
      <c r="A31359" t="s">
        <v>49114</v>
      </c>
      <c r="B31359" t="s">
        <v>49115</v>
      </c>
      <c r="C31359" t="s">
        <v>550</v>
      </c>
      <c r="D31359" t="s">
        <v>157</v>
      </c>
      <c r="E31359" t="s">
        <v>10</v>
      </c>
      <c r="F31359" s="2" t="str">
        <f>HYPERLINK("http://www.otzar.org/book.asp?20492","עיני דוד")</f>
        <v>עיני דוד</v>
      </c>
    </row>
    <row r="31360" spans="1:6" x14ac:dyDescent="0.2">
      <c r="A31360" t="s">
        <v>49114</v>
      </c>
      <c r="B31360" t="s">
        <v>17692</v>
      </c>
      <c r="C31360" t="s">
        <v>366</v>
      </c>
      <c r="D31360" t="s">
        <v>14</v>
      </c>
      <c r="E31360" t="s">
        <v>158</v>
      </c>
      <c r="F31360" s="2" t="str">
        <f>HYPERLINK("http://www.otzar.org/book.asp?618862","עיני דוד")</f>
        <v>עיני דוד</v>
      </c>
    </row>
    <row r="31361" spans="1:6" x14ac:dyDescent="0.2">
      <c r="A31361" t="s">
        <v>49114</v>
      </c>
      <c r="B31361" t="s">
        <v>49116</v>
      </c>
      <c r="C31361" t="s">
        <v>1169</v>
      </c>
      <c r="D31361" t="s">
        <v>1889</v>
      </c>
      <c r="E31361" t="s">
        <v>172</v>
      </c>
      <c r="F31361" s="2" t="str">
        <f>HYPERLINK("http://www.otzar.org/book.asp?190003","עיני דוד")</f>
        <v>עיני דוד</v>
      </c>
    </row>
    <row r="31362" spans="1:6" x14ac:dyDescent="0.2">
      <c r="A31362" t="s">
        <v>49117</v>
      </c>
      <c r="B31362" t="s">
        <v>31313</v>
      </c>
      <c r="C31362" t="s">
        <v>950</v>
      </c>
      <c r="D31362" t="s">
        <v>212</v>
      </c>
      <c r="E31362" t="s">
        <v>15</v>
      </c>
      <c r="F31362" s="2" t="str">
        <f>HYPERLINK("http://www.otzar.org/book.asp?21882","עיני הכהן")</f>
        <v>עיני הכהן</v>
      </c>
    </row>
    <row r="31363" spans="1:6" x14ac:dyDescent="0.2">
      <c r="A31363" t="s">
        <v>49118</v>
      </c>
      <c r="B31363" t="s">
        <v>1112</v>
      </c>
      <c r="C31363" t="s">
        <v>49119</v>
      </c>
      <c r="D31363" t="s">
        <v>157</v>
      </c>
      <c r="E31363" t="s">
        <v>27748</v>
      </c>
      <c r="F31363" s="2" t="str">
        <f>HYPERLINK("http://www.otzar.org/book.asp?104403","עיני העדה - 2 כר'")</f>
        <v>עיני העדה - 2 כר'</v>
      </c>
    </row>
    <row r="31364" spans="1:6" x14ac:dyDescent="0.2">
      <c r="A31364" t="s">
        <v>49120</v>
      </c>
      <c r="B31364" t="s">
        <v>49120</v>
      </c>
      <c r="C31364" t="s">
        <v>1481</v>
      </c>
      <c r="D31364" t="s">
        <v>744</v>
      </c>
      <c r="E31364" t="s">
        <v>2088</v>
      </c>
      <c r="F31364" s="2" t="str">
        <f>HYPERLINK("http://www.otzar.org/book.asp?101544","עיני העדה")</f>
        <v>עיני העדה</v>
      </c>
    </row>
    <row r="31365" spans="1:6" x14ac:dyDescent="0.2">
      <c r="A31365" t="s">
        <v>49120</v>
      </c>
      <c r="B31365" t="s">
        <v>6757</v>
      </c>
      <c r="C31365" t="s">
        <v>767</v>
      </c>
      <c r="D31365" t="s">
        <v>412</v>
      </c>
      <c r="E31365" t="s">
        <v>733</v>
      </c>
      <c r="F31365" s="2" t="str">
        <f>HYPERLINK("http://www.otzar.org/book.asp?50589","עיני העדה")</f>
        <v>עיני העדה</v>
      </c>
    </row>
    <row r="31366" spans="1:6" x14ac:dyDescent="0.2">
      <c r="A31366" t="s">
        <v>49121</v>
      </c>
      <c r="B31366" t="s">
        <v>49122</v>
      </c>
      <c r="C31366" t="s">
        <v>454</v>
      </c>
      <c r="D31366" t="s">
        <v>52</v>
      </c>
      <c r="E31366" t="s">
        <v>933</v>
      </c>
      <c r="F31366" s="2" t="str">
        <f>HYPERLINK("http://www.otzar.org/book.asp?61167","עיני חושן - 4 כר'")</f>
        <v>עיני חושן - 4 כר'</v>
      </c>
    </row>
    <row r="31367" spans="1:6" x14ac:dyDescent="0.2">
      <c r="A31367" t="s">
        <v>49123</v>
      </c>
      <c r="B31367" t="s">
        <v>49124</v>
      </c>
      <c r="C31367" t="s">
        <v>888</v>
      </c>
      <c r="D31367" t="s">
        <v>157</v>
      </c>
      <c r="E31367" t="s">
        <v>25608</v>
      </c>
      <c r="F31367" s="2" t="str">
        <f>HYPERLINK("http://www.otzar.org/book.asp?104055","עיני יצחק")</f>
        <v>עיני יצחק</v>
      </c>
    </row>
    <row r="31368" spans="1:6" x14ac:dyDescent="0.2">
      <c r="A31368" t="s">
        <v>49125</v>
      </c>
      <c r="B31368" t="s">
        <v>49126</v>
      </c>
      <c r="C31368" t="s">
        <v>68</v>
      </c>
      <c r="D31368" t="s">
        <v>216</v>
      </c>
      <c r="E31368" t="s">
        <v>158</v>
      </c>
      <c r="F31368" s="2" t="str">
        <f>HYPERLINK("http://www.otzar.org/book.asp?624636","עיני יצחק - 6 כר'")</f>
        <v>עיני יצחק - 6 כר'</v>
      </c>
    </row>
    <row r="31369" spans="1:6" x14ac:dyDescent="0.2">
      <c r="A31369" t="s">
        <v>49123</v>
      </c>
      <c r="B31369" t="s">
        <v>24171</v>
      </c>
      <c r="C31369" t="s">
        <v>49127</v>
      </c>
      <c r="D31369" t="s">
        <v>56</v>
      </c>
      <c r="E31369" t="s">
        <v>144</v>
      </c>
      <c r="F31369" s="2" t="str">
        <f>HYPERLINK("http://www.otzar.org/book.asp?101755","עיני יצחק")</f>
        <v>עיני יצחק</v>
      </c>
    </row>
    <row r="31370" spans="1:6" x14ac:dyDescent="0.2">
      <c r="A31370" t="s">
        <v>49128</v>
      </c>
      <c r="B31370" t="s">
        <v>49129</v>
      </c>
      <c r="C31370" t="s">
        <v>49130</v>
      </c>
      <c r="D31370" t="s">
        <v>535</v>
      </c>
      <c r="E31370" t="s">
        <v>2088</v>
      </c>
      <c r="F31370" s="2" t="str">
        <f>HYPERLINK("http://www.otzar.org/book.asp?104118","עיני ישראל - 2 כר'")</f>
        <v>עיני ישראל - 2 כר'</v>
      </c>
    </row>
    <row r="31371" spans="1:6" x14ac:dyDescent="0.2">
      <c r="A31371" t="s">
        <v>49131</v>
      </c>
      <c r="B31371" t="s">
        <v>11462</v>
      </c>
      <c r="C31371" t="s">
        <v>146</v>
      </c>
      <c r="D31371" t="s">
        <v>52</v>
      </c>
      <c r="E31371" t="s">
        <v>104</v>
      </c>
      <c r="F31371" s="2" t="str">
        <f>HYPERLINK("http://www.otzar.org/book.asp?85421","עיני ישראל")</f>
        <v>עיני ישראל</v>
      </c>
    </row>
    <row r="31372" spans="1:6" x14ac:dyDescent="0.2">
      <c r="A31372" t="s">
        <v>49131</v>
      </c>
      <c r="B31372" t="s">
        <v>49132</v>
      </c>
      <c r="C31372" t="s">
        <v>576</v>
      </c>
      <c r="D31372" t="s">
        <v>9</v>
      </c>
      <c r="E31372" t="s">
        <v>213</v>
      </c>
      <c r="F31372" s="2" t="str">
        <f>HYPERLINK("http://www.otzar.org/book.asp?51240","עיני ישראל")</f>
        <v>עיני ישראל</v>
      </c>
    </row>
    <row r="31373" spans="1:6" x14ac:dyDescent="0.2">
      <c r="A31373" t="s">
        <v>49133</v>
      </c>
      <c r="B31373" t="s">
        <v>155</v>
      </c>
      <c r="C31373" t="s">
        <v>1335</v>
      </c>
      <c r="D31373" t="s">
        <v>157</v>
      </c>
      <c r="E31373" t="s">
        <v>49134</v>
      </c>
      <c r="F31373" s="2" t="str">
        <f>HYPERLINK("http://www.otzar.org/book.asp?101542","עיני כל חי &lt;פעולת צדיק לחיים&gt;")</f>
        <v>עיני כל חי &lt;פעולת צדיק לחיים&gt;</v>
      </c>
    </row>
    <row r="31374" spans="1:6" x14ac:dyDescent="0.2">
      <c r="A31374" t="s">
        <v>49135</v>
      </c>
      <c r="B31374" t="s">
        <v>39633</v>
      </c>
      <c r="C31374" t="s">
        <v>1166</v>
      </c>
      <c r="D31374" t="s">
        <v>27</v>
      </c>
      <c r="E31374" t="s">
        <v>1211</v>
      </c>
      <c r="F31374" s="2" t="str">
        <f>HYPERLINK("http://www.otzar.org/book.asp?19358","עיני מנחם - א")</f>
        <v>עיני מנחם - א</v>
      </c>
    </row>
    <row r="31375" spans="1:6" x14ac:dyDescent="0.2">
      <c r="A31375" t="s">
        <v>49136</v>
      </c>
      <c r="B31375" t="s">
        <v>49137</v>
      </c>
      <c r="C31375" t="s">
        <v>244</v>
      </c>
      <c r="D31375" t="s">
        <v>49138</v>
      </c>
      <c r="E31375" t="s">
        <v>172</v>
      </c>
      <c r="F31375" s="2" t="str">
        <f>HYPERLINK("http://www.otzar.org/book.asp?197261","עיני נסים")</f>
        <v>עיני נסים</v>
      </c>
    </row>
    <row r="31376" spans="1:6" x14ac:dyDescent="0.2">
      <c r="A31376" t="s">
        <v>49139</v>
      </c>
      <c r="B31376" t="s">
        <v>8751</v>
      </c>
      <c r="C31376" t="s">
        <v>17</v>
      </c>
      <c r="D31376" t="s">
        <v>52</v>
      </c>
      <c r="E31376" t="s">
        <v>4586</v>
      </c>
      <c r="F31376" s="2" t="str">
        <f>HYPERLINK("http://www.otzar.org/book.asp?162786","עיני שמואל")</f>
        <v>עיני שמואל</v>
      </c>
    </row>
    <row r="31377" spans="1:6" x14ac:dyDescent="0.2">
      <c r="A31377" t="s">
        <v>49140</v>
      </c>
      <c r="B31377" t="s">
        <v>1728</v>
      </c>
      <c r="C31377" t="s">
        <v>114</v>
      </c>
      <c r="D31377" t="s">
        <v>273</v>
      </c>
      <c r="E31377" t="s">
        <v>357</v>
      </c>
      <c r="F31377" s="2" t="str">
        <f>HYPERLINK("http://www.otzar.org/book.asp?628564","עיניך ברכות בחשבון - א בראשית")</f>
        <v>עיניך ברכות בחשבון - א בראשית</v>
      </c>
    </row>
    <row r="31378" spans="1:6" x14ac:dyDescent="0.2">
      <c r="A31378" t="s">
        <v>49141</v>
      </c>
      <c r="B31378" t="s">
        <v>49142</v>
      </c>
      <c r="C31378" t="s">
        <v>37</v>
      </c>
      <c r="D31378" t="s">
        <v>14</v>
      </c>
      <c r="F31378" s="2" t="str">
        <f>HYPERLINK("http://www.otzar.org/book.asp?198027","עיניך פקוחות")</f>
        <v>עיניך פקוחות</v>
      </c>
    </row>
    <row r="31379" spans="1:6" x14ac:dyDescent="0.2">
      <c r="A31379" t="s">
        <v>49143</v>
      </c>
      <c r="B31379" t="s">
        <v>2398</v>
      </c>
      <c r="C31379" t="s">
        <v>422</v>
      </c>
      <c r="D31379" t="s">
        <v>14</v>
      </c>
      <c r="E31379" t="s">
        <v>104</v>
      </c>
      <c r="F31379" s="2" t="str">
        <f>HYPERLINK("http://www.otzar.org/book.asp?603074","עיניך רואות")</f>
        <v>עיניך רואות</v>
      </c>
    </row>
    <row r="31380" spans="1:6" x14ac:dyDescent="0.2">
      <c r="A31380" t="s">
        <v>49144</v>
      </c>
      <c r="B31380" t="s">
        <v>30031</v>
      </c>
      <c r="C31380" t="s">
        <v>146</v>
      </c>
      <c r="D31380" t="s">
        <v>27</v>
      </c>
      <c r="E31380" t="s">
        <v>144</v>
      </c>
      <c r="F31380" s="2" t="str">
        <f>HYPERLINK("http://www.otzar.org/book.asp?163546","עינים למשפט &lt;מהדורה חדשה&gt; - 2 כר'")</f>
        <v>עינים למשפט &lt;מהדורה חדשה&gt; - 2 כר'</v>
      </c>
    </row>
    <row r="31381" spans="1:6" x14ac:dyDescent="0.2">
      <c r="A31381" t="s">
        <v>49145</v>
      </c>
      <c r="B31381" t="s">
        <v>30031</v>
      </c>
      <c r="C31381" t="s">
        <v>143</v>
      </c>
      <c r="D31381" t="s">
        <v>14</v>
      </c>
      <c r="E31381" t="s">
        <v>24232</v>
      </c>
      <c r="F31381" s="2" t="str">
        <f>HYPERLINK("http://www.otzar.org/book.asp?9993","עינים למשפט - 12 כר'")</f>
        <v>עינים למשפט - 12 כר'</v>
      </c>
    </row>
    <row r="31382" spans="1:6" x14ac:dyDescent="0.2">
      <c r="A31382" t="s">
        <v>49146</v>
      </c>
      <c r="B31382" t="s">
        <v>1765</v>
      </c>
      <c r="C31382" t="s">
        <v>71</v>
      </c>
      <c r="D31382" t="s">
        <v>412</v>
      </c>
      <c r="E31382" t="s">
        <v>241</v>
      </c>
      <c r="F31382" s="2" t="str">
        <f>HYPERLINK("http://www.otzar.org/book.asp?181064","עינים לראות")</f>
        <v>עינים לראות</v>
      </c>
    </row>
    <row r="31383" spans="1:6" x14ac:dyDescent="0.2">
      <c r="A31383" t="s">
        <v>49147</v>
      </c>
      <c r="B31383" t="s">
        <v>18132</v>
      </c>
      <c r="C31383" t="s">
        <v>366</v>
      </c>
      <c r="D31383" t="s">
        <v>412</v>
      </c>
      <c r="F31383" s="2" t="str">
        <f>HYPERLINK("http://www.otzar.org/book.asp?609981","עינים מאירות")</f>
        <v>עינים מאירות</v>
      </c>
    </row>
    <row r="31384" spans="1:6" x14ac:dyDescent="0.2">
      <c r="A31384" t="s">
        <v>49148</v>
      </c>
      <c r="B31384" t="s">
        <v>4093</v>
      </c>
      <c r="C31384" t="s">
        <v>454</v>
      </c>
      <c r="D31384" t="s">
        <v>14</v>
      </c>
      <c r="E31384" t="s">
        <v>144</v>
      </c>
      <c r="F31384" s="2" t="str">
        <f>HYPERLINK("http://www.otzar.org/book.asp?50423","עיצומו של יום")</f>
        <v>עיצומו של יום</v>
      </c>
    </row>
    <row r="31385" spans="1:6" x14ac:dyDescent="0.2">
      <c r="A31385" t="s">
        <v>49148</v>
      </c>
      <c r="B31385" t="s">
        <v>14230</v>
      </c>
      <c r="C31385" t="s">
        <v>114</v>
      </c>
      <c r="D31385" t="s">
        <v>216</v>
      </c>
      <c r="E31385" t="s">
        <v>246</v>
      </c>
      <c r="F31385" s="2" t="str">
        <f>HYPERLINK("http://www.otzar.org/book.asp?626757","עיצומו של יום")</f>
        <v>עיצומו של יום</v>
      </c>
    </row>
    <row r="31386" spans="1:6" x14ac:dyDescent="0.2">
      <c r="A31386" t="s">
        <v>49149</v>
      </c>
      <c r="B31386" t="s">
        <v>49150</v>
      </c>
      <c r="C31386" t="s">
        <v>411</v>
      </c>
      <c r="D31386" t="s">
        <v>1511</v>
      </c>
      <c r="E31386" t="s">
        <v>186</v>
      </c>
      <c r="F31386" s="2" t="str">
        <f>HYPERLINK("http://www.otzar.org/book.asp?188774","עיקר כתובה")</f>
        <v>עיקר כתובה</v>
      </c>
    </row>
    <row r="31387" spans="1:6" x14ac:dyDescent="0.2">
      <c r="A31387" t="s">
        <v>49151</v>
      </c>
      <c r="B31387" t="s">
        <v>6977</v>
      </c>
      <c r="C31387" t="s">
        <v>106</v>
      </c>
      <c r="D31387" t="s">
        <v>27</v>
      </c>
      <c r="E31387" t="s">
        <v>714</v>
      </c>
      <c r="F31387" s="2" t="str">
        <f>HYPERLINK("http://www.otzar.org/book.asp?5852","עיקרי דינים")</f>
        <v>עיקרי דינים</v>
      </c>
    </row>
    <row r="31388" spans="1:6" x14ac:dyDescent="0.2">
      <c r="A31388" t="s">
        <v>49152</v>
      </c>
      <c r="B31388" t="s">
        <v>16408</v>
      </c>
      <c r="C31388" t="s">
        <v>133</v>
      </c>
      <c r="D31388" t="s">
        <v>52</v>
      </c>
      <c r="E31388" t="s">
        <v>140</v>
      </c>
      <c r="F31388" s="2" t="str">
        <f>HYPERLINK("http://www.otzar.org/book.asp?175601","עיקרי דרך החסידות")</f>
        <v>עיקרי דרך החסידות</v>
      </c>
    </row>
    <row r="31389" spans="1:6" x14ac:dyDescent="0.2">
      <c r="A31389" t="s">
        <v>49153</v>
      </c>
      <c r="B31389" t="s">
        <v>49154</v>
      </c>
      <c r="C31389" t="s">
        <v>151</v>
      </c>
      <c r="D31389" t="s">
        <v>21</v>
      </c>
      <c r="F31389" s="2" t="str">
        <f>HYPERLINK("http://www.otzar.org/book.asp?616847","עיקרי האשמורות ליחיד")</f>
        <v>עיקרי האשמורות ליחיד</v>
      </c>
    </row>
    <row r="31390" spans="1:6" x14ac:dyDescent="0.2">
      <c r="A31390" t="s">
        <v>49155</v>
      </c>
      <c r="B31390" t="s">
        <v>43182</v>
      </c>
      <c r="C31390" t="s">
        <v>49156</v>
      </c>
      <c r="D31390" t="s">
        <v>43184</v>
      </c>
      <c r="E31390" t="s">
        <v>172</v>
      </c>
      <c r="F31390" s="2" t="str">
        <f>HYPERLINK("http://www.otzar.org/book.asp?166885","עיקרי הד""ט - 7 כר'")</f>
        <v>עיקרי הד"ט - 7 כר'</v>
      </c>
    </row>
    <row r="31391" spans="1:6" x14ac:dyDescent="0.2">
      <c r="A31391" t="s">
        <v>49157</v>
      </c>
      <c r="B31391" t="s">
        <v>49158</v>
      </c>
      <c r="C31391" t="s">
        <v>1169</v>
      </c>
      <c r="D31391" t="s">
        <v>216</v>
      </c>
      <c r="E31391" t="s">
        <v>104</v>
      </c>
      <c r="F31391" s="2" t="str">
        <f>HYPERLINK("http://www.otzar.org/book.asp?84417","עיקרי הקיטלוג")</f>
        <v>עיקרי הקיטלוג</v>
      </c>
    </row>
    <row r="31392" spans="1:6" x14ac:dyDescent="0.2">
      <c r="A31392" t="s">
        <v>49159</v>
      </c>
      <c r="B31392" t="s">
        <v>49160</v>
      </c>
      <c r="C31392" t="s">
        <v>466</v>
      </c>
      <c r="D31392" t="s">
        <v>14</v>
      </c>
      <c r="E31392" t="s">
        <v>104</v>
      </c>
      <c r="F31392" s="2" t="str">
        <f>HYPERLINK("http://www.otzar.org/book.asp?21335","עיקרי הקרבנות - 2 כר'")</f>
        <v>עיקרי הקרבנות - 2 כר'</v>
      </c>
    </row>
    <row r="31393" spans="1:6" x14ac:dyDescent="0.2">
      <c r="A31393" t="s">
        <v>49161</v>
      </c>
      <c r="B31393" t="s">
        <v>49162</v>
      </c>
      <c r="C31393" t="s">
        <v>6041</v>
      </c>
      <c r="D31393" t="s">
        <v>2290</v>
      </c>
      <c r="E31393" t="s">
        <v>1211</v>
      </c>
      <c r="F31393" s="2" t="str">
        <f>HYPERLINK("http://www.otzar.org/book.asp?101545","עיר בנימין - 2 כר'")</f>
        <v>עיר בנימין - 2 כר'</v>
      </c>
    </row>
    <row r="31394" spans="1:6" x14ac:dyDescent="0.2">
      <c r="A31394" t="s">
        <v>49163</v>
      </c>
      <c r="B31394" t="s">
        <v>4556</v>
      </c>
      <c r="C31394" t="s">
        <v>1937</v>
      </c>
      <c r="D31394" t="s">
        <v>60</v>
      </c>
      <c r="E31394" t="s">
        <v>158</v>
      </c>
      <c r="F31394" s="2" t="str">
        <f>HYPERLINK("http://www.otzar.org/book.asp?27993","עיר גבורים - 3 כר'")</f>
        <v>עיר גבורים - 3 כר'</v>
      </c>
    </row>
    <row r="31395" spans="1:6" x14ac:dyDescent="0.2">
      <c r="A31395" t="s">
        <v>49164</v>
      </c>
      <c r="B31395" t="s">
        <v>6809</v>
      </c>
      <c r="C31395" t="s">
        <v>156</v>
      </c>
      <c r="D31395" t="s">
        <v>56</v>
      </c>
      <c r="E31395" t="s">
        <v>119</v>
      </c>
      <c r="F31395" s="2" t="str">
        <f>HYPERLINK("http://www.otzar.org/book.asp?622","עיר גבורים")</f>
        <v>עיר גבורים</v>
      </c>
    </row>
    <row r="31396" spans="1:6" x14ac:dyDescent="0.2">
      <c r="A31396" t="s">
        <v>49165</v>
      </c>
      <c r="B31396" t="s">
        <v>48687</v>
      </c>
      <c r="C31396" t="s">
        <v>854</v>
      </c>
      <c r="D31396" t="s">
        <v>1117</v>
      </c>
      <c r="E31396" t="s">
        <v>119</v>
      </c>
      <c r="F31396" s="2" t="str">
        <f>HYPERLINK("http://www.otzar.org/book.asp?2049","עיר דובנא ורבניה")</f>
        <v>עיר דובנא ורבניה</v>
      </c>
    </row>
    <row r="31397" spans="1:6" x14ac:dyDescent="0.2">
      <c r="A31397" t="s">
        <v>49166</v>
      </c>
      <c r="B31397" t="s">
        <v>8602</v>
      </c>
      <c r="C31397" t="s">
        <v>96</v>
      </c>
      <c r="D31397" t="s">
        <v>1023</v>
      </c>
      <c r="F31397" s="2" t="str">
        <f>HYPERLINK("http://www.otzar.org/book.asp?170281","עיר דוד - 2 כר'")</f>
        <v>עיר דוד - 2 כר'</v>
      </c>
    </row>
    <row r="31398" spans="1:6" x14ac:dyDescent="0.2">
      <c r="A31398" t="s">
        <v>49167</v>
      </c>
      <c r="B31398" t="s">
        <v>49168</v>
      </c>
      <c r="C31398" t="s">
        <v>49169</v>
      </c>
      <c r="D31398" t="s">
        <v>27</v>
      </c>
      <c r="E31398" t="s">
        <v>104</v>
      </c>
      <c r="F31398" s="2" t="str">
        <f>HYPERLINK("http://www.otzar.org/book.asp?108269","עיר דוד")</f>
        <v>עיר דוד</v>
      </c>
    </row>
    <row r="31399" spans="1:6" x14ac:dyDescent="0.2">
      <c r="A31399" t="s">
        <v>49170</v>
      </c>
      <c r="B31399" t="s">
        <v>49171</v>
      </c>
      <c r="C31399" t="s">
        <v>1135</v>
      </c>
      <c r="D31399" t="s">
        <v>60</v>
      </c>
      <c r="F31399" s="2" t="str">
        <f>HYPERLINK("http://www.otzar.org/book.asp?25236","עיר דמשק אליעזר")</f>
        <v>עיר דמשק אליעזר</v>
      </c>
    </row>
    <row r="31400" spans="1:6" x14ac:dyDescent="0.2">
      <c r="A31400" t="s">
        <v>49172</v>
      </c>
      <c r="B31400" t="s">
        <v>905</v>
      </c>
      <c r="C31400" t="s">
        <v>553</v>
      </c>
      <c r="D31400" t="s">
        <v>14</v>
      </c>
      <c r="E31400" t="s">
        <v>119</v>
      </c>
      <c r="F31400" s="2" t="str">
        <f>HYPERLINK("http://www.otzar.org/book.asp?63180","עיר הכהנים דבדו")</f>
        <v>עיר הכהנים דבדו</v>
      </c>
    </row>
    <row r="31401" spans="1:6" x14ac:dyDescent="0.2">
      <c r="A31401" t="s">
        <v>49173</v>
      </c>
      <c r="B31401" t="s">
        <v>7552</v>
      </c>
      <c r="C31401" t="s">
        <v>767</v>
      </c>
      <c r="D31401" t="s">
        <v>139</v>
      </c>
      <c r="E31401" t="s">
        <v>15</v>
      </c>
      <c r="F31401" s="2" t="str">
        <f>HYPERLINK("http://www.otzar.org/book.asp?148082","עיר הצבי")</f>
        <v>עיר הצבי</v>
      </c>
    </row>
    <row r="31402" spans="1:6" x14ac:dyDescent="0.2">
      <c r="A31402" t="s">
        <v>49174</v>
      </c>
      <c r="B31402" t="s">
        <v>47565</v>
      </c>
      <c r="C31402" t="s">
        <v>1844</v>
      </c>
      <c r="D31402" t="s">
        <v>744</v>
      </c>
      <c r="E31402" t="s">
        <v>104</v>
      </c>
      <c r="F31402" s="2" t="str">
        <f>HYPERLINK("http://www.otzar.org/book.asp?101679","עיר הצדק")</f>
        <v>עיר הצדק</v>
      </c>
    </row>
    <row r="31403" spans="1:6" x14ac:dyDescent="0.2">
      <c r="A31403" t="s">
        <v>49174</v>
      </c>
      <c r="B31403" t="s">
        <v>49175</v>
      </c>
      <c r="C31403" t="s">
        <v>603</v>
      </c>
      <c r="D31403" t="s">
        <v>1279</v>
      </c>
      <c r="E31403" t="s">
        <v>119</v>
      </c>
      <c r="F31403" s="2" t="str">
        <f>HYPERLINK("http://www.otzar.org/book.asp?19093","עיר הצדק")</f>
        <v>עיר הצדק</v>
      </c>
    </row>
    <row r="31404" spans="1:6" x14ac:dyDescent="0.2">
      <c r="A31404" t="s">
        <v>49176</v>
      </c>
      <c r="B31404" t="s">
        <v>5501</v>
      </c>
      <c r="C31404" t="s">
        <v>49177</v>
      </c>
      <c r="D31404" t="s">
        <v>14</v>
      </c>
      <c r="E31404" t="s">
        <v>104</v>
      </c>
      <c r="F31404" s="2" t="str">
        <f>HYPERLINK("http://www.otzar.org/book.asp?167615","עיר הקדש והמקדש - 5 כר'")</f>
        <v>עיר הקדש והמקדש - 5 כר'</v>
      </c>
    </row>
    <row r="31405" spans="1:6" x14ac:dyDescent="0.2">
      <c r="A31405" t="s">
        <v>49178</v>
      </c>
      <c r="B31405" t="s">
        <v>2663</v>
      </c>
      <c r="C31405" t="s">
        <v>585</v>
      </c>
      <c r="D31405" t="s">
        <v>412</v>
      </c>
      <c r="E31405" t="s">
        <v>202</v>
      </c>
      <c r="F31405" s="2" t="str">
        <f>HYPERLINK("http://www.otzar.org/book.asp?624658","עיר התמרים")</f>
        <v>עיר התמרים</v>
      </c>
    </row>
    <row r="31406" spans="1:6" x14ac:dyDescent="0.2">
      <c r="A31406" t="s">
        <v>49179</v>
      </c>
      <c r="B31406" t="s">
        <v>49180</v>
      </c>
      <c r="C31406" t="s">
        <v>492</v>
      </c>
      <c r="D31406" t="s">
        <v>56</v>
      </c>
      <c r="E31406" t="s">
        <v>119</v>
      </c>
      <c r="F31406" s="2" t="str">
        <f>HYPERLINK("http://www.otzar.org/book.asp?200219","עיר ווילנא")</f>
        <v>עיר ווילנא</v>
      </c>
    </row>
    <row r="31407" spans="1:6" x14ac:dyDescent="0.2">
      <c r="A31407" t="s">
        <v>49181</v>
      </c>
      <c r="B31407" t="s">
        <v>49182</v>
      </c>
      <c r="C31407" t="s">
        <v>23</v>
      </c>
      <c r="D31407" t="s">
        <v>52</v>
      </c>
      <c r="E31407" t="s">
        <v>119</v>
      </c>
      <c r="F31407" s="2" t="str">
        <f>HYPERLINK("http://www.otzar.org/book.asp?608440","עיר וקדיש משמיא נחית")</f>
        <v>עיר וקדיש משמיא נחית</v>
      </c>
    </row>
    <row r="31408" spans="1:6" x14ac:dyDescent="0.2">
      <c r="A31408" t="s">
        <v>49183</v>
      </c>
      <c r="B31408" t="s">
        <v>49184</v>
      </c>
      <c r="C31408" t="s">
        <v>332</v>
      </c>
      <c r="D31408" t="s">
        <v>14</v>
      </c>
      <c r="E31408" t="s">
        <v>49185</v>
      </c>
      <c r="F31408" s="2" t="str">
        <f>HYPERLINK("http://www.otzar.org/book.asp?11019","עיר חנוך - 2 כר'")</f>
        <v>עיר חנוך - 2 כר'</v>
      </c>
    </row>
    <row r="31409" spans="1:6" x14ac:dyDescent="0.2">
      <c r="A31409" t="s">
        <v>49186</v>
      </c>
      <c r="B31409" t="s">
        <v>49187</v>
      </c>
      <c r="C31409" t="s">
        <v>99</v>
      </c>
      <c r="D31409" t="s">
        <v>947</v>
      </c>
      <c r="E31409" t="s">
        <v>119</v>
      </c>
      <c r="F31409" s="2" t="str">
        <f>HYPERLINK("http://www.otzar.org/book.asp?100613","עיר לסק וחכמיה")</f>
        <v>עיר לסק וחכמיה</v>
      </c>
    </row>
    <row r="31410" spans="1:6" x14ac:dyDescent="0.2">
      <c r="A31410" t="s">
        <v>49188</v>
      </c>
      <c r="B31410" t="s">
        <v>49189</v>
      </c>
      <c r="C31410" t="s">
        <v>496</v>
      </c>
      <c r="D31410" t="s">
        <v>49190</v>
      </c>
      <c r="E31410" t="s">
        <v>49191</v>
      </c>
      <c r="F31410" s="2" t="str">
        <f>HYPERLINK("http://www.otzar.org/book.asp?5661","עיר מבצר - 2 כר'")</f>
        <v>עיר מבצר - 2 כר'</v>
      </c>
    </row>
    <row r="31411" spans="1:6" x14ac:dyDescent="0.2">
      <c r="A31411" t="s">
        <v>49192</v>
      </c>
      <c r="B31411" t="s">
        <v>8602</v>
      </c>
      <c r="C31411" t="s">
        <v>366</v>
      </c>
      <c r="D31411" t="s">
        <v>4549</v>
      </c>
      <c r="F31411" s="2" t="str">
        <f>HYPERLINK("http://www.otzar.org/book.asp?631714","עיר מקלט &lt;מהדורה חדשה&gt;")</f>
        <v>עיר מקלט &lt;מהדורה חדשה&gt;</v>
      </c>
    </row>
    <row r="31412" spans="1:6" x14ac:dyDescent="0.2">
      <c r="A31412" t="s">
        <v>49193</v>
      </c>
      <c r="B31412" t="s">
        <v>8602</v>
      </c>
      <c r="C31412" t="s">
        <v>594</v>
      </c>
      <c r="D31412" t="s">
        <v>929</v>
      </c>
      <c r="E31412" t="s">
        <v>2054</v>
      </c>
      <c r="F31412" s="2" t="str">
        <f>HYPERLINK("http://www.otzar.org/book.asp?101751","עיר מקלט")</f>
        <v>עיר מקלט</v>
      </c>
    </row>
    <row r="31413" spans="1:6" x14ac:dyDescent="0.2">
      <c r="A31413" t="s">
        <v>49193</v>
      </c>
      <c r="B31413" t="s">
        <v>4366</v>
      </c>
      <c r="C31413" t="s">
        <v>1036</v>
      </c>
      <c r="D31413" t="s">
        <v>45734</v>
      </c>
      <c r="E31413" t="s">
        <v>241</v>
      </c>
      <c r="F31413" s="2" t="str">
        <f>HYPERLINK("http://www.otzar.org/book.asp?103634","עיר מקלט")</f>
        <v>עיר מקלט</v>
      </c>
    </row>
    <row r="31414" spans="1:6" x14ac:dyDescent="0.2">
      <c r="A31414" t="s">
        <v>49193</v>
      </c>
      <c r="B31414" t="s">
        <v>49194</v>
      </c>
      <c r="C31414" t="s">
        <v>454</v>
      </c>
      <c r="D31414" t="s">
        <v>52</v>
      </c>
      <c r="E31414" t="s">
        <v>15</v>
      </c>
      <c r="F31414" s="2" t="str">
        <f>HYPERLINK("http://www.otzar.org/book.asp?85809","עיר מקלט")</f>
        <v>עיר מקלט</v>
      </c>
    </row>
    <row r="31415" spans="1:6" x14ac:dyDescent="0.2">
      <c r="A31415" t="s">
        <v>49195</v>
      </c>
      <c r="B31415" t="s">
        <v>49196</v>
      </c>
      <c r="C31415" t="s">
        <v>313</v>
      </c>
      <c r="D31415" t="s">
        <v>52</v>
      </c>
      <c r="E31415" t="s">
        <v>202</v>
      </c>
      <c r="F31415" s="2" t="str">
        <f>HYPERLINK("http://www.otzar.org/book.asp?623271","עיר על תילה - 2 כר'")</f>
        <v>עיר על תילה - 2 כר'</v>
      </c>
    </row>
    <row r="31416" spans="1:6" x14ac:dyDescent="0.2">
      <c r="A31416" t="s">
        <v>49197</v>
      </c>
      <c r="B31416" t="s">
        <v>49198</v>
      </c>
      <c r="C31416" t="s">
        <v>5721</v>
      </c>
      <c r="D31416" t="s">
        <v>1422</v>
      </c>
      <c r="E31416" t="s">
        <v>234</v>
      </c>
      <c r="F31416" s="2" t="str">
        <f>HYPERLINK("http://www.otzar.org/book.asp?149951","עיר שושן")</f>
        <v>עיר שושן</v>
      </c>
    </row>
    <row r="31417" spans="1:6" x14ac:dyDescent="0.2">
      <c r="A31417" t="s">
        <v>49199</v>
      </c>
      <c r="B31417" t="s">
        <v>49200</v>
      </c>
      <c r="C31417" t="s">
        <v>366</v>
      </c>
      <c r="D31417" t="s">
        <v>3750</v>
      </c>
      <c r="E31417" t="s">
        <v>1097</v>
      </c>
      <c r="F31417" s="2" t="str">
        <f>HYPERLINK("http://www.otzar.org/book.asp?621132","עיר של זהב &lt;ירושלמי-תוספתא&gt; - שביעית")</f>
        <v>עיר של זהב &lt;ירושלמי-תוספתא&gt; - שביעית</v>
      </c>
    </row>
    <row r="31418" spans="1:6" x14ac:dyDescent="0.2">
      <c r="A31418" t="s">
        <v>49201</v>
      </c>
      <c r="B31418" t="s">
        <v>49200</v>
      </c>
      <c r="C31418" t="s">
        <v>68</v>
      </c>
      <c r="D31418" t="s">
        <v>3750</v>
      </c>
      <c r="E31418" t="s">
        <v>1097</v>
      </c>
      <c r="F31418" s="2" t="str">
        <f>HYPERLINK("http://www.otzar.org/book.asp?621131","עיר של זהב &lt;ירושלמי&gt; - ברכות")</f>
        <v>עיר של זהב &lt;ירושלמי&gt; - ברכות</v>
      </c>
    </row>
    <row r="31419" spans="1:6" x14ac:dyDescent="0.2">
      <c r="A31419" t="s">
        <v>49202</v>
      </c>
      <c r="B31419" t="s">
        <v>49200</v>
      </c>
      <c r="C31419" t="s">
        <v>129</v>
      </c>
      <c r="D31419" t="s">
        <v>3750</v>
      </c>
      <c r="E31419" t="s">
        <v>43</v>
      </c>
      <c r="F31419" s="2" t="str">
        <f>HYPERLINK("http://www.otzar.org/book.asp?197335","עיר של זהב &lt;תוספתא&gt; - מקואות, ידים")</f>
        <v>עיר של זהב &lt;תוספתא&gt; - מקואות, ידים</v>
      </c>
    </row>
    <row r="31420" spans="1:6" x14ac:dyDescent="0.2">
      <c r="A31420" t="s">
        <v>49203</v>
      </c>
      <c r="B31420" t="s">
        <v>49204</v>
      </c>
      <c r="C31420" t="s">
        <v>8</v>
      </c>
      <c r="D31420" t="s">
        <v>27</v>
      </c>
      <c r="E31420" t="s">
        <v>104</v>
      </c>
      <c r="F31420" s="2" t="str">
        <f>HYPERLINK("http://www.otzar.org/book.asp?180415","עיר של זהב")</f>
        <v>עיר של זהב</v>
      </c>
    </row>
    <row r="31421" spans="1:6" x14ac:dyDescent="0.2">
      <c r="A31421" t="s">
        <v>49205</v>
      </c>
      <c r="B31421" t="s">
        <v>5707</v>
      </c>
      <c r="C31421" t="s">
        <v>1718</v>
      </c>
      <c r="D31421" t="s">
        <v>283</v>
      </c>
      <c r="E31421" t="s">
        <v>733</v>
      </c>
      <c r="F31421" s="2" t="str">
        <f>HYPERLINK("http://www.otzar.org/book.asp?100610","עיר תהלה")</f>
        <v>עיר תהלה</v>
      </c>
    </row>
    <row r="31422" spans="1:6" x14ac:dyDescent="0.2">
      <c r="A31422" t="s">
        <v>49206</v>
      </c>
      <c r="B31422" t="s">
        <v>4965</v>
      </c>
      <c r="C31422" t="s">
        <v>2543</v>
      </c>
      <c r="D31422" t="s">
        <v>9</v>
      </c>
      <c r="E31422" t="s">
        <v>3567</v>
      </c>
      <c r="F31422" s="2" t="str">
        <f>HYPERLINK("http://www.otzar.org/book.asp?108355","עירוב והוצאה")</f>
        <v>עירוב והוצאה</v>
      </c>
    </row>
    <row r="31423" spans="1:6" x14ac:dyDescent="0.2">
      <c r="A31423" t="s">
        <v>49207</v>
      </c>
      <c r="B31423" t="s">
        <v>7320</v>
      </c>
      <c r="C31423" t="s">
        <v>146</v>
      </c>
      <c r="D31423" t="s">
        <v>14</v>
      </c>
      <c r="E31423" t="s">
        <v>15</v>
      </c>
      <c r="F31423" s="2" t="str">
        <f>HYPERLINK("http://www.otzar.org/book.asp?26785","עירוב כהלכתו")</f>
        <v>עירוב כהלכתו</v>
      </c>
    </row>
    <row r="31424" spans="1:6" x14ac:dyDescent="0.2">
      <c r="A31424" t="s">
        <v>49208</v>
      </c>
      <c r="B31424" t="s">
        <v>49209</v>
      </c>
      <c r="C31424" t="s">
        <v>133</v>
      </c>
      <c r="D31424" t="s">
        <v>20</v>
      </c>
      <c r="E31424" t="s">
        <v>15</v>
      </c>
      <c r="F31424" s="2" t="str">
        <f>HYPERLINK("http://www.otzar.org/book.asp?172529","עירובי העיר והשכונות")</f>
        <v>עירובי העיר והשכונות</v>
      </c>
    </row>
    <row r="31425" spans="1:6" x14ac:dyDescent="0.2">
      <c r="A31425" t="s">
        <v>49210</v>
      </c>
      <c r="B31425" t="s">
        <v>36860</v>
      </c>
      <c r="C31425" t="s">
        <v>37</v>
      </c>
      <c r="D31425" t="s">
        <v>52</v>
      </c>
      <c r="E31425" t="s">
        <v>144</v>
      </c>
      <c r="F31425" s="2" t="str">
        <f>HYPERLINK("http://www.otzar.org/book.asp?621510","עירובי חצירות")</f>
        <v>עירובי חצירות</v>
      </c>
    </row>
    <row r="31426" spans="1:6" x14ac:dyDescent="0.2">
      <c r="A31426" t="s">
        <v>49211</v>
      </c>
      <c r="B31426" t="s">
        <v>43970</v>
      </c>
      <c r="C31426" t="s">
        <v>473</v>
      </c>
      <c r="D31426" t="s">
        <v>49212</v>
      </c>
      <c r="E31426" t="s">
        <v>1185</v>
      </c>
      <c r="F31426" s="2" t="str">
        <f>HYPERLINK("http://www.otzar.org/book.asp?8001","עירין קדישין תליתאה")</f>
        <v>עירין קדישין תליתאה</v>
      </c>
    </row>
    <row r="31427" spans="1:6" x14ac:dyDescent="0.2">
      <c r="A31427" t="s">
        <v>49213</v>
      </c>
      <c r="B31427" t="s">
        <v>43970</v>
      </c>
      <c r="C31427" t="s">
        <v>2543</v>
      </c>
      <c r="D31427" t="s">
        <v>2313</v>
      </c>
      <c r="E31427" t="s">
        <v>1185</v>
      </c>
      <c r="F31427" s="2" t="str">
        <f>HYPERLINK("http://www.otzar.org/book.asp?8005","עירין קדישין תניינא")</f>
        <v>עירין קדישין תניינא</v>
      </c>
    </row>
    <row r="31428" spans="1:6" x14ac:dyDescent="0.2">
      <c r="A31428" t="s">
        <v>49214</v>
      </c>
      <c r="B31428" t="s">
        <v>43970</v>
      </c>
      <c r="C31428" t="s">
        <v>1718</v>
      </c>
      <c r="D31428" t="s">
        <v>283</v>
      </c>
      <c r="E31428" t="s">
        <v>1185</v>
      </c>
      <c r="F31428" s="2" t="str">
        <f>HYPERLINK("http://www.otzar.org/book.asp?8000","עירין קדישין")</f>
        <v>עירין קדישין</v>
      </c>
    </row>
    <row r="31429" spans="1:6" x14ac:dyDescent="0.2">
      <c r="A31429" t="s">
        <v>49215</v>
      </c>
      <c r="B31429" t="s">
        <v>9479</v>
      </c>
      <c r="C31429" t="s">
        <v>3106</v>
      </c>
      <c r="D31429" t="s">
        <v>33940</v>
      </c>
      <c r="E31429" t="s">
        <v>104</v>
      </c>
      <c r="F31429" s="2" t="str">
        <f>HYPERLINK("http://www.otzar.org/book.asp?168910","עכו היהודית")</f>
        <v>עכו היהודית</v>
      </c>
    </row>
    <row r="31430" spans="1:6" x14ac:dyDescent="0.2">
      <c r="A31430" t="s">
        <v>36211</v>
      </c>
      <c r="B31430" t="s">
        <v>49216</v>
      </c>
      <c r="C31430" t="s">
        <v>946</v>
      </c>
      <c r="D31430" t="s">
        <v>260</v>
      </c>
      <c r="E31430" t="s">
        <v>119</v>
      </c>
      <c r="F31430" s="2" t="str">
        <f>HYPERLINK("http://www.otzar.org/book.asp?85923","עכו")</f>
        <v>עכו</v>
      </c>
    </row>
    <row r="31431" spans="1:6" x14ac:dyDescent="0.2">
      <c r="A31431" t="s">
        <v>49217</v>
      </c>
      <c r="B31431" t="s">
        <v>3013</v>
      </c>
      <c r="C31431" t="s">
        <v>1535</v>
      </c>
      <c r="D31431" t="s">
        <v>9</v>
      </c>
      <c r="E31431" t="s">
        <v>104</v>
      </c>
      <c r="F31431" s="2" t="str">
        <f>HYPERLINK("http://www.otzar.org/book.asp?177234","על ""סדר חיבור ברכות""")</f>
        <v>על "סדר חיבור ברכות"</v>
      </c>
    </row>
    <row r="31432" spans="1:6" x14ac:dyDescent="0.2">
      <c r="A31432" t="s">
        <v>49218</v>
      </c>
      <c r="B31432" t="s">
        <v>206</v>
      </c>
      <c r="C31432" t="s">
        <v>114</v>
      </c>
      <c r="D31432" t="s">
        <v>152</v>
      </c>
      <c r="E31432" t="s">
        <v>104</v>
      </c>
      <c r="F31432" s="2" t="str">
        <f>HYPERLINK("http://www.otzar.org/book.asp?173009","על איילת השחר")</f>
        <v>על איילת השחר</v>
      </c>
    </row>
    <row r="31433" spans="1:6" x14ac:dyDescent="0.2">
      <c r="A31433" t="s">
        <v>49219</v>
      </c>
      <c r="B31433" t="s">
        <v>49220</v>
      </c>
      <c r="C31433" t="s">
        <v>13</v>
      </c>
      <c r="D31433" t="s">
        <v>14</v>
      </c>
      <c r="E31433" t="s">
        <v>158</v>
      </c>
      <c r="F31433" s="2" t="str">
        <f>HYPERLINK("http://www.otzar.org/book.asp?173538","על אילת השחר")</f>
        <v>על אילת השחר</v>
      </c>
    </row>
    <row r="31434" spans="1:6" x14ac:dyDescent="0.2">
      <c r="A31434" t="s">
        <v>49221</v>
      </c>
      <c r="B31434" t="s">
        <v>24447</v>
      </c>
      <c r="C31434" t="s">
        <v>20</v>
      </c>
      <c r="D31434" t="s">
        <v>21</v>
      </c>
      <c r="F31434" s="2" t="str">
        <f>HYPERLINK("http://www.otzar.org/book.asp?192248","על במתי ארץ הצבי")</f>
        <v>על במתי ארץ הצבי</v>
      </c>
    </row>
    <row r="31435" spans="1:6" x14ac:dyDescent="0.2">
      <c r="A31435" t="s">
        <v>49222</v>
      </c>
      <c r="B31435" t="s">
        <v>3259</v>
      </c>
      <c r="C31435" t="s">
        <v>189</v>
      </c>
      <c r="D31435" t="s">
        <v>14</v>
      </c>
      <c r="E31435" t="s">
        <v>15</v>
      </c>
      <c r="F31435" s="2" t="str">
        <f>HYPERLINK("http://www.otzar.org/book.asp?149500","על בן אמצת לך")</f>
        <v>על בן אמצת לך</v>
      </c>
    </row>
    <row r="31436" spans="1:6" x14ac:dyDescent="0.2">
      <c r="A31436" t="s">
        <v>49223</v>
      </c>
      <c r="B31436" t="s">
        <v>49224</v>
      </c>
      <c r="C31436" t="s">
        <v>3106</v>
      </c>
      <c r="D31436" t="s">
        <v>27</v>
      </c>
      <c r="E31436" t="s">
        <v>219</v>
      </c>
      <c r="F31436" s="2" t="str">
        <f>HYPERLINK("http://www.otzar.org/book.asp?170908","על ברכת החמה")</f>
        <v>על ברכת החמה</v>
      </c>
    </row>
    <row r="31437" spans="1:6" x14ac:dyDescent="0.2">
      <c r="A31437" t="s">
        <v>49225</v>
      </c>
      <c r="B31437" t="s">
        <v>38025</v>
      </c>
      <c r="C31437" t="s">
        <v>775</v>
      </c>
      <c r="D31437" t="s">
        <v>14</v>
      </c>
      <c r="E31437" t="s">
        <v>144</v>
      </c>
      <c r="F31437" s="2" t="str">
        <f>HYPERLINK("http://www.otzar.org/book.asp?144018","על גדות ים התלמוד")</f>
        <v>על גדות ים התלמוד</v>
      </c>
    </row>
    <row r="31438" spans="1:6" x14ac:dyDescent="0.2">
      <c r="A31438" t="s">
        <v>49226</v>
      </c>
      <c r="B31438" t="s">
        <v>9096</v>
      </c>
      <c r="C31438" t="s">
        <v>79</v>
      </c>
      <c r="D31438" t="s">
        <v>412</v>
      </c>
      <c r="E31438" t="s">
        <v>733</v>
      </c>
      <c r="F31438" s="2" t="str">
        <f>HYPERLINK("http://www.otzar.org/book.asp?151244","על דבר הוצאה חדשה של תלמוד בבלי")</f>
        <v>על דבר הוצאה חדשה של תלמוד בבלי</v>
      </c>
    </row>
    <row r="31439" spans="1:6" x14ac:dyDescent="0.2">
      <c r="A31439" t="s">
        <v>49227</v>
      </c>
      <c r="B31439" t="s">
        <v>10789</v>
      </c>
      <c r="C31439" t="s">
        <v>366</v>
      </c>
      <c r="D31439" t="s">
        <v>10790</v>
      </c>
      <c r="E31439" t="s">
        <v>104</v>
      </c>
      <c r="F31439" s="2" t="str">
        <f>HYPERLINK("http://www.otzar.org/book.asp?605296","על האחרונים")</f>
        <v>על האחרונים</v>
      </c>
    </row>
    <row r="31440" spans="1:6" x14ac:dyDescent="0.2">
      <c r="A31440" t="s">
        <v>49228</v>
      </c>
      <c r="B31440" t="s">
        <v>13393</v>
      </c>
      <c r="C31440" t="s">
        <v>1160</v>
      </c>
      <c r="D31440" t="s">
        <v>412</v>
      </c>
      <c r="E31440" t="s">
        <v>213</v>
      </c>
      <c r="F31440" s="2" t="str">
        <f>HYPERLINK("http://www.otzar.org/book.asp?13578","על הגאולה ועל התמורה")</f>
        <v>על הגאולה ועל התמורה</v>
      </c>
    </row>
    <row r="31441" spans="1:6" x14ac:dyDescent="0.2">
      <c r="A31441" t="s">
        <v>49229</v>
      </c>
      <c r="B31441" t="s">
        <v>5755</v>
      </c>
      <c r="C31441" t="s">
        <v>146</v>
      </c>
      <c r="D31441" t="s">
        <v>14</v>
      </c>
      <c r="E31441" t="s">
        <v>158</v>
      </c>
      <c r="F31441" s="2" t="str">
        <f>HYPERLINK("http://www.otzar.org/book.asp?181701","על הגבורות")</f>
        <v>על הגבורות</v>
      </c>
    </row>
    <row r="31442" spans="1:6" x14ac:dyDescent="0.2">
      <c r="A31442" t="s">
        <v>49230</v>
      </c>
      <c r="B31442" t="s">
        <v>49231</v>
      </c>
      <c r="C31442" t="s">
        <v>124</v>
      </c>
      <c r="D31442" t="s">
        <v>52</v>
      </c>
      <c r="E31442" t="s">
        <v>104</v>
      </c>
      <c r="F31442" s="2" t="str">
        <f>HYPERLINK("http://www.otzar.org/book.asp?160044","על ההלכה ועל הכלכלה")</f>
        <v>על ההלכה ועל הכלכלה</v>
      </c>
    </row>
    <row r="31443" spans="1:6" x14ac:dyDescent="0.2">
      <c r="A31443" t="s">
        <v>49232</v>
      </c>
      <c r="B31443" t="s">
        <v>2847</v>
      </c>
      <c r="C31443" t="s">
        <v>20</v>
      </c>
      <c r="D31443" t="s">
        <v>14</v>
      </c>
      <c r="E31443" t="s">
        <v>24</v>
      </c>
      <c r="F31443" s="2" t="str">
        <f>HYPERLINK("http://www.otzar.org/book.asp?604618","על היכלי")</f>
        <v>על היכלי</v>
      </c>
    </row>
    <row r="31444" spans="1:6" x14ac:dyDescent="0.2">
      <c r="A31444" t="s">
        <v>49233</v>
      </c>
      <c r="B31444" t="s">
        <v>49234</v>
      </c>
      <c r="C31444" t="s">
        <v>609</v>
      </c>
      <c r="D31444" t="s">
        <v>27</v>
      </c>
      <c r="E31444" t="s">
        <v>1097</v>
      </c>
      <c r="F31444" s="2" t="str">
        <f>HYPERLINK("http://www.otzar.org/book.asp?142780","על הירושלמי")</f>
        <v>על הירושלמי</v>
      </c>
    </row>
    <row r="31445" spans="1:6" x14ac:dyDescent="0.2">
      <c r="A31445" t="s">
        <v>49235</v>
      </c>
      <c r="B31445" t="s">
        <v>20093</v>
      </c>
      <c r="C31445" t="s">
        <v>26</v>
      </c>
      <c r="D31445" t="s">
        <v>14</v>
      </c>
      <c r="E31445" t="s">
        <v>104</v>
      </c>
      <c r="F31445" s="2" t="str">
        <f>HYPERLINK("http://www.otzar.org/book.asp?182363","על הישיבות")</f>
        <v>על הישיבות</v>
      </c>
    </row>
    <row r="31446" spans="1:6" x14ac:dyDescent="0.2">
      <c r="A31446" t="s">
        <v>49236</v>
      </c>
      <c r="B31446" t="s">
        <v>49237</v>
      </c>
      <c r="C31446" t="s">
        <v>462</v>
      </c>
      <c r="D31446" t="s">
        <v>4269</v>
      </c>
      <c r="E31446" t="s">
        <v>15</v>
      </c>
      <c r="F31446" s="2" t="str">
        <f>HYPERLINK("http://www.otzar.org/book.asp?8609","על הכל")</f>
        <v>על הכל</v>
      </c>
    </row>
    <row r="31447" spans="1:6" x14ac:dyDescent="0.2">
      <c r="A31447" t="s">
        <v>49238</v>
      </c>
      <c r="B31447" t="s">
        <v>6014</v>
      </c>
      <c r="C31447" t="s">
        <v>87</v>
      </c>
      <c r="D31447" t="s">
        <v>216</v>
      </c>
      <c r="E31447" t="s">
        <v>234</v>
      </c>
      <c r="F31447" s="2" t="str">
        <f>HYPERLINK("http://www.otzar.org/book.asp?61696","על המועדים")</f>
        <v>על המועדים</v>
      </c>
    </row>
    <row r="31448" spans="1:6" x14ac:dyDescent="0.2">
      <c r="A31448" t="s">
        <v>49239</v>
      </c>
      <c r="B31448" t="s">
        <v>49240</v>
      </c>
      <c r="C31448" t="s">
        <v>496</v>
      </c>
      <c r="D31448" t="s">
        <v>726</v>
      </c>
      <c r="E31448" t="s">
        <v>15</v>
      </c>
      <c r="F31448" s="2" t="str">
        <f>HYPERLINK("http://www.otzar.org/book.asp?166828","על המילה")</f>
        <v>על המילה</v>
      </c>
    </row>
    <row r="31449" spans="1:6" x14ac:dyDescent="0.2">
      <c r="A31449" t="s">
        <v>49241</v>
      </c>
      <c r="B31449" t="s">
        <v>686</v>
      </c>
      <c r="C31449" t="s">
        <v>422</v>
      </c>
      <c r="D31449" t="s">
        <v>52</v>
      </c>
      <c r="E31449" t="s">
        <v>246</v>
      </c>
      <c r="F31449" s="2" t="str">
        <f>HYPERLINK("http://www.otzar.org/book.asp?149797","על הניסים")</f>
        <v>על הניסים</v>
      </c>
    </row>
    <row r="31450" spans="1:6" x14ac:dyDescent="0.2">
      <c r="A31450" t="s">
        <v>49241</v>
      </c>
      <c r="B31450" t="s">
        <v>5755</v>
      </c>
      <c r="C31450" t="s">
        <v>146</v>
      </c>
      <c r="D31450" t="s">
        <v>14</v>
      </c>
      <c r="E31450" t="s">
        <v>246</v>
      </c>
      <c r="F31450" s="2" t="str">
        <f>HYPERLINK("http://www.otzar.org/book.asp?181699","על הניסים")</f>
        <v>על הניסים</v>
      </c>
    </row>
    <row r="31451" spans="1:6" x14ac:dyDescent="0.2">
      <c r="A31451" t="s">
        <v>49242</v>
      </c>
      <c r="B31451" t="s">
        <v>49243</v>
      </c>
      <c r="C31451" t="s">
        <v>843</v>
      </c>
      <c r="D31451" t="s">
        <v>27</v>
      </c>
      <c r="E31451" t="s">
        <v>241</v>
      </c>
      <c r="F31451" s="2" t="str">
        <f>HYPERLINK("http://www.otzar.org/book.asp?175393","על הנסים")</f>
        <v>על הנסים</v>
      </c>
    </row>
    <row r="31452" spans="1:6" x14ac:dyDescent="0.2">
      <c r="A31452" t="s">
        <v>49242</v>
      </c>
      <c r="B31452" t="s">
        <v>8227</v>
      </c>
      <c r="C31452" t="s">
        <v>68</v>
      </c>
      <c r="D31452" t="s">
        <v>14</v>
      </c>
      <c r="E31452" t="s">
        <v>246</v>
      </c>
      <c r="F31452" s="2" t="str">
        <f>HYPERLINK("http://www.otzar.org/book.asp?153236","על הנסים")</f>
        <v>על הנסים</v>
      </c>
    </row>
    <row r="31453" spans="1:6" x14ac:dyDescent="0.2">
      <c r="A31453" t="s">
        <v>49244</v>
      </c>
      <c r="B31453" t="s">
        <v>49245</v>
      </c>
      <c r="C31453" t="s">
        <v>129</v>
      </c>
      <c r="D31453" t="s">
        <v>14</v>
      </c>
      <c r="E31453" t="s">
        <v>241</v>
      </c>
      <c r="F31453" s="2" t="str">
        <f>HYPERLINK("http://www.otzar.org/book.asp?62291","על העבודה")</f>
        <v>על העבודה</v>
      </c>
    </row>
    <row r="31454" spans="1:6" x14ac:dyDescent="0.2">
      <c r="A31454" t="s">
        <v>49246</v>
      </c>
      <c r="B31454" t="s">
        <v>5755</v>
      </c>
      <c r="C31454" t="s">
        <v>129</v>
      </c>
      <c r="D31454" t="s">
        <v>14</v>
      </c>
      <c r="E31454" t="s">
        <v>246</v>
      </c>
      <c r="F31454" s="2" t="str">
        <f>HYPERLINK("http://www.otzar.org/book.asp?181702","על הפורקן")</f>
        <v>על הפורקן</v>
      </c>
    </row>
    <row r="31455" spans="1:6" x14ac:dyDescent="0.2">
      <c r="A31455" t="s">
        <v>49247</v>
      </c>
      <c r="B31455" t="s">
        <v>5755</v>
      </c>
      <c r="C31455" t="s">
        <v>114</v>
      </c>
      <c r="D31455" t="s">
        <v>14</v>
      </c>
      <c r="E31455" t="s">
        <v>158</v>
      </c>
      <c r="F31455" s="2" t="str">
        <f>HYPERLINK("http://www.otzar.org/book.asp?181343","על הפרשה - 3 כר'")</f>
        <v>על הפרשה - 3 כר'</v>
      </c>
    </row>
    <row r="31456" spans="1:6" x14ac:dyDescent="0.2">
      <c r="A31456" t="s">
        <v>49248</v>
      </c>
      <c r="B31456" t="s">
        <v>49249</v>
      </c>
      <c r="D31456" t="s">
        <v>52</v>
      </c>
      <c r="F31456" s="2" t="str">
        <f>HYPERLINK("http://www.otzar.org/book.asp?612087","על הצדיקים ועל החסידים")</f>
        <v>על הצדיקים ועל החסידים</v>
      </c>
    </row>
    <row r="31457" spans="1:6" x14ac:dyDescent="0.2">
      <c r="A31457" t="s">
        <v>49250</v>
      </c>
      <c r="B31457" t="s">
        <v>5755</v>
      </c>
      <c r="C31457" t="s">
        <v>129</v>
      </c>
      <c r="D31457" t="s">
        <v>14</v>
      </c>
      <c r="E31457" t="s">
        <v>230</v>
      </c>
      <c r="F31457" s="2" t="str">
        <f>HYPERLINK("http://www.otzar.org/book.asp?181696","על הר סיני")</f>
        <v>על הר סיני</v>
      </c>
    </row>
    <row r="31458" spans="1:6" x14ac:dyDescent="0.2">
      <c r="A31458" t="s">
        <v>49251</v>
      </c>
      <c r="B31458" t="s">
        <v>49252</v>
      </c>
      <c r="C31458" t="s">
        <v>698</v>
      </c>
      <c r="D31458" t="s">
        <v>17658</v>
      </c>
      <c r="F31458" s="2" t="str">
        <f>HYPERLINK("http://www.otzar.org/book.asp?189632","על הרג אחינו בעירק")</f>
        <v>על הרג אחינו בעירק</v>
      </c>
    </row>
    <row r="31459" spans="1:6" x14ac:dyDescent="0.2">
      <c r="A31459" t="s">
        <v>49253</v>
      </c>
      <c r="B31459" t="s">
        <v>5755</v>
      </c>
      <c r="C31459" t="s">
        <v>146</v>
      </c>
      <c r="D31459" t="s">
        <v>14</v>
      </c>
      <c r="E31459" t="s">
        <v>158</v>
      </c>
      <c r="F31459" s="2" t="str">
        <f>HYPERLINK("http://www.otzar.org/book.asp?181697","על הרחמים")</f>
        <v>על הרחמים</v>
      </c>
    </row>
    <row r="31460" spans="1:6" x14ac:dyDescent="0.2">
      <c r="A31460" t="s">
        <v>49254</v>
      </c>
      <c r="B31460" t="s">
        <v>37601</v>
      </c>
      <c r="C31460" t="s">
        <v>106</v>
      </c>
      <c r="D31460" t="s">
        <v>646</v>
      </c>
      <c r="E31460" t="s">
        <v>104</v>
      </c>
      <c r="F31460" s="2" t="str">
        <f>HYPERLINK("http://www.otzar.org/book.asp?84811","על הרי בתר")</f>
        <v>על הרי בתר</v>
      </c>
    </row>
    <row r="31461" spans="1:6" x14ac:dyDescent="0.2">
      <c r="A31461" t="s">
        <v>49255</v>
      </c>
      <c r="B31461" t="s">
        <v>1614</v>
      </c>
      <c r="C31461" t="s">
        <v>20</v>
      </c>
      <c r="D31461" t="s">
        <v>90</v>
      </c>
      <c r="E31461" t="s">
        <v>104</v>
      </c>
      <c r="F31461" s="2" t="str">
        <f>HYPERLINK("http://www.otzar.org/book.asp?84790","על השבת ועל גיוס בני ישיבות ועל כו'")</f>
        <v>על השבת ועל גיוס בני ישיבות ועל כו'</v>
      </c>
    </row>
    <row r="31462" spans="1:6" x14ac:dyDescent="0.2">
      <c r="A31462" t="s">
        <v>49256</v>
      </c>
      <c r="B31462" t="s">
        <v>43363</v>
      </c>
      <c r="C31462" t="s">
        <v>23</v>
      </c>
      <c r="D31462" t="s">
        <v>3750</v>
      </c>
      <c r="F31462" s="2" t="str">
        <f>HYPERLINK("http://www.otzar.org/book.asp?622806","על התורה ועל העבודה - 2 כר'")</f>
        <v>על התורה ועל העבודה - 2 כר'</v>
      </c>
    </row>
    <row r="31463" spans="1:6" x14ac:dyDescent="0.2">
      <c r="A31463" t="s">
        <v>49257</v>
      </c>
      <c r="B31463" t="s">
        <v>49258</v>
      </c>
      <c r="C31463" t="s">
        <v>111</v>
      </c>
      <c r="D31463" t="s">
        <v>412</v>
      </c>
      <c r="F31463" s="2" t="str">
        <f>HYPERLINK("http://www.otzar.org/book.asp?622975","על התורה ועל העבודה - תשע""ט")</f>
        <v>על התורה ועל העבודה - תשע"ט</v>
      </c>
    </row>
    <row r="31464" spans="1:6" x14ac:dyDescent="0.2">
      <c r="A31464" t="s">
        <v>49256</v>
      </c>
      <c r="B31464" t="s">
        <v>49259</v>
      </c>
      <c r="C31464" t="s">
        <v>189</v>
      </c>
      <c r="D31464" t="s">
        <v>52</v>
      </c>
      <c r="E31464" t="s">
        <v>230</v>
      </c>
      <c r="F31464" s="2" t="str">
        <f>HYPERLINK("http://www.otzar.org/book.asp?161887","על התורה ועל העבודה - 2 כר'")</f>
        <v>על התורה ועל העבודה - 2 כר'</v>
      </c>
    </row>
    <row r="31465" spans="1:6" x14ac:dyDescent="0.2">
      <c r="A31465" t="s">
        <v>49260</v>
      </c>
      <c r="B31465" t="s">
        <v>28617</v>
      </c>
      <c r="C31465" t="s">
        <v>1811</v>
      </c>
      <c r="D31465" t="s">
        <v>216</v>
      </c>
      <c r="E31465" t="s">
        <v>3387</v>
      </c>
      <c r="F31465" s="2" t="str">
        <f>HYPERLINK("http://www.otzar.org/book.asp?200032","על התלמוד בתימן")</f>
        <v>על התלמוד בתימן</v>
      </c>
    </row>
    <row r="31466" spans="1:6" x14ac:dyDescent="0.2">
      <c r="A31466" t="s">
        <v>49261</v>
      </c>
      <c r="B31466" t="s">
        <v>49262</v>
      </c>
      <c r="D31466" t="s">
        <v>423</v>
      </c>
      <c r="E31466" t="s">
        <v>1211</v>
      </c>
      <c r="F31466" s="2" t="str">
        <f>HYPERLINK("http://www.otzar.org/book.asp?610679","על התלמוד - 4 כר'")</f>
        <v>על התלמוד - 4 כר'</v>
      </c>
    </row>
    <row r="31467" spans="1:6" x14ac:dyDescent="0.2">
      <c r="A31467" t="s">
        <v>49263</v>
      </c>
      <c r="B31467" t="s">
        <v>32742</v>
      </c>
      <c r="C31467" t="s">
        <v>1650</v>
      </c>
      <c r="D31467" t="s">
        <v>9</v>
      </c>
      <c r="E31467" t="s">
        <v>579</v>
      </c>
      <c r="F31467" s="2" t="str">
        <f>HYPERLINK("http://www.otzar.org/book.asp?103817","על התרגום הירושלמי לתורה")</f>
        <v>על התרגום הירושלמי לתורה</v>
      </c>
    </row>
    <row r="31468" spans="1:6" x14ac:dyDescent="0.2">
      <c r="A31468" t="s">
        <v>49264</v>
      </c>
      <c r="B31468" t="s">
        <v>5755</v>
      </c>
      <c r="C31468" t="s">
        <v>146</v>
      </c>
      <c r="D31468" t="s">
        <v>14</v>
      </c>
      <c r="E31468" t="s">
        <v>246</v>
      </c>
      <c r="F31468" s="2" t="str">
        <f>HYPERLINK("http://www.otzar.org/book.asp?181698","על התשועות")</f>
        <v>על התשועות</v>
      </c>
    </row>
    <row r="31469" spans="1:6" x14ac:dyDescent="0.2">
      <c r="A31469" t="s">
        <v>49265</v>
      </c>
      <c r="B31469" t="s">
        <v>49266</v>
      </c>
      <c r="C31469" t="s">
        <v>523</v>
      </c>
      <c r="D31469" t="s">
        <v>52</v>
      </c>
      <c r="E31469" t="s">
        <v>119</v>
      </c>
      <c r="F31469" s="2" t="str">
        <f>HYPERLINK("http://www.otzar.org/book.asp?610887","על חומותיך בני ברק - 2 כר'")</f>
        <v>על חומותיך בני ברק - 2 כר'</v>
      </c>
    </row>
    <row r="31470" spans="1:6" x14ac:dyDescent="0.2">
      <c r="A31470" t="s">
        <v>49267</v>
      </c>
      <c r="B31470" t="s">
        <v>49268</v>
      </c>
      <c r="C31470" t="s">
        <v>553</v>
      </c>
      <c r="D31470" t="s">
        <v>14</v>
      </c>
      <c r="E31470" t="s">
        <v>202</v>
      </c>
      <c r="F31470" s="2" t="str">
        <f>HYPERLINK("http://www.otzar.org/book.asp?612583","על חומותיך ירושלים הפקדתי שומרים")</f>
        <v>על חומותיך ירושלים הפקדתי שומרים</v>
      </c>
    </row>
    <row r="31471" spans="1:6" x14ac:dyDescent="0.2">
      <c r="A31471" t="s">
        <v>49269</v>
      </c>
      <c r="B31471" t="s">
        <v>31095</v>
      </c>
      <c r="C31471" t="s">
        <v>843</v>
      </c>
      <c r="D31471" t="s">
        <v>27</v>
      </c>
      <c r="E31471" t="s">
        <v>2633</v>
      </c>
      <c r="F31471" s="2" t="str">
        <f>HYPERLINK("http://www.otzar.org/book.asp?14916","על חומותיך ירושלים")</f>
        <v>על חומותיך ירושלים</v>
      </c>
    </row>
    <row r="31472" spans="1:6" x14ac:dyDescent="0.2">
      <c r="A31472" t="s">
        <v>49270</v>
      </c>
      <c r="B31472" t="s">
        <v>24655</v>
      </c>
      <c r="C31472" t="s">
        <v>985</v>
      </c>
      <c r="D31472" t="s">
        <v>260</v>
      </c>
      <c r="E31472" t="s">
        <v>81</v>
      </c>
      <c r="F31472" s="2" t="str">
        <f>HYPERLINK("http://www.otzar.org/book.asp?5034","על חומותיך ירושלם")</f>
        <v>על חומותיך ירושלם</v>
      </c>
    </row>
    <row r="31473" spans="1:6" x14ac:dyDescent="0.2">
      <c r="A31473" t="s">
        <v>49271</v>
      </c>
      <c r="B31473" t="s">
        <v>5755</v>
      </c>
      <c r="C31473" t="s">
        <v>146</v>
      </c>
      <c r="D31473" t="s">
        <v>14</v>
      </c>
      <c r="E31473" t="s">
        <v>12958</v>
      </c>
      <c r="F31473" s="2" t="str">
        <f>HYPERLINK("http://www.otzar.org/book.asp?181700","על חומותיך")</f>
        <v>על חומותיך</v>
      </c>
    </row>
    <row r="31474" spans="1:6" x14ac:dyDescent="0.2">
      <c r="A31474" t="s">
        <v>49272</v>
      </c>
      <c r="B31474" t="s">
        <v>6014</v>
      </c>
      <c r="C31474" t="s">
        <v>940</v>
      </c>
      <c r="D31474" t="s">
        <v>216</v>
      </c>
      <c r="E31474" t="s">
        <v>234</v>
      </c>
      <c r="F31474" s="2" t="str">
        <f>HYPERLINK("http://www.otzar.org/book.asp?61695","על חטא ותשובה")</f>
        <v>על חטא ותשובה</v>
      </c>
    </row>
    <row r="31475" spans="1:6" x14ac:dyDescent="0.2">
      <c r="A31475" t="s">
        <v>49273</v>
      </c>
      <c r="B31475" t="s">
        <v>5755</v>
      </c>
      <c r="C31475" t="s">
        <v>111</v>
      </c>
      <c r="D31475" t="s">
        <v>14</v>
      </c>
      <c r="F31475" s="2" t="str">
        <f>HYPERLINK("http://www.otzar.org/book.asp?622735","על ידי עבדיך הנביאים - 2 כר'")</f>
        <v>על ידי עבדיך הנביאים - 2 כר'</v>
      </c>
    </row>
    <row r="31476" spans="1:6" x14ac:dyDescent="0.2">
      <c r="A31476" t="s">
        <v>49274</v>
      </c>
      <c r="B31476" t="s">
        <v>206</v>
      </c>
      <c r="C31476" t="s">
        <v>366</v>
      </c>
      <c r="D31476" t="s">
        <v>52</v>
      </c>
      <c r="E31476" t="s">
        <v>202</v>
      </c>
      <c r="F31476" s="2" t="str">
        <f>HYPERLINK("http://www.otzar.org/book.asp?629250","על יובל ישלח שרשיו")</f>
        <v>על יובל ישלח שרשיו</v>
      </c>
    </row>
    <row r="31477" spans="1:6" x14ac:dyDescent="0.2">
      <c r="A31477" t="s">
        <v>49275</v>
      </c>
      <c r="B31477" t="s">
        <v>49276</v>
      </c>
      <c r="C31477" t="s">
        <v>366</v>
      </c>
      <c r="D31477" t="s">
        <v>1180</v>
      </c>
      <c r="E31477" t="s">
        <v>119</v>
      </c>
      <c r="F31477" s="2" t="str">
        <f>HYPERLINK("http://www.otzar.org/book.asp?619686","על ישראל הדרתו - תולדות רבי ישראל טויסיג")</f>
        <v>על ישראל הדרתו - תולדות רבי ישראל טויסיג</v>
      </c>
    </row>
    <row r="31478" spans="1:6" x14ac:dyDescent="0.2">
      <c r="A31478" t="s">
        <v>49277</v>
      </c>
      <c r="B31478" t="s">
        <v>49278</v>
      </c>
      <c r="C31478" t="s">
        <v>576</v>
      </c>
      <c r="D31478" t="s">
        <v>90</v>
      </c>
      <c r="F31478" s="2" t="str">
        <f>HYPERLINK("http://www.otzar.org/book.asp?170329","על ישראל עליתו")</f>
        <v>על ישראל עליתו</v>
      </c>
    </row>
    <row r="31479" spans="1:6" x14ac:dyDescent="0.2">
      <c r="A31479" t="s">
        <v>49279</v>
      </c>
      <c r="B31479" t="s">
        <v>5975</v>
      </c>
      <c r="C31479" t="s">
        <v>419</v>
      </c>
      <c r="D31479" t="s">
        <v>2458</v>
      </c>
      <c r="E31479" t="s">
        <v>104</v>
      </c>
      <c r="F31479" s="2" t="str">
        <f>HYPERLINK("http://www.otzar.org/book.asp?158873","על כמה מקורות ועניינים בפירוש רש""י לירמיהו ויחזקאל - תדפיס")</f>
        <v>על כמה מקורות ועניינים בפירוש רש"י לירמיהו ויחזקאל - תדפיס</v>
      </c>
    </row>
    <row r="31480" spans="1:6" x14ac:dyDescent="0.2">
      <c r="A31480" t="s">
        <v>49280</v>
      </c>
      <c r="B31480" t="s">
        <v>8100</v>
      </c>
      <c r="C31480" t="s">
        <v>454</v>
      </c>
      <c r="D31480" t="s">
        <v>367</v>
      </c>
      <c r="E31480" t="s">
        <v>158</v>
      </c>
      <c r="F31480" s="2" t="str">
        <f>HYPERLINK("http://www.otzar.org/book.asp?51598","על כן קרא שמו")</f>
        <v>על כן קרא שמו</v>
      </c>
    </row>
    <row r="31481" spans="1:6" x14ac:dyDescent="0.2">
      <c r="A31481" t="s">
        <v>49281</v>
      </c>
      <c r="B31481" t="s">
        <v>49282</v>
      </c>
      <c r="C31481" t="s">
        <v>20</v>
      </c>
      <c r="D31481" t="s">
        <v>90</v>
      </c>
      <c r="E31481" t="s">
        <v>158</v>
      </c>
      <c r="F31481" s="2" t="str">
        <f>HYPERLINK("http://www.otzar.org/book.asp?625482","על כן")</f>
        <v>על כן</v>
      </c>
    </row>
    <row r="31482" spans="1:6" x14ac:dyDescent="0.2">
      <c r="A31482" t="s">
        <v>49283</v>
      </c>
      <c r="B31482" t="s">
        <v>167</v>
      </c>
      <c r="C31482" t="s">
        <v>785</v>
      </c>
      <c r="D31482" t="s">
        <v>21</v>
      </c>
      <c r="E31482" t="s">
        <v>474</v>
      </c>
      <c r="F31482" s="2" t="str">
        <f>HYPERLINK("http://www.otzar.org/book.asp?603951","על כנפי נשרים")</f>
        <v>על כנפי נשרים</v>
      </c>
    </row>
    <row r="31483" spans="1:6" x14ac:dyDescent="0.2">
      <c r="A31483" t="s">
        <v>49284</v>
      </c>
      <c r="B31483" t="s">
        <v>107</v>
      </c>
      <c r="C31483" t="s">
        <v>20</v>
      </c>
      <c r="D31483" t="s">
        <v>14</v>
      </c>
      <c r="E31483" t="s">
        <v>15</v>
      </c>
      <c r="F31483" s="2" t="str">
        <f>HYPERLINK("http://www.otzar.org/book.asp?625800","על מזוזות ביתך")</f>
        <v>על מזוזות ביתך</v>
      </c>
    </row>
    <row r="31484" spans="1:6" x14ac:dyDescent="0.2">
      <c r="A31484" t="s">
        <v>49285</v>
      </c>
      <c r="B31484" t="s">
        <v>49286</v>
      </c>
      <c r="C31484" t="s">
        <v>767</v>
      </c>
      <c r="D31484" t="s">
        <v>21</v>
      </c>
      <c r="F31484" s="2" t="str">
        <f>HYPERLINK("http://www.otzar.org/book.asp?197735","על מטרת החיים")</f>
        <v>על מטרת החיים</v>
      </c>
    </row>
    <row r="31485" spans="1:6" x14ac:dyDescent="0.2">
      <c r="A31485" t="s">
        <v>49287</v>
      </c>
      <c r="B31485" t="s">
        <v>4814</v>
      </c>
      <c r="C31485" t="s">
        <v>533</v>
      </c>
      <c r="D31485" t="s">
        <v>14</v>
      </c>
      <c r="E31485" t="s">
        <v>1626</v>
      </c>
      <c r="F31485" s="2" t="str">
        <f>HYPERLINK("http://www.otzar.org/book.asp?182816","על מיקומו ומבנהו של הקיקלר בקדושתא הקלירית (תדפיס)")</f>
        <v>על מיקומו ומבנהו של הקיקלר בקדושתא הקלירית (תדפיס)</v>
      </c>
    </row>
    <row r="31486" spans="1:6" x14ac:dyDescent="0.2">
      <c r="A31486" t="s">
        <v>49288</v>
      </c>
      <c r="B31486" t="s">
        <v>49289</v>
      </c>
      <c r="C31486" t="s">
        <v>366</v>
      </c>
      <c r="D31486" t="s">
        <v>52</v>
      </c>
      <c r="E31486" t="s">
        <v>144</v>
      </c>
      <c r="F31486" s="2" t="str">
        <f>HYPERLINK("http://www.otzar.org/book.asp?621482","על מסכת עבודה זרה")</f>
        <v>על מסכת עבודה זרה</v>
      </c>
    </row>
    <row r="31487" spans="1:6" x14ac:dyDescent="0.2">
      <c r="A31487" t="s">
        <v>49290</v>
      </c>
      <c r="B31487" t="s">
        <v>5755</v>
      </c>
      <c r="C31487" t="s">
        <v>68</v>
      </c>
      <c r="D31487" t="s">
        <v>14</v>
      </c>
      <c r="E31487" t="s">
        <v>246</v>
      </c>
      <c r="F31487" s="2" t="str">
        <f>HYPERLINK("http://www.otzar.org/book.asp?181695","על מצות ומרורים")</f>
        <v>על מצות ומרורים</v>
      </c>
    </row>
    <row r="31488" spans="1:6" x14ac:dyDescent="0.2">
      <c r="A31488" t="s">
        <v>49291</v>
      </c>
      <c r="B31488" t="s">
        <v>49292</v>
      </c>
      <c r="C31488" t="s">
        <v>466</v>
      </c>
      <c r="D31488" t="s">
        <v>52</v>
      </c>
      <c r="E31488" t="s">
        <v>741</v>
      </c>
      <c r="F31488" s="2" t="str">
        <f>HYPERLINK("http://www.otzar.org/book.asp?162825","על משכנות הרועים - 2 כר'")</f>
        <v>על משכנות הרועים - 2 כר'</v>
      </c>
    </row>
    <row r="31489" spans="1:6" x14ac:dyDescent="0.2">
      <c r="A31489" t="s">
        <v>49293</v>
      </c>
      <c r="B31489" t="s">
        <v>49294</v>
      </c>
      <c r="C31489" t="s">
        <v>1208</v>
      </c>
      <c r="D31489" t="s">
        <v>52</v>
      </c>
      <c r="E31489" t="s">
        <v>213</v>
      </c>
      <c r="F31489" s="2" t="str">
        <f>HYPERLINK("http://www.otzar.org/book.asp?16909","על משכנות הרועים")</f>
        <v>על משכנות הרועים</v>
      </c>
    </row>
    <row r="31490" spans="1:6" x14ac:dyDescent="0.2">
      <c r="A31490" t="s">
        <v>49293</v>
      </c>
      <c r="B31490" t="s">
        <v>174</v>
      </c>
      <c r="C31490" t="s">
        <v>49295</v>
      </c>
      <c r="D31490" t="s">
        <v>52</v>
      </c>
      <c r="E31490" t="s">
        <v>1262</v>
      </c>
      <c r="F31490" s="2" t="str">
        <f>HYPERLINK("http://www.otzar.org/book.asp?179502","על משכנות הרועים")</f>
        <v>על משכנות הרועים</v>
      </c>
    </row>
    <row r="31491" spans="1:6" x14ac:dyDescent="0.2">
      <c r="A31491" t="s">
        <v>49296</v>
      </c>
      <c r="B31491" t="s">
        <v>49297</v>
      </c>
      <c r="C31491" t="s">
        <v>356</v>
      </c>
      <c r="D31491" t="s">
        <v>52</v>
      </c>
      <c r="E31491" t="s">
        <v>15</v>
      </c>
      <c r="F31491" s="2" t="str">
        <f>HYPERLINK("http://www.otzar.org/book.asp?618528","על משמר בריתו של אאע""ה כהלכתו")</f>
        <v>על משמר בריתו של אאע"ה כהלכתו</v>
      </c>
    </row>
    <row r="31492" spans="1:6" x14ac:dyDescent="0.2">
      <c r="A31492" t="s">
        <v>49298</v>
      </c>
      <c r="B31492" t="s">
        <v>21184</v>
      </c>
      <c r="C31492" t="s">
        <v>71</v>
      </c>
      <c r="D31492" t="s">
        <v>14</v>
      </c>
      <c r="E31492" t="s">
        <v>119</v>
      </c>
      <c r="F31492" s="2" t="str">
        <f>HYPERLINK("http://www.otzar.org/book.asp?153613","על משמר קדשי האומה")</f>
        <v>על משמר קדשי האומה</v>
      </c>
    </row>
    <row r="31493" spans="1:6" x14ac:dyDescent="0.2">
      <c r="A31493" t="s">
        <v>49299</v>
      </c>
      <c r="B31493" t="s">
        <v>49300</v>
      </c>
      <c r="C31493" t="s">
        <v>576</v>
      </c>
      <c r="D31493" t="s">
        <v>27</v>
      </c>
      <c r="E31493" t="s">
        <v>119</v>
      </c>
      <c r="F31493" s="2" t="str">
        <f>HYPERLINK("http://www.otzar.org/book.asp?189629","על נהרות בבל")</f>
        <v>על נהרות בבל</v>
      </c>
    </row>
    <row r="31494" spans="1:6" x14ac:dyDescent="0.2">
      <c r="A31494" t="s">
        <v>49301</v>
      </c>
      <c r="B31494" t="s">
        <v>49302</v>
      </c>
      <c r="C31494" t="s">
        <v>49303</v>
      </c>
      <c r="D31494" t="s">
        <v>49304</v>
      </c>
      <c r="E31494" t="s">
        <v>219</v>
      </c>
      <c r="F31494" s="2" t="str">
        <f>HYPERLINK("http://www.otzar.org/book.asp?611631","על נהרות ספרד")</f>
        <v>על נהרות ספרד</v>
      </c>
    </row>
    <row r="31495" spans="1:6" x14ac:dyDescent="0.2">
      <c r="A31495" t="s">
        <v>49305</v>
      </c>
      <c r="B31495" t="s">
        <v>49306</v>
      </c>
      <c r="C31495" t="s">
        <v>427</v>
      </c>
      <c r="D31495" t="s">
        <v>27</v>
      </c>
      <c r="F31495" s="2" t="str">
        <f>HYPERLINK("http://www.otzar.org/book.asp?192871","על ספריות וספרנות")</f>
        <v>על ספריות וספרנות</v>
      </c>
    </row>
    <row r="31496" spans="1:6" x14ac:dyDescent="0.2">
      <c r="A31496" t="s">
        <v>49307</v>
      </c>
      <c r="B31496" t="s">
        <v>49308</v>
      </c>
      <c r="C31496" t="s">
        <v>111</v>
      </c>
      <c r="D31496" t="s">
        <v>90</v>
      </c>
      <c r="E31496" t="s">
        <v>241</v>
      </c>
      <c r="F31496" s="2" t="str">
        <f>HYPERLINK("http://www.otzar.org/book.asp?629887","על עמך יערימו סוד")</f>
        <v>על עמך יערימו סוד</v>
      </c>
    </row>
    <row r="31497" spans="1:6" x14ac:dyDescent="0.2">
      <c r="A31497" t="s">
        <v>49309</v>
      </c>
      <c r="B31497" t="s">
        <v>32943</v>
      </c>
      <c r="C31497" t="s">
        <v>20</v>
      </c>
      <c r="D31497" t="s">
        <v>90</v>
      </c>
      <c r="E31497" t="s">
        <v>399</v>
      </c>
      <c r="F31497" s="2" t="str">
        <f>HYPERLINK("http://www.otzar.org/book.asp?617924","על ענין עשרת מכות מצרים")</f>
        <v>על ענין עשרת מכות מצרים</v>
      </c>
    </row>
    <row r="31498" spans="1:6" x14ac:dyDescent="0.2">
      <c r="A31498" t="s">
        <v>49310</v>
      </c>
      <c r="B31498" t="s">
        <v>49311</v>
      </c>
      <c r="C31498" t="s">
        <v>20</v>
      </c>
      <c r="D31498" t="s">
        <v>90</v>
      </c>
      <c r="E31498" t="s">
        <v>241</v>
      </c>
      <c r="F31498" s="2" t="str">
        <f>HYPERLINK("http://www.otzar.org/book.asp?148144","על עסק התורה")</f>
        <v>על עסק התורה</v>
      </c>
    </row>
    <row r="31499" spans="1:6" x14ac:dyDescent="0.2">
      <c r="A31499" t="s">
        <v>49312</v>
      </c>
      <c r="B31499" t="s">
        <v>12358</v>
      </c>
      <c r="C31499" t="s">
        <v>411</v>
      </c>
      <c r="D31499" t="s">
        <v>14</v>
      </c>
      <c r="E31499" t="s">
        <v>158</v>
      </c>
      <c r="F31499" s="2" t="str">
        <f>HYPERLINK("http://www.otzar.org/book.asp?175980","על פי התורה - 3 כר'")</f>
        <v>על פי התורה - 3 כר'</v>
      </c>
    </row>
    <row r="31500" spans="1:6" x14ac:dyDescent="0.2">
      <c r="A31500" t="s">
        <v>49313</v>
      </c>
      <c r="B31500" t="s">
        <v>28530</v>
      </c>
      <c r="C31500" t="s">
        <v>332</v>
      </c>
      <c r="D31500" t="s">
        <v>21</v>
      </c>
      <c r="E31500" t="s">
        <v>104</v>
      </c>
      <c r="F31500" s="2" t="str">
        <f>HYPERLINK("http://www.otzar.org/book.asp?623900","על פירוש רבינו גרשום מאור הגולה")</f>
        <v>על פירוש רבינו גרשום מאור הגולה</v>
      </c>
    </row>
    <row r="31501" spans="1:6" x14ac:dyDescent="0.2">
      <c r="A31501" t="s">
        <v>49314</v>
      </c>
      <c r="B31501" t="s">
        <v>5003</v>
      </c>
      <c r="C31501" t="s">
        <v>133</v>
      </c>
      <c r="D31501" t="s">
        <v>147</v>
      </c>
      <c r="E31501" t="s">
        <v>15</v>
      </c>
      <c r="F31501" s="2" t="str">
        <f>HYPERLINK("http://www.otzar.org/book.asp?606549","על פלגי מים")</f>
        <v>על פלגי מים</v>
      </c>
    </row>
    <row r="31502" spans="1:6" x14ac:dyDescent="0.2">
      <c r="A31502" t="s">
        <v>49315</v>
      </c>
      <c r="B31502" t="s">
        <v>552</v>
      </c>
      <c r="C31502" t="s">
        <v>422</v>
      </c>
      <c r="D31502" t="s">
        <v>14</v>
      </c>
      <c r="E31502" t="s">
        <v>202</v>
      </c>
      <c r="F31502" s="2" t="str">
        <f>HYPERLINK("http://www.otzar.org/book.asp?148192","על פליטת סופריהם")</f>
        <v>על פליטת סופריהם</v>
      </c>
    </row>
    <row r="31503" spans="1:6" x14ac:dyDescent="0.2">
      <c r="A31503" t="s">
        <v>49316</v>
      </c>
      <c r="B31503" t="s">
        <v>6014</v>
      </c>
      <c r="C31503" t="s">
        <v>71</v>
      </c>
      <c r="D31503" t="s">
        <v>90</v>
      </c>
      <c r="E31503" t="s">
        <v>158</v>
      </c>
      <c r="F31503" s="2" t="str">
        <f>HYPERLINK("http://www.otzar.org/book.asp?62997","על פרשת השבוע - 2 כר'")</f>
        <v>על פרשת השבוע - 2 כר'</v>
      </c>
    </row>
    <row r="31504" spans="1:6" x14ac:dyDescent="0.2">
      <c r="A31504" t="s">
        <v>49317</v>
      </c>
      <c r="B31504" t="s">
        <v>49318</v>
      </c>
      <c r="C31504" t="s">
        <v>20</v>
      </c>
      <c r="D31504" t="s">
        <v>27</v>
      </c>
      <c r="E31504" t="s">
        <v>119</v>
      </c>
      <c r="F31504" s="2" t="str">
        <f>HYPERLINK("http://www.otzar.org/book.asp?152940","על פשעי התנועה הרפורמית")</f>
        <v>על פשעי התנועה הרפורמית</v>
      </c>
    </row>
    <row r="31505" spans="1:6" x14ac:dyDescent="0.2">
      <c r="A31505" t="s">
        <v>49319</v>
      </c>
      <c r="B31505" t="s">
        <v>8898</v>
      </c>
      <c r="C31505" t="s">
        <v>68</v>
      </c>
      <c r="D31505" t="s">
        <v>14</v>
      </c>
      <c r="E31505" t="s">
        <v>140</v>
      </c>
      <c r="F31505" s="2" t="str">
        <f>HYPERLINK("http://www.otzar.org/book.asp?163306","על צדיקים ועל חסידים - 2 כר'")</f>
        <v>על צדיקים ועל חסידים - 2 כר'</v>
      </c>
    </row>
    <row r="31506" spans="1:6" x14ac:dyDescent="0.2">
      <c r="A31506" t="s">
        <v>49320</v>
      </c>
      <c r="B31506" t="s">
        <v>49321</v>
      </c>
      <c r="C31506" t="s">
        <v>1208</v>
      </c>
      <c r="D31506" t="s">
        <v>118</v>
      </c>
      <c r="E31506" t="s">
        <v>733</v>
      </c>
      <c r="F31506" s="2" t="str">
        <f>HYPERLINK("http://www.otzar.org/book.asp?64219","על צפורני נשרים")</f>
        <v>על צפורני נשרים</v>
      </c>
    </row>
    <row r="31507" spans="1:6" x14ac:dyDescent="0.2">
      <c r="A31507" t="s">
        <v>49322</v>
      </c>
      <c r="B31507" t="s">
        <v>49323</v>
      </c>
      <c r="C31507" t="s">
        <v>919</v>
      </c>
      <c r="D31507" t="s">
        <v>14</v>
      </c>
      <c r="E31507" t="s">
        <v>241</v>
      </c>
      <c r="F31507" s="2" t="str">
        <f>HYPERLINK("http://www.otzar.org/book.asp?170909","על קדושת החינוך")</f>
        <v>על קדושת החינוך</v>
      </c>
    </row>
    <row r="31508" spans="1:6" x14ac:dyDescent="0.2">
      <c r="A31508" t="s">
        <v>49324</v>
      </c>
      <c r="B31508" t="s">
        <v>21107</v>
      </c>
      <c r="C31508" t="s">
        <v>103</v>
      </c>
      <c r="D31508" t="s">
        <v>21</v>
      </c>
      <c r="F31508" s="2" t="str">
        <f>HYPERLINK("http://www.otzar.org/book.asp?609737","על קרי וכתיב")</f>
        <v>על קרי וכתיב</v>
      </c>
    </row>
    <row r="31509" spans="1:6" x14ac:dyDescent="0.2">
      <c r="A31509" t="s">
        <v>49325</v>
      </c>
      <c r="B31509" t="s">
        <v>8070</v>
      </c>
      <c r="C31509" t="s">
        <v>111</v>
      </c>
      <c r="D31509" t="s">
        <v>5172</v>
      </c>
      <c r="E31509" t="s">
        <v>714</v>
      </c>
      <c r="F31509" s="2" t="str">
        <f>HYPERLINK("http://www.otzar.org/book.asp?621848","על רגל אחת")</f>
        <v>על רגל אחת</v>
      </c>
    </row>
    <row r="31510" spans="1:6" x14ac:dyDescent="0.2">
      <c r="A31510" t="s">
        <v>49326</v>
      </c>
      <c r="B31510" t="s">
        <v>41066</v>
      </c>
      <c r="C31510" t="s">
        <v>49327</v>
      </c>
      <c r="D31510" t="s">
        <v>27</v>
      </c>
      <c r="F31510" s="2" t="str">
        <f>HYPERLINK("http://www.otzar.org/book.asp?170300","על שושנים")</f>
        <v>על שושנים</v>
      </c>
    </row>
    <row r="31511" spans="1:6" x14ac:dyDescent="0.2">
      <c r="A31511" t="s">
        <v>49326</v>
      </c>
      <c r="B31511" t="s">
        <v>5780</v>
      </c>
      <c r="C31511" t="s">
        <v>244</v>
      </c>
      <c r="D31511" t="s">
        <v>14</v>
      </c>
      <c r="F31511" s="2" t="str">
        <f>HYPERLINK("http://www.otzar.org/book.asp?608854","על שושנים")</f>
        <v>על שושנים</v>
      </c>
    </row>
    <row r="31512" spans="1:6" x14ac:dyDescent="0.2">
      <c r="A31512" t="s">
        <v>49328</v>
      </c>
      <c r="B31512" t="s">
        <v>8100</v>
      </c>
      <c r="C31512" t="s">
        <v>17</v>
      </c>
      <c r="D31512" t="s">
        <v>367</v>
      </c>
      <c r="E31512" t="s">
        <v>837</v>
      </c>
      <c r="F31512" s="2" t="str">
        <f>HYPERLINK("http://www.otzar.org/book.asp?51556","על שני קצות החושן - 2 כר'")</f>
        <v>על שני קצות החושן - 2 כר'</v>
      </c>
    </row>
    <row r="31513" spans="1:6" x14ac:dyDescent="0.2">
      <c r="A31513" t="s">
        <v>49329</v>
      </c>
      <c r="B31513" t="s">
        <v>49330</v>
      </c>
      <c r="C31513" t="s">
        <v>442</v>
      </c>
      <c r="D31513" t="s">
        <v>27</v>
      </c>
      <c r="E31513" t="s">
        <v>583</v>
      </c>
      <c r="F31513" s="2" t="str">
        <f>HYPERLINK("http://www.otzar.org/book.asp?13670","עלבונה של תורה")</f>
        <v>עלבונה של תורה</v>
      </c>
    </row>
    <row r="31514" spans="1:6" x14ac:dyDescent="0.2">
      <c r="A31514" t="s">
        <v>49331</v>
      </c>
      <c r="B31514" t="s">
        <v>3727</v>
      </c>
      <c r="C31514" t="s">
        <v>133</v>
      </c>
      <c r="D31514" t="s">
        <v>80</v>
      </c>
      <c r="E31514" t="s">
        <v>3798</v>
      </c>
      <c r="F31514" s="2" t="str">
        <f>HYPERLINK("http://www.otzar.org/book.asp?175515","עלה אלי ההרה")</f>
        <v>עלה אלי ההרה</v>
      </c>
    </row>
    <row r="31515" spans="1:6" x14ac:dyDescent="0.2">
      <c r="A31515" t="s">
        <v>49332</v>
      </c>
      <c r="B31515" t="s">
        <v>49333</v>
      </c>
      <c r="C31515" t="s">
        <v>20</v>
      </c>
      <c r="D31515" t="s">
        <v>412</v>
      </c>
      <c r="E31515" t="s">
        <v>119</v>
      </c>
      <c r="F31515" s="2" t="str">
        <f>HYPERLINK("http://www.otzar.org/book.asp?606595","עלה אריה מסבכו")</f>
        <v>עלה אריה מסבכו</v>
      </c>
    </row>
    <row r="31516" spans="1:6" x14ac:dyDescent="0.2">
      <c r="A31516" t="s">
        <v>49334</v>
      </c>
      <c r="B31516" t="s">
        <v>38711</v>
      </c>
      <c r="C31516" t="s">
        <v>4087</v>
      </c>
      <c r="D31516" t="s">
        <v>42</v>
      </c>
      <c r="E31516" t="s">
        <v>104</v>
      </c>
      <c r="F31516" s="2" t="str">
        <f>HYPERLINK("http://www.otzar.org/book.asp?147276","עלה דזית")</f>
        <v>עלה דזית</v>
      </c>
    </row>
    <row r="31517" spans="1:6" x14ac:dyDescent="0.2">
      <c r="A31517" t="s">
        <v>49335</v>
      </c>
      <c r="B31517" t="s">
        <v>49336</v>
      </c>
      <c r="C31517" t="s">
        <v>1832</v>
      </c>
      <c r="D31517" t="s">
        <v>2303</v>
      </c>
      <c r="E31517" t="s">
        <v>2088</v>
      </c>
      <c r="F31517" s="2" t="str">
        <f>HYPERLINK("http://www.otzar.org/book.asp?101678","עלה דיונה")</f>
        <v>עלה דיונה</v>
      </c>
    </row>
    <row r="31518" spans="1:6" x14ac:dyDescent="0.2">
      <c r="A31518" t="s">
        <v>49335</v>
      </c>
      <c r="B31518" t="s">
        <v>39816</v>
      </c>
      <c r="C31518" t="s">
        <v>908</v>
      </c>
      <c r="D31518" t="s">
        <v>2295</v>
      </c>
      <c r="E31518" t="s">
        <v>32051</v>
      </c>
      <c r="F31518" s="2" t="str">
        <f>HYPERLINK("http://www.otzar.org/book.asp?104120","עלה דיונה")</f>
        <v>עלה דיונה</v>
      </c>
    </row>
    <row r="31519" spans="1:6" x14ac:dyDescent="0.2">
      <c r="A31519" t="s">
        <v>49337</v>
      </c>
      <c r="B31519" t="s">
        <v>49338</v>
      </c>
      <c r="C31519" t="s">
        <v>785</v>
      </c>
      <c r="D31519" t="s">
        <v>49339</v>
      </c>
      <c r="E31519" t="s">
        <v>3387</v>
      </c>
      <c r="F31519" s="2" t="str">
        <f>HYPERLINK("http://www.otzar.org/book.asp?12756","עלה יונה")</f>
        <v>עלה יונה</v>
      </c>
    </row>
    <row r="31520" spans="1:6" x14ac:dyDescent="0.2">
      <c r="A31520" t="s">
        <v>49340</v>
      </c>
      <c r="B31520" t="s">
        <v>49341</v>
      </c>
      <c r="C31520" t="s">
        <v>5140</v>
      </c>
      <c r="D31520" t="s">
        <v>5258</v>
      </c>
      <c r="E31520" t="s">
        <v>144</v>
      </c>
      <c r="F31520" s="2" t="str">
        <f>HYPERLINK("http://www.otzar.org/book.asp?151335","עלה לדוגמא")</f>
        <v>עלה לדוגמא</v>
      </c>
    </row>
    <row r="31521" spans="1:6" x14ac:dyDescent="0.2">
      <c r="A31521" t="s">
        <v>49342</v>
      </c>
      <c r="B31521" t="s">
        <v>49343</v>
      </c>
      <c r="C31521" t="s">
        <v>466</v>
      </c>
      <c r="D31521" t="s">
        <v>14</v>
      </c>
      <c r="F31521" s="2" t="str">
        <f>HYPERLINK("http://www.otzar.org/book.asp?622655","עלה עזרא - עטרת שלמה")</f>
        <v>עלה עזרא - עטרת שלמה</v>
      </c>
    </row>
    <row r="31522" spans="1:6" x14ac:dyDescent="0.2">
      <c r="A31522" t="s">
        <v>49344</v>
      </c>
      <c r="B31522" t="s">
        <v>48393</v>
      </c>
      <c r="C31522" t="s">
        <v>1524</v>
      </c>
      <c r="D31522" t="s">
        <v>563</v>
      </c>
      <c r="E31522" t="s">
        <v>104</v>
      </c>
      <c r="F31522" s="2" t="str">
        <f>HYPERLINK("http://www.otzar.org/book.asp?84656","עלה תרופה")</f>
        <v>עלה תרופה</v>
      </c>
    </row>
    <row r="31523" spans="1:6" x14ac:dyDescent="0.2">
      <c r="A31523" t="s">
        <v>49345</v>
      </c>
      <c r="B31523" t="s">
        <v>22294</v>
      </c>
      <c r="C31523" t="s">
        <v>286</v>
      </c>
      <c r="D31523" t="s">
        <v>2295</v>
      </c>
      <c r="E31523" t="s">
        <v>154</v>
      </c>
      <c r="F31523" s="2" t="str">
        <f>HYPERLINK("http://www.otzar.org/book.asp?102718","עלהו רענן")</f>
        <v>עלהו רענן</v>
      </c>
    </row>
    <row r="31524" spans="1:6" x14ac:dyDescent="0.2">
      <c r="A31524" t="s">
        <v>49346</v>
      </c>
      <c r="B31524" t="s">
        <v>4373</v>
      </c>
      <c r="C31524" t="s">
        <v>1058</v>
      </c>
      <c r="D31524" t="s">
        <v>212</v>
      </c>
      <c r="E31524" t="s">
        <v>219</v>
      </c>
      <c r="F31524" s="2" t="str">
        <f>HYPERLINK("http://www.otzar.org/book.asp?60622","עלוי נשמות")</f>
        <v>עלוי נשמות</v>
      </c>
    </row>
    <row r="31525" spans="1:6" x14ac:dyDescent="0.2">
      <c r="A31525" t="s">
        <v>49347</v>
      </c>
      <c r="B31525" t="s">
        <v>7217</v>
      </c>
      <c r="C31525" t="s">
        <v>111</v>
      </c>
      <c r="D31525" t="s">
        <v>14</v>
      </c>
      <c r="E31525" t="s">
        <v>104</v>
      </c>
      <c r="F31525" s="2" t="str">
        <f>HYPERLINK("http://www.otzar.org/book.asp?630731","עלון אספקלריה - 3 כר'")</f>
        <v>עלון אספקלריה - 3 כר'</v>
      </c>
    </row>
    <row r="31526" spans="1:6" x14ac:dyDescent="0.2">
      <c r="A31526" t="s">
        <v>49348</v>
      </c>
      <c r="B31526" t="s">
        <v>49349</v>
      </c>
      <c r="C31526" t="s">
        <v>133</v>
      </c>
      <c r="D31526" t="s">
        <v>52</v>
      </c>
      <c r="E31526" t="s">
        <v>158</v>
      </c>
      <c r="F31526" s="2" t="str">
        <f>HYPERLINK("http://www.otzar.org/book.asp?176531","עלון עץ חיים - תשע""ב-תשע""ג")</f>
        <v>עלון עץ חיים - תשע"ב-תשע"ג</v>
      </c>
    </row>
    <row r="31527" spans="1:6" x14ac:dyDescent="0.2">
      <c r="A31527" t="s">
        <v>49350</v>
      </c>
      <c r="B31527" t="s">
        <v>49351</v>
      </c>
      <c r="C31527" t="s">
        <v>37</v>
      </c>
      <c r="D31527" t="s">
        <v>147</v>
      </c>
      <c r="F31527" s="2" t="str">
        <f>HYPERLINK("http://www.otzar.org/book.asp?615413","עלון קול התורה - 7 כר'")</f>
        <v>עלון קול התורה - 7 כר'</v>
      </c>
    </row>
    <row r="31528" spans="1:6" x14ac:dyDescent="0.2">
      <c r="A31528" t="s">
        <v>49352</v>
      </c>
      <c r="B31528" t="s">
        <v>49353</v>
      </c>
      <c r="C31528" t="s">
        <v>49354</v>
      </c>
      <c r="E31528" t="s">
        <v>140</v>
      </c>
      <c r="F31528" s="2" t="str">
        <f>HYPERLINK("http://www.otzar.org/book.asp?622633","עלון שער התפילה - 1-25")</f>
        <v>עלון שער התפילה - 1-25</v>
      </c>
    </row>
    <row r="31529" spans="1:6" x14ac:dyDescent="0.2">
      <c r="A31529" t="s">
        <v>49355</v>
      </c>
      <c r="B31529" t="s">
        <v>7056</v>
      </c>
      <c r="C31529" t="s">
        <v>68</v>
      </c>
      <c r="D31529" t="s">
        <v>367</v>
      </c>
      <c r="E31529" t="s">
        <v>202</v>
      </c>
      <c r="F31529" s="2" t="str">
        <f>HYPERLINK("http://www.otzar.org/book.asp?608257","עלוני הזוהר")</f>
        <v>עלוני הזוהר</v>
      </c>
    </row>
    <row r="31530" spans="1:6" x14ac:dyDescent="0.2">
      <c r="A31530" t="s">
        <v>49356</v>
      </c>
      <c r="B31530" t="s">
        <v>49357</v>
      </c>
      <c r="C31530" t="s">
        <v>383</v>
      </c>
      <c r="D31530" t="s">
        <v>18218</v>
      </c>
      <c r="E31530" t="s">
        <v>202</v>
      </c>
      <c r="F31530" s="2" t="str">
        <f>HYPERLINK("http://www.otzar.org/book.asp?620779","עלוני ממרא - 5 כר'")</f>
        <v>עלוני ממרא - 5 כר'</v>
      </c>
    </row>
    <row r="31531" spans="1:6" x14ac:dyDescent="0.2">
      <c r="A31531" t="s">
        <v>49358</v>
      </c>
      <c r="B31531" t="s">
        <v>49359</v>
      </c>
      <c r="C31531" t="s">
        <v>244</v>
      </c>
      <c r="D31531" t="s">
        <v>2285</v>
      </c>
      <c r="E31531" t="s">
        <v>202</v>
      </c>
      <c r="F31531" s="2" t="str">
        <f>HYPERLINK("http://www.otzar.org/book.asp?605004","עלוני משנתה של תורה")</f>
        <v>עלוני משנתה של תורה</v>
      </c>
    </row>
    <row r="31532" spans="1:6" x14ac:dyDescent="0.2">
      <c r="A31532" t="s">
        <v>49360</v>
      </c>
      <c r="B31532" t="s">
        <v>49361</v>
      </c>
      <c r="C31532" t="s">
        <v>41747</v>
      </c>
      <c r="D31532" t="s">
        <v>5570</v>
      </c>
      <c r="F31532" s="2" t="str">
        <f>HYPERLINK("http://www.otzar.org/book.asp?196441","עלוני פניני עין חמד - 10 כר'")</f>
        <v>עלוני פניני עין חמד - 10 כר'</v>
      </c>
    </row>
    <row r="31533" spans="1:6" x14ac:dyDescent="0.2">
      <c r="A31533" t="s">
        <v>49362</v>
      </c>
      <c r="B31533" t="s">
        <v>41527</v>
      </c>
      <c r="C31533" t="s">
        <v>366</v>
      </c>
      <c r="D31533" t="s">
        <v>3069</v>
      </c>
      <c r="F31533" s="2" t="str">
        <f>HYPERLINK("http://www.otzar.org/book.asp?610147","עלוני שמירת הלשון - 1-140")</f>
        <v>עלוני שמירת הלשון - 1-140</v>
      </c>
    </row>
    <row r="31534" spans="1:6" x14ac:dyDescent="0.2">
      <c r="A31534" t="s">
        <v>49363</v>
      </c>
      <c r="B31534" t="s">
        <v>49364</v>
      </c>
      <c r="C31534" t="s">
        <v>49365</v>
      </c>
      <c r="D31534" t="s">
        <v>27</v>
      </c>
      <c r="E31534" t="s">
        <v>202</v>
      </c>
      <c r="F31534" s="2" t="str">
        <f>HYPERLINK("http://www.otzar.org/book.asp?179088","עלונים לשבת - ה")</f>
        <v>עלונים לשבת - ה</v>
      </c>
    </row>
    <row r="31535" spans="1:6" x14ac:dyDescent="0.2">
      <c r="A31535" t="s">
        <v>49366</v>
      </c>
      <c r="B31535" t="s">
        <v>41604</v>
      </c>
      <c r="C31535" t="s">
        <v>49367</v>
      </c>
      <c r="D31535" t="s">
        <v>1563</v>
      </c>
      <c r="F31535" s="2" t="str">
        <f>HYPERLINK("http://www.otzar.org/book.asp?613680","עלות המנחה")</f>
        <v>עלות המנחה</v>
      </c>
    </row>
    <row r="31536" spans="1:6" x14ac:dyDescent="0.2">
      <c r="A31536" t="s">
        <v>49368</v>
      </c>
      <c r="B31536" t="s">
        <v>489</v>
      </c>
      <c r="C31536" t="s">
        <v>103</v>
      </c>
      <c r="D31536" t="s">
        <v>14</v>
      </c>
      <c r="E31536" t="s">
        <v>202</v>
      </c>
      <c r="F31536" s="2" t="str">
        <f>HYPERLINK("http://www.otzar.org/book.asp?151030","עלי אור - 28 כר'")</f>
        <v>עלי אור - 28 כר'</v>
      </c>
    </row>
    <row r="31537" spans="1:6" x14ac:dyDescent="0.2">
      <c r="A31537" t="s">
        <v>49369</v>
      </c>
      <c r="B31537" t="s">
        <v>7090</v>
      </c>
      <c r="C31537" t="s">
        <v>133</v>
      </c>
      <c r="D31537" t="s">
        <v>14</v>
      </c>
      <c r="E31537" t="s">
        <v>144</v>
      </c>
      <c r="F31537" s="2" t="str">
        <f>HYPERLINK("http://www.otzar.org/book.asp?173458","עלי אור - 4 כר'")</f>
        <v>עלי אור - 4 כר'</v>
      </c>
    </row>
    <row r="31538" spans="1:6" x14ac:dyDescent="0.2">
      <c r="A31538" t="s">
        <v>49370</v>
      </c>
      <c r="B31538" t="s">
        <v>7550</v>
      </c>
      <c r="C31538" t="s">
        <v>146</v>
      </c>
      <c r="D31538" t="s">
        <v>52</v>
      </c>
      <c r="E31538" t="s">
        <v>186</v>
      </c>
      <c r="F31538" s="2" t="str">
        <f>HYPERLINK("http://www.otzar.org/book.asp?161040","עלי ארח - יבמות")</f>
        <v>עלי ארח - יבמות</v>
      </c>
    </row>
    <row r="31539" spans="1:6" x14ac:dyDescent="0.2">
      <c r="A31539" t="s">
        <v>49371</v>
      </c>
      <c r="B31539" t="s">
        <v>3883</v>
      </c>
      <c r="C31539" t="s">
        <v>17</v>
      </c>
      <c r="D31539" t="s">
        <v>14</v>
      </c>
      <c r="E31539" t="s">
        <v>6797</v>
      </c>
      <c r="F31539" s="2" t="str">
        <f>HYPERLINK("http://www.otzar.org/book.asp?50762","עלי באר - 4 כר'")</f>
        <v>עלי באר - 4 כר'</v>
      </c>
    </row>
    <row r="31540" spans="1:6" x14ac:dyDescent="0.2">
      <c r="A31540" t="s">
        <v>49372</v>
      </c>
      <c r="B31540" t="s">
        <v>4694</v>
      </c>
      <c r="C31540" t="s">
        <v>63</v>
      </c>
      <c r="D31540" t="s">
        <v>2201</v>
      </c>
      <c r="E31540" t="s">
        <v>202</v>
      </c>
      <c r="F31540" s="2" t="str">
        <f>HYPERLINK("http://www.otzar.org/book.asp?149078","עלי באר - 2 כר'")</f>
        <v>עלי באר - 2 כר'</v>
      </c>
    </row>
    <row r="31541" spans="1:6" x14ac:dyDescent="0.2">
      <c r="A31541" t="s">
        <v>49373</v>
      </c>
      <c r="B31541" t="s">
        <v>8330</v>
      </c>
      <c r="C31541" t="s">
        <v>23</v>
      </c>
      <c r="D31541" t="s">
        <v>52</v>
      </c>
      <c r="F31541" s="2" t="str">
        <f>HYPERLINK("http://www.otzar.org/book.asp?613609","עלי באר")</f>
        <v>עלי באר</v>
      </c>
    </row>
    <row r="31542" spans="1:6" x14ac:dyDescent="0.2">
      <c r="A31542" t="s">
        <v>49374</v>
      </c>
      <c r="B31542" t="s">
        <v>49375</v>
      </c>
      <c r="C31542" t="s">
        <v>411</v>
      </c>
      <c r="D31542" t="s">
        <v>80</v>
      </c>
      <c r="E31542" t="s">
        <v>158</v>
      </c>
      <c r="F31542" s="2" t="str">
        <f>HYPERLINK("http://www.otzar.org/book.asp?196809","עלי ברוש")</f>
        <v>עלי ברוש</v>
      </c>
    </row>
    <row r="31543" spans="1:6" x14ac:dyDescent="0.2">
      <c r="A31543" t="s">
        <v>49376</v>
      </c>
      <c r="B31543" t="s">
        <v>49377</v>
      </c>
      <c r="C31543" t="s">
        <v>1208</v>
      </c>
      <c r="D31543" t="s">
        <v>14</v>
      </c>
      <c r="E31543" t="s">
        <v>241</v>
      </c>
      <c r="F31543" s="2" t="str">
        <f>HYPERLINK("http://www.otzar.org/book.asp?52632","עלי דרך")</f>
        <v>עלי דרך</v>
      </c>
    </row>
    <row r="31544" spans="1:6" x14ac:dyDescent="0.2">
      <c r="A31544" t="s">
        <v>49378</v>
      </c>
      <c r="B31544" t="s">
        <v>49379</v>
      </c>
      <c r="C31544" t="s">
        <v>68</v>
      </c>
      <c r="D31544" t="s">
        <v>52</v>
      </c>
      <c r="E31544" t="s">
        <v>241</v>
      </c>
      <c r="F31544" s="2" t="str">
        <f>HYPERLINK("http://www.otzar.org/book.asp?159350","עלי דרך - 2 כר'")</f>
        <v>עלי דרך - 2 כר'</v>
      </c>
    </row>
    <row r="31545" spans="1:6" x14ac:dyDescent="0.2">
      <c r="A31545" t="s">
        <v>49380</v>
      </c>
      <c r="B31545" t="s">
        <v>49381</v>
      </c>
      <c r="C31545" t="s">
        <v>356</v>
      </c>
      <c r="D31545" t="s">
        <v>14</v>
      </c>
      <c r="E31545" t="s">
        <v>230</v>
      </c>
      <c r="F31545" s="2" t="str">
        <f>HYPERLINK("http://www.otzar.org/book.asp?174379","עלי דשא - 2 כר'")</f>
        <v>עלי דשא - 2 כר'</v>
      </c>
    </row>
    <row r="31546" spans="1:6" x14ac:dyDescent="0.2">
      <c r="A31546" t="s">
        <v>49382</v>
      </c>
      <c r="B31546" t="s">
        <v>36271</v>
      </c>
      <c r="C31546" t="s">
        <v>143</v>
      </c>
      <c r="D31546" t="s">
        <v>14</v>
      </c>
      <c r="E31546" t="s">
        <v>158</v>
      </c>
      <c r="F31546" s="2" t="str">
        <f>HYPERLINK("http://www.otzar.org/book.asp?50376","עלי דשא - 5 כר'")</f>
        <v>עלי דשא - 5 כר'</v>
      </c>
    </row>
    <row r="31547" spans="1:6" x14ac:dyDescent="0.2">
      <c r="A31547" t="s">
        <v>49383</v>
      </c>
      <c r="B31547" t="s">
        <v>27784</v>
      </c>
      <c r="C31547" t="s">
        <v>87</v>
      </c>
      <c r="D31547" t="s">
        <v>423</v>
      </c>
      <c r="E31547" t="s">
        <v>144</v>
      </c>
      <c r="F31547" s="2" t="str">
        <f>HYPERLINK("http://www.otzar.org/book.asp?24970","עלי דשא - 11 כר'")</f>
        <v>עלי דשא - 11 כר'</v>
      </c>
    </row>
    <row r="31548" spans="1:6" x14ac:dyDescent="0.2">
      <c r="A31548" t="s">
        <v>49384</v>
      </c>
      <c r="B31548" t="s">
        <v>686</v>
      </c>
      <c r="C31548" t="s">
        <v>411</v>
      </c>
      <c r="D31548" t="s">
        <v>52</v>
      </c>
      <c r="E31548" t="s">
        <v>104</v>
      </c>
      <c r="F31548" s="2" t="str">
        <f>HYPERLINK("http://www.otzar.org/book.asp?166187","עלי הגיון")</f>
        <v>עלי הגיון</v>
      </c>
    </row>
    <row r="31549" spans="1:6" x14ac:dyDescent="0.2">
      <c r="A31549" t="s">
        <v>49384</v>
      </c>
      <c r="B31549" t="s">
        <v>48241</v>
      </c>
      <c r="C31549" t="s">
        <v>395</v>
      </c>
      <c r="D31549" t="s">
        <v>283</v>
      </c>
      <c r="E31549" t="s">
        <v>241</v>
      </c>
      <c r="F31549" s="2" t="str">
        <f>HYPERLINK("http://www.otzar.org/book.asp?19136","עלי הגיון")</f>
        <v>עלי הגיון</v>
      </c>
    </row>
    <row r="31550" spans="1:6" x14ac:dyDescent="0.2">
      <c r="A31550" t="s">
        <v>49384</v>
      </c>
      <c r="B31550" t="s">
        <v>49385</v>
      </c>
      <c r="C31550" t="s">
        <v>411</v>
      </c>
      <c r="D31550" t="s">
        <v>21</v>
      </c>
      <c r="E31550" t="s">
        <v>230</v>
      </c>
      <c r="F31550" s="2" t="str">
        <f>HYPERLINK("http://www.otzar.org/book.asp?197211","עלי הגיון")</f>
        <v>עלי הגיון</v>
      </c>
    </row>
    <row r="31551" spans="1:6" x14ac:dyDescent="0.2">
      <c r="A31551" t="s">
        <v>49386</v>
      </c>
      <c r="B31551" t="s">
        <v>49387</v>
      </c>
      <c r="C31551" t="s">
        <v>286</v>
      </c>
      <c r="D31551" t="s">
        <v>9</v>
      </c>
      <c r="E31551" t="s">
        <v>158</v>
      </c>
      <c r="F31551" s="2" t="str">
        <f>HYPERLINK("http://www.otzar.org/book.asp?141181","עלי הדס")</f>
        <v>עלי הדס</v>
      </c>
    </row>
    <row r="31552" spans="1:6" x14ac:dyDescent="0.2">
      <c r="A31552" t="s">
        <v>49388</v>
      </c>
      <c r="B31552" t="s">
        <v>49389</v>
      </c>
      <c r="C31552" t="s">
        <v>68</v>
      </c>
      <c r="D31552" t="s">
        <v>657</v>
      </c>
      <c r="F31552" s="2" t="str">
        <f>HYPERLINK("http://www.otzar.org/book.asp?157161","עלי הדס - 2 כר'")</f>
        <v>עלי הדס - 2 כר'</v>
      </c>
    </row>
    <row r="31553" spans="1:6" x14ac:dyDescent="0.2">
      <c r="A31553" t="s">
        <v>49390</v>
      </c>
      <c r="B31553" t="s">
        <v>31854</v>
      </c>
      <c r="C31553" t="s">
        <v>17</v>
      </c>
      <c r="D31553" t="s">
        <v>1550</v>
      </c>
      <c r="E31553" t="s">
        <v>674</v>
      </c>
      <c r="F31553" s="2" t="str">
        <f>HYPERLINK("http://www.otzar.org/book.asp?64223","עלי הקאת - קדושת שביעית")</f>
        <v>עלי הקאת - קדושת שביעית</v>
      </c>
    </row>
    <row r="31554" spans="1:6" x14ac:dyDescent="0.2">
      <c r="A31554" t="s">
        <v>49391</v>
      </c>
      <c r="B31554" t="s">
        <v>49392</v>
      </c>
      <c r="C31554" t="s">
        <v>189</v>
      </c>
      <c r="D31554" t="s">
        <v>52</v>
      </c>
      <c r="E31554" t="s">
        <v>144</v>
      </c>
      <c r="F31554" s="2" t="str">
        <f>HYPERLINK("http://www.otzar.org/book.asp?144337","עלי ורדים - 3 כר'")</f>
        <v>עלי ורדים - 3 כר'</v>
      </c>
    </row>
    <row r="31555" spans="1:6" x14ac:dyDescent="0.2">
      <c r="A31555" t="s">
        <v>49393</v>
      </c>
      <c r="B31555" t="s">
        <v>49394</v>
      </c>
      <c r="C31555" t="s">
        <v>114</v>
      </c>
      <c r="D31555" t="s">
        <v>14</v>
      </c>
      <c r="E31555" t="s">
        <v>786</v>
      </c>
      <c r="F31555" s="2" t="str">
        <f>HYPERLINK("http://www.otzar.org/book.asp?626581","עלי זבח")</f>
        <v>עלי זבח</v>
      </c>
    </row>
    <row r="31556" spans="1:6" x14ac:dyDescent="0.2">
      <c r="A31556" t="s">
        <v>49393</v>
      </c>
      <c r="B31556" t="s">
        <v>16509</v>
      </c>
      <c r="C31556" t="s">
        <v>189</v>
      </c>
      <c r="D31556" t="s">
        <v>14</v>
      </c>
      <c r="E31556" t="s">
        <v>148</v>
      </c>
      <c r="F31556" s="2" t="str">
        <f>HYPERLINK("http://www.otzar.org/book.asp?50068","עלי זבח")</f>
        <v>עלי זבח</v>
      </c>
    </row>
    <row r="31557" spans="1:6" x14ac:dyDescent="0.2">
      <c r="A31557" t="s">
        <v>49395</v>
      </c>
      <c r="B31557" t="s">
        <v>49395</v>
      </c>
      <c r="C31557" t="s">
        <v>8799</v>
      </c>
      <c r="D31557" t="s">
        <v>1023</v>
      </c>
      <c r="E31557" t="s">
        <v>579</v>
      </c>
      <c r="F31557" s="2" t="str">
        <f>HYPERLINK("http://www.otzar.org/book.asp?147293","עלי זית")</f>
        <v>עלי זית</v>
      </c>
    </row>
    <row r="31558" spans="1:6" x14ac:dyDescent="0.2">
      <c r="A31558" t="s">
        <v>49396</v>
      </c>
      <c r="B31558" t="s">
        <v>49397</v>
      </c>
      <c r="C31558" t="s">
        <v>23</v>
      </c>
      <c r="D31558" t="s">
        <v>52</v>
      </c>
      <c r="E31558" t="s">
        <v>104</v>
      </c>
      <c r="F31558" s="2" t="str">
        <f>HYPERLINK("http://www.otzar.org/book.asp?192803","עלי זכרון - 55 כר'")</f>
        <v>עלי זכרון - 55 כר'</v>
      </c>
    </row>
    <row r="31559" spans="1:6" x14ac:dyDescent="0.2">
      <c r="A31559" t="s">
        <v>49398</v>
      </c>
      <c r="B31559" t="s">
        <v>27784</v>
      </c>
      <c r="C31559" t="s">
        <v>103</v>
      </c>
      <c r="D31559" t="s">
        <v>423</v>
      </c>
      <c r="E31559" t="s">
        <v>15</v>
      </c>
      <c r="F31559" s="2" t="str">
        <f>HYPERLINK("http://www.otzar.org/book.asp?24980","עלי טהרה - 3 כר'")</f>
        <v>עלי טהרה - 3 כר'</v>
      </c>
    </row>
    <row r="31560" spans="1:6" x14ac:dyDescent="0.2">
      <c r="A31560" t="s">
        <v>49399</v>
      </c>
      <c r="B31560" t="s">
        <v>5618</v>
      </c>
      <c r="C31560" t="s">
        <v>189</v>
      </c>
      <c r="D31560" t="s">
        <v>52</v>
      </c>
      <c r="E31560" t="s">
        <v>234</v>
      </c>
      <c r="F31560" s="2" t="str">
        <f>HYPERLINK("http://www.otzar.org/book.asp?145092","עלי יגון אשר לשלמה")</f>
        <v>עלי יגון אשר לשלמה</v>
      </c>
    </row>
    <row r="31561" spans="1:6" x14ac:dyDescent="0.2">
      <c r="A31561" t="s">
        <v>49400</v>
      </c>
      <c r="B31561" t="s">
        <v>49401</v>
      </c>
      <c r="C31561" t="s">
        <v>51</v>
      </c>
      <c r="D31561" t="s">
        <v>52</v>
      </c>
      <c r="E31561" t="s">
        <v>202</v>
      </c>
      <c r="F31561" s="2" t="str">
        <f>HYPERLINK("http://www.otzar.org/book.asp?164975","עלי יגון בכיה ומספד")</f>
        <v>עלי יגון בכיה ומספד</v>
      </c>
    </row>
    <row r="31562" spans="1:6" x14ac:dyDescent="0.2">
      <c r="A31562" t="s">
        <v>49402</v>
      </c>
      <c r="B31562" t="s">
        <v>33341</v>
      </c>
      <c r="C31562" t="s">
        <v>17</v>
      </c>
      <c r="D31562" t="s">
        <v>412</v>
      </c>
      <c r="E31562" t="s">
        <v>144</v>
      </c>
      <c r="F31562" s="2" t="str">
        <f>HYPERLINK("http://www.otzar.org/book.asp?175617","עלי יוסף - 26 כר'")</f>
        <v>עלי יוסף - 26 כר'</v>
      </c>
    </row>
    <row r="31563" spans="1:6" x14ac:dyDescent="0.2">
      <c r="A31563" t="s">
        <v>49403</v>
      </c>
      <c r="B31563" t="s">
        <v>49404</v>
      </c>
      <c r="C31563" t="s">
        <v>151</v>
      </c>
      <c r="D31563" t="s">
        <v>52</v>
      </c>
      <c r="E31563" t="s">
        <v>674</v>
      </c>
      <c r="F31563" s="2" t="str">
        <f>HYPERLINK("http://www.otzar.org/book.asp?614549","עלי מים")</f>
        <v>עלי מים</v>
      </c>
    </row>
    <row r="31564" spans="1:6" x14ac:dyDescent="0.2">
      <c r="A31564" t="s">
        <v>49405</v>
      </c>
      <c r="B31564" t="s">
        <v>30233</v>
      </c>
      <c r="C31564" t="s">
        <v>767</v>
      </c>
      <c r="D31564" t="s">
        <v>52</v>
      </c>
      <c r="F31564" s="2" t="str">
        <f>HYPERLINK("http://www.otzar.org/book.asp?163292","עלי מרורות")</f>
        <v>עלי מרורות</v>
      </c>
    </row>
    <row r="31565" spans="1:6" x14ac:dyDescent="0.2">
      <c r="A31565" t="s">
        <v>49406</v>
      </c>
      <c r="B31565" t="s">
        <v>4956</v>
      </c>
      <c r="C31565" t="s">
        <v>17</v>
      </c>
      <c r="D31565" t="s">
        <v>14</v>
      </c>
      <c r="E31565" t="s">
        <v>140</v>
      </c>
      <c r="F31565" s="2" t="str">
        <f>HYPERLINK("http://www.otzar.org/book.asp?182256","עלי מרפא")</f>
        <v>עלי מרפא</v>
      </c>
    </row>
    <row r="31566" spans="1:6" x14ac:dyDescent="0.2">
      <c r="A31566" t="s">
        <v>49407</v>
      </c>
      <c r="B31566" t="s">
        <v>49408</v>
      </c>
      <c r="C31566" t="s">
        <v>37</v>
      </c>
      <c r="D31566" t="s">
        <v>1156</v>
      </c>
      <c r="E31566" t="s">
        <v>172</v>
      </c>
      <c r="F31566" s="2" t="str">
        <f>HYPERLINK("http://www.otzar.org/book.asp?193589","עלי משפט")</f>
        <v>עלי משפט</v>
      </c>
    </row>
    <row r="31567" spans="1:6" x14ac:dyDescent="0.2">
      <c r="A31567" t="s">
        <v>49409</v>
      </c>
      <c r="B31567" t="s">
        <v>49410</v>
      </c>
      <c r="C31567" t="s">
        <v>888</v>
      </c>
      <c r="D31567" t="s">
        <v>27</v>
      </c>
      <c r="E31567" t="s">
        <v>399</v>
      </c>
      <c r="F31567" s="2" t="str">
        <f>HYPERLINK("http://www.otzar.org/book.asp?103636","עלי נהר - 2 כר'")</f>
        <v>עלי נהר - 2 כר'</v>
      </c>
    </row>
    <row r="31568" spans="1:6" x14ac:dyDescent="0.2">
      <c r="A31568" t="s">
        <v>49411</v>
      </c>
      <c r="B31568" t="s">
        <v>8330</v>
      </c>
      <c r="C31568" t="s">
        <v>37</v>
      </c>
      <c r="D31568" t="s">
        <v>52</v>
      </c>
      <c r="F31568" s="2" t="str">
        <f>HYPERLINK("http://www.otzar.org/book.asp?613610","עלי נהר")</f>
        <v>עלי נהר</v>
      </c>
    </row>
    <row r="31569" spans="1:6" x14ac:dyDescent="0.2">
      <c r="A31569" t="s">
        <v>49412</v>
      </c>
      <c r="B31569" t="s">
        <v>49413</v>
      </c>
      <c r="C31569" t="s">
        <v>244</v>
      </c>
      <c r="D31569" t="s">
        <v>21</v>
      </c>
      <c r="E31569" t="s">
        <v>202</v>
      </c>
      <c r="F31569" s="2" t="str">
        <f>HYPERLINK("http://www.otzar.org/book.asp?601010","עלי עין")</f>
        <v>עלי עין</v>
      </c>
    </row>
    <row r="31570" spans="1:6" x14ac:dyDescent="0.2">
      <c r="A31570" t="s">
        <v>49412</v>
      </c>
      <c r="B31570" t="s">
        <v>1306</v>
      </c>
      <c r="C31570" t="s">
        <v>1954</v>
      </c>
      <c r="D31570" t="s">
        <v>27</v>
      </c>
      <c r="E31570" t="s">
        <v>15</v>
      </c>
      <c r="F31570" s="2" t="str">
        <f>HYPERLINK("http://www.otzar.org/book.asp?25862","עלי עין")</f>
        <v>עלי עין</v>
      </c>
    </row>
    <row r="31571" spans="1:6" x14ac:dyDescent="0.2">
      <c r="A31571" t="s">
        <v>49414</v>
      </c>
      <c r="B31571" t="s">
        <v>36214</v>
      </c>
      <c r="C31571" t="s">
        <v>411</v>
      </c>
      <c r="D31571" t="s">
        <v>139</v>
      </c>
      <c r="E31571" t="s">
        <v>399</v>
      </c>
      <c r="F31571" s="2" t="str">
        <f>HYPERLINK("http://www.otzar.org/book.asp?180269","עלי עין - 3 כר'")</f>
        <v>עלי עין - 3 כר'</v>
      </c>
    </row>
    <row r="31572" spans="1:6" x14ac:dyDescent="0.2">
      <c r="A31572" t="s">
        <v>49412</v>
      </c>
      <c r="B31572" t="s">
        <v>49415</v>
      </c>
      <c r="C31572" t="s">
        <v>366</v>
      </c>
      <c r="D31572" t="s">
        <v>52</v>
      </c>
      <c r="E31572" t="s">
        <v>202</v>
      </c>
      <c r="F31572" s="2" t="str">
        <f>HYPERLINK("http://www.otzar.org/book.asp?625603","עלי עין")</f>
        <v>עלי עין</v>
      </c>
    </row>
    <row r="31573" spans="1:6" x14ac:dyDescent="0.2">
      <c r="A31573" t="s">
        <v>49412</v>
      </c>
      <c r="B31573" t="s">
        <v>49412</v>
      </c>
      <c r="C31573" t="s">
        <v>176</v>
      </c>
      <c r="D31573" t="s">
        <v>14</v>
      </c>
      <c r="E31573" t="s">
        <v>213</v>
      </c>
      <c r="F31573" s="2" t="str">
        <f>HYPERLINK("http://www.otzar.org/book.asp?6523","עלי עין")</f>
        <v>עלי עין</v>
      </c>
    </row>
    <row r="31574" spans="1:6" x14ac:dyDescent="0.2">
      <c r="A31574" t="s">
        <v>49412</v>
      </c>
      <c r="B31574" t="s">
        <v>49416</v>
      </c>
      <c r="C31574" t="s">
        <v>8</v>
      </c>
      <c r="D31574" t="s">
        <v>726</v>
      </c>
      <c r="E31574" t="s">
        <v>579</v>
      </c>
      <c r="F31574" s="2" t="str">
        <f>HYPERLINK("http://www.otzar.org/book.asp?102111","עלי עין")</f>
        <v>עלי עין</v>
      </c>
    </row>
    <row r="31575" spans="1:6" x14ac:dyDescent="0.2">
      <c r="A31575" t="s">
        <v>49412</v>
      </c>
      <c r="B31575" t="s">
        <v>49417</v>
      </c>
      <c r="C31575" t="s">
        <v>146</v>
      </c>
      <c r="D31575" t="s">
        <v>14</v>
      </c>
      <c r="E31575" t="s">
        <v>241</v>
      </c>
      <c r="F31575" s="2" t="str">
        <f>HYPERLINK("http://www.otzar.org/book.asp?85752","עלי עין")</f>
        <v>עלי עין</v>
      </c>
    </row>
    <row r="31576" spans="1:6" x14ac:dyDescent="0.2">
      <c r="A31576" t="s">
        <v>49418</v>
      </c>
      <c r="B31576" t="s">
        <v>5143</v>
      </c>
      <c r="C31576" t="s">
        <v>383</v>
      </c>
      <c r="D31576" t="s">
        <v>49419</v>
      </c>
      <c r="E31576" t="s">
        <v>119</v>
      </c>
      <c r="F31576" s="2" t="str">
        <f>HYPERLINK("http://www.otzar.org/book.asp?165878","עלי עשור ועלי נאבל")</f>
        <v>עלי עשור ועלי נאבל</v>
      </c>
    </row>
    <row r="31577" spans="1:6" x14ac:dyDescent="0.2">
      <c r="A31577" t="s">
        <v>49420</v>
      </c>
      <c r="B31577" t="s">
        <v>24510</v>
      </c>
      <c r="C31577" t="s">
        <v>1268</v>
      </c>
      <c r="D31577" t="s">
        <v>115</v>
      </c>
      <c r="E31577" t="s">
        <v>15</v>
      </c>
      <c r="F31577" s="2" t="str">
        <f>HYPERLINK("http://www.otzar.org/book.asp?179026","עלי עשור - כנור דוד")</f>
        <v>עלי עשור - כנור דוד</v>
      </c>
    </row>
    <row r="31578" spans="1:6" x14ac:dyDescent="0.2">
      <c r="A31578" t="s">
        <v>49421</v>
      </c>
      <c r="B31578" t="s">
        <v>49422</v>
      </c>
      <c r="C31578" t="s">
        <v>114</v>
      </c>
      <c r="D31578" t="s">
        <v>52</v>
      </c>
      <c r="E31578" t="s">
        <v>975</v>
      </c>
      <c r="F31578" s="2" t="str">
        <f>HYPERLINK("http://www.otzar.org/book.asp?162115","עלי ציון - 3 כר'")</f>
        <v>עלי ציון - 3 כר'</v>
      </c>
    </row>
    <row r="31579" spans="1:6" x14ac:dyDescent="0.2">
      <c r="A31579" t="s">
        <v>49423</v>
      </c>
      <c r="B31579" t="s">
        <v>49424</v>
      </c>
      <c r="C31579" t="s">
        <v>13</v>
      </c>
      <c r="D31579" t="s">
        <v>657</v>
      </c>
      <c r="E31579" t="s">
        <v>154</v>
      </c>
      <c r="F31579" s="2" t="str">
        <f>HYPERLINK("http://www.otzar.org/book.asp?147823","עלי שי""ח - שו""ת מהגרח""ק קנייבסקי שליט""א")</f>
        <v>עלי שי"ח - שו"ת מהגרח"ק קנייבסקי שליט"א</v>
      </c>
    </row>
    <row r="31580" spans="1:6" x14ac:dyDescent="0.2">
      <c r="A31580" t="s">
        <v>49425</v>
      </c>
      <c r="B31580" t="s">
        <v>49426</v>
      </c>
      <c r="C31580" t="s">
        <v>146</v>
      </c>
      <c r="D31580" t="s">
        <v>52</v>
      </c>
      <c r="E31580" t="s">
        <v>384</v>
      </c>
      <c r="F31580" s="2" t="str">
        <f>HYPERLINK("http://www.otzar.org/book.asp?161541","עלי שיח")</f>
        <v>עלי שיח</v>
      </c>
    </row>
    <row r="31581" spans="1:6" x14ac:dyDescent="0.2">
      <c r="A31581" t="s">
        <v>49427</v>
      </c>
      <c r="B31581" t="s">
        <v>49428</v>
      </c>
      <c r="C31581" t="s">
        <v>334</v>
      </c>
      <c r="D31581" t="s">
        <v>216</v>
      </c>
      <c r="E31581" t="s">
        <v>1097</v>
      </c>
      <c r="F31581" s="2" t="str">
        <f>HYPERLINK("http://www.otzar.org/book.asp?62006","עלי תמר - 7 כר'")</f>
        <v>עלי תמר - 7 כר'</v>
      </c>
    </row>
    <row r="31582" spans="1:6" x14ac:dyDescent="0.2">
      <c r="A31582" t="s">
        <v>49429</v>
      </c>
      <c r="B31582" t="s">
        <v>1750</v>
      </c>
      <c r="C31582" t="s">
        <v>533</v>
      </c>
      <c r="D31582" t="s">
        <v>14</v>
      </c>
      <c r="E31582" t="s">
        <v>202</v>
      </c>
      <c r="F31582" s="2" t="str">
        <f>HYPERLINK("http://www.otzar.org/book.asp?84786","עלי תמרים - 3 כר'")</f>
        <v>עלי תמרים - 3 כר'</v>
      </c>
    </row>
    <row r="31583" spans="1:6" x14ac:dyDescent="0.2">
      <c r="A31583" t="s">
        <v>49430</v>
      </c>
      <c r="B31583" t="s">
        <v>49431</v>
      </c>
      <c r="E31583" t="s">
        <v>2054</v>
      </c>
      <c r="F31583" s="2" t="str">
        <f>HYPERLINK("http://www.otzar.org/book.asp?630274","עליהם הוא יחיה")</f>
        <v>עליהם הוא יחיה</v>
      </c>
    </row>
    <row r="31584" spans="1:6" x14ac:dyDescent="0.2">
      <c r="A31584" t="s">
        <v>49432</v>
      </c>
      <c r="B31584" t="s">
        <v>21096</v>
      </c>
      <c r="C31584" t="s">
        <v>20</v>
      </c>
      <c r="D31584" t="s">
        <v>90</v>
      </c>
      <c r="F31584" s="2" t="str">
        <f>HYPERLINK("http://www.otzar.org/book.asp?613278","עליות אליהו")</f>
        <v>עליות אליהו</v>
      </c>
    </row>
    <row r="31585" spans="1:6" x14ac:dyDescent="0.2">
      <c r="A31585" t="s">
        <v>49433</v>
      </c>
      <c r="B31585" t="s">
        <v>14038</v>
      </c>
      <c r="C31585" t="s">
        <v>785</v>
      </c>
      <c r="D31585" t="s">
        <v>14</v>
      </c>
      <c r="E31585" t="s">
        <v>119</v>
      </c>
      <c r="F31585" s="2" t="str">
        <f>HYPERLINK("http://www.otzar.org/book.asp?142137","עליות אליהו - 2 כר'")</f>
        <v>עליות אליהו - 2 כר'</v>
      </c>
    </row>
    <row r="31586" spans="1:6" x14ac:dyDescent="0.2">
      <c r="A31586" t="s">
        <v>49434</v>
      </c>
      <c r="B31586" t="s">
        <v>1574</v>
      </c>
      <c r="C31586" t="s">
        <v>334</v>
      </c>
      <c r="D31586" t="s">
        <v>14</v>
      </c>
      <c r="E31586" t="s">
        <v>144</v>
      </c>
      <c r="F31586" s="2" t="str">
        <f>HYPERLINK("http://www.otzar.org/book.asp?11639","עליות דרבינו יונה ב""ב - 2 כר'")</f>
        <v>עליות דרבינו יונה ב"ב - 2 כר'</v>
      </c>
    </row>
    <row r="31587" spans="1:6" x14ac:dyDescent="0.2">
      <c r="A31587" t="s">
        <v>49435</v>
      </c>
      <c r="B31587" t="s">
        <v>8609</v>
      </c>
      <c r="C31587" t="s">
        <v>244</v>
      </c>
      <c r="D31587" t="s">
        <v>14</v>
      </c>
      <c r="E31587" t="s">
        <v>241</v>
      </c>
      <c r="F31587" s="2" t="str">
        <f>HYPERLINK("http://www.otzar.org/book.asp?601326","עליות התשובה")</f>
        <v>עליות התשובה</v>
      </c>
    </row>
    <row r="31588" spans="1:6" x14ac:dyDescent="0.2">
      <c r="A31588" t="s">
        <v>49436</v>
      </c>
      <c r="B31588" t="s">
        <v>49437</v>
      </c>
      <c r="C31588" t="s">
        <v>2543</v>
      </c>
      <c r="D31588" t="s">
        <v>225</v>
      </c>
      <c r="E31588" t="s">
        <v>144</v>
      </c>
      <c r="F31588" s="2" t="str">
        <f>HYPERLINK("http://www.otzar.org/book.asp?23847","עליות מנחם")</f>
        <v>עליות מנחם</v>
      </c>
    </row>
    <row r="31589" spans="1:6" x14ac:dyDescent="0.2">
      <c r="A31589" t="s">
        <v>49438</v>
      </c>
      <c r="B31589" t="s">
        <v>49439</v>
      </c>
      <c r="C31589" t="s">
        <v>383</v>
      </c>
      <c r="D31589" t="s">
        <v>14</v>
      </c>
      <c r="E31589" t="s">
        <v>15</v>
      </c>
      <c r="F31589" s="2" t="str">
        <f>HYPERLINK("http://www.otzar.org/book.asp?601076","עליות משה - 3 כר'")</f>
        <v>עליות משה - 3 כר'</v>
      </c>
    </row>
    <row r="31590" spans="1:6" x14ac:dyDescent="0.2">
      <c r="A31590" t="s">
        <v>49440</v>
      </c>
      <c r="B31590" t="s">
        <v>2663</v>
      </c>
      <c r="C31590" t="s">
        <v>189</v>
      </c>
      <c r="D31590" t="s">
        <v>52</v>
      </c>
      <c r="F31590" s="2" t="str">
        <f>HYPERLINK("http://www.otzar.org/book.asp?190935","עליות פיקודיך - 2 כר'")</f>
        <v>עליות פיקודיך - 2 כר'</v>
      </c>
    </row>
    <row r="31591" spans="1:6" x14ac:dyDescent="0.2">
      <c r="A31591" t="s">
        <v>49441</v>
      </c>
      <c r="B31591" t="s">
        <v>49442</v>
      </c>
      <c r="C31591" t="s">
        <v>366</v>
      </c>
      <c r="D31591" t="s">
        <v>14998</v>
      </c>
      <c r="E31591" t="s">
        <v>144</v>
      </c>
      <c r="F31591" s="2" t="str">
        <f>HYPERLINK("http://www.otzar.org/book.asp?623376","עליות שמואל")</f>
        <v>עליות שמואל</v>
      </c>
    </row>
    <row r="31592" spans="1:6" x14ac:dyDescent="0.2">
      <c r="A31592" t="s">
        <v>49443</v>
      </c>
      <c r="B31592" t="s">
        <v>49444</v>
      </c>
      <c r="C31592" t="s">
        <v>419</v>
      </c>
      <c r="D31592" t="s">
        <v>11652</v>
      </c>
      <c r="E31592" t="s">
        <v>733</v>
      </c>
      <c r="F31592" s="2" t="str">
        <f>HYPERLINK("http://www.otzar.org/book.asp?64232","עליית קהילת יהודי ביצ'א מתימן")</f>
        <v>עליית קהילת יהודי ביצ'א מתימן</v>
      </c>
    </row>
    <row r="31593" spans="1:6" x14ac:dyDescent="0.2">
      <c r="A31593" t="s">
        <v>49445</v>
      </c>
      <c r="B31593" t="s">
        <v>49446</v>
      </c>
      <c r="C31593" t="s">
        <v>19842</v>
      </c>
      <c r="D31593" t="s">
        <v>1490</v>
      </c>
      <c r="E31593" t="s">
        <v>467</v>
      </c>
      <c r="F31593" s="2" t="str">
        <f>HYPERLINK("http://www.otzar.org/book.asp?63838","עליית קיר קטנה - 2 כר'")</f>
        <v>עליית קיר קטנה - 2 כר'</v>
      </c>
    </row>
    <row r="31594" spans="1:6" x14ac:dyDescent="0.2">
      <c r="A31594" t="s">
        <v>49447</v>
      </c>
      <c r="B31594" t="s">
        <v>49448</v>
      </c>
      <c r="C31594" t="s">
        <v>366</v>
      </c>
      <c r="D31594" t="s">
        <v>4549</v>
      </c>
      <c r="E31594" t="s">
        <v>104</v>
      </c>
      <c r="F31594" s="2" t="str">
        <f>HYPERLINK("http://www.otzar.org/book.asp?623377","עליית שלמה")</f>
        <v>עליית שלמה</v>
      </c>
    </row>
    <row r="31595" spans="1:6" x14ac:dyDescent="0.2">
      <c r="A31595" t="s">
        <v>49449</v>
      </c>
      <c r="B31595" t="s">
        <v>49450</v>
      </c>
      <c r="C31595" t="s">
        <v>49451</v>
      </c>
      <c r="D31595" t="s">
        <v>24677</v>
      </c>
      <c r="E31595" t="s">
        <v>104</v>
      </c>
      <c r="F31595" s="2" t="str">
        <f>HYPERLINK("http://www.otzar.org/book.asp?627314","עלים לביבליוגרפיה וקורות ישראל - 8 כר'")</f>
        <v>עלים לביבליוגרפיה וקורות ישראל - 8 כר'</v>
      </c>
    </row>
    <row r="31596" spans="1:6" x14ac:dyDescent="0.2">
      <c r="A31596" t="s">
        <v>49452</v>
      </c>
      <c r="B31596" t="s">
        <v>13274</v>
      </c>
      <c r="C31596" t="s">
        <v>3475</v>
      </c>
      <c r="D31596" t="s">
        <v>18739</v>
      </c>
      <c r="E31596" t="s">
        <v>3736</v>
      </c>
      <c r="F31596" s="2" t="str">
        <f>HYPERLINK("http://www.otzar.org/book.asp?168916","עלים למבחן")</f>
        <v>עלים למבחן</v>
      </c>
    </row>
    <row r="31597" spans="1:6" x14ac:dyDescent="0.2">
      <c r="A31597" t="s">
        <v>49453</v>
      </c>
      <c r="B31597" t="s">
        <v>49454</v>
      </c>
      <c r="C31597" t="s">
        <v>8375</v>
      </c>
      <c r="D31597" t="s">
        <v>25788</v>
      </c>
      <c r="E31597" t="s">
        <v>213</v>
      </c>
      <c r="F31597" s="2" t="str">
        <f>HYPERLINK("http://www.otzar.org/book.asp?53532","עלים לתרופה (אגרת הרמב""ן, אגרת הגר""א) - 2 כר'")</f>
        <v>עלים לתרופה (אגרת הרמב"ן, אגרת הגר"א) - 2 כר'</v>
      </c>
    </row>
    <row r="31598" spans="1:6" x14ac:dyDescent="0.2">
      <c r="A31598" t="s">
        <v>49455</v>
      </c>
      <c r="B31598" t="s">
        <v>26000</v>
      </c>
      <c r="C31598" t="s">
        <v>1246</v>
      </c>
      <c r="D31598" t="s">
        <v>9</v>
      </c>
      <c r="E31598" t="s">
        <v>49456</v>
      </c>
      <c r="F31598" s="2" t="str">
        <f>HYPERLINK("http://www.otzar.org/book.asp?10578","עלים לתרופה מכתבי מוהרנ""ת - 3 כר'")</f>
        <v>עלים לתרופה מכתבי מוהרנ"ת - 3 כר'</v>
      </c>
    </row>
    <row r="31599" spans="1:6" x14ac:dyDescent="0.2">
      <c r="A31599" t="s">
        <v>49457</v>
      </c>
      <c r="B31599" t="s">
        <v>1821</v>
      </c>
      <c r="C31599" t="s">
        <v>20</v>
      </c>
      <c r="D31599" t="s">
        <v>14</v>
      </c>
      <c r="E31599" t="s">
        <v>213</v>
      </c>
      <c r="F31599" s="2" t="str">
        <f>HYPERLINK("http://www.otzar.org/book.asp?6236","עלים לתרופה")</f>
        <v>עלים לתרופה</v>
      </c>
    </row>
    <row r="31600" spans="1:6" x14ac:dyDescent="0.2">
      <c r="A31600" t="s">
        <v>49458</v>
      </c>
      <c r="B31600" t="s">
        <v>26211</v>
      </c>
      <c r="C31600" t="s">
        <v>103</v>
      </c>
      <c r="D31600" t="s">
        <v>14</v>
      </c>
      <c r="E31600" t="s">
        <v>3516</v>
      </c>
      <c r="F31600" s="2" t="str">
        <f>HYPERLINK("http://www.otzar.org/book.asp?171020","עלים לתרופה - דורש לציון - תועפות רא""ם")</f>
        <v>עלים לתרופה - דורש לציון - תועפות רא"ם</v>
      </c>
    </row>
    <row r="31601" spans="1:6" x14ac:dyDescent="0.2">
      <c r="A31601" t="s">
        <v>49457</v>
      </c>
      <c r="B31601" t="s">
        <v>278</v>
      </c>
      <c r="C31601" t="s">
        <v>49459</v>
      </c>
      <c r="D31601" t="s">
        <v>729</v>
      </c>
      <c r="E31601" t="s">
        <v>158</v>
      </c>
      <c r="F31601" s="2" t="str">
        <f>HYPERLINK("http://www.otzar.org/book.asp?614574","עלים לתרופה")</f>
        <v>עלים לתרופה</v>
      </c>
    </row>
    <row r="31602" spans="1:6" x14ac:dyDescent="0.2">
      <c r="A31602" t="s">
        <v>49457</v>
      </c>
      <c r="B31602" t="s">
        <v>1552</v>
      </c>
      <c r="C31602" t="s">
        <v>550</v>
      </c>
      <c r="D31602" t="s">
        <v>6608</v>
      </c>
      <c r="E31602" t="s">
        <v>241</v>
      </c>
      <c r="F31602" s="2" t="str">
        <f>HYPERLINK("http://www.otzar.org/book.asp?173085","עלים לתרופה")</f>
        <v>עלים לתרופה</v>
      </c>
    </row>
    <row r="31603" spans="1:6" x14ac:dyDescent="0.2">
      <c r="A31603" t="s">
        <v>49460</v>
      </c>
      <c r="B31603" t="s">
        <v>49461</v>
      </c>
      <c r="C31603" t="s">
        <v>103</v>
      </c>
      <c r="D31603" t="s">
        <v>3283</v>
      </c>
      <c r="E31603" t="s">
        <v>5392</v>
      </c>
      <c r="F31603" s="2" t="str">
        <f>HYPERLINK("http://www.otzar.org/book.asp?158197","עלים לתרופה - 3 כר'")</f>
        <v>עלים לתרופה - 3 כר'</v>
      </c>
    </row>
    <row r="31604" spans="1:6" x14ac:dyDescent="0.2">
      <c r="A31604" t="s">
        <v>49457</v>
      </c>
      <c r="B31604" t="s">
        <v>26000</v>
      </c>
      <c r="C31604" t="s">
        <v>1885</v>
      </c>
      <c r="D31604" t="s">
        <v>4269</v>
      </c>
      <c r="E31604" t="s">
        <v>741</v>
      </c>
      <c r="F31604" s="2" t="str">
        <f>HYPERLINK("http://www.otzar.org/book.asp?102112","עלים לתרופה")</f>
        <v>עלים לתרופה</v>
      </c>
    </row>
    <row r="31605" spans="1:6" x14ac:dyDescent="0.2">
      <c r="A31605" t="s">
        <v>49462</v>
      </c>
      <c r="B31605" t="s">
        <v>49463</v>
      </c>
      <c r="C31605" t="s">
        <v>454</v>
      </c>
      <c r="D31605" t="s">
        <v>52</v>
      </c>
      <c r="E31605" t="s">
        <v>733</v>
      </c>
      <c r="F31605" s="2" t="str">
        <f>HYPERLINK("http://www.otzar.org/book.asp?189896","עלית מרבד הקסמים")</f>
        <v>עלית מרבד הקסמים</v>
      </c>
    </row>
    <row r="31606" spans="1:6" x14ac:dyDescent="0.2">
      <c r="A31606" t="s">
        <v>49464</v>
      </c>
      <c r="B31606" t="s">
        <v>49465</v>
      </c>
      <c r="C31606" t="s">
        <v>1437</v>
      </c>
      <c r="D31606" t="s">
        <v>49466</v>
      </c>
      <c r="E31606" t="s">
        <v>104</v>
      </c>
      <c r="F31606" s="2" t="str">
        <f>HYPERLINK("http://www.otzar.org/book.asp?196231","עלית משה")</f>
        <v>עלית משה</v>
      </c>
    </row>
    <row r="31607" spans="1:6" x14ac:dyDescent="0.2">
      <c r="A31607" t="s">
        <v>49467</v>
      </c>
      <c r="B31607" t="s">
        <v>49468</v>
      </c>
      <c r="C31607" t="s">
        <v>6203</v>
      </c>
      <c r="D31607" t="s">
        <v>212</v>
      </c>
      <c r="E31607" t="s">
        <v>957</v>
      </c>
      <c r="F31607" s="2" t="str">
        <f>HYPERLINK("http://www.otzar.org/book.asp?104056","עללת הבציר")</f>
        <v>עללת הבציר</v>
      </c>
    </row>
    <row r="31608" spans="1:6" x14ac:dyDescent="0.2">
      <c r="A31608" t="s">
        <v>49469</v>
      </c>
      <c r="B31608" t="s">
        <v>24475</v>
      </c>
      <c r="C31608" t="s">
        <v>1208</v>
      </c>
      <c r="D31608" t="s">
        <v>52</v>
      </c>
      <c r="E31608" t="s">
        <v>24</v>
      </c>
      <c r="F31608" s="2" t="str">
        <f>HYPERLINK("http://www.otzar.org/book.asp?143842","עלת החדש")</f>
        <v>עלת החדש</v>
      </c>
    </row>
    <row r="31609" spans="1:6" x14ac:dyDescent="0.2">
      <c r="A31609" t="s">
        <v>49470</v>
      </c>
      <c r="B31609" t="s">
        <v>6977</v>
      </c>
      <c r="C31609" t="s">
        <v>775</v>
      </c>
      <c r="D31609" t="s">
        <v>27</v>
      </c>
      <c r="E31609" t="s">
        <v>219</v>
      </c>
      <c r="F31609" s="2" t="str">
        <f>HYPERLINK("http://www.otzar.org/book.asp?106752","עלת תמיד &lt;מנוקד&gt;")</f>
        <v>עלת תמיד &lt;מנוקד&gt;</v>
      </c>
    </row>
    <row r="31610" spans="1:6" x14ac:dyDescent="0.2">
      <c r="A31610" t="s">
        <v>49471</v>
      </c>
      <c r="B31610" t="s">
        <v>6977</v>
      </c>
      <c r="C31610" t="s">
        <v>1062</v>
      </c>
      <c r="D31610" t="s">
        <v>27</v>
      </c>
      <c r="E31610" t="s">
        <v>219</v>
      </c>
      <c r="F31610" s="2" t="str">
        <f>HYPERLINK("http://www.otzar.org/book.asp?15376","עלת תמיד")</f>
        <v>עלת תמיד</v>
      </c>
    </row>
    <row r="31611" spans="1:6" x14ac:dyDescent="0.2">
      <c r="A31611" t="s">
        <v>49472</v>
      </c>
      <c r="B31611" t="s">
        <v>31729</v>
      </c>
      <c r="C31611" t="s">
        <v>356</v>
      </c>
      <c r="D31611" t="s">
        <v>52</v>
      </c>
      <c r="E31611" t="s">
        <v>241</v>
      </c>
      <c r="F31611" s="2" t="str">
        <f>HYPERLINK("http://www.otzar.org/book.asp?154202","עם השם - 2 כר'")</f>
        <v>עם השם - 2 כר'</v>
      </c>
    </row>
    <row r="31612" spans="1:6" x14ac:dyDescent="0.2">
      <c r="A31612" t="s">
        <v>49473</v>
      </c>
      <c r="B31612" t="s">
        <v>16878</v>
      </c>
      <c r="C31612" t="s">
        <v>442</v>
      </c>
      <c r="D31612" t="s">
        <v>260</v>
      </c>
      <c r="E31612" t="s">
        <v>213</v>
      </c>
      <c r="F31612" s="2" t="str">
        <f>HYPERLINK("http://www.otzar.org/book.asp?107098","עם התורה המאורגן")</f>
        <v>עם התורה המאורגן</v>
      </c>
    </row>
    <row r="31613" spans="1:6" x14ac:dyDescent="0.2">
      <c r="A31613" t="s">
        <v>49474</v>
      </c>
      <c r="B31613" t="s">
        <v>49475</v>
      </c>
      <c r="C31613" t="s">
        <v>767</v>
      </c>
      <c r="D31613" t="s">
        <v>52</v>
      </c>
      <c r="E31613" t="s">
        <v>119</v>
      </c>
      <c r="F31613" s="2" t="str">
        <f>HYPERLINK("http://www.otzar.org/book.asp?60719","עם התורה מסביב לעולם - 3 כר'")</f>
        <v>עם התורה מסביב לעולם - 3 כר'</v>
      </c>
    </row>
    <row r="31614" spans="1:6" x14ac:dyDescent="0.2">
      <c r="A31614" t="s">
        <v>49476</v>
      </c>
      <c r="B31614" t="s">
        <v>49477</v>
      </c>
      <c r="C31614" t="s">
        <v>390</v>
      </c>
      <c r="D31614" t="s">
        <v>412</v>
      </c>
      <c r="E31614" t="s">
        <v>703</v>
      </c>
      <c r="F31614" s="2" t="str">
        <f>HYPERLINK("http://www.otzar.org/book.asp?156992","עם התורה")</f>
        <v>עם התורה</v>
      </c>
    </row>
    <row r="31615" spans="1:6" x14ac:dyDescent="0.2">
      <c r="A31615" t="s">
        <v>49478</v>
      </c>
      <c r="B31615" t="s">
        <v>1750</v>
      </c>
      <c r="C31615" t="s">
        <v>1570</v>
      </c>
      <c r="D31615" t="s">
        <v>412</v>
      </c>
      <c r="E31615" t="s">
        <v>202</v>
      </c>
      <c r="F31615" s="2" t="str">
        <f>HYPERLINK("http://www.otzar.org/book.asp?624484","עם התורה - 60 כר'")</f>
        <v>עם התורה - 60 כר'</v>
      </c>
    </row>
    <row r="31616" spans="1:6" x14ac:dyDescent="0.2">
      <c r="A31616" t="s">
        <v>49479</v>
      </c>
      <c r="B31616" t="s">
        <v>8123</v>
      </c>
      <c r="C31616" t="s">
        <v>68</v>
      </c>
      <c r="D31616" t="s">
        <v>6853</v>
      </c>
      <c r="E31616" t="s">
        <v>104</v>
      </c>
      <c r="F31616" s="2" t="str">
        <f>HYPERLINK("http://www.otzar.org/book.asp?620411","עם וארצו - ב")</f>
        <v>עם וארצו - ב</v>
      </c>
    </row>
    <row r="31617" spans="1:6" x14ac:dyDescent="0.2">
      <c r="A31617" t="s">
        <v>49480</v>
      </c>
      <c r="B31617" t="s">
        <v>7945</v>
      </c>
      <c r="C31617" t="s">
        <v>103</v>
      </c>
      <c r="D31617" t="s">
        <v>14</v>
      </c>
      <c r="E31617" t="s">
        <v>158</v>
      </c>
      <c r="F31617" s="2" t="str">
        <f>HYPERLINK("http://www.otzar.org/book.asp?151180","עם לבבי אשיחה - 2 כר'")</f>
        <v>עם לבבי אשיחה - 2 כר'</v>
      </c>
    </row>
    <row r="31618" spans="1:6" x14ac:dyDescent="0.2">
      <c r="A31618" t="s">
        <v>49481</v>
      </c>
      <c r="B31618" t="s">
        <v>5867</v>
      </c>
      <c r="C31618" t="s">
        <v>313</v>
      </c>
      <c r="D31618" t="s">
        <v>52</v>
      </c>
      <c r="E31618" t="s">
        <v>119</v>
      </c>
      <c r="F31618" s="2" t="str">
        <f>HYPERLINK("http://www.otzar.org/book.asp?153872","עם לבדד ישכון")</f>
        <v>עם לבדד ישכון</v>
      </c>
    </row>
    <row r="31619" spans="1:6" x14ac:dyDescent="0.2">
      <c r="A31619" t="s">
        <v>49481</v>
      </c>
      <c r="B31619" t="s">
        <v>49482</v>
      </c>
      <c r="C31619" t="s">
        <v>37</v>
      </c>
      <c r="D31619" t="s">
        <v>52</v>
      </c>
      <c r="E31619" t="s">
        <v>104</v>
      </c>
      <c r="F31619" s="2" t="str">
        <f>HYPERLINK("http://www.otzar.org/book.asp?191089","עם לבדד ישכון")</f>
        <v>עם לבדד ישכון</v>
      </c>
    </row>
    <row r="31620" spans="1:6" x14ac:dyDescent="0.2">
      <c r="A31620" t="s">
        <v>49483</v>
      </c>
      <c r="B31620" t="s">
        <v>107</v>
      </c>
      <c r="C31620" t="s">
        <v>103</v>
      </c>
      <c r="D31620" t="s">
        <v>14</v>
      </c>
      <c r="E31620" t="s">
        <v>674</v>
      </c>
      <c r="F31620" s="2" t="str">
        <f>HYPERLINK("http://www.otzar.org/book.asp?84031","עם לבדד - 2 כר'")</f>
        <v>עם לבדד - 2 כר'</v>
      </c>
    </row>
    <row r="31621" spans="1:6" x14ac:dyDescent="0.2">
      <c r="A31621" t="s">
        <v>49484</v>
      </c>
      <c r="B31621" t="s">
        <v>49485</v>
      </c>
      <c r="C31621" t="s">
        <v>20</v>
      </c>
      <c r="D31621" t="s">
        <v>90</v>
      </c>
      <c r="E31621" t="s">
        <v>246</v>
      </c>
      <c r="F31621" s="2" t="str">
        <f>HYPERLINK("http://www.otzar.org/book.asp?623686","עם מקדשי שביעי")</f>
        <v>עם מקדשי שביעי</v>
      </c>
    </row>
    <row r="31622" spans="1:6" x14ac:dyDescent="0.2">
      <c r="A31622" t="s">
        <v>49484</v>
      </c>
      <c r="B31622" t="s">
        <v>28686</v>
      </c>
      <c r="C31622" t="s">
        <v>146</v>
      </c>
      <c r="D31622" t="s">
        <v>52</v>
      </c>
      <c r="E31622" t="s">
        <v>130</v>
      </c>
      <c r="F31622" s="2" t="str">
        <f>HYPERLINK("http://www.otzar.org/book.asp?145566","עם מקדשי שביעי")</f>
        <v>עם מקדשי שביעי</v>
      </c>
    </row>
    <row r="31623" spans="1:6" x14ac:dyDescent="0.2">
      <c r="A31623" t="s">
        <v>49486</v>
      </c>
      <c r="B31623" t="s">
        <v>49487</v>
      </c>
      <c r="C31623" t="s">
        <v>189</v>
      </c>
      <c r="D31623" t="s">
        <v>412</v>
      </c>
      <c r="E31623" t="s">
        <v>15</v>
      </c>
      <c r="F31623" s="2" t="str">
        <f>HYPERLINK("http://www.otzar.org/book.asp?83686","עם מרדכי")</f>
        <v>עם מרדכי</v>
      </c>
    </row>
    <row r="31624" spans="1:6" x14ac:dyDescent="0.2">
      <c r="A31624" t="s">
        <v>49486</v>
      </c>
      <c r="B31624" t="s">
        <v>49488</v>
      </c>
      <c r="C31624" t="s">
        <v>1374</v>
      </c>
      <c r="D31624" t="s">
        <v>27</v>
      </c>
      <c r="E31624" t="s">
        <v>234</v>
      </c>
      <c r="F31624" s="2" t="str">
        <f>HYPERLINK("http://www.otzar.org/book.asp?150166","עם מרדכי")</f>
        <v>עם מרדכי</v>
      </c>
    </row>
    <row r="31625" spans="1:6" x14ac:dyDescent="0.2">
      <c r="A31625" t="s">
        <v>49489</v>
      </c>
      <c r="B31625" t="s">
        <v>49490</v>
      </c>
      <c r="C31625" t="s">
        <v>454</v>
      </c>
      <c r="D31625" t="s">
        <v>14</v>
      </c>
      <c r="E31625" t="s">
        <v>564</v>
      </c>
      <c r="F31625" s="2" t="str">
        <f>HYPERLINK("http://www.otzar.org/book.asp?52926","עם נושע בה'")</f>
        <v>עם נושע בה'</v>
      </c>
    </row>
    <row r="31626" spans="1:6" x14ac:dyDescent="0.2">
      <c r="A31626" t="s">
        <v>49489</v>
      </c>
      <c r="B31626" t="s">
        <v>10819</v>
      </c>
      <c r="C31626" t="s">
        <v>68</v>
      </c>
      <c r="D31626" t="s">
        <v>14</v>
      </c>
      <c r="E31626" t="s">
        <v>241</v>
      </c>
      <c r="F31626" s="2" t="str">
        <f>HYPERLINK("http://www.otzar.org/book.asp?629455","עם נושע בה'")</f>
        <v>עם נושע בה'</v>
      </c>
    </row>
    <row r="31627" spans="1:6" x14ac:dyDescent="0.2">
      <c r="A31627" t="s">
        <v>49491</v>
      </c>
      <c r="B31627" t="s">
        <v>49492</v>
      </c>
      <c r="C31627" t="s">
        <v>160</v>
      </c>
      <c r="D31627" t="s">
        <v>260</v>
      </c>
      <c r="E31627" t="s">
        <v>119</v>
      </c>
      <c r="F31627" s="2" t="str">
        <f>HYPERLINK("http://www.otzar.org/book.asp?182114","עם נחלת יצחק מראשיתה")</f>
        <v>עם נחלת יצחק מראשיתה</v>
      </c>
    </row>
    <row r="31628" spans="1:6" x14ac:dyDescent="0.2">
      <c r="A31628" t="s">
        <v>49493</v>
      </c>
      <c r="B31628" t="s">
        <v>44431</v>
      </c>
      <c r="C31628" t="s">
        <v>547</v>
      </c>
      <c r="D31628" t="s">
        <v>27</v>
      </c>
      <c r="E31628" t="s">
        <v>7754</v>
      </c>
      <c r="F31628" s="2" t="str">
        <f>HYPERLINK("http://www.otzar.org/book.asp?789","עם נקודות הכסף")</f>
        <v>עם נקודות הכסף</v>
      </c>
    </row>
    <row r="31629" spans="1:6" x14ac:dyDescent="0.2">
      <c r="A31629" t="s">
        <v>49494</v>
      </c>
      <c r="B31629" t="s">
        <v>49495</v>
      </c>
      <c r="C31629" t="s">
        <v>151</v>
      </c>
      <c r="D31629" t="s">
        <v>6540</v>
      </c>
      <c r="F31629" s="2" t="str">
        <f>HYPERLINK("http://www.otzar.org/book.asp?615293","עם סגולה")</f>
        <v>עם סגולה</v>
      </c>
    </row>
    <row r="31630" spans="1:6" x14ac:dyDescent="0.2">
      <c r="A31630" t="s">
        <v>49496</v>
      </c>
      <c r="B31630" t="s">
        <v>32008</v>
      </c>
      <c r="C31630" t="s">
        <v>17</v>
      </c>
      <c r="D31630" t="s">
        <v>4223</v>
      </c>
      <c r="F31630" s="2" t="str">
        <f>HYPERLINK("http://www.otzar.org/book.asp?190692","עם סגולה - 2 כר'")</f>
        <v>עם סגולה - 2 כר'</v>
      </c>
    </row>
    <row r="31631" spans="1:6" x14ac:dyDescent="0.2">
      <c r="A31631" t="s">
        <v>49497</v>
      </c>
      <c r="B31631" t="s">
        <v>49498</v>
      </c>
      <c r="C31631" t="s">
        <v>244</v>
      </c>
      <c r="D31631" t="s">
        <v>657</v>
      </c>
      <c r="F31631" s="2" t="str">
        <f>HYPERLINK("http://www.otzar.org/book.asp?197528","עם סגולה - 6 כר'")</f>
        <v>עם סגולה - 6 כר'</v>
      </c>
    </row>
    <row r="31632" spans="1:6" x14ac:dyDescent="0.2">
      <c r="A31632" t="s">
        <v>49494</v>
      </c>
      <c r="B31632" t="s">
        <v>107</v>
      </c>
      <c r="C31632" t="s">
        <v>1268</v>
      </c>
      <c r="D31632" t="s">
        <v>14</v>
      </c>
      <c r="E31632" t="s">
        <v>119</v>
      </c>
      <c r="F31632" s="2" t="str">
        <f>HYPERLINK("http://www.otzar.org/book.asp?84452","עם סגולה")</f>
        <v>עם סגולה</v>
      </c>
    </row>
    <row r="31633" spans="1:6" x14ac:dyDescent="0.2">
      <c r="A31633" t="s">
        <v>49499</v>
      </c>
      <c r="B31633" t="s">
        <v>1681</v>
      </c>
      <c r="C31633" t="s">
        <v>244</v>
      </c>
      <c r="D31633" t="s">
        <v>80</v>
      </c>
      <c r="E31633" t="s">
        <v>241</v>
      </c>
      <c r="F31633" s="2" t="str">
        <f>HYPERLINK("http://www.otzar.org/book.asp?606825","עם עני תושיע")</f>
        <v>עם עני תושיע</v>
      </c>
    </row>
    <row r="31634" spans="1:6" x14ac:dyDescent="0.2">
      <c r="A31634" t="s">
        <v>49500</v>
      </c>
      <c r="B31634" t="s">
        <v>49501</v>
      </c>
      <c r="C31634" t="s">
        <v>146</v>
      </c>
      <c r="D31634" t="s">
        <v>14</v>
      </c>
      <c r="E31634" t="s">
        <v>733</v>
      </c>
      <c r="F31634" s="2" t="str">
        <f>HYPERLINK("http://www.otzar.org/book.asp?166912","עם רם")</f>
        <v>עם רם</v>
      </c>
    </row>
    <row r="31635" spans="1:6" x14ac:dyDescent="0.2">
      <c r="A31635" t="s">
        <v>49502</v>
      </c>
      <c r="B31635" t="s">
        <v>7036</v>
      </c>
      <c r="C31635" t="s">
        <v>767</v>
      </c>
      <c r="D31635" t="s">
        <v>14</v>
      </c>
      <c r="E31635" t="s">
        <v>10</v>
      </c>
      <c r="F31635" s="2" t="str">
        <f>HYPERLINK("http://www.otzar.org/book.asp?61194","עמא דבר - א")</f>
        <v>עמא דבר - א</v>
      </c>
    </row>
    <row r="31636" spans="1:6" x14ac:dyDescent="0.2">
      <c r="A31636" t="s">
        <v>49503</v>
      </c>
      <c r="B31636" t="s">
        <v>5634</v>
      </c>
      <c r="C31636" t="s">
        <v>68</v>
      </c>
      <c r="D31636" t="s">
        <v>52</v>
      </c>
      <c r="E31636" t="s">
        <v>241</v>
      </c>
      <c r="F31636" s="2" t="str">
        <f>HYPERLINK("http://www.otzar.org/book.asp?606284","עמדו בחזקתכם")</f>
        <v>עמדו בחזקתכם</v>
      </c>
    </row>
    <row r="31637" spans="1:6" x14ac:dyDescent="0.2">
      <c r="A31637" t="s">
        <v>49504</v>
      </c>
      <c r="B31637" t="s">
        <v>1275</v>
      </c>
      <c r="C31637" t="s">
        <v>111</v>
      </c>
      <c r="D31637" t="s">
        <v>52</v>
      </c>
      <c r="E31637" t="s">
        <v>246</v>
      </c>
      <c r="F31637" s="2" t="str">
        <f>HYPERLINK("http://www.otzar.org/book.asp?626234","עמוד אש - פסח")</f>
        <v>עמוד אש - פסח</v>
      </c>
    </row>
    <row r="31638" spans="1:6" x14ac:dyDescent="0.2">
      <c r="A31638" t="s">
        <v>49505</v>
      </c>
      <c r="B31638" t="s">
        <v>3462</v>
      </c>
      <c r="C31638" t="s">
        <v>454</v>
      </c>
      <c r="D31638" t="s">
        <v>52</v>
      </c>
      <c r="E31638" t="s">
        <v>241</v>
      </c>
      <c r="F31638" s="2" t="str">
        <f>HYPERLINK("http://www.otzar.org/book.asp?144394","עמוד אש - 5 כר'")</f>
        <v>עמוד אש - 5 כר'</v>
      </c>
    </row>
    <row r="31639" spans="1:6" x14ac:dyDescent="0.2">
      <c r="A31639" t="s">
        <v>49506</v>
      </c>
      <c r="B31639" t="s">
        <v>49507</v>
      </c>
      <c r="C31639" t="s">
        <v>558</v>
      </c>
      <c r="D31639" t="s">
        <v>283</v>
      </c>
      <c r="E31639" t="s">
        <v>10316</v>
      </c>
      <c r="F31639" s="2" t="str">
        <f>HYPERLINK("http://www.otzar.org/book.asp?20494","עמוד אש")</f>
        <v>עמוד אש</v>
      </c>
    </row>
    <row r="31640" spans="1:6" x14ac:dyDescent="0.2">
      <c r="A31640" t="s">
        <v>49506</v>
      </c>
      <c r="B31640" t="s">
        <v>49508</v>
      </c>
      <c r="C31640" t="s">
        <v>482</v>
      </c>
      <c r="D31640" t="s">
        <v>27</v>
      </c>
      <c r="E31640" t="s">
        <v>119</v>
      </c>
      <c r="F31640" s="2" t="str">
        <f>HYPERLINK("http://www.otzar.org/book.asp?11974","עמוד אש")</f>
        <v>עמוד אש</v>
      </c>
    </row>
    <row r="31641" spans="1:6" x14ac:dyDescent="0.2">
      <c r="A31641" t="s">
        <v>49509</v>
      </c>
      <c r="B31641" t="s">
        <v>2417</v>
      </c>
      <c r="C31641" t="s">
        <v>1954</v>
      </c>
      <c r="D31641" t="s">
        <v>260</v>
      </c>
      <c r="E31641" t="s">
        <v>226</v>
      </c>
      <c r="F31641" s="2" t="str">
        <f>HYPERLINK("http://www.otzar.org/book.asp?103637","עמוד האמת")</f>
        <v>עמוד האמת</v>
      </c>
    </row>
    <row r="31642" spans="1:6" x14ac:dyDescent="0.2">
      <c r="A31642" t="s">
        <v>49510</v>
      </c>
      <c r="B31642" t="s">
        <v>18962</v>
      </c>
      <c r="C31642" t="s">
        <v>13</v>
      </c>
      <c r="D31642" t="s">
        <v>52</v>
      </c>
      <c r="E31642" t="s">
        <v>119</v>
      </c>
      <c r="F31642" s="2" t="str">
        <f>HYPERLINK("http://www.otzar.org/book.asp?85238","עמוד ההוראה")</f>
        <v>עמוד ההוראה</v>
      </c>
    </row>
    <row r="31643" spans="1:6" x14ac:dyDescent="0.2">
      <c r="A31643" t="s">
        <v>49511</v>
      </c>
      <c r="B31643" t="s">
        <v>49512</v>
      </c>
      <c r="C31643" t="s">
        <v>482</v>
      </c>
      <c r="D31643" t="s">
        <v>22980</v>
      </c>
      <c r="E31643" t="s">
        <v>733</v>
      </c>
      <c r="F31643" s="2" t="str">
        <f>HYPERLINK("http://www.otzar.org/book.asp?169722","עמוד החסד")</f>
        <v>עמוד החסד</v>
      </c>
    </row>
    <row r="31644" spans="1:6" x14ac:dyDescent="0.2">
      <c r="A31644" t="s">
        <v>49513</v>
      </c>
      <c r="B31644" t="s">
        <v>49514</v>
      </c>
      <c r="C31644" t="s">
        <v>250</v>
      </c>
      <c r="D31644" t="s">
        <v>25788</v>
      </c>
      <c r="E31644" t="s">
        <v>241</v>
      </c>
      <c r="F31644" s="2" t="str">
        <f>HYPERLINK("http://www.otzar.org/book.asp?102110","עמוד הימיני")</f>
        <v>עמוד הימיני</v>
      </c>
    </row>
    <row r="31645" spans="1:6" x14ac:dyDescent="0.2">
      <c r="A31645" t="s">
        <v>49513</v>
      </c>
      <c r="B31645" t="s">
        <v>16997</v>
      </c>
      <c r="C31645" t="s">
        <v>313</v>
      </c>
      <c r="D31645" t="s">
        <v>14</v>
      </c>
      <c r="E31645" t="s">
        <v>588</v>
      </c>
      <c r="F31645" s="2" t="str">
        <f>HYPERLINK("http://www.otzar.org/book.asp?22168","עמוד הימיני")</f>
        <v>עמוד הימיני</v>
      </c>
    </row>
    <row r="31646" spans="1:6" x14ac:dyDescent="0.2">
      <c r="A31646" t="s">
        <v>49515</v>
      </c>
      <c r="B31646" t="s">
        <v>107</v>
      </c>
      <c r="C31646" t="s">
        <v>767</v>
      </c>
      <c r="D31646" t="s">
        <v>14</v>
      </c>
      <c r="E31646" t="s">
        <v>119</v>
      </c>
      <c r="F31646" s="2" t="str">
        <f>HYPERLINK("http://www.otzar.org/book.asp?6510","עמוד היראה והעבודה")</f>
        <v>עמוד היראה והעבודה</v>
      </c>
    </row>
    <row r="31647" spans="1:6" x14ac:dyDescent="0.2">
      <c r="A31647" t="s">
        <v>49516</v>
      </c>
      <c r="B31647" t="s">
        <v>29588</v>
      </c>
      <c r="C31647" t="s">
        <v>133</v>
      </c>
      <c r="D31647" t="s">
        <v>412</v>
      </c>
      <c r="F31647" s="2" t="str">
        <f>HYPERLINK("http://www.otzar.org/book.asp?170522","עמוד העבודה &lt;מהדורה חדשה&gt;")</f>
        <v>עמוד העבודה &lt;מהדורה חדשה&gt;</v>
      </c>
    </row>
    <row r="31648" spans="1:6" x14ac:dyDescent="0.2">
      <c r="A31648" t="s">
        <v>49517</v>
      </c>
      <c r="B31648" t="s">
        <v>29588</v>
      </c>
      <c r="C31648" t="s">
        <v>503</v>
      </c>
      <c r="D31648" t="s">
        <v>8579</v>
      </c>
      <c r="E31648" t="s">
        <v>6688</v>
      </c>
      <c r="F31648" s="2" t="str">
        <f>HYPERLINK("http://www.otzar.org/book.asp?102499","עמוד העבודה")</f>
        <v>עמוד העבודה</v>
      </c>
    </row>
    <row r="31649" spans="1:6" x14ac:dyDescent="0.2">
      <c r="A31649" t="s">
        <v>49518</v>
      </c>
      <c r="B31649" t="s">
        <v>16104</v>
      </c>
      <c r="D31649" t="s">
        <v>14</v>
      </c>
      <c r="E31649" t="s">
        <v>241</v>
      </c>
      <c r="F31649" s="2" t="str">
        <f>HYPERLINK("http://www.otzar.org/book.asp?180197","עמוד התורה &lt;שבחי התורה&gt;")</f>
        <v>עמוד התורה &lt;שבחי התורה&gt;</v>
      </c>
    </row>
    <row r="31650" spans="1:6" x14ac:dyDescent="0.2">
      <c r="A31650" t="s">
        <v>49519</v>
      </c>
      <c r="B31650" t="s">
        <v>16104</v>
      </c>
      <c r="C31650" t="s">
        <v>291</v>
      </c>
      <c r="D31650" t="s">
        <v>1279</v>
      </c>
      <c r="E31650" t="s">
        <v>6688</v>
      </c>
      <c r="F31650" s="2" t="str">
        <f>HYPERLINK("http://www.otzar.org/book.asp?104413","עמוד התורה")</f>
        <v>עמוד התורה</v>
      </c>
    </row>
    <row r="31651" spans="1:6" x14ac:dyDescent="0.2">
      <c r="A31651" t="s">
        <v>49520</v>
      </c>
      <c r="B31651" t="s">
        <v>49520</v>
      </c>
      <c r="C31651" t="s">
        <v>87</v>
      </c>
      <c r="D31651" t="s">
        <v>14</v>
      </c>
      <c r="E31651" t="s">
        <v>219</v>
      </c>
      <c r="F31651" s="2" t="str">
        <f>HYPERLINK("http://www.otzar.org/book.asp?159086","עמוד התפלה")</f>
        <v>עמוד התפלה</v>
      </c>
    </row>
    <row r="31652" spans="1:6" x14ac:dyDescent="0.2">
      <c r="A31652" t="s">
        <v>49521</v>
      </c>
      <c r="B31652" t="s">
        <v>30843</v>
      </c>
      <c r="C31652" t="s">
        <v>49522</v>
      </c>
      <c r="D31652" t="s">
        <v>726</v>
      </c>
      <c r="E31652" t="s">
        <v>219</v>
      </c>
      <c r="F31652" s="2" t="str">
        <f>HYPERLINK("http://www.otzar.org/book.asp?62155","עמוד עבודה")</f>
        <v>עמוד עבודה</v>
      </c>
    </row>
    <row r="31653" spans="1:6" x14ac:dyDescent="0.2">
      <c r="A31653" t="s">
        <v>49523</v>
      </c>
      <c r="B31653" t="s">
        <v>24655</v>
      </c>
      <c r="C31653" t="s">
        <v>13</v>
      </c>
      <c r="D31653" t="s">
        <v>27</v>
      </c>
      <c r="E31653" t="s">
        <v>119</v>
      </c>
      <c r="F31653" s="2" t="str">
        <f>HYPERLINK("http://www.otzar.org/book.asp?163569","עמודא דנהורא &lt;מהדורה חדשה&gt;")</f>
        <v>עמודא דנהורא &lt;מהדורה חדשה&gt;</v>
      </c>
    </row>
    <row r="31654" spans="1:6" x14ac:dyDescent="0.2">
      <c r="A31654" t="s">
        <v>49524</v>
      </c>
      <c r="B31654" t="s">
        <v>24655</v>
      </c>
      <c r="C31654" t="s">
        <v>956</v>
      </c>
      <c r="D31654" t="s">
        <v>27</v>
      </c>
      <c r="F31654" s="2" t="str">
        <f>HYPERLINK("http://www.otzar.org/book.asp?611681","עמודא דנהורא - 2 כר'")</f>
        <v>עמודא דנהורא - 2 כר'</v>
      </c>
    </row>
    <row r="31655" spans="1:6" x14ac:dyDescent="0.2">
      <c r="A31655" t="s">
        <v>49525</v>
      </c>
      <c r="B31655" t="s">
        <v>49526</v>
      </c>
      <c r="F31655" s="2" t="str">
        <f>HYPERLINK("http://www.otzar.org/book.asp?622528","עמודו של עולם - מרן הגרי""ש אלישיב")</f>
        <v>עמודו של עולם - מרן הגרי"ש אלישיב</v>
      </c>
    </row>
    <row r="31656" spans="1:6" x14ac:dyDescent="0.2">
      <c r="A31656" t="s">
        <v>49527</v>
      </c>
      <c r="B31656" t="s">
        <v>49528</v>
      </c>
      <c r="C31656" t="s">
        <v>13</v>
      </c>
      <c r="D31656" t="s">
        <v>52</v>
      </c>
      <c r="E31656" t="s">
        <v>246</v>
      </c>
      <c r="F31656" s="2" t="str">
        <f>HYPERLINK("http://www.otzar.org/book.asp?143387","עמודי אור - 2 כר'")</f>
        <v>עמודי אור - 2 כר'</v>
      </c>
    </row>
    <row r="31657" spans="1:6" x14ac:dyDescent="0.2">
      <c r="A31657" t="s">
        <v>49529</v>
      </c>
      <c r="B31657" t="s">
        <v>17435</v>
      </c>
      <c r="C31657" t="s">
        <v>1721</v>
      </c>
      <c r="D31657" t="s">
        <v>164</v>
      </c>
      <c r="E31657" t="s">
        <v>154</v>
      </c>
      <c r="F31657" s="2" t="str">
        <f>HYPERLINK("http://www.otzar.org/book.asp?180904","עמודי אור")</f>
        <v>עמודי אור</v>
      </c>
    </row>
    <row r="31658" spans="1:6" x14ac:dyDescent="0.2">
      <c r="A31658" t="s">
        <v>49529</v>
      </c>
      <c r="B31658" t="s">
        <v>25987</v>
      </c>
      <c r="C31658" t="s">
        <v>189</v>
      </c>
      <c r="D31658" t="s">
        <v>14</v>
      </c>
      <c r="E31658" t="s">
        <v>15</v>
      </c>
      <c r="F31658" s="2" t="str">
        <f>HYPERLINK("http://www.otzar.org/book.asp?152735","עמודי אור")</f>
        <v>עמודי אור</v>
      </c>
    </row>
    <row r="31659" spans="1:6" x14ac:dyDescent="0.2">
      <c r="A31659" t="s">
        <v>49530</v>
      </c>
      <c r="B31659" t="s">
        <v>16748</v>
      </c>
      <c r="C31659" t="s">
        <v>111</v>
      </c>
      <c r="D31659" t="s">
        <v>14</v>
      </c>
      <c r="F31659" s="2" t="str">
        <f>HYPERLINK("http://www.otzar.org/book.asp?627812","עמודי אורה - 2 כר'")</f>
        <v>עמודי אורה - 2 כר'</v>
      </c>
    </row>
    <row r="31660" spans="1:6" x14ac:dyDescent="0.2">
      <c r="A31660" t="s">
        <v>49531</v>
      </c>
      <c r="B31660" t="s">
        <v>25675</v>
      </c>
      <c r="C31660" t="s">
        <v>20</v>
      </c>
      <c r="D31660" t="s">
        <v>412</v>
      </c>
      <c r="E31660" t="s">
        <v>144</v>
      </c>
      <c r="F31660" s="2" t="str">
        <f>HYPERLINK("http://www.otzar.org/book.asp?194958","עמודי איגרא")</f>
        <v>עמודי איגרא</v>
      </c>
    </row>
    <row r="31661" spans="1:6" x14ac:dyDescent="0.2">
      <c r="A31661" t="s">
        <v>49532</v>
      </c>
      <c r="B31661" t="s">
        <v>1809</v>
      </c>
      <c r="C31661" t="s">
        <v>619</v>
      </c>
      <c r="D31661" t="s">
        <v>27</v>
      </c>
      <c r="E31661" t="s">
        <v>49533</v>
      </c>
      <c r="F31661" s="2" t="str">
        <f>HYPERLINK("http://www.otzar.org/book.asp?103638","עמודי ארזים")</f>
        <v>עמודי ארזים</v>
      </c>
    </row>
    <row r="31662" spans="1:6" x14ac:dyDescent="0.2">
      <c r="A31662" t="s">
        <v>49534</v>
      </c>
      <c r="B31662" t="s">
        <v>1510</v>
      </c>
      <c r="C31662" t="s">
        <v>13</v>
      </c>
      <c r="D31662" t="s">
        <v>52</v>
      </c>
      <c r="E31662" t="s">
        <v>15</v>
      </c>
      <c r="F31662" s="2" t="str">
        <f>HYPERLINK("http://www.otzar.org/book.asp?61195","עמודי ארץ")</f>
        <v>עמודי ארץ</v>
      </c>
    </row>
    <row r="31663" spans="1:6" x14ac:dyDescent="0.2">
      <c r="A31663" t="s">
        <v>49535</v>
      </c>
      <c r="B31663" t="s">
        <v>49536</v>
      </c>
      <c r="C31663" t="s">
        <v>23</v>
      </c>
      <c r="D31663" t="s">
        <v>14</v>
      </c>
      <c r="F31663" s="2" t="str">
        <f>HYPERLINK("http://www.otzar.org/book.asp?198749","עמודי אש &lt;מהדורה חדשה&gt;")</f>
        <v>עמודי אש &lt;מהדורה חדשה&gt;</v>
      </c>
    </row>
    <row r="31664" spans="1:6" x14ac:dyDescent="0.2">
      <c r="A31664" t="s">
        <v>49537</v>
      </c>
      <c r="B31664" t="s">
        <v>49538</v>
      </c>
      <c r="C31664" t="s">
        <v>68</v>
      </c>
      <c r="D31664" t="s">
        <v>21</v>
      </c>
      <c r="E31664" t="s">
        <v>1880</v>
      </c>
      <c r="F31664" s="2" t="str">
        <f>HYPERLINK("http://www.otzar.org/book.asp?191246","עמודי אש לבית יוסף &lt;מהדורה חדשה&gt;")</f>
        <v>עמודי אש לבית יוסף &lt;מהדורה חדשה&gt;</v>
      </c>
    </row>
    <row r="31665" spans="1:6" x14ac:dyDescent="0.2">
      <c r="A31665" t="s">
        <v>49539</v>
      </c>
      <c r="B31665" t="s">
        <v>49538</v>
      </c>
      <c r="C31665" t="s">
        <v>49540</v>
      </c>
      <c r="D31665" t="s">
        <v>379</v>
      </c>
      <c r="E31665" t="s">
        <v>1880</v>
      </c>
      <c r="F31665" s="2" t="str">
        <f>HYPERLINK("http://www.otzar.org/book.asp?106586","עמודי אש לבית יוסף")</f>
        <v>עמודי אש לבית יוסף</v>
      </c>
    </row>
    <row r="31666" spans="1:6" x14ac:dyDescent="0.2">
      <c r="A31666" t="s">
        <v>49541</v>
      </c>
      <c r="B31666" t="s">
        <v>49542</v>
      </c>
      <c r="C31666" t="s">
        <v>189</v>
      </c>
      <c r="D31666" t="s">
        <v>115</v>
      </c>
      <c r="E31666" t="s">
        <v>144</v>
      </c>
      <c r="F31666" s="2" t="str">
        <f>HYPERLINK("http://www.otzar.org/book.asp?159598","עמודי אש")</f>
        <v>עמודי אש</v>
      </c>
    </row>
    <row r="31667" spans="1:6" x14ac:dyDescent="0.2">
      <c r="A31667" t="s">
        <v>49541</v>
      </c>
      <c r="B31667" t="s">
        <v>49536</v>
      </c>
      <c r="C31667" t="s">
        <v>156</v>
      </c>
      <c r="D31667" t="s">
        <v>267</v>
      </c>
      <c r="E31667" t="s">
        <v>154</v>
      </c>
      <c r="F31667" s="2" t="str">
        <f>HYPERLINK("http://www.otzar.org/book.asp?101546","עמודי אש")</f>
        <v>עמודי אש</v>
      </c>
    </row>
    <row r="31668" spans="1:6" x14ac:dyDescent="0.2">
      <c r="A31668" t="s">
        <v>49541</v>
      </c>
      <c r="B31668" t="s">
        <v>49543</v>
      </c>
      <c r="C31668" t="s">
        <v>1458</v>
      </c>
      <c r="D31668" t="s">
        <v>56</v>
      </c>
      <c r="E31668" t="s">
        <v>154</v>
      </c>
      <c r="F31668" s="2" t="str">
        <f>HYPERLINK("http://www.otzar.org/book.asp?9722","עמודי אש")</f>
        <v>עמודי אש</v>
      </c>
    </row>
    <row r="31669" spans="1:6" x14ac:dyDescent="0.2">
      <c r="A31669" t="s">
        <v>49544</v>
      </c>
      <c r="B31669" t="s">
        <v>19194</v>
      </c>
      <c r="C31669" t="s">
        <v>6995</v>
      </c>
      <c r="D31669" t="s">
        <v>1023</v>
      </c>
      <c r="E31669" t="s">
        <v>241</v>
      </c>
      <c r="F31669" s="2" t="str">
        <f>HYPERLINK("http://www.otzar.org/book.asp?83592","עמודי בית יהודה")</f>
        <v>עמודי בית יהודה</v>
      </c>
    </row>
    <row r="31670" spans="1:6" x14ac:dyDescent="0.2">
      <c r="A31670" t="s">
        <v>49545</v>
      </c>
      <c r="B31670" t="s">
        <v>49546</v>
      </c>
      <c r="C31670" t="s">
        <v>343</v>
      </c>
      <c r="D31670" t="s">
        <v>4269</v>
      </c>
      <c r="E31670" t="s">
        <v>172</v>
      </c>
      <c r="F31670" s="2" t="str">
        <f>HYPERLINK("http://www.otzar.org/book.asp?101760","עמודי בית ישראל")</f>
        <v>עמודי בית ישראל</v>
      </c>
    </row>
    <row r="31671" spans="1:6" x14ac:dyDescent="0.2">
      <c r="A31671" t="s">
        <v>49545</v>
      </c>
      <c r="B31671" t="s">
        <v>49547</v>
      </c>
      <c r="C31671" t="s">
        <v>3690</v>
      </c>
      <c r="D31671" t="s">
        <v>283</v>
      </c>
      <c r="E31671" t="s">
        <v>241</v>
      </c>
      <c r="F31671" s="2" t="str">
        <f>HYPERLINK("http://www.otzar.org/book.asp?189359","עמודי בית ישראל")</f>
        <v>עמודי בית ישראל</v>
      </c>
    </row>
    <row r="31672" spans="1:6" x14ac:dyDescent="0.2">
      <c r="A31672" t="s">
        <v>49548</v>
      </c>
      <c r="B31672" t="s">
        <v>49549</v>
      </c>
      <c r="C31672" t="s">
        <v>2213</v>
      </c>
      <c r="D31672" t="s">
        <v>2714</v>
      </c>
      <c r="E31672" t="s">
        <v>144</v>
      </c>
      <c r="F31672" s="2" t="str">
        <f>HYPERLINK("http://www.otzar.org/book.asp?151340","עמודי גבר""א")</f>
        <v>עמודי גבר"א</v>
      </c>
    </row>
    <row r="31673" spans="1:6" x14ac:dyDescent="0.2">
      <c r="A31673" t="s">
        <v>49550</v>
      </c>
      <c r="B31673" t="s">
        <v>49551</v>
      </c>
      <c r="C31673" t="s">
        <v>1169</v>
      </c>
      <c r="D31673" t="s">
        <v>9</v>
      </c>
      <c r="E31673" t="s">
        <v>674</v>
      </c>
      <c r="F31673" s="2" t="str">
        <f>HYPERLINK("http://www.otzar.org/book.asp?10290","עמודי גולה &lt;ספר מצות קטן, אמרי יהוסף&gt;")</f>
        <v>עמודי גולה &lt;ספר מצות קטן, אמרי יהוסף&gt;</v>
      </c>
    </row>
    <row r="31674" spans="1:6" x14ac:dyDescent="0.2">
      <c r="A31674" t="s">
        <v>49552</v>
      </c>
      <c r="B31674" t="s">
        <v>49553</v>
      </c>
      <c r="C31674" t="s">
        <v>1663</v>
      </c>
      <c r="D31674" t="s">
        <v>14</v>
      </c>
      <c r="E31674" t="s">
        <v>674</v>
      </c>
      <c r="F31674" s="2" t="str">
        <f>HYPERLINK("http://www.otzar.org/book.asp?144535","עמודי גולה &lt;סמ""ק&gt; עם צביון העמודים - 8 כר'")</f>
        <v>עמודי גולה &lt;סמ"ק&gt; עם צביון העמודים - 8 כר'</v>
      </c>
    </row>
    <row r="31675" spans="1:6" x14ac:dyDescent="0.2">
      <c r="A31675" t="s">
        <v>49554</v>
      </c>
      <c r="B31675" t="s">
        <v>20481</v>
      </c>
      <c r="C31675" t="s">
        <v>2269</v>
      </c>
      <c r="D31675" t="s">
        <v>49555</v>
      </c>
      <c r="F31675" s="2" t="str">
        <f>HYPERLINK("http://www.otzar.org/book.asp?170196","עמודי גולה &lt;ספר מצות קטן&gt; - 4 כר'")</f>
        <v>עמודי גולה &lt;ספר מצות קטן&gt; - 4 כר'</v>
      </c>
    </row>
    <row r="31676" spans="1:6" x14ac:dyDescent="0.2">
      <c r="A31676" t="s">
        <v>49556</v>
      </c>
      <c r="B31676" t="s">
        <v>20481</v>
      </c>
      <c r="C31676" t="s">
        <v>49557</v>
      </c>
      <c r="D31676" t="s">
        <v>1490</v>
      </c>
      <c r="F31676" s="2" t="str">
        <f>HYPERLINK("http://www.otzar.org/book.asp?164738","עמודי גולה - 2 כר'")</f>
        <v>עמודי גולה - 2 כר'</v>
      </c>
    </row>
    <row r="31677" spans="1:6" x14ac:dyDescent="0.2">
      <c r="A31677" t="s">
        <v>49558</v>
      </c>
      <c r="B31677" t="s">
        <v>49559</v>
      </c>
      <c r="C31677" t="s">
        <v>13</v>
      </c>
      <c r="D31677" t="s">
        <v>52</v>
      </c>
      <c r="E31677" t="s">
        <v>119</v>
      </c>
      <c r="F31677" s="2" t="str">
        <f>HYPERLINK("http://www.otzar.org/book.asp?155329","עמודי האש")</f>
        <v>עמודי האש</v>
      </c>
    </row>
    <row r="31678" spans="1:6" x14ac:dyDescent="0.2">
      <c r="A31678" t="s">
        <v>49560</v>
      </c>
      <c r="B31678" t="s">
        <v>16808</v>
      </c>
      <c r="C31678" t="s">
        <v>189</v>
      </c>
      <c r="D31678" t="s">
        <v>52</v>
      </c>
      <c r="E31678" t="s">
        <v>148</v>
      </c>
      <c r="F31678" s="2" t="str">
        <f>HYPERLINK("http://www.otzar.org/book.asp?28108","עמודי הבית - 3 כר'")</f>
        <v>עמודי הבית - 3 כר'</v>
      </c>
    </row>
    <row r="31679" spans="1:6" x14ac:dyDescent="0.2">
      <c r="A31679" t="s">
        <v>49561</v>
      </c>
      <c r="B31679" t="s">
        <v>49562</v>
      </c>
      <c r="C31679" t="s">
        <v>411</v>
      </c>
      <c r="D31679" t="s">
        <v>14</v>
      </c>
      <c r="E31679" t="s">
        <v>158</v>
      </c>
      <c r="F31679" s="2" t="str">
        <f>HYPERLINK("http://www.otzar.org/book.asp?168368","עמודי הוד - 5 כר'")</f>
        <v>עמודי הוד - 5 כר'</v>
      </c>
    </row>
    <row r="31680" spans="1:6" x14ac:dyDescent="0.2">
      <c r="A31680" t="s">
        <v>49563</v>
      </c>
      <c r="B31680" t="s">
        <v>21852</v>
      </c>
      <c r="C31680" t="s">
        <v>49564</v>
      </c>
      <c r="D31680" t="s">
        <v>27</v>
      </c>
      <c r="E31680" t="s">
        <v>104</v>
      </c>
      <c r="F31680" s="2" t="str">
        <f>HYPERLINK("http://www.otzar.org/book.asp?154534","עמודי המחשבה הישראלית -  ג")</f>
        <v>עמודי המחשבה הישראלית -  ג</v>
      </c>
    </row>
    <row r="31681" spans="1:6" x14ac:dyDescent="0.2">
      <c r="A31681" t="s">
        <v>49565</v>
      </c>
      <c r="B31681" t="s">
        <v>11678</v>
      </c>
      <c r="C31681" t="s">
        <v>1640</v>
      </c>
      <c r="D31681" t="s">
        <v>412</v>
      </c>
      <c r="F31681" s="2" t="str">
        <f>HYPERLINK("http://www.otzar.org/book.asp?611691","עמודי העבודה - 2 כר'")</f>
        <v>עמודי העבודה - 2 כר'</v>
      </c>
    </row>
    <row r="31682" spans="1:6" x14ac:dyDescent="0.2">
      <c r="A31682" t="s">
        <v>49566</v>
      </c>
      <c r="B31682" t="s">
        <v>16883</v>
      </c>
      <c r="C31682" t="s">
        <v>20</v>
      </c>
      <c r="D31682" t="s">
        <v>152</v>
      </c>
      <c r="E31682" t="s">
        <v>15</v>
      </c>
      <c r="F31682" s="2" t="str">
        <f>HYPERLINK("http://www.otzar.org/book.asp?627316","עמודי השולחן - 5 כר'")</f>
        <v>עמודי השולחן - 5 כר'</v>
      </c>
    </row>
    <row r="31683" spans="1:6" x14ac:dyDescent="0.2">
      <c r="A31683" t="s">
        <v>49567</v>
      </c>
      <c r="B31683" t="s">
        <v>16549</v>
      </c>
      <c r="C31683" t="s">
        <v>1981</v>
      </c>
      <c r="D31683" t="s">
        <v>280</v>
      </c>
      <c r="E31683" t="s">
        <v>104</v>
      </c>
      <c r="F31683" s="2" t="str">
        <f>HYPERLINK("http://www.otzar.org/book.asp?102123","עמודי השמים")</f>
        <v>עמודי השמים</v>
      </c>
    </row>
    <row r="31684" spans="1:6" x14ac:dyDescent="0.2">
      <c r="A31684" t="s">
        <v>49568</v>
      </c>
      <c r="B31684" t="s">
        <v>40065</v>
      </c>
      <c r="C31684" t="s">
        <v>106</v>
      </c>
      <c r="D31684" t="s">
        <v>27</v>
      </c>
      <c r="E31684" t="s">
        <v>213</v>
      </c>
      <c r="F31684" s="2" t="str">
        <f>HYPERLINK("http://www.otzar.org/book.asp?10604","עמודי התורה - 2 כר'")</f>
        <v>עמודי התורה - 2 כר'</v>
      </c>
    </row>
    <row r="31685" spans="1:6" x14ac:dyDescent="0.2">
      <c r="A31685" t="s">
        <v>49569</v>
      </c>
      <c r="B31685" t="s">
        <v>155</v>
      </c>
      <c r="C31685" t="s">
        <v>1458</v>
      </c>
      <c r="D31685" t="s">
        <v>157</v>
      </c>
      <c r="E31685" t="s">
        <v>564</v>
      </c>
      <c r="F31685" s="2" t="str">
        <f>HYPERLINK("http://www.otzar.org/book.asp?20496","עמודי חיים")</f>
        <v>עמודי חיים</v>
      </c>
    </row>
    <row r="31686" spans="1:6" x14ac:dyDescent="0.2">
      <c r="A31686" t="s">
        <v>49570</v>
      </c>
      <c r="B31686" t="s">
        <v>1990</v>
      </c>
      <c r="C31686" t="s">
        <v>1166</v>
      </c>
      <c r="D31686" t="s">
        <v>283</v>
      </c>
      <c r="E31686" t="s">
        <v>158</v>
      </c>
      <c r="F31686" s="2" t="str">
        <f>HYPERLINK("http://www.otzar.org/book.asp?103253","עמודי יהונתן")</f>
        <v>עמודי יהונתן</v>
      </c>
    </row>
    <row r="31687" spans="1:6" x14ac:dyDescent="0.2">
      <c r="A31687" t="s">
        <v>49571</v>
      </c>
      <c r="B31687" t="s">
        <v>38415</v>
      </c>
      <c r="C31687" t="s">
        <v>748</v>
      </c>
      <c r="D31687" t="s">
        <v>31180</v>
      </c>
      <c r="E31687" t="s">
        <v>241</v>
      </c>
      <c r="F31687" s="2" t="str">
        <f>HYPERLINK("http://www.otzar.org/book.asp?189360","עמודי יעב""ץ")</f>
        <v>עמודי יעב"ץ</v>
      </c>
    </row>
    <row r="31688" spans="1:6" x14ac:dyDescent="0.2">
      <c r="A31688" t="s">
        <v>49572</v>
      </c>
      <c r="B31688" t="s">
        <v>34345</v>
      </c>
      <c r="C31688" t="s">
        <v>503</v>
      </c>
      <c r="D31688" t="s">
        <v>283</v>
      </c>
      <c r="E31688" t="s">
        <v>16725</v>
      </c>
      <c r="F31688" s="2" t="str">
        <f>HYPERLINK("http://www.otzar.org/book.asp?100295","עמודי כסף")</f>
        <v>עמודי כסף</v>
      </c>
    </row>
    <row r="31689" spans="1:6" x14ac:dyDescent="0.2">
      <c r="A31689" t="s">
        <v>49573</v>
      </c>
      <c r="B31689" t="s">
        <v>338</v>
      </c>
      <c r="C31689" t="s">
        <v>129</v>
      </c>
      <c r="D31689" t="s">
        <v>14</v>
      </c>
      <c r="E31689" t="s">
        <v>684</v>
      </c>
      <c r="F31689" s="2" t="str">
        <f>HYPERLINK("http://www.otzar.org/book.asp?60560","עמודי משפט - 2 כר'")</f>
        <v>עמודי משפט - 2 כר'</v>
      </c>
    </row>
    <row r="31690" spans="1:6" x14ac:dyDescent="0.2">
      <c r="A31690" t="s">
        <v>49574</v>
      </c>
      <c r="B31690" t="s">
        <v>49575</v>
      </c>
      <c r="C31690" t="s">
        <v>1811</v>
      </c>
      <c r="D31690" t="s">
        <v>52</v>
      </c>
      <c r="E31690" t="s">
        <v>241</v>
      </c>
      <c r="F31690" s="2" t="str">
        <f>HYPERLINK("http://www.otzar.org/book.asp?605982","עמודי עבודה תמה")</f>
        <v>עמודי עבודה תמה</v>
      </c>
    </row>
    <row r="31691" spans="1:6" x14ac:dyDescent="0.2">
      <c r="A31691" t="s">
        <v>49576</v>
      </c>
      <c r="B31691" t="s">
        <v>49577</v>
      </c>
      <c r="C31691" t="s">
        <v>68</v>
      </c>
      <c r="D31691" t="s">
        <v>49578</v>
      </c>
      <c r="E31691" t="s">
        <v>241</v>
      </c>
      <c r="F31691" s="2" t="str">
        <f>HYPERLINK("http://www.otzar.org/book.asp?195150","עמודי עולם")</f>
        <v>עמודי עולם</v>
      </c>
    </row>
    <row r="31692" spans="1:6" x14ac:dyDescent="0.2">
      <c r="A31692" t="s">
        <v>49576</v>
      </c>
      <c r="B31692" t="s">
        <v>49579</v>
      </c>
      <c r="C31692" t="s">
        <v>7364</v>
      </c>
      <c r="D31692" t="s">
        <v>1023</v>
      </c>
      <c r="E31692" t="s">
        <v>158</v>
      </c>
      <c r="F31692" s="2" t="str">
        <f>HYPERLINK("http://www.otzar.org/book.asp?5683","עמודי עולם")</f>
        <v>עמודי עולם</v>
      </c>
    </row>
    <row r="31693" spans="1:6" x14ac:dyDescent="0.2">
      <c r="A31693" t="s">
        <v>49576</v>
      </c>
      <c r="B31693" t="s">
        <v>18568</v>
      </c>
      <c r="C31693" t="s">
        <v>533</v>
      </c>
      <c r="D31693" t="s">
        <v>14</v>
      </c>
      <c r="E31693" t="s">
        <v>241</v>
      </c>
      <c r="F31693" s="2" t="str">
        <f>HYPERLINK("http://www.otzar.org/book.asp?173869","עמודי עולם")</f>
        <v>עמודי עולם</v>
      </c>
    </row>
    <row r="31694" spans="1:6" x14ac:dyDescent="0.2">
      <c r="A31694" t="s">
        <v>49576</v>
      </c>
      <c r="B31694" t="s">
        <v>24503</v>
      </c>
      <c r="C31694" t="s">
        <v>3573</v>
      </c>
      <c r="D31694" t="s">
        <v>280</v>
      </c>
      <c r="E31694" t="s">
        <v>104</v>
      </c>
      <c r="F31694" s="2" t="str">
        <f>HYPERLINK("http://www.otzar.org/book.asp?84999","עמודי עולם")</f>
        <v>עמודי עולם</v>
      </c>
    </row>
    <row r="31695" spans="1:6" x14ac:dyDescent="0.2">
      <c r="A31695" t="s">
        <v>49580</v>
      </c>
      <c r="B31695" t="s">
        <v>49581</v>
      </c>
      <c r="C31695" t="s">
        <v>411</v>
      </c>
      <c r="D31695" t="s">
        <v>14</v>
      </c>
      <c r="E31695" t="s">
        <v>15</v>
      </c>
      <c r="F31695" s="2" t="str">
        <f>HYPERLINK("http://www.otzar.org/book.asp?183281","עמודי שי - קריאת התורה")</f>
        <v>עמודי שי - קריאת התורה</v>
      </c>
    </row>
    <row r="31696" spans="1:6" x14ac:dyDescent="0.2">
      <c r="A31696" t="s">
        <v>49582</v>
      </c>
      <c r="B31696" t="s">
        <v>49583</v>
      </c>
      <c r="C31696" t="s">
        <v>1991</v>
      </c>
      <c r="D31696" t="s">
        <v>744</v>
      </c>
      <c r="E31696" t="s">
        <v>144</v>
      </c>
      <c r="F31696" s="2" t="str">
        <f>HYPERLINK("http://www.otzar.org/book.asp?101547","עמודי שיטים לבית הלוי")</f>
        <v>עמודי שיטים לבית הלוי</v>
      </c>
    </row>
    <row r="31697" spans="1:6" x14ac:dyDescent="0.2">
      <c r="A31697" t="s">
        <v>49584</v>
      </c>
      <c r="B31697" t="s">
        <v>23698</v>
      </c>
      <c r="C31697" t="s">
        <v>20</v>
      </c>
      <c r="D31697" t="s">
        <v>412</v>
      </c>
      <c r="E31697" t="s">
        <v>144</v>
      </c>
      <c r="F31697" s="2" t="str">
        <f>HYPERLINK("http://www.otzar.org/book.asp?160484","עמודי שיש - 3 כר'")</f>
        <v>עמודי שיש - 3 כר'</v>
      </c>
    </row>
    <row r="31698" spans="1:6" x14ac:dyDescent="0.2">
      <c r="A31698" t="s">
        <v>49585</v>
      </c>
      <c r="B31698" t="s">
        <v>7354</v>
      </c>
      <c r="C31698" t="s">
        <v>49586</v>
      </c>
      <c r="D31698" t="s">
        <v>30691</v>
      </c>
      <c r="F31698" s="2" t="str">
        <f>HYPERLINK("http://www.otzar.org/book.asp?611752","עמודי שלמה &lt;דפו""ר&gt;")</f>
        <v>עמודי שלמה &lt;דפו"ר&gt;</v>
      </c>
    </row>
    <row r="31699" spans="1:6" x14ac:dyDescent="0.2">
      <c r="A31699" t="s">
        <v>49587</v>
      </c>
      <c r="B31699" t="s">
        <v>2169</v>
      </c>
      <c r="C31699" t="s">
        <v>422</v>
      </c>
      <c r="D31699" t="s">
        <v>245</v>
      </c>
      <c r="F31699" s="2" t="str">
        <f>HYPERLINK("http://www.otzar.org/book.asp?169588","עמודי שלמה - עירובין")</f>
        <v>עמודי שלמה - עירובין</v>
      </c>
    </row>
    <row r="31700" spans="1:6" x14ac:dyDescent="0.2">
      <c r="A31700" t="s">
        <v>49588</v>
      </c>
      <c r="B31700" t="s">
        <v>49589</v>
      </c>
      <c r="C31700" t="s">
        <v>411</v>
      </c>
      <c r="D31700" t="s">
        <v>21</v>
      </c>
      <c r="E31700" t="s">
        <v>674</v>
      </c>
      <c r="F31700" s="2" t="str">
        <f>HYPERLINK("http://www.otzar.org/book.asp?196116","עמודי שלמה")</f>
        <v>עמודי שלמה</v>
      </c>
    </row>
    <row r="31701" spans="1:6" x14ac:dyDescent="0.2">
      <c r="A31701" t="s">
        <v>49588</v>
      </c>
      <c r="B31701" t="s">
        <v>49590</v>
      </c>
      <c r="C31701" t="s">
        <v>151</v>
      </c>
      <c r="D31701" t="s">
        <v>90</v>
      </c>
      <c r="E31701" t="s">
        <v>246</v>
      </c>
      <c r="F31701" s="2" t="str">
        <f>HYPERLINK("http://www.otzar.org/book.asp?627820","עמודי שלמה")</f>
        <v>עמודי שלמה</v>
      </c>
    </row>
    <row r="31702" spans="1:6" x14ac:dyDescent="0.2">
      <c r="A31702" t="s">
        <v>49591</v>
      </c>
      <c r="B31702" t="s">
        <v>7354</v>
      </c>
      <c r="C31702" t="s">
        <v>438</v>
      </c>
      <c r="D31702" t="s">
        <v>14</v>
      </c>
      <c r="E31702" t="s">
        <v>674</v>
      </c>
      <c r="F31702" s="2" t="str">
        <f>HYPERLINK("http://www.otzar.org/book.asp?22198","עמודי שלמה - 2 כר'")</f>
        <v>עמודי שלמה - 2 כר'</v>
      </c>
    </row>
    <row r="31703" spans="1:6" x14ac:dyDescent="0.2">
      <c r="A31703" t="s">
        <v>49588</v>
      </c>
      <c r="B31703" t="s">
        <v>1918</v>
      </c>
      <c r="C31703" t="s">
        <v>785</v>
      </c>
      <c r="D31703" t="s">
        <v>14</v>
      </c>
      <c r="E31703" t="s">
        <v>674</v>
      </c>
      <c r="F31703" s="2" t="str">
        <f>HYPERLINK("http://www.otzar.org/book.asp?155919","עמודי שלמה")</f>
        <v>עמודי שלמה</v>
      </c>
    </row>
    <row r="31704" spans="1:6" x14ac:dyDescent="0.2">
      <c r="A31704" t="s">
        <v>49592</v>
      </c>
      <c r="B31704" t="s">
        <v>49593</v>
      </c>
      <c r="C31704" t="s">
        <v>985</v>
      </c>
      <c r="D31704" t="s">
        <v>27</v>
      </c>
      <c r="E31704" t="s">
        <v>463</v>
      </c>
      <c r="F31704" s="2" t="str">
        <f>HYPERLINK("http://www.otzar.org/book.asp?144597","עמודי שמואל")</f>
        <v>עמודי שמואל</v>
      </c>
    </row>
    <row r="31705" spans="1:6" x14ac:dyDescent="0.2">
      <c r="A31705" t="s">
        <v>49594</v>
      </c>
      <c r="B31705" t="s">
        <v>12991</v>
      </c>
      <c r="C31705" t="s">
        <v>11127</v>
      </c>
      <c r="D31705" t="s">
        <v>2295</v>
      </c>
      <c r="E31705" t="s">
        <v>241</v>
      </c>
      <c r="F31705" s="2" t="str">
        <f>HYPERLINK("http://www.otzar.org/book.asp?83775","עמודי שמים")</f>
        <v>עמודי שמים</v>
      </c>
    </row>
    <row r="31706" spans="1:6" x14ac:dyDescent="0.2">
      <c r="A31706" t="s">
        <v>49595</v>
      </c>
      <c r="B31706" t="s">
        <v>1750</v>
      </c>
      <c r="C31706" t="s">
        <v>244</v>
      </c>
      <c r="D31706" t="s">
        <v>21</v>
      </c>
      <c r="E31706" t="s">
        <v>186</v>
      </c>
      <c r="F31706" s="2" t="str">
        <f>HYPERLINK("http://www.otzar.org/book.asp?196373","עמודי שמעתתא")</f>
        <v>עמודי שמעתתא</v>
      </c>
    </row>
    <row r="31707" spans="1:6" x14ac:dyDescent="0.2">
      <c r="A31707" t="s">
        <v>49596</v>
      </c>
      <c r="B31707" t="s">
        <v>49597</v>
      </c>
      <c r="C31707" t="s">
        <v>5903</v>
      </c>
      <c r="D31707" t="s">
        <v>27</v>
      </c>
      <c r="E31707" t="s">
        <v>803</v>
      </c>
      <c r="F31707" s="2" t="str">
        <f>HYPERLINK("http://www.otzar.org/book.asp?104122","עמודי שש")</f>
        <v>עמודי שש</v>
      </c>
    </row>
    <row r="31708" spans="1:6" x14ac:dyDescent="0.2">
      <c r="A31708" t="s">
        <v>49598</v>
      </c>
      <c r="B31708" t="s">
        <v>49599</v>
      </c>
      <c r="C31708" t="s">
        <v>313</v>
      </c>
      <c r="D31708" t="s">
        <v>14</v>
      </c>
      <c r="E31708" t="s">
        <v>803</v>
      </c>
      <c r="F31708" s="2" t="str">
        <f>HYPERLINK("http://www.otzar.org/book.asp?104958","עמודי שש - 5 כר'")</f>
        <v>עמודי שש - 5 כר'</v>
      </c>
    </row>
    <row r="31709" spans="1:6" x14ac:dyDescent="0.2">
      <c r="A31709" t="s">
        <v>49596</v>
      </c>
      <c r="B31709" t="s">
        <v>4556</v>
      </c>
      <c r="C31709" t="s">
        <v>1458</v>
      </c>
      <c r="D31709" t="s">
        <v>283</v>
      </c>
      <c r="E31709" t="s">
        <v>234</v>
      </c>
      <c r="F31709" s="2" t="str">
        <f>HYPERLINK("http://www.otzar.org/book.asp?11481","עמודי שש")</f>
        <v>עמודי שש</v>
      </c>
    </row>
    <row r="31710" spans="1:6" x14ac:dyDescent="0.2">
      <c r="A31710" t="s">
        <v>49600</v>
      </c>
      <c r="B31710" t="s">
        <v>15329</v>
      </c>
      <c r="C31710" t="s">
        <v>17</v>
      </c>
      <c r="D31710" t="s">
        <v>52</v>
      </c>
      <c r="E31710" t="s">
        <v>733</v>
      </c>
      <c r="F31710" s="2" t="str">
        <f>HYPERLINK("http://www.otzar.org/book.asp?162788","עמודי שש - תולדות רבי שלמה שמשון קרליץ")</f>
        <v>עמודי שש - תולדות רבי שלמה שמשון קרליץ</v>
      </c>
    </row>
    <row r="31711" spans="1:6" x14ac:dyDescent="0.2">
      <c r="A31711" t="s">
        <v>49596</v>
      </c>
      <c r="B31711" t="s">
        <v>5198</v>
      </c>
      <c r="C31711" t="s">
        <v>558</v>
      </c>
      <c r="D31711" t="s">
        <v>283</v>
      </c>
      <c r="E31711" t="s">
        <v>508</v>
      </c>
      <c r="F31711" s="2" t="str">
        <f>HYPERLINK("http://www.otzar.org/book.asp?16631","עמודי שש")</f>
        <v>עמודי שש</v>
      </c>
    </row>
    <row r="31712" spans="1:6" x14ac:dyDescent="0.2">
      <c r="A31712" t="s">
        <v>49596</v>
      </c>
      <c r="B31712" t="s">
        <v>43437</v>
      </c>
      <c r="C31712" t="s">
        <v>129</v>
      </c>
      <c r="D31712" t="s">
        <v>852</v>
      </c>
      <c r="E31712" t="s">
        <v>148</v>
      </c>
      <c r="F31712" s="2" t="str">
        <f>HYPERLINK("http://www.otzar.org/book.asp?143823","עמודי שש")</f>
        <v>עמודי שש</v>
      </c>
    </row>
    <row r="31713" spans="1:6" x14ac:dyDescent="0.2">
      <c r="A31713" t="s">
        <v>49601</v>
      </c>
      <c r="B31713" t="s">
        <v>32357</v>
      </c>
      <c r="C31713" t="s">
        <v>23</v>
      </c>
      <c r="D31713" t="s">
        <v>52</v>
      </c>
      <c r="E31713" t="s">
        <v>144</v>
      </c>
      <c r="F31713" s="2" t="str">
        <f>HYPERLINK("http://www.otzar.org/book.asp?190854","עמודי שש - 2 כר'")</f>
        <v>עמודי שש - 2 כר'</v>
      </c>
    </row>
    <row r="31714" spans="1:6" x14ac:dyDescent="0.2">
      <c r="A31714" t="s">
        <v>49602</v>
      </c>
      <c r="B31714" t="s">
        <v>49603</v>
      </c>
      <c r="C31714" t="s">
        <v>37</v>
      </c>
      <c r="D31714" t="s">
        <v>21</v>
      </c>
      <c r="E31714" t="s">
        <v>119</v>
      </c>
      <c r="F31714" s="2" t="str">
        <f>HYPERLINK("http://www.otzar.org/book.asp?191128","עמודיה אש")</f>
        <v>עמודיה אש</v>
      </c>
    </row>
    <row r="31715" spans="1:6" x14ac:dyDescent="0.2">
      <c r="A31715" t="s">
        <v>49604</v>
      </c>
      <c r="B31715" t="s">
        <v>43585</v>
      </c>
      <c r="C31715" t="s">
        <v>429</v>
      </c>
      <c r="D31715" t="s">
        <v>267</v>
      </c>
      <c r="E31715" t="s">
        <v>234</v>
      </c>
      <c r="F31715" s="2" t="str">
        <f>HYPERLINK("http://www.otzar.org/book.asp?102117","עמודיה שבעה - 2 כר'")</f>
        <v>עמודיה שבעה - 2 כר'</v>
      </c>
    </row>
    <row r="31716" spans="1:6" x14ac:dyDescent="0.2">
      <c r="A31716" t="s">
        <v>49605</v>
      </c>
      <c r="B31716" t="s">
        <v>1728</v>
      </c>
      <c r="C31716" t="s">
        <v>366</v>
      </c>
      <c r="D31716" t="s">
        <v>273</v>
      </c>
      <c r="E31716" t="s">
        <v>1185</v>
      </c>
      <c r="F31716" s="2" t="str">
        <f>HYPERLINK("http://www.otzar.org/book.asp?626893","עמודיה שבעה - 5 כר'")</f>
        <v>עמודיה שבעה - 5 כר'</v>
      </c>
    </row>
    <row r="31717" spans="1:6" x14ac:dyDescent="0.2">
      <c r="A31717" t="s">
        <v>49606</v>
      </c>
      <c r="B31717" t="s">
        <v>26449</v>
      </c>
      <c r="C31717" t="s">
        <v>189</v>
      </c>
      <c r="D31717" t="s">
        <v>2458</v>
      </c>
      <c r="E31717" t="s">
        <v>104</v>
      </c>
      <c r="F31717" s="2" t="str">
        <f>HYPERLINK("http://www.otzar.org/book.asp?627738","עמודים בתולדות הספר העברי - 2 כר'")</f>
        <v>עמודים בתולדות הספר העברי - 2 כר'</v>
      </c>
    </row>
    <row r="31718" spans="1:6" x14ac:dyDescent="0.2">
      <c r="A31718" t="s">
        <v>49607</v>
      </c>
      <c r="B31718" t="s">
        <v>49608</v>
      </c>
      <c r="C31718" t="s">
        <v>20</v>
      </c>
      <c r="D31718" t="s">
        <v>152</v>
      </c>
      <c r="E31718" t="s">
        <v>241</v>
      </c>
      <c r="F31718" s="2" t="str">
        <f>HYPERLINK("http://www.otzar.org/book.asp?602767","עמידה בנסיון")</f>
        <v>עמידה בנסיון</v>
      </c>
    </row>
    <row r="31719" spans="1:6" x14ac:dyDescent="0.2">
      <c r="A31719" t="s">
        <v>49609</v>
      </c>
      <c r="B31719" t="s">
        <v>49610</v>
      </c>
      <c r="C31719" t="s">
        <v>68</v>
      </c>
      <c r="D31719" t="s">
        <v>14</v>
      </c>
      <c r="F31719" s="2" t="str">
        <f>HYPERLINK("http://www.otzar.org/book.asp?198011","עמידת יהונתן")</f>
        <v>עמידת יהונתן</v>
      </c>
    </row>
    <row r="31720" spans="1:6" x14ac:dyDescent="0.2">
      <c r="A31720" t="s">
        <v>49611</v>
      </c>
      <c r="B31720" t="s">
        <v>49612</v>
      </c>
      <c r="C31720" t="s">
        <v>422</v>
      </c>
      <c r="D31720" t="s">
        <v>118</v>
      </c>
      <c r="E31720" t="s">
        <v>104</v>
      </c>
      <c r="F31720" s="2" t="str">
        <f>HYPERLINK("http://www.otzar.org/book.asp?618997","עמך מקור חיים")</f>
        <v>עמך מקור חיים</v>
      </c>
    </row>
    <row r="31721" spans="1:6" x14ac:dyDescent="0.2">
      <c r="A31721" t="s">
        <v>49613</v>
      </c>
      <c r="B31721" t="s">
        <v>12568</v>
      </c>
      <c r="C31721" t="s">
        <v>20</v>
      </c>
      <c r="D31721" t="s">
        <v>7116</v>
      </c>
      <c r="E31721" t="s">
        <v>104</v>
      </c>
      <c r="F31721" s="2" t="str">
        <f>HYPERLINK("http://www.otzar.org/book.asp?199360","עמל התורה")</f>
        <v>עמל התורה</v>
      </c>
    </row>
    <row r="31722" spans="1:6" x14ac:dyDescent="0.2">
      <c r="A31722" t="s">
        <v>49614</v>
      </c>
      <c r="B31722" t="s">
        <v>49615</v>
      </c>
      <c r="C31722" t="s">
        <v>20</v>
      </c>
      <c r="D31722" t="s">
        <v>14</v>
      </c>
      <c r="E31722" t="s">
        <v>144</v>
      </c>
      <c r="F31722" s="2" t="str">
        <f>HYPERLINK("http://www.otzar.org/book.asp?165383","עמל יהודה - פדה יהודה")</f>
        <v>עמל יהודה - פדה יהודה</v>
      </c>
    </row>
    <row r="31723" spans="1:6" x14ac:dyDescent="0.2">
      <c r="A31723" t="s">
        <v>49616</v>
      </c>
      <c r="B31723" t="s">
        <v>12564</v>
      </c>
      <c r="C31723" t="s">
        <v>23</v>
      </c>
      <c r="D31723" t="s">
        <v>2285</v>
      </c>
      <c r="F31723" s="2" t="str">
        <f>HYPERLINK("http://www.otzar.org/book.asp?198383","עמל ישראל")</f>
        <v>עמל ישראל</v>
      </c>
    </row>
    <row r="31724" spans="1:6" x14ac:dyDescent="0.2">
      <c r="A31724" t="s">
        <v>49617</v>
      </c>
      <c r="B31724" t="s">
        <v>49618</v>
      </c>
      <c r="C31724" t="s">
        <v>68</v>
      </c>
      <c r="D31724" t="s">
        <v>14</v>
      </c>
      <c r="E31724" t="s">
        <v>148</v>
      </c>
      <c r="F31724" s="2" t="str">
        <f>HYPERLINK("http://www.otzar.org/book.asp?626056","עמל פנחס")</f>
        <v>עמל פנחס</v>
      </c>
    </row>
    <row r="31725" spans="1:6" x14ac:dyDescent="0.2">
      <c r="A31725" t="s">
        <v>49619</v>
      </c>
      <c r="B31725" t="s">
        <v>28080</v>
      </c>
      <c r="C31725" t="s">
        <v>13</v>
      </c>
      <c r="D31725" t="s">
        <v>14</v>
      </c>
      <c r="E31725" t="s">
        <v>213</v>
      </c>
      <c r="F31725" s="2" t="str">
        <f>HYPERLINK("http://www.otzar.org/book.asp?62103","עמלה של תורה")</f>
        <v>עמלה של תורה</v>
      </c>
    </row>
    <row r="31726" spans="1:6" x14ac:dyDescent="0.2">
      <c r="A31726" t="s">
        <v>49620</v>
      </c>
      <c r="B31726" t="s">
        <v>13429</v>
      </c>
      <c r="C31726" t="s">
        <v>146</v>
      </c>
      <c r="D31726" t="s">
        <v>12936</v>
      </c>
      <c r="E31726" t="s">
        <v>202</v>
      </c>
      <c r="F31726" s="2" t="str">
        <f>HYPERLINK("http://www.otzar.org/book.asp?626206","עמלה של תורה - קידושין")</f>
        <v>עמלה של תורה - קידושין</v>
      </c>
    </row>
    <row r="31727" spans="1:6" x14ac:dyDescent="0.2">
      <c r="A31727" t="s">
        <v>49621</v>
      </c>
      <c r="B31727" t="s">
        <v>49622</v>
      </c>
      <c r="C31727" t="s">
        <v>151</v>
      </c>
      <c r="D31727" t="s">
        <v>1356</v>
      </c>
      <c r="E31727" t="s">
        <v>144</v>
      </c>
      <c r="F31727" s="2" t="str">
        <f>HYPERLINK("http://www.otzar.org/book.asp?615426","עמלה של תורה - יבמות")</f>
        <v>עמלה של תורה - יבמות</v>
      </c>
    </row>
    <row r="31728" spans="1:6" x14ac:dyDescent="0.2">
      <c r="A31728" t="s">
        <v>49623</v>
      </c>
      <c r="B31728" t="s">
        <v>49624</v>
      </c>
      <c r="C31728" t="s">
        <v>356</v>
      </c>
      <c r="D31728" t="s">
        <v>52</v>
      </c>
      <c r="E31728" t="s">
        <v>241</v>
      </c>
      <c r="F31728" s="2" t="str">
        <f>HYPERLINK("http://www.otzar.org/book.asp?168515","עמלה של תורה - 2 כר'")</f>
        <v>עמלה של תורה - 2 כר'</v>
      </c>
    </row>
    <row r="31729" spans="1:6" x14ac:dyDescent="0.2">
      <c r="A31729" t="s">
        <v>49625</v>
      </c>
      <c r="B31729" t="s">
        <v>1750</v>
      </c>
      <c r="C31729" t="s">
        <v>332</v>
      </c>
      <c r="D31729" t="s">
        <v>52</v>
      </c>
      <c r="E31729" t="s">
        <v>202</v>
      </c>
      <c r="F31729" s="2" t="str">
        <f>HYPERLINK("http://www.otzar.org/book.asp?19247","עמלה של תורה - 8 כר'")</f>
        <v>עמלה של תורה - 8 כר'</v>
      </c>
    </row>
    <row r="31730" spans="1:6" x14ac:dyDescent="0.2">
      <c r="A31730" t="s">
        <v>49626</v>
      </c>
      <c r="B31730" t="s">
        <v>49627</v>
      </c>
      <c r="C31730" t="s">
        <v>411</v>
      </c>
      <c r="D31730" t="s">
        <v>52</v>
      </c>
      <c r="F31730" s="2" t="str">
        <f>HYPERLINK("http://www.otzar.org/book.asp?614384","עמלי תורה - שבת, יבמות")</f>
        <v>עמלי תורה - שבת, יבמות</v>
      </c>
    </row>
    <row r="31731" spans="1:6" x14ac:dyDescent="0.2">
      <c r="A31731" t="s">
        <v>49628</v>
      </c>
      <c r="B31731" t="s">
        <v>49629</v>
      </c>
      <c r="C31731" t="s">
        <v>151</v>
      </c>
      <c r="D31731" t="s">
        <v>52</v>
      </c>
      <c r="E31731" t="s">
        <v>202</v>
      </c>
      <c r="F31731" s="2" t="str">
        <f>HYPERLINK("http://www.otzar.org/book.asp?620742","עמלי תורה - כתובות")</f>
        <v>עמלי תורה - כתובות</v>
      </c>
    </row>
    <row r="31732" spans="1:6" x14ac:dyDescent="0.2">
      <c r="A31732" t="s">
        <v>49630</v>
      </c>
      <c r="B31732" t="s">
        <v>36446</v>
      </c>
      <c r="C31732" t="s">
        <v>366</v>
      </c>
      <c r="D31732" t="s">
        <v>412</v>
      </c>
      <c r="E31732" t="s">
        <v>579</v>
      </c>
      <c r="F31732" s="2" t="str">
        <f>HYPERLINK("http://www.otzar.org/book.asp?603301","עמלים בתורה - 3 כר'")</f>
        <v>עמלים בתורה - 3 כר'</v>
      </c>
    </row>
    <row r="31733" spans="1:6" x14ac:dyDescent="0.2">
      <c r="A31733" t="s">
        <v>49631</v>
      </c>
      <c r="B31733" t="s">
        <v>49632</v>
      </c>
      <c r="C31733" t="s">
        <v>114</v>
      </c>
      <c r="D31733" t="s">
        <v>52</v>
      </c>
      <c r="F31733" s="2" t="str">
        <f>HYPERLINK("http://www.otzar.org/book.asp?164175","עמק אבות")</f>
        <v>עמק אבות</v>
      </c>
    </row>
    <row r="31734" spans="1:6" x14ac:dyDescent="0.2">
      <c r="A31734" t="s">
        <v>49633</v>
      </c>
      <c r="B31734" t="s">
        <v>49634</v>
      </c>
      <c r="C31734" t="s">
        <v>558</v>
      </c>
      <c r="D31734" t="s">
        <v>691</v>
      </c>
      <c r="E31734" t="s">
        <v>15</v>
      </c>
      <c r="F31734" s="2" t="str">
        <f>HYPERLINK("http://www.otzar.org/book.asp?19454","עמק אברהם")</f>
        <v>עמק אברהם</v>
      </c>
    </row>
    <row r="31735" spans="1:6" x14ac:dyDescent="0.2">
      <c r="A31735" t="s">
        <v>49633</v>
      </c>
      <c r="B31735" t="s">
        <v>49635</v>
      </c>
      <c r="C31735" t="s">
        <v>37</v>
      </c>
      <c r="D31735" t="s">
        <v>229</v>
      </c>
      <c r="E31735" t="s">
        <v>144</v>
      </c>
      <c r="F31735" s="2" t="str">
        <f>HYPERLINK("http://www.otzar.org/book.asp?192973","עמק אברהם")</f>
        <v>עמק אברהם</v>
      </c>
    </row>
    <row r="31736" spans="1:6" x14ac:dyDescent="0.2">
      <c r="A31736" t="s">
        <v>49636</v>
      </c>
      <c r="B31736" t="s">
        <v>9866</v>
      </c>
      <c r="C31736" t="s">
        <v>124</v>
      </c>
      <c r="D31736" t="s">
        <v>1356</v>
      </c>
      <c r="E31736" t="s">
        <v>19639</v>
      </c>
      <c r="F31736" s="2" t="str">
        <f>HYPERLINK("http://www.otzar.org/book.asp?10749","עמק אליהו")</f>
        <v>עמק אליהו</v>
      </c>
    </row>
    <row r="31737" spans="1:6" x14ac:dyDescent="0.2">
      <c r="A31737" t="s">
        <v>49637</v>
      </c>
      <c r="B31737" t="s">
        <v>49638</v>
      </c>
      <c r="C31737" t="s">
        <v>411</v>
      </c>
      <c r="D31737" t="s">
        <v>14</v>
      </c>
      <c r="E31737" t="s">
        <v>144</v>
      </c>
      <c r="F31737" s="2" t="str">
        <f>HYPERLINK("http://www.otzar.org/book.asp?183075","עמק אפרים - 2 כר'")</f>
        <v>עמק אפרים - 2 כר'</v>
      </c>
    </row>
    <row r="31738" spans="1:6" x14ac:dyDescent="0.2">
      <c r="A31738" t="s">
        <v>49639</v>
      </c>
      <c r="B31738" t="s">
        <v>49640</v>
      </c>
      <c r="C31738" t="s">
        <v>111</v>
      </c>
      <c r="E31738" t="s">
        <v>144</v>
      </c>
      <c r="F31738" s="2" t="str">
        <f>HYPERLINK("http://www.otzar.org/book.asp?622557","עמק ארזים")</f>
        <v>עמק ארזים</v>
      </c>
    </row>
    <row r="31739" spans="1:6" x14ac:dyDescent="0.2">
      <c r="A31739" t="s">
        <v>49641</v>
      </c>
      <c r="B31739" t="s">
        <v>4461</v>
      </c>
      <c r="C31739" t="s">
        <v>558</v>
      </c>
      <c r="D31739" t="s">
        <v>49642</v>
      </c>
      <c r="E31739" t="s">
        <v>154</v>
      </c>
      <c r="F31739" s="2" t="str">
        <f>HYPERLINK("http://www.otzar.org/book.asp?19359","עמק בנימין")</f>
        <v>עמק בנימין</v>
      </c>
    </row>
    <row r="31740" spans="1:6" x14ac:dyDescent="0.2">
      <c r="A31740" t="s">
        <v>49643</v>
      </c>
      <c r="B31740" t="s">
        <v>11884</v>
      </c>
      <c r="C31740" t="s">
        <v>168</v>
      </c>
      <c r="D31740" t="s">
        <v>14</v>
      </c>
      <c r="E31740" t="s">
        <v>15</v>
      </c>
      <c r="F31740" s="2" t="str">
        <f>HYPERLINK("http://www.otzar.org/book.asp?173276","עמק ברכה &lt;מהדורה חדשה&gt;")</f>
        <v>עמק ברכה &lt;מהדורה חדשה&gt;</v>
      </c>
    </row>
    <row r="31741" spans="1:6" x14ac:dyDescent="0.2">
      <c r="A31741" t="s">
        <v>49644</v>
      </c>
      <c r="B31741" t="s">
        <v>11884</v>
      </c>
      <c r="C31741" t="s">
        <v>8476</v>
      </c>
      <c r="D31741" t="s">
        <v>1023</v>
      </c>
      <c r="E31741" t="s">
        <v>15</v>
      </c>
      <c r="F31741" s="2" t="str">
        <f>HYPERLINK("http://www.otzar.org/book.asp?155601","עמק ברכה - 3 כר'")</f>
        <v>עמק ברכה - 3 כר'</v>
      </c>
    </row>
    <row r="31742" spans="1:6" x14ac:dyDescent="0.2">
      <c r="A31742" t="s">
        <v>49645</v>
      </c>
      <c r="B31742" t="s">
        <v>38606</v>
      </c>
      <c r="C31742" t="s">
        <v>129</v>
      </c>
      <c r="D31742" t="s">
        <v>412</v>
      </c>
      <c r="E31742" t="s">
        <v>158</v>
      </c>
      <c r="F31742" s="2" t="str">
        <f>HYPERLINK("http://www.otzar.org/book.asp?179243","עמק ברכה - 6 כר'")</f>
        <v>עמק ברכה - 6 כר'</v>
      </c>
    </row>
    <row r="31743" spans="1:6" x14ac:dyDescent="0.2">
      <c r="A31743" t="s">
        <v>49646</v>
      </c>
      <c r="B31743" t="s">
        <v>49647</v>
      </c>
      <c r="C31743" t="s">
        <v>2970</v>
      </c>
      <c r="D31743" t="s">
        <v>267</v>
      </c>
      <c r="E31743" t="s">
        <v>435</v>
      </c>
      <c r="F31743" s="2" t="str">
        <f>HYPERLINK("http://www.otzar.org/book.asp?101548","עמק ברכה")</f>
        <v>עמק ברכה</v>
      </c>
    </row>
    <row r="31744" spans="1:6" x14ac:dyDescent="0.2">
      <c r="A31744" t="s">
        <v>49646</v>
      </c>
      <c r="B31744" t="s">
        <v>49648</v>
      </c>
      <c r="C31744" t="s">
        <v>13</v>
      </c>
      <c r="D31744" t="s">
        <v>486</v>
      </c>
      <c r="E31744" t="s">
        <v>144</v>
      </c>
      <c r="F31744" s="2" t="str">
        <f>HYPERLINK("http://www.otzar.org/book.asp?151892","עמק ברכה")</f>
        <v>עמק ברכה</v>
      </c>
    </row>
    <row r="31745" spans="1:6" x14ac:dyDescent="0.2">
      <c r="A31745" t="s">
        <v>49646</v>
      </c>
      <c r="B31745" t="s">
        <v>28548</v>
      </c>
      <c r="C31745" t="s">
        <v>20</v>
      </c>
      <c r="D31745" t="s">
        <v>90</v>
      </c>
      <c r="E31745" t="s">
        <v>803</v>
      </c>
      <c r="F31745" s="2" t="str">
        <f>HYPERLINK("http://www.otzar.org/book.asp?155405","עמק ברכה")</f>
        <v>עמק ברכה</v>
      </c>
    </row>
    <row r="31746" spans="1:6" x14ac:dyDescent="0.2">
      <c r="A31746" t="s">
        <v>49646</v>
      </c>
      <c r="B31746" t="s">
        <v>49649</v>
      </c>
      <c r="C31746" t="s">
        <v>10455</v>
      </c>
      <c r="D31746" t="s">
        <v>27</v>
      </c>
      <c r="E31746" t="s">
        <v>49650</v>
      </c>
      <c r="F31746" s="2" t="str">
        <f>HYPERLINK("http://www.otzar.org/book.asp?101758","עמק ברכה")</f>
        <v>עמק ברכה</v>
      </c>
    </row>
    <row r="31747" spans="1:6" x14ac:dyDescent="0.2">
      <c r="A31747" t="s">
        <v>49651</v>
      </c>
      <c r="B31747" t="s">
        <v>49652</v>
      </c>
      <c r="C31747" t="s">
        <v>383</v>
      </c>
      <c r="D31747" t="s">
        <v>14</v>
      </c>
      <c r="E31747" t="s">
        <v>144</v>
      </c>
      <c r="F31747" s="2" t="str">
        <f>HYPERLINK("http://www.otzar.org/book.asp?161932","עמק דב""ר")</f>
        <v>עמק דב"ר</v>
      </c>
    </row>
    <row r="31748" spans="1:6" x14ac:dyDescent="0.2">
      <c r="A31748" t="s">
        <v>49653</v>
      </c>
      <c r="B31748" t="s">
        <v>5470</v>
      </c>
      <c r="C31748" t="s">
        <v>244</v>
      </c>
      <c r="D31748" t="s">
        <v>118</v>
      </c>
      <c r="E31748" t="s">
        <v>246</v>
      </c>
      <c r="F31748" s="2" t="str">
        <f>HYPERLINK("http://www.otzar.org/book.asp?601526","עמק האילן - 2 כר'")</f>
        <v>עמק האילן - 2 כר'</v>
      </c>
    </row>
    <row r="31749" spans="1:6" x14ac:dyDescent="0.2">
      <c r="A31749" t="s">
        <v>49654</v>
      </c>
      <c r="B31749" t="s">
        <v>28733</v>
      </c>
      <c r="C31749" t="s">
        <v>383</v>
      </c>
      <c r="D31749" t="s">
        <v>13187</v>
      </c>
      <c r="E31749" t="s">
        <v>119</v>
      </c>
      <c r="F31749" s="2" t="str">
        <f>HYPERLINK("http://www.otzar.org/book.asp?180882","עמק הבכא &lt;מהדורת סץ&gt;")</f>
        <v>עמק הבכא &lt;מהדורת סץ&gt;</v>
      </c>
    </row>
    <row r="31750" spans="1:6" x14ac:dyDescent="0.2">
      <c r="A31750" t="s">
        <v>49655</v>
      </c>
      <c r="B31750" t="s">
        <v>12985</v>
      </c>
      <c r="C31750" t="s">
        <v>224</v>
      </c>
      <c r="D31750" t="s">
        <v>10393</v>
      </c>
      <c r="E31750" t="s">
        <v>10</v>
      </c>
      <c r="F31750" s="2" t="str">
        <f>HYPERLINK("http://www.otzar.org/book.asp?141924","עמק הבכא - 2 כר'")</f>
        <v>עמק הבכא - 2 כר'</v>
      </c>
    </row>
    <row r="31751" spans="1:6" x14ac:dyDescent="0.2">
      <c r="A31751" t="s">
        <v>49656</v>
      </c>
      <c r="B31751" t="s">
        <v>49657</v>
      </c>
      <c r="C31751" t="s">
        <v>1706</v>
      </c>
      <c r="D31751" t="s">
        <v>56</v>
      </c>
      <c r="E31751" t="s">
        <v>6975</v>
      </c>
      <c r="F31751" s="2" t="str">
        <f>HYPERLINK("http://www.otzar.org/book.asp?199493","עמק הבכא")</f>
        <v>עמק הבכא</v>
      </c>
    </row>
    <row r="31752" spans="1:6" x14ac:dyDescent="0.2">
      <c r="A31752" t="s">
        <v>49658</v>
      </c>
      <c r="B31752" t="s">
        <v>1289</v>
      </c>
      <c r="C31752" t="s">
        <v>1150</v>
      </c>
      <c r="D31752" t="s">
        <v>1459</v>
      </c>
      <c r="E31752" t="s">
        <v>119</v>
      </c>
      <c r="F31752" s="2" t="str">
        <f>HYPERLINK("http://www.otzar.org/book.asp?168925","עמק הבכא - 3 כר'")</f>
        <v>עמק הבכא - 3 כר'</v>
      </c>
    </row>
    <row r="31753" spans="1:6" x14ac:dyDescent="0.2">
      <c r="A31753" t="s">
        <v>49656</v>
      </c>
      <c r="B31753" t="s">
        <v>49659</v>
      </c>
      <c r="C31753" t="s">
        <v>1940</v>
      </c>
      <c r="D31753" t="s">
        <v>744</v>
      </c>
      <c r="E31753" t="s">
        <v>234</v>
      </c>
      <c r="F31753" s="2" t="str">
        <f>HYPERLINK("http://www.otzar.org/book.asp?85003","עמק הבכא")</f>
        <v>עמק הבכא</v>
      </c>
    </row>
    <row r="31754" spans="1:6" x14ac:dyDescent="0.2">
      <c r="A31754" t="s">
        <v>49656</v>
      </c>
      <c r="B31754" t="s">
        <v>49660</v>
      </c>
      <c r="C31754" t="s">
        <v>8375</v>
      </c>
      <c r="D31754" t="s">
        <v>56</v>
      </c>
      <c r="E31754" t="s">
        <v>234</v>
      </c>
      <c r="F31754" s="2" t="str">
        <f>HYPERLINK("http://www.otzar.org/book.asp?151554","עמק הבכא")</f>
        <v>עמק הבכא</v>
      </c>
    </row>
    <row r="31755" spans="1:6" x14ac:dyDescent="0.2">
      <c r="A31755" t="s">
        <v>49661</v>
      </c>
      <c r="B31755" t="s">
        <v>5470</v>
      </c>
      <c r="C31755" t="s">
        <v>244</v>
      </c>
      <c r="D31755" t="s">
        <v>118</v>
      </c>
      <c r="E31755" t="s">
        <v>4494</v>
      </c>
      <c r="F31755" s="2" t="str">
        <f>HYPERLINK("http://www.otzar.org/book.asp?601522","עמק הגדול")</f>
        <v>עמק הגדול</v>
      </c>
    </row>
    <row r="31756" spans="1:6" x14ac:dyDescent="0.2">
      <c r="A31756" t="s">
        <v>49662</v>
      </c>
      <c r="B31756" t="s">
        <v>5470</v>
      </c>
      <c r="C31756" t="s">
        <v>244</v>
      </c>
      <c r="D31756" t="s">
        <v>118</v>
      </c>
      <c r="E31756" t="s">
        <v>15</v>
      </c>
      <c r="F31756" s="2" t="str">
        <f>HYPERLINK("http://www.otzar.org/book.asp?601524","עמק הדרישה")</f>
        <v>עמק הדרישה</v>
      </c>
    </row>
    <row r="31757" spans="1:6" x14ac:dyDescent="0.2">
      <c r="A31757" t="s">
        <v>49663</v>
      </c>
      <c r="B31757" t="s">
        <v>49664</v>
      </c>
      <c r="C31757" t="s">
        <v>37</v>
      </c>
      <c r="D31757" t="s">
        <v>14</v>
      </c>
      <c r="E31757" t="s">
        <v>15</v>
      </c>
      <c r="F31757" s="2" t="str">
        <f>HYPERLINK("http://www.otzar.org/book.asp?623135","עמק ההלכה - 2 כר'")</f>
        <v>עמק ההלכה - 2 כר'</v>
      </c>
    </row>
    <row r="31758" spans="1:6" x14ac:dyDescent="0.2">
      <c r="A31758" t="s">
        <v>49665</v>
      </c>
      <c r="B31758" t="s">
        <v>11773</v>
      </c>
      <c r="C31758" t="s">
        <v>1208</v>
      </c>
      <c r="D31758" t="s">
        <v>14</v>
      </c>
      <c r="E31758" t="s">
        <v>1211</v>
      </c>
      <c r="F31758" s="2" t="str">
        <f>HYPERLINK("http://www.otzar.org/book.asp?6916","עמק ההלכה")</f>
        <v>עמק ההלכה</v>
      </c>
    </row>
    <row r="31759" spans="1:6" x14ac:dyDescent="0.2">
      <c r="A31759" t="s">
        <v>49666</v>
      </c>
      <c r="B31759" t="s">
        <v>49667</v>
      </c>
      <c r="C31759" t="s">
        <v>23</v>
      </c>
      <c r="D31759" t="s">
        <v>52</v>
      </c>
      <c r="E31759" t="s">
        <v>144</v>
      </c>
      <c r="F31759" s="2" t="str">
        <f>HYPERLINK("http://www.otzar.org/book.asp?625851","עמק הזבח")</f>
        <v>עמק הזבח</v>
      </c>
    </row>
    <row r="31760" spans="1:6" x14ac:dyDescent="0.2">
      <c r="A31760" t="s">
        <v>49668</v>
      </c>
      <c r="B31760" t="s">
        <v>1750</v>
      </c>
      <c r="C31760" t="s">
        <v>68</v>
      </c>
      <c r="D31760" t="s">
        <v>80</v>
      </c>
      <c r="E31760" t="s">
        <v>202</v>
      </c>
      <c r="F31760" s="2" t="str">
        <f>HYPERLINK("http://www.otzar.org/book.asp?604395","עמק הזהב - על עניני המועדים")</f>
        <v>עמק הזהב - על עניני המועדים</v>
      </c>
    </row>
    <row r="31761" spans="1:6" x14ac:dyDescent="0.2">
      <c r="A31761" t="s">
        <v>49669</v>
      </c>
      <c r="B31761" t="s">
        <v>25217</v>
      </c>
      <c r="C31761" t="s">
        <v>506</v>
      </c>
      <c r="D31761" t="s">
        <v>1966</v>
      </c>
      <c r="E31761" t="s">
        <v>16995</v>
      </c>
      <c r="F31761" s="2" t="str">
        <f>HYPERLINK("http://www.otzar.org/book.asp?14261","עמק החכמה")</f>
        <v>עמק החכמה</v>
      </c>
    </row>
    <row r="31762" spans="1:6" x14ac:dyDescent="0.2">
      <c r="A31762" t="s">
        <v>49670</v>
      </c>
      <c r="B31762" t="s">
        <v>49671</v>
      </c>
      <c r="C31762" t="s">
        <v>49672</v>
      </c>
      <c r="D31762" t="s">
        <v>21</v>
      </c>
      <c r="E31762" t="s">
        <v>2098</v>
      </c>
      <c r="F31762" s="2" t="str">
        <f>HYPERLINK("http://www.otzar.org/book.asp?603721","עמק החרוץ")</f>
        <v>עמק החרוץ</v>
      </c>
    </row>
    <row r="31763" spans="1:6" x14ac:dyDescent="0.2">
      <c r="A31763" t="s">
        <v>49673</v>
      </c>
      <c r="B31763" t="s">
        <v>5470</v>
      </c>
      <c r="C31763" t="s">
        <v>244</v>
      </c>
      <c r="D31763" t="s">
        <v>412</v>
      </c>
      <c r="E31763" t="s">
        <v>246</v>
      </c>
      <c r="F31763" s="2" t="str">
        <f>HYPERLINK("http://www.otzar.org/book.asp?199942","עמק הטבוח")</f>
        <v>עמק הטבוח</v>
      </c>
    </row>
    <row r="31764" spans="1:6" x14ac:dyDescent="0.2">
      <c r="A31764" t="s">
        <v>49674</v>
      </c>
      <c r="B31764" t="s">
        <v>49667</v>
      </c>
      <c r="C31764" t="s">
        <v>366</v>
      </c>
      <c r="D31764" t="s">
        <v>52</v>
      </c>
      <c r="E31764" t="s">
        <v>144</v>
      </c>
      <c r="F31764" s="2" t="str">
        <f>HYPERLINK("http://www.otzar.org/book.asp?625849","עמק היבום")</f>
        <v>עמק היבום</v>
      </c>
    </row>
    <row r="31765" spans="1:6" x14ac:dyDescent="0.2">
      <c r="A31765" t="s">
        <v>49675</v>
      </c>
      <c r="B31765" t="s">
        <v>49676</v>
      </c>
      <c r="C31765" t="s">
        <v>3690</v>
      </c>
      <c r="D31765" t="s">
        <v>283</v>
      </c>
      <c r="E31765" t="s">
        <v>930</v>
      </c>
      <c r="F31765" s="2" t="str">
        <f>HYPERLINK("http://www.otzar.org/book.asp?104123","עמק הלכה")</f>
        <v>עמק הלכה</v>
      </c>
    </row>
    <row r="31766" spans="1:6" x14ac:dyDescent="0.2">
      <c r="A31766" t="s">
        <v>49677</v>
      </c>
      <c r="B31766" t="s">
        <v>49678</v>
      </c>
      <c r="C31766" t="s">
        <v>189</v>
      </c>
      <c r="D31766" t="s">
        <v>9</v>
      </c>
      <c r="E31766" t="s">
        <v>508</v>
      </c>
      <c r="F31766" s="2" t="str">
        <f>HYPERLINK("http://www.otzar.org/book.asp?153029","עמק הלכה - 3 כר'")</f>
        <v>עמק הלכה - 3 כר'</v>
      </c>
    </row>
    <row r="31767" spans="1:6" x14ac:dyDescent="0.2">
      <c r="A31767" t="s">
        <v>49679</v>
      </c>
      <c r="B31767" t="s">
        <v>49680</v>
      </c>
      <c r="C31767" t="s">
        <v>103</v>
      </c>
      <c r="D31767" t="s">
        <v>412</v>
      </c>
      <c r="E31767" t="s">
        <v>144</v>
      </c>
      <c r="F31767" s="2" t="str">
        <f>HYPERLINK("http://www.otzar.org/book.asp?195703","עמק הלכה - 4 כר'")</f>
        <v>עמק הלכה - 4 כר'</v>
      </c>
    </row>
    <row r="31768" spans="1:6" x14ac:dyDescent="0.2">
      <c r="A31768" t="s">
        <v>49677</v>
      </c>
      <c r="B31768" t="s">
        <v>48742</v>
      </c>
      <c r="C31768" t="s">
        <v>51</v>
      </c>
      <c r="D31768" t="s">
        <v>14</v>
      </c>
      <c r="E31768" t="s">
        <v>424</v>
      </c>
      <c r="F31768" s="2" t="str">
        <f>HYPERLINK("http://www.otzar.org/book.asp?153593","עמק הלכה - 3 כר'")</f>
        <v>עמק הלכה - 3 כר'</v>
      </c>
    </row>
    <row r="31769" spans="1:6" x14ac:dyDescent="0.2">
      <c r="A31769" t="s">
        <v>49675</v>
      </c>
      <c r="B31769" t="s">
        <v>49681</v>
      </c>
      <c r="C31769" t="s">
        <v>321</v>
      </c>
      <c r="D31769" t="s">
        <v>56</v>
      </c>
      <c r="E31769" t="s">
        <v>154</v>
      </c>
      <c r="F31769" s="2" t="str">
        <f>HYPERLINK("http://www.otzar.org/book.asp?101549","עמק הלכה")</f>
        <v>עמק הלכה</v>
      </c>
    </row>
    <row r="31770" spans="1:6" x14ac:dyDescent="0.2">
      <c r="A31770" t="s">
        <v>49677</v>
      </c>
      <c r="B31770" t="s">
        <v>49682</v>
      </c>
      <c r="C31770" t="s">
        <v>224</v>
      </c>
      <c r="D31770" t="s">
        <v>283</v>
      </c>
      <c r="E31770" t="s">
        <v>2091</v>
      </c>
      <c r="F31770" s="2" t="str">
        <f>HYPERLINK("http://www.otzar.org/book.asp?167172","עמק הלכה - 3 כר'")</f>
        <v>עמק הלכה - 3 כר'</v>
      </c>
    </row>
    <row r="31771" spans="1:6" x14ac:dyDescent="0.2">
      <c r="A31771" t="s">
        <v>49675</v>
      </c>
      <c r="B31771" t="s">
        <v>24262</v>
      </c>
      <c r="C31771" t="s">
        <v>22961</v>
      </c>
      <c r="D31771" t="s">
        <v>2290</v>
      </c>
      <c r="E31771" t="s">
        <v>158</v>
      </c>
      <c r="F31771" s="2" t="str">
        <f>HYPERLINK("http://www.otzar.org/book.asp?15932","עמק הלכה")</f>
        <v>עמק הלכה</v>
      </c>
    </row>
    <row r="31772" spans="1:6" x14ac:dyDescent="0.2">
      <c r="A31772" t="s">
        <v>49683</v>
      </c>
      <c r="B31772" t="s">
        <v>49675</v>
      </c>
      <c r="C31772" t="s">
        <v>49684</v>
      </c>
      <c r="D31772" t="s">
        <v>49685</v>
      </c>
      <c r="E31772" t="s">
        <v>2091</v>
      </c>
      <c r="F31772" s="2" t="str">
        <f>HYPERLINK("http://www.otzar.org/book.asp?51249","עמק הלכה - א")</f>
        <v>עמק הלכה - א</v>
      </c>
    </row>
    <row r="31773" spans="1:6" x14ac:dyDescent="0.2">
      <c r="A31773" t="s">
        <v>49675</v>
      </c>
      <c r="B31773" t="s">
        <v>5470</v>
      </c>
      <c r="C31773" t="s">
        <v>20</v>
      </c>
      <c r="D31773" t="s">
        <v>412</v>
      </c>
      <c r="E31773" t="s">
        <v>15</v>
      </c>
      <c r="F31773" s="2" t="str">
        <f>HYPERLINK("http://www.otzar.org/book.asp?181937","עמק הלכה")</f>
        <v>עמק הלכה</v>
      </c>
    </row>
    <row r="31774" spans="1:6" x14ac:dyDescent="0.2">
      <c r="A31774" t="s">
        <v>49686</v>
      </c>
      <c r="B31774" t="s">
        <v>49687</v>
      </c>
      <c r="C31774" t="s">
        <v>940</v>
      </c>
      <c r="D31774" t="s">
        <v>14</v>
      </c>
      <c r="E31774" t="s">
        <v>588</v>
      </c>
      <c r="F31774" s="2" t="str">
        <f>HYPERLINK("http://www.otzar.org/book.asp?143719","עמק הלכה, אסיא - א")</f>
        <v>עמק הלכה, אסיא - א</v>
      </c>
    </row>
    <row r="31775" spans="1:6" x14ac:dyDescent="0.2">
      <c r="A31775" t="s">
        <v>49688</v>
      </c>
      <c r="B31775" t="s">
        <v>5470</v>
      </c>
      <c r="C31775" t="s">
        <v>244</v>
      </c>
      <c r="D31775" t="s">
        <v>118</v>
      </c>
      <c r="E31775" t="s">
        <v>15</v>
      </c>
      <c r="F31775" s="2" t="str">
        <f>HYPERLINK("http://www.otzar.org/book.asp?601528","עמק הלשון")</f>
        <v>עמק הלשון</v>
      </c>
    </row>
    <row r="31776" spans="1:6" x14ac:dyDescent="0.2">
      <c r="A31776" t="s">
        <v>49689</v>
      </c>
      <c r="B31776" t="s">
        <v>49690</v>
      </c>
      <c r="C31776" t="s">
        <v>11974</v>
      </c>
      <c r="D31776" t="s">
        <v>1023</v>
      </c>
      <c r="E31776" t="s">
        <v>399</v>
      </c>
      <c r="F31776" s="2" t="str">
        <f>HYPERLINK("http://www.otzar.org/book.asp?180013","עמק המלך &lt;מהדורה חדשה&gt; - 2 כר'")</f>
        <v>עמק המלך &lt;מהדורה חדשה&gt; - 2 כר'</v>
      </c>
    </row>
    <row r="31777" spans="1:6" x14ac:dyDescent="0.2">
      <c r="A31777" t="s">
        <v>49691</v>
      </c>
      <c r="B31777" t="s">
        <v>49690</v>
      </c>
      <c r="C31777" t="s">
        <v>11974</v>
      </c>
      <c r="D31777" t="s">
        <v>1023</v>
      </c>
      <c r="E31777" t="s">
        <v>2075</v>
      </c>
      <c r="F31777" s="2" t="str">
        <f>HYPERLINK("http://www.otzar.org/book.asp?5954","עמק המלך")</f>
        <v>עמק המלך</v>
      </c>
    </row>
    <row r="31778" spans="1:6" x14ac:dyDescent="0.2">
      <c r="A31778" t="s">
        <v>49691</v>
      </c>
      <c r="B31778" t="s">
        <v>49692</v>
      </c>
      <c r="C31778" t="s">
        <v>2970</v>
      </c>
      <c r="D31778" t="s">
        <v>267</v>
      </c>
      <c r="E31778" t="s">
        <v>15</v>
      </c>
      <c r="F31778" s="2" t="str">
        <f>HYPERLINK("http://www.otzar.org/book.asp?151505","עמק המלך")</f>
        <v>עמק המלך</v>
      </c>
    </row>
    <row r="31779" spans="1:6" x14ac:dyDescent="0.2">
      <c r="A31779" t="s">
        <v>49691</v>
      </c>
      <c r="B31779" t="s">
        <v>49693</v>
      </c>
      <c r="C31779" t="s">
        <v>1418</v>
      </c>
      <c r="D31779" t="s">
        <v>212</v>
      </c>
      <c r="E31779" t="s">
        <v>154</v>
      </c>
      <c r="F31779" s="2" t="str">
        <f>HYPERLINK("http://www.otzar.org/book.asp?28668","עמק המלך")</f>
        <v>עמק המלך</v>
      </c>
    </row>
    <row r="31780" spans="1:6" x14ac:dyDescent="0.2">
      <c r="A31780" t="s">
        <v>49694</v>
      </c>
      <c r="B31780" t="s">
        <v>49695</v>
      </c>
      <c r="C31780" t="s">
        <v>313</v>
      </c>
      <c r="D31780" t="s">
        <v>423</v>
      </c>
      <c r="E31780" t="s">
        <v>15</v>
      </c>
      <c r="F31780" s="2" t="str">
        <f>HYPERLINK("http://www.otzar.org/book.asp?26344","עמק המשפט - 5 כר'")</f>
        <v>עמק המשפט - 5 כר'</v>
      </c>
    </row>
    <row r="31781" spans="1:6" x14ac:dyDescent="0.2">
      <c r="A31781" t="s">
        <v>49696</v>
      </c>
      <c r="B31781" t="s">
        <v>49697</v>
      </c>
      <c r="C31781" t="s">
        <v>103</v>
      </c>
      <c r="D31781" t="s">
        <v>134</v>
      </c>
      <c r="E31781" t="s">
        <v>872</v>
      </c>
      <c r="F31781" s="2" t="str">
        <f>HYPERLINK("http://www.otzar.org/book.asp?156453","עמק הנחל")</f>
        <v>עמק הנחל</v>
      </c>
    </row>
    <row r="31782" spans="1:6" x14ac:dyDescent="0.2">
      <c r="A31782" t="s">
        <v>49698</v>
      </c>
      <c r="B31782" t="s">
        <v>49667</v>
      </c>
      <c r="C31782" t="s">
        <v>366</v>
      </c>
      <c r="D31782" t="s">
        <v>52</v>
      </c>
      <c r="E31782" t="s">
        <v>144</v>
      </c>
      <c r="F31782" s="2" t="str">
        <f>HYPERLINK("http://www.otzar.org/book.asp?625854","עמק הספק")</f>
        <v>עמק הספק</v>
      </c>
    </row>
    <row r="31783" spans="1:6" x14ac:dyDescent="0.2">
      <c r="A31783" t="s">
        <v>49699</v>
      </c>
      <c r="B31783" t="s">
        <v>49664</v>
      </c>
      <c r="C31783" t="s">
        <v>189</v>
      </c>
      <c r="D31783" t="s">
        <v>52</v>
      </c>
      <c r="E31783" t="s">
        <v>144</v>
      </c>
      <c r="F31783" s="2" t="str">
        <f>HYPERLINK("http://www.otzar.org/book.asp?60218","עמק העיון - 5 כר'")</f>
        <v>עמק העיון - 5 כר'</v>
      </c>
    </row>
    <row r="31784" spans="1:6" x14ac:dyDescent="0.2">
      <c r="A31784" t="s">
        <v>49700</v>
      </c>
      <c r="B31784" t="s">
        <v>49667</v>
      </c>
      <c r="C31784" t="s">
        <v>114</v>
      </c>
      <c r="D31784" t="s">
        <v>52</v>
      </c>
      <c r="E31784" t="s">
        <v>144</v>
      </c>
      <c r="F31784" s="2" t="str">
        <f>HYPERLINK("http://www.otzar.org/book.asp?625853","עמק העירוב")</f>
        <v>עמק העירוב</v>
      </c>
    </row>
    <row r="31785" spans="1:6" x14ac:dyDescent="0.2">
      <c r="A31785" t="s">
        <v>49701</v>
      </c>
      <c r="B31785" t="s">
        <v>5470</v>
      </c>
      <c r="C31785" t="s">
        <v>244</v>
      </c>
      <c r="D31785" t="s">
        <v>118</v>
      </c>
      <c r="E31785" t="s">
        <v>234</v>
      </c>
      <c r="F31785" s="2" t="str">
        <f>HYPERLINK("http://www.otzar.org/book.asp?601531","עמק הפרה")</f>
        <v>עמק הפרה</v>
      </c>
    </row>
    <row r="31786" spans="1:6" x14ac:dyDescent="0.2">
      <c r="A31786" t="s">
        <v>49702</v>
      </c>
      <c r="B31786" t="s">
        <v>49703</v>
      </c>
      <c r="C31786" t="s">
        <v>20</v>
      </c>
      <c r="D31786" t="s">
        <v>657</v>
      </c>
      <c r="E31786" t="s">
        <v>144</v>
      </c>
      <c r="F31786" s="2" t="str">
        <f>HYPERLINK("http://www.otzar.org/book.asp?603094","עמק הפשט - 7 כר'")</f>
        <v>עמק הפשט - 7 כר'</v>
      </c>
    </row>
    <row r="31787" spans="1:6" x14ac:dyDescent="0.2">
      <c r="A31787" t="s">
        <v>49704</v>
      </c>
      <c r="B31787" t="s">
        <v>5470</v>
      </c>
      <c r="C31787" t="s">
        <v>37</v>
      </c>
      <c r="D31787" t="s">
        <v>412</v>
      </c>
      <c r="E31787" t="s">
        <v>15</v>
      </c>
      <c r="F31787" s="2" t="str">
        <f>HYPERLINK("http://www.otzar.org/book.asp?199947","עמק הקהל")</f>
        <v>עמק הקהל</v>
      </c>
    </row>
    <row r="31788" spans="1:6" x14ac:dyDescent="0.2">
      <c r="A31788" t="s">
        <v>49705</v>
      </c>
      <c r="B31788" t="s">
        <v>49667</v>
      </c>
      <c r="C31788" t="s">
        <v>111</v>
      </c>
      <c r="D31788" t="s">
        <v>52</v>
      </c>
      <c r="E31788" t="s">
        <v>144</v>
      </c>
      <c r="F31788" s="2" t="str">
        <f>HYPERLINK("http://www.otzar.org/book.asp?625850","עמק הריבית")</f>
        <v>עמק הריבית</v>
      </c>
    </row>
    <row r="31789" spans="1:6" x14ac:dyDescent="0.2">
      <c r="A31789" t="s">
        <v>49706</v>
      </c>
      <c r="B31789" t="s">
        <v>49667</v>
      </c>
      <c r="C31789" t="s">
        <v>151</v>
      </c>
      <c r="D31789" t="s">
        <v>52</v>
      </c>
      <c r="E31789" t="s">
        <v>144</v>
      </c>
      <c r="F31789" s="2" t="str">
        <f>HYPERLINK("http://www.otzar.org/book.asp?625852","עמק השמירה")</f>
        <v>עמק השמירה</v>
      </c>
    </row>
    <row r="31790" spans="1:6" x14ac:dyDescent="0.2">
      <c r="A31790" t="s">
        <v>49707</v>
      </c>
      <c r="B31790" t="s">
        <v>5470</v>
      </c>
      <c r="C31790" t="s">
        <v>244</v>
      </c>
      <c r="D31790" t="s">
        <v>118</v>
      </c>
      <c r="E31790" t="s">
        <v>467</v>
      </c>
      <c r="F31790" s="2" t="str">
        <f>HYPERLINK("http://www.otzar.org/book.asp?601523","עמק התבואה")</f>
        <v>עמק התבואה</v>
      </c>
    </row>
    <row r="31791" spans="1:6" x14ac:dyDescent="0.2">
      <c r="A31791" t="s">
        <v>49708</v>
      </c>
      <c r="B31791" t="s">
        <v>49632</v>
      </c>
      <c r="C31791" t="s">
        <v>37</v>
      </c>
      <c r="D31791" t="s">
        <v>80</v>
      </c>
      <c r="F31791" s="2" t="str">
        <f>HYPERLINK("http://www.otzar.org/book.asp?622476","עמק התורה")</f>
        <v>עמק התורה</v>
      </c>
    </row>
    <row r="31792" spans="1:6" x14ac:dyDescent="0.2">
      <c r="A31792" t="s">
        <v>49709</v>
      </c>
      <c r="B31792" t="s">
        <v>14489</v>
      </c>
      <c r="C31792" t="s">
        <v>103</v>
      </c>
      <c r="D31792" t="s">
        <v>412</v>
      </c>
      <c r="E31792" t="s">
        <v>154</v>
      </c>
      <c r="F31792" s="2" t="str">
        <f>HYPERLINK("http://www.otzar.org/book.asp?152860","עמק התשובה - 9 כר'")</f>
        <v>עמק התשובה - 9 כר'</v>
      </c>
    </row>
    <row r="31793" spans="1:6" x14ac:dyDescent="0.2">
      <c r="A31793" t="s">
        <v>49710</v>
      </c>
      <c r="B31793" t="s">
        <v>18542</v>
      </c>
      <c r="C31793" t="s">
        <v>454</v>
      </c>
      <c r="D31793" t="s">
        <v>18543</v>
      </c>
      <c r="E31793" t="s">
        <v>144</v>
      </c>
      <c r="F31793" s="2" t="str">
        <f>HYPERLINK("http://www.otzar.org/book.asp?168506","עמק חברון - בבא מציעא")</f>
        <v>עמק חברון - בבא מציעא</v>
      </c>
    </row>
    <row r="31794" spans="1:6" x14ac:dyDescent="0.2">
      <c r="A31794" t="s">
        <v>49711</v>
      </c>
      <c r="B31794" t="s">
        <v>49712</v>
      </c>
      <c r="C31794" t="s">
        <v>427</v>
      </c>
      <c r="D31794" t="s">
        <v>260</v>
      </c>
      <c r="E31794" t="s">
        <v>104</v>
      </c>
      <c r="F31794" s="2" t="str">
        <f>HYPERLINK("http://www.otzar.org/book.asp?192674","עמק חברון")</f>
        <v>עמק חברון</v>
      </c>
    </row>
    <row r="31795" spans="1:6" x14ac:dyDescent="0.2">
      <c r="A31795" t="s">
        <v>49713</v>
      </c>
      <c r="B31795" t="s">
        <v>49714</v>
      </c>
      <c r="C31795" t="s">
        <v>21898</v>
      </c>
      <c r="D31795" t="s">
        <v>1833</v>
      </c>
      <c r="E31795" t="s">
        <v>158</v>
      </c>
      <c r="F31795" s="2" t="str">
        <f>HYPERLINK("http://www.otzar.org/book.asp?53533","עמק יהושע &lt;דפו""ר&gt;")</f>
        <v>עמק יהושע &lt;דפו"ר&gt;</v>
      </c>
    </row>
    <row r="31796" spans="1:6" x14ac:dyDescent="0.2">
      <c r="A31796" t="s">
        <v>49715</v>
      </c>
      <c r="B31796" t="s">
        <v>11296</v>
      </c>
      <c r="C31796" t="s">
        <v>1166</v>
      </c>
      <c r="D31796" t="s">
        <v>283</v>
      </c>
      <c r="E31796" t="s">
        <v>49716</v>
      </c>
      <c r="F31796" s="2" t="str">
        <f>HYPERLINK("http://www.otzar.org/book.asp?101677","עמק יהושע אחרון")</f>
        <v>עמק יהושע אחרון</v>
      </c>
    </row>
    <row r="31797" spans="1:6" x14ac:dyDescent="0.2">
      <c r="A31797" t="s">
        <v>49717</v>
      </c>
      <c r="B31797" t="s">
        <v>13360</v>
      </c>
      <c r="C31797" t="s">
        <v>7162</v>
      </c>
      <c r="D31797" t="s">
        <v>7163</v>
      </c>
      <c r="E31797" t="s">
        <v>158</v>
      </c>
      <c r="F31797" s="2" t="str">
        <f>HYPERLINK("http://www.otzar.org/book.asp?103641","עמק יהושע")</f>
        <v>עמק יהושע</v>
      </c>
    </row>
    <row r="31798" spans="1:6" x14ac:dyDescent="0.2">
      <c r="A31798" t="s">
        <v>49718</v>
      </c>
      <c r="B31798" t="s">
        <v>49719</v>
      </c>
      <c r="C31798" t="s">
        <v>114</v>
      </c>
      <c r="D31798" t="s">
        <v>14</v>
      </c>
      <c r="E31798" t="s">
        <v>930</v>
      </c>
      <c r="F31798" s="2" t="str">
        <f>HYPERLINK("http://www.otzar.org/book.asp?166954","עמק יהושע - 7 כר'")</f>
        <v>עמק יהושע - 7 כר'</v>
      </c>
    </row>
    <row r="31799" spans="1:6" x14ac:dyDescent="0.2">
      <c r="A31799" t="s">
        <v>49720</v>
      </c>
      <c r="B31799" t="s">
        <v>162</v>
      </c>
      <c r="C31799" t="s">
        <v>946</v>
      </c>
      <c r="D31799" t="s">
        <v>27</v>
      </c>
      <c r="E31799" t="s">
        <v>930</v>
      </c>
      <c r="F31799" s="2" t="str">
        <f>HYPERLINK("http://www.otzar.org/book.asp?6333","עמק יהושע - 3 כר'")</f>
        <v>עמק יהושע - 3 כר'</v>
      </c>
    </row>
    <row r="31800" spans="1:6" x14ac:dyDescent="0.2">
      <c r="A31800" t="s">
        <v>49721</v>
      </c>
      <c r="B31800" t="s">
        <v>49722</v>
      </c>
      <c r="C31800" t="s">
        <v>20</v>
      </c>
      <c r="D31800" t="s">
        <v>52</v>
      </c>
      <c r="E31800" t="s">
        <v>684</v>
      </c>
      <c r="F31800" s="2" t="str">
        <f>HYPERLINK("http://www.otzar.org/book.asp?627515","עמק יהושפט - 9 כר'")</f>
        <v>עמק יהושפט - 9 כר'</v>
      </c>
    </row>
    <row r="31801" spans="1:6" x14ac:dyDescent="0.2">
      <c r="A31801" t="s">
        <v>49723</v>
      </c>
      <c r="B31801" t="s">
        <v>49724</v>
      </c>
      <c r="C31801" t="s">
        <v>2874</v>
      </c>
      <c r="D31801" t="s">
        <v>49725</v>
      </c>
      <c r="E31801" t="s">
        <v>241</v>
      </c>
      <c r="F31801" s="2" t="str">
        <f>HYPERLINK("http://www.otzar.org/book.asp?191423","עמק יהושפט")</f>
        <v>עמק יהושפט</v>
      </c>
    </row>
    <row r="31802" spans="1:6" x14ac:dyDescent="0.2">
      <c r="A31802" t="s">
        <v>49726</v>
      </c>
      <c r="B31802" t="s">
        <v>49727</v>
      </c>
      <c r="C31802" t="s">
        <v>2644</v>
      </c>
      <c r="D31802" t="s">
        <v>1365</v>
      </c>
      <c r="E31802" t="s">
        <v>144</v>
      </c>
      <c r="F31802" s="2" t="str">
        <f>HYPERLINK("http://www.otzar.org/book.asp?191422","עמק יזרעאל")</f>
        <v>עמק יזרעאל</v>
      </c>
    </row>
    <row r="31803" spans="1:6" x14ac:dyDescent="0.2">
      <c r="A31803" t="s">
        <v>49728</v>
      </c>
      <c r="B31803" t="s">
        <v>49648</v>
      </c>
      <c r="C31803" t="s">
        <v>129</v>
      </c>
      <c r="D31803" t="s">
        <v>486</v>
      </c>
      <c r="E31803" t="s">
        <v>658</v>
      </c>
      <c r="F31803" s="2" t="str">
        <f>HYPERLINK("http://www.otzar.org/book.asp?151896","עמק מועד")</f>
        <v>עמק מועד</v>
      </c>
    </row>
    <row r="31804" spans="1:6" x14ac:dyDescent="0.2">
      <c r="A31804" t="s">
        <v>49729</v>
      </c>
      <c r="B31804" t="s">
        <v>42858</v>
      </c>
      <c r="C31804" t="s">
        <v>71</v>
      </c>
      <c r="D31804" t="s">
        <v>486</v>
      </c>
      <c r="E31804" t="s">
        <v>803</v>
      </c>
      <c r="F31804" s="2" t="str">
        <f>HYPERLINK("http://www.otzar.org/book.asp?171401","עמק מלאכה - בונה ואהל")</f>
        <v>עמק מלאכה - בונה ואהל</v>
      </c>
    </row>
    <row r="31805" spans="1:6" x14ac:dyDescent="0.2">
      <c r="A31805" t="s">
        <v>49730</v>
      </c>
      <c r="B31805" t="s">
        <v>49648</v>
      </c>
      <c r="C31805" t="s">
        <v>103</v>
      </c>
      <c r="D31805" t="s">
        <v>486</v>
      </c>
      <c r="E31805" t="s">
        <v>933</v>
      </c>
      <c r="F31805" s="2" t="str">
        <f>HYPERLINK("http://www.otzar.org/book.asp?151897","עמק מצוה")</f>
        <v>עמק מצוה</v>
      </c>
    </row>
    <row r="31806" spans="1:6" x14ac:dyDescent="0.2">
      <c r="A31806" t="s">
        <v>49731</v>
      </c>
      <c r="B31806" t="s">
        <v>49732</v>
      </c>
      <c r="C31806" t="s">
        <v>553</v>
      </c>
      <c r="D31806" t="s">
        <v>412</v>
      </c>
      <c r="E31806" t="s">
        <v>144</v>
      </c>
      <c r="F31806" s="2" t="str">
        <f>HYPERLINK("http://www.otzar.org/book.asp?150478","עמק מרדכי - 5 כר'")</f>
        <v>עמק מרדכי - 5 כר'</v>
      </c>
    </row>
    <row r="31807" spans="1:6" x14ac:dyDescent="0.2">
      <c r="A31807" t="s">
        <v>49733</v>
      </c>
      <c r="B31807" t="s">
        <v>49734</v>
      </c>
      <c r="C31807" t="s">
        <v>146</v>
      </c>
      <c r="D31807" t="s">
        <v>152</v>
      </c>
      <c r="E31807" t="s">
        <v>172</v>
      </c>
      <c r="F31807" s="2" t="str">
        <f>HYPERLINK("http://www.otzar.org/book.asp?148819","עמק משפט")</f>
        <v>עמק משפט</v>
      </c>
    </row>
    <row r="31808" spans="1:6" x14ac:dyDescent="0.2">
      <c r="A31808" t="s">
        <v>49735</v>
      </c>
      <c r="B31808" t="s">
        <v>49667</v>
      </c>
      <c r="C31808" t="s">
        <v>151</v>
      </c>
      <c r="D31808" t="s">
        <v>52</v>
      </c>
      <c r="E31808" t="s">
        <v>144</v>
      </c>
      <c r="F31808" s="2" t="str">
        <f>HYPERLINK("http://www.otzar.org/book.asp?625855","עמק סוכות")</f>
        <v>עמק סוכות</v>
      </c>
    </row>
    <row r="31809" spans="1:6" x14ac:dyDescent="0.2">
      <c r="A31809" t="s">
        <v>49735</v>
      </c>
      <c r="B31809" t="s">
        <v>49736</v>
      </c>
      <c r="C31809" t="s">
        <v>114</v>
      </c>
      <c r="D31809" t="s">
        <v>14</v>
      </c>
      <c r="E31809" t="s">
        <v>186</v>
      </c>
      <c r="F31809" s="2" t="str">
        <f>HYPERLINK("http://www.otzar.org/book.asp?179746","עמק סוכות")</f>
        <v>עמק סוכות</v>
      </c>
    </row>
    <row r="31810" spans="1:6" x14ac:dyDescent="0.2">
      <c r="A31810" t="s">
        <v>49735</v>
      </c>
      <c r="B31810" t="s">
        <v>30642</v>
      </c>
      <c r="C31810" t="s">
        <v>496</v>
      </c>
      <c r="D31810" t="s">
        <v>691</v>
      </c>
      <c r="E31810" t="s">
        <v>144</v>
      </c>
      <c r="F31810" s="2" t="str">
        <f>HYPERLINK("http://www.otzar.org/book.asp?219","עמק סוכות")</f>
        <v>עמק סוכות</v>
      </c>
    </row>
    <row r="31811" spans="1:6" x14ac:dyDescent="0.2">
      <c r="A31811" t="s">
        <v>49737</v>
      </c>
      <c r="B31811" t="s">
        <v>49632</v>
      </c>
      <c r="C31811" t="s">
        <v>411</v>
      </c>
      <c r="D31811" t="s">
        <v>80</v>
      </c>
      <c r="F31811" s="2" t="str">
        <f>HYPERLINK("http://www.otzar.org/book.asp?622475","עמק פורים")</f>
        <v>עמק פורים</v>
      </c>
    </row>
    <row r="31812" spans="1:6" x14ac:dyDescent="0.2">
      <c r="A31812" t="s">
        <v>49738</v>
      </c>
      <c r="B31812" t="s">
        <v>49739</v>
      </c>
      <c r="C31812" t="s">
        <v>124</v>
      </c>
      <c r="D31812" t="s">
        <v>14</v>
      </c>
      <c r="E31812" t="s">
        <v>144</v>
      </c>
      <c r="F31812" s="2" t="str">
        <f>HYPERLINK("http://www.otzar.org/book.asp?178885","עמק פשוט")</f>
        <v>עמק פשוט</v>
      </c>
    </row>
    <row r="31813" spans="1:6" x14ac:dyDescent="0.2">
      <c r="A31813" t="s">
        <v>49740</v>
      </c>
      <c r="B31813" t="s">
        <v>49741</v>
      </c>
      <c r="C31813" t="s">
        <v>950</v>
      </c>
      <c r="D31813" t="s">
        <v>412</v>
      </c>
      <c r="F31813" s="2" t="str">
        <f>HYPERLINK("http://www.otzar.org/book.asp?191421","עמק רפאים")</f>
        <v>עמק רפאים</v>
      </c>
    </row>
    <row r="31814" spans="1:6" x14ac:dyDescent="0.2">
      <c r="A31814" t="s">
        <v>49742</v>
      </c>
      <c r="B31814" t="s">
        <v>25217</v>
      </c>
      <c r="C31814" t="s">
        <v>1284</v>
      </c>
      <c r="D31814" t="s">
        <v>225</v>
      </c>
      <c r="E31814" t="s">
        <v>791</v>
      </c>
      <c r="F31814" s="2" t="str">
        <f>HYPERLINK("http://www.otzar.org/book.asp?9730","עמק שאלה")</f>
        <v>עמק שאלה</v>
      </c>
    </row>
    <row r="31815" spans="1:6" x14ac:dyDescent="0.2">
      <c r="A31815" t="s">
        <v>49743</v>
      </c>
      <c r="B31815" t="s">
        <v>49744</v>
      </c>
      <c r="C31815" t="s">
        <v>17</v>
      </c>
      <c r="D31815" t="s">
        <v>412</v>
      </c>
      <c r="E31815" t="s">
        <v>474</v>
      </c>
      <c r="F31815" s="2" t="str">
        <f>HYPERLINK("http://www.otzar.org/book.asp?25871","עמק שוה - 2 כר'")</f>
        <v>עמק שוה - 2 כר'</v>
      </c>
    </row>
    <row r="31816" spans="1:6" x14ac:dyDescent="0.2">
      <c r="A31816" t="s">
        <v>49745</v>
      </c>
      <c r="B31816" t="s">
        <v>49746</v>
      </c>
      <c r="C31816" t="s">
        <v>1177</v>
      </c>
      <c r="D31816" t="s">
        <v>283</v>
      </c>
      <c r="E31816" t="s">
        <v>1028</v>
      </c>
      <c r="F31816" s="2" t="str">
        <f>HYPERLINK("http://www.otzar.org/book.asp?102118","עמק שוה")</f>
        <v>עמק שוה</v>
      </c>
    </row>
    <row r="31817" spans="1:6" x14ac:dyDescent="0.2">
      <c r="A31817" t="s">
        <v>49747</v>
      </c>
      <c r="B31817" t="s">
        <v>49748</v>
      </c>
      <c r="C31817" t="s">
        <v>422</v>
      </c>
      <c r="D31817" t="s">
        <v>14</v>
      </c>
      <c r="E31817" t="s">
        <v>186</v>
      </c>
      <c r="F31817" s="2" t="str">
        <f>HYPERLINK("http://www.otzar.org/book.asp?151076","עמק שמועות - 3 כר'")</f>
        <v>עמק שמועות - 3 כר'</v>
      </c>
    </row>
    <row r="31818" spans="1:6" x14ac:dyDescent="0.2">
      <c r="A31818" t="s">
        <v>49749</v>
      </c>
      <c r="B31818" t="s">
        <v>25166</v>
      </c>
      <c r="C31818" t="s">
        <v>989</v>
      </c>
      <c r="D31818" t="s">
        <v>14</v>
      </c>
      <c r="E31818" t="s">
        <v>144</v>
      </c>
      <c r="F31818" s="2" t="str">
        <f>HYPERLINK("http://www.otzar.org/book.asp?176923","עמק שמעתתא")</f>
        <v>עמק שמעתתא</v>
      </c>
    </row>
    <row r="31819" spans="1:6" x14ac:dyDescent="0.2">
      <c r="A31819" t="s">
        <v>49750</v>
      </c>
      <c r="B31819" t="s">
        <v>49751</v>
      </c>
      <c r="C31819" t="s">
        <v>366</v>
      </c>
      <c r="D31819" t="s">
        <v>80</v>
      </c>
      <c r="E31819" t="s">
        <v>144</v>
      </c>
      <c r="F31819" s="2" t="str">
        <f>HYPERLINK("http://www.otzar.org/book.asp?606723","עמק שמעתתא - בבא מציעא")</f>
        <v>עמק שמעתתא - בבא מציעא</v>
      </c>
    </row>
    <row r="31820" spans="1:6" x14ac:dyDescent="0.2">
      <c r="A31820" t="s">
        <v>49752</v>
      </c>
      <c r="B31820" t="s">
        <v>49648</v>
      </c>
      <c r="C31820" t="s">
        <v>13</v>
      </c>
      <c r="D31820" t="s">
        <v>486</v>
      </c>
      <c r="E31820" t="s">
        <v>144</v>
      </c>
      <c r="F31820" s="2" t="str">
        <f>HYPERLINK("http://www.otzar.org/book.asp?151895","עמק תורה - 3 כר'")</f>
        <v>עמק תורה - 3 כר'</v>
      </c>
    </row>
    <row r="31821" spans="1:6" x14ac:dyDescent="0.2">
      <c r="A31821" t="s">
        <v>49753</v>
      </c>
      <c r="B31821" t="s">
        <v>49754</v>
      </c>
      <c r="C31821" t="s">
        <v>133</v>
      </c>
      <c r="D31821" t="s">
        <v>14</v>
      </c>
      <c r="E31821" t="s">
        <v>144</v>
      </c>
      <c r="F31821" s="2" t="str">
        <f>HYPERLINK("http://www.otzar.org/book.asp?173331","עמקי המשפט")</f>
        <v>עמקי המשפט</v>
      </c>
    </row>
    <row r="31822" spans="1:6" x14ac:dyDescent="0.2">
      <c r="A31822" t="s">
        <v>49755</v>
      </c>
      <c r="B31822" t="s">
        <v>49756</v>
      </c>
      <c r="C31822" t="s">
        <v>785</v>
      </c>
      <c r="D31822" t="s">
        <v>21</v>
      </c>
      <c r="E31822" t="s">
        <v>23548</v>
      </c>
      <c r="F31822" s="2" t="str">
        <f>HYPERLINK("http://www.otzar.org/book.asp?198421","עמר טהרה  - למען אלך")</f>
        <v>עמר טהרה  - למען אלך</v>
      </c>
    </row>
    <row r="31823" spans="1:6" x14ac:dyDescent="0.2">
      <c r="A31823" t="s">
        <v>49757</v>
      </c>
      <c r="B31823" t="s">
        <v>48514</v>
      </c>
      <c r="C31823" t="s">
        <v>785</v>
      </c>
      <c r="D31823" t="s">
        <v>14</v>
      </c>
      <c r="E31823" t="s">
        <v>474</v>
      </c>
      <c r="F31823" s="2" t="str">
        <f>HYPERLINK("http://www.otzar.org/book.asp?83674","עמר מן &lt;עט הזמיר, חידושים וביאורים&gt;")</f>
        <v>עמר מן &lt;עט הזמיר, חידושים וביאורים&gt;</v>
      </c>
    </row>
    <row r="31824" spans="1:6" x14ac:dyDescent="0.2">
      <c r="A31824" t="s">
        <v>49758</v>
      </c>
      <c r="B31824" t="s">
        <v>49759</v>
      </c>
      <c r="C31824" t="s">
        <v>356</v>
      </c>
      <c r="D31824" t="s">
        <v>52</v>
      </c>
      <c r="E31824" t="s">
        <v>49760</v>
      </c>
      <c r="F31824" s="2" t="str">
        <f>HYPERLINK("http://www.otzar.org/book.asp?162213","עמר מן &lt;זית רענן, תפארת משה&gt;")</f>
        <v>עמר מן &lt;זית רענן, תפארת משה&gt;</v>
      </c>
    </row>
    <row r="31825" spans="1:6" x14ac:dyDescent="0.2">
      <c r="A31825" t="s">
        <v>49761</v>
      </c>
      <c r="B31825" t="s">
        <v>49762</v>
      </c>
      <c r="C31825" t="s">
        <v>2076</v>
      </c>
      <c r="D31825" t="s">
        <v>56</v>
      </c>
      <c r="E31825" t="s">
        <v>399</v>
      </c>
      <c r="F31825" s="2" t="str">
        <f>HYPERLINK("http://www.otzar.org/book.asp?5946","עמר מן")</f>
        <v>עמר מן</v>
      </c>
    </row>
    <row r="31826" spans="1:6" x14ac:dyDescent="0.2">
      <c r="A31826" t="s">
        <v>49763</v>
      </c>
      <c r="B31826" t="s">
        <v>16849</v>
      </c>
      <c r="C31826" t="s">
        <v>802</v>
      </c>
      <c r="D31826" t="s">
        <v>1538</v>
      </c>
      <c r="E31826" t="s">
        <v>158</v>
      </c>
      <c r="F31826" s="2" t="str">
        <f>HYPERLINK("http://www.otzar.org/book.asp?102119","עמר נקא - 2 כר'")</f>
        <v>עמר נקא - 2 כר'</v>
      </c>
    </row>
    <row r="31827" spans="1:6" x14ac:dyDescent="0.2">
      <c r="A31827" t="s">
        <v>49764</v>
      </c>
      <c r="B31827" t="s">
        <v>38941</v>
      </c>
      <c r="C31827" t="s">
        <v>237</v>
      </c>
      <c r="D31827" t="s">
        <v>11104</v>
      </c>
      <c r="E31827" t="s">
        <v>4561</v>
      </c>
      <c r="F31827" s="2" t="str">
        <f>HYPERLINK("http://www.otzar.org/book.asp?85253","עמר נקא")</f>
        <v>עמר נקא</v>
      </c>
    </row>
    <row r="31828" spans="1:6" x14ac:dyDescent="0.2">
      <c r="A31828" t="s">
        <v>49765</v>
      </c>
      <c r="B31828" t="s">
        <v>49766</v>
      </c>
      <c r="C31828" t="s">
        <v>71</v>
      </c>
      <c r="D31828" t="s">
        <v>14</v>
      </c>
      <c r="E31828" t="s">
        <v>144</v>
      </c>
      <c r="F31828" s="2" t="str">
        <f>HYPERLINK("http://www.otzar.org/book.asp?85613","ענבי ביכורים - 2 כר'")</f>
        <v>ענבי ביכורים - 2 כר'</v>
      </c>
    </row>
    <row r="31829" spans="1:6" x14ac:dyDescent="0.2">
      <c r="A31829" t="s">
        <v>49767</v>
      </c>
      <c r="B31829" t="s">
        <v>49768</v>
      </c>
      <c r="C31829" t="s">
        <v>2617</v>
      </c>
      <c r="D31829" t="s">
        <v>516</v>
      </c>
      <c r="E31829" t="s">
        <v>158</v>
      </c>
      <c r="F31829" s="2" t="str">
        <f>HYPERLINK("http://www.otzar.org/book.asp?151537","ענבי הגפן")</f>
        <v>ענבי הגפן</v>
      </c>
    </row>
    <row r="31830" spans="1:6" x14ac:dyDescent="0.2">
      <c r="A31830" t="s">
        <v>49769</v>
      </c>
      <c r="B31830" t="s">
        <v>49770</v>
      </c>
      <c r="C31830" t="s">
        <v>940</v>
      </c>
      <c r="D31830" t="s">
        <v>14</v>
      </c>
      <c r="E31830" t="s">
        <v>15</v>
      </c>
      <c r="F31830" s="2" t="str">
        <f>HYPERLINK("http://www.otzar.org/book.asp?63764","ענבי הגפן - ב")</f>
        <v>ענבי הגפן - ב</v>
      </c>
    </row>
    <row r="31831" spans="1:6" x14ac:dyDescent="0.2">
      <c r="A31831" t="s">
        <v>49771</v>
      </c>
      <c r="B31831" t="s">
        <v>40821</v>
      </c>
      <c r="C31831" t="s">
        <v>383</v>
      </c>
      <c r="D31831" t="s">
        <v>4646</v>
      </c>
      <c r="E31831" t="s">
        <v>803</v>
      </c>
      <c r="F31831" s="2" t="str">
        <f>HYPERLINK("http://www.otzar.org/book.asp?143450","ענבי פתחיה")</f>
        <v>ענבי פתחיה</v>
      </c>
    </row>
    <row r="31832" spans="1:6" x14ac:dyDescent="0.2">
      <c r="A31832" t="s">
        <v>49772</v>
      </c>
      <c r="B31832" t="s">
        <v>984</v>
      </c>
      <c r="C31832" t="s">
        <v>442</v>
      </c>
      <c r="D31832" t="s">
        <v>986</v>
      </c>
      <c r="E31832" t="s">
        <v>158</v>
      </c>
      <c r="F31832" s="2" t="str">
        <f>HYPERLINK("http://www.otzar.org/book.asp?23342","ענבים במדבר")</f>
        <v>ענבים במדבר</v>
      </c>
    </row>
    <row r="31833" spans="1:6" x14ac:dyDescent="0.2">
      <c r="A31833" t="s">
        <v>49773</v>
      </c>
      <c r="B31833" t="s">
        <v>49774</v>
      </c>
      <c r="C31833" t="s">
        <v>462</v>
      </c>
      <c r="D31833" t="s">
        <v>49775</v>
      </c>
      <c r="F31833" s="2" t="str">
        <f>HYPERLINK("http://www.otzar.org/book.asp?164917","ענג הטוב")</f>
        <v>ענג הטוב</v>
      </c>
    </row>
    <row r="31834" spans="1:6" x14ac:dyDescent="0.2">
      <c r="A31834" t="s">
        <v>49776</v>
      </c>
      <c r="B31834" t="s">
        <v>3634</v>
      </c>
      <c r="C31834" t="s">
        <v>1940</v>
      </c>
      <c r="D31834" t="s">
        <v>267</v>
      </c>
      <c r="F31834" s="2" t="str">
        <f>HYPERLINK("http://www.otzar.org/book.asp?164949","ענג שבת")</f>
        <v>ענג שבת</v>
      </c>
    </row>
    <row r="31835" spans="1:6" x14ac:dyDescent="0.2">
      <c r="A31835" t="s">
        <v>49776</v>
      </c>
      <c r="B31835" t="s">
        <v>1363</v>
      </c>
      <c r="C31835" t="s">
        <v>1535</v>
      </c>
      <c r="D31835" t="s">
        <v>260</v>
      </c>
      <c r="E31835" t="s">
        <v>467</v>
      </c>
      <c r="F31835" s="2" t="str">
        <f>HYPERLINK("http://www.otzar.org/book.asp?144838","ענג שבת")</f>
        <v>ענג שבת</v>
      </c>
    </row>
    <row r="31836" spans="1:6" x14ac:dyDescent="0.2">
      <c r="A31836" t="s">
        <v>49777</v>
      </c>
      <c r="B31836" t="s">
        <v>49778</v>
      </c>
      <c r="C31836" t="s">
        <v>462</v>
      </c>
      <c r="D31836" t="s">
        <v>100</v>
      </c>
      <c r="E31836" t="s">
        <v>241</v>
      </c>
      <c r="F31836" s="2" t="str">
        <f>HYPERLINK("http://www.otzar.org/book.asp?142482","ענה כסיל")</f>
        <v>ענה כסיל</v>
      </c>
    </row>
    <row r="31837" spans="1:6" x14ac:dyDescent="0.2">
      <c r="A31837" t="s">
        <v>49779</v>
      </c>
      <c r="B31837" t="s">
        <v>2083</v>
      </c>
      <c r="C31837" t="s">
        <v>68</v>
      </c>
      <c r="D31837" t="s">
        <v>52</v>
      </c>
      <c r="F31837" s="2" t="str">
        <f>HYPERLINK("http://www.otzar.org/book.asp?85646","ענוה ושלום - 2 כר'")</f>
        <v>ענוה ושלום - 2 כר'</v>
      </c>
    </row>
    <row r="31838" spans="1:6" x14ac:dyDescent="0.2">
      <c r="A31838" t="s">
        <v>49780</v>
      </c>
      <c r="B31838" t="s">
        <v>49781</v>
      </c>
      <c r="C31838" t="s">
        <v>366</v>
      </c>
      <c r="D31838" t="s">
        <v>90</v>
      </c>
      <c r="E31838" t="s">
        <v>119</v>
      </c>
      <c r="F31838" s="2" t="str">
        <f>HYPERLINK("http://www.otzar.org/book.asp?608221","ענוותנותיה דיהושע")</f>
        <v>ענוותנותיה דיהושע</v>
      </c>
    </row>
    <row r="31839" spans="1:6" x14ac:dyDescent="0.2">
      <c r="A31839" t="s">
        <v>49782</v>
      </c>
      <c r="B31839" t="s">
        <v>776</v>
      </c>
      <c r="C31839" t="s">
        <v>3106</v>
      </c>
      <c r="D31839" t="s">
        <v>27</v>
      </c>
      <c r="E31839" t="s">
        <v>104</v>
      </c>
      <c r="F31839" s="2" t="str">
        <f>HYPERLINK("http://www.otzar.org/book.asp?146799","ענות חן")</f>
        <v>ענות חן</v>
      </c>
    </row>
    <row r="31840" spans="1:6" x14ac:dyDescent="0.2">
      <c r="A31840" t="s">
        <v>49783</v>
      </c>
      <c r="B31840" t="s">
        <v>49784</v>
      </c>
      <c r="C31840" t="s">
        <v>366</v>
      </c>
      <c r="D31840" t="s">
        <v>27</v>
      </c>
      <c r="E31840" t="s">
        <v>1235</v>
      </c>
      <c r="F31840" s="2" t="str">
        <f>HYPERLINK("http://www.otzar.org/book.asp?605859","עני בן פחמא &lt;מהדורה חדשה&gt;")</f>
        <v>עני בן פחמא &lt;מהדורה חדשה&gt;</v>
      </c>
    </row>
    <row r="31841" spans="1:6" x14ac:dyDescent="0.2">
      <c r="A31841" t="s">
        <v>49785</v>
      </c>
      <c r="B31841" t="s">
        <v>49784</v>
      </c>
      <c r="C31841" t="s">
        <v>506</v>
      </c>
      <c r="D31841" t="s">
        <v>27</v>
      </c>
      <c r="E31841" t="s">
        <v>154</v>
      </c>
      <c r="F31841" s="2" t="str">
        <f>HYPERLINK("http://www.otzar.org/book.asp?1012","עני בן פחמא")</f>
        <v>עני בן פחמא</v>
      </c>
    </row>
    <row r="31842" spans="1:6" x14ac:dyDescent="0.2">
      <c r="A31842" t="s">
        <v>49786</v>
      </c>
      <c r="B31842" t="s">
        <v>1728</v>
      </c>
      <c r="C31842" t="s">
        <v>133</v>
      </c>
      <c r="D31842" t="s">
        <v>273</v>
      </c>
      <c r="E31842" t="s">
        <v>393</v>
      </c>
      <c r="F31842" s="2" t="str">
        <f>HYPERLINK("http://www.otzar.org/book.asp?628565","עניין התפילה וההתבוננות")</f>
        <v>עניין התפילה וההתבוננות</v>
      </c>
    </row>
    <row r="31843" spans="1:6" x14ac:dyDescent="0.2">
      <c r="A31843" t="s">
        <v>49787</v>
      </c>
      <c r="B31843" t="s">
        <v>12916</v>
      </c>
      <c r="C31843" t="s">
        <v>111</v>
      </c>
      <c r="D31843" t="s">
        <v>14</v>
      </c>
      <c r="E31843" t="s">
        <v>246</v>
      </c>
      <c r="F31843" s="2" t="str">
        <f>HYPERLINK("http://www.otzar.org/book.asp?630116","עניינו של יום - ירח האיתנים")</f>
        <v>עניינו של יום - ירח האיתנים</v>
      </c>
    </row>
    <row r="31844" spans="1:6" x14ac:dyDescent="0.2">
      <c r="A31844" t="s">
        <v>49788</v>
      </c>
      <c r="B31844" t="s">
        <v>19791</v>
      </c>
      <c r="C31844" t="s">
        <v>411</v>
      </c>
      <c r="D31844" t="s">
        <v>49789</v>
      </c>
      <c r="E31844" t="s">
        <v>172</v>
      </c>
      <c r="F31844" s="2" t="str">
        <f>HYPERLINK("http://www.otzar.org/book.asp?608531","ענייני גניבה וגזלה")</f>
        <v>ענייני גניבה וגזלה</v>
      </c>
    </row>
    <row r="31845" spans="1:6" x14ac:dyDescent="0.2">
      <c r="A31845" t="s">
        <v>49790</v>
      </c>
      <c r="B31845" t="s">
        <v>14129</v>
      </c>
      <c r="C31845" t="s">
        <v>129</v>
      </c>
      <c r="D31845" t="s">
        <v>52</v>
      </c>
      <c r="E31845" t="s">
        <v>246</v>
      </c>
      <c r="F31845" s="2" t="str">
        <f>HYPERLINK("http://www.otzar.org/book.asp?171856","ענייני ספירת העומר במשנת הדבר יהושע")</f>
        <v>ענייני ספירת העומר במשנת הדבר יהושע</v>
      </c>
    </row>
    <row r="31846" spans="1:6" x14ac:dyDescent="0.2">
      <c r="A31846" t="s">
        <v>49791</v>
      </c>
      <c r="B31846" t="s">
        <v>2396</v>
      </c>
      <c r="C31846" t="s">
        <v>20</v>
      </c>
      <c r="D31846" t="s">
        <v>1076</v>
      </c>
      <c r="E31846" t="s">
        <v>130</v>
      </c>
      <c r="F31846" s="2" t="str">
        <f>HYPERLINK("http://www.otzar.org/book.asp?165244","ענייני שבת")</f>
        <v>ענייני שבת</v>
      </c>
    </row>
    <row r="31847" spans="1:6" x14ac:dyDescent="0.2">
      <c r="A31847" t="s">
        <v>49792</v>
      </c>
      <c r="B31847" t="s">
        <v>49793</v>
      </c>
      <c r="C31847" t="s">
        <v>286</v>
      </c>
      <c r="D31847" t="s">
        <v>23702</v>
      </c>
      <c r="E31847" t="s">
        <v>714</v>
      </c>
      <c r="F31847" s="2" t="str">
        <f>HYPERLINK("http://www.otzar.org/book.asp?167550","עניית אמ""ן")</f>
        <v>עניית אמ"ן</v>
      </c>
    </row>
    <row r="31848" spans="1:6" x14ac:dyDescent="0.2">
      <c r="A31848" t="s">
        <v>49794</v>
      </c>
      <c r="B31848" t="s">
        <v>49795</v>
      </c>
      <c r="C31848" t="s">
        <v>129</v>
      </c>
      <c r="D31848" t="s">
        <v>14</v>
      </c>
      <c r="E31848" t="s">
        <v>15</v>
      </c>
      <c r="F31848" s="2" t="str">
        <f>HYPERLINK("http://www.otzar.org/book.asp?60208","עניית אמן כהלכתה")</f>
        <v>עניית אמן כהלכתה</v>
      </c>
    </row>
    <row r="31849" spans="1:6" x14ac:dyDescent="0.2">
      <c r="A31849" t="s">
        <v>49796</v>
      </c>
      <c r="B31849" t="s">
        <v>1367</v>
      </c>
      <c r="C31849" t="s">
        <v>1663</v>
      </c>
      <c r="D31849" t="s">
        <v>14</v>
      </c>
      <c r="E31849" t="s">
        <v>1433</v>
      </c>
      <c r="F31849" s="2" t="str">
        <f>HYPERLINK("http://www.otzar.org/book.asp?23749","ענין הנסיעה למקומות הקדושים")</f>
        <v>ענין הנסיעה למקומות הקדושים</v>
      </c>
    </row>
    <row r="31850" spans="1:6" x14ac:dyDescent="0.2">
      <c r="A31850" t="s">
        <v>49797</v>
      </c>
      <c r="B31850" t="s">
        <v>49798</v>
      </c>
      <c r="C31850" t="s">
        <v>1410</v>
      </c>
      <c r="D31850" t="s">
        <v>726</v>
      </c>
      <c r="E31850" t="s">
        <v>104</v>
      </c>
      <c r="F31850" s="2" t="str">
        <f>HYPERLINK("http://www.otzar.org/book.asp?146724","ענין רפואת הגוייה")</f>
        <v>ענין רפואת הגוייה</v>
      </c>
    </row>
    <row r="31851" spans="1:6" x14ac:dyDescent="0.2">
      <c r="A31851" t="s">
        <v>49799</v>
      </c>
      <c r="B31851" t="s">
        <v>49800</v>
      </c>
      <c r="C31851" t="s">
        <v>466</v>
      </c>
      <c r="D31851" t="s">
        <v>412</v>
      </c>
      <c r="E31851" t="s">
        <v>144</v>
      </c>
      <c r="F31851" s="2" t="str">
        <f>HYPERLINK("http://www.otzar.org/book.asp?153208","ענינא דיומא")</f>
        <v>ענינא דיומא</v>
      </c>
    </row>
    <row r="31852" spans="1:6" x14ac:dyDescent="0.2">
      <c r="A31852" t="s">
        <v>49799</v>
      </c>
      <c r="B31852" t="s">
        <v>29899</v>
      </c>
      <c r="C31852" t="s">
        <v>411</v>
      </c>
      <c r="D31852" t="s">
        <v>90</v>
      </c>
      <c r="E31852" t="s">
        <v>144</v>
      </c>
      <c r="F31852" s="2" t="str">
        <f>HYPERLINK("http://www.otzar.org/book.asp?623257","ענינא דיומא")</f>
        <v>ענינא דיומא</v>
      </c>
    </row>
    <row r="31853" spans="1:6" x14ac:dyDescent="0.2">
      <c r="A31853" t="s">
        <v>49801</v>
      </c>
      <c r="B31853" t="s">
        <v>12916</v>
      </c>
      <c r="C31853" t="s">
        <v>13</v>
      </c>
      <c r="D31853" t="s">
        <v>14</v>
      </c>
      <c r="E31853" t="s">
        <v>467</v>
      </c>
      <c r="F31853" s="2" t="str">
        <f>HYPERLINK("http://www.otzar.org/book.asp?142784","ענינו של יום - 6 כר'")</f>
        <v>ענינו של יום - 6 כר'</v>
      </c>
    </row>
    <row r="31854" spans="1:6" x14ac:dyDescent="0.2">
      <c r="A31854" t="s">
        <v>49802</v>
      </c>
      <c r="B31854" t="s">
        <v>49803</v>
      </c>
      <c r="C31854" t="s">
        <v>366</v>
      </c>
      <c r="D31854" t="s">
        <v>4549</v>
      </c>
      <c r="E31854" t="s">
        <v>144</v>
      </c>
      <c r="F31854" s="2" t="str">
        <f>HYPERLINK("http://www.otzar.org/book.asp?603777","עניני הדף - בבא בתרא")</f>
        <v>עניני הדף - בבא בתרא</v>
      </c>
    </row>
    <row r="31855" spans="1:6" x14ac:dyDescent="0.2">
      <c r="A31855" t="s">
        <v>49804</v>
      </c>
      <c r="B31855" t="s">
        <v>107</v>
      </c>
      <c r="C31855" t="s">
        <v>23</v>
      </c>
      <c r="D31855" t="s">
        <v>14</v>
      </c>
      <c r="E31855" t="s">
        <v>104</v>
      </c>
      <c r="F31855" s="2" t="str">
        <f>HYPERLINK("http://www.otzar.org/book.asp?622159","עניני התקופה - יום העצמאות, יום השואה, חסידי אומות העולם")</f>
        <v>עניני התקופה - יום העצמאות, יום השואה, חסידי אומות העולם</v>
      </c>
    </row>
    <row r="31856" spans="1:6" x14ac:dyDescent="0.2">
      <c r="A31856" t="s">
        <v>49805</v>
      </c>
      <c r="B31856" t="s">
        <v>26951</v>
      </c>
      <c r="C31856" t="s">
        <v>20</v>
      </c>
      <c r="D31856" t="s">
        <v>21</v>
      </c>
      <c r="E31856" t="s">
        <v>246</v>
      </c>
      <c r="F31856" s="2" t="str">
        <f>HYPERLINK("http://www.otzar.org/book.asp?607244","עניני חג החנוכה")</f>
        <v>עניני חג החנוכה</v>
      </c>
    </row>
    <row r="31857" spans="1:6" x14ac:dyDescent="0.2">
      <c r="A31857" t="s">
        <v>49806</v>
      </c>
      <c r="B31857" t="s">
        <v>5253</v>
      </c>
      <c r="C31857" t="s">
        <v>313</v>
      </c>
      <c r="D31857" t="s">
        <v>14</v>
      </c>
      <c r="F31857" s="2" t="str">
        <f>HYPERLINK("http://www.otzar.org/book.asp?630417","עניני חג השבועות למהרא""ל צינץ")</f>
        <v>עניני חג השבועות למהרא"ל צינץ</v>
      </c>
    </row>
    <row r="31858" spans="1:6" x14ac:dyDescent="0.2">
      <c r="A31858" t="s">
        <v>49807</v>
      </c>
      <c r="B31858" t="s">
        <v>14129</v>
      </c>
      <c r="C31858" t="s">
        <v>422</v>
      </c>
      <c r="D31858" t="s">
        <v>52</v>
      </c>
      <c r="E31858" t="s">
        <v>246</v>
      </c>
      <c r="F31858" s="2" t="str">
        <f>HYPERLINK("http://www.otzar.org/book.asp?62286","עניני חג - 2 כר'")</f>
        <v>עניני חג - 2 כר'</v>
      </c>
    </row>
    <row r="31859" spans="1:6" x14ac:dyDescent="0.2">
      <c r="A31859" t="s">
        <v>49808</v>
      </c>
      <c r="B31859" t="s">
        <v>107</v>
      </c>
      <c r="C31859" t="s">
        <v>111</v>
      </c>
      <c r="D31859" t="s">
        <v>14</v>
      </c>
      <c r="E31859" t="s">
        <v>241</v>
      </c>
      <c r="F31859" s="2" t="str">
        <f>HYPERLINK("http://www.otzar.org/book.asp?623489","עניני חסד וצדקה")</f>
        <v>עניני חסד וצדקה</v>
      </c>
    </row>
    <row r="31860" spans="1:6" x14ac:dyDescent="0.2">
      <c r="A31860" t="s">
        <v>49809</v>
      </c>
      <c r="B31860" t="s">
        <v>107</v>
      </c>
      <c r="C31860" t="s">
        <v>20</v>
      </c>
      <c r="D31860" t="s">
        <v>14</v>
      </c>
      <c r="E31860" t="s">
        <v>104</v>
      </c>
      <c r="F31860" s="2" t="str">
        <f>HYPERLINK("http://www.otzar.org/book.asp?622151","עניני יום הולדת של האדם - והגדת לבנך על חינוך קטנים")</f>
        <v>עניני יום הולדת של האדם - והגדת לבנך על חינוך קטנים</v>
      </c>
    </row>
    <row r="31861" spans="1:6" x14ac:dyDescent="0.2">
      <c r="A31861" t="s">
        <v>49810</v>
      </c>
      <c r="B31861" t="s">
        <v>49811</v>
      </c>
      <c r="C31861" t="s">
        <v>624</v>
      </c>
      <c r="D31861" t="s">
        <v>14</v>
      </c>
      <c r="E31861" t="s">
        <v>15</v>
      </c>
      <c r="F31861" s="2" t="str">
        <f>HYPERLINK("http://www.otzar.org/book.asp?23061","עניני כיבוד אב ואם")</f>
        <v>עניני כיבוד אב ואם</v>
      </c>
    </row>
    <row r="31862" spans="1:6" x14ac:dyDescent="0.2">
      <c r="A31862" t="s">
        <v>49812</v>
      </c>
      <c r="B31862" t="s">
        <v>107</v>
      </c>
      <c r="C31862" t="s">
        <v>366</v>
      </c>
      <c r="D31862" t="s">
        <v>14</v>
      </c>
      <c r="E31862" t="s">
        <v>246</v>
      </c>
      <c r="F31862" s="2" t="str">
        <f>HYPERLINK("http://www.otzar.org/book.asp?625778","עניני ל""ג בעומר")</f>
        <v>עניני ל"ג בעומר</v>
      </c>
    </row>
    <row r="31863" spans="1:6" x14ac:dyDescent="0.2">
      <c r="A31863" t="s">
        <v>49813</v>
      </c>
      <c r="B31863" t="s">
        <v>49814</v>
      </c>
      <c r="C31863" t="s">
        <v>49815</v>
      </c>
      <c r="D31863" t="s">
        <v>3208</v>
      </c>
      <c r="E31863" t="s">
        <v>1626</v>
      </c>
      <c r="F31863" s="2" t="str">
        <f>HYPERLINK("http://www.otzar.org/book.asp?627377","עניני לשון")</f>
        <v>עניני לשון</v>
      </c>
    </row>
    <row r="31864" spans="1:6" x14ac:dyDescent="0.2">
      <c r="A31864" t="s">
        <v>49816</v>
      </c>
      <c r="B31864" t="s">
        <v>206</v>
      </c>
      <c r="C31864" t="s">
        <v>185</v>
      </c>
      <c r="D31864" t="s">
        <v>90</v>
      </c>
      <c r="E31864" t="s">
        <v>144</v>
      </c>
      <c r="F31864" s="2" t="str">
        <f>HYPERLINK("http://www.otzar.org/book.asp?629567","עניני ערב")</f>
        <v>עניני ערב</v>
      </c>
    </row>
    <row r="31865" spans="1:6" x14ac:dyDescent="0.2">
      <c r="A31865" t="s">
        <v>49817</v>
      </c>
      <c r="B31865" t="s">
        <v>1390</v>
      </c>
      <c r="C31865" t="s">
        <v>17</v>
      </c>
      <c r="D31865" t="s">
        <v>14</v>
      </c>
      <c r="E31865" t="s">
        <v>246</v>
      </c>
      <c r="F31865" s="2" t="str">
        <f>HYPERLINK("http://www.otzar.org/book.asp?83668","עניני ר""ה ויוה""כ לרמח""ל")</f>
        <v>עניני ר"ה ויוה"כ לרמח"ל</v>
      </c>
    </row>
    <row r="31866" spans="1:6" x14ac:dyDescent="0.2">
      <c r="A31866" t="s">
        <v>49818</v>
      </c>
      <c r="B31866" t="s">
        <v>49819</v>
      </c>
      <c r="C31866" t="s">
        <v>1166</v>
      </c>
      <c r="D31866" t="s">
        <v>280</v>
      </c>
      <c r="E31866" t="s">
        <v>733</v>
      </c>
      <c r="F31866" s="2" t="str">
        <f>HYPERLINK("http://www.otzar.org/book.asp?15525","עניני שבתי צבי")</f>
        <v>עניני שבתי צבי</v>
      </c>
    </row>
    <row r="31867" spans="1:6" x14ac:dyDescent="0.2">
      <c r="A31867" t="s">
        <v>49820</v>
      </c>
      <c r="B31867" t="s">
        <v>206</v>
      </c>
      <c r="C31867" t="s">
        <v>111</v>
      </c>
      <c r="D31867" t="s">
        <v>90</v>
      </c>
      <c r="E31867" t="s">
        <v>15</v>
      </c>
      <c r="F31867" s="2" t="str">
        <f>HYPERLINK("http://www.otzar.org/book.asp?630107","עניני שעבוד - 2 כר'")</f>
        <v>עניני שעבוד - 2 כר'</v>
      </c>
    </row>
    <row r="31868" spans="1:6" x14ac:dyDescent="0.2">
      <c r="A31868" t="s">
        <v>49821</v>
      </c>
      <c r="B31868" t="s">
        <v>206</v>
      </c>
      <c r="C31868" t="s">
        <v>20</v>
      </c>
      <c r="D31868" t="s">
        <v>90</v>
      </c>
      <c r="E31868" t="s">
        <v>104</v>
      </c>
      <c r="F31868" s="2" t="str">
        <f>HYPERLINK("http://www.otzar.org/book.asp?620821","עניני תכלת בציצית")</f>
        <v>עניני תכלת בציצית</v>
      </c>
    </row>
    <row r="31869" spans="1:6" x14ac:dyDescent="0.2">
      <c r="A31869" t="s">
        <v>49822</v>
      </c>
      <c r="B31869" t="s">
        <v>8148</v>
      </c>
      <c r="C31869" t="s">
        <v>422</v>
      </c>
      <c r="D31869" t="s">
        <v>134</v>
      </c>
      <c r="E31869" t="s">
        <v>3516</v>
      </c>
      <c r="F31869" s="2" t="str">
        <f>HYPERLINK("http://www.otzar.org/book.asp?152657","ענן הכפורת")</f>
        <v>ענן הכפורת</v>
      </c>
    </row>
    <row r="31870" spans="1:6" x14ac:dyDescent="0.2">
      <c r="A31870" t="s">
        <v>49823</v>
      </c>
      <c r="B31870" t="s">
        <v>686</v>
      </c>
      <c r="C31870" t="s">
        <v>114</v>
      </c>
      <c r="D31870" t="s">
        <v>52</v>
      </c>
      <c r="E31870" t="s">
        <v>104</v>
      </c>
      <c r="F31870" s="2" t="str">
        <f>HYPERLINK("http://www.otzar.org/book.asp?182754","ענן הקטרת")</f>
        <v>ענן הקטרת</v>
      </c>
    </row>
    <row r="31871" spans="1:6" x14ac:dyDescent="0.2">
      <c r="A31871" t="s">
        <v>49824</v>
      </c>
      <c r="B31871" t="s">
        <v>43297</v>
      </c>
      <c r="C31871" t="s">
        <v>454</v>
      </c>
      <c r="D31871" t="s">
        <v>52</v>
      </c>
      <c r="E31871" t="s">
        <v>246</v>
      </c>
      <c r="F31871" s="2" t="str">
        <f>HYPERLINK("http://www.otzar.org/book.asp?174310","ענני הכבוד")</f>
        <v>ענני הכבוד</v>
      </c>
    </row>
    <row r="31872" spans="1:6" x14ac:dyDescent="0.2">
      <c r="A31872" t="s">
        <v>49825</v>
      </c>
      <c r="B31872" t="s">
        <v>49826</v>
      </c>
      <c r="C31872" t="s">
        <v>1268</v>
      </c>
      <c r="D31872" t="s">
        <v>14</v>
      </c>
      <c r="E31872" t="s">
        <v>2135</v>
      </c>
      <c r="F31872" s="2" t="str">
        <f>HYPERLINK("http://www.otzar.org/book.asp?155416","ענף חיים")</f>
        <v>ענף חיים</v>
      </c>
    </row>
    <row r="31873" spans="1:6" x14ac:dyDescent="0.2">
      <c r="A31873" t="s">
        <v>49827</v>
      </c>
      <c r="B31873" t="s">
        <v>25224</v>
      </c>
      <c r="C31873" t="s">
        <v>75</v>
      </c>
      <c r="D31873" t="s">
        <v>56</v>
      </c>
      <c r="E31873" t="s">
        <v>144</v>
      </c>
      <c r="F31873" s="2" t="str">
        <f>HYPERLINK("http://www.otzar.org/book.asp?101761","ענף יהושע")</f>
        <v>ענף יהושע</v>
      </c>
    </row>
    <row r="31874" spans="1:6" x14ac:dyDescent="0.2">
      <c r="A31874" t="s">
        <v>49827</v>
      </c>
      <c r="B31874" t="s">
        <v>49828</v>
      </c>
      <c r="C31874" t="s">
        <v>1062</v>
      </c>
      <c r="D31874" t="s">
        <v>6540</v>
      </c>
      <c r="E31874" t="s">
        <v>144</v>
      </c>
      <c r="F31874" s="2" t="str">
        <f>HYPERLINK("http://www.otzar.org/book.asp?615509","ענף יהושע")</f>
        <v>ענף יהושע</v>
      </c>
    </row>
    <row r="31875" spans="1:6" x14ac:dyDescent="0.2">
      <c r="A31875" t="s">
        <v>49829</v>
      </c>
      <c r="B31875" t="s">
        <v>49830</v>
      </c>
      <c r="C31875" t="s">
        <v>576</v>
      </c>
      <c r="D31875" t="s">
        <v>1889</v>
      </c>
      <c r="E31875" t="s">
        <v>49831</v>
      </c>
      <c r="F31875" s="2" t="str">
        <f>HYPERLINK("http://www.otzar.org/book.asp?300557","ענף ע""ץ עבת")</f>
        <v>ענף ע"ץ עבת</v>
      </c>
    </row>
    <row r="31876" spans="1:6" x14ac:dyDescent="0.2">
      <c r="A31876" t="s">
        <v>49832</v>
      </c>
      <c r="B31876" t="s">
        <v>290</v>
      </c>
      <c r="C31876" t="s">
        <v>1663</v>
      </c>
      <c r="D31876" t="s">
        <v>27</v>
      </c>
      <c r="E31876" t="s">
        <v>84</v>
      </c>
      <c r="F31876" s="2" t="str">
        <f>HYPERLINK("http://www.otzar.org/book.asp?101900","ענף עץ אבות &lt;ענף יוסף, עץ יוסף&gt;")</f>
        <v>ענף עץ אבות &lt;ענף יוסף, עץ יוסף&gt;</v>
      </c>
    </row>
    <row r="31877" spans="1:6" x14ac:dyDescent="0.2">
      <c r="A31877" t="s">
        <v>49833</v>
      </c>
      <c r="B31877" t="s">
        <v>49834</v>
      </c>
      <c r="C31877" t="s">
        <v>6895</v>
      </c>
      <c r="D31877" t="s">
        <v>42</v>
      </c>
      <c r="E31877" t="s">
        <v>84</v>
      </c>
      <c r="F31877" s="2" t="str">
        <f>HYPERLINK("http://www.otzar.org/book.asp?141184","ענף עץ אבות")</f>
        <v>ענף עץ אבות</v>
      </c>
    </row>
    <row r="31878" spans="1:6" x14ac:dyDescent="0.2">
      <c r="A31878" t="s">
        <v>49833</v>
      </c>
      <c r="B31878" t="s">
        <v>206</v>
      </c>
      <c r="C31878" t="s">
        <v>1619</v>
      </c>
      <c r="D31878" t="s">
        <v>14</v>
      </c>
      <c r="E31878" t="s">
        <v>733</v>
      </c>
      <c r="F31878" s="2" t="str">
        <f>HYPERLINK("http://www.otzar.org/book.asp?661","ענף עץ אבות")</f>
        <v>ענף עץ אבות</v>
      </c>
    </row>
    <row r="31879" spans="1:6" x14ac:dyDescent="0.2">
      <c r="A31879" t="s">
        <v>49833</v>
      </c>
      <c r="B31879" t="s">
        <v>49835</v>
      </c>
      <c r="C31879" t="s">
        <v>888</v>
      </c>
      <c r="D31879" t="s">
        <v>1117</v>
      </c>
      <c r="E31879" t="s">
        <v>733</v>
      </c>
      <c r="F31879" s="2" t="str">
        <f>HYPERLINK("http://www.otzar.org/book.asp?20501","ענף עץ אבות")</f>
        <v>ענף עץ אבות</v>
      </c>
    </row>
    <row r="31880" spans="1:6" x14ac:dyDescent="0.2">
      <c r="A31880" t="s">
        <v>49833</v>
      </c>
      <c r="B31880" t="s">
        <v>44819</v>
      </c>
      <c r="C31880" t="s">
        <v>492</v>
      </c>
      <c r="D31880" t="s">
        <v>17784</v>
      </c>
      <c r="E31880" t="s">
        <v>508</v>
      </c>
      <c r="F31880" s="2" t="str">
        <f>HYPERLINK("http://www.otzar.org/book.asp?101676","ענף עץ אבות")</f>
        <v>ענף עץ אבות</v>
      </c>
    </row>
    <row r="31881" spans="1:6" x14ac:dyDescent="0.2">
      <c r="A31881" t="s">
        <v>49836</v>
      </c>
      <c r="B31881" t="s">
        <v>4579</v>
      </c>
      <c r="C31881" t="s">
        <v>87</v>
      </c>
      <c r="D31881" t="s">
        <v>52</v>
      </c>
      <c r="E31881" t="s">
        <v>49837</v>
      </c>
      <c r="F31881" s="2" t="str">
        <f>HYPERLINK("http://www.otzar.org/book.asp?61404","ענף עץ אבות - 2 כר'")</f>
        <v>ענף עץ אבות - 2 כר'</v>
      </c>
    </row>
    <row r="31882" spans="1:6" x14ac:dyDescent="0.2">
      <c r="A31882" t="s">
        <v>49833</v>
      </c>
      <c r="B31882" t="s">
        <v>49838</v>
      </c>
      <c r="C31882" t="s">
        <v>133</v>
      </c>
      <c r="D31882" t="s">
        <v>1356</v>
      </c>
      <c r="F31882" s="2" t="str">
        <f>HYPERLINK("http://www.otzar.org/book.asp?628205","ענף עץ אבות")</f>
        <v>ענף עץ אבות</v>
      </c>
    </row>
    <row r="31883" spans="1:6" x14ac:dyDescent="0.2">
      <c r="A31883" t="s">
        <v>49839</v>
      </c>
      <c r="B31883" t="s">
        <v>49840</v>
      </c>
      <c r="C31883" t="s">
        <v>96</v>
      </c>
      <c r="D31883" t="s">
        <v>7163</v>
      </c>
      <c r="E31883" t="s">
        <v>84</v>
      </c>
      <c r="F31883" s="2" t="str">
        <f>HYPERLINK("http://www.otzar.org/book.asp?141183","ענף עץ עבות")</f>
        <v>ענף עץ עבות</v>
      </c>
    </row>
    <row r="31884" spans="1:6" x14ac:dyDescent="0.2">
      <c r="A31884" t="s">
        <v>49839</v>
      </c>
      <c r="B31884" t="s">
        <v>107</v>
      </c>
      <c r="C31884" t="s">
        <v>940</v>
      </c>
      <c r="D31884" t="s">
        <v>14</v>
      </c>
      <c r="E31884" t="s">
        <v>246</v>
      </c>
      <c r="F31884" s="2" t="str">
        <f>HYPERLINK("http://www.otzar.org/book.asp?85183","ענף עץ עבות")</f>
        <v>ענף עץ עבות</v>
      </c>
    </row>
    <row r="31885" spans="1:6" x14ac:dyDescent="0.2">
      <c r="A31885" t="s">
        <v>49841</v>
      </c>
      <c r="B31885" t="s">
        <v>49842</v>
      </c>
      <c r="C31885" t="s">
        <v>635</v>
      </c>
      <c r="D31885" t="s">
        <v>157</v>
      </c>
      <c r="E31885" t="s">
        <v>15</v>
      </c>
      <c r="F31885" s="2" t="str">
        <f>HYPERLINK("http://www.otzar.org/book.asp?19109","ענף עץ")</f>
        <v>ענף עץ</v>
      </c>
    </row>
    <row r="31886" spans="1:6" x14ac:dyDescent="0.2">
      <c r="A31886" t="s">
        <v>49843</v>
      </c>
      <c r="B31886" t="s">
        <v>49844</v>
      </c>
      <c r="C31886" t="s">
        <v>49845</v>
      </c>
      <c r="D31886" t="s">
        <v>9</v>
      </c>
      <c r="E31886" t="s">
        <v>234</v>
      </c>
      <c r="F31886" s="2" t="str">
        <f>HYPERLINK("http://www.otzar.org/book.asp?141185","ענף שלמה")</f>
        <v>ענף שלמה</v>
      </c>
    </row>
    <row r="31887" spans="1:6" x14ac:dyDescent="0.2">
      <c r="A31887" t="s">
        <v>49846</v>
      </c>
      <c r="B31887" t="s">
        <v>49847</v>
      </c>
      <c r="C31887" t="s">
        <v>1663</v>
      </c>
      <c r="D31887" t="s">
        <v>412</v>
      </c>
      <c r="E31887" t="s">
        <v>25257</v>
      </c>
      <c r="F31887" s="2" t="str">
        <f>HYPERLINK("http://www.otzar.org/book.asp?9849","ענפי אר""ז - 2 כר'")</f>
        <v>ענפי אר"ז - 2 כר'</v>
      </c>
    </row>
    <row r="31888" spans="1:6" x14ac:dyDescent="0.2">
      <c r="A31888" t="s">
        <v>49848</v>
      </c>
      <c r="B31888" t="s">
        <v>49849</v>
      </c>
      <c r="C31888" t="s">
        <v>454</v>
      </c>
      <c r="D31888" t="s">
        <v>14</v>
      </c>
      <c r="E31888" t="s">
        <v>144</v>
      </c>
      <c r="F31888" s="2" t="str">
        <f>HYPERLINK("http://www.otzar.org/book.asp?26771","ענפי ארז - 5 כר'")</f>
        <v>ענפי ארז - 5 כר'</v>
      </c>
    </row>
    <row r="31889" spans="1:6" x14ac:dyDescent="0.2">
      <c r="A31889" t="s">
        <v>49850</v>
      </c>
      <c r="B31889" t="s">
        <v>49851</v>
      </c>
      <c r="C31889" t="s">
        <v>785</v>
      </c>
      <c r="D31889" t="s">
        <v>423</v>
      </c>
      <c r="F31889" s="2" t="str">
        <f>HYPERLINK("http://www.otzar.org/book.asp?189981","ענפי זית - בטאון יוצאי לוב")</f>
        <v>ענפי זית - בטאון יוצאי לוב</v>
      </c>
    </row>
    <row r="31890" spans="1:6" x14ac:dyDescent="0.2">
      <c r="A31890" t="s">
        <v>49852</v>
      </c>
      <c r="B31890" t="s">
        <v>16736</v>
      </c>
      <c r="C31890" t="s">
        <v>619</v>
      </c>
      <c r="D31890" t="s">
        <v>307</v>
      </c>
      <c r="E31890" t="s">
        <v>144</v>
      </c>
      <c r="F31890" s="2" t="str">
        <f>HYPERLINK("http://www.otzar.org/book.asp?615254","ענפי זית - 3 כר'")</f>
        <v>ענפי זית - 3 כר'</v>
      </c>
    </row>
    <row r="31891" spans="1:6" x14ac:dyDescent="0.2">
      <c r="A31891" t="s">
        <v>49853</v>
      </c>
      <c r="B31891" t="s">
        <v>49854</v>
      </c>
      <c r="C31891" t="s">
        <v>185</v>
      </c>
      <c r="D31891" t="s">
        <v>1550</v>
      </c>
      <c r="E31891" t="s">
        <v>148</v>
      </c>
      <c r="F31891" s="2" t="str">
        <f>HYPERLINK("http://www.otzar.org/book.asp?629634","ענפי משה - 5 כר'")</f>
        <v>ענפי משה - 5 כר'</v>
      </c>
    </row>
    <row r="31892" spans="1:6" x14ac:dyDescent="0.2">
      <c r="A31892" t="s">
        <v>49855</v>
      </c>
      <c r="B31892" t="s">
        <v>49856</v>
      </c>
      <c r="C31892" t="s">
        <v>313</v>
      </c>
      <c r="D31892" t="s">
        <v>4519</v>
      </c>
      <c r="F31892" s="2" t="str">
        <f>HYPERLINK("http://www.otzar.org/book.asp?613097","ענפי עץ אבות עבות - ספר יוחסין")</f>
        <v>ענפי עץ אבות עבות - ספר יוחסין</v>
      </c>
    </row>
    <row r="31893" spans="1:6" x14ac:dyDescent="0.2">
      <c r="A31893" t="s">
        <v>49857</v>
      </c>
      <c r="B31893" t="s">
        <v>14640</v>
      </c>
      <c r="C31893" t="s">
        <v>506</v>
      </c>
      <c r="D31893" t="s">
        <v>412</v>
      </c>
      <c r="E31893" t="s">
        <v>104</v>
      </c>
      <c r="F31893" s="2" t="str">
        <f>HYPERLINK("http://www.otzar.org/book.asp?174568","ענציקלאפעדיא פון אידישע וויטצען")</f>
        <v>ענציקלאפעדיא פון אידישע וויטצען</v>
      </c>
    </row>
    <row r="31894" spans="1:6" x14ac:dyDescent="0.2">
      <c r="A31894" t="s">
        <v>49858</v>
      </c>
      <c r="B31894" t="s">
        <v>338</v>
      </c>
      <c r="C31894" t="s">
        <v>366</v>
      </c>
      <c r="D31894" t="s">
        <v>14</v>
      </c>
      <c r="E31894" t="s">
        <v>246</v>
      </c>
      <c r="F31894" s="2" t="str">
        <f>HYPERLINK("http://www.otzar.org/book.asp?608584","עסיס רימונים - 3 כר'")</f>
        <v>עסיס רימונים - 3 כר'</v>
      </c>
    </row>
    <row r="31895" spans="1:6" x14ac:dyDescent="0.2">
      <c r="A31895" t="s">
        <v>49859</v>
      </c>
      <c r="B31895" t="s">
        <v>49860</v>
      </c>
      <c r="C31895" t="s">
        <v>6778</v>
      </c>
      <c r="D31895" t="s">
        <v>49</v>
      </c>
      <c r="F31895" s="2" t="str">
        <f>HYPERLINK("http://www.otzar.org/book.asp?164835","עסיס רמונים")</f>
        <v>עסיס רמונים</v>
      </c>
    </row>
    <row r="31896" spans="1:6" x14ac:dyDescent="0.2">
      <c r="A31896" t="s">
        <v>49859</v>
      </c>
      <c r="B31896" t="s">
        <v>49861</v>
      </c>
      <c r="C31896" t="s">
        <v>1284</v>
      </c>
      <c r="D31896" t="s">
        <v>49862</v>
      </c>
      <c r="E31896" t="s">
        <v>399</v>
      </c>
      <c r="F31896" s="2" t="str">
        <f>HYPERLINK("http://www.otzar.org/book.asp?104999","עסיס רמונים")</f>
        <v>עסיס רמונים</v>
      </c>
    </row>
    <row r="31897" spans="1:6" x14ac:dyDescent="0.2">
      <c r="A31897" t="s">
        <v>49863</v>
      </c>
      <c r="B31897" t="s">
        <v>26564</v>
      </c>
      <c r="C31897" t="s">
        <v>356</v>
      </c>
      <c r="D31897" t="s">
        <v>52</v>
      </c>
      <c r="E31897" t="s">
        <v>3936</v>
      </c>
      <c r="F31897" s="2" t="str">
        <f>HYPERLINK("http://www.otzar.org/book.asp?153644","עסק התורה")</f>
        <v>עסק התורה</v>
      </c>
    </row>
    <row r="31898" spans="1:6" x14ac:dyDescent="0.2">
      <c r="A31898" t="s">
        <v>49863</v>
      </c>
      <c r="B31898" t="s">
        <v>19124</v>
      </c>
      <c r="C31898" t="s">
        <v>189</v>
      </c>
      <c r="D31898" t="s">
        <v>1356</v>
      </c>
      <c r="E31898" t="s">
        <v>3516</v>
      </c>
      <c r="F31898" s="2" t="str">
        <f>HYPERLINK("http://www.otzar.org/book.asp?196642","עסק התורה")</f>
        <v>עסק התורה</v>
      </c>
    </row>
    <row r="31899" spans="1:6" x14ac:dyDescent="0.2">
      <c r="A31899" t="s">
        <v>49863</v>
      </c>
      <c r="B31899" t="s">
        <v>552</v>
      </c>
      <c r="C31899" t="s">
        <v>466</v>
      </c>
      <c r="D31899" t="s">
        <v>14</v>
      </c>
      <c r="E31899" t="s">
        <v>202</v>
      </c>
      <c r="F31899" s="2" t="str">
        <f>HYPERLINK("http://www.otzar.org/book.asp?25490","עסק התורה")</f>
        <v>עסק התורה</v>
      </c>
    </row>
    <row r="31900" spans="1:6" x14ac:dyDescent="0.2">
      <c r="A31900" t="s">
        <v>49863</v>
      </c>
      <c r="B31900" t="s">
        <v>49864</v>
      </c>
      <c r="C31900" t="s">
        <v>956</v>
      </c>
      <c r="D31900" t="s">
        <v>21408</v>
      </c>
      <c r="E31900" t="s">
        <v>158</v>
      </c>
      <c r="F31900" s="2" t="str">
        <f>HYPERLINK("http://www.otzar.org/book.asp?149236","עסק התורה")</f>
        <v>עסק התורה</v>
      </c>
    </row>
    <row r="31901" spans="1:6" x14ac:dyDescent="0.2">
      <c r="A31901" t="s">
        <v>49865</v>
      </c>
      <c r="B31901" t="s">
        <v>49866</v>
      </c>
      <c r="C31901" t="s">
        <v>313</v>
      </c>
      <c r="D31901" t="s">
        <v>14</v>
      </c>
      <c r="E31901" t="s">
        <v>15</v>
      </c>
      <c r="F31901" s="2" t="str">
        <f>HYPERLINK("http://www.otzar.org/book.asp?25491","עסק יהושע")</f>
        <v>עסק יהושע</v>
      </c>
    </row>
    <row r="31902" spans="1:6" x14ac:dyDescent="0.2">
      <c r="A31902" t="s">
        <v>49867</v>
      </c>
      <c r="B31902" t="s">
        <v>49868</v>
      </c>
      <c r="C31902" t="s">
        <v>46</v>
      </c>
      <c r="D31902" t="s">
        <v>260</v>
      </c>
      <c r="E31902" t="s">
        <v>384</v>
      </c>
      <c r="F31902" s="2" t="str">
        <f>HYPERLINK("http://www.otzar.org/book.asp?15226","עסקן למופת")</f>
        <v>עסקן למופת</v>
      </c>
    </row>
    <row r="31903" spans="1:6" x14ac:dyDescent="0.2">
      <c r="A31903" t="s">
        <v>49869</v>
      </c>
      <c r="B31903" t="s">
        <v>5265</v>
      </c>
      <c r="C31903" t="s">
        <v>422</v>
      </c>
      <c r="D31903" t="s">
        <v>14</v>
      </c>
      <c r="E31903" t="s">
        <v>158</v>
      </c>
      <c r="F31903" s="2" t="str">
        <f>HYPERLINK("http://www.otzar.org/book.asp?175989","עפעפי שחר - 2 כר'")</f>
        <v>עפעפי שחר - 2 כר'</v>
      </c>
    </row>
    <row r="31904" spans="1:6" x14ac:dyDescent="0.2">
      <c r="A31904" t="s">
        <v>49870</v>
      </c>
      <c r="B31904" t="s">
        <v>49871</v>
      </c>
      <c r="C31904" t="s">
        <v>422</v>
      </c>
      <c r="D31904" t="s">
        <v>14</v>
      </c>
      <c r="E31904" t="s">
        <v>20641</v>
      </c>
      <c r="F31904" s="2" t="str">
        <f>HYPERLINK("http://www.otzar.org/book.asp?85196","עפר יעקב")</f>
        <v>עפר יעקב</v>
      </c>
    </row>
    <row r="31905" spans="1:6" x14ac:dyDescent="0.2">
      <c r="A31905" t="s">
        <v>49870</v>
      </c>
      <c r="B31905" t="s">
        <v>49872</v>
      </c>
      <c r="C31905" t="s">
        <v>6052</v>
      </c>
      <c r="D31905" t="s">
        <v>1008</v>
      </c>
      <c r="E31905" t="s">
        <v>241</v>
      </c>
      <c r="F31905" s="2" t="str">
        <f>HYPERLINK("http://www.otzar.org/book.asp?169785","עפר יעקב")</f>
        <v>עפר יעקב</v>
      </c>
    </row>
    <row r="31906" spans="1:6" x14ac:dyDescent="0.2">
      <c r="A31906" t="s">
        <v>49870</v>
      </c>
      <c r="B31906" t="s">
        <v>49873</v>
      </c>
      <c r="C31906" t="s">
        <v>2488</v>
      </c>
      <c r="D31906" t="s">
        <v>1660</v>
      </c>
      <c r="E31906" t="s">
        <v>158</v>
      </c>
      <c r="F31906" s="2" t="str">
        <f>HYPERLINK("http://www.otzar.org/book.asp?103254","עפר יעקב")</f>
        <v>עפר יעקב</v>
      </c>
    </row>
    <row r="31907" spans="1:6" x14ac:dyDescent="0.2">
      <c r="A31907" t="s">
        <v>49874</v>
      </c>
      <c r="B31907" t="s">
        <v>44492</v>
      </c>
      <c r="C31907" t="s">
        <v>20</v>
      </c>
      <c r="D31907" t="s">
        <v>115</v>
      </c>
      <c r="E31907" t="s">
        <v>158</v>
      </c>
      <c r="F31907" s="2" t="str">
        <f>HYPERLINK("http://www.otzar.org/book.asp?623234","עפרות זהב - 2 כר'")</f>
        <v>עפרות זהב - 2 כר'</v>
      </c>
    </row>
    <row r="31908" spans="1:6" x14ac:dyDescent="0.2">
      <c r="A31908" t="s">
        <v>49875</v>
      </c>
      <c r="B31908" t="s">
        <v>5066</v>
      </c>
      <c r="C31908" t="s">
        <v>4374</v>
      </c>
      <c r="D31908" t="s">
        <v>563</v>
      </c>
      <c r="E31908" t="s">
        <v>158</v>
      </c>
      <c r="F31908" s="2" t="str">
        <f>HYPERLINK("http://www.otzar.org/book.asp?148123","עפרות תבל")</f>
        <v>עפרות תבל</v>
      </c>
    </row>
    <row r="31909" spans="1:6" x14ac:dyDescent="0.2">
      <c r="A31909" t="s">
        <v>49876</v>
      </c>
      <c r="B31909" t="s">
        <v>1417</v>
      </c>
      <c r="C31909" t="s">
        <v>558</v>
      </c>
      <c r="D31909" t="s">
        <v>756</v>
      </c>
      <c r="E31909" t="s">
        <v>10013</v>
      </c>
      <c r="F31909" s="2" t="str">
        <f>HYPERLINK("http://www.otzar.org/book.asp?101901","עץ אבות &lt;לחם שמים לחם נקודים")</f>
        <v>עץ אבות &lt;לחם שמים לחם נקודים</v>
      </c>
    </row>
    <row r="31910" spans="1:6" x14ac:dyDescent="0.2">
      <c r="A31910" t="s">
        <v>49877</v>
      </c>
      <c r="B31910" t="s">
        <v>2804</v>
      </c>
      <c r="C31910" t="s">
        <v>49878</v>
      </c>
      <c r="D31910" t="s">
        <v>27</v>
      </c>
      <c r="E31910" t="s">
        <v>786</v>
      </c>
      <c r="F31910" s="2" t="str">
        <f>HYPERLINK("http://www.otzar.org/book.asp?21455","עץ אבות - א")</f>
        <v>עץ אבות - א</v>
      </c>
    </row>
    <row r="31911" spans="1:6" x14ac:dyDescent="0.2">
      <c r="A31911" t="s">
        <v>49879</v>
      </c>
      <c r="B31911" t="s">
        <v>49880</v>
      </c>
      <c r="C31911" t="s">
        <v>114</v>
      </c>
      <c r="D31911" t="s">
        <v>90</v>
      </c>
      <c r="E31911" t="s">
        <v>104</v>
      </c>
      <c r="F31911" s="2" t="str">
        <f>HYPERLINK("http://www.otzar.org/book.asp?629249","עץ אבות")</f>
        <v>עץ אבות</v>
      </c>
    </row>
    <row r="31912" spans="1:6" x14ac:dyDescent="0.2">
      <c r="A31912" t="s">
        <v>49879</v>
      </c>
      <c r="B31912" t="s">
        <v>1417</v>
      </c>
      <c r="C31912" t="s">
        <v>49881</v>
      </c>
      <c r="D31912" t="s">
        <v>1023</v>
      </c>
      <c r="F31912" s="2" t="str">
        <f>HYPERLINK("http://www.otzar.org/book.asp?164851","עץ אבות")</f>
        <v>עץ אבות</v>
      </c>
    </row>
    <row r="31913" spans="1:6" x14ac:dyDescent="0.2">
      <c r="A31913" t="s">
        <v>49882</v>
      </c>
      <c r="B31913" t="s">
        <v>1750</v>
      </c>
      <c r="C31913" t="s">
        <v>523</v>
      </c>
      <c r="D31913" t="s">
        <v>14</v>
      </c>
      <c r="E31913" t="s">
        <v>202</v>
      </c>
      <c r="F31913" s="2" t="str">
        <f>HYPERLINK("http://www.otzar.org/book.asp?144608","עץ אבות - 2 כר'")</f>
        <v>עץ אבות - 2 כר'</v>
      </c>
    </row>
    <row r="31914" spans="1:6" x14ac:dyDescent="0.2">
      <c r="A31914" t="s">
        <v>49883</v>
      </c>
      <c r="B31914" t="s">
        <v>6370</v>
      </c>
      <c r="C31914" t="s">
        <v>51</v>
      </c>
      <c r="D31914" t="s">
        <v>14</v>
      </c>
      <c r="E31914" t="s">
        <v>202</v>
      </c>
      <c r="F31914" s="2" t="str">
        <f>HYPERLINK("http://www.otzar.org/book.asp?60548","עץ אלחנן")</f>
        <v>עץ אלחנן</v>
      </c>
    </row>
    <row r="31915" spans="1:6" x14ac:dyDescent="0.2">
      <c r="A31915" t="s">
        <v>49884</v>
      </c>
      <c r="B31915" t="s">
        <v>3944</v>
      </c>
      <c r="C31915" t="s">
        <v>2874</v>
      </c>
      <c r="D31915" t="s">
        <v>56</v>
      </c>
      <c r="E31915" t="s">
        <v>154</v>
      </c>
      <c r="F31915" s="2" t="str">
        <f>HYPERLINK("http://www.otzar.org/book.asp?20502","עץ אפרים")</f>
        <v>עץ אפרים</v>
      </c>
    </row>
    <row r="31916" spans="1:6" x14ac:dyDescent="0.2">
      <c r="A31916" t="s">
        <v>49885</v>
      </c>
      <c r="B31916" t="s">
        <v>19214</v>
      </c>
      <c r="C31916" t="s">
        <v>160</v>
      </c>
      <c r="D31916" t="s">
        <v>27</v>
      </c>
      <c r="E31916" t="s">
        <v>399</v>
      </c>
      <c r="F31916" s="2" t="str">
        <f>HYPERLINK("http://www.otzar.org/book.asp?20503","עץ אפרים - 2 כר'")</f>
        <v>עץ אפרים - 2 כר'</v>
      </c>
    </row>
    <row r="31917" spans="1:6" x14ac:dyDescent="0.2">
      <c r="A31917" t="s">
        <v>49884</v>
      </c>
      <c r="B31917" t="s">
        <v>49886</v>
      </c>
      <c r="C31917" t="s">
        <v>553</v>
      </c>
      <c r="D31917" t="s">
        <v>14</v>
      </c>
      <c r="E31917" t="s">
        <v>5712</v>
      </c>
      <c r="F31917" s="2" t="str">
        <f>HYPERLINK("http://www.otzar.org/book.asp?148963","עץ אפרים")</f>
        <v>עץ אפרים</v>
      </c>
    </row>
    <row r="31918" spans="1:6" x14ac:dyDescent="0.2">
      <c r="A31918" t="s">
        <v>49885</v>
      </c>
      <c r="B31918" t="s">
        <v>49887</v>
      </c>
      <c r="C31918" t="s">
        <v>2870</v>
      </c>
      <c r="D31918" t="s">
        <v>14</v>
      </c>
      <c r="E31918" t="s">
        <v>104</v>
      </c>
      <c r="F31918" s="2" t="str">
        <f>HYPERLINK("http://www.otzar.org/book.asp?189385","עץ אפרים - 2 כר'")</f>
        <v>עץ אפרים - 2 כר'</v>
      </c>
    </row>
    <row r="31919" spans="1:6" x14ac:dyDescent="0.2">
      <c r="A31919" t="s">
        <v>49888</v>
      </c>
      <c r="B31919" t="s">
        <v>49889</v>
      </c>
      <c r="C31919" t="s">
        <v>624</v>
      </c>
      <c r="D31919" t="s">
        <v>14</v>
      </c>
      <c r="E31919" t="s">
        <v>158</v>
      </c>
      <c r="F31919" s="2" t="str">
        <f>HYPERLINK("http://www.otzar.org/book.asp?173527","עץ ארז")</f>
        <v>עץ ארז</v>
      </c>
    </row>
    <row r="31920" spans="1:6" x14ac:dyDescent="0.2">
      <c r="A31920" t="s">
        <v>49890</v>
      </c>
      <c r="B31920" t="s">
        <v>49891</v>
      </c>
      <c r="C31920" t="s">
        <v>1268</v>
      </c>
      <c r="D31920" t="s">
        <v>412</v>
      </c>
      <c r="E31920" t="s">
        <v>144</v>
      </c>
      <c r="F31920" s="2" t="str">
        <f>HYPERLINK("http://www.otzar.org/book.asp?168233","עץ ארז - 3 כר'")</f>
        <v>עץ ארז - 3 כר'</v>
      </c>
    </row>
    <row r="31921" spans="1:6" x14ac:dyDescent="0.2">
      <c r="A31921" t="s">
        <v>49888</v>
      </c>
      <c r="B31921" t="s">
        <v>552</v>
      </c>
      <c r="C31921" t="s">
        <v>189</v>
      </c>
      <c r="D31921" t="s">
        <v>14</v>
      </c>
      <c r="E31921" t="s">
        <v>202</v>
      </c>
      <c r="F31921" s="2" t="str">
        <f>HYPERLINK("http://www.otzar.org/book.asp?153506","עץ ארז")</f>
        <v>עץ ארז</v>
      </c>
    </row>
    <row r="31922" spans="1:6" x14ac:dyDescent="0.2">
      <c r="A31922" t="s">
        <v>49892</v>
      </c>
      <c r="B31922" t="s">
        <v>25625</v>
      </c>
      <c r="C31922" t="s">
        <v>767</v>
      </c>
      <c r="D31922" t="s">
        <v>14</v>
      </c>
      <c r="E31922" t="s">
        <v>474</v>
      </c>
      <c r="F31922" s="2" t="str">
        <f>HYPERLINK("http://www.otzar.org/book.asp?106923","עץ הדעת &lt;טעלז&gt; - 5 כר'")</f>
        <v>עץ הדעת &lt;טעלז&gt; - 5 כר'</v>
      </c>
    </row>
    <row r="31923" spans="1:6" x14ac:dyDescent="0.2">
      <c r="A31923" t="s">
        <v>49893</v>
      </c>
      <c r="B31923" t="s">
        <v>38369</v>
      </c>
      <c r="C31923" t="s">
        <v>133</v>
      </c>
      <c r="D31923" t="s">
        <v>412</v>
      </c>
      <c r="E31923" t="s">
        <v>144</v>
      </c>
      <c r="F31923" s="2" t="str">
        <f>HYPERLINK("http://www.otzar.org/book.asp?601133","עץ הדעת טוב &lt;מהדורה חדשה&gt; - 2 כר'")</f>
        <v>עץ הדעת טוב &lt;מהדורה חדשה&gt; - 2 כר'</v>
      </c>
    </row>
    <row r="31924" spans="1:6" x14ac:dyDescent="0.2">
      <c r="A31924" t="s">
        <v>49894</v>
      </c>
      <c r="B31924" t="s">
        <v>405</v>
      </c>
      <c r="C31924" t="s">
        <v>594</v>
      </c>
      <c r="D31924" t="s">
        <v>60</v>
      </c>
      <c r="E31924" t="s">
        <v>158</v>
      </c>
      <c r="F31924" s="2" t="str">
        <f>HYPERLINK("http://www.otzar.org/book.asp?102120","עץ הדעת טוב - 3 כר'")</f>
        <v>עץ הדעת טוב - 3 כר'</v>
      </c>
    </row>
    <row r="31925" spans="1:6" x14ac:dyDescent="0.2">
      <c r="A31925" t="s">
        <v>49895</v>
      </c>
      <c r="B31925" t="s">
        <v>38369</v>
      </c>
      <c r="C31925" t="s">
        <v>2617</v>
      </c>
      <c r="D31925" t="s">
        <v>2295</v>
      </c>
      <c r="E31925" t="s">
        <v>144</v>
      </c>
      <c r="F31925" s="2" t="str">
        <f>HYPERLINK("http://www.otzar.org/book.asp?234","עץ הדעת טוב - 2 כר'")</f>
        <v>עץ הדעת טוב - 2 כר'</v>
      </c>
    </row>
    <row r="31926" spans="1:6" x14ac:dyDescent="0.2">
      <c r="A31926" t="s">
        <v>49896</v>
      </c>
      <c r="B31926" t="s">
        <v>13411</v>
      </c>
      <c r="C31926" t="s">
        <v>854</v>
      </c>
      <c r="D31926" t="s">
        <v>283</v>
      </c>
      <c r="E31926" t="s">
        <v>803</v>
      </c>
      <c r="F31926" s="2" t="str">
        <f>HYPERLINK("http://www.otzar.org/book.asp?2556","עץ הדעת")</f>
        <v>עץ הדעת</v>
      </c>
    </row>
    <row r="31927" spans="1:6" x14ac:dyDescent="0.2">
      <c r="A31927" t="s">
        <v>49896</v>
      </c>
      <c r="B31927" t="s">
        <v>49897</v>
      </c>
      <c r="C31927" t="s">
        <v>1022</v>
      </c>
      <c r="D31927" t="s">
        <v>49</v>
      </c>
      <c r="E31927" t="s">
        <v>3261</v>
      </c>
      <c r="F31927" s="2" t="str">
        <f>HYPERLINK("http://www.otzar.org/book.asp?63424","עץ הדעת")</f>
        <v>עץ הדעת</v>
      </c>
    </row>
    <row r="31928" spans="1:6" x14ac:dyDescent="0.2">
      <c r="A31928" t="s">
        <v>49898</v>
      </c>
      <c r="B31928" t="s">
        <v>18596</v>
      </c>
      <c r="C31928" t="s">
        <v>129</v>
      </c>
      <c r="D31928" t="s">
        <v>367</v>
      </c>
      <c r="E31928" t="s">
        <v>15</v>
      </c>
      <c r="F31928" s="2" t="str">
        <f>HYPERLINK("http://www.otzar.org/book.asp?147851","עץ הדר - על הלכות בורר בשבת")</f>
        <v>עץ הדר - על הלכות בורר בשבת</v>
      </c>
    </row>
    <row r="31929" spans="1:6" x14ac:dyDescent="0.2">
      <c r="A31929" t="s">
        <v>49899</v>
      </c>
      <c r="B31929" t="s">
        <v>1469</v>
      </c>
      <c r="C31929" t="s">
        <v>2543</v>
      </c>
      <c r="D31929" t="s">
        <v>27</v>
      </c>
      <c r="E31929" t="s">
        <v>3567</v>
      </c>
      <c r="F31929" s="2" t="str">
        <f>HYPERLINK("http://www.otzar.org/book.asp?11991","עץ הדר - 2 כר'")</f>
        <v>עץ הדר - 2 כר'</v>
      </c>
    </row>
    <row r="31930" spans="1:6" x14ac:dyDescent="0.2">
      <c r="A31930" t="s">
        <v>49900</v>
      </c>
      <c r="B31930" t="s">
        <v>49901</v>
      </c>
      <c r="C31930" t="s">
        <v>2488</v>
      </c>
      <c r="D31930" t="s">
        <v>1660</v>
      </c>
      <c r="E31930" t="s">
        <v>104</v>
      </c>
      <c r="F31930" s="2" t="str">
        <f>HYPERLINK("http://www.otzar.org/book.asp?23123","עץ החיים אשל אברהם")</f>
        <v>עץ החיים אשל אברהם</v>
      </c>
    </row>
    <row r="31931" spans="1:6" x14ac:dyDescent="0.2">
      <c r="A31931" t="s">
        <v>49902</v>
      </c>
      <c r="B31931" t="s">
        <v>1710</v>
      </c>
      <c r="C31931" t="s">
        <v>422</v>
      </c>
      <c r="D31931" t="s">
        <v>118</v>
      </c>
      <c r="E31931" t="s">
        <v>399</v>
      </c>
      <c r="F31931" s="2" t="str">
        <f>HYPERLINK("http://www.otzar.org/book.asp?155847","עץ החיים שבגן")</f>
        <v>עץ החיים שבגן</v>
      </c>
    </row>
    <row r="31932" spans="1:6" x14ac:dyDescent="0.2">
      <c r="A31932" t="s">
        <v>49903</v>
      </c>
      <c r="B31932" t="s">
        <v>28805</v>
      </c>
      <c r="C31932" t="s">
        <v>8476</v>
      </c>
      <c r="D31932" t="s">
        <v>157</v>
      </c>
      <c r="E31932" t="s">
        <v>158</v>
      </c>
      <c r="F31932" s="2" t="str">
        <f>HYPERLINK("http://www.otzar.org/book.asp?25248","עץ החיים")</f>
        <v>עץ החיים</v>
      </c>
    </row>
    <row r="31933" spans="1:6" x14ac:dyDescent="0.2">
      <c r="A31933" t="s">
        <v>49903</v>
      </c>
      <c r="B31933" t="s">
        <v>49904</v>
      </c>
      <c r="C31933" t="s">
        <v>176</v>
      </c>
      <c r="D31933" t="s">
        <v>14</v>
      </c>
      <c r="E31933" t="s">
        <v>158</v>
      </c>
      <c r="F31933" s="2" t="str">
        <f>HYPERLINK("http://www.otzar.org/book.asp?157484","עץ החיים")</f>
        <v>עץ החיים</v>
      </c>
    </row>
    <row r="31934" spans="1:6" x14ac:dyDescent="0.2">
      <c r="A31934" t="s">
        <v>49905</v>
      </c>
      <c r="B31934" t="s">
        <v>28227</v>
      </c>
      <c r="C31934" t="s">
        <v>41762</v>
      </c>
      <c r="D31934" t="s">
        <v>855</v>
      </c>
      <c r="E31934" t="s">
        <v>154</v>
      </c>
      <c r="F31934" s="2" t="str">
        <f>HYPERLINK("http://www.otzar.org/book.asp?182213","עץ החיים - 5 כר'")</f>
        <v>עץ החיים - 5 כר'</v>
      </c>
    </row>
    <row r="31935" spans="1:6" x14ac:dyDescent="0.2">
      <c r="A31935" t="s">
        <v>49903</v>
      </c>
      <c r="B31935" t="s">
        <v>49906</v>
      </c>
      <c r="C31935" t="s">
        <v>1954</v>
      </c>
      <c r="D31935" t="s">
        <v>49907</v>
      </c>
      <c r="E31935" t="s">
        <v>241</v>
      </c>
      <c r="F31935" s="2" t="str">
        <f>HYPERLINK("http://www.otzar.org/book.asp?626457","עץ החיים")</f>
        <v>עץ החיים</v>
      </c>
    </row>
    <row r="31936" spans="1:6" x14ac:dyDescent="0.2">
      <c r="A31936" t="s">
        <v>49903</v>
      </c>
      <c r="B31936" t="s">
        <v>49908</v>
      </c>
      <c r="C31936" t="s">
        <v>17</v>
      </c>
      <c r="D31936" t="s">
        <v>412</v>
      </c>
      <c r="F31936" s="2" t="str">
        <f>HYPERLINK("http://www.otzar.org/book.asp?614440","עץ החיים")</f>
        <v>עץ החיים</v>
      </c>
    </row>
    <row r="31937" spans="1:6" x14ac:dyDescent="0.2">
      <c r="A31937" t="s">
        <v>49909</v>
      </c>
      <c r="B31937" t="s">
        <v>49910</v>
      </c>
      <c r="C31937" t="s">
        <v>775</v>
      </c>
      <c r="D31937" t="s">
        <v>486</v>
      </c>
      <c r="E31937" t="s">
        <v>186</v>
      </c>
      <c r="F31937" s="2" t="str">
        <f>HYPERLINK("http://www.otzar.org/book.asp?50713","עץ החיים - 6 כר'")</f>
        <v>עץ החיים - 6 כר'</v>
      </c>
    </row>
    <row r="31938" spans="1:6" x14ac:dyDescent="0.2">
      <c r="A31938" t="s">
        <v>49905</v>
      </c>
      <c r="B31938" t="s">
        <v>49911</v>
      </c>
      <c r="C31938" t="s">
        <v>366</v>
      </c>
      <c r="D31938" t="s">
        <v>245</v>
      </c>
      <c r="E31938" t="s">
        <v>158</v>
      </c>
      <c r="F31938" s="2" t="str">
        <f>HYPERLINK("http://www.otzar.org/book.asp?606314","עץ החיים - 5 כר'")</f>
        <v>עץ החיים - 5 כר'</v>
      </c>
    </row>
    <row r="31939" spans="1:6" x14ac:dyDescent="0.2">
      <c r="A31939" t="s">
        <v>49912</v>
      </c>
      <c r="B31939" t="s">
        <v>12245</v>
      </c>
      <c r="C31939" t="s">
        <v>422</v>
      </c>
      <c r="D31939" t="s">
        <v>147</v>
      </c>
      <c r="E31939" t="s">
        <v>172</v>
      </c>
      <c r="F31939" s="2" t="str">
        <f>HYPERLINK("http://www.otzar.org/book.asp?63689","עץ החיים - אבילות")</f>
        <v>עץ החיים - אבילות</v>
      </c>
    </row>
    <row r="31940" spans="1:6" x14ac:dyDescent="0.2">
      <c r="A31940" t="s">
        <v>49903</v>
      </c>
      <c r="B31940" t="s">
        <v>1988</v>
      </c>
      <c r="E31940" t="s">
        <v>219</v>
      </c>
      <c r="F31940" s="2" t="str">
        <f>HYPERLINK("http://www.otzar.org/book.asp?623530","עץ החיים")</f>
        <v>עץ החיים</v>
      </c>
    </row>
    <row r="31941" spans="1:6" x14ac:dyDescent="0.2">
      <c r="A31941" t="s">
        <v>49913</v>
      </c>
      <c r="B31941" t="s">
        <v>9425</v>
      </c>
      <c r="C31941" t="s">
        <v>23</v>
      </c>
      <c r="D31941" t="s">
        <v>9426</v>
      </c>
      <c r="F31941" s="2" t="str">
        <f>HYPERLINK("http://www.otzar.org/book.asp?609905","עץ השדה")</f>
        <v>עץ השדה</v>
      </c>
    </row>
    <row r="31942" spans="1:6" x14ac:dyDescent="0.2">
      <c r="A31942" t="s">
        <v>49914</v>
      </c>
      <c r="B31942" t="s">
        <v>30917</v>
      </c>
      <c r="C31942" t="s">
        <v>366</v>
      </c>
      <c r="D31942" t="s">
        <v>14</v>
      </c>
      <c r="E31942" t="s">
        <v>15</v>
      </c>
      <c r="F31942" s="2" t="str">
        <f>HYPERLINK("http://www.otzar.org/book.asp?601383","עץ השדה - הלכות בל תשחית")</f>
        <v>עץ השדה - הלכות בל תשחית</v>
      </c>
    </row>
    <row r="31943" spans="1:6" x14ac:dyDescent="0.2">
      <c r="A31943" t="s">
        <v>49913</v>
      </c>
      <c r="B31943" t="s">
        <v>49915</v>
      </c>
      <c r="C31943" t="s">
        <v>146</v>
      </c>
      <c r="D31943" t="s">
        <v>486</v>
      </c>
      <c r="E31943" t="s">
        <v>246</v>
      </c>
      <c r="F31943" s="2" t="str">
        <f>HYPERLINK("http://www.otzar.org/book.asp?53634","עץ השדה")</f>
        <v>עץ השדה</v>
      </c>
    </row>
    <row r="31944" spans="1:6" x14ac:dyDescent="0.2">
      <c r="A31944" t="s">
        <v>49916</v>
      </c>
      <c r="B31944" t="s">
        <v>46181</v>
      </c>
      <c r="C31944" t="s">
        <v>37</v>
      </c>
      <c r="D31944" t="s">
        <v>21</v>
      </c>
      <c r="E31944" t="s">
        <v>399</v>
      </c>
      <c r="F31944" s="2" t="str">
        <f>HYPERLINK("http://www.otzar.org/book.asp?198114","עץ התדהר &lt;סידור הרש""ש&gt; - 31 כר'")</f>
        <v>עץ התדהר &lt;סידור הרש"ש&gt; - 31 כר'</v>
      </c>
    </row>
    <row r="31945" spans="1:6" x14ac:dyDescent="0.2">
      <c r="A31945" t="s">
        <v>49917</v>
      </c>
      <c r="B31945" t="s">
        <v>49918</v>
      </c>
      <c r="C31945" t="s">
        <v>1246</v>
      </c>
      <c r="D31945" t="s">
        <v>9</v>
      </c>
      <c r="E31945" t="s">
        <v>213</v>
      </c>
      <c r="F31945" s="2" t="str">
        <f>HYPERLINK("http://www.otzar.org/book.asp?84724","עץ חדש - 2 כר'")</f>
        <v>עץ חדש - 2 כר'</v>
      </c>
    </row>
    <row r="31946" spans="1:6" x14ac:dyDescent="0.2">
      <c r="A31946" t="s">
        <v>49919</v>
      </c>
      <c r="B31946" t="s">
        <v>1750</v>
      </c>
      <c r="C31946" t="s">
        <v>956</v>
      </c>
      <c r="D31946" t="s">
        <v>412</v>
      </c>
      <c r="E31946" t="s">
        <v>202</v>
      </c>
      <c r="F31946" s="2" t="str">
        <f>HYPERLINK("http://www.otzar.org/book.asp?627151","עץ חיים &lt;באבוב הישן&gt; - 4 כר'")</f>
        <v>עץ חיים &lt;באבוב הישן&gt; - 4 כר'</v>
      </c>
    </row>
    <row r="31947" spans="1:6" x14ac:dyDescent="0.2">
      <c r="A31947" t="s">
        <v>49920</v>
      </c>
      <c r="B31947" t="s">
        <v>1750</v>
      </c>
      <c r="C31947" t="s">
        <v>129</v>
      </c>
      <c r="E31947" t="s">
        <v>202</v>
      </c>
      <c r="F31947" s="2" t="str">
        <f>HYPERLINK("http://www.otzar.org/book.asp?52599","עץ חיים &lt;באבוב&gt; - 29 כר'")</f>
        <v>עץ חיים &lt;באבוב&gt; - 29 כר'</v>
      </c>
    </row>
    <row r="31948" spans="1:6" x14ac:dyDescent="0.2">
      <c r="A31948" t="s">
        <v>49921</v>
      </c>
      <c r="B31948" t="s">
        <v>1750</v>
      </c>
      <c r="C31948" t="s">
        <v>523</v>
      </c>
      <c r="D31948" t="s">
        <v>423</v>
      </c>
      <c r="E31948" t="s">
        <v>202</v>
      </c>
      <c r="F31948" s="2" t="str">
        <f>HYPERLINK("http://www.otzar.org/book.asp?162386","עץ חיים &lt;צאנז&gt; - 7 כר'")</f>
        <v>עץ חיים &lt;צאנז&gt; - 7 כר'</v>
      </c>
    </row>
    <row r="31949" spans="1:6" x14ac:dyDescent="0.2">
      <c r="A31949" t="s">
        <v>49922</v>
      </c>
      <c r="B31949" t="s">
        <v>49923</v>
      </c>
      <c r="C31949" t="s">
        <v>68</v>
      </c>
      <c r="D31949" t="s">
        <v>14</v>
      </c>
      <c r="E31949" t="s">
        <v>399</v>
      </c>
      <c r="F31949" s="2" t="str">
        <f>HYPERLINK("http://www.otzar.org/book.asp?621699","עץ חיים למוצאיהם")</f>
        <v>עץ חיים למוצאיהם</v>
      </c>
    </row>
    <row r="31950" spans="1:6" x14ac:dyDescent="0.2">
      <c r="A31950" t="s">
        <v>49924</v>
      </c>
      <c r="B31950" t="s">
        <v>5634</v>
      </c>
      <c r="C31950" t="s">
        <v>13</v>
      </c>
      <c r="D31950" t="s">
        <v>52</v>
      </c>
      <c r="E31950" t="s">
        <v>104</v>
      </c>
      <c r="F31950" s="2" t="str">
        <f>HYPERLINK("http://www.otzar.org/book.asp?145329","עץ חיים למחזיקים בה")</f>
        <v>עץ חיים למחזיקים בה</v>
      </c>
    </row>
    <row r="31951" spans="1:6" x14ac:dyDescent="0.2">
      <c r="A31951" t="s">
        <v>49925</v>
      </c>
      <c r="B31951" t="s">
        <v>49926</v>
      </c>
      <c r="C31951" t="s">
        <v>492</v>
      </c>
      <c r="D31951" t="s">
        <v>283</v>
      </c>
      <c r="E31951" t="s">
        <v>84</v>
      </c>
      <c r="F31951" s="2" t="str">
        <f>HYPERLINK("http://www.otzar.org/book.asp?171357","עץ חיים על פרקי אבות")</f>
        <v>עץ חיים על פרקי אבות</v>
      </c>
    </row>
    <row r="31952" spans="1:6" x14ac:dyDescent="0.2">
      <c r="A31952" t="s">
        <v>49927</v>
      </c>
      <c r="B31952" t="s">
        <v>49928</v>
      </c>
      <c r="C31952" t="s">
        <v>23</v>
      </c>
      <c r="D31952" t="s">
        <v>486</v>
      </c>
      <c r="E31952" t="s">
        <v>399</v>
      </c>
      <c r="F31952" s="2" t="str">
        <f>HYPERLINK("http://www.otzar.org/book.asp?193437","עץ חיים שער מטי ולא מטי עם ביאור יאיר חיים")</f>
        <v>עץ חיים שער מטי ולא מטי עם ביאור יאיר חיים</v>
      </c>
    </row>
    <row r="31953" spans="1:6" x14ac:dyDescent="0.2">
      <c r="A31953" t="s">
        <v>49929</v>
      </c>
      <c r="B31953" t="s">
        <v>49930</v>
      </c>
      <c r="C31953" t="s">
        <v>562</v>
      </c>
      <c r="D31953" t="s">
        <v>76</v>
      </c>
      <c r="E31953" t="s">
        <v>158</v>
      </c>
      <c r="F31953" s="2" t="str">
        <f>HYPERLINK("http://www.otzar.org/book.asp?21456","עץ חיים")</f>
        <v>עץ חיים</v>
      </c>
    </row>
    <row r="31954" spans="1:6" x14ac:dyDescent="0.2">
      <c r="A31954" t="s">
        <v>49929</v>
      </c>
      <c r="B31954" t="s">
        <v>49931</v>
      </c>
      <c r="C31954" t="s">
        <v>49932</v>
      </c>
      <c r="D31954" t="s">
        <v>3627</v>
      </c>
      <c r="E31954" t="s">
        <v>993</v>
      </c>
      <c r="F31954" s="2" t="str">
        <f>HYPERLINK("http://www.otzar.org/book.asp?20506","עץ חיים")</f>
        <v>עץ חיים</v>
      </c>
    </row>
    <row r="31955" spans="1:6" x14ac:dyDescent="0.2">
      <c r="A31955" t="s">
        <v>49929</v>
      </c>
      <c r="B31955" t="s">
        <v>10292</v>
      </c>
      <c r="C31955" t="s">
        <v>558</v>
      </c>
      <c r="D31955" t="s">
        <v>3627</v>
      </c>
      <c r="E31955" t="s">
        <v>463</v>
      </c>
      <c r="F31955" s="2" t="str">
        <f>HYPERLINK("http://www.otzar.org/book.asp?176853","עץ חיים")</f>
        <v>עץ חיים</v>
      </c>
    </row>
    <row r="31956" spans="1:6" x14ac:dyDescent="0.2">
      <c r="A31956" t="s">
        <v>49933</v>
      </c>
      <c r="B31956" t="s">
        <v>49934</v>
      </c>
      <c r="C31956" t="s">
        <v>12509</v>
      </c>
      <c r="D31956" t="s">
        <v>27</v>
      </c>
      <c r="E31956" t="s">
        <v>241</v>
      </c>
      <c r="F31956" s="2" t="str">
        <f>HYPERLINK("http://www.otzar.org/book.asp?105496","עץ חיים - 3 כר'")</f>
        <v>עץ חיים - 3 כר'</v>
      </c>
    </row>
    <row r="31957" spans="1:6" x14ac:dyDescent="0.2">
      <c r="A31957" t="s">
        <v>49935</v>
      </c>
      <c r="B31957" t="s">
        <v>3443</v>
      </c>
      <c r="C31957" t="s">
        <v>950</v>
      </c>
      <c r="D31957" t="s">
        <v>582</v>
      </c>
      <c r="E31957" t="s">
        <v>241</v>
      </c>
      <c r="F31957" s="2" t="str">
        <f>HYPERLINK("http://www.otzar.org/book.asp?149582","עץ חיים - קיצור שני לוחות הברית")</f>
        <v>עץ חיים - קיצור שני לוחות הברית</v>
      </c>
    </row>
    <row r="31958" spans="1:6" x14ac:dyDescent="0.2">
      <c r="A31958" t="s">
        <v>49936</v>
      </c>
      <c r="B31958" t="s">
        <v>405</v>
      </c>
      <c r="C31958" t="s">
        <v>3635</v>
      </c>
      <c r="D31958" t="s">
        <v>544</v>
      </c>
      <c r="E31958" t="s">
        <v>399</v>
      </c>
      <c r="F31958" s="2" t="str">
        <f>HYPERLINK("http://www.otzar.org/book.asp?152754","עץ חיים - 23 כר'")</f>
        <v>עץ חיים - 23 כר'</v>
      </c>
    </row>
    <row r="31959" spans="1:6" x14ac:dyDescent="0.2">
      <c r="A31959" t="s">
        <v>49929</v>
      </c>
      <c r="B31959" t="s">
        <v>49937</v>
      </c>
      <c r="C31959" t="s">
        <v>1811</v>
      </c>
      <c r="D31959" t="s">
        <v>90</v>
      </c>
      <c r="E31959" t="s">
        <v>104</v>
      </c>
      <c r="F31959" s="2" t="str">
        <f>HYPERLINK("http://www.otzar.org/book.asp?148124","עץ חיים")</f>
        <v>עץ חיים</v>
      </c>
    </row>
    <row r="31960" spans="1:6" x14ac:dyDescent="0.2">
      <c r="A31960" t="s">
        <v>49929</v>
      </c>
      <c r="B31960" t="s">
        <v>1978</v>
      </c>
      <c r="C31960" t="s">
        <v>99</v>
      </c>
      <c r="D31960" t="s">
        <v>56</v>
      </c>
      <c r="E31960" t="s">
        <v>241</v>
      </c>
      <c r="F31960" s="2" t="str">
        <f>HYPERLINK("http://www.otzar.org/book.asp?173029","עץ חיים")</f>
        <v>עץ חיים</v>
      </c>
    </row>
    <row r="31961" spans="1:6" x14ac:dyDescent="0.2">
      <c r="A31961" t="s">
        <v>49938</v>
      </c>
      <c r="B31961" t="s">
        <v>49939</v>
      </c>
      <c r="C31961" t="s">
        <v>2008</v>
      </c>
      <c r="D31961" t="s">
        <v>9</v>
      </c>
      <c r="E31961" t="s">
        <v>786</v>
      </c>
      <c r="F31961" s="2" t="str">
        <f>HYPERLINK("http://www.otzar.org/book.asp?51303","עץ חיים - 2 כר'")</f>
        <v>עץ חיים - 2 כר'</v>
      </c>
    </row>
    <row r="31962" spans="1:6" x14ac:dyDescent="0.2">
      <c r="A31962" t="s">
        <v>49929</v>
      </c>
      <c r="B31962" t="s">
        <v>49940</v>
      </c>
      <c r="C31962" t="s">
        <v>492</v>
      </c>
      <c r="D31962" t="s">
        <v>283</v>
      </c>
      <c r="E31962" t="s">
        <v>84</v>
      </c>
      <c r="F31962" s="2" t="str">
        <f>HYPERLINK("http://www.otzar.org/book.asp?101902","עץ חיים")</f>
        <v>עץ חיים</v>
      </c>
    </row>
    <row r="31963" spans="1:6" x14ac:dyDescent="0.2">
      <c r="A31963" t="s">
        <v>49929</v>
      </c>
      <c r="B31963" t="s">
        <v>5447</v>
      </c>
      <c r="C31963" t="s">
        <v>1619</v>
      </c>
      <c r="D31963" t="s">
        <v>216</v>
      </c>
      <c r="E31963" t="s">
        <v>733</v>
      </c>
      <c r="F31963" s="2" t="str">
        <f>HYPERLINK("http://www.otzar.org/book.asp?147840","עץ חיים")</f>
        <v>עץ חיים</v>
      </c>
    </row>
    <row r="31964" spans="1:6" x14ac:dyDescent="0.2">
      <c r="A31964" t="s">
        <v>49929</v>
      </c>
      <c r="B31964" t="s">
        <v>49941</v>
      </c>
      <c r="C31964" t="s">
        <v>466</v>
      </c>
      <c r="D31964" t="s">
        <v>14</v>
      </c>
      <c r="E31964" t="s">
        <v>213</v>
      </c>
      <c r="F31964" s="2" t="str">
        <f>HYPERLINK("http://www.otzar.org/book.asp?108240","עץ חיים")</f>
        <v>עץ חיים</v>
      </c>
    </row>
    <row r="31965" spans="1:6" x14ac:dyDescent="0.2">
      <c r="A31965" t="s">
        <v>49938</v>
      </c>
      <c r="B31965" t="s">
        <v>49942</v>
      </c>
      <c r="C31965" t="s">
        <v>68</v>
      </c>
      <c r="D31965" t="s">
        <v>134</v>
      </c>
      <c r="F31965" s="2" t="str">
        <f>HYPERLINK("http://www.otzar.org/book.asp?608732","עץ חיים - 2 כר'")</f>
        <v>עץ חיים - 2 כר'</v>
      </c>
    </row>
    <row r="31966" spans="1:6" x14ac:dyDescent="0.2">
      <c r="A31966" t="s">
        <v>49929</v>
      </c>
      <c r="B31966" t="s">
        <v>49943</v>
      </c>
      <c r="C31966" t="s">
        <v>168</v>
      </c>
      <c r="D31966" t="s">
        <v>14</v>
      </c>
      <c r="E31966" t="s">
        <v>13830</v>
      </c>
      <c r="F31966" s="2" t="str">
        <f>HYPERLINK("http://www.otzar.org/book.asp?158131","עץ חיים")</f>
        <v>עץ חיים</v>
      </c>
    </row>
    <row r="31967" spans="1:6" x14ac:dyDescent="0.2">
      <c r="A31967" t="s">
        <v>49929</v>
      </c>
      <c r="B31967" t="s">
        <v>49944</v>
      </c>
      <c r="C31967" t="s">
        <v>473</v>
      </c>
      <c r="D31967" t="s">
        <v>56</v>
      </c>
      <c r="E31967" t="s">
        <v>3818</v>
      </c>
      <c r="F31967" s="2" t="str">
        <f>HYPERLINK("http://www.otzar.org/book.asp?166320","עץ חיים")</f>
        <v>עץ חיים</v>
      </c>
    </row>
    <row r="31968" spans="1:6" x14ac:dyDescent="0.2">
      <c r="A31968" t="s">
        <v>49945</v>
      </c>
      <c r="B31968" t="s">
        <v>49946</v>
      </c>
      <c r="C31968" t="s">
        <v>503</v>
      </c>
      <c r="D31968" t="s">
        <v>56</v>
      </c>
      <c r="F31968" s="2" t="str">
        <f>HYPERLINK("http://www.otzar.org/book.asp?28354","עץ יהודה")</f>
        <v>עץ יהודה</v>
      </c>
    </row>
    <row r="31969" spans="1:6" x14ac:dyDescent="0.2">
      <c r="A31969" t="s">
        <v>49945</v>
      </c>
      <c r="B31969" t="s">
        <v>49947</v>
      </c>
      <c r="C31969" t="s">
        <v>20</v>
      </c>
      <c r="D31969" t="s">
        <v>14</v>
      </c>
      <c r="E31969" t="s">
        <v>803</v>
      </c>
      <c r="F31969" s="2" t="str">
        <f>HYPERLINK("http://www.otzar.org/book.asp?143045","עץ יהודה")</f>
        <v>עץ יהודה</v>
      </c>
    </row>
    <row r="31970" spans="1:6" x14ac:dyDescent="0.2">
      <c r="A31970" t="s">
        <v>49948</v>
      </c>
      <c r="B31970" t="s">
        <v>49949</v>
      </c>
      <c r="C31970" t="s">
        <v>20</v>
      </c>
      <c r="D31970" t="s">
        <v>15715</v>
      </c>
      <c r="F31970" s="2" t="str">
        <f>HYPERLINK("http://www.otzar.org/book.asp?605795","עץ יוסף")</f>
        <v>עץ יוסף</v>
      </c>
    </row>
    <row r="31971" spans="1:6" x14ac:dyDescent="0.2">
      <c r="A31971" t="s">
        <v>49948</v>
      </c>
      <c r="B31971" t="s">
        <v>49950</v>
      </c>
      <c r="C31971" t="s">
        <v>4114</v>
      </c>
      <c r="D31971" t="s">
        <v>4088</v>
      </c>
      <c r="E31971" t="s">
        <v>144</v>
      </c>
      <c r="F31971" s="2" t="str">
        <f>HYPERLINK("http://www.otzar.org/book.asp?104059","עץ יוסף")</f>
        <v>עץ יוסף</v>
      </c>
    </row>
    <row r="31972" spans="1:6" x14ac:dyDescent="0.2">
      <c r="A31972" t="s">
        <v>49948</v>
      </c>
      <c r="B31972" t="s">
        <v>49951</v>
      </c>
      <c r="C31972" t="s">
        <v>13</v>
      </c>
      <c r="D31972" t="s">
        <v>32731</v>
      </c>
      <c r="E31972" t="s">
        <v>119</v>
      </c>
      <c r="F31972" s="2" t="str">
        <f>HYPERLINK("http://www.otzar.org/book.asp?605744","עץ יוסף")</f>
        <v>עץ יוסף</v>
      </c>
    </row>
    <row r="31973" spans="1:6" x14ac:dyDescent="0.2">
      <c r="A31973" t="s">
        <v>49948</v>
      </c>
      <c r="B31973" t="s">
        <v>1159</v>
      </c>
      <c r="C31973" t="s">
        <v>20</v>
      </c>
      <c r="D31973" t="s">
        <v>49952</v>
      </c>
      <c r="E31973" t="s">
        <v>384</v>
      </c>
      <c r="F31973" s="2" t="str">
        <f>HYPERLINK("http://www.otzar.org/book.asp?64282","עץ יוסף")</f>
        <v>עץ יוסף</v>
      </c>
    </row>
    <row r="31974" spans="1:6" x14ac:dyDescent="0.2">
      <c r="A31974" t="s">
        <v>49953</v>
      </c>
      <c r="B31974" t="s">
        <v>49954</v>
      </c>
      <c r="C31974" t="s">
        <v>20</v>
      </c>
      <c r="D31974" t="s">
        <v>90</v>
      </c>
      <c r="E31974" t="s">
        <v>246</v>
      </c>
      <c r="F31974" s="2" t="str">
        <f>HYPERLINK("http://www.otzar.org/book.asp?621642","עץ נחמד")</f>
        <v>עץ נחמד</v>
      </c>
    </row>
    <row r="31975" spans="1:6" x14ac:dyDescent="0.2">
      <c r="A31975" t="s">
        <v>49955</v>
      </c>
      <c r="B31975" t="s">
        <v>49956</v>
      </c>
      <c r="C31975" t="s">
        <v>6784</v>
      </c>
      <c r="D31975" t="s">
        <v>1279</v>
      </c>
      <c r="E31975" t="s">
        <v>837</v>
      </c>
      <c r="F31975" s="2" t="str">
        <f>HYPERLINK("http://www.otzar.org/book.asp?8175","עץ פרי קודש")</f>
        <v>עץ פרי קודש</v>
      </c>
    </row>
    <row r="31976" spans="1:6" x14ac:dyDescent="0.2">
      <c r="A31976" t="s">
        <v>49957</v>
      </c>
      <c r="B31976" t="s">
        <v>1728</v>
      </c>
      <c r="C31976" t="s">
        <v>133</v>
      </c>
      <c r="D31976" t="s">
        <v>273</v>
      </c>
      <c r="E31976" t="s">
        <v>49958</v>
      </c>
      <c r="F31976" s="2" t="str">
        <f>HYPERLINK("http://www.otzar.org/book.asp?628567","עץ פרי")</f>
        <v>עץ פרי</v>
      </c>
    </row>
    <row r="31977" spans="1:6" x14ac:dyDescent="0.2">
      <c r="A31977" t="s">
        <v>49959</v>
      </c>
      <c r="B31977" t="s">
        <v>49960</v>
      </c>
      <c r="C31977" t="s">
        <v>422</v>
      </c>
      <c r="D31977" t="s">
        <v>21</v>
      </c>
      <c r="E31977" t="s">
        <v>144</v>
      </c>
      <c r="F31977" s="2" t="str">
        <f>HYPERLINK("http://www.otzar.org/book.asp?195475","עץ פרי - 3 כר'")</f>
        <v>עץ פרי - 3 כר'</v>
      </c>
    </row>
    <row r="31978" spans="1:6" x14ac:dyDescent="0.2">
      <c r="A31978" t="s">
        <v>49959</v>
      </c>
      <c r="B31978" t="s">
        <v>49961</v>
      </c>
      <c r="C31978" t="s">
        <v>466</v>
      </c>
      <c r="D31978" t="s">
        <v>27</v>
      </c>
      <c r="E31978" t="s">
        <v>241</v>
      </c>
      <c r="F31978" s="2" t="str">
        <f>HYPERLINK("http://www.otzar.org/book.asp?108239","עץ פרי - 3 כר'")</f>
        <v>עץ פרי - 3 כר'</v>
      </c>
    </row>
    <row r="31979" spans="1:6" x14ac:dyDescent="0.2">
      <c r="A31979" t="s">
        <v>49962</v>
      </c>
      <c r="B31979" t="s">
        <v>47235</v>
      </c>
      <c r="C31979" t="s">
        <v>11298</v>
      </c>
      <c r="D31979" t="s">
        <v>2290</v>
      </c>
      <c r="E31979" t="s">
        <v>241</v>
      </c>
      <c r="F31979" s="2" t="str">
        <f>HYPERLINK("http://www.otzar.org/book.asp?16057","עץ שתול")</f>
        <v>עץ שתול</v>
      </c>
    </row>
    <row r="31980" spans="1:6" x14ac:dyDescent="0.2">
      <c r="A31980" t="s">
        <v>49962</v>
      </c>
      <c r="B31980" t="s">
        <v>49830</v>
      </c>
      <c r="C31980" t="s">
        <v>87</v>
      </c>
      <c r="D31980" t="s">
        <v>16802</v>
      </c>
      <c r="E31980" t="s">
        <v>154</v>
      </c>
      <c r="F31980" s="2" t="str">
        <f>HYPERLINK("http://www.otzar.org/book.asp?603701","עץ שתול")</f>
        <v>עץ שתול</v>
      </c>
    </row>
    <row r="31981" spans="1:6" x14ac:dyDescent="0.2">
      <c r="A31981" t="s">
        <v>49963</v>
      </c>
      <c r="B31981" t="s">
        <v>1750</v>
      </c>
      <c r="C31981" t="s">
        <v>989</v>
      </c>
      <c r="D31981" t="s">
        <v>412</v>
      </c>
      <c r="E31981" t="s">
        <v>202</v>
      </c>
      <c r="F31981" s="2" t="str">
        <f>HYPERLINK("http://www.otzar.org/book.asp?28986","עץ שתול - 3 כר'")</f>
        <v>עץ שתול - 3 כר'</v>
      </c>
    </row>
    <row r="31982" spans="1:6" x14ac:dyDescent="0.2">
      <c r="A31982" t="s">
        <v>49964</v>
      </c>
      <c r="B31982" t="s">
        <v>686</v>
      </c>
      <c r="C31982" t="s">
        <v>151</v>
      </c>
      <c r="D31982" t="s">
        <v>52</v>
      </c>
      <c r="E31982" t="s">
        <v>246</v>
      </c>
      <c r="F31982" s="2" t="str">
        <f>HYPERLINK("http://www.otzar.org/book.asp?613839","עצה וגבורה")</f>
        <v>עצה וגבורה</v>
      </c>
    </row>
    <row r="31983" spans="1:6" x14ac:dyDescent="0.2">
      <c r="A31983" t="s">
        <v>49965</v>
      </c>
      <c r="B31983" t="s">
        <v>5218</v>
      </c>
      <c r="C31983" t="s">
        <v>1448</v>
      </c>
      <c r="D31983" t="s">
        <v>14</v>
      </c>
      <c r="E31983" t="s">
        <v>241</v>
      </c>
      <c r="F31983" s="2" t="str">
        <f>HYPERLINK("http://www.otzar.org/book.asp?53653","עצה ותושיה")</f>
        <v>עצה ותושיה</v>
      </c>
    </row>
    <row r="31984" spans="1:6" x14ac:dyDescent="0.2">
      <c r="A31984" t="s">
        <v>49965</v>
      </c>
      <c r="B31984" t="s">
        <v>6977</v>
      </c>
      <c r="C31984" t="s">
        <v>1160</v>
      </c>
      <c r="D31984" t="s">
        <v>14</v>
      </c>
      <c r="E31984" t="s">
        <v>1072</v>
      </c>
      <c r="F31984" s="2" t="str">
        <f>HYPERLINK("http://www.otzar.org/book.asp?7880","עצה ותושיה")</f>
        <v>עצה ותושיה</v>
      </c>
    </row>
    <row r="31985" spans="1:6" x14ac:dyDescent="0.2">
      <c r="A31985" t="s">
        <v>49965</v>
      </c>
      <c r="B31985" t="s">
        <v>49966</v>
      </c>
      <c r="C31985" t="s">
        <v>20</v>
      </c>
      <c r="D31985" t="s">
        <v>1156</v>
      </c>
      <c r="F31985" s="2" t="str">
        <f>HYPERLINK("http://www.otzar.org/book.asp?197525","עצה ותושיה")</f>
        <v>עצה ותושיה</v>
      </c>
    </row>
    <row r="31986" spans="1:6" x14ac:dyDescent="0.2">
      <c r="A31986" t="s">
        <v>49967</v>
      </c>
      <c r="B31986" t="s">
        <v>49968</v>
      </c>
      <c r="C31986" t="s">
        <v>51</v>
      </c>
      <c r="D31986" t="s">
        <v>52</v>
      </c>
      <c r="E31986" t="s">
        <v>104</v>
      </c>
      <c r="F31986" s="2" t="str">
        <f>HYPERLINK("http://www.otzar.org/book.asp?156407","עצות בחינוך")</f>
        <v>עצות בחינוך</v>
      </c>
    </row>
    <row r="31987" spans="1:6" x14ac:dyDescent="0.2">
      <c r="A31987" t="s">
        <v>49969</v>
      </c>
      <c r="B31987" t="s">
        <v>49970</v>
      </c>
      <c r="C31987" t="s">
        <v>1166</v>
      </c>
      <c r="D31987" t="s">
        <v>283</v>
      </c>
      <c r="E31987" t="s">
        <v>140</v>
      </c>
      <c r="F31987" s="2" t="str">
        <f>HYPERLINK("http://www.otzar.org/book.asp?10779","עצות ישרות")</f>
        <v>עצות ישרות</v>
      </c>
    </row>
    <row r="31988" spans="1:6" x14ac:dyDescent="0.2">
      <c r="A31988" t="s">
        <v>49971</v>
      </c>
      <c r="B31988" t="s">
        <v>39965</v>
      </c>
      <c r="C31988" t="s">
        <v>114</v>
      </c>
      <c r="D31988" t="s">
        <v>245</v>
      </c>
      <c r="E31988" t="s">
        <v>172</v>
      </c>
      <c r="F31988" s="2" t="str">
        <f>HYPERLINK("http://www.otzar.org/book.asp?169612","עצי אלמוגים &lt;מכון משנת ר""א&gt; - 2 כר'")</f>
        <v>עצי אלמוגים &lt;מכון משנת ר"א&gt; - 2 כר'</v>
      </c>
    </row>
    <row r="31989" spans="1:6" x14ac:dyDescent="0.2">
      <c r="A31989" t="s">
        <v>49972</v>
      </c>
      <c r="B31989" t="s">
        <v>39965</v>
      </c>
      <c r="C31989" t="s">
        <v>6203</v>
      </c>
      <c r="D31989" t="s">
        <v>5665</v>
      </c>
      <c r="E31989" t="s">
        <v>148</v>
      </c>
      <c r="F31989" s="2" t="str">
        <f>HYPERLINK("http://www.otzar.org/book.asp?8571","עצי אלמוגים")</f>
        <v>עצי אלמוגים</v>
      </c>
    </row>
    <row r="31990" spans="1:6" x14ac:dyDescent="0.2">
      <c r="A31990" t="s">
        <v>49973</v>
      </c>
      <c r="B31990" t="s">
        <v>39965</v>
      </c>
      <c r="C31990" t="s">
        <v>2040</v>
      </c>
      <c r="D31990" t="s">
        <v>2303</v>
      </c>
      <c r="E31990" t="s">
        <v>148</v>
      </c>
      <c r="F31990" s="2" t="str">
        <f>HYPERLINK("http://www.otzar.org/book.asp?5028","עצי ארזים")</f>
        <v>עצי ארזים</v>
      </c>
    </row>
    <row r="31991" spans="1:6" x14ac:dyDescent="0.2">
      <c r="A31991" t="s">
        <v>49973</v>
      </c>
      <c r="B31991" t="s">
        <v>686</v>
      </c>
      <c r="C31991" t="s">
        <v>189</v>
      </c>
      <c r="D31991" t="s">
        <v>52</v>
      </c>
      <c r="E31991" t="s">
        <v>104</v>
      </c>
      <c r="F31991" s="2" t="str">
        <f>HYPERLINK("http://www.otzar.org/book.asp?84405","עצי ארזים")</f>
        <v>עצי ארזים</v>
      </c>
    </row>
    <row r="31992" spans="1:6" x14ac:dyDescent="0.2">
      <c r="A31992" t="s">
        <v>49974</v>
      </c>
      <c r="B31992" t="s">
        <v>11367</v>
      </c>
      <c r="C31992" t="s">
        <v>888</v>
      </c>
      <c r="D31992" t="s">
        <v>56</v>
      </c>
      <c r="E31992" t="s">
        <v>154</v>
      </c>
      <c r="F31992" s="2" t="str">
        <f>HYPERLINK("http://www.otzar.org/book.asp?10628","עצי ברושים")</f>
        <v>עצי ברושים</v>
      </c>
    </row>
    <row r="31993" spans="1:6" x14ac:dyDescent="0.2">
      <c r="A31993" t="s">
        <v>49975</v>
      </c>
      <c r="B31993" t="s">
        <v>49976</v>
      </c>
      <c r="C31993" t="s">
        <v>133</v>
      </c>
      <c r="D31993" t="s">
        <v>412</v>
      </c>
      <c r="E31993" t="s">
        <v>144</v>
      </c>
      <c r="F31993" s="2" t="str">
        <f>HYPERLINK("http://www.otzar.org/book.asp?173229","עצי בשמים - עירובין")</f>
        <v>עצי בשמים - עירובין</v>
      </c>
    </row>
    <row r="31994" spans="1:6" x14ac:dyDescent="0.2">
      <c r="A31994" t="s">
        <v>49977</v>
      </c>
      <c r="B31994" t="s">
        <v>686</v>
      </c>
      <c r="C31994" t="s">
        <v>189</v>
      </c>
      <c r="D31994" t="s">
        <v>52</v>
      </c>
      <c r="E31994" t="s">
        <v>104</v>
      </c>
      <c r="F31994" s="2" t="str">
        <f>HYPERLINK("http://www.otzar.org/book.asp?61401","עצי בשמים")</f>
        <v>עצי בשמים</v>
      </c>
    </row>
    <row r="31995" spans="1:6" x14ac:dyDescent="0.2">
      <c r="A31995" t="s">
        <v>49977</v>
      </c>
      <c r="B31995" t="s">
        <v>49978</v>
      </c>
      <c r="C31995" t="s">
        <v>1885</v>
      </c>
      <c r="D31995" t="s">
        <v>283</v>
      </c>
      <c r="E31995" t="s">
        <v>13156</v>
      </c>
      <c r="F31995" s="2" t="str">
        <f>HYPERLINK("http://www.otzar.org/book.asp?101675","עצי בשמים")</f>
        <v>עצי בשמים</v>
      </c>
    </row>
    <row r="31996" spans="1:6" x14ac:dyDescent="0.2">
      <c r="A31996" t="s">
        <v>49979</v>
      </c>
      <c r="B31996" t="s">
        <v>49980</v>
      </c>
      <c r="C31996" t="s">
        <v>189</v>
      </c>
      <c r="D31996" t="s">
        <v>16949</v>
      </c>
      <c r="E31996" t="s">
        <v>10</v>
      </c>
      <c r="F31996" s="2" t="str">
        <f>HYPERLINK("http://www.otzar.org/book.asp?179254","עצי בשמים, הארץ לעריה")</f>
        <v>עצי בשמים, הארץ לעריה</v>
      </c>
    </row>
    <row r="31997" spans="1:6" x14ac:dyDescent="0.2">
      <c r="A31997" t="s">
        <v>49981</v>
      </c>
      <c r="B31997" t="s">
        <v>686</v>
      </c>
      <c r="C31997" t="s">
        <v>189</v>
      </c>
      <c r="D31997" t="s">
        <v>52</v>
      </c>
      <c r="E31997" t="s">
        <v>4333</v>
      </c>
      <c r="F31997" s="2" t="str">
        <f>HYPERLINK("http://www.otzar.org/book.asp?50403","עצי גפן")</f>
        <v>עצי גפן</v>
      </c>
    </row>
    <row r="31998" spans="1:6" x14ac:dyDescent="0.2">
      <c r="A31998" t="s">
        <v>49982</v>
      </c>
      <c r="B31998" t="s">
        <v>49983</v>
      </c>
      <c r="C31998" t="s">
        <v>87</v>
      </c>
      <c r="D31998" t="s">
        <v>14</v>
      </c>
      <c r="E31998" t="s">
        <v>4683</v>
      </c>
      <c r="F31998" s="2" t="str">
        <f>HYPERLINK("http://www.otzar.org/book.asp?85432","עצי הגפן")</f>
        <v>עצי הגפן</v>
      </c>
    </row>
    <row r="31999" spans="1:6" x14ac:dyDescent="0.2">
      <c r="A31999" t="s">
        <v>49984</v>
      </c>
      <c r="B31999" t="s">
        <v>49985</v>
      </c>
      <c r="C31999" t="s">
        <v>360</v>
      </c>
      <c r="D31999" t="s">
        <v>49986</v>
      </c>
      <c r="E31999" t="s">
        <v>172</v>
      </c>
      <c r="F31999" s="2" t="str">
        <f>HYPERLINK("http://www.otzar.org/book.asp?7664","עצי היער")</f>
        <v>עצי היער</v>
      </c>
    </row>
    <row r="32000" spans="1:6" x14ac:dyDescent="0.2">
      <c r="A32000" t="s">
        <v>49987</v>
      </c>
      <c r="B32000" t="s">
        <v>13035</v>
      </c>
      <c r="C32000" t="s">
        <v>649</v>
      </c>
      <c r="D32000" t="s">
        <v>30</v>
      </c>
      <c r="E32000" t="s">
        <v>154</v>
      </c>
      <c r="F32000" s="2" t="str">
        <f>HYPERLINK("http://www.otzar.org/book.asp?102721","עצי הלבנון")</f>
        <v>עצי הלבנון</v>
      </c>
    </row>
    <row r="32001" spans="1:6" x14ac:dyDescent="0.2">
      <c r="A32001" t="s">
        <v>49988</v>
      </c>
      <c r="B32001" t="s">
        <v>12318</v>
      </c>
      <c r="C32001" t="s">
        <v>21457</v>
      </c>
      <c r="D32001" t="s">
        <v>756</v>
      </c>
      <c r="E32001" t="s">
        <v>19766</v>
      </c>
      <c r="F32001" s="2" t="str">
        <f>HYPERLINK("http://www.otzar.org/book.asp?6451","עצי העולה")</f>
        <v>עצי העולה</v>
      </c>
    </row>
    <row r="32002" spans="1:6" x14ac:dyDescent="0.2">
      <c r="A32002" t="s">
        <v>49989</v>
      </c>
      <c r="B32002" t="s">
        <v>22294</v>
      </c>
      <c r="C32002" t="s">
        <v>49990</v>
      </c>
      <c r="D32002" t="s">
        <v>225</v>
      </c>
      <c r="E32002" t="s">
        <v>559</v>
      </c>
      <c r="F32002" s="2" t="str">
        <f>HYPERLINK("http://www.otzar.org/book.asp?102122","עצי זית - 2 כר'")</f>
        <v>עצי זית - 2 כר'</v>
      </c>
    </row>
    <row r="32003" spans="1:6" x14ac:dyDescent="0.2">
      <c r="A32003" t="s">
        <v>49991</v>
      </c>
      <c r="B32003" t="s">
        <v>49992</v>
      </c>
      <c r="C32003" t="s">
        <v>908</v>
      </c>
      <c r="D32003" t="s">
        <v>756</v>
      </c>
      <c r="E32003" t="s">
        <v>4683</v>
      </c>
      <c r="F32003" s="2" t="str">
        <f>HYPERLINK("http://www.otzar.org/book.asp?23729","עצי חיים - 5 כר'")</f>
        <v>עצי חיים - 5 כר'</v>
      </c>
    </row>
    <row r="32004" spans="1:6" x14ac:dyDescent="0.2">
      <c r="A32004" t="s">
        <v>49993</v>
      </c>
      <c r="B32004" t="s">
        <v>10234</v>
      </c>
      <c r="C32004" t="s">
        <v>429</v>
      </c>
      <c r="D32004" t="s">
        <v>379</v>
      </c>
      <c r="E32004" t="s">
        <v>84</v>
      </c>
      <c r="F32004" s="2" t="str">
        <f>HYPERLINK("http://www.otzar.org/book.asp?141203","עצי יער")</f>
        <v>עצי יער</v>
      </c>
    </row>
    <row r="32005" spans="1:6" x14ac:dyDescent="0.2">
      <c r="A32005" t="s">
        <v>49994</v>
      </c>
      <c r="B32005" t="s">
        <v>49995</v>
      </c>
      <c r="C32005" t="s">
        <v>146</v>
      </c>
      <c r="D32005" t="s">
        <v>52</v>
      </c>
      <c r="E32005" t="s">
        <v>144</v>
      </c>
      <c r="F32005" s="2" t="str">
        <f>HYPERLINK("http://www.otzar.org/book.asp?26817","עצי כהנים - 2 כר'")</f>
        <v>עצי כהנים - 2 כר'</v>
      </c>
    </row>
    <row r="32006" spans="1:6" x14ac:dyDescent="0.2">
      <c r="A32006" t="s">
        <v>49996</v>
      </c>
      <c r="B32006" t="s">
        <v>39938</v>
      </c>
      <c r="C32006" t="s">
        <v>5140</v>
      </c>
      <c r="D32006" t="s">
        <v>9748</v>
      </c>
      <c r="E32006" t="s">
        <v>172</v>
      </c>
      <c r="F32006" s="2" t="str">
        <f>HYPERLINK("http://www.otzar.org/book.asp?101486","עצי לבונה א-ב")</f>
        <v>עצי לבונה א-ב</v>
      </c>
    </row>
    <row r="32007" spans="1:6" x14ac:dyDescent="0.2">
      <c r="A32007" t="s">
        <v>49997</v>
      </c>
      <c r="B32007" t="s">
        <v>39938</v>
      </c>
      <c r="C32007" t="s">
        <v>600</v>
      </c>
      <c r="D32007" t="s">
        <v>1419</v>
      </c>
      <c r="E32007" t="s">
        <v>172</v>
      </c>
      <c r="F32007" s="2" t="str">
        <f>HYPERLINK("http://www.otzar.org/book.asp?5569","עצי לבונה")</f>
        <v>עצי לבונה</v>
      </c>
    </row>
    <row r="32008" spans="1:6" x14ac:dyDescent="0.2">
      <c r="A32008" t="s">
        <v>49998</v>
      </c>
      <c r="B32008" t="s">
        <v>49999</v>
      </c>
      <c r="C32008" t="s">
        <v>50000</v>
      </c>
      <c r="D32008" t="s">
        <v>267</v>
      </c>
      <c r="E32008" t="s">
        <v>909</v>
      </c>
      <c r="F32008" s="2" t="str">
        <f>HYPERLINK("http://www.otzar.org/book.asp?182174","עצי לבנון - 4 כר'")</f>
        <v>עצי לבנון - 4 כר'</v>
      </c>
    </row>
    <row r="32009" spans="1:6" x14ac:dyDescent="0.2">
      <c r="A32009" t="s">
        <v>50001</v>
      </c>
      <c r="B32009" t="s">
        <v>4093</v>
      </c>
      <c r="C32009" t="s">
        <v>146</v>
      </c>
      <c r="D32009" t="s">
        <v>14</v>
      </c>
      <c r="E32009" t="s">
        <v>144</v>
      </c>
      <c r="F32009" s="2" t="str">
        <f>HYPERLINK("http://www.otzar.org/book.asp?50425","עצי סוכה")</f>
        <v>עצי סוכה</v>
      </c>
    </row>
    <row r="32010" spans="1:6" x14ac:dyDescent="0.2">
      <c r="A32010" t="s">
        <v>50002</v>
      </c>
      <c r="B32010" t="s">
        <v>686</v>
      </c>
      <c r="C32010" t="s">
        <v>13</v>
      </c>
      <c r="D32010" t="s">
        <v>52</v>
      </c>
      <c r="E32010" t="s">
        <v>104</v>
      </c>
      <c r="F32010" s="2" t="str">
        <f>HYPERLINK("http://www.otzar.org/book.asp?63335","עצי עדן")</f>
        <v>עצי עדן</v>
      </c>
    </row>
    <row r="32011" spans="1:6" x14ac:dyDescent="0.2">
      <c r="A32011" t="s">
        <v>50003</v>
      </c>
      <c r="B32011" t="s">
        <v>1493</v>
      </c>
      <c r="C32011" t="s">
        <v>1278</v>
      </c>
      <c r="D32011" t="s">
        <v>164</v>
      </c>
      <c r="E32011" t="s">
        <v>234</v>
      </c>
      <c r="F32011" s="2" t="str">
        <f>HYPERLINK("http://www.otzar.org/book.asp?102125","עצי עדן - 2 כר'")</f>
        <v>עצי עדן - 2 כר'</v>
      </c>
    </row>
    <row r="32012" spans="1:6" x14ac:dyDescent="0.2">
      <c r="A32012" t="s">
        <v>50004</v>
      </c>
      <c r="B32012" t="s">
        <v>17331</v>
      </c>
      <c r="C32012" t="s">
        <v>17</v>
      </c>
      <c r="D32012" t="s">
        <v>52</v>
      </c>
      <c r="E32012" t="s">
        <v>674</v>
      </c>
      <c r="F32012" s="2" t="str">
        <f>HYPERLINK("http://www.otzar.org/book.asp?107455","עצי עולה")</f>
        <v>עצי עולה</v>
      </c>
    </row>
    <row r="32013" spans="1:6" x14ac:dyDescent="0.2">
      <c r="A32013" t="s">
        <v>50005</v>
      </c>
      <c r="B32013" t="s">
        <v>686</v>
      </c>
      <c r="C32013" t="s">
        <v>411</v>
      </c>
      <c r="D32013" t="s">
        <v>52</v>
      </c>
      <c r="E32013" t="s">
        <v>104</v>
      </c>
      <c r="F32013" s="2" t="str">
        <f>HYPERLINK("http://www.otzar.org/book.asp?169090","עצי קטף")</f>
        <v>עצי קטף</v>
      </c>
    </row>
    <row r="32014" spans="1:6" x14ac:dyDescent="0.2">
      <c r="A32014" t="s">
        <v>50006</v>
      </c>
      <c r="B32014" t="s">
        <v>4995</v>
      </c>
      <c r="C32014" t="s">
        <v>26</v>
      </c>
      <c r="D32014" t="s">
        <v>4996</v>
      </c>
      <c r="E32014" t="s">
        <v>1336</v>
      </c>
      <c r="F32014" s="2" t="str">
        <f>HYPERLINK("http://www.otzar.org/book.asp?12716","עצי שדה")</f>
        <v>עצי שדה</v>
      </c>
    </row>
    <row r="32015" spans="1:6" x14ac:dyDescent="0.2">
      <c r="A32015" t="s">
        <v>50007</v>
      </c>
      <c r="B32015" t="s">
        <v>50008</v>
      </c>
      <c r="C32015" t="s">
        <v>13</v>
      </c>
      <c r="D32015" t="s">
        <v>367</v>
      </c>
      <c r="E32015" t="s">
        <v>104</v>
      </c>
      <c r="F32015" s="2" t="str">
        <f>HYPERLINK("http://www.otzar.org/book.asp?153982","עצם היום הזה")</f>
        <v>עצם היום הזה</v>
      </c>
    </row>
    <row r="32016" spans="1:6" x14ac:dyDescent="0.2">
      <c r="A32016" t="s">
        <v>50009</v>
      </c>
      <c r="B32016" t="s">
        <v>41634</v>
      </c>
      <c r="C32016" t="s">
        <v>1208</v>
      </c>
      <c r="D32016" t="s">
        <v>14</v>
      </c>
      <c r="E32016" t="s">
        <v>144</v>
      </c>
      <c r="F32016" s="2" t="str">
        <f>HYPERLINK("http://www.otzar.org/book.asp?144064","עצמות יוסף &lt;מהדורת לייטנר&gt;")</f>
        <v>עצמות יוסף &lt;מהדורת לייטנר&gt;</v>
      </c>
    </row>
    <row r="32017" spans="1:6" x14ac:dyDescent="0.2">
      <c r="A32017" t="s">
        <v>50010</v>
      </c>
      <c r="B32017" t="s">
        <v>41634</v>
      </c>
      <c r="C32017" t="s">
        <v>21898</v>
      </c>
      <c r="D32017" t="s">
        <v>280</v>
      </c>
      <c r="E32017" t="s">
        <v>144</v>
      </c>
      <c r="F32017" s="2" t="str">
        <f>HYPERLINK("http://www.otzar.org/book.asp?166876","עצמות יוסף - 2 כר'")</f>
        <v>עצמות יוסף - 2 כר'</v>
      </c>
    </row>
    <row r="32018" spans="1:6" x14ac:dyDescent="0.2">
      <c r="A32018" t="s">
        <v>50011</v>
      </c>
      <c r="B32018" t="s">
        <v>50012</v>
      </c>
      <c r="C32018" t="s">
        <v>22954</v>
      </c>
      <c r="D32018" t="s">
        <v>27</v>
      </c>
      <c r="E32018" t="s">
        <v>474</v>
      </c>
      <c r="F32018" s="2" t="str">
        <f>HYPERLINK("http://www.otzar.org/book.asp?16167","עצמות יוסף - 7 כר'")</f>
        <v>עצמות יוסף - 7 כר'</v>
      </c>
    </row>
    <row r="32019" spans="1:6" x14ac:dyDescent="0.2">
      <c r="A32019" t="s">
        <v>50013</v>
      </c>
      <c r="B32019" t="s">
        <v>50014</v>
      </c>
      <c r="C32019" t="s">
        <v>1228</v>
      </c>
      <c r="D32019" t="s">
        <v>6459</v>
      </c>
      <c r="E32019" t="s">
        <v>15</v>
      </c>
      <c r="F32019" s="2" t="str">
        <f>HYPERLINK("http://www.otzar.org/book.asp?21450","עצמות יוסף")</f>
        <v>עצמות יוסף</v>
      </c>
    </row>
    <row r="32020" spans="1:6" x14ac:dyDescent="0.2">
      <c r="A32020" t="s">
        <v>50015</v>
      </c>
      <c r="B32020" t="s">
        <v>50016</v>
      </c>
      <c r="C32020" t="s">
        <v>71</v>
      </c>
      <c r="D32020" t="s">
        <v>6853</v>
      </c>
      <c r="E32020" t="s">
        <v>4022</v>
      </c>
      <c r="F32020" s="2" t="str">
        <f>HYPERLINK("http://www.otzar.org/book.asp?84169","עצרת ליחיאל")</f>
        <v>עצרת ליחיאל</v>
      </c>
    </row>
    <row r="32021" spans="1:6" x14ac:dyDescent="0.2">
      <c r="A32021" t="s">
        <v>50017</v>
      </c>
      <c r="B32021" t="s">
        <v>162</v>
      </c>
      <c r="C32021" t="s">
        <v>1418</v>
      </c>
      <c r="D32021" t="s">
        <v>56</v>
      </c>
      <c r="E32021" t="s">
        <v>144</v>
      </c>
      <c r="F32021" s="2" t="str">
        <f>HYPERLINK("http://www.otzar.org/book.asp?10771","עצת יהושע")</f>
        <v>עצת יהושע</v>
      </c>
    </row>
    <row r="32022" spans="1:6" x14ac:dyDescent="0.2">
      <c r="A32022" t="s">
        <v>50018</v>
      </c>
      <c r="B32022" t="s">
        <v>26000</v>
      </c>
      <c r="C32022" t="s">
        <v>20</v>
      </c>
      <c r="D32022" t="s">
        <v>14</v>
      </c>
      <c r="E32022" t="s">
        <v>140</v>
      </c>
      <c r="F32022" s="2" t="str">
        <f>HYPERLINK("http://www.otzar.org/book.asp?154511","עצת שלום &lt;ליקוטי עצות המשולש&gt;")</f>
        <v>עצת שלום &lt;ליקוטי עצות המשולש&gt;</v>
      </c>
    </row>
    <row r="32023" spans="1:6" x14ac:dyDescent="0.2">
      <c r="A32023" t="s">
        <v>50019</v>
      </c>
      <c r="B32023" t="s">
        <v>50020</v>
      </c>
      <c r="C32023" t="s">
        <v>244</v>
      </c>
      <c r="D32023" t="s">
        <v>115</v>
      </c>
      <c r="E32023" t="s">
        <v>1164</v>
      </c>
      <c r="F32023" s="2" t="str">
        <f>HYPERLINK("http://www.otzar.org/book.asp?195155","עצת שמעון")</f>
        <v>עצת שמעון</v>
      </c>
    </row>
    <row r="32024" spans="1:6" x14ac:dyDescent="0.2">
      <c r="A32024" t="s">
        <v>50021</v>
      </c>
      <c r="B32024" t="s">
        <v>50022</v>
      </c>
      <c r="C32024" t="s">
        <v>619</v>
      </c>
      <c r="D32024" t="s">
        <v>56</v>
      </c>
      <c r="F32024" s="2" t="str">
        <f>HYPERLINK("http://www.otzar.org/book.asp?606967","עקאנאמישע שריפטן - 2")</f>
        <v>עקאנאמישע שריפטן - 2</v>
      </c>
    </row>
    <row r="32025" spans="1:6" x14ac:dyDescent="0.2">
      <c r="A32025" t="s">
        <v>50023</v>
      </c>
      <c r="B32025" t="s">
        <v>50024</v>
      </c>
      <c r="C32025" t="s">
        <v>129</v>
      </c>
      <c r="D32025" t="s">
        <v>14</v>
      </c>
      <c r="E32025" t="s">
        <v>172</v>
      </c>
      <c r="F32025" s="2" t="str">
        <f>HYPERLINK("http://www.otzar.org/book.asp?602792","עקב משפט - איל משפט")</f>
        <v>עקב משפט - איל משפט</v>
      </c>
    </row>
    <row r="32026" spans="1:6" x14ac:dyDescent="0.2">
      <c r="A32026" t="s">
        <v>50025</v>
      </c>
      <c r="B32026" t="s">
        <v>50026</v>
      </c>
      <c r="C32026" t="s">
        <v>2644</v>
      </c>
      <c r="D32026" t="s">
        <v>535</v>
      </c>
      <c r="E32026" t="s">
        <v>4940</v>
      </c>
      <c r="F32026" s="2" t="str">
        <f>HYPERLINK("http://www.otzar.org/book.asp?103648","עקב ענוה")</f>
        <v>עקב ענוה</v>
      </c>
    </row>
    <row r="32027" spans="1:6" x14ac:dyDescent="0.2">
      <c r="A32027" t="s">
        <v>50025</v>
      </c>
      <c r="B32027" t="s">
        <v>35049</v>
      </c>
      <c r="C32027" t="s">
        <v>728</v>
      </c>
      <c r="D32027" t="s">
        <v>157</v>
      </c>
      <c r="E32027" t="s">
        <v>158</v>
      </c>
      <c r="F32027" s="2" t="str">
        <f>HYPERLINK("http://www.otzar.org/book.asp?25252","עקב ענוה")</f>
        <v>עקב ענוה</v>
      </c>
    </row>
    <row r="32028" spans="1:6" x14ac:dyDescent="0.2">
      <c r="A32028" t="s">
        <v>50025</v>
      </c>
      <c r="B32028" t="s">
        <v>50027</v>
      </c>
      <c r="C32028" t="s">
        <v>854</v>
      </c>
      <c r="D32028" t="s">
        <v>56</v>
      </c>
      <c r="E32028" t="s">
        <v>714</v>
      </c>
      <c r="F32028" s="2" t="str">
        <f>HYPERLINK("http://www.otzar.org/book.asp?6421","עקב ענוה")</f>
        <v>עקב ענוה</v>
      </c>
    </row>
    <row r="32029" spans="1:6" x14ac:dyDescent="0.2">
      <c r="A32029" t="s">
        <v>50025</v>
      </c>
      <c r="B32029" t="s">
        <v>50028</v>
      </c>
      <c r="C32029" t="s">
        <v>383</v>
      </c>
      <c r="D32029" t="s">
        <v>14</v>
      </c>
      <c r="E32029" t="s">
        <v>15</v>
      </c>
      <c r="F32029" s="2" t="str">
        <f>HYPERLINK("http://www.otzar.org/book.asp?144030","עקב ענוה")</f>
        <v>עקב ענוה</v>
      </c>
    </row>
    <row r="32030" spans="1:6" x14ac:dyDescent="0.2">
      <c r="A32030" t="s">
        <v>50029</v>
      </c>
      <c r="B32030" t="s">
        <v>50030</v>
      </c>
      <c r="C32030" t="s">
        <v>888</v>
      </c>
      <c r="D32030" t="s">
        <v>56</v>
      </c>
      <c r="E32030" t="s">
        <v>50031</v>
      </c>
      <c r="F32030" s="2" t="str">
        <f>HYPERLINK("http://www.otzar.org/book.asp?12632","עקב רב")</f>
        <v>עקב רב</v>
      </c>
    </row>
    <row r="32031" spans="1:6" x14ac:dyDescent="0.2">
      <c r="A32031" t="s">
        <v>50029</v>
      </c>
      <c r="B32031" t="s">
        <v>686</v>
      </c>
      <c r="C32031" t="s">
        <v>366</v>
      </c>
      <c r="D32031" t="s">
        <v>52</v>
      </c>
      <c r="E32031" t="s">
        <v>241</v>
      </c>
      <c r="F32031" s="2" t="str">
        <f>HYPERLINK("http://www.otzar.org/book.asp?608572","עקב רב")</f>
        <v>עקב רב</v>
      </c>
    </row>
    <row r="32032" spans="1:6" x14ac:dyDescent="0.2">
      <c r="A32032" t="s">
        <v>50032</v>
      </c>
      <c r="B32032" t="s">
        <v>50033</v>
      </c>
      <c r="C32032" t="s">
        <v>20</v>
      </c>
      <c r="D32032" t="s">
        <v>1550</v>
      </c>
      <c r="E32032" t="s">
        <v>119</v>
      </c>
      <c r="F32032" s="2" t="str">
        <f>HYPERLINK("http://www.otzar.org/book.asp?191016","עקב רב - תולדות רבי יעקב הורביץ")</f>
        <v>עקב רב - תולדות רבי יעקב הורביץ</v>
      </c>
    </row>
    <row r="32033" spans="1:6" x14ac:dyDescent="0.2">
      <c r="A32033" t="s">
        <v>50029</v>
      </c>
      <c r="B32033" t="s">
        <v>50034</v>
      </c>
      <c r="C32033" t="s">
        <v>503</v>
      </c>
      <c r="D32033" t="s">
        <v>283</v>
      </c>
      <c r="E32033" t="s">
        <v>144</v>
      </c>
      <c r="F32033" s="2" t="str">
        <f>HYPERLINK("http://www.otzar.org/book.asp?20509","עקב רב")</f>
        <v>עקב רב</v>
      </c>
    </row>
    <row r="32034" spans="1:6" x14ac:dyDescent="0.2">
      <c r="A32034" t="s">
        <v>50029</v>
      </c>
      <c r="B32034" t="s">
        <v>50035</v>
      </c>
      <c r="C32034" t="s">
        <v>8764</v>
      </c>
      <c r="D32034" t="s">
        <v>49</v>
      </c>
      <c r="E32034" t="s">
        <v>154</v>
      </c>
      <c r="F32034" s="2" t="str">
        <f>HYPERLINK("http://www.otzar.org/book.asp?20510","עקב רב")</f>
        <v>עקב רב</v>
      </c>
    </row>
    <row r="32035" spans="1:6" x14ac:dyDescent="0.2">
      <c r="A32035" t="s">
        <v>50036</v>
      </c>
      <c r="B32035" t="s">
        <v>15429</v>
      </c>
      <c r="C32035" t="s">
        <v>168</v>
      </c>
      <c r="D32035" t="s">
        <v>1550</v>
      </c>
      <c r="E32035" t="s">
        <v>165</v>
      </c>
      <c r="F32035" s="2" t="str">
        <f>HYPERLINK("http://www.otzar.org/book.asp?158811","עקב תשמעון")</f>
        <v>עקב תשמעון</v>
      </c>
    </row>
    <row r="32036" spans="1:6" x14ac:dyDescent="0.2">
      <c r="A32036" t="s">
        <v>50037</v>
      </c>
      <c r="B32036" t="s">
        <v>50038</v>
      </c>
      <c r="C32036" t="s">
        <v>725</v>
      </c>
      <c r="D32036" t="s">
        <v>9896</v>
      </c>
      <c r="E32036" t="s">
        <v>104</v>
      </c>
      <c r="F32036" s="2" t="str">
        <f>HYPERLINK("http://www.otzar.org/book.asp?167523","עקבותא דמשיחא")</f>
        <v>עקבותא דמשיחא</v>
      </c>
    </row>
    <row r="32037" spans="1:6" x14ac:dyDescent="0.2">
      <c r="A32037" t="s">
        <v>50039</v>
      </c>
      <c r="B32037" t="s">
        <v>50040</v>
      </c>
      <c r="C32037" t="s">
        <v>143</v>
      </c>
      <c r="D32037" t="s">
        <v>14</v>
      </c>
      <c r="F32037" s="2" t="str">
        <f>HYPERLINK("http://www.otzar.org/book.asp?182827","עקבותיו של דף אבוד מכתב יד ליידן של הירושלמי (תדפיס)")</f>
        <v>עקבותיו של דף אבוד מכתב יד ליידן של הירושלמי (תדפיס)</v>
      </c>
    </row>
    <row r="32038" spans="1:6" x14ac:dyDescent="0.2">
      <c r="A32038" t="s">
        <v>50041</v>
      </c>
      <c r="B32038" t="s">
        <v>50042</v>
      </c>
      <c r="C32038" t="s">
        <v>2132</v>
      </c>
      <c r="D32038" t="s">
        <v>216</v>
      </c>
      <c r="E32038" t="s">
        <v>23245</v>
      </c>
      <c r="F32038" s="2" t="str">
        <f>HYPERLINK("http://www.otzar.org/book.asp?156776","עקבי אבירים - 3 כר'")</f>
        <v>עקבי אבירים - 3 כר'</v>
      </c>
    </row>
    <row r="32039" spans="1:6" x14ac:dyDescent="0.2">
      <c r="A32039" t="s">
        <v>50043</v>
      </c>
      <c r="B32039" t="s">
        <v>17723</v>
      </c>
      <c r="C32039" t="s">
        <v>176</v>
      </c>
      <c r="D32039" t="s">
        <v>245</v>
      </c>
      <c r="E32039" t="s">
        <v>144</v>
      </c>
      <c r="F32039" s="2" t="str">
        <f>HYPERLINK("http://www.otzar.org/book.asp?165415","עקבי אהרן ופשר דבר - 8 כר'")</f>
        <v>עקבי אהרן ופשר דבר - 8 כר'</v>
      </c>
    </row>
    <row r="32040" spans="1:6" x14ac:dyDescent="0.2">
      <c r="A32040" t="s">
        <v>50044</v>
      </c>
      <c r="B32040" t="s">
        <v>2325</v>
      </c>
      <c r="C32040" t="s">
        <v>1388</v>
      </c>
      <c r="D32040" t="s">
        <v>412</v>
      </c>
      <c r="E32040" t="s">
        <v>144</v>
      </c>
      <c r="F32040" s="2" t="str">
        <f>HYPERLINK("http://www.otzar.org/book.asp?164010","עקבי אור")</f>
        <v>עקבי אור</v>
      </c>
    </row>
    <row r="32041" spans="1:6" x14ac:dyDescent="0.2">
      <c r="A32041" t="s">
        <v>50045</v>
      </c>
      <c r="B32041" t="s">
        <v>8880</v>
      </c>
      <c r="C32041" t="s">
        <v>366</v>
      </c>
      <c r="D32041" t="s">
        <v>21</v>
      </c>
      <c r="F32041" s="2" t="str">
        <f>HYPERLINK("http://www.otzar.org/book.asp?610180","עקבי בין המיצרים - 2 כר'")</f>
        <v>עקבי בין המיצרים - 2 כר'</v>
      </c>
    </row>
    <row r="32042" spans="1:6" x14ac:dyDescent="0.2">
      <c r="A32042" t="s">
        <v>50046</v>
      </c>
      <c r="B32042" t="s">
        <v>13006</v>
      </c>
      <c r="C32042" t="s">
        <v>146</v>
      </c>
      <c r="D32042" t="s">
        <v>412</v>
      </c>
      <c r="E32042" t="s">
        <v>158</v>
      </c>
      <c r="F32042" s="2" t="str">
        <f>HYPERLINK("http://www.otzar.org/book.asp?159154","עקבי בנימין - 3 כר'")</f>
        <v>עקבי בנימין - 3 כר'</v>
      </c>
    </row>
    <row r="32043" spans="1:6" x14ac:dyDescent="0.2">
      <c r="A32043" t="s">
        <v>50047</v>
      </c>
      <c r="B32043" t="s">
        <v>50048</v>
      </c>
      <c r="C32043" t="s">
        <v>244</v>
      </c>
      <c r="D32043" t="s">
        <v>52</v>
      </c>
      <c r="F32043" s="2" t="str">
        <f>HYPERLINK("http://www.otzar.org/book.asp?620483","עקבי ברוך")</f>
        <v>עקבי ברוך</v>
      </c>
    </row>
    <row r="32044" spans="1:6" x14ac:dyDescent="0.2">
      <c r="A32044" t="s">
        <v>50049</v>
      </c>
      <c r="B32044" t="s">
        <v>50050</v>
      </c>
      <c r="C32044" t="s">
        <v>1388</v>
      </c>
      <c r="D32044" t="s">
        <v>14</v>
      </c>
      <c r="E32044" t="s">
        <v>7138</v>
      </c>
      <c r="F32044" s="2" t="str">
        <f>HYPERLINK("http://www.otzar.org/book.asp?104058","עקבי ברכה")</f>
        <v>עקבי ברכה</v>
      </c>
    </row>
    <row r="32045" spans="1:6" x14ac:dyDescent="0.2">
      <c r="A32045" t="s">
        <v>50051</v>
      </c>
      <c r="B32045" t="s">
        <v>3454</v>
      </c>
      <c r="C32045" t="s">
        <v>422</v>
      </c>
      <c r="D32045" t="s">
        <v>14</v>
      </c>
      <c r="E32045" t="s">
        <v>158</v>
      </c>
      <c r="F32045" s="2" t="str">
        <f>HYPERLINK("http://www.otzar.org/book.asp?150905","עקבי דוד - 2 כר'")</f>
        <v>עקבי דוד - 2 כר'</v>
      </c>
    </row>
    <row r="32046" spans="1:6" x14ac:dyDescent="0.2">
      <c r="A32046" t="s">
        <v>50052</v>
      </c>
      <c r="B32046" t="s">
        <v>50053</v>
      </c>
      <c r="C32046" t="s">
        <v>114</v>
      </c>
      <c r="D32046" t="s">
        <v>90</v>
      </c>
      <c r="E32046" t="s">
        <v>246</v>
      </c>
      <c r="F32046" s="2" t="str">
        <f>HYPERLINK("http://www.otzar.org/book.asp?626226","עקבי דרך")</f>
        <v>עקבי דרך</v>
      </c>
    </row>
    <row r="32047" spans="1:6" x14ac:dyDescent="0.2">
      <c r="A32047" t="s">
        <v>50054</v>
      </c>
      <c r="B32047" t="s">
        <v>8880</v>
      </c>
      <c r="C32047" t="s">
        <v>111</v>
      </c>
      <c r="D32047" t="s">
        <v>21</v>
      </c>
      <c r="F32047" s="2" t="str">
        <f>HYPERLINK("http://www.otzar.org/book.asp?621784","עקבי הימים הנוראים")</f>
        <v>עקבי הימים הנוראים</v>
      </c>
    </row>
    <row r="32048" spans="1:6" x14ac:dyDescent="0.2">
      <c r="A32048" t="s">
        <v>50055</v>
      </c>
      <c r="B32048" t="s">
        <v>15449</v>
      </c>
      <c r="C32048" t="s">
        <v>1609</v>
      </c>
      <c r="D32048" t="s">
        <v>563</v>
      </c>
      <c r="E32048" t="s">
        <v>50056</v>
      </c>
      <c r="F32048" s="2" t="str">
        <f>HYPERLINK("http://www.otzar.org/book.asp?12079","עקבי הצאן")</f>
        <v>עקבי הצאן</v>
      </c>
    </row>
    <row r="32049" spans="1:6" x14ac:dyDescent="0.2">
      <c r="A32049" t="s">
        <v>50055</v>
      </c>
      <c r="B32049" t="s">
        <v>50057</v>
      </c>
      <c r="C32049" t="s">
        <v>111</v>
      </c>
      <c r="D32049" t="s">
        <v>412</v>
      </c>
      <c r="E32049" t="s">
        <v>241</v>
      </c>
      <c r="F32049" s="2" t="str">
        <f>HYPERLINK("http://www.otzar.org/book.asp?627427","עקבי הצאן")</f>
        <v>עקבי הצאן</v>
      </c>
    </row>
    <row r="32050" spans="1:6" x14ac:dyDescent="0.2">
      <c r="A32050" t="s">
        <v>50058</v>
      </c>
      <c r="B32050" t="s">
        <v>50059</v>
      </c>
      <c r="C32050" t="s">
        <v>411</v>
      </c>
      <c r="D32050" t="s">
        <v>14</v>
      </c>
      <c r="E32050" t="s">
        <v>144</v>
      </c>
      <c r="F32050" s="2" t="str">
        <f>HYPERLINK("http://www.otzar.org/book.asp?85900","עקבי חיים")</f>
        <v>עקבי חיים</v>
      </c>
    </row>
    <row r="32051" spans="1:6" x14ac:dyDescent="0.2">
      <c r="A32051" t="s">
        <v>50058</v>
      </c>
      <c r="B32051" t="s">
        <v>50060</v>
      </c>
      <c r="C32051" t="s">
        <v>427</v>
      </c>
      <c r="D32051" t="s">
        <v>14</v>
      </c>
      <c r="E32051" t="s">
        <v>144</v>
      </c>
      <c r="F32051" s="2" t="str">
        <f>HYPERLINK("http://www.otzar.org/book.asp?84882","עקבי חיים")</f>
        <v>עקבי חיים</v>
      </c>
    </row>
    <row r="32052" spans="1:6" x14ac:dyDescent="0.2">
      <c r="A32052" t="s">
        <v>50058</v>
      </c>
      <c r="B32052" t="s">
        <v>50061</v>
      </c>
      <c r="C32052" t="s">
        <v>1374</v>
      </c>
      <c r="D32052" t="s">
        <v>56</v>
      </c>
      <c r="E32052" t="s">
        <v>234</v>
      </c>
      <c r="F32052" s="2" t="str">
        <f>HYPERLINK("http://www.otzar.org/book.asp?104057","עקבי חיים")</f>
        <v>עקבי חיים</v>
      </c>
    </row>
    <row r="32053" spans="1:6" x14ac:dyDescent="0.2">
      <c r="A32053" t="s">
        <v>50062</v>
      </c>
      <c r="B32053" t="s">
        <v>50063</v>
      </c>
      <c r="C32053" t="s">
        <v>151</v>
      </c>
      <c r="D32053" t="s">
        <v>245</v>
      </c>
      <c r="E32053" t="s">
        <v>84</v>
      </c>
      <c r="F32053" s="2" t="str">
        <f>HYPERLINK("http://www.otzar.org/book.asp?626804","עקבי חיים - זרעים")</f>
        <v>עקבי חיים - זרעים</v>
      </c>
    </row>
    <row r="32054" spans="1:6" x14ac:dyDescent="0.2">
      <c r="A32054" t="s">
        <v>50064</v>
      </c>
      <c r="B32054" t="s">
        <v>50065</v>
      </c>
      <c r="C32054" t="s">
        <v>37</v>
      </c>
      <c r="D32054" t="s">
        <v>412</v>
      </c>
      <c r="E32054" t="s">
        <v>975</v>
      </c>
      <c r="F32054" s="2" t="str">
        <f>HYPERLINK("http://www.otzar.org/book.asp?198599","עקבי יוסף")</f>
        <v>עקבי יוסף</v>
      </c>
    </row>
    <row r="32055" spans="1:6" x14ac:dyDescent="0.2">
      <c r="A32055" t="s">
        <v>50066</v>
      </c>
      <c r="B32055" t="s">
        <v>50067</v>
      </c>
      <c r="C32055" t="s">
        <v>812</v>
      </c>
      <c r="D32055" t="s">
        <v>691</v>
      </c>
      <c r="E32055" t="s">
        <v>26576</v>
      </c>
      <c r="F32055" s="2" t="str">
        <f>HYPERLINK("http://www.otzar.org/book.asp?9343","עקבי יעקב")</f>
        <v>עקבי יעקב</v>
      </c>
    </row>
    <row r="32056" spans="1:6" x14ac:dyDescent="0.2">
      <c r="A32056" t="s">
        <v>50068</v>
      </c>
      <c r="B32056" t="s">
        <v>8465</v>
      </c>
      <c r="C32056" t="s">
        <v>1166</v>
      </c>
      <c r="D32056" t="s">
        <v>9</v>
      </c>
      <c r="E32056" t="s">
        <v>4333</v>
      </c>
      <c r="F32056" s="2" t="str">
        <f>HYPERLINK("http://www.otzar.org/book.asp?51384","עקבי יצחק")</f>
        <v>עקבי יצחק</v>
      </c>
    </row>
    <row r="32057" spans="1:6" x14ac:dyDescent="0.2">
      <c r="A32057" t="s">
        <v>50068</v>
      </c>
      <c r="B32057" t="s">
        <v>50069</v>
      </c>
      <c r="C32057" t="s">
        <v>146</v>
      </c>
      <c r="D32057" t="s">
        <v>52</v>
      </c>
      <c r="E32057" t="s">
        <v>213</v>
      </c>
      <c r="F32057" s="2" t="str">
        <f>HYPERLINK("http://www.otzar.org/book.asp?198611","עקבי יצחק")</f>
        <v>עקבי יצחק</v>
      </c>
    </row>
    <row r="32058" spans="1:6" x14ac:dyDescent="0.2">
      <c r="A32058" t="s">
        <v>50070</v>
      </c>
      <c r="B32058" t="s">
        <v>50071</v>
      </c>
      <c r="C32058" t="s">
        <v>624</v>
      </c>
      <c r="D32058" t="s">
        <v>14</v>
      </c>
      <c r="E32058" t="s">
        <v>2569</v>
      </c>
      <c r="F32058" s="2" t="str">
        <f>HYPERLINK("http://www.otzar.org/book.asp?60099","עקבי ישראל")</f>
        <v>עקבי ישראל</v>
      </c>
    </row>
    <row r="32059" spans="1:6" x14ac:dyDescent="0.2">
      <c r="A32059" t="s">
        <v>50072</v>
      </c>
      <c r="B32059" t="s">
        <v>50073</v>
      </c>
      <c r="C32059" t="s">
        <v>146</v>
      </c>
      <c r="D32059" t="s">
        <v>152</v>
      </c>
      <c r="E32059" t="s">
        <v>3516</v>
      </c>
      <c r="F32059" s="2" t="str">
        <f>HYPERLINK("http://www.otzar.org/book.asp?142093","עקבי מועד")</f>
        <v>עקבי מועד</v>
      </c>
    </row>
    <row r="32060" spans="1:6" x14ac:dyDescent="0.2">
      <c r="A32060" t="s">
        <v>50074</v>
      </c>
      <c r="B32060" t="s">
        <v>6465</v>
      </c>
      <c r="C32060" t="s">
        <v>1437</v>
      </c>
      <c r="D32060" t="s">
        <v>283</v>
      </c>
      <c r="E32060" t="s">
        <v>674</v>
      </c>
      <c r="F32060" s="2" t="str">
        <f>HYPERLINK("http://www.otzar.org/book.asp?166881","עקבי מצות")</f>
        <v>עקבי מצות</v>
      </c>
    </row>
    <row r="32061" spans="1:6" x14ac:dyDescent="0.2">
      <c r="A32061" t="s">
        <v>50075</v>
      </c>
      <c r="B32061" t="s">
        <v>8880</v>
      </c>
      <c r="C32061" t="s">
        <v>366</v>
      </c>
      <c r="D32061" t="s">
        <v>21</v>
      </c>
      <c r="F32061" s="2" t="str">
        <f>HYPERLINK("http://www.otzar.org/book.asp?621785","עקבי פרשת השבוע - 2 כר'")</f>
        <v>עקבי פרשת השבוע - 2 כר'</v>
      </c>
    </row>
    <row r="32062" spans="1:6" x14ac:dyDescent="0.2">
      <c r="A32062" t="s">
        <v>50076</v>
      </c>
      <c r="B32062" t="s">
        <v>50077</v>
      </c>
      <c r="C32062" t="s">
        <v>366</v>
      </c>
      <c r="D32062" t="s">
        <v>52</v>
      </c>
      <c r="E32062" t="s">
        <v>384</v>
      </c>
      <c r="F32062" s="2" t="str">
        <f>HYPERLINK("http://www.otzar.org/book.asp?617010","עקבי צבי")</f>
        <v>עקבי צבי</v>
      </c>
    </row>
    <row r="32063" spans="1:6" x14ac:dyDescent="0.2">
      <c r="A32063" t="s">
        <v>50078</v>
      </c>
      <c r="B32063" t="s">
        <v>50079</v>
      </c>
      <c r="C32063" t="s">
        <v>13</v>
      </c>
      <c r="D32063" t="s">
        <v>152</v>
      </c>
      <c r="E32063" t="s">
        <v>15</v>
      </c>
      <c r="F32063" s="2" t="str">
        <f>HYPERLINK("http://www.otzar.org/book.asp?199396","עקבי שלום - פרק מתוך המספיק לעובדי ה', תשו' ראב""ם, פי' משנ""ת לר' סעיד ן' דוד עדנ")</f>
        <v>עקבי שלום - פרק מתוך המספיק לעובדי ה', תשו' ראב"ם, פי' משנ"ת לר' סעיד ן' דוד עדנ</v>
      </c>
    </row>
    <row r="32064" spans="1:6" x14ac:dyDescent="0.2">
      <c r="A32064" t="s">
        <v>50080</v>
      </c>
      <c r="B32064" t="s">
        <v>50081</v>
      </c>
      <c r="C32064" t="s">
        <v>146</v>
      </c>
      <c r="D32064" t="s">
        <v>90</v>
      </c>
      <c r="E32064" t="s">
        <v>50082</v>
      </c>
      <c r="F32064" s="2" t="str">
        <f>HYPERLINK("http://www.otzar.org/book.asp?64222","עקבי שלום")</f>
        <v>עקבי שלום</v>
      </c>
    </row>
    <row r="32065" spans="1:6" x14ac:dyDescent="0.2">
      <c r="A32065" t="s">
        <v>50083</v>
      </c>
      <c r="B32065" t="s">
        <v>2697</v>
      </c>
      <c r="C32065" t="s">
        <v>777</v>
      </c>
      <c r="D32065" t="s">
        <v>27</v>
      </c>
      <c r="E32065" t="s">
        <v>213</v>
      </c>
      <c r="F32065" s="2" t="str">
        <f>HYPERLINK("http://www.otzar.org/book.asp?14684","עקבתא דמשיחא")</f>
        <v>עקבתא דמשיחא</v>
      </c>
    </row>
    <row r="32066" spans="1:6" x14ac:dyDescent="0.2">
      <c r="A32066" t="s">
        <v>50084</v>
      </c>
      <c r="B32066" t="s">
        <v>50085</v>
      </c>
      <c r="C32066" t="s">
        <v>3106</v>
      </c>
      <c r="D32066" t="s">
        <v>27</v>
      </c>
      <c r="E32066" t="s">
        <v>140</v>
      </c>
      <c r="F32066" s="2" t="str">
        <f>HYPERLINK("http://www.otzar.org/book.asp?7410","עקדת יצחק")</f>
        <v>עקדת יצחק</v>
      </c>
    </row>
    <row r="32067" spans="1:6" x14ac:dyDescent="0.2">
      <c r="A32067" t="s">
        <v>50086</v>
      </c>
      <c r="B32067" t="s">
        <v>25131</v>
      </c>
      <c r="C32067" t="s">
        <v>4741</v>
      </c>
      <c r="D32067" t="s">
        <v>49</v>
      </c>
      <c r="F32067" s="2" t="str">
        <f>HYPERLINK("http://www.otzar.org/book.asp?152813","עקדת יצחק - 8 כר'")</f>
        <v>עקדת יצחק - 8 כר'</v>
      </c>
    </row>
    <row r="32068" spans="1:6" x14ac:dyDescent="0.2">
      <c r="A32068" t="s">
        <v>50087</v>
      </c>
      <c r="B32068" t="s">
        <v>50088</v>
      </c>
      <c r="C32068" t="s">
        <v>13</v>
      </c>
      <c r="D32068" t="s">
        <v>14</v>
      </c>
      <c r="F32068" s="2" t="str">
        <f>HYPERLINK("http://www.otzar.org/book.asp?608743","עקדת משה - 5 כר'")</f>
        <v>עקדת משה - 5 כר'</v>
      </c>
    </row>
    <row r="32069" spans="1:6" x14ac:dyDescent="0.2">
      <c r="A32069" t="s">
        <v>50089</v>
      </c>
      <c r="B32069" t="s">
        <v>50090</v>
      </c>
      <c r="C32069" t="s">
        <v>427</v>
      </c>
      <c r="D32069" t="s">
        <v>52</v>
      </c>
      <c r="E32069" t="s">
        <v>144</v>
      </c>
      <c r="F32069" s="2" t="str">
        <f>HYPERLINK("http://www.otzar.org/book.asp?84162","עקידות יצחק")</f>
        <v>עקידות יצחק</v>
      </c>
    </row>
    <row r="32070" spans="1:6" x14ac:dyDescent="0.2">
      <c r="A32070" t="s">
        <v>50091</v>
      </c>
      <c r="B32070" t="s">
        <v>25131</v>
      </c>
      <c r="C32070" t="s">
        <v>37</v>
      </c>
      <c r="D32070" t="s">
        <v>14</v>
      </c>
      <c r="E32070" t="s">
        <v>158</v>
      </c>
      <c r="F32070" s="2" t="str">
        <f>HYPERLINK("http://www.otzar.org/book.asp?183157","עקידת יצחק &lt;מהדורה חדשה&gt; - 6 כר'")</f>
        <v>עקידת יצחק &lt;מהדורה חדשה&gt; - 6 כר'</v>
      </c>
    </row>
    <row r="32071" spans="1:6" x14ac:dyDescent="0.2">
      <c r="A32071" t="s">
        <v>50092</v>
      </c>
      <c r="B32071" t="s">
        <v>18168</v>
      </c>
      <c r="C32071" t="s">
        <v>189</v>
      </c>
      <c r="D32071" t="s">
        <v>52</v>
      </c>
      <c r="E32071" t="s">
        <v>2071</v>
      </c>
      <c r="F32071" s="2" t="str">
        <f>HYPERLINK("http://www.otzar.org/book.asp?144952","עקידת יצחק")</f>
        <v>עקידת יצחק</v>
      </c>
    </row>
    <row r="32072" spans="1:6" x14ac:dyDescent="0.2">
      <c r="A32072" t="s">
        <v>50092</v>
      </c>
      <c r="B32072" t="s">
        <v>36590</v>
      </c>
      <c r="C32072" t="s">
        <v>313</v>
      </c>
      <c r="D32072" t="s">
        <v>52</v>
      </c>
      <c r="E32072" t="s">
        <v>144</v>
      </c>
      <c r="F32072" s="2" t="str">
        <f>HYPERLINK("http://www.otzar.org/book.asp?62982","עקידת יצחק")</f>
        <v>עקידת יצחק</v>
      </c>
    </row>
    <row r="32073" spans="1:6" x14ac:dyDescent="0.2">
      <c r="A32073" t="s">
        <v>50092</v>
      </c>
      <c r="B32073" t="s">
        <v>552</v>
      </c>
      <c r="C32073" t="s">
        <v>454</v>
      </c>
      <c r="D32073" t="s">
        <v>50093</v>
      </c>
      <c r="F32073" s="2" t="str">
        <f>HYPERLINK("http://www.otzar.org/book.asp?163795","עקידת יצחק")</f>
        <v>עקידת יצחק</v>
      </c>
    </row>
    <row r="32074" spans="1:6" x14ac:dyDescent="0.2">
      <c r="A32074" t="s">
        <v>50094</v>
      </c>
      <c r="B32074" t="s">
        <v>25131</v>
      </c>
      <c r="C32074" t="s">
        <v>5721</v>
      </c>
      <c r="D32074" t="s">
        <v>1422</v>
      </c>
      <c r="E32074" t="s">
        <v>158</v>
      </c>
      <c r="F32074" s="2" t="str">
        <f>HYPERLINK("http://www.otzar.org/book.asp?179845","עקידת יצחק - 6 כר'")</f>
        <v>עקידת יצחק - 6 כר'</v>
      </c>
    </row>
    <row r="32075" spans="1:6" x14ac:dyDescent="0.2">
      <c r="A32075" t="s">
        <v>50092</v>
      </c>
      <c r="B32075" t="s">
        <v>50095</v>
      </c>
      <c r="C32075" t="s">
        <v>946</v>
      </c>
      <c r="D32075" t="s">
        <v>412</v>
      </c>
      <c r="E32075" t="s">
        <v>1296</v>
      </c>
      <c r="F32075" s="2" t="str">
        <f>HYPERLINK("http://www.otzar.org/book.asp?103650","עקידת יצחק")</f>
        <v>עקידת יצחק</v>
      </c>
    </row>
    <row r="32076" spans="1:6" x14ac:dyDescent="0.2">
      <c r="A32076" t="s">
        <v>50096</v>
      </c>
      <c r="B32076" t="s">
        <v>50097</v>
      </c>
      <c r="C32076" t="s">
        <v>1981</v>
      </c>
      <c r="D32076" t="s">
        <v>32688</v>
      </c>
      <c r="E32076" t="s">
        <v>733</v>
      </c>
      <c r="F32076" s="2" t="str">
        <f>HYPERLINK("http://www.otzar.org/book.asp?147340","עקסראקט מפראטאקאל של המדינה יצ""ו")</f>
        <v>עקסראקט מפראטאקאל של המדינה יצ"ו</v>
      </c>
    </row>
    <row r="32077" spans="1:6" x14ac:dyDescent="0.2">
      <c r="A32077" t="s">
        <v>50098</v>
      </c>
      <c r="B32077" t="s">
        <v>19062</v>
      </c>
      <c r="C32077" t="s">
        <v>547</v>
      </c>
      <c r="D32077" t="s">
        <v>283</v>
      </c>
      <c r="E32077" t="s">
        <v>30326</v>
      </c>
      <c r="F32077" s="2" t="str">
        <f>HYPERLINK("http://www.otzar.org/book.asp?103649","עקר העקרים")</f>
        <v>עקר העקרים</v>
      </c>
    </row>
    <row r="32078" spans="1:6" x14ac:dyDescent="0.2">
      <c r="A32078" t="s">
        <v>50099</v>
      </c>
      <c r="B32078" t="s">
        <v>27525</v>
      </c>
      <c r="C32078" t="s">
        <v>189</v>
      </c>
      <c r="D32078" t="s">
        <v>5421</v>
      </c>
      <c r="E32078" t="s">
        <v>246</v>
      </c>
      <c r="F32078" s="2" t="str">
        <f>HYPERLINK("http://www.otzar.org/book.asp?150186","ערב פסח שחל בשבת")</f>
        <v>ערב פסח שחל בשבת</v>
      </c>
    </row>
    <row r="32079" spans="1:6" x14ac:dyDescent="0.2">
      <c r="A32079" t="s">
        <v>50100</v>
      </c>
      <c r="B32079" t="s">
        <v>15708</v>
      </c>
      <c r="C32079" t="s">
        <v>17</v>
      </c>
      <c r="D32079" t="s">
        <v>14</v>
      </c>
      <c r="E32079" t="s">
        <v>130</v>
      </c>
      <c r="F32079" s="2" t="str">
        <f>HYPERLINK("http://www.otzar.org/book.asp?23035","ערב פסח שחל להיות בשבת")</f>
        <v>ערב פסח שחל להיות בשבת</v>
      </c>
    </row>
    <row r="32080" spans="1:6" x14ac:dyDescent="0.2">
      <c r="A32080" t="s">
        <v>50101</v>
      </c>
      <c r="B32080" t="s">
        <v>50102</v>
      </c>
      <c r="C32080" t="s">
        <v>429</v>
      </c>
      <c r="D32080" t="s">
        <v>212</v>
      </c>
      <c r="E32080" t="s">
        <v>1517</v>
      </c>
      <c r="F32080" s="2" t="str">
        <f>HYPERLINK("http://www.otzar.org/book.asp?189319","ערב פסח")</f>
        <v>ערב פסח</v>
      </c>
    </row>
    <row r="32081" spans="1:6" x14ac:dyDescent="0.2">
      <c r="A32081" t="s">
        <v>50103</v>
      </c>
      <c r="B32081" t="s">
        <v>7899</v>
      </c>
      <c r="C32081" t="s">
        <v>103</v>
      </c>
      <c r="D32081" t="s">
        <v>52</v>
      </c>
      <c r="E32081" t="s">
        <v>158</v>
      </c>
      <c r="F32081" s="2" t="str">
        <f>HYPERLINK("http://www.otzar.org/book.asp?146450","ערבי נחל השלם &lt;מהדורת אייכן&gt; - 2 כר'")</f>
        <v>ערבי נחל השלם &lt;מהדורת אייכן&gt; - 2 כר'</v>
      </c>
    </row>
    <row r="32082" spans="1:6" x14ac:dyDescent="0.2">
      <c r="A32082" t="s">
        <v>50104</v>
      </c>
      <c r="B32082" t="s">
        <v>7899</v>
      </c>
      <c r="C32082" t="s">
        <v>767</v>
      </c>
      <c r="D32082" t="s">
        <v>52</v>
      </c>
      <c r="E32082" t="s">
        <v>158</v>
      </c>
      <c r="F32082" s="2" t="str">
        <f>HYPERLINK("http://www.otzar.org/book.asp?144925","ערבי נחל השלם &lt;מהדורת ס.ל.א&gt; - 2 כר'")</f>
        <v>ערבי נחל השלם &lt;מהדורת ס.ל.א&gt; - 2 כר'</v>
      </c>
    </row>
    <row r="32083" spans="1:6" x14ac:dyDescent="0.2">
      <c r="A32083" t="s">
        <v>50105</v>
      </c>
      <c r="B32083" t="s">
        <v>7899</v>
      </c>
      <c r="C32083" t="s">
        <v>1228</v>
      </c>
      <c r="D32083" t="s">
        <v>283</v>
      </c>
      <c r="E32083" t="s">
        <v>474</v>
      </c>
      <c r="F32083" s="2" t="str">
        <f>HYPERLINK("http://www.otzar.org/book.asp?10223","ערבי נחל - 2 כר'")</f>
        <v>ערבי נחל - 2 כר'</v>
      </c>
    </row>
    <row r="32084" spans="1:6" x14ac:dyDescent="0.2">
      <c r="A32084" t="s">
        <v>50106</v>
      </c>
      <c r="B32084" t="s">
        <v>50107</v>
      </c>
      <c r="C32084" t="s">
        <v>1448</v>
      </c>
      <c r="D32084" t="s">
        <v>52</v>
      </c>
      <c r="E32084" t="s">
        <v>1185</v>
      </c>
      <c r="F32084" s="2" t="str">
        <f>HYPERLINK("http://www.otzar.org/book.asp?615641","ערבי נחל")</f>
        <v>ערבי נחל</v>
      </c>
    </row>
    <row r="32085" spans="1:6" x14ac:dyDescent="0.2">
      <c r="A32085" t="s">
        <v>50108</v>
      </c>
      <c r="B32085" t="s">
        <v>49830</v>
      </c>
      <c r="C32085" t="s">
        <v>27725</v>
      </c>
      <c r="D32085" t="s">
        <v>16802</v>
      </c>
      <c r="E32085" t="s">
        <v>104</v>
      </c>
      <c r="F32085" s="2" t="str">
        <f>HYPERLINK("http://www.otzar.org/book.asp?24966","ערבי נחל - א")</f>
        <v>ערבי נחל - א</v>
      </c>
    </row>
    <row r="32086" spans="1:6" x14ac:dyDescent="0.2">
      <c r="A32086" t="s">
        <v>50109</v>
      </c>
      <c r="B32086" t="s">
        <v>24736</v>
      </c>
      <c r="C32086" t="s">
        <v>2870</v>
      </c>
      <c r="D32086" t="s">
        <v>1889</v>
      </c>
      <c r="E32086" t="s">
        <v>246</v>
      </c>
      <c r="F32086" s="2" t="str">
        <f>HYPERLINK("http://www.otzar.org/book.asp?20512","ערבי פסחים")</f>
        <v>ערבי פסחים</v>
      </c>
    </row>
    <row r="32087" spans="1:6" x14ac:dyDescent="0.2">
      <c r="A32087" t="s">
        <v>50110</v>
      </c>
      <c r="B32087" t="s">
        <v>50111</v>
      </c>
      <c r="C32087" t="s">
        <v>6062</v>
      </c>
      <c r="D32087" t="s">
        <v>4288</v>
      </c>
      <c r="E32087" t="s">
        <v>674</v>
      </c>
      <c r="F32087" s="2" t="str">
        <f>HYPERLINK("http://www.otzar.org/book.asp?147291","ערוגה קטנה")</f>
        <v>ערוגה קטנה</v>
      </c>
    </row>
    <row r="32088" spans="1:6" x14ac:dyDescent="0.2">
      <c r="A32088" t="s">
        <v>50112</v>
      </c>
      <c r="B32088" t="s">
        <v>50113</v>
      </c>
      <c r="C32088" t="s">
        <v>600</v>
      </c>
      <c r="D32088" t="s">
        <v>56</v>
      </c>
      <c r="E32088" t="s">
        <v>172</v>
      </c>
      <c r="F32088" s="2" t="str">
        <f>HYPERLINK("http://www.otzar.org/book.asp?8324","ערוגות הבושם")</f>
        <v>ערוגות הבושם</v>
      </c>
    </row>
    <row r="32089" spans="1:6" x14ac:dyDescent="0.2">
      <c r="A32089" t="s">
        <v>50112</v>
      </c>
      <c r="B32089" t="s">
        <v>43583</v>
      </c>
      <c r="C32089" t="s">
        <v>1208</v>
      </c>
      <c r="D32089" t="s">
        <v>118</v>
      </c>
      <c r="E32089" t="s">
        <v>579</v>
      </c>
      <c r="F32089" s="2" t="str">
        <f>HYPERLINK("http://www.otzar.org/book.asp?64218","ערוגות הבושם")</f>
        <v>ערוגות הבושם</v>
      </c>
    </row>
    <row r="32090" spans="1:6" x14ac:dyDescent="0.2">
      <c r="A32090" t="s">
        <v>50114</v>
      </c>
      <c r="B32090" t="s">
        <v>489</v>
      </c>
      <c r="C32090" t="s">
        <v>313</v>
      </c>
      <c r="D32090" t="s">
        <v>14</v>
      </c>
      <c r="E32090" t="s">
        <v>202</v>
      </c>
      <c r="F32090" s="2" t="str">
        <f>HYPERLINK("http://www.otzar.org/book.asp?145601","ערוגות הבושם - 6 כר'")</f>
        <v>ערוגות הבושם - 6 כר'</v>
      </c>
    </row>
    <row r="32091" spans="1:6" x14ac:dyDescent="0.2">
      <c r="A32091" t="s">
        <v>50115</v>
      </c>
      <c r="B32091" t="s">
        <v>50116</v>
      </c>
      <c r="C32091" t="s">
        <v>1437</v>
      </c>
      <c r="D32091" t="s">
        <v>855</v>
      </c>
      <c r="E32091" t="s">
        <v>22251</v>
      </c>
      <c r="F32091" s="2" t="str">
        <f>HYPERLINK("http://www.otzar.org/book.asp?102584","ערוגת הבושם")</f>
        <v>ערוגת הבושם</v>
      </c>
    </row>
    <row r="32092" spans="1:6" x14ac:dyDescent="0.2">
      <c r="A32092" t="s">
        <v>50117</v>
      </c>
      <c r="B32092" t="s">
        <v>50118</v>
      </c>
      <c r="C32092" t="s">
        <v>411</v>
      </c>
      <c r="D32092" t="s">
        <v>14</v>
      </c>
      <c r="E32092" t="s">
        <v>158</v>
      </c>
      <c r="F32092" s="2" t="str">
        <f>HYPERLINK("http://www.otzar.org/book.asp?620872","ערוגת הבושם - 7 כר'")</f>
        <v>ערוגת הבושם - 7 כר'</v>
      </c>
    </row>
    <row r="32093" spans="1:6" x14ac:dyDescent="0.2">
      <c r="A32093" t="s">
        <v>50119</v>
      </c>
      <c r="B32093" t="s">
        <v>50120</v>
      </c>
      <c r="C32093" t="s">
        <v>888</v>
      </c>
      <c r="D32093" t="s">
        <v>27</v>
      </c>
      <c r="E32093" t="s">
        <v>2879</v>
      </c>
      <c r="F32093" s="2" t="str">
        <f>HYPERLINK("http://www.otzar.org/book.asp?19415","ערוגת הבושם - 2 כר'")</f>
        <v>ערוגת הבושם - 2 כר'</v>
      </c>
    </row>
    <row r="32094" spans="1:6" x14ac:dyDescent="0.2">
      <c r="A32094" t="s">
        <v>50115</v>
      </c>
      <c r="B32094" t="s">
        <v>40893</v>
      </c>
      <c r="C32094" t="s">
        <v>4266</v>
      </c>
      <c r="D32094" t="s">
        <v>280</v>
      </c>
      <c r="F32094" s="2" t="str">
        <f>HYPERLINK("http://www.otzar.org/book.asp?152808","ערוגת הבושם")</f>
        <v>ערוגת הבושם</v>
      </c>
    </row>
    <row r="32095" spans="1:6" x14ac:dyDescent="0.2">
      <c r="A32095" t="s">
        <v>50115</v>
      </c>
      <c r="B32095" t="s">
        <v>15103</v>
      </c>
      <c r="C32095" t="s">
        <v>71</v>
      </c>
      <c r="D32095" t="s">
        <v>721</v>
      </c>
      <c r="E32095" t="s">
        <v>674</v>
      </c>
      <c r="F32095" s="2" t="str">
        <f>HYPERLINK("http://www.otzar.org/book.asp?174502","ערוגת הבושם")</f>
        <v>ערוגת הבושם</v>
      </c>
    </row>
    <row r="32096" spans="1:6" x14ac:dyDescent="0.2">
      <c r="A32096" t="s">
        <v>50121</v>
      </c>
      <c r="B32096" t="s">
        <v>17409</v>
      </c>
      <c r="C32096" t="s">
        <v>23</v>
      </c>
      <c r="D32096" t="s">
        <v>24835</v>
      </c>
      <c r="E32096" t="s">
        <v>144</v>
      </c>
      <c r="F32096" s="2" t="str">
        <f>HYPERLINK("http://www.otzar.org/book.asp?199701","ערוגת הבשם &lt;חידושים&gt; - א")</f>
        <v>ערוגת הבשם &lt;חידושים&gt; - א</v>
      </c>
    </row>
    <row r="32097" spans="1:6" x14ac:dyDescent="0.2">
      <c r="A32097" t="s">
        <v>50122</v>
      </c>
      <c r="B32097" t="s">
        <v>17409</v>
      </c>
      <c r="C32097" t="s">
        <v>23</v>
      </c>
      <c r="D32097" t="s">
        <v>24835</v>
      </c>
      <c r="E32097" t="s">
        <v>144</v>
      </c>
      <c r="F32097" s="2" t="str">
        <f>HYPERLINK("http://www.otzar.org/book.asp?199702","ערוגת הבשם &lt;מהדורה חדשה&gt;")</f>
        <v>ערוגת הבשם &lt;מהדורה חדשה&gt;</v>
      </c>
    </row>
    <row r="32098" spans="1:6" x14ac:dyDescent="0.2">
      <c r="A32098" t="s">
        <v>50123</v>
      </c>
      <c r="B32098" t="s">
        <v>17409</v>
      </c>
      <c r="C32098" t="s">
        <v>50124</v>
      </c>
      <c r="D32098" t="s">
        <v>49190</v>
      </c>
      <c r="E32098" t="s">
        <v>154</v>
      </c>
      <c r="F32098" s="2" t="str">
        <f>HYPERLINK("http://www.otzar.org/book.asp?9729","ערוגת הבשם &lt;שו""ת&gt; - 3 כר'")</f>
        <v>ערוגת הבשם &lt;שו"ת&gt; - 3 כר'</v>
      </c>
    </row>
    <row r="32099" spans="1:6" x14ac:dyDescent="0.2">
      <c r="A32099" t="s">
        <v>50125</v>
      </c>
      <c r="B32099" t="s">
        <v>50126</v>
      </c>
      <c r="C32099" t="s">
        <v>50127</v>
      </c>
      <c r="D32099" t="s">
        <v>27</v>
      </c>
      <c r="E32099" t="s">
        <v>5144</v>
      </c>
      <c r="F32099" s="2" t="str">
        <f>HYPERLINK("http://www.otzar.org/book.asp?13002","ערוגת הבשם - 4 כר'")</f>
        <v>ערוגת הבשם - 4 כר'</v>
      </c>
    </row>
    <row r="32100" spans="1:6" x14ac:dyDescent="0.2">
      <c r="A32100" t="s">
        <v>50128</v>
      </c>
      <c r="B32100" t="s">
        <v>15261</v>
      </c>
      <c r="C32100" t="s">
        <v>50129</v>
      </c>
      <c r="D32100" t="s">
        <v>49</v>
      </c>
      <c r="E32100" t="s">
        <v>104</v>
      </c>
      <c r="F32100" s="2" t="str">
        <f>HYPERLINK("http://www.otzar.org/book.asp?100609","ערוגת הבשם")</f>
        <v>ערוגת הבשם</v>
      </c>
    </row>
    <row r="32101" spans="1:6" x14ac:dyDescent="0.2">
      <c r="A32101" t="s">
        <v>50130</v>
      </c>
      <c r="B32101" t="s">
        <v>50118</v>
      </c>
      <c r="C32101" t="s">
        <v>37</v>
      </c>
      <c r="D32101" t="s">
        <v>14</v>
      </c>
      <c r="E32101" t="s">
        <v>15</v>
      </c>
      <c r="F32101" s="2" t="str">
        <f>HYPERLINK("http://www.otzar.org/book.asp?630105","ערוגת הבשם - 2 כר'")</f>
        <v>ערוגת הבשם - 2 כר'</v>
      </c>
    </row>
    <row r="32102" spans="1:6" x14ac:dyDescent="0.2">
      <c r="A32102" t="s">
        <v>50131</v>
      </c>
      <c r="B32102" t="s">
        <v>17409</v>
      </c>
      <c r="C32102" t="s">
        <v>812</v>
      </c>
      <c r="D32102" t="s">
        <v>974</v>
      </c>
      <c r="E32102" t="s">
        <v>144</v>
      </c>
      <c r="F32102" s="2" t="str">
        <f>HYPERLINK("http://www.otzar.org/book.asp?25563","ערוגת הבשם - 7 כר'")</f>
        <v>ערוגת הבשם - 7 כר'</v>
      </c>
    </row>
    <row r="32103" spans="1:6" x14ac:dyDescent="0.2">
      <c r="A32103" t="s">
        <v>50128</v>
      </c>
      <c r="B32103" t="s">
        <v>4785</v>
      </c>
      <c r="C32103" t="s">
        <v>366</v>
      </c>
      <c r="D32103" t="s">
        <v>52</v>
      </c>
      <c r="E32103" t="s">
        <v>1164</v>
      </c>
      <c r="F32103" s="2" t="str">
        <f>HYPERLINK("http://www.otzar.org/book.asp?615962","ערוגת הבשם")</f>
        <v>ערוגת הבשם</v>
      </c>
    </row>
    <row r="32104" spans="1:6" x14ac:dyDescent="0.2">
      <c r="A32104" t="s">
        <v>50128</v>
      </c>
      <c r="B32104" t="s">
        <v>50132</v>
      </c>
      <c r="C32104" t="s">
        <v>1570</v>
      </c>
      <c r="D32104" t="s">
        <v>486</v>
      </c>
      <c r="E32104" t="s">
        <v>202</v>
      </c>
      <c r="F32104" s="2" t="str">
        <f>HYPERLINK("http://www.otzar.org/book.asp?17438","ערוגת הבשם")</f>
        <v>ערוגת הבשם</v>
      </c>
    </row>
    <row r="32105" spans="1:6" x14ac:dyDescent="0.2">
      <c r="A32105" t="s">
        <v>50133</v>
      </c>
      <c r="B32105" t="s">
        <v>50134</v>
      </c>
      <c r="C32105" t="s">
        <v>168</v>
      </c>
      <c r="D32105" t="s">
        <v>14</v>
      </c>
      <c r="E32105" t="s">
        <v>158</v>
      </c>
      <c r="F32105" s="2" t="str">
        <f>HYPERLINK("http://www.otzar.org/book.asp?623960","ערוך החדש  - ערוך הקצר - זכר רב")</f>
        <v>ערוך החדש  - ערוך הקצר - זכר רב</v>
      </c>
    </row>
    <row r="32106" spans="1:6" x14ac:dyDescent="0.2">
      <c r="A32106" t="s">
        <v>50135</v>
      </c>
      <c r="B32106" t="s">
        <v>37716</v>
      </c>
      <c r="C32106" t="s">
        <v>23</v>
      </c>
      <c r="D32106" t="s">
        <v>486</v>
      </c>
      <c r="E32106" t="s">
        <v>148</v>
      </c>
      <c r="F32106" s="2" t="str">
        <f>HYPERLINK("http://www.otzar.org/book.asp?188799","ערוך המשפט - 5 כר'")</f>
        <v>ערוך המשפט - 5 כר'</v>
      </c>
    </row>
    <row r="32107" spans="1:6" x14ac:dyDescent="0.2">
      <c r="A32107" t="s">
        <v>50136</v>
      </c>
      <c r="B32107" t="s">
        <v>20565</v>
      </c>
      <c r="C32107" t="s">
        <v>4707</v>
      </c>
      <c r="D32107" t="s">
        <v>744</v>
      </c>
      <c r="E32107" t="s">
        <v>144</v>
      </c>
      <c r="F32107" s="2" t="str">
        <f>HYPERLINK("http://www.otzar.org/book.asp?169800","ערוך הקצור")</f>
        <v>ערוך הקצור</v>
      </c>
    </row>
    <row r="32108" spans="1:6" x14ac:dyDescent="0.2">
      <c r="A32108" t="s">
        <v>50137</v>
      </c>
      <c r="B32108" t="s">
        <v>17500</v>
      </c>
      <c r="C32108" t="s">
        <v>888</v>
      </c>
      <c r="D32108" t="s">
        <v>225</v>
      </c>
      <c r="E32108" t="s">
        <v>172</v>
      </c>
      <c r="F32108" s="2" t="str">
        <f>HYPERLINK("http://www.otzar.org/book.asp?105788","ערוך השלחן - 9 כר'")</f>
        <v>ערוך השלחן - 9 כר'</v>
      </c>
    </row>
    <row r="32109" spans="1:6" x14ac:dyDescent="0.2">
      <c r="A32109" t="s">
        <v>50138</v>
      </c>
      <c r="B32109" t="s">
        <v>10680</v>
      </c>
      <c r="C32109" t="s">
        <v>1278</v>
      </c>
      <c r="D32109" t="s">
        <v>42</v>
      </c>
      <c r="E32109" t="s">
        <v>933</v>
      </c>
      <c r="F32109" s="2" t="str">
        <f>HYPERLINK("http://www.otzar.org/book.asp?105633","ערוך לנר &lt;עיטור בכורים&gt; - סוכה")</f>
        <v>ערוך לנר &lt;עיטור בכורים&gt; - סוכה</v>
      </c>
    </row>
    <row r="32110" spans="1:6" x14ac:dyDescent="0.2">
      <c r="A32110" t="s">
        <v>50139</v>
      </c>
      <c r="B32110" t="s">
        <v>10680</v>
      </c>
      <c r="C32110" t="s">
        <v>103</v>
      </c>
      <c r="D32110" t="s">
        <v>52</v>
      </c>
      <c r="E32110" t="s">
        <v>933</v>
      </c>
      <c r="F32110" s="2" t="str">
        <f>HYPERLINK("http://www.otzar.org/book.asp?21854","ערוך לנר המפואר - 4 כר'")</f>
        <v>ערוך לנר המפואר - 4 כר'</v>
      </c>
    </row>
    <row r="32111" spans="1:6" x14ac:dyDescent="0.2">
      <c r="A32111" t="s">
        <v>50140</v>
      </c>
      <c r="B32111" t="s">
        <v>10680</v>
      </c>
      <c r="C32111" t="s">
        <v>473</v>
      </c>
      <c r="D32111" t="s">
        <v>225</v>
      </c>
      <c r="E32111" t="s">
        <v>144</v>
      </c>
      <c r="F32111" s="2" t="str">
        <f>HYPERLINK("http://www.otzar.org/book.asp?105634","ערוך לנר - 4 כר'")</f>
        <v>ערוך לנר - 4 כר'</v>
      </c>
    </row>
    <row r="32112" spans="1:6" x14ac:dyDescent="0.2">
      <c r="A32112" t="s">
        <v>50141</v>
      </c>
      <c r="B32112" t="s">
        <v>50142</v>
      </c>
      <c r="C32112" t="s">
        <v>950</v>
      </c>
      <c r="D32112" t="s">
        <v>56</v>
      </c>
      <c r="E32112" t="s">
        <v>158</v>
      </c>
      <c r="F32112" s="2" t="str">
        <f>HYPERLINK("http://www.otzar.org/book.asp?25253","ערי יהודה")</f>
        <v>ערי יהודה</v>
      </c>
    </row>
    <row r="32113" spans="1:6" x14ac:dyDescent="0.2">
      <c r="A32113" t="s">
        <v>50143</v>
      </c>
      <c r="B32113" t="s">
        <v>39868</v>
      </c>
      <c r="C32113" t="s">
        <v>37</v>
      </c>
      <c r="D32113" t="s">
        <v>21</v>
      </c>
      <c r="E32113" t="s">
        <v>104</v>
      </c>
      <c r="F32113" s="2" t="str">
        <f>HYPERLINK("http://www.otzar.org/book.asp?191288","ערי נחלתינו")</f>
        <v>ערי נחלתינו</v>
      </c>
    </row>
    <row r="32114" spans="1:6" x14ac:dyDescent="0.2">
      <c r="A32114" t="s">
        <v>50144</v>
      </c>
      <c r="B32114" t="s">
        <v>50145</v>
      </c>
      <c r="C32114" t="s">
        <v>17</v>
      </c>
      <c r="D32114" t="s">
        <v>14</v>
      </c>
      <c r="E32114" t="s">
        <v>186</v>
      </c>
      <c r="F32114" s="2" t="str">
        <f>HYPERLINK("http://www.otzar.org/book.asp?152262","עריבי מיא - על מסכת עירובין")</f>
        <v>עריבי מיא - על מסכת עירובין</v>
      </c>
    </row>
    <row r="32115" spans="1:6" x14ac:dyDescent="0.2">
      <c r="A32115" t="s">
        <v>50146</v>
      </c>
      <c r="B32115" t="s">
        <v>39594</v>
      </c>
      <c r="C32115" t="s">
        <v>111</v>
      </c>
      <c r="D32115" t="s">
        <v>14</v>
      </c>
      <c r="E32115" t="s">
        <v>144</v>
      </c>
      <c r="F32115" s="2" t="str">
        <f>HYPERLINK("http://www.otzar.org/book.asp?623547","עריכת ברכות - 2 כר'")</f>
        <v>עריכת ברכות - 2 כר'</v>
      </c>
    </row>
    <row r="32116" spans="1:6" x14ac:dyDescent="0.2">
      <c r="A32116" t="s">
        <v>50147</v>
      </c>
      <c r="B32116" t="s">
        <v>11539</v>
      </c>
      <c r="C32116" t="s">
        <v>37</v>
      </c>
      <c r="D32116" t="s">
        <v>21</v>
      </c>
      <c r="F32116" s="2" t="str">
        <f>HYPERLINK("http://www.otzar.org/book.asp?192976","עריכת המשנה התוספתא והתלמוד")</f>
        <v>עריכת המשנה התוספתא והתלמוד</v>
      </c>
    </row>
    <row r="32117" spans="1:6" x14ac:dyDescent="0.2">
      <c r="A32117" t="s">
        <v>50148</v>
      </c>
      <c r="B32117" t="s">
        <v>39594</v>
      </c>
      <c r="C32117" t="s">
        <v>366</v>
      </c>
      <c r="D32117" t="s">
        <v>14</v>
      </c>
      <c r="E32117" t="s">
        <v>144</v>
      </c>
      <c r="F32117" s="2" t="str">
        <f>HYPERLINK("http://www.otzar.org/book.asp?623549","עריכת יום טוב - 2 כר'")</f>
        <v>עריכת יום טוב - 2 כר'</v>
      </c>
    </row>
    <row r="32118" spans="1:6" x14ac:dyDescent="0.2">
      <c r="A32118" t="s">
        <v>50149</v>
      </c>
      <c r="B32118" t="s">
        <v>50150</v>
      </c>
      <c r="C32118" t="s">
        <v>411</v>
      </c>
      <c r="D32118" t="s">
        <v>412</v>
      </c>
      <c r="E32118" t="s">
        <v>144</v>
      </c>
      <c r="F32118" s="2" t="str">
        <f>HYPERLINK("http://www.otzar.org/book.asp?167949","עריכת נר השלם")</f>
        <v>עריכת נר השלם</v>
      </c>
    </row>
    <row r="32119" spans="1:6" x14ac:dyDescent="0.2">
      <c r="A32119" t="s">
        <v>50151</v>
      </c>
      <c r="B32119" t="s">
        <v>39594</v>
      </c>
      <c r="C32119" t="s">
        <v>244</v>
      </c>
      <c r="D32119" t="s">
        <v>14</v>
      </c>
      <c r="E32119" t="s">
        <v>3516</v>
      </c>
      <c r="F32119" s="2" t="str">
        <f>HYPERLINK("http://www.otzar.org/book.asp?623586","עריכת נר")</f>
        <v>עריכת נר</v>
      </c>
    </row>
    <row r="32120" spans="1:6" x14ac:dyDescent="0.2">
      <c r="A32120" t="s">
        <v>50152</v>
      </c>
      <c r="B32120" t="s">
        <v>15161</v>
      </c>
      <c r="C32120" t="s">
        <v>454</v>
      </c>
      <c r="D32120" t="s">
        <v>52</v>
      </c>
      <c r="E32120" t="s">
        <v>15</v>
      </c>
      <c r="F32120" s="2" t="str">
        <f>HYPERLINK("http://www.otzar.org/book.asp?166020","עריכת שלחן ילקוט חיים - 13 כר'")</f>
        <v>עריכת שלחן ילקוט חיים - 13 כר'</v>
      </c>
    </row>
    <row r="32121" spans="1:6" x14ac:dyDescent="0.2">
      <c r="A32121" t="s">
        <v>50153</v>
      </c>
      <c r="B32121" t="s">
        <v>15161</v>
      </c>
      <c r="C32121" t="s">
        <v>106</v>
      </c>
      <c r="D32121" t="s">
        <v>52</v>
      </c>
      <c r="E32121" t="s">
        <v>1157</v>
      </c>
      <c r="F32121" s="2" t="str">
        <f>HYPERLINK("http://www.otzar.org/book.asp?157503","עריכת שלחן - 2 כר'")</f>
        <v>עריכת שלחן - 2 כר'</v>
      </c>
    </row>
    <row r="32122" spans="1:6" x14ac:dyDescent="0.2">
      <c r="A32122" t="s">
        <v>50154</v>
      </c>
      <c r="B32122" t="s">
        <v>50155</v>
      </c>
      <c r="C32122" t="s">
        <v>985</v>
      </c>
      <c r="D32122" t="s">
        <v>27</v>
      </c>
      <c r="E32122" t="s">
        <v>119</v>
      </c>
      <c r="F32122" s="2" t="str">
        <f>HYPERLINK("http://www.otzar.org/book.asp?61246","ערים ואמהות בישראל - 2 כר'")</f>
        <v>ערים ואמהות בישראל - 2 כר'</v>
      </c>
    </row>
    <row r="32123" spans="1:6" x14ac:dyDescent="0.2">
      <c r="A32123" t="s">
        <v>50156</v>
      </c>
      <c r="B32123" t="s">
        <v>2804</v>
      </c>
      <c r="C32123" t="s">
        <v>1718</v>
      </c>
      <c r="D32123" t="s">
        <v>27</v>
      </c>
      <c r="E32123" t="s">
        <v>508</v>
      </c>
      <c r="F32123" s="2" t="str">
        <f>HYPERLINK("http://www.otzar.org/book.asp?188","ערך דל")</f>
        <v>ערך דל</v>
      </c>
    </row>
    <row r="32124" spans="1:6" x14ac:dyDescent="0.2">
      <c r="A32124" t="s">
        <v>50157</v>
      </c>
      <c r="B32124" t="s">
        <v>50158</v>
      </c>
      <c r="C32124" t="s">
        <v>146</v>
      </c>
      <c r="D32124" t="s">
        <v>52</v>
      </c>
      <c r="E32124" t="s">
        <v>144</v>
      </c>
      <c r="F32124" s="2" t="str">
        <f>HYPERLINK("http://www.otzar.org/book.asp?142298","ערך החיים")</f>
        <v>ערך החיים</v>
      </c>
    </row>
    <row r="32125" spans="1:6" x14ac:dyDescent="0.2">
      <c r="A32125" t="s">
        <v>50159</v>
      </c>
      <c r="B32125" t="s">
        <v>255</v>
      </c>
      <c r="C32125" t="s">
        <v>189</v>
      </c>
      <c r="D32125" t="s">
        <v>14</v>
      </c>
      <c r="E32125" t="s">
        <v>144</v>
      </c>
      <c r="F32125" s="2" t="str">
        <f>HYPERLINK("http://www.otzar.org/book.asp?152694","ערך השבי""ט - ערכין")</f>
        <v>ערך השבי"ט - ערכין</v>
      </c>
    </row>
    <row r="32126" spans="1:6" x14ac:dyDescent="0.2">
      <c r="A32126" t="s">
        <v>50160</v>
      </c>
      <c r="B32126" t="s">
        <v>21859</v>
      </c>
      <c r="C32126" t="s">
        <v>50161</v>
      </c>
      <c r="D32126" t="s">
        <v>212</v>
      </c>
      <c r="E32126" t="s">
        <v>172</v>
      </c>
      <c r="F32126" s="2" t="str">
        <f>HYPERLINK("http://www.otzar.org/book.asp?106384","ערך השלחן - 15 כר'")</f>
        <v>ערך השלחן - 15 כר'</v>
      </c>
    </row>
    <row r="32127" spans="1:6" x14ac:dyDescent="0.2">
      <c r="A32127" t="s">
        <v>50162</v>
      </c>
      <c r="B32127" t="s">
        <v>14042</v>
      </c>
      <c r="C32127" t="s">
        <v>351</v>
      </c>
      <c r="D32127" t="s">
        <v>267</v>
      </c>
      <c r="E32127" t="s">
        <v>172</v>
      </c>
      <c r="F32127" s="2" t="str">
        <f>HYPERLINK("http://www.otzar.org/book.asp?16959","ערך השלחן")</f>
        <v>ערך השלחן</v>
      </c>
    </row>
    <row r="32128" spans="1:6" x14ac:dyDescent="0.2">
      <c r="A32128" t="s">
        <v>50163</v>
      </c>
      <c r="B32128" t="s">
        <v>50134</v>
      </c>
      <c r="C32128" t="s">
        <v>558</v>
      </c>
      <c r="D32128" t="s">
        <v>16023</v>
      </c>
      <c r="E32128" t="s">
        <v>104</v>
      </c>
      <c r="F32128" s="2" t="str">
        <f>HYPERLINK("http://www.otzar.org/book.asp?25575","ערך חיים")</f>
        <v>ערך חיים</v>
      </c>
    </row>
    <row r="32129" spans="1:6" x14ac:dyDescent="0.2">
      <c r="A32129" t="s">
        <v>50164</v>
      </c>
      <c r="B32129" t="s">
        <v>50165</v>
      </c>
      <c r="C32129" t="s">
        <v>111</v>
      </c>
      <c r="D32129" t="s">
        <v>50166</v>
      </c>
      <c r="E32129" t="s">
        <v>144</v>
      </c>
      <c r="F32129" s="2" t="str">
        <f>HYPERLINK("http://www.otzar.org/book.asp?627552","ערך ים")</f>
        <v>ערך ים</v>
      </c>
    </row>
    <row r="32130" spans="1:6" x14ac:dyDescent="0.2">
      <c r="A32130" t="s">
        <v>50167</v>
      </c>
      <c r="B32130" t="s">
        <v>50168</v>
      </c>
      <c r="C32130" t="s">
        <v>13</v>
      </c>
      <c r="D32130" t="s">
        <v>115</v>
      </c>
      <c r="E32130" t="s">
        <v>15</v>
      </c>
      <c r="F32130" s="2" t="str">
        <f>HYPERLINK("http://www.otzar.org/book.asp?154270","ערך יעקב")</f>
        <v>ערך יעקב</v>
      </c>
    </row>
    <row r="32131" spans="1:6" x14ac:dyDescent="0.2">
      <c r="A32131" t="s">
        <v>50167</v>
      </c>
      <c r="B32131" t="s">
        <v>31577</v>
      </c>
      <c r="C32131" t="s">
        <v>151</v>
      </c>
      <c r="D32131" t="s">
        <v>14</v>
      </c>
      <c r="F32131" s="2" t="str">
        <f>HYPERLINK("http://www.otzar.org/book.asp?621627","ערך יעקב")</f>
        <v>ערך יעקב</v>
      </c>
    </row>
    <row r="32132" spans="1:6" x14ac:dyDescent="0.2">
      <c r="A32132" t="s">
        <v>50169</v>
      </c>
      <c r="B32132" t="s">
        <v>50170</v>
      </c>
      <c r="C32132" t="s">
        <v>17</v>
      </c>
      <c r="D32132" t="s">
        <v>14</v>
      </c>
      <c r="E32132" t="s">
        <v>104</v>
      </c>
      <c r="F32132" s="2" t="str">
        <f>HYPERLINK("http://www.otzar.org/book.asp?144081","ערך כסף")</f>
        <v>ערך כסף</v>
      </c>
    </row>
    <row r="32133" spans="1:6" x14ac:dyDescent="0.2">
      <c r="A32133" t="s">
        <v>50171</v>
      </c>
      <c r="B32133" t="s">
        <v>2487</v>
      </c>
      <c r="C32133" t="s">
        <v>15870</v>
      </c>
      <c r="D32133" t="s">
        <v>1490</v>
      </c>
      <c r="E32133" t="s">
        <v>172</v>
      </c>
      <c r="F32133" s="2" t="str">
        <f>HYPERLINK("http://www.otzar.org/book.asp?101764","ערך לחם")</f>
        <v>ערך לחם</v>
      </c>
    </row>
    <row r="32134" spans="1:6" x14ac:dyDescent="0.2">
      <c r="A32134" t="s">
        <v>50172</v>
      </c>
      <c r="B32134" t="s">
        <v>50173</v>
      </c>
      <c r="C32134" t="s">
        <v>189</v>
      </c>
      <c r="D32134" t="s">
        <v>14</v>
      </c>
      <c r="E32134" t="s">
        <v>703</v>
      </c>
      <c r="F32134" s="2" t="str">
        <f>HYPERLINK("http://www.otzar.org/book.asp?50030","ערך לימוד התורה")</f>
        <v>ערך לימוד התורה</v>
      </c>
    </row>
    <row r="32135" spans="1:6" x14ac:dyDescent="0.2">
      <c r="A32135" t="s">
        <v>50174</v>
      </c>
      <c r="B32135" t="s">
        <v>50175</v>
      </c>
      <c r="C32135" t="s">
        <v>1228</v>
      </c>
      <c r="D32135" t="s">
        <v>4269</v>
      </c>
      <c r="E32135" t="s">
        <v>104</v>
      </c>
      <c r="F32135" s="2" t="str">
        <f>HYPERLINK("http://www.otzar.org/book.asp?104544","ערך מלין")</f>
        <v>ערך מלין</v>
      </c>
    </row>
    <row r="32136" spans="1:6" x14ac:dyDescent="0.2">
      <c r="A32136" t="s">
        <v>50176</v>
      </c>
      <c r="B32136" t="s">
        <v>50177</v>
      </c>
      <c r="C32136" t="s">
        <v>496</v>
      </c>
      <c r="D32136" t="s">
        <v>756</v>
      </c>
      <c r="E32136" t="s">
        <v>28293</v>
      </c>
      <c r="F32136" s="2" t="str">
        <f>HYPERLINK("http://www.otzar.org/book.asp?8537","ערך ש""י - 18 כר'")</f>
        <v>ערך ש"י - 18 כר'</v>
      </c>
    </row>
    <row r="32137" spans="1:6" x14ac:dyDescent="0.2">
      <c r="A32137" t="s">
        <v>50178</v>
      </c>
      <c r="B32137" t="s">
        <v>50179</v>
      </c>
      <c r="C32137" t="s">
        <v>547</v>
      </c>
      <c r="D32137" t="s">
        <v>27</v>
      </c>
      <c r="E32137" t="s">
        <v>241</v>
      </c>
      <c r="F32137" s="2" t="str">
        <f>HYPERLINK("http://www.otzar.org/book.asp?28858","ערך שביעית")</f>
        <v>ערך שביעית</v>
      </c>
    </row>
    <row r="32138" spans="1:6" x14ac:dyDescent="0.2">
      <c r="A32138" t="s">
        <v>50180</v>
      </c>
      <c r="B32138" t="s">
        <v>23830</v>
      </c>
      <c r="C32138" t="s">
        <v>68</v>
      </c>
      <c r="D32138" t="s">
        <v>367</v>
      </c>
      <c r="E32138" t="s">
        <v>37140</v>
      </c>
      <c r="F32138" s="2" t="str">
        <f>HYPERLINK("http://www.otzar.org/book.asp?179308","ערך שלם - הוריות, ערכין, שקלים, חלה")</f>
        <v>ערך שלם - הוריות, ערכין, שקלים, חלה</v>
      </c>
    </row>
    <row r="32139" spans="1:6" x14ac:dyDescent="0.2">
      <c r="A32139" t="s">
        <v>50181</v>
      </c>
      <c r="B32139" t="s">
        <v>50182</v>
      </c>
      <c r="E32139" t="s">
        <v>15</v>
      </c>
      <c r="F32139" s="2" t="str">
        <f>HYPERLINK("http://www.otzar.org/book.asp?606116","ערכאות בהלכה")</f>
        <v>ערכאות בהלכה</v>
      </c>
    </row>
    <row r="32140" spans="1:6" x14ac:dyDescent="0.2">
      <c r="A32140" t="s">
        <v>50183</v>
      </c>
      <c r="B32140" t="s">
        <v>12249</v>
      </c>
      <c r="C32140" t="s">
        <v>114</v>
      </c>
      <c r="D32140" t="s">
        <v>52</v>
      </c>
      <c r="E32140" t="s">
        <v>5778</v>
      </c>
      <c r="F32140" s="2" t="str">
        <f>HYPERLINK("http://www.otzar.org/book.asp?171177","ערכו מגן")</f>
        <v>ערכו מגן</v>
      </c>
    </row>
    <row r="32141" spans="1:6" x14ac:dyDescent="0.2">
      <c r="A32141" t="s">
        <v>50184</v>
      </c>
      <c r="B32141" t="s">
        <v>206</v>
      </c>
      <c r="C32141" t="s">
        <v>20</v>
      </c>
      <c r="D32141" t="s">
        <v>90</v>
      </c>
      <c r="E32141" t="s">
        <v>241</v>
      </c>
      <c r="F32141" s="2" t="str">
        <f>HYPERLINK("http://www.otzar.org/book.asp?605117","ערכו של רגע")</f>
        <v>ערכו של רגע</v>
      </c>
    </row>
    <row r="32142" spans="1:6" x14ac:dyDescent="0.2">
      <c r="A32142" t="s">
        <v>50185</v>
      </c>
      <c r="B32142" t="s">
        <v>50186</v>
      </c>
      <c r="C32142" t="s">
        <v>1388</v>
      </c>
      <c r="D32142" t="s">
        <v>216</v>
      </c>
      <c r="E32142" t="s">
        <v>1164</v>
      </c>
      <c r="F32142" s="2" t="str">
        <f>HYPERLINK("http://www.otzar.org/book.asp?105695","ערכון - קובץ להווי ומסורת ישראל - ח")</f>
        <v>ערכון - קובץ להווי ומסורת ישראל - ח</v>
      </c>
    </row>
    <row r="32143" spans="1:6" x14ac:dyDescent="0.2">
      <c r="A32143" t="s">
        <v>50187</v>
      </c>
      <c r="B32143" t="s">
        <v>3454</v>
      </c>
      <c r="C32143" t="s">
        <v>411</v>
      </c>
      <c r="D32143" t="s">
        <v>14</v>
      </c>
      <c r="E32143" t="s">
        <v>213</v>
      </c>
      <c r="F32143" s="2" t="str">
        <f>HYPERLINK("http://www.otzar.org/book.asp?169517","ערכי אמונים")</f>
        <v>ערכי אמונים</v>
      </c>
    </row>
    <row r="32144" spans="1:6" x14ac:dyDescent="0.2">
      <c r="A32144" t="s">
        <v>50188</v>
      </c>
      <c r="B32144" t="s">
        <v>3716</v>
      </c>
      <c r="C32144" t="s">
        <v>334</v>
      </c>
      <c r="D32144" t="s">
        <v>14</v>
      </c>
      <c r="E32144" t="s">
        <v>140</v>
      </c>
      <c r="F32144" s="2" t="str">
        <f>HYPERLINK("http://www.otzar.org/book.asp?150132","ערכי החסידות")</f>
        <v>ערכי החסידות</v>
      </c>
    </row>
    <row r="32145" spans="1:6" x14ac:dyDescent="0.2">
      <c r="A32145" t="s">
        <v>50189</v>
      </c>
      <c r="B32145" t="s">
        <v>2950</v>
      </c>
      <c r="C32145" t="s">
        <v>129</v>
      </c>
      <c r="D32145" t="s">
        <v>14</v>
      </c>
      <c r="E32145" t="s">
        <v>15</v>
      </c>
      <c r="F32145" s="2" t="str">
        <f>HYPERLINK("http://www.otzar.org/book.asp?62586","ערכי היבום והחליצה - מתוך אנציקלופדיה תלמודית")</f>
        <v>ערכי היבום והחליצה - מתוך אנציקלופדיה תלמודית</v>
      </c>
    </row>
    <row r="32146" spans="1:6" x14ac:dyDescent="0.2">
      <c r="A32146" t="s">
        <v>50190</v>
      </c>
      <c r="B32146" t="s">
        <v>23047</v>
      </c>
      <c r="C32146" t="s">
        <v>114</v>
      </c>
      <c r="D32146" t="s">
        <v>52</v>
      </c>
      <c r="E32146" t="s">
        <v>104</v>
      </c>
      <c r="F32146" s="2" t="str">
        <f>HYPERLINK("http://www.otzar.org/book.asp?162709","ערכי הכינויים &lt;מהדורה חדשה&gt;")</f>
        <v>ערכי הכינויים &lt;מהדורה חדשה&gt;</v>
      </c>
    </row>
    <row r="32147" spans="1:6" x14ac:dyDescent="0.2">
      <c r="A32147" t="s">
        <v>50191</v>
      </c>
      <c r="B32147" t="s">
        <v>1314</v>
      </c>
      <c r="C32147" t="s">
        <v>114</v>
      </c>
      <c r="D32147" t="s">
        <v>52</v>
      </c>
      <c r="E32147" t="s">
        <v>104</v>
      </c>
      <c r="F32147" s="2" t="str">
        <f>HYPERLINK("http://www.otzar.org/book.asp?162710","ערכי הכינויים")</f>
        <v>ערכי הכינויים</v>
      </c>
    </row>
    <row r="32148" spans="1:6" x14ac:dyDescent="0.2">
      <c r="A32148" t="s">
        <v>50191</v>
      </c>
      <c r="B32148" t="s">
        <v>23047</v>
      </c>
      <c r="C32148" t="s">
        <v>20</v>
      </c>
      <c r="D32148" t="s">
        <v>2347</v>
      </c>
      <c r="E32148" t="s">
        <v>1438</v>
      </c>
      <c r="F32148" s="2" t="str">
        <f>HYPERLINK("http://www.otzar.org/book.asp?103652","ערכי הכינויים")</f>
        <v>ערכי הכינויים</v>
      </c>
    </row>
    <row r="32149" spans="1:6" x14ac:dyDescent="0.2">
      <c r="A32149" t="s">
        <v>50192</v>
      </c>
      <c r="B32149" t="s">
        <v>45430</v>
      </c>
      <c r="C32149" t="s">
        <v>1535</v>
      </c>
      <c r="D32149" t="s">
        <v>260</v>
      </c>
      <c r="E32149" t="s">
        <v>104</v>
      </c>
      <c r="F32149" s="2" t="str">
        <f>HYPERLINK("http://www.otzar.org/book.asp?150038","ערכי הכנויים &lt;אות א&gt;")</f>
        <v>ערכי הכנויים &lt;אות א&gt;</v>
      </c>
    </row>
    <row r="32150" spans="1:6" x14ac:dyDescent="0.2">
      <c r="A32150" t="s">
        <v>50193</v>
      </c>
      <c r="B32150" t="s">
        <v>45430</v>
      </c>
      <c r="C32150" t="s">
        <v>725</v>
      </c>
      <c r="D32150" t="s">
        <v>1966</v>
      </c>
      <c r="E32150" t="s">
        <v>1211</v>
      </c>
      <c r="F32150" s="2" t="str">
        <f>HYPERLINK("http://www.otzar.org/book.asp?626377","ערכי הכנויים &lt;קב שלום&gt;")</f>
        <v>ערכי הכנויים &lt;קב שלום&gt;</v>
      </c>
    </row>
    <row r="32151" spans="1:6" x14ac:dyDescent="0.2">
      <c r="A32151" t="s">
        <v>50194</v>
      </c>
      <c r="B32151" t="s">
        <v>45430</v>
      </c>
      <c r="C32151" t="s">
        <v>1519</v>
      </c>
      <c r="D32151" t="s">
        <v>403</v>
      </c>
      <c r="E32151" t="s">
        <v>1438</v>
      </c>
      <c r="F32151" s="2" t="str">
        <f>HYPERLINK("http://www.otzar.org/book.asp?148","ערכי הכנויים")</f>
        <v>ערכי הכנויים</v>
      </c>
    </row>
    <row r="32152" spans="1:6" x14ac:dyDescent="0.2">
      <c r="A32152" t="s">
        <v>50195</v>
      </c>
      <c r="B32152" t="s">
        <v>50196</v>
      </c>
      <c r="C32152" t="s">
        <v>1609</v>
      </c>
      <c r="D32152" t="s">
        <v>14</v>
      </c>
      <c r="E32152" t="s">
        <v>803</v>
      </c>
      <c r="F32152" s="2" t="str">
        <f>HYPERLINK("http://www.otzar.org/book.asp?84762","ערכי הלכה")</f>
        <v>ערכי הלכה</v>
      </c>
    </row>
    <row r="32153" spans="1:6" x14ac:dyDescent="0.2">
      <c r="A32153" t="s">
        <v>50197</v>
      </c>
      <c r="B32153" t="s">
        <v>2327</v>
      </c>
      <c r="C32153" t="s">
        <v>558</v>
      </c>
      <c r="D32153" t="s">
        <v>56</v>
      </c>
      <c r="E32153" t="s">
        <v>144</v>
      </c>
      <c r="F32153" s="2" t="str">
        <f>HYPERLINK("http://www.otzar.org/book.asp?104060","ערכי הספיקות")</f>
        <v>ערכי הספיקות</v>
      </c>
    </row>
    <row r="32154" spans="1:6" x14ac:dyDescent="0.2">
      <c r="A32154" t="s">
        <v>50198</v>
      </c>
      <c r="B32154" t="s">
        <v>16819</v>
      </c>
      <c r="C32154" t="s">
        <v>989</v>
      </c>
      <c r="D32154" t="s">
        <v>14</v>
      </c>
      <c r="E32154" t="s">
        <v>140</v>
      </c>
      <c r="F32154" s="2" t="str">
        <f>HYPERLINK("http://www.otzar.org/book.asp?167485","ערכי הקדש")</f>
        <v>ערכי הקדש</v>
      </c>
    </row>
    <row r="32155" spans="1:6" x14ac:dyDescent="0.2">
      <c r="A32155" t="s">
        <v>50199</v>
      </c>
      <c r="B32155" t="s">
        <v>39772</v>
      </c>
      <c r="C32155" t="s">
        <v>176</v>
      </c>
      <c r="D32155" t="s">
        <v>14</v>
      </c>
      <c r="E32155" t="s">
        <v>104</v>
      </c>
      <c r="F32155" s="2" t="str">
        <f>HYPERLINK("http://www.otzar.org/book.asp?176935","ערכי הקודש - 5 כר'")</f>
        <v>ערכי הקודש - 5 כר'</v>
      </c>
    </row>
    <row r="32156" spans="1:6" x14ac:dyDescent="0.2">
      <c r="A32156" t="s">
        <v>50200</v>
      </c>
      <c r="B32156" t="s">
        <v>14654</v>
      </c>
      <c r="C32156" t="s">
        <v>767</v>
      </c>
      <c r="D32156" t="s">
        <v>21</v>
      </c>
      <c r="F32156" s="2" t="str">
        <f>HYPERLINK("http://www.otzar.org/book.asp?197986","ערכי יהושע")</f>
        <v>ערכי יהושע</v>
      </c>
    </row>
    <row r="32157" spans="1:6" x14ac:dyDescent="0.2">
      <c r="A32157" t="s">
        <v>50201</v>
      </c>
      <c r="B32157" t="s">
        <v>2950</v>
      </c>
      <c r="C32157" t="s">
        <v>129</v>
      </c>
      <c r="D32157" t="s">
        <v>14</v>
      </c>
      <c r="E32157" t="s">
        <v>803</v>
      </c>
      <c r="F32157" s="2" t="str">
        <f>HYPERLINK("http://www.otzar.org/book.asp?62585","ערכי מסכת כתובות - מתוך אנציקלופדיה תלמודית")</f>
        <v>ערכי מסכת כתובות - מתוך אנציקלופדיה תלמודית</v>
      </c>
    </row>
    <row r="32158" spans="1:6" x14ac:dyDescent="0.2">
      <c r="A32158" t="s">
        <v>50202</v>
      </c>
      <c r="B32158" t="s">
        <v>2950</v>
      </c>
      <c r="C32158" t="s">
        <v>129</v>
      </c>
      <c r="D32158" t="s">
        <v>14</v>
      </c>
      <c r="E32158" t="s">
        <v>144</v>
      </c>
      <c r="F32158" s="2" t="str">
        <f>HYPERLINK("http://www.otzar.org/book.asp?62589","ערכי מסכת מועד קטן וחגיגה - מתוך אנציקלופדיה תלמודית")</f>
        <v>ערכי מסכת מועד קטן וחגיגה - מתוך אנציקלופדיה תלמודית</v>
      </c>
    </row>
    <row r="32159" spans="1:6" x14ac:dyDescent="0.2">
      <c r="A32159" t="s">
        <v>50203</v>
      </c>
      <c r="B32159" t="s">
        <v>50204</v>
      </c>
      <c r="C32159" t="s">
        <v>3695</v>
      </c>
      <c r="D32159" t="s">
        <v>744</v>
      </c>
      <c r="E32159" t="s">
        <v>144</v>
      </c>
      <c r="F32159" s="2" t="str">
        <f>HYPERLINK("http://www.otzar.org/book.asp?5532","ערכי עלי")</f>
        <v>ערכי עלי</v>
      </c>
    </row>
    <row r="32160" spans="1:6" x14ac:dyDescent="0.2">
      <c r="A32160" t="s">
        <v>50205</v>
      </c>
      <c r="B32160" t="s">
        <v>33135</v>
      </c>
      <c r="C32160" t="s">
        <v>111</v>
      </c>
      <c r="D32160" t="s">
        <v>1156</v>
      </c>
      <c r="F32160" s="2" t="str">
        <f>HYPERLINK("http://www.otzar.org/book.asp?622361","ערכי שושנים")</f>
        <v>ערכי שושנים</v>
      </c>
    </row>
    <row r="32161" spans="1:6" x14ac:dyDescent="0.2">
      <c r="A32161" t="s">
        <v>50206</v>
      </c>
      <c r="B32161" t="s">
        <v>50207</v>
      </c>
      <c r="C32161" t="s">
        <v>523</v>
      </c>
      <c r="D32161" t="s">
        <v>90</v>
      </c>
      <c r="E32161" t="s">
        <v>15</v>
      </c>
      <c r="F32161" s="2" t="str">
        <f>HYPERLINK("http://www.otzar.org/book.asp?623705","ערכי שמיטה")</f>
        <v>ערכי שמיטה</v>
      </c>
    </row>
    <row r="32162" spans="1:6" x14ac:dyDescent="0.2">
      <c r="A32162" t="s">
        <v>50208</v>
      </c>
      <c r="B32162" t="s">
        <v>28925</v>
      </c>
      <c r="C32162" t="s">
        <v>87</v>
      </c>
      <c r="D32162" t="s">
        <v>412</v>
      </c>
      <c r="E32162" t="s">
        <v>104</v>
      </c>
      <c r="F32162" s="2" t="str">
        <f>HYPERLINK("http://www.otzar.org/book.asp?147752","ערכי תנאים ואמוראים - 2 כר'")</f>
        <v>ערכי תנאים ואמוראים - 2 כר'</v>
      </c>
    </row>
    <row r="32163" spans="1:6" x14ac:dyDescent="0.2">
      <c r="A32163" t="s">
        <v>50209</v>
      </c>
      <c r="B32163" t="s">
        <v>16534</v>
      </c>
      <c r="C32163" t="s">
        <v>1609</v>
      </c>
      <c r="D32163" t="s">
        <v>14</v>
      </c>
      <c r="E32163" t="s">
        <v>733</v>
      </c>
      <c r="F32163" s="2" t="str">
        <f>HYPERLINK("http://www.otzar.org/book.asp?12651","ערכים רפואים שבאנציקלופדיה ההלכתית פחד יצחק - תדפיס מ'קורות'")</f>
        <v>ערכים רפואים שבאנציקלופדיה ההלכתית פחד יצחק - תדפיס מ'קורות'</v>
      </c>
    </row>
    <row r="32164" spans="1:6" x14ac:dyDescent="0.2">
      <c r="A32164" t="s">
        <v>50210</v>
      </c>
      <c r="B32164" t="s">
        <v>686</v>
      </c>
      <c r="C32164" t="s">
        <v>146</v>
      </c>
      <c r="D32164" t="s">
        <v>52</v>
      </c>
      <c r="E32164" t="s">
        <v>4333</v>
      </c>
      <c r="F32164" s="2" t="str">
        <f>HYPERLINK("http://www.otzar.org/book.asp?50408","ערמת חטים")</f>
        <v>ערמת חטים</v>
      </c>
    </row>
    <row r="32165" spans="1:6" x14ac:dyDescent="0.2">
      <c r="A32165" t="s">
        <v>50211</v>
      </c>
      <c r="B32165" t="s">
        <v>41425</v>
      </c>
      <c r="C32165" t="s">
        <v>585</v>
      </c>
      <c r="D32165" t="s">
        <v>412</v>
      </c>
      <c r="E32165" t="s">
        <v>104</v>
      </c>
      <c r="F32165" s="2" t="str">
        <f>HYPERLINK("http://www.otzar.org/book.asp?163153","ערשטע אידישע קהלות אין אמעריקא")</f>
        <v>ערשטע אידישע קהלות אין אמעריקא</v>
      </c>
    </row>
    <row r="32166" spans="1:6" x14ac:dyDescent="0.2">
      <c r="A32166" t="s">
        <v>50212</v>
      </c>
      <c r="B32166" t="s">
        <v>9769</v>
      </c>
      <c r="C32166" t="s">
        <v>362</v>
      </c>
      <c r="D32166" t="s">
        <v>283</v>
      </c>
      <c r="E32166" t="s">
        <v>104</v>
      </c>
      <c r="F32166" s="2" t="str">
        <f>HYPERLINK("http://www.otzar.org/book.asp?83931","עש וכימה")</f>
        <v>עש וכימה</v>
      </c>
    </row>
    <row r="32167" spans="1:6" x14ac:dyDescent="0.2">
      <c r="A32167" t="s">
        <v>50213</v>
      </c>
      <c r="B32167" t="s">
        <v>8070</v>
      </c>
      <c r="C32167" t="s">
        <v>111</v>
      </c>
      <c r="D32167" t="s">
        <v>152</v>
      </c>
      <c r="E32167" t="s">
        <v>104</v>
      </c>
      <c r="F32167" s="2" t="str">
        <f>HYPERLINK("http://www.otzar.org/book.asp?628002","עשה ולא תעשה")</f>
        <v>עשה ולא תעשה</v>
      </c>
    </row>
    <row r="32168" spans="1:6" x14ac:dyDescent="0.2">
      <c r="A32168" t="s">
        <v>50214</v>
      </c>
      <c r="B32168" t="s">
        <v>50215</v>
      </c>
      <c r="C32168" t="s">
        <v>422</v>
      </c>
      <c r="D32168" t="s">
        <v>14</v>
      </c>
      <c r="E32168" t="s">
        <v>467</v>
      </c>
      <c r="F32168" s="2" t="str">
        <f>HYPERLINK("http://www.otzar.org/book.asp?162040","עשה ירח למועדים")</f>
        <v>עשה ירח למועדים</v>
      </c>
    </row>
    <row r="32169" spans="1:6" x14ac:dyDescent="0.2">
      <c r="A32169" t="s">
        <v>50216</v>
      </c>
      <c r="B32169" t="s">
        <v>107</v>
      </c>
      <c r="C32169" t="s">
        <v>466</v>
      </c>
      <c r="D32169" t="s">
        <v>14</v>
      </c>
      <c r="E32169" t="s">
        <v>213</v>
      </c>
      <c r="F32169" s="2" t="str">
        <f>HYPERLINK("http://www.otzar.org/book.asp?6244","עשה לך רב")</f>
        <v>עשה לך רב</v>
      </c>
    </row>
    <row r="32170" spans="1:6" x14ac:dyDescent="0.2">
      <c r="A32170" t="s">
        <v>50217</v>
      </c>
      <c r="B32170" t="s">
        <v>50218</v>
      </c>
      <c r="C32170" t="s">
        <v>129</v>
      </c>
      <c r="D32170" t="s">
        <v>14</v>
      </c>
      <c r="E32170" t="s">
        <v>933</v>
      </c>
      <c r="F32170" s="2" t="str">
        <f>HYPERLINK("http://www.otzar.org/book.asp?84296","עשה סוכה")</f>
        <v>עשה סוכה</v>
      </c>
    </row>
    <row r="32171" spans="1:6" x14ac:dyDescent="0.2">
      <c r="A32171" t="s">
        <v>50219</v>
      </c>
      <c r="B32171" t="s">
        <v>13223</v>
      </c>
      <c r="C32171" t="s">
        <v>50220</v>
      </c>
      <c r="D32171" t="s">
        <v>27</v>
      </c>
      <c r="E32171" t="s">
        <v>104</v>
      </c>
      <c r="F32171" s="2" t="str">
        <f>HYPERLINK("http://www.otzar.org/book.asp?7123","עשה פלא השלם")</f>
        <v>עשה פלא השלם</v>
      </c>
    </row>
    <row r="32172" spans="1:6" x14ac:dyDescent="0.2">
      <c r="A32172" t="s">
        <v>50221</v>
      </c>
      <c r="B32172" t="s">
        <v>13223</v>
      </c>
      <c r="C32172" t="s">
        <v>854</v>
      </c>
      <c r="D32172" t="s">
        <v>22797</v>
      </c>
      <c r="E32172" t="s">
        <v>1164</v>
      </c>
      <c r="F32172" s="2" t="str">
        <f>HYPERLINK("http://www.otzar.org/book.asp?196023","עשה פלא")</f>
        <v>עשה פלא</v>
      </c>
    </row>
    <row r="32173" spans="1:6" x14ac:dyDescent="0.2">
      <c r="A32173" t="s">
        <v>50222</v>
      </c>
      <c r="B32173" t="s">
        <v>50223</v>
      </c>
      <c r="C32173" t="s">
        <v>6784</v>
      </c>
      <c r="D32173" t="s">
        <v>50224</v>
      </c>
      <c r="E32173" t="s">
        <v>104</v>
      </c>
      <c r="F32173" s="2" t="str">
        <f>HYPERLINK("http://www.otzar.org/book.asp?147229","עשו צדקה ותנצלו מכל צרה וצוקה")</f>
        <v>עשו צדקה ותנצלו מכל צרה וצוקה</v>
      </c>
    </row>
    <row r="32174" spans="1:6" x14ac:dyDescent="0.2">
      <c r="A32174" t="s">
        <v>50225</v>
      </c>
      <c r="B32174" t="s">
        <v>50226</v>
      </c>
      <c r="C32174" t="s">
        <v>366</v>
      </c>
      <c r="D32174" t="s">
        <v>21</v>
      </c>
      <c r="F32174" s="2" t="str">
        <f>HYPERLINK("http://www.otzar.org/book.asp?609913","עשות משפט")</f>
        <v>עשות משפט</v>
      </c>
    </row>
    <row r="32175" spans="1:6" x14ac:dyDescent="0.2">
      <c r="A32175" t="s">
        <v>50225</v>
      </c>
      <c r="B32175" t="s">
        <v>27832</v>
      </c>
      <c r="C32175" t="s">
        <v>103</v>
      </c>
      <c r="D32175" t="s">
        <v>2798</v>
      </c>
      <c r="E32175" t="s">
        <v>172</v>
      </c>
      <c r="F32175" s="2" t="str">
        <f>HYPERLINK("http://www.otzar.org/book.asp?142862","עשות משפט")</f>
        <v>עשות משפט</v>
      </c>
    </row>
    <row r="32176" spans="1:6" x14ac:dyDescent="0.2">
      <c r="A32176" t="s">
        <v>50227</v>
      </c>
      <c r="B32176" t="s">
        <v>50228</v>
      </c>
      <c r="C32176" t="s">
        <v>20</v>
      </c>
      <c r="D32176" t="s">
        <v>423</v>
      </c>
      <c r="F32176" s="2" t="str">
        <f>HYPERLINK("http://www.otzar.org/book.asp?604936","עשי מלאכה")</f>
        <v>עשי מלאכה</v>
      </c>
    </row>
    <row r="32177" spans="1:6" x14ac:dyDescent="0.2">
      <c r="A32177" t="s">
        <v>50229</v>
      </c>
      <c r="B32177" t="s">
        <v>50230</v>
      </c>
      <c r="C32177" t="s">
        <v>111</v>
      </c>
      <c r="D32177" t="s">
        <v>115</v>
      </c>
      <c r="F32177" s="2" t="str">
        <f>HYPERLINK("http://www.otzar.org/book.asp?623206","עשיית פתילי תכלת")</f>
        <v>עשיית פתילי תכלת</v>
      </c>
    </row>
    <row r="32178" spans="1:6" x14ac:dyDescent="0.2">
      <c r="A32178" t="s">
        <v>50231</v>
      </c>
      <c r="B32178" t="s">
        <v>26637</v>
      </c>
      <c r="C32178" t="s">
        <v>908</v>
      </c>
      <c r="D32178" t="s">
        <v>27</v>
      </c>
      <c r="E32178" t="s">
        <v>81</v>
      </c>
      <c r="F32178" s="2" t="str">
        <f>HYPERLINK("http://www.otzar.org/book.asp?103653","עשיר ורש")</f>
        <v>עשיר ורש</v>
      </c>
    </row>
    <row r="32179" spans="1:6" x14ac:dyDescent="0.2">
      <c r="A32179" t="s">
        <v>50232</v>
      </c>
      <c r="B32179" t="s">
        <v>13391</v>
      </c>
      <c r="C32179" t="s">
        <v>2408</v>
      </c>
      <c r="D32179" t="s">
        <v>225</v>
      </c>
      <c r="E32179" t="s">
        <v>50233</v>
      </c>
      <c r="F32179" s="2" t="str">
        <f>HYPERLINK("http://www.otzar.org/book.asp?13733","עשירית האיפה - 2 כר'")</f>
        <v>עשירית האיפה - 2 כר'</v>
      </c>
    </row>
    <row r="32180" spans="1:6" x14ac:dyDescent="0.2">
      <c r="A32180" t="s">
        <v>50234</v>
      </c>
      <c r="B32180" t="s">
        <v>25176</v>
      </c>
      <c r="C32180" t="s">
        <v>146</v>
      </c>
      <c r="D32180" t="s">
        <v>147</v>
      </c>
      <c r="E32180" t="s">
        <v>399</v>
      </c>
      <c r="F32180" s="2" t="str">
        <f>HYPERLINK("http://www.otzar.org/book.asp?141813","עשירית האיפה")</f>
        <v>עשירית האיפה</v>
      </c>
    </row>
    <row r="32181" spans="1:6" x14ac:dyDescent="0.2">
      <c r="A32181" t="s">
        <v>50235</v>
      </c>
      <c r="B32181" t="s">
        <v>23233</v>
      </c>
      <c r="C32181" t="s">
        <v>2543</v>
      </c>
      <c r="D32181" t="s">
        <v>17587</v>
      </c>
      <c r="E32181" t="s">
        <v>140</v>
      </c>
      <c r="F32181" s="2" t="str">
        <f>HYPERLINK("http://www.otzar.org/book.asp?160924","עשר אורות")</f>
        <v>עשר אורות</v>
      </c>
    </row>
    <row r="32182" spans="1:6" x14ac:dyDescent="0.2">
      <c r="A32182" t="s">
        <v>50236</v>
      </c>
      <c r="B32182" t="s">
        <v>34798</v>
      </c>
      <c r="C32182" t="s">
        <v>20</v>
      </c>
      <c r="D32182" t="s">
        <v>90</v>
      </c>
      <c r="E32182" t="s">
        <v>234</v>
      </c>
      <c r="F32182" s="2" t="str">
        <f>HYPERLINK("http://www.otzar.org/book.asp?603228","עשר דרשות לשמחת חתן וכלה")</f>
        <v>עשר דרשות לשמחת חתן וכלה</v>
      </c>
    </row>
    <row r="32183" spans="1:6" x14ac:dyDescent="0.2">
      <c r="A32183" t="s">
        <v>50237</v>
      </c>
      <c r="B32183" t="s">
        <v>50238</v>
      </c>
      <c r="C32183" t="s">
        <v>20</v>
      </c>
      <c r="D32183" t="s">
        <v>90</v>
      </c>
      <c r="F32183" s="2" t="str">
        <f>HYPERLINK("http://www.otzar.org/book.asp?180084","עשר זכיות")</f>
        <v>עשר זכיות</v>
      </c>
    </row>
    <row r="32184" spans="1:6" x14ac:dyDescent="0.2">
      <c r="A32184" t="s">
        <v>50239</v>
      </c>
      <c r="B32184" t="s">
        <v>10720</v>
      </c>
      <c r="C32184" t="s">
        <v>50240</v>
      </c>
      <c r="D32184" t="s">
        <v>283</v>
      </c>
      <c r="E32184" t="s">
        <v>435</v>
      </c>
      <c r="F32184" s="2" t="str">
        <f>HYPERLINK("http://www.otzar.org/book.asp?19186","עשר נטיעות")</f>
        <v>עשר נטיעות</v>
      </c>
    </row>
    <row r="32185" spans="1:6" x14ac:dyDescent="0.2">
      <c r="A32185" t="s">
        <v>50241</v>
      </c>
      <c r="B32185" t="s">
        <v>50238</v>
      </c>
      <c r="C32185" t="s">
        <v>79</v>
      </c>
      <c r="D32185" t="s">
        <v>14</v>
      </c>
      <c r="F32185" s="2" t="str">
        <f>HYPERLINK("http://www.otzar.org/book.asp?150552","עשר נפלאות - 2 כר'")</f>
        <v>עשר נפלאות - 2 כר'</v>
      </c>
    </row>
    <row r="32186" spans="1:6" x14ac:dyDescent="0.2">
      <c r="A32186" t="s">
        <v>50242</v>
      </c>
      <c r="B32186" t="s">
        <v>23233</v>
      </c>
      <c r="C32186" t="s">
        <v>2543</v>
      </c>
      <c r="D32186" t="s">
        <v>17587</v>
      </c>
      <c r="E32186" t="s">
        <v>140</v>
      </c>
      <c r="F32186" s="2" t="str">
        <f>HYPERLINK("http://www.otzar.org/book.asp?160925","עשר עטרות")</f>
        <v>עשר עטרות</v>
      </c>
    </row>
    <row r="32187" spans="1:6" x14ac:dyDescent="0.2">
      <c r="A32187" t="s">
        <v>50243</v>
      </c>
      <c r="B32187" t="s">
        <v>23233</v>
      </c>
      <c r="C32187" t="s">
        <v>2543</v>
      </c>
      <c r="D32187" t="s">
        <v>17587</v>
      </c>
      <c r="E32187" t="s">
        <v>733</v>
      </c>
      <c r="F32187" s="2" t="str">
        <f>HYPERLINK("http://www.otzar.org/book.asp?23367","עשר קדושות - 2 כר'")</f>
        <v>עשר קדושות - 2 כר'</v>
      </c>
    </row>
    <row r="32188" spans="1:6" x14ac:dyDescent="0.2">
      <c r="A32188" t="s">
        <v>50244</v>
      </c>
      <c r="B32188" t="s">
        <v>50245</v>
      </c>
      <c r="C32188" t="s">
        <v>20</v>
      </c>
      <c r="D32188" t="s">
        <v>52</v>
      </c>
      <c r="E32188" t="s">
        <v>202</v>
      </c>
      <c r="F32188" s="2" t="str">
        <f>HYPERLINK("http://www.otzar.org/book.asp?83941","עשר שערים נפתחים")</f>
        <v>עשר שערים נפתחים</v>
      </c>
    </row>
    <row r="32189" spans="1:6" x14ac:dyDescent="0.2">
      <c r="A32189" t="s">
        <v>50246</v>
      </c>
      <c r="B32189" t="s">
        <v>50247</v>
      </c>
      <c r="C32189" t="s">
        <v>129</v>
      </c>
      <c r="D32189" t="s">
        <v>852</v>
      </c>
      <c r="E32189" t="s">
        <v>15</v>
      </c>
      <c r="F32189" s="2" t="str">
        <f>HYPERLINK("http://www.otzar.org/book.asp?160160","עשר תעשר")</f>
        <v>עשר תעשר</v>
      </c>
    </row>
    <row r="32190" spans="1:6" x14ac:dyDescent="0.2">
      <c r="A32190" t="s">
        <v>50246</v>
      </c>
      <c r="B32190" t="s">
        <v>5967</v>
      </c>
      <c r="C32190" t="s">
        <v>224</v>
      </c>
      <c r="D32190" t="s">
        <v>27</v>
      </c>
      <c r="E32190" t="s">
        <v>2463</v>
      </c>
      <c r="F32190" s="2" t="str">
        <f>HYPERLINK("http://www.otzar.org/book.asp?20513","עשר תעשר")</f>
        <v>עשר תעשר</v>
      </c>
    </row>
    <row r="32191" spans="1:6" x14ac:dyDescent="0.2">
      <c r="A32191" t="s">
        <v>50248</v>
      </c>
      <c r="B32191" t="s">
        <v>50249</v>
      </c>
      <c r="C32191" t="s">
        <v>1284</v>
      </c>
      <c r="D32191" t="s">
        <v>7161</v>
      </c>
      <c r="E32191" t="s">
        <v>144</v>
      </c>
      <c r="F32191" s="2" t="str">
        <f>HYPERLINK("http://www.otzar.org/book.asp?151631","עשרה דברים")</f>
        <v>עשרה דברים</v>
      </c>
    </row>
    <row r="32192" spans="1:6" x14ac:dyDescent="0.2">
      <c r="A32192" t="s">
        <v>50250</v>
      </c>
      <c r="B32192" t="s">
        <v>50251</v>
      </c>
      <c r="C32192" t="s">
        <v>87</v>
      </c>
      <c r="D32192" t="s">
        <v>21</v>
      </c>
      <c r="E32192" t="s">
        <v>119</v>
      </c>
      <c r="F32192" s="2" t="str">
        <f>HYPERLINK("http://www.otzar.org/book.asp?196200","עשרה דורות בארץ ישראל")</f>
        <v>עשרה דורות בארץ ישראל</v>
      </c>
    </row>
    <row r="32193" spans="1:6" x14ac:dyDescent="0.2">
      <c r="A32193" t="s">
        <v>50252</v>
      </c>
      <c r="B32193" t="s">
        <v>5597</v>
      </c>
      <c r="C32193" t="s">
        <v>17</v>
      </c>
      <c r="D32193" t="s">
        <v>52</v>
      </c>
      <c r="F32193" s="2" t="str">
        <f>HYPERLINK("http://www.otzar.org/book.asp?620084","עשרה זהב - דיני צדקה ומעשר כספים")</f>
        <v>עשרה זהב - דיני צדקה ומעשר כספים</v>
      </c>
    </row>
    <row r="32194" spans="1:6" x14ac:dyDescent="0.2">
      <c r="A32194" t="s">
        <v>50253</v>
      </c>
      <c r="B32194" t="s">
        <v>7792</v>
      </c>
      <c r="C32194" t="s">
        <v>454</v>
      </c>
      <c r="D32194" t="s">
        <v>412</v>
      </c>
      <c r="E32194" t="s">
        <v>234</v>
      </c>
      <c r="F32194" s="2" t="str">
        <f>HYPERLINK("http://www.otzar.org/book.asp?172104","עשרה למאה &lt;מהדורה חדשה&gt;")</f>
        <v>עשרה למאה &lt;מהדורה חדשה&gt;</v>
      </c>
    </row>
    <row r="32195" spans="1:6" x14ac:dyDescent="0.2">
      <c r="A32195" t="s">
        <v>50254</v>
      </c>
      <c r="B32195" t="s">
        <v>7792</v>
      </c>
      <c r="C32195" t="s">
        <v>1737</v>
      </c>
      <c r="D32195" t="s">
        <v>6801</v>
      </c>
      <c r="E32195" t="s">
        <v>241</v>
      </c>
      <c r="F32195" s="2" t="str">
        <f>HYPERLINK("http://www.otzar.org/book.asp?624760","עשרה למאה - 6 כר'")</f>
        <v>עשרה למאה - 6 כר'</v>
      </c>
    </row>
    <row r="32196" spans="1:6" x14ac:dyDescent="0.2">
      <c r="A32196" t="s">
        <v>50255</v>
      </c>
      <c r="B32196" t="s">
        <v>12062</v>
      </c>
      <c r="C32196" t="s">
        <v>3106</v>
      </c>
      <c r="D32196" t="s">
        <v>24403</v>
      </c>
      <c r="E32196" t="s">
        <v>158</v>
      </c>
      <c r="F32196" s="2" t="str">
        <f>HYPERLINK("http://www.otzar.org/book.asp?14095","עשרה מאורות הגדולים")</f>
        <v>עשרה מאורות הגדולים</v>
      </c>
    </row>
    <row r="32197" spans="1:6" x14ac:dyDescent="0.2">
      <c r="A32197" t="s">
        <v>50256</v>
      </c>
      <c r="B32197" t="s">
        <v>6040</v>
      </c>
      <c r="C32197" t="s">
        <v>1666</v>
      </c>
      <c r="D32197" t="s">
        <v>49</v>
      </c>
      <c r="E32197" t="s">
        <v>241</v>
      </c>
      <c r="F32197" s="2" t="str">
        <f>HYPERLINK("http://www.otzar.org/book.asp?53535","עשרה מאמרות &lt;דפו""ר&gt;")</f>
        <v>עשרה מאמרות &lt;דפו"ר&gt;</v>
      </c>
    </row>
    <row r="32198" spans="1:6" x14ac:dyDescent="0.2">
      <c r="A32198" t="s">
        <v>50257</v>
      </c>
      <c r="B32198" t="s">
        <v>6040</v>
      </c>
      <c r="C32198" t="s">
        <v>189</v>
      </c>
      <c r="D32198" t="s">
        <v>14</v>
      </c>
      <c r="E32198" t="s">
        <v>314</v>
      </c>
      <c r="F32198" s="2" t="str">
        <f>HYPERLINK("http://www.otzar.org/book.asp?64082","עשרה מאמרות &lt;יד יהודה&gt;")</f>
        <v>עשרה מאמרות &lt;יד יהודה&gt;</v>
      </c>
    </row>
    <row r="32199" spans="1:6" x14ac:dyDescent="0.2">
      <c r="A32199" t="s">
        <v>50258</v>
      </c>
      <c r="B32199" t="s">
        <v>6040</v>
      </c>
      <c r="C32199" t="s">
        <v>313</v>
      </c>
      <c r="D32199" t="s">
        <v>14</v>
      </c>
      <c r="E32199" t="s">
        <v>241</v>
      </c>
      <c r="F32199" s="2" t="str">
        <f>HYPERLINK("http://www.otzar.org/book.asp?64084","עשרה מאמרות &lt;מגיני שלמה, יואל משה, פתח עינים, נר למאור&gt; - 2 כר'")</f>
        <v>עשרה מאמרות &lt;מגיני שלמה, יואל משה, פתח עינים, נר למאור&gt; - 2 כר'</v>
      </c>
    </row>
    <row r="32200" spans="1:6" x14ac:dyDescent="0.2">
      <c r="A32200" t="s">
        <v>50259</v>
      </c>
      <c r="B32200" t="s">
        <v>50260</v>
      </c>
      <c r="C32200" t="s">
        <v>1166</v>
      </c>
      <c r="D32200" t="s">
        <v>50261</v>
      </c>
      <c r="E32200" t="s">
        <v>467</v>
      </c>
      <c r="F32200" s="2" t="str">
        <f>HYPERLINK("http://www.otzar.org/book.asp?189500","עשרה מאמרות")</f>
        <v>עשרה מאמרות</v>
      </c>
    </row>
    <row r="32201" spans="1:6" x14ac:dyDescent="0.2">
      <c r="A32201" t="s">
        <v>50262</v>
      </c>
      <c r="B32201" t="s">
        <v>39944</v>
      </c>
      <c r="C32201" t="s">
        <v>50263</v>
      </c>
      <c r="D32201" t="s">
        <v>563</v>
      </c>
      <c r="E32201" t="s">
        <v>213</v>
      </c>
      <c r="F32201" s="2" t="str">
        <f>HYPERLINK("http://www.otzar.org/book.asp?102137","עשרה מאמרות - 3 כר'")</f>
        <v>עשרה מאמרות - 3 כר'</v>
      </c>
    </row>
    <row r="32202" spans="1:6" x14ac:dyDescent="0.2">
      <c r="A32202" t="s">
        <v>50259</v>
      </c>
      <c r="B32202" t="s">
        <v>24242</v>
      </c>
      <c r="C32202" t="s">
        <v>18838</v>
      </c>
      <c r="D32202" t="s">
        <v>4288</v>
      </c>
      <c r="E32202" t="s">
        <v>241</v>
      </c>
      <c r="F32202" s="2" t="str">
        <f>HYPERLINK("http://www.otzar.org/book.asp?148152","עשרה מאמרות")</f>
        <v>עשרה מאמרות</v>
      </c>
    </row>
    <row r="32203" spans="1:6" x14ac:dyDescent="0.2">
      <c r="A32203" t="s">
        <v>50262</v>
      </c>
      <c r="B32203" t="s">
        <v>6040</v>
      </c>
      <c r="C32203" t="s">
        <v>1278</v>
      </c>
      <c r="D32203" t="s">
        <v>1279</v>
      </c>
      <c r="E32203" t="s">
        <v>241</v>
      </c>
      <c r="F32203" s="2" t="str">
        <f>HYPERLINK("http://www.otzar.org/book.asp?12729","עשרה מאמרות - 3 כר'")</f>
        <v>עשרה מאמרות - 3 כר'</v>
      </c>
    </row>
    <row r="32204" spans="1:6" x14ac:dyDescent="0.2">
      <c r="A32204" t="s">
        <v>50264</v>
      </c>
      <c r="B32204" t="s">
        <v>8281</v>
      </c>
      <c r="C32204" t="s">
        <v>1609</v>
      </c>
      <c r="D32204" t="s">
        <v>563</v>
      </c>
      <c r="E32204" t="s">
        <v>241</v>
      </c>
      <c r="F32204" s="2" t="str">
        <f>HYPERLINK("http://www.otzar.org/book.asp?165349","עשרה פרקי תשובה")</f>
        <v>עשרה פרקי תשובה</v>
      </c>
    </row>
    <row r="32205" spans="1:6" x14ac:dyDescent="0.2">
      <c r="A32205" t="s">
        <v>50265</v>
      </c>
      <c r="B32205" t="s">
        <v>15598</v>
      </c>
      <c r="C32205" t="s">
        <v>553</v>
      </c>
      <c r="D32205" t="s">
        <v>412</v>
      </c>
      <c r="E32205" t="s">
        <v>104</v>
      </c>
      <c r="F32205" s="2" t="str">
        <f>HYPERLINK("http://www.otzar.org/book.asp?189638","עשרה ראשונים")</f>
        <v>עשרה ראשונים</v>
      </c>
    </row>
    <row r="32206" spans="1:6" x14ac:dyDescent="0.2">
      <c r="A32206" t="s">
        <v>50266</v>
      </c>
      <c r="B32206" t="s">
        <v>28559</v>
      </c>
      <c r="C32206" t="s">
        <v>989</v>
      </c>
      <c r="D32206" t="s">
        <v>52</v>
      </c>
      <c r="E32206" t="s">
        <v>384</v>
      </c>
      <c r="F32206" s="2" t="str">
        <f>HYPERLINK("http://www.otzar.org/book.asp?181459","עשרים שנה למועצה האיזורית נחל שורק")</f>
        <v>עשרים שנה למועצה האיזורית נחל שורק</v>
      </c>
    </row>
    <row r="32207" spans="1:6" x14ac:dyDescent="0.2">
      <c r="A32207" t="s">
        <v>50267</v>
      </c>
      <c r="B32207" t="s">
        <v>531</v>
      </c>
      <c r="C32207" t="s">
        <v>5544</v>
      </c>
      <c r="D32207" t="s">
        <v>1731</v>
      </c>
      <c r="E32207" t="s">
        <v>158</v>
      </c>
      <c r="F32207" s="2" t="str">
        <f>HYPERLINK("http://www.otzar.org/book.asp?5716","עשרת הדברים")</f>
        <v>עשרת הדברים</v>
      </c>
    </row>
    <row r="32208" spans="1:6" x14ac:dyDescent="0.2">
      <c r="A32208" t="s">
        <v>50268</v>
      </c>
      <c r="B32208" t="s">
        <v>3464</v>
      </c>
      <c r="C32208" t="s">
        <v>20</v>
      </c>
      <c r="D32208" t="s">
        <v>52</v>
      </c>
      <c r="F32208" s="2" t="str">
        <f>HYPERLINK("http://www.otzar.org/book.asp?619986","עשרת הספירות")</f>
        <v>עשרת הספירות</v>
      </c>
    </row>
    <row r="32209" spans="1:6" x14ac:dyDescent="0.2">
      <c r="A32209" t="s">
        <v>50269</v>
      </c>
      <c r="B32209" t="s">
        <v>50270</v>
      </c>
      <c r="C32209" t="s">
        <v>785</v>
      </c>
      <c r="D32209" t="s">
        <v>14</v>
      </c>
      <c r="E32209" t="s">
        <v>20725</v>
      </c>
      <c r="F32209" s="2" t="str">
        <f>HYPERLINK("http://www.otzar.org/book.asp?21832","עשרת מונים - 2 כר'")</f>
        <v>עשרת מונים - 2 כר'</v>
      </c>
    </row>
    <row r="32210" spans="1:6" x14ac:dyDescent="0.2">
      <c r="A32210" t="s">
        <v>50271</v>
      </c>
      <c r="B32210" t="s">
        <v>13391</v>
      </c>
      <c r="C32210" t="s">
        <v>9123</v>
      </c>
      <c r="D32210" t="s">
        <v>225</v>
      </c>
      <c r="E32210" t="s">
        <v>43</v>
      </c>
      <c r="F32210" s="2" t="str">
        <f>HYPERLINK("http://www.otzar.org/book.asp?103317","עשת שן")</f>
        <v>עשת שן</v>
      </c>
    </row>
    <row r="32211" spans="1:6" x14ac:dyDescent="0.2">
      <c r="A32211" t="s">
        <v>50272</v>
      </c>
      <c r="B32211" t="s">
        <v>50273</v>
      </c>
      <c r="C32211" t="s">
        <v>6989</v>
      </c>
      <c r="D32211" t="s">
        <v>6974</v>
      </c>
      <c r="E32211" t="s">
        <v>219</v>
      </c>
      <c r="F32211" s="2" t="str">
        <f>HYPERLINK("http://www.otzar.org/book.asp?85846","עת בכות")</f>
        <v>עת בכות</v>
      </c>
    </row>
    <row r="32212" spans="1:6" x14ac:dyDescent="0.2">
      <c r="A32212" t="s">
        <v>50274</v>
      </c>
      <c r="B32212" t="s">
        <v>50275</v>
      </c>
      <c r="C32212" t="s">
        <v>422</v>
      </c>
      <c r="D32212" t="s">
        <v>52</v>
      </c>
      <c r="E32212" t="s">
        <v>15</v>
      </c>
      <c r="F32212" s="2" t="str">
        <f>HYPERLINK("http://www.otzar.org/book.asp?157898","עת ברך")</f>
        <v>עת ברך</v>
      </c>
    </row>
    <row r="32213" spans="1:6" x14ac:dyDescent="0.2">
      <c r="A32213" t="s">
        <v>50276</v>
      </c>
      <c r="B32213" t="s">
        <v>50277</v>
      </c>
      <c r="C32213" t="s">
        <v>624</v>
      </c>
      <c r="D32213" t="s">
        <v>14</v>
      </c>
      <c r="E32213" t="s">
        <v>674</v>
      </c>
      <c r="F32213" s="2" t="str">
        <f>HYPERLINK("http://www.otzar.org/book.asp?60064","עת דודים")</f>
        <v>עת דודים</v>
      </c>
    </row>
    <row r="32214" spans="1:6" x14ac:dyDescent="0.2">
      <c r="A32214" t="s">
        <v>50276</v>
      </c>
      <c r="B32214" t="s">
        <v>50278</v>
      </c>
      <c r="C32214" t="s">
        <v>114</v>
      </c>
      <c r="D32214" t="s">
        <v>14</v>
      </c>
      <c r="E32214" t="s">
        <v>15</v>
      </c>
      <c r="F32214" s="2" t="str">
        <f>HYPERLINK("http://www.otzar.org/book.asp?168681","עת דודים")</f>
        <v>עת דודים</v>
      </c>
    </row>
    <row r="32215" spans="1:6" x14ac:dyDescent="0.2">
      <c r="A32215" t="s">
        <v>50279</v>
      </c>
      <c r="B32215" t="s">
        <v>50280</v>
      </c>
      <c r="C32215" t="s">
        <v>124</v>
      </c>
      <c r="D32215" t="s">
        <v>52</v>
      </c>
      <c r="E32215" t="s">
        <v>50281</v>
      </c>
      <c r="F32215" s="2" t="str">
        <f>HYPERLINK("http://www.otzar.org/book.asp?161519","עת דודים, מכתם לדוד")</f>
        <v>עת דודים, מכתם לדוד</v>
      </c>
    </row>
    <row r="32216" spans="1:6" x14ac:dyDescent="0.2">
      <c r="A32216" t="s">
        <v>50282</v>
      </c>
      <c r="B32216" t="s">
        <v>4397</v>
      </c>
      <c r="C32216" t="s">
        <v>785</v>
      </c>
      <c r="D32216" t="s">
        <v>14</v>
      </c>
      <c r="E32216" t="s">
        <v>230</v>
      </c>
      <c r="F32216" s="2" t="str">
        <f>HYPERLINK("http://www.otzar.org/book.asp?150727","עת האסף")</f>
        <v>עת האסף</v>
      </c>
    </row>
    <row r="32217" spans="1:6" x14ac:dyDescent="0.2">
      <c r="A32217" t="s">
        <v>50283</v>
      </c>
      <c r="B32217" t="s">
        <v>50284</v>
      </c>
      <c r="C32217" t="s">
        <v>445</v>
      </c>
      <c r="D32217" t="s">
        <v>379</v>
      </c>
      <c r="E32217" t="s">
        <v>219</v>
      </c>
      <c r="F32217" s="2" t="str">
        <f>HYPERLINK("http://www.otzar.org/book.asp?144857","עת הזמיר")</f>
        <v>עת הזמיר</v>
      </c>
    </row>
    <row r="32218" spans="1:6" x14ac:dyDescent="0.2">
      <c r="A32218" t="s">
        <v>50283</v>
      </c>
      <c r="B32218" t="s">
        <v>93</v>
      </c>
      <c r="C32218" t="s">
        <v>4707</v>
      </c>
      <c r="D32218" t="s">
        <v>49</v>
      </c>
      <c r="E32218" t="s">
        <v>104</v>
      </c>
      <c r="F32218" s="2" t="str">
        <f>HYPERLINK("http://www.otzar.org/book.asp?23520","עת הזמיר")</f>
        <v>עת הזמיר</v>
      </c>
    </row>
    <row r="32219" spans="1:6" x14ac:dyDescent="0.2">
      <c r="A32219" t="s">
        <v>50285</v>
      </c>
      <c r="B32219" t="s">
        <v>3727</v>
      </c>
      <c r="C32219" t="s">
        <v>37</v>
      </c>
      <c r="D32219" t="s">
        <v>52</v>
      </c>
      <c r="E32219" t="s">
        <v>84</v>
      </c>
      <c r="F32219" s="2" t="str">
        <f>HYPERLINK("http://www.otzar.org/book.asp?183290","עת הזמיר - 3 כר'")</f>
        <v>עת הזמיר - 3 כר'</v>
      </c>
    </row>
    <row r="32220" spans="1:6" x14ac:dyDescent="0.2">
      <c r="A32220" t="s">
        <v>50283</v>
      </c>
      <c r="B32220" t="s">
        <v>11725</v>
      </c>
      <c r="C32220" t="s">
        <v>946</v>
      </c>
      <c r="D32220" t="s">
        <v>100</v>
      </c>
      <c r="E32220" t="s">
        <v>1517</v>
      </c>
      <c r="F32220" s="2" t="str">
        <f>HYPERLINK("http://www.otzar.org/book.asp?161181","עת הזמיר")</f>
        <v>עת הזמיר</v>
      </c>
    </row>
    <row r="32221" spans="1:6" x14ac:dyDescent="0.2">
      <c r="A32221" t="s">
        <v>50286</v>
      </c>
      <c r="B32221" t="s">
        <v>50287</v>
      </c>
      <c r="C32221" t="s">
        <v>87</v>
      </c>
      <c r="D32221" t="s">
        <v>412</v>
      </c>
      <c r="E32221" t="s">
        <v>15</v>
      </c>
      <c r="F32221" s="2" t="str">
        <f>HYPERLINK("http://www.otzar.org/book.asp?163348","עת לבקש - א")</f>
        <v>עת לבקש - א</v>
      </c>
    </row>
    <row r="32222" spans="1:6" x14ac:dyDescent="0.2">
      <c r="A32222" t="s">
        <v>50288</v>
      </c>
      <c r="B32222" t="s">
        <v>50289</v>
      </c>
      <c r="C32222" t="s">
        <v>800</v>
      </c>
      <c r="D32222" t="s">
        <v>212</v>
      </c>
      <c r="E32222" t="s">
        <v>246</v>
      </c>
      <c r="F32222" s="2" t="str">
        <f>HYPERLINK("http://www.otzar.org/book.asp?51302","עת לדבר")</f>
        <v>עת לדבר</v>
      </c>
    </row>
    <row r="32223" spans="1:6" x14ac:dyDescent="0.2">
      <c r="A32223" t="s">
        <v>50288</v>
      </c>
      <c r="B32223" t="s">
        <v>15374</v>
      </c>
      <c r="C32223" t="s">
        <v>282</v>
      </c>
      <c r="D32223" t="s">
        <v>1279</v>
      </c>
      <c r="E32223" t="s">
        <v>241</v>
      </c>
      <c r="F32223" s="2" t="str">
        <f>HYPERLINK("http://www.otzar.org/book.asp?102135","עת לדבר")</f>
        <v>עת לדבר</v>
      </c>
    </row>
    <row r="32224" spans="1:6" x14ac:dyDescent="0.2">
      <c r="A32224" t="s">
        <v>50288</v>
      </c>
      <c r="B32224" t="s">
        <v>50290</v>
      </c>
      <c r="C32224" t="s">
        <v>915</v>
      </c>
      <c r="D32224" t="s">
        <v>50291</v>
      </c>
      <c r="E32224" t="s">
        <v>1438</v>
      </c>
      <c r="F32224" s="2" t="str">
        <f>HYPERLINK("http://www.otzar.org/book.asp?196849","עת לדבר")</f>
        <v>עת לדבר</v>
      </c>
    </row>
    <row r="32225" spans="1:6" x14ac:dyDescent="0.2">
      <c r="A32225" t="s">
        <v>50292</v>
      </c>
      <c r="B32225" t="s">
        <v>50287</v>
      </c>
      <c r="C32225" t="s">
        <v>51</v>
      </c>
      <c r="D32225" t="s">
        <v>412</v>
      </c>
      <c r="E32225" t="s">
        <v>15</v>
      </c>
      <c r="F32225" s="2" t="str">
        <f>HYPERLINK("http://www.otzar.org/book.asp?163349","עת לדבר - א")</f>
        <v>עת לדבר - א</v>
      </c>
    </row>
    <row r="32226" spans="1:6" x14ac:dyDescent="0.2">
      <c r="A32226" t="s">
        <v>50288</v>
      </c>
      <c r="B32226" t="s">
        <v>50293</v>
      </c>
      <c r="C32226" t="s">
        <v>946</v>
      </c>
      <c r="D32226" t="s">
        <v>4441</v>
      </c>
      <c r="E32226" t="s">
        <v>119</v>
      </c>
      <c r="F32226" s="2" t="str">
        <f>HYPERLINK("http://www.otzar.org/book.asp?173107","עת לדבר")</f>
        <v>עת לדבר</v>
      </c>
    </row>
    <row r="32227" spans="1:6" x14ac:dyDescent="0.2">
      <c r="A32227" t="s">
        <v>50294</v>
      </c>
      <c r="B32227" t="s">
        <v>3286</v>
      </c>
      <c r="C32227" t="s">
        <v>23</v>
      </c>
      <c r="D32227" t="s">
        <v>52</v>
      </c>
      <c r="E32227" t="s">
        <v>234</v>
      </c>
      <c r="F32227" s="2" t="str">
        <f>HYPERLINK("http://www.otzar.org/book.asp?617078","עת לדרוש - 2 כר'")</f>
        <v>עת לדרוש - 2 כר'</v>
      </c>
    </row>
    <row r="32228" spans="1:6" x14ac:dyDescent="0.2">
      <c r="A32228" t="s">
        <v>50295</v>
      </c>
      <c r="B32228" t="s">
        <v>8065</v>
      </c>
      <c r="C32228" t="s">
        <v>244</v>
      </c>
      <c r="D32228" t="s">
        <v>2383</v>
      </c>
      <c r="E32228" t="s">
        <v>219</v>
      </c>
      <c r="F32228" s="2" t="str">
        <f>HYPERLINK("http://www.otzar.org/book.asp?620691","עת לחננה")</f>
        <v>עת לחננה</v>
      </c>
    </row>
    <row r="32229" spans="1:6" x14ac:dyDescent="0.2">
      <c r="A32229" t="s">
        <v>50296</v>
      </c>
      <c r="B32229" t="s">
        <v>4211</v>
      </c>
      <c r="C32229" t="s">
        <v>151</v>
      </c>
      <c r="D32229" t="s">
        <v>14</v>
      </c>
      <c r="F32229" s="2" t="str">
        <f>HYPERLINK("http://www.otzar.org/book.asp?615063","עת לחננה - 3 כר'")</f>
        <v>עת לחננה - 3 כר'</v>
      </c>
    </row>
    <row r="32230" spans="1:6" x14ac:dyDescent="0.2">
      <c r="A32230" t="s">
        <v>50297</v>
      </c>
      <c r="B32230" t="s">
        <v>50298</v>
      </c>
      <c r="C32230" t="s">
        <v>8294</v>
      </c>
      <c r="D32230" t="s">
        <v>49</v>
      </c>
      <c r="E32230" t="s">
        <v>3083</v>
      </c>
      <c r="F32230" s="2" t="str">
        <f>HYPERLINK("http://www.otzar.org/book.asp?13276","עת לחננה - 2 כר'")</f>
        <v>עת לחננה - 2 כר'</v>
      </c>
    </row>
    <row r="32231" spans="1:6" x14ac:dyDescent="0.2">
      <c r="A32231" t="s">
        <v>50295</v>
      </c>
      <c r="B32231" t="s">
        <v>6083</v>
      </c>
      <c r="C32231" t="s">
        <v>4374</v>
      </c>
      <c r="D32231" t="s">
        <v>744</v>
      </c>
      <c r="E32231" t="s">
        <v>84</v>
      </c>
      <c r="F32231" s="2" t="str">
        <f>HYPERLINK("http://www.otzar.org/book.asp?104124","עת לחננה")</f>
        <v>עת לחננה</v>
      </c>
    </row>
    <row r="32232" spans="1:6" x14ac:dyDescent="0.2">
      <c r="A32232" t="s">
        <v>50295</v>
      </c>
      <c r="B32232" t="s">
        <v>24145</v>
      </c>
      <c r="C32232" t="s">
        <v>133</v>
      </c>
      <c r="D32232" t="s">
        <v>15682</v>
      </c>
      <c r="E32232" t="s">
        <v>104</v>
      </c>
      <c r="F32232" s="2" t="str">
        <f>HYPERLINK("http://www.otzar.org/book.asp?189281","עת לחננה")</f>
        <v>עת לחננה</v>
      </c>
    </row>
    <row r="32233" spans="1:6" x14ac:dyDescent="0.2">
      <c r="A32233" t="s">
        <v>50299</v>
      </c>
      <c r="B32233" t="s">
        <v>50300</v>
      </c>
      <c r="C32233" t="s">
        <v>244</v>
      </c>
      <c r="D32233" t="s">
        <v>14</v>
      </c>
      <c r="F32233" s="2" t="str">
        <f>HYPERLINK("http://www.otzar.org/book.asp?603663","עת ללדת")</f>
        <v>עת ללדת</v>
      </c>
    </row>
    <row r="32234" spans="1:6" x14ac:dyDescent="0.2">
      <c r="A32234" t="s">
        <v>50299</v>
      </c>
      <c r="B32234" t="s">
        <v>50301</v>
      </c>
      <c r="C32234" t="s">
        <v>1388</v>
      </c>
      <c r="D32234" t="s">
        <v>6540</v>
      </c>
      <c r="E32234" t="s">
        <v>15</v>
      </c>
      <c r="F32234" s="2" t="str">
        <f>HYPERLINK("http://www.otzar.org/book.asp?615250","עת ללדת")</f>
        <v>עת ללדת</v>
      </c>
    </row>
    <row r="32235" spans="1:6" x14ac:dyDescent="0.2">
      <c r="A32235" t="s">
        <v>50302</v>
      </c>
      <c r="B32235" t="s">
        <v>50303</v>
      </c>
      <c r="C32235" t="s">
        <v>427</v>
      </c>
      <c r="D32235" t="s">
        <v>1180</v>
      </c>
      <c r="E32235" t="s">
        <v>703</v>
      </c>
      <c r="F32235" s="2" t="str">
        <f>HYPERLINK("http://www.otzar.org/book.asp?615800","עת לעשות &lt;אידיש&gt;")</f>
        <v>עת לעשות &lt;אידיש&gt;</v>
      </c>
    </row>
    <row r="32236" spans="1:6" x14ac:dyDescent="0.2">
      <c r="A32236" t="s">
        <v>50304</v>
      </c>
      <c r="B32236" t="s">
        <v>50303</v>
      </c>
      <c r="C32236" t="s">
        <v>496</v>
      </c>
      <c r="D32236" t="s">
        <v>1966</v>
      </c>
      <c r="E32236" t="s">
        <v>241</v>
      </c>
      <c r="F32236" s="2" t="str">
        <f>HYPERLINK("http://www.otzar.org/book.asp?103654","עת לעשות - 4 כר'")</f>
        <v>עת לעשות - 4 כר'</v>
      </c>
    </row>
    <row r="32237" spans="1:6" x14ac:dyDescent="0.2">
      <c r="A32237" t="s">
        <v>50305</v>
      </c>
      <c r="B32237" t="s">
        <v>10831</v>
      </c>
      <c r="C32237" t="s">
        <v>114</v>
      </c>
      <c r="D32237" t="s">
        <v>147</v>
      </c>
      <c r="E32237" t="s">
        <v>213</v>
      </c>
      <c r="F32237" s="2" t="str">
        <f>HYPERLINK("http://www.otzar.org/book.asp?199829","עת לשמוח")</f>
        <v>עת לשמוח</v>
      </c>
    </row>
    <row r="32238" spans="1:6" x14ac:dyDescent="0.2">
      <c r="A32238" t="s">
        <v>50306</v>
      </c>
      <c r="B32238" t="s">
        <v>50307</v>
      </c>
      <c r="C32238" t="s">
        <v>1706</v>
      </c>
      <c r="D32238" t="s">
        <v>283</v>
      </c>
      <c r="E32238" t="s">
        <v>4260</v>
      </c>
      <c r="F32238" s="2" t="str">
        <f>HYPERLINK("http://www.otzar.org/book.asp?100550","עת ספוד")</f>
        <v>עת ספוד</v>
      </c>
    </row>
    <row r="32239" spans="1:6" x14ac:dyDescent="0.2">
      <c r="A32239" t="s">
        <v>50306</v>
      </c>
      <c r="B32239" t="s">
        <v>44729</v>
      </c>
      <c r="C32239" t="s">
        <v>20</v>
      </c>
      <c r="D32239">
        <v>612095</v>
      </c>
      <c r="F32239" s="2" t="str">
        <f>HYPERLINK("http://www.otzar.org/book.asp?612095","עת ספוד")</f>
        <v>עת ספוד</v>
      </c>
    </row>
    <row r="32240" spans="1:6" x14ac:dyDescent="0.2">
      <c r="A32240" t="s">
        <v>50306</v>
      </c>
      <c r="B32240" t="s">
        <v>33166</v>
      </c>
      <c r="C32240" t="s">
        <v>5823</v>
      </c>
      <c r="D32240" t="s">
        <v>661</v>
      </c>
      <c r="E32240" t="s">
        <v>474</v>
      </c>
      <c r="F32240" s="2" t="str">
        <f>HYPERLINK("http://www.otzar.org/book.asp?141016","עת ספוד")</f>
        <v>עת ספוד</v>
      </c>
    </row>
    <row r="32241" spans="1:6" x14ac:dyDescent="0.2">
      <c r="A32241" t="s">
        <v>50308</v>
      </c>
      <c r="B32241" t="s">
        <v>50035</v>
      </c>
      <c r="C32241" t="s">
        <v>16450</v>
      </c>
      <c r="D32241" t="s">
        <v>1023</v>
      </c>
      <c r="F32241" s="2" t="str">
        <f>HYPERLINK("http://www.otzar.org/book.asp?612071","עת קץ - 2 כר'")</f>
        <v>עת קץ - 2 כר'</v>
      </c>
    </row>
    <row r="32242" spans="1:6" x14ac:dyDescent="0.2">
      <c r="A32242" t="s">
        <v>50309</v>
      </c>
      <c r="B32242" t="s">
        <v>2396</v>
      </c>
      <c r="C32242" t="s">
        <v>23</v>
      </c>
      <c r="D32242" t="s">
        <v>1076</v>
      </c>
      <c r="E32242" t="s">
        <v>241</v>
      </c>
      <c r="F32242" s="2" t="str">
        <f>HYPERLINK("http://www.otzar.org/book.asp?617330","עת רצון (תפילה). - ב")</f>
        <v>עת רצון (תפילה). - ב</v>
      </c>
    </row>
    <row r="32243" spans="1:6" x14ac:dyDescent="0.2">
      <c r="A32243" t="s">
        <v>50310</v>
      </c>
      <c r="B32243" t="s">
        <v>50311</v>
      </c>
      <c r="C32243" t="s">
        <v>189</v>
      </c>
      <c r="D32243" t="s">
        <v>4508</v>
      </c>
      <c r="E32243" t="s">
        <v>158</v>
      </c>
      <c r="F32243" s="2" t="str">
        <f>HYPERLINK("http://www.otzar.org/book.asp?21960","עת רצון")</f>
        <v>עת רצון</v>
      </c>
    </row>
    <row r="32244" spans="1:6" x14ac:dyDescent="0.2">
      <c r="A32244" t="s">
        <v>50312</v>
      </c>
      <c r="B32244" t="s">
        <v>50313</v>
      </c>
      <c r="C32244" t="s">
        <v>9946</v>
      </c>
      <c r="D32244" t="s">
        <v>1833</v>
      </c>
      <c r="E32244" t="s">
        <v>246</v>
      </c>
      <c r="F32244" s="2" t="str">
        <f>HYPERLINK("http://www.otzar.org/book.asp?51037","עת רצון - 2 כר'")</f>
        <v>עת רצון - 2 כר'</v>
      </c>
    </row>
    <row r="32245" spans="1:6" x14ac:dyDescent="0.2">
      <c r="A32245" t="s">
        <v>50312</v>
      </c>
      <c r="B32245" t="s">
        <v>9094</v>
      </c>
      <c r="C32245" t="s">
        <v>143</v>
      </c>
      <c r="D32245" t="s">
        <v>52</v>
      </c>
      <c r="E32245" t="s">
        <v>5935</v>
      </c>
      <c r="F32245" s="2" t="str">
        <f>HYPERLINK("http://www.otzar.org/book.asp?22623","עת רצון - 2 כר'")</f>
        <v>עת רצון - 2 כר'</v>
      </c>
    </row>
    <row r="32246" spans="1:6" x14ac:dyDescent="0.2">
      <c r="A32246" t="s">
        <v>50314</v>
      </c>
      <c r="B32246" t="s">
        <v>50315</v>
      </c>
      <c r="C32246" t="s">
        <v>103</v>
      </c>
      <c r="D32246" t="s">
        <v>412</v>
      </c>
      <c r="E32246" t="s">
        <v>158</v>
      </c>
      <c r="F32246" s="2" t="str">
        <f>HYPERLINK("http://www.otzar.org/book.asp?163960","עת רצון - חקל תפוחין")</f>
        <v>עת רצון - חקל תפוחין</v>
      </c>
    </row>
    <row r="32247" spans="1:6" x14ac:dyDescent="0.2">
      <c r="A32247" t="s">
        <v>50316</v>
      </c>
      <c r="B32247" t="s">
        <v>50317</v>
      </c>
      <c r="C32247" t="s">
        <v>390</v>
      </c>
      <c r="D32247" t="s">
        <v>412</v>
      </c>
      <c r="E32247" t="s">
        <v>158</v>
      </c>
      <c r="F32247" s="2" t="str">
        <f>HYPERLINK("http://www.otzar.org/book.asp?14285","עת רצון - בראשית")</f>
        <v>עת רצון - בראשית</v>
      </c>
    </row>
    <row r="32248" spans="1:6" x14ac:dyDescent="0.2">
      <c r="A32248" t="s">
        <v>50310</v>
      </c>
      <c r="B32248" t="s">
        <v>7752</v>
      </c>
      <c r="C32248" t="s">
        <v>624</v>
      </c>
      <c r="D32248" t="s">
        <v>52</v>
      </c>
      <c r="F32248" s="2" t="str">
        <f>HYPERLINK("http://www.otzar.org/book.asp?620247","עת רצון")</f>
        <v>עת רצון</v>
      </c>
    </row>
    <row r="32249" spans="1:6" x14ac:dyDescent="0.2">
      <c r="A32249" t="s">
        <v>50318</v>
      </c>
      <c r="B32249" t="s">
        <v>50287</v>
      </c>
      <c r="C32249" t="s">
        <v>87</v>
      </c>
      <c r="D32249" t="s">
        <v>412</v>
      </c>
      <c r="E32249" t="s">
        <v>15</v>
      </c>
      <c r="F32249" s="2" t="str">
        <f>HYPERLINK("http://www.otzar.org/book.asp?163326","עת רקוד")</f>
        <v>עת רקוד</v>
      </c>
    </row>
    <row r="32250" spans="1:6" x14ac:dyDescent="0.2">
      <c r="A32250" t="s">
        <v>50319</v>
      </c>
      <c r="B32250" t="s">
        <v>22479</v>
      </c>
      <c r="C32250" t="s">
        <v>244</v>
      </c>
      <c r="D32250" t="s">
        <v>21</v>
      </c>
      <c r="E32250" t="s">
        <v>104</v>
      </c>
      <c r="F32250" s="2" t="str">
        <f>HYPERLINK("http://www.otzar.org/book.asp?197331","עת שערי רצון")</f>
        <v>עת שערי רצון</v>
      </c>
    </row>
    <row r="32251" spans="1:6" x14ac:dyDescent="0.2">
      <c r="A32251" t="s">
        <v>50320</v>
      </c>
      <c r="B32251" t="s">
        <v>5213</v>
      </c>
      <c r="C32251" t="s">
        <v>13</v>
      </c>
      <c r="D32251" t="s">
        <v>14</v>
      </c>
      <c r="E32251" t="s">
        <v>130</v>
      </c>
      <c r="F32251" s="2" t="str">
        <f>HYPERLINK("http://www.otzar.org/book.asp?191132","עתה באתי")</f>
        <v>עתה באתי</v>
      </c>
    </row>
    <row r="32252" spans="1:6" x14ac:dyDescent="0.2">
      <c r="A32252" t="s">
        <v>50321</v>
      </c>
      <c r="B32252" t="s">
        <v>50322</v>
      </c>
      <c r="F32252" s="2" t="str">
        <f>HYPERLINK("http://www.otzar.org/book.asp?616277","עתידה של ירושלים")</f>
        <v>עתידה של ירושלים</v>
      </c>
    </row>
    <row r="32253" spans="1:6" x14ac:dyDescent="0.2">
      <c r="A32253" t="s">
        <v>50323</v>
      </c>
      <c r="B32253" t="s">
        <v>9133</v>
      </c>
      <c r="C32253" t="s">
        <v>3690</v>
      </c>
      <c r="D32253" t="s">
        <v>283</v>
      </c>
      <c r="E32253" t="s">
        <v>104</v>
      </c>
      <c r="F32253" s="2" t="str">
        <f>HYPERLINK("http://www.otzar.org/book.asp?12766","עתים לבינה")</f>
        <v>עתים לבינה</v>
      </c>
    </row>
    <row r="32254" spans="1:6" x14ac:dyDescent="0.2">
      <c r="A32254" t="s">
        <v>50324</v>
      </c>
      <c r="B32254" t="s">
        <v>50325</v>
      </c>
      <c r="C32254" t="s">
        <v>533</v>
      </c>
      <c r="D32254" t="s">
        <v>14</v>
      </c>
      <c r="F32254" s="2" t="str">
        <f>HYPERLINK("http://www.otzar.org/book.asp?191660","עתים למשנה")</f>
        <v>עתים למשנה</v>
      </c>
    </row>
    <row r="32255" spans="1:6" x14ac:dyDescent="0.2">
      <c r="A32255" t="s">
        <v>50326</v>
      </c>
      <c r="B32255" t="s">
        <v>4156</v>
      </c>
      <c r="C32255" t="s">
        <v>3246</v>
      </c>
      <c r="D32255" t="s">
        <v>27</v>
      </c>
      <c r="E32255" t="s">
        <v>104</v>
      </c>
      <c r="F32255" s="2" t="str">
        <f>HYPERLINK("http://www.otzar.org/book.asp?157613","עתיקות יהודה")</f>
        <v>עתיקות יהודה</v>
      </c>
    </row>
    <row r="32256" spans="1:6" x14ac:dyDescent="0.2">
      <c r="A32256" t="s">
        <v>50327</v>
      </c>
      <c r="B32256" t="s">
        <v>23077</v>
      </c>
      <c r="C32256" t="s">
        <v>1811</v>
      </c>
      <c r="D32256" t="s">
        <v>52</v>
      </c>
      <c r="F32256" s="2" t="str">
        <f>HYPERLINK("http://www.otzar.org/book.asp?616344","עתיר פומבי")</f>
        <v>עתיר פומבי</v>
      </c>
    </row>
    <row r="32257" spans="1:6" x14ac:dyDescent="0.2">
      <c r="A32257" t="s">
        <v>50328</v>
      </c>
      <c r="B32257" t="s">
        <v>155</v>
      </c>
      <c r="C32257" t="s">
        <v>743</v>
      </c>
      <c r="D32257" t="s">
        <v>76</v>
      </c>
      <c r="F32257" s="2" t="str">
        <f>HYPERLINK("http://www.otzar.org/book.asp?170202","עתרת החיים")</f>
        <v>עתרת החיים</v>
      </c>
    </row>
    <row r="32258" spans="1:6" x14ac:dyDescent="0.2">
      <c r="A32258" t="s">
        <v>50329</v>
      </c>
      <c r="B32258" t="s">
        <v>50330</v>
      </c>
      <c r="C32258" t="s">
        <v>383</v>
      </c>
      <c r="D32258" t="s">
        <v>14</v>
      </c>
      <c r="E32258" t="s">
        <v>219</v>
      </c>
      <c r="F32258" s="2" t="str">
        <f>HYPERLINK("http://www.otzar.org/book.asp?105784","עתרת רבקה")</f>
        <v>עתרת רבקה</v>
      </c>
    </row>
    <row r="32259" spans="1:6" x14ac:dyDescent="0.2">
      <c r="A32259" t="s">
        <v>50331</v>
      </c>
      <c r="B32259" t="s">
        <v>12124</v>
      </c>
      <c r="C32259" t="s">
        <v>1160</v>
      </c>
      <c r="D32259" t="s">
        <v>14</v>
      </c>
      <c r="E32259" t="s">
        <v>219</v>
      </c>
      <c r="F32259" s="2" t="str">
        <f>HYPERLINK("http://www.otzar.org/book.asp?13586","עתרת רננים")</f>
        <v>עתרת רננים</v>
      </c>
    </row>
    <row r="32260" spans="1:6" x14ac:dyDescent="0.2">
      <c r="A32260" t="s">
        <v>50332</v>
      </c>
      <c r="B32260" t="s">
        <v>16508</v>
      </c>
      <c r="C32260" t="s">
        <v>617</v>
      </c>
      <c r="D32260" t="s">
        <v>267</v>
      </c>
      <c r="E32260" t="s">
        <v>6975</v>
      </c>
      <c r="F32260" s="2" t="str">
        <f>HYPERLINK("http://www.otzar.org/book.asp?25259","עתרת שלום")</f>
        <v>עתרת שלום</v>
      </c>
    </row>
    <row r="32261" spans="1:6" x14ac:dyDescent="0.2">
      <c r="A32261" t="s">
        <v>50333</v>
      </c>
      <c r="B32261" t="s">
        <v>50334</v>
      </c>
      <c r="F32261" s="2" t="str">
        <f>HYPERLINK("http://www.otzar.org/book.asp?610208","פאות כהלכה")</f>
        <v>פאות כהלכה</v>
      </c>
    </row>
    <row r="32262" spans="1:6" x14ac:dyDescent="0.2">
      <c r="A32262" t="s">
        <v>50335</v>
      </c>
      <c r="B32262" t="s">
        <v>11753</v>
      </c>
      <c r="C32262" t="s">
        <v>334</v>
      </c>
      <c r="D32262" t="s">
        <v>14</v>
      </c>
      <c r="E32262" t="s">
        <v>119</v>
      </c>
      <c r="F32262" s="2" t="str">
        <f>HYPERLINK("http://www.otzar.org/book.asp?152455","פאס וחכמיה - 2 כר'")</f>
        <v>פאס וחכמיה - 2 כר'</v>
      </c>
    </row>
    <row r="32263" spans="1:6" x14ac:dyDescent="0.2">
      <c r="A32263" t="s">
        <v>50336</v>
      </c>
      <c r="B32263" t="s">
        <v>9358</v>
      </c>
      <c r="C32263" t="s">
        <v>20</v>
      </c>
      <c r="D32263" t="s">
        <v>260</v>
      </c>
      <c r="E32263" t="s">
        <v>199</v>
      </c>
      <c r="F32263" s="2" t="str">
        <f>HYPERLINK("http://www.otzar.org/book.asp?199733","פאפא - ספר זכרון")</f>
        <v>פאפא - ספר זכרון</v>
      </c>
    </row>
    <row r="32264" spans="1:6" x14ac:dyDescent="0.2">
      <c r="A32264" t="s">
        <v>50337</v>
      </c>
      <c r="B32264" t="s">
        <v>50338</v>
      </c>
      <c r="C32264" t="s">
        <v>111</v>
      </c>
      <c r="D32264" t="s">
        <v>52</v>
      </c>
      <c r="F32264" s="2" t="str">
        <f>HYPERLINK("http://www.otzar.org/book.asp?621244","פאר דוד - 2 כר'")</f>
        <v>פאר דוד - 2 כר'</v>
      </c>
    </row>
    <row r="32265" spans="1:6" x14ac:dyDescent="0.2">
      <c r="A32265" t="s">
        <v>50339</v>
      </c>
      <c r="B32265" t="s">
        <v>50340</v>
      </c>
      <c r="C32265" t="s">
        <v>176</v>
      </c>
      <c r="D32265" t="s">
        <v>423</v>
      </c>
      <c r="E32265" t="s">
        <v>172</v>
      </c>
      <c r="F32265" s="2" t="str">
        <f>HYPERLINK("http://www.otzar.org/book.asp?146775","פאר הבית - 10 כר'")</f>
        <v>פאר הבית - 10 כר'</v>
      </c>
    </row>
    <row r="32266" spans="1:6" x14ac:dyDescent="0.2">
      <c r="A32266" t="s">
        <v>50341</v>
      </c>
      <c r="B32266" t="s">
        <v>50342</v>
      </c>
      <c r="C32266" t="s">
        <v>1160</v>
      </c>
      <c r="D32266" t="s">
        <v>52</v>
      </c>
      <c r="E32266" t="s">
        <v>119</v>
      </c>
      <c r="F32266" s="2" t="str">
        <f>HYPERLINK("http://www.otzar.org/book.asp?143773","פאר הדור - 5 כר'")</f>
        <v>פאר הדור - 5 כר'</v>
      </c>
    </row>
    <row r="32267" spans="1:6" x14ac:dyDescent="0.2">
      <c r="A32267" t="s">
        <v>50343</v>
      </c>
      <c r="B32267" t="s">
        <v>1320</v>
      </c>
      <c r="C32267" t="s">
        <v>4087</v>
      </c>
      <c r="D32267" t="s">
        <v>1023</v>
      </c>
      <c r="E32267" t="s">
        <v>10</v>
      </c>
      <c r="F32267" s="2" t="str">
        <f>HYPERLINK("http://www.otzar.org/book.asp?10862","פאר הדור - 2 כר'")</f>
        <v>פאר הדור - 2 כר'</v>
      </c>
    </row>
    <row r="32268" spans="1:6" x14ac:dyDescent="0.2">
      <c r="A32268" t="s">
        <v>50344</v>
      </c>
      <c r="B32268" t="s">
        <v>50345</v>
      </c>
      <c r="C32268" t="s">
        <v>2008</v>
      </c>
      <c r="D32268" t="s">
        <v>27</v>
      </c>
      <c r="E32268" t="s">
        <v>10687</v>
      </c>
      <c r="F32268" s="2" t="str">
        <f>HYPERLINK("http://www.otzar.org/book.asp?104125","פאר הדרים")</f>
        <v>פאר הדרים</v>
      </c>
    </row>
    <row r="32269" spans="1:6" x14ac:dyDescent="0.2">
      <c r="A32269" t="s">
        <v>50346</v>
      </c>
      <c r="C32269" t="s">
        <v>133</v>
      </c>
      <c r="D32269" t="s">
        <v>8113</v>
      </c>
      <c r="E32269" t="s">
        <v>140</v>
      </c>
      <c r="F32269" s="2" t="str">
        <f>HYPERLINK("http://www.otzar.org/book.asp?182495","פאר הליקוטים - א")</f>
        <v>פאר הליקוטים - א</v>
      </c>
    </row>
    <row r="32270" spans="1:6" x14ac:dyDescent="0.2">
      <c r="A32270" t="s">
        <v>50347</v>
      </c>
      <c r="B32270" t="s">
        <v>50348</v>
      </c>
      <c r="C32270" t="s">
        <v>103</v>
      </c>
      <c r="D32270" t="s">
        <v>14</v>
      </c>
      <c r="E32270" t="s">
        <v>144</v>
      </c>
      <c r="F32270" s="2" t="str">
        <f>HYPERLINK("http://www.otzar.org/book.asp?159020","פאר הלכה &lt;מהדורה חדשה&gt;")</f>
        <v>פאר הלכה &lt;מהדורה חדשה&gt;</v>
      </c>
    </row>
    <row r="32271" spans="1:6" x14ac:dyDescent="0.2">
      <c r="A32271" t="s">
        <v>50349</v>
      </c>
      <c r="B32271" t="s">
        <v>50348</v>
      </c>
      <c r="C32271" t="s">
        <v>4348</v>
      </c>
      <c r="D32271" t="s">
        <v>60</v>
      </c>
      <c r="E32271" t="s">
        <v>2533</v>
      </c>
      <c r="F32271" s="2" t="str">
        <f>HYPERLINK("http://www.otzar.org/book.asp?101673","פאר הלכה")</f>
        <v>פאר הלכה</v>
      </c>
    </row>
    <row r="32272" spans="1:6" x14ac:dyDescent="0.2">
      <c r="A32272" t="s">
        <v>50350</v>
      </c>
      <c r="B32272" t="s">
        <v>9037</v>
      </c>
      <c r="C32272" t="s">
        <v>133</v>
      </c>
      <c r="D32272" t="s">
        <v>412</v>
      </c>
      <c r="E32272" t="s">
        <v>15</v>
      </c>
      <c r="F32272" s="2" t="str">
        <f>HYPERLINK("http://www.otzar.org/book.asp?180165","פאר המלך")</f>
        <v>פאר המלך</v>
      </c>
    </row>
    <row r="32273" spans="1:6" x14ac:dyDescent="0.2">
      <c r="A32273" t="s">
        <v>50351</v>
      </c>
      <c r="B32273" t="s">
        <v>50352</v>
      </c>
      <c r="C32273" t="s">
        <v>37</v>
      </c>
      <c r="D32273" t="s">
        <v>14</v>
      </c>
      <c r="E32273" t="s">
        <v>144</v>
      </c>
      <c r="F32273" s="2" t="str">
        <f>HYPERLINK("http://www.otzar.org/book.asp?605778","פאר המסכתא - יומא")</f>
        <v>פאר המסכתא - יומא</v>
      </c>
    </row>
    <row r="32274" spans="1:6" x14ac:dyDescent="0.2">
      <c r="A32274" t="s">
        <v>50353</v>
      </c>
      <c r="B32274" t="s">
        <v>50354</v>
      </c>
      <c r="C32274" t="s">
        <v>624</v>
      </c>
      <c r="D32274" t="s">
        <v>52</v>
      </c>
      <c r="E32274" t="s">
        <v>230</v>
      </c>
      <c r="F32274" s="2" t="str">
        <f>HYPERLINK("http://www.otzar.org/book.asp?172010","פאר הפור")</f>
        <v>פאר הפור</v>
      </c>
    </row>
    <row r="32275" spans="1:6" x14ac:dyDescent="0.2">
      <c r="A32275" t="s">
        <v>50355</v>
      </c>
      <c r="B32275" t="s">
        <v>50356</v>
      </c>
      <c r="C32275" t="s">
        <v>23</v>
      </c>
      <c r="D32275" t="s">
        <v>276</v>
      </c>
      <c r="E32275" t="s">
        <v>202</v>
      </c>
      <c r="F32275" s="2" t="str">
        <f>HYPERLINK("http://www.otzar.org/book.asp?604227","פאר השביעית")</f>
        <v>פאר השביעית</v>
      </c>
    </row>
    <row r="32276" spans="1:6" x14ac:dyDescent="0.2">
      <c r="A32276" t="s">
        <v>50357</v>
      </c>
      <c r="B32276" t="s">
        <v>50358</v>
      </c>
      <c r="C32276" t="s">
        <v>114</v>
      </c>
      <c r="D32276" t="s">
        <v>14</v>
      </c>
      <c r="E32276" t="s">
        <v>230</v>
      </c>
      <c r="F32276" s="2" t="str">
        <f>HYPERLINK("http://www.otzar.org/book.asp?174327","פאר התורה")</f>
        <v>פאר התורה</v>
      </c>
    </row>
    <row r="32277" spans="1:6" x14ac:dyDescent="0.2">
      <c r="A32277" t="s">
        <v>50359</v>
      </c>
      <c r="B32277" t="s">
        <v>50360</v>
      </c>
      <c r="C32277" t="s">
        <v>23</v>
      </c>
      <c r="D32277" t="s">
        <v>412</v>
      </c>
      <c r="E32277" t="s">
        <v>15</v>
      </c>
      <c r="F32277" s="2" t="str">
        <f>HYPERLINK("http://www.otzar.org/book.asp?183117","פאר והדר - תפילין")</f>
        <v>פאר והדר - תפילין</v>
      </c>
    </row>
    <row r="32278" spans="1:6" x14ac:dyDescent="0.2">
      <c r="A32278" t="s">
        <v>50361</v>
      </c>
      <c r="B32278" t="s">
        <v>15208</v>
      </c>
      <c r="C32278" t="s">
        <v>360</v>
      </c>
      <c r="D32278" t="s">
        <v>379</v>
      </c>
      <c r="E32278" t="s">
        <v>140</v>
      </c>
      <c r="F32278" s="2" t="str">
        <f>HYPERLINK("http://www.otzar.org/book.asp?10594","פאר וכבוד")</f>
        <v>פאר וכבוד</v>
      </c>
    </row>
    <row r="32279" spans="1:6" x14ac:dyDescent="0.2">
      <c r="A32279" t="s">
        <v>50362</v>
      </c>
      <c r="B32279" t="s">
        <v>50363</v>
      </c>
      <c r="C32279" t="s">
        <v>224</v>
      </c>
      <c r="D32279" t="s">
        <v>756</v>
      </c>
      <c r="E32279" t="s">
        <v>733</v>
      </c>
      <c r="F32279" s="2" t="str">
        <f>HYPERLINK("http://www.otzar.org/book.asp?164278","פאר יוסף - 2 כר'")</f>
        <v>פאר יוסף - 2 כר'</v>
      </c>
    </row>
    <row r="32280" spans="1:6" x14ac:dyDescent="0.2">
      <c r="A32280" t="s">
        <v>50362</v>
      </c>
      <c r="B32280" t="s">
        <v>50364</v>
      </c>
      <c r="C32280" t="s">
        <v>20</v>
      </c>
      <c r="E32280" t="s">
        <v>144</v>
      </c>
      <c r="F32280" s="2" t="str">
        <f>HYPERLINK("http://www.otzar.org/book.asp?20855","פאר יוסף - 2 כר'")</f>
        <v>פאר יוסף - 2 כר'</v>
      </c>
    </row>
    <row r="32281" spans="1:6" x14ac:dyDescent="0.2">
      <c r="A32281" t="s">
        <v>50365</v>
      </c>
      <c r="B32281" t="s">
        <v>3286</v>
      </c>
      <c r="C32281" t="s">
        <v>411</v>
      </c>
      <c r="D32281" t="s">
        <v>52</v>
      </c>
      <c r="E32281" t="s">
        <v>15</v>
      </c>
      <c r="F32281" s="2" t="str">
        <f>HYPERLINK("http://www.otzar.org/book.asp?174286","פאר יעקב")</f>
        <v>פאר יעקב</v>
      </c>
    </row>
    <row r="32282" spans="1:6" x14ac:dyDescent="0.2">
      <c r="A32282" t="s">
        <v>50366</v>
      </c>
      <c r="B32282" t="s">
        <v>50367</v>
      </c>
      <c r="C32282" t="s">
        <v>466</v>
      </c>
      <c r="D32282" t="s">
        <v>412</v>
      </c>
      <c r="E32282" t="s">
        <v>158</v>
      </c>
      <c r="F32282" s="2" t="str">
        <f>HYPERLINK("http://www.otzar.org/book.asp?158578","פאר יעקב - 4 כר'")</f>
        <v>פאר יעקב - 4 כר'</v>
      </c>
    </row>
    <row r="32283" spans="1:6" x14ac:dyDescent="0.2">
      <c r="A32283" t="s">
        <v>50368</v>
      </c>
      <c r="B32283" t="s">
        <v>50369</v>
      </c>
      <c r="C32283" t="s">
        <v>50370</v>
      </c>
      <c r="D32283" t="s">
        <v>39798</v>
      </c>
      <c r="F32283" s="2" t="str">
        <f>HYPERLINK("http://www.otzar.org/book.asp?618666","פאר יצחק תנינא")</f>
        <v>פאר יצחק תנינא</v>
      </c>
    </row>
    <row r="32284" spans="1:6" x14ac:dyDescent="0.2">
      <c r="A32284" t="s">
        <v>50371</v>
      </c>
      <c r="B32284" t="s">
        <v>50369</v>
      </c>
      <c r="C32284" t="s">
        <v>506</v>
      </c>
      <c r="D32284" t="s">
        <v>1279</v>
      </c>
      <c r="E32284" t="s">
        <v>226</v>
      </c>
      <c r="F32284" s="2" t="str">
        <f>HYPERLINK("http://www.otzar.org/book.asp?102133","פאר יצחק - 2 כר'")</f>
        <v>פאר יצחק - 2 כר'</v>
      </c>
    </row>
    <row r="32285" spans="1:6" x14ac:dyDescent="0.2">
      <c r="A32285" t="s">
        <v>50372</v>
      </c>
      <c r="B32285" t="s">
        <v>50373</v>
      </c>
      <c r="C32285" t="s">
        <v>334</v>
      </c>
      <c r="D32285" t="s">
        <v>14</v>
      </c>
      <c r="E32285" t="s">
        <v>2071</v>
      </c>
      <c r="F32285" s="2" t="str">
        <f>HYPERLINK("http://www.otzar.org/book.asp?161787","פאר ישראל &lt;מהדורה חדשה&gt;")</f>
        <v>פאר ישראל &lt;מהדורה חדשה&gt;</v>
      </c>
    </row>
    <row r="32286" spans="1:6" x14ac:dyDescent="0.2">
      <c r="A32286" t="s">
        <v>50374</v>
      </c>
      <c r="B32286" t="s">
        <v>15828</v>
      </c>
      <c r="C32286" t="s">
        <v>224</v>
      </c>
      <c r="D32286" t="s">
        <v>1538</v>
      </c>
      <c r="E32286" t="s">
        <v>930</v>
      </c>
      <c r="F32286" s="2" t="str">
        <f>HYPERLINK("http://www.otzar.org/book.asp?19156","פאר ישראל")</f>
        <v>פאר ישראל</v>
      </c>
    </row>
    <row r="32287" spans="1:6" x14ac:dyDescent="0.2">
      <c r="A32287" t="s">
        <v>50374</v>
      </c>
      <c r="B32287" t="s">
        <v>50373</v>
      </c>
      <c r="C32287" t="s">
        <v>334</v>
      </c>
      <c r="D32287" t="s">
        <v>14</v>
      </c>
      <c r="E32287" t="s">
        <v>158</v>
      </c>
      <c r="F32287" s="2" t="str">
        <f>HYPERLINK("http://www.otzar.org/book.asp?7913","פאר ישראל")</f>
        <v>פאר ישראל</v>
      </c>
    </row>
    <row r="32288" spans="1:6" x14ac:dyDescent="0.2">
      <c r="A32288" t="s">
        <v>50375</v>
      </c>
      <c r="B32288" t="s">
        <v>50376</v>
      </c>
      <c r="C32288" t="s">
        <v>411</v>
      </c>
      <c r="D32288" t="s">
        <v>276</v>
      </c>
      <c r="E32288" t="s">
        <v>3790</v>
      </c>
      <c r="F32288" s="2" t="str">
        <f>HYPERLINK("http://www.otzar.org/book.asp?195091","פאר ישראל - 2 כר'")</f>
        <v>פאר ישראל - 2 כר'</v>
      </c>
    </row>
    <row r="32289" spans="1:6" x14ac:dyDescent="0.2">
      <c r="A32289" t="s">
        <v>50374</v>
      </c>
      <c r="B32289" t="s">
        <v>50377</v>
      </c>
      <c r="C32289" t="s">
        <v>619</v>
      </c>
      <c r="D32289" t="s">
        <v>3293</v>
      </c>
      <c r="F32289" s="2" t="str">
        <f>HYPERLINK("http://www.otzar.org/book.asp?158194","פאר ישראל")</f>
        <v>פאר ישראל</v>
      </c>
    </row>
    <row r="32290" spans="1:6" x14ac:dyDescent="0.2">
      <c r="A32290" t="s">
        <v>50378</v>
      </c>
      <c r="B32290" t="s">
        <v>43970</v>
      </c>
      <c r="C32290" t="s">
        <v>1650</v>
      </c>
      <c r="D32290" t="s">
        <v>27</v>
      </c>
      <c r="E32290" t="s">
        <v>140</v>
      </c>
      <c r="F32290" s="2" t="str">
        <f>HYPERLINK("http://www.otzar.org/book.asp?8006","פאר לישרים")</f>
        <v>פאר לישרים</v>
      </c>
    </row>
    <row r="32291" spans="1:6" x14ac:dyDescent="0.2">
      <c r="A32291" t="s">
        <v>50379</v>
      </c>
      <c r="B32291" t="s">
        <v>43583</v>
      </c>
      <c r="C32291" t="s">
        <v>71</v>
      </c>
      <c r="D32291" t="s">
        <v>9530</v>
      </c>
      <c r="E32291" t="s">
        <v>579</v>
      </c>
      <c r="F32291" s="2" t="str">
        <f>HYPERLINK("http://www.otzar.org/book.asp?64258","פאר מלכות")</f>
        <v>פאר מלכות</v>
      </c>
    </row>
    <row r="32292" spans="1:6" x14ac:dyDescent="0.2">
      <c r="A32292" t="s">
        <v>50380</v>
      </c>
      <c r="B32292" t="s">
        <v>50381</v>
      </c>
      <c r="C32292" t="s">
        <v>20</v>
      </c>
      <c r="D32292" t="s">
        <v>90</v>
      </c>
      <c r="F32292" s="2" t="str">
        <f>HYPERLINK("http://www.otzar.org/book.asp?622309","פאר מקדושים")</f>
        <v>פאר מקדושים</v>
      </c>
    </row>
    <row r="32293" spans="1:6" x14ac:dyDescent="0.2">
      <c r="A32293" t="s">
        <v>50380</v>
      </c>
      <c r="B32293" t="s">
        <v>758</v>
      </c>
      <c r="C32293" t="s">
        <v>3246</v>
      </c>
      <c r="D32293" t="s">
        <v>50382</v>
      </c>
      <c r="E32293" t="s">
        <v>119</v>
      </c>
      <c r="F32293" s="2" t="str">
        <f>HYPERLINK("http://www.otzar.org/book.asp?20516","פאר מקדושים")</f>
        <v>פאר מקדושים</v>
      </c>
    </row>
    <row r="32294" spans="1:6" x14ac:dyDescent="0.2">
      <c r="A32294" t="s">
        <v>50383</v>
      </c>
      <c r="B32294" t="s">
        <v>17521</v>
      </c>
      <c r="C32294" t="s">
        <v>3246</v>
      </c>
      <c r="D32294" t="s">
        <v>283</v>
      </c>
      <c r="E32294" t="s">
        <v>463</v>
      </c>
      <c r="F32294" s="2" t="str">
        <f>HYPERLINK("http://www.otzar.org/book.asp?25261","פאר מרדכי")</f>
        <v>פאר מרדכי</v>
      </c>
    </row>
    <row r="32295" spans="1:6" x14ac:dyDescent="0.2">
      <c r="A32295" t="s">
        <v>50384</v>
      </c>
      <c r="B32295" t="s">
        <v>50385</v>
      </c>
      <c r="C32295" t="s">
        <v>87</v>
      </c>
      <c r="D32295" t="s">
        <v>736</v>
      </c>
      <c r="E32295" t="s">
        <v>186</v>
      </c>
      <c r="F32295" s="2" t="str">
        <f>HYPERLINK("http://www.otzar.org/book.asp?168001","פאר מרדכי - 7 כר'")</f>
        <v>פאר מרדכי - 7 כר'</v>
      </c>
    </row>
    <row r="32296" spans="1:6" x14ac:dyDescent="0.2">
      <c r="A32296" t="s">
        <v>50383</v>
      </c>
      <c r="B32296" t="s">
        <v>50386</v>
      </c>
      <c r="C32296" t="s">
        <v>3840</v>
      </c>
      <c r="D32296" t="s">
        <v>260</v>
      </c>
      <c r="E32296" t="s">
        <v>119</v>
      </c>
      <c r="F32296" s="2" t="str">
        <f>HYPERLINK("http://www.otzar.org/book.asp?20517","פאר מרדכי")</f>
        <v>פאר מרדכי</v>
      </c>
    </row>
    <row r="32297" spans="1:6" x14ac:dyDescent="0.2">
      <c r="A32297" t="s">
        <v>50387</v>
      </c>
      <c r="B32297" t="s">
        <v>50388</v>
      </c>
      <c r="C32297" t="s">
        <v>146</v>
      </c>
      <c r="D32297" t="s">
        <v>657</v>
      </c>
      <c r="E32297" t="s">
        <v>3516</v>
      </c>
      <c r="F32297" s="2" t="str">
        <f>HYPERLINK("http://www.otzar.org/book.asp?159610","פאר משה")</f>
        <v>פאר משה</v>
      </c>
    </row>
    <row r="32298" spans="1:6" x14ac:dyDescent="0.2">
      <c r="A32298" t="s">
        <v>50387</v>
      </c>
      <c r="B32298" t="s">
        <v>50387</v>
      </c>
      <c r="C32298" t="s">
        <v>17</v>
      </c>
      <c r="D32298" t="s">
        <v>52</v>
      </c>
      <c r="E32298" t="s">
        <v>234</v>
      </c>
      <c r="F32298" s="2" t="str">
        <f>HYPERLINK("http://www.otzar.org/book.asp?145024","פאר משה")</f>
        <v>פאר משה</v>
      </c>
    </row>
    <row r="32299" spans="1:6" x14ac:dyDescent="0.2">
      <c r="A32299" t="s">
        <v>50389</v>
      </c>
      <c r="B32299" t="s">
        <v>50390</v>
      </c>
      <c r="C32299" t="s">
        <v>576</v>
      </c>
      <c r="D32299" t="s">
        <v>1100</v>
      </c>
      <c r="E32299" t="s">
        <v>226</v>
      </c>
      <c r="F32299" s="2" t="str">
        <f>HYPERLINK("http://www.otzar.org/book.asp?7382","פאר משולם")</f>
        <v>פאר משולם</v>
      </c>
    </row>
    <row r="32300" spans="1:6" x14ac:dyDescent="0.2">
      <c r="A32300" t="s">
        <v>50391</v>
      </c>
      <c r="B32300" t="s">
        <v>50392</v>
      </c>
      <c r="C32300" t="s">
        <v>176</v>
      </c>
      <c r="D32300" t="s">
        <v>14</v>
      </c>
      <c r="E32300" t="s">
        <v>573</v>
      </c>
      <c r="F32300" s="2" t="str">
        <f>HYPERLINK("http://www.otzar.org/book.asp?620759","פאר נחום")</f>
        <v>פאר נחום</v>
      </c>
    </row>
    <row r="32301" spans="1:6" x14ac:dyDescent="0.2">
      <c r="A32301" t="s">
        <v>50393</v>
      </c>
      <c r="B32301" t="s">
        <v>50394</v>
      </c>
      <c r="C32301" t="s">
        <v>9958</v>
      </c>
      <c r="D32301" t="s">
        <v>27</v>
      </c>
      <c r="E32301" t="s">
        <v>154</v>
      </c>
      <c r="F32301" s="2" t="str">
        <f>HYPERLINK("http://www.otzar.org/book.asp?101487","פאר עץ חיים")</f>
        <v>פאר עץ חיים</v>
      </c>
    </row>
    <row r="32302" spans="1:6" x14ac:dyDescent="0.2">
      <c r="A32302" t="s">
        <v>50395</v>
      </c>
      <c r="B32302" t="s">
        <v>19002</v>
      </c>
      <c r="C32302" t="s">
        <v>775</v>
      </c>
      <c r="D32302" t="s">
        <v>14</v>
      </c>
      <c r="E32302" t="s">
        <v>674</v>
      </c>
      <c r="F32302" s="2" t="str">
        <f>HYPERLINK("http://www.otzar.org/book.asp?8326","פאר תחת אפר")</f>
        <v>פאר תחת אפר</v>
      </c>
    </row>
    <row r="32303" spans="1:6" x14ac:dyDescent="0.2">
      <c r="A32303" t="s">
        <v>50396</v>
      </c>
      <c r="B32303" t="s">
        <v>50397</v>
      </c>
      <c r="C32303" t="s">
        <v>20</v>
      </c>
      <c r="F32303" s="2" t="str">
        <f>HYPERLINK("http://www.otzar.org/book.asp?190940","פארו עלי ופארי עליו")</f>
        <v>פארו עלי ופארי עליו</v>
      </c>
    </row>
    <row r="32304" spans="1:6" x14ac:dyDescent="0.2">
      <c r="A32304" t="s">
        <v>50396</v>
      </c>
      <c r="B32304" t="s">
        <v>50398</v>
      </c>
      <c r="C32304" t="s">
        <v>20</v>
      </c>
      <c r="E32304" t="s">
        <v>148</v>
      </c>
      <c r="F32304" s="2" t="str">
        <f>HYPERLINK("http://www.otzar.org/book.asp?623352","פארו עלי ופארי עליו")</f>
        <v>פארו עלי ופארי עליו</v>
      </c>
    </row>
    <row r="32305" spans="1:6" x14ac:dyDescent="0.2">
      <c r="A32305" t="s">
        <v>50399</v>
      </c>
      <c r="B32305" t="s">
        <v>3644</v>
      </c>
      <c r="C32305" t="s">
        <v>13</v>
      </c>
      <c r="D32305" t="s">
        <v>14</v>
      </c>
      <c r="E32305" t="s">
        <v>2840</v>
      </c>
      <c r="F32305" s="2" t="str">
        <f>HYPERLINK("http://www.otzar.org/book.asp?159368","פארו עלי - על עניני תפילין ובר מצוה")</f>
        <v>פארו עלי - על עניני תפילין ובר מצוה</v>
      </c>
    </row>
    <row r="32306" spans="1:6" x14ac:dyDescent="0.2">
      <c r="A32306" t="s">
        <v>50400</v>
      </c>
      <c r="B32306" t="s">
        <v>23216</v>
      </c>
      <c r="C32306" t="s">
        <v>151</v>
      </c>
      <c r="D32306" t="s">
        <v>52</v>
      </c>
      <c r="F32306" s="2" t="str">
        <f>HYPERLINK("http://www.otzar.org/book.asp?617145","פארו עלי")</f>
        <v>פארו עלי</v>
      </c>
    </row>
    <row r="32307" spans="1:6" x14ac:dyDescent="0.2">
      <c r="A32307" t="s">
        <v>50401</v>
      </c>
      <c r="B32307" t="s">
        <v>50402</v>
      </c>
      <c r="C32307" t="s">
        <v>266</v>
      </c>
      <c r="D32307" t="s">
        <v>56</v>
      </c>
      <c r="E32307" t="s">
        <v>43</v>
      </c>
      <c r="F32307" s="2" t="str">
        <f>HYPERLINK("http://www.otzar.org/book.asp?189361","פארות יוסף")</f>
        <v>פארות יוסף</v>
      </c>
    </row>
    <row r="32308" spans="1:6" x14ac:dyDescent="0.2">
      <c r="A32308" t="s">
        <v>50403</v>
      </c>
      <c r="B32308" t="s">
        <v>489</v>
      </c>
      <c r="C32308" t="s">
        <v>13</v>
      </c>
      <c r="D32308" t="s">
        <v>486</v>
      </c>
      <c r="E32308" t="s">
        <v>22304</v>
      </c>
      <c r="F32308" s="2" t="str">
        <f>HYPERLINK("http://www.otzar.org/book.asp?147596","פארות - 2 כר'")</f>
        <v>פארות - 2 כר'</v>
      </c>
    </row>
    <row r="32309" spans="1:6" x14ac:dyDescent="0.2">
      <c r="A32309" t="s">
        <v>50404</v>
      </c>
      <c r="B32309" t="s">
        <v>50405</v>
      </c>
      <c r="C32309" t="s">
        <v>286</v>
      </c>
      <c r="D32309" t="s">
        <v>50406</v>
      </c>
      <c r="E32309" t="s">
        <v>5935</v>
      </c>
      <c r="F32309" s="2" t="str">
        <f>HYPERLINK("http://www.otzar.org/book.asp?12007","פארטראג איבער טהרת המשפחה")</f>
        <v>פארטראג איבער טהרת המשפחה</v>
      </c>
    </row>
    <row r="32310" spans="1:6" x14ac:dyDescent="0.2">
      <c r="A32310" t="s">
        <v>50407</v>
      </c>
      <c r="B32310" t="s">
        <v>16429</v>
      </c>
      <c r="C32310" t="s">
        <v>6448</v>
      </c>
      <c r="D32310" t="s">
        <v>544</v>
      </c>
      <c r="E32310" t="s">
        <v>50408</v>
      </c>
      <c r="F32310" s="2" t="str">
        <f>HYPERLINK("http://www.otzar.org/book.asp?146740","פארי הלכות")</f>
        <v>פארי הלכות</v>
      </c>
    </row>
    <row r="32311" spans="1:6" x14ac:dyDescent="0.2">
      <c r="A32311" t="s">
        <v>50409</v>
      </c>
      <c r="B32311" t="s">
        <v>4975</v>
      </c>
      <c r="C32311" t="s">
        <v>445</v>
      </c>
      <c r="D32311" t="s">
        <v>756</v>
      </c>
      <c r="E32311" t="s">
        <v>119</v>
      </c>
      <c r="F32311" s="2" t="str">
        <f>HYPERLINK("http://www.otzar.org/book.asp?11026","פארי חכמי מדינתינו")</f>
        <v>פארי חכמי מדינתינו</v>
      </c>
    </row>
    <row r="32312" spans="1:6" x14ac:dyDescent="0.2">
      <c r="A32312" t="s">
        <v>50410</v>
      </c>
      <c r="B32312" t="s">
        <v>50411</v>
      </c>
      <c r="C32312" t="s">
        <v>313</v>
      </c>
      <c r="D32312" t="s">
        <v>14</v>
      </c>
      <c r="E32312" t="s">
        <v>202</v>
      </c>
      <c r="F32312" s="2" t="str">
        <f>HYPERLINK("http://www.otzar.org/book.asp?85337","פארי ירושלים - 18 כר'")</f>
        <v>פארי ירושלים - 18 כר'</v>
      </c>
    </row>
    <row r="32313" spans="1:6" x14ac:dyDescent="0.2">
      <c r="A32313" t="s">
        <v>50412</v>
      </c>
      <c r="B32313" t="s">
        <v>50413</v>
      </c>
      <c r="C32313" t="s">
        <v>22368</v>
      </c>
      <c r="D32313" t="s">
        <v>15675</v>
      </c>
      <c r="F32313" s="2" t="str">
        <f>HYPERLINK("http://www.otzar.org/book.asp?147332","פאריז און וויענה")</f>
        <v>פאריז און וויענה</v>
      </c>
    </row>
    <row r="32314" spans="1:6" x14ac:dyDescent="0.2">
      <c r="A32314" t="s">
        <v>50414</v>
      </c>
      <c r="B32314" t="s">
        <v>50415</v>
      </c>
      <c r="C32314" t="s">
        <v>71</v>
      </c>
      <c r="D32314" t="s">
        <v>52</v>
      </c>
      <c r="E32314" t="s">
        <v>84</v>
      </c>
      <c r="F32314" s="2" t="str">
        <f>HYPERLINK("http://www.otzar.org/book.asp?50301","פאת הים - 2 כר'")</f>
        <v>פאת הים - 2 כר'</v>
      </c>
    </row>
    <row r="32315" spans="1:6" x14ac:dyDescent="0.2">
      <c r="A32315" t="s">
        <v>50416</v>
      </c>
      <c r="B32315" t="s">
        <v>2074</v>
      </c>
      <c r="C32315" t="s">
        <v>151</v>
      </c>
      <c r="D32315" t="s">
        <v>14</v>
      </c>
      <c r="F32315" s="2" t="str">
        <f>HYPERLINK("http://www.otzar.org/book.asp?622326","פאת הים - שער הכונות א")</f>
        <v>פאת הים - שער הכונות א</v>
      </c>
    </row>
    <row r="32316" spans="1:6" x14ac:dyDescent="0.2">
      <c r="A32316" t="s">
        <v>50417</v>
      </c>
      <c r="B32316" t="s">
        <v>50415</v>
      </c>
      <c r="C32316" t="s">
        <v>244</v>
      </c>
      <c r="D32316" t="s">
        <v>52</v>
      </c>
      <c r="E32316" t="s">
        <v>144</v>
      </c>
      <c r="F32316" s="2" t="str">
        <f>HYPERLINK("http://www.otzar.org/book.asp?199692","פאת הקדש - 16 כר'")</f>
        <v>פאת הקדש - 16 כר'</v>
      </c>
    </row>
    <row r="32317" spans="1:6" x14ac:dyDescent="0.2">
      <c r="A32317" t="s">
        <v>50418</v>
      </c>
      <c r="B32317" t="s">
        <v>50419</v>
      </c>
      <c r="C32317" t="s">
        <v>50420</v>
      </c>
      <c r="D32317" t="s">
        <v>267</v>
      </c>
      <c r="E32317" t="s">
        <v>148</v>
      </c>
      <c r="F32317" s="2" t="str">
        <f>HYPERLINK("http://www.otzar.org/book.asp?173146","פאת השדה - 4 כר'")</f>
        <v>פאת השדה - 4 כר'</v>
      </c>
    </row>
    <row r="32318" spans="1:6" x14ac:dyDescent="0.2">
      <c r="A32318" t="s">
        <v>50421</v>
      </c>
      <c r="B32318" t="s">
        <v>50415</v>
      </c>
      <c r="C32318" t="s">
        <v>940</v>
      </c>
      <c r="D32318" t="s">
        <v>52</v>
      </c>
      <c r="E32318" t="s">
        <v>84</v>
      </c>
      <c r="F32318" s="2" t="str">
        <f>HYPERLINK("http://www.otzar.org/book.asp?50303","פאת השדה - זרעים")</f>
        <v>פאת השדה - זרעים</v>
      </c>
    </row>
    <row r="32319" spans="1:6" x14ac:dyDescent="0.2">
      <c r="A32319" t="s">
        <v>50422</v>
      </c>
      <c r="B32319" t="s">
        <v>50423</v>
      </c>
      <c r="C32319" t="s">
        <v>151</v>
      </c>
      <c r="D32319" t="s">
        <v>52</v>
      </c>
      <c r="E32319" t="s">
        <v>84</v>
      </c>
      <c r="F32319" s="2" t="str">
        <f>HYPERLINK("http://www.otzar.org/book.asp?621412","פאת השדה - פאה")</f>
        <v>פאת השדה - פאה</v>
      </c>
    </row>
    <row r="32320" spans="1:6" x14ac:dyDescent="0.2">
      <c r="A32320" t="s">
        <v>50424</v>
      </c>
      <c r="B32320" t="s">
        <v>50425</v>
      </c>
      <c r="C32320" t="s">
        <v>558</v>
      </c>
      <c r="D32320" t="s">
        <v>27</v>
      </c>
      <c r="E32320" t="s">
        <v>22860</v>
      </c>
      <c r="F32320" s="2" t="str">
        <f>HYPERLINK("http://www.otzar.org/book.asp?13822","פאת השלחן &lt;בית רידב""ז&gt;")</f>
        <v>פאת השלחן &lt;בית רידב"ז&gt;</v>
      </c>
    </row>
    <row r="32321" spans="1:6" x14ac:dyDescent="0.2">
      <c r="A32321" t="s">
        <v>50426</v>
      </c>
      <c r="B32321" t="s">
        <v>50425</v>
      </c>
      <c r="C32321" t="s">
        <v>1169</v>
      </c>
      <c r="D32321" t="s">
        <v>27</v>
      </c>
      <c r="F32321" s="2" t="str">
        <f>HYPERLINK("http://www.otzar.org/book.asp?151276","פאת השלחן - 6 כר'")</f>
        <v>פאת השלחן - 6 כר'</v>
      </c>
    </row>
    <row r="32322" spans="1:6" x14ac:dyDescent="0.2">
      <c r="A32322" t="s">
        <v>50427</v>
      </c>
      <c r="B32322" t="s">
        <v>7320</v>
      </c>
      <c r="C32322" t="s">
        <v>37</v>
      </c>
      <c r="D32322" t="s">
        <v>14</v>
      </c>
      <c r="E32322" t="s">
        <v>15</v>
      </c>
      <c r="F32322" s="2" t="str">
        <f>HYPERLINK("http://www.otzar.org/book.asp?189130","פאת זקנך")</f>
        <v>פאת זקנך</v>
      </c>
    </row>
    <row r="32323" spans="1:6" x14ac:dyDescent="0.2">
      <c r="A32323" t="s">
        <v>50428</v>
      </c>
      <c r="B32323" t="s">
        <v>38672</v>
      </c>
      <c r="C32323" t="s">
        <v>383</v>
      </c>
      <c r="D32323" t="s">
        <v>721</v>
      </c>
      <c r="E32323" t="s">
        <v>154</v>
      </c>
      <c r="F32323" s="2" t="str">
        <f>HYPERLINK("http://www.otzar.org/book.asp?174497","פאת י""ם")</f>
        <v>פאת י"ם</v>
      </c>
    </row>
    <row r="32324" spans="1:6" x14ac:dyDescent="0.2">
      <c r="A32324" t="s">
        <v>50429</v>
      </c>
      <c r="B32324" t="s">
        <v>50430</v>
      </c>
      <c r="C32324" t="s">
        <v>767</v>
      </c>
      <c r="D32324" t="s">
        <v>14</v>
      </c>
      <c r="E32324" t="s">
        <v>144</v>
      </c>
      <c r="F32324" s="2" t="str">
        <f>HYPERLINK("http://www.otzar.org/book.asp?165901","פאת ים - 10 כר'")</f>
        <v>פאת ים - 10 כר'</v>
      </c>
    </row>
    <row r="32325" spans="1:6" x14ac:dyDescent="0.2">
      <c r="A32325" t="s">
        <v>50431</v>
      </c>
      <c r="B32325" t="s">
        <v>50432</v>
      </c>
      <c r="C32325" t="s">
        <v>2227</v>
      </c>
      <c r="D32325" t="s">
        <v>76</v>
      </c>
      <c r="E32325" t="s">
        <v>144</v>
      </c>
      <c r="F32325" s="2" t="str">
        <f>HYPERLINK("http://www.otzar.org/book.asp?20519","פאת ים")</f>
        <v>פאת ים</v>
      </c>
    </row>
    <row r="32326" spans="1:6" x14ac:dyDescent="0.2">
      <c r="A32326" t="s">
        <v>50431</v>
      </c>
      <c r="B32326" t="s">
        <v>27480</v>
      </c>
      <c r="C32326" t="s">
        <v>23</v>
      </c>
      <c r="D32326" t="s">
        <v>147</v>
      </c>
      <c r="E32326" t="s">
        <v>399</v>
      </c>
      <c r="F32326" s="2" t="str">
        <f>HYPERLINK("http://www.otzar.org/book.asp?193735","פאת ים")</f>
        <v>פאת ים</v>
      </c>
    </row>
    <row r="32327" spans="1:6" x14ac:dyDescent="0.2">
      <c r="A32327" t="s">
        <v>50433</v>
      </c>
      <c r="B32327" t="s">
        <v>16440</v>
      </c>
      <c r="C32327" t="s">
        <v>1659</v>
      </c>
      <c r="D32327" t="s">
        <v>76</v>
      </c>
      <c r="E32327" t="s">
        <v>23401</v>
      </c>
      <c r="F32327" s="2" t="str">
        <f>HYPERLINK("http://www.otzar.org/book.asp?101672","פאת נגב")</f>
        <v>פאת נגב</v>
      </c>
    </row>
    <row r="32328" spans="1:6" x14ac:dyDescent="0.2">
      <c r="A32328" t="s">
        <v>50434</v>
      </c>
      <c r="B32328" t="s">
        <v>8270</v>
      </c>
      <c r="C32328" t="s">
        <v>785</v>
      </c>
      <c r="D32328" t="s">
        <v>14</v>
      </c>
      <c r="E32328" t="s">
        <v>154</v>
      </c>
      <c r="F32328" s="2" t="str">
        <f>HYPERLINK("http://www.otzar.org/book.asp?28180","פאת שדך - 4 כר'")</f>
        <v>פאת שדך - 4 כר'</v>
      </c>
    </row>
    <row r="32329" spans="1:6" x14ac:dyDescent="0.2">
      <c r="A32329" t="s">
        <v>50435</v>
      </c>
      <c r="B32329" t="s">
        <v>776</v>
      </c>
      <c r="C32329" t="s">
        <v>237</v>
      </c>
      <c r="D32329" t="s">
        <v>27</v>
      </c>
      <c r="E32329" t="s">
        <v>241</v>
      </c>
      <c r="F32329" s="2" t="str">
        <f>HYPERLINK("http://www.otzar.org/book.asp?179225","פגי חן")</f>
        <v>פגי חן</v>
      </c>
    </row>
    <row r="32330" spans="1:6" x14ac:dyDescent="0.2">
      <c r="A32330" t="s">
        <v>50436</v>
      </c>
      <c r="B32330" t="s">
        <v>206</v>
      </c>
      <c r="C32330" t="s">
        <v>20</v>
      </c>
      <c r="D32330" t="s">
        <v>90</v>
      </c>
      <c r="E32330" t="s">
        <v>213</v>
      </c>
      <c r="F32330" s="2" t="str">
        <f>HYPERLINK("http://www.otzar.org/book.asp?190319","פגישה מקרית")</f>
        <v>פגישה מקרית</v>
      </c>
    </row>
    <row r="32331" spans="1:6" x14ac:dyDescent="0.2">
      <c r="A32331" t="s">
        <v>50437</v>
      </c>
      <c r="B32331" t="s">
        <v>50438</v>
      </c>
      <c r="C32331" t="s">
        <v>244</v>
      </c>
      <c r="D32331" t="s">
        <v>21</v>
      </c>
      <c r="E32331" t="s">
        <v>119</v>
      </c>
      <c r="F32331" s="2" t="str">
        <f>HYPERLINK("http://www.otzar.org/book.asp?196050","פגישת החמישיה")</f>
        <v>פגישת החמישיה</v>
      </c>
    </row>
    <row r="32332" spans="1:6" x14ac:dyDescent="0.2">
      <c r="A32332" t="s">
        <v>50439</v>
      </c>
      <c r="B32332" t="s">
        <v>602</v>
      </c>
      <c r="C32332" t="s">
        <v>617</v>
      </c>
      <c r="D32332" t="s">
        <v>27</v>
      </c>
      <c r="E32332" t="s">
        <v>241</v>
      </c>
      <c r="F32332" s="2" t="str">
        <f>HYPERLINK("http://www.otzar.org/book.asp?21956","פגעי הלאום")</f>
        <v>פגעי הלאום</v>
      </c>
    </row>
    <row r="32333" spans="1:6" x14ac:dyDescent="0.2">
      <c r="A32333" t="s">
        <v>50440</v>
      </c>
      <c r="B32333" t="s">
        <v>50441</v>
      </c>
      <c r="C32333" t="s">
        <v>767</v>
      </c>
      <c r="D32333" t="s">
        <v>14</v>
      </c>
      <c r="E32333" t="s">
        <v>50442</v>
      </c>
      <c r="F32333" s="2" t="str">
        <f>HYPERLINK("http://www.otzar.org/book.asp?105955","פדה את אברהם - 2 כר'")</f>
        <v>פדה את אברהם - 2 כר'</v>
      </c>
    </row>
    <row r="32334" spans="1:6" x14ac:dyDescent="0.2">
      <c r="A32334" t="s">
        <v>50443</v>
      </c>
      <c r="B32334" t="s">
        <v>50444</v>
      </c>
      <c r="C32334" t="s">
        <v>51</v>
      </c>
      <c r="D32334" t="s">
        <v>14</v>
      </c>
      <c r="E32334" t="s">
        <v>517</v>
      </c>
      <c r="F32334" s="2" t="str">
        <f>HYPERLINK("http://www.otzar.org/book.asp?200286","פדה את אברהם - מאמר יעקב")</f>
        <v>פדה את אברהם - מאמר יעקב</v>
      </c>
    </row>
    <row r="32335" spans="1:6" x14ac:dyDescent="0.2">
      <c r="A32335" t="s">
        <v>50445</v>
      </c>
      <c r="B32335" t="s">
        <v>1046</v>
      </c>
      <c r="C32335" t="s">
        <v>1706</v>
      </c>
      <c r="D32335" t="s">
        <v>157</v>
      </c>
      <c r="E32335" t="s">
        <v>50446</v>
      </c>
      <c r="F32335" s="2" t="str">
        <f>HYPERLINK("http://www.otzar.org/book.asp?101671","פדה את אברהם")</f>
        <v>פדה את אברהם</v>
      </c>
    </row>
    <row r="32336" spans="1:6" x14ac:dyDescent="0.2">
      <c r="A32336" t="s">
        <v>50447</v>
      </c>
      <c r="B32336" t="s">
        <v>50448</v>
      </c>
      <c r="C32336" t="s">
        <v>176</v>
      </c>
      <c r="D32336" t="s">
        <v>2798</v>
      </c>
      <c r="E32336" t="s">
        <v>463</v>
      </c>
      <c r="F32336" s="2" t="str">
        <f>HYPERLINK("http://www.otzar.org/book.asp?156397","פדה נפשי")</f>
        <v>פדה נפשי</v>
      </c>
    </row>
    <row r="32337" spans="1:6" x14ac:dyDescent="0.2">
      <c r="A32337" t="s">
        <v>50449</v>
      </c>
      <c r="B32337" t="s">
        <v>6324</v>
      </c>
      <c r="C32337" t="s">
        <v>558</v>
      </c>
      <c r="D32337" t="s">
        <v>56</v>
      </c>
      <c r="E32337" t="s">
        <v>27569</v>
      </c>
      <c r="F32337" s="2" t="str">
        <f>HYPERLINK("http://www.otzar.org/book.asp?102610","פדות יעקב")</f>
        <v>פדות יעקב</v>
      </c>
    </row>
    <row r="32338" spans="1:6" x14ac:dyDescent="0.2">
      <c r="A32338" t="s">
        <v>50449</v>
      </c>
      <c r="B32338" t="s">
        <v>16291</v>
      </c>
      <c r="C32338" t="s">
        <v>146</v>
      </c>
      <c r="D32338" t="s">
        <v>14</v>
      </c>
      <c r="E32338" t="s">
        <v>1433</v>
      </c>
      <c r="F32338" s="2" t="str">
        <f>HYPERLINK("http://www.otzar.org/book.asp?25847","פדות יעקב")</f>
        <v>פדות יעקב</v>
      </c>
    </row>
    <row r="32339" spans="1:6" x14ac:dyDescent="0.2">
      <c r="A32339" t="s">
        <v>50450</v>
      </c>
      <c r="B32339" t="s">
        <v>50451</v>
      </c>
      <c r="C32339" t="s">
        <v>291</v>
      </c>
      <c r="D32339" t="s">
        <v>327</v>
      </c>
      <c r="E32339" t="s">
        <v>474</v>
      </c>
      <c r="F32339" s="2" t="str">
        <f>HYPERLINK("http://www.otzar.org/book.asp?25264","פדות ישראל")</f>
        <v>פדות ישראל</v>
      </c>
    </row>
    <row r="32340" spans="1:6" x14ac:dyDescent="0.2">
      <c r="A32340" t="s">
        <v>50452</v>
      </c>
      <c r="B32340" t="s">
        <v>11439</v>
      </c>
      <c r="C32340" t="s">
        <v>87</v>
      </c>
      <c r="D32340" t="s">
        <v>21</v>
      </c>
      <c r="F32340" s="2" t="str">
        <f>HYPERLINK("http://www.otzar.org/book.asp?192227","פדיון הבן כהלכתו")</f>
        <v>פדיון הבן כהלכתו</v>
      </c>
    </row>
    <row r="32341" spans="1:6" x14ac:dyDescent="0.2">
      <c r="A32341" t="s">
        <v>50453</v>
      </c>
      <c r="B32341" t="s">
        <v>1549</v>
      </c>
      <c r="C32341" t="s">
        <v>17</v>
      </c>
      <c r="D32341" t="s">
        <v>1550</v>
      </c>
      <c r="E32341" t="s">
        <v>15</v>
      </c>
      <c r="F32341" s="2" t="str">
        <f>HYPERLINK("http://www.otzar.org/book.asp?189219","פדיון הבן")</f>
        <v>פדיון הבן</v>
      </c>
    </row>
    <row r="32342" spans="1:6" x14ac:dyDescent="0.2">
      <c r="A32342" t="s">
        <v>50453</v>
      </c>
      <c r="B32342" t="s">
        <v>107</v>
      </c>
      <c r="C32342" t="s">
        <v>20</v>
      </c>
      <c r="D32342" t="s">
        <v>14</v>
      </c>
      <c r="F32342" s="2" t="str">
        <f>HYPERLINK("http://www.otzar.org/book.asp?622152","פדיון הבן")</f>
        <v>פדיון הבן</v>
      </c>
    </row>
    <row r="32343" spans="1:6" x14ac:dyDescent="0.2">
      <c r="A32343" t="s">
        <v>50454</v>
      </c>
      <c r="B32343" t="s">
        <v>18093</v>
      </c>
      <c r="C32343" t="s">
        <v>189</v>
      </c>
      <c r="D32343" t="s">
        <v>14</v>
      </c>
      <c r="E32343" t="s">
        <v>15</v>
      </c>
      <c r="F32343" s="2" t="str">
        <f>HYPERLINK("http://www.otzar.org/book.asp?62913","פדיון חיים")</f>
        <v>פדיון חיים</v>
      </c>
    </row>
    <row r="32344" spans="1:6" x14ac:dyDescent="0.2">
      <c r="A32344" t="s">
        <v>50455</v>
      </c>
      <c r="B32344" t="s">
        <v>50456</v>
      </c>
      <c r="C32344" t="s">
        <v>50457</v>
      </c>
      <c r="D32344" t="s">
        <v>6608</v>
      </c>
      <c r="E32344" t="s">
        <v>1880</v>
      </c>
      <c r="F32344" s="2" t="str">
        <f>HYPERLINK("http://www.otzar.org/book.asp?467","פה אליהו - 4 כר'")</f>
        <v>פה אליהו - 4 כר'</v>
      </c>
    </row>
    <row r="32345" spans="1:6" x14ac:dyDescent="0.2">
      <c r="A32345" t="s">
        <v>50458</v>
      </c>
      <c r="B32345" t="s">
        <v>2396</v>
      </c>
      <c r="C32345" t="s">
        <v>624</v>
      </c>
      <c r="D32345" t="s">
        <v>1076</v>
      </c>
      <c r="E32345" t="s">
        <v>230</v>
      </c>
      <c r="F32345" s="2" t="str">
        <f>HYPERLINK("http://www.otzar.org/book.asp?22905","פה סח")</f>
        <v>פה סח</v>
      </c>
    </row>
    <row r="32346" spans="1:6" x14ac:dyDescent="0.2">
      <c r="A32346" t="s">
        <v>50459</v>
      </c>
      <c r="B32346" t="s">
        <v>37436</v>
      </c>
      <c r="C32346" t="s">
        <v>176</v>
      </c>
      <c r="D32346" t="s">
        <v>21</v>
      </c>
      <c r="F32346" s="2" t="str">
        <f>HYPERLINK("http://www.otzar.org/book.asp?190694","פה קדוש - 3 כר'")</f>
        <v>פה קדוש - 3 כר'</v>
      </c>
    </row>
    <row r="32347" spans="1:6" x14ac:dyDescent="0.2">
      <c r="A32347" t="s">
        <v>50460</v>
      </c>
      <c r="B32347" t="s">
        <v>14456</v>
      </c>
      <c r="C32347" t="s">
        <v>1811</v>
      </c>
      <c r="D32347" t="s">
        <v>14</v>
      </c>
      <c r="E32347" t="s">
        <v>241</v>
      </c>
      <c r="F32347" s="2" t="str">
        <f>HYPERLINK("http://www.otzar.org/book.asp?154137","פולמוס המוסר")</f>
        <v>פולמוס המוסר</v>
      </c>
    </row>
    <row r="32348" spans="1:6" x14ac:dyDescent="0.2">
      <c r="A32348" t="s">
        <v>50461</v>
      </c>
      <c r="B32348" t="s">
        <v>253</v>
      </c>
      <c r="F32348" s="2" t="str">
        <f>HYPERLINK("http://www.otzar.org/book.asp?612323","פולמוס עופות הפטם המצויים")</f>
        <v>פולמוס עופות הפטם המצויים</v>
      </c>
    </row>
    <row r="32349" spans="1:6" x14ac:dyDescent="0.2">
      <c r="A32349" t="s">
        <v>50462</v>
      </c>
      <c r="B32349" t="s">
        <v>34040</v>
      </c>
      <c r="E32349" t="s">
        <v>84</v>
      </c>
      <c r="F32349" s="2" t="str">
        <f>HYPERLINK("http://www.otzar.org/book.asp?624762","פון אונזער אלטען אוצר - 6 כר'")</f>
        <v>פון אונזער אלטען אוצר - 6 כר'</v>
      </c>
    </row>
    <row r="32350" spans="1:6" x14ac:dyDescent="0.2">
      <c r="A32350" t="s">
        <v>50463</v>
      </c>
      <c r="B32350" t="s">
        <v>50464</v>
      </c>
      <c r="C32350" t="s">
        <v>812</v>
      </c>
      <c r="D32350" t="s">
        <v>412</v>
      </c>
      <c r="F32350" s="2" t="str">
        <f>HYPERLINK("http://www.otzar.org/book.asp?196282","פון אונזער גייסטיגער חריפות")</f>
        <v>פון אונזער גייסטיגער חריפות</v>
      </c>
    </row>
    <row r="32351" spans="1:6" x14ac:dyDescent="0.2">
      <c r="A32351" t="s">
        <v>50465</v>
      </c>
      <c r="B32351" t="s">
        <v>50466</v>
      </c>
      <c r="C32351" t="s">
        <v>725</v>
      </c>
      <c r="D32351" t="s">
        <v>412</v>
      </c>
      <c r="F32351" s="2" t="str">
        <f>HYPERLINK("http://www.otzar.org/book.asp?196464","פון אייביגען קוואל")</f>
        <v>פון אייביגען קוואל</v>
      </c>
    </row>
    <row r="32352" spans="1:6" x14ac:dyDescent="0.2">
      <c r="A32352" t="s">
        <v>50467</v>
      </c>
      <c r="B32352" t="s">
        <v>50468</v>
      </c>
      <c r="C32352" t="s">
        <v>63</v>
      </c>
      <c r="D32352" t="s">
        <v>260</v>
      </c>
      <c r="E32352" t="s">
        <v>158</v>
      </c>
      <c r="F32352" s="2" t="str">
        <f>HYPERLINK("http://www.otzar.org/book.asp?627058","פון אייביקן קוואל")</f>
        <v>פון אייביקן קוואל</v>
      </c>
    </row>
    <row r="32353" spans="1:6" x14ac:dyDescent="0.2">
      <c r="A32353" t="s">
        <v>50469</v>
      </c>
      <c r="B32353" t="s">
        <v>50470</v>
      </c>
      <c r="C32353" t="s">
        <v>106</v>
      </c>
      <c r="D32353" t="s">
        <v>260</v>
      </c>
      <c r="E32353" t="s">
        <v>230</v>
      </c>
      <c r="F32353" s="2" t="str">
        <f>HYPERLINK("http://www.otzar.org/book.asp?196279","פון אייביקן קוואל - 2 כר'")</f>
        <v>פון אייביקן קוואל - 2 כר'</v>
      </c>
    </row>
    <row r="32354" spans="1:6" x14ac:dyDescent="0.2">
      <c r="A32354" t="s">
        <v>50471</v>
      </c>
      <c r="B32354" t="s">
        <v>50472</v>
      </c>
      <c r="C32354" t="s">
        <v>237</v>
      </c>
      <c r="D32354" t="s">
        <v>21</v>
      </c>
      <c r="F32354" s="2" t="str">
        <f>HYPERLINK("http://www.otzar.org/book.asp?605162","פון ביטערן קוואל לידער &lt;מן המעיין המר&gt;")</f>
        <v>פון ביטערן קוואל לידער &lt;מן המעיין המר&gt;</v>
      </c>
    </row>
    <row r="32355" spans="1:6" x14ac:dyDescent="0.2">
      <c r="A32355" t="s">
        <v>50473</v>
      </c>
      <c r="B32355" t="s">
        <v>50464</v>
      </c>
      <c r="C32355" t="s">
        <v>79</v>
      </c>
      <c r="D32355" t="s">
        <v>412</v>
      </c>
      <c r="F32355" s="2" t="str">
        <f>HYPERLINK("http://www.otzar.org/book.asp?196492","פון די חסידישע אוצרות")</f>
        <v>פון די חסידישע אוצרות</v>
      </c>
    </row>
    <row r="32356" spans="1:6" x14ac:dyDescent="0.2">
      <c r="A32356" t="s">
        <v>50474</v>
      </c>
      <c r="B32356" t="s">
        <v>50464</v>
      </c>
      <c r="C32356" t="s">
        <v>79</v>
      </c>
      <c r="D32356" t="s">
        <v>412</v>
      </c>
      <c r="E32356" t="s">
        <v>230</v>
      </c>
      <c r="F32356" s="2" t="str">
        <f>HYPERLINK("http://www.otzar.org/book.asp?154570","פון די חסידשע אוצרות")</f>
        <v>פון די חסידשע אוצרות</v>
      </c>
    </row>
    <row r="32357" spans="1:6" x14ac:dyDescent="0.2">
      <c r="A32357" t="s">
        <v>50475</v>
      </c>
      <c r="B32357" t="s">
        <v>50476</v>
      </c>
      <c r="C32357" t="s">
        <v>506</v>
      </c>
      <c r="D32357" t="s">
        <v>412</v>
      </c>
      <c r="E32357" t="s">
        <v>104</v>
      </c>
      <c r="F32357" s="2" t="str">
        <f>HYPERLINK("http://www.otzar.org/book.asp?174569","פון דער רבנישער וועלט")</f>
        <v>פון דער רבנישער וועלט</v>
      </c>
    </row>
    <row r="32358" spans="1:6" x14ac:dyDescent="0.2">
      <c r="A32358" t="s">
        <v>50477</v>
      </c>
      <c r="B32358" t="s">
        <v>50478</v>
      </c>
      <c r="C32358" t="s">
        <v>1062</v>
      </c>
      <c r="D32358" t="s">
        <v>29224</v>
      </c>
      <c r="E32358" t="s">
        <v>140</v>
      </c>
      <c r="F32358" s="2" t="str">
        <f>HYPERLINK("http://www.otzar.org/book.asp?173414","פון חסידישן קוואל")</f>
        <v>פון חסידישן קוואל</v>
      </c>
    </row>
    <row r="32359" spans="1:6" x14ac:dyDescent="0.2">
      <c r="A32359" t="s">
        <v>50479</v>
      </c>
      <c r="B32359" t="s">
        <v>46635</v>
      </c>
      <c r="C32359" t="s">
        <v>46</v>
      </c>
      <c r="D32359" t="s">
        <v>806</v>
      </c>
      <c r="E32359" t="s">
        <v>119</v>
      </c>
      <c r="F32359" s="2" t="str">
        <f>HYPERLINK("http://www.otzar.org/book.asp?156006","פון נאצישען יאמערטאל")</f>
        <v>פון נאצישען יאמערטאל</v>
      </c>
    </row>
    <row r="32360" spans="1:6" x14ac:dyDescent="0.2">
      <c r="A32360" t="s">
        <v>50480</v>
      </c>
      <c r="B32360" t="s">
        <v>50481</v>
      </c>
      <c r="C32360" t="s">
        <v>20</v>
      </c>
      <c r="D32360" t="s">
        <v>50482</v>
      </c>
      <c r="E32360" t="s">
        <v>104</v>
      </c>
      <c r="F32360" s="2" t="str">
        <f>HYPERLINK("http://www.otzar.org/book.asp?171436","פון ר' אייזעלע'ס מויל")</f>
        <v>פון ר' אייזעלע'ס מויל</v>
      </c>
    </row>
    <row r="32361" spans="1:6" x14ac:dyDescent="0.2">
      <c r="A32361" t="s">
        <v>50483</v>
      </c>
      <c r="B32361" t="s">
        <v>50484</v>
      </c>
      <c r="C32361" t="s">
        <v>237</v>
      </c>
      <c r="D32361" t="s">
        <v>14778</v>
      </c>
      <c r="F32361" s="2" t="str">
        <f>HYPERLINK("http://www.otzar.org/book.asp?196485","פון תורה אוצר")</f>
        <v>פון תורה אוצר</v>
      </c>
    </row>
    <row r="32362" spans="1:6" x14ac:dyDescent="0.2">
      <c r="A32362" t="s">
        <v>50485</v>
      </c>
      <c r="B32362" t="s">
        <v>50486</v>
      </c>
      <c r="C32362" t="s">
        <v>919</v>
      </c>
      <c r="D32362" t="s">
        <v>52</v>
      </c>
      <c r="E32362" t="s">
        <v>202</v>
      </c>
      <c r="F32362" s="2" t="str">
        <f>HYPERLINK("http://www.otzar.org/book.asp?625576","פוניבז - 1")</f>
        <v>פוניבז - 1</v>
      </c>
    </row>
    <row r="32363" spans="1:6" x14ac:dyDescent="0.2">
      <c r="A32363" t="s">
        <v>50487</v>
      </c>
      <c r="B32363" t="s">
        <v>4742</v>
      </c>
      <c r="C32363" t="s">
        <v>51</v>
      </c>
      <c r="D32363" t="s">
        <v>52</v>
      </c>
      <c r="E32363" t="s">
        <v>15</v>
      </c>
      <c r="F32363" s="2" t="str">
        <f>HYPERLINK("http://www.otzar.org/book.asp?52920","פועל אמת")</f>
        <v>פועל אמת</v>
      </c>
    </row>
    <row r="32364" spans="1:6" x14ac:dyDescent="0.2">
      <c r="A32364" t="s">
        <v>50488</v>
      </c>
      <c r="B32364" t="s">
        <v>50489</v>
      </c>
      <c r="F32364" s="2" t="str">
        <f>HYPERLINK("http://www.otzar.org/book.asp?612652","פועל ה' - 2 כר'")</f>
        <v>פועל ה' - 2 כר'</v>
      </c>
    </row>
    <row r="32365" spans="1:6" x14ac:dyDescent="0.2">
      <c r="A32365" t="s">
        <v>50490</v>
      </c>
      <c r="B32365" t="s">
        <v>50491</v>
      </c>
      <c r="C32365" t="s">
        <v>114</v>
      </c>
      <c r="D32365" t="s">
        <v>14</v>
      </c>
      <c r="E32365" t="s">
        <v>674</v>
      </c>
      <c r="F32365" s="2" t="str">
        <f>HYPERLINK("http://www.otzar.org/book.asp?173842","פועל צדק עם ביאורי המצוה")</f>
        <v>פועל צדק עם ביאורי המצוה</v>
      </c>
    </row>
    <row r="32366" spans="1:6" x14ac:dyDescent="0.2">
      <c r="A32366" t="s">
        <v>50492</v>
      </c>
      <c r="B32366" t="s">
        <v>13091</v>
      </c>
      <c r="C32366" t="s">
        <v>79</v>
      </c>
      <c r="D32366" t="s">
        <v>9</v>
      </c>
      <c r="E32366" t="s">
        <v>104</v>
      </c>
      <c r="F32366" s="2" t="str">
        <f>HYPERLINK("http://www.otzar.org/book.asp?28425","פועל צדק עם פירוש פאר המצות")</f>
        <v>פועל צדק עם פירוש פאר המצות</v>
      </c>
    </row>
    <row r="32367" spans="1:6" x14ac:dyDescent="0.2">
      <c r="A32367" t="s">
        <v>50493</v>
      </c>
      <c r="B32367" t="s">
        <v>13091</v>
      </c>
      <c r="C32367" t="s">
        <v>433</v>
      </c>
      <c r="D32367" t="s">
        <v>9</v>
      </c>
      <c r="E32367" t="s">
        <v>104</v>
      </c>
      <c r="F32367" s="2" t="str">
        <f>HYPERLINK("http://www.otzar.org/book.asp?5253","פועל צדק - 6 כר'")</f>
        <v>פועל צדק - 6 כר'</v>
      </c>
    </row>
    <row r="32368" spans="1:6" x14ac:dyDescent="0.2">
      <c r="A32368" t="s">
        <v>50494</v>
      </c>
      <c r="B32368" t="s">
        <v>2993</v>
      </c>
      <c r="C32368" t="s">
        <v>146</v>
      </c>
      <c r="D32368" t="s">
        <v>14919</v>
      </c>
      <c r="E32368" t="s">
        <v>213</v>
      </c>
      <c r="F32368" s="2" t="str">
        <f>HYPERLINK("http://www.otzar.org/book.asp?84172","פוקד עקרים &lt;מהדורת הר ברכה&gt;")</f>
        <v>פוקד עקרים &lt;מהדורת הר ברכה&gt;</v>
      </c>
    </row>
    <row r="32369" spans="1:6" x14ac:dyDescent="0.2">
      <c r="A32369" t="s">
        <v>50495</v>
      </c>
      <c r="B32369" t="s">
        <v>2993</v>
      </c>
      <c r="C32369" t="s">
        <v>649</v>
      </c>
      <c r="D32369" t="s">
        <v>225</v>
      </c>
      <c r="E32369" t="s">
        <v>741</v>
      </c>
      <c r="F32369" s="2" t="str">
        <f>HYPERLINK("http://www.otzar.org/book.asp?10303","פוקד עקרים")</f>
        <v>פוקד עקרים</v>
      </c>
    </row>
    <row r="32370" spans="1:6" x14ac:dyDescent="0.2">
      <c r="A32370" t="s">
        <v>50496</v>
      </c>
      <c r="B32370" t="s">
        <v>1367</v>
      </c>
      <c r="C32370" t="s">
        <v>1124</v>
      </c>
      <c r="D32370" t="s">
        <v>1913</v>
      </c>
      <c r="F32370" s="2" t="str">
        <f>HYPERLINK("http://www.otzar.org/book.asp?150372","פוקח עורים - 3 כר'")</f>
        <v>פוקח עורים - 3 כר'</v>
      </c>
    </row>
    <row r="32371" spans="1:6" x14ac:dyDescent="0.2">
      <c r="A32371" t="s">
        <v>50497</v>
      </c>
      <c r="B32371" t="s">
        <v>50498</v>
      </c>
      <c r="C32371" t="s">
        <v>422</v>
      </c>
      <c r="D32371" t="s">
        <v>21</v>
      </c>
      <c r="E32371" t="s">
        <v>230</v>
      </c>
      <c r="F32371" s="2" t="str">
        <f>HYPERLINK("http://www.otzar.org/book.asp?197200","פור המגילה")</f>
        <v>פור המגילה</v>
      </c>
    </row>
    <row r="32372" spans="1:6" x14ac:dyDescent="0.2">
      <c r="A32372" t="s">
        <v>50499</v>
      </c>
      <c r="B32372" t="s">
        <v>8048</v>
      </c>
      <c r="C32372" t="s">
        <v>111</v>
      </c>
      <c r="D32372" t="s">
        <v>52</v>
      </c>
      <c r="E32372" t="s">
        <v>130</v>
      </c>
      <c r="F32372" s="2" t="str">
        <f>HYPERLINK("http://www.otzar.org/book.asp?623634","פורים בעיר לוד")</f>
        <v>פורים בעיר לוד</v>
      </c>
    </row>
    <row r="32373" spans="1:6" x14ac:dyDescent="0.2">
      <c r="A32373" t="s">
        <v>50500</v>
      </c>
      <c r="B32373" t="s">
        <v>5512</v>
      </c>
      <c r="C32373" t="s">
        <v>366</v>
      </c>
      <c r="D32373" t="s">
        <v>229</v>
      </c>
      <c r="F32373" s="2" t="str">
        <f>HYPERLINK("http://www.otzar.org/book.asp?610332","פורים דיליה")</f>
        <v>פורים דיליה</v>
      </c>
    </row>
    <row r="32374" spans="1:6" x14ac:dyDescent="0.2">
      <c r="A32374" t="s">
        <v>50501</v>
      </c>
      <c r="B32374" t="s">
        <v>31473</v>
      </c>
      <c r="C32374" t="s">
        <v>114</v>
      </c>
      <c r="D32374" t="s">
        <v>2798</v>
      </c>
      <c r="E32374" t="s">
        <v>130</v>
      </c>
      <c r="F32374" s="2" t="str">
        <f>HYPERLINK("http://www.otzar.org/book.asp?171097","פורים דמוקפין בבאר שבע")</f>
        <v>פורים דמוקפין בבאר שבע</v>
      </c>
    </row>
    <row r="32375" spans="1:6" x14ac:dyDescent="0.2">
      <c r="A32375" t="s">
        <v>50502</v>
      </c>
      <c r="B32375" t="s">
        <v>50503</v>
      </c>
      <c r="C32375" t="s">
        <v>20</v>
      </c>
      <c r="D32375" t="s">
        <v>90</v>
      </c>
      <c r="E32375" t="s">
        <v>1164</v>
      </c>
      <c r="F32375" s="2" t="str">
        <f>HYPERLINK("http://www.otzar.org/book.asp?191229","פורים האור הגדול")</f>
        <v>פורים האור הגדול</v>
      </c>
    </row>
    <row r="32376" spans="1:6" x14ac:dyDescent="0.2">
      <c r="A32376" t="s">
        <v>50504</v>
      </c>
      <c r="B32376" t="s">
        <v>15708</v>
      </c>
      <c r="C32376" t="s">
        <v>189</v>
      </c>
      <c r="D32376" t="s">
        <v>14</v>
      </c>
      <c r="E32376" t="s">
        <v>130</v>
      </c>
      <c r="F32376" s="2" t="str">
        <f>HYPERLINK("http://www.otzar.org/book.asp?626085","פורים המשולש וערב פסח שחל להיות בשבת - ע""פ פסקי רבי מרדכי אליהו")</f>
        <v>פורים המשולש וערב פסח שחל להיות בשבת - ע"פ פסקי רבי מרדכי אליהו</v>
      </c>
    </row>
    <row r="32377" spans="1:6" x14ac:dyDescent="0.2">
      <c r="A32377" t="s">
        <v>50505</v>
      </c>
      <c r="B32377" t="s">
        <v>29487</v>
      </c>
      <c r="C32377" t="s">
        <v>13</v>
      </c>
      <c r="D32377" t="s">
        <v>52</v>
      </c>
      <c r="E32377" t="s">
        <v>130</v>
      </c>
      <c r="F32377" s="2" t="str">
        <f>HYPERLINK("http://www.otzar.org/book.asp?61000","פורים המשולש וערב פסח שחל להיות בשבת")</f>
        <v>פורים המשולש וערב פסח שחל להיות בשבת</v>
      </c>
    </row>
    <row r="32378" spans="1:6" x14ac:dyDescent="0.2">
      <c r="A32378" t="s">
        <v>50506</v>
      </c>
      <c r="B32378" t="s">
        <v>1504</v>
      </c>
      <c r="C32378" t="s">
        <v>1570</v>
      </c>
      <c r="D32378" t="s">
        <v>14</v>
      </c>
      <c r="E32378" t="s">
        <v>130</v>
      </c>
      <c r="F32378" s="2" t="str">
        <f>HYPERLINK("http://www.otzar.org/book.asp?195555","פורים המשולש")</f>
        <v>פורים המשולש</v>
      </c>
    </row>
    <row r="32379" spans="1:6" x14ac:dyDescent="0.2">
      <c r="A32379" t="s">
        <v>50506</v>
      </c>
      <c r="B32379" t="s">
        <v>17068</v>
      </c>
      <c r="C32379" t="s">
        <v>189</v>
      </c>
      <c r="D32379" t="s">
        <v>14</v>
      </c>
      <c r="E32379" t="s">
        <v>130</v>
      </c>
      <c r="F32379" s="2" t="str">
        <f>HYPERLINK("http://www.otzar.org/book.asp?23444","פורים המשולש")</f>
        <v>פורים המשולש</v>
      </c>
    </row>
    <row r="32380" spans="1:6" x14ac:dyDescent="0.2">
      <c r="A32380" t="s">
        <v>50507</v>
      </c>
      <c r="B32380" t="s">
        <v>1728</v>
      </c>
      <c r="C32380" t="s">
        <v>133</v>
      </c>
      <c r="D32380" t="s">
        <v>273</v>
      </c>
      <c r="E32380" t="s">
        <v>6981</v>
      </c>
      <c r="F32380" s="2" t="str">
        <f>HYPERLINK("http://www.otzar.org/book.asp?628568","פורים לנו")</f>
        <v>פורים לנו</v>
      </c>
    </row>
    <row r="32381" spans="1:6" x14ac:dyDescent="0.2">
      <c r="A32381" t="s">
        <v>50508</v>
      </c>
      <c r="B32381" t="s">
        <v>3286</v>
      </c>
      <c r="C32381" t="s">
        <v>438</v>
      </c>
      <c r="D32381" t="s">
        <v>52</v>
      </c>
      <c r="E32381" t="s">
        <v>130</v>
      </c>
      <c r="F32381" s="2" t="str">
        <f>HYPERLINK("http://www.otzar.org/book.asp?15259","פורים משולש - 2 כר'")</f>
        <v>פורים משולש - 2 כר'</v>
      </c>
    </row>
    <row r="32382" spans="1:6" x14ac:dyDescent="0.2">
      <c r="A32382" t="s">
        <v>50509</v>
      </c>
      <c r="B32382" t="s">
        <v>50510</v>
      </c>
      <c r="C32382" t="s">
        <v>114</v>
      </c>
      <c r="D32382" t="s">
        <v>14</v>
      </c>
      <c r="E32382" t="s">
        <v>246</v>
      </c>
      <c r="F32382" s="2" t="str">
        <f>HYPERLINK("http://www.otzar.org/book.asp?167768","פורים סראגוסא בהלכה ובאגדה")</f>
        <v>פורים סראגוסא בהלכה ובאגדה</v>
      </c>
    </row>
    <row r="32383" spans="1:6" x14ac:dyDescent="0.2">
      <c r="A32383" t="s">
        <v>50511</v>
      </c>
      <c r="B32383" t="s">
        <v>50512</v>
      </c>
      <c r="C32383" t="s">
        <v>624</v>
      </c>
      <c r="D32383" t="s">
        <v>412</v>
      </c>
      <c r="E32383" t="s">
        <v>158</v>
      </c>
      <c r="F32383" s="2" t="str">
        <f>HYPERLINK("http://www.otzar.org/book.asp?159686","פורס מפה")</f>
        <v>פורס מפה</v>
      </c>
    </row>
    <row r="32384" spans="1:6" x14ac:dyDescent="0.2">
      <c r="A32384" t="s">
        <v>50513</v>
      </c>
      <c r="B32384" t="s">
        <v>50514</v>
      </c>
      <c r="C32384" t="s">
        <v>13</v>
      </c>
      <c r="D32384" t="s">
        <v>52</v>
      </c>
      <c r="E32384" t="s">
        <v>1211</v>
      </c>
      <c r="F32384" s="2" t="str">
        <f>HYPERLINK("http://www.otzar.org/book.asp?62199","פורת יוסף עם ביאור באר יוסף")</f>
        <v>פורת יוסף עם ביאור באר יוסף</v>
      </c>
    </row>
    <row r="32385" spans="1:6" x14ac:dyDescent="0.2">
      <c r="A32385" t="s">
        <v>50515</v>
      </c>
      <c r="B32385" t="s">
        <v>12062</v>
      </c>
      <c r="C32385" t="s">
        <v>1640</v>
      </c>
      <c r="D32385" t="s">
        <v>21</v>
      </c>
      <c r="E32385" t="s">
        <v>158</v>
      </c>
      <c r="F32385" s="2" t="str">
        <f>HYPERLINK("http://www.otzar.org/book.asp?604399","פורת יוסף - על התורה")</f>
        <v>פורת יוסף - על התורה</v>
      </c>
    </row>
    <row r="32386" spans="1:6" x14ac:dyDescent="0.2">
      <c r="A32386" t="s">
        <v>50516</v>
      </c>
      <c r="B32386" t="s">
        <v>32689</v>
      </c>
      <c r="C32386" t="s">
        <v>2225</v>
      </c>
      <c r="D32386" t="s">
        <v>49</v>
      </c>
      <c r="E32386" t="s">
        <v>573</v>
      </c>
      <c r="F32386" s="2" t="str">
        <f>HYPERLINK("http://www.otzar.org/book.asp?12879","פורת יוסף - 2 כר'")</f>
        <v>פורת יוסף - 2 כר'</v>
      </c>
    </row>
    <row r="32387" spans="1:6" x14ac:dyDescent="0.2">
      <c r="A32387" t="s">
        <v>50517</v>
      </c>
      <c r="B32387" t="s">
        <v>41242</v>
      </c>
      <c r="C32387" t="s">
        <v>29803</v>
      </c>
      <c r="D32387" t="s">
        <v>49</v>
      </c>
      <c r="E32387" t="s">
        <v>2088</v>
      </c>
      <c r="F32387" s="2" t="str">
        <f>HYPERLINK("http://www.otzar.org/book.asp?101766","פורת יוסף")</f>
        <v>פורת יוסף</v>
      </c>
    </row>
    <row r="32388" spans="1:6" x14ac:dyDescent="0.2">
      <c r="A32388" t="s">
        <v>50518</v>
      </c>
      <c r="B32388" t="s">
        <v>50519</v>
      </c>
      <c r="C32388" t="s">
        <v>1374</v>
      </c>
      <c r="D32388" t="s">
        <v>691</v>
      </c>
      <c r="E32388" t="s">
        <v>154</v>
      </c>
      <c r="F32388" s="2" t="str">
        <f>HYPERLINK("http://www.otzar.org/book.asp?84071","פורת יוסף - א-ב")</f>
        <v>פורת יוסף - א-ב</v>
      </c>
    </row>
    <row r="32389" spans="1:6" x14ac:dyDescent="0.2">
      <c r="A32389" t="s">
        <v>50517</v>
      </c>
      <c r="B32389" t="s">
        <v>41552</v>
      </c>
      <c r="C32389" t="s">
        <v>594</v>
      </c>
      <c r="D32389" t="s">
        <v>56</v>
      </c>
      <c r="E32389" t="s">
        <v>104</v>
      </c>
      <c r="F32389" s="2" t="str">
        <f>HYPERLINK("http://www.otzar.org/book.asp?28476","פורת יוסף")</f>
        <v>פורת יוסף</v>
      </c>
    </row>
    <row r="32390" spans="1:6" x14ac:dyDescent="0.2">
      <c r="A32390" t="s">
        <v>50516</v>
      </c>
      <c r="B32390" t="s">
        <v>1361</v>
      </c>
      <c r="C32390" t="s">
        <v>1096</v>
      </c>
      <c r="D32390" t="s">
        <v>283</v>
      </c>
      <c r="E32390" t="s">
        <v>144</v>
      </c>
      <c r="F32390" s="2" t="str">
        <f>HYPERLINK("http://www.otzar.org/book.asp?626510","פורת יוסף - 2 כר'")</f>
        <v>פורת יוסף - 2 כר'</v>
      </c>
    </row>
    <row r="32391" spans="1:6" x14ac:dyDescent="0.2">
      <c r="A32391" t="s">
        <v>50520</v>
      </c>
      <c r="B32391" t="s">
        <v>8907</v>
      </c>
      <c r="C32391" t="s">
        <v>366</v>
      </c>
      <c r="D32391" t="s">
        <v>90</v>
      </c>
      <c r="E32391" t="s">
        <v>158</v>
      </c>
      <c r="F32391" s="2" t="str">
        <f>HYPERLINK("http://www.otzar.org/book.asp?616441","פותח את ידך")</f>
        <v>פותח את ידך</v>
      </c>
    </row>
    <row r="32392" spans="1:6" x14ac:dyDescent="0.2">
      <c r="A32392" t="s">
        <v>50521</v>
      </c>
      <c r="B32392" t="s">
        <v>50522</v>
      </c>
      <c r="C32392" t="s">
        <v>189</v>
      </c>
      <c r="D32392" t="s">
        <v>14</v>
      </c>
      <c r="E32392" t="s">
        <v>144</v>
      </c>
      <c r="F32392" s="2" t="str">
        <f>HYPERLINK("http://www.otzar.org/book.asp?156511","פותח שער - 4 כר'")</f>
        <v>פותח שער - 4 כר'</v>
      </c>
    </row>
    <row r="32393" spans="1:6" x14ac:dyDescent="0.2">
      <c r="A32393" t="s">
        <v>50523</v>
      </c>
      <c r="B32393" t="s">
        <v>2176</v>
      </c>
      <c r="C32393" t="s">
        <v>17</v>
      </c>
      <c r="D32393" t="s">
        <v>14</v>
      </c>
      <c r="E32393" t="s">
        <v>674</v>
      </c>
      <c r="F32393" s="2" t="str">
        <f>HYPERLINK("http://www.otzar.org/book.asp?21043","פותח שער")</f>
        <v>פותח שער</v>
      </c>
    </row>
    <row r="32394" spans="1:6" x14ac:dyDescent="0.2">
      <c r="A32394" t="s">
        <v>50524</v>
      </c>
      <c r="B32394" t="s">
        <v>11831</v>
      </c>
      <c r="C32394" t="s">
        <v>940</v>
      </c>
      <c r="D32394" t="s">
        <v>646</v>
      </c>
      <c r="E32394" t="s">
        <v>15</v>
      </c>
      <c r="F32394" s="2" t="str">
        <f>HYPERLINK("http://www.otzar.org/book.asp?163026","פותח שער - נדה וטבילה")</f>
        <v>פותח שער - נדה וטבילה</v>
      </c>
    </row>
    <row r="32395" spans="1:6" x14ac:dyDescent="0.2">
      <c r="A32395" t="s">
        <v>50525</v>
      </c>
      <c r="B32395" t="s">
        <v>8554</v>
      </c>
      <c r="C32395" t="s">
        <v>20</v>
      </c>
      <c r="D32395" t="s">
        <v>412</v>
      </c>
      <c r="F32395" s="2" t="str">
        <f>HYPERLINK("http://www.otzar.org/book.asp?618668","פותח שערים")</f>
        <v>פותח שערים</v>
      </c>
    </row>
    <row r="32396" spans="1:6" x14ac:dyDescent="0.2">
      <c r="A32396" t="s">
        <v>50525</v>
      </c>
      <c r="B32396" t="s">
        <v>43360</v>
      </c>
      <c r="C32396" t="s">
        <v>553</v>
      </c>
      <c r="D32396" t="s">
        <v>52</v>
      </c>
      <c r="E32396" t="s">
        <v>144</v>
      </c>
      <c r="F32396" s="2" t="str">
        <f>HYPERLINK("http://www.otzar.org/book.asp?155927","פותח שערים")</f>
        <v>פותח שערים</v>
      </c>
    </row>
    <row r="32397" spans="1:6" x14ac:dyDescent="0.2">
      <c r="A32397" t="s">
        <v>50526</v>
      </c>
      <c r="B32397" t="s">
        <v>50527</v>
      </c>
      <c r="C32397" t="s">
        <v>68</v>
      </c>
      <c r="D32397" t="s">
        <v>14</v>
      </c>
      <c r="E32397" t="s">
        <v>733</v>
      </c>
      <c r="F32397" s="2" t="str">
        <f>HYPERLINK("http://www.otzar.org/book.asp?179578","פותח שערים - זכרונות ופרקי חיים")</f>
        <v>פותח שערים - זכרונות ופרקי חיים</v>
      </c>
    </row>
    <row r="32398" spans="1:6" x14ac:dyDescent="0.2">
      <c r="A32398" t="s">
        <v>50528</v>
      </c>
      <c r="B32398" t="s">
        <v>50529</v>
      </c>
      <c r="C32398" t="s">
        <v>168</v>
      </c>
      <c r="D32398" t="s">
        <v>14</v>
      </c>
      <c r="E32398" t="s">
        <v>674</v>
      </c>
      <c r="F32398" s="2" t="str">
        <f>HYPERLINK("http://www.otzar.org/book.asp?22720","פותח שערים - 2 כר'")</f>
        <v>פותח שערים - 2 כר'</v>
      </c>
    </row>
    <row r="32399" spans="1:6" x14ac:dyDescent="0.2">
      <c r="A32399" t="s">
        <v>50530</v>
      </c>
      <c r="B32399" t="s">
        <v>30489</v>
      </c>
      <c r="C32399" t="s">
        <v>422</v>
      </c>
      <c r="F32399" s="2" t="str">
        <f>HYPERLINK("http://www.otzar.org/book.asp?604885","פז השולמית")</f>
        <v>פז השולמית</v>
      </c>
    </row>
    <row r="32400" spans="1:6" x14ac:dyDescent="0.2">
      <c r="A32400" t="s">
        <v>50531</v>
      </c>
      <c r="B32400" t="s">
        <v>12106</v>
      </c>
      <c r="C32400" t="s">
        <v>422</v>
      </c>
      <c r="D32400" t="s">
        <v>14</v>
      </c>
      <c r="E32400" t="s">
        <v>158</v>
      </c>
      <c r="F32400" s="2" t="str">
        <f>HYPERLINK("http://www.otzar.org/book.asp?154230","פז רב - 4 כר'")</f>
        <v>פז רב - 4 כר'</v>
      </c>
    </row>
    <row r="32401" spans="1:6" x14ac:dyDescent="0.2">
      <c r="A32401" t="s">
        <v>50532</v>
      </c>
      <c r="B32401" t="s">
        <v>24017</v>
      </c>
      <c r="C32401" t="s">
        <v>1278</v>
      </c>
      <c r="D32401" t="s">
        <v>535</v>
      </c>
      <c r="E32401" t="s">
        <v>219</v>
      </c>
      <c r="F32401" s="2" t="str">
        <f>HYPERLINK("http://www.otzar.org/book.asp?182101","פזמונים &lt;מרבי ישראל נאג'ארה&gt;")</f>
        <v>פזמונים &lt;מרבי ישראל נאג'ארה&gt;</v>
      </c>
    </row>
    <row r="32402" spans="1:6" x14ac:dyDescent="0.2">
      <c r="A32402" t="s">
        <v>50533</v>
      </c>
      <c r="B32402" t="s">
        <v>50534</v>
      </c>
      <c r="D32402" t="s">
        <v>32849</v>
      </c>
      <c r="E32402" t="s">
        <v>219</v>
      </c>
      <c r="F32402" s="2" t="str">
        <f>HYPERLINK("http://www.otzar.org/book.asp?627319","פזמונים לחגים לפי מנהג יהודי קוצ'ין")</f>
        <v>פזמונים לחגים לפי מנהג יהודי קוצ'ין</v>
      </c>
    </row>
    <row r="32403" spans="1:6" x14ac:dyDescent="0.2">
      <c r="A32403" t="s">
        <v>50535</v>
      </c>
      <c r="B32403" t="s">
        <v>11725</v>
      </c>
      <c r="C32403" t="s">
        <v>5151</v>
      </c>
      <c r="D32403" t="s">
        <v>49</v>
      </c>
      <c r="E32403" t="s">
        <v>219</v>
      </c>
      <c r="F32403" s="2" t="str">
        <f>HYPERLINK("http://www.otzar.org/book.asp?163370","פזמונים נאים וחדשים")</f>
        <v>פזמונים נאים וחדשים</v>
      </c>
    </row>
    <row r="32404" spans="1:6" x14ac:dyDescent="0.2">
      <c r="A32404" t="s">
        <v>50536</v>
      </c>
      <c r="B32404" t="s">
        <v>31414</v>
      </c>
      <c r="C32404" t="s">
        <v>114</v>
      </c>
      <c r="D32404" t="s">
        <v>15943</v>
      </c>
      <c r="F32404" s="2" t="str">
        <f>HYPERLINK("http://www.otzar.org/book.asp?168016","פחד דוד (באנגלית)")</f>
        <v>פחד דוד (באנגלית)</v>
      </c>
    </row>
    <row r="32405" spans="1:6" x14ac:dyDescent="0.2">
      <c r="A32405" t="s">
        <v>50537</v>
      </c>
      <c r="B32405" t="s">
        <v>31414</v>
      </c>
      <c r="C32405" t="s">
        <v>68</v>
      </c>
      <c r="D32405" t="s">
        <v>14</v>
      </c>
      <c r="E32405" t="s">
        <v>158</v>
      </c>
      <c r="F32405" s="2" t="str">
        <f>HYPERLINK("http://www.otzar.org/book.asp?155835","פחד דוד - 6 כר'")</f>
        <v>פחד דוד - 6 כר'</v>
      </c>
    </row>
    <row r="32406" spans="1:6" x14ac:dyDescent="0.2">
      <c r="A32406" t="s">
        <v>50538</v>
      </c>
      <c r="B32406" t="s">
        <v>50539</v>
      </c>
      <c r="C32406" t="s">
        <v>50540</v>
      </c>
      <c r="D32406" t="s">
        <v>49</v>
      </c>
      <c r="E32406" t="s">
        <v>104</v>
      </c>
      <c r="F32406" s="2" t="str">
        <f>HYPERLINK("http://www.otzar.org/book.asp?8506","פחד יצחק &lt;ונציה&gt; - 5 כר'")</f>
        <v>פחד יצחק &lt;ונציה&gt; - 5 כר'</v>
      </c>
    </row>
    <row r="32407" spans="1:6" x14ac:dyDescent="0.2">
      <c r="A32407" t="s">
        <v>50541</v>
      </c>
      <c r="B32407" t="s">
        <v>50539</v>
      </c>
      <c r="C32407" t="s">
        <v>35697</v>
      </c>
      <c r="D32407" t="s">
        <v>260</v>
      </c>
      <c r="E32407" t="s">
        <v>104</v>
      </c>
      <c r="F32407" s="2" t="str">
        <f>HYPERLINK("http://www.otzar.org/book.asp?626057","פחד יצחק השלם - 2 כר'")</f>
        <v>פחד יצחק השלם - 2 כר'</v>
      </c>
    </row>
    <row r="32408" spans="1:6" x14ac:dyDescent="0.2">
      <c r="A32408" t="s">
        <v>50542</v>
      </c>
      <c r="B32408" t="s">
        <v>4728</v>
      </c>
      <c r="C32408" t="s">
        <v>624</v>
      </c>
      <c r="D32408" t="s">
        <v>14</v>
      </c>
      <c r="E32408" t="s">
        <v>399</v>
      </c>
      <c r="F32408" s="2" t="str">
        <f>HYPERLINK("http://www.otzar.org/book.asp?156588","פחד יצחק - 11 כר'")</f>
        <v>פחד יצחק - 11 כר'</v>
      </c>
    </row>
    <row r="32409" spans="1:6" x14ac:dyDescent="0.2">
      <c r="A32409" t="s">
        <v>50543</v>
      </c>
      <c r="B32409" t="s">
        <v>15154</v>
      </c>
      <c r="C32409" t="s">
        <v>129</v>
      </c>
      <c r="D32409" t="s">
        <v>14</v>
      </c>
      <c r="E32409" t="s">
        <v>213</v>
      </c>
      <c r="F32409" s="2" t="str">
        <f>HYPERLINK("http://www.otzar.org/book.asp?147109","פחד יצחק - 8 כר'")</f>
        <v>פחד יצחק - 8 כר'</v>
      </c>
    </row>
    <row r="32410" spans="1:6" x14ac:dyDescent="0.2">
      <c r="A32410" t="s">
        <v>50544</v>
      </c>
      <c r="B32410" t="s">
        <v>1306</v>
      </c>
      <c r="C32410" t="s">
        <v>237</v>
      </c>
      <c r="D32410" t="s">
        <v>27</v>
      </c>
      <c r="E32410" t="s">
        <v>674</v>
      </c>
      <c r="F32410" s="2" t="str">
        <f>HYPERLINK("http://www.otzar.org/book.asp?26031","פחד יצחק")</f>
        <v>פחד יצחק</v>
      </c>
    </row>
    <row r="32411" spans="1:6" x14ac:dyDescent="0.2">
      <c r="A32411" t="s">
        <v>50544</v>
      </c>
      <c r="B32411" t="s">
        <v>50545</v>
      </c>
      <c r="C32411" t="s">
        <v>16489</v>
      </c>
      <c r="D32411" t="s">
        <v>726</v>
      </c>
      <c r="E32411" t="s">
        <v>213</v>
      </c>
      <c r="F32411" s="2" t="str">
        <f>HYPERLINK("http://www.otzar.org/book.asp?143223","פחד יצחק")</f>
        <v>פחד יצחק</v>
      </c>
    </row>
    <row r="32412" spans="1:6" x14ac:dyDescent="0.2">
      <c r="A32412" t="s">
        <v>50546</v>
      </c>
      <c r="B32412" t="s">
        <v>50539</v>
      </c>
      <c r="C32412" t="s">
        <v>1718</v>
      </c>
      <c r="D32412" t="s">
        <v>283</v>
      </c>
      <c r="E32412" t="s">
        <v>104</v>
      </c>
      <c r="F32412" s="2" t="str">
        <f>HYPERLINK("http://www.otzar.org/book.asp?106558","פחד יצחק - 7 כר'")</f>
        <v>פחד יצחק - 7 כר'</v>
      </c>
    </row>
    <row r="32413" spans="1:6" x14ac:dyDescent="0.2">
      <c r="A32413" t="s">
        <v>50544</v>
      </c>
      <c r="B32413" t="s">
        <v>50547</v>
      </c>
      <c r="C32413" t="s">
        <v>624</v>
      </c>
      <c r="D32413" t="s">
        <v>23603</v>
      </c>
      <c r="F32413" s="2" t="str">
        <f>HYPERLINK("http://www.otzar.org/book.asp?610806","פחד יצחק")</f>
        <v>פחד יצחק</v>
      </c>
    </row>
    <row r="32414" spans="1:6" x14ac:dyDescent="0.2">
      <c r="A32414" t="s">
        <v>50544</v>
      </c>
      <c r="B32414" t="s">
        <v>50035</v>
      </c>
      <c r="C32414" t="s">
        <v>50548</v>
      </c>
      <c r="D32414" t="s">
        <v>1023</v>
      </c>
      <c r="E32414" t="s">
        <v>733</v>
      </c>
      <c r="F32414" s="2" t="str">
        <f>HYPERLINK("http://www.otzar.org/book.asp?149937","פחד יצחק")</f>
        <v>פחד יצחק</v>
      </c>
    </row>
    <row r="32415" spans="1:6" x14ac:dyDescent="0.2">
      <c r="A32415" t="s">
        <v>50549</v>
      </c>
      <c r="B32415" t="s">
        <v>50550</v>
      </c>
      <c r="C32415" t="s">
        <v>854</v>
      </c>
      <c r="D32415" t="s">
        <v>27</v>
      </c>
      <c r="E32415" t="s">
        <v>43</v>
      </c>
      <c r="F32415" s="2" t="str">
        <f>HYPERLINK("http://www.otzar.org/book.asp?156652","פטירת משה רבינו ע""ה")</f>
        <v>פטירת משה רבינו ע"ה</v>
      </c>
    </row>
    <row r="32416" spans="1:6" x14ac:dyDescent="0.2">
      <c r="A32416" t="s">
        <v>50551</v>
      </c>
      <c r="B32416" t="s">
        <v>36051</v>
      </c>
      <c r="C32416" t="s">
        <v>1706</v>
      </c>
      <c r="D32416" t="s">
        <v>267</v>
      </c>
      <c r="E32416" t="s">
        <v>733</v>
      </c>
      <c r="F32416" s="2" t="str">
        <f>HYPERLINK("http://www.otzar.org/book.asp?51779","פטירת רבינו הקדוש מבעלז")</f>
        <v>פטירת רבינו הקדוש מבעלז</v>
      </c>
    </row>
    <row r="32417" spans="1:6" x14ac:dyDescent="0.2">
      <c r="A32417" t="s">
        <v>50552</v>
      </c>
      <c r="B32417" t="s">
        <v>686</v>
      </c>
      <c r="C32417" t="s">
        <v>129</v>
      </c>
      <c r="D32417" t="s">
        <v>52</v>
      </c>
      <c r="E32417" t="s">
        <v>1262</v>
      </c>
      <c r="F32417" s="2" t="str">
        <f>HYPERLINK("http://www.otzar.org/book.asp?60734","פטפטיא טבין")</f>
        <v>פטפטיא טבין</v>
      </c>
    </row>
    <row r="32418" spans="1:6" x14ac:dyDescent="0.2">
      <c r="A32418" t="s">
        <v>50553</v>
      </c>
      <c r="B32418" t="s">
        <v>16210</v>
      </c>
      <c r="C32418" t="s">
        <v>1166</v>
      </c>
      <c r="D32418" t="s">
        <v>27</v>
      </c>
      <c r="E32418" t="s">
        <v>1262</v>
      </c>
      <c r="F32418" s="2" t="str">
        <f>HYPERLINK("http://www.otzar.org/book.asp?102132","פטר רח""ם")</f>
        <v>פטר רח"ם</v>
      </c>
    </row>
    <row r="32419" spans="1:6" x14ac:dyDescent="0.2">
      <c r="A32419" t="s">
        <v>50554</v>
      </c>
      <c r="B32419" t="s">
        <v>50555</v>
      </c>
      <c r="C32419" t="s">
        <v>8450</v>
      </c>
      <c r="D32419" t="s">
        <v>42</v>
      </c>
      <c r="E32419" t="s">
        <v>43</v>
      </c>
      <c r="F32419" s="2" t="str">
        <f>HYPERLINK("http://www.otzar.org/book.asp?173083","פי אליהו")</f>
        <v>פי אליהו</v>
      </c>
    </row>
    <row r="32420" spans="1:6" x14ac:dyDescent="0.2">
      <c r="A32420" t="s">
        <v>50556</v>
      </c>
      <c r="B32420" t="s">
        <v>50557</v>
      </c>
      <c r="C32420" t="s">
        <v>635</v>
      </c>
      <c r="D32420" t="s">
        <v>56</v>
      </c>
      <c r="E32420" t="s">
        <v>154</v>
      </c>
      <c r="F32420" s="2" t="str">
        <f>HYPERLINK("http://www.otzar.org/book.asp?20520","פי אריה")</f>
        <v>פי אריה</v>
      </c>
    </row>
    <row r="32421" spans="1:6" x14ac:dyDescent="0.2">
      <c r="A32421" t="s">
        <v>50556</v>
      </c>
      <c r="B32421" t="s">
        <v>50558</v>
      </c>
      <c r="C32421" t="s">
        <v>473</v>
      </c>
      <c r="D32421" t="s">
        <v>563</v>
      </c>
      <c r="E32421" t="s">
        <v>50559</v>
      </c>
      <c r="F32421" s="2" t="str">
        <f>HYPERLINK("http://www.otzar.org/book.asp?104126","פי אריה")</f>
        <v>פי אריה</v>
      </c>
    </row>
    <row r="32422" spans="1:6" x14ac:dyDescent="0.2">
      <c r="A32422" t="s">
        <v>50560</v>
      </c>
      <c r="B32422" t="s">
        <v>18617</v>
      </c>
      <c r="C32422" t="s">
        <v>462</v>
      </c>
      <c r="D32422" t="s">
        <v>27</v>
      </c>
      <c r="E32422" t="s">
        <v>158</v>
      </c>
      <c r="F32422" s="2" t="str">
        <f>HYPERLINK("http://www.otzar.org/book.asp?11393","פי הבאר")</f>
        <v>פי הבאר</v>
      </c>
    </row>
    <row r="32423" spans="1:6" x14ac:dyDescent="0.2">
      <c r="A32423" t="s">
        <v>50561</v>
      </c>
      <c r="B32423" t="s">
        <v>18109</v>
      </c>
      <c r="C32423" t="s">
        <v>163</v>
      </c>
      <c r="D32423" t="s">
        <v>212</v>
      </c>
      <c r="E32423" t="s">
        <v>246</v>
      </c>
      <c r="F32423" s="2" t="str">
        <f>HYPERLINK("http://www.otzar.org/book.asp?51783","פי המדבר")</f>
        <v>פי המדבר</v>
      </c>
    </row>
    <row r="32424" spans="1:6" x14ac:dyDescent="0.2">
      <c r="A32424" t="s">
        <v>50562</v>
      </c>
      <c r="B32424" t="s">
        <v>50563</v>
      </c>
      <c r="C32424" t="s">
        <v>313</v>
      </c>
      <c r="D32424" t="s">
        <v>721</v>
      </c>
      <c r="E32424" t="s">
        <v>4779</v>
      </c>
      <c r="F32424" s="2" t="str">
        <f>HYPERLINK("http://www.otzar.org/book.asp?174439","פי חכמים")</f>
        <v>פי חכמים</v>
      </c>
    </row>
    <row r="32425" spans="1:6" x14ac:dyDescent="0.2">
      <c r="A32425" t="s">
        <v>50564</v>
      </c>
      <c r="B32425" t="s">
        <v>5018</v>
      </c>
      <c r="C32425" t="s">
        <v>553</v>
      </c>
      <c r="D32425" t="s">
        <v>14</v>
      </c>
      <c r="E32425" t="s">
        <v>104</v>
      </c>
      <c r="F32425" s="2" t="str">
        <f>HYPERLINK("http://www.otzar.org/book.asp?152319","פי יספר")</f>
        <v>פי יספר</v>
      </c>
    </row>
    <row r="32426" spans="1:6" x14ac:dyDescent="0.2">
      <c r="A32426" t="s">
        <v>50565</v>
      </c>
      <c r="B32426" t="s">
        <v>50566</v>
      </c>
      <c r="C32426" t="s">
        <v>68</v>
      </c>
      <c r="D32426" t="s">
        <v>14</v>
      </c>
      <c r="E32426" t="s">
        <v>933</v>
      </c>
      <c r="F32426" s="2" t="str">
        <f>HYPERLINK("http://www.otzar.org/book.asp?154269","פי כהן &lt;על הש""ס&gt; - 7 כר'")</f>
        <v>פי כהן &lt;על הש"ס&gt; - 7 כר'</v>
      </c>
    </row>
    <row r="32427" spans="1:6" x14ac:dyDescent="0.2">
      <c r="A32427" t="s">
        <v>50567</v>
      </c>
      <c r="B32427" t="s">
        <v>50566</v>
      </c>
      <c r="C32427" t="s">
        <v>189</v>
      </c>
      <c r="D32427" t="s">
        <v>14</v>
      </c>
      <c r="E32427" t="s">
        <v>241</v>
      </c>
      <c r="F32427" s="2" t="str">
        <f>HYPERLINK("http://www.otzar.org/book.asp?50474","פי כהן - 14 כר'")</f>
        <v>פי כהן - 14 כר'</v>
      </c>
    </row>
    <row r="32428" spans="1:6" x14ac:dyDescent="0.2">
      <c r="A32428" t="s">
        <v>50568</v>
      </c>
      <c r="B32428" t="s">
        <v>50569</v>
      </c>
      <c r="C32428" t="s">
        <v>2306</v>
      </c>
      <c r="D32428" t="s">
        <v>212</v>
      </c>
      <c r="E32428" t="s">
        <v>474</v>
      </c>
      <c r="F32428" s="2" t="str">
        <f>HYPERLINK("http://www.otzar.org/book.asp?20521","פי צדיק")</f>
        <v>פי צדיק</v>
      </c>
    </row>
    <row r="32429" spans="1:6" x14ac:dyDescent="0.2">
      <c r="A32429" t="s">
        <v>50568</v>
      </c>
      <c r="B32429" t="s">
        <v>50570</v>
      </c>
      <c r="C32429" t="s">
        <v>503</v>
      </c>
      <c r="D32429" t="s">
        <v>283</v>
      </c>
      <c r="E32429" t="s">
        <v>158</v>
      </c>
      <c r="F32429" s="2" t="str">
        <f>HYPERLINK("http://www.otzar.org/book.asp?102131","פי צדיק")</f>
        <v>פי צדיק</v>
      </c>
    </row>
    <row r="32430" spans="1:6" x14ac:dyDescent="0.2">
      <c r="A32430" t="s">
        <v>50571</v>
      </c>
      <c r="B32430" t="s">
        <v>2993</v>
      </c>
      <c r="C32430" t="s">
        <v>20</v>
      </c>
      <c r="D32430" t="s">
        <v>90</v>
      </c>
      <c r="F32430" s="2" t="str">
        <f>HYPERLINK("http://www.otzar.org/book.asp?617239","פי צדיק - 2 כר'")</f>
        <v>פי צדיק - 2 כר'</v>
      </c>
    </row>
    <row r="32431" spans="1:6" x14ac:dyDescent="0.2">
      <c r="A32431" t="s">
        <v>50572</v>
      </c>
      <c r="B32431" t="s">
        <v>1222</v>
      </c>
      <c r="C32431" t="s">
        <v>143</v>
      </c>
      <c r="D32431" t="s">
        <v>14</v>
      </c>
      <c r="E32431" t="s">
        <v>144</v>
      </c>
      <c r="F32431" s="2" t="str">
        <f>HYPERLINK("http://www.otzar.org/book.asp?172570","פי שניים - יש נוחלין")</f>
        <v>פי שניים - יש נוחלין</v>
      </c>
    </row>
    <row r="32432" spans="1:6" x14ac:dyDescent="0.2">
      <c r="A32432" t="s">
        <v>50573</v>
      </c>
      <c r="B32432" t="s">
        <v>50574</v>
      </c>
      <c r="C32432" t="s">
        <v>8450</v>
      </c>
      <c r="D32432" t="s">
        <v>42</v>
      </c>
      <c r="E32432" t="s">
        <v>10013</v>
      </c>
      <c r="F32432" s="2" t="str">
        <f>HYPERLINK("http://www.otzar.org/book.asp?11234","פי שנים")</f>
        <v>פי שנים</v>
      </c>
    </row>
    <row r="32433" spans="1:6" x14ac:dyDescent="0.2">
      <c r="A32433" t="s">
        <v>50575</v>
      </c>
      <c r="B32433" t="s">
        <v>50576</v>
      </c>
      <c r="C32433" t="s">
        <v>50577</v>
      </c>
      <c r="D32433" t="s">
        <v>1422</v>
      </c>
      <c r="E32433" t="s">
        <v>241</v>
      </c>
      <c r="F32433" s="2" t="str">
        <f>HYPERLINK("http://www.otzar.org/book.asp?167538","פי שנים - 2 כר'")</f>
        <v>פי שנים - 2 כר'</v>
      </c>
    </row>
    <row r="32434" spans="1:6" x14ac:dyDescent="0.2">
      <c r="A32434" t="s">
        <v>50573</v>
      </c>
      <c r="B32434" t="s">
        <v>50578</v>
      </c>
      <c r="C32434" t="s">
        <v>1519</v>
      </c>
      <c r="D32434" t="s">
        <v>76</v>
      </c>
      <c r="E32434" t="s">
        <v>2018</v>
      </c>
      <c r="F32434" s="2" t="str">
        <f>HYPERLINK("http://www.otzar.org/book.asp?101670","פי שנים")</f>
        <v>פי שנים</v>
      </c>
    </row>
    <row r="32435" spans="1:6" x14ac:dyDescent="0.2">
      <c r="A32435" t="s">
        <v>50573</v>
      </c>
      <c r="B32435" t="s">
        <v>48053</v>
      </c>
      <c r="C32435" t="s">
        <v>4053</v>
      </c>
      <c r="D32435" t="s">
        <v>5665</v>
      </c>
      <c r="E32435" t="s">
        <v>104</v>
      </c>
      <c r="F32435" s="2" t="str">
        <f>HYPERLINK("http://www.otzar.org/book.asp?108492","פי שנים")</f>
        <v>פי שנים</v>
      </c>
    </row>
    <row r="32436" spans="1:6" x14ac:dyDescent="0.2">
      <c r="A32436" t="s">
        <v>50579</v>
      </c>
      <c r="B32436" t="s">
        <v>9114</v>
      </c>
      <c r="C32436" t="s">
        <v>20566</v>
      </c>
      <c r="D32436" t="s">
        <v>20567</v>
      </c>
      <c r="F32436" s="2" t="str">
        <f>HYPERLINK("http://www.otzar.org/book.asp?151792","פי' דניאל לר' לוי בן גרשום")</f>
        <v>פי' דניאל לר' לוי בן גרשום</v>
      </c>
    </row>
    <row r="32437" spans="1:6" x14ac:dyDescent="0.2">
      <c r="A32437" t="s">
        <v>50580</v>
      </c>
      <c r="B32437" t="s">
        <v>32218</v>
      </c>
      <c r="C32437" t="s">
        <v>244</v>
      </c>
      <c r="D32437" t="s">
        <v>21</v>
      </c>
      <c r="E32437" t="s">
        <v>15</v>
      </c>
      <c r="F32437" s="2" t="str">
        <f>HYPERLINK("http://www.otzar.org/book.asp?606590","פיה פתחה בחכמה - ב")</f>
        <v>פיה פתחה בחכמה - ב</v>
      </c>
    </row>
    <row r="32438" spans="1:6" x14ac:dyDescent="0.2">
      <c r="A32438" t="s">
        <v>50581</v>
      </c>
      <c r="B32438" t="s">
        <v>12130</v>
      </c>
      <c r="C32438" t="s">
        <v>940</v>
      </c>
      <c r="D32438" t="s">
        <v>2458</v>
      </c>
      <c r="E32438" t="s">
        <v>1262</v>
      </c>
      <c r="F32438" s="2" t="str">
        <f>HYPERLINK("http://www.otzar.org/book.asp?171712","פיה פתחה בחכמה")</f>
        <v>פיה פתחה בחכמה</v>
      </c>
    </row>
    <row r="32439" spans="1:6" x14ac:dyDescent="0.2">
      <c r="A32439" t="s">
        <v>50582</v>
      </c>
      <c r="B32439" t="s">
        <v>3880</v>
      </c>
      <c r="C32439" t="s">
        <v>244</v>
      </c>
      <c r="D32439" t="s">
        <v>21</v>
      </c>
      <c r="E32439" t="s">
        <v>219</v>
      </c>
      <c r="F32439" s="2" t="str">
        <f>HYPERLINK("http://www.otzar.org/book.asp?605399","פיוט אדון עולם")</f>
        <v>פיוט אדון עולם</v>
      </c>
    </row>
    <row r="32440" spans="1:6" x14ac:dyDescent="0.2">
      <c r="A32440" t="s">
        <v>50583</v>
      </c>
      <c r="B32440" t="s">
        <v>50584</v>
      </c>
      <c r="E32440" t="s">
        <v>219</v>
      </c>
      <c r="F32440" s="2" t="str">
        <f>HYPERLINK("http://www.otzar.org/book.asp?626306","פיוט אקדמות עם תרגום עברי")</f>
        <v>פיוט אקדמות עם תרגום עברי</v>
      </c>
    </row>
    <row r="32441" spans="1:6" x14ac:dyDescent="0.2">
      <c r="A32441" t="s">
        <v>50585</v>
      </c>
      <c r="B32441" t="s">
        <v>2800</v>
      </c>
      <c r="C32441" t="s">
        <v>13</v>
      </c>
      <c r="D32441" t="s">
        <v>14</v>
      </c>
      <c r="E32441" t="s">
        <v>219</v>
      </c>
      <c r="F32441" s="2" t="str">
        <f>HYPERLINK("http://www.otzar.org/book.asp?179553","פיוטי אליה בר שמעיה")</f>
        <v>פיוטי אליה בר שמעיה</v>
      </c>
    </row>
    <row r="32442" spans="1:6" x14ac:dyDescent="0.2">
      <c r="A32442" t="s">
        <v>50586</v>
      </c>
      <c r="B32442" t="s">
        <v>39132</v>
      </c>
      <c r="C32442" t="s">
        <v>767</v>
      </c>
      <c r="D32442" t="s">
        <v>90</v>
      </c>
      <c r="E32442" t="s">
        <v>4731</v>
      </c>
      <c r="F32442" s="2" t="str">
        <f>HYPERLINK("http://www.otzar.org/book.asp?64348","פיוטי הלכה ומנהג לחג הפסח")</f>
        <v>פיוטי הלכה ומנהג לחג הפסח</v>
      </c>
    </row>
    <row r="32443" spans="1:6" x14ac:dyDescent="0.2">
      <c r="A32443" t="s">
        <v>50587</v>
      </c>
      <c r="B32443" t="s">
        <v>50588</v>
      </c>
      <c r="C32443" t="s">
        <v>189</v>
      </c>
      <c r="D32443" t="s">
        <v>14</v>
      </c>
      <c r="E32443" t="s">
        <v>18910</v>
      </c>
      <c r="F32443" s="2" t="str">
        <f>HYPERLINK("http://www.otzar.org/book.asp?64107","פיוטי הסליחות לר""ה ויוה""כ &lt;ע""פ ר""י ונה&gt;")</f>
        <v>פיוטי הסליחות לר"ה ויוה"כ &lt;ע"פ ר"י ונה&gt;</v>
      </c>
    </row>
    <row r="32444" spans="1:6" x14ac:dyDescent="0.2">
      <c r="A32444" t="s">
        <v>50589</v>
      </c>
      <c r="B32444" t="s">
        <v>45814</v>
      </c>
      <c r="C32444" t="s">
        <v>244</v>
      </c>
      <c r="D32444" t="s">
        <v>1356</v>
      </c>
      <c r="F32444" s="2" t="str">
        <f>HYPERLINK("http://www.otzar.org/book.asp?619656","פיוטי התפילה עם פירוש נח - 2 כר'")</f>
        <v>פיוטי התפילה עם פירוש נח - 2 כר'</v>
      </c>
    </row>
    <row r="32445" spans="1:6" x14ac:dyDescent="0.2">
      <c r="A32445" t="s">
        <v>50590</v>
      </c>
      <c r="B32445" t="s">
        <v>50591</v>
      </c>
      <c r="C32445" t="s">
        <v>50592</v>
      </c>
      <c r="D32445">
        <v>1988</v>
      </c>
      <c r="E32445" t="s">
        <v>219</v>
      </c>
      <c r="F32445" s="2" t="str">
        <f>HYPERLINK("http://www.otzar.org/book.asp?178896","פיוטי יהודה")</f>
        <v>פיוטי יהודה</v>
      </c>
    </row>
    <row r="32446" spans="1:6" x14ac:dyDescent="0.2">
      <c r="A32446" t="s">
        <v>50593</v>
      </c>
      <c r="B32446" t="s">
        <v>2800</v>
      </c>
      <c r="C32446" t="s">
        <v>334</v>
      </c>
      <c r="D32446" t="s">
        <v>14</v>
      </c>
      <c r="F32446" s="2" t="str">
        <f>HYPERLINK("http://www.otzar.org/book.asp?179784","פיוטי יוסף בנסולי")</f>
        <v>פיוטי יוסף בנסולי</v>
      </c>
    </row>
    <row r="32447" spans="1:6" x14ac:dyDescent="0.2">
      <c r="A32447" t="s">
        <v>50594</v>
      </c>
      <c r="B32447" t="s">
        <v>12377</v>
      </c>
      <c r="C32447" t="s">
        <v>20</v>
      </c>
      <c r="D32447" t="s">
        <v>14</v>
      </c>
      <c r="E32447" t="s">
        <v>219</v>
      </c>
      <c r="F32447" s="2" t="str">
        <f>HYPERLINK("http://www.otzar.org/book.asp?179551","פיוטי יניי - 2 כר'")</f>
        <v>פיוטי יניי - 2 כר'</v>
      </c>
    </row>
    <row r="32448" spans="1:6" x14ac:dyDescent="0.2">
      <c r="A32448" t="s">
        <v>50595</v>
      </c>
      <c r="B32448" t="s">
        <v>36659</v>
      </c>
      <c r="C32448" t="s">
        <v>50596</v>
      </c>
      <c r="D32448" t="s">
        <v>280</v>
      </c>
      <c r="F32448" s="2" t="str">
        <f>HYPERLINK("http://www.otzar.org/book.asp?181558","פיוטי יניי")</f>
        <v>פיוטי יניי</v>
      </c>
    </row>
    <row r="32449" spans="1:6" x14ac:dyDescent="0.2">
      <c r="A32449" t="s">
        <v>50597</v>
      </c>
      <c r="B32449" t="s">
        <v>50598</v>
      </c>
      <c r="C32449" t="s">
        <v>1208</v>
      </c>
      <c r="D32449" t="s">
        <v>21</v>
      </c>
      <c r="E32449" t="s">
        <v>219</v>
      </c>
      <c r="F32449" s="2" t="str">
        <f>HYPERLINK("http://www.otzar.org/book.asp?193463","פיוטי ר' יהודה בריבי בנימין")</f>
        <v>פיוטי ר' יהודה בריבי בנימין</v>
      </c>
    </row>
    <row r="32450" spans="1:6" x14ac:dyDescent="0.2">
      <c r="A32450" t="s">
        <v>50599</v>
      </c>
      <c r="B32450" t="s">
        <v>50600</v>
      </c>
      <c r="C32450" t="s">
        <v>129</v>
      </c>
      <c r="D32450" t="s">
        <v>14</v>
      </c>
      <c r="E32450" t="s">
        <v>219</v>
      </c>
      <c r="F32450" s="2" t="str">
        <f>HYPERLINK("http://www.otzar.org/book.asp?182316","פיוטי ר' יחיאל בר אברהם מרומא")</f>
        <v>פיוטי ר' יחיאל בר אברהם מרומא</v>
      </c>
    </row>
    <row r="32451" spans="1:6" x14ac:dyDescent="0.2">
      <c r="A32451" t="s">
        <v>50601</v>
      </c>
      <c r="B32451" t="s">
        <v>24621</v>
      </c>
      <c r="C32451" t="s">
        <v>427</v>
      </c>
      <c r="D32451" t="s">
        <v>216</v>
      </c>
      <c r="E32451" t="s">
        <v>219</v>
      </c>
      <c r="F32451" s="2" t="str">
        <f>HYPERLINK("http://www.otzar.org/book.asp?177241","פיוטי רבי אפרים בר' יעקב מבונא")</f>
        <v>פיוטי רבי אפרים בר' יעקב מבונא</v>
      </c>
    </row>
    <row r="32452" spans="1:6" x14ac:dyDescent="0.2">
      <c r="A32452" t="s">
        <v>50602</v>
      </c>
      <c r="B32452" t="s">
        <v>50603</v>
      </c>
      <c r="C32452" t="s">
        <v>103</v>
      </c>
      <c r="D32452" t="s">
        <v>14</v>
      </c>
      <c r="F32452" s="2" t="str">
        <f>HYPERLINK("http://www.otzar.org/book.asp?612963","פיוטי רבי פנחס הכהן")</f>
        <v>פיוטי רבי פנחס הכהן</v>
      </c>
    </row>
    <row r="32453" spans="1:6" x14ac:dyDescent="0.2">
      <c r="A32453" t="s">
        <v>50604</v>
      </c>
      <c r="B32453" t="s">
        <v>50605</v>
      </c>
      <c r="C32453" t="s">
        <v>812</v>
      </c>
      <c r="D32453" t="s">
        <v>280</v>
      </c>
      <c r="E32453" t="s">
        <v>219</v>
      </c>
      <c r="F32453" s="2" t="str">
        <f>HYPERLINK("http://www.otzar.org/book.asp?177223","פיוטי רבי שמעון ב""ר יצחק")</f>
        <v>פיוטי רבי שמעון ב"ר יצחק</v>
      </c>
    </row>
    <row r="32454" spans="1:6" x14ac:dyDescent="0.2">
      <c r="A32454" t="s">
        <v>50606</v>
      </c>
      <c r="B32454" t="s">
        <v>5332</v>
      </c>
      <c r="C32454" t="s">
        <v>698</v>
      </c>
      <c r="D32454" t="s">
        <v>592</v>
      </c>
      <c r="F32454" s="2" t="str">
        <f>HYPERLINK("http://www.otzar.org/book.asp?613662","פיוטי רש""י")</f>
        <v>פיוטי רש"י</v>
      </c>
    </row>
    <row r="32455" spans="1:6" x14ac:dyDescent="0.2">
      <c r="A32455" t="s">
        <v>50607</v>
      </c>
      <c r="B32455" t="s">
        <v>50608</v>
      </c>
      <c r="C32455" t="s">
        <v>17</v>
      </c>
      <c r="D32455" t="s">
        <v>52</v>
      </c>
      <c r="E32455" t="s">
        <v>18910</v>
      </c>
      <c r="F32455" s="2" t="str">
        <f>HYPERLINK("http://www.otzar.org/book.asp?157585","פיוטי שמחת תורה כמנהג ק""ק תימן")</f>
        <v>פיוטי שמחת תורה כמנהג ק"ק תימן</v>
      </c>
    </row>
    <row r="32456" spans="1:6" x14ac:dyDescent="0.2">
      <c r="A32456" t="s">
        <v>50609</v>
      </c>
      <c r="B32456" t="s">
        <v>49302</v>
      </c>
      <c r="C32456" t="s">
        <v>698</v>
      </c>
      <c r="D32456" t="s">
        <v>27</v>
      </c>
      <c r="E32456" t="s">
        <v>219</v>
      </c>
      <c r="F32456" s="2" t="str">
        <f>HYPERLINK("http://www.otzar.org/book.asp?143399","פיוטים ופיטנים חדשים מהתקופה הביצנטינית")</f>
        <v>פיוטים ופיטנים חדשים מהתקופה הביצנטינית</v>
      </c>
    </row>
    <row r="32457" spans="1:6" x14ac:dyDescent="0.2">
      <c r="A32457" t="s">
        <v>50610</v>
      </c>
      <c r="B32457" t="s">
        <v>50611</v>
      </c>
      <c r="C32457" t="s">
        <v>63</v>
      </c>
      <c r="D32457" t="s">
        <v>646</v>
      </c>
      <c r="E32457" t="s">
        <v>1626</v>
      </c>
      <c r="F32457" s="2" t="str">
        <f>HYPERLINK("http://www.otzar.org/book.asp?143380","פיוטים ושירים")</f>
        <v>פיוטים ושירים</v>
      </c>
    </row>
    <row r="32458" spans="1:6" x14ac:dyDescent="0.2">
      <c r="A32458" t="s">
        <v>50612</v>
      </c>
      <c r="B32458" t="s">
        <v>50613</v>
      </c>
      <c r="C32458" t="s">
        <v>133</v>
      </c>
      <c r="D32458" t="s">
        <v>14</v>
      </c>
      <c r="E32458" t="s">
        <v>50614</v>
      </c>
      <c r="F32458" s="2" t="str">
        <f>HYPERLINK("http://www.otzar.org/book.asp?629974","פיוטים חסידיים")</f>
        <v>פיוטים חסידיים</v>
      </c>
    </row>
    <row r="32459" spans="1:6" x14ac:dyDescent="0.2">
      <c r="A32459" t="s">
        <v>50615</v>
      </c>
      <c r="B32459" t="s">
        <v>50616</v>
      </c>
      <c r="C32459" t="s">
        <v>919</v>
      </c>
      <c r="D32459" t="s">
        <v>14</v>
      </c>
      <c r="E32459" t="s">
        <v>1517</v>
      </c>
      <c r="F32459" s="2" t="str">
        <f>HYPERLINK("http://www.otzar.org/book.asp?182846","פיוטים לחג הפסח לרבי יואב בן נתן בן דניאל מרומא (תדפיס)")</f>
        <v>פיוטים לחג הפסח לרבי יואב בן נתן בן דניאל מרומא (תדפיס)</v>
      </c>
    </row>
    <row r="32460" spans="1:6" x14ac:dyDescent="0.2">
      <c r="A32460" t="s">
        <v>50617</v>
      </c>
      <c r="B32460" t="s">
        <v>36689</v>
      </c>
      <c r="C32460" t="s">
        <v>20</v>
      </c>
      <c r="D32460" t="s">
        <v>90</v>
      </c>
      <c r="F32460" s="2" t="str">
        <f>HYPERLINK("http://www.otzar.org/book.asp?619352","פיוטים לשבת ויו""ט לחדשי אדר וניסן")</f>
        <v>פיוטים לשבת ויו"ט לחדשי אדר וניסן</v>
      </c>
    </row>
    <row r="32461" spans="1:6" x14ac:dyDescent="0.2">
      <c r="A32461" t="s">
        <v>50618</v>
      </c>
      <c r="B32461" t="s">
        <v>36689</v>
      </c>
      <c r="C32461" t="s">
        <v>20</v>
      </c>
      <c r="D32461" t="s">
        <v>90</v>
      </c>
      <c r="F32461" s="2" t="str">
        <f>HYPERLINK("http://www.otzar.org/book.asp?619357","פיוטים לשבתות השנה - כמנהג אשכנז המובהק")</f>
        <v>פיוטים לשבתות השנה - כמנהג אשכנז המובהק</v>
      </c>
    </row>
    <row r="32462" spans="1:6" x14ac:dyDescent="0.2">
      <c r="A32462" t="s">
        <v>50619</v>
      </c>
      <c r="B32462" t="s">
        <v>50620</v>
      </c>
      <c r="C32462" t="s">
        <v>356</v>
      </c>
      <c r="D32462" t="s">
        <v>118</v>
      </c>
      <c r="E32462" t="s">
        <v>1517</v>
      </c>
      <c r="F32462" s="2" t="str">
        <f>HYPERLINK("http://www.otzar.org/book.asp?157593","פיוטים לשמחת תורה")</f>
        <v>פיוטים לשמחת תורה</v>
      </c>
    </row>
    <row r="32463" spans="1:6" x14ac:dyDescent="0.2">
      <c r="A32463" t="s">
        <v>50621</v>
      </c>
      <c r="B32463" t="s">
        <v>50622</v>
      </c>
      <c r="C32463" t="s">
        <v>17</v>
      </c>
      <c r="D32463" t="s">
        <v>14</v>
      </c>
      <c r="E32463" t="s">
        <v>467</v>
      </c>
      <c r="F32463" s="2" t="str">
        <f>HYPERLINK("http://www.otzar.org/book.asp?159370","פיוטים מפורשים ומבוארים - ארבע פרשיות, הפסקות, שבת הגדול")</f>
        <v>פיוטים מפורשים ומבוארים - ארבע פרשיות, הפסקות, שבת הגדול</v>
      </c>
    </row>
    <row r="32464" spans="1:6" x14ac:dyDescent="0.2">
      <c r="A32464" t="s">
        <v>50623</v>
      </c>
      <c r="B32464" t="s">
        <v>24621</v>
      </c>
      <c r="C32464" t="s">
        <v>383</v>
      </c>
      <c r="D32464" t="s">
        <v>721</v>
      </c>
      <c r="E32464" t="s">
        <v>1517</v>
      </c>
      <c r="F32464" s="2" t="str">
        <f>HYPERLINK("http://www.otzar.org/book.asp?165889","פיוטים נבחרים לחגים ולמועדים")</f>
        <v>פיוטים נבחרים לחגים ולמועדים</v>
      </c>
    </row>
    <row r="32465" spans="1:6" x14ac:dyDescent="0.2">
      <c r="A32465" t="s">
        <v>50624</v>
      </c>
      <c r="B32465" t="s">
        <v>50625</v>
      </c>
      <c r="C32465" t="s">
        <v>51</v>
      </c>
      <c r="D32465" t="s">
        <v>412</v>
      </c>
      <c r="E32465" t="s">
        <v>50626</v>
      </c>
      <c r="F32465" s="2" t="str">
        <f>HYPERLINK("http://www.otzar.org/book.asp?164006","פיטטיא דאורייתא")</f>
        <v>פיטטיא דאורייתא</v>
      </c>
    </row>
    <row r="32466" spans="1:6" x14ac:dyDescent="0.2">
      <c r="A32466" t="s">
        <v>50627</v>
      </c>
      <c r="B32466" t="s">
        <v>50628</v>
      </c>
      <c r="C32466" t="s">
        <v>37</v>
      </c>
      <c r="D32466" t="s">
        <v>90</v>
      </c>
      <c r="F32466" s="2" t="str">
        <f>HYPERLINK("http://www.otzar.org/book.asp?182532","פיטטיא דאורייתא - 2 כר'")</f>
        <v>פיטטיא דאורייתא - 2 כר'</v>
      </c>
    </row>
    <row r="32467" spans="1:6" x14ac:dyDescent="0.2">
      <c r="A32467" t="s">
        <v>50629</v>
      </c>
      <c r="B32467" t="s">
        <v>50630</v>
      </c>
      <c r="C32467" t="s">
        <v>129</v>
      </c>
      <c r="D32467" t="s">
        <v>14</v>
      </c>
      <c r="E32467" t="s">
        <v>219</v>
      </c>
      <c r="F32467" s="2" t="str">
        <f>HYPERLINK("http://www.otzar.org/book.asp?153792","פילולי פנחס")</f>
        <v>פילולי פנחס</v>
      </c>
    </row>
    <row r="32468" spans="1:6" x14ac:dyDescent="0.2">
      <c r="A32468" t="s">
        <v>50631</v>
      </c>
      <c r="B32468" t="s">
        <v>31651</v>
      </c>
      <c r="C32468" t="s">
        <v>2024</v>
      </c>
      <c r="D32468" t="s">
        <v>1023</v>
      </c>
      <c r="E32468" t="s">
        <v>144</v>
      </c>
      <c r="F32468" s="2" t="str">
        <f>HYPERLINK("http://www.otzar.org/book.asp?145459","פילפלא חריפתא")</f>
        <v>פילפלא חריפתא</v>
      </c>
    </row>
    <row r="32469" spans="1:6" x14ac:dyDescent="0.2">
      <c r="A32469" t="s">
        <v>50632</v>
      </c>
      <c r="B32469" t="s">
        <v>10177</v>
      </c>
      <c r="C32469" t="s">
        <v>946</v>
      </c>
      <c r="D32469" t="s">
        <v>225</v>
      </c>
      <c r="E32469" t="s">
        <v>50633</v>
      </c>
      <c r="F32469" s="2" t="str">
        <f>HYPERLINK("http://www.otzar.org/book.asp?104090","פינות הבית")</f>
        <v>פינות הבית</v>
      </c>
    </row>
    <row r="32470" spans="1:6" x14ac:dyDescent="0.2">
      <c r="A32470" t="s">
        <v>50634</v>
      </c>
      <c r="B32470" t="s">
        <v>9358</v>
      </c>
      <c r="C32470" t="s">
        <v>1811</v>
      </c>
      <c r="D32470" t="s">
        <v>216</v>
      </c>
      <c r="E32470" t="s">
        <v>199</v>
      </c>
      <c r="F32470" s="2" t="str">
        <f>HYPERLINK("http://www.otzar.org/book.asp?143133","פינסק - ספר עדות וזכרון לקהילת פינסק קארלין א")</f>
        <v>פינסק - ספר עדות וזכרון לקהילת פינסק קארלין א</v>
      </c>
    </row>
    <row r="32471" spans="1:6" x14ac:dyDescent="0.2">
      <c r="A32471" t="s">
        <v>50635</v>
      </c>
      <c r="B32471" t="s">
        <v>34409</v>
      </c>
      <c r="C32471" t="s">
        <v>114</v>
      </c>
      <c r="D32471" t="s">
        <v>14</v>
      </c>
      <c r="E32471" t="s">
        <v>3798</v>
      </c>
      <c r="F32471" s="2" t="str">
        <f>HYPERLINK("http://www.otzar.org/book.asp?630566","פינת יקרת - 7 כר'")</f>
        <v>פינת יקרת - 7 כר'</v>
      </c>
    </row>
    <row r="32472" spans="1:6" x14ac:dyDescent="0.2">
      <c r="A32472" t="s">
        <v>50636</v>
      </c>
      <c r="B32472" t="s">
        <v>50637</v>
      </c>
      <c r="C32472" t="s">
        <v>114</v>
      </c>
      <c r="D32472" t="s">
        <v>118</v>
      </c>
      <c r="E32472" t="s">
        <v>1174</v>
      </c>
      <c r="F32472" s="2" t="str">
        <f>HYPERLINK("http://www.otzar.org/book.asp?608567","פינת יקרת - ג")</f>
        <v>פינת יקרת - ג</v>
      </c>
    </row>
    <row r="32473" spans="1:6" x14ac:dyDescent="0.2">
      <c r="A32473" t="s">
        <v>50638</v>
      </c>
      <c r="B32473" t="s">
        <v>41225</v>
      </c>
      <c r="C32473" t="s">
        <v>1609</v>
      </c>
      <c r="D32473" t="s">
        <v>27</v>
      </c>
      <c r="E32473" t="s">
        <v>579</v>
      </c>
      <c r="F32473" s="2" t="str">
        <f>HYPERLINK("http://www.otzar.org/book.asp?13595","פיסוק טעמים שבמקרא")</f>
        <v>פיסוק טעמים שבמקרא</v>
      </c>
    </row>
    <row r="32474" spans="1:6" x14ac:dyDescent="0.2">
      <c r="A32474" t="s">
        <v>50638</v>
      </c>
      <c r="B32474" t="s">
        <v>2396</v>
      </c>
      <c r="C32474" t="s">
        <v>87</v>
      </c>
      <c r="D32474" t="s">
        <v>1076</v>
      </c>
      <c r="E32474" t="s">
        <v>158</v>
      </c>
      <c r="F32474" s="2" t="str">
        <f>HYPERLINK("http://www.otzar.org/book.asp?165288","פיסוק טעמים שבמקרא")</f>
        <v>פיסוק טעמים שבמקרא</v>
      </c>
    </row>
    <row r="32475" spans="1:6" x14ac:dyDescent="0.2">
      <c r="A32475" t="s">
        <v>50639</v>
      </c>
      <c r="B32475" t="s">
        <v>2396</v>
      </c>
      <c r="C32475" t="s">
        <v>87</v>
      </c>
      <c r="D32475" t="s">
        <v>1076</v>
      </c>
      <c r="E32475" t="s">
        <v>158</v>
      </c>
      <c r="F32475" s="2" t="str">
        <f>HYPERLINK("http://www.otzar.org/book.asp?22818","פיסוק מקראות שבתורה")</f>
        <v>פיסוק מקראות שבתורה</v>
      </c>
    </row>
    <row r="32476" spans="1:6" x14ac:dyDescent="0.2">
      <c r="A32476" t="s">
        <v>50640</v>
      </c>
      <c r="B32476" t="s">
        <v>9679</v>
      </c>
      <c r="C32476" t="s">
        <v>366</v>
      </c>
      <c r="D32476" t="s">
        <v>152</v>
      </c>
      <c r="F32476" s="2" t="str">
        <f>HYPERLINK("http://www.otzar.org/book.asp?608880","פיקודי החיים")</f>
        <v>פיקודי החיים</v>
      </c>
    </row>
    <row r="32477" spans="1:6" x14ac:dyDescent="0.2">
      <c r="A32477" t="s">
        <v>50641</v>
      </c>
      <c r="B32477" t="s">
        <v>9679</v>
      </c>
      <c r="C32477" t="s">
        <v>133</v>
      </c>
      <c r="D32477" t="s">
        <v>20</v>
      </c>
      <c r="E32477" t="s">
        <v>246</v>
      </c>
      <c r="F32477" s="2" t="str">
        <f>HYPERLINK("http://www.otzar.org/book.asp?176252","פיקודי המועד")</f>
        <v>פיקודי המועד</v>
      </c>
    </row>
    <row r="32478" spans="1:6" x14ac:dyDescent="0.2">
      <c r="A32478" t="s">
        <v>50642</v>
      </c>
      <c r="B32478" t="s">
        <v>9679</v>
      </c>
      <c r="C32478" t="s">
        <v>244</v>
      </c>
      <c r="D32478" t="s">
        <v>152</v>
      </c>
      <c r="F32478" s="2" t="str">
        <f>HYPERLINK("http://www.otzar.org/book.asp?608740","פיקודי השבת")</f>
        <v>פיקודי השבת</v>
      </c>
    </row>
    <row r="32479" spans="1:6" x14ac:dyDescent="0.2">
      <c r="A32479" t="s">
        <v>50643</v>
      </c>
      <c r="B32479" t="s">
        <v>50644</v>
      </c>
      <c r="C32479" t="s">
        <v>20</v>
      </c>
      <c r="D32479" t="s">
        <v>152</v>
      </c>
      <c r="E32479" t="s">
        <v>15</v>
      </c>
      <c r="F32479" s="2" t="str">
        <f>HYPERLINK("http://www.otzar.org/book.asp?626733","פיקוח נפש ורפואה בשבת")</f>
        <v>פיקוח נפש ורפואה בשבת</v>
      </c>
    </row>
    <row r="32480" spans="1:6" x14ac:dyDescent="0.2">
      <c r="A32480" t="s">
        <v>50645</v>
      </c>
      <c r="B32480" t="s">
        <v>50646</v>
      </c>
      <c r="C32480" t="s">
        <v>189</v>
      </c>
      <c r="D32480" t="s">
        <v>14</v>
      </c>
      <c r="E32480" t="s">
        <v>714</v>
      </c>
      <c r="F32480" s="2" t="str">
        <f>HYPERLINK("http://www.otzar.org/book.asp?161504","פירא רבא")</f>
        <v>פירא רבא</v>
      </c>
    </row>
    <row r="32481" spans="1:6" x14ac:dyDescent="0.2">
      <c r="A32481" t="s">
        <v>50647</v>
      </c>
      <c r="B32481" t="s">
        <v>7864</v>
      </c>
      <c r="C32481" t="s">
        <v>20</v>
      </c>
      <c r="D32481" t="s">
        <v>2458</v>
      </c>
      <c r="E32481" t="s">
        <v>230</v>
      </c>
      <c r="F32481" s="2" t="str">
        <f>HYPERLINK("http://www.otzar.org/book.asp?156122","פירורי דאורייתא")</f>
        <v>פירורי דאורייתא</v>
      </c>
    </row>
    <row r="32482" spans="1:6" x14ac:dyDescent="0.2">
      <c r="A32482" t="s">
        <v>50648</v>
      </c>
      <c r="B32482" t="s">
        <v>25933</v>
      </c>
      <c r="C32482" t="s">
        <v>619</v>
      </c>
      <c r="D32482" t="s">
        <v>2940</v>
      </c>
      <c r="E32482" t="s">
        <v>8945</v>
      </c>
      <c r="F32482" s="2" t="str">
        <f>HYPERLINK("http://www.otzar.org/book.asp?25269","פירורי לחם")</f>
        <v>פירורי לחם</v>
      </c>
    </row>
    <row r="32483" spans="1:6" x14ac:dyDescent="0.2">
      <c r="A32483" t="s">
        <v>50649</v>
      </c>
      <c r="B32483" t="s">
        <v>24592</v>
      </c>
      <c r="C32483" t="s">
        <v>422</v>
      </c>
      <c r="D32483" t="s">
        <v>52</v>
      </c>
      <c r="F32483" s="2" t="str">
        <f>HYPERLINK("http://www.otzar.org/book.asp?614416","פירורים משולחן גבוה - חנוכה")</f>
        <v>פירורים משולחן גבוה - חנוכה</v>
      </c>
    </row>
    <row r="32484" spans="1:6" x14ac:dyDescent="0.2">
      <c r="A32484" t="s">
        <v>50650</v>
      </c>
      <c r="B32484" t="s">
        <v>12</v>
      </c>
      <c r="C32484" t="s">
        <v>133</v>
      </c>
      <c r="D32484" t="s">
        <v>646</v>
      </c>
      <c r="E32484" t="s">
        <v>1517</v>
      </c>
      <c r="F32484" s="2" t="str">
        <f>HYPERLINK("http://www.otzar.org/book.asp?175593","פירוש אבודרהם - תפילת ראש השנה")</f>
        <v>פירוש אבודרהם - תפילת ראש השנה</v>
      </c>
    </row>
    <row r="32485" spans="1:6" x14ac:dyDescent="0.2">
      <c r="A32485" t="s">
        <v>50651</v>
      </c>
      <c r="B32485" t="s">
        <v>17467</v>
      </c>
      <c r="C32485" t="s">
        <v>50652</v>
      </c>
      <c r="D32485" t="s">
        <v>744</v>
      </c>
      <c r="F32485" s="2" t="str">
        <f>HYPERLINK("http://www.otzar.org/book.asp?53795","פירוש אברבנאל על ספר מורה נבוכים")</f>
        <v>פירוש אברבנאל על ספר מורה נבוכים</v>
      </c>
    </row>
    <row r="32486" spans="1:6" x14ac:dyDescent="0.2">
      <c r="A32486" t="s">
        <v>50653</v>
      </c>
      <c r="B32486" t="s">
        <v>50654</v>
      </c>
      <c r="C32486" t="s">
        <v>411</v>
      </c>
      <c r="D32486" t="s">
        <v>14</v>
      </c>
      <c r="E32486" t="s">
        <v>219</v>
      </c>
      <c r="F32486" s="2" t="str">
        <f>HYPERLINK("http://www.otzar.org/book.asp?181673","פירוש אל אדון על כל המעשים")</f>
        <v>פירוש אל אדון על כל המעשים</v>
      </c>
    </row>
    <row r="32487" spans="1:6" x14ac:dyDescent="0.2">
      <c r="A32487" t="s">
        <v>50655</v>
      </c>
      <c r="B32487" t="s">
        <v>50656</v>
      </c>
      <c r="C32487" t="s">
        <v>332</v>
      </c>
      <c r="D32487" t="s">
        <v>50657</v>
      </c>
      <c r="F32487" s="2" t="str">
        <f>HYPERLINK("http://www.otzar.org/book.asp?613771","פירוש אלפביטין - פירוש על י""ג פיוטים ארמיים")</f>
        <v>פירוש אלפביטין - פירוש על י"ג פיוטים ארמיים</v>
      </c>
    </row>
    <row r="32488" spans="1:6" x14ac:dyDescent="0.2">
      <c r="A32488" t="s">
        <v>50658</v>
      </c>
      <c r="B32488" t="s">
        <v>15186</v>
      </c>
      <c r="C32488" t="s">
        <v>50659</v>
      </c>
      <c r="D32488" t="s">
        <v>50660</v>
      </c>
      <c r="F32488" s="2" t="str">
        <f>HYPERLINK("http://www.otzar.org/book.asp?614583","פירוש דניאל הנקרא חבצלת השרון")</f>
        <v>פירוש דניאל הנקרא חבצלת השרון</v>
      </c>
    </row>
    <row r="32489" spans="1:6" x14ac:dyDescent="0.2">
      <c r="A32489" t="s">
        <v>50661</v>
      </c>
      <c r="B32489" t="s">
        <v>9114</v>
      </c>
      <c r="C32489" t="s">
        <v>20566</v>
      </c>
      <c r="D32489" t="s">
        <v>20567</v>
      </c>
      <c r="E32489" t="s">
        <v>158</v>
      </c>
      <c r="F32489" s="2" t="str">
        <f>HYPERLINK("http://www.otzar.org/book.asp?53537","פירוש דניאל להרלב""ג")</f>
        <v>פירוש דניאל להרלב"ג</v>
      </c>
    </row>
    <row r="32490" spans="1:6" x14ac:dyDescent="0.2">
      <c r="A32490" t="s">
        <v>50662</v>
      </c>
      <c r="B32490" t="s">
        <v>41242</v>
      </c>
      <c r="C32490" t="s">
        <v>8882</v>
      </c>
      <c r="D32490" t="s">
        <v>49</v>
      </c>
      <c r="F32490" s="2" t="str">
        <f>HYPERLINK("http://www.otzar.org/book.asp?170141","פירוש דרך ימין")</f>
        <v>פירוש דרך ימין</v>
      </c>
    </row>
    <row r="32491" spans="1:6" x14ac:dyDescent="0.2">
      <c r="A32491" t="s">
        <v>50663</v>
      </c>
      <c r="B32491" t="s">
        <v>50664</v>
      </c>
      <c r="C32491" t="s">
        <v>46</v>
      </c>
      <c r="D32491" t="s">
        <v>27</v>
      </c>
      <c r="E32491" t="s">
        <v>50665</v>
      </c>
      <c r="F32491" s="2" t="str">
        <f>HYPERLINK("http://www.otzar.org/book.asp?11261","פירוש האגדות לרבי עזריאל")</f>
        <v>פירוש האגדות לרבי עזריאל</v>
      </c>
    </row>
    <row r="32492" spans="1:6" x14ac:dyDescent="0.2">
      <c r="A32492" t="s">
        <v>50666</v>
      </c>
      <c r="B32492" t="s">
        <v>50667</v>
      </c>
      <c r="C32492" t="s">
        <v>313</v>
      </c>
      <c r="D32492" t="s">
        <v>14</v>
      </c>
      <c r="E32492" t="s">
        <v>144</v>
      </c>
      <c r="F32492" s="2" t="str">
        <f>HYPERLINK("http://www.otzar.org/book.asp?194567","פירוש האגדתא דפרק מי שאחזו")</f>
        <v>פירוש האגדתא דפרק מי שאחזו</v>
      </c>
    </row>
    <row r="32493" spans="1:6" x14ac:dyDescent="0.2">
      <c r="A32493" t="s">
        <v>50668</v>
      </c>
      <c r="B32493" t="s">
        <v>30378</v>
      </c>
      <c r="C32493" t="s">
        <v>985</v>
      </c>
      <c r="D32493" t="s">
        <v>260</v>
      </c>
      <c r="E32493" t="s">
        <v>579</v>
      </c>
      <c r="F32493" s="2" t="str">
        <f>HYPERLINK("http://www.otzar.org/book.asp?102542","פירוש הארוך על תהלים &lt;רד""ק&gt;")</f>
        <v>פירוש הארוך על תהלים &lt;רד"ק&gt;</v>
      </c>
    </row>
    <row r="32494" spans="1:6" x14ac:dyDescent="0.2">
      <c r="A32494" t="s">
        <v>50669</v>
      </c>
      <c r="B32494" t="s">
        <v>50670</v>
      </c>
      <c r="C32494" t="s">
        <v>49684</v>
      </c>
      <c r="D32494" t="s">
        <v>280</v>
      </c>
      <c r="E32494" t="s">
        <v>2338</v>
      </c>
      <c r="F32494" s="2" t="str">
        <f>HYPERLINK("http://www.otzar.org/book.asp?104019","פירוש הגאונים על סדר טהרות")</f>
        <v>פירוש הגאונים על סדר טהרות</v>
      </c>
    </row>
    <row r="32495" spans="1:6" x14ac:dyDescent="0.2">
      <c r="A32495" t="s">
        <v>50671</v>
      </c>
      <c r="B32495" t="s">
        <v>3941</v>
      </c>
      <c r="C32495" t="s">
        <v>160</v>
      </c>
      <c r="D32495" t="s">
        <v>9</v>
      </c>
      <c r="E32495" t="s">
        <v>3798</v>
      </c>
      <c r="F32495" s="2" t="str">
        <f>HYPERLINK("http://www.otzar.org/book.asp?6132","פירוש הגדה של פסח למהר""ל מפראג &lt;מתוך אוצר פרושים אייזנשטיין&gt;")</f>
        <v>פירוש הגדה של פסח למהר"ל מפראג &lt;מתוך אוצר פרושים אייזנשטיין&gt;</v>
      </c>
    </row>
    <row r="32496" spans="1:6" x14ac:dyDescent="0.2">
      <c r="A32496" t="s">
        <v>50672</v>
      </c>
      <c r="B32496" t="s">
        <v>47059</v>
      </c>
      <c r="C32496" t="s">
        <v>19747</v>
      </c>
      <c r="D32496" t="s">
        <v>1490</v>
      </c>
      <c r="F32496" s="2" t="str">
        <f>HYPERLINK("http://www.otzar.org/book.asp?170172","פירוש הגט")</f>
        <v>פירוש הגט</v>
      </c>
    </row>
    <row r="32497" spans="1:6" x14ac:dyDescent="0.2">
      <c r="A32497" t="s">
        <v>50673</v>
      </c>
      <c r="B32497" t="s">
        <v>1821</v>
      </c>
      <c r="C32497" t="s">
        <v>151</v>
      </c>
      <c r="D32497" t="s">
        <v>14</v>
      </c>
      <c r="F32497" s="2" t="str">
        <f>HYPERLINK("http://www.otzar.org/book.asp?623111","פירוש הגר""א על כמה אגדות")</f>
        <v>פירוש הגר"א על כמה אגדות</v>
      </c>
    </row>
    <row r="32498" spans="1:6" x14ac:dyDescent="0.2">
      <c r="A32498" t="s">
        <v>50674</v>
      </c>
      <c r="B32498" t="s">
        <v>1821</v>
      </c>
      <c r="C32498" t="s">
        <v>624</v>
      </c>
      <c r="D32498" t="s">
        <v>52</v>
      </c>
      <c r="E32498" t="s">
        <v>84</v>
      </c>
      <c r="F32498" s="2" t="str">
        <f>HYPERLINK("http://www.otzar.org/book.asp?60027","פירוש הגר""א על מסכת פרה")</f>
        <v>פירוש הגר"א על מסכת פרה</v>
      </c>
    </row>
    <row r="32499" spans="1:6" x14ac:dyDescent="0.2">
      <c r="A32499" t="s">
        <v>50675</v>
      </c>
      <c r="B32499" t="s">
        <v>50676</v>
      </c>
      <c r="C32499" t="s">
        <v>411</v>
      </c>
      <c r="D32499" t="s">
        <v>14</v>
      </c>
      <c r="E32499" t="s">
        <v>43</v>
      </c>
      <c r="F32499" s="2" t="str">
        <f>HYPERLINK("http://www.otzar.org/book.asp?175628","פירוש הגר""א על ספר יצירה עם יוצר אור")</f>
        <v>פירוש הגר"א על ספר יצירה עם יוצר אור</v>
      </c>
    </row>
    <row r="32500" spans="1:6" x14ac:dyDescent="0.2">
      <c r="A32500" t="s">
        <v>50677</v>
      </c>
      <c r="B32500" t="s">
        <v>13868</v>
      </c>
      <c r="C32500" t="s">
        <v>6773</v>
      </c>
      <c r="D32500" t="s">
        <v>49</v>
      </c>
      <c r="F32500" s="2" t="str">
        <f>HYPERLINK("http://www.otzar.org/book.asp?170347","פירוש ההגדה")</f>
        <v>פירוש ההגדה</v>
      </c>
    </row>
    <row r="32501" spans="1:6" x14ac:dyDescent="0.2">
      <c r="A32501" t="s">
        <v>50678</v>
      </c>
      <c r="B32501" t="s">
        <v>27663</v>
      </c>
      <c r="C32501" t="s">
        <v>146</v>
      </c>
      <c r="D32501" t="s">
        <v>14</v>
      </c>
      <c r="E32501" t="s">
        <v>158</v>
      </c>
      <c r="F32501" s="2" t="str">
        <f>HYPERLINK("http://www.otzar.org/book.asp?63028","פירוש הטור הארוך על התורה &lt;שהם ויקר&gt; - 2 כר'")</f>
        <v>פירוש הטור הארוך על התורה &lt;שהם ויקר&gt; - 2 כר'</v>
      </c>
    </row>
    <row r="32502" spans="1:6" x14ac:dyDescent="0.2">
      <c r="A32502" t="s">
        <v>50679</v>
      </c>
      <c r="B32502" t="s">
        <v>27663</v>
      </c>
      <c r="C32502" t="s">
        <v>728</v>
      </c>
      <c r="D32502" t="s">
        <v>283</v>
      </c>
      <c r="E32502" t="s">
        <v>158</v>
      </c>
      <c r="F32502" s="2" t="str">
        <f>HYPERLINK("http://www.otzar.org/book.asp?6860","פירוש הטור על התורה")</f>
        <v>פירוש הטור על התורה</v>
      </c>
    </row>
    <row r="32503" spans="1:6" x14ac:dyDescent="0.2">
      <c r="A32503" t="s">
        <v>50680</v>
      </c>
      <c r="B32503" t="s">
        <v>2620</v>
      </c>
      <c r="C32503" t="s">
        <v>19747</v>
      </c>
      <c r="D32503" t="s">
        <v>1490</v>
      </c>
      <c r="F32503" s="2" t="str">
        <f>HYPERLINK("http://www.otzar.org/book.asp?170341","פירוש הכתובה")</f>
        <v>פירוש הכתובה</v>
      </c>
    </row>
    <row r="32504" spans="1:6" x14ac:dyDescent="0.2">
      <c r="A32504" t="s">
        <v>50680</v>
      </c>
      <c r="B32504" t="s">
        <v>50681</v>
      </c>
      <c r="C32504" t="s">
        <v>454</v>
      </c>
      <c r="D32504" t="s">
        <v>14</v>
      </c>
      <c r="E32504" t="s">
        <v>15</v>
      </c>
      <c r="F32504" s="2" t="str">
        <f>HYPERLINK("http://www.otzar.org/book.asp?156845","פירוש הכתובה")</f>
        <v>פירוש הכתובה</v>
      </c>
    </row>
    <row r="32505" spans="1:6" x14ac:dyDescent="0.2">
      <c r="A32505" t="s">
        <v>50682</v>
      </c>
      <c r="B32505" t="s">
        <v>50588</v>
      </c>
      <c r="C32505" t="s">
        <v>87</v>
      </c>
      <c r="D32505" t="s">
        <v>52</v>
      </c>
      <c r="E32505" t="s">
        <v>674</v>
      </c>
      <c r="F32505" s="2" t="str">
        <f>HYPERLINK("http://www.otzar.org/book.asp?83782","פירוש הלכות שחיטה")</f>
        <v>פירוש הלכות שחיטה</v>
      </c>
    </row>
    <row r="32506" spans="1:6" x14ac:dyDescent="0.2">
      <c r="A32506" t="s">
        <v>50683</v>
      </c>
      <c r="B32506" t="s">
        <v>9963</v>
      </c>
      <c r="C32506" t="s">
        <v>427</v>
      </c>
      <c r="D32506" t="s">
        <v>14</v>
      </c>
      <c r="E32506" t="s">
        <v>957</v>
      </c>
      <c r="F32506" s="2" t="str">
        <f>HYPERLINK("http://www.otzar.org/book.asp?14670","פירוש המאירי על ספר משלי")</f>
        <v>פירוש המאירי על ספר משלי</v>
      </c>
    </row>
    <row r="32507" spans="1:6" x14ac:dyDescent="0.2">
      <c r="A32507" t="s">
        <v>50684</v>
      </c>
      <c r="B32507" t="s">
        <v>50685</v>
      </c>
      <c r="C32507" t="s">
        <v>286</v>
      </c>
      <c r="D32507" t="s">
        <v>14</v>
      </c>
      <c r="E32507" t="s">
        <v>219</v>
      </c>
      <c r="F32507" s="2" t="str">
        <f>HYPERLINK("http://www.otzar.org/book.asp?182771","פירוש המיוחס לרש""י לשאילת מטר מר' אלעזר בירבי קליר")</f>
        <v>פירוש המיוחס לרש"י לשאילת מטר מר' אלעזר בירבי קליר</v>
      </c>
    </row>
    <row r="32508" spans="1:6" x14ac:dyDescent="0.2">
      <c r="A32508" t="s">
        <v>50686</v>
      </c>
      <c r="B32508" t="s">
        <v>25099</v>
      </c>
      <c r="C32508" t="s">
        <v>313</v>
      </c>
      <c r="D32508" t="s">
        <v>14</v>
      </c>
      <c r="E32508" t="s">
        <v>43</v>
      </c>
      <c r="F32508" s="2" t="str">
        <f>HYPERLINK("http://www.otzar.org/book.asp?152595","פירוש המכילתא לרבי אליעזר נחום")</f>
        <v>פירוש המכילתא לרבי אליעזר נחום</v>
      </c>
    </row>
    <row r="32509" spans="1:6" x14ac:dyDescent="0.2">
      <c r="A32509" t="s">
        <v>50687</v>
      </c>
      <c r="B32509" t="s">
        <v>50688</v>
      </c>
      <c r="C32509" t="s">
        <v>20</v>
      </c>
      <c r="D32509" t="s">
        <v>90</v>
      </c>
      <c r="F32509" s="2" t="str">
        <f>HYPERLINK("http://www.otzar.org/book.asp?611501","פירוש המלבי"" ם הקצר עה""ת")</f>
        <v>פירוש המלבי" ם הקצר עה"ת</v>
      </c>
    </row>
    <row r="32510" spans="1:6" x14ac:dyDescent="0.2">
      <c r="A32510" t="s">
        <v>50689</v>
      </c>
      <c r="B32510" t="s">
        <v>41529</v>
      </c>
      <c r="C32510" t="s">
        <v>15030</v>
      </c>
      <c r="D32510" t="s">
        <v>1117</v>
      </c>
      <c r="E32510" t="s">
        <v>104</v>
      </c>
      <c r="F32510" s="2" t="str">
        <f>HYPERLINK("http://www.otzar.org/book.asp?146600","פירוש המלות")</f>
        <v>פירוש המלות</v>
      </c>
    </row>
    <row r="32511" spans="1:6" x14ac:dyDescent="0.2">
      <c r="A32511" t="s">
        <v>50690</v>
      </c>
      <c r="B32511" t="s">
        <v>50691</v>
      </c>
      <c r="C32511" t="s">
        <v>20</v>
      </c>
      <c r="D32511" t="s">
        <v>2347</v>
      </c>
      <c r="E32511" t="s">
        <v>4940</v>
      </c>
      <c r="F32511" s="2" t="str">
        <f>HYPERLINK("http://www.otzar.org/book.asp?106008","פירוש המרכבה &lt;חדרי המרכבה&gt;")</f>
        <v>פירוש המרכבה &lt;חדרי המרכבה&gt;</v>
      </c>
    </row>
    <row r="32512" spans="1:6" x14ac:dyDescent="0.2">
      <c r="A32512" t="s">
        <v>50692</v>
      </c>
      <c r="B32512" t="s">
        <v>50693</v>
      </c>
      <c r="C32512" t="s">
        <v>20</v>
      </c>
      <c r="D32512" t="s">
        <v>90</v>
      </c>
      <c r="F32512" s="2" t="str">
        <f>HYPERLINK("http://www.otzar.org/book.asp?182039","פירוש המשנה להרמב""ם - גיטין &lt;אמרי נעם&gt;")</f>
        <v>פירוש המשנה להרמב"ם - גיטין &lt;אמרי נעם&gt;</v>
      </c>
    </row>
    <row r="32513" spans="1:6" x14ac:dyDescent="0.2">
      <c r="A32513" t="s">
        <v>50694</v>
      </c>
      <c r="B32513" t="s">
        <v>1320</v>
      </c>
      <c r="C32513" t="s">
        <v>576</v>
      </c>
      <c r="D32513" t="s">
        <v>27</v>
      </c>
      <c r="E32513" t="s">
        <v>84</v>
      </c>
      <c r="F32513" s="2" t="str">
        <f>HYPERLINK("http://www.otzar.org/book.asp?178953","פירוש המשנה להרמב""ם - סנהדרין")</f>
        <v>פירוש המשנה להרמב"ם - סנהדרין</v>
      </c>
    </row>
    <row r="32514" spans="1:6" x14ac:dyDescent="0.2">
      <c r="A32514" t="s">
        <v>50695</v>
      </c>
      <c r="B32514" t="s">
        <v>1320</v>
      </c>
      <c r="C32514" t="s">
        <v>20850</v>
      </c>
      <c r="D32514" t="s">
        <v>340</v>
      </c>
      <c r="E32514" t="s">
        <v>84</v>
      </c>
      <c r="F32514" s="2" t="str">
        <f>HYPERLINK("http://www.otzar.org/book.asp?53457","פירוש המשניות להרמב""ם דפו""ר - 4 כר'")</f>
        <v>פירוש המשניות להרמב"ם דפו"ר - 4 כר'</v>
      </c>
    </row>
    <row r="32515" spans="1:6" x14ac:dyDescent="0.2">
      <c r="A32515" t="s">
        <v>50696</v>
      </c>
      <c r="B32515" t="s">
        <v>50697</v>
      </c>
      <c r="C32515" t="s">
        <v>360</v>
      </c>
      <c r="D32515" t="s">
        <v>1008</v>
      </c>
      <c r="E32515" t="s">
        <v>38</v>
      </c>
      <c r="F32515" s="2" t="str">
        <f>HYPERLINK("http://www.otzar.org/book.asp?103406","פירוש המשניות להרמב""ם - מעות לתקון בפירוש רמב""ם ז""ל למסכת אבות")</f>
        <v>פירוש המשניות להרמב"ם - מעות לתקון בפירוש רמב"ם ז"ל למסכת אבות</v>
      </c>
    </row>
    <row r="32516" spans="1:6" x14ac:dyDescent="0.2">
      <c r="A32516" t="s">
        <v>50698</v>
      </c>
      <c r="B32516" t="s">
        <v>1320</v>
      </c>
      <c r="C32516" t="s">
        <v>87</v>
      </c>
      <c r="D32516" t="s">
        <v>10790</v>
      </c>
      <c r="E32516" t="s">
        <v>10013</v>
      </c>
      <c r="F32516" s="2" t="str">
        <f>HYPERLINK("http://www.otzar.org/book.asp?101979","פירוש המשניות להרמב""ם - 31 כר'")</f>
        <v>פירוש המשניות להרמב"ם - 31 כר'</v>
      </c>
    </row>
    <row r="32517" spans="1:6" x14ac:dyDescent="0.2">
      <c r="A32517" t="s">
        <v>50699</v>
      </c>
      <c r="B32517" t="s">
        <v>50700</v>
      </c>
      <c r="C32517" t="s">
        <v>87</v>
      </c>
      <c r="D32517" t="s">
        <v>52</v>
      </c>
      <c r="E32517" t="s">
        <v>144</v>
      </c>
      <c r="F32517" s="2" t="str">
        <f>HYPERLINK("http://www.otzar.org/book.asp?157859","פירוש הערוך - כלים, אהלות")</f>
        <v>פירוש הערוך - כלים, אהלות</v>
      </c>
    </row>
    <row r="32518" spans="1:6" x14ac:dyDescent="0.2">
      <c r="A32518" t="s">
        <v>50701</v>
      </c>
      <c r="B32518" t="s">
        <v>16927</v>
      </c>
      <c r="C32518" t="s">
        <v>2076</v>
      </c>
      <c r="D32518" t="s">
        <v>855</v>
      </c>
      <c r="E32518" t="s">
        <v>399</v>
      </c>
      <c r="F32518" s="2" t="str">
        <f>HYPERLINK("http://www.otzar.org/book.asp?103256","פירוש הר""א מגרמיזא על ספר יצירה")</f>
        <v>פירוש הר"א מגרמיזא על ספר יצירה</v>
      </c>
    </row>
    <row r="32519" spans="1:6" x14ac:dyDescent="0.2">
      <c r="A32519" t="s">
        <v>50702</v>
      </c>
      <c r="B32519" t="s">
        <v>50703</v>
      </c>
      <c r="C32519" t="s">
        <v>50704</v>
      </c>
      <c r="D32519" t="s">
        <v>5727</v>
      </c>
      <c r="E32519" t="s">
        <v>20274</v>
      </c>
      <c r="F32519" s="2" t="str">
        <f>HYPERLINK("http://www.otzar.org/book.asp?104024","פירוש הר""ש &lt;מסכת בכורים ותוספתא דאנדרוגינס&gt;")</f>
        <v>פירוש הר"ש &lt;מסכת בכורים ותוספתא דאנדרוגינס&gt;</v>
      </c>
    </row>
    <row r="32520" spans="1:6" x14ac:dyDescent="0.2">
      <c r="A32520" t="s">
        <v>50705</v>
      </c>
      <c r="B32520" t="s">
        <v>50706</v>
      </c>
      <c r="C32520" t="s">
        <v>466</v>
      </c>
      <c r="D32520" t="s">
        <v>52</v>
      </c>
      <c r="E32520" t="s">
        <v>43</v>
      </c>
      <c r="F32520" s="2" t="str">
        <f>HYPERLINK("http://www.otzar.org/book.asp?60032","פירוש הר""ש על התוספתא מסכת פרה")</f>
        <v>פירוש הר"ש על התוספתא מסכת פרה</v>
      </c>
    </row>
    <row r="32521" spans="1:6" x14ac:dyDescent="0.2">
      <c r="A32521" t="s">
        <v>50707</v>
      </c>
      <c r="B32521" t="s">
        <v>50708</v>
      </c>
      <c r="C32521" t="s">
        <v>185</v>
      </c>
      <c r="D32521" t="s">
        <v>14</v>
      </c>
      <c r="E32521" t="s">
        <v>158</v>
      </c>
      <c r="F32521" s="2" t="str">
        <f>HYPERLINK("http://www.otzar.org/book.asp?630653","פירוש הרא""ם על התורה &lt;עם הערות ועיונים&gt; - 5 כר'")</f>
        <v>פירוש הרא"ם על התורה &lt;עם הערות ועיונים&gt; - 5 כר'</v>
      </c>
    </row>
    <row r="32522" spans="1:6" x14ac:dyDescent="0.2">
      <c r="A32522" t="s">
        <v>50709</v>
      </c>
      <c r="B32522" t="s">
        <v>4617</v>
      </c>
      <c r="C32522" t="s">
        <v>20</v>
      </c>
      <c r="D32522" t="s">
        <v>50710</v>
      </c>
      <c r="E32522" t="s">
        <v>25257</v>
      </c>
      <c r="F32522" s="2" t="str">
        <f>HYPERLINK("http://www.otzar.org/book.asp?11238","פירוש הרא""ש &lt;פי שנים&gt;")</f>
        <v>פירוש הרא"ש &lt;פי שנים&gt;</v>
      </c>
    </row>
    <row r="32523" spans="1:6" x14ac:dyDescent="0.2">
      <c r="A32523" t="s">
        <v>50711</v>
      </c>
      <c r="B32523" t="s">
        <v>50712</v>
      </c>
      <c r="C32523" t="s">
        <v>523</v>
      </c>
      <c r="D32523" t="s">
        <v>52</v>
      </c>
      <c r="E32523" t="s">
        <v>84</v>
      </c>
      <c r="F32523" s="2" t="str">
        <f>HYPERLINK("http://www.otzar.org/book.asp?157856","פירוש הרא""ש השלם על מסכת כלים")</f>
        <v>פירוש הרא"ש השלם על מסכת כלים</v>
      </c>
    </row>
    <row r="32524" spans="1:6" x14ac:dyDescent="0.2">
      <c r="A32524" t="s">
        <v>50713</v>
      </c>
      <c r="B32524" t="s">
        <v>4617</v>
      </c>
      <c r="C32524" t="s">
        <v>7158</v>
      </c>
      <c r="D32524" t="s">
        <v>744</v>
      </c>
      <c r="E32524" t="s">
        <v>3363</v>
      </c>
      <c r="F32524" s="2" t="str">
        <f>HYPERLINK("http://www.otzar.org/book.asp?104018","פירוש הרא""ש והראב""ד ז""ל")</f>
        <v>פירוש הרא"ש והראב"ד ז"ל</v>
      </c>
    </row>
    <row r="32525" spans="1:6" x14ac:dyDescent="0.2">
      <c r="A32525" t="s">
        <v>50714</v>
      </c>
      <c r="B32525" t="s">
        <v>50715</v>
      </c>
      <c r="C32525" t="s">
        <v>5163</v>
      </c>
      <c r="D32525" t="s">
        <v>283</v>
      </c>
      <c r="E32525" t="s">
        <v>10013</v>
      </c>
      <c r="F32525" s="2" t="str">
        <f>HYPERLINK("http://www.otzar.org/book.asp?103400","פירוש הרא""ש ור""ע על מסכת קינין")</f>
        <v>פירוש הרא"ש ור"ע על מסכת קינין</v>
      </c>
    </row>
    <row r="32526" spans="1:6" x14ac:dyDescent="0.2">
      <c r="A32526" t="s">
        <v>50716</v>
      </c>
      <c r="B32526" t="s">
        <v>4617</v>
      </c>
      <c r="C32526" t="s">
        <v>624</v>
      </c>
      <c r="D32526" t="s">
        <v>52</v>
      </c>
      <c r="E32526" t="s">
        <v>84</v>
      </c>
      <c r="F32526" s="2" t="str">
        <f>HYPERLINK("http://www.otzar.org/book.asp?60012","פירוש הרא""ש על מסכת פרה")</f>
        <v>פירוש הרא"ש על מסכת פרה</v>
      </c>
    </row>
    <row r="32527" spans="1:6" x14ac:dyDescent="0.2">
      <c r="A32527" t="s">
        <v>50717</v>
      </c>
      <c r="B32527" t="s">
        <v>11501</v>
      </c>
      <c r="C32527" t="s">
        <v>390</v>
      </c>
      <c r="D32527" t="s">
        <v>9</v>
      </c>
      <c r="E32527" t="s">
        <v>144</v>
      </c>
      <c r="F32527" s="2" t="str">
        <f>HYPERLINK("http://www.otzar.org/book.asp?50","פירוש הראב""ד על מסכת עבודה זרה")</f>
        <v>פירוש הראב"ד על מסכת עבודה זרה</v>
      </c>
    </row>
    <row r="32528" spans="1:6" x14ac:dyDescent="0.2">
      <c r="A32528" t="s">
        <v>50718</v>
      </c>
      <c r="B32528" t="s">
        <v>46745</v>
      </c>
      <c r="C32528" t="s">
        <v>1268</v>
      </c>
      <c r="D32528" t="s">
        <v>412</v>
      </c>
      <c r="E32528" t="s">
        <v>144</v>
      </c>
      <c r="F32528" s="2" t="str">
        <f>HYPERLINK("http://www.otzar.org/book.asp?62347","פירוש הראב""י אב""ד - בבא בתרא")</f>
        <v>פירוש הראב"י אב"ד - בבא בתרא</v>
      </c>
    </row>
    <row r="32529" spans="1:6" x14ac:dyDescent="0.2">
      <c r="A32529" t="s">
        <v>50719</v>
      </c>
      <c r="B32529" t="s">
        <v>16927</v>
      </c>
      <c r="C32529" t="s">
        <v>103</v>
      </c>
      <c r="D32529" t="s">
        <v>14</v>
      </c>
      <c r="E32529" t="s">
        <v>158</v>
      </c>
      <c r="F32529" s="2" t="str">
        <f>HYPERLINK("http://www.otzar.org/book.asp?151047","פירוש הרוקח על ספר יחזקאל")</f>
        <v>פירוש הרוקח על ספר יחזקאל</v>
      </c>
    </row>
    <row r="32530" spans="1:6" x14ac:dyDescent="0.2">
      <c r="A32530" t="s">
        <v>50720</v>
      </c>
      <c r="B32530" t="s">
        <v>50721</v>
      </c>
      <c r="C32530" t="s">
        <v>106</v>
      </c>
      <c r="D32530" t="s">
        <v>14</v>
      </c>
      <c r="E32530" t="s">
        <v>84</v>
      </c>
      <c r="F32530" s="2" t="str">
        <f>HYPERLINK("http://www.otzar.org/book.asp?62541","פירוש הריבמ""ץ למשנה זרעים")</f>
        <v>פירוש הריבמ"ץ למשנה זרעים</v>
      </c>
    </row>
    <row r="32531" spans="1:6" x14ac:dyDescent="0.2">
      <c r="A32531" t="s">
        <v>50722</v>
      </c>
      <c r="B32531" t="s">
        <v>19669</v>
      </c>
      <c r="C32531" t="s">
        <v>2672</v>
      </c>
      <c r="D32531" t="s">
        <v>280</v>
      </c>
      <c r="F32531" s="2" t="str">
        <f>HYPERLINK("http://www.otzar.org/book.asp?182078","פירוש הריטב""א ותוספות רי""ד - קידושין")</f>
        <v>פירוש הריטב"א ותוספות רי"ד - קידושין</v>
      </c>
    </row>
    <row r="32532" spans="1:6" x14ac:dyDescent="0.2">
      <c r="A32532" t="s">
        <v>50723</v>
      </c>
      <c r="B32532" t="s">
        <v>12390</v>
      </c>
      <c r="C32532" t="s">
        <v>454</v>
      </c>
      <c r="D32532" t="s">
        <v>14</v>
      </c>
      <c r="E32532" t="s">
        <v>158</v>
      </c>
      <c r="F32532" s="2" t="str">
        <f>HYPERLINK("http://www.otzar.org/book.asp?183408","פירוש הריקאנאטי לתורה &lt;מהדורה חדשה&gt; - 2 כר'")</f>
        <v>פירוש הריקאנאטי לתורה &lt;מהדורה חדשה&gt; - 2 כר'</v>
      </c>
    </row>
    <row r="32533" spans="1:6" x14ac:dyDescent="0.2">
      <c r="A32533" t="s">
        <v>50724</v>
      </c>
      <c r="B32533" t="s">
        <v>1314</v>
      </c>
      <c r="C32533" t="s">
        <v>17</v>
      </c>
      <c r="D32533" t="s">
        <v>21168</v>
      </c>
      <c r="E32533" t="s">
        <v>399</v>
      </c>
      <c r="F32533" s="2" t="str">
        <f>HYPERLINK("http://www.otzar.org/book.asp?143863","פירוש הרמ""ז לזוהר הקדוש - 6 כר'")</f>
        <v>פירוש הרמ"ז לזוהר הקדוש - 6 כר'</v>
      </c>
    </row>
    <row r="32534" spans="1:6" x14ac:dyDescent="0.2">
      <c r="A32534" t="s">
        <v>50725</v>
      </c>
      <c r="B32534" t="s">
        <v>1320</v>
      </c>
      <c r="C32534" t="s">
        <v>1246</v>
      </c>
      <c r="D32534" t="s">
        <v>27</v>
      </c>
      <c r="E32534" t="s">
        <v>144</v>
      </c>
      <c r="F32534" s="2" t="str">
        <f>HYPERLINK("http://www.otzar.org/book.asp?11948","פירוש הרמב""ם על מסכת ר""ה, יומא, תמורה")</f>
        <v>פירוש הרמב"ם על מסכת ר"ה, יומא, תמורה</v>
      </c>
    </row>
    <row r="32535" spans="1:6" x14ac:dyDescent="0.2">
      <c r="A32535" t="s">
        <v>50726</v>
      </c>
      <c r="B32535" t="s">
        <v>1320</v>
      </c>
      <c r="C32535" t="s">
        <v>1284</v>
      </c>
      <c r="D32535" t="s">
        <v>352</v>
      </c>
      <c r="E32535" t="s">
        <v>144</v>
      </c>
      <c r="F32535" s="2" t="str">
        <f>HYPERLINK("http://www.otzar.org/book.asp?181324","פירוש הרמב""ם על מסכת ראש השנה - 3 כר'")</f>
        <v>פירוש הרמב"ם על מסכת ראש השנה - 3 כר'</v>
      </c>
    </row>
    <row r="32536" spans="1:6" x14ac:dyDescent="0.2">
      <c r="A32536" t="s">
        <v>50727</v>
      </c>
      <c r="B32536" t="s">
        <v>50728</v>
      </c>
      <c r="C32536" t="s">
        <v>523</v>
      </c>
      <c r="D32536" t="s">
        <v>14</v>
      </c>
      <c r="E32536" t="s">
        <v>158</v>
      </c>
      <c r="F32536" s="2" t="str">
        <f>HYPERLINK("http://www.otzar.org/book.asp?171875","פירוש הרמב""ן על התורה &lt;טוב ירושלים&gt; - 5 כר'")</f>
        <v>פירוש הרמב"ן על התורה &lt;טוב ירושלים&gt; - 5 כר'</v>
      </c>
    </row>
    <row r="32537" spans="1:6" x14ac:dyDescent="0.2">
      <c r="A32537" t="s">
        <v>50729</v>
      </c>
      <c r="B32537" t="s">
        <v>50730</v>
      </c>
      <c r="C32537" t="s">
        <v>422</v>
      </c>
      <c r="D32537" t="s">
        <v>412</v>
      </c>
      <c r="E32537" t="s">
        <v>158</v>
      </c>
      <c r="F32537" s="2" t="str">
        <f>HYPERLINK("http://www.otzar.org/book.asp?170121","פירוש הרמב""ן על התורה &lt;מנחם ציון&gt; - 2 כר'")</f>
        <v>פירוש הרמב"ן על התורה &lt;מנחם ציון&gt; - 2 כר'</v>
      </c>
    </row>
    <row r="32538" spans="1:6" x14ac:dyDescent="0.2">
      <c r="A32538" t="s">
        <v>50731</v>
      </c>
      <c r="B32538" t="s">
        <v>50732</v>
      </c>
      <c r="C32538" t="s">
        <v>17</v>
      </c>
      <c r="D32538" t="s">
        <v>14</v>
      </c>
      <c r="E32538" t="s">
        <v>158</v>
      </c>
      <c r="F32538" s="2" t="str">
        <f>HYPERLINK("http://www.otzar.org/book.asp?23395","פירוש הרמב""ן על התורה &lt;בית היין&gt; - 5 כר'")</f>
        <v>פירוש הרמב"ן על התורה &lt;בית היין&gt; - 5 כר'</v>
      </c>
    </row>
    <row r="32539" spans="1:6" x14ac:dyDescent="0.2">
      <c r="A32539" t="s">
        <v>50733</v>
      </c>
      <c r="B32539" t="s">
        <v>50734</v>
      </c>
      <c r="C32539" t="s">
        <v>114</v>
      </c>
      <c r="D32539" t="s">
        <v>14</v>
      </c>
      <c r="E32539" t="s">
        <v>158</v>
      </c>
      <c r="F32539" s="2" t="str">
        <f>HYPERLINK("http://www.otzar.org/book.asp?606628","פירוש הרמב""ן על התורה &lt;הדרי קודש&gt; - 5 כר'")</f>
        <v>פירוש הרמב"ן על התורה &lt;הדרי קודש&gt; - 5 כר'</v>
      </c>
    </row>
    <row r="32540" spans="1:6" x14ac:dyDescent="0.2">
      <c r="A32540" t="s">
        <v>50735</v>
      </c>
      <c r="B32540" t="s">
        <v>1552</v>
      </c>
      <c r="C32540" t="s">
        <v>8446</v>
      </c>
      <c r="D32540" t="s">
        <v>9</v>
      </c>
      <c r="E32540" t="s">
        <v>158</v>
      </c>
      <c r="F32540" s="2" t="str">
        <f>HYPERLINK("http://www.otzar.org/book.asp?14043","פירוש הרמב""ן על התורה &lt;זכרון יצחק&gt; - 2 כר'")</f>
        <v>פירוש הרמב"ן על התורה &lt;זכרון יצחק&gt; - 2 כר'</v>
      </c>
    </row>
    <row r="32541" spans="1:6" x14ac:dyDescent="0.2">
      <c r="A32541" t="s">
        <v>50736</v>
      </c>
      <c r="B32541" t="s">
        <v>1552</v>
      </c>
      <c r="C32541" t="s">
        <v>339</v>
      </c>
      <c r="D32541" t="s">
        <v>34</v>
      </c>
      <c r="F32541" s="2" t="str">
        <f>HYPERLINK("http://www.otzar.org/book.asp?170318","פירוש הרמב""ן על התורה - 3 כר'")</f>
        <v>פירוש הרמב"ן על התורה - 3 כר'</v>
      </c>
    </row>
    <row r="32542" spans="1:6" x14ac:dyDescent="0.2">
      <c r="A32542" t="s">
        <v>50737</v>
      </c>
      <c r="B32542" t="s">
        <v>1552</v>
      </c>
      <c r="C32542" t="s">
        <v>558</v>
      </c>
      <c r="D32542" t="s">
        <v>2313</v>
      </c>
      <c r="E32542" t="s">
        <v>158</v>
      </c>
      <c r="F32542" s="2" t="str">
        <f>HYPERLINK("http://www.otzar.org/book.asp?149131","פירוש הרמב""ן על שיר השירים")</f>
        <v>פירוש הרמב"ן על שיר השירים</v>
      </c>
    </row>
    <row r="32543" spans="1:6" x14ac:dyDescent="0.2">
      <c r="A32543" t="s">
        <v>50738</v>
      </c>
      <c r="B32543" t="s">
        <v>17467</v>
      </c>
      <c r="C32543" t="s">
        <v>12392</v>
      </c>
      <c r="D32543" t="s">
        <v>49</v>
      </c>
      <c r="F32543" s="2" t="str">
        <f>HYPERLINK("http://www.otzar.org/book.asp?164733","פירוש התורה &lt;אברבנאל&gt; - 4 כר'")</f>
        <v>פירוש התורה &lt;אברבנאל&gt; - 4 כר'</v>
      </c>
    </row>
    <row r="32544" spans="1:6" x14ac:dyDescent="0.2">
      <c r="A32544" t="s">
        <v>50739</v>
      </c>
      <c r="B32544" t="s">
        <v>50740</v>
      </c>
      <c r="C32544" t="s">
        <v>4705</v>
      </c>
      <c r="D32544" t="s">
        <v>1008</v>
      </c>
      <c r="E32544" t="s">
        <v>4940</v>
      </c>
      <c r="F32544" s="2" t="str">
        <f>HYPERLINK("http://www.otzar.org/book.asp?14532","פירוש התורה &lt;רשב""ם&gt;")</f>
        <v>פירוש התורה &lt;רשב"ם&gt;</v>
      </c>
    </row>
    <row r="32545" spans="1:6" x14ac:dyDescent="0.2">
      <c r="A32545" t="s">
        <v>50741</v>
      </c>
      <c r="B32545" t="s">
        <v>27663</v>
      </c>
      <c r="C32545" t="s">
        <v>4858</v>
      </c>
      <c r="D32545" t="s">
        <v>2303</v>
      </c>
      <c r="E32545" t="s">
        <v>158</v>
      </c>
      <c r="F32545" s="2" t="str">
        <f>HYPERLINK("http://www.otzar.org/book.asp?14033","פירוש התורה בעל הטורים עם עיטור בכורים")</f>
        <v>פירוש התורה בעל הטורים עם עיטור בכורים</v>
      </c>
    </row>
    <row r="32546" spans="1:6" x14ac:dyDescent="0.2">
      <c r="A32546" t="s">
        <v>50742</v>
      </c>
      <c r="B32546" t="s">
        <v>27663</v>
      </c>
      <c r="C32546" t="s">
        <v>50743</v>
      </c>
      <c r="D32546" t="s">
        <v>49</v>
      </c>
      <c r="F32546" s="2" t="str">
        <f>HYPERLINK("http://www.otzar.org/book.asp?618723","פירוש התורה לרבינו יעקב בן אשר &lt;בעל הטורים&gt; - 2 כר'")</f>
        <v>פירוש התורה לרבינו יעקב בן אשר &lt;בעל הטורים&gt; - 2 כר'</v>
      </c>
    </row>
    <row r="32547" spans="1:6" x14ac:dyDescent="0.2">
      <c r="A32547" t="s">
        <v>50744</v>
      </c>
      <c r="B32547" t="s">
        <v>50745</v>
      </c>
      <c r="C32547" t="s">
        <v>50743</v>
      </c>
      <c r="D32547" t="s">
        <v>49</v>
      </c>
      <c r="F32547" s="2" t="str">
        <f>HYPERLINK("http://www.otzar.org/book.asp?153130","פירוש התורה לרבינו יעקב בן אשר &lt;בעל הטורים&gt;")</f>
        <v>פירוש התורה לרבינו יעקב בן אשר &lt;בעל הטורים&gt;</v>
      </c>
    </row>
    <row r="32548" spans="1:6" x14ac:dyDescent="0.2">
      <c r="A32548" t="s">
        <v>50746</v>
      </c>
      <c r="B32548" t="s">
        <v>50740</v>
      </c>
      <c r="C32548" t="s">
        <v>1640</v>
      </c>
      <c r="D32548" t="s">
        <v>216</v>
      </c>
      <c r="E32548" t="s">
        <v>4940</v>
      </c>
      <c r="F32548" s="2" t="str">
        <f>HYPERLINK("http://www.otzar.org/book.asp?14383","פירוש התורה לרשב""ם - 2 כר'")</f>
        <v>פירוש התורה לרשב"ם - 2 כר'</v>
      </c>
    </row>
    <row r="32549" spans="1:6" x14ac:dyDescent="0.2">
      <c r="A32549" t="s">
        <v>50747</v>
      </c>
      <c r="B32549" t="s">
        <v>50748</v>
      </c>
      <c r="C32549" t="s">
        <v>433</v>
      </c>
      <c r="D32549" t="s">
        <v>24403</v>
      </c>
      <c r="E32549" t="s">
        <v>3231</v>
      </c>
      <c r="F32549" s="2" t="str">
        <f>HYPERLINK("http://www.otzar.org/book.asp?7447","פירוש התורה של רבינו אפרים ז""ל")</f>
        <v>פירוש התורה של רבינו אפרים ז"ל</v>
      </c>
    </row>
    <row r="32550" spans="1:6" x14ac:dyDescent="0.2">
      <c r="A32550" t="s">
        <v>50749</v>
      </c>
      <c r="B32550" t="s">
        <v>531</v>
      </c>
      <c r="C32550" t="s">
        <v>31759</v>
      </c>
      <c r="D32550" t="s">
        <v>340</v>
      </c>
      <c r="F32550" s="2" t="str">
        <f>HYPERLINK("http://www.otzar.org/book.asp?164762","פירוש התורה")</f>
        <v>פירוש התורה</v>
      </c>
    </row>
    <row r="32551" spans="1:6" x14ac:dyDescent="0.2">
      <c r="A32551" t="s">
        <v>50750</v>
      </c>
      <c r="B32551" t="s">
        <v>46585</v>
      </c>
      <c r="C32551" t="s">
        <v>785</v>
      </c>
      <c r="D32551" t="s">
        <v>14</v>
      </c>
      <c r="E32551" t="s">
        <v>219</v>
      </c>
      <c r="F32551" s="2" t="str">
        <f>HYPERLINK("http://www.otzar.org/book.asp?13291","פירוש התפילה")</f>
        <v>פירוש התפילה</v>
      </c>
    </row>
    <row r="32552" spans="1:6" x14ac:dyDescent="0.2">
      <c r="A32552" t="s">
        <v>50751</v>
      </c>
      <c r="B32552" t="s">
        <v>50752</v>
      </c>
      <c r="C32552" t="s">
        <v>334</v>
      </c>
      <c r="D32552" t="s">
        <v>14</v>
      </c>
      <c r="E32552" t="s">
        <v>219</v>
      </c>
      <c r="F32552" s="2" t="str">
        <f>HYPERLINK("http://www.otzar.org/book.asp?10621","פירוש התפלות והברכות")</f>
        <v>פירוש התפלות והברכות</v>
      </c>
    </row>
    <row r="32553" spans="1:6" x14ac:dyDescent="0.2">
      <c r="A32553" t="s">
        <v>50753</v>
      </c>
      <c r="B32553" t="s">
        <v>50754</v>
      </c>
      <c r="C32553" t="s">
        <v>51</v>
      </c>
      <c r="D32553" t="s">
        <v>14</v>
      </c>
      <c r="E32553" t="s">
        <v>144</v>
      </c>
      <c r="F32553" s="2" t="str">
        <f>HYPERLINK("http://www.otzar.org/book.asp?28063","פירוש חי - 4 כר'")</f>
        <v>פירוש חי - 4 כר'</v>
      </c>
    </row>
    <row r="32554" spans="1:6" x14ac:dyDescent="0.2">
      <c r="A32554" t="s">
        <v>50755</v>
      </c>
      <c r="B32554" t="s">
        <v>50756</v>
      </c>
      <c r="C32554" t="s">
        <v>47454</v>
      </c>
      <c r="D32554" t="s">
        <v>4248</v>
      </c>
      <c r="E32554" t="s">
        <v>158</v>
      </c>
      <c r="F32554" s="2" t="str">
        <f>HYPERLINK("http://www.otzar.org/book.asp?21446","פירוש חמש מגילות - 2 כר'")</f>
        <v>פירוש חמש מגילות - 2 כר'</v>
      </c>
    </row>
    <row r="32555" spans="1:6" x14ac:dyDescent="0.2">
      <c r="A32555" t="s">
        <v>50757</v>
      </c>
      <c r="B32555" t="s">
        <v>9114</v>
      </c>
      <c r="C32555" t="s">
        <v>4230</v>
      </c>
      <c r="D32555" t="s">
        <v>50758</v>
      </c>
      <c r="F32555" s="2" t="str">
        <f>HYPERLINK("http://www.otzar.org/book.asp?614576","פירוש חמש מגלות")</f>
        <v>פירוש חמש מגלות</v>
      </c>
    </row>
    <row r="32556" spans="1:6" x14ac:dyDescent="0.2">
      <c r="A32556" t="s">
        <v>50759</v>
      </c>
      <c r="B32556" t="s">
        <v>50760</v>
      </c>
      <c r="C32556" t="s">
        <v>390</v>
      </c>
      <c r="D32556" t="s">
        <v>14</v>
      </c>
      <c r="E32556" t="s">
        <v>158</v>
      </c>
      <c r="F32556" s="2" t="str">
        <f>HYPERLINK("http://www.otzar.org/book.asp?11730","פירוש ימיני")</f>
        <v>פירוש ימיני</v>
      </c>
    </row>
    <row r="32557" spans="1:6" x14ac:dyDescent="0.2">
      <c r="A32557" t="s">
        <v>50761</v>
      </c>
      <c r="B32557" t="s">
        <v>50762</v>
      </c>
      <c r="C32557" t="s">
        <v>728</v>
      </c>
      <c r="D32557" t="s">
        <v>19816</v>
      </c>
      <c r="E32557" t="s">
        <v>158</v>
      </c>
      <c r="F32557" s="2" t="str">
        <f>HYPERLINK("http://www.otzar.org/book.asp?172717","פירוש ירמיה מר' יוסף קרא")</f>
        <v>פירוש ירמיה מר' יוסף קרא</v>
      </c>
    </row>
    <row r="32558" spans="1:6" x14ac:dyDescent="0.2">
      <c r="A32558" t="s">
        <v>50763</v>
      </c>
      <c r="B32558" t="s">
        <v>50764</v>
      </c>
      <c r="C32558" t="s">
        <v>332</v>
      </c>
      <c r="D32558" t="s">
        <v>14</v>
      </c>
      <c r="E32558" t="s">
        <v>158</v>
      </c>
      <c r="F32558" s="2" t="str">
        <f>HYPERLINK("http://www.otzar.org/book.asp?14436","פירוש לחמשה חומשי תורה &lt;יוסף בכור שור&gt; - 3 כר'")</f>
        <v>פירוש לחמשה חומשי תורה &lt;יוסף בכור שור&gt; - 3 כר'</v>
      </c>
    </row>
    <row r="32559" spans="1:6" x14ac:dyDescent="0.2">
      <c r="A32559" t="s">
        <v>50765</v>
      </c>
      <c r="B32559" t="s">
        <v>21196</v>
      </c>
      <c r="C32559" t="s">
        <v>286</v>
      </c>
      <c r="D32559" t="s">
        <v>260</v>
      </c>
      <c r="F32559" s="2" t="str">
        <f>HYPERLINK("http://www.otzar.org/book.asp?611602","פירוש לכתבי הקדש - 2 כר'")</f>
        <v>פירוש לכתבי הקדש - 2 כר'</v>
      </c>
    </row>
    <row r="32560" spans="1:6" x14ac:dyDescent="0.2">
      <c r="A32560" t="s">
        <v>50766</v>
      </c>
      <c r="B32560" t="s">
        <v>50767</v>
      </c>
      <c r="C32560" t="s">
        <v>27278</v>
      </c>
      <c r="D32560" t="s">
        <v>1117</v>
      </c>
      <c r="E32560" t="s">
        <v>43</v>
      </c>
      <c r="F32560" s="2" t="str">
        <f>HYPERLINK("http://www.otzar.org/book.asp?147235","פירוש למדרש הרבות מהתורה")</f>
        <v>פירוש למדרש הרבות מהתורה</v>
      </c>
    </row>
    <row r="32561" spans="1:6" x14ac:dyDescent="0.2">
      <c r="A32561" t="s">
        <v>50768</v>
      </c>
      <c r="B32561" t="s">
        <v>50767</v>
      </c>
      <c r="C32561" t="s">
        <v>27278</v>
      </c>
      <c r="D32561" t="s">
        <v>1117</v>
      </c>
      <c r="E32561" t="s">
        <v>1103</v>
      </c>
      <c r="F32561" s="2" t="str">
        <f>HYPERLINK("http://www.otzar.org/book.asp?147236","פירוש למדרש חמש מגילות רבה")</f>
        <v>פירוש למדרש חמש מגילות רבה</v>
      </c>
    </row>
    <row r="32562" spans="1:6" x14ac:dyDescent="0.2">
      <c r="A32562" t="s">
        <v>50769</v>
      </c>
      <c r="B32562" t="s">
        <v>50770</v>
      </c>
      <c r="C32562" t="s">
        <v>1163</v>
      </c>
      <c r="D32562" t="s">
        <v>1163</v>
      </c>
      <c r="E32562" t="s">
        <v>158</v>
      </c>
      <c r="F32562" s="2" t="str">
        <f>HYPERLINK("http://www.otzar.org/book.asp?147183","פירוש לספר איוב (כתב יד)")</f>
        <v>פירוש לספר איוב (כתב יד)</v>
      </c>
    </row>
    <row r="32563" spans="1:6" x14ac:dyDescent="0.2">
      <c r="A32563" t="s">
        <v>50771</v>
      </c>
      <c r="B32563" t="s">
        <v>50772</v>
      </c>
      <c r="C32563" t="s">
        <v>9115</v>
      </c>
      <c r="D32563" t="s">
        <v>50773</v>
      </c>
      <c r="F32563" s="2" t="str">
        <f>HYPERLINK("http://www.otzar.org/book.asp?170160","פירוש לספר איוב")</f>
        <v>פירוש לספר איוב</v>
      </c>
    </row>
    <row r="32564" spans="1:6" x14ac:dyDescent="0.2">
      <c r="A32564" t="s">
        <v>50771</v>
      </c>
      <c r="B32564" t="s">
        <v>50774</v>
      </c>
      <c r="C32564" t="s">
        <v>1228</v>
      </c>
      <c r="D32564" t="s">
        <v>646</v>
      </c>
      <c r="E32564" t="s">
        <v>158</v>
      </c>
      <c r="F32564" s="2" t="str">
        <f>HYPERLINK("http://www.otzar.org/book.asp?7941","פירוש לספר איוב")</f>
        <v>פירוש לספר איוב</v>
      </c>
    </row>
    <row r="32565" spans="1:6" x14ac:dyDescent="0.2">
      <c r="A32565" t="s">
        <v>50775</v>
      </c>
      <c r="B32565" t="s">
        <v>9963</v>
      </c>
      <c r="C32565" t="s">
        <v>286</v>
      </c>
      <c r="D32565" t="s">
        <v>27</v>
      </c>
      <c r="E32565" t="s">
        <v>158</v>
      </c>
      <c r="F32565" s="2" t="str">
        <f>HYPERLINK("http://www.otzar.org/book.asp?6149","פירוש לספר תהלים - 2 כר'")</f>
        <v>פירוש לספר תהלים - 2 כר'</v>
      </c>
    </row>
    <row r="32566" spans="1:6" x14ac:dyDescent="0.2">
      <c r="A32566" t="s">
        <v>50776</v>
      </c>
      <c r="B32566" t="s">
        <v>50777</v>
      </c>
      <c r="C32566" t="s">
        <v>956</v>
      </c>
      <c r="D32566" t="s">
        <v>27</v>
      </c>
      <c r="E32566" t="s">
        <v>1211</v>
      </c>
      <c r="F32566" s="2" t="str">
        <f>HYPERLINK("http://www.otzar.org/book.asp?104127","פירוש לפירושו - 4 כר'")</f>
        <v>פירוש לפירושו - 4 כר'</v>
      </c>
    </row>
    <row r="32567" spans="1:6" x14ac:dyDescent="0.2">
      <c r="A32567" t="s">
        <v>50778</v>
      </c>
      <c r="B32567" t="s">
        <v>50779</v>
      </c>
      <c r="C32567" t="s">
        <v>4741</v>
      </c>
      <c r="D32567" t="s">
        <v>49</v>
      </c>
      <c r="E32567" t="s">
        <v>158</v>
      </c>
      <c r="F32567" s="2" t="str">
        <f>HYPERLINK("http://www.otzar.org/book.asp?28328","פירוש מגילת אחשורוש - 2 כר'")</f>
        <v>פירוש מגילת אחשורוש - 2 כר'</v>
      </c>
    </row>
    <row r="32568" spans="1:6" x14ac:dyDescent="0.2">
      <c r="A32568" t="s">
        <v>50780</v>
      </c>
      <c r="B32568" t="s">
        <v>43605</v>
      </c>
      <c r="C32568" t="s">
        <v>50781</v>
      </c>
      <c r="D32568" t="s">
        <v>76</v>
      </c>
      <c r="E32568" t="s">
        <v>230</v>
      </c>
      <c r="F32568" s="2" t="str">
        <f>HYPERLINK("http://www.otzar.org/book.asp?146583","פירוש מגילת איכה")</f>
        <v>פירוש מגילת איכה</v>
      </c>
    </row>
    <row r="32569" spans="1:6" x14ac:dyDescent="0.2">
      <c r="A32569" t="s">
        <v>50782</v>
      </c>
      <c r="B32569" t="s">
        <v>17512</v>
      </c>
      <c r="C32569" t="s">
        <v>8764</v>
      </c>
      <c r="D32569" t="s">
        <v>4288</v>
      </c>
      <c r="E32569" t="s">
        <v>158</v>
      </c>
      <c r="F32569" s="2" t="str">
        <f>HYPERLINK("http://www.otzar.org/book.asp?200080","פירוש מגילת אסתר &lt;יוסף לקח&gt;")</f>
        <v>פירוש מגילת אסתר &lt;יוסף לקח&gt;</v>
      </c>
    </row>
    <row r="32570" spans="1:6" x14ac:dyDescent="0.2">
      <c r="A32570" t="s">
        <v>50783</v>
      </c>
      <c r="B32570" t="s">
        <v>8215</v>
      </c>
      <c r="C32570" t="s">
        <v>176</v>
      </c>
      <c r="D32570" t="s">
        <v>2196</v>
      </c>
      <c r="E32570" t="s">
        <v>158</v>
      </c>
      <c r="F32570" s="2" t="str">
        <f>HYPERLINK("http://www.otzar.org/book.asp?25872","פירוש מגילת אסתר &lt;ר""א גאליקו&gt; - 2 כר'")</f>
        <v>פירוש מגילת אסתר &lt;ר"א גאליקו&gt; - 2 כר'</v>
      </c>
    </row>
    <row r="32571" spans="1:6" x14ac:dyDescent="0.2">
      <c r="A32571" t="s">
        <v>50784</v>
      </c>
      <c r="B32571" t="s">
        <v>1320</v>
      </c>
      <c r="C32571" t="s">
        <v>1062</v>
      </c>
      <c r="D32571" t="s">
        <v>27</v>
      </c>
      <c r="E32571" t="s">
        <v>158</v>
      </c>
      <c r="F32571" s="2" t="str">
        <f>HYPERLINK("http://www.otzar.org/book.asp?14514","פירוש מגילת אסתר &lt;רמב""ם&gt;")</f>
        <v>פירוש מגילת אסתר &lt;רמב"ם&gt;</v>
      </c>
    </row>
    <row r="32572" spans="1:6" x14ac:dyDescent="0.2">
      <c r="A32572" t="s">
        <v>50785</v>
      </c>
      <c r="B32572" t="s">
        <v>50786</v>
      </c>
      <c r="C32572" t="s">
        <v>1096</v>
      </c>
      <c r="D32572" t="s">
        <v>352</v>
      </c>
      <c r="E32572" t="s">
        <v>158</v>
      </c>
      <c r="F32572" s="2" t="str">
        <f>HYPERLINK("http://www.otzar.org/book.asp?100010","פירוש מגילת אסתר &lt;ר' יוסף נחמיאש&gt;")</f>
        <v>פירוש מגילת אסתר &lt;ר' יוסף נחמיאש&gt;</v>
      </c>
    </row>
    <row r="32573" spans="1:6" x14ac:dyDescent="0.2">
      <c r="A32573" t="s">
        <v>50787</v>
      </c>
      <c r="B32573" t="s">
        <v>50788</v>
      </c>
      <c r="C32573" t="s">
        <v>71</v>
      </c>
      <c r="D32573" t="s">
        <v>14</v>
      </c>
      <c r="E32573" t="s">
        <v>158</v>
      </c>
      <c r="F32573" s="2" t="str">
        <f>HYPERLINK("http://www.otzar.org/book.asp?159564","פירוש מגילת אסתר המיוחס לרמב""ם")</f>
        <v>פירוש מגילת אסתר המיוחס לרמב"ם</v>
      </c>
    </row>
    <row r="32574" spans="1:6" x14ac:dyDescent="0.2">
      <c r="A32574" t="s">
        <v>50789</v>
      </c>
      <c r="B32574" t="s">
        <v>9114</v>
      </c>
      <c r="C32574" t="s">
        <v>20</v>
      </c>
      <c r="D32574" t="s">
        <v>14</v>
      </c>
      <c r="E32574" t="s">
        <v>3107</v>
      </c>
      <c r="F32574" s="2" t="str">
        <f>HYPERLINK("http://www.otzar.org/book.asp?6338","פירוש מגילת אסתר להרלב""ג")</f>
        <v>פירוש מגילת אסתר להרלב"ג</v>
      </c>
    </row>
    <row r="32575" spans="1:6" x14ac:dyDescent="0.2">
      <c r="A32575" t="s">
        <v>50790</v>
      </c>
      <c r="B32575" t="s">
        <v>17846</v>
      </c>
      <c r="C32575" t="s">
        <v>13</v>
      </c>
      <c r="D32575" t="s">
        <v>17707</v>
      </c>
      <c r="E32575" t="s">
        <v>158</v>
      </c>
      <c r="F32575" s="2" t="str">
        <f>HYPERLINK("http://www.otzar.org/book.asp?172604","פירוש מגילת אסתר לרבי אברהם חדידה")</f>
        <v>פירוש מגילת אסתר לרבי אברהם חדידה</v>
      </c>
    </row>
    <row r="32576" spans="1:6" x14ac:dyDescent="0.2">
      <c r="A32576" t="s">
        <v>50791</v>
      </c>
      <c r="B32576" t="s">
        <v>50792</v>
      </c>
      <c r="C32576" t="s">
        <v>20922</v>
      </c>
      <c r="D32576" t="s">
        <v>1490</v>
      </c>
      <c r="E32576" t="s">
        <v>573</v>
      </c>
      <c r="F32576" s="2" t="str">
        <f>HYPERLINK("http://www.otzar.org/book.asp?12209","פירוש מגילת קהלת &lt;יצחק אבן לאטיף&gt;")</f>
        <v>פירוש מגילת קהלת &lt;יצחק אבן לאטיף&gt;</v>
      </c>
    </row>
    <row r="32577" spans="1:6" x14ac:dyDescent="0.2">
      <c r="A32577" t="s">
        <v>50793</v>
      </c>
      <c r="B32577" t="s">
        <v>50794</v>
      </c>
      <c r="C32577" t="s">
        <v>20</v>
      </c>
      <c r="D32577" t="s">
        <v>90</v>
      </c>
      <c r="E32577" t="s">
        <v>158</v>
      </c>
      <c r="F32577" s="2" t="str">
        <f>HYPERLINK("http://www.otzar.org/book.asp?85611","פירוש מגילת רות &lt;מהדורה חדשה&gt; - 2 כר'")</f>
        <v>פירוש מגילת רות &lt;מהדורה חדשה&gt; - 2 כר'</v>
      </c>
    </row>
    <row r="32578" spans="1:6" x14ac:dyDescent="0.2">
      <c r="A32578" t="s">
        <v>50795</v>
      </c>
      <c r="B32578" t="s">
        <v>50796</v>
      </c>
      <c r="C32578" t="s">
        <v>15262</v>
      </c>
      <c r="D32578" t="s">
        <v>76</v>
      </c>
      <c r="E32578" t="s">
        <v>158</v>
      </c>
      <c r="F32578" s="2" t="str">
        <f>HYPERLINK("http://www.otzar.org/book.asp?152241","פירוש מגילת רות מגלה סוד הגאולה")</f>
        <v>פירוש מגילת רות מגלה סוד הגאולה</v>
      </c>
    </row>
    <row r="32579" spans="1:6" x14ac:dyDescent="0.2">
      <c r="A32579" t="s">
        <v>50797</v>
      </c>
      <c r="B32579" t="s">
        <v>50794</v>
      </c>
      <c r="C32579" t="s">
        <v>2970</v>
      </c>
      <c r="D32579" t="s">
        <v>42</v>
      </c>
      <c r="E32579" t="s">
        <v>158</v>
      </c>
      <c r="F32579" s="2" t="str">
        <f>HYPERLINK("http://www.otzar.org/book.asp?150002","פירוש מגילת רות - 2 כר'")</f>
        <v>פירוש מגילת רות - 2 כר'</v>
      </c>
    </row>
    <row r="32580" spans="1:6" x14ac:dyDescent="0.2">
      <c r="A32580" t="s">
        <v>50798</v>
      </c>
      <c r="B32580" t="s">
        <v>25556</v>
      </c>
      <c r="C32580" t="s">
        <v>26</v>
      </c>
      <c r="D32580" t="s">
        <v>27</v>
      </c>
      <c r="E32580" t="s">
        <v>144</v>
      </c>
      <c r="F32580" s="2" t="str">
        <f>HYPERLINK("http://www.otzar.org/book.asp?180076","פירוש מהר""ם חלאווה &lt;מהדורה מתוקנת&gt;")</f>
        <v>פירוש מהר"ם חלאווה &lt;מהדורה מתוקנת&gt;</v>
      </c>
    </row>
    <row r="32581" spans="1:6" x14ac:dyDescent="0.2">
      <c r="A32581" t="s">
        <v>50799</v>
      </c>
      <c r="B32581" t="s">
        <v>25556</v>
      </c>
      <c r="C32581" t="s">
        <v>482</v>
      </c>
      <c r="D32581" t="s">
        <v>27</v>
      </c>
      <c r="E32581" t="s">
        <v>144</v>
      </c>
      <c r="F32581" s="2" t="str">
        <f>HYPERLINK("http://www.otzar.org/book.asp?9156","פירוש מהר""ם חלאווה")</f>
        <v>פירוש מהר"ם חלאווה</v>
      </c>
    </row>
    <row r="32582" spans="1:6" x14ac:dyDescent="0.2">
      <c r="A32582" t="s">
        <v>50800</v>
      </c>
      <c r="B32582" t="s">
        <v>3057</v>
      </c>
      <c r="C32582" t="s">
        <v>71</v>
      </c>
      <c r="D32582" t="s">
        <v>52</v>
      </c>
      <c r="E32582" t="s">
        <v>158</v>
      </c>
      <c r="F32582" s="2" t="str">
        <f>HYPERLINK("http://www.otzar.org/book.asp?60531","פירוש מלבי""ם &lt;הוצאת מישור&gt; - 7 כר'")</f>
        <v>פירוש מלבי"ם &lt;הוצאת מישור&gt; - 7 כר'</v>
      </c>
    </row>
    <row r="32583" spans="1:6" x14ac:dyDescent="0.2">
      <c r="A32583" t="s">
        <v>50801</v>
      </c>
      <c r="B32583" t="s">
        <v>50706</v>
      </c>
      <c r="C32583" t="s">
        <v>466</v>
      </c>
      <c r="D32583" t="s">
        <v>52</v>
      </c>
      <c r="E32583" t="s">
        <v>84</v>
      </c>
      <c r="F32583" s="2" t="str">
        <f>HYPERLINK("http://www.otzar.org/book.asp?60033","פירוש מלוקט על מסכת פרה")</f>
        <v>פירוש מלוקט על מסכת פרה</v>
      </c>
    </row>
    <row r="32584" spans="1:6" x14ac:dyDescent="0.2">
      <c r="A32584" t="s">
        <v>50802</v>
      </c>
      <c r="B32584" t="s">
        <v>3673</v>
      </c>
      <c r="C32584" t="s">
        <v>1544</v>
      </c>
      <c r="D32584" t="s">
        <v>50803</v>
      </c>
      <c r="F32584" s="2" t="str">
        <f>HYPERLINK("http://www.otzar.org/book.asp?164891","פירוש מסכת אבות &lt;החסיד יעבץ&gt;")</f>
        <v>פירוש מסכת אבות &lt;החסיד יעבץ&gt;</v>
      </c>
    </row>
    <row r="32585" spans="1:6" x14ac:dyDescent="0.2">
      <c r="A32585" t="s">
        <v>50804</v>
      </c>
      <c r="B32585" t="s">
        <v>50805</v>
      </c>
      <c r="C32585" t="s">
        <v>146</v>
      </c>
      <c r="D32585" t="s">
        <v>14</v>
      </c>
      <c r="E32585" t="s">
        <v>84</v>
      </c>
      <c r="F32585" s="2" t="str">
        <f>HYPERLINK("http://www.otzar.org/book.asp?629098","פירוש מסכת אבות לרבי מתתיה היצהרי")</f>
        <v>פירוש מסכת אבות לרבי מתתיה היצהרי</v>
      </c>
    </row>
    <row r="32586" spans="1:6" x14ac:dyDescent="0.2">
      <c r="A32586" t="s">
        <v>50806</v>
      </c>
      <c r="B32586" t="s">
        <v>50807</v>
      </c>
      <c r="C32586" t="s">
        <v>356</v>
      </c>
      <c r="D32586" t="s">
        <v>14</v>
      </c>
      <c r="E32586" t="s">
        <v>2088</v>
      </c>
      <c r="F32586" s="2" t="str">
        <f>HYPERLINK("http://www.otzar.org/book.asp?11268","פירוש מסכת יבמות &lt;ריב""ן&gt;")</f>
        <v>פירוש מסכת יבמות &lt;ריב"ן&gt;</v>
      </c>
    </row>
    <row r="32587" spans="1:6" x14ac:dyDescent="0.2">
      <c r="A32587" t="s">
        <v>50808</v>
      </c>
      <c r="B32587" t="s">
        <v>47135</v>
      </c>
      <c r="C32587" t="s">
        <v>1284</v>
      </c>
      <c r="D32587" t="s">
        <v>43599</v>
      </c>
      <c r="E32587" t="s">
        <v>14466</v>
      </c>
      <c r="F32587" s="2" t="str">
        <f>HYPERLINK("http://www.otzar.org/book.asp?11649","פירוש מסכת כלה רבתי")</f>
        <v>פירוש מסכת כלה רבתי</v>
      </c>
    </row>
    <row r="32588" spans="1:6" x14ac:dyDescent="0.2">
      <c r="A32588" t="s">
        <v>50809</v>
      </c>
      <c r="B32588" t="s">
        <v>5332</v>
      </c>
      <c r="C32588" t="s">
        <v>725</v>
      </c>
      <c r="D32588" t="s">
        <v>27</v>
      </c>
      <c r="E32588" t="s">
        <v>144</v>
      </c>
      <c r="F32588" s="2" t="str">
        <f>HYPERLINK("http://www.otzar.org/book.asp?5844","פירוש מסכת משקין")</f>
        <v>פירוש מסכת משקין</v>
      </c>
    </row>
    <row r="32589" spans="1:6" x14ac:dyDescent="0.2">
      <c r="A32589" t="s">
        <v>50809</v>
      </c>
      <c r="B32589" t="s">
        <v>50810</v>
      </c>
      <c r="C32589" t="s">
        <v>445</v>
      </c>
      <c r="D32589" t="s">
        <v>280</v>
      </c>
      <c r="E32589" t="s">
        <v>920</v>
      </c>
      <c r="F32589" s="2" t="str">
        <f>HYPERLINK("http://www.otzar.org/book.asp?11646","פירוש מסכת משקין")</f>
        <v>פירוש מסכת משקין</v>
      </c>
    </row>
    <row r="32590" spans="1:6" x14ac:dyDescent="0.2">
      <c r="A32590" t="s">
        <v>50811</v>
      </c>
      <c r="B32590" t="s">
        <v>50812</v>
      </c>
      <c r="C32590" t="s">
        <v>356</v>
      </c>
      <c r="D32590" t="s">
        <v>14</v>
      </c>
      <c r="E32590" t="s">
        <v>144</v>
      </c>
      <c r="F32590" s="2" t="str">
        <f>HYPERLINK("http://www.otzar.org/book.asp?9072","פירוש מסכת קידושין")</f>
        <v>פירוש מסכת קידושין</v>
      </c>
    </row>
    <row r="32591" spans="1:6" x14ac:dyDescent="0.2">
      <c r="A32591" t="s">
        <v>50813</v>
      </c>
      <c r="B32591" t="s">
        <v>21963</v>
      </c>
      <c r="C32591" t="s">
        <v>13</v>
      </c>
      <c r="D32591" t="s">
        <v>14</v>
      </c>
      <c r="F32591" s="2" t="str">
        <f>HYPERLINK("http://www.otzar.org/book.asp?161546","פירוש מרי""ד על התורה")</f>
        <v>פירוש מרי"ד על התורה</v>
      </c>
    </row>
    <row r="32592" spans="1:6" x14ac:dyDescent="0.2">
      <c r="A32592" t="s">
        <v>50814</v>
      </c>
      <c r="B32592" t="s">
        <v>531</v>
      </c>
      <c r="C32592" t="s">
        <v>156</v>
      </c>
      <c r="D32592" t="s">
        <v>39832</v>
      </c>
      <c r="E32592" t="s">
        <v>158</v>
      </c>
      <c r="F32592" s="2" t="str">
        <f>HYPERLINK("http://www.otzar.org/book.asp?5717","פירוש משלי &lt;ראב""ע&gt;")</f>
        <v>פירוש משלי &lt;ראב"ע&gt;</v>
      </c>
    </row>
    <row r="32593" spans="1:6" x14ac:dyDescent="0.2">
      <c r="A32593" t="s">
        <v>50815</v>
      </c>
      <c r="B32593" t="s">
        <v>50816</v>
      </c>
      <c r="C32593" t="s">
        <v>7367</v>
      </c>
      <c r="D32593" t="s">
        <v>744</v>
      </c>
      <c r="E32593" t="s">
        <v>158</v>
      </c>
      <c r="F32593" s="2" t="str">
        <f>HYPERLINK("http://www.otzar.org/book.asp?147012","פירוש נאה ומחודש על מזמור פג - 2 כר'")</f>
        <v>פירוש נאה ומחודש על מזמור פג - 2 כר'</v>
      </c>
    </row>
    <row r="32594" spans="1:6" x14ac:dyDescent="0.2">
      <c r="A32594" t="s">
        <v>50817</v>
      </c>
      <c r="B32594" t="s">
        <v>47118</v>
      </c>
      <c r="C32594" t="s">
        <v>143</v>
      </c>
      <c r="D32594" t="s">
        <v>14</v>
      </c>
      <c r="E32594" t="s">
        <v>158</v>
      </c>
      <c r="F32594" s="2" t="str">
        <f>HYPERLINK("http://www.otzar.org/book.asp?83656","פירוש נביאים וכתובים &lt;ר' ישעיה הראשון מטראני&gt; - 3 כר'")</f>
        <v>פירוש נביאים וכתובים &lt;ר' ישעיה הראשון מטראני&gt; - 3 כר'</v>
      </c>
    </row>
    <row r="32595" spans="1:6" x14ac:dyDescent="0.2">
      <c r="A32595" t="s">
        <v>50818</v>
      </c>
      <c r="B32595" t="s">
        <v>50819</v>
      </c>
      <c r="C32595" t="s">
        <v>466</v>
      </c>
      <c r="D32595" t="s">
        <v>5421</v>
      </c>
      <c r="E32595" t="s">
        <v>158</v>
      </c>
      <c r="F32595" s="2" t="str">
        <f>HYPERLINK("http://www.otzar.org/book.asp?149865","פירוש נביאים ראשונים - 4 כר'")</f>
        <v>פירוש נביאים ראשונים - 4 כר'</v>
      </c>
    </row>
    <row r="32596" spans="1:6" x14ac:dyDescent="0.2">
      <c r="A32596" t="s">
        <v>50820</v>
      </c>
      <c r="B32596" t="s">
        <v>50821</v>
      </c>
      <c r="C32596" t="s">
        <v>1659</v>
      </c>
      <c r="D32596" t="s">
        <v>1023</v>
      </c>
      <c r="E32596" t="s">
        <v>246</v>
      </c>
      <c r="F32596" s="2" t="str">
        <f>HYPERLINK("http://www.otzar.org/book.asp?147150","פירוש נחמד ונעים")</f>
        <v>פירוש נחמד ונעים</v>
      </c>
    </row>
    <row r="32597" spans="1:6" x14ac:dyDescent="0.2">
      <c r="A32597" t="s">
        <v>50822</v>
      </c>
      <c r="B32597" t="s">
        <v>50823</v>
      </c>
      <c r="C32597" t="s">
        <v>8882</v>
      </c>
      <c r="D32597" t="s">
        <v>49</v>
      </c>
      <c r="E32597" t="s">
        <v>1517</v>
      </c>
      <c r="F32597" s="2" t="str">
        <f>HYPERLINK("http://www.otzar.org/book.asp?162976","פירוש נחמד על היוצר משבת וחנוכה")</f>
        <v>פירוש נחמד על היוצר משבת וחנוכה</v>
      </c>
    </row>
    <row r="32598" spans="1:6" x14ac:dyDescent="0.2">
      <c r="A32598" t="s">
        <v>50824</v>
      </c>
      <c r="B32598" t="s">
        <v>47449</v>
      </c>
      <c r="C32598" t="s">
        <v>163</v>
      </c>
      <c r="D32598" t="s">
        <v>1037</v>
      </c>
      <c r="E32598" t="s">
        <v>213</v>
      </c>
      <c r="F32598" s="2" t="str">
        <f>HYPERLINK("http://www.otzar.org/book.asp?12811","פירוש נעשה אדם בצלמנו")</f>
        <v>פירוש נעשה אדם בצלמנו</v>
      </c>
    </row>
    <row r="32599" spans="1:6" x14ac:dyDescent="0.2">
      <c r="A32599" t="s">
        <v>50825</v>
      </c>
      <c r="B32599" t="s">
        <v>50786</v>
      </c>
      <c r="C32599" t="s">
        <v>558</v>
      </c>
      <c r="D32599" t="s">
        <v>4352</v>
      </c>
      <c r="E32599" t="s">
        <v>1626</v>
      </c>
      <c r="F32599" s="2" t="str">
        <f>HYPERLINK("http://www.otzar.org/book.asp?7959","פירוש סדר עבודה")</f>
        <v>פירוש סדר עבודה</v>
      </c>
    </row>
    <row r="32600" spans="1:6" x14ac:dyDescent="0.2">
      <c r="A32600" t="s">
        <v>50826</v>
      </c>
      <c r="B32600" t="s">
        <v>4201</v>
      </c>
      <c r="C32600" t="s">
        <v>4202</v>
      </c>
      <c r="D32600" t="s">
        <v>49</v>
      </c>
      <c r="F32600" s="2" t="str">
        <f>HYPERLINK("http://www.otzar.org/book.asp?170156","פירוש סדר עבודת יום הכפורים")</f>
        <v>פירוש סדר עבודת יום הכפורים</v>
      </c>
    </row>
    <row r="32601" spans="1:6" x14ac:dyDescent="0.2">
      <c r="A32601" t="s">
        <v>50827</v>
      </c>
      <c r="B32601" t="s">
        <v>47239</v>
      </c>
      <c r="C32601" t="s">
        <v>129</v>
      </c>
      <c r="D32601" t="s">
        <v>216</v>
      </c>
      <c r="F32601" s="2" t="str">
        <f>HYPERLINK("http://www.otzar.org/book.asp?183162","פירוש ספר יצירה &lt;מהדורה חדשה&gt;")</f>
        <v>פירוש ספר יצירה &lt;מהדורה חדשה&gt;</v>
      </c>
    </row>
    <row r="32602" spans="1:6" x14ac:dyDescent="0.2">
      <c r="A32602" t="s">
        <v>50828</v>
      </c>
      <c r="B32602" t="s">
        <v>47239</v>
      </c>
      <c r="C32602" t="s">
        <v>1718</v>
      </c>
      <c r="D32602" t="s">
        <v>280</v>
      </c>
      <c r="E32602" t="s">
        <v>399</v>
      </c>
      <c r="F32602" s="2" t="str">
        <f>HYPERLINK("http://www.otzar.org/book.asp?102129","פירוש ספר יצירה")</f>
        <v>פירוש ספר יצירה</v>
      </c>
    </row>
    <row r="32603" spans="1:6" x14ac:dyDescent="0.2">
      <c r="A32603" t="s">
        <v>50829</v>
      </c>
      <c r="B32603" t="s">
        <v>50830</v>
      </c>
      <c r="C32603" t="s">
        <v>4699</v>
      </c>
      <c r="D32603" t="s">
        <v>729</v>
      </c>
      <c r="E32603" t="s">
        <v>158</v>
      </c>
      <c r="F32603" s="2" t="str">
        <f>HYPERLINK("http://www.otzar.org/book.asp?141151","פירוש ספר קהלת ותהלים עם פירוש רבי משה ישראל דמירקאדו")</f>
        <v>פירוש ספר קהלת ותהלים עם פירוש רבי משה ישראל דמירקאדו</v>
      </c>
    </row>
    <row r="32604" spans="1:6" x14ac:dyDescent="0.2">
      <c r="A32604" t="s">
        <v>50831</v>
      </c>
      <c r="B32604" t="s">
        <v>25099</v>
      </c>
      <c r="C32604" t="s">
        <v>523</v>
      </c>
      <c r="D32604" t="s">
        <v>14</v>
      </c>
      <c r="F32604" s="2" t="str">
        <f>HYPERLINK("http://www.otzar.org/book.asp?153311","פירוש ספרי לרבינו אליעזר נחום")</f>
        <v>פירוש ספרי לרבינו אליעזר נחום</v>
      </c>
    </row>
    <row r="32605" spans="1:6" x14ac:dyDescent="0.2">
      <c r="A32605" t="s">
        <v>50832</v>
      </c>
      <c r="B32605" t="s">
        <v>50832</v>
      </c>
      <c r="C32605" t="s">
        <v>360</v>
      </c>
      <c r="D32605" t="s">
        <v>6042</v>
      </c>
      <c r="E32605" t="s">
        <v>158</v>
      </c>
      <c r="F32605" s="2" t="str">
        <f>HYPERLINK("http://www.otzar.org/book.asp?172273","פירוש על איוב")</f>
        <v>פירוש על איוב</v>
      </c>
    </row>
    <row r="32606" spans="1:6" x14ac:dyDescent="0.2">
      <c r="A32606" t="s">
        <v>50833</v>
      </c>
      <c r="B32606" t="s">
        <v>50834</v>
      </c>
      <c r="C32606" t="s">
        <v>603</v>
      </c>
      <c r="D32606" t="s">
        <v>6042</v>
      </c>
      <c r="E32606" t="s">
        <v>158</v>
      </c>
      <c r="F32606" s="2" t="str">
        <f>HYPERLINK("http://www.otzar.org/book.asp?172317","פירוש על דברי הימים")</f>
        <v>פירוש על דברי הימים</v>
      </c>
    </row>
    <row r="32607" spans="1:6" x14ac:dyDescent="0.2">
      <c r="A32607" t="s">
        <v>50835</v>
      </c>
      <c r="B32607" t="s">
        <v>32097</v>
      </c>
      <c r="C32607" t="s">
        <v>31586</v>
      </c>
      <c r="D32607" t="s">
        <v>76</v>
      </c>
      <c r="E32607" t="s">
        <v>5186</v>
      </c>
      <c r="F32607" s="2" t="str">
        <f>HYPERLINK("http://www.otzar.org/book.asp?167196","פירוש על הי""ג מידות")</f>
        <v>פירוש על הי"ג מידות</v>
      </c>
    </row>
    <row r="32608" spans="1:6" x14ac:dyDescent="0.2">
      <c r="A32608" t="s">
        <v>50836</v>
      </c>
      <c r="B32608" t="s">
        <v>2620</v>
      </c>
      <c r="C32608" t="s">
        <v>1166</v>
      </c>
      <c r="D32608" t="s">
        <v>6459</v>
      </c>
      <c r="E32608" t="s">
        <v>15</v>
      </c>
      <c r="F32608" s="2" t="str">
        <f>HYPERLINK("http://www.otzar.org/book.asp?64051","פירוש על הכתובה")</f>
        <v>פירוש על הכתובה</v>
      </c>
    </row>
    <row r="32609" spans="1:6" x14ac:dyDescent="0.2">
      <c r="A32609" t="s">
        <v>50837</v>
      </c>
      <c r="B32609" t="s">
        <v>27915</v>
      </c>
      <c r="C32609" t="s">
        <v>2672</v>
      </c>
      <c r="D32609" t="s">
        <v>5665</v>
      </c>
      <c r="E32609" t="s">
        <v>158</v>
      </c>
      <c r="F32609" s="2" t="str">
        <f>HYPERLINK("http://www.otzar.org/book.asp?16897","פירוש על המסורה")</f>
        <v>פירוש על המסורה</v>
      </c>
    </row>
    <row r="32610" spans="1:6" x14ac:dyDescent="0.2">
      <c r="A32610" t="s">
        <v>50838</v>
      </c>
      <c r="B32610" t="s">
        <v>50839</v>
      </c>
      <c r="C32610" t="s">
        <v>1163</v>
      </c>
      <c r="D32610" t="s">
        <v>14</v>
      </c>
      <c r="E32610" t="s">
        <v>219</v>
      </c>
      <c r="F32610" s="2" t="str">
        <f>HYPERLINK("http://www.otzar.org/book.asp?9778","פירוש על הפיוטים - כ""י המבורג")</f>
        <v>פירוש על הפיוטים - כ"י המבורג</v>
      </c>
    </row>
    <row r="32611" spans="1:6" x14ac:dyDescent="0.2">
      <c r="A32611" t="s">
        <v>50840</v>
      </c>
      <c r="B32611" t="s">
        <v>50841</v>
      </c>
      <c r="C32611" t="s">
        <v>25392</v>
      </c>
      <c r="D32611" t="s">
        <v>1023</v>
      </c>
      <c r="E32611" t="s">
        <v>15</v>
      </c>
      <c r="F32611" s="2" t="str">
        <f>HYPERLINK("http://www.otzar.org/book.asp?101767","פירוש על הרמב""ם - 2 כר'")</f>
        <v>פירוש על הרמב"ם - 2 כר'</v>
      </c>
    </row>
    <row r="32612" spans="1:6" x14ac:dyDescent="0.2">
      <c r="A32612" t="s">
        <v>50842</v>
      </c>
      <c r="B32612" t="s">
        <v>17467</v>
      </c>
      <c r="C32612" t="s">
        <v>50843</v>
      </c>
      <c r="D32612" t="s">
        <v>14</v>
      </c>
      <c r="E32612" t="s">
        <v>573</v>
      </c>
      <c r="F32612" s="2" t="str">
        <f>HYPERLINK("http://www.otzar.org/book.asp?14520","פירוש על התורה &lt;אברבנאל&gt; - 3 כר'")</f>
        <v>פירוש על התורה &lt;אברבנאל&gt; - 3 כר'</v>
      </c>
    </row>
    <row r="32613" spans="1:6" x14ac:dyDescent="0.2">
      <c r="A32613" t="s">
        <v>50844</v>
      </c>
      <c r="B32613" t="s">
        <v>16964</v>
      </c>
      <c r="C32613" t="s">
        <v>956</v>
      </c>
      <c r="D32613" t="s">
        <v>14</v>
      </c>
      <c r="E32613" t="s">
        <v>4940</v>
      </c>
      <c r="F32613" s="2" t="str">
        <f>HYPERLINK("http://www.otzar.org/book.asp?7943","פירוש על התורה &lt;רבינו נסים&gt;")</f>
        <v>פירוש על התורה &lt;רבינו נסים&gt;</v>
      </c>
    </row>
    <row r="32614" spans="1:6" x14ac:dyDescent="0.2">
      <c r="A32614" t="s">
        <v>50845</v>
      </c>
      <c r="B32614" t="s">
        <v>50846</v>
      </c>
      <c r="C32614" t="s">
        <v>1811</v>
      </c>
      <c r="D32614" t="s">
        <v>14</v>
      </c>
      <c r="E32614" t="s">
        <v>119</v>
      </c>
      <c r="F32614" s="2" t="str">
        <f>HYPERLINK("http://www.otzar.org/book.asp?106039","פירוש על התורה &lt;מיוחס לתלמיד הר""ן&gt;")</f>
        <v>פירוש על התורה &lt;מיוחס לתלמיד הר"ן&gt;</v>
      </c>
    </row>
    <row r="32615" spans="1:6" x14ac:dyDescent="0.2">
      <c r="A32615" t="s">
        <v>50847</v>
      </c>
      <c r="B32615" t="s">
        <v>50848</v>
      </c>
      <c r="C32615" t="s">
        <v>270</v>
      </c>
      <c r="D32615" t="s">
        <v>157</v>
      </c>
      <c r="F32615" s="2" t="str">
        <f>HYPERLINK("http://www.otzar.org/book.asp?164940","פירוש על התורה להגאון רבינו אפרים")</f>
        <v>פירוש על התורה להגאון רבינו אפרים</v>
      </c>
    </row>
    <row r="32616" spans="1:6" x14ac:dyDescent="0.2">
      <c r="A32616" t="s">
        <v>50849</v>
      </c>
      <c r="B32616" t="s">
        <v>12390</v>
      </c>
      <c r="C32616" t="s">
        <v>22883</v>
      </c>
      <c r="D32616" t="s">
        <v>49</v>
      </c>
      <c r="E32616" t="s">
        <v>158</v>
      </c>
      <c r="F32616" s="2" t="str">
        <f>HYPERLINK("http://www.otzar.org/book.asp?53541","פירוש על התורה לר""מ ריקאנאטי")</f>
        <v>פירוש על התורה לר"מ ריקאנאטי</v>
      </c>
    </row>
    <row r="32617" spans="1:6" x14ac:dyDescent="0.2">
      <c r="A32617" t="s">
        <v>50850</v>
      </c>
      <c r="B32617" t="s">
        <v>18194</v>
      </c>
      <c r="C32617" t="s">
        <v>20</v>
      </c>
      <c r="D32617" t="s">
        <v>14</v>
      </c>
      <c r="F32617" s="2" t="str">
        <f>HYPERLINK("http://www.otzar.org/book.asp?616345","פירוש על התורה עם פירוש סיפורי חסידים - 5 כר'")</f>
        <v>פירוש על התורה עם פירוש סיפורי חסידים - 5 כר'</v>
      </c>
    </row>
    <row r="32618" spans="1:6" x14ac:dyDescent="0.2">
      <c r="A32618" t="s">
        <v>50851</v>
      </c>
      <c r="B32618" t="s">
        <v>27663</v>
      </c>
      <c r="C32618" t="s">
        <v>6052</v>
      </c>
      <c r="D32618" t="s">
        <v>5477</v>
      </c>
      <c r="E32618" t="s">
        <v>158</v>
      </c>
      <c r="F32618" s="2" t="str">
        <f>HYPERLINK("http://www.otzar.org/book.asp?6267","פירוש על התורה")</f>
        <v>פירוש על התורה</v>
      </c>
    </row>
    <row r="32619" spans="1:6" x14ac:dyDescent="0.2">
      <c r="A32619" t="s">
        <v>50852</v>
      </c>
      <c r="B32619" t="s">
        <v>46309</v>
      </c>
      <c r="C32619" t="s">
        <v>2289</v>
      </c>
      <c r="D32619" t="s">
        <v>6042</v>
      </c>
      <c r="E32619" t="s">
        <v>246</v>
      </c>
      <c r="F32619" s="2" t="str">
        <f>HYPERLINK("http://www.otzar.org/book.asp?147430","פירוש על חד גדיא")</f>
        <v>פירוש על חד גדיא</v>
      </c>
    </row>
    <row r="32620" spans="1:6" x14ac:dyDescent="0.2">
      <c r="A32620" t="s">
        <v>50853</v>
      </c>
      <c r="B32620" t="s">
        <v>9114</v>
      </c>
      <c r="C32620" t="s">
        <v>800</v>
      </c>
      <c r="D32620" t="s">
        <v>164</v>
      </c>
      <c r="E32620" t="s">
        <v>957</v>
      </c>
      <c r="F32620" s="2" t="str">
        <f>HYPERLINK("http://www.otzar.org/book.asp?102130","פירוש על חמש מגלות &lt;רלב""ג&gt;")</f>
        <v>פירוש על חמש מגלות &lt;רלב"ג&gt;</v>
      </c>
    </row>
    <row r="32621" spans="1:6" x14ac:dyDescent="0.2">
      <c r="A32621" t="s">
        <v>50854</v>
      </c>
      <c r="B32621" t="s">
        <v>1821</v>
      </c>
      <c r="C32621" t="s">
        <v>5912</v>
      </c>
      <c r="D32621" t="s">
        <v>283</v>
      </c>
      <c r="E32621" t="s">
        <v>158</v>
      </c>
      <c r="F32621" s="2" t="str">
        <f>HYPERLINK("http://www.otzar.org/book.asp?165952","פירוש על יונה &lt;הגר""א&gt;")</f>
        <v>פירוש על יונה &lt;הגר"א&gt;</v>
      </c>
    </row>
    <row r="32622" spans="1:6" x14ac:dyDescent="0.2">
      <c r="A32622" t="s">
        <v>50855</v>
      </c>
      <c r="B32622" t="s">
        <v>50856</v>
      </c>
      <c r="C32622" t="s">
        <v>14870</v>
      </c>
      <c r="D32622" t="s">
        <v>283</v>
      </c>
      <c r="E32622" t="s">
        <v>604</v>
      </c>
      <c r="F32622" s="2" t="str">
        <f>HYPERLINK("http://www.otzar.org/book.asp?5634","פירוש על יחזקאל ותרי עשר")</f>
        <v>פירוש על יחזקאל ותרי עשר</v>
      </c>
    </row>
    <row r="32623" spans="1:6" x14ac:dyDescent="0.2">
      <c r="A32623" t="s">
        <v>50857</v>
      </c>
      <c r="B32623" t="s">
        <v>5129</v>
      </c>
      <c r="C32623" t="s">
        <v>8</v>
      </c>
      <c r="D32623" t="s">
        <v>50858</v>
      </c>
      <c r="E32623" t="s">
        <v>158</v>
      </c>
      <c r="F32623" s="2" t="str">
        <f>HYPERLINK("http://www.otzar.org/book.asp?173345","פירוש על ישעיהו")</f>
        <v>פירוש על ישעיהו</v>
      </c>
    </row>
    <row r="32624" spans="1:6" x14ac:dyDescent="0.2">
      <c r="A32624" t="s">
        <v>50859</v>
      </c>
      <c r="B32624" t="s">
        <v>1821</v>
      </c>
      <c r="C32624" t="s">
        <v>75</v>
      </c>
      <c r="D32624" t="s">
        <v>22864</v>
      </c>
      <c r="E32624" t="s">
        <v>144</v>
      </c>
      <c r="F32624" s="2" t="str">
        <f>HYPERLINK("http://www.otzar.org/book.asp?19353","פירוש על כמה אגדות")</f>
        <v>פירוש על כמה אגדות</v>
      </c>
    </row>
    <row r="32625" spans="1:6" x14ac:dyDescent="0.2">
      <c r="A32625" t="s">
        <v>50860</v>
      </c>
      <c r="B32625" t="s">
        <v>18091</v>
      </c>
      <c r="C32625" t="s">
        <v>133</v>
      </c>
      <c r="D32625" t="s">
        <v>14</v>
      </c>
      <c r="E32625" t="s">
        <v>50861</v>
      </c>
      <c r="F32625" s="2" t="str">
        <f>HYPERLINK("http://www.otzar.org/book.asp?198224","פירוש על מגילת תענית - פירוש על ההושענות")</f>
        <v>פירוש על מגילת תענית - פירוש על ההושענות</v>
      </c>
    </row>
    <row r="32626" spans="1:6" x14ac:dyDescent="0.2">
      <c r="A32626" t="s">
        <v>50862</v>
      </c>
      <c r="B32626" t="s">
        <v>1574</v>
      </c>
      <c r="C32626" t="s">
        <v>576</v>
      </c>
      <c r="D32626" t="s">
        <v>225</v>
      </c>
      <c r="E32626" t="s">
        <v>158</v>
      </c>
      <c r="F32626" s="2" t="str">
        <f>HYPERLINK("http://www.otzar.org/book.asp?172316","פירוש על משלי &lt;רבינו יונה&gt; - 2 כר'")</f>
        <v>פירוש על משלי &lt;רבינו יונה&gt; - 2 כר'</v>
      </c>
    </row>
    <row r="32627" spans="1:6" x14ac:dyDescent="0.2">
      <c r="A32627" t="s">
        <v>50863</v>
      </c>
      <c r="B32627" t="s">
        <v>17467</v>
      </c>
      <c r="C32627" t="s">
        <v>1952</v>
      </c>
      <c r="D32627" t="s">
        <v>1023</v>
      </c>
      <c r="E32627" t="s">
        <v>50864</v>
      </c>
      <c r="F32627" s="2" t="str">
        <f>HYPERLINK("http://www.otzar.org/book.asp?103660","פירוש על נביאים אחרונים &lt;אברבנאל&gt; - 2 כר'")</f>
        <v>פירוש על נביאים אחרונים &lt;אברבנאל&gt; - 2 כר'</v>
      </c>
    </row>
    <row r="32628" spans="1:6" x14ac:dyDescent="0.2">
      <c r="A32628" t="s">
        <v>50865</v>
      </c>
      <c r="B32628" t="s">
        <v>17467</v>
      </c>
      <c r="C32628" t="s">
        <v>50843</v>
      </c>
      <c r="D32628" t="s">
        <v>5050</v>
      </c>
      <c r="E32628" t="s">
        <v>50866</v>
      </c>
      <c r="F32628" s="2" t="str">
        <f>HYPERLINK("http://www.otzar.org/book.asp?7206","פירוש על נביאים וכתובים &lt;אברבנאל&gt;")</f>
        <v>פירוש על נביאים וכתובים &lt;אברבנאל&gt;</v>
      </c>
    </row>
    <row r="32629" spans="1:6" x14ac:dyDescent="0.2">
      <c r="A32629" t="s">
        <v>50867</v>
      </c>
      <c r="B32629" t="s">
        <v>17467</v>
      </c>
      <c r="C32629" t="s">
        <v>10359</v>
      </c>
      <c r="D32629" t="s">
        <v>50868</v>
      </c>
      <c r="F32629" s="2" t="str">
        <f>HYPERLINK("http://www.otzar.org/book.asp?170067","פירוש על נביאים ראשונים &lt;אברבנאל&gt; - 3 כר'")</f>
        <v>פירוש על נביאים ראשונים &lt;אברבנאל&gt; - 3 כר'</v>
      </c>
    </row>
    <row r="32630" spans="1:6" x14ac:dyDescent="0.2">
      <c r="A32630" t="s">
        <v>50869</v>
      </c>
      <c r="B32630" t="s">
        <v>50870</v>
      </c>
      <c r="C32630" t="s">
        <v>888</v>
      </c>
      <c r="D32630" t="s">
        <v>280</v>
      </c>
      <c r="E32630" t="s">
        <v>158</v>
      </c>
      <c r="F32630" s="2" t="str">
        <f>HYPERLINK("http://www.otzar.org/book.asp?188599","פירוש על ספר יהושע")</f>
        <v>פירוש על ספר יהושע</v>
      </c>
    </row>
    <row r="32631" spans="1:6" x14ac:dyDescent="0.2">
      <c r="A32631" t="s">
        <v>50871</v>
      </c>
      <c r="B32631" t="s">
        <v>50786</v>
      </c>
      <c r="C32631" t="s">
        <v>473</v>
      </c>
      <c r="D32631" t="s">
        <v>322</v>
      </c>
      <c r="F32631" s="2" t="str">
        <f>HYPERLINK("http://www.otzar.org/book.asp?611077","פירוש על ספר ירמיה &lt;ר""י נחמיאש&gt;")</f>
        <v>פירוש על ספר ירמיה &lt;ר"י נחמיאש&gt;</v>
      </c>
    </row>
    <row r="32632" spans="1:6" x14ac:dyDescent="0.2">
      <c r="A32632" t="s">
        <v>50872</v>
      </c>
      <c r="B32632" t="s">
        <v>50870</v>
      </c>
      <c r="C32632" t="s">
        <v>496</v>
      </c>
      <c r="D32632" t="s">
        <v>50873</v>
      </c>
      <c r="E32632" t="s">
        <v>158</v>
      </c>
      <c r="F32632" s="2" t="str">
        <f>HYPERLINK("http://www.otzar.org/book.asp?188600","פירוש על ספר ירמיה")</f>
        <v>פירוש על ספר ירמיה</v>
      </c>
    </row>
    <row r="32633" spans="1:6" x14ac:dyDescent="0.2">
      <c r="A32633" t="s">
        <v>50874</v>
      </c>
      <c r="B32633" t="s">
        <v>50875</v>
      </c>
      <c r="C32633" t="s">
        <v>362</v>
      </c>
      <c r="D32633" t="s">
        <v>6785</v>
      </c>
      <c r="E32633" t="s">
        <v>158</v>
      </c>
      <c r="F32633" s="2" t="str">
        <f>HYPERLINK("http://www.otzar.org/book.asp?14505","פירוש על ספר משלי &lt;בנימין ב""ר יהודה&gt;")</f>
        <v>פירוש על ספר משלי &lt;בנימין ב"ר יהודה&gt;</v>
      </c>
    </row>
    <row r="32634" spans="1:6" x14ac:dyDescent="0.2">
      <c r="A32634" t="s">
        <v>50876</v>
      </c>
      <c r="B32634" t="s">
        <v>50877</v>
      </c>
      <c r="C32634" t="s">
        <v>558</v>
      </c>
      <c r="D32634" t="s">
        <v>280</v>
      </c>
      <c r="E32634" t="s">
        <v>4940</v>
      </c>
      <c r="F32634" s="2" t="str">
        <f>HYPERLINK("http://www.otzar.org/book.asp?6082","פירוש על ספר משלי &lt;ר""י נחמיאש&gt;")</f>
        <v>פירוש על ספר משלי &lt;ר"י נחמיאש&gt;</v>
      </c>
    </row>
    <row r="32635" spans="1:6" x14ac:dyDescent="0.2">
      <c r="A32635" t="s">
        <v>50878</v>
      </c>
      <c r="B32635" t="s">
        <v>50870</v>
      </c>
      <c r="C32635" t="s">
        <v>1284</v>
      </c>
      <c r="D32635" t="s">
        <v>6042</v>
      </c>
      <c r="E32635" t="s">
        <v>158</v>
      </c>
      <c r="F32635" s="2" t="str">
        <f>HYPERLINK("http://www.otzar.org/book.asp?188598","פירוש על ספר שופטים")</f>
        <v>פירוש על ספר שופטים</v>
      </c>
    </row>
    <row r="32636" spans="1:6" x14ac:dyDescent="0.2">
      <c r="A32636" t="s">
        <v>50879</v>
      </c>
      <c r="B32636" t="s">
        <v>50880</v>
      </c>
      <c r="C32636" t="s">
        <v>1437</v>
      </c>
      <c r="D32636" t="s">
        <v>8545</v>
      </c>
      <c r="E32636" t="s">
        <v>158</v>
      </c>
      <c r="F32636" s="2" t="str">
        <f>HYPERLINK("http://www.otzar.org/book.asp?628194","פירוש על עזרא ונחמיה")</f>
        <v>פירוש על עזרא ונחמיה</v>
      </c>
    </row>
    <row r="32637" spans="1:6" x14ac:dyDescent="0.2">
      <c r="A32637" t="s">
        <v>50881</v>
      </c>
      <c r="B32637" t="s">
        <v>46777</v>
      </c>
      <c r="C32637" t="s">
        <v>4705</v>
      </c>
      <c r="D32637" t="s">
        <v>39832</v>
      </c>
      <c r="E32637" t="s">
        <v>158</v>
      </c>
      <c r="F32637" s="2" t="str">
        <f>HYPERLINK("http://www.otzar.org/book.asp?172318","פירוש על עזרא ונחמיה - 2 כר'")</f>
        <v>פירוש על עזרא ונחמיה - 2 כר'</v>
      </c>
    </row>
    <row r="32638" spans="1:6" x14ac:dyDescent="0.2">
      <c r="A32638" t="s">
        <v>50882</v>
      </c>
      <c r="B32638" t="s">
        <v>50883</v>
      </c>
      <c r="C32638" t="s">
        <v>19870</v>
      </c>
      <c r="D32638" t="s">
        <v>49</v>
      </c>
      <c r="F32638" s="2" t="str">
        <f>HYPERLINK("http://www.otzar.org/book.asp?619154","פירוש על פירוש החכם רבי אברהם אבן עזרא &lt;מגילת סתרים&gt; - 2 כר'")</f>
        <v>פירוש על פירוש החכם רבי אברהם אבן עזרא &lt;מגילת סתרים&gt; - 2 כר'</v>
      </c>
    </row>
    <row r="32639" spans="1:6" x14ac:dyDescent="0.2">
      <c r="A32639" t="s">
        <v>50884</v>
      </c>
      <c r="B32639" t="s">
        <v>50740</v>
      </c>
      <c r="C32639" t="s">
        <v>1721</v>
      </c>
      <c r="D32639" t="s">
        <v>1037</v>
      </c>
      <c r="E32639" t="s">
        <v>158</v>
      </c>
      <c r="F32639" s="2" t="str">
        <f>HYPERLINK("http://www.otzar.org/book.asp?172511","פירוש על קהלת ושיר השירים")</f>
        <v>פירוש על קהלת ושיר השירים</v>
      </c>
    </row>
    <row r="32640" spans="1:6" x14ac:dyDescent="0.2">
      <c r="A32640" t="s">
        <v>50885</v>
      </c>
      <c r="B32640" t="s">
        <v>8215</v>
      </c>
      <c r="C32640" t="s">
        <v>609</v>
      </c>
      <c r="D32640" t="s">
        <v>50886</v>
      </c>
      <c r="E32640" t="s">
        <v>158</v>
      </c>
      <c r="F32640" s="2" t="str">
        <f>HYPERLINK("http://www.otzar.org/book.asp?7855","פירוש על שיר השירים &lt;גאליקו&gt;")</f>
        <v>פירוש על שיר השירים &lt;גאליקו&gt;</v>
      </c>
    </row>
    <row r="32641" spans="1:6" x14ac:dyDescent="0.2">
      <c r="A32641" t="s">
        <v>50887</v>
      </c>
      <c r="B32641" t="s">
        <v>50888</v>
      </c>
      <c r="C32641" t="s">
        <v>1135</v>
      </c>
      <c r="D32641" t="s">
        <v>42</v>
      </c>
      <c r="F32641" s="2" t="str">
        <f>HYPERLINK("http://www.otzar.org/book.asp?170187","פירוש על שיר השירים &lt;ר""ע מגירונה&gt; - 2 כר'")</f>
        <v>פירוש על שיר השירים &lt;ר"ע מגירונה&gt; - 2 כר'</v>
      </c>
    </row>
    <row r="32642" spans="1:6" x14ac:dyDescent="0.2">
      <c r="A32642" t="s">
        <v>50889</v>
      </c>
      <c r="B32642" t="s">
        <v>50890</v>
      </c>
      <c r="C32642" t="s">
        <v>603</v>
      </c>
      <c r="D32642" t="s">
        <v>15591</v>
      </c>
      <c r="E32642" t="s">
        <v>158</v>
      </c>
      <c r="F32642" s="2" t="str">
        <f>HYPERLINK("http://www.otzar.org/book.asp?108","פירוש על שיר השירים")</f>
        <v>פירוש על שיר השירים</v>
      </c>
    </row>
    <row r="32643" spans="1:6" x14ac:dyDescent="0.2">
      <c r="A32643" t="s">
        <v>50891</v>
      </c>
      <c r="B32643" t="s">
        <v>5129</v>
      </c>
      <c r="C32643" t="s">
        <v>1374</v>
      </c>
      <c r="D32643" t="s">
        <v>50892</v>
      </c>
      <c r="E32643" t="s">
        <v>158</v>
      </c>
      <c r="F32643" s="2" t="str">
        <f>HYPERLINK("http://www.otzar.org/book.asp?154087","פירוש על תהלים")</f>
        <v>פירוש על תהלים</v>
      </c>
    </row>
    <row r="32644" spans="1:6" x14ac:dyDescent="0.2">
      <c r="A32644" t="s">
        <v>50893</v>
      </c>
      <c r="B32644" t="s">
        <v>50894</v>
      </c>
      <c r="C32644" t="s">
        <v>8820</v>
      </c>
      <c r="D32644" t="s">
        <v>744</v>
      </c>
      <c r="E32644" t="s">
        <v>158</v>
      </c>
      <c r="F32644" s="2" t="str">
        <f>HYPERLINK("http://www.otzar.org/book.asp?151627","פירוש על תרגום יונתן ותרגום ירושלמי")</f>
        <v>פירוש על תרגום יונתן ותרגום ירושלמי</v>
      </c>
    </row>
    <row r="32645" spans="1:6" x14ac:dyDescent="0.2">
      <c r="A32645" t="s">
        <v>50895</v>
      </c>
      <c r="B32645" t="s">
        <v>1140</v>
      </c>
      <c r="C32645" t="s">
        <v>176</v>
      </c>
      <c r="D32645" t="s">
        <v>14</v>
      </c>
      <c r="F32645" s="2" t="str">
        <f>HYPERLINK("http://www.otzar.org/book.asp?169531","פירוש קדום למדרש רבה")</f>
        <v>פירוש קדום למדרש רבה</v>
      </c>
    </row>
    <row r="32646" spans="1:6" x14ac:dyDescent="0.2">
      <c r="A32646" t="s">
        <v>50896</v>
      </c>
      <c r="B32646" t="s">
        <v>25657</v>
      </c>
      <c r="C32646" t="s">
        <v>919</v>
      </c>
      <c r="D32646" t="s">
        <v>14</v>
      </c>
      <c r="E32646" t="s">
        <v>144</v>
      </c>
      <c r="F32646" s="2" t="str">
        <f>HYPERLINK("http://www.otzar.org/book.asp?106042","פירוש קדמון לבבא בתרא")</f>
        <v>פירוש קדמון לבבא בתרא</v>
      </c>
    </row>
    <row r="32647" spans="1:6" x14ac:dyDescent="0.2">
      <c r="A32647" t="s">
        <v>50897</v>
      </c>
      <c r="B32647" t="s">
        <v>6987</v>
      </c>
      <c r="C32647" t="s">
        <v>785</v>
      </c>
      <c r="D32647" t="s">
        <v>412</v>
      </c>
      <c r="E32647" t="s">
        <v>144</v>
      </c>
      <c r="F32647" s="2" t="str">
        <f>HYPERLINK("http://www.otzar.org/book.asp?62256","פירוש קדמון למסכת חולין")</f>
        <v>פירוש קדמון למסכת חולין</v>
      </c>
    </row>
    <row r="32648" spans="1:6" x14ac:dyDescent="0.2">
      <c r="A32648" t="s">
        <v>50898</v>
      </c>
      <c r="B32648" t="s">
        <v>50762</v>
      </c>
      <c r="C32648" t="s">
        <v>896</v>
      </c>
      <c r="D32648" t="s">
        <v>4352</v>
      </c>
      <c r="F32648" s="2" t="str">
        <f>HYPERLINK("http://www.otzar.org/book.asp?621525","פירוש קהלת לר' יוסף קרא")</f>
        <v>פירוש קהלת לר' יוסף קרא</v>
      </c>
    </row>
    <row r="32649" spans="1:6" x14ac:dyDescent="0.2">
      <c r="A32649" t="s">
        <v>50899</v>
      </c>
      <c r="B32649" t="s">
        <v>50900</v>
      </c>
      <c r="C32649" t="s">
        <v>114</v>
      </c>
      <c r="D32649" t="s">
        <v>52</v>
      </c>
      <c r="E32649" t="s">
        <v>144</v>
      </c>
      <c r="F32649" s="2" t="str">
        <f>HYPERLINK("http://www.otzar.org/book.asp?188813","פירוש ר""י אלמדארי - 2 כר'")</f>
        <v>פירוש ר"י אלמדארי - 2 כר'</v>
      </c>
    </row>
    <row r="32650" spans="1:6" x14ac:dyDescent="0.2">
      <c r="A32650" t="s">
        <v>50901</v>
      </c>
      <c r="B32650" t="s">
        <v>25803</v>
      </c>
      <c r="C32650" t="s">
        <v>1163</v>
      </c>
      <c r="D32650" t="s">
        <v>1163</v>
      </c>
      <c r="E32650" t="s">
        <v>10013</v>
      </c>
      <c r="F32650" s="2" t="str">
        <f>HYPERLINK("http://www.otzar.org/book.asp?106593","פירוש ר""ש משאנץ למשנה סדר זרעים &lt;כתב יד&gt; - 3 כר'")</f>
        <v>פירוש ר"ש משאנץ למשנה סדר זרעים &lt;כתב יד&gt; - 3 כר'</v>
      </c>
    </row>
    <row r="32651" spans="1:6" x14ac:dyDescent="0.2">
      <c r="A32651" t="s">
        <v>50902</v>
      </c>
      <c r="B32651" t="s">
        <v>50903</v>
      </c>
      <c r="C32651" t="s">
        <v>1570</v>
      </c>
      <c r="D32651" t="s">
        <v>14</v>
      </c>
      <c r="E32651" t="s">
        <v>158</v>
      </c>
      <c r="F32651" s="2" t="str">
        <f>HYPERLINK("http://www.otzar.org/book.asp?191372","פירוש ר' אברהם אבן עזרא על התורה &lt;כת""י וטיקן&gt;")</f>
        <v>פירוש ר' אברהם אבן עזרא על התורה &lt;כת"י וטיקן&gt;</v>
      </c>
    </row>
    <row r="32652" spans="1:6" x14ac:dyDescent="0.2">
      <c r="A32652" t="s">
        <v>50904</v>
      </c>
      <c r="B32652" t="s">
        <v>50905</v>
      </c>
      <c r="C32652" t="s">
        <v>1619</v>
      </c>
      <c r="D32652" t="s">
        <v>14</v>
      </c>
      <c r="E32652" t="s">
        <v>158</v>
      </c>
      <c r="F32652" s="2" t="str">
        <f>HYPERLINK("http://www.otzar.org/book.asp?14460","פירוש ר' יוסף קרא - על נביאים ראשונים")</f>
        <v>פירוש ר' יוסף קרא - על נביאים ראשונים</v>
      </c>
    </row>
    <row r="32653" spans="1:6" x14ac:dyDescent="0.2">
      <c r="A32653" t="s">
        <v>50906</v>
      </c>
      <c r="B32653" t="s">
        <v>50907</v>
      </c>
      <c r="C32653" t="s">
        <v>985</v>
      </c>
      <c r="D32653" t="s">
        <v>9</v>
      </c>
      <c r="E32653" t="s">
        <v>43</v>
      </c>
      <c r="F32653" s="2" t="str">
        <f>HYPERLINK("http://www.otzar.org/book.asp?172260","פירוש ר' משה אבן מוסא על הי""ג מדות של ר' ישמעאל")</f>
        <v>פירוש ר' משה אבן מוסא על הי"ג מדות של ר' ישמעאל</v>
      </c>
    </row>
    <row r="32654" spans="1:6" x14ac:dyDescent="0.2">
      <c r="A32654" t="s">
        <v>50908</v>
      </c>
      <c r="B32654" t="s">
        <v>42056</v>
      </c>
      <c r="C32654" t="s">
        <v>462</v>
      </c>
      <c r="D32654" t="s">
        <v>50909</v>
      </c>
      <c r="E32654" t="s">
        <v>158</v>
      </c>
      <c r="F32654" s="2" t="str">
        <f>HYPERLINK("http://www.otzar.org/book.asp?64039","פירוש ר' עמנואל בן שלמה על שיר השירים")</f>
        <v>פירוש ר' עמנואל בן שלמה על שיר השירים</v>
      </c>
    </row>
    <row r="32655" spans="1:6" x14ac:dyDescent="0.2">
      <c r="A32655" t="s">
        <v>50910</v>
      </c>
      <c r="B32655" t="s">
        <v>4840</v>
      </c>
      <c r="C32655" t="s">
        <v>8</v>
      </c>
      <c r="D32655" t="s">
        <v>27</v>
      </c>
      <c r="E32655" t="s">
        <v>144</v>
      </c>
      <c r="F32655" s="2" t="str">
        <f>HYPERLINK("http://www.otzar.org/book.asp?101648","פירוש רב סעדיה גאון ז""ל על מסכת ברכות")</f>
        <v>פירוש רב סעדיה גאון ז"ל על מסכת ברכות</v>
      </c>
    </row>
    <row r="32656" spans="1:6" x14ac:dyDescent="0.2">
      <c r="A32656" t="s">
        <v>50911</v>
      </c>
      <c r="B32656" t="s">
        <v>50762</v>
      </c>
      <c r="C32656" t="s">
        <v>1096</v>
      </c>
      <c r="D32656" t="s">
        <v>1008</v>
      </c>
      <c r="E32656" t="s">
        <v>158</v>
      </c>
      <c r="F32656" s="2" t="str">
        <f>HYPERLINK("http://www.otzar.org/book.asp?168932","פירוש רבי יוסף קרא על מגלת איכה")</f>
        <v>פירוש רבי יוסף קרא על מגלת איכה</v>
      </c>
    </row>
    <row r="32657" spans="1:6" x14ac:dyDescent="0.2">
      <c r="A32657" t="s">
        <v>50912</v>
      </c>
      <c r="B32657" t="s">
        <v>17846</v>
      </c>
      <c r="C32657" t="s">
        <v>411</v>
      </c>
      <c r="D32657" t="s">
        <v>412</v>
      </c>
      <c r="E32657" t="s">
        <v>158</v>
      </c>
      <c r="F32657" s="2" t="str">
        <f>HYPERLINK("http://www.otzar.org/book.asp?172599","פירוש רבי יצחק ב""ר יוסף על התורה  - בראשית")</f>
        <v>פירוש רבי יצחק ב"ר יוסף על התורה  - בראשית</v>
      </c>
    </row>
    <row r="32658" spans="1:6" x14ac:dyDescent="0.2">
      <c r="A32658" t="s">
        <v>50913</v>
      </c>
      <c r="B32658" t="s">
        <v>50914</v>
      </c>
      <c r="C32658" t="s">
        <v>496</v>
      </c>
      <c r="D32658" t="s">
        <v>1589</v>
      </c>
      <c r="E32658" t="s">
        <v>158</v>
      </c>
      <c r="F32658" s="2" t="str">
        <f>HYPERLINK("http://www.otzar.org/book.asp?7830","פירוש רבי מיוחס - בראשית")</f>
        <v>פירוש רבי מיוחס - בראשית</v>
      </c>
    </row>
    <row r="32659" spans="1:6" x14ac:dyDescent="0.2">
      <c r="A32659" t="s">
        <v>50915</v>
      </c>
      <c r="B32659" t="s">
        <v>50916</v>
      </c>
      <c r="C32659" t="s">
        <v>383</v>
      </c>
      <c r="D32659" t="s">
        <v>39053</v>
      </c>
      <c r="E32659" t="s">
        <v>158</v>
      </c>
      <c r="F32659" s="2" t="str">
        <f>HYPERLINK("http://www.otzar.org/book.asp?171509","פירוש רבי משה קמחי לספר איוב")</f>
        <v>פירוש רבי משה קמחי לספר איוב</v>
      </c>
    </row>
    <row r="32660" spans="1:6" x14ac:dyDescent="0.2">
      <c r="A32660" t="s">
        <v>50917</v>
      </c>
      <c r="B32660" t="s">
        <v>12176</v>
      </c>
      <c r="C32660" t="s">
        <v>1609</v>
      </c>
      <c r="D32660" t="s">
        <v>563</v>
      </c>
      <c r="E32660" t="s">
        <v>158</v>
      </c>
      <c r="F32660" s="2" t="str">
        <f>HYPERLINK("http://www.otzar.org/book.asp?159027","פירוש רבינו אברהם בן הרמב""ם ז""ל על בראשית ושמות")</f>
        <v>פירוש רבינו אברהם בן הרמב"ם ז"ל על בראשית ושמות</v>
      </c>
    </row>
    <row r="32661" spans="1:6" x14ac:dyDescent="0.2">
      <c r="A32661" t="s">
        <v>50918</v>
      </c>
      <c r="B32661" t="s">
        <v>50919</v>
      </c>
      <c r="C32661" t="s">
        <v>106</v>
      </c>
      <c r="D32661" t="s">
        <v>412</v>
      </c>
      <c r="E32661" t="s">
        <v>144</v>
      </c>
      <c r="F32661" s="2" t="str">
        <f>HYPERLINK("http://www.otzar.org/book.asp?61608","פירוש רבינו אברהם מן ההר - 9 כר'")</f>
        <v>פירוש רבינו אברהם מן ההר - 9 כר'</v>
      </c>
    </row>
    <row r="32662" spans="1:6" x14ac:dyDescent="0.2">
      <c r="A32662" t="s">
        <v>50920</v>
      </c>
      <c r="B32662" t="s">
        <v>50921</v>
      </c>
      <c r="C32662" t="s">
        <v>454</v>
      </c>
      <c r="D32662" t="s">
        <v>14</v>
      </c>
      <c r="E32662" t="s">
        <v>144</v>
      </c>
      <c r="F32662" s="2" t="str">
        <f>HYPERLINK("http://www.otzar.org/book.asp?166201","פירוש רבינו אברהם מן ההר - יבמות")</f>
        <v>פירוש רבינו אברהם מן ההר - יבמות</v>
      </c>
    </row>
    <row r="32663" spans="1:6" x14ac:dyDescent="0.2">
      <c r="A32663" t="s">
        <v>50922</v>
      </c>
      <c r="B32663" t="s">
        <v>50923</v>
      </c>
      <c r="C32663" t="s">
        <v>454</v>
      </c>
      <c r="D32663" t="s">
        <v>14</v>
      </c>
      <c r="E32663" t="s">
        <v>144</v>
      </c>
      <c r="F32663" s="2" t="str">
        <f>HYPERLINK("http://www.otzar.org/book.asp?165898","פירוש רבינו אברהם מן ההר - נדרים")</f>
        <v>פירוש רבינו אברהם מן ההר - נדרים</v>
      </c>
    </row>
    <row r="32664" spans="1:6" x14ac:dyDescent="0.2">
      <c r="A32664" t="s">
        <v>50924</v>
      </c>
      <c r="B32664" t="s">
        <v>50925</v>
      </c>
      <c r="C32664" t="s">
        <v>180</v>
      </c>
      <c r="D32664" t="s">
        <v>14</v>
      </c>
      <c r="E32664" t="s">
        <v>25257</v>
      </c>
      <c r="F32664" s="2" t="str">
        <f>HYPERLINK("http://www.otzar.org/book.asp?11641","פירוש רבינו אליקים למסכת יומא")</f>
        <v>פירוש רבינו אליקים למסכת יומא</v>
      </c>
    </row>
    <row r="32665" spans="1:6" x14ac:dyDescent="0.2">
      <c r="A32665" t="s">
        <v>50926</v>
      </c>
      <c r="B32665" t="s">
        <v>16927</v>
      </c>
      <c r="C32665" t="s">
        <v>1169</v>
      </c>
      <c r="D32665" t="s">
        <v>563</v>
      </c>
      <c r="E32665" t="s">
        <v>50927</v>
      </c>
      <c r="F32665" s="2" t="str">
        <f>HYPERLINK("http://www.otzar.org/book.asp?14409","פירוש רבינו אלעזר מגרמייזא - תורה, מגילת אסתר")</f>
        <v>פירוש רבינו אלעזר מגרמייזא - תורה, מגילת אסתר</v>
      </c>
    </row>
    <row r="32666" spans="1:6" x14ac:dyDescent="0.2">
      <c r="A32666" t="s">
        <v>50928</v>
      </c>
      <c r="B32666" t="s">
        <v>50929</v>
      </c>
      <c r="C32666" t="s">
        <v>1268</v>
      </c>
      <c r="D32666" t="s">
        <v>412</v>
      </c>
      <c r="E32666" t="s">
        <v>144</v>
      </c>
      <c r="F32666" s="2" t="str">
        <f>HYPERLINK("http://www.otzar.org/book.asp?62313","פירוש רבינו אשר מלוניל - ב""מ, ב""ב")</f>
        <v>פירוש רבינו אשר מלוניל - ב"מ, ב"ב</v>
      </c>
    </row>
    <row r="32667" spans="1:6" x14ac:dyDescent="0.2">
      <c r="A32667" t="s">
        <v>50930</v>
      </c>
      <c r="B32667" t="s">
        <v>9164</v>
      </c>
      <c r="C32667" t="s">
        <v>79</v>
      </c>
      <c r="D32667" t="s">
        <v>27</v>
      </c>
      <c r="E32667" t="s">
        <v>158</v>
      </c>
      <c r="F32667" s="2" t="str">
        <f>HYPERLINK("http://www.otzar.org/book.asp?14746","פירוש רבינו בחיי על איוב")</f>
        <v>פירוש רבינו בחיי על איוב</v>
      </c>
    </row>
    <row r="32668" spans="1:6" x14ac:dyDescent="0.2">
      <c r="A32668" t="s">
        <v>50931</v>
      </c>
      <c r="B32668" t="s">
        <v>9164</v>
      </c>
      <c r="C32668" t="s">
        <v>20850</v>
      </c>
      <c r="D32668" t="s">
        <v>340</v>
      </c>
      <c r="F32668" s="2" t="str">
        <f>HYPERLINK("http://www.otzar.org/book.asp?170319","פירוש רבינו בחיי על התורה - 2 כר'")</f>
        <v>פירוש רבינו בחיי על התורה - 2 כר'</v>
      </c>
    </row>
    <row r="32669" spans="1:6" x14ac:dyDescent="0.2">
      <c r="A32669" t="s">
        <v>50932</v>
      </c>
      <c r="B32669" t="s">
        <v>50933</v>
      </c>
      <c r="C32669" t="s">
        <v>20</v>
      </c>
      <c r="D32669" t="s">
        <v>14</v>
      </c>
      <c r="E32669" t="s">
        <v>84</v>
      </c>
      <c r="F32669" s="2" t="str">
        <f>HYPERLINK("http://www.otzar.org/book.asp?144247","פירוש רבינו בחיי על מסכת אבות")</f>
        <v>פירוש רבינו בחיי על מסכת אבות</v>
      </c>
    </row>
    <row r="32670" spans="1:6" x14ac:dyDescent="0.2">
      <c r="A32670" t="s">
        <v>50934</v>
      </c>
      <c r="B32670" t="s">
        <v>50935</v>
      </c>
      <c r="C32670" t="s">
        <v>1268</v>
      </c>
      <c r="D32670" t="s">
        <v>412</v>
      </c>
      <c r="E32670" t="s">
        <v>144</v>
      </c>
      <c r="F32670" s="2" t="str">
        <f>HYPERLINK("http://www.otzar.org/book.asp?62346","פירוש רבינו ברוך מארץ יון")</f>
        <v>פירוש רבינו ברוך מארץ יון</v>
      </c>
    </row>
    <row r="32671" spans="1:6" x14ac:dyDescent="0.2">
      <c r="A32671" t="s">
        <v>50936</v>
      </c>
      <c r="B32671" t="s">
        <v>50937</v>
      </c>
      <c r="C32671" t="s">
        <v>103</v>
      </c>
      <c r="D32671" t="s">
        <v>52</v>
      </c>
      <c r="E32671" t="s">
        <v>144</v>
      </c>
      <c r="F32671" s="2" t="str">
        <f>HYPERLINK("http://www.otzar.org/book.asp?157860","פירוש רבינו גרשום השלם - כריתות")</f>
        <v>פירוש רבינו גרשום השלם - כריתות</v>
      </c>
    </row>
    <row r="32672" spans="1:6" x14ac:dyDescent="0.2">
      <c r="A32672" t="s">
        <v>50938</v>
      </c>
      <c r="B32672" t="s">
        <v>50939</v>
      </c>
      <c r="C32672" t="s">
        <v>624</v>
      </c>
      <c r="D32672" t="s">
        <v>14</v>
      </c>
      <c r="E32672" t="s">
        <v>144</v>
      </c>
      <c r="F32672" s="2" t="str">
        <f>HYPERLINK("http://www.otzar.org/book.asp?144074","פירוש רבינו גרשום השלם - 2 כר'")</f>
        <v>פירוש רבינו גרשום השלם - 2 כר'</v>
      </c>
    </row>
    <row r="32673" spans="1:6" x14ac:dyDescent="0.2">
      <c r="A32673" t="s">
        <v>50940</v>
      </c>
      <c r="B32673" t="s">
        <v>50941</v>
      </c>
      <c r="C32673" t="s">
        <v>366</v>
      </c>
      <c r="D32673" t="s">
        <v>90</v>
      </c>
      <c r="E32673" t="s">
        <v>144</v>
      </c>
      <c r="F32673" s="2" t="str">
        <f>HYPERLINK("http://www.otzar.org/book.asp?610065","פירוש רבינו חננאל - מכות")</f>
        <v>פירוש רבינו חננאל - מכות</v>
      </c>
    </row>
    <row r="32674" spans="1:6" x14ac:dyDescent="0.2">
      <c r="A32674" t="s">
        <v>50942</v>
      </c>
      <c r="B32674" t="s">
        <v>34999</v>
      </c>
      <c r="C32674" t="s">
        <v>533</v>
      </c>
      <c r="D32674" t="s">
        <v>412</v>
      </c>
      <c r="E32674" t="s">
        <v>144</v>
      </c>
      <c r="F32674" s="2" t="str">
        <f>HYPERLINK("http://www.otzar.org/book.asp?62359","פירוש רבינו חננאל - 6 כר'")</f>
        <v>פירוש רבינו חננאל - 6 כר'</v>
      </c>
    </row>
    <row r="32675" spans="1:6" x14ac:dyDescent="0.2">
      <c r="A32675" t="s">
        <v>50943</v>
      </c>
      <c r="B32675" t="s">
        <v>50944</v>
      </c>
      <c r="C32675" t="s">
        <v>940</v>
      </c>
      <c r="D32675" t="s">
        <v>412</v>
      </c>
      <c r="E32675" t="s">
        <v>144</v>
      </c>
      <c r="F32675" s="2" t="str">
        <f>HYPERLINK("http://www.otzar.org/book.asp?62265","פירוש רבינו יהודה בר נתן - יבמות")</f>
        <v>פירוש רבינו יהודה בר נתן - יבמות</v>
      </c>
    </row>
    <row r="32676" spans="1:6" x14ac:dyDescent="0.2">
      <c r="A32676" t="s">
        <v>50945</v>
      </c>
      <c r="B32676" t="s">
        <v>50946</v>
      </c>
      <c r="C32676" t="s">
        <v>775</v>
      </c>
      <c r="D32676" t="s">
        <v>412</v>
      </c>
      <c r="E32676" t="s">
        <v>144</v>
      </c>
      <c r="F32676" s="2" t="str">
        <f>HYPERLINK("http://www.otzar.org/book.asp?62246","פירוש רבינו יהודה הכהן - חולין")</f>
        <v>פירוש רבינו יהודה הכהן - חולין</v>
      </c>
    </row>
    <row r="32677" spans="1:6" x14ac:dyDescent="0.2">
      <c r="A32677" t="s">
        <v>50947</v>
      </c>
      <c r="B32677" t="s">
        <v>50948</v>
      </c>
      <c r="C32677" t="s">
        <v>553</v>
      </c>
      <c r="D32677" t="s">
        <v>412</v>
      </c>
      <c r="E32677" t="s">
        <v>803</v>
      </c>
      <c r="F32677" s="2" t="str">
        <f>HYPERLINK("http://www.otzar.org/book.asp?62350","פירוש רבינו יהודה עניו &lt;ריבב""ן&gt; - 6 כר'")</f>
        <v>פירוש רבינו יהודה עניו &lt;ריבב"ן&gt; - 6 כר'</v>
      </c>
    </row>
    <row r="32678" spans="1:6" x14ac:dyDescent="0.2">
      <c r="A32678" t="s">
        <v>50949</v>
      </c>
      <c r="B32678" t="s">
        <v>25688</v>
      </c>
      <c r="C32678" t="s">
        <v>427</v>
      </c>
      <c r="D32678" t="s">
        <v>412</v>
      </c>
      <c r="F32678" s="2" t="str">
        <f>HYPERLINK("http://www.otzar.org/book.asp?161449","פירוש רבינו יהונתן הכהן מלוניל - 6 כר'")</f>
        <v>פירוש רבינו יהונתן הכהן מלוניל - 6 כר'</v>
      </c>
    </row>
    <row r="32679" spans="1:6" x14ac:dyDescent="0.2">
      <c r="A32679" t="s">
        <v>50950</v>
      </c>
      <c r="B32679" t="s">
        <v>50951</v>
      </c>
      <c r="C32679" t="s">
        <v>129</v>
      </c>
      <c r="D32679" t="s">
        <v>14</v>
      </c>
      <c r="E32679" t="s">
        <v>84</v>
      </c>
      <c r="F32679" s="2" t="str">
        <f>HYPERLINK("http://www.otzar.org/book.asp?156035","פירוש רבינו יונה לאבות &lt;מי דעת&gt; - 2 כר'")</f>
        <v>פירוש רבינו יונה לאבות &lt;מי דעת&gt; - 2 כר'</v>
      </c>
    </row>
    <row r="32680" spans="1:6" x14ac:dyDescent="0.2">
      <c r="A32680" t="s">
        <v>50952</v>
      </c>
      <c r="B32680" t="s">
        <v>1574</v>
      </c>
      <c r="C32680" t="s">
        <v>427</v>
      </c>
      <c r="D32680" t="s">
        <v>14</v>
      </c>
      <c r="E32680" t="s">
        <v>84</v>
      </c>
      <c r="F32680" s="2" t="str">
        <f>HYPERLINK("http://www.otzar.org/book.asp?63060","פירוש רבינו יונה לאבות - פירוש קדמון לפרק ששי")</f>
        <v>פירוש רבינו יונה לאבות - פירוש קדמון לפרק ששי</v>
      </c>
    </row>
    <row r="32681" spans="1:6" x14ac:dyDescent="0.2">
      <c r="A32681" t="s">
        <v>50953</v>
      </c>
      <c r="B32681" t="s">
        <v>50954</v>
      </c>
      <c r="C32681" t="s">
        <v>103</v>
      </c>
      <c r="D32681" t="s">
        <v>14</v>
      </c>
      <c r="E32681" t="s">
        <v>84</v>
      </c>
      <c r="F32681" s="2" t="str">
        <f>HYPERLINK("http://www.otzar.org/book.asp?108352","פירוש רבינו יונה על פרקי אבות עם הארות וביאורים")</f>
        <v>פירוש רבינו יונה על פרקי אבות עם הארות וביאורים</v>
      </c>
    </row>
    <row r="32682" spans="1:6" x14ac:dyDescent="0.2">
      <c r="A32682" t="s">
        <v>50955</v>
      </c>
      <c r="B32682" t="s">
        <v>50956</v>
      </c>
      <c r="C32682" t="s">
        <v>1268</v>
      </c>
      <c r="D32682" t="s">
        <v>412</v>
      </c>
      <c r="E32682" t="s">
        <v>144</v>
      </c>
      <c r="F32682" s="2" t="str">
        <f>HYPERLINK("http://www.otzar.org/book.asp?62269","פירוש רבינו יצחק קרקושא - 2 כר'")</f>
        <v>פירוש רבינו יצחק קרקושא - 2 כר'</v>
      </c>
    </row>
    <row r="32683" spans="1:6" x14ac:dyDescent="0.2">
      <c r="A32683" t="s">
        <v>50957</v>
      </c>
      <c r="B32683" t="s">
        <v>50958</v>
      </c>
      <c r="C32683" t="s">
        <v>1570</v>
      </c>
      <c r="D32683" t="s">
        <v>52</v>
      </c>
      <c r="E32683" t="s">
        <v>3387</v>
      </c>
      <c r="F32683" s="2" t="str">
        <f>HYPERLINK("http://www.otzar.org/book.asp?11447","פירוש רבינו ישמעאל בן חכמון - עירובין")</f>
        <v>פירוש רבינו ישמעאל בן חכמון - עירובין</v>
      </c>
    </row>
    <row r="32684" spans="1:6" x14ac:dyDescent="0.2">
      <c r="A32684" t="s">
        <v>50959</v>
      </c>
      <c r="B32684" t="s">
        <v>50914</v>
      </c>
      <c r="C32684" t="s">
        <v>989</v>
      </c>
      <c r="D32684" t="s">
        <v>14</v>
      </c>
      <c r="E32684" t="s">
        <v>158</v>
      </c>
      <c r="F32684" s="2" t="str">
        <f>HYPERLINK("http://www.otzar.org/book.asp?162135","פירוש רבינו מיוחס - 5 כר'")</f>
        <v>פירוש רבינו מיוחס - 5 כר'</v>
      </c>
    </row>
    <row r="32685" spans="1:6" x14ac:dyDescent="0.2">
      <c r="A32685" t="s">
        <v>50960</v>
      </c>
      <c r="B32685" t="s">
        <v>9963</v>
      </c>
      <c r="C32685" t="s">
        <v>843</v>
      </c>
      <c r="D32685" t="s">
        <v>563</v>
      </c>
      <c r="E32685" t="s">
        <v>957</v>
      </c>
      <c r="F32685" s="2" t="str">
        <f>HYPERLINK("http://www.otzar.org/book.asp?14036","פירוש רבינו מנחם מאירי על התורה")</f>
        <v>פירוש רבינו מנחם מאירי על התורה</v>
      </c>
    </row>
    <row r="32686" spans="1:6" x14ac:dyDescent="0.2">
      <c r="A32686" t="s">
        <v>50961</v>
      </c>
      <c r="B32686" t="s">
        <v>1320</v>
      </c>
      <c r="C32686" t="s">
        <v>1609</v>
      </c>
      <c r="D32686" t="s">
        <v>9</v>
      </c>
      <c r="E32686" t="s">
        <v>2088</v>
      </c>
      <c r="F32686" s="2" t="str">
        <f>HYPERLINK("http://www.otzar.org/book.asp?104023","פירוש רבינו משה בן מיימון למסכת ראש השנה &lt;אור לישרים&gt;")</f>
        <v>פירוש רבינו משה בן מיימון למסכת ראש השנה &lt;אור לישרים&gt;</v>
      </c>
    </row>
    <row r="32687" spans="1:6" x14ac:dyDescent="0.2">
      <c r="A32687" t="s">
        <v>50962</v>
      </c>
      <c r="B32687" t="s">
        <v>50963</v>
      </c>
      <c r="C32687" t="s">
        <v>1246</v>
      </c>
      <c r="D32687" t="s">
        <v>14</v>
      </c>
      <c r="E32687" t="s">
        <v>84</v>
      </c>
      <c r="F32687" s="2" t="str">
        <f>HYPERLINK("http://www.otzar.org/book.asp?154065","פירוש רבינו נתן אב הישיבה")</f>
        <v>פירוש רבינו נתן אב הישיבה</v>
      </c>
    </row>
    <row r="32688" spans="1:6" x14ac:dyDescent="0.2">
      <c r="A32688" t="s">
        <v>50964</v>
      </c>
      <c r="B32688" t="s">
        <v>4840</v>
      </c>
      <c r="C32688" t="s">
        <v>50965</v>
      </c>
      <c r="D32688" t="s">
        <v>563</v>
      </c>
      <c r="E32688" t="s">
        <v>2135</v>
      </c>
      <c r="F32688" s="2" t="str">
        <f>HYPERLINK("http://www.otzar.org/book.asp?14252","פירוש רבינו סעדיה גאון - 2 כר'")</f>
        <v>פירוש רבינו סעדיה גאון - 2 כר'</v>
      </c>
    </row>
    <row r="32689" spans="1:6" x14ac:dyDescent="0.2">
      <c r="A32689" t="s">
        <v>50966</v>
      </c>
      <c r="B32689" t="s">
        <v>50967</v>
      </c>
      <c r="C32689" t="s">
        <v>68</v>
      </c>
      <c r="D32689" t="s">
        <v>657</v>
      </c>
      <c r="E32689" t="s">
        <v>674</v>
      </c>
      <c r="F32689" s="2" t="str">
        <f>HYPERLINK("http://www.otzar.org/book.asp?156727","פירוש רבינו סעיד בן דוד אלעדני - 2 כר'")</f>
        <v>פירוש רבינו סעיד בן דוד אלעדני - 2 כר'</v>
      </c>
    </row>
    <row r="32690" spans="1:6" x14ac:dyDescent="0.2">
      <c r="A32690" t="s">
        <v>50968</v>
      </c>
      <c r="B32690" t="s">
        <v>30378</v>
      </c>
      <c r="C32690" t="s">
        <v>3709</v>
      </c>
      <c r="D32690" t="s">
        <v>1422</v>
      </c>
      <c r="E32690" t="s">
        <v>158</v>
      </c>
      <c r="F32690" s="2" t="str">
        <f>HYPERLINK("http://www.otzar.org/book.asp?102144","פירוש רד""ק על התורה")</f>
        <v>פירוש רד"ק על התורה</v>
      </c>
    </row>
    <row r="32691" spans="1:6" x14ac:dyDescent="0.2">
      <c r="A32691" t="s">
        <v>50969</v>
      </c>
      <c r="B32691" t="s">
        <v>30378</v>
      </c>
      <c r="C32691" t="s">
        <v>35109</v>
      </c>
      <c r="D32691" t="s">
        <v>18293</v>
      </c>
      <c r="E32691" t="s">
        <v>158</v>
      </c>
      <c r="F32691" s="2" t="str">
        <f>HYPERLINK("http://www.otzar.org/book.asp?53542","פירוש רד""ק על נביאים אחרונים")</f>
        <v>פירוש רד"ק על נביאים אחרונים</v>
      </c>
    </row>
    <row r="32692" spans="1:6" x14ac:dyDescent="0.2">
      <c r="A32692" t="s">
        <v>50970</v>
      </c>
      <c r="B32692" t="s">
        <v>50971</v>
      </c>
      <c r="C32692" t="s">
        <v>1811</v>
      </c>
      <c r="D32692" t="s">
        <v>52</v>
      </c>
      <c r="E32692" t="s">
        <v>144</v>
      </c>
      <c r="F32692" s="2" t="str">
        <f>HYPERLINK("http://www.otzar.org/book.asp?168792","פירוש ריבב""ן - עירובין")</f>
        <v>פירוש ריבב"ן - עירובין</v>
      </c>
    </row>
    <row r="32693" spans="1:6" x14ac:dyDescent="0.2">
      <c r="A32693" t="s">
        <v>50972</v>
      </c>
      <c r="B32693" t="s">
        <v>9114</v>
      </c>
      <c r="C32693" t="s">
        <v>26830</v>
      </c>
      <c r="D32693" t="s">
        <v>49</v>
      </c>
      <c r="E32693" t="s">
        <v>573</v>
      </c>
      <c r="F32693" s="2" t="str">
        <f>HYPERLINK("http://www.otzar.org/book.asp?11009","פירוש רלב""ג על התורה - 3 כר'")</f>
        <v>פירוש רלב"ג על התורה - 3 כר'</v>
      </c>
    </row>
    <row r="32694" spans="1:6" x14ac:dyDescent="0.2">
      <c r="A32694" t="s">
        <v>50973</v>
      </c>
      <c r="B32694" t="s">
        <v>5332</v>
      </c>
      <c r="C32694" t="s">
        <v>13</v>
      </c>
      <c r="D32694" t="s">
        <v>14</v>
      </c>
      <c r="E32694" t="s">
        <v>144</v>
      </c>
      <c r="F32694" s="2" t="str">
        <f>HYPERLINK("http://www.otzar.org/book.asp?182318","פירוש רש""י למסכת מגילה")</f>
        <v>פירוש רש"י למסכת מגילה</v>
      </c>
    </row>
    <row r="32695" spans="1:6" x14ac:dyDescent="0.2">
      <c r="A32695" t="s">
        <v>50974</v>
      </c>
      <c r="B32695" t="s">
        <v>17232</v>
      </c>
      <c r="C32695" t="s">
        <v>129</v>
      </c>
      <c r="D32695" t="s">
        <v>3161</v>
      </c>
      <c r="E32695" t="s">
        <v>104</v>
      </c>
      <c r="F32695" s="2" t="str">
        <f>HYPERLINK("http://www.otzar.org/book.asp?192345","פירוש רש""י למסכת מועד קטן - בירורים בזיהויו")</f>
        <v>פירוש רש"י למסכת מועד קטן - בירורים בזיהויו</v>
      </c>
    </row>
    <row r="32696" spans="1:6" x14ac:dyDescent="0.2">
      <c r="A32696" t="s">
        <v>50975</v>
      </c>
      <c r="B32696" t="s">
        <v>5332</v>
      </c>
      <c r="C32696" t="s">
        <v>390</v>
      </c>
      <c r="D32696" t="s">
        <v>14</v>
      </c>
      <c r="E32696" t="s">
        <v>144</v>
      </c>
      <c r="F32696" s="2" t="str">
        <f>HYPERLINK("http://www.otzar.org/book.asp?11263","פירוש רש""י למסכת מועד קטן")</f>
        <v>פירוש רש"י למסכת מועד קטן</v>
      </c>
    </row>
    <row r="32697" spans="1:6" x14ac:dyDescent="0.2">
      <c r="A32697" t="s">
        <v>50976</v>
      </c>
      <c r="B32697" t="s">
        <v>5332</v>
      </c>
      <c r="C32697" t="s">
        <v>103</v>
      </c>
      <c r="D32697" t="s">
        <v>14</v>
      </c>
      <c r="E32697" t="s">
        <v>144</v>
      </c>
      <c r="F32697" s="2" t="str">
        <f>HYPERLINK("http://www.otzar.org/book.asp?186776","פירוש רש""י למסכת תענית")</f>
        <v>פירוש רש"י למסכת תענית</v>
      </c>
    </row>
    <row r="32698" spans="1:6" x14ac:dyDescent="0.2">
      <c r="A32698" t="s">
        <v>50977</v>
      </c>
      <c r="B32698" t="s">
        <v>5332</v>
      </c>
      <c r="C32698" t="s">
        <v>2740</v>
      </c>
      <c r="D32698" t="s">
        <v>2740</v>
      </c>
      <c r="E32698" t="s">
        <v>144</v>
      </c>
      <c r="F32698" s="2" t="str">
        <f>HYPERLINK("http://www.otzar.org/book.asp?176848","פירוש רש""י לשבת  &lt;כת""י פריז&gt; - א")</f>
        <v>פירוש רש"י לשבת  &lt;כת"י פריז&gt; - א</v>
      </c>
    </row>
    <row r="32699" spans="1:6" x14ac:dyDescent="0.2">
      <c r="A32699" t="s">
        <v>50978</v>
      </c>
      <c r="B32699" t="s">
        <v>5332</v>
      </c>
      <c r="C32699" t="s">
        <v>2740</v>
      </c>
      <c r="D32699" t="s">
        <v>2740</v>
      </c>
      <c r="E32699" t="s">
        <v>144</v>
      </c>
      <c r="F32699" s="2" t="str">
        <f>HYPERLINK("http://www.otzar.org/book.asp?176849","פירוש רש""י לשבת &lt;כת""י לונדון&gt;")</f>
        <v>פירוש רש"י לשבת &lt;כת"י לונדון&gt;</v>
      </c>
    </row>
    <row r="32700" spans="1:6" x14ac:dyDescent="0.2">
      <c r="A32700" t="s">
        <v>50979</v>
      </c>
      <c r="B32700" t="s">
        <v>5332</v>
      </c>
      <c r="C32700" t="s">
        <v>2740</v>
      </c>
      <c r="D32700" t="s">
        <v>2740</v>
      </c>
      <c r="E32700" t="s">
        <v>144</v>
      </c>
      <c r="F32700" s="2" t="str">
        <f>HYPERLINK("http://www.otzar.org/book.asp?176850","פירוש רש""י לשבת &lt;כת""י פריז&gt; - ב")</f>
        <v>פירוש רש"י לשבת &lt;כת"י פריז&gt; - ב</v>
      </c>
    </row>
    <row r="32701" spans="1:6" x14ac:dyDescent="0.2">
      <c r="A32701" t="s">
        <v>50980</v>
      </c>
      <c r="B32701" t="s">
        <v>50981</v>
      </c>
      <c r="C32701" t="s">
        <v>114</v>
      </c>
      <c r="D32701" t="s">
        <v>52</v>
      </c>
      <c r="E32701" t="s">
        <v>158</v>
      </c>
      <c r="F32701" s="2" t="str">
        <f>HYPERLINK("http://www.otzar.org/book.asp?172028","פירוש רש""י לשיר השירים מפורש ומבואר")</f>
        <v>פירוש רש"י לשיר השירים מפורש ומבואר</v>
      </c>
    </row>
    <row r="32702" spans="1:6" x14ac:dyDescent="0.2">
      <c r="A32702" t="s">
        <v>50982</v>
      </c>
      <c r="B32702" t="s">
        <v>5332</v>
      </c>
      <c r="C32702" t="s">
        <v>37</v>
      </c>
      <c r="D32702" t="s">
        <v>14</v>
      </c>
      <c r="E32702" t="s">
        <v>144</v>
      </c>
      <c r="F32702" s="2" t="str">
        <f>HYPERLINK("http://www.otzar.org/book.asp?186835","פירוש רש""י לתחילת מסכת תענית")</f>
        <v>פירוש רש"י לתחילת מסכת תענית</v>
      </c>
    </row>
    <row r="32703" spans="1:6" x14ac:dyDescent="0.2">
      <c r="A32703" t="s">
        <v>50983</v>
      </c>
      <c r="B32703" t="s">
        <v>5332</v>
      </c>
      <c r="C32703" t="s">
        <v>5527</v>
      </c>
      <c r="D32703" t="s">
        <v>50984</v>
      </c>
      <c r="E32703" t="s">
        <v>4104</v>
      </c>
      <c r="F32703" s="2" t="str">
        <f>HYPERLINK("http://www.otzar.org/book.asp?14110","פירוש רש""י על התורה &lt;דפו""ר&gt;")</f>
        <v>פירוש רש"י על התורה &lt;דפו"ר&gt;</v>
      </c>
    </row>
    <row r="32704" spans="1:6" x14ac:dyDescent="0.2">
      <c r="A32704" t="s">
        <v>50985</v>
      </c>
      <c r="B32704" t="s">
        <v>5332</v>
      </c>
      <c r="C32704" t="s">
        <v>26828</v>
      </c>
      <c r="D32704" t="s">
        <v>34</v>
      </c>
      <c r="F32704" s="2" t="str">
        <f>HYPERLINK("http://www.otzar.org/book.asp?170349","פירוש רש""י על התורה &lt;ויקרא במדבר דברים&gt; - 2 כר'")</f>
        <v>פירוש רש"י על התורה &lt;ויקרא במדבר דברים&gt; - 2 כר'</v>
      </c>
    </row>
    <row r="32705" spans="1:6" x14ac:dyDescent="0.2">
      <c r="A32705" t="s">
        <v>50986</v>
      </c>
      <c r="B32705" t="s">
        <v>5332</v>
      </c>
      <c r="C32705" t="s">
        <v>1163</v>
      </c>
      <c r="D32705" t="s">
        <v>1163</v>
      </c>
      <c r="E32705" t="s">
        <v>158</v>
      </c>
      <c r="F32705" s="2" t="str">
        <f>HYPERLINK("http://www.otzar.org/book.asp?21517","פירוש רש""י על התורה &lt;כתב יד&gt;")</f>
        <v>פירוש רש"י על התורה &lt;כתב יד&gt;</v>
      </c>
    </row>
    <row r="32706" spans="1:6" x14ac:dyDescent="0.2">
      <c r="A32706" t="s">
        <v>50987</v>
      </c>
      <c r="B32706" t="s">
        <v>5332</v>
      </c>
      <c r="C32706" t="s">
        <v>1268</v>
      </c>
      <c r="D32706" t="s">
        <v>412</v>
      </c>
      <c r="E32706" t="s">
        <v>158</v>
      </c>
      <c r="F32706" s="2" t="str">
        <f>HYPERLINK("http://www.otzar.org/book.asp?601178","פירוש רש""י על התורה מכתב יד")</f>
        <v>פירוש רש"י על התורה מכתב יד</v>
      </c>
    </row>
    <row r="32707" spans="1:6" x14ac:dyDescent="0.2">
      <c r="A32707" t="s">
        <v>50988</v>
      </c>
      <c r="B32707" t="s">
        <v>5332</v>
      </c>
      <c r="C32707" t="s">
        <v>43307</v>
      </c>
      <c r="D32707" t="s">
        <v>9012</v>
      </c>
      <c r="E32707" t="s">
        <v>158</v>
      </c>
      <c r="F32707" s="2" t="str">
        <f>HYPERLINK("http://www.otzar.org/book.asp?53544","פירוש רש""י על התורה - 7 כר'")</f>
        <v>פירוש רש"י על התורה - 7 כר'</v>
      </c>
    </row>
    <row r="32708" spans="1:6" x14ac:dyDescent="0.2">
      <c r="A32708" t="s">
        <v>50989</v>
      </c>
      <c r="B32708" t="s">
        <v>50990</v>
      </c>
      <c r="C32708" t="s">
        <v>1169</v>
      </c>
      <c r="D32708" t="s">
        <v>412</v>
      </c>
      <c r="E32708" t="s">
        <v>579</v>
      </c>
      <c r="F32708" s="2" t="str">
        <f>HYPERLINK("http://www.otzar.org/book.asp?14467","פירוש רש""י על שיר השירים")</f>
        <v>פירוש רש"י על שיר השירים</v>
      </c>
    </row>
    <row r="32709" spans="1:6" x14ac:dyDescent="0.2">
      <c r="A32709" t="s">
        <v>50991</v>
      </c>
      <c r="B32709" t="s">
        <v>50900</v>
      </c>
      <c r="C32709" t="s">
        <v>523</v>
      </c>
      <c r="D32709" t="s">
        <v>14</v>
      </c>
      <c r="F32709" s="2" t="str">
        <f>HYPERLINK("http://www.otzar.org/book.asp?152586","פירוש שחיטת חולין רבתי")</f>
        <v>פירוש שחיטת חולין רבתי</v>
      </c>
    </row>
    <row r="32710" spans="1:6" x14ac:dyDescent="0.2">
      <c r="A32710" t="s">
        <v>50992</v>
      </c>
      <c r="B32710" t="s">
        <v>8215</v>
      </c>
      <c r="C32710" t="s">
        <v>4202</v>
      </c>
      <c r="D32710" t="s">
        <v>49</v>
      </c>
      <c r="E32710" t="s">
        <v>158</v>
      </c>
      <c r="F32710" s="2" t="str">
        <f>HYPERLINK("http://www.otzar.org/book.asp?53545","פירוש שיר השירים לר""א גאליקו")</f>
        <v>פירוש שיר השירים לר"א גאליקו</v>
      </c>
    </row>
    <row r="32711" spans="1:6" x14ac:dyDescent="0.2">
      <c r="A32711" t="s">
        <v>50993</v>
      </c>
      <c r="B32711" t="s">
        <v>50994</v>
      </c>
      <c r="C32711" t="s">
        <v>919</v>
      </c>
      <c r="D32711" t="s">
        <v>14</v>
      </c>
      <c r="E32711" t="s">
        <v>158</v>
      </c>
      <c r="F32711" s="2" t="str">
        <f>HYPERLINK("http://www.otzar.org/book.asp?148519","פירוש שיר השירים לרבינו אביגדור כהן צדק - 2 כר'")</f>
        <v>פירוש שיר השירים לרבינו אביגדור כהן צדק - 2 כר'</v>
      </c>
    </row>
    <row r="32712" spans="1:6" x14ac:dyDescent="0.2">
      <c r="A32712" t="s">
        <v>50995</v>
      </c>
      <c r="B32712" t="s">
        <v>50996</v>
      </c>
      <c r="C32712" t="s">
        <v>176</v>
      </c>
      <c r="D32712" t="s">
        <v>14</v>
      </c>
      <c r="E32712" t="s">
        <v>803</v>
      </c>
      <c r="F32712" s="2" t="str">
        <f>HYPERLINK("http://www.otzar.org/book.asp?183052","פירוש תלמיד הרא""ש להלכות כתובות - 2 כר'")</f>
        <v>פירוש תלמיד הרא"ש להלכות כתובות - 2 כר'</v>
      </c>
    </row>
    <row r="32713" spans="1:6" x14ac:dyDescent="0.2">
      <c r="A32713" t="s">
        <v>50997</v>
      </c>
      <c r="B32713" t="s">
        <v>50998</v>
      </c>
      <c r="C32713" t="s">
        <v>106</v>
      </c>
      <c r="D32713" t="s">
        <v>115</v>
      </c>
      <c r="E32713" t="s">
        <v>144</v>
      </c>
      <c r="F32713" s="2" t="str">
        <f>HYPERLINK("http://www.otzar.org/book.asp?61","פירוש תלמיד הרמב""ן השלם - תענית")</f>
        <v>פירוש תלמיד הרמב"ן השלם - תענית</v>
      </c>
    </row>
    <row r="32714" spans="1:6" x14ac:dyDescent="0.2">
      <c r="A32714" t="s">
        <v>50999</v>
      </c>
      <c r="B32714" t="s">
        <v>25538</v>
      </c>
      <c r="C32714" t="s">
        <v>1954</v>
      </c>
      <c r="D32714" t="s">
        <v>27</v>
      </c>
      <c r="E32714" t="s">
        <v>920</v>
      </c>
      <c r="F32714" s="2" t="str">
        <f>HYPERLINK("http://www.otzar.org/book.asp?11446","פירוש תלמיד הרמב""ן ז""ל - 2 כר'")</f>
        <v>פירוש תלמיד הרמב"ן ז"ל - 2 כר'</v>
      </c>
    </row>
    <row r="32715" spans="1:6" x14ac:dyDescent="0.2">
      <c r="A32715" t="s">
        <v>51000</v>
      </c>
      <c r="B32715" t="s">
        <v>51001</v>
      </c>
      <c r="C32715" t="s">
        <v>411</v>
      </c>
      <c r="D32715" t="s">
        <v>14</v>
      </c>
      <c r="E32715" t="s">
        <v>219</v>
      </c>
      <c r="F32715" s="2" t="str">
        <f>HYPERLINK("http://www.otzar.org/book.asp?168356","פירוש תפילת שמונה עשרה - 2 כר'")</f>
        <v>פירוש תפילת שמונה עשרה - 2 כר'</v>
      </c>
    </row>
    <row r="32716" spans="1:6" x14ac:dyDescent="0.2">
      <c r="A32716" t="s">
        <v>51002</v>
      </c>
      <c r="B32716" t="s">
        <v>13052</v>
      </c>
      <c r="C32716" t="s">
        <v>946</v>
      </c>
      <c r="D32716" t="s">
        <v>9</v>
      </c>
      <c r="E32716" t="s">
        <v>714</v>
      </c>
      <c r="F32716" s="2" t="str">
        <f>HYPERLINK("http://www.otzar.org/book.asp?11885","פירושי איברא")</f>
        <v>פירושי איברא</v>
      </c>
    </row>
    <row r="32717" spans="1:6" x14ac:dyDescent="0.2">
      <c r="A32717" t="s">
        <v>51003</v>
      </c>
      <c r="B32717" t="s">
        <v>1821</v>
      </c>
      <c r="C32717" t="s">
        <v>775</v>
      </c>
      <c r="D32717" t="s">
        <v>412</v>
      </c>
      <c r="E32717" t="s">
        <v>158</v>
      </c>
      <c r="F32717" s="2" t="str">
        <f>HYPERLINK("http://www.otzar.org/book.asp?62122","פירושי הגר""א - 7 כר'")</f>
        <v>פירושי הגר"א - 7 כר'</v>
      </c>
    </row>
    <row r="32718" spans="1:6" x14ac:dyDescent="0.2">
      <c r="A32718" t="s">
        <v>51004</v>
      </c>
      <c r="B32718" t="s">
        <v>51005</v>
      </c>
      <c r="C32718" t="s">
        <v>176</v>
      </c>
      <c r="D32718" t="s">
        <v>52</v>
      </c>
      <c r="E32718" t="s">
        <v>84</v>
      </c>
      <c r="F32718" s="2" t="str">
        <f>HYPERLINK("http://www.otzar.org/book.asp?157858","פירושי המהר""ם והרא""ש - אהלות")</f>
        <v>פירושי המהר"ם והרא"ש - אהלות</v>
      </c>
    </row>
    <row r="32719" spans="1:6" x14ac:dyDescent="0.2">
      <c r="A32719" t="s">
        <v>51006</v>
      </c>
      <c r="B32719" t="s">
        <v>51007</v>
      </c>
      <c r="C32719" t="s">
        <v>767</v>
      </c>
      <c r="D32719" t="s">
        <v>52</v>
      </c>
      <c r="E32719" t="s">
        <v>84</v>
      </c>
      <c r="F32719" s="2" t="str">
        <f>HYPERLINK("http://www.otzar.org/book.asp?157857","פירושי הערוך, מהר""ם, רא""ש, אגודה - 2 כר'")</f>
        <v>פירושי הערוך, מהר"ם, רא"ש, אגודה - 2 כר'</v>
      </c>
    </row>
    <row r="32720" spans="1:6" x14ac:dyDescent="0.2">
      <c r="A32720" t="s">
        <v>51008</v>
      </c>
      <c r="B32720" t="s">
        <v>51009</v>
      </c>
      <c r="C32720" t="s">
        <v>189</v>
      </c>
      <c r="D32720" t="s">
        <v>152</v>
      </c>
      <c r="E32720" t="s">
        <v>64</v>
      </c>
      <c r="F32720" s="2" t="str">
        <f>HYPERLINK("http://www.otzar.org/book.asp?53642","פירושי הראשונים על ברייתת פיטום הקטורת")</f>
        <v>פירושי הראשונים על ברייתת פיטום הקטורת</v>
      </c>
    </row>
    <row r="32721" spans="1:6" x14ac:dyDescent="0.2">
      <c r="A32721" t="s">
        <v>51010</v>
      </c>
      <c r="B32721" t="s">
        <v>1402</v>
      </c>
      <c r="C32721" t="s">
        <v>17</v>
      </c>
      <c r="D32721" t="s">
        <v>52</v>
      </c>
      <c r="E32721" t="s">
        <v>144</v>
      </c>
      <c r="F32721" s="2" t="str">
        <f>HYPERLINK("http://www.otzar.org/book.asp?60141","פירושי הראשונים על מסכת תמיד - 2 כר'")</f>
        <v>פירושי הראשונים על מסכת תמיד - 2 כר'</v>
      </c>
    </row>
    <row r="32722" spans="1:6" x14ac:dyDescent="0.2">
      <c r="A32722" t="s">
        <v>51011</v>
      </c>
      <c r="B32722" t="s">
        <v>51012</v>
      </c>
      <c r="C32722" t="s">
        <v>1570</v>
      </c>
      <c r="D32722" t="s">
        <v>412</v>
      </c>
      <c r="E32722" t="s">
        <v>144</v>
      </c>
      <c r="F32722" s="2" t="str">
        <f>HYPERLINK("http://www.otzar.org/book.asp?62251","פירושי הראשונים - זבחים, ערכין, תמורה")</f>
        <v>פירושי הראשונים - זבחים, ערכין, תמורה</v>
      </c>
    </row>
    <row r="32723" spans="1:6" x14ac:dyDescent="0.2">
      <c r="A32723" t="s">
        <v>51013</v>
      </c>
      <c r="B32723" t="s">
        <v>9336</v>
      </c>
      <c r="C32723">
        <v>1922</v>
      </c>
      <c r="D32723" t="s">
        <v>4352</v>
      </c>
      <c r="F32723" s="2" t="str">
        <f>HYPERLINK("http://www.otzar.org/book.asp?620504","פירושי הרב דוד צבי הופמן &lt;גרמנית&gt; - ז (דברים ב)")</f>
        <v>פירושי הרב דוד צבי הופמן &lt;גרמנית&gt; - ז (דברים ב)</v>
      </c>
    </row>
    <row r="32724" spans="1:6" x14ac:dyDescent="0.2">
      <c r="A32724" t="s">
        <v>51014</v>
      </c>
      <c r="B32724" t="s">
        <v>9336</v>
      </c>
      <c r="C32724" t="s">
        <v>427</v>
      </c>
      <c r="D32724" t="s">
        <v>52</v>
      </c>
      <c r="E32724" t="s">
        <v>158</v>
      </c>
      <c r="F32724" s="2" t="str">
        <f>HYPERLINK("http://www.otzar.org/book.asp?14523","פירושי הרב דוד צבי הופמן - 7 כר'")</f>
        <v>פירושי הרב דוד צבי הופמן - 7 כר'</v>
      </c>
    </row>
    <row r="32725" spans="1:6" x14ac:dyDescent="0.2">
      <c r="A32725" t="s">
        <v>51015</v>
      </c>
      <c r="B32725" t="s">
        <v>51016</v>
      </c>
      <c r="C32725" t="s">
        <v>1268</v>
      </c>
      <c r="D32725" t="s">
        <v>14</v>
      </c>
      <c r="E32725" t="s">
        <v>158</v>
      </c>
      <c r="F32725" s="2" t="str">
        <f>HYPERLINK("http://www.otzar.org/book.asp?155472","פירושי התורה לר' חיים פלטיאל")</f>
        <v>פירושי התורה לר' חיים פלטיאל</v>
      </c>
    </row>
    <row r="32726" spans="1:6" x14ac:dyDescent="0.2">
      <c r="A32726" t="s">
        <v>51017</v>
      </c>
      <c r="B32726" t="s">
        <v>6044</v>
      </c>
      <c r="C32726" t="s">
        <v>106</v>
      </c>
      <c r="D32726" t="s">
        <v>14</v>
      </c>
      <c r="E32726" t="s">
        <v>158</v>
      </c>
      <c r="F32726" s="2" t="str">
        <f>HYPERLINK("http://www.otzar.org/book.asp?7877","פירושי התורה לר' יהודה החסיד")</f>
        <v>פירושי התורה לר' יהודה החסיד</v>
      </c>
    </row>
    <row r="32727" spans="1:6" x14ac:dyDescent="0.2">
      <c r="A32727" t="s">
        <v>51018</v>
      </c>
      <c r="B32727" t="s">
        <v>1552</v>
      </c>
      <c r="C32727" t="s">
        <v>20566</v>
      </c>
      <c r="D32727" t="s">
        <v>20567</v>
      </c>
      <c r="E32727" t="s">
        <v>158</v>
      </c>
      <c r="F32727" s="2" t="str">
        <f>HYPERLINK("http://www.otzar.org/book.asp?14083","פירושי התורה לרמב""ן &lt;דפו""ר&gt; - 2 כר'")</f>
        <v>פירושי התורה לרמב"ן &lt;דפו"ר&gt; - 2 כר'</v>
      </c>
    </row>
    <row r="32728" spans="1:6" x14ac:dyDescent="0.2">
      <c r="A32728" t="s">
        <v>51019</v>
      </c>
      <c r="B32728" t="s">
        <v>51020</v>
      </c>
      <c r="C32728" t="s">
        <v>1663</v>
      </c>
      <c r="D32728" t="s">
        <v>27</v>
      </c>
      <c r="E32728" t="s">
        <v>144</v>
      </c>
      <c r="F32728" s="2" t="str">
        <f>HYPERLINK("http://www.otzar.org/book.asp?5231","פירושי ונמוקי רבנו עזריאל")</f>
        <v>פירושי ונמוקי רבנו עזריאל</v>
      </c>
    </row>
    <row r="32729" spans="1:6" x14ac:dyDescent="0.2">
      <c r="A32729" t="s">
        <v>51021</v>
      </c>
      <c r="B32729" t="s">
        <v>51022</v>
      </c>
      <c r="C32729" t="s">
        <v>146</v>
      </c>
      <c r="D32729" t="s">
        <v>412</v>
      </c>
      <c r="F32729" s="2" t="str">
        <f>HYPERLINK("http://www.otzar.org/book.asp?194420","פירושי ופסקי רב האי גאון למסכת שבת - ליקוטי פרושי ר""ח לפרק המוציא יין")</f>
        <v>פירושי ופסקי רב האי גאון למסכת שבת - ליקוטי פרושי ר"ח לפרק המוציא יין</v>
      </c>
    </row>
    <row r="32730" spans="1:6" x14ac:dyDescent="0.2">
      <c r="A32730" t="s">
        <v>51023</v>
      </c>
      <c r="B32730" t="s">
        <v>13052</v>
      </c>
      <c r="C32730" t="s">
        <v>843</v>
      </c>
      <c r="D32730" t="s">
        <v>9</v>
      </c>
      <c r="E32730" t="s">
        <v>2840</v>
      </c>
      <c r="F32730" s="2" t="str">
        <f>HYPERLINK("http://www.otzar.org/book.asp?51526","פירושי לב איברא")</f>
        <v>פירושי לב איברא</v>
      </c>
    </row>
    <row r="32731" spans="1:6" x14ac:dyDescent="0.2">
      <c r="A32731" t="s">
        <v>51024</v>
      </c>
      <c r="B32731" t="s">
        <v>9502</v>
      </c>
      <c r="C32731" t="s">
        <v>523</v>
      </c>
      <c r="D32731" t="s">
        <v>216</v>
      </c>
      <c r="E32731" t="s">
        <v>579</v>
      </c>
      <c r="F32731" s="2" t="str">
        <f>HYPERLINK("http://www.otzar.org/book.asp?64103","פירושי מהלל העדני - 3 כר'")</f>
        <v>פירושי מהלל העדני - 3 כר'</v>
      </c>
    </row>
    <row r="32732" spans="1:6" x14ac:dyDescent="0.2">
      <c r="A32732" t="s">
        <v>51025</v>
      </c>
      <c r="B32732" t="s">
        <v>3923</v>
      </c>
      <c r="C32732" t="s">
        <v>68</v>
      </c>
      <c r="D32732" t="s">
        <v>14</v>
      </c>
      <c r="E32732" t="s">
        <v>158</v>
      </c>
      <c r="F32732" s="2" t="str">
        <f>HYPERLINK("http://www.otzar.org/book.asp?188760","פירושי מהר""ל מפראג &lt;תנ""ך&gt; - 3 כר'")</f>
        <v>פירושי מהר"ל מפראג &lt;תנ"ך&gt; - 3 כר'</v>
      </c>
    </row>
    <row r="32733" spans="1:6" x14ac:dyDescent="0.2">
      <c r="A32733" t="s">
        <v>51026</v>
      </c>
      <c r="B32733" t="s">
        <v>3923</v>
      </c>
      <c r="C32733" t="s">
        <v>1897</v>
      </c>
      <c r="D32733" t="s">
        <v>27</v>
      </c>
      <c r="E32733" t="s">
        <v>144</v>
      </c>
      <c r="F32733" s="2" t="str">
        <f>HYPERLINK("http://www.otzar.org/book.asp?150133","פירושי מהר""ל מפראג - 4 כר'")</f>
        <v>פירושי מהר"ל מפראג - 4 כר'</v>
      </c>
    </row>
    <row r="32734" spans="1:6" x14ac:dyDescent="0.2">
      <c r="A32734" t="s">
        <v>51027</v>
      </c>
      <c r="B32734" t="s">
        <v>51028</v>
      </c>
      <c r="C32734" t="s">
        <v>1388</v>
      </c>
      <c r="D32734" t="s">
        <v>14</v>
      </c>
      <c r="E32734" t="s">
        <v>144</v>
      </c>
      <c r="F32734" s="2" t="str">
        <f>HYPERLINK("http://www.otzar.org/book.asp?98","פירושי מסכת פסחים וסוכה &lt;מבית מדרשו של רש""י&gt;")</f>
        <v>פירושי מסכת פסחים וסוכה &lt;מבית מדרשו של רש"י&gt;</v>
      </c>
    </row>
    <row r="32735" spans="1:6" x14ac:dyDescent="0.2">
      <c r="A32735" t="s">
        <v>51029</v>
      </c>
      <c r="B32735" t="s">
        <v>16927</v>
      </c>
      <c r="C32735" t="s">
        <v>383</v>
      </c>
      <c r="D32735" t="s">
        <v>14</v>
      </c>
      <c r="E32735" t="s">
        <v>219</v>
      </c>
      <c r="F32735" s="2" t="str">
        <f>HYPERLINK("http://www.otzar.org/book.asp?158734","פירושי סידור התפילה לרוקח - 2 כר'")</f>
        <v>פירושי סידור התפילה לרוקח - 2 כר'</v>
      </c>
    </row>
    <row r="32736" spans="1:6" x14ac:dyDescent="0.2">
      <c r="A32736" t="s">
        <v>51030</v>
      </c>
      <c r="B32736" t="s">
        <v>50856</v>
      </c>
      <c r="C32736" t="s">
        <v>1177</v>
      </c>
      <c r="D32736" t="s">
        <v>39832</v>
      </c>
      <c r="E32736" t="s">
        <v>158</v>
      </c>
      <c r="F32736" s="2" t="str">
        <f>HYPERLINK("http://www.otzar.org/book.asp?147142","פירושי על נביאים אחרונים")</f>
        <v>פירושי על נביאים אחרונים</v>
      </c>
    </row>
    <row r="32737" spans="1:6" x14ac:dyDescent="0.2">
      <c r="A32737" t="s">
        <v>51031</v>
      </c>
      <c r="B32737" t="s">
        <v>51032</v>
      </c>
      <c r="C32737" t="s">
        <v>1268</v>
      </c>
      <c r="D32737" t="s">
        <v>14</v>
      </c>
      <c r="E32737" t="s">
        <v>51033</v>
      </c>
      <c r="F32737" s="2" t="str">
        <f>HYPERLINK("http://www.otzar.org/book.asp?168517","פירושי ראשונים לאגדות חז""ל")</f>
        <v>פירושי ראשונים לאגדות חז"ל</v>
      </c>
    </row>
    <row r="32738" spans="1:6" x14ac:dyDescent="0.2">
      <c r="A32738" t="s">
        <v>51034</v>
      </c>
      <c r="B32738" t="s">
        <v>51035</v>
      </c>
      <c r="C32738" t="s">
        <v>1811</v>
      </c>
      <c r="D32738" t="s">
        <v>14</v>
      </c>
      <c r="E32738" t="s">
        <v>84</v>
      </c>
      <c r="F32738" s="2" t="str">
        <f>HYPERLINK("http://www.otzar.org/book.asp?150131","פירושי ראשונים למסכת אבות")</f>
        <v>פירושי ראשונים למסכת אבות</v>
      </c>
    </row>
    <row r="32739" spans="1:6" x14ac:dyDescent="0.2">
      <c r="A32739" t="s">
        <v>51036</v>
      </c>
      <c r="B32739" t="s">
        <v>4840</v>
      </c>
      <c r="C32739" t="s">
        <v>1388</v>
      </c>
      <c r="D32739" t="s">
        <v>412</v>
      </c>
      <c r="E32739" t="s">
        <v>158</v>
      </c>
      <c r="F32739" s="2" t="str">
        <f>HYPERLINK("http://www.otzar.org/book.asp?185580","פירושי רב סעדיה גאון לבראשית")</f>
        <v>פירושי רב סעדיה גאון לבראשית</v>
      </c>
    </row>
    <row r="32740" spans="1:6" x14ac:dyDescent="0.2">
      <c r="A32740" t="s">
        <v>51037</v>
      </c>
      <c r="B32740" t="s">
        <v>17232</v>
      </c>
      <c r="C32740">
        <v>2007</v>
      </c>
      <c r="D32740" t="s">
        <v>118</v>
      </c>
      <c r="E32740" t="s">
        <v>104</v>
      </c>
      <c r="F32740" s="2" t="str">
        <f>HYPERLINK("http://www.otzar.org/book.asp?192228","פירושי רבי יהודה אלמדארי על הרי""ף סדר  מועד")</f>
        <v>פירושי רבי יהודה אלמדארי על הרי"ף סדר  מועד</v>
      </c>
    </row>
    <row r="32741" spans="1:6" x14ac:dyDescent="0.2">
      <c r="A32741" t="s">
        <v>51038</v>
      </c>
      <c r="B32741" t="s">
        <v>51039</v>
      </c>
      <c r="C32741" t="s">
        <v>427</v>
      </c>
      <c r="D32741" t="s">
        <v>14</v>
      </c>
      <c r="E32741" t="s">
        <v>84</v>
      </c>
      <c r="F32741" s="2" t="str">
        <f>HYPERLINK("http://www.otzar.org/book.asp?150114","פירושי רבינו אברהם פריצול על מסכת אבות")</f>
        <v>פירושי רבינו אברהם פריצול על מסכת אבות</v>
      </c>
    </row>
    <row r="32742" spans="1:6" x14ac:dyDescent="0.2">
      <c r="A32742" t="s">
        <v>51040</v>
      </c>
      <c r="B32742" t="s">
        <v>34999</v>
      </c>
      <c r="C32742" t="s">
        <v>143</v>
      </c>
      <c r="D32742" t="s">
        <v>21</v>
      </c>
      <c r="E32742" t="s">
        <v>144</v>
      </c>
      <c r="F32742" s="2" t="str">
        <f>HYPERLINK("http://www.otzar.org/book.asp?604052","פירושי רבינו חננאל ובית מדרשו - בבא בתרא")</f>
        <v>פירושי רבינו חננאל ובית מדרשו - בבא בתרא</v>
      </c>
    </row>
    <row r="32743" spans="1:6" x14ac:dyDescent="0.2">
      <c r="A32743" t="s">
        <v>51041</v>
      </c>
      <c r="B32743" t="s">
        <v>51042</v>
      </c>
      <c r="C32743" t="s">
        <v>940</v>
      </c>
      <c r="D32743" t="s">
        <v>14</v>
      </c>
      <c r="E32743" t="s">
        <v>144</v>
      </c>
      <c r="F32743" s="2" t="str">
        <f>HYPERLINK("http://www.otzar.org/book.asp?156042","פירושי רבינו יהודה אלמנדרי")</f>
        <v>פירושי רבינו יהודה אלמנדרי</v>
      </c>
    </row>
    <row r="32744" spans="1:6" x14ac:dyDescent="0.2">
      <c r="A32744" t="s">
        <v>51043</v>
      </c>
      <c r="B32744" t="s">
        <v>50807</v>
      </c>
      <c r="C32744" t="s">
        <v>1374</v>
      </c>
      <c r="D32744" t="s">
        <v>27</v>
      </c>
      <c r="E32744" t="s">
        <v>2088</v>
      </c>
      <c r="F32744" s="2" t="str">
        <f>HYPERLINK("http://www.otzar.org/book.asp?135","פירושי רבינו יהודה בר נתן")</f>
        <v>פירושי רבינו יהודה בר נתן</v>
      </c>
    </row>
    <row r="32745" spans="1:6" x14ac:dyDescent="0.2">
      <c r="A32745" t="s">
        <v>51044</v>
      </c>
      <c r="B32745" t="s">
        <v>6044</v>
      </c>
      <c r="C32745" t="s">
        <v>433</v>
      </c>
      <c r="D32745" t="s">
        <v>51045</v>
      </c>
      <c r="E32745" t="s">
        <v>84</v>
      </c>
      <c r="F32745" s="2" t="str">
        <f>HYPERLINK("http://www.otzar.org/book.asp?172512","פירושי רבינו יהודה החסיד למסכת אבות")</f>
        <v>פירושי רבינו יהודה החסיד למסכת אבות</v>
      </c>
    </row>
    <row r="32746" spans="1:6" x14ac:dyDescent="0.2">
      <c r="A32746" t="s">
        <v>51046</v>
      </c>
      <c r="B32746" t="s">
        <v>1574</v>
      </c>
      <c r="C32746" t="s">
        <v>63</v>
      </c>
      <c r="D32746" t="s">
        <v>14</v>
      </c>
      <c r="E32746" t="s">
        <v>84</v>
      </c>
      <c r="F32746" s="2" t="str">
        <f>HYPERLINK("http://www.otzar.org/book.asp?150115","פירושי רבינו יונה על מסכת אבות")</f>
        <v>פירושי רבינו יונה על מסכת אבות</v>
      </c>
    </row>
    <row r="32747" spans="1:6" x14ac:dyDescent="0.2">
      <c r="A32747" t="s">
        <v>51047</v>
      </c>
      <c r="B32747" t="s">
        <v>51048</v>
      </c>
      <c r="C32747" t="s">
        <v>956</v>
      </c>
      <c r="D32747" t="s">
        <v>14</v>
      </c>
      <c r="E32747" t="s">
        <v>84</v>
      </c>
      <c r="F32747" s="2" t="str">
        <f>HYPERLINK("http://www.otzar.org/book.asp?169312","פירושי רבינו יוסף בן שושן על מסכת אבות")</f>
        <v>פירושי רבינו יוסף בן שושן על מסכת אבות</v>
      </c>
    </row>
    <row r="32748" spans="1:6" x14ac:dyDescent="0.2">
      <c r="A32748" t="s">
        <v>51049</v>
      </c>
      <c r="B32748" t="s">
        <v>51050</v>
      </c>
      <c r="C32748" t="s">
        <v>1619</v>
      </c>
      <c r="D32748" t="s">
        <v>14</v>
      </c>
      <c r="E32748" t="s">
        <v>84</v>
      </c>
      <c r="F32748" s="2" t="str">
        <f>HYPERLINK("http://www.otzar.org/book.asp?153528","פירושי רבינו יצחק ב""ר שלמה מטולידו")</f>
        <v>פירושי רבינו יצחק ב"ר שלמה מטולידו</v>
      </c>
    </row>
    <row r="32749" spans="1:6" x14ac:dyDescent="0.2">
      <c r="A32749" t="s">
        <v>51051</v>
      </c>
      <c r="B32749" t="s">
        <v>51052</v>
      </c>
      <c r="C32749" t="s">
        <v>366</v>
      </c>
      <c r="D32749" t="s">
        <v>2319</v>
      </c>
      <c r="F32749" s="2" t="str">
        <f>HYPERLINK("http://www.otzar.org/book.asp?616517","פירושי רש""י ורשב""ם - ערבי פסחים")</f>
        <v>פירושי רש"י ורשב"ם - ערבי פסחים</v>
      </c>
    </row>
    <row r="32750" spans="1:6" x14ac:dyDescent="0.2">
      <c r="A32750" t="s">
        <v>51053</v>
      </c>
      <c r="B32750" t="s">
        <v>51054</v>
      </c>
      <c r="C32750" t="s">
        <v>1208</v>
      </c>
      <c r="D32750" t="s">
        <v>14</v>
      </c>
      <c r="F32750" s="2" t="str">
        <f>HYPERLINK("http://www.otzar.org/book.asp?616114","פירושים ודרשות - 3 כר'")</f>
        <v>פירושים ודרשות - 3 כר'</v>
      </c>
    </row>
    <row r="32751" spans="1:6" x14ac:dyDescent="0.2">
      <c r="A32751" t="s">
        <v>51055</v>
      </c>
      <c r="B32751" t="s">
        <v>51056</v>
      </c>
      <c r="C32751" t="s">
        <v>1811</v>
      </c>
      <c r="D32751" t="s">
        <v>14</v>
      </c>
      <c r="E32751" t="s">
        <v>26178</v>
      </c>
      <c r="F32751" s="2" t="str">
        <f>HYPERLINK("http://www.otzar.org/book.asp?9081","פירושים וחידושים על מסכת תמורה")</f>
        <v>פירושים וחידושים על מסכת תמורה</v>
      </c>
    </row>
    <row r="32752" spans="1:6" x14ac:dyDescent="0.2">
      <c r="A32752" t="s">
        <v>51057</v>
      </c>
      <c r="B32752" t="s">
        <v>51058</v>
      </c>
      <c r="C32752" t="s">
        <v>767</v>
      </c>
      <c r="D32752" t="s">
        <v>14</v>
      </c>
      <c r="E32752" t="s">
        <v>158</v>
      </c>
      <c r="F32752" s="2" t="str">
        <f>HYPERLINK("http://www.otzar.org/book.asp?158145","פירושים ופסקים לרבינו אביגדור צרפתי")</f>
        <v>פירושים ופסקים לרבינו אביגדור צרפתי</v>
      </c>
    </row>
    <row r="32753" spans="1:6" x14ac:dyDescent="0.2">
      <c r="A32753" t="s">
        <v>51059</v>
      </c>
      <c r="B32753" t="s">
        <v>51060</v>
      </c>
      <c r="C32753" t="s">
        <v>20</v>
      </c>
      <c r="D32753" t="s">
        <v>80</v>
      </c>
      <c r="E32753" t="s">
        <v>144</v>
      </c>
      <c r="F32753" s="2" t="str">
        <f>HYPERLINK("http://www.otzar.org/book.asp?606881","פירושים למסכת יבמות")</f>
        <v>פירושים למסכת יבמות</v>
      </c>
    </row>
    <row r="32754" spans="1:6" x14ac:dyDescent="0.2">
      <c r="A32754" t="s">
        <v>51061</v>
      </c>
      <c r="B32754" t="s">
        <v>51062</v>
      </c>
      <c r="C32754" t="s">
        <v>29649</v>
      </c>
      <c r="D32754" t="s">
        <v>1490</v>
      </c>
      <c r="E32754" t="s">
        <v>158</v>
      </c>
      <c r="F32754" s="2" t="str">
        <f>HYPERLINK("http://www.otzar.org/book.asp?14109","פירושים לרש""י ז""ל")</f>
        <v>פירושים לרש"י ז"ל</v>
      </c>
    </row>
    <row r="32755" spans="1:6" x14ac:dyDescent="0.2">
      <c r="A32755" t="s">
        <v>51063</v>
      </c>
      <c r="B32755" t="s">
        <v>51064</v>
      </c>
      <c r="C32755" t="s">
        <v>383</v>
      </c>
      <c r="D32755" t="s">
        <v>14</v>
      </c>
      <c r="E32755" t="s">
        <v>104</v>
      </c>
      <c r="F32755" s="2" t="str">
        <f>HYPERLINK("http://www.otzar.org/book.asp?161218","פירושים נחמדים")</f>
        <v>פירושים נחמדים</v>
      </c>
    </row>
    <row r="32756" spans="1:6" x14ac:dyDescent="0.2">
      <c r="A32756" t="s">
        <v>51065</v>
      </c>
      <c r="B32756" t="s">
        <v>51066</v>
      </c>
      <c r="C32756" t="s">
        <v>1721</v>
      </c>
      <c r="D32756" t="s">
        <v>1037</v>
      </c>
      <c r="E32756" t="s">
        <v>158</v>
      </c>
      <c r="F32756" s="2" t="str">
        <f>HYPERLINK("http://www.otzar.org/book.asp?83614","פירושים על אסתר רות ואיכה")</f>
        <v>פירושים על אסתר רות ואיכה</v>
      </c>
    </row>
    <row r="32757" spans="1:6" x14ac:dyDescent="0.2">
      <c r="A32757" t="s">
        <v>51067</v>
      </c>
      <c r="B32757" t="s">
        <v>1406</v>
      </c>
      <c r="C32757" t="s">
        <v>133</v>
      </c>
      <c r="D32757" t="s">
        <v>21</v>
      </c>
      <c r="E32757" t="s">
        <v>64</v>
      </c>
      <c r="F32757" s="2" t="str">
        <f>HYPERLINK("http://www.otzar.org/book.asp?185585","פירושים פילוסופיים של ר' ידעיה הפניני")</f>
        <v>פירושים פילוסופיים של ר' ידעיה הפניני</v>
      </c>
    </row>
    <row r="32758" spans="1:6" x14ac:dyDescent="0.2">
      <c r="A32758" t="s">
        <v>51068</v>
      </c>
      <c r="B32758" t="s">
        <v>51069</v>
      </c>
      <c r="C32758" t="s">
        <v>176</v>
      </c>
      <c r="D32758" t="s">
        <v>260</v>
      </c>
      <c r="E32758" t="s">
        <v>202</v>
      </c>
      <c r="F32758" s="2" t="str">
        <f>HYPERLINK("http://www.otzar.org/book.asp?195871","פירות אילן - 5 כר'")</f>
        <v>פירות אילן - 5 כר'</v>
      </c>
    </row>
    <row r="32759" spans="1:6" x14ac:dyDescent="0.2">
      <c r="A32759" t="s">
        <v>51070</v>
      </c>
      <c r="B32759" t="s">
        <v>686</v>
      </c>
      <c r="C32759" t="s">
        <v>146</v>
      </c>
      <c r="D32759" t="s">
        <v>52</v>
      </c>
      <c r="E32759" t="s">
        <v>4333</v>
      </c>
      <c r="F32759" s="2" t="str">
        <f>HYPERLINK("http://www.otzar.org/book.asp?50398","פירות ביכורים")</f>
        <v>פירות ביכורים</v>
      </c>
    </row>
    <row r="32760" spans="1:6" x14ac:dyDescent="0.2">
      <c r="A32760" t="s">
        <v>51071</v>
      </c>
      <c r="B32760" t="s">
        <v>686</v>
      </c>
      <c r="C32760" t="s">
        <v>146</v>
      </c>
      <c r="D32760" t="s">
        <v>52</v>
      </c>
      <c r="E32760" t="s">
        <v>4333</v>
      </c>
      <c r="F32760" s="2" t="str">
        <f>HYPERLINK("http://www.otzar.org/book.asp?50415","פירות גינוסר")</f>
        <v>פירות גינוסר</v>
      </c>
    </row>
    <row r="32761" spans="1:6" x14ac:dyDescent="0.2">
      <c r="A32761" t="s">
        <v>51072</v>
      </c>
      <c r="B32761" t="s">
        <v>51073</v>
      </c>
      <c r="C32761" t="s">
        <v>1863</v>
      </c>
      <c r="D32761" t="s">
        <v>1023</v>
      </c>
      <c r="E32761" t="s">
        <v>172</v>
      </c>
      <c r="F32761" s="2" t="str">
        <f>HYPERLINK("http://www.otzar.org/book.asp?8823","פירות גנוסר - 2 כר'")</f>
        <v>פירות גנוסר - 2 כר'</v>
      </c>
    </row>
    <row r="32762" spans="1:6" x14ac:dyDescent="0.2">
      <c r="A32762" t="s">
        <v>51074</v>
      </c>
      <c r="B32762" t="s">
        <v>51075</v>
      </c>
      <c r="C32762" t="s">
        <v>133</v>
      </c>
      <c r="D32762" t="s">
        <v>486</v>
      </c>
      <c r="E32762" t="s">
        <v>8079</v>
      </c>
      <c r="F32762" s="2" t="str">
        <f>HYPERLINK("http://www.otzar.org/book.asp?627906","פירות האילן - 2 כר'")</f>
        <v>פירות האילן - 2 כר'</v>
      </c>
    </row>
    <row r="32763" spans="1:6" x14ac:dyDescent="0.2">
      <c r="A32763" t="s">
        <v>51076</v>
      </c>
      <c r="B32763" t="s">
        <v>51077</v>
      </c>
      <c r="C32763" t="s">
        <v>151</v>
      </c>
      <c r="D32763" t="s">
        <v>14</v>
      </c>
      <c r="E32763" t="s">
        <v>172</v>
      </c>
      <c r="F32763" s="2" t="str">
        <f>HYPERLINK("http://www.otzar.org/book.asp?627430","פירות הבית - 3 כר'")</f>
        <v>פירות הבית - 3 כר'</v>
      </c>
    </row>
    <row r="32764" spans="1:6" x14ac:dyDescent="0.2">
      <c r="A32764" t="s">
        <v>51078</v>
      </c>
      <c r="B32764" t="s">
        <v>51079</v>
      </c>
      <c r="C32764" t="s">
        <v>151</v>
      </c>
      <c r="D32764" t="s">
        <v>90</v>
      </c>
      <c r="E32764" t="s">
        <v>1164</v>
      </c>
      <c r="F32764" s="2" t="str">
        <f>HYPERLINK("http://www.otzar.org/book.asp?615416","פירות הילולים")</f>
        <v>פירות הילולים</v>
      </c>
    </row>
    <row r="32765" spans="1:6" x14ac:dyDescent="0.2">
      <c r="A32765" t="s">
        <v>51080</v>
      </c>
      <c r="B32765" t="s">
        <v>51081</v>
      </c>
      <c r="C32765" t="s">
        <v>133</v>
      </c>
      <c r="D32765" t="s">
        <v>486</v>
      </c>
      <c r="E32765" t="s">
        <v>246</v>
      </c>
      <c r="F32765" s="2" t="str">
        <f>HYPERLINK("http://www.otzar.org/book.asp?188792","פירות השדה - 4 כר'")</f>
        <v>פירות השדה - 4 כר'</v>
      </c>
    </row>
    <row r="32766" spans="1:6" x14ac:dyDescent="0.2">
      <c r="A32766" t="s">
        <v>51082</v>
      </c>
      <c r="B32766" t="s">
        <v>17278</v>
      </c>
      <c r="C32766" t="s">
        <v>176</v>
      </c>
      <c r="D32766" t="s">
        <v>21</v>
      </c>
      <c r="F32766" s="2" t="str">
        <f>HYPERLINK("http://www.otzar.org/book.asp?619090","פירות מפוזרין")</f>
        <v>פירות מפוזרין</v>
      </c>
    </row>
    <row r="32767" spans="1:6" x14ac:dyDescent="0.2">
      <c r="A32767" t="s">
        <v>51082</v>
      </c>
      <c r="B32767" t="s">
        <v>7876</v>
      </c>
      <c r="C32767" t="s">
        <v>51083</v>
      </c>
      <c r="D32767" t="s">
        <v>6042</v>
      </c>
      <c r="E32767" t="s">
        <v>1211</v>
      </c>
      <c r="F32767" s="2" t="str">
        <f>HYPERLINK("http://www.otzar.org/book.asp?161177","פירות מפוזרין")</f>
        <v>פירות מפוזרין</v>
      </c>
    </row>
    <row r="32768" spans="1:6" x14ac:dyDescent="0.2">
      <c r="A32768" t="s">
        <v>51084</v>
      </c>
      <c r="B32768" t="s">
        <v>19286</v>
      </c>
      <c r="C32768" t="s">
        <v>360</v>
      </c>
      <c r="D32768" t="s">
        <v>27</v>
      </c>
      <c r="E32768" t="s">
        <v>38079</v>
      </c>
      <c r="F32768" s="2" t="str">
        <f>HYPERLINK("http://www.otzar.org/book.asp?8315","פירות שביעית")</f>
        <v>פירות שביעית</v>
      </c>
    </row>
    <row r="32769" spans="1:6" x14ac:dyDescent="0.2">
      <c r="A32769" t="s">
        <v>51085</v>
      </c>
      <c r="B32769" t="s">
        <v>16883</v>
      </c>
      <c r="C32769" t="s">
        <v>23</v>
      </c>
      <c r="D32769" t="s">
        <v>152</v>
      </c>
      <c r="E32769" t="s">
        <v>15</v>
      </c>
      <c r="F32769" s="2" t="str">
        <f>HYPERLINK("http://www.otzar.org/book.asp?197961","פירות שמיטה")</f>
        <v>פירות שמיטה</v>
      </c>
    </row>
    <row r="32770" spans="1:6" x14ac:dyDescent="0.2">
      <c r="A32770" t="s">
        <v>51086</v>
      </c>
      <c r="B32770" t="s">
        <v>51087</v>
      </c>
      <c r="C32770" t="s">
        <v>466</v>
      </c>
      <c r="D32770" t="s">
        <v>52</v>
      </c>
      <c r="E32770" t="s">
        <v>144</v>
      </c>
      <c r="F32770" s="2" t="str">
        <f>HYPERLINK("http://www.otzar.org/book.asp?108191","פירות תאנה - 17 כר'")</f>
        <v>פירות תאנה - 17 כר'</v>
      </c>
    </row>
    <row r="32771" spans="1:6" x14ac:dyDescent="0.2">
      <c r="A32771" t="s">
        <v>51088</v>
      </c>
      <c r="B32771" t="s">
        <v>3299</v>
      </c>
      <c r="C32771" t="s">
        <v>71</v>
      </c>
      <c r="D32771" t="s">
        <v>52</v>
      </c>
      <c r="E32771" t="s">
        <v>5186</v>
      </c>
      <c r="F32771" s="2" t="str">
        <f>HYPERLINK("http://www.otzar.org/book.asp?147940","פירותיך מתוקים - 2 כר'")</f>
        <v>פירותיך מתוקים - 2 כר'</v>
      </c>
    </row>
    <row r="32772" spans="1:6" x14ac:dyDescent="0.2">
      <c r="A32772" t="s">
        <v>51089</v>
      </c>
      <c r="B32772" t="s">
        <v>12960</v>
      </c>
      <c r="C32772" t="s">
        <v>20</v>
      </c>
      <c r="D32772" t="s">
        <v>90</v>
      </c>
      <c r="E32772" t="s">
        <v>733</v>
      </c>
      <c r="F32772" s="2" t="str">
        <f>HYPERLINK("http://www.otzar.org/book.asp?143427","פירסומים על יהדות לוב")</f>
        <v>פירסומים על יהדות לוב</v>
      </c>
    </row>
    <row r="32773" spans="1:6" x14ac:dyDescent="0.2">
      <c r="A32773" t="s">
        <v>51090</v>
      </c>
      <c r="B32773" t="s">
        <v>12960</v>
      </c>
      <c r="C32773" t="s">
        <v>390</v>
      </c>
      <c r="D32773" t="s">
        <v>14</v>
      </c>
      <c r="E32773" t="s">
        <v>733</v>
      </c>
      <c r="F32773" s="2" t="str">
        <f>HYPERLINK("http://www.otzar.org/book.asp?143419","פירסומים על יהדות צפון אפריקה")</f>
        <v>פירסומים על יהדות צפון אפריקה</v>
      </c>
    </row>
    <row r="32774" spans="1:6" x14ac:dyDescent="0.2">
      <c r="A32774" t="s">
        <v>51091</v>
      </c>
      <c r="B32774" t="s">
        <v>51092</v>
      </c>
      <c r="C32774" t="s">
        <v>114</v>
      </c>
      <c r="D32774" t="s">
        <v>14</v>
      </c>
      <c r="E32774" t="s">
        <v>172</v>
      </c>
      <c r="F32774" s="2" t="str">
        <f>HYPERLINK("http://www.otzar.org/book.asp?168293","פיתוחי האבן")</f>
        <v>פיתוחי האבן</v>
      </c>
    </row>
    <row r="32775" spans="1:6" x14ac:dyDescent="0.2">
      <c r="A32775" t="s">
        <v>51093</v>
      </c>
      <c r="B32775" t="s">
        <v>51094</v>
      </c>
      <c r="C32775" t="s">
        <v>624</v>
      </c>
      <c r="D32775" t="s">
        <v>51095</v>
      </c>
      <c r="E32775" t="s">
        <v>15</v>
      </c>
      <c r="F32775" s="2" t="str">
        <f>HYPERLINK("http://www.otzar.org/book.asp?163298","פיתוחי חותם")</f>
        <v>פיתוחי חותם</v>
      </c>
    </row>
    <row r="32776" spans="1:6" x14ac:dyDescent="0.2">
      <c r="A32776" t="s">
        <v>51096</v>
      </c>
      <c r="B32776" t="s">
        <v>51097</v>
      </c>
      <c r="C32776" t="s">
        <v>20</v>
      </c>
      <c r="D32776" t="s">
        <v>14</v>
      </c>
      <c r="E32776" t="s">
        <v>144</v>
      </c>
      <c r="F32776" s="2" t="str">
        <f>HYPERLINK("http://www.otzar.org/book.asp?608541","פיתוחי חותם - 13 כר'")</f>
        <v>פיתוחי חותם - 13 כר'</v>
      </c>
    </row>
    <row r="32777" spans="1:6" x14ac:dyDescent="0.2">
      <c r="A32777" t="s">
        <v>51098</v>
      </c>
      <c r="B32777" t="s">
        <v>51099</v>
      </c>
      <c r="C32777" t="s">
        <v>23</v>
      </c>
      <c r="D32777" t="s">
        <v>6283</v>
      </c>
      <c r="E32777" t="s">
        <v>158</v>
      </c>
      <c r="F32777" s="2" t="str">
        <f>HYPERLINK("http://www.otzar.org/book.asp?611793","פיתוחי מכתב - 4 כר'")</f>
        <v>פיתוחי מכתב - 4 כר'</v>
      </c>
    </row>
    <row r="32778" spans="1:6" x14ac:dyDescent="0.2">
      <c r="A32778" t="s">
        <v>51100</v>
      </c>
      <c r="B32778" t="s">
        <v>3996</v>
      </c>
      <c r="C32778" t="s">
        <v>68</v>
      </c>
      <c r="D32778" t="s">
        <v>14</v>
      </c>
      <c r="E32778" t="s">
        <v>144</v>
      </c>
      <c r="F32778" s="2" t="str">
        <f>HYPERLINK("http://www.otzar.org/book.asp?161207","פיתחא דשמעתא - נדה")</f>
        <v>פיתחא דשמעתא - נדה</v>
      </c>
    </row>
    <row r="32779" spans="1:6" x14ac:dyDescent="0.2">
      <c r="A32779" t="s">
        <v>51101</v>
      </c>
      <c r="B32779" t="s">
        <v>51102</v>
      </c>
      <c r="C32779" t="s">
        <v>23</v>
      </c>
      <c r="D32779" t="s">
        <v>90</v>
      </c>
      <c r="E32779" t="s">
        <v>158</v>
      </c>
      <c r="F32779" s="2" t="str">
        <f>HYPERLINK("http://www.otzar.org/book.asp?629456","פיתחא להאי פרשתא")</f>
        <v>פיתחא להאי פרשתא</v>
      </c>
    </row>
    <row r="32780" spans="1:6" x14ac:dyDescent="0.2">
      <c r="A32780" t="s">
        <v>51103</v>
      </c>
      <c r="B32780" t="s">
        <v>51104</v>
      </c>
      <c r="C32780" t="s">
        <v>189</v>
      </c>
      <c r="D32780" t="s">
        <v>14</v>
      </c>
      <c r="E32780" t="s">
        <v>140</v>
      </c>
      <c r="F32780" s="2" t="str">
        <f>HYPERLINK("http://www.otzar.org/book.asp?60393","פלא האור המאיר - ב")</f>
        <v>פלא האור המאיר - ב</v>
      </c>
    </row>
    <row r="32781" spans="1:6" x14ac:dyDescent="0.2">
      <c r="A32781" t="s">
        <v>51105</v>
      </c>
      <c r="B32781" t="s">
        <v>51106</v>
      </c>
      <c r="C32781" t="s">
        <v>151</v>
      </c>
      <c r="D32781" t="s">
        <v>14</v>
      </c>
      <c r="E32781" t="s">
        <v>241</v>
      </c>
      <c r="F32781" s="2" t="str">
        <f>HYPERLINK("http://www.otzar.org/book.asp?629232","פלא יועץ &lt;דמשק אליעזר&gt; - 2 כר'")</f>
        <v>פלא יועץ &lt;דמשק אליעזר&gt; - 2 כר'</v>
      </c>
    </row>
    <row r="32782" spans="1:6" x14ac:dyDescent="0.2">
      <c r="A32782" t="s">
        <v>51107</v>
      </c>
      <c r="B32782" t="s">
        <v>4431</v>
      </c>
      <c r="C32782" t="s">
        <v>133</v>
      </c>
      <c r="D32782" t="s">
        <v>14</v>
      </c>
      <c r="E32782" t="s">
        <v>241</v>
      </c>
      <c r="F32782" s="2" t="str">
        <f>HYPERLINK("http://www.otzar.org/book.asp?176054","פלא יועץ &lt;מהדורה חדשה&gt; - 2 כר'")</f>
        <v>פלא יועץ &lt;מהדורה חדשה&gt; - 2 כר'</v>
      </c>
    </row>
    <row r="32783" spans="1:6" x14ac:dyDescent="0.2">
      <c r="A32783" t="s">
        <v>51108</v>
      </c>
      <c r="B32783" t="s">
        <v>4431</v>
      </c>
      <c r="C32783" t="s">
        <v>51109</v>
      </c>
      <c r="D32783" t="s">
        <v>51110</v>
      </c>
      <c r="F32783" s="2" t="str">
        <f>HYPERLINK("http://www.otzar.org/book.asp?625628","פלא יועץ &lt;מהדורה ראשונה&gt;")</f>
        <v>פלא יועץ &lt;מהדורה ראשונה&gt;</v>
      </c>
    </row>
    <row r="32784" spans="1:6" x14ac:dyDescent="0.2">
      <c r="A32784" t="s">
        <v>51111</v>
      </c>
      <c r="B32784" t="s">
        <v>25217</v>
      </c>
      <c r="C32784" t="s">
        <v>20</v>
      </c>
      <c r="D32784" t="s">
        <v>216</v>
      </c>
      <c r="F32784" s="2" t="str">
        <f>HYPERLINK("http://www.otzar.org/book.asp?610931","פלא יועץ - 3 כר'")</f>
        <v>פלא יועץ - 3 כר'</v>
      </c>
    </row>
    <row r="32785" spans="1:6" x14ac:dyDescent="0.2">
      <c r="A32785" t="s">
        <v>51112</v>
      </c>
      <c r="B32785" t="s">
        <v>4431</v>
      </c>
      <c r="C32785" t="s">
        <v>888</v>
      </c>
      <c r="D32785" t="s">
        <v>27</v>
      </c>
      <c r="E32785" t="s">
        <v>993</v>
      </c>
      <c r="F32785" s="2" t="str">
        <f>HYPERLINK("http://www.otzar.org/book.asp?6455","פלא יועץ - 5 כר'")</f>
        <v>פלא יועץ - 5 כר'</v>
      </c>
    </row>
    <row r="32786" spans="1:6" x14ac:dyDescent="0.2">
      <c r="A32786" t="s">
        <v>51113</v>
      </c>
      <c r="B32786" t="s">
        <v>51114</v>
      </c>
      <c r="C32786" t="s">
        <v>4144</v>
      </c>
      <c r="D32786" t="s">
        <v>947</v>
      </c>
      <c r="E32786" t="s">
        <v>29199</v>
      </c>
      <c r="F32786" s="2" t="str">
        <f>HYPERLINK("http://www.otzar.org/book.asp?19073","פלא יועץ")</f>
        <v>פלא יועץ</v>
      </c>
    </row>
    <row r="32787" spans="1:6" x14ac:dyDescent="0.2">
      <c r="A32787" t="s">
        <v>51115</v>
      </c>
      <c r="B32787" t="s">
        <v>42760</v>
      </c>
      <c r="C32787" t="s">
        <v>13</v>
      </c>
      <c r="D32787" t="s">
        <v>52</v>
      </c>
      <c r="E32787" t="s">
        <v>104</v>
      </c>
      <c r="F32787" s="2" t="str">
        <f>HYPERLINK("http://www.otzar.org/book.asp?61451","פלאות עדותיך - 2 כר'")</f>
        <v>פלאות עדותיך - 2 כר'</v>
      </c>
    </row>
    <row r="32788" spans="1:6" x14ac:dyDescent="0.2">
      <c r="A32788" t="s">
        <v>51116</v>
      </c>
      <c r="B32788" t="s">
        <v>51117</v>
      </c>
      <c r="C32788" t="s">
        <v>146</v>
      </c>
      <c r="D32788" t="s">
        <v>1356</v>
      </c>
      <c r="E32788" t="s">
        <v>144</v>
      </c>
      <c r="F32788" s="2" t="str">
        <f>HYPERLINK("http://www.otzar.org/book.asp?62899","פלאות עדותיך")</f>
        <v>פלאות עדותיך</v>
      </c>
    </row>
    <row r="32789" spans="1:6" x14ac:dyDescent="0.2">
      <c r="A32789" t="s">
        <v>51118</v>
      </c>
      <c r="B32789" t="s">
        <v>51119</v>
      </c>
      <c r="C32789" t="s">
        <v>114</v>
      </c>
      <c r="D32789" t="s">
        <v>6537</v>
      </c>
      <c r="F32789" s="2" t="str">
        <f>HYPERLINK("http://www.otzar.org/book.asp?619006","פלאות עדותיך - 4 כר'")</f>
        <v>פלאות עדותיך - 4 כר'</v>
      </c>
    </row>
    <row r="32790" spans="1:6" x14ac:dyDescent="0.2">
      <c r="A32790" t="s">
        <v>51116</v>
      </c>
      <c r="B32790" t="s">
        <v>4854</v>
      </c>
      <c r="C32790" t="s">
        <v>151</v>
      </c>
      <c r="D32790" t="s">
        <v>367</v>
      </c>
      <c r="E32790" t="s">
        <v>158</v>
      </c>
      <c r="F32790" s="2" t="str">
        <f>HYPERLINK("http://www.otzar.org/book.asp?623571","פלאות עדותיך")</f>
        <v>פלאות עדותיך</v>
      </c>
    </row>
    <row r="32791" spans="1:6" x14ac:dyDescent="0.2">
      <c r="A32791" t="s">
        <v>51116</v>
      </c>
      <c r="B32791" t="s">
        <v>11403</v>
      </c>
      <c r="C32791" t="s">
        <v>888</v>
      </c>
      <c r="D32791" t="s">
        <v>4269</v>
      </c>
      <c r="E32791" t="s">
        <v>6305</v>
      </c>
      <c r="F32791" s="2" t="str">
        <f>HYPERLINK("http://www.otzar.org/book.asp?102147","פלאות עדותיך")</f>
        <v>פלאות עדותיך</v>
      </c>
    </row>
    <row r="32792" spans="1:6" x14ac:dyDescent="0.2">
      <c r="A32792" t="s">
        <v>51120</v>
      </c>
      <c r="B32792" t="s">
        <v>51121</v>
      </c>
      <c r="C32792" t="s">
        <v>547</v>
      </c>
      <c r="D32792" t="s">
        <v>1889</v>
      </c>
      <c r="E32792" t="s">
        <v>733</v>
      </c>
      <c r="F32792" s="2" t="str">
        <f>HYPERLINK("http://www.otzar.org/book.asp?10234","פלאי הצדיקים")</f>
        <v>פלאי הצדיקים</v>
      </c>
    </row>
    <row r="32793" spans="1:6" x14ac:dyDescent="0.2">
      <c r="A32793" t="s">
        <v>51122</v>
      </c>
      <c r="B32793" t="s">
        <v>1604</v>
      </c>
      <c r="C32793" t="s">
        <v>146</v>
      </c>
      <c r="D32793" t="s">
        <v>14</v>
      </c>
      <c r="E32793" t="s">
        <v>104</v>
      </c>
      <c r="F32793" s="2" t="str">
        <f>HYPERLINK("http://www.otzar.org/book.asp?52635","פלאי פלאים - 5 כר'")</f>
        <v>פלאי פלאים - 5 כר'</v>
      </c>
    </row>
    <row r="32794" spans="1:6" x14ac:dyDescent="0.2">
      <c r="A32794" t="s">
        <v>51123</v>
      </c>
      <c r="B32794" t="s">
        <v>51124</v>
      </c>
      <c r="C32794" t="s">
        <v>14</v>
      </c>
      <c r="D32794" t="s">
        <v>244</v>
      </c>
      <c r="E32794" t="s">
        <v>104</v>
      </c>
      <c r="F32794" s="2" t="str">
        <f>HYPERLINK("http://www.otzar.org/book.asp?600178","פלג המנחה")</f>
        <v>פלג המנחה</v>
      </c>
    </row>
    <row r="32795" spans="1:6" x14ac:dyDescent="0.2">
      <c r="A32795" t="s">
        <v>51125</v>
      </c>
      <c r="B32795" t="s">
        <v>5267</v>
      </c>
      <c r="C32795" t="s">
        <v>114</v>
      </c>
      <c r="D32795" t="s">
        <v>14</v>
      </c>
      <c r="E32795" t="s">
        <v>467</v>
      </c>
      <c r="F32795" s="2" t="str">
        <f>HYPERLINK("http://www.otzar.org/book.asp?170718","פלגי מים &lt;מהדורה חדשה&gt;")</f>
        <v>פלגי מים &lt;מהדורה חדשה&gt;</v>
      </c>
    </row>
    <row r="32796" spans="1:6" x14ac:dyDescent="0.2">
      <c r="A32796" t="s">
        <v>51126</v>
      </c>
      <c r="B32796" t="s">
        <v>3286</v>
      </c>
      <c r="C32796" t="s">
        <v>411</v>
      </c>
      <c r="D32796" t="s">
        <v>52</v>
      </c>
      <c r="E32796" t="s">
        <v>15</v>
      </c>
      <c r="F32796" s="2" t="str">
        <f>HYPERLINK("http://www.otzar.org/book.asp?174288","פלגי מים - 2 כר'")</f>
        <v>פלגי מים - 2 כר'</v>
      </c>
    </row>
    <row r="32797" spans="1:6" x14ac:dyDescent="0.2">
      <c r="A32797" t="s">
        <v>51127</v>
      </c>
      <c r="B32797" t="s">
        <v>686</v>
      </c>
      <c r="C32797" t="s">
        <v>383</v>
      </c>
      <c r="D32797" t="s">
        <v>52</v>
      </c>
      <c r="E32797" t="s">
        <v>1211</v>
      </c>
      <c r="F32797" s="2" t="str">
        <f>HYPERLINK("http://www.otzar.org/book.asp?63333","פלגי מים")</f>
        <v>פלגי מים</v>
      </c>
    </row>
    <row r="32798" spans="1:6" x14ac:dyDescent="0.2">
      <c r="A32798" t="s">
        <v>51127</v>
      </c>
      <c r="B32798" t="s">
        <v>30122</v>
      </c>
      <c r="C32798" t="s">
        <v>143</v>
      </c>
      <c r="D32798" t="s">
        <v>646</v>
      </c>
      <c r="E32798" t="s">
        <v>84</v>
      </c>
      <c r="F32798" s="2" t="str">
        <f>HYPERLINK("http://www.otzar.org/book.asp?169009","פלגי מים")</f>
        <v>פלגי מים</v>
      </c>
    </row>
    <row r="32799" spans="1:6" x14ac:dyDescent="0.2">
      <c r="A32799" t="s">
        <v>51126</v>
      </c>
      <c r="B32799" t="s">
        <v>9215</v>
      </c>
      <c r="C32799" t="s">
        <v>176</v>
      </c>
      <c r="D32799" t="s">
        <v>44943</v>
      </c>
      <c r="E32799" t="s">
        <v>144</v>
      </c>
      <c r="F32799" s="2" t="str">
        <f>HYPERLINK("http://www.otzar.org/book.asp?52835","פלגי מים - 2 כר'")</f>
        <v>פלגי מים - 2 כר'</v>
      </c>
    </row>
    <row r="32800" spans="1:6" x14ac:dyDescent="0.2">
      <c r="A32800" t="s">
        <v>51127</v>
      </c>
      <c r="B32800" t="s">
        <v>5267</v>
      </c>
      <c r="C32800" t="s">
        <v>321</v>
      </c>
      <c r="D32800" t="s">
        <v>15825</v>
      </c>
      <c r="E32800" t="s">
        <v>234</v>
      </c>
      <c r="F32800" s="2" t="str">
        <f>HYPERLINK("http://www.otzar.org/book.asp?182166","פלגי מים")</f>
        <v>פלגי מים</v>
      </c>
    </row>
    <row r="32801" spans="1:6" x14ac:dyDescent="0.2">
      <c r="A32801" t="s">
        <v>51127</v>
      </c>
      <c r="B32801" t="s">
        <v>17814</v>
      </c>
      <c r="C32801" t="s">
        <v>133</v>
      </c>
      <c r="D32801" t="s">
        <v>14</v>
      </c>
      <c r="E32801" t="s">
        <v>158</v>
      </c>
      <c r="F32801" s="2" t="str">
        <f>HYPERLINK("http://www.otzar.org/book.asp?174004","פלגי מים")</f>
        <v>פלגי מים</v>
      </c>
    </row>
    <row r="32802" spans="1:6" x14ac:dyDescent="0.2">
      <c r="A32802" t="s">
        <v>51128</v>
      </c>
      <c r="B32802" t="s">
        <v>51129</v>
      </c>
      <c r="C32802" t="s">
        <v>23</v>
      </c>
      <c r="D32802" t="s">
        <v>3283</v>
      </c>
      <c r="E32802" t="s">
        <v>144</v>
      </c>
      <c r="F32802" s="2" t="str">
        <f>HYPERLINK("http://www.otzar.org/book.asp?192914","פלגי מים - 6 כר'")</f>
        <v>פלגי מים - 6 כר'</v>
      </c>
    </row>
    <row r="32803" spans="1:6" x14ac:dyDescent="0.2">
      <c r="A32803" t="s">
        <v>51130</v>
      </c>
      <c r="B32803" t="s">
        <v>51131</v>
      </c>
      <c r="C32803" t="s">
        <v>7367</v>
      </c>
      <c r="D32803" t="s">
        <v>22983</v>
      </c>
      <c r="F32803" s="2" t="str">
        <f>HYPERLINK("http://www.otzar.org/book.asp?619166","פלגי מים - 3 כר'")</f>
        <v>פלגי מים - 3 כר'</v>
      </c>
    </row>
    <row r="32804" spans="1:6" x14ac:dyDescent="0.2">
      <c r="A32804" t="s">
        <v>51126</v>
      </c>
      <c r="B32804" t="s">
        <v>43561</v>
      </c>
      <c r="C32804" t="s">
        <v>71</v>
      </c>
      <c r="D32804" t="s">
        <v>52</v>
      </c>
      <c r="E32804" t="s">
        <v>104</v>
      </c>
      <c r="F32804" s="2" t="str">
        <f>HYPERLINK("http://www.otzar.org/book.asp?159331","פלגי מים - 2 כר'")</f>
        <v>פלגי מים - 2 כר'</v>
      </c>
    </row>
    <row r="32805" spans="1:6" x14ac:dyDescent="0.2">
      <c r="A32805" t="s">
        <v>51132</v>
      </c>
      <c r="B32805" t="s">
        <v>14823</v>
      </c>
      <c r="C32805" t="s">
        <v>725</v>
      </c>
      <c r="D32805" t="s">
        <v>9</v>
      </c>
      <c r="E32805" t="s">
        <v>674</v>
      </c>
      <c r="F32805" s="2" t="str">
        <f>HYPERLINK("http://www.otzar.org/book.asp?51770","פלגי שמן")</f>
        <v>פלגי שמן</v>
      </c>
    </row>
    <row r="32806" spans="1:6" x14ac:dyDescent="0.2">
      <c r="A32806" t="s">
        <v>51133</v>
      </c>
      <c r="B32806" t="s">
        <v>43585</v>
      </c>
      <c r="C32806" t="s">
        <v>41056</v>
      </c>
      <c r="D32806" t="s">
        <v>1023</v>
      </c>
      <c r="E32806" t="s">
        <v>43</v>
      </c>
      <c r="F32806" s="2" t="str">
        <f>HYPERLINK("http://www.otzar.org/book.asp?145449","פלח הרימון - 4 כר'")</f>
        <v>פלח הרימון - 4 כר'</v>
      </c>
    </row>
    <row r="32807" spans="1:6" x14ac:dyDescent="0.2">
      <c r="A32807" t="s">
        <v>51134</v>
      </c>
      <c r="B32807" t="s">
        <v>43392</v>
      </c>
      <c r="C32807" t="s">
        <v>34952</v>
      </c>
      <c r="D32807" t="s">
        <v>2181</v>
      </c>
      <c r="F32807" s="2" t="str">
        <f>HYPERLINK("http://www.otzar.org/book.asp?25271","פליאות חכמה")</f>
        <v>פליאות חכמה</v>
      </c>
    </row>
    <row r="32808" spans="1:6" x14ac:dyDescent="0.2">
      <c r="A32808" t="s">
        <v>51134</v>
      </c>
      <c r="B32808" t="s">
        <v>51135</v>
      </c>
      <c r="C32808" t="s">
        <v>37</v>
      </c>
      <c r="D32808" t="s">
        <v>52</v>
      </c>
      <c r="E32808" t="s">
        <v>588</v>
      </c>
      <c r="F32808" s="2" t="str">
        <f>HYPERLINK("http://www.otzar.org/book.asp?183076","פליאות חכמה")</f>
        <v>פליאות חכמה</v>
      </c>
    </row>
    <row r="32809" spans="1:6" x14ac:dyDescent="0.2">
      <c r="A32809" t="s">
        <v>51136</v>
      </c>
      <c r="B32809" t="s">
        <v>51137</v>
      </c>
      <c r="C32809" t="s">
        <v>919</v>
      </c>
      <c r="D32809" t="s">
        <v>14</v>
      </c>
      <c r="E32809" t="s">
        <v>23341</v>
      </c>
      <c r="F32809" s="2" t="str">
        <f>HYPERLINK("http://www.otzar.org/book.asp?5227","פליטה הנשארת &lt;תל תלפיות&gt; - 4 כר'")</f>
        <v>פליטה הנשארת &lt;תל תלפיות&gt; - 4 כר'</v>
      </c>
    </row>
    <row r="32810" spans="1:6" x14ac:dyDescent="0.2">
      <c r="A32810" t="s">
        <v>51138</v>
      </c>
      <c r="B32810" t="s">
        <v>51139</v>
      </c>
      <c r="C32810" t="s">
        <v>888</v>
      </c>
      <c r="D32810" t="s">
        <v>283</v>
      </c>
      <c r="E32810" t="s">
        <v>2915</v>
      </c>
      <c r="F32810" s="2" t="str">
        <f>HYPERLINK("http://www.otzar.org/book.asp?510","פליטי אפרים")</f>
        <v>פליטי אפרים</v>
      </c>
    </row>
    <row r="32811" spans="1:6" x14ac:dyDescent="0.2">
      <c r="A32811" t="s">
        <v>51140</v>
      </c>
      <c r="B32811" t="s">
        <v>51141</v>
      </c>
      <c r="C32811" t="s">
        <v>919</v>
      </c>
      <c r="D32811" t="s">
        <v>14</v>
      </c>
      <c r="E32811" t="s">
        <v>81</v>
      </c>
      <c r="F32811" s="2" t="str">
        <f>HYPERLINK("http://www.otzar.org/book.asp?15383","פליטת בית יהודה")</f>
        <v>פליטת בית יהודה</v>
      </c>
    </row>
    <row r="32812" spans="1:6" x14ac:dyDescent="0.2">
      <c r="A32812" t="s">
        <v>51140</v>
      </c>
      <c r="B32812" t="s">
        <v>32670</v>
      </c>
      <c r="C32812" t="s">
        <v>40413</v>
      </c>
      <c r="D32812" t="s">
        <v>22983</v>
      </c>
      <c r="E32812" t="s">
        <v>791</v>
      </c>
      <c r="F32812" s="2" t="str">
        <f>HYPERLINK("http://www.otzar.org/book.asp?338","פליטת בית יהודה")</f>
        <v>פליטת בית יהודה</v>
      </c>
    </row>
    <row r="32813" spans="1:6" x14ac:dyDescent="0.2">
      <c r="A32813" t="s">
        <v>51142</v>
      </c>
      <c r="B32813" t="s">
        <v>51143</v>
      </c>
      <c r="C32813" t="s">
        <v>185</v>
      </c>
      <c r="D32813" t="s">
        <v>52</v>
      </c>
      <c r="E32813" t="s">
        <v>104</v>
      </c>
      <c r="F32813" s="2" t="str">
        <f>HYPERLINK("http://www.otzar.org/book.asp?629459","פליטת סופריהם - בית האוצר")</f>
        <v>פליטת סופריהם - בית האוצר</v>
      </c>
    </row>
    <row r="32814" spans="1:6" x14ac:dyDescent="0.2">
      <c r="A32814" t="s">
        <v>51144</v>
      </c>
      <c r="B32814" t="s">
        <v>12187</v>
      </c>
      <c r="C32814" t="s">
        <v>752</v>
      </c>
      <c r="D32814" t="s">
        <v>8340</v>
      </c>
      <c r="E32814" t="s">
        <v>573</v>
      </c>
      <c r="F32814" s="2" t="str">
        <f>HYPERLINK("http://www.otzar.org/book.asp?104667","פליטת סופרים")</f>
        <v>פליטת סופרים</v>
      </c>
    </row>
    <row r="32815" spans="1:6" x14ac:dyDescent="0.2">
      <c r="A32815" t="s">
        <v>51144</v>
      </c>
      <c r="B32815" t="s">
        <v>51144</v>
      </c>
      <c r="C32815" t="s">
        <v>2617</v>
      </c>
      <c r="D32815" t="s">
        <v>56</v>
      </c>
      <c r="E32815" t="s">
        <v>202</v>
      </c>
      <c r="F32815" s="2" t="str">
        <f>HYPERLINK("http://www.otzar.org/book.asp?20523","פליטת סופרים")</f>
        <v>פליטת סופרים</v>
      </c>
    </row>
    <row r="32816" spans="1:6" x14ac:dyDescent="0.2">
      <c r="A32816" t="s">
        <v>51145</v>
      </c>
      <c r="B32816" t="s">
        <v>489</v>
      </c>
      <c r="C32816" t="s">
        <v>411</v>
      </c>
      <c r="D32816" t="s">
        <v>134</v>
      </c>
      <c r="E32816" t="s">
        <v>202</v>
      </c>
      <c r="F32816" s="2" t="str">
        <f>HYPERLINK("http://www.otzar.org/book.asp?172043","פליטת סופרים - א")</f>
        <v>פליטת סופרים - א</v>
      </c>
    </row>
    <row r="32817" spans="1:6" x14ac:dyDescent="0.2">
      <c r="A32817" t="s">
        <v>51146</v>
      </c>
      <c r="B32817" t="s">
        <v>6926</v>
      </c>
      <c r="C32817" t="s">
        <v>143</v>
      </c>
      <c r="D32817" t="s">
        <v>52</v>
      </c>
      <c r="E32817" t="s">
        <v>241</v>
      </c>
      <c r="F32817" s="2" t="str">
        <f>HYPERLINK("http://www.otzar.org/book.asp?141792","פליטת פולמוס")</f>
        <v>פליטת פולמוס</v>
      </c>
    </row>
    <row r="32818" spans="1:6" x14ac:dyDescent="0.2">
      <c r="A32818" t="s">
        <v>51147</v>
      </c>
      <c r="B32818" t="s">
        <v>33841</v>
      </c>
      <c r="C32818" t="s">
        <v>334</v>
      </c>
      <c r="D32818" t="s">
        <v>2201</v>
      </c>
      <c r="E32818" t="s">
        <v>104</v>
      </c>
      <c r="F32818" s="2" t="str">
        <f>HYPERLINK("http://www.otzar.org/book.asp?171898","פלך השתיקה ופלך ההודיה")</f>
        <v>פלך השתיקה ופלך ההודיה</v>
      </c>
    </row>
    <row r="32819" spans="1:6" x14ac:dyDescent="0.2">
      <c r="A32819" t="s">
        <v>51148</v>
      </c>
      <c r="B32819" t="s">
        <v>7980</v>
      </c>
      <c r="C32819" t="s">
        <v>1663</v>
      </c>
      <c r="D32819" t="s">
        <v>27</v>
      </c>
      <c r="E32819" t="s">
        <v>144</v>
      </c>
      <c r="F32819" s="2" t="str">
        <f>HYPERLINK("http://www.otzar.org/book.asp?104062","פלס חיים")</f>
        <v>פלס חיים</v>
      </c>
    </row>
    <row r="32820" spans="1:6" x14ac:dyDescent="0.2">
      <c r="A32820" t="s">
        <v>51149</v>
      </c>
      <c r="B32820" t="s">
        <v>51150</v>
      </c>
      <c r="C32820" t="s">
        <v>1663</v>
      </c>
      <c r="D32820" t="s">
        <v>9</v>
      </c>
      <c r="E32820" t="s">
        <v>154</v>
      </c>
      <c r="F32820" s="2" t="str">
        <f>HYPERLINK("http://www.otzar.org/book.asp?102722","פלפול הלכה - 2 כר'")</f>
        <v>פלפול הלכה - 2 כר'</v>
      </c>
    </row>
    <row r="32821" spans="1:6" x14ac:dyDescent="0.2">
      <c r="A32821" t="s">
        <v>51151</v>
      </c>
      <c r="B32821" t="s">
        <v>51152</v>
      </c>
      <c r="C32821" t="s">
        <v>1166</v>
      </c>
      <c r="D32821" t="s">
        <v>283</v>
      </c>
      <c r="E32821" t="s">
        <v>202</v>
      </c>
      <c r="F32821" s="2" t="str">
        <f>HYPERLINK("http://www.otzar.org/book.asp?20524","פלפול התלמידים - א")</f>
        <v>פלפול התלמידים - א</v>
      </c>
    </row>
    <row r="32822" spans="1:6" x14ac:dyDescent="0.2">
      <c r="A32822" t="s">
        <v>51153</v>
      </c>
      <c r="B32822" t="s">
        <v>51154</v>
      </c>
      <c r="C32822" t="s">
        <v>143</v>
      </c>
      <c r="D32822" t="s">
        <v>486</v>
      </c>
      <c r="E32822" t="s">
        <v>186</v>
      </c>
      <c r="F32822" s="2" t="str">
        <f>HYPERLINK("http://www.otzar.org/book.asp?153313","פלפול חברים - 3 כר'")</f>
        <v>פלפול חברים - 3 כר'</v>
      </c>
    </row>
    <row r="32823" spans="1:6" x14ac:dyDescent="0.2">
      <c r="A32823" t="s">
        <v>51155</v>
      </c>
      <c r="B32823" t="s">
        <v>51156</v>
      </c>
      <c r="C32823" t="s">
        <v>466</v>
      </c>
      <c r="D32823" t="s">
        <v>43854</v>
      </c>
      <c r="E32823" t="s">
        <v>202</v>
      </c>
      <c r="F32823" s="2" t="str">
        <f>HYPERLINK("http://www.otzar.org/book.asp?189712","פלפול חברים - &lt;קובץ&gt;")</f>
        <v>פלפול חברים - &lt;קובץ&gt;</v>
      </c>
    </row>
    <row r="32824" spans="1:6" x14ac:dyDescent="0.2">
      <c r="A32824" t="s">
        <v>51157</v>
      </c>
      <c r="B32824" t="s">
        <v>51158</v>
      </c>
      <c r="C32824" t="s">
        <v>20</v>
      </c>
      <c r="D32824" t="s">
        <v>1156</v>
      </c>
      <c r="E32824" t="s">
        <v>158</v>
      </c>
      <c r="F32824" s="2" t="str">
        <f>HYPERLINK("http://www.otzar.org/book.asp?609554","פלפולא דאורייתא")</f>
        <v>פלפולא דאורייתא</v>
      </c>
    </row>
    <row r="32825" spans="1:6" x14ac:dyDescent="0.2">
      <c r="A32825" t="s">
        <v>51159</v>
      </c>
      <c r="B32825" t="s">
        <v>51160</v>
      </c>
      <c r="C32825" t="s">
        <v>146</v>
      </c>
      <c r="D32825" t="s">
        <v>14</v>
      </c>
      <c r="E32825" t="s">
        <v>144</v>
      </c>
      <c r="F32825" s="2" t="str">
        <f>HYPERLINK("http://www.otzar.org/book.asp?61476","פלפולא דאורייתא - גיטין")</f>
        <v>פלפולא דאורייתא - גיטין</v>
      </c>
    </row>
    <row r="32826" spans="1:6" x14ac:dyDescent="0.2">
      <c r="A32826" t="s">
        <v>51157</v>
      </c>
      <c r="B32826" t="s">
        <v>51161</v>
      </c>
      <c r="C32826" t="s">
        <v>71</v>
      </c>
      <c r="D32826" t="s">
        <v>80</v>
      </c>
      <c r="E32826" t="s">
        <v>1174</v>
      </c>
      <c r="F32826" s="2" t="str">
        <f>HYPERLINK("http://www.otzar.org/book.asp?606937","פלפולא דאורייתא")</f>
        <v>פלפולא דאורייתא</v>
      </c>
    </row>
    <row r="32827" spans="1:6" x14ac:dyDescent="0.2">
      <c r="A32827" t="s">
        <v>51157</v>
      </c>
      <c r="B32827" t="s">
        <v>6221</v>
      </c>
      <c r="C32827" t="s">
        <v>151</v>
      </c>
      <c r="D32827" t="s">
        <v>90</v>
      </c>
      <c r="E32827" t="s">
        <v>803</v>
      </c>
      <c r="F32827" s="2" t="str">
        <f>HYPERLINK("http://www.otzar.org/book.asp?611786","פלפולא דאורייתא")</f>
        <v>פלפולא דאורייתא</v>
      </c>
    </row>
    <row r="32828" spans="1:6" x14ac:dyDescent="0.2">
      <c r="A32828" t="s">
        <v>51162</v>
      </c>
      <c r="B32828" t="s">
        <v>3484</v>
      </c>
      <c r="C32828" t="s">
        <v>30737</v>
      </c>
      <c r="D32828" t="s">
        <v>32637</v>
      </c>
      <c r="E32828" t="s">
        <v>1211</v>
      </c>
      <c r="F32828" s="2" t="str">
        <f>HYPERLINK("http://www.otzar.org/book.asp?104063","פלפולא חריפתא")</f>
        <v>פלפולא חריפתא</v>
      </c>
    </row>
    <row r="32829" spans="1:6" x14ac:dyDescent="0.2">
      <c r="A32829" t="s">
        <v>51162</v>
      </c>
      <c r="B32829" t="s">
        <v>40273</v>
      </c>
      <c r="C32829" t="s">
        <v>558</v>
      </c>
      <c r="D32829" t="s">
        <v>1117</v>
      </c>
      <c r="E32829" t="s">
        <v>144</v>
      </c>
      <c r="F32829" s="2" t="str">
        <f>HYPERLINK("http://www.otzar.org/book.asp?24887","פלפולא חריפתא")</f>
        <v>פלפולא חריפתא</v>
      </c>
    </row>
    <row r="32830" spans="1:6" x14ac:dyDescent="0.2">
      <c r="A32830" t="s">
        <v>51162</v>
      </c>
      <c r="B32830" t="s">
        <v>51163</v>
      </c>
      <c r="C32830" t="s">
        <v>445</v>
      </c>
      <c r="D32830" t="s">
        <v>225</v>
      </c>
      <c r="E32830" t="s">
        <v>186</v>
      </c>
      <c r="F32830" s="2" t="str">
        <f>HYPERLINK("http://www.otzar.org/book.asp?104128","פלפולא חריפתא")</f>
        <v>פלפולא חריפתא</v>
      </c>
    </row>
    <row r="32831" spans="1:6" x14ac:dyDescent="0.2">
      <c r="A32831" t="s">
        <v>51162</v>
      </c>
      <c r="B32831" t="s">
        <v>7136</v>
      </c>
      <c r="C32831" t="s">
        <v>888</v>
      </c>
      <c r="D32831" t="s">
        <v>225</v>
      </c>
      <c r="E32831" t="s">
        <v>1211</v>
      </c>
      <c r="F32831" s="2" t="str">
        <f>HYPERLINK("http://www.otzar.org/book.asp?9277","פלפולא חריפתא")</f>
        <v>פלפולא חריפתא</v>
      </c>
    </row>
    <row r="32832" spans="1:6" x14ac:dyDescent="0.2">
      <c r="A32832" t="s">
        <v>51164</v>
      </c>
      <c r="B32832" t="s">
        <v>17853</v>
      </c>
      <c r="C32832" t="s">
        <v>176</v>
      </c>
      <c r="D32832" t="s">
        <v>14</v>
      </c>
      <c r="E32832" t="s">
        <v>158</v>
      </c>
      <c r="F32832" s="2" t="str">
        <f>HYPERLINK("http://www.otzar.org/book.asp?23169","פלפולא חריפתא - 9 כר'")</f>
        <v>פלפולא חריפתא - 9 כר'</v>
      </c>
    </row>
    <row r="32833" spans="1:6" x14ac:dyDescent="0.2">
      <c r="A32833" t="s">
        <v>51165</v>
      </c>
      <c r="B32833" t="s">
        <v>6936</v>
      </c>
      <c r="C32833" t="s">
        <v>1160</v>
      </c>
      <c r="D32833" t="s">
        <v>52</v>
      </c>
      <c r="E32833" t="s">
        <v>144</v>
      </c>
      <c r="F32833" s="2" t="str">
        <f>HYPERLINK("http://www.otzar.org/book.asp?174097","פלפולא טבא")</f>
        <v>פלפולא טבא</v>
      </c>
    </row>
    <row r="32834" spans="1:6" x14ac:dyDescent="0.2">
      <c r="A32834" t="s">
        <v>51166</v>
      </c>
      <c r="B32834" t="s">
        <v>37887</v>
      </c>
      <c r="C32834" t="s">
        <v>224</v>
      </c>
      <c r="D32834" t="s">
        <v>563</v>
      </c>
      <c r="E32834" t="s">
        <v>733</v>
      </c>
      <c r="F32834" s="2" t="str">
        <f>HYPERLINK("http://www.otzar.org/book.asp?172487","פלפולה של תורה")</f>
        <v>פלפולה של תורה</v>
      </c>
    </row>
    <row r="32835" spans="1:6" x14ac:dyDescent="0.2">
      <c r="A32835" t="s">
        <v>51167</v>
      </c>
      <c r="B32835" t="s">
        <v>6154</v>
      </c>
      <c r="C32835" t="s">
        <v>812</v>
      </c>
      <c r="D32835" t="s">
        <v>27</v>
      </c>
      <c r="E32835" t="s">
        <v>144</v>
      </c>
      <c r="F32835" s="2" t="str">
        <f>HYPERLINK("http://www.otzar.org/book.asp?16309","פלפולי אלימלך")</f>
        <v>פלפולי אלימלך</v>
      </c>
    </row>
    <row r="32836" spans="1:6" x14ac:dyDescent="0.2">
      <c r="A32836" t="s">
        <v>51168</v>
      </c>
      <c r="B32836" t="s">
        <v>8070</v>
      </c>
      <c r="C32836" t="s">
        <v>111</v>
      </c>
      <c r="D32836" t="s">
        <v>152</v>
      </c>
      <c r="E32836" t="s">
        <v>241</v>
      </c>
      <c r="F32836" s="2" t="str">
        <f>HYPERLINK("http://www.otzar.org/book.asp?629906","פן אבוא")</f>
        <v>פן אבוא</v>
      </c>
    </row>
    <row r="32837" spans="1:6" x14ac:dyDescent="0.2">
      <c r="A32837" t="s">
        <v>51169</v>
      </c>
      <c r="B32837" t="s">
        <v>9094</v>
      </c>
      <c r="C32837" t="s">
        <v>466</v>
      </c>
      <c r="D32837" t="s">
        <v>52</v>
      </c>
      <c r="E32837" t="s">
        <v>213</v>
      </c>
      <c r="F32837" s="2" t="str">
        <f>HYPERLINK("http://www.otzar.org/book.asp?22621","פן תשכח")</f>
        <v>פן תשכח</v>
      </c>
    </row>
    <row r="32838" spans="1:6" x14ac:dyDescent="0.2">
      <c r="A32838" t="s">
        <v>51170</v>
      </c>
      <c r="B32838" t="s">
        <v>9338</v>
      </c>
      <c r="C32838" t="s">
        <v>20</v>
      </c>
      <c r="D32838" t="s">
        <v>4519</v>
      </c>
      <c r="E32838" t="s">
        <v>104</v>
      </c>
      <c r="F32838" s="2" t="str">
        <f>HYPERLINK("http://www.otzar.org/book.asp?156501","פנו דרך ה'")</f>
        <v>פנו דרך ה'</v>
      </c>
    </row>
    <row r="32839" spans="1:6" x14ac:dyDescent="0.2">
      <c r="A32839" t="s">
        <v>51171</v>
      </c>
      <c r="B32839" t="s">
        <v>8135</v>
      </c>
      <c r="C32839" t="s">
        <v>1246</v>
      </c>
      <c r="D32839" t="s">
        <v>412</v>
      </c>
      <c r="E32839" t="s">
        <v>104</v>
      </c>
      <c r="F32839" s="2" t="str">
        <f>HYPERLINK("http://www.otzar.org/book.asp?161092","פנוי עצמות מתים")</f>
        <v>פנוי עצמות מתים</v>
      </c>
    </row>
    <row r="32840" spans="1:6" x14ac:dyDescent="0.2">
      <c r="A32840" t="s">
        <v>51172</v>
      </c>
      <c r="B32840" t="s">
        <v>51173</v>
      </c>
      <c r="C32840" t="s">
        <v>2076</v>
      </c>
      <c r="D32840" t="s">
        <v>283</v>
      </c>
      <c r="E32840" t="s">
        <v>154</v>
      </c>
      <c r="F32840" s="2" t="str">
        <f>HYPERLINK("http://www.otzar.org/book.asp?9979","פנות הבית")</f>
        <v>פנות הבית</v>
      </c>
    </row>
    <row r="32841" spans="1:6" x14ac:dyDescent="0.2">
      <c r="A32841" t="s">
        <v>51174</v>
      </c>
      <c r="B32841" t="s">
        <v>22278</v>
      </c>
      <c r="C32841" t="s">
        <v>20</v>
      </c>
      <c r="D32841" t="s">
        <v>14</v>
      </c>
      <c r="E32841" t="s">
        <v>10</v>
      </c>
      <c r="F32841" s="2" t="str">
        <f>HYPERLINK("http://www.otzar.org/book.asp?142990","פנחס יפלל - 14 כר'")</f>
        <v>פנחס יפלל - 14 כר'</v>
      </c>
    </row>
    <row r="32842" spans="1:6" x14ac:dyDescent="0.2">
      <c r="A32842" t="s">
        <v>51175</v>
      </c>
      <c r="B32842" t="s">
        <v>51176</v>
      </c>
      <c r="C32842" t="s">
        <v>37</v>
      </c>
      <c r="D32842" t="s">
        <v>14</v>
      </c>
      <c r="E32842" t="s">
        <v>219</v>
      </c>
      <c r="F32842" s="2" t="str">
        <f>HYPERLINK("http://www.otzar.org/book.asp?189931","פנחס יפלל - עילוי הנשמה המבואר")</f>
        <v>פנחס יפלל - עילוי הנשמה המבואר</v>
      </c>
    </row>
    <row r="32843" spans="1:6" x14ac:dyDescent="0.2">
      <c r="A32843" t="s">
        <v>51177</v>
      </c>
      <c r="B32843" t="s">
        <v>51178</v>
      </c>
      <c r="C32843" t="s">
        <v>180</v>
      </c>
      <c r="D32843" t="s">
        <v>412</v>
      </c>
      <c r="E32843" t="s">
        <v>144</v>
      </c>
      <c r="F32843" s="2" t="str">
        <f>HYPERLINK("http://www.otzar.org/book.asp?165906","פני אברהם")</f>
        <v>פני אברהם</v>
      </c>
    </row>
    <row r="32844" spans="1:6" x14ac:dyDescent="0.2">
      <c r="A32844" t="s">
        <v>51177</v>
      </c>
      <c r="B32844" t="s">
        <v>51179</v>
      </c>
      <c r="C32844" t="s">
        <v>1177</v>
      </c>
      <c r="D32844" t="s">
        <v>267</v>
      </c>
      <c r="E32844" t="s">
        <v>31488</v>
      </c>
      <c r="F32844" s="2" t="str">
        <f>HYPERLINK("http://www.otzar.org/book.asp?104064","פני אברהם")</f>
        <v>פני אברהם</v>
      </c>
    </row>
    <row r="32845" spans="1:6" x14ac:dyDescent="0.2">
      <c r="A32845" t="s">
        <v>51177</v>
      </c>
      <c r="B32845" t="s">
        <v>51180</v>
      </c>
      <c r="C32845" t="s">
        <v>506</v>
      </c>
      <c r="D32845" t="s">
        <v>10393</v>
      </c>
      <c r="E32845" t="s">
        <v>508</v>
      </c>
      <c r="F32845" s="2" t="str">
        <f>HYPERLINK("http://www.otzar.org/book.asp?10848","פני אברהם")</f>
        <v>פני אברהם</v>
      </c>
    </row>
    <row r="32846" spans="1:6" x14ac:dyDescent="0.2">
      <c r="A32846" t="s">
        <v>51177</v>
      </c>
      <c r="B32846" t="s">
        <v>51181</v>
      </c>
      <c r="C32846" t="s">
        <v>111</v>
      </c>
      <c r="D32846" t="s">
        <v>21</v>
      </c>
      <c r="E32846" t="s">
        <v>144</v>
      </c>
      <c r="F32846" s="2" t="str">
        <f>HYPERLINK("http://www.otzar.org/book.asp?631178","פני אברהם")</f>
        <v>פני אברהם</v>
      </c>
    </row>
    <row r="32847" spans="1:6" x14ac:dyDescent="0.2">
      <c r="A32847" t="s">
        <v>51182</v>
      </c>
      <c r="B32847" t="s">
        <v>2260</v>
      </c>
      <c r="C32847" t="s">
        <v>1169</v>
      </c>
      <c r="D32847" t="s">
        <v>27</v>
      </c>
      <c r="E32847" t="s">
        <v>2879</v>
      </c>
      <c r="F32847" s="2" t="str">
        <f>HYPERLINK("http://www.otzar.org/book.asp?980","פני אהל מועד")</f>
        <v>פני אהל מועד</v>
      </c>
    </row>
    <row r="32848" spans="1:6" x14ac:dyDescent="0.2">
      <c r="A32848" t="s">
        <v>51183</v>
      </c>
      <c r="B32848" t="s">
        <v>51184</v>
      </c>
      <c r="C32848" t="s">
        <v>1494</v>
      </c>
      <c r="D32848" t="s">
        <v>76</v>
      </c>
      <c r="E32848" t="s">
        <v>172</v>
      </c>
      <c r="F32848" s="2" t="str">
        <f>HYPERLINK("http://www.otzar.org/book.asp?101656","פני אהרן")</f>
        <v>פני אהרן</v>
      </c>
    </row>
    <row r="32849" spans="1:6" x14ac:dyDescent="0.2">
      <c r="A32849" t="s">
        <v>51185</v>
      </c>
      <c r="B32849" t="s">
        <v>9043</v>
      </c>
      <c r="C32849" t="s">
        <v>114</v>
      </c>
      <c r="D32849" t="s">
        <v>90</v>
      </c>
      <c r="E32849" t="s">
        <v>158</v>
      </c>
      <c r="F32849" s="2" t="str">
        <f>HYPERLINK("http://www.otzar.org/book.asp?160101","פני אלוקים")</f>
        <v>פני אלוקים</v>
      </c>
    </row>
    <row r="32850" spans="1:6" x14ac:dyDescent="0.2">
      <c r="A32850" t="s">
        <v>51186</v>
      </c>
      <c r="B32850" t="s">
        <v>4939</v>
      </c>
      <c r="C32850" t="s">
        <v>1718</v>
      </c>
      <c r="D32850" t="s">
        <v>2181</v>
      </c>
      <c r="E32850" t="s">
        <v>4260</v>
      </c>
      <c r="F32850" s="2" t="str">
        <f>HYPERLINK("http://www.otzar.org/book.asp?7226","פני אליהו")</f>
        <v>פני אליהו</v>
      </c>
    </row>
    <row r="32851" spans="1:6" x14ac:dyDescent="0.2">
      <c r="A32851" t="s">
        <v>51187</v>
      </c>
      <c r="B32851" t="s">
        <v>51188</v>
      </c>
      <c r="C32851" t="s">
        <v>103</v>
      </c>
      <c r="D32851" t="s">
        <v>52</v>
      </c>
      <c r="E32851" t="s">
        <v>435</v>
      </c>
      <c r="F32851" s="2" t="str">
        <f>HYPERLINK("http://www.otzar.org/book.asp?608151","פני אפרים &lt;עם תוספות&gt; - 2 כר'")</f>
        <v>פני אפרים &lt;עם תוספות&gt; - 2 כר'</v>
      </c>
    </row>
    <row r="32852" spans="1:6" x14ac:dyDescent="0.2">
      <c r="A32852" t="s">
        <v>51189</v>
      </c>
      <c r="B32852" t="s">
        <v>51188</v>
      </c>
      <c r="C32852" t="s">
        <v>51190</v>
      </c>
      <c r="D32852" t="s">
        <v>260</v>
      </c>
      <c r="E32852" t="s">
        <v>435</v>
      </c>
      <c r="F32852" s="2" t="str">
        <f>HYPERLINK("http://www.otzar.org/book.asp?7268","פני אפרים - 3 כר'")</f>
        <v>פני אפרים - 3 כר'</v>
      </c>
    </row>
    <row r="32853" spans="1:6" x14ac:dyDescent="0.2">
      <c r="A32853" t="s">
        <v>51191</v>
      </c>
      <c r="B32853" t="s">
        <v>51192</v>
      </c>
      <c r="C32853" t="s">
        <v>1160</v>
      </c>
      <c r="D32853" t="s">
        <v>216</v>
      </c>
      <c r="E32853" t="s">
        <v>234</v>
      </c>
      <c r="F32853" s="2" t="str">
        <f>HYPERLINK("http://www.otzar.org/book.asp?10589","פני אפרים - דרשות לימים נוראים ולמועדים")</f>
        <v>פני אפרים - דרשות לימים נוראים ולמועדים</v>
      </c>
    </row>
    <row r="32854" spans="1:6" x14ac:dyDescent="0.2">
      <c r="A32854" t="s">
        <v>51193</v>
      </c>
      <c r="B32854" t="s">
        <v>51194</v>
      </c>
      <c r="C32854" t="s">
        <v>10538</v>
      </c>
      <c r="D32854" t="s">
        <v>8167</v>
      </c>
      <c r="E32854" t="s">
        <v>158</v>
      </c>
      <c r="F32854" s="2" t="str">
        <f>HYPERLINK("http://www.otzar.org/book.asp?20525","פני ארי' זוטא")</f>
        <v>פני ארי' זוטא</v>
      </c>
    </row>
    <row r="32855" spans="1:6" x14ac:dyDescent="0.2">
      <c r="A32855" t="s">
        <v>51195</v>
      </c>
      <c r="B32855" t="s">
        <v>51196</v>
      </c>
      <c r="C32855" t="s">
        <v>2040</v>
      </c>
      <c r="D32855" t="s">
        <v>1023</v>
      </c>
      <c r="E32855" t="s">
        <v>10</v>
      </c>
      <c r="F32855" s="2" t="str">
        <f>HYPERLINK("http://www.otzar.org/book.asp?10893","פני אריה - 2 כר'")</f>
        <v>פני אריה - 2 כר'</v>
      </c>
    </row>
    <row r="32856" spans="1:6" x14ac:dyDescent="0.2">
      <c r="A32856" t="s">
        <v>51197</v>
      </c>
      <c r="B32856" t="s">
        <v>51198</v>
      </c>
      <c r="C32856" t="s">
        <v>1437</v>
      </c>
      <c r="D32856" t="s">
        <v>855</v>
      </c>
      <c r="E32856" t="s">
        <v>51199</v>
      </c>
      <c r="F32856" s="2" t="str">
        <f>HYPERLINK("http://www.otzar.org/book.asp?147772","פני אריה")</f>
        <v>פני אריה</v>
      </c>
    </row>
    <row r="32857" spans="1:6" x14ac:dyDescent="0.2">
      <c r="A32857" t="s">
        <v>51197</v>
      </c>
      <c r="B32857" t="s">
        <v>686</v>
      </c>
      <c r="C32857" t="s">
        <v>146</v>
      </c>
      <c r="D32857" t="s">
        <v>52</v>
      </c>
      <c r="E32857" t="s">
        <v>4333</v>
      </c>
      <c r="F32857" s="2" t="str">
        <f>HYPERLINK("http://www.otzar.org/book.asp?50404","פני אריה")</f>
        <v>פני אריה</v>
      </c>
    </row>
    <row r="32858" spans="1:6" x14ac:dyDescent="0.2">
      <c r="A32858" t="s">
        <v>51197</v>
      </c>
      <c r="B32858" t="s">
        <v>51200</v>
      </c>
      <c r="C32858" t="s">
        <v>635</v>
      </c>
      <c r="D32858" t="s">
        <v>855</v>
      </c>
      <c r="E32858" t="s">
        <v>474</v>
      </c>
      <c r="F32858" s="2" t="str">
        <f>HYPERLINK("http://www.otzar.org/book.asp?25275","פני אריה")</f>
        <v>פני אריה</v>
      </c>
    </row>
    <row r="32859" spans="1:6" x14ac:dyDescent="0.2">
      <c r="A32859" t="s">
        <v>51197</v>
      </c>
      <c r="B32859" t="s">
        <v>51201</v>
      </c>
      <c r="C32859" t="s">
        <v>266</v>
      </c>
      <c r="D32859" t="s">
        <v>582</v>
      </c>
      <c r="E32859" t="s">
        <v>2840</v>
      </c>
      <c r="F32859" s="2" t="str">
        <f>HYPERLINK("http://www.otzar.org/book.asp?16312","פני אריה")</f>
        <v>פני אריה</v>
      </c>
    </row>
    <row r="32860" spans="1:6" x14ac:dyDescent="0.2">
      <c r="A32860" t="s">
        <v>51197</v>
      </c>
      <c r="B32860" t="s">
        <v>1306</v>
      </c>
      <c r="C32860" t="s">
        <v>989</v>
      </c>
      <c r="D32860" t="s">
        <v>14</v>
      </c>
      <c r="E32860" t="s">
        <v>7138</v>
      </c>
      <c r="F32860" s="2" t="str">
        <f>HYPERLINK("http://www.otzar.org/book.asp?14771","פני אריה")</f>
        <v>פני אריה</v>
      </c>
    </row>
    <row r="32861" spans="1:6" x14ac:dyDescent="0.2">
      <c r="A32861" t="s">
        <v>51197</v>
      </c>
      <c r="B32861" t="s">
        <v>51202</v>
      </c>
      <c r="C32861" t="s">
        <v>1437</v>
      </c>
      <c r="D32861" t="s">
        <v>283</v>
      </c>
      <c r="E32861" t="s">
        <v>172</v>
      </c>
      <c r="F32861" s="2" t="str">
        <f>HYPERLINK("http://www.otzar.org/book.asp?25581","פני אריה")</f>
        <v>פני אריה</v>
      </c>
    </row>
    <row r="32862" spans="1:6" x14ac:dyDescent="0.2">
      <c r="A32862" t="s">
        <v>51197</v>
      </c>
      <c r="B32862" t="s">
        <v>51203</v>
      </c>
      <c r="C32862" t="s">
        <v>6062</v>
      </c>
      <c r="D32862" t="s">
        <v>1495</v>
      </c>
      <c r="E32862" t="s">
        <v>24572</v>
      </c>
      <c r="F32862" s="2" t="str">
        <f>HYPERLINK("http://www.otzar.org/book.asp?101649","פני אריה")</f>
        <v>פני אריה</v>
      </c>
    </row>
    <row r="32863" spans="1:6" x14ac:dyDescent="0.2">
      <c r="A32863" t="s">
        <v>51197</v>
      </c>
      <c r="B32863" t="s">
        <v>51204</v>
      </c>
      <c r="C32863" t="s">
        <v>2323</v>
      </c>
      <c r="D32863" t="s">
        <v>60</v>
      </c>
      <c r="E32863" t="s">
        <v>24232</v>
      </c>
      <c r="F32863" s="2" t="str">
        <f>HYPERLINK("http://www.otzar.org/book.asp?63897","פני אריה")</f>
        <v>פני אריה</v>
      </c>
    </row>
    <row r="32864" spans="1:6" x14ac:dyDescent="0.2">
      <c r="A32864" t="s">
        <v>51205</v>
      </c>
      <c r="B32864" t="s">
        <v>51206</v>
      </c>
      <c r="C32864" t="s">
        <v>313</v>
      </c>
      <c r="D32864" t="s">
        <v>52</v>
      </c>
      <c r="E32864" t="s">
        <v>172</v>
      </c>
      <c r="F32864" s="2" t="str">
        <f>HYPERLINK("http://www.otzar.org/book.asp?174233","פני אריה - קנין כסף, שטר, חזקה, חליפין")</f>
        <v>פני אריה - קנין כסף, שטר, חזקה, חליפין</v>
      </c>
    </row>
    <row r="32865" spans="1:6" x14ac:dyDescent="0.2">
      <c r="A32865" t="s">
        <v>51197</v>
      </c>
      <c r="B32865" t="s">
        <v>51207</v>
      </c>
      <c r="C32865" t="s">
        <v>1169</v>
      </c>
      <c r="D32865" t="s">
        <v>27</v>
      </c>
      <c r="E32865" t="s">
        <v>1097</v>
      </c>
      <c r="F32865" s="2" t="str">
        <f>HYPERLINK("http://www.otzar.org/book.asp?5328","פני אריה")</f>
        <v>פני אריה</v>
      </c>
    </row>
    <row r="32866" spans="1:6" x14ac:dyDescent="0.2">
      <c r="A32866" t="s">
        <v>51208</v>
      </c>
      <c r="B32866" t="s">
        <v>13356</v>
      </c>
      <c r="C32866" t="s">
        <v>20</v>
      </c>
      <c r="D32866" t="s">
        <v>412</v>
      </c>
      <c r="E32866" t="s">
        <v>3516</v>
      </c>
      <c r="F32866" s="2" t="str">
        <f>HYPERLINK("http://www.otzar.org/book.asp?198221","פני אריה - קונטרס ליל שימורים")</f>
        <v>פני אריה - קונטרס ליל שימורים</v>
      </c>
    </row>
    <row r="32867" spans="1:6" x14ac:dyDescent="0.2">
      <c r="A32867" t="s">
        <v>51195</v>
      </c>
      <c r="B32867" t="s">
        <v>5253</v>
      </c>
      <c r="C32867" t="s">
        <v>3690</v>
      </c>
      <c r="D32867" t="s">
        <v>2968</v>
      </c>
      <c r="E32867" t="s">
        <v>144</v>
      </c>
      <c r="F32867" s="2" t="str">
        <f>HYPERLINK("http://www.otzar.org/book.asp?106082","פני אריה - 2 כר'")</f>
        <v>פני אריה - 2 כר'</v>
      </c>
    </row>
    <row r="32868" spans="1:6" x14ac:dyDescent="0.2">
      <c r="A32868" t="s">
        <v>51209</v>
      </c>
      <c r="B32868" t="s">
        <v>51210</v>
      </c>
      <c r="C32868" t="s">
        <v>366</v>
      </c>
      <c r="D32868" t="s">
        <v>245</v>
      </c>
      <c r="E32868" t="s">
        <v>144</v>
      </c>
      <c r="F32868" s="2" t="str">
        <f>HYPERLINK("http://www.otzar.org/book.asp?626786","פני אריה - עירובין")</f>
        <v>פני אריה - עירובין</v>
      </c>
    </row>
    <row r="32869" spans="1:6" x14ac:dyDescent="0.2">
      <c r="A32869" t="s">
        <v>51211</v>
      </c>
      <c r="B32869" t="s">
        <v>51212</v>
      </c>
      <c r="C32869" t="s">
        <v>411</v>
      </c>
      <c r="D32869" t="s">
        <v>14</v>
      </c>
      <c r="E32869" t="s">
        <v>2071</v>
      </c>
      <c r="F32869" s="2" t="str">
        <f>HYPERLINK("http://www.otzar.org/book.asp?166571","פני בנימין")</f>
        <v>פני בנימין</v>
      </c>
    </row>
    <row r="32870" spans="1:6" x14ac:dyDescent="0.2">
      <c r="A32870" t="s">
        <v>51213</v>
      </c>
      <c r="B32870" t="s">
        <v>51214</v>
      </c>
      <c r="C32870" t="s">
        <v>168</v>
      </c>
      <c r="D32870" t="s">
        <v>14</v>
      </c>
      <c r="E32870" t="s">
        <v>31107</v>
      </c>
      <c r="F32870" s="2" t="str">
        <f>HYPERLINK("http://www.otzar.org/book.asp?12631","פני ברוך - ביקור חולים כהלכתו")</f>
        <v>פני ברוך - ביקור חולים כהלכתו</v>
      </c>
    </row>
    <row r="32871" spans="1:6" x14ac:dyDescent="0.2">
      <c r="A32871" t="s">
        <v>51215</v>
      </c>
      <c r="B32871" t="s">
        <v>51216</v>
      </c>
      <c r="C32871" t="s">
        <v>940</v>
      </c>
      <c r="D32871" t="s">
        <v>14</v>
      </c>
      <c r="E32871" t="s">
        <v>15</v>
      </c>
      <c r="F32871" s="2" t="str">
        <f>HYPERLINK("http://www.otzar.org/book.asp?28057","פני ברוך - אבלות בהלכה")</f>
        <v>פני ברוך - אבלות בהלכה</v>
      </c>
    </row>
    <row r="32872" spans="1:6" x14ac:dyDescent="0.2">
      <c r="A32872" t="s">
        <v>51217</v>
      </c>
      <c r="B32872" t="s">
        <v>1308</v>
      </c>
      <c r="C32872" t="s">
        <v>4266</v>
      </c>
      <c r="D32872" t="s">
        <v>212</v>
      </c>
      <c r="E32872" t="s">
        <v>158</v>
      </c>
      <c r="F32872" s="2" t="str">
        <f>HYPERLINK("http://www.otzar.org/book.asp?104483","פני דוד")</f>
        <v>פני דוד</v>
      </c>
    </row>
    <row r="32873" spans="1:6" x14ac:dyDescent="0.2">
      <c r="A32873" t="s">
        <v>51217</v>
      </c>
      <c r="B32873" t="s">
        <v>11161</v>
      </c>
      <c r="C32873" t="s">
        <v>581</v>
      </c>
      <c r="D32873" t="s">
        <v>27</v>
      </c>
      <c r="E32873" t="s">
        <v>154</v>
      </c>
      <c r="F32873" s="2" t="str">
        <f>HYPERLINK("http://www.otzar.org/book.asp?862","פני דוד")</f>
        <v>פני דוד</v>
      </c>
    </row>
    <row r="32874" spans="1:6" x14ac:dyDescent="0.2">
      <c r="A32874" t="s">
        <v>51218</v>
      </c>
      <c r="B32874" t="s">
        <v>1308</v>
      </c>
      <c r="C32874" t="s">
        <v>1169</v>
      </c>
      <c r="D32874" t="s">
        <v>27</v>
      </c>
      <c r="E32874" t="s">
        <v>158</v>
      </c>
      <c r="F32874" s="2" t="str">
        <f>HYPERLINK("http://www.otzar.org/book.asp?14452","פני דוד, צוארי שלל")</f>
        <v>פני דוד, צוארי שלל</v>
      </c>
    </row>
    <row r="32875" spans="1:6" x14ac:dyDescent="0.2">
      <c r="A32875" t="s">
        <v>51219</v>
      </c>
      <c r="B32875" t="s">
        <v>51220</v>
      </c>
      <c r="C32875" t="s">
        <v>940</v>
      </c>
      <c r="D32875" t="s">
        <v>412</v>
      </c>
      <c r="F32875" s="2" t="str">
        <f>HYPERLINK("http://www.otzar.org/book.asp?153321","פני דמשק")</f>
        <v>פני דמשק</v>
      </c>
    </row>
    <row r="32876" spans="1:6" x14ac:dyDescent="0.2">
      <c r="A32876" t="s">
        <v>51221</v>
      </c>
      <c r="B32876" t="s">
        <v>51222</v>
      </c>
      <c r="C32876" t="s">
        <v>854</v>
      </c>
      <c r="D32876" t="s">
        <v>283</v>
      </c>
      <c r="E32876" t="s">
        <v>154</v>
      </c>
      <c r="F32876" s="2" t="str">
        <f>HYPERLINK("http://www.otzar.org/book.asp?158764","פני הארי' החי &lt;מהדורה חדשה&gt;")</f>
        <v>פני הארי' החי &lt;מהדורה חדשה&gt;</v>
      </c>
    </row>
    <row r="32877" spans="1:6" x14ac:dyDescent="0.2">
      <c r="A32877" t="s">
        <v>51223</v>
      </c>
      <c r="B32877" t="s">
        <v>51222</v>
      </c>
      <c r="C32877" t="s">
        <v>854</v>
      </c>
      <c r="D32877" t="s">
        <v>283</v>
      </c>
      <c r="E32877" t="s">
        <v>28041</v>
      </c>
      <c r="F32877" s="2" t="str">
        <f>HYPERLINK("http://www.otzar.org/book.asp?101488","פני הארי' החי")</f>
        <v>פני הארי' החי</v>
      </c>
    </row>
    <row r="32878" spans="1:6" x14ac:dyDescent="0.2">
      <c r="A32878" t="s">
        <v>51224</v>
      </c>
      <c r="B32878" t="s">
        <v>51225</v>
      </c>
      <c r="C32878" t="s">
        <v>151</v>
      </c>
      <c r="D32878" t="s">
        <v>486</v>
      </c>
      <c r="E32878" t="s">
        <v>144</v>
      </c>
      <c r="F32878" s="2" t="str">
        <f>HYPERLINK("http://www.otzar.org/book.asp?621496","פני הבית - סוכה פ""א פ""ב")</f>
        <v>פני הבית - סוכה פ"א פ"ב</v>
      </c>
    </row>
    <row r="32879" spans="1:6" x14ac:dyDescent="0.2">
      <c r="A32879" t="s">
        <v>51226</v>
      </c>
      <c r="B32879" t="s">
        <v>51227</v>
      </c>
      <c r="C32879" t="s">
        <v>411</v>
      </c>
      <c r="D32879" t="s">
        <v>80</v>
      </c>
      <c r="E32879" t="s">
        <v>144</v>
      </c>
      <c r="F32879" s="2" t="str">
        <f>HYPERLINK("http://www.otzar.org/book.asp?149954","פני הבית - 2 כר'")</f>
        <v>פני הבית - 2 כר'</v>
      </c>
    </row>
    <row r="32880" spans="1:6" x14ac:dyDescent="0.2">
      <c r="A32880" t="s">
        <v>51228</v>
      </c>
      <c r="B32880" t="s">
        <v>2260</v>
      </c>
      <c r="C32880" t="s">
        <v>5721</v>
      </c>
      <c r="D32880" t="s">
        <v>212</v>
      </c>
      <c r="E32880" t="s">
        <v>148</v>
      </c>
      <c r="F32880" s="2" t="str">
        <f>HYPERLINK("http://www.otzar.org/book.asp?101657","פני הבית")</f>
        <v>פני הבית</v>
      </c>
    </row>
    <row r="32881" spans="1:6" x14ac:dyDescent="0.2">
      <c r="A32881" t="s">
        <v>51229</v>
      </c>
      <c r="B32881" t="s">
        <v>51230</v>
      </c>
      <c r="C32881" t="s">
        <v>649</v>
      </c>
      <c r="D32881" t="s">
        <v>5050</v>
      </c>
      <c r="E32881" t="s">
        <v>202</v>
      </c>
      <c r="F32881" s="2" t="str">
        <f>HYPERLINK("http://www.otzar.org/book.asp?149378","פני הדור")</f>
        <v>פני הדור</v>
      </c>
    </row>
    <row r="32882" spans="1:6" x14ac:dyDescent="0.2">
      <c r="A32882" t="s">
        <v>51231</v>
      </c>
      <c r="B32882" t="s">
        <v>41908</v>
      </c>
      <c r="C32882" t="s">
        <v>244</v>
      </c>
      <c r="D32882" t="s">
        <v>152</v>
      </c>
      <c r="E32882" t="s">
        <v>158</v>
      </c>
      <c r="F32882" s="2" t="str">
        <f>HYPERLINK("http://www.otzar.org/book.asp?600199","פני החמה - סימני מניין הפסוקים")</f>
        <v>פני החמה - סימני מניין הפסוקים</v>
      </c>
    </row>
    <row r="32883" spans="1:6" x14ac:dyDescent="0.2">
      <c r="A32883" t="s">
        <v>51232</v>
      </c>
      <c r="B32883" t="s">
        <v>51233</v>
      </c>
      <c r="C32883" t="s">
        <v>51</v>
      </c>
      <c r="D32883" t="s">
        <v>14</v>
      </c>
      <c r="E32883" t="s">
        <v>803</v>
      </c>
      <c r="F32883" s="2" t="str">
        <f>HYPERLINK("http://www.otzar.org/book.asp?157922","פני הלוי")</f>
        <v>פני הלוי</v>
      </c>
    </row>
    <row r="32884" spans="1:6" x14ac:dyDescent="0.2">
      <c r="A32884" t="s">
        <v>51234</v>
      </c>
      <c r="B32884" t="s">
        <v>51227</v>
      </c>
      <c r="C32884" t="s">
        <v>13</v>
      </c>
      <c r="D32884" t="s">
        <v>52</v>
      </c>
      <c r="E32884" t="s">
        <v>144</v>
      </c>
      <c r="F32884" s="2" t="str">
        <f>HYPERLINK("http://www.otzar.org/book.asp?62908","פני המזבח")</f>
        <v>פני המזבח</v>
      </c>
    </row>
    <row r="32885" spans="1:6" x14ac:dyDescent="0.2">
      <c r="A32885" t="s">
        <v>51235</v>
      </c>
      <c r="B32885" t="s">
        <v>51236</v>
      </c>
      <c r="C32885" t="s">
        <v>725</v>
      </c>
      <c r="D32885" t="s">
        <v>1966</v>
      </c>
      <c r="E32885" t="s">
        <v>24</v>
      </c>
      <c r="F32885" s="2" t="str">
        <f>HYPERLINK("http://www.otzar.org/book.asp?23751","פני המים - 2 כר'")</f>
        <v>פני המים - 2 כר'</v>
      </c>
    </row>
    <row r="32886" spans="1:6" x14ac:dyDescent="0.2">
      <c r="A32886" t="s">
        <v>51237</v>
      </c>
      <c r="B32886" t="s">
        <v>12028</v>
      </c>
      <c r="C32886" t="s">
        <v>940</v>
      </c>
      <c r="D32886" t="s">
        <v>52</v>
      </c>
      <c r="E32886" t="s">
        <v>158</v>
      </c>
      <c r="F32886" s="2" t="str">
        <f>HYPERLINK("http://www.otzar.org/book.asp?14102","פני המים")</f>
        <v>פני המים</v>
      </c>
    </row>
    <row r="32887" spans="1:6" x14ac:dyDescent="0.2">
      <c r="A32887" t="s">
        <v>51238</v>
      </c>
      <c r="B32887" t="s">
        <v>29111</v>
      </c>
      <c r="C32887" t="s">
        <v>523</v>
      </c>
      <c r="D32887" t="s">
        <v>52</v>
      </c>
      <c r="E32887" t="s">
        <v>3567</v>
      </c>
      <c r="F32887" s="2" t="str">
        <f>HYPERLINK("http://www.otzar.org/book.asp?7783","פני המלך")</f>
        <v>פני המלך</v>
      </c>
    </row>
    <row r="32888" spans="1:6" x14ac:dyDescent="0.2">
      <c r="A32888" t="s">
        <v>51239</v>
      </c>
      <c r="B32888" t="s">
        <v>17731</v>
      </c>
      <c r="C32888" t="s">
        <v>20</v>
      </c>
      <c r="D32888" t="s">
        <v>14</v>
      </c>
      <c r="F32888" s="2" t="str">
        <f>HYPERLINK("http://www.otzar.org/book.asp?615631","פני המנורה - 2 כר'")</f>
        <v>פני המנורה - 2 כר'</v>
      </c>
    </row>
    <row r="32889" spans="1:6" x14ac:dyDescent="0.2">
      <c r="A32889" t="s">
        <v>51240</v>
      </c>
      <c r="B32889" t="s">
        <v>51241</v>
      </c>
      <c r="C32889" t="s">
        <v>244</v>
      </c>
      <c r="D32889" t="s">
        <v>1273</v>
      </c>
      <c r="E32889" t="s">
        <v>246</v>
      </c>
      <c r="F32889" s="2" t="str">
        <f>HYPERLINK("http://www.otzar.org/book.asp?196142","פני המנורה - חנוכה")</f>
        <v>פני המנורה - חנוכה</v>
      </c>
    </row>
    <row r="32890" spans="1:6" x14ac:dyDescent="0.2">
      <c r="A32890" t="s">
        <v>51242</v>
      </c>
      <c r="B32890" t="s">
        <v>51227</v>
      </c>
      <c r="C32890" t="s">
        <v>23</v>
      </c>
      <c r="D32890" t="s">
        <v>52</v>
      </c>
      <c r="E32890" t="s">
        <v>144</v>
      </c>
      <c r="F32890" s="2" t="str">
        <f>HYPERLINK("http://www.otzar.org/book.asp?600815","פני הסוכה - סוכה")</f>
        <v>פני הסוכה - סוכה</v>
      </c>
    </row>
    <row r="32891" spans="1:6" x14ac:dyDescent="0.2">
      <c r="A32891" t="s">
        <v>51243</v>
      </c>
      <c r="B32891" t="s">
        <v>51227</v>
      </c>
      <c r="C32891" t="s">
        <v>244</v>
      </c>
      <c r="D32891" t="s">
        <v>52</v>
      </c>
      <c r="E32891" t="s">
        <v>144</v>
      </c>
      <c r="F32891" s="2" t="str">
        <f>HYPERLINK("http://www.otzar.org/book.asp?600812","פני העדה - הוריות")</f>
        <v>פני העדה - הוריות</v>
      </c>
    </row>
    <row r="32892" spans="1:6" x14ac:dyDescent="0.2">
      <c r="A32892" t="s">
        <v>51244</v>
      </c>
      <c r="B32892" t="s">
        <v>51227</v>
      </c>
      <c r="C32892" t="s">
        <v>189</v>
      </c>
      <c r="D32892" t="s">
        <v>52</v>
      </c>
      <c r="E32892" t="s">
        <v>144</v>
      </c>
      <c r="F32892" s="2" t="str">
        <f>HYPERLINK("http://www.otzar.org/book.asp?60524","פני העיר - עירובין")</f>
        <v>פני העיר - עירובין</v>
      </c>
    </row>
    <row r="32893" spans="1:6" x14ac:dyDescent="0.2">
      <c r="A32893" t="s">
        <v>51245</v>
      </c>
      <c r="B32893" t="s">
        <v>51227</v>
      </c>
      <c r="C32893" t="s">
        <v>411</v>
      </c>
      <c r="D32893" t="s">
        <v>52</v>
      </c>
      <c r="E32893" t="s">
        <v>144</v>
      </c>
      <c r="F32893" s="2" t="str">
        <f>HYPERLINK("http://www.otzar.org/book.asp?85794","פני השבת")</f>
        <v>פני השבת</v>
      </c>
    </row>
    <row r="32894" spans="1:6" x14ac:dyDescent="0.2">
      <c r="A32894" t="s">
        <v>51246</v>
      </c>
      <c r="B32894" t="s">
        <v>51247</v>
      </c>
      <c r="C32894" t="s">
        <v>23</v>
      </c>
      <c r="D32894" t="s">
        <v>14</v>
      </c>
      <c r="F32894" s="2" t="str">
        <f>HYPERLINK("http://www.otzar.org/book.asp?193739","פני השולחן - בשר בחלב, תערובות")</f>
        <v>פני השולחן - בשר בחלב, תערובות</v>
      </c>
    </row>
    <row r="32895" spans="1:6" x14ac:dyDescent="0.2">
      <c r="A32895" t="s">
        <v>51248</v>
      </c>
      <c r="B32895" t="s">
        <v>51249</v>
      </c>
      <c r="C32895" t="s">
        <v>114</v>
      </c>
      <c r="D32895" t="s">
        <v>14</v>
      </c>
      <c r="E32895" t="s">
        <v>148</v>
      </c>
      <c r="F32895" s="2" t="str">
        <f>HYPERLINK("http://www.otzar.org/book.asp?161235","פני השולחן - 3 כר'")</f>
        <v>פני השולחן - 3 כר'</v>
      </c>
    </row>
    <row r="32896" spans="1:6" x14ac:dyDescent="0.2">
      <c r="A32896" t="s">
        <v>51250</v>
      </c>
      <c r="B32896" t="s">
        <v>19056</v>
      </c>
      <c r="C32896" t="s">
        <v>17</v>
      </c>
      <c r="D32896" t="s">
        <v>52</v>
      </c>
      <c r="E32896" t="s">
        <v>148</v>
      </c>
      <c r="F32896" s="2" t="str">
        <f>HYPERLINK("http://www.otzar.org/book.asp?50925","פני השלחן - 4 כר'")</f>
        <v>פני השלחן - 4 כר'</v>
      </c>
    </row>
    <row r="32897" spans="1:6" x14ac:dyDescent="0.2">
      <c r="A32897" t="s">
        <v>51251</v>
      </c>
      <c r="B32897" t="s">
        <v>41819</v>
      </c>
      <c r="C32897" t="s">
        <v>576</v>
      </c>
      <c r="D32897" t="s">
        <v>225</v>
      </c>
      <c r="E32897" t="s">
        <v>2088</v>
      </c>
      <c r="F32897" s="2" t="str">
        <f>HYPERLINK("http://www.otzar.org/book.asp?9152","פני חיים")</f>
        <v>פני חיים</v>
      </c>
    </row>
    <row r="32898" spans="1:6" x14ac:dyDescent="0.2">
      <c r="A32898" t="s">
        <v>51252</v>
      </c>
      <c r="B32898" t="s">
        <v>155</v>
      </c>
      <c r="C32898" t="s">
        <v>429</v>
      </c>
      <c r="D32898" t="s">
        <v>157</v>
      </c>
      <c r="E32898" t="s">
        <v>158</v>
      </c>
      <c r="F32898" s="2" t="str">
        <f>HYPERLINK("http://www.otzar.org/book.asp?300051","פני חיים - 2 כר'")</f>
        <v>פני חיים - 2 כר'</v>
      </c>
    </row>
    <row r="32899" spans="1:6" x14ac:dyDescent="0.2">
      <c r="A32899" t="s">
        <v>51251</v>
      </c>
      <c r="B32899" t="s">
        <v>51253</v>
      </c>
      <c r="C32899" t="s">
        <v>888</v>
      </c>
      <c r="D32899" t="s">
        <v>4269</v>
      </c>
      <c r="E32899" t="s">
        <v>154</v>
      </c>
      <c r="F32899" s="2" t="str">
        <f>HYPERLINK("http://www.otzar.org/book.asp?101477","פני חיים")</f>
        <v>פני חיים</v>
      </c>
    </row>
    <row r="32900" spans="1:6" x14ac:dyDescent="0.2">
      <c r="A32900" t="s">
        <v>51251</v>
      </c>
      <c r="B32900" t="s">
        <v>16033</v>
      </c>
      <c r="C32900" t="s">
        <v>1609</v>
      </c>
      <c r="D32900" t="s">
        <v>260</v>
      </c>
      <c r="E32900" t="s">
        <v>586</v>
      </c>
      <c r="F32900" s="2" t="str">
        <f>HYPERLINK("http://www.otzar.org/book.asp?11525","פני חיים")</f>
        <v>פני חיים</v>
      </c>
    </row>
    <row r="32901" spans="1:6" x14ac:dyDescent="0.2">
      <c r="A32901" t="s">
        <v>51254</v>
      </c>
      <c r="B32901" t="s">
        <v>51255</v>
      </c>
      <c r="C32901" t="s">
        <v>20</v>
      </c>
      <c r="D32901" t="s">
        <v>486</v>
      </c>
      <c r="F32901" s="2" t="str">
        <f>HYPERLINK("http://www.otzar.org/book.asp?618844","פני חמה")</f>
        <v>פני חמה</v>
      </c>
    </row>
    <row r="32902" spans="1:6" x14ac:dyDescent="0.2">
      <c r="A32902" t="s">
        <v>51256</v>
      </c>
      <c r="B32902" t="s">
        <v>15901</v>
      </c>
      <c r="C32902" t="s">
        <v>422</v>
      </c>
      <c r="D32902" t="s">
        <v>14</v>
      </c>
      <c r="E32902" t="s">
        <v>219</v>
      </c>
      <c r="F32902" s="2" t="str">
        <f>HYPERLINK("http://www.otzar.org/book.asp?161709","פני חמה - סדר קידוש החמה")</f>
        <v>פני חמה - סדר קידוש החמה</v>
      </c>
    </row>
    <row r="32903" spans="1:6" x14ac:dyDescent="0.2">
      <c r="A32903" t="s">
        <v>51254</v>
      </c>
      <c r="B32903" t="s">
        <v>51257</v>
      </c>
      <c r="C32903" t="s">
        <v>445</v>
      </c>
      <c r="D32903" t="s">
        <v>446</v>
      </c>
      <c r="E32903" t="s">
        <v>234</v>
      </c>
      <c r="F32903" s="2" t="str">
        <f>HYPERLINK("http://www.otzar.org/book.asp?158906","פני חמה")</f>
        <v>פני חמה</v>
      </c>
    </row>
    <row r="32904" spans="1:6" x14ac:dyDescent="0.2">
      <c r="A32904" t="s">
        <v>51258</v>
      </c>
      <c r="B32904" t="s">
        <v>33104</v>
      </c>
      <c r="C32904" t="s">
        <v>114</v>
      </c>
      <c r="D32904" t="s">
        <v>14</v>
      </c>
      <c r="E32904" t="s">
        <v>467</v>
      </c>
      <c r="F32904" s="2" t="str">
        <f>HYPERLINK("http://www.otzar.org/book.asp?183332","פני חסד &lt;מהדורה חדשה&gt;")</f>
        <v>פני חסד &lt;מהדורה חדשה&gt;</v>
      </c>
    </row>
    <row r="32905" spans="1:6" x14ac:dyDescent="0.2">
      <c r="A32905" t="s">
        <v>51259</v>
      </c>
      <c r="B32905" t="s">
        <v>33104</v>
      </c>
      <c r="C32905" t="s">
        <v>812</v>
      </c>
      <c r="D32905" t="s">
        <v>37168</v>
      </c>
      <c r="E32905" t="s">
        <v>234</v>
      </c>
      <c r="F32905" s="2" t="str">
        <f>HYPERLINK("http://www.otzar.org/book.asp?144385","פני חסד")</f>
        <v>פני חסד</v>
      </c>
    </row>
    <row r="32906" spans="1:6" x14ac:dyDescent="0.2">
      <c r="A32906" t="s">
        <v>51260</v>
      </c>
      <c r="B32906" t="s">
        <v>51227</v>
      </c>
      <c r="C32906" t="s">
        <v>13</v>
      </c>
      <c r="D32906" t="s">
        <v>52</v>
      </c>
      <c r="E32906" t="s">
        <v>144</v>
      </c>
      <c r="F32906" s="2" t="str">
        <f>HYPERLINK("http://www.otzar.org/book.asp?61206","פני טוהר - נדה")</f>
        <v>פני טוהר - נדה</v>
      </c>
    </row>
    <row r="32907" spans="1:6" x14ac:dyDescent="0.2">
      <c r="A32907" t="s">
        <v>51261</v>
      </c>
      <c r="B32907" t="s">
        <v>51262</v>
      </c>
      <c r="C32907" t="s">
        <v>51263</v>
      </c>
      <c r="D32907" t="s">
        <v>56</v>
      </c>
      <c r="E32907" t="s">
        <v>144</v>
      </c>
      <c r="F32907" s="2" t="str">
        <f>HYPERLINK("http://www.otzar.org/book.asp?149630","פני יהודה - כתובות")</f>
        <v>פני יהודה - כתובות</v>
      </c>
    </row>
    <row r="32908" spans="1:6" x14ac:dyDescent="0.2">
      <c r="A32908" t="s">
        <v>51264</v>
      </c>
      <c r="B32908" t="s">
        <v>51265</v>
      </c>
      <c r="C32908" t="s">
        <v>1863</v>
      </c>
      <c r="D32908" t="s">
        <v>60</v>
      </c>
      <c r="E32908" t="s">
        <v>158</v>
      </c>
      <c r="F32908" s="2" t="str">
        <f>HYPERLINK("http://www.otzar.org/book.asp?28324","פני יהושיע")</f>
        <v>פני יהושיע</v>
      </c>
    </row>
    <row r="32909" spans="1:6" x14ac:dyDescent="0.2">
      <c r="A32909" t="s">
        <v>51266</v>
      </c>
      <c r="B32909" t="s">
        <v>35368</v>
      </c>
      <c r="C32909" t="s">
        <v>800</v>
      </c>
      <c r="D32909" t="s">
        <v>267</v>
      </c>
      <c r="E32909" t="s">
        <v>154</v>
      </c>
      <c r="F32909" s="2" t="str">
        <f>HYPERLINK("http://www.otzar.org/book.asp?6248","פני יהושע &lt;שו""ת&gt; - 2 כר'")</f>
        <v>פני יהושע &lt;שו"ת&gt; - 2 כר'</v>
      </c>
    </row>
    <row r="32910" spans="1:6" x14ac:dyDescent="0.2">
      <c r="A32910" t="s">
        <v>51267</v>
      </c>
      <c r="B32910" t="s">
        <v>51268</v>
      </c>
      <c r="C32910" t="s">
        <v>624</v>
      </c>
      <c r="D32910" t="s">
        <v>14</v>
      </c>
      <c r="E32910" t="s">
        <v>144</v>
      </c>
      <c r="F32910" s="2" t="str">
        <f>HYPERLINK("http://www.otzar.org/book.asp?62506","פני יהושע &lt;הוצאת אור החכמה&gt; - 5 כר'")</f>
        <v>פני יהושע &lt;הוצאת אור החכמה&gt; - 5 כר'</v>
      </c>
    </row>
    <row r="32911" spans="1:6" x14ac:dyDescent="0.2">
      <c r="A32911" t="s">
        <v>51269</v>
      </c>
      <c r="B32911" t="s">
        <v>51268</v>
      </c>
      <c r="C32911" t="s">
        <v>68</v>
      </c>
      <c r="D32911" t="s">
        <v>412</v>
      </c>
      <c r="E32911" t="s">
        <v>144</v>
      </c>
      <c r="F32911" s="2" t="str">
        <f>HYPERLINK("http://www.otzar.org/book.asp?176369","פני יהושע &lt;השלם&gt; - 2 כר'")</f>
        <v>פני יהושע &lt;השלם&gt; - 2 כר'</v>
      </c>
    </row>
    <row r="32912" spans="1:6" x14ac:dyDescent="0.2">
      <c r="A32912" t="s">
        <v>51270</v>
      </c>
      <c r="B32912" t="s">
        <v>51268</v>
      </c>
      <c r="C32912" t="s">
        <v>1163</v>
      </c>
      <c r="D32912" t="s">
        <v>1163</v>
      </c>
      <c r="F32912" s="2" t="str">
        <f>HYPERLINK("http://www.otzar.org/book.asp?169159","פני יהושע חלק רביעי &lt;כתב יד&gt;")</f>
        <v>פני יהושע חלק רביעי &lt;כתב יד&gt;</v>
      </c>
    </row>
    <row r="32913" spans="1:6" x14ac:dyDescent="0.2">
      <c r="A32913" t="s">
        <v>51271</v>
      </c>
      <c r="B32913" t="s">
        <v>51268</v>
      </c>
      <c r="C32913" t="s">
        <v>5160</v>
      </c>
      <c r="D32913" t="s">
        <v>322</v>
      </c>
      <c r="E32913" t="s">
        <v>144</v>
      </c>
      <c r="F32913" s="2" t="str">
        <f>HYPERLINK("http://www.otzar.org/book.asp?104066","פני יהושע - 4 כר'")</f>
        <v>פני יהושע - 4 כר'</v>
      </c>
    </row>
    <row r="32914" spans="1:6" x14ac:dyDescent="0.2">
      <c r="A32914" t="s">
        <v>51272</v>
      </c>
      <c r="B32914" t="s">
        <v>51273</v>
      </c>
      <c r="C32914" t="s">
        <v>114</v>
      </c>
      <c r="D32914" t="s">
        <v>52</v>
      </c>
      <c r="E32914" t="s">
        <v>144</v>
      </c>
      <c r="F32914" s="2" t="str">
        <f>HYPERLINK("http://www.otzar.org/book.asp?158482","פני יום טוב")</f>
        <v>פני יום טוב</v>
      </c>
    </row>
    <row r="32915" spans="1:6" x14ac:dyDescent="0.2">
      <c r="A32915" t="s">
        <v>51274</v>
      </c>
      <c r="B32915" t="s">
        <v>8499</v>
      </c>
      <c r="C32915" t="s">
        <v>466</v>
      </c>
      <c r="D32915" t="s">
        <v>412</v>
      </c>
      <c r="E32915" t="s">
        <v>158</v>
      </c>
      <c r="F32915" s="2" t="str">
        <f>HYPERLINK("http://www.otzar.org/book.asp?157422","פני יוסף")</f>
        <v>פני יוסף</v>
      </c>
    </row>
    <row r="32916" spans="1:6" x14ac:dyDescent="0.2">
      <c r="A32916" t="s">
        <v>51275</v>
      </c>
      <c r="B32916" t="s">
        <v>51276</v>
      </c>
      <c r="C32916" t="s">
        <v>15405</v>
      </c>
      <c r="D32916" t="s">
        <v>1279</v>
      </c>
      <c r="E32916" t="s">
        <v>148</v>
      </c>
      <c r="F32916" s="2" t="str">
        <f>HYPERLINK("http://www.otzar.org/book.asp?101478","פני יוסף - 2 כר'")</f>
        <v>פני יוסף - 2 כר'</v>
      </c>
    </row>
    <row r="32917" spans="1:6" x14ac:dyDescent="0.2">
      <c r="A32917" t="s">
        <v>51274</v>
      </c>
      <c r="B32917" t="s">
        <v>51277</v>
      </c>
      <c r="C32917" t="s">
        <v>156</v>
      </c>
      <c r="D32917" t="s">
        <v>157</v>
      </c>
      <c r="E32917" t="s">
        <v>158</v>
      </c>
      <c r="F32917" s="2" t="str">
        <f>HYPERLINK("http://www.otzar.org/book.asp?147024","פני יוסף")</f>
        <v>פני יוסף</v>
      </c>
    </row>
    <row r="32918" spans="1:6" x14ac:dyDescent="0.2">
      <c r="A32918" t="s">
        <v>51274</v>
      </c>
      <c r="B32918" t="s">
        <v>51278</v>
      </c>
      <c r="C32918" t="s">
        <v>1166</v>
      </c>
      <c r="D32918" t="s">
        <v>283</v>
      </c>
      <c r="E32918" t="s">
        <v>144</v>
      </c>
      <c r="F32918" s="2" t="str">
        <f>HYPERLINK("http://www.otzar.org/book.asp?104130","פני יוסף")</f>
        <v>פני יוסף</v>
      </c>
    </row>
    <row r="32919" spans="1:6" x14ac:dyDescent="0.2">
      <c r="A32919" t="s">
        <v>51279</v>
      </c>
      <c r="B32919" t="s">
        <v>51280</v>
      </c>
      <c r="C32919" t="s">
        <v>332</v>
      </c>
      <c r="D32919" t="s">
        <v>52</v>
      </c>
      <c r="E32919" t="s">
        <v>144</v>
      </c>
      <c r="F32919" s="2" t="str">
        <f>HYPERLINK("http://www.otzar.org/book.asp?50496","פני יוסף - 9 כר'")</f>
        <v>פני יוסף - 9 כר'</v>
      </c>
    </row>
    <row r="32920" spans="1:6" x14ac:dyDescent="0.2">
      <c r="A32920" t="s">
        <v>51281</v>
      </c>
      <c r="B32920" t="s">
        <v>51282</v>
      </c>
      <c r="C32920" t="s">
        <v>313</v>
      </c>
      <c r="D32920" t="s">
        <v>14</v>
      </c>
      <c r="E32920" t="s">
        <v>104</v>
      </c>
      <c r="F32920" s="2" t="str">
        <f>HYPERLINK("http://www.otzar.org/book.asp?158725","פני יחזקאל")</f>
        <v>פני יחזקאל</v>
      </c>
    </row>
    <row r="32921" spans="1:6" x14ac:dyDescent="0.2">
      <c r="A32921" t="s">
        <v>51283</v>
      </c>
      <c r="B32921" t="s">
        <v>359</v>
      </c>
      <c r="C32921" t="s">
        <v>1047</v>
      </c>
      <c r="D32921" t="s">
        <v>283</v>
      </c>
      <c r="E32921" t="s">
        <v>144</v>
      </c>
      <c r="F32921" s="2" t="str">
        <f>HYPERLINK("http://www.otzar.org/book.asp?150004","פני יעקב")</f>
        <v>פני יעקב</v>
      </c>
    </row>
    <row r="32922" spans="1:6" x14ac:dyDescent="0.2">
      <c r="A32922" t="s">
        <v>51284</v>
      </c>
      <c r="B32922" t="s">
        <v>32139</v>
      </c>
      <c r="C32922" t="s">
        <v>151</v>
      </c>
      <c r="D32922" t="s">
        <v>14</v>
      </c>
      <c r="F32922" s="2" t="str">
        <f>HYPERLINK("http://www.otzar.org/book.asp?609526","פני יצחק &lt;מהדורה חדשה&gt; - 2 כר'")</f>
        <v>פני יצחק &lt;מהדורה חדשה&gt; - 2 כר'</v>
      </c>
    </row>
    <row r="32923" spans="1:6" x14ac:dyDescent="0.2">
      <c r="A32923" t="s">
        <v>51285</v>
      </c>
      <c r="B32923" t="s">
        <v>50545</v>
      </c>
      <c r="C32923" t="s">
        <v>71</v>
      </c>
      <c r="D32923" t="s">
        <v>14</v>
      </c>
      <c r="E32923" t="s">
        <v>15</v>
      </c>
      <c r="F32923" s="2" t="str">
        <f>HYPERLINK("http://www.otzar.org/book.asp?64069","פני יצחק אפי רברבי")</f>
        <v>פני יצחק אפי רברבי</v>
      </c>
    </row>
    <row r="32924" spans="1:6" x14ac:dyDescent="0.2">
      <c r="A32924" t="s">
        <v>51286</v>
      </c>
      <c r="B32924" t="s">
        <v>51287</v>
      </c>
      <c r="C32924" t="s">
        <v>17448</v>
      </c>
      <c r="D32924" t="s">
        <v>1023</v>
      </c>
      <c r="E32924" t="s">
        <v>13627</v>
      </c>
      <c r="F32924" s="2" t="str">
        <f>HYPERLINK("http://www.otzar.org/book.asp?101479","פני יצחק זוטא")</f>
        <v>פני יצחק זוטא</v>
      </c>
    </row>
    <row r="32925" spans="1:6" x14ac:dyDescent="0.2">
      <c r="A32925" t="s">
        <v>51288</v>
      </c>
      <c r="B32925" t="s">
        <v>32139</v>
      </c>
      <c r="C32925" t="s">
        <v>51289</v>
      </c>
      <c r="D32925" t="s">
        <v>6608</v>
      </c>
      <c r="E32925" t="s">
        <v>154</v>
      </c>
      <c r="F32925" s="2" t="str">
        <f>HYPERLINK("http://www.otzar.org/book.asp?101664","פני יצחק - 6 כר'")</f>
        <v>פני יצחק - 6 כר'</v>
      </c>
    </row>
    <row r="32926" spans="1:6" x14ac:dyDescent="0.2">
      <c r="A32926" t="s">
        <v>51290</v>
      </c>
      <c r="B32926" t="s">
        <v>24450</v>
      </c>
      <c r="C32926" t="s">
        <v>9995</v>
      </c>
      <c r="D32926" t="s">
        <v>1411</v>
      </c>
      <c r="E32926" t="s">
        <v>2775</v>
      </c>
      <c r="F32926" s="2" t="str">
        <f>HYPERLINK("http://www.otzar.org/book.asp?101650","פני יצחק - 2 כר'")</f>
        <v>פני יצחק - 2 כר'</v>
      </c>
    </row>
    <row r="32927" spans="1:6" x14ac:dyDescent="0.2">
      <c r="A32927" t="s">
        <v>51291</v>
      </c>
      <c r="B32927" t="s">
        <v>51292</v>
      </c>
      <c r="C32927" t="s">
        <v>496</v>
      </c>
      <c r="D32927" t="s">
        <v>56</v>
      </c>
      <c r="E32927" t="s">
        <v>154</v>
      </c>
      <c r="F32927" s="2" t="str">
        <f>HYPERLINK("http://www.otzar.org/book.asp?21444","פני יצחק")</f>
        <v>פני יצחק</v>
      </c>
    </row>
    <row r="32928" spans="1:6" x14ac:dyDescent="0.2">
      <c r="A32928" t="s">
        <v>51291</v>
      </c>
      <c r="B32928" t="s">
        <v>15326</v>
      </c>
      <c r="C32928" t="s">
        <v>462</v>
      </c>
      <c r="D32928" t="s">
        <v>225</v>
      </c>
      <c r="E32928" t="s">
        <v>144</v>
      </c>
      <c r="F32928" s="2" t="str">
        <f>HYPERLINK("http://www.otzar.org/book.asp?104131","פני יצחק")</f>
        <v>פני יצחק</v>
      </c>
    </row>
    <row r="32929" spans="1:6" x14ac:dyDescent="0.2">
      <c r="A32929" t="s">
        <v>51293</v>
      </c>
      <c r="B32929" t="s">
        <v>51294</v>
      </c>
      <c r="C32929" t="s">
        <v>1570</v>
      </c>
      <c r="D32929" t="s">
        <v>412</v>
      </c>
      <c r="E32929" t="s">
        <v>144</v>
      </c>
      <c r="F32929" s="2" t="str">
        <f>HYPERLINK("http://www.otzar.org/book.asp?84913","פני יצחק - ברכות")</f>
        <v>פני יצחק - ברכות</v>
      </c>
    </row>
    <row r="32930" spans="1:6" x14ac:dyDescent="0.2">
      <c r="A32930" t="s">
        <v>51291</v>
      </c>
      <c r="B32930" t="s">
        <v>38089</v>
      </c>
      <c r="C32930" t="s">
        <v>5903</v>
      </c>
      <c r="D32930" t="s">
        <v>379</v>
      </c>
      <c r="E32930" t="s">
        <v>144</v>
      </c>
      <c r="F32930" s="2" t="str">
        <f>HYPERLINK("http://www.otzar.org/book.asp?20526","פני יצחק")</f>
        <v>פני יצחק</v>
      </c>
    </row>
    <row r="32931" spans="1:6" x14ac:dyDescent="0.2">
      <c r="A32931" t="s">
        <v>51291</v>
      </c>
      <c r="B32931" t="s">
        <v>50545</v>
      </c>
      <c r="C32931" t="s">
        <v>12167</v>
      </c>
      <c r="D32931" t="s">
        <v>1117</v>
      </c>
      <c r="E32931" t="s">
        <v>24</v>
      </c>
      <c r="F32931" s="2" t="str">
        <f>HYPERLINK("http://www.otzar.org/book.asp?8317","פני יצחק")</f>
        <v>פני יצחק</v>
      </c>
    </row>
    <row r="32932" spans="1:6" x14ac:dyDescent="0.2">
      <c r="A32932" t="s">
        <v>51291</v>
      </c>
      <c r="B32932" t="s">
        <v>17229</v>
      </c>
      <c r="C32932" t="s">
        <v>1228</v>
      </c>
      <c r="D32932" t="s">
        <v>6551</v>
      </c>
      <c r="E32932" t="s">
        <v>508</v>
      </c>
      <c r="F32932" s="2" t="str">
        <f>HYPERLINK("http://www.otzar.org/book.asp?101658","פני יצחק")</f>
        <v>פני יצחק</v>
      </c>
    </row>
    <row r="32933" spans="1:6" x14ac:dyDescent="0.2">
      <c r="A32933" t="s">
        <v>51291</v>
      </c>
      <c r="B32933" t="s">
        <v>51295</v>
      </c>
      <c r="C32933" t="s">
        <v>3957</v>
      </c>
      <c r="D32933" t="s">
        <v>267</v>
      </c>
      <c r="E32933" t="s">
        <v>803</v>
      </c>
      <c r="F32933" s="2" t="str">
        <f>HYPERLINK("http://www.otzar.org/book.asp?101146","פני יצחק")</f>
        <v>פני יצחק</v>
      </c>
    </row>
    <row r="32934" spans="1:6" x14ac:dyDescent="0.2">
      <c r="A32934" t="s">
        <v>51291</v>
      </c>
      <c r="B32934" t="s">
        <v>51296</v>
      </c>
      <c r="C32934" t="s">
        <v>1778</v>
      </c>
      <c r="D32934" t="s">
        <v>76</v>
      </c>
      <c r="E32934" t="s">
        <v>474</v>
      </c>
      <c r="F32934" s="2" t="str">
        <f>HYPERLINK("http://www.otzar.org/book.asp?25281","פני יצחק")</f>
        <v>פני יצחק</v>
      </c>
    </row>
    <row r="32935" spans="1:6" x14ac:dyDescent="0.2">
      <c r="A32935" t="s">
        <v>51297</v>
      </c>
      <c r="B32935" t="s">
        <v>51298</v>
      </c>
      <c r="C32935" t="s">
        <v>2644</v>
      </c>
      <c r="D32935" t="s">
        <v>225</v>
      </c>
      <c r="E32935" t="s">
        <v>51299</v>
      </c>
      <c r="F32935" s="2" t="str">
        <f>HYPERLINK("http://www.otzar.org/book.asp?10922","פני לוי")</f>
        <v>פני לוי</v>
      </c>
    </row>
    <row r="32936" spans="1:6" x14ac:dyDescent="0.2">
      <c r="A32936" t="s">
        <v>51300</v>
      </c>
      <c r="B32936" t="s">
        <v>23693</v>
      </c>
      <c r="C32936" t="s">
        <v>466</v>
      </c>
      <c r="D32936" t="s">
        <v>14</v>
      </c>
      <c r="F32936" s="2" t="str">
        <f>HYPERLINK("http://www.otzar.org/book.asp?608922","פני מאיר")</f>
        <v>פני מאיר</v>
      </c>
    </row>
    <row r="32937" spans="1:6" x14ac:dyDescent="0.2">
      <c r="A32937" t="s">
        <v>51300</v>
      </c>
      <c r="B32937" t="s">
        <v>2205</v>
      </c>
      <c r="C32937" t="s">
        <v>124</v>
      </c>
      <c r="D32937" t="s">
        <v>14</v>
      </c>
      <c r="E32937" t="s">
        <v>119</v>
      </c>
      <c r="F32937" s="2" t="str">
        <f>HYPERLINK("http://www.otzar.org/book.asp?16906","פני מאיר")</f>
        <v>פני מאיר</v>
      </c>
    </row>
    <row r="32938" spans="1:6" x14ac:dyDescent="0.2">
      <c r="A32938" t="s">
        <v>51301</v>
      </c>
      <c r="B32938" t="s">
        <v>29343</v>
      </c>
      <c r="C32938" t="s">
        <v>8</v>
      </c>
      <c r="D32938" t="s">
        <v>4772</v>
      </c>
      <c r="E32938" t="s">
        <v>158</v>
      </c>
      <c r="F32938" s="2" t="str">
        <f>HYPERLINK("http://www.otzar.org/book.asp?143766","פני מבין על התורה")</f>
        <v>פני מבין על התורה</v>
      </c>
    </row>
    <row r="32939" spans="1:6" x14ac:dyDescent="0.2">
      <c r="A32939" t="s">
        <v>51302</v>
      </c>
      <c r="B32939" t="s">
        <v>32119</v>
      </c>
      <c r="C32939" t="s">
        <v>51303</v>
      </c>
      <c r="D32939" t="s">
        <v>76</v>
      </c>
      <c r="E32939" t="s">
        <v>435</v>
      </c>
      <c r="F32939" s="2" t="str">
        <f>HYPERLINK("http://www.otzar.org/book.asp?105812","פני מבין - 2 כר'")</f>
        <v>פני מבין - 2 כר'</v>
      </c>
    </row>
    <row r="32940" spans="1:6" x14ac:dyDescent="0.2">
      <c r="A32940" t="s">
        <v>51304</v>
      </c>
      <c r="B32940" t="s">
        <v>29343</v>
      </c>
      <c r="C32940" t="s">
        <v>3244</v>
      </c>
      <c r="D32940" t="s">
        <v>379</v>
      </c>
      <c r="E32940" t="s">
        <v>154</v>
      </c>
      <c r="F32940" s="2" t="str">
        <f>HYPERLINK("http://www.otzar.org/book.asp?143653","פני מבין - 3 כר'")</f>
        <v>פני מבין - 3 כר'</v>
      </c>
    </row>
    <row r="32941" spans="1:6" x14ac:dyDescent="0.2">
      <c r="A32941" t="s">
        <v>51305</v>
      </c>
      <c r="B32941" t="s">
        <v>51306</v>
      </c>
      <c r="C32941" t="s">
        <v>68</v>
      </c>
      <c r="D32941" t="s">
        <v>52</v>
      </c>
      <c r="E32941" t="s">
        <v>158</v>
      </c>
      <c r="F32941" s="2" t="str">
        <f>HYPERLINK("http://www.otzar.org/book.asp?157805","פני מלך - 5 כר'")</f>
        <v>פני מלך - 5 כר'</v>
      </c>
    </row>
    <row r="32942" spans="1:6" x14ac:dyDescent="0.2">
      <c r="A32942" t="s">
        <v>51307</v>
      </c>
      <c r="B32942" t="s">
        <v>2877</v>
      </c>
      <c r="C32942" t="s">
        <v>332</v>
      </c>
      <c r="D32942" t="s">
        <v>14</v>
      </c>
      <c r="E32942" t="s">
        <v>158</v>
      </c>
      <c r="F32942" s="2" t="str">
        <f>HYPERLINK("http://www.otzar.org/book.asp?145240","פני מנחם - 6 כר'")</f>
        <v>פני מנחם - 6 כר'</v>
      </c>
    </row>
    <row r="32943" spans="1:6" x14ac:dyDescent="0.2">
      <c r="A32943" t="s">
        <v>51308</v>
      </c>
      <c r="B32943" t="s">
        <v>51309</v>
      </c>
      <c r="C32943" t="s">
        <v>411</v>
      </c>
      <c r="D32943" t="s">
        <v>14</v>
      </c>
      <c r="E32943" t="s">
        <v>144</v>
      </c>
      <c r="F32943" s="2" t="str">
        <f>HYPERLINK("http://www.otzar.org/book.asp?602958","פני מרדכי - 2 כר'")</f>
        <v>פני מרדכי - 2 כר'</v>
      </c>
    </row>
    <row r="32944" spans="1:6" x14ac:dyDescent="0.2">
      <c r="A32944" t="s">
        <v>51310</v>
      </c>
      <c r="B32944" t="s">
        <v>51311</v>
      </c>
      <c r="D32944" t="s">
        <v>2362</v>
      </c>
      <c r="E32944" t="s">
        <v>15</v>
      </c>
      <c r="F32944" s="2" t="str">
        <f>HYPERLINK("http://www.otzar.org/book.asp?626458","פני משה")</f>
        <v>פני משה</v>
      </c>
    </row>
    <row r="32945" spans="1:6" x14ac:dyDescent="0.2">
      <c r="A32945" t="s">
        <v>51312</v>
      </c>
      <c r="B32945" t="s">
        <v>51313</v>
      </c>
      <c r="C32945" t="s">
        <v>51314</v>
      </c>
      <c r="D32945" t="s">
        <v>1490</v>
      </c>
      <c r="E32945" t="s">
        <v>154</v>
      </c>
      <c r="F32945" s="2" t="str">
        <f>HYPERLINK("http://www.otzar.org/book.asp?23841","פני משה - 3 כר'")</f>
        <v>פני משה - 3 כר'</v>
      </c>
    </row>
    <row r="32946" spans="1:6" x14ac:dyDescent="0.2">
      <c r="A32946" t="s">
        <v>51310</v>
      </c>
      <c r="B32946" t="s">
        <v>2571</v>
      </c>
      <c r="C32946" t="s">
        <v>908</v>
      </c>
      <c r="D32946" t="s">
        <v>592</v>
      </c>
      <c r="F32946" s="2" t="str">
        <f>HYPERLINK("http://www.otzar.org/book.asp?626785","פני משה")</f>
        <v>פני משה</v>
      </c>
    </row>
    <row r="32947" spans="1:6" x14ac:dyDescent="0.2">
      <c r="A32947" t="s">
        <v>51310</v>
      </c>
      <c r="B32947" t="s">
        <v>51315</v>
      </c>
      <c r="C32947" t="s">
        <v>71</v>
      </c>
      <c r="D32947" t="s">
        <v>14</v>
      </c>
      <c r="E32947" t="s">
        <v>172</v>
      </c>
      <c r="F32947" s="2" t="str">
        <f>HYPERLINK("http://www.otzar.org/book.asp?51072","פני משה")</f>
        <v>פני משה</v>
      </c>
    </row>
    <row r="32948" spans="1:6" x14ac:dyDescent="0.2">
      <c r="A32948" t="s">
        <v>51316</v>
      </c>
      <c r="B32948" t="s">
        <v>18837</v>
      </c>
      <c r="C32948" t="s">
        <v>20680</v>
      </c>
      <c r="D32948" t="s">
        <v>726</v>
      </c>
      <c r="E32948" t="s">
        <v>158</v>
      </c>
      <c r="F32948" s="2" t="str">
        <f>HYPERLINK("http://www.otzar.org/book.asp?12865","פני משה - 2 כר'")</f>
        <v>פני משה - 2 כר'</v>
      </c>
    </row>
    <row r="32949" spans="1:6" x14ac:dyDescent="0.2">
      <c r="A32949" t="s">
        <v>51310</v>
      </c>
      <c r="B32949" t="s">
        <v>2322</v>
      </c>
      <c r="C32949" t="s">
        <v>30737</v>
      </c>
      <c r="D32949" t="s">
        <v>8167</v>
      </c>
      <c r="E32949" t="s">
        <v>2533</v>
      </c>
      <c r="F32949" s="2" t="str">
        <f>HYPERLINK("http://www.otzar.org/book.asp?20528","פני משה")</f>
        <v>פני משה</v>
      </c>
    </row>
    <row r="32950" spans="1:6" x14ac:dyDescent="0.2">
      <c r="A32950" t="s">
        <v>51310</v>
      </c>
      <c r="B32950" t="s">
        <v>2325</v>
      </c>
      <c r="C32950" t="s">
        <v>553</v>
      </c>
      <c r="D32950" t="s">
        <v>14</v>
      </c>
      <c r="E32950" t="s">
        <v>148</v>
      </c>
      <c r="F32950" s="2" t="str">
        <f>HYPERLINK("http://www.otzar.org/book.asp?175990","פני משה")</f>
        <v>פני משה</v>
      </c>
    </row>
    <row r="32951" spans="1:6" x14ac:dyDescent="0.2">
      <c r="A32951" t="s">
        <v>51310</v>
      </c>
      <c r="B32951" t="s">
        <v>8588</v>
      </c>
      <c r="C32951" t="s">
        <v>20</v>
      </c>
      <c r="D32951" t="s">
        <v>721</v>
      </c>
      <c r="E32951" t="s">
        <v>1697</v>
      </c>
      <c r="F32951" s="2" t="str">
        <f>HYPERLINK("http://www.otzar.org/book.asp?174474","פני משה")</f>
        <v>פני משה</v>
      </c>
    </row>
    <row r="32952" spans="1:6" x14ac:dyDescent="0.2">
      <c r="A32952" t="s">
        <v>51310</v>
      </c>
      <c r="B32952" t="s">
        <v>51317</v>
      </c>
      <c r="C32952" t="s">
        <v>51318</v>
      </c>
      <c r="D32952" t="s">
        <v>4364</v>
      </c>
      <c r="E32952" t="s">
        <v>684</v>
      </c>
      <c r="F32952" s="2" t="str">
        <f>HYPERLINK("http://www.otzar.org/book.asp?20529","פני משה")</f>
        <v>פני משה</v>
      </c>
    </row>
    <row r="32953" spans="1:6" x14ac:dyDescent="0.2">
      <c r="A32953" t="s">
        <v>51316</v>
      </c>
      <c r="B32953" t="s">
        <v>51319</v>
      </c>
      <c r="C32953" t="s">
        <v>3106</v>
      </c>
      <c r="D32953" t="s">
        <v>27</v>
      </c>
      <c r="E32953" t="s">
        <v>202</v>
      </c>
      <c r="F32953" s="2" t="str">
        <f>HYPERLINK("http://www.otzar.org/book.asp?171042","פני משה - 2 כר'")</f>
        <v>פני משה - 2 כר'</v>
      </c>
    </row>
    <row r="32954" spans="1:6" x14ac:dyDescent="0.2">
      <c r="A32954" t="s">
        <v>51310</v>
      </c>
      <c r="B32954" t="s">
        <v>46525</v>
      </c>
      <c r="C32954" t="s">
        <v>71</v>
      </c>
      <c r="D32954" t="s">
        <v>14</v>
      </c>
      <c r="E32954" t="s">
        <v>15</v>
      </c>
      <c r="F32954" s="2" t="str">
        <f>HYPERLINK("http://www.otzar.org/book.asp?22123","פני משה")</f>
        <v>פני משה</v>
      </c>
    </row>
    <row r="32955" spans="1:6" x14ac:dyDescent="0.2">
      <c r="A32955" t="s">
        <v>51310</v>
      </c>
      <c r="B32955" t="s">
        <v>12631</v>
      </c>
      <c r="C32955" t="s">
        <v>752</v>
      </c>
      <c r="D32955" t="s">
        <v>56</v>
      </c>
      <c r="E32955" t="s">
        <v>144</v>
      </c>
      <c r="F32955" s="2" t="str">
        <f>HYPERLINK("http://www.otzar.org/book.asp?9230","פני משה")</f>
        <v>פני משה</v>
      </c>
    </row>
    <row r="32956" spans="1:6" x14ac:dyDescent="0.2">
      <c r="A32956" t="s">
        <v>51320</v>
      </c>
      <c r="B32956" t="s">
        <v>51321</v>
      </c>
      <c r="C32956" t="s">
        <v>189</v>
      </c>
      <c r="D32956" t="s">
        <v>1180</v>
      </c>
      <c r="E32956" t="s">
        <v>741</v>
      </c>
      <c r="F32956" s="2" t="str">
        <f>HYPERLINK("http://www.otzar.org/book.asp?25099","פני משנה")</f>
        <v>פני משנה</v>
      </c>
    </row>
    <row r="32957" spans="1:6" x14ac:dyDescent="0.2">
      <c r="A32957" t="s">
        <v>51322</v>
      </c>
      <c r="B32957" t="s">
        <v>4617</v>
      </c>
      <c r="C32957" t="s">
        <v>445</v>
      </c>
      <c r="D32957" t="s">
        <v>855</v>
      </c>
      <c r="E32957" t="s">
        <v>144</v>
      </c>
      <c r="F32957" s="2" t="str">
        <f>HYPERLINK("http://www.otzar.org/book.asp?142490","פני צבי - השלמת פירוש הרא""ש על נזיר")</f>
        <v>פני צבי - השלמת פירוש הרא"ש על נזיר</v>
      </c>
    </row>
    <row r="32958" spans="1:6" x14ac:dyDescent="0.2">
      <c r="A32958" t="s">
        <v>51323</v>
      </c>
      <c r="B32958" t="s">
        <v>51324</v>
      </c>
      <c r="C32958" t="s">
        <v>473</v>
      </c>
      <c r="D32958" t="s">
        <v>855</v>
      </c>
      <c r="E32958" t="s">
        <v>144</v>
      </c>
      <c r="F32958" s="2" t="str">
        <f>HYPERLINK("http://www.otzar.org/book.asp?19317","פני צבי - נדרים")</f>
        <v>פני צבי - נדרים</v>
      </c>
    </row>
    <row r="32959" spans="1:6" x14ac:dyDescent="0.2">
      <c r="A32959" t="s">
        <v>51325</v>
      </c>
      <c r="B32959" t="s">
        <v>41001</v>
      </c>
      <c r="C32959" t="s">
        <v>6607</v>
      </c>
      <c r="D32959" t="s">
        <v>1023</v>
      </c>
      <c r="E32959" t="s">
        <v>579</v>
      </c>
      <c r="F32959" s="2" t="str">
        <f>HYPERLINK("http://www.otzar.org/book.asp?103663","פני רבה")</f>
        <v>פני רבה</v>
      </c>
    </row>
    <row r="32960" spans="1:6" x14ac:dyDescent="0.2">
      <c r="A32960" t="s">
        <v>51326</v>
      </c>
      <c r="B32960" t="s">
        <v>51327</v>
      </c>
      <c r="C32960" t="s">
        <v>79</v>
      </c>
      <c r="D32960" t="s">
        <v>1889</v>
      </c>
      <c r="E32960" t="s">
        <v>234</v>
      </c>
      <c r="F32960" s="2" t="str">
        <f>HYPERLINK("http://www.otzar.org/book.asp?300522","פני שאול")</f>
        <v>פני שאול</v>
      </c>
    </row>
    <row r="32961" spans="1:6" x14ac:dyDescent="0.2">
      <c r="A32961" t="s">
        <v>51328</v>
      </c>
      <c r="B32961" t="s">
        <v>2877</v>
      </c>
      <c r="C32961" t="s">
        <v>51</v>
      </c>
      <c r="D32961" t="s">
        <v>14</v>
      </c>
      <c r="E32961" t="s">
        <v>3055</v>
      </c>
      <c r="F32961" s="2" t="str">
        <f>HYPERLINK("http://www.otzar.org/book.asp?145259","פני שבת")</f>
        <v>פני שבת</v>
      </c>
    </row>
    <row r="32962" spans="1:6" x14ac:dyDescent="0.2">
      <c r="A32962" t="s">
        <v>51329</v>
      </c>
      <c r="B32962" t="s">
        <v>51001</v>
      </c>
      <c r="C32962" t="s">
        <v>103</v>
      </c>
      <c r="D32962" t="s">
        <v>14</v>
      </c>
      <c r="E32962" t="s">
        <v>148</v>
      </c>
      <c r="F32962" s="2" t="str">
        <f>HYPERLINK("http://www.otzar.org/book.asp?53210","פני שבת - 3 כר'")</f>
        <v>פני שבת - 3 כר'</v>
      </c>
    </row>
    <row r="32963" spans="1:6" x14ac:dyDescent="0.2">
      <c r="A32963" t="s">
        <v>51328</v>
      </c>
      <c r="B32963" t="s">
        <v>13143</v>
      </c>
      <c r="C32963" t="s">
        <v>23</v>
      </c>
      <c r="D32963" t="s">
        <v>52</v>
      </c>
      <c r="E32963" t="s">
        <v>144</v>
      </c>
      <c r="F32963" s="2" t="str">
        <f>HYPERLINK("http://www.otzar.org/book.asp?193740","פני שבת")</f>
        <v>פני שבת</v>
      </c>
    </row>
    <row r="32964" spans="1:6" x14ac:dyDescent="0.2">
      <c r="A32964" t="s">
        <v>51330</v>
      </c>
      <c r="B32964" t="s">
        <v>15996</v>
      </c>
      <c r="C32964" t="s">
        <v>51331</v>
      </c>
      <c r="D32964" t="s">
        <v>51332</v>
      </c>
      <c r="F32964" s="2" t="str">
        <f>HYPERLINK("http://www.otzar.org/book.asp?619953","פני שבת - 2 כר'")</f>
        <v>פני שבת - 2 כר'</v>
      </c>
    </row>
    <row r="32965" spans="1:6" x14ac:dyDescent="0.2">
      <c r="A32965" t="s">
        <v>51333</v>
      </c>
      <c r="B32965" t="s">
        <v>31479</v>
      </c>
      <c r="C32965" t="s">
        <v>11715</v>
      </c>
      <c r="D32965" t="s">
        <v>76</v>
      </c>
      <c r="E32965" t="s">
        <v>234</v>
      </c>
      <c r="F32965" s="2" t="str">
        <f>HYPERLINK("http://www.otzar.org/book.asp?20530","פני שלמה")</f>
        <v>פני שלמה</v>
      </c>
    </row>
    <row r="32966" spans="1:6" x14ac:dyDescent="0.2">
      <c r="A32966" t="s">
        <v>51334</v>
      </c>
      <c r="B32966" t="s">
        <v>15534</v>
      </c>
      <c r="C32966" t="s">
        <v>609</v>
      </c>
      <c r="D32966" t="s">
        <v>27</v>
      </c>
      <c r="E32966" t="s">
        <v>16965</v>
      </c>
      <c r="F32966" s="2" t="str">
        <f>HYPERLINK("http://www.otzar.org/book.asp?13577","פניאל")</f>
        <v>פניאל</v>
      </c>
    </row>
    <row r="32967" spans="1:6" x14ac:dyDescent="0.2">
      <c r="A32967" t="s">
        <v>51335</v>
      </c>
      <c r="B32967" t="s">
        <v>1728</v>
      </c>
      <c r="C32967" t="s">
        <v>313</v>
      </c>
      <c r="D32967" t="s">
        <v>852</v>
      </c>
      <c r="E32967" t="s">
        <v>20641</v>
      </c>
      <c r="F32967" s="2" t="str">
        <f>HYPERLINK("http://www.otzar.org/book.asp?628569","פנים אל פנים - 2 כר'")</f>
        <v>פנים אל פנים - 2 כר'</v>
      </c>
    </row>
    <row r="32968" spans="1:6" x14ac:dyDescent="0.2">
      <c r="A32968" t="s">
        <v>51336</v>
      </c>
      <c r="B32968" t="s">
        <v>51277</v>
      </c>
      <c r="C32968" t="s">
        <v>266</v>
      </c>
      <c r="D32968" t="s">
        <v>157</v>
      </c>
      <c r="E32968" t="s">
        <v>172</v>
      </c>
      <c r="F32968" s="2" t="str">
        <f>HYPERLINK("http://www.otzar.org/book.asp?8517","פנים במשפט")</f>
        <v>פנים במשפט</v>
      </c>
    </row>
    <row r="32969" spans="1:6" x14ac:dyDescent="0.2">
      <c r="A32969" t="s">
        <v>51337</v>
      </c>
      <c r="B32969" t="s">
        <v>7859</v>
      </c>
      <c r="C32969" t="s">
        <v>624</v>
      </c>
      <c r="D32969" t="s">
        <v>52</v>
      </c>
      <c r="E32969" t="s">
        <v>213</v>
      </c>
      <c r="F32969" s="2" t="str">
        <f>HYPERLINK("http://www.otzar.org/book.asp?602864","פנים בפנים")</f>
        <v>פנים בפנים</v>
      </c>
    </row>
    <row r="32970" spans="1:6" x14ac:dyDescent="0.2">
      <c r="A32970" t="s">
        <v>51338</v>
      </c>
      <c r="B32970" t="s">
        <v>51339</v>
      </c>
      <c r="C32970" t="s">
        <v>151</v>
      </c>
      <c r="D32970" t="s">
        <v>90</v>
      </c>
      <c r="E32970" t="s">
        <v>144</v>
      </c>
      <c r="F32970" s="2" t="str">
        <f>HYPERLINK("http://www.otzar.org/book.asp?628006","פנים הבית")</f>
        <v>פנים הבית</v>
      </c>
    </row>
    <row r="32971" spans="1:6" x14ac:dyDescent="0.2">
      <c r="A32971" t="s">
        <v>51340</v>
      </c>
      <c r="B32971" t="s">
        <v>51341</v>
      </c>
      <c r="C32971" t="s">
        <v>27916</v>
      </c>
      <c r="D32971" t="s">
        <v>49</v>
      </c>
      <c r="E32971" t="s">
        <v>172</v>
      </c>
      <c r="F32971" s="2" t="str">
        <f>HYPERLINK("http://www.otzar.org/book.asp?141165","פנים חדשות")</f>
        <v>פנים חדשות</v>
      </c>
    </row>
    <row r="32972" spans="1:6" x14ac:dyDescent="0.2">
      <c r="A32972" t="s">
        <v>51342</v>
      </c>
      <c r="B32972" t="s">
        <v>13163</v>
      </c>
      <c r="C32972" t="s">
        <v>775</v>
      </c>
      <c r="D32972" t="s">
        <v>52</v>
      </c>
      <c r="E32972" t="s">
        <v>158</v>
      </c>
      <c r="F32972" s="2" t="str">
        <f>HYPERLINK("http://www.otzar.org/book.asp?60532","פנים יפות &lt;הוצאת מישור&gt; - 5 כר'")</f>
        <v>פנים יפות &lt;הוצאת מישור&gt; - 5 כר'</v>
      </c>
    </row>
    <row r="32973" spans="1:6" x14ac:dyDescent="0.2">
      <c r="A32973" t="s">
        <v>51343</v>
      </c>
      <c r="B32973" t="s">
        <v>13163</v>
      </c>
      <c r="C32973" t="s">
        <v>68</v>
      </c>
      <c r="D32973" t="s">
        <v>52</v>
      </c>
      <c r="E32973" t="s">
        <v>158</v>
      </c>
      <c r="F32973" s="2" t="str">
        <f>HYPERLINK("http://www.otzar.org/book.asp?167426","פנים יפות &lt;החדש&gt; - א (בראשית)")</f>
        <v>פנים יפות &lt;החדש&gt; - א (בראשית)</v>
      </c>
    </row>
    <row r="32974" spans="1:6" x14ac:dyDescent="0.2">
      <c r="A32974" t="s">
        <v>51344</v>
      </c>
      <c r="B32974" t="s">
        <v>51345</v>
      </c>
      <c r="C32974" t="s">
        <v>383</v>
      </c>
      <c r="D32974" t="s">
        <v>14</v>
      </c>
      <c r="E32974" t="s">
        <v>241</v>
      </c>
      <c r="F32974" s="2" t="str">
        <f>HYPERLINK("http://www.otzar.org/book.asp?84670","פנים יפות - מוסר והדרכה")</f>
        <v>פנים יפות - מוסר והדרכה</v>
      </c>
    </row>
    <row r="32975" spans="1:6" x14ac:dyDescent="0.2">
      <c r="A32975" t="s">
        <v>51346</v>
      </c>
      <c r="B32975" t="s">
        <v>13163</v>
      </c>
      <c r="C32975" t="s">
        <v>13</v>
      </c>
      <c r="D32975" t="s">
        <v>14</v>
      </c>
      <c r="E32975" t="s">
        <v>158</v>
      </c>
      <c r="F32975" s="2" t="str">
        <f>HYPERLINK("http://www.otzar.org/book.asp?198328","פנים יפות - 12 כר'")</f>
        <v>פנים יפות - 12 כר'</v>
      </c>
    </row>
    <row r="32976" spans="1:6" x14ac:dyDescent="0.2">
      <c r="A32976" t="s">
        <v>51347</v>
      </c>
      <c r="B32976" t="s">
        <v>3640</v>
      </c>
      <c r="C32976" t="s">
        <v>133</v>
      </c>
      <c r="D32976" t="s">
        <v>21</v>
      </c>
      <c r="F32976" s="2" t="str">
        <f>HYPERLINK("http://www.otzar.org/book.asp?602628","פנים מאירות &lt;מהדורה חדשה&gt; - 2 כר'")</f>
        <v>פנים מאירות &lt;מהדורה חדשה&gt; - 2 כר'</v>
      </c>
    </row>
    <row r="32977" spans="1:6" x14ac:dyDescent="0.2">
      <c r="A32977" t="s">
        <v>51347</v>
      </c>
      <c r="B32977" t="s">
        <v>51348</v>
      </c>
      <c r="C32977" t="s">
        <v>87</v>
      </c>
      <c r="D32977" t="s">
        <v>14</v>
      </c>
      <c r="E32977" t="s">
        <v>1108</v>
      </c>
      <c r="F32977" s="2" t="str">
        <f>HYPERLINK("http://www.otzar.org/book.asp?176977","פנים מאירות &lt;מהדורה חדשה&gt; - 2 כר'")</f>
        <v>פנים מאירות &lt;מהדורה חדשה&gt; - 2 כר'</v>
      </c>
    </row>
    <row r="32978" spans="1:6" x14ac:dyDescent="0.2">
      <c r="A32978" t="s">
        <v>51349</v>
      </c>
      <c r="B32978" t="s">
        <v>3640</v>
      </c>
      <c r="C32978" t="s">
        <v>2068</v>
      </c>
      <c r="D32978" t="s">
        <v>51350</v>
      </c>
      <c r="F32978" s="2" t="str">
        <f>HYPERLINK("http://www.otzar.org/book.asp?620668","פנים מאירות - 9 כר'")</f>
        <v>פנים מאירות - 9 כר'</v>
      </c>
    </row>
    <row r="32979" spans="1:6" x14ac:dyDescent="0.2">
      <c r="A32979" t="s">
        <v>51351</v>
      </c>
      <c r="B32979" t="s">
        <v>51348</v>
      </c>
      <c r="C32979" t="s">
        <v>1437</v>
      </c>
      <c r="D32979" t="s">
        <v>283</v>
      </c>
      <c r="E32979" t="s">
        <v>1097</v>
      </c>
      <c r="F32979" s="2" t="str">
        <f>HYPERLINK("http://www.otzar.org/book.asp?101666","פנים מאירות - 2 כר'")</f>
        <v>פנים מאירות - 2 כר'</v>
      </c>
    </row>
    <row r="32980" spans="1:6" x14ac:dyDescent="0.2">
      <c r="A32980" t="s">
        <v>51352</v>
      </c>
      <c r="B32980" t="s">
        <v>51353</v>
      </c>
      <c r="C32980" t="s">
        <v>13</v>
      </c>
      <c r="D32980" t="s">
        <v>52</v>
      </c>
      <c r="E32980" t="s">
        <v>202</v>
      </c>
      <c r="F32980" s="2" t="str">
        <f>HYPERLINK("http://www.otzar.org/book.asp?151199","פנים מאירות")</f>
        <v>פנים מאירות</v>
      </c>
    </row>
    <row r="32981" spans="1:6" x14ac:dyDescent="0.2">
      <c r="A32981" t="s">
        <v>51354</v>
      </c>
      <c r="B32981" t="s">
        <v>51355</v>
      </c>
      <c r="C32981" t="s">
        <v>63</v>
      </c>
      <c r="D32981" t="s">
        <v>1180</v>
      </c>
      <c r="E32981" t="s">
        <v>2336</v>
      </c>
      <c r="F32981" s="2" t="str">
        <f>HYPERLINK("http://www.otzar.org/book.asp?7479","פנים מסבירות")</f>
        <v>פנים מסבירות</v>
      </c>
    </row>
    <row r="32982" spans="1:6" x14ac:dyDescent="0.2">
      <c r="A32982" t="s">
        <v>51354</v>
      </c>
      <c r="B32982" t="s">
        <v>51356</v>
      </c>
      <c r="C32982" t="s">
        <v>2024</v>
      </c>
      <c r="D32982" t="s">
        <v>744</v>
      </c>
      <c r="E32982" t="s">
        <v>144</v>
      </c>
      <c r="F32982" s="2" t="str">
        <f>HYPERLINK("http://www.otzar.org/book.asp?104132","פנים מסבירות")</f>
        <v>פנים מסבירות</v>
      </c>
    </row>
    <row r="32983" spans="1:6" x14ac:dyDescent="0.2">
      <c r="A32983" t="s">
        <v>51354</v>
      </c>
      <c r="B32983" t="s">
        <v>51357</v>
      </c>
      <c r="C32983" t="s">
        <v>2672</v>
      </c>
      <c r="D32983" t="s">
        <v>280</v>
      </c>
      <c r="E32983" t="s">
        <v>154</v>
      </c>
      <c r="F32983" s="2" t="str">
        <f>HYPERLINK("http://www.otzar.org/book.asp?62152","פנים מסבירות")</f>
        <v>פנים מסבירות</v>
      </c>
    </row>
    <row r="32984" spans="1:6" x14ac:dyDescent="0.2">
      <c r="A32984" t="s">
        <v>51358</v>
      </c>
      <c r="B32984" t="s">
        <v>51359</v>
      </c>
      <c r="C32984" t="s">
        <v>13</v>
      </c>
      <c r="D32984" t="s">
        <v>657</v>
      </c>
      <c r="E32984" t="s">
        <v>144</v>
      </c>
      <c r="F32984" s="2" t="str">
        <f>HYPERLINK("http://www.otzar.org/book.asp?194146","פנים מסבירות - 9 כר'")</f>
        <v>פנים מסבירות - 9 כר'</v>
      </c>
    </row>
    <row r="32985" spans="1:6" x14ac:dyDescent="0.2">
      <c r="A32985" t="s">
        <v>51360</v>
      </c>
      <c r="B32985" t="s">
        <v>35227</v>
      </c>
      <c r="C32985" t="s">
        <v>146</v>
      </c>
      <c r="D32985" t="s">
        <v>14</v>
      </c>
      <c r="E32985" t="s">
        <v>104</v>
      </c>
      <c r="F32985" s="2" t="str">
        <f>HYPERLINK("http://www.otzar.org/book.asp?158656","פנים שוחקות")</f>
        <v>פנים שוחקות</v>
      </c>
    </row>
    <row r="32986" spans="1:6" x14ac:dyDescent="0.2">
      <c r="A32986" t="s">
        <v>51361</v>
      </c>
      <c r="B32986" t="s">
        <v>51362</v>
      </c>
      <c r="C32986" t="s">
        <v>20</v>
      </c>
      <c r="D32986" t="s">
        <v>90</v>
      </c>
      <c r="E32986" t="s">
        <v>172</v>
      </c>
      <c r="F32986" s="2" t="str">
        <f>HYPERLINK("http://www.otzar.org/book.asp?176250","פנימיות ההלכה")</f>
        <v>פנימיות ההלכה</v>
      </c>
    </row>
    <row r="32987" spans="1:6" x14ac:dyDescent="0.2">
      <c r="A32987" t="s">
        <v>51363</v>
      </c>
      <c r="B32987" t="s">
        <v>51364</v>
      </c>
      <c r="C32987" t="s">
        <v>244</v>
      </c>
      <c r="D32987" t="s">
        <v>1153</v>
      </c>
      <c r="E32987" t="s">
        <v>158</v>
      </c>
      <c r="F32987" s="2" t="str">
        <f>HYPERLINK("http://www.otzar.org/book.asp?198812","פנינה יקרה - 2 כר'")</f>
        <v>פנינה יקרה - 2 כר'</v>
      </c>
    </row>
    <row r="32988" spans="1:6" x14ac:dyDescent="0.2">
      <c r="A32988" t="s">
        <v>51365</v>
      </c>
      <c r="B32988" t="s">
        <v>51366</v>
      </c>
      <c r="C32988" t="s">
        <v>237</v>
      </c>
      <c r="D32988" t="s">
        <v>260</v>
      </c>
      <c r="E32988" t="s">
        <v>25257</v>
      </c>
      <c r="F32988" s="2" t="str">
        <f>HYPERLINK("http://www.otzar.org/book.asp?12394","פניני אבות לפרקי אבות")</f>
        <v>פניני אבות לפרקי אבות</v>
      </c>
    </row>
    <row r="32989" spans="1:6" x14ac:dyDescent="0.2">
      <c r="A32989" t="s">
        <v>51367</v>
      </c>
      <c r="B32989" t="s">
        <v>51368</v>
      </c>
      <c r="C32989" t="s">
        <v>767</v>
      </c>
      <c r="D32989" t="s">
        <v>90</v>
      </c>
      <c r="F32989" s="2" t="str">
        <f>HYPERLINK("http://www.otzar.org/book.asp?188199","פניני אבות")</f>
        <v>פניני אבות</v>
      </c>
    </row>
    <row r="32990" spans="1:6" x14ac:dyDescent="0.2">
      <c r="A32990" t="s">
        <v>51369</v>
      </c>
      <c r="B32990" t="s">
        <v>239</v>
      </c>
      <c r="C32990" t="s">
        <v>411</v>
      </c>
      <c r="D32990" t="s">
        <v>14</v>
      </c>
      <c r="E32990" t="s">
        <v>246</v>
      </c>
      <c r="F32990" s="2" t="str">
        <f>HYPERLINK("http://www.otzar.org/book.asp?181671","פניני אבי""ע - 2 כר'")</f>
        <v>פניני אבי"ע - 2 כר'</v>
      </c>
    </row>
    <row r="32991" spans="1:6" x14ac:dyDescent="0.2">
      <c r="A32991" t="s">
        <v>51370</v>
      </c>
      <c r="B32991" t="s">
        <v>239</v>
      </c>
      <c r="C32991" t="s">
        <v>129</v>
      </c>
      <c r="D32991" t="s">
        <v>14</v>
      </c>
      <c r="E32991" t="s">
        <v>158</v>
      </c>
      <c r="F32991" s="2" t="str">
        <f>HYPERLINK("http://www.otzar.org/book.asp?165320","פניני אביר יעקב - 4 כר'")</f>
        <v>פניני אביר יעקב - 4 כר'</v>
      </c>
    </row>
    <row r="32992" spans="1:6" x14ac:dyDescent="0.2">
      <c r="A32992" t="s">
        <v>51371</v>
      </c>
      <c r="B32992" t="s">
        <v>8297</v>
      </c>
      <c r="C32992" t="s">
        <v>37</v>
      </c>
      <c r="D32992" t="s">
        <v>21</v>
      </c>
      <c r="E32992" t="s">
        <v>467</v>
      </c>
      <c r="F32992" s="2" t="str">
        <f>HYPERLINK("http://www.otzar.org/book.asp?197710","פניני אברהם")</f>
        <v>פניני אברהם</v>
      </c>
    </row>
    <row r="32993" spans="1:6" x14ac:dyDescent="0.2">
      <c r="A32993" t="s">
        <v>51372</v>
      </c>
      <c r="B32993" t="s">
        <v>51373</v>
      </c>
      <c r="C32993" t="s">
        <v>189</v>
      </c>
      <c r="D32993" t="s">
        <v>52</v>
      </c>
      <c r="E32993" t="s">
        <v>144</v>
      </c>
      <c r="F32993" s="2" t="str">
        <f>HYPERLINK("http://www.otzar.org/book.asp?159590","פניני אגדות חז""ל - 2 כר'")</f>
        <v>פניני אגדות חז"ל - 2 כר'</v>
      </c>
    </row>
    <row r="32994" spans="1:6" x14ac:dyDescent="0.2">
      <c r="A32994" t="s">
        <v>51374</v>
      </c>
      <c r="B32994" t="s">
        <v>51375</v>
      </c>
      <c r="C32994" t="s">
        <v>366</v>
      </c>
      <c r="D32994" t="s">
        <v>21</v>
      </c>
      <c r="E32994" t="s">
        <v>158</v>
      </c>
      <c r="F32994" s="2" t="str">
        <f>HYPERLINK("http://www.otzar.org/book.asp?610346","פניני אור החיים")</f>
        <v>פניני אור החיים</v>
      </c>
    </row>
    <row r="32995" spans="1:6" x14ac:dyDescent="0.2">
      <c r="A32995" t="s">
        <v>51376</v>
      </c>
      <c r="B32995" t="s">
        <v>1340</v>
      </c>
      <c r="C32995" t="s">
        <v>313</v>
      </c>
      <c r="D32995" t="s">
        <v>14</v>
      </c>
      <c r="E32995" t="s">
        <v>158</v>
      </c>
      <c r="F32995" s="2" t="str">
        <f>HYPERLINK("http://www.otzar.org/book.asp?143674","פניני אור - 2 כר'")</f>
        <v>פניני אור - 2 כר'</v>
      </c>
    </row>
    <row r="32996" spans="1:6" x14ac:dyDescent="0.2">
      <c r="A32996" t="s">
        <v>51377</v>
      </c>
      <c r="B32996" t="s">
        <v>51378</v>
      </c>
      <c r="C32996" t="s">
        <v>356</v>
      </c>
      <c r="D32996" t="s">
        <v>216</v>
      </c>
      <c r="E32996" t="s">
        <v>158</v>
      </c>
      <c r="F32996" s="2" t="str">
        <f>HYPERLINK("http://www.otzar.org/book.asp?156775","פניני אפרים - 2 כר'")</f>
        <v>פניני אפרים - 2 כר'</v>
      </c>
    </row>
    <row r="32997" spans="1:6" x14ac:dyDescent="0.2">
      <c r="A32997" t="s">
        <v>51379</v>
      </c>
      <c r="B32997" t="s">
        <v>29529</v>
      </c>
      <c r="C32997" t="s">
        <v>114</v>
      </c>
      <c r="D32997" t="s">
        <v>14</v>
      </c>
      <c r="E32997" t="s">
        <v>158</v>
      </c>
      <c r="F32997" s="2" t="str">
        <f>HYPERLINK("http://www.otzar.org/book.asp?160053","פניני אש")</f>
        <v>פניני אש</v>
      </c>
    </row>
    <row r="32998" spans="1:6" x14ac:dyDescent="0.2">
      <c r="A32998" t="s">
        <v>51380</v>
      </c>
      <c r="B32998" t="s">
        <v>51381</v>
      </c>
      <c r="C32998" t="s">
        <v>466</v>
      </c>
      <c r="D32998" t="s">
        <v>21</v>
      </c>
      <c r="E32998" t="s">
        <v>158</v>
      </c>
      <c r="F32998" s="2" t="str">
        <f>HYPERLINK("http://www.otzar.org/book.asp?605106","פניני אשר")</f>
        <v>פניני אשר</v>
      </c>
    </row>
    <row r="32999" spans="1:6" x14ac:dyDescent="0.2">
      <c r="A32999" t="s">
        <v>51380</v>
      </c>
      <c r="B32999" t="s">
        <v>9549</v>
      </c>
      <c r="C32999" t="s">
        <v>390</v>
      </c>
      <c r="D32999" t="s">
        <v>216</v>
      </c>
      <c r="E32999" t="s">
        <v>51382</v>
      </c>
      <c r="F32999" s="2" t="str">
        <f>HYPERLINK("http://www.otzar.org/book.asp?155833","פניני אשר")</f>
        <v>פניני אשר</v>
      </c>
    </row>
    <row r="33000" spans="1:6" x14ac:dyDescent="0.2">
      <c r="A33000" t="s">
        <v>51383</v>
      </c>
      <c r="B33000" t="s">
        <v>9523</v>
      </c>
      <c r="C33000" t="s">
        <v>390</v>
      </c>
      <c r="D33000" t="s">
        <v>216</v>
      </c>
      <c r="E33000" t="s">
        <v>158</v>
      </c>
      <c r="F33000" s="2" t="str">
        <f>HYPERLINK("http://www.otzar.org/book.asp?158778","פניני בינה לעתים")</f>
        <v>פניני בינה לעתים</v>
      </c>
    </row>
    <row r="33001" spans="1:6" x14ac:dyDescent="0.2">
      <c r="A33001" t="s">
        <v>51384</v>
      </c>
      <c r="B33001" t="s">
        <v>6661</v>
      </c>
      <c r="C33001" t="s">
        <v>129</v>
      </c>
      <c r="D33001" t="s">
        <v>486</v>
      </c>
      <c r="E33001" t="s">
        <v>213</v>
      </c>
      <c r="F33001" s="2" t="str">
        <f>HYPERLINK("http://www.otzar.org/book.asp?60128","פניני דברי יאשיהו - 3 כר'")</f>
        <v>פניני דברי יאשיהו - 3 כר'</v>
      </c>
    </row>
    <row r="33002" spans="1:6" x14ac:dyDescent="0.2">
      <c r="A33002" t="s">
        <v>51385</v>
      </c>
      <c r="B33002" t="s">
        <v>51386</v>
      </c>
      <c r="C33002" t="s">
        <v>151</v>
      </c>
      <c r="D33002" t="s">
        <v>423</v>
      </c>
      <c r="E33002" t="s">
        <v>384</v>
      </c>
      <c r="F33002" s="2" t="str">
        <f>HYPERLINK("http://www.otzar.org/book.asp?613958","פניני דוד - 3 כר'")</f>
        <v>פניני דוד - 3 כר'</v>
      </c>
    </row>
    <row r="33003" spans="1:6" x14ac:dyDescent="0.2">
      <c r="A33003" t="s">
        <v>51387</v>
      </c>
      <c r="B33003" t="s">
        <v>51388</v>
      </c>
      <c r="C33003" t="s">
        <v>454</v>
      </c>
      <c r="D33003" t="s">
        <v>486</v>
      </c>
      <c r="E33003" t="s">
        <v>234</v>
      </c>
      <c r="F33003" s="2" t="str">
        <f>HYPERLINK("http://www.otzar.org/book.asp?53643","פניני דניאל")</f>
        <v>פניני דניאל</v>
      </c>
    </row>
    <row r="33004" spans="1:6" x14ac:dyDescent="0.2">
      <c r="A33004" t="s">
        <v>51387</v>
      </c>
      <c r="B33004" t="s">
        <v>6288</v>
      </c>
      <c r="C33004" t="s">
        <v>454</v>
      </c>
      <c r="D33004" t="s">
        <v>14</v>
      </c>
      <c r="E33004" t="s">
        <v>29066</v>
      </c>
      <c r="F33004" s="2" t="str">
        <f>HYPERLINK("http://www.otzar.org/book.asp?61034","פניני דניאל")</f>
        <v>פניני דניאל</v>
      </c>
    </row>
    <row r="33005" spans="1:6" x14ac:dyDescent="0.2">
      <c r="A33005" t="s">
        <v>51389</v>
      </c>
      <c r="B33005" t="s">
        <v>51390</v>
      </c>
      <c r="C33005" t="s">
        <v>366</v>
      </c>
      <c r="D33005" t="s">
        <v>52</v>
      </c>
      <c r="E33005" t="s">
        <v>144</v>
      </c>
      <c r="F33005" s="2" t="str">
        <f>HYPERLINK("http://www.otzar.org/book.asp?606208","פניני דעה")</f>
        <v>פניני דעה</v>
      </c>
    </row>
    <row r="33006" spans="1:6" x14ac:dyDescent="0.2">
      <c r="A33006" t="s">
        <v>51391</v>
      </c>
      <c r="B33006" t="s">
        <v>51392</v>
      </c>
      <c r="C33006" t="s">
        <v>87</v>
      </c>
      <c r="D33006" t="s">
        <v>16390</v>
      </c>
      <c r="E33006" t="s">
        <v>158</v>
      </c>
      <c r="F33006" s="2" t="str">
        <f>HYPERLINK("http://www.otzar.org/book.asp?85400","פניני דעת - 2 כר'")</f>
        <v>פניני דעת - 2 כר'</v>
      </c>
    </row>
    <row r="33007" spans="1:6" x14ac:dyDescent="0.2">
      <c r="A33007" t="s">
        <v>51393</v>
      </c>
      <c r="B33007" t="s">
        <v>27142</v>
      </c>
      <c r="C33007" t="s">
        <v>129</v>
      </c>
      <c r="D33007" t="s">
        <v>14</v>
      </c>
      <c r="E33007" t="s">
        <v>2071</v>
      </c>
      <c r="F33007" s="2" t="str">
        <f>HYPERLINK("http://www.otzar.org/book.asp?169047","פניני הא""ש")</f>
        <v>פניני הא"ש</v>
      </c>
    </row>
    <row r="33008" spans="1:6" x14ac:dyDescent="0.2">
      <c r="A33008" t="s">
        <v>51394</v>
      </c>
      <c r="B33008" t="s">
        <v>2986</v>
      </c>
      <c r="C33008" t="s">
        <v>129</v>
      </c>
      <c r="D33008" t="s">
        <v>486</v>
      </c>
      <c r="E33008" t="s">
        <v>357</v>
      </c>
      <c r="F33008" s="2" t="str">
        <f>HYPERLINK("http://www.otzar.org/book.asp?148507","פניני האוצר")</f>
        <v>פניני האוצר</v>
      </c>
    </row>
    <row r="33009" spans="1:6" x14ac:dyDescent="0.2">
      <c r="A33009" t="s">
        <v>51395</v>
      </c>
      <c r="B33009" t="s">
        <v>51375</v>
      </c>
      <c r="C33009" t="s">
        <v>20</v>
      </c>
      <c r="D33009" t="s">
        <v>14</v>
      </c>
      <c r="E33009" t="s">
        <v>158</v>
      </c>
      <c r="F33009" s="2" t="str">
        <f>HYPERLINK("http://www.otzar.org/book.asp?172795","פניני האור החיים - 2 כר'")</f>
        <v>פניני האור החיים - 2 כר'</v>
      </c>
    </row>
    <row r="33010" spans="1:6" x14ac:dyDescent="0.2">
      <c r="A33010" t="s">
        <v>51396</v>
      </c>
      <c r="B33010" t="s">
        <v>51397</v>
      </c>
      <c r="C33010" t="s">
        <v>812</v>
      </c>
      <c r="D33010" t="s">
        <v>51398</v>
      </c>
      <c r="E33010" t="s">
        <v>15</v>
      </c>
      <c r="F33010" s="2" t="str">
        <f>HYPERLINK("http://www.otzar.org/book.asp?602653","פניני הדת")</f>
        <v>פניני הדת</v>
      </c>
    </row>
    <row r="33011" spans="1:6" x14ac:dyDescent="0.2">
      <c r="A33011" t="s">
        <v>51399</v>
      </c>
      <c r="B33011" t="s">
        <v>15534</v>
      </c>
      <c r="C33011" t="s">
        <v>1535</v>
      </c>
      <c r="D33011" t="s">
        <v>27</v>
      </c>
      <c r="E33011" t="s">
        <v>1438</v>
      </c>
      <c r="F33011" s="2" t="str">
        <f>HYPERLINK("http://www.otzar.org/book.asp?5991","פניני הזהר")</f>
        <v>פניני הזהר</v>
      </c>
    </row>
    <row r="33012" spans="1:6" x14ac:dyDescent="0.2">
      <c r="A33012" t="s">
        <v>51400</v>
      </c>
      <c r="B33012" t="s">
        <v>42423</v>
      </c>
      <c r="C33012" t="s">
        <v>20</v>
      </c>
      <c r="D33012" t="s">
        <v>90</v>
      </c>
      <c r="E33012" t="s">
        <v>1847</v>
      </c>
      <c r="F33012" s="2" t="str">
        <f>HYPERLINK("http://www.otzar.org/book.asp?611533","פניני הזוהר הקדוש - על התורה")</f>
        <v>פניני הזוהר הקדוש - על התורה</v>
      </c>
    </row>
    <row r="33013" spans="1:6" x14ac:dyDescent="0.2">
      <c r="A33013" t="s">
        <v>51401</v>
      </c>
      <c r="B33013" t="s">
        <v>51402</v>
      </c>
      <c r="C33013" t="s">
        <v>51403</v>
      </c>
      <c r="D33013" t="s">
        <v>51404</v>
      </c>
      <c r="E33013" t="s">
        <v>104</v>
      </c>
      <c r="F33013" s="2" t="str">
        <f>HYPERLINK("http://www.otzar.org/book.asp?188426","פניני החכמה - פניני השלימות")</f>
        <v>פניני החכמה - פניני השלימות</v>
      </c>
    </row>
    <row r="33014" spans="1:6" x14ac:dyDescent="0.2">
      <c r="A33014" t="s">
        <v>51405</v>
      </c>
      <c r="B33014" t="s">
        <v>51406</v>
      </c>
      <c r="C33014" t="s">
        <v>71</v>
      </c>
      <c r="D33014" t="s">
        <v>21</v>
      </c>
      <c r="E33014" t="s">
        <v>158</v>
      </c>
      <c r="F33014" s="2" t="str">
        <f>HYPERLINK("http://www.otzar.org/book.asp?192989","פניני החסידות - 4 כר'")</f>
        <v>פניני החסידות - 4 כר'</v>
      </c>
    </row>
    <row r="33015" spans="1:6" x14ac:dyDescent="0.2">
      <c r="A33015" t="s">
        <v>51407</v>
      </c>
      <c r="B33015" t="s">
        <v>5634</v>
      </c>
      <c r="C33015" t="s">
        <v>114</v>
      </c>
      <c r="D33015" t="s">
        <v>52</v>
      </c>
      <c r="E33015" t="s">
        <v>246</v>
      </c>
      <c r="F33015" s="2" t="str">
        <f>HYPERLINK("http://www.otzar.org/book.asp?172940","פניני הימים - 4 כר'")</f>
        <v>פניני הימים - 4 כר'</v>
      </c>
    </row>
    <row r="33016" spans="1:6" x14ac:dyDescent="0.2">
      <c r="A33016" t="s">
        <v>51408</v>
      </c>
      <c r="B33016" t="s">
        <v>51409</v>
      </c>
      <c r="C33016" t="s">
        <v>133</v>
      </c>
      <c r="D33016" t="s">
        <v>14919</v>
      </c>
      <c r="E33016" t="s">
        <v>15</v>
      </c>
      <c r="F33016" s="2" t="str">
        <f>HYPERLINK("http://www.otzar.org/book.asp?601335","פניני הלכה - 11 כר'")</f>
        <v>פניני הלכה - 11 כר'</v>
      </c>
    </row>
    <row r="33017" spans="1:6" x14ac:dyDescent="0.2">
      <c r="A33017" t="s">
        <v>51410</v>
      </c>
      <c r="B33017" t="s">
        <v>3249</v>
      </c>
      <c r="C33017" t="s">
        <v>71</v>
      </c>
      <c r="D33017" t="s">
        <v>14</v>
      </c>
      <c r="E33017" t="s">
        <v>1103</v>
      </c>
      <c r="F33017" s="2" t="str">
        <f>HYPERLINK("http://www.otzar.org/book.asp?615744","פניני המדרש - 2 כר'")</f>
        <v>פניני המדרש - 2 כר'</v>
      </c>
    </row>
    <row r="33018" spans="1:6" x14ac:dyDescent="0.2">
      <c r="A33018" t="s">
        <v>51411</v>
      </c>
      <c r="B33018" t="s">
        <v>51412</v>
      </c>
      <c r="C33018" t="s">
        <v>313</v>
      </c>
      <c r="D33018" t="s">
        <v>52</v>
      </c>
      <c r="E33018" t="s">
        <v>144</v>
      </c>
      <c r="F33018" s="2" t="str">
        <f>HYPERLINK("http://www.otzar.org/book.asp?52603","פניני המסכתא - 2 כר'")</f>
        <v>פניני המסכתא - 2 כר'</v>
      </c>
    </row>
    <row r="33019" spans="1:6" x14ac:dyDescent="0.2">
      <c r="A33019" t="s">
        <v>51413</v>
      </c>
      <c r="B33019" t="s">
        <v>51414</v>
      </c>
      <c r="C33019" t="s">
        <v>114</v>
      </c>
      <c r="D33019" t="s">
        <v>52</v>
      </c>
      <c r="E33019" t="s">
        <v>8079</v>
      </c>
      <c r="F33019" s="2" t="str">
        <f>HYPERLINK("http://www.otzar.org/book.asp?161741","פניני הפסח")</f>
        <v>פניני הפסח</v>
      </c>
    </row>
    <row r="33020" spans="1:6" x14ac:dyDescent="0.2">
      <c r="A33020" t="s">
        <v>51415</v>
      </c>
      <c r="B33020" t="s">
        <v>1750</v>
      </c>
      <c r="C33020" t="s">
        <v>313</v>
      </c>
      <c r="D33020" t="s">
        <v>486</v>
      </c>
      <c r="E33020" t="s">
        <v>158</v>
      </c>
      <c r="F33020" s="2" t="str">
        <f>HYPERLINK("http://www.otzar.org/book.asp?168683","פניני הפרשה - 18 כר'")</f>
        <v>פניני הפרשה - 18 כר'</v>
      </c>
    </row>
    <row r="33021" spans="1:6" x14ac:dyDescent="0.2">
      <c r="A33021" t="s">
        <v>51416</v>
      </c>
      <c r="B33021" t="s">
        <v>51417</v>
      </c>
      <c r="C33021" t="s">
        <v>129</v>
      </c>
      <c r="D33021" t="s">
        <v>14</v>
      </c>
      <c r="E33021" t="s">
        <v>144</v>
      </c>
      <c r="F33021" s="2" t="str">
        <f>HYPERLINK("http://www.otzar.org/book.asp?145347","פניני הקצות")</f>
        <v>פניני הקצות</v>
      </c>
    </row>
    <row r="33022" spans="1:6" x14ac:dyDescent="0.2">
      <c r="A33022" t="s">
        <v>51418</v>
      </c>
      <c r="B33022" t="s">
        <v>51419</v>
      </c>
      <c r="C33022" t="s">
        <v>20</v>
      </c>
      <c r="D33022" t="s">
        <v>90</v>
      </c>
      <c r="E33022" t="s">
        <v>158</v>
      </c>
      <c r="F33022" s="2" t="str">
        <f>HYPERLINK("http://www.otzar.org/book.asp?611554","פניני הריקנאטי עה""ת")</f>
        <v>פניני הריקנאטי עה"ת</v>
      </c>
    </row>
    <row r="33023" spans="1:6" x14ac:dyDescent="0.2">
      <c r="A33023" t="s">
        <v>51420</v>
      </c>
      <c r="B33023" t="s">
        <v>6040</v>
      </c>
      <c r="C33023" t="s">
        <v>103</v>
      </c>
      <c r="D33023" t="s">
        <v>14</v>
      </c>
      <c r="E33023" t="s">
        <v>579</v>
      </c>
      <c r="F33023" s="2" t="str">
        <f>HYPERLINK("http://www.otzar.org/book.asp?64080","פניני הרמ""ע מפאנו - 2 כר'")</f>
        <v>פניני הרמ"ע מפאנו - 2 כר'</v>
      </c>
    </row>
    <row r="33024" spans="1:6" x14ac:dyDescent="0.2">
      <c r="A33024" t="s">
        <v>51421</v>
      </c>
      <c r="B33024" t="s">
        <v>3443</v>
      </c>
      <c r="C33024" t="s">
        <v>37</v>
      </c>
      <c r="D33024" t="s">
        <v>1356</v>
      </c>
      <c r="F33024" s="2" t="str">
        <f>HYPERLINK("http://www.otzar.org/book.asp?616405","פניני השל""ה - 2 כר'")</f>
        <v>פניני השל"ה - 2 כר'</v>
      </c>
    </row>
    <row r="33025" spans="1:6" x14ac:dyDescent="0.2">
      <c r="A33025" t="s">
        <v>51422</v>
      </c>
      <c r="B33025" t="s">
        <v>51402</v>
      </c>
      <c r="C33025" t="s">
        <v>51423</v>
      </c>
      <c r="D33025" t="s">
        <v>51424</v>
      </c>
      <c r="F33025" s="2" t="str">
        <f>HYPERLINK("http://www.otzar.org/book.asp?619950","פניני השלימות - ב")</f>
        <v>פניני השלימות - ב</v>
      </c>
    </row>
    <row r="33026" spans="1:6" x14ac:dyDescent="0.2">
      <c r="A33026" t="s">
        <v>51406</v>
      </c>
      <c r="B33026" t="s">
        <v>40400</v>
      </c>
      <c r="C33026" t="s">
        <v>411</v>
      </c>
      <c r="D33026" t="s">
        <v>2798</v>
      </c>
      <c r="E33026" t="s">
        <v>158</v>
      </c>
      <c r="F33026" s="2" t="str">
        <f>HYPERLINK("http://www.otzar.org/book.asp?619794","פניני התורה")</f>
        <v>פניני התורה</v>
      </c>
    </row>
    <row r="33027" spans="1:6" x14ac:dyDescent="0.2">
      <c r="A33027" t="s">
        <v>51406</v>
      </c>
      <c r="B33027" t="s">
        <v>51425</v>
      </c>
      <c r="C33027" t="s">
        <v>129</v>
      </c>
      <c r="D33027" t="s">
        <v>1974</v>
      </c>
      <c r="E33027" t="s">
        <v>463</v>
      </c>
      <c r="F33027" s="2" t="str">
        <f>HYPERLINK("http://www.otzar.org/book.asp?142618","פניני התורה")</f>
        <v>פניני התורה</v>
      </c>
    </row>
    <row r="33028" spans="1:6" x14ac:dyDescent="0.2">
      <c r="A33028" t="s">
        <v>51426</v>
      </c>
      <c r="B33028" t="s">
        <v>51406</v>
      </c>
      <c r="C33028" t="s">
        <v>71</v>
      </c>
      <c r="D33028" t="s">
        <v>21</v>
      </c>
      <c r="E33028" t="s">
        <v>158</v>
      </c>
      <c r="F33028" s="2" t="str">
        <f>HYPERLINK("http://www.otzar.org/book.asp?615367","פניני התורה - 5 כר'")</f>
        <v>פניני התורה - 5 כר'</v>
      </c>
    </row>
    <row r="33029" spans="1:6" x14ac:dyDescent="0.2">
      <c r="A33029" t="s">
        <v>51427</v>
      </c>
      <c r="B33029" t="s">
        <v>51428</v>
      </c>
      <c r="C33029" t="s">
        <v>28874</v>
      </c>
      <c r="D33029" t="s">
        <v>37775</v>
      </c>
      <c r="E33029" t="s">
        <v>1211</v>
      </c>
      <c r="F33029" s="2" t="str">
        <f>HYPERLINK("http://www.otzar.org/book.asp?196281","פניני התלמוד והמדרש")</f>
        <v>פניני התלמוד והמדרש</v>
      </c>
    </row>
    <row r="33030" spans="1:6" x14ac:dyDescent="0.2">
      <c r="A33030" t="s">
        <v>51429</v>
      </c>
      <c r="B33030" t="s">
        <v>26385</v>
      </c>
      <c r="C33030" t="s">
        <v>13</v>
      </c>
      <c r="D33030" t="s">
        <v>52</v>
      </c>
      <c r="E33030" t="s">
        <v>144</v>
      </c>
      <c r="F33030" s="2" t="str">
        <f>HYPERLINK("http://www.otzar.org/book.asp?157917","פניני התלמוד - גיטין, קדושין")</f>
        <v>פניני התלמוד - גיטין, קדושין</v>
      </c>
    </row>
    <row r="33031" spans="1:6" x14ac:dyDescent="0.2">
      <c r="A33031" t="s">
        <v>51430</v>
      </c>
      <c r="B33031" t="s">
        <v>51431</v>
      </c>
      <c r="C33031" t="s">
        <v>146</v>
      </c>
      <c r="D33031" t="s">
        <v>52</v>
      </c>
      <c r="E33031" t="s">
        <v>144</v>
      </c>
      <c r="F33031" s="2" t="str">
        <f>HYPERLINK("http://www.otzar.org/book.asp?158180","פניני התלמוד - ר""ה, מועד קטן")</f>
        <v>פניני התלמוד - ר"ה, מועד קטן</v>
      </c>
    </row>
    <row r="33032" spans="1:6" x14ac:dyDescent="0.2">
      <c r="A33032" t="s">
        <v>51432</v>
      </c>
      <c r="B33032" t="s">
        <v>656</v>
      </c>
      <c r="C33032" t="s">
        <v>114</v>
      </c>
      <c r="D33032" t="s">
        <v>14</v>
      </c>
      <c r="E33032" t="s">
        <v>399</v>
      </c>
      <c r="F33032" s="2" t="str">
        <f>HYPERLINK("http://www.otzar.org/book.asp?163140","פניני זוהר")</f>
        <v>פניני זוהר</v>
      </c>
    </row>
    <row r="33033" spans="1:6" x14ac:dyDescent="0.2">
      <c r="A33033" t="s">
        <v>51433</v>
      </c>
      <c r="B33033" t="s">
        <v>1064</v>
      </c>
      <c r="C33033" t="s">
        <v>151</v>
      </c>
      <c r="D33033" t="s">
        <v>52</v>
      </c>
      <c r="F33033" s="2" t="str">
        <f>HYPERLINK("http://www.otzar.org/book.asp?621490","פניני חוקי חיים - 2 כר'")</f>
        <v>פניני חוקי חיים - 2 כר'</v>
      </c>
    </row>
    <row r="33034" spans="1:6" x14ac:dyDescent="0.2">
      <c r="A33034" t="s">
        <v>51434</v>
      </c>
      <c r="B33034" t="s">
        <v>51435</v>
      </c>
      <c r="C33034" t="s">
        <v>151</v>
      </c>
      <c r="D33034" t="s">
        <v>14</v>
      </c>
      <c r="E33034" t="s">
        <v>172</v>
      </c>
      <c r="F33034" s="2" t="str">
        <f>HYPERLINK("http://www.otzar.org/book.asp?621665","פניני חושן")</f>
        <v>פניני חושן</v>
      </c>
    </row>
    <row r="33035" spans="1:6" x14ac:dyDescent="0.2">
      <c r="A33035" t="s">
        <v>51436</v>
      </c>
      <c r="B33035" t="s">
        <v>51437</v>
      </c>
      <c r="C33035" t="s">
        <v>23</v>
      </c>
      <c r="E33035" t="s">
        <v>158</v>
      </c>
      <c r="F33035" s="2" t="str">
        <f>HYPERLINK("http://www.otzar.org/book.asp?625210","פניני חיים")</f>
        <v>פניני חיים</v>
      </c>
    </row>
    <row r="33036" spans="1:6" x14ac:dyDescent="0.2">
      <c r="A33036" t="s">
        <v>51436</v>
      </c>
      <c r="B33036" t="s">
        <v>51438</v>
      </c>
      <c r="C33036" t="s">
        <v>624</v>
      </c>
      <c r="D33036" t="s">
        <v>646</v>
      </c>
      <c r="F33036" s="2" t="str">
        <f>HYPERLINK("http://www.otzar.org/book.asp?614974","פניני חיים")</f>
        <v>פניני חיים</v>
      </c>
    </row>
    <row r="33037" spans="1:6" x14ac:dyDescent="0.2">
      <c r="A33037" t="s">
        <v>51439</v>
      </c>
      <c r="B33037" t="s">
        <v>686</v>
      </c>
      <c r="C33037" t="s">
        <v>129</v>
      </c>
      <c r="D33037" t="s">
        <v>52</v>
      </c>
      <c r="E33037" t="s">
        <v>104</v>
      </c>
      <c r="F33037" s="2" t="str">
        <f>HYPERLINK("http://www.otzar.org/book.asp?60729","פניני חן")</f>
        <v>פניני חן</v>
      </c>
    </row>
    <row r="33038" spans="1:6" x14ac:dyDescent="0.2">
      <c r="A33038" t="s">
        <v>51439</v>
      </c>
      <c r="B33038" t="s">
        <v>51440</v>
      </c>
      <c r="C33038" t="s">
        <v>20</v>
      </c>
      <c r="D33038" t="s">
        <v>8647</v>
      </c>
      <c r="E33038" t="s">
        <v>158</v>
      </c>
      <c r="F33038" s="2" t="str">
        <f>HYPERLINK("http://www.otzar.org/book.asp?193274","פניני חן")</f>
        <v>פניני חן</v>
      </c>
    </row>
    <row r="33039" spans="1:6" x14ac:dyDescent="0.2">
      <c r="A33039" t="s">
        <v>51441</v>
      </c>
      <c r="B33039" t="s">
        <v>51442</v>
      </c>
      <c r="C33039" t="s">
        <v>114</v>
      </c>
      <c r="D33039" t="s">
        <v>21</v>
      </c>
      <c r="F33039" s="2" t="str">
        <f>HYPERLINK("http://www.otzar.org/book.asp?194826","פניני חנוכה")</f>
        <v>פניני חנוכה</v>
      </c>
    </row>
    <row r="33040" spans="1:6" x14ac:dyDescent="0.2">
      <c r="A33040" t="s">
        <v>51443</v>
      </c>
      <c r="B33040" t="s">
        <v>206</v>
      </c>
      <c r="C33040" t="s">
        <v>20</v>
      </c>
      <c r="D33040" t="s">
        <v>90</v>
      </c>
      <c r="E33040" t="s">
        <v>241</v>
      </c>
      <c r="F33040" s="2" t="str">
        <f>HYPERLINK("http://www.otzar.org/book.asp?628152","פניני טוהר")</f>
        <v>פניני טוהר</v>
      </c>
    </row>
    <row r="33041" spans="1:6" x14ac:dyDescent="0.2">
      <c r="A33041" t="s">
        <v>51444</v>
      </c>
      <c r="B33041" t="s">
        <v>51445</v>
      </c>
      <c r="C33041" t="s">
        <v>13</v>
      </c>
      <c r="D33041" t="s">
        <v>486</v>
      </c>
      <c r="E33041" t="s">
        <v>230</v>
      </c>
      <c r="F33041" s="2" t="str">
        <f>HYPERLINK("http://www.otzar.org/book.asp?159234","פניני יחזקאל")</f>
        <v>פניני יחזקאל</v>
      </c>
    </row>
    <row r="33042" spans="1:6" x14ac:dyDescent="0.2">
      <c r="A33042" t="s">
        <v>51446</v>
      </c>
      <c r="B33042" t="s">
        <v>51447</v>
      </c>
      <c r="C33042" t="s">
        <v>523</v>
      </c>
      <c r="D33042" t="s">
        <v>51448</v>
      </c>
      <c r="E33042" t="s">
        <v>154</v>
      </c>
      <c r="F33042" s="2" t="str">
        <f>HYPERLINK("http://www.otzar.org/book.asp?158360","פניני ים")</f>
        <v>פניני ים</v>
      </c>
    </row>
    <row r="33043" spans="1:6" x14ac:dyDescent="0.2">
      <c r="A33043" t="s">
        <v>51446</v>
      </c>
      <c r="B33043" t="s">
        <v>41726</v>
      </c>
      <c r="C33043" t="s">
        <v>51449</v>
      </c>
      <c r="D33043" t="s">
        <v>974</v>
      </c>
      <c r="E33043" t="s">
        <v>15</v>
      </c>
      <c r="F33043" s="2" t="str">
        <f>HYPERLINK("http://www.otzar.org/book.asp?171475","פניני ים")</f>
        <v>פניני ים</v>
      </c>
    </row>
    <row r="33044" spans="1:6" x14ac:dyDescent="0.2">
      <c r="A33044" t="s">
        <v>51450</v>
      </c>
      <c r="B33044" t="s">
        <v>51451</v>
      </c>
      <c r="C33044" t="s">
        <v>111</v>
      </c>
      <c r="D33044" t="s">
        <v>52</v>
      </c>
      <c r="E33044" t="s">
        <v>424</v>
      </c>
      <c r="F33044" s="2" t="str">
        <f>HYPERLINK("http://www.otzar.org/book.asp?629505","פניני יצחק")</f>
        <v>פניני יצחק</v>
      </c>
    </row>
    <row r="33045" spans="1:6" x14ac:dyDescent="0.2">
      <c r="A33045" t="s">
        <v>51452</v>
      </c>
      <c r="B33045" t="s">
        <v>18086</v>
      </c>
      <c r="C33045" t="s">
        <v>68</v>
      </c>
      <c r="D33045" t="s">
        <v>14</v>
      </c>
      <c r="E33045" t="s">
        <v>4455</v>
      </c>
      <c r="F33045" s="2" t="str">
        <f>HYPERLINK("http://www.otzar.org/book.asp?163554","פניני ירח האיתנים")</f>
        <v>פניני ירח האיתנים</v>
      </c>
    </row>
    <row r="33046" spans="1:6" x14ac:dyDescent="0.2">
      <c r="A33046" t="s">
        <v>51453</v>
      </c>
      <c r="B33046" t="s">
        <v>51454</v>
      </c>
      <c r="C33046" t="s">
        <v>20</v>
      </c>
      <c r="D33046" t="s">
        <v>412</v>
      </c>
      <c r="F33046" s="2" t="str">
        <f>HYPERLINK("http://www.otzar.org/book.asp?602964","פניני ישמח משה")</f>
        <v>פניני ישמח משה</v>
      </c>
    </row>
    <row r="33047" spans="1:6" x14ac:dyDescent="0.2">
      <c r="A33047" t="s">
        <v>51455</v>
      </c>
      <c r="B33047" t="s">
        <v>51456</v>
      </c>
      <c r="D33047" t="s">
        <v>21</v>
      </c>
      <c r="F33047" s="2" t="str">
        <f>HYPERLINK("http://www.otzar.org/book.asp?194615","פניני ישעיה")</f>
        <v>פניני ישעיה</v>
      </c>
    </row>
    <row r="33048" spans="1:6" x14ac:dyDescent="0.2">
      <c r="A33048" t="s">
        <v>51457</v>
      </c>
      <c r="B33048" t="s">
        <v>51458</v>
      </c>
      <c r="C33048" t="s">
        <v>1268</v>
      </c>
      <c r="D33048" t="s">
        <v>14</v>
      </c>
      <c r="E33048" t="s">
        <v>579</v>
      </c>
      <c r="F33048" s="2" t="str">
        <f>HYPERLINK("http://www.otzar.org/book.asp?84867","פניני ישראל")</f>
        <v>פניני ישראל</v>
      </c>
    </row>
    <row r="33049" spans="1:6" x14ac:dyDescent="0.2">
      <c r="A33049" t="s">
        <v>51457</v>
      </c>
      <c r="B33049" t="s">
        <v>51459</v>
      </c>
      <c r="C33049" t="s">
        <v>71</v>
      </c>
      <c r="D33049" t="s">
        <v>14</v>
      </c>
      <c r="E33049" t="s">
        <v>230</v>
      </c>
      <c r="F33049" s="2" t="str">
        <f>HYPERLINK("http://www.otzar.org/book.asp?621195","פניני ישראל")</f>
        <v>פניני ישראל</v>
      </c>
    </row>
    <row r="33050" spans="1:6" x14ac:dyDescent="0.2">
      <c r="A33050" t="s">
        <v>51460</v>
      </c>
      <c r="B33050" t="s">
        <v>51460</v>
      </c>
      <c r="C33050" t="s">
        <v>366</v>
      </c>
      <c r="D33050" t="s">
        <v>90</v>
      </c>
      <c r="E33050" t="s">
        <v>241</v>
      </c>
      <c r="F33050" s="2" t="str">
        <f>HYPERLINK("http://www.otzar.org/book.asp?628751","פניני מחשבה")</f>
        <v>פניני מחשבה</v>
      </c>
    </row>
    <row r="33051" spans="1:6" x14ac:dyDescent="0.2">
      <c r="A33051" t="s">
        <v>51461</v>
      </c>
      <c r="B33051" t="s">
        <v>51462</v>
      </c>
      <c r="C33051" t="s">
        <v>37</v>
      </c>
      <c r="D33051" t="s">
        <v>14</v>
      </c>
      <c r="F33051" s="2" t="str">
        <f>HYPERLINK("http://www.otzar.org/book.asp?180796","פניני מיכאל")</f>
        <v>פניני מיכאל</v>
      </c>
    </row>
    <row r="33052" spans="1:6" x14ac:dyDescent="0.2">
      <c r="A33052" t="s">
        <v>51463</v>
      </c>
      <c r="B33052" t="s">
        <v>51464</v>
      </c>
      <c r="C33052" t="s">
        <v>51</v>
      </c>
      <c r="D33052" t="s">
        <v>367</v>
      </c>
      <c r="E33052" t="s">
        <v>144</v>
      </c>
      <c r="F33052" s="2" t="str">
        <f>HYPERLINK("http://www.otzar.org/book.asp?108220","פניני משה - 7 כר'")</f>
        <v>פניני משה - 7 כר'</v>
      </c>
    </row>
    <row r="33053" spans="1:6" x14ac:dyDescent="0.2">
      <c r="A33053" t="s">
        <v>51465</v>
      </c>
      <c r="B33053" t="s">
        <v>5634</v>
      </c>
      <c r="C33053" t="s">
        <v>114</v>
      </c>
      <c r="D33053" t="s">
        <v>52</v>
      </c>
      <c r="E33053" t="s">
        <v>104</v>
      </c>
      <c r="F33053" s="2" t="str">
        <f>HYPERLINK("http://www.otzar.org/book.asp?165004","פניני משמר הלוי")</f>
        <v>פניני משמר הלוי</v>
      </c>
    </row>
    <row r="33054" spans="1:6" x14ac:dyDescent="0.2">
      <c r="A33054" t="s">
        <v>51466</v>
      </c>
      <c r="B33054" t="s">
        <v>36459</v>
      </c>
      <c r="C33054" t="s">
        <v>176</v>
      </c>
      <c r="D33054" t="s">
        <v>52</v>
      </c>
      <c r="E33054" t="s">
        <v>158</v>
      </c>
      <c r="F33054" s="2" t="str">
        <f>HYPERLINK("http://www.otzar.org/book.asp?144744","פניני נפש")</f>
        <v>פניני נפש</v>
      </c>
    </row>
    <row r="33055" spans="1:6" x14ac:dyDescent="0.2">
      <c r="A33055" t="s">
        <v>51467</v>
      </c>
      <c r="B33055" t="s">
        <v>8070</v>
      </c>
      <c r="C33055" t="s">
        <v>37</v>
      </c>
      <c r="D33055" t="s">
        <v>134</v>
      </c>
      <c r="F33055" s="2" t="str">
        <f>HYPERLINK("http://www.otzar.org/book.asp?193299","פניני סוגיות - 3 כר'")</f>
        <v>פניני סוגיות - 3 כר'</v>
      </c>
    </row>
    <row r="33056" spans="1:6" x14ac:dyDescent="0.2">
      <c r="A33056" t="s">
        <v>51468</v>
      </c>
      <c r="B33056" t="s">
        <v>51469</v>
      </c>
      <c r="C33056" t="s">
        <v>767</v>
      </c>
      <c r="D33056" t="s">
        <v>14</v>
      </c>
      <c r="E33056" t="s">
        <v>3915</v>
      </c>
      <c r="F33056" s="2" t="str">
        <f>HYPERLINK("http://www.otzar.org/book.asp?163080","פניני עת דודים")</f>
        <v>פניני עת דודים</v>
      </c>
    </row>
    <row r="33057" spans="1:6" x14ac:dyDescent="0.2">
      <c r="A33057" t="s">
        <v>51470</v>
      </c>
      <c r="B33057" t="s">
        <v>51471</v>
      </c>
      <c r="E33057" t="s">
        <v>158</v>
      </c>
      <c r="F33057" s="2" t="str">
        <f>HYPERLINK("http://www.otzar.org/book.asp?622547","פניני פרשת השבוע - 5 כר'")</f>
        <v>פניני פרשת השבוע - 5 כר'</v>
      </c>
    </row>
    <row r="33058" spans="1:6" x14ac:dyDescent="0.2">
      <c r="A33058" t="s">
        <v>51472</v>
      </c>
      <c r="B33058" t="s">
        <v>1091</v>
      </c>
      <c r="C33058" t="s">
        <v>176</v>
      </c>
      <c r="D33058" t="s">
        <v>14</v>
      </c>
      <c r="E33058" t="s">
        <v>158</v>
      </c>
      <c r="F33058" s="2" t="str">
        <f>HYPERLINK("http://www.otzar.org/book.asp?148925","פניני קדם - 2 כר'")</f>
        <v>פניני קדם - 2 כר'</v>
      </c>
    </row>
    <row r="33059" spans="1:6" x14ac:dyDescent="0.2">
      <c r="A33059" t="s">
        <v>51473</v>
      </c>
      <c r="B33059" t="s">
        <v>206</v>
      </c>
      <c r="C33059" t="s">
        <v>244</v>
      </c>
      <c r="D33059" t="s">
        <v>21</v>
      </c>
      <c r="E33059" t="s">
        <v>213</v>
      </c>
      <c r="F33059" s="2" t="str">
        <f>HYPERLINK("http://www.otzar.org/book.asp?605094","פניני קודש")</f>
        <v>פניני קודש</v>
      </c>
    </row>
    <row r="33060" spans="1:6" x14ac:dyDescent="0.2">
      <c r="A33060" t="s">
        <v>51474</v>
      </c>
      <c r="B33060" t="s">
        <v>51475</v>
      </c>
      <c r="C33060" t="s">
        <v>20</v>
      </c>
      <c r="D33060" t="s">
        <v>52</v>
      </c>
      <c r="E33060" t="s">
        <v>3363</v>
      </c>
      <c r="F33060" s="2" t="str">
        <f>HYPERLINK("http://www.otzar.org/book.asp?165194","פניני קול מנחם &lt;קאליב&gt; - 3 כר'")</f>
        <v>פניני קול מנחם &lt;קאליב&gt; - 3 כר'</v>
      </c>
    </row>
    <row r="33061" spans="1:6" x14ac:dyDescent="0.2">
      <c r="A33061" t="s">
        <v>51476</v>
      </c>
      <c r="B33061" t="s">
        <v>5634</v>
      </c>
      <c r="C33061" t="s">
        <v>51</v>
      </c>
      <c r="D33061" t="s">
        <v>52</v>
      </c>
      <c r="E33061" t="s">
        <v>583</v>
      </c>
      <c r="F33061" s="2" t="str">
        <f>HYPERLINK("http://www.otzar.org/book.asp?106731","פניני רבינו האבי עזרי")</f>
        <v>פניני רבינו האבי עזרי</v>
      </c>
    </row>
    <row r="33062" spans="1:6" x14ac:dyDescent="0.2">
      <c r="A33062" t="s">
        <v>51477</v>
      </c>
      <c r="B33062" t="s">
        <v>1340</v>
      </c>
      <c r="C33062" t="s">
        <v>366</v>
      </c>
      <c r="D33062" t="s">
        <v>412</v>
      </c>
      <c r="E33062" t="s">
        <v>1164</v>
      </c>
      <c r="F33062" s="2" t="str">
        <f>HYPERLINK("http://www.otzar.org/book.asp?606339","פניני רבינו האור החיים - 4 כר'")</f>
        <v>פניני רבינו האור החיים - 4 כר'</v>
      </c>
    </row>
    <row r="33063" spans="1:6" x14ac:dyDescent="0.2">
      <c r="A33063" t="s">
        <v>51478</v>
      </c>
      <c r="B33063" t="s">
        <v>5634</v>
      </c>
      <c r="C33063" t="s">
        <v>422</v>
      </c>
      <c r="D33063" t="s">
        <v>52</v>
      </c>
      <c r="E33063" t="s">
        <v>104</v>
      </c>
      <c r="F33063" s="2" t="str">
        <f>HYPERLINK("http://www.otzar.org/book.asp?83756","פניני רבינו הגרי""ז")</f>
        <v>פניני רבינו הגרי"ז</v>
      </c>
    </row>
    <row r="33064" spans="1:6" x14ac:dyDescent="0.2">
      <c r="A33064" t="s">
        <v>51479</v>
      </c>
      <c r="B33064" t="s">
        <v>5634</v>
      </c>
      <c r="C33064" t="s">
        <v>940</v>
      </c>
      <c r="D33064" t="s">
        <v>52</v>
      </c>
      <c r="E33064" t="s">
        <v>583</v>
      </c>
      <c r="F33064" s="2" t="str">
        <f>HYPERLINK("http://www.otzar.org/book.asp?141816","פניני רבינו הקהלות יעקב - 2 כר'")</f>
        <v>פניני רבינו הקהלות יעקב - 2 כר'</v>
      </c>
    </row>
    <row r="33065" spans="1:6" x14ac:dyDescent="0.2">
      <c r="A33065" t="s">
        <v>51480</v>
      </c>
      <c r="B33065" t="s">
        <v>5634</v>
      </c>
      <c r="C33065" t="s">
        <v>383</v>
      </c>
      <c r="D33065" t="s">
        <v>52</v>
      </c>
      <c r="E33065" t="s">
        <v>583</v>
      </c>
      <c r="F33065" s="2" t="str">
        <f>HYPERLINK("http://www.otzar.org/book.asp?106729","פניני רבינו יחזקאל - 2 כר'")</f>
        <v>פניני רבינו יחזקאל - 2 כר'</v>
      </c>
    </row>
    <row r="33066" spans="1:6" x14ac:dyDescent="0.2">
      <c r="A33066" t="s">
        <v>51481</v>
      </c>
      <c r="B33066" t="s">
        <v>51482</v>
      </c>
      <c r="C33066" t="s">
        <v>114</v>
      </c>
      <c r="D33066" t="s">
        <v>486</v>
      </c>
      <c r="E33066" t="s">
        <v>158</v>
      </c>
      <c r="F33066" s="2" t="str">
        <f>HYPERLINK("http://www.otzar.org/book.asp?163690","פניני שבח")</f>
        <v>פניני שבח</v>
      </c>
    </row>
    <row r="33067" spans="1:6" x14ac:dyDescent="0.2">
      <c r="A33067" t="s">
        <v>51481</v>
      </c>
      <c r="B33067" t="s">
        <v>21293</v>
      </c>
      <c r="C33067" t="s">
        <v>37</v>
      </c>
      <c r="D33067" t="s">
        <v>52</v>
      </c>
      <c r="E33067" t="s">
        <v>573</v>
      </c>
      <c r="F33067" s="2" t="str">
        <f>HYPERLINK("http://www.otzar.org/book.asp?608161","פניני שבח")</f>
        <v>פניני שבח</v>
      </c>
    </row>
    <row r="33068" spans="1:6" x14ac:dyDescent="0.2">
      <c r="A33068" t="s">
        <v>51483</v>
      </c>
      <c r="B33068" t="s">
        <v>51484</v>
      </c>
      <c r="C33068" t="s">
        <v>20</v>
      </c>
      <c r="D33068" t="s">
        <v>90</v>
      </c>
      <c r="E33068" t="s">
        <v>15</v>
      </c>
      <c r="F33068" s="2" t="str">
        <f>HYPERLINK("http://www.otzar.org/book.asp?624916","פניני שבע ברכות")</f>
        <v>פניני שבע ברכות</v>
      </c>
    </row>
    <row r="33069" spans="1:6" x14ac:dyDescent="0.2">
      <c r="A33069" t="s">
        <v>51485</v>
      </c>
      <c r="B33069" t="s">
        <v>4445</v>
      </c>
      <c r="C33069" t="s">
        <v>244</v>
      </c>
      <c r="D33069" t="s">
        <v>486</v>
      </c>
      <c r="E33069" t="s">
        <v>158</v>
      </c>
      <c r="F33069" s="2" t="str">
        <f>HYPERLINK("http://www.otzar.org/book.asp?196615","פניני שמעון - 7 כר'")</f>
        <v>פניני שמעון - 7 כר'</v>
      </c>
    </row>
    <row r="33070" spans="1:6" x14ac:dyDescent="0.2">
      <c r="A33070" t="s">
        <v>51486</v>
      </c>
      <c r="B33070" t="s">
        <v>6539</v>
      </c>
      <c r="C33070" t="s">
        <v>466</v>
      </c>
      <c r="D33070" t="s">
        <v>14</v>
      </c>
      <c r="E33070" t="s">
        <v>6078</v>
      </c>
      <c r="F33070" s="2" t="str">
        <f>HYPERLINK("http://www.otzar.org/book.asp?143183","פניני שפת אמת")</f>
        <v>פניני שפת אמת</v>
      </c>
    </row>
    <row r="33071" spans="1:6" x14ac:dyDescent="0.2">
      <c r="A33071" t="s">
        <v>51487</v>
      </c>
      <c r="B33071" t="s">
        <v>51488</v>
      </c>
      <c r="C33071" t="s">
        <v>17</v>
      </c>
      <c r="D33071" t="s">
        <v>90</v>
      </c>
      <c r="E33071" t="s">
        <v>104</v>
      </c>
      <c r="F33071" s="2" t="str">
        <f>HYPERLINK("http://www.otzar.org/book.asp?175955","פניני תודעה")</f>
        <v>פניני תודעה</v>
      </c>
    </row>
    <row r="33072" spans="1:6" x14ac:dyDescent="0.2">
      <c r="A33072" t="s">
        <v>51489</v>
      </c>
      <c r="B33072" t="s">
        <v>51366</v>
      </c>
      <c r="C33072" t="s">
        <v>843</v>
      </c>
      <c r="D33072" t="s">
        <v>260</v>
      </c>
      <c r="E33072" t="s">
        <v>158</v>
      </c>
      <c r="F33072" s="2" t="str">
        <f>HYPERLINK("http://www.otzar.org/book.asp?188492","פניני תורה")</f>
        <v>פניני תורה</v>
      </c>
    </row>
    <row r="33073" spans="1:6" x14ac:dyDescent="0.2">
      <c r="A33073" t="s">
        <v>51489</v>
      </c>
      <c r="B33073" t="s">
        <v>51490</v>
      </c>
      <c r="C33073" t="s">
        <v>843</v>
      </c>
      <c r="D33073" t="s">
        <v>216</v>
      </c>
      <c r="E33073" t="s">
        <v>158</v>
      </c>
      <c r="F33073" s="2" t="str">
        <f>HYPERLINK("http://www.otzar.org/book.asp?63805","פניני תורה")</f>
        <v>פניני תורה</v>
      </c>
    </row>
    <row r="33074" spans="1:6" x14ac:dyDescent="0.2">
      <c r="A33074" t="s">
        <v>51491</v>
      </c>
      <c r="B33074" t="s">
        <v>51492</v>
      </c>
      <c r="C33074" t="s">
        <v>151</v>
      </c>
      <c r="D33074" t="s">
        <v>21</v>
      </c>
      <c r="E33074" t="s">
        <v>213</v>
      </c>
      <c r="F33074" s="2" t="str">
        <f>HYPERLINK("http://www.otzar.org/book.asp?626265","פניני תורה - 2 כר'")</f>
        <v>פניני תורה - 2 כר'</v>
      </c>
    </row>
    <row r="33075" spans="1:6" x14ac:dyDescent="0.2">
      <c r="A33075" t="s">
        <v>51493</v>
      </c>
      <c r="B33075" t="s">
        <v>51442</v>
      </c>
      <c r="C33075" t="s">
        <v>422</v>
      </c>
      <c r="D33075" t="s">
        <v>21</v>
      </c>
      <c r="F33075" s="2" t="str">
        <f>HYPERLINK("http://www.otzar.org/book.asp?194825","פניני תפילה")</f>
        <v>פניני תפילה</v>
      </c>
    </row>
    <row r="33076" spans="1:6" x14ac:dyDescent="0.2">
      <c r="A33076" t="s">
        <v>51494</v>
      </c>
      <c r="B33076" t="s">
        <v>43971</v>
      </c>
      <c r="C33076" t="s">
        <v>244</v>
      </c>
      <c r="D33076" t="s">
        <v>52</v>
      </c>
      <c r="E33076" t="s">
        <v>158</v>
      </c>
      <c r="F33076" s="2" t="str">
        <f>HYPERLINK("http://www.otzar.org/book.asp?617641","פניני תפילה - 2 כר'")</f>
        <v>פניני תפילה - 2 כר'</v>
      </c>
    </row>
    <row r="33077" spans="1:6" x14ac:dyDescent="0.2">
      <c r="A33077" t="s">
        <v>51495</v>
      </c>
      <c r="B33077" t="s">
        <v>51496</v>
      </c>
      <c r="C33077" t="s">
        <v>20</v>
      </c>
      <c r="D33077" t="s">
        <v>14</v>
      </c>
      <c r="E33077" t="s">
        <v>130</v>
      </c>
      <c r="F33077" s="2" t="str">
        <f>HYPERLINK("http://www.otzar.org/book.asp?622145","פניני תשובות - 6 כר'")</f>
        <v>פניני תשובות - 6 כר'</v>
      </c>
    </row>
    <row r="33078" spans="1:6" x14ac:dyDescent="0.2">
      <c r="A33078" t="s">
        <v>51497</v>
      </c>
      <c r="B33078" t="s">
        <v>774</v>
      </c>
      <c r="C33078" t="s">
        <v>176</v>
      </c>
      <c r="D33078" t="s">
        <v>216</v>
      </c>
      <c r="E33078" t="s">
        <v>158</v>
      </c>
      <c r="F33078" s="2" t="str">
        <f>HYPERLINK("http://www.otzar.org/book.asp?626062","פנינים ואבני חפץ - ויקרא, במדבר, דברים")</f>
        <v>פנינים ואבני חפץ - ויקרא, במדבר, דברים</v>
      </c>
    </row>
    <row r="33079" spans="1:6" x14ac:dyDescent="0.2">
      <c r="A33079" t="s">
        <v>51498</v>
      </c>
      <c r="B33079" t="s">
        <v>20380</v>
      </c>
      <c r="C33079" t="s">
        <v>20</v>
      </c>
      <c r="D33079" t="s">
        <v>276</v>
      </c>
      <c r="E33079" t="s">
        <v>144</v>
      </c>
      <c r="F33079" s="2" t="str">
        <f>HYPERLINK("http://www.otzar.org/book.asp?623313","פנינים וציונים - 2 כר'")</f>
        <v>פנינים וציונים - 2 כר'</v>
      </c>
    </row>
    <row r="33080" spans="1:6" x14ac:dyDescent="0.2">
      <c r="A33080" t="s">
        <v>51499</v>
      </c>
      <c r="B33080" t="s">
        <v>17859</v>
      </c>
      <c r="C33080" t="s">
        <v>946</v>
      </c>
      <c r="D33080" t="s">
        <v>1117</v>
      </c>
      <c r="E33080" t="s">
        <v>158</v>
      </c>
      <c r="F33080" s="2" t="str">
        <f>HYPERLINK("http://www.otzar.org/book.asp?51775","פנינים יקרים החדש")</f>
        <v>פנינים יקרים החדש</v>
      </c>
    </row>
    <row r="33081" spans="1:6" x14ac:dyDescent="0.2">
      <c r="A33081" t="s">
        <v>51500</v>
      </c>
      <c r="B33081" t="s">
        <v>11656</v>
      </c>
      <c r="C33081" t="s">
        <v>843</v>
      </c>
      <c r="D33081" t="s">
        <v>260</v>
      </c>
      <c r="E33081" t="s">
        <v>1517</v>
      </c>
      <c r="F33081" s="2" t="str">
        <f>HYPERLINK("http://www.otzar.org/book.asp?604295","פנינים יקרים עונג שבת")</f>
        <v>פנינים יקרים עונג שבת</v>
      </c>
    </row>
    <row r="33082" spans="1:6" x14ac:dyDescent="0.2">
      <c r="A33082" t="s">
        <v>51501</v>
      </c>
      <c r="B33082" t="s">
        <v>12062</v>
      </c>
      <c r="C33082" t="s">
        <v>63</v>
      </c>
      <c r="D33082" t="s">
        <v>14</v>
      </c>
      <c r="E33082" t="s">
        <v>213</v>
      </c>
      <c r="F33082" s="2" t="str">
        <f>HYPERLINK("http://www.otzar.org/book.asp?103664","פנינים יקרים - 4 כר'")</f>
        <v>פנינים יקרים - 4 כר'</v>
      </c>
    </row>
    <row r="33083" spans="1:6" x14ac:dyDescent="0.2">
      <c r="A33083" t="s">
        <v>51502</v>
      </c>
      <c r="B33083" t="s">
        <v>51503</v>
      </c>
      <c r="C33083" t="s">
        <v>547</v>
      </c>
      <c r="D33083" t="s">
        <v>14</v>
      </c>
      <c r="E33083" t="s">
        <v>241</v>
      </c>
      <c r="F33083" s="2" t="str">
        <f>HYPERLINK("http://www.otzar.org/book.asp?103668","פנינים יקרים")</f>
        <v>פנינים יקרים</v>
      </c>
    </row>
    <row r="33084" spans="1:6" x14ac:dyDescent="0.2">
      <c r="A33084" t="s">
        <v>51502</v>
      </c>
      <c r="B33084" t="s">
        <v>1978</v>
      </c>
      <c r="C33084" t="s">
        <v>1062</v>
      </c>
      <c r="D33084" t="s">
        <v>260</v>
      </c>
      <c r="E33084" t="s">
        <v>213</v>
      </c>
      <c r="F33084" s="2" t="str">
        <f>HYPERLINK("http://www.otzar.org/book.asp?169757","פנינים יקרים")</f>
        <v>פנינים יקרים</v>
      </c>
    </row>
    <row r="33085" spans="1:6" x14ac:dyDescent="0.2">
      <c r="A33085" t="s">
        <v>51502</v>
      </c>
      <c r="B33085" t="s">
        <v>43827</v>
      </c>
      <c r="C33085" t="s">
        <v>767</v>
      </c>
      <c r="D33085" t="s">
        <v>52</v>
      </c>
      <c r="F33085" s="2" t="str">
        <f>HYPERLINK("http://www.otzar.org/book.asp?612089","פנינים יקרים")</f>
        <v>פנינים יקרים</v>
      </c>
    </row>
    <row r="33086" spans="1:6" x14ac:dyDescent="0.2">
      <c r="A33086" t="s">
        <v>51502</v>
      </c>
      <c r="B33086" t="s">
        <v>51504</v>
      </c>
      <c r="C33086" t="s">
        <v>1246</v>
      </c>
      <c r="D33086" t="s">
        <v>260</v>
      </c>
      <c r="E33086" t="s">
        <v>12174</v>
      </c>
      <c r="F33086" s="2" t="str">
        <f>HYPERLINK("http://www.otzar.org/book.asp?171833","פנינים יקרים")</f>
        <v>פנינים יקרים</v>
      </c>
    </row>
    <row r="33087" spans="1:6" x14ac:dyDescent="0.2">
      <c r="A33087" t="s">
        <v>51505</v>
      </c>
      <c r="B33087" t="s">
        <v>17859</v>
      </c>
      <c r="C33087" t="s">
        <v>581</v>
      </c>
      <c r="D33087" t="s">
        <v>283</v>
      </c>
      <c r="E33087" t="s">
        <v>158</v>
      </c>
      <c r="F33087" s="2" t="str">
        <f>HYPERLINK("http://www.otzar.org/book.asp?10178","פנינים יקרים - 2 כר'")</f>
        <v>פנינים יקרים - 2 כר'</v>
      </c>
    </row>
    <row r="33088" spans="1:6" x14ac:dyDescent="0.2">
      <c r="A33088" t="s">
        <v>51502</v>
      </c>
      <c r="B33088" t="s">
        <v>3292</v>
      </c>
      <c r="C33088" t="s">
        <v>31437</v>
      </c>
      <c r="D33088" t="s">
        <v>14202</v>
      </c>
      <c r="E33088" t="s">
        <v>234</v>
      </c>
      <c r="F33088" s="2" t="str">
        <f>HYPERLINK("http://www.otzar.org/book.asp?101886","פנינים יקרים")</f>
        <v>פנינים יקרים</v>
      </c>
    </row>
    <row r="33089" spans="1:6" x14ac:dyDescent="0.2">
      <c r="A33089" t="s">
        <v>51506</v>
      </c>
      <c r="B33089" t="s">
        <v>51507</v>
      </c>
      <c r="C33089" t="s">
        <v>422</v>
      </c>
      <c r="D33089" t="s">
        <v>14</v>
      </c>
      <c r="E33089" t="s">
        <v>158</v>
      </c>
      <c r="F33089" s="2" t="str">
        <f>HYPERLINK("http://www.otzar.org/book.asp?151153","פנינים מבי מדרשא - 6 כר'")</f>
        <v>פנינים מבי מדרשא - 6 כר'</v>
      </c>
    </row>
    <row r="33090" spans="1:6" x14ac:dyDescent="0.2">
      <c r="A33090" t="s">
        <v>51508</v>
      </c>
      <c r="B33090" t="s">
        <v>3108</v>
      </c>
      <c r="C33090" t="s">
        <v>576</v>
      </c>
      <c r="D33090" t="s">
        <v>9</v>
      </c>
      <c r="E33090" t="s">
        <v>474</v>
      </c>
      <c r="F33090" s="2" t="str">
        <f>HYPERLINK("http://www.otzar.org/book.asp?108373","פנינים מספרות הדרוש")</f>
        <v>פנינים מספרות הדרוש</v>
      </c>
    </row>
    <row r="33091" spans="1:6" x14ac:dyDescent="0.2">
      <c r="A33091" t="s">
        <v>51509</v>
      </c>
      <c r="B33091" t="s">
        <v>51510</v>
      </c>
      <c r="C33091" t="s">
        <v>90</v>
      </c>
      <c r="D33091" t="s">
        <v>14</v>
      </c>
      <c r="E33091" t="s">
        <v>104</v>
      </c>
      <c r="F33091" s="2" t="str">
        <f>HYPERLINK("http://www.otzar.org/book.asp?186753","פנינים פז")</f>
        <v>פנינים פז</v>
      </c>
    </row>
    <row r="33092" spans="1:6" x14ac:dyDescent="0.2">
      <c r="A33092" t="s">
        <v>51511</v>
      </c>
      <c r="B33092" t="s">
        <v>1990</v>
      </c>
      <c r="C33092" t="s">
        <v>114</v>
      </c>
      <c r="D33092" t="s">
        <v>8720</v>
      </c>
      <c r="E33092" t="s">
        <v>158</v>
      </c>
      <c r="F33092" s="2" t="str">
        <f>HYPERLINK("http://www.otzar.org/book.asp?193733","פנינים")</f>
        <v>פנינים</v>
      </c>
    </row>
    <row r="33093" spans="1:6" x14ac:dyDescent="0.2">
      <c r="A33093" t="s">
        <v>51512</v>
      </c>
      <c r="B33093" t="s">
        <v>51513</v>
      </c>
      <c r="C33093" t="s">
        <v>1663</v>
      </c>
      <c r="D33093" t="s">
        <v>27</v>
      </c>
      <c r="E33093" t="s">
        <v>714</v>
      </c>
      <c r="F33093" s="2" t="str">
        <f>HYPERLINK("http://www.otzar.org/book.asp?150548","פנינים - מראה כהן")</f>
        <v>פנינים - מראה כהן</v>
      </c>
    </row>
    <row r="33094" spans="1:6" x14ac:dyDescent="0.2">
      <c r="A33094" t="s">
        <v>51514</v>
      </c>
      <c r="B33094" t="s">
        <v>34191</v>
      </c>
      <c r="C33094" t="s">
        <v>366</v>
      </c>
      <c r="D33094" t="s">
        <v>1076</v>
      </c>
      <c r="F33094" s="2" t="str">
        <f>HYPERLINK("http://www.otzar.org/book.asp?613161","פנינת ההלכה")</f>
        <v>פנינת ההלכה</v>
      </c>
    </row>
    <row r="33095" spans="1:6" x14ac:dyDescent="0.2">
      <c r="A33095" t="s">
        <v>51515</v>
      </c>
      <c r="B33095" t="s">
        <v>51516</v>
      </c>
      <c r="C33095" t="s">
        <v>23</v>
      </c>
      <c r="D33095" t="s">
        <v>4549</v>
      </c>
      <c r="F33095" s="2" t="str">
        <f>HYPERLINK("http://www.otzar.org/book.asp?622298","פנינת המקדש")</f>
        <v>פנינת המקדש</v>
      </c>
    </row>
    <row r="33096" spans="1:6" x14ac:dyDescent="0.2">
      <c r="A33096" t="s">
        <v>51517</v>
      </c>
      <c r="B33096" t="s">
        <v>51516</v>
      </c>
      <c r="C33096" t="s">
        <v>151</v>
      </c>
      <c r="D33096" t="s">
        <v>4549</v>
      </c>
      <c r="F33096" s="2" t="str">
        <f>HYPERLINK("http://www.otzar.org/book.asp?622302","פנינת השבת - 5 כר'")</f>
        <v>פנינת השבת - 5 כר'</v>
      </c>
    </row>
    <row r="33097" spans="1:6" x14ac:dyDescent="0.2">
      <c r="A33097" t="s">
        <v>51518</v>
      </c>
      <c r="B33097" t="s">
        <v>51516</v>
      </c>
      <c r="C33097" t="s">
        <v>244</v>
      </c>
      <c r="D33097" t="s">
        <v>4549</v>
      </c>
      <c r="F33097" s="2" t="str">
        <f>HYPERLINK("http://www.otzar.org/book.asp?622297","פנינת התפילין")</f>
        <v>פנינת התפילין</v>
      </c>
    </row>
    <row r="33098" spans="1:6" x14ac:dyDescent="0.2">
      <c r="A33098" t="s">
        <v>51519</v>
      </c>
      <c r="B33098" t="s">
        <v>13881</v>
      </c>
      <c r="C33098" t="s">
        <v>20</v>
      </c>
      <c r="D33098" t="s">
        <v>14</v>
      </c>
      <c r="E33098" t="s">
        <v>104</v>
      </c>
      <c r="F33098" s="2" t="str">
        <f>HYPERLINK("http://www.otzar.org/book.asp?629907","פנינת יקרת - א")</f>
        <v>פנינת יקרת - א</v>
      </c>
    </row>
    <row r="33099" spans="1:6" x14ac:dyDescent="0.2">
      <c r="A33099" t="s">
        <v>51520</v>
      </c>
      <c r="B33099" t="s">
        <v>51521</v>
      </c>
      <c r="C33099" t="s">
        <v>422</v>
      </c>
      <c r="D33099" t="s">
        <v>52</v>
      </c>
      <c r="E33099" t="s">
        <v>15</v>
      </c>
      <c r="F33099" s="2" t="str">
        <f>HYPERLINK("http://www.otzar.org/book.asp?158576","פנינת ציון")</f>
        <v>פנינת ציון</v>
      </c>
    </row>
    <row r="33100" spans="1:6" x14ac:dyDescent="0.2">
      <c r="A33100" t="s">
        <v>51522</v>
      </c>
      <c r="B33100" t="s">
        <v>5129</v>
      </c>
      <c r="C33100" t="s">
        <v>624</v>
      </c>
      <c r="D33100" t="s">
        <v>14</v>
      </c>
      <c r="E33100" t="s">
        <v>933</v>
      </c>
      <c r="F33100" s="2" t="str">
        <f>HYPERLINK("http://www.otzar.org/book.asp?158139","פנס שלמה  &lt;מהדורה חדשה&gt;")</f>
        <v>פנס שלמה  &lt;מהדורה חדשה&gt;</v>
      </c>
    </row>
    <row r="33101" spans="1:6" x14ac:dyDescent="0.2">
      <c r="A33101" t="s">
        <v>51523</v>
      </c>
      <c r="B33101" t="s">
        <v>5129</v>
      </c>
      <c r="C33101" t="s">
        <v>51524</v>
      </c>
      <c r="D33101" t="s">
        <v>56</v>
      </c>
      <c r="E33101" t="s">
        <v>12849</v>
      </c>
      <c r="F33101" s="2" t="str">
        <f>HYPERLINK("http://www.otzar.org/book.asp?8954","פנס שלמה - ב, ג")</f>
        <v>פנס שלמה - ב, ג</v>
      </c>
    </row>
    <row r="33102" spans="1:6" x14ac:dyDescent="0.2">
      <c r="A33102" t="s">
        <v>51525</v>
      </c>
      <c r="B33102" t="s">
        <v>51526</v>
      </c>
      <c r="C33102" t="s">
        <v>466</v>
      </c>
      <c r="D33102" t="s">
        <v>721</v>
      </c>
      <c r="E33102" t="s">
        <v>15</v>
      </c>
      <c r="F33102" s="2" t="str">
        <f>HYPERLINK("http://www.otzar.org/book.asp?174449","פנקס בית הדין בקושטא")</f>
        <v>פנקס בית הדין בקושטא</v>
      </c>
    </row>
    <row r="33103" spans="1:6" x14ac:dyDescent="0.2">
      <c r="A33103" t="s">
        <v>51527</v>
      </c>
      <c r="B33103" t="s">
        <v>51528</v>
      </c>
      <c r="C33103" t="s">
        <v>1160</v>
      </c>
      <c r="D33103" t="s">
        <v>14</v>
      </c>
      <c r="E33103" t="s">
        <v>199</v>
      </c>
      <c r="F33103" s="2" t="str">
        <f>HYPERLINK("http://www.otzar.org/book.asp?156049","פנקס הכשרים של קהלת פוזנא")</f>
        <v>פנקס הכשרים של קהלת פוזנא</v>
      </c>
    </row>
    <row r="33104" spans="1:6" x14ac:dyDescent="0.2">
      <c r="A33104" t="s">
        <v>51529</v>
      </c>
      <c r="B33104" t="s">
        <v>51530</v>
      </c>
      <c r="C33104" t="s">
        <v>946</v>
      </c>
      <c r="D33104" t="s">
        <v>280</v>
      </c>
      <c r="E33104" t="s">
        <v>119</v>
      </c>
      <c r="F33104" s="2" t="str">
        <f>HYPERLINK("http://www.otzar.org/book.asp?20531","פנקס המדינה")</f>
        <v>פנקס המדינה</v>
      </c>
    </row>
    <row r="33105" spans="1:6" x14ac:dyDescent="0.2">
      <c r="A33105" t="s">
        <v>51531</v>
      </c>
      <c r="B33105" t="s">
        <v>51532</v>
      </c>
      <c r="C33105" t="s">
        <v>244</v>
      </c>
      <c r="D33105" t="s">
        <v>14</v>
      </c>
      <c r="E33105" t="s">
        <v>104</v>
      </c>
      <c r="F33105" s="2" t="str">
        <f>HYPERLINK("http://www.otzar.org/book.asp?197526","פנקס המילות של רבי יעקב קדוש")</f>
        <v>פנקס המילות של רבי יעקב קדוש</v>
      </c>
    </row>
    <row r="33106" spans="1:6" x14ac:dyDescent="0.2">
      <c r="A33106" t="s">
        <v>51533</v>
      </c>
      <c r="B33106" t="s">
        <v>51534</v>
      </c>
      <c r="C33106" t="s">
        <v>51535</v>
      </c>
      <c r="D33106" t="s">
        <v>592</v>
      </c>
      <c r="E33106" t="s">
        <v>733</v>
      </c>
      <c r="F33106" s="2" t="str">
        <f>HYPERLINK("http://www.otzar.org/book.asp?196352","פנקס כתבות של תושבי רחביה")</f>
        <v>פנקס כתבות של תושבי רחביה</v>
      </c>
    </row>
    <row r="33107" spans="1:6" x14ac:dyDescent="0.2">
      <c r="A33107" t="s">
        <v>51536</v>
      </c>
      <c r="B33107" t="s">
        <v>51537</v>
      </c>
      <c r="C33107" t="s">
        <v>454</v>
      </c>
      <c r="D33107" t="s">
        <v>21</v>
      </c>
      <c r="E33107" t="s">
        <v>733</v>
      </c>
      <c r="F33107" s="2" t="str">
        <f>HYPERLINK("http://www.otzar.org/book.asp?185598","פנקס מעשר כספים של מרדכי זאב עהרענפרייז")</f>
        <v>פנקס מעשר כספים של מרדכי זאב עהרענפרייז</v>
      </c>
    </row>
    <row r="33108" spans="1:6" x14ac:dyDescent="0.2">
      <c r="A33108" t="s">
        <v>51538</v>
      </c>
      <c r="B33108" t="s">
        <v>51539</v>
      </c>
      <c r="C33108" t="s">
        <v>20</v>
      </c>
      <c r="D33108" t="s">
        <v>90</v>
      </c>
      <c r="E33108" t="s">
        <v>104</v>
      </c>
      <c r="F33108" s="2" t="str">
        <f>HYPERLINK("http://www.otzar.org/book.asp?198603","פנקס נוטריקון וראשי תיבות ממוחשבים")</f>
        <v>פנקס נוטריקון וראשי תיבות ממוחשבים</v>
      </c>
    </row>
    <row r="33109" spans="1:6" x14ac:dyDescent="0.2">
      <c r="A33109" t="s">
        <v>51540</v>
      </c>
      <c r="B33109" t="s">
        <v>51541</v>
      </c>
      <c r="C33109" t="s">
        <v>1047</v>
      </c>
      <c r="D33109" t="s">
        <v>6943</v>
      </c>
      <c r="F33109" s="2" t="str">
        <f>HYPERLINK("http://www.otzar.org/book.asp?624752","פנקס פתוח")</f>
        <v>פנקס פתוח</v>
      </c>
    </row>
    <row r="33110" spans="1:6" x14ac:dyDescent="0.2">
      <c r="A33110" t="s">
        <v>51542</v>
      </c>
      <c r="B33110" t="s">
        <v>51543</v>
      </c>
      <c r="C33110" t="s">
        <v>438</v>
      </c>
      <c r="D33110" t="s">
        <v>21</v>
      </c>
      <c r="E33110" t="s">
        <v>202</v>
      </c>
      <c r="F33110" s="2" t="str">
        <f>HYPERLINK("http://www.otzar.org/book.asp?191761","פנקס קהילת ברלין")</f>
        <v>פנקס קהילת ברלין</v>
      </c>
    </row>
    <row r="33111" spans="1:6" x14ac:dyDescent="0.2">
      <c r="A33111" t="s">
        <v>51544</v>
      </c>
      <c r="B33111" t="s">
        <v>51545</v>
      </c>
      <c r="C33111" t="s">
        <v>383</v>
      </c>
      <c r="D33111" t="s">
        <v>14</v>
      </c>
      <c r="E33111" t="s">
        <v>2633</v>
      </c>
      <c r="F33111" s="2" t="str">
        <f>HYPERLINK("http://www.otzar.org/book.asp?14817","פנקס קהילת שנייטאך")</f>
        <v>פנקס קהילת שנייטאך</v>
      </c>
    </row>
    <row r="33112" spans="1:6" x14ac:dyDescent="0.2">
      <c r="A33112" t="s">
        <v>51546</v>
      </c>
      <c r="B33112" t="s">
        <v>51547</v>
      </c>
      <c r="C33112" t="s">
        <v>419</v>
      </c>
      <c r="D33112" t="s">
        <v>216</v>
      </c>
      <c r="E33112" t="s">
        <v>202</v>
      </c>
      <c r="F33112" s="2" t="str">
        <f>HYPERLINK("http://www.otzar.org/book.asp?173645","פנקס קהל וירונה - 3 כר'")</f>
        <v>פנקס קהל וירונה - 3 כר'</v>
      </c>
    </row>
    <row r="33113" spans="1:6" x14ac:dyDescent="0.2">
      <c r="A33113" t="s">
        <v>51548</v>
      </c>
      <c r="B33113" t="s">
        <v>51549</v>
      </c>
      <c r="C33113" t="s">
        <v>52</v>
      </c>
      <c r="D33113" t="s">
        <v>37</v>
      </c>
      <c r="E33113" t="s">
        <v>104</v>
      </c>
      <c r="F33113" s="2" t="str">
        <f>HYPERLINK("http://www.otzar.org/book.asp?600316","פנקסי הלב")</f>
        <v>פנקסי הלב</v>
      </c>
    </row>
    <row r="33114" spans="1:6" x14ac:dyDescent="0.2">
      <c r="A33114" t="s">
        <v>51550</v>
      </c>
      <c r="B33114" t="s">
        <v>1469</v>
      </c>
      <c r="C33114" t="s">
        <v>68</v>
      </c>
      <c r="D33114" t="s">
        <v>14</v>
      </c>
      <c r="E33114" t="s">
        <v>104</v>
      </c>
      <c r="F33114" s="2" t="str">
        <f>HYPERLINK("http://www.otzar.org/book.asp?171312","פנקסי הראי""ה - ב")</f>
        <v>פנקסי הראי"ה - ב</v>
      </c>
    </row>
    <row r="33115" spans="1:6" x14ac:dyDescent="0.2">
      <c r="A33115" t="s">
        <v>51551</v>
      </c>
      <c r="B33115" t="s">
        <v>9358</v>
      </c>
      <c r="C33115" t="s">
        <v>956</v>
      </c>
      <c r="D33115" t="s">
        <v>412</v>
      </c>
      <c r="E33115" t="s">
        <v>119</v>
      </c>
      <c r="F33115" s="2" t="str">
        <f>HYPERLINK("http://www.otzar.org/book.asp?166836","פנת יקרת - טאמאשוב לובעלסקי")</f>
        <v>פנת יקרת - טאמאשוב לובעלסקי</v>
      </c>
    </row>
    <row r="33116" spans="1:6" x14ac:dyDescent="0.2">
      <c r="A33116" t="s">
        <v>51552</v>
      </c>
      <c r="B33116" t="s">
        <v>2483</v>
      </c>
      <c r="C33116" t="s">
        <v>114</v>
      </c>
      <c r="D33116" t="s">
        <v>52</v>
      </c>
      <c r="E33116" t="s">
        <v>144</v>
      </c>
      <c r="F33116" s="2" t="str">
        <f>HYPERLINK("http://www.otzar.org/book.asp?160073","פנת יקרת - 4 כר'")</f>
        <v>פנת יקרת - 4 כר'</v>
      </c>
    </row>
    <row r="33117" spans="1:6" x14ac:dyDescent="0.2">
      <c r="A33117" t="s">
        <v>51553</v>
      </c>
      <c r="B33117" t="s">
        <v>12648</v>
      </c>
      <c r="C33117" t="s">
        <v>366</v>
      </c>
      <c r="D33117" t="s">
        <v>14</v>
      </c>
      <c r="F33117" s="2" t="str">
        <f>HYPERLINK("http://www.otzar.org/book.asp?610347","פסוק לי פסוקך - 13 כר'")</f>
        <v>פסוק לי פסוקך - 13 כר'</v>
      </c>
    </row>
    <row r="33118" spans="1:6" x14ac:dyDescent="0.2">
      <c r="A33118" t="s">
        <v>51554</v>
      </c>
      <c r="B33118" t="s">
        <v>32253</v>
      </c>
      <c r="C33118" t="s">
        <v>1470</v>
      </c>
      <c r="D33118" t="s">
        <v>7999</v>
      </c>
      <c r="E33118" t="s">
        <v>1626</v>
      </c>
      <c r="F33118" s="2" t="str">
        <f>HYPERLINK("http://www.otzar.org/book.asp?52416","פסוקי בטחון")</f>
        <v>פסוקי בטחון</v>
      </c>
    </row>
    <row r="33119" spans="1:6" x14ac:dyDescent="0.2">
      <c r="A33119" t="s">
        <v>51555</v>
      </c>
      <c r="B33119" t="s">
        <v>51556</v>
      </c>
      <c r="C33119" t="s">
        <v>422</v>
      </c>
      <c r="D33119" t="s">
        <v>14605</v>
      </c>
      <c r="F33119" s="2" t="str">
        <f>HYPERLINK("http://www.otzar.org/book.asp?601089","פסוקי מלכיות זכרונות ושופרות")</f>
        <v>פסוקי מלכיות זכרונות ושופרות</v>
      </c>
    </row>
    <row r="33120" spans="1:6" x14ac:dyDescent="0.2">
      <c r="A33120" t="s">
        <v>51557</v>
      </c>
      <c r="B33120" t="s">
        <v>1390</v>
      </c>
      <c r="C33120" t="s">
        <v>411</v>
      </c>
      <c r="D33120" t="s">
        <v>90</v>
      </c>
      <c r="F33120" s="2" t="str">
        <f>HYPERLINK("http://www.otzar.org/book.asp?620857","פסוקי קיווי [ייחוד] לרמח""ל")</f>
        <v>פסוקי קיווי [ייחוד] לרמח"ל</v>
      </c>
    </row>
    <row r="33121" spans="1:6" x14ac:dyDescent="0.2">
      <c r="A33121" t="s">
        <v>51558</v>
      </c>
      <c r="B33121" t="s">
        <v>51559</v>
      </c>
      <c r="C33121" t="s">
        <v>767</v>
      </c>
      <c r="D33121" t="s">
        <v>14</v>
      </c>
      <c r="E33121" t="s">
        <v>246</v>
      </c>
      <c r="F33121" s="2" t="str">
        <f>HYPERLINK("http://www.otzar.org/book.asp?159063","פסח במחשבת חכמי ירושלים")</f>
        <v>פסח במחשבת חכמי ירושלים</v>
      </c>
    </row>
    <row r="33122" spans="1:6" x14ac:dyDescent="0.2">
      <c r="A33122" t="s">
        <v>51560</v>
      </c>
      <c r="B33122" t="s">
        <v>7629</v>
      </c>
      <c r="C33122" t="s">
        <v>244</v>
      </c>
      <c r="D33122" t="s">
        <v>14</v>
      </c>
      <c r="F33122" s="2" t="str">
        <f>HYPERLINK("http://www.otzar.org/book.asp?616137","פסח בציון")</f>
        <v>פסח בציון</v>
      </c>
    </row>
    <row r="33123" spans="1:6" x14ac:dyDescent="0.2">
      <c r="A33123" t="s">
        <v>51561</v>
      </c>
      <c r="B33123" t="s">
        <v>257</v>
      </c>
      <c r="C33123" t="s">
        <v>143</v>
      </c>
      <c r="D33123" t="s">
        <v>486</v>
      </c>
      <c r="E33123" t="s">
        <v>130</v>
      </c>
      <c r="F33123" s="2" t="str">
        <f>HYPERLINK("http://www.otzar.org/book.asp?53636","פסח כהלכה")</f>
        <v>פסח כהלכה</v>
      </c>
    </row>
    <row r="33124" spans="1:6" x14ac:dyDescent="0.2">
      <c r="A33124" t="s">
        <v>51562</v>
      </c>
      <c r="B33124" t="s">
        <v>12426</v>
      </c>
      <c r="C33124" t="s">
        <v>143</v>
      </c>
      <c r="D33124" t="s">
        <v>52</v>
      </c>
      <c r="E33124" t="s">
        <v>130</v>
      </c>
      <c r="F33124" s="2" t="str">
        <f>HYPERLINK("http://www.otzar.org/book.asp?169131","פסח כהלכה - א")</f>
        <v>פסח כהלכה - א</v>
      </c>
    </row>
    <row r="33125" spans="1:6" x14ac:dyDescent="0.2">
      <c r="A33125" t="s">
        <v>51563</v>
      </c>
      <c r="B33125" t="s">
        <v>3141</v>
      </c>
      <c r="C33125" t="s">
        <v>1160</v>
      </c>
      <c r="D33125" t="s">
        <v>52</v>
      </c>
      <c r="E33125" t="s">
        <v>51564</v>
      </c>
      <c r="F33125" s="2" t="str">
        <f>HYPERLINK("http://www.otzar.org/book.asp?13351","פסח כהלכתו")</f>
        <v>פסח כהלכתו</v>
      </c>
    </row>
    <row r="33126" spans="1:6" x14ac:dyDescent="0.2">
      <c r="A33126" t="s">
        <v>51565</v>
      </c>
      <c r="B33126" t="s">
        <v>51566</v>
      </c>
      <c r="C33126" t="s">
        <v>151</v>
      </c>
      <c r="D33126" t="s">
        <v>14</v>
      </c>
      <c r="F33126" s="2" t="str">
        <f>HYPERLINK("http://www.otzar.org/book.asp?616898","פסח כשר ושמח - הלכה למעשה")</f>
        <v>פסח כשר ושמח - הלכה למעשה</v>
      </c>
    </row>
    <row r="33127" spans="1:6" x14ac:dyDescent="0.2">
      <c r="A33127" t="s">
        <v>51567</v>
      </c>
      <c r="B33127" t="s">
        <v>51568</v>
      </c>
      <c r="C33127" t="s">
        <v>4230</v>
      </c>
      <c r="D33127" t="s">
        <v>1667</v>
      </c>
      <c r="E33127" t="s">
        <v>104</v>
      </c>
      <c r="F33127" s="2" t="str">
        <f>HYPERLINK("http://www.otzar.org/book.asp?64047","פסח ליי")</f>
        <v>פסח ליי</v>
      </c>
    </row>
    <row r="33128" spans="1:6" x14ac:dyDescent="0.2">
      <c r="A33128" t="s">
        <v>51569</v>
      </c>
      <c r="B33128" t="s">
        <v>51570</v>
      </c>
      <c r="C33128" t="s">
        <v>20</v>
      </c>
      <c r="D33128" t="s">
        <v>412</v>
      </c>
      <c r="E33128" t="s">
        <v>246</v>
      </c>
      <c r="F33128" s="2" t="str">
        <f>HYPERLINK("http://www.otzar.org/book.asp?614893","פסח מהות החג וההכנה הנצרכת לו")</f>
        <v>פסח מהות החג וההכנה הנצרכת לו</v>
      </c>
    </row>
    <row r="33129" spans="1:6" x14ac:dyDescent="0.2">
      <c r="A33129" t="s">
        <v>51571</v>
      </c>
      <c r="B33129" t="s">
        <v>51572</v>
      </c>
      <c r="C33129" t="s">
        <v>23</v>
      </c>
      <c r="D33129" t="s">
        <v>276</v>
      </c>
      <c r="F33129" s="2" t="str">
        <f>HYPERLINK("http://www.otzar.org/book.asp?194083","פסח מעובין &lt;מהדורה חדשה&gt;")</f>
        <v>פסח מעובין &lt;מהדורה חדשה&gt;</v>
      </c>
    </row>
    <row r="33130" spans="1:6" x14ac:dyDescent="0.2">
      <c r="A33130" t="s">
        <v>51573</v>
      </c>
      <c r="B33130" t="s">
        <v>51572</v>
      </c>
      <c r="C33130" t="s">
        <v>71</v>
      </c>
      <c r="D33130" t="s">
        <v>276</v>
      </c>
      <c r="F33130" s="2" t="str">
        <f>HYPERLINK("http://www.otzar.org/book.asp?632012","פסח מעובין &lt;עם הגהות ר""י עמדין וזכר יצחק&gt;")</f>
        <v>פסח מעובין &lt;עם הגהות ר"י עמדין וזכר יצחק&gt;</v>
      </c>
    </row>
    <row r="33131" spans="1:6" x14ac:dyDescent="0.2">
      <c r="A33131" t="s">
        <v>51574</v>
      </c>
      <c r="B33131" t="s">
        <v>51572</v>
      </c>
      <c r="C33131" t="s">
        <v>11298</v>
      </c>
      <c r="D33131" t="s">
        <v>212</v>
      </c>
      <c r="E33131" t="s">
        <v>16545</v>
      </c>
      <c r="F33131" s="2" t="str">
        <f>HYPERLINK("http://www.otzar.org/book.asp?8335","פסח מעובין")</f>
        <v>פסח מעובין</v>
      </c>
    </row>
    <row r="33132" spans="1:6" x14ac:dyDescent="0.2">
      <c r="A33132" t="s">
        <v>51575</v>
      </c>
      <c r="B33132" t="s">
        <v>15729</v>
      </c>
      <c r="C33132" t="s">
        <v>176</v>
      </c>
      <c r="D33132" t="s">
        <v>14</v>
      </c>
      <c r="E33132" t="s">
        <v>246</v>
      </c>
      <c r="F33132" s="2" t="str">
        <f>HYPERLINK("http://www.otzar.org/book.asp?625544","פסח שבועות")</f>
        <v>פסח שבועות</v>
      </c>
    </row>
    <row r="33133" spans="1:6" x14ac:dyDescent="0.2">
      <c r="A33133" t="s">
        <v>51576</v>
      </c>
      <c r="B33133" t="s">
        <v>51577</v>
      </c>
      <c r="C33133" t="s">
        <v>26</v>
      </c>
      <c r="D33133" t="s">
        <v>646</v>
      </c>
      <c r="E33133" t="s">
        <v>119</v>
      </c>
      <c r="F33133" s="2" t="str">
        <f>HYPERLINK("http://www.otzar.org/book.asp?171866","פסח תש""ב בנובוסיבירסק")</f>
        <v>פסח תש"ב בנובוסיבירסק</v>
      </c>
    </row>
    <row r="33134" spans="1:6" x14ac:dyDescent="0.2">
      <c r="A33134" t="s">
        <v>51578</v>
      </c>
      <c r="B33134" t="s">
        <v>8822</v>
      </c>
      <c r="C33134" t="s">
        <v>1246</v>
      </c>
      <c r="D33134" t="s">
        <v>646</v>
      </c>
      <c r="E33134" t="s">
        <v>246</v>
      </c>
      <c r="F33134" s="2" t="str">
        <f>HYPERLINK("http://www.otzar.org/book.asp?628735","פסח, ל""ג בעומר, שבועות")</f>
        <v>פסח, ל"ג בעומר, שבועות</v>
      </c>
    </row>
    <row r="33135" spans="1:6" x14ac:dyDescent="0.2">
      <c r="A33135" t="s">
        <v>51579</v>
      </c>
      <c r="B33135" t="s">
        <v>8822</v>
      </c>
      <c r="C33135" t="s">
        <v>1954</v>
      </c>
      <c r="D33135" t="s">
        <v>646</v>
      </c>
      <c r="E33135" t="s">
        <v>246</v>
      </c>
      <c r="F33135" s="2" t="str">
        <f>HYPERLINK("http://www.otzar.org/book.asp?628734","פסח, שבועות")</f>
        <v>פסח, שבועות</v>
      </c>
    </row>
    <row r="33136" spans="1:6" x14ac:dyDescent="0.2">
      <c r="A33136" t="s">
        <v>51580</v>
      </c>
      <c r="B33136" t="s">
        <v>51581</v>
      </c>
      <c r="C33136" t="s">
        <v>2076</v>
      </c>
      <c r="D33136" t="s">
        <v>6042</v>
      </c>
      <c r="E33136" t="s">
        <v>15</v>
      </c>
      <c r="F33136" s="2" t="str">
        <f>HYPERLINK("http://www.otzar.org/book.asp?108165","פסי ביראות")</f>
        <v>פסי ביראות</v>
      </c>
    </row>
    <row r="33137" spans="1:6" x14ac:dyDescent="0.2">
      <c r="A33137" t="s">
        <v>51582</v>
      </c>
      <c r="B33137" t="s">
        <v>206</v>
      </c>
      <c r="C33137" t="s">
        <v>114</v>
      </c>
      <c r="D33137" t="s">
        <v>52</v>
      </c>
      <c r="E33137" t="s">
        <v>241</v>
      </c>
      <c r="F33137" s="2" t="str">
        <f>HYPERLINK("http://www.otzar.org/book.asp?161054","פסיכולגית העין")</f>
        <v>פסיכולגית העין</v>
      </c>
    </row>
    <row r="33138" spans="1:6" x14ac:dyDescent="0.2">
      <c r="A33138" t="s">
        <v>51583</v>
      </c>
      <c r="B33138" t="s">
        <v>107</v>
      </c>
      <c r="C33138" t="s">
        <v>940</v>
      </c>
      <c r="D33138" t="s">
        <v>14</v>
      </c>
      <c r="E33138" t="s">
        <v>241</v>
      </c>
      <c r="F33138" s="2" t="str">
        <f>HYPERLINK("http://www.otzar.org/book.asp?148241","פסיעות בשבילי החיים")</f>
        <v>פסיעות בשבילי החיים</v>
      </c>
    </row>
    <row r="33139" spans="1:6" x14ac:dyDescent="0.2">
      <c r="A33139" t="s">
        <v>51584</v>
      </c>
      <c r="B33139" t="s">
        <v>51585</v>
      </c>
      <c r="C33139" t="s">
        <v>124</v>
      </c>
      <c r="D33139" t="s">
        <v>14</v>
      </c>
      <c r="E33139" t="s">
        <v>15</v>
      </c>
      <c r="F33139" s="2" t="str">
        <f>HYPERLINK("http://www.otzar.org/book.asp?179797","פסיקת בתי הדין הרבניים והחוקים")</f>
        <v>פסיקת בתי הדין הרבניים והחוקים</v>
      </c>
    </row>
    <row r="33140" spans="1:6" x14ac:dyDescent="0.2">
      <c r="A33140" t="s">
        <v>51586</v>
      </c>
      <c r="B33140" t="s">
        <v>51587</v>
      </c>
      <c r="C33140" t="s">
        <v>1418</v>
      </c>
      <c r="D33140" t="s">
        <v>15591</v>
      </c>
      <c r="E33140" t="s">
        <v>43</v>
      </c>
      <c r="F33140" s="2" t="str">
        <f>HYPERLINK("http://www.otzar.org/book.asp?7951","פסיקתא (דרב כהנא)")</f>
        <v>פסיקתא (דרב כהנא)</v>
      </c>
    </row>
    <row r="33141" spans="1:6" x14ac:dyDescent="0.2">
      <c r="A33141" t="s">
        <v>51588</v>
      </c>
      <c r="B33141" t="s">
        <v>49498</v>
      </c>
      <c r="C33141" t="s">
        <v>244</v>
      </c>
      <c r="D33141" t="s">
        <v>152</v>
      </c>
      <c r="E33141" t="s">
        <v>43</v>
      </c>
      <c r="F33141" s="2" t="str">
        <f>HYPERLINK("http://www.otzar.org/book.asp?600744","פסיקתא דרב כהנא &lt;עם פירוש&gt;")</f>
        <v>פסיקתא דרב כהנא &lt;עם פירוש&gt;</v>
      </c>
    </row>
    <row r="33142" spans="1:6" x14ac:dyDescent="0.2">
      <c r="A33142" t="s">
        <v>51589</v>
      </c>
      <c r="B33142" t="s">
        <v>51590</v>
      </c>
      <c r="C33142" t="s">
        <v>553</v>
      </c>
      <c r="D33142" t="s">
        <v>412</v>
      </c>
      <c r="E33142" t="s">
        <v>43</v>
      </c>
      <c r="F33142" s="2" t="str">
        <f>HYPERLINK("http://www.otzar.org/book.asp?601363","פסיקתא דרב כהנא &lt;מהדורת מנדלבוים&gt; - 2 כר'")</f>
        <v>פסיקתא דרב כהנא &lt;מהדורת מנדלבוים&gt; - 2 כר'</v>
      </c>
    </row>
    <row r="33143" spans="1:6" x14ac:dyDescent="0.2">
      <c r="A33143" t="s">
        <v>51591</v>
      </c>
      <c r="B33143" t="s">
        <v>33600</v>
      </c>
      <c r="C33143" t="s">
        <v>330</v>
      </c>
      <c r="D33143" t="s">
        <v>49</v>
      </c>
      <c r="E33143" t="s">
        <v>1103</v>
      </c>
      <c r="F33143" s="2" t="str">
        <f>HYPERLINK("http://www.otzar.org/book.asp?8749","פסיקתא זוטרתא")</f>
        <v>פסיקתא זוטרתא</v>
      </c>
    </row>
    <row r="33144" spans="1:6" x14ac:dyDescent="0.2">
      <c r="A33144" t="s">
        <v>51592</v>
      </c>
      <c r="B33144" t="s">
        <v>8751</v>
      </c>
      <c r="C33144" t="s">
        <v>427</v>
      </c>
      <c r="D33144" t="s">
        <v>52</v>
      </c>
      <c r="E33144" t="s">
        <v>43</v>
      </c>
      <c r="F33144" s="2" t="str">
        <f>HYPERLINK("http://www.otzar.org/book.asp?176843","פסיקתא רבתי &lt;זרע ישי&gt;")</f>
        <v>פסיקתא רבתי &lt;זרע ישי&gt;</v>
      </c>
    </row>
    <row r="33145" spans="1:6" x14ac:dyDescent="0.2">
      <c r="A33145" t="s">
        <v>51593</v>
      </c>
      <c r="B33145" t="s">
        <v>51594</v>
      </c>
      <c r="C33145" t="s">
        <v>617</v>
      </c>
      <c r="D33145" t="s">
        <v>283</v>
      </c>
      <c r="E33145" t="s">
        <v>43</v>
      </c>
      <c r="F33145" s="2" t="str">
        <f>HYPERLINK("http://www.otzar.org/book.asp?6065","פסיקתא רבתי")</f>
        <v>פסיקתא רבתי</v>
      </c>
    </row>
    <row r="33146" spans="1:6" x14ac:dyDescent="0.2">
      <c r="A33146" t="s">
        <v>51595</v>
      </c>
      <c r="B33146" t="s">
        <v>51596</v>
      </c>
      <c r="C33146" t="s">
        <v>2302</v>
      </c>
      <c r="D33146" t="s">
        <v>23185</v>
      </c>
      <c r="E33146" t="s">
        <v>15</v>
      </c>
      <c r="F33146" s="2" t="str">
        <f>HYPERLINK("http://www.otzar.org/book.asp?151456","פסק &lt;בדין הליכה אחר הנתבע&gt;")</f>
        <v>פסק &lt;בדין הליכה אחר הנתבע&gt;</v>
      </c>
    </row>
    <row r="33147" spans="1:6" x14ac:dyDescent="0.2">
      <c r="A33147" t="s">
        <v>51597</v>
      </c>
      <c r="B33147" t="s">
        <v>51598</v>
      </c>
      <c r="C33147" t="s">
        <v>1268</v>
      </c>
      <c r="D33147" t="s">
        <v>412</v>
      </c>
      <c r="E33147" t="s">
        <v>15</v>
      </c>
      <c r="F33147" s="2" t="str">
        <f>HYPERLINK("http://www.otzar.org/book.asp?604211","פסק בית דין")</f>
        <v>פסק בית דין</v>
      </c>
    </row>
    <row r="33148" spans="1:6" x14ac:dyDescent="0.2">
      <c r="A33148" t="s">
        <v>51599</v>
      </c>
      <c r="B33148" t="s">
        <v>51600</v>
      </c>
      <c r="C33148" t="s">
        <v>523</v>
      </c>
      <c r="D33148" t="s">
        <v>14</v>
      </c>
      <c r="F33148" s="2" t="str">
        <f>HYPERLINK("http://www.otzar.org/book.asp?617850","פסק בענין הסרת רב ראשי ממשרתו - וללוי אמר")</f>
        <v>פסק בענין הסרת רב ראשי ממשרתו - וללוי אמר</v>
      </c>
    </row>
    <row r="33149" spans="1:6" x14ac:dyDescent="0.2">
      <c r="A33149" t="s">
        <v>51601</v>
      </c>
      <c r="B33149" t="s">
        <v>51602</v>
      </c>
      <c r="C33149" t="s">
        <v>1160</v>
      </c>
      <c r="D33149" t="s">
        <v>14</v>
      </c>
      <c r="E33149" t="s">
        <v>104</v>
      </c>
      <c r="F33149" s="2" t="str">
        <f>HYPERLINK("http://www.otzar.org/book.asp?152607","פסק דין של רבני ישראל בענין נתוחי מתים")</f>
        <v>פסק דין של רבני ישראל בענין נתוחי מתים</v>
      </c>
    </row>
    <row r="33150" spans="1:6" x14ac:dyDescent="0.2">
      <c r="A33150" t="s">
        <v>51603</v>
      </c>
      <c r="B33150" t="s">
        <v>5425</v>
      </c>
      <c r="C33150" t="s">
        <v>1991</v>
      </c>
      <c r="D33150" t="s">
        <v>280</v>
      </c>
      <c r="E33150" t="s">
        <v>104</v>
      </c>
      <c r="F33150" s="2" t="str">
        <f>HYPERLINK("http://www.otzar.org/book.asp?147215","פסק דין")</f>
        <v>פסק דין</v>
      </c>
    </row>
    <row r="33151" spans="1:6" x14ac:dyDescent="0.2">
      <c r="A33151" t="s">
        <v>51604</v>
      </c>
      <c r="B33151" t="s">
        <v>12830</v>
      </c>
      <c r="C33151" t="s">
        <v>8216</v>
      </c>
      <c r="D33151" t="s">
        <v>5528</v>
      </c>
      <c r="E33151" t="s">
        <v>15</v>
      </c>
      <c r="F33151" s="2" t="str">
        <f>HYPERLINK("http://www.otzar.org/book.asp?64066","פסק הגאון כמוהר""ר משה פרובינצאלו &lt;תענית בכורים&gt;")</f>
        <v>פסק הגאון כמוהר"ר משה פרובינצאלו &lt;תענית בכורים&gt;</v>
      </c>
    </row>
    <row r="33152" spans="1:6" x14ac:dyDescent="0.2">
      <c r="A33152" t="s">
        <v>51605</v>
      </c>
      <c r="B33152" t="s">
        <v>51606</v>
      </c>
      <c r="C33152" t="s">
        <v>748</v>
      </c>
      <c r="D33152" t="s">
        <v>47405</v>
      </c>
      <c r="E33152" t="s">
        <v>674</v>
      </c>
      <c r="F33152" s="2" t="str">
        <f>HYPERLINK("http://www.otzar.org/book.asp?188726","פסק החרם")</f>
        <v>פסק החרם</v>
      </c>
    </row>
    <row r="33153" spans="1:6" x14ac:dyDescent="0.2">
      <c r="A33153" t="s">
        <v>51607</v>
      </c>
      <c r="B33153" t="s">
        <v>51608</v>
      </c>
      <c r="C33153" t="s">
        <v>39156</v>
      </c>
      <c r="D33153" t="s">
        <v>49</v>
      </c>
      <c r="E33153" t="s">
        <v>154</v>
      </c>
      <c r="F33153" s="2" t="str">
        <f>HYPERLINK("http://www.otzar.org/book.asp?62151","פסק כמוהר""ר יעקב חזק")</f>
        <v>פסק כמוהר"ר יעקב חזק</v>
      </c>
    </row>
    <row r="33154" spans="1:6" x14ac:dyDescent="0.2">
      <c r="A33154" t="s">
        <v>51609</v>
      </c>
      <c r="B33154" t="s">
        <v>51610</v>
      </c>
      <c r="C33154" t="s">
        <v>51611</v>
      </c>
      <c r="D33154" t="s">
        <v>49</v>
      </c>
      <c r="E33154" t="s">
        <v>15</v>
      </c>
      <c r="F33154" s="2" t="str">
        <f>HYPERLINK("http://www.otzar.org/book.asp?84636","פסק נעשה מאת שלשה מגאוני ויניצאה &lt;נגד כהן שנשא גרושה&gt;")</f>
        <v>פסק נעשה מאת שלשה מגאוני ויניצאה &lt;נגד כהן שנשא גרושה&gt;</v>
      </c>
    </row>
    <row r="33155" spans="1:6" x14ac:dyDescent="0.2">
      <c r="A33155" t="s">
        <v>51612</v>
      </c>
      <c r="B33155" t="s">
        <v>51613</v>
      </c>
      <c r="C33155" t="s">
        <v>51614</v>
      </c>
      <c r="D33155" t="s">
        <v>28920</v>
      </c>
      <c r="F33155" s="2" t="str">
        <f>HYPERLINK("http://www.otzar.org/book.asp?614585","פסק פסקו שלשת האלופים")</f>
        <v>פסק פסקו שלשת האלופים</v>
      </c>
    </row>
    <row r="33156" spans="1:6" x14ac:dyDescent="0.2">
      <c r="A33156" t="s">
        <v>51615</v>
      </c>
      <c r="B33156" t="s">
        <v>51616</v>
      </c>
      <c r="C33156" t="s">
        <v>20</v>
      </c>
      <c r="D33156" t="s">
        <v>90</v>
      </c>
      <c r="E33156" t="s">
        <v>104</v>
      </c>
      <c r="F33156" s="2" t="str">
        <f>HYPERLINK("http://www.otzar.org/book.asp?147231","פסק")</f>
        <v>פסק</v>
      </c>
    </row>
    <row r="33157" spans="1:6" x14ac:dyDescent="0.2">
      <c r="A33157" t="s">
        <v>51617</v>
      </c>
      <c r="B33157" t="s">
        <v>5622</v>
      </c>
      <c r="C33157" t="s">
        <v>10605</v>
      </c>
      <c r="D33157" t="s">
        <v>100</v>
      </c>
      <c r="E33157" t="s">
        <v>51618</v>
      </c>
      <c r="F33157" s="2" t="str">
        <f>HYPERLINK("http://www.otzar.org/book.asp?860","פסקי אליהו - 4 כר'")</f>
        <v>פסקי אליהו - 4 כר'</v>
      </c>
    </row>
    <row r="33158" spans="1:6" x14ac:dyDescent="0.2">
      <c r="A33158" t="s">
        <v>51619</v>
      </c>
      <c r="B33158" t="s">
        <v>14129</v>
      </c>
      <c r="C33158" t="s">
        <v>176</v>
      </c>
      <c r="D33158" t="s">
        <v>216</v>
      </c>
      <c r="E33158" t="s">
        <v>439</v>
      </c>
      <c r="F33158" s="2" t="str">
        <f>HYPERLINK("http://www.otzar.org/book.asp?143056","פסקי דבר יהושע")</f>
        <v>פסקי דבר יהושע</v>
      </c>
    </row>
    <row r="33159" spans="1:6" x14ac:dyDescent="0.2">
      <c r="A33159" t="s">
        <v>51620</v>
      </c>
      <c r="B33159" t="s">
        <v>51621</v>
      </c>
      <c r="C33159" t="s">
        <v>523</v>
      </c>
      <c r="D33159" t="s">
        <v>14</v>
      </c>
      <c r="E33159" t="s">
        <v>15</v>
      </c>
      <c r="F33159" s="2" t="str">
        <f>HYPERLINK("http://www.otzar.org/book.asp?50463","פסקי דין &lt;מבית דין ירושלים&gt; - 14 כר'")</f>
        <v>פסקי דין &lt;מבית דין ירושלים&gt; - 14 כר'</v>
      </c>
    </row>
    <row r="33160" spans="1:6" x14ac:dyDescent="0.2">
      <c r="A33160" t="s">
        <v>51622</v>
      </c>
      <c r="B33160" t="s">
        <v>51621</v>
      </c>
      <c r="C33160" t="s">
        <v>482</v>
      </c>
      <c r="D33160" t="s">
        <v>14</v>
      </c>
      <c r="E33160" t="s">
        <v>15</v>
      </c>
      <c r="F33160" s="2" t="str">
        <f>HYPERLINK("http://www.otzar.org/book.asp?179666","פסקי דין של בתי הדין הרבניים בישראל - 23 כר'")</f>
        <v>פסקי דין של בתי הדין הרבניים בישראל - 23 כר'</v>
      </c>
    </row>
    <row r="33161" spans="1:6" x14ac:dyDescent="0.2">
      <c r="A33161" t="s">
        <v>51621</v>
      </c>
      <c r="B33161" t="s">
        <v>51623</v>
      </c>
      <c r="C33161" t="s">
        <v>244</v>
      </c>
      <c r="D33161" t="s">
        <v>21</v>
      </c>
      <c r="F33161" s="2" t="str">
        <f>HYPERLINK("http://www.otzar.org/book.asp?194759","פסקי דין")</f>
        <v>פסקי דין</v>
      </c>
    </row>
    <row r="33162" spans="1:6" x14ac:dyDescent="0.2">
      <c r="A33162" t="s">
        <v>51624</v>
      </c>
      <c r="B33162" t="s">
        <v>51625</v>
      </c>
      <c r="C33162" t="s">
        <v>9310</v>
      </c>
      <c r="D33162" t="s">
        <v>49</v>
      </c>
      <c r="E33162" t="s">
        <v>15</v>
      </c>
      <c r="F33162" s="2" t="str">
        <f>HYPERLINK("http://www.otzar.org/book.asp?149996","פסקי הגאון מהר""ר ליווא סג""ל")</f>
        <v>פסקי הגאון מהר"ר ליווא סג"ל</v>
      </c>
    </row>
    <row r="33163" spans="1:6" x14ac:dyDescent="0.2">
      <c r="A33163" t="s">
        <v>51626</v>
      </c>
      <c r="B33163" t="s">
        <v>32689</v>
      </c>
      <c r="C33163" t="s">
        <v>553</v>
      </c>
      <c r="D33163" t="s">
        <v>14</v>
      </c>
      <c r="E33163" t="s">
        <v>51627</v>
      </c>
      <c r="F33163" s="2" t="str">
        <f>HYPERLINK("http://www.otzar.org/book.asp?13160","פסקי הגאון מהרי""ט")</f>
        <v>פסקי הגאון מהרי"ט</v>
      </c>
    </row>
    <row r="33164" spans="1:6" x14ac:dyDescent="0.2">
      <c r="A33164" t="s">
        <v>51628</v>
      </c>
      <c r="B33164" t="s">
        <v>1821</v>
      </c>
      <c r="C33164" t="s">
        <v>1458</v>
      </c>
      <c r="D33164" t="s">
        <v>56</v>
      </c>
      <c r="E33164" t="s">
        <v>172</v>
      </c>
      <c r="F33164" s="2" t="str">
        <f>HYPERLINK("http://www.otzar.org/book.asp?101653","פסקי הגאון רבינו אליהו ז""ל מווילנא")</f>
        <v>פסקי הגאון רבינו אליהו ז"ל מווילנא</v>
      </c>
    </row>
    <row r="33165" spans="1:6" x14ac:dyDescent="0.2">
      <c r="A33165" t="s">
        <v>51629</v>
      </c>
      <c r="B33165" t="s">
        <v>206</v>
      </c>
      <c r="C33165" t="s">
        <v>146</v>
      </c>
      <c r="E33165" t="s">
        <v>144</v>
      </c>
      <c r="F33165" s="2" t="str">
        <f>HYPERLINK("http://www.otzar.org/book.asp?605612","פסקי הגמרא - ברכות")</f>
        <v>פסקי הגמרא - ברכות</v>
      </c>
    </row>
    <row r="33166" spans="1:6" x14ac:dyDescent="0.2">
      <c r="A33166" t="s">
        <v>51630</v>
      </c>
      <c r="B33166" t="s">
        <v>1821</v>
      </c>
      <c r="C33166" t="s">
        <v>51631</v>
      </c>
      <c r="D33166" t="s">
        <v>56</v>
      </c>
      <c r="E33166" t="s">
        <v>172</v>
      </c>
      <c r="F33166" s="2" t="str">
        <f>HYPERLINK("http://www.otzar.org/book.asp?5734","פסקי הגר""א")</f>
        <v>פסקי הגר"א</v>
      </c>
    </row>
    <row r="33167" spans="1:6" x14ac:dyDescent="0.2">
      <c r="A33167" t="s">
        <v>51632</v>
      </c>
      <c r="B33167" t="s">
        <v>7463</v>
      </c>
      <c r="C33167" t="s">
        <v>411</v>
      </c>
      <c r="D33167" t="s">
        <v>52</v>
      </c>
      <c r="E33167" t="s">
        <v>15</v>
      </c>
      <c r="F33167" s="2" t="str">
        <f>HYPERLINK("http://www.otzar.org/book.asp?169792","פסקי ההלכות - ו")</f>
        <v>פסקי ההלכות - ו</v>
      </c>
    </row>
    <row r="33168" spans="1:6" x14ac:dyDescent="0.2">
      <c r="A33168" t="s">
        <v>51633</v>
      </c>
      <c r="B33168" t="s">
        <v>51634</v>
      </c>
      <c r="C33168" t="s">
        <v>13</v>
      </c>
      <c r="D33168" t="s">
        <v>3859</v>
      </c>
      <c r="E33168" t="s">
        <v>15</v>
      </c>
      <c r="F33168" s="2" t="str">
        <f>HYPERLINK("http://www.otzar.org/book.asp?160244","פסקי הטהרה - 2 כר'")</f>
        <v>פסקי הטהרה - 2 כר'</v>
      </c>
    </row>
    <row r="33169" spans="1:6" x14ac:dyDescent="0.2">
      <c r="A33169" t="s">
        <v>51635</v>
      </c>
      <c r="B33169" t="s">
        <v>46367</v>
      </c>
      <c r="C33169" t="s">
        <v>1811</v>
      </c>
      <c r="D33169" t="s">
        <v>14</v>
      </c>
      <c r="E33169" t="s">
        <v>15</v>
      </c>
      <c r="F33169" s="2" t="str">
        <f>HYPERLINK("http://www.otzar.org/book.asp?155886","פסקי הלכה של ר' חיים אור זרוע &lt;דרשות מהר""ח או""ז&gt;")</f>
        <v>פסקי הלכה של ר' חיים אור זרוע &lt;דרשות מהר"ח או"ז&gt;</v>
      </c>
    </row>
    <row r="33170" spans="1:6" x14ac:dyDescent="0.2">
      <c r="A33170" t="s">
        <v>51636</v>
      </c>
      <c r="B33170" t="s">
        <v>49649</v>
      </c>
      <c r="C33170" t="s">
        <v>2280</v>
      </c>
      <c r="D33170" t="s">
        <v>283</v>
      </c>
      <c r="E33170" t="s">
        <v>10</v>
      </c>
      <c r="F33170" s="2" t="str">
        <f>HYPERLINK("http://www.otzar.org/book.asp?7393","פסקי הלכות &lt;יד דוד&gt; - 3 כר'")</f>
        <v>פסקי הלכות &lt;יד דוד&gt; - 3 כר'</v>
      </c>
    </row>
    <row r="33171" spans="1:6" x14ac:dyDescent="0.2">
      <c r="A33171" t="s">
        <v>51637</v>
      </c>
      <c r="B33171" t="s">
        <v>51638</v>
      </c>
      <c r="C33171" t="s">
        <v>854</v>
      </c>
      <c r="D33171" t="s">
        <v>283</v>
      </c>
      <c r="E33171" t="s">
        <v>144</v>
      </c>
      <c r="F33171" s="2" t="str">
        <f>HYPERLINK("http://www.otzar.org/book.asp?103902","פסקי הלכות המרדכי &lt;תורת מרדכי&gt;")</f>
        <v>פסקי הלכות המרדכי &lt;תורת מרדכי&gt;</v>
      </c>
    </row>
    <row r="33172" spans="1:6" x14ac:dyDescent="0.2">
      <c r="A33172" t="s">
        <v>51639</v>
      </c>
      <c r="B33172" t="s">
        <v>51640</v>
      </c>
      <c r="C33172" t="s">
        <v>133</v>
      </c>
      <c r="D33172" t="s">
        <v>90</v>
      </c>
      <c r="E33172" t="s">
        <v>15</v>
      </c>
      <c r="F33172" s="2" t="str">
        <f>HYPERLINK("http://www.otzar.org/book.asp?608432","פסקי הלכות שבע ברכות")</f>
        <v>פסקי הלכות שבע ברכות</v>
      </c>
    </row>
    <row r="33173" spans="1:6" x14ac:dyDescent="0.2">
      <c r="A33173" t="s">
        <v>51641</v>
      </c>
      <c r="B33173" t="s">
        <v>51642</v>
      </c>
      <c r="C33173" t="s">
        <v>13</v>
      </c>
      <c r="D33173" t="s">
        <v>14</v>
      </c>
      <c r="E33173" t="s">
        <v>15</v>
      </c>
      <c r="F33173" s="2" t="str">
        <f>HYPERLINK("http://www.otzar.org/book.asp?142808","פסקי הלכות")</f>
        <v>פסקי הלכות</v>
      </c>
    </row>
    <row r="33174" spans="1:6" x14ac:dyDescent="0.2">
      <c r="A33174" t="s">
        <v>51641</v>
      </c>
      <c r="B33174" t="s">
        <v>51643</v>
      </c>
      <c r="C33174" t="s">
        <v>185</v>
      </c>
      <c r="D33174" t="s">
        <v>90</v>
      </c>
      <c r="E33174" t="s">
        <v>15</v>
      </c>
      <c r="F33174" s="2" t="str">
        <f>HYPERLINK("http://www.otzar.org/book.asp?630333","פסקי הלכות")</f>
        <v>פסקי הלכות</v>
      </c>
    </row>
    <row r="33175" spans="1:6" x14ac:dyDescent="0.2">
      <c r="A33175" t="s">
        <v>51644</v>
      </c>
      <c r="B33175" t="s">
        <v>12390</v>
      </c>
      <c r="C33175" t="s">
        <v>47454</v>
      </c>
      <c r="D33175" t="s">
        <v>4248</v>
      </c>
      <c r="E33175" t="s">
        <v>15</v>
      </c>
      <c r="F33175" s="2" t="str">
        <f>HYPERLINK("http://www.otzar.org/book.asp?101806","פסקי הלכות - ריקנטי")</f>
        <v>פסקי הלכות - ריקנטי</v>
      </c>
    </row>
    <row r="33176" spans="1:6" x14ac:dyDescent="0.2">
      <c r="A33176" t="s">
        <v>51645</v>
      </c>
      <c r="B33176" t="s">
        <v>51625</v>
      </c>
      <c r="C33176" t="s">
        <v>51646</v>
      </c>
      <c r="D33176" t="s">
        <v>51647</v>
      </c>
      <c r="E33176" t="s">
        <v>15</v>
      </c>
      <c r="F33176" s="2" t="str">
        <f>HYPERLINK("http://www.otzar.org/book.asp?627347","פסקי המסכימים להוציא עשיר ופרנס מעירו &lt;פסקי הגאון מהר""ר ליווא סג""ל&gt;")</f>
        <v>פסקי המסכימים להוציא עשיר ופרנס מעירו &lt;פסקי הגאון מהר"ר ליווא סג"ל&gt;</v>
      </c>
    </row>
    <row r="33177" spans="1:6" x14ac:dyDescent="0.2">
      <c r="A33177" t="s">
        <v>51648</v>
      </c>
      <c r="B33177" t="s">
        <v>51649</v>
      </c>
      <c r="C33177" t="s">
        <v>38834</v>
      </c>
      <c r="D33177" t="s">
        <v>889</v>
      </c>
      <c r="E33177" t="s">
        <v>158</v>
      </c>
      <c r="F33177" s="2" t="str">
        <f>HYPERLINK("http://www.otzar.org/book.asp?16073","פסקי הראש - 2 כר'")</f>
        <v>פסקי הראש - 2 כר'</v>
      </c>
    </row>
    <row r="33178" spans="1:6" x14ac:dyDescent="0.2">
      <c r="A33178" t="s">
        <v>51650</v>
      </c>
      <c r="B33178" t="s">
        <v>47118</v>
      </c>
      <c r="C33178" t="s">
        <v>438</v>
      </c>
      <c r="D33178" t="s">
        <v>412</v>
      </c>
      <c r="E33178" t="s">
        <v>2088</v>
      </c>
      <c r="F33178" s="2" t="str">
        <f>HYPERLINK("http://www.otzar.org/book.asp?11185","פסקי הרי""ד - 20 כר'")</f>
        <v>פסקי הרי"ד - 20 כר'</v>
      </c>
    </row>
    <row r="33179" spans="1:6" x14ac:dyDescent="0.2">
      <c r="A33179" t="s">
        <v>51651</v>
      </c>
      <c r="B33179" t="s">
        <v>51652</v>
      </c>
      <c r="C33179" t="s">
        <v>1208</v>
      </c>
      <c r="D33179" t="s">
        <v>14</v>
      </c>
      <c r="E33179" t="s">
        <v>803</v>
      </c>
      <c r="F33179" s="2" t="str">
        <f>HYPERLINK("http://www.otzar.org/book.asp?62568","פסקי הריא""ז - 18 כר'")</f>
        <v>פסקי הריא"ז - 18 כר'</v>
      </c>
    </row>
    <row r="33180" spans="1:6" x14ac:dyDescent="0.2">
      <c r="A33180" t="s">
        <v>51653</v>
      </c>
      <c r="B33180" t="s">
        <v>51654</v>
      </c>
      <c r="C33180" t="s">
        <v>767</v>
      </c>
      <c r="D33180" t="s">
        <v>245</v>
      </c>
      <c r="E33180" t="s">
        <v>148</v>
      </c>
      <c r="F33180" s="2" t="str">
        <f>HYPERLINK("http://www.otzar.org/book.asp?188538","פסקי השלחן")</f>
        <v>פסקי השלחן</v>
      </c>
    </row>
    <row r="33181" spans="1:6" x14ac:dyDescent="0.2">
      <c r="A33181" t="s">
        <v>51655</v>
      </c>
      <c r="B33181" t="s">
        <v>51656</v>
      </c>
      <c r="C33181" t="s">
        <v>466</v>
      </c>
      <c r="D33181" t="s">
        <v>52</v>
      </c>
      <c r="E33181" t="s">
        <v>15</v>
      </c>
      <c r="F33181" s="2" t="str">
        <f>HYPERLINK("http://www.otzar.org/book.asp?604045","פסקי ומנהגי חתם סופר - 4 כר'")</f>
        <v>פסקי ומנהגי חתם סופר - 4 כר'</v>
      </c>
    </row>
    <row r="33182" spans="1:6" x14ac:dyDescent="0.2">
      <c r="A33182" t="s">
        <v>51657</v>
      </c>
      <c r="B33182" t="s">
        <v>13475</v>
      </c>
      <c r="C33182" t="s">
        <v>1208</v>
      </c>
      <c r="D33182" t="s">
        <v>1180</v>
      </c>
      <c r="E33182" t="s">
        <v>10</v>
      </c>
      <c r="F33182" s="2" t="str">
        <f>HYPERLINK("http://www.otzar.org/book.asp?155467","פסקי ושו""ת מהר""ש מלובלין - שלום בית")</f>
        <v>פסקי ושו"ת מהר"ש מלובלין - שלום בית</v>
      </c>
    </row>
    <row r="33183" spans="1:6" x14ac:dyDescent="0.2">
      <c r="A33183" t="s">
        <v>51658</v>
      </c>
      <c r="E33183" t="s">
        <v>15</v>
      </c>
      <c r="F33183" s="2" t="str">
        <f>HYPERLINK("http://www.otzar.org/book.asp?630311","פסקי חזו""א")</f>
        <v>פסקי חזו"א</v>
      </c>
    </row>
    <row r="33184" spans="1:6" x14ac:dyDescent="0.2">
      <c r="A33184" t="s">
        <v>51659</v>
      </c>
      <c r="B33184" t="s">
        <v>51660</v>
      </c>
      <c r="C33184" t="s">
        <v>114</v>
      </c>
      <c r="D33184" t="s">
        <v>1356</v>
      </c>
      <c r="F33184" s="2" t="str">
        <f>HYPERLINK("http://www.otzar.org/book.asp?164174","פסקי חכמי המערב - 2 כר'")</f>
        <v>פסקי חכמי המערב - 2 כר'</v>
      </c>
    </row>
    <row r="33185" spans="1:6" x14ac:dyDescent="0.2">
      <c r="A33185" t="s">
        <v>51661</v>
      </c>
      <c r="B33185" t="s">
        <v>24561</v>
      </c>
      <c r="C33185" t="s">
        <v>15649</v>
      </c>
      <c r="D33185" t="s">
        <v>1490</v>
      </c>
      <c r="F33185" s="2" t="str">
        <f>HYPERLINK("http://www.otzar.org/book.asp?170134","פסקי חלה להרשב""א ז""ל")</f>
        <v>פסקי חלה להרשב"א ז"ל</v>
      </c>
    </row>
    <row r="33186" spans="1:6" x14ac:dyDescent="0.2">
      <c r="A33186" t="s">
        <v>51662</v>
      </c>
      <c r="B33186" t="s">
        <v>24561</v>
      </c>
      <c r="C33186" t="s">
        <v>244</v>
      </c>
      <c r="D33186" t="s">
        <v>14</v>
      </c>
      <c r="E33186" t="s">
        <v>15</v>
      </c>
      <c r="F33186" s="2" t="str">
        <f>HYPERLINK("http://www.otzar.org/book.asp?604617","פסקי חלה לרשב""א &lt;מהדורה חדשה&gt;")</f>
        <v>פסקי חלה לרשב"א &lt;מהדורה חדשה&gt;</v>
      </c>
    </row>
    <row r="33187" spans="1:6" x14ac:dyDescent="0.2">
      <c r="A33187" t="s">
        <v>51663</v>
      </c>
      <c r="B33187" t="s">
        <v>24561</v>
      </c>
      <c r="C33187" t="s">
        <v>286</v>
      </c>
      <c r="D33187" t="s">
        <v>14</v>
      </c>
      <c r="E33187" t="s">
        <v>15</v>
      </c>
      <c r="F33187" s="2" t="str">
        <f>HYPERLINK("http://www.otzar.org/book.asp?160250","פסקי חלה לרשב""א עם ביאור קדושת לחם &lt;כולל קונטרס שו""ת&gt;")</f>
        <v>פסקי חלה לרשב"א עם ביאור קדושת לחם &lt;כולל קונטרס שו"ת&gt;</v>
      </c>
    </row>
    <row r="33188" spans="1:6" x14ac:dyDescent="0.2">
      <c r="A33188" t="s">
        <v>51664</v>
      </c>
      <c r="B33188" t="s">
        <v>24561</v>
      </c>
      <c r="C33188" t="s">
        <v>46</v>
      </c>
      <c r="D33188" t="s">
        <v>27</v>
      </c>
      <c r="E33188" t="s">
        <v>15</v>
      </c>
      <c r="F33188" s="2" t="str">
        <f>HYPERLINK("http://www.otzar.org/book.asp?12176","פסקי חלה - 2 כר'")</f>
        <v>פסקי חלה - 2 כר'</v>
      </c>
    </row>
    <row r="33189" spans="1:6" x14ac:dyDescent="0.2">
      <c r="A33189" t="s">
        <v>51665</v>
      </c>
      <c r="B33189" t="s">
        <v>26686</v>
      </c>
      <c r="C33189" t="s">
        <v>23</v>
      </c>
      <c r="D33189" t="s">
        <v>21</v>
      </c>
      <c r="E33189" t="s">
        <v>130</v>
      </c>
      <c r="F33189" s="2" t="str">
        <f>HYPERLINK("http://www.otzar.org/book.asp?192810","פסקי חמודי דניאל - או""ח")</f>
        <v>פסקי חמודי דניאל - או"ח</v>
      </c>
    </row>
    <row r="33190" spans="1:6" x14ac:dyDescent="0.2">
      <c r="A33190" t="s">
        <v>51666</v>
      </c>
      <c r="B33190" t="s">
        <v>51667</v>
      </c>
      <c r="C33190" t="s">
        <v>313</v>
      </c>
      <c r="D33190" t="s">
        <v>52</v>
      </c>
      <c r="E33190" t="s">
        <v>15</v>
      </c>
      <c r="F33190" s="2" t="str">
        <f>HYPERLINK("http://www.otzar.org/book.asp?155871","פסקי חתם סופר - 2 כר'")</f>
        <v>פסקי חתם סופר - 2 כר'</v>
      </c>
    </row>
    <row r="33191" spans="1:6" x14ac:dyDescent="0.2">
      <c r="A33191" t="s">
        <v>51668</v>
      </c>
      <c r="B33191" t="s">
        <v>51669</v>
      </c>
      <c r="C33191" t="s">
        <v>356</v>
      </c>
      <c r="D33191" t="s">
        <v>412</v>
      </c>
      <c r="E33191" t="s">
        <v>144</v>
      </c>
      <c r="F33191" s="2" t="str">
        <f>HYPERLINK("http://www.otzar.org/book.asp?62365","פסקי מהרי""ח - 3 כר'")</f>
        <v>פסקי מהרי"ח - 3 כר'</v>
      </c>
    </row>
    <row r="33192" spans="1:6" x14ac:dyDescent="0.2">
      <c r="A33192" t="s">
        <v>51670</v>
      </c>
      <c r="B33192" t="s">
        <v>51671</v>
      </c>
      <c r="C33192" t="s">
        <v>13</v>
      </c>
      <c r="D33192" t="s">
        <v>367</v>
      </c>
      <c r="E33192" t="s">
        <v>837</v>
      </c>
      <c r="F33192" s="2" t="str">
        <f>HYPERLINK("http://www.otzar.org/book.asp?157429","פסקי מהרי""ץ  &lt;בארות חיים&gt;")</f>
        <v>פסקי מהרי"ץ  &lt;בארות חיים&gt;</v>
      </c>
    </row>
    <row r="33193" spans="1:6" x14ac:dyDescent="0.2">
      <c r="A33193" t="s">
        <v>51672</v>
      </c>
      <c r="B33193" t="s">
        <v>51673</v>
      </c>
      <c r="C33193" t="s">
        <v>523</v>
      </c>
      <c r="D33193" t="s">
        <v>52</v>
      </c>
      <c r="E33193" t="s">
        <v>15</v>
      </c>
      <c r="F33193" s="2" t="str">
        <f>HYPERLINK("http://www.otzar.org/book.asp?15347","פסקי מהרי""ץ &lt;בארות יצחק&gt; - 7 כר'")</f>
        <v>פסקי מהרי"ץ &lt;בארות יצחק&gt; - 7 כר'</v>
      </c>
    </row>
    <row r="33194" spans="1:6" x14ac:dyDescent="0.2">
      <c r="A33194" t="s">
        <v>51674</v>
      </c>
      <c r="B33194" t="s">
        <v>51675</v>
      </c>
      <c r="C33194" t="s">
        <v>68</v>
      </c>
      <c r="D33194" t="s">
        <v>52</v>
      </c>
      <c r="E33194" t="s">
        <v>1157</v>
      </c>
      <c r="F33194" s="2" t="str">
        <f>HYPERLINK("http://www.otzar.org/book.asp?156739","פסקי מהרי""ץ &lt;בארות משה&gt; - 2 כר'")</f>
        <v>פסקי מהרי"ץ &lt;בארות משה&gt; - 2 כר'</v>
      </c>
    </row>
    <row r="33195" spans="1:6" x14ac:dyDescent="0.2">
      <c r="A33195" t="s">
        <v>51676</v>
      </c>
      <c r="B33195" t="s">
        <v>51677</v>
      </c>
      <c r="C33195" t="s">
        <v>13</v>
      </c>
      <c r="D33195" t="s">
        <v>367</v>
      </c>
      <c r="E33195" t="s">
        <v>730</v>
      </c>
      <c r="F33195" s="2" t="str">
        <f>HYPERLINK("http://www.otzar.org/book.asp?157432","פסקי מהרי""ץ &lt;בארות שלמה&gt;")</f>
        <v>פסקי מהרי"ץ &lt;בארות שלמה&gt;</v>
      </c>
    </row>
    <row r="33196" spans="1:6" x14ac:dyDescent="0.2">
      <c r="A33196" t="s">
        <v>51678</v>
      </c>
      <c r="B33196" t="s">
        <v>51679</v>
      </c>
      <c r="C33196" t="s">
        <v>146</v>
      </c>
      <c r="D33196" t="s">
        <v>14</v>
      </c>
      <c r="E33196" t="s">
        <v>144</v>
      </c>
      <c r="F33196" s="2" t="str">
        <f>HYPERLINK("http://www.otzar.org/book.asp?186710","פסקי מסכת מגילה")</f>
        <v>פסקי מסכת מגילה</v>
      </c>
    </row>
    <row r="33197" spans="1:6" x14ac:dyDescent="0.2">
      <c r="A33197" t="s">
        <v>51680</v>
      </c>
      <c r="B33197" t="s">
        <v>51681</v>
      </c>
      <c r="C33197" t="s">
        <v>244</v>
      </c>
      <c r="D33197" t="s">
        <v>52</v>
      </c>
      <c r="E33197" t="s">
        <v>15</v>
      </c>
      <c r="F33197" s="2" t="str">
        <f>HYPERLINK("http://www.otzar.org/book.asp?629506","פסקי מרן בעל החוט שני - חול המועד")</f>
        <v>פסקי מרן בעל החוט שני - חול המועד</v>
      </c>
    </row>
    <row r="33198" spans="1:6" x14ac:dyDescent="0.2">
      <c r="A33198" t="s">
        <v>51682</v>
      </c>
      <c r="B33198" t="s">
        <v>51683</v>
      </c>
      <c r="C33198" t="s">
        <v>466</v>
      </c>
      <c r="D33198" t="s">
        <v>108</v>
      </c>
      <c r="E33198" t="s">
        <v>15</v>
      </c>
      <c r="F33198" s="2" t="str">
        <f>HYPERLINK("http://www.otzar.org/book.asp?26124","פסקי מרן הראשון לציון הרה""ג מרדכי אליהו - הלכות זרעים")</f>
        <v>פסקי מרן הראשון לציון הרה"ג מרדכי אליהו - הלכות זרעים</v>
      </c>
    </row>
    <row r="33199" spans="1:6" x14ac:dyDescent="0.2">
      <c r="A33199" t="s">
        <v>51684</v>
      </c>
      <c r="B33199" t="s">
        <v>22263</v>
      </c>
      <c r="C33199" t="s">
        <v>146</v>
      </c>
      <c r="D33199" t="s">
        <v>1974</v>
      </c>
      <c r="E33199" t="s">
        <v>148</v>
      </c>
      <c r="F33199" s="2" t="str">
        <f>HYPERLINK("http://www.otzar.org/book.asp?52201","פסקי משה - או""ח - (תרע - תרפג)")</f>
        <v>פסקי משה - או"ח - (תרע - תרפג)</v>
      </c>
    </row>
    <row r="33200" spans="1:6" x14ac:dyDescent="0.2">
      <c r="A33200" t="s">
        <v>51685</v>
      </c>
      <c r="B33200" t="s">
        <v>2688</v>
      </c>
      <c r="C33200" t="s">
        <v>422</v>
      </c>
      <c r="D33200" t="s">
        <v>14</v>
      </c>
      <c r="E33200" t="s">
        <v>15</v>
      </c>
      <c r="F33200" s="2" t="str">
        <f>HYPERLINK("http://www.otzar.org/book.asp?173713","פסקי משנה הלכות - הלכות טהרה")</f>
        <v>פסקי משנה הלכות - הלכות טהרה</v>
      </c>
    </row>
    <row r="33201" spans="1:6" x14ac:dyDescent="0.2">
      <c r="A33201" t="s">
        <v>51686</v>
      </c>
      <c r="B33201" t="s">
        <v>51687</v>
      </c>
      <c r="C33201" t="s">
        <v>114</v>
      </c>
      <c r="D33201" t="s">
        <v>1156</v>
      </c>
      <c r="E33201" t="s">
        <v>148</v>
      </c>
      <c r="F33201" s="2" t="str">
        <f>HYPERLINK("http://www.otzar.org/book.asp?172046","פסקי סדרי טהרה")</f>
        <v>פסקי סדרי טהרה</v>
      </c>
    </row>
    <row r="33202" spans="1:6" x14ac:dyDescent="0.2">
      <c r="A33202" t="s">
        <v>51688</v>
      </c>
      <c r="B33202" t="s">
        <v>2620</v>
      </c>
      <c r="C33202" t="s">
        <v>47330</v>
      </c>
      <c r="D33202" t="s">
        <v>6214</v>
      </c>
      <c r="F33202" s="2" t="str">
        <f>HYPERLINK("http://www.otzar.org/book.asp?624792","פסקי ראש השנה מהרשב""ץ")</f>
        <v>פסקי ראש השנה מהרשב"ץ</v>
      </c>
    </row>
    <row r="33203" spans="1:6" x14ac:dyDescent="0.2">
      <c r="A33203" t="s">
        <v>51689</v>
      </c>
      <c r="B33203" t="s">
        <v>1340</v>
      </c>
      <c r="C33203" t="s">
        <v>20</v>
      </c>
      <c r="D33203" t="s">
        <v>52</v>
      </c>
      <c r="F33203" s="2" t="str">
        <f>HYPERLINK("http://www.otzar.org/book.asp?622069","פסקי ראשון לציון - ליקוט מתוך ספריו")</f>
        <v>פסקי ראשון לציון - ליקוט מתוך ספריו</v>
      </c>
    </row>
    <row r="33204" spans="1:6" x14ac:dyDescent="0.2">
      <c r="A33204" t="s">
        <v>51690</v>
      </c>
      <c r="B33204" t="s">
        <v>11072</v>
      </c>
      <c r="C33204" t="s">
        <v>17</v>
      </c>
      <c r="D33204" t="s">
        <v>14</v>
      </c>
      <c r="E33204" t="s">
        <v>15</v>
      </c>
      <c r="F33204" s="2" t="str">
        <f>HYPERLINK("http://www.otzar.org/book.asp?155469","פסקי רבותינו &lt;צאנז&gt; - נדה")</f>
        <v>פסקי רבותינו &lt;צאנז&gt; - נדה</v>
      </c>
    </row>
    <row r="33205" spans="1:6" x14ac:dyDescent="0.2">
      <c r="A33205" t="s">
        <v>51691</v>
      </c>
      <c r="B33205" t="s">
        <v>6073</v>
      </c>
      <c r="C33205" t="s">
        <v>87</v>
      </c>
      <c r="D33205" t="s">
        <v>14</v>
      </c>
      <c r="E33205" t="s">
        <v>15</v>
      </c>
      <c r="F33205" s="2" t="str">
        <f>HYPERLINK("http://www.otzar.org/book.asp?173080","פסקי רבי יוסף שאול - או""ח א")</f>
        <v>פסקי רבי יוסף שאול - או"ח א</v>
      </c>
    </row>
    <row r="33206" spans="1:6" x14ac:dyDescent="0.2">
      <c r="A33206" t="s">
        <v>51692</v>
      </c>
      <c r="B33206" t="s">
        <v>305</v>
      </c>
      <c r="C33206" t="s">
        <v>189</v>
      </c>
      <c r="D33206" t="s">
        <v>14</v>
      </c>
      <c r="E33206" t="s">
        <v>15</v>
      </c>
      <c r="F33206" s="2" t="str">
        <f>HYPERLINK("http://www.otzar.org/book.asp?155674","פסקי רבי שלמה קלוגר - נדה")</f>
        <v>פסקי רבי שלמה קלוגר - נדה</v>
      </c>
    </row>
    <row r="33207" spans="1:6" x14ac:dyDescent="0.2">
      <c r="A33207" t="s">
        <v>51693</v>
      </c>
      <c r="B33207" t="s">
        <v>51694</v>
      </c>
      <c r="C33207" t="s">
        <v>1208</v>
      </c>
      <c r="D33207" t="s">
        <v>486</v>
      </c>
      <c r="E33207" t="s">
        <v>803</v>
      </c>
      <c r="F33207" s="2" t="str">
        <f>HYPERLINK("http://www.otzar.org/book.asp?172199","פסקי רבינו אשר - שבועות")</f>
        <v>פסקי רבינו אשר - שבועות</v>
      </c>
    </row>
    <row r="33208" spans="1:6" x14ac:dyDescent="0.2">
      <c r="A33208" t="s">
        <v>51695</v>
      </c>
      <c r="B33208" t="s">
        <v>4617</v>
      </c>
      <c r="C33208" t="s">
        <v>466</v>
      </c>
      <c r="D33208" t="s">
        <v>14</v>
      </c>
      <c r="E33208" t="s">
        <v>144</v>
      </c>
      <c r="F33208" s="2" t="str">
        <f>HYPERLINK("http://www.otzar.org/book.asp?26698","פסקי רבינו אשר - מגילה")</f>
        <v>פסקי רבינו אשר - מגילה</v>
      </c>
    </row>
    <row r="33209" spans="1:6" x14ac:dyDescent="0.2">
      <c r="A33209" t="s">
        <v>51696</v>
      </c>
      <c r="B33209" t="s">
        <v>46367</v>
      </c>
      <c r="C33209" t="s">
        <v>71</v>
      </c>
      <c r="D33209" t="s">
        <v>412</v>
      </c>
      <c r="E33209" t="s">
        <v>803</v>
      </c>
      <c r="F33209" s="2" t="str">
        <f>HYPERLINK("http://www.otzar.org/book.asp?61557","פסקי רבינו חיים אור זרוע - 4 כר'")</f>
        <v>פסקי רבינו חיים אור זרוע - 4 כר'</v>
      </c>
    </row>
    <row r="33210" spans="1:6" x14ac:dyDescent="0.2">
      <c r="A33210" t="s">
        <v>51697</v>
      </c>
      <c r="B33210" t="s">
        <v>51698</v>
      </c>
      <c r="C33210" t="s">
        <v>383</v>
      </c>
      <c r="D33210" t="s">
        <v>412</v>
      </c>
      <c r="E33210" t="s">
        <v>15</v>
      </c>
      <c r="F33210" s="2" t="str">
        <f>HYPERLINK("http://www.otzar.org/book.asp?61545","פסקי רבינו יוסף")</f>
        <v>פסקי רבינו יוסף</v>
      </c>
    </row>
    <row r="33211" spans="1:6" x14ac:dyDescent="0.2">
      <c r="A33211" t="s">
        <v>51699</v>
      </c>
      <c r="B33211" t="s">
        <v>51700</v>
      </c>
      <c r="C33211" t="s">
        <v>553</v>
      </c>
      <c r="D33211" t="s">
        <v>412</v>
      </c>
      <c r="E33211" t="s">
        <v>803</v>
      </c>
      <c r="F33211" s="2" t="str">
        <f>HYPERLINK("http://www.otzar.org/book.asp?62353","פסקי רבינו מנחם מנדל קלויזנר - 3 כר'")</f>
        <v>פסקי רבינו מנחם מנדל קלויזנר - 3 כר'</v>
      </c>
    </row>
    <row r="33212" spans="1:6" x14ac:dyDescent="0.2">
      <c r="A33212" t="s">
        <v>51701</v>
      </c>
      <c r="B33212" t="s">
        <v>17865</v>
      </c>
      <c r="C33212" t="s">
        <v>454</v>
      </c>
      <c r="D33212" t="s">
        <v>14</v>
      </c>
      <c r="E33212" t="s">
        <v>15</v>
      </c>
      <c r="F33212" s="2" t="str">
        <f>HYPERLINK("http://www.otzar.org/book.asp?149775","פסקי רבנו הכתב סופר &lt;עץ ארז&gt;")</f>
        <v>פסקי רבנו הכתב סופר &lt;עץ ארז&gt;</v>
      </c>
    </row>
    <row r="33213" spans="1:6" x14ac:dyDescent="0.2">
      <c r="A33213" t="s">
        <v>51702</v>
      </c>
      <c r="B33213" t="s">
        <v>51652</v>
      </c>
      <c r="C33213" t="s">
        <v>698</v>
      </c>
      <c r="D33213" t="s">
        <v>9</v>
      </c>
      <c r="E33213" t="s">
        <v>15</v>
      </c>
      <c r="F33213" s="2" t="str">
        <f>HYPERLINK("http://www.otzar.org/book.asp?182165","פסקי ריא""ז - הלכות נדה")</f>
        <v>פסקי ריא"ז - הלכות נדה</v>
      </c>
    </row>
    <row r="33214" spans="1:6" x14ac:dyDescent="0.2">
      <c r="A33214" t="s">
        <v>51703</v>
      </c>
      <c r="B33214" t="s">
        <v>51704</v>
      </c>
      <c r="C33214" t="s">
        <v>12351</v>
      </c>
      <c r="D33214" t="s">
        <v>212</v>
      </c>
      <c r="E33214" t="s">
        <v>684</v>
      </c>
      <c r="F33214" s="2" t="str">
        <f>HYPERLINK("http://www.otzar.org/book.asp?101651","פסקי ריקאנטי האחרונים")</f>
        <v>פסקי ריקאנטי האחרונים</v>
      </c>
    </row>
    <row r="33215" spans="1:6" x14ac:dyDescent="0.2">
      <c r="A33215" t="s">
        <v>51705</v>
      </c>
      <c r="B33215" t="s">
        <v>51706</v>
      </c>
      <c r="C33215" t="s">
        <v>146</v>
      </c>
      <c r="D33215" t="s">
        <v>52</v>
      </c>
      <c r="E33215" t="s">
        <v>9356</v>
      </c>
      <c r="F33215" s="2" t="str">
        <f>HYPERLINK("http://www.otzar.org/book.asp?62989","פסקי שמועות - 5 כר'")</f>
        <v>פסקי שמועות - 5 כר'</v>
      </c>
    </row>
    <row r="33216" spans="1:6" x14ac:dyDescent="0.2">
      <c r="A33216" t="s">
        <v>51707</v>
      </c>
      <c r="B33216" t="s">
        <v>51708</v>
      </c>
      <c r="C33216" t="s">
        <v>366</v>
      </c>
      <c r="D33216" t="s">
        <v>152</v>
      </c>
      <c r="F33216" s="2" t="str">
        <f>HYPERLINK("http://www.otzar.org/book.asp?615207","פסקי שע""ה")</f>
        <v>פסקי שע"ה</v>
      </c>
    </row>
    <row r="33217" spans="1:6" x14ac:dyDescent="0.2">
      <c r="A33217" t="s">
        <v>51709</v>
      </c>
      <c r="B33217" t="s">
        <v>37806</v>
      </c>
      <c r="C33217" t="s">
        <v>20</v>
      </c>
      <c r="D33217" t="s">
        <v>14</v>
      </c>
      <c r="E33217" t="s">
        <v>144</v>
      </c>
      <c r="F33217" s="2" t="str">
        <f>HYPERLINK("http://www.otzar.org/book.asp?52550","פסקי תוספות על מסכת תענית")</f>
        <v>פסקי תוספות על מסכת תענית</v>
      </c>
    </row>
    <row r="33218" spans="1:6" x14ac:dyDescent="0.2">
      <c r="A33218" t="s">
        <v>51710</v>
      </c>
      <c r="B33218" t="s">
        <v>25839</v>
      </c>
      <c r="C33218" t="s">
        <v>553</v>
      </c>
      <c r="D33218" t="s">
        <v>412</v>
      </c>
      <c r="E33218" t="s">
        <v>15</v>
      </c>
      <c r="F33218" s="2" t="str">
        <f>HYPERLINK("http://www.otzar.org/book.asp?61549","פסקי תלמיד הרשב""א")</f>
        <v>פסקי תלמיד הרשב"א</v>
      </c>
    </row>
    <row r="33219" spans="1:6" x14ac:dyDescent="0.2">
      <c r="A33219" t="s">
        <v>51711</v>
      </c>
      <c r="B33219" t="s">
        <v>51712</v>
      </c>
      <c r="C33219" t="s">
        <v>17</v>
      </c>
      <c r="D33219" t="s">
        <v>14</v>
      </c>
      <c r="E33219" t="s">
        <v>148</v>
      </c>
      <c r="F33219" s="2" t="str">
        <f>HYPERLINK("http://www.otzar.org/book.asp?149475","פסקי תשובה - 4 כר'")</f>
        <v>פסקי תשובה - 4 כר'</v>
      </c>
    </row>
    <row r="33220" spans="1:6" x14ac:dyDescent="0.2">
      <c r="A33220" t="s">
        <v>51713</v>
      </c>
      <c r="B33220" t="s">
        <v>51714</v>
      </c>
      <c r="C33220" t="s">
        <v>129</v>
      </c>
      <c r="D33220" t="s">
        <v>14</v>
      </c>
      <c r="E33220" t="s">
        <v>172</v>
      </c>
      <c r="F33220" s="2" t="str">
        <f>HYPERLINK("http://www.otzar.org/book.asp?164305","פסקי תשובות - 7 כר'")</f>
        <v>פסקי תשובות - 7 כר'</v>
      </c>
    </row>
    <row r="33221" spans="1:6" x14ac:dyDescent="0.2">
      <c r="A33221" t="s">
        <v>51715</v>
      </c>
      <c r="B33221" t="s">
        <v>9226</v>
      </c>
      <c r="C33221" t="s">
        <v>51716</v>
      </c>
      <c r="D33221" t="s">
        <v>51647</v>
      </c>
      <c r="F33221" s="2" t="str">
        <f>HYPERLINK("http://www.otzar.org/book.asp?619150","פסקים וכתבים")</f>
        <v>פסקים וכתבים</v>
      </c>
    </row>
    <row r="33222" spans="1:6" x14ac:dyDescent="0.2">
      <c r="A33222" t="s">
        <v>51717</v>
      </c>
      <c r="B33222" t="s">
        <v>1385</v>
      </c>
      <c r="C33222" t="s">
        <v>919</v>
      </c>
      <c r="D33222" t="s">
        <v>14</v>
      </c>
      <c r="E33222" t="s">
        <v>51718</v>
      </c>
      <c r="F33222" s="2" t="str">
        <f>HYPERLINK("http://www.otzar.org/book.asp?795","פסקים ותקנות")</f>
        <v>פסקים ותקנות</v>
      </c>
    </row>
    <row r="33223" spans="1:6" x14ac:dyDescent="0.2">
      <c r="A33223" t="s">
        <v>51719</v>
      </c>
      <c r="B33223" t="s">
        <v>51720</v>
      </c>
      <c r="C33223" t="s">
        <v>151</v>
      </c>
      <c r="D33223" t="s">
        <v>14</v>
      </c>
      <c r="F33223" s="2" t="str">
        <f>HYPERLINK("http://www.otzar.org/book.asp?610276","פסקים ותשובות")</f>
        <v>פסקים ותשובות</v>
      </c>
    </row>
    <row r="33224" spans="1:6" x14ac:dyDescent="0.2">
      <c r="A33224" t="s">
        <v>51721</v>
      </c>
      <c r="B33224" t="s">
        <v>51131</v>
      </c>
      <c r="C33224" t="s">
        <v>9168</v>
      </c>
      <c r="D33224" t="s">
        <v>49</v>
      </c>
      <c r="E33224" t="s">
        <v>15</v>
      </c>
      <c r="F33224" s="2" t="str">
        <f>HYPERLINK("http://www.otzar.org/book.asp?28681","פסקים שפסקו אשלי רברבי")</f>
        <v>פסקים שפסקו אשלי רברבי</v>
      </c>
    </row>
    <row r="33225" spans="1:6" x14ac:dyDescent="0.2">
      <c r="A33225" t="s">
        <v>51722</v>
      </c>
      <c r="B33225" t="s">
        <v>51723</v>
      </c>
      <c r="C33225" t="s">
        <v>427</v>
      </c>
      <c r="D33225" t="s">
        <v>14</v>
      </c>
      <c r="E33225" t="s">
        <v>733</v>
      </c>
      <c r="F33225" s="2" t="str">
        <f>HYPERLINK("http://www.otzar.org/book.asp?629146","פעולות התנועה")</f>
        <v>פעולות התנועה</v>
      </c>
    </row>
    <row r="33226" spans="1:6" x14ac:dyDescent="0.2">
      <c r="A33226" t="s">
        <v>51724</v>
      </c>
      <c r="B33226" t="s">
        <v>51725</v>
      </c>
      <c r="C33226" t="s">
        <v>553</v>
      </c>
      <c r="D33226" t="s">
        <v>90</v>
      </c>
      <c r="E33226" t="s">
        <v>733</v>
      </c>
      <c r="F33226" s="2" t="str">
        <f>HYPERLINK("http://www.otzar.org/book.asp?64120","פעולות צדיק")</f>
        <v>פעולות צדיק</v>
      </c>
    </row>
    <row r="33227" spans="1:6" x14ac:dyDescent="0.2">
      <c r="A33227" t="s">
        <v>51726</v>
      </c>
      <c r="B33227" t="s">
        <v>51727</v>
      </c>
      <c r="C33227" t="s">
        <v>2076</v>
      </c>
      <c r="D33227" t="s">
        <v>56</v>
      </c>
      <c r="E33227" t="s">
        <v>172</v>
      </c>
      <c r="F33227" s="2" t="str">
        <f>HYPERLINK("http://www.otzar.org/book.asp?19157","פעולת אדם")</f>
        <v>פעולת אדם</v>
      </c>
    </row>
    <row r="33228" spans="1:6" x14ac:dyDescent="0.2">
      <c r="A33228" t="s">
        <v>51728</v>
      </c>
      <c r="B33228" t="s">
        <v>26000</v>
      </c>
      <c r="C33228" t="s">
        <v>1268</v>
      </c>
      <c r="D33228" t="s">
        <v>14</v>
      </c>
      <c r="E33228" t="s">
        <v>5398</v>
      </c>
      <c r="F33228" s="2" t="str">
        <f>HYPERLINK("http://www.otzar.org/book.asp?165178","פעולת הצדיק - 2 כר'")</f>
        <v>פעולת הצדיק - 2 כר'</v>
      </c>
    </row>
    <row r="33229" spans="1:6" x14ac:dyDescent="0.2">
      <c r="A33229" t="s">
        <v>51729</v>
      </c>
      <c r="B33229" t="s">
        <v>23020</v>
      </c>
      <c r="C33229" t="s">
        <v>492</v>
      </c>
      <c r="D33229" t="s">
        <v>352</v>
      </c>
      <c r="E33229" t="s">
        <v>741</v>
      </c>
      <c r="F33229" s="2" t="str">
        <f>HYPERLINK("http://www.otzar.org/book.asp?51780","פעולת הצדיקים")</f>
        <v>פעולת הצדיקים</v>
      </c>
    </row>
    <row r="33230" spans="1:6" x14ac:dyDescent="0.2">
      <c r="A33230" t="s">
        <v>51730</v>
      </c>
      <c r="B33230" t="s">
        <v>51731</v>
      </c>
      <c r="C33230" t="s">
        <v>139</v>
      </c>
      <c r="D33230" t="s">
        <v>189</v>
      </c>
      <c r="F33230" s="2" t="str">
        <f>HYPERLINK("http://www.otzar.org/book.asp?621472","פעולת השכיר")</f>
        <v>פעולת השכיר</v>
      </c>
    </row>
    <row r="33231" spans="1:6" x14ac:dyDescent="0.2">
      <c r="A33231" t="s">
        <v>51732</v>
      </c>
      <c r="B33231" t="s">
        <v>51733</v>
      </c>
      <c r="C33231" t="s">
        <v>454</v>
      </c>
      <c r="D33231" t="s">
        <v>52</v>
      </c>
      <c r="E33231" t="s">
        <v>588</v>
      </c>
      <c r="F33231" s="2" t="str">
        <f>HYPERLINK("http://www.otzar.org/book.asp?107428","פעולת צדיק &lt;נוה צדיק&gt; - 3 כר'")</f>
        <v>פעולת צדיק &lt;נוה צדיק&gt; - 3 כר'</v>
      </c>
    </row>
    <row r="33232" spans="1:6" x14ac:dyDescent="0.2">
      <c r="A33232" t="s">
        <v>51734</v>
      </c>
      <c r="B33232" t="s">
        <v>51735</v>
      </c>
      <c r="C33232" t="s">
        <v>366</v>
      </c>
      <c r="D33232" t="s">
        <v>412</v>
      </c>
      <c r="F33232" s="2" t="str">
        <f>HYPERLINK("http://www.otzar.org/book.asp?622363","פעולת צדיק לחיים")</f>
        <v>פעולת צדיק לחיים</v>
      </c>
    </row>
    <row r="33233" spans="1:6" x14ac:dyDescent="0.2">
      <c r="A33233" t="s">
        <v>51734</v>
      </c>
      <c r="B33233" t="s">
        <v>4936</v>
      </c>
      <c r="C33233" t="s">
        <v>1166</v>
      </c>
      <c r="D33233" t="s">
        <v>27</v>
      </c>
      <c r="E33233" t="s">
        <v>119</v>
      </c>
      <c r="F33233" s="2" t="str">
        <f>HYPERLINK("http://www.otzar.org/book.asp?103670","פעולת צדיק לחיים")</f>
        <v>פעולת צדיק לחיים</v>
      </c>
    </row>
    <row r="33234" spans="1:6" x14ac:dyDescent="0.2">
      <c r="A33234" t="s">
        <v>51736</v>
      </c>
      <c r="B33234" t="s">
        <v>155</v>
      </c>
      <c r="C33234" t="s">
        <v>1335</v>
      </c>
      <c r="D33234" t="s">
        <v>51737</v>
      </c>
      <c r="E33234" t="s">
        <v>84</v>
      </c>
      <c r="F33234" s="2" t="str">
        <f>HYPERLINK("http://www.otzar.org/book.asp?143042","פעולת צדיק לחיים - אבות &lt;מתוך עיני כל חי&gt;")</f>
        <v>פעולת צדיק לחיים - אבות &lt;מתוך עיני כל חי&gt;</v>
      </c>
    </row>
    <row r="33235" spans="1:6" x14ac:dyDescent="0.2">
      <c r="A33235" t="s">
        <v>51738</v>
      </c>
      <c r="B33235" t="s">
        <v>51739</v>
      </c>
      <c r="C33235" t="s">
        <v>609</v>
      </c>
      <c r="D33235" t="s">
        <v>225</v>
      </c>
      <c r="E33235" t="s">
        <v>234</v>
      </c>
      <c r="F33235" s="2" t="str">
        <f>HYPERLINK("http://www.otzar.org/book.asp?50874","פעולת צדיק")</f>
        <v>פעולת צדיק</v>
      </c>
    </row>
    <row r="33236" spans="1:6" x14ac:dyDescent="0.2">
      <c r="A33236" t="s">
        <v>51740</v>
      </c>
      <c r="B33236" t="s">
        <v>22804</v>
      </c>
      <c r="C33236" t="s">
        <v>334</v>
      </c>
      <c r="D33236" t="s">
        <v>14</v>
      </c>
      <c r="E33236" t="s">
        <v>588</v>
      </c>
      <c r="F33236" s="2" t="str">
        <f>HYPERLINK("http://www.otzar.org/book.asp?14186","פעולת צדיק - 3 כר'")</f>
        <v>פעולת צדיק - 3 כר'</v>
      </c>
    </row>
    <row r="33237" spans="1:6" x14ac:dyDescent="0.2">
      <c r="A33237" t="s">
        <v>51741</v>
      </c>
      <c r="B33237" t="s">
        <v>51742</v>
      </c>
      <c r="C33237" t="s">
        <v>334</v>
      </c>
      <c r="D33237" t="s">
        <v>216</v>
      </c>
      <c r="E33237" t="s">
        <v>119</v>
      </c>
      <c r="F33237" s="2" t="str">
        <f>HYPERLINK("http://www.otzar.org/book.asp?173652","פעולת ק""ק איטאליאני שבוויניציאה למען עניי  ארץ ישראל")</f>
        <v>פעולת ק"ק איטאליאני שבוויניציאה למען עניי  ארץ ישראל</v>
      </c>
    </row>
    <row r="33238" spans="1:6" x14ac:dyDescent="0.2">
      <c r="A33238" t="s">
        <v>51743</v>
      </c>
      <c r="B33238" t="s">
        <v>107</v>
      </c>
      <c r="C33238" t="s">
        <v>785</v>
      </c>
      <c r="D33238" t="s">
        <v>14</v>
      </c>
      <c r="E33238" t="s">
        <v>15</v>
      </c>
      <c r="F33238" s="2" t="str">
        <f>HYPERLINK("http://www.otzar.org/book.asp?84443","פעולת שכיר")</f>
        <v>פעולת שכיר</v>
      </c>
    </row>
    <row r="33239" spans="1:6" x14ac:dyDescent="0.2">
      <c r="A33239" t="s">
        <v>51744</v>
      </c>
      <c r="B33239" t="s">
        <v>686</v>
      </c>
      <c r="C33239" t="s">
        <v>411</v>
      </c>
      <c r="D33239" t="s">
        <v>52</v>
      </c>
      <c r="E33239" t="s">
        <v>104</v>
      </c>
      <c r="F33239" s="2" t="str">
        <f>HYPERLINK("http://www.otzar.org/book.asp?165397","פעלא טבא")</f>
        <v>פעלא טבא</v>
      </c>
    </row>
    <row r="33240" spans="1:6" x14ac:dyDescent="0.2">
      <c r="A33240" t="s">
        <v>51745</v>
      </c>
      <c r="B33240" t="s">
        <v>489</v>
      </c>
      <c r="C33240" t="s">
        <v>114</v>
      </c>
      <c r="D33240" t="s">
        <v>646</v>
      </c>
      <c r="F33240" s="2" t="str">
        <f>HYPERLINK("http://www.otzar.org/book.asp?182010","פעלים לתורה - 31 כר'")</f>
        <v>פעלים לתורה - 31 כר'</v>
      </c>
    </row>
    <row r="33241" spans="1:6" x14ac:dyDescent="0.2">
      <c r="A33241" t="s">
        <v>51746</v>
      </c>
      <c r="B33241" t="s">
        <v>2885</v>
      </c>
      <c r="C33241" t="s">
        <v>103</v>
      </c>
      <c r="D33241" t="s">
        <v>14</v>
      </c>
      <c r="E33241" t="s">
        <v>5398</v>
      </c>
      <c r="F33241" s="2" t="str">
        <f>HYPERLINK("http://www.otzar.org/book.asp?60847","פעלת הצדיק")</f>
        <v>פעלת הצדיק</v>
      </c>
    </row>
    <row r="33242" spans="1:6" x14ac:dyDescent="0.2">
      <c r="A33242" t="s">
        <v>51747</v>
      </c>
      <c r="B33242" t="s">
        <v>49861</v>
      </c>
      <c r="C33242" t="s">
        <v>8294</v>
      </c>
      <c r="D33242" t="s">
        <v>1023</v>
      </c>
      <c r="F33242" s="2" t="str">
        <f>HYPERLINK("http://www.otzar.org/book.asp?164803","פעמון ורמון - 2 כר'")</f>
        <v>פעמון ורמון - 2 כר'</v>
      </c>
    </row>
    <row r="33243" spans="1:6" x14ac:dyDescent="0.2">
      <c r="A33243" t="s">
        <v>51748</v>
      </c>
      <c r="B33243" t="s">
        <v>51749</v>
      </c>
      <c r="C33243" t="s">
        <v>1811</v>
      </c>
      <c r="D33243" t="s">
        <v>52</v>
      </c>
      <c r="E33243" t="s">
        <v>15</v>
      </c>
      <c r="F33243" s="2" t="str">
        <f>HYPERLINK("http://www.otzar.org/book.asp?179512","פעמון זהב")</f>
        <v>פעמון זהב</v>
      </c>
    </row>
    <row r="33244" spans="1:6" x14ac:dyDescent="0.2">
      <c r="A33244" t="s">
        <v>51750</v>
      </c>
      <c r="B33244" t="s">
        <v>51751</v>
      </c>
      <c r="C33244" t="s">
        <v>106</v>
      </c>
      <c r="D33244" t="s">
        <v>118</v>
      </c>
      <c r="E33244" t="s">
        <v>674</v>
      </c>
      <c r="F33244" s="2" t="str">
        <f>HYPERLINK("http://www.otzar.org/book.asp?157595","פעמון זהב - קטעים מתוך הספר")</f>
        <v>פעמון זהב - קטעים מתוך הספר</v>
      </c>
    </row>
    <row r="33245" spans="1:6" x14ac:dyDescent="0.2">
      <c r="A33245" t="s">
        <v>51752</v>
      </c>
      <c r="B33245" t="s">
        <v>51753</v>
      </c>
      <c r="C33245" t="s">
        <v>558</v>
      </c>
      <c r="D33245" t="s">
        <v>27</v>
      </c>
      <c r="E33245" t="s">
        <v>148</v>
      </c>
      <c r="F33245" s="2" t="str">
        <f>HYPERLINK("http://www.otzar.org/book.asp?20536","פעמוני זהב - 2 כר'")</f>
        <v>פעמוני זהב - 2 כר'</v>
      </c>
    </row>
    <row r="33246" spans="1:6" x14ac:dyDescent="0.2">
      <c r="A33246" t="s">
        <v>51754</v>
      </c>
      <c r="B33246" t="s">
        <v>51755</v>
      </c>
      <c r="C33246" t="s">
        <v>7625</v>
      </c>
      <c r="D33246" t="s">
        <v>2303</v>
      </c>
      <c r="E33246" t="s">
        <v>158</v>
      </c>
      <c r="F33246" s="2" t="str">
        <f>HYPERLINK("http://www.otzar.org/book.asp?84518","פעמוני זהב")</f>
        <v>פעמוני זהב</v>
      </c>
    </row>
    <row r="33247" spans="1:6" x14ac:dyDescent="0.2">
      <c r="A33247" t="s">
        <v>51756</v>
      </c>
      <c r="B33247" t="s">
        <v>12925</v>
      </c>
      <c r="C33247" t="s">
        <v>1208</v>
      </c>
      <c r="D33247" t="s">
        <v>14</v>
      </c>
      <c r="E33247" t="s">
        <v>733</v>
      </c>
      <c r="F33247" s="2" t="str">
        <f>HYPERLINK("http://www.otzar.org/book.asp?64121","פעמי העליה מתימן")</f>
        <v>פעמי העליה מתימן</v>
      </c>
    </row>
    <row r="33248" spans="1:6" x14ac:dyDescent="0.2">
      <c r="A33248" t="s">
        <v>51757</v>
      </c>
      <c r="B33248" t="s">
        <v>11324</v>
      </c>
      <c r="C33248" t="s">
        <v>454</v>
      </c>
      <c r="D33248" t="s">
        <v>14</v>
      </c>
      <c r="E33248" t="s">
        <v>467</v>
      </c>
      <c r="F33248" s="2" t="str">
        <f>HYPERLINK("http://www.otzar.org/book.asp?61240","פעמי מועד - 2 כר'")</f>
        <v>פעמי מועד - 2 כר'</v>
      </c>
    </row>
    <row r="33249" spans="1:6" x14ac:dyDescent="0.2">
      <c r="A33249" t="s">
        <v>51758</v>
      </c>
      <c r="B33249" t="s">
        <v>206</v>
      </c>
      <c r="C33249" t="s">
        <v>785</v>
      </c>
      <c r="D33249" t="s">
        <v>14</v>
      </c>
      <c r="E33249" t="s">
        <v>104</v>
      </c>
      <c r="F33249" s="2" t="str">
        <f>HYPERLINK("http://www.otzar.org/book.asp?155921","פעמי שולמית")</f>
        <v>פעמי שולמית</v>
      </c>
    </row>
    <row r="33250" spans="1:6" x14ac:dyDescent="0.2">
      <c r="A33250" t="s">
        <v>51759</v>
      </c>
      <c r="B33250" t="s">
        <v>5293</v>
      </c>
      <c r="C33250" t="s">
        <v>366</v>
      </c>
      <c r="D33250" t="s">
        <v>14</v>
      </c>
      <c r="F33250" s="2" t="str">
        <f>HYPERLINK("http://www.otzar.org/book.asp?614850","פעמיים באהבה")</f>
        <v>פעמיים באהבה</v>
      </c>
    </row>
    <row r="33251" spans="1:6" x14ac:dyDescent="0.2">
      <c r="A33251" t="s">
        <v>51760</v>
      </c>
      <c r="B33251" t="s">
        <v>51761</v>
      </c>
      <c r="C33251" t="s">
        <v>1374</v>
      </c>
      <c r="D33251" t="s">
        <v>691</v>
      </c>
      <c r="F33251" s="2" t="str">
        <f>HYPERLINK("http://www.otzar.org/book.asp?85108","פעמן זהב")</f>
        <v>פעמן זהב</v>
      </c>
    </row>
    <row r="33252" spans="1:6" x14ac:dyDescent="0.2">
      <c r="A33252" t="s">
        <v>51762</v>
      </c>
      <c r="B33252" t="s">
        <v>51763</v>
      </c>
      <c r="C33252" t="s">
        <v>129</v>
      </c>
      <c r="D33252" t="s">
        <v>3283</v>
      </c>
      <c r="E33252" t="s">
        <v>158</v>
      </c>
      <c r="F33252" s="2" t="str">
        <f>HYPERLINK("http://www.otzar.org/book.asp?142072","פענוח המסורה")</f>
        <v>פענוח המסורה</v>
      </c>
    </row>
    <row r="33253" spans="1:6" x14ac:dyDescent="0.2">
      <c r="A33253" t="s">
        <v>51764</v>
      </c>
      <c r="B33253" t="s">
        <v>51765</v>
      </c>
      <c r="C33253" t="s">
        <v>624</v>
      </c>
      <c r="D33253" t="s">
        <v>118</v>
      </c>
      <c r="E33253" t="s">
        <v>579</v>
      </c>
      <c r="F33253" s="2" t="str">
        <f>HYPERLINK("http://www.otzar.org/book.asp?180749","פענח רזא &lt;רזא דמאיר&gt;")</f>
        <v>פענח רזא &lt;רזא דמאיר&gt;</v>
      </c>
    </row>
    <row r="33254" spans="1:6" x14ac:dyDescent="0.2">
      <c r="A33254" t="s">
        <v>51766</v>
      </c>
      <c r="B33254" t="s">
        <v>51765</v>
      </c>
      <c r="C33254" t="s">
        <v>12351</v>
      </c>
      <c r="D33254" t="s">
        <v>51767</v>
      </c>
      <c r="F33254" s="2" t="str">
        <f>HYPERLINK("http://www.otzar.org/book.asp?626502","פענח רזא - 5 כר'")</f>
        <v>פענח רזא - 5 כר'</v>
      </c>
    </row>
    <row r="33255" spans="1:6" x14ac:dyDescent="0.2">
      <c r="A33255" t="s">
        <v>51768</v>
      </c>
      <c r="C33255">
        <v>1951</v>
      </c>
      <c r="D33255" t="s">
        <v>412</v>
      </c>
      <c r="F33255" s="2" t="str">
        <f>HYPERLINK("http://www.otzar.org/book.asp?630402","פערל פון אונדזער תורה - כג-כג")</f>
        <v>פערל פון אונדזער תורה - כג-כג</v>
      </c>
    </row>
    <row r="33256" spans="1:6" x14ac:dyDescent="0.2">
      <c r="A33256" t="s">
        <v>51769</v>
      </c>
      <c r="B33256" t="s">
        <v>51770</v>
      </c>
      <c r="C33256" t="s">
        <v>411</v>
      </c>
      <c r="D33256" t="s">
        <v>152</v>
      </c>
      <c r="E33256" t="s">
        <v>15</v>
      </c>
      <c r="F33256" s="2" t="str">
        <f>HYPERLINK("http://www.otzar.org/book.asp?176144","פקודי הלוי")</f>
        <v>פקודי הלוי</v>
      </c>
    </row>
    <row r="33257" spans="1:6" x14ac:dyDescent="0.2">
      <c r="A33257" t="s">
        <v>51771</v>
      </c>
      <c r="B33257" t="s">
        <v>41190</v>
      </c>
      <c r="C33257" t="s">
        <v>151</v>
      </c>
      <c r="D33257" t="s">
        <v>21</v>
      </c>
      <c r="F33257" s="2" t="str">
        <f>HYPERLINK("http://www.otzar.org/book.asp?612412","פקודי העדה - 2 כר'")</f>
        <v>פקודי העדה - 2 כר'</v>
      </c>
    </row>
    <row r="33258" spans="1:6" x14ac:dyDescent="0.2">
      <c r="A33258" t="s">
        <v>51772</v>
      </c>
      <c r="B33258" t="s">
        <v>51773</v>
      </c>
      <c r="C33258" t="s">
        <v>129</v>
      </c>
      <c r="D33258" t="s">
        <v>52</v>
      </c>
      <c r="E33258" t="s">
        <v>186</v>
      </c>
      <c r="F33258" s="2" t="str">
        <f>HYPERLINK("http://www.otzar.org/book.asp?148076","פקודי ישר &lt;קובץ&gt; - 4 כר'")</f>
        <v>פקודי ישר &lt;קובץ&gt; - 4 כר'</v>
      </c>
    </row>
    <row r="33259" spans="1:6" x14ac:dyDescent="0.2">
      <c r="A33259" t="s">
        <v>51774</v>
      </c>
      <c r="B33259" t="s">
        <v>51775</v>
      </c>
      <c r="C33259" t="s">
        <v>146</v>
      </c>
      <c r="D33259" t="s">
        <v>412</v>
      </c>
      <c r="E33259" t="s">
        <v>1211</v>
      </c>
      <c r="F33259" s="2" t="str">
        <f>HYPERLINK("http://www.otzar.org/book.asp?145089","פקודי משה")</f>
        <v>פקודי משה</v>
      </c>
    </row>
    <row r="33260" spans="1:6" x14ac:dyDescent="0.2">
      <c r="A33260" t="s">
        <v>51776</v>
      </c>
      <c r="B33260" t="s">
        <v>12925</v>
      </c>
      <c r="C33260" t="s">
        <v>585</v>
      </c>
      <c r="D33260" t="s">
        <v>14</v>
      </c>
      <c r="E33260" t="s">
        <v>733</v>
      </c>
      <c r="F33260" s="2" t="str">
        <f>HYPERLINK("http://www.otzar.org/book.asp?64119","פקודי תימן - מס החסות בתימן")</f>
        <v>פקודי תימן - מס החסות בתימן</v>
      </c>
    </row>
    <row r="33261" spans="1:6" x14ac:dyDescent="0.2">
      <c r="A33261" t="s">
        <v>51777</v>
      </c>
      <c r="B33261" t="s">
        <v>51778</v>
      </c>
      <c r="C33261" t="s">
        <v>466</v>
      </c>
      <c r="D33261" t="s">
        <v>14</v>
      </c>
      <c r="F33261" s="2" t="str">
        <f>HYPERLINK("http://www.otzar.org/book.asp?612083","פקודיך דרשתי")</f>
        <v>פקודיך דרשתי</v>
      </c>
    </row>
    <row r="33262" spans="1:6" x14ac:dyDescent="0.2">
      <c r="A33262" t="s">
        <v>51777</v>
      </c>
      <c r="B33262" t="s">
        <v>51779</v>
      </c>
      <c r="C33262" t="s">
        <v>244</v>
      </c>
      <c r="D33262" t="s">
        <v>14</v>
      </c>
      <c r="E33262" t="s">
        <v>158</v>
      </c>
      <c r="F33262" s="2" t="str">
        <f>HYPERLINK("http://www.otzar.org/book.asp?600742","פקודיך דרשתי")</f>
        <v>פקודיך דרשתי</v>
      </c>
    </row>
    <row r="33263" spans="1:6" x14ac:dyDescent="0.2">
      <c r="A33263" t="s">
        <v>51780</v>
      </c>
      <c r="B33263" t="s">
        <v>686</v>
      </c>
      <c r="C33263" t="s">
        <v>133</v>
      </c>
      <c r="D33263" t="s">
        <v>14</v>
      </c>
      <c r="E33263" t="s">
        <v>158</v>
      </c>
      <c r="F33263" s="2" t="str">
        <f>HYPERLINK("http://www.otzar.org/book.asp?175967","פקודיך הבינני")</f>
        <v>פקודיך הבינני</v>
      </c>
    </row>
    <row r="33264" spans="1:6" x14ac:dyDescent="0.2">
      <c r="A33264" t="s">
        <v>51781</v>
      </c>
      <c r="B33264" t="s">
        <v>51782</v>
      </c>
      <c r="C33264" t="s">
        <v>37</v>
      </c>
      <c r="D33264" t="s">
        <v>14</v>
      </c>
      <c r="E33264" t="s">
        <v>213</v>
      </c>
      <c r="F33264" s="2" t="str">
        <f>HYPERLINK("http://www.otzar.org/book.asp?604497","פקודת אלעזר")</f>
        <v>פקודת אלעזר</v>
      </c>
    </row>
    <row r="33265" spans="1:6" x14ac:dyDescent="0.2">
      <c r="A33265" t="s">
        <v>51783</v>
      </c>
      <c r="B33265" t="s">
        <v>51784</v>
      </c>
      <c r="C33265" t="s">
        <v>51785</v>
      </c>
      <c r="D33265" t="s">
        <v>27</v>
      </c>
      <c r="E33265" t="s">
        <v>4561</v>
      </c>
      <c r="F33265" s="2" t="str">
        <f>HYPERLINK("http://www.otzar.org/book.asp?8979","פקודת אלעזר - א-ג")</f>
        <v>פקודת אלעזר - א-ג</v>
      </c>
    </row>
    <row r="33266" spans="1:6" x14ac:dyDescent="0.2">
      <c r="A33266" t="s">
        <v>51781</v>
      </c>
      <c r="B33266" t="s">
        <v>51786</v>
      </c>
      <c r="C33266" t="s">
        <v>103</v>
      </c>
      <c r="D33266" t="s">
        <v>412</v>
      </c>
      <c r="E33266" t="s">
        <v>2071</v>
      </c>
      <c r="F33266" s="2" t="str">
        <f>HYPERLINK("http://www.otzar.org/book.asp?148353","פקודת אלעזר")</f>
        <v>פקודת אלעזר</v>
      </c>
    </row>
    <row r="33267" spans="1:6" x14ac:dyDescent="0.2">
      <c r="A33267" t="s">
        <v>51781</v>
      </c>
      <c r="B33267" t="s">
        <v>23502</v>
      </c>
      <c r="C33267" t="s">
        <v>454</v>
      </c>
      <c r="D33267" t="s">
        <v>21</v>
      </c>
      <c r="E33267" t="s">
        <v>172</v>
      </c>
      <c r="F33267" s="2" t="str">
        <f>HYPERLINK("http://www.otzar.org/book.asp?195488","פקודת אלעזר")</f>
        <v>פקודת אלעזר</v>
      </c>
    </row>
    <row r="33268" spans="1:6" x14ac:dyDescent="0.2">
      <c r="A33268" t="s">
        <v>51781</v>
      </c>
      <c r="B33268" t="s">
        <v>51787</v>
      </c>
      <c r="C33268" t="s">
        <v>146</v>
      </c>
      <c r="D33268" t="s">
        <v>412</v>
      </c>
      <c r="E33268" t="s">
        <v>325</v>
      </c>
      <c r="F33268" s="2" t="str">
        <f>HYPERLINK("http://www.otzar.org/book.asp?627131","פקודת אלעזר")</f>
        <v>פקודת אלעזר</v>
      </c>
    </row>
    <row r="33269" spans="1:6" x14ac:dyDescent="0.2">
      <c r="A33269" t="s">
        <v>51788</v>
      </c>
      <c r="B33269" t="s">
        <v>51789</v>
      </c>
      <c r="C33269" t="s">
        <v>133</v>
      </c>
      <c r="D33269" t="s">
        <v>412</v>
      </c>
      <c r="E33269" t="s">
        <v>15</v>
      </c>
      <c r="F33269" s="2" t="str">
        <f>HYPERLINK("http://www.otzar.org/book.asp?172774","פקודת הלוי - 2 כר'")</f>
        <v>פקודת הלוי - 2 כר'</v>
      </c>
    </row>
    <row r="33270" spans="1:6" x14ac:dyDescent="0.2">
      <c r="A33270" t="s">
        <v>51790</v>
      </c>
      <c r="B33270" t="s">
        <v>29942</v>
      </c>
      <c r="C33270" t="s">
        <v>538</v>
      </c>
      <c r="D33270" t="s">
        <v>212</v>
      </c>
      <c r="E33270" t="s">
        <v>579</v>
      </c>
      <c r="F33270" s="2" t="str">
        <f>HYPERLINK("http://www.otzar.org/book.asp?19190","פקודת המלך")</f>
        <v>פקודת המלך</v>
      </c>
    </row>
    <row r="33271" spans="1:6" x14ac:dyDescent="0.2">
      <c r="A33271" t="s">
        <v>51791</v>
      </c>
      <c r="B33271" t="s">
        <v>44630</v>
      </c>
      <c r="C33271" t="s">
        <v>908</v>
      </c>
      <c r="D33271" t="s">
        <v>283</v>
      </c>
      <c r="E33271" t="s">
        <v>621</v>
      </c>
      <c r="F33271" s="2" t="str">
        <f>HYPERLINK("http://www.otzar.org/book.asp?6035","פקוח נפש")</f>
        <v>פקוח נפש</v>
      </c>
    </row>
    <row r="33272" spans="1:6" x14ac:dyDescent="0.2">
      <c r="A33272" t="s">
        <v>51792</v>
      </c>
      <c r="B33272" t="s">
        <v>155</v>
      </c>
      <c r="C33272" t="s">
        <v>156</v>
      </c>
      <c r="D33272" t="s">
        <v>157</v>
      </c>
      <c r="E33272" t="s">
        <v>43</v>
      </c>
      <c r="F33272" s="2" t="str">
        <f>HYPERLINK("http://www.otzar.org/book.asp?22455","פר אחד")</f>
        <v>פר אחד</v>
      </c>
    </row>
    <row r="33273" spans="1:6" x14ac:dyDescent="0.2">
      <c r="A33273" t="s">
        <v>51793</v>
      </c>
      <c r="B33273" t="s">
        <v>51794</v>
      </c>
      <c r="C33273" t="s">
        <v>189</v>
      </c>
      <c r="D33273" t="s">
        <v>3436</v>
      </c>
      <c r="E33273" t="s">
        <v>399</v>
      </c>
      <c r="F33273" s="2" t="str">
        <f>HYPERLINK("http://www.otzar.org/book.asp?190717","פרד""ס להרמ""ך")</f>
        <v>פרד"ס להרמ"ך</v>
      </c>
    </row>
    <row r="33274" spans="1:6" x14ac:dyDescent="0.2">
      <c r="A33274" t="s">
        <v>51795</v>
      </c>
      <c r="B33274" t="s">
        <v>1712</v>
      </c>
      <c r="C33274" t="s">
        <v>896</v>
      </c>
      <c r="D33274" t="s">
        <v>267</v>
      </c>
      <c r="E33274" t="s">
        <v>1438</v>
      </c>
      <c r="F33274" s="2" t="str">
        <f>HYPERLINK("http://www.otzar.org/book.asp?105952","פרד""ס מנחם צדק צדקה צדיק")</f>
        <v>פרד"ס מנחם צדק צדקה צדיק</v>
      </c>
    </row>
    <row r="33275" spans="1:6" x14ac:dyDescent="0.2">
      <c r="A33275" t="s">
        <v>51796</v>
      </c>
      <c r="B33275" t="s">
        <v>15071</v>
      </c>
      <c r="C33275" t="s">
        <v>143</v>
      </c>
      <c r="D33275" t="s">
        <v>1153</v>
      </c>
      <c r="E33275" t="s">
        <v>246</v>
      </c>
      <c r="F33275" s="2" t="str">
        <f>HYPERLINK("http://www.otzar.org/book.asp?148627","פרד""ס על חג החנוכה")</f>
        <v>פרד"ס על חג החנוכה</v>
      </c>
    </row>
    <row r="33276" spans="1:6" x14ac:dyDescent="0.2">
      <c r="A33276" t="s">
        <v>51797</v>
      </c>
      <c r="B33276" t="s">
        <v>51798</v>
      </c>
      <c r="C33276" t="s">
        <v>111</v>
      </c>
      <c r="E33276" t="s">
        <v>230</v>
      </c>
      <c r="F33276" s="2" t="str">
        <f>HYPERLINK("http://www.otzar.org/book.asp?624757","פרדס אליהו")</f>
        <v>פרדס אליהו</v>
      </c>
    </row>
    <row r="33277" spans="1:6" x14ac:dyDescent="0.2">
      <c r="A33277" t="s">
        <v>51799</v>
      </c>
      <c r="B33277" t="s">
        <v>24063</v>
      </c>
      <c r="C33277" t="s">
        <v>68</v>
      </c>
      <c r="D33277" t="s">
        <v>412</v>
      </c>
      <c r="E33277" t="s">
        <v>104</v>
      </c>
      <c r="F33277" s="2" t="str">
        <f>HYPERLINK("http://www.otzar.org/book.asp?196272","פרדס אליעזר - 17 כר'")</f>
        <v>פרדס אליעזר - 17 כר'</v>
      </c>
    </row>
    <row r="33278" spans="1:6" x14ac:dyDescent="0.2">
      <c r="A33278" t="s">
        <v>51800</v>
      </c>
      <c r="B33278" t="s">
        <v>43868</v>
      </c>
      <c r="C33278" t="s">
        <v>411</v>
      </c>
      <c r="D33278" t="s">
        <v>646</v>
      </c>
      <c r="E33278" t="s">
        <v>64</v>
      </c>
      <c r="F33278" s="2" t="str">
        <f>HYPERLINK("http://www.otzar.org/book.asp?171189","פרדס דבש - 2 כר'")</f>
        <v>פרדס דבש - 2 כר'</v>
      </c>
    </row>
    <row r="33279" spans="1:6" x14ac:dyDescent="0.2">
      <c r="A33279" t="s">
        <v>51801</v>
      </c>
      <c r="B33279" t="s">
        <v>51802</v>
      </c>
      <c r="C33279" t="s">
        <v>4404</v>
      </c>
      <c r="D33279" t="s">
        <v>5665</v>
      </c>
      <c r="E33279" t="s">
        <v>7731</v>
      </c>
      <c r="F33279" s="2" t="str">
        <f>HYPERLINK("http://www.otzar.org/book.asp?101482","פרדס דוד - 7 כר'")</f>
        <v>פרדס דוד - 7 כר'</v>
      </c>
    </row>
    <row r="33280" spans="1:6" x14ac:dyDescent="0.2">
      <c r="A33280" t="s">
        <v>51803</v>
      </c>
      <c r="B33280" t="s">
        <v>5630</v>
      </c>
      <c r="E33280" t="s">
        <v>104</v>
      </c>
      <c r="F33280" s="2" t="str">
        <f>HYPERLINK("http://www.otzar.org/book.asp?602622","פרדס דוד")</f>
        <v>פרדס דוד</v>
      </c>
    </row>
    <row r="33281" spans="1:6" x14ac:dyDescent="0.2">
      <c r="A33281" t="s">
        <v>51803</v>
      </c>
      <c r="B33281" t="s">
        <v>51804</v>
      </c>
      <c r="C33281" t="s">
        <v>1208</v>
      </c>
      <c r="D33281" t="s">
        <v>216</v>
      </c>
      <c r="E33281" t="s">
        <v>104</v>
      </c>
      <c r="F33281" s="2" t="str">
        <f>HYPERLINK("http://www.otzar.org/book.asp?189245","פרדס דוד")</f>
        <v>פרדס דוד</v>
      </c>
    </row>
    <row r="33282" spans="1:6" x14ac:dyDescent="0.2">
      <c r="A33282" t="s">
        <v>51805</v>
      </c>
      <c r="B33282" t="s">
        <v>28040</v>
      </c>
      <c r="C33282" t="s">
        <v>1374</v>
      </c>
      <c r="D33282" t="s">
        <v>14</v>
      </c>
      <c r="E33282" t="s">
        <v>2071</v>
      </c>
      <c r="F33282" s="2" t="str">
        <f>HYPERLINK("http://www.otzar.org/book.asp?158952","פרדס הארץ")</f>
        <v>פרדס הארץ</v>
      </c>
    </row>
    <row r="33283" spans="1:6" x14ac:dyDescent="0.2">
      <c r="A33283" t="s">
        <v>51806</v>
      </c>
      <c r="B33283" t="s">
        <v>37204</v>
      </c>
      <c r="C33283" t="s">
        <v>1721</v>
      </c>
      <c r="D33283" t="s">
        <v>35335</v>
      </c>
      <c r="E33283" t="s">
        <v>2840</v>
      </c>
      <c r="F33283" s="2" t="str">
        <f>HYPERLINK("http://www.otzar.org/book.asp?103672","פרדס הבינה")</f>
        <v>פרדס הבינה</v>
      </c>
    </row>
    <row r="33284" spans="1:6" x14ac:dyDescent="0.2">
      <c r="A33284" t="s">
        <v>51807</v>
      </c>
      <c r="B33284" t="s">
        <v>5332</v>
      </c>
      <c r="C33284" t="s">
        <v>600</v>
      </c>
      <c r="D33284" t="s">
        <v>2295</v>
      </c>
      <c r="E33284" t="s">
        <v>15</v>
      </c>
      <c r="F33284" s="2" t="str">
        <f>HYPERLINK("http://www.otzar.org/book.asp?6249","פרדס הגדול")</f>
        <v>פרדס הגדול</v>
      </c>
    </row>
    <row r="33285" spans="1:6" x14ac:dyDescent="0.2">
      <c r="A33285" t="s">
        <v>51808</v>
      </c>
      <c r="B33285" t="s">
        <v>51809</v>
      </c>
      <c r="C33285" t="s">
        <v>1619</v>
      </c>
      <c r="D33285" t="s">
        <v>14</v>
      </c>
      <c r="E33285" t="s">
        <v>246</v>
      </c>
      <c r="F33285" s="2" t="str">
        <f>HYPERLINK("http://www.otzar.org/book.asp?161083","פרדס ההגדה השלם והמפואר")</f>
        <v>פרדס ההגדה השלם והמפואר</v>
      </c>
    </row>
    <row r="33286" spans="1:6" x14ac:dyDescent="0.2">
      <c r="A33286" t="s">
        <v>51810</v>
      </c>
      <c r="B33286" t="s">
        <v>51809</v>
      </c>
      <c r="C33286" t="s">
        <v>1619</v>
      </c>
      <c r="D33286" t="s">
        <v>14</v>
      </c>
      <c r="E33286" t="s">
        <v>246</v>
      </c>
      <c r="F33286" s="2" t="str">
        <f>HYPERLINK("http://www.otzar.org/book.asp?5203","פרדס ההגדה השלם")</f>
        <v>פרדס ההגדה השלם</v>
      </c>
    </row>
    <row r="33287" spans="1:6" x14ac:dyDescent="0.2">
      <c r="A33287" t="s">
        <v>51811</v>
      </c>
      <c r="B33287" t="s">
        <v>37204</v>
      </c>
      <c r="C33287" t="s">
        <v>8375</v>
      </c>
      <c r="D33287" t="s">
        <v>9748</v>
      </c>
      <c r="E33287" t="s">
        <v>2391</v>
      </c>
      <c r="F33287" s="2" t="str">
        <f>HYPERLINK("http://www.otzar.org/book.asp?102152","פרדס החכמה")</f>
        <v>פרדס החכמה</v>
      </c>
    </row>
    <row r="33288" spans="1:6" x14ac:dyDescent="0.2">
      <c r="A33288" t="s">
        <v>51812</v>
      </c>
      <c r="B33288" t="s">
        <v>51813</v>
      </c>
      <c r="C33288" t="s">
        <v>433</v>
      </c>
      <c r="D33288" t="s">
        <v>9</v>
      </c>
      <c r="E33288" t="s">
        <v>579</v>
      </c>
      <c r="F33288" s="2" t="str">
        <f>HYPERLINK("http://www.otzar.org/book.asp?167407","פרדס הלשון")</f>
        <v>פרדס הלשון</v>
      </c>
    </row>
    <row r="33289" spans="1:6" x14ac:dyDescent="0.2">
      <c r="A33289" t="s">
        <v>51814</v>
      </c>
      <c r="B33289" t="s">
        <v>51815</v>
      </c>
      <c r="C33289" t="s">
        <v>244</v>
      </c>
      <c r="D33289" t="s">
        <v>1632</v>
      </c>
      <c r="E33289" t="s">
        <v>246</v>
      </c>
      <c r="F33289" s="2" t="str">
        <f>HYPERLINK("http://www.otzar.org/book.asp?606459","פרדס המועדים - 2 כר'")</f>
        <v>פרדס המועדים - 2 כר'</v>
      </c>
    </row>
    <row r="33290" spans="1:6" x14ac:dyDescent="0.2">
      <c r="A33290" t="s">
        <v>51816</v>
      </c>
      <c r="B33290" t="s">
        <v>13865</v>
      </c>
      <c r="C33290" t="s">
        <v>422</v>
      </c>
      <c r="D33290" t="s">
        <v>412</v>
      </c>
      <c r="E33290" t="s">
        <v>230</v>
      </c>
      <c r="F33290" s="2" t="str">
        <f>HYPERLINK("http://www.otzar.org/book.asp?170864","פרדס המלך &lt;מהדורה חדשה&gt;")</f>
        <v>פרדס המלך &lt;מהדורה חדשה&gt;</v>
      </c>
    </row>
    <row r="33291" spans="1:6" x14ac:dyDescent="0.2">
      <c r="A33291" t="s">
        <v>51817</v>
      </c>
      <c r="B33291" t="s">
        <v>13865</v>
      </c>
      <c r="C33291" t="s">
        <v>462</v>
      </c>
      <c r="D33291" t="s">
        <v>51818</v>
      </c>
      <c r="E33291" t="s">
        <v>51819</v>
      </c>
      <c r="F33291" s="2" t="str">
        <f>HYPERLINK("http://www.otzar.org/book.asp?103673","פרדס המלך")</f>
        <v>פרדס המלך</v>
      </c>
    </row>
    <row r="33292" spans="1:6" x14ac:dyDescent="0.2">
      <c r="A33292" t="s">
        <v>51820</v>
      </c>
      <c r="B33292" t="s">
        <v>3306</v>
      </c>
      <c r="C33292" t="s">
        <v>111</v>
      </c>
      <c r="D33292" t="s">
        <v>14</v>
      </c>
      <c r="E33292" t="s">
        <v>1438</v>
      </c>
      <c r="F33292" s="2" t="str">
        <f>HYPERLINK("http://www.otzar.org/book.asp?626711","פרדס הספר")</f>
        <v>פרדס הספר</v>
      </c>
    </row>
    <row r="33293" spans="1:6" x14ac:dyDescent="0.2">
      <c r="A33293" t="s">
        <v>51821</v>
      </c>
      <c r="B33293" t="s">
        <v>51822</v>
      </c>
      <c r="C33293" t="s">
        <v>1570</v>
      </c>
      <c r="D33293" t="s">
        <v>29749</v>
      </c>
      <c r="E33293" t="s">
        <v>158</v>
      </c>
      <c r="F33293" s="2" t="str">
        <f>HYPERLINK("http://www.otzar.org/book.asp?63772","פרדס הרי""ם - 2 כר'")</f>
        <v>פרדס הרי"ם - 2 כר'</v>
      </c>
    </row>
    <row r="33294" spans="1:6" x14ac:dyDescent="0.2">
      <c r="A33294" t="s">
        <v>51823</v>
      </c>
      <c r="B33294" t="s">
        <v>19765</v>
      </c>
      <c r="C33294" t="s">
        <v>748</v>
      </c>
      <c r="D33294" t="s">
        <v>4269</v>
      </c>
      <c r="F33294" s="2" t="str">
        <f>HYPERLINK("http://www.otzar.org/book.asp?141707","פרדס הרמנים")</f>
        <v>פרדס הרמנים</v>
      </c>
    </row>
    <row r="33295" spans="1:6" x14ac:dyDescent="0.2">
      <c r="A33295" t="s">
        <v>51824</v>
      </c>
      <c r="B33295" t="s">
        <v>51825</v>
      </c>
      <c r="C33295" t="s">
        <v>624</v>
      </c>
      <c r="D33295" t="s">
        <v>14</v>
      </c>
      <c r="E33295" t="s">
        <v>51826</v>
      </c>
      <c r="F33295" s="2" t="str">
        <f>HYPERLINK("http://www.otzar.org/book.asp?152318","פרדס התורה")</f>
        <v>פרדס התורה</v>
      </c>
    </row>
    <row r="33296" spans="1:6" x14ac:dyDescent="0.2">
      <c r="A33296" t="s">
        <v>51827</v>
      </c>
      <c r="B33296" t="s">
        <v>39607</v>
      </c>
      <c r="C33296" t="s">
        <v>919</v>
      </c>
      <c r="D33296" t="s">
        <v>52</v>
      </c>
      <c r="E33296" t="s">
        <v>219</v>
      </c>
      <c r="F33296" s="2" t="str">
        <f>HYPERLINK("http://www.otzar.org/book.asp?84476","פרדס התפלה - נר לדוד")</f>
        <v>פרדס התפלה - נר לדוד</v>
      </c>
    </row>
    <row r="33297" spans="1:6" x14ac:dyDescent="0.2">
      <c r="A33297" t="s">
        <v>51828</v>
      </c>
      <c r="B33297" t="s">
        <v>51829</v>
      </c>
      <c r="C33297" t="s">
        <v>68</v>
      </c>
      <c r="D33297" t="s">
        <v>412</v>
      </c>
      <c r="E33297" t="s">
        <v>2915</v>
      </c>
      <c r="F33297" s="2" t="str">
        <f>HYPERLINK("http://www.otzar.org/book.asp?179253","פרדס חמד")</f>
        <v>פרדס חמד</v>
      </c>
    </row>
    <row r="33298" spans="1:6" x14ac:dyDescent="0.2">
      <c r="A33298" t="s">
        <v>51830</v>
      </c>
      <c r="B33298" t="s">
        <v>51831</v>
      </c>
      <c r="C33298" t="s">
        <v>189</v>
      </c>
      <c r="D33298" t="s">
        <v>52</v>
      </c>
      <c r="E33298" t="s">
        <v>104</v>
      </c>
      <c r="F33298" s="2" t="str">
        <f>HYPERLINK("http://www.otzar.org/book.asp?145073","פרדס יהודה - 2 כר'")</f>
        <v>פרדס יהודה - 2 כר'</v>
      </c>
    </row>
    <row r="33299" spans="1:6" x14ac:dyDescent="0.2">
      <c r="A33299" t="s">
        <v>51832</v>
      </c>
      <c r="B33299" t="s">
        <v>12291</v>
      </c>
      <c r="D33299" t="s">
        <v>52</v>
      </c>
      <c r="E33299" t="s">
        <v>158</v>
      </c>
      <c r="F33299" s="2" t="str">
        <f>HYPERLINK("http://www.otzar.org/book.asp?196500","פרדס יוסף החדש - 5 כר'")</f>
        <v>פרדס יוסף החדש - 5 כר'</v>
      </c>
    </row>
    <row r="33300" spans="1:6" x14ac:dyDescent="0.2">
      <c r="A33300" t="s">
        <v>51833</v>
      </c>
      <c r="B33300" t="s">
        <v>13708</v>
      </c>
      <c r="E33300" t="s">
        <v>158</v>
      </c>
      <c r="F33300" s="2" t="str">
        <f>HYPERLINK("http://www.otzar.org/book.asp?196504","פרדס יוסף השלם - 6 כר'")</f>
        <v>פרדס יוסף השלם - 6 כר'</v>
      </c>
    </row>
    <row r="33301" spans="1:6" x14ac:dyDescent="0.2">
      <c r="A33301" t="s">
        <v>51834</v>
      </c>
      <c r="B33301" t="s">
        <v>51835</v>
      </c>
      <c r="C33301" t="s">
        <v>1954</v>
      </c>
      <c r="D33301" t="s">
        <v>646</v>
      </c>
      <c r="E33301" t="s">
        <v>51826</v>
      </c>
      <c r="F33301" s="2" t="str">
        <f>HYPERLINK("http://www.otzar.org/book.asp?163979","פרדס יוסף")</f>
        <v>פרדס יוסף</v>
      </c>
    </row>
    <row r="33302" spans="1:6" x14ac:dyDescent="0.2">
      <c r="A33302" t="s">
        <v>51834</v>
      </c>
      <c r="B33302" t="s">
        <v>51836</v>
      </c>
      <c r="C33302" t="s">
        <v>129</v>
      </c>
      <c r="D33302" t="s">
        <v>486</v>
      </c>
      <c r="E33302" t="s">
        <v>158</v>
      </c>
      <c r="F33302" s="2" t="str">
        <f>HYPERLINK("http://www.otzar.org/book.asp?146993","פרדס יוסף")</f>
        <v>פרדס יוסף</v>
      </c>
    </row>
    <row r="33303" spans="1:6" x14ac:dyDescent="0.2">
      <c r="A33303" t="s">
        <v>51837</v>
      </c>
      <c r="B33303" t="s">
        <v>13708</v>
      </c>
      <c r="C33303" t="s">
        <v>10667</v>
      </c>
      <c r="D33303" t="s">
        <v>225</v>
      </c>
      <c r="E33303" t="s">
        <v>158</v>
      </c>
      <c r="F33303" s="2" t="str">
        <f>HYPERLINK("http://www.otzar.org/book.asp?105640","פרדס יוסף - 3 כר'")</f>
        <v>פרדס יוסף - 3 כר'</v>
      </c>
    </row>
    <row r="33304" spans="1:6" x14ac:dyDescent="0.2">
      <c r="A33304" t="s">
        <v>51838</v>
      </c>
      <c r="B33304" t="s">
        <v>12249</v>
      </c>
      <c r="C33304" t="s">
        <v>111</v>
      </c>
      <c r="D33304" t="s">
        <v>52</v>
      </c>
      <c r="F33304" s="2" t="str">
        <f>HYPERLINK("http://www.otzar.org/book.asp?623090","פרדס ישעיה")</f>
        <v>פרדס ישעיה</v>
      </c>
    </row>
    <row r="33305" spans="1:6" x14ac:dyDescent="0.2">
      <c r="A33305" t="s">
        <v>51839</v>
      </c>
      <c r="B33305" t="s">
        <v>51840</v>
      </c>
      <c r="C33305" t="s">
        <v>366</v>
      </c>
      <c r="D33305" t="s">
        <v>51841</v>
      </c>
      <c r="E33305" t="s">
        <v>10</v>
      </c>
      <c r="F33305" s="2" t="str">
        <f>HYPERLINK("http://www.otzar.org/book.asp?612393","פרדס ישעיהו - 3 כר'")</f>
        <v>פרדס ישעיהו - 3 כר'</v>
      </c>
    </row>
    <row r="33306" spans="1:6" x14ac:dyDescent="0.2">
      <c r="A33306" t="s">
        <v>51842</v>
      </c>
      <c r="B33306" t="s">
        <v>51843</v>
      </c>
      <c r="C33306" t="s">
        <v>151</v>
      </c>
      <c r="D33306" t="s">
        <v>229</v>
      </c>
      <c r="E33306" t="s">
        <v>230</v>
      </c>
      <c r="F33306" s="2" t="str">
        <f>HYPERLINK("http://www.otzar.org/book.asp?627424","פרדס ישראל")</f>
        <v>פרדס ישראל</v>
      </c>
    </row>
    <row r="33307" spans="1:6" x14ac:dyDescent="0.2">
      <c r="A33307" t="s">
        <v>51844</v>
      </c>
      <c r="B33307" t="s">
        <v>45667</v>
      </c>
      <c r="C33307" t="s">
        <v>785</v>
      </c>
      <c r="D33307" t="s">
        <v>14</v>
      </c>
      <c r="E33307" t="s">
        <v>834</v>
      </c>
      <c r="F33307" s="2" t="str">
        <f>HYPERLINK("http://www.otzar.org/book.asp?63608","פרדס מנחם")</f>
        <v>פרדס מנחם</v>
      </c>
    </row>
    <row r="33308" spans="1:6" x14ac:dyDescent="0.2">
      <c r="A33308" t="s">
        <v>51845</v>
      </c>
      <c r="B33308" t="s">
        <v>3288</v>
      </c>
      <c r="C33308" t="s">
        <v>23</v>
      </c>
      <c r="D33308" t="s">
        <v>1273</v>
      </c>
      <c r="E33308" t="s">
        <v>158</v>
      </c>
      <c r="F33308" s="2" t="str">
        <f>HYPERLINK("http://www.otzar.org/book.asp?196310","פרדס מרדכי &lt;מהדורה חדשה&gt; - בראשית")</f>
        <v>פרדס מרדכי &lt;מהדורה חדשה&gt; - בראשית</v>
      </c>
    </row>
    <row r="33309" spans="1:6" x14ac:dyDescent="0.2">
      <c r="A33309" t="s">
        <v>51846</v>
      </c>
      <c r="B33309" t="s">
        <v>3288</v>
      </c>
      <c r="C33309" t="s">
        <v>506</v>
      </c>
      <c r="D33309" t="s">
        <v>379</v>
      </c>
      <c r="E33309" t="s">
        <v>51847</v>
      </c>
      <c r="F33309" s="2" t="str">
        <f>HYPERLINK("http://www.otzar.org/book.asp?102151","פרדס מרדכי")</f>
        <v>פרדס מרדכי</v>
      </c>
    </row>
    <row r="33310" spans="1:6" x14ac:dyDescent="0.2">
      <c r="A33310" t="s">
        <v>51848</v>
      </c>
      <c r="B33310" t="s">
        <v>51849</v>
      </c>
      <c r="C33310" t="s">
        <v>151</v>
      </c>
      <c r="D33310" t="s">
        <v>52</v>
      </c>
      <c r="F33310" s="2" t="str">
        <f>HYPERLINK("http://www.otzar.org/book.asp?617809","פרדס נסים - 2 כר'")</f>
        <v>פרדס נסים - 2 כר'</v>
      </c>
    </row>
    <row r="33311" spans="1:6" x14ac:dyDescent="0.2">
      <c r="A33311" t="s">
        <v>51850</v>
      </c>
      <c r="B33311" t="s">
        <v>4645</v>
      </c>
      <c r="C33311" t="s">
        <v>51851</v>
      </c>
      <c r="D33311" t="s">
        <v>260</v>
      </c>
      <c r="E33311" t="s">
        <v>2135</v>
      </c>
      <c r="F33311" s="2" t="str">
        <f>HYPERLINK("http://www.otzar.org/book.asp?6761","פרדס פתחיה - 4 כר'")</f>
        <v>פרדס פתחיה - 4 כר'</v>
      </c>
    </row>
    <row r="33312" spans="1:6" x14ac:dyDescent="0.2">
      <c r="A33312" t="s">
        <v>51852</v>
      </c>
      <c r="B33312" t="s">
        <v>3035</v>
      </c>
      <c r="C33312" t="s">
        <v>533</v>
      </c>
      <c r="D33312" t="s">
        <v>14</v>
      </c>
      <c r="E33312" t="s">
        <v>51853</v>
      </c>
      <c r="F33312" s="2" t="str">
        <f>HYPERLINK("http://www.otzar.org/book.asp?63795","פרדס צבי")</f>
        <v>פרדס צבי</v>
      </c>
    </row>
    <row r="33313" spans="1:6" x14ac:dyDescent="0.2">
      <c r="A33313" t="s">
        <v>51854</v>
      </c>
      <c r="B33313" t="s">
        <v>51855</v>
      </c>
      <c r="C33313" t="s">
        <v>23</v>
      </c>
      <c r="D33313" t="s">
        <v>14</v>
      </c>
      <c r="E33313" t="s">
        <v>144</v>
      </c>
      <c r="F33313" s="2" t="str">
        <f>HYPERLINK("http://www.otzar.org/book.asp?199453","פרדס רימונים &lt;מהדורה חדשה&gt; - ע""ז")</f>
        <v>פרדס רימונים &lt;מהדורה חדשה&gt; - ע"ז</v>
      </c>
    </row>
    <row r="33314" spans="1:6" x14ac:dyDescent="0.2">
      <c r="A33314" t="s">
        <v>51856</v>
      </c>
      <c r="B33314" t="s">
        <v>51855</v>
      </c>
      <c r="C33314" t="s">
        <v>334</v>
      </c>
      <c r="D33314" t="s">
        <v>14</v>
      </c>
      <c r="E33314" t="s">
        <v>154</v>
      </c>
      <c r="F33314" s="2" t="str">
        <f>HYPERLINK("http://www.otzar.org/book.asp?165351","פרדס רימונים")</f>
        <v>פרדס רימונים</v>
      </c>
    </row>
    <row r="33315" spans="1:6" x14ac:dyDescent="0.2">
      <c r="A33315" t="s">
        <v>51856</v>
      </c>
      <c r="B33315" t="s">
        <v>51857</v>
      </c>
      <c r="C33315" t="s">
        <v>133</v>
      </c>
      <c r="D33315" t="s">
        <v>52</v>
      </c>
      <c r="F33315" s="2" t="str">
        <f>HYPERLINK("http://www.otzar.org/book.asp?182820","פרדס רימונים")</f>
        <v>פרדס רימונים</v>
      </c>
    </row>
    <row r="33316" spans="1:6" x14ac:dyDescent="0.2">
      <c r="A33316" t="s">
        <v>51856</v>
      </c>
      <c r="B33316" t="s">
        <v>51858</v>
      </c>
      <c r="C33316" t="s">
        <v>156</v>
      </c>
      <c r="D33316" t="s">
        <v>267</v>
      </c>
      <c r="E33316" t="s">
        <v>172</v>
      </c>
      <c r="F33316" s="2" t="str">
        <f>HYPERLINK("http://www.otzar.org/book.asp?61771","פרדס רימונים")</f>
        <v>פרדס רימונים</v>
      </c>
    </row>
    <row r="33317" spans="1:6" x14ac:dyDescent="0.2">
      <c r="A33317" t="s">
        <v>51856</v>
      </c>
      <c r="B33317" t="s">
        <v>51859</v>
      </c>
      <c r="C33317">
        <v>1973</v>
      </c>
      <c r="D33317" t="s">
        <v>21</v>
      </c>
      <c r="F33317" s="2" t="str">
        <f>HYPERLINK("http://www.otzar.org/book.asp?192883","פרדס רימונים")</f>
        <v>פרדס רימונים</v>
      </c>
    </row>
    <row r="33318" spans="1:6" x14ac:dyDescent="0.2">
      <c r="A33318" t="s">
        <v>51860</v>
      </c>
      <c r="B33318" t="s">
        <v>27749</v>
      </c>
      <c r="C33318" t="s">
        <v>1888</v>
      </c>
      <c r="D33318" t="s">
        <v>1966</v>
      </c>
      <c r="E33318" t="s">
        <v>154</v>
      </c>
      <c r="F33318" s="2" t="str">
        <f>HYPERLINK("http://www.otzar.org/book.asp?20542","פרדס רמונים (חלק דברי שלום ואמת)")</f>
        <v>פרדס רמונים (חלק דברי שלום ואמת)</v>
      </c>
    </row>
    <row r="33319" spans="1:6" x14ac:dyDescent="0.2">
      <c r="A33319" t="s">
        <v>51861</v>
      </c>
      <c r="B33319" t="s">
        <v>51862</v>
      </c>
      <c r="C33319" t="s">
        <v>1163</v>
      </c>
      <c r="D33319" t="s">
        <v>1163</v>
      </c>
      <c r="E33319" t="s">
        <v>579</v>
      </c>
      <c r="F33319" s="2" t="str">
        <f>HYPERLINK("http://www.otzar.org/book.asp?64180","פרדס רמונים עם פרי מגדים &lt;כת""י&gt; - 5 כר'")</f>
        <v>פרדס רמונים עם פרי מגדים &lt;כת"י&gt; - 5 כר'</v>
      </c>
    </row>
    <row r="33320" spans="1:6" x14ac:dyDescent="0.2">
      <c r="A33320" t="s">
        <v>51863</v>
      </c>
      <c r="B33320" t="s">
        <v>13640</v>
      </c>
      <c r="C33320" t="s">
        <v>1058</v>
      </c>
      <c r="D33320" t="s">
        <v>56</v>
      </c>
      <c r="E33320" t="s">
        <v>148</v>
      </c>
      <c r="F33320" s="2" t="str">
        <f>HYPERLINK("http://www.otzar.org/book.asp?1042","פרדס רמונים - 7 כר'")</f>
        <v>פרדס רמונים - 7 כר'</v>
      </c>
    </row>
    <row r="33321" spans="1:6" x14ac:dyDescent="0.2">
      <c r="A33321" t="s">
        <v>51864</v>
      </c>
      <c r="B33321" t="s">
        <v>51865</v>
      </c>
      <c r="C33321" t="s">
        <v>550</v>
      </c>
      <c r="D33321" t="s">
        <v>1419</v>
      </c>
      <c r="E33321" t="s">
        <v>144</v>
      </c>
      <c r="F33321" s="2" t="str">
        <f>HYPERLINK("http://www.otzar.org/book.asp?101654","פרדס רמונים - 2 כר'")</f>
        <v>פרדס רמונים - 2 כר'</v>
      </c>
    </row>
    <row r="33322" spans="1:6" x14ac:dyDescent="0.2">
      <c r="A33322" t="s">
        <v>51866</v>
      </c>
      <c r="B33322" t="s">
        <v>4785</v>
      </c>
      <c r="C33322" t="s">
        <v>366</v>
      </c>
      <c r="D33322" t="s">
        <v>52</v>
      </c>
      <c r="F33322" s="2" t="str">
        <f>HYPERLINK("http://www.otzar.org/book.asp?615961","פרדס רמונים")</f>
        <v>פרדס רמונים</v>
      </c>
    </row>
    <row r="33323" spans="1:6" x14ac:dyDescent="0.2">
      <c r="A33323" t="s">
        <v>51866</v>
      </c>
      <c r="B33323" t="s">
        <v>27749</v>
      </c>
      <c r="C33323" t="s">
        <v>1888</v>
      </c>
      <c r="D33323" t="s">
        <v>1966</v>
      </c>
      <c r="E33323" t="s">
        <v>10</v>
      </c>
      <c r="F33323" s="2" t="str">
        <f>HYPERLINK("http://www.otzar.org/book.asp?28385","פרדס רמונים")</f>
        <v>פרדס רמונים</v>
      </c>
    </row>
    <row r="33324" spans="1:6" x14ac:dyDescent="0.2">
      <c r="A33324" t="s">
        <v>51867</v>
      </c>
      <c r="B33324" t="s">
        <v>4201</v>
      </c>
      <c r="C33324" t="s">
        <v>51868</v>
      </c>
      <c r="D33324" t="s">
        <v>1117</v>
      </c>
      <c r="E33324" t="s">
        <v>399</v>
      </c>
      <c r="F33324" s="2" t="str">
        <f>HYPERLINK("http://www.otzar.org/book.asp?5923","פרדס רמונים - 5 כר'")</f>
        <v>פרדס רמונים - 5 כר'</v>
      </c>
    </row>
    <row r="33325" spans="1:6" x14ac:dyDescent="0.2">
      <c r="A33325" t="s">
        <v>51869</v>
      </c>
      <c r="B33325" t="s">
        <v>932</v>
      </c>
      <c r="C33325" t="s">
        <v>356</v>
      </c>
      <c r="D33325" t="s">
        <v>118</v>
      </c>
      <c r="E33325" t="s">
        <v>2054</v>
      </c>
      <c r="F33325" s="2" t="str">
        <f>HYPERLINK("http://www.otzar.org/book.asp?176582","פרדס שאול - 2 כר'")</f>
        <v>פרדס שאול - 2 כר'</v>
      </c>
    </row>
    <row r="33326" spans="1:6" x14ac:dyDescent="0.2">
      <c r="A33326" t="s">
        <v>51870</v>
      </c>
      <c r="B33326" t="s">
        <v>51871</v>
      </c>
      <c r="C33326" t="s">
        <v>1470</v>
      </c>
      <c r="D33326" t="s">
        <v>4650</v>
      </c>
      <c r="E33326" t="s">
        <v>241</v>
      </c>
      <c r="F33326" s="2" t="str">
        <f>HYPERLINK("http://www.otzar.org/book.asp?626449","פרדס שלום")</f>
        <v>פרדס שלום</v>
      </c>
    </row>
    <row r="33327" spans="1:6" x14ac:dyDescent="0.2">
      <c r="A33327" t="s">
        <v>51872</v>
      </c>
      <c r="B33327" t="s">
        <v>41602</v>
      </c>
      <c r="C33327" t="s">
        <v>2132</v>
      </c>
      <c r="D33327" t="s">
        <v>14</v>
      </c>
      <c r="E33327" t="s">
        <v>158</v>
      </c>
      <c r="F33327" s="2" t="str">
        <f>HYPERLINK("http://www.otzar.org/book.asp?606627","פרדס שמאי")</f>
        <v>פרדס שמאי</v>
      </c>
    </row>
    <row r="33328" spans="1:6" x14ac:dyDescent="0.2">
      <c r="A33328" t="s">
        <v>51873</v>
      </c>
      <c r="B33328" t="s">
        <v>1681</v>
      </c>
      <c r="C33328" t="s">
        <v>334</v>
      </c>
      <c r="D33328" t="s">
        <v>52</v>
      </c>
      <c r="E33328" t="s">
        <v>172</v>
      </c>
      <c r="F33328" s="2" t="str">
        <f>HYPERLINK("http://www.otzar.org/book.asp?145330","פרדס שמחה")</f>
        <v>פרדס שמחה</v>
      </c>
    </row>
    <row r="33329" spans="1:6" x14ac:dyDescent="0.2">
      <c r="A33329" t="s">
        <v>51874</v>
      </c>
      <c r="B33329" t="s">
        <v>51875</v>
      </c>
      <c r="C33329" t="s">
        <v>13</v>
      </c>
      <c r="D33329" t="s">
        <v>273</v>
      </c>
      <c r="E33329" t="s">
        <v>15</v>
      </c>
      <c r="F33329" s="2" t="str">
        <f>HYPERLINK("http://www.otzar.org/book.asp?197818","פרוזבול ושמיטת כספים בזמן הזה")</f>
        <v>פרוזבול ושמיטת כספים בזמן הזה</v>
      </c>
    </row>
    <row r="33330" spans="1:6" x14ac:dyDescent="0.2">
      <c r="A33330" t="s">
        <v>51876</v>
      </c>
      <c r="B33330" t="s">
        <v>35938</v>
      </c>
      <c r="C33330" t="s">
        <v>777</v>
      </c>
      <c r="D33330" t="s">
        <v>1889</v>
      </c>
      <c r="E33330" t="s">
        <v>144</v>
      </c>
      <c r="F33330" s="2" t="str">
        <f>HYPERLINK("http://www.otzar.org/book.asp?19180","פרוכת המסך")</f>
        <v>פרוכת המסך</v>
      </c>
    </row>
    <row r="33331" spans="1:6" x14ac:dyDescent="0.2">
      <c r="A33331" t="s">
        <v>51877</v>
      </c>
      <c r="B33331" t="s">
        <v>38466</v>
      </c>
      <c r="C33331" t="s">
        <v>547</v>
      </c>
      <c r="D33331" t="s">
        <v>27</v>
      </c>
      <c r="E33331" t="s">
        <v>158</v>
      </c>
      <c r="F33331" s="2" t="str">
        <f>HYPERLINK("http://www.otzar.org/book.asp?103674","פרורי אורה")</f>
        <v>פרורי אורה</v>
      </c>
    </row>
    <row r="33332" spans="1:6" x14ac:dyDescent="0.2">
      <c r="A33332" t="s">
        <v>51878</v>
      </c>
      <c r="B33332" t="s">
        <v>41503</v>
      </c>
      <c r="C33332" t="s">
        <v>23</v>
      </c>
      <c r="D33332" t="s">
        <v>90</v>
      </c>
      <c r="E33332" t="s">
        <v>246</v>
      </c>
      <c r="F33332" s="2" t="str">
        <f>HYPERLINK("http://www.otzar.org/book.asp?600198","פרורים לפורים")</f>
        <v>פרורים לפורים</v>
      </c>
    </row>
    <row r="33333" spans="1:6" x14ac:dyDescent="0.2">
      <c r="A33333" t="s">
        <v>51879</v>
      </c>
      <c r="B33333" t="s">
        <v>45961</v>
      </c>
      <c r="C33333" t="s">
        <v>51</v>
      </c>
      <c r="D33333" t="s">
        <v>14</v>
      </c>
      <c r="F33333" s="2" t="str">
        <f>HYPERLINK("http://www.otzar.org/book.asp?620799","פרורים משלחן גבוה")</f>
        <v>פרורים משלחן גבוה</v>
      </c>
    </row>
    <row r="33334" spans="1:6" x14ac:dyDescent="0.2">
      <c r="A33334" t="s">
        <v>51880</v>
      </c>
      <c r="B33334" t="s">
        <v>51879</v>
      </c>
      <c r="C33334" t="s">
        <v>624</v>
      </c>
      <c r="D33334" t="s">
        <v>52</v>
      </c>
      <c r="E33334" t="s">
        <v>154</v>
      </c>
      <c r="F33334" s="2" t="str">
        <f>HYPERLINK("http://www.otzar.org/book.asp?61252","פרורים משלחן גבוה - 5 כר'")</f>
        <v>פרורים משלחן גבוה - 5 כר'</v>
      </c>
    </row>
    <row r="33335" spans="1:6" x14ac:dyDescent="0.2">
      <c r="A33335" t="s">
        <v>51881</v>
      </c>
      <c r="B33335" t="s">
        <v>51882</v>
      </c>
      <c r="C33335" t="s">
        <v>438</v>
      </c>
      <c r="D33335" t="s">
        <v>646</v>
      </c>
      <c r="F33335" s="2" t="str">
        <f>HYPERLINK("http://www.otzar.org/book.asp?615807","פרושי הרשב""א והרד""ק על התורה")</f>
        <v>פרושי הרשב"א והרד"ק על התורה</v>
      </c>
    </row>
    <row r="33336" spans="1:6" x14ac:dyDescent="0.2">
      <c r="A33336" t="s">
        <v>51883</v>
      </c>
      <c r="B33336" t="s">
        <v>9476</v>
      </c>
      <c r="C33336" t="s">
        <v>1418</v>
      </c>
      <c r="D33336" t="s">
        <v>280</v>
      </c>
      <c r="E33336" t="s">
        <v>957</v>
      </c>
      <c r="F33336" s="2" t="str">
        <f>HYPERLINK("http://www.otzar.org/book.asp?20174","פרושים על ספר איוב")</f>
        <v>פרושים על ספר איוב</v>
      </c>
    </row>
    <row r="33337" spans="1:6" x14ac:dyDescent="0.2">
      <c r="A33337" t="s">
        <v>51884</v>
      </c>
      <c r="B33337" t="s">
        <v>51885</v>
      </c>
      <c r="C33337" t="s">
        <v>356</v>
      </c>
      <c r="D33337" t="s">
        <v>14</v>
      </c>
      <c r="E33337" t="s">
        <v>130</v>
      </c>
      <c r="F33337" s="2" t="str">
        <f>HYPERLINK("http://www.otzar.org/book.asp?163149","פרזים ומוקפים, פורים שחל להיות בשבת")</f>
        <v>פרזים ומוקפים, פורים שחל להיות בשבת</v>
      </c>
    </row>
    <row r="33338" spans="1:6" x14ac:dyDescent="0.2">
      <c r="A33338" t="s">
        <v>51886</v>
      </c>
      <c r="B33338" t="s">
        <v>51887</v>
      </c>
      <c r="C33338" t="s">
        <v>812</v>
      </c>
      <c r="D33338" t="s">
        <v>5812</v>
      </c>
      <c r="E33338" t="s">
        <v>8542</v>
      </c>
      <c r="F33338" s="2" t="str">
        <f>HYPERLINK("http://www.otzar.org/book.asp?21445","פרח הגפן")</f>
        <v>פרח הגפן</v>
      </c>
    </row>
    <row r="33339" spans="1:6" x14ac:dyDescent="0.2">
      <c r="A33339" t="s">
        <v>51888</v>
      </c>
      <c r="B33339" t="s">
        <v>14323</v>
      </c>
      <c r="C33339" t="s">
        <v>2874</v>
      </c>
      <c r="D33339" t="s">
        <v>9</v>
      </c>
      <c r="E33339" t="s">
        <v>1697</v>
      </c>
      <c r="F33339" s="2" t="str">
        <f>HYPERLINK("http://www.otzar.org/book.asp?103675","פרח לבנון - 2 כר'")</f>
        <v>פרח לבנון - 2 כר'</v>
      </c>
    </row>
    <row r="33340" spans="1:6" x14ac:dyDescent="0.2">
      <c r="A33340" t="s">
        <v>51888</v>
      </c>
      <c r="B33340" t="s">
        <v>51889</v>
      </c>
      <c r="C33340" t="s">
        <v>5619</v>
      </c>
      <c r="D33340" t="s">
        <v>280</v>
      </c>
      <c r="E33340" t="s">
        <v>158</v>
      </c>
      <c r="F33340" s="2" t="str">
        <f>HYPERLINK("http://www.otzar.org/book.asp?25293","פרח לבנון - 2 כר'")</f>
        <v>פרח לבנון - 2 כר'</v>
      </c>
    </row>
    <row r="33341" spans="1:6" x14ac:dyDescent="0.2">
      <c r="A33341" t="s">
        <v>51890</v>
      </c>
      <c r="B33341" t="s">
        <v>51891</v>
      </c>
      <c r="C33341" t="s">
        <v>51</v>
      </c>
      <c r="D33341" t="s">
        <v>52</v>
      </c>
      <c r="E33341" t="s">
        <v>130</v>
      </c>
      <c r="F33341" s="2" t="str">
        <f>HYPERLINK("http://www.otzar.org/book.asp?85236","פרח מטה אהרון")</f>
        <v>פרח מטה אהרון</v>
      </c>
    </row>
    <row r="33342" spans="1:6" x14ac:dyDescent="0.2">
      <c r="A33342" t="s">
        <v>51892</v>
      </c>
      <c r="B33342" t="s">
        <v>51893</v>
      </c>
      <c r="C33342" t="s">
        <v>168</v>
      </c>
      <c r="D33342" t="s">
        <v>14</v>
      </c>
      <c r="F33342" s="2" t="str">
        <f>HYPERLINK("http://www.otzar.org/book.asp?612172","פרח מטה אהרן - על אדמו""ר בעל שומרי אמונים")</f>
        <v>פרח מטה אהרן - על אדמו"ר בעל שומרי אמונים</v>
      </c>
    </row>
    <row r="33343" spans="1:6" x14ac:dyDescent="0.2">
      <c r="A33343" t="s">
        <v>51894</v>
      </c>
      <c r="B33343" t="s">
        <v>48324</v>
      </c>
      <c r="C33343" t="s">
        <v>466</v>
      </c>
      <c r="D33343" t="s">
        <v>14</v>
      </c>
      <c r="F33343" s="2" t="str">
        <f>HYPERLINK("http://www.otzar.org/book.asp?610818","פרח מטה אהרן - 2 כר'")</f>
        <v>פרח מטה אהרן - 2 כר'</v>
      </c>
    </row>
    <row r="33344" spans="1:6" x14ac:dyDescent="0.2">
      <c r="A33344" t="s">
        <v>51894</v>
      </c>
      <c r="B33344" t="s">
        <v>8790</v>
      </c>
      <c r="C33344" t="s">
        <v>4304</v>
      </c>
      <c r="D33344" t="s">
        <v>1023</v>
      </c>
      <c r="E33344" t="s">
        <v>154</v>
      </c>
      <c r="F33344" s="2" t="str">
        <f>HYPERLINK("http://www.otzar.org/book.asp?101667","פרח מטה אהרן - 2 כר'")</f>
        <v>פרח מטה אהרן - 2 כר'</v>
      </c>
    </row>
    <row r="33345" spans="1:6" x14ac:dyDescent="0.2">
      <c r="A33345" t="s">
        <v>51895</v>
      </c>
      <c r="B33345" t="s">
        <v>2396</v>
      </c>
      <c r="C33345" t="s">
        <v>244</v>
      </c>
      <c r="D33345" t="s">
        <v>1076</v>
      </c>
      <c r="E33345" t="s">
        <v>158</v>
      </c>
      <c r="F33345" s="2" t="str">
        <f>HYPERLINK("http://www.otzar.org/book.asp?617265","פרח מטה אהרן - בפסוקי התורה")</f>
        <v>פרח מטה אהרן - בפסוקי התורה</v>
      </c>
    </row>
    <row r="33346" spans="1:6" x14ac:dyDescent="0.2">
      <c r="A33346" t="s">
        <v>51896</v>
      </c>
      <c r="B33346" t="s">
        <v>51897</v>
      </c>
      <c r="C33346" t="s">
        <v>87</v>
      </c>
      <c r="D33346" t="s">
        <v>14</v>
      </c>
      <c r="E33346" t="s">
        <v>154</v>
      </c>
      <c r="F33346" s="2" t="str">
        <f>HYPERLINK("http://www.otzar.org/book.asp?64093","פרח שושן &lt;מהדורת ישמח לב&gt;")</f>
        <v>פרח שושן &lt;מהדורת ישמח לב&gt;</v>
      </c>
    </row>
    <row r="33347" spans="1:6" x14ac:dyDescent="0.2">
      <c r="A33347" t="s">
        <v>51898</v>
      </c>
      <c r="B33347" t="s">
        <v>51899</v>
      </c>
      <c r="C33347" t="s">
        <v>146</v>
      </c>
      <c r="D33347" t="s">
        <v>14</v>
      </c>
      <c r="E33347" t="s">
        <v>84</v>
      </c>
      <c r="F33347" s="2" t="str">
        <f>HYPERLINK("http://www.otzar.org/book.asp?143671","פרח שושן")</f>
        <v>פרח שושן</v>
      </c>
    </row>
    <row r="33348" spans="1:6" x14ac:dyDescent="0.2">
      <c r="A33348" t="s">
        <v>51898</v>
      </c>
      <c r="B33348" t="s">
        <v>40391</v>
      </c>
      <c r="C33348" t="s">
        <v>356</v>
      </c>
      <c r="D33348" t="s">
        <v>14</v>
      </c>
      <c r="E33348" t="s">
        <v>158</v>
      </c>
      <c r="F33348" s="2" t="str">
        <f>HYPERLINK("http://www.otzar.org/book.asp?25856","פרח שושן")</f>
        <v>פרח שושן</v>
      </c>
    </row>
    <row r="33349" spans="1:6" x14ac:dyDescent="0.2">
      <c r="A33349" t="s">
        <v>51898</v>
      </c>
      <c r="B33349" t="s">
        <v>51897</v>
      </c>
      <c r="C33349" t="s">
        <v>5709</v>
      </c>
      <c r="D33349" t="s">
        <v>1490</v>
      </c>
      <c r="E33349" t="s">
        <v>154</v>
      </c>
      <c r="F33349" s="2" t="str">
        <f>HYPERLINK("http://www.otzar.org/book.asp?10920","פרח שושן")</f>
        <v>פרח שושן</v>
      </c>
    </row>
    <row r="33350" spans="1:6" x14ac:dyDescent="0.2">
      <c r="A33350" t="s">
        <v>51898</v>
      </c>
      <c r="B33350" t="s">
        <v>10045</v>
      </c>
      <c r="C33350" t="s">
        <v>946</v>
      </c>
      <c r="D33350" t="s">
        <v>30</v>
      </c>
      <c r="E33350" t="s">
        <v>84</v>
      </c>
      <c r="F33350" s="2" t="str">
        <f>HYPERLINK("http://www.otzar.org/book.asp?51776","פרח שושן")</f>
        <v>פרח שושן</v>
      </c>
    </row>
    <row r="33351" spans="1:6" x14ac:dyDescent="0.2">
      <c r="A33351" t="s">
        <v>51900</v>
      </c>
      <c r="B33351" t="s">
        <v>3935</v>
      </c>
      <c r="C33351" t="s">
        <v>919</v>
      </c>
      <c r="D33351" t="s">
        <v>412</v>
      </c>
      <c r="E33351" t="s">
        <v>154</v>
      </c>
      <c r="F33351" s="2" t="str">
        <f>HYPERLINK("http://www.otzar.org/book.asp?102724","פרח שושנה")</f>
        <v>פרח שושנה</v>
      </c>
    </row>
    <row r="33352" spans="1:6" x14ac:dyDescent="0.2">
      <c r="A33352" t="s">
        <v>51901</v>
      </c>
      <c r="B33352" t="s">
        <v>3292</v>
      </c>
      <c r="C33352" t="s">
        <v>362</v>
      </c>
      <c r="D33352" t="s">
        <v>563</v>
      </c>
      <c r="E33352" t="s">
        <v>435</v>
      </c>
      <c r="F33352" s="2" t="str">
        <f>HYPERLINK("http://www.otzar.org/book.asp?51785","פרחי אביב")</f>
        <v>פרחי אביב</v>
      </c>
    </row>
    <row r="33353" spans="1:6" x14ac:dyDescent="0.2">
      <c r="A33353" t="s">
        <v>51902</v>
      </c>
      <c r="B33353" t="s">
        <v>51903</v>
      </c>
      <c r="C33353" t="s">
        <v>482</v>
      </c>
      <c r="D33353" t="s">
        <v>9</v>
      </c>
      <c r="E33353" t="s">
        <v>803</v>
      </c>
      <c r="F33353" s="2" t="str">
        <f>HYPERLINK("http://www.otzar.org/book.asp?52375","פרחי אהרן - 2 כר'")</f>
        <v>פרחי אהרן - 2 כר'</v>
      </c>
    </row>
    <row r="33354" spans="1:6" x14ac:dyDescent="0.2">
      <c r="A33354" t="s">
        <v>51904</v>
      </c>
      <c r="B33354" t="s">
        <v>51905</v>
      </c>
      <c r="C33354" t="s">
        <v>146</v>
      </c>
      <c r="D33354" t="s">
        <v>14</v>
      </c>
      <c r="E33354" t="s">
        <v>158</v>
      </c>
      <c r="F33354" s="2" t="str">
        <f>HYPERLINK("http://www.otzar.org/book.asp?50118","פרחי אהרן")</f>
        <v>פרחי אהרן</v>
      </c>
    </row>
    <row r="33355" spans="1:6" x14ac:dyDescent="0.2">
      <c r="A33355" t="s">
        <v>51904</v>
      </c>
      <c r="B33355" t="s">
        <v>51906</v>
      </c>
      <c r="C33355" t="s">
        <v>506</v>
      </c>
      <c r="D33355" t="s">
        <v>225</v>
      </c>
      <c r="E33355" t="s">
        <v>104</v>
      </c>
      <c r="F33355" s="2" t="str">
        <f>HYPERLINK("http://www.otzar.org/book.asp?168132","פרחי אהרן")</f>
        <v>פרחי אהרן</v>
      </c>
    </row>
    <row r="33356" spans="1:6" x14ac:dyDescent="0.2">
      <c r="A33356" t="s">
        <v>51904</v>
      </c>
      <c r="B33356" t="s">
        <v>23620</v>
      </c>
      <c r="C33356" t="s">
        <v>547</v>
      </c>
      <c r="D33356" t="s">
        <v>260</v>
      </c>
      <c r="E33356" t="s">
        <v>50864</v>
      </c>
      <c r="F33356" s="2" t="str">
        <f>HYPERLINK("http://www.otzar.org/book.asp?19183","פרחי אהרן")</f>
        <v>פרחי אהרן</v>
      </c>
    </row>
    <row r="33357" spans="1:6" x14ac:dyDescent="0.2">
      <c r="A33357" t="s">
        <v>51907</v>
      </c>
      <c r="B33357" t="s">
        <v>51908</v>
      </c>
      <c r="C33357" t="s">
        <v>51909</v>
      </c>
      <c r="D33357" t="s">
        <v>51910</v>
      </c>
      <c r="E33357" t="s">
        <v>84</v>
      </c>
      <c r="F33357" s="2" t="str">
        <f>HYPERLINK("http://www.otzar.org/book.asp?51784","פרחי אזב")</f>
        <v>פרחי אזב</v>
      </c>
    </row>
    <row r="33358" spans="1:6" x14ac:dyDescent="0.2">
      <c r="A33358" t="s">
        <v>51911</v>
      </c>
      <c r="B33358" t="s">
        <v>51912</v>
      </c>
      <c r="C33358" t="s">
        <v>496</v>
      </c>
      <c r="D33358" t="s">
        <v>27</v>
      </c>
      <c r="E33358" t="s">
        <v>930</v>
      </c>
      <c r="F33358" s="2" t="str">
        <f>HYPERLINK("http://www.otzar.org/book.asp?149042","פרחי אליהו")</f>
        <v>פרחי אליהו</v>
      </c>
    </row>
    <row r="33359" spans="1:6" x14ac:dyDescent="0.2">
      <c r="A33359" t="s">
        <v>51913</v>
      </c>
      <c r="B33359" t="s">
        <v>6446</v>
      </c>
      <c r="C33359" t="s">
        <v>600</v>
      </c>
      <c r="D33359" t="s">
        <v>56</v>
      </c>
      <c r="E33359" t="s">
        <v>154</v>
      </c>
      <c r="F33359" s="2" t="str">
        <f>HYPERLINK("http://www.otzar.org/book.asp?104133","פרחי האביב")</f>
        <v>פרחי האביב</v>
      </c>
    </row>
    <row r="33360" spans="1:6" x14ac:dyDescent="0.2">
      <c r="A33360" t="s">
        <v>51914</v>
      </c>
      <c r="B33360" t="s">
        <v>51915</v>
      </c>
      <c r="C33360" t="s">
        <v>103</v>
      </c>
      <c r="D33360" t="s">
        <v>52</v>
      </c>
      <c r="E33360" t="s">
        <v>1174</v>
      </c>
      <c r="F33360" s="2" t="str">
        <f>HYPERLINK("http://www.otzar.org/book.asp?600497","פרחי הכרם - 24 כר'")</f>
        <v>פרחי הכרם - 24 כר'</v>
      </c>
    </row>
    <row r="33361" spans="1:6" x14ac:dyDescent="0.2">
      <c r="A33361" t="s">
        <v>51916</v>
      </c>
      <c r="B33361" t="s">
        <v>51917</v>
      </c>
      <c r="C33361" t="s">
        <v>362</v>
      </c>
      <c r="D33361" t="s">
        <v>1589</v>
      </c>
      <c r="E33361" t="s">
        <v>158</v>
      </c>
      <c r="F33361" s="2" t="str">
        <f>HYPERLINK("http://www.otzar.org/book.asp?83961","פרחי חמד")</f>
        <v>פרחי חמד</v>
      </c>
    </row>
    <row r="33362" spans="1:6" x14ac:dyDescent="0.2">
      <c r="A33362" t="s">
        <v>51918</v>
      </c>
      <c r="B33362" t="s">
        <v>776</v>
      </c>
      <c r="C33362" t="s">
        <v>3106</v>
      </c>
      <c r="D33362" t="s">
        <v>27</v>
      </c>
      <c r="E33362" t="s">
        <v>104</v>
      </c>
      <c r="F33362" s="2" t="str">
        <f>HYPERLINK("http://www.otzar.org/book.asp?146800","פרחי חן")</f>
        <v>פרחי חן</v>
      </c>
    </row>
    <row r="33363" spans="1:6" x14ac:dyDescent="0.2">
      <c r="A33363" t="s">
        <v>51919</v>
      </c>
      <c r="B33363" t="s">
        <v>7973</v>
      </c>
      <c r="C33363" t="s">
        <v>383</v>
      </c>
      <c r="D33363" t="s">
        <v>7974</v>
      </c>
      <c r="E33363" t="s">
        <v>786</v>
      </c>
      <c r="F33363" s="2" t="str">
        <f>HYPERLINK("http://www.otzar.org/book.asp?190197","פרחי כהונה &lt;מהדורה חדשה&gt; - 2 כר'")</f>
        <v>פרחי כהונה &lt;מהדורה חדשה&gt; - 2 כר'</v>
      </c>
    </row>
    <row r="33364" spans="1:6" x14ac:dyDescent="0.2">
      <c r="A33364" t="s">
        <v>51920</v>
      </c>
      <c r="B33364" t="s">
        <v>51921</v>
      </c>
      <c r="C33364" t="s">
        <v>79</v>
      </c>
      <c r="D33364" t="s">
        <v>6974</v>
      </c>
      <c r="E33364" t="s">
        <v>154</v>
      </c>
      <c r="F33364" s="2" t="str">
        <f>HYPERLINK("http://www.otzar.org/book.asp?20543","פרחי כהונה")</f>
        <v>פרחי כהונה</v>
      </c>
    </row>
    <row r="33365" spans="1:6" x14ac:dyDescent="0.2">
      <c r="A33365" t="s">
        <v>51922</v>
      </c>
      <c r="B33365" t="s">
        <v>7973</v>
      </c>
      <c r="C33365" t="s">
        <v>390</v>
      </c>
      <c r="D33365" t="s">
        <v>38303</v>
      </c>
      <c r="E33365" t="s">
        <v>144</v>
      </c>
      <c r="F33365" s="2" t="str">
        <f>HYPERLINK("http://www.otzar.org/book.asp?166845","פרחי כהונה - 2 כר'")</f>
        <v>פרחי כהונה - 2 כר'</v>
      </c>
    </row>
    <row r="33366" spans="1:6" x14ac:dyDescent="0.2">
      <c r="A33366" t="s">
        <v>51920</v>
      </c>
      <c r="B33366" t="s">
        <v>8790</v>
      </c>
      <c r="C33366" t="s">
        <v>3739</v>
      </c>
      <c r="D33366" t="s">
        <v>1023</v>
      </c>
      <c r="E33366" t="s">
        <v>144</v>
      </c>
      <c r="F33366" s="2" t="str">
        <f>HYPERLINK("http://www.otzar.org/book.asp?101655","פרחי כהונה")</f>
        <v>פרחי כהונה</v>
      </c>
    </row>
    <row r="33367" spans="1:6" x14ac:dyDescent="0.2">
      <c r="A33367" t="s">
        <v>51920</v>
      </c>
      <c r="B33367" t="s">
        <v>24209</v>
      </c>
      <c r="C33367" t="s">
        <v>1470</v>
      </c>
      <c r="D33367" t="s">
        <v>974</v>
      </c>
      <c r="E33367" t="s">
        <v>23401</v>
      </c>
      <c r="F33367" s="2" t="str">
        <f>HYPERLINK("http://www.otzar.org/book.asp?104134","פרחי כהונה")</f>
        <v>פרחי כהונה</v>
      </c>
    </row>
    <row r="33368" spans="1:6" x14ac:dyDescent="0.2">
      <c r="A33368" t="s">
        <v>51923</v>
      </c>
      <c r="B33368" t="s">
        <v>552</v>
      </c>
      <c r="C33368" t="s">
        <v>146</v>
      </c>
      <c r="D33368" t="s">
        <v>118</v>
      </c>
      <c r="E33368" t="s">
        <v>202</v>
      </c>
      <c r="F33368" s="2" t="str">
        <f>HYPERLINK("http://www.otzar.org/book.asp?198420","פרחי מאיר")</f>
        <v>פרחי מאיר</v>
      </c>
    </row>
    <row r="33369" spans="1:6" x14ac:dyDescent="0.2">
      <c r="A33369" t="s">
        <v>51924</v>
      </c>
      <c r="B33369" t="s">
        <v>51925</v>
      </c>
      <c r="C33369" t="s">
        <v>390</v>
      </c>
      <c r="D33369" t="s">
        <v>412</v>
      </c>
      <c r="E33369" t="s">
        <v>158</v>
      </c>
      <c r="F33369" s="2" t="str">
        <f>HYPERLINK("http://www.otzar.org/book.asp?53205","פרחי רש""י")</f>
        <v>פרחי רש"י</v>
      </c>
    </row>
    <row r="33370" spans="1:6" x14ac:dyDescent="0.2">
      <c r="A33370" t="s">
        <v>51926</v>
      </c>
      <c r="B33370" t="s">
        <v>51927</v>
      </c>
      <c r="C33370" t="s">
        <v>1448</v>
      </c>
      <c r="D33370" t="s">
        <v>27</v>
      </c>
      <c r="E33370" t="s">
        <v>2071</v>
      </c>
      <c r="F33370" s="2" t="str">
        <f>HYPERLINK("http://www.otzar.org/book.asp?164271","פרחי שושנה &lt;מהדורה שניה&gt;")</f>
        <v>פרחי שושנה &lt;מהדורה שניה&gt;</v>
      </c>
    </row>
    <row r="33371" spans="1:6" x14ac:dyDescent="0.2">
      <c r="A33371" t="s">
        <v>51928</v>
      </c>
      <c r="B33371" t="s">
        <v>26060</v>
      </c>
      <c r="C33371" t="s">
        <v>356</v>
      </c>
      <c r="D33371" t="s">
        <v>2798</v>
      </c>
      <c r="E33371" t="s">
        <v>930</v>
      </c>
      <c r="F33371" s="2" t="str">
        <f>HYPERLINK("http://www.otzar.org/book.asp?85911","פרחי שושנה")</f>
        <v>פרחי שושנה</v>
      </c>
    </row>
    <row r="33372" spans="1:6" x14ac:dyDescent="0.2">
      <c r="A33372" t="s">
        <v>51928</v>
      </c>
      <c r="B33372" t="s">
        <v>51927</v>
      </c>
      <c r="C33372" t="s">
        <v>3106</v>
      </c>
      <c r="D33372" t="s">
        <v>27</v>
      </c>
      <c r="E33372" t="s">
        <v>7731</v>
      </c>
      <c r="F33372" s="2" t="str">
        <f>HYPERLINK("http://www.otzar.org/book.asp?103677","פרחי שושנה")</f>
        <v>פרחי שושנה</v>
      </c>
    </row>
    <row r="33373" spans="1:6" x14ac:dyDescent="0.2">
      <c r="A33373" t="s">
        <v>51929</v>
      </c>
      <c r="B33373" t="s">
        <v>51930</v>
      </c>
      <c r="C33373" t="s">
        <v>360</v>
      </c>
      <c r="D33373" t="s">
        <v>280</v>
      </c>
      <c r="E33373" t="s">
        <v>158</v>
      </c>
      <c r="F33373" s="2" t="str">
        <f>HYPERLINK("http://www.otzar.org/book.asp?103678","פרחי שושנים")</f>
        <v>פרחי שושנים</v>
      </c>
    </row>
    <row r="33374" spans="1:6" x14ac:dyDescent="0.2">
      <c r="A33374" t="s">
        <v>51929</v>
      </c>
      <c r="B33374" t="s">
        <v>38672</v>
      </c>
      <c r="C33374" t="s">
        <v>383</v>
      </c>
      <c r="D33374" t="s">
        <v>721</v>
      </c>
      <c r="E33374" t="s">
        <v>104</v>
      </c>
      <c r="F33374" s="2" t="str">
        <f>HYPERLINK("http://www.otzar.org/book.asp?174498","פרחי שושנים")</f>
        <v>פרחי שושנים</v>
      </c>
    </row>
    <row r="33375" spans="1:6" x14ac:dyDescent="0.2">
      <c r="A33375" t="s">
        <v>51929</v>
      </c>
      <c r="B33375" t="s">
        <v>37854</v>
      </c>
      <c r="C33375" t="s">
        <v>9914</v>
      </c>
      <c r="D33375" t="s">
        <v>1490</v>
      </c>
      <c r="E33375" t="s">
        <v>463</v>
      </c>
      <c r="F33375" s="2" t="str">
        <f>HYPERLINK("http://www.otzar.org/book.asp?101637","פרחי שושנים")</f>
        <v>פרחי שושנים</v>
      </c>
    </row>
    <row r="33376" spans="1:6" x14ac:dyDescent="0.2">
      <c r="A33376" t="s">
        <v>51929</v>
      </c>
      <c r="B33376" t="s">
        <v>31027</v>
      </c>
      <c r="C33376" t="s">
        <v>445</v>
      </c>
      <c r="D33376" t="s">
        <v>6608</v>
      </c>
      <c r="E33376" t="s">
        <v>12089</v>
      </c>
      <c r="F33376" s="2" t="str">
        <f>HYPERLINK("http://www.otzar.org/book.asp?200141","פרחי שושנים")</f>
        <v>פרחי שושנים</v>
      </c>
    </row>
    <row r="33377" spans="1:6" x14ac:dyDescent="0.2">
      <c r="A33377" t="s">
        <v>51931</v>
      </c>
      <c r="B33377" t="s">
        <v>51932</v>
      </c>
      <c r="C33377" t="s">
        <v>366</v>
      </c>
      <c r="D33377" t="s">
        <v>134</v>
      </c>
      <c r="E33377" t="s">
        <v>144</v>
      </c>
      <c r="F33377" s="2" t="str">
        <f>HYPERLINK("http://www.otzar.org/book.asp?621153","פרחי שמואל")</f>
        <v>פרחי שמואל</v>
      </c>
    </row>
    <row r="33378" spans="1:6" x14ac:dyDescent="0.2">
      <c r="A33378" t="s">
        <v>51933</v>
      </c>
      <c r="B33378" t="s">
        <v>1750</v>
      </c>
      <c r="C33378" t="s">
        <v>533</v>
      </c>
      <c r="D33378" t="s">
        <v>52</v>
      </c>
      <c r="E33378" t="s">
        <v>2248</v>
      </c>
      <c r="F33378" s="2" t="str">
        <f>HYPERLINK("http://www.otzar.org/book.asp?143084","פרחי תמרים")</f>
        <v>פרחי תמרים</v>
      </c>
    </row>
    <row r="33379" spans="1:6" x14ac:dyDescent="0.2">
      <c r="A33379" t="s">
        <v>51934</v>
      </c>
      <c r="B33379" t="s">
        <v>11003</v>
      </c>
      <c r="C33379" t="s">
        <v>1202</v>
      </c>
      <c r="D33379" t="s">
        <v>9</v>
      </c>
      <c r="E33379" t="s">
        <v>29415</v>
      </c>
      <c r="F33379" s="2" t="str">
        <f>HYPERLINK("http://www.otzar.org/book.asp?51790","פרחים בהלכה ואגדה")</f>
        <v>פרחים בהלכה ואגדה</v>
      </c>
    </row>
    <row r="33380" spans="1:6" x14ac:dyDescent="0.2">
      <c r="A33380" t="s">
        <v>51935</v>
      </c>
      <c r="B33380" t="s">
        <v>51936</v>
      </c>
      <c r="C33380" t="s">
        <v>9123</v>
      </c>
      <c r="D33380" t="s">
        <v>27</v>
      </c>
      <c r="E33380" t="s">
        <v>786</v>
      </c>
      <c r="F33380" s="2" t="str">
        <f>HYPERLINK("http://www.otzar.org/book.asp?101638","פרט ועוללות - 2 כר'")</f>
        <v>פרט ועוללות - 2 כר'</v>
      </c>
    </row>
    <row r="33381" spans="1:6" x14ac:dyDescent="0.2">
      <c r="A33381" t="s">
        <v>51937</v>
      </c>
      <c r="B33381" t="s">
        <v>51938</v>
      </c>
      <c r="C33381" t="s">
        <v>609</v>
      </c>
      <c r="D33381" t="s">
        <v>283</v>
      </c>
      <c r="F33381" s="2" t="str">
        <f>HYPERLINK("http://www.otzar.org/book.asp?152277","פרטי כל")</f>
        <v>פרטי כל</v>
      </c>
    </row>
    <row r="33382" spans="1:6" x14ac:dyDescent="0.2">
      <c r="A33382" t="s">
        <v>51939</v>
      </c>
      <c r="B33382" t="s">
        <v>51940</v>
      </c>
      <c r="C33382" t="s">
        <v>17</v>
      </c>
      <c r="D33382" t="s">
        <v>52</v>
      </c>
      <c r="E33382" t="s">
        <v>144</v>
      </c>
      <c r="F33382" s="2" t="str">
        <f>HYPERLINK("http://www.otzar.org/book.asp?50513","פרי אברהם - 8 כר'")</f>
        <v>פרי אברהם - 8 כר'</v>
      </c>
    </row>
    <row r="33383" spans="1:6" x14ac:dyDescent="0.2">
      <c r="A33383" t="s">
        <v>51941</v>
      </c>
      <c r="B33383" t="s">
        <v>51942</v>
      </c>
      <c r="C33383" t="s">
        <v>454</v>
      </c>
      <c r="D33383" t="s">
        <v>14</v>
      </c>
      <c r="E33383" t="s">
        <v>144</v>
      </c>
      <c r="F33383" s="2" t="str">
        <f>HYPERLINK("http://www.otzar.org/book.asp?22684","פרי אדר - פסחים")</f>
        <v>פרי אדר - פסחים</v>
      </c>
    </row>
    <row r="33384" spans="1:6" x14ac:dyDescent="0.2">
      <c r="A33384" t="s">
        <v>51943</v>
      </c>
      <c r="B33384" t="s">
        <v>51944</v>
      </c>
      <c r="C33384" t="s">
        <v>180</v>
      </c>
      <c r="D33384" t="s">
        <v>216</v>
      </c>
      <c r="E33384" t="s">
        <v>144</v>
      </c>
      <c r="F33384" s="2" t="str">
        <f>HYPERLINK("http://www.otzar.org/book.asp?161836","פרי אהרן")</f>
        <v>פרי אהרן</v>
      </c>
    </row>
    <row r="33385" spans="1:6" x14ac:dyDescent="0.2">
      <c r="A33385" t="s">
        <v>51945</v>
      </c>
      <c r="B33385" t="s">
        <v>51946</v>
      </c>
      <c r="C33385" t="s">
        <v>767</v>
      </c>
      <c r="D33385" t="s">
        <v>14</v>
      </c>
      <c r="E33385" t="s">
        <v>144</v>
      </c>
      <c r="F33385" s="2" t="str">
        <f>HYPERLINK("http://www.otzar.org/book.asp?170759","פרי אהרן - תורת ירוחם")</f>
        <v>פרי אהרן - תורת ירוחם</v>
      </c>
    </row>
    <row r="33386" spans="1:6" x14ac:dyDescent="0.2">
      <c r="A33386" t="s">
        <v>51943</v>
      </c>
      <c r="B33386" t="s">
        <v>8907</v>
      </c>
      <c r="C33386" t="s">
        <v>146</v>
      </c>
      <c r="D33386" t="s">
        <v>14</v>
      </c>
      <c r="E33386" t="s">
        <v>51947</v>
      </c>
      <c r="F33386" s="2" t="str">
        <f>HYPERLINK("http://www.otzar.org/book.asp?62144","פרי אהרן")</f>
        <v>פרי אהרן</v>
      </c>
    </row>
    <row r="33387" spans="1:6" x14ac:dyDescent="0.2">
      <c r="A33387" t="s">
        <v>51948</v>
      </c>
      <c r="B33387" t="s">
        <v>37083</v>
      </c>
      <c r="C33387" t="s">
        <v>466</v>
      </c>
      <c r="D33387" t="s">
        <v>52</v>
      </c>
      <c r="E33387" t="s">
        <v>154</v>
      </c>
      <c r="F33387" s="2" t="str">
        <f>HYPERLINK("http://www.otzar.org/book.asp?143215","פרי איתן")</f>
        <v>פרי איתן</v>
      </c>
    </row>
    <row r="33388" spans="1:6" x14ac:dyDescent="0.2">
      <c r="A33388" t="s">
        <v>51949</v>
      </c>
      <c r="B33388" t="s">
        <v>6631</v>
      </c>
      <c r="C33388" t="s">
        <v>843</v>
      </c>
      <c r="D33388" t="s">
        <v>27</v>
      </c>
      <c r="E33388" t="s">
        <v>144</v>
      </c>
      <c r="F33388" s="2" t="str">
        <f>HYPERLINK("http://www.otzar.org/book.asp?51941","פרי אליהו - 3 כר'")</f>
        <v>פרי אליהו - 3 כר'</v>
      </c>
    </row>
    <row r="33389" spans="1:6" x14ac:dyDescent="0.2">
      <c r="A33389" t="s">
        <v>51950</v>
      </c>
      <c r="B33389" t="s">
        <v>51951</v>
      </c>
      <c r="C33389" t="s">
        <v>1885</v>
      </c>
      <c r="D33389" t="s">
        <v>4269</v>
      </c>
      <c r="E33389" t="s">
        <v>15</v>
      </c>
      <c r="F33389" s="2" t="str">
        <f>HYPERLINK("http://www.otzar.org/book.asp?20544","פרי אלימלך")</f>
        <v>פרי אלימלך</v>
      </c>
    </row>
    <row r="33390" spans="1:6" x14ac:dyDescent="0.2">
      <c r="A33390" t="s">
        <v>51950</v>
      </c>
      <c r="B33390" t="s">
        <v>6154</v>
      </c>
      <c r="C33390" t="s">
        <v>547</v>
      </c>
      <c r="D33390" t="s">
        <v>27</v>
      </c>
      <c r="E33390" t="s">
        <v>144</v>
      </c>
      <c r="F33390" s="2" t="str">
        <f>HYPERLINK("http://www.otzar.org/book.asp?105809","פרי אלימלך")</f>
        <v>פרי אלימלך</v>
      </c>
    </row>
    <row r="33391" spans="1:6" x14ac:dyDescent="0.2">
      <c r="A33391" t="s">
        <v>51952</v>
      </c>
      <c r="B33391" t="s">
        <v>19754</v>
      </c>
      <c r="C33391" t="s">
        <v>624</v>
      </c>
      <c r="D33391" t="s">
        <v>52</v>
      </c>
      <c r="E33391" t="s">
        <v>674</v>
      </c>
      <c r="F33391" s="2" t="str">
        <f>HYPERLINK("http://www.otzar.org/book.asp?152653","פרי אליעזר הלכות איסור הסתכלות בנשים")</f>
        <v>פרי אליעזר הלכות איסור הסתכלות בנשים</v>
      </c>
    </row>
    <row r="33392" spans="1:6" x14ac:dyDescent="0.2">
      <c r="A33392" t="s">
        <v>51953</v>
      </c>
      <c r="B33392" t="s">
        <v>36261</v>
      </c>
      <c r="C33392" t="s">
        <v>114</v>
      </c>
      <c r="D33392" t="s">
        <v>14</v>
      </c>
      <c r="E33392" t="s">
        <v>15</v>
      </c>
      <c r="F33392" s="2" t="str">
        <f>HYPERLINK("http://www.otzar.org/book.asp?166928","פרי אליעזר - 4 כר'")</f>
        <v>פרי אליעזר - 4 כר'</v>
      </c>
    </row>
    <row r="33393" spans="1:6" x14ac:dyDescent="0.2">
      <c r="A33393" t="s">
        <v>51954</v>
      </c>
      <c r="B33393" t="s">
        <v>51955</v>
      </c>
      <c r="C33393" t="s">
        <v>129</v>
      </c>
      <c r="D33393" t="s">
        <v>1511</v>
      </c>
      <c r="E33393" t="s">
        <v>144</v>
      </c>
      <c r="F33393" s="2" t="str">
        <f>HYPERLINK("http://www.otzar.org/book.asp?84684","פרי אפרים - 3 כר'")</f>
        <v>פרי אפרים - 3 כר'</v>
      </c>
    </row>
    <row r="33394" spans="1:6" x14ac:dyDescent="0.2">
      <c r="A33394" t="s">
        <v>51956</v>
      </c>
      <c r="B33394" t="s">
        <v>51957</v>
      </c>
      <c r="C33394" t="s">
        <v>635</v>
      </c>
      <c r="D33394" t="s">
        <v>56</v>
      </c>
      <c r="E33394" t="s">
        <v>144</v>
      </c>
      <c r="F33394" s="2" t="str">
        <f>HYPERLINK("http://www.otzar.org/book.asp?21439","פרי אשל")</f>
        <v>פרי אשל</v>
      </c>
    </row>
    <row r="33395" spans="1:6" x14ac:dyDescent="0.2">
      <c r="A33395" t="s">
        <v>51958</v>
      </c>
      <c r="B33395" t="s">
        <v>51959</v>
      </c>
      <c r="C33395" t="s">
        <v>985</v>
      </c>
      <c r="D33395" t="s">
        <v>260</v>
      </c>
      <c r="E33395" t="s">
        <v>30662</v>
      </c>
      <c r="F33395" s="2" t="str">
        <f>HYPERLINK("http://www.otzar.org/book.asp?7148","פרי אשר")</f>
        <v>פרי אשר</v>
      </c>
    </row>
    <row r="33396" spans="1:6" x14ac:dyDescent="0.2">
      <c r="A33396" t="s">
        <v>51960</v>
      </c>
      <c r="B33396" t="s">
        <v>6881</v>
      </c>
      <c r="C33396" t="s">
        <v>785</v>
      </c>
      <c r="E33396" t="s">
        <v>15</v>
      </c>
      <c r="F33396" s="2" t="str">
        <f>HYPERLINK("http://www.otzar.org/book.asp?22094","פרי ביכורים")</f>
        <v>פרי ביכורים</v>
      </c>
    </row>
    <row r="33397" spans="1:6" x14ac:dyDescent="0.2">
      <c r="A33397" t="s">
        <v>51961</v>
      </c>
      <c r="B33397" t="s">
        <v>51962</v>
      </c>
      <c r="C33397" t="s">
        <v>151</v>
      </c>
      <c r="D33397" t="s">
        <v>367</v>
      </c>
      <c r="F33397" s="2" t="str">
        <f>HYPERLINK("http://www.otzar.org/book.asp?615110","פרי ביכורים - שבועות")</f>
        <v>פרי ביכורים - שבועות</v>
      </c>
    </row>
    <row r="33398" spans="1:6" x14ac:dyDescent="0.2">
      <c r="A33398" t="s">
        <v>51960</v>
      </c>
      <c r="B33398" t="s">
        <v>51963</v>
      </c>
      <c r="C33398" t="s">
        <v>244</v>
      </c>
      <c r="D33398" t="s">
        <v>21</v>
      </c>
      <c r="E33398" t="s">
        <v>246</v>
      </c>
      <c r="F33398" s="2" t="str">
        <f>HYPERLINK("http://www.otzar.org/book.asp?601456","פרי ביכורים")</f>
        <v>פרי ביכורים</v>
      </c>
    </row>
    <row r="33399" spans="1:6" x14ac:dyDescent="0.2">
      <c r="A33399" t="s">
        <v>51964</v>
      </c>
      <c r="B33399" t="s">
        <v>51965</v>
      </c>
      <c r="C33399" t="s">
        <v>20</v>
      </c>
      <c r="D33399" t="s">
        <v>90</v>
      </c>
      <c r="F33399" s="2" t="str">
        <f>HYPERLINK("http://www.otzar.org/book.asp?622011","פרי בנים")</f>
        <v>פרי בנים</v>
      </c>
    </row>
    <row r="33400" spans="1:6" x14ac:dyDescent="0.2">
      <c r="A33400" t="s">
        <v>51966</v>
      </c>
      <c r="B33400" t="s">
        <v>51967</v>
      </c>
      <c r="C33400" t="s">
        <v>13</v>
      </c>
      <c r="D33400" t="s">
        <v>51968</v>
      </c>
      <c r="E33400" t="s">
        <v>15</v>
      </c>
      <c r="F33400" s="2" t="str">
        <f>HYPERLINK("http://www.otzar.org/book.asp?157934","פרי בנימין - ספר המצוות")</f>
        <v>פרי בנימין - ספר המצוות</v>
      </c>
    </row>
    <row r="33401" spans="1:6" x14ac:dyDescent="0.2">
      <c r="A33401" t="s">
        <v>51969</v>
      </c>
      <c r="B33401" t="s">
        <v>51970</v>
      </c>
      <c r="C33401" t="s">
        <v>111</v>
      </c>
      <c r="D33401" t="s">
        <v>14</v>
      </c>
      <c r="F33401" s="2" t="str">
        <f>HYPERLINK("http://www.otzar.org/book.asp?621626","פרי ברוך")</f>
        <v>פרי ברוך</v>
      </c>
    </row>
    <row r="33402" spans="1:6" x14ac:dyDescent="0.2">
      <c r="A33402" t="s">
        <v>51971</v>
      </c>
      <c r="B33402" t="s">
        <v>51972</v>
      </c>
      <c r="C33402" t="s">
        <v>313</v>
      </c>
      <c r="D33402" t="s">
        <v>3283</v>
      </c>
      <c r="E33402" t="s">
        <v>144</v>
      </c>
      <c r="F33402" s="2" t="str">
        <f>HYPERLINK("http://www.otzar.org/book.asp?166353","פרי ברוך - 3 כר'")</f>
        <v>פרי ברוך - 3 כר'</v>
      </c>
    </row>
    <row r="33403" spans="1:6" x14ac:dyDescent="0.2">
      <c r="A33403" t="s">
        <v>51969</v>
      </c>
      <c r="B33403" t="s">
        <v>51973</v>
      </c>
      <c r="C33403" t="s">
        <v>114</v>
      </c>
      <c r="D33403" t="s">
        <v>52</v>
      </c>
      <c r="E33403" t="s">
        <v>2088</v>
      </c>
      <c r="F33403" s="2" t="str">
        <f>HYPERLINK("http://www.otzar.org/book.asp?160218","פרי ברוך")</f>
        <v>פרי ברוך</v>
      </c>
    </row>
    <row r="33404" spans="1:6" x14ac:dyDescent="0.2">
      <c r="A33404" t="s">
        <v>51974</v>
      </c>
      <c r="B33404" t="s">
        <v>51975</v>
      </c>
      <c r="C33404" t="s">
        <v>68</v>
      </c>
      <c r="D33404" t="s">
        <v>14</v>
      </c>
      <c r="E33404" t="s">
        <v>172</v>
      </c>
      <c r="F33404" s="2" t="str">
        <f>HYPERLINK("http://www.otzar.org/book.asp?157931","פרי גני - 13 כר'")</f>
        <v>פרי גני - 13 כר'</v>
      </c>
    </row>
    <row r="33405" spans="1:6" x14ac:dyDescent="0.2">
      <c r="A33405" t="s">
        <v>51976</v>
      </c>
      <c r="B33405" t="s">
        <v>51977</v>
      </c>
      <c r="C33405" t="s">
        <v>146</v>
      </c>
      <c r="D33405" t="s">
        <v>14</v>
      </c>
      <c r="E33405" t="s">
        <v>148</v>
      </c>
      <c r="F33405" s="2" t="str">
        <f>HYPERLINK("http://www.otzar.org/book.asp?50291","פרי גני - הלכות רבית")</f>
        <v>פרי גני - הלכות רבית</v>
      </c>
    </row>
    <row r="33406" spans="1:6" x14ac:dyDescent="0.2">
      <c r="A33406" t="s">
        <v>51978</v>
      </c>
      <c r="B33406" t="s">
        <v>6184</v>
      </c>
      <c r="C33406" t="s">
        <v>244</v>
      </c>
      <c r="D33406" t="s">
        <v>412</v>
      </c>
      <c r="E33406" t="s">
        <v>230</v>
      </c>
      <c r="F33406" s="2" t="str">
        <f>HYPERLINK("http://www.otzar.org/book.asp?609983","פרי דהעץ")</f>
        <v>פרי דהעץ</v>
      </c>
    </row>
    <row r="33407" spans="1:6" x14ac:dyDescent="0.2">
      <c r="A33407" t="s">
        <v>51979</v>
      </c>
      <c r="B33407" t="s">
        <v>51980</v>
      </c>
      <c r="C33407" t="s">
        <v>812</v>
      </c>
      <c r="D33407" t="s">
        <v>5547</v>
      </c>
      <c r="E33407" t="s">
        <v>158</v>
      </c>
      <c r="F33407" s="2" t="str">
        <f>HYPERLINK("http://www.otzar.org/book.asp?193900","פרי דוד")</f>
        <v>פרי דוד</v>
      </c>
    </row>
    <row r="33408" spans="1:6" x14ac:dyDescent="0.2">
      <c r="A33408" t="s">
        <v>51981</v>
      </c>
      <c r="B33408" t="s">
        <v>51982</v>
      </c>
      <c r="C33408" t="s">
        <v>767</v>
      </c>
      <c r="D33408" t="s">
        <v>52</v>
      </c>
      <c r="E33408" t="s">
        <v>144</v>
      </c>
      <c r="F33408" s="2" t="str">
        <f>HYPERLINK("http://www.otzar.org/book.asp?162677","פרי דוד - קידושין")</f>
        <v>פרי דוד - קידושין</v>
      </c>
    </row>
    <row r="33409" spans="1:6" x14ac:dyDescent="0.2">
      <c r="A33409" t="s">
        <v>51983</v>
      </c>
      <c r="B33409" t="s">
        <v>51984</v>
      </c>
      <c r="C33409" t="s">
        <v>51985</v>
      </c>
      <c r="D33409" t="s">
        <v>2295</v>
      </c>
      <c r="E33409" t="s">
        <v>51986</v>
      </c>
      <c r="F33409" s="2" t="str">
        <f>HYPERLINK("http://www.otzar.org/book.asp?9185","פרי דוד - 2 כר'")</f>
        <v>פרי דוד - 2 כר'</v>
      </c>
    </row>
    <row r="33410" spans="1:6" x14ac:dyDescent="0.2">
      <c r="A33410" t="s">
        <v>51987</v>
      </c>
      <c r="B33410" t="s">
        <v>51988</v>
      </c>
      <c r="C33410" t="s">
        <v>568</v>
      </c>
      <c r="D33410" t="s">
        <v>23043</v>
      </c>
      <c r="E33410" t="s">
        <v>172</v>
      </c>
      <c r="F33410" s="2" t="str">
        <f>HYPERLINK("http://www.otzar.org/book.asp?24491","פרי דעה")</f>
        <v>פרי דעה</v>
      </c>
    </row>
    <row r="33411" spans="1:6" x14ac:dyDescent="0.2">
      <c r="A33411" t="s">
        <v>51989</v>
      </c>
      <c r="B33411" t="s">
        <v>36434</v>
      </c>
      <c r="C33411" t="s">
        <v>366</v>
      </c>
      <c r="D33411" t="s">
        <v>76</v>
      </c>
      <c r="E33411" t="s">
        <v>15</v>
      </c>
      <c r="F33411" s="2" t="str">
        <f>HYPERLINK("http://www.otzar.org/book.asp?606393","פרי האדמה &lt;מהדורה חדשה&gt; - 2 כר'")</f>
        <v>פרי האדמה &lt;מהדורה חדשה&gt; - 2 כר'</v>
      </c>
    </row>
    <row r="33412" spans="1:6" x14ac:dyDescent="0.2">
      <c r="A33412" t="s">
        <v>51990</v>
      </c>
      <c r="B33412" t="s">
        <v>36434</v>
      </c>
      <c r="C33412" t="s">
        <v>51991</v>
      </c>
      <c r="D33412" t="s">
        <v>76</v>
      </c>
      <c r="E33412" t="s">
        <v>15</v>
      </c>
      <c r="F33412" s="2" t="str">
        <f>HYPERLINK("http://www.otzar.org/book.asp?8910","פרי האדמה - 4 כר'")</f>
        <v>פרי האדמה - 4 כר'</v>
      </c>
    </row>
    <row r="33413" spans="1:6" x14ac:dyDescent="0.2">
      <c r="A33413" t="s">
        <v>51992</v>
      </c>
      <c r="B33413" t="s">
        <v>10463</v>
      </c>
      <c r="C33413" t="s">
        <v>71</v>
      </c>
      <c r="D33413" t="s">
        <v>52</v>
      </c>
      <c r="E33413" t="s">
        <v>144</v>
      </c>
      <c r="F33413" s="2" t="str">
        <f>HYPERLINK("http://www.otzar.org/book.asp?197377","פרי הארז")</f>
        <v>פרי הארז</v>
      </c>
    </row>
    <row r="33414" spans="1:6" x14ac:dyDescent="0.2">
      <c r="A33414" t="s">
        <v>51993</v>
      </c>
      <c r="B33414" t="s">
        <v>1529</v>
      </c>
      <c r="C33414" t="s">
        <v>129</v>
      </c>
      <c r="D33414" t="s">
        <v>14</v>
      </c>
      <c r="E33414" t="s">
        <v>579</v>
      </c>
      <c r="F33414" s="2" t="str">
        <f>HYPERLINK("http://www.otzar.org/book.asp?157649","פרי הארץ &lt;מהדורה  חדשה&gt;")</f>
        <v>פרי הארץ &lt;מהדורה  חדשה&gt;</v>
      </c>
    </row>
    <row r="33415" spans="1:6" x14ac:dyDescent="0.2">
      <c r="A33415" t="s">
        <v>51994</v>
      </c>
      <c r="B33415" t="s">
        <v>3820</v>
      </c>
      <c r="C33415" t="s">
        <v>1640</v>
      </c>
      <c r="D33415" t="s">
        <v>216</v>
      </c>
      <c r="E33415" t="s">
        <v>3798</v>
      </c>
      <c r="F33415" s="2" t="str">
        <f>HYPERLINK("http://www.otzar.org/book.asp?105742","פרי הארץ - 2 כר'")</f>
        <v>פרי הארץ - 2 כר'</v>
      </c>
    </row>
    <row r="33416" spans="1:6" x14ac:dyDescent="0.2">
      <c r="A33416" t="s">
        <v>51995</v>
      </c>
      <c r="B33416" t="s">
        <v>23502</v>
      </c>
      <c r="C33416" t="s">
        <v>1169</v>
      </c>
      <c r="D33416" t="s">
        <v>9</v>
      </c>
      <c r="E33416" t="s">
        <v>803</v>
      </c>
      <c r="F33416" s="2" t="str">
        <f>HYPERLINK("http://www.otzar.org/book.asp?14002","פרי הארץ")</f>
        <v>פרי הארץ</v>
      </c>
    </row>
    <row r="33417" spans="1:6" x14ac:dyDescent="0.2">
      <c r="A33417" t="s">
        <v>51996</v>
      </c>
      <c r="B33417" t="s">
        <v>51997</v>
      </c>
      <c r="C33417" t="s">
        <v>51998</v>
      </c>
      <c r="D33417" t="s">
        <v>1490</v>
      </c>
      <c r="E33417" t="s">
        <v>154</v>
      </c>
      <c r="F33417" s="2" t="str">
        <f>HYPERLINK("http://www.otzar.org/book.asp?10912","פרי הארץ - 4 כר'")</f>
        <v>פרי הארץ - 4 כר'</v>
      </c>
    </row>
    <row r="33418" spans="1:6" x14ac:dyDescent="0.2">
      <c r="A33418" t="s">
        <v>51996</v>
      </c>
      <c r="B33418" t="s">
        <v>1529</v>
      </c>
      <c r="C33418" t="s">
        <v>1019</v>
      </c>
      <c r="D33418" t="s">
        <v>19789</v>
      </c>
      <c r="E33418" t="s">
        <v>579</v>
      </c>
      <c r="F33418" s="2" t="str">
        <f>HYPERLINK("http://www.otzar.org/book.asp?103679","פרי הארץ - 4 כר'")</f>
        <v>פרי הארץ - 4 כר'</v>
      </c>
    </row>
    <row r="33419" spans="1:6" x14ac:dyDescent="0.2">
      <c r="A33419" t="s">
        <v>51999</v>
      </c>
      <c r="B33419" t="s">
        <v>1750</v>
      </c>
      <c r="C33419" t="s">
        <v>1268</v>
      </c>
      <c r="D33419" t="s">
        <v>14</v>
      </c>
      <c r="E33419" t="s">
        <v>202</v>
      </c>
      <c r="F33419" s="2" t="str">
        <f>HYPERLINK("http://www.otzar.org/book.asp?196574","פרי הארץ - 13 כר'")</f>
        <v>פרי הארץ - 13 כר'</v>
      </c>
    </row>
    <row r="33420" spans="1:6" x14ac:dyDescent="0.2">
      <c r="A33420" t="s">
        <v>52000</v>
      </c>
      <c r="B33420" t="s">
        <v>52001</v>
      </c>
      <c r="C33420" t="s">
        <v>775</v>
      </c>
      <c r="D33420" t="s">
        <v>412</v>
      </c>
      <c r="E33420" t="s">
        <v>172</v>
      </c>
      <c r="F33420" s="2" t="str">
        <f>HYPERLINK("http://www.otzar.org/book.asp?141820","פרי הגן על פרי מגדים הלכות שבת - 5 כר'")</f>
        <v>פרי הגן על פרי מגדים הלכות שבת - 5 כר'</v>
      </c>
    </row>
    <row r="33421" spans="1:6" x14ac:dyDescent="0.2">
      <c r="A33421" t="s">
        <v>52002</v>
      </c>
      <c r="B33421" t="s">
        <v>52001</v>
      </c>
      <c r="C33421" t="s">
        <v>313</v>
      </c>
      <c r="D33421" t="s">
        <v>1180</v>
      </c>
      <c r="E33421" t="s">
        <v>15</v>
      </c>
      <c r="F33421" s="2" t="str">
        <f>HYPERLINK("http://www.otzar.org/book.asp?52350","פרי הגן - דיני יולדת, שו""ת בהל' נדה וטבילה")</f>
        <v>פרי הגן - דיני יולדת, שו"ת בהל' נדה וטבילה</v>
      </c>
    </row>
    <row r="33422" spans="1:6" x14ac:dyDescent="0.2">
      <c r="A33422" t="s">
        <v>52003</v>
      </c>
      <c r="B33422" t="s">
        <v>49768</v>
      </c>
      <c r="C33422" t="s">
        <v>1418</v>
      </c>
      <c r="D33422" t="s">
        <v>56</v>
      </c>
      <c r="E33422" t="s">
        <v>15</v>
      </c>
      <c r="F33422" s="2" t="str">
        <f>HYPERLINK("http://www.otzar.org/book.asp?151507","פרי הדר")</f>
        <v>פרי הדר</v>
      </c>
    </row>
    <row r="33423" spans="1:6" x14ac:dyDescent="0.2">
      <c r="A33423" t="s">
        <v>52003</v>
      </c>
      <c r="B33423" t="s">
        <v>12596</v>
      </c>
      <c r="C33423" t="s">
        <v>454</v>
      </c>
      <c r="D33423" t="s">
        <v>14</v>
      </c>
      <c r="E33423" t="s">
        <v>130</v>
      </c>
      <c r="F33423" s="2" t="str">
        <f>HYPERLINK("http://www.otzar.org/book.asp?61733","פרי הדר")</f>
        <v>פרי הדר</v>
      </c>
    </row>
    <row r="33424" spans="1:6" x14ac:dyDescent="0.2">
      <c r="A33424" t="s">
        <v>52004</v>
      </c>
      <c r="B33424" t="s">
        <v>11066</v>
      </c>
      <c r="C33424" t="s">
        <v>1268</v>
      </c>
      <c r="D33424" t="s">
        <v>14</v>
      </c>
      <c r="E33424" t="s">
        <v>172</v>
      </c>
      <c r="F33424" s="2" t="str">
        <f>HYPERLINK("http://www.otzar.org/book.asp?63692","פרי הדר - 3 כר'")</f>
        <v>פרי הדר - 3 כר'</v>
      </c>
    </row>
    <row r="33425" spans="1:6" x14ac:dyDescent="0.2">
      <c r="A33425" t="s">
        <v>52005</v>
      </c>
      <c r="B33425" t="s">
        <v>19510</v>
      </c>
      <c r="C33425" t="s">
        <v>52006</v>
      </c>
      <c r="D33425" t="s">
        <v>929</v>
      </c>
      <c r="E33425" t="s">
        <v>15</v>
      </c>
      <c r="F33425" s="2" t="str">
        <f>HYPERLINK("http://www.otzar.org/book.asp?23666","פרי החג - 2 כר'")</f>
        <v>פרי החג - 2 כר'</v>
      </c>
    </row>
    <row r="33426" spans="1:6" x14ac:dyDescent="0.2">
      <c r="A33426" t="s">
        <v>52007</v>
      </c>
      <c r="B33426" t="s">
        <v>52008</v>
      </c>
      <c r="C33426" t="s">
        <v>908</v>
      </c>
      <c r="D33426" t="s">
        <v>691</v>
      </c>
      <c r="E33426" t="s">
        <v>154</v>
      </c>
      <c r="F33426" s="2" t="str">
        <f>HYPERLINK("http://www.otzar.org/book.asp?20546","פרי החיים")</f>
        <v>פרי החיים</v>
      </c>
    </row>
    <row r="33427" spans="1:6" x14ac:dyDescent="0.2">
      <c r="A33427" t="s">
        <v>52009</v>
      </c>
      <c r="B33427" t="s">
        <v>52010</v>
      </c>
      <c r="C33427" t="s">
        <v>313</v>
      </c>
      <c r="D33427" t="s">
        <v>412</v>
      </c>
      <c r="E33427" t="s">
        <v>202</v>
      </c>
      <c r="F33427" s="2" t="str">
        <f>HYPERLINK("http://www.otzar.org/book.asp?605568","פרי הכרם - א - כה")</f>
        <v>פרי הכרם - א - כה</v>
      </c>
    </row>
    <row r="33428" spans="1:6" x14ac:dyDescent="0.2">
      <c r="A33428" t="s">
        <v>52011</v>
      </c>
      <c r="B33428" t="s">
        <v>52012</v>
      </c>
      <c r="C33428" t="s">
        <v>2289</v>
      </c>
      <c r="D33428" t="s">
        <v>60</v>
      </c>
      <c r="E33428" t="s">
        <v>158</v>
      </c>
      <c r="F33428" s="2" t="str">
        <f>HYPERLINK("http://www.otzar.org/book.asp?147224","פרי הלולים")</f>
        <v>פרי הלולים</v>
      </c>
    </row>
    <row r="33429" spans="1:6" x14ac:dyDescent="0.2">
      <c r="A33429" t="s">
        <v>52011</v>
      </c>
      <c r="B33429" t="s">
        <v>52013</v>
      </c>
      <c r="C33429" t="s">
        <v>20</v>
      </c>
      <c r="D33429" t="s">
        <v>90</v>
      </c>
      <c r="E33429" t="s">
        <v>15</v>
      </c>
      <c r="F33429" s="2" t="str">
        <f>HYPERLINK("http://www.otzar.org/book.asp?189867","פרי הלולים")</f>
        <v>פרי הלולים</v>
      </c>
    </row>
    <row r="33430" spans="1:6" x14ac:dyDescent="0.2">
      <c r="A33430" t="s">
        <v>52014</v>
      </c>
      <c r="B33430" t="s">
        <v>52015</v>
      </c>
      <c r="C33430" t="s">
        <v>1535</v>
      </c>
      <c r="D33430" t="s">
        <v>27</v>
      </c>
      <c r="E33430" t="s">
        <v>579</v>
      </c>
      <c r="F33430" s="2" t="str">
        <f>HYPERLINK("http://www.otzar.org/book.asp?64303","פרי הלימוד")</f>
        <v>פרי הלימוד</v>
      </c>
    </row>
    <row r="33431" spans="1:6" x14ac:dyDescent="0.2">
      <c r="A33431" t="s">
        <v>52016</v>
      </c>
      <c r="B33431" t="s">
        <v>52017</v>
      </c>
      <c r="C33431" t="s">
        <v>103</v>
      </c>
      <c r="D33431" t="s">
        <v>52</v>
      </c>
      <c r="E33431" t="s">
        <v>104</v>
      </c>
      <c r="F33431" s="2" t="str">
        <f>HYPERLINK("http://www.otzar.org/book.asp?172357","פרי המגדן")</f>
        <v>פרי המגדן</v>
      </c>
    </row>
    <row r="33432" spans="1:6" x14ac:dyDescent="0.2">
      <c r="A33432" t="s">
        <v>52018</v>
      </c>
      <c r="B33432" t="s">
        <v>23648</v>
      </c>
      <c r="C33432" t="s">
        <v>422</v>
      </c>
      <c r="D33432" t="s">
        <v>2504</v>
      </c>
      <c r="E33432" t="s">
        <v>202</v>
      </c>
      <c r="F33432" s="2" t="str">
        <f>HYPERLINK("http://www.otzar.org/book.asp?173893","פרי העמלים - כתובות")</f>
        <v>פרי העמלים - כתובות</v>
      </c>
    </row>
    <row r="33433" spans="1:6" x14ac:dyDescent="0.2">
      <c r="A33433" t="s">
        <v>52019</v>
      </c>
      <c r="B33433" t="s">
        <v>38767</v>
      </c>
      <c r="C33433" t="s">
        <v>52020</v>
      </c>
      <c r="D33433" t="s">
        <v>379</v>
      </c>
      <c r="E33433" t="s">
        <v>148</v>
      </c>
      <c r="F33433" s="2" t="str">
        <f>HYPERLINK("http://www.otzar.org/book.asp?20547","פרי העץ ומנחת יחיאל - 4 כר'")</f>
        <v>פרי העץ ומנחת יחיאל - 4 כר'</v>
      </c>
    </row>
    <row r="33434" spans="1:6" x14ac:dyDescent="0.2">
      <c r="A33434" t="s">
        <v>52021</v>
      </c>
      <c r="B33434" t="s">
        <v>49124</v>
      </c>
      <c r="C33434" t="s">
        <v>2455</v>
      </c>
      <c r="D33434" t="s">
        <v>76</v>
      </c>
      <c r="E33434" t="s">
        <v>803</v>
      </c>
      <c r="F33434" s="2" t="str">
        <f>HYPERLINK("http://www.otzar.org/book.asp?101924","פרי העץ")</f>
        <v>פרי העץ</v>
      </c>
    </row>
    <row r="33435" spans="1:6" x14ac:dyDescent="0.2">
      <c r="A33435" t="s">
        <v>52022</v>
      </c>
      <c r="B33435" t="s">
        <v>23936</v>
      </c>
      <c r="C33435" t="s">
        <v>49878</v>
      </c>
      <c r="D33435" t="s">
        <v>379</v>
      </c>
      <c r="E33435" t="s">
        <v>1880</v>
      </c>
      <c r="F33435" s="2" t="str">
        <f>HYPERLINK("http://www.otzar.org/book.asp?23710","פרי העץ - א, ב")</f>
        <v>פרי העץ - א, ב</v>
      </c>
    </row>
    <row r="33436" spans="1:6" x14ac:dyDescent="0.2">
      <c r="A33436" t="s">
        <v>52023</v>
      </c>
      <c r="B33436" t="s">
        <v>52024</v>
      </c>
      <c r="C33436" t="s">
        <v>71</v>
      </c>
      <c r="D33436" t="s">
        <v>14</v>
      </c>
      <c r="E33436" t="s">
        <v>144</v>
      </c>
      <c r="F33436" s="2" t="str">
        <f>HYPERLINK("http://www.otzar.org/book.asp?159446","פרי הרים")</f>
        <v>פרי הרים</v>
      </c>
    </row>
    <row r="33437" spans="1:6" x14ac:dyDescent="0.2">
      <c r="A33437" t="s">
        <v>52025</v>
      </c>
      <c r="B33437" t="s">
        <v>4001</v>
      </c>
      <c r="C33437" t="s">
        <v>496</v>
      </c>
      <c r="D33437" t="s">
        <v>52026</v>
      </c>
      <c r="E33437" t="s">
        <v>2135</v>
      </c>
      <c r="F33437" s="2" t="str">
        <f>HYPERLINK("http://www.otzar.org/book.asp?196007","פרי הרמז""ל, פרפראות לחכמה")</f>
        <v>פרי הרמז"ל, פרפראות לחכמה</v>
      </c>
    </row>
    <row r="33438" spans="1:6" x14ac:dyDescent="0.2">
      <c r="A33438" t="s">
        <v>52027</v>
      </c>
      <c r="B33438" t="s">
        <v>15396</v>
      </c>
      <c r="C33438" t="s">
        <v>52028</v>
      </c>
      <c r="D33438" t="s">
        <v>661</v>
      </c>
      <c r="E33438" t="s">
        <v>154</v>
      </c>
      <c r="F33438" s="2" t="str">
        <f>HYPERLINK("http://www.otzar.org/book.asp?9754","פרי השדה - 4 כר'")</f>
        <v>פרי השדה - 4 כר'</v>
      </c>
    </row>
    <row r="33439" spans="1:6" x14ac:dyDescent="0.2">
      <c r="A33439" t="s">
        <v>52029</v>
      </c>
      <c r="B33439" t="s">
        <v>52030</v>
      </c>
      <c r="C33439" t="s">
        <v>767</v>
      </c>
      <c r="D33439" t="s">
        <v>14</v>
      </c>
      <c r="E33439" t="s">
        <v>463</v>
      </c>
      <c r="F33439" s="2" t="str">
        <f>HYPERLINK("http://www.otzar.org/book.asp?105773","פרי השדה - 10 כר'")</f>
        <v>פרי השדה - 10 כר'</v>
      </c>
    </row>
    <row r="33440" spans="1:6" x14ac:dyDescent="0.2">
      <c r="A33440" t="s">
        <v>52031</v>
      </c>
      <c r="B33440" t="s">
        <v>51390</v>
      </c>
      <c r="C33440" t="s">
        <v>114</v>
      </c>
      <c r="D33440" t="s">
        <v>52</v>
      </c>
      <c r="E33440" t="s">
        <v>144</v>
      </c>
      <c r="F33440" s="2" t="str">
        <f>HYPERLINK("http://www.otzar.org/book.asp?165495","פרי חביב - כיצד מברכין")</f>
        <v>פרי חביב - כיצד מברכין</v>
      </c>
    </row>
    <row r="33441" spans="1:6" x14ac:dyDescent="0.2">
      <c r="A33441" t="s">
        <v>52032</v>
      </c>
      <c r="B33441" t="s">
        <v>33111</v>
      </c>
      <c r="C33441" t="s">
        <v>7364</v>
      </c>
      <c r="D33441" t="s">
        <v>729</v>
      </c>
      <c r="E33441" t="s">
        <v>172</v>
      </c>
      <c r="F33441" s="2" t="str">
        <f>HYPERLINK("http://www.otzar.org/book.asp?162132","פרי חדש - 6 כר'")</f>
        <v>פרי חדש - 6 כר'</v>
      </c>
    </row>
    <row r="33442" spans="1:6" x14ac:dyDescent="0.2">
      <c r="A33442" t="s">
        <v>52033</v>
      </c>
      <c r="B33442" t="s">
        <v>46346</v>
      </c>
      <c r="C33442" t="s">
        <v>313</v>
      </c>
      <c r="D33442" t="s">
        <v>52</v>
      </c>
      <c r="E33442" t="s">
        <v>1517</v>
      </c>
      <c r="F33442" s="2" t="str">
        <f>HYPERLINK("http://www.otzar.org/book.asp?191802","פרי חדש - 2 כר'")</f>
        <v>פרי חדש - 2 כר'</v>
      </c>
    </row>
    <row r="33443" spans="1:6" x14ac:dyDescent="0.2">
      <c r="A33443" t="s">
        <v>52034</v>
      </c>
      <c r="B33443" t="s">
        <v>4558</v>
      </c>
      <c r="C33443" t="s">
        <v>266</v>
      </c>
      <c r="D33443" t="s">
        <v>267</v>
      </c>
      <c r="E33443" t="s">
        <v>246</v>
      </c>
      <c r="F33443" s="2" t="str">
        <f>HYPERLINK("http://www.otzar.org/book.asp?104772","פרי חיים - 4 כר'")</f>
        <v>פרי חיים - 4 כר'</v>
      </c>
    </row>
    <row r="33444" spans="1:6" x14ac:dyDescent="0.2">
      <c r="A33444" t="s">
        <v>52035</v>
      </c>
      <c r="B33444" t="s">
        <v>12445</v>
      </c>
      <c r="C33444" t="s">
        <v>496</v>
      </c>
      <c r="D33444" t="s">
        <v>283</v>
      </c>
      <c r="E33444" t="s">
        <v>559</v>
      </c>
      <c r="F33444" s="2" t="str">
        <f>HYPERLINK("http://www.otzar.org/book.asp?102725","פרי חיים - 2 כר'")</f>
        <v>פרי חיים - 2 כר'</v>
      </c>
    </row>
    <row r="33445" spans="1:6" x14ac:dyDescent="0.2">
      <c r="A33445" t="s">
        <v>52036</v>
      </c>
      <c r="B33445" t="s">
        <v>3820</v>
      </c>
      <c r="C33445" t="s">
        <v>390</v>
      </c>
      <c r="D33445" t="s">
        <v>412</v>
      </c>
      <c r="E33445" t="s">
        <v>241</v>
      </c>
      <c r="F33445" s="2" t="str">
        <f>HYPERLINK("http://www.otzar.org/book.asp?105861","פרי חיים")</f>
        <v>פרי חיים</v>
      </c>
    </row>
    <row r="33446" spans="1:6" x14ac:dyDescent="0.2">
      <c r="A33446" t="s">
        <v>52036</v>
      </c>
      <c r="B33446" t="s">
        <v>52037</v>
      </c>
      <c r="C33446" t="s">
        <v>533</v>
      </c>
      <c r="D33446" t="s">
        <v>216</v>
      </c>
      <c r="E33446" t="s">
        <v>104</v>
      </c>
      <c r="F33446" s="2" t="str">
        <f>HYPERLINK("http://www.otzar.org/book.asp?156892","פרי חיים")</f>
        <v>פרי חיים</v>
      </c>
    </row>
    <row r="33447" spans="1:6" x14ac:dyDescent="0.2">
      <c r="A33447" t="s">
        <v>52036</v>
      </c>
      <c r="B33447" t="s">
        <v>35427</v>
      </c>
      <c r="C33447" t="s">
        <v>114</v>
      </c>
      <c r="D33447" t="s">
        <v>14</v>
      </c>
      <c r="E33447" t="s">
        <v>219</v>
      </c>
      <c r="F33447" s="2" t="str">
        <f>HYPERLINK("http://www.otzar.org/book.asp?167777","פרי חיים")</f>
        <v>פרי חיים</v>
      </c>
    </row>
    <row r="33448" spans="1:6" x14ac:dyDescent="0.2">
      <c r="A33448" t="s">
        <v>52038</v>
      </c>
      <c r="B33448" t="s">
        <v>382</v>
      </c>
      <c r="C33448" t="s">
        <v>466</v>
      </c>
      <c r="D33448" t="s">
        <v>14</v>
      </c>
      <c r="E33448" t="s">
        <v>2153</v>
      </c>
      <c r="F33448" s="2" t="str">
        <f>HYPERLINK("http://www.otzar.org/book.asp?144302","פרי חיים - 3 כר'")</f>
        <v>פרי חיים - 3 כר'</v>
      </c>
    </row>
    <row r="33449" spans="1:6" x14ac:dyDescent="0.2">
      <c r="A33449" t="s">
        <v>52036</v>
      </c>
      <c r="B33449" t="s">
        <v>3166</v>
      </c>
      <c r="C33449" t="s">
        <v>114</v>
      </c>
      <c r="D33449" t="s">
        <v>14</v>
      </c>
      <c r="E33449" t="s">
        <v>15</v>
      </c>
      <c r="F33449" s="2" t="str">
        <f>HYPERLINK("http://www.otzar.org/book.asp?163429","פרי חיים")</f>
        <v>פרי חיים</v>
      </c>
    </row>
    <row r="33450" spans="1:6" x14ac:dyDescent="0.2">
      <c r="A33450" t="s">
        <v>52039</v>
      </c>
      <c r="B33450" t="s">
        <v>10224</v>
      </c>
      <c r="C33450" t="s">
        <v>466</v>
      </c>
      <c r="D33450" t="s">
        <v>14</v>
      </c>
      <c r="E33450" t="s">
        <v>2862</v>
      </c>
      <c r="F33450" s="2" t="str">
        <f>HYPERLINK("http://www.otzar.org/book.asp?107252","פרי חיים - 7 כר'")</f>
        <v>פרי חיים - 7 כר'</v>
      </c>
    </row>
    <row r="33451" spans="1:6" x14ac:dyDescent="0.2">
      <c r="A33451" t="s">
        <v>52036</v>
      </c>
      <c r="B33451" t="s">
        <v>24934</v>
      </c>
      <c r="C33451" t="s">
        <v>51</v>
      </c>
      <c r="D33451" t="s">
        <v>52</v>
      </c>
      <c r="E33451" t="s">
        <v>658</v>
      </c>
      <c r="F33451" s="2" t="str">
        <f>HYPERLINK("http://www.otzar.org/book.asp?153724","פרי חיים")</f>
        <v>פרי חיים</v>
      </c>
    </row>
    <row r="33452" spans="1:6" x14ac:dyDescent="0.2">
      <c r="A33452" t="s">
        <v>52040</v>
      </c>
      <c r="B33452" t="s">
        <v>14133</v>
      </c>
      <c r="C33452" t="s">
        <v>503</v>
      </c>
      <c r="D33452" t="s">
        <v>855</v>
      </c>
      <c r="E33452" t="s">
        <v>234</v>
      </c>
      <c r="F33452" s="2" t="str">
        <f>HYPERLINK("http://www.otzar.org/book.asp?28419","פרי חיים - 6 כר'")</f>
        <v>פרי חיים - 6 כר'</v>
      </c>
    </row>
    <row r="33453" spans="1:6" x14ac:dyDescent="0.2">
      <c r="A33453" t="s">
        <v>52036</v>
      </c>
      <c r="B33453" t="s">
        <v>52041</v>
      </c>
      <c r="C33453" t="s">
        <v>52042</v>
      </c>
      <c r="D33453" t="s">
        <v>52043</v>
      </c>
      <c r="E33453" t="s">
        <v>2840</v>
      </c>
      <c r="F33453" s="2" t="str">
        <f>HYPERLINK("http://www.otzar.org/book.asp?197013","פרי חיים")</f>
        <v>פרי חיים</v>
      </c>
    </row>
    <row r="33454" spans="1:6" x14ac:dyDescent="0.2">
      <c r="A33454" t="s">
        <v>52036</v>
      </c>
      <c r="B33454" t="s">
        <v>1361</v>
      </c>
      <c r="C33454" t="s">
        <v>725</v>
      </c>
      <c r="D33454" t="s">
        <v>225</v>
      </c>
      <c r="E33454" t="s">
        <v>172</v>
      </c>
      <c r="F33454" s="2" t="str">
        <f>HYPERLINK("http://www.otzar.org/book.asp?51792","פרי חיים")</f>
        <v>פרי חיים</v>
      </c>
    </row>
    <row r="33455" spans="1:6" x14ac:dyDescent="0.2">
      <c r="A33455" t="s">
        <v>52044</v>
      </c>
      <c r="B33455" t="s">
        <v>52045</v>
      </c>
      <c r="C33455" t="s">
        <v>1374</v>
      </c>
      <c r="D33455" t="s">
        <v>100</v>
      </c>
      <c r="E33455" t="s">
        <v>5186</v>
      </c>
      <c r="F33455" s="2" t="str">
        <f>HYPERLINK("http://www.otzar.org/book.asp?147553","פרי חמד")</f>
        <v>פרי חמד</v>
      </c>
    </row>
    <row r="33456" spans="1:6" x14ac:dyDescent="0.2">
      <c r="A33456" t="s">
        <v>52046</v>
      </c>
      <c r="B33456" t="s">
        <v>52047</v>
      </c>
      <c r="C33456" t="s">
        <v>13</v>
      </c>
      <c r="D33456" t="s">
        <v>1974</v>
      </c>
      <c r="E33456" t="s">
        <v>158</v>
      </c>
      <c r="F33456" s="2" t="str">
        <f>HYPERLINK("http://www.otzar.org/book.asp?602956","פרי חנן - 2 כר'")</f>
        <v>פרי חנן - 2 כר'</v>
      </c>
    </row>
    <row r="33457" spans="1:6" x14ac:dyDescent="0.2">
      <c r="A33457" t="s">
        <v>52048</v>
      </c>
      <c r="B33457" t="s">
        <v>52049</v>
      </c>
      <c r="C33457" t="s">
        <v>20</v>
      </c>
      <c r="D33457" t="s">
        <v>90</v>
      </c>
      <c r="E33457" t="s">
        <v>803</v>
      </c>
      <c r="F33457" s="2" t="str">
        <f>HYPERLINK("http://www.otzar.org/book.asp?180810","פרי טוב - 3 כר'")</f>
        <v>פרי טוב - 3 כר'</v>
      </c>
    </row>
    <row r="33458" spans="1:6" x14ac:dyDescent="0.2">
      <c r="A33458" t="s">
        <v>52050</v>
      </c>
      <c r="B33458" t="s">
        <v>3166</v>
      </c>
      <c r="C33458" t="s">
        <v>71</v>
      </c>
      <c r="D33458" t="s">
        <v>14</v>
      </c>
      <c r="E33458" t="s">
        <v>1626</v>
      </c>
      <c r="F33458" s="2" t="str">
        <f>HYPERLINK("http://www.otzar.org/book.asp?200285","פרי טוב")</f>
        <v>פרי טוב</v>
      </c>
    </row>
    <row r="33459" spans="1:6" x14ac:dyDescent="0.2">
      <c r="A33459" t="s">
        <v>52051</v>
      </c>
      <c r="B33459" t="s">
        <v>52052</v>
      </c>
      <c r="C33459" t="s">
        <v>411</v>
      </c>
      <c r="D33459" t="s">
        <v>52</v>
      </c>
      <c r="E33459" t="s">
        <v>234</v>
      </c>
      <c r="F33459" s="2" t="str">
        <f>HYPERLINK("http://www.otzar.org/book.asp?167167","פרי ידידות")</f>
        <v>פרי ידידות</v>
      </c>
    </row>
    <row r="33460" spans="1:6" x14ac:dyDescent="0.2">
      <c r="A33460" t="s">
        <v>52053</v>
      </c>
      <c r="B33460" t="s">
        <v>52054</v>
      </c>
      <c r="C33460" t="s">
        <v>111</v>
      </c>
      <c r="D33460" t="s">
        <v>52</v>
      </c>
      <c r="E33460" t="s">
        <v>144</v>
      </c>
      <c r="F33460" s="2" t="str">
        <f>HYPERLINK("http://www.otzar.org/book.asp?629975","פרי ידידות - פסחים")</f>
        <v>פרי ידידות - פסחים</v>
      </c>
    </row>
    <row r="33461" spans="1:6" x14ac:dyDescent="0.2">
      <c r="A33461" t="s">
        <v>52055</v>
      </c>
      <c r="B33461" t="s">
        <v>5667</v>
      </c>
      <c r="C33461" t="s">
        <v>13</v>
      </c>
      <c r="D33461" t="s">
        <v>412</v>
      </c>
      <c r="E33461" t="s">
        <v>158</v>
      </c>
      <c r="F33461" s="2" t="str">
        <f>HYPERLINK("http://www.otzar.org/book.asp?603871","פרי יהודה &lt;יד יהודה&gt;")</f>
        <v>פרי יהודה &lt;יד יהודה&gt;</v>
      </c>
    </row>
    <row r="33462" spans="1:6" x14ac:dyDescent="0.2">
      <c r="A33462" t="s">
        <v>52056</v>
      </c>
      <c r="B33462" t="s">
        <v>32189</v>
      </c>
      <c r="C33462" t="s">
        <v>2132</v>
      </c>
      <c r="D33462" t="s">
        <v>14</v>
      </c>
      <c r="E33462" t="s">
        <v>144</v>
      </c>
      <c r="F33462" s="2" t="str">
        <f>HYPERLINK("http://www.otzar.org/book.asp?166200","פרי יהודה")</f>
        <v>פרי יהודה</v>
      </c>
    </row>
    <row r="33463" spans="1:6" x14ac:dyDescent="0.2">
      <c r="A33463" t="s">
        <v>52056</v>
      </c>
      <c r="B33463" t="s">
        <v>5667</v>
      </c>
      <c r="C33463" t="s">
        <v>224</v>
      </c>
      <c r="D33463" t="s">
        <v>691</v>
      </c>
      <c r="E33463" t="s">
        <v>158</v>
      </c>
      <c r="F33463" s="2" t="str">
        <f>HYPERLINK("http://www.otzar.org/book.asp?25303","פרי יהודה")</f>
        <v>פרי יהודה</v>
      </c>
    </row>
    <row r="33464" spans="1:6" x14ac:dyDescent="0.2">
      <c r="A33464" t="s">
        <v>52057</v>
      </c>
      <c r="B33464" t="s">
        <v>9393</v>
      </c>
      <c r="C33464" t="s">
        <v>133</v>
      </c>
      <c r="D33464" t="s">
        <v>21</v>
      </c>
      <c r="E33464" t="s">
        <v>144</v>
      </c>
      <c r="F33464" s="2" t="str">
        <f>HYPERLINK("http://www.otzar.org/book.asp?195943","פרי יהונתן - נדרים")</f>
        <v>פרי יהונתן - נדרים</v>
      </c>
    </row>
    <row r="33465" spans="1:6" x14ac:dyDescent="0.2">
      <c r="A33465" t="s">
        <v>52058</v>
      </c>
      <c r="B33465" t="s">
        <v>12054</v>
      </c>
      <c r="C33465" t="s">
        <v>237</v>
      </c>
      <c r="D33465" t="s">
        <v>3293</v>
      </c>
      <c r="E33465" t="s">
        <v>38986</v>
      </c>
      <c r="F33465" s="2" t="str">
        <f>HYPERLINK("http://www.otzar.org/book.asp?13798","פרי יהושע")</f>
        <v>פרי יהושע</v>
      </c>
    </row>
    <row r="33466" spans="1:6" x14ac:dyDescent="0.2">
      <c r="A33466" t="s">
        <v>52058</v>
      </c>
      <c r="B33466" t="s">
        <v>25224</v>
      </c>
      <c r="C33466" t="s">
        <v>1310</v>
      </c>
      <c r="D33466" t="s">
        <v>56</v>
      </c>
      <c r="E33466" t="s">
        <v>144</v>
      </c>
      <c r="F33466" s="2" t="str">
        <f>HYPERLINK("http://www.otzar.org/book.asp?101762","פרי יהושע")</f>
        <v>פרי יהושע</v>
      </c>
    </row>
    <row r="33467" spans="1:6" x14ac:dyDescent="0.2">
      <c r="A33467" t="s">
        <v>52059</v>
      </c>
      <c r="B33467" t="s">
        <v>52060</v>
      </c>
      <c r="C33467" t="s">
        <v>129</v>
      </c>
      <c r="D33467" t="s">
        <v>245</v>
      </c>
      <c r="E33467" t="s">
        <v>144</v>
      </c>
      <c r="F33467" s="2" t="str">
        <f>HYPERLINK("http://www.otzar.org/book.asp?172119","פרי יואל")</f>
        <v>פרי יואל</v>
      </c>
    </row>
    <row r="33468" spans="1:6" x14ac:dyDescent="0.2">
      <c r="A33468" t="s">
        <v>52061</v>
      </c>
      <c r="B33468" t="s">
        <v>52062</v>
      </c>
      <c r="C33468" t="s">
        <v>51</v>
      </c>
      <c r="D33468" t="s">
        <v>1550</v>
      </c>
      <c r="E33468" t="s">
        <v>684</v>
      </c>
      <c r="F33468" s="2" t="str">
        <f>HYPERLINK("http://www.otzar.org/book.asp?50442","פרי יוסף - 2 כר'")</f>
        <v>פרי יוסף - 2 כר'</v>
      </c>
    </row>
    <row r="33469" spans="1:6" x14ac:dyDescent="0.2">
      <c r="A33469" t="s">
        <v>52063</v>
      </c>
      <c r="B33469" t="s">
        <v>19083</v>
      </c>
      <c r="C33469" t="s">
        <v>896</v>
      </c>
      <c r="D33469" t="s">
        <v>56</v>
      </c>
      <c r="E33469" t="s">
        <v>930</v>
      </c>
      <c r="F33469" s="2" t="str">
        <f>HYPERLINK("http://www.otzar.org/book.asp?21441","פרי יוסף")</f>
        <v>פרי יוסף</v>
      </c>
    </row>
    <row r="33470" spans="1:6" x14ac:dyDescent="0.2">
      <c r="A33470" t="s">
        <v>52063</v>
      </c>
      <c r="B33470" t="s">
        <v>52064</v>
      </c>
      <c r="C33470" t="s">
        <v>748</v>
      </c>
      <c r="D33470" t="s">
        <v>2181</v>
      </c>
      <c r="E33470" t="s">
        <v>144</v>
      </c>
      <c r="F33470" s="2" t="str">
        <f>HYPERLINK("http://www.otzar.org/book.asp?20548","פרי יוסף")</f>
        <v>פרי יוסף</v>
      </c>
    </row>
    <row r="33471" spans="1:6" x14ac:dyDescent="0.2">
      <c r="A33471" t="s">
        <v>52063</v>
      </c>
      <c r="B33471" t="s">
        <v>52065</v>
      </c>
      <c r="F33471" s="2" t="str">
        <f>HYPERLINK("http://www.otzar.org/book.asp?616909","פרי יוסף")</f>
        <v>פרי יוסף</v>
      </c>
    </row>
    <row r="33472" spans="1:6" x14ac:dyDescent="0.2">
      <c r="A33472" t="s">
        <v>52063</v>
      </c>
      <c r="B33472" t="s">
        <v>3051</v>
      </c>
      <c r="C33472" t="s">
        <v>20</v>
      </c>
      <c r="D33472" t="s">
        <v>52</v>
      </c>
      <c r="E33472" t="s">
        <v>172</v>
      </c>
      <c r="F33472" s="2" t="str">
        <f>HYPERLINK("http://www.otzar.org/book.asp?625528","פרי יוסף")</f>
        <v>פרי יוסף</v>
      </c>
    </row>
    <row r="33473" spans="1:6" x14ac:dyDescent="0.2">
      <c r="A33473" t="s">
        <v>52066</v>
      </c>
      <c r="B33473" t="s">
        <v>10461</v>
      </c>
      <c r="C33473" t="s">
        <v>462</v>
      </c>
      <c r="D33473" t="s">
        <v>27</v>
      </c>
      <c r="E33473" t="s">
        <v>104</v>
      </c>
      <c r="F33473" s="2" t="str">
        <f>HYPERLINK("http://www.otzar.org/book.asp?25304","פרי יחזקאל")</f>
        <v>פרי יחזקאל</v>
      </c>
    </row>
    <row r="33474" spans="1:6" x14ac:dyDescent="0.2">
      <c r="A33474" t="s">
        <v>52067</v>
      </c>
      <c r="B33474" t="s">
        <v>52068</v>
      </c>
      <c r="C33474" t="s">
        <v>989</v>
      </c>
      <c r="D33474" t="s">
        <v>21</v>
      </c>
      <c r="E33474" t="s">
        <v>144</v>
      </c>
      <c r="F33474" s="2" t="str">
        <f>HYPERLINK("http://www.otzar.org/book.asp?604288","פרי יעקב")</f>
        <v>פרי יעקב</v>
      </c>
    </row>
    <row r="33475" spans="1:6" x14ac:dyDescent="0.2">
      <c r="A33475" t="s">
        <v>52067</v>
      </c>
      <c r="B33475" t="s">
        <v>52069</v>
      </c>
      <c r="C33475" t="s">
        <v>2605</v>
      </c>
      <c r="D33475" t="s">
        <v>8370</v>
      </c>
      <c r="E33475" t="s">
        <v>2088</v>
      </c>
      <c r="F33475" s="2" t="str">
        <f>HYPERLINK("http://www.otzar.org/book.asp?21442","פרי יעקב")</f>
        <v>פרי יעקב</v>
      </c>
    </row>
    <row r="33476" spans="1:6" x14ac:dyDescent="0.2">
      <c r="A33476" t="s">
        <v>52067</v>
      </c>
      <c r="B33476" t="s">
        <v>16789</v>
      </c>
      <c r="C33476" t="s">
        <v>124</v>
      </c>
      <c r="D33476" t="s">
        <v>216</v>
      </c>
      <c r="F33476" s="2" t="str">
        <f>HYPERLINK("http://www.otzar.org/book.asp?609936","פרי יעקב")</f>
        <v>פרי יעקב</v>
      </c>
    </row>
    <row r="33477" spans="1:6" x14ac:dyDescent="0.2">
      <c r="A33477" t="s">
        <v>52067</v>
      </c>
      <c r="B33477" t="s">
        <v>52070</v>
      </c>
      <c r="C33477" t="s">
        <v>422</v>
      </c>
      <c r="D33477" t="s">
        <v>52</v>
      </c>
      <c r="E33477" t="s">
        <v>130</v>
      </c>
      <c r="F33477" s="2" t="str">
        <f>HYPERLINK("http://www.otzar.org/book.asp?163334","פרי יעקב")</f>
        <v>פרי יעקב</v>
      </c>
    </row>
    <row r="33478" spans="1:6" x14ac:dyDescent="0.2">
      <c r="A33478" t="s">
        <v>52067</v>
      </c>
      <c r="B33478" t="s">
        <v>52071</v>
      </c>
      <c r="C33478" t="s">
        <v>896</v>
      </c>
      <c r="D33478" t="s">
        <v>56</v>
      </c>
      <c r="E33478" t="s">
        <v>52072</v>
      </c>
      <c r="F33478" s="2" t="str">
        <f>HYPERLINK("http://www.otzar.org/book.asp?19449","פרי יעקב")</f>
        <v>פרי יעקב</v>
      </c>
    </row>
    <row r="33479" spans="1:6" x14ac:dyDescent="0.2">
      <c r="A33479" t="s">
        <v>52067</v>
      </c>
      <c r="B33479" t="s">
        <v>52073</v>
      </c>
      <c r="C33479" t="s">
        <v>37</v>
      </c>
      <c r="D33479" t="s">
        <v>152</v>
      </c>
      <c r="E33479" t="s">
        <v>10159</v>
      </c>
      <c r="F33479" s="2" t="str">
        <f>HYPERLINK("http://www.otzar.org/book.asp?606204","פרי יעקב")</f>
        <v>פרי יעקב</v>
      </c>
    </row>
    <row r="33480" spans="1:6" x14ac:dyDescent="0.2">
      <c r="A33480" t="s">
        <v>52074</v>
      </c>
      <c r="B33480" t="s">
        <v>52075</v>
      </c>
      <c r="C33480" t="s">
        <v>313</v>
      </c>
      <c r="D33480" t="s">
        <v>14</v>
      </c>
      <c r="E33480" t="s">
        <v>202</v>
      </c>
      <c r="F33480" s="2" t="str">
        <f>HYPERLINK("http://www.otzar.org/book.asp?161823","פרי יצחק - 6 כר'")</f>
        <v>פרי יצחק - 6 כר'</v>
      </c>
    </row>
    <row r="33481" spans="1:6" x14ac:dyDescent="0.2">
      <c r="A33481" t="s">
        <v>52076</v>
      </c>
      <c r="B33481" t="s">
        <v>30669</v>
      </c>
      <c r="C33481" t="s">
        <v>52077</v>
      </c>
      <c r="D33481" t="s">
        <v>56</v>
      </c>
      <c r="E33481" t="s">
        <v>154</v>
      </c>
      <c r="F33481" s="2" t="str">
        <f>HYPERLINK("http://www.otzar.org/book.asp?10844","פרי יצחק - 2 כר'")</f>
        <v>פרי יצחק - 2 כר'</v>
      </c>
    </row>
    <row r="33482" spans="1:6" x14ac:dyDescent="0.2">
      <c r="A33482" t="s">
        <v>52078</v>
      </c>
      <c r="B33482" t="s">
        <v>52079</v>
      </c>
      <c r="C33482" t="s">
        <v>23</v>
      </c>
      <c r="D33482" t="s">
        <v>52</v>
      </c>
      <c r="E33482" t="s">
        <v>144</v>
      </c>
      <c r="F33482" s="2" t="str">
        <f>HYPERLINK("http://www.otzar.org/book.asp?616542","פרי יצחק - 3 כר'")</f>
        <v>פרי יצחק - 3 כר'</v>
      </c>
    </row>
    <row r="33483" spans="1:6" x14ac:dyDescent="0.2">
      <c r="A33483" t="s">
        <v>52080</v>
      </c>
      <c r="B33483" t="s">
        <v>48440</v>
      </c>
      <c r="C33483" t="s">
        <v>6448</v>
      </c>
      <c r="D33483" t="s">
        <v>2041</v>
      </c>
      <c r="E33483" t="s">
        <v>399</v>
      </c>
      <c r="F33483" s="2" t="str">
        <f>HYPERLINK("http://www.otzar.org/book.asp?28401","פרי יצחק - על ספר יצירה")</f>
        <v>פרי יצחק - על ספר יצירה</v>
      </c>
    </row>
    <row r="33484" spans="1:6" x14ac:dyDescent="0.2">
      <c r="A33484" t="s">
        <v>52081</v>
      </c>
      <c r="B33484" t="s">
        <v>52082</v>
      </c>
      <c r="C33484" t="s">
        <v>282</v>
      </c>
      <c r="D33484" t="s">
        <v>56</v>
      </c>
      <c r="E33484" t="s">
        <v>674</v>
      </c>
      <c r="F33484" s="2" t="str">
        <f>HYPERLINK("http://www.otzar.org/book.asp?102156","פרי יצחק")</f>
        <v>פרי יצחק</v>
      </c>
    </row>
    <row r="33485" spans="1:6" x14ac:dyDescent="0.2">
      <c r="A33485" t="s">
        <v>52078</v>
      </c>
      <c r="B33485" t="s">
        <v>52083</v>
      </c>
      <c r="C33485" t="s">
        <v>438</v>
      </c>
      <c r="D33485" t="s">
        <v>52</v>
      </c>
      <c r="E33485" t="s">
        <v>604</v>
      </c>
      <c r="F33485" s="2" t="str">
        <f>HYPERLINK("http://www.otzar.org/book.asp?188430","פרי יצחק - 3 כר'")</f>
        <v>פרי יצחק - 3 כר'</v>
      </c>
    </row>
    <row r="33486" spans="1:6" x14ac:dyDescent="0.2">
      <c r="A33486" t="s">
        <v>52076</v>
      </c>
      <c r="B33486" t="s">
        <v>9400</v>
      </c>
      <c r="C33486" t="s">
        <v>13</v>
      </c>
      <c r="D33486" t="s">
        <v>14</v>
      </c>
      <c r="E33486" t="s">
        <v>144</v>
      </c>
      <c r="F33486" s="2" t="str">
        <f>HYPERLINK("http://www.otzar.org/book.asp?85030","פרי יצחק - 2 כר'")</f>
        <v>פרי יצחק - 2 כר'</v>
      </c>
    </row>
    <row r="33487" spans="1:6" x14ac:dyDescent="0.2">
      <c r="A33487" t="s">
        <v>52081</v>
      </c>
      <c r="B33487" t="s">
        <v>52084</v>
      </c>
      <c r="C33487" t="s">
        <v>427</v>
      </c>
      <c r="D33487" t="s">
        <v>646</v>
      </c>
      <c r="E33487" t="s">
        <v>508</v>
      </c>
      <c r="F33487" s="2" t="str">
        <f>HYPERLINK("http://www.otzar.org/book.asp?156094","פרי יצחק")</f>
        <v>פרי יצחק</v>
      </c>
    </row>
    <row r="33488" spans="1:6" x14ac:dyDescent="0.2">
      <c r="A33488" t="s">
        <v>52085</v>
      </c>
      <c r="B33488" t="s">
        <v>52086</v>
      </c>
      <c r="C33488" t="s">
        <v>767</v>
      </c>
      <c r="D33488" t="s">
        <v>27</v>
      </c>
      <c r="E33488" t="s">
        <v>15</v>
      </c>
      <c r="F33488" s="2" t="str">
        <f>HYPERLINK("http://www.otzar.org/book.asp?179510","פרי ירוחם")</f>
        <v>פרי ירוחם</v>
      </c>
    </row>
    <row r="33489" spans="1:6" x14ac:dyDescent="0.2">
      <c r="A33489" t="s">
        <v>52087</v>
      </c>
      <c r="B33489" t="s">
        <v>52088</v>
      </c>
      <c r="C33489" t="s">
        <v>725</v>
      </c>
      <c r="D33489" t="s">
        <v>412</v>
      </c>
      <c r="F33489" s="2" t="str">
        <f>HYPERLINK("http://www.otzar.org/book.asp?196065","פרי ירוחם - ב")</f>
        <v>פרי ירוחם - ב</v>
      </c>
    </row>
    <row r="33490" spans="1:6" x14ac:dyDescent="0.2">
      <c r="A33490" t="s">
        <v>52089</v>
      </c>
      <c r="B33490" t="s">
        <v>52090</v>
      </c>
      <c r="C33490" t="s">
        <v>151</v>
      </c>
      <c r="D33490" t="s">
        <v>147</v>
      </c>
      <c r="E33490" t="s">
        <v>15</v>
      </c>
      <c r="F33490" s="2" t="str">
        <f>HYPERLINK("http://www.otzar.org/book.asp?622174","פרי ישע")</f>
        <v>פרי ישע</v>
      </c>
    </row>
    <row r="33491" spans="1:6" x14ac:dyDescent="0.2">
      <c r="A33491" t="s">
        <v>52091</v>
      </c>
      <c r="B33491" t="s">
        <v>52092</v>
      </c>
      <c r="C33491" t="s">
        <v>989</v>
      </c>
      <c r="D33491" t="s">
        <v>14</v>
      </c>
      <c r="E33491" t="s">
        <v>202</v>
      </c>
      <c r="F33491" s="2" t="str">
        <f>HYPERLINK("http://www.otzar.org/book.asp?151789","פרי ישראל - 3 כר'")</f>
        <v>פרי ישראל - 3 כר'</v>
      </c>
    </row>
    <row r="33492" spans="1:6" x14ac:dyDescent="0.2">
      <c r="A33492" t="s">
        <v>52093</v>
      </c>
      <c r="B33492" t="s">
        <v>52094</v>
      </c>
      <c r="C33492" t="s">
        <v>71</v>
      </c>
      <c r="D33492" t="s">
        <v>646</v>
      </c>
      <c r="F33492" s="2" t="str">
        <f>HYPERLINK("http://www.otzar.org/book.asp?615647","פרי ישראל")</f>
        <v>פרי ישראל</v>
      </c>
    </row>
    <row r="33493" spans="1:6" x14ac:dyDescent="0.2">
      <c r="A33493" t="s">
        <v>52093</v>
      </c>
      <c r="B33493" t="s">
        <v>16033</v>
      </c>
      <c r="C33493" t="s">
        <v>180</v>
      </c>
      <c r="D33493" t="s">
        <v>216</v>
      </c>
      <c r="E33493" t="s">
        <v>4260</v>
      </c>
      <c r="F33493" s="2" t="str">
        <f>HYPERLINK("http://www.otzar.org/book.asp?13853","פרי ישראל")</f>
        <v>פרי ישראל</v>
      </c>
    </row>
    <row r="33494" spans="1:6" x14ac:dyDescent="0.2">
      <c r="A33494" t="s">
        <v>52095</v>
      </c>
      <c r="B33494" t="s">
        <v>52096</v>
      </c>
      <c r="C33494" t="s">
        <v>237</v>
      </c>
      <c r="D33494" t="s">
        <v>27</v>
      </c>
      <c r="E33494" t="s">
        <v>52097</v>
      </c>
      <c r="F33494" s="2" t="str">
        <f>HYPERLINK("http://www.otzar.org/book.asp?103680","פרי לבנון")</f>
        <v>פרי לבנון</v>
      </c>
    </row>
    <row r="33495" spans="1:6" x14ac:dyDescent="0.2">
      <c r="A33495" t="s">
        <v>52098</v>
      </c>
      <c r="B33495" t="s">
        <v>52099</v>
      </c>
      <c r="C33495" t="s">
        <v>366</v>
      </c>
      <c r="D33495" t="s">
        <v>52</v>
      </c>
      <c r="E33495" t="s">
        <v>158</v>
      </c>
      <c r="F33495" s="2" t="str">
        <f>HYPERLINK("http://www.otzar.org/book.asp?617909","פרי מגדיו - 5 כר'")</f>
        <v>פרי מגדיו - 5 כר'</v>
      </c>
    </row>
    <row r="33496" spans="1:6" x14ac:dyDescent="0.2">
      <c r="A33496" t="s">
        <v>52100</v>
      </c>
      <c r="B33496" t="s">
        <v>52101</v>
      </c>
      <c r="C33496" t="s">
        <v>189</v>
      </c>
      <c r="D33496" t="s">
        <v>14</v>
      </c>
      <c r="E33496" t="s">
        <v>172</v>
      </c>
      <c r="F33496" s="2" t="str">
        <f>HYPERLINK("http://www.otzar.org/book.asp?171213","פרי מגדים &lt;פרי אבי&gt; - 4 כר'")</f>
        <v>פרי מגדים &lt;פרי אבי&gt; - 4 כר'</v>
      </c>
    </row>
    <row r="33497" spans="1:6" x14ac:dyDescent="0.2">
      <c r="A33497" t="s">
        <v>52102</v>
      </c>
      <c r="B33497" t="s">
        <v>52103</v>
      </c>
      <c r="C33497" t="s">
        <v>989</v>
      </c>
      <c r="D33497" t="s">
        <v>412</v>
      </c>
      <c r="E33497" t="s">
        <v>148</v>
      </c>
      <c r="F33497" s="2" t="str">
        <f>HYPERLINK("http://www.otzar.org/book.asp?167431","פרי מגדים &lt;פרח שושנה&gt; - שחיטה")</f>
        <v>פרי מגדים &lt;פרח שושנה&gt; - שחיטה</v>
      </c>
    </row>
    <row r="33498" spans="1:6" x14ac:dyDescent="0.2">
      <c r="A33498" t="s">
        <v>52104</v>
      </c>
      <c r="B33498" t="s">
        <v>52105</v>
      </c>
      <c r="C33498" t="s">
        <v>767</v>
      </c>
      <c r="D33498" t="s">
        <v>14</v>
      </c>
      <c r="E33498" t="s">
        <v>172</v>
      </c>
      <c r="F33498" s="2" t="str">
        <f>HYPERLINK("http://www.otzar.org/book.asp?23201","פרי מגדים &lt;המבואר&gt; - 4 כר'")</f>
        <v>פרי מגדים &lt;המבואר&gt; - 4 כר'</v>
      </c>
    </row>
    <row r="33499" spans="1:6" x14ac:dyDescent="0.2">
      <c r="A33499" t="s">
        <v>52106</v>
      </c>
      <c r="B33499" t="s">
        <v>52107</v>
      </c>
      <c r="C33499" t="s">
        <v>1268</v>
      </c>
      <c r="D33499" t="s">
        <v>80</v>
      </c>
      <c r="E33499" t="s">
        <v>15</v>
      </c>
      <c r="F33499" s="2" t="str">
        <f>HYPERLINK("http://www.otzar.org/book.asp?606865","פרי מגדים (פתיחה כוללת) - מבואר")</f>
        <v>פרי מגדים (פתיחה כוללת) - מבואר</v>
      </c>
    </row>
    <row r="33500" spans="1:6" x14ac:dyDescent="0.2">
      <c r="A33500" t="s">
        <v>52108</v>
      </c>
      <c r="B33500" t="s">
        <v>27094</v>
      </c>
      <c r="C33500" t="s">
        <v>114</v>
      </c>
      <c r="D33500" t="s">
        <v>52</v>
      </c>
      <c r="E33500" t="s">
        <v>148</v>
      </c>
      <c r="F33500" s="2" t="str">
        <f>HYPERLINK("http://www.otzar.org/book.asp?623842","פרי מגדים הלכות לולב &lt;ביאור קצר- ביאור ארוך&gt;")</f>
        <v>פרי מגדים הלכות לולב &lt;ביאור קצר- ביאור ארוך&gt;</v>
      </c>
    </row>
    <row r="33501" spans="1:6" x14ac:dyDescent="0.2">
      <c r="A33501" t="s">
        <v>52109</v>
      </c>
      <c r="B33501" t="s">
        <v>52110</v>
      </c>
      <c r="C33501" t="s">
        <v>68</v>
      </c>
      <c r="D33501" t="s">
        <v>14</v>
      </c>
      <c r="E33501" t="s">
        <v>872</v>
      </c>
      <c r="F33501" s="2" t="str">
        <f>HYPERLINK("http://www.otzar.org/book.asp?619292","פרי מגדים הלכות סוכה &lt;סוכת מגדים&gt;")</f>
        <v>פרי מגדים הלכות סוכה &lt;סוכת מגדים&gt;</v>
      </c>
    </row>
    <row r="33502" spans="1:6" x14ac:dyDescent="0.2">
      <c r="A33502" t="s">
        <v>52111</v>
      </c>
      <c r="B33502" t="s">
        <v>52112</v>
      </c>
      <c r="C33502" t="s">
        <v>87</v>
      </c>
      <c r="D33502" t="s">
        <v>52</v>
      </c>
      <c r="E33502" t="s">
        <v>148</v>
      </c>
      <c r="F33502" s="2" t="str">
        <f>HYPERLINK("http://www.otzar.org/book.asp?160157","פרי מגדים הלכות שחיטה &lt;שערי מגדים&gt;")</f>
        <v>פרי מגדים הלכות שחיטה &lt;שערי מגדים&gt;</v>
      </c>
    </row>
    <row r="33503" spans="1:6" x14ac:dyDescent="0.2">
      <c r="A33503" t="s">
        <v>52113</v>
      </c>
      <c r="B33503" t="s">
        <v>52114</v>
      </c>
      <c r="C33503" t="s">
        <v>20</v>
      </c>
      <c r="D33503" t="s">
        <v>486</v>
      </c>
      <c r="E33503" t="s">
        <v>130</v>
      </c>
      <c r="F33503" s="2" t="str">
        <f>HYPERLINK("http://www.otzar.org/book.asp?188793","פרי מגדים הערוך - שבת")</f>
        <v>פרי מגדים הערוך - שבת</v>
      </c>
    </row>
    <row r="33504" spans="1:6" x14ac:dyDescent="0.2">
      <c r="A33504" t="s">
        <v>52115</v>
      </c>
      <c r="B33504" t="s">
        <v>52116</v>
      </c>
      <c r="C33504" t="s">
        <v>114</v>
      </c>
      <c r="D33504" t="s">
        <v>245</v>
      </c>
      <c r="E33504" t="s">
        <v>172</v>
      </c>
      <c r="F33504" s="2" t="str">
        <f>HYPERLINK("http://www.otzar.org/book.asp?181328","פרי מגדים השלם &lt;משמרת שלום - ליקוטי מגדים&gt; - בשר בחלב")</f>
        <v>פרי מגדים השלם &lt;משמרת שלום - ליקוטי מגדים&gt; - בשר בחלב</v>
      </c>
    </row>
    <row r="33505" spans="1:6" x14ac:dyDescent="0.2">
      <c r="A33505" t="s">
        <v>52117</v>
      </c>
      <c r="B33505" t="s">
        <v>52118</v>
      </c>
      <c r="C33505" t="s">
        <v>114</v>
      </c>
      <c r="D33505" t="s">
        <v>245</v>
      </c>
      <c r="E33505" t="s">
        <v>172</v>
      </c>
      <c r="F33505" s="2" t="str">
        <f>HYPERLINK("http://www.otzar.org/book.asp?181327","פרי מגדים השלם &lt;משמרת שלום - 2 כר'")</f>
        <v>פרי מגדים השלם &lt;משמרת שלום - 2 כר'</v>
      </c>
    </row>
    <row r="33506" spans="1:6" x14ac:dyDescent="0.2">
      <c r="A33506" t="s">
        <v>52119</v>
      </c>
      <c r="B33506" t="s">
        <v>52120</v>
      </c>
      <c r="C33506" t="s">
        <v>2243</v>
      </c>
      <c r="D33506" t="s">
        <v>1833</v>
      </c>
      <c r="E33506" t="s">
        <v>172</v>
      </c>
      <c r="F33506" s="2" t="str">
        <f>HYPERLINK("http://www.otzar.org/book.asp?182129","פרי מגדים - 2 כר'")</f>
        <v>פרי מגדים - 2 כר'</v>
      </c>
    </row>
    <row r="33507" spans="1:6" x14ac:dyDescent="0.2">
      <c r="A33507" t="s">
        <v>52121</v>
      </c>
      <c r="B33507" t="s">
        <v>1361</v>
      </c>
      <c r="C33507" t="s">
        <v>3816</v>
      </c>
      <c r="D33507" t="s">
        <v>267</v>
      </c>
      <c r="E33507" t="s">
        <v>172</v>
      </c>
      <c r="F33507" s="2" t="str">
        <f>HYPERLINK("http://www.otzar.org/book.asp?105087","פרי מגדים - 5 כר'")</f>
        <v>פרי מגדים - 5 כר'</v>
      </c>
    </row>
    <row r="33508" spans="1:6" x14ac:dyDescent="0.2">
      <c r="A33508" t="s">
        <v>52122</v>
      </c>
      <c r="B33508" t="s">
        <v>52123</v>
      </c>
      <c r="C33508" t="s">
        <v>422</v>
      </c>
      <c r="D33508" t="s">
        <v>14</v>
      </c>
      <c r="E33508" t="s">
        <v>230</v>
      </c>
      <c r="F33508" s="2" t="str">
        <f>HYPERLINK("http://www.otzar.org/book.asp?175567","פרי מוסר")</f>
        <v>פרי מוסר</v>
      </c>
    </row>
    <row r="33509" spans="1:6" x14ac:dyDescent="0.2">
      <c r="A33509" t="s">
        <v>52124</v>
      </c>
      <c r="B33509" t="s">
        <v>52125</v>
      </c>
      <c r="C33509" t="s">
        <v>51</v>
      </c>
      <c r="D33509" t="s">
        <v>118</v>
      </c>
      <c r="E33509" t="s">
        <v>144</v>
      </c>
      <c r="F33509" s="2" t="str">
        <f>HYPERLINK("http://www.otzar.org/book.asp?161228","פרי מחשבה - שבת")</f>
        <v>פרי מחשבה - שבת</v>
      </c>
    </row>
    <row r="33510" spans="1:6" x14ac:dyDescent="0.2">
      <c r="A33510" t="s">
        <v>52126</v>
      </c>
      <c r="B33510" t="s">
        <v>52127</v>
      </c>
      <c r="C33510" t="s">
        <v>1437</v>
      </c>
      <c r="D33510" t="s">
        <v>283</v>
      </c>
      <c r="E33510" t="s">
        <v>144</v>
      </c>
      <c r="F33510" s="2" t="str">
        <f>HYPERLINK("http://www.otzar.org/book.asp?104116","פרי מרדכי אברהם")</f>
        <v>פרי מרדכי אברהם</v>
      </c>
    </row>
    <row r="33511" spans="1:6" x14ac:dyDescent="0.2">
      <c r="A33511" t="s">
        <v>52128</v>
      </c>
      <c r="B33511" t="s">
        <v>52127</v>
      </c>
      <c r="C33511" t="s">
        <v>1718</v>
      </c>
      <c r="D33511" t="s">
        <v>592</v>
      </c>
      <c r="E33511" t="s">
        <v>144</v>
      </c>
      <c r="F33511" s="2" t="str">
        <f>HYPERLINK("http://www.otzar.org/book.asp?197014","פרי מרדכי")</f>
        <v>פרי מרדכי</v>
      </c>
    </row>
    <row r="33512" spans="1:6" x14ac:dyDescent="0.2">
      <c r="A33512" t="s">
        <v>52129</v>
      </c>
      <c r="B33512" t="s">
        <v>52130</v>
      </c>
      <c r="C33512" t="s">
        <v>332</v>
      </c>
      <c r="D33512" t="s">
        <v>412</v>
      </c>
      <c r="E33512" t="s">
        <v>144</v>
      </c>
      <c r="F33512" s="2" t="str">
        <f>HYPERLINK("http://www.otzar.org/book.asp?172583","פרי משה - 2 כר'")</f>
        <v>פרי משה - 2 כר'</v>
      </c>
    </row>
    <row r="33513" spans="1:6" x14ac:dyDescent="0.2">
      <c r="A33513" t="s">
        <v>52131</v>
      </c>
      <c r="B33513" t="s">
        <v>52132</v>
      </c>
      <c r="C33513" t="s">
        <v>37</v>
      </c>
      <c r="D33513" t="s">
        <v>52</v>
      </c>
      <c r="E33513" t="s">
        <v>144</v>
      </c>
      <c r="F33513" s="2" t="str">
        <f>HYPERLINK("http://www.otzar.org/book.asp?186751","פרי משה - 8 כר'")</f>
        <v>פרי משה - 8 כר'</v>
      </c>
    </row>
    <row r="33514" spans="1:6" x14ac:dyDescent="0.2">
      <c r="A33514" t="s">
        <v>52133</v>
      </c>
      <c r="B33514" t="s">
        <v>34923</v>
      </c>
      <c r="C33514" t="s">
        <v>843</v>
      </c>
      <c r="D33514" t="s">
        <v>9</v>
      </c>
      <c r="E33514" t="s">
        <v>2724</v>
      </c>
      <c r="F33514" s="2" t="str">
        <f>HYPERLINK("http://www.otzar.org/book.asp?20551","פרי נאה")</f>
        <v>פרי נאה</v>
      </c>
    </row>
    <row r="33515" spans="1:6" x14ac:dyDescent="0.2">
      <c r="A33515" t="s">
        <v>52134</v>
      </c>
      <c r="B33515" t="s">
        <v>52135</v>
      </c>
      <c r="C33515" t="s">
        <v>553</v>
      </c>
      <c r="D33515" t="s">
        <v>14</v>
      </c>
      <c r="E33515" t="s">
        <v>158</v>
      </c>
      <c r="F33515" s="2" t="str">
        <f>HYPERLINK("http://www.otzar.org/book.asp?84809","פרי נפש חיה - א")</f>
        <v>פרי נפש חיה - א</v>
      </c>
    </row>
    <row r="33516" spans="1:6" x14ac:dyDescent="0.2">
      <c r="A33516" t="s">
        <v>52136</v>
      </c>
      <c r="B33516" t="s">
        <v>52137</v>
      </c>
      <c r="C33516" t="s">
        <v>454</v>
      </c>
      <c r="D33516" t="s">
        <v>21</v>
      </c>
      <c r="E33516" t="s">
        <v>384</v>
      </c>
      <c r="F33516" s="2" t="str">
        <f>HYPERLINK("http://www.otzar.org/book.asp?604296","פרי סופר")</f>
        <v>פרי סופר</v>
      </c>
    </row>
    <row r="33517" spans="1:6" x14ac:dyDescent="0.2">
      <c r="A33517" t="s">
        <v>52138</v>
      </c>
      <c r="B33517" t="s">
        <v>13607</v>
      </c>
      <c r="C33517" t="s">
        <v>111</v>
      </c>
      <c r="D33517" t="s">
        <v>115</v>
      </c>
      <c r="E33517" t="s">
        <v>202</v>
      </c>
      <c r="F33517" s="2" t="str">
        <f>HYPERLINK("http://www.otzar.org/book.asp?630625","פרי עמלינו")</f>
        <v>פרי עמלינו</v>
      </c>
    </row>
    <row r="33518" spans="1:6" x14ac:dyDescent="0.2">
      <c r="A33518" t="s">
        <v>52139</v>
      </c>
      <c r="B33518" t="s">
        <v>7693</v>
      </c>
      <c r="C33518" t="s">
        <v>454</v>
      </c>
      <c r="D33518" t="s">
        <v>14</v>
      </c>
      <c r="E33518" t="s">
        <v>158</v>
      </c>
      <c r="F33518" s="2" t="str">
        <f>HYPERLINK("http://www.otzar.org/book.asp?28082","פרי עץ ארמוני - 2 כר'")</f>
        <v>פרי עץ ארמוני - 2 כר'</v>
      </c>
    </row>
    <row r="33519" spans="1:6" x14ac:dyDescent="0.2">
      <c r="A33519" t="s">
        <v>52140</v>
      </c>
      <c r="B33519" t="s">
        <v>13909</v>
      </c>
      <c r="C33519" t="s">
        <v>2644</v>
      </c>
      <c r="D33519" t="s">
        <v>27</v>
      </c>
      <c r="E33519" t="s">
        <v>24849</v>
      </c>
      <c r="F33519" s="2" t="str">
        <f>HYPERLINK("http://www.otzar.org/book.asp?16076","פרי עץ הגן")</f>
        <v>פרי עץ הגן</v>
      </c>
    </row>
    <row r="33520" spans="1:6" x14ac:dyDescent="0.2">
      <c r="A33520" t="s">
        <v>52141</v>
      </c>
      <c r="B33520" t="s">
        <v>52142</v>
      </c>
      <c r="C33520" t="s">
        <v>313</v>
      </c>
      <c r="D33520" t="s">
        <v>3161</v>
      </c>
      <c r="E33520" t="s">
        <v>202</v>
      </c>
      <c r="F33520" s="2" t="str">
        <f>HYPERLINK("http://www.otzar.org/book.asp?195546","פרי עץ הגן - 2 כר'")</f>
        <v>פרי עץ הגן - 2 כר'</v>
      </c>
    </row>
    <row r="33521" spans="1:6" x14ac:dyDescent="0.2">
      <c r="A33521" t="s">
        <v>52141</v>
      </c>
      <c r="B33521" t="s">
        <v>3754</v>
      </c>
      <c r="C33521" t="s">
        <v>1535</v>
      </c>
      <c r="D33521" t="s">
        <v>27</v>
      </c>
      <c r="E33521" t="s">
        <v>52143</v>
      </c>
      <c r="F33521" s="2" t="str">
        <f>HYPERLINK("http://www.otzar.org/book.asp?876","פרי עץ הגן - 2 כר'")</f>
        <v>פרי עץ הגן - 2 כר'</v>
      </c>
    </row>
    <row r="33522" spans="1:6" x14ac:dyDescent="0.2">
      <c r="A33522" t="s">
        <v>52144</v>
      </c>
      <c r="B33522" t="s">
        <v>24475</v>
      </c>
      <c r="C33522" t="s">
        <v>20</v>
      </c>
      <c r="D33522" t="s">
        <v>52</v>
      </c>
      <c r="E33522" t="s">
        <v>130</v>
      </c>
      <c r="F33522" s="2" t="str">
        <f>HYPERLINK("http://www.otzar.org/book.asp?147563","פרי עץ הדר (עם תמונות בצבעים)")</f>
        <v>פרי עץ הדר (עם תמונות בצבעים)</v>
      </c>
    </row>
    <row r="33523" spans="1:6" x14ac:dyDescent="0.2">
      <c r="A33523" t="s">
        <v>52145</v>
      </c>
      <c r="B33523" t="s">
        <v>52146</v>
      </c>
      <c r="C33523" t="s">
        <v>1062</v>
      </c>
      <c r="D33523" t="s">
        <v>9</v>
      </c>
      <c r="E33523" t="s">
        <v>104</v>
      </c>
      <c r="F33523" s="2" t="str">
        <f>HYPERLINK("http://www.otzar.org/book.asp?25585","פרי עץ הדר - 7 כר'")</f>
        <v>פרי עץ הדר - 7 כר'</v>
      </c>
    </row>
    <row r="33524" spans="1:6" x14ac:dyDescent="0.2">
      <c r="A33524" t="s">
        <v>52147</v>
      </c>
      <c r="B33524" t="s">
        <v>15402</v>
      </c>
      <c r="C33524" t="s">
        <v>940</v>
      </c>
      <c r="D33524" t="s">
        <v>412</v>
      </c>
      <c r="E33524" t="s">
        <v>130</v>
      </c>
      <c r="F33524" s="2" t="str">
        <f>HYPERLINK("http://www.otzar.org/book.asp?52594","פרי עץ הדר")</f>
        <v>פרי עץ הדר</v>
      </c>
    </row>
    <row r="33525" spans="1:6" x14ac:dyDescent="0.2">
      <c r="A33525" t="s">
        <v>52147</v>
      </c>
      <c r="B33525" t="s">
        <v>52148</v>
      </c>
      <c r="C33525" t="s">
        <v>395</v>
      </c>
      <c r="D33525" t="s">
        <v>283</v>
      </c>
      <c r="E33525" t="s">
        <v>4333</v>
      </c>
      <c r="F33525" s="2" t="str">
        <f>HYPERLINK("http://www.otzar.org/book.asp?102157","פרי עץ הדר")</f>
        <v>פרי עץ הדר</v>
      </c>
    </row>
    <row r="33526" spans="1:6" x14ac:dyDescent="0.2">
      <c r="A33526" t="s">
        <v>52147</v>
      </c>
      <c r="B33526" t="s">
        <v>24475</v>
      </c>
      <c r="C33526" t="s">
        <v>133</v>
      </c>
      <c r="D33526" t="s">
        <v>52</v>
      </c>
      <c r="F33526" s="2" t="str">
        <f>HYPERLINK("http://www.otzar.org/book.asp?195198","פרי עץ הדר")</f>
        <v>פרי עץ הדר</v>
      </c>
    </row>
    <row r="33527" spans="1:6" x14ac:dyDescent="0.2">
      <c r="A33527" t="s">
        <v>52147</v>
      </c>
      <c r="B33527" t="s">
        <v>52149</v>
      </c>
      <c r="C33527" t="s">
        <v>492</v>
      </c>
      <c r="D33527" t="s">
        <v>1117</v>
      </c>
      <c r="E33527" t="s">
        <v>621</v>
      </c>
      <c r="F33527" s="2" t="str">
        <f>HYPERLINK("http://www.otzar.org/book.asp?101640","פרי עץ הדר")</f>
        <v>פרי עץ הדר</v>
      </c>
    </row>
    <row r="33528" spans="1:6" x14ac:dyDescent="0.2">
      <c r="A33528" t="s">
        <v>52147</v>
      </c>
      <c r="B33528" t="s">
        <v>52150</v>
      </c>
      <c r="C33528" t="s">
        <v>748</v>
      </c>
      <c r="D33528" t="s">
        <v>56</v>
      </c>
      <c r="E33528" t="s">
        <v>15</v>
      </c>
      <c r="F33528" s="2" t="str">
        <f>HYPERLINK("http://www.otzar.org/book.asp?191420","פרי עץ הדר")</f>
        <v>פרי עץ הדר</v>
      </c>
    </row>
    <row r="33529" spans="1:6" x14ac:dyDescent="0.2">
      <c r="A33529" t="s">
        <v>52147</v>
      </c>
      <c r="B33529" t="s">
        <v>52151</v>
      </c>
      <c r="C33529" t="s">
        <v>422</v>
      </c>
      <c r="D33529" t="s">
        <v>5172</v>
      </c>
      <c r="E33529" t="s">
        <v>658</v>
      </c>
      <c r="F33529" s="2" t="str">
        <f>HYPERLINK("http://www.otzar.org/book.asp?166410","פרי עץ הדר")</f>
        <v>פרי עץ הדר</v>
      </c>
    </row>
    <row r="33530" spans="1:6" x14ac:dyDescent="0.2">
      <c r="A33530" t="s">
        <v>52152</v>
      </c>
      <c r="B33530" t="s">
        <v>4174</v>
      </c>
      <c r="C33530" t="s">
        <v>419</v>
      </c>
      <c r="D33530" t="s">
        <v>14</v>
      </c>
      <c r="E33530" t="s">
        <v>130</v>
      </c>
      <c r="F33530" s="2" t="str">
        <f>HYPERLINK("http://www.otzar.org/book.asp?148216","פרי עץ הדר - 4 כר'")</f>
        <v>פרי עץ הדר - 4 כר'</v>
      </c>
    </row>
    <row r="33531" spans="1:6" x14ac:dyDescent="0.2">
      <c r="A33531" t="s">
        <v>52147</v>
      </c>
      <c r="B33531" t="s">
        <v>52153</v>
      </c>
      <c r="C33531" t="s">
        <v>3840</v>
      </c>
      <c r="D33531" t="s">
        <v>7894</v>
      </c>
      <c r="E33531" t="s">
        <v>1517</v>
      </c>
      <c r="F33531" s="2" t="str">
        <f>HYPERLINK("http://www.otzar.org/book.asp?85698","פרי עץ הדר")</f>
        <v>פרי עץ הדר</v>
      </c>
    </row>
    <row r="33532" spans="1:6" x14ac:dyDescent="0.2">
      <c r="A33532" t="s">
        <v>52147</v>
      </c>
      <c r="B33532" t="s">
        <v>52154</v>
      </c>
      <c r="C33532" t="s">
        <v>843</v>
      </c>
      <c r="D33532" t="s">
        <v>27</v>
      </c>
      <c r="E33532" t="s">
        <v>1517</v>
      </c>
      <c r="F33532" s="2" t="str">
        <f>HYPERLINK("http://www.otzar.org/book.asp?5377","פרי עץ הדר")</f>
        <v>פרי עץ הדר</v>
      </c>
    </row>
    <row r="33533" spans="1:6" x14ac:dyDescent="0.2">
      <c r="A33533" t="s">
        <v>52147</v>
      </c>
      <c r="B33533" t="s">
        <v>52155</v>
      </c>
      <c r="C33533" t="s">
        <v>1169</v>
      </c>
      <c r="D33533" t="s">
        <v>27</v>
      </c>
      <c r="E33533" t="s">
        <v>1517</v>
      </c>
      <c r="F33533" s="2" t="str">
        <f>HYPERLINK("http://www.otzar.org/book.asp?5489","פרי עץ הדר")</f>
        <v>פרי עץ הדר</v>
      </c>
    </row>
    <row r="33534" spans="1:6" x14ac:dyDescent="0.2">
      <c r="A33534" t="s">
        <v>52147</v>
      </c>
      <c r="B33534" t="s">
        <v>52156</v>
      </c>
      <c r="C33534" t="s">
        <v>411</v>
      </c>
      <c r="D33534" t="s">
        <v>52</v>
      </c>
      <c r="E33534" t="s">
        <v>1517</v>
      </c>
      <c r="F33534" s="2" t="str">
        <f>HYPERLINK("http://www.otzar.org/book.asp?167660","פרי עץ הדר")</f>
        <v>פרי עץ הדר</v>
      </c>
    </row>
    <row r="33535" spans="1:6" x14ac:dyDescent="0.2">
      <c r="A33535" t="s">
        <v>52157</v>
      </c>
      <c r="B33535" t="s">
        <v>52158</v>
      </c>
      <c r="C33535" t="s">
        <v>37</v>
      </c>
      <c r="D33535" t="s">
        <v>14</v>
      </c>
      <c r="E33535" t="s">
        <v>4022</v>
      </c>
      <c r="F33535" s="2" t="str">
        <f>HYPERLINK("http://www.otzar.org/book.asp?176706","פרי עץ החיים - 5 כר'")</f>
        <v>פרי עץ החיים - 5 כר'</v>
      </c>
    </row>
    <row r="33536" spans="1:6" x14ac:dyDescent="0.2">
      <c r="A33536" t="s">
        <v>52159</v>
      </c>
      <c r="B33536" t="s">
        <v>52160</v>
      </c>
      <c r="C33536" t="s">
        <v>103</v>
      </c>
      <c r="D33536" t="s">
        <v>412</v>
      </c>
      <c r="E33536" t="s">
        <v>15</v>
      </c>
      <c r="F33536" s="2" t="str">
        <f>HYPERLINK("http://www.otzar.org/book.asp?25508","פרי עץ החיים - 2 כר'")</f>
        <v>פרי עץ החיים - 2 כר'</v>
      </c>
    </row>
    <row r="33537" spans="1:6" x14ac:dyDescent="0.2">
      <c r="A33537" t="s">
        <v>52161</v>
      </c>
      <c r="B33537" t="s">
        <v>52162</v>
      </c>
      <c r="C33537" t="s">
        <v>2132</v>
      </c>
      <c r="D33537" t="s">
        <v>14</v>
      </c>
      <c r="E33537" t="s">
        <v>399</v>
      </c>
      <c r="F33537" s="2" t="str">
        <f>HYPERLINK("http://www.otzar.org/book.asp?617633","פרי עץ חיים &lt;טעם הפרי&gt;")</f>
        <v>פרי עץ חיים &lt;טעם הפרי&gt;</v>
      </c>
    </row>
    <row r="33538" spans="1:6" x14ac:dyDescent="0.2">
      <c r="A33538" t="s">
        <v>52163</v>
      </c>
      <c r="B33538" t="s">
        <v>52164</v>
      </c>
      <c r="C33538" t="s">
        <v>334</v>
      </c>
      <c r="D33538" t="s">
        <v>736</v>
      </c>
      <c r="E33538" t="s">
        <v>2091</v>
      </c>
      <c r="F33538" s="2" t="str">
        <f>HYPERLINK("http://www.otzar.org/book.asp?153620","פרי עץ חיים &lt;סדרה חדשה&gt; - א")</f>
        <v>פרי עץ חיים &lt;סדרה חדשה&gt; - א</v>
      </c>
    </row>
    <row r="33539" spans="1:6" x14ac:dyDescent="0.2">
      <c r="A33539" t="s">
        <v>52165</v>
      </c>
      <c r="B33539" t="s">
        <v>1750</v>
      </c>
      <c r="C33539" t="s">
        <v>725</v>
      </c>
      <c r="D33539" t="s">
        <v>52166</v>
      </c>
      <c r="E33539" t="s">
        <v>202</v>
      </c>
      <c r="F33539" s="2" t="str">
        <f>HYPERLINK("http://www.otzar.org/book.asp?106787","פרי עץ חיים &lt;קובץ לתורה ודעת&gt; - 9 כר'")</f>
        <v>פרי עץ חיים &lt;קובץ לתורה ודעת&gt; - 9 כר'</v>
      </c>
    </row>
    <row r="33540" spans="1:6" x14ac:dyDescent="0.2">
      <c r="A33540" t="s">
        <v>52167</v>
      </c>
      <c r="B33540" t="s">
        <v>5066</v>
      </c>
      <c r="C33540" t="s">
        <v>321</v>
      </c>
      <c r="D33540" t="s">
        <v>212</v>
      </c>
      <c r="E33540" t="s">
        <v>24238</v>
      </c>
      <c r="F33540" s="2" t="str">
        <f>HYPERLINK("http://www.otzar.org/book.asp?148127","פרי עץ חיים ועפריה דאברהם")</f>
        <v>פרי עץ חיים ועפריה דאברהם</v>
      </c>
    </row>
    <row r="33541" spans="1:6" x14ac:dyDescent="0.2">
      <c r="A33541" t="s">
        <v>52168</v>
      </c>
      <c r="B33541" t="s">
        <v>15175</v>
      </c>
      <c r="C33541" t="s">
        <v>1150</v>
      </c>
      <c r="D33541" t="s">
        <v>15176</v>
      </c>
      <c r="E33541" t="s">
        <v>144</v>
      </c>
      <c r="F33541" s="2" t="str">
        <f>HYPERLINK("http://www.otzar.org/book.asp?172693","פרי עץ חיים")</f>
        <v>פרי עץ חיים</v>
      </c>
    </row>
    <row r="33542" spans="1:6" x14ac:dyDescent="0.2">
      <c r="A33542" t="s">
        <v>52168</v>
      </c>
      <c r="B33542" t="s">
        <v>52169</v>
      </c>
      <c r="C33542" t="s">
        <v>2644</v>
      </c>
      <c r="D33542" t="s">
        <v>14</v>
      </c>
      <c r="E33542" t="s">
        <v>104</v>
      </c>
      <c r="F33542" s="2" t="str">
        <f>HYPERLINK("http://www.otzar.org/book.asp?189598","פרי עץ חיים")</f>
        <v>פרי עץ חיים</v>
      </c>
    </row>
    <row r="33543" spans="1:6" x14ac:dyDescent="0.2">
      <c r="A33543" t="s">
        <v>52170</v>
      </c>
      <c r="B33543" t="s">
        <v>52171</v>
      </c>
      <c r="C33543" t="s">
        <v>11127</v>
      </c>
      <c r="D33543" t="s">
        <v>18678</v>
      </c>
      <c r="E33543" t="s">
        <v>399</v>
      </c>
      <c r="F33543" s="2" t="str">
        <f>HYPERLINK("http://www.otzar.org/book.asp?6196","פרי עץ חיים - 2 כר'")</f>
        <v>פרי עץ חיים - 2 כר'</v>
      </c>
    </row>
    <row r="33544" spans="1:6" x14ac:dyDescent="0.2">
      <c r="A33544" t="s">
        <v>52172</v>
      </c>
      <c r="B33544" t="s">
        <v>405</v>
      </c>
      <c r="C33544" t="s">
        <v>950</v>
      </c>
      <c r="D33544" t="s">
        <v>267</v>
      </c>
      <c r="E33544" t="s">
        <v>399</v>
      </c>
      <c r="F33544" s="2" t="str">
        <f>HYPERLINK("http://www.otzar.org/book.asp?103255","פרי עץ חיים - 7 כר'")</f>
        <v>פרי עץ חיים - 7 כר'</v>
      </c>
    </row>
    <row r="33545" spans="1:6" x14ac:dyDescent="0.2">
      <c r="A33545" t="s">
        <v>52168</v>
      </c>
      <c r="B33545" t="s">
        <v>52173</v>
      </c>
      <c r="C33545" t="s">
        <v>1863</v>
      </c>
      <c r="D33545" t="s">
        <v>1023</v>
      </c>
      <c r="E33545" t="s">
        <v>52174</v>
      </c>
      <c r="F33545" s="2" t="str">
        <f>HYPERLINK("http://www.otzar.org/book.asp?101669","פרי עץ חיים")</f>
        <v>פרי עץ חיים</v>
      </c>
    </row>
    <row r="33546" spans="1:6" x14ac:dyDescent="0.2">
      <c r="A33546" t="s">
        <v>52175</v>
      </c>
      <c r="B33546" t="s">
        <v>52176</v>
      </c>
      <c r="C33546" t="s">
        <v>17</v>
      </c>
      <c r="D33546" t="s">
        <v>14</v>
      </c>
      <c r="E33546" t="s">
        <v>202</v>
      </c>
      <c r="F33546" s="2" t="str">
        <f>HYPERLINK("http://www.otzar.org/book.asp?173854","פרי עץ חיים - פרק כיצד מברכין")</f>
        <v>פרי עץ חיים - פרק כיצד מברכין</v>
      </c>
    </row>
    <row r="33547" spans="1:6" x14ac:dyDescent="0.2">
      <c r="A33547" t="s">
        <v>52168</v>
      </c>
      <c r="B33547" t="s">
        <v>37581</v>
      </c>
      <c r="C33547" t="s">
        <v>767</v>
      </c>
      <c r="D33547" t="s">
        <v>14605</v>
      </c>
      <c r="E33547" t="s">
        <v>84</v>
      </c>
      <c r="F33547" s="2" t="str">
        <f>HYPERLINK("http://www.otzar.org/book.asp?63323","פרי עץ חיים")</f>
        <v>פרי עץ חיים</v>
      </c>
    </row>
    <row r="33548" spans="1:6" x14ac:dyDescent="0.2">
      <c r="A33548" t="s">
        <v>52168</v>
      </c>
      <c r="B33548" t="s">
        <v>2658</v>
      </c>
      <c r="C33548" t="s">
        <v>224</v>
      </c>
      <c r="D33548" t="s">
        <v>27</v>
      </c>
      <c r="E33548" t="s">
        <v>16124</v>
      </c>
      <c r="F33548" s="2" t="str">
        <f>HYPERLINK("http://www.otzar.org/book.asp?10597","פרי עץ חיים")</f>
        <v>פרי עץ חיים</v>
      </c>
    </row>
    <row r="33549" spans="1:6" x14ac:dyDescent="0.2">
      <c r="A33549" t="s">
        <v>52177</v>
      </c>
      <c r="B33549" t="s">
        <v>50360</v>
      </c>
      <c r="C33549" t="s">
        <v>23</v>
      </c>
      <c r="D33549" t="s">
        <v>412</v>
      </c>
      <c r="E33549" t="s">
        <v>84</v>
      </c>
      <c r="F33549" s="2" t="str">
        <f>HYPERLINK("http://www.otzar.org/book.asp?183118","פרי עץ לחיים - 2 כר'")</f>
        <v>פרי עץ לחיים - 2 כר'</v>
      </c>
    </row>
    <row r="33550" spans="1:6" x14ac:dyDescent="0.2">
      <c r="A33550" t="s">
        <v>52178</v>
      </c>
      <c r="B33550" t="s">
        <v>1529</v>
      </c>
      <c r="C33550" t="s">
        <v>576</v>
      </c>
      <c r="D33550" t="s">
        <v>1117</v>
      </c>
      <c r="E33550" t="s">
        <v>4940</v>
      </c>
      <c r="F33550" s="2" t="str">
        <f>HYPERLINK("http://www.otzar.org/book.asp?7872","פרי עץ")</f>
        <v>פרי עץ</v>
      </c>
    </row>
    <row r="33551" spans="1:6" x14ac:dyDescent="0.2">
      <c r="A33551" t="s">
        <v>52178</v>
      </c>
      <c r="B33551" t="s">
        <v>18008</v>
      </c>
      <c r="C33551" t="s">
        <v>11383</v>
      </c>
      <c r="D33551" t="s">
        <v>4901</v>
      </c>
      <c r="E33551" t="s">
        <v>158</v>
      </c>
      <c r="F33551" s="2" t="str">
        <f>HYPERLINK("http://www.otzar.org/book.asp?163028","פרי עץ")</f>
        <v>פרי עץ</v>
      </c>
    </row>
    <row r="33552" spans="1:6" x14ac:dyDescent="0.2">
      <c r="A33552" t="s">
        <v>52179</v>
      </c>
      <c r="B33552" t="s">
        <v>52180</v>
      </c>
      <c r="C33552" t="s">
        <v>585</v>
      </c>
      <c r="D33552" t="s">
        <v>412</v>
      </c>
      <c r="E33552" t="s">
        <v>202</v>
      </c>
      <c r="F33552" s="2" t="str">
        <f>HYPERLINK("http://www.otzar.org/book.asp?84794","פרי עצי חיים - א")</f>
        <v>פרי עצי חיים - א</v>
      </c>
    </row>
    <row r="33553" spans="1:6" x14ac:dyDescent="0.2">
      <c r="A33553" t="s">
        <v>52181</v>
      </c>
      <c r="B33553" t="s">
        <v>52182</v>
      </c>
      <c r="C33553" t="s">
        <v>20</v>
      </c>
      <c r="D33553" t="s">
        <v>90</v>
      </c>
      <c r="E33553" t="s">
        <v>15</v>
      </c>
      <c r="F33553" s="2" t="str">
        <f>HYPERLINK("http://www.otzar.org/book.asp?621910","פרי ערב")</f>
        <v>פרי ערב</v>
      </c>
    </row>
    <row r="33554" spans="1:6" x14ac:dyDescent="0.2">
      <c r="A33554" t="s">
        <v>52183</v>
      </c>
      <c r="B33554" t="s">
        <v>52184</v>
      </c>
      <c r="C33554" t="s">
        <v>17</v>
      </c>
      <c r="D33554" t="s">
        <v>412</v>
      </c>
      <c r="E33554" t="s">
        <v>158</v>
      </c>
      <c r="F33554" s="2" t="str">
        <f>HYPERLINK("http://www.otzar.org/book.asp?161452","פרי צדיק &lt;מהדורה חדשה&gt; - בראשית, שמות")</f>
        <v>פרי צדיק &lt;מהדורה חדשה&gt; - בראשית, שמות</v>
      </c>
    </row>
    <row r="33555" spans="1:6" x14ac:dyDescent="0.2">
      <c r="A33555" t="s">
        <v>52185</v>
      </c>
      <c r="B33555" t="s">
        <v>2993</v>
      </c>
      <c r="C33555" t="s">
        <v>244</v>
      </c>
      <c r="D33555" t="s">
        <v>4478</v>
      </c>
      <c r="E33555" t="s">
        <v>246</v>
      </c>
      <c r="F33555" s="2" t="str">
        <f>HYPERLINK("http://www.otzar.org/book.asp?606089","פרי צדיק &lt;מהדורת אור עציון&gt; - קדושת שבת, שביתת שבת")</f>
        <v>פרי צדיק &lt;מהדורת אור עציון&gt; - קדושת שבת, שביתת שבת</v>
      </c>
    </row>
    <row r="33556" spans="1:6" x14ac:dyDescent="0.2">
      <c r="A33556" t="s">
        <v>52186</v>
      </c>
      <c r="B33556" t="s">
        <v>52184</v>
      </c>
      <c r="C33556" t="s">
        <v>6052</v>
      </c>
      <c r="D33556" t="s">
        <v>1422</v>
      </c>
      <c r="E33556" t="s">
        <v>27569</v>
      </c>
      <c r="F33556" s="2" t="str">
        <f>HYPERLINK("http://www.otzar.org/book.asp?17019","פרי צדיק")</f>
        <v>פרי צדיק</v>
      </c>
    </row>
    <row r="33557" spans="1:6" x14ac:dyDescent="0.2">
      <c r="A33557" t="s">
        <v>52186</v>
      </c>
      <c r="B33557" t="s">
        <v>52187</v>
      </c>
      <c r="C33557" t="s">
        <v>8799</v>
      </c>
      <c r="D33557" t="s">
        <v>212</v>
      </c>
      <c r="E33557" t="s">
        <v>684</v>
      </c>
      <c r="F33557" s="2" t="str">
        <f>HYPERLINK("http://www.otzar.org/book.asp?101485","פרי צדיק")</f>
        <v>פרי צדיק</v>
      </c>
    </row>
    <row r="33558" spans="1:6" x14ac:dyDescent="0.2">
      <c r="A33558" t="s">
        <v>52186</v>
      </c>
      <c r="B33558" t="s">
        <v>52188</v>
      </c>
      <c r="C33558" t="s">
        <v>812</v>
      </c>
      <c r="D33558" t="s">
        <v>27</v>
      </c>
      <c r="E33558" t="s">
        <v>52189</v>
      </c>
      <c r="F33558" s="2" t="str">
        <f>HYPERLINK("http://www.otzar.org/book.asp?149208","פרי צדיק")</f>
        <v>פרי צדיק</v>
      </c>
    </row>
    <row r="33559" spans="1:6" x14ac:dyDescent="0.2">
      <c r="A33559" t="s">
        <v>52190</v>
      </c>
      <c r="B33559" t="s">
        <v>2993</v>
      </c>
      <c r="C33559" t="s">
        <v>52191</v>
      </c>
      <c r="D33559" t="s">
        <v>726</v>
      </c>
      <c r="E33559" t="s">
        <v>2418</v>
      </c>
      <c r="F33559" s="2" t="str">
        <f>HYPERLINK("http://www.otzar.org/book.asp?102159","פרי צדיק - 7 כר'")</f>
        <v>פרי צדיק - 7 כר'</v>
      </c>
    </row>
    <row r="33560" spans="1:6" x14ac:dyDescent="0.2">
      <c r="A33560" t="s">
        <v>52192</v>
      </c>
      <c r="B33560" t="s">
        <v>52193</v>
      </c>
      <c r="C33560" t="s">
        <v>411</v>
      </c>
      <c r="D33560" t="s">
        <v>47963</v>
      </c>
      <c r="F33560" s="2" t="str">
        <f>HYPERLINK("http://www.otzar.org/book.asp?169883","פרי צדקה - בראשית, שמות")</f>
        <v>פרי צדקה - בראשית, שמות</v>
      </c>
    </row>
    <row r="33561" spans="1:6" x14ac:dyDescent="0.2">
      <c r="A33561" t="s">
        <v>52194</v>
      </c>
      <c r="B33561" t="s">
        <v>52195</v>
      </c>
      <c r="C33561" t="s">
        <v>1268</v>
      </c>
      <c r="D33561" t="s">
        <v>412</v>
      </c>
      <c r="E33561" t="s">
        <v>933</v>
      </c>
      <c r="F33561" s="2" t="str">
        <f>HYPERLINK("http://www.otzar.org/book.asp?85411","פרי ציון - 2 כר'")</f>
        <v>פרי ציון - 2 כר'</v>
      </c>
    </row>
    <row r="33562" spans="1:6" x14ac:dyDescent="0.2">
      <c r="A33562" t="s">
        <v>52196</v>
      </c>
      <c r="B33562" t="s">
        <v>1371</v>
      </c>
      <c r="C33562" t="s">
        <v>950</v>
      </c>
      <c r="D33562" t="s">
        <v>267</v>
      </c>
      <c r="E33562" t="s">
        <v>11058</v>
      </c>
      <c r="F33562" s="2" t="str">
        <f>HYPERLINK("http://www.otzar.org/book.asp?102160","פרי קדש הלולים - 2 כר'")</f>
        <v>פרי קדש הלולים - 2 כר'</v>
      </c>
    </row>
    <row r="33563" spans="1:6" x14ac:dyDescent="0.2">
      <c r="A33563" t="s">
        <v>52197</v>
      </c>
      <c r="B33563" t="s">
        <v>1371</v>
      </c>
      <c r="C33563" t="s">
        <v>37</v>
      </c>
      <c r="D33563" t="s">
        <v>52</v>
      </c>
      <c r="E33563" t="s">
        <v>52198</v>
      </c>
      <c r="F33563" s="2" t="str">
        <f>HYPERLINK("http://www.otzar.org/book.asp?188981","פרי קודש הלולים &lt;עם הוספות מכת""י&gt;")</f>
        <v>פרי קודש הלולים &lt;עם הוספות מכת"י&gt;</v>
      </c>
    </row>
    <row r="33564" spans="1:6" x14ac:dyDescent="0.2">
      <c r="A33564" t="s">
        <v>52199</v>
      </c>
      <c r="B33564" t="s">
        <v>1371</v>
      </c>
      <c r="C33564" t="s">
        <v>506</v>
      </c>
      <c r="D33564" t="s">
        <v>10540</v>
      </c>
      <c r="E33564" t="s">
        <v>3287</v>
      </c>
      <c r="F33564" s="2" t="str">
        <f>HYPERLINK("http://www.otzar.org/book.asp?146980","פרי קודש הלולים")</f>
        <v>פרי קודש הלולים</v>
      </c>
    </row>
    <row r="33565" spans="1:6" x14ac:dyDescent="0.2">
      <c r="A33565" t="s">
        <v>52199</v>
      </c>
      <c r="B33565" t="s">
        <v>1791</v>
      </c>
      <c r="C33565" t="s">
        <v>390</v>
      </c>
      <c r="D33565" t="s">
        <v>14</v>
      </c>
      <c r="E33565" t="s">
        <v>226</v>
      </c>
      <c r="F33565" s="2" t="str">
        <f>HYPERLINK("http://www.otzar.org/book.asp?106014","פרי קודש הלולים")</f>
        <v>פרי קודש הלולים</v>
      </c>
    </row>
    <row r="33566" spans="1:6" x14ac:dyDescent="0.2">
      <c r="A33566" t="s">
        <v>52200</v>
      </c>
      <c r="B33566" t="s">
        <v>40921</v>
      </c>
      <c r="C33566" t="s">
        <v>244</v>
      </c>
      <c r="D33566" t="s">
        <v>21</v>
      </c>
      <c r="E33566" t="s">
        <v>144</v>
      </c>
      <c r="F33566" s="2" t="str">
        <f>HYPERLINK("http://www.otzar.org/book.asp?607266","פרי ראשית - ב""ב פרק יש נוחלין")</f>
        <v>פרי ראשית - ב"ב פרק יש נוחלין</v>
      </c>
    </row>
    <row r="33567" spans="1:6" x14ac:dyDescent="0.2">
      <c r="A33567" t="s">
        <v>52201</v>
      </c>
      <c r="B33567" t="s">
        <v>52202</v>
      </c>
      <c r="C33567" t="s">
        <v>111</v>
      </c>
      <c r="D33567" t="s">
        <v>657</v>
      </c>
      <c r="E33567" t="s">
        <v>15</v>
      </c>
      <c r="F33567" s="2" t="str">
        <f>HYPERLINK("http://www.otzar.org/book.asp?626729","פרי רפאל")</f>
        <v>פרי רפאל</v>
      </c>
    </row>
    <row r="33568" spans="1:6" x14ac:dyDescent="0.2">
      <c r="A33568" t="s">
        <v>52203</v>
      </c>
      <c r="B33568" t="s">
        <v>14634</v>
      </c>
      <c r="C33568" t="s">
        <v>429</v>
      </c>
      <c r="D33568" t="s">
        <v>39328</v>
      </c>
      <c r="E33568" t="s">
        <v>246</v>
      </c>
      <c r="F33568" s="2" t="str">
        <f>HYPERLINK("http://www.otzar.org/book.asp?147186","פרי שבת")</f>
        <v>פרי שבת</v>
      </c>
    </row>
    <row r="33569" spans="1:6" x14ac:dyDescent="0.2">
      <c r="A33569" t="s">
        <v>52204</v>
      </c>
      <c r="B33569" t="s">
        <v>52205</v>
      </c>
      <c r="C33569" t="s">
        <v>114</v>
      </c>
      <c r="D33569" t="s">
        <v>14</v>
      </c>
      <c r="E33569" t="s">
        <v>15</v>
      </c>
      <c r="F33569" s="2" t="str">
        <f>HYPERLINK("http://www.otzar.org/book.asp?176902","פרי שלום - 3 כר'")</f>
        <v>פרי שלום - 3 כר'</v>
      </c>
    </row>
    <row r="33570" spans="1:6" x14ac:dyDescent="0.2">
      <c r="A33570" t="s">
        <v>52206</v>
      </c>
      <c r="B33570" t="s">
        <v>3935</v>
      </c>
      <c r="C33570" t="s">
        <v>99</v>
      </c>
      <c r="D33570" t="s">
        <v>225</v>
      </c>
      <c r="E33570" t="s">
        <v>144</v>
      </c>
      <c r="F33570" s="2" t="str">
        <f>HYPERLINK("http://www.otzar.org/book.asp?20552","פרי שלמה")</f>
        <v>פרי שלמה</v>
      </c>
    </row>
    <row r="33571" spans="1:6" x14ac:dyDescent="0.2">
      <c r="A33571" t="s">
        <v>52206</v>
      </c>
      <c r="B33571" t="s">
        <v>18469</v>
      </c>
      <c r="C33571" t="s">
        <v>99</v>
      </c>
      <c r="D33571" t="s">
        <v>9</v>
      </c>
      <c r="E33571" t="s">
        <v>234</v>
      </c>
      <c r="F33571" s="2" t="str">
        <f>HYPERLINK("http://www.otzar.org/book.asp?106952","פרי שלמה")</f>
        <v>פרי שלמה</v>
      </c>
    </row>
    <row r="33572" spans="1:6" x14ac:dyDescent="0.2">
      <c r="A33572" t="s">
        <v>52206</v>
      </c>
      <c r="B33572" t="s">
        <v>48850</v>
      </c>
      <c r="C33572" t="s">
        <v>445</v>
      </c>
      <c r="D33572" t="s">
        <v>283</v>
      </c>
      <c r="E33572" t="s">
        <v>144</v>
      </c>
      <c r="F33572" s="2" t="str">
        <f>HYPERLINK("http://www.otzar.org/book.asp?28458","פרי שלמה")</f>
        <v>פרי שלמה</v>
      </c>
    </row>
    <row r="33573" spans="1:6" x14ac:dyDescent="0.2">
      <c r="A33573" t="s">
        <v>52207</v>
      </c>
      <c r="B33573" t="s">
        <v>206</v>
      </c>
      <c r="C33573" t="s">
        <v>151</v>
      </c>
      <c r="D33573" t="s">
        <v>90</v>
      </c>
      <c r="F33573" s="2" t="str">
        <f>HYPERLINK("http://www.otzar.org/book.asp?617094","פרי שמואל")</f>
        <v>פרי שמואל</v>
      </c>
    </row>
    <row r="33574" spans="1:6" x14ac:dyDescent="0.2">
      <c r="A33574" t="s">
        <v>52208</v>
      </c>
      <c r="B33574" t="s">
        <v>416</v>
      </c>
      <c r="C33574" t="s">
        <v>366</v>
      </c>
      <c r="D33574" t="s">
        <v>14</v>
      </c>
      <c r="E33574" t="s">
        <v>144</v>
      </c>
      <c r="F33574" s="2" t="str">
        <f>HYPERLINK("http://www.otzar.org/book.asp?610348","פרי שמואל - בכורות")</f>
        <v>פרי שמואל - בכורות</v>
      </c>
    </row>
    <row r="33575" spans="1:6" x14ac:dyDescent="0.2">
      <c r="A33575" t="s">
        <v>52209</v>
      </c>
      <c r="B33575" t="s">
        <v>52210</v>
      </c>
      <c r="C33575" t="s">
        <v>106</v>
      </c>
      <c r="D33575" t="s">
        <v>14</v>
      </c>
      <c r="E33575" t="s">
        <v>15</v>
      </c>
      <c r="F33575" s="2" t="str">
        <f>HYPERLINK("http://www.otzar.org/book.asp?84698","פרי שמואל - 3 כר'")</f>
        <v>פרי שמואל - 3 כר'</v>
      </c>
    </row>
    <row r="33576" spans="1:6" x14ac:dyDescent="0.2">
      <c r="A33576" t="s">
        <v>52211</v>
      </c>
      <c r="B33576" t="s">
        <v>52212</v>
      </c>
      <c r="C33576" t="s">
        <v>71</v>
      </c>
      <c r="D33576" t="s">
        <v>14</v>
      </c>
      <c r="E33576" t="s">
        <v>186</v>
      </c>
      <c r="F33576" s="2" t="str">
        <f>HYPERLINK("http://www.otzar.org/book.asp?143075","פרי שמחה")</f>
        <v>פרי שמחה</v>
      </c>
    </row>
    <row r="33577" spans="1:6" x14ac:dyDescent="0.2">
      <c r="A33577" t="s">
        <v>52213</v>
      </c>
      <c r="B33577" t="s">
        <v>52214</v>
      </c>
      <c r="C33577" t="s">
        <v>940</v>
      </c>
      <c r="D33577" t="s">
        <v>14</v>
      </c>
      <c r="E33577" t="s">
        <v>186</v>
      </c>
      <c r="F33577" s="2" t="str">
        <f>HYPERLINK("http://www.otzar.org/book.asp?143079","פרי שמחה - 4 כר'")</f>
        <v>פרי שמחה - 4 כר'</v>
      </c>
    </row>
    <row r="33578" spans="1:6" x14ac:dyDescent="0.2">
      <c r="A33578" t="s">
        <v>52215</v>
      </c>
      <c r="B33578" t="s">
        <v>52216</v>
      </c>
      <c r="C33578" t="s">
        <v>411</v>
      </c>
      <c r="D33578" t="s">
        <v>412</v>
      </c>
      <c r="E33578" t="s">
        <v>246</v>
      </c>
      <c r="F33578" s="2" t="str">
        <f>HYPERLINK("http://www.otzar.org/book.asp?621373","פרי שמעון - 4 כר'")</f>
        <v>פרי שמעון - 4 כר'</v>
      </c>
    </row>
    <row r="33579" spans="1:6" x14ac:dyDescent="0.2">
      <c r="A33579" t="s">
        <v>52217</v>
      </c>
      <c r="B33579" t="s">
        <v>1340</v>
      </c>
      <c r="C33579" t="s">
        <v>20</v>
      </c>
      <c r="D33579" t="s">
        <v>52</v>
      </c>
      <c r="E33579" t="s">
        <v>172</v>
      </c>
      <c r="F33579" s="2" t="str">
        <f>HYPERLINK("http://www.otzar.org/book.asp?188879","פרי תאר &lt;מהדורה חדשה&gt; - 2 כר'")</f>
        <v>פרי תאר &lt;מהדורה חדשה&gt; - 2 כר'</v>
      </c>
    </row>
    <row r="33580" spans="1:6" x14ac:dyDescent="0.2">
      <c r="A33580" t="s">
        <v>52218</v>
      </c>
      <c r="B33580" t="s">
        <v>1340</v>
      </c>
      <c r="C33580" t="s">
        <v>1481</v>
      </c>
      <c r="D33580" t="s">
        <v>2373</v>
      </c>
      <c r="E33580" t="s">
        <v>172</v>
      </c>
      <c r="F33580" s="2" t="str">
        <f>HYPERLINK("http://www.otzar.org/book.asp?101684","פרי תאר")</f>
        <v>פרי תאר</v>
      </c>
    </row>
    <row r="33581" spans="1:6" x14ac:dyDescent="0.2">
      <c r="A33581" t="s">
        <v>52219</v>
      </c>
      <c r="B33581" t="s">
        <v>1493</v>
      </c>
      <c r="C33581" t="s">
        <v>1494</v>
      </c>
      <c r="D33581" t="s">
        <v>1495</v>
      </c>
      <c r="E33581" t="s">
        <v>154</v>
      </c>
      <c r="F33581" s="2" t="str">
        <f>HYPERLINK("http://www.otzar.org/book.asp?51793","פרי תבואה - 2 כר'")</f>
        <v>פרי תבואה - 2 כר'</v>
      </c>
    </row>
    <row r="33582" spans="1:6" x14ac:dyDescent="0.2">
      <c r="A33582" t="s">
        <v>52220</v>
      </c>
      <c r="B33582" t="s">
        <v>52221</v>
      </c>
      <c r="C33582" t="s">
        <v>411</v>
      </c>
      <c r="D33582" t="s">
        <v>6151</v>
      </c>
      <c r="E33582" t="s">
        <v>186</v>
      </c>
      <c r="F33582" s="2" t="str">
        <f>HYPERLINK("http://www.otzar.org/book.asp?171418","פרי תבונה - בבא בתרא")</f>
        <v>פרי תבונה - בבא בתרא</v>
      </c>
    </row>
    <row r="33583" spans="1:6" x14ac:dyDescent="0.2">
      <c r="A33583" t="s">
        <v>52222</v>
      </c>
      <c r="B33583" t="s">
        <v>52223</v>
      </c>
      <c r="C33583" t="s">
        <v>1388</v>
      </c>
      <c r="D33583" t="s">
        <v>1180</v>
      </c>
      <c r="E33583" t="s">
        <v>241</v>
      </c>
      <c r="F33583" s="2" t="str">
        <f>HYPERLINK("http://www.otzar.org/book.asp?615610","פרי תבונות - 2 כר'")</f>
        <v>פרי תבונות - 2 כר'</v>
      </c>
    </row>
    <row r="33584" spans="1:6" x14ac:dyDescent="0.2">
      <c r="A33584" t="s">
        <v>52224</v>
      </c>
      <c r="B33584" t="s">
        <v>52225</v>
      </c>
      <c r="C33584" t="s">
        <v>332</v>
      </c>
      <c r="D33584" t="s">
        <v>412</v>
      </c>
      <c r="E33584" t="s">
        <v>202</v>
      </c>
      <c r="F33584" s="2" t="str">
        <f>HYPERLINK("http://www.otzar.org/book.asp?147916","פרי תמרים - 44 כר'")</f>
        <v>פרי תמרים - 44 כר'</v>
      </c>
    </row>
    <row r="33585" spans="1:6" x14ac:dyDescent="0.2">
      <c r="A33585" t="s">
        <v>52226</v>
      </c>
      <c r="B33585" t="s">
        <v>30489</v>
      </c>
      <c r="C33585" t="s">
        <v>124</v>
      </c>
      <c r="D33585" t="s">
        <v>52</v>
      </c>
      <c r="E33585" t="s">
        <v>144</v>
      </c>
      <c r="F33585" s="2" t="str">
        <f>HYPERLINK("http://www.otzar.org/book.asp?104942","פריו בעתו - 4 כר'")</f>
        <v>פריו בעתו - 4 כר'</v>
      </c>
    </row>
    <row r="33586" spans="1:6" x14ac:dyDescent="0.2">
      <c r="A33586" t="s">
        <v>52227</v>
      </c>
      <c r="B33586" t="s">
        <v>4785</v>
      </c>
      <c r="C33586" t="s">
        <v>111</v>
      </c>
      <c r="D33586" t="s">
        <v>52</v>
      </c>
      <c r="F33586" s="2" t="str">
        <f>HYPERLINK("http://www.otzar.org/book.asp?632030","פריו יתן בעתו")</f>
        <v>פריו יתן בעתו</v>
      </c>
    </row>
    <row r="33587" spans="1:6" x14ac:dyDescent="0.2">
      <c r="A33587" t="s">
        <v>52228</v>
      </c>
      <c r="B33587" t="s">
        <v>52229</v>
      </c>
      <c r="C33587" t="s">
        <v>244</v>
      </c>
      <c r="D33587" t="s">
        <v>90</v>
      </c>
      <c r="E33587" t="s">
        <v>144</v>
      </c>
      <c r="F33587" s="2" t="str">
        <f>HYPERLINK("http://www.otzar.org/book.asp?199457","פריו יתן")</f>
        <v>פריו יתן</v>
      </c>
    </row>
    <row r="33588" spans="1:6" x14ac:dyDescent="0.2">
      <c r="A33588" t="s">
        <v>52230</v>
      </c>
      <c r="B33588" t="s">
        <v>52231</v>
      </c>
      <c r="C33588" t="s">
        <v>87</v>
      </c>
      <c r="D33588" t="s">
        <v>14</v>
      </c>
      <c r="E33588" t="s">
        <v>144</v>
      </c>
      <c r="F33588" s="2" t="str">
        <f>HYPERLINK("http://www.otzar.org/book.asp?625601","פרישת כהן")</f>
        <v>פרישת כהן</v>
      </c>
    </row>
    <row r="33589" spans="1:6" x14ac:dyDescent="0.2">
      <c r="A33589" t="s">
        <v>52232</v>
      </c>
      <c r="B33589" t="s">
        <v>52233</v>
      </c>
      <c r="C33589" t="s">
        <v>383</v>
      </c>
      <c r="D33589" t="s">
        <v>14</v>
      </c>
      <c r="E33589" t="s">
        <v>733</v>
      </c>
      <c r="F33589" s="2" t="str">
        <f>HYPERLINK("http://www.otzar.org/book.asp?63043","פרנס לדורו")</f>
        <v>פרנס לדורו</v>
      </c>
    </row>
    <row r="33590" spans="1:6" x14ac:dyDescent="0.2">
      <c r="A33590" t="s">
        <v>52234</v>
      </c>
      <c r="B33590" t="s">
        <v>52233</v>
      </c>
      <c r="C33590" t="s">
        <v>466</v>
      </c>
      <c r="D33590" t="s">
        <v>14</v>
      </c>
      <c r="E33590" t="s">
        <v>6548</v>
      </c>
      <c r="F33590" s="2" t="str">
        <f>HYPERLINK("http://www.otzar.org/book.asp?63044","פרנס לדורות")</f>
        <v>פרנס לדורות</v>
      </c>
    </row>
    <row r="33591" spans="1:6" x14ac:dyDescent="0.2">
      <c r="A33591" t="s">
        <v>52235</v>
      </c>
      <c r="B33591" t="s">
        <v>42988</v>
      </c>
      <c r="C33591" t="s">
        <v>411</v>
      </c>
      <c r="D33591" t="s">
        <v>52</v>
      </c>
      <c r="E33591" t="s">
        <v>104</v>
      </c>
      <c r="F33591" s="2" t="str">
        <f>HYPERLINK("http://www.otzar.org/book.asp?198783","פרנסה טובה")</f>
        <v>פרנסה טובה</v>
      </c>
    </row>
    <row r="33592" spans="1:6" x14ac:dyDescent="0.2">
      <c r="A33592" t="s">
        <v>52235</v>
      </c>
      <c r="B33592" t="s">
        <v>3384</v>
      </c>
      <c r="C33592" t="s">
        <v>383</v>
      </c>
      <c r="D33592" t="s">
        <v>14</v>
      </c>
      <c r="E33592" t="s">
        <v>213</v>
      </c>
      <c r="F33592" s="2" t="str">
        <f>HYPERLINK("http://www.otzar.org/book.asp?60435","פרנסה טובה")</f>
        <v>פרנסה טובה</v>
      </c>
    </row>
    <row r="33593" spans="1:6" x14ac:dyDescent="0.2">
      <c r="A33593" t="s">
        <v>52235</v>
      </c>
      <c r="B33593" t="s">
        <v>2885</v>
      </c>
      <c r="C33593" t="s">
        <v>176</v>
      </c>
      <c r="D33593" t="s">
        <v>14</v>
      </c>
      <c r="E33593" t="s">
        <v>703</v>
      </c>
      <c r="F33593" s="2" t="str">
        <f>HYPERLINK("http://www.otzar.org/book.asp?60823","פרנסה טובה")</f>
        <v>פרנסה טובה</v>
      </c>
    </row>
    <row r="33594" spans="1:6" x14ac:dyDescent="0.2">
      <c r="A33594" t="s">
        <v>52236</v>
      </c>
      <c r="B33594" t="s">
        <v>51179</v>
      </c>
      <c r="C33594" t="s">
        <v>950</v>
      </c>
      <c r="D33594" t="s">
        <v>267</v>
      </c>
      <c r="E33594" t="s">
        <v>8318</v>
      </c>
      <c r="F33594" s="2" t="str">
        <f>HYPERLINK("http://www.otzar.org/book.asp?101685","פרס אבות")</f>
        <v>פרס אבות</v>
      </c>
    </row>
    <row r="33595" spans="1:6" x14ac:dyDescent="0.2">
      <c r="A33595" t="s">
        <v>52237</v>
      </c>
      <c r="B33595" t="s">
        <v>52238</v>
      </c>
      <c r="C33595" t="s">
        <v>79</v>
      </c>
      <c r="D33595" t="s">
        <v>27</v>
      </c>
      <c r="E33595" t="s">
        <v>52239</v>
      </c>
      <c r="F33595" s="2" t="str">
        <f>HYPERLINK("http://www.otzar.org/book.asp?15242","פרס ורומי בתלמוד ובמדרשים")</f>
        <v>פרס ורומי בתלמוד ובמדרשים</v>
      </c>
    </row>
    <row r="33596" spans="1:6" x14ac:dyDescent="0.2">
      <c r="A33596" t="s">
        <v>52240</v>
      </c>
      <c r="B33596" t="s">
        <v>12925</v>
      </c>
      <c r="C33596" t="s">
        <v>624</v>
      </c>
      <c r="D33596" t="s">
        <v>14</v>
      </c>
      <c r="E33596" t="s">
        <v>733</v>
      </c>
      <c r="F33596" s="2" t="str">
        <f>HYPERLINK("http://www.otzar.org/book.asp?617927","פרסום ישועות ה' ליהודים בתימן")</f>
        <v>פרסום ישועות ה' ליהודים בתימן</v>
      </c>
    </row>
    <row r="33597" spans="1:6" x14ac:dyDescent="0.2">
      <c r="A33597" t="s">
        <v>52241</v>
      </c>
      <c r="B33597" t="s">
        <v>52242</v>
      </c>
      <c r="C33597" t="s">
        <v>800</v>
      </c>
      <c r="D33597" t="s">
        <v>212</v>
      </c>
      <c r="E33597" t="s">
        <v>246</v>
      </c>
      <c r="F33597" s="2" t="str">
        <f>HYPERLINK("http://www.otzar.org/book.asp?105880","פרסומי ניסא")</f>
        <v>פרסומי ניסא</v>
      </c>
    </row>
    <row r="33598" spans="1:6" x14ac:dyDescent="0.2">
      <c r="A33598" t="s">
        <v>52241</v>
      </c>
      <c r="B33598" t="s">
        <v>5552</v>
      </c>
      <c r="C33598" t="s">
        <v>411</v>
      </c>
      <c r="D33598" t="s">
        <v>412</v>
      </c>
      <c r="E33598" t="s">
        <v>246</v>
      </c>
      <c r="F33598" s="2" t="str">
        <f>HYPERLINK("http://www.otzar.org/book.asp?169908","פרסומי ניסא")</f>
        <v>פרסומי ניסא</v>
      </c>
    </row>
    <row r="33599" spans="1:6" x14ac:dyDescent="0.2">
      <c r="A33599" t="s">
        <v>52241</v>
      </c>
      <c r="B33599" t="s">
        <v>2396</v>
      </c>
      <c r="C33599" t="s">
        <v>71</v>
      </c>
      <c r="D33599" t="s">
        <v>1076</v>
      </c>
      <c r="E33599" t="s">
        <v>4779</v>
      </c>
      <c r="F33599" s="2" t="str">
        <f>HYPERLINK("http://www.otzar.org/book.asp?22907","פרסומי ניסא")</f>
        <v>פרסומי ניסא</v>
      </c>
    </row>
    <row r="33600" spans="1:6" x14ac:dyDescent="0.2">
      <c r="A33600" t="s">
        <v>52241</v>
      </c>
      <c r="B33600" t="s">
        <v>2688</v>
      </c>
      <c r="C33600" t="s">
        <v>114</v>
      </c>
      <c r="D33600" t="s">
        <v>14</v>
      </c>
      <c r="E33600" t="s">
        <v>119</v>
      </c>
      <c r="F33600" s="2" t="str">
        <f>HYPERLINK("http://www.otzar.org/book.asp?160054","פרסומי ניסא")</f>
        <v>פרסומי ניסא</v>
      </c>
    </row>
    <row r="33601" spans="1:6" x14ac:dyDescent="0.2">
      <c r="A33601" t="s">
        <v>52243</v>
      </c>
      <c r="B33601" t="s">
        <v>7017</v>
      </c>
      <c r="C33601" t="s">
        <v>989</v>
      </c>
      <c r="D33601" t="s">
        <v>14</v>
      </c>
      <c r="E33601" t="s">
        <v>384</v>
      </c>
      <c r="F33601" s="2" t="str">
        <f>HYPERLINK("http://www.otzar.org/book.asp?179734","פרסומים בענייני הלכה ורפואה")</f>
        <v>פרסומים בענייני הלכה ורפואה</v>
      </c>
    </row>
    <row r="33602" spans="1:6" x14ac:dyDescent="0.2">
      <c r="A33602" t="s">
        <v>52244</v>
      </c>
      <c r="B33602" t="s">
        <v>52245</v>
      </c>
      <c r="C33602" t="s">
        <v>427</v>
      </c>
      <c r="D33602" t="s">
        <v>216</v>
      </c>
      <c r="E33602" t="s">
        <v>104</v>
      </c>
      <c r="F33602" s="2" t="str">
        <f>HYPERLINK("http://www.otzar.org/book.asp?180540","פרסי עירית תל אביב יפו")</f>
        <v>פרסי עירית תל אביב יפו</v>
      </c>
    </row>
    <row r="33603" spans="1:6" x14ac:dyDescent="0.2">
      <c r="A33603" t="s">
        <v>52246</v>
      </c>
      <c r="B33603" t="s">
        <v>732</v>
      </c>
      <c r="C33603" t="s">
        <v>1374</v>
      </c>
      <c r="D33603" t="s">
        <v>27</v>
      </c>
      <c r="E33603" t="s">
        <v>119</v>
      </c>
      <c r="F33603" s="2" t="str">
        <f>HYPERLINK("http://www.otzar.org/book.asp?175399","פרסי פרסיץ")</f>
        <v>פרסי פרסיץ</v>
      </c>
    </row>
    <row r="33604" spans="1:6" x14ac:dyDescent="0.2">
      <c r="A33604" t="s">
        <v>52247</v>
      </c>
      <c r="B33604" t="s">
        <v>52248</v>
      </c>
      <c r="C33604" t="s">
        <v>619</v>
      </c>
      <c r="D33604" t="s">
        <v>307</v>
      </c>
      <c r="F33604" s="2" t="str">
        <f>HYPERLINK("http://www.otzar.org/book.asp?177042","פרעמד ווערטער בוך")</f>
        <v>פרעמד ווערטער בוך</v>
      </c>
    </row>
    <row r="33605" spans="1:6" x14ac:dyDescent="0.2">
      <c r="A33605" t="s">
        <v>52249</v>
      </c>
      <c r="B33605" t="s">
        <v>2576</v>
      </c>
      <c r="C33605" t="s">
        <v>767</v>
      </c>
      <c r="D33605" t="s">
        <v>27</v>
      </c>
      <c r="E33605" t="s">
        <v>786</v>
      </c>
      <c r="F33605" s="2" t="str">
        <f>HYPERLINK("http://www.otzar.org/book.asp?606193","פרפאות למשנה")</f>
        <v>פרפאות למשנה</v>
      </c>
    </row>
    <row r="33606" spans="1:6" x14ac:dyDescent="0.2">
      <c r="A33606" t="s">
        <v>52250</v>
      </c>
      <c r="B33606" t="s">
        <v>52251</v>
      </c>
      <c r="C33606" t="s">
        <v>129</v>
      </c>
      <c r="D33606" t="s">
        <v>139</v>
      </c>
      <c r="E33606" t="s">
        <v>140</v>
      </c>
      <c r="F33606" s="2" t="str">
        <f>HYPERLINK("http://www.otzar.org/book.asp?154237","פרפראות בנחל")</f>
        <v>פרפראות בנחל</v>
      </c>
    </row>
    <row r="33607" spans="1:6" x14ac:dyDescent="0.2">
      <c r="A33607" t="s">
        <v>52252</v>
      </c>
      <c r="B33607" t="s">
        <v>52253</v>
      </c>
      <c r="C33607" t="s">
        <v>383</v>
      </c>
      <c r="D33607" t="s">
        <v>52</v>
      </c>
      <c r="E33607" t="s">
        <v>104</v>
      </c>
      <c r="F33607" s="2" t="str">
        <f>HYPERLINK("http://www.otzar.org/book.asp?189766","פרפראות בשבעה שערים")</f>
        <v>פרפראות בשבעה שערים</v>
      </c>
    </row>
    <row r="33608" spans="1:6" x14ac:dyDescent="0.2">
      <c r="A33608" t="s">
        <v>52254</v>
      </c>
      <c r="B33608" t="s">
        <v>52255</v>
      </c>
      <c r="C33608" t="s">
        <v>2874</v>
      </c>
      <c r="D33608" t="s">
        <v>9</v>
      </c>
      <c r="E33608" t="s">
        <v>463</v>
      </c>
      <c r="F33608" s="2" t="str">
        <f>HYPERLINK("http://www.otzar.org/book.asp?51772","פרפראות לחכמה וגופי הלכות - א")</f>
        <v>פרפראות לחכמה וגופי הלכות - א</v>
      </c>
    </row>
    <row r="33609" spans="1:6" x14ac:dyDescent="0.2">
      <c r="A33609" t="s">
        <v>52256</v>
      </c>
      <c r="B33609" t="s">
        <v>52257</v>
      </c>
      <c r="C33609" t="s">
        <v>2644</v>
      </c>
      <c r="D33609" t="s">
        <v>889</v>
      </c>
      <c r="E33609" t="s">
        <v>52258</v>
      </c>
      <c r="F33609" s="2" t="str">
        <f>HYPERLINK("http://www.otzar.org/book.asp?64072","פרפראות לחכמה ויוסף חי")</f>
        <v>פרפראות לחכמה ויוסף חי</v>
      </c>
    </row>
    <row r="33610" spans="1:6" x14ac:dyDescent="0.2">
      <c r="A33610" t="s">
        <v>52259</v>
      </c>
      <c r="B33610" t="s">
        <v>22764</v>
      </c>
      <c r="C33610" t="s">
        <v>1619</v>
      </c>
      <c r="D33610" t="s">
        <v>14</v>
      </c>
      <c r="E33610" t="s">
        <v>104</v>
      </c>
      <c r="F33610" s="2" t="str">
        <f>HYPERLINK("http://www.otzar.org/book.asp?154537","פרפראות לחכמה")</f>
        <v>פרפראות לחכמה</v>
      </c>
    </row>
    <row r="33611" spans="1:6" x14ac:dyDescent="0.2">
      <c r="A33611" t="s">
        <v>52259</v>
      </c>
      <c r="B33611" t="s">
        <v>16506</v>
      </c>
      <c r="C33611" t="s">
        <v>124</v>
      </c>
      <c r="D33611" t="s">
        <v>412</v>
      </c>
      <c r="E33611" t="s">
        <v>140</v>
      </c>
      <c r="F33611" s="2" t="str">
        <f>HYPERLINK("http://www.otzar.org/book.asp?174486","פרפראות לחכמה")</f>
        <v>פרפראות לחכמה</v>
      </c>
    </row>
    <row r="33612" spans="1:6" x14ac:dyDescent="0.2">
      <c r="A33612" t="s">
        <v>52259</v>
      </c>
      <c r="B33612" t="s">
        <v>9742</v>
      </c>
      <c r="C33612" t="s">
        <v>445</v>
      </c>
      <c r="D33612" t="s">
        <v>27</v>
      </c>
      <c r="E33612" t="s">
        <v>158</v>
      </c>
      <c r="F33612" s="2" t="str">
        <f>HYPERLINK("http://www.otzar.org/book.asp?17571","פרפראות לחכמה")</f>
        <v>פרפראות לחכמה</v>
      </c>
    </row>
    <row r="33613" spans="1:6" x14ac:dyDescent="0.2">
      <c r="A33613" t="s">
        <v>52259</v>
      </c>
      <c r="B33613" t="s">
        <v>44473</v>
      </c>
      <c r="C33613" t="s">
        <v>1524</v>
      </c>
      <c r="D33613" t="s">
        <v>544</v>
      </c>
      <c r="E33613" t="s">
        <v>230</v>
      </c>
      <c r="F33613" s="2" t="str">
        <f>HYPERLINK("http://www.otzar.org/book.asp?84521","פרפראות לחכמה")</f>
        <v>פרפראות לחכמה</v>
      </c>
    </row>
    <row r="33614" spans="1:6" x14ac:dyDescent="0.2">
      <c r="A33614" t="s">
        <v>52260</v>
      </c>
      <c r="B33614" t="s">
        <v>6252</v>
      </c>
      <c r="C33614" t="s">
        <v>2105</v>
      </c>
      <c r="D33614" t="s">
        <v>535</v>
      </c>
      <c r="E33614" t="s">
        <v>158</v>
      </c>
      <c r="F33614" s="2" t="str">
        <f>HYPERLINK("http://www.otzar.org/book.asp?153862","פרפראות לחכמה - 2 כר'")</f>
        <v>פרפראות לחכמה - 2 כר'</v>
      </c>
    </row>
    <row r="33615" spans="1:6" x14ac:dyDescent="0.2">
      <c r="A33615" t="s">
        <v>52261</v>
      </c>
      <c r="B33615" t="s">
        <v>31745</v>
      </c>
      <c r="C33615" t="s">
        <v>725</v>
      </c>
      <c r="D33615" t="s">
        <v>9224</v>
      </c>
      <c r="E33615" t="s">
        <v>579</v>
      </c>
      <c r="F33615" s="2" t="str">
        <f>HYPERLINK("http://www.otzar.org/book.asp?188601","פרפראות למקראות")</f>
        <v>פרפראות למקראות</v>
      </c>
    </row>
    <row r="33616" spans="1:6" x14ac:dyDescent="0.2">
      <c r="A33616" t="s">
        <v>52262</v>
      </c>
      <c r="B33616" t="s">
        <v>28635</v>
      </c>
      <c r="C33616" t="s">
        <v>411</v>
      </c>
      <c r="D33616" t="s">
        <v>367</v>
      </c>
      <c r="E33616" t="s">
        <v>158</v>
      </c>
      <c r="F33616" s="2" t="str">
        <f>HYPERLINK("http://www.otzar.org/book.asp?172048","פרפראות לשלחן שבת")</f>
        <v>פרפראות לשלחן שבת</v>
      </c>
    </row>
    <row r="33617" spans="1:6" x14ac:dyDescent="0.2">
      <c r="A33617" t="s">
        <v>52263</v>
      </c>
      <c r="B33617" t="s">
        <v>52264</v>
      </c>
      <c r="C33617" t="s">
        <v>2132</v>
      </c>
      <c r="D33617" t="s">
        <v>14</v>
      </c>
      <c r="E33617" t="s">
        <v>158</v>
      </c>
      <c r="F33617" s="2" t="str">
        <f>HYPERLINK("http://www.otzar.org/book.asp?156105","פרפראות לתורה - 5 כר'")</f>
        <v>פרפראות לתורה - 5 כר'</v>
      </c>
    </row>
    <row r="33618" spans="1:6" x14ac:dyDescent="0.2">
      <c r="A33618" t="s">
        <v>52265</v>
      </c>
      <c r="B33618" t="s">
        <v>3072</v>
      </c>
      <c r="C33618" t="s">
        <v>332</v>
      </c>
      <c r="D33618" t="s">
        <v>52</v>
      </c>
      <c r="E33618" t="s">
        <v>2071</v>
      </c>
      <c r="F33618" s="2" t="str">
        <f>HYPERLINK("http://www.otzar.org/book.asp?144183","פרפראות לתורה")</f>
        <v>פרפראות לתורה</v>
      </c>
    </row>
    <row r="33619" spans="1:6" x14ac:dyDescent="0.2">
      <c r="A33619" t="s">
        <v>52266</v>
      </c>
      <c r="B33619" t="s">
        <v>39795</v>
      </c>
      <c r="C33619" t="s">
        <v>609</v>
      </c>
      <c r="D33619" t="s">
        <v>691</v>
      </c>
      <c r="E33619" t="s">
        <v>26175</v>
      </c>
      <c r="F33619" s="2" t="str">
        <f>HYPERLINK("http://www.otzar.org/book.asp?51771","פרפראות")</f>
        <v>פרפראות</v>
      </c>
    </row>
    <row r="33620" spans="1:6" x14ac:dyDescent="0.2">
      <c r="A33620" t="s">
        <v>52267</v>
      </c>
      <c r="B33620" t="s">
        <v>52268</v>
      </c>
      <c r="C33620" t="s">
        <v>23</v>
      </c>
      <c r="D33620" t="s">
        <v>52</v>
      </c>
      <c r="E33620" t="s">
        <v>158</v>
      </c>
      <c r="F33620" s="2" t="str">
        <f>HYPERLINK("http://www.otzar.org/book.asp?198053","פרפרת אליעזר")</f>
        <v>פרפרת אליעזר</v>
      </c>
    </row>
    <row r="33621" spans="1:6" x14ac:dyDescent="0.2">
      <c r="A33621" t="s">
        <v>52269</v>
      </c>
      <c r="B33621" t="s">
        <v>52268</v>
      </c>
      <c r="C33621" t="s">
        <v>68</v>
      </c>
      <c r="D33621" t="s">
        <v>52</v>
      </c>
      <c r="E33621" t="s">
        <v>158</v>
      </c>
      <c r="F33621" s="2" t="str">
        <f>HYPERLINK("http://www.otzar.org/book.asp?152571","פרפרת התורה - א")</f>
        <v>פרפרת התורה - א</v>
      </c>
    </row>
    <row r="33622" spans="1:6" x14ac:dyDescent="0.2">
      <c r="A33622" t="s">
        <v>52270</v>
      </c>
      <c r="B33622" t="s">
        <v>52268</v>
      </c>
      <c r="C33622" t="s">
        <v>103</v>
      </c>
      <c r="D33622" t="s">
        <v>52</v>
      </c>
      <c r="E33622" t="s">
        <v>158</v>
      </c>
      <c r="F33622" s="2" t="str">
        <f>HYPERLINK("http://www.otzar.org/book.asp?28645","פרפרת משה - 3 כר'")</f>
        <v>פרפרת משה - 3 כר'</v>
      </c>
    </row>
    <row r="33623" spans="1:6" x14ac:dyDescent="0.2">
      <c r="A33623" t="s">
        <v>52271</v>
      </c>
      <c r="B33623" t="s">
        <v>25382</v>
      </c>
      <c r="C33623" t="s">
        <v>11821</v>
      </c>
      <c r="D33623" t="s">
        <v>2303</v>
      </c>
      <c r="E33623" t="s">
        <v>5351</v>
      </c>
      <c r="F33623" s="2" t="str">
        <f>HYPERLINK("http://www.otzar.org/book.asp?102161","פרפרת רשב""ץ")</f>
        <v>פרפרת רשב"ץ</v>
      </c>
    </row>
    <row r="33624" spans="1:6" x14ac:dyDescent="0.2">
      <c r="A33624" t="s">
        <v>52272</v>
      </c>
      <c r="B33624" t="s">
        <v>39456</v>
      </c>
      <c r="C33624" t="s">
        <v>366</v>
      </c>
      <c r="D33624" t="s">
        <v>21</v>
      </c>
      <c r="E33624" t="s">
        <v>15</v>
      </c>
      <c r="F33624" s="2" t="str">
        <f>HYPERLINK("http://www.otzar.org/book.asp?608144","פרפרת")</f>
        <v>פרפרת</v>
      </c>
    </row>
    <row r="33625" spans="1:6" x14ac:dyDescent="0.2">
      <c r="A33625" t="s">
        <v>52273</v>
      </c>
      <c r="B33625" t="s">
        <v>52274</v>
      </c>
      <c r="C33625" t="s">
        <v>351</v>
      </c>
      <c r="D33625" t="s">
        <v>283</v>
      </c>
      <c r="E33625" t="s">
        <v>84</v>
      </c>
      <c r="F33625" s="2" t="str">
        <f>HYPERLINK("http://www.otzar.org/book.asp?23844","פרק אבות &lt;אבות דר' אלעזר, תפארת דוד&gt;")</f>
        <v>פרק אבות &lt;אבות דר' אלעזר, תפארת דוד&gt;</v>
      </c>
    </row>
    <row r="33626" spans="1:6" x14ac:dyDescent="0.2">
      <c r="A33626" t="s">
        <v>52275</v>
      </c>
      <c r="B33626" t="s">
        <v>27568</v>
      </c>
      <c r="C33626" t="s">
        <v>3942</v>
      </c>
      <c r="D33626" t="s">
        <v>744</v>
      </c>
      <c r="E33626" t="s">
        <v>104</v>
      </c>
      <c r="F33626" s="2" t="str">
        <f>HYPERLINK("http://www.otzar.org/book.asp?62156","פרק אליהו")</f>
        <v>פרק אליהו</v>
      </c>
    </row>
    <row r="33627" spans="1:6" x14ac:dyDescent="0.2">
      <c r="A33627" t="s">
        <v>52276</v>
      </c>
      <c r="B33627" t="s">
        <v>52277</v>
      </c>
      <c r="C33627" t="s">
        <v>313</v>
      </c>
      <c r="D33627" t="s">
        <v>14</v>
      </c>
      <c r="E33627" t="s">
        <v>144</v>
      </c>
      <c r="F33627" s="2" t="str">
        <f>HYPERLINK("http://www.otzar.org/book.asp?176919","פרק השואל מבואר")</f>
        <v>פרק השואל מבואר</v>
      </c>
    </row>
    <row r="33628" spans="1:6" x14ac:dyDescent="0.2">
      <c r="A33628" t="s">
        <v>52278</v>
      </c>
      <c r="B33628" t="s">
        <v>6745</v>
      </c>
      <c r="C33628" t="s">
        <v>1208</v>
      </c>
      <c r="D33628" t="s">
        <v>14</v>
      </c>
      <c r="E33628" t="s">
        <v>119</v>
      </c>
      <c r="F33628" s="2" t="str">
        <f>HYPERLINK("http://www.otzar.org/book.asp?179906","פרק זכרונות")</f>
        <v>פרק זכרונות</v>
      </c>
    </row>
    <row r="33629" spans="1:6" x14ac:dyDescent="0.2">
      <c r="A33629" t="s">
        <v>52279</v>
      </c>
      <c r="C33629" t="s">
        <v>1811</v>
      </c>
      <c r="D33629" t="s">
        <v>14</v>
      </c>
      <c r="E33629" t="s">
        <v>119</v>
      </c>
      <c r="F33629" s="2" t="str">
        <f>HYPERLINK("http://www.otzar.org/book.asp?623639","פרק חדש בתולדות הכותל המערבי")</f>
        <v>פרק חדש בתולדות הכותל המערבי</v>
      </c>
    </row>
    <row r="33630" spans="1:6" x14ac:dyDescent="0.2">
      <c r="A33630" t="s">
        <v>52280</v>
      </c>
      <c r="B33630" t="s">
        <v>52277</v>
      </c>
      <c r="C33630" t="s">
        <v>17</v>
      </c>
      <c r="D33630" t="s">
        <v>14</v>
      </c>
      <c r="E33630" t="s">
        <v>144</v>
      </c>
      <c r="F33630" s="2" t="str">
        <f>HYPERLINK("http://www.otzar.org/book.asp?176920","פרק שור שנגח את הפרה מבואר")</f>
        <v>פרק שור שנגח את הפרה מבואר</v>
      </c>
    </row>
    <row r="33631" spans="1:6" x14ac:dyDescent="0.2">
      <c r="A33631" t="s">
        <v>52281</v>
      </c>
      <c r="B33631" t="s">
        <v>52282</v>
      </c>
      <c r="C33631" t="s">
        <v>422</v>
      </c>
      <c r="D33631" t="s">
        <v>52</v>
      </c>
      <c r="E33631" t="s">
        <v>43</v>
      </c>
      <c r="F33631" s="2" t="str">
        <f>HYPERLINK("http://www.otzar.org/book.asp?160516","פרק שירה &lt;ככר לאדן - אדני הקדש&gt;")</f>
        <v>פרק שירה &lt;ככר לאדן - אדני הקדש&gt;</v>
      </c>
    </row>
    <row r="33632" spans="1:6" x14ac:dyDescent="0.2">
      <c r="A33632" t="s">
        <v>52283</v>
      </c>
      <c r="B33632" t="s">
        <v>34855</v>
      </c>
      <c r="C33632" t="s">
        <v>68</v>
      </c>
      <c r="D33632" t="s">
        <v>14</v>
      </c>
      <c r="E33632" t="s">
        <v>2535</v>
      </c>
      <c r="F33632" s="2" t="str">
        <f>HYPERLINK("http://www.otzar.org/book.asp?606644","פרק שירה &lt;שירת הבריאה&gt;")</f>
        <v>פרק שירה &lt;שירת הבריאה&gt;</v>
      </c>
    </row>
    <row r="33633" spans="1:6" x14ac:dyDescent="0.2">
      <c r="A33633" t="s">
        <v>52284</v>
      </c>
      <c r="B33633" t="s">
        <v>206</v>
      </c>
      <c r="C33633" t="s">
        <v>422</v>
      </c>
      <c r="D33633" t="s">
        <v>152</v>
      </c>
      <c r="E33633" t="s">
        <v>43</v>
      </c>
      <c r="F33633" s="2" t="str">
        <f>HYPERLINK("http://www.otzar.org/book.asp?156184","פרק שירה &lt;שירה חדשה הקצר&gt;")</f>
        <v>פרק שירה &lt;שירה חדשה הקצר&gt;</v>
      </c>
    </row>
    <row r="33634" spans="1:6" x14ac:dyDescent="0.2">
      <c r="A33634" t="s">
        <v>52285</v>
      </c>
      <c r="B33634" t="s">
        <v>206</v>
      </c>
      <c r="C33634" t="s">
        <v>422</v>
      </c>
      <c r="D33634" t="s">
        <v>152</v>
      </c>
      <c r="E33634" t="s">
        <v>43</v>
      </c>
      <c r="F33634" s="2" t="str">
        <f>HYPERLINK("http://www.otzar.org/book.asp?156148","פרק שירה &lt;שירה חדשה&gt;")</f>
        <v>פרק שירה &lt;שירה חדשה&gt;</v>
      </c>
    </row>
    <row r="33635" spans="1:6" x14ac:dyDescent="0.2">
      <c r="A33635" t="s">
        <v>52286</v>
      </c>
      <c r="B33635" t="s">
        <v>52287</v>
      </c>
      <c r="C33635" t="s">
        <v>20</v>
      </c>
      <c r="D33635" t="s">
        <v>14</v>
      </c>
      <c r="E33635" t="s">
        <v>52288</v>
      </c>
      <c r="F33635" s="2" t="str">
        <f>HYPERLINK("http://www.otzar.org/book.asp?176921","פרק שירה &lt;המאיר&gt;")</f>
        <v>פרק שירה &lt;המאיר&gt;</v>
      </c>
    </row>
    <row r="33636" spans="1:6" x14ac:dyDescent="0.2">
      <c r="A33636" t="s">
        <v>52289</v>
      </c>
      <c r="B33636" t="s">
        <v>52290</v>
      </c>
      <c r="C33636" t="s">
        <v>908</v>
      </c>
      <c r="D33636" t="s">
        <v>50886</v>
      </c>
      <c r="E33636" t="s">
        <v>43</v>
      </c>
      <c r="F33636" s="2" t="str">
        <f>HYPERLINK("http://www.otzar.org/book.asp?103008","פרק שירה &lt;זמרת הארץ, ברכת השיר, מבי""ט&gt;")</f>
        <v>פרק שירה &lt;זמרת הארץ, ברכת השיר, מבי"ט&gt;</v>
      </c>
    </row>
    <row r="33637" spans="1:6" x14ac:dyDescent="0.2">
      <c r="A33637" t="s">
        <v>52291</v>
      </c>
      <c r="B33637" t="s">
        <v>52292</v>
      </c>
      <c r="C33637" t="s">
        <v>189</v>
      </c>
      <c r="D33637" t="s">
        <v>14</v>
      </c>
      <c r="E33637" t="s">
        <v>43</v>
      </c>
      <c r="F33637" s="2" t="str">
        <f>HYPERLINK("http://www.otzar.org/book.asp?25817","פרק שירה &lt;עם ביאור המבי""ט והחיד""א&gt;")</f>
        <v>פרק שירה &lt;עם ביאור המבי"ט והחיד"א&gt;</v>
      </c>
    </row>
    <row r="33638" spans="1:6" x14ac:dyDescent="0.2">
      <c r="A33638" t="s">
        <v>52293</v>
      </c>
      <c r="B33638" t="s">
        <v>52294</v>
      </c>
      <c r="C33638" t="s">
        <v>1096</v>
      </c>
      <c r="D33638" t="s">
        <v>56</v>
      </c>
      <c r="E33638" t="s">
        <v>43</v>
      </c>
      <c r="F33638" s="2" t="str">
        <f>HYPERLINK("http://www.otzar.org/book.asp?107121","פרק שירה &lt;פרק בשיר&gt;")</f>
        <v>פרק שירה &lt;פרק בשיר&gt;</v>
      </c>
    </row>
    <row r="33639" spans="1:6" x14ac:dyDescent="0.2">
      <c r="A33639" t="s">
        <v>52295</v>
      </c>
      <c r="B33639" t="s">
        <v>52296</v>
      </c>
      <c r="C33639" t="s">
        <v>454</v>
      </c>
      <c r="D33639" t="s">
        <v>52</v>
      </c>
      <c r="E33639" t="s">
        <v>43</v>
      </c>
      <c r="F33639" s="2" t="str">
        <f>HYPERLINK("http://www.otzar.org/book.asp?61879","פרק שירה &lt;שירת שלמה&gt;")</f>
        <v>פרק שירה &lt;שירת שלמה&gt;</v>
      </c>
    </row>
    <row r="33640" spans="1:6" x14ac:dyDescent="0.2">
      <c r="A33640" t="s">
        <v>52297</v>
      </c>
      <c r="B33640" t="s">
        <v>206</v>
      </c>
      <c r="C33640" t="s">
        <v>20</v>
      </c>
      <c r="F33640" s="2" t="str">
        <f>HYPERLINK("http://www.otzar.org/book.asp?603267","פרק שירה המבואר ע""פ שירת יחיאל")</f>
        <v>פרק שירה המבואר ע"פ שירת יחיאל</v>
      </c>
    </row>
    <row r="33641" spans="1:6" x14ac:dyDescent="0.2">
      <c r="A33641" t="s">
        <v>52298</v>
      </c>
      <c r="B33641" t="s">
        <v>15435</v>
      </c>
      <c r="C33641" t="s">
        <v>189</v>
      </c>
      <c r="D33641" t="s">
        <v>52</v>
      </c>
      <c r="E33641" t="s">
        <v>43</v>
      </c>
      <c r="F33641" s="2" t="str">
        <f>HYPERLINK("http://www.otzar.org/book.asp?156038","פרק שירה השלם &lt;שינויי נוסחאות, לקט פירושים&gt;")</f>
        <v>פרק שירה השלם &lt;שינויי נוסחאות, לקט פירושים&gt;</v>
      </c>
    </row>
    <row r="33642" spans="1:6" x14ac:dyDescent="0.2">
      <c r="A33642" t="s">
        <v>52299</v>
      </c>
      <c r="B33642" t="s">
        <v>12916</v>
      </c>
      <c r="C33642" t="s">
        <v>146</v>
      </c>
      <c r="D33642" t="s">
        <v>14</v>
      </c>
      <c r="E33642" t="s">
        <v>43</v>
      </c>
      <c r="F33642" s="2" t="str">
        <f>HYPERLINK("http://www.otzar.org/book.asp?26727","פרק שירה עם באור בתורתו יהגה")</f>
        <v>פרק שירה עם באור בתורתו יהגה</v>
      </c>
    </row>
    <row r="33643" spans="1:6" x14ac:dyDescent="0.2">
      <c r="A33643" t="s">
        <v>52300</v>
      </c>
      <c r="B33643" t="s">
        <v>37591</v>
      </c>
      <c r="C33643" t="s">
        <v>37</v>
      </c>
      <c r="D33643" t="s">
        <v>14</v>
      </c>
      <c r="E33643" t="s">
        <v>43</v>
      </c>
      <c r="F33643" s="2" t="str">
        <f>HYPERLINK("http://www.otzar.org/book.asp?189238","פרק שירה עם ביאור השירה הזאת")</f>
        <v>פרק שירה עם ביאור השירה הזאת</v>
      </c>
    </row>
    <row r="33644" spans="1:6" x14ac:dyDescent="0.2">
      <c r="A33644" t="s">
        <v>52301</v>
      </c>
      <c r="B33644" t="s">
        <v>27381</v>
      </c>
      <c r="C33644" t="s">
        <v>411</v>
      </c>
      <c r="D33644" t="s">
        <v>152</v>
      </c>
      <c r="E33644" t="s">
        <v>43</v>
      </c>
      <c r="F33644" s="2" t="str">
        <f>HYPERLINK("http://www.otzar.org/book.asp?606005","פרק שירה עם ביאור מבריותיו אחכם")</f>
        <v>פרק שירה עם ביאור מבריותיו אחכם</v>
      </c>
    </row>
    <row r="33645" spans="1:6" x14ac:dyDescent="0.2">
      <c r="A33645" t="s">
        <v>52302</v>
      </c>
      <c r="B33645" t="s">
        <v>52303</v>
      </c>
      <c r="C33645" t="s">
        <v>422</v>
      </c>
      <c r="D33645" t="s">
        <v>52</v>
      </c>
      <c r="E33645" t="s">
        <v>43</v>
      </c>
      <c r="F33645" s="2" t="str">
        <f>HYPERLINK("http://www.otzar.org/book.asp?155028","פרק שירה עם ביאור נשמת השיר")</f>
        <v>פרק שירה עם ביאור נשמת השיר</v>
      </c>
    </row>
    <row r="33646" spans="1:6" x14ac:dyDescent="0.2">
      <c r="A33646" t="s">
        <v>52304</v>
      </c>
      <c r="B33646" t="s">
        <v>6363</v>
      </c>
      <c r="C33646" t="s">
        <v>103</v>
      </c>
      <c r="D33646" t="s">
        <v>852</v>
      </c>
      <c r="E33646" t="s">
        <v>43</v>
      </c>
      <c r="F33646" s="2" t="str">
        <f>HYPERLINK("http://www.otzar.org/book.asp?108423","פרק שירה עם פירוש אמרי חמודות")</f>
        <v>פרק שירה עם פירוש אמרי חמודות</v>
      </c>
    </row>
    <row r="33647" spans="1:6" x14ac:dyDescent="0.2">
      <c r="A33647" t="s">
        <v>52305</v>
      </c>
      <c r="B33647" t="s">
        <v>107</v>
      </c>
      <c r="C33647" t="s">
        <v>454</v>
      </c>
      <c r="D33647" t="s">
        <v>14</v>
      </c>
      <c r="E33647" t="s">
        <v>43</v>
      </c>
      <c r="F33647" s="2" t="str">
        <f>HYPERLINK("http://www.otzar.org/book.asp?84473","פרק שירה עם פירוש דבר ירושלים - זמרה וניגון בראי היהדות")</f>
        <v>פרק שירה עם פירוש דבר ירושלים - זמרה וניגון בראי היהדות</v>
      </c>
    </row>
    <row r="33648" spans="1:6" x14ac:dyDescent="0.2">
      <c r="A33648" t="s">
        <v>52306</v>
      </c>
      <c r="B33648" t="s">
        <v>1402</v>
      </c>
      <c r="C33648" t="s">
        <v>454</v>
      </c>
      <c r="D33648" t="s">
        <v>52</v>
      </c>
      <c r="E33648" t="s">
        <v>43</v>
      </c>
      <c r="F33648" s="2" t="str">
        <f>HYPERLINK("http://www.otzar.org/book.asp?157884","פרק שירה עם פירוש יאיר הבוקר")</f>
        <v>פרק שירה עם פירוש יאיר הבוקר</v>
      </c>
    </row>
    <row r="33649" spans="1:6" x14ac:dyDescent="0.2">
      <c r="A33649" t="s">
        <v>52307</v>
      </c>
      <c r="B33649" t="s">
        <v>686</v>
      </c>
      <c r="C33649" t="s">
        <v>129</v>
      </c>
      <c r="D33649" t="s">
        <v>52</v>
      </c>
      <c r="E33649" t="s">
        <v>43</v>
      </c>
      <c r="F33649" s="2" t="str">
        <f>HYPERLINK("http://www.otzar.org/book.asp?149798","פרק שירה עם פירוש פה דוד")</f>
        <v>פרק שירה עם פירוש פה דוד</v>
      </c>
    </row>
    <row r="33650" spans="1:6" x14ac:dyDescent="0.2">
      <c r="A33650" t="s">
        <v>52308</v>
      </c>
      <c r="B33650" t="s">
        <v>15469</v>
      </c>
      <c r="C33650" t="s">
        <v>71</v>
      </c>
      <c r="D33650" t="s">
        <v>21</v>
      </c>
      <c r="F33650" s="2" t="str">
        <f>HYPERLINK("http://www.otzar.org/book.asp?195207","פרק שירה עם תמונות")</f>
        <v>פרק שירה עם תמונות</v>
      </c>
    </row>
    <row r="33651" spans="1:6" x14ac:dyDescent="0.2">
      <c r="A33651" t="s">
        <v>52309</v>
      </c>
      <c r="B33651" t="s">
        <v>52310</v>
      </c>
      <c r="C33651" t="s">
        <v>71</v>
      </c>
      <c r="D33651" t="s">
        <v>21</v>
      </c>
      <c r="E33651" t="s">
        <v>43</v>
      </c>
      <c r="F33651" s="2" t="str">
        <f>HYPERLINK("http://www.otzar.org/book.asp?197704","פרק שירה")</f>
        <v>פרק שירה</v>
      </c>
    </row>
    <row r="33652" spans="1:6" x14ac:dyDescent="0.2">
      <c r="A33652" t="s">
        <v>52311</v>
      </c>
      <c r="B33652" t="s">
        <v>52312</v>
      </c>
      <c r="C33652" t="s">
        <v>30887</v>
      </c>
      <c r="D33652" t="s">
        <v>49</v>
      </c>
      <c r="F33652" s="2" t="str">
        <f>HYPERLINK("http://www.otzar.org/book.asp?164737","פרקי אבות &lt;נחלת אבות&gt;")</f>
        <v>פרקי אבות &lt;נחלת אבות&gt;</v>
      </c>
    </row>
    <row r="33653" spans="1:6" x14ac:dyDescent="0.2">
      <c r="A33653" t="s">
        <v>52313</v>
      </c>
      <c r="B33653" t="s">
        <v>52314</v>
      </c>
      <c r="C33653" t="s">
        <v>8375</v>
      </c>
      <c r="D33653" t="s">
        <v>56</v>
      </c>
      <c r="E33653" t="s">
        <v>84</v>
      </c>
      <c r="F33653" s="2" t="str">
        <f>HYPERLINK("http://www.otzar.org/book.asp?106174","פרקי אבות &lt;דרך אבות&gt;")</f>
        <v>פרקי אבות &lt;דרך אבות&gt;</v>
      </c>
    </row>
    <row r="33654" spans="1:6" x14ac:dyDescent="0.2">
      <c r="A33654" t="s">
        <v>52315</v>
      </c>
      <c r="B33654" t="s">
        <v>52316</v>
      </c>
      <c r="C33654" t="s">
        <v>1036</v>
      </c>
      <c r="D33654" t="s">
        <v>35335</v>
      </c>
      <c r="E33654" t="s">
        <v>84</v>
      </c>
      <c r="F33654" s="2" t="str">
        <f>HYPERLINK("http://www.otzar.org/book.asp?101905","פרקי אבות &lt;נשמת חיים ועגת אלי'&gt;")</f>
        <v>פרקי אבות &lt;נשמת חיים ועגת אלי'&gt;</v>
      </c>
    </row>
    <row r="33655" spans="1:6" x14ac:dyDescent="0.2">
      <c r="A33655" t="s">
        <v>52317</v>
      </c>
      <c r="B33655" t="s">
        <v>52318</v>
      </c>
      <c r="C33655" t="s">
        <v>429</v>
      </c>
      <c r="D33655" t="s">
        <v>726</v>
      </c>
      <c r="E33655" t="s">
        <v>8469</v>
      </c>
      <c r="F33655" s="2" t="str">
        <f>HYPERLINK("http://www.otzar.org/book.asp?101955","פרקי אבות &lt;גמילת חסדי אבות&gt;")</f>
        <v>פרקי אבות &lt;גמילת חסדי אבות&gt;</v>
      </c>
    </row>
    <row r="33656" spans="1:6" x14ac:dyDescent="0.2">
      <c r="A33656" t="s">
        <v>52319</v>
      </c>
      <c r="B33656" t="s">
        <v>52320</v>
      </c>
      <c r="C33656" t="s">
        <v>1228</v>
      </c>
      <c r="D33656" t="s">
        <v>2313</v>
      </c>
      <c r="E33656" t="s">
        <v>32006</v>
      </c>
      <c r="F33656" s="2" t="str">
        <f>HYPERLINK("http://www.otzar.org/book.asp?10794","פרקי אבות &lt;ר' לוי יצחק מברדיטשוב והמגיד מקאזניץ&gt;")</f>
        <v>פרקי אבות &lt;ר' לוי יצחק מברדיטשוב והמגיד מקאזניץ&gt;</v>
      </c>
    </row>
    <row r="33657" spans="1:6" x14ac:dyDescent="0.2">
      <c r="A33657" t="s">
        <v>52321</v>
      </c>
      <c r="B33657" t="s">
        <v>52322</v>
      </c>
      <c r="C33657" t="s">
        <v>1650</v>
      </c>
      <c r="D33657" t="s">
        <v>225</v>
      </c>
      <c r="E33657" t="s">
        <v>84</v>
      </c>
      <c r="F33657" s="2" t="str">
        <f>HYPERLINK("http://www.otzar.org/book.asp?101892","פרקי אבות &lt;פסקי משנה, מנחת יצחק, ליקוטי יצחק&gt;")</f>
        <v>פרקי אבות &lt;פסקי משנה, מנחת יצחק, ליקוטי יצחק&gt;</v>
      </c>
    </row>
    <row r="33658" spans="1:6" x14ac:dyDescent="0.2">
      <c r="A33658" t="s">
        <v>52323</v>
      </c>
      <c r="B33658" t="s">
        <v>52324</v>
      </c>
      <c r="C33658" t="s">
        <v>609</v>
      </c>
      <c r="D33658" t="s">
        <v>726</v>
      </c>
      <c r="E33658" t="s">
        <v>32006</v>
      </c>
      <c r="F33658" s="2" t="str">
        <f>HYPERLINK("http://www.otzar.org/book.asp?101956","פרקי אבות &lt;דברי בינה&gt;")</f>
        <v>פרקי אבות &lt;דברי בינה&gt;</v>
      </c>
    </row>
    <row r="33659" spans="1:6" x14ac:dyDescent="0.2">
      <c r="A33659" t="s">
        <v>52325</v>
      </c>
      <c r="B33659" t="s">
        <v>52326</v>
      </c>
      <c r="C33659" t="s">
        <v>908</v>
      </c>
      <c r="D33659" t="s">
        <v>947</v>
      </c>
      <c r="E33659" t="s">
        <v>84</v>
      </c>
      <c r="F33659" s="2" t="str">
        <f>HYPERLINK("http://www.otzar.org/book.asp?101976","פרקי אבות &lt;מדרש חכמים&gt;")</f>
        <v>פרקי אבות &lt;מדרש חכמים&gt;</v>
      </c>
    </row>
    <row r="33660" spans="1:6" x14ac:dyDescent="0.2">
      <c r="A33660" t="s">
        <v>52327</v>
      </c>
      <c r="B33660" t="s">
        <v>52328</v>
      </c>
      <c r="C33660" t="s">
        <v>2008</v>
      </c>
      <c r="D33660" t="s">
        <v>23921</v>
      </c>
      <c r="E33660" t="s">
        <v>32006</v>
      </c>
      <c r="F33660" s="2" t="str">
        <f>HYPERLINK("http://www.otzar.org/book.asp?5165","פרקי אבות &lt;בית לוי, בית ישראל&gt;")</f>
        <v>פרקי אבות &lt;בית לוי, בית ישראל&gt;</v>
      </c>
    </row>
    <row r="33661" spans="1:6" x14ac:dyDescent="0.2">
      <c r="A33661" t="s">
        <v>52311</v>
      </c>
      <c r="B33661" t="s">
        <v>52329</v>
      </c>
      <c r="C33661" t="s">
        <v>3106</v>
      </c>
      <c r="D33661" t="s">
        <v>9</v>
      </c>
      <c r="E33661" t="s">
        <v>84</v>
      </c>
      <c r="F33661" s="2" t="str">
        <f>HYPERLINK("http://www.otzar.org/book.asp?10419","פרקי אבות &lt;נחלת אבות&gt;")</f>
        <v>פרקי אבות &lt;נחלת אבות&gt;</v>
      </c>
    </row>
    <row r="33662" spans="1:6" x14ac:dyDescent="0.2">
      <c r="A33662" t="s">
        <v>52330</v>
      </c>
      <c r="B33662" t="s">
        <v>52331</v>
      </c>
      <c r="C33662" t="s">
        <v>30363</v>
      </c>
      <c r="D33662" t="s">
        <v>27</v>
      </c>
      <c r="E33662" t="s">
        <v>3018</v>
      </c>
      <c r="F33662" s="2" t="str">
        <f>HYPERLINK("http://www.otzar.org/book.asp?10421","פרקי אבות &lt;ר""א אזולאי&gt;")</f>
        <v>פרקי אבות &lt;ר"א אזולאי&gt;</v>
      </c>
    </row>
    <row r="33663" spans="1:6" x14ac:dyDescent="0.2">
      <c r="A33663" t="s">
        <v>52332</v>
      </c>
      <c r="B33663" t="s">
        <v>52333</v>
      </c>
      <c r="C33663" t="s">
        <v>2543</v>
      </c>
      <c r="D33663" t="s">
        <v>661</v>
      </c>
      <c r="E33663" t="s">
        <v>25257</v>
      </c>
      <c r="F33663" s="2" t="str">
        <f>HYPERLINK("http://www.otzar.org/book.asp?6667","פרקי אבות &lt;ר""י נחמיאש&gt;")</f>
        <v>פרקי אבות &lt;ר"י נחמיאש&gt;</v>
      </c>
    </row>
    <row r="33664" spans="1:6" x14ac:dyDescent="0.2">
      <c r="A33664" t="s">
        <v>52334</v>
      </c>
      <c r="B33664" t="s">
        <v>2308</v>
      </c>
      <c r="C33664" t="s">
        <v>383</v>
      </c>
      <c r="D33664" t="s">
        <v>14</v>
      </c>
      <c r="E33664" t="s">
        <v>84</v>
      </c>
      <c r="F33664" s="2" t="str">
        <f>HYPERLINK("http://www.otzar.org/book.asp?51292","פרקי אבות &lt;דרך ישרה&gt;")</f>
        <v>פרקי אבות &lt;דרך ישרה&gt;</v>
      </c>
    </row>
    <row r="33665" spans="1:6" x14ac:dyDescent="0.2">
      <c r="A33665" t="s">
        <v>52335</v>
      </c>
      <c r="B33665" t="s">
        <v>52336</v>
      </c>
      <c r="C33665" t="s">
        <v>51</v>
      </c>
      <c r="D33665" t="s">
        <v>412</v>
      </c>
      <c r="E33665" t="s">
        <v>84</v>
      </c>
      <c r="F33665" s="2" t="str">
        <f>HYPERLINK("http://www.otzar.org/book.asp?163276","פרקי אבות &lt;זכרון סופרים&gt;")</f>
        <v>פרקי אבות &lt;זכרון סופרים&gt;</v>
      </c>
    </row>
    <row r="33666" spans="1:6" x14ac:dyDescent="0.2">
      <c r="A33666" t="s">
        <v>52337</v>
      </c>
      <c r="B33666" t="s">
        <v>52338</v>
      </c>
      <c r="C33666" t="s">
        <v>1364</v>
      </c>
      <c r="D33666" t="s">
        <v>27</v>
      </c>
      <c r="E33666" t="s">
        <v>84</v>
      </c>
      <c r="F33666" s="2" t="str">
        <f>HYPERLINK("http://www.otzar.org/book.asp?169755","פרקי אבות &lt;זכות אבות&gt;")</f>
        <v>פרקי אבות &lt;זכות אבות&gt;</v>
      </c>
    </row>
    <row r="33667" spans="1:6" x14ac:dyDescent="0.2">
      <c r="A33667" t="s">
        <v>52339</v>
      </c>
      <c r="B33667" t="s">
        <v>17763</v>
      </c>
      <c r="C33667" t="s">
        <v>1177</v>
      </c>
      <c r="D33667" t="s">
        <v>283</v>
      </c>
      <c r="E33667" t="s">
        <v>84</v>
      </c>
      <c r="F33667" s="2" t="str">
        <f>HYPERLINK("http://www.otzar.org/book.asp?51697","פרקי אבות &lt;מלי דאבות&gt;")</f>
        <v>פרקי אבות &lt;מלי דאבות&gt;</v>
      </c>
    </row>
    <row r="33668" spans="1:6" x14ac:dyDescent="0.2">
      <c r="A33668" t="s">
        <v>52340</v>
      </c>
      <c r="B33668" t="s">
        <v>24085</v>
      </c>
      <c r="C33668" t="s">
        <v>244</v>
      </c>
      <c r="D33668" t="s">
        <v>90</v>
      </c>
      <c r="E33668" t="s">
        <v>84</v>
      </c>
      <c r="F33668" s="2" t="str">
        <f>HYPERLINK("http://www.otzar.org/book.asp?628758","פרקי אבות &lt;משנה שכיר&gt;")</f>
        <v>פרקי אבות &lt;משנה שכיר&gt;</v>
      </c>
    </row>
    <row r="33669" spans="1:6" x14ac:dyDescent="0.2">
      <c r="A33669" t="s">
        <v>52341</v>
      </c>
      <c r="B33669" t="s">
        <v>4749</v>
      </c>
      <c r="C33669" t="s">
        <v>1208</v>
      </c>
      <c r="D33669" t="s">
        <v>14</v>
      </c>
      <c r="F33669" s="2" t="str">
        <f>HYPERLINK("http://www.otzar.org/book.asp?191020","פרקי אבות &lt;פירושי ר' יוסף כנאפו&gt;")</f>
        <v>פרקי אבות &lt;פירושי ר' יוסף כנאפו&gt;</v>
      </c>
    </row>
    <row r="33670" spans="1:6" x14ac:dyDescent="0.2">
      <c r="A33670" t="s">
        <v>52342</v>
      </c>
      <c r="B33670" t="s">
        <v>52343</v>
      </c>
      <c r="C33670" t="s">
        <v>411</v>
      </c>
      <c r="D33670" t="s">
        <v>14</v>
      </c>
      <c r="E33670" t="s">
        <v>84</v>
      </c>
      <c r="F33670" s="2" t="str">
        <f>HYPERLINK("http://www.otzar.org/book.asp?173966","פרקי אבות &lt;ע""פ האר""י ז""ל&gt;")</f>
        <v>פרקי אבות &lt;ע"פ האר"י ז"ל&gt;</v>
      </c>
    </row>
    <row r="33671" spans="1:6" x14ac:dyDescent="0.2">
      <c r="A33671" t="s">
        <v>52344</v>
      </c>
      <c r="B33671" t="s">
        <v>52345</v>
      </c>
      <c r="C33671" t="s">
        <v>445</v>
      </c>
      <c r="D33671" t="s">
        <v>9</v>
      </c>
      <c r="E33671" t="s">
        <v>84</v>
      </c>
      <c r="F33671" s="2" t="str">
        <f>HYPERLINK("http://www.otzar.org/book.asp?52113","פרקי אבות &lt;טוב ויפה&gt;")</f>
        <v>פרקי אבות &lt;טוב ויפה&gt;</v>
      </c>
    </row>
    <row r="33672" spans="1:6" x14ac:dyDescent="0.2">
      <c r="A33672" t="s">
        <v>52346</v>
      </c>
      <c r="B33672" t="s">
        <v>45397</v>
      </c>
      <c r="C33672" t="s">
        <v>1147</v>
      </c>
      <c r="D33672" t="s">
        <v>1117</v>
      </c>
      <c r="E33672" t="s">
        <v>84</v>
      </c>
      <c r="F33672" s="2" t="str">
        <f>HYPERLINK("http://www.otzar.org/book.asp?166305","פרקי אבות &lt;מנחה חדשה&gt;")</f>
        <v>פרקי אבות &lt;מנחה חדשה&gt;</v>
      </c>
    </row>
    <row r="33673" spans="1:6" x14ac:dyDescent="0.2">
      <c r="A33673" t="s">
        <v>52347</v>
      </c>
      <c r="B33673" t="s">
        <v>4431</v>
      </c>
      <c r="C33673" t="s">
        <v>37</v>
      </c>
      <c r="D33673" t="s">
        <v>27</v>
      </c>
      <c r="E33673" t="s">
        <v>84</v>
      </c>
      <c r="F33673" s="2" t="str">
        <f>HYPERLINK("http://www.otzar.org/book.asp?189162","פרקי אבות &lt;אורות פלא&gt;")</f>
        <v>פרקי אבות &lt;אורות פלא&gt;</v>
      </c>
    </row>
    <row r="33674" spans="1:6" x14ac:dyDescent="0.2">
      <c r="A33674" t="s">
        <v>52348</v>
      </c>
      <c r="B33674" t="s">
        <v>52349</v>
      </c>
      <c r="C33674" t="s">
        <v>71</v>
      </c>
      <c r="D33674" t="s">
        <v>52</v>
      </c>
      <c r="E33674" t="s">
        <v>38</v>
      </c>
      <c r="F33674" s="2" t="str">
        <f>HYPERLINK("http://www.otzar.org/book.asp?107433","פרקי אבות &lt;פי' מהרי""ץ, פעמון זהב, מלי דאבות&gt;")</f>
        <v>פרקי אבות &lt;פי' מהרי"ץ, פעמון זהב, מלי דאבות&gt;</v>
      </c>
    </row>
    <row r="33675" spans="1:6" x14ac:dyDescent="0.2">
      <c r="A33675" t="s">
        <v>52323</v>
      </c>
      <c r="B33675" t="s">
        <v>14379</v>
      </c>
      <c r="C33675" t="s">
        <v>956</v>
      </c>
      <c r="D33675" t="s">
        <v>14</v>
      </c>
      <c r="E33675" t="s">
        <v>84</v>
      </c>
      <c r="F33675" s="2" t="str">
        <f>HYPERLINK("http://www.otzar.org/book.asp?153670","פרקי אבות &lt;דברי בינה&gt;")</f>
        <v>פרקי אבות &lt;דברי בינה&gt;</v>
      </c>
    </row>
    <row r="33676" spans="1:6" x14ac:dyDescent="0.2">
      <c r="A33676" t="s">
        <v>52350</v>
      </c>
      <c r="B33676" t="s">
        <v>52351</v>
      </c>
      <c r="C33676" t="s">
        <v>1047</v>
      </c>
      <c r="D33676" t="s">
        <v>1117</v>
      </c>
      <c r="E33676" t="s">
        <v>52352</v>
      </c>
      <c r="F33676" s="2" t="str">
        <f>HYPERLINK("http://www.otzar.org/book.asp?101957","פרקי אבות &lt;דורש לפרקים&gt;")</f>
        <v>פרקי אבות &lt;דורש לפרקים&gt;</v>
      </c>
    </row>
    <row r="33677" spans="1:6" x14ac:dyDescent="0.2">
      <c r="A33677" t="s">
        <v>52353</v>
      </c>
      <c r="B33677" t="s">
        <v>4606</v>
      </c>
      <c r="C33677" t="s">
        <v>37</v>
      </c>
      <c r="D33677" t="s">
        <v>14</v>
      </c>
      <c r="F33677" s="2" t="str">
        <f>HYPERLINK("http://www.otzar.org/book.asp?612424","פרקי אבות &lt;טוב טעם ודעת&gt;")</f>
        <v>פרקי אבות &lt;טוב טעם ודעת&gt;</v>
      </c>
    </row>
    <row r="33678" spans="1:6" x14ac:dyDescent="0.2">
      <c r="A33678" t="s">
        <v>52354</v>
      </c>
      <c r="B33678" t="s">
        <v>15767</v>
      </c>
      <c r="C33678" t="s">
        <v>433</v>
      </c>
      <c r="D33678" t="s">
        <v>260</v>
      </c>
      <c r="E33678" t="s">
        <v>84</v>
      </c>
      <c r="F33678" s="2" t="str">
        <f>HYPERLINK("http://www.otzar.org/book.asp?148531","פרקי אבות &lt;מתנת אבות&gt; - 2 כר'")</f>
        <v>פרקי אבות &lt;מתנת אבות&gt; - 2 כר'</v>
      </c>
    </row>
    <row r="33679" spans="1:6" x14ac:dyDescent="0.2">
      <c r="A33679" t="s">
        <v>52355</v>
      </c>
      <c r="B33679" t="s">
        <v>9316</v>
      </c>
      <c r="C33679" t="s">
        <v>23</v>
      </c>
      <c r="D33679" t="s">
        <v>5172</v>
      </c>
      <c r="E33679" t="s">
        <v>84</v>
      </c>
      <c r="F33679" s="2" t="str">
        <f>HYPERLINK("http://www.otzar.org/book.asp?606343","פרקי אבות במחיצת החפץ חיים - 2 כר'")</f>
        <v>פרקי אבות במחיצת החפץ חיים - 2 כר'</v>
      </c>
    </row>
    <row r="33680" spans="1:6" x14ac:dyDescent="0.2">
      <c r="A33680" t="s">
        <v>52356</v>
      </c>
      <c r="B33680" t="s">
        <v>9669</v>
      </c>
      <c r="C33680" t="s">
        <v>609</v>
      </c>
      <c r="D33680" t="s">
        <v>27</v>
      </c>
      <c r="E33680" t="s">
        <v>84</v>
      </c>
      <c r="F33680" s="2" t="str">
        <f>HYPERLINK("http://www.otzar.org/book.asp?6867","פרקי אבות העולם הקדמונים &lt;פאה בקמה&gt;")</f>
        <v>פרקי אבות העולם הקדמונים &lt;פאה בקמה&gt;</v>
      </c>
    </row>
    <row r="33681" spans="1:6" x14ac:dyDescent="0.2">
      <c r="A33681" t="s">
        <v>52357</v>
      </c>
      <c r="B33681" t="s">
        <v>20697</v>
      </c>
      <c r="C33681" t="s">
        <v>3205</v>
      </c>
      <c r="D33681" t="s">
        <v>260</v>
      </c>
      <c r="F33681" s="2" t="str">
        <f>HYPERLINK("http://www.otzar.org/book.asp?614411","פרקי אבות מפורשים")</f>
        <v>פרקי אבות מפורשים</v>
      </c>
    </row>
    <row r="33682" spans="1:6" x14ac:dyDescent="0.2">
      <c r="A33682" t="s">
        <v>52358</v>
      </c>
      <c r="B33682" t="s">
        <v>52359</v>
      </c>
      <c r="C33682" t="s">
        <v>438</v>
      </c>
      <c r="D33682" t="s">
        <v>412</v>
      </c>
      <c r="F33682" s="2" t="str">
        <f>HYPERLINK("http://www.otzar.org/book.asp?614554","פרקי אבות מתורגם ומפורש באנגלית")</f>
        <v>פרקי אבות מתורגם ומפורש באנגלית</v>
      </c>
    </row>
    <row r="33683" spans="1:6" x14ac:dyDescent="0.2">
      <c r="A33683" t="s">
        <v>52360</v>
      </c>
      <c r="B33683" t="s">
        <v>52361</v>
      </c>
      <c r="C33683" t="s">
        <v>129</v>
      </c>
      <c r="D33683" t="s">
        <v>52</v>
      </c>
      <c r="E33683" t="s">
        <v>84</v>
      </c>
      <c r="F33683" s="2" t="str">
        <f>HYPERLINK("http://www.otzar.org/book.asp?153852","פרקי אבות נשמת חיים, עגת אליהו")</f>
        <v>פרקי אבות נשמת חיים, עגת אליהו</v>
      </c>
    </row>
    <row r="33684" spans="1:6" x14ac:dyDescent="0.2">
      <c r="A33684" t="s">
        <v>52362</v>
      </c>
      <c r="B33684" t="s">
        <v>52363</v>
      </c>
      <c r="C33684" t="s">
        <v>800</v>
      </c>
      <c r="D33684" t="s">
        <v>283</v>
      </c>
      <c r="E33684" t="s">
        <v>84</v>
      </c>
      <c r="F33684" s="2" t="str">
        <f>HYPERLINK("http://www.otzar.org/book.asp?7281","פרקי אבות עם ארבעה פירושים מגאוני ארץ")</f>
        <v>פרקי אבות עם ארבעה פירושים מגאוני ארץ</v>
      </c>
    </row>
    <row r="33685" spans="1:6" x14ac:dyDescent="0.2">
      <c r="A33685" t="s">
        <v>52364</v>
      </c>
      <c r="B33685" t="s">
        <v>52365</v>
      </c>
      <c r="C33685" t="s">
        <v>129</v>
      </c>
      <c r="D33685" t="s">
        <v>14</v>
      </c>
      <c r="E33685" t="s">
        <v>84</v>
      </c>
      <c r="F33685" s="2" t="str">
        <f>HYPERLINK("http://www.otzar.org/book.asp?145392","פרקי אבות עם פירוש אדני פז")</f>
        <v>פרקי אבות עם פירוש אדני פז</v>
      </c>
    </row>
    <row r="33686" spans="1:6" x14ac:dyDescent="0.2">
      <c r="A33686" t="s">
        <v>52366</v>
      </c>
      <c r="B33686" t="s">
        <v>6363</v>
      </c>
      <c r="C33686" t="s">
        <v>51</v>
      </c>
      <c r="D33686" t="s">
        <v>852</v>
      </c>
      <c r="E33686" t="s">
        <v>84</v>
      </c>
      <c r="F33686" s="2" t="str">
        <f>HYPERLINK("http://www.otzar.org/book.asp?108424","פרקי אבות עם פירוש אמרי חמודות")</f>
        <v>פרקי אבות עם פירוש אמרי חמודות</v>
      </c>
    </row>
    <row r="33687" spans="1:6" x14ac:dyDescent="0.2">
      <c r="A33687" t="s">
        <v>52367</v>
      </c>
      <c r="B33687" t="s">
        <v>52368</v>
      </c>
      <c r="C33687" t="s">
        <v>1650</v>
      </c>
      <c r="D33687" t="s">
        <v>18380</v>
      </c>
      <c r="E33687" t="s">
        <v>84</v>
      </c>
      <c r="F33687" s="2" t="str">
        <f>HYPERLINK("http://www.otzar.org/book.asp?197689","פרקי אבות עם פירוש בגרמנית - 2 כר'")</f>
        <v>פרקי אבות עם פירוש בגרמנית - 2 כר'</v>
      </c>
    </row>
    <row r="33688" spans="1:6" x14ac:dyDescent="0.2">
      <c r="A33688" t="s">
        <v>52369</v>
      </c>
      <c r="B33688" t="s">
        <v>1308</v>
      </c>
      <c r="C33688" t="s">
        <v>286</v>
      </c>
      <c r="D33688" t="s">
        <v>1966</v>
      </c>
      <c r="E33688" t="s">
        <v>84</v>
      </c>
      <c r="F33688" s="2" t="str">
        <f>HYPERLINK("http://www.otzar.org/book.asp?149656","פרקי אבות עם פירוש זרוע ימין")</f>
        <v>פרקי אבות עם פירוש זרוע ימין</v>
      </c>
    </row>
    <row r="33689" spans="1:6" x14ac:dyDescent="0.2">
      <c r="A33689" t="s">
        <v>52370</v>
      </c>
      <c r="B33689" t="s">
        <v>52371</v>
      </c>
      <c r="C33689" t="s">
        <v>143</v>
      </c>
      <c r="D33689" t="s">
        <v>14</v>
      </c>
      <c r="E33689" t="s">
        <v>84</v>
      </c>
      <c r="F33689" s="2" t="str">
        <f>HYPERLINK("http://www.otzar.org/book.asp?152326","פרקי אבות עם פירוש מדרש דוד (בעברית וערבית) &lt;מכון הכתב&gt;")</f>
        <v>פרקי אבות עם פירוש מדרש דוד (בעברית וערבית) &lt;מכון הכתב&gt;</v>
      </c>
    </row>
    <row r="33690" spans="1:6" x14ac:dyDescent="0.2">
      <c r="A33690" t="s">
        <v>52372</v>
      </c>
      <c r="B33690" t="s">
        <v>52371</v>
      </c>
      <c r="C33690" t="s">
        <v>523</v>
      </c>
      <c r="D33690" t="s">
        <v>14</v>
      </c>
      <c r="E33690" t="s">
        <v>84</v>
      </c>
      <c r="F33690" s="2" t="str">
        <f>HYPERLINK("http://www.otzar.org/book.asp?152310","פרקי אבות עם פירוש מדרש דוד (בעברית וצרפתית)")</f>
        <v>פרקי אבות עם פירוש מדרש דוד (בעברית וצרפתית)</v>
      </c>
    </row>
    <row r="33691" spans="1:6" x14ac:dyDescent="0.2">
      <c r="A33691" t="s">
        <v>52373</v>
      </c>
      <c r="B33691" t="s">
        <v>52374</v>
      </c>
      <c r="C33691" t="s">
        <v>956</v>
      </c>
      <c r="D33691" t="s">
        <v>21</v>
      </c>
      <c r="E33691" t="s">
        <v>84</v>
      </c>
      <c r="F33691" s="2" t="str">
        <f>HYPERLINK("http://www.otzar.org/book.asp?196472","פרקי אבות עם פירוש")</f>
        <v>פרקי אבות עם פירוש</v>
      </c>
    </row>
    <row r="33692" spans="1:6" x14ac:dyDescent="0.2">
      <c r="A33692" t="s">
        <v>52375</v>
      </c>
      <c r="B33692" t="s">
        <v>52376</v>
      </c>
      <c r="C33692" t="s">
        <v>943</v>
      </c>
      <c r="D33692" t="s">
        <v>280</v>
      </c>
      <c r="E33692" t="s">
        <v>84</v>
      </c>
      <c r="F33692" s="2" t="str">
        <f>HYPERLINK("http://www.otzar.org/book.asp?172480","פרקי אבות עם רש""י ורבינו יונה")</f>
        <v>פרקי אבות עם רש"י ורבינו יונה</v>
      </c>
    </row>
    <row r="33693" spans="1:6" x14ac:dyDescent="0.2">
      <c r="A33693" t="s">
        <v>52377</v>
      </c>
      <c r="B33693" t="s">
        <v>52378</v>
      </c>
      <c r="C33693" t="s">
        <v>950</v>
      </c>
      <c r="D33693" t="s">
        <v>283</v>
      </c>
      <c r="E33693" t="s">
        <v>84</v>
      </c>
      <c r="F33693" s="2" t="str">
        <f>HYPERLINK("http://www.otzar.org/book.asp?51203","פרקי אבות עם שני ביאורים &lt;דברי דוד ושלמה, יד איש ימיני&gt;")</f>
        <v>פרקי אבות עם שני ביאורים &lt;דברי דוד ושלמה, יד איש ימיני&gt;</v>
      </c>
    </row>
    <row r="33694" spans="1:6" x14ac:dyDescent="0.2">
      <c r="A33694" t="s">
        <v>52379</v>
      </c>
      <c r="B33694" t="s">
        <v>52380</v>
      </c>
      <c r="C33694" t="s">
        <v>482</v>
      </c>
      <c r="D33694" t="s">
        <v>14</v>
      </c>
      <c r="E33694" t="s">
        <v>84</v>
      </c>
      <c r="F33694" s="2" t="str">
        <f>HYPERLINK("http://www.otzar.org/book.asp?174390","פרקי אבות עם שרח ערבי")</f>
        <v>פרקי אבות עם שרח ערבי</v>
      </c>
    </row>
    <row r="33695" spans="1:6" x14ac:dyDescent="0.2">
      <c r="A33695" t="s">
        <v>52381</v>
      </c>
      <c r="B33695" t="s">
        <v>52322</v>
      </c>
      <c r="C33695" t="s">
        <v>1650</v>
      </c>
      <c r="D33695" t="s">
        <v>225</v>
      </c>
      <c r="E33695" t="s">
        <v>84</v>
      </c>
      <c r="F33695" s="2" t="str">
        <f>HYPERLINK("http://www.otzar.org/book.asp?23779","פרקי אבות")</f>
        <v>פרקי אבות</v>
      </c>
    </row>
    <row r="33696" spans="1:6" x14ac:dyDescent="0.2">
      <c r="A33696" t="s">
        <v>52382</v>
      </c>
      <c r="B33696" t="s">
        <v>27568</v>
      </c>
      <c r="C33696" t="s">
        <v>4827</v>
      </c>
      <c r="D33696" t="s">
        <v>35729</v>
      </c>
      <c r="E33696" t="s">
        <v>104</v>
      </c>
      <c r="F33696" s="2" t="str">
        <f>HYPERLINK("http://www.otzar.org/book.asp?141988","פרקי אליהו")</f>
        <v>פרקי אליהו</v>
      </c>
    </row>
    <row r="33697" spans="1:6" x14ac:dyDescent="0.2">
      <c r="A33697" t="s">
        <v>52383</v>
      </c>
      <c r="B33697" t="s">
        <v>17563</v>
      </c>
      <c r="C33697" t="s">
        <v>313</v>
      </c>
      <c r="D33697" t="s">
        <v>14</v>
      </c>
      <c r="E33697" t="s">
        <v>241</v>
      </c>
      <c r="F33697" s="2" t="str">
        <f>HYPERLINK("http://www.otzar.org/book.asp?176156","פרקי אמונה &lt;שעורי דעת&gt; - א-ב")</f>
        <v>פרקי אמונה &lt;שעורי דעת&gt; - א-ב</v>
      </c>
    </row>
    <row r="33698" spans="1:6" x14ac:dyDescent="0.2">
      <c r="A33698" t="s">
        <v>52384</v>
      </c>
      <c r="B33698" t="s">
        <v>52385</v>
      </c>
      <c r="C33698" t="s">
        <v>20</v>
      </c>
      <c r="D33698" t="s">
        <v>14</v>
      </c>
      <c r="E33698" t="s">
        <v>140</v>
      </c>
      <c r="F33698" s="2" t="str">
        <f>HYPERLINK("http://www.otzar.org/book.asp?628582","פרקי אמונה בטחון")</f>
        <v>פרקי אמונה בטחון</v>
      </c>
    </row>
    <row r="33699" spans="1:6" x14ac:dyDescent="0.2">
      <c r="A33699" t="s">
        <v>52386</v>
      </c>
      <c r="B33699" t="s">
        <v>52386</v>
      </c>
      <c r="C33699" t="s">
        <v>2008</v>
      </c>
      <c r="D33699" t="s">
        <v>20844</v>
      </c>
      <c r="E33699" t="s">
        <v>241</v>
      </c>
      <c r="F33699" s="2" t="str">
        <f>HYPERLINK("http://www.otzar.org/book.asp?197545","פרקי אמונה")</f>
        <v>פרקי אמונה</v>
      </c>
    </row>
    <row r="33700" spans="1:6" x14ac:dyDescent="0.2">
      <c r="A33700" t="s">
        <v>52386</v>
      </c>
      <c r="B33700" t="s">
        <v>5898</v>
      </c>
      <c r="D33700" t="s">
        <v>1156</v>
      </c>
      <c r="E33700" t="s">
        <v>241</v>
      </c>
      <c r="F33700" s="2" t="str">
        <f>HYPERLINK("http://www.otzar.org/book.asp?621645","פרקי אמונה")</f>
        <v>פרקי אמונה</v>
      </c>
    </row>
    <row r="33701" spans="1:6" x14ac:dyDescent="0.2">
      <c r="A33701" t="s">
        <v>52387</v>
      </c>
      <c r="B33701" t="s">
        <v>4180</v>
      </c>
      <c r="C33701" t="s">
        <v>111</v>
      </c>
      <c r="D33701" t="s">
        <v>412</v>
      </c>
      <c r="E33701" t="s">
        <v>144</v>
      </c>
      <c r="F33701" s="2" t="str">
        <f>HYPERLINK("http://www.otzar.org/book.asp?623401","פרקי ברירה")</f>
        <v>פרקי ברירה</v>
      </c>
    </row>
    <row r="33702" spans="1:6" x14ac:dyDescent="0.2">
      <c r="A33702" t="s">
        <v>52388</v>
      </c>
      <c r="B33702" t="s">
        <v>52389</v>
      </c>
      <c r="C33702" t="s">
        <v>129</v>
      </c>
      <c r="D33702" t="s">
        <v>6151</v>
      </c>
      <c r="E33702" t="s">
        <v>104</v>
      </c>
      <c r="F33702" s="2" t="str">
        <f>HYPERLINK("http://www.otzar.org/book.asp?167003","פרקי גבורה")</f>
        <v>פרקי גבורה</v>
      </c>
    </row>
    <row r="33703" spans="1:6" x14ac:dyDescent="0.2">
      <c r="A33703" t="s">
        <v>52390</v>
      </c>
      <c r="B33703" t="s">
        <v>52391</v>
      </c>
      <c r="C33703" t="s">
        <v>433</v>
      </c>
      <c r="E33703" t="s">
        <v>144</v>
      </c>
      <c r="F33703" s="2" t="str">
        <f>HYPERLINK("http://www.otzar.org/book.asp?197500","פרקי גמרא - אלו מציאות")</f>
        <v>פרקי גמרא - אלו מציאות</v>
      </c>
    </row>
    <row r="33704" spans="1:6" x14ac:dyDescent="0.2">
      <c r="A33704" t="s">
        <v>52392</v>
      </c>
      <c r="B33704" t="s">
        <v>18889</v>
      </c>
      <c r="C33704" t="s">
        <v>1246</v>
      </c>
      <c r="D33704" t="s">
        <v>3208</v>
      </c>
      <c r="E33704" t="s">
        <v>15</v>
      </c>
      <c r="F33704" s="2" t="str">
        <f>HYPERLINK("http://www.otzar.org/book.asp?196015","פרקי דינים")</f>
        <v>פרקי דינים</v>
      </c>
    </row>
    <row r="33705" spans="1:6" x14ac:dyDescent="0.2">
      <c r="A33705" t="s">
        <v>52393</v>
      </c>
      <c r="B33705" t="s">
        <v>52394</v>
      </c>
      <c r="C33705" t="s">
        <v>1310</v>
      </c>
      <c r="D33705" t="s">
        <v>267</v>
      </c>
      <c r="E33705" t="s">
        <v>43</v>
      </c>
      <c r="F33705" s="2" t="str">
        <f>HYPERLINK("http://www.otzar.org/book.asp?177215","פרקי דרבי אליעזר &lt;בית הגדול&gt;")</f>
        <v>פרקי דרבי אליעזר &lt;בית הגדול&gt;</v>
      </c>
    </row>
    <row r="33706" spans="1:6" x14ac:dyDescent="0.2">
      <c r="A33706" t="s">
        <v>52395</v>
      </c>
      <c r="B33706" t="s">
        <v>776</v>
      </c>
      <c r="C33706" t="s">
        <v>244</v>
      </c>
      <c r="D33706" t="s">
        <v>27</v>
      </c>
      <c r="E33706" t="s">
        <v>43</v>
      </c>
      <c r="F33706" s="2" t="str">
        <f>HYPERLINK("http://www.otzar.org/book.asp?608558","פרקי דרבי אליעזר עם פירוש טוב עין")</f>
        <v>פרקי דרבי אליעזר עם פירוש טוב עין</v>
      </c>
    </row>
    <row r="33707" spans="1:6" x14ac:dyDescent="0.2">
      <c r="A33707" t="s">
        <v>52396</v>
      </c>
      <c r="B33707" t="s">
        <v>52397</v>
      </c>
      <c r="C33707" t="s">
        <v>581</v>
      </c>
      <c r="D33707" t="s">
        <v>691</v>
      </c>
      <c r="E33707" t="s">
        <v>84</v>
      </c>
      <c r="F33707" s="2" t="str">
        <f>HYPERLINK("http://www.otzar.org/book.asp?106989","פרקי הגיון")</f>
        <v>פרקי הגיון</v>
      </c>
    </row>
    <row r="33708" spans="1:6" x14ac:dyDescent="0.2">
      <c r="A33708" t="s">
        <v>52398</v>
      </c>
      <c r="B33708" t="s">
        <v>52399</v>
      </c>
      <c r="C33708" t="s">
        <v>51</v>
      </c>
      <c r="D33708" t="s">
        <v>52</v>
      </c>
      <c r="E33708" t="s">
        <v>241</v>
      </c>
      <c r="F33708" s="2" t="str">
        <f>HYPERLINK("http://www.otzar.org/book.asp?107377","פרקי הדרכה לבן תורה")</f>
        <v>פרקי הדרכה לבן תורה</v>
      </c>
    </row>
    <row r="33709" spans="1:6" x14ac:dyDescent="0.2">
      <c r="A33709" t="s">
        <v>52400</v>
      </c>
      <c r="B33709" t="s">
        <v>39758</v>
      </c>
      <c r="C33709" t="s">
        <v>111</v>
      </c>
      <c r="D33709" t="s">
        <v>14</v>
      </c>
      <c r="E33709" t="s">
        <v>241</v>
      </c>
      <c r="F33709" s="2" t="str">
        <f>HYPERLINK("http://www.otzar.org/book.asp?627522","פרקי הדרכה")</f>
        <v>פרקי הדרכה</v>
      </c>
    </row>
    <row r="33710" spans="1:6" x14ac:dyDescent="0.2">
      <c r="A33710" t="s">
        <v>52401</v>
      </c>
      <c r="B33710" t="s">
        <v>52402</v>
      </c>
      <c r="C33710" t="s">
        <v>1268</v>
      </c>
      <c r="D33710" t="s">
        <v>14</v>
      </c>
      <c r="F33710" s="2" t="str">
        <f>HYPERLINK("http://www.otzar.org/book.asp?614415","פרקי הלכה על הלכות כבוד חברים")</f>
        <v>פרקי הלכה על הלכות כבוד חברים</v>
      </c>
    </row>
    <row r="33711" spans="1:6" x14ac:dyDescent="0.2">
      <c r="A33711" t="s">
        <v>52403</v>
      </c>
      <c r="B33711" t="s">
        <v>52404</v>
      </c>
      <c r="C33711" t="s">
        <v>896</v>
      </c>
      <c r="D33711" t="s">
        <v>726</v>
      </c>
      <c r="E33711" t="s">
        <v>2840</v>
      </c>
      <c r="F33711" s="2" t="str">
        <f>HYPERLINK("http://www.otzar.org/book.asp?102163","פרקי הנאזר")</f>
        <v>פרקי הנאזר</v>
      </c>
    </row>
    <row r="33712" spans="1:6" x14ac:dyDescent="0.2">
      <c r="A33712" t="s">
        <v>52405</v>
      </c>
      <c r="B33712" t="s">
        <v>52406</v>
      </c>
      <c r="C33712" t="s">
        <v>940</v>
      </c>
      <c r="D33712" t="s">
        <v>27</v>
      </c>
      <c r="E33712" t="s">
        <v>104</v>
      </c>
      <c r="F33712" s="2" t="str">
        <f>HYPERLINK("http://www.otzar.org/book.asp?175851","פרקי הנהגת הבית - א")</f>
        <v>פרקי הנהגת הבית - א</v>
      </c>
    </row>
    <row r="33713" spans="1:6" x14ac:dyDescent="0.2">
      <c r="A33713" t="s">
        <v>52407</v>
      </c>
      <c r="B33713" t="s">
        <v>52408</v>
      </c>
      <c r="C33713" t="s">
        <v>442</v>
      </c>
      <c r="D33713" t="s">
        <v>260</v>
      </c>
      <c r="E33713" t="s">
        <v>104</v>
      </c>
      <c r="F33713" s="2" t="str">
        <f>HYPERLINK("http://www.otzar.org/book.asp?170560","פרקי הסתכלות בטבע")</f>
        <v>פרקי הסתכלות בטבע</v>
      </c>
    </row>
    <row r="33714" spans="1:6" x14ac:dyDescent="0.2">
      <c r="A33714" t="s">
        <v>52409</v>
      </c>
      <c r="B33714" t="s">
        <v>23540</v>
      </c>
      <c r="C33714" t="s">
        <v>775</v>
      </c>
      <c r="D33714" t="s">
        <v>52</v>
      </c>
      <c r="E33714" t="s">
        <v>52410</v>
      </c>
      <c r="F33714" s="2" t="str">
        <f>HYPERLINK("http://www.otzar.org/book.asp?615700","פרקי השנה - אוסף מאמרים")</f>
        <v>פרקי השנה - אוסף מאמרים</v>
      </c>
    </row>
    <row r="33715" spans="1:6" x14ac:dyDescent="0.2">
      <c r="A33715" t="s">
        <v>52411</v>
      </c>
      <c r="B33715" t="s">
        <v>52412</v>
      </c>
      <c r="C33715" t="s">
        <v>454</v>
      </c>
      <c r="D33715" t="s">
        <v>1907</v>
      </c>
      <c r="E33715" t="s">
        <v>119</v>
      </c>
      <c r="F33715" s="2" t="str">
        <f>HYPERLINK("http://www.otzar.org/book.asp?145413","פרקי ולוזין - מאתיים שנה ליסוד אם הישיבות")</f>
        <v>פרקי ולוזין - מאתיים שנה ליסוד אם הישיבות</v>
      </c>
    </row>
    <row r="33716" spans="1:6" x14ac:dyDescent="0.2">
      <c r="A33716" t="s">
        <v>52413</v>
      </c>
      <c r="B33716" t="s">
        <v>52414</v>
      </c>
      <c r="C33716" t="s">
        <v>1619</v>
      </c>
      <c r="D33716" t="s">
        <v>216</v>
      </c>
      <c r="E33716" t="s">
        <v>199</v>
      </c>
      <c r="F33716" s="2" t="str">
        <f>HYPERLINK("http://www.otzar.org/book.asp?156810","פרקי חזון ומעש")</f>
        <v>פרקי חזון ומעש</v>
      </c>
    </row>
    <row r="33717" spans="1:6" x14ac:dyDescent="0.2">
      <c r="A33717" t="s">
        <v>52415</v>
      </c>
      <c r="B33717" t="s">
        <v>32181</v>
      </c>
      <c r="C33717" t="s">
        <v>20</v>
      </c>
      <c r="D33717" t="s">
        <v>14</v>
      </c>
      <c r="E33717" t="s">
        <v>199</v>
      </c>
      <c r="F33717" s="2" t="str">
        <f>HYPERLINK("http://www.otzar.org/book.asp?143112","פרקי חיים &lt;רבי יחזקאל אברמסקי זצ""ל&gt;")</f>
        <v>פרקי חיים &lt;רבי יחזקאל אברמסקי זצ"ל&gt;</v>
      </c>
    </row>
    <row r="33718" spans="1:6" x14ac:dyDescent="0.2">
      <c r="A33718" t="s">
        <v>52416</v>
      </c>
      <c r="B33718" t="s">
        <v>552</v>
      </c>
      <c r="C33718" t="s">
        <v>940</v>
      </c>
      <c r="D33718" t="s">
        <v>19282</v>
      </c>
      <c r="E33718" t="s">
        <v>733</v>
      </c>
      <c r="F33718" s="2" t="str">
        <f>HYPERLINK("http://www.otzar.org/book.asp?61001","פרקי חיים &lt;ר' חיים נטעי&gt;")</f>
        <v>פרקי חיים &lt;ר' חיים נטעי&gt;</v>
      </c>
    </row>
    <row r="33719" spans="1:6" x14ac:dyDescent="0.2">
      <c r="A33719" t="s">
        <v>52417</v>
      </c>
      <c r="B33719" t="s">
        <v>52418</v>
      </c>
      <c r="C33719" t="s">
        <v>624</v>
      </c>
      <c r="D33719" t="s">
        <v>2458</v>
      </c>
      <c r="E33719" t="s">
        <v>733</v>
      </c>
      <c r="F33719" s="2" t="str">
        <f>HYPERLINK("http://www.otzar.org/book.asp?64322","פרקי חיים")</f>
        <v>פרקי חיים</v>
      </c>
    </row>
    <row r="33720" spans="1:6" x14ac:dyDescent="0.2">
      <c r="A33720" t="s">
        <v>52419</v>
      </c>
      <c r="B33720" t="s">
        <v>6807</v>
      </c>
      <c r="C33720" t="s">
        <v>20</v>
      </c>
      <c r="D33720" t="s">
        <v>90</v>
      </c>
      <c r="E33720" t="s">
        <v>104</v>
      </c>
      <c r="F33720" s="2" t="str">
        <f>HYPERLINK("http://www.otzar.org/book.asp?194180","פרקי חינוך")</f>
        <v>פרקי חינוך</v>
      </c>
    </row>
    <row r="33721" spans="1:6" x14ac:dyDescent="0.2">
      <c r="A33721" t="s">
        <v>52420</v>
      </c>
      <c r="B33721" t="s">
        <v>34723</v>
      </c>
      <c r="C33721" t="s">
        <v>940</v>
      </c>
      <c r="D33721" t="s">
        <v>118</v>
      </c>
      <c r="E33721" t="s">
        <v>32649</v>
      </c>
      <c r="F33721" s="2" t="str">
        <f>HYPERLINK("http://www.otzar.org/book.asp?14481","פרקי מבוא לפירוש הכתב והקבלה על התורה")</f>
        <v>פרקי מבוא לפירוש הכתב והקבלה על התורה</v>
      </c>
    </row>
    <row r="33722" spans="1:6" x14ac:dyDescent="0.2">
      <c r="A33722" t="s">
        <v>52421</v>
      </c>
      <c r="B33722" t="s">
        <v>3716</v>
      </c>
      <c r="C33722" t="s">
        <v>63</v>
      </c>
      <c r="D33722" t="s">
        <v>14</v>
      </c>
      <c r="E33722" t="s">
        <v>47075</v>
      </c>
      <c r="F33722" s="2" t="str">
        <f>HYPERLINK("http://www.otzar.org/book.asp?12034","פרקי מבוא לתורת הרוגאצ'ובי")</f>
        <v>פרקי מבוא לתורת הרוגאצ'ובי</v>
      </c>
    </row>
    <row r="33723" spans="1:6" x14ac:dyDescent="0.2">
      <c r="A33723" t="s">
        <v>52422</v>
      </c>
      <c r="B33723" t="s">
        <v>17563</v>
      </c>
      <c r="C33723" t="s">
        <v>383</v>
      </c>
      <c r="D33723" t="s">
        <v>16390</v>
      </c>
      <c r="E33723" t="s">
        <v>130</v>
      </c>
      <c r="F33723" s="2" t="str">
        <f>HYPERLINK("http://www.otzar.org/book.asp?175871","פרקי מועד - 2 כר'")</f>
        <v>פרקי מועד - 2 כר'</v>
      </c>
    </row>
    <row r="33724" spans="1:6" x14ac:dyDescent="0.2">
      <c r="A33724" t="s">
        <v>52423</v>
      </c>
      <c r="B33724" t="s">
        <v>16352</v>
      </c>
      <c r="C33724" t="s">
        <v>767</v>
      </c>
      <c r="D33724" t="s">
        <v>14</v>
      </c>
      <c r="E33724" t="s">
        <v>241</v>
      </c>
      <c r="F33724" s="2" t="str">
        <f>HYPERLINK("http://www.otzar.org/book.asp?50149","פרקי מחשבה - א")</f>
        <v>פרקי מחשבה - א</v>
      </c>
    </row>
    <row r="33725" spans="1:6" x14ac:dyDescent="0.2">
      <c r="A33725" t="s">
        <v>52424</v>
      </c>
      <c r="B33725" t="s">
        <v>10621</v>
      </c>
      <c r="C33725" t="s">
        <v>767</v>
      </c>
      <c r="D33725" t="s">
        <v>14</v>
      </c>
      <c r="E33725" t="s">
        <v>467</v>
      </c>
      <c r="F33725" s="2" t="str">
        <f>HYPERLINK("http://www.otzar.org/book.asp?63327","פרקי מחשבה - 7 כר'")</f>
        <v>פרקי מחשבה - 7 כר'</v>
      </c>
    </row>
    <row r="33726" spans="1:6" x14ac:dyDescent="0.2">
      <c r="A33726" t="s">
        <v>52425</v>
      </c>
      <c r="B33726" t="s">
        <v>35954</v>
      </c>
      <c r="C33726" t="s">
        <v>1246</v>
      </c>
      <c r="D33726" t="s">
        <v>27</v>
      </c>
      <c r="F33726" s="2" t="str">
        <f>HYPERLINK("http://www.otzar.org/book.asp?612170","פרקי מנהג והלכה")</f>
        <v>פרקי מנהג והלכה</v>
      </c>
    </row>
    <row r="33727" spans="1:6" x14ac:dyDescent="0.2">
      <c r="A33727" t="s">
        <v>52426</v>
      </c>
      <c r="B33727" t="s">
        <v>9502</v>
      </c>
      <c r="C33727" t="s">
        <v>624</v>
      </c>
      <c r="D33727" t="s">
        <v>216</v>
      </c>
      <c r="E33727" t="s">
        <v>579</v>
      </c>
      <c r="F33727" s="2" t="str">
        <f>HYPERLINK("http://www.otzar.org/book.asp?64106","פרקי מקרא")</f>
        <v>פרקי מקרא</v>
      </c>
    </row>
    <row r="33728" spans="1:6" x14ac:dyDescent="0.2">
      <c r="A33728" t="s">
        <v>52427</v>
      </c>
      <c r="B33728" t="s">
        <v>28482</v>
      </c>
      <c r="C33728" t="s">
        <v>176</v>
      </c>
      <c r="D33728" t="s">
        <v>14</v>
      </c>
      <c r="E33728" t="s">
        <v>84</v>
      </c>
      <c r="F33728" s="2" t="str">
        <f>HYPERLINK("http://www.otzar.org/book.asp?152228","פרקי משה &lt;מכון הכתב&gt;")</f>
        <v>פרקי משה &lt;מכון הכתב&gt;</v>
      </c>
    </row>
    <row r="33729" spans="1:6" x14ac:dyDescent="0.2">
      <c r="A33729" t="s">
        <v>52428</v>
      </c>
      <c r="B33729" t="s">
        <v>28482</v>
      </c>
      <c r="C33729" t="s">
        <v>16346</v>
      </c>
      <c r="D33729" t="s">
        <v>76</v>
      </c>
      <c r="E33729" t="s">
        <v>84</v>
      </c>
      <c r="F33729" s="2" t="str">
        <f>HYPERLINK("http://www.otzar.org/book.asp?104325","פרקי משה")</f>
        <v>פרקי משה</v>
      </c>
    </row>
    <row r="33730" spans="1:6" x14ac:dyDescent="0.2">
      <c r="A33730" t="s">
        <v>52428</v>
      </c>
      <c r="B33730" t="s">
        <v>1320</v>
      </c>
      <c r="C33730" t="s">
        <v>282</v>
      </c>
      <c r="D33730" t="s">
        <v>1279</v>
      </c>
      <c r="E33730" t="s">
        <v>213</v>
      </c>
      <c r="F33730" s="2" t="str">
        <f>HYPERLINK("http://www.otzar.org/book.asp?102162","פרקי משה")</f>
        <v>פרקי משה</v>
      </c>
    </row>
    <row r="33731" spans="1:6" x14ac:dyDescent="0.2">
      <c r="A33731" t="s">
        <v>52429</v>
      </c>
      <c r="B33731" t="s">
        <v>7403</v>
      </c>
      <c r="C33731" t="s">
        <v>20</v>
      </c>
      <c r="D33731" t="s">
        <v>14</v>
      </c>
      <c r="E33731" t="s">
        <v>25967</v>
      </c>
      <c r="F33731" s="2" t="str">
        <f>HYPERLINK("http://www.otzar.org/book.asp?626395","פרקי משניות ליארצייט בביאור ע""ט")</f>
        <v>פרקי משניות ליארצייט בביאור ע"ט</v>
      </c>
    </row>
    <row r="33732" spans="1:6" x14ac:dyDescent="0.2">
      <c r="A33732" t="s">
        <v>52430</v>
      </c>
      <c r="B33732" t="s">
        <v>17563</v>
      </c>
      <c r="C33732" t="s">
        <v>143</v>
      </c>
      <c r="D33732" t="s">
        <v>16390</v>
      </c>
      <c r="E33732" t="s">
        <v>2199</v>
      </c>
      <c r="F33732" s="2" t="str">
        <f>HYPERLINK("http://www.otzar.org/book.asp?176157","פרקי עיון - מכות")</f>
        <v>פרקי עיון - מכות</v>
      </c>
    </row>
    <row r="33733" spans="1:6" x14ac:dyDescent="0.2">
      <c r="A33733" t="s">
        <v>52431</v>
      </c>
      <c r="B33733" t="s">
        <v>1149</v>
      </c>
      <c r="C33733" t="s">
        <v>1150</v>
      </c>
      <c r="D33733" t="s">
        <v>2295</v>
      </c>
      <c r="E33733" t="s">
        <v>43</v>
      </c>
      <c r="F33733" s="2" t="str">
        <f>HYPERLINK("http://www.otzar.org/book.asp?7311","פרקי רבי אליעזר &lt;עם ביאור הרד""ל&gt;")</f>
        <v>פרקי רבי אליעזר &lt;עם ביאור הרד"ל&gt;</v>
      </c>
    </row>
    <row r="33734" spans="1:6" x14ac:dyDescent="0.2">
      <c r="A33734" t="s">
        <v>52432</v>
      </c>
      <c r="B33734" t="s">
        <v>52433</v>
      </c>
      <c r="C33734" t="s">
        <v>38383</v>
      </c>
      <c r="D33734" t="s">
        <v>1490</v>
      </c>
      <c r="E33734" t="s">
        <v>43</v>
      </c>
      <c r="F33734" s="2" t="str">
        <f>HYPERLINK("http://www.otzar.org/book.asp?24636","פרקי רבי אליעזר &lt;דפו""ר&gt;")</f>
        <v>פרקי רבי אליעזר &lt;דפו"ר&gt;</v>
      </c>
    </row>
    <row r="33735" spans="1:6" x14ac:dyDescent="0.2">
      <c r="A33735" t="s">
        <v>52434</v>
      </c>
      <c r="B33735" t="s">
        <v>52435</v>
      </c>
      <c r="C33735" t="s">
        <v>30887</v>
      </c>
      <c r="D33735" t="s">
        <v>19871</v>
      </c>
      <c r="F33735" s="2" t="str">
        <f>HYPERLINK("http://www.otzar.org/book.asp?170151","פרקי רבי אליעזר")</f>
        <v>פרקי רבי אליעזר</v>
      </c>
    </row>
    <row r="33736" spans="1:6" x14ac:dyDescent="0.2">
      <c r="A33736" t="s">
        <v>52434</v>
      </c>
      <c r="B33736" t="s">
        <v>52436</v>
      </c>
      <c r="C33736" t="s">
        <v>1278</v>
      </c>
      <c r="D33736" t="s">
        <v>1279</v>
      </c>
      <c r="E33736" t="s">
        <v>43</v>
      </c>
      <c r="F33736" s="2" t="str">
        <f>HYPERLINK("http://www.otzar.org/book.asp?11764","פרקי רבי אליעזר")</f>
        <v>פרקי רבי אליעזר</v>
      </c>
    </row>
    <row r="33737" spans="1:6" x14ac:dyDescent="0.2">
      <c r="A33737" t="s">
        <v>52434</v>
      </c>
      <c r="B33737" t="s">
        <v>52437</v>
      </c>
      <c r="C33737" t="s">
        <v>603</v>
      </c>
      <c r="D33737" t="s">
        <v>283</v>
      </c>
      <c r="E33737" t="s">
        <v>43</v>
      </c>
      <c r="F33737" s="2" t="str">
        <f>HYPERLINK("http://www.otzar.org/book.asp?19421","פרקי רבי אליעזר")</f>
        <v>פרקי רבי אליעזר</v>
      </c>
    </row>
    <row r="33738" spans="1:6" x14ac:dyDescent="0.2">
      <c r="A33738" t="s">
        <v>52438</v>
      </c>
      <c r="B33738" t="s">
        <v>10006</v>
      </c>
      <c r="C33738" t="s">
        <v>433</v>
      </c>
      <c r="D33738" t="s">
        <v>27</v>
      </c>
      <c r="E33738" t="s">
        <v>119</v>
      </c>
      <c r="F33738" s="2" t="str">
        <f>HYPERLINK("http://www.otzar.org/book.asp?151588","פרקי שואה")</f>
        <v>פרקי שואה</v>
      </c>
    </row>
    <row r="33739" spans="1:6" x14ac:dyDescent="0.2">
      <c r="A33739" t="s">
        <v>52439</v>
      </c>
      <c r="B33739" t="s">
        <v>52440</v>
      </c>
      <c r="C33739" t="s">
        <v>44018</v>
      </c>
      <c r="D33739" t="s">
        <v>1411</v>
      </c>
      <c r="E33739" t="s">
        <v>43</v>
      </c>
      <c r="F33739" s="2" t="str">
        <f>HYPERLINK("http://www.otzar.org/book.asp?104487","פרקי שירה &lt;מספרים תהלות ה'&gt;")</f>
        <v>פרקי שירה &lt;מספרים תהלות ה'&gt;</v>
      </c>
    </row>
    <row r="33740" spans="1:6" x14ac:dyDescent="0.2">
      <c r="A33740" t="s">
        <v>52441</v>
      </c>
      <c r="B33740" t="s">
        <v>52442</v>
      </c>
      <c r="C33740" t="s">
        <v>40873</v>
      </c>
      <c r="D33740" t="s">
        <v>49</v>
      </c>
      <c r="E33740" t="s">
        <v>43</v>
      </c>
      <c r="F33740" s="2" t="str">
        <f>HYPERLINK("http://www.otzar.org/book.asp?149999","פרקי שירה &lt;שיח יצחק - שער שמעון&gt;")</f>
        <v>פרקי שירה &lt;שיח יצחק - שער שמעון&gt;</v>
      </c>
    </row>
    <row r="33741" spans="1:6" x14ac:dyDescent="0.2">
      <c r="A33741" t="s">
        <v>52443</v>
      </c>
      <c r="B33741" t="s">
        <v>52444</v>
      </c>
      <c r="C33741" t="s">
        <v>44018</v>
      </c>
      <c r="D33741" t="s">
        <v>1411</v>
      </c>
      <c r="E33741" t="s">
        <v>43</v>
      </c>
      <c r="F33741" s="2" t="str">
        <f>HYPERLINK("http://www.otzar.org/book.asp?83984","פרקי שירה")</f>
        <v>פרקי שירה</v>
      </c>
    </row>
    <row r="33742" spans="1:6" x14ac:dyDescent="0.2">
      <c r="A33742" t="s">
        <v>52445</v>
      </c>
      <c r="B33742" t="s">
        <v>52446</v>
      </c>
      <c r="C33742" t="s">
        <v>37</v>
      </c>
      <c r="D33742" t="s">
        <v>4027</v>
      </c>
      <c r="F33742" s="2" t="str">
        <f>HYPERLINK("http://www.otzar.org/book.asp?609018","פרקי תורה ומוסר")</f>
        <v>פרקי תורה ומוסר</v>
      </c>
    </row>
    <row r="33743" spans="1:6" x14ac:dyDescent="0.2">
      <c r="A33743" t="s">
        <v>52447</v>
      </c>
      <c r="B33743" t="s">
        <v>17563</v>
      </c>
      <c r="C33743" t="s">
        <v>989</v>
      </c>
      <c r="D33743" t="s">
        <v>16390</v>
      </c>
      <c r="E33743" t="s">
        <v>158</v>
      </c>
      <c r="F33743" s="2" t="str">
        <f>HYPERLINK("http://www.otzar.org/book.asp?85700","פרקי תורה")</f>
        <v>פרקי תורה</v>
      </c>
    </row>
    <row r="33744" spans="1:6" x14ac:dyDescent="0.2">
      <c r="A33744" t="s">
        <v>52448</v>
      </c>
      <c r="B33744" t="s">
        <v>46748</v>
      </c>
      <c r="C33744" t="s">
        <v>919</v>
      </c>
      <c r="D33744" t="s">
        <v>14</v>
      </c>
      <c r="E33744" t="s">
        <v>15</v>
      </c>
      <c r="F33744" s="2" t="str">
        <f>HYPERLINK("http://www.otzar.org/book.asp?171066","פרקים  נוספים מספר הערבות והקבלנות")</f>
        <v>פרקים  נוספים מספר הערבות והקבלנות</v>
      </c>
    </row>
    <row r="33745" spans="1:6" x14ac:dyDescent="0.2">
      <c r="A33745" t="s">
        <v>52449</v>
      </c>
      <c r="B33745" t="s">
        <v>9298</v>
      </c>
      <c r="C33745" t="s">
        <v>1570</v>
      </c>
      <c r="D33745" t="s">
        <v>412</v>
      </c>
      <c r="E33745" t="s">
        <v>579</v>
      </c>
      <c r="F33745" s="2" t="str">
        <f>HYPERLINK("http://www.otzar.org/book.asp?14915","פרקים בהוראה")</f>
        <v>פרקים בהוראה</v>
      </c>
    </row>
    <row r="33746" spans="1:6" x14ac:dyDescent="0.2">
      <c r="A33746" t="s">
        <v>52450</v>
      </c>
      <c r="B33746" t="s">
        <v>50788</v>
      </c>
      <c r="C33746" t="s">
        <v>725</v>
      </c>
      <c r="D33746" t="s">
        <v>27</v>
      </c>
      <c r="E33746" t="s">
        <v>241</v>
      </c>
      <c r="F33746" s="2" t="str">
        <f>HYPERLINK("http://www.otzar.org/book.asp?12165","פרקים בהצלחה")</f>
        <v>פרקים בהצלחה</v>
      </c>
    </row>
    <row r="33747" spans="1:6" x14ac:dyDescent="0.2">
      <c r="A33747" t="s">
        <v>52451</v>
      </c>
      <c r="B33747" t="s">
        <v>39379</v>
      </c>
      <c r="C33747" t="s">
        <v>20</v>
      </c>
      <c r="D33747" t="s">
        <v>1153</v>
      </c>
      <c r="E33747" t="s">
        <v>104</v>
      </c>
      <c r="F33747" s="2" t="str">
        <f>HYPERLINK("http://www.otzar.org/book.asp?196514","פרקים במורשת יהדות תימן")</f>
        <v>פרקים במורשת יהדות תימן</v>
      </c>
    </row>
    <row r="33748" spans="1:6" x14ac:dyDescent="0.2">
      <c r="A33748" t="s">
        <v>52452</v>
      </c>
      <c r="B33748" t="s">
        <v>3716</v>
      </c>
      <c r="C33748" t="s">
        <v>1619</v>
      </c>
      <c r="D33748" t="s">
        <v>14</v>
      </c>
      <c r="E33748" t="s">
        <v>140</v>
      </c>
      <c r="F33748" s="2" t="str">
        <f>HYPERLINK("http://www.otzar.org/book.asp?150141","פרקים במחשבת החסידות")</f>
        <v>פרקים במחשבת החסידות</v>
      </c>
    </row>
    <row r="33749" spans="1:6" x14ac:dyDescent="0.2">
      <c r="A33749" t="s">
        <v>52453</v>
      </c>
      <c r="B33749" t="s">
        <v>3716</v>
      </c>
      <c r="C33749" t="s">
        <v>956</v>
      </c>
      <c r="D33749" t="s">
        <v>14</v>
      </c>
      <c r="E33749" t="s">
        <v>140</v>
      </c>
      <c r="F33749" s="2" t="str">
        <f>HYPERLINK("http://www.otzar.org/book.asp?150194","פרקים במשנת החסידות")</f>
        <v>פרקים במשנת החסידות</v>
      </c>
    </row>
    <row r="33750" spans="1:6" x14ac:dyDescent="0.2">
      <c r="A33750" t="s">
        <v>52454</v>
      </c>
      <c r="B33750" t="s">
        <v>3299</v>
      </c>
      <c r="C33750" t="s">
        <v>129</v>
      </c>
      <c r="D33750" t="s">
        <v>52</v>
      </c>
      <c r="E33750" t="s">
        <v>104</v>
      </c>
      <c r="F33750" s="2" t="str">
        <f>HYPERLINK("http://www.otzar.org/book.asp?156713","פרקים במשנת מרנא החתם  סופר  - תורת החינוך")</f>
        <v>פרקים במשנת מרנא החתם  סופר  - תורת החינוך</v>
      </c>
    </row>
    <row r="33751" spans="1:6" x14ac:dyDescent="0.2">
      <c r="A33751" t="s">
        <v>52455</v>
      </c>
      <c r="B33751" t="s">
        <v>7903</v>
      </c>
      <c r="C33751" t="s">
        <v>1388</v>
      </c>
      <c r="D33751" t="s">
        <v>216</v>
      </c>
      <c r="E33751" t="s">
        <v>241</v>
      </c>
      <c r="F33751" s="2" t="str">
        <f>HYPERLINK("http://www.otzar.org/book.asp?144916","פרקים במשנתו של המהר""ל מפראג")</f>
        <v>פרקים במשנתו של המהר"ל מפראג</v>
      </c>
    </row>
    <row r="33752" spans="1:6" x14ac:dyDescent="0.2">
      <c r="A33752" t="s">
        <v>52456</v>
      </c>
      <c r="B33752" t="s">
        <v>52457</v>
      </c>
      <c r="C33752" t="s">
        <v>106</v>
      </c>
      <c r="D33752" t="s">
        <v>14</v>
      </c>
      <c r="E33752" t="s">
        <v>104</v>
      </c>
      <c r="F33752" s="2" t="str">
        <f>HYPERLINK("http://www.otzar.org/book.asp?143765","פרקים בפתולוגיה בתלמוד ובנושאי כליו")</f>
        <v>פרקים בפתולוגיה בתלמוד ובנושאי כליו</v>
      </c>
    </row>
    <row r="33753" spans="1:6" x14ac:dyDescent="0.2">
      <c r="A33753" t="s">
        <v>52458</v>
      </c>
      <c r="B33753" t="s">
        <v>52459</v>
      </c>
      <c r="C33753" t="s">
        <v>106</v>
      </c>
      <c r="D33753" t="s">
        <v>2458</v>
      </c>
      <c r="E33753" t="s">
        <v>119</v>
      </c>
      <c r="F33753" s="2" t="str">
        <f>HYPERLINK("http://www.otzar.org/book.asp?155254","פרקים בתולדות היהודים בנסיכות אנסבך")</f>
        <v>פרקים בתולדות היהודים בנסיכות אנסבך</v>
      </c>
    </row>
    <row r="33754" spans="1:6" x14ac:dyDescent="0.2">
      <c r="A33754" t="s">
        <v>52460</v>
      </c>
      <c r="B33754" t="s">
        <v>38222</v>
      </c>
      <c r="C33754" t="s">
        <v>919</v>
      </c>
      <c r="D33754" t="s">
        <v>216</v>
      </c>
      <c r="E33754" t="s">
        <v>81</v>
      </c>
      <c r="F33754" s="2" t="str">
        <f>HYPERLINK("http://www.otzar.org/book.asp?15183","פרקים בתולדות הישוב הישן")</f>
        <v>פרקים בתולדות הישוב הישן</v>
      </c>
    </row>
    <row r="33755" spans="1:6" x14ac:dyDescent="0.2">
      <c r="A33755" t="s">
        <v>52461</v>
      </c>
      <c r="B33755" t="s">
        <v>12124</v>
      </c>
      <c r="C33755" t="s">
        <v>332</v>
      </c>
      <c r="D33755" t="s">
        <v>14</v>
      </c>
      <c r="E33755" t="s">
        <v>119</v>
      </c>
      <c r="F33755" s="2" t="str">
        <f>HYPERLINK("http://www.otzar.org/book.asp?149826","פרקים בתולדות המדפיסים העברים")</f>
        <v>פרקים בתולדות המדפיסים העברים</v>
      </c>
    </row>
    <row r="33756" spans="1:6" x14ac:dyDescent="0.2">
      <c r="A33756" t="s">
        <v>52462</v>
      </c>
      <c r="B33756" t="s">
        <v>3027</v>
      </c>
      <c r="C33756" t="s">
        <v>785</v>
      </c>
      <c r="D33756" t="s">
        <v>14</v>
      </c>
      <c r="E33756" t="s">
        <v>119</v>
      </c>
      <c r="F33756" s="2" t="str">
        <f>HYPERLINK("http://www.otzar.org/book.asp?159025","פרקים בתולדות יהדות בבל - 2 כר'")</f>
        <v>פרקים בתולדות יהדות בבל - 2 כר'</v>
      </c>
    </row>
    <row r="33757" spans="1:6" x14ac:dyDescent="0.2">
      <c r="A33757" t="s">
        <v>52463</v>
      </c>
      <c r="B33757" t="s">
        <v>52464</v>
      </c>
      <c r="C33757" t="s">
        <v>17</v>
      </c>
      <c r="D33757" t="s">
        <v>486</v>
      </c>
      <c r="E33757" t="s">
        <v>119</v>
      </c>
      <c r="F33757" s="2" t="str">
        <f>HYPERLINK("http://www.otzar.org/book.asp?162789","פרקים בתולדות ישראל - 2 כר'")</f>
        <v>פרקים בתולדות ישראל - 2 כר'</v>
      </c>
    </row>
    <row r="33758" spans="1:6" x14ac:dyDescent="0.2">
      <c r="A33758" t="s">
        <v>52465</v>
      </c>
      <c r="B33758" t="s">
        <v>3716</v>
      </c>
      <c r="C33758" t="s">
        <v>956</v>
      </c>
      <c r="D33758" t="s">
        <v>14</v>
      </c>
      <c r="E33758" t="s">
        <v>140</v>
      </c>
      <c r="F33758" s="2" t="str">
        <f>HYPERLINK("http://www.otzar.org/book.asp?150193","פרקים בתורת החסידות")</f>
        <v>פרקים בתורת החסידות</v>
      </c>
    </row>
    <row r="33759" spans="1:6" x14ac:dyDescent="0.2">
      <c r="A33759" t="s">
        <v>52466</v>
      </c>
      <c r="B33759" t="s">
        <v>46748</v>
      </c>
      <c r="C33759" t="s">
        <v>419</v>
      </c>
      <c r="D33759" t="s">
        <v>14</v>
      </c>
      <c r="E33759" t="s">
        <v>15</v>
      </c>
      <c r="F33759" s="2" t="str">
        <f>HYPERLINK("http://www.otzar.org/book.asp?168299","פרקים מן ספר מבוא התלמוד")</f>
        <v>פרקים מן ספר מבוא התלמוד</v>
      </c>
    </row>
    <row r="33760" spans="1:6" x14ac:dyDescent="0.2">
      <c r="A33760" t="s">
        <v>52467</v>
      </c>
      <c r="B33760" t="s">
        <v>52468</v>
      </c>
      <c r="C33760" t="s">
        <v>224</v>
      </c>
      <c r="D33760" t="s">
        <v>307</v>
      </c>
      <c r="E33760" t="s">
        <v>119</v>
      </c>
      <c r="F33760" s="2" t="str">
        <f>HYPERLINK("http://www.otzar.org/book.asp?188659","פרקים מתולדות היהודים בטשורטקוב")</f>
        <v>פרקים מתולדות היהודים בטשורטקוב</v>
      </c>
    </row>
    <row r="33761" spans="1:6" x14ac:dyDescent="0.2">
      <c r="A33761" t="s">
        <v>52469</v>
      </c>
      <c r="B33761" t="s">
        <v>52470</v>
      </c>
      <c r="C33761" t="s">
        <v>244</v>
      </c>
      <c r="D33761" t="s">
        <v>14</v>
      </c>
      <c r="E33761" t="s">
        <v>119</v>
      </c>
      <c r="F33761" s="2" t="str">
        <f>HYPERLINK("http://www.otzar.org/book.asp?620773","פרקים נבחרים מתולדות הרה""ק האוהב ישראל מאפטא")</f>
        <v>פרקים נבחרים מתולדות הרה"ק האוהב ישראל מאפטא</v>
      </c>
    </row>
    <row r="33762" spans="1:6" x14ac:dyDescent="0.2">
      <c r="A33762" t="s">
        <v>52471</v>
      </c>
      <c r="B33762" t="s">
        <v>40934</v>
      </c>
      <c r="C33762" t="s">
        <v>1096</v>
      </c>
      <c r="D33762" t="s">
        <v>225</v>
      </c>
      <c r="E33762" t="s">
        <v>158</v>
      </c>
      <c r="F33762" s="2" t="str">
        <f>HYPERLINK("http://www.otzar.org/book.asp?186746","פרשגן")</f>
        <v>פרשגן</v>
      </c>
    </row>
    <row r="33763" spans="1:6" x14ac:dyDescent="0.2">
      <c r="A33763" t="s">
        <v>52472</v>
      </c>
      <c r="B33763" t="s">
        <v>22258</v>
      </c>
      <c r="C33763" t="s">
        <v>411</v>
      </c>
      <c r="D33763" t="s">
        <v>14</v>
      </c>
      <c r="E33763" t="s">
        <v>158</v>
      </c>
      <c r="F33763" s="2" t="str">
        <f>HYPERLINK("http://www.otzar.org/book.asp?199843","פרשגן - 3 כר'")</f>
        <v>פרשגן - 3 כר'</v>
      </c>
    </row>
    <row r="33764" spans="1:6" x14ac:dyDescent="0.2">
      <c r="A33764" t="s">
        <v>52473</v>
      </c>
      <c r="B33764" t="s">
        <v>52474</v>
      </c>
      <c r="C33764" t="s">
        <v>20</v>
      </c>
      <c r="D33764" t="s">
        <v>27</v>
      </c>
      <c r="E33764" t="s">
        <v>158</v>
      </c>
      <c r="F33764" s="2" t="str">
        <f>HYPERLINK("http://www.otzar.org/book.asp?161491","פרשה ולקחה - 2 כר'")</f>
        <v>פרשה ולקחה - 2 כר'</v>
      </c>
    </row>
    <row r="33765" spans="1:6" x14ac:dyDescent="0.2">
      <c r="A33765" t="s">
        <v>52475</v>
      </c>
      <c r="B33765" t="s">
        <v>52476</v>
      </c>
      <c r="C33765" t="s">
        <v>13</v>
      </c>
      <c r="D33765" t="s">
        <v>52</v>
      </c>
      <c r="E33765" t="s">
        <v>579</v>
      </c>
      <c r="F33765" s="2" t="str">
        <f>HYPERLINK("http://www.otzar.org/book.asp?64134","פרשה מפורשה &lt;תאג'&gt; - 6 כר'")</f>
        <v>פרשה מפורשה &lt;תאג'&gt; - 6 כר'</v>
      </c>
    </row>
    <row r="33766" spans="1:6" x14ac:dyDescent="0.2">
      <c r="A33766" t="s">
        <v>52477</v>
      </c>
      <c r="B33766" t="s">
        <v>52478</v>
      </c>
      <c r="C33766" t="s">
        <v>33833</v>
      </c>
      <c r="D33766" t="s">
        <v>52479</v>
      </c>
      <c r="F33766" s="2" t="str">
        <f>HYPERLINK("http://www.otzar.org/book.asp?612641","פרשה מקורות הישוב")</f>
        <v>פרשה מקורות הישוב</v>
      </c>
    </row>
    <row r="33767" spans="1:6" x14ac:dyDescent="0.2">
      <c r="A33767" t="s">
        <v>52480</v>
      </c>
      <c r="B33767" t="s">
        <v>2396</v>
      </c>
      <c r="C33767" t="s">
        <v>1208</v>
      </c>
      <c r="D33767" t="s">
        <v>1076</v>
      </c>
      <c r="E33767" t="s">
        <v>158</v>
      </c>
      <c r="F33767" s="2" t="str">
        <f>HYPERLINK("http://www.otzar.org/book.asp?22901","פרשה סדורה")</f>
        <v>פרשה סדורה</v>
      </c>
    </row>
    <row r="33768" spans="1:6" x14ac:dyDescent="0.2">
      <c r="A33768" t="s">
        <v>52481</v>
      </c>
      <c r="B33768" t="s">
        <v>13610</v>
      </c>
      <c r="C33768" t="s">
        <v>383</v>
      </c>
      <c r="D33768" t="s">
        <v>14</v>
      </c>
      <c r="E33768" t="s">
        <v>158</v>
      </c>
      <c r="F33768" s="2" t="str">
        <f>HYPERLINK("http://www.otzar.org/book.asp?149637","פרשיות בספרי הנביאים - 3 כר'")</f>
        <v>פרשיות בספרי הנביאים - 3 כר'</v>
      </c>
    </row>
    <row r="33769" spans="1:6" x14ac:dyDescent="0.2">
      <c r="A33769" t="s">
        <v>52482</v>
      </c>
      <c r="B33769" t="s">
        <v>5332</v>
      </c>
      <c r="C33769" t="s">
        <v>32040</v>
      </c>
      <c r="D33769" t="s">
        <v>1023</v>
      </c>
      <c r="E33769" t="s">
        <v>158</v>
      </c>
      <c r="F33769" s="2" t="str">
        <f>HYPERLINK("http://www.otzar.org/book.asp?14458","פרשנדתא - 3 כר'")</f>
        <v>פרשנדתא - 3 כר'</v>
      </c>
    </row>
    <row r="33770" spans="1:6" x14ac:dyDescent="0.2">
      <c r="A33770" t="s">
        <v>52483</v>
      </c>
      <c r="B33770" t="s">
        <v>12316</v>
      </c>
      <c r="C33770" t="s">
        <v>438</v>
      </c>
      <c r="D33770" t="s">
        <v>14</v>
      </c>
      <c r="E33770" t="s">
        <v>604</v>
      </c>
      <c r="F33770" s="2" t="str">
        <f>HYPERLINK("http://www.otzar.org/book.asp?12005","פרשנים ופוסקים אחרונים בפירושו של הרב ש""ר הירש על התורה")</f>
        <v>פרשנים ופוסקים אחרונים בפירושו של הרב ש"ר הירש על התורה</v>
      </c>
    </row>
    <row r="33771" spans="1:6" x14ac:dyDescent="0.2">
      <c r="A33771" t="s">
        <v>52484</v>
      </c>
      <c r="B33771" t="s">
        <v>1540</v>
      </c>
      <c r="C33771" t="s">
        <v>1169</v>
      </c>
      <c r="D33771" t="s">
        <v>27</v>
      </c>
      <c r="E33771" t="s">
        <v>1626</v>
      </c>
      <c r="F33771" s="2" t="str">
        <f>HYPERLINK("http://www.otzar.org/book.asp?5507","פרשת אלה מסעי - 2 כר'")</f>
        <v>פרשת אלה מסעי - 2 כר'</v>
      </c>
    </row>
    <row r="33772" spans="1:6" x14ac:dyDescent="0.2">
      <c r="A33772" t="s">
        <v>52485</v>
      </c>
      <c r="B33772" t="s">
        <v>52486</v>
      </c>
      <c r="C33772" t="s">
        <v>146</v>
      </c>
      <c r="D33772" t="s">
        <v>52</v>
      </c>
      <c r="E33772" t="s">
        <v>158</v>
      </c>
      <c r="F33772" s="2" t="str">
        <f>HYPERLINK("http://www.otzar.org/book.asp?25836","פרשת אשת חיל")</f>
        <v>פרשת אשת חיל</v>
      </c>
    </row>
    <row r="33773" spans="1:6" x14ac:dyDescent="0.2">
      <c r="A33773" t="s">
        <v>52487</v>
      </c>
      <c r="B33773" t="s">
        <v>52488</v>
      </c>
      <c r="C33773" t="s">
        <v>146</v>
      </c>
      <c r="D33773" t="s">
        <v>52</v>
      </c>
      <c r="E33773" t="s">
        <v>119</v>
      </c>
      <c r="F33773" s="2" t="str">
        <f>HYPERLINK("http://www.otzar.org/book.asp?179753","פרשת גדולת מרדכי")</f>
        <v>פרשת גדולת מרדכי</v>
      </c>
    </row>
    <row r="33774" spans="1:6" x14ac:dyDescent="0.2">
      <c r="A33774" t="s">
        <v>52489</v>
      </c>
      <c r="B33774" t="s">
        <v>52490</v>
      </c>
      <c r="C33774" t="s">
        <v>383</v>
      </c>
      <c r="D33774" t="s">
        <v>14</v>
      </c>
      <c r="E33774" t="s">
        <v>579</v>
      </c>
      <c r="F33774" s="2" t="str">
        <f>HYPERLINK("http://www.otzar.org/book.asp?107390","פרשת דרכים &lt;קונטרס פרשת דרכים&gt;")</f>
        <v>פרשת דרכים &lt;קונטרס פרשת דרכים&gt;</v>
      </c>
    </row>
    <row r="33775" spans="1:6" x14ac:dyDescent="0.2">
      <c r="A33775" t="s">
        <v>52491</v>
      </c>
      <c r="B33775" t="s">
        <v>16578</v>
      </c>
      <c r="C33775" t="s">
        <v>189</v>
      </c>
      <c r="D33775" t="s">
        <v>14</v>
      </c>
      <c r="E33775" t="s">
        <v>234</v>
      </c>
      <c r="F33775" s="2" t="str">
        <f>HYPERLINK("http://www.otzar.org/book.asp?157681","פרשת דרכים &lt;מהדורה חדשה&gt;")</f>
        <v>פרשת דרכים &lt;מהדורה חדשה&gt;</v>
      </c>
    </row>
    <row r="33776" spans="1:6" x14ac:dyDescent="0.2">
      <c r="A33776" t="s">
        <v>52492</v>
      </c>
      <c r="B33776" t="s">
        <v>6900</v>
      </c>
      <c r="C33776" t="s">
        <v>1718</v>
      </c>
      <c r="D33776" t="s">
        <v>1117</v>
      </c>
      <c r="E33776" t="s">
        <v>579</v>
      </c>
      <c r="F33776" s="2" t="str">
        <f>HYPERLINK("http://www.otzar.org/book.asp?6443","פרשת דרכים זוטא")</f>
        <v>פרשת דרכים זוטא</v>
      </c>
    </row>
    <row r="33777" spans="1:6" x14ac:dyDescent="0.2">
      <c r="A33777" t="s">
        <v>52493</v>
      </c>
      <c r="B33777" t="s">
        <v>16578</v>
      </c>
      <c r="C33777" t="s">
        <v>1177</v>
      </c>
      <c r="D33777" t="s">
        <v>283</v>
      </c>
      <c r="E33777" t="s">
        <v>52494</v>
      </c>
      <c r="F33777" s="2" t="str">
        <f>HYPERLINK("http://www.otzar.org/book.asp?10562","פרשת דרכים - 4 כר'")</f>
        <v>פרשת דרכים - 4 כר'</v>
      </c>
    </row>
    <row r="33778" spans="1:6" x14ac:dyDescent="0.2">
      <c r="A33778" t="s">
        <v>52495</v>
      </c>
      <c r="B33778" t="s">
        <v>52496</v>
      </c>
      <c r="C33778" t="s">
        <v>4687</v>
      </c>
      <c r="D33778" t="s">
        <v>76</v>
      </c>
      <c r="E33778" t="s">
        <v>15</v>
      </c>
      <c r="F33778" s="2" t="str">
        <f>HYPERLINK("http://www.otzar.org/book.asp?101738","פרשת הכסף")</f>
        <v>פרשת הכסף</v>
      </c>
    </row>
    <row r="33779" spans="1:6" x14ac:dyDescent="0.2">
      <c r="A33779" t="s">
        <v>52495</v>
      </c>
      <c r="B33779" t="s">
        <v>52497</v>
      </c>
      <c r="C33779" t="s">
        <v>1268</v>
      </c>
      <c r="D33779" t="s">
        <v>412</v>
      </c>
      <c r="E33779" t="s">
        <v>714</v>
      </c>
      <c r="F33779" s="2" t="str">
        <f>HYPERLINK("http://www.otzar.org/book.asp?52692","פרשת הכסף")</f>
        <v>פרשת הכסף</v>
      </c>
    </row>
    <row r="33780" spans="1:6" x14ac:dyDescent="0.2">
      <c r="A33780" t="s">
        <v>52498</v>
      </c>
      <c r="B33780" t="s">
        <v>9187</v>
      </c>
      <c r="C33780" t="s">
        <v>767</v>
      </c>
      <c r="D33780" t="s">
        <v>52</v>
      </c>
      <c r="E33780" t="s">
        <v>15</v>
      </c>
      <c r="F33780" s="2" t="str">
        <f>HYPERLINK("http://www.otzar.org/book.asp?50307","פרשת המים")</f>
        <v>פרשת המים</v>
      </c>
    </row>
    <row r="33781" spans="1:6" x14ac:dyDescent="0.2">
      <c r="A33781" t="s">
        <v>52499</v>
      </c>
      <c r="B33781" t="s">
        <v>52500</v>
      </c>
      <c r="C33781" t="s">
        <v>2017</v>
      </c>
      <c r="D33781" t="s">
        <v>27</v>
      </c>
      <c r="E33781" t="s">
        <v>15</v>
      </c>
      <c r="F33781" s="2" t="str">
        <f>HYPERLINK("http://www.otzar.org/book.asp?10016","פרשת המלך - 3 כר'")</f>
        <v>פרשת המלך - 3 כר'</v>
      </c>
    </row>
    <row r="33782" spans="1:6" x14ac:dyDescent="0.2">
      <c r="A33782" t="s">
        <v>52501</v>
      </c>
      <c r="B33782" t="s">
        <v>14157</v>
      </c>
      <c r="C33782" t="s">
        <v>244</v>
      </c>
      <c r="D33782" t="s">
        <v>80</v>
      </c>
      <c r="E33782" t="s">
        <v>15</v>
      </c>
      <c r="F33782" s="2" t="str">
        <f>HYPERLINK("http://www.otzar.org/book.asp?193443","פרשת המלך")</f>
        <v>פרשת המלך</v>
      </c>
    </row>
    <row r="33783" spans="1:6" x14ac:dyDescent="0.2">
      <c r="A33783" t="s">
        <v>52502</v>
      </c>
      <c r="B33783" t="s">
        <v>52503</v>
      </c>
      <c r="C33783" t="s">
        <v>13</v>
      </c>
      <c r="D33783" t="s">
        <v>14</v>
      </c>
      <c r="E33783" t="s">
        <v>219</v>
      </c>
      <c r="F33783" s="2" t="str">
        <f>HYPERLINK("http://www.otzar.org/book.asp?145216","פרשת המן עם ליקוט לחם מן השמים ונפלאותיו")</f>
        <v>פרשת המן עם ליקוט לחם מן השמים ונפלאותיו</v>
      </c>
    </row>
    <row r="33784" spans="1:6" x14ac:dyDescent="0.2">
      <c r="A33784" t="s">
        <v>52504</v>
      </c>
      <c r="B33784" t="s">
        <v>37628</v>
      </c>
      <c r="C33784" t="s">
        <v>9914</v>
      </c>
      <c r="D33784" t="s">
        <v>1023</v>
      </c>
      <c r="E33784" t="s">
        <v>15</v>
      </c>
      <c r="F33784" s="2" t="str">
        <f>HYPERLINK("http://www.otzar.org/book.asp?20554","פרשת העיבור")</f>
        <v>פרשת העיבור</v>
      </c>
    </row>
    <row r="33785" spans="1:6" x14ac:dyDescent="0.2">
      <c r="A33785" t="s">
        <v>52505</v>
      </c>
      <c r="B33785" t="s">
        <v>52506</v>
      </c>
      <c r="C33785" t="s">
        <v>411</v>
      </c>
      <c r="D33785" t="s">
        <v>646</v>
      </c>
      <c r="E33785" t="s">
        <v>158</v>
      </c>
      <c r="F33785" s="2" t="str">
        <f>HYPERLINK("http://www.otzar.org/book.asp?189453","פרשת העקדה")</f>
        <v>פרשת העקדה</v>
      </c>
    </row>
    <row r="33786" spans="1:6" x14ac:dyDescent="0.2">
      <c r="A33786" t="s">
        <v>52507</v>
      </c>
      <c r="B33786" t="s">
        <v>29487</v>
      </c>
      <c r="C33786" t="s">
        <v>411</v>
      </c>
      <c r="D33786" t="s">
        <v>52</v>
      </c>
      <c r="E33786" t="s">
        <v>158</v>
      </c>
      <c r="F33786" s="2" t="str">
        <f>HYPERLINK("http://www.otzar.org/book.asp?166050","פרשת השבוע - 5 כר'")</f>
        <v>פרשת השבוע - 5 כר'</v>
      </c>
    </row>
    <row r="33787" spans="1:6" x14ac:dyDescent="0.2">
      <c r="A33787" t="s">
        <v>52508</v>
      </c>
      <c r="B33787" t="s">
        <v>52509</v>
      </c>
      <c r="C33787" t="s">
        <v>1885</v>
      </c>
      <c r="D33787" t="s">
        <v>283</v>
      </c>
      <c r="E33787" t="s">
        <v>144</v>
      </c>
      <c r="F33787" s="2" t="str">
        <f>HYPERLINK("http://www.otzar.org/book.asp?103316","פרשת מרדכי")</f>
        <v>פרשת מרדכי</v>
      </c>
    </row>
    <row r="33788" spans="1:6" x14ac:dyDescent="0.2">
      <c r="A33788" t="s">
        <v>52508</v>
      </c>
      <c r="B33788" t="s">
        <v>52510</v>
      </c>
      <c r="C33788" t="s">
        <v>1535</v>
      </c>
      <c r="D33788" t="s">
        <v>27</v>
      </c>
      <c r="E33788" t="s">
        <v>158</v>
      </c>
      <c r="F33788" s="2" t="str">
        <f>HYPERLINK("http://www.otzar.org/book.asp?170994","פרשת מרדכי")</f>
        <v>פרשת מרדכי</v>
      </c>
    </row>
    <row r="33789" spans="1:6" x14ac:dyDescent="0.2">
      <c r="A33789" t="s">
        <v>52508</v>
      </c>
      <c r="B33789" t="s">
        <v>20959</v>
      </c>
      <c r="C33789" t="s">
        <v>1047</v>
      </c>
      <c r="D33789" t="s">
        <v>756</v>
      </c>
      <c r="E33789" t="s">
        <v>154</v>
      </c>
      <c r="F33789" s="2" t="str">
        <f>HYPERLINK("http://www.otzar.org/book.asp?9740","פרשת מרדכי")</f>
        <v>פרשת מרדכי</v>
      </c>
    </row>
    <row r="33790" spans="1:6" x14ac:dyDescent="0.2">
      <c r="A33790" t="s">
        <v>52508</v>
      </c>
      <c r="B33790" t="s">
        <v>52511</v>
      </c>
      <c r="C33790" t="s">
        <v>550</v>
      </c>
      <c r="D33790" t="s">
        <v>929</v>
      </c>
      <c r="E33790" t="s">
        <v>803</v>
      </c>
      <c r="F33790" s="2" t="str">
        <f>HYPERLINK("http://www.otzar.org/book.asp?6498","פרשת מרדכי")</f>
        <v>פרשת מרדכי</v>
      </c>
    </row>
    <row r="33791" spans="1:6" x14ac:dyDescent="0.2">
      <c r="A33791" t="s">
        <v>52508</v>
      </c>
      <c r="B33791" t="s">
        <v>17023</v>
      </c>
      <c r="C33791" t="s">
        <v>547</v>
      </c>
      <c r="D33791" t="s">
        <v>17024</v>
      </c>
      <c r="E33791" t="s">
        <v>2071</v>
      </c>
      <c r="F33791" s="2" t="str">
        <f>HYPERLINK("http://www.otzar.org/book.asp?85348","פרשת מרדכי")</f>
        <v>פרשת מרדכי</v>
      </c>
    </row>
    <row r="33792" spans="1:6" x14ac:dyDescent="0.2">
      <c r="A33792" t="s">
        <v>52512</v>
      </c>
      <c r="B33792" t="s">
        <v>31183</v>
      </c>
      <c r="C33792" t="s">
        <v>1166</v>
      </c>
      <c r="D33792" t="s">
        <v>52513</v>
      </c>
      <c r="E33792" t="s">
        <v>52514</v>
      </c>
      <c r="F33792" s="2" t="str">
        <f>HYPERLINK("http://www.otzar.org/book.asp?172","פרשת נדרים")</f>
        <v>פרשת נדרים</v>
      </c>
    </row>
    <row r="33793" spans="1:6" x14ac:dyDescent="0.2">
      <c r="A33793" t="s">
        <v>52515</v>
      </c>
      <c r="B33793" t="s">
        <v>52516</v>
      </c>
      <c r="C33793" t="s">
        <v>37</v>
      </c>
      <c r="D33793" t="s">
        <v>52</v>
      </c>
      <c r="E33793" t="s">
        <v>144</v>
      </c>
      <c r="F33793" s="2" t="str">
        <f>HYPERLINK("http://www.otzar.org/book.asp?600814","פרשת נזיר")</f>
        <v>פרשת נזיר</v>
      </c>
    </row>
    <row r="33794" spans="1:6" x14ac:dyDescent="0.2">
      <c r="A33794" t="s">
        <v>52517</v>
      </c>
      <c r="B33794" t="s">
        <v>27645</v>
      </c>
      <c r="C33794" t="s">
        <v>496</v>
      </c>
      <c r="D33794" t="s">
        <v>27</v>
      </c>
      <c r="E33794" t="s">
        <v>158</v>
      </c>
      <c r="F33794" s="2" t="str">
        <f>HYPERLINK("http://www.otzar.org/book.asp?189377","פרשת רא""ה")</f>
        <v>פרשת רא"ה</v>
      </c>
    </row>
    <row r="33795" spans="1:6" x14ac:dyDescent="0.2">
      <c r="A33795" t="s">
        <v>52518</v>
      </c>
      <c r="B33795" t="s">
        <v>16808</v>
      </c>
      <c r="C33795" t="s">
        <v>17</v>
      </c>
      <c r="D33795" t="s">
        <v>52</v>
      </c>
      <c r="E33795" t="s">
        <v>15</v>
      </c>
      <c r="F33795" s="2" t="str">
        <f>HYPERLINK("http://www.otzar.org/book.asp?28121","פרשת רבית")</f>
        <v>פרשת רבית</v>
      </c>
    </row>
    <row r="33796" spans="1:6" x14ac:dyDescent="0.2">
      <c r="A33796" t="s">
        <v>52519</v>
      </c>
      <c r="B33796" t="s">
        <v>34723</v>
      </c>
      <c r="C33796" t="s">
        <v>13</v>
      </c>
      <c r="D33796" t="s">
        <v>14</v>
      </c>
      <c r="E33796" t="s">
        <v>158</v>
      </c>
      <c r="F33796" s="2" t="str">
        <f>HYPERLINK("http://www.otzar.org/book.asp?146444","פרשת שופטים")</f>
        <v>פרשת שופטים</v>
      </c>
    </row>
    <row r="33797" spans="1:6" x14ac:dyDescent="0.2">
      <c r="A33797" t="s">
        <v>52520</v>
      </c>
      <c r="B33797" t="s">
        <v>52521</v>
      </c>
      <c r="C33797" t="s">
        <v>523</v>
      </c>
      <c r="D33797" t="s">
        <v>14</v>
      </c>
      <c r="E33797" t="s">
        <v>84</v>
      </c>
      <c r="F33797" s="2" t="str">
        <f>HYPERLINK("http://www.otzar.org/book.asp?107317","פרת חטאת")</f>
        <v>פרת חטאת</v>
      </c>
    </row>
    <row r="33798" spans="1:6" x14ac:dyDescent="0.2">
      <c r="A33798" t="s">
        <v>52522</v>
      </c>
      <c r="B33798" t="s">
        <v>22382</v>
      </c>
      <c r="C33798" t="s">
        <v>1418</v>
      </c>
      <c r="D33798" t="s">
        <v>157</v>
      </c>
      <c r="E33798" t="s">
        <v>508</v>
      </c>
      <c r="F33798" s="2" t="str">
        <f>HYPERLINK("http://www.otzar.org/book.asp?101686","פרת יוסף")</f>
        <v>פרת יוסף</v>
      </c>
    </row>
    <row r="33799" spans="1:6" x14ac:dyDescent="0.2">
      <c r="A33799" t="s">
        <v>52523</v>
      </c>
      <c r="B33799" t="s">
        <v>52524</v>
      </c>
      <c r="C33799" t="s">
        <v>462</v>
      </c>
      <c r="D33799" t="s">
        <v>52525</v>
      </c>
      <c r="E33799" t="s">
        <v>975</v>
      </c>
      <c r="F33799" s="2" t="str">
        <f>HYPERLINK("http://www.otzar.org/book.asp?12893","פרת יוסף - 2 כר'")</f>
        <v>פרת יוסף - 2 כר'</v>
      </c>
    </row>
    <row r="33800" spans="1:6" x14ac:dyDescent="0.2">
      <c r="A33800" t="s">
        <v>52522</v>
      </c>
      <c r="B33800" t="s">
        <v>52526</v>
      </c>
      <c r="C33800" t="s">
        <v>473</v>
      </c>
      <c r="D33800" t="s">
        <v>322</v>
      </c>
      <c r="E33800" t="s">
        <v>3567</v>
      </c>
      <c r="F33800" s="2" t="str">
        <f>HYPERLINK("http://www.otzar.org/book.asp?19352","פרת יוסף")</f>
        <v>פרת יוסף</v>
      </c>
    </row>
    <row r="33801" spans="1:6" x14ac:dyDescent="0.2">
      <c r="A33801" t="s">
        <v>52522</v>
      </c>
      <c r="B33801" t="s">
        <v>48244</v>
      </c>
      <c r="C33801" t="s">
        <v>503</v>
      </c>
      <c r="D33801" t="s">
        <v>283</v>
      </c>
      <c r="E33801" t="s">
        <v>684</v>
      </c>
      <c r="F33801" s="2" t="str">
        <f>HYPERLINK("http://www.otzar.org/book.asp?101687","פרת יוסף")</f>
        <v>פרת יוסף</v>
      </c>
    </row>
    <row r="33802" spans="1:6" x14ac:dyDescent="0.2">
      <c r="A33802" t="s">
        <v>52527</v>
      </c>
      <c r="B33802" t="s">
        <v>37533</v>
      </c>
      <c r="C33802" t="s">
        <v>244</v>
      </c>
      <c r="D33802" t="s">
        <v>245</v>
      </c>
      <c r="E33802" t="s">
        <v>144</v>
      </c>
      <c r="F33802" s="2" t="str">
        <f>HYPERLINK("http://www.otzar.org/book.asp?625954","פשוטו כמשמעו - 5 כר'")</f>
        <v>פשוטו כמשמעו - 5 כר'</v>
      </c>
    </row>
    <row r="33803" spans="1:6" x14ac:dyDescent="0.2">
      <c r="A33803" t="s">
        <v>52528</v>
      </c>
      <c r="B33803" t="s">
        <v>34723</v>
      </c>
      <c r="C33803" t="s">
        <v>13</v>
      </c>
      <c r="D33803" t="s">
        <v>14</v>
      </c>
      <c r="E33803" t="s">
        <v>573</v>
      </c>
      <c r="F33803" s="2" t="str">
        <f>HYPERLINK("http://www.otzar.org/book.asp?146447","פשוטו של מקרא - 2 כר'")</f>
        <v>פשוטו של מקרא - 2 כר'</v>
      </c>
    </row>
    <row r="33804" spans="1:6" x14ac:dyDescent="0.2">
      <c r="A33804" t="s">
        <v>52529</v>
      </c>
      <c r="B33804" t="s">
        <v>12838</v>
      </c>
      <c r="C33804" t="s">
        <v>533</v>
      </c>
      <c r="D33804" t="s">
        <v>52</v>
      </c>
      <c r="F33804" s="2" t="str">
        <f>HYPERLINK("http://www.otzar.org/book.asp?84847","פשוטו של מקרא")</f>
        <v>פשוטו של מקרא</v>
      </c>
    </row>
    <row r="33805" spans="1:6" x14ac:dyDescent="0.2">
      <c r="A33805" t="s">
        <v>52530</v>
      </c>
      <c r="B33805" t="s">
        <v>52531</v>
      </c>
      <c r="C33805" t="s">
        <v>13</v>
      </c>
      <c r="D33805" t="s">
        <v>21</v>
      </c>
      <c r="E33805" t="s">
        <v>246</v>
      </c>
      <c r="F33805" s="2" t="str">
        <f>HYPERLINK("http://www.otzar.org/book.asp?196039","פשט במגיד")</f>
        <v>פשט במגיד</v>
      </c>
    </row>
    <row r="33806" spans="1:6" x14ac:dyDescent="0.2">
      <c r="A33806" t="s">
        <v>52532</v>
      </c>
      <c r="B33806" t="s">
        <v>52533</v>
      </c>
      <c r="C33806" t="s">
        <v>129</v>
      </c>
      <c r="D33806" t="s">
        <v>14</v>
      </c>
      <c r="E33806" t="s">
        <v>144</v>
      </c>
      <c r="F33806" s="2" t="str">
        <f>HYPERLINK("http://www.otzar.org/book.asp?60312","פשט בעיון - יבמות")</f>
        <v>פשט בעיון - יבמות</v>
      </c>
    </row>
    <row r="33807" spans="1:6" x14ac:dyDescent="0.2">
      <c r="A33807" t="s">
        <v>52534</v>
      </c>
      <c r="B33807" t="s">
        <v>37305</v>
      </c>
      <c r="C33807" t="s">
        <v>503</v>
      </c>
      <c r="D33807" t="s">
        <v>283</v>
      </c>
      <c r="E33807" t="s">
        <v>144</v>
      </c>
      <c r="F33807" s="2" t="str">
        <f>HYPERLINK("http://www.otzar.org/book.asp?21437","פשט הש""ס")</f>
        <v>פשט הש"ס</v>
      </c>
    </row>
    <row r="33808" spans="1:6" x14ac:dyDescent="0.2">
      <c r="A33808" t="s">
        <v>52535</v>
      </c>
      <c r="B33808" t="s">
        <v>52536</v>
      </c>
      <c r="C33808" t="s">
        <v>114</v>
      </c>
      <c r="D33808" t="s">
        <v>14</v>
      </c>
      <c r="E33808" t="s">
        <v>158</v>
      </c>
      <c r="F33808" s="2" t="str">
        <f>HYPERLINK("http://www.otzar.org/book.asp?164020","פשט והגיון במקרא - 5 כר'")</f>
        <v>פשט והגיון במקרא - 5 כר'</v>
      </c>
    </row>
    <row r="33809" spans="1:6" x14ac:dyDescent="0.2">
      <c r="A33809" t="s">
        <v>52537</v>
      </c>
      <c r="B33809" t="s">
        <v>52538</v>
      </c>
      <c r="C33809" t="s">
        <v>332</v>
      </c>
      <c r="D33809" t="s">
        <v>52</v>
      </c>
      <c r="E33809" t="s">
        <v>158</v>
      </c>
      <c r="F33809" s="2" t="str">
        <f>HYPERLINK("http://www.otzar.org/book.asp?52573","פשט והגיון במקרא - א בראשית")</f>
        <v>פשט והגיון במקרא - א בראשית</v>
      </c>
    </row>
    <row r="33810" spans="1:6" x14ac:dyDescent="0.2">
      <c r="A33810" t="s">
        <v>52539</v>
      </c>
      <c r="B33810" t="s">
        <v>4606</v>
      </c>
      <c r="C33810" t="s">
        <v>313</v>
      </c>
      <c r="D33810" t="s">
        <v>14</v>
      </c>
      <c r="E33810" t="s">
        <v>144</v>
      </c>
      <c r="F33810" s="2" t="str">
        <f>HYPERLINK("http://www.otzar.org/book.asp?61516","פשט ועיון - 5 כר'")</f>
        <v>פשט ועיון - 5 כר'</v>
      </c>
    </row>
    <row r="33811" spans="1:6" x14ac:dyDescent="0.2">
      <c r="A33811" t="s">
        <v>52540</v>
      </c>
      <c r="B33811" t="s">
        <v>15329</v>
      </c>
      <c r="C33811" t="s">
        <v>366</v>
      </c>
      <c r="D33811" t="s">
        <v>52</v>
      </c>
      <c r="E33811" t="s">
        <v>158</v>
      </c>
      <c r="F33811" s="2" t="str">
        <f>HYPERLINK("http://www.otzar.org/book.asp?602769","פשטא דקרא")</f>
        <v>פשטא דקרא</v>
      </c>
    </row>
    <row r="33812" spans="1:6" x14ac:dyDescent="0.2">
      <c r="A33812" t="s">
        <v>52541</v>
      </c>
      <c r="B33812" t="s">
        <v>52542</v>
      </c>
      <c r="C33812" t="s">
        <v>37</v>
      </c>
      <c r="D33812" t="s">
        <v>21</v>
      </c>
      <c r="E33812" t="s">
        <v>158</v>
      </c>
      <c r="F33812" s="2" t="str">
        <f>HYPERLINK("http://www.otzar.org/book.asp?197264","פשטה של מגילה")</f>
        <v>פשטה של מגילה</v>
      </c>
    </row>
    <row r="33813" spans="1:6" x14ac:dyDescent="0.2">
      <c r="A33813" t="s">
        <v>52543</v>
      </c>
      <c r="B33813" t="s">
        <v>52544</v>
      </c>
      <c r="C33813" t="s">
        <v>429</v>
      </c>
      <c r="D33813" t="s">
        <v>8340</v>
      </c>
      <c r="E33813" t="s">
        <v>1235</v>
      </c>
      <c r="F33813" s="2" t="str">
        <f>HYPERLINK("http://www.otzar.org/book.asp?104669","פשטים ופרושים")</f>
        <v>פשטים ופרושים</v>
      </c>
    </row>
    <row r="33814" spans="1:6" x14ac:dyDescent="0.2">
      <c r="A33814" t="s">
        <v>52545</v>
      </c>
      <c r="B33814" t="s">
        <v>32742</v>
      </c>
      <c r="C33814" t="s">
        <v>9952</v>
      </c>
      <c r="D33814" t="s">
        <v>280</v>
      </c>
      <c r="E33814" t="s">
        <v>158</v>
      </c>
      <c r="F33814" s="2" t="str">
        <f>HYPERLINK("http://www.otzar.org/book.asp?103684","פשיטא - 2 כר'")</f>
        <v>פשיטא - 2 כר'</v>
      </c>
    </row>
    <row r="33815" spans="1:6" x14ac:dyDescent="0.2">
      <c r="A33815" t="s">
        <v>52546</v>
      </c>
      <c r="B33815" t="s">
        <v>48093</v>
      </c>
      <c r="C33815" t="s">
        <v>6054</v>
      </c>
      <c r="D33815" t="s">
        <v>4934</v>
      </c>
      <c r="E33815" t="s">
        <v>158</v>
      </c>
      <c r="F33815" s="2" t="str">
        <f>HYPERLINK("http://www.otzar.org/book.asp?64023","פשיטי דספרא")</f>
        <v>פשיטי דספרא</v>
      </c>
    </row>
    <row r="33816" spans="1:6" x14ac:dyDescent="0.2">
      <c r="A33816" t="s">
        <v>52547</v>
      </c>
      <c r="B33816" t="s">
        <v>47624</v>
      </c>
      <c r="C33816" t="s">
        <v>237</v>
      </c>
      <c r="D33816" t="s">
        <v>14</v>
      </c>
      <c r="F33816" s="2" t="str">
        <f>HYPERLINK("http://www.otzar.org/book.asp?196470","פשיסכע און קאצק")</f>
        <v>פשיסכע און קאצק</v>
      </c>
    </row>
    <row r="33817" spans="1:6" x14ac:dyDescent="0.2">
      <c r="A33817" t="s">
        <v>52548</v>
      </c>
      <c r="B33817" t="s">
        <v>52549</v>
      </c>
      <c r="C33817" t="s">
        <v>775</v>
      </c>
      <c r="D33817" t="s">
        <v>14</v>
      </c>
      <c r="E33817" t="s">
        <v>733</v>
      </c>
      <c r="F33817" s="2" t="str">
        <f>HYPERLINK("http://www.otzar.org/book.asp?11015","פשעי הציונות בהשמדת הגולה")</f>
        <v>פשעי הציונות בהשמדת הגולה</v>
      </c>
    </row>
    <row r="33818" spans="1:6" x14ac:dyDescent="0.2">
      <c r="A33818" t="s">
        <v>52550</v>
      </c>
      <c r="B33818" t="s">
        <v>5739</v>
      </c>
      <c r="C33818" t="s">
        <v>176</v>
      </c>
      <c r="D33818" t="s">
        <v>14</v>
      </c>
      <c r="F33818" s="2" t="str">
        <f>HYPERLINK("http://www.otzar.org/book.asp?83620","פשר דבר שקל הקודש &lt;קרית ארבע&gt;")</f>
        <v>פשר דבר שקל הקודש &lt;קרית ארבע&gt;</v>
      </c>
    </row>
    <row r="33819" spans="1:6" x14ac:dyDescent="0.2">
      <c r="A33819" t="s">
        <v>52551</v>
      </c>
      <c r="B33819" t="s">
        <v>18867</v>
      </c>
      <c r="C33819" t="s">
        <v>411</v>
      </c>
      <c r="E33819" t="s">
        <v>15</v>
      </c>
      <c r="F33819" s="2" t="str">
        <f>HYPERLINK("http://www.otzar.org/book.asp?605360","פשר דבר - מצות הפשרה ודיניה")</f>
        <v>פשר דבר - מצות הפשרה ודיניה</v>
      </c>
    </row>
    <row r="33820" spans="1:6" x14ac:dyDescent="0.2">
      <c r="A33820" t="s">
        <v>52552</v>
      </c>
      <c r="B33820" t="s">
        <v>2275</v>
      </c>
      <c r="C33820" t="s">
        <v>5163</v>
      </c>
      <c r="D33820" t="s">
        <v>6214</v>
      </c>
      <c r="E33820" t="s">
        <v>144</v>
      </c>
      <c r="F33820" s="2" t="str">
        <f>HYPERLINK("http://www.otzar.org/book.asp?191411","פשר דבר")</f>
        <v>פשר דבר</v>
      </c>
    </row>
    <row r="33821" spans="1:6" x14ac:dyDescent="0.2">
      <c r="A33821" t="s">
        <v>52553</v>
      </c>
      <c r="B33821" t="s">
        <v>52554</v>
      </c>
      <c r="C33821" t="s">
        <v>20</v>
      </c>
      <c r="D33821" t="s">
        <v>90</v>
      </c>
      <c r="E33821" t="s">
        <v>246</v>
      </c>
      <c r="F33821" s="2" t="str">
        <f>HYPERLINK("http://www.otzar.org/book.asp?630004","פשר דבר - 9 כר'")</f>
        <v>פשר דבר - 9 כר'</v>
      </c>
    </row>
    <row r="33822" spans="1:6" x14ac:dyDescent="0.2">
      <c r="A33822" t="s">
        <v>52555</v>
      </c>
      <c r="B33822" t="s">
        <v>11254</v>
      </c>
      <c r="C33822" t="s">
        <v>244</v>
      </c>
      <c r="D33822" t="s">
        <v>90</v>
      </c>
      <c r="E33822" t="s">
        <v>15</v>
      </c>
      <c r="F33822" s="2" t="str">
        <f>HYPERLINK("http://www.otzar.org/book.asp?197952","פשר הפשרה")</f>
        <v>פשר הפשרה</v>
      </c>
    </row>
    <row r="33823" spans="1:6" x14ac:dyDescent="0.2">
      <c r="A33823" t="s">
        <v>52556</v>
      </c>
      <c r="B33823" t="s">
        <v>52557</v>
      </c>
      <c r="C33823" t="s">
        <v>454</v>
      </c>
      <c r="D33823" t="s">
        <v>14</v>
      </c>
      <c r="E33823" t="s">
        <v>15</v>
      </c>
      <c r="F33823" s="2" t="str">
        <f>HYPERLINK("http://www.otzar.org/book.asp?152328","פת לחם &lt;מכון הכתב&gt;")</f>
        <v>פת לחם &lt;מכון הכתב&gt;</v>
      </c>
    </row>
    <row r="33824" spans="1:6" x14ac:dyDescent="0.2">
      <c r="A33824" t="s">
        <v>52558</v>
      </c>
      <c r="B33824" t="s">
        <v>20058</v>
      </c>
      <c r="C33824" t="s">
        <v>543</v>
      </c>
      <c r="D33824" t="s">
        <v>212</v>
      </c>
      <c r="E33824" t="s">
        <v>15</v>
      </c>
      <c r="F33824" s="2" t="str">
        <f>HYPERLINK("http://www.otzar.org/book.asp?84512","פת לחם")</f>
        <v>פת לחם</v>
      </c>
    </row>
    <row r="33825" spans="1:6" x14ac:dyDescent="0.2">
      <c r="A33825" t="s">
        <v>52559</v>
      </c>
      <c r="B33825" t="s">
        <v>22263</v>
      </c>
      <c r="C33825" t="s">
        <v>189</v>
      </c>
      <c r="D33825" t="s">
        <v>1974</v>
      </c>
      <c r="E33825" t="s">
        <v>15</v>
      </c>
      <c r="F33825" s="2" t="str">
        <f>HYPERLINK("http://www.otzar.org/book.asp?52200","פתבג המלך")</f>
        <v>פתבג המלך</v>
      </c>
    </row>
    <row r="33826" spans="1:6" x14ac:dyDescent="0.2">
      <c r="A33826" t="s">
        <v>52560</v>
      </c>
      <c r="B33826" t="s">
        <v>52561</v>
      </c>
      <c r="C33826" t="s">
        <v>129</v>
      </c>
      <c r="D33826" t="s">
        <v>52</v>
      </c>
      <c r="E33826" t="s">
        <v>606</v>
      </c>
      <c r="F33826" s="2" t="str">
        <f>HYPERLINK("http://www.otzar.org/book.asp?60285","פתגמי אורייתא - 2 כר'")</f>
        <v>פתגמי אורייתא - 2 כר'</v>
      </c>
    </row>
    <row r="33827" spans="1:6" x14ac:dyDescent="0.2">
      <c r="A33827" t="s">
        <v>52562</v>
      </c>
      <c r="B33827" t="s">
        <v>11068</v>
      </c>
      <c r="C33827" t="s">
        <v>20</v>
      </c>
      <c r="D33827" t="s">
        <v>486</v>
      </c>
      <c r="F33827" s="2" t="str">
        <f>HYPERLINK("http://www.otzar.org/book.asp?612525","פתגמי אורייתא - 7 כר'")</f>
        <v>פתגמי אורייתא - 7 כר'</v>
      </c>
    </row>
    <row r="33828" spans="1:6" x14ac:dyDescent="0.2">
      <c r="A33828" t="s">
        <v>52563</v>
      </c>
      <c r="B33828" t="s">
        <v>52564</v>
      </c>
      <c r="C33828" t="s">
        <v>114</v>
      </c>
      <c r="D33828" t="s">
        <v>52</v>
      </c>
      <c r="E33828" t="s">
        <v>144</v>
      </c>
      <c r="F33828" s="2" t="str">
        <f>HYPERLINK("http://www.otzar.org/book.asp?176057","פתגמי אורייתא - 4 כר'")</f>
        <v>פתגמי אורייתא - 4 כר'</v>
      </c>
    </row>
    <row r="33829" spans="1:6" x14ac:dyDescent="0.2">
      <c r="A33829" t="s">
        <v>52565</v>
      </c>
      <c r="B33829" t="s">
        <v>52566</v>
      </c>
      <c r="C33829" t="s">
        <v>609</v>
      </c>
      <c r="D33829" t="s">
        <v>27</v>
      </c>
      <c r="F33829" s="2" t="str">
        <f>HYPERLINK("http://www.otzar.org/book.asp?182338","פתגמי המלך שלמה ומוסרו")</f>
        <v>פתגמי המלך שלמה ומוסרו</v>
      </c>
    </row>
    <row r="33830" spans="1:6" x14ac:dyDescent="0.2">
      <c r="A33830" t="s">
        <v>52567</v>
      </c>
      <c r="B33830" t="s">
        <v>20556</v>
      </c>
      <c r="C33830" t="s">
        <v>558</v>
      </c>
      <c r="D33830" t="s">
        <v>14913</v>
      </c>
      <c r="E33830" t="s">
        <v>1211</v>
      </c>
      <c r="F33830" s="2" t="str">
        <f>HYPERLINK("http://www.otzar.org/book.asp?188723","פתגמי התלמוד")</f>
        <v>פתגמי התלמוד</v>
      </c>
    </row>
    <row r="33831" spans="1:6" x14ac:dyDescent="0.2">
      <c r="A33831" t="s">
        <v>52568</v>
      </c>
      <c r="B33831" t="s">
        <v>52569</v>
      </c>
      <c r="C33831" t="s">
        <v>2008</v>
      </c>
      <c r="D33831" t="s">
        <v>9</v>
      </c>
      <c r="E33831" t="s">
        <v>517</v>
      </c>
      <c r="F33831" s="2" t="str">
        <f>HYPERLINK("http://www.otzar.org/book.asp?107105","פתגמי חז""ל בחרוזים")</f>
        <v>פתגמי חז"ל בחרוזים</v>
      </c>
    </row>
    <row r="33832" spans="1:6" x14ac:dyDescent="0.2">
      <c r="A33832" t="s">
        <v>52570</v>
      </c>
      <c r="B33832" t="s">
        <v>1604</v>
      </c>
      <c r="C33832" t="s">
        <v>71</v>
      </c>
      <c r="D33832" t="s">
        <v>52</v>
      </c>
      <c r="E33832" t="s">
        <v>2010</v>
      </c>
      <c r="F33832" s="2" t="str">
        <f>HYPERLINK("http://www.otzar.org/book.asp?52645","פתגמים נבחרים")</f>
        <v>פתגמים נבחרים</v>
      </c>
    </row>
    <row r="33833" spans="1:6" x14ac:dyDescent="0.2">
      <c r="A33833" t="s">
        <v>52571</v>
      </c>
      <c r="B33833" t="s">
        <v>19837</v>
      </c>
      <c r="C33833" t="s">
        <v>114</v>
      </c>
      <c r="D33833" t="s">
        <v>14</v>
      </c>
      <c r="E33833" t="s">
        <v>130</v>
      </c>
      <c r="F33833" s="2" t="str">
        <f>HYPERLINK("http://www.otzar.org/book.asp?85831","פתוחי ארבעת המינים")</f>
        <v>פתוחי ארבעת המינים</v>
      </c>
    </row>
    <row r="33834" spans="1:6" x14ac:dyDescent="0.2">
      <c r="A33834" t="s">
        <v>52572</v>
      </c>
      <c r="B33834" t="s">
        <v>239</v>
      </c>
      <c r="C33834" t="s">
        <v>20</v>
      </c>
      <c r="D33834" t="s">
        <v>240</v>
      </c>
      <c r="E33834" t="s">
        <v>158</v>
      </c>
      <c r="F33834" s="2" t="str">
        <f>HYPERLINK("http://www.otzar.org/book.asp?604589","פתוחי חותם &lt;המבואר&gt; - 3 כר'")</f>
        <v>פתוחי חותם &lt;המבואר&gt; - 3 כר'</v>
      </c>
    </row>
    <row r="33835" spans="1:6" x14ac:dyDescent="0.2">
      <c r="A33835" t="s">
        <v>52573</v>
      </c>
      <c r="B33835" t="s">
        <v>52574</v>
      </c>
      <c r="C33835" t="s">
        <v>133</v>
      </c>
      <c r="D33835" t="s">
        <v>412</v>
      </c>
      <c r="E33835" t="s">
        <v>158</v>
      </c>
      <c r="F33835" s="2" t="str">
        <f>HYPERLINK("http://www.otzar.org/book.asp?198305","פתוחי חותם &lt;מהדורה חדשה&gt;")</f>
        <v>פתוחי חותם &lt;מהדורה חדשה&gt;</v>
      </c>
    </row>
    <row r="33836" spans="1:6" x14ac:dyDescent="0.2">
      <c r="A33836" t="s">
        <v>52575</v>
      </c>
      <c r="B33836" t="s">
        <v>239</v>
      </c>
      <c r="C33836" t="s">
        <v>143</v>
      </c>
      <c r="D33836" t="s">
        <v>14</v>
      </c>
      <c r="E33836" t="s">
        <v>158</v>
      </c>
      <c r="F33836" s="2" t="str">
        <f>HYPERLINK("http://www.otzar.org/book.asp?144986","פתוחי חותם - 3 כר'")</f>
        <v>פתוחי חותם - 3 כר'</v>
      </c>
    </row>
    <row r="33837" spans="1:6" x14ac:dyDescent="0.2">
      <c r="A33837" t="s">
        <v>52576</v>
      </c>
      <c r="B33837" t="s">
        <v>52574</v>
      </c>
      <c r="C33837" t="s">
        <v>915</v>
      </c>
      <c r="D33837" t="s">
        <v>76</v>
      </c>
      <c r="E33837" t="s">
        <v>1211</v>
      </c>
      <c r="F33837" s="2" t="str">
        <f>HYPERLINK("http://www.otzar.org/book.asp?101737","פתוחי חותם")</f>
        <v>פתוחי חותם</v>
      </c>
    </row>
    <row r="33838" spans="1:6" x14ac:dyDescent="0.2">
      <c r="A33838" t="s">
        <v>52577</v>
      </c>
      <c r="B33838" t="s">
        <v>44608</v>
      </c>
      <c r="C33838" t="s">
        <v>1448</v>
      </c>
      <c r="D33838" t="s">
        <v>14</v>
      </c>
      <c r="E33838" t="s">
        <v>144</v>
      </c>
      <c r="F33838" s="2" t="str">
        <f>HYPERLINK("http://www.otzar.org/book.asp?177164","פתוחי חותם - א")</f>
        <v>פתוחי חותם - א</v>
      </c>
    </row>
    <row r="33839" spans="1:6" x14ac:dyDescent="0.2">
      <c r="A33839" t="s">
        <v>52576</v>
      </c>
      <c r="B33839" t="s">
        <v>3299</v>
      </c>
      <c r="C33839" t="s">
        <v>143</v>
      </c>
      <c r="D33839" t="s">
        <v>14</v>
      </c>
      <c r="E33839" t="s">
        <v>104</v>
      </c>
      <c r="F33839" s="2" t="str">
        <f>HYPERLINK("http://www.otzar.org/book.asp?163702","פתוחי חותם")</f>
        <v>פתוחי חותם</v>
      </c>
    </row>
    <row r="33840" spans="1:6" x14ac:dyDescent="0.2">
      <c r="A33840" t="s">
        <v>52576</v>
      </c>
      <c r="B33840" t="s">
        <v>2396</v>
      </c>
      <c r="C33840" t="s">
        <v>20</v>
      </c>
      <c r="D33840" t="s">
        <v>52</v>
      </c>
      <c r="E33840" t="s">
        <v>8469</v>
      </c>
      <c r="F33840" s="2" t="str">
        <f>HYPERLINK("http://www.otzar.org/book.asp?165251","פתוחי חותם")</f>
        <v>פתוחי חותם</v>
      </c>
    </row>
    <row r="33841" spans="1:6" x14ac:dyDescent="0.2">
      <c r="A33841" t="s">
        <v>52576</v>
      </c>
      <c r="B33841" t="s">
        <v>52578</v>
      </c>
      <c r="C33841" t="s">
        <v>1640</v>
      </c>
      <c r="D33841" t="s">
        <v>52</v>
      </c>
      <c r="E33841" t="s">
        <v>741</v>
      </c>
      <c r="F33841" s="2" t="str">
        <f>HYPERLINK("http://www.otzar.org/book.asp?618408","פתוחי חותם")</f>
        <v>פתוחי חותם</v>
      </c>
    </row>
    <row r="33842" spans="1:6" x14ac:dyDescent="0.2">
      <c r="A33842" t="s">
        <v>52579</v>
      </c>
      <c r="B33842" t="s">
        <v>52580</v>
      </c>
      <c r="C33842" t="s">
        <v>17</v>
      </c>
      <c r="D33842" t="s">
        <v>14</v>
      </c>
      <c r="E33842" t="s">
        <v>154</v>
      </c>
      <c r="F33842" s="2" t="str">
        <f>HYPERLINK("http://www.otzar.org/book.asp?22528","פתוחי משפט (שו""ת)")</f>
        <v>פתוחי משפט (שו"ת)</v>
      </c>
    </row>
    <row r="33843" spans="1:6" x14ac:dyDescent="0.2">
      <c r="A33843" t="s">
        <v>52581</v>
      </c>
      <c r="B33843" t="s">
        <v>405</v>
      </c>
      <c r="C33843" t="s">
        <v>1228</v>
      </c>
      <c r="D33843" t="s">
        <v>27</v>
      </c>
      <c r="E33843" t="s">
        <v>52582</v>
      </c>
      <c r="F33843" s="2" t="str">
        <f>HYPERLINK("http://www.otzar.org/book.asp?8266","פתורא דאבא")</f>
        <v>פתורא דאבא</v>
      </c>
    </row>
    <row r="33844" spans="1:6" x14ac:dyDescent="0.2">
      <c r="A33844" t="s">
        <v>52583</v>
      </c>
      <c r="B33844" t="s">
        <v>52584</v>
      </c>
      <c r="C33844" t="s">
        <v>1096</v>
      </c>
      <c r="D33844" t="s">
        <v>283</v>
      </c>
      <c r="E33844" t="s">
        <v>144</v>
      </c>
      <c r="F33844" s="2" t="str">
        <f>HYPERLINK("http://www.otzar.org/book.asp?20555","פתח אברהם")</f>
        <v>פתח אברהם</v>
      </c>
    </row>
    <row r="33845" spans="1:6" x14ac:dyDescent="0.2">
      <c r="A33845" t="s">
        <v>52585</v>
      </c>
      <c r="B33845" t="s">
        <v>52586</v>
      </c>
      <c r="C33845" t="s">
        <v>51</v>
      </c>
      <c r="D33845" t="s">
        <v>486</v>
      </c>
      <c r="E33845" t="s">
        <v>158</v>
      </c>
      <c r="F33845" s="2" t="str">
        <f>HYPERLINK("http://www.otzar.org/book.asp?189747","פתח אליהו - 3 כר'")</f>
        <v>פתח אליהו - 3 כר'</v>
      </c>
    </row>
    <row r="33846" spans="1:6" x14ac:dyDescent="0.2">
      <c r="A33846" t="s">
        <v>52587</v>
      </c>
      <c r="B33846" t="s">
        <v>1547</v>
      </c>
      <c r="C33846" t="s">
        <v>151</v>
      </c>
      <c r="D33846" t="s">
        <v>52</v>
      </c>
      <c r="E33846" t="s">
        <v>15</v>
      </c>
      <c r="F33846" s="2" t="str">
        <f>HYPERLINK("http://www.otzar.org/book.asp?624730","פתח אליהו - 4 כר'")</f>
        <v>פתח אליהו - 4 כר'</v>
      </c>
    </row>
    <row r="33847" spans="1:6" x14ac:dyDescent="0.2">
      <c r="A33847" t="s">
        <v>52585</v>
      </c>
      <c r="B33847" t="s">
        <v>19650</v>
      </c>
      <c r="C33847" t="s">
        <v>52588</v>
      </c>
      <c r="D33847" t="s">
        <v>27</v>
      </c>
      <c r="E33847" t="s">
        <v>234</v>
      </c>
      <c r="F33847" s="2" t="str">
        <f>HYPERLINK("http://www.otzar.org/book.asp?102167","פתח אליהו - 3 כר'")</f>
        <v>פתח אליהו - 3 כר'</v>
      </c>
    </row>
    <row r="33848" spans="1:6" x14ac:dyDescent="0.2">
      <c r="A33848" t="s">
        <v>52589</v>
      </c>
      <c r="B33848" t="s">
        <v>20202</v>
      </c>
      <c r="C33848" t="s">
        <v>330</v>
      </c>
      <c r="D33848" t="s">
        <v>95</v>
      </c>
      <c r="F33848" s="2" t="str">
        <f>HYPERLINK("http://www.otzar.org/book.asp?149940","פתח דברי &lt;מתוך דקדוקים&gt;")</f>
        <v>פתח דברי &lt;מתוך דקדוקים&gt;</v>
      </c>
    </row>
    <row r="33849" spans="1:6" x14ac:dyDescent="0.2">
      <c r="A33849" t="s">
        <v>52590</v>
      </c>
      <c r="B33849" t="s">
        <v>12568</v>
      </c>
      <c r="C33849" t="s">
        <v>133</v>
      </c>
      <c r="D33849" t="s">
        <v>21</v>
      </c>
      <c r="E33849" t="s">
        <v>714</v>
      </c>
      <c r="F33849" s="2" t="str">
        <f>HYPERLINK("http://www.otzar.org/book.asp?199352","פתח דבריך יאיר")</f>
        <v>פתח דבריך יאיר</v>
      </c>
    </row>
    <row r="33850" spans="1:6" x14ac:dyDescent="0.2">
      <c r="A33850" t="s">
        <v>52591</v>
      </c>
      <c r="B33850" t="s">
        <v>52592</v>
      </c>
      <c r="C33850" t="s">
        <v>775</v>
      </c>
      <c r="D33850" t="s">
        <v>115</v>
      </c>
      <c r="E33850" t="s">
        <v>9557</v>
      </c>
      <c r="F33850" s="2" t="str">
        <f>HYPERLINK("http://www.otzar.org/book.asp?165891","פתח דבריך")</f>
        <v>פתח דבריך</v>
      </c>
    </row>
    <row r="33851" spans="1:6" x14ac:dyDescent="0.2">
      <c r="A33851" t="s">
        <v>52593</v>
      </c>
      <c r="B33851" t="s">
        <v>52594</v>
      </c>
      <c r="C33851" t="s">
        <v>176</v>
      </c>
      <c r="D33851" t="s">
        <v>14</v>
      </c>
      <c r="E33851" t="s">
        <v>158</v>
      </c>
      <c r="F33851" s="2" t="str">
        <f>HYPERLINK("http://www.otzar.org/book.asp?165313","פתח האהל &lt;מהדורה חדשה&gt; - 5 כר'")</f>
        <v>פתח האהל &lt;מהדורה חדשה&gt; - 5 כר'</v>
      </c>
    </row>
    <row r="33852" spans="1:6" x14ac:dyDescent="0.2">
      <c r="A33852" t="s">
        <v>52595</v>
      </c>
      <c r="B33852" t="s">
        <v>41103</v>
      </c>
      <c r="C33852" t="s">
        <v>1163</v>
      </c>
      <c r="D33852" t="s">
        <v>1163</v>
      </c>
      <c r="E33852" t="s">
        <v>15</v>
      </c>
      <c r="F33852" s="2" t="str">
        <f>HYPERLINK("http://www.otzar.org/book.asp?165835","פתח האהל (כתב יד)")</f>
        <v>פתח האהל (כתב יד)</v>
      </c>
    </row>
    <row r="33853" spans="1:6" x14ac:dyDescent="0.2">
      <c r="A33853" t="s">
        <v>52596</v>
      </c>
      <c r="B33853" t="s">
        <v>52594</v>
      </c>
      <c r="C33853" t="s">
        <v>20</v>
      </c>
      <c r="D33853" t="s">
        <v>240</v>
      </c>
      <c r="E33853" t="s">
        <v>158</v>
      </c>
      <c r="F33853" s="2" t="str">
        <f>HYPERLINK("http://www.otzar.org/book.asp?604616","פתח האהל המבואר - 3 כר'")</f>
        <v>פתח האהל המבואר - 3 כר'</v>
      </c>
    </row>
    <row r="33854" spans="1:6" x14ac:dyDescent="0.2">
      <c r="A33854" t="s">
        <v>52597</v>
      </c>
      <c r="B33854" t="s">
        <v>52594</v>
      </c>
      <c r="C33854" t="s">
        <v>1202</v>
      </c>
      <c r="D33854" t="s">
        <v>27</v>
      </c>
      <c r="E33854" t="s">
        <v>158</v>
      </c>
      <c r="F33854" s="2" t="str">
        <f>HYPERLINK("http://www.otzar.org/book.asp?25077","פתח האהל - 3 כר'")</f>
        <v>פתח האהל - 3 כר'</v>
      </c>
    </row>
    <row r="33855" spans="1:6" x14ac:dyDescent="0.2">
      <c r="A33855" t="s">
        <v>52598</v>
      </c>
      <c r="B33855" t="s">
        <v>52599</v>
      </c>
      <c r="C33855" t="s">
        <v>445</v>
      </c>
      <c r="D33855" t="s">
        <v>225</v>
      </c>
      <c r="E33855" t="s">
        <v>32832</v>
      </c>
      <c r="F33855" s="2" t="str">
        <f>HYPERLINK("http://www.otzar.org/book.asp?102168","פתח האהל - 2 כר'")</f>
        <v>פתח האהל - 2 כר'</v>
      </c>
    </row>
    <row r="33856" spans="1:6" x14ac:dyDescent="0.2">
      <c r="A33856" t="s">
        <v>52598</v>
      </c>
      <c r="B33856" t="s">
        <v>5561</v>
      </c>
      <c r="C33856" t="s">
        <v>237</v>
      </c>
      <c r="D33856" t="s">
        <v>27</v>
      </c>
      <c r="E33856" t="s">
        <v>3489</v>
      </c>
      <c r="F33856" s="2" t="str">
        <f>HYPERLINK("http://www.otzar.org/book.asp?144457","פתח האהל - 2 כר'")</f>
        <v>פתח האהל - 2 כר'</v>
      </c>
    </row>
    <row r="33857" spans="1:6" x14ac:dyDescent="0.2">
      <c r="A33857" t="s">
        <v>52598</v>
      </c>
      <c r="B33857" t="s">
        <v>52600</v>
      </c>
      <c r="C33857" t="s">
        <v>624</v>
      </c>
      <c r="D33857" t="s">
        <v>14</v>
      </c>
      <c r="E33857" t="s">
        <v>38</v>
      </c>
      <c r="F33857" s="2" t="str">
        <f>HYPERLINK("http://www.otzar.org/book.asp?12761","פתח האהל - 2 כר'")</f>
        <v>פתח האהל - 2 כר'</v>
      </c>
    </row>
    <row r="33858" spans="1:6" x14ac:dyDescent="0.2">
      <c r="A33858" t="s">
        <v>52601</v>
      </c>
      <c r="B33858" t="s">
        <v>12135</v>
      </c>
      <c r="C33858" t="s">
        <v>334</v>
      </c>
      <c r="D33858" t="s">
        <v>9</v>
      </c>
      <c r="E33858" t="s">
        <v>104</v>
      </c>
      <c r="F33858" s="2" t="str">
        <f>HYPERLINK("http://www.otzar.org/book.asp?626497","פתח האהל")</f>
        <v>פתח האהל</v>
      </c>
    </row>
    <row r="33859" spans="1:6" x14ac:dyDescent="0.2">
      <c r="A33859" t="s">
        <v>52598</v>
      </c>
      <c r="B33859" t="s">
        <v>52602</v>
      </c>
      <c r="C33859" t="s">
        <v>114</v>
      </c>
      <c r="D33859" t="s">
        <v>14</v>
      </c>
      <c r="E33859" t="s">
        <v>144</v>
      </c>
      <c r="F33859" s="2" t="str">
        <f>HYPERLINK("http://www.otzar.org/book.asp?161257","פתח האהל - 2 כר'")</f>
        <v>פתח האהל - 2 כר'</v>
      </c>
    </row>
    <row r="33860" spans="1:6" x14ac:dyDescent="0.2">
      <c r="A33860" t="s">
        <v>52601</v>
      </c>
      <c r="B33860" t="s">
        <v>52603</v>
      </c>
      <c r="C33860" t="s">
        <v>1706</v>
      </c>
      <c r="D33860" t="s">
        <v>41104</v>
      </c>
      <c r="E33860" t="s">
        <v>15</v>
      </c>
      <c r="F33860" s="2" t="str">
        <f>HYPERLINK("http://www.otzar.org/book.asp?143217","פתח האהל")</f>
        <v>פתח האהל</v>
      </c>
    </row>
    <row r="33861" spans="1:6" x14ac:dyDescent="0.2">
      <c r="A33861" t="s">
        <v>52601</v>
      </c>
      <c r="B33861" t="s">
        <v>52604</v>
      </c>
      <c r="C33861" t="s">
        <v>189</v>
      </c>
      <c r="D33861" t="s">
        <v>14</v>
      </c>
      <c r="E33861" t="s">
        <v>241</v>
      </c>
      <c r="F33861" s="2" t="str">
        <f>HYPERLINK("http://www.otzar.org/book.asp?85407","פתח האהל")</f>
        <v>פתח האהל</v>
      </c>
    </row>
    <row r="33862" spans="1:6" x14ac:dyDescent="0.2">
      <c r="A33862" t="s">
        <v>52605</v>
      </c>
      <c r="B33862" t="s">
        <v>5066</v>
      </c>
      <c r="C33862" t="s">
        <v>321</v>
      </c>
      <c r="D33862" t="s">
        <v>212</v>
      </c>
      <c r="E33862" t="s">
        <v>52606</v>
      </c>
      <c r="F33862" s="2" t="str">
        <f>HYPERLINK("http://www.otzar.org/book.asp?104003","פתח הבית &lt;פרי עץ חיים ועפריה דאברהם&gt;")</f>
        <v>פתח הבית &lt;פרי עץ חיים ועפריה דאברהם&gt;</v>
      </c>
    </row>
    <row r="33863" spans="1:6" x14ac:dyDescent="0.2">
      <c r="A33863" t="s">
        <v>52607</v>
      </c>
      <c r="B33863" t="s">
        <v>52608</v>
      </c>
      <c r="C33863" t="s">
        <v>553</v>
      </c>
      <c r="D33863" t="s">
        <v>52</v>
      </c>
      <c r="F33863" s="2" t="str">
        <f>HYPERLINK("http://www.otzar.org/book.asp?84962","פתח הבית")</f>
        <v>פתח הבית</v>
      </c>
    </row>
    <row r="33864" spans="1:6" x14ac:dyDescent="0.2">
      <c r="A33864" t="s">
        <v>52609</v>
      </c>
      <c r="B33864" t="s">
        <v>51173</v>
      </c>
      <c r="C33864" t="s">
        <v>5169</v>
      </c>
      <c r="D33864" t="s">
        <v>403</v>
      </c>
      <c r="E33864" t="s">
        <v>144</v>
      </c>
      <c r="F33864" s="2" t="str">
        <f>HYPERLINK("http://www.otzar.org/book.asp?101690","פתח הבית - 7 כר'")</f>
        <v>פתח הבית - 7 כר'</v>
      </c>
    </row>
    <row r="33865" spans="1:6" x14ac:dyDescent="0.2">
      <c r="A33865" t="s">
        <v>52610</v>
      </c>
      <c r="B33865" t="s">
        <v>52611</v>
      </c>
      <c r="C33865" t="s">
        <v>8</v>
      </c>
      <c r="D33865" t="s">
        <v>16553</v>
      </c>
      <c r="E33865" t="s">
        <v>5778</v>
      </c>
      <c r="F33865" s="2" t="str">
        <f>HYPERLINK("http://www.otzar.org/book.asp?6837","פתח הדביר - יצחק ירנן")</f>
        <v>פתח הדביר - יצחק ירנן</v>
      </c>
    </row>
    <row r="33866" spans="1:6" x14ac:dyDescent="0.2">
      <c r="A33866" t="s">
        <v>52612</v>
      </c>
      <c r="B33866" t="s">
        <v>52613</v>
      </c>
      <c r="C33866" t="s">
        <v>52614</v>
      </c>
      <c r="D33866" t="s">
        <v>157</v>
      </c>
      <c r="E33866" t="s">
        <v>172</v>
      </c>
      <c r="F33866" s="2" t="str">
        <f>HYPERLINK("http://www.otzar.org/book.asp?5883","פתח הדביר - 4 כר'")</f>
        <v>פתח הדביר - 4 כר'</v>
      </c>
    </row>
    <row r="33867" spans="1:6" x14ac:dyDescent="0.2">
      <c r="A33867" t="s">
        <v>52615</v>
      </c>
      <c r="B33867" t="s">
        <v>41819</v>
      </c>
      <c r="C33867" t="s">
        <v>360</v>
      </c>
      <c r="D33867" t="s">
        <v>225</v>
      </c>
      <c r="E33867" t="s">
        <v>730</v>
      </c>
      <c r="F33867" s="2" t="str">
        <f>HYPERLINK("http://www.otzar.org/book.asp?19153","פתח הדעת - 2 כר'")</f>
        <v>פתח הדעת - 2 כר'</v>
      </c>
    </row>
    <row r="33868" spans="1:6" x14ac:dyDescent="0.2">
      <c r="A33868" t="s">
        <v>52616</v>
      </c>
      <c r="B33868" t="s">
        <v>326</v>
      </c>
      <c r="C33868" t="s">
        <v>360</v>
      </c>
      <c r="D33868" t="s">
        <v>1996</v>
      </c>
      <c r="E33868" t="s">
        <v>241</v>
      </c>
      <c r="F33868" s="2" t="str">
        <f>HYPERLINK("http://www.otzar.org/book.asp?51778","פתח הדעת")</f>
        <v>פתח הדעת</v>
      </c>
    </row>
    <row r="33869" spans="1:6" x14ac:dyDescent="0.2">
      <c r="A33869" t="s">
        <v>52617</v>
      </c>
      <c r="B33869" t="s">
        <v>52618</v>
      </c>
      <c r="C33869" t="s">
        <v>422</v>
      </c>
      <c r="D33869" t="s">
        <v>7569</v>
      </c>
      <c r="F33869" s="2" t="str">
        <f>HYPERLINK("http://www.otzar.org/book.asp?163832","פתח ההגדה במשנת השפת אמת")</f>
        <v>פתח ההגדה במשנת השפת אמת</v>
      </c>
    </row>
    <row r="33870" spans="1:6" x14ac:dyDescent="0.2">
      <c r="A33870" t="s">
        <v>52619</v>
      </c>
      <c r="B33870" t="s">
        <v>52620</v>
      </c>
      <c r="C33870" t="s">
        <v>286</v>
      </c>
      <c r="D33870" t="s">
        <v>56</v>
      </c>
      <c r="E33870" t="s">
        <v>144</v>
      </c>
      <c r="F33870" s="2" t="str">
        <f>HYPERLINK("http://www.otzar.org/book.asp?140985","פתח החדוש")</f>
        <v>פתח החדוש</v>
      </c>
    </row>
    <row r="33871" spans="1:6" x14ac:dyDescent="0.2">
      <c r="A33871" t="s">
        <v>52621</v>
      </c>
      <c r="B33871" t="s">
        <v>52622</v>
      </c>
      <c r="C33871" t="s">
        <v>68</v>
      </c>
      <c r="D33871" t="s">
        <v>14</v>
      </c>
      <c r="F33871" s="2" t="str">
        <f>HYPERLINK("http://www.otzar.org/book.asp?154310","פתח הלכה - 6 כר'")</f>
        <v>פתח הלכה - 6 כר'</v>
      </c>
    </row>
    <row r="33872" spans="1:6" x14ac:dyDescent="0.2">
      <c r="A33872" t="s">
        <v>52623</v>
      </c>
      <c r="B33872" t="s">
        <v>52624</v>
      </c>
      <c r="C33872" t="s">
        <v>114</v>
      </c>
      <c r="D33872" t="s">
        <v>14</v>
      </c>
      <c r="E33872" t="s">
        <v>15</v>
      </c>
      <c r="F33872" s="2" t="str">
        <f>HYPERLINK("http://www.otzar.org/book.asp?161781","פתח הלכה - משפט הנער")</f>
        <v>פתח הלכה - משפט הנער</v>
      </c>
    </row>
    <row r="33873" spans="1:6" x14ac:dyDescent="0.2">
      <c r="A33873" t="s">
        <v>52625</v>
      </c>
      <c r="B33873" t="s">
        <v>52626</v>
      </c>
      <c r="C33873" t="s">
        <v>37</v>
      </c>
      <c r="D33873" t="s">
        <v>486</v>
      </c>
      <c r="E33873" t="s">
        <v>144</v>
      </c>
      <c r="F33873" s="2" t="str">
        <f>HYPERLINK("http://www.otzar.org/book.asp?606088","פתח הסוגיא - 12 כר'")</f>
        <v>פתח הסוגיא - 12 כר'</v>
      </c>
    </row>
    <row r="33874" spans="1:6" x14ac:dyDescent="0.2">
      <c r="A33874" t="s">
        <v>52627</v>
      </c>
      <c r="B33874" t="s">
        <v>52628</v>
      </c>
      <c r="C33874" t="s">
        <v>146</v>
      </c>
      <c r="D33874" t="s">
        <v>276</v>
      </c>
      <c r="F33874" s="2" t="str">
        <f>HYPERLINK("http://www.otzar.org/book.asp?193066","פתח העיר")</f>
        <v>פתח העיר</v>
      </c>
    </row>
    <row r="33875" spans="1:6" x14ac:dyDescent="0.2">
      <c r="A33875" t="s">
        <v>52629</v>
      </c>
      <c r="B33875" t="s">
        <v>16462</v>
      </c>
      <c r="C33875" t="s">
        <v>411</v>
      </c>
      <c r="D33875" t="s">
        <v>52</v>
      </c>
      <c r="E33875" t="s">
        <v>15</v>
      </c>
      <c r="F33875" s="2" t="str">
        <f>HYPERLINK("http://www.otzar.org/book.asp?199879","פתח העירוב - 3 כר'")</f>
        <v>פתח העירוב - 3 כר'</v>
      </c>
    </row>
    <row r="33876" spans="1:6" x14ac:dyDescent="0.2">
      <c r="A33876" t="s">
        <v>52630</v>
      </c>
      <c r="B33876" t="s">
        <v>52631</v>
      </c>
      <c r="C33876" t="s">
        <v>244</v>
      </c>
      <c r="D33876" t="s">
        <v>245</v>
      </c>
      <c r="E33876" t="s">
        <v>144</v>
      </c>
      <c r="F33876" s="2" t="str">
        <f>HYPERLINK("http://www.otzar.org/book.asp?606713","פתח הקרפף")</f>
        <v>פתח הקרפף</v>
      </c>
    </row>
    <row r="33877" spans="1:6" x14ac:dyDescent="0.2">
      <c r="A33877" t="s">
        <v>52632</v>
      </c>
      <c r="B33877" t="s">
        <v>52633</v>
      </c>
      <c r="C33877" t="s">
        <v>411</v>
      </c>
      <c r="D33877" t="s">
        <v>14</v>
      </c>
      <c r="E33877" t="s">
        <v>172</v>
      </c>
      <c r="F33877" s="2" t="str">
        <f>HYPERLINK("http://www.otzar.org/book.asp?169988","פתח השלחן")</f>
        <v>פתח השלחן</v>
      </c>
    </row>
    <row r="33878" spans="1:6" x14ac:dyDescent="0.2">
      <c r="A33878" t="s">
        <v>52634</v>
      </c>
      <c r="B33878" t="s">
        <v>52635</v>
      </c>
      <c r="C33878" t="s">
        <v>1191</v>
      </c>
      <c r="D33878" t="s">
        <v>1495</v>
      </c>
      <c r="E33878" t="s">
        <v>144</v>
      </c>
      <c r="F33878" s="2" t="str">
        <f>HYPERLINK("http://www.otzar.org/book.asp?151616","פתח השער ופתחי יה")</f>
        <v>פתח השער ופתחי יה</v>
      </c>
    </row>
    <row r="33879" spans="1:6" x14ac:dyDescent="0.2">
      <c r="A33879" t="s">
        <v>52636</v>
      </c>
      <c r="B33879" t="s">
        <v>513</v>
      </c>
      <c r="C33879" t="s">
        <v>13</v>
      </c>
      <c r="D33879" t="s">
        <v>52</v>
      </c>
      <c r="E33879" t="s">
        <v>241</v>
      </c>
      <c r="F33879" s="2" t="str">
        <f>HYPERLINK("http://www.otzar.org/book.asp?170443","פתח השער")</f>
        <v>פתח השער</v>
      </c>
    </row>
    <row r="33880" spans="1:6" x14ac:dyDescent="0.2">
      <c r="A33880" t="s">
        <v>52637</v>
      </c>
      <c r="B33880" t="s">
        <v>10535</v>
      </c>
      <c r="C33880" t="s">
        <v>2243</v>
      </c>
      <c r="D33880" t="s">
        <v>60</v>
      </c>
      <c r="E33880" t="s">
        <v>993</v>
      </c>
      <c r="F33880" s="2" t="str">
        <f>HYPERLINK("http://www.otzar.org/book.asp?102172","פתח התשובה ונחמות ישעיה")</f>
        <v>פתח התשובה ונחמות ישעיה</v>
      </c>
    </row>
    <row r="33881" spans="1:6" x14ac:dyDescent="0.2">
      <c r="A33881" t="s">
        <v>52638</v>
      </c>
      <c r="B33881" t="s">
        <v>206</v>
      </c>
      <c r="C33881" t="s">
        <v>185</v>
      </c>
      <c r="D33881" t="s">
        <v>52</v>
      </c>
      <c r="E33881" t="s">
        <v>399</v>
      </c>
      <c r="F33881" s="2" t="str">
        <f>HYPERLINK("http://www.otzar.org/book.asp?629507","פתח לאוצר - 2 כר'")</f>
        <v>פתח לאוצר - 2 כר'</v>
      </c>
    </row>
    <row r="33882" spans="1:6" x14ac:dyDescent="0.2">
      <c r="A33882" t="s">
        <v>52639</v>
      </c>
      <c r="B33882" t="s">
        <v>107</v>
      </c>
      <c r="C33882" t="s">
        <v>334</v>
      </c>
      <c r="D33882" t="s">
        <v>14</v>
      </c>
      <c r="E33882" t="s">
        <v>241</v>
      </c>
      <c r="F33882" s="2" t="str">
        <f>HYPERLINK("http://www.otzar.org/book.asp?84455","פתח לדופקים בתשובה")</f>
        <v>פתח לדופקים בתשובה</v>
      </c>
    </row>
    <row r="33883" spans="1:6" x14ac:dyDescent="0.2">
      <c r="A33883" t="s">
        <v>52640</v>
      </c>
      <c r="B33883" t="s">
        <v>3454</v>
      </c>
      <c r="C33883" t="s">
        <v>103</v>
      </c>
      <c r="D33883" t="s">
        <v>14</v>
      </c>
      <c r="E33883" t="s">
        <v>1517</v>
      </c>
      <c r="F33883" s="2" t="str">
        <f>HYPERLINK("http://www.otzar.org/book.asp?160647","פתח לנו שער")</f>
        <v>פתח לנו שער</v>
      </c>
    </row>
    <row r="33884" spans="1:6" x14ac:dyDescent="0.2">
      <c r="A33884" t="s">
        <v>52641</v>
      </c>
      <c r="B33884" t="s">
        <v>45942</v>
      </c>
      <c r="C33884" t="s">
        <v>422</v>
      </c>
      <c r="D33884" t="s">
        <v>14</v>
      </c>
      <c r="E33884" t="s">
        <v>399</v>
      </c>
      <c r="F33884" s="2" t="str">
        <f>HYPERLINK("http://www.otzar.org/book.asp?154953","פתח לסידור הרש""ש")</f>
        <v>פתח לסידור הרש"ש</v>
      </c>
    </row>
    <row r="33885" spans="1:6" x14ac:dyDescent="0.2">
      <c r="A33885" t="s">
        <v>52642</v>
      </c>
      <c r="B33885" t="s">
        <v>52643</v>
      </c>
      <c r="C33885" t="s">
        <v>422</v>
      </c>
      <c r="D33885" t="s">
        <v>52</v>
      </c>
      <c r="E33885" t="s">
        <v>399</v>
      </c>
      <c r="F33885" s="2" t="str">
        <f>HYPERLINK("http://www.otzar.org/book.asp?155806","פתח עינים החדש - ז &lt;חלק העיונים&gt;")</f>
        <v>פתח עינים החדש - ז &lt;חלק העיונים&gt;</v>
      </c>
    </row>
    <row r="33886" spans="1:6" x14ac:dyDescent="0.2">
      <c r="A33886" t="s">
        <v>52644</v>
      </c>
      <c r="B33886" t="s">
        <v>3286</v>
      </c>
      <c r="C33886" t="s">
        <v>13</v>
      </c>
      <c r="D33886" t="s">
        <v>52</v>
      </c>
      <c r="E33886" t="s">
        <v>399</v>
      </c>
      <c r="F33886" s="2" t="str">
        <f>HYPERLINK("http://www.otzar.org/book.asp?62092","פתח עינים החדש - 7 כר'")</f>
        <v>פתח עינים החדש - 7 כר'</v>
      </c>
    </row>
    <row r="33887" spans="1:6" x14ac:dyDescent="0.2">
      <c r="A33887" t="s">
        <v>52645</v>
      </c>
      <c r="B33887" t="s">
        <v>52646</v>
      </c>
      <c r="C33887" t="s">
        <v>422</v>
      </c>
      <c r="D33887" t="s">
        <v>52</v>
      </c>
      <c r="E33887" t="s">
        <v>33041</v>
      </c>
      <c r="F33887" s="2" t="str">
        <f>HYPERLINK("http://www.otzar.org/book.asp?165386","פתח עינים השלם")</f>
        <v>פתח עינים השלם</v>
      </c>
    </row>
    <row r="33888" spans="1:6" x14ac:dyDescent="0.2">
      <c r="A33888" t="s">
        <v>52647</v>
      </c>
      <c r="B33888" t="s">
        <v>52648</v>
      </c>
      <c r="C33888" t="s">
        <v>603</v>
      </c>
      <c r="D33888" t="s">
        <v>379</v>
      </c>
      <c r="E33888" t="s">
        <v>84</v>
      </c>
      <c r="F33888" s="2" t="str">
        <f>HYPERLINK("http://www.otzar.org/book.asp?173027","פתח עינים")</f>
        <v>פתח עינים</v>
      </c>
    </row>
    <row r="33889" spans="1:6" x14ac:dyDescent="0.2">
      <c r="A33889" t="s">
        <v>52649</v>
      </c>
      <c r="B33889" t="s">
        <v>1308</v>
      </c>
      <c r="C33889" t="s">
        <v>2040</v>
      </c>
      <c r="D33889" t="s">
        <v>212</v>
      </c>
      <c r="E33889" t="s">
        <v>786</v>
      </c>
      <c r="F33889" s="2" t="str">
        <f>HYPERLINK("http://www.otzar.org/book.asp?101732","פתח עינים - 3 כר'")</f>
        <v>פתח עינים - 3 כר'</v>
      </c>
    </row>
    <row r="33890" spans="1:6" x14ac:dyDescent="0.2">
      <c r="A33890" t="s">
        <v>52650</v>
      </c>
      <c r="B33890" t="s">
        <v>41349</v>
      </c>
      <c r="C33890" t="s">
        <v>956</v>
      </c>
      <c r="D33890" t="s">
        <v>14</v>
      </c>
      <c r="E33890" t="s">
        <v>241</v>
      </c>
      <c r="F33890" s="2" t="str">
        <f>HYPERLINK("http://www.otzar.org/book.asp?21438","פתח עינים - 2 כר'")</f>
        <v>פתח עינים - 2 כר'</v>
      </c>
    </row>
    <row r="33891" spans="1:6" x14ac:dyDescent="0.2">
      <c r="A33891" t="s">
        <v>52647</v>
      </c>
      <c r="B33891" t="s">
        <v>17881</v>
      </c>
      <c r="C33891" t="s">
        <v>15405</v>
      </c>
      <c r="D33891" t="s">
        <v>283</v>
      </c>
      <c r="E33891" t="s">
        <v>786</v>
      </c>
      <c r="F33891" s="2" t="str">
        <f>HYPERLINK("http://www.otzar.org/book.asp?83924","פתח עינים")</f>
        <v>פתח עינים</v>
      </c>
    </row>
    <row r="33892" spans="1:6" x14ac:dyDescent="0.2">
      <c r="A33892" t="s">
        <v>52647</v>
      </c>
      <c r="B33892" t="s">
        <v>52651</v>
      </c>
      <c r="C33892" t="s">
        <v>52652</v>
      </c>
      <c r="D33892" t="s">
        <v>212</v>
      </c>
      <c r="E33892" t="s">
        <v>1211</v>
      </c>
      <c r="F33892" s="2" t="str">
        <f>HYPERLINK("http://www.otzar.org/book.asp?102332","פתח עינים")</f>
        <v>פתח עינים</v>
      </c>
    </row>
    <row r="33893" spans="1:6" x14ac:dyDescent="0.2">
      <c r="A33893" t="s">
        <v>52653</v>
      </c>
      <c r="B33893" t="s">
        <v>2074</v>
      </c>
      <c r="C33893" t="s">
        <v>146</v>
      </c>
      <c r="D33893" t="s">
        <v>14</v>
      </c>
      <c r="E33893" t="s">
        <v>399</v>
      </c>
      <c r="F33893" s="2" t="str">
        <f>HYPERLINK("http://www.otzar.org/book.asp?144502","פתח שער השמים - בנין אריאל")</f>
        <v>פתח שער השמים - בנין אריאל</v>
      </c>
    </row>
    <row r="33894" spans="1:6" x14ac:dyDescent="0.2">
      <c r="A33894" t="s">
        <v>52654</v>
      </c>
      <c r="B33894" t="s">
        <v>5377</v>
      </c>
      <c r="C33894" t="s">
        <v>151</v>
      </c>
      <c r="D33894" t="s">
        <v>21</v>
      </c>
      <c r="F33894" s="2" t="str">
        <f>HYPERLINK("http://www.otzar.org/book.asp?622941","פתח שערי שמים - 3 כר'")</f>
        <v>פתח שערי שמים - 3 כר'</v>
      </c>
    </row>
    <row r="33895" spans="1:6" x14ac:dyDescent="0.2">
      <c r="A33895" t="s">
        <v>52655</v>
      </c>
      <c r="B33895" t="s">
        <v>52656</v>
      </c>
      <c r="C33895" t="s">
        <v>52657</v>
      </c>
      <c r="D33895" t="s">
        <v>283</v>
      </c>
      <c r="E33895" t="s">
        <v>158</v>
      </c>
      <c r="F33895" s="2" t="str">
        <f>HYPERLINK("http://www.otzar.org/book.asp?162269","פתח תקוה - ב")</f>
        <v>פתח תקוה - ב</v>
      </c>
    </row>
    <row r="33896" spans="1:6" x14ac:dyDescent="0.2">
      <c r="A33896" t="s">
        <v>52658</v>
      </c>
      <c r="B33896" t="s">
        <v>52659</v>
      </c>
      <c r="C33896" t="s">
        <v>1096</v>
      </c>
      <c r="D33896" t="s">
        <v>1422</v>
      </c>
      <c r="E33896" t="s">
        <v>52660</v>
      </c>
      <c r="F33896" s="2" t="str">
        <f>HYPERLINK("http://www.otzar.org/book.asp?103686","פתח תשובה")</f>
        <v>פתח תשובה</v>
      </c>
    </row>
    <row r="33897" spans="1:6" x14ac:dyDescent="0.2">
      <c r="A33897" t="s">
        <v>52661</v>
      </c>
      <c r="B33897" t="s">
        <v>10463</v>
      </c>
      <c r="C33897" t="s">
        <v>427</v>
      </c>
      <c r="D33897" t="s">
        <v>216</v>
      </c>
      <c r="E33897" t="s">
        <v>148</v>
      </c>
      <c r="F33897" s="2" t="str">
        <f>HYPERLINK("http://www.otzar.org/book.asp?8340","פתחא זוטא (שרגא המאיר) - נטילת ידיים")</f>
        <v>פתחא זוטא (שרגא המאיר) - נטילת ידיים</v>
      </c>
    </row>
    <row r="33898" spans="1:6" x14ac:dyDescent="0.2">
      <c r="A33898" t="s">
        <v>52662</v>
      </c>
      <c r="B33898" t="s">
        <v>10463</v>
      </c>
      <c r="C33898" t="s">
        <v>843</v>
      </c>
      <c r="D33898" t="s">
        <v>563</v>
      </c>
      <c r="E33898" t="s">
        <v>154</v>
      </c>
      <c r="F33898" s="2" t="str">
        <f>HYPERLINK("http://www.otzar.org/book.asp?13795","פתחא זוטא - 7 כר'")</f>
        <v>פתחא זוטא - 7 כר'</v>
      </c>
    </row>
    <row r="33899" spans="1:6" x14ac:dyDescent="0.2">
      <c r="A33899" t="s">
        <v>52663</v>
      </c>
      <c r="B33899" t="s">
        <v>52664</v>
      </c>
      <c r="C33899" t="s">
        <v>20</v>
      </c>
      <c r="D33899" t="s">
        <v>90</v>
      </c>
      <c r="E33899" t="s">
        <v>213</v>
      </c>
      <c r="F33899" s="2" t="str">
        <f>HYPERLINK("http://www.otzar.org/book.asp?623681","פתחה בחכמה")</f>
        <v>פתחה בחכמה</v>
      </c>
    </row>
    <row r="33900" spans="1:6" x14ac:dyDescent="0.2">
      <c r="A33900" t="s">
        <v>52665</v>
      </c>
      <c r="B33900" t="s">
        <v>52666</v>
      </c>
      <c r="C33900" t="s">
        <v>151</v>
      </c>
      <c r="D33900" t="s">
        <v>1076</v>
      </c>
      <c r="F33900" s="2" t="str">
        <f>HYPERLINK("http://www.otzar.org/book.asp?631204","פתחי אברהם - 7 כר'")</f>
        <v>פתחי אברהם - 7 כר'</v>
      </c>
    </row>
    <row r="33901" spans="1:6" x14ac:dyDescent="0.2">
      <c r="A33901" t="s">
        <v>52667</v>
      </c>
      <c r="B33901" t="s">
        <v>52668</v>
      </c>
      <c r="C33901" t="s">
        <v>411</v>
      </c>
      <c r="D33901" t="s">
        <v>3750</v>
      </c>
      <c r="E33901" t="s">
        <v>246</v>
      </c>
      <c r="F33901" s="2" t="str">
        <f>HYPERLINK("http://www.otzar.org/book.asp?192820","פתחי אור - חנוכה, פורים")</f>
        <v>פתחי אור - חנוכה, פורים</v>
      </c>
    </row>
    <row r="33902" spans="1:6" x14ac:dyDescent="0.2">
      <c r="A33902" t="s">
        <v>52669</v>
      </c>
      <c r="B33902" t="s">
        <v>52626</v>
      </c>
      <c r="C33902" t="s">
        <v>37</v>
      </c>
      <c r="D33902" t="s">
        <v>1205</v>
      </c>
      <c r="E33902" t="s">
        <v>84</v>
      </c>
      <c r="F33902" s="2" t="str">
        <f>HYPERLINK("http://www.otzar.org/book.asp?176251","פתחי אמונה - 5 כר'")</f>
        <v>פתחי אמונה - 5 כר'</v>
      </c>
    </row>
    <row r="33903" spans="1:6" x14ac:dyDescent="0.2">
      <c r="A33903" t="s">
        <v>52670</v>
      </c>
      <c r="B33903" t="s">
        <v>52671</v>
      </c>
      <c r="C33903" t="s">
        <v>114</v>
      </c>
      <c r="D33903" t="s">
        <v>115</v>
      </c>
      <c r="E33903" t="s">
        <v>84</v>
      </c>
      <c r="F33903" s="2" t="str">
        <f>HYPERLINK("http://www.otzar.org/book.asp?194195","פתחי אמונה - ביכורים")</f>
        <v>פתחי אמונה - ביכורים</v>
      </c>
    </row>
    <row r="33904" spans="1:6" x14ac:dyDescent="0.2">
      <c r="A33904" t="s">
        <v>52672</v>
      </c>
      <c r="B33904" t="s">
        <v>52673</v>
      </c>
      <c r="C33904" t="s">
        <v>111</v>
      </c>
      <c r="D33904" t="s">
        <v>1550</v>
      </c>
      <c r="E33904" t="s">
        <v>144</v>
      </c>
      <c r="F33904" s="2" t="str">
        <f>HYPERLINK("http://www.otzar.org/book.asp?630115","פתחי אשרי - בבא בתרא")</f>
        <v>פתחי אשרי - בבא בתרא</v>
      </c>
    </row>
    <row r="33905" spans="1:6" x14ac:dyDescent="0.2">
      <c r="A33905" t="s">
        <v>52674</v>
      </c>
      <c r="B33905" t="s">
        <v>52675</v>
      </c>
      <c r="C33905" t="s">
        <v>189</v>
      </c>
      <c r="D33905" t="s">
        <v>27</v>
      </c>
      <c r="E33905" t="s">
        <v>148</v>
      </c>
      <c r="F33905" s="2" t="str">
        <f>HYPERLINK("http://www.otzar.org/book.asp?174394","פתחי דעה - רבית")</f>
        <v>פתחי דעה - רבית</v>
      </c>
    </row>
    <row r="33906" spans="1:6" x14ac:dyDescent="0.2">
      <c r="A33906" t="s">
        <v>52676</v>
      </c>
      <c r="B33906" t="s">
        <v>9690</v>
      </c>
      <c r="C33906" t="s">
        <v>366</v>
      </c>
      <c r="D33906" t="s">
        <v>14</v>
      </c>
      <c r="F33906" s="2" t="str">
        <f>HYPERLINK("http://www.otzar.org/book.asp?606163","פתחי דעת")</f>
        <v>פתחי דעת</v>
      </c>
    </row>
    <row r="33907" spans="1:6" x14ac:dyDescent="0.2">
      <c r="A33907" t="s">
        <v>52676</v>
      </c>
      <c r="B33907" t="s">
        <v>41662</v>
      </c>
      <c r="C33907" t="s">
        <v>129</v>
      </c>
      <c r="D33907" t="s">
        <v>52</v>
      </c>
      <c r="E33907" t="s">
        <v>15</v>
      </c>
      <c r="F33907" s="2" t="str">
        <f>HYPERLINK("http://www.otzar.org/book.asp?151801","פתחי דעת")</f>
        <v>פתחי דעת</v>
      </c>
    </row>
    <row r="33908" spans="1:6" x14ac:dyDescent="0.2">
      <c r="A33908" t="s">
        <v>52677</v>
      </c>
      <c r="B33908" t="s">
        <v>52678</v>
      </c>
      <c r="C33908" t="s">
        <v>37</v>
      </c>
      <c r="D33908" t="s">
        <v>21</v>
      </c>
      <c r="F33908" s="2" t="str">
        <f>HYPERLINK("http://www.otzar.org/book.asp?600150","פתחי דעת - 2 כר'")</f>
        <v>פתחי דעת - 2 כר'</v>
      </c>
    </row>
    <row r="33909" spans="1:6" x14ac:dyDescent="0.2">
      <c r="A33909" t="s">
        <v>52679</v>
      </c>
      <c r="B33909" t="s">
        <v>686</v>
      </c>
      <c r="C33909" t="s">
        <v>146</v>
      </c>
      <c r="D33909" t="s">
        <v>52</v>
      </c>
      <c r="E33909" t="s">
        <v>234</v>
      </c>
      <c r="F33909" s="2" t="str">
        <f>HYPERLINK("http://www.otzar.org/book.asp?50410","פתחי הלב")</f>
        <v>פתחי הלב</v>
      </c>
    </row>
    <row r="33910" spans="1:6" x14ac:dyDescent="0.2">
      <c r="A33910" t="s">
        <v>52680</v>
      </c>
      <c r="B33910" t="s">
        <v>52681</v>
      </c>
      <c r="C33910" t="s">
        <v>454</v>
      </c>
      <c r="D33910" t="s">
        <v>1550</v>
      </c>
      <c r="E33910" t="s">
        <v>144</v>
      </c>
      <c r="F33910" s="2" t="str">
        <f>HYPERLINK("http://www.otzar.org/book.asp?176093","פתחי הלכה - שבת")</f>
        <v>פתחי הלכה - שבת</v>
      </c>
    </row>
    <row r="33911" spans="1:6" x14ac:dyDescent="0.2">
      <c r="A33911" t="s">
        <v>52680</v>
      </c>
      <c r="B33911" t="s">
        <v>16838</v>
      </c>
      <c r="C33911" t="s">
        <v>20</v>
      </c>
      <c r="E33911" t="s">
        <v>15</v>
      </c>
      <c r="F33911" s="2" t="str">
        <f>HYPERLINK("http://www.otzar.org/book.asp?601382","פתחי הלכה - שבת")</f>
        <v>פתחי הלכה - שבת</v>
      </c>
    </row>
    <row r="33912" spans="1:6" x14ac:dyDescent="0.2">
      <c r="A33912" t="s">
        <v>52682</v>
      </c>
      <c r="B33912" t="s">
        <v>52683</v>
      </c>
      <c r="C33912" t="s">
        <v>51</v>
      </c>
      <c r="D33912" t="s">
        <v>118</v>
      </c>
      <c r="E33912" t="s">
        <v>15</v>
      </c>
      <c r="F33912" s="2" t="str">
        <f>HYPERLINK("http://www.otzar.org/book.asp?621416","פתחי הלכה")</f>
        <v>פתחי הלכה</v>
      </c>
    </row>
    <row r="33913" spans="1:6" x14ac:dyDescent="0.2">
      <c r="A33913" t="s">
        <v>52684</v>
      </c>
      <c r="B33913" t="s">
        <v>52685</v>
      </c>
      <c r="C33913" t="s">
        <v>366</v>
      </c>
      <c r="D33913" t="s">
        <v>2909</v>
      </c>
      <c r="E33913" t="s">
        <v>172</v>
      </c>
      <c r="F33913" s="2" t="str">
        <f>HYPERLINK("http://www.otzar.org/book.asp?629561","פתחי הלכות - 5 כר'")</f>
        <v>פתחי הלכות - 5 כר'</v>
      </c>
    </row>
    <row r="33914" spans="1:6" x14ac:dyDescent="0.2">
      <c r="A33914" t="s">
        <v>52686</v>
      </c>
      <c r="B33914" t="s">
        <v>52687</v>
      </c>
      <c r="C33914" t="s">
        <v>20</v>
      </c>
      <c r="D33914" t="s">
        <v>52</v>
      </c>
      <c r="E33914" t="s">
        <v>144</v>
      </c>
      <c r="F33914" s="2" t="str">
        <f>HYPERLINK("http://www.otzar.org/book.asp?61688","פתחי המבוי - פ""ק דעירובין")</f>
        <v>פתחי המבוי - פ"ק דעירובין</v>
      </c>
    </row>
    <row r="33915" spans="1:6" x14ac:dyDescent="0.2">
      <c r="A33915" t="s">
        <v>52688</v>
      </c>
      <c r="B33915" t="s">
        <v>52689</v>
      </c>
      <c r="C33915" t="s">
        <v>20</v>
      </c>
      <c r="D33915" t="s">
        <v>14</v>
      </c>
      <c r="E33915" t="s">
        <v>84</v>
      </c>
      <c r="F33915" s="2" t="str">
        <f>HYPERLINK("http://www.otzar.org/book.asp?604558","פתחי זבים")</f>
        <v>פתחי זבים</v>
      </c>
    </row>
    <row r="33916" spans="1:6" x14ac:dyDescent="0.2">
      <c r="A33916" t="s">
        <v>52690</v>
      </c>
      <c r="B33916" t="s">
        <v>11932</v>
      </c>
      <c r="C33916" t="s">
        <v>366</v>
      </c>
      <c r="D33916" t="s">
        <v>21</v>
      </c>
      <c r="E33916" t="s">
        <v>172</v>
      </c>
      <c r="F33916" s="2" t="str">
        <f>HYPERLINK("http://www.otzar.org/book.asp?605237","פתחי חושן &lt;מהדורה חדשה&gt; - 9 כר'")</f>
        <v>פתחי חושן &lt;מהדורה חדשה&gt; - 9 כר'</v>
      </c>
    </row>
    <row r="33917" spans="1:6" x14ac:dyDescent="0.2">
      <c r="A33917" t="s">
        <v>52691</v>
      </c>
      <c r="B33917" t="s">
        <v>11932</v>
      </c>
      <c r="C33917" t="s">
        <v>553</v>
      </c>
      <c r="D33917" t="s">
        <v>14</v>
      </c>
      <c r="E33917" t="s">
        <v>15</v>
      </c>
      <c r="F33917" s="2" t="str">
        <f>HYPERLINK("http://www.otzar.org/book.asp?53221","פתחי חושן - 9 כר'")</f>
        <v>פתחי חושן - 9 כר'</v>
      </c>
    </row>
    <row r="33918" spans="1:6" x14ac:dyDescent="0.2">
      <c r="A33918" t="s">
        <v>52692</v>
      </c>
      <c r="B33918" t="s">
        <v>1390</v>
      </c>
      <c r="C33918" t="s">
        <v>503</v>
      </c>
      <c r="D33918" t="s">
        <v>283</v>
      </c>
      <c r="E33918" t="s">
        <v>399</v>
      </c>
      <c r="F33918" s="2" t="str">
        <f>HYPERLINK("http://www.otzar.org/book.asp?100615","פתחי חכמה ודעת")</f>
        <v>פתחי חכמה ודעת</v>
      </c>
    </row>
    <row r="33919" spans="1:6" x14ac:dyDescent="0.2">
      <c r="A33919" t="s">
        <v>52693</v>
      </c>
      <c r="B33919" t="s">
        <v>23556</v>
      </c>
      <c r="C33919" t="s">
        <v>111</v>
      </c>
      <c r="D33919" t="s">
        <v>23557</v>
      </c>
      <c r="E33919" t="s">
        <v>241</v>
      </c>
      <c r="F33919" s="2" t="str">
        <f>HYPERLINK("http://www.otzar.org/book.asp?630084","פתחי חכמה - ענווה וגאוה")</f>
        <v>פתחי חכמה - ענווה וגאוה</v>
      </c>
    </row>
    <row r="33920" spans="1:6" x14ac:dyDescent="0.2">
      <c r="A33920" t="s">
        <v>52694</v>
      </c>
      <c r="B33920" t="s">
        <v>52687</v>
      </c>
      <c r="C33920" t="s">
        <v>133</v>
      </c>
      <c r="D33920" t="s">
        <v>80</v>
      </c>
      <c r="E33920" t="s">
        <v>144</v>
      </c>
      <c r="F33920" s="2" t="str">
        <f>HYPERLINK("http://www.otzar.org/book.asp?601304","פתחי חכמה - 2 כר'")</f>
        <v>פתחי חכמה - 2 כר'</v>
      </c>
    </row>
    <row r="33921" spans="1:6" x14ac:dyDescent="0.2">
      <c r="A33921" t="s">
        <v>52695</v>
      </c>
      <c r="B33921" t="s">
        <v>41662</v>
      </c>
      <c r="C33921" t="s">
        <v>411</v>
      </c>
      <c r="D33921" t="s">
        <v>52</v>
      </c>
      <c r="E33921" t="s">
        <v>144</v>
      </c>
      <c r="F33921" s="2" t="str">
        <f>HYPERLINK("http://www.otzar.org/book.asp?180101","פתחי טהר - נדה, מקוואות")</f>
        <v>פתחי טהר - נדה, מקוואות</v>
      </c>
    </row>
    <row r="33922" spans="1:6" x14ac:dyDescent="0.2">
      <c r="A33922" t="s">
        <v>52696</v>
      </c>
      <c r="B33922" t="s">
        <v>22316</v>
      </c>
      <c r="C33922" t="s">
        <v>411</v>
      </c>
      <c r="D33922" t="s">
        <v>367</v>
      </c>
      <c r="E33922" t="s">
        <v>148</v>
      </c>
      <c r="F33922" s="2" t="str">
        <f>HYPERLINK("http://www.otzar.org/book.asp?199079","פתחי טהרה - 4 כר'")</f>
        <v>פתחי טהרה - 4 כר'</v>
      </c>
    </row>
    <row r="33923" spans="1:6" x14ac:dyDescent="0.2">
      <c r="A33923" t="s">
        <v>52697</v>
      </c>
      <c r="B33923" t="s">
        <v>23156</v>
      </c>
      <c r="C33923" t="s">
        <v>533</v>
      </c>
      <c r="D33923" t="s">
        <v>52</v>
      </c>
      <c r="F33923" s="2" t="str">
        <f>HYPERLINK("http://www.otzar.org/book.asp?622684","פתחי טהרה")</f>
        <v>פתחי טהרה</v>
      </c>
    </row>
    <row r="33924" spans="1:6" x14ac:dyDescent="0.2">
      <c r="A33924" t="s">
        <v>52697</v>
      </c>
      <c r="B33924" t="s">
        <v>52698</v>
      </c>
      <c r="C33924" t="s">
        <v>189</v>
      </c>
      <c r="D33924" t="s">
        <v>367</v>
      </c>
      <c r="E33924" t="s">
        <v>148</v>
      </c>
      <c r="F33924" s="2" t="str">
        <f>HYPERLINK("http://www.otzar.org/book.asp?173241","פתחי טהרה")</f>
        <v>פתחי טהרה</v>
      </c>
    </row>
    <row r="33925" spans="1:6" x14ac:dyDescent="0.2">
      <c r="A33925" t="s">
        <v>52697</v>
      </c>
      <c r="B33925" t="s">
        <v>52699</v>
      </c>
      <c r="C33925" t="s">
        <v>23</v>
      </c>
      <c r="D33925" t="s">
        <v>412</v>
      </c>
      <c r="E33925" t="s">
        <v>15</v>
      </c>
      <c r="F33925" s="2" t="str">
        <f>HYPERLINK("http://www.otzar.org/book.asp?194227","פתחי טהרה")</f>
        <v>פתחי טהרה</v>
      </c>
    </row>
    <row r="33926" spans="1:6" x14ac:dyDescent="0.2">
      <c r="A33926" t="s">
        <v>52700</v>
      </c>
      <c r="B33926" t="s">
        <v>6210</v>
      </c>
      <c r="C33926" t="s">
        <v>8820</v>
      </c>
      <c r="D33926" t="s">
        <v>744</v>
      </c>
      <c r="F33926" s="2" t="str">
        <f>HYPERLINK("http://www.otzar.org/book.asp?619041","פתחי יה - 3 כר'")</f>
        <v>פתחי יה - 3 כר'</v>
      </c>
    </row>
    <row r="33927" spans="1:6" x14ac:dyDescent="0.2">
      <c r="A33927" t="s">
        <v>52701</v>
      </c>
      <c r="B33927" t="s">
        <v>52702</v>
      </c>
      <c r="C33927" t="s">
        <v>1937</v>
      </c>
      <c r="D33927" t="s">
        <v>267</v>
      </c>
      <c r="E33927" t="s">
        <v>84</v>
      </c>
      <c r="F33927" s="2" t="str">
        <f>HYPERLINK("http://www.otzar.org/book.asp?51787","פתחי יה")</f>
        <v>פתחי יה</v>
      </c>
    </row>
    <row r="33928" spans="1:6" x14ac:dyDescent="0.2">
      <c r="A33928" t="s">
        <v>52703</v>
      </c>
      <c r="B33928" t="s">
        <v>52704</v>
      </c>
      <c r="C33928" t="s">
        <v>133</v>
      </c>
      <c r="D33928" t="s">
        <v>245</v>
      </c>
      <c r="E33928" t="s">
        <v>144</v>
      </c>
      <c r="F33928" s="2" t="str">
        <f>HYPERLINK("http://www.otzar.org/book.asp?172800","פתחי יצחק - עירובין")</f>
        <v>פתחי יצחק - עירובין</v>
      </c>
    </row>
    <row r="33929" spans="1:6" x14ac:dyDescent="0.2">
      <c r="A33929" t="s">
        <v>52705</v>
      </c>
      <c r="B33929" t="s">
        <v>5470</v>
      </c>
      <c r="C33929" t="s">
        <v>366</v>
      </c>
      <c r="D33929" t="s">
        <v>118</v>
      </c>
      <c r="E33929" t="s">
        <v>15</v>
      </c>
      <c r="F33929" s="2" t="str">
        <f>HYPERLINK("http://www.otzar.org/book.asp?627395","פתחי כלאים")</f>
        <v>פתחי כלאים</v>
      </c>
    </row>
    <row r="33930" spans="1:6" x14ac:dyDescent="0.2">
      <c r="A33930" t="s">
        <v>52706</v>
      </c>
      <c r="B33930" t="s">
        <v>52707</v>
      </c>
      <c r="C33930" t="s">
        <v>13</v>
      </c>
      <c r="D33930" t="s">
        <v>14</v>
      </c>
      <c r="E33930" t="s">
        <v>1211</v>
      </c>
      <c r="F33930" s="2" t="str">
        <f>HYPERLINK("http://www.otzar.org/book.asp?153093","פתחי מאיר")</f>
        <v>פתחי מאיר</v>
      </c>
    </row>
    <row r="33931" spans="1:6" x14ac:dyDescent="0.2">
      <c r="A33931" t="s">
        <v>52708</v>
      </c>
      <c r="B33931" t="s">
        <v>19443</v>
      </c>
      <c r="C33931" t="s">
        <v>334</v>
      </c>
      <c r="D33931" t="s">
        <v>14</v>
      </c>
      <c r="E33931" t="s">
        <v>148</v>
      </c>
      <c r="F33931" s="2" t="str">
        <f>HYPERLINK("http://www.otzar.org/book.asp?153567","פתחי מגדים")</f>
        <v>פתחי מגדים</v>
      </c>
    </row>
    <row r="33932" spans="1:6" x14ac:dyDescent="0.2">
      <c r="A33932" t="s">
        <v>52708</v>
      </c>
      <c r="B33932" t="s">
        <v>52709</v>
      </c>
      <c r="C33932" t="s">
        <v>585</v>
      </c>
      <c r="D33932" t="s">
        <v>14</v>
      </c>
      <c r="E33932" t="s">
        <v>130</v>
      </c>
      <c r="F33932" s="2" t="str">
        <f>HYPERLINK("http://www.otzar.org/book.asp?142361","פתחי מגדים")</f>
        <v>פתחי מגדים</v>
      </c>
    </row>
    <row r="33933" spans="1:6" x14ac:dyDescent="0.2">
      <c r="A33933" t="s">
        <v>52710</v>
      </c>
      <c r="B33933" t="s">
        <v>11441</v>
      </c>
      <c r="C33933" t="s">
        <v>133</v>
      </c>
      <c r="D33933" t="s">
        <v>21</v>
      </c>
      <c r="F33933" s="2" t="str">
        <f>HYPERLINK("http://www.otzar.org/book.asp?610192","פתחי מגדים - 2 כר'")</f>
        <v>פתחי מגדים - 2 כר'</v>
      </c>
    </row>
    <row r="33934" spans="1:6" x14ac:dyDescent="0.2">
      <c r="A33934" t="s">
        <v>52711</v>
      </c>
      <c r="B33934" t="s">
        <v>13596</v>
      </c>
      <c r="C33934" t="s">
        <v>383</v>
      </c>
      <c r="D33934" t="s">
        <v>14</v>
      </c>
      <c r="E33934" t="s">
        <v>588</v>
      </c>
      <c r="F33934" s="2" t="str">
        <f>HYPERLINK("http://www.otzar.org/book.asp?11034","פתחי מהרש""ם")</f>
        <v>פתחי מהרש"ם</v>
      </c>
    </row>
    <row r="33935" spans="1:6" x14ac:dyDescent="0.2">
      <c r="A33935" t="s">
        <v>52712</v>
      </c>
      <c r="B33935" t="s">
        <v>52713</v>
      </c>
      <c r="C33935" t="s">
        <v>422</v>
      </c>
      <c r="D33935" t="s">
        <v>2196</v>
      </c>
      <c r="E33935" t="s">
        <v>3516</v>
      </c>
      <c r="F33935" s="2" t="str">
        <f>HYPERLINK("http://www.otzar.org/book.asp?159048","פתחי מוקצה")</f>
        <v>פתחי מוקצה</v>
      </c>
    </row>
    <row r="33936" spans="1:6" x14ac:dyDescent="0.2">
      <c r="A33936" t="s">
        <v>52714</v>
      </c>
      <c r="B33936" t="s">
        <v>15230</v>
      </c>
      <c r="C33936" t="s">
        <v>366</v>
      </c>
      <c r="D33936" t="s">
        <v>1156</v>
      </c>
      <c r="E33936" t="s">
        <v>15</v>
      </c>
      <c r="F33936" s="2" t="str">
        <f>HYPERLINK("http://www.otzar.org/book.asp?611787","פתחי מזוזות")</f>
        <v>פתחי מזוזות</v>
      </c>
    </row>
    <row r="33937" spans="1:6" x14ac:dyDescent="0.2">
      <c r="A33937" t="s">
        <v>52715</v>
      </c>
      <c r="B33937" t="s">
        <v>11932</v>
      </c>
      <c r="C33937" t="s">
        <v>37</v>
      </c>
      <c r="D33937" t="s">
        <v>21</v>
      </c>
      <c r="E33937" t="s">
        <v>15</v>
      </c>
      <c r="F33937" s="2" t="str">
        <f>HYPERLINK("http://www.otzar.org/book.asp?190313","פתחי מקוואות")</f>
        <v>פתחי מקוואות</v>
      </c>
    </row>
    <row r="33938" spans="1:6" x14ac:dyDescent="0.2">
      <c r="A33938" t="s">
        <v>52716</v>
      </c>
      <c r="B33938" t="s">
        <v>52717</v>
      </c>
      <c r="C33938" t="s">
        <v>52718</v>
      </c>
      <c r="D33938" t="s">
        <v>283</v>
      </c>
      <c r="E33938" t="s">
        <v>172</v>
      </c>
      <c r="F33938" s="2" t="str">
        <f>HYPERLINK("http://www.otzar.org/book.asp?14223","פתחי משפט - 2 כר'")</f>
        <v>פתחי משפט - 2 כר'</v>
      </c>
    </row>
    <row r="33939" spans="1:6" x14ac:dyDescent="0.2">
      <c r="A33939" t="s">
        <v>52719</v>
      </c>
      <c r="B33939" t="s">
        <v>52720</v>
      </c>
      <c r="C33939" t="s">
        <v>20</v>
      </c>
      <c r="D33939" t="s">
        <v>52</v>
      </c>
      <c r="E33939" t="s">
        <v>172</v>
      </c>
      <c r="F33939" s="2" t="str">
        <f>HYPERLINK("http://www.otzar.org/book.asp?61481","פתחי משפט - הלכות הונאה")</f>
        <v>פתחי משפט - הלכות הונאה</v>
      </c>
    </row>
    <row r="33940" spans="1:6" x14ac:dyDescent="0.2">
      <c r="A33940" t="s">
        <v>52721</v>
      </c>
      <c r="B33940" t="s">
        <v>52722</v>
      </c>
      <c r="C33940" t="s">
        <v>11821</v>
      </c>
      <c r="D33940" t="s">
        <v>267</v>
      </c>
      <c r="E33940" t="s">
        <v>5992</v>
      </c>
      <c r="F33940" s="2" t="str">
        <f>HYPERLINK("http://www.otzar.org/book.asp?101641","פתחי נדה")</f>
        <v>פתחי נדה</v>
      </c>
    </row>
    <row r="33941" spans="1:6" x14ac:dyDescent="0.2">
      <c r="A33941" t="s">
        <v>52721</v>
      </c>
      <c r="B33941" t="s">
        <v>52723</v>
      </c>
      <c r="C33941" t="s">
        <v>13</v>
      </c>
      <c r="D33941" t="s">
        <v>3859</v>
      </c>
      <c r="E33941" t="s">
        <v>933</v>
      </c>
      <c r="F33941" s="2" t="str">
        <f>HYPERLINK("http://www.otzar.org/book.asp?61748","פתחי נדה")</f>
        <v>פתחי נדה</v>
      </c>
    </row>
    <row r="33942" spans="1:6" x14ac:dyDescent="0.2">
      <c r="A33942" t="s">
        <v>52724</v>
      </c>
      <c r="B33942" t="s">
        <v>52725</v>
      </c>
      <c r="C33942" t="s">
        <v>129</v>
      </c>
      <c r="D33942" t="s">
        <v>52</v>
      </c>
      <c r="E33942" t="s">
        <v>15</v>
      </c>
      <c r="F33942" s="2" t="str">
        <f>HYPERLINK("http://www.otzar.org/book.asp?52279","פתחי נזיר")</f>
        <v>פתחי נזיר</v>
      </c>
    </row>
    <row r="33943" spans="1:6" x14ac:dyDescent="0.2">
      <c r="A33943" t="s">
        <v>52726</v>
      </c>
      <c r="B33943" t="s">
        <v>52698</v>
      </c>
      <c r="C33943" t="s">
        <v>185</v>
      </c>
      <c r="D33943" t="s">
        <v>52</v>
      </c>
      <c r="E33943" t="s">
        <v>84</v>
      </c>
      <c r="F33943" s="2" t="str">
        <f>HYPERLINK("http://www.otzar.org/book.asp?629509","פתחי סוגיות - פאה")</f>
        <v>פתחי סוגיות - פאה</v>
      </c>
    </row>
    <row r="33944" spans="1:6" x14ac:dyDescent="0.2">
      <c r="A33944" t="s">
        <v>52727</v>
      </c>
      <c r="B33944" t="s">
        <v>52728</v>
      </c>
      <c r="C33944" t="s">
        <v>411</v>
      </c>
      <c r="D33944" t="s">
        <v>52</v>
      </c>
      <c r="E33944" t="s">
        <v>144</v>
      </c>
      <c r="F33944" s="2" t="str">
        <f>HYPERLINK("http://www.otzar.org/book.asp?623766","פתחי סוכה")</f>
        <v>פתחי סוכה</v>
      </c>
    </row>
    <row r="33945" spans="1:6" x14ac:dyDescent="0.2">
      <c r="A33945" t="s">
        <v>52729</v>
      </c>
      <c r="B33945" t="s">
        <v>52730</v>
      </c>
      <c r="C33945" t="s">
        <v>2076</v>
      </c>
      <c r="D33945" t="s">
        <v>56</v>
      </c>
      <c r="E33945" t="s">
        <v>52072</v>
      </c>
      <c r="F33945" s="2" t="str">
        <f>HYPERLINK("http://www.otzar.org/book.asp?148158","פתחי עולם")</f>
        <v>פתחי עולם</v>
      </c>
    </row>
    <row r="33946" spans="1:6" x14ac:dyDescent="0.2">
      <c r="A33946" t="s">
        <v>52731</v>
      </c>
      <c r="B33946" t="s">
        <v>52732</v>
      </c>
      <c r="C33946" t="s">
        <v>111</v>
      </c>
      <c r="D33946" t="s">
        <v>90</v>
      </c>
      <c r="E33946" t="s">
        <v>144</v>
      </c>
      <c r="F33946" s="2" t="str">
        <f>HYPERLINK("http://www.otzar.org/book.asp?629510","פתחי עזר - 5 כר'")</f>
        <v>פתחי עזר - 5 כר'</v>
      </c>
    </row>
    <row r="33947" spans="1:6" x14ac:dyDescent="0.2">
      <c r="A33947" t="s">
        <v>52733</v>
      </c>
      <c r="B33947" t="s">
        <v>52717</v>
      </c>
      <c r="C33947" t="s">
        <v>888</v>
      </c>
      <c r="D33947" t="s">
        <v>283</v>
      </c>
      <c r="E33947" t="s">
        <v>172</v>
      </c>
      <c r="F33947" s="2" t="str">
        <f>HYPERLINK("http://www.otzar.org/book.asp?101691","פתחי עזרה")</f>
        <v>פתחי עזרה</v>
      </c>
    </row>
    <row r="33948" spans="1:6" x14ac:dyDescent="0.2">
      <c r="A33948" t="s">
        <v>52734</v>
      </c>
      <c r="B33948" t="s">
        <v>52687</v>
      </c>
      <c r="C33948" t="s">
        <v>13</v>
      </c>
      <c r="D33948" t="s">
        <v>52</v>
      </c>
      <c r="E33948" t="s">
        <v>803</v>
      </c>
      <c r="F33948" s="2" t="str">
        <f>HYPERLINK("http://www.otzar.org/book.asp?62906","פתחי שבת - 2 כר'")</f>
        <v>פתחי שבת - 2 כר'</v>
      </c>
    </row>
    <row r="33949" spans="1:6" x14ac:dyDescent="0.2">
      <c r="A33949" t="s">
        <v>52735</v>
      </c>
      <c r="B33949" t="s">
        <v>24088</v>
      </c>
      <c r="C33949" t="s">
        <v>124</v>
      </c>
      <c r="D33949" t="s">
        <v>14</v>
      </c>
      <c r="F33949" s="2" t="str">
        <f>HYPERLINK("http://www.otzar.org/book.asp?27029","פתחי שערים")</f>
        <v>פתחי שערים</v>
      </c>
    </row>
    <row r="33950" spans="1:6" x14ac:dyDescent="0.2">
      <c r="A33950" t="s">
        <v>52735</v>
      </c>
      <c r="B33950" t="s">
        <v>46509</v>
      </c>
      <c r="C33950" t="s">
        <v>23</v>
      </c>
      <c r="D33950" t="s">
        <v>14</v>
      </c>
      <c r="E33950" t="s">
        <v>144</v>
      </c>
      <c r="F33950" s="2" t="str">
        <f>HYPERLINK("http://www.otzar.org/book.asp?190258","פתחי שערים")</f>
        <v>פתחי שערים</v>
      </c>
    </row>
    <row r="33951" spans="1:6" x14ac:dyDescent="0.2">
      <c r="A33951" t="s">
        <v>52735</v>
      </c>
      <c r="B33951" t="s">
        <v>52736</v>
      </c>
      <c r="C33951" t="s">
        <v>767</v>
      </c>
      <c r="D33951" t="s">
        <v>14</v>
      </c>
      <c r="E33951" t="s">
        <v>803</v>
      </c>
      <c r="F33951" s="2" t="str">
        <f>HYPERLINK("http://www.otzar.org/book.asp?152548","פתחי שערים")</f>
        <v>פתחי שערים</v>
      </c>
    </row>
    <row r="33952" spans="1:6" x14ac:dyDescent="0.2">
      <c r="A33952" t="s">
        <v>52737</v>
      </c>
      <c r="B33952" t="s">
        <v>52717</v>
      </c>
      <c r="C33952" t="s">
        <v>52738</v>
      </c>
      <c r="D33952" t="s">
        <v>52739</v>
      </c>
      <c r="E33952" t="s">
        <v>21917</v>
      </c>
      <c r="F33952" s="2" t="str">
        <f>HYPERLINK("http://www.otzar.org/book.asp?145086","פתחי שערים - 2 כר'")</f>
        <v>פתחי שערים - 2 כר'</v>
      </c>
    </row>
    <row r="33953" spans="1:6" x14ac:dyDescent="0.2">
      <c r="A33953" t="s">
        <v>52740</v>
      </c>
      <c r="B33953" t="s">
        <v>52741</v>
      </c>
      <c r="C33953" t="s">
        <v>915</v>
      </c>
      <c r="D33953" t="s">
        <v>4703</v>
      </c>
      <c r="E33953" t="s">
        <v>144</v>
      </c>
      <c r="F33953" s="2" t="str">
        <f>HYPERLINK("http://www.otzar.org/book.asp?23497","פתחי שערים - 3 כר'")</f>
        <v>פתחי שערים - 3 כר'</v>
      </c>
    </row>
    <row r="33954" spans="1:6" x14ac:dyDescent="0.2">
      <c r="A33954" t="s">
        <v>52742</v>
      </c>
      <c r="B33954" t="s">
        <v>11462</v>
      </c>
      <c r="C33954" t="s">
        <v>1954</v>
      </c>
      <c r="D33954" t="s">
        <v>412</v>
      </c>
      <c r="E33954" t="s">
        <v>803</v>
      </c>
      <c r="F33954" s="2" t="str">
        <f>HYPERLINK("http://www.otzar.org/book.asp?104139","פתחי שערים - א")</f>
        <v>פתחי שערים - א</v>
      </c>
    </row>
    <row r="33955" spans="1:6" x14ac:dyDescent="0.2">
      <c r="A33955" t="s">
        <v>52735</v>
      </c>
      <c r="B33955" t="s">
        <v>3522</v>
      </c>
      <c r="C33955" t="s">
        <v>429</v>
      </c>
      <c r="D33955" t="s">
        <v>283</v>
      </c>
      <c r="E33955" t="s">
        <v>399</v>
      </c>
      <c r="F33955" s="2" t="str">
        <f>HYPERLINK("http://www.otzar.org/book.asp?102174","פתחי שערים")</f>
        <v>פתחי שערים</v>
      </c>
    </row>
    <row r="33956" spans="1:6" x14ac:dyDescent="0.2">
      <c r="A33956" t="s">
        <v>52735</v>
      </c>
      <c r="B33956" t="s">
        <v>29023</v>
      </c>
      <c r="C33956" t="s">
        <v>12101</v>
      </c>
      <c r="D33956" t="s">
        <v>1365</v>
      </c>
      <c r="F33956" s="2" t="str">
        <f>HYPERLINK("http://www.otzar.org/book.asp?620607","פתחי שערים")</f>
        <v>פתחי שערים</v>
      </c>
    </row>
    <row r="33957" spans="1:6" x14ac:dyDescent="0.2">
      <c r="A33957" t="s">
        <v>52735</v>
      </c>
      <c r="B33957" t="s">
        <v>52743</v>
      </c>
      <c r="C33957" t="s">
        <v>4562</v>
      </c>
      <c r="D33957" t="s">
        <v>49</v>
      </c>
      <c r="E33957" t="s">
        <v>213</v>
      </c>
      <c r="F33957" s="2" t="str">
        <f>HYPERLINK("http://www.otzar.org/book.asp?146843","פתחי שערים")</f>
        <v>פתחי שערים</v>
      </c>
    </row>
    <row r="33958" spans="1:6" x14ac:dyDescent="0.2">
      <c r="A33958" t="s">
        <v>52735</v>
      </c>
      <c r="B33958" t="s">
        <v>52744</v>
      </c>
      <c r="C33958" t="s">
        <v>87</v>
      </c>
      <c r="D33958" t="s">
        <v>1180</v>
      </c>
      <c r="E33958" t="s">
        <v>15</v>
      </c>
      <c r="F33958" s="2" t="str">
        <f>HYPERLINK("http://www.otzar.org/book.asp?52299","פתחי שערים")</f>
        <v>פתחי שערים</v>
      </c>
    </row>
    <row r="33959" spans="1:6" x14ac:dyDescent="0.2">
      <c r="A33959" t="s">
        <v>52745</v>
      </c>
      <c r="B33959" t="s">
        <v>52746</v>
      </c>
      <c r="C33959" t="s">
        <v>1663</v>
      </c>
      <c r="D33959" t="s">
        <v>646</v>
      </c>
      <c r="E33959" t="s">
        <v>674</v>
      </c>
      <c r="F33959" s="2" t="str">
        <f>HYPERLINK("http://www.otzar.org/book.asp?8319","פתחי שערים - עירובין")</f>
        <v>פתחי שערים - עירובין</v>
      </c>
    </row>
    <row r="33960" spans="1:6" x14ac:dyDescent="0.2">
      <c r="A33960" t="s">
        <v>52747</v>
      </c>
      <c r="B33960" t="s">
        <v>52748</v>
      </c>
      <c r="C33960" t="s">
        <v>52749</v>
      </c>
      <c r="D33960" t="s">
        <v>283</v>
      </c>
      <c r="E33960" t="s">
        <v>144</v>
      </c>
      <c r="F33960" s="2" t="str">
        <f>HYPERLINK("http://www.otzar.org/book.asp?19448","פתחי תבונה - 2 כר'")</f>
        <v>פתחי תבונה - 2 כר'</v>
      </c>
    </row>
    <row r="33961" spans="1:6" x14ac:dyDescent="0.2">
      <c r="A33961" t="s">
        <v>52750</v>
      </c>
      <c r="B33961" t="s">
        <v>52751</v>
      </c>
      <c r="C33961" t="s">
        <v>812</v>
      </c>
      <c r="D33961" t="s">
        <v>283</v>
      </c>
      <c r="E33961" t="s">
        <v>463</v>
      </c>
      <c r="F33961" s="2" t="str">
        <f>HYPERLINK("http://www.otzar.org/book.asp?141123","פתחי תורה - 2 כר'")</f>
        <v>פתחי תורה - 2 כר'</v>
      </c>
    </row>
    <row r="33962" spans="1:6" x14ac:dyDescent="0.2">
      <c r="A33962" t="s">
        <v>52752</v>
      </c>
      <c r="B33962" t="s">
        <v>52725</v>
      </c>
      <c r="C33962" t="s">
        <v>133</v>
      </c>
      <c r="D33962" t="s">
        <v>52</v>
      </c>
      <c r="E33962" t="s">
        <v>15</v>
      </c>
      <c r="F33962" s="2" t="str">
        <f>HYPERLINK("http://www.otzar.org/book.asp?604559","פתחי תורה")</f>
        <v>פתחי תורה</v>
      </c>
    </row>
    <row r="33963" spans="1:6" x14ac:dyDescent="0.2">
      <c r="A33963" t="s">
        <v>52753</v>
      </c>
      <c r="B33963" t="s">
        <v>7922</v>
      </c>
      <c r="C33963" t="s">
        <v>1458</v>
      </c>
      <c r="D33963" t="s">
        <v>56</v>
      </c>
      <c r="E33963" t="s">
        <v>684</v>
      </c>
      <c r="F33963" s="2" t="str">
        <f>HYPERLINK("http://www.otzar.org/book.asp?13434","פתחי תשובה")</f>
        <v>פתחי תשובה</v>
      </c>
    </row>
    <row r="33964" spans="1:6" x14ac:dyDescent="0.2">
      <c r="A33964" t="s">
        <v>52754</v>
      </c>
      <c r="B33964" t="s">
        <v>107</v>
      </c>
      <c r="C33964" t="s">
        <v>383</v>
      </c>
      <c r="D33964" t="s">
        <v>14</v>
      </c>
      <c r="E33964" t="s">
        <v>714</v>
      </c>
      <c r="F33964" s="2" t="str">
        <f>HYPERLINK("http://www.otzar.org/book.asp?84451","פתחי תשובה - מדריך להלכות תשובה")</f>
        <v>פתחי תשובה - מדריך להלכות תשובה</v>
      </c>
    </row>
    <row r="33965" spans="1:6" x14ac:dyDescent="0.2">
      <c r="A33965" t="s">
        <v>52755</v>
      </c>
      <c r="B33965" t="s">
        <v>52756</v>
      </c>
      <c r="C33965" t="s">
        <v>151</v>
      </c>
      <c r="D33965" t="s">
        <v>367</v>
      </c>
      <c r="F33965" s="2" t="str">
        <f>HYPERLINK("http://www.otzar.org/book.asp?609713","פתחי תשובות - 2 כר'")</f>
        <v>פתחי תשובות - 2 כר'</v>
      </c>
    </row>
    <row r="33966" spans="1:6" x14ac:dyDescent="0.2">
      <c r="A33966" t="s">
        <v>52757</v>
      </c>
      <c r="B33966" t="s">
        <v>52758</v>
      </c>
      <c r="C33966" t="s">
        <v>176</v>
      </c>
      <c r="D33966" t="s">
        <v>14</v>
      </c>
      <c r="E33966" t="s">
        <v>2075</v>
      </c>
      <c r="F33966" s="2" t="str">
        <f>HYPERLINK("http://www.otzar.org/book.asp?144225","פתחים לתולדות החכמה הפנימית וגדוליה")</f>
        <v>פתחים לתולדות החכמה הפנימית וגדוליה</v>
      </c>
    </row>
    <row r="33967" spans="1:6" x14ac:dyDescent="0.2">
      <c r="A33967" t="s">
        <v>52759</v>
      </c>
      <c r="B33967" t="s">
        <v>52760</v>
      </c>
      <c r="C33967" t="s">
        <v>20</v>
      </c>
      <c r="D33967" t="s">
        <v>90</v>
      </c>
      <c r="E33967" t="s">
        <v>15</v>
      </c>
      <c r="F33967" s="2" t="str">
        <f>HYPERLINK("http://www.otzar.org/book.asp?605112","פתחת שקי ותאזרני שמחה")</f>
        <v>פתחת שקי ותאזרני שמחה</v>
      </c>
    </row>
    <row r="33968" spans="1:6" x14ac:dyDescent="0.2">
      <c r="A33968" t="s">
        <v>52761</v>
      </c>
      <c r="B33968" t="s">
        <v>17563</v>
      </c>
      <c r="C33968" t="s">
        <v>1388</v>
      </c>
      <c r="D33968" t="s">
        <v>412</v>
      </c>
      <c r="E33968" t="s">
        <v>104</v>
      </c>
      <c r="F33968" s="2" t="str">
        <f>HYPERLINK("http://www.otzar.org/book.asp?604781","פתי מנחה")</f>
        <v>פתי מנחה</v>
      </c>
    </row>
    <row r="33969" spans="1:6" x14ac:dyDescent="0.2">
      <c r="A33969" t="s">
        <v>52762</v>
      </c>
      <c r="B33969" t="s">
        <v>52763</v>
      </c>
      <c r="C33969" t="s">
        <v>87</v>
      </c>
      <c r="D33969" t="s">
        <v>806</v>
      </c>
      <c r="E33969" t="s">
        <v>674</v>
      </c>
      <c r="F33969" s="2" t="str">
        <f>HYPERLINK("http://www.otzar.org/book.asp?607057","פתיחה כוללת לפרי מגדים הלכות פסח ע""פ הדק היטב")</f>
        <v>פתיחה כוללת לפרי מגדים הלכות פסח ע"פ הדק היטב</v>
      </c>
    </row>
    <row r="33970" spans="1:6" x14ac:dyDescent="0.2">
      <c r="A33970" t="s">
        <v>52764</v>
      </c>
      <c r="B33970" t="s">
        <v>1361</v>
      </c>
      <c r="C33970" t="s">
        <v>176</v>
      </c>
      <c r="D33970" t="s">
        <v>14</v>
      </c>
      <c r="E33970" t="s">
        <v>104</v>
      </c>
      <c r="F33970" s="2" t="str">
        <f>HYPERLINK("http://www.otzar.org/book.asp?108223","פתיחה כוללת לפרי מגדים ופתיחות להל' שבת ויו""ט")</f>
        <v>פתיחה כוללת לפרי מגדים ופתיחות להל' שבת ויו"ט</v>
      </c>
    </row>
    <row r="33971" spans="1:6" x14ac:dyDescent="0.2">
      <c r="A33971" t="s">
        <v>52765</v>
      </c>
      <c r="B33971" t="s">
        <v>52766</v>
      </c>
      <c r="C33971" t="s">
        <v>523</v>
      </c>
      <c r="D33971" t="s">
        <v>14</v>
      </c>
      <c r="E33971" t="s">
        <v>15</v>
      </c>
      <c r="F33971" s="2" t="str">
        <f>HYPERLINK("http://www.otzar.org/book.asp?154538","פתיחה כוללת לפרי מגדים")</f>
        <v>פתיחה כוללת לפרי מגדים</v>
      </c>
    </row>
    <row r="33972" spans="1:6" x14ac:dyDescent="0.2">
      <c r="A33972" t="s">
        <v>52765</v>
      </c>
      <c r="B33972" t="s">
        <v>1361</v>
      </c>
      <c r="C33972" t="s">
        <v>767</v>
      </c>
      <c r="D33972" t="s">
        <v>14</v>
      </c>
      <c r="E33972" t="s">
        <v>172</v>
      </c>
      <c r="F33972" s="2" t="str">
        <f>HYPERLINK("http://www.otzar.org/book.asp?85418","פתיחה כוללת לפרי מגדים")</f>
        <v>פתיחה כוללת לפרי מגדים</v>
      </c>
    </row>
    <row r="33973" spans="1:6" x14ac:dyDescent="0.2">
      <c r="A33973" t="s">
        <v>52767</v>
      </c>
      <c r="B33973" t="s">
        <v>6814</v>
      </c>
      <c r="C33973" t="s">
        <v>68</v>
      </c>
      <c r="D33973" t="s">
        <v>52</v>
      </c>
      <c r="F33973" s="2" t="str">
        <f>HYPERLINK("http://www.otzar.org/book.asp?156437","פתיחה לארבעים ושמונה קניני התורה")</f>
        <v>פתיחה לארבעים ושמונה קניני התורה</v>
      </c>
    </row>
    <row r="33974" spans="1:6" x14ac:dyDescent="0.2">
      <c r="A33974" t="s">
        <v>52768</v>
      </c>
      <c r="B33974" t="s">
        <v>513</v>
      </c>
      <c r="C33974" t="s">
        <v>624</v>
      </c>
      <c r="D33974" t="s">
        <v>52</v>
      </c>
      <c r="E33974" t="s">
        <v>399</v>
      </c>
      <c r="F33974" s="2" t="str">
        <f>HYPERLINK("http://www.otzar.org/book.asp?144159","פתיחה לחכמת הקבלה - 3 כר'")</f>
        <v>פתיחה לחכמת הקבלה - 3 כר'</v>
      </c>
    </row>
    <row r="33975" spans="1:6" x14ac:dyDescent="0.2">
      <c r="A33975" t="s">
        <v>52769</v>
      </c>
      <c r="B33975" t="s">
        <v>4556</v>
      </c>
      <c r="C33975" t="s">
        <v>1937</v>
      </c>
      <c r="D33975" t="s">
        <v>60</v>
      </c>
      <c r="E33975" t="s">
        <v>241</v>
      </c>
      <c r="F33975" s="2" t="str">
        <f>HYPERLINK("http://www.otzar.org/book.asp?27992","פתיחות ושערים &lt;עיר גבורים&gt;")</f>
        <v>פתיחות ושערים &lt;עיר גבורים&gt;</v>
      </c>
    </row>
    <row r="33976" spans="1:6" x14ac:dyDescent="0.2">
      <c r="A33976" t="s">
        <v>52770</v>
      </c>
      <c r="B33976" t="s">
        <v>1748</v>
      </c>
      <c r="C33976" t="s">
        <v>411</v>
      </c>
      <c r="D33976" t="s">
        <v>52</v>
      </c>
      <c r="E33976" t="s">
        <v>15</v>
      </c>
      <c r="F33976" s="2" t="str">
        <f>HYPERLINK("http://www.otzar.org/book.asp?180577","פתיחת בקבוקים ואריזות בשבת")</f>
        <v>פתיחת בקבוקים ואריזות בשבת</v>
      </c>
    </row>
    <row r="33977" spans="1:6" x14ac:dyDescent="0.2">
      <c r="A33977" t="s">
        <v>52771</v>
      </c>
      <c r="B33977" t="s">
        <v>17232</v>
      </c>
      <c r="C33977" t="s">
        <v>20</v>
      </c>
      <c r="D33977" t="s">
        <v>118</v>
      </c>
      <c r="E33977" t="s">
        <v>104</v>
      </c>
      <c r="F33977" s="2" t="str">
        <f>HYPERLINK("http://www.otzar.org/book.asp?192229","פתיחת דין שהיא גמרו")</f>
        <v>פתיחת דין שהיא גמרו</v>
      </c>
    </row>
    <row r="33978" spans="1:6" x14ac:dyDescent="0.2">
      <c r="A33978" t="s">
        <v>52772</v>
      </c>
      <c r="B33978" t="s">
        <v>21675</v>
      </c>
      <c r="C33978" t="s">
        <v>366</v>
      </c>
      <c r="D33978" t="s">
        <v>412</v>
      </c>
      <c r="F33978" s="2" t="str">
        <f>HYPERLINK("http://www.otzar.org/book.asp?613882","פתיחת האגרות - 2 כר'")</f>
        <v>פתיחת האגרות - 2 כר'</v>
      </c>
    </row>
    <row r="33979" spans="1:6" x14ac:dyDescent="0.2">
      <c r="A33979" t="s">
        <v>52773</v>
      </c>
      <c r="B33979" t="s">
        <v>47438</v>
      </c>
      <c r="C33979" t="s">
        <v>5156</v>
      </c>
      <c r="D33979" t="s">
        <v>744</v>
      </c>
      <c r="F33979" s="2" t="str">
        <f>HYPERLINK("http://www.otzar.org/book.asp?170161","פתיחת הלב - 2 כר'")</f>
        <v>פתיחת הלב - 2 כר'</v>
      </c>
    </row>
    <row r="33980" spans="1:6" x14ac:dyDescent="0.2">
      <c r="A33980" t="s">
        <v>52774</v>
      </c>
      <c r="B33980" t="s">
        <v>107</v>
      </c>
      <c r="C33980" t="s">
        <v>419</v>
      </c>
      <c r="D33980" t="s">
        <v>14</v>
      </c>
      <c r="E33980" t="s">
        <v>15</v>
      </c>
      <c r="F33980" s="2" t="str">
        <f>HYPERLINK("http://www.otzar.org/book.asp?84454","פתיל וגדילים")</f>
        <v>פתיל וגדילים</v>
      </c>
    </row>
    <row r="33981" spans="1:6" x14ac:dyDescent="0.2">
      <c r="A33981" t="s">
        <v>52775</v>
      </c>
      <c r="B33981" t="s">
        <v>52776</v>
      </c>
      <c r="C33981" t="s">
        <v>1268</v>
      </c>
      <c r="D33981" t="s">
        <v>52</v>
      </c>
      <c r="E33981" t="s">
        <v>463</v>
      </c>
      <c r="F33981" s="2" t="str">
        <f>HYPERLINK("http://www.otzar.org/book.asp?156505","פתיל חיי - 2 כר'")</f>
        <v>פתיל חיי - 2 כר'</v>
      </c>
    </row>
    <row r="33982" spans="1:6" x14ac:dyDescent="0.2">
      <c r="A33982" t="s">
        <v>52777</v>
      </c>
      <c r="B33982" t="s">
        <v>15789</v>
      </c>
      <c r="C33982" t="s">
        <v>2644</v>
      </c>
      <c r="D33982" t="s">
        <v>726</v>
      </c>
      <c r="E33982" t="s">
        <v>733</v>
      </c>
      <c r="F33982" s="2" t="str">
        <f>HYPERLINK("http://www.otzar.org/book.asp?12408","פתיל תכלת")</f>
        <v>פתיל תכלת</v>
      </c>
    </row>
    <row r="33983" spans="1:6" x14ac:dyDescent="0.2">
      <c r="A33983" t="s">
        <v>52777</v>
      </c>
      <c r="B33983" t="s">
        <v>52778</v>
      </c>
      <c r="C33983" t="s">
        <v>12976</v>
      </c>
      <c r="D33983" t="s">
        <v>744</v>
      </c>
      <c r="E33983" t="s">
        <v>104</v>
      </c>
      <c r="F33983" s="2" t="str">
        <f>HYPERLINK("http://www.otzar.org/book.asp?146714","פתיל תכלת")</f>
        <v>פתיל תכלת</v>
      </c>
    </row>
    <row r="33984" spans="1:6" x14ac:dyDescent="0.2">
      <c r="A33984" t="s">
        <v>52777</v>
      </c>
      <c r="B33984" t="s">
        <v>15071</v>
      </c>
      <c r="C33984" t="s">
        <v>523</v>
      </c>
      <c r="D33984" t="s">
        <v>1153</v>
      </c>
      <c r="E33984" t="s">
        <v>15</v>
      </c>
      <c r="F33984" s="2" t="str">
        <f>HYPERLINK("http://www.otzar.org/book.asp?60992","פתיל תכלת")</f>
        <v>פתיל תכלת</v>
      </c>
    </row>
    <row r="33985" spans="1:6" x14ac:dyDescent="0.2">
      <c r="A33985" t="s">
        <v>52779</v>
      </c>
      <c r="B33985" t="s">
        <v>52780</v>
      </c>
      <c r="C33985" t="s">
        <v>87</v>
      </c>
      <c r="D33985" t="s">
        <v>90</v>
      </c>
      <c r="E33985" t="s">
        <v>246</v>
      </c>
      <c r="F33985" s="2" t="str">
        <f>HYPERLINK("http://www.otzar.org/book.asp?617344","פתיתין משולחן גבוה (גור) - חנוכה")</f>
        <v>פתיתין משולחן גבוה (גור) - חנוכה</v>
      </c>
    </row>
    <row r="33986" spans="1:6" x14ac:dyDescent="0.2">
      <c r="A33986" t="s">
        <v>52781</v>
      </c>
      <c r="E33986" t="s">
        <v>165</v>
      </c>
      <c r="F33986" s="2" t="str">
        <f>HYPERLINK("http://www.otzar.org/book.asp?195813","פתיתין משלחן גבוה - פרשת זכור מחיית עמלק")</f>
        <v>פתיתין משלחן גבוה - פרשת זכור מחיית עמלק</v>
      </c>
    </row>
    <row r="33987" spans="1:6" x14ac:dyDescent="0.2">
      <c r="A33987" t="s">
        <v>52782</v>
      </c>
      <c r="B33987" t="s">
        <v>52783</v>
      </c>
      <c r="C33987" t="s">
        <v>146</v>
      </c>
      <c r="D33987" t="s">
        <v>3560</v>
      </c>
      <c r="E33987" t="s">
        <v>246</v>
      </c>
      <c r="F33987" s="2" t="str">
        <f>HYPERLINK("http://www.otzar.org/book.asp?193049","פתיתין משלחן גבוה")</f>
        <v>פתיתין משלחן גבוה</v>
      </c>
    </row>
    <row r="33988" spans="1:6" x14ac:dyDescent="0.2">
      <c r="A33988" t="s">
        <v>52784</v>
      </c>
      <c r="B33988" t="s">
        <v>20177</v>
      </c>
      <c r="C33988" t="s">
        <v>176</v>
      </c>
      <c r="D33988" t="s">
        <v>14</v>
      </c>
      <c r="E33988" t="s">
        <v>104</v>
      </c>
      <c r="F33988" s="2" t="str">
        <f>HYPERLINK("http://www.otzar.org/book.asp?108347","פתק הפלא")</f>
        <v>פתק הפלא</v>
      </c>
    </row>
    <row r="33989" spans="1:6" x14ac:dyDescent="0.2">
      <c r="A33989" t="s">
        <v>52785</v>
      </c>
      <c r="B33989" t="s">
        <v>107</v>
      </c>
      <c r="C33989" t="s">
        <v>523</v>
      </c>
      <c r="D33989" t="s">
        <v>14</v>
      </c>
      <c r="E33989" t="s">
        <v>15</v>
      </c>
      <c r="F33989" s="2" t="str">
        <f>HYPERLINK("http://www.otzar.org/book.asp?618984","פתרון הלכתי לבעיית השמיטה בתקופתנו")</f>
        <v>פתרון הלכתי לבעיית השמיטה בתקופתנו</v>
      </c>
    </row>
    <row r="33990" spans="1:6" x14ac:dyDescent="0.2">
      <c r="A33990" t="s">
        <v>52786</v>
      </c>
      <c r="B33990" t="s">
        <v>34666</v>
      </c>
      <c r="C33990" t="s">
        <v>30373</v>
      </c>
      <c r="D33990" t="s">
        <v>1023</v>
      </c>
      <c r="E33990" t="s">
        <v>104</v>
      </c>
      <c r="F33990" s="2" t="str">
        <f>HYPERLINK("http://www.otzar.org/book.asp?51786","פתרון חלומות - 2 כר'")</f>
        <v>פתרון חלומות - 2 כר'</v>
      </c>
    </row>
    <row r="33991" spans="1:6" x14ac:dyDescent="0.2">
      <c r="A33991" t="s">
        <v>35068</v>
      </c>
      <c r="B33991" t="s">
        <v>1956</v>
      </c>
      <c r="C33991" t="s">
        <v>812</v>
      </c>
      <c r="D33991" t="s">
        <v>412</v>
      </c>
      <c r="E33991" t="s">
        <v>104</v>
      </c>
      <c r="F33991" s="2" t="str">
        <f>HYPERLINK("http://www.otzar.org/book.asp?106988","פתרון חלומות")</f>
        <v>פתרון חלומות</v>
      </c>
    </row>
    <row r="33992" spans="1:6" x14ac:dyDescent="0.2">
      <c r="A33992" t="s">
        <v>35068</v>
      </c>
      <c r="B33992" t="s">
        <v>52787</v>
      </c>
      <c r="C33992" t="s">
        <v>7571</v>
      </c>
      <c r="D33992" t="s">
        <v>49</v>
      </c>
      <c r="E33992" t="s">
        <v>104</v>
      </c>
      <c r="F33992" s="2" t="str">
        <f>HYPERLINK("http://www.otzar.org/book.asp?19478","פתרון חלומות")</f>
        <v>פתרון חלומות</v>
      </c>
    </row>
    <row r="33993" spans="1:6" x14ac:dyDescent="0.2">
      <c r="A33993" t="s">
        <v>35068</v>
      </c>
      <c r="B33993" t="s">
        <v>52788</v>
      </c>
      <c r="C33993" t="s">
        <v>362</v>
      </c>
      <c r="D33993" t="s">
        <v>14</v>
      </c>
      <c r="F33993" s="2" t="str">
        <f>HYPERLINK("http://www.otzar.org/book.asp?152751","פתרון חלומות")</f>
        <v>פתרון חלומות</v>
      </c>
    </row>
    <row r="33994" spans="1:6" x14ac:dyDescent="0.2">
      <c r="A33994" t="s">
        <v>52789</v>
      </c>
      <c r="B33994" t="s">
        <v>15380</v>
      </c>
      <c r="C33994" t="s">
        <v>52790</v>
      </c>
      <c r="D33994" t="s">
        <v>56</v>
      </c>
      <c r="E33994" t="s">
        <v>957</v>
      </c>
      <c r="F33994" s="2" t="str">
        <f>HYPERLINK("http://www.otzar.org/book.asp?102175","פתשגן הדת - 5 כר'")</f>
        <v>פתשגן הדת - 5 כר'</v>
      </c>
    </row>
    <row r="33995" spans="1:6" x14ac:dyDescent="0.2">
      <c r="A33995" t="s">
        <v>52791</v>
      </c>
      <c r="B33995" t="s">
        <v>22669</v>
      </c>
      <c r="C33995" t="s">
        <v>13</v>
      </c>
      <c r="D33995" t="s">
        <v>52</v>
      </c>
      <c r="E33995" t="s">
        <v>213</v>
      </c>
      <c r="F33995" s="2" t="str">
        <f>HYPERLINK("http://www.otzar.org/book.asp?83866","פתשגן הכתב &lt;פירוש על אלפא ביתא&gt; צורת האותיות")</f>
        <v>פתשגן הכתב &lt;פירוש על אלפא ביתא&gt; צורת האותיות</v>
      </c>
    </row>
    <row r="33996" spans="1:6" x14ac:dyDescent="0.2">
      <c r="A33996" t="s">
        <v>52792</v>
      </c>
      <c r="B33996" t="s">
        <v>52793</v>
      </c>
      <c r="C33996" t="s">
        <v>4059</v>
      </c>
      <c r="D33996" t="s">
        <v>1023</v>
      </c>
      <c r="E33996" t="s">
        <v>158</v>
      </c>
      <c r="F33996" s="2" t="str">
        <f>HYPERLINK("http://www.otzar.org/book.asp?189606","פתשגן הכתב")</f>
        <v>פתשגן הכתב</v>
      </c>
    </row>
    <row r="33997" spans="1:6" x14ac:dyDescent="0.2">
      <c r="A33997" t="s">
        <v>52794</v>
      </c>
      <c r="B33997" t="s">
        <v>52795</v>
      </c>
      <c r="C33997" t="s">
        <v>785</v>
      </c>
      <c r="D33997" t="s">
        <v>52</v>
      </c>
      <c r="E33997" t="s">
        <v>1507</v>
      </c>
      <c r="F33997" s="2" t="str">
        <f>HYPERLINK("http://www.otzar.org/book.asp?153955","פתשגן הכתב - דברות אברהם")</f>
        <v>פתשגן הכתב - דברות אברהם</v>
      </c>
    </row>
    <row r="33998" spans="1:6" x14ac:dyDescent="0.2">
      <c r="A33998" t="s">
        <v>52792</v>
      </c>
      <c r="B33998" t="s">
        <v>52796</v>
      </c>
      <c r="C33998" t="s">
        <v>52797</v>
      </c>
      <c r="D33998" t="s">
        <v>22873</v>
      </c>
      <c r="E33998" t="s">
        <v>158</v>
      </c>
      <c r="F33998" s="2" t="str">
        <f>HYPERLINK("http://www.otzar.org/book.asp?156833","פתשגן הכתב")</f>
        <v>פתשגן הכתב</v>
      </c>
    </row>
    <row r="33999" spans="1:6" x14ac:dyDescent="0.2">
      <c r="A33999" t="s">
        <v>52798</v>
      </c>
      <c r="B33999" t="s">
        <v>4112</v>
      </c>
      <c r="C33999" t="s">
        <v>114</v>
      </c>
      <c r="D33999" t="s">
        <v>52</v>
      </c>
      <c r="E33999" t="s">
        <v>158</v>
      </c>
      <c r="F33999" s="2" t="str">
        <f>HYPERLINK("http://www.otzar.org/book.asp?610686","פתשגן כתב הדת - 3 כר'")</f>
        <v>פתשגן כתב הדת - 3 כר'</v>
      </c>
    </row>
    <row r="34000" spans="1:6" x14ac:dyDescent="0.2">
      <c r="A34000" t="s">
        <v>52799</v>
      </c>
      <c r="B34000" t="s">
        <v>52800</v>
      </c>
      <c r="C34000" t="s">
        <v>244</v>
      </c>
      <c r="D34000" t="s">
        <v>14</v>
      </c>
      <c r="F34000" s="2" t="str">
        <f>HYPERLINK("http://www.otzar.org/book.asp?609845","צ'יקווער 2")</f>
        <v>צ'יקווער 2</v>
      </c>
    </row>
    <row r="34001" spans="1:6" x14ac:dyDescent="0.2">
      <c r="A34001" t="s">
        <v>52801</v>
      </c>
      <c r="B34001" t="s">
        <v>52800</v>
      </c>
      <c r="C34001" t="s">
        <v>244</v>
      </c>
      <c r="D34001" t="s">
        <v>14</v>
      </c>
      <c r="F34001" s="2" t="str">
        <f>HYPERLINK("http://www.otzar.org/book.asp?609854","צ'יקווער")</f>
        <v>צ'יקווער</v>
      </c>
    </row>
    <row r="34002" spans="1:6" x14ac:dyDescent="0.2">
      <c r="A34002" t="s">
        <v>52802</v>
      </c>
      <c r="B34002" t="s">
        <v>52803</v>
      </c>
      <c r="C34002" t="s">
        <v>366</v>
      </c>
      <c r="D34002" t="s">
        <v>90</v>
      </c>
      <c r="E34002" t="s">
        <v>8079</v>
      </c>
      <c r="F34002" s="2" t="str">
        <f>HYPERLINK("http://www.otzar.org/book.asp?629463","צא מדירת קבע")</f>
        <v>צא מדירת קבע</v>
      </c>
    </row>
    <row r="34003" spans="1:6" x14ac:dyDescent="0.2">
      <c r="A34003" t="s">
        <v>52804</v>
      </c>
      <c r="B34003" t="s">
        <v>206</v>
      </c>
      <c r="C34003" t="s">
        <v>20</v>
      </c>
      <c r="D34003" t="s">
        <v>90</v>
      </c>
      <c r="E34003" t="s">
        <v>104</v>
      </c>
      <c r="F34003" s="2" t="str">
        <f>HYPERLINK("http://www.otzar.org/book.asp?618607","צא מן התיבה")</f>
        <v>צא מן התיבה</v>
      </c>
    </row>
    <row r="34004" spans="1:6" x14ac:dyDescent="0.2">
      <c r="A34004" t="s">
        <v>52805</v>
      </c>
      <c r="B34004" t="s">
        <v>52806</v>
      </c>
      <c r="C34004" t="s">
        <v>1570</v>
      </c>
      <c r="D34004" t="s">
        <v>52</v>
      </c>
      <c r="E34004" t="s">
        <v>158</v>
      </c>
      <c r="F34004" s="2" t="str">
        <f>HYPERLINK("http://www.otzar.org/book.asp?159972","צאינה וראינה &lt;בלשון הקודש&gt; - 4 כר'")</f>
        <v>צאינה וראינה &lt;בלשון הקודש&gt; - 4 כר'</v>
      </c>
    </row>
    <row r="34005" spans="1:6" x14ac:dyDescent="0.2">
      <c r="A34005" t="s">
        <v>52807</v>
      </c>
      <c r="B34005" t="s">
        <v>52806</v>
      </c>
      <c r="C34005" t="s">
        <v>1047</v>
      </c>
      <c r="D34005" t="s">
        <v>582</v>
      </c>
      <c r="E34005" t="s">
        <v>5166</v>
      </c>
      <c r="F34005" s="2" t="str">
        <f>HYPERLINK("http://www.otzar.org/book.asp?103687","צאינה וראינה - 4 כר'")</f>
        <v>צאינה וראינה - 4 כר'</v>
      </c>
    </row>
    <row r="34006" spans="1:6" x14ac:dyDescent="0.2">
      <c r="A34006" t="s">
        <v>52808</v>
      </c>
      <c r="B34006" t="s">
        <v>18229</v>
      </c>
      <c r="C34006" t="s">
        <v>20</v>
      </c>
      <c r="D34006" t="s">
        <v>721</v>
      </c>
      <c r="E34006" t="s">
        <v>154</v>
      </c>
      <c r="F34006" s="2" t="str">
        <f>HYPERLINK("http://www.otzar.org/book.asp?174448","צאן יוסף, כל חדש")</f>
        <v>צאן יוסף, כל חדש</v>
      </c>
    </row>
    <row r="34007" spans="1:6" x14ac:dyDescent="0.2">
      <c r="A34007" t="s">
        <v>52809</v>
      </c>
      <c r="B34007" t="s">
        <v>52810</v>
      </c>
      <c r="C34007" t="s">
        <v>37</v>
      </c>
      <c r="D34007" t="s">
        <v>367</v>
      </c>
      <c r="E34007" t="s">
        <v>104</v>
      </c>
      <c r="F34007" s="2" t="str">
        <f>HYPERLINK("http://www.otzar.org/book.asp?608108","צאן קדשים")</f>
        <v>צאן קדשים</v>
      </c>
    </row>
    <row r="34008" spans="1:6" x14ac:dyDescent="0.2">
      <c r="A34008" t="s">
        <v>52811</v>
      </c>
      <c r="B34008" t="s">
        <v>52812</v>
      </c>
      <c r="C34008" t="s">
        <v>250</v>
      </c>
      <c r="D34008" t="s">
        <v>2234</v>
      </c>
      <c r="E34008" t="s">
        <v>144</v>
      </c>
      <c r="F34008" s="2" t="str">
        <f>HYPERLINK("http://www.otzar.org/book.asp?625636","צאן קדשים - 4 כר'")</f>
        <v>צאן קדשים - 4 כר'</v>
      </c>
    </row>
    <row r="34009" spans="1:6" x14ac:dyDescent="0.2">
      <c r="A34009" t="s">
        <v>52813</v>
      </c>
      <c r="B34009" t="s">
        <v>52814</v>
      </c>
      <c r="C34009" t="s">
        <v>106</v>
      </c>
      <c r="D34009" t="s">
        <v>412</v>
      </c>
      <c r="E34009" t="s">
        <v>140</v>
      </c>
      <c r="F34009" s="2" t="str">
        <f>HYPERLINK("http://www.otzar.org/book.asp?83796","צאנזער חסידות")</f>
        <v>צאנזער חסידות</v>
      </c>
    </row>
    <row r="34010" spans="1:6" x14ac:dyDescent="0.2">
      <c r="A34010" t="s">
        <v>52815</v>
      </c>
      <c r="B34010" t="s">
        <v>52816</v>
      </c>
      <c r="C34010" t="s">
        <v>785</v>
      </c>
      <c r="D34010" t="s">
        <v>52</v>
      </c>
      <c r="E34010" t="s">
        <v>3567</v>
      </c>
      <c r="F34010" s="2" t="str">
        <f>HYPERLINK("http://www.otzar.org/book.asp?602612","צב""א מרו""ם - מילה")</f>
        <v>צב"א מרו"ם - מילה</v>
      </c>
    </row>
    <row r="34011" spans="1:6" x14ac:dyDescent="0.2">
      <c r="A34011" t="s">
        <v>52817</v>
      </c>
      <c r="B34011" t="s">
        <v>42855</v>
      </c>
      <c r="C34011" t="s">
        <v>146</v>
      </c>
      <c r="D34011" t="s">
        <v>14</v>
      </c>
      <c r="E34011" t="s">
        <v>234</v>
      </c>
      <c r="F34011" s="2" t="str">
        <f>HYPERLINK("http://www.otzar.org/book.asp?151048","צבא אהרן - 3 כר'")</f>
        <v>צבא אהרן - 3 כר'</v>
      </c>
    </row>
    <row r="34012" spans="1:6" x14ac:dyDescent="0.2">
      <c r="A34012" t="s">
        <v>52818</v>
      </c>
      <c r="B34012" t="s">
        <v>52819</v>
      </c>
      <c r="C34012" t="s">
        <v>189</v>
      </c>
      <c r="D34012" t="s">
        <v>52</v>
      </c>
      <c r="E34012" t="s">
        <v>803</v>
      </c>
      <c r="F34012" s="2" t="str">
        <f>HYPERLINK("http://www.otzar.org/book.asp?145407","צבא הלוי - 19 כר'")</f>
        <v>צבא הלוי - 19 כר'</v>
      </c>
    </row>
    <row r="34013" spans="1:6" x14ac:dyDescent="0.2">
      <c r="A34013" t="s">
        <v>52820</v>
      </c>
      <c r="B34013" t="s">
        <v>52821</v>
      </c>
      <c r="C34013" t="s">
        <v>383</v>
      </c>
      <c r="D34013" t="s">
        <v>52</v>
      </c>
      <c r="E34013" t="s">
        <v>15</v>
      </c>
      <c r="F34013" s="2" t="str">
        <f>HYPERLINK("http://www.otzar.org/book.asp?62905","צבא המלך")</f>
        <v>צבא המלך</v>
      </c>
    </row>
    <row r="34014" spans="1:6" x14ac:dyDescent="0.2">
      <c r="A34014" t="s">
        <v>52822</v>
      </c>
      <c r="B34014" t="s">
        <v>52821</v>
      </c>
      <c r="C34014" t="s">
        <v>20</v>
      </c>
      <c r="D34014" t="s">
        <v>52</v>
      </c>
      <c r="E34014" t="s">
        <v>144</v>
      </c>
      <c r="F34014" s="2" t="str">
        <f>HYPERLINK("http://www.otzar.org/book.asp?63000","צבא העבודה")</f>
        <v>צבא העבודה</v>
      </c>
    </row>
    <row r="34015" spans="1:6" x14ac:dyDescent="0.2">
      <c r="A34015" t="s">
        <v>52823</v>
      </c>
      <c r="B34015" t="s">
        <v>52824</v>
      </c>
      <c r="C34015" t="s">
        <v>176</v>
      </c>
      <c r="D34015" t="s">
        <v>14</v>
      </c>
      <c r="E34015" t="s">
        <v>104</v>
      </c>
      <c r="F34015" s="2" t="str">
        <f>HYPERLINK("http://www.otzar.org/book.asp?600581","צבא השמים - 14 כר'")</f>
        <v>צבא השמים - 14 כר'</v>
      </c>
    </row>
    <row r="34016" spans="1:6" x14ac:dyDescent="0.2">
      <c r="A34016" t="s">
        <v>52825</v>
      </c>
      <c r="B34016" t="s">
        <v>52826</v>
      </c>
      <c r="C34016" t="s">
        <v>71</v>
      </c>
      <c r="D34016" t="s">
        <v>14</v>
      </c>
      <c r="E34016" t="s">
        <v>148</v>
      </c>
      <c r="F34016" s="2" t="str">
        <f>HYPERLINK("http://www.otzar.org/book.asp?15458","צבא מרום")</f>
        <v>צבא מרום</v>
      </c>
    </row>
    <row r="34017" spans="1:6" x14ac:dyDescent="0.2">
      <c r="A34017" t="s">
        <v>52827</v>
      </c>
      <c r="B34017" t="s">
        <v>52828</v>
      </c>
      <c r="C34017" t="s">
        <v>462</v>
      </c>
      <c r="D34017" t="s">
        <v>225</v>
      </c>
      <c r="E34017" t="s">
        <v>25257</v>
      </c>
      <c r="F34017" s="2" t="str">
        <f>HYPERLINK("http://www.otzar.org/book.asp?105608","צבא רב")</f>
        <v>צבא רב</v>
      </c>
    </row>
    <row r="34018" spans="1:6" x14ac:dyDescent="0.2">
      <c r="A34018" t="s">
        <v>52829</v>
      </c>
      <c r="B34018" t="s">
        <v>52830</v>
      </c>
      <c r="C34018" t="s">
        <v>609</v>
      </c>
      <c r="D34018" t="s">
        <v>12052</v>
      </c>
      <c r="E34018" t="s">
        <v>154</v>
      </c>
      <c r="F34018" s="2" t="str">
        <f>HYPERLINK("http://www.otzar.org/book.asp?102726","צבי גאון יעקב")</f>
        <v>צבי גאון יעקב</v>
      </c>
    </row>
    <row r="34019" spans="1:6" x14ac:dyDescent="0.2">
      <c r="A34019" t="s">
        <v>52831</v>
      </c>
      <c r="B34019" t="s">
        <v>52832</v>
      </c>
      <c r="C34019" t="s">
        <v>412</v>
      </c>
      <c r="D34019" t="s">
        <v>785</v>
      </c>
      <c r="E34019" t="s">
        <v>144</v>
      </c>
      <c r="F34019" s="2" t="str">
        <f>HYPERLINK("http://www.otzar.org/book.asp?620254","צבי הסנהדרין - 2 כר'")</f>
        <v>צבי הסנהדרין - 2 כר'</v>
      </c>
    </row>
    <row r="34020" spans="1:6" x14ac:dyDescent="0.2">
      <c r="A34020" t="s">
        <v>52833</v>
      </c>
      <c r="B34020" t="s">
        <v>552</v>
      </c>
      <c r="C34020" t="s">
        <v>71</v>
      </c>
      <c r="D34020" t="s">
        <v>14</v>
      </c>
      <c r="E34020" t="s">
        <v>202</v>
      </c>
      <c r="F34020" s="2" t="str">
        <f>HYPERLINK("http://www.otzar.org/book.asp?159557","צבי וחמיד")</f>
        <v>צבי וחמיד</v>
      </c>
    </row>
    <row r="34021" spans="1:6" x14ac:dyDescent="0.2">
      <c r="A34021" t="s">
        <v>52833</v>
      </c>
      <c r="B34021" t="s">
        <v>52834</v>
      </c>
      <c r="C34021" t="s">
        <v>360</v>
      </c>
      <c r="D34021" t="s">
        <v>56</v>
      </c>
      <c r="E34021" t="s">
        <v>901</v>
      </c>
      <c r="F34021" s="2" t="str">
        <f>HYPERLINK("http://www.otzar.org/book.asp?102728","צבי וחמיד")</f>
        <v>צבי וחמיד</v>
      </c>
    </row>
    <row r="34022" spans="1:6" x14ac:dyDescent="0.2">
      <c r="A34022" t="s">
        <v>52833</v>
      </c>
      <c r="B34022" t="s">
        <v>52835</v>
      </c>
      <c r="C34022" t="s">
        <v>4705</v>
      </c>
      <c r="D34022" t="s">
        <v>56</v>
      </c>
      <c r="E34022" t="s">
        <v>144</v>
      </c>
      <c r="F34022" s="2" t="str">
        <f>HYPERLINK("http://www.otzar.org/book.asp?149969","צבי וחמיד")</f>
        <v>צבי וחמיד</v>
      </c>
    </row>
    <row r="34023" spans="1:6" x14ac:dyDescent="0.2">
      <c r="A34023" t="s">
        <v>52836</v>
      </c>
      <c r="B34023" t="s">
        <v>26451</v>
      </c>
      <c r="C34023" t="s">
        <v>1663</v>
      </c>
      <c r="D34023" t="s">
        <v>9</v>
      </c>
      <c r="E34023" t="s">
        <v>104</v>
      </c>
      <c r="F34023" s="2" t="str">
        <f>HYPERLINK("http://www.otzar.org/book.asp?168089","צבי חמד - 9 כר'")</f>
        <v>צבי חמד - 9 כר'</v>
      </c>
    </row>
    <row r="34024" spans="1:6" x14ac:dyDescent="0.2">
      <c r="A34024" t="s">
        <v>52837</v>
      </c>
      <c r="B34024" t="s">
        <v>44641</v>
      </c>
      <c r="C34024" t="s">
        <v>445</v>
      </c>
      <c r="D34024" t="s">
        <v>56</v>
      </c>
      <c r="E34024" t="s">
        <v>234</v>
      </c>
      <c r="F34024" s="2" t="str">
        <f>HYPERLINK("http://www.otzar.org/book.asp?175753","צבי ישראל")</f>
        <v>צבי ישראל</v>
      </c>
    </row>
    <row r="34025" spans="1:6" x14ac:dyDescent="0.2">
      <c r="A34025" t="s">
        <v>52837</v>
      </c>
      <c r="B34025" t="s">
        <v>10684</v>
      </c>
      <c r="C34025" t="s">
        <v>5823</v>
      </c>
      <c r="D34025" t="s">
        <v>56</v>
      </c>
      <c r="E34025" t="s">
        <v>474</v>
      </c>
      <c r="F34025" s="2" t="str">
        <f>HYPERLINK("http://www.otzar.org/book.asp?300497","צבי ישראל")</f>
        <v>צבי ישראל</v>
      </c>
    </row>
    <row r="34026" spans="1:6" x14ac:dyDescent="0.2">
      <c r="A34026" t="s">
        <v>52838</v>
      </c>
      <c r="B34026" t="s">
        <v>52839</v>
      </c>
      <c r="E34026" t="s">
        <v>148</v>
      </c>
      <c r="F34026" s="2" t="str">
        <f>HYPERLINK("http://www.otzar.org/book.asp?629489","צבי לבית")</f>
        <v>צבי לבית</v>
      </c>
    </row>
    <row r="34027" spans="1:6" x14ac:dyDescent="0.2">
      <c r="A34027" t="s">
        <v>52840</v>
      </c>
      <c r="B34027" t="s">
        <v>52841</v>
      </c>
      <c r="C34027" t="s">
        <v>617</v>
      </c>
      <c r="D34027" t="s">
        <v>1365</v>
      </c>
      <c r="F34027" s="2" t="str">
        <f>HYPERLINK("http://www.otzar.org/book.asp?197615","צבי לכל הארצות")</f>
        <v>צבי לכל הארצות</v>
      </c>
    </row>
    <row r="34028" spans="1:6" x14ac:dyDescent="0.2">
      <c r="A34028" t="s">
        <v>52842</v>
      </c>
      <c r="B34028" t="s">
        <v>1371</v>
      </c>
      <c r="C34028" t="s">
        <v>180</v>
      </c>
      <c r="D34028" t="s">
        <v>14</v>
      </c>
      <c r="E34028" t="s">
        <v>399</v>
      </c>
      <c r="F34028" s="2" t="str">
        <f>HYPERLINK("http://www.otzar.org/book.asp?50801","צבי לצדיק")</f>
        <v>צבי לצדיק</v>
      </c>
    </row>
    <row r="34029" spans="1:6" x14ac:dyDescent="0.2">
      <c r="A34029" t="s">
        <v>52843</v>
      </c>
      <c r="B34029" t="s">
        <v>50369</v>
      </c>
      <c r="C34029" t="s">
        <v>146</v>
      </c>
      <c r="D34029" t="s">
        <v>412</v>
      </c>
      <c r="E34029" t="s">
        <v>119</v>
      </c>
      <c r="F34029" s="2" t="str">
        <f>HYPERLINK("http://www.otzar.org/book.asp?145267","צבי לצדיק - 2 כר'")</f>
        <v>צבי לצדיק - 2 כר'</v>
      </c>
    </row>
    <row r="34030" spans="1:6" x14ac:dyDescent="0.2">
      <c r="A34030" t="s">
        <v>52843</v>
      </c>
      <c r="B34030" t="s">
        <v>52844</v>
      </c>
      <c r="C34030" t="s">
        <v>466</v>
      </c>
      <c r="D34030" t="s">
        <v>52</v>
      </c>
      <c r="E34030" t="s">
        <v>119</v>
      </c>
      <c r="F34030" s="2" t="str">
        <f>HYPERLINK("http://www.otzar.org/book.asp?623269","צבי לצדיק - 2 כר'")</f>
        <v>צבי לצדיק - 2 כר'</v>
      </c>
    </row>
    <row r="34031" spans="1:6" x14ac:dyDescent="0.2">
      <c r="A34031" t="s">
        <v>52842</v>
      </c>
      <c r="B34031" t="s">
        <v>52828</v>
      </c>
      <c r="C34031" t="s">
        <v>445</v>
      </c>
      <c r="D34031" t="s">
        <v>225</v>
      </c>
      <c r="E34031" t="s">
        <v>52845</v>
      </c>
      <c r="F34031" s="2" t="str">
        <f>HYPERLINK("http://www.otzar.org/book.asp?102177","צבי לצדיק")</f>
        <v>צבי לצדיק</v>
      </c>
    </row>
    <row r="34032" spans="1:6" x14ac:dyDescent="0.2">
      <c r="A34032" t="s">
        <v>52842</v>
      </c>
      <c r="B34032" t="s">
        <v>52846</v>
      </c>
      <c r="C34032" t="s">
        <v>356</v>
      </c>
      <c r="D34032" t="s">
        <v>1180</v>
      </c>
      <c r="E34032" t="s">
        <v>15025</v>
      </c>
      <c r="F34032" s="2" t="str">
        <f>HYPERLINK("http://www.otzar.org/book.asp?8359","צבי לצדיק")</f>
        <v>צבי לצדיק</v>
      </c>
    </row>
    <row r="34033" spans="1:6" x14ac:dyDescent="0.2">
      <c r="A34033" t="s">
        <v>52847</v>
      </c>
      <c r="B34033" t="s">
        <v>52848</v>
      </c>
      <c r="C34033" t="s">
        <v>146</v>
      </c>
      <c r="D34033" t="s">
        <v>52</v>
      </c>
      <c r="E34033" t="s">
        <v>81</v>
      </c>
      <c r="F34033" s="2" t="str">
        <f>HYPERLINK("http://www.otzar.org/book.asp?142289","צבי לצדיק - קונטרס שריד מעיר")</f>
        <v>צבי לצדיק - קונטרס שריד מעיר</v>
      </c>
    </row>
    <row r="34034" spans="1:6" x14ac:dyDescent="0.2">
      <c r="A34034" t="s">
        <v>52843</v>
      </c>
      <c r="B34034" t="s">
        <v>6081</v>
      </c>
      <c r="C34034" t="s">
        <v>482</v>
      </c>
      <c r="D34034" t="s">
        <v>1188</v>
      </c>
      <c r="E34034" t="s">
        <v>81</v>
      </c>
      <c r="F34034" s="2" t="str">
        <f>HYPERLINK("http://www.otzar.org/book.asp?103689","צבי לצדיק - 2 כר'")</f>
        <v>צבי לצדיק - 2 כר'</v>
      </c>
    </row>
    <row r="34035" spans="1:6" x14ac:dyDescent="0.2">
      <c r="A34035" t="s">
        <v>52849</v>
      </c>
      <c r="B34035" t="s">
        <v>52850</v>
      </c>
      <c r="C34035" t="s">
        <v>576</v>
      </c>
      <c r="D34035" t="s">
        <v>855</v>
      </c>
      <c r="E34035" t="s">
        <v>508</v>
      </c>
      <c r="F34035" s="2" t="str">
        <f>HYPERLINK("http://www.otzar.org/book.asp?102727","צבי לצדיק - 6 כר'")</f>
        <v>צבי לצדיק - 6 כר'</v>
      </c>
    </row>
    <row r="34036" spans="1:6" x14ac:dyDescent="0.2">
      <c r="A34036" t="s">
        <v>52851</v>
      </c>
      <c r="B34036" t="s">
        <v>52852</v>
      </c>
      <c r="C34036" t="s">
        <v>129</v>
      </c>
      <c r="D34036" t="s">
        <v>52</v>
      </c>
      <c r="E34036" t="s">
        <v>144</v>
      </c>
      <c r="F34036" s="2" t="str">
        <f>HYPERLINK("http://www.otzar.org/book.asp?603137","צבי לשבת &lt;צבי לאורייתא&gt; - ד")</f>
        <v>צבי לשבת &lt;צבי לאורייתא&gt; - ד</v>
      </c>
    </row>
    <row r="34037" spans="1:6" x14ac:dyDescent="0.2">
      <c r="A34037" t="s">
        <v>52853</v>
      </c>
      <c r="B34037" t="s">
        <v>52854</v>
      </c>
      <c r="C34037" t="s">
        <v>454</v>
      </c>
      <c r="D34037" t="s">
        <v>52</v>
      </c>
      <c r="E34037" t="s">
        <v>52855</v>
      </c>
      <c r="F34037" s="2" t="str">
        <f>HYPERLINK("http://www.otzar.org/book.asp?22752","צבי לשבת - 3 כר'")</f>
        <v>צבי לשבת - 3 כר'</v>
      </c>
    </row>
    <row r="34038" spans="1:6" x14ac:dyDescent="0.2">
      <c r="A34038" t="s">
        <v>52856</v>
      </c>
      <c r="B34038" t="s">
        <v>52857</v>
      </c>
      <c r="C34038" t="s">
        <v>362</v>
      </c>
      <c r="D34038" t="s">
        <v>726</v>
      </c>
      <c r="E34038" t="s">
        <v>2071</v>
      </c>
      <c r="F34038" s="2" t="str">
        <f>HYPERLINK("http://www.otzar.org/book.asp?84131","צבי עדיו לגאון")</f>
        <v>צבי עדיו לגאון</v>
      </c>
    </row>
    <row r="34039" spans="1:6" x14ac:dyDescent="0.2">
      <c r="A34039" t="s">
        <v>52858</v>
      </c>
      <c r="B34039" t="s">
        <v>2396</v>
      </c>
      <c r="C34039" t="s">
        <v>20</v>
      </c>
      <c r="D34039" t="s">
        <v>90</v>
      </c>
      <c r="E34039" t="s">
        <v>1103</v>
      </c>
      <c r="F34039" s="2" t="str">
        <f>HYPERLINK("http://www.otzar.org/book.asp?165292","צבי קדש")</f>
        <v>צבי קדש</v>
      </c>
    </row>
    <row r="34040" spans="1:6" x14ac:dyDescent="0.2">
      <c r="A34040" t="s">
        <v>52859</v>
      </c>
      <c r="B34040" t="s">
        <v>52860</v>
      </c>
      <c r="C34040" t="s">
        <v>8799</v>
      </c>
      <c r="D34040" t="s">
        <v>5665</v>
      </c>
      <c r="E34040" t="s">
        <v>144</v>
      </c>
      <c r="F34040" s="2" t="str">
        <f>HYPERLINK("http://www.otzar.org/book.asp?101643","צבי קודש")</f>
        <v>צבי קודש</v>
      </c>
    </row>
    <row r="34041" spans="1:6" x14ac:dyDescent="0.2">
      <c r="A34041" t="s">
        <v>52861</v>
      </c>
      <c r="B34041" t="s">
        <v>52862</v>
      </c>
      <c r="C34041" t="s">
        <v>454</v>
      </c>
      <c r="D34041" t="s">
        <v>423</v>
      </c>
      <c r="E34041" t="s">
        <v>52863</v>
      </c>
      <c r="F34041" s="2" t="str">
        <f>HYPERLINK("http://www.otzar.org/book.asp?172338","צבי תפארה - 2 כר'")</f>
        <v>צבי תפארה - 2 כר'</v>
      </c>
    </row>
    <row r="34042" spans="1:6" x14ac:dyDescent="0.2">
      <c r="A34042" t="s">
        <v>52864</v>
      </c>
      <c r="B34042" t="s">
        <v>52865</v>
      </c>
      <c r="C34042" t="s">
        <v>68</v>
      </c>
      <c r="D34042" t="s">
        <v>14</v>
      </c>
      <c r="E34042" t="s">
        <v>144</v>
      </c>
      <c r="F34042" s="2" t="str">
        <f>HYPERLINK("http://www.otzar.org/book.asp?173712","צבי תפארה")</f>
        <v>צבי תפארה</v>
      </c>
    </row>
    <row r="34043" spans="1:6" x14ac:dyDescent="0.2">
      <c r="A34043" t="s">
        <v>52866</v>
      </c>
      <c r="B34043" t="s">
        <v>52867</v>
      </c>
      <c r="C34043" t="s">
        <v>4240</v>
      </c>
      <c r="D34043" t="s">
        <v>1008</v>
      </c>
      <c r="E34043" t="s">
        <v>158</v>
      </c>
      <c r="F34043" s="2" t="str">
        <f>HYPERLINK("http://www.otzar.org/book.asp?152274","צבי תפארת &lt;על שיר השירים&gt;")</f>
        <v>צבי תפארת &lt;על שיר השירים&gt;</v>
      </c>
    </row>
    <row r="34044" spans="1:6" x14ac:dyDescent="0.2">
      <c r="A34044" t="s">
        <v>52868</v>
      </c>
      <c r="B34044" t="s">
        <v>16651</v>
      </c>
      <c r="C34044" t="s">
        <v>68</v>
      </c>
      <c r="D34044" t="s">
        <v>14</v>
      </c>
      <c r="E34044" t="s">
        <v>154</v>
      </c>
      <c r="F34044" s="2" t="str">
        <f>HYPERLINK("http://www.otzar.org/book.asp?170968","צבי תפארת &lt;מהדורה חדשה&gt; - 2 כר'")</f>
        <v>צבי תפארת &lt;מהדורה חדשה&gt; - 2 כר'</v>
      </c>
    </row>
    <row r="34045" spans="1:6" x14ac:dyDescent="0.2">
      <c r="A34045" t="s">
        <v>52869</v>
      </c>
      <c r="B34045" t="s">
        <v>4015</v>
      </c>
      <c r="C34045" t="s">
        <v>362</v>
      </c>
      <c r="D34045" t="s">
        <v>225</v>
      </c>
      <c r="E34045" t="s">
        <v>435</v>
      </c>
      <c r="F34045" s="2" t="str">
        <f>HYPERLINK("http://www.otzar.org/book.asp?101608","צבי תפארת")</f>
        <v>צבי תפארת</v>
      </c>
    </row>
    <row r="34046" spans="1:6" x14ac:dyDescent="0.2">
      <c r="A34046" t="s">
        <v>52869</v>
      </c>
      <c r="B34046" t="s">
        <v>52870</v>
      </c>
      <c r="C34046" t="s">
        <v>52871</v>
      </c>
      <c r="D34046" t="s">
        <v>10557</v>
      </c>
      <c r="E34046" t="s">
        <v>234</v>
      </c>
      <c r="F34046" s="2" t="str">
        <f>HYPERLINK("http://www.otzar.org/book.asp?625991","צבי תפארת")</f>
        <v>צבי תפארת</v>
      </c>
    </row>
    <row r="34047" spans="1:6" x14ac:dyDescent="0.2">
      <c r="A34047" t="s">
        <v>52869</v>
      </c>
      <c r="B34047" t="s">
        <v>16651</v>
      </c>
      <c r="C34047" t="s">
        <v>558</v>
      </c>
      <c r="D34047" t="s">
        <v>379</v>
      </c>
      <c r="E34047" t="s">
        <v>154</v>
      </c>
      <c r="F34047" s="2" t="str">
        <f>HYPERLINK("http://www.otzar.org/book.asp?101694","צבי תפארת")</f>
        <v>צבי תפארת</v>
      </c>
    </row>
    <row r="34048" spans="1:6" x14ac:dyDescent="0.2">
      <c r="A34048" t="s">
        <v>52872</v>
      </c>
      <c r="B34048" t="s">
        <v>52873</v>
      </c>
      <c r="C34048" t="s">
        <v>151</v>
      </c>
      <c r="D34048" t="s">
        <v>80</v>
      </c>
      <c r="F34048" s="2" t="str">
        <f>HYPERLINK("http://www.otzar.org/book.asp?610076","צבי תפארתו")</f>
        <v>צבי תפארתו</v>
      </c>
    </row>
    <row r="34049" spans="1:6" x14ac:dyDescent="0.2">
      <c r="A34049" t="s">
        <v>52874</v>
      </c>
      <c r="B34049" t="s">
        <v>8357</v>
      </c>
      <c r="C34049" t="s">
        <v>111</v>
      </c>
      <c r="D34049" t="s">
        <v>14</v>
      </c>
      <c r="E34049" t="s">
        <v>325</v>
      </c>
      <c r="F34049" s="2" t="str">
        <f>HYPERLINK("http://www.otzar.org/book.asp?623136","צבי תפארתו - 8 כר'")</f>
        <v>צבי תפארתו - 8 כר'</v>
      </c>
    </row>
    <row r="34050" spans="1:6" x14ac:dyDescent="0.2">
      <c r="A34050" t="s">
        <v>52875</v>
      </c>
      <c r="B34050" t="s">
        <v>776</v>
      </c>
      <c r="C34050" t="s">
        <v>3106</v>
      </c>
      <c r="D34050" t="s">
        <v>27</v>
      </c>
      <c r="E34050" t="s">
        <v>104</v>
      </c>
      <c r="F34050" s="2" t="str">
        <f>HYPERLINK("http://www.otzar.org/book.asp?146801","צביון חן")</f>
        <v>צביון חן</v>
      </c>
    </row>
    <row r="34051" spans="1:6" x14ac:dyDescent="0.2">
      <c r="A34051" t="s">
        <v>52876</v>
      </c>
      <c r="B34051" t="s">
        <v>17578</v>
      </c>
      <c r="C34051" t="s">
        <v>422</v>
      </c>
      <c r="D34051" t="s">
        <v>412</v>
      </c>
      <c r="E34051" t="s">
        <v>741</v>
      </c>
      <c r="F34051" s="2" t="str">
        <f>HYPERLINK("http://www.otzar.org/book.asp?170922","צדה לדרך &lt;מהדורה חדשה&gt;")</f>
        <v>צדה לדרך &lt;מהדורה חדשה&gt;</v>
      </c>
    </row>
    <row r="34052" spans="1:6" x14ac:dyDescent="0.2">
      <c r="A34052" t="s">
        <v>52877</v>
      </c>
      <c r="B34052" t="s">
        <v>52878</v>
      </c>
      <c r="C34052" t="s">
        <v>30887</v>
      </c>
      <c r="D34052" t="s">
        <v>19871</v>
      </c>
      <c r="F34052" s="2" t="str">
        <f>HYPERLINK("http://www.otzar.org/book.asp?53549","צדה לדרך - 5 כר'")</f>
        <v>צדה לדרך - 5 כר'</v>
      </c>
    </row>
    <row r="34053" spans="1:6" x14ac:dyDescent="0.2">
      <c r="A34053" t="s">
        <v>52879</v>
      </c>
      <c r="B34053" t="s">
        <v>17578</v>
      </c>
      <c r="C34053" t="s">
        <v>985</v>
      </c>
      <c r="D34053" t="s">
        <v>974</v>
      </c>
      <c r="E34053" t="s">
        <v>703</v>
      </c>
      <c r="F34053" s="2" t="str">
        <f>HYPERLINK("http://www.otzar.org/book.asp?149180","צדה לדרך")</f>
        <v>צדה לדרך</v>
      </c>
    </row>
    <row r="34054" spans="1:6" x14ac:dyDescent="0.2">
      <c r="A34054" t="s">
        <v>52879</v>
      </c>
      <c r="B34054" t="s">
        <v>52880</v>
      </c>
      <c r="C34054" t="s">
        <v>160</v>
      </c>
      <c r="D34054" t="s">
        <v>27</v>
      </c>
      <c r="E34054" t="s">
        <v>399</v>
      </c>
      <c r="F34054" s="2" t="str">
        <f>HYPERLINK("http://www.otzar.org/book.asp?25565","צדה לדרך")</f>
        <v>צדה לדרך</v>
      </c>
    </row>
    <row r="34055" spans="1:6" x14ac:dyDescent="0.2">
      <c r="A34055" t="s">
        <v>52879</v>
      </c>
      <c r="B34055" t="s">
        <v>2002</v>
      </c>
      <c r="C34055" t="s">
        <v>360</v>
      </c>
      <c r="D34055" t="s">
        <v>1769</v>
      </c>
      <c r="E34055" t="s">
        <v>241</v>
      </c>
      <c r="F34055" s="2" t="str">
        <f>HYPERLINK("http://www.otzar.org/book.asp?162290","צדה לדרך")</f>
        <v>צדה לדרך</v>
      </c>
    </row>
    <row r="34056" spans="1:6" x14ac:dyDescent="0.2">
      <c r="A34056" t="s">
        <v>52879</v>
      </c>
      <c r="B34056" t="s">
        <v>36020</v>
      </c>
      <c r="C34056" t="s">
        <v>1885</v>
      </c>
      <c r="D34056" t="s">
        <v>3007</v>
      </c>
      <c r="E34056" t="s">
        <v>234</v>
      </c>
      <c r="F34056" s="2" t="str">
        <f>HYPERLINK("http://www.otzar.org/book.asp?25315","צדה לדרך")</f>
        <v>צדה לדרך</v>
      </c>
    </row>
    <row r="34057" spans="1:6" x14ac:dyDescent="0.2">
      <c r="A34057" t="s">
        <v>52881</v>
      </c>
      <c r="B34057" t="s">
        <v>1988</v>
      </c>
      <c r="C34057" t="s">
        <v>39156</v>
      </c>
      <c r="D34057" t="s">
        <v>49</v>
      </c>
      <c r="F34057" s="2" t="str">
        <f>HYPERLINK("http://www.otzar.org/book.asp?182100","צדוק הדין - 2 כר'")</f>
        <v>צדוק הדין - 2 כר'</v>
      </c>
    </row>
    <row r="34058" spans="1:6" x14ac:dyDescent="0.2">
      <c r="A34058" t="s">
        <v>52882</v>
      </c>
      <c r="B34058" t="s">
        <v>52883</v>
      </c>
      <c r="C34058" t="s">
        <v>454</v>
      </c>
      <c r="D34058" t="s">
        <v>52</v>
      </c>
      <c r="E34058" t="s">
        <v>119</v>
      </c>
      <c r="F34058" s="2" t="str">
        <f>HYPERLINK("http://www.otzar.org/book.asp?169376","צדיק באמונתו - 2 כר'")</f>
        <v>צדיק באמונתו - 2 כר'</v>
      </c>
    </row>
    <row r="34059" spans="1:6" x14ac:dyDescent="0.2">
      <c r="A34059" t="s">
        <v>52884</v>
      </c>
      <c r="B34059" t="s">
        <v>52885</v>
      </c>
      <c r="C34059" t="s">
        <v>114</v>
      </c>
      <c r="D34059" t="s">
        <v>6403</v>
      </c>
      <c r="E34059" t="s">
        <v>140</v>
      </c>
      <c r="F34059" s="2" t="str">
        <f>HYPERLINK("http://www.otzar.org/book.asp?165400","צדיק האמת")</f>
        <v>צדיק האמת</v>
      </c>
    </row>
    <row r="34060" spans="1:6" x14ac:dyDescent="0.2">
      <c r="A34060" t="s">
        <v>52886</v>
      </c>
      <c r="B34060" t="s">
        <v>9322</v>
      </c>
      <c r="C34060" t="s">
        <v>4144</v>
      </c>
      <c r="D34060" t="s">
        <v>1889</v>
      </c>
      <c r="E34060" t="s">
        <v>144</v>
      </c>
      <c r="F34060" s="2" t="str">
        <f>HYPERLINK("http://www.otzar.org/book.asp?144663","צדיק ונשגב")</f>
        <v>צדיק ונשגב</v>
      </c>
    </row>
    <row r="34061" spans="1:6" x14ac:dyDescent="0.2">
      <c r="A34061" t="s">
        <v>52887</v>
      </c>
      <c r="B34061" t="s">
        <v>32629</v>
      </c>
      <c r="C34061" t="s">
        <v>20</v>
      </c>
      <c r="D34061" t="s">
        <v>14</v>
      </c>
      <c r="F34061" s="2" t="str">
        <f>HYPERLINK("http://www.otzar.org/book.asp?610820","צדיק יסוד עולם &lt;על ר""ש מזוועהיל&gt;")</f>
        <v>צדיק יסוד עולם &lt;על ר"ש מזוועהיל&gt;</v>
      </c>
    </row>
    <row r="34062" spans="1:6" x14ac:dyDescent="0.2">
      <c r="A34062" t="s">
        <v>52888</v>
      </c>
      <c r="B34062" t="s">
        <v>52889</v>
      </c>
      <c r="C34062" t="s">
        <v>3635</v>
      </c>
      <c r="D34062" t="s">
        <v>4364</v>
      </c>
      <c r="E34062" t="s">
        <v>1847</v>
      </c>
      <c r="F34062" s="2" t="str">
        <f>HYPERLINK("http://www.otzar.org/book.asp?12919","צדיק יסוד עולם - 2 כר'")</f>
        <v>צדיק יסוד עולם - 2 כר'</v>
      </c>
    </row>
    <row r="34063" spans="1:6" x14ac:dyDescent="0.2">
      <c r="A34063" t="s">
        <v>52890</v>
      </c>
      <c r="B34063" t="s">
        <v>5427</v>
      </c>
      <c r="C34063" t="s">
        <v>71</v>
      </c>
      <c r="D34063" t="s">
        <v>14</v>
      </c>
      <c r="E34063" t="s">
        <v>733</v>
      </c>
      <c r="F34063" s="2" t="str">
        <f>HYPERLINK("http://www.otzar.org/book.asp?189904","צדיק יסוד עולם - מסכת חייו של ר' אריה לוין")</f>
        <v>צדיק יסוד עולם - מסכת חייו של ר' אריה לוין</v>
      </c>
    </row>
    <row r="34064" spans="1:6" x14ac:dyDescent="0.2">
      <c r="A34064" t="s">
        <v>52891</v>
      </c>
      <c r="B34064" t="s">
        <v>32629</v>
      </c>
      <c r="C34064" t="s">
        <v>940</v>
      </c>
      <c r="D34064" t="s">
        <v>14</v>
      </c>
      <c r="E34064" t="s">
        <v>119</v>
      </c>
      <c r="F34064" s="2" t="str">
        <f>HYPERLINK("http://www.otzar.org/book.asp?163544","צדיק יסור עולם &lt;הרה""ק ר""ש מזוועהיל&gt; - 2 כר'")</f>
        <v>צדיק יסור עולם &lt;הרה"ק ר"ש מזוועהיל&gt; - 2 כר'</v>
      </c>
    </row>
    <row r="34065" spans="1:6" x14ac:dyDescent="0.2">
      <c r="A34065" t="s">
        <v>52892</v>
      </c>
      <c r="B34065" t="s">
        <v>12047</v>
      </c>
      <c r="C34065" t="s">
        <v>17270</v>
      </c>
      <c r="D34065" t="s">
        <v>52893</v>
      </c>
      <c r="E34065" t="s">
        <v>226</v>
      </c>
      <c r="F34065" s="2" t="str">
        <f>HYPERLINK("http://www.otzar.org/book.asp?103714","צדיק כתמר יפרח")</f>
        <v>צדיק כתמר יפרח</v>
      </c>
    </row>
    <row r="34066" spans="1:6" x14ac:dyDescent="0.2">
      <c r="A34066" t="s">
        <v>52892</v>
      </c>
      <c r="B34066" t="s">
        <v>1702</v>
      </c>
      <c r="C34066" t="s">
        <v>23</v>
      </c>
      <c r="D34066" t="s">
        <v>52</v>
      </c>
      <c r="E34066" t="s">
        <v>241</v>
      </c>
      <c r="F34066" s="2" t="str">
        <f>HYPERLINK("http://www.otzar.org/book.asp?603933","צדיק כתמר יפרח")</f>
        <v>צדיק כתמר יפרח</v>
      </c>
    </row>
    <row r="34067" spans="1:6" x14ac:dyDescent="0.2">
      <c r="A34067" t="s">
        <v>52892</v>
      </c>
      <c r="B34067" t="s">
        <v>5621</v>
      </c>
      <c r="C34067" t="s">
        <v>332</v>
      </c>
      <c r="D34067" t="s">
        <v>90</v>
      </c>
      <c r="E34067" t="s">
        <v>202</v>
      </c>
      <c r="F34067" s="2" t="str">
        <f>HYPERLINK("http://www.otzar.org/book.asp?160663","צדיק כתמר יפרח")</f>
        <v>צדיק כתמר יפרח</v>
      </c>
    </row>
    <row r="34068" spans="1:6" x14ac:dyDescent="0.2">
      <c r="A34068" t="s">
        <v>52894</v>
      </c>
      <c r="B34068" t="s">
        <v>3113</v>
      </c>
      <c r="C34068" t="s">
        <v>2105</v>
      </c>
      <c r="D34068" t="s">
        <v>9</v>
      </c>
      <c r="E34068" t="s">
        <v>733</v>
      </c>
      <c r="F34068" s="2" t="str">
        <f>HYPERLINK("http://www.otzar.org/book.asp?52121","צדיק לברכה")</f>
        <v>צדיק לברכה</v>
      </c>
    </row>
    <row r="34069" spans="1:6" x14ac:dyDescent="0.2">
      <c r="A34069" t="s">
        <v>52895</v>
      </c>
      <c r="B34069" t="s">
        <v>52896</v>
      </c>
      <c r="C34069" t="s">
        <v>313</v>
      </c>
      <c r="D34069" t="s">
        <v>14</v>
      </c>
      <c r="E34069" t="s">
        <v>119</v>
      </c>
      <c r="F34069" s="2" t="str">
        <f>HYPERLINK("http://www.otzar.org/book.asp?175775","צדיק מה פעל")</f>
        <v>צדיק מה פעל</v>
      </c>
    </row>
    <row r="34070" spans="1:6" x14ac:dyDescent="0.2">
      <c r="A34070" t="s">
        <v>52897</v>
      </c>
      <c r="B34070" t="s">
        <v>52898</v>
      </c>
      <c r="C34070" t="s">
        <v>553</v>
      </c>
      <c r="D34070" t="s">
        <v>52</v>
      </c>
      <c r="E34070" t="s">
        <v>104</v>
      </c>
      <c r="F34070" s="2" t="str">
        <f>HYPERLINK("http://www.otzar.org/book.asp?169969","צדיק מצרה נחלץ")</f>
        <v>צדיק מצרה נחלץ</v>
      </c>
    </row>
    <row r="34071" spans="1:6" x14ac:dyDescent="0.2">
      <c r="A34071" t="s">
        <v>52899</v>
      </c>
      <c r="B34071" t="s">
        <v>19237</v>
      </c>
      <c r="C34071" t="s">
        <v>68</v>
      </c>
      <c r="D34071" t="s">
        <v>90</v>
      </c>
      <c r="F34071" s="2" t="str">
        <f>HYPERLINK("http://www.otzar.org/book.asp?612565","צדיקי עולם")</f>
        <v>צדיקי עולם</v>
      </c>
    </row>
    <row r="34072" spans="1:6" x14ac:dyDescent="0.2">
      <c r="A34072" t="s">
        <v>52900</v>
      </c>
      <c r="B34072" t="s">
        <v>52901</v>
      </c>
      <c r="C34072" t="s">
        <v>422</v>
      </c>
      <c r="D34072" t="s">
        <v>52</v>
      </c>
      <c r="E34072" t="s">
        <v>144</v>
      </c>
      <c r="F34072" s="2" t="str">
        <f>HYPERLINK("http://www.otzar.org/book.asp?186803","צדק אברהם - 19 כר'")</f>
        <v>צדק אברהם - 19 כר'</v>
      </c>
    </row>
    <row r="34073" spans="1:6" x14ac:dyDescent="0.2">
      <c r="A34073" t="s">
        <v>52902</v>
      </c>
      <c r="B34073" t="s">
        <v>12057</v>
      </c>
      <c r="C34073" t="s">
        <v>3690</v>
      </c>
      <c r="D34073" t="s">
        <v>1117</v>
      </c>
      <c r="E34073" t="s">
        <v>241</v>
      </c>
      <c r="F34073" s="2" t="str">
        <f>HYPERLINK("http://www.otzar.org/book.asp?103690","צדק ומשפט")</f>
        <v>צדק ומשפט</v>
      </c>
    </row>
    <row r="34074" spans="1:6" x14ac:dyDescent="0.2">
      <c r="A34074" t="s">
        <v>52902</v>
      </c>
      <c r="B34074" t="s">
        <v>18880</v>
      </c>
      <c r="C34074" t="s">
        <v>603</v>
      </c>
      <c r="D34074" t="s">
        <v>157</v>
      </c>
      <c r="E34074" t="s">
        <v>23414</v>
      </c>
      <c r="F34074" s="2" t="str">
        <f>HYPERLINK("http://www.otzar.org/book.asp?8993","צדק ומשפט")</f>
        <v>צדק ומשפט</v>
      </c>
    </row>
    <row r="34075" spans="1:6" x14ac:dyDescent="0.2">
      <c r="A34075" t="s">
        <v>52903</v>
      </c>
      <c r="B34075" t="s">
        <v>11996</v>
      </c>
      <c r="C34075" t="s">
        <v>8</v>
      </c>
      <c r="D34075" t="s">
        <v>1889</v>
      </c>
      <c r="E34075" t="s">
        <v>241</v>
      </c>
      <c r="F34075" s="2" t="str">
        <f>HYPERLINK("http://www.otzar.org/book.asp?300541","צדק ושלום")</f>
        <v>צדק ושלום</v>
      </c>
    </row>
    <row r="34076" spans="1:6" x14ac:dyDescent="0.2">
      <c r="A34076" t="s">
        <v>52904</v>
      </c>
      <c r="B34076" t="s">
        <v>21576</v>
      </c>
      <c r="C34076" t="s">
        <v>422</v>
      </c>
      <c r="D34076" t="s">
        <v>90</v>
      </c>
      <c r="E34076" t="s">
        <v>144</v>
      </c>
      <c r="F34076" s="2" t="str">
        <f>HYPERLINK("http://www.otzar.org/book.asp?147786","צדק עדותיך - א")</f>
        <v>צדק עדותיך - א</v>
      </c>
    </row>
    <row r="34077" spans="1:6" x14ac:dyDescent="0.2">
      <c r="A34077" t="s">
        <v>52905</v>
      </c>
      <c r="B34077" t="s">
        <v>21460</v>
      </c>
      <c r="C34077" t="s">
        <v>313</v>
      </c>
      <c r="D34077" t="s">
        <v>5421</v>
      </c>
      <c r="E34077" t="s">
        <v>674</v>
      </c>
      <c r="F34077" s="2" t="str">
        <f>HYPERLINK("http://www.otzar.org/book.asp?149929","צדק צדק תרדוף - 2 כר'")</f>
        <v>צדק צדק תרדוף - 2 כר'</v>
      </c>
    </row>
    <row r="34078" spans="1:6" x14ac:dyDescent="0.2">
      <c r="A34078" t="s">
        <v>52906</v>
      </c>
      <c r="B34078" t="s">
        <v>52907</v>
      </c>
      <c r="C34078" t="s">
        <v>496</v>
      </c>
      <c r="D34078" t="s">
        <v>56</v>
      </c>
      <c r="E34078" t="s">
        <v>104</v>
      </c>
      <c r="F34078" s="2" t="str">
        <f>HYPERLINK("http://www.otzar.org/book.asp?155774","צדקה בכל עת")</f>
        <v>צדקה בכל עת</v>
      </c>
    </row>
    <row r="34079" spans="1:6" x14ac:dyDescent="0.2">
      <c r="A34079" t="s">
        <v>52908</v>
      </c>
      <c r="B34079" t="s">
        <v>5305</v>
      </c>
      <c r="C34079" t="s">
        <v>20</v>
      </c>
      <c r="D34079" t="s">
        <v>52</v>
      </c>
      <c r="E34079" t="s">
        <v>104</v>
      </c>
      <c r="F34079" s="2" t="str">
        <f>HYPERLINK("http://www.otzar.org/book.asp?629382","צדקה וחסד בהלכה ובאגדה")</f>
        <v>צדקה וחסד בהלכה ובאגדה</v>
      </c>
    </row>
    <row r="34080" spans="1:6" x14ac:dyDescent="0.2">
      <c r="A34080" t="s">
        <v>52909</v>
      </c>
      <c r="B34080" t="s">
        <v>13208</v>
      </c>
      <c r="C34080" t="s">
        <v>919</v>
      </c>
      <c r="D34080" t="s">
        <v>216</v>
      </c>
      <c r="E34080" t="s">
        <v>733</v>
      </c>
      <c r="F34080" s="2" t="str">
        <f>HYPERLINK("http://www.otzar.org/book.asp?147838","צדקה וחסד - אנשי צדקה וחסד")</f>
        <v>צדקה וחסד - אנשי צדקה וחסד</v>
      </c>
    </row>
    <row r="34081" spans="1:6" x14ac:dyDescent="0.2">
      <c r="A34081" t="s">
        <v>52910</v>
      </c>
      <c r="B34081" t="s">
        <v>8909</v>
      </c>
      <c r="C34081" t="s">
        <v>411</v>
      </c>
      <c r="D34081" t="s">
        <v>14</v>
      </c>
      <c r="E34081" t="s">
        <v>15</v>
      </c>
      <c r="F34081" s="2" t="str">
        <f>HYPERLINK("http://www.otzar.org/book.asp?167868","צדקה וכבוד")</f>
        <v>צדקה וכבוד</v>
      </c>
    </row>
    <row r="34082" spans="1:6" x14ac:dyDescent="0.2">
      <c r="A34082" t="s">
        <v>52911</v>
      </c>
      <c r="B34082" t="s">
        <v>52912</v>
      </c>
      <c r="C34082" t="s">
        <v>244</v>
      </c>
      <c r="D34082" t="s">
        <v>52913</v>
      </c>
      <c r="E34082" t="s">
        <v>714</v>
      </c>
      <c r="F34082" s="2" t="str">
        <f>HYPERLINK("http://www.otzar.org/book.asp?606910","צדקה ומרפא - 3 כר'")</f>
        <v>צדקה ומרפא - 3 כר'</v>
      </c>
    </row>
    <row r="34083" spans="1:6" x14ac:dyDescent="0.2">
      <c r="A34083" t="s">
        <v>52914</v>
      </c>
      <c r="B34083" t="s">
        <v>11932</v>
      </c>
      <c r="C34083" t="s">
        <v>244</v>
      </c>
      <c r="D34083" t="s">
        <v>14</v>
      </c>
      <c r="E34083" t="s">
        <v>15</v>
      </c>
      <c r="F34083" s="2" t="str">
        <f>HYPERLINK("http://www.otzar.org/book.asp?199868","צדקה ומשפט &lt;מהדורה חדשה&gt;")</f>
        <v>צדקה ומשפט &lt;מהדורה חדשה&gt;</v>
      </c>
    </row>
    <row r="34084" spans="1:6" x14ac:dyDescent="0.2">
      <c r="A34084" t="s">
        <v>52915</v>
      </c>
      <c r="B34084" t="s">
        <v>11932</v>
      </c>
      <c r="C34084" t="s">
        <v>313</v>
      </c>
      <c r="D34084" t="s">
        <v>14</v>
      </c>
      <c r="E34084" t="s">
        <v>15</v>
      </c>
      <c r="F34084" s="2" t="str">
        <f>HYPERLINK("http://www.otzar.org/book.asp?53219","צדקה ומשפט")</f>
        <v>צדקה ומשפט</v>
      </c>
    </row>
    <row r="34085" spans="1:6" x14ac:dyDescent="0.2">
      <c r="A34085" t="s">
        <v>52916</v>
      </c>
      <c r="B34085" t="s">
        <v>52917</v>
      </c>
      <c r="C34085" t="s">
        <v>99</v>
      </c>
      <c r="D34085" t="s">
        <v>27</v>
      </c>
      <c r="E34085" t="s">
        <v>791</v>
      </c>
      <c r="F34085" s="2" t="str">
        <f>HYPERLINK("http://www.otzar.org/book.asp?101734","צדקה ומשפט - 3 כר'")</f>
        <v>צדקה ומשפט - 3 כר'</v>
      </c>
    </row>
    <row r="34086" spans="1:6" x14ac:dyDescent="0.2">
      <c r="A34086" t="s">
        <v>52915</v>
      </c>
      <c r="B34086" t="s">
        <v>11051</v>
      </c>
      <c r="C34086" t="s">
        <v>160</v>
      </c>
      <c r="D34086" t="s">
        <v>2705</v>
      </c>
      <c r="F34086" s="2" t="str">
        <f>HYPERLINK("http://www.otzar.org/book.asp?617250","צדקה ומשפט")</f>
        <v>צדקה ומשפט</v>
      </c>
    </row>
    <row r="34087" spans="1:6" x14ac:dyDescent="0.2">
      <c r="A34087" t="s">
        <v>52918</v>
      </c>
      <c r="B34087" t="s">
        <v>23884</v>
      </c>
      <c r="C34087" t="s">
        <v>99</v>
      </c>
      <c r="D34087" t="s">
        <v>27</v>
      </c>
      <c r="E34087" t="s">
        <v>1103</v>
      </c>
      <c r="F34087" s="2" t="str">
        <f>HYPERLINK("http://www.otzar.org/book.asp?158158","צדקה ורחמים")</f>
        <v>צדקה ורחמים</v>
      </c>
    </row>
    <row r="34088" spans="1:6" x14ac:dyDescent="0.2">
      <c r="A34088" t="s">
        <v>52919</v>
      </c>
      <c r="B34088" t="s">
        <v>155</v>
      </c>
      <c r="C34088" t="s">
        <v>603</v>
      </c>
      <c r="D34088" t="s">
        <v>157</v>
      </c>
      <c r="E34088" t="s">
        <v>1262</v>
      </c>
      <c r="F34088" s="2" t="str">
        <f>HYPERLINK("http://www.otzar.org/book.asp?101735","צדקה חיים")</f>
        <v>צדקה חיים</v>
      </c>
    </row>
    <row r="34089" spans="1:6" x14ac:dyDescent="0.2">
      <c r="A34089" t="s">
        <v>52920</v>
      </c>
      <c r="B34089" t="s">
        <v>52921</v>
      </c>
      <c r="C34089" t="s">
        <v>6062</v>
      </c>
      <c r="D34089" t="s">
        <v>212</v>
      </c>
      <c r="E34089" t="s">
        <v>52922</v>
      </c>
      <c r="F34089" s="2" t="str">
        <f>HYPERLINK("http://www.otzar.org/book.asp?147096","צדקה לחיים")</f>
        <v>צדקה לחיים</v>
      </c>
    </row>
    <row r="34090" spans="1:6" x14ac:dyDescent="0.2">
      <c r="A34090" t="s">
        <v>52920</v>
      </c>
      <c r="B34090" t="s">
        <v>52923</v>
      </c>
      <c r="C34090" t="s">
        <v>422</v>
      </c>
      <c r="D34090" t="s">
        <v>14</v>
      </c>
      <c r="E34090" t="s">
        <v>674</v>
      </c>
      <c r="F34090" s="2" t="str">
        <f>HYPERLINK("http://www.otzar.org/book.asp?147627","צדקה לחיים")</f>
        <v>צדקה לחיים</v>
      </c>
    </row>
    <row r="34091" spans="1:6" x14ac:dyDescent="0.2">
      <c r="A34091" t="s">
        <v>52920</v>
      </c>
      <c r="B34091" t="s">
        <v>155</v>
      </c>
      <c r="C34091" t="s">
        <v>266</v>
      </c>
      <c r="D34091" t="s">
        <v>157</v>
      </c>
      <c r="E34091" t="s">
        <v>104</v>
      </c>
      <c r="F34091" s="2" t="str">
        <f>HYPERLINK("http://www.otzar.org/book.asp?15933","צדקה לחיים")</f>
        <v>צדקה לחיים</v>
      </c>
    </row>
    <row r="34092" spans="1:6" x14ac:dyDescent="0.2">
      <c r="A34092" t="s">
        <v>52924</v>
      </c>
      <c r="B34092" t="s">
        <v>52925</v>
      </c>
      <c r="C34092" t="s">
        <v>454</v>
      </c>
      <c r="D34092" t="s">
        <v>14</v>
      </c>
      <c r="E34092" t="s">
        <v>15</v>
      </c>
      <c r="F34092" s="2" t="str">
        <f>HYPERLINK("http://www.otzar.org/book.asp?84425","צדקה לישראל")</f>
        <v>צדקה לישראל</v>
      </c>
    </row>
    <row r="34093" spans="1:6" x14ac:dyDescent="0.2">
      <c r="A34093" t="s">
        <v>52926</v>
      </c>
      <c r="B34093" t="s">
        <v>23830</v>
      </c>
      <c r="C34093" t="s">
        <v>13</v>
      </c>
      <c r="D34093" t="s">
        <v>367</v>
      </c>
      <c r="E34093" t="s">
        <v>15</v>
      </c>
      <c r="F34093" s="2" t="str">
        <f>HYPERLINK("http://www.otzar.org/book.asp?179037","צדקה שלימה")</f>
        <v>צדקה שלימה</v>
      </c>
    </row>
    <row r="34094" spans="1:6" x14ac:dyDescent="0.2">
      <c r="A34094" t="s">
        <v>52927</v>
      </c>
      <c r="B34094" t="s">
        <v>52928</v>
      </c>
      <c r="C34094" t="s">
        <v>454</v>
      </c>
      <c r="D34094" t="s">
        <v>52</v>
      </c>
      <c r="E34094" t="s">
        <v>230</v>
      </c>
      <c r="F34094" s="2" t="str">
        <f>HYPERLINK("http://www.otzar.org/book.asp?176017","צדקת אברהם")</f>
        <v>צדקת אברהם</v>
      </c>
    </row>
    <row r="34095" spans="1:6" x14ac:dyDescent="0.2">
      <c r="A34095" t="s">
        <v>52929</v>
      </c>
      <c r="B34095" t="s">
        <v>11702</v>
      </c>
      <c r="C34095" t="s">
        <v>20</v>
      </c>
      <c r="D34095" t="s">
        <v>90</v>
      </c>
      <c r="E34095" t="s">
        <v>119</v>
      </c>
      <c r="F34095" s="2" t="str">
        <f>HYPERLINK("http://www.otzar.org/book.asp?194927","צדקת החכם")</f>
        <v>צדקת החכם</v>
      </c>
    </row>
    <row r="34096" spans="1:6" x14ac:dyDescent="0.2">
      <c r="A34096" t="s">
        <v>52930</v>
      </c>
      <c r="B34096" t="s">
        <v>2993</v>
      </c>
      <c r="C34096" t="s">
        <v>1208</v>
      </c>
      <c r="D34096" t="s">
        <v>6853</v>
      </c>
      <c r="E34096" t="s">
        <v>241</v>
      </c>
      <c r="F34096" s="2" t="str">
        <f>HYPERLINK("http://www.otzar.org/book.asp?154006","צדקת הצדיק &lt;מהדורת הר ברכה&gt;")</f>
        <v>צדקת הצדיק &lt;מהדורת הר ברכה&gt;</v>
      </c>
    </row>
    <row r="34097" spans="1:6" x14ac:dyDescent="0.2">
      <c r="A34097" t="s">
        <v>52931</v>
      </c>
      <c r="B34097" t="s">
        <v>27233</v>
      </c>
      <c r="C34097" t="s">
        <v>445</v>
      </c>
      <c r="D34097" t="s">
        <v>280</v>
      </c>
      <c r="F34097" s="2" t="str">
        <f>HYPERLINK("http://www.otzar.org/book.asp?169414","צדקת הצדיק")</f>
        <v>צדקת הצדיק</v>
      </c>
    </row>
    <row r="34098" spans="1:6" x14ac:dyDescent="0.2">
      <c r="A34098" t="s">
        <v>52931</v>
      </c>
      <c r="B34098" t="s">
        <v>22059</v>
      </c>
      <c r="C34098" t="s">
        <v>482</v>
      </c>
      <c r="D34098" t="s">
        <v>27</v>
      </c>
      <c r="E34098" t="s">
        <v>15</v>
      </c>
      <c r="F34098" s="2" t="str">
        <f>HYPERLINK("http://www.otzar.org/book.asp?176016","צדקת הצדיק")</f>
        <v>צדקת הצדיק</v>
      </c>
    </row>
    <row r="34099" spans="1:6" x14ac:dyDescent="0.2">
      <c r="A34099" t="s">
        <v>52932</v>
      </c>
      <c r="B34099" t="s">
        <v>2993</v>
      </c>
      <c r="C34099" t="s">
        <v>1166</v>
      </c>
      <c r="D34099" t="s">
        <v>726</v>
      </c>
      <c r="E34099" t="s">
        <v>140</v>
      </c>
      <c r="F34099" s="2" t="str">
        <f>HYPERLINK("http://www.otzar.org/book.asp?6578","צדקת הצדיק - 2 כר'")</f>
        <v>צדקת הצדיק - 2 כר'</v>
      </c>
    </row>
    <row r="34100" spans="1:6" x14ac:dyDescent="0.2">
      <c r="A34100" t="s">
        <v>52933</v>
      </c>
      <c r="B34100" t="s">
        <v>52934</v>
      </c>
      <c r="C34100" t="s">
        <v>366</v>
      </c>
      <c r="D34100" t="s">
        <v>1156</v>
      </c>
      <c r="F34100" s="2" t="str">
        <f>HYPERLINK("http://www.otzar.org/book.asp?612694","צדקת חיים")</f>
        <v>צדקת חיים</v>
      </c>
    </row>
    <row r="34101" spans="1:6" x14ac:dyDescent="0.2">
      <c r="A34101" t="s">
        <v>52935</v>
      </c>
      <c r="B34101" t="s">
        <v>52936</v>
      </c>
      <c r="C34101" t="s">
        <v>624</v>
      </c>
      <c r="D34101" t="s">
        <v>486</v>
      </c>
      <c r="E34101" t="s">
        <v>230</v>
      </c>
      <c r="F34101" s="2" t="str">
        <f>HYPERLINK("http://www.otzar.org/book.asp?53242","צדקת יוסף - 2 כר'")</f>
        <v>צדקת יוסף - 2 כר'</v>
      </c>
    </row>
    <row r="34102" spans="1:6" x14ac:dyDescent="0.2">
      <c r="A34102" t="s">
        <v>52937</v>
      </c>
      <c r="B34102" t="s">
        <v>52938</v>
      </c>
      <c r="C34102" t="s">
        <v>366</v>
      </c>
      <c r="D34102" t="s">
        <v>14</v>
      </c>
      <c r="E34102" t="s">
        <v>3785</v>
      </c>
      <c r="F34102" s="2" t="str">
        <f>HYPERLINK("http://www.otzar.org/book.asp?629702","צדקת ישע - 2 כר'")</f>
        <v>צדקת ישע - 2 כר'</v>
      </c>
    </row>
    <row r="34103" spans="1:6" x14ac:dyDescent="0.2">
      <c r="A34103" t="s">
        <v>52939</v>
      </c>
      <c r="B34103" t="s">
        <v>9322</v>
      </c>
      <c r="C34103" t="s">
        <v>4144</v>
      </c>
      <c r="D34103" t="s">
        <v>1889</v>
      </c>
      <c r="E34103" t="s">
        <v>154</v>
      </c>
      <c r="F34103" s="2" t="str">
        <f>HYPERLINK("http://www.otzar.org/book.asp?144662","צדקת משה")</f>
        <v>צדקת משה</v>
      </c>
    </row>
    <row r="34104" spans="1:6" x14ac:dyDescent="0.2">
      <c r="A34104" t="s">
        <v>52940</v>
      </c>
      <c r="B34104" t="s">
        <v>686</v>
      </c>
      <c r="C34104" t="s">
        <v>151</v>
      </c>
      <c r="D34104" t="s">
        <v>52</v>
      </c>
      <c r="F34104" s="2" t="str">
        <f>HYPERLINK("http://www.otzar.org/book.asp?613838","צהלה ורנה")</f>
        <v>צהלה ורנה</v>
      </c>
    </row>
    <row r="34105" spans="1:6" x14ac:dyDescent="0.2">
      <c r="A34105" t="s">
        <v>52941</v>
      </c>
      <c r="B34105" t="s">
        <v>686</v>
      </c>
      <c r="C34105" t="s">
        <v>422</v>
      </c>
      <c r="D34105" t="s">
        <v>52</v>
      </c>
      <c r="E34105" t="s">
        <v>246</v>
      </c>
      <c r="F34105" s="2" t="str">
        <f>HYPERLINK("http://www.otzar.org/book.asp?149801","צהלי ורני")</f>
        <v>צהלי ורני</v>
      </c>
    </row>
    <row r="34106" spans="1:6" x14ac:dyDescent="0.2">
      <c r="A34106" t="s">
        <v>52942</v>
      </c>
      <c r="B34106" t="s">
        <v>52943</v>
      </c>
      <c r="C34106" t="s">
        <v>1160</v>
      </c>
      <c r="D34106" t="s">
        <v>646</v>
      </c>
      <c r="F34106" s="2" t="str">
        <f>HYPERLINK("http://www.otzar.org/book.asp?615317","צהלת צבי - ב")</f>
        <v>צהלת צבי - ב</v>
      </c>
    </row>
    <row r="34107" spans="1:6" x14ac:dyDescent="0.2">
      <c r="A34107" t="s">
        <v>52944</v>
      </c>
      <c r="B34107" t="s">
        <v>52945</v>
      </c>
      <c r="C34107" t="s">
        <v>785</v>
      </c>
      <c r="D34107" t="s">
        <v>10588</v>
      </c>
      <c r="E34107" t="s">
        <v>202</v>
      </c>
      <c r="F34107" s="2" t="str">
        <f>HYPERLINK("http://www.otzar.org/book.asp?189002","צהר הבית - קובץ")</f>
        <v>צהר הבית - קובץ</v>
      </c>
    </row>
    <row r="34108" spans="1:6" x14ac:dyDescent="0.2">
      <c r="A34108" t="s">
        <v>52946</v>
      </c>
      <c r="B34108" t="s">
        <v>52947</v>
      </c>
      <c r="C34108" t="s">
        <v>114</v>
      </c>
      <c r="D34108" t="s">
        <v>852</v>
      </c>
      <c r="E34108" t="s">
        <v>172</v>
      </c>
      <c r="F34108" s="2" t="str">
        <f>HYPERLINK("http://www.otzar.org/book.asp?160105","צהר המשפט")</f>
        <v>צהר המשפט</v>
      </c>
    </row>
    <row r="34109" spans="1:6" x14ac:dyDescent="0.2">
      <c r="A34109" t="s">
        <v>52948</v>
      </c>
      <c r="B34109" t="s">
        <v>52949</v>
      </c>
      <c r="C34109" t="s">
        <v>6784</v>
      </c>
      <c r="D34109" t="s">
        <v>1422</v>
      </c>
      <c r="E34109" t="s">
        <v>144</v>
      </c>
      <c r="F34109" s="2" t="str">
        <f>HYPERLINK("http://www.otzar.org/book.asp?108436","צהר לבנין")</f>
        <v>צהר לבנין</v>
      </c>
    </row>
    <row r="34110" spans="1:6" x14ac:dyDescent="0.2">
      <c r="A34110" t="s">
        <v>52950</v>
      </c>
      <c r="B34110" t="s">
        <v>27352</v>
      </c>
      <c r="C34110" t="s">
        <v>940</v>
      </c>
      <c r="D34110" t="s">
        <v>216</v>
      </c>
      <c r="E34110" t="s">
        <v>733</v>
      </c>
      <c r="F34110" s="2" t="str">
        <f>HYPERLINK("http://www.otzar.org/book.asp?64122","צהר לחשיפת גנזי תימן")</f>
        <v>צהר לחשיפת גנזי תימן</v>
      </c>
    </row>
    <row r="34111" spans="1:6" x14ac:dyDescent="0.2">
      <c r="A34111" t="s">
        <v>52951</v>
      </c>
      <c r="B34111" t="s">
        <v>52952</v>
      </c>
      <c r="C34111" t="s">
        <v>143</v>
      </c>
      <c r="D34111" t="s">
        <v>52</v>
      </c>
      <c r="E34111" t="s">
        <v>144</v>
      </c>
      <c r="F34111" s="2" t="str">
        <f>HYPERLINK("http://www.otzar.org/book.asp?159383","צהר לתבה")</f>
        <v>צהר לתבה</v>
      </c>
    </row>
    <row r="34112" spans="1:6" x14ac:dyDescent="0.2">
      <c r="A34112" t="s">
        <v>52953</v>
      </c>
      <c r="B34112" t="s">
        <v>52954</v>
      </c>
      <c r="C34112" t="s">
        <v>103</v>
      </c>
      <c r="D34112" t="s">
        <v>14</v>
      </c>
      <c r="E34112" t="s">
        <v>144</v>
      </c>
      <c r="F34112" s="2" t="str">
        <f>HYPERLINK("http://www.otzar.org/book.asp?165424","צהר לתיבה - כללים בתלמוד")</f>
        <v>צהר לתיבה - כללים בתלמוד</v>
      </c>
    </row>
    <row r="34113" spans="1:6" x14ac:dyDescent="0.2">
      <c r="A34113" t="s">
        <v>52955</v>
      </c>
      <c r="B34113" t="s">
        <v>21368</v>
      </c>
      <c r="C34113" t="s">
        <v>103</v>
      </c>
      <c r="D34113" t="s">
        <v>14</v>
      </c>
      <c r="E34113" t="s">
        <v>241</v>
      </c>
      <c r="F34113" s="2" t="str">
        <f>HYPERLINK("http://www.otzar.org/book.asp?64334","צהר תעשה לתיבה - 2 כר'")</f>
        <v>צהר תעשה לתיבה - 2 כר'</v>
      </c>
    </row>
    <row r="34114" spans="1:6" x14ac:dyDescent="0.2">
      <c r="A34114" t="s">
        <v>52956</v>
      </c>
      <c r="B34114" t="s">
        <v>52957</v>
      </c>
      <c r="C34114" t="s">
        <v>51</v>
      </c>
      <c r="D34114" t="s">
        <v>14</v>
      </c>
      <c r="E34114" t="s">
        <v>202</v>
      </c>
      <c r="F34114" s="2" t="str">
        <f>HYPERLINK("http://www.otzar.org/book.asp?149439","צהר - 18 כר'")</f>
        <v>צהר - 18 כר'</v>
      </c>
    </row>
    <row r="34115" spans="1:6" x14ac:dyDescent="0.2">
      <c r="A34115" t="s">
        <v>52958</v>
      </c>
      <c r="B34115" t="s">
        <v>52959</v>
      </c>
      <c r="C34115" t="s">
        <v>79</v>
      </c>
      <c r="D34115" t="s">
        <v>14</v>
      </c>
      <c r="F34115" s="2" t="str">
        <f>HYPERLINK("http://www.otzar.org/book.asp?612883","צו השעה התגוננות למען קדושת האומה")</f>
        <v>צו השעה התגוננות למען קדושת האומה</v>
      </c>
    </row>
    <row r="34116" spans="1:6" x14ac:dyDescent="0.2">
      <c r="A34116" t="s">
        <v>52960</v>
      </c>
      <c r="B34116" t="s">
        <v>52961</v>
      </c>
      <c r="C34116" t="s">
        <v>366</v>
      </c>
      <c r="D34116" t="s">
        <v>721</v>
      </c>
      <c r="F34116" s="2" t="str">
        <f>HYPERLINK("http://www.otzar.org/book.asp?609881","צו לצו &lt;מהדורה חדשה&gt;")</f>
        <v>צו לצו &lt;מהדורה חדשה&gt;</v>
      </c>
    </row>
    <row r="34117" spans="1:6" x14ac:dyDescent="0.2">
      <c r="A34117" t="s">
        <v>52962</v>
      </c>
      <c r="B34117" t="s">
        <v>52961</v>
      </c>
      <c r="C34117" t="s">
        <v>2644</v>
      </c>
      <c r="D34117" t="s">
        <v>27</v>
      </c>
      <c r="E34117" t="s">
        <v>104</v>
      </c>
      <c r="F34117" s="2" t="str">
        <f>HYPERLINK("http://www.otzar.org/book.asp?21436","צו לצו")</f>
        <v>צו לצו</v>
      </c>
    </row>
    <row r="34118" spans="1:6" x14ac:dyDescent="0.2">
      <c r="A34118" t="s">
        <v>52963</v>
      </c>
      <c r="B34118" t="s">
        <v>1681</v>
      </c>
      <c r="C34118" t="s">
        <v>37</v>
      </c>
      <c r="D34118" t="s">
        <v>80</v>
      </c>
      <c r="F34118" s="2" t="str">
        <f>HYPERLINK("http://www.otzar.org/book.asp?606787","צו צוה - לשון זירוז")</f>
        <v>צו צוה - לשון זירוז</v>
      </c>
    </row>
    <row r="34119" spans="1:6" x14ac:dyDescent="0.2">
      <c r="A34119" t="s">
        <v>52964</v>
      </c>
      <c r="B34119" t="s">
        <v>52923</v>
      </c>
      <c r="C34119" t="s">
        <v>176</v>
      </c>
      <c r="D34119" t="s">
        <v>14</v>
      </c>
      <c r="E34119" t="s">
        <v>81</v>
      </c>
      <c r="F34119" s="2" t="str">
        <f>HYPERLINK("http://www.otzar.org/book.asp?200376","צואה מחיים &lt;תוספת חיים&gt; - 2 כר'")</f>
        <v>צואה מחיים &lt;תוספת חיים&gt; - 2 כר'</v>
      </c>
    </row>
    <row r="34120" spans="1:6" x14ac:dyDescent="0.2">
      <c r="A34120" t="s">
        <v>52965</v>
      </c>
      <c r="B34120" t="s">
        <v>52966</v>
      </c>
      <c r="C34120" t="s">
        <v>8</v>
      </c>
      <c r="D34120" t="s">
        <v>16325</v>
      </c>
      <c r="E34120" t="s">
        <v>213</v>
      </c>
      <c r="F34120" s="2" t="str">
        <f>HYPERLINK("http://www.otzar.org/book.asp?200011","צואות גאוני ישראל")</f>
        <v>צואות גאוני ישראל</v>
      </c>
    </row>
    <row r="34121" spans="1:6" x14ac:dyDescent="0.2">
      <c r="A34121" t="s">
        <v>52967</v>
      </c>
      <c r="B34121" t="s">
        <v>52968</v>
      </c>
      <c r="C34121" t="s">
        <v>1718</v>
      </c>
      <c r="D34121" t="s">
        <v>1422</v>
      </c>
      <c r="E34121" t="s">
        <v>104</v>
      </c>
      <c r="F34121" s="2" t="str">
        <f>HYPERLINK("http://www.otzar.org/book.asp?147119","צואות ה""ר יהודה בן הרא""ש ואחיו ה""ר יעקב")</f>
        <v>צואות ה"ר יהודה בן הרא"ש ואחיו ה"ר יעקב</v>
      </c>
    </row>
    <row r="34122" spans="1:6" x14ac:dyDescent="0.2">
      <c r="A34122" t="s">
        <v>52969</v>
      </c>
      <c r="B34122" t="s">
        <v>52970</v>
      </c>
      <c r="C34122" t="s">
        <v>366</v>
      </c>
      <c r="D34122" t="s">
        <v>21</v>
      </c>
      <c r="F34122" s="2" t="str">
        <f>HYPERLINK("http://www.otzar.org/book.asp?603261","צוארי בנימין - 2 כר'")</f>
        <v>צוארי בנימין - 2 כר'</v>
      </c>
    </row>
    <row r="34123" spans="1:6" x14ac:dyDescent="0.2">
      <c r="A34123" t="s">
        <v>52971</v>
      </c>
      <c r="B34123" t="s">
        <v>1308</v>
      </c>
      <c r="C34123" t="s">
        <v>1706</v>
      </c>
      <c r="D34123" t="s">
        <v>1117</v>
      </c>
      <c r="E34123" t="s">
        <v>158</v>
      </c>
      <c r="F34123" s="2" t="str">
        <f>HYPERLINK("http://www.otzar.org/book.asp?16029","צוארי שלל - 2 כר'")</f>
        <v>צוארי שלל - 2 כר'</v>
      </c>
    </row>
    <row r="34124" spans="1:6" x14ac:dyDescent="0.2">
      <c r="A34124" t="s">
        <v>52972</v>
      </c>
      <c r="B34124" t="s">
        <v>52973</v>
      </c>
      <c r="C34124" t="s">
        <v>286</v>
      </c>
      <c r="D34124" t="s">
        <v>1966</v>
      </c>
      <c r="E34124" t="s">
        <v>241</v>
      </c>
      <c r="F34124" s="2" t="str">
        <f>HYPERLINK("http://www.otzar.org/book.asp?149194","צוה ישועות יעקב")</f>
        <v>צוה ישועות יעקב</v>
      </c>
    </row>
    <row r="34125" spans="1:6" x14ac:dyDescent="0.2">
      <c r="A34125" t="s">
        <v>52974</v>
      </c>
      <c r="B34125" t="s">
        <v>11375</v>
      </c>
      <c r="C34125" t="s">
        <v>7625</v>
      </c>
      <c r="D34125" t="s">
        <v>280</v>
      </c>
      <c r="E34125" t="s">
        <v>104</v>
      </c>
      <c r="F34125" s="2" t="str">
        <f>HYPERLINK("http://www.otzar.org/book.asp?13096","צוהר התיבה")</f>
        <v>צוהר התיבה</v>
      </c>
    </row>
    <row r="34126" spans="1:6" x14ac:dyDescent="0.2">
      <c r="A34126" t="s">
        <v>52975</v>
      </c>
      <c r="B34126" t="s">
        <v>3834</v>
      </c>
      <c r="C34126" t="s">
        <v>466</v>
      </c>
      <c r="D34126" t="s">
        <v>14</v>
      </c>
      <c r="E34126" t="s">
        <v>213</v>
      </c>
      <c r="F34126" s="2" t="str">
        <f>HYPERLINK("http://www.otzar.org/book.asp?106491","צוהר לארחות החרדי")</f>
        <v>צוהר לארחות החרדי</v>
      </c>
    </row>
    <row r="34127" spans="1:6" x14ac:dyDescent="0.2">
      <c r="A34127" t="s">
        <v>52976</v>
      </c>
      <c r="B34127" t="s">
        <v>52977</v>
      </c>
      <c r="C34127" t="s">
        <v>133</v>
      </c>
      <c r="D34127" t="s">
        <v>14</v>
      </c>
      <c r="E34127" t="s">
        <v>158</v>
      </c>
      <c r="F34127" s="2" t="str">
        <f>HYPERLINK("http://www.otzar.org/book.asp?173315","צוהר לתיבה - 5 כר'")</f>
        <v>צוהר לתיבה - 5 כר'</v>
      </c>
    </row>
    <row r="34128" spans="1:6" x14ac:dyDescent="0.2">
      <c r="A34128" t="s">
        <v>52978</v>
      </c>
      <c r="B34128" t="s">
        <v>52979</v>
      </c>
      <c r="C34128" t="s">
        <v>2076</v>
      </c>
      <c r="D34128" t="s">
        <v>1722</v>
      </c>
      <c r="E34128" t="s">
        <v>579</v>
      </c>
      <c r="F34128" s="2" t="str">
        <f>HYPERLINK("http://www.otzar.org/book.asp?14742","צוואה הקדושה &lt;צואת נפתלי בן יעקב אבינו&gt;")</f>
        <v>צוואה הקדושה &lt;צואת נפתלי בן יעקב אבינו&gt;</v>
      </c>
    </row>
    <row r="34129" spans="1:6" x14ac:dyDescent="0.2">
      <c r="A34129" t="s">
        <v>52980</v>
      </c>
      <c r="B34129" t="s">
        <v>29624</v>
      </c>
      <c r="C34129" t="s">
        <v>20</v>
      </c>
      <c r="D34129" t="s">
        <v>90</v>
      </c>
      <c r="E34129" t="s">
        <v>104</v>
      </c>
      <c r="F34129" s="2" t="str">
        <f>HYPERLINK("http://www.otzar.org/book.asp?17057","צוואה יקרה")</f>
        <v>צוואה יקרה</v>
      </c>
    </row>
    <row r="34130" spans="1:6" x14ac:dyDescent="0.2">
      <c r="A34130" t="s">
        <v>52981</v>
      </c>
      <c r="B34130" t="s">
        <v>18648</v>
      </c>
      <c r="C34130" t="s">
        <v>1650</v>
      </c>
      <c r="D34130" t="s">
        <v>947</v>
      </c>
      <c r="E34130" t="s">
        <v>104</v>
      </c>
      <c r="F34130" s="2" t="str">
        <f>HYPERLINK("http://www.otzar.org/book.asp?103692","צוואה מאת אדמו""ר")</f>
        <v>צוואה מאת אדמו"ר</v>
      </c>
    </row>
    <row r="34131" spans="1:6" x14ac:dyDescent="0.2">
      <c r="A34131" t="s">
        <v>52982</v>
      </c>
      <c r="B34131" t="s">
        <v>29624</v>
      </c>
      <c r="C34131" t="s">
        <v>360</v>
      </c>
      <c r="D34131" t="s">
        <v>52983</v>
      </c>
      <c r="E34131" t="s">
        <v>104</v>
      </c>
      <c r="F34131" s="2" t="str">
        <f>HYPERLINK("http://www.otzar.org/book.asp?13602","צוואה - 2 כר'")</f>
        <v>צוואה - 2 כר'</v>
      </c>
    </row>
    <row r="34132" spans="1:6" x14ac:dyDescent="0.2">
      <c r="A34132" t="s">
        <v>52984</v>
      </c>
      <c r="B34132" t="s">
        <v>18648</v>
      </c>
      <c r="C34132" t="s">
        <v>160</v>
      </c>
      <c r="D34132" t="s">
        <v>27</v>
      </c>
      <c r="E34132" t="s">
        <v>104</v>
      </c>
      <c r="F34132" s="2" t="str">
        <f>HYPERLINK("http://www.otzar.org/book.asp?169759","צוואה")</f>
        <v>צוואה</v>
      </c>
    </row>
    <row r="34133" spans="1:6" x14ac:dyDescent="0.2">
      <c r="A34133" t="s">
        <v>52984</v>
      </c>
      <c r="B34133" t="s">
        <v>52985</v>
      </c>
      <c r="C34133" t="s">
        <v>2480</v>
      </c>
      <c r="D34133" t="s">
        <v>9</v>
      </c>
      <c r="E34133" t="s">
        <v>104</v>
      </c>
      <c r="F34133" s="2" t="str">
        <f>HYPERLINK("http://www.otzar.org/book.asp?169803","צוואה")</f>
        <v>צוואה</v>
      </c>
    </row>
    <row r="34134" spans="1:6" x14ac:dyDescent="0.2">
      <c r="A34134" t="s">
        <v>52984</v>
      </c>
      <c r="B34134" t="s">
        <v>46539</v>
      </c>
      <c r="C34134" t="s">
        <v>6784</v>
      </c>
      <c r="D34134" t="s">
        <v>52986</v>
      </c>
      <c r="E34134" t="s">
        <v>104</v>
      </c>
      <c r="F34134" s="2" t="str">
        <f>HYPERLINK("http://www.otzar.org/book.asp?13600","צוואה")</f>
        <v>צוואה</v>
      </c>
    </row>
    <row r="34135" spans="1:6" x14ac:dyDescent="0.2">
      <c r="A34135" t="s">
        <v>52984</v>
      </c>
      <c r="B34135" t="s">
        <v>52987</v>
      </c>
      <c r="C34135" t="s">
        <v>698</v>
      </c>
      <c r="D34135" t="s">
        <v>52988</v>
      </c>
      <c r="E34135" t="s">
        <v>104</v>
      </c>
      <c r="F34135" s="2" t="str">
        <f>HYPERLINK("http://www.otzar.org/book.asp?169802","צוואה")</f>
        <v>צוואה</v>
      </c>
    </row>
    <row r="34136" spans="1:6" x14ac:dyDescent="0.2">
      <c r="A34136" t="s">
        <v>52984</v>
      </c>
      <c r="B34136" t="s">
        <v>31153</v>
      </c>
      <c r="C34136" t="s">
        <v>360</v>
      </c>
      <c r="D34136" t="s">
        <v>52983</v>
      </c>
      <c r="E34136" t="s">
        <v>1262</v>
      </c>
      <c r="F34136" s="2" t="str">
        <f>HYPERLINK("http://www.otzar.org/book.asp?13601","צוואה")</f>
        <v>צוואה</v>
      </c>
    </row>
    <row r="34137" spans="1:6" x14ac:dyDescent="0.2">
      <c r="A34137" t="s">
        <v>52984</v>
      </c>
      <c r="B34137" t="s">
        <v>14446</v>
      </c>
      <c r="C34137" t="s">
        <v>576</v>
      </c>
      <c r="D34137" t="s">
        <v>379</v>
      </c>
      <c r="E34137" t="s">
        <v>104</v>
      </c>
      <c r="F34137" s="2" t="str">
        <f>HYPERLINK("http://www.otzar.org/book.asp?169779","צוואה")</f>
        <v>צוואה</v>
      </c>
    </row>
    <row r="34138" spans="1:6" x14ac:dyDescent="0.2">
      <c r="A34138" t="s">
        <v>52989</v>
      </c>
      <c r="B34138" t="s">
        <v>52989</v>
      </c>
      <c r="C34138" t="s">
        <v>1335</v>
      </c>
      <c r="D34138" t="s">
        <v>283</v>
      </c>
      <c r="E34138" t="s">
        <v>2010</v>
      </c>
      <c r="F34138" s="2" t="str">
        <f>HYPERLINK("http://www.otzar.org/book.asp?16026","צוואות וגם דברי קדושים")</f>
        <v>צוואות וגם דברי קדושים</v>
      </c>
    </row>
    <row r="34139" spans="1:6" x14ac:dyDescent="0.2">
      <c r="A34139" t="s">
        <v>52990</v>
      </c>
      <c r="B34139" t="s">
        <v>52991</v>
      </c>
      <c r="C34139" t="s">
        <v>1458</v>
      </c>
      <c r="D34139" t="s">
        <v>1419</v>
      </c>
      <c r="E34139" t="s">
        <v>104</v>
      </c>
      <c r="F34139" s="2" t="str">
        <f>HYPERLINK("http://www.otzar.org/book.asp?52421","צוואות ודרך טובים")</f>
        <v>צוואות ודרך טובים</v>
      </c>
    </row>
    <row r="34140" spans="1:6" x14ac:dyDescent="0.2">
      <c r="A34140" t="s">
        <v>52992</v>
      </c>
      <c r="B34140" t="s">
        <v>52993</v>
      </c>
      <c r="E34140" t="s">
        <v>140</v>
      </c>
      <c r="F34140" s="2" t="str">
        <f>HYPERLINK("http://www.otzar.org/book.asp?618101","צוואות והנהגות מהבעש""ט ותלמידיו")</f>
        <v>צוואות והנהגות מהבעש"ט ותלמידיו</v>
      </c>
    </row>
    <row r="34141" spans="1:6" x14ac:dyDescent="0.2">
      <c r="A34141" t="s">
        <v>52994</v>
      </c>
      <c r="B34141" t="s">
        <v>52995</v>
      </c>
      <c r="C34141" t="s">
        <v>244</v>
      </c>
      <c r="D34141" t="s">
        <v>80</v>
      </c>
      <c r="E34141" t="s">
        <v>674</v>
      </c>
      <c r="F34141" s="2" t="str">
        <f>HYPERLINK("http://www.otzar.org/book.asp?600284","צוואות רבינו יהודה החסיד")</f>
        <v>צוואות רבינו יהודה החסיד</v>
      </c>
    </row>
    <row r="34142" spans="1:6" x14ac:dyDescent="0.2">
      <c r="A34142" t="s">
        <v>52996</v>
      </c>
      <c r="B34142" t="s">
        <v>6706</v>
      </c>
      <c r="C34142" t="s">
        <v>943</v>
      </c>
      <c r="D34142" t="s">
        <v>56</v>
      </c>
      <c r="E34142" t="s">
        <v>104</v>
      </c>
      <c r="F34142" s="2" t="str">
        <f>HYPERLINK("http://www.otzar.org/book.asp?149588","צוואות - 2 כר'")</f>
        <v>צוואות - 2 כר'</v>
      </c>
    </row>
    <row r="34143" spans="1:6" x14ac:dyDescent="0.2">
      <c r="A34143" t="s">
        <v>52997</v>
      </c>
      <c r="B34143" t="s">
        <v>31153</v>
      </c>
      <c r="C34143" t="s">
        <v>594</v>
      </c>
      <c r="D34143" t="s">
        <v>56</v>
      </c>
      <c r="E34143" t="s">
        <v>1776</v>
      </c>
      <c r="F34143" s="2" t="str">
        <f>HYPERLINK("http://www.otzar.org/book.asp?103693","צוואת ... ר' יחזקאל - 2 כר'")</f>
        <v>צוואת ... ר' יחזקאל - 2 כר'</v>
      </c>
    </row>
    <row r="34144" spans="1:6" x14ac:dyDescent="0.2">
      <c r="A34144" t="s">
        <v>52998</v>
      </c>
      <c r="B34144" t="s">
        <v>6105</v>
      </c>
      <c r="C34144" t="s">
        <v>1535</v>
      </c>
      <c r="D34144" t="s">
        <v>10985</v>
      </c>
      <c r="E34144" t="s">
        <v>91</v>
      </c>
      <c r="F34144" s="2" t="str">
        <f>HYPERLINK("http://www.otzar.org/book.asp?11573","צוואת אבא")</f>
        <v>צוואת אבא</v>
      </c>
    </row>
    <row r="34145" spans="1:6" x14ac:dyDescent="0.2">
      <c r="A34145" t="s">
        <v>52999</v>
      </c>
      <c r="B34145" t="s">
        <v>46539</v>
      </c>
      <c r="C34145" t="s">
        <v>2617</v>
      </c>
      <c r="D34145" t="s">
        <v>4352</v>
      </c>
      <c r="E34145" t="s">
        <v>104</v>
      </c>
      <c r="F34145" s="2" t="str">
        <f>HYPERLINK("http://www.otzar.org/book.asp?600313","צוואת הגאון ר' נפתלי הכהן זצ""ל")</f>
        <v>צוואת הגאון ר' נפתלי הכהן זצ"ל</v>
      </c>
    </row>
    <row r="34146" spans="1:6" x14ac:dyDescent="0.2">
      <c r="A34146" t="s">
        <v>53000</v>
      </c>
      <c r="B34146" t="s">
        <v>46539</v>
      </c>
      <c r="C34146" t="s">
        <v>1310</v>
      </c>
      <c r="D34146" t="s">
        <v>53001</v>
      </c>
      <c r="E34146" t="s">
        <v>104</v>
      </c>
      <c r="F34146" s="2" t="str">
        <f>HYPERLINK("http://www.otzar.org/book.asp?619964","צוואת הגאון רבינו נפתלי כ""ץ")</f>
        <v>צוואת הגאון רבינו נפתלי כ"ץ</v>
      </c>
    </row>
    <row r="34147" spans="1:6" x14ac:dyDescent="0.2">
      <c r="A34147" t="s">
        <v>53002</v>
      </c>
      <c r="B34147" t="s">
        <v>53003</v>
      </c>
      <c r="C34147" t="s">
        <v>1160</v>
      </c>
      <c r="D34147" t="s">
        <v>412</v>
      </c>
      <c r="E34147" t="s">
        <v>104</v>
      </c>
      <c r="F34147" s="2" t="str">
        <f>HYPERLINK("http://www.otzar.org/book.asp?84728","צוואת הרב אברהם בן יעקב פאללאק")</f>
        <v>צוואת הרב אברהם בן יעקב פאללאק</v>
      </c>
    </row>
    <row r="34148" spans="1:6" x14ac:dyDescent="0.2">
      <c r="A34148" t="s">
        <v>53004</v>
      </c>
      <c r="B34148" t="s">
        <v>31883</v>
      </c>
      <c r="C34148" t="s">
        <v>1166</v>
      </c>
      <c r="D34148" t="s">
        <v>283</v>
      </c>
      <c r="E34148" t="s">
        <v>104</v>
      </c>
      <c r="F34148" s="2" t="str">
        <f>HYPERLINK("http://www.otzar.org/book.asp?52484","צוואת הריב""ש - 3 כר'")</f>
        <v>צוואת הריב"ש - 3 כר'</v>
      </c>
    </row>
    <row r="34149" spans="1:6" x14ac:dyDescent="0.2">
      <c r="A34149" t="s">
        <v>53005</v>
      </c>
      <c r="B34149" t="s">
        <v>50788</v>
      </c>
      <c r="C34149" t="s">
        <v>433</v>
      </c>
      <c r="D34149" t="s">
        <v>14</v>
      </c>
      <c r="E34149" t="s">
        <v>213</v>
      </c>
      <c r="F34149" s="2" t="str">
        <f>HYPERLINK("http://www.otzar.org/book.asp?13490","צוואת הרמב""ם")</f>
        <v>צוואת הרמב"ם</v>
      </c>
    </row>
    <row r="34150" spans="1:6" x14ac:dyDescent="0.2">
      <c r="A34150" t="s">
        <v>53006</v>
      </c>
      <c r="B34150" t="s">
        <v>29624</v>
      </c>
      <c r="C34150" t="s">
        <v>1166</v>
      </c>
      <c r="D34150" t="s">
        <v>2295</v>
      </c>
      <c r="E34150" t="s">
        <v>104</v>
      </c>
      <c r="F34150" s="2" t="str">
        <f>HYPERLINK("http://www.otzar.org/book.asp?106119","צוואת יסוד ושורש העבודה - 2 כר'")</f>
        <v>צוואת יסוד ושורש העבודה - 2 כר'</v>
      </c>
    </row>
    <row r="34151" spans="1:6" x14ac:dyDescent="0.2">
      <c r="A34151" t="s">
        <v>53007</v>
      </c>
      <c r="B34151" t="s">
        <v>53008</v>
      </c>
      <c r="C34151" t="s">
        <v>558</v>
      </c>
      <c r="D34151" t="s">
        <v>283</v>
      </c>
      <c r="E34151" t="s">
        <v>1164</v>
      </c>
      <c r="F34151" s="2" t="str">
        <f>HYPERLINK("http://www.otzar.org/book.asp?20560","צוואת מהרא""ל")</f>
        <v>צוואת מהרא"ל</v>
      </c>
    </row>
    <row r="34152" spans="1:6" x14ac:dyDescent="0.2">
      <c r="A34152" t="s">
        <v>53009</v>
      </c>
      <c r="B34152" t="s">
        <v>34848</v>
      </c>
      <c r="C34152" t="s">
        <v>989</v>
      </c>
      <c r="D34152" t="s">
        <v>27</v>
      </c>
      <c r="E34152" t="s">
        <v>104</v>
      </c>
      <c r="F34152" s="2" t="str">
        <f>HYPERLINK("http://www.otzar.org/book.asp?180633","צוואת מרדכי - 2 כר'")</f>
        <v>צוואת מרדכי - 2 כר'</v>
      </c>
    </row>
    <row r="34153" spans="1:6" x14ac:dyDescent="0.2">
      <c r="A34153" t="s">
        <v>53010</v>
      </c>
      <c r="B34153" t="s">
        <v>31883</v>
      </c>
      <c r="C34153" t="s">
        <v>543</v>
      </c>
      <c r="D34153" t="s">
        <v>3817</v>
      </c>
      <c r="E34153" t="s">
        <v>213</v>
      </c>
      <c r="F34153" s="2" t="str">
        <f>HYPERLINK("http://www.otzar.org/book.asp?53551","צוואת מריב""ש והנהגות ישרות")</f>
        <v>צוואת מריב"ש והנהגות ישרות</v>
      </c>
    </row>
    <row r="34154" spans="1:6" x14ac:dyDescent="0.2">
      <c r="A34154" t="s">
        <v>53011</v>
      </c>
      <c r="B34154" t="s">
        <v>3299</v>
      </c>
      <c r="C34154" t="s">
        <v>581</v>
      </c>
      <c r="D34154" t="s">
        <v>27</v>
      </c>
      <c r="E34154" t="s">
        <v>213</v>
      </c>
      <c r="F34154" s="2" t="str">
        <f>HYPERLINK("http://www.otzar.org/book.asp?14847","צוואת משה")</f>
        <v>צוואת משה</v>
      </c>
    </row>
    <row r="34155" spans="1:6" x14ac:dyDescent="0.2">
      <c r="A34155" t="s">
        <v>53012</v>
      </c>
      <c r="B34155" t="s">
        <v>17437</v>
      </c>
      <c r="C34155" t="s">
        <v>1284</v>
      </c>
      <c r="D34155" t="s">
        <v>225</v>
      </c>
      <c r="E34155" t="s">
        <v>26985</v>
      </c>
      <c r="F34155" s="2" t="str">
        <f>HYPERLINK("http://www.otzar.org/book.asp?28343","צוואת ר' אליעזר הגדול &lt;עם ביאור שירי מצוה&gt;")</f>
        <v>צוואת ר' אליעזר הגדול &lt;עם ביאור שירי מצוה&gt;</v>
      </c>
    </row>
    <row r="34156" spans="1:6" x14ac:dyDescent="0.2">
      <c r="A34156" t="s">
        <v>53013</v>
      </c>
      <c r="B34156" t="s">
        <v>53014</v>
      </c>
      <c r="C34156" t="s">
        <v>3709</v>
      </c>
      <c r="D34156" t="s">
        <v>4352</v>
      </c>
      <c r="E34156" t="s">
        <v>104</v>
      </c>
      <c r="F34156" s="2" t="str">
        <f>HYPERLINK("http://www.otzar.org/book.asp?188727","צוואת ר' יהודה אבן תבון")</f>
        <v>צוואת ר' יהודה אבן תבון</v>
      </c>
    </row>
    <row r="34157" spans="1:6" x14ac:dyDescent="0.2">
      <c r="A34157" t="s">
        <v>53015</v>
      </c>
      <c r="B34157" t="s">
        <v>53016</v>
      </c>
      <c r="C34157" t="s">
        <v>68</v>
      </c>
      <c r="D34157" t="s">
        <v>21</v>
      </c>
      <c r="E34157" t="s">
        <v>43</v>
      </c>
      <c r="F34157" s="2" t="str">
        <f>HYPERLINK("http://www.otzar.org/book.asp?603406","צוואת רבי אליעזר הגדול &lt;מאורי הצוואות&gt;")</f>
        <v>צוואת רבי אליעזר הגדול &lt;מאורי הצוואות&gt;</v>
      </c>
    </row>
    <row r="34158" spans="1:6" x14ac:dyDescent="0.2">
      <c r="A34158" t="s">
        <v>53017</v>
      </c>
      <c r="B34158" t="s">
        <v>53016</v>
      </c>
      <c r="C34158" t="s">
        <v>617</v>
      </c>
      <c r="D34158" t="s">
        <v>56</v>
      </c>
      <c r="E34158" t="s">
        <v>26985</v>
      </c>
      <c r="F34158" s="2" t="str">
        <f>HYPERLINK("http://www.otzar.org/book.asp?5464","צוואת רבי אליעזר הגדול - 4 כר'")</f>
        <v>צוואת רבי אליעזר הגדול - 4 כר'</v>
      </c>
    </row>
    <row r="34159" spans="1:6" x14ac:dyDescent="0.2">
      <c r="A34159" t="s">
        <v>53018</v>
      </c>
      <c r="B34159" t="s">
        <v>53019</v>
      </c>
      <c r="F34159" s="2" t="str">
        <f>HYPERLINK("http://www.otzar.org/book.asp?609025","צוואת רבי יהודה החסיד - השוואת מהדורות קדומות וכת""י")</f>
        <v>צוואת רבי יהודה החסיד - השוואת מהדורות קדומות וכת"י</v>
      </c>
    </row>
    <row r="34160" spans="1:6" x14ac:dyDescent="0.2">
      <c r="A34160" t="s">
        <v>53020</v>
      </c>
      <c r="B34160" t="s">
        <v>4090</v>
      </c>
      <c r="C34160" t="s">
        <v>23</v>
      </c>
      <c r="D34160" t="s">
        <v>90</v>
      </c>
      <c r="E34160" t="s">
        <v>104</v>
      </c>
      <c r="F34160" s="2" t="str">
        <f>HYPERLINK("http://www.otzar.org/book.asp?197727","צוואת רבי יהודה זאב ליבוביץ ז""ל")</f>
        <v>צוואת רבי יהודה זאב ליבוביץ ז"ל</v>
      </c>
    </row>
    <row r="34161" spans="1:6" x14ac:dyDescent="0.2">
      <c r="A34161" t="s">
        <v>53021</v>
      </c>
      <c r="B34161" t="s">
        <v>46539</v>
      </c>
      <c r="C34161" t="s">
        <v>1246</v>
      </c>
      <c r="D34161" t="s">
        <v>27</v>
      </c>
      <c r="E34161" t="s">
        <v>81</v>
      </c>
      <c r="F34161" s="2" t="str">
        <f>HYPERLINK("http://www.otzar.org/book.asp?5160","צוואת רבי נפתלי")</f>
        <v>צוואת רבי נפתלי</v>
      </c>
    </row>
    <row r="34162" spans="1:6" x14ac:dyDescent="0.2">
      <c r="A34162" t="s">
        <v>53022</v>
      </c>
      <c r="B34162" t="s">
        <v>6302</v>
      </c>
      <c r="C34162" t="s">
        <v>114</v>
      </c>
      <c r="D34162" t="s">
        <v>52</v>
      </c>
      <c r="E34162" t="s">
        <v>213</v>
      </c>
      <c r="F34162" s="2" t="str">
        <f>HYPERLINK("http://www.otzar.org/book.asp?165567","צוואת רבינו הגדול")</f>
        <v>צוואת רבינו הגדול</v>
      </c>
    </row>
    <row r="34163" spans="1:6" x14ac:dyDescent="0.2">
      <c r="A34163" t="s">
        <v>53023</v>
      </c>
      <c r="B34163" t="s">
        <v>46539</v>
      </c>
      <c r="C34163" t="s">
        <v>53024</v>
      </c>
      <c r="D34163" t="s">
        <v>53001</v>
      </c>
      <c r="F34163" s="2" t="str">
        <f>HYPERLINK("http://www.otzar.org/book.asp?620677","צוואת... רבינו נפתלי כ""ץ")</f>
        <v>צוואת... רבינו נפתלי כ"ץ</v>
      </c>
    </row>
    <row r="34164" spans="1:6" x14ac:dyDescent="0.2">
      <c r="A34164" t="s">
        <v>53025</v>
      </c>
      <c r="B34164" t="s">
        <v>17027</v>
      </c>
      <c r="C34164" t="s">
        <v>454</v>
      </c>
      <c r="D34164" t="s">
        <v>14</v>
      </c>
      <c r="E34164" t="s">
        <v>104</v>
      </c>
      <c r="F34164" s="2" t="str">
        <f>HYPERLINK("http://www.otzar.org/book.asp?144121","צוואתו הרוחנית של הראשל""צ הרב""צ מאיר חי עוזיאל זצ""ל")</f>
        <v>צוואתו הרוחנית של הראשל"צ הרב"צ מאיר חי עוזיאל זצ"ל</v>
      </c>
    </row>
    <row r="34165" spans="1:6" x14ac:dyDescent="0.2">
      <c r="A34165" t="s">
        <v>53026</v>
      </c>
      <c r="B34165" t="s">
        <v>53027</v>
      </c>
      <c r="C34165" t="s">
        <v>23</v>
      </c>
      <c r="D34165" t="s">
        <v>1156</v>
      </c>
      <c r="F34165" s="2" t="str">
        <f>HYPERLINK("http://www.otzar.org/book.asp?614454","צוותא - 2 כר'")</f>
        <v>צוותא - 2 כר'</v>
      </c>
    </row>
    <row r="34166" spans="1:6" x14ac:dyDescent="0.2">
      <c r="A34166" t="s">
        <v>53028</v>
      </c>
      <c r="B34166" t="s">
        <v>5788</v>
      </c>
      <c r="C34166" t="s">
        <v>411</v>
      </c>
      <c r="D34166" t="s">
        <v>152</v>
      </c>
      <c r="E34166" t="s">
        <v>246</v>
      </c>
      <c r="F34166" s="2" t="str">
        <f>HYPERLINK("http://www.otzar.org/book.asp?165446","צום העשירי - עשרה בטבת")</f>
        <v>צום העשירי - עשרה בטבת</v>
      </c>
    </row>
    <row r="34167" spans="1:6" x14ac:dyDescent="0.2">
      <c r="A34167" t="s">
        <v>53029</v>
      </c>
      <c r="B34167" t="s">
        <v>5003</v>
      </c>
      <c r="C34167" t="s">
        <v>366</v>
      </c>
      <c r="D34167" t="s">
        <v>147</v>
      </c>
      <c r="E34167" t="s">
        <v>15</v>
      </c>
      <c r="F34167" s="2" t="str">
        <f>HYPERLINK("http://www.otzar.org/book.asp?604548","צומת המבוכה")</f>
        <v>צומת המבוכה</v>
      </c>
    </row>
    <row r="34168" spans="1:6" x14ac:dyDescent="0.2">
      <c r="A34168" t="s">
        <v>53030</v>
      </c>
      <c r="B34168" t="s">
        <v>53031</v>
      </c>
      <c r="C34168" t="s">
        <v>775</v>
      </c>
      <c r="D34168" t="s">
        <v>52</v>
      </c>
      <c r="E34168" t="s">
        <v>158</v>
      </c>
      <c r="F34168" s="2" t="str">
        <f>HYPERLINK("http://www.otzar.org/book.asp?26820","צוף דבש &lt;עם פירוש רחב&gt;")</f>
        <v>צוף דבש &lt;עם פירוש רחב&gt;</v>
      </c>
    </row>
    <row r="34169" spans="1:6" x14ac:dyDescent="0.2">
      <c r="A34169" t="s">
        <v>53032</v>
      </c>
      <c r="B34169" t="s">
        <v>53033</v>
      </c>
      <c r="C34169" t="s">
        <v>244</v>
      </c>
      <c r="D34169" t="s">
        <v>52</v>
      </c>
      <c r="E34169" t="s">
        <v>158</v>
      </c>
      <c r="F34169" s="2" t="str">
        <f>HYPERLINK("http://www.otzar.org/book.asp?629291","צוף דבש &lt;קרית חנה&gt;")</f>
        <v>צוף דבש &lt;קרית חנה&gt;</v>
      </c>
    </row>
    <row r="34170" spans="1:6" x14ac:dyDescent="0.2">
      <c r="A34170" t="s">
        <v>53034</v>
      </c>
      <c r="B34170" t="s">
        <v>53035</v>
      </c>
      <c r="C34170" t="s">
        <v>1317</v>
      </c>
      <c r="D34170" t="s">
        <v>53036</v>
      </c>
      <c r="E34170" t="s">
        <v>104</v>
      </c>
      <c r="F34170" s="2" t="str">
        <f>HYPERLINK("http://www.otzar.org/book.asp?146903","צוף דבש")</f>
        <v>צוף דבש</v>
      </c>
    </row>
    <row r="34171" spans="1:6" x14ac:dyDescent="0.2">
      <c r="A34171" t="s">
        <v>53037</v>
      </c>
      <c r="B34171" t="s">
        <v>53038</v>
      </c>
      <c r="C34171" t="s">
        <v>411</v>
      </c>
      <c r="D34171" t="s">
        <v>486</v>
      </c>
      <c r="E34171" t="s">
        <v>148</v>
      </c>
      <c r="F34171" s="2" t="str">
        <f>HYPERLINK("http://www.otzar.org/book.asp?170831","צוף דבש - תערובות")</f>
        <v>צוף דבש - תערובות</v>
      </c>
    </row>
    <row r="34172" spans="1:6" x14ac:dyDescent="0.2">
      <c r="A34172" t="s">
        <v>53034</v>
      </c>
      <c r="B34172" t="s">
        <v>8078</v>
      </c>
      <c r="C34172" t="s">
        <v>53039</v>
      </c>
      <c r="D34172" t="s">
        <v>212</v>
      </c>
      <c r="E34172" t="s">
        <v>930</v>
      </c>
      <c r="F34172" s="2" t="str">
        <f>HYPERLINK("http://www.otzar.org/book.asp?101731","צוף דבש")</f>
        <v>צוף דבש</v>
      </c>
    </row>
    <row r="34173" spans="1:6" x14ac:dyDescent="0.2">
      <c r="A34173" t="s">
        <v>53034</v>
      </c>
      <c r="B34173" t="s">
        <v>53040</v>
      </c>
      <c r="C34173" t="s">
        <v>63</v>
      </c>
      <c r="D34173" t="s">
        <v>14</v>
      </c>
      <c r="E34173" t="s">
        <v>2143</v>
      </c>
      <c r="F34173" s="2" t="str">
        <f>HYPERLINK("http://www.otzar.org/book.asp?84188","צוף דבש")</f>
        <v>צוף דבש</v>
      </c>
    </row>
    <row r="34174" spans="1:6" x14ac:dyDescent="0.2">
      <c r="A34174" t="s">
        <v>53041</v>
      </c>
      <c r="B34174" t="s">
        <v>6636</v>
      </c>
      <c r="C34174" t="s">
        <v>5721</v>
      </c>
      <c r="D34174" t="s">
        <v>212</v>
      </c>
      <c r="E34174" t="s">
        <v>26985</v>
      </c>
      <c r="F34174" s="2" t="str">
        <f>HYPERLINK("http://www.otzar.org/book.asp?103694","צוף דבש - 2 כר'")</f>
        <v>צוף דבש - 2 כר'</v>
      </c>
    </row>
    <row r="34175" spans="1:6" x14ac:dyDescent="0.2">
      <c r="A34175" t="s">
        <v>53034</v>
      </c>
      <c r="B34175" t="s">
        <v>53033</v>
      </c>
      <c r="C34175" t="s">
        <v>15870</v>
      </c>
      <c r="D34175" t="s">
        <v>1023</v>
      </c>
      <c r="E34175" t="s">
        <v>158</v>
      </c>
      <c r="F34175" s="2" t="str">
        <f>HYPERLINK("http://www.otzar.org/book.asp?14550","צוף דבש")</f>
        <v>צוף דבש</v>
      </c>
    </row>
    <row r="34176" spans="1:6" x14ac:dyDescent="0.2">
      <c r="A34176" t="s">
        <v>53042</v>
      </c>
      <c r="B34176" t="s">
        <v>53043</v>
      </c>
      <c r="C34176" t="s">
        <v>17</v>
      </c>
      <c r="D34176" t="s">
        <v>1356</v>
      </c>
      <c r="E34176" t="s">
        <v>4940</v>
      </c>
      <c r="F34176" s="2" t="str">
        <f>HYPERLINK("http://www.otzar.org/book.asp?174270","צופה פני דמשק")</f>
        <v>צופה פני דמשק</v>
      </c>
    </row>
    <row r="34177" spans="1:6" x14ac:dyDescent="0.2">
      <c r="A34177" t="s">
        <v>53044</v>
      </c>
      <c r="B34177" t="s">
        <v>30810</v>
      </c>
      <c r="C34177" t="s">
        <v>20</v>
      </c>
      <c r="D34177" t="s">
        <v>90</v>
      </c>
      <c r="E34177" t="s">
        <v>15</v>
      </c>
      <c r="F34177" s="2" t="str">
        <f>HYPERLINK("http://www.otzar.org/book.asp?626743","צופיה הליכות ביתה")</f>
        <v>צופיה הליכות ביתה</v>
      </c>
    </row>
    <row r="34178" spans="1:6" x14ac:dyDescent="0.2">
      <c r="A34178" t="s">
        <v>53045</v>
      </c>
      <c r="B34178" t="s">
        <v>53046</v>
      </c>
      <c r="C34178" t="s">
        <v>71</v>
      </c>
      <c r="D34178" t="s">
        <v>14</v>
      </c>
      <c r="E34178" t="s">
        <v>15</v>
      </c>
      <c r="F34178" s="2" t="str">
        <f>HYPERLINK("http://www.otzar.org/book.asp?625376","צופיה הלכות")</f>
        <v>צופיה הלכות</v>
      </c>
    </row>
    <row r="34179" spans="1:6" x14ac:dyDescent="0.2">
      <c r="A34179" t="s">
        <v>53045</v>
      </c>
      <c r="B34179" t="s">
        <v>489</v>
      </c>
      <c r="C34179" t="s">
        <v>133</v>
      </c>
      <c r="D34179" t="s">
        <v>14</v>
      </c>
      <c r="E34179" t="s">
        <v>202</v>
      </c>
      <c r="F34179" s="2" t="str">
        <f>HYPERLINK("http://www.otzar.org/book.asp?172763","צופיה הלכות")</f>
        <v>צופיה הלכות</v>
      </c>
    </row>
    <row r="34180" spans="1:6" x14ac:dyDescent="0.2">
      <c r="A34180" t="s">
        <v>53047</v>
      </c>
      <c r="B34180" t="s">
        <v>53048</v>
      </c>
      <c r="C34180" t="s">
        <v>20</v>
      </c>
      <c r="D34180" t="s">
        <v>90</v>
      </c>
      <c r="F34180" s="2" t="str">
        <f>HYPERLINK("http://www.otzar.org/book.asp?604341","צופן התורה במדרש רבה - 10 כר'")</f>
        <v>צופן התורה במדרש רבה - 10 כר'</v>
      </c>
    </row>
    <row r="34181" spans="1:6" x14ac:dyDescent="0.2">
      <c r="A34181" t="s">
        <v>53049</v>
      </c>
      <c r="B34181" t="s">
        <v>1693</v>
      </c>
      <c r="C34181" t="s">
        <v>20</v>
      </c>
      <c r="D34181" t="s">
        <v>14</v>
      </c>
      <c r="F34181" s="2" t="str">
        <f>HYPERLINK("http://www.otzar.org/book.asp?610879","צוציתא")</f>
        <v>צוציתא</v>
      </c>
    </row>
    <row r="34182" spans="1:6" x14ac:dyDescent="0.2">
      <c r="A34182" t="s">
        <v>53050</v>
      </c>
      <c r="B34182" t="s">
        <v>53051</v>
      </c>
      <c r="C34182" t="s">
        <v>1625</v>
      </c>
      <c r="D34182" t="s">
        <v>1117</v>
      </c>
      <c r="E34182" t="s">
        <v>119</v>
      </c>
      <c r="F34182" s="2" t="str">
        <f>HYPERLINK("http://www.otzar.org/book.asp?200329","צוק העיתים")</f>
        <v>צוק העיתים</v>
      </c>
    </row>
    <row r="34183" spans="1:6" x14ac:dyDescent="0.2">
      <c r="A34183" t="s">
        <v>53052</v>
      </c>
      <c r="B34183" t="s">
        <v>53053</v>
      </c>
      <c r="C34183" t="s">
        <v>1246</v>
      </c>
      <c r="D34183" t="s">
        <v>27</v>
      </c>
      <c r="E34183" t="s">
        <v>154</v>
      </c>
      <c r="F34183" s="2" t="str">
        <f>HYPERLINK("http://www.otzar.org/book.asp?13805","צור יעקב - 2 כר'")</f>
        <v>צור יעקב - 2 כר'</v>
      </c>
    </row>
    <row r="34184" spans="1:6" x14ac:dyDescent="0.2">
      <c r="A34184" t="s">
        <v>53054</v>
      </c>
      <c r="B34184" t="s">
        <v>53055</v>
      </c>
      <c r="C34184" t="s">
        <v>550</v>
      </c>
      <c r="D34184" t="s">
        <v>157</v>
      </c>
      <c r="E34184" t="s">
        <v>474</v>
      </c>
      <c r="F34184" s="2" t="str">
        <f>HYPERLINK("http://www.otzar.org/book.asp?15894","צור יעקב")</f>
        <v>צור יעקב</v>
      </c>
    </row>
    <row r="34185" spans="1:6" x14ac:dyDescent="0.2">
      <c r="A34185" t="s">
        <v>53056</v>
      </c>
      <c r="B34185" t="s">
        <v>11704</v>
      </c>
      <c r="C34185" t="s">
        <v>422</v>
      </c>
      <c r="D34185" t="s">
        <v>2458</v>
      </c>
      <c r="E34185" t="s">
        <v>393</v>
      </c>
      <c r="F34185" s="2" t="str">
        <f>HYPERLINK("http://www.otzar.org/book.asp?163135","צור לבבי וחלקי")</f>
        <v>צור לבבי וחלקי</v>
      </c>
    </row>
    <row r="34186" spans="1:6" x14ac:dyDescent="0.2">
      <c r="A34186" t="s">
        <v>53057</v>
      </c>
      <c r="B34186" t="s">
        <v>53058</v>
      </c>
      <c r="C34186" t="s">
        <v>111</v>
      </c>
      <c r="D34186" t="s">
        <v>52</v>
      </c>
      <c r="E34186" t="s">
        <v>10</v>
      </c>
      <c r="F34186" s="2" t="str">
        <f>HYPERLINK("http://www.otzar.org/book.asp?625418","צור נעלה")</f>
        <v>צור נעלה</v>
      </c>
    </row>
    <row r="34187" spans="1:6" x14ac:dyDescent="0.2">
      <c r="A34187" t="s">
        <v>53059</v>
      </c>
      <c r="B34187" t="s">
        <v>49676</v>
      </c>
      <c r="C34187" t="s">
        <v>53060</v>
      </c>
      <c r="D34187" t="s">
        <v>283</v>
      </c>
      <c r="E34187" t="s">
        <v>241</v>
      </c>
      <c r="F34187" s="2" t="str">
        <f>HYPERLINK("http://www.otzar.org/book.asp?189362","צור תעודה")</f>
        <v>צור תעודה</v>
      </c>
    </row>
    <row r="34188" spans="1:6" x14ac:dyDescent="0.2">
      <c r="A34188" t="s">
        <v>53059</v>
      </c>
      <c r="B34188" t="s">
        <v>10987</v>
      </c>
      <c r="C34188" t="s">
        <v>5334</v>
      </c>
      <c r="D34188" t="s">
        <v>76</v>
      </c>
      <c r="E34188" t="s">
        <v>15</v>
      </c>
      <c r="F34188" s="2" t="str">
        <f>HYPERLINK("http://www.otzar.org/book.asp?101730","צור תעודה")</f>
        <v>צור תעודה</v>
      </c>
    </row>
    <row r="34189" spans="1:6" x14ac:dyDescent="0.2">
      <c r="A34189" t="s">
        <v>53059</v>
      </c>
      <c r="B34189" t="s">
        <v>4222</v>
      </c>
      <c r="C34189" t="s">
        <v>1619</v>
      </c>
      <c r="D34189" t="s">
        <v>412</v>
      </c>
      <c r="F34189" s="2" t="str">
        <f>HYPERLINK("http://www.otzar.org/book.asp?608930","צור תעודה")</f>
        <v>צור תעודה</v>
      </c>
    </row>
    <row r="34190" spans="1:6" x14ac:dyDescent="0.2">
      <c r="A34190" t="s">
        <v>53059</v>
      </c>
      <c r="B34190" t="s">
        <v>53061</v>
      </c>
      <c r="C34190" t="s">
        <v>313</v>
      </c>
      <c r="D34190" t="s">
        <v>1205</v>
      </c>
      <c r="F34190" s="2" t="str">
        <f>HYPERLINK("http://www.otzar.org/book.asp?600359","צור תעודה")</f>
        <v>צור תעודה</v>
      </c>
    </row>
    <row r="34191" spans="1:6" x14ac:dyDescent="0.2">
      <c r="A34191" t="s">
        <v>53062</v>
      </c>
      <c r="B34191" t="s">
        <v>53063</v>
      </c>
      <c r="C34191" t="s">
        <v>23</v>
      </c>
      <c r="D34191" t="s">
        <v>90</v>
      </c>
      <c r="E34191" t="s">
        <v>15</v>
      </c>
      <c r="F34191" s="2" t="str">
        <f>HYPERLINK("http://www.otzar.org/book.asp?621934","צורבא מרבנן - 6 כר'")</f>
        <v>צורבא מרבנן - 6 כר'</v>
      </c>
    </row>
    <row r="34192" spans="1:6" x14ac:dyDescent="0.2">
      <c r="A34192" t="s">
        <v>53064</v>
      </c>
      <c r="B34192" t="s">
        <v>53065</v>
      </c>
      <c r="C34192" t="s">
        <v>133</v>
      </c>
      <c r="D34192" t="s">
        <v>4665</v>
      </c>
      <c r="E34192" t="s">
        <v>148</v>
      </c>
      <c r="F34192" s="2" t="str">
        <f>HYPERLINK("http://www.otzar.org/book.asp?171263","צורבא - א")</f>
        <v>צורבא - א</v>
      </c>
    </row>
    <row r="34193" spans="1:6" x14ac:dyDescent="0.2">
      <c r="A34193" t="s">
        <v>53066</v>
      </c>
      <c r="B34193" t="s">
        <v>13424</v>
      </c>
      <c r="C34193" t="s">
        <v>419</v>
      </c>
      <c r="D34193" t="s">
        <v>52</v>
      </c>
      <c r="E34193" t="s">
        <v>172</v>
      </c>
      <c r="F34193" s="2" t="str">
        <f>HYPERLINK("http://www.otzar.org/book.asp?180739","צורך המועד")</f>
        <v>צורך המועד</v>
      </c>
    </row>
    <row r="34194" spans="1:6" x14ac:dyDescent="0.2">
      <c r="A34194" t="s">
        <v>53067</v>
      </c>
      <c r="B34194" t="s">
        <v>53068</v>
      </c>
      <c r="C34194" t="s">
        <v>366</v>
      </c>
      <c r="D34194" t="s">
        <v>52</v>
      </c>
      <c r="E34194" t="s">
        <v>144</v>
      </c>
      <c r="F34194" s="2" t="str">
        <f>HYPERLINK("http://www.otzar.org/book.asp?625481","צורך יום טוב")</f>
        <v>צורך יום טוב</v>
      </c>
    </row>
    <row r="34195" spans="1:6" x14ac:dyDescent="0.2">
      <c r="A34195" t="s">
        <v>53069</v>
      </c>
      <c r="B34195" t="s">
        <v>3484</v>
      </c>
      <c r="C34195" t="s">
        <v>53070</v>
      </c>
      <c r="D34195" t="s">
        <v>2041</v>
      </c>
      <c r="E34195" t="s">
        <v>104</v>
      </c>
      <c r="F34195" s="2" t="str">
        <f>HYPERLINK("http://www.otzar.org/book.asp?101645","צורת בית המקדש")</f>
        <v>צורת בית המקדש</v>
      </c>
    </row>
    <row r="34196" spans="1:6" x14ac:dyDescent="0.2">
      <c r="A34196" t="s">
        <v>53071</v>
      </c>
      <c r="B34196" t="s">
        <v>206</v>
      </c>
      <c r="C34196" t="s">
        <v>1208</v>
      </c>
      <c r="D34196" t="s">
        <v>764</v>
      </c>
      <c r="E34196" t="s">
        <v>15</v>
      </c>
      <c r="F34196" s="2" t="str">
        <f>HYPERLINK("http://www.otzar.org/book.asp?165371","צורת האותיות וזיונן")</f>
        <v>צורת האותיות וזיונן</v>
      </c>
    </row>
    <row r="34197" spans="1:6" x14ac:dyDescent="0.2">
      <c r="A34197" t="s">
        <v>53072</v>
      </c>
      <c r="B34197" t="s">
        <v>18405</v>
      </c>
      <c r="C34197" t="s">
        <v>10538</v>
      </c>
      <c r="D34197" t="s">
        <v>7163</v>
      </c>
      <c r="E34197" t="s">
        <v>104</v>
      </c>
      <c r="F34197" s="2" t="str">
        <f>HYPERLINK("http://www.otzar.org/book.asp?104668","צורת הארץ ותבנית השמים")</f>
        <v>צורת הארץ ותבנית השמים</v>
      </c>
    </row>
    <row r="34198" spans="1:6" x14ac:dyDescent="0.2">
      <c r="A34198" t="s">
        <v>53073</v>
      </c>
      <c r="B34198" t="s">
        <v>1821</v>
      </c>
      <c r="C34198" t="s">
        <v>5257</v>
      </c>
      <c r="D34198" t="s">
        <v>544</v>
      </c>
      <c r="E34198" t="s">
        <v>579</v>
      </c>
      <c r="F34198" s="2" t="str">
        <f>HYPERLINK("http://www.otzar.org/book.asp?188728","צורת הארץ לגבולותיה סביב - 2 כר'")</f>
        <v>צורת הארץ לגבולותיה סביב - 2 כר'</v>
      </c>
    </row>
    <row r="34199" spans="1:6" x14ac:dyDescent="0.2">
      <c r="A34199" t="s">
        <v>53074</v>
      </c>
      <c r="B34199" t="s">
        <v>3484</v>
      </c>
      <c r="C34199" t="s">
        <v>1246</v>
      </c>
      <c r="D34199" t="s">
        <v>1180</v>
      </c>
      <c r="E34199" t="s">
        <v>733</v>
      </c>
      <c r="F34199" s="2" t="str">
        <f>HYPERLINK("http://www.otzar.org/book.asp?12124","צורת הבית &lt;צורת בית המקדש&gt; - 2 כר'")</f>
        <v>צורת הבית &lt;צורת בית המקדש&gt; - 2 כר'</v>
      </c>
    </row>
    <row r="34200" spans="1:6" x14ac:dyDescent="0.2">
      <c r="A34200" t="s">
        <v>53075</v>
      </c>
      <c r="B34200" t="s">
        <v>53076</v>
      </c>
      <c r="C34200" t="s">
        <v>124</v>
      </c>
      <c r="D34200" t="s">
        <v>7894</v>
      </c>
      <c r="E34200" t="s">
        <v>15</v>
      </c>
      <c r="F34200" s="2" t="str">
        <f>HYPERLINK("http://www.otzar.org/book.asp?191808","צורת הלבנה")</f>
        <v>צורת הלבנה</v>
      </c>
    </row>
    <row r="34201" spans="1:6" x14ac:dyDescent="0.2">
      <c r="A34201" t="s">
        <v>53077</v>
      </c>
      <c r="B34201" t="s">
        <v>50792</v>
      </c>
      <c r="C34201" t="s">
        <v>800</v>
      </c>
      <c r="D34201" t="s">
        <v>1459</v>
      </c>
      <c r="E34201" t="s">
        <v>213</v>
      </c>
      <c r="F34201" s="2" t="str">
        <f>HYPERLINK("http://www.otzar.org/book.asp?12210","צורת העולם")</f>
        <v>צורת העולם</v>
      </c>
    </row>
    <row r="34202" spans="1:6" x14ac:dyDescent="0.2">
      <c r="A34202" t="s">
        <v>53078</v>
      </c>
      <c r="B34202" t="s">
        <v>19725</v>
      </c>
      <c r="C34202" t="s">
        <v>51</v>
      </c>
      <c r="D34202" t="s">
        <v>852</v>
      </c>
      <c r="E34202" t="s">
        <v>104</v>
      </c>
      <c r="F34202" s="2" t="str">
        <f>HYPERLINK("http://www.otzar.org/book.asp?161217","צורת מזבח העולה")</f>
        <v>צורת מזבח העולה</v>
      </c>
    </row>
    <row r="34203" spans="1:6" x14ac:dyDescent="0.2">
      <c r="A34203" t="s">
        <v>53079</v>
      </c>
      <c r="B34203" t="s">
        <v>9651</v>
      </c>
      <c r="C34203" t="s">
        <v>111</v>
      </c>
      <c r="D34203" t="s">
        <v>52</v>
      </c>
      <c r="E34203" t="s">
        <v>130</v>
      </c>
      <c r="F34203" s="2" t="str">
        <f>HYPERLINK("http://www.otzar.org/book.asp?627162","צורת מצות ההסיבה")</f>
        <v>צורת מצות ההסיבה</v>
      </c>
    </row>
    <row r="34204" spans="1:6" x14ac:dyDescent="0.2">
      <c r="A34204" t="s">
        <v>53080</v>
      </c>
      <c r="B34204" t="s">
        <v>53081</v>
      </c>
      <c r="C34204" t="s">
        <v>146</v>
      </c>
      <c r="D34204" t="s">
        <v>152</v>
      </c>
      <c r="E34204" t="s">
        <v>144</v>
      </c>
      <c r="F34204" s="2" t="str">
        <f>HYPERLINK("http://www.otzar.org/book.asp?53684","צורתא דשמעתא - 2 כר'")</f>
        <v>צורתא דשמעתא - 2 כר'</v>
      </c>
    </row>
    <row r="34205" spans="1:6" x14ac:dyDescent="0.2">
      <c r="A34205" t="s">
        <v>53082</v>
      </c>
      <c r="B34205" t="s">
        <v>53083</v>
      </c>
      <c r="C34205" t="s">
        <v>87</v>
      </c>
      <c r="D34205" t="s">
        <v>80</v>
      </c>
      <c r="F34205" s="2" t="str">
        <f>HYPERLINK("http://www.otzar.org/book.asp?609763","צורתא דשמעתא")</f>
        <v>צורתא דשמעתא</v>
      </c>
    </row>
    <row r="34206" spans="1:6" x14ac:dyDescent="0.2">
      <c r="A34206" t="s">
        <v>53084</v>
      </c>
      <c r="B34206" t="s">
        <v>53085</v>
      </c>
      <c r="C34206" t="s">
        <v>20</v>
      </c>
      <c r="D34206" t="s">
        <v>14</v>
      </c>
      <c r="E34206" t="s">
        <v>144</v>
      </c>
      <c r="F34206" s="2" t="str">
        <f>HYPERLINK("http://www.otzar.org/book.asp?162940","צורתא דשמעתא - אות אמת")</f>
        <v>צורתא דשמעתא - אות אמת</v>
      </c>
    </row>
    <row r="34207" spans="1:6" x14ac:dyDescent="0.2">
      <c r="A34207" t="s">
        <v>53082</v>
      </c>
      <c r="B34207" t="s">
        <v>48941</v>
      </c>
      <c r="C34207" t="s">
        <v>151</v>
      </c>
      <c r="D34207" t="s">
        <v>7468</v>
      </c>
      <c r="F34207" s="2" t="str">
        <f>HYPERLINK("http://www.otzar.org/book.asp?609146","צורתא דשמעתא")</f>
        <v>צורתא דשמעתא</v>
      </c>
    </row>
    <row r="34208" spans="1:6" x14ac:dyDescent="0.2">
      <c r="A34208" t="s">
        <v>53086</v>
      </c>
      <c r="B34208" t="s">
        <v>686</v>
      </c>
      <c r="C34208" t="s">
        <v>129</v>
      </c>
      <c r="D34208" t="s">
        <v>52</v>
      </c>
      <c r="E34208" t="s">
        <v>104</v>
      </c>
      <c r="F34208" s="2" t="str">
        <f>HYPERLINK("http://www.otzar.org/book.asp?61468","צח ואדום")</f>
        <v>צח ואדום</v>
      </c>
    </row>
    <row r="34209" spans="1:6" x14ac:dyDescent="0.2">
      <c r="A34209" t="s">
        <v>53087</v>
      </c>
      <c r="B34209" t="s">
        <v>15257</v>
      </c>
      <c r="C34209" t="s">
        <v>5160</v>
      </c>
      <c r="D34209" t="s">
        <v>1490</v>
      </c>
      <c r="F34209" s="2" t="str">
        <f>HYPERLINK("http://www.otzar.org/book.asp?164830","צח ואדום - 2 כר'")</f>
        <v>צח ואדום - 2 כר'</v>
      </c>
    </row>
    <row r="34210" spans="1:6" x14ac:dyDescent="0.2">
      <c r="A34210" t="s">
        <v>53088</v>
      </c>
      <c r="B34210" t="s">
        <v>53089</v>
      </c>
      <c r="C34210" t="s">
        <v>1481</v>
      </c>
      <c r="D34210" t="s">
        <v>60</v>
      </c>
      <c r="E34210" t="s">
        <v>104</v>
      </c>
      <c r="F34210" s="2" t="str">
        <f>HYPERLINK("http://www.otzar.org/book.asp?64049","צח שפתים")</f>
        <v>צח שפתים</v>
      </c>
    </row>
    <row r="34211" spans="1:6" x14ac:dyDescent="0.2">
      <c r="A34211" t="s">
        <v>53090</v>
      </c>
      <c r="B34211" t="s">
        <v>531</v>
      </c>
      <c r="C34211" t="s">
        <v>7625</v>
      </c>
      <c r="D34211" t="s">
        <v>280</v>
      </c>
      <c r="E34211" t="s">
        <v>104</v>
      </c>
      <c r="F34211" s="2" t="str">
        <f>HYPERLINK("http://www.otzar.org/book.asp?104671","צחות בדקדוק")</f>
        <v>צחות בדקדוק</v>
      </c>
    </row>
    <row r="34212" spans="1:6" x14ac:dyDescent="0.2">
      <c r="A34212" t="s">
        <v>53091</v>
      </c>
      <c r="B34212" t="s">
        <v>1387</v>
      </c>
      <c r="C34212" t="s">
        <v>2945</v>
      </c>
      <c r="D34212" t="s">
        <v>1037</v>
      </c>
      <c r="F34212" s="2" t="str">
        <f>HYPERLINK("http://www.otzar.org/book.asp?170284","צחקן מלומד ומתחרט")</f>
        <v>צחקן מלומד ומתחרט</v>
      </c>
    </row>
    <row r="34213" spans="1:6" x14ac:dyDescent="0.2">
      <c r="A34213" t="s">
        <v>53092</v>
      </c>
      <c r="B34213" t="s">
        <v>53093</v>
      </c>
      <c r="C34213" t="s">
        <v>129</v>
      </c>
      <c r="D34213" t="s">
        <v>53094</v>
      </c>
      <c r="E34213" t="s">
        <v>230</v>
      </c>
      <c r="F34213" s="2" t="str">
        <f>HYPERLINK("http://www.otzar.org/book.asp?153640","צי אדיר")</f>
        <v>צי אדיר</v>
      </c>
    </row>
    <row r="34214" spans="1:6" x14ac:dyDescent="0.2">
      <c r="A34214" t="s">
        <v>53095</v>
      </c>
      <c r="B34214" t="s">
        <v>53096</v>
      </c>
      <c r="C34214" t="s">
        <v>1166</v>
      </c>
      <c r="D34214" t="s">
        <v>11404</v>
      </c>
      <c r="E34214" t="s">
        <v>3223</v>
      </c>
      <c r="F34214" s="2" t="str">
        <f>HYPERLINK("http://www.otzar.org/book.asp?168146","ציד רמיה")</f>
        <v>ציד רמיה</v>
      </c>
    </row>
    <row r="34215" spans="1:6" x14ac:dyDescent="0.2">
      <c r="A34215" t="s">
        <v>53097</v>
      </c>
      <c r="B34215" t="s">
        <v>53098</v>
      </c>
      <c r="C34215" t="s">
        <v>4404</v>
      </c>
      <c r="D34215" t="s">
        <v>744</v>
      </c>
      <c r="E34215" t="s">
        <v>474</v>
      </c>
      <c r="F34215" s="2" t="str">
        <f>HYPERLINK("http://www.otzar.org/book.asp?103260","צידה ברוך")</f>
        <v>צידה ברוך</v>
      </c>
    </row>
    <row r="34216" spans="1:6" x14ac:dyDescent="0.2">
      <c r="A34216" t="s">
        <v>53099</v>
      </c>
      <c r="B34216" t="s">
        <v>8622</v>
      </c>
      <c r="C34216" t="s">
        <v>624</v>
      </c>
      <c r="D34216" t="s">
        <v>52</v>
      </c>
      <c r="E34216" t="s">
        <v>158</v>
      </c>
      <c r="F34216" s="2" t="str">
        <f>HYPERLINK("http://www.otzar.org/book.asp?178873","צידה לדרך &lt;מהדורה חדשה&gt; - 4 כר'")</f>
        <v>צידה לדרך &lt;מהדורה חדשה&gt; - 4 כר'</v>
      </c>
    </row>
    <row r="34217" spans="1:6" x14ac:dyDescent="0.2">
      <c r="A34217" t="s">
        <v>53100</v>
      </c>
      <c r="B34217" t="s">
        <v>53101</v>
      </c>
      <c r="C34217" t="s">
        <v>624</v>
      </c>
      <c r="D34217" t="s">
        <v>52</v>
      </c>
      <c r="E34217" t="s">
        <v>158</v>
      </c>
      <c r="F34217" s="2" t="str">
        <f>HYPERLINK("http://www.otzar.org/book.asp?178874","צידה לדרך &lt;מהדורה חדשה&gt; - ג (ויקרא)")</f>
        <v>צידה לדרך &lt;מהדורה חדשה&gt; - ג (ויקרא)</v>
      </c>
    </row>
    <row r="34218" spans="1:6" x14ac:dyDescent="0.2">
      <c r="A34218" t="s">
        <v>53102</v>
      </c>
      <c r="B34218" t="s">
        <v>8622</v>
      </c>
      <c r="C34218" t="s">
        <v>53103</v>
      </c>
      <c r="D34218" t="s">
        <v>744</v>
      </c>
      <c r="E34218" t="s">
        <v>158</v>
      </c>
      <c r="F34218" s="2" t="str">
        <f>HYPERLINK("http://www.otzar.org/book.asp?7476","צידה לדרך")</f>
        <v>צידה לדרך</v>
      </c>
    </row>
    <row r="34219" spans="1:6" x14ac:dyDescent="0.2">
      <c r="A34219" t="s">
        <v>53104</v>
      </c>
      <c r="B34219" t="s">
        <v>8609</v>
      </c>
      <c r="C34219" t="s">
        <v>13</v>
      </c>
      <c r="D34219" t="s">
        <v>14</v>
      </c>
      <c r="F34219" s="2" t="str">
        <f>HYPERLINK("http://www.otzar.org/book.asp?143874","ציון אליהו - 4 כר'")</f>
        <v>ציון אליהו - 4 כר'</v>
      </c>
    </row>
    <row r="34220" spans="1:6" x14ac:dyDescent="0.2">
      <c r="A34220" t="s">
        <v>53105</v>
      </c>
      <c r="B34220" t="s">
        <v>9396</v>
      </c>
      <c r="C34220" t="s">
        <v>422</v>
      </c>
      <c r="D34220" t="s">
        <v>14</v>
      </c>
      <c r="E34220" t="s">
        <v>144</v>
      </c>
      <c r="F34220" s="2" t="str">
        <f>HYPERLINK("http://www.otzar.org/book.asp?163972","ציון בימים - 3 כר'")</f>
        <v>ציון בימים - 3 כר'</v>
      </c>
    </row>
    <row r="34221" spans="1:6" x14ac:dyDescent="0.2">
      <c r="A34221" t="s">
        <v>53106</v>
      </c>
      <c r="B34221" t="s">
        <v>107</v>
      </c>
      <c r="C34221" t="s">
        <v>1448</v>
      </c>
      <c r="D34221" t="s">
        <v>14</v>
      </c>
      <c r="E34221" t="s">
        <v>674</v>
      </c>
      <c r="F34221" s="2" t="str">
        <f>HYPERLINK("http://www.otzar.org/book.asp?164059","ציון בית חיינו - 2 כר'")</f>
        <v>ציון בית חיינו - 2 כר'</v>
      </c>
    </row>
    <row r="34222" spans="1:6" x14ac:dyDescent="0.2">
      <c r="A34222" t="s">
        <v>53107</v>
      </c>
      <c r="B34222" t="s">
        <v>10056</v>
      </c>
      <c r="C34222" t="s">
        <v>103</v>
      </c>
      <c r="D34222" t="s">
        <v>1180</v>
      </c>
      <c r="E34222" t="s">
        <v>202</v>
      </c>
      <c r="F34222" s="2" t="str">
        <f>HYPERLINK("http://www.otzar.org/book.asp?199170","ציון במר תבכה")</f>
        <v>ציון במר תבכה</v>
      </c>
    </row>
    <row r="34223" spans="1:6" x14ac:dyDescent="0.2">
      <c r="A34223" t="s">
        <v>53108</v>
      </c>
      <c r="B34223" t="s">
        <v>53109</v>
      </c>
      <c r="C34223" t="s">
        <v>53110</v>
      </c>
      <c r="D34223" t="s">
        <v>1889</v>
      </c>
      <c r="E34223" t="s">
        <v>957</v>
      </c>
      <c r="F34223" s="2" t="str">
        <f>HYPERLINK("http://www.otzar.org/book.asp?165580","ציון במשפט תפדה - 3 כר'")</f>
        <v>ציון במשפט תפדה - 3 כר'</v>
      </c>
    </row>
    <row r="34224" spans="1:6" x14ac:dyDescent="0.2">
      <c r="A34224" t="s">
        <v>53111</v>
      </c>
      <c r="B34224" t="s">
        <v>14840</v>
      </c>
      <c r="C34224" t="s">
        <v>558</v>
      </c>
      <c r="D34224" t="s">
        <v>27</v>
      </c>
      <c r="E34224" t="s">
        <v>148</v>
      </c>
      <c r="F34224" s="2" t="str">
        <f>HYPERLINK("http://www.otzar.org/book.asp?84329","ציון במשפט")</f>
        <v>ציון במשפט</v>
      </c>
    </row>
    <row r="34225" spans="1:6" x14ac:dyDescent="0.2">
      <c r="A34225" t="s">
        <v>53111</v>
      </c>
      <c r="B34225" t="s">
        <v>8609</v>
      </c>
      <c r="C34225" t="s">
        <v>151</v>
      </c>
      <c r="D34225" t="s">
        <v>21</v>
      </c>
      <c r="E34225" t="s">
        <v>172</v>
      </c>
      <c r="F34225" s="2" t="str">
        <f>HYPERLINK("http://www.otzar.org/book.asp?631241","ציון במשפט")</f>
        <v>ציון במשפט</v>
      </c>
    </row>
    <row r="34226" spans="1:6" x14ac:dyDescent="0.2">
      <c r="A34226" t="s">
        <v>53111</v>
      </c>
      <c r="B34226" t="s">
        <v>22592</v>
      </c>
      <c r="C34226" t="s">
        <v>1096</v>
      </c>
      <c r="D34226" t="s">
        <v>283</v>
      </c>
      <c r="E34226" t="s">
        <v>241</v>
      </c>
      <c r="F34226" s="2" t="str">
        <f>HYPERLINK("http://www.otzar.org/book.asp?167540","ציון במשפט")</f>
        <v>ציון במשפט</v>
      </c>
    </row>
    <row r="34227" spans="1:6" x14ac:dyDescent="0.2">
      <c r="A34227" t="s">
        <v>53112</v>
      </c>
      <c r="B34227" t="s">
        <v>53113</v>
      </c>
      <c r="C34227" t="s">
        <v>427</v>
      </c>
      <c r="D34227" t="s">
        <v>14</v>
      </c>
      <c r="E34227" t="s">
        <v>140</v>
      </c>
      <c r="F34227" s="2" t="str">
        <f>HYPERLINK("http://www.otzar.org/book.asp?11133","ציון המצוינת")</f>
        <v>ציון המצוינת</v>
      </c>
    </row>
    <row r="34228" spans="1:6" x14ac:dyDescent="0.2">
      <c r="A34228" t="s">
        <v>53114</v>
      </c>
      <c r="B34228" t="s">
        <v>732</v>
      </c>
      <c r="C34228" t="s">
        <v>224</v>
      </c>
      <c r="D34228" t="s">
        <v>27</v>
      </c>
      <c r="E34228" t="s">
        <v>202</v>
      </c>
      <c r="F34228" s="2" t="str">
        <f>HYPERLINK("http://www.otzar.org/book.asp?188660","ציון לאחד מבני ציון המצוינים")</f>
        <v>ציון לאחד מבני ציון המצוינים</v>
      </c>
    </row>
    <row r="34229" spans="1:6" x14ac:dyDescent="0.2">
      <c r="A34229" t="s">
        <v>53115</v>
      </c>
      <c r="B34229" t="s">
        <v>22839</v>
      </c>
      <c r="C34229" t="s">
        <v>1278</v>
      </c>
      <c r="D34229" t="s">
        <v>327</v>
      </c>
      <c r="E34229" t="s">
        <v>1211</v>
      </c>
      <c r="F34229" s="2" t="str">
        <f>HYPERLINK("http://www.otzar.org/book.asp?19379","ציון לדרש - 2 כר'")</f>
        <v>ציון לדרש - 2 כר'</v>
      </c>
    </row>
    <row r="34230" spans="1:6" x14ac:dyDescent="0.2">
      <c r="A34230" t="s">
        <v>53116</v>
      </c>
      <c r="B34230" t="s">
        <v>53117</v>
      </c>
      <c r="C34230" t="s">
        <v>143</v>
      </c>
      <c r="D34230" t="s">
        <v>118</v>
      </c>
      <c r="E34230" t="s">
        <v>144</v>
      </c>
      <c r="F34230" s="2" t="str">
        <f>HYPERLINK("http://www.otzar.org/book.asp?63595","ציון ליעקב")</f>
        <v>ציון ליעקב</v>
      </c>
    </row>
    <row r="34231" spans="1:6" x14ac:dyDescent="0.2">
      <c r="A34231" t="s">
        <v>53118</v>
      </c>
      <c r="B34231" t="s">
        <v>38487</v>
      </c>
      <c r="C34231" t="s">
        <v>1640</v>
      </c>
      <c r="D34231" t="s">
        <v>412</v>
      </c>
      <c r="E34231" t="s">
        <v>53119</v>
      </c>
      <c r="F34231" s="2" t="str">
        <f>HYPERLINK("http://www.otzar.org/book.asp?171534","ציון למנחם")</f>
        <v>ציון למנחם</v>
      </c>
    </row>
    <row r="34232" spans="1:6" x14ac:dyDescent="0.2">
      <c r="A34232" t="s">
        <v>53120</v>
      </c>
      <c r="B34232" t="s">
        <v>732</v>
      </c>
      <c r="C34232" t="s">
        <v>908</v>
      </c>
      <c r="D34232" t="s">
        <v>27</v>
      </c>
      <c r="E34232" t="s">
        <v>202</v>
      </c>
      <c r="F34232" s="2" t="str">
        <f>HYPERLINK("http://www.otzar.org/book.asp?188661","ציון למר אלתר לוין")</f>
        <v>ציון למר אלתר לוין</v>
      </c>
    </row>
    <row r="34233" spans="1:6" x14ac:dyDescent="0.2">
      <c r="A34233" t="s">
        <v>53121</v>
      </c>
      <c r="B34233" t="s">
        <v>9729</v>
      </c>
      <c r="C34233" t="s">
        <v>99</v>
      </c>
      <c r="D34233" t="s">
        <v>267</v>
      </c>
      <c r="E34233" t="s">
        <v>5580</v>
      </c>
      <c r="F34233" s="2" t="str">
        <f>HYPERLINK("http://www.otzar.org/book.asp?10775","ציון לנפש חיה")</f>
        <v>ציון לנפש חיה</v>
      </c>
    </row>
    <row r="34234" spans="1:6" x14ac:dyDescent="0.2">
      <c r="A34234" t="s">
        <v>53122</v>
      </c>
      <c r="B34234" t="s">
        <v>53123</v>
      </c>
      <c r="C34234" t="s">
        <v>180</v>
      </c>
      <c r="D34234" t="s">
        <v>14</v>
      </c>
      <c r="E34234" t="s">
        <v>154</v>
      </c>
      <c r="F34234" s="2" t="str">
        <f>HYPERLINK("http://www.otzar.org/book.asp?13761","ציון לנפש חיה - 2 כר'")</f>
        <v>ציון לנפש חיה - 2 כר'</v>
      </c>
    </row>
    <row r="34235" spans="1:6" x14ac:dyDescent="0.2">
      <c r="A34235" t="s">
        <v>53121</v>
      </c>
      <c r="B34235" t="s">
        <v>1005</v>
      </c>
      <c r="C34235" t="s">
        <v>20</v>
      </c>
      <c r="D34235" t="s">
        <v>90</v>
      </c>
      <c r="E34235" t="s">
        <v>202</v>
      </c>
      <c r="F34235" s="2" t="str">
        <f>HYPERLINK("http://www.otzar.org/book.asp?624900","ציון לנפש חיה")</f>
        <v>ציון לנפש חיה</v>
      </c>
    </row>
    <row r="34236" spans="1:6" x14ac:dyDescent="0.2">
      <c r="A34236" t="s">
        <v>53124</v>
      </c>
      <c r="B34236" t="s">
        <v>5634</v>
      </c>
      <c r="C34236" t="s">
        <v>1811</v>
      </c>
      <c r="D34236" t="s">
        <v>52</v>
      </c>
      <c r="E34236" t="s">
        <v>8913</v>
      </c>
      <c r="F34236" s="2" t="str">
        <f>HYPERLINK("http://www.otzar.org/book.asp?150479","ציון לנפש חנה חיה")</f>
        <v>ציון לנפש חנה חיה</v>
      </c>
    </row>
    <row r="34237" spans="1:6" x14ac:dyDescent="0.2">
      <c r="A34237" t="s">
        <v>53125</v>
      </c>
      <c r="B34237" t="s">
        <v>53126</v>
      </c>
      <c r="C34237" t="s">
        <v>1609</v>
      </c>
      <c r="D34237" t="s">
        <v>216</v>
      </c>
      <c r="E34237" t="s">
        <v>202</v>
      </c>
      <c r="F34237" s="2" t="str">
        <f>HYPERLINK("http://www.otzar.org/book.asp?171084","ציון לנפש כהר""ר רפאל אלשיך הלוי")</f>
        <v>ציון לנפש כהר"ר רפאל אלשיך הלוי</v>
      </c>
    </row>
    <row r="34238" spans="1:6" x14ac:dyDescent="0.2">
      <c r="A34238" t="s">
        <v>53127</v>
      </c>
      <c r="B34238" t="s">
        <v>53128</v>
      </c>
      <c r="C34238" t="s">
        <v>1535</v>
      </c>
      <c r="D34238" t="s">
        <v>3208</v>
      </c>
      <c r="E34238" t="s">
        <v>119</v>
      </c>
      <c r="F34238" s="2" t="str">
        <f>HYPERLINK("http://www.otzar.org/book.asp?628250","ציון לנפש צדיק - קצור תולדות וזכרונות")</f>
        <v>ציון לנפש צדיק - קצור תולדות וזכרונות</v>
      </c>
    </row>
    <row r="34239" spans="1:6" x14ac:dyDescent="0.2">
      <c r="A34239" t="s">
        <v>53129</v>
      </c>
      <c r="B34239" t="s">
        <v>53130</v>
      </c>
      <c r="C34239" t="s">
        <v>10455</v>
      </c>
      <c r="D34239" t="s">
        <v>56</v>
      </c>
      <c r="E34239" t="s">
        <v>1108</v>
      </c>
      <c r="F34239" s="2" t="str">
        <f>HYPERLINK("http://www.otzar.org/book.asp?104137","ציון לנפש שלמה - א -ב")</f>
        <v>ציון לנפש שלמה - א -ב</v>
      </c>
    </row>
    <row r="34240" spans="1:6" x14ac:dyDescent="0.2">
      <c r="A34240" t="s">
        <v>53131</v>
      </c>
      <c r="B34240" t="s">
        <v>31346</v>
      </c>
      <c r="C34240" t="s">
        <v>1414</v>
      </c>
      <c r="D34240" t="s">
        <v>292</v>
      </c>
      <c r="F34240" s="2" t="str">
        <f>HYPERLINK("http://www.otzar.org/book.asp?53552","ציון לנפש - 2 כר'")</f>
        <v>ציון לנפש - 2 כר'</v>
      </c>
    </row>
    <row r="34241" spans="1:6" x14ac:dyDescent="0.2">
      <c r="A34241" t="s">
        <v>53131</v>
      </c>
      <c r="B34241" t="s">
        <v>53132</v>
      </c>
      <c r="C34241" t="s">
        <v>843</v>
      </c>
      <c r="D34241" t="s">
        <v>412</v>
      </c>
      <c r="E34241" t="s">
        <v>2533</v>
      </c>
      <c r="F34241" s="2" t="str">
        <f>HYPERLINK("http://www.otzar.org/book.asp?176590","ציון לנפש - 2 כר'")</f>
        <v>ציון לנפש - 2 כר'</v>
      </c>
    </row>
    <row r="34242" spans="1:6" x14ac:dyDescent="0.2">
      <c r="A34242" t="s">
        <v>53133</v>
      </c>
      <c r="B34242" t="s">
        <v>53134</v>
      </c>
      <c r="C34242" t="s">
        <v>237</v>
      </c>
      <c r="D34242" t="s">
        <v>27</v>
      </c>
      <c r="E34242" t="s">
        <v>202</v>
      </c>
      <c r="F34242" s="2" t="str">
        <f>HYPERLINK("http://www.otzar.org/book.asp?155408","ציון לנפש")</f>
        <v>ציון לנפש</v>
      </c>
    </row>
    <row r="34243" spans="1:6" x14ac:dyDescent="0.2">
      <c r="A34243" t="s">
        <v>53133</v>
      </c>
      <c r="B34243" t="s">
        <v>53135</v>
      </c>
      <c r="C34243" t="s">
        <v>1619</v>
      </c>
      <c r="D34243" t="s">
        <v>52</v>
      </c>
      <c r="E34243" t="s">
        <v>148</v>
      </c>
      <c r="F34243" s="2" t="str">
        <f>HYPERLINK("http://www.otzar.org/book.asp?165302","ציון לנפש")</f>
        <v>ציון לנפש</v>
      </c>
    </row>
    <row r="34244" spans="1:6" x14ac:dyDescent="0.2">
      <c r="A34244" t="s">
        <v>53136</v>
      </c>
      <c r="B34244" t="s">
        <v>732</v>
      </c>
      <c r="C34244" t="s">
        <v>619</v>
      </c>
      <c r="D34244" t="s">
        <v>27</v>
      </c>
      <c r="E34244" t="s">
        <v>104</v>
      </c>
      <c r="F34244" s="2" t="str">
        <f>HYPERLINK("http://www.otzar.org/book.asp?188662","ציון לקבר רחל אמנו")</f>
        <v>ציון לקבר רחל אמנו</v>
      </c>
    </row>
    <row r="34245" spans="1:6" x14ac:dyDescent="0.2">
      <c r="A34245" t="s">
        <v>53137</v>
      </c>
      <c r="B34245" t="s">
        <v>31044</v>
      </c>
      <c r="C34245" t="s">
        <v>1650</v>
      </c>
      <c r="D34245" t="s">
        <v>563</v>
      </c>
      <c r="E34245" t="s">
        <v>144</v>
      </c>
      <c r="F34245" s="2" t="str">
        <f>HYPERLINK("http://www.otzar.org/book.asp?11262","ציון רש""י")</f>
        <v>ציון רש"י</v>
      </c>
    </row>
    <row r="34246" spans="1:6" x14ac:dyDescent="0.2">
      <c r="A34246" t="s">
        <v>53138</v>
      </c>
      <c r="B34246" t="s">
        <v>26375</v>
      </c>
      <c r="C34246" t="s">
        <v>114</v>
      </c>
      <c r="D34246" t="s">
        <v>52</v>
      </c>
      <c r="E34246" t="s">
        <v>104</v>
      </c>
      <c r="F34246" s="2" t="str">
        <f>HYPERLINK("http://www.otzar.org/book.asp?163236","ציון תעוררי")</f>
        <v>ציון תעוררי</v>
      </c>
    </row>
    <row r="34247" spans="1:6" x14ac:dyDescent="0.2">
      <c r="A34247" t="s">
        <v>53139</v>
      </c>
      <c r="B34247" t="s">
        <v>53140</v>
      </c>
      <c r="C34247" t="s">
        <v>189</v>
      </c>
      <c r="D34247" t="s">
        <v>90</v>
      </c>
      <c r="E34247" t="s">
        <v>158</v>
      </c>
      <c r="F34247" s="2" t="str">
        <f>HYPERLINK("http://www.otzar.org/book.asp?183404","ציוני &lt;מהדורה חדשה&gt; - 2 כר'")</f>
        <v>ציוני &lt;מהדורה חדשה&gt; - 2 כר'</v>
      </c>
    </row>
    <row r="34248" spans="1:6" x14ac:dyDescent="0.2">
      <c r="A34248" t="s">
        <v>53141</v>
      </c>
      <c r="B34248" t="s">
        <v>8789</v>
      </c>
      <c r="C34248" t="s">
        <v>20</v>
      </c>
      <c r="D34248" t="s">
        <v>90</v>
      </c>
      <c r="E34248" t="s">
        <v>84</v>
      </c>
      <c r="F34248" s="2" t="str">
        <f>HYPERLINK("http://www.otzar.org/book.asp?605287","ציוני אהלות")</f>
        <v>ציוני אהלות</v>
      </c>
    </row>
    <row r="34249" spans="1:6" x14ac:dyDescent="0.2">
      <c r="A34249" t="s">
        <v>53142</v>
      </c>
      <c r="B34249" t="s">
        <v>53143</v>
      </c>
      <c r="C34249" t="s">
        <v>244</v>
      </c>
      <c r="D34249" t="s">
        <v>52</v>
      </c>
      <c r="E34249" t="s">
        <v>84</v>
      </c>
      <c r="F34249" s="2" t="str">
        <f>HYPERLINK("http://www.otzar.org/book.asp?199385","ציוני דעת - 4 כר'")</f>
        <v>ציוני דעת - 4 כר'</v>
      </c>
    </row>
    <row r="34250" spans="1:6" x14ac:dyDescent="0.2">
      <c r="A34250" t="s">
        <v>53144</v>
      </c>
      <c r="B34250" t="s">
        <v>53145</v>
      </c>
      <c r="C34250" t="s">
        <v>585</v>
      </c>
      <c r="D34250" t="s">
        <v>52</v>
      </c>
      <c r="E34250" t="s">
        <v>2533</v>
      </c>
      <c r="F34250" s="2" t="str">
        <f>HYPERLINK("http://www.otzar.org/book.asp?84789","ציוני דרך")</f>
        <v>ציוני דרך</v>
      </c>
    </row>
    <row r="34251" spans="1:6" x14ac:dyDescent="0.2">
      <c r="A34251" t="s">
        <v>53146</v>
      </c>
      <c r="B34251" t="s">
        <v>53147</v>
      </c>
      <c r="C34251" t="s">
        <v>111</v>
      </c>
      <c r="D34251" t="s">
        <v>52</v>
      </c>
      <c r="E34251" t="s">
        <v>144</v>
      </c>
      <c r="F34251" s="2" t="str">
        <f>HYPERLINK("http://www.otzar.org/book.asp?628478","ציוני הראשונים - 2 כר'")</f>
        <v>ציוני הראשונים - 2 כר'</v>
      </c>
    </row>
    <row r="34252" spans="1:6" x14ac:dyDescent="0.2">
      <c r="A34252" t="s">
        <v>53148</v>
      </c>
      <c r="B34252" t="s">
        <v>23156</v>
      </c>
      <c r="C34252" t="s">
        <v>71</v>
      </c>
      <c r="D34252" t="s">
        <v>52</v>
      </c>
      <c r="E34252" t="s">
        <v>148</v>
      </c>
      <c r="F34252" s="2" t="str">
        <f>HYPERLINK("http://www.otzar.org/book.asp?106816","ציוני טהרה - 7 כר'")</f>
        <v>ציוני טהרה - 7 כר'</v>
      </c>
    </row>
    <row r="34253" spans="1:6" x14ac:dyDescent="0.2">
      <c r="A34253" t="s">
        <v>53149</v>
      </c>
      <c r="B34253" t="s">
        <v>3632</v>
      </c>
      <c r="C34253" t="s">
        <v>390</v>
      </c>
      <c r="D34253" t="s">
        <v>14</v>
      </c>
      <c r="E34253" t="s">
        <v>1626</v>
      </c>
      <c r="F34253" s="2" t="str">
        <f>HYPERLINK("http://www.otzar.org/book.asp?14908","ציוני מקומות הקדושים")</f>
        <v>ציוני מקומות הקדושים</v>
      </c>
    </row>
    <row r="34254" spans="1:6" x14ac:dyDescent="0.2">
      <c r="A34254" t="s">
        <v>53150</v>
      </c>
      <c r="B34254" t="s">
        <v>13143</v>
      </c>
      <c r="C34254" t="s">
        <v>411</v>
      </c>
      <c r="D34254" t="s">
        <v>14</v>
      </c>
      <c r="E34254" t="s">
        <v>144</v>
      </c>
      <c r="F34254" s="2" t="str">
        <f>HYPERLINK("http://www.otzar.org/book.asp?177134","ציוני נדה")</f>
        <v>ציוני נדה</v>
      </c>
    </row>
    <row r="34255" spans="1:6" x14ac:dyDescent="0.2">
      <c r="A34255" t="s">
        <v>53151</v>
      </c>
      <c r="B34255" t="s">
        <v>53152</v>
      </c>
      <c r="C34255" t="s">
        <v>482</v>
      </c>
      <c r="D34255" t="s">
        <v>260</v>
      </c>
      <c r="E34255" t="s">
        <v>463</v>
      </c>
      <c r="F34255" s="2" t="str">
        <f>HYPERLINK("http://www.otzar.org/book.asp?11862","ציוני ש""ס")</f>
        <v>ציוני ש"ס</v>
      </c>
    </row>
    <row r="34256" spans="1:6" x14ac:dyDescent="0.2">
      <c r="A34256" t="s">
        <v>53153</v>
      </c>
      <c r="B34256" t="s">
        <v>53154</v>
      </c>
      <c r="C34256" t="s">
        <v>362</v>
      </c>
      <c r="D34256" t="s">
        <v>1419</v>
      </c>
      <c r="E34256" t="s">
        <v>104</v>
      </c>
      <c r="F34256" s="2" t="str">
        <f>HYPERLINK("http://www.otzar.org/book.asp?143534","ציוני שלום")</f>
        <v>ציוני שלום</v>
      </c>
    </row>
    <row r="34257" spans="1:6" x14ac:dyDescent="0.2">
      <c r="A34257" t="s">
        <v>53155</v>
      </c>
      <c r="B34257" t="s">
        <v>53156</v>
      </c>
      <c r="C34257" t="s">
        <v>366</v>
      </c>
      <c r="D34257" t="s">
        <v>14</v>
      </c>
      <c r="F34257" s="2" t="str">
        <f>HYPERLINK("http://www.otzar.org/book.asp?609573","ציוני שלמה - תופר וקורע")</f>
        <v>ציוני שלמה - תופר וקורע</v>
      </c>
    </row>
    <row r="34258" spans="1:6" x14ac:dyDescent="0.2">
      <c r="A34258" t="s">
        <v>53157</v>
      </c>
      <c r="B34258" t="s">
        <v>53158</v>
      </c>
      <c r="C34258" t="s">
        <v>151</v>
      </c>
      <c r="D34258" t="s">
        <v>412</v>
      </c>
      <c r="E34258" t="s">
        <v>144</v>
      </c>
      <c r="F34258" s="2" t="str">
        <f>HYPERLINK("http://www.otzar.org/book.asp?613883","ציוני שלמה - ברכות")</f>
        <v>ציוני שלמה - ברכות</v>
      </c>
    </row>
    <row r="34259" spans="1:6" x14ac:dyDescent="0.2">
      <c r="A34259" t="s">
        <v>53159</v>
      </c>
      <c r="B34259" t="s">
        <v>53160</v>
      </c>
      <c r="C34259" t="s">
        <v>576</v>
      </c>
      <c r="D34259" t="s">
        <v>21868</v>
      </c>
      <c r="E34259" t="s">
        <v>144</v>
      </c>
      <c r="F34259" s="2" t="str">
        <f>HYPERLINK("http://www.otzar.org/book.asp?169776","ציוני תוספות")</f>
        <v>ציוני תוספות</v>
      </c>
    </row>
    <row r="34260" spans="1:6" x14ac:dyDescent="0.2">
      <c r="A34260" t="s">
        <v>53161</v>
      </c>
      <c r="B34260" t="s">
        <v>53162</v>
      </c>
      <c r="C34260" t="s">
        <v>908</v>
      </c>
      <c r="D34260" t="s">
        <v>225</v>
      </c>
      <c r="E34260" t="s">
        <v>144</v>
      </c>
      <c r="F34260" s="2" t="str">
        <f>HYPERLINK("http://www.otzar.org/book.asp?23351","ציוני תורה - א")</f>
        <v>ציוני תורה - א</v>
      </c>
    </row>
    <row r="34261" spans="1:6" x14ac:dyDescent="0.2">
      <c r="A34261" t="s">
        <v>53163</v>
      </c>
      <c r="B34261" t="s">
        <v>53164</v>
      </c>
      <c r="C34261" t="s">
        <v>1458</v>
      </c>
      <c r="D34261" t="s">
        <v>56</v>
      </c>
      <c r="E34261" t="s">
        <v>33343</v>
      </c>
      <c r="F34261" s="2" t="str">
        <f>HYPERLINK("http://www.otzar.org/book.asp?19162","ציוני -  א -ב")</f>
        <v>ציוני -  א -ב</v>
      </c>
    </row>
    <row r="34262" spans="1:6" x14ac:dyDescent="0.2">
      <c r="A34262" t="s">
        <v>53165</v>
      </c>
      <c r="B34262" t="s">
        <v>53140</v>
      </c>
      <c r="C34262" t="s">
        <v>1524</v>
      </c>
      <c r="D34262" t="s">
        <v>4364</v>
      </c>
      <c r="F34262" s="2" t="str">
        <f>HYPERLINK("http://www.otzar.org/book.asp?152774","ציוני - 4 כר'")</f>
        <v>ציוני - 4 כר'</v>
      </c>
    </row>
    <row r="34263" spans="1:6" x14ac:dyDescent="0.2">
      <c r="A34263" t="s">
        <v>53166</v>
      </c>
      <c r="B34263" t="s">
        <v>53167</v>
      </c>
      <c r="C34263" t="s">
        <v>53168</v>
      </c>
      <c r="D34263" t="s">
        <v>53169</v>
      </c>
      <c r="E34263" t="s">
        <v>241</v>
      </c>
      <c r="F34263" s="2" t="str">
        <f>HYPERLINK("http://www.otzar.org/book.asp?197045","ציונים בדרך החיים - ב")</f>
        <v>ציונים בדרך החיים - ב</v>
      </c>
    </row>
    <row r="34264" spans="1:6" x14ac:dyDescent="0.2">
      <c r="A34264" t="s">
        <v>53170</v>
      </c>
      <c r="B34264" t="s">
        <v>53170</v>
      </c>
      <c r="C34264" t="s">
        <v>411</v>
      </c>
      <c r="D34264" t="s">
        <v>80</v>
      </c>
      <c r="E34264" t="s">
        <v>148</v>
      </c>
      <c r="F34264" s="2" t="str">
        <f>HYPERLINK("http://www.otzar.org/book.asp?601168","ציונים בתערובות")</f>
        <v>ציונים בתערובות</v>
      </c>
    </row>
    <row r="34265" spans="1:6" x14ac:dyDescent="0.2">
      <c r="A34265" t="s">
        <v>53171</v>
      </c>
      <c r="B34265" t="s">
        <v>206</v>
      </c>
      <c r="C34265" t="s">
        <v>13</v>
      </c>
      <c r="D34265" t="s">
        <v>14</v>
      </c>
      <c r="E34265" t="s">
        <v>144</v>
      </c>
      <c r="F34265" s="2" t="str">
        <f>HYPERLINK("http://www.otzar.org/book.asp?160144","ציונים וביאורים לפרק איזהו נשך")</f>
        <v>ציונים וביאורים לפרק איזהו נשך</v>
      </c>
    </row>
    <row r="34266" spans="1:6" x14ac:dyDescent="0.2">
      <c r="A34266" t="s">
        <v>53172</v>
      </c>
      <c r="B34266" t="s">
        <v>53173</v>
      </c>
      <c r="C34266" t="s">
        <v>189</v>
      </c>
      <c r="D34266" t="s">
        <v>52</v>
      </c>
      <c r="E34266" t="s">
        <v>172</v>
      </c>
      <c r="F34266" s="2" t="str">
        <f>HYPERLINK("http://www.otzar.org/book.asp?159821","ציונים והערות לשו""ע הלכות מקוואות")</f>
        <v>ציונים והערות לשו"ע הלכות מקוואות</v>
      </c>
    </row>
    <row r="34267" spans="1:6" x14ac:dyDescent="0.2">
      <c r="A34267" t="s">
        <v>53174</v>
      </c>
      <c r="B34267" t="s">
        <v>53175</v>
      </c>
      <c r="C34267" t="s">
        <v>17</v>
      </c>
      <c r="D34267" t="s">
        <v>14</v>
      </c>
      <c r="E34267" t="s">
        <v>84</v>
      </c>
      <c r="F34267" s="2" t="str">
        <f>HYPERLINK("http://www.otzar.org/book.asp?106034","ציונים והערות - שביעית")</f>
        <v>ציונים והערות - שביעית</v>
      </c>
    </row>
    <row r="34268" spans="1:6" x14ac:dyDescent="0.2">
      <c r="A34268" t="s">
        <v>53176</v>
      </c>
      <c r="B34268" t="s">
        <v>53177</v>
      </c>
      <c r="C34268" t="s">
        <v>20</v>
      </c>
      <c r="D34268" t="s">
        <v>52</v>
      </c>
      <c r="E34268" t="s">
        <v>84</v>
      </c>
      <c r="F34268" s="2" t="str">
        <f>HYPERLINK("http://www.otzar.org/book.asp?606571","ציונים ומראי מקומות - 6 כר'")</f>
        <v>ציונים ומראי מקומות - 6 כר'</v>
      </c>
    </row>
    <row r="34269" spans="1:6" x14ac:dyDescent="0.2">
      <c r="A34269" t="s">
        <v>53178</v>
      </c>
      <c r="B34269" t="s">
        <v>53179</v>
      </c>
      <c r="C34269" t="s">
        <v>1062</v>
      </c>
      <c r="D34269" t="s">
        <v>260</v>
      </c>
      <c r="E34269" t="s">
        <v>119</v>
      </c>
      <c r="F34269" s="2" t="str">
        <f>HYPERLINK("http://www.otzar.org/book.asp?106379","ציונים ותמרורים")</f>
        <v>ציונים ותמרורים</v>
      </c>
    </row>
    <row r="34270" spans="1:6" x14ac:dyDescent="0.2">
      <c r="A34270" t="s">
        <v>53180</v>
      </c>
      <c r="B34270" t="s">
        <v>53181</v>
      </c>
      <c r="C34270" t="s">
        <v>20</v>
      </c>
      <c r="D34270" t="s">
        <v>90</v>
      </c>
      <c r="E34270" t="s">
        <v>104</v>
      </c>
      <c r="F34270" s="2" t="str">
        <f>HYPERLINK("http://www.otzar.org/book.asp?150919","ציונים יקרים")</f>
        <v>ציונים יקרים</v>
      </c>
    </row>
    <row r="34271" spans="1:6" x14ac:dyDescent="0.2">
      <c r="A34271" t="s">
        <v>53182</v>
      </c>
      <c r="B34271" t="s">
        <v>53183</v>
      </c>
      <c r="C34271" t="s">
        <v>53184</v>
      </c>
      <c r="D34271" t="s">
        <v>5626</v>
      </c>
      <c r="E34271" t="s">
        <v>579</v>
      </c>
      <c r="F34271" s="2" t="str">
        <f>HYPERLINK("http://www.otzar.org/book.asp?197016","ציונים לדברי הקבלה")</f>
        <v>ציונים לדברי הקבלה</v>
      </c>
    </row>
    <row r="34272" spans="1:6" x14ac:dyDescent="0.2">
      <c r="A34272" t="s">
        <v>53185</v>
      </c>
      <c r="B34272" t="s">
        <v>53186</v>
      </c>
      <c r="C34272" t="s">
        <v>775</v>
      </c>
      <c r="D34272" t="s">
        <v>2362</v>
      </c>
      <c r="E34272" t="s">
        <v>579</v>
      </c>
      <c r="F34272" s="2" t="str">
        <f>HYPERLINK("http://www.otzar.org/book.asp?85409","ציונים לענינים באמונה ויסודות הדת")</f>
        <v>ציונים לענינים באמונה ויסודות הדת</v>
      </c>
    </row>
    <row r="34273" spans="1:6" x14ac:dyDescent="0.2">
      <c r="A34273" t="s">
        <v>53187</v>
      </c>
      <c r="B34273" t="s">
        <v>3462</v>
      </c>
      <c r="C34273" t="s">
        <v>785</v>
      </c>
      <c r="D34273" t="s">
        <v>52</v>
      </c>
      <c r="E34273" t="s">
        <v>144</v>
      </c>
      <c r="F34273" s="2" t="str">
        <f>HYPERLINK("http://www.otzar.org/book.asp?144735","ציונים לש""ס - 3 כר'")</f>
        <v>ציונים לש"ס - 3 כר'</v>
      </c>
    </row>
    <row r="34274" spans="1:6" x14ac:dyDescent="0.2">
      <c r="A34274" t="s">
        <v>53188</v>
      </c>
      <c r="B34274" t="s">
        <v>18976</v>
      </c>
      <c r="C34274" t="s">
        <v>8</v>
      </c>
      <c r="D34274" t="s">
        <v>27</v>
      </c>
      <c r="E34274" t="s">
        <v>104</v>
      </c>
      <c r="F34274" s="2" t="str">
        <f>HYPERLINK("http://www.otzar.org/book.asp?10512","ציונים לתורה")</f>
        <v>ציונים לתורה</v>
      </c>
    </row>
    <row r="34275" spans="1:6" x14ac:dyDescent="0.2">
      <c r="A34275" t="s">
        <v>53188</v>
      </c>
      <c r="B34275" t="s">
        <v>3493</v>
      </c>
      <c r="C34275" t="s">
        <v>2644</v>
      </c>
      <c r="D34275" t="s">
        <v>225</v>
      </c>
      <c r="E34275" t="s">
        <v>1211</v>
      </c>
      <c r="F34275" s="2" t="str">
        <f>HYPERLINK("http://www.otzar.org/book.asp?11572","ציונים לתורה")</f>
        <v>ציונים לתורה</v>
      </c>
    </row>
    <row r="34276" spans="1:6" x14ac:dyDescent="0.2">
      <c r="A34276" t="s">
        <v>53188</v>
      </c>
      <c r="B34276" t="s">
        <v>53189</v>
      </c>
      <c r="C34276" t="s">
        <v>1335</v>
      </c>
      <c r="D34276" t="s">
        <v>283</v>
      </c>
      <c r="E34276" t="s">
        <v>104</v>
      </c>
      <c r="F34276" s="2" t="str">
        <f>HYPERLINK("http://www.otzar.org/book.asp?150063","ציונים לתורה")</f>
        <v>ציונים לתורה</v>
      </c>
    </row>
    <row r="34277" spans="1:6" x14ac:dyDescent="0.2">
      <c r="A34277" t="s">
        <v>53190</v>
      </c>
      <c r="B34277" t="s">
        <v>12470</v>
      </c>
      <c r="C34277" t="s">
        <v>411</v>
      </c>
      <c r="D34277" t="s">
        <v>412</v>
      </c>
      <c r="E34277" t="s">
        <v>1517</v>
      </c>
      <c r="F34277" s="2" t="str">
        <f>HYPERLINK("http://www.otzar.org/book.asp?171460","צילא דהימנותא")</f>
        <v>צילא דהימנותא</v>
      </c>
    </row>
    <row r="34278" spans="1:6" x14ac:dyDescent="0.2">
      <c r="A34278" t="s">
        <v>53191</v>
      </c>
      <c r="B34278" t="s">
        <v>53192</v>
      </c>
      <c r="C34278" t="s">
        <v>53193</v>
      </c>
      <c r="D34278" t="s">
        <v>3817</v>
      </c>
      <c r="E34278" t="s">
        <v>144</v>
      </c>
      <c r="F34278" s="2" t="str">
        <f>HYPERLINK("http://www.otzar.org/book.asp?101695","צילותא דאברהם")</f>
        <v>צילותא דאברהם</v>
      </c>
    </row>
    <row r="34279" spans="1:6" x14ac:dyDescent="0.2">
      <c r="A34279" t="s">
        <v>53194</v>
      </c>
      <c r="B34279" t="s">
        <v>53195</v>
      </c>
      <c r="C34279" t="s">
        <v>767</v>
      </c>
      <c r="D34279" t="s">
        <v>3560</v>
      </c>
      <c r="E34279" t="s">
        <v>186</v>
      </c>
      <c r="F34279" s="2" t="str">
        <f>HYPERLINK("http://www.otzar.org/book.asp?149707","צילותא דשמעתתא - בבא מציעא")</f>
        <v>צילותא דשמעתתא - בבא מציעא</v>
      </c>
    </row>
    <row r="34280" spans="1:6" x14ac:dyDescent="0.2">
      <c r="A34280" t="s">
        <v>53196</v>
      </c>
      <c r="B34280" t="s">
        <v>53197</v>
      </c>
      <c r="C34280" t="s">
        <v>114</v>
      </c>
      <c r="D34280" t="s">
        <v>14</v>
      </c>
      <c r="E34280" t="s">
        <v>144</v>
      </c>
      <c r="F34280" s="2" t="str">
        <f>HYPERLINK("http://www.otzar.org/book.asp?199149","צילותא דשמעתתא - 2 כר'")</f>
        <v>צילותא דשמעתתא - 2 כר'</v>
      </c>
    </row>
    <row r="34281" spans="1:6" x14ac:dyDescent="0.2">
      <c r="A34281" t="s">
        <v>53198</v>
      </c>
      <c r="B34281" t="s">
        <v>53199</v>
      </c>
      <c r="C34281" t="s">
        <v>1388</v>
      </c>
      <c r="D34281" t="s">
        <v>412</v>
      </c>
      <c r="E34281" t="s">
        <v>144</v>
      </c>
      <c r="F34281" s="2" t="str">
        <f>HYPERLINK("http://www.otzar.org/book.asp?28266","צילותא דשמעתתא")</f>
        <v>צילותא דשמעתתא</v>
      </c>
    </row>
    <row r="34282" spans="1:6" x14ac:dyDescent="0.2">
      <c r="A34282" t="s">
        <v>53196</v>
      </c>
      <c r="B34282" t="s">
        <v>32627</v>
      </c>
      <c r="C34282" t="s">
        <v>13</v>
      </c>
      <c r="D34282" t="s">
        <v>2201</v>
      </c>
      <c r="E34282" t="s">
        <v>144</v>
      </c>
      <c r="F34282" s="2" t="str">
        <f>HYPERLINK("http://www.otzar.org/book.asp?159692","צילותא דשמעתתא - 2 כר'")</f>
        <v>צילותא דשמעתתא - 2 כר'</v>
      </c>
    </row>
    <row r="34283" spans="1:6" x14ac:dyDescent="0.2">
      <c r="A34283" t="s">
        <v>53200</v>
      </c>
      <c r="B34283" t="s">
        <v>53201</v>
      </c>
      <c r="C34283" t="s">
        <v>23</v>
      </c>
      <c r="D34283" t="s">
        <v>1356</v>
      </c>
      <c r="E34283" t="s">
        <v>144</v>
      </c>
      <c r="F34283" s="2" t="str">
        <f>HYPERLINK("http://www.otzar.org/book.asp?198361","צילותא דשמעתתא - ב""ב")</f>
        <v>צילותא דשמעתתא - ב"ב</v>
      </c>
    </row>
    <row r="34284" spans="1:6" x14ac:dyDescent="0.2">
      <c r="A34284" t="s">
        <v>53202</v>
      </c>
      <c r="B34284" t="s">
        <v>47223</v>
      </c>
      <c r="C34284" t="s">
        <v>1244</v>
      </c>
      <c r="D34284" t="s">
        <v>2303</v>
      </c>
      <c r="E34284" t="s">
        <v>15</v>
      </c>
      <c r="F34284" s="2" t="str">
        <f>HYPERLINK("http://www.otzar.org/book.asp?182075","צינה דוד")</f>
        <v>צינה דוד</v>
      </c>
    </row>
    <row r="34285" spans="1:6" x14ac:dyDescent="0.2">
      <c r="A34285" t="s">
        <v>53203</v>
      </c>
      <c r="B34285" t="s">
        <v>53204</v>
      </c>
      <c r="C34285" t="s">
        <v>523</v>
      </c>
      <c r="D34285" t="s">
        <v>21</v>
      </c>
      <c r="E34285" t="s">
        <v>119</v>
      </c>
      <c r="F34285" s="2" t="str">
        <f>HYPERLINK("http://www.otzar.org/book.asp?191301","ציפורי")</f>
        <v>ציפורי</v>
      </c>
    </row>
    <row r="34286" spans="1:6" x14ac:dyDescent="0.2">
      <c r="A34286" t="s">
        <v>53205</v>
      </c>
      <c r="B34286" t="s">
        <v>107</v>
      </c>
      <c r="C34286" t="s">
        <v>87</v>
      </c>
      <c r="D34286" t="s">
        <v>14</v>
      </c>
      <c r="E34286" t="s">
        <v>241</v>
      </c>
      <c r="F34286" s="2" t="str">
        <f>HYPERLINK("http://www.otzar.org/book.asp?84482","ציפית לישועה")</f>
        <v>ציפית לישועה</v>
      </c>
    </row>
    <row r="34287" spans="1:6" x14ac:dyDescent="0.2">
      <c r="A34287" t="s">
        <v>53206</v>
      </c>
      <c r="B34287" t="s">
        <v>437</v>
      </c>
      <c r="C34287" t="s">
        <v>168</v>
      </c>
      <c r="D34287" t="s">
        <v>27</v>
      </c>
      <c r="E34287" t="s">
        <v>154</v>
      </c>
      <c r="F34287" s="2" t="str">
        <f>HYPERLINK("http://www.otzar.org/book.asp?141744","ציץ אליעזר - 24 כר'")</f>
        <v>ציץ אליעזר - 24 כר'</v>
      </c>
    </row>
    <row r="34288" spans="1:6" x14ac:dyDescent="0.2">
      <c r="A34288" t="s">
        <v>53207</v>
      </c>
      <c r="B34288" t="s">
        <v>6081</v>
      </c>
      <c r="C34288" t="s">
        <v>2550</v>
      </c>
      <c r="D34288" t="s">
        <v>1188</v>
      </c>
      <c r="E34288" t="s">
        <v>17079</v>
      </c>
      <c r="F34288" s="2" t="str">
        <f>HYPERLINK("http://www.otzar.org/book.asp?16465","ציץ הקדש - 4 כר'")</f>
        <v>ציץ הקדש - 4 כר'</v>
      </c>
    </row>
    <row r="34289" spans="1:6" x14ac:dyDescent="0.2">
      <c r="A34289" t="s">
        <v>53208</v>
      </c>
      <c r="B34289" t="s">
        <v>52030</v>
      </c>
      <c r="C34289" t="s">
        <v>940</v>
      </c>
      <c r="D34289" t="s">
        <v>14</v>
      </c>
      <c r="E34289" t="s">
        <v>246</v>
      </c>
      <c r="F34289" s="2" t="str">
        <f>HYPERLINK("http://www.otzar.org/book.asp?105771","ציץ השדה - 6 כר'")</f>
        <v>ציץ השדה - 6 כר'</v>
      </c>
    </row>
    <row r="34290" spans="1:6" x14ac:dyDescent="0.2">
      <c r="A34290" t="s">
        <v>53209</v>
      </c>
      <c r="B34290" t="s">
        <v>14381</v>
      </c>
      <c r="C34290" t="s">
        <v>133</v>
      </c>
      <c r="D34290" t="s">
        <v>52</v>
      </c>
      <c r="E34290" t="s">
        <v>154</v>
      </c>
      <c r="F34290" s="2" t="str">
        <f>HYPERLINK("http://www.otzar.org/book.asp?631565","ציץ ופרח")</f>
        <v>ציץ ופרח</v>
      </c>
    </row>
    <row r="34291" spans="1:6" x14ac:dyDescent="0.2">
      <c r="A34291" t="s">
        <v>53210</v>
      </c>
      <c r="B34291" t="s">
        <v>686</v>
      </c>
      <c r="C34291" t="s">
        <v>411</v>
      </c>
      <c r="D34291" t="s">
        <v>52</v>
      </c>
      <c r="E34291" t="s">
        <v>158</v>
      </c>
      <c r="F34291" s="2" t="str">
        <f>HYPERLINK("http://www.otzar.org/book.asp?169087","ציץ קודש לה'")</f>
        <v>ציץ קודש לה'</v>
      </c>
    </row>
    <row r="34292" spans="1:6" x14ac:dyDescent="0.2">
      <c r="A34292" t="s">
        <v>53211</v>
      </c>
      <c r="B34292" t="s">
        <v>53212</v>
      </c>
      <c r="C34292" t="s">
        <v>454</v>
      </c>
      <c r="D34292" t="s">
        <v>90</v>
      </c>
      <c r="E34292" t="s">
        <v>15</v>
      </c>
      <c r="F34292" s="2" t="str">
        <f>HYPERLINK("http://www.otzar.org/book.asp?146477","ציץ שלמה")</f>
        <v>ציץ שלמה</v>
      </c>
    </row>
    <row r="34293" spans="1:6" x14ac:dyDescent="0.2">
      <c r="A34293" t="s">
        <v>53213</v>
      </c>
      <c r="B34293" t="s">
        <v>1417</v>
      </c>
      <c r="C34293" t="s">
        <v>244</v>
      </c>
      <c r="D34293" t="s">
        <v>21</v>
      </c>
      <c r="F34293" s="2" t="str">
        <f>HYPERLINK("http://www.otzar.org/book.asp?604886","ציצים ופרחים &lt;מהדורה חדשה&gt; - 2 כר'")</f>
        <v>ציצים ופרחים &lt;מהדורה חדשה&gt; - 2 כר'</v>
      </c>
    </row>
    <row r="34294" spans="1:6" x14ac:dyDescent="0.2">
      <c r="A34294" t="s">
        <v>53214</v>
      </c>
      <c r="B34294" t="s">
        <v>53215</v>
      </c>
      <c r="C34294" t="s">
        <v>23</v>
      </c>
      <c r="D34294" t="s">
        <v>21</v>
      </c>
      <c r="E34294" t="s">
        <v>144</v>
      </c>
      <c r="F34294" s="2" t="str">
        <f>HYPERLINK("http://www.otzar.org/book.asp?605633","ציצים ופרחים - 2 כר'")</f>
        <v>ציצים ופרחים - 2 כר'</v>
      </c>
    </row>
    <row r="34295" spans="1:6" x14ac:dyDescent="0.2">
      <c r="A34295" t="s">
        <v>53216</v>
      </c>
      <c r="B34295" t="s">
        <v>686</v>
      </c>
      <c r="C34295" t="s">
        <v>129</v>
      </c>
      <c r="D34295" t="s">
        <v>52</v>
      </c>
      <c r="E34295" t="s">
        <v>467</v>
      </c>
      <c r="F34295" s="2" t="str">
        <f>HYPERLINK("http://www.otzar.org/book.asp?60737","ציצים ופרחים")</f>
        <v>ציצים ופרחים</v>
      </c>
    </row>
    <row r="34296" spans="1:6" x14ac:dyDescent="0.2">
      <c r="A34296" t="s">
        <v>53216</v>
      </c>
      <c r="B34296" t="s">
        <v>53217</v>
      </c>
      <c r="C34296" t="s">
        <v>2644</v>
      </c>
      <c r="D34296" t="s">
        <v>27</v>
      </c>
      <c r="E34296" t="s">
        <v>1847</v>
      </c>
      <c r="F34296" s="2" t="str">
        <f>HYPERLINK("http://www.otzar.org/book.asp?102180","ציצים ופרחים")</f>
        <v>ציצים ופרחים</v>
      </c>
    </row>
    <row r="34297" spans="1:6" x14ac:dyDescent="0.2">
      <c r="A34297" t="s">
        <v>53214</v>
      </c>
      <c r="B34297" t="s">
        <v>1417</v>
      </c>
      <c r="C34297" t="s">
        <v>6624</v>
      </c>
      <c r="D34297" t="s">
        <v>42</v>
      </c>
      <c r="F34297" s="2" t="str">
        <f>HYPERLINK("http://www.otzar.org/book.asp?170253","ציצים ופרחים - 2 כר'")</f>
        <v>ציצים ופרחים - 2 כר'</v>
      </c>
    </row>
    <row r="34298" spans="1:6" x14ac:dyDescent="0.2">
      <c r="A34298" t="s">
        <v>53218</v>
      </c>
      <c r="B34298" t="s">
        <v>53219</v>
      </c>
      <c r="C34298" t="s">
        <v>23</v>
      </c>
      <c r="D34298" t="s">
        <v>52</v>
      </c>
      <c r="F34298" s="2" t="str">
        <f>HYPERLINK("http://www.otzar.org/book.asp?616706","ציצים ופרחים - יבמות")</f>
        <v>ציצים ופרחים - יבמות</v>
      </c>
    </row>
    <row r="34299" spans="1:6" x14ac:dyDescent="0.2">
      <c r="A34299" t="s">
        <v>53216</v>
      </c>
      <c r="B34299" t="s">
        <v>53220</v>
      </c>
      <c r="C34299" t="s">
        <v>13</v>
      </c>
      <c r="D34299" t="s">
        <v>1156</v>
      </c>
      <c r="E34299" t="s">
        <v>158</v>
      </c>
      <c r="F34299" s="2" t="str">
        <f>HYPERLINK("http://www.otzar.org/book.asp?147649","ציצים ופרחים")</f>
        <v>ציצים ופרחים</v>
      </c>
    </row>
    <row r="34300" spans="1:6" x14ac:dyDescent="0.2">
      <c r="A34300" t="s">
        <v>53221</v>
      </c>
      <c r="B34300" t="s">
        <v>27338</v>
      </c>
      <c r="C34300" t="s">
        <v>496</v>
      </c>
      <c r="D34300" t="s">
        <v>56</v>
      </c>
      <c r="E34300" t="s">
        <v>15</v>
      </c>
      <c r="F34300" s="2" t="str">
        <f>HYPERLINK("http://www.otzar.org/book.asp?149820","ציצית הכנף")</f>
        <v>ציצית הכנף</v>
      </c>
    </row>
    <row r="34301" spans="1:6" x14ac:dyDescent="0.2">
      <c r="A34301" t="s">
        <v>53221</v>
      </c>
      <c r="B34301" t="s">
        <v>11184</v>
      </c>
      <c r="C34301" t="s">
        <v>51</v>
      </c>
      <c r="D34301" t="s">
        <v>52</v>
      </c>
      <c r="E34301" t="s">
        <v>15</v>
      </c>
      <c r="F34301" s="2" t="str">
        <f>HYPERLINK("http://www.otzar.org/book.asp?157260","ציצית הכנף")</f>
        <v>ציצית הכנף</v>
      </c>
    </row>
    <row r="34302" spans="1:6" x14ac:dyDescent="0.2">
      <c r="A34302" t="s">
        <v>53222</v>
      </c>
      <c r="B34302" t="s">
        <v>2396</v>
      </c>
      <c r="C34302" t="s">
        <v>20</v>
      </c>
      <c r="D34302" t="s">
        <v>52</v>
      </c>
      <c r="E34302" t="s">
        <v>15</v>
      </c>
      <c r="F34302" s="2" t="str">
        <f>HYPERLINK("http://www.otzar.org/book.asp?165250","ציצית הכסת - חבש פאר")</f>
        <v>ציצית הכסת - חבש פאר</v>
      </c>
    </row>
    <row r="34303" spans="1:6" x14ac:dyDescent="0.2">
      <c r="A34303" t="s">
        <v>53223</v>
      </c>
      <c r="B34303" t="s">
        <v>18510</v>
      </c>
      <c r="C34303" t="s">
        <v>23</v>
      </c>
      <c r="D34303" t="s">
        <v>1907</v>
      </c>
      <c r="E34303" t="s">
        <v>15</v>
      </c>
      <c r="F34303" s="2" t="str">
        <f>HYPERLINK("http://www.otzar.org/book.asp?193202","ציצית המצוה והאגדה")</f>
        <v>ציצית המצוה והאגדה</v>
      </c>
    </row>
    <row r="34304" spans="1:6" x14ac:dyDescent="0.2">
      <c r="A34304" t="s">
        <v>53224</v>
      </c>
      <c r="B34304" t="s">
        <v>2235</v>
      </c>
      <c r="C34304" t="s">
        <v>43293</v>
      </c>
      <c r="D34304" t="s">
        <v>27</v>
      </c>
      <c r="E34304" t="s">
        <v>733</v>
      </c>
      <c r="F34304" s="2" t="str">
        <f>HYPERLINK("http://www.otzar.org/book.asp?15580","ציצת נובל צבי")</f>
        <v>ציצת נובל צבי</v>
      </c>
    </row>
    <row r="34305" spans="1:6" x14ac:dyDescent="0.2">
      <c r="A34305" t="s">
        <v>53225</v>
      </c>
      <c r="B34305" t="s">
        <v>53226</v>
      </c>
      <c r="C34305" t="s">
        <v>1096</v>
      </c>
      <c r="D34305" t="s">
        <v>27</v>
      </c>
      <c r="E34305" t="s">
        <v>1262</v>
      </c>
      <c r="F34305" s="2" t="str">
        <f>HYPERLINK("http://www.otzar.org/book.asp?104377","ציר נאמן")</f>
        <v>ציר נאמן</v>
      </c>
    </row>
    <row r="34306" spans="1:6" x14ac:dyDescent="0.2">
      <c r="A34306" t="s">
        <v>53227</v>
      </c>
      <c r="B34306" t="s">
        <v>29235</v>
      </c>
      <c r="C34306" t="s">
        <v>1535</v>
      </c>
      <c r="D34306" t="s">
        <v>260</v>
      </c>
      <c r="E34306" t="s">
        <v>1391</v>
      </c>
      <c r="F34306" s="2" t="str">
        <f>HYPERLINK("http://www.otzar.org/book.asp?19139","צירופי האותיות")</f>
        <v>צירופי האותיות</v>
      </c>
    </row>
    <row r="34307" spans="1:6" x14ac:dyDescent="0.2">
      <c r="A34307" t="s">
        <v>53228</v>
      </c>
      <c r="B34307" t="s">
        <v>53229</v>
      </c>
      <c r="C34307" t="s">
        <v>151</v>
      </c>
      <c r="D34307" t="s">
        <v>2362</v>
      </c>
      <c r="E34307" t="s">
        <v>10</v>
      </c>
      <c r="F34307" s="2" t="str">
        <f>HYPERLINK("http://www.otzar.org/book.asp?611898","צל ההרים - א")</f>
        <v>צל ההרים - א</v>
      </c>
    </row>
    <row r="34308" spans="1:6" x14ac:dyDescent="0.2">
      <c r="A34308" t="s">
        <v>53230</v>
      </c>
      <c r="B34308" t="s">
        <v>53231</v>
      </c>
      <c r="C34308" t="s">
        <v>2644</v>
      </c>
      <c r="D34308" t="s">
        <v>283</v>
      </c>
      <c r="E34308" t="s">
        <v>15</v>
      </c>
      <c r="F34308" s="2" t="str">
        <f>HYPERLINK("http://www.otzar.org/book.asp?23518","צל החכמה")</f>
        <v>צל החכמה</v>
      </c>
    </row>
    <row r="34309" spans="1:6" x14ac:dyDescent="0.2">
      <c r="A34309" t="s">
        <v>53232</v>
      </c>
      <c r="B34309" t="s">
        <v>2709</v>
      </c>
      <c r="C34309" t="s">
        <v>454</v>
      </c>
      <c r="D34309" t="s">
        <v>8647</v>
      </c>
      <c r="F34309" s="2" t="str">
        <f>HYPERLINK("http://www.otzar.org/book.asp?196406","צל הכסף &lt;מהדורה חדשה&gt; - 2 כר'")</f>
        <v>צל הכסף &lt;מהדורה חדשה&gt; - 2 כר'</v>
      </c>
    </row>
    <row r="34310" spans="1:6" x14ac:dyDescent="0.2">
      <c r="A34310" t="s">
        <v>53233</v>
      </c>
      <c r="B34310" t="s">
        <v>53234</v>
      </c>
      <c r="C34310" t="s">
        <v>4542</v>
      </c>
      <c r="D34310" t="s">
        <v>76</v>
      </c>
      <c r="E34310" t="s">
        <v>930</v>
      </c>
      <c r="F34310" s="2" t="str">
        <f>HYPERLINK("http://www.otzar.org/book.asp?102636","צל הכסף - 2 כר'")</f>
        <v>צל הכסף - 2 כר'</v>
      </c>
    </row>
    <row r="34311" spans="1:6" x14ac:dyDescent="0.2">
      <c r="A34311" t="s">
        <v>53235</v>
      </c>
      <c r="B34311" t="s">
        <v>2709</v>
      </c>
      <c r="C34311" t="s">
        <v>1335</v>
      </c>
      <c r="D34311" t="s">
        <v>929</v>
      </c>
      <c r="E34311" t="s">
        <v>234</v>
      </c>
      <c r="F34311" s="2" t="str">
        <f>HYPERLINK("http://www.otzar.org/book.asp?141011","צל הכסף")</f>
        <v>צל הכסף</v>
      </c>
    </row>
    <row r="34312" spans="1:6" x14ac:dyDescent="0.2">
      <c r="A34312" t="s">
        <v>53236</v>
      </c>
      <c r="B34312" t="s">
        <v>19194</v>
      </c>
      <c r="C34312" t="s">
        <v>390</v>
      </c>
      <c r="D34312" t="s">
        <v>216</v>
      </c>
      <c r="E34312" t="s">
        <v>213</v>
      </c>
      <c r="F34312" s="2" t="str">
        <f>HYPERLINK("http://www.otzar.org/book.asp?11969","צל המעלות - 2 כר'")</f>
        <v>צל המעלות - 2 כר'</v>
      </c>
    </row>
    <row r="34313" spans="1:6" x14ac:dyDescent="0.2">
      <c r="A34313" t="s">
        <v>53237</v>
      </c>
      <c r="B34313" t="s">
        <v>53238</v>
      </c>
      <c r="C34313" t="s">
        <v>4705</v>
      </c>
      <c r="D34313" t="s">
        <v>1566</v>
      </c>
      <c r="E34313" t="s">
        <v>158</v>
      </c>
      <c r="F34313" s="2" t="str">
        <f>HYPERLINK("http://www.otzar.org/book.asp?624767","צל המעלות")</f>
        <v>צל המעלות</v>
      </c>
    </row>
    <row r="34314" spans="1:6" x14ac:dyDescent="0.2">
      <c r="A34314" t="s">
        <v>53239</v>
      </c>
      <c r="B34314" t="s">
        <v>17100</v>
      </c>
      <c r="C34314" t="s">
        <v>433</v>
      </c>
      <c r="D34314" t="s">
        <v>90</v>
      </c>
      <c r="E34314" t="s">
        <v>158</v>
      </c>
      <c r="F34314" s="2" t="str">
        <f>HYPERLINK("http://www.otzar.org/book.asp?102367","צל העדה - 2 כר'")</f>
        <v>צל העדה - 2 כר'</v>
      </c>
    </row>
    <row r="34315" spans="1:6" x14ac:dyDescent="0.2">
      <c r="A34315" t="s">
        <v>53240</v>
      </c>
      <c r="B34315" t="s">
        <v>53241</v>
      </c>
      <c r="C34315" t="s">
        <v>402</v>
      </c>
      <c r="D34315" t="s">
        <v>1023</v>
      </c>
      <c r="F34315" s="2" t="str">
        <f>HYPERLINK("http://www.otzar.org/book.asp?182085","צל העולם - 5 כר'")</f>
        <v>צל העולם - 5 כר'</v>
      </c>
    </row>
    <row r="34316" spans="1:6" x14ac:dyDescent="0.2">
      <c r="A34316" t="s">
        <v>53242</v>
      </c>
      <c r="B34316" t="s">
        <v>53243</v>
      </c>
      <c r="C34316" t="s">
        <v>1448</v>
      </c>
      <c r="D34316" t="s">
        <v>423</v>
      </c>
      <c r="E34316" t="s">
        <v>144</v>
      </c>
      <c r="F34316" s="2" t="str">
        <f>HYPERLINK("http://www.otzar.org/book.asp?165145","צל""ח החדש")</f>
        <v>צל"ח החדש</v>
      </c>
    </row>
    <row r="34317" spans="1:6" x14ac:dyDescent="0.2">
      <c r="A34317" t="s">
        <v>53244</v>
      </c>
      <c r="B34317" t="s">
        <v>15259</v>
      </c>
      <c r="C34317" t="s">
        <v>176</v>
      </c>
      <c r="D34317" t="s">
        <v>14</v>
      </c>
      <c r="E34317" t="s">
        <v>144</v>
      </c>
      <c r="F34317" s="2" t="str">
        <f>HYPERLINK("http://www.otzar.org/book.asp?200344","צל""ח השלם החדש - 4 כר'")</f>
        <v>צל"ח השלם החדש - 4 כר'</v>
      </c>
    </row>
    <row r="34318" spans="1:6" x14ac:dyDescent="0.2">
      <c r="A34318" t="s">
        <v>53245</v>
      </c>
      <c r="B34318" t="s">
        <v>15259</v>
      </c>
      <c r="C34318" t="s">
        <v>1721</v>
      </c>
      <c r="D34318" t="s">
        <v>8579</v>
      </c>
      <c r="E34318" t="s">
        <v>144</v>
      </c>
      <c r="F34318" s="2" t="str">
        <f>HYPERLINK("http://www.otzar.org/book.asp?200200","צל""ח - 4 כר'")</f>
        <v>צל"ח - 4 כר'</v>
      </c>
    </row>
    <row r="34319" spans="1:6" x14ac:dyDescent="0.2">
      <c r="A34319" t="s">
        <v>53246</v>
      </c>
      <c r="B34319" t="s">
        <v>2688</v>
      </c>
      <c r="C34319" t="s">
        <v>103</v>
      </c>
      <c r="D34319" t="s">
        <v>412</v>
      </c>
      <c r="E34319" t="s">
        <v>606</v>
      </c>
      <c r="F34319" s="2" t="str">
        <f>HYPERLINK("http://www.otzar.org/book.asp?21616","צלא דמהימנותא &lt;משנה הלכות&gt;")</f>
        <v>צלא דמהימנותא &lt;משנה הלכות&gt;</v>
      </c>
    </row>
    <row r="34320" spans="1:6" x14ac:dyDescent="0.2">
      <c r="A34320" t="s">
        <v>53247</v>
      </c>
      <c r="B34320" t="s">
        <v>12197</v>
      </c>
      <c r="C34320" t="s">
        <v>1418</v>
      </c>
      <c r="D34320" t="s">
        <v>267</v>
      </c>
      <c r="E34320" t="s">
        <v>10438</v>
      </c>
      <c r="F34320" s="2" t="str">
        <f>HYPERLINK("http://www.otzar.org/book.asp?101646","צלותא דאברהם")</f>
        <v>צלותא דאברהם</v>
      </c>
    </row>
    <row r="34321" spans="1:6" x14ac:dyDescent="0.2">
      <c r="A34321" t="s">
        <v>53248</v>
      </c>
      <c r="B34321" t="s">
        <v>22308</v>
      </c>
      <c r="C34321" t="s">
        <v>843</v>
      </c>
      <c r="D34321" t="s">
        <v>216</v>
      </c>
      <c r="E34321" t="s">
        <v>24</v>
      </c>
      <c r="F34321" s="2" t="str">
        <f>HYPERLINK("http://www.otzar.org/book.asp?144682","צלותא דאברהם - 2 כר'")</f>
        <v>צלותא דאברהם - 2 כר'</v>
      </c>
    </row>
    <row r="34322" spans="1:6" x14ac:dyDescent="0.2">
      <c r="A34322" t="s">
        <v>53247</v>
      </c>
      <c r="B34322" t="s">
        <v>41896</v>
      </c>
      <c r="C34322" t="s">
        <v>462</v>
      </c>
      <c r="D34322" t="s">
        <v>267</v>
      </c>
      <c r="E34322" t="s">
        <v>1517</v>
      </c>
      <c r="F34322" s="2" t="str">
        <f>HYPERLINK("http://www.otzar.org/book.asp?20568","צלותא דאברהם")</f>
        <v>צלותא דאברהם</v>
      </c>
    </row>
    <row r="34323" spans="1:6" x14ac:dyDescent="0.2">
      <c r="A34323" t="s">
        <v>53248</v>
      </c>
      <c r="B34323" t="s">
        <v>53249</v>
      </c>
      <c r="C34323" t="s">
        <v>360</v>
      </c>
      <c r="D34323" t="s">
        <v>225</v>
      </c>
      <c r="E34323" t="s">
        <v>148</v>
      </c>
      <c r="F34323" s="2" t="str">
        <f>HYPERLINK("http://www.otzar.org/book.asp?8122","צלותא דאברהם - 2 כר'")</f>
        <v>צלותא דאברהם - 2 כר'</v>
      </c>
    </row>
    <row r="34324" spans="1:6" x14ac:dyDescent="0.2">
      <c r="A34324" t="s">
        <v>53247</v>
      </c>
      <c r="B34324" t="s">
        <v>18568</v>
      </c>
      <c r="C34324" t="s">
        <v>286</v>
      </c>
      <c r="D34324" t="s">
        <v>5659</v>
      </c>
      <c r="E34324" t="s">
        <v>241</v>
      </c>
      <c r="F34324" s="2" t="str">
        <f>HYPERLINK("http://www.otzar.org/book.asp?160553","צלותא דאברהם")</f>
        <v>צלותא דאברהם</v>
      </c>
    </row>
    <row r="34325" spans="1:6" x14ac:dyDescent="0.2">
      <c r="A34325" t="s">
        <v>53250</v>
      </c>
      <c r="B34325" t="s">
        <v>53251</v>
      </c>
      <c r="C34325" t="s">
        <v>244</v>
      </c>
      <c r="D34325" t="s">
        <v>412</v>
      </c>
      <c r="E34325" t="s">
        <v>130</v>
      </c>
      <c r="F34325" s="2" t="str">
        <f>HYPERLINK("http://www.otzar.org/book.asp?629889","צלותא דמעלי שבתא")</f>
        <v>צלותא דמעלי שבתא</v>
      </c>
    </row>
    <row r="34326" spans="1:6" x14ac:dyDescent="0.2">
      <c r="A34326" t="s">
        <v>53250</v>
      </c>
      <c r="B34326" t="s">
        <v>53252</v>
      </c>
      <c r="C34326" t="s">
        <v>3690</v>
      </c>
      <c r="D34326" t="s">
        <v>283</v>
      </c>
      <c r="E34326" t="s">
        <v>15</v>
      </c>
      <c r="F34326" s="2" t="str">
        <f>HYPERLINK("http://www.otzar.org/book.asp?60636","צלותא דמעלי שבתא")</f>
        <v>צלותא דמעלי שבתא</v>
      </c>
    </row>
    <row r="34327" spans="1:6" x14ac:dyDescent="0.2">
      <c r="A34327" t="s">
        <v>53253</v>
      </c>
      <c r="B34327" t="s">
        <v>7396</v>
      </c>
      <c r="C34327" t="s">
        <v>496</v>
      </c>
      <c r="D34327" t="s">
        <v>1801</v>
      </c>
      <c r="E34327" t="s">
        <v>158</v>
      </c>
      <c r="F34327" s="2" t="str">
        <f>HYPERLINK("http://www.otzar.org/book.asp?20569","צלח רכב")</f>
        <v>צלח רכב</v>
      </c>
    </row>
    <row r="34328" spans="1:6" x14ac:dyDescent="0.2">
      <c r="A34328" t="s">
        <v>53254</v>
      </c>
      <c r="B34328" t="s">
        <v>8070</v>
      </c>
      <c r="C34328" t="s">
        <v>111</v>
      </c>
      <c r="D34328" t="s">
        <v>152</v>
      </c>
      <c r="E34328" t="s">
        <v>1164</v>
      </c>
      <c r="F34328" s="2" t="str">
        <f>HYPERLINK("http://www.otzar.org/book.asp?629972","צליל שעורים")</f>
        <v>צליל שעורים</v>
      </c>
    </row>
    <row r="34329" spans="1:6" x14ac:dyDescent="0.2">
      <c r="A34329" t="s">
        <v>53255</v>
      </c>
      <c r="B34329" t="s">
        <v>43506</v>
      </c>
      <c r="C34329" t="s">
        <v>53256</v>
      </c>
      <c r="D34329" t="s">
        <v>260</v>
      </c>
      <c r="E34329" t="s">
        <v>104</v>
      </c>
      <c r="F34329" s="2" t="str">
        <f>HYPERLINK("http://www.otzar.org/book.asp?604202","צלילי המקרא - ב")</f>
        <v>צלילי המקרא - ב</v>
      </c>
    </row>
    <row r="34330" spans="1:6" x14ac:dyDescent="0.2">
      <c r="A34330" t="s">
        <v>53257</v>
      </c>
      <c r="B34330" t="s">
        <v>53258</v>
      </c>
      <c r="C34330" t="s">
        <v>37</v>
      </c>
      <c r="D34330" t="s">
        <v>90</v>
      </c>
      <c r="E34330" t="s">
        <v>144</v>
      </c>
      <c r="F34330" s="2" t="str">
        <f>HYPERLINK("http://www.otzar.org/book.asp?193736","צלעות הארון - 2 כר'")</f>
        <v>צלעות הארון - 2 כר'</v>
      </c>
    </row>
    <row r="34331" spans="1:6" x14ac:dyDescent="0.2">
      <c r="A34331" t="s">
        <v>53259</v>
      </c>
      <c r="B34331" t="s">
        <v>53260</v>
      </c>
      <c r="C34331" t="s">
        <v>492</v>
      </c>
      <c r="D34331" t="s">
        <v>283</v>
      </c>
      <c r="E34331" t="s">
        <v>43</v>
      </c>
      <c r="F34331" s="2" t="str">
        <f>HYPERLINK("http://www.otzar.org/book.asp?103696","צלצל כנפים")</f>
        <v>צלצל כנפים</v>
      </c>
    </row>
    <row r="34332" spans="1:6" x14ac:dyDescent="0.2">
      <c r="A34332" t="s">
        <v>53261</v>
      </c>
      <c r="B34332" t="s">
        <v>53262</v>
      </c>
      <c r="C34332" t="s">
        <v>189</v>
      </c>
      <c r="D34332" t="s">
        <v>2375</v>
      </c>
      <c r="E34332" t="s">
        <v>158</v>
      </c>
      <c r="F34332" s="2" t="str">
        <f>HYPERLINK("http://www.otzar.org/book.asp?191905","צלצלי שמע")</f>
        <v>צלצלי שמע</v>
      </c>
    </row>
    <row r="34333" spans="1:6" x14ac:dyDescent="0.2">
      <c r="A34333" t="s">
        <v>53263</v>
      </c>
      <c r="B34333" t="s">
        <v>24510</v>
      </c>
      <c r="C34333" t="s">
        <v>427</v>
      </c>
      <c r="D34333" t="s">
        <v>115</v>
      </c>
      <c r="E34333" t="s">
        <v>15</v>
      </c>
      <c r="F34333" s="2" t="str">
        <f>HYPERLINK("http://www.otzar.org/book.asp?106356","צמ""ח שלמה")</f>
        <v>צמ"ח שלמה</v>
      </c>
    </row>
    <row r="34334" spans="1:6" x14ac:dyDescent="0.2">
      <c r="A34334" t="s">
        <v>53264</v>
      </c>
      <c r="B34334" t="s">
        <v>53265</v>
      </c>
      <c r="C34334" t="s">
        <v>111</v>
      </c>
      <c r="D34334" t="s">
        <v>412</v>
      </c>
      <c r="F34334" s="2" t="str">
        <f>HYPERLINK("http://www.otzar.org/book.asp?617730","צמא למים - מקואות")</f>
        <v>צמא למים - מקואות</v>
      </c>
    </row>
    <row r="34335" spans="1:6" x14ac:dyDescent="0.2">
      <c r="A34335" t="s">
        <v>53266</v>
      </c>
      <c r="B34335" t="s">
        <v>206</v>
      </c>
      <c r="C34335" t="s">
        <v>129</v>
      </c>
      <c r="D34335" t="s">
        <v>147</v>
      </c>
      <c r="E34335" t="s">
        <v>314</v>
      </c>
      <c r="F34335" s="2" t="str">
        <f>HYPERLINK("http://www.otzar.org/book.asp?60558","צמאה נפשי")</f>
        <v>צמאה נפשי</v>
      </c>
    </row>
    <row r="34336" spans="1:6" x14ac:dyDescent="0.2">
      <c r="A34336" t="s">
        <v>53267</v>
      </c>
      <c r="B34336" t="s">
        <v>49847</v>
      </c>
      <c r="C34336" t="s">
        <v>106</v>
      </c>
      <c r="D34336" t="s">
        <v>412</v>
      </c>
      <c r="E34336" t="s">
        <v>53268</v>
      </c>
      <c r="F34336" s="2" t="str">
        <f>HYPERLINK("http://www.otzar.org/book.asp?167968","צמח אר""ז")</f>
        <v>צמח אר"ז</v>
      </c>
    </row>
    <row r="34337" spans="1:6" x14ac:dyDescent="0.2">
      <c r="A34337" t="s">
        <v>53269</v>
      </c>
      <c r="B34337" t="s">
        <v>53270</v>
      </c>
      <c r="C34337" t="s">
        <v>189</v>
      </c>
      <c r="D34337" t="s">
        <v>14</v>
      </c>
      <c r="E34337" t="s">
        <v>2418</v>
      </c>
      <c r="F34337" s="2" t="str">
        <f>HYPERLINK("http://www.otzar.org/book.asp?165126","צמח דוד &lt;מהדורה חדשה&gt;")</f>
        <v>צמח דוד &lt;מהדורה חדשה&gt;</v>
      </c>
    </row>
    <row r="34338" spans="1:6" x14ac:dyDescent="0.2">
      <c r="A34338" t="s">
        <v>53271</v>
      </c>
      <c r="B34338" t="s">
        <v>53272</v>
      </c>
      <c r="C34338" t="s">
        <v>3106</v>
      </c>
      <c r="D34338" t="s">
        <v>412</v>
      </c>
      <c r="E34338" t="s">
        <v>1185</v>
      </c>
      <c r="F34338" s="2" t="str">
        <f>HYPERLINK("http://www.otzar.org/book.asp?615923","צמח דוד על התורה")</f>
        <v>צמח דוד על התורה</v>
      </c>
    </row>
    <row r="34339" spans="1:6" x14ac:dyDescent="0.2">
      <c r="A34339" t="s">
        <v>53273</v>
      </c>
      <c r="B34339" t="s">
        <v>35471</v>
      </c>
      <c r="C34339" t="s">
        <v>1335</v>
      </c>
      <c r="D34339" t="s">
        <v>283</v>
      </c>
      <c r="E34339" t="s">
        <v>119</v>
      </c>
      <c r="F34339" s="2" t="str">
        <f>HYPERLINK("http://www.otzar.org/book.asp?9912","צמח דוד - 7 כר'")</f>
        <v>צמח דוד - 7 כר'</v>
      </c>
    </row>
    <row r="34340" spans="1:6" x14ac:dyDescent="0.2">
      <c r="A34340" t="s">
        <v>53274</v>
      </c>
      <c r="B34340" t="s">
        <v>53275</v>
      </c>
      <c r="C34340" t="s">
        <v>4202</v>
      </c>
      <c r="D34340" t="s">
        <v>22983</v>
      </c>
      <c r="F34340" s="2" t="str">
        <f>HYPERLINK("http://www.otzar.org/book.asp?152767","צמח דוד")</f>
        <v>צמח דוד</v>
      </c>
    </row>
    <row r="34341" spans="1:6" x14ac:dyDescent="0.2">
      <c r="A34341" t="s">
        <v>53274</v>
      </c>
      <c r="B34341" t="s">
        <v>53270</v>
      </c>
      <c r="C34341" t="s">
        <v>609</v>
      </c>
      <c r="D34341" t="s">
        <v>53276</v>
      </c>
      <c r="E34341" t="s">
        <v>158</v>
      </c>
      <c r="F34341" s="2" t="str">
        <f>HYPERLINK("http://www.otzar.org/book.asp?28330","צמח דוד")</f>
        <v>צמח דוד</v>
      </c>
    </row>
    <row r="34342" spans="1:6" x14ac:dyDescent="0.2">
      <c r="A34342" t="s">
        <v>53277</v>
      </c>
      <c r="B34342" t="s">
        <v>9924</v>
      </c>
      <c r="C34342" t="s">
        <v>53278</v>
      </c>
      <c r="D34342" t="s">
        <v>76</v>
      </c>
      <c r="E34342" t="s">
        <v>158</v>
      </c>
      <c r="F34342" s="2" t="str">
        <f>HYPERLINK("http://www.otzar.org/book.asp?15900","צמח דוד - 2 כר'")</f>
        <v>צמח דוד - 2 כר'</v>
      </c>
    </row>
    <row r="34343" spans="1:6" x14ac:dyDescent="0.2">
      <c r="A34343" t="s">
        <v>53274</v>
      </c>
      <c r="B34343" t="s">
        <v>53279</v>
      </c>
      <c r="C34343" t="s">
        <v>1737</v>
      </c>
      <c r="D34343" t="s">
        <v>212</v>
      </c>
      <c r="E34343" t="s">
        <v>144</v>
      </c>
      <c r="F34343" s="2" t="str">
        <f>HYPERLINK("http://www.otzar.org/book.asp?6493","צמח דוד")</f>
        <v>צמח דוד</v>
      </c>
    </row>
    <row r="34344" spans="1:6" x14ac:dyDescent="0.2">
      <c r="A34344" t="s">
        <v>53277</v>
      </c>
      <c r="B34344" t="s">
        <v>53280</v>
      </c>
      <c r="C34344" t="s">
        <v>129</v>
      </c>
      <c r="D34344" t="s">
        <v>31180</v>
      </c>
      <c r="E34344" t="s">
        <v>144</v>
      </c>
      <c r="F34344" s="2" t="str">
        <f>HYPERLINK("http://www.otzar.org/book.asp?53752","צמח דוד - 2 כר'")</f>
        <v>צמח דוד - 2 כר'</v>
      </c>
    </row>
    <row r="34345" spans="1:6" x14ac:dyDescent="0.2">
      <c r="A34345" t="s">
        <v>53274</v>
      </c>
      <c r="B34345" t="s">
        <v>6486</v>
      </c>
      <c r="C34345" t="s">
        <v>576</v>
      </c>
      <c r="D34345" t="s">
        <v>986</v>
      </c>
      <c r="E34345" t="s">
        <v>357</v>
      </c>
      <c r="F34345" s="2" t="str">
        <f>HYPERLINK("http://www.otzar.org/book.asp?103697","צמח דוד")</f>
        <v>צמח דוד</v>
      </c>
    </row>
    <row r="34346" spans="1:6" x14ac:dyDescent="0.2">
      <c r="A34346" t="s">
        <v>53274</v>
      </c>
      <c r="B34346" t="s">
        <v>40943</v>
      </c>
      <c r="C34346" t="s">
        <v>946</v>
      </c>
      <c r="D34346" t="s">
        <v>10393</v>
      </c>
      <c r="E34346" t="s">
        <v>1211</v>
      </c>
      <c r="F34346" s="2" t="str">
        <f>HYPERLINK("http://www.otzar.org/book.asp?10923","צמח דוד")</f>
        <v>צמח דוד</v>
      </c>
    </row>
    <row r="34347" spans="1:6" x14ac:dyDescent="0.2">
      <c r="A34347" t="s">
        <v>53281</v>
      </c>
      <c r="B34347" t="s">
        <v>53282</v>
      </c>
      <c r="C34347" t="s">
        <v>20</v>
      </c>
      <c r="D34347" t="s">
        <v>1550</v>
      </c>
      <c r="F34347" s="2" t="str">
        <f>HYPERLINK("http://www.otzar.org/book.asp?616712","צמח דוד - חמש מגילות")</f>
        <v>צמח דוד - חמש מגילות</v>
      </c>
    </row>
    <row r="34348" spans="1:6" x14ac:dyDescent="0.2">
      <c r="A34348" t="s">
        <v>53274</v>
      </c>
      <c r="B34348" t="s">
        <v>53283</v>
      </c>
      <c r="C34348" t="s">
        <v>462</v>
      </c>
      <c r="D34348" t="s">
        <v>379</v>
      </c>
      <c r="E34348" t="s">
        <v>1185</v>
      </c>
      <c r="F34348" s="2" t="str">
        <f>HYPERLINK("http://www.otzar.org/book.asp?102185","צמח דוד")</f>
        <v>צמח דוד</v>
      </c>
    </row>
    <row r="34349" spans="1:6" x14ac:dyDescent="0.2">
      <c r="A34349" t="s">
        <v>53284</v>
      </c>
      <c r="B34349" t="s">
        <v>53285</v>
      </c>
      <c r="C34349" t="s">
        <v>462</v>
      </c>
      <c r="D34349" t="s">
        <v>2276</v>
      </c>
      <c r="E34349" t="s">
        <v>957</v>
      </c>
      <c r="F34349" s="2" t="str">
        <f>HYPERLINK("http://www.otzar.org/book.asp?102187","צמח ה' לצבי - 2 כר'")</f>
        <v>צמח ה' לצבי - 2 כר'</v>
      </c>
    </row>
    <row r="34350" spans="1:6" x14ac:dyDescent="0.2">
      <c r="A34350" t="s">
        <v>53286</v>
      </c>
      <c r="B34350" t="s">
        <v>5716</v>
      </c>
      <c r="C34350" t="s">
        <v>343</v>
      </c>
      <c r="D34350" t="s">
        <v>4269</v>
      </c>
      <c r="E34350" t="s">
        <v>474</v>
      </c>
      <c r="F34350" s="2" t="str">
        <f>HYPERLINK("http://www.otzar.org/book.asp?102186","צמח ה' לצבי - 4 כר'")</f>
        <v>צמח ה' לצבי - 4 כר'</v>
      </c>
    </row>
    <row r="34351" spans="1:6" x14ac:dyDescent="0.2">
      <c r="A34351" t="s">
        <v>53287</v>
      </c>
      <c r="B34351" t="s">
        <v>53288</v>
      </c>
      <c r="C34351" t="s">
        <v>624</v>
      </c>
      <c r="D34351" t="s">
        <v>14</v>
      </c>
      <c r="E34351" t="s">
        <v>158</v>
      </c>
      <c r="F34351" s="2" t="str">
        <f>HYPERLINK("http://www.otzar.org/book.asp?188534","צמח הצבי")</f>
        <v>צמח הצבי</v>
      </c>
    </row>
    <row r="34352" spans="1:6" x14ac:dyDescent="0.2">
      <c r="A34352" t="s">
        <v>53289</v>
      </c>
      <c r="B34352" t="s">
        <v>15396</v>
      </c>
      <c r="C34352" t="s">
        <v>2870</v>
      </c>
      <c r="D34352" t="s">
        <v>661</v>
      </c>
      <c r="F34352" s="2" t="str">
        <f>HYPERLINK("http://www.otzar.org/book.asp?21434","צמח השדה")</f>
        <v>צמח השדה</v>
      </c>
    </row>
    <row r="34353" spans="1:6" x14ac:dyDescent="0.2">
      <c r="A34353" t="s">
        <v>53289</v>
      </c>
      <c r="B34353" t="s">
        <v>10461</v>
      </c>
      <c r="C34353" t="s">
        <v>224</v>
      </c>
      <c r="D34353" t="s">
        <v>699</v>
      </c>
      <c r="E34353" t="s">
        <v>4738</v>
      </c>
      <c r="F34353" s="2" t="str">
        <f>HYPERLINK("http://www.otzar.org/book.asp?21433","צמח השדה")</f>
        <v>צמח השדה</v>
      </c>
    </row>
    <row r="34354" spans="1:6" x14ac:dyDescent="0.2">
      <c r="A34354" t="s">
        <v>53289</v>
      </c>
      <c r="B34354" t="s">
        <v>53290</v>
      </c>
      <c r="C34354" t="s">
        <v>943</v>
      </c>
      <c r="D34354" t="s">
        <v>6785</v>
      </c>
      <c r="E34354" t="s">
        <v>4561</v>
      </c>
      <c r="F34354" s="2" t="str">
        <f>HYPERLINK("http://www.otzar.org/book.asp?21432","צמח השדה")</f>
        <v>צמח השדה</v>
      </c>
    </row>
    <row r="34355" spans="1:6" x14ac:dyDescent="0.2">
      <c r="A34355" t="s">
        <v>53291</v>
      </c>
      <c r="B34355" t="s">
        <v>15537</v>
      </c>
      <c r="C34355" t="s">
        <v>767</v>
      </c>
      <c r="D34355" t="s">
        <v>1356</v>
      </c>
      <c r="E34355" t="s">
        <v>148</v>
      </c>
      <c r="F34355" s="2" t="str">
        <f>HYPERLINK("http://www.otzar.org/book.asp?143529","צמח יהודה - 5 כר'")</f>
        <v>צמח יהודה - 5 כר'</v>
      </c>
    </row>
    <row r="34356" spans="1:6" x14ac:dyDescent="0.2">
      <c r="A34356" t="s">
        <v>53292</v>
      </c>
      <c r="B34356" t="s">
        <v>13212</v>
      </c>
      <c r="C34356" t="s">
        <v>32859</v>
      </c>
      <c r="D34356" t="s">
        <v>283</v>
      </c>
      <c r="E34356" t="s">
        <v>43</v>
      </c>
      <c r="F34356" s="2" t="str">
        <f>HYPERLINK("http://www.otzar.org/book.asp?101436","צמח לאברהם - 2 כר'")</f>
        <v>צמח לאברהם - 2 כר'</v>
      </c>
    </row>
    <row r="34357" spans="1:6" x14ac:dyDescent="0.2">
      <c r="A34357" t="s">
        <v>53293</v>
      </c>
      <c r="B34357" t="s">
        <v>53294</v>
      </c>
      <c r="C34357" t="s">
        <v>728</v>
      </c>
      <c r="D34357" t="s">
        <v>283</v>
      </c>
      <c r="E34357" t="s">
        <v>172</v>
      </c>
      <c r="F34357" s="2" t="str">
        <f>HYPERLINK("http://www.otzar.org/book.asp?101728","צמח מנחם")</f>
        <v>צמח מנחם</v>
      </c>
    </row>
    <row r="34358" spans="1:6" x14ac:dyDescent="0.2">
      <c r="A34358" t="s">
        <v>53293</v>
      </c>
      <c r="B34358" t="s">
        <v>48101</v>
      </c>
      <c r="C34358" t="s">
        <v>39156</v>
      </c>
      <c r="D34358" t="s">
        <v>60</v>
      </c>
      <c r="E34358" t="s">
        <v>463</v>
      </c>
      <c r="F34358" s="2" t="str">
        <f>HYPERLINK("http://www.otzar.org/book.asp?17045","צמח מנחם")</f>
        <v>צמח מנחם</v>
      </c>
    </row>
    <row r="34359" spans="1:6" x14ac:dyDescent="0.2">
      <c r="A34359" t="s">
        <v>53295</v>
      </c>
      <c r="B34359" t="s">
        <v>42707</v>
      </c>
      <c r="C34359" t="s">
        <v>13</v>
      </c>
      <c r="D34359" t="s">
        <v>14</v>
      </c>
      <c r="E34359" t="s">
        <v>2071</v>
      </c>
      <c r="F34359" s="2" t="str">
        <f>HYPERLINK("http://www.otzar.org/book.asp?143715","צמח צדיק &lt;מהדורה חדשה&gt;")</f>
        <v>צמח צדיק &lt;מהדורה חדשה&gt;</v>
      </c>
    </row>
    <row r="34360" spans="1:6" x14ac:dyDescent="0.2">
      <c r="A34360" t="s">
        <v>53296</v>
      </c>
      <c r="B34360" t="s">
        <v>42707</v>
      </c>
      <c r="C34360" t="s">
        <v>1718</v>
      </c>
      <c r="D34360" t="s">
        <v>1538</v>
      </c>
      <c r="E34360" t="s">
        <v>158</v>
      </c>
      <c r="F34360" s="2" t="str">
        <f>HYPERLINK("http://www.otzar.org/book.asp?7864","צמח צדיק")</f>
        <v>צמח צדיק</v>
      </c>
    </row>
    <row r="34361" spans="1:6" x14ac:dyDescent="0.2">
      <c r="A34361" t="s">
        <v>53297</v>
      </c>
      <c r="B34361" t="s">
        <v>1387</v>
      </c>
      <c r="C34361" t="s">
        <v>3942</v>
      </c>
      <c r="D34361" t="s">
        <v>49</v>
      </c>
      <c r="E34361" t="s">
        <v>213</v>
      </c>
      <c r="F34361" s="2" t="str">
        <f>HYPERLINK("http://www.otzar.org/book.asp?146587","צמח צדיק - 3 כר'")</f>
        <v>צמח צדיק - 3 כר'</v>
      </c>
    </row>
    <row r="34362" spans="1:6" x14ac:dyDescent="0.2">
      <c r="A34362" t="s">
        <v>53296</v>
      </c>
      <c r="B34362" t="s">
        <v>23047</v>
      </c>
      <c r="C34362" t="s">
        <v>1524</v>
      </c>
      <c r="D34362" t="s">
        <v>4364</v>
      </c>
      <c r="E34362" t="s">
        <v>399</v>
      </c>
      <c r="F34362" s="2" t="str">
        <f>HYPERLINK("http://www.otzar.org/book.asp?12924","צמח צדיק")</f>
        <v>צמח צדיק</v>
      </c>
    </row>
    <row r="34363" spans="1:6" x14ac:dyDescent="0.2">
      <c r="A34363" t="s">
        <v>53298</v>
      </c>
      <c r="B34363" t="s">
        <v>3294</v>
      </c>
      <c r="C34363" t="s">
        <v>360</v>
      </c>
      <c r="D34363" t="s">
        <v>27</v>
      </c>
      <c r="E34363" t="s">
        <v>399</v>
      </c>
      <c r="F34363" s="2" t="str">
        <f>HYPERLINK("http://www.otzar.org/book.asp?19428","צמח צדיק - 2 כר'")</f>
        <v>צמח צדיק - 2 כר'</v>
      </c>
    </row>
    <row r="34364" spans="1:6" x14ac:dyDescent="0.2">
      <c r="A34364" t="s">
        <v>53299</v>
      </c>
      <c r="B34364" t="s">
        <v>24123</v>
      </c>
      <c r="C34364" t="s">
        <v>13</v>
      </c>
      <c r="D34364" t="s">
        <v>118</v>
      </c>
      <c r="E34364" t="s">
        <v>154</v>
      </c>
      <c r="F34364" s="2" t="str">
        <f>HYPERLINK("http://www.otzar.org/book.asp?166236","צמח צדק &lt;מהדורה חדשה&gt;")</f>
        <v>צמח צדק &lt;מהדורה חדשה&gt;</v>
      </c>
    </row>
    <row r="34365" spans="1:6" x14ac:dyDescent="0.2">
      <c r="A34365" t="s">
        <v>53300</v>
      </c>
      <c r="B34365" t="s">
        <v>24123</v>
      </c>
      <c r="C34365" t="s">
        <v>568</v>
      </c>
      <c r="D34365" t="s">
        <v>1279</v>
      </c>
      <c r="E34365" t="s">
        <v>154</v>
      </c>
      <c r="F34365" s="2" t="str">
        <f>HYPERLINK("http://www.otzar.org/book.asp?12936","צמח צדק - 5 כר'")</f>
        <v>צמח צדק - 5 כר'</v>
      </c>
    </row>
    <row r="34366" spans="1:6" x14ac:dyDescent="0.2">
      <c r="A34366" t="s">
        <v>53301</v>
      </c>
      <c r="B34366" t="s">
        <v>53302</v>
      </c>
      <c r="C34366" t="s">
        <v>313</v>
      </c>
      <c r="D34366" t="s">
        <v>14</v>
      </c>
      <c r="E34366" t="s">
        <v>53303</v>
      </c>
      <c r="F34366" s="2" t="str">
        <f>HYPERLINK("http://www.otzar.org/book.asp?156853","צמח צדקה - 2 כר'")</f>
        <v>צמח צדקה - 2 כר'</v>
      </c>
    </row>
    <row r="34367" spans="1:6" x14ac:dyDescent="0.2">
      <c r="A34367" t="s">
        <v>53304</v>
      </c>
      <c r="B34367" t="s">
        <v>53305</v>
      </c>
      <c r="C34367" t="s">
        <v>20</v>
      </c>
      <c r="D34367" t="s">
        <v>90</v>
      </c>
      <c r="E34367" t="s">
        <v>104</v>
      </c>
      <c r="F34367" s="2" t="str">
        <f>HYPERLINK("http://www.otzar.org/book.asp?64264","צמחי הגן לרפואה")</f>
        <v>צמחי הגן לרפואה</v>
      </c>
    </row>
    <row r="34368" spans="1:6" x14ac:dyDescent="0.2">
      <c r="A34368" t="s">
        <v>53306</v>
      </c>
      <c r="B34368" t="s">
        <v>20815</v>
      </c>
      <c r="C34368" t="s">
        <v>411</v>
      </c>
      <c r="D34368" t="s">
        <v>21</v>
      </c>
      <c r="E34368" t="s">
        <v>104</v>
      </c>
      <c r="F34368" s="2" t="str">
        <f>HYPERLINK("http://www.otzar.org/book.asp?191336","צמחי המקרא")</f>
        <v>צמחי המקרא</v>
      </c>
    </row>
    <row r="34369" spans="1:6" x14ac:dyDescent="0.2">
      <c r="A34369" t="s">
        <v>53307</v>
      </c>
      <c r="B34369" t="s">
        <v>5143</v>
      </c>
      <c r="C34369" t="s">
        <v>143</v>
      </c>
      <c r="D34369" t="s">
        <v>721</v>
      </c>
      <c r="E34369" t="s">
        <v>733</v>
      </c>
      <c r="F34369" s="2" t="str">
        <f>HYPERLINK("http://www.otzar.org/book.asp?165875","צמידי הזהב - סיפורים מחיי ר' חי טייב ור' ישועה בסיס")</f>
        <v>צמידי הזהב - סיפורים מחיי ר' חי טייב ור' ישועה בסיס</v>
      </c>
    </row>
    <row r="34370" spans="1:6" x14ac:dyDescent="0.2">
      <c r="A34370" t="s">
        <v>53308</v>
      </c>
      <c r="B34370" t="s">
        <v>53309</v>
      </c>
      <c r="C34370" t="s">
        <v>133</v>
      </c>
      <c r="D34370" t="s">
        <v>32731</v>
      </c>
      <c r="E34370" t="s">
        <v>246</v>
      </c>
      <c r="F34370" s="2" t="str">
        <f>HYPERLINK("http://www.otzar.org/book.asp?190310","צמיחה בארץ הצבי")</f>
        <v>צמיחה בארץ הצבי</v>
      </c>
    </row>
    <row r="34371" spans="1:6" x14ac:dyDescent="0.2">
      <c r="A34371" t="s">
        <v>53310</v>
      </c>
      <c r="B34371" t="s">
        <v>53311</v>
      </c>
      <c r="C34371" t="s">
        <v>1388</v>
      </c>
      <c r="D34371" t="s">
        <v>14</v>
      </c>
      <c r="E34371" t="s">
        <v>104</v>
      </c>
      <c r="F34371" s="2" t="str">
        <f>HYPERLINK("http://www.otzar.org/book.asp?194919","צמיחת גאולתנו")</f>
        <v>צמיחת גאולתנו</v>
      </c>
    </row>
    <row r="34372" spans="1:6" x14ac:dyDescent="0.2">
      <c r="A34372" t="s">
        <v>53312</v>
      </c>
      <c r="B34372" t="s">
        <v>107</v>
      </c>
      <c r="C34372" t="s">
        <v>87</v>
      </c>
      <c r="D34372" t="s">
        <v>14</v>
      </c>
      <c r="E34372" t="s">
        <v>119</v>
      </c>
      <c r="F34372" s="2" t="str">
        <f>HYPERLINK("http://www.otzar.org/book.asp?159893","צמיחת הציונות ודעיכתה")</f>
        <v>צמיחת הציונות ודעיכתה</v>
      </c>
    </row>
    <row r="34373" spans="1:6" x14ac:dyDescent="0.2">
      <c r="A34373" t="s">
        <v>53313</v>
      </c>
      <c r="B34373" t="s">
        <v>47770</v>
      </c>
      <c r="C34373" t="s">
        <v>624</v>
      </c>
      <c r="D34373" t="s">
        <v>412</v>
      </c>
      <c r="E34373" t="s">
        <v>733</v>
      </c>
      <c r="F34373" s="2" t="str">
        <f>HYPERLINK("http://www.otzar.org/book.asp?173635","צנא מלא ספרא")</f>
        <v>צנא מלא ספרא</v>
      </c>
    </row>
    <row r="34374" spans="1:6" x14ac:dyDescent="0.2">
      <c r="A34374" t="s">
        <v>53314</v>
      </c>
      <c r="B34374" t="s">
        <v>2530</v>
      </c>
      <c r="C34374" t="s">
        <v>466</v>
      </c>
      <c r="D34374" t="s">
        <v>2531</v>
      </c>
      <c r="E34374" t="s">
        <v>15</v>
      </c>
      <c r="F34374" s="2" t="str">
        <f>HYPERLINK("http://www.otzar.org/book.asp?85569","צנוע ומעלי - אוצר פסקי יחוד")</f>
        <v>צנוע ומעלי - אוצר פסקי יחוד</v>
      </c>
    </row>
    <row r="34375" spans="1:6" x14ac:dyDescent="0.2">
      <c r="A34375" t="s">
        <v>53315</v>
      </c>
      <c r="B34375" t="s">
        <v>17331</v>
      </c>
      <c r="C34375" t="s">
        <v>454</v>
      </c>
      <c r="D34375" t="s">
        <v>52</v>
      </c>
      <c r="E34375" t="s">
        <v>104</v>
      </c>
      <c r="F34375" s="2" t="str">
        <f>HYPERLINK("http://www.otzar.org/book.asp?107445","צניעות בת ישראל")</f>
        <v>צניעות בת ישראל</v>
      </c>
    </row>
    <row r="34376" spans="1:6" x14ac:dyDescent="0.2">
      <c r="A34376" t="s">
        <v>53316</v>
      </c>
      <c r="B34376" t="s">
        <v>53317</v>
      </c>
      <c r="C34376" t="s">
        <v>13</v>
      </c>
      <c r="D34376" t="s">
        <v>90</v>
      </c>
      <c r="E34376" t="s">
        <v>714</v>
      </c>
      <c r="F34376" s="2" t="str">
        <f>HYPERLINK("http://www.otzar.org/book.asp?189709","צניעות וגדולה")</f>
        <v>צניעות וגדולה</v>
      </c>
    </row>
    <row r="34377" spans="1:6" x14ac:dyDescent="0.2">
      <c r="A34377" t="s">
        <v>53318</v>
      </c>
      <c r="B34377" t="s">
        <v>4675</v>
      </c>
      <c r="C34377" t="s">
        <v>71</v>
      </c>
      <c r="D34377" t="s">
        <v>412</v>
      </c>
      <c r="E34377" t="s">
        <v>674</v>
      </c>
      <c r="F34377" s="2" t="str">
        <f>HYPERLINK("http://www.otzar.org/book.asp?154815","צניף מלוכה")</f>
        <v>צניף מלוכה</v>
      </c>
    </row>
    <row r="34378" spans="1:6" x14ac:dyDescent="0.2">
      <c r="A34378" t="s">
        <v>53319</v>
      </c>
      <c r="B34378" t="s">
        <v>53320</v>
      </c>
      <c r="C34378" t="s">
        <v>422</v>
      </c>
      <c r="D34378" t="s">
        <v>152</v>
      </c>
      <c r="E34378" t="s">
        <v>15</v>
      </c>
      <c r="F34378" s="2" t="str">
        <f>HYPERLINK("http://www.otzar.org/book.asp?151718","צניף מלוכה - לא ילבש, כתובת קעקע, שריטה וקרחה")</f>
        <v>צניף מלוכה - לא ילבש, כתובת קעקע, שריטה וקרחה</v>
      </c>
    </row>
    <row r="34379" spans="1:6" x14ac:dyDescent="0.2">
      <c r="A34379" t="s">
        <v>53321</v>
      </c>
      <c r="B34379" t="s">
        <v>53322</v>
      </c>
      <c r="C34379" t="s">
        <v>59</v>
      </c>
      <c r="D34379" t="s">
        <v>7163</v>
      </c>
      <c r="E34379" t="s">
        <v>144</v>
      </c>
      <c r="F34379" s="2" t="str">
        <f>HYPERLINK("http://www.otzar.org/book.asp?141110","צנצנת המן")</f>
        <v>צנצנת המן</v>
      </c>
    </row>
    <row r="34380" spans="1:6" x14ac:dyDescent="0.2">
      <c r="A34380" t="s">
        <v>53323</v>
      </c>
      <c r="B34380" t="s">
        <v>38027</v>
      </c>
      <c r="C34380" t="s">
        <v>23</v>
      </c>
      <c r="D34380" t="s">
        <v>1356</v>
      </c>
      <c r="E34380" t="s">
        <v>226</v>
      </c>
      <c r="F34380" s="2" t="str">
        <f>HYPERLINK("http://www.otzar.org/book.asp?601344","צנצנת המן - 4 כר'")</f>
        <v>צנצנת המן - 4 כר'</v>
      </c>
    </row>
    <row r="34381" spans="1:6" x14ac:dyDescent="0.2">
      <c r="A34381" t="s">
        <v>53321</v>
      </c>
      <c r="B34381" t="s">
        <v>53324</v>
      </c>
      <c r="C34381" t="s">
        <v>366</v>
      </c>
      <c r="E34381" t="s">
        <v>15</v>
      </c>
      <c r="F34381" s="2" t="str">
        <f>HYPERLINK("http://www.otzar.org/book.asp?607160","צנצנת המן")</f>
        <v>צנצנת המן</v>
      </c>
    </row>
    <row r="34382" spans="1:6" x14ac:dyDescent="0.2">
      <c r="A34382" t="s">
        <v>53321</v>
      </c>
      <c r="B34382" t="s">
        <v>53325</v>
      </c>
      <c r="C34382" t="s">
        <v>23</v>
      </c>
      <c r="E34382" t="s">
        <v>158</v>
      </c>
      <c r="F34382" s="2" t="str">
        <f>HYPERLINK("http://www.otzar.org/book.asp?603183","צנצנת המן")</f>
        <v>צנצנת המן</v>
      </c>
    </row>
    <row r="34383" spans="1:6" x14ac:dyDescent="0.2">
      <c r="A34383" t="s">
        <v>53326</v>
      </c>
      <c r="B34383" t="s">
        <v>53327</v>
      </c>
      <c r="C34383" t="s">
        <v>313</v>
      </c>
      <c r="D34383" t="s">
        <v>646</v>
      </c>
      <c r="E34383" t="s">
        <v>15</v>
      </c>
      <c r="F34383" s="2" t="str">
        <f>HYPERLINK("http://www.otzar.org/book.asp?156916","צנצנת המן - רבית, מוקצה")</f>
        <v>צנצנת המן - רבית, מוקצה</v>
      </c>
    </row>
    <row r="34384" spans="1:6" x14ac:dyDescent="0.2">
      <c r="A34384" t="s">
        <v>53328</v>
      </c>
      <c r="B34384" t="s">
        <v>53329</v>
      </c>
      <c r="C34384" t="s">
        <v>411</v>
      </c>
      <c r="D34384" t="s">
        <v>14</v>
      </c>
      <c r="E34384" t="s">
        <v>148</v>
      </c>
      <c r="F34384" s="2" t="str">
        <f>HYPERLINK("http://www.otzar.org/book.asp?170816","צנצנת המן - ריבית")</f>
        <v>צנצנת המן - ריבית</v>
      </c>
    </row>
    <row r="34385" spans="1:6" x14ac:dyDescent="0.2">
      <c r="A34385" t="s">
        <v>53330</v>
      </c>
      <c r="B34385" t="s">
        <v>53331</v>
      </c>
      <c r="C34385" t="s">
        <v>20</v>
      </c>
      <c r="D34385" t="s">
        <v>216</v>
      </c>
      <c r="F34385" s="2" t="str">
        <f>HYPERLINK("http://www.otzar.org/book.asp?611687","צנצנת המן - 2 כר'")</f>
        <v>צנצנת המן - 2 כר'</v>
      </c>
    </row>
    <row r="34386" spans="1:6" x14ac:dyDescent="0.2">
      <c r="A34386" t="s">
        <v>53332</v>
      </c>
      <c r="B34386" t="s">
        <v>53333</v>
      </c>
      <c r="C34386" t="s">
        <v>10538</v>
      </c>
      <c r="D34386" t="s">
        <v>280</v>
      </c>
      <c r="E34386" t="s">
        <v>53334</v>
      </c>
      <c r="F34386" s="2" t="str">
        <f>HYPERLINK("http://www.otzar.org/book.asp?7294","צנצנת מנחם")</f>
        <v>צנצנת מנחם</v>
      </c>
    </row>
    <row r="34387" spans="1:6" x14ac:dyDescent="0.2">
      <c r="A34387" t="s">
        <v>53332</v>
      </c>
      <c r="B34387" t="s">
        <v>1005</v>
      </c>
      <c r="C34387" t="s">
        <v>87</v>
      </c>
      <c r="D34387" t="s">
        <v>52</v>
      </c>
      <c r="E34387" t="s">
        <v>1174</v>
      </c>
      <c r="F34387" s="2" t="str">
        <f>HYPERLINK("http://www.otzar.org/book.asp?143616","צנצנת מנחם")</f>
        <v>צנצנת מנחם</v>
      </c>
    </row>
    <row r="34388" spans="1:6" x14ac:dyDescent="0.2">
      <c r="A34388" t="s">
        <v>53335</v>
      </c>
      <c r="B34388" t="s">
        <v>53336</v>
      </c>
      <c r="C34388" t="s">
        <v>168</v>
      </c>
      <c r="D34388" t="s">
        <v>90</v>
      </c>
      <c r="E34388" t="s">
        <v>158</v>
      </c>
      <c r="F34388" s="2" t="str">
        <f>HYPERLINK("http://www.otzar.org/book.asp?161937","צנצנת שי - א")</f>
        <v>צנצנת שי - א</v>
      </c>
    </row>
    <row r="34389" spans="1:6" x14ac:dyDescent="0.2">
      <c r="A34389" t="s">
        <v>53337</v>
      </c>
      <c r="B34389" t="s">
        <v>20983</v>
      </c>
      <c r="C34389" t="s">
        <v>1228</v>
      </c>
      <c r="D34389" t="s">
        <v>1419</v>
      </c>
      <c r="E34389" t="s">
        <v>144</v>
      </c>
      <c r="F34389" s="2" t="str">
        <f>HYPERLINK("http://www.otzar.org/book.asp?141056","צנתרות הזהב")</f>
        <v>צנתרות הזהב</v>
      </c>
    </row>
    <row r="34390" spans="1:6" x14ac:dyDescent="0.2">
      <c r="A34390" t="s">
        <v>53338</v>
      </c>
      <c r="B34390" t="s">
        <v>5867</v>
      </c>
      <c r="C34390" t="s">
        <v>129</v>
      </c>
      <c r="D34390" t="s">
        <v>52</v>
      </c>
      <c r="E34390" t="s">
        <v>5398</v>
      </c>
      <c r="F34390" s="2" t="str">
        <f>HYPERLINK("http://www.otzar.org/book.asp?153865","צנתרות הזהב - 3 כר'")</f>
        <v>צנתרות הזהב - 3 כר'</v>
      </c>
    </row>
    <row r="34391" spans="1:6" x14ac:dyDescent="0.2">
      <c r="A34391" t="s">
        <v>53339</v>
      </c>
      <c r="B34391" t="s">
        <v>35942</v>
      </c>
      <c r="C34391" t="s">
        <v>1954</v>
      </c>
      <c r="D34391" t="s">
        <v>27</v>
      </c>
      <c r="E34391" t="s">
        <v>733</v>
      </c>
      <c r="F34391" s="2" t="str">
        <f>HYPERLINK("http://www.otzar.org/book.asp?5869","צנתרי דדהבא")</f>
        <v>צנתרי דדהבא</v>
      </c>
    </row>
    <row r="34392" spans="1:6" x14ac:dyDescent="0.2">
      <c r="A34392" t="s">
        <v>53340</v>
      </c>
      <c r="B34392" t="s">
        <v>53341</v>
      </c>
      <c r="C34392" t="s">
        <v>20</v>
      </c>
      <c r="D34392" t="s">
        <v>14</v>
      </c>
      <c r="E34392" t="s">
        <v>703</v>
      </c>
      <c r="F34392" s="2" t="str">
        <f>HYPERLINK("http://www.otzar.org/book.asp?619816","צעטיל קטן עם פירוש מעדני מלך")</f>
        <v>צעטיל קטן עם פירוש מעדני מלך</v>
      </c>
    </row>
    <row r="34393" spans="1:6" x14ac:dyDescent="0.2">
      <c r="A34393" t="s">
        <v>53342</v>
      </c>
      <c r="B34393" t="s">
        <v>53343</v>
      </c>
      <c r="C34393" t="s">
        <v>5721</v>
      </c>
      <c r="D34393" t="s">
        <v>76</v>
      </c>
      <c r="E34393" t="s">
        <v>7760</v>
      </c>
      <c r="F34393" s="2" t="str">
        <f>HYPERLINK("http://www.otzar.org/book.asp?100224","צעיר רדם")</f>
        <v>צעיר רדם</v>
      </c>
    </row>
    <row r="34394" spans="1:6" x14ac:dyDescent="0.2">
      <c r="A34394" t="s">
        <v>53342</v>
      </c>
      <c r="B34394" t="s">
        <v>53344</v>
      </c>
      <c r="C34394" t="s">
        <v>103</v>
      </c>
      <c r="D34394" t="s">
        <v>2458</v>
      </c>
      <c r="E34394" t="s">
        <v>158</v>
      </c>
      <c r="F34394" s="2" t="str">
        <f>HYPERLINK("http://www.otzar.org/book.asp?149641","צעיר רדם")</f>
        <v>צעיר רדם</v>
      </c>
    </row>
    <row r="34395" spans="1:6" x14ac:dyDescent="0.2">
      <c r="A34395" t="s">
        <v>53345</v>
      </c>
      <c r="B34395" t="s">
        <v>32253</v>
      </c>
      <c r="C34395" t="s">
        <v>2550</v>
      </c>
      <c r="D34395" t="s">
        <v>27</v>
      </c>
      <c r="E34395" t="s">
        <v>53346</v>
      </c>
      <c r="F34395" s="2" t="str">
        <f>HYPERLINK("http://www.otzar.org/book.asp?19261","צעקת בני ישראל - 2 כר'")</f>
        <v>צעקת בני ישראל - 2 כר'</v>
      </c>
    </row>
    <row r="34396" spans="1:6" x14ac:dyDescent="0.2">
      <c r="A34396" t="s">
        <v>53347</v>
      </c>
      <c r="B34396" t="s">
        <v>21126</v>
      </c>
      <c r="D34396" t="s">
        <v>1974</v>
      </c>
      <c r="E34396" t="s">
        <v>104</v>
      </c>
      <c r="F34396" s="2" t="str">
        <f>HYPERLINK("http://www.otzar.org/book.asp?624670","צעקת תינוק")</f>
        <v>צעקת תינוק</v>
      </c>
    </row>
    <row r="34397" spans="1:6" x14ac:dyDescent="0.2">
      <c r="A34397" t="s">
        <v>53348</v>
      </c>
      <c r="B34397" t="s">
        <v>53349</v>
      </c>
      <c r="C34397" t="s">
        <v>51</v>
      </c>
      <c r="D34397" t="s">
        <v>1550</v>
      </c>
      <c r="E34397" t="s">
        <v>15</v>
      </c>
      <c r="F34397" s="2" t="str">
        <f>HYPERLINK("http://www.otzar.org/book.asp?158589","צער בעלי חיים בהלכה ובאגדה")</f>
        <v>צער בעלי חיים בהלכה ובאגדה</v>
      </c>
    </row>
    <row r="34398" spans="1:6" x14ac:dyDescent="0.2">
      <c r="A34398" t="s">
        <v>53350</v>
      </c>
      <c r="B34398" t="s">
        <v>44690</v>
      </c>
      <c r="C34398" t="s">
        <v>114</v>
      </c>
      <c r="D34398" t="s">
        <v>52</v>
      </c>
      <c r="E34398" t="s">
        <v>130</v>
      </c>
      <c r="F34398" s="2" t="str">
        <f>HYPERLINK("http://www.otzar.org/book.asp?192251","צפון - לשון של זהורית")</f>
        <v>צפון - לשון של זהורית</v>
      </c>
    </row>
    <row r="34399" spans="1:6" x14ac:dyDescent="0.2">
      <c r="A34399" t="s">
        <v>53351</v>
      </c>
      <c r="B34399" t="s">
        <v>53352</v>
      </c>
      <c r="C34399" t="s">
        <v>956</v>
      </c>
      <c r="D34399" t="s">
        <v>21</v>
      </c>
      <c r="E34399" t="s">
        <v>104</v>
      </c>
      <c r="F34399" s="2" t="str">
        <f>HYPERLINK("http://www.otzar.org/book.asp?193058","צפונות במסורת ישראל")</f>
        <v>צפונות במסורת ישראל</v>
      </c>
    </row>
    <row r="34400" spans="1:6" x14ac:dyDescent="0.2">
      <c r="A34400" t="s">
        <v>53353</v>
      </c>
      <c r="B34400" t="s">
        <v>53354</v>
      </c>
      <c r="C34400" t="s">
        <v>103</v>
      </c>
      <c r="D34400" t="s">
        <v>5798</v>
      </c>
      <c r="E34400" t="s">
        <v>104</v>
      </c>
      <c r="F34400" s="2" t="str">
        <f>HYPERLINK("http://www.otzar.org/book.asp?193248","צפונות בתורה - 2 כר'")</f>
        <v>צפונות בתורה - 2 כר'</v>
      </c>
    </row>
    <row r="34401" spans="1:6" x14ac:dyDescent="0.2">
      <c r="A34401" t="s">
        <v>53355</v>
      </c>
      <c r="B34401" t="s">
        <v>53356</v>
      </c>
      <c r="C34401" t="s">
        <v>124</v>
      </c>
      <c r="D34401" t="s">
        <v>14</v>
      </c>
      <c r="E34401" t="s">
        <v>1211</v>
      </c>
      <c r="F34401" s="2" t="str">
        <f>HYPERLINK("http://www.otzar.org/book.asp?11087","צפונות הרוגצ'ובי")</f>
        <v>צפונות הרוגצ'ובי</v>
      </c>
    </row>
    <row r="34402" spans="1:6" x14ac:dyDescent="0.2">
      <c r="A34402" t="s">
        <v>53357</v>
      </c>
      <c r="B34402" t="s">
        <v>53358</v>
      </c>
      <c r="C34402" t="s">
        <v>411</v>
      </c>
      <c r="D34402" t="s">
        <v>20</v>
      </c>
      <c r="E34402" t="s">
        <v>158</v>
      </c>
      <c r="F34402" s="2" t="str">
        <f>HYPERLINK("http://www.otzar.org/book.asp?172527","צפונות רש""י")</f>
        <v>צפונות רש"י</v>
      </c>
    </row>
    <row r="34403" spans="1:6" x14ac:dyDescent="0.2">
      <c r="A34403" t="s">
        <v>53359</v>
      </c>
      <c r="B34403" t="s">
        <v>382</v>
      </c>
      <c r="C34403" t="s">
        <v>1208</v>
      </c>
      <c r="D34403" t="s">
        <v>1356</v>
      </c>
      <c r="E34403" t="s">
        <v>202</v>
      </c>
      <c r="F34403" s="2" t="str">
        <f>HYPERLINK("http://www.otzar.org/book.asp?143051","צפונות - א")</f>
        <v>צפונות - א</v>
      </c>
    </row>
    <row r="34404" spans="1:6" x14ac:dyDescent="0.2">
      <c r="A34404" t="s">
        <v>53360</v>
      </c>
      <c r="B34404" t="s">
        <v>1750</v>
      </c>
      <c r="C34404" t="s">
        <v>785</v>
      </c>
      <c r="D34404" t="s">
        <v>52</v>
      </c>
      <c r="E34404" t="s">
        <v>202</v>
      </c>
      <c r="F34404" s="2" t="str">
        <f>HYPERLINK("http://www.otzar.org/book.asp?106565","צפונות - 19 כר'")</f>
        <v>צפונות - 19 כר'</v>
      </c>
    </row>
    <row r="34405" spans="1:6" x14ac:dyDescent="0.2">
      <c r="A34405" t="s">
        <v>53361</v>
      </c>
      <c r="B34405" t="s">
        <v>53362</v>
      </c>
      <c r="C34405" t="s">
        <v>523</v>
      </c>
      <c r="D34405" t="s">
        <v>52</v>
      </c>
      <c r="E34405" t="s">
        <v>803</v>
      </c>
      <c r="F34405" s="2" t="str">
        <f>HYPERLINK("http://www.otzar.org/book.asp?53070","צפוני דודי - 2 כר'")</f>
        <v>צפוני דודי - 2 כר'</v>
      </c>
    </row>
    <row r="34406" spans="1:6" x14ac:dyDescent="0.2">
      <c r="A34406" t="s">
        <v>53363</v>
      </c>
      <c r="B34406" t="s">
        <v>53364</v>
      </c>
      <c r="C34406" t="s">
        <v>129</v>
      </c>
      <c r="D34406" t="s">
        <v>14</v>
      </c>
      <c r="E34406" t="s">
        <v>144</v>
      </c>
      <c r="F34406" s="2" t="str">
        <f>HYPERLINK("http://www.otzar.org/book.asp?142275","צפוני דעה - איזהו נשך")</f>
        <v>צפוני דעה - איזהו נשך</v>
      </c>
    </row>
    <row r="34407" spans="1:6" x14ac:dyDescent="0.2">
      <c r="A34407" t="s">
        <v>53365</v>
      </c>
      <c r="B34407" t="s">
        <v>15221</v>
      </c>
      <c r="C34407" t="s">
        <v>103</v>
      </c>
      <c r="D34407" t="s">
        <v>14</v>
      </c>
      <c r="E34407" t="s">
        <v>144</v>
      </c>
      <c r="F34407" s="2" t="str">
        <f>HYPERLINK("http://www.otzar.org/book.asp?51874","צפוני סוכה")</f>
        <v>צפוני סוכה</v>
      </c>
    </row>
    <row r="34408" spans="1:6" x14ac:dyDescent="0.2">
      <c r="A34408" t="s">
        <v>53366</v>
      </c>
      <c r="B34408" t="s">
        <v>53140</v>
      </c>
      <c r="C34408" t="s">
        <v>168</v>
      </c>
      <c r="D34408" t="s">
        <v>412</v>
      </c>
      <c r="E34408" t="s">
        <v>158</v>
      </c>
      <c r="F34408" s="2" t="str">
        <f>HYPERLINK("http://www.otzar.org/book.asp?172876","צפוני ציוני")</f>
        <v>צפוני ציוני</v>
      </c>
    </row>
    <row r="34409" spans="1:6" x14ac:dyDescent="0.2">
      <c r="A34409" t="s">
        <v>53367</v>
      </c>
      <c r="B34409" t="s">
        <v>206</v>
      </c>
      <c r="C34409" t="s">
        <v>103</v>
      </c>
      <c r="D34409" t="s">
        <v>2504</v>
      </c>
      <c r="F34409" s="2" t="str">
        <f>HYPERLINK("http://www.otzar.org/book.asp?192760","צפורי שמואל - מסכת קינים")</f>
        <v>צפורי שמואל - מסכת קינים</v>
      </c>
    </row>
    <row r="34410" spans="1:6" x14ac:dyDescent="0.2">
      <c r="A34410" t="s">
        <v>53368</v>
      </c>
      <c r="B34410" t="s">
        <v>1308</v>
      </c>
      <c r="C34410" t="s">
        <v>3709</v>
      </c>
      <c r="D34410" t="s">
        <v>1660</v>
      </c>
      <c r="F34410" s="2" t="str">
        <f>HYPERLINK("http://www.otzar.org/book.asp?169533","צפורן שמי""ר")</f>
        <v>צפורן שמי"ר</v>
      </c>
    </row>
    <row r="34411" spans="1:6" x14ac:dyDescent="0.2">
      <c r="A34411" t="s">
        <v>53369</v>
      </c>
      <c r="B34411" t="s">
        <v>1308</v>
      </c>
      <c r="C34411" t="s">
        <v>698</v>
      </c>
      <c r="D34411" t="s">
        <v>7894</v>
      </c>
      <c r="E34411" t="s">
        <v>15</v>
      </c>
      <c r="F34411" s="2" t="str">
        <f>HYPERLINK("http://www.otzar.org/book.asp?620391","צפורן שמיר")</f>
        <v>צפורן שמיר</v>
      </c>
    </row>
    <row r="34412" spans="1:6" x14ac:dyDescent="0.2">
      <c r="A34412" t="s">
        <v>53370</v>
      </c>
      <c r="B34412" t="s">
        <v>1750</v>
      </c>
      <c r="C34412" t="s">
        <v>1208</v>
      </c>
      <c r="D34412" t="s">
        <v>21</v>
      </c>
      <c r="E34412" t="s">
        <v>202</v>
      </c>
      <c r="F34412" s="2" t="str">
        <f>HYPERLINK("http://www.otzar.org/book.asp?195039","צפיה - ג")</f>
        <v>צפיה - ג</v>
      </c>
    </row>
    <row r="34413" spans="1:6" x14ac:dyDescent="0.2">
      <c r="A34413" t="s">
        <v>53371</v>
      </c>
      <c r="B34413" t="s">
        <v>53372</v>
      </c>
      <c r="C34413" t="s">
        <v>943</v>
      </c>
      <c r="D34413" t="s">
        <v>76</v>
      </c>
      <c r="E34413" t="s">
        <v>154</v>
      </c>
      <c r="F34413" s="2" t="str">
        <f>HYPERLINK("http://www.otzar.org/book.asp?101722","צפיחת בדבש")</f>
        <v>צפיחת בדבש</v>
      </c>
    </row>
    <row r="34414" spans="1:6" x14ac:dyDescent="0.2">
      <c r="A34414" t="s">
        <v>53373</v>
      </c>
      <c r="B34414" t="s">
        <v>776</v>
      </c>
      <c r="C34414" t="s">
        <v>237</v>
      </c>
      <c r="D34414" t="s">
        <v>27</v>
      </c>
      <c r="E34414" t="s">
        <v>241</v>
      </c>
      <c r="F34414" s="2" t="str">
        <f>HYPERLINK("http://www.otzar.org/book.asp?179226","צפירת חן")</f>
        <v>צפירת חן</v>
      </c>
    </row>
    <row r="34415" spans="1:6" x14ac:dyDescent="0.2">
      <c r="A34415" t="s">
        <v>53374</v>
      </c>
      <c r="B34415" t="s">
        <v>19166</v>
      </c>
      <c r="C34415" t="s">
        <v>989</v>
      </c>
      <c r="D34415" t="s">
        <v>14</v>
      </c>
      <c r="E34415" t="s">
        <v>3818</v>
      </c>
      <c r="F34415" s="2" t="str">
        <f>HYPERLINK("http://www.otzar.org/book.asp?148695","צפירת צדק")</f>
        <v>צפירת צדק</v>
      </c>
    </row>
    <row r="34416" spans="1:6" x14ac:dyDescent="0.2">
      <c r="A34416" t="s">
        <v>53375</v>
      </c>
      <c r="B34416" t="s">
        <v>19002</v>
      </c>
      <c r="C34416" t="s">
        <v>473</v>
      </c>
      <c r="D34416" t="s">
        <v>9</v>
      </c>
      <c r="E34416" t="s">
        <v>202</v>
      </c>
      <c r="F34416" s="2" t="str">
        <f>HYPERLINK("http://www.otzar.org/book.asp?179311","צפירת תפארה")</f>
        <v>צפירת תפארה</v>
      </c>
    </row>
    <row r="34417" spans="1:6" x14ac:dyDescent="0.2">
      <c r="A34417" t="s">
        <v>53375</v>
      </c>
      <c r="B34417" t="s">
        <v>6294</v>
      </c>
      <c r="C34417" t="s">
        <v>151</v>
      </c>
      <c r="D34417" t="s">
        <v>21</v>
      </c>
      <c r="E34417" t="s">
        <v>15</v>
      </c>
      <c r="F34417" s="2" t="str">
        <f>HYPERLINK("http://www.otzar.org/book.asp?621833","צפירת תפארה")</f>
        <v>צפירת תפארה</v>
      </c>
    </row>
    <row r="34418" spans="1:6" x14ac:dyDescent="0.2">
      <c r="A34418" t="s">
        <v>53376</v>
      </c>
      <c r="B34418" t="s">
        <v>1978</v>
      </c>
      <c r="C34418" t="s">
        <v>609</v>
      </c>
      <c r="D34418" t="s">
        <v>260</v>
      </c>
      <c r="E34418" t="s">
        <v>213</v>
      </c>
      <c r="F34418" s="2" t="str">
        <f>HYPERLINK("http://www.otzar.org/book.asp?19137","צפית לישועה - 2 כר'")</f>
        <v>צפית לישועה - 2 כר'</v>
      </c>
    </row>
    <row r="34419" spans="1:6" x14ac:dyDescent="0.2">
      <c r="A34419" t="s">
        <v>53377</v>
      </c>
      <c r="B34419" t="s">
        <v>53378</v>
      </c>
      <c r="C34419" t="s">
        <v>419</v>
      </c>
      <c r="D34419" t="s">
        <v>6853</v>
      </c>
      <c r="E34419" t="s">
        <v>172</v>
      </c>
      <c r="F34419" s="2" t="str">
        <f>HYPERLINK("http://www.otzar.org/book.asp?160155","צפנת אליהו - ביאור הגר""א להלכות נזקי ממון")</f>
        <v>צפנת אליהו - ביאור הגר"א להלכות נזקי ממון</v>
      </c>
    </row>
    <row r="34420" spans="1:6" x14ac:dyDescent="0.2">
      <c r="A34420" t="s">
        <v>53379</v>
      </c>
      <c r="B34420" t="s">
        <v>25582</v>
      </c>
      <c r="C34420" t="s">
        <v>422</v>
      </c>
      <c r="D34420" t="s">
        <v>152</v>
      </c>
      <c r="E34420" t="s">
        <v>158</v>
      </c>
      <c r="F34420" s="2" t="str">
        <f>HYPERLINK("http://www.otzar.org/book.asp?167815","צפנת פענח &lt;מהדורה חדשה&gt; - 5 כר'")</f>
        <v>צפנת פענח &lt;מהדורה חדשה&gt; - 5 כר'</v>
      </c>
    </row>
    <row r="34421" spans="1:6" x14ac:dyDescent="0.2">
      <c r="A34421" t="s">
        <v>53380</v>
      </c>
      <c r="B34421" t="s">
        <v>10989</v>
      </c>
      <c r="C34421" t="s">
        <v>1191</v>
      </c>
      <c r="D34421" t="s">
        <v>4364</v>
      </c>
      <c r="E34421" t="s">
        <v>1185</v>
      </c>
      <c r="F34421" s="2" t="str">
        <f>HYPERLINK("http://www.otzar.org/book.asp?53554","צפנת פענח &lt;דפו""ר&gt;")</f>
        <v>צפנת פענח &lt;דפו"ר&gt;</v>
      </c>
    </row>
    <row r="34422" spans="1:6" x14ac:dyDescent="0.2">
      <c r="A34422" t="s">
        <v>53381</v>
      </c>
      <c r="B34422" t="s">
        <v>10989</v>
      </c>
      <c r="C34422" t="s">
        <v>114</v>
      </c>
      <c r="D34422" t="s">
        <v>21</v>
      </c>
      <c r="E34422" t="s">
        <v>158</v>
      </c>
      <c r="F34422" s="2" t="str">
        <f>HYPERLINK("http://www.otzar.org/book.asp?191881","צפנת פענח &lt;מהדורה חדשה&gt; - 2 כר'")</f>
        <v>צפנת פענח &lt;מהדורה חדשה&gt; - 2 כר'</v>
      </c>
    </row>
    <row r="34423" spans="1:6" x14ac:dyDescent="0.2">
      <c r="A34423" t="s">
        <v>53382</v>
      </c>
      <c r="B34423" t="s">
        <v>53383</v>
      </c>
      <c r="C34423" t="s">
        <v>332</v>
      </c>
      <c r="D34423" t="s">
        <v>14</v>
      </c>
      <c r="E34423" t="s">
        <v>15</v>
      </c>
      <c r="F34423" s="2" t="str">
        <f>HYPERLINK("http://www.otzar.org/book.asp?170696","צפנת פענח &lt;העמק העיון&gt; - 2 כר'")</f>
        <v>צפנת פענח &lt;העמק העיון&gt; - 2 כר'</v>
      </c>
    </row>
    <row r="34424" spans="1:6" x14ac:dyDescent="0.2">
      <c r="A34424" t="s">
        <v>53384</v>
      </c>
      <c r="B34424" t="s">
        <v>17980</v>
      </c>
      <c r="C34424" t="s">
        <v>1160</v>
      </c>
      <c r="D34424" t="s">
        <v>14</v>
      </c>
      <c r="E34424" t="s">
        <v>1211</v>
      </c>
      <c r="F34424" s="2" t="str">
        <f>HYPERLINK("http://www.otzar.org/book.asp?149348","צפנת פענח &lt;כללי התורה והמצוות&gt; - 2 כר'")</f>
        <v>צפנת פענח &lt;כללי התורה והמצוות&gt; - 2 כר'</v>
      </c>
    </row>
    <row r="34425" spans="1:6" x14ac:dyDescent="0.2">
      <c r="A34425" t="s">
        <v>53385</v>
      </c>
      <c r="B34425" t="s">
        <v>17980</v>
      </c>
      <c r="C34425" t="s">
        <v>124</v>
      </c>
      <c r="D34425" t="s">
        <v>14</v>
      </c>
      <c r="E34425" t="s">
        <v>952</v>
      </c>
      <c r="F34425" s="2" t="str">
        <f>HYPERLINK("http://www.otzar.org/book.asp?12147","צפנת פענח &lt;כללי התורה והמצוות&gt; ג")</f>
        <v>צפנת פענח &lt;כללי התורה והמצוות&gt; ג</v>
      </c>
    </row>
    <row r="34426" spans="1:6" x14ac:dyDescent="0.2">
      <c r="A34426" t="s">
        <v>53386</v>
      </c>
      <c r="B34426" t="s">
        <v>17980</v>
      </c>
      <c r="C34426" t="s">
        <v>888</v>
      </c>
      <c r="D34426" t="s">
        <v>15324</v>
      </c>
      <c r="E34426" t="s">
        <v>15</v>
      </c>
      <c r="F34426" s="2" t="str">
        <f>HYPERLINK("http://www.otzar.org/book.asp?180056","צפנת פענח &lt;על הרמב""ם&gt; - 10 כר'")</f>
        <v>צפנת פענח &lt;על הרמב"ם&gt; - 10 כר'</v>
      </c>
    </row>
    <row r="34427" spans="1:6" x14ac:dyDescent="0.2">
      <c r="A34427" t="s">
        <v>53387</v>
      </c>
      <c r="B34427" t="s">
        <v>17980</v>
      </c>
      <c r="C34427" t="s">
        <v>1169</v>
      </c>
      <c r="D34427" t="s">
        <v>9</v>
      </c>
      <c r="E34427" t="s">
        <v>144</v>
      </c>
      <c r="F34427" s="2" t="str">
        <f>HYPERLINK("http://www.otzar.org/book.asp?150120","צפנת פענח &lt;על הש""ס&gt; - 6 כר'")</f>
        <v>צפנת פענח &lt;על הש"ס&gt; - 6 כר'</v>
      </c>
    </row>
    <row r="34428" spans="1:6" x14ac:dyDescent="0.2">
      <c r="A34428" t="s">
        <v>53388</v>
      </c>
      <c r="B34428" t="s">
        <v>17980</v>
      </c>
      <c r="C34428" t="s">
        <v>68</v>
      </c>
      <c r="D34428" t="s">
        <v>152</v>
      </c>
      <c r="E34428" t="s">
        <v>154</v>
      </c>
      <c r="F34428" s="2" t="str">
        <f>HYPERLINK("http://www.otzar.org/book.asp?183150","צפנת פענח &lt;שו""ת החדשות&gt; - 3 כר'")</f>
        <v>צפנת פענח &lt;שו"ת החדשות&gt; - 3 כר'</v>
      </c>
    </row>
    <row r="34429" spans="1:6" x14ac:dyDescent="0.2">
      <c r="A34429" t="s">
        <v>53389</v>
      </c>
      <c r="B34429" t="s">
        <v>17980</v>
      </c>
      <c r="C34429" t="s">
        <v>2312</v>
      </c>
      <c r="D34429" t="s">
        <v>283</v>
      </c>
      <c r="E34429" t="s">
        <v>154</v>
      </c>
      <c r="F34429" s="2" t="str">
        <f>HYPERLINK("http://www.otzar.org/book.asp?6540","צפנת פענח &lt;שו""ת&gt; - 4 כר'")</f>
        <v>צפנת פענח &lt;שו"ת&gt; - 4 כר'</v>
      </c>
    </row>
    <row r="34430" spans="1:6" x14ac:dyDescent="0.2">
      <c r="A34430" t="s">
        <v>53390</v>
      </c>
      <c r="B34430" t="s">
        <v>53391</v>
      </c>
      <c r="C34430" t="s">
        <v>20</v>
      </c>
      <c r="D34430" t="s">
        <v>1356</v>
      </c>
      <c r="E34430" t="s">
        <v>15</v>
      </c>
      <c r="F34430" s="2" t="str">
        <f>HYPERLINK("http://www.otzar.org/book.asp?165530","צפנת פענח המבואר - 3 כר'")</f>
        <v>צפנת פענח המבואר - 3 כר'</v>
      </c>
    </row>
    <row r="34431" spans="1:6" x14ac:dyDescent="0.2">
      <c r="A34431" t="s">
        <v>53392</v>
      </c>
      <c r="B34431" t="s">
        <v>31772</v>
      </c>
      <c r="C34431" t="s">
        <v>37</v>
      </c>
      <c r="D34431" t="s">
        <v>412</v>
      </c>
      <c r="E34431" t="s">
        <v>104</v>
      </c>
      <c r="F34431" s="2" t="str">
        <f>HYPERLINK("http://www.otzar.org/book.asp?180961","צפנת פענח חדש &lt;מהדורה חדשה&gt;")</f>
        <v>צפנת פענח חדש &lt;מהדורה חדשה&gt;</v>
      </c>
    </row>
    <row r="34432" spans="1:6" x14ac:dyDescent="0.2">
      <c r="A34432" t="s">
        <v>53393</v>
      </c>
      <c r="B34432" t="s">
        <v>31772</v>
      </c>
      <c r="C34432" t="s">
        <v>1832</v>
      </c>
      <c r="D34432" t="s">
        <v>1833</v>
      </c>
      <c r="E34432" t="s">
        <v>234</v>
      </c>
      <c r="F34432" s="2" t="str">
        <f>HYPERLINK("http://www.otzar.org/book.asp?145434","צפנת פענח חדש - 2 כר'")</f>
        <v>צפנת פענח חדש - 2 כר'</v>
      </c>
    </row>
    <row r="34433" spans="1:6" x14ac:dyDescent="0.2">
      <c r="A34433" t="s">
        <v>53394</v>
      </c>
      <c r="B34433" t="s">
        <v>17980</v>
      </c>
      <c r="C34433" t="s">
        <v>53395</v>
      </c>
      <c r="D34433" t="s">
        <v>9</v>
      </c>
      <c r="E34433" t="s">
        <v>158</v>
      </c>
      <c r="F34433" s="2" t="str">
        <f>HYPERLINK("http://www.otzar.org/book.asp?149343","צפנת פענח על התורה - 5 כר'")</f>
        <v>צפנת פענח על התורה - 5 כר'</v>
      </c>
    </row>
    <row r="34434" spans="1:6" x14ac:dyDescent="0.2">
      <c r="A34434" t="s">
        <v>53396</v>
      </c>
      <c r="B34434" t="s">
        <v>53397</v>
      </c>
      <c r="C34434" t="s">
        <v>422</v>
      </c>
      <c r="D34434" t="s">
        <v>721</v>
      </c>
      <c r="E34434" t="s">
        <v>399</v>
      </c>
      <c r="F34434" s="2" t="str">
        <f>HYPERLINK("http://www.otzar.org/book.asp?174480","צפנת פענח")</f>
        <v>צפנת פענח</v>
      </c>
    </row>
    <row r="34435" spans="1:6" x14ac:dyDescent="0.2">
      <c r="A34435" t="s">
        <v>53396</v>
      </c>
      <c r="B34435" t="s">
        <v>53398</v>
      </c>
      <c r="C34435" t="s">
        <v>1458</v>
      </c>
      <c r="D34435" t="s">
        <v>5211</v>
      </c>
      <c r="E34435" t="s">
        <v>9092</v>
      </c>
      <c r="F34435" s="2" t="str">
        <f>HYPERLINK("http://www.otzar.org/book.asp?23479","צפנת פענח")</f>
        <v>צפנת פענח</v>
      </c>
    </row>
    <row r="34436" spans="1:6" x14ac:dyDescent="0.2">
      <c r="A34436" t="s">
        <v>53399</v>
      </c>
      <c r="B34436" t="s">
        <v>686</v>
      </c>
      <c r="C34436" t="s">
        <v>133</v>
      </c>
      <c r="D34436" t="s">
        <v>52</v>
      </c>
      <c r="E34436" t="s">
        <v>1164</v>
      </c>
      <c r="F34436" s="2" t="str">
        <f>HYPERLINK("http://www.otzar.org/book.asp?172204","צפנת פענח - באור פניך")</f>
        <v>צפנת פענח - באור פניך</v>
      </c>
    </row>
    <row r="34437" spans="1:6" x14ac:dyDescent="0.2">
      <c r="A34437" t="s">
        <v>53400</v>
      </c>
      <c r="B34437" t="s">
        <v>53401</v>
      </c>
      <c r="C34437" t="s">
        <v>558</v>
      </c>
      <c r="D34437" t="s">
        <v>1117</v>
      </c>
      <c r="E34437" t="s">
        <v>158</v>
      </c>
      <c r="F34437" s="2" t="str">
        <f>HYPERLINK("http://www.otzar.org/book.asp?28306","צפנת פענח - 2 כר'")</f>
        <v>צפנת פענח - 2 כר'</v>
      </c>
    </row>
    <row r="34438" spans="1:6" x14ac:dyDescent="0.2">
      <c r="A34438" t="s">
        <v>53402</v>
      </c>
      <c r="B34438" t="s">
        <v>25582</v>
      </c>
      <c r="C34438" t="s">
        <v>11974</v>
      </c>
      <c r="D34438" t="s">
        <v>49</v>
      </c>
      <c r="F34438" s="2" t="str">
        <f>HYPERLINK("http://www.otzar.org/book.asp?170278","צפנת פענח - 3 כר'")</f>
        <v>צפנת פענח - 3 כר'</v>
      </c>
    </row>
    <row r="34439" spans="1:6" x14ac:dyDescent="0.2">
      <c r="A34439" t="s">
        <v>53400</v>
      </c>
      <c r="B34439" t="s">
        <v>10989</v>
      </c>
      <c r="C34439" t="s">
        <v>1191</v>
      </c>
      <c r="D34439" t="s">
        <v>4364</v>
      </c>
      <c r="E34439" t="s">
        <v>158</v>
      </c>
      <c r="F34439" s="2" t="str">
        <f>HYPERLINK("http://www.otzar.org/book.asp?105805","צפנת פענח - 2 כר'")</f>
        <v>צפנת פענח - 2 כר'</v>
      </c>
    </row>
    <row r="34440" spans="1:6" x14ac:dyDescent="0.2">
      <c r="A34440" t="s">
        <v>53396</v>
      </c>
      <c r="B34440" t="s">
        <v>13729</v>
      </c>
      <c r="C34440" t="s">
        <v>1458</v>
      </c>
      <c r="D34440" t="s">
        <v>1365</v>
      </c>
      <c r="E34440" t="s">
        <v>5580</v>
      </c>
      <c r="F34440" s="2" t="str">
        <f>HYPERLINK("http://www.otzar.org/book.asp?625990","צפנת פענח")</f>
        <v>צפנת פענח</v>
      </c>
    </row>
    <row r="34441" spans="1:6" x14ac:dyDescent="0.2">
      <c r="A34441" t="s">
        <v>53396</v>
      </c>
      <c r="B34441" t="s">
        <v>53403</v>
      </c>
      <c r="C34441" t="s">
        <v>5156</v>
      </c>
      <c r="D34441" t="s">
        <v>49</v>
      </c>
      <c r="E34441" t="s">
        <v>957</v>
      </c>
      <c r="F34441" s="2" t="str">
        <f>HYPERLINK("http://www.otzar.org/book.asp?151521","צפנת פענח")</f>
        <v>צפנת פענח</v>
      </c>
    </row>
    <row r="34442" spans="1:6" x14ac:dyDescent="0.2">
      <c r="A34442" t="s">
        <v>53396</v>
      </c>
      <c r="B34442" t="s">
        <v>8038</v>
      </c>
      <c r="C34442" t="s">
        <v>114</v>
      </c>
      <c r="D34442" t="s">
        <v>1974</v>
      </c>
      <c r="E34442" t="s">
        <v>674</v>
      </c>
      <c r="F34442" s="2" t="str">
        <f>HYPERLINK("http://www.otzar.org/book.asp?624667","צפנת פענח")</f>
        <v>צפנת פענח</v>
      </c>
    </row>
    <row r="34443" spans="1:6" x14ac:dyDescent="0.2">
      <c r="A34443" t="s">
        <v>53396</v>
      </c>
      <c r="B34443" t="s">
        <v>41152</v>
      </c>
      <c r="C34443" t="s">
        <v>5163</v>
      </c>
      <c r="D34443" t="s">
        <v>974</v>
      </c>
      <c r="E34443" t="s">
        <v>15</v>
      </c>
      <c r="F34443" s="2" t="str">
        <f>HYPERLINK("http://www.otzar.org/book.asp?144612","צפנת פענח")</f>
        <v>צפנת פענח</v>
      </c>
    </row>
    <row r="34444" spans="1:6" x14ac:dyDescent="0.2">
      <c r="A34444" t="s">
        <v>53400</v>
      </c>
      <c r="B34444" t="s">
        <v>17980</v>
      </c>
      <c r="C34444" t="s">
        <v>37</v>
      </c>
      <c r="D34444" t="s">
        <v>14</v>
      </c>
      <c r="E34444" t="s">
        <v>15</v>
      </c>
      <c r="F34444" s="2" t="str">
        <f>HYPERLINK("http://www.otzar.org/book.asp?182394","צפנת פענח - 2 כר'")</f>
        <v>צפנת פענח - 2 כר'</v>
      </c>
    </row>
    <row r="34445" spans="1:6" x14ac:dyDescent="0.2">
      <c r="A34445" t="s">
        <v>53400</v>
      </c>
      <c r="B34445" t="s">
        <v>53404</v>
      </c>
      <c r="C34445" t="s">
        <v>1458</v>
      </c>
      <c r="D34445" t="s">
        <v>283</v>
      </c>
      <c r="E34445" t="s">
        <v>104</v>
      </c>
      <c r="F34445" s="2" t="str">
        <f>HYPERLINK("http://www.otzar.org/book.asp?25333","צפנת פענח - 2 כר'")</f>
        <v>צפנת פענח - 2 כר'</v>
      </c>
    </row>
    <row r="34446" spans="1:6" x14ac:dyDescent="0.2">
      <c r="A34446" t="s">
        <v>53396</v>
      </c>
      <c r="B34446" t="s">
        <v>2908</v>
      </c>
      <c r="C34446" t="s">
        <v>180</v>
      </c>
      <c r="D34446" t="s">
        <v>14</v>
      </c>
      <c r="E34446" t="s">
        <v>1185</v>
      </c>
      <c r="F34446" s="2" t="str">
        <f>HYPERLINK("http://www.otzar.org/book.asp?7854","צפנת פענח")</f>
        <v>צפנת פענח</v>
      </c>
    </row>
    <row r="34447" spans="1:6" x14ac:dyDescent="0.2">
      <c r="A34447" t="s">
        <v>53405</v>
      </c>
      <c r="B34447" t="s">
        <v>7220</v>
      </c>
      <c r="C34447" t="s">
        <v>176</v>
      </c>
      <c r="D34447" t="s">
        <v>52</v>
      </c>
      <c r="E34447" t="s">
        <v>158</v>
      </c>
      <c r="F34447" s="2" t="str">
        <f>HYPERLINK("http://www.otzar.org/book.asp?148276","צרופה אמרתך")</f>
        <v>צרופה אמרתך</v>
      </c>
    </row>
    <row r="34448" spans="1:6" x14ac:dyDescent="0.2">
      <c r="A34448" t="s">
        <v>53405</v>
      </c>
      <c r="B34448" t="s">
        <v>686</v>
      </c>
      <c r="C34448" t="s">
        <v>129</v>
      </c>
      <c r="D34448" t="s">
        <v>52</v>
      </c>
      <c r="E34448" t="s">
        <v>1262</v>
      </c>
      <c r="F34448" s="2" t="str">
        <f>HYPERLINK("http://www.otzar.org/book.asp?60733","צרופה אמרתך")</f>
        <v>צרופה אמרתך</v>
      </c>
    </row>
    <row r="34449" spans="1:6" x14ac:dyDescent="0.2">
      <c r="A34449" t="s">
        <v>53406</v>
      </c>
      <c r="B34449" t="s">
        <v>53407</v>
      </c>
      <c r="C34449" t="s">
        <v>466</v>
      </c>
      <c r="D34449" t="s">
        <v>52</v>
      </c>
      <c r="E34449" t="s">
        <v>130</v>
      </c>
      <c r="F34449" s="2" t="str">
        <f>HYPERLINK("http://www.otzar.org/book.asp?83740","צרופה אמרתך - 4 כר'")</f>
        <v>צרופה אמרתך - 4 כר'</v>
      </c>
    </row>
    <row r="34450" spans="1:6" x14ac:dyDescent="0.2">
      <c r="A34450" t="s">
        <v>53408</v>
      </c>
      <c r="B34450" t="s">
        <v>11457</v>
      </c>
      <c r="C34450" t="s">
        <v>1160</v>
      </c>
      <c r="D34450" t="s">
        <v>52</v>
      </c>
      <c r="E34450" t="s">
        <v>733</v>
      </c>
      <c r="F34450" s="2" t="str">
        <f>HYPERLINK("http://www.otzar.org/book.asp?604321","צרור בושם")</f>
        <v>צרור בושם</v>
      </c>
    </row>
    <row r="34451" spans="1:6" x14ac:dyDescent="0.2">
      <c r="A34451" t="s">
        <v>53409</v>
      </c>
      <c r="B34451" t="s">
        <v>1750</v>
      </c>
      <c r="C34451" t="s">
        <v>20</v>
      </c>
      <c r="D34451" t="s">
        <v>486</v>
      </c>
      <c r="E34451" t="s">
        <v>202</v>
      </c>
      <c r="F34451" s="2" t="str">
        <f>HYPERLINK("http://www.otzar.org/book.asp?61626","צרור הבשם - ט")</f>
        <v>צרור הבשם - ט</v>
      </c>
    </row>
    <row r="34452" spans="1:6" x14ac:dyDescent="0.2">
      <c r="A34452" t="s">
        <v>53410</v>
      </c>
      <c r="B34452" t="s">
        <v>53411</v>
      </c>
      <c r="C34452" t="s">
        <v>143</v>
      </c>
      <c r="D34452" t="s">
        <v>52</v>
      </c>
      <c r="E34452" t="s">
        <v>53412</v>
      </c>
      <c r="F34452" s="2" t="str">
        <f>HYPERLINK("http://www.otzar.org/book.asp?9664","צרור החיים המבואר")</f>
        <v>צרור החיים המבואר</v>
      </c>
    </row>
    <row r="34453" spans="1:6" x14ac:dyDescent="0.2">
      <c r="A34453" t="s">
        <v>53413</v>
      </c>
      <c r="B34453" t="s">
        <v>53414</v>
      </c>
      <c r="C34453" t="s">
        <v>103</v>
      </c>
      <c r="D34453" t="s">
        <v>14</v>
      </c>
      <c r="E34453" t="s">
        <v>144</v>
      </c>
      <c r="F34453" s="2" t="str">
        <f>HYPERLINK("http://www.otzar.org/book.asp?61596","צרור החיים השלם - 2 כר'")</f>
        <v>צרור החיים השלם - 2 כר'</v>
      </c>
    </row>
    <row r="34454" spans="1:6" x14ac:dyDescent="0.2">
      <c r="A34454" t="s">
        <v>53415</v>
      </c>
      <c r="B34454" t="s">
        <v>18683</v>
      </c>
      <c r="C34454" t="s">
        <v>725</v>
      </c>
      <c r="D34454" t="s">
        <v>27</v>
      </c>
      <c r="E34454" t="s">
        <v>24</v>
      </c>
      <c r="F34454" s="2" t="str">
        <f>HYPERLINK("http://www.otzar.org/book.asp?5646","צרור החיים")</f>
        <v>צרור החיים</v>
      </c>
    </row>
    <row r="34455" spans="1:6" x14ac:dyDescent="0.2">
      <c r="A34455" t="s">
        <v>53416</v>
      </c>
      <c r="B34455" t="s">
        <v>1540</v>
      </c>
      <c r="C34455" t="s">
        <v>41</v>
      </c>
      <c r="D34455" t="s">
        <v>12235</v>
      </c>
      <c r="F34455" s="2" t="str">
        <f>HYPERLINK("http://www.otzar.org/book.asp?152765","צרור החיים - 2 כר'")</f>
        <v>צרור החיים - 2 כר'</v>
      </c>
    </row>
    <row r="34456" spans="1:6" x14ac:dyDescent="0.2">
      <c r="A34456" t="s">
        <v>53415</v>
      </c>
      <c r="B34456" t="s">
        <v>53417</v>
      </c>
      <c r="C34456" t="s">
        <v>63</v>
      </c>
      <c r="D34456" t="s">
        <v>14</v>
      </c>
      <c r="E34456" t="s">
        <v>41132</v>
      </c>
      <c r="F34456" s="2" t="str">
        <f>HYPERLINK("http://www.otzar.org/book.asp?8234","צרור החיים")</f>
        <v>צרור החיים</v>
      </c>
    </row>
    <row r="34457" spans="1:6" x14ac:dyDescent="0.2">
      <c r="A34457" t="s">
        <v>53418</v>
      </c>
      <c r="B34457" t="s">
        <v>53419</v>
      </c>
      <c r="C34457" t="s">
        <v>4462</v>
      </c>
      <c r="D34457" t="s">
        <v>60</v>
      </c>
      <c r="E34457" t="s">
        <v>15</v>
      </c>
      <c r="F34457" s="2" t="str">
        <f>HYPERLINK("http://www.otzar.org/book.asp?101569","צרור החיים - 4 כר'")</f>
        <v>צרור החיים - 4 כר'</v>
      </c>
    </row>
    <row r="34458" spans="1:6" x14ac:dyDescent="0.2">
      <c r="A34458" t="s">
        <v>53415</v>
      </c>
      <c r="B34458" t="s">
        <v>46530</v>
      </c>
      <c r="C34458" t="s">
        <v>4348</v>
      </c>
      <c r="D34458" t="s">
        <v>729</v>
      </c>
      <c r="E34458" t="s">
        <v>15</v>
      </c>
      <c r="F34458" s="2" t="str">
        <f>HYPERLINK("http://www.otzar.org/book.asp?101723","צרור החיים")</f>
        <v>צרור החיים</v>
      </c>
    </row>
    <row r="34459" spans="1:6" x14ac:dyDescent="0.2">
      <c r="A34459" t="s">
        <v>53416</v>
      </c>
      <c r="B34459" t="s">
        <v>53420</v>
      </c>
      <c r="C34459" t="s">
        <v>5169</v>
      </c>
      <c r="D34459" t="s">
        <v>1023</v>
      </c>
      <c r="E34459" t="s">
        <v>30944</v>
      </c>
      <c r="F34459" s="2" t="str">
        <f>HYPERLINK("http://www.otzar.org/book.asp?102158","צרור החיים - 2 כר'")</f>
        <v>צרור החיים - 2 כר'</v>
      </c>
    </row>
    <row r="34460" spans="1:6" x14ac:dyDescent="0.2">
      <c r="A34460" t="s">
        <v>53415</v>
      </c>
      <c r="B34460" t="s">
        <v>7725</v>
      </c>
      <c r="C34460" t="s">
        <v>1166</v>
      </c>
      <c r="D34460" t="s">
        <v>691</v>
      </c>
      <c r="E34460" t="s">
        <v>140</v>
      </c>
      <c r="F34460" s="2" t="str">
        <f>HYPERLINK("http://www.otzar.org/book.asp?200322","צרור החיים")</f>
        <v>צרור החיים</v>
      </c>
    </row>
    <row r="34461" spans="1:6" x14ac:dyDescent="0.2">
      <c r="A34461" t="s">
        <v>53415</v>
      </c>
      <c r="B34461" t="s">
        <v>32266</v>
      </c>
      <c r="C34461" t="s">
        <v>473</v>
      </c>
      <c r="D34461" t="s">
        <v>283</v>
      </c>
      <c r="E34461" t="s">
        <v>6975</v>
      </c>
      <c r="F34461" s="2" t="str">
        <f>HYPERLINK("http://www.otzar.org/book.asp?162426","צרור החיים")</f>
        <v>צרור החיים</v>
      </c>
    </row>
    <row r="34462" spans="1:6" x14ac:dyDescent="0.2">
      <c r="A34462" t="s">
        <v>53415</v>
      </c>
      <c r="B34462" t="s">
        <v>53415</v>
      </c>
      <c r="C34462" t="s">
        <v>454</v>
      </c>
      <c r="D34462" t="s">
        <v>14</v>
      </c>
      <c r="E34462" t="s">
        <v>24</v>
      </c>
      <c r="F34462" s="2" t="str">
        <f>HYPERLINK("http://www.otzar.org/book.asp?105987","צרור החיים")</f>
        <v>צרור החיים</v>
      </c>
    </row>
    <row r="34463" spans="1:6" x14ac:dyDescent="0.2">
      <c r="A34463" t="s">
        <v>53415</v>
      </c>
      <c r="B34463" t="s">
        <v>53411</v>
      </c>
      <c r="C34463" t="s">
        <v>1124</v>
      </c>
      <c r="D34463" t="s">
        <v>379</v>
      </c>
      <c r="E34463" t="s">
        <v>53421</v>
      </c>
      <c r="F34463" s="2" t="str">
        <f>HYPERLINK("http://www.otzar.org/book.asp?1021","צרור החיים")</f>
        <v>צרור החיים</v>
      </c>
    </row>
    <row r="34464" spans="1:6" x14ac:dyDescent="0.2">
      <c r="A34464" t="s">
        <v>53415</v>
      </c>
      <c r="B34464" t="s">
        <v>53422</v>
      </c>
      <c r="C34464" t="s">
        <v>1058</v>
      </c>
      <c r="D34464" t="s">
        <v>212</v>
      </c>
      <c r="E34464" t="s">
        <v>24238</v>
      </c>
      <c r="F34464" s="2" t="str">
        <f>HYPERLINK("http://www.otzar.org/book.asp?20571","צרור החיים")</f>
        <v>צרור החיים</v>
      </c>
    </row>
    <row r="34465" spans="1:6" x14ac:dyDescent="0.2">
      <c r="A34465" t="s">
        <v>53423</v>
      </c>
      <c r="B34465" t="s">
        <v>53424</v>
      </c>
      <c r="C34465" t="s">
        <v>1388</v>
      </c>
      <c r="D34465" t="s">
        <v>412</v>
      </c>
      <c r="E34465" t="s">
        <v>674</v>
      </c>
      <c r="F34465" s="2" t="str">
        <f>HYPERLINK("http://www.otzar.org/book.asp?62268","צרור הכסף")</f>
        <v>צרור הכסף</v>
      </c>
    </row>
    <row r="34466" spans="1:6" x14ac:dyDescent="0.2">
      <c r="A34466" t="s">
        <v>53423</v>
      </c>
      <c r="B34466" t="s">
        <v>27747</v>
      </c>
      <c r="C34466" t="s">
        <v>2213</v>
      </c>
      <c r="D34466" t="s">
        <v>76</v>
      </c>
      <c r="E34466" t="s">
        <v>2840</v>
      </c>
      <c r="F34466" s="2" t="str">
        <f>HYPERLINK("http://www.otzar.org/book.asp?20572","צרור הכסף")</f>
        <v>צרור הכסף</v>
      </c>
    </row>
    <row r="34467" spans="1:6" x14ac:dyDescent="0.2">
      <c r="A34467" t="s">
        <v>53425</v>
      </c>
      <c r="B34467" t="s">
        <v>7978</v>
      </c>
      <c r="C34467" t="s">
        <v>30887</v>
      </c>
      <c r="D34467" t="s">
        <v>49</v>
      </c>
      <c r="E34467" t="s">
        <v>158</v>
      </c>
      <c r="F34467" s="2" t="str">
        <f>HYPERLINK("http://www.otzar.org/book.asp?104259","צרור המור - 2 כר'")</f>
        <v>צרור המור - 2 כר'</v>
      </c>
    </row>
    <row r="34468" spans="1:6" x14ac:dyDescent="0.2">
      <c r="A34468" t="s">
        <v>53426</v>
      </c>
      <c r="B34468" t="s">
        <v>53427</v>
      </c>
      <c r="C34468" t="s">
        <v>146</v>
      </c>
      <c r="D34468" t="s">
        <v>14</v>
      </c>
      <c r="E34468" t="s">
        <v>144</v>
      </c>
      <c r="F34468" s="2" t="str">
        <f>HYPERLINK("http://www.otzar.org/book.asp?84294","צרור המור")</f>
        <v>צרור המור</v>
      </c>
    </row>
    <row r="34469" spans="1:6" x14ac:dyDescent="0.2">
      <c r="A34469" t="s">
        <v>53428</v>
      </c>
      <c r="B34469" t="s">
        <v>686</v>
      </c>
      <c r="C34469" t="s">
        <v>129</v>
      </c>
      <c r="D34469" t="s">
        <v>52</v>
      </c>
      <c r="E34469" t="s">
        <v>1262</v>
      </c>
      <c r="F34469" s="2" t="str">
        <f>HYPERLINK("http://www.otzar.org/book.asp?60736","צרור המר")</f>
        <v>צרור המר</v>
      </c>
    </row>
    <row r="34470" spans="1:6" x14ac:dyDescent="0.2">
      <c r="A34470" t="s">
        <v>53429</v>
      </c>
      <c r="B34470" t="s">
        <v>53430</v>
      </c>
      <c r="C34470" t="s">
        <v>454</v>
      </c>
      <c r="D34470" t="s">
        <v>14</v>
      </c>
      <c r="E34470" t="s">
        <v>158</v>
      </c>
      <c r="F34470" s="2" t="str">
        <f>HYPERLINK("http://www.otzar.org/book.asp?188884","צרור חיבורי קדמונים על ספר איוב")</f>
        <v>צרור חיבורי קדמונים על ספר איוב</v>
      </c>
    </row>
    <row r="34471" spans="1:6" x14ac:dyDescent="0.2">
      <c r="A34471" t="s">
        <v>53431</v>
      </c>
      <c r="B34471" t="s">
        <v>53432</v>
      </c>
      <c r="C34471" t="s">
        <v>12905</v>
      </c>
      <c r="D34471" t="s">
        <v>27</v>
      </c>
      <c r="E34471" t="s">
        <v>202</v>
      </c>
      <c r="F34471" s="2" t="str">
        <f>HYPERLINK("http://www.otzar.org/book.asp?145153","צרור ידיעות (בטאון הרב)")</f>
        <v>צרור ידיעות (בטאון הרב)</v>
      </c>
    </row>
    <row r="34472" spans="1:6" x14ac:dyDescent="0.2">
      <c r="A34472" t="s">
        <v>53433</v>
      </c>
      <c r="B34472" t="s">
        <v>53434</v>
      </c>
      <c r="C34472" t="s">
        <v>6054</v>
      </c>
      <c r="D34472" t="s">
        <v>1654</v>
      </c>
      <c r="E34472" t="s">
        <v>104</v>
      </c>
      <c r="F34472" s="2" t="str">
        <f>HYPERLINK("http://www.otzar.org/book.asp?606904","צרור ספורים")</f>
        <v>צרור ספורים</v>
      </c>
    </row>
    <row r="34473" spans="1:6" x14ac:dyDescent="0.2">
      <c r="A34473" t="s">
        <v>53435</v>
      </c>
      <c r="B34473" t="s">
        <v>732</v>
      </c>
      <c r="C34473" t="s">
        <v>1535</v>
      </c>
      <c r="D34473" t="s">
        <v>27</v>
      </c>
      <c r="F34473" s="2" t="str">
        <f>HYPERLINK("http://www.otzar.org/book.asp?188663","צרור פרחים (ר' יחיאל מיכל פינס)")</f>
        <v>צרור פרחים (ר' יחיאל מיכל פינס)</v>
      </c>
    </row>
    <row r="34474" spans="1:6" x14ac:dyDescent="0.2">
      <c r="A34474" t="s">
        <v>53436</v>
      </c>
      <c r="B34474" t="s">
        <v>732</v>
      </c>
      <c r="C34474" t="s">
        <v>908</v>
      </c>
      <c r="D34474" t="s">
        <v>27</v>
      </c>
      <c r="E34474" t="s">
        <v>202</v>
      </c>
      <c r="F34474" s="2" t="str">
        <f>HYPERLINK("http://www.otzar.org/book.asp?188665","צרור פרחים (ר' יחיאל צבי צימירינסקי)")</f>
        <v>צרור פרחים (ר' יחיאל צבי צימירינסקי)</v>
      </c>
    </row>
    <row r="34475" spans="1:6" x14ac:dyDescent="0.2">
      <c r="A34475" t="s">
        <v>53437</v>
      </c>
      <c r="B34475" t="s">
        <v>732</v>
      </c>
      <c r="C34475" t="s">
        <v>1535</v>
      </c>
      <c r="D34475" t="s">
        <v>27</v>
      </c>
      <c r="E34475" t="s">
        <v>1697</v>
      </c>
      <c r="F34475" s="2" t="str">
        <f>HYPERLINK("http://www.otzar.org/book.asp?188664","צרור פרחים (ר' יעקב גולדמן)")</f>
        <v>צרור פרחים (ר' יעקב גולדמן)</v>
      </c>
    </row>
    <row r="34476" spans="1:6" x14ac:dyDescent="0.2">
      <c r="A34476" t="s">
        <v>53438</v>
      </c>
      <c r="B34476" t="s">
        <v>2398</v>
      </c>
      <c r="C34476" t="s">
        <v>1448</v>
      </c>
      <c r="D34476" t="s">
        <v>14</v>
      </c>
      <c r="E34476" t="s">
        <v>219</v>
      </c>
      <c r="F34476" s="2" t="str">
        <f>HYPERLINK("http://www.otzar.org/book.asp?13289","צרורה לאלעזר")</f>
        <v>צרורה לאלעזר</v>
      </c>
    </row>
    <row r="34477" spans="1:6" x14ac:dyDescent="0.2">
      <c r="A34477" t="s">
        <v>53439</v>
      </c>
      <c r="B34477" t="s">
        <v>1457</v>
      </c>
      <c r="C34477" t="s">
        <v>635</v>
      </c>
      <c r="D34477" t="s">
        <v>283</v>
      </c>
      <c r="E34477" t="s">
        <v>234</v>
      </c>
      <c r="F34477" s="2" t="str">
        <f>HYPERLINK("http://www.otzar.org/book.asp?968","צרי היגון - 2 כר'")</f>
        <v>צרי היגון - 2 כר'</v>
      </c>
    </row>
    <row r="34478" spans="1:6" x14ac:dyDescent="0.2">
      <c r="A34478" t="s">
        <v>53440</v>
      </c>
      <c r="B34478" t="s">
        <v>39841</v>
      </c>
      <c r="C34478" t="s">
        <v>334</v>
      </c>
      <c r="D34478" t="s">
        <v>14</v>
      </c>
      <c r="E34478" t="s">
        <v>154</v>
      </c>
      <c r="F34478" s="2" t="str">
        <f>HYPERLINK("http://www.otzar.org/book.asp?144692","צרי לנפש יפה")</f>
        <v>צרי לנפש יפה</v>
      </c>
    </row>
    <row r="34479" spans="1:6" x14ac:dyDescent="0.2">
      <c r="A34479" t="s">
        <v>53441</v>
      </c>
      <c r="B34479" t="s">
        <v>53442</v>
      </c>
      <c r="C34479" t="s">
        <v>17</v>
      </c>
      <c r="D34479" t="s">
        <v>52</v>
      </c>
      <c r="E34479" t="s">
        <v>564</v>
      </c>
      <c r="F34479" s="2" t="str">
        <f>HYPERLINK("http://www.otzar.org/book.asp?606255","צרי לנפש")</f>
        <v>צרי לנפש</v>
      </c>
    </row>
    <row r="34480" spans="1:6" x14ac:dyDescent="0.2">
      <c r="A34480" t="s">
        <v>53443</v>
      </c>
      <c r="B34480" t="s">
        <v>32253</v>
      </c>
      <c r="C34480" t="s">
        <v>5903</v>
      </c>
      <c r="D34480" t="s">
        <v>53444</v>
      </c>
      <c r="E34480" t="s">
        <v>15</v>
      </c>
      <c r="F34480" s="2" t="str">
        <f>HYPERLINK("http://www.otzar.org/book.asp?153062","צרכי חופה ומילה")</f>
        <v>צרכי חופה ומילה</v>
      </c>
    </row>
    <row r="34481" spans="1:6" x14ac:dyDescent="0.2">
      <c r="A34481" t="s">
        <v>53445</v>
      </c>
      <c r="B34481" t="s">
        <v>53446</v>
      </c>
      <c r="C34481" t="s">
        <v>103</v>
      </c>
      <c r="D34481" t="s">
        <v>1356</v>
      </c>
      <c r="E34481" t="s">
        <v>579</v>
      </c>
      <c r="F34481" s="2" t="str">
        <f>HYPERLINK("http://www.otzar.org/book.asp?63311","ק""ן טעמים - פרפראות בטעם פזר")</f>
        <v>ק"ן טעמים - פרפראות בטעם פזר</v>
      </c>
    </row>
    <row r="34482" spans="1:6" x14ac:dyDescent="0.2">
      <c r="A34482" t="s">
        <v>53447</v>
      </c>
      <c r="B34482" t="s">
        <v>599</v>
      </c>
      <c r="C34482" t="s">
        <v>1284</v>
      </c>
      <c r="D34482" t="s">
        <v>1801</v>
      </c>
      <c r="F34482" s="2" t="str">
        <f>HYPERLINK("http://www.otzar.org/book.asp?152763","קאנון אל נסא")</f>
        <v>קאנון אל נסא</v>
      </c>
    </row>
    <row r="34483" spans="1:6" x14ac:dyDescent="0.2">
      <c r="A34483" t="s">
        <v>53448</v>
      </c>
      <c r="B34483" t="s">
        <v>3759</v>
      </c>
      <c r="C34483" t="s">
        <v>1166</v>
      </c>
      <c r="D34483" t="s">
        <v>267</v>
      </c>
      <c r="E34483" t="s">
        <v>2088</v>
      </c>
      <c r="F34483" s="2" t="str">
        <f>HYPERLINK("http://www.otzar.org/book.asp?19377","קב בשמים")</f>
        <v>קב בשמים</v>
      </c>
    </row>
    <row r="34484" spans="1:6" x14ac:dyDescent="0.2">
      <c r="A34484" t="s">
        <v>53449</v>
      </c>
      <c r="B34484" t="s">
        <v>53450</v>
      </c>
      <c r="C34484" t="s">
        <v>17</v>
      </c>
      <c r="D34484" t="s">
        <v>412</v>
      </c>
      <c r="E34484" t="s">
        <v>241</v>
      </c>
      <c r="F34484" s="2" t="str">
        <f>HYPERLINK("http://www.otzar.org/book.asp?63214","קב הישר &lt;אידיש, עם הוספות&gt; - 3 כר'")</f>
        <v>קב הישר &lt;אידיש, עם הוספות&gt; - 3 כר'</v>
      </c>
    </row>
    <row r="34485" spans="1:6" x14ac:dyDescent="0.2">
      <c r="A34485" t="s">
        <v>53451</v>
      </c>
      <c r="B34485" t="s">
        <v>53452</v>
      </c>
      <c r="C34485" t="s">
        <v>585</v>
      </c>
      <c r="D34485" t="s">
        <v>14</v>
      </c>
      <c r="E34485" t="s">
        <v>213</v>
      </c>
      <c r="F34485" s="2" t="str">
        <f>HYPERLINK("http://www.otzar.org/book.asp?152456","קב הישר &lt;מכון הכתב&gt;")</f>
        <v>קב הישר &lt;מכון הכתב&gt;</v>
      </c>
    </row>
    <row r="34486" spans="1:6" x14ac:dyDescent="0.2">
      <c r="A34486" t="s">
        <v>53453</v>
      </c>
      <c r="B34486" t="s">
        <v>53454</v>
      </c>
      <c r="C34486" t="s">
        <v>411</v>
      </c>
      <c r="D34486" t="s">
        <v>52</v>
      </c>
      <c r="F34486" s="2" t="str">
        <f>HYPERLINK("http://www.otzar.org/book.asp?616245","קב הישר")</f>
        <v>קב הישר</v>
      </c>
    </row>
    <row r="34487" spans="1:6" x14ac:dyDescent="0.2">
      <c r="A34487" t="s">
        <v>53455</v>
      </c>
      <c r="B34487" t="s">
        <v>53452</v>
      </c>
      <c r="C34487" t="s">
        <v>53456</v>
      </c>
      <c r="D34487" t="s">
        <v>6042</v>
      </c>
      <c r="F34487" s="2" t="str">
        <f>HYPERLINK("http://www.otzar.org/book.asp?152766","קב הישר - 5 כר'")</f>
        <v>קב הישר - 5 כר'</v>
      </c>
    </row>
    <row r="34488" spans="1:6" x14ac:dyDescent="0.2">
      <c r="A34488" t="s">
        <v>53457</v>
      </c>
      <c r="B34488" t="s">
        <v>53458</v>
      </c>
      <c r="C34488" t="s">
        <v>2271</v>
      </c>
      <c r="D34488" t="s">
        <v>8370</v>
      </c>
      <c r="E34488" t="s">
        <v>144</v>
      </c>
      <c r="F34488" s="2" t="str">
        <f>HYPERLINK("http://www.otzar.org/book.asp?140980","קב ונקי ולשד השמן - 2 כר'")</f>
        <v>קב ונקי ולשד השמן - 2 כר'</v>
      </c>
    </row>
    <row r="34489" spans="1:6" x14ac:dyDescent="0.2">
      <c r="A34489" t="s">
        <v>53459</v>
      </c>
      <c r="B34489" t="s">
        <v>21861</v>
      </c>
      <c r="C34489" t="s">
        <v>411</v>
      </c>
      <c r="D34489" t="s">
        <v>52</v>
      </c>
      <c r="E34489" t="s">
        <v>154</v>
      </c>
      <c r="F34489" s="2" t="str">
        <f>HYPERLINK("http://www.otzar.org/book.asp?172449","קב ונקי")</f>
        <v>קב ונקי</v>
      </c>
    </row>
    <row r="34490" spans="1:6" x14ac:dyDescent="0.2">
      <c r="A34490" t="s">
        <v>53460</v>
      </c>
      <c r="B34490" t="s">
        <v>53461</v>
      </c>
      <c r="C34490" t="s">
        <v>366</v>
      </c>
      <c r="D34490" t="s">
        <v>14</v>
      </c>
      <c r="E34490" t="s">
        <v>158</v>
      </c>
      <c r="F34490" s="2" t="str">
        <f>HYPERLINK("http://www.otzar.org/book.asp?609019","קב ונקי - 2 כר'")</f>
        <v>קב ונקי - 2 כר'</v>
      </c>
    </row>
    <row r="34491" spans="1:6" x14ac:dyDescent="0.2">
      <c r="A34491" t="s">
        <v>53459</v>
      </c>
      <c r="B34491" t="s">
        <v>53462</v>
      </c>
      <c r="C34491" t="s">
        <v>2543</v>
      </c>
      <c r="D34491" t="s">
        <v>379</v>
      </c>
      <c r="E34491" t="s">
        <v>41487</v>
      </c>
      <c r="F34491" s="2" t="str">
        <f>HYPERLINK("http://www.otzar.org/book.asp?51480","קב ונקי")</f>
        <v>קב ונקי</v>
      </c>
    </row>
    <row r="34492" spans="1:6" x14ac:dyDescent="0.2">
      <c r="A34492" t="s">
        <v>53463</v>
      </c>
      <c r="B34492" t="s">
        <v>38916</v>
      </c>
      <c r="C34492" t="s">
        <v>1096</v>
      </c>
      <c r="D34492" t="s">
        <v>379</v>
      </c>
      <c r="E34492" t="s">
        <v>154</v>
      </c>
      <c r="F34492" s="2" t="str">
        <f>HYPERLINK("http://www.otzar.org/book.asp?20574","קב זהב")</f>
        <v>קב זהב</v>
      </c>
    </row>
    <row r="34493" spans="1:6" x14ac:dyDescent="0.2">
      <c r="A34493" t="s">
        <v>53464</v>
      </c>
      <c r="B34493" t="s">
        <v>52943</v>
      </c>
      <c r="C34493" t="s">
        <v>390</v>
      </c>
      <c r="D34493" t="s">
        <v>646</v>
      </c>
      <c r="E34493" t="s">
        <v>158</v>
      </c>
      <c r="F34493" s="2" t="str">
        <f>HYPERLINK("http://www.otzar.org/book.asp?615626","קב זמירות")</f>
        <v>קב זמירות</v>
      </c>
    </row>
    <row r="34494" spans="1:6" x14ac:dyDescent="0.2">
      <c r="A34494" t="s">
        <v>53465</v>
      </c>
      <c r="B34494" t="s">
        <v>53466</v>
      </c>
      <c r="C34494" t="s">
        <v>2008</v>
      </c>
      <c r="D34494" t="s">
        <v>23921</v>
      </c>
      <c r="E34494" t="s">
        <v>154</v>
      </c>
      <c r="F34494" s="2" t="str">
        <f>HYPERLINK("http://www.otzar.org/book.asp?12066","קב חיים")</f>
        <v>קב חיים</v>
      </c>
    </row>
    <row r="34495" spans="1:6" x14ac:dyDescent="0.2">
      <c r="A34495" t="s">
        <v>53467</v>
      </c>
      <c r="B34495" t="s">
        <v>53468</v>
      </c>
      <c r="C34495" t="s">
        <v>550</v>
      </c>
      <c r="D34495" t="s">
        <v>1008</v>
      </c>
      <c r="E34495" t="s">
        <v>2569</v>
      </c>
      <c r="F34495" s="2" t="str">
        <f>HYPERLINK("http://www.otzar.org/book.asp?102184","קב חן")</f>
        <v>קב חן</v>
      </c>
    </row>
    <row r="34496" spans="1:6" x14ac:dyDescent="0.2">
      <c r="A34496" t="s">
        <v>53469</v>
      </c>
      <c r="B34496" t="s">
        <v>9792</v>
      </c>
      <c r="C34496" t="s">
        <v>473</v>
      </c>
      <c r="D34496" t="s">
        <v>225</v>
      </c>
      <c r="E34496" t="s">
        <v>13950</v>
      </c>
      <c r="F34496" s="2" t="str">
        <f>HYPERLINK("http://www.otzar.org/book.asp?8228","קב נקי - 2 כר'")</f>
        <v>קב נקי - 2 כר'</v>
      </c>
    </row>
    <row r="34497" spans="1:6" x14ac:dyDescent="0.2">
      <c r="A34497" t="s">
        <v>53470</v>
      </c>
      <c r="B34497" t="s">
        <v>53471</v>
      </c>
      <c r="C34497" t="s">
        <v>176</v>
      </c>
      <c r="D34497" t="s">
        <v>14</v>
      </c>
      <c r="E34497" t="s">
        <v>144</v>
      </c>
      <c r="F34497" s="2" t="str">
        <f>HYPERLINK("http://www.otzar.org/book.asp?630171","קב צבי - 5 כר'")</f>
        <v>קב צבי - 5 כר'</v>
      </c>
    </row>
    <row r="34498" spans="1:6" x14ac:dyDescent="0.2">
      <c r="A34498" t="s">
        <v>53472</v>
      </c>
      <c r="B34498" t="s">
        <v>50311</v>
      </c>
      <c r="C34498" t="s">
        <v>454</v>
      </c>
      <c r="D34498" t="s">
        <v>4508</v>
      </c>
      <c r="E34498" t="s">
        <v>144</v>
      </c>
      <c r="F34498" s="2" t="str">
        <f>HYPERLINK("http://www.otzar.org/book.asp?108308","קב שלו")</f>
        <v>קב שלו</v>
      </c>
    </row>
    <row r="34499" spans="1:6" x14ac:dyDescent="0.2">
      <c r="A34499" t="s">
        <v>53473</v>
      </c>
      <c r="B34499" t="s">
        <v>686</v>
      </c>
      <c r="C34499" t="s">
        <v>129</v>
      </c>
      <c r="D34499" t="s">
        <v>52</v>
      </c>
      <c r="E34499" t="s">
        <v>1262</v>
      </c>
      <c r="F34499" s="2" t="str">
        <f>HYPERLINK("http://www.otzar.org/book.asp?60631","קב תמרים")</f>
        <v>קב תמרים</v>
      </c>
    </row>
    <row r="34500" spans="1:6" x14ac:dyDescent="0.2">
      <c r="A34500" t="s">
        <v>53474</v>
      </c>
      <c r="B34500" t="s">
        <v>26487</v>
      </c>
      <c r="C34500" t="s">
        <v>466</v>
      </c>
      <c r="D34500" t="s">
        <v>14</v>
      </c>
      <c r="E34500" t="s">
        <v>1211</v>
      </c>
      <c r="F34500" s="2" t="str">
        <f>HYPERLINK("http://www.otzar.org/book.asp?107282","קבא דקשייתא &lt;קבא דיישובא&gt;")</f>
        <v>קבא דקשייתא &lt;קבא דיישובא&gt;</v>
      </c>
    </row>
    <row r="34501" spans="1:6" x14ac:dyDescent="0.2">
      <c r="A34501" t="s">
        <v>53475</v>
      </c>
      <c r="B34501" t="s">
        <v>53476</v>
      </c>
      <c r="C34501" t="s">
        <v>454</v>
      </c>
      <c r="D34501" t="s">
        <v>1511</v>
      </c>
      <c r="E34501" t="s">
        <v>144</v>
      </c>
      <c r="F34501" s="2" t="str">
        <f>HYPERLINK("http://www.otzar.org/book.asp?181617","קבא דקשייתא בסוגיות בור")</f>
        <v>קבא דקשייתא בסוגיות בור</v>
      </c>
    </row>
    <row r="34502" spans="1:6" x14ac:dyDescent="0.2">
      <c r="A34502" t="s">
        <v>53477</v>
      </c>
      <c r="B34502" t="s">
        <v>26487</v>
      </c>
      <c r="C34502" t="s">
        <v>383</v>
      </c>
      <c r="D34502" t="s">
        <v>14</v>
      </c>
      <c r="E34502" t="s">
        <v>1211</v>
      </c>
      <c r="F34502" s="2" t="str">
        <f>HYPERLINK("http://www.otzar.org/book.asp?9666","קבא דקשייתא - 4 כר'")</f>
        <v>קבא דקשייתא - 4 כר'</v>
      </c>
    </row>
    <row r="34503" spans="1:6" x14ac:dyDescent="0.2">
      <c r="A34503" t="s">
        <v>53478</v>
      </c>
      <c r="B34503" t="s">
        <v>5239</v>
      </c>
      <c r="D34503" t="s">
        <v>14</v>
      </c>
      <c r="E34503" t="s">
        <v>144</v>
      </c>
      <c r="F34503" s="2" t="str">
        <f>HYPERLINK("http://www.otzar.org/book.asp?195493","קבא דקשיתא עם לוגא דתרוצייא")</f>
        <v>קבא דקשיתא עם לוגא דתרוצייא</v>
      </c>
    </row>
    <row r="34504" spans="1:6" x14ac:dyDescent="0.2">
      <c r="A34504" t="s">
        <v>53479</v>
      </c>
      <c r="B34504" t="s">
        <v>14381</v>
      </c>
      <c r="C34504" t="s">
        <v>189</v>
      </c>
      <c r="D34504" t="s">
        <v>52</v>
      </c>
      <c r="E34504" t="s">
        <v>104</v>
      </c>
      <c r="F34504" s="2" t="str">
        <f>HYPERLINK("http://www.otzar.org/book.asp?85482","קבא דתירוצא")</f>
        <v>קבא דתירוצא</v>
      </c>
    </row>
    <row r="34505" spans="1:6" x14ac:dyDescent="0.2">
      <c r="A34505" t="s">
        <v>53480</v>
      </c>
      <c r="B34505" t="s">
        <v>17863</v>
      </c>
      <c r="C34505" t="s">
        <v>1208</v>
      </c>
      <c r="D34505" t="s">
        <v>2458</v>
      </c>
      <c r="E34505" t="s">
        <v>4731</v>
      </c>
      <c r="F34505" s="2" t="str">
        <f>HYPERLINK("http://www.otzar.org/book.asp?148920","קבוץ חכמים")</f>
        <v>קבוץ חכמים</v>
      </c>
    </row>
    <row r="34506" spans="1:6" x14ac:dyDescent="0.2">
      <c r="A34506" t="s">
        <v>53481</v>
      </c>
      <c r="B34506" t="s">
        <v>53482</v>
      </c>
      <c r="C34506" t="s">
        <v>53483</v>
      </c>
      <c r="D34506" t="s">
        <v>53484</v>
      </c>
      <c r="E34506" t="s">
        <v>202</v>
      </c>
      <c r="F34506" s="2" t="str">
        <f>HYPERLINK("http://www.otzar.org/book.asp?20575","קבוצי אפרים - 2 כר'")</f>
        <v>קבוצי אפרים - 2 כר'</v>
      </c>
    </row>
    <row r="34507" spans="1:6" x14ac:dyDescent="0.2">
      <c r="A34507" t="s">
        <v>53485</v>
      </c>
      <c r="B34507" t="s">
        <v>1750</v>
      </c>
      <c r="C34507" t="s">
        <v>31096</v>
      </c>
      <c r="D34507" t="s">
        <v>9224</v>
      </c>
      <c r="E34507" t="s">
        <v>202</v>
      </c>
      <c r="F34507" s="2" t="str">
        <f>HYPERLINK("http://www.otzar.org/book.asp?20576","קבוצי בחורים")</f>
        <v>קבוצי בחורים</v>
      </c>
    </row>
    <row r="34508" spans="1:6" x14ac:dyDescent="0.2">
      <c r="A34508" t="s">
        <v>53486</v>
      </c>
      <c r="B34508" t="s">
        <v>53487</v>
      </c>
      <c r="C34508" t="s">
        <v>53488</v>
      </c>
      <c r="D34508" t="s">
        <v>164</v>
      </c>
      <c r="E34508" t="s">
        <v>786</v>
      </c>
      <c r="F34508" s="2" t="str">
        <f>HYPERLINK("http://www.otzar.org/book.asp?19132","קבוצת ההשמטות")</f>
        <v>קבוצת ההשמטות</v>
      </c>
    </row>
    <row r="34509" spans="1:6" x14ac:dyDescent="0.2">
      <c r="A34509" t="s">
        <v>53489</v>
      </c>
      <c r="B34509" t="s">
        <v>13225</v>
      </c>
      <c r="C34509" t="s">
        <v>1885</v>
      </c>
      <c r="D34509" t="s">
        <v>11769</v>
      </c>
      <c r="E34509" t="s">
        <v>15</v>
      </c>
      <c r="F34509" s="2" t="str">
        <f>HYPERLINK("http://www.otzar.org/book.asp?22249","קבוצת יעקב")</f>
        <v>קבוצת יעקב</v>
      </c>
    </row>
    <row r="34510" spans="1:6" x14ac:dyDescent="0.2">
      <c r="A34510" t="s">
        <v>53490</v>
      </c>
      <c r="B34510" t="s">
        <v>24757</v>
      </c>
      <c r="C34510" t="s">
        <v>160</v>
      </c>
      <c r="D34510" t="s">
        <v>14778</v>
      </c>
      <c r="E34510" t="s">
        <v>241</v>
      </c>
      <c r="F34510" s="2" t="str">
        <f>HYPERLINK("http://www.otzar.org/book.asp?51492","קבוצת כתבי אגדה - 2 כר'")</f>
        <v>קבוצת כתבי אגדה - 2 כר'</v>
      </c>
    </row>
    <row r="34511" spans="1:6" x14ac:dyDescent="0.2">
      <c r="A34511" t="s">
        <v>53491</v>
      </c>
      <c r="B34511" t="s">
        <v>53492</v>
      </c>
      <c r="C34511" t="s">
        <v>1458</v>
      </c>
      <c r="D34511" t="s">
        <v>53493</v>
      </c>
      <c r="E34511" t="s">
        <v>733</v>
      </c>
      <c r="F34511" s="2" t="str">
        <f>HYPERLINK("http://www.otzar.org/book.asp?147159","קבוצת מכתבים בעניני המחלוקת על ספר המורה")</f>
        <v>קבוצת מכתבים בעניני המחלוקת על ספר המורה</v>
      </c>
    </row>
    <row r="34512" spans="1:6" x14ac:dyDescent="0.2">
      <c r="A34512" t="s">
        <v>53494</v>
      </c>
      <c r="B34512" t="s">
        <v>9476</v>
      </c>
      <c r="C34512" t="s">
        <v>390</v>
      </c>
      <c r="D34512" t="s">
        <v>14</v>
      </c>
      <c r="E34512" t="s">
        <v>84</v>
      </c>
      <c r="F34512" s="2" t="str">
        <f>HYPERLINK("http://www.otzar.org/book.asp?105180","קבוצת מפרשי המשנה - 6 כר'")</f>
        <v>קבוצת מפרשי המשנה - 6 כר'</v>
      </c>
    </row>
    <row r="34513" spans="1:6" x14ac:dyDescent="0.2">
      <c r="A34513" t="s">
        <v>53495</v>
      </c>
      <c r="B34513" t="s">
        <v>53496</v>
      </c>
      <c r="C34513" t="s">
        <v>53497</v>
      </c>
      <c r="D34513" t="s">
        <v>592</v>
      </c>
      <c r="F34513" s="2" t="str">
        <f>HYPERLINK("http://www.otzar.org/book.asp?620990","קבוצת קונטרסים")</f>
        <v>קבוצת קונטרסים</v>
      </c>
    </row>
    <row r="34514" spans="1:6" x14ac:dyDescent="0.2">
      <c r="A34514" t="s">
        <v>53498</v>
      </c>
      <c r="B34514" t="s">
        <v>53499</v>
      </c>
      <c r="C34514" t="s">
        <v>1284</v>
      </c>
      <c r="D34514" t="s">
        <v>53500</v>
      </c>
      <c r="F34514" s="2" t="str">
        <f>HYPERLINK("http://www.otzar.org/book.asp?613279","קבוצת תלתלים")</f>
        <v>קבוצת תלתלים</v>
      </c>
    </row>
    <row r="34515" spans="1:6" x14ac:dyDescent="0.2">
      <c r="A34515" t="s">
        <v>53501</v>
      </c>
      <c r="B34515" t="s">
        <v>53502</v>
      </c>
      <c r="C34515" t="s">
        <v>1169</v>
      </c>
      <c r="D34515" t="s">
        <v>14</v>
      </c>
      <c r="E34515" t="s">
        <v>104</v>
      </c>
      <c r="F34515" s="2" t="str">
        <f>HYPERLINK("http://www.otzar.org/book.asp?148474","קבורת רחל")</f>
        <v>קבורת רחל</v>
      </c>
    </row>
    <row r="34516" spans="1:6" x14ac:dyDescent="0.2">
      <c r="A34516" t="s">
        <v>53503</v>
      </c>
      <c r="B34516" t="s">
        <v>53504</v>
      </c>
      <c r="C34516" t="s">
        <v>129</v>
      </c>
      <c r="D34516" t="s">
        <v>3859</v>
      </c>
      <c r="E34516" t="s">
        <v>15</v>
      </c>
      <c r="F34516" s="2" t="str">
        <f>HYPERLINK("http://www.otzar.org/book.asp?60145","קביעת מזוזה כהלכתה")</f>
        <v>קביעת מזוזה כהלכתה</v>
      </c>
    </row>
    <row r="34517" spans="1:6" x14ac:dyDescent="0.2">
      <c r="A34517" t="s">
        <v>53505</v>
      </c>
      <c r="B34517" t="s">
        <v>7108</v>
      </c>
      <c r="C34517" t="s">
        <v>146</v>
      </c>
      <c r="D34517" t="s">
        <v>14</v>
      </c>
      <c r="E34517" t="s">
        <v>2596</v>
      </c>
      <c r="F34517" s="2" t="str">
        <f>HYPERLINK("http://www.otzar.org/book.asp?143762","קביעת רגע המוות - 2 כר'")</f>
        <v>קביעת רגע המוות - 2 כר'</v>
      </c>
    </row>
    <row r="34518" spans="1:6" x14ac:dyDescent="0.2">
      <c r="A34518" t="s">
        <v>53506</v>
      </c>
      <c r="B34518" t="s">
        <v>29974</v>
      </c>
      <c r="C34518" t="s">
        <v>114</v>
      </c>
      <c r="D34518" t="s">
        <v>52</v>
      </c>
      <c r="E34518" t="s">
        <v>8854</v>
      </c>
      <c r="F34518" s="2" t="str">
        <f>HYPERLINK("http://www.otzar.org/book.asp?176713","קבלה למשה מסיני")</f>
        <v>קבלה למשה מסיני</v>
      </c>
    </row>
    <row r="34519" spans="1:6" x14ac:dyDescent="0.2">
      <c r="A34519" t="s">
        <v>53507</v>
      </c>
      <c r="B34519" t="s">
        <v>18646</v>
      </c>
      <c r="C34519" t="s">
        <v>20</v>
      </c>
      <c r="D34519" t="s">
        <v>14</v>
      </c>
      <c r="E34519" t="s">
        <v>3798</v>
      </c>
      <c r="F34519" s="2" t="str">
        <f>HYPERLINK("http://www.otzar.org/book.asp?6217","קבלו וקיימו")</f>
        <v>קבלו וקיימו</v>
      </c>
    </row>
    <row r="34520" spans="1:6" x14ac:dyDescent="0.2">
      <c r="A34520" t="s">
        <v>53508</v>
      </c>
      <c r="B34520" t="s">
        <v>11253</v>
      </c>
      <c r="C34520" t="s">
        <v>523</v>
      </c>
      <c r="D34520" t="s">
        <v>14</v>
      </c>
      <c r="E34520" t="s">
        <v>119</v>
      </c>
      <c r="F34520" s="2" t="str">
        <f>HYPERLINK("http://www.otzar.org/book.asp?182278","קבלת הגר""א")</f>
        <v>קבלת הגר"א</v>
      </c>
    </row>
    <row r="34521" spans="1:6" x14ac:dyDescent="0.2">
      <c r="A34521" t="s">
        <v>53509</v>
      </c>
      <c r="B34521" t="s">
        <v>2082</v>
      </c>
      <c r="C34521" t="s">
        <v>20</v>
      </c>
      <c r="D34521" t="s">
        <v>90</v>
      </c>
      <c r="E34521" t="s">
        <v>399</v>
      </c>
      <c r="F34521" s="2" t="str">
        <f>HYPERLINK("http://www.otzar.org/book.asp?52212","קבלת הגר""א - 2 כר'")</f>
        <v>קבלת הגר"א - 2 כר'</v>
      </c>
    </row>
    <row r="34522" spans="1:6" x14ac:dyDescent="0.2">
      <c r="A34522" t="s">
        <v>53510</v>
      </c>
      <c r="B34522" t="s">
        <v>1600</v>
      </c>
      <c r="C34522" t="s">
        <v>146</v>
      </c>
      <c r="D34522" t="s">
        <v>14</v>
      </c>
      <c r="E34522" t="s">
        <v>15</v>
      </c>
      <c r="F34522" s="2" t="str">
        <f>HYPERLINK("http://www.otzar.org/book.asp?606697","קבלת הוראות מרן")</f>
        <v>קבלת הוראות מרן</v>
      </c>
    </row>
    <row r="34523" spans="1:6" x14ac:dyDescent="0.2">
      <c r="A34523" t="s">
        <v>53511</v>
      </c>
      <c r="B34523" t="s">
        <v>45285</v>
      </c>
      <c r="C34523" t="s">
        <v>151</v>
      </c>
      <c r="D34523" t="s">
        <v>52</v>
      </c>
      <c r="E34523" t="s">
        <v>104</v>
      </c>
      <c r="F34523" s="2" t="str">
        <f>HYPERLINK("http://www.otzar.org/book.asp?625864","קבלת התורה")</f>
        <v>קבלת התורה</v>
      </c>
    </row>
    <row r="34524" spans="1:6" x14ac:dyDescent="0.2">
      <c r="A34524" t="s">
        <v>53511</v>
      </c>
      <c r="B34524" t="s">
        <v>53512</v>
      </c>
      <c r="C34524" t="s">
        <v>151</v>
      </c>
      <c r="D34524" t="s">
        <v>52</v>
      </c>
      <c r="E34524" t="s">
        <v>241</v>
      </c>
      <c r="F34524" s="2" t="str">
        <f>HYPERLINK("http://www.otzar.org/book.asp?629517","קבלת התורה")</f>
        <v>קבלת התורה</v>
      </c>
    </row>
    <row r="34525" spans="1:6" x14ac:dyDescent="0.2">
      <c r="A34525" t="s">
        <v>53513</v>
      </c>
      <c r="B34525" t="s">
        <v>1393</v>
      </c>
      <c r="C34525" t="s">
        <v>17</v>
      </c>
      <c r="D34525" t="s">
        <v>367</v>
      </c>
      <c r="E34525" t="s">
        <v>241</v>
      </c>
      <c r="F34525" s="2" t="str">
        <f>HYPERLINK("http://www.otzar.org/book.asp?159708","קבלת עול מלכות שמים - 2 כר'")</f>
        <v>קבלת עול מלכות שמים - 2 כר'</v>
      </c>
    </row>
    <row r="34526" spans="1:6" x14ac:dyDescent="0.2">
      <c r="A34526" t="s">
        <v>53514</v>
      </c>
      <c r="B34526" t="s">
        <v>53515</v>
      </c>
      <c r="C34526" t="s">
        <v>10425</v>
      </c>
      <c r="D34526" t="s">
        <v>1769</v>
      </c>
      <c r="E34526" t="s">
        <v>246</v>
      </c>
      <c r="F34526" s="2" t="str">
        <f>HYPERLINK("http://www.otzar.org/book.asp?85000","קבלת שבת")</f>
        <v>קבלת שבת</v>
      </c>
    </row>
    <row r="34527" spans="1:6" x14ac:dyDescent="0.2">
      <c r="A34527" t="s">
        <v>53514</v>
      </c>
      <c r="B34527" t="s">
        <v>53516</v>
      </c>
      <c r="C34527" t="s">
        <v>482</v>
      </c>
      <c r="D34527" t="s">
        <v>3587</v>
      </c>
      <c r="E34527" t="s">
        <v>219</v>
      </c>
      <c r="F34527" s="2" t="str">
        <f>HYPERLINK("http://www.otzar.org/book.asp?52502","קבלת שבת")</f>
        <v>קבלת שבת</v>
      </c>
    </row>
    <row r="34528" spans="1:6" x14ac:dyDescent="0.2">
      <c r="A34528" t="s">
        <v>53514</v>
      </c>
      <c r="B34528" t="s">
        <v>53517</v>
      </c>
      <c r="C34528" t="s">
        <v>2543</v>
      </c>
      <c r="D34528" t="s">
        <v>225</v>
      </c>
      <c r="E34528" t="s">
        <v>1517</v>
      </c>
      <c r="F34528" s="2" t="str">
        <f>HYPERLINK("http://www.otzar.org/book.asp?165944","קבלת שבת")</f>
        <v>קבלת שבת</v>
      </c>
    </row>
    <row r="34529" spans="1:6" x14ac:dyDescent="0.2">
      <c r="A34529" t="s">
        <v>53518</v>
      </c>
      <c r="B34529" t="s">
        <v>107</v>
      </c>
      <c r="C34529" t="s">
        <v>168</v>
      </c>
      <c r="D34529" t="s">
        <v>14</v>
      </c>
      <c r="E34529" t="s">
        <v>241</v>
      </c>
      <c r="F34529" s="2" t="str">
        <f>HYPERLINK("http://www.otzar.org/book.asp?178993","קבלת תורה ומתן תורה")</f>
        <v>קבלת תורה ומתן תורה</v>
      </c>
    </row>
    <row r="34530" spans="1:6" x14ac:dyDescent="0.2">
      <c r="A34530" t="s">
        <v>53519</v>
      </c>
      <c r="B34530" t="s">
        <v>7405</v>
      </c>
      <c r="C34530" t="s">
        <v>523</v>
      </c>
      <c r="D34530" t="s">
        <v>14</v>
      </c>
      <c r="F34530" s="2" t="str">
        <f>HYPERLINK("http://www.otzar.org/book.asp?612041","קבעת עתים לתורה")</f>
        <v>קבעת עתים לתורה</v>
      </c>
    </row>
    <row r="34531" spans="1:6" x14ac:dyDescent="0.2">
      <c r="A34531" t="s">
        <v>53520</v>
      </c>
      <c r="B34531" t="s">
        <v>1750</v>
      </c>
      <c r="C34531" t="s">
        <v>919</v>
      </c>
      <c r="D34531" t="s">
        <v>216</v>
      </c>
      <c r="E34531" t="s">
        <v>202</v>
      </c>
      <c r="F34531" s="2" t="str">
        <f>HYPERLINK("http://www.otzar.org/book.asp?106828","קבץ זכרון &lt;לר' דוד שלמה קוסובסקי - שחור&gt;")</f>
        <v>קבץ זכרון &lt;לר' דוד שלמה קוסובסקי - שחור&gt;</v>
      </c>
    </row>
    <row r="34532" spans="1:6" x14ac:dyDescent="0.2">
      <c r="A34532" t="s">
        <v>53521</v>
      </c>
      <c r="B34532" t="s">
        <v>53522</v>
      </c>
      <c r="C34532" t="s">
        <v>1470</v>
      </c>
      <c r="D34532" t="s">
        <v>14</v>
      </c>
      <c r="E34532" t="s">
        <v>723</v>
      </c>
      <c r="F34532" s="2" t="str">
        <f>HYPERLINK("http://www.otzar.org/book.asp?14784","קבץ לזכרו של הרב גדליה אונא ז""ל")</f>
        <v>קבץ לזכרו של הרב גדליה אונא ז"ל</v>
      </c>
    </row>
    <row r="34533" spans="1:6" x14ac:dyDescent="0.2">
      <c r="A34533" t="s">
        <v>53523</v>
      </c>
      <c r="B34533" t="s">
        <v>10448</v>
      </c>
      <c r="C34533" t="s">
        <v>23</v>
      </c>
      <c r="D34533" t="s">
        <v>2375</v>
      </c>
      <c r="E34533" t="s">
        <v>246</v>
      </c>
      <c r="F34533" s="2" t="str">
        <f>HYPERLINK("http://www.otzar.org/book.asp?194187","קבצי תדפיסים")</f>
        <v>קבצי תדפיסים</v>
      </c>
    </row>
    <row r="34534" spans="1:6" x14ac:dyDescent="0.2">
      <c r="A34534" t="s">
        <v>53524</v>
      </c>
      <c r="B34534" t="s">
        <v>1469</v>
      </c>
      <c r="C34534" t="s">
        <v>23</v>
      </c>
      <c r="D34534" t="s">
        <v>14</v>
      </c>
      <c r="F34534" s="2" t="str">
        <f>HYPERLINK("http://www.otzar.org/book.asp?190069","קבצים מכתב יד קדשו - 2 כר'")</f>
        <v>קבצים מכתב יד קדשו - 2 כר'</v>
      </c>
    </row>
    <row r="34535" spans="1:6" x14ac:dyDescent="0.2">
      <c r="A34535" t="s">
        <v>53525</v>
      </c>
      <c r="B34535" t="s">
        <v>489</v>
      </c>
      <c r="C34535" t="s">
        <v>133</v>
      </c>
      <c r="D34535" t="s">
        <v>14</v>
      </c>
      <c r="E34535" t="s">
        <v>202</v>
      </c>
      <c r="F34535" s="2" t="str">
        <f>HYPERLINK("http://www.otzar.org/book.asp?608683","קבצם כעמיר - תורת זאב - מעשרות")</f>
        <v>קבצם כעמיר - תורת זאב - מעשרות</v>
      </c>
    </row>
    <row r="34536" spans="1:6" x14ac:dyDescent="0.2">
      <c r="A34536" t="s">
        <v>53526</v>
      </c>
      <c r="B34536" t="s">
        <v>732</v>
      </c>
      <c r="C34536" t="s">
        <v>812</v>
      </c>
      <c r="D34536" t="s">
        <v>27</v>
      </c>
      <c r="E34536" t="s">
        <v>104</v>
      </c>
      <c r="F34536" s="2" t="str">
        <f>HYPERLINK("http://www.otzar.org/book.asp?172263","קבר אחים")</f>
        <v>קבר אחים</v>
      </c>
    </row>
    <row r="34537" spans="1:6" x14ac:dyDescent="0.2">
      <c r="A34537" t="s">
        <v>53527</v>
      </c>
      <c r="B34537" t="s">
        <v>36411</v>
      </c>
      <c r="C34537" t="s">
        <v>168</v>
      </c>
      <c r="D34537" t="s">
        <v>1205</v>
      </c>
      <c r="E34537" t="s">
        <v>1626</v>
      </c>
      <c r="F34537" s="2" t="str">
        <f>HYPERLINK("http://www.otzar.org/book.asp?14850","קברות צדיקים בישראל")</f>
        <v>קברות צדיקים בישראל</v>
      </c>
    </row>
    <row r="34538" spans="1:6" x14ac:dyDescent="0.2">
      <c r="A34538" t="s">
        <v>53528</v>
      </c>
      <c r="B34538" t="s">
        <v>41038</v>
      </c>
      <c r="C34538" t="s">
        <v>79</v>
      </c>
      <c r="D34538" t="s">
        <v>27</v>
      </c>
      <c r="E34538" t="s">
        <v>27624</v>
      </c>
      <c r="F34538" s="2" t="str">
        <f>HYPERLINK("http://www.otzar.org/book.asp?15561","קברי אבות")</f>
        <v>קברי אבות</v>
      </c>
    </row>
    <row r="34539" spans="1:6" x14ac:dyDescent="0.2">
      <c r="A34539" t="s">
        <v>53529</v>
      </c>
      <c r="B34539" t="s">
        <v>53530</v>
      </c>
      <c r="C34539" t="s">
        <v>68</v>
      </c>
      <c r="D34539" t="s">
        <v>216</v>
      </c>
      <c r="E34539" t="s">
        <v>119</v>
      </c>
      <c r="F34539" s="2" t="str">
        <f>HYPERLINK("http://www.otzar.org/book.asp?171804","קברי צדיקים באשכנז")</f>
        <v>קברי צדיקים באשכנז</v>
      </c>
    </row>
    <row r="34540" spans="1:6" x14ac:dyDescent="0.2">
      <c r="A34540" t="s">
        <v>53531</v>
      </c>
      <c r="B34540" t="s">
        <v>206</v>
      </c>
      <c r="C34540" t="s">
        <v>13</v>
      </c>
      <c r="D34540" t="s">
        <v>14</v>
      </c>
      <c r="E34540" t="s">
        <v>246</v>
      </c>
      <c r="F34540" s="2" t="str">
        <f>HYPERLINK("http://www.otzar.org/book.asp?63093","קדוש אלול &lt;מהדורה חדשה&gt;")</f>
        <v>קדוש אלול &lt;מהדורה חדשה&gt;</v>
      </c>
    </row>
    <row r="34541" spans="1:6" x14ac:dyDescent="0.2">
      <c r="A34541" t="s">
        <v>53532</v>
      </c>
      <c r="B34541" t="s">
        <v>7629</v>
      </c>
      <c r="C34541" t="s">
        <v>151</v>
      </c>
      <c r="D34541" t="s">
        <v>14</v>
      </c>
      <c r="F34541" s="2" t="str">
        <f>HYPERLINK("http://www.otzar.org/book.asp?617486","קדוש בציון")</f>
        <v>קדוש בציון</v>
      </c>
    </row>
    <row r="34542" spans="1:6" x14ac:dyDescent="0.2">
      <c r="A34542" t="s">
        <v>53533</v>
      </c>
      <c r="B34542" t="s">
        <v>41135</v>
      </c>
      <c r="C34542" t="s">
        <v>160</v>
      </c>
      <c r="D34542" t="s">
        <v>260</v>
      </c>
      <c r="E34542" t="s">
        <v>733</v>
      </c>
      <c r="F34542" s="2" t="str">
        <f>HYPERLINK("http://www.otzar.org/book.asp?142874","קדוש השם")</f>
        <v>קדוש השם</v>
      </c>
    </row>
    <row r="34543" spans="1:6" x14ac:dyDescent="0.2">
      <c r="A34543" t="s">
        <v>53534</v>
      </c>
      <c r="B34543" t="s">
        <v>53535</v>
      </c>
      <c r="C34543" t="s">
        <v>51</v>
      </c>
      <c r="D34543" t="s">
        <v>52</v>
      </c>
      <c r="E34543" t="s">
        <v>119</v>
      </c>
      <c r="F34543" s="2" t="str">
        <f>HYPERLINK("http://www.otzar.org/book.asp?63706","קדוש וברוך")</f>
        <v>קדוש וברוך</v>
      </c>
    </row>
    <row r="34544" spans="1:6" x14ac:dyDescent="0.2">
      <c r="A34544" t="s">
        <v>53536</v>
      </c>
      <c r="B34544" t="s">
        <v>53537</v>
      </c>
      <c r="C34544" t="s">
        <v>17</v>
      </c>
      <c r="D34544" t="s">
        <v>52</v>
      </c>
      <c r="E34544" t="s">
        <v>165</v>
      </c>
      <c r="F34544" s="2" t="str">
        <f>HYPERLINK("http://www.otzar.org/book.asp?148038","קדוש ונורא שמו")</f>
        <v>קדוש ונורא שמו</v>
      </c>
    </row>
    <row r="34545" spans="1:6" x14ac:dyDescent="0.2">
      <c r="A34545" t="s">
        <v>53538</v>
      </c>
      <c r="B34545" t="s">
        <v>53539</v>
      </c>
      <c r="C34545" t="s">
        <v>454</v>
      </c>
      <c r="D34545" t="s">
        <v>412</v>
      </c>
      <c r="E34545" t="s">
        <v>226</v>
      </c>
      <c r="F34545" s="2" t="str">
        <f>HYPERLINK("http://www.otzar.org/book.asp?83939","קדוש יעקב")</f>
        <v>קדוש יעקב</v>
      </c>
    </row>
    <row r="34546" spans="1:6" x14ac:dyDescent="0.2">
      <c r="A34546" t="s">
        <v>53540</v>
      </c>
      <c r="B34546" t="s">
        <v>481</v>
      </c>
      <c r="C34546" t="s">
        <v>454</v>
      </c>
      <c r="D34546" t="s">
        <v>52</v>
      </c>
      <c r="E34546" t="s">
        <v>23905</v>
      </c>
      <c r="F34546" s="2" t="str">
        <f>HYPERLINK("http://www.otzar.org/book.asp?50693","קדוש ישראל &lt;להגרי""ס&gt; - 2 כר'")</f>
        <v>קדוש ישראל &lt;להגרי"ס&gt; - 2 כר'</v>
      </c>
    </row>
    <row r="34547" spans="1:6" x14ac:dyDescent="0.2">
      <c r="A34547" t="s">
        <v>53541</v>
      </c>
      <c r="B34547" t="s">
        <v>53542</v>
      </c>
      <c r="C34547" t="s">
        <v>503</v>
      </c>
      <c r="D34547" t="s">
        <v>56</v>
      </c>
      <c r="E34547" t="s">
        <v>119</v>
      </c>
      <c r="F34547" s="2" t="str">
        <f>HYPERLINK("http://www.otzar.org/book.asp?150065","קדוש ישראל")</f>
        <v>קדוש ישראל</v>
      </c>
    </row>
    <row r="34548" spans="1:6" x14ac:dyDescent="0.2">
      <c r="A34548" t="s">
        <v>53543</v>
      </c>
      <c r="B34548" t="s">
        <v>10997</v>
      </c>
      <c r="C34548" t="s">
        <v>168</v>
      </c>
      <c r="D34548" t="s">
        <v>52</v>
      </c>
      <c r="E34548" t="s">
        <v>119</v>
      </c>
      <c r="F34548" s="2" t="str">
        <f>HYPERLINK("http://www.otzar.org/book.asp?158749","קדוש ישראל - 4 כר'")</f>
        <v>קדוש ישראל - 4 כר'</v>
      </c>
    </row>
    <row r="34549" spans="1:6" x14ac:dyDescent="0.2">
      <c r="A34549" t="s">
        <v>53544</v>
      </c>
      <c r="B34549" t="s">
        <v>32770</v>
      </c>
      <c r="C34549" t="s">
        <v>176</v>
      </c>
      <c r="D34549" t="s">
        <v>14</v>
      </c>
      <c r="E34549" t="s">
        <v>15</v>
      </c>
      <c r="F34549" s="2" t="str">
        <f>HYPERLINK("http://www.otzar.org/book.asp?176827","קדוש לבנה")</f>
        <v>קדוש לבנה</v>
      </c>
    </row>
    <row r="34550" spans="1:6" x14ac:dyDescent="0.2">
      <c r="A34550" t="s">
        <v>53545</v>
      </c>
      <c r="B34550" t="s">
        <v>53546</v>
      </c>
      <c r="C34550" t="s">
        <v>237</v>
      </c>
      <c r="D34550" t="s">
        <v>412</v>
      </c>
      <c r="E34550" t="s">
        <v>119</v>
      </c>
      <c r="F34550" s="2" t="str">
        <f>HYPERLINK("http://www.otzar.org/book.asp?181446","קדושה און גבוה ביי יידן גזירת ת""ש - תש""ה")</f>
        <v>קדושה און גבוה ביי יידן גזירת ת"ש - תש"ה</v>
      </c>
    </row>
    <row r="34551" spans="1:6" x14ac:dyDescent="0.2">
      <c r="A34551" t="s">
        <v>53547</v>
      </c>
      <c r="B34551" t="s">
        <v>46539</v>
      </c>
      <c r="C34551" t="s">
        <v>20</v>
      </c>
      <c r="D34551" t="s">
        <v>2347</v>
      </c>
      <c r="F34551" s="2" t="str">
        <f>HYPERLINK("http://www.otzar.org/book.asp?100377","קדושה וברכה &lt;סמיכת חכמים&gt;")</f>
        <v>קדושה וברכה &lt;סמיכת חכמים&gt;</v>
      </c>
    </row>
    <row r="34552" spans="1:6" x14ac:dyDescent="0.2">
      <c r="A34552" t="s">
        <v>53548</v>
      </c>
      <c r="B34552" t="s">
        <v>206</v>
      </c>
      <c r="C34552" t="s">
        <v>366</v>
      </c>
      <c r="D34552" t="s">
        <v>14</v>
      </c>
      <c r="E34552" t="s">
        <v>104</v>
      </c>
      <c r="F34552" s="2" t="str">
        <f>HYPERLINK("http://www.otzar.org/book.asp?621160","קדושה ומלכות")</f>
        <v>קדושה ומלכות</v>
      </c>
    </row>
    <row r="34553" spans="1:6" x14ac:dyDescent="0.2">
      <c r="A34553" t="s">
        <v>53548</v>
      </c>
      <c r="B34553" t="s">
        <v>18520</v>
      </c>
      <c r="C34553" t="s">
        <v>1663</v>
      </c>
      <c r="D34553" t="s">
        <v>9</v>
      </c>
      <c r="E34553" t="s">
        <v>158</v>
      </c>
      <c r="F34553" s="2" t="str">
        <f>HYPERLINK("http://www.otzar.org/book.asp?51483","קדושה ומלכות")</f>
        <v>קדושה ומלכות</v>
      </c>
    </row>
    <row r="34554" spans="1:6" x14ac:dyDescent="0.2">
      <c r="A34554" t="s">
        <v>53548</v>
      </c>
      <c r="B34554" t="s">
        <v>10056</v>
      </c>
      <c r="C34554" t="s">
        <v>23</v>
      </c>
      <c r="D34554" t="s">
        <v>1180</v>
      </c>
      <c r="E34554" t="s">
        <v>140</v>
      </c>
      <c r="F34554" s="2" t="str">
        <f>HYPERLINK("http://www.otzar.org/book.asp?199178","קדושה ומלכות")</f>
        <v>קדושה ומלכות</v>
      </c>
    </row>
    <row r="34555" spans="1:6" x14ac:dyDescent="0.2">
      <c r="A34555" t="s">
        <v>53549</v>
      </c>
      <c r="B34555" t="s">
        <v>12898</v>
      </c>
      <c r="C34555" t="s">
        <v>1208</v>
      </c>
      <c r="D34555" t="s">
        <v>14</v>
      </c>
      <c r="E34555" t="s">
        <v>219</v>
      </c>
      <c r="F34555" s="2" t="str">
        <f>HYPERLINK("http://www.otzar.org/book.asp?179520","קדושה ושיר - קדושתאות לשבתות הנחמה")</f>
        <v>קדושה ושיר - קדושתאות לשבתות הנחמה</v>
      </c>
    </row>
    <row r="34556" spans="1:6" x14ac:dyDescent="0.2">
      <c r="A34556" t="s">
        <v>53550</v>
      </c>
      <c r="B34556" t="s">
        <v>9358</v>
      </c>
      <c r="C34556" t="s">
        <v>989</v>
      </c>
      <c r="D34556" t="s">
        <v>52</v>
      </c>
      <c r="E34556" t="s">
        <v>202</v>
      </c>
      <c r="F34556" s="2" t="str">
        <f>HYPERLINK("http://www.otzar.org/book.asp?151841","קדושי מישקולץ והסביבה")</f>
        <v>קדושי מישקולץ והסביבה</v>
      </c>
    </row>
    <row r="34557" spans="1:6" x14ac:dyDescent="0.2">
      <c r="A34557" t="s">
        <v>53551</v>
      </c>
      <c r="B34557" t="s">
        <v>8929</v>
      </c>
      <c r="C34557" t="s">
        <v>146</v>
      </c>
      <c r="D34557" t="s">
        <v>14</v>
      </c>
      <c r="E34557" t="s">
        <v>119</v>
      </c>
      <c r="F34557" s="2" t="str">
        <f>HYPERLINK("http://www.otzar.org/book.asp?156628","קדושים אשר בארץ")</f>
        <v>קדושים אשר בארץ</v>
      </c>
    </row>
    <row r="34558" spans="1:6" x14ac:dyDescent="0.2">
      <c r="A34558" t="s">
        <v>53552</v>
      </c>
      <c r="B34558" t="s">
        <v>53553</v>
      </c>
      <c r="C34558" t="s">
        <v>1974</v>
      </c>
      <c r="D34558" t="s">
        <v>68</v>
      </c>
      <c r="F34558" s="2" t="str">
        <f>HYPERLINK("http://www.otzar.org/book.asp?603799","קדושים תהיו")</f>
        <v>קדושים תהיו</v>
      </c>
    </row>
    <row r="34559" spans="1:6" x14ac:dyDescent="0.2">
      <c r="A34559" t="s">
        <v>53552</v>
      </c>
      <c r="B34559" t="s">
        <v>11296</v>
      </c>
      <c r="C34559" t="s">
        <v>53554</v>
      </c>
      <c r="D34559" t="s">
        <v>27</v>
      </c>
      <c r="E34559" t="s">
        <v>213</v>
      </c>
      <c r="F34559" s="2" t="str">
        <f>HYPERLINK("http://www.otzar.org/book.asp?11529","קדושים תהיו")</f>
        <v>קדושים תהיו</v>
      </c>
    </row>
    <row r="34560" spans="1:6" x14ac:dyDescent="0.2">
      <c r="A34560" t="s">
        <v>53555</v>
      </c>
      <c r="B34560" t="s">
        <v>53556</v>
      </c>
      <c r="C34560" t="s">
        <v>13</v>
      </c>
      <c r="D34560" t="s">
        <v>52</v>
      </c>
      <c r="E34560" t="s">
        <v>148</v>
      </c>
      <c r="F34560" s="2" t="str">
        <f>HYPERLINK("http://www.otzar.org/book.asp?61128","קדושים תהיו - 2 כר'")</f>
        <v>קדושים תהיו - 2 כר'</v>
      </c>
    </row>
    <row r="34561" spans="1:6" x14ac:dyDescent="0.2">
      <c r="A34561" t="s">
        <v>53552</v>
      </c>
      <c r="B34561" t="s">
        <v>16472</v>
      </c>
      <c r="C34561" t="s">
        <v>111</v>
      </c>
      <c r="D34561" t="s">
        <v>52</v>
      </c>
      <c r="E34561" t="s">
        <v>15</v>
      </c>
      <c r="F34561" s="2" t="str">
        <f>HYPERLINK("http://www.otzar.org/book.asp?629625","קדושים תהיו")</f>
        <v>קדושים תהיו</v>
      </c>
    </row>
    <row r="34562" spans="1:6" x14ac:dyDescent="0.2">
      <c r="A34562" t="s">
        <v>53557</v>
      </c>
      <c r="B34562" t="s">
        <v>53558</v>
      </c>
      <c r="C34562" t="s">
        <v>313</v>
      </c>
      <c r="D34562" t="s">
        <v>3331</v>
      </c>
      <c r="E34562" t="s">
        <v>38986</v>
      </c>
      <c r="F34562" s="2" t="str">
        <f>HYPERLINK("http://www.otzar.org/book.asp?60103","קדושת אברהם - 2 כר'")</f>
        <v>קדושת אברהם - 2 כר'</v>
      </c>
    </row>
    <row r="34563" spans="1:6" x14ac:dyDescent="0.2">
      <c r="A34563" t="s">
        <v>53559</v>
      </c>
      <c r="B34563" t="s">
        <v>53560</v>
      </c>
      <c r="C34563" t="s">
        <v>23</v>
      </c>
      <c r="D34563" t="s">
        <v>52</v>
      </c>
      <c r="E34563" t="s">
        <v>230</v>
      </c>
      <c r="F34563" s="2" t="str">
        <f>HYPERLINK("http://www.otzar.org/book.asp?183331","קדושת אהרן &lt;מהדורה חדשה&gt;")</f>
        <v>קדושת אהרן &lt;מהדורה חדשה&gt;</v>
      </c>
    </row>
    <row r="34564" spans="1:6" x14ac:dyDescent="0.2">
      <c r="A34564" t="s">
        <v>53561</v>
      </c>
      <c r="B34564" t="s">
        <v>53560</v>
      </c>
      <c r="C34564" t="s">
        <v>143</v>
      </c>
      <c r="D34564" t="s">
        <v>216</v>
      </c>
      <c r="E34564" t="s">
        <v>230</v>
      </c>
      <c r="F34564" s="2" t="str">
        <f>HYPERLINK("http://www.otzar.org/book.asp?163455","קדושת אהרן &lt;עם הוספות&gt;")</f>
        <v>קדושת אהרן &lt;עם הוספות&gt;</v>
      </c>
    </row>
    <row r="34565" spans="1:6" x14ac:dyDescent="0.2">
      <c r="A34565" t="s">
        <v>53562</v>
      </c>
      <c r="B34565" t="s">
        <v>53560</v>
      </c>
      <c r="C34565" t="s">
        <v>1166</v>
      </c>
      <c r="D34565" t="s">
        <v>283</v>
      </c>
      <c r="E34565" t="s">
        <v>158</v>
      </c>
      <c r="F34565" s="2" t="str">
        <f>HYPERLINK("http://www.otzar.org/book.asp?10185","קדושת אהרן")</f>
        <v>קדושת אהרן</v>
      </c>
    </row>
    <row r="34566" spans="1:6" x14ac:dyDescent="0.2">
      <c r="A34566" t="s">
        <v>53563</v>
      </c>
      <c r="B34566" t="s">
        <v>10000</v>
      </c>
      <c r="C34566" t="s">
        <v>454</v>
      </c>
      <c r="D34566" t="s">
        <v>14</v>
      </c>
      <c r="E34566" t="s">
        <v>15</v>
      </c>
      <c r="F34566" s="2" t="str">
        <f>HYPERLINK("http://www.otzar.org/book.asp?182630","קדושת בית הכנסת ובית המדרש")</f>
        <v>קדושת בית הכנסת ובית המדרש</v>
      </c>
    </row>
    <row r="34567" spans="1:6" x14ac:dyDescent="0.2">
      <c r="A34567" t="s">
        <v>53564</v>
      </c>
      <c r="B34567" t="s">
        <v>53565</v>
      </c>
      <c r="C34567" t="s">
        <v>53566</v>
      </c>
      <c r="D34567" t="s">
        <v>9</v>
      </c>
      <c r="E34567" t="s">
        <v>15</v>
      </c>
      <c r="F34567" s="2" t="str">
        <f>HYPERLINK("http://www.otzar.org/book.asp?176834","קדושת בית הכנסת")</f>
        <v>קדושת בית הכנסת</v>
      </c>
    </row>
    <row r="34568" spans="1:6" x14ac:dyDescent="0.2">
      <c r="A34568" t="s">
        <v>53567</v>
      </c>
      <c r="B34568" t="s">
        <v>7629</v>
      </c>
      <c r="C34568" t="s">
        <v>17</v>
      </c>
      <c r="D34568" t="s">
        <v>1156</v>
      </c>
      <c r="E34568" t="s">
        <v>714</v>
      </c>
      <c r="F34568" s="2" t="str">
        <f>HYPERLINK("http://www.otzar.org/book.asp?6268","קדושת בתי כנסיות ובתי מדרשות")</f>
        <v>קדושת בתי כנסיות ובתי מדרשות</v>
      </c>
    </row>
    <row r="34569" spans="1:6" x14ac:dyDescent="0.2">
      <c r="A34569" t="s">
        <v>53568</v>
      </c>
      <c r="B34569" t="s">
        <v>52687</v>
      </c>
      <c r="C34569" t="s">
        <v>13</v>
      </c>
      <c r="D34569" t="s">
        <v>52</v>
      </c>
      <c r="E34569" t="s">
        <v>803</v>
      </c>
      <c r="F34569" s="2" t="str">
        <f>HYPERLINK("http://www.otzar.org/book.asp?157918","קדושת דוד - 2 כר'")</f>
        <v>קדושת דוד - 2 כר'</v>
      </c>
    </row>
    <row r="34570" spans="1:6" x14ac:dyDescent="0.2">
      <c r="A34570" t="s">
        <v>53569</v>
      </c>
      <c r="B34570" t="s">
        <v>10000</v>
      </c>
      <c r="C34570" t="s">
        <v>68</v>
      </c>
      <c r="D34570" t="s">
        <v>14</v>
      </c>
      <c r="E34570" t="s">
        <v>241</v>
      </c>
      <c r="F34570" s="2" t="str">
        <f>HYPERLINK("http://www.otzar.org/book.asp?182637","קדושת האדם")</f>
        <v>קדושת האדם</v>
      </c>
    </row>
    <row r="34571" spans="1:6" x14ac:dyDescent="0.2">
      <c r="A34571" t="s">
        <v>53570</v>
      </c>
      <c r="B34571" t="s">
        <v>12861</v>
      </c>
      <c r="C34571" t="s">
        <v>356</v>
      </c>
      <c r="D34571" t="s">
        <v>14</v>
      </c>
      <c r="E34571" t="s">
        <v>2071</v>
      </c>
      <c r="F34571" s="2" t="str">
        <f>HYPERLINK("http://www.otzar.org/book.asp?167973","קדושת הארץ והמועדים")</f>
        <v>קדושת הארץ והמועדים</v>
      </c>
    </row>
    <row r="34572" spans="1:6" x14ac:dyDescent="0.2">
      <c r="A34572" t="s">
        <v>53571</v>
      </c>
      <c r="B34572" t="s">
        <v>2002</v>
      </c>
      <c r="C34572" t="s">
        <v>1458</v>
      </c>
      <c r="D34572" t="s">
        <v>1279</v>
      </c>
      <c r="E34572" t="s">
        <v>104</v>
      </c>
      <c r="F34572" s="2" t="str">
        <f>HYPERLINK("http://www.otzar.org/book.asp?108485","קדושת הארץ")</f>
        <v>קדושת הארץ</v>
      </c>
    </row>
    <row r="34573" spans="1:6" x14ac:dyDescent="0.2">
      <c r="A34573" t="s">
        <v>53572</v>
      </c>
      <c r="B34573" t="s">
        <v>4373</v>
      </c>
      <c r="C34573" t="s">
        <v>291</v>
      </c>
      <c r="D34573" t="s">
        <v>76</v>
      </c>
      <c r="E34573" t="s">
        <v>213</v>
      </c>
      <c r="F34573" s="2" t="str">
        <f>HYPERLINK("http://www.otzar.org/book.asp?167457","קדושת הארץ - 2 כר'")</f>
        <v>קדושת הארץ - 2 כר'</v>
      </c>
    </row>
    <row r="34574" spans="1:6" x14ac:dyDescent="0.2">
      <c r="A34574" t="s">
        <v>53571</v>
      </c>
      <c r="B34574" t="s">
        <v>12861</v>
      </c>
      <c r="C34574" t="s">
        <v>180</v>
      </c>
      <c r="D34574" t="s">
        <v>14</v>
      </c>
      <c r="E34574" t="s">
        <v>579</v>
      </c>
      <c r="F34574" s="2" t="str">
        <f>HYPERLINK("http://www.otzar.org/book.asp?149388","קדושת הארץ")</f>
        <v>קדושת הארץ</v>
      </c>
    </row>
    <row r="34575" spans="1:6" x14ac:dyDescent="0.2">
      <c r="A34575" t="s">
        <v>53573</v>
      </c>
      <c r="B34575" t="s">
        <v>255</v>
      </c>
      <c r="C34575" t="s">
        <v>189</v>
      </c>
      <c r="D34575" t="s">
        <v>14</v>
      </c>
      <c r="E34575" t="s">
        <v>144</v>
      </c>
      <c r="F34575" s="2" t="str">
        <f>HYPERLINK("http://www.otzar.org/book.asp?152692","קדושת הבכור - בכורות")</f>
        <v>קדושת הבכור - בכורות</v>
      </c>
    </row>
    <row r="34576" spans="1:6" x14ac:dyDescent="0.2">
      <c r="A34576" t="s">
        <v>53574</v>
      </c>
      <c r="B34576" t="s">
        <v>1973</v>
      </c>
      <c r="C34576" t="s">
        <v>87</v>
      </c>
      <c r="D34576" t="s">
        <v>1974</v>
      </c>
      <c r="E34576" t="s">
        <v>674</v>
      </c>
      <c r="F34576" s="2" t="str">
        <f>HYPERLINK("http://www.otzar.org/book.asp?23637","קדושת הבנים")</f>
        <v>קדושת הבנים</v>
      </c>
    </row>
    <row r="34577" spans="1:6" x14ac:dyDescent="0.2">
      <c r="A34577" t="s">
        <v>53575</v>
      </c>
      <c r="B34577" t="s">
        <v>107</v>
      </c>
      <c r="C34577" t="s">
        <v>176</v>
      </c>
      <c r="D34577" t="s">
        <v>14</v>
      </c>
      <c r="E34577" t="s">
        <v>15</v>
      </c>
      <c r="F34577" s="2" t="str">
        <f>HYPERLINK("http://www.otzar.org/book.asp?156532","קדושת הגוף - עבודת הלב - דיני תפילה לנשים")</f>
        <v>קדושת הגוף - עבודת הלב - דיני תפילה לנשים</v>
      </c>
    </row>
    <row r="34578" spans="1:6" x14ac:dyDescent="0.2">
      <c r="A34578" t="s">
        <v>53576</v>
      </c>
      <c r="B34578" t="s">
        <v>53577</v>
      </c>
      <c r="C34578" t="s">
        <v>767</v>
      </c>
      <c r="D34578" t="s">
        <v>52</v>
      </c>
      <c r="E34578" t="s">
        <v>241</v>
      </c>
      <c r="F34578" s="2" t="str">
        <f>HYPERLINK("http://www.otzar.org/book.asp?189196","קדושת הדיבור - 2 כר'")</f>
        <v>קדושת הדיבור - 2 כר'</v>
      </c>
    </row>
    <row r="34579" spans="1:6" x14ac:dyDescent="0.2">
      <c r="A34579" t="s">
        <v>53578</v>
      </c>
      <c r="B34579" t="s">
        <v>255</v>
      </c>
      <c r="C34579" t="s">
        <v>189</v>
      </c>
      <c r="D34579" t="s">
        <v>14</v>
      </c>
      <c r="E34579" t="s">
        <v>15</v>
      </c>
      <c r="F34579" s="2" t="str">
        <f>HYPERLINK("http://www.otzar.org/book.asp?152676","קדושת החודש")</f>
        <v>קדושת החודש</v>
      </c>
    </row>
    <row r="34580" spans="1:6" x14ac:dyDescent="0.2">
      <c r="A34580" t="s">
        <v>53579</v>
      </c>
      <c r="B34580" t="s">
        <v>53580</v>
      </c>
      <c r="C34580" t="s">
        <v>176</v>
      </c>
      <c r="D34580" t="s">
        <v>14</v>
      </c>
      <c r="E34580" t="s">
        <v>241</v>
      </c>
      <c r="F34580" s="2" t="str">
        <f>HYPERLINK("http://www.otzar.org/book.asp?163596","קדושת החיים")</f>
        <v>קדושת החיים</v>
      </c>
    </row>
    <row r="34581" spans="1:6" x14ac:dyDescent="0.2">
      <c r="A34581" t="s">
        <v>53581</v>
      </c>
      <c r="B34581" t="s">
        <v>3727</v>
      </c>
      <c r="C34581" t="s">
        <v>133</v>
      </c>
      <c r="D34581" t="s">
        <v>52</v>
      </c>
      <c r="E34581" t="s">
        <v>246</v>
      </c>
      <c r="F34581" s="2" t="str">
        <f>HYPERLINK("http://www.otzar.org/book.asp?175886","קדושת היום")</f>
        <v>קדושת היום</v>
      </c>
    </row>
    <row r="34582" spans="1:6" x14ac:dyDescent="0.2">
      <c r="A34582" t="s">
        <v>53581</v>
      </c>
      <c r="B34582" t="s">
        <v>255</v>
      </c>
      <c r="C34582" t="s">
        <v>189</v>
      </c>
      <c r="D34582" t="s">
        <v>14</v>
      </c>
      <c r="E34582" t="s">
        <v>144</v>
      </c>
      <c r="F34582" s="2" t="str">
        <f>HYPERLINK("http://www.otzar.org/book.asp?152685","קדושת היום")</f>
        <v>קדושת היום</v>
      </c>
    </row>
    <row r="34583" spans="1:6" x14ac:dyDescent="0.2">
      <c r="A34583" t="s">
        <v>53582</v>
      </c>
      <c r="B34583" t="s">
        <v>4756</v>
      </c>
      <c r="C34583" t="s">
        <v>20</v>
      </c>
      <c r="D34583" t="s">
        <v>90</v>
      </c>
      <c r="E34583" t="s">
        <v>104</v>
      </c>
      <c r="F34583" s="2" t="str">
        <f>HYPERLINK("http://www.otzar.org/book.asp?180669","קדושת הכהונה")</f>
        <v>קדושת הכהונה</v>
      </c>
    </row>
    <row r="34584" spans="1:6" x14ac:dyDescent="0.2">
      <c r="A34584" t="s">
        <v>53583</v>
      </c>
      <c r="B34584" t="s">
        <v>44895</v>
      </c>
      <c r="C34584" t="s">
        <v>189</v>
      </c>
      <c r="D34584" t="s">
        <v>367</v>
      </c>
      <c r="E34584" t="s">
        <v>15</v>
      </c>
      <c r="F34584" s="2" t="str">
        <f>HYPERLINK("http://www.otzar.org/book.asp?52918","קדושת הכהנים כהלכתה")</f>
        <v>קדושת הכהנים כהלכתה</v>
      </c>
    </row>
    <row r="34585" spans="1:6" x14ac:dyDescent="0.2">
      <c r="A34585" t="s">
        <v>53584</v>
      </c>
      <c r="B34585" t="s">
        <v>53585</v>
      </c>
      <c r="C34585" t="s">
        <v>68</v>
      </c>
      <c r="D34585" t="s">
        <v>52</v>
      </c>
      <c r="E34585" t="s">
        <v>803</v>
      </c>
      <c r="F34585" s="2" t="str">
        <f>HYPERLINK("http://www.otzar.org/book.asp?161728","קדושת המועד")</f>
        <v>קדושת המועד</v>
      </c>
    </row>
    <row r="34586" spans="1:6" x14ac:dyDescent="0.2">
      <c r="A34586" t="s">
        <v>53584</v>
      </c>
      <c r="B34586" t="s">
        <v>53586</v>
      </c>
      <c r="C34586" t="s">
        <v>151</v>
      </c>
      <c r="D34586" t="s">
        <v>152</v>
      </c>
      <c r="E34586" t="s">
        <v>15</v>
      </c>
      <c r="F34586" s="2" t="str">
        <f>HYPERLINK("http://www.otzar.org/book.asp?624819","קדושת המועד")</f>
        <v>קדושת המועד</v>
      </c>
    </row>
    <row r="34587" spans="1:6" x14ac:dyDescent="0.2">
      <c r="A34587" t="s">
        <v>53587</v>
      </c>
      <c r="B34587" t="s">
        <v>53588</v>
      </c>
      <c r="C34587" t="s">
        <v>13</v>
      </c>
      <c r="D34587" t="s">
        <v>90</v>
      </c>
      <c r="E34587" t="s">
        <v>15</v>
      </c>
      <c r="F34587" s="2" t="str">
        <f>HYPERLINK("http://www.otzar.org/book.asp?154416","קדושת המחנה")</f>
        <v>קדושת המחנה</v>
      </c>
    </row>
    <row r="34588" spans="1:6" x14ac:dyDescent="0.2">
      <c r="A34588" t="s">
        <v>53589</v>
      </c>
      <c r="B34588" t="s">
        <v>17829</v>
      </c>
      <c r="C34588" t="s">
        <v>13</v>
      </c>
      <c r="D34588" t="s">
        <v>412</v>
      </c>
      <c r="E34588" t="s">
        <v>158</v>
      </c>
      <c r="F34588" s="2" t="str">
        <f>HYPERLINK("http://www.otzar.org/book.asp?172627","קדושת המלך - 2 כר'")</f>
        <v>קדושת המלך - 2 כר'</v>
      </c>
    </row>
    <row r="34589" spans="1:6" x14ac:dyDescent="0.2">
      <c r="A34589" t="s">
        <v>53590</v>
      </c>
      <c r="B34589" t="s">
        <v>53591</v>
      </c>
      <c r="C34589" t="s">
        <v>37</v>
      </c>
      <c r="D34589" t="s">
        <v>14</v>
      </c>
      <c r="E34589" t="s">
        <v>104</v>
      </c>
      <c r="F34589" s="2" t="str">
        <f>HYPERLINK("http://www.otzar.org/book.asp?182521","קדושת המקדש וקדושת הארץ")</f>
        <v>קדושת המקדש וקדושת הארץ</v>
      </c>
    </row>
    <row r="34590" spans="1:6" x14ac:dyDescent="0.2">
      <c r="A34590" t="s">
        <v>53592</v>
      </c>
      <c r="B34590" t="s">
        <v>4206</v>
      </c>
      <c r="D34590" t="s">
        <v>4207</v>
      </c>
      <c r="E34590" t="s">
        <v>674</v>
      </c>
      <c r="F34590" s="2" t="str">
        <f>HYPERLINK("http://www.otzar.org/book.asp?624593","קדושת המקדש")</f>
        <v>קדושת המקדש</v>
      </c>
    </row>
    <row r="34591" spans="1:6" x14ac:dyDescent="0.2">
      <c r="A34591" t="s">
        <v>53593</v>
      </c>
      <c r="B34591" t="s">
        <v>2908</v>
      </c>
      <c r="C34591" t="s">
        <v>151</v>
      </c>
      <c r="D34591" t="s">
        <v>90</v>
      </c>
      <c r="F34591" s="2" t="str">
        <f>HYPERLINK("http://www.otzar.org/book.asp?609664","קדושת הנישואין - הסכמי קדם נישואין")</f>
        <v>קדושת הנישואין - הסכמי קדם נישואין</v>
      </c>
    </row>
    <row r="34592" spans="1:6" x14ac:dyDescent="0.2">
      <c r="A34592" t="s">
        <v>53594</v>
      </c>
      <c r="B34592" t="s">
        <v>10000</v>
      </c>
      <c r="C34592" t="s">
        <v>13</v>
      </c>
      <c r="D34592" t="s">
        <v>14</v>
      </c>
      <c r="E34592" t="s">
        <v>241</v>
      </c>
      <c r="F34592" s="2" t="str">
        <f>HYPERLINK("http://www.otzar.org/book.asp?182638","קדושת העינים")</f>
        <v>קדושת העינים</v>
      </c>
    </row>
    <row r="34593" spans="1:6" x14ac:dyDescent="0.2">
      <c r="A34593" t="s">
        <v>53595</v>
      </c>
      <c r="B34593" t="s">
        <v>10567</v>
      </c>
      <c r="C34593" t="s">
        <v>1619</v>
      </c>
      <c r="D34593" t="s">
        <v>412</v>
      </c>
      <c r="E34593" t="s">
        <v>3387</v>
      </c>
      <c r="F34593" s="2" t="str">
        <f>HYPERLINK("http://www.otzar.org/book.asp?15330","קדושת הר")</f>
        <v>קדושת הר</v>
      </c>
    </row>
    <row r="34594" spans="1:6" x14ac:dyDescent="0.2">
      <c r="A34594" t="s">
        <v>53596</v>
      </c>
      <c r="B34594" t="s">
        <v>41237</v>
      </c>
      <c r="C34594" t="s">
        <v>133</v>
      </c>
      <c r="D34594" t="s">
        <v>14</v>
      </c>
      <c r="E34594" t="s">
        <v>130</v>
      </c>
      <c r="F34594" s="2" t="str">
        <f>HYPERLINK("http://www.otzar.org/book.asp?180958","קדושת השבת - 2 כר'")</f>
        <v>קדושת השבת - 2 כר'</v>
      </c>
    </row>
    <row r="34595" spans="1:6" x14ac:dyDescent="0.2">
      <c r="A34595" t="s">
        <v>53597</v>
      </c>
      <c r="B34595" t="s">
        <v>30509</v>
      </c>
      <c r="C34595" t="s">
        <v>1208</v>
      </c>
      <c r="D34595" t="s">
        <v>14</v>
      </c>
      <c r="F34595" s="2" t="str">
        <f>HYPERLINK("http://www.otzar.org/book.asp?615370","קדושת השבת")</f>
        <v>קדושת השבת</v>
      </c>
    </row>
    <row r="34596" spans="1:6" x14ac:dyDescent="0.2">
      <c r="A34596" t="s">
        <v>53598</v>
      </c>
      <c r="B34596" t="s">
        <v>38037</v>
      </c>
      <c r="C34596" t="s">
        <v>168</v>
      </c>
      <c r="D34596" t="s">
        <v>52</v>
      </c>
      <c r="E34596" t="s">
        <v>241</v>
      </c>
      <c r="F34596" s="2" t="str">
        <f>HYPERLINK("http://www.otzar.org/book.asp?163964","קדושת השלחן")</f>
        <v>קדושת השלחן</v>
      </c>
    </row>
    <row r="34597" spans="1:6" x14ac:dyDescent="0.2">
      <c r="A34597" t="s">
        <v>53599</v>
      </c>
      <c r="B34597" t="s">
        <v>1791</v>
      </c>
      <c r="C34597" t="s">
        <v>168</v>
      </c>
      <c r="D34597" t="s">
        <v>14</v>
      </c>
      <c r="E34597" t="s">
        <v>158</v>
      </c>
      <c r="F34597" s="2" t="str">
        <f>HYPERLINK("http://www.otzar.org/book.asp?106121","קדושת התורה ודקדוקה - 5 כר'")</f>
        <v>קדושת התורה ודקדוקה - 5 כר'</v>
      </c>
    </row>
    <row r="34598" spans="1:6" x14ac:dyDescent="0.2">
      <c r="A34598" t="s">
        <v>53600</v>
      </c>
      <c r="B34598" t="s">
        <v>602</v>
      </c>
      <c r="C34598" t="s">
        <v>617</v>
      </c>
      <c r="D34598" t="s">
        <v>27</v>
      </c>
      <c r="E34598" t="s">
        <v>241</v>
      </c>
      <c r="F34598" s="2" t="str">
        <f>HYPERLINK("http://www.otzar.org/book.asp?20580","קדושת התלמוד")</f>
        <v>קדושת התלמוד</v>
      </c>
    </row>
    <row r="34599" spans="1:6" x14ac:dyDescent="0.2">
      <c r="A34599" t="s">
        <v>53601</v>
      </c>
      <c r="B34599" t="s">
        <v>53602</v>
      </c>
      <c r="C34599" t="s">
        <v>306</v>
      </c>
      <c r="D34599" t="s">
        <v>27</v>
      </c>
      <c r="E34599" t="s">
        <v>154</v>
      </c>
      <c r="F34599" s="2" t="str">
        <f>HYPERLINK("http://www.otzar.org/book.asp?10902","קדושת יום טוב")</f>
        <v>קדושת יום טוב</v>
      </c>
    </row>
    <row r="34600" spans="1:6" x14ac:dyDescent="0.2">
      <c r="A34600" t="s">
        <v>53601</v>
      </c>
      <c r="B34600" t="s">
        <v>53603</v>
      </c>
      <c r="C34600" t="s">
        <v>17</v>
      </c>
      <c r="D34600" t="s">
        <v>14</v>
      </c>
      <c r="E34600" t="s">
        <v>144</v>
      </c>
      <c r="F34600" s="2" t="str">
        <f>HYPERLINK("http://www.otzar.org/book.asp?144092","קדושת יום טוב")</f>
        <v>קדושת יום טוב</v>
      </c>
    </row>
    <row r="34601" spans="1:6" x14ac:dyDescent="0.2">
      <c r="A34601" t="s">
        <v>53601</v>
      </c>
      <c r="B34601" t="s">
        <v>53604</v>
      </c>
      <c r="C34601" t="s">
        <v>550</v>
      </c>
      <c r="D34601" t="s">
        <v>56</v>
      </c>
      <c r="E34601" t="s">
        <v>508</v>
      </c>
      <c r="F34601" s="2" t="str">
        <f>HYPERLINK("http://www.otzar.org/book.asp?101725","קדושת יום טוב")</f>
        <v>קדושת יום טוב</v>
      </c>
    </row>
    <row r="34602" spans="1:6" x14ac:dyDescent="0.2">
      <c r="A34602" t="s">
        <v>53605</v>
      </c>
      <c r="B34602" t="s">
        <v>31382</v>
      </c>
      <c r="C34602" t="s">
        <v>1721</v>
      </c>
      <c r="D34602" t="s">
        <v>1459</v>
      </c>
      <c r="E34602" t="s">
        <v>15</v>
      </c>
      <c r="F34602" s="2" t="str">
        <f>HYPERLINK("http://www.otzar.org/book.asp?166829","קדושת יום טוב - 2 כר'")</f>
        <v>קדושת יום טוב - 2 כר'</v>
      </c>
    </row>
    <row r="34603" spans="1:6" x14ac:dyDescent="0.2">
      <c r="A34603" t="s">
        <v>53601</v>
      </c>
      <c r="B34603" t="s">
        <v>53606</v>
      </c>
      <c r="C34603" t="s">
        <v>1228</v>
      </c>
      <c r="D34603" t="s">
        <v>756</v>
      </c>
      <c r="E34603" t="s">
        <v>158</v>
      </c>
      <c r="F34603" s="2" t="str">
        <f>HYPERLINK("http://www.otzar.org/book.asp?102191","קדושת יום טוב")</f>
        <v>קדושת יום טוב</v>
      </c>
    </row>
    <row r="34604" spans="1:6" x14ac:dyDescent="0.2">
      <c r="A34604" t="s">
        <v>53607</v>
      </c>
      <c r="B34604" t="s">
        <v>53608</v>
      </c>
      <c r="C34604" t="s">
        <v>482</v>
      </c>
      <c r="D34604" t="s">
        <v>9</v>
      </c>
      <c r="E34604" t="s">
        <v>144</v>
      </c>
      <c r="F34604" s="2" t="str">
        <f>HYPERLINK("http://www.otzar.org/book.asp?51482","קדושת יוסף")</f>
        <v>קדושת יוסף</v>
      </c>
    </row>
    <row r="34605" spans="1:6" x14ac:dyDescent="0.2">
      <c r="A34605" t="s">
        <v>53609</v>
      </c>
      <c r="B34605" t="s">
        <v>239</v>
      </c>
      <c r="C34605" t="s">
        <v>244</v>
      </c>
      <c r="D34605" t="s">
        <v>14</v>
      </c>
      <c r="E34605" t="s">
        <v>241</v>
      </c>
      <c r="F34605" s="2" t="str">
        <f>HYPERLINK("http://www.otzar.org/book.asp?625956","קדושת יעקב")</f>
        <v>קדושת יעקב</v>
      </c>
    </row>
    <row r="34606" spans="1:6" x14ac:dyDescent="0.2">
      <c r="A34606" t="s">
        <v>53610</v>
      </c>
      <c r="B34606" t="s">
        <v>4728</v>
      </c>
      <c r="C34606" t="s">
        <v>454</v>
      </c>
      <c r="D34606" t="s">
        <v>14</v>
      </c>
      <c r="E34606" t="s">
        <v>8854</v>
      </c>
      <c r="F34606" s="2" t="str">
        <f>HYPERLINK("http://www.otzar.org/book.asp?156582","קדושת יצחק")</f>
        <v>קדושת יצחק</v>
      </c>
    </row>
    <row r="34607" spans="1:6" x14ac:dyDescent="0.2">
      <c r="A34607" t="s">
        <v>53610</v>
      </c>
      <c r="B34607" t="s">
        <v>53611</v>
      </c>
      <c r="C34607" t="s">
        <v>1062</v>
      </c>
      <c r="D34607" t="s">
        <v>27</v>
      </c>
      <c r="E34607" t="s">
        <v>119</v>
      </c>
      <c r="F34607" s="2" t="str">
        <f>HYPERLINK("http://www.otzar.org/book.asp?23775","קדושת יצחק")</f>
        <v>קדושת יצחק</v>
      </c>
    </row>
    <row r="34608" spans="1:6" x14ac:dyDescent="0.2">
      <c r="A34608" t="s">
        <v>53610</v>
      </c>
      <c r="B34608" t="s">
        <v>53612</v>
      </c>
      <c r="C34608" t="s">
        <v>114</v>
      </c>
      <c r="D34608" t="s">
        <v>14</v>
      </c>
      <c r="E34608" t="s">
        <v>1185</v>
      </c>
      <c r="F34608" s="2" t="str">
        <f>HYPERLINK("http://www.otzar.org/book.asp?165061","קדושת יצחק")</f>
        <v>קדושת יצחק</v>
      </c>
    </row>
    <row r="34609" spans="1:6" x14ac:dyDescent="0.2">
      <c r="A34609" t="s">
        <v>53613</v>
      </c>
      <c r="B34609" t="s">
        <v>41881</v>
      </c>
      <c r="C34609" t="s">
        <v>427</v>
      </c>
      <c r="D34609" t="s">
        <v>14</v>
      </c>
      <c r="E34609" t="s">
        <v>741</v>
      </c>
      <c r="F34609" s="2" t="str">
        <f>HYPERLINK("http://www.otzar.org/book.asp?682","קדושת ירושלים")</f>
        <v>קדושת ירושלים</v>
      </c>
    </row>
    <row r="34610" spans="1:6" x14ac:dyDescent="0.2">
      <c r="A34610" t="s">
        <v>53614</v>
      </c>
      <c r="B34610" t="s">
        <v>4049</v>
      </c>
      <c r="C34610" t="s">
        <v>1954</v>
      </c>
      <c r="D34610" t="s">
        <v>14</v>
      </c>
      <c r="E34610" t="s">
        <v>12194</v>
      </c>
      <c r="F34610" s="2" t="str">
        <f>HYPERLINK("http://www.otzar.org/book.asp?23366","קדושת ישראל")</f>
        <v>קדושת ישראל</v>
      </c>
    </row>
    <row r="34611" spans="1:6" x14ac:dyDescent="0.2">
      <c r="A34611" t="s">
        <v>53614</v>
      </c>
      <c r="B34611" t="s">
        <v>53615</v>
      </c>
      <c r="C34611" t="s">
        <v>99</v>
      </c>
      <c r="D34611" t="s">
        <v>27</v>
      </c>
      <c r="E34611" t="s">
        <v>15</v>
      </c>
      <c r="F34611" s="2" t="str">
        <f>HYPERLINK("http://www.otzar.org/book.asp?7539","קדושת ישראל")</f>
        <v>קדושת ישראל</v>
      </c>
    </row>
    <row r="34612" spans="1:6" x14ac:dyDescent="0.2">
      <c r="A34612" t="s">
        <v>53614</v>
      </c>
      <c r="B34612" t="s">
        <v>53616</v>
      </c>
      <c r="C34612" t="s">
        <v>334</v>
      </c>
      <c r="D34612" t="s">
        <v>216</v>
      </c>
      <c r="E34612" t="s">
        <v>24461</v>
      </c>
      <c r="F34612" s="2" t="str">
        <f>HYPERLINK("http://www.otzar.org/book.asp?11967","קדושת ישראל")</f>
        <v>קדושת ישראל</v>
      </c>
    </row>
    <row r="34613" spans="1:6" x14ac:dyDescent="0.2">
      <c r="A34613" t="s">
        <v>53617</v>
      </c>
      <c r="B34613" t="s">
        <v>53618</v>
      </c>
      <c r="C34613" t="s">
        <v>53619</v>
      </c>
      <c r="D34613" t="s">
        <v>535</v>
      </c>
      <c r="E34613" t="s">
        <v>144</v>
      </c>
      <c r="F34613" s="2" t="str">
        <f>HYPERLINK("http://www.otzar.org/book.asp?17563","קדושת ישראל - 3 כר'")</f>
        <v>קדושת ישראל - 3 כר'</v>
      </c>
    </row>
    <row r="34614" spans="1:6" x14ac:dyDescent="0.2">
      <c r="A34614" t="s">
        <v>53614</v>
      </c>
      <c r="B34614" t="s">
        <v>11920</v>
      </c>
      <c r="C34614" t="s">
        <v>13</v>
      </c>
      <c r="D34614" t="s">
        <v>486</v>
      </c>
      <c r="E34614" t="s">
        <v>148</v>
      </c>
      <c r="F34614" s="2" t="str">
        <f>HYPERLINK("http://www.otzar.org/book.asp?53235","קדושת ישראל")</f>
        <v>קדושת ישראל</v>
      </c>
    </row>
    <row r="34615" spans="1:6" x14ac:dyDescent="0.2">
      <c r="A34615" t="s">
        <v>53614</v>
      </c>
      <c r="B34615" t="s">
        <v>107</v>
      </c>
      <c r="C34615" t="s">
        <v>103</v>
      </c>
      <c r="D34615" t="s">
        <v>14</v>
      </c>
      <c r="E34615" t="s">
        <v>104</v>
      </c>
      <c r="F34615" s="2" t="str">
        <f>HYPERLINK("http://www.otzar.org/book.asp?148236","קדושת ישראל")</f>
        <v>קדושת ישראל</v>
      </c>
    </row>
    <row r="34616" spans="1:6" x14ac:dyDescent="0.2">
      <c r="A34616" t="s">
        <v>53614</v>
      </c>
      <c r="B34616" t="s">
        <v>2885</v>
      </c>
      <c r="C34616" t="s">
        <v>20</v>
      </c>
      <c r="D34616" t="s">
        <v>14</v>
      </c>
      <c r="E34616" t="s">
        <v>703</v>
      </c>
      <c r="F34616" s="2" t="str">
        <f>HYPERLINK("http://www.otzar.org/book.asp?60854","קדושת ישראל")</f>
        <v>קדושת ישראל</v>
      </c>
    </row>
    <row r="34617" spans="1:6" x14ac:dyDescent="0.2">
      <c r="A34617" t="s">
        <v>53620</v>
      </c>
      <c r="B34617" t="s">
        <v>25655</v>
      </c>
      <c r="C34617" t="s">
        <v>6448</v>
      </c>
      <c r="D34617" t="s">
        <v>27174</v>
      </c>
      <c r="E34617" t="s">
        <v>1185</v>
      </c>
      <c r="F34617" s="2" t="str">
        <f>HYPERLINK("http://www.otzar.org/book.asp?53556","קדושת לוי &lt;דפו""ר&gt;")</f>
        <v>קדושת לוי &lt;דפו"ר&gt;</v>
      </c>
    </row>
    <row r="34618" spans="1:6" x14ac:dyDescent="0.2">
      <c r="A34618" t="s">
        <v>53621</v>
      </c>
      <c r="B34618" t="s">
        <v>25655</v>
      </c>
      <c r="C34618" t="s">
        <v>1609</v>
      </c>
      <c r="D34618" t="s">
        <v>14</v>
      </c>
      <c r="E34618" t="s">
        <v>2071</v>
      </c>
      <c r="F34618" s="2" t="str">
        <f>HYPERLINK("http://www.otzar.org/book.asp?8795","קדושת לוי השלם - 3 כר'")</f>
        <v>קדושת לוי השלם - 3 כר'</v>
      </c>
    </row>
    <row r="34619" spans="1:6" x14ac:dyDescent="0.2">
      <c r="A34619" t="s">
        <v>53622</v>
      </c>
      <c r="B34619" t="s">
        <v>25655</v>
      </c>
      <c r="C34619" t="s">
        <v>75</v>
      </c>
      <c r="D34619" t="s">
        <v>267</v>
      </c>
      <c r="E34619" t="s">
        <v>32006</v>
      </c>
      <c r="F34619" s="2" t="str">
        <f>HYPERLINK("http://www.otzar.org/book.asp?16553","קדושת לוי על פרקי אבות")</f>
        <v>קדושת לוי על פרקי אבות</v>
      </c>
    </row>
    <row r="34620" spans="1:6" x14ac:dyDescent="0.2">
      <c r="A34620" t="s">
        <v>53623</v>
      </c>
      <c r="B34620" t="s">
        <v>25655</v>
      </c>
      <c r="C34620" t="s">
        <v>1047</v>
      </c>
      <c r="D34620" t="s">
        <v>1566</v>
      </c>
      <c r="E34620" t="s">
        <v>2418</v>
      </c>
      <c r="F34620" s="2" t="str">
        <f>HYPERLINK("http://www.otzar.org/book.asp?158110","קדושת לוי - 5 כר'")</f>
        <v>קדושת לוי - 5 כר'</v>
      </c>
    </row>
    <row r="34621" spans="1:6" x14ac:dyDescent="0.2">
      <c r="A34621" t="s">
        <v>53624</v>
      </c>
      <c r="B34621" t="s">
        <v>53625</v>
      </c>
      <c r="C34621" t="s">
        <v>466</v>
      </c>
      <c r="D34621" t="s">
        <v>52</v>
      </c>
      <c r="F34621" s="2" t="str">
        <f>HYPERLINK("http://www.otzar.org/book.asp?189842","קדושת ליל הסדר")</f>
        <v>קדושת ליל הסדר</v>
      </c>
    </row>
    <row r="34622" spans="1:6" x14ac:dyDescent="0.2">
      <c r="A34622" t="s">
        <v>53626</v>
      </c>
      <c r="B34622" t="s">
        <v>2853</v>
      </c>
      <c r="C34622" t="s">
        <v>20</v>
      </c>
      <c r="D34622" t="s">
        <v>216</v>
      </c>
      <c r="E34622" t="s">
        <v>104</v>
      </c>
      <c r="F34622" s="2" t="str">
        <f>HYPERLINK("http://www.otzar.org/book.asp?617334","קדושת מורשה")</f>
        <v>קדושת מורשה</v>
      </c>
    </row>
    <row r="34623" spans="1:6" x14ac:dyDescent="0.2">
      <c r="A34623" t="s">
        <v>53627</v>
      </c>
      <c r="B34623" t="s">
        <v>53628</v>
      </c>
      <c r="C34623" t="s">
        <v>189</v>
      </c>
      <c r="D34623" t="s">
        <v>1156</v>
      </c>
      <c r="E34623" t="s">
        <v>606</v>
      </c>
      <c r="F34623" s="2" t="str">
        <f>HYPERLINK("http://www.otzar.org/book.asp?52675","קדושת מחנה כהלכתה")</f>
        <v>קדושת מחנה כהלכתה</v>
      </c>
    </row>
    <row r="34624" spans="1:6" x14ac:dyDescent="0.2">
      <c r="A34624" t="s">
        <v>53629</v>
      </c>
      <c r="B34624" t="s">
        <v>53630</v>
      </c>
      <c r="C34624" t="s">
        <v>160</v>
      </c>
      <c r="D34624" t="s">
        <v>412</v>
      </c>
      <c r="E34624" t="s">
        <v>741</v>
      </c>
      <c r="F34624" s="2" t="str">
        <f>HYPERLINK("http://www.otzar.org/book.asp?10602","קדושת מרדכי - 2 כר'")</f>
        <v>קדושת מרדכי - 2 כר'</v>
      </c>
    </row>
    <row r="34625" spans="1:6" x14ac:dyDescent="0.2">
      <c r="A34625" t="s">
        <v>53631</v>
      </c>
      <c r="B34625" t="s">
        <v>16317</v>
      </c>
      <c r="C34625" t="s">
        <v>1208</v>
      </c>
      <c r="D34625" t="s">
        <v>52</v>
      </c>
      <c r="E34625" t="s">
        <v>733</v>
      </c>
      <c r="F34625" s="2" t="str">
        <f>HYPERLINK("http://www.otzar.org/book.asp?51089","קדושת משה")</f>
        <v>קדושת משה</v>
      </c>
    </row>
    <row r="34626" spans="1:6" x14ac:dyDescent="0.2">
      <c r="A34626" t="s">
        <v>53632</v>
      </c>
      <c r="B34626" t="s">
        <v>53633</v>
      </c>
      <c r="C34626" t="s">
        <v>433</v>
      </c>
      <c r="D34626" t="s">
        <v>986</v>
      </c>
      <c r="E34626" t="s">
        <v>158</v>
      </c>
      <c r="F34626" s="2" t="str">
        <f>HYPERLINK("http://www.otzar.org/book.asp?51481","קדושת נפתלי")</f>
        <v>קדושת נפתלי</v>
      </c>
    </row>
    <row r="34627" spans="1:6" x14ac:dyDescent="0.2">
      <c r="A34627" t="s">
        <v>53634</v>
      </c>
      <c r="B34627" t="s">
        <v>29348</v>
      </c>
      <c r="C34627" t="s">
        <v>143</v>
      </c>
      <c r="D34627" t="s">
        <v>412</v>
      </c>
      <c r="E34627" t="s">
        <v>15</v>
      </c>
      <c r="F34627" s="2" t="str">
        <f>HYPERLINK("http://www.otzar.org/book.asp?195835","קדושת ספר תורה")</f>
        <v>קדושת ספר תורה</v>
      </c>
    </row>
    <row r="34628" spans="1:6" x14ac:dyDescent="0.2">
      <c r="A34628" t="s">
        <v>53635</v>
      </c>
      <c r="B34628" t="s">
        <v>53636</v>
      </c>
      <c r="C34628" t="s">
        <v>71</v>
      </c>
      <c r="D34628" t="s">
        <v>52</v>
      </c>
      <c r="E34628" t="s">
        <v>15</v>
      </c>
      <c r="F34628" s="2" t="str">
        <f>HYPERLINK("http://www.otzar.org/book.asp?159357","קדושת סת""ם - א")</f>
        <v>קדושת סת"ם - א</v>
      </c>
    </row>
    <row r="34629" spans="1:6" x14ac:dyDescent="0.2">
      <c r="A34629" t="s">
        <v>53637</v>
      </c>
      <c r="B34629" t="s">
        <v>52135</v>
      </c>
      <c r="C34629" t="s">
        <v>143</v>
      </c>
      <c r="D34629" t="s">
        <v>52</v>
      </c>
      <c r="E34629" t="s">
        <v>241</v>
      </c>
      <c r="F34629" s="2" t="str">
        <f>HYPERLINK("http://www.otzar.org/book.asp?23801","קדושת עינים")</f>
        <v>קדושת עינים</v>
      </c>
    </row>
    <row r="34630" spans="1:6" x14ac:dyDescent="0.2">
      <c r="A34630" t="s">
        <v>53638</v>
      </c>
      <c r="B34630" t="s">
        <v>53639</v>
      </c>
      <c r="C34630" t="s">
        <v>53640</v>
      </c>
      <c r="D34630" t="s">
        <v>14</v>
      </c>
      <c r="E34630" t="s">
        <v>202</v>
      </c>
      <c r="F34630" s="2" t="str">
        <f>HYPERLINK("http://www.otzar.org/book.asp?627645","קדושת ציון - 2 כר'")</f>
        <v>קדושת ציון - 2 כר'</v>
      </c>
    </row>
    <row r="34631" spans="1:6" x14ac:dyDescent="0.2">
      <c r="A34631" t="s">
        <v>53641</v>
      </c>
      <c r="B34631" t="s">
        <v>15689</v>
      </c>
      <c r="C34631" t="s">
        <v>17</v>
      </c>
      <c r="D34631" t="s">
        <v>3069</v>
      </c>
      <c r="E34631" t="s">
        <v>15</v>
      </c>
      <c r="F34631" s="2" t="str">
        <f>HYPERLINK("http://www.otzar.org/book.asp?162157","קדושת שביעית")</f>
        <v>קדושת שביעית</v>
      </c>
    </row>
    <row r="34632" spans="1:6" x14ac:dyDescent="0.2">
      <c r="A34632" t="s">
        <v>53642</v>
      </c>
      <c r="B34632" t="s">
        <v>53643</v>
      </c>
      <c r="C34632" t="s">
        <v>1619</v>
      </c>
      <c r="D34632" t="s">
        <v>52</v>
      </c>
      <c r="E34632" t="s">
        <v>714</v>
      </c>
      <c r="F34632" s="2" t="str">
        <f>HYPERLINK("http://www.otzar.org/book.asp?142940","קדושת שביעית - הגיונות ופעולות")</f>
        <v>קדושת שביעית - הגיונות ופעולות</v>
      </c>
    </row>
    <row r="34633" spans="1:6" x14ac:dyDescent="0.2">
      <c r="A34633" t="s">
        <v>53644</v>
      </c>
      <c r="B34633" t="s">
        <v>1750</v>
      </c>
      <c r="C34633" t="s">
        <v>1609</v>
      </c>
      <c r="D34633" t="s">
        <v>90</v>
      </c>
      <c r="E34633" t="s">
        <v>2091</v>
      </c>
      <c r="F34633" s="2" t="str">
        <f>HYPERLINK("http://www.otzar.org/book.asp?60390","קדושת שביעית - 5 כר'")</f>
        <v>קדושת שביעית - 5 כר'</v>
      </c>
    </row>
    <row r="34634" spans="1:6" x14ac:dyDescent="0.2">
      <c r="A34634" t="s">
        <v>53641</v>
      </c>
      <c r="B34634" t="s">
        <v>36593</v>
      </c>
      <c r="C34634" t="s">
        <v>496</v>
      </c>
      <c r="D34634" t="s">
        <v>27</v>
      </c>
      <c r="F34634" s="2" t="str">
        <f>HYPERLINK("http://www.otzar.org/book.asp?147846","קדושת שביעית")</f>
        <v>קדושת שביעית</v>
      </c>
    </row>
    <row r="34635" spans="1:6" x14ac:dyDescent="0.2">
      <c r="A34635" t="s">
        <v>53645</v>
      </c>
      <c r="B34635" t="s">
        <v>19915</v>
      </c>
      <c r="C34635" t="s">
        <v>20</v>
      </c>
      <c r="D34635" t="s">
        <v>14</v>
      </c>
      <c r="E34635" t="s">
        <v>144</v>
      </c>
      <c r="F34635" s="2" t="str">
        <f>HYPERLINK("http://www.otzar.org/book.asp?177172","קדושת שבת")</f>
        <v>קדושת שבת</v>
      </c>
    </row>
    <row r="34636" spans="1:6" x14ac:dyDescent="0.2">
      <c r="A34636" t="s">
        <v>53645</v>
      </c>
      <c r="B34636" t="s">
        <v>16506</v>
      </c>
      <c r="C34636" t="s">
        <v>1124</v>
      </c>
      <c r="D34636" t="s">
        <v>267</v>
      </c>
      <c r="E34636" t="s">
        <v>4455</v>
      </c>
      <c r="F34636" s="2" t="str">
        <f>HYPERLINK("http://www.otzar.org/book.asp?103702","קדושת שבת")</f>
        <v>קדושת שבת</v>
      </c>
    </row>
    <row r="34637" spans="1:6" x14ac:dyDescent="0.2">
      <c r="A34637" t="s">
        <v>53646</v>
      </c>
      <c r="B34637" t="s">
        <v>12898</v>
      </c>
      <c r="C34637" t="s">
        <v>313</v>
      </c>
      <c r="D34637" t="s">
        <v>14</v>
      </c>
      <c r="E34637" t="s">
        <v>219</v>
      </c>
      <c r="F34637" s="2" t="str">
        <f>HYPERLINK("http://www.otzar.org/book.asp?179190","קדושתאות ליום מתן תורה")</f>
        <v>קדושתאות ליום מתן תורה</v>
      </c>
    </row>
    <row r="34638" spans="1:6" x14ac:dyDescent="0.2">
      <c r="A34638" t="s">
        <v>53647</v>
      </c>
      <c r="B34638" t="s">
        <v>53648</v>
      </c>
      <c r="C34638" t="s">
        <v>103</v>
      </c>
      <c r="D34638" t="s">
        <v>14</v>
      </c>
      <c r="E34638" t="s">
        <v>104</v>
      </c>
      <c r="F34638" s="2" t="str">
        <f>HYPERLINK("http://www.otzar.org/book.asp?179554","קדושתאותיו של רבי שלמה סולימן אלסנג'ארי למועדי השנה - 2 כר'")</f>
        <v>קדושתאותיו של רבי שלמה סולימן אלסנג'ארי למועדי השנה - 2 כר'</v>
      </c>
    </row>
    <row r="34639" spans="1:6" x14ac:dyDescent="0.2">
      <c r="A34639" t="s">
        <v>53649</v>
      </c>
      <c r="B34639" t="s">
        <v>13869</v>
      </c>
      <c r="C34639" t="s">
        <v>3690</v>
      </c>
      <c r="D34639" t="s">
        <v>27</v>
      </c>
      <c r="E34639" t="s">
        <v>24</v>
      </c>
      <c r="F34639" s="2" t="str">
        <f>HYPERLINK("http://www.otzar.org/book.asp?162281","קדיש לעלם")</f>
        <v>קדיש לעלם</v>
      </c>
    </row>
    <row r="34640" spans="1:6" x14ac:dyDescent="0.2">
      <c r="A34640" t="s">
        <v>53650</v>
      </c>
      <c r="B34640" t="s">
        <v>53651</v>
      </c>
      <c r="C34640" t="s">
        <v>20</v>
      </c>
      <c r="D34640" t="s">
        <v>14</v>
      </c>
      <c r="E34640" t="s">
        <v>399</v>
      </c>
      <c r="F34640" s="2" t="str">
        <f>HYPERLINK("http://www.otzar.org/book.asp?167846","קדם ישועה")</f>
        <v>קדם ישועה</v>
      </c>
    </row>
    <row r="34641" spans="1:6" x14ac:dyDescent="0.2">
      <c r="A34641" t="s">
        <v>53652</v>
      </c>
      <c r="B34641" t="s">
        <v>18900</v>
      </c>
      <c r="C34641" t="s">
        <v>53653</v>
      </c>
      <c r="D34641" t="s">
        <v>27</v>
      </c>
      <c r="E34641" t="s">
        <v>119</v>
      </c>
      <c r="F34641" s="2" t="str">
        <f>HYPERLINK("http://www.otzar.org/book.asp?14618","קדמוניות היהודים - 2 כר'")</f>
        <v>קדמוניות היהודים - 2 כר'</v>
      </c>
    </row>
    <row r="34642" spans="1:6" x14ac:dyDescent="0.2">
      <c r="A34642" t="s">
        <v>53654</v>
      </c>
      <c r="B34642" t="s">
        <v>53655</v>
      </c>
      <c r="C34642" t="s">
        <v>1437</v>
      </c>
      <c r="D34642" t="s">
        <v>27</v>
      </c>
      <c r="F34642" s="2" t="str">
        <f>HYPERLINK("http://www.otzar.org/book.asp?189627","קדמוניות הערבים")</f>
        <v>קדמוניות הערבים</v>
      </c>
    </row>
    <row r="34643" spans="1:6" x14ac:dyDescent="0.2">
      <c r="A34643" t="s">
        <v>53656</v>
      </c>
      <c r="B34643" t="s">
        <v>33571</v>
      </c>
      <c r="C34643" t="s">
        <v>5903</v>
      </c>
      <c r="D34643" t="s">
        <v>1117</v>
      </c>
      <c r="E34643" t="s">
        <v>23176</v>
      </c>
      <c r="F34643" s="2" t="str">
        <f>HYPERLINK("http://www.otzar.org/book.asp?100604","קדמוניות מפנקסאות ישנים")</f>
        <v>קדמוניות מפנקסאות ישנים</v>
      </c>
    </row>
    <row r="34644" spans="1:6" x14ac:dyDescent="0.2">
      <c r="A34644" t="s">
        <v>53657</v>
      </c>
      <c r="B34644" t="s">
        <v>19024</v>
      </c>
      <c r="C34644" t="s">
        <v>1885</v>
      </c>
      <c r="D34644" t="s">
        <v>1117</v>
      </c>
      <c r="E34644" t="s">
        <v>733</v>
      </c>
      <c r="F34644" s="2" t="str">
        <f>HYPERLINK("http://www.otzar.org/book.asp?200559","קדמוניות")</f>
        <v>קדמוניות</v>
      </c>
    </row>
    <row r="34645" spans="1:6" x14ac:dyDescent="0.2">
      <c r="A34645" t="s">
        <v>53658</v>
      </c>
      <c r="B34645" t="s">
        <v>53658</v>
      </c>
      <c r="C34645" t="s">
        <v>146</v>
      </c>
      <c r="D34645" t="s">
        <v>14</v>
      </c>
      <c r="E34645" t="s">
        <v>104</v>
      </c>
      <c r="F34645" s="2" t="str">
        <f>HYPERLINK("http://www.otzar.org/book.asp?172488","קדמונינו")</f>
        <v>קדמונינו</v>
      </c>
    </row>
    <row r="34646" spans="1:6" x14ac:dyDescent="0.2">
      <c r="A34646" t="s">
        <v>53659</v>
      </c>
      <c r="B34646" t="s">
        <v>18900</v>
      </c>
      <c r="C34646" t="s">
        <v>17339</v>
      </c>
      <c r="D34646" t="s">
        <v>283</v>
      </c>
      <c r="E34646" t="s">
        <v>119</v>
      </c>
      <c r="F34646" s="2" t="str">
        <f>HYPERLINK("http://www.otzar.org/book.asp?14638","קדמות היהודים נגד אפיון - 2 כר'")</f>
        <v>קדמות היהודים נגד אפיון - 2 כר'</v>
      </c>
    </row>
    <row r="34647" spans="1:6" x14ac:dyDescent="0.2">
      <c r="A34647" t="s">
        <v>53660</v>
      </c>
      <c r="B34647" t="s">
        <v>1149</v>
      </c>
      <c r="C34647" t="s">
        <v>3840</v>
      </c>
      <c r="D34647" t="s">
        <v>260</v>
      </c>
      <c r="E34647" t="s">
        <v>1463</v>
      </c>
      <c r="F34647" s="2" t="str">
        <f>HYPERLINK("http://www.otzar.org/book.asp?12799","קדמות ספר הזהר (תולדות הרד""ל)")</f>
        <v>קדמות ספר הזהר (תולדות הרד"ל)</v>
      </c>
    </row>
    <row r="34648" spans="1:6" x14ac:dyDescent="0.2">
      <c r="A34648" t="s">
        <v>53661</v>
      </c>
      <c r="B34648" t="s">
        <v>1149</v>
      </c>
      <c r="C34648" t="s">
        <v>1414</v>
      </c>
      <c r="D34648" t="s">
        <v>164</v>
      </c>
      <c r="E34648" t="s">
        <v>314</v>
      </c>
      <c r="F34648" s="2" t="str">
        <f>HYPERLINK("http://www.otzar.org/book.asp?103703","קדמות ספר הזהר")</f>
        <v>קדמות ספר הזהר</v>
      </c>
    </row>
    <row r="34649" spans="1:6" x14ac:dyDescent="0.2">
      <c r="A34649" t="s">
        <v>53662</v>
      </c>
      <c r="B34649" t="s">
        <v>24363</v>
      </c>
      <c r="C34649" t="s">
        <v>20</v>
      </c>
      <c r="D34649" t="s">
        <v>90</v>
      </c>
      <c r="E34649" t="s">
        <v>104</v>
      </c>
      <c r="F34649" s="2" t="str">
        <f>HYPERLINK("http://www.otzar.org/book.asp?172174","קדמת אשור")</f>
        <v>קדמת אשור</v>
      </c>
    </row>
    <row r="34650" spans="1:6" x14ac:dyDescent="0.2">
      <c r="A34650" t="s">
        <v>53663</v>
      </c>
      <c r="B34650" t="s">
        <v>13176</v>
      </c>
      <c r="C34650" t="s">
        <v>23</v>
      </c>
      <c r="D34650" t="s">
        <v>90</v>
      </c>
      <c r="E34650" t="s">
        <v>144</v>
      </c>
      <c r="F34650" s="2" t="str">
        <f>HYPERLINK("http://www.otzar.org/book.asp?199451","קדש הלולים &lt;מהדורה חדשה&gt;")</f>
        <v>קדש הלולים &lt;מהדורה חדשה&gt;</v>
      </c>
    </row>
    <row r="34651" spans="1:6" x14ac:dyDescent="0.2">
      <c r="A34651" t="s">
        <v>53664</v>
      </c>
      <c r="B34651" t="s">
        <v>8947</v>
      </c>
      <c r="C34651" t="s">
        <v>23</v>
      </c>
      <c r="D34651" t="s">
        <v>21</v>
      </c>
      <c r="E34651" t="s">
        <v>158</v>
      </c>
      <c r="F34651" s="2" t="str">
        <f>HYPERLINK("http://www.otzar.org/book.asp?191819","קדש הלולים")</f>
        <v>קדש הלולים</v>
      </c>
    </row>
    <row r="34652" spans="1:6" x14ac:dyDescent="0.2">
      <c r="A34652" t="s">
        <v>53664</v>
      </c>
      <c r="B34652" t="s">
        <v>53420</v>
      </c>
      <c r="C34652" t="s">
        <v>915</v>
      </c>
      <c r="D34652" t="s">
        <v>1023</v>
      </c>
      <c r="E34652" t="s">
        <v>960</v>
      </c>
      <c r="F34652" s="2" t="str">
        <f>HYPERLINK("http://www.otzar.org/book.asp?102192","קדש הלולים")</f>
        <v>קדש הלולים</v>
      </c>
    </row>
    <row r="34653" spans="1:6" x14ac:dyDescent="0.2">
      <c r="A34653" t="s">
        <v>53664</v>
      </c>
      <c r="B34653" t="s">
        <v>13176</v>
      </c>
      <c r="C34653" t="s">
        <v>445</v>
      </c>
      <c r="D34653" t="s">
        <v>889</v>
      </c>
      <c r="E34653" t="s">
        <v>53665</v>
      </c>
      <c r="F34653" s="2" t="str">
        <f>HYPERLINK("http://www.otzar.org/book.asp?179756","קדש הלולים")</f>
        <v>קדש הלולים</v>
      </c>
    </row>
    <row r="34654" spans="1:6" x14ac:dyDescent="0.2">
      <c r="A34654" t="s">
        <v>53664</v>
      </c>
      <c r="B34654" t="s">
        <v>4171</v>
      </c>
      <c r="C34654" t="s">
        <v>1640</v>
      </c>
      <c r="D34654" t="s">
        <v>14</v>
      </c>
      <c r="E34654" t="s">
        <v>246</v>
      </c>
      <c r="F34654" s="2" t="str">
        <f>HYPERLINK("http://www.otzar.org/book.asp?158374","קדש הלולים")</f>
        <v>קדש הלולים</v>
      </c>
    </row>
    <row r="34655" spans="1:6" x14ac:dyDescent="0.2">
      <c r="A34655" t="s">
        <v>53666</v>
      </c>
      <c r="B34655" t="s">
        <v>6452</v>
      </c>
      <c r="C34655" t="s">
        <v>3840</v>
      </c>
      <c r="D34655" t="s">
        <v>260</v>
      </c>
      <c r="E34655" t="s">
        <v>140</v>
      </c>
      <c r="F34655" s="2" t="str">
        <f>HYPERLINK("http://www.otzar.org/book.asp?176876","קדש הקדשים")</f>
        <v>קדש הקדשים</v>
      </c>
    </row>
    <row r="34656" spans="1:6" x14ac:dyDescent="0.2">
      <c r="A34656" t="s">
        <v>53667</v>
      </c>
      <c r="B34656" t="s">
        <v>8498</v>
      </c>
      <c r="C34656" t="s">
        <v>649</v>
      </c>
      <c r="D34656" t="s">
        <v>9</v>
      </c>
      <c r="E34656" t="s">
        <v>234</v>
      </c>
      <c r="F34656" s="2" t="str">
        <f>HYPERLINK("http://www.otzar.org/book.asp?101887","קדש ישראל")</f>
        <v>קדש ישראל</v>
      </c>
    </row>
    <row r="34657" spans="1:6" x14ac:dyDescent="0.2">
      <c r="A34657" t="s">
        <v>53668</v>
      </c>
      <c r="B34657" t="s">
        <v>53669</v>
      </c>
      <c r="C34657" t="s">
        <v>146</v>
      </c>
      <c r="D34657" t="s">
        <v>657</v>
      </c>
      <c r="E34657" t="s">
        <v>15</v>
      </c>
      <c r="F34657" s="2" t="str">
        <f>HYPERLINK("http://www.otzar.org/book.asp?155328","קדש לה' - דיני שמות השי""ת")</f>
        <v>קדש לה' - דיני שמות השי"ת</v>
      </c>
    </row>
    <row r="34658" spans="1:6" x14ac:dyDescent="0.2">
      <c r="A34658" t="s">
        <v>53670</v>
      </c>
      <c r="B34658" t="s">
        <v>22245</v>
      </c>
      <c r="C34658" t="s">
        <v>5151</v>
      </c>
      <c r="D34658" t="s">
        <v>2290</v>
      </c>
      <c r="E34658" t="s">
        <v>16605</v>
      </c>
      <c r="F34658" s="2" t="str">
        <f>HYPERLINK("http://www.otzar.org/book.asp?103705","קדש ליי""ו")</f>
        <v>קדש ליי"ו</v>
      </c>
    </row>
    <row r="34659" spans="1:6" x14ac:dyDescent="0.2">
      <c r="A34659" t="s">
        <v>53671</v>
      </c>
      <c r="B34659" t="s">
        <v>53672</v>
      </c>
      <c r="C34659" t="s">
        <v>146</v>
      </c>
      <c r="D34659" t="s">
        <v>21</v>
      </c>
      <c r="E34659" t="s">
        <v>172</v>
      </c>
      <c r="F34659" s="2" t="str">
        <f>HYPERLINK("http://www.otzar.org/book.asp?195951","קדש נפתלי")</f>
        <v>קדש נפתלי</v>
      </c>
    </row>
    <row r="34660" spans="1:6" x14ac:dyDescent="0.2">
      <c r="A34660" t="s">
        <v>53673</v>
      </c>
      <c r="B34660" t="s">
        <v>37810</v>
      </c>
      <c r="C34660" t="s">
        <v>4266</v>
      </c>
      <c r="D34660" t="s">
        <v>212</v>
      </c>
      <c r="E34660" t="s">
        <v>148</v>
      </c>
      <c r="F34660" s="2" t="str">
        <f>HYPERLINK("http://www.otzar.org/book.asp?6802","קדשי דוד")</f>
        <v>קדשי דוד</v>
      </c>
    </row>
    <row r="34661" spans="1:6" x14ac:dyDescent="0.2">
      <c r="A34661" t="s">
        <v>53673</v>
      </c>
      <c r="B34661" t="s">
        <v>8078</v>
      </c>
      <c r="C34661" t="s">
        <v>785</v>
      </c>
      <c r="D34661" t="s">
        <v>14</v>
      </c>
      <c r="E34661" t="s">
        <v>144</v>
      </c>
      <c r="F34661" s="2" t="str">
        <f>HYPERLINK("http://www.otzar.org/book.asp?152730","קדשי דוד")</f>
        <v>קדשי דוד</v>
      </c>
    </row>
    <row r="34662" spans="1:6" x14ac:dyDescent="0.2">
      <c r="A34662" t="s">
        <v>53674</v>
      </c>
      <c r="B34662" t="s">
        <v>53675</v>
      </c>
      <c r="C34662" t="s">
        <v>547</v>
      </c>
      <c r="D34662" t="s">
        <v>646</v>
      </c>
      <c r="E34662" t="s">
        <v>144</v>
      </c>
      <c r="F34662" s="2" t="str">
        <f>HYPERLINK("http://www.otzar.org/book.asp?23572","קדשי הגבול")</f>
        <v>קדשי הגבול</v>
      </c>
    </row>
    <row r="34663" spans="1:6" x14ac:dyDescent="0.2">
      <c r="A34663" t="s">
        <v>53676</v>
      </c>
      <c r="B34663" t="s">
        <v>53677</v>
      </c>
      <c r="C34663" t="s">
        <v>785</v>
      </c>
      <c r="D34663" t="s">
        <v>14</v>
      </c>
      <c r="E34663" t="s">
        <v>230</v>
      </c>
      <c r="F34663" s="2" t="str">
        <f>HYPERLINK("http://www.otzar.org/book.asp?173279","קדשי המזבח - שערי שלמה")</f>
        <v>קדשי המזבח - שערי שלמה</v>
      </c>
    </row>
    <row r="34664" spans="1:6" x14ac:dyDescent="0.2">
      <c r="A34664" t="s">
        <v>53678</v>
      </c>
      <c r="B34664" t="s">
        <v>2816</v>
      </c>
      <c r="C34664" t="s">
        <v>20</v>
      </c>
      <c r="D34664" t="s">
        <v>486</v>
      </c>
      <c r="F34664" s="2" t="str">
        <f>HYPERLINK("http://www.otzar.org/book.asp?606083","קדשי המקדש")</f>
        <v>קדשי המקדש</v>
      </c>
    </row>
    <row r="34665" spans="1:6" x14ac:dyDescent="0.2">
      <c r="A34665" t="s">
        <v>53679</v>
      </c>
      <c r="B34665" t="s">
        <v>5908</v>
      </c>
      <c r="C34665" t="s">
        <v>466</v>
      </c>
      <c r="D34665" t="s">
        <v>14</v>
      </c>
      <c r="E34665" t="s">
        <v>104</v>
      </c>
      <c r="F34665" s="2" t="str">
        <f>HYPERLINK("http://www.otzar.org/book.asp?84297","קדשי יהושע - 5 כר'")</f>
        <v>קדשי יהושע - 5 כר'</v>
      </c>
    </row>
    <row r="34666" spans="1:6" x14ac:dyDescent="0.2">
      <c r="A34666" t="s">
        <v>53680</v>
      </c>
      <c r="B34666" t="s">
        <v>53681</v>
      </c>
      <c r="C34666" t="s">
        <v>37</v>
      </c>
      <c r="D34666" t="s">
        <v>52</v>
      </c>
      <c r="E34666" t="s">
        <v>144</v>
      </c>
      <c r="F34666" s="2" t="str">
        <f>HYPERLINK("http://www.otzar.org/book.asp?181934","קדשי מזבח - זבחים")</f>
        <v>קדשי מזבח - זבחים</v>
      </c>
    </row>
    <row r="34667" spans="1:6" x14ac:dyDescent="0.2">
      <c r="A34667" t="s">
        <v>53682</v>
      </c>
      <c r="B34667" t="s">
        <v>37282</v>
      </c>
      <c r="C34667" t="s">
        <v>20</v>
      </c>
      <c r="D34667" t="s">
        <v>52</v>
      </c>
      <c r="E34667" t="s">
        <v>104</v>
      </c>
      <c r="F34667" s="2" t="str">
        <f>HYPERLINK("http://www.otzar.org/book.asp?189155","קדשי שעה &lt;מהדו""ת&gt;")</f>
        <v>קדשי שעה &lt;מהדו"ת&gt;</v>
      </c>
    </row>
    <row r="34668" spans="1:6" x14ac:dyDescent="0.2">
      <c r="A34668" t="s">
        <v>53683</v>
      </c>
      <c r="B34668" t="s">
        <v>53684</v>
      </c>
      <c r="C34668" t="s">
        <v>189</v>
      </c>
      <c r="D34668" t="s">
        <v>14</v>
      </c>
      <c r="E34668" t="s">
        <v>144</v>
      </c>
      <c r="F34668" s="2" t="str">
        <f>HYPERLINK("http://www.otzar.org/book.asp?22244","קדשי שעה")</f>
        <v>קדשי שעה</v>
      </c>
    </row>
    <row r="34669" spans="1:6" x14ac:dyDescent="0.2">
      <c r="A34669" t="s">
        <v>53685</v>
      </c>
      <c r="B34669" t="s">
        <v>53686</v>
      </c>
      <c r="C34669" t="s">
        <v>20</v>
      </c>
      <c r="D34669" t="s">
        <v>52</v>
      </c>
      <c r="E34669" t="s">
        <v>1211</v>
      </c>
      <c r="F34669" s="2" t="str">
        <f>HYPERLINK("http://www.otzar.org/book.asp?189156","קדשי שעה - ויאמר אליהו")</f>
        <v>קדשי שעה - ויאמר אליהו</v>
      </c>
    </row>
    <row r="34670" spans="1:6" x14ac:dyDescent="0.2">
      <c r="A34670" t="s">
        <v>53687</v>
      </c>
      <c r="B34670" t="s">
        <v>23556</v>
      </c>
      <c r="C34670" t="s">
        <v>244</v>
      </c>
      <c r="D34670" t="s">
        <v>23557</v>
      </c>
      <c r="E34670" t="s">
        <v>5935</v>
      </c>
      <c r="F34670" s="2" t="str">
        <f>HYPERLINK("http://www.otzar.org/book.asp?630085","קדשים תהיו")</f>
        <v>קדשים תהיו</v>
      </c>
    </row>
    <row r="34671" spans="1:6" x14ac:dyDescent="0.2">
      <c r="A34671" t="s">
        <v>53688</v>
      </c>
      <c r="B34671" t="s">
        <v>2398</v>
      </c>
      <c r="C34671" t="s">
        <v>23</v>
      </c>
      <c r="D34671" t="s">
        <v>21</v>
      </c>
      <c r="F34671" s="2" t="str">
        <f>HYPERLINK("http://www.otzar.org/book.asp?603076","קהילות ואישים בגליציה")</f>
        <v>קהילות ואישים בגליציה</v>
      </c>
    </row>
    <row r="34672" spans="1:6" x14ac:dyDescent="0.2">
      <c r="A34672" t="s">
        <v>53689</v>
      </c>
      <c r="B34672" t="s">
        <v>3027</v>
      </c>
      <c r="C34672" t="s">
        <v>390</v>
      </c>
      <c r="D34672" t="s">
        <v>14</v>
      </c>
      <c r="E34672" t="s">
        <v>30971</v>
      </c>
      <c r="F34672" s="2" t="str">
        <f>HYPERLINK("http://www.otzar.org/book.asp?6856","קהילות יהודי כורדיסתאן")</f>
        <v>קהילות יהודי כורדיסתאן</v>
      </c>
    </row>
    <row r="34673" spans="1:6" x14ac:dyDescent="0.2">
      <c r="A34673" t="s">
        <v>53690</v>
      </c>
      <c r="B34673" t="s">
        <v>48903</v>
      </c>
      <c r="C34673" t="s">
        <v>1150</v>
      </c>
      <c r="D34673" t="s">
        <v>267</v>
      </c>
      <c r="E34673" t="s">
        <v>158</v>
      </c>
      <c r="F34673" s="2" t="str">
        <f>HYPERLINK("http://www.otzar.org/book.asp?140981","קהילות יעקב")</f>
        <v>קהילות יעקב</v>
      </c>
    </row>
    <row r="34674" spans="1:6" x14ac:dyDescent="0.2">
      <c r="A34674" t="s">
        <v>53690</v>
      </c>
      <c r="B34674" t="s">
        <v>53691</v>
      </c>
      <c r="C34674" t="s">
        <v>37</v>
      </c>
      <c r="D34674" t="s">
        <v>52</v>
      </c>
      <c r="E34674" t="s">
        <v>202</v>
      </c>
      <c r="F34674" s="2" t="str">
        <f>HYPERLINK("http://www.otzar.org/book.asp?181605","קהילות יעקב")</f>
        <v>קהילות יעקב</v>
      </c>
    </row>
    <row r="34675" spans="1:6" x14ac:dyDescent="0.2">
      <c r="A34675" t="s">
        <v>53692</v>
      </c>
      <c r="B34675" t="s">
        <v>53693</v>
      </c>
      <c r="C34675" t="s">
        <v>767</v>
      </c>
      <c r="D34675" t="s">
        <v>14</v>
      </c>
      <c r="E34675" t="s">
        <v>154</v>
      </c>
      <c r="F34675" s="2" t="str">
        <f>HYPERLINK("http://www.otzar.org/book.asp?21629","קהילות ישראל &lt;משנה הלכות&gt;")</f>
        <v>קהילות ישראל &lt;משנה הלכות&gt;</v>
      </c>
    </row>
    <row r="34676" spans="1:6" x14ac:dyDescent="0.2">
      <c r="A34676" t="s">
        <v>53694</v>
      </c>
      <c r="B34676" t="s">
        <v>41823</v>
      </c>
      <c r="C34676" t="s">
        <v>23</v>
      </c>
      <c r="D34676" t="s">
        <v>52</v>
      </c>
      <c r="F34676" s="2" t="str">
        <f>HYPERLINK("http://www.otzar.org/book.asp?193623","קהילות מרדכי")</f>
        <v>קהילות מרדכי</v>
      </c>
    </row>
    <row r="34677" spans="1:6" x14ac:dyDescent="0.2">
      <c r="A34677" t="s">
        <v>53695</v>
      </c>
      <c r="B34677" t="s">
        <v>53696</v>
      </c>
      <c r="C34677" t="s">
        <v>28588</v>
      </c>
      <c r="D34677" t="s">
        <v>53697</v>
      </c>
      <c r="E34677" t="s">
        <v>202</v>
      </c>
      <c r="F34677" s="2" t="str">
        <f>HYPERLINK("http://www.otzar.org/book.asp?52503","קהילת יעקב - א")</f>
        <v>קהילת יעקב - א</v>
      </c>
    </row>
    <row r="34678" spans="1:6" x14ac:dyDescent="0.2">
      <c r="A34678" t="s">
        <v>53698</v>
      </c>
      <c r="B34678" t="s">
        <v>53699</v>
      </c>
      <c r="C34678" t="s">
        <v>989</v>
      </c>
      <c r="D34678" t="s">
        <v>216</v>
      </c>
      <c r="E34678" t="s">
        <v>119</v>
      </c>
      <c r="F34678" s="2" t="str">
        <f>HYPERLINK("http://www.otzar.org/book.asp?14859","קהילת סאלוניקי")</f>
        <v>קהילת סאלוניקי</v>
      </c>
    </row>
    <row r="34679" spans="1:6" x14ac:dyDescent="0.2">
      <c r="A34679" t="s">
        <v>53700</v>
      </c>
      <c r="B34679" t="s">
        <v>11753</v>
      </c>
      <c r="C34679" t="s">
        <v>106</v>
      </c>
      <c r="D34679" t="s">
        <v>14</v>
      </c>
      <c r="E34679" t="s">
        <v>119</v>
      </c>
      <c r="F34679" s="2" t="str">
        <f>HYPERLINK("http://www.otzar.org/book.asp?171303","קהילת צפרו - 5 כר'")</f>
        <v>קהילת צפרו - 5 כר'</v>
      </c>
    </row>
    <row r="34680" spans="1:6" x14ac:dyDescent="0.2">
      <c r="A34680" t="s">
        <v>53701</v>
      </c>
      <c r="B34680" t="s">
        <v>53702</v>
      </c>
      <c r="C34680" t="s">
        <v>989</v>
      </c>
      <c r="D34680" t="s">
        <v>216</v>
      </c>
      <c r="E34680" t="s">
        <v>119</v>
      </c>
      <c r="F34680" s="2" t="str">
        <f>HYPERLINK("http://www.otzar.org/book.asp?160710","קהילת קראקוב")</f>
        <v>קהילת קראקוב</v>
      </c>
    </row>
    <row r="34681" spans="1:6" x14ac:dyDescent="0.2">
      <c r="A34681" t="s">
        <v>53703</v>
      </c>
      <c r="B34681" t="s">
        <v>5938</v>
      </c>
      <c r="C34681" t="s">
        <v>1284</v>
      </c>
      <c r="D34681" t="s">
        <v>267</v>
      </c>
      <c r="E34681" t="s">
        <v>140</v>
      </c>
      <c r="F34681" s="2" t="str">
        <f>HYPERLINK("http://www.otzar.org/book.asp?102190","קהל חסידים החדש")</f>
        <v>קהל חסידים החדש</v>
      </c>
    </row>
    <row r="34682" spans="1:6" x14ac:dyDescent="0.2">
      <c r="A34682" t="s">
        <v>53704</v>
      </c>
      <c r="B34682" t="s">
        <v>46595</v>
      </c>
      <c r="C34682" t="s">
        <v>20</v>
      </c>
      <c r="D34682" t="s">
        <v>412</v>
      </c>
      <c r="E34682" t="s">
        <v>741</v>
      </c>
      <c r="F34682" s="2" t="str">
        <f>HYPERLINK("http://www.otzar.org/book.asp?161251","קהל חסידים ושבחי בעל שם טוב")</f>
        <v>קהל חסידים ושבחי בעל שם טוב</v>
      </c>
    </row>
    <row r="34683" spans="1:6" x14ac:dyDescent="0.2">
      <c r="A34683" t="s">
        <v>53705</v>
      </c>
      <c r="B34683" t="s">
        <v>53706</v>
      </c>
      <c r="C34683" t="s">
        <v>550</v>
      </c>
      <c r="D34683" t="s">
        <v>283</v>
      </c>
      <c r="E34683" t="s">
        <v>119</v>
      </c>
      <c r="F34683" s="2" t="str">
        <f>HYPERLINK("http://www.otzar.org/book.asp?51484","קהל חסידים")</f>
        <v>קהל חסידים</v>
      </c>
    </row>
    <row r="34684" spans="1:6" x14ac:dyDescent="0.2">
      <c r="A34684" t="s">
        <v>53705</v>
      </c>
      <c r="B34684" t="s">
        <v>53705</v>
      </c>
      <c r="C34684" t="s">
        <v>445</v>
      </c>
      <c r="D34684" t="s">
        <v>1722</v>
      </c>
      <c r="E34684" t="s">
        <v>226</v>
      </c>
      <c r="F34684" s="2" t="str">
        <f>HYPERLINK("http://www.otzar.org/book.asp?11104","קהל חסידים")</f>
        <v>קהל חסידים</v>
      </c>
    </row>
    <row r="34685" spans="1:6" x14ac:dyDescent="0.2">
      <c r="A34685" t="s">
        <v>53707</v>
      </c>
      <c r="B34685" t="s">
        <v>13033</v>
      </c>
      <c r="C34685" t="s">
        <v>2140</v>
      </c>
      <c r="D34685" t="s">
        <v>76</v>
      </c>
      <c r="E34685" t="s">
        <v>325</v>
      </c>
      <c r="F34685" s="2" t="str">
        <f>HYPERLINK("http://www.otzar.org/book.asp?20584","קהל יאודה")</f>
        <v>קהל יאודה</v>
      </c>
    </row>
    <row r="34686" spans="1:6" x14ac:dyDescent="0.2">
      <c r="A34686" t="s">
        <v>53708</v>
      </c>
      <c r="B34686" t="s">
        <v>38924</v>
      </c>
      <c r="C34686" t="s">
        <v>133</v>
      </c>
      <c r="D34686" t="s">
        <v>152</v>
      </c>
      <c r="E34686" t="s">
        <v>172</v>
      </c>
      <c r="F34686" s="2" t="str">
        <f>HYPERLINK("http://www.otzar.org/book.asp?173991","קהל ישראל - אהע""ז")</f>
        <v>קהל ישראל - אהע"ז</v>
      </c>
    </row>
    <row r="34687" spans="1:6" x14ac:dyDescent="0.2">
      <c r="A34687" t="s">
        <v>32512</v>
      </c>
      <c r="B34687" t="s">
        <v>53709</v>
      </c>
      <c r="C34687" t="s">
        <v>466</v>
      </c>
      <c r="D34687" t="s">
        <v>14</v>
      </c>
      <c r="E34687" t="s">
        <v>202</v>
      </c>
      <c r="F34687" s="2" t="str">
        <f>HYPERLINK("http://www.otzar.org/book.asp?51175","קהל עדת ירושלים")</f>
        <v>קהל עדת ירושלים</v>
      </c>
    </row>
    <row r="34688" spans="1:6" x14ac:dyDescent="0.2">
      <c r="A34688" t="s">
        <v>53710</v>
      </c>
      <c r="B34688" t="s">
        <v>34981</v>
      </c>
      <c r="C34688" t="s">
        <v>8</v>
      </c>
      <c r="D34688" t="s">
        <v>53711</v>
      </c>
      <c r="F34688" s="2" t="str">
        <f>HYPERLINK("http://www.otzar.org/book.asp?620910","קהל צדיקים")</f>
        <v>קהל צדיקים</v>
      </c>
    </row>
    <row r="34689" spans="1:6" x14ac:dyDescent="0.2">
      <c r="A34689" t="s">
        <v>53712</v>
      </c>
      <c r="B34689" t="s">
        <v>23776</v>
      </c>
      <c r="C34689" t="s">
        <v>950</v>
      </c>
      <c r="D34689" t="s">
        <v>1279</v>
      </c>
      <c r="E34689" t="s">
        <v>119</v>
      </c>
      <c r="F34689" s="2" t="str">
        <f>HYPERLINK("http://www.otzar.org/book.asp?51485","קהל קדושים")</f>
        <v>קהל קדושים</v>
      </c>
    </row>
    <row r="34690" spans="1:6" x14ac:dyDescent="0.2">
      <c r="A34690" t="s">
        <v>53713</v>
      </c>
      <c r="B34690" t="s">
        <v>53714</v>
      </c>
      <c r="C34690" t="s">
        <v>466</v>
      </c>
      <c r="D34690" t="s">
        <v>2285</v>
      </c>
      <c r="E34690" t="s">
        <v>144</v>
      </c>
      <c r="F34690" s="2" t="str">
        <f>HYPERLINK("http://www.otzar.org/book.asp?52346","קהלות הקודש - 2 כר'")</f>
        <v>קהלות הקודש - 2 כר'</v>
      </c>
    </row>
    <row r="34691" spans="1:6" x14ac:dyDescent="0.2">
      <c r="A34691" t="s">
        <v>53715</v>
      </c>
      <c r="B34691" t="s">
        <v>53716</v>
      </c>
      <c r="C34691" t="s">
        <v>1570</v>
      </c>
      <c r="D34691" t="s">
        <v>14</v>
      </c>
      <c r="E34691" t="s">
        <v>119</v>
      </c>
      <c r="F34691" s="2" t="str">
        <f>HYPERLINK("http://www.otzar.org/book.asp?182608","קהלות יהודי ספרד והמזרח בעולם בימינו")</f>
        <v>קהלות יהודי ספרד והמזרח בעולם בימינו</v>
      </c>
    </row>
    <row r="34692" spans="1:6" x14ac:dyDescent="0.2">
      <c r="A34692" t="s">
        <v>53717</v>
      </c>
      <c r="B34692" t="s">
        <v>5355</v>
      </c>
      <c r="C34692" t="s">
        <v>168</v>
      </c>
      <c r="D34692" t="s">
        <v>52</v>
      </c>
      <c r="E34692" t="s">
        <v>144</v>
      </c>
      <c r="F34692" s="2" t="str">
        <f>HYPERLINK("http://www.otzar.org/book.asp?156495","קהלות יעקב &lt;חלקים&gt; - 2 כר'")</f>
        <v>קהלות יעקב &lt;חלקים&gt; - 2 כר'</v>
      </c>
    </row>
    <row r="34693" spans="1:6" x14ac:dyDescent="0.2">
      <c r="A34693" t="s">
        <v>53718</v>
      </c>
      <c r="B34693" t="s">
        <v>5355</v>
      </c>
      <c r="C34693" t="s">
        <v>775</v>
      </c>
      <c r="D34693" t="s">
        <v>52</v>
      </c>
      <c r="E34693" t="s">
        <v>144</v>
      </c>
      <c r="F34693" s="2" t="str">
        <f>HYPERLINK("http://www.otzar.org/book.asp?28043","קהלות יעקב - 21 כר'")</f>
        <v>קהלות יעקב - 21 כר'</v>
      </c>
    </row>
    <row r="34694" spans="1:6" x14ac:dyDescent="0.2">
      <c r="A34694" t="s">
        <v>53719</v>
      </c>
      <c r="B34694" t="s">
        <v>53720</v>
      </c>
      <c r="C34694" t="s">
        <v>23</v>
      </c>
      <c r="D34694" t="s">
        <v>1180</v>
      </c>
      <c r="E34694" t="s">
        <v>2071</v>
      </c>
      <c r="F34694" s="2" t="str">
        <f>HYPERLINK("http://www.otzar.org/book.asp?193879","קהלות ישורון &lt;מהדורה חדשה&gt;")</f>
        <v>קהלות ישורון &lt;מהדורה חדשה&gt;</v>
      </c>
    </row>
    <row r="34695" spans="1:6" x14ac:dyDescent="0.2">
      <c r="A34695" t="s">
        <v>53721</v>
      </c>
      <c r="B34695" t="s">
        <v>53720</v>
      </c>
      <c r="C34695" t="s">
        <v>4059</v>
      </c>
      <c r="D34695" t="s">
        <v>2303</v>
      </c>
      <c r="E34695" t="s">
        <v>158</v>
      </c>
      <c r="F34695" s="2" t="str">
        <f>HYPERLINK("http://www.otzar.org/book.asp?141004","קהלות ישורון")</f>
        <v>קהלות ישורון</v>
      </c>
    </row>
    <row r="34696" spans="1:6" x14ac:dyDescent="0.2">
      <c r="A34696" t="s">
        <v>53722</v>
      </c>
      <c r="B34696" t="s">
        <v>53722</v>
      </c>
      <c r="C34696" t="s">
        <v>442</v>
      </c>
      <c r="D34696" t="s">
        <v>260</v>
      </c>
      <c r="E34696" t="s">
        <v>119</v>
      </c>
      <c r="F34696" s="2" t="str">
        <f>HYPERLINK("http://www.otzar.org/book.asp?106373","קהלות ישראל שנחרבו")</f>
        <v>קהלות ישראל שנחרבו</v>
      </c>
    </row>
    <row r="34697" spans="1:6" x14ac:dyDescent="0.2">
      <c r="A34697" t="s">
        <v>53723</v>
      </c>
      <c r="B34697" t="s">
        <v>53724</v>
      </c>
      <c r="C34697" t="s">
        <v>1062</v>
      </c>
      <c r="D34697" t="s">
        <v>592</v>
      </c>
      <c r="E34697" t="s">
        <v>104</v>
      </c>
      <c r="F34697" s="2" t="str">
        <f>HYPERLINK("http://www.otzar.org/book.asp?197407","קהלות ישראל")</f>
        <v>קהלות ישראל</v>
      </c>
    </row>
    <row r="34698" spans="1:6" x14ac:dyDescent="0.2">
      <c r="A34698" t="s">
        <v>53725</v>
      </c>
      <c r="B34698" t="s">
        <v>53726</v>
      </c>
      <c r="C34698" t="s">
        <v>53727</v>
      </c>
      <c r="D34698" t="s">
        <v>1023</v>
      </c>
      <c r="E34698" t="s">
        <v>957</v>
      </c>
      <c r="F34698" s="2" t="str">
        <f>HYPERLINK("http://www.otzar.org/book.asp?101430","קהלות משה - 4 כר'")</f>
        <v>קהלות משה - 4 כר'</v>
      </c>
    </row>
    <row r="34699" spans="1:6" x14ac:dyDescent="0.2">
      <c r="A34699" t="s">
        <v>53728</v>
      </c>
      <c r="B34699" t="s">
        <v>18722</v>
      </c>
      <c r="C34699" t="s">
        <v>728</v>
      </c>
      <c r="D34699" t="s">
        <v>56</v>
      </c>
      <c r="E34699" t="s">
        <v>172</v>
      </c>
      <c r="F34699" s="2" t="str">
        <f>HYPERLINK("http://www.otzar.org/book.asp?11903","קהלות קדש")</f>
        <v>קהלות קדש</v>
      </c>
    </row>
    <row r="34700" spans="1:6" x14ac:dyDescent="0.2">
      <c r="A34700" t="s">
        <v>53729</v>
      </c>
      <c r="B34700" t="s">
        <v>6168</v>
      </c>
      <c r="C34700" t="s">
        <v>1718</v>
      </c>
      <c r="D34700" t="s">
        <v>307</v>
      </c>
      <c r="E34700" t="s">
        <v>158</v>
      </c>
      <c r="F34700" s="2" t="str">
        <f>HYPERLINK("http://www.otzar.org/book.asp?149687","קהלת &lt;עינים לראות - לב לדעת&gt;")</f>
        <v>קהלת &lt;עינים לראות - לב לדעת&gt;</v>
      </c>
    </row>
    <row r="34701" spans="1:6" x14ac:dyDescent="0.2">
      <c r="A34701" t="s">
        <v>53730</v>
      </c>
      <c r="B34701" t="s">
        <v>35141</v>
      </c>
      <c r="C34701" t="s">
        <v>603</v>
      </c>
      <c r="D34701" t="s">
        <v>283</v>
      </c>
      <c r="E34701" t="s">
        <v>158</v>
      </c>
      <c r="F34701" s="2" t="str">
        <f>HYPERLINK("http://www.otzar.org/book.asp?102620","קהלת &lt;בקש קהלת&gt;")</f>
        <v>קהלת &lt;בקש קהלת&gt;</v>
      </c>
    </row>
    <row r="34702" spans="1:6" x14ac:dyDescent="0.2">
      <c r="A34702" t="s">
        <v>53731</v>
      </c>
      <c r="B34702" t="s">
        <v>53732</v>
      </c>
      <c r="C34702" t="s">
        <v>1437</v>
      </c>
      <c r="D34702" t="s">
        <v>1566</v>
      </c>
      <c r="E34702" t="s">
        <v>158</v>
      </c>
      <c r="F34702" s="2" t="str">
        <f>HYPERLINK("http://www.otzar.org/book.asp?197589","קהלת &lt;שמחה שלמה&gt; - 2 כר'")</f>
        <v>קהלת &lt;שמחה שלמה&gt; - 2 כר'</v>
      </c>
    </row>
    <row r="34703" spans="1:6" x14ac:dyDescent="0.2">
      <c r="A34703" t="s">
        <v>53733</v>
      </c>
      <c r="B34703" t="s">
        <v>53734</v>
      </c>
      <c r="C34703" t="s">
        <v>2617</v>
      </c>
      <c r="D34703" t="s">
        <v>283</v>
      </c>
      <c r="E34703" t="s">
        <v>158</v>
      </c>
      <c r="F34703" s="2" t="str">
        <f>HYPERLINK("http://www.otzar.org/book.asp?140988","קהלת &lt;עם פירוש שמחת ישרים&gt;")</f>
        <v>קהלת &lt;עם פירוש שמחת ישרים&gt;</v>
      </c>
    </row>
    <row r="34704" spans="1:6" x14ac:dyDescent="0.2">
      <c r="A34704" t="s">
        <v>53735</v>
      </c>
      <c r="B34704" t="s">
        <v>107</v>
      </c>
      <c r="C34704" t="s">
        <v>17</v>
      </c>
      <c r="D34704" t="s">
        <v>14</v>
      </c>
      <c r="E34704" t="s">
        <v>158</v>
      </c>
      <c r="F34704" s="2" t="str">
        <f>HYPERLINK("http://www.otzar.org/book.asp?6051","קהלת &lt;דבר ירושלים&gt;")</f>
        <v>קהלת &lt;דבר ירושלים&gt;</v>
      </c>
    </row>
    <row r="34705" spans="1:6" x14ac:dyDescent="0.2">
      <c r="A34705" t="s">
        <v>53736</v>
      </c>
      <c r="B34705" t="s">
        <v>4156</v>
      </c>
      <c r="C34705" t="s">
        <v>99</v>
      </c>
      <c r="D34705" t="s">
        <v>3293</v>
      </c>
      <c r="E34705" t="s">
        <v>104</v>
      </c>
      <c r="F34705" s="2" t="str">
        <f>HYPERLINK("http://www.otzar.org/book.asp?51497","קהלת אמעריקא - ב")</f>
        <v>קהלת אמעריקא - ב</v>
      </c>
    </row>
    <row r="34706" spans="1:6" x14ac:dyDescent="0.2">
      <c r="A34706" t="s">
        <v>53737</v>
      </c>
      <c r="B34706" t="s">
        <v>53738</v>
      </c>
      <c r="C34706" t="s">
        <v>1202</v>
      </c>
      <c r="D34706" t="s">
        <v>9015</v>
      </c>
      <c r="E34706" t="s">
        <v>154</v>
      </c>
      <c r="F34706" s="2" t="str">
        <f>HYPERLINK("http://www.otzar.org/book.asp?20587","קהלת אשר")</f>
        <v>קהלת אשר</v>
      </c>
    </row>
    <row r="34707" spans="1:6" x14ac:dyDescent="0.2">
      <c r="A34707" t="s">
        <v>53739</v>
      </c>
      <c r="B34707" t="s">
        <v>1243</v>
      </c>
      <c r="C34707" t="s">
        <v>8799</v>
      </c>
      <c r="D34707" t="s">
        <v>76</v>
      </c>
      <c r="E34707" t="s">
        <v>957</v>
      </c>
      <c r="F34707" s="2" t="str">
        <f>HYPERLINK("http://www.otzar.org/book.asp?102624","קהלת בן דוד")</f>
        <v>קהלת בן דוד</v>
      </c>
    </row>
    <row r="34708" spans="1:6" x14ac:dyDescent="0.2">
      <c r="A34708" t="s">
        <v>53740</v>
      </c>
      <c r="B34708" t="s">
        <v>53741</v>
      </c>
      <c r="C34708" t="s">
        <v>53742</v>
      </c>
      <c r="D34708" t="s">
        <v>1966</v>
      </c>
      <c r="E34708" t="s">
        <v>158</v>
      </c>
      <c r="F34708" s="2" t="str">
        <f>HYPERLINK("http://www.otzar.org/book.asp?161116","קהלת ברוך")</f>
        <v>קהלת ברוך</v>
      </c>
    </row>
    <row r="34709" spans="1:6" x14ac:dyDescent="0.2">
      <c r="A34709" t="s">
        <v>53743</v>
      </c>
      <c r="B34709" t="s">
        <v>28227</v>
      </c>
      <c r="C34709" t="s">
        <v>503</v>
      </c>
      <c r="D34709" t="s">
        <v>38238</v>
      </c>
      <c r="E34709" t="s">
        <v>104</v>
      </c>
      <c r="F34709" s="2" t="str">
        <f>HYPERLINK("http://www.otzar.org/book.asp?197017","קהלת דוד האפרתי")</f>
        <v>קהלת דוד האפרתי</v>
      </c>
    </row>
    <row r="34710" spans="1:6" x14ac:dyDescent="0.2">
      <c r="A34710" t="s">
        <v>53744</v>
      </c>
      <c r="B34710" t="s">
        <v>53745</v>
      </c>
      <c r="C34710" t="s">
        <v>3906</v>
      </c>
      <c r="D34710" t="s">
        <v>283</v>
      </c>
      <c r="E34710" t="s">
        <v>202</v>
      </c>
      <c r="F34710" s="2" t="str">
        <f>HYPERLINK("http://www.otzar.org/book.asp?20589","קהלת דוד")</f>
        <v>קהלת דוד</v>
      </c>
    </row>
    <row r="34711" spans="1:6" x14ac:dyDescent="0.2">
      <c r="A34711" t="s">
        <v>53744</v>
      </c>
      <c r="B34711" t="s">
        <v>12288</v>
      </c>
      <c r="C34711" t="s">
        <v>4705</v>
      </c>
      <c r="D34711" t="s">
        <v>726</v>
      </c>
      <c r="E34711" t="s">
        <v>2071</v>
      </c>
      <c r="F34711" s="2" t="str">
        <f>HYPERLINK("http://www.otzar.org/book.asp?153533","קהלת דוד")</f>
        <v>קהלת דוד</v>
      </c>
    </row>
    <row r="34712" spans="1:6" x14ac:dyDescent="0.2">
      <c r="A34712" t="s">
        <v>53744</v>
      </c>
      <c r="B34712" t="s">
        <v>53746</v>
      </c>
      <c r="C34712" t="s">
        <v>2271</v>
      </c>
      <c r="D34712" t="s">
        <v>4288</v>
      </c>
      <c r="E34712" t="s">
        <v>104</v>
      </c>
      <c r="F34712" s="2" t="str">
        <f>HYPERLINK("http://www.otzar.org/book.asp?150112","קהלת דוד")</f>
        <v>קהלת דוד</v>
      </c>
    </row>
    <row r="34713" spans="1:6" x14ac:dyDescent="0.2">
      <c r="A34713" t="s">
        <v>53747</v>
      </c>
      <c r="B34713" t="s">
        <v>41819</v>
      </c>
      <c r="C34713" t="s">
        <v>1570</v>
      </c>
      <c r="D34713" t="s">
        <v>216</v>
      </c>
      <c r="E34713" t="s">
        <v>51299</v>
      </c>
      <c r="F34713" s="2" t="str">
        <f>HYPERLINK("http://www.otzar.org/book.asp?8225","קהלת חיים")</f>
        <v>קהלת חיים</v>
      </c>
    </row>
    <row r="34714" spans="1:6" x14ac:dyDescent="0.2">
      <c r="A34714" t="s">
        <v>53748</v>
      </c>
      <c r="B34714" t="s">
        <v>6885</v>
      </c>
      <c r="C34714" t="s">
        <v>111</v>
      </c>
      <c r="D34714" t="s">
        <v>245</v>
      </c>
      <c r="E34714" t="s">
        <v>674</v>
      </c>
      <c r="F34714" s="2" t="str">
        <f>HYPERLINK("http://www.otzar.org/book.asp?627043","קהלת יעקב &lt;משנת רבי אהרן&gt; - 2 כר'")</f>
        <v>קהלת יעקב &lt;משנת רבי אהרן&gt; - 2 כר'</v>
      </c>
    </row>
    <row r="34715" spans="1:6" x14ac:dyDescent="0.2">
      <c r="A34715" t="s">
        <v>53749</v>
      </c>
      <c r="B34715" t="s">
        <v>53750</v>
      </c>
      <c r="C34715" t="s">
        <v>17</v>
      </c>
      <c r="D34715" t="s">
        <v>14</v>
      </c>
      <c r="E34715" t="s">
        <v>399</v>
      </c>
      <c r="F34715" s="2" t="str">
        <f>HYPERLINK("http://www.otzar.org/book.asp?196560","קהלת יעקב &lt;מהדורה חדשה עם ביאור שבחי יעקב&gt; - 3 כר'")</f>
        <v>קהלת יעקב &lt;מהדורה חדשה עם ביאור שבחי יעקב&gt; - 3 כר'</v>
      </c>
    </row>
    <row r="34716" spans="1:6" x14ac:dyDescent="0.2">
      <c r="A34716" t="s">
        <v>53751</v>
      </c>
      <c r="B34716" t="s">
        <v>26419</v>
      </c>
      <c r="C34716" t="s">
        <v>6203</v>
      </c>
      <c r="D34716" t="s">
        <v>76</v>
      </c>
      <c r="E34716" t="s">
        <v>10</v>
      </c>
      <c r="F34716" s="2" t="str">
        <f>HYPERLINK("http://www.otzar.org/book.asp?20591","קהלת יעקב")</f>
        <v>קהלת יעקב</v>
      </c>
    </row>
    <row r="34717" spans="1:6" x14ac:dyDescent="0.2">
      <c r="A34717" t="s">
        <v>53752</v>
      </c>
      <c r="B34717" t="s">
        <v>7703</v>
      </c>
      <c r="C34717" t="s">
        <v>114</v>
      </c>
      <c r="D34717" t="s">
        <v>14</v>
      </c>
      <c r="F34717" s="2" t="str">
        <f>HYPERLINK("http://www.otzar.org/book.asp?163604","קהלת יעקב - 5 כר'")</f>
        <v>קהלת יעקב - 5 כר'</v>
      </c>
    </row>
    <row r="34718" spans="1:6" x14ac:dyDescent="0.2">
      <c r="A34718" t="s">
        <v>53753</v>
      </c>
      <c r="B34718" t="s">
        <v>6885</v>
      </c>
      <c r="C34718" t="s">
        <v>75</v>
      </c>
      <c r="D34718" t="s">
        <v>1279</v>
      </c>
      <c r="E34718" t="s">
        <v>104</v>
      </c>
      <c r="F34718" s="2" t="str">
        <f>HYPERLINK("http://www.otzar.org/book.asp?6548","קהלת יעקב - 2 כר'")</f>
        <v>קהלת יעקב - 2 כר'</v>
      </c>
    </row>
    <row r="34719" spans="1:6" x14ac:dyDescent="0.2">
      <c r="A34719" t="s">
        <v>53751</v>
      </c>
      <c r="B34719" t="s">
        <v>41981</v>
      </c>
      <c r="C34719" t="s">
        <v>15405</v>
      </c>
      <c r="D34719" t="s">
        <v>56</v>
      </c>
      <c r="E34719" t="s">
        <v>13324</v>
      </c>
      <c r="F34719" s="2" t="str">
        <f>HYPERLINK("http://www.otzar.org/book.asp?9089","קהלת יעקב")</f>
        <v>קהלת יעקב</v>
      </c>
    </row>
    <row r="34720" spans="1:6" x14ac:dyDescent="0.2">
      <c r="A34720" t="s">
        <v>53751</v>
      </c>
      <c r="B34720" t="s">
        <v>40552</v>
      </c>
      <c r="C34720" t="s">
        <v>8216</v>
      </c>
      <c r="D34720" t="s">
        <v>8830</v>
      </c>
      <c r="E34720" t="s">
        <v>158</v>
      </c>
      <c r="F34720" s="2" t="str">
        <f>HYPERLINK("http://www.otzar.org/book.asp?103704","קהלת יעקב")</f>
        <v>קהלת יעקב</v>
      </c>
    </row>
    <row r="34721" spans="1:6" x14ac:dyDescent="0.2">
      <c r="A34721" t="s">
        <v>53754</v>
      </c>
      <c r="B34721" t="s">
        <v>2222</v>
      </c>
      <c r="C34721" t="s">
        <v>466</v>
      </c>
      <c r="D34721" t="s">
        <v>14</v>
      </c>
      <c r="E34721" t="s">
        <v>219</v>
      </c>
      <c r="F34721" s="2" t="str">
        <f>HYPERLINK("http://www.otzar.org/book.asp?154187","קהלת יעקב - החטא ועונשו")</f>
        <v>קהלת יעקב - החטא ועונשו</v>
      </c>
    </row>
    <row r="34722" spans="1:6" x14ac:dyDescent="0.2">
      <c r="A34722" t="s">
        <v>53755</v>
      </c>
      <c r="B34722" t="s">
        <v>6900</v>
      </c>
      <c r="C34722" t="s">
        <v>600</v>
      </c>
      <c r="D34722" t="s">
        <v>267</v>
      </c>
      <c r="E34722" t="s">
        <v>53756</v>
      </c>
      <c r="F34722" s="2" t="str">
        <f>HYPERLINK("http://www.otzar.org/book.asp?9995","קהלת יעקב - 3 כר'")</f>
        <v>קהלת יעקב - 3 כר'</v>
      </c>
    </row>
    <row r="34723" spans="1:6" x14ac:dyDescent="0.2">
      <c r="A34723" t="s">
        <v>53751</v>
      </c>
      <c r="B34723" t="s">
        <v>53757</v>
      </c>
      <c r="C34723" t="s">
        <v>11776</v>
      </c>
      <c r="D34723" t="s">
        <v>60</v>
      </c>
      <c r="E34723" t="s">
        <v>2088</v>
      </c>
      <c r="F34723" s="2" t="str">
        <f>HYPERLINK("http://www.otzar.org/book.asp?151518","קהלת יעקב")</f>
        <v>קהלת יעקב</v>
      </c>
    </row>
    <row r="34724" spans="1:6" x14ac:dyDescent="0.2">
      <c r="A34724" t="s">
        <v>53753</v>
      </c>
      <c r="B34724" t="s">
        <v>6496</v>
      </c>
      <c r="C34724" t="s">
        <v>103</v>
      </c>
      <c r="D34724" t="s">
        <v>14</v>
      </c>
      <c r="E34724" t="s">
        <v>172</v>
      </c>
      <c r="F34724" s="2" t="str">
        <f>HYPERLINK("http://www.otzar.org/book.asp?149490","קהלת יעקב - 2 כר'")</f>
        <v>קהלת יעקב - 2 כר'</v>
      </c>
    </row>
    <row r="34725" spans="1:6" x14ac:dyDescent="0.2">
      <c r="A34725" t="s">
        <v>53751</v>
      </c>
      <c r="B34725" t="s">
        <v>7265</v>
      </c>
      <c r="C34725" t="s">
        <v>5334</v>
      </c>
      <c r="D34725" t="s">
        <v>49</v>
      </c>
      <c r="E34725" t="s">
        <v>158</v>
      </c>
      <c r="F34725" s="2" t="str">
        <f>HYPERLINK("http://www.otzar.org/book.asp?16066","קהלת יעקב")</f>
        <v>קהלת יעקב</v>
      </c>
    </row>
    <row r="34726" spans="1:6" x14ac:dyDescent="0.2">
      <c r="A34726" t="s">
        <v>53751</v>
      </c>
      <c r="B34726" t="s">
        <v>53758</v>
      </c>
      <c r="C34726" t="s">
        <v>1228</v>
      </c>
      <c r="D34726" t="s">
        <v>225</v>
      </c>
      <c r="E34726" t="s">
        <v>314</v>
      </c>
      <c r="F34726" s="2" t="str">
        <f>HYPERLINK("http://www.otzar.org/book.asp?20590","קהלת יעקב")</f>
        <v>קהלת יעקב</v>
      </c>
    </row>
    <row r="34727" spans="1:6" x14ac:dyDescent="0.2">
      <c r="A34727" t="s">
        <v>53759</v>
      </c>
      <c r="B34727" t="s">
        <v>29825</v>
      </c>
      <c r="C34727" t="s">
        <v>919</v>
      </c>
      <c r="D34727" t="s">
        <v>14</v>
      </c>
      <c r="E34727" t="s">
        <v>8525</v>
      </c>
      <c r="F34727" s="2" t="str">
        <f>HYPERLINK("http://www.otzar.org/book.asp?180250","קהלת יעקב, מכלל יופי")</f>
        <v>קהלת יעקב, מכלל יופי</v>
      </c>
    </row>
    <row r="34728" spans="1:6" x14ac:dyDescent="0.2">
      <c r="A34728" t="s">
        <v>53760</v>
      </c>
      <c r="B34728" t="s">
        <v>53761</v>
      </c>
      <c r="C34728" t="s">
        <v>53762</v>
      </c>
      <c r="D34728" t="s">
        <v>49</v>
      </c>
      <c r="E34728" t="s">
        <v>234</v>
      </c>
      <c r="F34728" s="2" t="str">
        <f>HYPERLINK("http://www.otzar.org/book.asp?28281","קהלת יעקב. קדש ישראל")</f>
        <v>קהלת יעקב. קדש ישראל</v>
      </c>
    </row>
    <row r="34729" spans="1:6" x14ac:dyDescent="0.2">
      <c r="A34729" t="s">
        <v>53763</v>
      </c>
      <c r="B34729" t="s">
        <v>53764</v>
      </c>
      <c r="C34729" t="s">
        <v>360</v>
      </c>
      <c r="D34729" t="s">
        <v>53765</v>
      </c>
      <c r="E34729" t="s">
        <v>10</v>
      </c>
      <c r="F34729" s="2" t="str">
        <f>HYPERLINK("http://www.otzar.org/book.asp?182072","קהלת יצחק - 3 כר'")</f>
        <v>קהלת יצחק - 3 כר'</v>
      </c>
    </row>
    <row r="34730" spans="1:6" x14ac:dyDescent="0.2">
      <c r="A34730" t="s">
        <v>53766</v>
      </c>
      <c r="B34730" t="s">
        <v>10253</v>
      </c>
      <c r="C34730" t="s">
        <v>492</v>
      </c>
      <c r="D34730" t="s">
        <v>56</v>
      </c>
      <c r="E34730" t="s">
        <v>474</v>
      </c>
      <c r="F34730" s="2" t="str">
        <f>HYPERLINK("http://www.otzar.org/book.asp?102194","קהלת יצחק")</f>
        <v>קהלת יצחק</v>
      </c>
    </row>
    <row r="34731" spans="1:6" x14ac:dyDescent="0.2">
      <c r="A34731" t="s">
        <v>53767</v>
      </c>
      <c r="B34731" t="s">
        <v>35783</v>
      </c>
      <c r="C34731" t="s">
        <v>473</v>
      </c>
      <c r="D34731" t="s">
        <v>225</v>
      </c>
      <c r="E34731" t="s">
        <v>104</v>
      </c>
      <c r="F34731" s="2" t="str">
        <f>HYPERLINK("http://www.otzar.org/book.asp?20593","קהלת מנחם")</f>
        <v>קהלת מנחם</v>
      </c>
    </row>
    <row r="34732" spans="1:6" x14ac:dyDescent="0.2">
      <c r="A34732" t="s">
        <v>53768</v>
      </c>
      <c r="B34732" t="s">
        <v>53769</v>
      </c>
      <c r="C34732" t="s">
        <v>1374</v>
      </c>
      <c r="D34732" t="s">
        <v>225</v>
      </c>
      <c r="E34732" t="s">
        <v>158</v>
      </c>
      <c r="F34732" s="2" t="str">
        <f>HYPERLINK("http://www.otzar.org/book.asp?51498","קהלת מרדכי - א")</f>
        <v>קהלת מרדכי - א</v>
      </c>
    </row>
    <row r="34733" spans="1:6" x14ac:dyDescent="0.2">
      <c r="A34733" t="s">
        <v>53770</v>
      </c>
      <c r="B34733" t="s">
        <v>53771</v>
      </c>
      <c r="C34733" t="s">
        <v>383</v>
      </c>
      <c r="D34733" t="s">
        <v>14</v>
      </c>
      <c r="E34733" t="s">
        <v>158</v>
      </c>
      <c r="F34733" s="2" t="str">
        <f>HYPERLINK("http://www.otzar.org/book.asp?153761","קהלת מרדכי")</f>
        <v>קהלת מרדכי</v>
      </c>
    </row>
    <row r="34734" spans="1:6" x14ac:dyDescent="0.2">
      <c r="A34734" t="s">
        <v>53772</v>
      </c>
      <c r="B34734" t="s">
        <v>8578</v>
      </c>
      <c r="C34734" t="s">
        <v>1228</v>
      </c>
      <c r="D34734" t="s">
        <v>1769</v>
      </c>
      <c r="E34734" t="s">
        <v>158</v>
      </c>
      <c r="F34734" s="2" t="str">
        <f>HYPERLINK("http://www.otzar.org/book.asp?51486","קהלת משה - 2 כר'")</f>
        <v>קהלת משה - 2 כר'</v>
      </c>
    </row>
    <row r="34735" spans="1:6" x14ac:dyDescent="0.2">
      <c r="A34735" t="s">
        <v>53772</v>
      </c>
      <c r="B34735" t="s">
        <v>5703</v>
      </c>
      <c r="C34735" t="s">
        <v>51631</v>
      </c>
      <c r="D34735" t="s">
        <v>283</v>
      </c>
      <c r="E34735" t="s">
        <v>104</v>
      </c>
      <c r="F34735" s="2" t="str">
        <f>HYPERLINK("http://www.otzar.org/book.asp?141946","קהלת משה - 2 כר'")</f>
        <v>קהלת משה - 2 כר'</v>
      </c>
    </row>
    <row r="34736" spans="1:6" x14ac:dyDescent="0.2">
      <c r="A34736" t="s">
        <v>53773</v>
      </c>
      <c r="B34736" t="s">
        <v>53774</v>
      </c>
      <c r="C34736" t="s">
        <v>635</v>
      </c>
      <c r="D34736" t="s">
        <v>283</v>
      </c>
      <c r="E34736" t="s">
        <v>741</v>
      </c>
      <c r="F34736" s="2" t="str">
        <f>HYPERLINK("http://www.otzar.org/book.asp?11124","קהלת משה - 3 כר'")</f>
        <v>קהלת משה - 3 כר'</v>
      </c>
    </row>
    <row r="34737" spans="1:6" x14ac:dyDescent="0.2">
      <c r="A34737" t="s">
        <v>53775</v>
      </c>
      <c r="B34737" t="s">
        <v>14867</v>
      </c>
      <c r="C34737" t="s">
        <v>266</v>
      </c>
      <c r="D34737" t="s">
        <v>6608</v>
      </c>
      <c r="E34737" t="s">
        <v>1438</v>
      </c>
      <c r="F34737" s="2" t="str">
        <f>HYPERLINK("http://www.otzar.org/book.asp?103706","קהלת משה")</f>
        <v>קהלת משה</v>
      </c>
    </row>
    <row r="34738" spans="1:6" x14ac:dyDescent="0.2">
      <c r="A34738" t="s">
        <v>53776</v>
      </c>
      <c r="B34738" t="s">
        <v>29942</v>
      </c>
      <c r="C34738" t="s">
        <v>5169</v>
      </c>
      <c r="D34738" t="s">
        <v>212</v>
      </c>
      <c r="E34738" t="s">
        <v>158</v>
      </c>
      <c r="F34738" s="2" t="str">
        <f>HYPERLINK("http://www.otzar.org/book.asp?28481","קהלת עם פירוש חמדת ישראל")</f>
        <v>קהלת עם פירוש חמדת ישראל</v>
      </c>
    </row>
    <row r="34739" spans="1:6" x14ac:dyDescent="0.2">
      <c r="A34739" t="s">
        <v>53777</v>
      </c>
      <c r="B34739" t="s">
        <v>4840</v>
      </c>
      <c r="C34739" t="s">
        <v>888</v>
      </c>
      <c r="D34739" t="s">
        <v>6459</v>
      </c>
      <c r="E34739" t="s">
        <v>158</v>
      </c>
      <c r="F34739" s="2" t="str">
        <f>HYPERLINK("http://www.otzar.org/book.asp?5639","קהלת עם פירוש רבינו סעדיה גאון")</f>
        <v>קהלת עם פירוש רבינו סעדיה גאון</v>
      </c>
    </row>
    <row r="34740" spans="1:6" x14ac:dyDescent="0.2">
      <c r="A34740" t="s">
        <v>53778</v>
      </c>
      <c r="B34740" t="s">
        <v>37166</v>
      </c>
      <c r="C34740" t="s">
        <v>1058</v>
      </c>
      <c r="D34740" t="s">
        <v>212</v>
      </c>
      <c r="E34740" t="s">
        <v>158</v>
      </c>
      <c r="F34740" s="2" t="str">
        <f>HYPERLINK("http://www.otzar.org/book.asp?25086","קהלת עם שבט ראובן ושרח בל' ערבי")</f>
        <v>קהלת עם שבט ראובן ושרח בל' ערבי</v>
      </c>
    </row>
    <row r="34741" spans="1:6" x14ac:dyDescent="0.2">
      <c r="A34741" t="s">
        <v>53779</v>
      </c>
      <c r="B34741" t="s">
        <v>35329</v>
      </c>
      <c r="C34741" t="s">
        <v>23</v>
      </c>
      <c r="D34741" t="s">
        <v>10588</v>
      </c>
      <c r="E34741" t="s">
        <v>158</v>
      </c>
      <c r="F34741" s="2" t="str">
        <f>HYPERLINK("http://www.otzar.org/book.asp?601289","קהלת עם שמועות וביאורים")</f>
        <v>קהלת עם שמועות וביאורים</v>
      </c>
    </row>
    <row r="34742" spans="1:6" x14ac:dyDescent="0.2">
      <c r="A34742" t="s">
        <v>53780</v>
      </c>
      <c r="B34742" t="s">
        <v>30470</v>
      </c>
      <c r="C34742" t="s">
        <v>68</v>
      </c>
      <c r="D34742" t="s">
        <v>1840</v>
      </c>
      <c r="E34742" t="s">
        <v>158</v>
      </c>
      <c r="F34742" s="2" t="str">
        <f>HYPERLINK("http://www.otzar.org/book.asp?198665","קהלת ציון  - קהלת")</f>
        <v>קהלת ציון  - קהלת</v>
      </c>
    </row>
    <row r="34743" spans="1:6" x14ac:dyDescent="0.2">
      <c r="A34743" t="s">
        <v>53781</v>
      </c>
      <c r="B34743" t="s">
        <v>53782</v>
      </c>
      <c r="C34743" t="s">
        <v>313</v>
      </c>
      <c r="D34743" t="s">
        <v>52</v>
      </c>
      <c r="E34743" t="s">
        <v>119</v>
      </c>
      <c r="F34743" s="2" t="str">
        <f>HYPERLINK("http://www.otzar.org/book.asp?147936","קהלת צעהלים וחכמיה")</f>
        <v>קהלת צעהלים וחכמיה</v>
      </c>
    </row>
    <row r="34744" spans="1:6" x14ac:dyDescent="0.2">
      <c r="A34744" t="s">
        <v>53783</v>
      </c>
      <c r="B34744" t="s">
        <v>10545</v>
      </c>
      <c r="C34744" t="s">
        <v>133</v>
      </c>
      <c r="D34744" t="s">
        <v>90</v>
      </c>
      <c r="E34744" t="s">
        <v>104</v>
      </c>
      <c r="F34744" s="2" t="str">
        <f>HYPERLINK("http://www.otzar.org/book.asp?173987","קהלת שלמה &lt;מהדורה חדשה&gt;")</f>
        <v>קהלת שלמה &lt;מהדורה חדשה&gt;</v>
      </c>
    </row>
    <row r="34745" spans="1:6" x14ac:dyDescent="0.2">
      <c r="A34745" t="s">
        <v>53784</v>
      </c>
      <c r="B34745" t="s">
        <v>53785</v>
      </c>
      <c r="C34745" t="s">
        <v>1096</v>
      </c>
      <c r="D34745" t="s">
        <v>27</v>
      </c>
      <c r="E34745" t="s">
        <v>154</v>
      </c>
      <c r="F34745" s="2" t="str">
        <f>HYPERLINK("http://www.otzar.org/book.asp?28541","קהלת שלמה &lt;שו""ת&gt;")</f>
        <v>קהלת שלמה &lt;שו"ת&gt;</v>
      </c>
    </row>
    <row r="34746" spans="1:6" x14ac:dyDescent="0.2">
      <c r="A34746" t="s">
        <v>53786</v>
      </c>
      <c r="B34746" t="s">
        <v>1137</v>
      </c>
      <c r="C34746" t="s">
        <v>6995</v>
      </c>
      <c r="D34746" t="s">
        <v>2303</v>
      </c>
      <c r="E34746" t="s">
        <v>2533</v>
      </c>
      <c r="F34746" s="2" t="str">
        <f>HYPERLINK("http://www.otzar.org/book.asp?103315","קהלת שלמה")</f>
        <v>קהלת שלמה</v>
      </c>
    </row>
    <row r="34747" spans="1:6" x14ac:dyDescent="0.2">
      <c r="A34747" t="s">
        <v>53786</v>
      </c>
      <c r="B34747" t="s">
        <v>3243</v>
      </c>
      <c r="C34747" t="s">
        <v>20</v>
      </c>
      <c r="D34747" t="s">
        <v>27</v>
      </c>
      <c r="E34747" t="s">
        <v>104</v>
      </c>
      <c r="F34747" s="2" t="str">
        <f>HYPERLINK("http://www.otzar.org/book.asp?179093","קהלת שלמה")</f>
        <v>קהלת שלמה</v>
      </c>
    </row>
    <row r="34748" spans="1:6" x14ac:dyDescent="0.2">
      <c r="A34748" t="s">
        <v>53786</v>
      </c>
      <c r="B34748" t="s">
        <v>53787</v>
      </c>
      <c r="C34748" t="s">
        <v>1418</v>
      </c>
      <c r="D34748" t="s">
        <v>5477</v>
      </c>
      <c r="E34748" t="s">
        <v>24</v>
      </c>
      <c r="F34748" s="2" t="str">
        <f>HYPERLINK("http://www.otzar.org/book.asp?19375","קהלת שלמה")</f>
        <v>קהלת שלמה</v>
      </c>
    </row>
    <row r="34749" spans="1:6" x14ac:dyDescent="0.2">
      <c r="A34749" t="s">
        <v>53788</v>
      </c>
      <c r="B34749" t="s">
        <v>33074</v>
      </c>
      <c r="C34749" t="s">
        <v>332</v>
      </c>
      <c r="D34749" t="s">
        <v>412</v>
      </c>
      <c r="E34749" t="s">
        <v>144</v>
      </c>
      <c r="F34749" s="2" t="str">
        <f>HYPERLINK("http://www.otzar.org/book.asp?192793","קהלת שלמה - א")</f>
        <v>קהלת שלמה - א</v>
      </c>
    </row>
    <row r="34750" spans="1:6" x14ac:dyDescent="0.2">
      <c r="A34750" t="s">
        <v>53789</v>
      </c>
      <c r="B34750" t="s">
        <v>305</v>
      </c>
      <c r="C34750" t="s">
        <v>360</v>
      </c>
      <c r="D34750" t="s">
        <v>1722</v>
      </c>
      <c r="E34750" t="s">
        <v>158</v>
      </c>
      <c r="F34750" s="2" t="str">
        <f>HYPERLINK("http://www.otzar.org/book.asp?23355","קהלת שלמה - 3 כר'")</f>
        <v>קהלת שלמה - 3 כר'</v>
      </c>
    </row>
    <row r="34751" spans="1:6" x14ac:dyDescent="0.2">
      <c r="A34751" t="s">
        <v>53786</v>
      </c>
      <c r="B34751" t="s">
        <v>10545</v>
      </c>
      <c r="C34751" t="s">
        <v>619</v>
      </c>
      <c r="D34751" t="s">
        <v>225</v>
      </c>
      <c r="E34751" t="s">
        <v>621</v>
      </c>
      <c r="F34751" s="2" t="str">
        <f>HYPERLINK("http://www.otzar.org/book.asp?20598","קהלת שלמה")</f>
        <v>קהלת שלמה</v>
      </c>
    </row>
    <row r="34752" spans="1:6" x14ac:dyDescent="0.2">
      <c r="A34752" t="s">
        <v>53790</v>
      </c>
      <c r="B34752" t="s">
        <v>53791</v>
      </c>
      <c r="C34752" t="s">
        <v>473</v>
      </c>
      <c r="D34752" t="s">
        <v>225</v>
      </c>
      <c r="E34752" t="s">
        <v>234</v>
      </c>
      <c r="F34752" s="2" t="str">
        <f>HYPERLINK("http://www.otzar.org/book.asp?25376","קהלת שמואל")</f>
        <v>קהלת שמואל</v>
      </c>
    </row>
    <row r="34753" spans="1:6" x14ac:dyDescent="0.2">
      <c r="A34753" t="s">
        <v>53792</v>
      </c>
      <c r="B34753" t="s">
        <v>9096</v>
      </c>
      <c r="C34753" t="s">
        <v>332</v>
      </c>
      <c r="D34753" t="s">
        <v>14</v>
      </c>
      <c r="E34753" t="s">
        <v>104</v>
      </c>
      <c r="F34753" s="2" t="str">
        <f>HYPERLINK("http://www.otzar.org/book.asp?162526","קו התאריך הישראלי - 2 כר'")</f>
        <v>קו התאריך הישראלי - 2 כר'</v>
      </c>
    </row>
    <row r="34754" spans="1:6" x14ac:dyDescent="0.2">
      <c r="A34754" t="s">
        <v>53793</v>
      </c>
      <c r="B34754" t="s">
        <v>206</v>
      </c>
      <c r="C34754" t="s">
        <v>185</v>
      </c>
      <c r="D34754" t="s">
        <v>14</v>
      </c>
      <c r="E34754" t="s">
        <v>104</v>
      </c>
      <c r="F34754" s="2" t="str">
        <f>HYPERLINK("http://www.otzar.org/book.asp?631202","קו התאריך - קו חכמת התורה")</f>
        <v>קו התאריך - קו חכמת התורה</v>
      </c>
    </row>
    <row r="34755" spans="1:6" x14ac:dyDescent="0.2">
      <c r="A34755" t="s">
        <v>53794</v>
      </c>
      <c r="B34755" t="s">
        <v>53795</v>
      </c>
      <c r="C34755" t="s">
        <v>533</v>
      </c>
      <c r="D34755" t="s">
        <v>14</v>
      </c>
      <c r="E34755" t="s">
        <v>119</v>
      </c>
      <c r="F34755" s="2" t="str">
        <f>HYPERLINK("http://www.otzar.org/book.asp?174507","קו לקו")</f>
        <v>קו לקו</v>
      </c>
    </row>
    <row r="34756" spans="1:6" x14ac:dyDescent="0.2">
      <c r="A34756" t="s">
        <v>53796</v>
      </c>
      <c r="B34756" t="s">
        <v>53797</v>
      </c>
      <c r="C34756" t="s">
        <v>454</v>
      </c>
      <c r="D34756" t="s">
        <v>21</v>
      </c>
      <c r="F34756" s="2" t="str">
        <f>HYPERLINK("http://www.otzar.org/book.asp?193091","קו""ח של מקומות")</f>
        <v>קו"ח של מקומות</v>
      </c>
    </row>
    <row r="34757" spans="1:6" x14ac:dyDescent="0.2">
      <c r="A34757" t="s">
        <v>53798</v>
      </c>
      <c r="B34757" t="s">
        <v>9358</v>
      </c>
      <c r="C34757" t="s">
        <v>843</v>
      </c>
      <c r="D34757" t="s">
        <v>260</v>
      </c>
      <c r="E34757" t="s">
        <v>199</v>
      </c>
      <c r="F34757" s="2" t="str">
        <f>HYPERLINK("http://www.otzar.org/book.asp?196594","קובל")</f>
        <v>קובל</v>
      </c>
    </row>
    <row r="34758" spans="1:6" x14ac:dyDescent="0.2">
      <c r="A34758" t="s">
        <v>53799</v>
      </c>
      <c r="B34758" t="s">
        <v>53800</v>
      </c>
      <c r="C34758" t="s">
        <v>1619</v>
      </c>
      <c r="D34758" t="s">
        <v>52</v>
      </c>
      <c r="E34758" t="s">
        <v>202</v>
      </c>
      <c r="F34758" s="2" t="str">
        <f>HYPERLINK("http://www.otzar.org/book.asp?196171","קובץ  בית ישראל - א")</f>
        <v>קובץ  בית ישראל - א</v>
      </c>
    </row>
    <row r="34759" spans="1:6" x14ac:dyDescent="0.2">
      <c r="A34759" t="s">
        <v>53801</v>
      </c>
      <c r="B34759" t="s">
        <v>28197</v>
      </c>
      <c r="C34759" t="s">
        <v>151</v>
      </c>
      <c r="D34759" t="s">
        <v>52</v>
      </c>
      <c r="E34759" t="s">
        <v>144</v>
      </c>
      <c r="F34759" s="2" t="str">
        <f>HYPERLINK("http://www.otzar.org/book.asp?620345","קובץ אאלפך בינה")</f>
        <v>קובץ אאלפך בינה</v>
      </c>
    </row>
    <row r="34760" spans="1:6" x14ac:dyDescent="0.2">
      <c r="A34760" t="s">
        <v>53802</v>
      </c>
      <c r="B34760" t="s">
        <v>489</v>
      </c>
      <c r="C34760" t="s">
        <v>151</v>
      </c>
      <c r="D34760" t="s">
        <v>412</v>
      </c>
      <c r="E34760" t="s">
        <v>202</v>
      </c>
      <c r="F34760" s="2" t="str">
        <f>HYPERLINK("http://www.otzar.org/book.asp?620481","קובץ אבקת רוכל - 5 כר'")</f>
        <v>קובץ אבקת רוכל - 5 כר'</v>
      </c>
    </row>
    <row r="34761" spans="1:6" x14ac:dyDescent="0.2">
      <c r="A34761" t="s">
        <v>53803</v>
      </c>
      <c r="B34761" t="s">
        <v>1750</v>
      </c>
      <c r="C34761" t="s">
        <v>366</v>
      </c>
      <c r="D34761" t="s">
        <v>21</v>
      </c>
      <c r="E34761" t="s">
        <v>241</v>
      </c>
      <c r="F34761" s="2" t="str">
        <f>HYPERLINK("http://www.otzar.org/book.asp?604038","קובץ אגודים בצרה")</f>
        <v>קובץ אגודים בצרה</v>
      </c>
    </row>
    <row r="34762" spans="1:6" x14ac:dyDescent="0.2">
      <c r="A34762" t="s">
        <v>53804</v>
      </c>
      <c r="B34762" t="s">
        <v>53805</v>
      </c>
      <c r="C34762" t="s">
        <v>767</v>
      </c>
      <c r="D34762" t="s">
        <v>52</v>
      </c>
      <c r="E34762" t="s">
        <v>1174</v>
      </c>
      <c r="F34762" s="2" t="str">
        <f>HYPERLINK("http://www.otzar.org/book.asp?615768","קובץ אגרא דבי הילולא")</f>
        <v>קובץ אגרא דבי הילולא</v>
      </c>
    </row>
    <row r="34763" spans="1:6" x14ac:dyDescent="0.2">
      <c r="A34763" t="s">
        <v>53806</v>
      </c>
      <c r="B34763" t="s">
        <v>42489</v>
      </c>
      <c r="C34763" t="s">
        <v>68</v>
      </c>
      <c r="D34763" t="s">
        <v>52</v>
      </c>
      <c r="E34763" t="s">
        <v>144</v>
      </c>
      <c r="F34763" s="2" t="str">
        <f>HYPERLINK("http://www.otzar.org/book.asp?629795","קובץ אגרא דשמעתתא")</f>
        <v>קובץ אגרא דשמעתתא</v>
      </c>
    </row>
    <row r="34764" spans="1:6" x14ac:dyDescent="0.2">
      <c r="A34764" t="s">
        <v>53807</v>
      </c>
      <c r="B34764" t="s">
        <v>17563</v>
      </c>
      <c r="C34764" t="s">
        <v>114</v>
      </c>
      <c r="D34764" t="s">
        <v>16149</v>
      </c>
      <c r="E34764" t="s">
        <v>104</v>
      </c>
      <c r="F34764" s="2" t="str">
        <f>HYPERLINK("http://www.otzar.org/book.asp?606259","קובץ אגרות הגר""מ גיפטר")</f>
        <v>קובץ אגרות הגר"מ גיפטר</v>
      </c>
    </row>
    <row r="34765" spans="1:6" x14ac:dyDescent="0.2">
      <c r="A34765" t="s">
        <v>53808</v>
      </c>
      <c r="B34765" t="s">
        <v>3374</v>
      </c>
      <c r="C34765" t="s">
        <v>1619</v>
      </c>
      <c r="D34765" t="s">
        <v>423</v>
      </c>
      <c r="E34765" t="s">
        <v>104</v>
      </c>
      <c r="F34765" s="2" t="str">
        <f>HYPERLINK("http://www.otzar.org/book.asp?605987","קובץ אגרות קודש")</f>
        <v>קובץ אגרות קודש</v>
      </c>
    </row>
    <row r="34766" spans="1:6" x14ac:dyDescent="0.2">
      <c r="A34766" t="s">
        <v>53809</v>
      </c>
      <c r="B34766" t="s">
        <v>11462</v>
      </c>
      <c r="C34766" t="s">
        <v>114</v>
      </c>
      <c r="D34766" t="s">
        <v>52</v>
      </c>
      <c r="E34766" t="s">
        <v>165</v>
      </c>
      <c r="F34766" s="2" t="str">
        <f>HYPERLINK("http://www.otzar.org/book.asp?160222","קובץ אגרות")</f>
        <v>קובץ אגרות</v>
      </c>
    </row>
    <row r="34767" spans="1:6" x14ac:dyDescent="0.2">
      <c r="A34767" t="s">
        <v>53810</v>
      </c>
      <c r="B34767" t="s">
        <v>53811</v>
      </c>
      <c r="C34767" t="s">
        <v>20</v>
      </c>
      <c r="D34767" t="s">
        <v>21</v>
      </c>
      <c r="F34767" s="2" t="str">
        <f>HYPERLINK("http://www.otzar.org/book.asp?603279","קובץ אגרת הפורים")</f>
        <v>קובץ אגרת הפורים</v>
      </c>
    </row>
    <row r="34768" spans="1:6" x14ac:dyDescent="0.2">
      <c r="A34768" t="s">
        <v>53812</v>
      </c>
      <c r="B34768" t="s">
        <v>53813</v>
      </c>
      <c r="C34768" t="s">
        <v>37</v>
      </c>
      <c r="D34768" t="s">
        <v>3283</v>
      </c>
      <c r="E34768" t="s">
        <v>202</v>
      </c>
      <c r="F34768" s="2" t="str">
        <f>HYPERLINK("http://www.otzar.org/book.asp?183109","קובץ אהל דוד")</f>
        <v>קובץ אהל דוד</v>
      </c>
    </row>
    <row r="34769" spans="1:6" x14ac:dyDescent="0.2">
      <c r="A34769" t="s">
        <v>53814</v>
      </c>
      <c r="B34769" t="s">
        <v>53815</v>
      </c>
      <c r="C34769" t="s">
        <v>103</v>
      </c>
      <c r="D34769" t="s">
        <v>21</v>
      </c>
      <c r="E34769" t="s">
        <v>202</v>
      </c>
      <c r="F34769" s="2" t="str">
        <f>HYPERLINK("http://www.otzar.org/book.asp?602823","קובץ אהל חוה")</f>
        <v>קובץ אהל חוה</v>
      </c>
    </row>
    <row r="34770" spans="1:6" x14ac:dyDescent="0.2">
      <c r="A34770" t="s">
        <v>53816</v>
      </c>
      <c r="B34770" t="s">
        <v>53817</v>
      </c>
      <c r="C34770" t="s">
        <v>422</v>
      </c>
      <c r="D34770" t="s">
        <v>52</v>
      </c>
      <c r="F34770" s="2" t="str">
        <f>HYPERLINK("http://www.otzar.org/book.asp?612086","קובץ אהל יוסף")</f>
        <v>קובץ אהל יוסף</v>
      </c>
    </row>
    <row r="34771" spans="1:6" x14ac:dyDescent="0.2">
      <c r="A34771" t="s">
        <v>53818</v>
      </c>
      <c r="B34771" t="s">
        <v>53819</v>
      </c>
      <c r="C34771" t="s">
        <v>103</v>
      </c>
      <c r="D34771" t="s">
        <v>4338</v>
      </c>
      <c r="E34771" t="s">
        <v>202</v>
      </c>
      <c r="F34771" s="2" t="str">
        <f>HYPERLINK("http://www.otzar.org/book.asp?603403","קובץ אהל יוסף - 3 כר'")</f>
        <v>קובץ אהל יוסף - 3 כר'</v>
      </c>
    </row>
    <row r="34772" spans="1:6" x14ac:dyDescent="0.2">
      <c r="A34772" t="s">
        <v>53820</v>
      </c>
      <c r="B34772" t="s">
        <v>53821</v>
      </c>
      <c r="C34772" t="s">
        <v>244</v>
      </c>
      <c r="D34772" t="s">
        <v>14</v>
      </c>
      <c r="E34772" t="s">
        <v>202</v>
      </c>
      <c r="F34772" s="2" t="str">
        <f>HYPERLINK("http://www.otzar.org/book.asp?608053","קובץ אהל משה - 2 כר'")</f>
        <v>קובץ אהל משה - 2 כר'</v>
      </c>
    </row>
    <row r="34773" spans="1:6" x14ac:dyDescent="0.2">
      <c r="A34773" t="s">
        <v>53822</v>
      </c>
      <c r="B34773" t="s">
        <v>53823</v>
      </c>
      <c r="C34773" t="s">
        <v>37</v>
      </c>
      <c r="D34773" t="s">
        <v>14605</v>
      </c>
      <c r="E34773" t="s">
        <v>202</v>
      </c>
      <c r="F34773" s="2" t="str">
        <f>HYPERLINK("http://www.otzar.org/book.asp?195592","קובץ אהל רבקה")</f>
        <v>קובץ אהל רבקה</v>
      </c>
    </row>
    <row r="34774" spans="1:6" x14ac:dyDescent="0.2">
      <c r="A34774" t="s">
        <v>53824</v>
      </c>
      <c r="B34774" t="s">
        <v>16777</v>
      </c>
      <c r="C34774" t="s">
        <v>111</v>
      </c>
      <c r="D34774" t="s">
        <v>52</v>
      </c>
      <c r="E34774" t="s">
        <v>202</v>
      </c>
      <c r="F34774" s="2" t="str">
        <f>HYPERLINK("http://www.otzar.org/book.asp?630784","קובץ אהלה של תורה - שבת, הוצאה")</f>
        <v>קובץ אהלה של תורה - שבת, הוצאה</v>
      </c>
    </row>
    <row r="34775" spans="1:6" x14ac:dyDescent="0.2">
      <c r="A34775" t="s">
        <v>53825</v>
      </c>
      <c r="B34775" t="s">
        <v>53826</v>
      </c>
      <c r="C34775" t="s">
        <v>68</v>
      </c>
      <c r="D34775" t="s">
        <v>486</v>
      </c>
      <c r="E34775" t="s">
        <v>202</v>
      </c>
      <c r="F34775" s="2" t="str">
        <f>HYPERLINK("http://www.otzar.org/book.asp?176969","קובץ אהלי הוראה - 3 כר'")</f>
        <v>קובץ אהלי הוראה - 3 כר'</v>
      </c>
    </row>
    <row r="34776" spans="1:6" x14ac:dyDescent="0.2">
      <c r="A34776" t="s">
        <v>53827</v>
      </c>
      <c r="B34776" t="s">
        <v>53828</v>
      </c>
      <c r="C34776" t="s">
        <v>454</v>
      </c>
      <c r="D34776" t="s">
        <v>14</v>
      </c>
      <c r="E34776" t="s">
        <v>186</v>
      </c>
      <c r="F34776" s="2" t="str">
        <f>HYPERLINK("http://www.otzar.org/book.asp?85693","קובץ אהלי יהושע")</f>
        <v>קובץ אהלי יהושע</v>
      </c>
    </row>
    <row r="34777" spans="1:6" x14ac:dyDescent="0.2">
      <c r="A34777" t="s">
        <v>53829</v>
      </c>
      <c r="B34777" t="s">
        <v>53830</v>
      </c>
      <c r="C34777" t="s">
        <v>129</v>
      </c>
      <c r="D34777" t="s">
        <v>14</v>
      </c>
      <c r="E34777" t="s">
        <v>2091</v>
      </c>
      <c r="F34777" s="2" t="str">
        <f>HYPERLINK("http://www.otzar.org/book.asp?142296","קובץ אהלי יעקב &lt;עם ילקוט יוסף הל' שבת&gt;")</f>
        <v>קובץ אהלי יעקב &lt;עם ילקוט יוסף הל' שבת&gt;</v>
      </c>
    </row>
    <row r="34778" spans="1:6" x14ac:dyDescent="0.2">
      <c r="A34778" t="s">
        <v>53831</v>
      </c>
      <c r="B34778" t="s">
        <v>53832</v>
      </c>
      <c r="C34778" t="s">
        <v>20</v>
      </c>
      <c r="D34778" t="s">
        <v>52</v>
      </c>
      <c r="E34778" t="s">
        <v>202</v>
      </c>
      <c r="F34778" s="2" t="str">
        <f>HYPERLINK("http://www.otzar.org/book.asp?172002","קובץ אהלי שם - א")</f>
        <v>קובץ אהלי שם - א</v>
      </c>
    </row>
    <row r="34779" spans="1:6" x14ac:dyDescent="0.2">
      <c r="A34779" t="s">
        <v>53833</v>
      </c>
      <c r="B34779" t="s">
        <v>53834</v>
      </c>
      <c r="C34779" t="s">
        <v>767</v>
      </c>
      <c r="D34779" t="s">
        <v>14</v>
      </c>
      <c r="E34779" t="s">
        <v>186</v>
      </c>
      <c r="F34779" s="2" t="str">
        <f>HYPERLINK("http://www.otzar.org/book.asp?163872","קובץ אהלי תורה - קידושין")</f>
        <v>קובץ אהלי תורה - קידושין</v>
      </c>
    </row>
    <row r="34780" spans="1:6" x14ac:dyDescent="0.2">
      <c r="A34780" t="s">
        <v>53835</v>
      </c>
      <c r="B34780" t="s">
        <v>53836</v>
      </c>
      <c r="C34780" t="s">
        <v>23</v>
      </c>
      <c r="D34780" t="s">
        <v>29224</v>
      </c>
      <c r="E34780" t="s">
        <v>202</v>
      </c>
      <c r="F34780" s="2" t="str">
        <f>HYPERLINK("http://www.otzar.org/book.asp?613798","קובץ אהלים - 2 כר'")</f>
        <v>קובץ אהלים - 2 כר'</v>
      </c>
    </row>
    <row r="34781" spans="1:6" x14ac:dyDescent="0.2">
      <c r="A34781" t="s">
        <v>53837</v>
      </c>
      <c r="B34781" t="s">
        <v>53838</v>
      </c>
      <c r="C34781" t="s">
        <v>37</v>
      </c>
      <c r="D34781" t="s">
        <v>646</v>
      </c>
      <c r="E34781" t="s">
        <v>3798</v>
      </c>
      <c r="F34781" s="2" t="str">
        <f>HYPERLINK("http://www.otzar.org/book.asp?175829","קובץ אוצר חיים - מאמרי ימים הנוראים")</f>
        <v>קובץ אוצר חיים - מאמרי ימים הנוראים</v>
      </c>
    </row>
    <row r="34782" spans="1:6" x14ac:dyDescent="0.2">
      <c r="A34782" t="s">
        <v>53839</v>
      </c>
      <c r="B34782" t="s">
        <v>53840</v>
      </c>
      <c r="C34782" t="s">
        <v>1268</v>
      </c>
      <c r="D34782" t="s">
        <v>646</v>
      </c>
      <c r="E34782" t="s">
        <v>467</v>
      </c>
      <c r="F34782" s="2" t="str">
        <f>HYPERLINK("http://www.otzar.org/book.asp?600429","קובץ אוצר יעקב")</f>
        <v>קובץ אוצר יעקב</v>
      </c>
    </row>
    <row r="34783" spans="1:6" x14ac:dyDescent="0.2">
      <c r="A34783" t="s">
        <v>53841</v>
      </c>
      <c r="B34783" t="s">
        <v>53842</v>
      </c>
      <c r="C34783" t="s">
        <v>20</v>
      </c>
      <c r="D34783" t="s">
        <v>14</v>
      </c>
      <c r="E34783" t="s">
        <v>202</v>
      </c>
      <c r="F34783" s="2" t="str">
        <f>HYPERLINK("http://www.otzar.org/book.asp?625451","קובץ אוצרות התורה")</f>
        <v>קובץ אוצרות התורה</v>
      </c>
    </row>
    <row r="34784" spans="1:6" x14ac:dyDescent="0.2">
      <c r="A34784" t="s">
        <v>53843</v>
      </c>
      <c r="B34784" t="s">
        <v>53844</v>
      </c>
      <c r="C34784" t="s">
        <v>20</v>
      </c>
      <c r="D34784" t="s">
        <v>14</v>
      </c>
      <c r="E34784" t="s">
        <v>186</v>
      </c>
      <c r="F34784" s="2" t="str">
        <f>HYPERLINK("http://www.otzar.org/book.asp?63331","קובץ אור אפרים - בבא מציעא")</f>
        <v>קובץ אור אפרים - בבא מציעא</v>
      </c>
    </row>
    <row r="34785" spans="1:6" x14ac:dyDescent="0.2">
      <c r="A34785" t="s">
        <v>53845</v>
      </c>
      <c r="B34785" t="s">
        <v>53846</v>
      </c>
      <c r="C34785" t="s">
        <v>442</v>
      </c>
      <c r="D34785" t="s">
        <v>14</v>
      </c>
      <c r="E34785" t="s">
        <v>2091</v>
      </c>
      <c r="F34785" s="2" t="str">
        <f>HYPERLINK("http://www.otzar.org/book.asp?173872","קובץ אור החיים")</f>
        <v>קובץ אור החיים</v>
      </c>
    </row>
    <row r="34786" spans="1:6" x14ac:dyDescent="0.2">
      <c r="A34786" t="s">
        <v>53847</v>
      </c>
      <c r="B34786" t="s">
        <v>53848</v>
      </c>
      <c r="C34786" t="s">
        <v>366</v>
      </c>
      <c r="D34786" t="s">
        <v>90</v>
      </c>
      <c r="F34786" s="2" t="str">
        <f>HYPERLINK("http://www.otzar.org/book.asp?611423","קובץ אור המאיר")</f>
        <v>קובץ אור המאיר</v>
      </c>
    </row>
    <row r="34787" spans="1:6" x14ac:dyDescent="0.2">
      <c r="A34787" t="s">
        <v>53849</v>
      </c>
      <c r="B34787" t="s">
        <v>53850</v>
      </c>
      <c r="C34787" t="s">
        <v>244</v>
      </c>
      <c r="D34787" t="s">
        <v>14</v>
      </c>
      <c r="E34787" t="s">
        <v>202</v>
      </c>
      <c r="F34787" s="2" t="str">
        <f>HYPERLINK("http://www.otzar.org/book.asp?199632","קובץ אור הפסגה")</f>
        <v>קובץ אור הפסגה</v>
      </c>
    </row>
    <row r="34788" spans="1:6" x14ac:dyDescent="0.2">
      <c r="A34788" t="s">
        <v>53851</v>
      </c>
      <c r="B34788" t="s">
        <v>53852</v>
      </c>
      <c r="C34788" t="s">
        <v>20</v>
      </c>
      <c r="D34788" t="s">
        <v>21032</v>
      </c>
      <c r="E34788" t="s">
        <v>202</v>
      </c>
      <c r="F34788" s="2" t="str">
        <f>HYPERLINK("http://www.otzar.org/book.asp?605953","קובץ אור השחר")</f>
        <v>קובץ אור השחר</v>
      </c>
    </row>
    <row r="34789" spans="1:6" x14ac:dyDescent="0.2">
      <c r="A34789" t="s">
        <v>53853</v>
      </c>
      <c r="B34789" t="s">
        <v>53197</v>
      </c>
      <c r="C34789" t="s">
        <v>37</v>
      </c>
      <c r="D34789" t="s">
        <v>53854</v>
      </c>
      <c r="E34789" t="s">
        <v>202</v>
      </c>
      <c r="F34789" s="2" t="str">
        <f>HYPERLINK("http://www.otzar.org/book.asp?602810","קובץ אור התלמוד - שבת")</f>
        <v>קובץ אור התלמוד - שבת</v>
      </c>
    </row>
    <row r="34790" spans="1:6" x14ac:dyDescent="0.2">
      <c r="A34790" t="s">
        <v>53855</v>
      </c>
      <c r="B34790" t="s">
        <v>53856</v>
      </c>
      <c r="C34790" t="s">
        <v>466</v>
      </c>
      <c r="D34790" t="s">
        <v>14</v>
      </c>
      <c r="E34790" t="s">
        <v>579</v>
      </c>
      <c r="F34790" s="2" t="str">
        <f>HYPERLINK("http://www.otzar.org/book.asp?61154","קובץ אור יהודה")</f>
        <v>קובץ אור יהודה</v>
      </c>
    </row>
    <row r="34791" spans="1:6" x14ac:dyDescent="0.2">
      <c r="A34791" t="s">
        <v>53857</v>
      </c>
      <c r="B34791" t="s">
        <v>53858</v>
      </c>
      <c r="C34791" t="s">
        <v>1448</v>
      </c>
      <c r="D34791" t="s">
        <v>52</v>
      </c>
      <c r="E34791" t="s">
        <v>1174</v>
      </c>
      <c r="F34791" s="2" t="str">
        <f>HYPERLINK("http://www.otzar.org/book.asp?180390","קובץ אור יהל - 4 כר'")</f>
        <v>קובץ אור יהל - 4 כר'</v>
      </c>
    </row>
    <row r="34792" spans="1:6" x14ac:dyDescent="0.2">
      <c r="A34792" t="s">
        <v>53859</v>
      </c>
      <c r="B34792" t="s">
        <v>53860</v>
      </c>
      <c r="C34792" t="s">
        <v>940</v>
      </c>
      <c r="D34792" t="s">
        <v>90</v>
      </c>
      <c r="E34792" t="s">
        <v>1174</v>
      </c>
      <c r="F34792" s="2" t="str">
        <f>HYPERLINK("http://www.otzar.org/book.asp?619881","קובץ אור ליהודא - א")</f>
        <v>קובץ אור ליהודא - א</v>
      </c>
    </row>
    <row r="34793" spans="1:6" x14ac:dyDescent="0.2">
      <c r="A34793" t="s">
        <v>53861</v>
      </c>
      <c r="B34793" t="s">
        <v>53862</v>
      </c>
      <c r="C34793" t="s">
        <v>37</v>
      </c>
      <c r="D34793" t="s">
        <v>412</v>
      </c>
      <c r="E34793" t="s">
        <v>202</v>
      </c>
      <c r="F34793" s="2" t="str">
        <f>HYPERLINK("http://www.otzar.org/book.asp?197939","קובץ אור משה - 3 כר'")</f>
        <v>קובץ אור משה - 3 כר'</v>
      </c>
    </row>
    <row r="34794" spans="1:6" x14ac:dyDescent="0.2">
      <c r="A34794" t="s">
        <v>53863</v>
      </c>
      <c r="B34794" t="s">
        <v>31510</v>
      </c>
      <c r="C34794" t="s">
        <v>244</v>
      </c>
      <c r="D34794" t="s">
        <v>52</v>
      </c>
      <c r="E34794" t="s">
        <v>202</v>
      </c>
      <c r="F34794" s="2" t="str">
        <f>HYPERLINK("http://www.otzar.org/book.asp?600558","קובץ אורה ושמחה")</f>
        <v>קובץ אורה ושמחה</v>
      </c>
    </row>
    <row r="34795" spans="1:6" x14ac:dyDescent="0.2">
      <c r="A34795" t="s">
        <v>53864</v>
      </c>
      <c r="B34795" t="s">
        <v>53865</v>
      </c>
      <c r="C34795" t="s">
        <v>37</v>
      </c>
      <c r="D34795" t="s">
        <v>115</v>
      </c>
      <c r="E34795" t="s">
        <v>202</v>
      </c>
      <c r="F34795" s="2" t="str">
        <f>HYPERLINK("http://www.otzar.org/book.asp?197069","קובץ אורות מרדכי")</f>
        <v>קובץ אורות מרדכי</v>
      </c>
    </row>
    <row r="34796" spans="1:6" x14ac:dyDescent="0.2">
      <c r="A34796" t="s">
        <v>53866</v>
      </c>
      <c r="B34796" t="s">
        <v>53867</v>
      </c>
      <c r="C34796" t="s">
        <v>189</v>
      </c>
      <c r="D34796" t="s">
        <v>14</v>
      </c>
      <c r="E34796" t="s">
        <v>202</v>
      </c>
      <c r="F34796" s="2" t="str">
        <f>HYPERLINK("http://www.otzar.org/book.asp?629149","קובץ אורחות יום טוב -חזקת הבתים")</f>
        <v>קובץ אורחות יום טוב -חזקת הבתים</v>
      </c>
    </row>
    <row r="34797" spans="1:6" x14ac:dyDescent="0.2">
      <c r="A34797" t="s">
        <v>53868</v>
      </c>
      <c r="B34797" t="s">
        <v>206</v>
      </c>
      <c r="C34797" t="s">
        <v>366</v>
      </c>
      <c r="D34797" t="s">
        <v>90</v>
      </c>
      <c r="E34797" t="s">
        <v>202</v>
      </c>
      <c r="F34797" s="2" t="str">
        <f>HYPERLINK("http://www.otzar.org/book.asp?608496","קובץ אורי וישעי")</f>
        <v>קובץ אורי וישעי</v>
      </c>
    </row>
    <row r="34798" spans="1:6" x14ac:dyDescent="0.2">
      <c r="A34798" t="s">
        <v>53869</v>
      </c>
      <c r="B34798" t="s">
        <v>53870</v>
      </c>
      <c r="C34798" t="s">
        <v>37</v>
      </c>
      <c r="D34798" t="s">
        <v>53871</v>
      </c>
      <c r="E34798" t="s">
        <v>202</v>
      </c>
      <c r="F34798" s="2" t="str">
        <f>HYPERLINK("http://www.otzar.org/book.asp?179844","קובץ אחי""ם בהספידא")</f>
        <v>קובץ אחי"ם בהספידא</v>
      </c>
    </row>
    <row r="34799" spans="1:6" x14ac:dyDescent="0.2">
      <c r="A34799" t="s">
        <v>53872</v>
      </c>
      <c r="B34799" t="s">
        <v>53873</v>
      </c>
      <c r="C34799" t="s">
        <v>114</v>
      </c>
      <c r="D34799" t="s">
        <v>646</v>
      </c>
      <c r="E34799" t="s">
        <v>202</v>
      </c>
      <c r="F34799" s="2" t="str">
        <f>HYPERLINK("http://www.otzar.org/book.asp?162355","קובץ אחים לבינה - א - ו")</f>
        <v>קובץ אחים לבינה - א - ו</v>
      </c>
    </row>
    <row r="34800" spans="1:6" x14ac:dyDescent="0.2">
      <c r="A34800" t="s">
        <v>53874</v>
      </c>
      <c r="B34800" t="s">
        <v>53875</v>
      </c>
      <c r="C34800" t="s">
        <v>71</v>
      </c>
      <c r="D34800" t="s">
        <v>14</v>
      </c>
      <c r="E34800" t="s">
        <v>933</v>
      </c>
      <c r="F34800" s="2" t="str">
        <f>HYPERLINK("http://www.otzar.org/book.asp?166316","קובץ אחרונים על מסכת ביצה מכתב יד")</f>
        <v>קובץ אחרונים על מסכת ביצה מכתב יד</v>
      </c>
    </row>
    <row r="34801" spans="1:6" x14ac:dyDescent="0.2">
      <c r="A34801" t="s">
        <v>53876</v>
      </c>
      <c r="B34801" t="s">
        <v>1402</v>
      </c>
      <c r="C34801" t="s">
        <v>624</v>
      </c>
      <c r="D34801" t="s">
        <v>52</v>
      </c>
      <c r="E34801" t="s">
        <v>84</v>
      </c>
      <c r="F34801" s="2" t="str">
        <f>HYPERLINK("http://www.otzar.org/book.asp?60014","קובץ אחרונים על מסכת פרה")</f>
        <v>קובץ אחרונים על מסכת פרה</v>
      </c>
    </row>
    <row r="34802" spans="1:6" x14ac:dyDescent="0.2">
      <c r="A34802" t="s">
        <v>53877</v>
      </c>
      <c r="B34802" t="s">
        <v>6762</v>
      </c>
      <c r="C34802" t="s">
        <v>422</v>
      </c>
      <c r="D34802" t="s">
        <v>52</v>
      </c>
      <c r="E34802" t="s">
        <v>104</v>
      </c>
      <c r="F34802" s="2" t="str">
        <f>HYPERLINK("http://www.otzar.org/book.asp?183121","קובץ איגרות שלמי שמעון")</f>
        <v>קובץ איגרות שלמי שמעון</v>
      </c>
    </row>
    <row r="34803" spans="1:6" x14ac:dyDescent="0.2">
      <c r="A34803" t="s">
        <v>53878</v>
      </c>
      <c r="B34803" t="s">
        <v>1750</v>
      </c>
      <c r="C34803" t="s">
        <v>23</v>
      </c>
      <c r="D34803" t="s">
        <v>52</v>
      </c>
      <c r="F34803" s="2" t="str">
        <f>HYPERLINK("http://www.otzar.org/book.asp?604876","קובץ איסתכל באורייתא - 7 כר'")</f>
        <v>קובץ איסתכל באורייתא - 7 כר'</v>
      </c>
    </row>
    <row r="34804" spans="1:6" x14ac:dyDescent="0.2">
      <c r="A34804" t="s">
        <v>53879</v>
      </c>
      <c r="B34804" t="s">
        <v>53880</v>
      </c>
      <c r="C34804" t="s">
        <v>133</v>
      </c>
      <c r="D34804" t="s">
        <v>276</v>
      </c>
      <c r="E34804" t="s">
        <v>234</v>
      </c>
      <c r="F34804" s="2" t="str">
        <f>HYPERLINK("http://www.otzar.org/book.asp?195072","קובץ אלון בכות - רש""ש זאהן")</f>
        <v>קובץ אלון בכות - רש"ש זאהן</v>
      </c>
    </row>
    <row r="34805" spans="1:6" x14ac:dyDescent="0.2">
      <c r="A34805" t="s">
        <v>53881</v>
      </c>
      <c r="B34805" t="s">
        <v>53882</v>
      </c>
      <c r="C34805" t="s">
        <v>17</v>
      </c>
      <c r="D34805" t="s">
        <v>14</v>
      </c>
      <c r="E34805" t="s">
        <v>741</v>
      </c>
      <c r="F34805" s="2" t="str">
        <f>HYPERLINK("http://www.otzar.org/book.asp?159167","קובץ אליהו")</f>
        <v>קובץ אליהו</v>
      </c>
    </row>
    <row r="34806" spans="1:6" x14ac:dyDescent="0.2">
      <c r="A34806" t="s">
        <v>53883</v>
      </c>
      <c r="B34806" t="s">
        <v>53884</v>
      </c>
      <c r="C34806" t="s">
        <v>146</v>
      </c>
      <c r="D34806" t="s">
        <v>412</v>
      </c>
      <c r="E34806" t="s">
        <v>202</v>
      </c>
      <c r="F34806" s="2" t="str">
        <f>HYPERLINK("http://www.otzar.org/book.asp?172791","קובץ אמונים נאספו - תשס""ו")</f>
        <v>קובץ אמונים נאספו - תשס"ו</v>
      </c>
    </row>
    <row r="34807" spans="1:6" x14ac:dyDescent="0.2">
      <c r="A34807" t="s">
        <v>53885</v>
      </c>
      <c r="B34807" t="s">
        <v>53886</v>
      </c>
      <c r="C34807" t="s">
        <v>523</v>
      </c>
      <c r="D34807" t="s">
        <v>21</v>
      </c>
      <c r="E34807" t="s">
        <v>186</v>
      </c>
      <c r="F34807" s="2" t="str">
        <f>HYPERLINK("http://www.otzar.org/book.asp?195535","קובץ אמרי חן - 2 כר'")</f>
        <v>קובץ אמרי חן - 2 כר'</v>
      </c>
    </row>
    <row r="34808" spans="1:6" x14ac:dyDescent="0.2">
      <c r="A34808" t="s">
        <v>53887</v>
      </c>
      <c r="B34808" t="s">
        <v>53888</v>
      </c>
      <c r="C34808" t="s">
        <v>313</v>
      </c>
      <c r="D34808" t="s">
        <v>14</v>
      </c>
      <c r="E34808" t="s">
        <v>158</v>
      </c>
      <c r="F34808" s="2" t="str">
        <f>HYPERLINK("http://www.otzar.org/book.asp?167989","קובץ אמרי יצחק - 2 כר'")</f>
        <v>קובץ אמרי יצחק - 2 כר'</v>
      </c>
    </row>
    <row r="34809" spans="1:6" x14ac:dyDescent="0.2">
      <c r="A34809" t="s">
        <v>53889</v>
      </c>
      <c r="B34809" t="s">
        <v>53890</v>
      </c>
      <c r="C34809" t="s">
        <v>23</v>
      </c>
      <c r="D34809" t="s">
        <v>147</v>
      </c>
      <c r="E34809" t="s">
        <v>202</v>
      </c>
      <c r="F34809" s="2" t="str">
        <f>HYPERLINK("http://www.otzar.org/book.asp?605573","קובץ אמרי כהן - 12 כר'")</f>
        <v>קובץ אמרי כהן - 12 כר'</v>
      </c>
    </row>
    <row r="34810" spans="1:6" x14ac:dyDescent="0.2">
      <c r="A34810" t="s">
        <v>53891</v>
      </c>
      <c r="B34810" t="s">
        <v>53892</v>
      </c>
      <c r="C34810" t="s">
        <v>23</v>
      </c>
      <c r="E34810" t="s">
        <v>202</v>
      </c>
      <c r="F34810" s="2" t="str">
        <f>HYPERLINK("http://www.otzar.org/book.asp?600214","קובץ אמרי מנחם - ג")</f>
        <v>קובץ אמרי מנחם - ג</v>
      </c>
    </row>
    <row r="34811" spans="1:6" x14ac:dyDescent="0.2">
      <c r="A34811" t="s">
        <v>53893</v>
      </c>
      <c r="B34811" t="s">
        <v>53894</v>
      </c>
      <c r="C34811" t="s">
        <v>68</v>
      </c>
      <c r="D34811" t="s">
        <v>657</v>
      </c>
      <c r="E34811" t="s">
        <v>186</v>
      </c>
      <c r="F34811" s="2" t="str">
        <f>HYPERLINK("http://www.otzar.org/book.asp?163327","קובץ אמרי עירובין")</f>
        <v>קובץ אמרי עירובין</v>
      </c>
    </row>
    <row r="34812" spans="1:6" x14ac:dyDescent="0.2">
      <c r="A34812" t="s">
        <v>53895</v>
      </c>
      <c r="B34812" t="s">
        <v>53896</v>
      </c>
      <c r="C34812" t="s">
        <v>20</v>
      </c>
      <c r="D34812" t="s">
        <v>52</v>
      </c>
      <c r="E34812" t="s">
        <v>158</v>
      </c>
      <c r="F34812" s="2" t="str">
        <f>HYPERLINK("http://www.otzar.org/book.asp?153837","קובץ אמרי קודש - 5 כר'")</f>
        <v>קובץ אמרי קודש - 5 כר'</v>
      </c>
    </row>
    <row r="34813" spans="1:6" x14ac:dyDescent="0.2">
      <c r="A34813" t="s">
        <v>53897</v>
      </c>
      <c r="B34813" t="s">
        <v>53898</v>
      </c>
      <c r="C34813" t="s">
        <v>111</v>
      </c>
      <c r="D34813" t="s">
        <v>14</v>
      </c>
      <c r="E34813" t="s">
        <v>202</v>
      </c>
      <c r="F34813" s="2" t="str">
        <f>HYPERLINK("http://www.otzar.org/book.asp?629145","קובץ אמרי שפר")</f>
        <v>קובץ אמרי שפר</v>
      </c>
    </row>
    <row r="34814" spans="1:6" x14ac:dyDescent="0.2">
      <c r="A34814" t="s">
        <v>53897</v>
      </c>
      <c r="B34814" t="s">
        <v>26647</v>
      </c>
      <c r="C34814" t="s">
        <v>422</v>
      </c>
      <c r="D34814" t="s">
        <v>21</v>
      </c>
      <c r="E34814" t="s">
        <v>202</v>
      </c>
      <c r="F34814" s="2" t="str">
        <f>HYPERLINK("http://www.otzar.org/book.asp?606725","קובץ אמרי שפר")</f>
        <v>קובץ אמרי שפר</v>
      </c>
    </row>
    <row r="34815" spans="1:6" x14ac:dyDescent="0.2">
      <c r="A34815" t="s">
        <v>53899</v>
      </c>
      <c r="B34815" t="s">
        <v>53900</v>
      </c>
      <c r="C34815" t="s">
        <v>129</v>
      </c>
      <c r="D34815" t="s">
        <v>14</v>
      </c>
      <c r="E34815" t="s">
        <v>186</v>
      </c>
      <c r="F34815" s="2" t="str">
        <f>HYPERLINK("http://www.otzar.org/book.asp?60181","קובץ אמת ליעקב - 5 כר'")</f>
        <v>קובץ אמת ליעקב - 5 כר'</v>
      </c>
    </row>
    <row r="34816" spans="1:6" x14ac:dyDescent="0.2">
      <c r="A34816" t="s">
        <v>53901</v>
      </c>
      <c r="B34816" t="s">
        <v>2428</v>
      </c>
      <c r="C34816" t="s">
        <v>20</v>
      </c>
      <c r="D34816" t="s">
        <v>90</v>
      </c>
      <c r="E34816" t="s">
        <v>202</v>
      </c>
      <c r="F34816" s="2" t="str">
        <f>HYPERLINK("http://www.otzar.org/book.asp?608076","קובץ אסוקי שמעתתא - א")</f>
        <v>קובץ אסוקי שמעתתא - א</v>
      </c>
    </row>
    <row r="34817" spans="1:6" x14ac:dyDescent="0.2">
      <c r="A34817" t="s">
        <v>53902</v>
      </c>
      <c r="B34817" t="s">
        <v>489</v>
      </c>
      <c r="C34817" t="s">
        <v>151</v>
      </c>
      <c r="D34817" t="s">
        <v>90</v>
      </c>
      <c r="E34817" t="s">
        <v>2091</v>
      </c>
      <c r="F34817" s="2" t="str">
        <f>HYPERLINK("http://www.otzar.org/book.asp?611900","קובץ אסוקי שמעתתא - נדה")</f>
        <v>קובץ אסוקי שמעתתא - נדה</v>
      </c>
    </row>
    <row r="34818" spans="1:6" x14ac:dyDescent="0.2">
      <c r="A34818" t="s">
        <v>53903</v>
      </c>
      <c r="B34818" t="s">
        <v>53904</v>
      </c>
      <c r="C34818" t="s">
        <v>411</v>
      </c>
      <c r="D34818" t="s">
        <v>52</v>
      </c>
      <c r="F34818" s="2" t="str">
        <f>HYPERLINK("http://www.otzar.org/book.asp?602869","קובץ אפריון ישראל")</f>
        <v>קובץ אפריון ישראל</v>
      </c>
    </row>
    <row r="34819" spans="1:6" x14ac:dyDescent="0.2">
      <c r="A34819" t="s">
        <v>53905</v>
      </c>
      <c r="B34819" t="s">
        <v>53906</v>
      </c>
      <c r="C34819" t="s">
        <v>111</v>
      </c>
      <c r="D34819" t="s">
        <v>52</v>
      </c>
      <c r="E34819" t="s">
        <v>202</v>
      </c>
      <c r="F34819" s="2" t="str">
        <f>HYPERLINK("http://www.otzar.org/book.asp?626238","קובץ אש הדעת")</f>
        <v>קובץ אש הדעת</v>
      </c>
    </row>
    <row r="34820" spans="1:6" x14ac:dyDescent="0.2">
      <c r="A34820" t="s">
        <v>53907</v>
      </c>
      <c r="B34820" t="s">
        <v>53908</v>
      </c>
      <c r="C34820" t="s">
        <v>133</v>
      </c>
      <c r="D34820" t="s">
        <v>14</v>
      </c>
      <c r="F34820" s="2" t="str">
        <f>HYPERLINK("http://www.otzar.org/book.asp?613854","קובץ אשירה לה' בחיי")</f>
        <v>קובץ אשירה לה' בחיי</v>
      </c>
    </row>
    <row r="34821" spans="1:6" x14ac:dyDescent="0.2">
      <c r="A34821" t="s">
        <v>53907</v>
      </c>
      <c r="B34821" t="s">
        <v>53907</v>
      </c>
      <c r="C34821" t="s">
        <v>133</v>
      </c>
      <c r="D34821" t="s">
        <v>646</v>
      </c>
      <c r="E34821" t="s">
        <v>104</v>
      </c>
      <c r="F34821" s="2" t="str">
        <f>HYPERLINK("http://www.otzar.org/book.asp?195593","קובץ אשירה לה' בחיי")</f>
        <v>קובץ אשירה לה' בחיי</v>
      </c>
    </row>
    <row r="34822" spans="1:6" x14ac:dyDescent="0.2">
      <c r="A34822" t="s">
        <v>53907</v>
      </c>
      <c r="B34822" t="s">
        <v>29372</v>
      </c>
      <c r="C34822" t="s">
        <v>133</v>
      </c>
      <c r="D34822" t="s">
        <v>646</v>
      </c>
      <c r="E34822" t="s">
        <v>202</v>
      </c>
      <c r="F34822" s="2" t="str">
        <f>HYPERLINK("http://www.otzar.org/book.asp?630202","קובץ אשירה לה' בחיי")</f>
        <v>קובץ אשירה לה' בחיי</v>
      </c>
    </row>
    <row r="34823" spans="1:6" x14ac:dyDescent="0.2">
      <c r="A34823" t="s">
        <v>53909</v>
      </c>
      <c r="B34823" t="s">
        <v>489</v>
      </c>
      <c r="C34823" t="s">
        <v>411</v>
      </c>
      <c r="D34823" t="s">
        <v>412</v>
      </c>
      <c r="E34823" t="s">
        <v>202</v>
      </c>
      <c r="F34823" s="2" t="str">
        <f>HYPERLINK("http://www.otzar.org/book.asp?180171","קובץ אשל אברהם - 3 כר'")</f>
        <v>קובץ אשל אברהם - 3 כר'</v>
      </c>
    </row>
    <row r="34824" spans="1:6" x14ac:dyDescent="0.2">
      <c r="A34824" t="s">
        <v>53910</v>
      </c>
      <c r="B34824" t="s">
        <v>53911</v>
      </c>
      <c r="C34824" t="s">
        <v>63</v>
      </c>
      <c r="D34824" t="s">
        <v>2468</v>
      </c>
      <c r="E34824" t="s">
        <v>393</v>
      </c>
      <c r="F34824" s="2" t="str">
        <f>HYPERLINK("http://www.otzar.org/book.asp?620643","קובץ ב' שיעורים")</f>
        <v>קובץ ב' שיעורים</v>
      </c>
    </row>
    <row r="34825" spans="1:6" x14ac:dyDescent="0.2">
      <c r="A34825" t="s">
        <v>53912</v>
      </c>
      <c r="B34825" t="s">
        <v>53913</v>
      </c>
      <c r="C34825" t="s">
        <v>356</v>
      </c>
      <c r="D34825" t="s">
        <v>412</v>
      </c>
      <c r="E34825" t="s">
        <v>202</v>
      </c>
      <c r="F34825" s="2" t="str">
        <f>HYPERLINK("http://www.otzar.org/book.asp?160598","קובץ באהלי יעקב - 2 כר'")</f>
        <v>קובץ באהלי יעקב - 2 כר'</v>
      </c>
    </row>
    <row r="34826" spans="1:6" x14ac:dyDescent="0.2">
      <c r="A34826" t="s">
        <v>53914</v>
      </c>
      <c r="B34826" t="s">
        <v>8347</v>
      </c>
      <c r="C34826" t="s">
        <v>37</v>
      </c>
      <c r="D34826" t="s">
        <v>852</v>
      </c>
      <c r="E34826" t="s">
        <v>202</v>
      </c>
      <c r="F34826" s="2" t="str">
        <f>HYPERLINK("http://www.otzar.org/book.asp?613796","קובץ באר הדעת")</f>
        <v>קובץ באר הדעת</v>
      </c>
    </row>
    <row r="34827" spans="1:6" x14ac:dyDescent="0.2">
      <c r="A34827" t="s">
        <v>53915</v>
      </c>
      <c r="B34827" t="s">
        <v>53916</v>
      </c>
      <c r="C34827" t="s">
        <v>1208</v>
      </c>
      <c r="E34827" t="s">
        <v>202</v>
      </c>
      <c r="F34827" s="2" t="str">
        <f>HYPERLINK("http://www.otzar.org/book.asp?625369","קובץ באר יעקב - בבא מציעא")</f>
        <v>קובץ באר יעקב - בבא מציעא</v>
      </c>
    </row>
    <row r="34828" spans="1:6" x14ac:dyDescent="0.2">
      <c r="A34828" t="s">
        <v>53917</v>
      </c>
      <c r="B34828" t="s">
        <v>53918</v>
      </c>
      <c r="C34828" t="s">
        <v>466</v>
      </c>
      <c r="D34828" t="s">
        <v>412</v>
      </c>
      <c r="E34828" t="s">
        <v>1174</v>
      </c>
      <c r="F34828" s="2" t="str">
        <f>HYPERLINK("http://www.otzar.org/book.asp?153894","קובץ באר יצחק - 3 כר'")</f>
        <v>קובץ באר יצחק - 3 כר'</v>
      </c>
    </row>
    <row r="34829" spans="1:6" x14ac:dyDescent="0.2">
      <c r="A34829" t="s">
        <v>53919</v>
      </c>
      <c r="B34829" t="s">
        <v>53920</v>
      </c>
      <c r="C34829" t="s">
        <v>454</v>
      </c>
      <c r="D34829" t="s">
        <v>21</v>
      </c>
      <c r="F34829" s="2" t="str">
        <f>HYPERLINK("http://www.otzar.org/book.asp?605901","קובץ באר ישראל")</f>
        <v>קובץ באר ישראל</v>
      </c>
    </row>
    <row r="34830" spans="1:6" x14ac:dyDescent="0.2">
      <c r="A34830" t="s">
        <v>53921</v>
      </c>
      <c r="B34830" t="s">
        <v>46259</v>
      </c>
      <c r="C34830" t="s">
        <v>129</v>
      </c>
      <c r="D34830" t="s">
        <v>14</v>
      </c>
      <c r="F34830" s="2" t="str">
        <f>HYPERLINK("http://www.otzar.org/book.asp?617156","קובץ באר מים חיים - 2 כר'")</f>
        <v>קובץ באר מים חיים - 2 כר'</v>
      </c>
    </row>
    <row r="34831" spans="1:6" x14ac:dyDescent="0.2">
      <c r="A34831" t="s">
        <v>53922</v>
      </c>
      <c r="B34831" t="s">
        <v>46259</v>
      </c>
      <c r="C34831" t="s">
        <v>411</v>
      </c>
      <c r="D34831" t="s">
        <v>90</v>
      </c>
      <c r="E34831" t="s">
        <v>202</v>
      </c>
      <c r="F34831" s="2" t="str">
        <f>HYPERLINK("http://www.otzar.org/book.asp?197769","קובץ בארות - 3 כר'")</f>
        <v>קובץ בארות - 3 כר'</v>
      </c>
    </row>
    <row r="34832" spans="1:6" x14ac:dyDescent="0.2">
      <c r="A34832" t="s">
        <v>53923</v>
      </c>
      <c r="B34832" t="s">
        <v>53924</v>
      </c>
      <c r="C34832" t="s">
        <v>146</v>
      </c>
      <c r="D34832" t="s">
        <v>1180</v>
      </c>
      <c r="E34832" t="s">
        <v>202</v>
      </c>
      <c r="F34832" s="2" t="str">
        <f>HYPERLINK("http://www.otzar.org/book.asp?625637","קובץ בוניך")</f>
        <v>קובץ בוניך</v>
      </c>
    </row>
    <row r="34833" spans="1:6" x14ac:dyDescent="0.2">
      <c r="A34833" t="s">
        <v>53925</v>
      </c>
      <c r="B34833" t="s">
        <v>53926</v>
      </c>
      <c r="C34833" t="s">
        <v>68</v>
      </c>
      <c r="D34833" t="s">
        <v>12936</v>
      </c>
      <c r="E34833" t="s">
        <v>202</v>
      </c>
      <c r="F34833" s="2" t="str">
        <f>HYPERLINK("http://www.otzar.org/book.asp?629486","קובץ בי מדרשא - בבא בתרא")</f>
        <v>קובץ בי מדרשא - בבא בתרא</v>
      </c>
    </row>
    <row r="34834" spans="1:6" x14ac:dyDescent="0.2">
      <c r="A34834" t="s">
        <v>53927</v>
      </c>
      <c r="B34834" t="s">
        <v>53928</v>
      </c>
      <c r="C34834" t="s">
        <v>20</v>
      </c>
      <c r="D34834" t="s">
        <v>90</v>
      </c>
      <c r="E34834" t="s">
        <v>144</v>
      </c>
      <c r="F34834" s="2" t="str">
        <f>HYPERLINK("http://www.otzar.org/book.asp?61745","קובץ ביאורי סוגיות - נדרים")</f>
        <v>קובץ ביאורי סוגיות - נדרים</v>
      </c>
    </row>
    <row r="34835" spans="1:6" x14ac:dyDescent="0.2">
      <c r="A34835" t="s">
        <v>53929</v>
      </c>
      <c r="B34835" t="s">
        <v>6178</v>
      </c>
      <c r="C34835" t="s">
        <v>20</v>
      </c>
      <c r="D34835" t="s">
        <v>21</v>
      </c>
      <c r="E34835" t="s">
        <v>384</v>
      </c>
      <c r="F34835" s="2" t="str">
        <f>HYPERLINK("http://www.otzar.org/book.asp?600282","קובץ ביאורים בעניני שנה מעוברת")</f>
        <v>קובץ ביאורים בעניני שנה מעוברת</v>
      </c>
    </row>
    <row r="34836" spans="1:6" x14ac:dyDescent="0.2">
      <c r="A34836" t="s">
        <v>53930</v>
      </c>
      <c r="B34836" t="s">
        <v>53931</v>
      </c>
      <c r="C34836" t="s">
        <v>114</v>
      </c>
      <c r="D34836" t="s">
        <v>115</v>
      </c>
      <c r="E34836" t="s">
        <v>144</v>
      </c>
      <c r="F34836" s="2" t="str">
        <f>HYPERLINK("http://www.otzar.org/book.asp?170048","קובץ ביאורים ובירורים במסכת בבא מציעא")</f>
        <v>קובץ ביאורים ובירורים במסכת בבא מציעא</v>
      </c>
    </row>
    <row r="34837" spans="1:6" x14ac:dyDescent="0.2">
      <c r="A34837" t="s">
        <v>53932</v>
      </c>
      <c r="B34837" t="s">
        <v>19961</v>
      </c>
      <c r="C34837" t="s">
        <v>20</v>
      </c>
      <c r="D34837" t="s">
        <v>52</v>
      </c>
      <c r="E34837" t="s">
        <v>15</v>
      </c>
      <c r="F34837" s="2" t="str">
        <f>HYPERLINK("http://www.otzar.org/book.asp?61173","קובץ ביאורים על הרמב""ם - 5 כר'")</f>
        <v>קובץ ביאורים על הרמב"ם - 5 כר'</v>
      </c>
    </row>
    <row r="34838" spans="1:6" x14ac:dyDescent="0.2">
      <c r="A34838" t="s">
        <v>53933</v>
      </c>
      <c r="B34838" t="s">
        <v>53934</v>
      </c>
      <c r="C34838" t="s">
        <v>1208</v>
      </c>
      <c r="D34838" t="s">
        <v>2531</v>
      </c>
      <c r="E34838" t="s">
        <v>144</v>
      </c>
      <c r="F34838" s="2" t="str">
        <f>HYPERLINK("http://www.otzar.org/book.asp?85356","קובץ ביאורים - 2 כר'")</f>
        <v>קובץ ביאורים - 2 כר'</v>
      </c>
    </row>
    <row r="34839" spans="1:6" x14ac:dyDescent="0.2">
      <c r="A34839" t="s">
        <v>53935</v>
      </c>
      <c r="B34839" t="s">
        <v>2697</v>
      </c>
      <c r="C34839" t="s">
        <v>180</v>
      </c>
      <c r="D34839" t="s">
        <v>216</v>
      </c>
      <c r="E34839" t="s">
        <v>144</v>
      </c>
      <c r="F34839" s="2" t="str">
        <f>HYPERLINK("http://www.otzar.org/book.asp?188482","קובץ ביאורים - קובץ שמועות")</f>
        <v>קובץ ביאורים - קובץ שמועות</v>
      </c>
    </row>
    <row r="34840" spans="1:6" x14ac:dyDescent="0.2">
      <c r="A34840" t="s">
        <v>53936</v>
      </c>
      <c r="B34840" t="s">
        <v>53937</v>
      </c>
      <c r="C34840" t="s">
        <v>111</v>
      </c>
      <c r="D34840" t="s">
        <v>14</v>
      </c>
      <c r="E34840" t="s">
        <v>1072</v>
      </c>
      <c r="F34840" s="2" t="str">
        <f>HYPERLINK("http://www.otzar.org/book.asp?625531","קובץ ביאורים - קידושין")</f>
        <v>קובץ ביאורים - קידושין</v>
      </c>
    </row>
    <row r="34841" spans="1:6" x14ac:dyDescent="0.2">
      <c r="A34841" t="s">
        <v>53938</v>
      </c>
      <c r="B34841" t="s">
        <v>53939</v>
      </c>
      <c r="C34841" t="s">
        <v>523</v>
      </c>
      <c r="D34841" t="s">
        <v>14</v>
      </c>
      <c r="E34841" t="s">
        <v>202</v>
      </c>
      <c r="F34841" s="2" t="str">
        <f>HYPERLINK("http://www.otzar.org/book.asp?174106","קובץ ביח ישראל - ד")</f>
        <v>קובץ ביח ישראל - ד</v>
      </c>
    </row>
    <row r="34842" spans="1:6" x14ac:dyDescent="0.2">
      <c r="A34842" t="s">
        <v>53940</v>
      </c>
      <c r="B34842" t="s">
        <v>53941</v>
      </c>
      <c r="C34842" t="s">
        <v>422</v>
      </c>
      <c r="D34842" t="s">
        <v>147</v>
      </c>
      <c r="F34842" s="2" t="str">
        <f>HYPERLINK("http://www.otzar.org/book.asp?605195","קובץ ביני עמודי - ב""מ")</f>
        <v>קובץ ביני עמודי - ב"מ</v>
      </c>
    </row>
    <row r="34843" spans="1:6" x14ac:dyDescent="0.2">
      <c r="A34843" t="s">
        <v>53942</v>
      </c>
      <c r="B34843" t="s">
        <v>53943</v>
      </c>
      <c r="C34843" t="s">
        <v>411</v>
      </c>
      <c r="D34843" t="s">
        <v>14</v>
      </c>
      <c r="F34843" s="2" t="str">
        <f>HYPERLINK("http://www.otzar.org/book.asp?169650","קובץ ביני עמודי - ע""ז")</f>
        <v>קובץ ביני עמודי - ע"ז</v>
      </c>
    </row>
    <row r="34844" spans="1:6" x14ac:dyDescent="0.2">
      <c r="A34844" t="s">
        <v>53944</v>
      </c>
      <c r="B34844" t="s">
        <v>53945</v>
      </c>
      <c r="C34844" t="s">
        <v>13</v>
      </c>
      <c r="D34844" t="s">
        <v>52</v>
      </c>
      <c r="E34844" t="s">
        <v>144</v>
      </c>
      <c r="F34844" s="2" t="str">
        <f>HYPERLINK("http://www.otzar.org/book.asp?160544","קובץ ביני עמודי - מרובה")</f>
        <v>קובץ ביני עמודי - מרובה</v>
      </c>
    </row>
    <row r="34845" spans="1:6" x14ac:dyDescent="0.2">
      <c r="A34845" t="s">
        <v>53946</v>
      </c>
      <c r="B34845" t="s">
        <v>206</v>
      </c>
      <c r="C34845" t="s">
        <v>624</v>
      </c>
      <c r="D34845" t="s">
        <v>14</v>
      </c>
      <c r="E34845" t="s">
        <v>130</v>
      </c>
      <c r="F34845" s="2" t="str">
        <f>HYPERLINK("http://www.otzar.org/book.asp?148094","קובץ בירור הלכה")</f>
        <v>קובץ בירור הלכה</v>
      </c>
    </row>
    <row r="34846" spans="1:6" x14ac:dyDescent="0.2">
      <c r="A34846" t="s">
        <v>53947</v>
      </c>
      <c r="B34846" t="s">
        <v>53948</v>
      </c>
      <c r="C34846" t="s">
        <v>133</v>
      </c>
      <c r="D34846" t="s">
        <v>52</v>
      </c>
      <c r="E34846" t="s">
        <v>202</v>
      </c>
      <c r="F34846" s="2" t="str">
        <f>HYPERLINK("http://www.otzar.org/book.asp?600535","קובץ בירורי סוגיות - 2 כר'")</f>
        <v>קובץ בירורי סוגיות - 2 כר'</v>
      </c>
    </row>
    <row r="34847" spans="1:6" x14ac:dyDescent="0.2">
      <c r="A34847" t="s">
        <v>53949</v>
      </c>
      <c r="B34847" t="s">
        <v>53931</v>
      </c>
      <c r="C34847" t="s">
        <v>114</v>
      </c>
      <c r="D34847" t="s">
        <v>115</v>
      </c>
      <c r="F34847" s="2" t="str">
        <f>HYPERLINK("http://www.otzar.org/book.asp?164163","קובץ בירורים וביאורים במסכת ב""מ")</f>
        <v>קובץ בירורים וביאורים במסכת ב"מ</v>
      </c>
    </row>
    <row r="34848" spans="1:6" x14ac:dyDescent="0.2">
      <c r="A34848" t="s">
        <v>53950</v>
      </c>
      <c r="B34848" t="s">
        <v>13438</v>
      </c>
      <c r="C34848" t="s">
        <v>51</v>
      </c>
      <c r="D34848" t="s">
        <v>52</v>
      </c>
      <c r="E34848" t="s">
        <v>154</v>
      </c>
      <c r="F34848" s="2" t="str">
        <f>HYPERLINK("http://www.otzar.org/book.asp?146822","קובץ בירורים שביבי אש")</f>
        <v>קובץ בירורים שביבי אש</v>
      </c>
    </row>
    <row r="34849" spans="1:6" x14ac:dyDescent="0.2">
      <c r="A34849" t="s">
        <v>53951</v>
      </c>
      <c r="B34849" t="s">
        <v>53952</v>
      </c>
      <c r="C34849" t="s">
        <v>366</v>
      </c>
      <c r="D34849" t="s">
        <v>14</v>
      </c>
      <c r="E34849" t="s">
        <v>246</v>
      </c>
      <c r="F34849" s="2" t="str">
        <f>HYPERLINK("http://www.otzar.org/book.asp?608527","קובץ בית אבי - 2 כר'")</f>
        <v>קובץ בית אבי - 2 כר'</v>
      </c>
    </row>
    <row r="34850" spans="1:6" x14ac:dyDescent="0.2">
      <c r="A34850" t="s">
        <v>53951</v>
      </c>
      <c r="B34850" t="s">
        <v>53953</v>
      </c>
      <c r="C34850" t="s">
        <v>366</v>
      </c>
      <c r="D34850" t="s">
        <v>14</v>
      </c>
      <c r="F34850" s="2" t="str">
        <f>HYPERLINK("http://www.otzar.org/book.asp?609510","קובץ בית אבי - 2 כר'")</f>
        <v>קובץ בית אבי - 2 כר'</v>
      </c>
    </row>
    <row r="34851" spans="1:6" x14ac:dyDescent="0.2">
      <c r="A34851" t="s">
        <v>53954</v>
      </c>
      <c r="B34851" t="s">
        <v>53955</v>
      </c>
      <c r="C34851" t="s">
        <v>87</v>
      </c>
      <c r="D34851" t="s">
        <v>14</v>
      </c>
      <c r="E34851" t="s">
        <v>186</v>
      </c>
      <c r="F34851" s="2" t="str">
        <f>HYPERLINK("http://www.otzar.org/book.asp?173857","קובץ בית אריה לייב")</f>
        <v>קובץ בית אריה לייב</v>
      </c>
    </row>
    <row r="34852" spans="1:6" x14ac:dyDescent="0.2">
      <c r="A34852" t="s">
        <v>53956</v>
      </c>
      <c r="B34852" t="s">
        <v>1750</v>
      </c>
      <c r="C34852" t="s">
        <v>87</v>
      </c>
      <c r="D34852" t="s">
        <v>52</v>
      </c>
      <c r="E34852" t="s">
        <v>202</v>
      </c>
      <c r="F34852" s="2" t="str">
        <f>HYPERLINK("http://www.otzar.org/book.asp?604435","קובץ בית דוד (ב""ב) - שביעית")</f>
        <v>קובץ בית דוד (ב"ב) - שביעית</v>
      </c>
    </row>
    <row r="34853" spans="1:6" x14ac:dyDescent="0.2">
      <c r="A34853" t="s">
        <v>53957</v>
      </c>
      <c r="B34853" t="s">
        <v>53958</v>
      </c>
      <c r="C34853" t="s">
        <v>940</v>
      </c>
      <c r="D34853" t="s">
        <v>53959</v>
      </c>
      <c r="E34853" t="s">
        <v>202</v>
      </c>
      <c r="F34853" s="2" t="str">
        <f>HYPERLINK("http://www.otzar.org/book.asp?195797","קובץ בית דוד")</f>
        <v>קובץ בית דוד</v>
      </c>
    </row>
    <row r="34854" spans="1:6" x14ac:dyDescent="0.2">
      <c r="A34854" t="s">
        <v>53960</v>
      </c>
      <c r="B34854" t="s">
        <v>30448</v>
      </c>
      <c r="C34854" t="s">
        <v>244</v>
      </c>
      <c r="D34854" t="s">
        <v>646</v>
      </c>
      <c r="E34854" t="s">
        <v>1174</v>
      </c>
      <c r="F34854" s="2" t="str">
        <f>HYPERLINK("http://www.otzar.org/book.asp?613855","קובץ בית ועד לחכמים")</f>
        <v>קובץ בית ועד לחכמים</v>
      </c>
    </row>
    <row r="34855" spans="1:6" x14ac:dyDescent="0.2">
      <c r="A34855" t="s">
        <v>53961</v>
      </c>
      <c r="B34855" t="s">
        <v>53962</v>
      </c>
      <c r="C34855" t="s">
        <v>422</v>
      </c>
      <c r="D34855" t="s">
        <v>412</v>
      </c>
      <c r="E34855" t="s">
        <v>2091</v>
      </c>
      <c r="F34855" s="2" t="str">
        <f>HYPERLINK("http://www.otzar.org/book.asp?84796","קובץ בית ועד לחכמים - 11 כר'")</f>
        <v>קובץ בית ועד לחכמים - 11 כר'</v>
      </c>
    </row>
    <row r="34856" spans="1:6" x14ac:dyDescent="0.2">
      <c r="A34856" t="s">
        <v>53963</v>
      </c>
      <c r="B34856" t="s">
        <v>53964</v>
      </c>
      <c r="C34856" t="s">
        <v>168</v>
      </c>
      <c r="D34856" t="s">
        <v>412</v>
      </c>
      <c r="E34856" t="s">
        <v>202</v>
      </c>
      <c r="F34856" s="2" t="str">
        <f>HYPERLINK("http://www.otzar.org/book.asp?171500","קובץ בית יוסף שאול - 4 כר'")</f>
        <v>קובץ בית יוסף שאול - 4 כר'</v>
      </c>
    </row>
    <row r="34857" spans="1:6" x14ac:dyDescent="0.2">
      <c r="A34857" t="s">
        <v>53965</v>
      </c>
      <c r="B34857" t="s">
        <v>1750</v>
      </c>
      <c r="C34857" t="s">
        <v>37</v>
      </c>
      <c r="D34857" t="s">
        <v>21</v>
      </c>
      <c r="E34857" t="s">
        <v>202</v>
      </c>
      <c r="F34857" s="2" t="str">
        <f>HYPERLINK("http://www.otzar.org/book.asp?193131","קובץ בית יוסף - 4 כר'")</f>
        <v>קובץ בית יוסף - 4 כר'</v>
      </c>
    </row>
    <row r="34858" spans="1:6" x14ac:dyDescent="0.2">
      <c r="A34858" t="s">
        <v>53966</v>
      </c>
      <c r="B34858" t="s">
        <v>53967</v>
      </c>
      <c r="C34858" t="s">
        <v>576</v>
      </c>
      <c r="D34858" t="s">
        <v>15924</v>
      </c>
      <c r="E34858" t="s">
        <v>202</v>
      </c>
      <c r="F34858" s="2" t="str">
        <f>HYPERLINK("http://www.otzar.org/book.asp?626818","קובץ בית ישראל - א")</f>
        <v>קובץ בית ישראל - א</v>
      </c>
    </row>
    <row r="34859" spans="1:6" x14ac:dyDescent="0.2">
      <c r="A34859" t="s">
        <v>53968</v>
      </c>
      <c r="B34859" t="s">
        <v>53969</v>
      </c>
      <c r="C34859" t="s">
        <v>53970</v>
      </c>
      <c r="D34859" t="s">
        <v>15924</v>
      </c>
      <c r="E34859" t="s">
        <v>202</v>
      </c>
      <c r="F34859" s="2" t="str">
        <f>HYPERLINK("http://www.otzar.org/book.asp?626808","קובץ בית ישראל - 4 כר'")</f>
        <v>קובץ בית ישראל - 4 כר'</v>
      </c>
    </row>
    <row r="34860" spans="1:6" x14ac:dyDescent="0.2">
      <c r="A34860" t="s">
        <v>53971</v>
      </c>
      <c r="B34860" t="s">
        <v>53939</v>
      </c>
      <c r="C34860" t="s">
        <v>20</v>
      </c>
      <c r="D34860" t="s">
        <v>14</v>
      </c>
      <c r="E34860" t="s">
        <v>202</v>
      </c>
      <c r="F34860" s="2" t="str">
        <f>HYPERLINK("http://www.otzar.org/book.asp?172662","קובץ בית ישראל - 2 כר'")</f>
        <v>קובץ בית ישראל - 2 כר'</v>
      </c>
    </row>
    <row r="34861" spans="1:6" x14ac:dyDescent="0.2">
      <c r="A34861" t="s">
        <v>53966</v>
      </c>
      <c r="B34861" t="s">
        <v>53972</v>
      </c>
      <c r="C34861" t="s">
        <v>1388</v>
      </c>
      <c r="D34861" t="s">
        <v>2375</v>
      </c>
      <c r="E34861" t="s">
        <v>202</v>
      </c>
      <c r="F34861" s="2" t="str">
        <f>HYPERLINK("http://www.otzar.org/book.asp?198057","קובץ בית ישראל - א")</f>
        <v>קובץ בית ישראל - א</v>
      </c>
    </row>
    <row r="34862" spans="1:6" x14ac:dyDescent="0.2">
      <c r="A34862" t="s">
        <v>53973</v>
      </c>
      <c r="B34862" t="s">
        <v>53974</v>
      </c>
      <c r="C34862" t="s">
        <v>553</v>
      </c>
      <c r="D34862" t="s">
        <v>14</v>
      </c>
      <c r="E34862" t="s">
        <v>186</v>
      </c>
      <c r="F34862" s="2" t="str">
        <f>HYPERLINK("http://www.otzar.org/book.asp?106838","קובץ בית משה - 4 כר'")</f>
        <v>קובץ בית משה - 4 כר'</v>
      </c>
    </row>
    <row r="34863" spans="1:6" x14ac:dyDescent="0.2">
      <c r="A34863" t="s">
        <v>53975</v>
      </c>
      <c r="B34863" t="s">
        <v>24028</v>
      </c>
      <c r="C34863" t="s">
        <v>146</v>
      </c>
      <c r="D34863" t="s">
        <v>646</v>
      </c>
      <c r="E34863" t="s">
        <v>202</v>
      </c>
      <c r="F34863" s="2" t="str">
        <f>HYPERLINK("http://www.otzar.org/book.asp?183429","קובץ בית סופרים &lt;פרעשבורג&gt; - 2 כר'")</f>
        <v>קובץ בית סופרים &lt;פרעשבורג&gt; - 2 כר'</v>
      </c>
    </row>
    <row r="34864" spans="1:6" x14ac:dyDescent="0.2">
      <c r="A34864" t="s">
        <v>53976</v>
      </c>
      <c r="B34864" t="s">
        <v>53977</v>
      </c>
      <c r="C34864" t="s">
        <v>20</v>
      </c>
      <c r="D34864" t="s">
        <v>14</v>
      </c>
      <c r="F34864" s="2" t="str">
        <f>HYPERLINK("http://www.otzar.org/book.asp?614515","קובץ בית צדיקים יעמוד")</f>
        <v>קובץ בית צדיקים יעמוד</v>
      </c>
    </row>
    <row r="34865" spans="1:6" x14ac:dyDescent="0.2">
      <c r="A34865" t="s">
        <v>53978</v>
      </c>
      <c r="B34865" t="s">
        <v>53979</v>
      </c>
      <c r="C34865" t="s">
        <v>146</v>
      </c>
      <c r="D34865" t="s">
        <v>14</v>
      </c>
      <c r="E34865" t="s">
        <v>202</v>
      </c>
      <c r="F34865" s="2" t="str">
        <f>HYPERLINK("http://www.otzar.org/book.asp?174166","קובץ בית ציון - 3 כר'")</f>
        <v>קובץ בית ציון - 3 כר'</v>
      </c>
    </row>
    <row r="34866" spans="1:6" x14ac:dyDescent="0.2">
      <c r="A34866" t="s">
        <v>53980</v>
      </c>
      <c r="B34866" t="s">
        <v>53981</v>
      </c>
      <c r="C34866" t="s">
        <v>176</v>
      </c>
      <c r="D34866" t="s">
        <v>14</v>
      </c>
      <c r="F34866" s="2" t="str">
        <f>HYPERLINK("http://www.otzar.org/book.asp?609518","קובץ בית שלמה - ערכין")</f>
        <v>קובץ בית שלמה - ערכין</v>
      </c>
    </row>
    <row r="34867" spans="1:6" x14ac:dyDescent="0.2">
      <c r="A34867" t="s">
        <v>53982</v>
      </c>
      <c r="B34867" t="s">
        <v>53983</v>
      </c>
      <c r="C34867" t="s">
        <v>624</v>
      </c>
      <c r="D34867" t="s">
        <v>14</v>
      </c>
      <c r="E34867" t="s">
        <v>144</v>
      </c>
      <c r="F34867" s="2" t="str">
        <f>HYPERLINK("http://www.otzar.org/book.asp?167632","קובץ בית שלמה - בכורות, תמורה")</f>
        <v>קובץ בית שלמה - בכורות, תמורה</v>
      </c>
    </row>
    <row r="34868" spans="1:6" x14ac:dyDescent="0.2">
      <c r="A34868" t="s">
        <v>53984</v>
      </c>
      <c r="B34868" t="s">
        <v>53969</v>
      </c>
      <c r="C34868" t="s">
        <v>908</v>
      </c>
      <c r="D34868" t="s">
        <v>15924</v>
      </c>
      <c r="E34868" t="s">
        <v>202</v>
      </c>
      <c r="F34868" s="2" t="str">
        <f>HYPERLINK("http://www.otzar.org/book.asp?626817","קובץ בית שמואל &lt;שנה ג&gt; - א-ב (ח)")</f>
        <v>קובץ בית שמואל &lt;שנה ג&gt; - א-ב (ח)</v>
      </c>
    </row>
    <row r="34869" spans="1:6" x14ac:dyDescent="0.2">
      <c r="A34869" t="s">
        <v>53985</v>
      </c>
      <c r="B34869" t="s">
        <v>53969</v>
      </c>
      <c r="C34869" t="s">
        <v>1535</v>
      </c>
      <c r="D34869" t="s">
        <v>15924</v>
      </c>
      <c r="E34869" t="s">
        <v>202</v>
      </c>
      <c r="F34869" s="2" t="str">
        <f>HYPERLINK("http://www.otzar.org/book.asp?626811","קובץ בית שמואל - 2 כר'")</f>
        <v>קובץ בית שמואל - 2 כר'</v>
      </c>
    </row>
    <row r="34870" spans="1:6" x14ac:dyDescent="0.2">
      <c r="A34870" t="s">
        <v>53986</v>
      </c>
      <c r="B34870" t="s">
        <v>53987</v>
      </c>
      <c r="C34870" t="s">
        <v>2132</v>
      </c>
      <c r="D34870" t="s">
        <v>412</v>
      </c>
      <c r="F34870" s="2" t="str">
        <f>HYPERLINK("http://www.otzar.org/book.asp?605492","קובץ בית תלמוד להוראה - 13 כר'")</f>
        <v>קובץ בית תלמוד להוראה - 13 כר'</v>
      </c>
    </row>
    <row r="34871" spans="1:6" x14ac:dyDescent="0.2">
      <c r="A34871" t="s">
        <v>53988</v>
      </c>
      <c r="B34871" t="s">
        <v>53989</v>
      </c>
      <c r="C34871" t="s">
        <v>151</v>
      </c>
      <c r="D34871" t="s">
        <v>1156</v>
      </c>
      <c r="E34871" t="s">
        <v>3516</v>
      </c>
      <c r="F34871" s="2" t="str">
        <f>HYPERLINK("http://www.otzar.org/book.asp?615405","קובץ בכוריהם הרגת ובכורך גאלת")</f>
        <v>קובץ בכוריהם הרגת ובכורך גאלת</v>
      </c>
    </row>
    <row r="34872" spans="1:6" x14ac:dyDescent="0.2">
      <c r="A34872" t="s">
        <v>53990</v>
      </c>
      <c r="B34872" t="s">
        <v>206</v>
      </c>
      <c r="C34872" t="s">
        <v>20</v>
      </c>
      <c r="D34872" t="s">
        <v>90</v>
      </c>
      <c r="E34872" t="s">
        <v>202</v>
      </c>
      <c r="F34872" s="2" t="str">
        <f>HYPERLINK("http://www.otzar.org/book.asp?606504","קובץ בן משה קבלת התורה")</f>
        <v>קובץ בן משה קבלת התורה</v>
      </c>
    </row>
    <row r="34873" spans="1:6" x14ac:dyDescent="0.2">
      <c r="A34873" t="s">
        <v>53991</v>
      </c>
      <c r="B34873" t="s">
        <v>53992</v>
      </c>
      <c r="C34873" t="s">
        <v>313</v>
      </c>
      <c r="D34873" t="s">
        <v>14</v>
      </c>
      <c r="E34873" t="s">
        <v>202</v>
      </c>
      <c r="F34873" s="2" t="str">
        <f>HYPERLINK("http://www.otzar.org/book.asp?6282","קובץ בן עליה")</f>
        <v>קובץ בן עליה</v>
      </c>
    </row>
    <row r="34874" spans="1:6" x14ac:dyDescent="0.2">
      <c r="A34874" t="s">
        <v>53993</v>
      </c>
      <c r="B34874" t="s">
        <v>22704</v>
      </c>
      <c r="C34874" t="s">
        <v>151</v>
      </c>
      <c r="D34874" t="s">
        <v>90</v>
      </c>
      <c r="F34874" s="2" t="str">
        <f>HYPERLINK("http://www.otzar.org/book.asp?612319","קובץ בני בינה - חנוכה")</f>
        <v>קובץ בני בינה - חנוכה</v>
      </c>
    </row>
    <row r="34875" spans="1:6" x14ac:dyDescent="0.2">
      <c r="A34875" t="s">
        <v>53994</v>
      </c>
      <c r="B34875" t="s">
        <v>1750</v>
      </c>
      <c r="C34875" t="s">
        <v>146</v>
      </c>
      <c r="D34875" t="s">
        <v>14</v>
      </c>
      <c r="E34875" t="s">
        <v>2091</v>
      </c>
      <c r="F34875" s="2" t="str">
        <f>HYPERLINK("http://www.otzar.org/book.asp?26356","קובץ בנין אב - 11 כר'")</f>
        <v>קובץ בנין אב - 11 כר'</v>
      </c>
    </row>
    <row r="34876" spans="1:6" x14ac:dyDescent="0.2">
      <c r="A34876" t="s">
        <v>53995</v>
      </c>
      <c r="B34876" t="s">
        <v>53996</v>
      </c>
      <c r="C34876" t="s">
        <v>146</v>
      </c>
      <c r="D34876" t="s">
        <v>52</v>
      </c>
      <c r="E34876" t="s">
        <v>202</v>
      </c>
      <c r="F34876" s="2" t="str">
        <f>HYPERLINK("http://www.otzar.org/book.asp?143019","קובץ בנתיבות המשפט - 4 כר'")</f>
        <v>קובץ בנתיבות המשפט - 4 כר'</v>
      </c>
    </row>
    <row r="34877" spans="1:6" x14ac:dyDescent="0.2">
      <c r="A34877" t="s">
        <v>53997</v>
      </c>
      <c r="B34877" t="s">
        <v>53998</v>
      </c>
      <c r="C34877" t="s">
        <v>20</v>
      </c>
      <c r="D34877" t="s">
        <v>21</v>
      </c>
      <c r="E34877" t="s">
        <v>2091</v>
      </c>
      <c r="F34877" s="2" t="str">
        <f>HYPERLINK("http://www.otzar.org/book.asp?190962","קובץ בענייני בית הכנסת  ובענייני ס""ת")</f>
        <v>קובץ בענייני בית הכנסת  ובענייני ס"ת</v>
      </c>
    </row>
    <row r="34878" spans="1:6" x14ac:dyDescent="0.2">
      <c r="A34878" t="s">
        <v>53999</v>
      </c>
      <c r="B34878" t="s">
        <v>107</v>
      </c>
      <c r="C34878" t="s">
        <v>366</v>
      </c>
      <c r="D34878" t="s">
        <v>14</v>
      </c>
      <c r="E34878" t="s">
        <v>104</v>
      </c>
      <c r="F34878" s="2" t="str">
        <f>HYPERLINK("http://www.otzar.org/book.asp?625787","קובץ בענייני צניעות")</f>
        <v>קובץ בענייני צניעות</v>
      </c>
    </row>
    <row r="34879" spans="1:6" x14ac:dyDescent="0.2">
      <c r="A34879" t="s">
        <v>54000</v>
      </c>
      <c r="B34879" t="s">
        <v>107</v>
      </c>
      <c r="C34879" t="s">
        <v>366</v>
      </c>
      <c r="D34879" t="s">
        <v>14</v>
      </c>
      <c r="E34879" t="s">
        <v>241</v>
      </c>
      <c r="F34879" s="2" t="str">
        <f>HYPERLINK("http://www.otzar.org/book.asp?625789","קובץ בענייני תפקיד היהדות במיוחד בימינו")</f>
        <v>קובץ בענייני תפקיד היהדות במיוחד בימינו</v>
      </c>
    </row>
    <row r="34880" spans="1:6" x14ac:dyDescent="0.2">
      <c r="A34880" t="s">
        <v>54001</v>
      </c>
      <c r="B34880" t="s">
        <v>54002</v>
      </c>
      <c r="C34880" t="s">
        <v>23</v>
      </c>
      <c r="D34880" t="s">
        <v>52</v>
      </c>
      <c r="F34880" s="2" t="str">
        <f>HYPERLINK("http://www.otzar.org/book.asp?613790","קובץ בענין שכר ועונש")</f>
        <v>קובץ בענין שכר ועונש</v>
      </c>
    </row>
    <row r="34881" spans="1:6" x14ac:dyDescent="0.2">
      <c r="A34881" t="s">
        <v>54003</v>
      </c>
      <c r="B34881" t="s">
        <v>54004</v>
      </c>
      <c r="C34881" t="s">
        <v>454</v>
      </c>
      <c r="D34881" t="s">
        <v>14</v>
      </c>
      <c r="E34881" t="s">
        <v>2091</v>
      </c>
      <c r="F34881" s="2" t="str">
        <f>HYPERLINK("http://www.otzar.org/book.asp?23901","קובץ בעניני פדיון הבן")</f>
        <v>קובץ בעניני פדיון הבן</v>
      </c>
    </row>
    <row r="34882" spans="1:6" x14ac:dyDescent="0.2">
      <c r="A34882" t="s">
        <v>54005</v>
      </c>
      <c r="B34882" t="s">
        <v>7097</v>
      </c>
      <c r="C34882" t="s">
        <v>68</v>
      </c>
      <c r="D34882" t="s">
        <v>152</v>
      </c>
      <c r="E34882" t="s">
        <v>1211</v>
      </c>
      <c r="F34882" s="2" t="str">
        <f>HYPERLINK("http://www.otzar.org/book.asp?162147","קובץ בקוראי שמו")</f>
        <v>קובץ בקוראי שמו</v>
      </c>
    </row>
    <row r="34883" spans="1:6" x14ac:dyDescent="0.2">
      <c r="A34883" t="s">
        <v>54006</v>
      </c>
      <c r="B34883" t="s">
        <v>54007</v>
      </c>
      <c r="C34883" t="s">
        <v>533</v>
      </c>
      <c r="D34883" t="s">
        <v>14</v>
      </c>
      <c r="E34883" t="s">
        <v>202</v>
      </c>
      <c r="F34883" s="2" t="str">
        <f>HYPERLINK("http://www.otzar.org/book.asp?179380","קובץ ברית אברהם - 7 כר'")</f>
        <v>קובץ ברית אברהם - 7 כר'</v>
      </c>
    </row>
    <row r="34884" spans="1:6" x14ac:dyDescent="0.2">
      <c r="A34884" t="s">
        <v>54008</v>
      </c>
      <c r="B34884" t="s">
        <v>54009</v>
      </c>
      <c r="C34884" t="s">
        <v>419</v>
      </c>
      <c r="D34884" t="s">
        <v>14</v>
      </c>
      <c r="F34884" s="2" t="str">
        <f>HYPERLINK("http://www.otzar.org/book.asp?609622","קובץ ברכת אברהם")</f>
        <v>קובץ ברכת אברהם</v>
      </c>
    </row>
    <row r="34885" spans="1:6" x14ac:dyDescent="0.2">
      <c r="A34885" t="s">
        <v>54010</v>
      </c>
      <c r="B34885" t="s">
        <v>54011</v>
      </c>
      <c r="C34885" t="s">
        <v>411</v>
      </c>
      <c r="D34885" t="s">
        <v>52</v>
      </c>
      <c r="E34885" t="s">
        <v>144</v>
      </c>
      <c r="F34885" s="2" t="str">
        <f>HYPERLINK("http://www.otzar.org/book.asp?168567","קובץ ברכת אליהו")</f>
        <v>קובץ ברכת אליהו</v>
      </c>
    </row>
    <row r="34886" spans="1:6" x14ac:dyDescent="0.2">
      <c r="A34886" t="s">
        <v>54012</v>
      </c>
      <c r="B34886" t="s">
        <v>54013</v>
      </c>
      <c r="C34886" t="s">
        <v>23</v>
      </c>
      <c r="E34886" t="s">
        <v>202</v>
      </c>
      <c r="F34886" s="2" t="str">
        <f>HYPERLINK("http://www.otzar.org/book.asp?603744","קובץ ברכת האהל")</f>
        <v>קובץ ברכת האהל</v>
      </c>
    </row>
    <row r="34887" spans="1:6" x14ac:dyDescent="0.2">
      <c r="A34887" t="s">
        <v>54014</v>
      </c>
      <c r="B34887" t="s">
        <v>54014</v>
      </c>
      <c r="C34887" t="s">
        <v>422</v>
      </c>
      <c r="D34887" t="s">
        <v>2375</v>
      </c>
      <c r="E34887" t="s">
        <v>24</v>
      </c>
      <c r="F34887" s="2" t="str">
        <f>HYPERLINK("http://www.otzar.org/book.asp?607247","קובץ ברכת החמה")</f>
        <v>קובץ ברכת החמה</v>
      </c>
    </row>
    <row r="34888" spans="1:6" x14ac:dyDescent="0.2">
      <c r="A34888" t="s">
        <v>54015</v>
      </c>
      <c r="B34888" t="s">
        <v>54016</v>
      </c>
      <c r="C34888" t="s">
        <v>244</v>
      </c>
      <c r="D34888" t="s">
        <v>1156</v>
      </c>
      <c r="E34888" t="s">
        <v>202</v>
      </c>
      <c r="F34888" s="2" t="str">
        <f>HYPERLINK("http://www.otzar.org/book.asp?626021","קובץ ברכת השבת")</f>
        <v>קובץ ברכת השבת</v>
      </c>
    </row>
    <row r="34889" spans="1:6" x14ac:dyDescent="0.2">
      <c r="A34889" t="s">
        <v>54017</v>
      </c>
      <c r="B34889" t="s">
        <v>54018</v>
      </c>
      <c r="C34889" t="s">
        <v>129</v>
      </c>
      <c r="D34889" t="s">
        <v>14</v>
      </c>
      <c r="E34889" t="s">
        <v>202</v>
      </c>
      <c r="F34889" s="2" t="str">
        <f>HYPERLINK("http://www.otzar.org/book.asp?62879","קובץ בשדה ובכרם")</f>
        <v>קובץ בשדה ובכרם</v>
      </c>
    </row>
    <row r="34890" spans="1:6" x14ac:dyDescent="0.2">
      <c r="A34890" t="s">
        <v>54019</v>
      </c>
      <c r="B34890" t="s">
        <v>21698</v>
      </c>
      <c r="C34890" t="s">
        <v>146</v>
      </c>
      <c r="D34890" t="s">
        <v>646</v>
      </c>
      <c r="E34890" t="s">
        <v>202</v>
      </c>
      <c r="F34890" s="2" t="str">
        <f>HYPERLINK("http://www.otzar.org/book.asp?153231","קובץ בשם ה' אקרא - 3 כר'")</f>
        <v>קובץ בשם ה' אקרא - 3 כר'</v>
      </c>
    </row>
    <row r="34891" spans="1:6" x14ac:dyDescent="0.2">
      <c r="A34891" t="s">
        <v>54020</v>
      </c>
      <c r="B34891" t="s">
        <v>1750</v>
      </c>
      <c r="C34891" t="s">
        <v>23</v>
      </c>
      <c r="D34891" t="s">
        <v>21</v>
      </c>
      <c r="E34891" t="s">
        <v>202</v>
      </c>
      <c r="F34891" s="2" t="str">
        <f>HYPERLINK("http://www.otzar.org/book.asp?191112","קובץ בתורתו - 2 כר'")</f>
        <v>קובץ בתורתו - 2 כר'</v>
      </c>
    </row>
    <row r="34892" spans="1:6" x14ac:dyDescent="0.2">
      <c r="A34892" t="s">
        <v>54021</v>
      </c>
      <c r="B34892" t="s">
        <v>24929</v>
      </c>
      <c r="C34892" t="s">
        <v>54022</v>
      </c>
      <c r="D34892" t="s">
        <v>14</v>
      </c>
      <c r="E34892" t="s">
        <v>15</v>
      </c>
      <c r="F34892" s="2" t="str">
        <f>HYPERLINK("http://www.otzar.org/book.asp?621196","קובץ גליונות ליקוטי ופסקי הלכות חוקי חיים - 1-101")</f>
        <v>קובץ גליונות ליקוטי ופסקי הלכות חוקי חיים - 1-101</v>
      </c>
    </row>
    <row r="34893" spans="1:6" x14ac:dyDescent="0.2">
      <c r="A34893" t="s">
        <v>54023</v>
      </c>
      <c r="B34893" t="s">
        <v>54024</v>
      </c>
      <c r="C34893" t="s">
        <v>51</v>
      </c>
      <c r="D34893" t="s">
        <v>14</v>
      </c>
      <c r="F34893" s="2" t="str">
        <f>HYPERLINK("http://www.otzar.org/book.asp?629392","קובץ גליונות מטה אהרן - 2 כר'")</f>
        <v>קובץ גליונות מטה אהרן - 2 כר'</v>
      </c>
    </row>
    <row r="34894" spans="1:6" x14ac:dyDescent="0.2">
      <c r="A34894" t="s">
        <v>54025</v>
      </c>
      <c r="B34894" t="s">
        <v>10363</v>
      </c>
      <c r="F34894" s="2" t="str">
        <f>HYPERLINK("http://www.otzar.org/book.asp?630739","קובץ גליונות ממעינות הלוי - תשס""ו")</f>
        <v>קובץ גליונות ממעינות הלוי - תשס"ו</v>
      </c>
    </row>
    <row r="34895" spans="1:6" x14ac:dyDescent="0.2">
      <c r="A34895" t="s">
        <v>54026</v>
      </c>
      <c r="B34895" t="s">
        <v>3068</v>
      </c>
      <c r="C34895" t="s">
        <v>68</v>
      </c>
      <c r="D34895" t="s">
        <v>3069</v>
      </c>
      <c r="E34895" t="s">
        <v>202</v>
      </c>
      <c r="F34895" s="2" t="str">
        <f>HYPERLINK("http://www.otzar.org/book.asp?160224","קובץ גליונות מרי""ח ניחוח - 7 כר'")</f>
        <v>קובץ גליונות מרי"ח ניחוח - 7 כר'</v>
      </c>
    </row>
    <row r="34896" spans="1:6" x14ac:dyDescent="0.2">
      <c r="A34896" t="s">
        <v>54027</v>
      </c>
      <c r="B34896" t="s">
        <v>54028</v>
      </c>
      <c r="C34896" t="s">
        <v>37</v>
      </c>
      <c r="D34896" t="s">
        <v>118</v>
      </c>
      <c r="E34896" t="s">
        <v>1174</v>
      </c>
      <c r="F34896" s="2" t="str">
        <f>HYPERLINK("http://www.otzar.org/book.asp?190104","קובץ גליונות שיח חסידים - תשע""ד")</f>
        <v>קובץ גליונות שיח חסידים - תשע"ד</v>
      </c>
    </row>
    <row r="34897" spans="1:6" x14ac:dyDescent="0.2">
      <c r="A34897" t="s">
        <v>54029</v>
      </c>
      <c r="B34897" t="s">
        <v>206</v>
      </c>
      <c r="C34897" t="s">
        <v>111</v>
      </c>
      <c r="D34897" t="s">
        <v>52</v>
      </c>
      <c r="E34897" t="s">
        <v>202</v>
      </c>
      <c r="F34897" s="2" t="str">
        <f>HYPERLINK("http://www.otzar.org/book.asp?629519","קובץ גליונות תשועה ברב יועץ")</f>
        <v>קובץ גליונות תשועה ברב יועץ</v>
      </c>
    </row>
    <row r="34898" spans="1:6" x14ac:dyDescent="0.2">
      <c r="A34898" t="s">
        <v>54030</v>
      </c>
      <c r="B34898" t="s">
        <v>10363</v>
      </c>
      <c r="C34898" t="s">
        <v>185</v>
      </c>
      <c r="D34898" t="s">
        <v>90</v>
      </c>
      <c r="E34898" t="s">
        <v>4022</v>
      </c>
      <c r="F34898" s="2" t="str">
        <f>HYPERLINK("http://www.otzar.org/book.asp?630622","קובץ גליונות - 56 כר'")</f>
        <v>קובץ גליונות - 56 כר'</v>
      </c>
    </row>
    <row r="34899" spans="1:6" x14ac:dyDescent="0.2">
      <c r="A34899" t="s">
        <v>54031</v>
      </c>
      <c r="B34899" t="s">
        <v>10056</v>
      </c>
      <c r="C34899" t="s">
        <v>23</v>
      </c>
      <c r="D34899" t="s">
        <v>1180</v>
      </c>
      <c r="E34899" t="s">
        <v>202</v>
      </c>
      <c r="F34899" s="2" t="str">
        <f>HYPERLINK("http://www.otzar.org/book.asp?199133","קובץ גליוני שערי ציון")</f>
        <v>קובץ גליוני שערי ציון</v>
      </c>
    </row>
    <row r="34900" spans="1:6" x14ac:dyDescent="0.2">
      <c r="A34900" t="s">
        <v>54032</v>
      </c>
      <c r="B34900" t="s">
        <v>54033</v>
      </c>
      <c r="C34900" t="s">
        <v>383</v>
      </c>
      <c r="D34900" t="s">
        <v>14</v>
      </c>
      <c r="E34900" t="s">
        <v>424</v>
      </c>
      <c r="F34900" s="2" t="str">
        <f>HYPERLINK("http://www.otzar.org/book.asp?161868","קובץ גנזי סופרים - א")</f>
        <v>קובץ גנזי סופרים - א</v>
      </c>
    </row>
    <row r="34901" spans="1:6" x14ac:dyDescent="0.2">
      <c r="A34901" t="s">
        <v>54034</v>
      </c>
      <c r="B34901" t="s">
        <v>54035</v>
      </c>
      <c r="C34901" t="s">
        <v>133</v>
      </c>
      <c r="D34901" t="s">
        <v>90</v>
      </c>
      <c r="F34901" s="2" t="str">
        <f>HYPERLINK("http://www.otzar.org/book.asp?613154","קובץ דבר אברהם - 4 כר'")</f>
        <v>קובץ דבר אברהם - 4 כר'</v>
      </c>
    </row>
    <row r="34902" spans="1:6" x14ac:dyDescent="0.2">
      <c r="A34902" t="s">
        <v>54036</v>
      </c>
      <c r="B34902" t="s">
        <v>54037</v>
      </c>
      <c r="C34902" t="s">
        <v>68</v>
      </c>
      <c r="D34902" t="s">
        <v>14</v>
      </c>
      <c r="E34902" t="s">
        <v>140</v>
      </c>
      <c r="F34902" s="2" t="str">
        <f>HYPERLINK("http://www.otzar.org/book.asp?163728","קובץ דברות קודש")</f>
        <v>קובץ דברות קודש</v>
      </c>
    </row>
    <row r="34903" spans="1:6" x14ac:dyDescent="0.2">
      <c r="A34903" t="s">
        <v>54036</v>
      </c>
      <c r="B34903" t="s">
        <v>54038</v>
      </c>
      <c r="E34903" t="s">
        <v>140</v>
      </c>
      <c r="F34903" s="2" t="str">
        <f>HYPERLINK("http://www.otzar.org/book.asp?627918","קובץ דברות קודש")</f>
        <v>קובץ דברות קודש</v>
      </c>
    </row>
    <row r="34904" spans="1:6" x14ac:dyDescent="0.2">
      <c r="A34904" t="s">
        <v>54039</v>
      </c>
      <c r="B34904" t="s">
        <v>54040</v>
      </c>
      <c r="C34904" t="s">
        <v>244</v>
      </c>
      <c r="D34904" t="s">
        <v>14</v>
      </c>
      <c r="E34904" t="s">
        <v>4022</v>
      </c>
      <c r="F34904" s="2" t="str">
        <f>HYPERLINK("http://www.otzar.org/book.asp?197915","קובץ דברי הפורים")</f>
        <v>קובץ דברי הפורים</v>
      </c>
    </row>
    <row r="34905" spans="1:6" x14ac:dyDescent="0.2">
      <c r="A34905" t="s">
        <v>54041</v>
      </c>
      <c r="B34905" t="s">
        <v>54042</v>
      </c>
      <c r="C34905" t="s">
        <v>37</v>
      </c>
      <c r="D34905" t="s">
        <v>412</v>
      </c>
      <c r="E34905" t="s">
        <v>202</v>
      </c>
      <c r="F34905" s="2" t="str">
        <f>HYPERLINK("http://www.otzar.org/book.asp?183413","קובץ דברי השירה - אמישינאוו")</f>
        <v>קובץ דברי השירה - אמישינאוו</v>
      </c>
    </row>
    <row r="34906" spans="1:6" x14ac:dyDescent="0.2">
      <c r="A34906" t="s">
        <v>54043</v>
      </c>
      <c r="B34906" t="s">
        <v>5364</v>
      </c>
      <c r="C34906" t="s">
        <v>114</v>
      </c>
      <c r="D34906" t="s">
        <v>90</v>
      </c>
      <c r="E34906" t="s">
        <v>104</v>
      </c>
      <c r="F34906" s="2" t="str">
        <f>HYPERLINK("http://www.otzar.org/book.asp?179525","קובץ דברי חידו""ת - 2 כר'")</f>
        <v>קובץ דברי חידו"ת - 2 כר'</v>
      </c>
    </row>
    <row r="34907" spans="1:6" x14ac:dyDescent="0.2">
      <c r="A34907" t="s">
        <v>54044</v>
      </c>
      <c r="B34907" t="s">
        <v>54045</v>
      </c>
      <c r="C34907" t="s">
        <v>624</v>
      </c>
      <c r="D34907" t="s">
        <v>276</v>
      </c>
      <c r="E34907" t="s">
        <v>202</v>
      </c>
      <c r="F34907" s="2" t="str">
        <f>HYPERLINK("http://www.otzar.org/book.asp?190968","קובץ דברי חפץ")</f>
        <v>קובץ דברי חפץ</v>
      </c>
    </row>
    <row r="34908" spans="1:6" x14ac:dyDescent="0.2">
      <c r="A34908" t="s">
        <v>54046</v>
      </c>
      <c r="B34908" t="s">
        <v>54047</v>
      </c>
      <c r="C34908" t="s">
        <v>466</v>
      </c>
      <c r="D34908" t="s">
        <v>90</v>
      </c>
      <c r="F34908" s="2" t="str">
        <f>HYPERLINK("http://www.otzar.org/book.asp?612033","קובץ דברי יחזקאל")</f>
        <v>קובץ דברי יחזקאל</v>
      </c>
    </row>
    <row r="34909" spans="1:6" x14ac:dyDescent="0.2">
      <c r="A34909" t="s">
        <v>54048</v>
      </c>
      <c r="B34909" t="s">
        <v>21698</v>
      </c>
      <c r="C34909" t="s">
        <v>189</v>
      </c>
      <c r="D34909" t="s">
        <v>8985</v>
      </c>
      <c r="F34909" s="2" t="str">
        <f>HYPERLINK("http://www.otzar.org/book.asp?153281","קובץ דברי שיר - 5 כר'")</f>
        <v>קובץ דברי שיר - 5 כר'</v>
      </c>
    </row>
    <row r="34910" spans="1:6" x14ac:dyDescent="0.2">
      <c r="A34910" t="s">
        <v>54049</v>
      </c>
      <c r="B34910" t="s">
        <v>21698</v>
      </c>
      <c r="C34910" t="s">
        <v>313</v>
      </c>
      <c r="D34910" t="s">
        <v>6540</v>
      </c>
      <c r="F34910" s="2" t="str">
        <f>HYPERLINK("http://www.otzar.org/book.asp?153223","קובץ דברי שירה - 2 כר'")</f>
        <v>קובץ דברי שירה - 2 כר'</v>
      </c>
    </row>
    <row r="34911" spans="1:6" x14ac:dyDescent="0.2">
      <c r="A34911" t="s">
        <v>54050</v>
      </c>
      <c r="B34911" t="s">
        <v>54051</v>
      </c>
      <c r="C34911" t="s">
        <v>111</v>
      </c>
      <c r="D34911" t="s">
        <v>423</v>
      </c>
      <c r="E34911" t="s">
        <v>172</v>
      </c>
      <c r="F34911" s="2" t="str">
        <f>HYPERLINK("http://www.otzar.org/book.asp?628056","קובץ דיני החיים")</f>
        <v>קובץ דיני החיים</v>
      </c>
    </row>
    <row r="34912" spans="1:6" x14ac:dyDescent="0.2">
      <c r="A34912" t="s">
        <v>54052</v>
      </c>
      <c r="B34912" t="s">
        <v>54053</v>
      </c>
      <c r="C34912" t="s">
        <v>1208</v>
      </c>
      <c r="D34912" t="s">
        <v>21</v>
      </c>
      <c r="E34912" t="s">
        <v>15</v>
      </c>
      <c r="F34912" s="2" t="str">
        <f>HYPERLINK("http://www.otzar.org/book.asp?196770","קובץ דינים והלכות")</f>
        <v>קובץ דינים והלכות</v>
      </c>
    </row>
    <row r="34913" spans="1:6" x14ac:dyDescent="0.2">
      <c r="A34913" t="s">
        <v>54054</v>
      </c>
      <c r="B34913" t="s">
        <v>382</v>
      </c>
      <c r="C34913" t="s">
        <v>68</v>
      </c>
      <c r="D34913" t="s">
        <v>412</v>
      </c>
      <c r="E34913" t="s">
        <v>202</v>
      </c>
      <c r="F34913" s="2" t="str">
        <f>HYPERLINK("http://www.otzar.org/book.asp?163620","קובץ דמשק אליעזר - ב")</f>
        <v>קובץ דמשק אליעזר - ב</v>
      </c>
    </row>
    <row r="34914" spans="1:6" x14ac:dyDescent="0.2">
      <c r="A34914" t="s">
        <v>54055</v>
      </c>
      <c r="B34914" t="s">
        <v>54056</v>
      </c>
      <c r="C34914" t="s">
        <v>411</v>
      </c>
      <c r="D34914" t="s">
        <v>14</v>
      </c>
      <c r="F34914" s="2" t="str">
        <f>HYPERLINK("http://www.otzar.org/book.asp?169696","קובץ דקדוקי תורה - 2 כר'")</f>
        <v>קובץ דקדוקי תורה - 2 כר'</v>
      </c>
    </row>
    <row r="34915" spans="1:6" x14ac:dyDescent="0.2">
      <c r="A34915" t="s">
        <v>54057</v>
      </c>
      <c r="B34915" t="s">
        <v>54058</v>
      </c>
      <c r="C34915" t="s">
        <v>37170</v>
      </c>
      <c r="D34915" t="s">
        <v>225</v>
      </c>
      <c r="E34915" t="s">
        <v>1262</v>
      </c>
      <c r="F34915" s="2" t="str">
        <f>HYPERLINK("http://www.otzar.org/book.asp?102196","קובץ דרושים - 10 כר'")</f>
        <v>קובץ דרושים - 10 כר'</v>
      </c>
    </row>
    <row r="34916" spans="1:6" x14ac:dyDescent="0.2">
      <c r="A34916" t="s">
        <v>54059</v>
      </c>
      <c r="B34916" t="s">
        <v>54060</v>
      </c>
      <c r="C34916" t="s">
        <v>151</v>
      </c>
      <c r="D34916" t="s">
        <v>90</v>
      </c>
      <c r="F34916" s="2" t="str">
        <f>HYPERLINK("http://www.otzar.org/book.asp?610741","קובץ דרכי האמוראים - רב, שמואל, רבי יוחנן")</f>
        <v>קובץ דרכי האמוראים - רב, שמואל, רבי יוחנן</v>
      </c>
    </row>
    <row r="34917" spans="1:6" x14ac:dyDescent="0.2">
      <c r="A34917" t="s">
        <v>54061</v>
      </c>
      <c r="B34917" t="s">
        <v>54062</v>
      </c>
      <c r="C34917" t="s">
        <v>114</v>
      </c>
      <c r="D34917" t="s">
        <v>14</v>
      </c>
      <c r="E34917" t="s">
        <v>202</v>
      </c>
      <c r="F34917" s="2" t="str">
        <f>HYPERLINK("http://www.otzar.org/book.asp?626005","קובץ דרכי מבשר - 10 כר'")</f>
        <v>קובץ דרכי מבשר - 10 כר'</v>
      </c>
    </row>
    <row r="34918" spans="1:6" x14ac:dyDescent="0.2">
      <c r="A34918" t="s">
        <v>54063</v>
      </c>
      <c r="B34918" t="s">
        <v>4692</v>
      </c>
      <c r="C34918" t="s">
        <v>454</v>
      </c>
      <c r="D34918" t="s">
        <v>52</v>
      </c>
      <c r="E34918" t="s">
        <v>202</v>
      </c>
      <c r="F34918" s="2" t="str">
        <f>HYPERLINK("http://www.otzar.org/book.asp?172001","קובץ דרכי תורה - ב")</f>
        <v>קובץ דרכי תורה - ב</v>
      </c>
    </row>
    <row r="34919" spans="1:6" x14ac:dyDescent="0.2">
      <c r="A34919" t="s">
        <v>54064</v>
      </c>
      <c r="B34919" t="s">
        <v>54064</v>
      </c>
      <c r="C34919" t="s">
        <v>313</v>
      </c>
      <c r="D34919" t="s">
        <v>14</v>
      </c>
      <c r="E34919" t="s">
        <v>1262</v>
      </c>
      <c r="F34919" s="2" t="str">
        <f>HYPERLINK("http://www.otzar.org/book.asp?153042","קובץ דרשות רבני מצרים")</f>
        <v>קובץ דרשות רבני מצרים</v>
      </c>
    </row>
    <row r="34920" spans="1:6" x14ac:dyDescent="0.2">
      <c r="A34920" t="s">
        <v>54065</v>
      </c>
      <c r="B34920" t="s">
        <v>54066</v>
      </c>
      <c r="C34920" t="s">
        <v>103</v>
      </c>
      <c r="D34920" t="s">
        <v>1156</v>
      </c>
      <c r="E34920" t="s">
        <v>202</v>
      </c>
      <c r="F34920" s="2" t="str">
        <f>HYPERLINK("http://www.otzar.org/book.asp?169012","קובץ האילן - 3 כר'")</f>
        <v>קובץ האילן - 3 כר'</v>
      </c>
    </row>
    <row r="34921" spans="1:6" x14ac:dyDescent="0.2">
      <c r="A34921" t="s">
        <v>54067</v>
      </c>
      <c r="B34921" t="s">
        <v>54068</v>
      </c>
      <c r="C34921" t="s">
        <v>244</v>
      </c>
      <c r="D34921" t="s">
        <v>5172</v>
      </c>
      <c r="E34921" t="s">
        <v>246</v>
      </c>
      <c r="F34921" s="2" t="str">
        <f>HYPERLINK("http://www.otzar.org/book.asp?620810","קובץ הדור קבלוה")</f>
        <v>קובץ הדור קבלוה</v>
      </c>
    </row>
    <row r="34922" spans="1:6" x14ac:dyDescent="0.2">
      <c r="A34922" t="s">
        <v>54069</v>
      </c>
      <c r="B34922" t="s">
        <v>1750</v>
      </c>
      <c r="C34922" t="s">
        <v>129</v>
      </c>
      <c r="E34922" t="s">
        <v>202</v>
      </c>
      <c r="F34922" s="2" t="str">
        <f>HYPERLINK("http://www.otzar.org/book.asp?61310","קובץ הדרת קדש - 2 כר'")</f>
        <v>קובץ הדרת קדש - 2 כר'</v>
      </c>
    </row>
    <row r="34923" spans="1:6" x14ac:dyDescent="0.2">
      <c r="A34923" t="s">
        <v>54070</v>
      </c>
      <c r="B34923" t="s">
        <v>365</v>
      </c>
      <c r="C34923" t="s">
        <v>133</v>
      </c>
      <c r="D34923" t="s">
        <v>367</v>
      </c>
      <c r="E34923" t="s">
        <v>144</v>
      </c>
      <c r="F34923" s="2" t="str">
        <f>HYPERLINK("http://www.otzar.org/book.asp?176154","קובץ הידיעות")</f>
        <v>קובץ הידיעות</v>
      </c>
    </row>
    <row r="34924" spans="1:6" x14ac:dyDescent="0.2">
      <c r="A34924" t="s">
        <v>54071</v>
      </c>
      <c r="B34924" t="s">
        <v>7351</v>
      </c>
      <c r="C34924" t="s">
        <v>151</v>
      </c>
      <c r="D34924" t="s">
        <v>245</v>
      </c>
      <c r="E34924" t="s">
        <v>202</v>
      </c>
      <c r="F34924" s="2" t="str">
        <f>HYPERLINK("http://www.otzar.org/book.asp?623371","קובץ היושבת בגנים - 3 כר'")</f>
        <v>קובץ היושבת בגנים - 3 כר'</v>
      </c>
    </row>
    <row r="34925" spans="1:6" x14ac:dyDescent="0.2">
      <c r="A34925" t="s">
        <v>54072</v>
      </c>
      <c r="B34925" t="s">
        <v>13716</v>
      </c>
      <c r="C34925" t="s">
        <v>1535</v>
      </c>
      <c r="D34925" t="s">
        <v>27</v>
      </c>
      <c r="F34925" s="2" t="str">
        <f>HYPERLINK("http://www.otzar.org/book.asp?198015","קובץ הירושלמי - 2 כר'")</f>
        <v>קובץ הירושלמי - 2 כר'</v>
      </c>
    </row>
    <row r="34926" spans="1:6" x14ac:dyDescent="0.2">
      <c r="A34926" t="s">
        <v>54073</v>
      </c>
      <c r="B34926" t="s">
        <v>54074</v>
      </c>
      <c r="C34926" t="s">
        <v>23</v>
      </c>
      <c r="D34926" t="s">
        <v>52</v>
      </c>
      <c r="E34926" t="s">
        <v>15</v>
      </c>
      <c r="F34926" s="2" t="str">
        <f>HYPERLINK("http://www.otzar.org/book.asp?195181","קובץ הליכות הוראה - 3 כר'")</f>
        <v>קובץ הליכות הוראה - 3 כר'</v>
      </c>
    </row>
    <row r="34927" spans="1:6" x14ac:dyDescent="0.2">
      <c r="A34927" t="s">
        <v>54075</v>
      </c>
      <c r="B34927" t="s">
        <v>54076</v>
      </c>
      <c r="C34927" t="s">
        <v>17</v>
      </c>
      <c r="D34927" t="s">
        <v>657</v>
      </c>
      <c r="E34927" t="s">
        <v>15</v>
      </c>
      <c r="F34927" s="2" t="str">
        <f>HYPERLINK("http://www.otzar.org/book.asp?158665","קובץ הלכות בדיני העולה לתורה")</f>
        <v>קובץ הלכות בדיני העולה לתורה</v>
      </c>
    </row>
    <row r="34928" spans="1:6" x14ac:dyDescent="0.2">
      <c r="A34928" t="s">
        <v>54077</v>
      </c>
      <c r="B34928" t="s">
        <v>19625</v>
      </c>
      <c r="C34928" t="s">
        <v>20</v>
      </c>
      <c r="D34928" t="s">
        <v>118</v>
      </c>
      <c r="E34928" t="s">
        <v>130</v>
      </c>
      <c r="F34928" s="2" t="str">
        <f>HYPERLINK("http://www.otzar.org/book.asp?160569","קובץ הלכות בין המצרים")</f>
        <v>קובץ הלכות בין המצרים</v>
      </c>
    </row>
    <row r="34929" spans="1:6" x14ac:dyDescent="0.2">
      <c r="A34929" t="s">
        <v>54078</v>
      </c>
      <c r="B34929" t="s">
        <v>54079</v>
      </c>
      <c r="C34929" t="s">
        <v>23</v>
      </c>
      <c r="D34929" t="s">
        <v>90</v>
      </c>
      <c r="E34929" t="s">
        <v>246</v>
      </c>
      <c r="F34929" s="2" t="str">
        <f>HYPERLINK("http://www.otzar.org/book.asp?606974","קובץ הלכות ומאמרים לחג השבועות")</f>
        <v>קובץ הלכות ומאמרים לחג השבועות</v>
      </c>
    </row>
    <row r="34930" spans="1:6" x14ac:dyDescent="0.2">
      <c r="A34930" t="s">
        <v>54080</v>
      </c>
      <c r="B34930" t="s">
        <v>15402</v>
      </c>
      <c r="C34930" t="s">
        <v>20</v>
      </c>
      <c r="D34930" t="s">
        <v>412</v>
      </c>
      <c r="E34930" t="s">
        <v>15</v>
      </c>
      <c r="F34930" s="2" t="str">
        <f>HYPERLINK("http://www.otzar.org/book.asp?148572","קובץ הלכות למעונות הקיץ")</f>
        <v>קובץ הלכות למעונות הקיץ</v>
      </c>
    </row>
    <row r="34931" spans="1:6" x14ac:dyDescent="0.2">
      <c r="A34931" t="s">
        <v>54081</v>
      </c>
      <c r="B34931" t="s">
        <v>15402</v>
      </c>
      <c r="C34931" t="s">
        <v>189</v>
      </c>
      <c r="D34931" t="s">
        <v>412</v>
      </c>
      <c r="E34931" t="s">
        <v>130</v>
      </c>
      <c r="F34931" s="2" t="str">
        <f>HYPERLINK("http://www.otzar.org/book.asp?52588","קובץ הלכות לערב פסח שחל בשבת")</f>
        <v>קובץ הלכות לערב פסח שחל בשבת</v>
      </c>
    </row>
    <row r="34932" spans="1:6" x14ac:dyDescent="0.2">
      <c r="A34932" t="s">
        <v>54082</v>
      </c>
      <c r="B34932" t="s">
        <v>39501</v>
      </c>
      <c r="C34932" t="s">
        <v>37</v>
      </c>
      <c r="D34932" t="s">
        <v>14</v>
      </c>
      <c r="E34932" t="s">
        <v>15</v>
      </c>
      <c r="F34932" s="2" t="str">
        <f>HYPERLINK("http://www.otzar.org/book.asp?179556","קובץ הלכות מקוואות השלם")</f>
        <v>קובץ הלכות מקוואות השלם</v>
      </c>
    </row>
    <row r="34933" spans="1:6" x14ac:dyDescent="0.2">
      <c r="A34933" t="s">
        <v>54083</v>
      </c>
      <c r="B34933" t="s">
        <v>54084</v>
      </c>
      <c r="C34933" t="s">
        <v>17</v>
      </c>
      <c r="D34933" t="s">
        <v>90</v>
      </c>
      <c r="E34933" t="s">
        <v>130</v>
      </c>
      <c r="F34933" s="2" t="str">
        <f>HYPERLINK("http://www.otzar.org/book.asp?161553","קובץ הלכות נר חנוכה")</f>
        <v>קובץ הלכות נר חנוכה</v>
      </c>
    </row>
    <row r="34934" spans="1:6" x14ac:dyDescent="0.2">
      <c r="A34934" t="s">
        <v>54085</v>
      </c>
      <c r="B34934" t="s">
        <v>54086</v>
      </c>
      <c r="D34934" t="s">
        <v>245</v>
      </c>
      <c r="E34934" t="s">
        <v>130</v>
      </c>
      <c r="F34934" s="2" t="str">
        <f>HYPERLINK("http://www.otzar.org/book.asp?180926","קובץ הלכות פסקי רבי שמואל קמנצקי - 8 כר'")</f>
        <v>קובץ הלכות פסקי רבי שמואל קמנצקי - 8 כר'</v>
      </c>
    </row>
    <row r="34935" spans="1:6" x14ac:dyDescent="0.2">
      <c r="A34935" t="s">
        <v>54087</v>
      </c>
      <c r="B34935" t="s">
        <v>54088</v>
      </c>
      <c r="C34935" t="s">
        <v>366</v>
      </c>
      <c r="D34935" t="s">
        <v>245</v>
      </c>
      <c r="E34935" t="s">
        <v>15</v>
      </c>
      <c r="F34935" s="2" t="str">
        <f>HYPERLINK("http://www.otzar.org/book.asp?607212","קובץ הלכות רבית ברכת אליהו")</f>
        <v>קובץ הלכות רבית ברכת אליהו</v>
      </c>
    </row>
    <row r="34936" spans="1:6" x14ac:dyDescent="0.2">
      <c r="A34936" t="s">
        <v>54089</v>
      </c>
      <c r="B34936" t="s">
        <v>1750</v>
      </c>
      <c r="C34936" t="s">
        <v>51</v>
      </c>
      <c r="D34936" t="s">
        <v>14</v>
      </c>
      <c r="E34936" t="s">
        <v>4022</v>
      </c>
      <c r="F34936" s="2" t="str">
        <f>HYPERLINK("http://www.otzar.org/book.asp?108639","קובץ המועדים - 8 כר'")</f>
        <v>קובץ המועדים - 8 כר'</v>
      </c>
    </row>
    <row r="34937" spans="1:6" x14ac:dyDescent="0.2">
      <c r="A34937" t="s">
        <v>54090</v>
      </c>
      <c r="B34937" t="s">
        <v>20330</v>
      </c>
      <c r="C34937" t="s">
        <v>151</v>
      </c>
      <c r="D34937" t="s">
        <v>1974</v>
      </c>
      <c r="E34937" t="s">
        <v>241</v>
      </c>
      <c r="F34937" s="2" t="str">
        <f>HYPERLINK("http://www.otzar.org/book.asp?621161","קובץ הנהגות - תפילה")</f>
        <v>קובץ הנהגות - תפילה</v>
      </c>
    </row>
    <row r="34938" spans="1:6" x14ac:dyDescent="0.2">
      <c r="A34938" t="s">
        <v>54091</v>
      </c>
      <c r="B34938" t="s">
        <v>489</v>
      </c>
      <c r="F34938" s="2" t="str">
        <f>HYPERLINK("http://www.otzar.org/book.asp?610742","קובץ הנחמדים מזהב")</f>
        <v>קובץ הנחמדים מזהב</v>
      </c>
    </row>
    <row r="34939" spans="1:6" x14ac:dyDescent="0.2">
      <c r="A34939" t="s">
        <v>54092</v>
      </c>
      <c r="B34939" t="s">
        <v>54093</v>
      </c>
      <c r="C34939" t="s">
        <v>151</v>
      </c>
      <c r="D34939" t="s">
        <v>152</v>
      </c>
      <c r="F34939" s="2" t="str">
        <f>HYPERLINK("http://www.otzar.org/book.asp?612785","קובץ הספדים ליום ח' בתמוז")</f>
        <v>קובץ הספדים ליום ח' בתמוז</v>
      </c>
    </row>
    <row r="34940" spans="1:6" x14ac:dyDescent="0.2">
      <c r="A34940" t="s">
        <v>54094</v>
      </c>
      <c r="B34940" t="s">
        <v>54095</v>
      </c>
      <c r="C34940" t="s">
        <v>1562</v>
      </c>
      <c r="D34940" t="s">
        <v>24677</v>
      </c>
      <c r="F34940" s="2" t="str">
        <f>HYPERLINK("http://www.otzar.org/book.asp?605141","קובץ הסתדרותי")</f>
        <v>קובץ הסתדרותי</v>
      </c>
    </row>
    <row r="34941" spans="1:6" x14ac:dyDescent="0.2">
      <c r="A34941" t="s">
        <v>54096</v>
      </c>
      <c r="B34941" t="s">
        <v>54097</v>
      </c>
      <c r="C34941" t="s">
        <v>13</v>
      </c>
      <c r="D34941" t="s">
        <v>14</v>
      </c>
      <c r="E34941" t="s">
        <v>148</v>
      </c>
      <c r="F34941" s="2" t="str">
        <f>HYPERLINK("http://www.otzar.org/book.asp?156684","קובץ העזר - 6 כר'")</f>
        <v>קובץ העזר - 6 כר'</v>
      </c>
    </row>
    <row r="34942" spans="1:6" x14ac:dyDescent="0.2">
      <c r="A34942" t="s">
        <v>54098</v>
      </c>
      <c r="B34942" t="s">
        <v>20373</v>
      </c>
      <c r="C34942" t="s">
        <v>20</v>
      </c>
      <c r="D34942" t="s">
        <v>90</v>
      </c>
      <c r="E34942" t="s">
        <v>202</v>
      </c>
      <c r="F34942" s="2" t="str">
        <f>HYPERLINK("http://www.otzar.org/book.asp?627541","קובץ הענינים")</f>
        <v>קובץ הענינים</v>
      </c>
    </row>
    <row r="34943" spans="1:6" x14ac:dyDescent="0.2">
      <c r="A34943" t="s">
        <v>54099</v>
      </c>
      <c r="B34943" t="s">
        <v>54100</v>
      </c>
      <c r="C34943" t="s">
        <v>366</v>
      </c>
      <c r="D34943" t="s">
        <v>1511</v>
      </c>
      <c r="F34943" s="2" t="str">
        <f>HYPERLINK("http://www.otzar.org/book.asp?609772","קובץ הערה יומית - 3 כר'")</f>
        <v>קובץ הערה יומית - 3 כר'</v>
      </c>
    </row>
    <row r="34944" spans="1:6" x14ac:dyDescent="0.2">
      <c r="A34944" t="s">
        <v>54101</v>
      </c>
      <c r="B34944" t="s">
        <v>54102</v>
      </c>
      <c r="C34944" t="s">
        <v>422</v>
      </c>
      <c r="D34944" t="s">
        <v>276</v>
      </c>
      <c r="F34944" s="2" t="str">
        <f>HYPERLINK("http://www.otzar.org/book.asp?194713","קובץ הערות בית הסופר")</f>
        <v>קובץ הערות בית הסופר</v>
      </c>
    </row>
    <row r="34945" spans="1:6" x14ac:dyDescent="0.2">
      <c r="A34945" t="s">
        <v>54103</v>
      </c>
      <c r="B34945" t="s">
        <v>54104</v>
      </c>
      <c r="C34945" t="s">
        <v>454</v>
      </c>
      <c r="D34945" t="s">
        <v>21</v>
      </c>
      <c r="E34945" t="s">
        <v>202</v>
      </c>
      <c r="F34945" s="2" t="str">
        <f>HYPERLINK("http://www.otzar.org/book.asp?603509","קובץ הערות וביאורים")</f>
        <v>קובץ הערות וביאורים</v>
      </c>
    </row>
    <row r="34946" spans="1:6" x14ac:dyDescent="0.2">
      <c r="A34946" t="s">
        <v>54105</v>
      </c>
      <c r="B34946" t="s">
        <v>54106</v>
      </c>
      <c r="C34946" t="s">
        <v>20</v>
      </c>
      <c r="D34946" t="s">
        <v>14</v>
      </c>
      <c r="E34946" t="s">
        <v>144</v>
      </c>
      <c r="F34946" s="2" t="str">
        <f>HYPERLINK("http://www.otzar.org/book.asp?165300","קובץ הערות ומראה מקומות - 7 כר'")</f>
        <v>קובץ הערות ומראה מקומות - 7 כר'</v>
      </c>
    </row>
    <row r="34947" spans="1:6" x14ac:dyDescent="0.2">
      <c r="A34947" t="s">
        <v>54107</v>
      </c>
      <c r="B34947" t="s">
        <v>54108</v>
      </c>
      <c r="C34947" t="s">
        <v>103</v>
      </c>
      <c r="D34947" t="s">
        <v>52</v>
      </c>
      <c r="E34947" t="s">
        <v>144</v>
      </c>
      <c r="F34947" s="2" t="str">
        <f>HYPERLINK("http://www.otzar.org/book.asp?25894","קובץ הערות ומראי מקומות - 2 כר'")</f>
        <v>קובץ הערות ומראי מקומות - 2 כר'</v>
      </c>
    </row>
    <row r="34948" spans="1:6" x14ac:dyDescent="0.2">
      <c r="A34948" t="s">
        <v>54109</v>
      </c>
      <c r="B34948" t="s">
        <v>54110</v>
      </c>
      <c r="C34948" t="s">
        <v>51</v>
      </c>
      <c r="D34948" t="s">
        <v>52</v>
      </c>
      <c r="E34948" t="s">
        <v>144</v>
      </c>
      <c r="F34948" s="2" t="str">
        <f>HYPERLINK("http://www.otzar.org/book.asp?183264","קובץ הערות ומראי מקומות - 5 כר'")</f>
        <v>קובץ הערות ומראי מקומות - 5 כר'</v>
      </c>
    </row>
    <row r="34949" spans="1:6" x14ac:dyDescent="0.2">
      <c r="A34949" t="s">
        <v>54111</v>
      </c>
      <c r="B34949" t="s">
        <v>54112</v>
      </c>
      <c r="C34949" t="s">
        <v>189</v>
      </c>
      <c r="D34949" t="s">
        <v>52</v>
      </c>
      <c r="E34949" t="s">
        <v>144</v>
      </c>
      <c r="F34949" s="2" t="str">
        <f>HYPERLINK("http://www.otzar.org/book.asp?25892","קובץ הערות ומראי מקומות - פרק יש נוחלין")</f>
        <v>קובץ הערות ומראי מקומות - פרק יש נוחלין</v>
      </c>
    </row>
    <row r="34950" spans="1:6" x14ac:dyDescent="0.2">
      <c r="A34950" t="s">
        <v>54113</v>
      </c>
      <c r="B34950" t="s">
        <v>54114</v>
      </c>
      <c r="C34950" t="s">
        <v>103</v>
      </c>
      <c r="D34950" t="s">
        <v>52</v>
      </c>
      <c r="E34950" t="s">
        <v>144</v>
      </c>
      <c r="F34950" s="2" t="str">
        <f>HYPERLINK("http://www.otzar.org/book.asp?25899","קובץ הערות ומראי מקומות - 34 כר'")</f>
        <v>קובץ הערות ומראי מקומות - 34 כר'</v>
      </c>
    </row>
    <row r="34951" spans="1:6" x14ac:dyDescent="0.2">
      <c r="A34951" t="s">
        <v>54115</v>
      </c>
      <c r="B34951" t="s">
        <v>14293</v>
      </c>
      <c r="C34951" t="s">
        <v>114</v>
      </c>
      <c r="D34951" t="s">
        <v>14</v>
      </c>
      <c r="E34951" t="s">
        <v>158</v>
      </c>
      <c r="F34951" s="2" t="str">
        <f>HYPERLINK("http://www.otzar.org/book.asp?180731","קובץ הערות ממרן הגרי""ש אלישיב על התורה")</f>
        <v>קובץ הערות ממרן הגרי"ש אלישיב על התורה</v>
      </c>
    </row>
    <row r="34952" spans="1:6" x14ac:dyDescent="0.2">
      <c r="A34952" t="s">
        <v>54116</v>
      </c>
      <c r="B34952" t="s">
        <v>54117</v>
      </c>
      <c r="C34952" t="s">
        <v>20</v>
      </c>
      <c r="D34952" t="s">
        <v>1550</v>
      </c>
      <c r="E34952" t="s">
        <v>12419</v>
      </c>
      <c r="F34952" s="2" t="str">
        <f>HYPERLINK("http://www.otzar.org/book.asp?180432","קובץ הערות על מסכת סוכה")</f>
        <v>קובץ הערות על מסכת סוכה</v>
      </c>
    </row>
    <row r="34953" spans="1:6" x14ac:dyDescent="0.2">
      <c r="A34953" t="s">
        <v>54118</v>
      </c>
      <c r="B34953" t="s">
        <v>7306</v>
      </c>
      <c r="C34953" t="s">
        <v>189</v>
      </c>
      <c r="D34953" t="s">
        <v>14</v>
      </c>
      <c r="E34953" t="s">
        <v>144</v>
      </c>
      <c r="F34953" s="2" t="str">
        <f>HYPERLINK("http://www.otzar.org/book.asp?22796","קובץ הערות - ב""ב")</f>
        <v>קובץ הערות - ב"ב</v>
      </c>
    </row>
    <row r="34954" spans="1:6" x14ac:dyDescent="0.2">
      <c r="A34954" t="s">
        <v>54119</v>
      </c>
      <c r="B34954" t="s">
        <v>1750</v>
      </c>
      <c r="C34954" t="s">
        <v>20</v>
      </c>
      <c r="D34954" t="s">
        <v>90</v>
      </c>
      <c r="E34954" t="s">
        <v>202</v>
      </c>
      <c r="F34954" s="2" t="str">
        <f>HYPERLINK("http://www.otzar.org/book.asp?146436","קובץ העשור")</f>
        <v>קובץ העשור</v>
      </c>
    </row>
    <row r="34955" spans="1:6" x14ac:dyDescent="0.2">
      <c r="A34955" t="s">
        <v>54120</v>
      </c>
      <c r="B34955" t="s">
        <v>54121</v>
      </c>
      <c r="C34955" t="s">
        <v>146</v>
      </c>
      <c r="D34955" t="s">
        <v>80</v>
      </c>
      <c r="F34955" s="2" t="str">
        <f>HYPERLINK("http://www.otzar.org/book.asp?600280","קובץ העשרים של קרן אברהם הכהן")</f>
        <v>קובץ העשרים של קרן אברהם הכהן</v>
      </c>
    </row>
    <row r="34956" spans="1:6" x14ac:dyDescent="0.2">
      <c r="A34956" t="s">
        <v>54122</v>
      </c>
      <c r="B34956" t="s">
        <v>54123</v>
      </c>
      <c r="C34956" t="s">
        <v>427</v>
      </c>
      <c r="D34956" t="s">
        <v>412</v>
      </c>
      <c r="E34956" t="s">
        <v>172</v>
      </c>
      <c r="F34956" s="2" t="str">
        <f>HYPERLINK("http://www.otzar.org/book.asp?147912","קובץ הפוסקים - 5 כר'")</f>
        <v>קובץ הפוסקים - 5 כר'</v>
      </c>
    </row>
    <row r="34957" spans="1:6" x14ac:dyDescent="0.2">
      <c r="A34957" t="s">
        <v>54124</v>
      </c>
      <c r="B34957" t="s">
        <v>11501</v>
      </c>
      <c r="C34957" t="s">
        <v>1208</v>
      </c>
      <c r="D34957" t="s">
        <v>14</v>
      </c>
      <c r="E34957" t="s">
        <v>144</v>
      </c>
      <c r="F34957" s="2" t="str">
        <f>HYPERLINK("http://www.otzar.org/book.asp?152725","קובץ הראב""ד על ב""מ - 2 כר'")</f>
        <v>קובץ הראב"ד על ב"מ - 2 כר'</v>
      </c>
    </row>
    <row r="34958" spans="1:6" x14ac:dyDescent="0.2">
      <c r="A34958" t="s">
        <v>54125</v>
      </c>
      <c r="B34958" t="s">
        <v>54126</v>
      </c>
      <c r="C34958" t="s">
        <v>151</v>
      </c>
      <c r="D34958" t="s">
        <v>32327</v>
      </c>
      <c r="E34958" t="s">
        <v>202</v>
      </c>
      <c r="F34958" s="2" t="str">
        <f>HYPERLINK("http://www.otzar.org/book.asp?621222","קובץ הרימו נס - ב")</f>
        <v>קובץ הרימו נס - ב</v>
      </c>
    </row>
    <row r="34959" spans="1:6" x14ac:dyDescent="0.2">
      <c r="A34959" t="s">
        <v>54127</v>
      </c>
      <c r="B34959" t="s">
        <v>54128</v>
      </c>
      <c r="E34959" t="s">
        <v>234</v>
      </c>
      <c r="F34959" s="2" t="str">
        <f>HYPERLINK("http://www.otzar.org/book.asp?600409","קובץ הרמת קול דוד")</f>
        <v>קובץ הרמת קול דוד</v>
      </c>
    </row>
    <row r="34960" spans="1:6" x14ac:dyDescent="0.2">
      <c r="A34960" t="s">
        <v>54129</v>
      </c>
      <c r="B34960" t="s">
        <v>23938</v>
      </c>
      <c r="C34960" t="s">
        <v>553</v>
      </c>
      <c r="D34960" t="s">
        <v>52</v>
      </c>
      <c r="E34960" t="s">
        <v>144</v>
      </c>
      <c r="F34960" s="2" t="str">
        <f>HYPERLINK("http://www.otzar.org/book.asp?625029","קובץ השיעורים החדשים למרן הגר""ש רוזובסקי בעניני נדרים ושבועות")</f>
        <v>קובץ השיעורים החדשים למרן הגר"ש רוזובסקי בעניני נדרים ושבועות</v>
      </c>
    </row>
    <row r="34961" spans="1:6" x14ac:dyDescent="0.2">
      <c r="A34961" t="s">
        <v>54130</v>
      </c>
      <c r="B34961" t="s">
        <v>29964</v>
      </c>
      <c r="C34961" t="s">
        <v>23</v>
      </c>
      <c r="D34961" t="s">
        <v>52</v>
      </c>
      <c r="F34961" s="2" t="str">
        <f>HYPERLINK("http://www.otzar.org/book.asp?616644","קובץ השיעורים - 7 כר'")</f>
        <v>קובץ השיעורים - 7 כר'</v>
      </c>
    </row>
    <row r="34962" spans="1:6" x14ac:dyDescent="0.2">
      <c r="A34962" t="s">
        <v>54131</v>
      </c>
      <c r="B34962" t="s">
        <v>1750</v>
      </c>
      <c r="C34962" t="s">
        <v>23</v>
      </c>
      <c r="D34962" t="s">
        <v>2375</v>
      </c>
      <c r="E34962" t="s">
        <v>2091</v>
      </c>
      <c r="F34962" s="2" t="str">
        <f>HYPERLINK("http://www.otzar.org/book.asp?194144","קובץ השמיטה - שנת השבע")</f>
        <v>קובץ השמיטה - שנת השבע</v>
      </c>
    </row>
    <row r="34963" spans="1:6" x14ac:dyDescent="0.2">
      <c r="A34963" t="s">
        <v>54132</v>
      </c>
      <c r="B34963" t="s">
        <v>54133</v>
      </c>
      <c r="C34963" t="s">
        <v>168</v>
      </c>
      <c r="D34963" t="s">
        <v>52</v>
      </c>
      <c r="E34963" t="s">
        <v>3790</v>
      </c>
      <c r="F34963" s="2" t="str">
        <f>HYPERLINK("http://www.otzar.org/book.asp?84594","קובץ השקפתנו")</f>
        <v>קובץ השקפתנו</v>
      </c>
    </row>
    <row r="34964" spans="1:6" x14ac:dyDescent="0.2">
      <c r="A34964" t="s">
        <v>54134</v>
      </c>
      <c r="B34964" t="s">
        <v>3288</v>
      </c>
      <c r="C34964" t="s">
        <v>3106</v>
      </c>
      <c r="D34964" t="s">
        <v>9</v>
      </c>
      <c r="E34964" t="s">
        <v>1211</v>
      </c>
      <c r="F34964" s="2" t="str">
        <f>HYPERLINK("http://www.otzar.org/book.asp?14232","קובץ התוספות - 3 כר'")</f>
        <v>קובץ התוספות - 3 כר'</v>
      </c>
    </row>
    <row r="34965" spans="1:6" x14ac:dyDescent="0.2">
      <c r="A34965" t="s">
        <v>54135</v>
      </c>
      <c r="B34965" t="s">
        <v>54136</v>
      </c>
      <c r="C34965" t="s">
        <v>3840</v>
      </c>
      <c r="D34965" t="s">
        <v>4338</v>
      </c>
      <c r="E34965" t="s">
        <v>186</v>
      </c>
      <c r="F34965" s="2" t="str">
        <f>HYPERLINK("http://www.otzar.org/book.asp?604275","קובץ התורה")</f>
        <v>קובץ התורה</v>
      </c>
    </row>
    <row r="34966" spans="1:6" x14ac:dyDescent="0.2">
      <c r="A34966" t="s">
        <v>54137</v>
      </c>
      <c r="B34966" t="s">
        <v>1750</v>
      </c>
      <c r="C34966" t="s">
        <v>114</v>
      </c>
      <c r="D34966" t="s">
        <v>412</v>
      </c>
      <c r="F34966" s="2" t="str">
        <f>HYPERLINK("http://www.otzar.org/book.asp?608825","קובץ וגילו צדיקים")</f>
        <v>קובץ וגילו צדיקים</v>
      </c>
    </row>
    <row r="34967" spans="1:6" x14ac:dyDescent="0.2">
      <c r="A34967" t="s">
        <v>54138</v>
      </c>
      <c r="B34967" t="s">
        <v>54139</v>
      </c>
      <c r="C34967" t="s">
        <v>133</v>
      </c>
      <c r="D34967" t="s">
        <v>412</v>
      </c>
      <c r="E34967" t="s">
        <v>202</v>
      </c>
      <c r="F34967" s="2" t="str">
        <f>HYPERLINK("http://www.otzar.org/book.asp?190124","קובץ ודברת בם - 10 כר'")</f>
        <v>קובץ ודברת בם - 10 כר'</v>
      </c>
    </row>
    <row r="34968" spans="1:6" x14ac:dyDescent="0.2">
      <c r="A34968" t="s">
        <v>54140</v>
      </c>
      <c r="B34968" t="s">
        <v>11099</v>
      </c>
      <c r="C34968" t="s">
        <v>852</v>
      </c>
      <c r="D34968" t="s">
        <v>383</v>
      </c>
      <c r="F34968" s="2" t="str">
        <f>HYPERLINK("http://www.otzar.org/book.asp?614544","קובץ ודברת בם")</f>
        <v>קובץ ודברת בם</v>
      </c>
    </row>
    <row r="34969" spans="1:6" x14ac:dyDescent="0.2">
      <c r="A34969" t="s">
        <v>54141</v>
      </c>
      <c r="B34969" t="s">
        <v>3768</v>
      </c>
      <c r="C34969" t="s">
        <v>422</v>
      </c>
      <c r="D34969" t="s">
        <v>14</v>
      </c>
      <c r="E34969" t="s">
        <v>246</v>
      </c>
      <c r="F34969" s="2" t="str">
        <f>HYPERLINK("http://www.otzar.org/book.asp?84989","קובץ והאר עינינו - 16 כר'")</f>
        <v>קובץ והאר עינינו - 16 כר'</v>
      </c>
    </row>
    <row r="34970" spans="1:6" x14ac:dyDescent="0.2">
      <c r="A34970" t="s">
        <v>54142</v>
      </c>
      <c r="B34970" t="s">
        <v>21698</v>
      </c>
      <c r="C34970" t="s">
        <v>313</v>
      </c>
      <c r="D34970" t="s">
        <v>646</v>
      </c>
      <c r="E34970" t="s">
        <v>202</v>
      </c>
      <c r="F34970" s="2" t="str">
        <f>HYPERLINK("http://www.otzar.org/book.asp?153335","קובץ וזרח השמש")</f>
        <v>קובץ וזרח השמש</v>
      </c>
    </row>
    <row r="34971" spans="1:6" x14ac:dyDescent="0.2">
      <c r="A34971" t="s">
        <v>54143</v>
      </c>
      <c r="B34971" t="s">
        <v>54144</v>
      </c>
      <c r="C34971" t="s">
        <v>31324</v>
      </c>
      <c r="D34971" t="s">
        <v>367</v>
      </c>
      <c r="F34971" s="2" t="str">
        <f>HYPERLINK("http://www.otzar.org/book.asp?611008","קובץ ויעמוד פנחס")</f>
        <v>קובץ ויעמוד פנחס</v>
      </c>
    </row>
    <row r="34972" spans="1:6" x14ac:dyDescent="0.2">
      <c r="A34972" t="s">
        <v>54145</v>
      </c>
      <c r="B34972" t="s">
        <v>54146</v>
      </c>
      <c r="C34972" t="s">
        <v>143</v>
      </c>
      <c r="D34972" t="s">
        <v>14</v>
      </c>
      <c r="E34972" t="s">
        <v>213</v>
      </c>
      <c r="F34972" s="2" t="str">
        <f>HYPERLINK("http://www.otzar.org/book.asp?60609","קובץ ועדים")</f>
        <v>קובץ ועדים</v>
      </c>
    </row>
    <row r="34973" spans="1:6" x14ac:dyDescent="0.2">
      <c r="A34973" t="s">
        <v>54147</v>
      </c>
      <c r="B34973" t="s">
        <v>54148</v>
      </c>
      <c r="C34973" t="s">
        <v>133</v>
      </c>
      <c r="D34973" t="s">
        <v>486</v>
      </c>
      <c r="E34973" t="s">
        <v>202</v>
      </c>
      <c r="F34973" s="2" t="str">
        <f>HYPERLINK("http://www.otzar.org/book.asp?181865","קובץ זבח תודה")</f>
        <v>קובץ זבח תודה</v>
      </c>
    </row>
    <row r="34974" spans="1:6" x14ac:dyDescent="0.2">
      <c r="A34974" t="s">
        <v>54149</v>
      </c>
      <c r="B34974" t="s">
        <v>54150</v>
      </c>
      <c r="C34974" t="s">
        <v>13</v>
      </c>
      <c r="D34974" t="s">
        <v>1156</v>
      </c>
      <c r="E34974" t="s">
        <v>202</v>
      </c>
      <c r="F34974" s="2" t="str">
        <f>HYPERLINK("http://www.otzar.org/book.asp?85647","קובץ זכור לאברהם - 8 כר'")</f>
        <v>קובץ זכור לאברהם - 8 כר'</v>
      </c>
    </row>
    <row r="34975" spans="1:6" x14ac:dyDescent="0.2">
      <c r="A34975" t="s">
        <v>54151</v>
      </c>
      <c r="C34975" t="s">
        <v>20</v>
      </c>
      <c r="D34975" t="s">
        <v>90</v>
      </c>
      <c r="F34975" s="2" t="str">
        <f>HYPERLINK("http://www.otzar.org/book.asp?622467","קובץ זכר דוד")</f>
        <v>קובץ זכר דוד</v>
      </c>
    </row>
    <row r="34976" spans="1:6" x14ac:dyDescent="0.2">
      <c r="A34976" t="s">
        <v>54152</v>
      </c>
      <c r="B34976" t="s">
        <v>54153</v>
      </c>
      <c r="C34976" t="s">
        <v>37</v>
      </c>
      <c r="D34976" t="s">
        <v>14</v>
      </c>
      <c r="E34976" t="s">
        <v>2091</v>
      </c>
      <c r="F34976" s="2" t="str">
        <f>HYPERLINK("http://www.otzar.org/book.asp?197091","קובץ זכר יוסף יצחק")</f>
        <v>קובץ זכר יוסף יצחק</v>
      </c>
    </row>
    <row r="34977" spans="1:6" x14ac:dyDescent="0.2">
      <c r="A34977" t="s">
        <v>54154</v>
      </c>
      <c r="B34977" t="s">
        <v>54155</v>
      </c>
      <c r="C34977" t="s">
        <v>103</v>
      </c>
      <c r="D34977" t="s">
        <v>852</v>
      </c>
      <c r="E34977" t="s">
        <v>202</v>
      </c>
      <c r="F34977" s="2" t="str">
        <f>HYPERLINK("http://www.otzar.org/book.asp?169135","קובץ זכרון  בהלו נרו")</f>
        <v>קובץ זכרון  בהלו נרו</v>
      </c>
    </row>
    <row r="34978" spans="1:6" x14ac:dyDescent="0.2">
      <c r="A34978" t="s">
        <v>54156</v>
      </c>
      <c r="B34978" t="s">
        <v>552</v>
      </c>
      <c r="C34978" t="s">
        <v>17</v>
      </c>
      <c r="D34978" t="s">
        <v>118</v>
      </c>
      <c r="E34978" t="s">
        <v>202</v>
      </c>
      <c r="F34978" s="2" t="str">
        <f>HYPERLINK("http://www.otzar.org/book.asp?23896","קובץ זכרון &lt;לר' נחמן הכהן אדלר&gt;")</f>
        <v>קובץ זכרון &lt;לר' נחמן הכהן אדלר&gt;</v>
      </c>
    </row>
    <row r="34979" spans="1:6" x14ac:dyDescent="0.2">
      <c r="A34979" t="s">
        <v>54157</v>
      </c>
      <c r="B34979" t="s">
        <v>1005</v>
      </c>
      <c r="C34979" t="s">
        <v>124</v>
      </c>
      <c r="D34979" t="s">
        <v>52</v>
      </c>
      <c r="E34979" t="s">
        <v>202</v>
      </c>
      <c r="F34979" s="2" t="str">
        <f>HYPERLINK("http://www.otzar.org/book.asp?143871","קובץ זכרון &lt;לזכרה של מרת אסתר פינשטיין&gt;")</f>
        <v>קובץ זכרון &lt;לזכרה של מרת אסתר פינשטיין&gt;</v>
      </c>
    </row>
    <row r="34980" spans="1:6" x14ac:dyDescent="0.2">
      <c r="A34980" t="s">
        <v>54158</v>
      </c>
      <c r="B34980" t="s">
        <v>54159</v>
      </c>
      <c r="C34980" t="s">
        <v>23</v>
      </c>
      <c r="D34980" t="s">
        <v>21</v>
      </c>
      <c r="F34980" s="2" t="str">
        <f>HYPERLINK("http://www.otzar.org/book.asp?192672","קובץ זכרון אברהם שמואל")</f>
        <v>קובץ זכרון אברהם שמואל</v>
      </c>
    </row>
    <row r="34981" spans="1:6" x14ac:dyDescent="0.2">
      <c r="A34981" t="s">
        <v>54160</v>
      </c>
      <c r="B34981" t="s">
        <v>1005</v>
      </c>
      <c r="C34981" t="s">
        <v>2132</v>
      </c>
      <c r="D34981" t="s">
        <v>52</v>
      </c>
      <c r="E34981" t="s">
        <v>202</v>
      </c>
      <c r="F34981" s="2" t="str">
        <f>HYPERLINK("http://www.otzar.org/book.asp?624707","קובץ זכרון אברהם")</f>
        <v>קובץ זכרון אברהם</v>
      </c>
    </row>
    <row r="34982" spans="1:6" x14ac:dyDescent="0.2">
      <c r="A34982" t="s">
        <v>54161</v>
      </c>
      <c r="B34982" t="s">
        <v>54162</v>
      </c>
      <c r="C34982" t="s">
        <v>71</v>
      </c>
      <c r="D34982" t="s">
        <v>54163</v>
      </c>
      <c r="F34982" s="2" t="str">
        <f>HYPERLINK("http://www.otzar.org/book.asp?629924","קובץ זכרון אהל לאה")</f>
        <v>קובץ זכרון אהל לאה</v>
      </c>
    </row>
    <row r="34983" spans="1:6" x14ac:dyDescent="0.2">
      <c r="A34983" t="s">
        <v>54164</v>
      </c>
      <c r="B34983" t="s">
        <v>54165</v>
      </c>
      <c r="C34983" t="s">
        <v>20</v>
      </c>
      <c r="D34983" t="s">
        <v>412</v>
      </c>
      <c r="E34983" t="s">
        <v>202</v>
      </c>
      <c r="F34983" s="2" t="str">
        <f>HYPERLINK("http://www.otzar.org/book.asp?624551","קובץ זכרון אהרן")</f>
        <v>קובץ זכרון אהרן</v>
      </c>
    </row>
    <row r="34984" spans="1:6" x14ac:dyDescent="0.2">
      <c r="A34984" t="s">
        <v>54166</v>
      </c>
      <c r="B34984" t="s">
        <v>54167</v>
      </c>
      <c r="E34984" t="s">
        <v>384</v>
      </c>
      <c r="F34984" s="2" t="str">
        <f>HYPERLINK("http://www.otzar.org/book.asp?625565","קובץ זכרון אמת ליעקב")</f>
        <v>קובץ זכרון אמת ליעקב</v>
      </c>
    </row>
    <row r="34985" spans="1:6" x14ac:dyDescent="0.2">
      <c r="A34985" t="s">
        <v>54168</v>
      </c>
      <c r="B34985" t="s">
        <v>54169</v>
      </c>
      <c r="C34985" t="s">
        <v>785</v>
      </c>
      <c r="D34985" t="s">
        <v>14</v>
      </c>
      <c r="E34985" t="s">
        <v>202</v>
      </c>
      <c r="F34985" s="2" t="str">
        <f>HYPERLINK("http://www.otzar.org/book.asp?624949","קובץ זכרון אש תמיד - א")</f>
        <v>קובץ זכרון אש תמיד - א</v>
      </c>
    </row>
    <row r="34986" spans="1:6" x14ac:dyDescent="0.2">
      <c r="A34986" t="s">
        <v>54170</v>
      </c>
      <c r="B34986" t="s">
        <v>54171</v>
      </c>
      <c r="C34986" t="s">
        <v>767</v>
      </c>
      <c r="D34986" t="s">
        <v>52</v>
      </c>
      <c r="E34986" t="s">
        <v>1174</v>
      </c>
      <c r="F34986" s="2" t="str">
        <f>HYPERLINK("http://www.otzar.org/book.asp?171209","קובץ זכרון בית שטפינשט")</f>
        <v>קובץ זכרון בית שטפינשט</v>
      </c>
    </row>
    <row r="34987" spans="1:6" x14ac:dyDescent="0.2">
      <c r="A34987" t="s">
        <v>54172</v>
      </c>
      <c r="B34987" t="s">
        <v>54173</v>
      </c>
      <c r="C34987" t="s">
        <v>114</v>
      </c>
      <c r="D34987" t="s">
        <v>14</v>
      </c>
      <c r="E34987" t="s">
        <v>202</v>
      </c>
      <c r="F34987" s="2" t="str">
        <f>HYPERLINK("http://www.otzar.org/book.asp?166475","קובץ זכרון ברכת אברהם")</f>
        <v>קובץ זכרון ברכת אברהם</v>
      </c>
    </row>
    <row r="34988" spans="1:6" x14ac:dyDescent="0.2">
      <c r="A34988" t="s">
        <v>54174</v>
      </c>
      <c r="B34988" t="s">
        <v>54175</v>
      </c>
      <c r="C34988" t="s">
        <v>244</v>
      </c>
      <c r="D34988" t="s">
        <v>412</v>
      </c>
      <c r="F34988" s="2" t="str">
        <f>HYPERLINK("http://www.otzar.org/book.asp?610660","קובץ זכרון הדסה")</f>
        <v>קובץ זכרון הדסה</v>
      </c>
    </row>
    <row r="34989" spans="1:6" x14ac:dyDescent="0.2">
      <c r="A34989" t="s">
        <v>54176</v>
      </c>
      <c r="B34989" t="s">
        <v>54177</v>
      </c>
      <c r="C34989" t="s">
        <v>454</v>
      </c>
      <c r="D34989" t="s">
        <v>21</v>
      </c>
      <c r="E34989" t="s">
        <v>202</v>
      </c>
      <c r="F34989" s="2" t="str">
        <f>HYPERLINK("http://www.otzar.org/book.asp?195549","קובץ זכרון זכור לאברהם")</f>
        <v>קובץ זכרון זכור לאברהם</v>
      </c>
    </row>
    <row r="34990" spans="1:6" x14ac:dyDescent="0.2">
      <c r="A34990" t="s">
        <v>54178</v>
      </c>
      <c r="B34990" t="s">
        <v>54179</v>
      </c>
      <c r="E34990" t="s">
        <v>234</v>
      </c>
      <c r="F34990" s="2" t="str">
        <f>HYPERLINK("http://www.otzar.org/book.asp?628020","קובץ זכרון זכר אהרן")</f>
        <v>קובץ זכרון זכר אהרן</v>
      </c>
    </row>
    <row r="34991" spans="1:6" x14ac:dyDescent="0.2">
      <c r="A34991" t="s">
        <v>54180</v>
      </c>
      <c r="B34991" t="s">
        <v>54181</v>
      </c>
      <c r="C34991" t="s">
        <v>103</v>
      </c>
      <c r="D34991" t="s">
        <v>657</v>
      </c>
      <c r="E34991" t="s">
        <v>144</v>
      </c>
      <c r="F34991" s="2" t="str">
        <f>HYPERLINK("http://www.otzar.org/book.asp?159992","קובץ זכרון יהודה אהרן - נדה")</f>
        <v>קובץ זכרון יהודה אהרן - נדה</v>
      </c>
    </row>
    <row r="34992" spans="1:6" x14ac:dyDescent="0.2">
      <c r="A34992" t="s">
        <v>54182</v>
      </c>
      <c r="B34992" t="s">
        <v>54183</v>
      </c>
      <c r="C34992" t="s">
        <v>13</v>
      </c>
      <c r="D34992" t="s">
        <v>14</v>
      </c>
      <c r="E34992" t="s">
        <v>186</v>
      </c>
      <c r="F34992" s="2" t="str">
        <f>HYPERLINK("http://www.otzar.org/book.asp?161011","קובץ זכרון יהודה - 2 כר'")</f>
        <v>קובץ זכרון יהודה - 2 כר'</v>
      </c>
    </row>
    <row r="34993" spans="1:6" x14ac:dyDescent="0.2">
      <c r="A34993" t="s">
        <v>54184</v>
      </c>
      <c r="B34993" t="s">
        <v>54185</v>
      </c>
      <c r="C34993" t="s">
        <v>37</v>
      </c>
      <c r="D34993" t="s">
        <v>412</v>
      </c>
      <c r="E34993" t="s">
        <v>202</v>
      </c>
      <c r="F34993" s="2" t="str">
        <f>HYPERLINK("http://www.otzar.org/book.asp?180459","קובץ זכרון יהודה")</f>
        <v>קובץ זכרון יהודה</v>
      </c>
    </row>
    <row r="34994" spans="1:6" x14ac:dyDescent="0.2">
      <c r="A34994" t="s">
        <v>54186</v>
      </c>
      <c r="B34994" t="s">
        <v>54187</v>
      </c>
      <c r="C34994" t="s">
        <v>454</v>
      </c>
      <c r="D34994" t="s">
        <v>6283</v>
      </c>
      <c r="E34994" t="s">
        <v>186</v>
      </c>
      <c r="F34994" s="2" t="str">
        <f>HYPERLINK("http://www.otzar.org/book.asp?25824","קובץ זכרון יוסף - ב""מ")</f>
        <v>קובץ זכרון יוסף - ב"מ</v>
      </c>
    </row>
    <row r="34995" spans="1:6" x14ac:dyDescent="0.2">
      <c r="A34995" t="s">
        <v>54188</v>
      </c>
      <c r="B34995" t="s">
        <v>23513</v>
      </c>
      <c r="C34995" t="s">
        <v>20</v>
      </c>
      <c r="D34995" t="s">
        <v>152</v>
      </c>
      <c r="E34995" t="s">
        <v>202</v>
      </c>
      <c r="F34995" s="2" t="str">
        <f>HYPERLINK("http://www.otzar.org/book.asp?197306","קובץ זכרון יצחק")</f>
        <v>קובץ זכרון יצחק</v>
      </c>
    </row>
    <row r="34996" spans="1:6" x14ac:dyDescent="0.2">
      <c r="A34996" t="s">
        <v>54189</v>
      </c>
      <c r="B34996" t="s">
        <v>54190</v>
      </c>
      <c r="C34996" t="s">
        <v>20</v>
      </c>
      <c r="D34996" t="s">
        <v>90</v>
      </c>
      <c r="E34996" t="s">
        <v>202</v>
      </c>
      <c r="F34996" s="2" t="str">
        <f>HYPERLINK("http://www.otzar.org/book.asp?166979","קובץ זכרון ישעיהו")</f>
        <v>קובץ זכרון ישעיהו</v>
      </c>
    </row>
    <row r="34997" spans="1:6" x14ac:dyDescent="0.2">
      <c r="A34997" t="s">
        <v>54191</v>
      </c>
      <c r="B34997" t="s">
        <v>54192</v>
      </c>
      <c r="C34997" t="s">
        <v>244</v>
      </c>
      <c r="D34997" t="s">
        <v>21</v>
      </c>
      <c r="F34997" s="2" t="str">
        <f>HYPERLINK("http://www.otzar.org/book.asp?601120","קובץ זכרון ישראל מאיר")</f>
        <v>קובץ זכרון ישראל מאיר</v>
      </c>
    </row>
    <row r="34998" spans="1:6" x14ac:dyDescent="0.2">
      <c r="A34998" t="s">
        <v>54193</v>
      </c>
      <c r="B34998" t="s">
        <v>1005</v>
      </c>
      <c r="C34998" t="s">
        <v>523</v>
      </c>
      <c r="D34998" t="s">
        <v>52</v>
      </c>
      <c r="E34998" t="s">
        <v>202</v>
      </c>
      <c r="F34998" s="2" t="str">
        <f>HYPERLINK("http://www.otzar.org/book.asp?172153","קובץ זכרון לב אבות")</f>
        <v>קובץ זכרון לב אבות</v>
      </c>
    </row>
    <row r="34999" spans="1:6" x14ac:dyDescent="0.2">
      <c r="A34999" t="s">
        <v>54194</v>
      </c>
      <c r="B34999" t="s">
        <v>19016</v>
      </c>
      <c r="C34999" t="s">
        <v>334</v>
      </c>
      <c r="D34999" t="s">
        <v>52</v>
      </c>
      <c r="E34999" t="s">
        <v>202</v>
      </c>
      <c r="F34999" s="2" t="str">
        <f>HYPERLINK("http://www.otzar.org/book.asp?160518","קובץ זכרון לרב י""א וולף")</f>
        <v>קובץ זכרון לרב י"א וולף</v>
      </c>
    </row>
    <row r="35000" spans="1:6" x14ac:dyDescent="0.2">
      <c r="A35000" t="s">
        <v>54195</v>
      </c>
      <c r="B35000" t="s">
        <v>1005</v>
      </c>
      <c r="C35000" t="s">
        <v>20</v>
      </c>
      <c r="D35000" t="s">
        <v>90</v>
      </c>
      <c r="E35000" t="s">
        <v>202</v>
      </c>
      <c r="F35000" s="2" t="str">
        <f>HYPERLINK("http://www.otzar.org/book.asp?195547","קובץ זכרון לרב ראובן שנקלובסקי")</f>
        <v>קובץ זכרון לרב ראובן שנקלובסקי</v>
      </c>
    </row>
    <row r="35001" spans="1:6" x14ac:dyDescent="0.2">
      <c r="A35001" t="s">
        <v>54196</v>
      </c>
      <c r="B35001" t="s">
        <v>552</v>
      </c>
      <c r="C35001" t="s">
        <v>553</v>
      </c>
      <c r="D35001" t="s">
        <v>14</v>
      </c>
      <c r="E35001" t="s">
        <v>202</v>
      </c>
      <c r="F35001" s="2" t="str">
        <f>HYPERLINK("http://www.otzar.org/book.asp?175776","קובץ זכרון לרב שמעון כץ")</f>
        <v>קובץ זכרון לרב שמעון כץ</v>
      </c>
    </row>
    <row r="35002" spans="1:6" x14ac:dyDescent="0.2">
      <c r="A35002" t="s">
        <v>54197</v>
      </c>
      <c r="B35002" t="s">
        <v>54198</v>
      </c>
      <c r="E35002" t="s">
        <v>202</v>
      </c>
      <c r="F35002" s="2" t="str">
        <f>HYPERLINK("http://www.otzar.org/book.asp?626444","קובץ זכרון מבקש השם")</f>
        <v>קובץ זכרון מבקש השם</v>
      </c>
    </row>
    <row r="35003" spans="1:6" x14ac:dyDescent="0.2">
      <c r="A35003" t="s">
        <v>54199</v>
      </c>
      <c r="B35003" t="s">
        <v>54200</v>
      </c>
      <c r="C35003" t="s">
        <v>13</v>
      </c>
      <c r="D35003" t="s">
        <v>90</v>
      </c>
      <c r="F35003" s="2" t="str">
        <f>HYPERLINK("http://www.otzar.org/book.asp?611064","קובץ זכרון מקור הברכה")</f>
        <v>קובץ זכרון מקור הברכה</v>
      </c>
    </row>
    <row r="35004" spans="1:6" x14ac:dyDescent="0.2">
      <c r="A35004" t="s">
        <v>54201</v>
      </c>
      <c r="B35004" t="s">
        <v>1750</v>
      </c>
      <c r="C35004" t="s">
        <v>20</v>
      </c>
      <c r="D35004" t="s">
        <v>90</v>
      </c>
      <c r="E35004" t="s">
        <v>202</v>
      </c>
      <c r="F35004" s="2" t="str">
        <f>HYPERLINK("http://www.otzar.org/book.asp?197232","קובץ זכרון מרדכי")</f>
        <v>קובץ זכרון מרדכי</v>
      </c>
    </row>
    <row r="35005" spans="1:6" x14ac:dyDescent="0.2">
      <c r="A35005" t="s">
        <v>54202</v>
      </c>
      <c r="B35005" t="s">
        <v>54203</v>
      </c>
      <c r="C35005" t="s">
        <v>189</v>
      </c>
      <c r="D35005" t="s">
        <v>52</v>
      </c>
      <c r="F35005" s="2" t="str">
        <f>HYPERLINK("http://www.otzar.org/book.asp?630372","קובץ זכרון נחלת יעקב")</f>
        <v>קובץ זכרון נחלת יעקב</v>
      </c>
    </row>
    <row r="35006" spans="1:6" x14ac:dyDescent="0.2">
      <c r="A35006" t="s">
        <v>54204</v>
      </c>
      <c r="B35006" t="s">
        <v>54205</v>
      </c>
      <c r="C35006" t="s">
        <v>411</v>
      </c>
      <c r="D35006" t="s">
        <v>90</v>
      </c>
      <c r="E35006" t="s">
        <v>202</v>
      </c>
      <c r="F35006" s="2" t="str">
        <f>HYPERLINK("http://www.otzar.org/book.asp?608103","קובץ זכרון נר לדוד")</f>
        <v>קובץ זכרון נר לדוד</v>
      </c>
    </row>
    <row r="35007" spans="1:6" x14ac:dyDescent="0.2">
      <c r="A35007" t="s">
        <v>54206</v>
      </c>
      <c r="B35007" t="s">
        <v>54207</v>
      </c>
      <c r="C35007" t="s">
        <v>466</v>
      </c>
      <c r="D35007" t="s">
        <v>52</v>
      </c>
      <c r="E35007" t="s">
        <v>202</v>
      </c>
      <c r="F35007" s="2" t="str">
        <f>HYPERLINK("http://www.otzar.org/book.asp?629248","קובץ זכרון עטרת משה")</f>
        <v>קובץ זכרון עטרת משה</v>
      </c>
    </row>
    <row r="35008" spans="1:6" x14ac:dyDescent="0.2">
      <c r="A35008" t="s">
        <v>54208</v>
      </c>
      <c r="B35008" t="s">
        <v>1750</v>
      </c>
      <c r="C35008" t="s">
        <v>422</v>
      </c>
      <c r="D35008" t="s">
        <v>21</v>
      </c>
      <c r="E35008" t="s">
        <v>4022</v>
      </c>
      <c r="F35008" s="2" t="str">
        <f>HYPERLINK("http://www.otzar.org/book.asp?190979","קובץ זכרון עין יפה")</f>
        <v>קובץ זכרון עין יפה</v>
      </c>
    </row>
    <row r="35009" spans="1:6" x14ac:dyDescent="0.2">
      <c r="A35009" t="s">
        <v>54209</v>
      </c>
      <c r="B35009" t="s">
        <v>54210</v>
      </c>
      <c r="C35009" t="s">
        <v>146</v>
      </c>
      <c r="D35009" t="s">
        <v>52</v>
      </c>
      <c r="E35009" t="s">
        <v>202</v>
      </c>
      <c r="F35009" s="2" t="str">
        <f>HYPERLINK("http://www.otzar.org/book.asp?150586","קובץ זכרון על אם הדרך")</f>
        <v>קובץ זכרון על אם הדרך</v>
      </c>
    </row>
    <row r="35010" spans="1:6" x14ac:dyDescent="0.2">
      <c r="A35010" t="s">
        <v>54211</v>
      </c>
      <c r="B35010" t="s">
        <v>54212</v>
      </c>
      <c r="C35010" t="s">
        <v>244</v>
      </c>
      <c r="D35010" t="s">
        <v>21</v>
      </c>
      <c r="E35010" t="s">
        <v>202</v>
      </c>
      <c r="F35010" s="2" t="str">
        <f>HYPERLINK("http://www.otzar.org/book.asp?604232","קובץ זכרון צבי - ענייני שומרים")</f>
        <v>קובץ זכרון צבי - ענייני שומרים</v>
      </c>
    </row>
    <row r="35011" spans="1:6" x14ac:dyDescent="0.2">
      <c r="A35011" t="s">
        <v>54213</v>
      </c>
      <c r="B35011" t="s">
        <v>1005</v>
      </c>
      <c r="C35011" t="s">
        <v>129</v>
      </c>
      <c r="D35011" t="s">
        <v>9909</v>
      </c>
      <c r="E35011" t="s">
        <v>202</v>
      </c>
      <c r="F35011" s="2" t="str">
        <f>HYPERLINK("http://www.otzar.org/book.asp?61420","קובץ זכרון ראש פינה")</f>
        <v>קובץ זכרון ראש פינה</v>
      </c>
    </row>
    <row r="35012" spans="1:6" x14ac:dyDescent="0.2">
      <c r="A35012" t="s">
        <v>54214</v>
      </c>
      <c r="B35012" t="s">
        <v>54215</v>
      </c>
      <c r="C35012" t="s">
        <v>20</v>
      </c>
      <c r="D35012" t="s">
        <v>90</v>
      </c>
      <c r="E35012" t="s">
        <v>202</v>
      </c>
      <c r="F35012" s="2" t="str">
        <f>HYPERLINK("http://www.otzar.org/book.asp?199694","קובץ זכרון ש""י")</f>
        <v>קובץ זכרון ש"י</v>
      </c>
    </row>
    <row r="35013" spans="1:6" x14ac:dyDescent="0.2">
      <c r="A35013" t="s">
        <v>54216</v>
      </c>
      <c r="B35013" t="s">
        <v>54217</v>
      </c>
      <c r="C35013" t="s">
        <v>23</v>
      </c>
      <c r="D35013" t="s">
        <v>852</v>
      </c>
      <c r="E35013" t="s">
        <v>202</v>
      </c>
      <c r="F35013" s="2" t="str">
        <f>HYPERLINK("http://www.otzar.org/book.asp?193893","קובץ זכרון שיר")</f>
        <v>קובץ זכרון שיר</v>
      </c>
    </row>
    <row r="35014" spans="1:6" x14ac:dyDescent="0.2">
      <c r="A35014" t="s">
        <v>54218</v>
      </c>
      <c r="B35014" t="s">
        <v>1750</v>
      </c>
      <c r="C35014" t="s">
        <v>20</v>
      </c>
      <c r="D35014" t="s">
        <v>412</v>
      </c>
      <c r="E35014" t="s">
        <v>202</v>
      </c>
      <c r="F35014" s="2" t="str">
        <f>HYPERLINK("http://www.otzar.org/book.asp?620619","קובץ זכרון שמואל")</f>
        <v>קובץ זכרון שמואל</v>
      </c>
    </row>
    <row r="35015" spans="1:6" x14ac:dyDescent="0.2">
      <c r="A35015" t="s">
        <v>54219</v>
      </c>
      <c r="B35015" t="s">
        <v>54220</v>
      </c>
      <c r="C35015" t="s">
        <v>244</v>
      </c>
      <c r="D35015" t="s">
        <v>21</v>
      </c>
      <c r="E35015" t="s">
        <v>84</v>
      </c>
      <c r="F35015" s="2" t="str">
        <f>HYPERLINK("http://www.otzar.org/book.asp?606678","קובץ זכרון שמעון - חלה")</f>
        <v>קובץ זכרון שמעון - חלה</v>
      </c>
    </row>
    <row r="35016" spans="1:6" x14ac:dyDescent="0.2">
      <c r="A35016" t="s">
        <v>54221</v>
      </c>
      <c r="B35016" t="s">
        <v>1005</v>
      </c>
      <c r="C35016" t="s">
        <v>114</v>
      </c>
      <c r="D35016" t="s">
        <v>90</v>
      </c>
      <c r="F35016" s="2" t="str">
        <f>HYPERLINK("http://www.otzar.org/book.asp?612298","קובץ זכרון שרה באהל")</f>
        <v>קובץ זכרון שרה באהל</v>
      </c>
    </row>
    <row r="35017" spans="1:6" x14ac:dyDescent="0.2">
      <c r="A35017" t="s">
        <v>54222</v>
      </c>
      <c r="B35017" t="s">
        <v>1681</v>
      </c>
      <c r="C35017" t="s">
        <v>366</v>
      </c>
      <c r="D35017" t="s">
        <v>80</v>
      </c>
      <c r="E35017" t="s">
        <v>15</v>
      </c>
      <c r="F35017" s="2" t="str">
        <f>HYPERLINK("http://www.otzar.org/book.asp?606805","קובץ זכרון - אם בישראל")</f>
        <v>קובץ זכרון - אם בישראל</v>
      </c>
    </row>
    <row r="35018" spans="1:6" x14ac:dyDescent="0.2">
      <c r="A35018" t="s">
        <v>1005</v>
      </c>
      <c r="B35018" t="s">
        <v>54223</v>
      </c>
      <c r="C35018" t="s">
        <v>1448</v>
      </c>
      <c r="D35018" t="s">
        <v>52</v>
      </c>
      <c r="F35018" s="2" t="str">
        <f>HYPERLINK("http://www.otzar.org/book.asp?608195","קובץ זכרון")</f>
        <v>קובץ זכרון</v>
      </c>
    </row>
    <row r="35019" spans="1:6" x14ac:dyDescent="0.2">
      <c r="A35019" t="s">
        <v>54224</v>
      </c>
      <c r="B35019" t="s">
        <v>54225</v>
      </c>
      <c r="C35019" t="s">
        <v>422</v>
      </c>
      <c r="D35019" t="s">
        <v>14</v>
      </c>
      <c r="F35019" s="2" t="str">
        <f>HYPERLINK("http://www.otzar.org/book.asp?630383","קובץ זמרת חיים - 2 כר'")</f>
        <v>קובץ זמרת חיים - 2 כר'</v>
      </c>
    </row>
    <row r="35020" spans="1:6" x14ac:dyDescent="0.2">
      <c r="A35020" t="s">
        <v>54226</v>
      </c>
      <c r="B35020" t="s">
        <v>52826</v>
      </c>
      <c r="C35020" t="s">
        <v>466</v>
      </c>
      <c r="D35020" t="s">
        <v>14</v>
      </c>
      <c r="E35020" t="s">
        <v>246</v>
      </c>
      <c r="F35020" s="2" t="str">
        <f>HYPERLINK("http://www.otzar.org/book.asp?143907","קובץ זרע ציון - בעניני חנוכה ופורים")</f>
        <v>קובץ זרע ציון - בעניני חנוכה ופורים</v>
      </c>
    </row>
    <row r="35021" spans="1:6" x14ac:dyDescent="0.2">
      <c r="A35021" t="s">
        <v>54227</v>
      </c>
      <c r="B35021" t="s">
        <v>206</v>
      </c>
      <c r="C35021" t="s">
        <v>151</v>
      </c>
      <c r="D35021" t="s">
        <v>152</v>
      </c>
      <c r="F35021" s="2" t="str">
        <f>HYPERLINK("http://www.otzar.org/book.asp?613434","קובץ זרע שמואל")</f>
        <v>קובץ זרע שמואל</v>
      </c>
    </row>
    <row r="35022" spans="1:6" x14ac:dyDescent="0.2">
      <c r="A35022" t="s">
        <v>54228</v>
      </c>
      <c r="B35022" t="s">
        <v>54229</v>
      </c>
      <c r="C35022" t="s">
        <v>20</v>
      </c>
      <c r="D35022" t="s">
        <v>14</v>
      </c>
      <c r="E35022" t="s">
        <v>202</v>
      </c>
      <c r="F35022" s="2" t="str">
        <f>HYPERLINK("http://www.otzar.org/book.asp?618762","קובץ חבורות חדותא דילי - כתובות")</f>
        <v>קובץ חבורות חדותא דילי - כתובות</v>
      </c>
    </row>
    <row r="35023" spans="1:6" x14ac:dyDescent="0.2">
      <c r="A35023" t="s">
        <v>54230</v>
      </c>
      <c r="B35023" t="s">
        <v>54231</v>
      </c>
      <c r="E35023" t="s">
        <v>202</v>
      </c>
      <c r="F35023" s="2" t="str">
        <f>HYPERLINK("http://www.otzar.org/book.asp?628679","קובץ חבורות מן הבאר")</f>
        <v>קובץ חבורות מן הבאר</v>
      </c>
    </row>
    <row r="35024" spans="1:6" x14ac:dyDescent="0.2">
      <c r="A35024" t="s">
        <v>54232</v>
      </c>
      <c r="B35024" t="s">
        <v>54233</v>
      </c>
      <c r="C35024" t="s">
        <v>244</v>
      </c>
      <c r="D35024" t="s">
        <v>21</v>
      </c>
      <c r="E35024" t="s">
        <v>15</v>
      </c>
      <c r="F35024" s="2" t="str">
        <f>HYPERLINK("http://www.otzar.org/book.asp?197819","קובץ חבורות - שביעית")</f>
        <v>קובץ חבורות - שביעית</v>
      </c>
    </row>
    <row r="35025" spans="1:6" x14ac:dyDescent="0.2">
      <c r="A35025" t="s">
        <v>54234</v>
      </c>
      <c r="B35025" t="s">
        <v>16777</v>
      </c>
      <c r="C35025" t="s">
        <v>20</v>
      </c>
      <c r="D35025" t="s">
        <v>2285</v>
      </c>
      <c r="E35025" t="s">
        <v>202</v>
      </c>
      <c r="F35025" s="2" t="str">
        <f>HYPERLINK("http://www.otzar.org/book.asp?603476","קובץ חבורות - 2 כר'")</f>
        <v>קובץ חבורות - 2 כר'</v>
      </c>
    </row>
    <row r="35026" spans="1:6" x14ac:dyDescent="0.2">
      <c r="A35026" t="s">
        <v>54235</v>
      </c>
      <c r="B35026" t="s">
        <v>54236</v>
      </c>
      <c r="C35026" t="s">
        <v>23</v>
      </c>
      <c r="D35026" t="s">
        <v>21</v>
      </c>
      <c r="E35026" t="s">
        <v>186</v>
      </c>
      <c r="F35026" s="2" t="str">
        <f>HYPERLINK("http://www.otzar.org/book.asp?197764","קובץ חבורות - בבא קמא")</f>
        <v>קובץ חבורות - בבא קמא</v>
      </c>
    </row>
    <row r="35027" spans="1:6" x14ac:dyDescent="0.2">
      <c r="A35027" t="s">
        <v>54237</v>
      </c>
      <c r="B35027" t="s">
        <v>54238</v>
      </c>
      <c r="C35027" t="s">
        <v>1448</v>
      </c>
      <c r="D35027" t="s">
        <v>14</v>
      </c>
      <c r="E35027" t="s">
        <v>202</v>
      </c>
      <c r="F35027" s="2" t="str">
        <f>HYPERLINK("http://www.otzar.org/book.asp?180370","קובץ חדו""ת ישיבת מרכז התורה")</f>
        <v>קובץ חדו"ת ישיבת מרכז התורה</v>
      </c>
    </row>
    <row r="35028" spans="1:6" x14ac:dyDescent="0.2">
      <c r="A35028" t="s">
        <v>54239</v>
      </c>
      <c r="B35028" t="s">
        <v>54240</v>
      </c>
      <c r="C35028" t="s">
        <v>3205</v>
      </c>
      <c r="D35028" t="s">
        <v>52</v>
      </c>
      <c r="E35028" t="s">
        <v>202</v>
      </c>
      <c r="F35028" s="2" t="str">
        <f>HYPERLINK("http://www.otzar.org/book.asp?181242","קובץ חדו""ת עץ החיים - 7 כר'")</f>
        <v>קובץ חדו"ת עץ החיים - 7 כר'</v>
      </c>
    </row>
    <row r="35029" spans="1:6" x14ac:dyDescent="0.2">
      <c r="A35029" t="s">
        <v>54241</v>
      </c>
      <c r="B35029" t="s">
        <v>54242</v>
      </c>
      <c r="C35029" t="s">
        <v>1640</v>
      </c>
      <c r="D35029" t="s">
        <v>646</v>
      </c>
      <c r="E35029" t="s">
        <v>202</v>
      </c>
      <c r="F35029" s="2" t="str">
        <f>HYPERLINK("http://www.otzar.org/book.asp?181264","קובץ חדו""ת שנתחדשו בישיבת תורת אמת דלונדון - 3 כר'")</f>
        <v>קובץ חדו"ת שנתחדשו בישיבת תורת אמת דלונדון - 3 כר'</v>
      </c>
    </row>
    <row r="35030" spans="1:6" x14ac:dyDescent="0.2">
      <c r="A35030" t="s">
        <v>54243</v>
      </c>
      <c r="B35030" t="s">
        <v>54244</v>
      </c>
      <c r="C35030" t="s">
        <v>17</v>
      </c>
      <c r="D35030" t="s">
        <v>14</v>
      </c>
      <c r="E35030" t="s">
        <v>186</v>
      </c>
      <c r="F35030" s="2" t="str">
        <f>HYPERLINK("http://www.otzar.org/book.asp?172004","קובץ חדוותא דשמעתתא - 2 כר'")</f>
        <v>קובץ חדוותא דשמעתתא - 2 כר'</v>
      </c>
    </row>
    <row r="35031" spans="1:6" x14ac:dyDescent="0.2">
      <c r="A35031" t="s">
        <v>54245</v>
      </c>
      <c r="B35031" t="s">
        <v>54246</v>
      </c>
      <c r="C35031" t="s">
        <v>189</v>
      </c>
      <c r="D35031" t="s">
        <v>21</v>
      </c>
      <c r="E35031" t="s">
        <v>202</v>
      </c>
      <c r="F35031" s="2" t="str">
        <f>HYPERLINK("http://www.otzar.org/book.asp?197756","קובץ חדושי תורה זכרון יעקב - הל' נדה")</f>
        <v>קובץ חדושי תורה זכרון יעקב - הל' נדה</v>
      </c>
    </row>
    <row r="35032" spans="1:6" x14ac:dyDescent="0.2">
      <c r="A35032" t="s">
        <v>2119</v>
      </c>
      <c r="B35032" t="s">
        <v>54247</v>
      </c>
      <c r="C35032" t="s">
        <v>356</v>
      </c>
      <c r="D35032" t="s">
        <v>21</v>
      </c>
      <c r="F35032" s="2" t="str">
        <f>HYPERLINK("http://www.otzar.org/book.asp?614720","קובץ חדושי תורה")</f>
        <v>קובץ חדושי תורה</v>
      </c>
    </row>
    <row r="35033" spans="1:6" x14ac:dyDescent="0.2">
      <c r="A35033" t="s">
        <v>54248</v>
      </c>
      <c r="B35033" t="s">
        <v>25025</v>
      </c>
      <c r="C35033" t="s">
        <v>23</v>
      </c>
      <c r="D35033" t="s">
        <v>52</v>
      </c>
      <c r="F35033" s="2" t="str">
        <f>HYPERLINK("http://www.otzar.org/book.asp?606099","קובץ חזון אבי")</f>
        <v>קובץ חזון אבי</v>
      </c>
    </row>
    <row r="35034" spans="1:6" x14ac:dyDescent="0.2">
      <c r="A35034" t="s">
        <v>54249</v>
      </c>
      <c r="B35034" t="s">
        <v>54250</v>
      </c>
      <c r="C35034" t="s">
        <v>411</v>
      </c>
      <c r="D35034" t="s">
        <v>21</v>
      </c>
      <c r="F35034" s="2" t="str">
        <f>HYPERLINK("http://www.otzar.org/book.asp?191136","קובץ חזון יחזקאל")</f>
        <v>קובץ חזון יחזקאל</v>
      </c>
    </row>
    <row r="35035" spans="1:6" x14ac:dyDescent="0.2">
      <c r="A35035" t="s">
        <v>54251</v>
      </c>
      <c r="B35035" t="s">
        <v>3259</v>
      </c>
      <c r="C35035" t="s">
        <v>523</v>
      </c>
      <c r="D35035" t="s">
        <v>14</v>
      </c>
      <c r="E35035" t="s">
        <v>202</v>
      </c>
      <c r="F35035" s="2" t="str">
        <f>HYPERLINK("http://www.otzar.org/book.asp?149504","קובץ חזון ישעיהו - 2 כר'")</f>
        <v>קובץ חזון ישעיהו - 2 כר'</v>
      </c>
    </row>
    <row r="35036" spans="1:6" x14ac:dyDescent="0.2">
      <c r="A35036" t="s">
        <v>54252</v>
      </c>
      <c r="B35036" t="s">
        <v>54253</v>
      </c>
      <c r="C35036" t="s">
        <v>585</v>
      </c>
      <c r="D35036" t="s">
        <v>14</v>
      </c>
      <c r="E35036" t="s">
        <v>2091</v>
      </c>
      <c r="F35036" s="2" t="str">
        <f>HYPERLINK("http://www.otzar.org/book.asp?180362","קובץ חזון עובדיה - 2 כר'")</f>
        <v>קובץ חזון עובדיה - 2 כר'</v>
      </c>
    </row>
    <row r="35037" spans="1:6" x14ac:dyDescent="0.2">
      <c r="A35037" t="s">
        <v>54254</v>
      </c>
      <c r="B35037" t="s">
        <v>54255</v>
      </c>
      <c r="C35037" t="s">
        <v>454</v>
      </c>
      <c r="D35037" t="s">
        <v>14</v>
      </c>
      <c r="E35037" t="s">
        <v>186</v>
      </c>
      <c r="F35037" s="2" t="str">
        <f>HYPERLINK("http://www.otzar.org/book.asp?148581","קובץ חזון עובדיה - כתובות")</f>
        <v>קובץ חזון עובדיה - כתובות</v>
      </c>
    </row>
    <row r="35038" spans="1:6" x14ac:dyDescent="0.2">
      <c r="A35038" t="s">
        <v>54256</v>
      </c>
      <c r="B35038" t="s">
        <v>54257</v>
      </c>
      <c r="C35038" t="s">
        <v>383</v>
      </c>
      <c r="D35038" t="s">
        <v>1356</v>
      </c>
      <c r="E35038" t="s">
        <v>202</v>
      </c>
      <c r="F35038" s="2" t="str">
        <f>HYPERLINK("http://www.otzar.org/book.asp?617644","קובץ חזון שלמה")</f>
        <v>קובץ חזון שלמה</v>
      </c>
    </row>
    <row r="35039" spans="1:6" x14ac:dyDescent="0.2">
      <c r="A35039" t="s">
        <v>54258</v>
      </c>
      <c r="B35039" t="s">
        <v>17260</v>
      </c>
      <c r="C35039" t="s">
        <v>366</v>
      </c>
      <c r="D35039" t="s">
        <v>52</v>
      </c>
      <c r="F35039" s="2" t="str">
        <f>HYPERLINK("http://www.otzar.org/book.asp?609682","קובץ חידו""ת אהל יצחק")</f>
        <v>קובץ חידו"ת אהל יצחק</v>
      </c>
    </row>
    <row r="35040" spans="1:6" x14ac:dyDescent="0.2">
      <c r="A35040" t="s">
        <v>54259</v>
      </c>
      <c r="B35040" t="s">
        <v>50411</v>
      </c>
      <c r="C35040" t="s">
        <v>411</v>
      </c>
      <c r="D35040" t="s">
        <v>152</v>
      </c>
      <c r="F35040" s="2" t="str">
        <f>HYPERLINK("http://www.otzar.org/book.asp?169663","קובץ חידו""ת אור שרגא")</f>
        <v>קובץ חידו"ת אור שרגא</v>
      </c>
    </row>
    <row r="35041" spans="1:6" x14ac:dyDescent="0.2">
      <c r="A35041" t="s">
        <v>54260</v>
      </c>
      <c r="B35041" t="s">
        <v>54261</v>
      </c>
      <c r="C35041" t="s">
        <v>313</v>
      </c>
      <c r="D35041" t="s">
        <v>14</v>
      </c>
      <c r="E35041" t="s">
        <v>202</v>
      </c>
      <c r="F35041" s="2" t="str">
        <f>HYPERLINK("http://www.otzar.org/book.asp?618995","קובץ חידו""ת בארות יצחק - סוכה")</f>
        <v>קובץ חידו"ת בארות יצחק - סוכה</v>
      </c>
    </row>
    <row r="35042" spans="1:6" x14ac:dyDescent="0.2">
      <c r="A35042" t="s">
        <v>54262</v>
      </c>
      <c r="B35042" t="s">
        <v>54263</v>
      </c>
      <c r="C35042" t="s">
        <v>189</v>
      </c>
      <c r="D35042" t="s">
        <v>152</v>
      </c>
      <c r="E35042" t="s">
        <v>202</v>
      </c>
      <c r="F35042" s="2" t="str">
        <f>HYPERLINK("http://www.otzar.org/book.asp?622014","קובץ חידו""ת במסכת עירובין")</f>
        <v>קובץ חידו"ת במסכת עירובין</v>
      </c>
    </row>
    <row r="35043" spans="1:6" x14ac:dyDescent="0.2">
      <c r="A35043" t="s">
        <v>54264</v>
      </c>
      <c r="B35043" t="s">
        <v>54265</v>
      </c>
      <c r="C35043" t="s">
        <v>23</v>
      </c>
      <c r="D35043" t="s">
        <v>52</v>
      </c>
      <c r="F35043" s="2" t="str">
        <f>HYPERLINK("http://www.otzar.org/book.asp?194592","קובץ חידו""ת בעניני מועד וקדשים")</f>
        <v>קובץ חידו"ת בעניני מועד וקדשים</v>
      </c>
    </row>
    <row r="35044" spans="1:6" x14ac:dyDescent="0.2">
      <c r="A35044" t="s">
        <v>54266</v>
      </c>
      <c r="B35044" t="s">
        <v>54267</v>
      </c>
      <c r="D35044" t="s">
        <v>54268</v>
      </c>
      <c r="E35044" t="s">
        <v>202</v>
      </c>
      <c r="F35044" s="2" t="str">
        <f>HYPERLINK("http://www.otzar.org/book.asp?618463","קובץ חידו""ת ושמואל בקראי שמו - 3 כר'")</f>
        <v>קובץ חידו"ת ושמואל בקראי שמו - 3 כר'</v>
      </c>
    </row>
    <row r="35045" spans="1:6" x14ac:dyDescent="0.2">
      <c r="A35045" t="s">
        <v>54269</v>
      </c>
      <c r="B35045" t="s">
        <v>54270</v>
      </c>
      <c r="C35045" t="s">
        <v>37</v>
      </c>
      <c r="D35045" t="s">
        <v>134</v>
      </c>
      <c r="E35045" t="s">
        <v>186</v>
      </c>
      <c r="F35045" s="2" t="str">
        <f>HYPERLINK("http://www.otzar.org/book.asp?181768","קובץ חידו""ת חזון נחום - מסכת ברכות")</f>
        <v>קובץ חידו"ת חזון נחום - מסכת ברכות</v>
      </c>
    </row>
    <row r="35046" spans="1:6" x14ac:dyDescent="0.2">
      <c r="A35046" t="s">
        <v>54271</v>
      </c>
      <c r="B35046" t="s">
        <v>54272</v>
      </c>
      <c r="C35046" t="s">
        <v>143</v>
      </c>
      <c r="D35046" t="s">
        <v>1356</v>
      </c>
      <c r="E35046" t="s">
        <v>202</v>
      </c>
      <c r="F35046" s="2" t="str">
        <f>HYPERLINK("http://www.otzar.org/book.asp?188463","קובץ חידו""ת מעיני ברוך - 4 כר'")</f>
        <v>קובץ חידו"ת מעיני ברוך - 4 כר'</v>
      </c>
    </row>
    <row r="35047" spans="1:6" x14ac:dyDescent="0.2">
      <c r="A35047" t="s">
        <v>54273</v>
      </c>
      <c r="B35047" t="s">
        <v>2663</v>
      </c>
      <c r="C35047" t="s">
        <v>454</v>
      </c>
      <c r="D35047" t="s">
        <v>14</v>
      </c>
      <c r="E35047" t="s">
        <v>202</v>
      </c>
      <c r="F35047" s="2" t="str">
        <f>HYPERLINK("http://www.otzar.org/book.asp?161567","קובץ חידו""ת משכן יצחק")</f>
        <v>קובץ חידו"ת משכן יצחק</v>
      </c>
    </row>
    <row r="35048" spans="1:6" x14ac:dyDescent="0.2">
      <c r="A35048" t="s">
        <v>54274</v>
      </c>
      <c r="B35048" t="s">
        <v>54275</v>
      </c>
      <c r="C35048" t="s">
        <v>189</v>
      </c>
      <c r="D35048" t="s">
        <v>852</v>
      </c>
      <c r="E35048" t="s">
        <v>144</v>
      </c>
      <c r="F35048" s="2" t="str">
        <f>HYPERLINK("http://www.otzar.org/book.asp?161224","קובץ חידו""ת על מסכת קידושין")</f>
        <v>קובץ חידו"ת על מסכת קידושין</v>
      </c>
    </row>
    <row r="35049" spans="1:6" x14ac:dyDescent="0.2">
      <c r="A35049" t="s">
        <v>54276</v>
      </c>
      <c r="B35049" t="s">
        <v>54277</v>
      </c>
      <c r="C35049" t="s">
        <v>143</v>
      </c>
      <c r="D35049" t="s">
        <v>21</v>
      </c>
      <c r="E35049" t="s">
        <v>186</v>
      </c>
      <c r="F35049" s="2" t="str">
        <f>HYPERLINK("http://www.otzar.org/book.asp?195540","קובץ חידו""ת עמ""ס גיטין")</f>
        <v>קובץ חידו"ת עמ"ס גיטין</v>
      </c>
    </row>
    <row r="35050" spans="1:6" x14ac:dyDescent="0.2">
      <c r="A35050" t="s">
        <v>54278</v>
      </c>
      <c r="B35050" t="s">
        <v>32792</v>
      </c>
      <c r="C35050" t="s">
        <v>133</v>
      </c>
      <c r="E35050" t="s">
        <v>202</v>
      </c>
      <c r="F35050" s="2" t="str">
        <f>HYPERLINK("http://www.otzar.org/book.asp?199401","קובץ חידו""ת ציון לנפש - טהרות זרעים")</f>
        <v>קובץ חידו"ת ציון לנפש - טהרות זרעים</v>
      </c>
    </row>
    <row r="35051" spans="1:6" x14ac:dyDescent="0.2">
      <c r="A35051" t="s">
        <v>54279</v>
      </c>
      <c r="B35051" t="s">
        <v>54280</v>
      </c>
      <c r="E35051" t="s">
        <v>202</v>
      </c>
      <c r="F35051" s="2" t="str">
        <f>HYPERLINK("http://www.otzar.org/book.asp?622373","קובץ חידו""ת שערי ברכות אור המאיר")</f>
        <v>קובץ חידו"ת שערי ברכות אור המאיר</v>
      </c>
    </row>
    <row r="35052" spans="1:6" x14ac:dyDescent="0.2">
      <c r="A35052" t="s">
        <v>54281</v>
      </c>
      <c r="B35052" t="s">
        <v>54282</v>
      </c>
      <c r="C35052" t="s">
        <v>20</v>
      </c>
      <c r="D35052" t="s">
        <v>2909</v>
      </c>
      <c r="F35052" s="2" t="str">
        <f>HYPERLINK("http://www.otzar.org/book.asp?191223","קובץ חידו""ת שערי תורה - ב""מ")</f>
        <v>קובץ חידו"ת שערי תורה - ב"מ</v>
      </c>
    </row>
    <row r="35053" spans="1:6" x14ac:dyDescent="0.2">
      <c r="A35053" t="s">
        <v>54283</v>
      </c>
      <c r="B35053" t="s">
        <v>31600</v>
      </c>
      <c r="C35053" t="s">
        <v>624</v>
      </c>
      <c r="D35053" t="s">
        <v>115</v>
      </c>
      <c r="E35053" t="s">
        <v>202</v>
      </c>
      <c r="F35053" s="2" t="str">
        <f>HYPERLINK("http://www.otzar.org/book.asp?624931","קובץ חידו""ת תפארת משה")</f>
        <v>קובץ חידו"ת תפארת משה</v>
      </c>
    </row>
    <row r="35054" spans="1:6" x14ac:dyDescent="0.2">
      <c r="A35054" t="s">
        <v>54284</v>
      </c>
      <c r="B35054" t="s">
        <v>54285</v>
      </c>
      <c r="C35054" t="s">
        <v>37</v>
      </c>
      <c r="D35054" t="s">
        <v>1156</v>
      </c>
      <c r="F35054" s="2" t="str">
        <f>HYPERLINK("http://www.otzar.org/book.asp?605512","קובץ חידו""ת - 2 כר'")</f>
        <v>קובץ חידו"ת - 2 כר'</v>
      </c>
    </row>
    <row r="35055" spans="1:6" x14ac:dyDescent="0.2">
      <c r="A35055" t="s">
        <v>54286</v>
      </c>
      <c r="B35055" t="s">
        <v>54287</v>
      </c>
      <c r="C35055" t="s">
        <v>23</v>
      </c>
      <c r="D35055" t="s">
        <v>2375</v>
      </c>
      <c r="F35055" s="2" t="str">
        <f>HYPERLINK("http://www.otzar.org/book.asp?616306","קובץ חידו""ת - משנת שכר שכיר")</f>
        <v>קובץ חידו"ת - משנת שכר שכיר</v>
      </c>
    </row>
    <row r="35056" spans="1:6" x14ac:dyDescent="0.2">
      <c r="A35056" t="s">
        <v>17260</v>
      </c>
      <c r="B35056" t="s">
        <v>34621</v>
      </c>
      <c r="C35056" t="s">
        <v>411</v>
      </c>
      <c r="D35056" t="s">
        <v>486</v>
      </c>
      <c r="E35056" t="s">
        <v>202</v>
      </c>
      <c r="F35056" s="2" t="str">
        <f>HYPERLINK("http://www.otzar.org/book.asp?170084","קובץ חידו""ת")</f>
        <v>קובץ חידו"ת</v>
      </c>
    </row>
    <row r="35057" spans="1:6" x14ac:dyDescent="0.2">
      <c r="A35057" t="s">
        <v>17260</v>
      </c>
      <c r="B35057" t="s">
        <v>54288</v>
      </c>
      <c r="C35057" t="s">
        <v>176</v>
      </c>
      <c r="D35057" t="s">
        <v>412</v>
      </c>
      <c r="E35057" t="s">
        <v>202</v>
      </c>
      <c r="F35057" s="2" t="str">
        <f>HYPERLINK("http://www.otzar.org/book.asp?190913","קובץ חידו""ת")</f>
        <v>קובץ חידו"ת</v>
      </c>
    </row>
    <row r="35058" spans="1:6" x14ac:dyDescent="0.2">
      <c r="A35058" t="s">
        <v>54284</v>
      </c>
      <c r="B35058" t="s">
        <v>1750</v>
      </c>
      <c r="C35058" t="s">
        <v>20</v>
      </c>
      <c r="D35058" t="s">
        <v>14</v>
      </c>
      <c r="E35058" t="s">
        <v>186</v>
      </c>
      <c r="F35058" s="2" t="str">
        <f>HYPERLINK("http://www.otzar.org/book.asp?60599","קובץ חידו""ת - 2 כר'")</f>
        <v>קובץ חידו"ת - 2 כר'</v>
      </c>
    </row>
    <row r="35059" spans="1:6" x14ac:dyDescent="0.2">
      <c r="A35059" t="s">
        <v>54289</v>
      </c>
      <c r="B35059" t="s">
        <v>17563</v>
      </c>
      <c r="C35059" t="s">
        <v>133</v>
      </c>
      <c r="D35059" t="s">
        <v>245</v>
      </c>
      <c r="E35059" t="s">
        <v>3516</v>
      </c>
      <c r="F35059" s="2" t="str">
        <f>HYPERLINK("http://www.otzar.org/book.asp?172919","קובץ חידושי הגר""מ גיפטר - פסח, פסחים")</f>
        <v>קובץ חידושי הגר"מ גיפטר - פסח, פסחים</v>
      </c>
    </row>
    <row r="35060" spans="1:6" x14ac:dyDescent="0.2">
      <c r="A35060" t="s">
        <v>54290</v>
      </c>
      <c r="B35060" t="s">
        <v>23453</v>
      </c>
      <c r="C35060" t="s">
        <v>1208</v>
      </c>
      <c r="D35060" t="s">
        <v>14</v>
      </c>
      <c r="E35060" t="s">
        <v>202</v>
      </c>
      <c r="F35060" s="2" t="str">
        <f>HYPERLINK("http://www.otzar.org/book.asp?195530","קובץ חידושי תורה &lt;בית התלמוד&gt; - 6 כר'")</f>
        <v>קובץ חידושי תורה &lt;בית התלמוד&gt; - 6 כר'</v>
      </c>
    </row>
    <row r="35061" spans="1:6" x14ac:dyDescent="0.2">
      <c r="A35061" t="s">
        <v>54291</v>
      </c>
      <c r="B35061" t="s">
        <v>54292</v>
      </c>
      <c r="C35061" t="s">
        <v>1619</v>
      </c>
      <c r="D35061" t="s">
        <v>14</v>
      </c>
      <c r="E35061" t="s">
        <v>186</v>
      </c>
      <c r="F35061" s="2" t="str">
        <f>HYPERLINK("http://www.otzar.org/book.asp?23893","קובץ חידושי תורה &lt;טשעבין&gt; - 7 כר'")</f>
        <v>קובץ חידושי תורה &lt;טשעבין&gt; - 7 כר'</v>
      </c>
    </row>
    <row r="35062" spans="1:6" x14ac:dyDescent="0.2">
      <c r="A35062" t="s">
        <v>54293</v>
      </c>
      <c r="B35062" t="s">
        <v>1750</v>
      </c>
      <c r="C35062" t="s">
        <v>624</v>
      </c>
      <c r="D35062" t="s">
        <v>6283</v>
      </c>
      <c r="E35062" t="s">
        <v>186</v>
      </c>
      <c r="F35062" s="2" t="str">
        <f>HYPERLINK("http://www.otzar.org/book.asp?106102","קובץ חידושי תורה &lt;זכרון יעקב&gt; - 5 כר'")</f>
        <v>קובץ חידושי תורה &lt;זכרון יעקב&gt; - 5 כר'</v>
      </c>
    </row>
    <row r="35063" spans="1:6" x14ac:dyDescent="0.2">
      <c r="A35063" t="s">
        <v>54294</v>
      </c>
      <c r="B35063" t="s">
        <v>54288</v>
      </c>
      <c r="C35063" t="s">
        <v>176</v>
      </c>
      <c r="D35063" t="s">
        <v>412</v>
      </c>
      <c r="E35063" t="s">
        <v>186</v>
      </c>
      <c r="F35063" s="2" t="str">
        <f>HYPERLINK("http://www.otzar.org/book.asp?64388","קובץ חידושי תורה אמרי א""ש")</f>
        <v>קובץ חידושי תורה אמרי א"ש</v>
      </c>
    </row>
    <row r="35064" spans="1:6" x14ac:dyDescent="0.2">
      <c r="A35064" t="s">
        <v>54295</v>
      </c>
      <c r="B35064" t="s">
        <v>1750</v>
      </c>
      <c r="C35064" t="s">
        <v>334</v>
      </c>
      <c r="D35064" t="s">
        <v>14</v>
      </c>
      <c r="F35064" s="2" t="str">
        <f>HYPERLINK("http://www.otzar.org/book.asp?616147","קובץ חידושי תורה אמרי אמת")</f>
        <v>קובץ חידושי תורה אמרי אמת</v>
      </c>
    </row>
    <row r="35065" spans="1:6" x14ac:dyDescent="0.2">
      <c r="A35065" t="s">
        <v>54296</v>
      </c>
      <c r="B35065" t="s">
        <v>1750</v>
      </c>
      <c r="C35065" t="s">
        <v>146</v>
      </c>
      <c r="D35065" t="s">
        <v>14</v>
      </c>
      <c r="E35065" t="s">
        <v>2091</v>
      </c>
      <c r="F35065" s="2" t="str">
        <f>HYPERLINK("http://www.otzar.org/book.asp?159168","קובץ חידושי תורה בעניני ספר תורה ולימוד תורה")</f>
        <v>קובץ חידושי תורה בעניני ספר תורה ולימוד תורה</v>
      </c>
    </row>
    <row r="35066" spans="1:6" x14ac:dyDescent="0.2">
      <c r="A35066" t="s">
        <v>54297</v>
      </c>
      <c r="B35066" t="s">
        <v>54298</v>
      </c>
      <c r="C35066" t="s">
        <v>143</v>
      </c>
      <c r="D35066" t="s">
        <v>14</v>
      </c>
      <c r="E35066" t="s">
        <v>144</v>
      </c>
      <c r="F35066" s="2" t="str">
        <f>HYPERLINK("http://www.otzar.org/book.asp?629116","קובץ חידושי תורה האור")</f>
        <v>קובץ חידושי תורה האור</v>
      </c>
    </row>
    <row r="35067" spans="1:6" x14ac:dyDescent="0.2">
      <c r="A35067" t="s">
        <v>54299</v>
      </c>
      <c r="B35067" t="s">
        <v>54300</v>
      </c>
      <c r="C35067" t="s">
        <v>1388</v>
      </c>
      <c r="D35067" t="s">
        <v>14</v>
      </c>
      <c r="E35067" t="s">
        <v>202</v>
      </c>
      <c r="F35067" s="2" t="str">
        <f>HYPERLINK("http://www.otzar.org/book.asp?626356","קובץ חידושי תורה ופרפראות לחכמה - 2 כר'")</f>
        <v>קובץ חידושי תורה ופרפראות לחכמה - 2 כר'</v>
      </c>
    </row>
    <row r="35068" spans="1:6" x14ac:dyDescent="0.2">
      <c r="A35068" t="s">
        <v>54301</v>
      </c>
      <c r="B35068" t="s">
        <v>54302</v>
      </c>
      <c r="C35068" t="s">
        <v>1208</v>
      </c>
      <c r="D35068" t="s">
        <v>52</v>
      </c>
      <c r="E35068" t="s">
        <v>2091</v>
      </c>
      <c r="F35068" s="2" t="str">
        <f>HYPERLINK("http://www.otzar.org/book.asp?142922","קובץ חידושי תורה זכר שמשון")</f>
        <v>קובץ חידושי תורה זכר שמשון</v>
      </c>
    </row>
    <row r="35069" spans="1:6" x14ac:dyDescent="0.2">
      <c r="A35069" t="s">
        <v>54303</v>
      </c>
      <c r="B35069" t="s">
        <v>54187</v>
      </c>
      <c r="C35069" t="s">
        <v>133</v>
      </c>
      <c r="D35069" t="s">
        <v>6283</v>
      </c>
      <c r="E35069" t="s">
        <v>202</v>
      </c>
      <c r="F35069" s="2" t="str">
        <f>HYPERLINK("http://www.otzar.org/book.asp?607048","קובץ חידושי תורה זכרון שלום")</f>
        <v>קובץ חידושי תורה זכרון שלום</v>
      </c>
    </row>
    <row r="35070" spans="1:6" x14ac:dyDescent="0.2">
      <c r="A35070" t="s">
        <v>54304</v>
      </c>
      <c r="B35070" t="s">
        <v>1005</v>
      </c>
      <c r="C35070" t="s">
        <v>775</v>
      </c>
      <c r="D35070" t="s">
        <v>14</v>
      </c>
      <c r="E35070" t="s">
        <v>202</v>
      </c>
      <c r="F35070" s="2" t="str">
        <f>HYPERLINK("http://www.otzar.org/book.asp?148583","קובץ חידושי תורה יהודה יעלה")</f>
        <v>קובץ חידושי תורה יהודה יעלה</v>
      </c>
    </row>
    <row r="35071" spans="1:6" x14ac:dyDescent="0.2">
      <c r="A35071" t="s">
        <v>54305</v>
      </c>
      <c r="B35071" t="s">
        <v>2663</v>
      </c>
      <c r="C35071" t="s">
        <v>533</v>
      </c>
      <c r="D35071" t="s">
        <v>52</v>
      </c>
      <c r="F35071" s="2" t="str">
        <f>HYPERLINK("http://www.otzar.org/book.asp?614410","קובץ חידושי תורה לאברכי כוללים - 6 כר'")</f>
        <v>קובץ חידושי תורה לאברכי כוללים - 6 כר'</v>
      </c>
    </row>
    <row r="35072" spans="1:6" x14ac:dyDescent="0.2">
      <c r="A35072" t="s">
        <v>54306</v>
      </c>
      <c r="B35072" t="s">
        <v>54307</v>
      </c>
      <c r="C35072" t="s">
        <v>17</v>
      </c>
      <c r="D35072" t="s">
        <v>6151</v>
      </c>
      <c r="E35072" t="s">
        <v>202</v>
      </c>
      <c r="F35072" s="2" t="str">
        <f>HYPERLINK("http://www.otzar.org/book.asp?166918","קובץ חידושי תורה מפעל המסכתות - ח")</f>
        <v>קובץ חידושי תורה מפעל המסכתות - ח</v>
      </c>
    </row>
    <row r="35073" spans="1:6" x14ac:dyDescent="0.2">
      <c r="A35073" t="s">
        <v>54308</v>
      </c>
      <c r="B35073" t="s">
        <v>54309</v>
      </c>
      <c r="C35073" t="s">
        <v>523</v>
      </c>
      <c r="D35073" t="s">
        <v>6151</v>
      </c>
      <c r="E35073" t="s">
        <v>202</v>
      </c>
      <c r="F35073" s="2" t="str">
        <f>HYPERLINK("http://www.otzar.org/book.asp?165485","קובץ חידושי תורה מפעל המסכתות - 7 כר'")</f>
        <v>קובץ חידושי תורה מפעל המסכתות - 7 כר'</v>
      </c>
    </row>
    <row r="35074" spans="1:6" x14ac:dyDescent="0.2">
      <c r="A35074" t="s">
        <v>54310</v>
      </c>
      <c r="B35074" t="s">
        <v>54311</v>
      </c>
      <c r="C35074" t="s">
        <v>133</v>
      </c>
      <c r="D35074" t="s">
        <v>152</v>
      </c>
      <c r="F35074" s="2" t="str">
        <f>HYPERLINK("http://www.otzar.org/book.asp?630756","קובץ חידושי תורה משיבת נפש")</f>
        <v>קובץ חידושי תורה משיבת נפש</v>
      </c>
    </row>
    <row r="35075" spans="1:6" x14ac:dyDescent="0.2">
      <c r="A35075" t="s">
        <v>54312</v>
      </c>
      <c r="B35075" t="s">
        <v>54313</v>
      </c>
      <c r="C35075" t="s">
        <v>411</v>
      </c>
      <c r="D35075" t="s">
        <v>52</v>
      </c>
      <c r="E35075" t="s">
        <v>202</v>
      </c>
      <c r="F35075" s="2" t="str">
        <f>HYPERLINK("http://www.otzar.org/book.asp?628677","קובץ חידושי תורה משכן שלמה - ו ב הלכות מצרנות")</f>
        <v>קובץ חידושי תורה משכן שלמה - ו ב הלכות מצרנות</v>
      </c>
    </row>
    <row r="35076" spans="1:6" x14ac:dyDescent="0.2">
      <c r="A35076" t="s">
        <v>54314</v>
      </c>
      <c r="B35076" t="s">
        <v>54315</v>
      </c>
      <c r="C35076" t="s">
        <v>1663</v>
      </c>
      <c r="D35076" t="s">
        <v>52</v>
      </c>
      <c r="E35076" t="s">
        <v>202</v>
      </c>
      <c r="F35076" s="2" t="str">
        <f>HYPERLINK("http://www.otzar.org/book.asp?180554","קובץ חידושי תורה מתלמידי ישיבת תפארת ציון")</f>
        <v>קובץ חידושי תורה מתלמידי ישיבת תפארת ציון</v>
      </c>
    </row>
    <row r="35077" spans="1:6" x14ac:dyDescent="0.2">
      <c r="A35077" t="s">
        <v>54316</v>
      </c>
      <c r="B35077" t="s">
        <v>54104</v>
      </c>
      <c r="C35077" t="s">
        <v>767</v>
      </c>
      <c r="D35077" t="s">
        <v>21</v>
      </c>
      <c r="E35077" t="s">
        <v>202</v>
      </c>
      <c r="F35077" s="2" t="str">
        <f>HYPERLINK("http://www.otzar.org/book.asp?603050","קובץ חידושי תורה נועם התלמוד - קידושין")</f>
        <v>קובץ חידושי תורה נועם התלמוד - קידושין</v>
      </c>
    </row>
    <row r="35078" spans="1:6" x14ac:dyDescent="0.2">
      <c r="A35078" t="s">
        <v>54317</v>
      </c>
      <c r="B35078" t="s">
        <v>54318</v>
      </c>
      <c r="C35078" t="s">
        <v>71</v>
      </c>
      <c r="D35078" t="s">
        <v>8720</v>
      </c>
      <c r="E35078" t="s">
        <v>202</v>
      </c>
      <c r="F35078" s="2" t="str">
        <f>HYPERLINK("http://www.otzar.org/book.asp?625403","קובץ חידושי תורה נחלי דעת")</f>
        <v>קובץ חידושי תורה נחלי דעת</v>
      </c>
    </row>
    <row r="35079" spans="1:6" x14ac:dyDescent="0.2">
      <c r="A35079" t="s">
        <v>54319</v>
      </c>
      <c r="B35079" t="s">
        <v>54320</v>
      </c>
      <c r="C35079" t="s">
        <v>383</v>
      </c>
      <c r="D35079" t="s">
        <v>14</v>
      </c>
      <c r="E35079" t="s">
        <v>202</v>
      </c>
      <c r="F35079" s="2" t="str">
        <f>HYPERLINK("http://www.otzar.org/book.asp?619313","קובץ חידושי תורה עטרת התורה -א")</f>
        <v>קובץ חידושי תורה עטרת התורה -א</v>
      </c>
    </row>
    <row r="35080" spans="1:6" x14ac:dyDescent="0.2">
      <c r="A35080" t="s">
        <v>54321</v>
      </c>
      <c r="B35080" t="s">
        <v>54322</v>
      </c>
      <c r="C35080" t="s">
        <v>20</v>
      </c>
      <c r="D35080" t="s">
        <v>90</v>
      </c>
      <c r="F35080" s="2" t="str">
        <f>HYPERLINK("http://www.otzar.org/book.asp?613062","קובץ חידושי תורה על שם חכמי פרובינצא - ג")</f>
        <v>קובץ חידושי תורה על שם חכמי פרובינצא - ג</v>
      </c>
    </row>
    <row r="35081" spans="1:6" x14ac:dyDescent="0.2">
      <c r="A35081" t="s">
        <v>54323</v>
      </c>
      <c r="B35081" t="s">
        <v>54324</v>
      </c>
      <c r="C35081" t="s">
        <v>244</v>
      </c>
      <c r="D35081" t="s">
        <v>806</v>
      </c>
      <c r="E35081" t="s">
        <v>202</v>
      </c>
      <c r="F35081" s="2" t="str">
        <f>HYPERLINK("http://www.otzar.org/book.asp?603872","קובץ חידושי תורה פתח תקוה - כתובות")</f>
        <v>קובץ חידושי תורה פתח תקוה - כתובות</v>
      </c>
    </row>
    <row r="35082" spans="1:6" x14ac:dyDescent="0.2">
      <c r="A35082" t="s">
        <v>54325</v>
      </c>
      <c r="B35082" t="s">
        <v>54326</v>
      </c>
      <c r="C35082" t="s">
        <v>111</v>
      </c>
      <c r="D35082" t="s">
        <v>90</v>
      </c>
      <c r="E35082" t="s">
        <v>202</v>
      </c>
      <c r="F35082" s="2" t="str">
        <f>HYPERLINK("http://www.otzar.org/book.asp?629518","קובץ חידושי תורה תורת נצח - ג")</f>
        <v>קובץ חידושי תורה תורת נצח - ג</v>
      </c>
    </row>
    <row r="35083" spans="1:6" x14ac:dyDescent="0.2">
      <c r="A35083" t="s">
        <v>54327</v>
      </c>
      <c r="B35083" t="s">
        <v>54328</v>
      </c>
      <c r="D35083" t="s">
        <v>152</v>
      </c>
      <c r="F35083" s="2" t="str">
        <f>HYPERLINK("http://www.otzar.org/book.asp?614437","קובץ חידושי תורה תלמידי הכתב סופר - כתובות")</f>
        <v>קובץ חידושי תורה תלמידי הכתב סופר - כתובות</v>
      </c>
    </row>
    <row r="35084" spans="1:6" x14ac:dyDescent="0.2">
      <c r="A35084" t="s">
        <v>2663</v>
      </c>
      <c r="B35084" t="s">
        <v>54329</v>
      </c>
      <c r="C35084" t="s">
        <v>411</v>
      </c>
      <c r="D35084" t="s">
        <v>90</v>
      </c>
      <c r="F35084" s="2" t="str">
        <f>HYPERLINK("http://www.otzar.org/book.asp?189729","קובץ חידושי תורה")</f>
        <v>קובץ חידושי תורה</v>
      </c>
    </row>
    <row r="35085" spans="1:6" x14ac:dyDescent="0.2">
      <c r="A35085" t="s">
        <v>2663</v>
      </c>
      <c r="B35085" t="s">
        <v>54330</v>
      </c>
      <c r="C35085" t="s">
        <v>1160</v>
      </c>
      <c r="D35085" t="s">
        <v>13187</v>
      </c>
      <c r="E35085" t="s">
        <v>13698</v>
      </c>
      <c r="F35085" s="2" t="str">
        <f>HYPERLINK("http://www.otzar.org/book.asp?626394","קובץ חידושי תורה")</f>
        <v>קובץ חידושי תורה</v>
      </c>
    </row>
    <row r="35086" spans="1:6" x14ac:dyDescent="0.2">
      <c r="A35086" t="s">
        <v>2663</v>
      </c>
      <c r="B35086" t="s">
        <v>54331</v>
      </c>
      <c r="C35086" t="s">
        <v>3017</v>
      </c>
      <c r="D35086" t="s">
        <v>27</v>
      </c>
      <c r="E35086" t="s">
        <v>202</v>
      </c>
      <c r="F35086" s="2" t="str">
        <f>HYPERLINK("http://www.otzar.org/book.asp?20599","קובץ חידושי תורה")</f>
        <v>קובץ חידושי תורה</v>
      </c>
    </row>
    <row r="35087" spans="1:6" x14ac:dyDescent="0.2">
      <c r="A35087" t="s">
        <v>54332</v>
      </c>
      <c r="B35087" t="s">
        <v>2413</v>
      </c>
      <c r="C35087" t="s">
        <v>553</v>
      </c>
      <c r="D35087" t="s">
        <v>14</v>
      </c>
      <c r="E35087" t="s">
        <v>186</v>
      </c>
      <c r="F35087" s="2" t="str">
        <f>HYPERLINK("http://www.otzar.org/book.asp?60610","קובץ חידושי תורה - 2 כר'")</f>
        <v>קובץ חידושי תורה - 2 כר'</v>
      </c>
    </row>
    <row r="35088" spans="1:6" x14ac:dyDescent="0.2">
      <c r="A35088" t="s">
        <v>54333</v>
      </c>
      <c r="B35088" t="s">
        <v>54334</v>
      </c>
      <c r="C35088" t="s">
        <v>129</v>
      </c>
      <c r="D35088" t="s">
        <v>52</v>
      </c>
      <c r="E35088" t="s">
        <v>186</v>
      </c>
      <c r="F35088" s="2" t="str">
        <f>HYPERLINK("http://www.otzar.org/book.asp?166274","קובץ חידושי תורה - נדרים")</f>
        <v>קובץ חידושי תורה - נדרים</v>
      </c>
    </row>
    <row r="35089" spans="1:6" x14ac:dyDescent="0.2">
      <c r="A35089" t="s">
        <v>54335</v>
      </c>
      <c r="B35089" t="s">
        <v>54336</v>
      </c>
      <c r="C35089" t="s">
        <v>313</v>
      </c>
      <c r="D35089" t="s">
        <v>14</v>
      </c>
      <c r="E35089" t="s">
        <v>186</v>
      </c>
      <c r="F35089" s="2" t="str">
        <f>HYPERLINK("http://www.otzar.org/book.asp?85659","קובץ חידושי תורה - בבא מציעא")</f>
        <v>קובץ חידושי תורה - בבא מציעא</v>
      </c>
    </row>
    <row r="35090" spans="1:6" x14ac:dyDescent="0.2">
      <c r="A35090" t="s">
        <v>2663</v>
      </c>
      <c r="B35090" t="s">
        <v>54337</v>
      </c>
      <c r="C35090" t="s">
        <v>411</v>
      </c>
      <c r="D35090" t="s">
        <v>54338</v>
      </c>
      <c r="E35090" t="s">
        <v>202</v>
      </c>
      <c r="F35090" s="2" t="str">
        <f>HYPERLINK("http://www.otzar.org/book.asp?165492","קובץ חידושי תורה")</f>
        <v>קובץ חידושי תורה</v>
      </c>
    </row>
    <row r="35091" spans="1:6" x14ac:dyDescent="0.2">
      <c r="A35091" t="s">
        <v>2663</v>
      </c>
      <c r="B35091" t="s">
        <v>54339</v>
      </c>
      <c r="C35091" t="s">
        <v>785</v>
      </c>
      <c r="D35091" t="s">
        <v>14</v>
      </c>
      <c r="F35091" s="2" t="str">
        <f>HYPERLINK("http://www.otzar.org/book.asp?85880","קובץ חידושי תורה")</f>
        <v>קובץ חידושי תורה</v>
      </c>
    </row>
    <row r="35092" spans="1:6" x14ac:dyDescent="0.2">
      <c r="A35092" t="s">
        <v>54340</v>
      </c>
      <c r="B35092" t="s">
        <v>54341</v>
      </c>
      <c r="C35092" t="s">
        <v>20</v>
      </c>
      <c r="D35092" t="s">
        <v>14</v>
      </c>
      <c r="E35092" t="s">
        <v>202</v>
      </c>
      <c r="F35092" s="2" t="str">
        <f>HYPERLINK("http://www.otzar.org/book.asp?189704","קובץ חידושי תורה - ב""ק א")</f>
        <v>קובץ חידושי תורה - ב"ק א</v>
      </c>
    </row>
    <row r="35093" spans="1:6" x14ac:dyDescent="0.2">
      <c r="A35093" t="s">
        <v>2663</v>
      </c>
      <c r="B35093" t="s">
        <v>54342</v>
      </c>
      <c r="C35093" t="s">
        <v>1208</v>
      </c>
      <c r="D35093" t="s">
        <v>21</v>
      </c>
      <c r="E35093" t="s">
        <v>202</v>
      </c>
      <c r="F35093" s="2" t="str">
        <f>HYPERLINK("http://www.otzar.org/book.asp?197354","קובץ חידושי תורה")</f>
        <v>קובץ חידושי תורה</v>
      </c>
    </row>
    <row r="35094" spans="1:6" x14ac:dyDescent="0.2">
      <c r="A35094" t="s">
        <v>2663</v>
      </c>
      <c r="B35094" t="s">
        <v>54343</v>
      </c>
      <c r="C35094" t="s">
        <v>1208</v>
      </c>
      <c r="D35094" t="s">
        <v>14591</v>
      </c>
      <c r="F35094" s="2" t="str">
        <f>HYPERLINK("http://www.otzar.org/book.asp?600358","קובץ חידושי תורה")</f>
        <v>קובץ חידושי תורה</v>
      </c>
    </row>
    <row r="35095" spans="1:6" x14ac:dyDescent="0.2">
      <c r="A35095" t="s">
        <v>54344</v>
      </c>
      <c r="B35095" t="s">
        <v>54345</v>
      </c>
      <c r="C35095" t="s">
        <v>624</v>
      </c>
      <c r="D35095" t="s">
        <v>80</v>
      </c>
      <c r="E35095" t="s">
        <v>202</v>
      </c>
      <c r="F35095" s="2" t="str">
        <f>HYPERLINK("http://www.otzar.org/book.asp?197355","קובץ חידושי תורה - מוקצה")</f>
        <v>קובץ חידושי תורה - מוקצה</v>
      </c>
    </row>
    <row r="35096" spans="1:6" x14ac:dyDescent="0.2">
      <c r="A35096" t="s">
        <v>54346</v>
      </c>
      <c r="B35096" t="s">
        <v>54347</v>
      </c>
      <c r="C35096" t="s">
        <v>553</v>
      </c>
      <c r="D35096" t="s">
        <v>14</v>
      </c>
      <c r="E35096" t="s">
        <v>2248</v>
      </c>
      <c r="F35096" s="2" t="str">
        <f>HYPERLINK("http://www.otzar.org/book.asp?14583","קובץ חידושי תורה - 3 כר'")</f>
        <v>קובץ חידושי תורה - 3 כר'</v>
      </c>
    </row>
    <row r="35097" spans="1:6" x14ac:dyDescent="0.2">
      <c r="A35097" t="s">
        <v>2663</v>
      </c>
      <c r="B35097" t="s">
        <v>54348</v>
      </c>
      <c r="C35097" t="s">
        <v>286</v>
      </c>
      <c r="D35097" t="s">
        <v>947</v>
      </c>
      <c r="E35097" t="s">
        <v>202</v>
      </c>
      <c r="F35097" s="2" t="str">
        <f>HYPERLINK("http://www.otzar.org/book.asp?106878","קובץ חידושי תורה")</f>
        <v>קובץ חידושי תורה</v>
      </c>
    </row>
    <row r="35098" spans="1:6" x14ac:dyDescent="0.2">
      <c r="A35098" t="s">
        <v>2663</v>
      </c>
      <c r="B35098" t="s">
        <v>54349</v>
      </c>
      <c r="C35098" t="s">
        <v>20</v>
      </c>
      <c r="D35098" t="s">
        <v>27</v>
      </c>
      <c r="E35098" t="s">
        <v>1211</v>
      </c>
      <c r="F35098" s="2" t="str">
        <f>HYPERLINK("http://www.otzar.org/book.asp?83935","קובץ חידושי תורה")</f>
        <v>קובץ חידושי תורה</v>
      </c>
    </row>
    <row r="35099" spans="1:6" x14ac:dyDescent="0.2">
      <c r="A35099" t="s">
        <v>54332</v>
      </c>
      <c r="B35099" t="s">
        <v>36419</v>
      </c>
      <c r="C35099" t="s">
        <v>20</v>
      </c>
      <c r="D35099" t="s">
        <v>52</v>
      </c>
      <c r="E35099" t="s">
        <v>144</v>
      </c>
      <c r="F35099" s="2" t="str">
        <f>HYPERLINK("http://www.otzar.org/book.asp?176066","קובץ חידושי תורה - 2 כר'")</f>
        <v>קובץ חידושי תורה - 2 כר'</v>
      </c>
    </row>
    <row r="35100" spans="1:6" x14ac:dyDescent="0.2">
      <c r="A35100" t="s">
        <v>54350</v>
      </c>
      <c r="B35100" t="s">
        <v>16769</v>
      </c>
      <c r="C35100" t="s">
        <v>411</v>
      </c>
      <c r="D35100" t="s">
        <v>52</v>
      </c>
      <c r="E35100" t="s">
        <v>144</v>
      </c>
      <c r="F35100" s="2" t="str">
        <f>HYPERLINK("http://www.otzar.org/book.asp?176065","קובץ חידושי תורה - יום טוב, חוה""מ")</f>
        <v>קובץ חידושי תורה - יום טוב, חוה"מ</v>
      </c>
    </row>
    <row r="35101" spans="1:6" x14ac:dyDescent="0.2">
      <c r="A35101" t="s">
        <v>54332</v>
      </c>
      <c r="B35101" t="s">
        <v>54351</v>
      </c>
      <c r="C35101" t="s">
        <v>168</v>
      </c>
      <c r="D35101" t="s">
        <v>14</v>
      </c>
      <c r="E35101" t="s">
        <v>186</v>
      </c>
      <c r="F35101" s="2" t="str">
        <f>HYPERLINK("http://www.otzar.org/book.asp?169020","קובץ חידושי תורה - 2 כר'")</f>
        <v>קובץ חידושי תורה - 2 כר'</v>
      </c>
    </row>
    <row r="35102" spans="1:6" x14ac:dyDescent="0.2">
      <c r="A35102" t="s">
        <v>54352</v>
      </c>
      <c r="B35102" t="s">
        <v>54353</v>
      </c>
      <c r="C35102" t="s">
        <v>87</v>
      </c>
      <c r="D35102" t="s">
        <v>52</v>
      </c>
      <c r="E35102" t="s">
        <v>186</v>
      </c>
      <c r="F35102" s="2" t="str">
        <f>HYPERLINK("http://www.otzar.org/book.asp?173428","קובץ חידושי תורה - מכות")</f>
        <v>קובץ חידושי תורה - מכות</v>
      </c>
    </row>
    <row r="35103" spans="1:6" x14ac:dyDescent="0.2">
      <c r="A35103" t="s">
        <v>54335</v>
      </c>
      <c r="B35103" t="s">
        <v>11530</v>
      </c>
      <c r="C35103" t="s">
        <v>356</v>
      </c>
      <c r="D35103" t="s">
        <v>14</v>
      </c>
      <c r="E35103" t="s">
        <v>186</v>
      </c>
      <c r="F35103" s="2" t="str">
        <f>HYPERLINK("http://www.otzar.org/book.asp?169026","קובץ חידושי תורה - בבא מציעא")</f>
        <v>קובץ חידושי תורה - בבא מציעא</v>
      </c>
    </row>
    <row r="35104" spans="1:6" x14ac:dyDescent="0.2">
      <c r="A35104" t="s">
        <v>54354</v>
      </c>
      <c r="B35104" t="s">
        <v>54355</v>
      </c>
      <c r="C35104" t="s">
        <v>20</v>
      </c>
      <c r="D35104" t="s">
        <v>14</v>
      </c>
      <c r="E35104" t="s">
        <v>144</v>
      </c>
      <c r="F35104" s="2" t="str">
        <f>HYPERLINK("http://www.otzar.org/book.asp?169078","קובץ חידושי תורה - פ""ג דסוכה")</f>
        <v>קובץ חידושי תורה - פ"ג דסוכה</v>
      </c>
    </row>
    <row r="35105" spans="1:6" x14ac:dyDescent="0.2">
      <c r="A35105" t="s">
        <v>2663</v>
      </c>
      <c r="B35105" t="s">
        <v>54356</v>
      </c>
      <c r="C35105" t="s">
        <v>114</v>
      </c>
      <c r="D35105" t="s">
        <v>52</v>
      </c>
      <c r="E35105" t="s">
        <v>202</v>
      </c>
      <c r="F35105" s="2" t="str">
        <f>HYPERLINK("http://www.otzar.org/book.asp?625377","קובץ חידושי תורה")</f>
        <v>קובץ חידושי תורה</v>
      </c>
    </row>
    <row r="35106" spans="1:6" x14ac:dyDescent="0.2">
      <c r="A35106" t="s">
        <v>54357</v>
      </c>
      <c r="B35106" t="s">
        <v>54358</v>
      </c>
      <c r="C35106" t="s">
        <v>189</v>
      </c>
      <c r="D35106" t="s">
        <v>14</v>
      </c>
      <c r="E35106" t="s">
        <v>2338</v>
      </c>
      <c r="F35106" s="2" t="str">
        <f>HYPERLINK("http://www.otzar.org/book.asp?172197","קובץ חידושים וביאורים - כלים")</f>
        <v>קובץ חידושים וביאורים - כלים</v>
      </c>
    </row>
    <row r="35107" spans="1:6" x14ac:dyDescent="0.2">
      <c r="A35107" t="s">
        <v>54359</v>
      </c>
      <c r="B35107" t="s">
        <v>54360</v>
      </c>
      <c r="C35107" t="s">
        <v>37</v>
      </c>
      <c r="D35107" t="s">
        <v>21</v>
      </c>
      <c r="E35107" t="s">
        <v>15</v>
      </c>
      <c r="F35107" s="2" t="str">
        <f>HYPERLINK("http://www.otzar.org/book.asp?194912","קובץ חידושים והערות בענייני ארבעת המינים")</f>
        <v>קובץ חידושים והערות בענייני ארבעת המינים</v>
      </c>
    </row>
    <row r="35108" spans="1:6" x14ac:dyDescent="0.2">
      <c r="A35108" t="s">
        <v>54361</v>
      </c>
      <c r="B35108" t="s">
        <v>54362</v>
      </c>
      <c r="C35108" t="s">
        <v>103</v>
      </c>
      <c r="D35108" t="s">
        <v>14</v>
      </c>
      <c r="E35108" t="s">
        <v>202</v>
      </c>
      <c r="F35108" s="2" t="str">
        <f>HYPERLINK("http://www.otzar.org/book.asp?24960","קובץ חידושים והערות - זכרון שלמה")</f>
        <v>קובץ חידושים והערות - זכרון שלמה</v>
      </c>
    </row>
    <row r="35109" spans="1:6" x14ac:dyDescent="0.2">
      <c r="A35109" t="s">
        <v>54363</v>
      </c>
      <c r="B35109" t="s">
        <v>54364</v>
      </c>
      <c r="C35109" t="s">
        <v>1811</v>
      </c>
      <c r="D35109" t="s">
        <v>646</v>
      </c>
      <c r="E35109" t="s">
        <v>202</v>
      </c>
      <c r="F35109" s="2" t="str">
        <f>HYPERLINK("http://www.otzar.org/book.asp?181271","קובץ חידושים יד אלעזר - א")</f>
        <v>קובץ חידושים יד אלעזר - א</v>
      </c>
    </row>
    <row r="35110" spans="1:6" x14ac:dyDescent="0.2">
      <c r="A35110" t="s">
        <v>54365</v>
      </c>
      <c r="B35110" t="s">
        <v>1750</v>
      </c>
      <c r="C35110" t="s">
        <v>332</v>
      </c>
      <c r="D35110" t="s">
        <v>52</v>
      </c>
      <c r="E35110" t="s">
        <v>144</v>
      </c>
      <c r="F35110" s="2" t="str">
        <f>HYPERLINK("http://www.otzar.org/book.asp?143090","קובץ חידושים מתלמידי ישיבות קטנות - ד")</f>
        <v>קובץ חידושים מתלמידי ישיבות קטנות - ד</v>
      </c>
    </row>
    <row r="35111" spans="1:6" x14ac:dyDescent="0.2">
      <c r="A35111" t="s">
        <v>54366</v>
      </c>
      <c r="B35111" t="s">
        <v>29922</v>
      </c>
      <c r="C35111" t="s">
        <v>41747</v>
      </c>
      <c r="D35111" t="s">
        <v>54367</v>
      </c>
      <c r="F35111" s="2" t="str">
        <f>HYPERLINK("http://www.otzar.org/book.asp?609522","קובץ חידושים פ""ק דכתובות")</f>
        <v>קובץ חידושים פ"ק דכתובות</v>
      </c>
    </row>
    <row r="35112" spans="1:6" x14ac:dyDescent="0.2">
      <c r="A35112" t="s">
        <v>54368</v>
      </c>
      <c r="B35112" t="s">
        <v>54369</v>
      </c>
      <c r="C35112" t="s">
        <v>20</v>
      </c>
      <c r="D35112" t="s">
        <v>118</v>
      </c>
      <c r="E35112" t="s">
        <v>144</v>
      </c>
      <c r="F35112" s="2" t="str">
        <f>HYPERLINK("http://www.otzar.org/book.asp?16416","קובץ חידושים")</f>
        <v>קובץ חידושים</v>
      </c>
    </row>
    <row r="35113" spans="1:6" x14ac:dyDescent="0.2">
      <c r="A35113" t="s">
        <v>54368</v>
      </c>
      <c r="B35113" t="s">
        <v>54370</v>
      </c>
      <c r="C35113" t="s">
        <v>51</v>
      </c>
      <c r="D35113" t="s">
        <v>52</v>
      </c>
      <c r="E35113" t="s">
        <v>202</v>
      </c>
      <c r="F35113" s="2" t="str">
        <f>HYPERLINK("http://www.otzar.org/book.asp?161729","קובץ חידושים")</f>
        <v>קובץ חידושים</v>
      </c>
    </row>
    <row r="35114" spans="1:6" x14ac:dyDescent="0.2">
      <c r="A35114" t="s">
        <v>54371</v>
      </c>
      <c r="B35114" t="s">
        <v>9249</v>
      </c>
      <c r="C35114" t="s">
        <v>114</v>
      </c>
      <c r="D35114" t="s">
        <v>52</v>
      </c>
      <c r="E35114" t="s">
        <v>84</v>
      </c>
      <c r="F35114" s="2" t="str">
        <f>HYPERLINK("http://www.otzar.org/book.asp?166384","קובץ חידושים - 2 כר'")</f>
        <v>קובץ חידושים - 2 כר'</v>
      </c>
    </row>
    <row r="35115" spans="1:6" x14ac:dyDescent="0.2">
      <c r="A35115" t="s">
        <v>54372</v>
      </c>
      <c r="B35115" t="s">
        <v>46259</v>
      </c>
      <c r="C35115" t="s">
        <v>20</v>
      </c>
      <c r="D35115" t="s">
        <v>14</v>
      </c>
      <c r="E35115" t="s">
        <v>202</v>
      </c>
      <c r="F35115" s="2" t="str">
        <f>HYPERLINK("http://www.otzar.org/book.asp?620378","קובץ חיזוק באר יצחק")</f>
        <v>קובץ חיזוק באר יצחק</v>
      </c>
    </row>
    <row r="35116" spans="1:6" x14ac:dyDescent="0.2">
      <c r="A35116" t="s">
        <v>54373</v>
      </c>
      <c r="C35116" t="s">
        <v>151</v>
      </c>
      <c r="D35116" t="s">
        <v>152</v>
      </c>
      <c r="F35116" s="2" t="str">
        <f>HYPERLINK("http://www.otzar.org/book.asp?615978","קובץ חיי משה - נדה ב")</f>
        <v>קובץ חיי משה - נדה ב</v>
      </c>
    </row>
    <row r="35117" spans="1:6" x14ac:dyDescent="0.2">
      <c r="A35117" t="s">
        <v>54374</v>
      </c>
      <c r="B35117" t="s">
        <v>10345</v>
      </c>
      <c r="C35117" t="s">
        <v>111</v>
      </c>
      <c r="D35117" t="s">
        <v>10346</v>
      </c>
      <c r="E35117" t="s">
        <v>202</v>
      </c>
      <c r="F35117" s="2" t="str">
        <f>HYPERLINK("http://www.otzar.org/book.asp?630342","קובץ חכמה ודעת - 2 כר'")</f>
        <v>קובץ חכמה ודעת - 2 כר'</v>
      </c>
    </row>
    <row r="35118" spans="1:6" x14ac:dyDescent="0.2">
      <c r="A35118" t="s">
        <v>54375</v>
      </c>
      <c r="B35118" t="s">
        <v>54376</v>
      </c>
      <c r="C35118" t="s">
        <v>106</v>
      </c>
      <c r="D35118" t="s">
        <v>14</v>
      </c>
      <c r="F35118" s="2" t="str">
        <f>HYPERLINK("http://www.otzar.org/book.asp?182606","קובץ חמדה גנוזה - 2 כר'")</f>
        <v>קובץ חמדה גנוזה - 2 כר'</v>
      </c>
    </row>
    <row r="35119" spans="1:6" x14ac:dyDescent="0.2">
      <c r="A35119" t="s">
        <v>54377</v>
      </c>
      <c r="B35119" t="s">
        <v>38250</v>
      </c>
      <c r="C35119" t="s">
        <v>37</v>
      </c>
      <c r="D35119" t="s">
        <v>52</v>
      </c>
      <c r="E35119" t="s">
        <v>15</v>
      </c>
      <c r="F35119" s="2" t="str">
        <f>HYPERLINK("http://www.otzar.org/book.asp?180661","קובץ חמדת התפילין")</f>
        <v>קובץ חמדת התפילין</v>
      </c>
    </row>
    <row r="35120" spans="1:6" x14ac:dyDescent="0.2">
      <c r="A35120" t="s">
        <v>54378</v>
      </c>
      <c r="B35120" t="s">
        <v>1750</v>
      </c>
      <c r="C35120" t="s">
        <v>37</v>
      </c>
      <c r="D35120" t="s">
        <v>80</v>
      </c>
      <c r="E35120" t="s">
        <v>202</v>
      </c>
      <c r="F35120" s="2" t="str">
        <f>HYPERLINK("http://www.otzar.org/book.asp?196371","קובץ חמדת משה")</f>
        <v>קובץ חמדת משה</v>
      </c>
    </row>
    <row r="35121" spans="1:6" x14ac:dyDescent="0.2">
      <c r="A35121" t="s">
        <v>54379</v>
      </c>
      <c r="B35121" t="s">
        <v>489</v>
      </c>
      <c r="C35121" t="s">
        <v>111</v>
      </c>
      <c r="D35121" t="s">
        <v>90</v>
      </c>
      <c r="E35121" t="s">
        <v>202</v>
      </c>
      <c r="F35121" s="2" t="str">
        <f>HYPERLINK("http://www.otzar.org/book.asp?624930","קובץ חנוכת הבית -ב")</f>
        <v>קובץ חנוכת הבית -ב</v>
      </c>
    </row>
    <row r="35122" spans="1:6" x14ac:dyDescent="0.2">
      <c r="A35122" t="s">
        <v>54380</v>
      </c>
      <c r="B35122" t="s">
        <v>3768</v>
      </c>
      <c r="C35122" t="s">
        <v>20</v>
      </c>
      <c r="D35122" t="s">
        <v>90</v>
      </c>
      <c r="E35122" t="s">
        <v>2091</v>
      </c>
      <c r="F35122" s="2" t="str">
        <f>HYPERLINK("http://www.otzar.org/book.asp?163329","קובץ טהרת המקוה")</f>
        <v>קובץ טהרת המקוה</v>
      </c>
    </row>
    <row r="35123" spans="1:6" x14ac:dyDescent="0.2">
      <c r="A35123" t="s">
        <v>54381</v>
      </c>
      <c r="B35123" t="s">
        <v>1750</v>
      </c>
      <c r="C35123" t="s">
        <v>114</v>
      </c>
      <c r="D35123" t="s">
        <v>412</v>
      </c>
      <c r="E35123" t="s">
        <v>393</v>
      </c>
      <c r="F35123" s="2" t="str">
        <f>HYPERLINK("http://www.otzar.org/book.asp?163205","קובץ י""ג אייר - 3 כר'")</f>
        <v>קובץ י"ג אייר - 3 כר'</v>
      </c>
    </row>
    <row r="35124" spans="1:6" x14ac:dyDescent="0.2">
      <c r="A35124" t="s">
        <v>54382</v>
      </c>
      <c r="B35124" t="s">
        <v>54068</v>
      </c>
      <c r="C35124" t="s">
        <v>20</v>
      </c>
      <c r="D35124" t="s">
        <v>5172</v>
      </c>
      <c r="E35124" t="s">
        <v>1164</v>
      </c>
      <c r="F35124" s="2" t="str">
        <f>HYPERLINK("http://www.otzar.org/book.asp?621731","קובץ יאיר נרו")</f>
        <v>קובץ יאיר נרו</v>
      </c>
    </row>
    <row r="35125" spans="1:6" x14ac:dyDescent="0.2">
      <c r="A35125" t="s">
        <v>54383</v>
      </c>
      <c r="B35125" t="s">
        <v>54384</v>
      </c>
      <c r="C35125" t="s">
        <v>366</v>
      </c>
      <c r="D35125" t="s">
        <v>721</v>
      </c>
      <c r="F35125" s="2" t="str">
        <f>HYPERLINK("http://www.otzar.org/book.asp?610174","קובץ יגדיל תורה ויאדיר - 2 כר'")</f>
        <v>קובץ יגדיל תורה ויאדיר - 2 כר'</v>
      </c>
    </row>
    <row r="35126" spans="1:6" x14ac:dyDescent="0.2">
      <c r="A35126" t="s">
        <v>54385</v>
      </c>
      <c r="B35126" t="s">
        <v>54386</v>
      </c>
      <c r="C35126" t="s">
        <v>767</v>
      </c>
      <c r="F35126" s="2" t="str">
        <f>HYPERLINK("http://www.otzar.org/book.asp?620655","קובץ יגדיל תורה - ג")</f>
        <v>קובץ יגדיל תורה - ג</v>
      </c>
    </row>
    <row r="35127" spans="1:6" x14ac:dyDescent="0.2">
      <c r="A35127" t="s">
        <v>54387</v>
      </c>
      <c r="B35127" t="s">
        <v>54388</v>
      </c>
      <c r="C35127" t="s">
        <v>68</v>
      </c>
      <c r="D35127" t="s">
        <v>14</v>
      </c>
      <c r="E35127" t="s">
        <v>144</v>
      </c>
      <c r="F35127" s="2" t="str">
        <f>HYPERLINK("http://www.otzar.org/book.asp?153204","קובץ יגעת ומצאת")</f>
        <v>קובץ יגעת ומצאת</v>
      </c>
    </row>
    <row r="35128" spans="1:6" x14ac:dyDescent="0.2">
      <c r="A35128" t="s">
        <v>54389</v>
      </c>
      <c r="B35128" t="s">
        <v>54390</v>
      </c>
      <c r="C35128" t="s">
        <v>523</v>
      </c>
      <c r="D35128" t="s">
        <v>14</v>
      </c>
      <c r="E35128" t="s">
        <v>241</v>
      </c>
      <c r="F35128" s="2" t="str">
        <f>HYPERLINK("http://www.otzar.org/book.asp?169073","קובץ יד מרדכי על התפלה")</f>
        <v>קובץ יד מרדכי על התפלה</v>
      </c>
    </row>
    <row r="35129" spans="1:6" x14ac:dyDescent="0.2">
      <c r="A35129" t="s">
        <v>54391</v>
      </c>
      <c r="B35129" t="s">
        <v>54392</v>
      </c>
      <c r="C35129" t="s">
        <v>51</v>
      </c>
      <c r="D35129" t="s">
        <v>14</v>
      </c>
      <c r="E35129" t="s">
        <v>202</v>
      </c>
      <c r="F35129" s="2" t="str">
        <f>HYPERLINK("http://www.otzar.org/book.asp?161762","קובץ יד שאול")</f>
        <v>קובץ יד שאול</v>
      </c>
    </row>
    <row r="35130" spans="1:6" x14ac:dyDescent="0.2">
      <c r="A35130" t="s">
        <v>54393</v>
      </c>
      <c r="B35130" t="s">
        <v>54394</v>
      </c>
      <c r="C35130" t="s">
        <v>313</v>
      </c>
      <c r="D35130" t="s">
        <v>14</v>
      </c>
      <c r="E35130" t="s">
        <v>2091</v>
      </c>
      <c r="F35130" s="2" t="str">
        <f>HYPERLINK("http://www.otzar.org/book.asp?85749","קובץ יד שמואל ותמר - שבת")</f>
        <v>קובץ יד שמואל ותמר - שבת</v>
      </c>
    </row>
    <row r="35131" spans="1:6" x14ac:dyDescent="0.2">
      <c r="A35131" t="s">
        <v>54395</v>
      </c>
      <c r="B35131" t="s">
        <v>54396</v>
      </c>
      <c r="C35131" t="s">
        <v>111</v>
      </c>
      <c r="D35131" t="s">
        <v>412</v>
      </c>
      <c r="E35131" t="s">
        <v>144</v>
      </c>
      <c r="F35131" s="2" t="str">
        <f>HYPERLINK("http://www.otzar.org/book.asp?628778","קובץ יד - 2 כר'")</f>
        <v>קובץ יד - 2 כר'</v>
      </c>
    </row>
    <row r="35132" spans="1:6" x14ac:dyDescent="0.2">
      <c r="A35132" t="s">
        <v>54397</v>
      </c>
      <c r="B35132" t="s">
        <v>1750</v>
      </c>
      <c r="C35132" t="s">
        <v>71</v>
      </c>
      <c r="D35132" t="s">
        <v>9909</v>
      </c>
      <c r="E35132" t="s">
        <v>202</v>
      </c>
      <c r="F35132" s="2" t="str">
        <f>HYPERLINK("http://www.otzar.org/book.asp?61892","קובץ ידידות")</f>
        <v>קובץ ידידות</v>
      </c>
    </row>
    <row r="35133" spans="1:6" x14ac:dyDescent="0.2">
      <c r="A35133" t="s">
        <v>54398</v>
      </c>
      <c r="B35133" t="s">
        <v>7351</v>
      </c>
      <c r="C35133" t="s">
        <v>244</v>
      </c>
      <c r="D35133" t="s">
        <v>245</v>
      </c>
      <c r="E35133" t="s">
        <v>202</v>
      </c>
      <c r="F35133" s="2" t="str">
        <f>HYPERLINK("http://www.otzar.org/book.asp?623378","קובץ יהודה יעלה")</f>
        <v>קובץ יהודה יעלה</v>
      </c>
    </row>
    <row r="35134" spans="1:6" x14ac:dyDescent="0.2">
      <c r="A35134" t="s">
        <v>54399</v>
      </c>
      <c r="B35134" t="s">
        <v>51962</v>
      </c>
      <c r="C35134" t="s">
        <v>146</v>
      </c>
      <c r="D35134" t="s">
        <v>367</v>
      </c>
      <c r="E35134" t="s">
        <v>130</v>
      </c>
      <c r="F35134" s="2" t="str">
        <f>HYPERLINK("http://www.otzar.org/book.asp?142363","קובץ יום הביכורים")</f>
        <v>קובץ יום הביכורים</v>
      </c>
    </row>
    <row r="35135" spans="1:6" x14ac:dyDescent="0.2">
      <c r="A35135" t="s">
        <v>54400</v>
      </c>
      <c r="B35135" t="s">
        <v>54401</v>
      </c>
      <c r="C35135" t="s">
        <v>466</v>
      </c>
      <c r="D35135" t="s">
        <v>646</v>
      </c>
      <c r="E35135" t="s">
        <v>768</v>
      </c>
      <c r="F35135" s="2" t="str">
        <f>HYPERLINK("http://www.otzar.org/book.asp?600351","קובץ יזל מים - ג")</f>
        <v>קובץ יזל מים - ג</v>
      </c>
    </row>
    <row r="35136" spans="1:6" x14ac:dyDescent="0.2">
      <c r="A35136" t="s">
        <v>54402</v>
      </c>
      <c r="B35136" t="s">
        <v>54403</v>
      </c>
      <c r="C35136" t="s">
        <v>13</v>
      </c>
      <c r="D35136" t="s">
        <v>646</v>
      </c>
      <c r="E35136" t="s">
        <v>104</v>
      </c>
      <c r="F35136" s="2" t="str">
        <f>HYPERLINK("http://www.otzar.org/book.asp?151289","קובץ יכהן פאר")</f>
        <v>קובץ יכהן פאר</v>
      </c>
    </row>
    <row r="35137" spans="1:6" x14ac:dyDescent="0.2">
      <c r="A35137" t="s">
        <v>54404</v>
      </c>
      <c r="E35137" t="s">
        <v>4022</v>
      </c>
      <c r="F35137" s="2" t="str">
        <f>HYPERLINK("http://www.otzar.org/book.asp?603504","קובץ ימי הפורים")</f>
        <v>קובץ ימי הפורים</v>
      </c>
    </row>
    <row r="35138" spans="1:6" x14ac:dyDescent="0.2">
      <c r="A35138" t="s">
        <v>54405</v>
      </c>
      <c r="B35138" t="s">
        <v>1748</v>
      </c>
      <c r="C35138" t="s">
        <v>103</v>
      </c>
      <c r="D35138" t="s">
        <v>52</v>
      </c>
      <c r="E35138" t="s">
        <v>144</v>
      </c>
      <c r="F35138" s="2" t="str">
        <f>HYPERLINK("http://www.otzar.org/book.asp?141829","קובץ ינובון בשיבה")</f>
        <v>קובץ ינובון בשיבה</v>
      </c>
    </row>
    <row r="35139" spans="1:6" x14ac:dyDescent="0.2">
      <c r="A35139" t="s">
        <v>54406</v>
      </c>
      <c r="B35139" t="s">
        <v>6221</v>
      </c>
      <c r="C35139" t="s">
        <v>189</v>
      </c>
      <c r="D35139" t="s">
        <v>423</v>
      </c>
      <c r="E35139" t="s">
        <v>803</v>
      </c>
      <c r="F35139" s="2" t="str">
        <f>HYPERLINK("http://www.otzar.org/book.asp?28641","קובץ יסודות וחקירות - 4 כר'")</f>
        <v>קובץ יסודות וחקירות - 4 כר'</v>
      </c>
    </row>
    <row r="35140" spans="1:6" x14ac:dyDescent="0.2">
      <c r="A35140" t="s">
        <v>54407</v>
      </c>
      <c r="B35140" t="s">
        <v>206</v>
      </c>
      <c r="C35140" t="s">
        <v>151</v>
      </c>
      <c r="D35140" t="s">
        <v>90</v>
      </c>
      <c r="F35140" s="2" t="str">
        <f>HYPERLINK("http://www.otzar.org/book.asp?608909","קובץ יצפנני בסכה")</f>
        <v>קובץ יצפנני בסכה</v>
      </c>
    </row>
    <row r="35141" spans="1:6" x14ac:dyDescent="0.2">
      <c r="A35141" t="s">
        <v>54407</v>
      </c>
      <c r="B35141" t="s">
        <v>54408</v>
      </c>
      <c r="C35141" t="s">
        <v>129</v>
      </c>
      <c r="D35141" t="s">
        <v>1356</v>
      </c>
      <c r="E35141" t="s">
        <v>11683</v>
      </c>
      <c r="F35141" s="2" t="str">
        <f>HYPERLINK("http://www.otzar.org/book.asp?141994","קובץ יצפנני בסכה")</f>
        <v>קובץ יצפנני בסכה</v>
      </c>
    </row>
    <row r="35142" spans="1:6" x14ac:dyDescent="0.2">
      <c r="A35142" t="s">
        <v>54409</v>
      </c>
      <c r="B35142" t="s">
        <v>54410</v>
      </c>
      <c r="C35142" t="s">
        <v>422</v>
      </c>
      <c r="D35142" t="s">
        <v>21</v>
      </c>
      <c r="F35142" s="2" t="str">
        <f>HYPERLINK("http://www.otzar.org/book.asp?603282","קובץ יקרא דאורייתא")</f>
        <v>קובץ יקרא דאורייתא</v>
      </c>
    </row>
    <row r="35143" spans="1:6" x14ac:dyDescent="0.2">
      <c r="A35143" t="s">
        <v>54409</v>
      </c>
      <c r="B35143" t="s">
        <v>54411</v>
      </c>
      <c r="C35143" t="s">
        <v>37</v>
      </c>
      <c r="D35143" t="s">
        <v>14</v>
      </c>
      <c r="E35143" t="s">
        <v>202</v>
      </c>
      <c r="F35143" s="2" t="str">
        <f>HYPERLINK("http://www.otzar.org/book.asp?600635","קובץ יקרא דאורייתא")</f>
        <v>קובץ יקרא דאורייתא</v>
      </c>
    </row>
    <row r="35144" spans="1:6" x14ac:dyDescent="0.2">
      <c r="A35144" t="s">
        <v>54412</v>
      </c>
      <c r="B35144" t="s">
        <v>54413</v>
      </c>
      <c r="C35144" t="s">
        <v>244</v>
      </c>
      <c r="D35144" t="s">
        <v>21</v>
      </c>
      <c r="E35144" t="s">
        <v>3055</v>
      </c>
      <c r="F35144" s="2" t="str">
        <f>HYPERLINK("http://www.otzar.org/book.asp?196715","קובץ ירח למועדים")</f>
        <v>קובץ ירח למועדים</v>
      </c>
    </row>
    <row r="35145" spans="1:6" x14ac:dyDescent="0.2">
      <c r="A35145" t="s">
        <v>54414</v>
      </c>
      <c r="B35145" t="s">
        <v>54415</v>
      </c>
      <c r="C35145" t="s">
        <v>8</v>
      </c>
      <c r="D35145" t="s">
        <v>412</v>
      </c>
      <c r="E35145" t="s">
        <v>202</v>
      </c>
      <c r="F35145" s="2" t="str">
        <f>HYPERLINK("http://www.otzar.org/book.asp?28979","קובץ ירחון דגל ישראל - 2 כר'")</f>
        <v>קובץ ירחון דגל ישראל - 2 כר'</v>
      </c>
    </row>
    <row r="35146" spans="1:6" x14ac:dyDescent="0.2">
      <c r="A35146" t="s">
        <v>54416</v>
      </c>
      <c r="B35146" t="s">
        <v>54417</v>
      </c>
      <c r="C35146" t="s">
        <v>51</v>
      </c>
      <c r="D35146" t="s">
        <v>52</v>
      </c>
      <c r="E35146" t="s">
        <v>2153</v>
      </c>
      <c r="F35146" s="2" t="str">
        <f>HYPERLINK("http://www.otzar.org/book.asp?164980","קובץ יריעות המשכן")</f>
        <v>קובץ יריעות המשכן</v>
      </c>
    </row>
    <row r="35147" spans="1:6" x14ac:dyDescent="0.2">
      <c r="A35147" t="s">
        <v>54418</v>
      </c>
      <c r="B35147" t="s">
        <v>54419</v>
      </c>
      <c r="C35147" t="s">
        <v>133</v>
      </c>
      <c r="D35147" t="s">
        <v>646</v>
      </c>
      <c r="F35147" s="2" t="str">
        <f>HYPERLINK("http://www.otzar.org/book.asp?617900","קובץ ישכר באהליך")</f>
        <v>קובץ ישכר באהליך</v>
      </c>
    </row>
    <row r="35148" spans="1:6" x14ac:dyDescent="0.2">
      <c r="A35148" t="s">
        <v>54420</v>
      </c>
      <c r="B35148" t="s">
        <v>1750</v>
      </c>
      <c r="C35148" t="s">
        <v>244</v>
      </c>
      <c r="D35148" t="s">
        <v>90</v>
      </c>
      <c r="E35148" t="s">
        <v>202</v>
      </c>
      <c r="F35148" s="2" t="str">
        <f>HYPERLINK("http://www.otzar.org/book.asp?197905","קובץ ישמח האב")</f>
        <v>קובץ ישמח האב</v>
      </c>
    </row>
    <row r="35149" spans="1:6" x14ac:dyDescent="0.2">
      <c r="A35149" t="s">
        <v>54421</v>
      </c>
      <c r="B35149" t="s">
        <v>54422</v>
      </c>
      <c r="C35149" t="s">
        <v>20</v>
      </c>
      <c r="D35149" t="s">
        <v>54423</v>
      </c>
      <c r="E35149" t="s">
        <v>202</v>
      </c>
      <c r="F35149" s="2" t="str">
        <f>HYPERLINK("http://www.otzar.org/book.asp?199186","קובץ ישמח ישראל")</f>
        <v>קובץ ישמח ישראל</v>
      </c>
    </row>
    <row r="35150" spans="1:6" x14ac:dyDescent="0.2">
      <c r="A35150" t="s">
        <v>54424</v>
      </c>
      <c r="B35150" t="s">
        <v>53811</v>
      </c>
      <c r="C35150" t="s">
        <v>114</v>
      </c>
      <c r="D35150" t="s">
        <v>21</v>
      </c>
      <c r="F35150" s="2" t="str">
        <f>HYPERLINK("http://www.otzar.org/book.asp?603281","קובץ כבדוהו באורים")</f>
        <v>קובץ כבדוהו באורים</v>
      </c>
    </row>
    <row r="35151" spans="1:6" x14ac:dyDescent="0.2">
      <c r="A35151" t="s">
        <v>54425</v>
      </c>
      <c r="B35151" t="s">
        <v>13716</v>
      </c>
      <c r="C35151" t="s">
        <v>506</v>
      </c>
      <c r="D35151" t="s">
        <v>27</v>
      </c>
      <c r="E35151" t="s">
        <v>104</v>
      </c>
      <c r="F35151" s="2" t="str">
        <f>HYPERLINK("http://www.otzar.org/book.asp?180414","קובץ כבוד אם")</f>
        <v>קובץ כבוד אם</v>
      </c>
    </row>
    <row r="35152" spans="1:6" x14ac:dyDescent="0.2">
      <c r="A35152" t="s">
        <v>54426</v>
      </c>
      <c r="B35152" t="s">
        <v>54427</v>
      </c>
      <c r="C35152" t="s">
        <v>20</v>
      </c>
      <c r="D35152" t="s">
        <v>52</v>
      </c>
      <c r="E35152" t="s">
        <v>202</v>
      </c>
      <c r="F35152" s="2" t="str">
        <f>HYPERLINK("http://www.otzar.org/book.asp?621314","קובץ כבוד חכמים - 2 כר'")</f>
        <v>קובץ כבוד חכמים - 2 כר'</v>
      </c>
    </row>
    <row r="35153" spans="1:6" x14ac:dyDescent="0.2">
      <c r="A35153" t="s">
        <v>54428</v>
      </c>
      <c r="B35153" t="s">
        <v>54429</v>
      </c>
      <c r="C35153" t="s">
        <v>244</v>
      </c>
      <c r="D35153" t="s">
        <v>14</v>
      </c>
      <c r="E35153" t="s">
        <v>202</v>
      </c>
      <c r="F35153" s="2" t="str">
        <f>HYPERLINK("http://www.otzar.org/book.asp?198768","קובץ כבודה של תורה")</f>
        <v>קובץ כבודה של תורה</v>
      </c>
    </row>
    <row r="35154" spans="1:6" x14ac:dyDescent="0.2">
      <c r="A35154" t="s">
        <v>54430</v>
      </c>
      <c r="B35154" t="s">
        <v>54431</v>
      </c>
      <c r="C35154" t="s">
        <v>111</v>
      </c>
      <c r="D35154" t="s">
        <v>14</v>
      </c>
      <c r="E35154" t="s">
        <v>186</v>
      </c>
      <c r="F35154" s="2" t="str">
        <f>HYPERLINK("http://www.otzar.org/book.asp?630273","קובץ כולל גבוה להוראה - עירובין")</f>
        <v>קובץ כולל גבוה להוראה - עירובין</v>
      </c>
    </row>
    <row r="35155" spans="1:6" x14ac:dyDescent="0.2">
      <c r="A35155" t="s">
        <v>54432</v>
      </c>
      <c r="B35155" t="s">
        <v>54433</v>
      </c>
      <c r="E35155" t="s">
        <v>2091</v>
      </c>
      <c r="F35155" s="2" t="str">
        <f>HYPERLINK("http://www.otzar.org/book.asp?625415","קובץ כיבוד הורים")</f>
        <v>קובץ כיבוד הורים</v>
      </c>
    </row>
    <row r="35156" spans="1:6" x14ac:dyDescent="0.2">
      <c r="A35156" t="s">
        <v>54434</v>
      </c>
      <c r="B35156" t="s">
        <v>40835</v>
      </c>
      <c r="C35156" t="s">
        <v>533</v>
      </c>
      <c r="D35156" t="s">
        <v>412</v>
      </c>
      <c r="E35156" t="s">
        <v>15</v>
      </c>
      <c r="F35156" s="2" t="str">
        <f>HYPERLINK("http://www.otzar.org/book.asp?147204","קובץ כל ספרי ניקור המובהקים - 9 כר'")</f>
        <v>קובץ כל ספרי ניקור המובהקים - 9 כר'</v>
      </c>
    </row>
    <row r="35157" spans="1:6" x14ac:dyDescent="0.2">
      <c r="A35157" t="s">
        <v>54435</v>
      </c>
      <c r="B35157" t="s">
        <v>54436</v>
      </c>
      <c r="C35157" t="s">
        <v>20</v>
      </c>
      <c r="D35157" t="s">
        <v>986</v>
      </c>
      <c r="E35157" t="s">
        <v>674</v>
      </c>
      <c r="F35157" s="2" t="str">
        <f>HYPERLINK("http://www.otzar.org/book.asp?101613","קובץ כללי לדברי התורה - קונטרס ב")</f>
        <v>קובץ כללי לדברי התורה - קונטרס ב</v>
      </c>
    </row>
    <row r="35158" spans="1:6" x14ac:dyDescent="0.2">
      <c r="A35158" t="s">
        <v>54437</v>
      </c>
      <c r="B35158" t="s">
        <v>54438</v>
      </c>
      <c r="C35158" t="s">
        <v>1169</v>
      </c>
      <c r="D35158" t="s">
        <v>27</v>
      </c>
      <c r="E35158" t="s">
        <v>202</v>
      </c>
      <c r="F35158" s="2" t="str">
        <f>HYPERLINK("http://www.otzar.org/book.asp?157958","קובץ כנסת בית יצחק")</f>
        <v>קובץ כנסת בית יצחק</v>
      </c>
    </row>
    <row r="35159" spans="1:6" x14ac:dyDescent="0.2">
      <c r="A35159" t="s">
        <v>54439</v>
      </c>
      <c r="B35159" t="s">
        <v>54440</v>
      </c>
      <c r="C35159" t="s">
        <v>17</v>
      </c>
      <c r="D35159" t="s">
        <v>152</v>
      </c>
      <c r="E35159" t="s">
        <v>186</v>
      </c>
      <c r="F35159" s="2" t="str">
        <f>HYPERLINK("http://www.otzar.org/book.asp?52235","קובץ כנסת הגדולה - 3 כר'")</f>
        <v>קובץ כנסת הגדולה - 3 כר'</v>
      </c>
    </row>
    <row r="35160" spans="1:6" x14ac:dyDescent="0.2">
      <c r="A35160" t="s">
        <v>54441</v>
      </c>
      <c r="B35160" t="s">
        <v>1750</v>
      </c>
      <c r="C35160" t="s">
        <v>54442</v>
      </c>
      <c r="D35160" t="s">
        <v>90</v>
      </c>
      <c r="E35160" t="s">
        <v>202</v>
      </c>
      <c r="F35160" s="2" t="str">
        <f>HYPERLINK("http://www.otzar.org/book.asp?61864","קובץ כנסת הגדולה - בבא קמא א")</f>
        <v>קובץ כנסת הגדולה - בבא קמא א</v>
      </c>
    </row>
    <row r="35161" spans="1:6" x14ac:dyDescent="0.2">
      <c r="A35161" t="s">
        <v>54443</v>
      </c>
      <c r="B35161" t="s">
        <v>54444</v>
      </c>
      <c r="C35161" t="s">
        <v>146</v>
      </c>
      <c r="D35161" t="s">
        <v>21</v>
      </c>
      <c r="E35161" t="s">
        <v>202</v>
      </c>
      <c r="F35161" s="2" t="str">
        <f>HYPERLINK("http://www.otzar.org/book.asp?606946","קובץ כנסת התורה - א")</f>
        <v>קובץ כנסת התורה - א</v>
      </c>
    </row>
    <row r="35162" spans="1:6" x14ac:dyDescent="0.2">
      <c r="A35162" t="s">
        <v>54445</v>
      </c>
      <c r="B35162" t="s">
        <v>54446</v>
      </c>
      <c r="F35162" s="2" t="str">
        <f>HYPERLINK("http://www.otzar.org/book.asp?614495","קובץ כנתינתן מסיני")</f>
        <v>קובץ כנתינתן מסיני</v>
      </c>
    </row>
    <row r="35163" spans="1:6" x14ac:dyDescent="0.2">
      <c r="A35163" t="s">
        <v>54447</v>
      </c>
      <c r="B35163" t="s">
        <v>54448</v>
      </c>
      <c r="C35163" t="s">
        <v>411</v>
      </c>
      <c r="D35163" t="s">
        <v>4549</v>
      </c>
      <c r="E35163" t="s">
        <v>202</v>
      </c>
      <c r="F35163" s="2" t="str">
        <f>HYPERLINK("http://www.otzar.org/book.asp?170939","קובץ כרוה נדיבים")</f>
        <v>קובץ כרוה נדיבים</v>
      </c>
    </row>
    <row r="35164" spans="1:6" x14ac:dyDescent="0.2">
      <c r="A35164" t="s">
        <v>54449</v>
      </c>
      <c r="B35164" t="s">
        <v>54450</v>
      </c>
      <c r="C35164" t="s">
        <v>20</v>
      </c>
      <c r="D35164" t="s">
        <v>31548</v>
      </c>
      <c r="E35164" t="s">
        <v>2091</v>
      </c>
      <c r="F35164" s="2" t="str">
        <f>HYPERLINK("http://www.otzar.org/book.asp?615414","קובץ כשרות כהלכה - א")</f>
        <v>קובץ כשרות כהלכה - א</v>
      </c>
    </row>
    <row r="35165" spans="1:6" x14ac:dyDescent="0.2">
      <c r="A35165" t="s">
        <v>54451</v>
      </c>
      <c r="B35165" t="s">
        <v>48924</v>
      </c>
      <c r="C35165" t="s">
        <v>111</v>
      </c>
      <c r="D35165" t="s">
        <v>52</v>
      </c>
      <c r="E35165" t="s">
        <v>186</v>
      </c>
      <c r="F35165" s="2" t="str">
        <f>HYPERLINK("http://www.otzar.org/book.asp?628707","קובץ כתלי בית המדרש - ב""ק ג")</f>
        <v>קובץ כתלי בית המדרש - ב"ק ג</v>
      </c>
    </row>
    <row r="35166" spans="1:6" x14ac:dyDescent="0.2">
      <c r="A35166" t="s">
        <v>54452</v>
      </c>
      <c r="B35166" t="s">
        <v>1750</v>
      </c>
      <c r="C35166" t="s">
        <v>20</v>
      </c>
      <c r="D35166" t="s">
        <v>14</v>
      </c>
      <c r="E35166" t="s">
        <v>202</v>
      </c>
      <c r="F35166" s="2" t="str">
        <f>HYPERLINK("http://www.otzar.org/book.asp?146430","קובץ כתר תורה")</f>
        <v>קובץ כתר תורה</v>
      </c>
    </row>
    <row r="35167" spans="1:6" x14ac:dyDescent="0.2">
      <c r="A35167" t="s">
        <v>54453</v>
      </c>
      <c r="B35167" t="s">
        <v>29367</v>
      </c>
      <c r="C35167" t="s">
        <v>176</v>
      </c>
      <c r="D35167" t="s">
        <v>14</v>
      </c>
      <c r="E35167" t="s">
        <v>202</v>
      </c>
      <c r="F35167" s="2" t="str">
        <f>HYPERLINK("http://www.otzar.org/book.asp?151978","קובץ לאור הנר")</f>
        <v>קובץ לאור הנר</v>
      </c>
    </row>
    <row r="35168" spans="1:6" x14ac:dyDescent="0.2">
      <c r="A35168" t="s">
        <v>54454</v>
      </c>
      <c r="B35168" t="s">
        <v>54455</v>
      </c>
      <c r="C35168" t="s">
        <v>23</v>
      </c>
      <c r="D35168" t="s">
        <v>90</v>
      </c>
      <c r="E35168" t="s">
        <v>202</v>
      </c>
      <c r="F35168" s="2" t="str">
        <f>HYPERLINK("http://www.otzar.org/book.asp?198810","קובץ לב אליהו")</f>
        <v>קובץ לב אליהו</v>
      </c>
    </row>
    <row r="35169" spans="1:6" x14ac:dyDescent="0.2">
      <c r="A35169" t="s">
        <v>54456</v>
      </c>
      <c r="B35169" t="s">
        <v>54457</v>
      </c>
      <c r="C35169" t="s">
        <v>151</v>
      </c>
      <c r="D35169" t="s">
        <v>21</v>
      </c>
      <c r="F35169" s="2" t="str">
        <f>HYPERLINK("http://www.otzar.org/book.asp?616813","קובץ לב אליהו - ב""מ פ""א")</f>
        <v>קובץ לב אליהו - ב"מ פ"א</v>
      </c>
    </row>
    <row r="35170" spans="1:6" x14ac:dyDescent="0.2">
      <c r="A35170" t="s">
        <v>54458</v>
      </c>
      <c r="B35170" t="s">
        <v>54459</v>
      </c>
      <c r="C35170" t="s">
        <v>466</v>
      </c>
      <c r="D35170" t="s">
        <v>52</v>
      </c>
      <c r="E35170" t="s">
        <v>202</v>
      </c>
      <c r="F35170" s="2" t="str">
        <f>HYPERLINK("http://www.otzar.org/book.asp?171467","קובץ לב אריה - 2 כר'")</f>
        <v>קובץ לב אריה - 2 כר'</v>
      </c>
    </row>
    <row r="35171" spans="1:6" x14ac:dyDescent="0.2">
      <c r="A35171" t="s">
        <v>54460</v>
      </c>
      <c r="B35171" t="s">
        <v>1750</v>
      </c>
      <c r="C35171" t="s">
        <v>767</v>
      </c>
      <c r="D35171" t="s">
        <v>90</v>
      </c>
      <c r="E35171" t="s">
        <v>202</v>
      </c>
      <c r="F35171" s="2" t="str">
        <f>HYPERLINK("http://www.otzar.org/book.asp?169060","קובץ לב אריה")</f>
        <v>קובץ לב אריה</v>
      </c>
    </row>
    <row r="35172" spans="1:6" x14ac:dyDescent="0.2">
      <c r="A35172" t="s">
        <v>54461</v>
      </c>
      <c r="B35172" t="s">
        <v>54462</v>
      </c>
      <c r="C35172" t="s">
        <v>13</v>
      </c>
      <c r="F35172" s="2" t="str">
        <f>HYPERLINK("http://www.otzar.org/book.asp?194714","קובץ לבקר בהיכלו")</f>
        <v>קובץ לבקר בהיכלו</v>
      </c>
    </row>
    <row r="35173" spans="1:6" x14ac:dyDescent="0.2">
      <c r="A35173" t="s">
        <v>54463</v>
      </c>
      <c r="B35173" t="s">
        <v>32357</v>
      </c>
      <c r="C35173" t="s">
        <v>68</v>
      </c>
      <c r="D35173" t="s">
        <v>52</v>
      </c>
      <c r="E35173" t="s">
        <v>144</v>
      </c>
      <c r="F35173" s="2" t="str">
        <f>HYPERLINK("http://www.otzar.org/book.asp?193811","קובץ להבין שמועה - ב""ב א")</f>
        <v>קובץ להבין שמועה - ב"ב א</v>
      </c>
    </row>
    <row r="35174" spans="1:6" x14ac:dyDescent="0.2">
      <c r="A35174" t="s">
        <v>54464</v>
      </c>
      <c r="B35174" t="s">
        <v>54465</v>
      </c>
      <c r="C35174" t="s">
        <v>23</v>
      </c>
      <c r="D35174" t="s">
        <v>21</v>
      </c>
      <c r="E35174" t="s">
        <v>130</v>
      </c>
      <c r="F35174" s="2" t="str">
        <f>HYPERLINK("http://www.otzar.org/book.asp?196041","קובץ להודות ולהלל")</f>
        <v>קובץ להודות ולהלל</v>
      </c>
    </row>
    <row r="35175" spans="1:6" x14ac:dyDescent="0.2">
      <c r="A35175" t="s">
        <v>54466</v>
      </c>
      <c r="B35175" t="s">
        <v>1750</v>
      </c>
      <c r="C35175" t="s">
        <v>133</v>
      </c>
      <c r="D35175" t="s">
        <v>657</v>
      </c>
      <c r="E35175" t="s">
        <v>202</v>
      </c>
      <c r="F35175" s="2" t="str">
        <f>HYPERLINK("http://www.otzar.org/book.asp?171126","קובץ להורותם")</f>
        <v>קובץ להורותם</v>
      </c>
    </row>
    <row r="35176" spans="1:6" x14ac:dyDescent="0.2">
      <c r="A35176" t="s">
        <v>54467</v>
      </c>
      <c r="B35176" t="s">
        <v>54468</v>
      </c>
      <c r="C35176" t="s">
        <v>383</v>
      </c>
      <c r="D35176" t="s">
        <v>14</v>
      </c>
      <c r="E35176" t="s">
        <v>4022</v>
      </c>
      <c r="F35176" s="2" t="str">
        <f>HYPERLINK("http://www.otzar.org/book.asp?162096","קובץ לוית חן - א")</f>
        <v>קובץ לוית חן - א</v>
      </c>
    </row>
    <row r="35177" spans="1:6" x14ac:dyDescent="0.2">
      <c r="A35177" t="s">
        <v>54469</v>
      </c>
      <c r="B35177" t="s">
        <v>1750</v>
      </c>
      <c r="C35177" t="s">
        <v>244</v>
      </c>
      <c r="D35177" t="s">
        <v>52</v>
      </c>
      <c r="E35177" t="s">
        <v>202</v>
      </c>
      <c r="F35177" s="2" t="str">
        <f>HYPERLINK("http://www.otzar.org/book.asp?621949","קובץ לוית חן")</f>
        <v>קובץ לוית חן</v>
      </c>
    </row>
    <row r="35178" spans="1:6" x14ac:dyDescent="0.2">
      <c r="A35178" t="s">
        <v>54470</v>
      </c>
      <c r="B35178" t="s">
        <v>34621</v>
      </c>
      <c r="C35178" t="s">
        <v>103</v>
      </c>
      <c r="D35178" t="s">
        <v>486</v>
      </c>
      <c r="E35178" t="s">
        <v>202</v>
      </c>
      <c r="F35178" s="2" t="str">
        <f>HYPERLINK("http://www.otzar.org/book.asp?170083","קובץ לחשוב מחשבות - א")</f>
        <v>קובץ לחשוב מחשבות - א</v>
      </c>
    </row>
    <row r="35179" spans="1:6" x14ac:dyDescent="0.2">
      <c r="A35179" t="s">
        <v>54471</v>
      </c>
      <c r="B35179" t="s">
        <v>54472</v>
      </c>
      <c r="C35179" t="s">
        <v>433</v>
      </c>
      <c r="D35179" t="s">
        <v>21</v>
      </c>
      <c r="E35179" t="s">
        <v>202</v>
      </c>
      <c r="F35179" s="2" t="str">
        <f>HYPERLINK("http://www.otzar.org/book.asp?196388","קובץ ליובל השבעים וחמש של ת""ת הספרדים")</f>
        <v>קובץ ליובל השבעים וחמש של ת"ת הספרדים</v>
      </c>
    </row>
    <row r="35180" spans="1:6" x14ac:dyDescent="0.2">
      <c r="A35180" t="s">
        <v>54473</v>
      </c>
      <c r="B35180" t="s">
        <v>54474</v>
      </c>
      <c r="C35180" t="s">
        <v>1208</v>
      </c>
      <c r="D35180" t="s">
        <v>14</v>
      </c>
      <c r="E35180" t="s">
        <v>384</v>
      </c>
      <c r="F35180" s="2" t="str">
        <f>HYPERLINK("http://www.otzar.org/book.asp?85187","קובץ ליקוטי הערות וחידושים")</f>
        <v>קובץ ליקוטי הערות וחידושים</v>
      </c>
    </row>
    <row r="35181" spans="1:6" x14ac:dyDescent="0.2">
      <c r="A35181" t="s">
        <v>54475</v>
      </c>
      <c r="B35181" t="s">
        <v>54476</v>
      </c>
      <c r="E35181" t="s">
        <v>104</v>
      </c>
      <c r="F35181" s="2" t="str">
        <f>HYPERLINK("http://www.otzar.org/book.asp?194222","קובץ ליקוטים לשבת")</f>
        <v>קובץ ליקוטים לשבת</v>
      </c>
    </row>
    <row r="35182" spans="1:6" x14ac:dyDescent="0.2">
      <c r="A35182" t="s">
        <v>54477</v>
      </c>
      <c r="B35182" t="s">
        <v>1750</v>
      </c>
      <c r="C35182" t="s">
        <v>133</v>
      </c>
      <c r="D35182" t="s">
        <v>54478</v>
      </c>
      <c r="E35182" t="s">
        <v>384</v>
      </c>
      <c r="F35182" s="2" t="str">
        <f>HYPERLINK("http://www.otzar.org/book.asp?193502","קובץ ללקוט שושנים")</f>
        <v>קובץ ללקוט שושנים</v>
      </c>
    </row>
    <row r="35183" spans="1:6" x14ac:dyDescent="0.2">
      <c r="A35183" t="s">
        <v>54479</v>
      </c>
      <c r="B35183" t="s">
        <v>382</v>
      </c>
      <c r="C35183" t="s">
        <v>133</v>
      </c>
      <c r="D35183" t="s">
        <v>423</v>
      </c>
      <c r="E35183" t="s">
        <v>768</v>
      </c>
      <c r="F35183" s="2" t="str">
        <f>HYPERLINK("http://www.otzar.org/book.asp?172070","קובץ למעשה")</f>
        <v>קובץ למעשה</v>
      </c>
    </row>
    <row r="35184" spans="1:6" x14ac:dyDescent="0.2">
      <c r="A35184" t="s">
        <v>54480</v>
      </c>
      <c r="B35184" t="s">
        <v>54481</v>
      </c>
      <c r="C35184" t="s">
        <v>68</v>
      </c>
      <c r="D35184" t="s">
        <v>52</v>
      </c>
      <c r="E35184" t="s">
        <v>4163</v>
      </c>
      <c r="F35184" s="2" t="str">
        <f>HYPERLINK("http://www.otzar.org/book.asp?85762","קובץ לקט הלכות - 3 כר'")</f>
        <v>קובץ לקט הלכות - 3 כר'</v>
      </c>
    </row>
    <row r="35185" spans="1:6" x14ac:dyDescent="0.2">
      <c r="A35185" t="s">
        <v>54482</v>
      </c>
      <c r="B35185" t="s">
        <v>54483</v>
      </c>
      <c r="E35185" t="s">
        <v>202</v>
      </c>
      <c r="F35185" s="2" t="str">
        <f>HYPERLINK("http://www.otzar.org/book.asp?621650","קובץ לקט הערות בהלכה - 2 כר'")</f>
        <v>קובץ לקט הערות בהלכה - 2 כר'</v>
      </c>
    </row>
    <row r="35186" spans="1:6" x14ac:dyDescent="0.2">
      <c r="A35186" t="s">
        <v>54484</v>
      </c>
      <c r="B35186" t="s">
        <v>1750</v>
      </c>
      <c r="C35186" t="s">
        <v>68</v>
      </c>
      <c r="D35186" t="s">
        <v>14</v>
      </c>
      <c r="E35186" t="s">
        <v>202</v>
      </c>
      <c r="F35186" s="2" t="str">
        <f>HYPERLINK("http://www.otzar.org/book.asp?85772","קובץ מאור השמש")</f>
        <v>קובץ מאור השמש</v>
      </c>
    </row>
    <row r="35187" spans="1:6" x14ac:dyDescent="0.2">
      <c r="A35187" t="s">
        <v>54485</v>
      </c>
      <c r="B35187" t="s">
        <v>54486</v>
      </c>
      <c r="C35187" t="s">
        <v>244</v>
      </c>
      <c r="D35187" t="s">
        <v>52</v>
      </c>
      <c r="E35187" t="s">
        <v>202</v>
      </c>
      <c r="F35187" s="2" t="str">
        <f>HYPERLINK("http://www.otzar.org/book.asp?628731","קובץ מאור התורה - 8 כר'")</f>
        <v>קובץ מאור התורה - 8 כר'</v>
      </c>
    </row>
    <row r="35188" spans="1:6" x14ac:dyDescent="0.2">
      <c r="A35188" t="s">
        <v>54487</v>
      </c>
      <c r="B35188" t="s">
        <v>54488</v>
      </c>
      <c r="C35188" t="s">
        <v>523</v>
      </c>
      <c r="D35188" t="s">
        <v>4519</v>
      </c>
      <c r="E35188" t="s">
        <v>186</v>
      </c>
      <c r="F35188" s="2" t="str">
        <f>HYPERLINK("http://www.otzar.org/book.asp?162106","קובץ מאור יעקב - שנים אוחזין")</f>
        <v>קובץ מאור יעקב - שנים אוחזין</v>
      </c>
    </row>
    <row r="35189" spans="1:6" x14ac:dyDescent="0.2">
      <c r="A35189" t="s">
        <v>54489</v>
      </c>
      <c r="B35189" t="s">
        <v>1750</v>
      </c>
      <c r="C35189" t="s">
        <v>129</v>
      </c>
      <c r="D35189" t="s">
        <v>52</v>
      </c>
      <c r="E35189" t="s">
        <v>202</v>
      </c>
      <c r="F35189" s="2" t="str">
        <f>HYPERLINK("http://www.otzar.org/book.asp?197576","קובץ מאור יצחק")</f>
        <v>קובץ מאור יצחק</v>
      </c>
    </row>
    <row r="35190" spans="1:6" x14ac:dyDescent="0.2">
      <c r="A35190" t="s">
        <v>54490</v>
      </c>
      <c r="B35190" t="s">
        <v>54491</v>
      </c>
      <c r="C35190" t="s">
        <v>37</v>
      </c>
      <c r="D35190" t="s">
        <v>90</v>
      </c>
      <c r="F35190" s="2" t="str">
        <f>HYPERLINK("http://www.otzar.org/book.asp?610792","קובץ מאור מיכאל")</f>
        <v>קובץ מאור מיכאל</v>
      </c>
    </row>
    <row r="35191" spans="1:6" x14ac:dyDescent="0.2">
      <c r="A35191" t="s">
        <v>54492</v>
      </c>
      <c r="B35191" t="s">
        <v>33841</v>
      </c>
      <c r="C35191" t="s">
        <v>919</v>
      </c>
      <c r="D35191" t="s">
        <v>2201</v>
      </c>
      <c r="E35191" t="s">
        <v>104</v>
      </c>
      <c r="F35191" s="2" t="str">
        <f>HYPERLINK("http://www.otzar.org/book.asp?624945","קובץ מאמרי אלול תש""ל ועשיה""ת תשל""א")</f>
        <v>קובץ מאמרי אלול תש"ל ועשיה"ת תשל"א</v>
      </c>
    </row>
    <row r="35192" spans="1:6" x14ac:dyDescent="0.2">
      <c r="A35192" t="s">
        <v>54493</v>
      </c>
      <c r="B35192" t="s">
        <v>54494</v>
      </c>
      <c r="C35192" t="s">
        <v>6054</v>
      </c>
      <c r="D35192" t="s">
        <v>260</v>
      </c>
      <c r="E35192" t="s">
        <v>199</v>
      </c>
      <c r="F35192" s="2" t="str">
        <f>HYPERLINK("http://www.otzar.org/book.asp?161783","קובץ מאמרי הערכה &lt;לזכר רש""ז שך&gt;")</f>
        <v>קובץ מאמרי הערכה &lt;לזכר רש"ז שך&gt;</v>
      </c>
    </row>
    <row r="35193" spans="1:6" x14ac:dyDescent="0.2">
      <c r="A35193" t="s">
        <v>54495</v>
      </c>
      <c r="B35193" t="s">
        <v>54496</v>
      </c>
      <c r="C35193" t="s">
        <v>37</v>
      </c>
      <c r="D35193" t="s">
        <v>14</v>
      </c>
      <c r="E35193" t="s">
        <v>104</v>
      </c>
      <c r="F35193" s="2" t="str">
        <f>HYPERLINK("http://www.otzar.org/book.asp?180900","קובץ מאמרי טוביה פרשל")</f>
        <v>קובץ מאמרי טוביה פרשל</v>
      </c>
    </row>
    <row r="35194" spans="1:6" x14ac:dyDescent="0.2">
      <c r="A35194" t="s">
        <v>54497</v>
      </c>
      <c r="B35194" t="s">
        <v>54498</v>
      </c>
      <c r="C35194" t="s">
        <v>151</v>
      </c>
      <c r="D35194" t="s">
        <v>90</v>
      </c>
      <c r="F35194" s="2" t="str">
        <f>HYPERLINK("http://www.otzar.org/book.asp?617815","קובץ מאמרים באגדה - 2 כר'")</f>
        <v>קובץ מאמרים באגדה - 2 כר'</v>
      </c>
    </row>
    <row r="35195" spans="1:6" x14ac:dyDescent="0.2">
      <c r="A35195" t="s">
        <v>54499</v>
      </c>
      <c r="B35195" t="s">
        <v>9041</v>
      </c>
      <c r="C35195" t="s">
        <v>114</v>
      </c>
      <c r="D35195" t="s">
        <v>52</v>
      </c>
      <c r="E35195" t="s">
        <v>104</v>
      </c>
      <c r="F35195" s="2" t="str">
        <f>HYPERLINK("http://www.otzar.org/book.asp?162070","קובץ מאמרים בחכמה אמרתי")</f>
        <v>קובץ מאמרים בחכמה אמרתי</v>
      </c>
    </row>
    <row r="35196" spans="1:6" x14ac:dyDescent="0.2">
      <c r="A35196" t="s">
        <v>54500</v>
      </c>
      <c r="B35196" t="s">
        <v>19533</v>
      </c>
      <c r="C35196" t="s">
        <v>332</v>
      </c>
      <c r="D35196" t="s">
        <v>14</v>
      </c>
      <c r="E35196" t="s">
        <v>674</v>
      </c>
      <c r="F35196" s="2" t="str">
        <f>HYPERLINK("http://www.otzar.org/book.asp?8221","קובץ מאמרים בעניני חשמל בשבת")</f>
        <v>קובץ מאמרים בעניני חשמל בשבת</v>
      </c>
    </row>
    <row r="35197" spans="1:6" x14ac:dyDescent="0.2">
      <c r="A35197" t="s">
        <v>54501</v>
      </c>
      <c r="B35197" t="s">
        <v>2697</v>
      </c>
      <c r="C35197" t="s">
        <v>146</v>
      </c>
      <c r="D35197" t="s">
        <v>14</v>
      </c>
      <c r="E35197" t="s">
        <v>213</v>
      </c>
      <c r="F35197" s="2" t="str">
        <f>HYPERLINK("http://www.otzar.org/book.asp?60089","קובץ מאמרים ואגרות - 2 כר'")</f>
        <v>קובץ מאמרים ואגרות - 2 כר'</v>
      </c>
    </row>
    <row r="35198" spans="1:6" x14ac:dyDescent="0.2">
      <c r="A35198" t="s">
        <v>54502</v>
      </c>
      <c r="B35198" t="s">
        <v>11015</v>
      </c>
      <c r="C35198" t="s">
        <v>332</v>
      </c>
      <c r="D35198" t="s">
        <v>14</v>
      </c>
      <c r="E35198" t="s">
        <v>140</v>
      </c>
      <c r="F35198" s="2" t="str">
        <f>HYPERLINK("http://www.otzar.org/book.asp?155418","קובץ מאמרים ותדפיסים")</f>
        <v>קובץ מאמרים ותדפיסים</v>
      </c>
    </row>
    <row r="35199" spans="1:6" x14ac:dyDescent="0.2">
      <c r="A35199" t="s">
        <v>54503</v>
      </c>
      <c r="B35199" t="s">
        <v>54504</v>
      </c>
      <c r="C35199" t="s">
        <v>129</v>
      </c>
      <c r="D35199" t="s">
        <v>14</v>
      </c>
      <c r="E35199" t="s">
        <v>202</v>
      </c>
      <c r="F35199" s="2" t="str">
        <f>HYPERLINK("http://www.otzar.org/book.asp?144498","קובץ מאמרים חזון ישעיה")</f>
        <v>קובץ מאמרים חזון ישעיה</v>
      </c>
    </row>
    <row r="35200" spans="1:6" x14ac:dyDescent="0.2">
      <c r="A35200" t="s">
        <v>54505</v>
      </c>
      <c r="B35200" t="s">
        <v>2632</v>
      </c>
      <c r="C35200" t="s">
        <v>1619</v>
      </c>
      <c r="D35200" t="s">
        <v>14</v>
      </c>
      <c r="E35200" t="s">
        <v>202</v>
      </c>
      <c r="F35200" s="2" t="str">
        <f>HYPERLINK("http://www.otzar.org/book.asp?154435","קובץ מאמרים לזכרו של הרב סעדיא שריאן")</f>
        <v>קובץ מאמרים לזכרו של הרב סעדיא שריאן</v>
      </c>
    </row>
    <row r="35201" spans="1:6" x14ac:dyDescent="0.2">
      <c r="A35201" t="s">
        <v>54506</v>
      </c>
      <c r="B35201" t="s">
        <v>45492</v>
      </c>
      <c r="E35201" t="s">
        <v>104</v>
      </c>
      <c r="F35201" s="2" t="str">
        <f>HYPERLINK("http://www.otzar.org/book.asp?626152","קובץ מאמרים לחניכות בית יעקב")</f>
        <v>קובץ מאמרים לחניכות בית יעקב</v>
      </c>
    </row>
    <row r="35202" spans="1:6" x14ac:dyDescent="0.2">
      <c r="A35202" t="s">
        <v>54507</v>
      </c>
      <c r="B35202" t="s">
        <v>29254</v>
      </c>
      <c r="C35202" t="s">
        <v>20</v>
      </c>
      <c r="D35202" t="s">
        <v>52</v>
      </c>
      <c r="E35202" t="s">
        <v>104</v>
      </c>
      <c r="F35202" s="2" t="str">
        <f>HYPERLINK("http://www.otzar.org/book.asp?162731","קובץ מאמרים פדגוגיים")</f>
        <v>קובץ מאמרים פדגוגיים</v>
      </c>
    </row>
    <row r="35203" spans="1:6" x14ac:dyDescent="0.2">
      <c r="A35203" t="s">
        <v>253</v>
      </c>
      <c r="B35203" t="s">
        <v>25063</v>
      </c>
      <c r="C35203" t="s">
        <v>313</v>
      </c>
      <c r="D35203" t="s">
        <v>14</v>
      </c>
      <c r="E35203" t="s">
        <v>213</v>
      </c>
      <c r="F35203" s="2" t="str">
        <f>HYPERLINK("http://www.otzar.org/book.asp?61114","קובץ מאמרים")</f>
        <v>קובץ מאמרים</v>
      </c>
    </row>
    <row r="35204" spans="1:6" x14ac:dyDescent="0.2">
      <c r="A35204" t="s">
        <v>54508</v>
      </c>
      <c r="B35204" t="s">
        <v>16352</v>
      </c>
      <c r="C35204" t="s">
        <v>146</v>
      </c>
      <c r="D35204" t="s">
        <v>14</v>
      </c>
      <c r="E35204" t="s">
        <v>104</v>
      </c>
      <c r="F35204" s="2" t="str">
        <f>HYPERLINK("http://www.otzar.org/book.asp?50203","קובץ מאמרים - 3 כר'")</f>
        <v>קובץ מאמרים - 3 כר'</v>
      </c>
    </row>
    <row r="35205" spans="1:6" x14ac:dyDescent="0.2">
      <c r="A35205" t="s">
        <v>253</v>
      </c>
      <c r="B35205" t="s">
        <v>2697</v>
      </c>
      <c r="C35205" t="s">
        <v>26</v>
      </c>
      <c r="D35205" t="s">
        <v>14</v>
      </c>
      <c r="E35205" t="s">
        <v>213</v>
      </c>
      <c r="F35205" s="2" t="str">
        <f>HYPERLINK("http://www.otzar.org/book.asp?6432","קובץ מאמרים")</f>
        <v>קובץ מאמרים</v>
      </c>
    </row>
    <row r="35206" spans="1:6" x14ac:dyDescent="0.2">
      <c r="A35206" t="s">
        <v>253</v>
      </c>
      <c r="B35206" t="s">
        <v>7686</v>
      </c>
      <c r="C35206" t="s">
        <v>454</v>
      </c>
      <c r="D35206" t="s">
        <v>52</v>
      </c>
      <c r="E35206" t="s">
        <v>104</v>
      </c>
      <c r="F35206" s="2" t="str">
        <f>HYPERLINK("http://www.otzar.org/book.asp?190744","קובץ מאמרים")</f>
        <v>קובץ מאמרים</v>
      </c>
    </row>
    <row r="35207" spans="1:6" x14ac:dyDescent="0.2">
      <c r="A35207" t="s">
        <v>54509</v>
      </c>
      <c r="B35207" t="s">
        <v>253</v>
      </c>
      <c r="C35207" t="s">
        <v>20</v>
      </c>
      <c r="D35207" t="s">
        <v>90</v>
      </c>
      <c r="E35207" t="s">
        <v>104</v>
      </c>
      <c r="F35207" s="2" t="str">
        <f>HYPERLINK("http://www.otzar.org/book.asp?162071","קובץ מאמרים - ליהודים היתה אורה ושמחה")</f>
        <v>קובץ מאמרים - ליהודים היתה אורה ושמחה</v>
      </c>
    </row>
    <row r="35208" spans="1:6" x14ac:dyDescent="0.2">
      <c r="A35208" t="s">
        <v>54510</v>
      </c>
      <c r="B35208" t="s">
        <v>54511</v>
      </c>
      <c r="C35208" t="s">
        <v>103</v>
      </c>
      <c r="D35208" t="s">
        <v>14</v>
      </c>
      <c r="E35208" t="s">
        <v>2091</v>
      </c>
      <c r="F35208" s="2" t="str">
        <f>HYPERLINK("http://www.otzar.org/book.asp?166916","קובץ מבי מדרשא בית יוסף")</f>
        <v>קובץ מבי מדרשא בית יוסף</v>
      </c>
    </row>
    <row r="35209" spans="1:6" x14ac:dyDescent="0.2">
      <c r="A35209" t="s">
        <v>54512</v>
      </c>
      <c r="B35209" t="s">
        <v>46259</v>
      </c>
      <c r="C35209" t="s">
        <v>244</v>
      </c>
      <c r="D35209" t="s">
        <v>14</v>
      </c>
      <c r="F35209" s="2" t="str">
        <f>HYPERLINK("http://www.otzar.org/book.asp?617175","קובץ מבי מדרשא - 2 כר'")</f>
        <v>קובץ מבי מדרשא - 2 כר'</v>
      </c>
    </row>
    <row r="35210" spans="1:6" x14ac:dyDescent="0.2">
      <c r="A35210" t="s">
        <v>54513</v>
      </c>
      <c r="B35210" t="s">
        <v>54514</v>
      </c>
      <c r="C35210" t="s">
        <v>151</v>
      </c>
      <c r="D35210" t="s">
        <v>1356</v>
      </c>
      <c r="E35210" t="s">
        <v>202</v>
      </c>
      <c r="F35210" s="2" t="str">
        <f>HYPERLINK("http://www.otzar.org/book.asp?627710","קובץ מבי מדרשא")</f>
        <v>קובץ מבי מדרשא</v>
      </c>
    </row>
    <row r="35211" spans="1:6" x14ac:dyDescent="0.2">
      <c r="A35211" t="s">
        <v>54515</v>
      </c>
      <c r="B35211" t="s">
        <v>54516</v>
      </c>
      <c r="C35211" t="s">
        <v>366</v>
      </c>
      <c r="D35211" t="s">
        <v>1156</v>
      </c>
      <c r="F35211" s="2" t="str">
        <f>HYPERLINK("http://www.otzar.org/book.asp?614456","קובץ מביני עמודי")</f>
        <v>קובץ מביני עמודי</v>
      </c>
    </row>
    <row r="35212" spans="1:6" x14ac:dyDescent="0.2">
      <c r="A35212" t="s">
        <v>54517</v>
      </c>
      <c r="B35212" t="s">
        <v>1750</v>
      </c>
      <c r="C35212" t="s">
        <v>111</v>
      </c>
      <c r="D35212" t="s">
        <v>90</v>
      </c>
      <c r="E35212" t="s">
        <v>202</v>
      </c>
      <c r="F35212" s="2" t="str">
        <f>HYPERLINK("http://www.otzar.org/book.asp?630015","קובץ מבית חזקיהו")</f>
        <v>קובץ מבית חזקיהו</v>
      </c>
    </row>
    <row r="35213" spans="1:6" x14ac:dyDescent="0.2">
      <c r="A35213" t="s">
        <v>54518</v>
      </c>
      <c r="B35213" t="s">
        <v>32357</v>
      </c>
      <c r="C35213" t="s">
        <v>37</v>
      </c>
      <c r="D35213" t="s">
        <v>52</v>
      </c>
      <c r="E35213" t="s">
        <v>144</v>
      </c>
      <c r="F35213" s="2" t="str">
        <f>HYPERLINK("http://www.otzar.org/book.asp?193803","קובץ מבקשי תורה - 3 כר'")</f>
        <v>קובץ מבקשי תורה - 3 כר'</v>
      </c>
    </row>
    <row r="35214" spans="1:6" x14ac:dyDescent="0.2">
      <c r="A35214" t="s">
        <v>54519</v>
      </c>
      <c r="B35214" t="s">
        <v>54520</v>
      </c>
      <c r="C35214" t="s">
        <v>767</v>
      </c>
      <c r="D35214" t="s">
        <v>412</v>
      </c>
      <c r="E35214" t="s">
        <v>202</v>
      </c>
      <c r="F35214" s="2" t="str">
        <f>HYPERLINK("http://www.otzar.org/book.asp?624542","קובץ מגדול ישועות - ב")</f>
        <v>קובץ מגדול ישועות - ב</v>
      </c>
    </row>
    <row r="35215" spans="1:6" x14ac:dyDescent="0.2">
      <c r="A35215" t="s">
        <v>54521</v>
      </c>
      <c r="B35215" t="s">
        <v>54522</v>
      </c>
      <c r="C35215" t="s">
        <v>189</v>
      </c>
      <c r="D35215" t="s">
        <v>14</v>
      </c>
      <c r="E35215" t="s">
        <v>202</v>
      </c>
      <c r="F35215" s="2" t="str">
        <f>HYPERLINK("http://www.otzar.org/book.asp?159047","קובץ מדרכי דוד - ב")</f>
        <v>קובץ מדרכי דוד - ב</v>
      </c>
    </row>
    <row r="35216" spans="1:6" x14ac:dyDescent="0.2">
      <c r="A35216" t="s">
        <v>54523</v>
      </c>
      <c r="B35216" t="s">
        <v>54524</v>
      </c>
      <c r="C35216" t="s">
        <v>37</v>
      </c>
      <c r="D35216" t="s">
        <v>52</v>
      </c>
      <c r="E35216" t="s">
        <v>144</v>
      </c>
      <c r="F35216" s="2" t="str">
        <f>HYPERLINK("http://www.otzar.org/book.asp?183074","קובץ מדרכי החיים")</f>
        <v>קובץ מדרכי החיים</v>
      </c>
    </row>
    <row r="35217" spans="1:6" x14ac:dyDescent="0.2">
      <c r="A35217" t="s">
        <v>54525</v>
      </c>
      <c r="B35217" t="s">
        <v>16688</v>
      </c>
      <c r="C35217" t="s">
        <v>129</v>
      </c>
      <c r="D35217" t="s">
        <v>52</v>
      </c>
      <c r="F35217" s="2" t="str">
        <f>HYPERLINK("http://www.otzar.org/book.asp?616184","קובץ מדרכי המשפט")</f>
        <v>קובץ מדרכי המשפט</v>
      </c>
    </row>
    <row r="35218" spans="1:6" x14ac:dyDescent="0.2">
      <c r="A35218" t="s">
        <v>54526</v>
      </c>
      <c r="B35218" t="s">
        <v>1750</v>
      </c>
      <c r="C35218" t="s">
        <v>767</v>
      </c>
      <c r="D35218" t="s">
        <v>14</v>
      </c>
      <c r="E35218" t="s">
        <v>2248</v>
      </c>
      <c r="F35218" s="2" t="str">
        <f>HYPERLINK("http://www.otzar.org/book.asp?143100","קובץ מדרש דוד - 3 כר'")</f>
        <v>קובץ מדרש דוד - 3 כר'</v>
      </c>
    </row>
    <row r="35219" spans="1:6" x14ac:dyDescent="0.2">
      <c r="A35219" t="s">
        <v>54527</v>
      </c>
      <c r="B35219" t="s">
        <v>54528</v>
      </c>
      <c r="C35219" t="s">
        <v>114</v>
      </c>
      <c r="D35219" t="s">
        <v>216</v>
      </c>
      <c r="E35219" t="s">
        <v>10</v>
      </c>
      <c r="F35219" s="2" t="str">
        <f>HYPERLINK("http://www.otzar.org/book.asp?625428","קובץ מדרש רשב""י - 2 כר'")</f>
        <v>קובץ מדרש רשב"י - 2 כר'</v>
      </c>
    </row>
    <row r="35220" spans="1:6" x14ac:dyDescent="0.2">
      <c r="A35220" t="s">
        <v>54529</v>
      </c>
      <c r="B35220" t="s">
        <v>33207</v>
      </c>
      <c r="C35220" t="s">
        <v>111</v>
      </c>
      <c r="D35220" t="s">
        <v>14</v>
      </c>
      <c r="E35220" t="s">
        <v>202</v>
      </c>
      <c r="F35220" s="2" t="str">
        <f>HYPERLINK("http://www.otzar.org/book.asp?627426","קובץ מה טובו אהליך יעקב - 6 כר'")</f>
        <v>קובץ מה טובו אהליך יעקב - 6 כר'</v>
      </c>
    </row>
    <row r="35221" spans="1:6" x14ac:dyDescent="0.2">
      <c r="A35221" t="s">
        <v>54530</v>
      </c>
      <c r="B35221" t="s">
        <v>54531</v>
      </c>
      <c r="C35221" t="s">
        <v>111</v>
      </c>
      <c r="D35221" t="s">
        <v>10588</v>
      </c>
      <c r="E35221" t="s">
        <v>140</v>
      </c>
      <c r="F35221" s="2" t="str">
        <f>HYPERLINK("http://www.otzar.org/book.asp?624892","קובץ מה שאני מבקש")</f>
        <v>קובץ מה שאני מבקש</v>
      </c>
    </row>
    <row r="35222" spans="1:6" x14ac:dyDescent="0.2">
      <c r="A35222" t="s">
        <v>54532</v>
      </c>
      <c r="B35222" t="s">
        <v>54533</v>
      </c>
      <c r="C35222" t="s">
        <v>1619</v>
      </c>
      <c r="D35222" t="s">
        <v>52</v>
      </c>
      <c r="E35222" t="s">
        <v>241</v>
      </c>
      <c r="F35222" s="2" t="str">
        <f>HYPERLINK("http://www.otzar.org/book.asp?624693","קובץ מוסר אבות")</f>
        <v>קובץ מוסר אבות</v>
      </c>
    </row>
    <row r="35223" spans="1:6" x14ac:dyDescent="0.2">
      <c r="A35223" t="s">
        <v>54534</v>
      </c>
      <c r="B35223" t="s">
        <v>54535</v>
      </c>
      <c r="C35223" t="s">
        <v>37</v>
      </c>
      <c r="D35223" t="s">
        <v>52</v>
      </c>
      <c r="E35223" t="s">
        <v>1517</v>
      </c>
      <c r="F35223" s="2" t="str">
        <f>HYPERLINK("http://www.otzar.org/book.asp?182567","קובץ מועדי תשרי")</f>
        <v>קובץ מועדי תשרי</v>
      </c>
    </row>
    <row r="35224" spans="1:6" x14ac:dyDescent="0.2">
      <c r="A35224" t="s">
        <v>54536</v>
      </c>
      <c r="B35224" t="s">
        <v>1750</v>
      </c>
      <c r="C35224" t="s">
        <v>411</v>
      </c>
      <c r="D35224" t="s">
        <v>412</v>
      </c>
      <c r="E35224" t="s">
        <v>202</v>
      </c>
      <c r="F35224" s="2" t="str">
        <f>HYPERLINK("http://www.otzar.org/book.asp?172860","קובץ מזכרת נצח")</f>
        <v>קובץ מזכרת נצח</v>
      </c>
    </row>
    <row r="35225" spans="1:6" x14ac:dyDescent="0.2">
      <c r="A35225" t="s">
        <v>54537</v>
      </c>
      <c r="B35225" t="s">
        <v>42478</v>
      </c>
      <c r="C35225" t="s">
        <v>20</v>
      </c>
      <c r="D35225" t="s">
        <v>2285</v>
      </c>
      <c r="E35225" t="s">
        <v>144</v>
      </c>
      <c r="F35225" s="2" t="str">
        <f>HYPERLINK("http://www.otzar.org/book.asp?163995","קובץ מחידושי מרן הרב")</f>
        <v>קובץ מחידושי מרן הרב</v>
      </c>
    </row>
    <row r="35226" spans="1:6" x14ac:dyDescent="0.2">
      <c r="A35226" t="s">
        <v>54538</v>
      </c>
      <c r="B35226" t="s">
        <v>54539</v>
      </c>
      <c r="C35226" t="s">
        <v>1208</v>
      </c>
      <c r="D35226" t="s">
        <v>52</v>
      </c>
      <c r="E35226" t="s">
        <v>202</v>
      </c>
      <c r="F35226" s="2" t="str">
        <f>HYPERLINK("http://www.otzar.org/book.asp?159792","קובץ מחנה אברהם")</f>
        <v>קובץ מחנה אברהם</v>
      </c>
    </row>
    <row r="35227" spans="1:6" x14ac:dyDescent="0.2">
      <c r="A35227" t="s">
        <v>54540</v>
      </c>
      <c r="B35227" t="s">
        <v>54541</v>
      </c>
      <c r="C35227" t="s">
        <v>111</v>
      </c>
      <c r="D35227" t="s">
        <v>15943</v>
      </c>
      <c r="E35227" t="s">
        <v>393</v>
      </c>
      <c r="F35227" s="2" t="str">
        <f>HYPERLINK("http://www.otzar.org/book.asp?630314","קובץ מחנה קיץ")</f>
        <v>קובץ מחנה קיץ</v>
      </c>
    </row>
    <row r="35228" spans="1:6" x14ac:dyDescent="0.2">
      <c r="A35228" t="s">
        <v>54542</v>
      </c>
      <c r="B35228" t="s">
        <v>54543</v>
      </c>
      <c r="C35228" t="s">
        <v>111</v>
      </c>
      <c r="D35228" t="s">
        <v>90</v>
      </c>
      <c r="F35228" s="2" t="str">
        <f>HYPERLINK("http://www.otzar.org/book.asp?632060","קובץ מילי דשמעתתא")</f>
        <v>קובץ מילי דשמעתתא</v>
      </c>
    </row>
    <row r="35229" spans="1:6" x14ac:dyDescent="0.2">
      <c r="A35229" t="s">
        <v>54544</v>
      </c>
      <c r="B35229" t="s">
        <v>54545</v>
      </c>
      <c r="C35229" t="s">
        <v>129</v>
      </c>
      <c r="D35229" t="s">
        <v>14</v>
      </c>
      <c r="E35229" t="s">
        <v>1185</v>
      </c>
      <c r="F35229" s="2" t="str">
        <f>HYPERLINK("http://www.otzar.org/book.asp?153893","קובץ מילין קדישין - תשס""ז")</f>
        <v>קובץ מילין קדישין - תשס"ז</v>
      </c>
    </row>
    <row r="35230" spans="1:6" x14ac:dyDescent="0.2">
      <c r="A35230" t="s">
        <v>54546</v>
      </c>
      <c r="B35230" t="s">
        <v>1750</v>
      </c>
      <c r="C35230" t="s">
        <v>87</v>
      </c>
      <c r="D35230" t="s">
        <v>3560</v>
      </c>
      <c r="E35230" t="s">
        <v>2091</v>
      </c>
      <c r="F35230" s="2" t="str">
        <f>HYPERLINK("http://www.otzar.org/book.asp?26855","קובץ מים חיים")</f>
        <v>קובץ מים חיים</v>
      </c>
    </row>
    <row r="35231" spans="1:6" x14ac:dyDescent="0.2">
      <c r="A35231" t="s">
        <v>54547</v>
      </c>
      <c r="B35231" t="s">
        <v>206</v>
      </c>
      <c r="C35231" t="s">
        <v>20</v>
      </c>
      <c r="D35231" t="s">
        <v>90</v>
      </c>
      <c r="E35231" t="s">
        <v>104</v>
      </c>
      <c r="F35231" s="2" t="str">
        <f>HYPERLINK("http://www.otzar.org/book.asp?629882","קובץ מכתבי הרבנים בענין השיער הבא מהודו")</f>
        <v>קובץ מכתבי הרבנים בענין השיער הבא מהודו</v>
      </c>
    </row>
    <row r="35232" spans="1:6" x14ac:dyDescent="0.2">
      <c r="A35232" t="s">
        <v>54548</v>
      </c>
      <c r="B35232" t="s">
        <v>54549</v>
      </c>
      <c r="C35232" t="s">
        <v>54550</v>
      </c>
      <c r="D35232" t="s">
        <v>27</v>
      </c>
      <c r="E35232" t="s">
        <v>733</v>
      </c>
      <c r="F35232" s="2" t="str">
        <f>HYPERLINK("http://www.otzar.org/book.asp?150033","קובץ מכתבים ותעודות")</f>
        <v>קובץ מכתבים ותעודות</v>
      </c>
    </row>
    <row r="35233" spans="1:6" x14ac:dyDescent="0.2">
      <c r="A35233" t="s">
        <v>54551</v>
      </c>
      <c r="B35233" t="s">
        <v>46053</v>
      </c>
      <c r="C35233" t="s">
        <v>1268</v>
      </c>
      <c r="D35233" t="s">
        <v>52</v>
      </c>
      <c r="F35233" s="2" t="str">
        <f>HYPERLINK("http://www.otzar.org/book.asp?616307","קובץ מכתבים מאת מרן בעל חזו""א")</f>
        <v>קובץ מכתבים מאת מרן בעל חזו"א</v>
      </c>
    </row>
    <row r="35234" spans="1:6" x14ac:dyDescent="0.2">
      <c r="A35234" t="s">
        <v>54552</v>
      </c>
      <c r="B35234" t="s">
        <v>54553</v>
      </c>
      <c r="C35234" t="s">
        <v>767</v>
      </c>
      <c r="D35234" t="s">
        <v>52</v>
      </c>
      <c r="E35234" t="s">
        <v>104</v>
      </c>
      <c r="F35234" s="2" t="str">
        <f>HYPERLINK("http://www.otzar.org/book.asp?161827","קובץ מכתבים מאת רבותינו גדולי ישראל")</f>
        <v>קובץ מכתבים מאת רבותינו גדולי ישראל</v>
      </c>
    </row>
    <row r="35235" spans="1:6" x14ac:dyDescent="0.2">
      <c r="A35235" t="s">
        <v>54554</v>
      </c>
      <c r="B35235" t="s">
        <v>54555</v>
      </c>
      <c r="C35235" t="s">
        <v>1208</v>
      </c>
      <c r="D35235" t="s">
        <v>646</v>
      </c>
      <c r="E35235" t="s">
        <v>104</v>
      </c>
      <c r="F35235" s="2" t="str">
        <f>HYPERLINK("http://www.otzar.org/book.asp?158202","קובץ מכתבים מגדולי מדינת הגר")</f>
        <v>קובץ מכתבים מגדולי מדינת הגר</v>
      </c>
    </row>
    <row r="35236" spans="1:6" x14ac:dyDescent="0.2">
      <c r="A35236" t="s">
        <v>54556</v>
      </c>
      <c r="B35236" t="s">
        <v>15342</v>
      </c>
      <c r="C35236" t="s">
        <v>20988</v>
      </c>
      <c r="D35236" t="s">
        <v>535</v>
      </c>
      <c r="E35236" t="s">
        <v>54557</v>
      </c>
      <c r="F35236" s="2" t="str">
        <f>HYPERLINK("http://www.otzar.org/book.asp?520","קובץ מכתבים מקוריים")</f>
        <v>קובץ מכתבים מקוריים</v>
      </c>
    </row>
    <row r="35237" spans="1:6" x14ac:dyDescent="0.2">
      <c r="A35237" t="s">
        <v>46053</v>
      </c>
      <c r="B35237" t="s">
        <v>1750</v>
      </c>
      <c r="C35237" t="s">
        <v>585</v>
      </c>
      <c r="D35237" t="s">
        <v>52</v>
      </c>
      <c r="E35237" t="s">
        <v>213</v>
      </c>
      <c r="F35237" s="2" t="str">
        <f>HYPERLINK("http://www.otzar.org/book.asp?103709","קובץ מכתבים")</f>
        <v>קובץ מכתבים</v>
      </c>
    </row>
    <row r="35238" spans="1:6" x14ac:dyDescent="0.2">
      <c r="A35238" t="s">
        <v>54558</v>
      </c>
      <c r="B35238" t="s">
        <v>54559</v>
      </c>
      <c r="C35238" t="s">
        <v>68</v>
      </c>
      <c r="D35238" t="s">
        <v>90</v>
      </c>
      <c r="F35238" s="2" t="str">
        <f>HYPERLINK("http://www.otzar.org/book.asp?611025","קובץ מלכות בית דוד -  ז לאורו ניסע ונלך")</f>
        <v>קובץ מלכות בית דוד -  ז לאורו ניסע ונלך</v>
      </c>
    </row>
    <row r="35239" spans="1:6" x14ac:dyDescent="0.2">
      <c r="A35239" t="s">
        <v>54560</v>
      </c>
      <c r="B35239" t="s">
        <v>54561</v>
      </c>
      <c r="C35239" t="s">
        <v>111</v>
      </c>
      <c r="D35239" t="s">
        <v>90</v>
      </c>
      <c r="E35239" t="s">
        <v>186</v>
      </c>
      <c r="F35239" s="2" t="str">
        <f>HYPERLINK("http://www.otzar.org/book.asp?630819","קובץ מן הבאר - בבא מציעא")</f>
        <v>קובץ מן הבאר - בבא מציעא</v>
      </c>
    </row>
    <row r="35240" spans="1:6" x14ac:dyDescent="0.2">
      <c r="A35240" t="s">
        <v>54562</v>
      </c>
      <c r="B35240" t="s">
        <v>54563</v>
      </c>
      <c r="C35240" t="s">
        <v>111</v>
      </c>
      <c r="D35240" t="s">
        <v>1550</v>
      </c>
      <c r="E35240" t="s">
        <v>202</v>
      </c>
      <c r="F35240" s="2" t="str">
        <f>HYPERLINK("http://www.otzar.org/book.asp?627474","קובץ מנורה בדרום - 5 כר'")</f>
        <v>קובץ מנורה בדרום - 5 כר'</v>
      </c>
    </row>
    <row r="35241" spans="1:6" x14ac:dyDescent="0.2">
      <c r="A35241" t="s">
        <v>54564</v>
      </c>
      <c r="B35241" t="s">
        <v>54565</v>
      </c>
      <c r="C35241" t="s">
        <v>20</v>
      </c>
      <c r="D35241" t="s">
        <v>21</v>
      </c>
      <c r="F35241" s="2" t="str">
        <f>HYPERLINK("http://www.otzar.org/book.asp?600364","קובץ מנחם ציון")</f>
        <v>קובץ מנחם ציון</v>
      </c>
    </row>
    <row r="35242" spans="1:6" x14ac:dyDescent="0.2">
      <c r="A35242" t="s">
        <v>54566</v>
      </c>
      <c r="B35242" t="s">
        <v>2663</v>
      </c>
      <c r="C35242" t="s">
        <v>411</v>
      </c>
      <c r="D35242" t="s">
        <v>1076</v>
      </c>
      <c r="E35242" t="s">
        <v>202</v>
      </c>
      <c r="F35242" s="2" t="str">
        <f>HYPERLINK("http://www.otzar.org/book.asp?168581","קובץ מנחת דוד")</f>
        <v>קובץ מנחת דוד</v>
      </c>
    </row>
    <row r="35243" spans="1:6" x14ac:dyDescent="0.2">
      <c r="A35243" t="s">
        <v>54567</v>
      </c>
      <c r="B35243" t="s">
        <v>54568</v>
      </c>
      <c r="C35243" t="s">
        <v>68</v>
      </c>
      <c r="D35243" t="s">
        <v>14</v>
      </c>
      <c r="E35243" t="s">
        <v>202</v>
      </c>
      <c r="F35243" s="2" t="str">
        <f>HYPERLINK("http://www.otzar.org/book.asp?162127","קובץ מנחת הבוקר")</f>
        <v>קובץ מנחת הבוקר</v>
      </c>
    </row>
    <row r="35244" spans="1:6" x14ac:dyDescent="0.2">
      <c r="A35244" t="s">
        <v>54569</v>
      </c>
      <c r="B35244" t="s">
        <v>54570</v>
      </c>
      <c r="C35244" t="s">
        <v>71</v>
      </c>
      <c r="D35244" t="s">
        <v>412</v>
      </c>
      <c r="E35244" t="s">
        <v>202</v>
      </c>
      <c r="F35244" s="2" t="str">
        <f>HYPERLINK("http://www.otzar.org/book.asp?142798","קובץ מנחת הקיץ - 5 כר'")</f>
        <v>קובץ מנחת הקיץ - 5 כר'</v>
      </c>
    </row>
    <row r="35245" spans="1:6" x14ac:dyDescent="0.2">
      <c r="A35245" t="s">
        <v>54571</v>
      </c>
      <c r="B35245" t="s">
        <v>1750</v>
      </c>
      <c r="C35245" t="s">
        <v>146</v>
      </c>
      <c r="D35245" t="s">
        <v>412</v>
      </c>
      <c r="E35245" t="s">
        <v>202</v>
      </c>
      <c r="F35245" s="2" t="str">
        <f>HYPERLINK("http://www.otzar.org/book.asp?142803","קובץ מנחת הקיץ")</f>
        <v>קובץ מנחת הקיץ</v>
      </c>
    </row>
    <row r="35246" spans="1:6" x14ac:dyDescent="0.2">
      <c r="A35246" t="s">
        <v>54572</v>
      </c>
      <c r="B35246" t="s">
        <v>1750</v>
      </c>
      <c r="C35246" t="s">
        <v>176</v>
      </c>
      <c r="D35246" t="s">
        <v>14</v>
      </c>
      <c r="E35246" t="s">
        <v>202</v>
      </c>
      <c r="F35246" s="2" t="str">
        <f>HYPERLINK("http://www.otzar.org/book.asp?159901","קובץ מנחת יהודה")</f>
        <v>קובץ מנחת יהודה</v>
      </c>
    </row>
    <row r="35247" spans="1:6" x14ac:dyDescent="0.2">
      <c r="A35247" t="s">
        <v>54573</v>
      </c>
      <c r="B35247" t="s">
        <v>54574</v>
      </c>
      <c r="C35247" t="s">
        <v>51</v>
      </c>
      <c r="D35247" t="s">
        <v>9909</v>
      </c>
      <c r="E35247" t="s">
        <v>202</v>
      </c>
      <c r="F35247" s="2" t="str">
        <f>HYPERLINK("http://www.otzar.org/book.asp?195794","קובץ מסיני בא")</f>
        <v>קובץ מסיני בא</v>
      </c>
    </row>
    <row r="35248" spans="1:6" x14ac:dyDescent="0.2">
      <c r="A35248" t="s">
        <v>54575</v>
      </c>
      <c r="B35248" t="s">
        <v>54576</v>
      </c>
      <c r="C35248" t="s">
        <v>366</v>
      </c>
      <c r="D35248" t="s">
        <v>14</v>
      </c>
      <c r="F35248" s="2" t="str">
        <f>HYPERLINK("http://www.otzar.org/book.asp?616038","קובץ מסע הקודש")</f>
        <v>קובץ מסע הקודש</v>
      </c>
    </row>
    <row r="35249" spans="1:6" x14ac:dyDescent="0.2">
      <c r="A35249" t="s">
        <v>54577</v>
      </c>
      <c r="B35249" t="s">
        <v>54578</v>
      </c>
      <c r="C35249" t="s">
        <v>151</v>
      </c>
      <c r="D35249" t="s">
        <v>367</v>
      </c>
      <c r="F35249" s="2" t="str">
        <f>HYPERLINK("http://www.otzar.org/book.asp?610876","קובץ מעיין התורה - רבית, נדה")</f>
        <v>קובץ מעיין התורה - רבית, נדה</v>
      </c>
    </row>
    <row r="35250" spans="1:6" x14ac:dyDescent="0.2">
      <c r="A35250" t="s">
        <v>54579</v>
      </c>
      <c r="B35250" t="s">
        <v>54580</v>
      </c>
      <c r="C35250" t="s">
        <v>411</v>
      </c>
      <c r="D35250" t="s">
        <v>367</v>
      </c>
      <c r="E35250" t="s">
        <v>2091</v>
      </c>
      <c r="F35250" s="2" t="str">
        <f>HYPERLINK("http://www.otzar.org/book.asp?169882","קובץ מעייני הישועה - בשר בחלב, תערובות")</f>
        <v>קובץ מעייני הישועה - בשר בחלב, תערובות</v>
      </c>
    </row>
    <row r="35251" spans="1:6" x14ac:dyDescent="0.2">
      <c r="A35251" t="s">
        <v>54581</v>
      </c>
      <c r="B35251" t="s">
        <v>54580</v>
      </c>
      <c r="C35251" t="s">
        <v>37</v>
      </c>
      <c r="D35251" t="s">
        <v>367</v>
      </c>
      <c r="F35251" s="2" t="str">
        <f>HYPERLINK("http://www.otzar.org/book.asp?610836","קובץ מעייני ישועה")</f>
        <v>קובץ מעייני ישועה</v>
      </c>
    </row>
    <row r="35252" spans="1:6" x14ac:dyDescent="0.2">
      <c r="A35252" t="s">
        <v>54582</v>
      </c>
      <c r="B35252" t="s">
        <v>1750</v>
      </c>
      <c r="C35252" t="s">
        <v>133</v>
      </c>
      <c r="D35252" t="s">
        <v>32621</v>
      </c>
      <c r="E35252" t="s">
        <v>202</v>
      </c>
      <c r="F35252" s="2" t="str">
        <f>HYPERLINK("http://www.otzar.org/book.asp?177140","קובץ מעלות התורה")</f>
        <v>קובץ מעלות התורה</v>
      </c>
    </row>
    <row r="35253" spans="1:6" x14ac:dyDescent="0.2">
      <c r="A35253" t="s">
        <v>54583</v>
      </c>
      <c r="B35253" t="s">
        <v>54583</v>
      </c>
      <c r="C35253" t="s">
        <v>1414</v>
      </c>
      <c r="D35253" t="s">
        <v>280</v>
      </c>
      <c r="E35253" t="s">
        <v>3489</v>
      </c>
      <c r="F35253" s="2" t="str">
        <f>HYPERLINK("http://www.otzar.org/book.asp?84","קובץ מעשי ידי גאונים קדמונים")</f>
        <v>קובץ מעשי ידי גאונים קדמונים</v>
      </c>
    </row>
    <row r="35254" spans="1:6" x14ac:dyDescent="0.2">
      <c r="A35254" t="s">
        <v>54584</v>
      </c>
      <c r="B35254" t="s">
        <v>3035</v>
      </c>
      <c r="C35254" t="s">
        <v>1374</v>
      </c>
      <c r="D35254" t="s">
        <v>54585</v>
      </c>
      <c r="E35254" t="s">
        <v>158</v>
      </c>
      <c r="F35254" s="2" t="str">
        <f>HYPERLINK("http://www.otzar.org/book.asp?624742","קובץ מפרשי התורה")</f>
        <v>קובץ מפרשי התורה</v>
      </c>
    </row>
    <row r="35255" spans="1:6" x14ac:dyDescent="0.2">
      <c r="A35255" t="s">
        <v>54586</v>
      </c>
      <c r="B35255" t="s">
        <v>54586</v>
      </c>
      <c r="C35255" t="s">
        <v>334</v>
      </c>
      <c r="D35255" t="s">
        <v>52</v>
      </c>
      <c r="E35255" t="s">
        <v>1211</v>
      </c>
      <c r="F35255" s="2" t="str">
        <f>HYPERLINK("http://www.otzar.org/book.asp?7777","קובץ מפרשי מהרש""א")</f>
        <v>קובץ מפרשי מהרש"א</v>
      </c>
    </row>
    <row r="35256" spans="1:6" x14ac:dyDescent="0.2">
      <c r="A35256" t="s">
        <v>54587</v>
      </c>
      <c r="B35256" t="s">
        <v>9476</v>
      </c>
      <c r="C35256" t="s">
        <v>422</v>
      </c>
      <c r="D35256" t="s">
        <v>14</v>
      </c>
      <c r="E35256" t="s">
        <v>144</v>
      </c>
      <c r="F35256" s="2" t="str">
        <f>HYPERLINK("http://www.otzar.org/book.asp?607411","קובץ מפרשים גאוני בתראי - 3 כר'")</f>
        <v>קובץ מפרשים גאוני בתראי - 3 כר'</v>
      </c>
    </row>
    <row r="35257" spans="1:6" x14ac:dyDescent="0.2">
      <c r="A35257" t="s">
        <v>54588</v>
      </c>
      <c r="B35257" t="s">
        <v>54589</v>
      </c>
      <c r="C35257" t="s">
        <v>411</v>
      </c>
      <c r="D35257" t="s">
        <v>152</v>
      </c>
      <c r="E35257" t="s">
        <v>144</v>
      </c>
      <c r="F35257" s="2" t="str">
        <f>HYPERLINK("http://www.otzar.org/book.asp?167642","קובץ מפרשים החדש - 2 כר'")</f>
        <v>קובץ מפרשים החדש - 2 כר'</v>
      </c>
    </row>
    <row r="35258" spans="1:6" x14ac:dyDescent="0.2">
      <c r="A35258" t="s">
        <v>54590</v>
      </c>
      <c r="B35258" t="s">
        <v>54591</v>
      </c>
      <c r="C35258" t="s">
        <v>133</v>
      </c>
      <c r="D35258" t="s">
        <v>14</v>
      </c>
      <c r="E35258" t="s">
        <v>144</v>
      </c>
      <c r="F35258" s="2" t="str">
        <f>HYPERLINK("http://www.otzar.org/book.asp?174663","קובץ מפרשים הערוך - 4 כר'")</f>
        <v>קובץ מפרשים הערוך - 4 כר'</v>
      </c>
    </row>
    <row r="35259" spans="1:6" x14ac:dyDescent="0.2">
      <c r="A35259" t="s">
        <v>54592</v>
      </c>
      <c r="B35259" t="s">
        <v>54593</v>
      </c>
      <c r="C35259" t="s">
        <v>37</v>
      </c>
      <c r="D35259" t="s">
        <v>14</v>
      </c>
      <c r="E35259" t="s">
        <v>144</v>
      </c>
      <c r="F35259" s="2" t="str">
        <f>HYPERLINK("http://www.otzar.org/book.asp?179557","קובץ מפרשים יומא - 3 כר'")</f>
        <v>קובץ מפרשים יומא - 3 כר'</v>
      </c>
    </row>
    <row r="35260" spans="1:6" x14ac:dyDescent="0.2">
      <c r="A35260" t="s">
        <v>54594</v>
      </c>
      <c r="B35260" t="e">
        <f>- ביכלר, יחיאל - מיטניק, יצחק (עורכים)</f>
        <v>#NAME?</v>
      </c>
      <c r="C35260" t="s">
        <v>189</v>
      </c>
      <c r="D35260" t="s">
        <v>14</v>
      </c>
      <c r="E35260" t="s">
        <v>144</v>
      </c>
      <c r="F35260" s="2" t="str">
        <f>HYPERLINK("http://www.otzar.org/book.asp?166511","קובץ מפרשים על מסכת ערכין - 3 כר'")</f>
        <v>קובץ מפרשים על מסכת ערכין - 3 כר'</v>
      </c>
    </row>
    <row r="35261" spans="1:6" x14ac:dyDescent="0.2">
      <c r="A35261" t="s">
        <v>54595</v>
      </c>
      <c r="B35261" t="s">
        <v>9476</v>
      </c>
      <c r="C35261" t="s">
        <v>37</v>
      </c>
      <c r="D35261" t="s">
        <v>21</v>
      </c>
      <c r="E35261" t="s">
        <v>144</v>
      </c>
      <c r="F35261" s="2" t="str">
        <f>HYPERLINK("http://www.otzar.org/book.asp?193231","קובץ מפרשים על מסכת ר""ה - 2 כר'")</f>
        <v>קובץ מפרשים על מסכת ר"ה - 2 כר'</v>
      </c>
    </row>
    <row r="35262" spans="1:6" x14ac:dyDescent="0.2">
      <c r="A35262" t="s">
        <v>54596</v>
      </c>
      <c r="B35262" t="e">
        <f>- בן חיים, גד - מיטניק, יצחק (עורכים)</f>
        <v>#NAME?</v>
      </c>
      <c r="C35262" t="s">
        <v>422</v>
      </c>
      <c r="D35262" t="s">
        <v>14</v>
      </c>
      <c r="F35262" s="2" t="str">
        <f>HYPERLINK("http://www.otzar.org/book.asp?153209","קובץ מפרשים על מסכת שבת - 2 כר'")</f>
        <v>קובץ מפרשים על מסכת שבת - 2 כר'</v>
      </c>
    </row>
    <row r="35263" spans="1:6" x14ac:dyDescent="0.2">
      <c r="A35263" t="s">
        <v>54597</v>
      </c>
      <c r="B35263" t="s">
        <v>9476</v>
      </c>
      <c r="C35263" t="s">
        <v>454</v>
      </c>
      <c r="D35263" t="s">
        <v>412</v>
      </c>
      <c r="F35263" s="2" t="str">
        <f>HYPERLINK("http://www.otzar.org/book.asp?156595","קובץ מפרשים על עבודה זרה - 3 כר'")</f>
        <v>קובץ מפרשים על עבודה זרה - 3 כר'</v>
      </c>
    </row>
    <row r="35264" spans="1:6" x14ac:dyDescent="0.2">
      <c r="A35264" t="s">
        <v>54598</v>
      </c>
      <c r="B35264" t="s">
        <v>54599</v>
      </c>
      <c r="F35264" s="2" t="str">
        <f>HYPERLINK("http://www.otzar.org/book.asp?611024","קובץ מקום שמגדלין בו תפילה")</f>
        <v>קובץ מקום שמגדלין בו תפילה</v>
      </c>
    </row>
    <row r="35265" spans="1:6" x14ac:dyDescent="0.2">
      <c r="A35265" t="s">
        <v>54600</v>
      </c>
      <c r="B35265" t="s">
        <v>54601</v>
      </c>
      <c r="C35265" t="s">
        <v>133</v>
      </c>
      <c r="D35265" t="s">
        <v>52</v>
      </c>
      <c r="E35265" t="s">
        <v>202</v>
      </c>
      <c r="F35265" s="2" t="str">
        <f>HYPERLINK("http://www.otzar.org/book.asp?197977","קובץ מראה כהן")</f>
        <v>קובץ מראה כהן</v>
      </c>
    </row>
    <row r="35266" spans="1:6" x14ac:dyDescent="0.2">
      <c r="A35266" t="s">
        <v>54602</v>
      </c>
      <c r="B35266" t="s">
        <v>1750</v>
      </c>
      <c r="E35266" t="s">
        <v>144</v>
      </c>
      <c r="F35266" s="2" t="str">
        <f>HYPERLINK("http://www.otzar.org/book.asp?623504","קובץ מראה מקומות  אהל גדליה - המוכר את הספינה")</f>
        <v>קובץ מראה מקומות  אהל גדליה - המוכר את הספינה</v>
      </c>
    </row>
    <row r="35267" spans="1:6" x14ac:dyDescent="0.2">
      <c r="A35267" t="s">
        <v>54603</v>
      </c>
      <c r="B35267" t="s">
        <v>847</v>
      </c>
      <c r="C35267" t="s">
        <v>20</v>
      </c>
      <c r="D35267" t="s">
        <v>52</v>
      </c>
      <c r="E35267" t="s">
        <v>144</v>
      </c>
      <c r="F35267" s="2" t="str">
        <f>HYPERLINK("http://www.otzar.org/book.asp?626210","קובץ מראי מקומות ובירורי סוגיות - 3 כר'")</f>
        <v>קובץ מראי מקומות ובירורי סוגיות - 3 כר'</v>
      </c>
    </row>
    <row r="35268" spans="1:6" x14ac:dyDescent="0.2">
      <c r="A35268" t="s">
        <v>54604</v>
      </c>
      <c r="B35268" t="s">
        <v>39494</v>
      </c>
      <c r="C35268" t="s">
        <v>313</v>
      </c>
      <c r="D35268" t="s">
        <v>52</v>
      </c>
      <c r="E35268" t="s">
        <v>144</v>
      </c>
      <c r="F35268" s="2" t="str">
        <f>HYPERLINK("http://www.otzar.org/book.asp?178939","קובץ מראי מקומות לסוגיות - גיטין קידושין")</f>
        <v>קובץ מראי מקומות לסוגיות - גיטין קידושין</v>
      </c>
    </row>
    <row r="35269" spans="1:6" x14ac:dyDescent="0.2">
      <c r="A35269" t="s">
        <v>54605</v>
      </c>
      <c r="B35269" t="s">
        <v>20621</v>
      </c>
      <c r="D35269" t="s">
        <v>52</v>
      </c>
      <c r="E35269" t="s">
        <v>144</v>
      </c>
      <c r="F35269" s="2" t="str">
        <f>HYPERLINK("http://www.otzar.org/book.asp?618774","קובץ מראי מקומות לפרק תמיד נשחט")</f>
        <v>קובץ מראי מקומות לפרק תמיד נשחט</v>
      </c>
    </row>
    <row r="35270" spans="1:6" x14ac:dyDescent="0.2">
      <c r="A35270" t="s">
        <v>54606</v>
      </c>
      <c r="B35270" t="s">
        <v>54607</v>
      </c>
      <c r="C35270" t="s">
        <v>411</v>
      </c>
      <c r="D35270" t="s">
        <v>14</v>
      </c>
      <c r="E35270" t="s">
        <v>202</v>
      </c>
      <c r="F35270" s="2" t="str">
        <f>HYPERLINK("http://www.otzar.org/book.asp?173463","קובץ מראי מקומות רינת התורה - 2 כר'")</f>
        <v>קובץ מראי מקומות רינת התורה - 2 כר'</v>
      </c>
    </row>
    <row r="35271" spans="1:6" x14ac:dyDescent="0.2">
      <c r="A35271" t="s">
        <v>54608</v>
      </c>
      <c r="B35271" t="s">
        <v>206</v>
      </c>
      <c r="C35271" t="s">
        <v>68</v>
      </c>
      <c r="D35271" t="s">
        <v>52</v>
      </c>
      <c r="E35271" t="s">
        <v>144</v>
      </c>
      <c r="F35271" s="2" t="str">
        <f>HYPERLINK("http://www.otzar.org/book.asp?167467","קובץ מראי מקומות - כיצד מברכין")</f>
        <v>קובץ מראי מקומות - כיצד מברכין</v>
      </c>
    </row>
    <row r="35272" spans="1:6" x14ac:dyDescent="0.2">
      <c r="A35272" t="s">
        <v>54609</v>
      </c>
      <c r="B35272" t="s">
        <v>15397</v>
      </c>
      <c r="C35272" t="s">
        <v>17</v>
      </c>
      <c r="D35272" t="s">
        <v>14</v>
      </c>
      <c r="E35272" t="s">
        <v>144</v>
      </c>
      <c r="F35272" s="2" t="str">
        <f>HYPERLINK("http://www.otzar.org/book.asp?26794","קובץ מראי מקומות")</f>
        <v>קובץ מראי מקומות</v>
      </c>
    </row>
    <row r="35273" spans="1:6" x14ac:dyDescent="0.2">
      <c r="A35273" t="s">
        <v>54610</v>
      </c>
      <c r="B35273" t="s">
        <v>1748</v>
      </c>
      <c r="C35273" t="s">
        <v>244</v>
      </c>
      <c r="D35273" t="s">
        <v>52</v>
      </c>
      <c r="E35273" t="s">
        <v>144</v>
      </c>
      <c r="F35273" s="2" t="str">
        <f>HYPERLINK("http://www.otzar.org/book.asp?628680","קובץ מראי מקומות - כיצד מברכין, שלשה שאכלו")</f>
        <v>קובץ מראי מקומות - כיצד מברכין, שלשה שאכלו</v>
      </c>
    </row>
    <row r="35274" spans="1:6" x14ac:dyDescent="0.2">
      <c r="A35274" t="s">
        <v>54609</v>
      </c>
      <c r="B35274" t="s">
        <v>1343</v>
      </c>
      <c r="C35274" t="s">
        <v>20</v>
      </c>
      <c r="D35274" t="s">
        <v>14</v>
      </c>
      <c r="E35274" t="s">
        <v>144</v>
      </c>
      <c r="F35274" s="2" t="str">
        <f>HYPERLINK("http://www.otzar.org/book.asp?146968","קובץ מראי מקומות")</f>
        <v>קובץ מראי מקומות</v>
      </c>
    </row>
    <row r="35275" spans="1:6" x14ac:dyDescent="0.2">
      <c r="A35275" t="s">
        <v>54611</v>
      </c>
      <c r="B35275" t="s">
        <v>1750</v>
      </c>
      <c r="C35275" t="s">
        <v>146</v>
      </c>
      <c r="D35275" t="s">
        <v>21</v>
      </c>
      <c r="E35275" t="s">
        <v>202</v>
      </c>
      <c r="F35275" s="2" t="str">
        <f>HYPERLINK("http://www.otzar.org/book.asp?196815","קובץ מראש צורים - 2 כר'")</f>
        <v>קובץ מראש צורים - 2 כר'</v>
      </c>
    </row>
    <row r="35276" spans="1:6" x14ac:dyDescent="0.2">
      <c r="A35276" t="s">
        <v>54612</v>
      </c>
      <c r="B35276" t="s">
        <v>54613</v>
      </c>
      <c r="C35276" t="s">
        <v>68</v>
      </c>
      <c r="D35276" t="s">
        <v>14</v>
      </c>
      <c r="E35276" t="s">
        <v>384</v>
      </c>
      <c r="F35276" s="2" t="str">
        <f>HYPERLINK("http://www.otzar.org/book.asp?154955","קובץ מרכזי לחינוך - א")</f>
        <v>קובץ מרכזי לחינוך - א</v>
      </c>
    </row>
    <row r="35277" spans="1:6" x14ac:dyDescent="0.2">
      <c r="A35277" t="s">
        <v>54614</v>
      </c>
      <c r="B35277" t="s">
        <v>54615</v>
      </c>
      <c r="C35277" t="s">
        <v>383</v>
      </c>
      <c r="D35277" t="s">
        <v>412</v>
      </c>
      <c r="E35277" t="s">
        <v>202</v>
      </c>
      <c r="F35277" s="2" t="str">
        <f>HYPERLINK("http://www.otzar.org/book.asp?199546","קובץ משיב כהלכה - ח")</f>
        <v>קובץ משיב כהלכה - ח</v>
      </c>
    </row>
    <row r="35278" spans="1:6" x14ac:dyDescent="0.2">
      <c r="A35278" t="s">
        <v>54616</v>
      </c>
      <c r="B35278" t="s">
        <v>54617</v>
      </c>
      <c r="C35278" t="s">
        <v>454</v>
      </c>
      <c r="D35278" t="s">
        <v>14</v>
      </c>
      <c r="E35278" t="s">
        <v>202</v>
      </c>
      <c r="F35278" s="2" t="str">
        <f>HYPERLINK("http://www.otzar.org/book.asp?624575","קובץ משכן דוד")</f>
        <v>קובץ משכן דוד</v>
      </c>
    </row>
    <row r="35279" spans="1:6" x14ac:dyDescent="0.2">
      <c r="A35279" t="s">
        <v>54618</v>
      </c>
      <c r="B35279" t="s">
        <v>2220</v>
      </c>
      <c r="C35279" t="s">
        <v>20</v>
      </c>
      <c r="D35279" t="s">
        <v>90</v>
      </c>
      <c r="E35279" t="s">
        <v>104</v>
      </c>
      <c r="F35279" s="2" t="str">
        <f>HYPERLINK("http://www.otzar.org/book.asp?195972","קובץ משלי המגיד מדובנא")</f>
        <v>קובץ משלי המגיד מדובנא</v>
      </c>
    </row>
    <row r="35280" spans="1:6" x14ac:dyDescent="0.2">
      <c r="A35280" t="s">
        <v>54619</v>
      </c>
      <c r="B35280" t="s">
        <v>2872</v>
      </c>
      <c r="C35280" t="s">
        <v>20</v>
      </c>
      <c r="D35280" t="s">
        <v>52</v>
      </c>
      <c r="E35280" t="s">
        <v>1211</v>
      </c>
      <c r="F35280" s="2" t="str">
        <f>HYPERLINK("http://www.otzar.org/book.asp?607512","קובץ משמרת הקודש - 2 כר'")</f>
        <v>קובץ משמרת הקודש - 2 כר'</v>
      </c>
    </row>
    <row r="35281" spans="1:6" x14ac:dyDescent="0.2">
      <c r="A35281" t="s">
        <v>54620</v>
      </c>
      <c r="B35281" t="s">
        <v>54621</v>
      </c>
      <c r="C35281" t="s">
        <v>411</v>
      </c>
      <c r="D35281" t="s">
        <v>147</v>
      </c>
      <c r="F35281" s="2" t="str">
        <f>HYPERLINK("http://www.otzar.org/book.asp?194837","קובץ משנת אלעזר - 2 כר'")</f>
        <v>קובץ משנת אלעזר - 2 כר'</v>
      </c>
    </row>
    <row r="35282" spans="1:6" x14ac:dyDescent="0.2">
      <c r="A35282" t="s">
        <v>54622</v>
      </c>
      <c r="B35282" t="s">
        <v>1750</v>
      </c>
      <c r="C35282" t="s">
        <v>129</v>
      </c>
      <c r="D35282" t="s">
        <v>14</v>
      </c>
      <c r="E35282" t="s">
        <v>202</v>
      </c>
      <c r="F35282" s="2" t="str">
        <f>HYPERLINK("http://www.otzar.org/book.asp?141985","קובץ משנת התורה")</f>
        <v>קובץ משנת התורה</v>
      </c>
    </row>
    <row r="35283" spans="1:6" x14ac:dyDescent="0.2">
      <c r="A35283" t="s">
        <v>54623</v>
      </c>
      <c r="B35283" t="s">
        <v>54624</v>
      </c>
      <c r="C35283" t="s">
        <v>422</v>
      </c>
      <c r="D35283" t="s">
        <v>52</v>
      </c>
      <c r="E35283" t="s">
        <v>104</v>
      </c>
      <c r="F35283" s="2" t="str">
        <f>HYPERLINK("http://www.otzar.org/book.asp?605243","קובץ מתנת כהונה")</f>
        <v>קובץ מתנת כהונה</v>
      </c>
    </row>
    <row r="35284" spans="1:6" x14ac:dyDescent="0.2">
      <c r="A35284" t="s">
        <v>54625</v>
      </c>
      <c r="B35284" t="s">
        <v>54626</v>
      </c>
      <c r="C35284" t="s">
        <v>20</v>
      </c>
      <c r="D35284" t="s">
        <v>90</v>
      </c>
      <c r="F35284" s="2" t="str">
        <f>HYPERLINK("http://www.otzar.org/book.asp?608874","קובץ נדה - 3 כר'")</f>
        <v>קובץ נדה - 3 כר'</v>
      </c>
    </row>
    <row r="35285" spans="1:6" x14ac:dyDescent="0.2">
      <c r="A35285" t="s">
        <v>54627</v>
      </c>
      <c r="B35285" t="s">
        <v>10038</v>
      </c>
      <c r="C35285" t="s">
        <v>3106</v>
      </c>
      <c r="D35285" t="s">
        <v>216</v>
      </c>
      <c r="E35285" t="s">
        <v>38986</v>
      </c>
      <c r="F35285" s="2" t="str">
        <f>HYPERLINK("http://www.otzar.org/book.asp?105840","קובץ נדחים")</f>
        <v>קובץ נדחים</v>
      </c>
    </row>
    <row r="35286" spans="1:6" x14ac:dyDescent="0.2">
      <c r="A35286" t="s">
        <v>54628</v>
      </c>
      <c r="B35286" t="s">
        <v>1750</v>
      </c>
      <c r="C35286" t="s">
        <v>37</v>
      </c>
      <c r="D35286" t="s">
        <v>412</v>
      </c>
      <c r="E35286" t="s">
        <v>202</v>
      </c>
      <c r="F35286" s="2" t="str">
        <f>HYPERLINK("http://www.otzar.org/book.asp?183107","קובץ נהרא ופשטא - 2 כר'")</f>
        <v>קובץ נהרא ופשטא - 2 כר'</v>
      </c>
    </row>
    <row r="35287" spans="1:6" x14ac:dyDescent="0.2">
      <c r="A35287" t="s">
        <v>54629</v>
      </c>
      <c r="B35287" t="s">
        <v>1064</v>
      </c>
      <c r="C35287" t="s">
        <v>20</v>
      </c>
      <c r="D35287" t="s">
        <v>52</v>
      </c>
      <c r="F35287" s="2" t="str">
        <f>HYPERLINK("http://www.otzar.org/book.asp?613153","קובץ נועם השבת")</f>
        <v>קובץ נועם השבת</v>
      </c>
    </row>
    <row r="35288" spans="1:6" x14ac:dyDescent="0.2">
      <c r="A35288" t="s">
        <v>54630</v>
      </c>
      <c r="B35288" t="s">
        <v>21804</v>
      </c>
      <c r="C35288" t="s">
        <v>176</v>
      </c>
      <c r="D35288" t="s">
        <v>14</v>
      </c>
      <c r="E35288" t="s">
        <v>202</v>
      </c>
      <c r="F35288" s="2" t="str">
        <f>HYPERLINK("http://www.otzar.org/book.asp?85100","קובץ נזר תפארה")</f>
        <v>קובץ נזר תפארה</v>
      </c>
    </row>
    <row r="35289" spans="1:6" x14ac:dyDescent="0.2">
      <c r="A35289" t="s">
        <v>54631</v>
      </c>
      <c r="B35289" t="s">
        <v>54632</v>
      </c>
      <c r="C35289" t="s">
        <v>332</v>
      </c>
      <c r="D35289" t="s">
        <v>52</v>
      </c>
      <c r="E35289" t="s">
        <v>202</v>
      </c>
      <c r="F35289" s="2" t="str">
        <f>HYPERLINK("http://www.otzar.org/book.asp?175445","קובץ נחלת יוסף")</f>
        <v>קובץ נחלת יוסף</v>
      </c>
    </row>
    <row r="35290" spans="1:6" x14ac:dyDescent="0.2">
      <c r="A35290" t="s">
        <v>54633</v>
      </c>
      <c r="B35290" t="s">
        <v>54634</v>
      </c>
      <c r="C35290" t="s">
        <v>383</v>
      </c>
      <c r="D35290" t="s">
        <v>21</v>
      </c>
      <c r="F35290" s="2" t="str">
        <f>HYPERLINK("http://www.otzar.org/book.asp?614550","קובץ נחלת ישורון - 2 כר'")</f>
        <v>קובץ נחלת ישורון - 2 כר'</v>
      </c>
    </row>
    <row r="35291" spans="1:6" x14ac:dyDescent="0.2">
      <c r="A35291" t="s">
        <v>54635</v>
      </c>
      <c r="B35291" t="s">
        <v>54636</v>
      </c>
      <c r="C35291" t="s">
        <v>20</v>
      </c>
      <c r="D35291" t="s">
        <v>90</v>
      </c>
      <c r="E35291" t="s">
        <v>2153</v>
      </c>
      <c r="F35291" s="2" t="str">
        <f>HYPERLINK("http://www.otzar.org/book.asp?165490","קובץ נחלת ישראל")</f>
        <v>קובץ נחלת ישראל</v>
      </c>
    </row>
    <row r="35292" spans="1:6" x14ac:dyDescent="0.2">
      <c r="A35292" t="s">
        <v>54637</v>
      </c>
      <c r="B35292" t="s">
        <v>54638</v>
      </c>
      <c r="C35292" t="s">
        <v>454</v>
      </c>
      <c r="D35292" t="s">
        <v>52</v>
      </c>
      <c r="F35292" s="2" t="str">
        <f>HYPERLINK("http://www.otzar.org/book.asp?611726","קובץ נצח ישעיה")</f>
        <v>קובץ נצח ישעיה</v>
      </c>
    </row>
    <row r="35293" spans="1:6" x14ac:dyDescent="0.2">
      <c r="A35293" t="s">
        <v>54639</v>
      </c>
      <c r="B35293" t="s">
        <v>54640</v>
      </c>
      <c r="C35293" t="s">
        <v>23</v>
      </c>
      <c r="D35293" t="s">
        <v>14</v>
      </c>
      <c r="E35293" t="s">
        <v>202</v>
      </c>
      <c r="F35293" s="2" t="str">
        <f>HYPERLINK("http://www.otzar.org/book.asp?198172","קובץ נר דוד - 14 כר'")</f>
        <v>קובץ נר דוד - 14 כר'</v>
      </c>
    </row>
    <row r="35294" spans="1:6" x14ac:dyDescent="0.2">
      <c r="A35294" t="s">
        <v>54641</v>
      </c>
      <c r="B35294" t="s">
        <v>54422</v>
      </c>
      <c r="C35294" t="s">
        <v>133</v>
      </c>
      <c r="E35294" t="s">
        <v>202</v>
      </c>
      <c r="F35294" s="2" t="str">
        <f>HYPERLINK("http://www.otzar.org/book.asp?626024","קובץ נר ישראל - סוכה")</f>
        <v>קובץ נר ישראל - סוכה</v>
      </c>
    </row>
    <row r="35295" spans="1:6" x14ac:dyDescent="0.2">
      <c r="A35295" t="s">
        <v>54642</v>
      </c>
      <c r="B35295" t="s">
        <v>54643</v>
      </c>
      <c r="C35295" t="s">
        <v>334</v>
      </c>
      <c r="D35295" t="s">
        <v>14</v>
      </c>
      <c r="E35295" t="s">
        <v>202</v>
      </c>
      <c r="F35295" s="2" t="str">
        <f>HYPERLINK("http://www.otzar.org/book.asp?189025","קובץ נר ישראל - א")</f>
        <v>קובץ נר ישראל - א</v>
      </c>
    </row>
    <row r="35296" spans="1:6" x14ac:dyDescent="0.2">
      <c r="A35296" t="s">
        <v>54644</v>
      </c>
      <c r="B35296" t="s">
        <v>54645</v>
      </c>
      <c r="E35296" t="s">
        <v>202</v>
      </c>
      <c r="F35296" s="2" t="str">
        <f>HYPERLINK("http://www.otzar.org/book.asp?626027","קובץ נר למאור")</f>
        <v>קובץ נר למאור</v>
      </c>
    </row>
    <row r="35297" spans="1:6" x14ac:dyDescent="0.2">
      <c r="A35297" t="s">
        <v>54646</v>
      </c>
      <c r="B35297" t="s">
        <v>3900</v>
      </c>
      <c r="C35297" t="s">
        <v>366</v>
      </c>
      <c r="D35297" t="s">
        <v>152</v>
      </c>
      <c r="E35297" t="s">
        <v>4022</v>
      </c>
      <c r="F35297" s="2" t="str">
        <f>HYPERLINK("http://www.otzar.org/book.asp?623531","קובץ נר מצוה ותורה אור")</f>
        <v>קובץ נר מצוה ותורה אור</v>
      </c>
    </row>
    <row r="35298" spans="1:6" x14ac:dyDescent="0.2">
      <c r="A35298" t="s">
        <v>54647</v>
      </c>
      <c r="B35298" t="s">
        <v>54648</v>
      </c>
      <c r="C35298" t="s">
        <v>20</v>
      </c>
      <c r="D35298" t="s">
        <v>52</v>
      </c>
      <c r="E35298" t="s">
        <v>202</v>
      </c>
      <c r="F35298" s="2" t="str">
        <f>HYPERLINK("http://www.otzar.org/book.asp?617634","קובץ נר נשמה")</f>
        <v>קובץ נר נשמה</v>
      </c>
    </row>
    <row r="35299" spans="1:6" x14ac:dyDescent="0.2">
      <c r="A35299" t="s">
        <v>54649</v>
      </c>
      <c r="B35299" t="s">
        <v>1005</v>
      </c>
      <c r="C35299" t="s">
        <v>115</v>
      </c>
      <c r="F35299" s="2" t="str">
        <f>HYPERLINK("http://www.otzar.org/book.asp?610826","קובץ נר צביה")</f>
        <v>קובץ נר צביה</v>
      </c>
    </row>
    <row r="35300" spans="1:6" x14ac:dyDescent="0.2">
      <c r="A35300" t="s">
        <v>54650</v>
      </c>
      <c r="B35300" t="s">
        <v>54651</v>
      </c>
      <c r="C35300" t="s">
        <v>20</v>
      </c>
      <c r="D35300" t="s">
        <v>90</v>
      </c>
      <c r="F35300" s="2" t="str">
        <f>HYPERLINK("http://www.otzar.org/book.asp?614396","קובץ נשמת חיים")</f>
        <v>קובץ נשמת חיים</v>
      </c>
    </row>
    <row r="35301" spans="1:6" x14ac:dyDescent="0.2">
      <c r="A35301" t="s">
        <v>54652</v>
      </c>
      <c r="B35301" t="s">
        <v>54653</v>
      </c>
      <c r="C35301" t="s">
        <v>454</v>
      </c>
      <c r="D35301" t="s">
        <v>412</v>
      </c>
      <c r="E35301" t="s">
        <v>202</v>
      </c>
      <c r="F35301" s="2" t="str">
        <f>HYPERLINK("http://www.otzar.org/book.asp?600347","קובץ נתיבות התלמוד")</f>
        <v>קובץ נתיבות התלמוד</v>
      </c>
    </row>
    <row r="35302" spans="1:6" x14ac:dyDescent="0.2">
      <c r="A35302" t="s">
        <v>54654</v>
      </c>
      <c r="B35302" t="s">
        <v>54655</v>
      </c>
      <c r="C35302" t="s">
        <v>37</v>
      </c>
      <c r="D35302" t="s">
        <v>412</v>
      </c>
      <c r="E35302" t="s">
        <v>202</v>
      </c>
      <c r="F35302" s="2" t="str">
        <f>HYPERLINK("http://www.otzar.org/book.asp?183053","קובץ נתיבות - 2 כר'")</f>
        <v>קובץ נתיבות - 2 כר'</v>
      </c>
    </row>
    <row r="35303" spans="1:6" x14ac:dyDescent="0.2">
      <c r="A35303" t="s">
        <v>54656</v>
      </c>
      <c r="B35303" t="s">
        <v>1748</v>
      </c>
      <c r="C35303" t="s">
        <v>37</v>
      </c>
      <c r="D35303" t="s">
        <v>52</v>
      </c>
      <c r="E35303" t="s">
        <v>144</v>
      </c>
      <c r="F35303" s="2" t="str">
        <f>HYPERLINK("http://www.otzar.org/book.asp?607599","קובץ נתיבי השמועה - המפקיד")</f>
        <v>קובץ נתיבי השמועה - המפקיד</v>
      </c>
    </row>
    <row r="35304" spans="1:6" x14ac:dyDescent="0.2">
      <c r="A35304" t="s">
        <v>54657</v>
      </c>
      <c r="B35304" t="s">
        <v>45916</v>
      </c>
      <c r="C35304" t="s">
        <v>20</v>
      </c>
      <c r="D35304" t="s">
        <v>80</v>
      </c>
      <c r="E35304" t="s">
        <v>186</v>
      </c>
      <c r="F35304" s="2" t="str">
        <f>HYPERLINK("http://www.otzar.org/book.asp?604222","קובץ סוגה בשושנים - פ""ק דכתובות")</f>
        <v>קובץ סוגה בשושנים - פ"ק דכתובות</v>
      </c>
    </row>
    <row r="35305" spans="1:6" x14ac:dyDescent="0.2">
      <c r="A35305" t="s">
        <v>54658</v>
      </c>
      <c r="B35305" t="s">
        <v>16780</v>
      </c>
      <c r="C35305" t="s">
        <v>422</v>
      </c>
      <c r="D35305" t="s">
        <v>52</v>
      </c>
      <c r="E35305" t="s">
        <v>144</v>
      </c>
      <c r="F35305" s="2" t="str">
        <f>HYPERLINK("http://www.otzar.org/book.asp?170483","קובץ סוגיות בבא מציעא")</f>
        <v>קובץ סוגיות בבא מציעא</v>
      </c>
    </row>
    <row r="35306" spans="1:6" x14ac:dyDescent="0.2">
      <c r="A35306" t="s">
        <v>54659</v>
      </c>
      <c r="B35306" t="s">
        <v>16780</v>
      </c>
      <c r="C35306" t="s">
        <v>422</v>
      </c>
      <c r="D35306" t="s">
        <v>52</v>
      </c>
      <c r="E35306" t="s">
        <v>144</v>
      </c>
      <c r="F35306" s="2" t="str">
        <f>HYPERLINK("http://www.otzar.org/book.asp?170484","קובץ סוגיות נדרים")</f>
        <v>קובץ סוגיות נדרים</v>
      </c>
    </row>
    <row r="35307" spans="1:6" x14ac:dyDescent="0.2">
      <c r="A35307" t="s">
        <v>54660</v>
      </c>
      <c r="B35307" t="s">
        <v>16780</v>
      </c>
      <c r="C35307" t="s">
        <v>114</v>
      </c>
      <c r="D35307" t="s">
        <v>52</v>
      </c>
      <c r="E35307" t="s">
        <v>144</v>
      </c>
      <c r="F35307" s="2" t="str">
        <f>HYPERLINK("http://www.otzar.org/book.asp?190963","קובץ סוגיות סנהדרין")</f>
        <v>קובץ סוגיות סנהדרין</v>
      </c>
    </row>
    <row r="35308" spans="1:6" x14ac:dyDescent="0.2">
      <c r="A35308" t="s">
        <v>54661</v>
      </c>
      <c r="B35308" t="s">
        <v>54662</v>
      </c>
      <c r="C35308" t="s">
        <v>366</v>
      </c>
      <c r="D35308" t="s">
        <v>14</v>
      </c>
      <c r="E35308" t="s">
        <v>186</v>
      </c>
      <c r="F35308" s="2" t="str">
        <f>HYPERLINK("http://www.otzar.org/book.asp?618868","קובץ סוגיות - קידושין")</f>
        <v>קובץ סוגיות - קידושין</v>
      </c>
    </row>
    <row r="35309" spans="1:6" x14ac:dyDescent="0.2">
      <c r="A35309" t="s">
        <v>54663</v>
      </c>
      <c r="B35309" t="s">
        <v>29372</v>
      </c>
      <c r="C35309" t="s">
        <v>151</v>
      </c>
      <c r="D35309" t="s">
        <v>646</v>
      </c>
      <c r="E35309" t="s">
        <v>2091</v>
      </c>
      <c r="F35309" s="2" t="str">
        <f>HYPERLINK("http://www.otzar.org/book.asp?630206","קובץ סופרי המלך - ב")</f>
        <v>קובץ סופרי המלך - ב</v>
      </c>
    </row>
    <row r="35310" spans="1:6" x14ac:dyDescent="0.2">
      <c r="A35310" t="s">
        <v>54664</v>
      </c>
      <c r="B35310" t="s">
        <v>54665</v>
      </c>
      <c r="C35310" t="s">
        <v>20</v>
      </c>
      <c r="D35310" t="s">
        <v>90</v>
      </c>
      <c r="E35310" t="s">
        <v>384</v>
      </c>
      <c r="F35310" s="2" t="str">
        <f>HYPERLINK("http://www.otzar.org/book.asp?61807","קובץ סיפורים ממשתתפות תוכנית נצור לשונך")</f>
        <v>קובץ סיפורים ממשתתפות תוכנית נצור לשונך</v>
      </c>
    </row>
    <row r="35311" spans="1:6" x14ac:dyDescent="0.2">
      <c r="A35311" t="s">
        <v>54666</v>
      </c>
      <c r="B35311" t="s">
        <v>206</v>
      </c>
      <c r="C35311" t="s">
        <v>129</v>
      </c>
      <c r="D35311" t="s">
        <v>367</v>
      </c>
      <c r="E35311" t="s">
        <v>1164</v>
      </c>
      <c r="F35311" s="2" t="str">
        <f>HYPERLINK("http://www.otzar.org/book.asp?63226","קובץ ספרי ארץ ישראל - א - ד")</f>
        <v>קובץ ספרי ארץ ישראל - א - ד</v>
      </c>
    </row>
    <row r="35312" spans="1:6" x14ac:dyDescent="0.2">
      <c r="A35312" t="s">
        <v>54667</v>
      </c>
      <c r="B35312" t="s">
        <v>54668</v>
      </c>
      <c r="C35312" t="s">
        <v>146</v>
      </c>
      <c r="D35312" t="s">
        <v>1180</v>
      </c>
      <c r="E35312" t="s">
        <v>104</v>
      </c>
      <c r="F35312" s="2" t="str">
        <f>HYPERLINK("http://www.otzar.org/book.asp?197174","קובץ ספרי טעמי המקרא")</f>
        <v>קובץ ספרי טעמי המקרא</v>
      </c>
    </row>
    <row r="35313" spans="1:6" x14ac:dyDescent="0.2">
      <c r="A35313" t="s">
        <v>54669</v>
      </c>
      <c r="F35313" s="2" t="str">
        <f>HYPERLINK("http://www.otzar.org/book.asp?183190","קובץ ספרי סת""ם - א")</f>
        <v>קובץ ספרי סת"ם - א</v>
      </c>
    </row>
    <row r="35314" spans="1:6" x14ac:dyDescent="0.2">
      <c r="A35314" t="s">
        <v>54670</v>
      </c>
      <c r="B35314" t="s">
        <v>40835</v>
      </c>
      <c r="C35314" t="s">
        <v>533</v>
      </c>
      <c r="D35314" t="s">
        <v>14</v>
      </c>
      <c r="E35314" t="s">
        <v>15</v>
      </c>
      <c r="F35314" s="2" t="str">
        <f>HYPERLINK("http://www.otzar.org/book.asp?147198","קובץ ספרים בעניני כשרות - 6 כר'")</f>
        <v>קובץ ספרים בעניני כשרות - 6 כר'</v>
      </c>
    </row>
    <row r="35315" spans="1:6" x14ac:dyDescent="0.2">
      <c r="A35315" t="s">
        <v>54671</v>
      </c>
      <c r="B35315" t="s">
        <v>54671</v>
      </c>
      <c r="C35315" t="s">
        <v>624</v>
      </c>
      <c r="D35315" t="s">
        <v>14</v>
      </c>
      <c r="E35315" t="s">
        <v>15</v>
      </c>
      <c r="F35315" s="2" t="str">
        <f>HYPERLINK("http://www.otzar.org/book.asp?107254","קובץ ספרים על ל""ט מלאכות")</f>
        <v>קובץ ספרים על ל"ט מלאכות</v>
      </c>
    </row>
    <row r="35316" spans="1:6" x14ac:dyDescent="0.2">
      <c r="A35316" t="s">
        <v>54672</v>
      </c>
      <c r="B35316" t="s">
        <v>54673</v>
      </c>
      <c r="C35316" t="s">
        <v>466</v>
      </c>
      <c r="D35316" t="s">
        <v>147</v>
      </c>
      <c r="E35316" t="s">
        <v>202</v>
      </c>
      <c r="F35316" s="2" t="str">
        <f>HYPERLINK("http://www.otzar.org/book.asp?160584","קובץ עדי עד")</f>
        <v>קובץ עדי עד</v>
      </c>
    </row>
    <row r="35317" spans="1:6" x14ac:dyDescent="0.2">
      <c r="A35317" t="s">
        <v>54674</v>
      </c>
      <c r="B35317" t="s">
        <v>32357</v>
      </c>
      <c r="C35317" t="s">
        <v>20</v>
      </c>
      <c r="D35317" t="s">
        <v>52</v>
      </c>
      <c r="F35317" s="2" t="str">
        <f>HYPERLINK("http://www.otzar.org/book.asp?193809","קובץ עוז התורה - סוכה פ""ג")</f>
        <v>קובץ עוז התורה - סוכה פ"ג</v>
      </c>
    </row>
    <row r="35318" spans="1:6" x14ac:dyDescent="0.2">
      <c r="A35318" t="s">
        <v>54675</v>
      </c>
      <c r="B35318" t="s">
        <v>54676</v>
      </c>
      <c r="C35318" t="s">
        <v>20</v>
      </c>
      <c r="D35318" t="s">
        <v>90</v>
      </c>
      <c r="F35318" s="2" t="str">
        <f>HYPERLINK("http://www.otzar.org/book.asp?603275","קובץ עזרת אליהו - נדרים")</f>
        <v>קובץ עזרת אליהו - נדרים</v>
      </c>
    </row>
    <row r="35319" spans="1:6" x14ac:dyDescent="0.2">
      <c r="A35319" t="s">
        <v>54677</v>
      </c>
      <c r="B35319" t="s">
        <v>48894</v>
      </c>
      <c r="C35319" t="s">
        <v>146</v>
      </c>
      <c r="D35319" t="s">
        <v>21</v>
      </c>
      <c r="E35319" t="s">
        <v>202</v>
      </c>
      <c r="F35319" s="2" t="str">
        <f>HYPERLINK("http://www.otzar.org/book.asp?605693","קובץ עטרה שעיטרה - שבועות")</f>
        <v>קובץ עטרה שעיטרה - שבועות</v>
      </c>
    </row>
    <row r="35320" spans="1:6" x14ac:dyDescent="0.2">
      <c r="A35320" t="s">
        <v>54678</v>
      </c>
      <c r="B35320" t="s">
        <v>45916</v>
      </c>
      <c r="C35320" t="s">
        <v>23</v>
      </c>
      <c r="D35320" t="s">
        <v>52</v>
      </c>
      <c r="F35320" s="2" t="str">
        <f>HYPERLINK("http://www.otzar.org/book.asp?191481","קובץ עטרת זהב")</f>
        <v>קובץ עטרת זהב</v>
      </c>
    </row>
    <row r="35321" spans="1:6" x14ac:dyDescent="0.2">
      <c r="A35321" t="s">
        <v>54679</v>
      </c>
      <c r="B35321" t="s">
        <v>1005</v>
      </c>
      <c r="C35321" t="s">
        <v>87</v>
      </c>
      <c r="D35321" t="s">
        <v>14</v>
      </c>
      <c r="E35321" t="s">
        <v>202</v>
      </c>
      <c r="F35321" s="2" t="str">
        <f>HYPERLINK("http://www.otzar.org/book.asp?153617","קובץ עטרת שלמה")</f>
        <v>קובץ עטרת שלמה</v>
      </c>
    </row>
    <row r="35322" spans="1:6" x14ac:dyDescent="0.2">
      <c r="A35322" t="s">
        <v>54680</v>
      </c>
      <c r="B35322" t="s">
        <v>54680</v>
      </c>
      <c r="C35322" t="s">
        <v>189</v>
      </c>
      <c r="D35322" t="s">
        <v>14</v>
      </c>
      <c r="E35322" t="s">
        <v>158</v>
      </c>
      <c r="F35322" s="2" t="str">
        <f>HYPERLINK("http://www.otzar.org/book.asp?25946","קובץ עיון המגילה")</f>
        <v>קובץ עיון המגילה</v>
      </c>
    </row>
    <row r="35323" spans="1:6" x14ac:dyDescent="0.2">
      <c r="A35323" t="s">
        <v>54681</v>
      </c>
      <c r="B35323" t="s">
        <v>54682</v>
      </c>
      <c r="C35323" t="s">
        <v>189</v>
      </c>
      <c r="D35323" t="s">
        <v>14</v>
      </c>
      <c r="E35323" t="s">
        <v>158</v>
      </c>
      <c r="F35323" s="2" t="str">
        <f>HYPERLINK("http://www.otzar.org/book.asp?25934","קובץ עיון הפרשה - 188 כר'")</f>
        <v>קובץ עיון הפרשה - 188 כר'</v>
      </c>
    </row>
    <row r="35324" spans="1:6" x14ac:dyDescent="0.2">
      <c r="A35324" t="s">
        <v>54683</v>
      </c>
      <c r="B35324" t="s">
        <v>54684</v>
      </c>
      <c r="C35324" t="s">
        <v>20</v>
      </c>
      <c r="D35324" t="s">
        <v>90</v>
      </c>
      <c r="E35324" t="s">
        <v>2091</v>
      </c>
      <c r="F35324" s="2" t="str">
        <f>HYPERLINK("http://www.otzar.org/book.asp?627499","קובץ עיונים במלאכת הוצאה")</f>
        <v>קובץ עיונים במלאכת הוצאה</v>
      </c>
    </row>
    <row r="35325" spans="1:6" x14ac:dyDescent="0.2">
      <c r="A35325" t="s">
        <v>54685</v>
      </c>
      <c r="B35325" t="s">
        <v>1750</v>
      </c>
      <c r="C35325" t="s">
        <v>422</v>
      </c>
      <c r="D35325" t="s">
        <v>216</v>
      </c>
      <c r="E35325" t="s">
        <v>393</v>
      </c>
      <c r="F35325" s="2" t="str">
        <f>HYPERLINK("http://www.otzar.org/book.asp?85376","קובץ עיונים והערות (תל אביב) - א")</f>
        <v>קובץ עיונים והערות (תל אביב) - א</v>
      </c>
    </row>
    <row r="35326" spans="1:6" x14ac:dyDescent="0.2">
      <c r="A35326" t="s">
        <v>54686</v>
      </c>
      <c r="B35326" t="s">
        <v>32357</v>
      </c>
      <c r="C35326" t="s">
        <v>68</v>
      </c>
      <c r="D35326" t="s">
        <v>52</v>
      </c>
      <c r="E35326" t="s">
        <v>144</v>
      </c>
      <c r="F35326" s="2" t="str">
        <f>HYPERLINK("http://www.otzar.org/book.asp?193810","קובץ עיונים - פרק נערה המאורסה")</f>
        <v>קובץ עיונים - פרק נערה המאורסה</v>
      </c>
    </row>
    <row r="35327" spans="1:6" x14ac:dyDescent="0.2">
      <c r="A35327" t="s">
        <v>54687</v>
      </c>
      <c r="B35327" t="s">
        <v>41629</v>
      </c>
      <c r="C35327" t="s">
        <v>51</v>
      </c>
      <c r="D35327" t="s">
        <v>52</v>
      </c>
      <c r="E35327" t="s">
        <v>144</v>
      </c>
      <c r="F35327" s="2" t="str">
        <f>HYPERLINK("http://www.otzar.org/book.asp?52278","קובץ על יד - 8 כר'")</f>
        <v>קובץ על יד - 8 כר'</v>
      </c>
    </row>
    <row r="35328" spans="1:6" x14ac:dyDescent="0.2">
      <c r="A35328" t="s">
        <v>54688</v>
      </c>
      <c r="B35328" t="s">
        <v>54689</v>
      </c>
      <c r="C35328" t="s">
        <v>189</v>
      </c>
      <c r="E35328" t="s">
        <v>202</v>
      </c>
      <c r="F35328" s="2" t="str">
        <f>HYPERLINK("http://www.otzar.org/book.asp?619030","קובץ על יד - 2 כר'")</f>
        <v>קובץ על יד - 2 כר'</v>
      </c>
    </row>
    <row r="35329" spans="1:6" x14ac:dyDescent="0.2">
      <c r="A35329" t="s">
        <v>54690</v>
      </c>
      <c r="B35329" t="s">
        <v>1306</v>
      </c>
      <c r="C35329" t="s">
        <v>14927</v>
      </c>
      <c r="D35329" t="s">
        <v>27</v>
      </c>
      <c r="E35329" t="s">
        <v>15</v>
      </c>
      <c r="F35329" s="2" t="str">
        <f>HYPERLINK("http://www.otzar.org/book.asp?300562","קובץ על יד - 3 כר'")</f>
        <v>קובץ על יד - 3 כר'</v>
      </c>
    </row>
    <row r="35330" spans="1:6" x14ac:dyDescent="0.2">
      <c r="A35330" t="s">
        <v>54691</v>
      </c>
      <c r="B35330" t="s">
        <v>54692</v>
      </c>
      <c r="C35330" t="s">
        <v>13</v>
      </c>
      <c r="D35330" t="s">
        <v>1205</v>
      </c>
      <c r="E35330" t="s">
        <v>144</v>
      </c>
      <c r="F35330" s="2" t="str">
        <f>HYPERLINK("http://www.otzar.org/book.asp?160979","קובץ על יד - 4 כר'")</f>
        <v>קובץ על יד - 4 כר'</v>
      </c>
    </row>
    <row r="35331" spans="1:6" x14ac:dyDescent="0.2">
      <c r="A35331" t="s">
        <v>54693</v>
      </c>
      <c r="B35331" t="s">
        <v>382</v>
      </c>
      <c r="C35331" t="s">
        <v>1208</v>
      </c>
      <c r="D35331" t="s">
        <v>52</v>
      </c>
      <c r="E35331" t="s">
        <v>202</v>
      </c>
      <c r="F35331" s="2" t="str">
        <f>HYPERLINK("http://www.otzar.org/book.asp?179340","קובץ על יד - 13 כר'")</f>
        <v>קובץ על יד - 13 כר'</v>
      </c>
    </row>
    <row r="35332" spans="1:6" x14ac:dyDescent="0.2">
      <c r="A35332" t="s">
        <v>54694</v>
      </c>
      <c r="B35332" t="s">
        <v>12098</v>
      </c>
      <c r="C35332" t="s">
        <v>13</v>
      </c>
      <c r="D35332" t="s">
        <v>52</v>
      </c>
      <c r="E35332" t="s">
        <v>2248</v>
      </c>
      <c r="F35332" s="2" t="str">
        <f>HYPERLINK("http://www.otzar.org/book.asp?165387","קובץ על יד")</f>
        <v>קובץ על יד</v>
      </c>
    </row>
    <row r="35333" spans="1:6" x14ac:dyDescent="0.2">
      <c r="A35333" t="s">
        <v>54688</v>
      </c>
      <c r="B35333" t="s">
        <v>2396</v>
      </c>
      <c r="C35333" t="s">
        <v>20</v>
      </c>
      <c r="D35333" t="s">
        <v>1076</v>
      </c>
      <c r="E35333" t="s">
        <v>172</v>
      </c>
      <c r="F35333" s="2" t="str">
        <f>HYPERLINK("http://www.otzar.org/book.asp?165261","קובץ על יד - 2 כר'")</f>
        <v>קובץ על יד - 2 כר'</v>
      </c>
    </row>
    <row r="35334" spans="1:6" x14ac:dyDescent="0.2">
      <c r="A35334" t="s">
        <v>54695</v>
      </c>
      <c r="B35334" t="s">
        <v>54696</v>
      </c>
      <c r="C35334" t="s">
        <v>3290</v>
      </c>
      <c r="D35334" t="s">
        <v>14</v>
      </c>
      <c r="F35334" s="2" t="str">
        <f>HYPERLINK("http://www.otzar.org/book.asp?610030","קובץ עלוני אור הגאולה - 2 כר'")</f>
        <v>קובץ עלוני אור הגאולה - 2 כר'</v>
      </c>
    </row>
    <row r="35335" spans="1:6" x14ac:dyDescent="0.2">
      <c r="A35335" t="s">
        <v>54697</v>
      </c>
      <c r="B35335" t="s">
        <v>4694</v>
      </c>
      <c r="C35335" t="s">
        <v>68</v>
      </c>
      <c r="D35335" t="s">
        <v>2201</v>
      </c>
      <c r="E35335" t="s">
        <v>202</v>
      </c>
      <c r="F35335" s="2" t="str">
        <f>HYPERLINK("http://www.otzar.org/book.asp?190929","קובץ עלי באר")</f>
        <v>קובץ עלי באר</v>
      </c>
    </row>
    <row r="35336" spans="1:6" x14ac:dyDescent="0.2">
      <c r="A35336" t="s">
        <v>54698</v>
      </c>
      <c r="B35336" t="s">
        <v>54068</v>
      </c>
      <c r="C35336" t="s">
        <v>366</v>
      </c>
      <c r="D35336" t="s">
        <v>5172</v>
      </c>
      <c r="F35336" s="2" t="str">
        <f>HYPERLINK("http://www.otzar.org/book.asp?621680","קובץ עלי הגיון - 2 כר'")</f>
        <v>קובץ עלי הגיון - 2 כר'</v>
      </c>
    </row>
    <row r="35337" spans="1:6" x14ac:dyDescent="0.2">
      <c r="A35337" t="s">
        <v>54699</v>
      </c>
      <c r="B35337" t="s">
        <v>54700</v>
      </c>
      <c r="C35337" t="s">
        <v>20</v>
      </c>
      <c r="D35337" t="s">
        <v>52</v>
      </c>
      <c r="F35337" s="2" t="str">
        <f>HYPERLINK("http://www.otzar.org/book.asp?612415","קובץ עלי עשו""ר")</f>
        <v>קובץ עלי עשו"ר</v>
      </c>
    </row>
    <row r="35338" spans="1:6" x14ac:dyDescent="0.2">
      <c r="A35338" t="s">
        <v>54701</v>
      </c>
      <c r="B35338" t="s">
        <v>1275</v>
      </c>
      <c r="C35338" t="s">
        <v>151</v>
      </c>
      <c r="D35338" t="s">
        <v>14</v>
      </c>
      <c r="F35338" s="2" t="str">
        <f>HYPERLINK("http://www.otzar.org/book.asp?616503","קובץ עמודי דשמואל")</f>
        <v>קובץ עמודי דשמואל</v>
      </c>
    </row>
    <row r="35339" spans="1:6" x14ac:dyDescent="0.2">
      <c r="A35339" t="s">
        <v>54702</v>
      </c>
      <c r="B35339" t="s">
        <v>54703</v>
      </c>
      <c r="C35339" t="s">
        <v>523</v>
      </c>
      <c r="D35339" t="s">
        <v>21</v>
      </c>
      <c r="F35339" s="2" t="str">
        <f>HYPERLINK("http://www.otzar.org/book.asp?600345","קובץ עמק יהושע")</f>
        <v>קובץ עמק יהושע</v>
      </c>
    </row>
    <row r="35340" spans="1:6" x14ac:dyDescent="0.2">
      <c r="A35340" t="s">
        <v>54704</v>
      </c>
      <c r="B35340" t="s">
        <v>54705</v>
      </c>
      <c r="C35340" t="s">
        <v>1160</v>
      </c>
      <c r="D35340" t="s">
        <v>52</v>
      </c>
      <c r="E35340" t="s">
        <v>213</v>
      </c>
      <c r="F35340" s="2" t="str">
        <f>HYPERLINK("http://www.otzar.org/book.asp?103711","קובץ עניינים")</f>
        <v>קובץ עניינים</v>
      </c>
    </row>
    <row r="35341" spans="1:6" x14ac:dyDescent="0.2">
      <c r="A35341" t="s">
        <v>54706</v>
      </c>
      <c r="B35341" t="s">
        <v>107</v>
      </c>
      <c r="C35341" t="s">
        <v>20</v>
      </c>
      <c r="D35341" t="s">
        <v>14</v>
      </c>
      <c r="E35341" t="s">
        <v>241</v>
      </c>
      <c r="F35341" s="2" t="str">
        <f>HYPERLINK("http://www.otzar.org/book.asp?623496","קובץ עניני אמונה")</f>
        <v>קובץ עניני אמונה</v>
      </c>
    </row>
    <row r="35342" spans="1:6" x14ac:dyDescent="0.2">
      <c r="A35342" t="s">
        <v>54707</v>
      </c>
      <c r="B35342" t="s">
        <v>54708</v>
      </c>
      <c r="C35342" t="s">
        <v>17</v>
      </c>
      <c r="D35342" t="s">
        <v>52</v>
      </c>
      <c r="E35342" t="s">
        <v>144</v>
      </c>
      <c r="F35342" s="2" t="str">
        <f>HYPERLINK("http://www.otzar.org/book.asp?161542","קובץ עניניים במסכת פסחים")</f>
        <v>קובץ עניניים במסכת פסחים</v>
      </c>
    </row>
    <row r="35343" spans="1:6" x14ac:dyDescent="0.2">
      <c r="A35343" t="s">
        <v>54709</v>
      </c>
      <c r="B35343" t="s">
        <v>54710</v>
      </c>
      <c r="C35343" t="s">
        <v>146</v>
      </c>
      <c r="D35343" t="s">
        <v>52</v>
      </c>
      <c r="E35343" t="s">
        <v>144</v>
      </c>
      <c r="F35343" s="2" t="str">
        <f>HYPERLINK("http://www.otzar.org/book.asp?52991","קובץ ענינים במסכת קידושין")</f>
        <v>קובץ ענינים במסכת קידושין</v>
      </c>
    </row>
    <row r="35344" spans="1:6" x14ac:dyDescent="0.2">
      <c r="A35344" t="s">
        <v>54711</v>
      </c>
      <c r="B35344" t="s">
        <v>33765</v>
      </c>
      <c r="C35344" t="s">
        <v>146</v>
      </c>
      <c r="D35344" t="s">
        <v>52</v>
      </c>
      <c r="E35344" t="s">
        <v>3790</v>
      </c>
      <c r="F35344" s="2" t="str">
        <f>HYPERLINK("http://www.otzar.org/book.asp?169253","קובץ ענינים בתורה ובמוסר")</f>
        <v>קובץ ענינים בתורה ובמוסר</v>
      </c>
    </row>
    <row r="35345" spans="1:6" x14ac:dyDescent="0.2">
      <c r="A35345" t="s">
        <v>54712</v>
      </c>
      <c r="B35345" t="s">
        <v>54708</v>
      </c>
      <c r="C35345" t="s">
        <v>624</v>
      </c>
      <c r="D35345" t="s">
        <v>52</v>
      </c>
      <c r="E35345" t="s">
        <v>15</v>
      </c>
      <c r="F35345" s="2" t="str">
        <f>HYPERLINK("http://www.otzar.org/book.asp?60154","קובץ ענינים - 6 כר'")</f>
        <v>קובץ ענינים - 6 כר'</v>
      </c>
    </row>
    <row r="35346" spans="1:6" x14ac:dyDescent="0.2">
      <c r="A35346" t="s">
        <v>54713</v>
      </c>
      <c r="B35346" t="s">
        <v>54714</v>
      </c>
      <c r="C35346" t="s">
        <v>189</v>
      </c>
      <c r="D35346" t="s">
        <v>52</v>
      </c>
      <c r="E35346" t="s">
        <v>144</v>
      </c>
      <c r="F35346" s="2" t="str">
        <f>HYPERLINK("http://www.otzar.org/book.asp?181796","קובץ ענינים - 2 כר'")</f>
        <v>קובץ ענינים - 2 כר'</v>
      </c>
    </row>
    <row r="35347" spans="1:6" x14ac:dyDescent="0.2">
      <c r="A35347" t="s">
        <v>54715</v>
      </c>
      <c r="B35347" t="s">
        <v>54705</v>
      </c>
      <c r="C35347" t="s">
        <v>956</v>
      </c>
      <c r="D35347" t="s">
        <v>52</v>
      </c>
      <c r="F35347" s="2" t="str">
        <f>HYPERLINK("http://www.otzar.org/book.asp?617249","קובץ ענינים - תשכ""ח")</f>
        <v>קובץ ענינים - תשכ"ח</v>
      </c>
    </row>
    <row r="35348" spans="1:6" x14ac:dyDescent="0.2">
      <c r="A35348" t="s">
        <v>54713</v>
      </c>
      <c r="B35348" t="s">
        <v>1204</v>
      </c>
      <c r="C35348" t="s">
        <v>1160</v>
      </c>
      <c r="D35348" t="s">
        <v>52</v>
      </c>
      <c r="F35348" s="2" t="str">
        <f>HYPERLINK("http://www.otzar.org/book.asp?620635","קובץ ענינים - 2 כר'")</f>
        <v>קובץ ענינים - 2 כר'</v>
      </c>
    </row>
    <row r="35349" spans="1:6" x14ac:dyDescent="0.2">
      <c r="A35349" t="s">
        <v>54716</v>
      </c>
      <c r="B35349" t="s">
        <v>2396</v>
      </c>
      <c r="C35349" t="s">
        <v>20</v>
      </c>
      <c r="D35349" t="s">
        <v>1076</v>
      </c>
      <c r="E35349" t="s">
        <v>144</v>
      </c>
      <c r="F35349" s="2" t="str">
        <f>HYPERLINK("http://www.otzar.org/book.asp?165247","קובץ ענינים - 3 כר'")</f>
        <v>קובץ ענינים - 3 כר'</v>
      </c>
    </row>
    <row r="35350" spans="1:6" x14ac:dyDescent="0.2">
      <c r="A35350" t="s">
        <v>54713</v>
      </c>
      <c r="B35350" t="s">
        <v>54717</v>
      </c>
      <c r="C35350" t="s">
        <v>51</v>
      </c>
      <c r="D35350" t="s">
        <v>486</v>
      </c>
      <c r="E35350" t="s">
        <v>5351</v>
      </c>
      <c r="F35350" s="2" t="str">
        <f>HYPERLINK("http://www.otzar.org/book.asp?160345","קובץ ענינים - 2 כר'")</f>
        <v>קובץ ענינים - 2 כר'</v>
      </c>
    </row>
    <row r="35351" spans="1:6" x14ac:dyDescent="0.2">
      <c r="A35351" t="s">
        <v>54718</v>
      </c>
      <c r="B35351" t="s">
        <v>54719</v>
      </c>
      <c r="C35351" t="s">
        <v>129</v>
      </c>
      <c r="D35351" t="s">
        <v>14</v>
      </c>
      <c r="E35351" t="s">
        <v>202</v>
      </c>
      <c r="F35351" s="2" t="str">
        <f>HYPERLINK("http://www.otzar.org/book.asp?179474","קובץ ענף יוסף - 3 כר'")</f>
        <v>קובץ ענף יוסף - 3 כר'</v>
      </c>
    </row>
    <row r="35352" spans="1:6" x14ac:dyDescent="0.2">
      <c r="A35352" t="s">
        <v>54720</v>
      </c>
      <c r="B35352" t="s">
        <v>54721</v>
      </c>
      <c r="C35352" t="s">
        <v>68</v>
      </c>
      <c r="D35352" t="s">
        <v>1156</v>
      </c>
      <c r="E35352" t="s">
        <v>4163</v>
      </c>
      <c r="F35352" s="2" t="str">
        <f>HYPERLINK("http://www.otzar.org/book.asp?170815","קובץ עץ חיים - מוקצה, בורר, מלאכת מחשבת")</f>
        <v>קובץ עץ חיים - מוקצה, בורר, מלאכת מחשבת</v>
      </c>
    </row>
    <row r="35353" spans="1:6" x14ac:dyDescent="0.2">
      <c r="A35353" t="s">
        <v>54722</v>
      </c>
      <c r="B35353" t="s">
        <v>206</v>
      </c>
      <c r="C35353" t="s">
        <v>20</v>
      </c>
      <c r="D35353" t="s">
        <v>90</v>
      </c>
      <c r="E35353" t="s">
        <v>241</v>
      </c>
      <c r="F35353" s="2" t="str">
        <f>HYPERLINK("http://www.otzar.org/book.asp?630233","קובץ עצות בעניין ערכו של הזמן")</f>
        <v>קובץ עצות בעניין ערכו של הזמן</v>
      </c>
    </row>
    <row r="35354" spans="1:6" x14ac:dyDescent="0.2">
      <c r="A35354" t="s">
        <v>54723</v>
      </c>
      <c r="B35354" t="s">
        <v>4397</v>
      </c>
      <c r="C35354" t="s">
        <v>785</v>
      </c>
      <c r="D35354" t="s">
        <v>14</v>
      </c>
      <c r="E35354" t="s">
        <v>2071</v>
      </c>
      <c r="F35354" s="2" t="str">
        <f>HYPERLINK("http://www.otzar.org/book.asp?62931","קובץ עת האסף")</f>
        <v>קובץ עת האסף</v>
      </c>
    </row>
    <row r="35355" spans="1:6" x14ac:dyDescent="0.2">
      <c r="A35355" t="s">
        <v>54724</v>
      </c>
      <c r="B35355" t="s">
        <v>54725</v>
      </c>
      <c r="C35355" t="s">
        <v>114</v>
      </c>
      <c r="D35355" t="s">
        <v>412</v>
      </c>
      <c r="E35355" t="s">
        <v>6975</v>
      </c>
      <c r="F35355" s="2" t="str">
        <f>HYPERLINK("http://www.otzar.org/book.asp?161992","קובץ פיוטים ודרשה לרמב""ן &lt;ע""פ יקב אפרים&gt;")</f>
        <v>קובץ פיוטים ודרשה לרמב"ן &lt;ע"פ יקב אפרים&gt;</v>
      </c>
    </row>
    <row r="35356" spans="1:6" x14ac:dyDescent="0.2">
      <c r="A35356" t="s">
        <v>54726</v>
      </c>
      <c r="B35356" t="s">
        <v>54727</v>
      </c>
      <c r="D35356" t="s">
        <v>1076</v>
      </c>
      <c r="F35356" s="2" t="str">
        <f>HYPERLINK("http://www.otzar.org/book.asp?622379","קובץ פירות גינוסר")</f>
        <v>קובץ פירות גינוסר</v>
      </c>
    </row>
    <row r="35357" spans="1:6" x14ac:dyDescent="0.2">
      <c r="A35357" t="s">
        <v>54728</v>
      </c>
      <c r="B35357" t="s">
        <v>54390</v>
      </c>
      <c r="C35357" t="s">
        <v>624</v>
      </c>
      <c r="D35357" t="s">
        <v>14</v>
      </c>
      <c r="E35357" t="s">
        <v>186</v>
      </c>
      <c r="F35357" s="2" t="str">
        <f>HYPERLINK("http://www.otzar.org/book.asp?169015","קובץ פלפול התלמידים")</f>
        <v>קובץ פלפול התלמידים</v>
      </c>
    </row>
    <row r="35358" spans="1:6" x14ac:dyDescent="0.2">
      <c r="A35358" t="s">
        <v>54729</v>
      </c>
      <c r="B35358" t="s">
        <v>54730</v>
      </c>
      <c r="C35358" t="s">
        <v>466</v>
      </c>
      <c r="D35358" t="s">
        <v>4508</v>
      </c>
      <c r="E35358" t="s">
        <v>202</v>
      </c>
      <c r="F35358" s="2" t="str">
        <f>HYPERLINK("http://www.otzar.org/book.asp?189033","קובץ פלפול חברים")</f>
        <v>קובץ פלפול חברים</v>
      </c>
    </row>
    <row r="35359" spans="1:6" x14ac:dyDescent="0.2">
      <c r="A35359" t="s">
        <v>54731</v>
      </c>
      <c r="B35359" t="s">
        <v>54732</v>
      </c>
      <c r="C35359" t="s">
        <v>17</v>
      </c>
      <c r="D35359" t="s">
        <v>52</v>
      </c>
      <c r="F35359" s="2" t="str">
        <f>HYPERLINK("http://www.otzar.org/book.asp?614002","קובץ פלפולי אורייתא")</f>
        <v>קובץ פלפולי אורייתא</v>
      </c>
    </row>
    <row r="35360" spans="1:6" x14ac:dyDescent="0.2">
      <c r="A35360" t="s">
        <v>54733</v>
      </c>
      <c r="B35360" t="s">
        <v>54734</v>
      </c>
      <c r="C35360" t="s">
        <v>114</v>
      </c>
      <c r="D35360" t="s">
        <v>412</v>
      </c>
      <c r="E35360" t="s">
        <v>393</v>
      </c>
      <c r="F35360" s="2" t="str">
        <f>HYPERLINK("http://www.otzar.org/book.asp?163165","קובץ פלפולים וביאורים בנגלה ובחסידות - 9 כר'")</f>
        <v>קובץ פלפולים וביאורים בנגלה ובחסידות - 9 כר'</v>
      </c>
    </row>
    <row r="35361" spans="1:6" x14ac:dyDescent="0.2">
      <c r="A35361" t="s">
        <v>54735</v>
      </c>
      <c r="B35361" t="s">
        <v>1750</v>
      </c>
      <c r="C35361" t="s">
        <v>940</v>
      </c>
      <c r="D35361" t="s">
        <v>4519</v>
      </c>
      <c r="E35361" t="s">
        <v>202</v>
      </c>
      <c r="F35361" s="2" t="str">
        <f>HYPERLINK("http://www.otzar.org/book.asp?106099","קובץ פלפולים וחידושי תורה ברמב""ם")</f>
        <v>קובץ פלפולים וחידושי תורה ברמב"ם</v>
      </c>
    </row>
    <row r="35362" spans="1:6" x14ac:dyDescent="0.2">
      <c r="A35362" t="s">
        <v>54736</v>
      </c>
      <c r="B35362" t="s">
        <v>1750</v>
      </c>
      <c r="C35362" t="s">
        <v>1619</v>
      </c>
      <c r="D35362" t="s">
        <v>52</v>
      </c>
      <c r="E35362" t="s">
        <v>202</v>
      </c>
      <c r="F35362" s="2" t="str">
        <f>HYPERLINK("http://www.otzar.org/book.asp?60674","קובץ פנים מאירות - 24 כר'")</f>
        <v>קובץ פנים מאירות - 24 כר'</v>
      </c>
    </row>
    <row r="35363" spans="1:6" x14ac:dyDescent="0.2">
      <c r="A35363" t="s">
        <v>54737</v>
      </c>
      <c r="B35363" t="s">
        <v>206</v>
      </c>
      <c r="C35363" t="s">
        <v>151</v>
      </c>
      <c r="D35363" t="s">
        <v>486</v>
      </c>
      <c r="F35363" s="2" t="str">
        <f>HYPERLINK("http://www.otzar.org/book.asp?620721","קובץ פניני הילולא - 2 כר'")</f>
        <v>קובץ פניני הילולא - 2 כר'</v>
      </c>
    </row>
    <row r="35364" spans="1:6" x14ac:dyDescent="0.2">
      <c r="A35364" t="s">
        <v>54738</v>
      </c>
      <c r="B35364" t="s">
        <v>54739</v>
      </c>
      <c r="C35364" t="s">
        <v>189</v>
      </c>
      <c r="D35364" t="s">
        <v>412</v>
      </c>
      <c r="E35364" t="s">
        <v>202</v>
      </c>
      <c r="F35364" s="2" t="str">
        <f>HYPERLINK("http://www.otzar.org/book.asp?160867","קובץ פניני השער - 5 כר'")</f>
        <v>קובץ פניני השער - 5 כר'</v>
      </c>
    </row>
    <row r="35365" spans="1:6" x14ac:dyDescent="0.2">
      <c r="A35365" t="s">
        <v>54740</v>
      </c>
      <c r="B35365" t="s">
        <v>54741</v>
      </c>
      <c r="C35365" t="s">
        <v>20</v>
      </c>
      <c r="D35365" t="s">
        <v>90</v>
      </c>
      <c r="F35365" s="2" t="str">
        <f>HYPERLINK("http://www.otzar.org/book.asp?617357","קובץ פסקי הלכות מאת מרן הגרי""ש אלישיב שליט""א")</f>
        <v>קובץ פסקי הלכות מאת מרן הגרי"ש אלישיב שליט"א</v>
      </c>
    </row>
    <row r="35366" spans="1:6" x14ac:dyDescent="0.2">
      <c r="A35366" t="s">
        <v>54742</v>
      </c>
      <c r="B35366" t="s">
        <v>54743</v>
      </c>
      <c r="C35366" t="s">
        <v>1169</v>
      </c>
      <c r="D35366" t="s">
        <v>118</v>
      </c>
      <c r="E35366" t="s">
        <v>202</v>
      </c>
      <c r="F35366" s="2" t="str">
        <f>HYPERLINK("http://www.otzar.org/book.asp?177033","קובץ פסקי הלכות צבא")</f>
        <v>קובץ פסקי הלכות צבא</v>
      </c>
    </row>
    <row r="35367" spans="1:6" x14ac:dyDescent="0.2">
      <c r="A35367" t="s">
        <v>54744</v>
      </c>
      <c r="B35367" t="s">
        <v>42950</v>
      </c>
      <c r="C35367" t="s">
        <v>20</v>
      </c>
      <c r="D35367" t="s">
        <v>412</v>
      </c>
      <c r="E35367" t="s">
        <v>10</v>
      </c>
      <c r="F35367" s="2" t="str">
        <f>HYPERLINK("http://www.otzar.org/book.asp?172794","קובץ פסקי התשובות בעניני בית הכנסת וספר תורה")</f>
        <v>קובץ פסקי התשובות בעניני בית הכנסת וספר תורה</v>
      </c>
    </row>
    <row r="35368" spans="1:6" x14ac:dyDescent="0.2">
      <c r="A35368" t="s">
        <v>54745</v>
      </c>
      <c r="B35368" t="s">
        <v>1681</v>
      </c>
      <c r="C35368" t="s">
        <v>13</v>
      </c>
      <c r="D35368" t="s">
        <v>52</v>
      </c>
      <c r="E35368" t="s">
        <v>15</v>
      </c>
      <c r="F35368" s="2" t="str">
        <f>HYPERLINK("http://www.otzar.org/book.asp?147604","קובץ פסקים ותשובות - 2 כר'")</f>
        <v>קובץ פסקים ותשובות - 2 כר'</v>
      </c>
    </row>
    <row r="35369" spans="1:6" x14ac:dyDescent="0.2">
      <c r="A35369" t="s">
        <v>54746</v>
      </c>
      <c r="B35369" t="s">
        <v>22406</v>
      </c>
      <c r="C35369" t="s">
        <v>411</v>
      </c>
      <c r="D35369" t="s">
        <v>21</v>
      </c>
      <c r="F35369" s="2" t="str">
        <f>HYPERLINK("http://www.otzar.org/book.asp?199148","קובץ פרדס הברכה")</f>
        <v>קובץ פרדס הברכה</v>
      </c>
    </row>
    <row r="35370" spans="1:6" x14ac:dyDescent="0.2">
      <c r="A35370" t="s">
        <v>54747</v>
      </c>
      <c r="B35370" t="s">
        <v>1750</v>
      </c>
      <c r="C35370" t="s">
        <v>919</v>
      </c>
      <c r="D35370" t="s">
        <v>14</v>
      </c>
      <c r="E35370" t="s">
        <v>158</v>
      </c>
      <c r="F35370" s="2" t="str">
        <f>HYPERLINK("http://www.otzar.org/book.asp?23344","קובץ פרושים לספר ישעיה (גאונים וראשונים) - 2 כר'")</f>
        <v>קובץ פרושים לספר ישעיה (גאונים וראשונים) - 2 כר'</v>
      </c>
    </row>
    <row r="35371" spans="1:6" x14ac:dyDescent="0.2">
      <c r="A35371" t="s">
        <v>54748</v>
      </c>
      <c r="B35371" t="s">
        <v>51962</v>
      </c>
      <c r="C35371" t="s">
        <v>244</v>
      </c>
      <c r="D35371" t="s">
        <v>367</v>
      </c>
      <c r="F35371" s="2" t="str">
        <f>HYPERLINK("http://www.otzar.org/book.asp?198779","קובץ פרי ביכורים - 2 כר'")</f>
        <v>קובץ פרי ביכורים - 2 כר'</v>
      </c>
    </row>
    <row r="35372" spans="1:6" x14ac:dyDescent="0.2">
      <c r="A35372" t="s">
        <v>54749</v>
      </c>
      <c r="B35372" t="s">
        <v>10056</v>
      </c>
      <c r="C35372" t="s">
        <v>23</v>
      </c>
      <c r="D35372" t="s">
        <v>1180</v>
      </c>
      <c r="E35372" t="s">
        <v>1174</v>
      </c>
      <c r="F35372" s="2" t="str">
        <f>HYPERLINK("http://www.otzar.org/book.asp?199368","קובץ פרי עץ חיים סא-ק")</f>
        <v>קובץ פרי עץ חיים סא-ק</v>
      </c>
    </row>
    <row r="35373" spans="1:6" x14ac:dyDescent="0.2">
      <c r="A35373" t="s">
        <v>54750</v>
      </c>
      <c r="B35373" t="s">
        <v>54751</v>
      </c>
      <c r="C35373" t="s">
        <v>23</v>
      </c>
      <c r="D35373" t="s">
        <v>646</v>
      </c>
      <c r="F35373" s="2" t="str">
        <f>HYPERLINK("http://www.otzar.org/book.asp?611146","קובץ פרי עץ חיים")</f>
        <v>קובץ פרי עץ חיים</v>
      </c>
    </row>
    <row r="35374" spans="1:6" x14ac:dyDescent="0.2">
      <c r="A35374" t="s">
        <v>54752</v>
      </c>
      <c r="B35374" t="s">
        <v>10056</v>
      </c>
      <c r="C35374" t="s">
        <v>146</v>
      </c>
      <c r="D35374" t="s">
        <v>1180</v>
      </c>
      <c r="F35374" s="2" t="str">
        <f>HYPERLINK("http://www.otzar.org/book.asp?199118","קובץ פרי עץ חיים - 2 כר'")</f>
        <v>קובץ פרי עץ חיים - 2 כר'</v>
      </c>
    </row>
    <row r="35375" spans="1:6" x14ac:dyDescent="0.2">
      <c r="A35375" t="s">
        <v>54753</v>
      </c>
      <c r="B35375" t="s">
        <v>54754</v>
      </c>
      <c r="C35375" t="s">
        <v>146</v>
      </c>
      <c r="D35375" t="s">
        <v>14</v>
      </c>
      <c r="E35375" t="s">
        <v>202</v>
      </c>
      <c r="F35375" s="2" t="str">
        <f>HYPERLINK("http://www.otzar.org/book.asp?172000","קובץ פרי צדיק")</f>
        <v>קובץ פרי צדיק</v>
      </c>
    </row>
    <row r="35376" spans="1:6" x14ac:dyDescent="0.2">
      <c r="A35376" t="s">
        <v>54753</v>
      </c>
      <c r="B35376" t="s">
        <v>10056</v>
      </c>
      <c r="C35376" t="s">
        <v>146</v>
      </c>
      <c r="D35376" t="s">
        <v>90</v>
      </c>
      <c r="F35376" s="2" t="str">
        <f>HYPERLINK("http://www.otzar.org/book.asp?199116","קובץ פרי צדיק")</f>
        <v>קובץ פרי צדיק</v>
      </c>
    </row>
    <row r="35377" spans="1:6" x14ac:dyDescent="0.2">
      <c r="A35377" t="s">
        <v>54755</v>
      </c>
      <c r="B35377" t="s">
        <v>1750</v>
      </c>
      <c r="C35377" t="s">
        <v>37</v>
      </c>
      <c r="D35377" t="s">
        <v>90</v>
      </c>
      <c r="E35377" t="s">
        <v>202</v>
      </c>
      <c r="F35377" s="2" t="str">
        <f>HYPERLINK("http://www.otzar.org/book.asp?197472","קובץ פתגמי אורייתא")</f>
        <v>קובץ פתגמי אורייתא</v>
      </c>
    </row>
    <row r="35378" spans="1:6" x14ac:dyDescent="0.2">
      <c r="A35378" t="s">
        <v>54756</v>
      </c>
      <c r="B35378" t="s">
        <v>54757</v>
      </c>
      <c r="C35378" t="s">
        <v>17</v>
      </c>
      <c r="D35378" t="s">
        <v>367</v>
      </c>
      <c r="E35378" t="s">
        <v>202</v>
      </c>
      <c r="F35378" s="2" t="str">
        <f>HYPERLINK("http://www.otzar.org/book.asp?188788","קובץ צדקת אפרים - 10 כר'")</f>
        <v>קובץ צדקת אפרים - 10 כר'</v>
      </c>
    </row>
    <row r="35379" spans="1:6" x14ac:dyDescent="0.2">
      <c r="A35379" t="s">
        <v>54758</v>
      </c>
      <c r="B35379" t="s">
        <v>54759</v>
      </c>
      <c r="C35379" t="s">
        <v>23</v>
      </c>
      <c r="D35379" t="s">
        <v>14</v>
      </c>
      <c r="F35379" s="2" t="str">
        <f>HYPERLINK("http://www.otzar.org/book.asp?614455","קובץ צוהר לתיבה")</f>
        <v>קובץ צוהר לתיבה</v>
      </c>
    </row>
    <row r="35380" spans="1:6" x14ac:dyDescent="0.2">
      <c r="A35380" t="s">
        <v>54760</v>
      </c>
      <c r="B35380" t="s">
        <v>54761</v>
      </c>
      <c r="C35380" t="s">
        <v>13</v>
      </c>
      <c r="D35380" t="s">
        <v>14</v>
      </c>
      <c r="E35380" t="s">
        <v>186</v>
      </c>
      <c r="F35380" s="2" t="str">
        <f>HYPERLINK("http://www.otzar.org/book.asp?62658","קובץ ציונים והערות - 19 כר'")</f>
        <v>קובץ ציונים והערות - 19 כר'</v>
      </c>
    </row>
    <row r="35381" spans="1:6" x14ac:dyDescent="0.2">
      <c r="A35381" t="s">
        <v>54762</v>
      </c>
      <c r="B35381" t="s">
        <v>54763</v>
      </c>
      <c r="C35381" t="s">
        <v>151</v>
      </c>
      <c r="D35381" t="s">
        <v>52</v>
      </c>
      <c r="E35381" t="s">
        <v>186</v>
      </c>
      <c r="F35381" s="2" t="str">
        <f>HYPERLINK("http://www.otzar.org/book.asp?615415","קובץ ציצים ופרחים - ב""ק")</f>
        <v>קובץ ציצים ופרחים - ב"ק</v>
      </c>
    </row>
    <row r="35382" spans="1:6" x14ac:dyDescent="0.2">
      <c r="A35382" t="s">
        <v>54764</v>
      </c>
      <c r="B35382" t="s">
        <v>54765</v>
      </c>
      <c r="C35382" t="s">
        <v>411</v>
      </c>
      <c r="D35382" t="s">
        <v>216</v>
      </c>
      <c r="E35382" t="s">
        <v>202</v>
      </c>
      <c r="F35382" s="2" t="str">
        <f>HYPERLINK("http://www.otzar.org/book.asp?176522","קובץ ק""ב מהישמח")</f>
        <v>קובץ ק"ב מהישמח</v>
      </c>
    </row>
    <row r="35383" spans="1:6" x14ac:dyDescent="0.2">
      <c r="A35383" t="s">
        <v>54766</v>
      </c>
      <c r="B35383" t="s">
        <v>12347</v>
      </c>
      <c r="C35383" t="s">
        <v>37</v>
      </c>
      <c r="D35383" t="s">
        <v>52</v>
      </c>
      <c r="E35383" t="s">
        <v>202</v>
      </c>
      <c r="F35383" s="2" t="str">
        <f>HYPERLINK("http://www.otzar.org/book.asp?183106","קובץ קהילות יעקב")</f>
        <v>קובץ קהילות יעקב</v>
      </c>
    </row>
    <row r="35384" spans="1:6" x14ac:dyDescent="0.2">
      <c r="A35384" t="s">
        <v>54767</v>
      </c>
      <c r="B35384" t="s">
        <v>54768</v>
      </c>
      <c r="C35384" t="s">
        <v>523</v>
      </c>
      <c r="D35384" t="s">
        <v>14</v>
      </c>
      <c r="F35384" s="2" t="str">
        <f>HYPERLINK("http://www.otzar.org/book.asp?630398","קובץ קהלות ישורון - ג")</f>
        <v>קובץ קהלות ישורון - ג</v>
      </c>
    </row>
    <row r="35385" spans="1:6" x14ac:dyDescent="0.2">
      <c r="A35385" t="s">
        <v>54769</v>
      </c>
      <c r="B35385" t="s">
        <v>489</v>
      </c>
      <c r="F35385" s="2" t="str">
        <f>HYPERLINK("http://www.otzar.org/book.asp?630748","קובץ קו ההלכה עיון ההלכה")</f>
        <v>קובץ קו ההלכה עיון ההלכה</v>
      </c>
    </row>
    <row r="35386" spans="1:6" x14ac:dyDescent="0.2">
      <c r="A35386" t="s">
        <v>54770</v>
      </c>
      <c r="B35386" t="s">
        <v>1750</v>
      </c>
      <c r="C35386" t="s">
        <v>151</v>
      </c>
      <c r="D35386" t="s">
        <v>52</v>
      </c>
      <c r="F35386" s="2" t="str">
        <f>HYPERLINK("http://www.otzar.org/book.asp?620739","קובץ קו ההלכה - 3 כר'")</f>
        <v>קובץ קו ההלכה - 3 כר'</v>
      </c>
    </row>
    <row r="35387" spans="1:6" x14ac:dyDescent="0.2">
      <c r="A35387" t="s">
        <v>54771</v>
      </c>
      <c r="B35387" t="s">
        <v>489</v>
      </c>
      <c r="C35387" t="s">
        <v>17</v>
      </c>
      <c r="D35387" t="s">
        <v>5172</v>
      </c>
      <c r="E35387" t="s">
        <v>202</v>
      </c>
      <c r="F35387" s="2" t="str">
        <f>HYPERLINK("http://www.otzar.org/book.asp?163104","קובץ קובעי עתים")</f>
        <v>קובץ קובעי עתים</v>
      </c>
    </row>
    <row r="35388" spans="1:6" x14ac:dyDescent="0.2">
      <c r="A35388" t="s">
        <v>54772</v>
      </c>
      <c r="B35388" t="s">
        <v>54773</v>
      </c>
      <c r="C35388" t="s">
        <v>51</v>
      </c>
      <c r="D35388" t="s">
        <v>21</v>
      </c>
      <c r="E35388" t="s">
        <v>2091</v>
      </c>
      <c r="F35388" s="2" t="str">
        <f>HYPERLINK("http://www.otzar.org/book.asp?190891","קובץ קול יהודא")</f>
        <v>קובץ קול יהודא</v>
      </c>
    </row>
    <row r="35389" spans="1:6" x14ac:dyDescent="0.2">
      <c r="A35389" t="s">
        <v>54774</v>
      </c>
      <c r="B35389" t="s">
        <v>54775</v>
      </c>
      <c r="C35389" t="s">
        <v>244</v>
      </c>
      <c r="D35389" t="s">
        <v>14</v>
      </c>
      <c r="E35389" t="s">
        <v>202</v>
      </c>
      <c r="F35389" s="2" t="str">
        <f>HYPERLINK("http://www.otzar.org/book.asp?196302","קובץ קול מהיכל - שבת")</f>
        <v>קובץ קול מהיכל - שבת</v>
      </c>
    </row>
    <row r="35390" spans="1:6" x14ac:dyDescent="0.2">
      <c r="A35390" t="s">
        <v>54776</v>
      </c>
      <c r="B35390" t="s">
        <v>1750</v>
      </c>
      <c r="C35390" t="s">
        <v>23</v>
      </c>
      <c r="D35390" t="s">
        <v>52</v>
      </c>
      <c r="E35390" t="s">
        <v>202</v>
      </c>
      <c r="F35390" s="2" t="str">
        <f>HYPERLINK("http://www.otzar.org/book.asp?199535","קובץ קול סיני &lt;בני ברק&gt; - 5 כר'")</f>
        <v>קובץ קול סיני &lt;בני ברק&gt; - 5 כר'</v>
      </c>
    </row>
    <row r="35391" spans="1:6" x14ac:dyDescent="0.2">
      <c r="A35391" t="s">
        <v>54777</v>
      </c>
      <c r="B35391" t="s">
        <v>54778</v>
      </c>
      <c r="C35391" t="s">
        <v>411</v>
      </c>
      <c r="D35391" t="s">
        <v>245</v>
      </c>
      <c r="E35391" t="s">
        <v>202</v>
      </c>
      <c r="F35391" s="2" t="str">
        <f>HYPERLINK("http://www.otzar.org/book.asp?170847","קובץ קומץ המנחה")</f>
        <v>קובץ קומץ המנחה</v>
      </c>
    </row>
    <row r="35392" spans="1:6" x14ac:dyDescent="0.2">
      <c r="A35392" t="s">
        <v>54779</v>
      </c>
      <c r="B35392" t="s">
        <v>42522</v>
      </c>
      <c r="C35392" t="s">
        <v>17</v>
      </c>
      <c r="D35392" t="s">
        <v>14</v>
      </c>
      <c r="E35392" t="s">
        <v>15</v>
      </c>
      <c r="F35392" s="2" t="str">
        <f>HYPERLINK("http://www.otzar.org/book.asp?21631","קובץ קונטרסים - 2 כר'")</f>
        <v>קובץ קונטרסים - 2 כר'</v>
      </c>
    </row>
    <row r="35393" spans="1:6" x14ac:dyDescent="0.2">
      <c r="A35393" t="s">
        <v>54780</v>
      </c>
      <c r="B35393" t="s">
        <v>54780</v>
      </c>
      <c r="C35393" t="s">
        <v>1570</v>
      </c>
      <c r="D35393" t="s">
        <v>52</v>
      </c>
      <c r="E35393" t="s">
        <v>674</v>
      </c>
      <c r="F35393" s="2" t="str">
        <f>HYPERLINK("http://www.otzar.org/book.asp?8239","קובץ קן צפור")</f>
        <v>קובץ קן צפור</v>
      </c>
    </row>
    <row r="35394" spans="1:6" x14ac:dyDescent="0.2">
      <c r="A35394" t="s">
        <v>54781</v>
      </c>
      <c r="B35394" t="s">
        <v>54782</v>
      </c>
      <c r="C35394" t="s">
        <v>422</v>
      </c>
      <c r="D35394" t="s">
        <v>14</v>
      </c>
      <c r="E35394" t="s">
        <v>1174</v>
      </c>
      <c r="F35394" s="2" t="str">
        <f>HYPERLINK("http://www.otzar.org/book.asp?166260","קובץ קנין תורה")</f>
        <v>קובץ קנין תורה</v>
      </c>
    </row>
    <row r="35395" spans="1:6" x14ac:dyDescent="0.2">
      <c r="A35395" t="s">
        <v>54783</v>
      </c>
      <c r="B35395" t="s">
        <v>7653</v>
      </c>
      <c r="C35395" t="s">
        <v>23</v>
      </c>
      <c r="D35395" t="s">
        <v>1156</v>
      </c>
      <c r="F35395" s="2" t="str">
        <f>HYPERLINK("http://www.otzar.org/book.asp?611057","קובץ קרני רא""ם")</f>
        <v>קובץ קרני רא"ם</v>
      </c>
    </row>
    <row r="35396" spans="1:6" x14ac:dyDescent="0.2">
      <c r="A35396" t="s">
        <v>54784</v>
      </c>
      <c r="B35396" t="s">
        <v>54785</v>
      </c>
      <c r="C35396" t="s">
        <v>146</v>
      </c>
      <c r="D35396" t="s">
        <v>14</v>
      </c>
      <c r="E35396" t="s">
        <v>130</v>
      </c>
      <c r="F35396" s="2" t="str">
        <f>HYPERLINK("http://www.otzar.org/book.asp?168420","קובץ ראש שמחתי")</f>
        <v>קובץ ראש שמחתי</v>
      </c>
    </row>
    <row r="35397" spans="1:6" x14ac:dyDescent="0.2">
      <c r="A35397" t="s">
        <v>54786</v>
      </c>
      <c r="B35397" t="s">
        <v>54787</v>
      </c>
      <c r="C35397" t="s">
        <v>785</v>
      </c>
      <c r="D35397" t="s">
        <v>14</v>
      </c>
      <c r="E35397" t="s">
        <v>4586</v>
      </c>
      <c r="F35397" s="2" t="str">
        <f>HYPERLINK("http://www.otzar.org/book.asp?11642","קובץ ראשונים &lt;עיוני שמועה&gt; - 2 כר'")</f>
        <v>קובץ ראשונים &lt;עיוני שמועה&gt; - 2 כר'</v>
      </c>
    </row>
    <row r="35398" spans="1:6" x14ac:dyDescent="0.2">
      <c r="A35398" t="s">
        <v>54788</v>
      </c>
      <c r="B35398" t="s">
        <v>54789</v>
      </c>
      <c r="C35398" t="s">
        <v>23</v>
      </c>
      <c r="D35398" t="s">
        <v>47856</v>
      </c>
      <c r="E35398" t="s">
        <v>144</v>
      </c>
      <c r="F35398" s="2" t="str">
        <f>HYPERLINK("http://www.otzar.org/book.asp?621707","קובץ ראשונים &lt;רוח ברור&gt; על פרק איזהו נשך")</f>
        <v>קובץ ראשונים &lt;רוח ברור&gt; על פרק איזהו נשך</v>
      </c>
    </row>
    <row r="35399" spans="1:6" x14ac:dyDescent="0.2">
      <c r="A35399" t="s">
        <v>54790</v>
      </c>
      <c r="B35399" t="s">
        <v>54791</v>
      </c>
      <c r="C35399" t="s">
        <v>189</v>
      </c>
      <c r="D35399" t="s">
        <v>14</v>
      </c>
      <c r="E35399" t="s">
        <v>15</v>
      </c>
      <c r="F35399" s="2" t="str">
        <f>HYPERLINK("http://www.otzar.org/book.asp?169195","קובץ ראשונים בהלכות שבת")</f>
        <v>קובץ ראשונים בהלכות שבת</v>
      </c>
    </row>
    <row r="35400" spans="1:6" x14ac:dyDescent="0.2">
      <c r="A35400" t="s">
        <v>54792</v>
      </c>
      <c r="B35400" t="s">
        <v>54793</v>
      </c>
      <c r="C35400" t="s">
        <v>1811</v>
      </c>
      <c r="D35400" t="s">
        <v>14</v>
      </c>
      <c r="E35400" t="s">
        <v>15</v>
      </c>
      <c r="F35400" s="2" t="str">
        <f>HYPERLINK("http://www.otzar.org/book.asp?156024","קובץ ראשונים להלכות נדה ומסכת מקוואות")</f>
        <v>קובץ ראשונים להלכות נדה ומסכת מקוואות</v>
      </c>
    </row>
    <row r="35401" spans="1:6" x14ac:dyDescent="0.2">
      <c r="A35401" t="s">
        <v>54794</v>
      </c>
      <c r="B35401" t="s">
        <v>54791</v>
      </c>
      <c r="C35401" t="s">
        <v>189</v>
      </c>
      <c r="D35401" t="s">
        <v>14</v>
      </c>
      <c r="E35401" t="s">
        <v>15</v>
      </c>
      <c r="F35401" s="2" t="str">
        <f>HYPERLINK("http://www.otzar.org/book.asp?169196","קובץ ראשונים על ל""ט מלאכות")</f>
        <v>קובץ ראשונים על ל"ט מלאכות</v>
      </c>
    </row>
    <row r="35402" spans="1:6" x14ac:dyDescent="0.2">
      <c r="A35402" t="s">
        <v>54795</v>
      </c>
      <c r="B35402" t="s">
        <v>7173</v>
      </c>
      <c r="C35402" t="s">
        <v>411</v>
      </c>
      <c r="D35402" t="s">
        <v>147</v>
      </c>
      <c r="E35402" t="s">
        <v>15</v>
      </c>
      <c r="F35402" s="2" t="str">
        <f>HYPERLINK("http://www.otzar.org/book.asp?177019","קובץ ראשונים על צורת האותיות")</f>
        <v>קובץ ראשונים על צורת האותיות</v>
      </c>
    </row>
    <row r="35403" spans="1:6" x14ac:dyDescent="0.2">
      <c r="A35403" t="s">
        <v>54796</v>
      </c>
      <c r="B35403" t="s">
        <v>54797</v>
      </c>
      <c r="C35403" t="s">
        <v>20</v>
      </c>
      <c r="F35403" s="2" t="str">
        <f>HYPERLINK("http://www.otzar.org/book.asp?196114","קובץ ראשונים - תערובות")</f>
        <v>קובץ ראשונים - תערובות</v>
      </c>
    </row>
    <row r="35404" spans="1:6" x14ac:dyDescent="0.2">
      <c r="A35404" t="s">
        <v>54798</v>
      </c>
      <c r="B35404" t="s">
        <v>7173</v>
      </c>
      <c r="C35404" t="s">
        <v>143</v>
      </c>
      <c r="D35404" t="s">
        <v>1511</v>
      </c>
      <c r="E35404" t="s">
        <v>15</v>
      </c>
      <c r="F35404" s="2" t="str">
        <f>HYPERLINK("http://www.otzar.org/book.asp?153705","קובץ ראשונים - 3 כר'")</f>
        <v>קובץ ראשונים - 3 כר'</v>
      </c>
    </row>
    <row r="35405" spans="1:6" x14ac:dyDescent="0.2">
      <c r="A35405" t="s">
        <v>54799</v>
      </c>
      <c r="B35405" t="s">
        <v>1750</v>
      </c>
      <c r="C35405" t="s">
        <v>20</v>
      </c>
      <c r="D35405" t="s">
        <v>90</v>
      </c>
      <c r="E35405" t="s">
        <v>144</v>
      </c>
      <c r="F35405" s="2" t="str">
        <f>HYPERLINK("http://www.otzar.org/book.asp?630235","קובץ ראשונים - 2 כר'")</f>
        <v>קובץ ראשונים - 2 כר'</v>
      </c>
    </row>
    <row r="35406" spans="1:6" x14ac:dyDescent="0.2">
      <c r="A35406" t="s">
        <v>54800</v>
      </c>
      <c r="B35406" t="s">
        <v>54801</v>
      </c>
      <c r="C35406" t="s">
        <v>366</v>
      </c>
      <c r="D35406" t="s">
        <v>14</v>
      </c>
      <c r="E35406" t="s">
        <v>202</v>
      </c>
      <c r="F35406" s="2" t="str">
        <f>HYPERLINK("http://www.otzar.org/book.asp?607167","קובץ רב ברכות - 6 כר'")</f>
        <v>קובץ רב ברכות - 6 כר'</v>
      </c>
    </row>
    <row r="35407" spans="1:6" x14ac:dyDescent="0.2">
      <c r="A35407" t="s">
        <v>54802</v>
      </c>
      <c r="B35407" t="s">
        <v>54803</v>
      </c>
      <c r="C35407" t="s">
        <v>23</v>
      </c>
      <c r="D35407" t="s">
        <v>52</v>
      </c>
      <c r="F35407" s="2" t="str">
        <f>HYPERLINK("http://www.otzar.org/book.asp?191480","קובץ רבד הזהב - שמיטה ויובל, ת""ת")</f>
        <v>קובץ רבד הזהב - שמיטה ויובל, ת"ת</v>
      </c>
    </row>
    <row r="35408" spans="1:6" x14ac:dyDescent="0.2">
      <c r="A35408" t="s">
        <v>54804</v>
      </c>
      <c r="B35408" t="s">
        <v>34957</v>
      </c>
      <c r="C35408" t="s">
        <v>20</v>
      </c>
      <c r="D35408" t="s">
        <v>216</v>
      </c>
      <c r="E35408" t="s">
        <v>202</v>
      </c>
      <c r="F35408" s="2" t="str">
        <f>HYPERLINK("http://www.otzar.org/book.asp?180380","קובץ רבני תורני אחיעזר - 3 כר'")</f>
        <v>קובץ רבני תורני אחיעזר - 3 כר'</v>
      </c>
    </row>
    <row r="35409" spans="1:6" x14ac:dyDescent="0.2">
      <c r="A35409" t="s">
        <v>54805</v>
      </c>
      <c r="B35409" t="s">
        <v>54806</v>
      </c>
      <c r="C35409" t="s">
        <v>151</v>
      </c>
      <c r="D35409" t="s">
        <v>52</v>
      </c>
      <c r="E35409" t="s">
        <v>144</v>
      </c>
      <c r="F35409" s="2" t="str">
        <f>HYPERLINK("http://www.otzar.org/book.asp?611198","קובץ רווחא שמעתא - נזיר")</f>
        <v>קובץ רווחא שמעתא - נזיר</v>
      </c>
    </row>
    <row r="35410" spans="1:6" x14ac:dyDescent="0.2">
      <c r="A35410" t="s">
        <v>54807</v>
      </c>
      <c r="B35410" t="s">
        <v>54808</v>
      </c>
      <c r="C35410" t="s">
        <v>37</v>
      </c>
      <c r="D35410" t="s">
        <v>14</v>
      </c>
      <c r="E35410" t="s">
        <v>202</v>
      </c>
      <c r="F35410" s="2" t="str">
        <f>HYPERLINK("http://www.otzar.org/book.asp?194151","קובץ רינת התורה")</f>
        <v>קובץ רינת התורה</v>
      </c>
    </row>
    <row r="35411" spans="1:6" x14ac:dyDescent="0.2">
      <c r="A35411" t="s">
        <v>54809</v>
      </c>
      <c r="B35411" t="s">
        <v>54810</v>
      </c>
      <c r="C35411" t="s">
        <v>366</v>
      </c>
      <c r="D35411" t="s">
        <v>52</v>
      </c>
      <c r="F35411" s="2" t="str">
        <f>HYPERLINK("http://www.otzar.org/book.asp?606579","קובץ רפואה קרובה")</f>
        <v>קובץ רפואה קרובה</v>
      </c>
    </row>
    <row r="35412" spans="1:6" x14ac:dyDescent="0.2">
      <c r="A35412" t="s">
        <v>54811</v>
      </c>
      <c r="B35412" t="s">
        <v>54812</v>
      </c>
      <c r="C35412" t="s">
        <v>103</v>
      </c>
      <c r="D35412" t="s">
        <v>412</v>
      </c>
      <c r="E35412" t="s">
        <v>144</v>
      </c>
      <c r="F35412" s="2" t="str">
        <f>HYPERLINK("http://www.otzar.org/book.asp?171908","קובץ רשימות שיעורים - 13 כר'")</f>
        <v>קובץ רשימות שיעורים - 13 כר'</v>
      </c>
    </row>
    <row r="35413" spans="1:6" x14ac:dyDescent="0.2">
      <c r="A35413" t="s">
        <v>54813</v>
      </c>
      <c r="B35413" t="s">
        <v>6353</v>
      </c>
      <c r="C35413" t="s">
        <v>189</v>
      </c>
      <c r="D35413" t="s">
        <v>52</v>
      </c>
      <c r="E35413" t="s">
        <v>144</v>
      </c>
      <c r="F35413" s="2" t="str">
        <f>HYPERLINK("http://www.otzar.org/book.asp?63012","קובץ רשימות שיעורים - יבמות")</f>
        <v>קובץ רשימות שיעורים - יבמות</v>
      </c>
    </row>
    <row r="35414" spans="1:6" x14ac:dyDescent="0.2">
      <c r="A35414" t="s">
        <v>54814</v>
      </c>
      <c r="B35414" t="s">
        <v>54815</v>
      </c>
      <c r="C35414" t="s">
        <v>422</v>
      </c>
      <c r="D35414" t="s">
        <v>52</v>
      </c>
      <c r="E35414" t="s">
        <v>144</v>
      </c>
      <c r="F35414" s="2" t="str">
        <f>HYPERLINK("http://www.otzar.org/book.asp?154415","קובץ רשימות - מועד קטן")</f>
        <v>קובץ רשימות - מועד קטן</v>
      </c>
    </row>
    <row r="35415" spans="1:6" x14ac:dyDescent="0.2">
      <c r="A35415" t="s">
        <v>54816</v>
      </c>
      <c r="B35415" t="s">
        <v>54817</v>
      </c>
      <c r="C35415" t="s">
        <v>68</v>
      </c>
      <c r="D35415" t="s">
        <v>52</v>
      </c>
      <c r="F35415" s="2" t="str">
        <f>HYPERLINK("http://www.otzar.org/book.asp?630764","קובץ שאלות בהלכות מליחה")</f>
        <v>קובץ שאלות בהלכות מליחה</v>
      </c>
    </row>
    <row r="35416" spans="1:6" x14ac:dyDescent="0.2">
      <c r="A35416" t="s">
        <v>54818</v>
      </c>
      <c r="B35416" t="s">
        <v>35238</v>
      </c>
      <c r="C35416" t="s">
        <v>244</v>
      </c>
      <c r="D35416" t="s">
        <v>412</v>
      </c>
      <c r="F35416" s="2" t="str">
        <f>HYPERLINK("http://www.otzar.org/book.asp?603669","קובץ שאלות ותשובות - 2 כר'")</f>
        <v>קובץ שאלות ותשובות - 2 כר'</v>
      </c>
    </row>
    <row r="35417" spans="1:6" x14ac:dyDescent="0.2">
      <c r="A35417" t="s">
        <v>54819</v>
      </c>
      <c r="B35417" t="s">
        <v>54820</v>
      </c>
      <c r="C35417" t="s">
        <v>411</v>
      </c>
      <c r="D35417" t="s">
        <v>152</v>
      </c>
      <c r="F35417" s="2" t="str">
        <f>HYPERLINK("http://www.otzar.org/book.asp?198156","קובץ שבט מנשה - ב")</f>
        <v>קובץ שבט מנשה - ב</v>
      </c>
    </row>
    <row r="35418" spans="1:6" x14ac:dyDescent="0.2">
      <c r="A35418" t="s">
        <v>54821</v>
      </c>
      <c r="B35418" t="s">
        <v>42522</v>
      </c>
      <c r="C35418" t="s">
        <v>411</v>
      </c>
      <c r="D35418" t="s">
        <v>152</v>
      </c>
      <c r="E35418" t="s">
        <v>202</v>
      </c>
      <c r="F35418" s="2" t="str">
        <f>HYPERLINK("http://www.otzar.org/book.asp?198155","קובץ שבט מנשה - א")</f>
        <v>קובץ שבט מנשה - א</v>
      </c>
    </row>
    <row r="35419" spans="1:6" x14ac:dyDescent="0.2">
      <c r="A35419" t="s">
        <v>54822</v>
      </c>
      <c r="B35419" t="s">
        <v>37692</v>
      </c>
      <c r="C35419" t="s">
        <v>51</v>
      </c>
      <c r="D35419" t="s">
        <v>14</v>
      </c>
      <c r="E35419" t="s">
        <v>202</v>
      </c>
      <c r="F35419" s="2" t="str">
        <f>HYPERLINK("http://www.otzar.org/book.asp?175999","קובץ שבילי דאורייתא - מלאכת קושר")</f>
        <v>קובץ שבילי דאורייתא - מלאכת קושר</v>
      </c>
    </row>
    <row r="35420" spans="1:6" x14ac:dyDescent="0.2">
      <c r="A35420" t="s">
        <v>54823</v>
      </c>
      <c r="B35420" t="s">
        <v>54626</v>
      </c>
      <c r="C35420" t="s">
        <v>20</v>
      </c>
      <c r="D35420" t="s">
        <v>90</v>
      </c>
      <c r="F35420" s="2" t="str">
        <f>HYPERLINK("http://www.otzar.org/book.asp?608890","קובץ שבת א")</f>
        <v>קובץ שבת א</v>
      </c>
    </row>
    <row r="35421" spans="1:6" x14ac:dyDescent="0.2">
      <c r="A35421" t="s">
        <v>54824</v>
      </c>
      <c r="B35421" t="s">
        <v>54626</v>
      </c>
      <c r="C35421" t="s">
        <v>20</v>
      </c>
      <c r="D35421" t="s">
        <v>90</v>
      </c>
      <c r="F35421" s="2" t="str">
        <f>HYPERLINK("http://www.otzar.org/book.asp?608891","קובץ שבת ב")</f>
        <v>קובץ שבת ב</v>
      </c>
    </row>
    <row r="35422" spans="1:6" x14ac:dyDescent="0.2">
      <c r="A35422" t="s">
        <v>54825</v>
      </c>
      <c r="B35422" t="s">
        <v>19019</v>
      </c>
      <c r="C35422" t="s">
        <v>20</v>
      </c>
      <c r="D35422" t="s">
        <v>21</v>
      </c>
      <c r="E35422" t="s">
        <v>148</v>
      </c>
      <c r="F35422" s="2" t="str">
        <f>HYPERLINK("http://www.otzar.org/book.asp?191477","קובץ שבת באהבה")</f>
        <v>קובץ שבת באהבה</v>
      </c>
    </row>
    <row r="35423" spans="1:6" x14ac:dyDescent="0.2">
      <c r="A35423" t="s">
        <v>54826</v>
      </c>
      <c r="B35423" t="s">
        <v>54827</v>
      </c>
      <c r="C35423" t="s">
        <v>20</v>
      </c>
      <c r="D35423" t="s">
        <v>14</v>
      </c>
      <c r="E35423" t="s">
        <v>10</v>
      </c>
      <c r="F35423" s="2" t="str">
        <f>HYPERLINK("http://www.otzar.org/book.asp?624910","קובץ שו""ת מהגר""ח קנייבסקי בעניני תפילין ובר מצוה")</f>
        <v>קובץ שו"ת מהגר"ח קנייבסקי בעניני תפילין ובר מצוה</v>
      </c>
    </row>
    <row r="35424" spans="1:6" x14ac:dyDescent="0.2">
      <c r="A35424" t="s">
        <v>54828</v>
      </c>
      <c r="B35424" t="s">
        <v>54828</v>
      </c>
      <c r="C35424" t="s">
        <v>20</v>
      </c>
      <c r="D35424" t="s">
        <v>14</v>
      </c>
      <c r="E35424" t="s">
        <v>33749</v>
      </c>
      <c r="F35424" s="2" t="str">
        <f>HYPERLINK("http://www.otzar.org/book.asp?6515","קובץ שו""תים בעניני סוכה")</f>
        <v>קובץ שו"תים בעניני סוכה</v>
      </c>
    </row>
    <row r="35425" spans="1:6" x14ac:dyDescent="0.2">
      <c r="A35425" t="s">
        <v>54829</v>
      </c>
      <c r="B35425" t="s">
        <v>54830</v>
      </c>
      <c r="C35425" t="s">
        <v>244</v>
      </c>
      <c r="D35425" t="s">
        <v>1156</v>
      </c>
      <c r="F35425" s="2" t="str">
        <f>HYPERLINK("http://www.otzar.org/book.asp?603661","קובץ שומרי משפט")</f>
        <v>קובץ שומרי משפט</v>
      </c>
    </row>
    <row r="35426" spans="1:6" x14ac:dyDescent="0.2">
      <c r="A35426" t="s">
        <v>54831</v>
      </c>
      <c r="B35426" t="s">
        <v>54832</v>
      </c>
      <c r="C35426" t="s">
        <v>14</v>
      </c>
      <c r="D35426" t="s">
        <v>2132</v>
      </c>
      <c r="F35426" s="2" t="str">
        <f>HYPERLINK("http://www.otzar.org/book.asp?617141","קובץ שונה הלכות")</f>
        <v>קובץ שונה הלכות</v>
      </c>
    </row>
    <row r="35427" spans="1:6" x14ac:dyDescent="0.2">
      <c r="A35427" t="s">
        <v>54833</v>
      </c>
      <c r="B35427" t="s">
        <v>7056</v>
      </c>
      <c r="C35427" t="s">
        <v>133</v>
      </c>
      <c r="D35427" t="s">
        <v>3406</v>
      </c>
      <c r="F35427" s="2" t="str">
        <f>HYPERLINK("http://www.otzar.org/book.asp?620350","קובץ שופר הזוהר - יז")</f>
        <v>קובץ שופר הזוהר - יז</v>
      </c>
    </row>
    <row r="35428" spans="1:6" x14ac:dyDescent="0.2">
      <c r="A35428" t="s">
        <v>54834</v>
      </c>
      <c r="B35428" t="s">
        <v>54835</v>
      </c>
      <c r="C35428" t="s">
        <v>244</v>
      </c>
      <c r="D35428" t="s">
        <v>118</v>
      </c>
      <c r="E35428" t="s">
        <v>202</v>
      </c>
      <c r="F35428" s="2" t="str">
        <f>HYPERLINK("http://www.otzar.org/book.asp?602669","קובץ שופריה דיעקב - 2 כר'")</f>
        <v>קובץ שופריה דיעקב - 2 כר'</v>
      </c>
    </row>
    <row r="35429" spans="1:6" x14ac:dyDescent="0.2">
      <c r="A35429" t="s">
        <v>54836</v>
      </c>
      <c r="B35429" t="s">
        <v>54837</v>
      </c>
      <c r="C35429" t="s">
        <v>20</v>
      </c>
      <c r="D35429" t="s">
        <v>50710</v>
      </c>
      <c r="F35429" s="2" t="str">
        <f>HYPERLINK("http://www.otzar.org/book.asp?193655","קובץ שושנת העמקים")</f>
        <v>קובץ שושנת העמקים</v>
      </c>
    </row>
    <row r="35430" spans="1:6" x14ac:dyDescent="0.2">
      <c r="A35430" t="s">
        <v>54838</v>
      </c>
      <c r="B35430" t="s">
        <v>54839</v>
      </c>
      <c r="C35430" t="s">
        <v>422</v>
      </c>
      <c r="D35430" t="s">
        <v>52</v>
      </c>
      <c r="E35430" t="s">
        <v>1164</v>
      </c>
      <c r="F35430" s="2" t="str">
        <f>HYPERLINK("http://www.otzar.org/book.asp?150946","קובץ שיחות בעניני בין המצרים")</f>
        <v>קובץ שיחות בעניני בין המצרים</v>
      </c>
    </row>
    <row r="35431" spans="1:6" x14ac:dyDescent="0.2">
      <c r="A35431" t="s">
        <v>54840</v>
      </c>
      <c r="B35431" t="s">
        <v>54146</v>
      </c>
      <c r="C35431" t="s">
        <v>785</v>
      </c>
      <c r="D35431" t="s">
        <v>14</v>
      </c>
      <c r="E35431" t="s">
        <v>213</v>
      </c>
      <c r="F35431" s="2" t="str">
        <f>HYPERLINK("http://www.otzar.org/book.asp?60603","קובץ שיחות וועדים")</f>
        <v>קובץ שיחות וועדים</v>
      </c>
    </row>
    <row r="35432" spans="1:6" x14ac:dyDescent="0.2">
      <c r="A35432" t="s">
        <v>54841</v>
      </c>
      <c r="B35432" t="s">
        <v>54068</v>
      </c>
      <c r="C35432" t="s">
        <v>20</v>
      </c>
      <c r="D35432" t="s">
        <v>5172</v>
      </c>
      <c r="E35432" t="s">
        <v>104</v>
      </c>
      <c r="F35432" s="2" t="str">
        <f>HYPERLINK("http://www.otzar.org/book.asp?191150","קובץ שיחות ומאמרים - 5 כר'")</f>
        <v>קובץ שיחות ומאמרים - 5 כר'</v>
      </c>
    </row>
    <row r="35433" spans="1:6" x14ac:dyDescent="0.2">
      <c r="A35433" t="s">
        <v>54842</v>
      </c>
      <c r="B35433" t="s">
        <v>54843</v>
      </c>
      <c r="C35433" t="s">
        <v>20</v>
      </c>
      <c r="D35433" t="s">
        <v>52</v>
      </c>
      <c r="E35433" t="s">
        <v>1157</v>
      </c>
      <c r="F35433" s="2" t="str">
        <f>HYPERLINK("http://www.otzar.org/book.asp?628788","קובץ שיחות ומאמרים - אלול וימים נוראים")</f>
        <v>קובץ שיחות ומאמרים - אלול וימים נוראים</v>
      </c>
    </row>
    <row r="35434" spans="1:6" x14ac:dyDescent="0.2">
      <c r="A35434" t="s">
        <v>54844</v>
      </c>
      <c r="B35434" t="s">
        <v>54845</v>
      </c>
      <c r="C35434" t="s">
        <v>51</v>
      </c>
      <c r="D35434" t="s">
        <v>14</v>
      </c>
      <c r="E35434" t="s">
        <v>241</v>
      </c>
      <c r="F35434" s="2" t="str">
        <f>HYPERLINK("http://www.otzar.org/book.asp?142147","קובץ שיחות חיזוק")</f>
        <v>קובץ שיחות חיזוק</v>
      </c>
    </row>
    <row r="35435" spans="1:6" x14ac:dyDescent="0.2">
      <c r="A35435" t="s">
        <v>54844</v>
      </c>
      <c r="B35435" t="s">
        <v>19486</v>
      </c>
      <c r="C35435" t="s">
        <v>454</v>
      </c>
      <c r="D35435" t="s">
        <v>52</v>
      </c>
      <c r="E35435" t="s">
        <v>241</v>
      </c>
      <c r="F35435" s="2" t="str">
        <f>HYPERLINK("http://www.otzar.org/book.asp?22958","קובץ שיחות חיזוק")</f>
        <v>קובץ שיחות חיזוק</v>
      </c>
    </row>
    <row r="35436" spans="1:6" x14ac:dyDescent="0.2">
      <c r="A35436" t="s">
        <v>54846</v>
      </c>
      <c r="B35436" t="s">
        <v>6302</v>
      </c>
      <c r="C35436" t="s">
        <v>2132</v>
      </c>
      <c r="D35436" t="s">
        <v>52</v>
      </c>
      <c r="E35436" t="s">
        <v>104</v>
      </c>
      <c r="F35436" s="2" t="str">
        <f>HYPERLINK("http://www.otzar.org/book.asp?174113","קובץ שיחות מוסר")</f>
        <v>קובץ שיחות מוסר</v>
      </c>
    </row>
    <row r="35437" spans="1:6" x14ac:dyDescent="0.2">
      <c r="A35437" t="s">
        <v>54847</v>
      </c>
      <c r="B35437" t="s">
        <v>54848</v>
      </c>
      <c r="C35437" t="s">
        <v>71</v>
      </c>
      <c r="D35437" t="s">
        <v>14</v>
      </c>
      <c r="E35437" t="s">
        <v>241</v>
      </c>
      <c r="F35437" s="2" t="str">
        <f>HYPERLINK("http://www.otzar.org/book.asp?172012","קובץ שיחות מוסר - 4 כר'")</f>
        <v>קובץ שיחות מוסר - 4 כר'</v>
      </c>
    </row>
    <row r="35438" spans="1:6" x14ac:dyDescent="0.2">
      <c r="A35438" t="s">
        <v>54846</v>
      </c>
      <c r="B35438" t="s">
        <v>1281</v>
      </c>
      <c r="C35438" t="s">
        <v>332</v>
      </c>
      <c r="D35438" t="s">
        <v>14</v>
      </c>
      <c r="E35438" t="s">
        <v>104</v>
      </c>
      <c r="F35438" s="2" t="str">
        <f>HYPERLINK("http://www.otzar.org/book.asp?625404","קובץ שיחות מוסר")</f>
        <v>קובץ שיחות מוסר</v>
      </c>
    </row>
    <row r="35439" spans="1:6" x14ac:dyDescent="0.2">
      <c r="A35439" t="s">
        <v>54849</v>
      </c>
      <c r="B35439" t="s">
        <v>51849</v>
      </c>
      <c r="C35439" t="s">
        <v>133</v>
      </c>
      <c r="D35439" t="s">
        <v>52</v>
      </c>
      <c r="E35439" t="s">
        <v>230</v>
      </c>
      <c r="F35439" s="2" t="str">
        <f>HYPERLINK("http://www.otzar.org/book.asp?176155","קובץ שיחות על התורה")</f>
        <v>קובץ שיחות על התורה</v>
      </c>
    </row>
    <row r="35440" spans="1:6" x14ac:dyDescent="0.2">
      <c r="A35440" t="s">
        <v>54850</v>
      </c>
      <c r="B35440" t="s">
        <v>22576</v>
      </c>
      <c r="C35440" t="s">
        <v>68</v>
      </c>
      <c r="D35440" t="s">
        <v>90</v>
      </c>
      <c r="E35440" t="s">
        <v>213</v>
      </c>
      <c r="F35440" s="2" t="str">
        <f>HYPERLINK("http://www.otzar.org/book.asp?168412","קובץ שיחות על תפילה")</f>
        <v>קובץ שיחות על תפילה</v>
      </c>
    </row>
    <row r="35441" spans="1:6" x14ac:dyDescent="0.2">
      <c r="A35441" t="s">
        <v>54851</v>
      </c>
      <c r="B35441" t="s">
        <v>54852</v>
      </c>
      <c r="C35441" t="s">
        <v>20</v>
      </c>
      <c r="D35441" t="s">
        <v>52</v>
      </c>
      <c r="E35441" t="s">
        <v>741</v>
      </c>
      <c r="F35441" s="2" t="str">
        <f>HYPERLINK("http://www.otzar.org/book.asp?179329","קובץ שיחות קודש &lt;ספינקא&gt; - 2 כר'")</f>
        <v>קובץ שיחות קודש &lt;ספינקא&gt; - 2 כר'</v>
      </c>
    </row>
    <row r="35442" spans="1:6" x14ac:dyDescent="0.2">
      <c r="A35442" t="s">
        <v>54853</v>
      </c>
      <c r="B35442" t="s">
        <v>9775</v>
      </c>
      <c r="C35442" t="s">
        <v>114</v>
      </c>
      <c r="D35442" t="s">
        <v>27</v>
      </c>
      <c r="E35442" t="s">
        <v>741</v>
      </c>
      <c r="F35442" s="2" t="str">
        <f>HYPERLINK("http://www.otzar.org/book.asp?168897","קובץ שיחות קודש")</f>
        <v>קובץ שיחות קודש</v>
      </c>
    </row>
    <row r="35443" spans="1:6" x14ac:dyDescent="0.2">
      <c r="A35443" t="s">
        <v>54854</v>
      </c>
      <c r="C35443" t="s">
        <v>2201</v>
      </c>
      <c r="D35443" t="s">
        <v>54855</v>
      </c>
      <c r="E35443" t="s">
        <v>104</v>
      </c>
      <c r="F35443" s="2" t="str">
        <f>HYPERLINK("http://www.otzar.org/book.asp?626319","קובץ שיחות שנאמרו בישיבת באר יעקב ע""י מרן המשגיח שליט""א - ב")</f>
        <v>קובץ שיחות שנאמרו בישיבת באר יעקב ע"י מרן המשגיח שליט"א - ב</v>
      </c>
    </row>
    <row r="35444" spans="1:6" x14ac:dyDescent="0.2">
      <c r="A35444" t="s">
        <v>54856</v>
      </c>
      <c r="B35444" t="s">
        <v>19486</v>
      </c>
      <c r="C35444" t="s">
        <v>68</v>
      </c>
      <c r="D35444" t="s">
        <v>14</v>
      </c>
      <c r="F35444" s="2" t="str">
        <f>HYPERLINK("http://www.otzar.org/book.asp?616973","קובץ שיחות - 6 כר'")</f>
        <v>קובץ שיחות - 6 כר'</v>
      </c>
    </row>
    <row r="35445" spans="1:6" x14ac:dyDescent="0.2">
      <c r="A35445" t="s">
        <v>54857</v>
      </c>
      <c r="B35445" t="s">
        <v>37275</v>
      </c>
      <c r="C35445" t="s">
        <v>411</v>
      </c>
      <c r="D35445" t="s">
        <v>14</v>
      </c>
      <c r="F35445" s="2" t="str">
        <f>HYPERLINK("http://www.otzar.org/book.asp?618777","קובץ שיחות - מועדים")</f>
        <v>קובץ שיחות - מועדים</v>
      </c>
    </row>
    <row r="35446" spans="1:6" x14ac:dyDescent="0.2">
      <c r="A35446" t="s">
        <v>54858</v>
      </c>
      <c r="B35446" t="s">
        <v>54859</v>
      </c>
      <c r="C35446" t="s">
        <v>176</v>
      </c>
      <c r="D35446" t="s">
        <v>229</v>
      </c>
      <c r="F35446" s="2" t="str">
        <f>HYPERLINK("http://www.otzar.org/book.asp?615334","קובץ שיחות - א")</f>
        <v>קובץ שיחות - א</v>
      </c>
    </row>
    <row r="35447" spans="1:6" x14ac:dyDescent="0.2">
      <c r="A35447" t="s">
        <v>54860</v>
      </c>
      <c r="B35447" t="s">
        <v>54861</v>
      </c>
      <c r="C35447" t="s">
        <v>129</v>
      </c>
      <c r="D35447" t="s">
        <v>3436</v>
      </c>
      <c r="E35447" t="s">
        <v>104</v>
      </c>
      <c r="F35447" s="2" t="str">
        <f>HYPERLINK("http://www.otzar.org/book.asp?190755","קובץ שיחות")</f>
        <v>קובץ שיחות</v>
      </c>
    </row>
    <row r="35448" spans="1:6" x14ac:dyDescent="0.2">
      <c r="A35448" t="s">
        <v>54862</v>
      </c>
      <c r="B35448" t="s">
        <v>19961</v>
      </c>
      <c r="C35448" t="s">
        <v>1619</v>
      </c>
      <c r="D35448" t="s">
        <v>52</v>
      </c>
      <c r="E35448" t="s">
        <v>104</v>
      </c>
      <c r="F35448" s="2" t="str">
        <f>HYPERLINK("http://www.otzar.org/book.asp?194977","קובץ שיחות - 2 כר'")</f>
        <v>קובץ שיחות - 2 כר'</v>
      </c>
    </row>
    <row r="35449" spans="1:6" x14ac:dyDescent="0.2">
      <c r="A35449" t="s">
        <v>54863</v>
      </c>
      <c r="B35449" t="s">
        <v>54864</v>
      </c>
      <c r="C35449" t="s">
        <v>20</v>
      </c>
      <c r="D35449" t="s">
        <v>14</v>
      </c>
      <c r="E35449" t="s">
        <v>144</v>
      </c>
      <c r="F35449" s="2" t="str">
        <f>HYPERLINK("http://www.otzar.org/book.asp?186808","קובץ שיטות קדמוניות למסכת תענית")</f>
        <v>קובץ שיטות קדמוניות למסכת תענית</v>
      </c>
    </row>
    <row r="35450" spans="1:6" x14ac:dyDescent="0.2">
      <c r="A35450" t="s">
        <v>54865</v>
      </c>
      <c r="B35450" t="s">
        <v>54866</v>
      </c>
      <c r="C35450" t="s">
        <v>775</v>
      </c>
      <c r="D35450" t="s">
        <v>14</v>
      </c>
      <c r="E35450" t="s">
        <v>104</v>
      </c>
      <c r="F35450" s="2" t="str">
        <f>HYPERLINK("http://www.otzar.org/book.asp?158426","קובץ שיטות קו התאריך בכדור הארץ - 2 כר'")</f>
        <v>קובץ שיטות קו התאריך בכדור הארץ - 2 כר'</v>
      </c>
    </row>
    <row r="35451" spans="1:6" x14ac:dyDescent="0.2">
      <c r="A35451" t="s">
        <v>54867</v>
      </c>
      <c r="B35451" t="s">
        <v>54868</v>
      </c>
      <c r="C35451" t="s">
        <v>13</v>
      </c>
      <c r="D35451" t="s">
        <v>6283</v>
      </c>
      <c r="E35451" t="s">
        <v>144</v>
      </c>
      <c r="F35451" s="2" t="str">
        <f>HYPERLINK("http://www.otzar.org/book.asp?156558","קובץ שיטות קמאי - 67 כר'")</f>
        <v>קובץ שיטות קמאי - 67 כר'</v>
      </c>
    </row>
    <row r="35452" spans="1:6" x14ac:dyDescent="0.2">
      <c r="A35452" t="s">
        <v>54869</v>
      </c>
      <c r="B35452" t="s">
        <v>54870</v>
      </c>
      <c r="C35452" t="s">
        <v>20</v>
      </c>
      <c r="D35452" t="s">
        <v>14</v>
      </c>
      <c r="E35452" t="s">
        <v>144</v>
      </c>
      <c r="F35452" s="2" t="str">
        <f>HYPERLINK("http://www.otzar.org/book.asp?153796","קובץ שיעורי ומראי מקומות - קדושין")</f>
        <v>קובץ שיעורי ומראי מקומות - קדושין</v>
      </c>
    </row>
    <row r="35453" spans="1:6" x14ac:dyDescent="0.2">
      <c r="A35453" t="s">
        <v>54871</v>
      </c>
      <c r="B35453" t="s">
        <v>54872</v>
      </c>
      <c r="C35453" t="s">
        <v>146</v>
      </c>
      <c r="D35453" t="s">
        <v>52</v>
      </c>
      <c r="E35453" t="s">
        <v>144</v>
      </c>
      <c r="F35453" s="2" t="str">
        <f>HYPERLINK("http://www.otzar.org/book.asp?159608","קובץ שיעורי יבמות")</f>
        <v>קובץ שיעורי יבמות</v>
      </c>
    </row>
    <row r="35454" spans="1:6" x14ac:dyDescent="0.2">
      <c r="A35454" t="s">
        <v>54873</v>
      </c>
      <c r="B35454" t="s">
        <v>54874</v>
      </c>
      <c r="C35454" t="s">
        <v>133</v>
      </c>
      <c r="D35454" t="s">
        <v>21</v>
      </c>
      <c r="F35454" s="2" t="str">
        <f>HYPERLINK("http://www.otzar.org/book.asp?603163","קובץ שיעורי כתובות")</f>
        <v>קובץ שיעורי כתובות</v>
      </c>
    </row>
    <row r="35455" spans="1:6" x14ac:dyDescent="0.2">
      <c r="A35455" t="s">
        <v>54873</v>
      </c>
      <c r="B35455" t="s">
        <v>54872</v>
      </c>
      <c r="C35455" t="s">
        <v>313</v>
      </c>
      <c r="D35455" t="s">
        <v>52</v>
      </c>
      <c r="F35455" s="2" t="str">
        <f>HYPERLINK("http://www.otzar.org/book.asp?199287","קובץ שיעורי כתובות")</f>
        <v>קובץ שיעורי כתובות</v>
      </c>
    </row>
    <row r="35456" spans="1:6" x14ac:dyDescent="0.2">
      <c r="A35456" t="s">
        <v>54875</v>
      </c>
      <c r="B35456" t="s">
        <v>8087</v>
      </c>
      <c r="C35456" t="s">
        <v>22630</v>
      </c>
      <c r="D35456" t="s">
        <v>52</v>
      </c>
      <c r="E35456" t="s">
        <v>144</v>
      </c>
      <c r="F35456" s="2" t="str">
        <f>HYPERLINK("http://www.otzar.org/book.asp?22999","קובץ שיעורי מורנו - 2 כר'")</f>
        <v>קובץ שיעורי מורנו - 2 כר'</v>
      </c>
    </row>
    <row r="35457" spans="1:6" x14ac:dyDescent="0.2">
      <c r="A35457" t="s">
        <v>54876</v>
      </c>
      <c r="B35457" t="s">
        <v>54877</v>
      </c>
      <c r="C35457" t="s">
        <v>553</v>
      </c>
      <c r="D35457" t="s">
        <v>2201</v>
      </c>
      <c r="E35457" t="s">
        <v>144</v>
      </c>
      <c r="F35457" s="2" t="str">
        <f>HYPERLINK("http://www.otzar.org/book.asp?192879","קובץ שיעורי מרן רה""י - נדרים")</f>
        <v>קובץ שיעורי מרן רה"י - נדרים</v>
      </c>
    </row>
    <row r="35458" spans="1:6" x14ac:dyDescent="0.2">
      <c r="A35458" t="s">
        <v>54878</v>
      </c>
      <c r="B35458" t="s">
        <v>54872</v>
      </c>
      <c r="C35458" t="s">
        <v>129</v>
      </c>
      <c r="D35458" t="s">
        <v>52</v>
      </c>
      <c r="E35458" t="s">
        <v>144</v>
      </c>
      <c r="F35458" s="2" t="str">
        <f>HYPERLINK("http://www.otzar.org/book.asp?159609","קובץ שיעורי קידושין")</f>
        <v>קובץ שיעורי קידושין</v>
      </c>
    </row>
    <row r="35459" spans="1:6" x14ac:dyDescent="0.2">
      <c r="A35459" t="s">
        <v>54879</v>
      </c>
      <c r="B35459" t="s">
        <v>54880</v>
      </c>
      <c r="C35459" t="s">
        <v>133</v>
      </c>
      <c r="D35459" t="s">
        <v>52</v>
      </c>
      <c r="E35459" t="s">
        <v>144</v>
      </c>
      <c r="F35459" s="2" t="str">
        <f>HYPERLINK("http://www.otzar.org/book.asp?175459","קובץ שיעורי ר' משה - גיטין")</f>
        <v>קובץ שיעורי ר' משה - גיטין</v>
      </c>
    </row>
    <row r="35460" spans="1:6" x14ac:dyDescent="0.2">
      <c r="A35460" t="s">
        <v>54881</v>
      </c>
      <c r="B35460" t="s">
        <v>627</v>
      </c>
      <c r="C35460" t="s">
        <v>1619</v>
      </c>
      <c r="D35460" t="s">
        <v>14</v>
      </c>
      <c r="E35460" t="s">
        <v>186</v>
      </c>
      <c r="F35460" s="2" t="str">
        <f>HYPERLINK("http://www.otzar.org/book.asp?84910","קובץ שיעורי תורה - פסחים")</f>
        <v>קובץ שיעורי תורה - פסחים</v>
      </c>
    </row>
    <row r="35461" spans="1:6" x14ac:dyDescent="0.2">
      <c r="A35461" t="s">
        <v>54882</v>
      </c>
      <c r="B35461" t="s">
        <v>54883</v>
      </c>
      <c r="C35461" t="s">
        <v>103</v>
      </c>
      <c r="D35461" t="s">
        <v>52</v>
      </c>
      <c r="E35461" t="s">
        <v>186</v>
      </c>
      <c r="F35461" s="2" t="str">
        <f>HYPERLINK("http://www.otzar.org/book.asp?61279","קובץ שיעורים במסכת יבמות - 2 כר'")</f>
        <v>קובץ שיעורים במסכת יבמות - 2 כר'</v>
      </c>
    </row>
    <row r="35462" spans="1:6" x14ac:dyDescent="0.2">
      <c r="A35462" t="s">
        <v>54884</v>
      </c>
      <c r="B35462" t="s">
        <v>8563</v>
      </c>
      <c r="C35462" t="s">
        <v>133</v>
      </c>
      <c r="D35462" t="s">
        <v>8564</v>
      </c>
      <c r="E35462" t="s">
        <v>674</v>
      </c>
      <c r="F35462" s="2" t="str">
        <f>HYPERLINK("http://www.otzar.org/book.asp?170809","קובץ שיעורים בעניני נישואין")</f>
        <v>קובץ שיעורים בעניני נישואין</v>
      </c>
    </row>
    <row r="35463" spans="1:6" x14ac:dyDescent="0.2">
      <c r="A35463" t="s">
        <v>54885</v>
      </c>
      <c r="B35463" t="s">
        <v>2697</v>
      </c>
      <c r="C35463" t="s">
        <v>366</v>
      </c>
      <c r="D35463" t="s">
        <v>152</v>
      </c>
      <c r="F35463" s="2" t="str">
        <f>HYPERLINK("http://www.otzar.org/book.asp?610637","קובץ שיעורים השלם - בבא בתרא")</f>
        <v>קובץ שיעורים השלם - בבא בתרא</v>
      </c>
    </row>
    <row r="35464" spans="1:6" x14ac:dyDescent="0.2">
      <c r="A35464" t="s">
        <v>54886</v>
      </c>
      <c r="B35464" t="s">
        <v>54887</v>
      </c>
      <c r="C35464" t="s">
        <v>111</v>
      </c>
      <c r="D35464" t="s">
        <v>52</v>
      </c>
      <c r="E35464" t="s">
        <v>144</v>
      </c>
      <c r="F35464" s="2" t="str">
        <f>HYPERLINK("http://www.otzar.org/book.asp?630229","קובץ שיעורים כלליים - 2 כר'")</f>
        <v>קובץ שיעורים כלליים - 2 כר'</v>
      </c>
    </row>
    <row r="35465" spans="1:6" x14ac:dyDescent="0.2">
      <c r="A35465" t="s">
        <v>54888</v>
      </c>
      <c r="B35465" t="s">
        <v>54889</v>
      </c>
      <c r="C35465" t="s">
        <v>129</v>
      </c>
      <c r="D35465" t="s">
        <v>14</v>
      </c>
      <c r="E35465" t="s">
        <v>144</v>
      </c>
      <c r="F35465" s="2" t="str">
        <f>HYPERLINK("http://www.otzar.org/book.asp?52348","קובץ שיעורים כללים - פסחים")</f>
        <v>קובץ שיעורים כללים - פסחים</v>
      </c>
    </row>
    <row r="35466" spans="1:6" x14ac:dyDescent="0.2">
      <c r="A35466" t="s">
        <v>54890</v>
      </c>
      <c r="B35466" t="s">
        <v>54891</v>
      </c>
      <c r="C35466" t="s">
        <v>366</v>
      </c>
      <c r="D35466" t="s">
        <v>21</v>
      </c>
      <c r="E35466" t="s">
        <v>144</v>
      </c>
      <c r="F35466" s="2" t="str">
        <f>HYPERLINK("http://www.otzar.org/book.asp?604259","קובץ שיעורים כללים - כתובות, נדרים א")</f>
        <v>קובץ שיעורים כללים - כתובות, נדרים א</v>
      </c>
    </row>
    <row r="35467" spans="1:6" x14ac:dyDescent="0.2">
      <c r="A35467" t="s">
        <v>54892</v>
      </c>
      <c r="B35467" t="s">
        <v>40921</v>
      </c>
      <c r="C35467" t="s">
        <v>466</v>
      </c>
      <c r="D35467" t="s">
        <v>852</v>
      </c>
      <c r="E35467" t="s">
        <v>186</v>
      </c>
      <c r="F35467" s="2" t="str">
        <f>HYPERLINK("http://www.otzar.org/book.asp?142627","קובץ שיעורים ממורנו הגרד""א זלזניק שליט""א")</f>
        <v>קובץ שיעורים ממורנו הגרד"א זלזניק שליט"א</v>
      </c>
    </row>
    <row r="35468" spans="1:6" x14ac:dyDescent="0.2">
      <c r="A35468" t="s">
        <v>54893</v>
      </c>
      <c r="B35468" t="s">
        <v>54894</v>
      </c>
      <c r="C35468" t="s">
        <v>146</v>
      </c>
      <c r="D35468" t="s">
        <v>52</v>
      </c>
      <c r="E35468" t="s">
        <v>3518</v>
      </c>
      <c r="F35468" s="2" t="str">
        <f>HYPERLINK("http://www.otzar.org/book.asp?159819","קובץ שיעורים מר דרור - 15 כר'")</f>
        <v>קובץ שיעורים מר דרור - 15 כר'</v>
      </c>
    </row>
    <row r="35469" spans="1:6" x14ac:dyDescent="0.2">
      <c r="A35469" t="s">
        <v>54895</v>
      </c>
      <c r="B35469" t="s">
        <v>54896</v>
      </c>
      <c r="C35469" t="s">
        <v>129</v>
      </c>
      <c r="D35469" t="s">
        <v>52</v>
      </c>
      <c r="E35469" t="s">
        <v>508</v>
      </c>
      <c r="F35469" s="2" t="str">
        <f>HYPERLINK("http://www.otzar.org/book.asp?161245","קובץ שיעורים עטרת חכמים - ה")</f>
        <v>קובץ שיעורים עטרת חכמים - ה</v>
      </c>
    </row>
    <row r="35470" spans="1:6" x14ac:dyDescent="0.2">
      <c r="A35470" t="s">
        <v>54897</v>
      </c>
      <c r="B35470" t="s">
        <v>2697</v>
      </c>
      <c r="C35470" t="s">
        <v>54898</v>
      </c>
      <c r="D35470" t="s">
        <v>216</v>
      </c>
      <c r="E35470" t="s">
        <v>144</v>
      </c>
      <c r="F35470" s="2" t="str">
        <f>HYPERLINK("http://www.otzar.org/book.asp?60094","קובץ שיעורים - 2 כר'")</f>
        <v>קובץ שיעורים - 2 כר'</v>
      </c>
    </row>
    <row r="35471" spans="1:6" x14ac:dyDescent="0.2">
      <c r="A35471" t="s">
        <v>54897</v>
      </c>
      <c r="B35471" t="s">
        <v>11099</v>
      </c>
      <c r="C35471" t="s">
        <v>383</v>
      </c>
      <c r="D35471" t="s">
        <v>852</v>
      </c>
      <c r="E35471" t="s">
        <v>144</v>
      </c>
      <c r="F35471" s="2" t="str">
        <f>HYPERLINK("http://www.otzar.org/book.asp?604286","קובץ שיעורים - 2 כר'")</f>
        <v>קובץ שיעורים - 2 כר'</v>
      </c>
    </row>
    <row r="35472" spans="1:6" x14ac:dyDescent="0.2">
      <c r="A35472" t="s">
        <v>54899</v>
      </c>
      <c r="B35472" t="s">
        <v>19887</v>
      </c>
      <c r="C35472" t="s">
        <v>523</v>
      </c>
      <c r="D35472" t="s">
        <v>21</v>
      </c>
      <c r="F35472" s="2" t="str">
        <f>HYPERLINK("http://www.otzar.org/book.asp?601665","קובץ שירי המהר""ם מרוטנבורג שנדפסו ושבכתבי יד")</f>
        <v>קובץ שירי המהר"ם מרוטנבורג שנדפסו ושבכתבי יד</v>
      </c>
    </row>
    <row r="35473" spans="1:6" x14ac:dyDescent="0.2">
      <c r="A35473" t="s">
        <v>54900</v>
      </c>
      <c r="B35473" t="s">
        <v>54901</v>
      </c>
      <c r="C35473" t="s">
        <v>63</v>
      </c>
      <c r="D35473" t="s">
        <v>14</v>
      </c>
      <c r="E35473" t="s">
        <v>219</v>
      </c>
      <c r="F35473" s="2" t="str">
        <f>HYPERLINK("http://www.otzar.org/book.asp?168088","קובץ שירים פיוטים ותחנות")</f>
        <v>קובץ שירים פיוטים ותחנות</v>
      </c>
    </row>
    <row r="35474" spans="1:6" x14ac:dyDescent="0.2">
      <c r="A35474" t="s">
        <v>54902</v>
      </c>
      <c r="B35474" t="s">
        <v>34621</v>
      </c>
      <c r="C35474" t="s">
        <v>189</v>
      </c>
      <c r="D35474" t="s">
        <v>486</v>
      </c>
      <c r="E35474" t="s">
        <v>202</v>
      </c>
      <c r="F35474" s="2" t="str">
        <f>HYPERLINK("http://www.otzar.org/book.asp?165050","קובץ שירת התורה")</f>
        <v>קובץ שירת התורה</v>
      </c>
    </row>
    <row r="35475" spans="1:6" x14ac:dyDescent="0.2">
      <c r="A35475" t="s">
        <v>54903</v>
      </c>
      <c r="B35475" t="s">
        <v>8181</v>
      </c>
      <c r="C35475" t="s">
        <v>20</v>
      </c>
      <c r="D35475" t="s">
        <v>2347</v>
      </c>
      <c r="E35475" t="s">
        <v>733</v>
      </c>
      <c r="F35475" s="2" t="str">
        <f>HYPERLINK("http://www.otzar.org/book.asp?12032","קובץ של אגרות ר' שמואל בן עלי ובני דורו")</f>
        <v>קובץ של אגרות ר' שמואל בן עלי ובני דורו</v>
      </c>
    </row>
    <row r="35476" spans="1:6" x14ac:dyDescent="0.2">
      <c r="A35476" t="s">
        <v>54904</v>
      </c>
      <c r="B35476" t="s">
        <v>54905</v>
      </c>
      <c r="C35476" t="s">
        <v>20</v>
      </c>
      <c r="D35476" t="s">
        <v>14</v>
      </c>
      <c r="E35476" t="s">
        <v>202</v>
      </c>
      <c r="F35476" s="2" t="str">
        <f>HYPERLINK("http://www.otzar.org/book.asp?106091","קובץ של הערות")</f>
        <v>קובץ של הערות</v>
      </c>
    </row>
    <row r="35477" spans="1:6" x14ac:dyDescent="0.2">
      <c r="A35477" t="s">
        <v>54906</v>
      </c>
      <c r="B35477" t="s">
        <v>54907</v>
      </c>
      <c r="C35477" t="s">
        <v>332</v>
      </c>
      <c r="D35477" t="s">
        <v>14</v>
      </c>
      <c r="F35477" s="2" t="str">
        <f>HYPERLINK("http://www.otzar.org/book.asp?613373","קובץ של כתבי קבלה מגנזי רמח""ל")</f>
        <v>קובץ של כתבי קבלה מגנזי רמח"ל</v>
      </c>
    </row>
    <row r="35478" spans="1:6" x14ac:dyDescent="0.2">
      <c r="A35478" t="s">
        <v>54908</v>
      </c>
      <c r="B35478" t="s">
        <v>54909</v>
      </c>
      <c r="C35478" t="s">
        <v>103</v>
      </c>
      <c r="D35478" t="s">
        <v>52</v>
      </c>
      <c r="F35478" s="2" t="str">
        <f>HYPERLINK("http://www.otzar.org/book.asp?630270","קובץ שלמי ציבור - 2 כר'")</f>
        <v>קובץ שלמי ציבור - 2 כר'</v>
      </c>
    </row>
    <row r="35479" spans="1:6" x14ac:dyDescent="0.2">
      <c r="A35479" t="s">
        <v>54910</v>
      </c>
      <c r="B35479" t="s">
        <v>54911</v>
      </c>
      <c r="C35479" t="s">
        <v>3406</v>
      </c>
      <c r="D35479" t="s">
        <v>90</v>
      </c>
      <c r="E35479" t="s">
        <v>2091</v>
      </c>
      <c r="F35479" s="2" t="str">
        <f>HYPERLINK("http://www.otzar.org/book.asp?164985","קובץ שלמי שמחה")</f>
        <v>קובץ שלמי שמחה</v>
      </c>
    </row>
    <row r="35480" spans="1:6" x14ac:dyDescent="0.2">
      <c r="A35480" t="s">
        <v>54910</v>
      </c>
      <c r="B35480" t="s">
        <v>54912</v>
      </c>
      <c r="C35480" t="s">
        <v>411</v>
      </c>
      <c r="D35480" t="s">
        <v>90</v>
      </c>
      <c r="F35480" s="2" t="str">
        <f>HYPERLINK("http://www.otzar.org/book.asp?610755","קובץ שלמי שמחה")</f>
        <v>קובץ שלמי שמחה</v>
      </c>
    </row>
    <row r="35481" spans="1:6" x14ac:dyDescent="0.2">
      <c r="A35481" t="s">
        <v>54913</v>
      </c>
      <c r="B35481" t="s">
        <v>54914</v>
      </c>
      <c r="C35481" t="s">
        <v>244</v>
      </c>
      <c r="D35481" t="s">
        <v>276</v>
      </c>
      <c r="E35481" t="s">
        <v>202</v>
      </c>
      <c r="F35481" s="2" t="str">
        <f>HYPERLINK("http://www.otzar.org/book.asp?603741","קובץ שם בישראל")</f>
        <v>קובץ שם בישראל</v>
      </c>
    </row>
    <row r="35482" spans="1:6" x14ac:dyDescent="0.2">
      <c r="A35482" t="s">
        <v>54915</v>
      </c>
      <c r="B35482" t="s">
        <v>54916</v>
      </c>
      <c r="C35482" t="s">
        <v>71</v>
      </c>
      <c r="D35482" t="s">
        <v>118</v>
      </c>
      <c r="E35482" t="s">
        <v>186</v>
      </c>
      <c r="F35482" s="2" t="str">
        <f>HYPERLINK("http://www.otzar.org/book.asp?164982","קובץ שם משמעון")</f>
        <v>קובץ שם משמעון</v>
      </c>
    </row>
    <row r="35483" spans="1:6" x14ac:dyDescent="0.2">
      <c r="A35483" t="s">
        <v>54915</v>
      </c>
      <c r="B35483" t="s">
        <v>54917</v>
      </c>
      <c r="C35483" t="s">
        <v>133</v>
      </c>
      <c r="D35483" t="s">
        <v>54918</v>
      </c>
      <c r="E35483" t="s">
        <v>202</v>
      </c>
      <c r="F35483" s="2" t="str">
        <f>HYPERLINK("http://www.otzar.org/book.asp?197540","קובץ שם משמעון")</f>
        <v>קובץ שם משמעון</v>
      </c>
    </row>
    <row r="35484" spans="1:6" x14ac:dyDescent="0.2">
      <c r="A35484" t="s">
        <v>54919</v>
      </c>
      <c r="B35484" t="s">
        <v>54920</v>
      </c>
      <c r="C35484" t="s">
        <v>985</v>
      </c>
      <c r="D35484" t="s">
        <v>14</v>
      </c>
      <c r="E35484" t="s">
        <v>202</v>
      </c>
      <c r="F35484" s="2" t="str">
        <f>HYPERLINK("http://www.otzar.org/book.asp?102007","קובץ שמוש חכמים - 9 כר'")</f>
        <v>קובץ שמוש חכמים - 9 כר'</v>
      </c>
    </row>
    <row r="35485" spans="1:6" x14ac:dyDescent="0.2">
      <c r="A35485" t="s">
        <v>54921</v>
      </c>
      <c r="B35485" t="s">
        <v>54765</v>
      </c>
      <c r="C35485" t="s">
        <v>114</v>
      </c>
      <c r="D35485" t="s">
        <v>216</v>
      </c>
      <c r="E35485" t="s">
        <v>202</v>
      </c>
      <c r="F35485" s="2" t="str">
        <f>HYPERLINK("http://www.otzar.org/book.asp?176521","קובץ שמחת בחורים")</f>
        <v>קובץ שמחת בחורים</v>
      </c>
    </row>
    <row r="35486" spans="1:6" x14ac:dyDescent="0.2">
      <c r="A35486" t="s">
        <v>54922</v>
      </c>
      <c r="B35486" t="s">
        <v>54923</v>
      </c>
      <c r="C35486" t="s">
        <v>411</v>
      </c>
      <c r="D35486" t="s">
        <v>216</v>
      </c>
      <c r="E35486" t="s">
        <v>202</v>
      </c>
      <c r="F35486" s="2" t="str">
        <f>HYPERLINK("http://www.otzar.org/book.asp?176511","קובץ שמחת האברכים")</f>
        <v>קובץ שמחת האברכים</v>
      </c>
    </row>
    <row r="35487" spans="1:6" x14ac:dyDescent="0.2">
      <c r="A35487" t="s">
        <v>54924</v>
      </c>
      <c r="B35487" t="s">
        <v>1750</v>
      </c>
      <c r="C35487" t="s">
        <v>411</v>
      </c>
      <c r="D35487" t="s">
        <v>10346</v>
      </c>
      <c r="E35487" t="s">
        <v>202</v>
      </c>
      <c r="F35487" s="2" t="str">
        <f>HYPERLINK("http://www.otzar.org/book.asp?166499","קובץ שמחת התורה שמחה ושלום")</f>
        <v>קובץ שמחת התורה שמחה ושלום</v>
      </c>
    </row>
    <row r="35488" spans="1:6" x14ac:dyDescent="0.2">
      <c r="A35488" t="s">
        <v>54925</v>
      </c>
      <c r="B35488" t="s">
        <v>54926</v>
      </c>
      <c r="C35488" t="s">
        <v>20</v>
      </c>
      <c r="D35488" t="s">
        <v>152</v>
      </c>
      <c r="F35488" s="2" t="str">
        <f>HYPERLINK("http://www.otzar.org/book.asp?163852","קובץ שמחת התורה - 6 כר'")</f>
        <v>קובץ שמחת התורה - 6 כר'</v>
      </c>
    </row>
    <row r="35489" spans="1:6" x14ac:dyDescent="0.2">
      <c r="A35489" t="s">
        <v>54927</v>
      </c>
      <c r="B35489" t="s">
        <v>54928</v>
      </c>
      <c r="C35489" t="s">
        <v>129</v>
      </c>
      <c r="D35489" t="s">
        <v>14</v>
      </c>
      <c r="E35489" t="s">
        <v>158</v>
      </c>
      <c r="F35489" s="2" t="str">
        <f>HYPERLINK("http://www.otzar.org/book.asp?165849","קובץ שמחת התורה")</f>
        <v>קובץ שמחת התורה</v>
      </c>
    </row>
    <row r="35490" spans="1:6" x14ac:dyDescent="0.2">
      <c r="A35490" t="s">
        <v>54929</v>
      </c>
      <c r="B35490" t="s">
        <v>54930</v>
      </c>
      <c r="C35490" t="s">
        <v>151</v>
      </c>
      <c r="D35490" t="s">
        <v>14</v>
      </c>
      <c r="E35490" t="s">
        <v>23339</v>
      </c>
      <c r="F35490" s="2" t="str">
        <f>HYPERLINK("http://www.otzar.org/book.asp?611874","קובץ שמחת יונה")</f>
        <v>קובץ שמחת יונה</v>
      </c>
    </row>
    <row r="35491" spans="1:6" x14ac:dyDescent="0.2">
      <c r="A35491" t="s">
        <v>54931</v>
      </c>
      <c r="B35491" t="s">
        <v>3094</v>
      </c>
      <c r="C35491" t="s">
        <v>114</v>
      </c>
      <c r="D35491" t="s">
        <v>412</v>
      </c>
      <c r="E35491" t="s">
        <v>144</v>
      </c>
      <c r="F35491" s="2" t="str">
        <f>HYPERLINK("http://www.otzar.org/book.asp?172620","קובץ שמעתתא דתקפו כהן")</f>
        <v>קובץ שמעתתא דתקפו כהן</v>
      </c>
    </row>
    <row r="35492" spans="1:6" x14ac:dyDescent="0.2">
      <c r="A35492" t="s">
        <v>54932</v>
      </c>
      <c r="B35492" t="s">
        <v>54933</v>
      </c>
      <c r="C35492" t="s">
        <v>20</v>
      </c>
      <c r="D35492" t="s">
        <v>90</v>
      </c>
      <c r="F35492" s="2" t="str">
        <f>HYPERLINK("http://www.otzar.org/book.asp?197916","קובץ שנת השבע")</f>
        <v>קובץ שנת השבע</v>
      </c>
    </row>
    <row r="35493" spans="1:6" x14ac:dyDescent="0.2">
      <c r="A35493" t="s">
        <v>54934</v>
      </c>
      <c r="B35493" t="s">
        <v>1005</v>
      </c>
      <c r="C35493" t="s">
        <v>1388</v>
      </c>
      <c r="D35493" t="s">
        <v>52</v>
      </c>
      <c r="E35493" t="s">
        <v>202</v>
      </c>
      <c r="F35493" s="2" t="str">
        <f>HYPERLINK("http://www.otzar.org/book.asp?28255","קובץ שעורי תורה")</f>
        <v>קובץ שעורי תורה</v>
      </c>
    </row>
    <row r="35494" spans="1:6" x14ac:dyDescent="0.2">
      <c r="A35494" t="s">
        <v>54935</v>
      </c>
      <c r="B35494" t="s">
        <v>54934</v>
      </c>
      <c r="C35494" t="s">
        <v>106</v>
      </c>
      <c r="D35494" t="s">
        <v>14</v>
      </c>
      <c r="F35494" s="2" t="str">
        <f>HYPERLINK("http://www.otzar.org/book.asp?174328","קובץ שעורי תורה - 5 כר'")</f>
        <v>קובץ שעורי תורה - 5 כר'</v>
      </c>
    </row>
    <row r="35495" spans="1:6" x14ac:dyDescent="0.2">
      <c r="A35495" t="s">
        <v>54936</v>
      </c>
      <c r="B35495" t="s">
        <v>54937</v>
      </c>
      <c r="C35495" t="s">
        <v>940</v>
      </c>
      <c r="D35495" t="s">
        <v>52</v>
      </c>
      <c r="E35495" t="s">
        <v>202</v>
      </c>
      <c r="F35495" s="2" t="str">
        <f>HYPERLINK("http://www.otzar.org/book.asp?160764","קובץ שער יום טוב")</f>
        <v>קובץ שער יום טוב</v>
      </c>
    </row>
    <row r="35496" spans="1:6" x14ac:dyDescent="0.2">
      <c r="A35496" t="s">
        <v>54938</v>
      </c>
      <c r="B35496" t="s">
        <v>54939</v>
      </c>
      <c r="C35496" t="s">
        <v>767</v>
      </c>
      <c r="D35496" t="s">
        <v>657</v>
      </c>
      <c r="E35496" t="s">
        <v>933</v>
      </c>
      <c r="F35496" s="2" t="str">
        <f>HYPERLINK("http://www.otzar.org/book.asp?161407","קובץ שערי הלכה - נדה")</f>
        <v>קובץ שערי הלכה - נדה</v>
      </c>
    </row>
    <row r="35497" spans="1:6" x14ac:dyDescent="0.2">
      <c r="A35497" t="s">
        <v>54940</v>
      </c>
      <c r="B35497" t="s">
        <v>54941</v>
      </c>
      <c r="C35497" t="s">
        <v>133</v>
      </c>
      <c r="D35497" t="s">
        <v>14</v>
      </c>
      <c r="F35497" s="2" t="str">
        <f>HYPERLINK("http://www.otzar.org/book.asp?611029","קובץ שערי זבול")</f>
        <v>קובץ שערי זבול</v>
      </c>
    </row>
    <row r="35498" spans="1:6" x14ac:dyDescent="0.2">
      <c r="A35498" t="s">
        <v>54942</v>
      </c>
      <c r="B35498" t="s">
        <v>54943</v>
      </c>
      <c r="C35498" t="s">
        <v>411</v>
      </c>
      <c r="D35498" t="s">
        <v>14</v>
      </c>
      <c r="F35498" s="2" t="str">
        <f>HYPERLINK("http://www.otzar.org/book.asp?621756","קובץ שערי חיים")</f>
        <v>קובץ שערי חיים</v>
      </c>
    </row>
    <row r="35499" spans="1:6" x14ac:dyDescent="0.2">
      <c r="A35499" t="s">
        <v>54944</v>
      </c>
      <c r="B35499" t="s">
        <v>54945</v>
      </c>
      <c r="C35499" t="s">
        <v>624</v>
      </c>
      <c r="D35499" t="s">
        <v>52</v>
      </c>
      <c r="E35499" t="s">
        <v>202</v>
      </c>
      <c r="F35499" s="2" t="str">
        <f>HYPERLINK("http://www.otzar.org/book.asp?166159","קובץ שערי חכמה - 2 כר'")</f>
        <v>קובץ שערי חכמה - 2 כר'</v>
      </c>
    </row>
    <row r="35500" spans="1:6" x14ac:dyDescent="0.2">
      <c r="A35500" t="s">
        <v>54946</v>
      </c>
      <c r="B35500" t="s">
        <v>54947</v>
      </c>
      <c r="C35500" t="s">
        <v>103</v>
      </c>
      <c r="D35500" t="s">
        <v>14</v>
      </c>
      <c r="E35500" t="s">
        <v>202</v>
      </c>
      <c r="F35500" s="2" t="str">
        <f>HYPERLINK("http://www.otzar.org/book.asp?173727","קובץ שערי לימוד")</f>
        <v>קובץ שערי לימוד</v>
      </c>
    </row>
    <row r="35501" spans="1:6" x14ac:dyDescent="0.2">
      <c r="A35501" t="s">
        <v>54948</v>
      </c>
      <c r="B35501" t="s">
        <v>54949</v>
      </c>
      <c r="C35501" t="s">
        <v>1208</v>
      </c>
      <c r="D35501" t="s">
        <v>14</v>
      </c>
      <c r="E35501" t="s">
        <v>202</v>
      </c>
      <c r="F35501" s="2" t="str">
        <f>HYPERLINK("http://www.otzar.org/book.asp?62593","קובץ שערי ציון - 3 כר'")</f>
        <v>קובץ שערי ציון - 3 כר'</v>
      </c>
    </row>
    <row r="35502" spans="1:6" x14ac:dyDescent="0.2">
      <c r="A35502" t="s">
        <v>54950</v>
      </c>
      <c r="B35502" t="s">
        <v>53908</v>
      </c>
      <c r="C35502" t="s">
        <v>366</v>
      </c>
      <c r="D35502" t="s">
        <v>14</v>
      </c>
      <c r="E35502" t="s">
        <v>2633</v>
      </c>
      <c r="F35502" s="2" t="str">
        <f>HYPERLINK("http://www.otzar.org/book.asp?613852","קובץ שערי ציון - 2 כר'")</f>
        <v>קובץ שערי ציון - 2 כר'</v>
      </c>
    </row>
    <row r="35503" spans="1:6" x14ac:dyDescent="0.2">
      <c r="A35503" t="s">
        <v>54950</v>
      </c>
      <c r="B35503" t="s">
        <v>29372</v>
      </c>
      <c r="C35503" t="s">
        <v>366</v>
      </c>
      <c r="D35503" t="s">
        <v>646</v>
      </c>
      <c r="E35503" t="s">
        <v>104</v>
      </c>
      <c r="F35503" s="2" t="str">
        <f>HYPERLINK("http://www.otzar.org/book.asp?630203","קובץ שערי ציון - 2 כר'")</f>
        <v>קובץ שערי ציון - 2 כר'</v>
      </c>
    </row>
    <row r="35504" spans="1:6" x14ac:dyDescent="0.2">
      <c r="A35504" t="s">
        <v>54951</v>
      </c>
      <c r="B35504" t="s">
        <v>54952</v>
      </c>
      <c r="C35504" t="s">
        <v>103</v>
      </c>
      <c r="D35504" t="s">
        <v>52</v>
      </c>
      <c r="E35504" t="s">
        <v>202</v>
      </c>
      <c r="F35504" s="2" t="str">
        <f>HYPERLINK("http://www.otzar.org/book.asp?162109","קובץ שערי שמחה")</f>
        <v>קובץ שערי שמחה</v>
      </c>
    </row>
    <row r="35505" spans="1:6" x14ac:dyDescent="0.2">
      <c r="A35505" t="s">
        <v>54953</v>
      </c>
      <c r="B35505" t="s">
        <v>54954</v>
      </c>
      <c r="C35505" t="s">
        <v>466</v>
      </c>
      <c r="D35505" t="s">
        <v>646</v>
      </c>
      <c r="E35505" t="s">
        <v>202</v>
      </c>
      <c r="F35505" s="2" t="str">
        <f>HYPERLINK("http://www.otzar.org/book.asp?171402","קובץ שערי שמחה - 2 כר'")</f>
        <v>קובץ שערי שמחה - 2 כר'</v>
      </c>
    </row>
    <row r="35506" spans="1:6" x14ac:dyDescent="0.2">
      <c r="A35506" t="s">
        <v>54955</v>
      </c>
      <c r="B35506" t="s">
        <v>54956</v>
      </c>
      <c r="C35506" t="s">
        <v>20</v>
      </c>
      <c r="D35506" t="s">
        <v>52</v>
      </c>
      <c r="E35506" t="s">
        <v>186</v>
      </c>
      <c r="F35506" s="2" t="str">
        <f>HYPERLINK("http://www.otzar.org/book.asp?63441","קובץ שערי שמעון - בבא קמא")</f>
        <v>קובץ שערי שמעון - בבא קמא</v>
      </c>
    </row>
    <row r="35507" spans="1:6" x14ac:dyDescent="0.2">
      <c r="A35507" t="s">
        <v>54957</v>
      </c>
      <c r="B35507" t="s">
        <v>54958</v>
      </c>
      <c r="C35507" t="s">
        <v>133</v>
      </c>
      <c r="D35507" t="s">
        <v>367</v>
      </c>
      <c r="E35507" t="s">
        <v>202</v>
      </c>
      <c r="F35507" s="2" t="str">
        <f>HYPERLINK("http://www.otzar.org/book.asp?612590","קובץ שערי תורה - 5 כר'")</f>
        <v>קובץ שערי תורה - 5 כר'</v>
      </c>
    </row>
    <row r="35508" spans="1:6" x14ac:dyDescent="0.2">
      <c r="A35508" t="s">
        <v>54959</v>
      </c>
      <c r="B35508" t="s">
        <v>54960</v>
      </c>
      <c r="C35508" t="s">
        <v>454</v>
      </c>
      <c r="D35508" t="s">
        <v>54961</v>
      </c>
      <c r="E35508" t="s">
        <v>186</v>
      </c>
      <c r="F35508" s="2" t="str">
        <f>HYPERLINK("http://www.otzar.org/book.asp?154287","קובץ שערי תורה - סוכה")</f>
        <v>קובץ שערי תורה - סוכה</v>
      </c>
    </row>
    <row r="35509" spans="1:6" x14ac:dyDescent="0.2">
      <c r="A35509" t="s">
        <v>54962</v>
      </c>
      <c r="B35509" t="s">
        <v>53908</v>
      </c>
      <c r="C35509" t="s">
        <v>151</v>
      </c>
      <c r="D35509" t="s">
        <v>14</v>
      </c>
      <c r="E35509" t="s">
        <v>2633</v>
      </c>
      <c r="F35509" s="2" t="str">
        <f>HYPERLINK("http://www.otzar.org/book.asp?613851","קובץ שערים המצויינים")</f>
        <v>קובץ שערים המצויינים</v>
      </c>
    </row>
    <row r="35510" spans="1:6" x14ac:dyDescent="0.2">
      <c r="A35510" t="s">
        <v>54962</v>
      </c>
      <c r="B35510" t="s">
        <v>29372</v>
      </c>
      <c r="C35510" t="s">
        <v>151</v>
      </c>
      <c r="D35510" t="s">
        <v>646</v>
      </c>
      <c r="E35510" t="s">
        <v>104</v>
      </c>
      <c r="F35510" s="2" t="str">
        <f>HYPERLINK("http://www.otzar.org/book.asp?630205","קובץ שערים המצויינים")</f>
        <v>קובץ שערים המצויינים</v>
      </c>
    </row>
    <row r="35511" spans="1:6" x14ac:dyDescent="0.2">
      <c r="A35511" t="s">
        <v>54963</v>
      </c>
      <c r="B35511" t="s">
        <v>54964</v>
      </c>
      <c r="C35511" t="s">
        <v>454</v>
      </c>
      <c r="D35511" t="s">
        <v>90</v>
      </c>
      <c r="E35511" t="s">
        <v>202</v>
      </c>
      <c r="F35511" s="2" t="str">
        <f>HYPERLINK("http://www.otzar.org/book.asp?197677","קובץ שפתי כהן - 3 כר'")</f>
        <v>קובץ שפתי כהן - 3 כר'</v>
      </c>
    </row>
    <row r="35512" spans="1:6" x14ac:dyDescent="0.2">
      <c r="A35512" t="s">
        <v>54965</v>
      </c>
      <c r="B35512" t="s">
        <v>54966</v>
      </c>
      <c r="C35512" t="s">
        <v>313</v>
      </c>
      <c r="D35512" t="s">
        <v>118</v>
      </c>
      <c r="E35512" t="s">
        <v>674</v>
      </c>
      <c r="F35512" s="2" t="str">
        <f>HYPERLINK("http://www.otzar.org/book.asp?172976","קובץ שפתי כהן")</f>
        <v>קובץ שפתי כהן</v>
      </c>
    </row>
    <row r="35513" spans="1:6" x14ac:dyDescent="0.2">
      <c r="A35513" t="s">
        <v>54967</v>
      </c>
      <c r="B35513" t="s">
        <v>54968</v>
      </c>
      <c r="C35513" t="s">
        <v>775</v>
      </c>
      <c r="D35513" t="s">
        <v>52</v>
      </c>
      <c r="E35513" t="s">
        <v>202</v>
      </c>
      <c r="F35513" s="2" t="str">
        <f>HYPERLINK("http://www.otzar.org/book.asp?626447","קובץ שפתי מהרש""ג")</f>
        <v>קובץ שפתי מהרש"ג</v>
      </c>
    </row>
    <row r="35514" spans="1:6" x14ac:dyDescent="0.2">
      <c r="A35514" t="s">
        <v>54969</v>
      </c>
      <c r="B35514" t="s">
        <v>1750</v>
      </c>
      <c r="C35514" t="s">
        <v>785</v>
      </c>
      <c r="D35514" t="s">
        <v>14</v>
      </c>
      <c r="E35514" t="s">
        <v>1174</v>
      </c>
      <c r="F35514" s="2" t="str">
        <f>HYPERLINK("http://www.otzar.org/book.asp?143158","קובץ שפתי צדיקים - 14 כר'")</f>
        <v>קובץ שפתי צדיקים - 14 כר'</v>
      </c>
    </row>
    <row r="35515" spans="1:6" x14ac:dyDescent="0.2">
      <c r="A35515" t="s">
        <v>54970</v>
      </c>
      <c r="B35515" t="s">
        <v>54971</v>
      </c>
      <c r="C35515" t="s">
        <v>111</v>
      </c>
      <c r="D35515" t="s">
        <v>412</v>
      </c>
      <c r="E35515" t="s">
        <v>202</v>
      </c>
      <c r="F35515" s="2" t="str">
        <f>HYPERLINK("http://www.otzar.org/book.asp?629970","קובץ שתילים")</f>
        <v>קובץ שתילים</v>
      </c>
    </row>
    <row r="35516" spans="1:6" x14ac:dyDescent="0.2">
      <c r="A35516" t="s">
        <v>54972</v>
      </c>
      <c r="B35516" t="s">
        <v>38250</v>
      </c>
      <c r="C35516" t="s">
        <v>13</v>
      </c>
      <c r="D35516" t="s">
        <v>52</v>
      </c>
      <c r="E35516" t="s">
        <v>674</v>
      </c>
      <c r="F35516" s="2" t="str">
        <f>HYPERLINK("http://www.otzar.org/book.asp?62988","קובץ תודת הנישואין")</f>
        <v>קובץ תודת הנישואין</v>
      </c>
    </row>
    <row r="35517" spans="1:6" x14ac:dyDescent="0.2">
      <c r="A35517" t="s">
        <v>54973</v>
      </c>
      <c r="B35517" t="s">
        <v>54974</v>
      </c>
      <c r="C35517" t="s">
        <v>87</v>
      </c>
      <c r="D35517" t="s">
        <v>32304</v>
      </c>
      <c r="E35517" t="s">
        <v>202</v>
      </c>
      <c r="F35517" s="2" t="str">
        <f>HYPERLINK("http://www.otzar.org/book.asp?196174","קובץ תומיך ואוריך - 2 כר'")</f>
        <v>קובץ תומיך ואוריך - 2 כר'</v>
      </c>
    </row>
    <row r="35518" spans="1:6" x14ac:dyDescent="0.2">
      <c r="A35518" t="s">
        <v>54975</v>
      </c>
      <c r="B35518" t="s">
        <v>54976</v>
      </c>
      <c r="C35518" t="s">
        <v>176</v>
      </c>
      <c r="D35518" t="s">
        <v>14</v>
      </c>
      <c r="E35518" t="s">
        <v>202</v>
      </c>
      <c r="F35518" s="2" t="str">
        <f>HYPERLINK("http://www.otzar.org/book.asp?160648","קובץ תומר דבורה")</f>
        <v>קובץ תומר דבורה</v>
      </c>
    </row>
    <row r="35519" spans="1:6" x14ac:dyDescent="0.2">
      <c r="A35519" t="s">
        <v>54977</v>
      </c>
      <c r="B35519" t="s">
        <v>54978</v>
      </c>
      <c r="C35519" t="s">
        <v>20</v>
      </c>
      <c r="D35519" t="s">
        <v>646</v>
      </c>
      <c r="F35519" s="2" t="str">
        <f>HYPERLINK("http://www.otzar.org/book.asp?197730","קובץ תוספת חיים")</f>
        <v>קובץ תוספת חיים</v>
      </c>
    </row>
    <row r="35520" spans="1:6" x14ac:dyDescent="0.2">
      <c r="A35520" t="s">
        <v>54979</v>
      </c>
      <c r="B35520" t="s">
        <v>51962</v>
      </c>
      <c r="C35520" t="s">
        <v>146</v>
      </c>
      <c r="D35520" t="s">
        <v>367</v>
      </c>
      <c r="E35520" t="s">
        <v>15</v>
      </c>
      <c r="F35520" s="2" t="str">
        <f>HYPERLINK("http://www.otzar.org/book.asp?142362","קובץ תורה ברמה - שיעורים בהלכות יחוד")</f>
        <v>קובץ תורה ברמה - שיעורים בהלכות יחוד</v>
      </c>
    </row>
    <row r="35521" spans="1:6" x14ac:dyDescent="0.2">
      <c r="A35521" t="s">
        <v>54980</v>
      </c>
      <c r="B35521" t="s">
        <v>54981</v>
      </c>
      <c r="C35521" t="s">
        <v>146</v>
      </c>
      <c r="D35521" t="s">
        <v>52</v>
      </c>
      <c r="E35521" t="s">
        <v>202</v>
      </c>
      <c r="F35521" s="2" t="str">
        <f>HYPERLINK("http://www.otzar.org/book.asp?189885","קובץ תורה ודעת - 3 כר'")</f>
        <v>קובץ תורה ודעת - 3 כר'</v>
      </c>
    </row>
    <row r="35522" spans="1:6" x14ac:dyDescent="0.2">
      <c r="A35522" t="s">
        <v>54982</v>
      </c>
      <c r="B35522" t="s">
        <v>107</v>
      </c>
      <c r="C35522" t="s">
        <v>366</v>
      </c>
      <c r="D35522" t="s">
        <v>14</v>
      </c>
      <c r="E35522" t="s">
        <v>213</v>
      </c>
      <c r="F35522" s="2" t="str">
        <f>HYPERLINK("http://www.otzar.org/book.asp?625798","קובץ תורה מצילה ומגינה")</f>
        <v>קובץ תורה מצילה ומגינה</v>
      </c>
    </row>
    <row r="35523" spans="1:6" x14ac:dyDescent="0.2">
      <c r="A35523" t="s">
        <v>54983</v>
      </c>
      <c r="B35523" t="s">
        <v>54984</v>
      </c>
      <c r="C35523" t="s">
        <v>54985</v>
      </c>
      <c r="D35523" t="s">
        <v>14</v>
      </c>
      <c r="E35523" t="s">
        <v>202</v>
      </c>
      <c r="F35523" s="2" t="str">
        <f>HYPERLINK("http://www.otzar.org/book.asp?28461","קובץ תורני &lt;ישיבת קול תורה&gt; - א-ח")</f>
        <v>קובץ תורני &lt;ישיבת קול תורה&gt; - א-ח</v>
      </c>
    </row>
    <row r="35524" spans="1:6" x14ac:dyDescent="0.2">
      <c r="A35524" t="s">
        <v>54986</v>
      </c>
      <c r="B35524" t="s">
        <v>54987</v>
      </c>
      <c r="C35524" t="s">
        <v>785</v>
      </c>
      <c r="D35524" t="s">
        <v>54988</v>
      </c>
      <c r="E35524" t="s">
        <v>186</v>
      </c>
      <c r="F35524" s="2" t="str">
        <f>HYPERLINK("http://www.otzar.org/book.asp?148664","קובץ תורני &lt;ישיבת שפתי צדיק&gt;")</f>
        <v>קובץ תורני &lt;ישיבת שפתי צדיק&gt;</v>
      </c>
    </row>
    <row r="35525" spans="1:6" x14ac:dyDescent="0.2">
      <c r="A35525" t="s">
        <v>54989</v>
      </c>
      <c r="B35525" t="s">
        <v>54990</v>
      </c>
      <c r="C35525" t="s">
        <v>523</v>
      </c>
      <c r="D35525" t="s">
        <v>412</v>
      </c>
      <c r="E35525" t="s">
        <v>202</v>
      </c>
      <c r="F35525" s="2" t="str">
        <f>HYPERLINK("http://www.otzar.org/book.asp?148689","קובץ תורני &lt;כולל זכרון שניאור&gt;")</f>
        <v>קובץ תורני &lt;כולל זכרון שניאור&gt;</v>
      </c>
    </row>
    <row r="35526" spans="1:6" x14ac:dyDescent="0.2">
      <c r="A35526" t="s">
        <v>54991</v>
      </c>
      <c r="B35526" t="s">
        <v>54992</v>
      </c>
      <c r="C35526" t="s">
        <v>87</v>
      </c>
      <c r="D35526" t="s">
        <v>216</v>
      </c>
      <c r="E35526" t="s">
        <v>44822</v>
      </c>
      <c r="F35526" s="2" t="str">
        <f>HYPERLINK("http://www.otzar.org/book.asp?172018","קובץ תורני אהבת ציון")</f>
        <v>קובץ תורני אהבת ציון</v>
      </c>
    </row>
    <row r="35527" spans="1:6" x14ac:dyDescent="0.2">
      <c r="A35527" t="s">
        <v>54993</v>
      </c>
      <c r="B35527" t="s">
        <v>54994</v>
      </c>
      <c r="C35527" t="s">
        <v>785</v>
      </c>
      <c r="D35527" t="s">
        <v>14</v>
      </c>
      <c r="E35527" t="s">
        <v>202</v>
      </c>
      <c r="F35527" s="2" t="str">
        <f>HYPERLINK("http://www.otzar.org/book.asp?171079","קובץ תורני אהלה של תורה")</f>
        <v>קובץ תורני אהלה של תורה</v>
      </c>
    </row>
    <row r="35528" spans="1:6" x14ac:dyDescent="0.2">
      <c r="A35528" t="s">
        <v>54995</v>
      </c>
      <c r="B35528" t="s">
        <v>21632</v>
      </c>
      <c r="C35528" t="s">
        <v>466</v>
      </c>
      <c r="D35528" t="s">
        <v>14</v>
      </c>
      <c r="E35528" t="s">
        <v>186</v>
      </c>
      <c r="F35528" s="2" t="str">
        <f>HYPERLINK("http://www.otzar.org/book.asp?162102","קובץ תורני אהלי תורה - שבועות")</f>
        <v>קובץ תורני אהלי תורה - שבועות</v>
      </c>
    </row>
    <row r="35529" spans="1:6" x14ac:dyDescent="0.2">
      <c r="A35529" t="s">
        <v>54996</v>
      </c>
      <c r="B35529" t="s">
        <v>1750</v>
      </c>
      <c r="C35529" t="s">
        <v>151</v>
      </c>
      <c r="D35529" t="s">
        <v>21</v>
      </c>
      <c r="F35529" s="2" t="str">
        <f>HYPERLINK("http://www.otzar.org/book.asp?621834","קובץ תורני אור החמה")</f>
        <v>קובץ תורני אור החמה</v>
      </c>
    </row>
    <row r="35530" spans="1:6" x14ac:dyDescent="0.2">
      <c r="A35530" t="s">
        <v>54997</v>
      </c>
      <c r="B35530" t="s">
        <v>54998</v>
      </c>
      <c r="C35530" t="s">
        <v>20</v>
      </c>
      <c r="D35530" t="s">
        <v>3283</v>
      </c>
      <c r="E35530" t="s">
        <v>202</v>
      </c>
      <c r="F35530" s="2" t="str">
        <f>HYPERLINK("http://www.otzar.org/book.asp?148972","קובץ תורני אור התורה")</f>
        <v>קובץ תורני אור התורה</v>
      </c>
    </row>
    <row r="35531" spans="1:6" x14ac:dyDescent="0.2">
      <c r="A35531" t="s">
        <v>54999</v>
      </c>
      <c r="B35531" t="s">
        <v>37517</v>
      </c>
      <c r="C35531" t="s">
        <v>51</v>
      </c>
      <c r="D35531" t="s">
        <v>21</v>
      </c>
      <c r="E35531" t="s">
        <v>202</v>
      </c>
      <c r="F35531" s="2" t="str">
        <f>HYPERLINK("http://www.otzar.org/book.asp?197554","קובץ תורני אור התורה - גיטין ב")</f>
        <v>קובץ תורני אור התורה - גיטין ב</v>
      </c>
    </row>
    <row r="35532" spans="1:6" x14ac:dyDescent="0.2">
      <c r="A35532" t="s">
        <v>55000</v>
      </c>
      <c r="B35532" t="s">
        <v>55001</v>
      </c>
      <c r="C35532" t="s">
        <v>176</v>
      </c>
      <c r="D35532" t="s">
        <v>52</v>
      </c>
      <c r="E35532" t="s">
        <v>2153</v>
      </c>
      <c r="F35532" s="2" t="str">
        <f>HYPERLINK("http://www.otzar.org/book.asp?63069","קובץ תורני אור עזרא - ב")</f>
        <v>קובץ תורני אור עזרא - ב</v>
      </c>
    </row>
    <row r="35533" spans="1:6" x14ac:dyDescent="0.2">
      <c r="A35533" t="s">
        <v>55002</v>
      </c>
      <c r="B35533" t="s">
        <v>55003</v>
      </c>
      <c r="C35533" t="s">
        <v>422</v>
      </c>
      <c r="D35533" t="s">
        <v>412</v>
      </c>
      <c r="E35533" t="s">
        <v>202</v>
      </c>
      <c r="F35533" s="2" t="str">
        <f>HYPERLINK("http://www.otzar.org/book.asp?625503","קובץ תורני אורייתא")</f>
        <v>קובץ תורני אורייתא</v>
      </c>
    </row>
    <row r="35534" spans="1:6" x14ac:dyDescent="0.2">
      <c r="A35534" t="s">
        <v>55004</v>
      </c>
      <c r="B35534" t="s">
        <v>55005</v>
      </c>
      <c r="C35534" t="s">
        <v>37</v>
      </c>
      <c r="D35534" t="s">
        <v>14</v>
      </c>
      <c r="E35534" t="s">
        <v>24256</v>
      </c>
      <c r="F35534" s="2" t="str">
        <f>HYPERLINK("http://www.otzar.org/book.asp?622642","קובץ תורני ארזי הלבנון")</f>
        <v>קובץ תורני ארזי הלבנון</v>
      </c>
    </row>
    <row r="35535" spans="1:6" x14ac:dyDescent="0.2">
      <c r="A35535" t="s">
        <v>55006</v>
      </c>
      <c r="B35535" t="s">
        <v>55007</v>
      </c>
      <c r="C35535" t="s">
        <v>775</v>
      </c>
      <c r="D35535" t="s">
        <v>21</v>
      </c>
      <c r="E35535" t="s">
        <v>202</v>
      </c>
      <c r="F35535" s="2" t="str">
        <f>HYPERLINK("http://www.otzar.org/book.asp?197726","קובץ תורני בהלכות שבת")</f>
        <v>קובץ תורני בהלכות שבת</v>
      </c>
    </row>
    <row r="35536" spans="1:6" x14ac:dyDescent="0.2">
      <c r="A35536" t="s">
        <v>55008</v>
      </c>
      <c r="B35536" t="s">
        <v>55009</v>
      </c>
      <c r="C35536" t="s">
        <v>20</v>
      </c>
      <c r="D35536" t="s">
        <v>14</v>
      </c>
      <c r="E35536" t="s">
        <v>119</v>
      </c>
      <c r="F35536" s="2" t="str">
        <f>HYPERLINK("http://www.otzar.org/book.asp?625450","קובץ תורני בית הלל")</f>
        <v>קובץ תורני בית הלל</v>
      </c>
    </row>
    <row r="35537" spans="1:6" x14ac:dyDescent="0.2">
      <c r="A35537" t="s">
        <v>55010</v>
      </c>
      <c r="B35537" t="s">
        <v>55011</v>
      </c>
      <c r="C35537" t="s">
        <v>13</v>
      </c>
      <c r="D35537" t="s">
        <v>55012</v>
      </c>
      <c r="E35537" t="s">
        <v>202</v>
      </c>
      <c r="F35537" s="2" t="str">
        <f>HYPERLINK("http://www.otzar.org/book.asp?62678","קובץ תורני בית ישראל - 3 כר'")</f>
        <v>קובץ תורני בית ישראל - 3 כר'</v>
      </c>
    </row>
    <row r="35538" spans="1:6" x14ac:dyDescent="0.2">
      <c r="A35538" t="s">
        <v>55013</v>
      </c>
      <c r="B35538" t="s">
        <v>55014</v>
      </c>
      <c r="C35538" t="s">
        <v>87</v>
      </c>
      <c r="D35538" t="s">
        <v>52</v>
      </c>
      <c r="E35538" t="s">
        <v>202</v>
      </c>
      <c r="F35538" s="2" t="str">
        <f>HYPERLINK("http://www.otzar.org/book.asp?160344","קובץ תורני בית ישראל - ו")</f>
        <v>קובץ תורני בית ישראל - ו</v>
      </c>
    </row>
    <row r="35539" spans="1:6" x14ac:dyDescent="0.2">
      <c r="A35539" t="s">
        <v>55015</v>
      </c>
      <c r="B35539" t="s">
        <v>55016</v>
      </c>
      <c r="C35539" t="s">
        <v>533</v>
      </c>
      <c r="D35539" t="s">
        <v>43854</v>
      </c>
      <c r="E35539" t="s">
        <v>2091</v>
      </c>
      <c r="F35539" s="2" t="str">
        <f>HYPERLINK("http://www.otzar.org/book.asp?143091","קובץ תורני בענין רבית - ב")</f>
        <v>קובץ תורני בענין רבית - ב</v>
      </c>
    </row>
    <row r="35540" spans="1:6" x14ac:dyDescent="0.2">
      <c r="A35540" t="s">
        <v>55017</v>
      </c>
      <c r="B35540" t="s">
        <v>552</v>
      </c>
      <c r="C35540" t="s">
        <v>146</v>
      </c>
      <c r="D35540" t="s">
        <v>14</v>
      </c>
      <c r="E35540" t="s">
        <v>202</v>
      </c>
      <c r="F35540" s="2" t="str">
        <f>HYPERLINK("http://www.otzar.org/book.asp?156841","קובץ תורני דברי ראובן וספר הזכרון")</f>
        <v>קובץ תורני דברי ראובן וספר הזכרון</v>
      </c>
    </row>
    <row r="35541" spans="1:6" x14ac:dyDescent="0.2">
      <c r="A35541" t="s">
        <v>55018</v>
      </c>
      <c r="B35541" t="s">
        <v>55019</v>
      </c>
      <c r="C35541" t="s">
        <v>87</v>
      </c>
      <c r="D35541" t="s">
        <v>52</v>
      </c>
      <c r="E35541" t="s">
        <v>202</v>
      </c>
      <c r="F35541" s="2" t="str">
        <f>HYPERLINK("http://www.otzar.org/book.asp?160341","קובץ תורני דגל התורה וישווא - א")</f>
        <v>קובץ תורני דגל התורה וישווא - א</v>
      </c>
    </row>
    <row r="35542" spans="1:6" x14ac:dyDescent="0.2">
      <c r="A35542" t="s">
        <v>55020</v>
      </c>
      <c r="B35542" t="s">
        <v>55021</v>
      </c>
      <c r="C35542" t="s">
        <v>422</v>
      </c>
      <c r="D35542" t="s">
        <v>14</v>
      </c>
      <c r="E35542" t="s">
        <v>202</v>
      </c>
      <c r="F35542" s="2" t="str">
        <f>HYPERLINK("http://www.otzar.org/book.asp?623684","קובץ תורני דמשק אליעזר - 2 כר'")</f>
        <v>קובץ תורני דמשק אליעזר - 2 כר'</v>
      </c>
    </row>
    <row r="35543" spans="1:6" x14ac:dyDescent="0.2">
      <c r="A35543" t="s">
        <v>55022</v>
      </c>
      <c r="B35543" t="s">
        <v>55023</v>
      </c>
      <c r="C35543" t="s">
        <v>366</v>
      </c>
      <c r="D35543" t="s">
        <v>4549</v>
      </c>
      <c r="E35543" t="s">
        <v>202</v>
      </c>
      <c r="F35543" s="2" t="str">
        <f>HYPERLINK("http://www.otzar.org/book.asp?623374","קובץ תורני המישור - 2 כר'")</f>
        <v>קובץ תורני המישור - 2 כר'</v>
      </c>
    </row>
    <row r="35544" spans="1:6" x14ac:dyDescent="0.2">
      <c r="A35544" t="s">
        <v>55024</v>
      </c>
      <c r="B35544" t="s">
        <v>55025</v>
      </c>
      <c r="C35544" t="s">
        <v>23</v>
      </c>
      <c r="D35544" t="s">
        <v>52</v>
      </c>
      <c r="E35544" t="s">
        <v>202</v>
      </c>
      <c r="F35544" s="2" t="str">
        <f>HYPERLINK("http://www.otzar.org/book.asp?197645","קובץ תורני ובהם נהגה - 5 כר'")</f>
        <v>קובץ תורני ובהם נהגה - 5 כר'</v>
      </c>
    </row>
    <row r="35545" spans="1:6" x14ac:dyDescent="0.2">
      <c r="A35545" t="s">
        <v>55026</v>
      </c>
      <c r="B35545" t="s">
        <v>21672</v>
      </c>
      <c r="C35545" t="s">
        <v>244</v>
      </c>
      <c r="D35545" t="s">
        <v>21</v>
      </c>
      <c r="E35545" t="s">
        <v>202</v>
      </c>
      <c r="F35545" s="2" t="str">
        <f>HYPERLINK("http://www.otzar.org/book.asp?601170","קובץ תורני ובהם נהגה - ג (שונה)")</f>
        <v>קובץ תורני ובהם נהגה - ג (שונה)</v>
      </c>
    </row>
    <row r="35546" spans="1:6" x14ac:dyDescent="0.2">
      <c r="A35546" t="s">
        <v>55027</v>
      </c>
      <c r="B35546" t="s">
        <v>55028</v>
      </c>
      <c r="C35546" t="s">
        <v>68</v>
      </c>
      <c r="D35546" t="s">
        <v>115</v>
      </c>
      <c r="F35546" s="2" t="str">
        <f>HYPERLINK("http://www.otzar.org/book.asp?191503","קובץ תורני ועתה כתבו לכם")</f>
        <v>קובץ תורני ועתה כתבו לכם</v>
      </c>
    </row>
    <row r="35547" spans="1:6" x14ac:dyDescent="0.2">
      <c r="A35547" t="s">
        <v>55029</v>
      </c>
      <c r="B35547" t="s">
        <v>489</v>
      </c>
      <c r="C35547" t="s">
        <v>366</v>
      </c>
      <c r="D35547" t="s">
        <v>1156</v>
      </c>
      <c r="E35547" t="s">
        <v>202</v>
      </c>
      <c r="F35547" s="2" t="str">
        <f>HYPERLINK("http://www.otzar.org/book.asp?612163","קובץ תורני זכור לאברהם - א")</f>
        <v>קובץ תורני זכור לאברהם - א</v>
      </c>
    </row>
    <row r="35548" spans="1:6" x14ac:dyDescent="0.2">
      <c r="A35548" t="s">
        <v>55030</v>
      </c>
      <c r="B35548" t="s">
        <v>53844</v>
      </c>
      <c r="C35548" t="s">
        <v>55031</v>
      </c>
      <c r="D35548" t="s">
        <v>21</v>
      </c>
      <c r="F35548" s="2" t="str">
        <f>HYPERLINK("http://www.otzar.org/book.asp?605442","קובץ תורני זכרו תורת משה עבדי - א")</f>
        <v>קובץ תורני זכרו תורת משה עבדי - א</v>
      </c>
    </row>
    <row r="35549" spans="1:6" x14ac:dyDescent="0.2">
      <c r="A35549" t="s">
        <v>55032</v>
      </c>
      <c r="B35549" t="s">
        <v>54282</v>
      </c>
      <c r="C35549" t="s">
        <v>334</v>
      </c>
      <c r="D35549" t="s">
        <v>216</v>
      </c>
      <c r="E35549" t="s">
        <v>202</v>
      </c>
      <c r="F35549" s="2" t="str">
        <f>HYPERLINK("http://www.otzar.org/book.asp?189575","קובץ תורני זכרון אליהו")</f>
        <v>קובץ תורני זכרון אליהו</v>
      </c>
    </row>
    <row r="35550" spans="1:6" x14ac:dyDescent="0.2">
      <c r="A35550" t="s">
        <v>55033</v>
      </c>
      <c r="B35550" t="s">
        <v>31600</v>
      </c>
      <c r="C35550" t="s">
        <v>51</v>
      </c>
      <c r="D35550" t="s">
        <v>115</v>
      </c>
      <c r="F35550" s="2" t="str">
        <f>HYPERLINK("http://www.otzar.org/book.asp?609521","קובץ תורני זכרון ישראל")</f>
        <v>קובץ תורני זכרון ישראל</v>
      </c>
    </row>
    <row r="35551" spans="1:6" x14ac:dyDescent="0.2">
      <c r="A35551" t="s">
        <v>55034</v>
      </c>
      <c r="B35551" t="s">
        <v>55035</v>
      </c>
      <c r="C35551" t="s">
        <v>23</v>
      </c>
      <c r="D35551" t="s">
        <v>21</v>
      </c>
      <c r="E35551" t="s">
        <v>202</v>
      </c>
      <c r="F35551" s="2" t="str">
        <f>HYPERLINK("http://www.otzar.org/book.asp?196799","קובץ תורני זכרון מאיר")</f>
        <v>קובץ תורני זכרון מאיר</v>
      </c>
    </row>
    <row r="35552" spans="1:6" x14ac:dyDescent="0.2">
      <c r="A35552" t="s">
        <v>55036</v>
      </c>
      <c r="B35552" t="s">
        <v>55037</v>
      </c>
      <c r="C35552" t="s">
        <v>68</v>
      </c>
      <c r="D35552" t="s">
        <v>276</v>
      </c>
      <c r="F35552" s="2" t="str">
        <f>HYPERLINK("http://www.otzar.org/book.asp?197642","קובץ תורני זכרון נחום")</f>
        <v>קובץ תורני זכרון נחום</v>
      </c>
    </row>
    <row r="35553" spans="1:6" x14ac:dyDescent="0.2">
      <c r="A35553" t="s">
        <v>55038</v>
      </c>
      <c r="B35553" t="s">
        <v>55039</v>
      </c>
      <c r="C35553" t="s">
        <v>146</v>
      </c>
      <c r="D35553" t="s">
        <v>52</v>
      </c>
      <c r="E35553" t="s">
        <v>202</v>
      </c>
      <c r="F35553" s="2" t="str">
        <f>HYPERLINK("http://www.otzar.org/book.asp?198404","קובץ תורני זכרון קלם")</f>
        <v>קובץ תורני זכרון קלם</v>
      </c>
    </row>
    <row r="35554" spans="1:6" x14ac:dyDescent="0.2">
      <c r="A35554" t="s">
        <v>55040</v>
      </c>
      <c r="B35554" t="s">
        <v>55041</v>
      </c>
      <c r="C35554" t="s">
        <v>366</v>
      </c>
      <c r="D35554" t="s">
        <v>14</v>
      </c>
      <c r="E35554" t="s">
        <v>202</v>
      </c>
      <c r="F35554" s="2" t="str">
        <f>HYPERLINK("http://www.otzar.org/book.asp?627172","קובץ תורני חסדי דוד")</f>
        <v>קובץ תורני חסדי דוד</v>
      </c>
    </row>
    <row r="35555" spans="1:6" x14ac:dyDescent="0.2">
      <c r="A35555" t="s">
        <v>55042</v>
      </c>
      <c r="B35555" t="s">
        <v>43686</v>
      </c>
      <c r="C35555" t="s">
        <v>20</v>
      </c>
      <c r="D35555" t="s">
        <v>152</v>
      </c>
      <c r="F35555" s="2" t="str">
        <f>HYPERLINK("http://www.otzar.org/book.asp?615982","קובץ תורני יקרא דאורייתא - גיטין")</f>
        <v>קובץ תורני יקרא דאורייתא - גיטין</v>
      </c>
    </row>
    <row r="35556" spans="1:6" x14ac:dyDescent="0.2">
      <c r="A35556" t="s">
        <v>55043</v>
      </c>
      <c r="B35556" t="s">
        <v>24055</v>
      </c>
      <c r="C35556" t="s">
        <v>68</v>
      </c>
      <c r="D35556" t="s">
        <v>52</v>
      </c>
      <c r="E35556" t="s">
        <v>1174</v>
      </c>
      <c r="F35556" s="2" t="str">
        <f>HYPERLINK("http://www.otzar.org/book.asp?605940","קובץ תורני ישמח ישראל - 19 כר'")</f>
        <v>קובץ תורני ישמח ישראל - 19 כר'</v>
      </c>
    </row>
    <row r="35557" spans="1:6" x14ac:dyDescent="0.2">
      <c r="A35557" t="s">
        <v>55044</v>
      </c>
      <c r="B35557" t="s">
        <v>55045</v>
      </c>
      <c r="E35557" t="s">
        <v>202</v>
      </c>
      <c r="F35557" s="2" t="str">
        <f>HYPERLINK("http://www.otzar.org/book.asp?628035","קובץ תורני כבודה של תורה")</f>
        <v>קובץ תורני כבודה של תורה</v>
      </c>
    </row>
    <row r="35558" spans="1:6" x14ac:dyDescent="0.2">
      <c r="A35558" t="s">
        <v>55046</v>
      </c>
      <c r="B35558" t="s">
        <v>55047</v>
      </c>
      <c r="C35558" t="s">
        <v>189</v>
      </c>
      <c r="D35558" t="s">
        <v>52</v>
      </c>
      <c r="E35558" t="s">
        <v>202</v>
      </c>
      <c r="F35558" s="2" t="str">
        <f>HYPERLINK("http://www.otzar.org/book.asp?163547","קובץ תורני כנסת ישראל - 9 כר'")</f>
        <v>קובץ תורני כנסת ישראל - 9 כר'</v>
      </c>
    </row>
    <row r="35559" spans="1:6" x14ac:dyDescent="0.2">
      <c r="A35559" t="s">
        <v>55048</v>
      </c>
      <c r="B35559" t="s">
        <v>55049</v>
      </c>
      <c r="C35559" t="s">
        <v>454</v>
      </c>
      <c r="D35559" t="s">
        <v>118</v>
      </c>
      <c r="E35559" t="s">
        <v>384</v>
      </c>
      <c r="F35559" s="2" t="str">
        <f>HYPERLINK("http://www.otzar.org/book.asp?157586","קובץ תורני להנחלת מורשת אבות")</f>
        <v>קובץ תורני להנחלת מורשת אבות</v>
      </c>
    </row>
    <row r="35560" spans="1:6" x14ac:dyDescent="0.2">
      <c r="A35560" t="s">
        <v>55050</v>
      </c>
      <c r="B35560" t="s">
        <v>55051</v>
      </c>
      <c r="D35560" t="s">
        <v>14</v>
      </c>
      <c r="E35560" t="s">
        <v>202</v>
      </c>
      <c r="F35560" s="2" t="str">
        <f>HYPERLINK("http://www.otzar.org/book.asp?611007","קובץ תורני לתפארת")</f>
        <v>קובץ תורני לתפארת</v>
      </c>
    </row>
    <row r="35561" spans="1:6" x14ac:dyDescent="0.2">
      <c r="A35561" t="s">
        <v>55052</v>
      </c>
      <c r="E35561" t="s">
        <v>202</v>
      </c>
      <c r="F35561" s="2" t="str">
        <f>HYPERLINK("http://www.otzar.org/book.asp?612162","קובץ תורני מאור התורה")</f>
        <v>קובץ תורני מאור התורה</v>
      </c>
    </row>
    <row r="35562" spans="1:6" x14ac:dyDescent="0.2">
      <c r="A35562" t="s">
        <v>55053</v>
      </c>
      <c r="B35562" t="s">
        <v>9538</v>
      </c>
      <c r="C35562" t="s">
        <v>71</v>
      </c>
      <c r="D35562" t="s">
        <v>3436</v>
      </c>
      <c r="E35562" t="s">
        <v>202</v>
      </c>
      <c r="F35562" s="2" t="str">
        <f>HYPERLINK("http://www.otzar.org/book.asp?191224","קובץ תורני מבקשי תורה - סוכה")</f>
        <v>קובץ תורני מבקשי תורה - סוכה</v>
      </c>
    </row>
    <row r="35563" spans="1:6" x14ac:dyDescent="0.2">
      <c r="A35563" t="s">
        <v>55054</v>
      </c>
      <c r="B35563" t="s">
        <v>55055</v>
      </c>
      <c r="C35563" t="s">
        <v>553</v>
      </c>
      <c r="D35563" t="s">
        <v>52</v>
      </c>
      <c r="E35563" t="s">
        <v>202</v>
      </c>
      <c r="F35563" s="2" t="str">
        <f>HYPERLINK("http://www.otzar.org/book.asp?191243","קובץ תורני מים חיים &lt;תשמ""ז&gt;")</f>
        <v>קובץ תורני מים חיים &lt;תשמ"ז&gt;</v>
      </c>
    </row>
    <row r="35564" spans="1:6" x14ac:dyDescent="0.2">
      <c r="A35564" t="s">
        <v>55056</v>
      </c>
      <c r="B35564" t="s">
        <v>55055</v>
      </c>
      <c r="C35564" t="s">
        <v>1208</v>
      </c>
      <c r="D35564" t="s">
        <v>52</v>
      </c>
      <c r="E35564" t="s">
        <v>202</v>
      </c>
      <c r="F35564" s="2" t="str">
        <f>HYPERLINK("http://www.otzar.org/book.asp?84878","קובץ תורני מים חיים &lt;תשמ""ח&gt;")</f>
        <v>קובץ תורני מים חיים &lt;תשמ"ח&gt;</v>
      </c>
    </row>
    <row r="35565" spans="1:6" x14ac:dyDescent="0.2">
      <c r="A35565" t="s">
        <v>55057</v>
      </c>
      <c r="B35565" t="s">
        <v>55058</v>
      </c>
      <c r="C35565" t="s">
        <v>189</v>
      </c>
      <c r="D35565" t="s">
        <v>147</v>
      </c>
      <c r="E35565" t="s">
        <v>202</v>
      </c>
      <c r="F35565" s="2" t="str">
        <f>HYPERLINK("http://www.otzar.org/book.asp?157848","קובץ תורני מרכז התורה")</f>
        <v>קובץ תורני מרכז התורה</v>
      </c>
    </row>
    <row r="35566" spans="1:6" x14ac:dyDescent="0.2">
      <c r="A35566" t="s">
        <v>55059</v>
      </c>
      <c r="B35566" t="s">
        <v>1750</v>
      </c>
      <c r="C35566" t="s">
        <v>533</v>
      </c>
      <c r="D35566" t="s">
        <v>14</v>
      </c>
      <c r="E35566" t="s">
        <v>202</v>
      </c>
      <c r="F35566" s="2" t="str">
        <f>HYPERLINK("http://www.otzar.org/book.asp?14592","קובץ תורני מרכזי &lt;גור&gt; - 9 כר'")</f>
        <v>קובץ תורני מרכזי &lt;גור&gt; - 9 כר'</v>
      </c>
    </row>
    <row r="35567" spans="1:6" x14ac:dyDescent="0.2">
      <c r="A35567" t="s">
        <v>55060</v>
      </c>
      <c r="B35567" t="s">
        <v>18962</v>
      </c>
      <c r="D35567" t="s">
        <v>52</v>
      </c>
      <c r="E35567" t="s">
        <v>202</v>
      </c>
      <c r="F35567" s="2" t="str">
        <f>HYPERLINK("http://www.otzar.org/book.asp?625672","קובץ תורני משה ואלעזר - 23 כר'")</f>
        <v>קובץ תורני משה ואלעזר - 23 כר'</v>
      </c>
    </row>
    <row r="35568" spans="1:6" x14ac:dyDescent="0.2">
      <c r="A35568" t="s">
        <v>55061</v>
      </c>
      <c r="B35568" t="s">
        <v>42468</v>
      </c>
      <c r="C35568" t="s">
        <v>51</v>
      </c>
      <c r="D35568" t="s">
        <v>14</v>
      </c>
      <c r="F35568" s="2" t="str">
        <f>HYPERLINK("http://www.otzar.org/book.asp?618491","קובץ תורני משנת אהרן - 2 כר'")</f>
        <v>קובץ תורני משנת אהרן - 2 כר'</v>
      </c>
    </row>
    <row r="35569" spans="1:6" x14ac:dyDescent="0.2">
      <c r="A35569" t="s">
        <v>55062</v>
      </c>
      <c r="B35569" t="s">
        <v>55063</v>
      </c>
      <c r="C35569" t="s">
        <v>383</v>
      </c>
      <c r="D35569" t="s">
        <v>1156</v>
      </c>
      <c r="E35569" t="s">
        <v>202</v>
      </c>
      <c r="F35569" s="2" t="str">
        <f>HYPERLINK("http://www.otzar.org/book.asp?604228","קובץ תורני מתושבי ביתר - 3 כר'")</f>
        <v>קובץ תורני מתושבי ביתר - 3 כר'</v>
      </c>
    </row>
    <row r="35570" spans="1:6" x14ac:dyDescent="0.2">
      <c r="A35570" t="s">
        <v>55064</v>
      </c>
      <c r="B35570" t="s">
        <v>55065</v>
      </c>
      <c r="C35570" t="s">
        <v>466</v>
      </c>
      <c r="D35570" t="s">
        <v>52</v>
      </c>
      <c r="E35570" t="s">
        <v>202</v>
      </c>
      <c r="F35570" s="2" t="str">
        <f>HYPERLINK("http://www.otzar.org/book.asp?626504","קובץ תורני עטרת אברהם - א")</f>
        <v>קובץ תורני עטרת אברהם - א</v>
      </c>
    </row>
    <row r="35571" spans="1:6" x14ac:dyDescent="0.2">
      <c r="A35571" t="s">
        <v>55066</v>
      </c>
      <c r="B35571" t="s">
        <v>489</v>
      </c>
      <c r="C35571" t="s">
        <v>103</v>
      </c>
      <c r="D35571" t="s">
        <v>90</v>
      </c>
      <c r="E35571" t="s">
        <v>202</v>
      </c>
      <c r="F35571" s="2" t="str">
        <f>HYPERLINK("http://www.otzar.org/book.asp?625028","קובץ תורני עטרת זהב")</f>
        <v>קובץ תורני עטרת זהב</v>
      </c>
    </row>
    <row r="35572" spans="1:6" x14ac:dyDescent="0.2">
      <c r="A35572" t="s">
        <v>55067</v>
      </c>
      <c r="B35572" t="s">
        <v>55068</v>
      </c>
      <c r="C35572" t="s">
        <v>87</v>
      </c>
      <c r="D35572" t="s">
        <v>216</v>
      </c>
      <c r="F35572" s="2" t="str">
        <f>HYPERLINK("http://www.otzar.org/book.asp?619944","קובץ תורני עטרת יוסף")</f>
        <v>קובץ תורני עטרת יוסף</v>
      </c>
    </row>
    <row r="35573" spans="1:6" x14ac:dyDescent="0.2">
      <c r="A35573" t="s">
        <v>55069</v>
      </c>
      <c r="B35573" t="s">
        <v>29367</v>
      </c>
      <c r="C35573" t="s">
        <v>189</v>
      </c>
      <c r="D35573" t="s">
        <v>14</v>
      </c>
      <c r="F35573" s="2" t="str">
        <f>HYPERLINK("http://www.otzar.org/book.asp?614509","קובץ תורני עטרת ישראל - 2 כר'")</f>
        <v>קובץ תורני עטרת ישראל - 2 כר'</v>
      </c>
    </row>
    <row r="35574" spans="1:6" x14ac:dyDescent="0.2">
      <c r="A35574" t="s">
        <v>55070</v>
      </c>
      <c r="B35574" t="s">
        <v>55071</v>
      </c>
      <c r="F35574" s="2" t="str">
        <f>HYPERLINK("http://www.otzar.org/book.asp?619312","קובץ תורני עטרת שלמה")</f>
        <v>קובץ תורני עטרת שלמה</v>
      </c>
    </row>
    <row r="35575" spans="1:6" x14ac:dyDescent="0.2">
      <c r="A35575" t="s">
        <v>55072</v>
      </c>
      <c r="B35575" t="s">
        <v>55073</v>
      </c>
      <c r="C35575" t="s">
        <v>20</v>
      </c>
      <c r="D35575" t="s">
        <v>657</v>
      </c>
      <c r="E35575" t="s">
        <v>186</v>
      </c>
      <c r="F35575" s="2" t="str">
        <f>HYPERLINK("http://www.otzar.org/book.asp?160819","קובץ תורני על מסכת שבת")</f>
        <v>קובץ תורני על מסכת שבת</v>
      </c>
    </row>
    <row r="35576" spans="1:6" x14ac:dyDescent="0.2">
      <c r="A35576" t="s">
        <v>55074</v>
      </c>
      <c r="B35576" t="s">
        <v>55075</v>
      </c>
      <c r="C35576" t="s">
        <v>87</v>
      </c>
      <c r="D35576" t="s">
        <v>52</v>
      </c>
      <c r="E35576" t="s">
        <v>202</v>
      </c>
      <c r="F35576" s="2" t="str">
        <f>HYPERLINK("http://www.otzar.org/book.asp?189021","קובץ תורני עץ חיים")</f>
        <v>קובץ תורני עץ חיים</v>
      </c>
    </row>
    <row r="35577" spans="1:6" x14ac:dyDescent="0.2">
      <c r="A35577" t="s">
        <v>55076</v>
      </c>
      <c r="B35577" t="s">
        <v>55077</v>
      </c>
      <c r="C35577" t="s">
        <v>383</v>
      </c>
      <c r="D35577" t="s">
        <v>412</v>
      </c>
      <c r="E35577" t="s">
        <v>393</v>
      </c>
      <c r="F35577" s="2" t="str">
        <f>HYPERLINK("http://www.otzar.org/book.asp?198411","קובץ תורני צמח צדיק - א")</f>
        <v>קובץ תורני צמח צדיק - א</v>
      </c>
    </row>
    <row r="35578" spans="1:6" x14ac:dyDescent="0.2">
      <c r="A35578" t="s">
        <v>55078</v>
      </c>
      <c r="B35578" t="s">
        <v>55079</v>
      </c>
      <c r="C35578" t="s">
        <v>87</v>
      </c>
      <c r="D35578" t="s">
        <v>52</v>
      </c>
      <c r="E35578" t="s">
        <v>7138</v>
      </c>
      <c r="F35578" s="2" t="str">
        <f>HYPERLINK("http://www.otzar.org/book.asp?63683","קובץ תורני צעירי ויז'ניץ - שואל ומשיב")</f>
        <v>קובץ תורני צעירי ויז'ניץ - שואל ומשיב</v>
      </c>
    </row>
    <row r="35579" spans="1:6" x14ac:dyDescent="0.2">
      <c r="A35579" t="s">
        <v>55080</v>
      </c>
      <c r="B35579" t="s">
        <v>55081</v>
      </c>
      <c r="C35579" t="s">
        <v>176</v>
      </c>
      <c r="D35579" t="s">
        <v>52</v>
      </c>
      <c r="E35579" t="s">
        <v>202</v>
      </c>
      <c r="F35579" s="2" t="str">
        <f>HYPERLINK("http://www.otzar.org/book.asp?626601","קובץ תורני שבילי הדעת - א")</f>
        <v>קובץ תורני שבילי הדעת - א</v>
      </c>
    </row>
    <row r="35580" spans="1:6" x14ac:dyDescent="0.2">
      <c r="A35580" t="s">
        <v>55082</v>
      </c>
      <c r="B35580" t="s">
        <v>55083</v>
      </c>
      <c r="C35580" t="s">
        <v>767</v>
      </c>
      <c r="D35580" t="s">
        <v>486</v>
      </c>
      <c r="E35580" t="s">
        <v>44822</v>
      </c>
      <c r="F35580" s="2" t="str">
        <f>HYPERLINK("http://www.otzar.org/book.asp?189026","קובץ תורני שמחת ירושלים")</f>
        <v>קובץ תורני שמחת ירושלים</v>
      </c>
    </row>
    <row r="35581" spans="1:6" x14ac:dyDescent="0.2">
      <c r="A35581" t="s">
        <v>55084</v>
      </c>
      <c r="B35581" t="s">
        <v>55085</v>
      </c>
      <c r="C35581" t="s">
        <v>124</v>
      </c>
      <c r="D35581" t="s">
        <v>52</v>
      </c>
      <c r="E35581" t="s">
        <v>202</v>
      </c>
      <c r="F35581" s="2" t="str">
        <f>HYPERLINK("http://www.otzar.org/book.asp?626360","קובץ תורני שערי אברהם")</f>
        <v>קובץ תורני שערי אברהם</v>
      </c>
    </row>
    <row r="35582" spans="1:6" x14ac:dyDescent="0.2">
      <c r="A35582" t="s">
        <v>55086</v>
      </c>
      <c r="B35582" t="s">
        <v>55087</v>
      </c>
      <c r="C35582" t="s">
        <v>189</v>
      </c>
      <c r="D35582" t="s">
        <v>14</v>
      </c>
      <c r="E35582" t="s">
        <v>202</v>
      </c>
      <c r="F35582" s="2" t="str">
        <f>HYPERLINK("http://www.otzar.org/book.asp?627816","קובץ תורני שערי ציון - תשס""ה")</f>
        <v>קובץ תורני שערי ציון - תשס"ה</v>
      </c>
    </row>
    <row r="35583" spans="1:6" x14ac:dyDescent="0.2">
      <c r="A35583" t="s">
        <v>55088</v>
      </c>
      <c r="B35583" t="s">
        <v>55089</v>
      </c>
      <c r="C35583" t="s">
        <v>114</v>
      </c>
      <c r="D35583" t="s">
        <v>216</v>
      </c>
      <c r="E35583" t="s">
        <v>202</v>
      </c>
      <c r="F35583" s="2" t="str">
        <f>HYPERLINK("http://www.otzar.org/book.asp?624722","קובץ תורני תורה אור - א")</f>
        <v>קובץ תורני תורה אור - א</v>
      </c>
    </row>
    <row r="35584" spans="1:6" x14ac:dyDescent="0.2">
      <c r="A35584" t="s">
        <v>55090</v>
      </c>
      <c r="B35584" t="s">
        <v>55091</v>
      </c>
      <c r="C35584" t="s">
        <v>20</v>
      </c>
      <c r="D35584" t="s">
        <v>21</v>
      </c>
      <c r="E35584" t="s">
        <v>202</v>
      </c>
      <c r="F35584" s="2" t="str">
        <f>HYPERLINK("http://www.otzar.org/book.asp?600368","קובץ תורני תורת חיים")</f>
        <v>קובץ תורני תורת חיים</v>
      </c>
    </row>
    <row r="35585" spans="1:6" x14ac:dyDescent="0.2">
      <c r="A35585" t="s">
        <v>55092</v>
      </c>
      <c r="B35585" t="s">
        <v>10622</v>
      </c>
      <c r="C35585" t="s">
        <v>151</v>
      </c>
      <c r="D35585" t="s">
        <v>147</v>
      </c>
      <c r="E35585" t="s">
        <v>202</v>
      </c>
      <c r="F35585" s="2" t="str">
        <f>HYPERLINK("http://www.otzar.org/book.asp?614478","קובץ תורני תפארת התורה - 4 כר'")</f>
        <v>קובץ תורני תפארת התורה - 4 כר'</v>
      </c>
    </row>
    <row r="35586" spans="1:6" x14ac:dyDescent="0.2">
      <c r="A35586" t="s">
        <v>55093</v>
      </c>
      <c r="B35586" t="s">
        <v>10622</v>
      </c>
      <c r="C35586" t="s">
        <v>151</v>
      </c>
      <c r="D35586" t="s">
        <v>147</v>
      </c>
      <c r="F35586" s="2" t="str">
        <f>HYPERLINK("http://www.otzar.org/book.asp?609252","קובץ תורני תפארתך - 3 כר'")</f>
        <v>קובץ תורני תפארתך - 3 כר'</v>
      </c>
    </row>
    <row r="35587" spans="1:6" x14ac:dyDescent="0.2">
      <c r="A35587" t="s">
        <v>55094</v>
      </c>
      <c r="B35587" t="s">
        <v>29367</v>
      </c>
      <c r="C35587" t="s">
        <v>422</v>
      </c>
      <c r="D35587" t="s">
        <v>14</v>
      </c>
      <c r="E35587" t="s">
        <v>186</v>
      </c>
      <c r="F35587" s="2" t="str">
        <f>HYPERLINK("http://www.otzar.org/book.asp?166275","קובץ תורני - פסחים")</f>
        <v>קובץ תורני - פסחים</v>
      </c>
    </row>
    <row r="35588" spans="1:6" x14ac:dyDescent="0.2">
      <c r="A35588" t="s">
        <v>55095</v>
      </c>
      <c r="B35588" t="s">
        <v>55096</v>
      </c>
      <c r="C35588" t="s">
        <v>244</v>
      </c>
      <c r="D35588" t="s">
        <v>21</v>
      </c>
      <c r="E35588" t="s">
        <v>202</v>
      </c>
      <c r="F35588" s="2" t="str">
        <f>HYPERLINK("http://www.otzar.org/book.asp?606841","קובץ תורת אברהם - 3 כר'")</f>
        <v>קובץ תורת אברהם - 3 כר'</v>
      </c>
    </row>
    <row r="35589" spans="1:6" x14ac:dyDescent="0.2">
      <c r="A35589" t="s">
        <v>55097</v>
      </c>
      <c r="B35589" t="s">
        <v>55098</v>
      </c>
      <c r="C35589" t="s">
        <v>411</v>
      </c>
      <c r="D35589" t="s">
        <v>52</v>
      </c>
      <c r="E35589" t="s">
        <v>202</v>
      </c>
      <c r="F35589" s="2" t="str">
        <f>HYPERLINK("http://www.otzar.org/book.asp?613210","קובץ תורת אברהם")</f>
        <v>קובץ תורת אברהם</v>
      </c>
    </row>
    <row r="35590" spans="1:6" x14ac:dyDescent="0.2">
      <c r="A35590" t="s">
        <v>55099</v>
      </c>
      <c r="B35590" t="s">
        <v>1750</v>
      </c>
      <c r="C35590" t="s">
        <v>189</v>
      </c>
      <c r="D35590" t="s">
        <v>90</v>
      </c>
      <c r="E35590" t="s">
        <v>202</v>
      </c>
      <c r="F35590" s="2" t="str">
        <f>HYPERLINK("http://www.otzar.org/book.asp?603882","קובץ תורת אחים")</f>
        <v>קובץ תורת אחים</v>
      </c>
    </row>
    <row r="35591" spans="1:6" x14ac:dyDescent="0.2">
      <c r="A35591" t="s">
        <v>55100</v>
      </c>
      <c r="B35591" t="s">
        <v>206</v>
      </c>
      <c r="C35591" t="s">
        <v>20</v>
      </c>
      <c r="D35591" t="s">
        <v>90</v>
      </c>
      <c r="F35591" s="2" t="str">
        <f>HYPERLINK("http://www.otzar.org/book.asp?614388","קובץ תורת אמך")</f>
        <v>קובץ תורת אמך</v>
      </c>
    </row>
    <row r="35592" spans="1:6" x14ac:dyDescent="0.2">
      <c r="A35592" t="s">
        <v>55101</v>
      </c>
      <c r="B35592" t="s">
        <v>55102</v>
      </c>
      <c r="C35592" t="s">
        <v>51</v>
      </c>
      <c r="D35592" t="s">
        <v>14</v>
      </c>
      <c r="E35592" t="s">
        <v>2338</v>
      </c>
      <c r="F35592" s="2" t="str">
        <f>HYPERLINK("http://www.otzar.org/book.asp?163730","קובץ תורת האהל - 2 כר'")</f>
        <v>קובץ תורת האהל - 2 כר'</v>
      </c>
    </row>
    <row r="35593" spans="1:6" x14ac:dyDescent="0.2">
      <c r="A35593" t="s">
        <v>55103</v>
      </c>
      <c r="B35593" t="s">
        <v>55104</v>
      </c>
      <c r="C35593" t="s">
        <v>366</v>
      </c>
      <c r="D35593" t="s">
        <v>152</v>
      </c>
      <c r="E35593" t="s">
        <v>202</v>
      </c>
      <c r="F35593" s="2" t="str">
        <f>HYPERLINK("http://www.otzar.org/book.asp?604561","קובץ תורת הבאר")</f>
        <v>קובץ תורת הבאר</v>
      </c>
    </row>
    <row r="35594" spans="1:6" x14ac:dyDescent="0.2">
      <c r="A35594" t="s">
        <v>55105</v>
      </c>
      <c r="B35594" t="s">
        <v>55106</v>
      </c>
      <c r="C35594" t="s">
        <v>151</v>
      </c>
      <c r="D35594" t="s">
        <v>14</v>
      </c>
      <c r="F35594" s="2" t="str">
        <f>HYPERLINK("http://www.otzar.org/book.asp?621130","קובץ תורת הבית")</f>
        <v>קובץ תורת הבית</v>
      </c>
    </row>
    <row r="35595" spans="1:6" x14ac:dyDescent="0.2">
      <c r="A35595" t="s">
        <v>55105</v>
      </c>
      <c r="B35595" t="s">
        <v>55107</v>
      </c>
      <c r="C35595" t="s">
        <v>523</v>
      </c>
      <c r="D35595" t="s">
        <v>14</v>
      </c>
      <c r="E35595" t="s">
        <v>202</v>
      </c>
      <c r="F35595" s="2" t="str">
        <f>HYPERLINK("http://www.otzar.org/book.asp?169204","קובץ תורת הבית")</f>
        <v>קובץ תורת הבית</v>
      </c>
    </row>
    <row r="35596" spans="1:6" x14ac:dyDescent="0.2">
      <c r="A35596" t="s">
        <v>55108</v>
      </c>
      <c r="B35596" t="s">
        <v>42577</v>
      </c>
      <c r="C35596" t="s">
        <v>151</v>
      </c>
      <c r="D35596" t="s">
        <v>152</v>
      </c>
      <c r="E35596" t="s">
        <v>130</v>
      </c>
      <c r="F35596" s="2" t="str">
        <f>HYPERLINK("http://www.otzar.org/book.asp?629220","קובץ תורת ההזכרות - ב")</f>
        <v>קובץ תורת ההזכרות - ב</v>
      </c>
    </row>
    <row r="35597" spans="1:6" x14ac:dyDescent="0.2">
      <c r="A35597" t="s">
        <v>55109</v>
      </c>
      <c r="B35597" t="s">
        <v>55110</v>
      </c>
      <c r="C35597" t="s">
        <v>411</v>
      </c>
      <c r="D35597" t="s">
        <v>90</v>
      </c>
      <c r="E35597" t="s">
        <v>202</v>
      </c>
      <c r="F35597" s="2" t="str">
        <f>HYPERLINK("http://www.otzar.org/book.asp?194231","קובץ תורת החיים")</f>
        <v>קובץ תורת החיים</v>
      </c>
    </row>
    <row r="35598" spans="1:6" x14ac:dyDescent="0.2">
      <c r="A35598" t="s">
        <v>55111</v>
      </c>
      <c r="B35598" t="s">
        <v>55112</v>
      </c>
      <c r="C35598" t="s">
        <v>176</v>
      </c>
      <c r="D35598" t="s">
        <v>21</v>
      </c>
      <c r="F35598" s="2" t="str">
        <f>HYPERLINK("http://www.otzar.org/book.asp?615346","קובץ תורת הכרם")</f>
        <v>קובץ תורת הכרם</v>
      </c>
    </row>
    <row r="35599" spans="1:6" x14ac:dyDescent="0.2">
      <c r="A35599" t="s">
        <v>55113</v>
      </c>
      <c r="B35599" t="s">
        <v>55114</v>
      </c>
      <c r="C35599" t="s">
        <v>422</v>
      </c>
      <c r="D35599" t="s">
        <v>14</v>
      </c>
      <c r="E35599" t="s">
        <v>104</v>
      </c>
      <c r="F35599" s="2" t="str">
        <f>HYPERLINK("http://www.otzar.org/book.asp?156910","קובץ תורת הספיקות")</f>
        <v>קובץ תורת הספיקות</v>
      </c>
    </row>
    <row r="35600" spans="1:6" x14ac:dyDescent="0.2">
      <c r="A35600" t="s">
        <v>55115</v>
      </c>
      <c r="B35600" t="s">
        <v>2872</v>
      </c>
      <c r="C35600" t="s">
        <v>151</v>
      </c>
      <c r="D35600" t="s">
        <v>52</v>
      </c>
      <c r="E35600" t="s">
        <v>8913</v>
      </c>
      <c r="F35600" s="2" t="str">
        <f>HYPERLINK("http://www.otzar.org/book.asp?628507","קובץ תורת הקורבנות - מסכת מנחות")</f>
        <v>קובץ תורת הקורבנות - מסכת מנחות</v>
      </c>
    </row>
    <row r="35601" spans="1:6" x14ac:dyDescent="0.2">
      <c r="A35601" t="s">
        <v>55116</v>
      </c>
      <c r="B35601" t="s">
        <v>2872</v>
      </c>
      <c r="C35601" t="s">
        <v>133</v>
      </c>
      <c r="D35601" t="s">
        <v>52</v>
      </c>
      <c r="F35601" s="2" t="str">
        <f>HYPERLINK("http://www.otzar.org/book.asp?602106","קובץ תורת הקרבנות - 6 כר'")</f>
        <v>קובץ תורת הקרבנות - 6 כר'</v>
      </c>
    </row>
    <row r="35602" spans="1:6" x14ac:dyDescent="0.2">
      <c r="A35602" t="s">
        <v>55117</v>
      </c>
      <c r="B35602" t="s">
        <v>54917</v>
      </c>
      <c r="C35602" t="s">
        <v>37</v>
      </c>
      <c r="D35602" t="s">
        <v>14</v>
      </c>
      <c r="E35602" t="s">
        <v>202</v>
      </c>
      <c r="F35602" s="2" t="str">
        <f>HYPERLINK("http://www.otzar.org/book.asp?623715","קובץ תורת חיים")</f>
        <v>קובץ תורת חיים</v>
      </c>
    </row>
    <row r="35603" spans="1:6" x14ac:dyDescent="0.2">
      <c r="A35603" t="s">
        <v>55118</v>
      </c>
      <c r="B35603" t="s">
        <v>55119</v>
      </c>
      <c r="F35603" s="2" t="str">
        <f>HYPERLINK("http://www.otzar.org/book.asp?619033","קובץ תורת חיים - עירובין")</f>
        <v>קובץ תורת חיים - עירובין</v>
      </c>
    </row>
    <row r="35604" spans="1:6" x14ac:dyDescent="0.2">
      <c r="A35604" t="s">
        <v>55120</v>
      </c>
      <c r="B35604" t="s">
        <v>53844</v>
      </c>
      <c r="C35604" t="s">
        <v>37</v>
      </c>
      <c r="D35604" t="s">
        <v>21</v>
      </c>
      <c r="E35604" t="s">
        <v>202</v>
      </c>
      <c r="F35604" s="2" t="str">
        <f>HYPERLINK("http://www.otzar.org/book.asp?195948","קובץ תורת משה")</f>
        <v>קובץ תורת משה</v>
      </c>
    </row>
    <row r="35605" spans="1:6" x14ac:dyDescent="0.2">
      <c r="A35605" t="s">
        <v>55121</v>
      </c>
      <c r="B35605" t="s">
        <v>55122</v>
      </c>
      <c r="C35605" t="s">
        <v>176</v>
      </c>
      <c r="D35605" t="s">
        <v>216</v>
      </c>
      <c r="F35605" s="2" t="str">
        <f>HYPERLINK("http://www.otzar.org/book.asp?156938","קובץ תורת משה - א")</f>
        <v>קובץ תורת משה - א</v>
      </c>
    </row>
    <row r="35606" spans="1:6" x14ac:dyDescent="0.2">
      <c r="A35606" t="s">
        <v>55123</v>
      </c>
      <c r="B35606" t="s">
        <v>55124</v>
      </c>
      <c r="C35606" t="s">
        <v>244</v>
      </c>
      <c r="D35606" t="s">
        <v>14</v>
      </c>
      <c r="F35606" s="2" t="str">
        <f>HYPERLINK("http://www.otzar.org/book.asp?616821","קובץ תורת נתנאל - ב")</f>
        <v>קובץ תורת נתנאל - ב</v>
      </c>
    </row>
    <row r="35607" spans="1:6" x14ac:dyDescent="0.2">
      <c r="A35607" t="s">
        <v>55125</v>
      </c>
      <c r="B35607" t="s">
        <v>55126</v>
      </c>
      <c r="C35607" t="s">
        <v>111</v>
      </c>
      <c r="D35607" t="s">
        <v>90</v>
      </c>
      <c r="E35607" t="s">
        <v>202</v>
      </c>
      <c r="F35607" s="2" t="str">
        <f>HYPERLINK("http://www.otzar.org/book.asp?629687","קובץ תורת ציון - א")</f>
        <v>קובץ תורת ציון - א</v>
      </c>
    </row>
    <row r="35608" spans="1:6" x14ac:dyDescent="0.2">
      <c r="A35608" t="s">
        <v>55127</v>
      </c>
      <c r="B35608" t="s">
        <v>2663</v>
      </c>
      <c r="C35608" t="s">
        <v>37</v>
      </c>
      <c r="D35608" t="s">
        <v>21</v>
      </c>
      <c r="E35608" t="s">
        <v>202</v>
      </c>
      <c r="F35608" s="2" t="str">
        <f>HYPERLINK("http://www.otzar.org/book.asp?196382","קובץ תורת רפאל")</f>
        <v>קובץ תורת רפאל</v>
      </c>
    </row>
    <row r="35609" spans="1:6" x14ac:dyDescent="0.2">
      <c r="A35609" t="s">
        <v>55128</v>
      </c>
      <c r="B35609" t="s">
        <v>54165</v>
      </c>
      <c r="C35609" t="s">
        <v>17</v>
      </c>
      <c r="D35609" t="s">
        <v>14</v>
      </c>
      <c r="E35609" t="s">
        <v>186</v>
      </c>
      <c r="F35609" s="2" t="str">
        <f>HYPERLINK("http://www.otzar.org/book.asp?157587","קובץ תלמודו בידו - כתובות")</f>
        <v>קובץ תלמודו בידו - כתובות</v>
      </c>
    </row>
    <row r="35610" spans="1:6" x14ac:dyDescent="0.2">
      <c r="A35610" t="s">
        <v>55129</v>
      </c>
      <c r="B35610" t="s">
        <v>55130</v>
      </c>
      <c r="C35610" t="s">
        <v>23</v>
      </c>
      <c r="D35610" t="s">
        <v>14</v>
      </c>
      <c r="E35610" t="s">
        <v>144</v>
      </c>
      <c r="F35610" s="2" t="str">
        <f>HYPERLINK("http://www.otzar.org/book.asp?631110","קובץ תמצית הדף - עירובין")</f>
        <v>קובץ תמצית הדף - עירובין</v>
      </c>
    </row>
    <row r="35611" spans="1:6" x14ac:dyDescent="0.2">
      <c r="A35611" t="s">
        <v>55131</v>
      </c>
      <c r="B35611" t="s">
        <v>55132</v>
      </c>
      <c r="C35611" t="s">
        <v>244</v>
      </c>
      <c r="D35611" t="s">
        <v>90</v>
      </c>
      <c r="F35611" s="2" t="str">
        <f>HYPERLINK("http://www.otzar.org/book.asp?198724","קובץ תני דבי אליהו")</f>
        <v>קובץ תני דבי אליהו</v>
      </c>
    </row>
    <row r="35612" spans="1:6" x14ac:dyDescent="0.2">
      <c r="A35612" t="s">
        <v>55133</v>
      </c>
      <c r="B35612" t="s">
        <v>1750</v>
      </c>
      <c r="C35612" t="s">
        <v>20</v>
      </c>
      <c r="D35612" t="s">
        <v>152</v>
      </c>
      <c r="F35612" s="2" t="str">
        <f>HYPERLINK("http://www.otzar.org/book.asp?197305","קובץ תעלץ קריה - חנוכה")</f>
        <v>קובץ תעלץ קריה - חנוכה</v>
      </c>
    </row>
    <row r="35613" spans="1:6" x14ac:dyDescent="0.2">
      <c r="A35613" t="s">
        <v>55133</v>
      </c>
      <c r="B35613" t="s">
        <v>55134</v>
      </c>
      <c r="C35613" t="s">
        <v>37</v>
      </c>
      <c r="D35613" t="s">
        <v>152</v>
      </c>
      <c r="E35613" t="s">
        <v>4022</v>
      </c>
      <c r="F35613" s="2" t="str">
        <f>HYPERLINK("http://www.otzar.org/book.asp?195947","קובץ תעלץ קריה - חנוכה")</f>
        <v>קובץ תעלץ קריה - חנוכה</v>
      </c>
    </row>
    <row r="35614" spans="1:6" x14ac:dyDescent="0.2">
      <c r="A35614" t="s">
        <v>55135</v>
      </c>
      <c r="B35614" t="s">
        <v>55136</v>
      </c>
      <c r="C35614" t="s">
        <v>189</v>
      </c>
      <c r="D35614" t="s">
        <v>14</v>
      </c>
      <c r="E35614" t="s">
        <v>186</v>
      </c>
      <c r="F35614" s="2" t="str">
        <f>HYPERLINK("http://www.otzar.org/book.asp?163755","קובץ תפארת בחורים - ברכות")</f>
        <v>קובץ תפארת בחורים - ברכות</v>
      </c>
    </row>
    <row r="35615" spans="1:6" x14ac:dyDescent="0.2">
      <c r="A35615" t="s">
        <v>55137</v>
      </c>
      <c r="B35615" t="s">
        <v>55138</v>
      </c>
      <c r="C35615" t="s">
        <v>68</v>
      </c>
      <c r="D35615" t="s">
        <v>14</v>
      </c>
      <c r="E35615" t="s">
        <v>2338</v>
      </c>
      <c r="F35615" s="2" t="str">
        <f>HYPERLINK("http://www.otzar.org/book.asp?163745","קובץ תפארת בחורים - 2 כר'")</f>
        <v>קובץ תפארת בחורים - 2 כר'</v>
      </c>
    </row>
    <row r="35616" spans="1:6" x14ac:dyDescent="0.2">
      <c r="A35616" t="s">
        <v>55139</v>
      </c>
      <c r="B35616" t="s">
        <v>54765</v>
      </c>
      <c r="C35616" t="s">
        <v>68</v>
      </c>
      <c r="D35616" t="s">
        <v>216</v>
      </c>
      <c r="E35616" t="s">
        <v>202</v>
      </c>
      <c r="F35616" s="2" t="str">
        <f>HYPERLINK("http://www.otzar.org/book.asp?176520","קובץ תפארת בחורים")</f>
        <v>קובץ תפארת בחורים</v>
      </c>
    </row>
    <row r="35617" spans="1:6" x14ac:dyDescent="0.2">
      <c r="A35617" t="s">
        <v>55140</v>
      </c>
      <c r="B35617" t="s">
        <v>55141</v>
      </c>
      <c r="C35617" t="s">
        <v>23</v>
      </c>
      <c r="D35617" t="s">
        <v>52</v>
      </c>
      <c r="E35617" t="s">
        <v>1174</v>
      </c>
      <c r="F35617" s="2" t="str">
        <f>HYPERLINK("http://www.otzar.org/book.asp?607051","קובץ תפארת השבת - 3 כר'")</f>
        <v>קובץ תפארת השבת - 3 כר'</v>
      </c>
    </row>
    <row r="35618" spans="1:6" x14ac:dyDescent="0.2">
      <c r="A35618" t="s">
        <v>55142</v>
      </c>
      <c r="B35618" t="s">
        <v>55141</v>
      </c>
      <c r="C35618" t="s">
        <v>68</v>
      </c>
      <c r="D35618" t="s">
        <v>52</v>
      </c>
      <c r="E35618" t="s">
        <v>1174</v>
      </c>
      <c r="F35618" s="2" t="str">
        <f>HYPERLINK("http://www.otzar.org/book.asp?607052","קובץ תפארת השמחה - 2 כר'")</f>
        <v>קובץ תפארת השמחה - 2 כר'</v>
      </c>
    </row>
    <row r="35619" spans="1:6" x14ac:dyDescent="0.2">
      <c r="A35619" t="s">
        <v>55143</v>
      </c>
      <c r="B35619" t="s">
        <v>55144</v>
      </c>
      <c r="C35619" t="s">
        <v>176</v>
      </c>
      <c r="D35619" t="s">
        <v>14</v>
      </c>
      <c r="E35619" t="s">
        <v>202</v>
      </c>
      <c r="F35619" s="2" t="str">
        <f>HYPERLINK("http://www.otzar.org/book.asp?627834","קובץ תפארת התלמוד")</f>
        <v>קובץ תפארת התלמוד</v>
      </c>
    </row>
    <row r="35620" spans="1:6" x14ac:dyDescent="0.2">
      <c r="A35620" t="s">
        <v>55145</v>
      </c>
      <c r="B35620" t="s">
        <v>55146</v>
      </c>
      <c r="C35620" t="s">
        <v>411</v>
      </c>
      <c r="D35620" t="s">
        <v>412</v>
      </c>
      <c r="E35620" t="s">
        <v>202</v>
      </c>
      <c r="F35620" s="2" t="str">
        <f>HYPERLINK("http://www.otzar.org/book.asp?179257","קובץ תפארת למשה - 2 כר'")</f>
        <v>קובץ תפארת למשה - 2 כר'</v>
      </c>
    </row>
    <row r="35621" spans="1:6" x14ac:dyDescent="0.2">
      <c r="A35621" t="s">
        <v>55147</v>
      </c>
      <c r="B35621" t="s">
        <v>7351</v>
      </c>
      <c r="C35621" t="s">
        <v>151</v>
      </c>
      <c r="D35621" t="s">
        <v>245</v>
      </c>
      <c r="E35621" t="s">
        <v>202</v>
      </c>
      <c r="F35621" s="2" t="str">
        <f>HYPERLINK("http://www.otzar.org/book.asp?623379","קובץ תפארת מרדכי")</f>
        <v>קובץ תפארת מרדכי</v>
      </c>
    </row>
    <row r="35622" spans="1:6" x14ac:dyDescent="0.2">
      <c r="A35622" t="s">
        <v>55148</v>
      </c>
      <c r="B35622" t="s">
        <v>53844</v>
      </c>
      <c r="C35622" t="s">
        <v>13</v>
      </c>
      <c r="D35622" t="s">
        <v>14</v>
      </c>
      <c r="E35622" t="s">
        <v>186</v>
      </c>
      <c r="F35622" s="2" t="str">
        <f>HYPERLINK("http://www.otzar.org/book.asp?167986","קובץ תפארת צבי - 5 כר'")</f>
        <v>קובץ תפארת צבי - 5 כר'</v>
      </c>
    </row>
    <row r="35623" spans="1:6" x14ac:dyDescent="0.2">
      <c r="A35623" t="s">
        <v>55149</v>
      </c>
      <c r="B35623" t="s">
        <v>55150</v>
      </c>
      <c r="C35623" t="s">
        <v>454</v>
      </c>
      <c r="D35623" t="s">
        <v>412</v>
      </c>
      <c r="F35623" s="2" t="str">
        <f>HYPERLINK("http://www.otzar.org/book.asp?615280","קובץ תפארת שבתפארת - 2 כר'")</f>
        <v>קובץ תפארת שבתפארת - 2 כר'</v>
      </c>
    </row>
    <row r="35624" spans="1:6" x14ac:dyDescent="0.2">
      <c r="A35624" t="s">
        <v>55151</v>
      </c>
      <c r="B35624" t="s">
        <v>48894</v>
      </c>
      <c r="C35624" t="s">
        <v>422</v>
      </c>
      <c r="D35624" t="s">
        <v>52</v>
      </c>
      <c r="E35624" t="s">
        <v>202</v>
      </c>
      <c r="F35624" s="2" t="str">
        <f>HYPERLINK("http://www.otzar.org/book.asp?85507","קובץ תפארת שלמה - א")</f>
        <v>קובץ תפארת שלמה - א</v>
      </c>
    </row>
    <row r="35625" spans="1:6" x14ac:dyDescent="0.2">
      <c r="A35625" t="s">
        <v>55152</v>
      </c>
      <c r="B35625" t="s">
        <v>55153</v>
      </c>
      <c r="C35625" t="s">
        <v>244</v>
      </c>
      <c r="D35625" t="s">
        <v>412</v>
      </c>
      <c r="E35625" t="s">
        <v>202</v>
      </c>
      <c r="F35625" s="2" t="str">
        <f>HYPERLINK("http://www.otzar.org/book.asp?195995","קובץ תפארת שמואל - 2 כר'")</f>
        <v>קובץ תפארת שמואל - 2 כר'</v>
      </c>
    </row>
    <row r="35626" spans="1:6" x14ac:dyDescent="0.2">
      <c r="A35626" t="s">
        <v>55154</v>
      </c>
      <c r="B35626" t="s">
        <v>55155</v>
      </c>
      <c r="C35626" t="s">
        <v>989</v>
      </c>
      <c r="D35626" t="s">
        <v>1356</v>
      </c>
      <c r="E35626" t="s">
        <v>219</v>
      </c>
      <c r="F35626" s="2" t="str">
        <f>HYPERLINK("http://www.otzar.org/book.asp?195774","קובץ תפלות לגחש""א")</f>
        <v>קובץ תפלות לגחש"א</v>
      </c>
    </row>
    <row r="35627" spans="1:6" x14ac:dyDescent="0.2">
      <c r="A35627" t="s">
        <v>55156</v>
      </c>
      <c r="F35627" s="2" t="str">
        <f>HYPERLINK("http://www.otzar.org/book.asp?622420","קובץ תשובות בענייני שיעורים")</f>
        <v>קובץ תשובות בענייני שיעורים</v>
      </c>
    </row>
    <row r="35628" spans="1:6" x14ac:dyDescent="0.2">
      <c r="A35628" t="s">
        <v>55157</v>
      </c>
      <c r="B35628" t="s">
        <v>1320</v>
      </c>
      <c r="C35628" t="s">
        <v>1036</v>
      </c>
      <c r="D35628" t="s">
        <v>1037</v>
      </c>
      <c r="E35628" t="s">
        <v>38986</v>
      </c>
      <c r="F35628" s="2" t="str">
        <f>HYPERLINK("http://www.otzar.org/book.asp?105936","קובץ תשובות הרמב""ם ואגרותיו")</f>
        <v>קובץ תשובות הרמב"ם ואגרותיו</v>
      </c>
    </row>
    <row r="35629" spans="1:6" x14ac:dyDescent="0.2">
      <c r="A35629" t="s">
        <v>55158</v>
      </c>
      <c r="B35629" t="s">
        <v>9179</v>
      </c>
      <c r="C35629" t="s">
        <v>133</v>
      </c>
      <c r="D35629" t="s">
        <v>52</v>
      </c>
      <c r="F35629" s="2" t="str">
        <f>HYPERLINK("http://www.otzar.org/book.asp?620425","קובץ תשובות תורה יבקשו מפיהו - תשובות הגר""ח קנייבסקי")</f>
        <v>קובץ תשובות תורה יבקשו מפיהו - תשובות הגר"ח קנייבסקי</v>
      </c>
    </row>
    <row r="35630" spans="1:6" x14ac:dyDescent="0.2">
      <c r="A35630" t="s">
        <v>55159</v>
      </c>
      <c r="B35630" t="s">
        <v>14293</v>
      </c>
      <c r="C35630" t="s">
        <v>313</v>
      </c>
      <c r="D35630" t="s">
        <v>14</v>
      </c>
      <c r="E35630" t="s">
        <v>10</v>
      </c>
      <c r="F35630" s="2" t="str">
        <f>HYPERLINK("http://www.otzar.org/book.asp?60047","קובץ תשובות - 5 כר'")</f>
        <v>קובץ תשובות - 5 כר'</v>
      </c>
    </row>
    <row r="35631" spans="1:6" x14ac:dyDescent="0.2">
      <c r="A35631" t="s">
        <v>55160</v>
      </c>
      <c r="B35631" t="s">
        <v>489</v>
      </c>
      <c r="C35631" t="s">
        <v>114</v>
      </c>
      <c r="D35631" t="s">
        <v>486</v>
      </c>
      <c r="E35631" t="s">
        <v>4163</v>
      </c>
      <c r="F35631" s="2" t="str">
        <f>HYPERLINK("http://www.otzar.org/book.asp?162065","קובץ - 4 כר'")</f>
        <v>קובץ - 4 כר'</v>
      </c>
    </row>
    <row r="35632" spans="1:6" x14ac:dyDescent="0.2">
      <c r="A35632" t="s">
        <v>55161</v>
      </c>
      <c r="B35632" t="s">
        <v>55162</v>
      </c>
      <c r="C35632" t="s">
        <v>143</v>
      </c>
      <c r="D35632" t="s">
        <v>14</v>
      </c>
      <c r="E35632" t="s">
        <v>119</v>
      </c>
      <c r="F35632" s="2" t="str">
        <f>HYPERLINK("http://www.otzar.org/book.asp?159273","קודש הילולים לה'")</f>
        <v>קודש הילולים לה'</v>
      </c>
    </row>
    <row r="35633" spans="1:6" x14ac:dyDescent="0.2">
      <c r="A35633" t="s">
        <v>41035</v>
      </c>
      <c r="B35633" t="s">
        <v>1016</v>
      </c>
      <c r="C35633" t="s">
        <v>454</v>
      </c>
      <c r="D35633" t="s">
        <v>486</v>
      </c>
      <c r="E35633" t="s">
        <v>158</v>
      </c>
      <c r="F35633" s="2" t="str">
        <f>HYPERLINK("http://www.otzar.org/book.asp?155344","קודש הילולים")</f>
        <v>קודש הילולים</v>
      </c>
    </row>
    <row r="35634" spans="1:6" x14ac:dyDescent="0.2">
      <c r="A35634" t="s">
        <v>55163</v>
      </c>
      <c r="B35634" t="s">
        <v>55164</v>
      </c>
      <c r="C35634" t="s">
        <v>68</v>
      </c>
      <c r="D35634" t="s">
        <v>14</v>
      </c>
      <c r="E35634" t="s">
        <v>2091</v>
      </c>
      <c r="F35634" s="2" t="str">
        <f>HYPERLINK("http://www.otzar.org/book.asp?170817","קודש הילולים - ערלה ונטע רבעי")</f>
        <v>קודש הילולים - ערלה ונטע רבעי</v>
      </c>
    </row>
    <row r="35635" spans="1:6" x14ac:dyDescent="0.2">
      <c r="A35635" t="s">
        <v>55165</v>
      </c>
      <c r="B35635" t="s">
        <v>55166</v>
      </c>
      <c r="C35635" t="s">
        <v>767</v>
      </c>
      <c r="D35635" t="s">
        <v>14</v>
      </c>
      <c r="E35635" t="s">
        <v>158</v>
      </c>
      <c r="F35635" s="2" t="str">
        <f>HYPERLINK("http://www.otzar.org/book.asp?165278","קודש הילולים - תהילים")</f>
        <v>קודש הילולים - תהילים</v>
      </c>
    </row>
    <row r="35636" spans="1:6" x14ac:dyDescent="0.2">
      <c r="A35636" t="s">
        <v>55167</v>
      </c>
      <c r="B35636" t="s">
        <v>686</v>
      </c>
      <c r="C35636" t="s">
        <v>13</v>
      </c>
      <c r="D35636" t="s">
        <v>52</v>
      </c>
      <c r="E35636" t="s">
        <v>1262</v>
      </c>
      <c r="F35636" s="2" t="str">
        <f>HYPERLINK("http://www.otzar.org/book.asp?60629","קודש הלולים")</f>
        <v>קודש הלולים</v>
      </c>
    </row>
    <row r="35637" spans="1:6" x14ac:dyDescent="0.2">
      <c r="A35637" t="s">
        <v>55167</v>
      </c>
      <c r="B35637" t="s">
        <v>1791</v>
      </c>
      <c r="C35637" t="s">
        <v>237</v>
      </c>
      <c r="D35637" t="s">
        <v>9</v>
      </c>
      <c r="E35637" t="s">
        <v>226</v>
      </c>
      <c r="F35637" s="2" t="str">
        <f>HYPERLINK("http://www.otzar.org/book.asp?586","קודש הלולים")</f>
        <v>קודש הלולים</v>
      </c>
    </row>
    <row r="35638" spans="1:6" x14ac:dyDescent="0.2">
      <c r="A35638" t="s">
        <v>55168</v>
      </c>
      <c r="B35638" t="s">
        <v>22610</v>
      </c>
      <c r="C35638" t="s">
        <v>950</v>
      </c>
      <c r="D35638" t="s">
        <v>1279</v>
      </c>
      <c r="E35638" t="s">
        <v>140</v>
      </c>
      <c r="F35638" s="2" t="str">
        <f>HYPERLINK("http://www.otzar.org/book.asp?5169","קודש הלולים - 2 כר'")</f>
        <v>קודש הלולים - 2 כר'</v>
      </c>
    </row>
    <row r="35639" spans="1:6" x14ac:dyDescent="0.2">
      <c r="A35639" t="s">
        <v>55167</v>
      </c>
      <c r="B35639" t="s">
        <v>55169</v>
      </c>
      <c r="C35639" t="s">
        <v>624</v>
      </c>
      <c r="D35639" t="s">
        <v>21</v>
      </c>
      <c r="E35639" t="s">
        <v>803</v>
      </c>
      <c r="F35639" s="2" t="str">
        <f>HYPERLINK("http://www.otzar.org/book.asp?600391","קודש הלולים")</f>
        <v>קודש הלולים</v>
      </c>
    </row>
    <row r="35640" spans="1:6" x14ac:dyDescent="0.2">
      <c r="A35640" t="s">
        <v>55167</v>
      </c>
      <c r="B35640" t="s">
        <v>55170</v>
      </c>
      <c r="C35640" t="s">
        <v>919</v>
      </c>
      <c r="D35640" t="s">
        <v>14</v>
      </c>
      <c r="E35640" t="s">
        <v>55171</v>
      </c>
      <c r="F35640" s="2" t="str">
        <f>HYPERLINK("http://www.otzar.org/book.asp?151715","קודש הלולים")</f>
        <v>קודש הלולים</v>
      </c>
    </row>
    <row r="35641" spans="1:6" x14ac:dyDescent="0.2">
      <c r="A35641" t="s">
        <v>55172</v>
      </c>
      <c r="B35641" t="s">
        <v>12033</v>
      </c>
      <c r="C35641" t="s">
        <v>1246</v>
      </c>
      <c r="D35641" t="s">
        <v>14283</v>
      </c>
      <c r="E35641" t="s">
        <v>15</v>
      </c>
      <c r="F35641" s="2" t="str">
        <f>HYPERLINK("http://www.otzar.org/book.asp?7072","קודש ישראל - 2 כר'")</f>
        <v>קודש ישראל - 2 כר'</v>
      </c>
    </row>
    <row r="35642" spans="1:6" x14ac:dyDescent="0.2">
      <c r="A35642" t="s">
        <v>55173</v>
      </c>
      <c r="B35642" t="s">
        <v>55174</v>
      </c>
      <c r="C35642" t="s">
        <v>114</v>
      </c>
      <c r="D35642" t="s">
        <v>52</v>
      </c>
      <c r="F35642" s="2" t="str">
        <f>HYPERLINK("http://www.otzar.org/book.asp?169582","קודש ישראל")</f>
        <v>קודש ישראל</v>
      </c>
    </row>
    <row r="35643" spans="1:6" x14ac:dyDescent="0.2">
      <c r="A35643" t="s">
        <v>55175</v>
      </c>
      <c r="B35643" t="s">
        <v>28085</v>
      </c>
      <c r="C35643" t="s">
        <v>17</v>
      </c>
      <c r="D35643" t="s">
        <v>14</v>
      </c>
      <c r="E35643" t="s">
        <v>241</v>
      </c>
      <c r="F35643" s="2" t="str">
        <f>HYPERLINK("http://www.otzar.org/book.asp?22669","קוה אל ה' - מצוות אמונה ובטחון")</f>
        <v>קוה אל ה' - מצוות אמונה ובטחון</v>
      </c>
    </row>
    <row r="35644" spans="1:6" x14ac:dyDescent="0.2">
      <c r="A35644" t="s">
        <v>55176</v>
      </c>
      <c r="B35644" t="s">
        <v>55177</v>
      </c>
      <c r="C35644" t="s">
        <v>20</v>
      </c>
      <c r="D35644" t="s">
        <v>152</v>
      </c>
      <c r="E35644" t="s">
        <v>241</v>
      </c>
      <c r="F35644" s="2" t="str">
        <f>HYPERLINK("http://www.otzar.org/book.asp?85506","קוה אל ה'")</f>
        <v>קוה אל ה'</v>
      </c>
    </row>
    <row r="35645" spans="1:6" x14ac:dyDescent="0.2">
      <c r="A35645" t="s">
        <v>55178</v>
      </c>
      <c r="B35645" t="s">
        <v>55179</v>
      </c>
      <c r="C35645" t="s">
        <v>87</v>
      </c>
      <c r="D35645" t="s">
        <v>14</v>
      </c>
      <c r="E35645" t="s">
        <v>246</v>
      </c>
      <c r="F35645" s="2" t="str">
        <f>HYPERLINK("http://www.otzar.org/book.asp?624597","קוטנרס שביבי אור - שבועות")</f>
        <v>קוטנרס שביבי אור - שבועות</v>
      </c>
    </row>
    <row r="35646" spans="1:6" x14ac:dyDescent="0.2">
      <c r="A35646" t="s">
        <v>55180</v>
      </c>
      <c r="B35646" t="s">
        <v>3759</v>
      </c>
      <c r="C35646" t="s">
        <v>1650</v>
      </c>
      <c r="D35646" t="s">
        <v>1279</v>
      </c>
      <c r="E35646" t="s">
        <v>4738</v>
      </c>
      <c r="F35646" s="2" t="str">
        <f>HYPERLINK("http://www.otzar.org/book.asp?20600","קוי אור")</f>
        <v>קוי אור</v>
      </c>
    </row>
    <row r="35647" spans="1:6" x14ac:dyDescent="0.2">
      <c r="A35647" t="s">
        <v>55181</v>
      </c>
      <c r="B35647" t="s">
        <v>55182</v>
      </c>
      <c r="C35647" t="s">
        <v>576</v>
      </c>
      <c r="D35647" t="s">
        <v>12052</v>
      </c>
      <c r="E35647" t="s">
        <v>84</v>
      </c>
      <c r="F35647" s="2" t="str">
        <f>HYPERLINK("http://www.otzar.org/book.asp?28416","קול אבות")</f>
        <v>קול אבות</v>
      </c>
    </row>
    <row r="35648" spans="1:6" x14ac:dyDescent="0.2">
      <c r="A35648" t="s">
        <v>55183</v>
      </c>
      <c r="B35648" t="s">
        <v>55184</v>
      </c>
      <c r="C35648" t="s">
        <v>133</v>
      </c>
      <c r="D35648" t="s">
        <v>14</v>
      </c>
      <c r="E35648" t="s">
        <v>130</v>
      </c>
      <c r="F35648" s="2" t="str">
        <f>HYPERLINK("http://www.otzar.org/book.asp?170032","קול אברהם - 3 כר'")</f>
        <v>קול אברהם - 3 כר'</v>
      </c>
    </row>
    <row r="35649" spans="1:6" x14ac:dyDescent="0.2">
      <c r="A35649" t="s">
        <v>55185</v>
      </c>
      <c r="B35649" t="s">
        <v>12079</v>
      </c>
      <c r="C35649" t="s">
        <v>143</v>
      </c>
      <c r="D35649" t="s">
        <v>14</v>
      </c>
      <c r="E35649" t="s">
        <v>380</v>
      </c>
      <c r="F35649" s="2" t="str">
        <f>HYPERLINK("http://www.otzar.org/book.asp?6816","קול אברך - א")</f>
        <v>קול אברך - א</v>
      </c>
    </row>
    <row r="35650" spans="1:6" x14ac:dyDescent="0.2">
      <c r="A35650" t="s">
        <v>55186</v>
      </c>
      <c r="B35650" t="s">
        <v>20990</v>
      </c>
      <c r="C35650" t="s">
        <v>547</v>
      </c>
      <c r="D35650" t="s">
        <v>55187</v>
      </c>
      <c r="E35650" t="s">
        <v>583</v>
      </c>
      <c r="F35650" s="2" t="str">
        <f>HYPERLINK("http://www.otzar.org/book.asp?10645","קול אומר קרא")</f>
        <v>קול אומר קרא</v>
      </c>
    </row>
    <row r="35651" spans="1:6" x14ac:dyDescent="0.2">
      <c r="A35651" t="s">
        <v>55188</v>
      </c>
      <c r="B35651" t="s">
        <v>27421</v>
      </c>
      <c r="C35651" t="s">
        <v>1166</v>
      </c>
      <c r="D35651" t="s">
        <v>56</v>
      </c>
      <c r="E35651" t="s">
        <v>474</v>
      </c>
      <c r="F35651" s="2" t="str">
        <f>HYPERLINK("http://www.otzar.org/book.asp?12900","קול אומר קרא - 6 כר'")</f>
        <v>קול אומר קרא - 6 כר'</v>
      </c>
    </row>
    <row r="35652" spans="1:6" x14ac:dyDescent="0.2">
      <c r="A35652" t="s">
        <v>55189</v>
      </c>
      <c r="B35652" t="s">
        <v>4118</v>
      </c>
      <c r="C35652" t="s">
        <v>13</v>
      </c>
      <c r="D35652" t="s">
        <v>52</v>
      </c>
      <c r="E35652" t="s">
        <v>4674</v>
      </c>
      <c r="F35652" s="2" t="str">
        <f>HYPERLINK("http://www.otzar.org/book.asp?62853","קול אלול יום הדין")</f>
        <v>קול אלול יום הדין</v>
      </c>
    </row>
    <row r="35653" spans="1:6" x14ac:dyDescent="0.2">
      <c r="A35653" t="s">
        <v>55190</v>
      </c>
      <c r="B35653" t="s">
        <v>1821</v>
      </c>
      <c r="C35653" t="s">
        <v>1228</v>
      </c>
      <c r="D35653" t="s">
        <v>225</v>
      </c>
      <c r="E35653" t="s">
        <v>586</v>
      </c>
      <c r="F35653" s="2" t="str">
        <f>HYPERLINK("http://www.otzar.org/book.asp?6599","קול אליהו")</f>
        <v>קול אליהו</v>
      </c>
    </row>
    <row r="35654" spans="1:6" x14ac:dyDescent="0.2">
      <c r="A35654" t="s">
        <v>55191</v>
      </c>
      <c r="B35654" t="s">
        <v>55192</v>
      </c>
      <c r="C35654" t="s">
        <v>366</v>
      </c>
      <c r="D35654" t="s">
        <v>14</v>
      </c>
      <c r="F35654" s="2" t="str">
        <f>HYPERLINK("http://www.otzar.org/book.asp?620415","קול אליהו-תפילות והלכות בית העלמין תיקון נפטרים")</f>
        <v>קול אליהו-תפילות והלכות בית העלמין תיקון נפטרים</v>
      </c>
    </row>
    <row r="35655" spans="1:6" x14ac:dyDescent="0.2">
      <c r="A35655" t="s">
        <v>55193</v>
      </c>
      <c r="B35655" t="s">
        <v>1845</v>
      </c>
      <c r="C35655" t="s">
        <v>55194</v>
      </c>
      <c r="D35655" t="s">
        <v>212</v>
      </c>
      <c r="E35655" t="s">
        <v>154</v>
      </c>
      <c r="F35655" s="2" t="str">
        <f>HYPERLINK("http://www.otzar.org/book.asp?762","קול אליהו - 4 כר'")</f>
        <v>קול אליהו - 4 כר'</v>
      </c>
    </row>
    <row r="35656" spans="1:6" x14ac:dyDescent="0.2">
      <c r="A35656" t="s">
        <v>55190</v>
      </c>
      <c r="B35656" t="s">
        <v>8298</v>
      </c>
      <c r="C35656" t="s">
        <v>366</v>
      </c>
      <c r="D35656" t="s">
        <v>21</v>
      </c>
      <c r="E35656" t="s">
        <v>158</v>
      </c>
      <c r="F35656" s="2" t="str">
        <f>HYPERLINK("http://www.otzar.org/book.asp?603947","קול אליהו")</f>
        <v>קול אליהו</v>
      </c>
    </row>
    <row r="35657" spans="1:6" x14ac:dyDescent="0.2">
      <c r="A35657" t="s">
        <v>55190</v>
      </c>
      <c r="B35657" t="s">
        <v>55195</v>
      </c>
      <c r="C35657" t="s">
        <v>812</v>
      </c>
      <c r="D35657" t="s">
        <v>21</v>
      </c>
      <c r="E35657" t="s">
        <v>158</v>
      </c>
      <c r="F35657" s="2" t="str">
        <f>HYPERLINK("http://www.otzar.org/book.asp?601331","קול אליהו")</f>
        <v>קול אליהו</v>
      </c>
    </row>
    <row r="35658" spans="1:6" x14ac:dyDescent="0.2">
      <c r="A35658" t="s">
        <v>55196</v>
      </c>
      <c r="B35658" t="s">
        <v>55197</v>
      </c>
      <c r="C35658" t="s">
        <v>168</v>
      </c>
      <c r="D35658" t="s">
        <v>52</v>
      </c>
      <c r="E35658" t="s">
        <v>1215</v>
      </c>
      <c r="F35658" s="2" t="str">
        <f>HYPERLINK("http://www.otzar.org/book.asp?22924","קול אמונים - 14 כר'")</f>
        <v>קול אמונים - 14 כר'</v>
      </c>
    </row>
    <row r="35659" spans="1:6" x14ac:dyDescent="0.2">
      <c r="A35659" t="s">
        <v>55198</v>
      </c>
      <c r="B35659" t="s">
        <v>55199</v>
      </c>
      <c r="C35659" t="s">
        <v>6448</v>
      </c>
      <c r="D35659" t="s">
        <v>4364</v>
      </c>
      <c r="E35659" t="s">
        <v>2098</v>
      </c>
      <c r="F35659" s="2" t="str">
        <f>HYPERLINK("http://www.otzar.org/book.asp?16508","קול אריה")</f>
        <v>קול אריה</v>
      </c>
    </row>
    <row r="35660" spans="1:6" x14ac:dyDescent="0.2">
      <c r="A35660" t="s">
        <v>55198</v>
      </c>
      <c r="B35660" t="s">
        <v>5815</v>
      </c>
      <c r="C35660" t="s">
        <v>550</v>
      </c>
      <c r="D35660" t="s">
        <v>27</v>
      </c>
      <c r="E35660" t="s">
        <v>144</v>
      </c>
      <c r="F35660" s="2" t="str">
        <f>HYPERLINK("http://www.otzar.org/book.asp?21428","קול אריה")</f>
        <v>קול אריה</v>
      </c>
    </row>
    <row r="35661" spans="1:6" x14ac:dyDescent="0.2">
      <c r="A35661" t="s">
        <v>55198</v>
      </c>
      <c r="B35661" t="s">
        <v>40890</v>
      </c>
      <c r="C35661" t="s">
        <v>752</v>
      </c>
      <c r="D35661" t="s">
        <v>56</v>
      </c>
      <c r="E35661" t="s">
        <v>55200</v>
      </c>
      <c r="F35661" s="2" t="str">
        <f>HYPERLINK("http://www.otzar.org/book.asp?101571","קול אריה")</f>
        <v>קול אריה</v>
      </c>
    </row>
    <row r="35662" spans="1:6" x14ac:dyDescent="0.2">
      <c r="A35662" t="s">
        <v>55201</v>
      </c>
      <c r="B35662" t="s">
        <v>17989</v>
      </c>
      <c r="C35662" t="s">
        <v>2644</v>
      </c>
      <c r="D35662" t="s">
        <v>8316</v>
      </c>
      <c r="E35662" t="s">
        <v>791</v>
      </c>
      <c r="F35662" s="2" t="str">
        <f>HYPERLINK("http://www.otzar.org/book.asp?20601","קול אריה - 3 כר'")</f>
        <v>קול אריה - 3 כר'</v>
      </c>
    </row>
    <row r="35663" spans="1:6" x14ac:dyDescent="0.2">
      <c r="A35663" t="s">
        <v>55202</v>
      </c>
      <c r="B35663" t="s">
        <v>55203</v>
      </c>
      <c r="C35663" t="s">
        <v>103</v>
      </c>
      <c r="D35663" t="s">
        <v>90</v>
      </c>
      <c r="E35663" t="s">
        <v>158</v>
      </c>
      <c r="F35663" s="2" t="str">
        <f>HYPERLINK("http://www.otzar.org/book.asp?183403","קול בוכים &lt;מהדורה חדשה&gt;")</f>
        <v>קול בוכים &lt;מהדורה חדשה&gt;</v>
      </c>
    </row>
    <row r="35664" spans="1:6" x14ac:dyDescent="0.2">
      <c r="A35664" t="s">
        <v>55204</v>
      </c>
      <c r="B35664" t="s">
        <v>55205</v>
      </c>
      <c r="C35664" t="s">
        <v>16493</v>
      </c>
      <c r="D35664" t="s">
        <v>49</v>
      </c>
      <c r="E35664" t="s">
        <v>158</v>
      </c>
      <c r="F35664" s="2" t="str">
        <f>HYPERLINK("http://www.otzar.org/book.asp?104249","קול בוכים - 2 כר'")</f>
        <v>קול בוכים - 2 כר'</v>
      </c>
    </row>
    <row r="35665" spans="1:6" x14ac:dyDescent="0.2">
      <c r="A35665" t="s">
        <v>55206</v>
      </c>
      <c r="B35665" t="s">
        <v>55207</v>
      </c>
      <c r="C35665" t="s">
        <v>55208</v>
      </c>
      <c r="D35665" t="s">
        <v>55209</v>
      </c>
      <c r="F35665" s="2" t="str">
        <f>HYPERLINK("http://www.otzar.org/book.asp?618650","קול בוכים")</f>
        <v>קול בוכים</v>
      </c>
    </row>
    <row r="35666" spans="1:6" x14ac:dyDescent="0.2">
      <c r="A35666" t="s">
        <v>55206</v>
      </c>
      <c r="B35666" t="s">
        <v>55210</v>
      </c>
      <c r="C35666" t="s">
        <v>748</v>
      </c>
      <c r="D35666" t="s">
        <v>283</v>
      </c>
      <c r="E35666" t="s">
        <v>234</v>
      </c>
      <c r="F35666" s="2" t="str">
        <f>HYPERLINK("http://www.otzar.org/book.asp?167567","קול בוכים")</f>
        <v>קול בוכים</v>
      </c>
    </row>
    <row r="35667" spans="1:6" x14ac:dyDescent="0.2">
      <c r="A35667" t="s">
        <v>55206</v>
      </c>
      <c r="B35667" t="s">
        <v>55211</v>
      </c>
      <c r="C35667" t="s">
        <v>99</v>
      </c>
      <c r="D35667" t="s">
        <v>55212</v>
      </c>
      <c r="E35667" t="s">
        <v>5580</v>
      </c>
      <c r="F35667" s="2" t="str">
        <f>HYPERLINK("http://www.otzar.org/book.asp?143629","קול בוכים")</f>
        <v>קול בוכים</v>
      </c>
    </row>
    <row r="35668" spans="1:6" x14ac:dyDescent="0.2">
      <c r="A35668" t="s">
        <v>55213</v>
      </c>
      <c r="B35668" t="s">
        <v>3113</v>
      </c>
      <c r="C35668" t="s">
        <v>224</v>
      </c>
      <c r="D35668" t="s">
        <v>9</v>
      </c>
      <c r="E35668" t="s">
        <v>234</v>
      </c>
      <c r="F35668" s="2" t="str">
        <f>HYPERLINK("http://www.otzar.org/book.asp?188563","קול בכיי")</f>
        <v>קול בכיי</v>
      </c>
    </row>
    <row r="35669" spans="1:6" x14ac:dyDescent="0.2">
      <c r="A35669" t="s">
        <v>55213</v>
      </c>
      <c r="B35669" t="s">
        <v>55214</v>
      </c>
      <c r="C35669" t="s">
        <v>748</v>
      </c>
      <c r="D35669" t="s">
        <v>212</v>
      </c>
      <c r="E35669" t="s">
        <v>6253</v>
      </c>
      <c r="F35669" s="2" t="str">
        <f>HYPERLINK("http://www.otzar.org/book.asp?300546","קול בכיי")</f>
        <v>קול בכיי</v>
      </c>
    </row>
    <row r="35670" spans="1:6" x14ac:dyDescent="0.2">
      <c r="A35670" t="s">
        <v>55215</v>
      </c>
      <c r="B35670" t="s">
        <v>55216</v>
      </c>
      <c r="C35670" t="s">
        <v>8890</v>
      </c>
      <c r="D35670" t="s">
        <v>1490</v>
      </c>
      <c r="E35670" t="s">
        <v>13347</v>
      </c>
      <c r="F35670" s="2" t="str">
        <f>HYPERLINK("http://www.otzar.org/book.asp?6824","קול בן לוי - 2 כר'")</f>
        <v>קול בן לוי - 2 כר'</v>
      </c>
    </row>
    <row r="35671" spans="1:6" x14ac:dyDescent="0.2">
      <c r="A35671" t="s">
        <v>55217</v>
      </c>
      <c r="B35671" t="s">
        <v>55218</v>
      </c>
      <c r="C35671" t="s">
        <v>114</v>
      </c>
      <c r="D35671" t="s">
        <v>1205</v>
      </c>
      <c r="E35671" t="s">
        <v>202</v>
      </c>
      <c r="F35671" s="2" t="str">
        <f>HYPERLINK("http://www.otzar.org/book.asp?600186","קול בניך - 21 כר'")</f>
        <v>קול בניך - 21 כר'</v>
      </c>
    </row>
    <row r="35672" spans="1:6" x14ac:dyDescent="0.2">
      <c r="A35672" t="s">
        <v>55219</v>
      </c>
      <c r="B35672" t="s">
        <v>55220</v>
      </c>
      <c r="C35672" t="s">
        <v>20</v>
      </c>
      <c r="D35672" t="s">
        <v>14</v>
      </c>
      <c r="F35672" s="2" t="str">
        <f>HYPERLINK("http://www.otzar.org/book.asp?609253","קול בריסק")</f>
        <v>קול בריסק</v>
      </c>
    </row>
    <row r="35673" spans="1:6" x14ac:dyDescent="0.2">
      <c r="A35673" t="s">
        <v>55221</v>
      </c>
      <c r="B35673" t="s">
        <v>35238</v>
      </c>
      <c r="C35673" t="s">
        <v>114</v>
      </c>
      <c r="D35673" t="s">
        <v>412</v>
      </c>
      <c r="E35673" t="s">
        <v>158</v>
      </c>
      <c r="F35673" s="2" t="str">
        <f>HYPERLINK("http://www.otzar.org/book.asp?171364","קול ברמ""א נשמע - 5 כר'")</f>
        <v>קול ברמ"א נשמע - 5 כר'</v>
      </c>
    </row>
    <row r="35674" spans="1:6" x14ac:dyDescent="0.2">
      <c r="A35674" t="s">
        <v>55222</v>
      </c>
      <c r="B35674" t="s">
        <v>17763</v>
      </c>
      <c r="C35674" t="s">
        <v>1458</v>
      </c>
      <c r="D35674" t="s">
        <v>283</v>
      </c>
      <c r="E35674" t="s">
        <v>234</v>
      </c>
      <c r="F35674" s="2" t="str">
        <f>HYPERLINK("http://www.otzar.org/book.asp?20603","קול ברמה נשמע")</f>
        <v>קול ברמה נשמע</v>
      </c>
    </row>
    <row r="35675" spans="1:6" x14ac:dyDescent="0.2">
      <c r="A35675" t="s">
        <v>55222</v>
      </c>
      <c r="B35675" t="s">
        <v>1005</v>
      </c>
      <c r="C35675" t="s">
        <v>133</v>
      </c>
      <c r="D35675" t="s">
        <v>152</v>
      </c>
      <c r="E35675" t="s">
        <v>202</v>
      </c>
      <c r="F35675" s="2" t="str">
        <f>HYPERLINK("http://www.otzar.org/book.asp?197717","קול ברמה נשמע")</f>
        <v>קול ברמה נשמע</v>
      </c>
    </row>
    <row r="35676" spans="1:6" x14ac:dyDescent="0.2">
      <c r="A35676" t="s">
        <v>55223</v>
      </c>
      <c r="B35676" t="s">
        <v>686</v>
      </c>
      <c r="C35676" t="s">
        <v>422</v>
      </c>
      <c r="D35676" t="s">
        <v>52</v>
      </c>
      <c r="E35676" t="s">
        <v>104</v>
      </c>
      <c r="F35676" s="2" t="str">
        <f>HYPERLINK("http://www.otzar.org/book.asp?148854","קול ברמה")</f>
        <v>קול ברמה</v>
      </c>
    </row>
    <row r="35677" spans="1:6" x14ac:dyDescent="0.2">
      <c r="A35677" t="s">
        <v>55223</v>
      </c>
      <c r="B35677" t="s">
        <v>55224</v>
      </c>
      <c r="C35677" t="s">
        <v>1284</v>
      </c>
      <c r="D35677" t="s">
        <v>56</v>
      </c>
      <c r="E35677" t="s">
        <v>930</v>
      </c>
      <c r="F35677" s="2" t="str">
        <f>HYPERLINK("http://www.otzar.org/book.asp?102197","קול ברמה")</f>
        <v>קול ברמה</v>
      </c>
    </row>
    <row r="35678" spans="1:6" x14ac:dyDescent="0.2">
      <c r="A35678" t="s">
        <v>55223</v>
      </c>
      <c r="B35678" t="s">
        <v>55225</v>
      </c>
      <c r="C35678" t="s">
        <v>2269</v>
      </c>
      <c r="D35678" t="s">
        <v>56</v>
      </c>
      <c r="E35678" t="s">
        <v>241</v>
      </c>
      <c r="F35678" s="2" t="str">
        <f>HYPERLINK("http://www.otzar.org/book.asp?147269","קול ברמה")</f>
        <v>קול ברמה</v>
      </c>
    </row>
    <row r="35679" spans="1:6" x14ac:dyDescent="0.2">
      <c r="A35679" t="s">
        <v>55223</v>
      </c>
      <c r="B35679" t="s">
        <v>23047</v>
      </c>
      <c r="C35679" t="s">
        <v>1524</v>
      </c>
      <c r="D35679" t="s">
        <v>55226</v>
      </c>
      <c r="E35679" t="s">
        <v>399</v>
      </c>
      <c r="F35679" s="2" t="str">
        <f>HYPERLINK("http://www.otzar.org/book.asp?5963","קול ברמה")</f>
        <v>קול ברמה</v>
      </c>
    </row>
    <row r="35680" spans="1:6" x14ac:dyDescent="0.2">
      <c r="A35680" t="s">
        <v>55227</v>
      </c>
      <c r="B35680" t="s">
        <v>13411</v>
      </c>
      <c r="C35680" t="s">
        <v>624</v>
      </c>
      <c r="D35680" t="s">
        <v>27</v>
      </c>
      <c r="E35680" t="s">
        <v>154</v>
      </c>
      <c r="F35680" s="2" t="str">
        <f>HYPERLINK("http://www.otzar.org/book.asp?171530","קול גדול &lt;מהדורה חדשה&gt;")</f>
        <v>קול גדול &lt;מהדורה חדשה&gt;</v>
      </c>
    </row>
    <row r="35681" spans="1:6" x14ac:dyDescent="0.2">
      <c r="A35681" t="s">
        <v>55228</v>
      </c>
      <c r="B35681" t="s">
        <v>13411</v>
      </c>
      <c r="C35681" t="s">
        <v>2543</v>
      </c>
      <c r="D35681" t="s">
        <v>27</v>
      </c>
      <c r="E35681" t="s">
        <v>154</v>
      </c>
      <c r="F35681" s="2" t="str">
        <f>HYPERLINK("http://www.otzar.org/book.asp?10915","קול גדול")</f>
        <v>קול גדול</v>
      </c>
    </row>
    <row r="35682" spans="1:6" x14ac:dyDescent="0.2">
      <c r="A35682" t="s">
        <v>55229</v>
      </c>
      <c r="B35682" t="s">
        <v>55230</v>
      </c>
      <c r="C35682" t="s">
        <v>422</v>
      </c>
      <c r="D35682" t="s">
        <v>412</v>
      </c>
      <c r="E35682" t="s">
        <v>230</v>
      </c>
      <c r="F35682" s="2" t="str">
        <f>HYPERLINK("http://www.otzar.org/book.asp?166268","קול דברים")</f>
        <v>קול דברים</v>
      </c>
    </row>
    <row r="35683" spans="1:6" x14ac:dyDescent="0.2">
      <c r="A35683" t="s">
        <v>55231</v>
      </c>
      <c r="B35683" t="s">
        <v>55232</v>
      </c>
      <c r="C35683" t="s">
        <v>1663</v>
      </c>
      <c r="D35683" t="s">
        <v>27</v>
      </c>
      <c r="E35683" t="s">
        <v>55233</v>
      </c>
      <c r="F35683" s="2" t="str">
        <f>HYPERLINK("http://www.otzar.org/book.asp?8046","קול דוד")</f>
        <v>קול דוד</v>
      </c>
    </row>
    <row r="35684" spans="1:6" x14ac:dyDescent="0.2">
      <c r="A35684" t="s">
        <v>55231</v>
      </c>
      <c r="B35684" t="s">
        <v>21990</v>
      </c>
      <c r="C35684" t="s">
        <v>1706</v>
      </c>
      <c r="D35684" t="s">
        <v>2234</v>
      </c>
      <c r="E35684" t="s">
        <v>234</v>
      </c>
      <c r="F35684" s="2" t="str">
        <f>HYPERLINK("http://www.otzar.org/book.asp?193902","קול דוד")</f>
        <v>קול דוד</v>
      </c>
    </row>
    <row r="35685" spans="1:6" x14ac:dyDescent="0.2">
      <c r="A35685" t="s">
        <v>55234</v>
      </c>
      <c r="B35685" t="s">
        <v>55235</v>
      </c>
      <c r="C35685" t="s">
        <v>775</v>
      </c>
      <c r="D35685" t="s">
        <v>52</v>
      </c>
      <c r="F35685" s="2" t="str">
        <f>HYPERLINK("http://www.otzar.org/book.asp?620647","קול דודי דופק")</f>
        <v>קול דודי דופק</v>
      </c>
    </row>
    <row r="35686" spans="1:6" x14ac:dyDescent="0.2">
      <c r="A35686" t="s">
        <v>55236</v>
      </c>
      <c r="B35686" t="s">
        <v>6987</v>
      </c>
      <c r="C35686" t="s">
        <v>20</v>
      </c>
      <c r="D35686" t="s">
        <v>90</v>
      </c>
      <c r="F35686" s="2" t="str">
        <f>HYPERLINK("http://www.otzar.org/book.asp?621263","קול דודי פתחי לי")</f>
        <v>קול דודי פתחי לי</v>
      </c>
    </row>
    <row r="35687" spans="1:6" x14ac:dyDescent="0.2">
      <c r="A35687" t="s">
        <v>55237</v>
      </c>
      <c r="B35687" t="s">
        <v>22355</v>
      </c>
      <c r="C35687" t="s">
        <v>224</v>
      </c>
      <c r="D35687" t="s">
        <v>225</v>
      </c>
      <c r="E35687" t="s">
        <v>930</v>
      </c>
      <c r="F35687" s="2" t="str">
        <f>HYPERLINK("http://www.otzar.org/book.asp?28474","קול דודי")</f>
        <v>קול דודי</v>
      </c>
    </row>
    <row r="35688" spans="1:6" x14ac:dyDescent="0.2">
      <c r="A35688" t="s">
        <v>55237</v>
      </c>
      <c r="B35688" t="s">
        <v>55238</v>
      </c>
      <c r="C35688" t="s">
        <v>362</v>
      </c>
      <c r="D35688" t="s">
        <v>283</v>
      </c>
      <c r="E35688" t="s">
        <v>104</v>
      </c>
      <c r="F35688" s="2" t="str">
        <f>HYPERLINK("http://www.otzar.org/book.asp?23540","קול דודי")</f>
        <v>קול דודי</v>
      </c>
    </row>
    <row r="35689" spans="1:6" x14ac:dyDescent="0.2">
      <c r="A35689" t="s">
        <v>55237</v>
      </c>
      <c r="B35689" t="s">
        <v>17692</v>
      </c>
      <c r="C35689" t="s">
        <v>20</v>
      </c>
      <c r="D35689" t="s">
        <v>14</v>
      </c>
      <c r="E35689" t="s">
        <v>158</v>
      </c>
      <c r="F35689" s="2" t="str">
        <f>HYPERLINK("http://www.otzar.org/book.asp?618863","קול דודי")</f>
        <v>קול דודי</v>
      </c>
    </row>
    <row r="35690" spans="1:6" x14ac:dyDescent="0.2">
      <c r="A35690" t="s">
        <v>55237</v>
      </c>
      <c r="B35690" t="s">
        <v>55239</v>
      </c>
      <c r="C35690" t="s">
        <v>523</v>
      </c>
      <c r="D35690" t="s">
        <v>14</v>
      </c>
      <c r="F35690" s="2" t="str">
        <f>HYPERLINK("http://www.otzar.org/book.asp?173839","קול דודי")</f>
        <v>קול דודי</v>
      </c>
    </row>
    <row r="35691" spans="1:6" x14ac:dyDescent="0.2">
      <c r="A35691" t="s">
        <v>55240</v>
      </c>
      <c r="B35691" t="s">
        <v>55241</v>
      </c>
      <c r="C35691" t="s">
        <v>168</v>
      </c>
      <c r="D35691" t="s">
        <v>412</v>
      </c>
      <c r="F35691" s="2" t="str">
        <f>HYPERLINK("http://www.otzar.org/book.asp?617848","קול דודי - הלכות ליל הסדר")</f>
        <v>קול דודי - הלכות ליל הסדר</v>
      </c>
    </row>
    <row r="35692" spans="1:6" x14ac:dyDescent="0.2">
      <c r="A35692" t="s">
        <v>55242</v>
      </c>
      <c r="B35692" t="s">
        <v>55243</v>
      </c>
      <c r="C35692" t="s">
        <v>411</v>
      </c>
      <c r="D35692" t="s">
        <v>646</v>
      </c>
      <c r="F35692" s="2" t="str">
        <f>HYPERLINK("http://www.otzar.org/book.asp?616755","קול דודי - 10 כר'")</f>
        <v>קול דודי - 10 כר'</v>
      </c>
    </row>
    <row r="35693" spans="1:6" x14ac:dyDescent="0.2">
      <c r="A35693" t="s">
        <v>55244</v>
      </c>
      <c r="B35693" t="s">
        <v>27046</v>
      </c>
      <c r="C35693" t="s">
        <v>55245</v>
      </c>
      <c r="D35693" t="s">
        <v>1889</v>
      </c>
      <c r="E35693" t="s">
        <v>674</v>
      </c>
      <c r="F35693" s="2" t="str">
        <f>HYPERLINK("http://www.otzar.org/book.asp?162195","קול דודי, ענה דודי, שירת דודי")</f>
        <v>קול דודי, ענה דודי, שירת דודי</v>
      </c>
    </row>
    <row r="35694" spans="1:6" x14ac:dyDescent="0.2">
      <c r="A35694" t="s">
        <v>55246</v>
      </c>
      <c r="B35694" t="s">
        <v>1565</v>
      </c>
      <c r="C35694" t="s">
        <v>1228</v>
      </c>
      <c r="D35694" t="s">
        <v>225</v>
      </c>
      <c r="E35694" t="s">
        <v>213</v>
      </c>
      <c r="F35694" s="2" t="str">
        <f>HYPERLINK("http://www.otzar.org/book.asp?103713","קול דממה דקה")</f>
        <v>קול דממה דקה</v>
      </c>
    </row>
    <row r="35695" spans="1:6" x14ac:dyDescent="0.2">
      <c r="A35695" t="s">
        <v>55246</v>
      </c>
      <c r="B35695" t="s">
        <v>55246</v>
      </c>
      <c r="C35695" t="s">
        <v>71</v>
      </c>
      <c r="D35695" t="s">
        <v>14</v>
      </c>
      <c r="E35695" t="s">
        <v>241</v>
      </c>
      <c r="F35695" s="2" t="str">
        <f>HYPERLINK("http://www.otzar.org/book.asp?6377","קול דממה דקה")</f>
        <v>קול דממה דקה</v>
      </c>
    </row>
    <row r="35696" spans="1:6" x14ac:dyDescent="0.2">
      <c r="A35696" t="s">
        <v>55247</v>
      </c>
      <c r="B35696" t="s">
        <v>8856</v>
      </c>
      <c r="C35696" t="s">
        <v>13</v>
      </c>
      <c r="D35696" t="s">
        <v>14</v>
      </c>
      <c r="F35696" s="2" t="str">
        <f>HYPERLINK("http://www.otzar.org/book.asp?163842","קול דממה -  ראש השנה ושופר")</f>
        <v>קול דממה -  ראש השנה ושופר</v>
      </c>
    </row>
    <row r="35697" spans="1:6" x14ac:dyDescent="0.2">
      <c r="A35697" t="s">
        <v>55248</v>
      </c>
      <c r="B35697" t="s">
        <v>686</v>
      </c>
      <c r="C35697" t="s">
        <v>466</v>
      </c>
      <c r="D35697" t="s">
        <v>52</v>
      </c>
      <c r="E35697" t="s">
        <v>104</v>
      </c>
      <c r="F35697" s="2" t="str">
        <f>HYPERLINK("http://www.otzar.org/book.asp?61776","קול ה' בכח")</f>
        <v>קול ה' בכח</v>
      </c>
    </row>
    <row r="35698" spans="1:6" x14ac:dyDescent="0.2">
      <c r="A35698" t="s">
        <v>55249</v>
      </c>
      <c r="B35698" t="s">
        <v>4437</v>
      </c>
      <c r="C35698" t="s">
        <v>185</v>
      </c>
      <c r="D35698" t="s">
        <v>52</v>
      </c>
      <c r="E35698" t="s">
        <v>140</v>
      </c>
      <c r="F35698" s="2" t="str">
        <f>HYPERLINK("http://www.otzar.org/book.asp?629612","קול החצר - 3 כר'")</f>
        <v>קול החצר - 3 כר'</v>
      </c>
    </row>
    <row r="35699" spans="1:6" x14ac:dyDescent="0.2">
      <c r="A35699" t="s">
        <v>55250</v>
      </c>
      <c r="B35699" t="s">
        <v>55251</v>
      </c>
      <c r="C35699" t="s">
        <v>553</v>
      </c>
      <c r="D35699" t="s">
        <v>14</v>
      </c>
      <c r="F35699" s="2" t="str">
        <f>HYPERLINK("http://www.otzar.org/book.asp?616268","קול היהדות החרדית - ג")</f>
        <v>קול היהדות החרדית - ג</v>
      </c>
    </row>
    <row r="35700" spans="1:6" x14ac:dyDescent="0.2">
      <c r="A35700" t="s">
        <v>55252</v>
      </c>
      <c r="B35700" t="s">
        <v>55253</v>
      </c>
      <c r="C35700" t="s">
        <v>1619</v>
      </c>
      <c r="D35700" t="s">
        <v>14</v>
      </c>
      <c r="E35700" t="s">
        <v>202</v>
      </c>
      <c r="F35700" s="2" t="str">
        <f>HYPERLINK("http://www.otzar.org/book.asp?148729","קול הישיבה - 2 כר'")</f>
        <v>קול הישיבה - 2 כר'</v>
      </c>
    </row>
    <row r="35701" spans="1:6" x14ac:dyDescent="0.2">
      <c r="A35701" t="s">
        <v>55252</v>
      </c>
      <c r="B35701" t="s">
        <v>55254</v>
      </c>
      <c r="C35701" t="s">
        <v>1160</v>
      </c>
      <c r="D35701" t="s">
        <v>736</v>
      </c>
      <c r="E35701" t="s">
        <v>202</v>
      </c>
      <c r="F35701" s="2" t="str">
        <f>HYPERLINK("http://www.otzar.org/book.asp?626392","קול הישיבה - 2 כר'")</f>
        <v>קול הישיבה - 2 כר'</v>
      </c>
    </row>
    <row r="35702" spans="1:6" x14ac:dyDescent="0.2">
      <c r="A35702" t="s">
        <v>55255</v>
      </c>
      <c r="B35702" t="s">
        <v>25048</v>
      </c>
      <c r="C35702" t="s">
        <v>17</v>
      </c>
      <c r="D35702" t="s">
        <v>14</v>
      </c>
      <c r="E35702" t="s">
        <v>104</v>
      </c>
      <c r="F35702" s="2" t="str">
        <f>HYPERLINK("http://www.otzar.org/book.asp?157756","קול הקולמוס")</f>
        <v>קול הקולמוס</v>
      </c>
    </row>
    <row r="35703" spans="1:6" x14ac:dyDescent="0.2">
      <c r="A35703" t="s">
        <v>55256</v>
      </c>
      <c r="B35703" t="s">
        <v>27568</v>
      </c>
      <c r="C35703" t="s">
        <v>1395</v>
      </c>
      <c r="D35703" t="s">
        <v>1117</v>
      </c>
      <c r="E35703" t="s">
        <v>104</v>
      </c>
      <c r="F35703" s="2" t="str">
        <f>HYPERLINK("http://www.otzar.org/book.asp?146896","קול הקורא")</f>
        <v>קול הקורא</v>
      </c>
    </row>
    <row r="35704" spans="1:6" x14ac:dyDescent="0.2">
      <c r="A35704" t="s">
        <v>55257</v>
      </c>
      <c r="B35704" t="s">
        <v>55258</v>
      </c>
      <c r="C35704" t="s">
        <v>1166</v>
      </c>
      <c r="D35704" t="s">
        <v>4269</v>
      </c>
      <c r="E35704" t="s">
        <v>241</v>
      </c>
      <c r="F35704" s="2" t="str">
        <f>HYPERLINK("http://www.otzar.org/book.asp?23728","קול הקורא - 2 כר'")</f>
        <v>קול הקורא - 2 כר'</v>
      </c>
    </row>
    <row r="35705" spans="1:6" x14ac:dyDescent="0.2">
      <c r="A35705" t="s">
        <v>55259</v>
      </c>
      <c r="B35705" t="s">
        <v>1314</v>
      </c>
      <c r="C35705" t="s">
        <v>87</v>
      </c>
      <c r="D35705" t="s">
        <v>14</v>
      </c>
      <c r="E35705" t="s">
        <v>84</v>
      </c>
      <c r="F35705" s="2" t="str">
        <f>HYPERLINK("http://www.otzar.org/book.asp?199407","קול הרמ""ז &lt;מהדורה חדשה&gt;")</f>
        <v>קול הרמ"ז &lt;מהדורה חדשה&gt;</v>
      </c>
    </row>
    <row r="35706" spans="1:6" x14ac:dyDescent="0.2">
      <c r="A35706" t="s">
        <v>55260</v>
      </c>
      <c r="B35706" t="s">
        <v>55261</v>
      </c>
      <c r="C35706" t="s">
        <v>558</v>
      </c>
      <c r="D35706" t="s">
        <v>16023</v>
      </c>
      <c r="E35706" t="s">
        <v>786</v>
      </c>
      <c r="F35706" s="2" t="str">
        <f>HYPERLINK("http://www.otzar.org/book.asp?19316","קול הרמ""ז &lt;וקובץ מפרשים על נדרים&gt;")</f>
        <v>קול הרמ"ז &lt;וקובץ מפרשים על נדרים&gt;</v>
      </c>
    </row>
    <row r="35707" spans="1:6" x14ac:dyDescent="0.2">
      <c r="A35707" t="s">
        <v>55262</v>
      </c>
      <c r="B35707" t="s">
        <v>1314</v>
      </c>
      <c r="C35707" t="s">
        <v>96</v>
      </c>
      <c r="D35707" t="s">
        <v>1023</v>
      </c>
      <c r="E35707" t="s">
        <v>3489</v>
      </c>
      <c r="F35707" s="2" t="str">
        <f>HYPERLINK("http://www.otzar.org/book.asp?101610","קול הרמ""ז - 5 כר'")</f>
        <v>קול הרמ"ז - 5 כר'</v>
      </c>
    </row>
    <row r="35708" spans="1:6" x14ac:dyDescent="0.2">
      <c r="A35708" t="s">
        <v>55263</v>
      </c>
      <c r="B35708" t="s">
        <v>55264</v>
      </c>
      <c r="C35708" t="s">
        <v>2644</v>
      </c>
      <c r="D35708" t="s">
        <v>283</v>
      </c>
      <c r="E35708" t="s">
        <v>1103</v>
      </c>
      <c r="F35708" s="2" t="str">
        <f>HYPERLINK("http://www.otzar.org/book.asp?102148","קול הרמ""ז")</f>
        <v>קול הרמ"ז</v>
      </c>
    </row>
    <row r="35709" spans="1:6" x14ac:dyDescent="0.2">
      <c r="A35709" t="s">
        <v>55265</v>
      </c>
      <c r="B35709" t="s">
        <v>55266</v>
      </c>
      <c r="C35709" t="s">
        <v>4144</v>
      </c>
      <c r="D35709" t="s">
        <v>3627</v>
      </c>
      <c r="F35709" s="2" t="str">
        <f>HYPERLINK("http://www.otzar.org/book.asp?28488","קול הרמה והפרשה")</f>
        <v>קול הרמה והפרשה</v>
      </c>
    </row>
    <row r="35710" spans="1:6" x14ac:dyDescent="0.2">
      <c r="A35710" t="s">
        <v>55267</v>
      </c>
      <c r="B35710" t="s">
        <v>55268</v>
      </c>
      <c r="C35710" t="s">
        <v>1619</v>
      </c>
      <c r="D35710" t="s">
        <v>21</v>
      </c>
      <c r="F35710" s="2" t="str">
        <f>HYPERLINK("http://www.otzar.org/book.asp?626519","קול השבת - 53 כר'")</f>
        <v>קול השבת - 53 כר'</v>
      </c>
    </row>
    <row r="35711" spans="1:6" x14ac:dyDescent="0.2">
      <c r="A35711" t="s">
        <v>55269</v>
      </c>
      <c r="B35711" t="s">
        <v>55270</v>
      </c>
      <c r="C35711" t="s">
        <v>189</v>
      </c>
      <c r="D35711" t="s">
        <v>52</v>
      </c>
      <c r="E35711" t="s">
        <v>15</v>
      </c>
      <c r="F35711" s="2" t="str">
        <f>HYPERLINK("http://www.otzar.org/book.asp?153988","קול התור נשמע בארצינו")</f>
        <v>קול התור נשמע בארצינו</v>
      </c>
    </row>
    <row r="35712" spans="1:6" x14ac:dyDescent="0.2">
      <c r="A35712" t="s">
        <v>55271</v>
      </c>
      <c r="B35712" t="s">
        <v>55272</v>
      </c>
      <c r="C35712" t="s">
        <v>429</v>
      </c>
      <c r="D35712" t="s">
        <v>56</v>
      </c>
      <c r="E35712" t="s">
        <v>15</v>
      </c>
      <c r="F35712" s="2" t="str">
        <f>HYPERLINK("http://www.otzar.org/book.asp?189499","קול התור נשמע בארצנו")</f>
        <v>קול התור נשמע בארצנו</v>
      </c>
    </row>
    <row r="35713" spans="1:6" x14ac:dyDescent="0.2">
      <c r="A35713" t="s">
        <v>55273</v>
      </c>
      <c r="B35713" t="s">
        <v>35238</v>
      </c>
      <c r="C35713" t="s">
        <v>13</v>
      </c>
      <c r="D35713" t="s">
        <v>412</v>
      </c>
      <c r="E35713" t="s">
        <v>15</v>
      </c>
      <c r="F35713" s="2" t="str">
        <f>HYPERLINK("http://www.otzar.org/book.asp?150067","קול התור נשמע")</f>
        <v>קול התור נשמע</v>
      </c>
    </row>
    <row r="35714" spans="1:6" x14ac:dyDescent="0.2">
      <c r="A35714" t="s">
        <v>55274</v>
      </c>
      <c r="B35714" t="s">
        <v>55275</v>
      </c>
      <c r="C35714" t="s">
        <v>5903</v>
      </c>
      <c r="D35714" t="s">
        <v>56</v>
      </c>
      <c r="E35714" t="s">
        <v>158</v>
      </c>
      <c r="F35714" s="2" t="str">
        <f>HYPERLINK("http://www.otzar.org/book.asp?189363","קול התור")</f>
        <v>קול התור</v>
      </c>
    </row>
    <row r="35715" spans="1:6" x14ac:dyDescent="0.2">
      <c r="A35715" t="s">
        <v>55274</v>
      </c>
      <c r="B35715" t="s">
        <v>513</v>
      </c>
      <c r="C35715" t="s">
        <v>20</v>
      </c>
      <c r="D35715" t="s">
        <v>90</v>
      </c>
      <c r="E35715" t="s">
        <v>399</v>
      </c>
      <c r="F35715" s="2" t="str">
        <f>HYPERLINK("http://www.otzar.org/book.asp?623708","קול התור")</f>
        <v>קול התור</v>
      </c>
    </row>
    <row r="35716" spans="1:6" x14ac:dyDescent="0.2">
      <c r="A35716" t="s">
        <v>55274</v>
      </c>
      <c r="B35716" t="s">
        <v>41378</v>
      </c>
      <c r="C35716" t="s">
        <v>71</v>
      </c>
      <c r="D35716" t="s">
        <v>423</v>
      </c>
      <c r="E35716" t="s">
        <v>2098</v>
      </c>
      <c r="F35716" s="2" t="str">
        <f>HYPERLINK("http://www.otzar.org/book.asp?154265","קול התור")</f>
        <v>קול התור</v>
      </c>
    </row>
    <row r="35717" spans="1:6" x14ac:dyDescent="0.2">
      <c r="A35717" t="s">
        <v>55274</v>
      </c>
      <c r="B35717" t="s">
        <v>2396</v>
      </c>
      <c r="C35717" t="s">
        <v>313</v>
      </c>
      <c r="D35717" t="s">
        <v>1076</v>
      </c>
      <c r="E35717" t="s">
        <v>144</v>
      </c>
      <c r="F35717" s="2" t="str">
        <f>HYPERLINK("http://www.otzar.org/book.asp?22813","קול התור")</f>
        <v>קול התור</v>
      </c>
    </row>
    <row r="35718" spans="1:6" x14ac:dyDescent="0.2">
      <c r="A35718" t="s">
        <v>55276</v>
      </c>
      <c r="B35718" t="s">
        <v>55277</v>
      </c>
      <c r="C35718" t="s">
        <v>427</v>
      </c>
      <c r="D35718" t="s">
        <v>52</v>
      </c>
      <c r="E35718" t="s">
        <v>213</v>
      </c>
      <c r="F35718" s="2" t="str">
        <f>HYPERLINK("http://www.otzar.org/book.asp?13163","קול התור - 2 כר'")</f>
        <v>קול התור - 2 כר'</v>
      </c>
    </row>
    <row r="35719" spans="1:6" x14ac:dyDescent="0.2">
      <c r="A35719" t="s">
        <v>55278</v>
      </c>
      <c r="B35719" t="s">
        <v>54342</v>
      </c>
      <c r="C35719" t="s">
        <v>454</v>
      </c>
      <c r="D35719" t="s">
        <v>14</v>
      </c>
      <c r="E35719" t="s">
        <v>202</v>
      </c>
      <c r="F35719" s="2" t="str">
        <f>HYPERLINK("http://www.otzar.org/book.asp?629148","קול התורה - 2 כר'")</f>
        <v>קול התורה - 2 כר'</v>
      </c>
    </row>
    <row r="35720" spans="1:6" x14ac:dyDescent="0.2">
      <c r="A35720" t="s">
        <v>55279</v>
      </c>
      <c r="B35720" t="s">
        <v>55280</v>
      </c>
      <c r="C35720" t="s">
        <v>454</v>
      </c>
      <c r="D35720" t="s">
        <v>21</v>
      </c>
      <c r="E35720" t="s">
        <v>202</v>
      </c>
      <c r="F35720" s="2" t="str">
        <f>HYPERLINK("http://www.otzar.org/book.asp?604204","קול התורה")</f>
        <v>קול התורה</v>
      </c>
    </row>
    <row r="35721" spans="1:6" x14ac:dyDescent="0.2">
      <c r="A35721" t="s">
        <v>55281</v>
      </c>
      <c r="B35721" t="s">
        <v>1750</v>
      </c>
      <c r="C35721" t="s">
        <v>334</v>
      </c>
      <c r="D35721" t="s">
        <v>646</v>
      </c>
      <c r="E35721" t="s">
        <v>202</v>
      </c>
      <c r="F35721" s="2" t="str">
        <f>HYPERLINK("http://www.otzar.org/book.asp?142167","קול התורה - 88 כר'")</f>
        <v>קול התורה - 88 כר'</v>
      </c>
    </row>
    <row r="35722" spans="1:6" x14ac:dyDescent="0.2">
      <c r="A35722" t="s">
        <v>55282</v>
      </c>
      <c r="B35722" t="s">
        <v>55283</v>
      </c>
      <c r="C35722" t="s">
        <v>1458</v>
      </c>
      <c r="D35722" t="s">
        <v>212</v>
      </c>
      <c r="E35722" t="s">
        <v>1517</v>
      </c>
      <c r="F35722" s="2" t="str">
        <f>HYPERLINK("http://www.otzar.org/book.asp?151266","קול התחנה")</f>
        <v>קול התחנה</v>
      </c>
    </row>
    <row r="35723" spans="1:6" x14ac:dyDescent="0.2">
      <c r="A35723" t="s">
        <v>55284</v>
      </c>
      <c r="B35723" t="s">
        <v>55284</v>
      </c>
      <c r="C35723" t="s">
        <v>13</v>
      </c>
      <c r="D35723" t="s">
        <v>412</v>
      </c>
      <c r="E35723" t="s">
        <v>241</v>
      </c>
      <c r="F35723" s="2" t="str">
        <f>HYPERLINK("http://www.otzar.org/book.asp?163352","קול התפילה")</f>
        <v>קול התפילה</v>
      </c>
    </row>
    <row r="35724" spans="1:6" x14ac:dyDescent="0.2">
      <c r="A35724" t="s">
        <v>55285</v>
      </c>
      <c r="B35724" t="s">
        <v>4749</v>
      </c>
      <c r="C35724" t="s">
        <v>13</v>
      </c>
      <c r="D35724" t="s">
        <v>14</v>
      </c>
      <c r="E35724" t="s">
        <v>158</v>
      </c>
      <c r="F35724" s="2" t="str">
        <f>HYPERLINK("http://www.otzar.org/book.asp?189936","קול זמרה - 2 כר'")</f>
        <v>קול זמרה - 2 כר'</v>
      </c>
    </row>
    <row r="35725" spans="1:6" x14ac:dyDescent="0.2">
      <c r="A35725" t="s">
        <v>55286</v>
      </c>
      <c r="B35725" t="s">
        <v>30127</v>
      </c>
      <c r="C35725" t="s">
        <v>454</v>
      </c>
      <c r="D35725" t="s">
        <v>14</v>
      </c>
      <c r="E35725" t="s">
        <v>2091</v>
      </c>
      <c r="F35725" s="2" t="str">
        <f>HYPERLINK("http://www.otzar.org/book.asp?159766","קול זמרת הארץ")</f>
        <v>קול זמרת הארץ</v>
      </c>
    </row>
    <row r="35726" spans="1:6" x14ac:dyDescent="0.2">
      <c r="A35726" t="s">
        <v>55287</v>
      </c>
      <c r="B35726" t="s">
        <v>9043</v>
      </c>
      <c r="C35726" t="s">
        <v>114</v>
      </c>
      <c r="D35726" t="s">
        <v>90</v>
      </c>
      <c r="E35726" t="s">
        <v>158</v>
      </c>
      <c r="F35726" s="2" t="str">
        <f>HYPERLINK("http://www.otzar.org/book.asp?160102","קול חדוותא")</f>
        <v>קול חדוותא</v>
      </c>
    </row>
    <row r="35727" spans="1:6" x14ac:dyDescent="0.2">
      <c r="A35727" t="s">
        <v>55288</v>
      </c>
      <c r="B35727" t="s">
        <v>55289</v>
      </c>
      <c r="C35727" t="s">
        <v>466</v>
      </c>
      <c r="D35727" t="s">
        <v>14</v>
      </c>
      <c r="E35727" t="s">
        <v>5580</v>
      </c>
      <c r="F35727" s="2" t="str">
        <f>HYPERLINK("http://www.otzar.org/book.asp?24963","קול חוצב &lt;ר' שלום שבדרון&gt;")</f>
        <v>קול חוצב &lt;ר' שלום שבדרון&gt;</v>
      </c>
    </row>
    <row r="35728" spans="1:6" x14ac:dyDescent="0.2">
      <c r="A35728" t="s">
        <v>55290</v>
      </c>
      <c r="B35728" t="s">
        <v>55291</v>
      </c>
      <c r="C35728" t="s">
        <v>585</v>
      </c>
      <c r="D35728" t="s">
        <v>412</v>
      </c>
      <c r="E35728" t="s">
        <v>144</v>
      </c>
      <c r="F35728" s="2" t="str">
        <f>HYPERLINK("http://www.otzar.org/book.asp?174077","קול חיל")</f>
        <v>קול חיל</v>
      </c>
    </row>
    <row r="35729" spans="1:6" x14ac:dyDescent="0.2">
      <c r="A35729" t="s">
        <v>55292</v>
      </c>
      <c r="B35729" t="s">
        <v>55293</v>
      </c>
      <c r="C35729" t="s">
        <v>427</v>
      </c>
      <c r="D35729" t="s">
        <v>1356</v>
      </c>
      <c r="E35729" t="s">
        <v>202</v>
      </c>
      <c r="F35729" s="2" t="str">
        <f>HYPERLINK("http://www.otzar.org/book.asp?180371","קול חיפה - א")</f>
        <v>קול חיפה - א</v>
      </c>
    </row>
    <row r="35730" spans="1:6" x14ac:dyDescent="0.2">
      <c r="A35730" t="s">
        <v>55294</v>
      </c>
      <c r="B35730" t="s">
        <v>4445</v>
      </c>
      <c r="C35730" t="s">
        <v>20</v>
      </c>
      <c r="D35730" t="s">
        <v>14</v>
      </c>
      <c r="F35730" s="2" t="str">
        <f>HYPERLINK("http://www.otzar.org/book.asp?617160","קול חתן וקול כלה")</f>
        <v>קול חתן וקול כלה</v>
      </c>
    </row>
    <row r="35731" spans="1:6" x14ac:dyDescent="0.2">
      <c r="A35731" t="s">
        <v>55295</v>
      </c>
      <c r="B35731" t="s">
        <v>4402</v>
      </c>
      <c r="C35731" t="s">
        <v>176</v>
      </c>
      <c r="D35731" t="s">
        <v>14</v>
      </c>
      <c r="E35731" t="s">
        <v>104</v>
      </c>
      <c r="F35731" s="2" t="str">
        <f>HYPERLINK("http://www.otzar.org/book.asp?166988","קול חתן וקול כלה - נישואין בהלכה ובאגדה")</f>
        <v>קול חתן וקול כלה - נישואין בהלכה ובאגדה</v>
      </c>
    </row>
    <row r="35732" spans="1:6" x14ac:dyDescent="0.2">
      <c r="A35732" t="s">
        <v>55296</v>
      </c>
      <c r="B35732" t="s">
        <v>15094</v>
      </c>
      <c r="C35732" t="s">
        <v>1124</v>
      </c>
      <c r="D35732" t="s">
        <v>283</v>
      </c>
      <c r="E35732" t="s">
        <v>158</v>
      </c>
      <c r="F35732" s="2" t="str">
        <f>HYPERLINK("http://www.otzar.org/book.asp?20604","קול יבשר")</f>
        <v>קול יבשר</v>
      </c>
    </row>
    <row r="35733" spans="1:6" x14ac:dyDescent="0.2">
      <c r="A35733" t="s">
        <v>55297</v>
      </c>
      <c r="B35733" t="s">
        <v>55298</v>
      </c>
      <c r="C35733" t="s">
        <v>55299</v>
      </c>
      <c r="D35733" t="s">
        <v>14</v>
      </c>
      <c r="E35733" t="s">
        <v>154</v>
      </c>
      <c r="F35733" s="2" t="str">
        <f>HYPERLINK("http://www.otzar.org/book.asp?28539","קול יהודא")</f>
        <v>קול יהודא</v>
      </c>
    </row>
    <row r="35734" spans="1:6" x14ac:dyDescent="0.2">
      <c r="A35734" t="s">
        <v>55297</v>
      </c>
      <c r="B35734" t="s">
        <v>55300</v>
      </c>
      <c r="C35734" t="s">
        <v>5308</v>
      </c>
      <c r="D35734" t="s">
        <v>8579</v>
      </c>
      <c r="E35734" t="s">
        <v>957</v>
      </c>
      <c r="F35734" s="2" t="str">
        <f>HYPERLINK("http://www.otzar.org/book.asp?102594","קול יהודא")</f>
        <v>קול יהודא</v>
      </c>
    </row>
    <row r="35735" spans="1:6" x14ac:dyDescent="0.2">
      <c r="A35735" t="s">
        <v>55301</v>
      </c>
      <c r="B35735" t="s">
        <v>28641</v>
      </c>
      <c r="C35735" t="s">
        <v>506</v>
      </c>
      <c r="D35735" t="s">
        <v>225</v>
      </c>
      <c r="F35735" s="2" t="str">
        <f>HYPERLINK("http://www.otzar.org/book.asp?20605","קול יהודה (מתוך מנחת יהודה)")</f>
        <v>קול יהודה (מתוך מנחת יהודה)</v>
      </c>
    </row>
    <row r="35736" spans="1:6" x14ac:dyDescent="0.2">
      <c r="A35736" t="s">
        <v>55302</v>
      </c>
      <c r="B35736" t="s">
        <v>4090</v>
      </c>
      <c r="C35736" t="s">
        <v>68</v>
      </c>
      <c r="D35736" t="s">
        <v>52</v>
      </c>
      <c r="E35736" t="s">
        <v>104</v>
      </c>
      <c r="F35736" s="2" t="str">
        <f>HYPERLINK("http://www.otzar.org/book.asp?167121","קול יהודה בעל הכתבים - 3 כר'")</f>
        <v>קול יהודה בעל הכתבים - 3 כר'</v>
      </c>
    </row>
    <row r="35737" spans="1:6" x14ac:dyDescent="0.2">
      <c r="A35737" t="s">
        <v>55303</v>
      </c>
      <c r="B35737" t="s">
        <v>55304</v>
      </c>
      <c r="C35737" t="s">
        <v>68</v>
      </c>
      <c r="D35737" t="s">
        <v>21</v>
      </c>
      <c r="E35737" t="s">
        <v>43764</v>
      </c>
      <c r="F35737" s="2" t="str">
        <f>HYPERLINK("http://www.otzar.org/book.asp?605110","קול יהודה ואשת חיל")</f>
        <v>קול יהודה ואשת חיל</v>
      </c>
    </row>
    <row r="35738" spans="1:6" x14ac:dyDescent="0.2">
      <c r="A35738" t="s">
        <v>55305</v>
      </c>
      <c r="B35738" t="s">
        <v>21909</v>
      </c>
      <c r="C35738" t="s">
        <v>422</v>
      </c>
      <c r="D35738" t="s">
        <v>14</v>
      </c>
      <c r="E35738" t="s">
        <v>158</v>
      </c>
      <c r="F35738" s="2" t="str">
        <f>HYPERLINK("http://www.otzar.org/book.asp?179438","קול יהודה")</f>
        <v>קול יהודה</v>
      </c>
    </row>
    <row r="35739" spans="1:6" x14ac:dyDescent="0.2">
      <c r="A35739" t="s">
        <v>55305</v>
      </c>
      <c r="B35739" t="s">
        <v>24946</v>
      </c>
      <c r="C35739" t="s">
        <v>419</v>
      </c>
      <c r="D35739" t="s">
        <v>14</v>
      </c>
      <c r="F35739" s="2" t="str">
        <f>HYPERLINK("http://www.otzar.org/book.asp?618133","קול יהודה")</f>
        <v>קול יהודה</v>
      </c>
    </row>
    <row r="35740" spans="1:6" x14ac:dyDescent="0.2">
      <c r="A35740" t="s">
        <v>55305</v>
      </c>
      <c r="B35740" t="s">
        <v>29075</v>
      </c>
      <c r="C35740" t="s">
        <v>1437</v>
      </c>
      <c r="D35740" t="s">
        <v>1279</v>
      </c>
      <c r="E35740" t="s">
        <v>154</v>
      </c>
      <c r="F35740" s="2" t="str">
        <f>HYPERLINK("http://www.otzar.org/book.asp?101721","קול יהודה")</f>
        <v>קול יהודה</v>
      </c>
    </row>
    <row r="35741" spans="1:6" x14ac:dyDescent="0.2">
      <c r="A35741" t="s">
        <v>55305</v>
      </c>
      <c r="B35741" t="s">
        <v>55306</v>
      </c>
      <c r="C35741" t="s">
        <v>454</v>
      </c>
      <c r="D35741" t="s">
        <v>486</v>
      </c>
      <c r="E35741" t="s">
        <v>234</v>
      </c>
      <c r="F35741" s="2" t="str">
        <f>HYPERLINK("http://www.otzar.org/book.asp?193396","קול יהודה")</f>
        <v>קול יהודה</v>
      </c>
    </row>
    <row r="35742" spans="1:6" x14ac:dyDescent="0.2">
      <c r="A35742" t="s">
        <v>55305</v>
      </c>
      <c r="B35742" t="s">
        <v>55307</v>
      </c>
      <c r="C35742" t="s">
        <v>124</v>
      </c>
      <c r="D35742" t="s">
        <v>1356</v>
      </c>
      <c r="E35742" t="s">
        <v>463</v>
      </c>
      <c r="F35742" s="2" t="str">
        <f>HYPERLINK("http://www.otzar.org/book.asp?199720","קול יהודה")</f>
        <v>קול יהודה</v>
      </c>
    </row>
    <row r="35743" spans="1:6" x14ac:dyDescent="0.2">
      <c r="A35743" t="s">
        <v>55305</v>
      </c>
      <c r="B35743" t="s">
        <v>21992</v>
      </c>
      <c r="C35743" t="s">
        <v>576</v>
      </c>
      <c r="D35743" t="s">
        <v>303</v>
      </c>
      <c r="E35743" t="s">
        <v>234</v>
      </c>
      <c r="F35743" s="2" t="str">
        <f>HYPERLINK("http://www.otzar.org/book.asp?21426","קול יהודה")</f>
        <v>קול יהודה</v>
      </c>
    </row>
    <row r="35744" spans="1:6" x14ac:dyDescent="0.2">
      <c r="A35744" t="s">
        <v>55308</v>
      </c>
      <c r="B35744" t="s">
        <v>55309</v>
      </c>
      <c r="C35744" t="s">
        <v>1778</v>
      </c>
      <c r="D35744" t="s">
        <v>4349</v>
      </c>
      <c r="F35744" s="2" t="str">
        <f>HYPERLINK("http://www.otzar.org/book.asp?165585","קול יהודה - 5 כר'")</f>
        <v>קול יהודה - 5 כר'</v>
      </c>
    </row>
    <row r="35745" spans="1:6" x14ac:dyDescent="0.2">
      <c r="A35745" t="s">
        <v>55305</v>
      </c>
      <c r="B35745" t="s">
        <v>55310</v>
      </c>
      <c r="C35745" t="s">
        <v>1952</v>
      </c>
      <c r="D35745" t="s">
        <v>744</v>
      </c>
      <c r="E35745" t="s">
        <v>158</v>
      </c>
      <c r="F35745" s="2" t="str">
        <f>HYPERLINK("http://www.otzar.org/book.asp?28452","קול יהודה")</f>
        <v>קול יהודה</v>
      </c>
    </row>
    <row r="35746" spans="1:6" x14ac:dyDescent="0.2">
      <c r="A35746" t="s">
        <v>55305</v>
      </c>
      <c r="B35746" t="s">
        <v>55311</v>
      </c>
      <c r="C35746" t="s">
        <v>1284</v>
      </c>
      <c r="D35746" t="s">
        <v>225</v>
      </c>
      <c r="E35746" t="s">
        <v>1880</v>
      </c>
      <c r="F35746" s="2" t="str">
        <f>HYPERLINK("http://www.otzar.org/book.asp?28480","קול יהודה")</f>
        <v>קול יהודה</v>
      </c>
    </row>
    <row r="35747" spans="1:6" x14ac:dyDescent="0.2">
      <c r="A35747" t="s">
        <v>55312</v>
      </c>
      <c r="B35747" t="s">
        <v>55313</v>
      </c>
      <c r="C35747" t="s">
        <v>55314</v>
      </c>
      <c r="D35747" t="s">
        <v>379</v>
      </c>
      <c r="E35747" t="s">
        <v>588</v>
      </c>
      <c r="F35747" s="2" t="str">
        <f>HYPERLINK("http://www.otzar.org/book.asp?102638","קול יהודה - 2 כר'")</f>
        <v>קול יהודה - 2 כר'</v>
      </c>
    </row>
    <row r="35748" spans="1:6" x14ac:dyDescent="0.2">
      <c r="A35748" t="s">
        <v>55305</v>
      </c>
      <c r="B35748" t="s">
        <v>55315</v>
      </c>
      <c r="C35748" t="s">
        <v>1844</v>
      </c>
      <c r="D35748" t="s">
        <v>535</v>
      </c>
      <c r="E35748" t="s">
        <v>241</v>
      </c>
      <c r="F35748" s="2" t="str">
        <f>HYPERLINK("http://www.otzar.org/book.asp?189498","קול יהודה")</f>
        <v>קול יהודה</v>
      </c>
    </row>
    <row r="35749" spans="1:6" x14ac:dyDescent="0.2">
      <c r="A35749" t="s">
        <v>55316</v>
      </c>
      <c r="B35749" t="s">
        <v>55317</v>
      </c>
      <c r="C35749" t="s">
        <v>14286</v>
      </c>
      <c r="D35749" t="s">
        <v>6042</v>
      </c>
      <c r="E35749" t="s">
        <v>144</v>
      </c>
      <c r="F35749" s="2" t="str">
        <f>HYPERLINK("http://www.otzar.org/book.asp?106991","קול יהודה - 3 כר'")</f>
        <v>קול יהודה - 3 כר'</v>
      </c>
    </row>
    <row r="35750" spans="1:6" x14ac:dyDescent="0.2">
      <c r="A35750" t="s">
        <v>55305</v>
      </c>
      <c r="B35750" t="s">
        <v>14640</v>
      </c>
      <c r="C35750" t="s">
        <v>360</v>
      </c>
      <c r="D35750" t="s">
        <v>9</v>
      </c>
      <c r="E35750" t="s">
        <v>144</v>
      </c>
      <c r="F35750" s="2" t="str">
        <f>HYPERLINK("http://www.otzar.org/book.asp?51504","קול יהודה")</f>
        <v>קול יהודה</v>
      </c>
    </row>
    <row r="35751" spans="1:6" x14ac:dyDescent="0.2">
      <c r="A35751" t="s">
        <v>55305</v>
      </c>
      <c r="B35751" t="s">
        <v>55318</v>
      </c>
      <c r="C35751" t="s">
        <v>2543</v>
      </c>
      <c r="D35751" t="s">
        <v>55319</v>
      </c>
      <c r="E35751" t="s">
        <v>55320</v>
      </c>
      <c r="F35751" s="2" t="str">
        <f>HYPERLINK("http://www.otzar.org/book.asp?21521","קול יהודה")</f>
        <v>קול יהודה</v>
      </c>
    </row>
    <row r="35752" spans="1:6" x14ac:dyDescent="0.2">
      <c r="A35752" t="s">
        <v>55305</v>
      </c>
      <c r="B35752" t="s">
        <v>10154</v>
      </c>
      <c r="C35752" t="s">
        <v>1940</v>
      </c>
      <c r="D35752" t="s">
        <v>212</v>
      </c>
      <c r="E35752" t="s">
        <v>26724</v>
      </c>
      <c r="F35752" s="2" t="str">
        <f>HYPERLINK("http://www.otzar.org/book.asp?15946","קול יהודה")</f>
        <v>קול יהודה</v>
      </c>
    </row>
    <row r="35753" spans="1:6" x14ac:dyDescent="0.2">
      <c r="A35753" t="s">
        <v>55305</v>
      </c>
      <c r="B35753" t="s">
        <v>32030</v>
      </c>
      <c r="C35753" t="s">
        <v>985</v>
      </c>
      <c r="D35753" t="s">
        <v>9</v>
      </c>
      <c r="E35753" t="s">
        <v>463</v>
      </c>
      <c r="F35753" s="2" t="str">
        <f>HYPERLINK("http://www.otzar.org/book.asp?51505","קול יהודה")</f>
        <v>קול יהודה</v>
      </c>
    </row>
    <row r="35754" spans="1:6" x14ac:dyDescent="0.2">
      <c r="A35754" t="s">
        <v>55305</v>
      </c>
      <c r="B35754" t="s">
        <v>55321</v>
      </c>
      <c r="C35754" t="s">
        <v>176</v>
      </c>
      <c r="D35754" t="s">
        <v>14</v>
      </c>
      <c r="E35754" t="s">
        <v>463</v>
      </c>
      <c r="F35754" s="2" t="str">
        <f>HYPERLINK("http://www.otzar.org/book.asp?142368","קול יהודה")</f>
        <v>קול יהודה</v>
      </c>
    </row>
    <row r="35755" spans="1:6" x14ac:dyDescent="0.2">
      <c r="A35755" t="s">
        <v>55305</v>
      </c>
      <c r="B35755" t="s">
        <v>55322</v>
      </c>
      <c r="C35755" t="s">
        <v>635</v>
      </c>
      <c r="D35755" t="s">
        <v>283</v>
      </c>
      <c r="E35755" t="s">
        <v>158</v>
      </c>
      <c r="F35755" s="2" t="str">
        <f>HYPERLINK("http://www.otzar.org/book.asp?173091","קול יהודה")</f>
        <v>קול יהודה</v>
      </c>
    </row>
    <row r="35756" spans="1:6" x14ac:dyDescent="0.2">
      <c r="A35756" t="s">
        <v>55305</v>
      </c>
      <c r="B35756" t="s">
        <v>55323</v>
      </c>
      <c r="C35756" t="s">
        <v>919</v>
      </c>
      <c r="D35756" t="s">
        <v>14</v>
      </c>
      <c r="E35756" t="s">
        <v>230</v>
      </c>
      <c r="F35756" s="2" t="str">
        <f>HYPERLINK("http://www.otzar.org/book.asp?163024","קול יהודה")</f>
        <v>קול יהודה</v>
      </c>
    </row>
    <row r="35757" spans="1:6" x14ac:dyDescent="0.2">
      <c r="A35757" t="s">
        <v>55305</v>
      </c>
      <c r="B35757" t="s">
        <v>55324</v>
      </c>
      <c r="C35757" t="s">
        <v>649</v>
      </c>
      <c r="D35757" t="s">
        <v>1422</v>
      </c>
      <c r="E35757" t="s">
        <v>144</v>
      </c>
      <c r="F35757" s="2" t="str">
        <f>HYPERLINK("http://www.otzar.org/book.asp?141125","קול יהודה")</f>
        <v>קול יהודה</v>
      </c>
    </row>
    <row r="35758" spans="1:6" x14ac:dyDescent="0.2">
      <c r="A35758" t="s">
        <v>55305</v>
      </c>
      <c r="B35758" t="s">
        <v>55325</v>
      </c>
      <c r="C35758" t="s">
        <v>395</v>
      </c>
      <c r="D35758" t="s">
        <v>1422</v>
      </c>
      <c r="E35758" t="s">
        <v>579</v>
      </c>
      <c r="F35758" s="2" t="str">
        <f>HYPERLINK("http://www.otzar.org/book.asp?103715","קול יהודה")</f>
        <v>קול יהודה</v>
      </c>
    </row>
    <row r="35759" spans="1:6" x14ac:dyDescent="0.2">
      <c r="A35759" t="s">
        <v>55326</v>
      </c>
      <c r="B35759" t="s">
        <v>38716</v>
      </c>
      <c r="C35759" t="s">
        <v>1448</v>
      </c>
      <c r="D35759" t="s">
        <v>52</v>
      </c>
      <c r="E35759" t="s">
        <v>474</v>
      </c>
      <c r="F35759" s="2" t="str">
        <f>HYPERLINK("http://www.otzar.org/book.asp?189774","קול יהודה - א")</f>
        <v>קול יהודה - א</v>
      </c>
    </row>
    <row r="35760" spans="1:6" x14ac:dyDescent="0.2">
      <c r="A35760" t="s">
        <v>55305</v>
      </c>
      <c r="B35760" t="s">
        <v>10158</v>
      </c>
      <c r="C35760" t="s">
        <v>908</v>
      </c>
      <c r="D35760" t="s">
        <v>1538</v>
      </c>
      <c r="E35760" t="s">
        <v>154</v>
      </c>
      <c r="F35760" s="2" t="str">
        <f>HYPERLINK("http://www.otzar.org/book.asp?50857","קול יהודה")</f>
        <v>קול יהודה</v>
      </c>
    </row>
    <row r="35761" spans="1:6" x14ac:dyDescent="0.2">
      <c r="A35761" t="s">
        <v>55327</v>
      </c>
      <c r="B35761" t="s">
        <v>55328</v>
      </c>
      <c r="C35761" t="s">
        <v>5709</v>
      </c>
      <c r="D35761" t="s">
        <v>1490</v>
      </c>
      <c r="E35761" t="s">
        <v>104</v>
      </c>
      <c r="F35761" s="2" t="str">
        <f>HYPERLINK("http://www.otzar.org/book.asp?147312","קול יהושע")</f>
        <v>קול יהושע</v>
      </c>
    </row>
    <row r="35762" spans="1:6" x14ac:dyDescent="0.2">
      <c r="A35762" t="s">
        <v>55329</v>
      </c>
      <c r="B35762" t="s">
        <v>55330</v>
      </c>
      <c r="C35762" t="s">
        <v>1991</v>
      </c>
      <c r="D35762" t="s">
        <v>1008</v>
      </c>
      <c r="E35762" t="s">
        <v>733</v>
      </c>
      <c r="F35762" s="2" t="str">
        <f>HYPERLINK("http://www.otzar.org/book.asp?147230","קול יללת תרועה ושברים")</f>
        <v>קול יללת תרועה ושברים</v>
      </c>
    </row>
    <row r="35763" spans="1:6" x14ac:dyDescent="0.2">
      <c r="A35763" t="s">
        <v>55331</v>
      </c>
      <c r="B35763" t="s">
        <v>489</v>
      </c>
      <c r="C35763" t="s">
        <v>356</v>
      </c>
      <c r="D35763" t="s">
        <v>14</v>
      </c>
      <c r="F35763" s="2" t="str">
        <f>HYPERLINK("http://www.otzar.org/book.asp?620626","קול יעקב &lt;פאפא&gt; - 3 כר'")</f>
        <v>קול יעקב &lt;פאפא&gt; - 3 כר'</v>
      </c>
    </row>
    <row r="35764" spans="1:6" x14ac:dyDescent="0.2">
      <c r="A35764" t="s">
        <v>55332</v>
      </c>
      <c r="B35764" t="s">
        <v>2220</v>
      </c>
      <c r="C35764" t="s">
        <v>244</v>
      </c>
      <c r="D35764" t="s">
        <v>21</v>
      </c>
      <c r="E35764" t="s">
        <v>158</v>
      </c>
      <c r="F35764" s="2" t="str">
        <f>HYPERLINK("http://www.otzar.org/book.asp?601039","קול יעקב &lt;מהדורה חדשה&gt; - חמש מגילות")</f>
        <v>קול יעקב &lt;מהדורה חדשה&gt; - חמש מגילות</v>
      </c>
    </row>
    <row r="35765" spans="1:6" x14ac:dyDescent="0.2">
      <c r="A35765" t="s">
        <v>55333</v>
      </c>
      <c r="B35765" t="s">
        <v>55334</v>
      </c>
      <c r="C35765" t="s">
        <v>1096</v>
      </c>
      <c r="D35765" t="s">
        <v>225</v>
      </c>
      <c r="E35765" t="s">
        <v>219</v>
      </c>
      <c r="F35765" s="2" t="str">
        <f>HYPERLINK("http://www.otzar.org/book.asp?16624","קול יעקב &lt;סידור&gt;")</f>
        <v>קול יעקב &lt;סידור&gt;</v>
      </c>
    </row>
    <row r="35766" spans="1:6" x14ac:dyDescent="0.2">
      <c r="A35766" t="s">
        <v>55335</v>
      </c>
      <c r="B35766" t="s">
        <v>19915</v>
      </c>
      <c r="C35766" t="s">
        <v>3475</v>
      </c>
      <c r="D35766" t="s">
        <v>563</v>
      </c>
      <c r="F35766" s="2" t="str">
        <f>HYPERLINK("http://www.otzar.org/book.asp?179762","קול יעקב - 2 כר'")</f>
        <v>קול יעקב - 2 כר'</v>
      </c>
    </row>
    <row r="35767" spans="1:6" x14ac:dyDescent="0.2">
      <c r="A35767" t="s">
        <v>55336</v>
      </c>
      <c r="B35767" t="s">
        <v>55337</v>
      </c>
      <c r="C35767" t="s">
        <v>985</v>
      </c>
      <c r="D35767" t="s">
        <v>260</v>
      </c>
      <c r="E35767" t="s">
        <v>202</v>
      </c>
      <c r="F35767" s="2" t="str">
        <f>HYPERLINK("http://www.otzar.org/book.asp?14873","קול יעקב")</f>
        <v>קול יעקב</v>
      </c>
    </row>
    <row r="35768" spans="1:6" x14ac:dyDescent="0.2">
      <c r="A35768" t="s">
        <v>55336</v>
      </c>
      <c r="B35768" t="s">
        <v>55338</v>
      </c>
      <c r="C35768" t="s">
        <v>3017</v>
      </c>
      <c r="D35768" t="s">
        <v>1966</v>
      </c>
      <c r="E35768" t="s">
        <v>930</v>
      </c>
      <c r="F35768" s="2" t="str">
        <f>HYPERLINK("http://www.otzar.org/book.asp?20607","קול יעקב")</f>
        <v>קול יעקב</v>
      </c>
    </row>
    <row r="35769" spans="1:6" x14ac:dyDescent="0.2">
      <c r="A35769" t="s">
        <v>55339</v>
      </c>
      <c r="B35769" t="s">
        <v>2222</v>
      </c>
      <c r="C35769" t="s">
        <v>17</v>
      </c>
      <c r="D35769" t="s">
        <v>14</v>
      </c>
      <c r="E35769" t="s">
        <v>4160</v>
      </c>
      <c r="F35769" s="2" t="str">
        <f>HYPERLINK("http://www.otzar.org/book.asp?50787","קול יעקב - תורה ומועדים")</f>
        <v>קול יעקב - תורה ומועדים</v>
      </c>
    </row>
    <row r="35770" spans="1:6" x14ac:dyDescent="0.2">
      <c r="A35770" t="s">
        <v>55335</v>
      </c>
      <c r="B35770" t="s">
        <v>55340</v>
      </c>
      <c r="C35770" t="s">
        <v>37</v>
      </c>
      <c r="D35770" t="s">
        <v>1974</v>
      </c>
      <c r="F35770" s="2" t="str">
        <f>HYPERLINK("http://www.otzar.org/book.asp?617997","קול יעקב - 2 כר'")</f>
        <v>קול יעקב - 2 כר'</v>
      </c>
    </row>
    <row r="35771" spans="1:6" x14ac:dyDescent="0.2">
      <c r="A35771" t="s">
        <v>55341</v>
      </c>
      <c r="B35771" t="s">
        <v>55342</v>
      </c>
      <c r="C35771" t="s">
        <v>523</v>
      </c>
      <c r="D35771" t="s">
        <v>52</v>
      </c>
      <c r="F35771" s="2" t="str">
        <f>HYPERLINK("http://www.otzar.org/book.asp?600381","קול יעקב - 7 כר'")</f>
        <v>קול יעקב - 7 כר'</v>
      </c>
    </row>
    <row r="35772" spans="1:6" x14ac:dyDescent="0.2">
      <c r="A35772" t="s">
        <v>55335</v>
      </c>
      <c r="B35772" t="s">
        <v>36442</v>
      </c>
      <c r="C35772" t="s">
        <v>8294</v>
      </c>
      <c r="D35772" t="s">
        <v>1023</v>
      </c>
      <c r="E35772" t="s">
        <v>234</v>
      </c>
      <c r="F35772" s="2" t="str">
        <f>HYPERLINK("http://www.otzar.org/book.asp?151122","קול יעקב - 2 כר'")</f>
        <v>קול יעקב - 2 כר'</v>
      </c>
    </row>
    <row r="35773" spans="1:6" x14ac:dyDescent="0.2">
      <c r="A35773" t="s">
        <v>55335</v>
      </c>
      <c r="B35773" t="s">
        <v>26124</v>
      </c>
      <c r="C35773" t="s">
        <v>445</v>
      </c>
      <c r="D35773" t="s">
        <v>27</v>
      </c>
      <c r="E35773" t="s">
        <v>148</v>
      </c>
      <c r="F35773" s="2" t="str">
        <f>HYPERLINK("http://www.otzar.org/book.asp?104992","קול יעקב - 2 כר'")</f>
        <v>קול יעקב - 2 כר'</v>
      </c>
    </row>
    <row r="35774" spans="1:6" x14ac:dyDescent="0.2">
      <c r="A35774" t="s">
        <v>55343</v>
      </c>
      <c r="B35774" t="s">
        <v>55344</v>
      </c>
      <c r="C35774" t="s">
        <v>523</v>
      </c>
      <c r="D35774" t="s">
        <v>17048</v>
      </c>
      <c r="E35774" t="s">
        <v>144</v>
      </c>
      <c r="F35774" s="2" t="str">
        <f>HYPERLINK("http://www.otzar.org/book.asp?153746","קול יעקב - סוכה א")</f>
        <v>קול יעקב - סוכה א</v>
      </c>
    </row>
    <row r="35775" spans="1:6" x14ac:dyDescent="0.2">
      <c r="A35775" t="s">
        <v>55336</v>
      </c>
      <c r="B35775" t="s">
        <v>55345</v>
      </c>
      <c r="C35775" t="s">
        <v>133</v>
      </c>
      <c r="D35775" t="s">
        <v>52</v>
      </c>
      <c r="F35775" s="2" t="str">
        <f>HYPERLINK("http://www.otzar.org/book.asp?609259","קול יעקב")</f>
        <v>קול יעקב</v>
      </c>
    </row>
    <row r="35776" spans="1:6" x14ac:dyDescent="0.2">
      <c r="A35776" t="s">
        <v>55336</v>
      </c>
      <c r="B35776" t="s">
        <v>55346</v>
      </c>
      <c r="C35776" t="s">
        <v>1208</v>
      </c>
      <c r="D35776" t="s">
        <v>21</v>
      </c>
      <c r="E35776" t="s">
        <v>55347</v>
      </c>
      <c r="F35776" s="2" t="str">
        <f>HYPERLINK("http://www.otzar.org/book.asp?197360","קול יעקב")</f>
        <v>קול יעקב</v>
      </c>
    </row>
    <row r="35777" spans="1:6" x14ac:dyDescent="0.2">
      <c r="A35777" t="s">
        <v>55348</v>
      </c>
      <c r="B35777" t="s">
        <v>2220</v>
      </c>
      <c r="C35777" t="s">
        <v>5140</v>
      </c>
      <c r="D35777" t="s">
        <v>5258</v>
      </c>
      <c r="E35777" t="s">
        <v>158</v>
      </c>
      <c r="F35777" s="2" t="str">
        <f>HYPERLINK("http://www.otzar.org/book.asp?102198","קול יעקב - 3 כר'")</f>
        <v>קול יעקב - 3 כר'</v>
      </c>
    </row>
    <row r="35778" spans="1:6" x14ac:dyDescent="0.2">
      <c r="A35778" t="s">
        <v>55336</v>
      </c>
      <c r="B35778" t="s">
        <v>2232</v>
      </c>
      <c r="C35778" t="s">
        <v>55349</v>
      </c>
      <c r="D35778" t="s">
        <v>6214</v>
      </c>
      <c r="E35778" t="s">
        <v>158</v>
      </c>
      <c r="F35778" s="2" t="str">
        <f>HYPERLINK("http://www.otzar.org/book.asp?624680","קול יעקב")</f>
        <v>קול יעקב</v>
      </c>
    </row>
    <row r="35779" spans="1:6" x14ac:dyDescent="0.2">
      <c r="A35779" t="s">
        <v>55350</v>
      </c>
      <c r="B35779" t="s">
        <v>55351</v>
      </c>
      <c r="C35779" t="s">
        <v>553</v>
      </c>
      <c r="D35779" t="s">
        <v>52</v>
      </c>
      <c r="E35779" t="s">
        <v>234</v>
      </c>
      <c r="F35779" s="2" t="str">
        <f>HYPERLINK("http://www.otzar.org/book.asp?610911","קול יעקב - 5 כר'")</f>
        <v>קול יעקב - 5 כר'</v>
      </c>
    </row>
    <row r="35780" spans="1:6" x14ac:dyDescent="0.2">
      <c r="A35780" t="s">
        <v>55336</v>
      </c>
      <c r="B35780" t="s">
        <v>23984</v>
      </c>
      <c r="C35780" t="s">
        <v>482</v>
      </c>
      <c r="D35780" t="s">
        <v>260</v>
      </c>
      <c r="E35780" t="s">
        <v>733</v>
      </c>
      <c r="F35780" s="2" t="str">
        <f>HYPERLINK("http://www.otzar.org/book.asp?152888","קול יעקב")</f>
        <v>קול יעקב</v>
      </c>
    </row>
    <row r="35781" spans="1:6" x14ac:dyDescent="0.2">
      <c r="A35781" t="s">
        <v>55336</v>
      </c>
      <c r="B35781" t="s">
        <v>55352</v>
      </c>
      <c r="F35781" s="2" t="str">
        <f>HYPERLINK("http://www.otzar.org/book.asp?627974","קול יעקב")</f>
        <v>קול יעקב</v>
      </c>
    </row>
    <row r="35782" spans="1:6" x14ac:dyDescent="0.2">
      <c r="A35782" t="s">
        <v>55336</v>
      </c>
      <c r="B35782" t="s">
        <v>4581</v>
      </c>
      <c r="C35782" t="s">
        <v>1150</v>
      </c>
      <c r="D35782" t="s">
        <v>212</v>
      </c>
      <c r="E35782" t="s">
        <v>158</v>
      </c>
      <c r="F35782" s="2" t="str">
        <f>HYPERLINK("http://www.otzar.org/book.asp?106902","קול יעקב")</f>
        <v>קול יעקב</v>
      </c>
    </row>
    <row r="35783" spans="1:6" x14ac:dyDescent="0.2">
      <c r="A35783" t="s">
        <v>55336</v>
      </c>
      <c r="B35783" t="s">
        <v>55353</v>
      </c>
      <c r="C35783" t="s">
        <v>14352</v>
      </c>
      <c r="D35783" t="s">
        <v>157</v>
      </c>
      <c r="E35783" t="s">
        <v>2879</v>
      </c>
      <c r="F35783" s="2" t="str">
        <f>HYPERLINK("http://www.otzar.org/book.asp?20606","קול יעקב")</f>
        <v>קול יעקב</v>
      </c>
    </row>
    <row r="35784" spans="1:6" x14ac:dyDescent="0.2">
      <c r="A35784" t="s">
        <v>55336</v>
      </c>
      <c r="B35784" t="s">
        <v>55354</v>
      </c>
      <c r="C35784" t="s">
        <v>1268</v>
      </c>
      <c r="D35784" t="s">
        <v>14</v>
      </c>
      <c r="E35784" t="s">
        <v>7827</v>
      </c>
      <c r="F35784" s="2" t="str">
        <f>HYPERLINK("http://www.otzar.org/book.asp?149921","קול יעקב")</f>
        <v>קול יעקב</v>
      </c>
    </row>
    <row r="35785" spans="1:6" x14ac:dyDescent="0.2">
      <c r="A35785" t="s">
        <v>55335</v>
      </c>
      <c r="B35785" t="s">
        <v>11138</v>
      </c>
      <c r="C35785" t="s">
        <v>244</v>
      </c>
      <c r="D35785" t="s">
        <v>14</v>
      </c>
      <c r="F35785" s="2" t="str">
        <f>HYPERLINK("http://www.otzar.org/book.asp?618618","קול יעקב - 2 כר'")</f>
        <v>קול יעקב - 2 כר'</v>
      </c>
    </row>
    <row r="35786" spans="1:6" x14ac:dyDescent="0.2">
      <c r="A35786" t="s">
        <v>55350</v>
      </c>
      <c r="B35786" t="s">
        <v>55355</v>
      </c>
      <c r="C35786" t="s">
        <v>1811</v>
      </c>
      <c r="D35786" t="s">
        <v>412</v>
      </c>
      <c r="E35786" t="s">
        <v>202</v>
      </c>
      <c r="F35786" s="2" t="str">
        <f>HYPERLINK("http://www.otzar.org/book.asp?624544","קול יעקב - 5 כר'")</f>
        <v>קול יעקב - 5 כר'</v>
      </c>
    </row>
    <row r="35787" spans="1:6" x14ac:dyDescent="0.2">
      <c r="A35787" t="s">
        <v>55335</v>
      </c>
      <c r="B35787" t="s">
        <v>55356</v>
      </c>
      <c r="C35787" t="s">
        <v>538</v>
      </c>
      <c r="D35787" t="s">
        <v>27174</v>
      </c>
      <c r="E35787" t="s">
        <v>399</v>
      </c>
      <c r="F35787" s="2" t="str">
        <f>HYPERLINK("http://www.otzar.org/book.asp?104223","קול יעקב - 2 כר'")</f>
        <v>קול יעקב - 2 כר'</v>
      </c>
    </row>
    <row r="35788" spans="1:6" x14ac:dyDescent="0.2">
      <c r="A35788" t="s">
        <v>55336</v>
      </c>
      <c r="B35788" t="s">
        <v>55357</v>
      </c>
      <c r="C35788" t="s">
        <v>1036</v>
      </c>
      <c r="D35788" t="s">
        <v>267</v>
      </c>
      <c r="E35788" t="s">
        <v>219</v>
      </c>
      <c r="F35788" s="2" t="str">
        <f>HYPERLINK("http://www.otzar.org/book.asp?28275","קול יעקב")</f>
        <v>קול יעקב</v>
      </c>
    </row>
    <row r="35789" spans="1:6" x14ac:dyDescent="0.2">
      <c r="A35789" t="s">
        <v>55358</v>
      </c>
      <c r="B35789" t="s">
        <v>55359</v>
      </c>
      <c r="C35789" t="s">
        <v>1374</v>
      </c>
      <c r="D35789" t="s">
        <v>2181</v>
      </c>
      <c r="E35789" t="s">
        <v>234</v>
      </c>
      <c r="F35789" s="2" t="str">
        <f>HYPERLINK("http://www.otzar.org/book.asp?103959","קול יצחק")</f>
        <v>קול יצחק</v>
      </c>
    </row>
    <row r="35790" spans="1:6" x14ac:dyDescent="0.2">
      <c r="A35790" t="s">
        <v>55360</v>
      </c>
      <c r="B35790" t="s">
        <v>55361</v>
      </c>
      <c r="C35790" t="s">
        <v>466</v>
      </c>
      <c r="D35790" t="s">
        <v>14</v>
      </c>
      <c r="E35790" t="s">
        <v>186</v>
      </c>
      <c r="F35790" s="2" t="str">
        <f>HYPERLINK("http://www.otzar.org/book.asp?144460","קול ירושלים - 4 כר'")</f>
        <v>קול ירושלים - 4 כר'</v>
      </c>
    </row>
    <row r="35791" spans="1:6" x14ac:dyDescent="0.2">
      <c r="A35791" t="s">
        <v>55362</v>
      </c>
      <c r="B35791" t="s">
        <v>1750</v>
      </c>
      <c r="C35791" t="s">
        <v>3106</v>
      </c>
      <c r="D35791" t="s">
        <v>412</v>
      </c>
      <c r="E35791" t="s">
        <v>202</v>
      </c>
      <c r="F35791" s="2" t="str">
        <f>HYPERLINK("http://www.otzar.org/book.asp?626530","קול ירושלים - 10 כר'")</f>
        <v>קול ירושלים - 10 כר'</v>
      </c>
    </row>
    <row r="35792" spans="1:6" x14ac:dyDescent="0.2">
      <c r="A35792" t="s">
        <v>55363</v>
      </c>
      <c r="B35792" t="s">
        <v>55364</v>
      </c>
      <c r="C35792" t="s">
        <v>1721</v>
      </c>
      <c r="D35792" t="s">
        <v>1279</v>
      </c>
      <c r="E35792" t="s">
        <v>246</v>
      </c>
      <c r="F35792" s="2" t="str">
        <f>HYPERLINK("http://www.otzar.org/book.asp?51506","קול ישועה")</f>
        <v>קול ישועה</v>
      </c>
    </row>
    <row r="35793" spans="1:6" x14ac:dyDescent="0.2">
      <c r="A35793" t="s">
        <v>55365</v>
      </c>
      <c r="B35793" t="s">
        <v>55366</v>
      </c>
      <c r="C35793" t="s">
        <v>180</v>
      </c>
      <c r="D35793" t="s">
        <v>14</v>
      </c>
      <c r="E35793" t="s">
        <v>104</v>
      </c>
      <c r="F35793" s="2" t="str">
        <f>HYPERLINK("http://www.otzar.org/book.asp?195879","קול ישראל אנתלוגיה לחזנות  - א")</f>
        <v>קול ישראל אנתלוגיה לחזנות  - א</v>
      </c>
    </row>
    <row r="35794" spans="1:6" x14ac:dyDescent="0.2">
      <c r="A35794" t="s">
        <v>55367</v>
      </c>
      <c r="B35794" t="s">
        <v>55368</v>
      </c>
      <c r="C35794" t="s">
        <v>1650</v>
      </c>
      <c r="D35794" t="s">
        <v>14</v>
      </c>
      <c r="E35794" t="s">
        <v>202</v>
      </c>
      <c r="F35794" s="2" t="str">
        <f>HYPERLINK("http://www.otzar.org/book.asp?627159","קול ישראל - 4 כר'")</f>
        <v>קול ישראל - 4 כר'</v>
      </c>
    </row>
    <row r="35795" spans="1:6" x14ac:dyDescent="0.2">
      <c r="A35795" t="s">
        <v>55369</v>
      </c>
      <c r="B35795" t="s">
        <v>55370</v>
      </c>
      <c r="C35795" t="s">
        <v>20</v>
      </c>
      <c r="D35795" t="s">
        <v>14</v>
      </c>
      <c r="F35795" s="2" t="str">
        <f>HYPERLINK("http://www.otzar.org/book.asp?625540","קול מביאים תודה")</f>
        <v>קול מביאים תודה</v>
      </c>
    </row>
    <row r="35796" spans="1:6" x14ac:dyDescent="0.2">
      <c r="A35796" t="s">
        <v>55371</v>
      </c>
      <c r="B35796" t="s">
        <v>18333</v>
      </c>
      <c r="C35796" t="s">
        <v>1202</v>
      </c>
      <c r="D35796" t="s">
        <v>27</v>
      </c>
      <c r="E35796" t="s">
        <v>733</v>
      </c>
      <c r="F35796" s="2" t="str">
        <f>HYPERLINK("http://www.otzar.org/book.asp?23463","קול מבש""ר")</f>
        <v>קול מבש"ר</v>
      </c>
    </row>
    <row r="35797" spans="1:6" x14ac:dyDescent="0.2">
      <c r="A35797" t="s">
        <v>55372</v>
      </c>
      <c r="B35797" t="s">
        <v>24596</v>
      </c>
      <c r="C35797" t="s">
        <v>20</v>
      </c>
      <c r="D35797" t="s">
        <v>118</v>
      </c>
      <c r="E35797" t="s">
        <v>957</v>
      </c>
      <c r="F35797" s="2" t="str">
        <f>HYPERLINK("http://www.otzar.org/book.asp?85130","קול מבשר &lt;מהדורה חדשה&gt; - 2 כר'")</f>
        <v>קול מבשר &lt;מהדורה חדשה&gt; - 2 כר'</v>
      </c>
    </row>
    <row r="35798" spans="1:6" x14ac:dyDescent="0.2">
      <c r="A35798" t="s">
        <v>55373</v>
      </c>
      <c r="B35798" t="s">
        <v>5218</v>
      </c>
      <c r="C35798" t="s">
        <v>1619</v>
      </c>
      <c r="D35798" t="s">
        <v>1840</v>
      </c>
      <c r="E35798" t="s">
        <v>234</v>
      </c>
      <c r="F35798" s="2" t="str">
        <f>HYPERLINK("http://www.otzar.org/book.asp?53650","קול מבשר")</f>
        <v>קול מבשר</v>
      </c>
    </row>
    <row r="35799" spans="1:6" x14ac:dyDescent="0.2">
      <c r="A35799" t="s">
        <v>55373</v>
      </c>
      <c r="B35799" t="s">
        <v>55374</v>
      </c>
      <c r="C35799" t="s">
        <v>2008</v>
      </c>
      <c r="D35799" t="s">
        <v>974</v>
      </c>
      <c r="E35799" t="s">
        <v>158</v>
      </c>
      <c r="F35799" s="2" t="str">
        <f>HYPERLINK("http://www.otzar.org/book.asp?167477","קול מבשר")</f>
        <v>קול מבשר</v>
      </c>
    </row>
    <row r="35800" spans="1:6" x14ac:dyDescent="0.2">
      <c r="A35800" t="s">
        <v>55373</v>
      </c>
      <c r="B35800" t="s">
        <v>3820</v>
      </c>
      <c r="C35800" t="s">
        <v>585</v>
      </c>
      <c r="D35800" t="s">
        <v>14</v>
      </c>
      <c r="E35800" t="s">
        <v>573</v>
      </c>
      <c r="F35800" s="2" t="str">
        <f>HYPERLINK("http://www.otzar.org/book.asp?19323","קול מבשר")</f>
        <v>קול מבשר</v>
      </c>
    </row>
    <row r="35801" spans="1:6" x14ac:dyDescent="0.2">
      <c r="A35801" t="s">
        <v>55373</v>
      </c>
      <c r="B35801" t="s">
        <v>55375</v>
      </c>
      <c r="C35801" t="s">
        <v>728</v>
      </c>
      <c r="D35801" t="s">
        <v>283</v>
      </c>
      <c r="E35801" t="s">
        <v>154</v>
      </c>
      <c r="F35801" s="2" t="str">
        <f>HYPERLINK("http://www.otzar.org/book.asp?20610","קול מבשר")</f>
        <v>קול מבשר</v>
      </c>
    </row>
    <row r="35802" spans="1:6" x14ac:dyDescent="0.2">
      <c r="A35802" t="s">
        <v>55373</v>
      </c>
      <c r="B35802" t="s">
        <v>489</v>
      </c>
      <c r="C35802" t="s">
        <v>129</v>
      </c>
      <c r="D35802" t="s">
        <v>152</v>
      </c>
      <c r="E35802" t="s">
        <v>202</v>
      </c>
      <c r="F35802" s="2" t="str">
        <f>HYPERLINK("http://www.otzar.org/book.asp?146484","קול מבשר")</f>
        <v>קול מבשר</v>
      </c>
    </row>
    <row r="35803" spans="1:6" x14ac:dyDescent="0.2">
      <c r="A35803" t="s">
        <v>55376</v>
      </c>
      <c r="B35803" t="s">
        <v>33442</v>
      </c>
      <c r="C35803" t="s">
        <v>55377</v>
      </c>
      <c r="D35803" t="s">
        <v>27</v>
      </c>
      <c r="E35803" t="s">
        <v>588</v>
      </c>
      <c r="F35803" s="2" t="str">
        <f>HYPERLINK("http://www.otzar.org/book.asp?144754","קול מבשר - 2 כר'")</f>
        <v>קול מבשר - 2 כר'</v>
      </c>
    </row>
    <row r="35804" spans="1:6" x14ac:dyDescent="0.2">
      <c r="A35804" t="s">
        <v>55376</v>
      </c>
      <c r="B35804" t="s">
        <v>55378</v>
      </c>
      <c r="C35804" t="s">
        <v>55379</v>
      </c>
      <c r="D35804" t="s">
        <v>27</v>
      </c>
      <c r="E35804" t="s">
        <v>144</v>
      </c>
      <c r="F35804" s="2" t="str">
        <f>HYPERLINK("http://www.otzar.org/book.asp?61085","קול מבשר - 2 כר'")</f>
        <v>קול מבשר - 2 כר'</v>
      </c>
    </row>
    <row r="35805" spans="1:6" x14ac:dyDescent="0.2">
      <c r="A35805" t="s">
        <v>55373</v>
      </c>
      <c r="B35805" t="s">
        <v>55380</v>
      </c>
      <c r="C35805" t="s">
        <v>114</v>
      </c>
      <c r="D35805" t="s">
        <v>8245</v>
      </c>
      <c r="F35805" s="2" t="str">
        <f>HYPERLINK("http://www.otzar.org/book.asp?611211","קול מבשר")</f>
        <v>קול מבשר</v>
      </c>
    </row>
    <row r="35806" spans="1:6" x14ac:dyDescent="0.2">
      <c r="A35806" t="s">
        <v>55373</v>
      </c>
      <c r="B35806" t="s">
        <v>2275</v>
      </c>
      <c r="C35806" t="s">
        <v>1036</v>
      </c>
      <c r="D35806" t="s">
        <v>1576</v>
      </c>
      <c r="E35806" t="s">
        <v>15</v>
      </c>
      <c r="F35806" s="2" t="str">
        <f>HYPERLINK("http://www.otzar.org/book.asp?191408","קול מבשר")</f>
        <v>קול מבשר</v>
      </c>
    </row>
    <row r="35807" spans="1:6" x14ac:dyDescent="0.2">
      <c r="A35807" t="s">
        <v>55373</v>
      </c>
      <c r="B35807" t="s">
        <v>55381</v>
      </c>
      <c r="C35807" t="s">
        <v>482</v>
      </c>
      <c r="D35807" t="s">
        <v>27</v>
      </c>
      <c r="E35807" t="s">
        <v>8580</v>
      </c>
      <c r="F35807" s="2" t="str">
        <f>HYPERLINK("http://www.otzar.org/book.asp?103716","קול מבשר")</f>
        <v>קול מבשר</v>
      </c>
    </row>
    <row r="35808" spans="1:6" x14ac:dyDescent="0.2">
      <c r="A35808" t="s">
        <v>55376</v>
      </c>
      <c r="B35808" t="s">
        <v>7366</v>
      </c>
      <c r="C35808" t="s">
        <v>9168</v>
      </c>
      <c r="D35808" t="s">
        <v>49</v>
      </c>
      <c r="F35808" s="2" t="str">
        <f>HYPERLINK("http://www.otzar.org/book.asp?165176","קול מבשר - 2 כר'")</f>
        <v>קול מבשר - 2 כר'</v>
      </c>
    </row>
    <row r="35809" spans="1:6" x14ac:dyDescent="0.2">
      <c r="A35809" t="s">
        <v>55382</v>
      </c>
      <c r="B35809" t="s">
        <v>1750</v>
      </c>
      <c r="C35809" t="s">
        <v>129</v>
      </c>
      <c r="D35809" t="s">
        <v>14</v>
      </c>
      <c r="E35809" t="s">
        <v>202</v>
      </c>
      <c r="F35809" s="2" t="str">
        <f>HYPERLINK("http://www.otzar.org/book.asp?624543","קול מהיכל &lt;ואלקין&gt; - 9 כר'")</f>
        <v>קול מהיכל &lt;ואלקין&gt; - 9 כר'</v>
      </c>
    </row>
    <row r="35810" spans="1:6" x14ac:dyDescent="0.2">
      <c r="A35810" t="s">
        <v>33935</v>
      </c>
      <c r="B35810" t="s">
        <v>55383</v>
      </c>
      <c r="C35810" t="s">
        <v>20</v>
      </c>
      <c r="D35810" t="s">
        <v>14</v>
      </c>
      <c r="E35810" t="s">
        <v>202</v>
      </c>
      <c r="F35810" s="2" t="str">
        <f>HYPERLINK("http://www.otzar.org/book.asp?163086","קול מהיכל")</f>
        <v>קול מהיכל</v>
      </c>
    </row>
    <row r="35811" spans="1:6" x14ac:dyDescent="0.2">
      <c r="A35811" t="s">
        <v>55384</v>
      </c>
      <c r="B35811" t="s">
        <v>489</v>
      </c>
      <c r="C35811" t="s">
        <v>767</v>
      </c>
      <c r="D35811" t="s">
        <v>14</v>
      </c>
      <c r="F35811" s="2" t="str">
        <f>HYPERLINK("http://www.otzar.org/book.asp?606011","קול מהיכל - 2 כר'")</f>
        <v>קול מהיכל - 2 כר'</v>
      </c>
    </row>
    <row r="35812" spans="1:6" x14ac:dyDescent="0.2">
      <c r="A35812" t="s">
        <v>55385</v>
      </c>
      <c r="B35812" t="s">
        <v>55386</v>
      </c>
      <c r="C35812" t="s">
        <v>5163</v>
      </c>
      <c r="D35812" t="s">
        <v>267</v>
      </c>
      <c r="E35812" t="s">
        <v>1626</v>
      </c>
      <c r="F35812" s="2" t="str">
        <f>HYPERLINK("http://www.otzar.org/book.asp?146942","קול מוסר")</f>
        <v>קול מוסר</v>
      </c>
    </row>
    <row r="35813" spans="1:6" x14ac:dyDescent="0.2">
      <c r="A35813" t="s">
        <v>55387</v>
      </c>
      <c r="B35813" t="s">
        <v>55388</v>
      </c>
      <c r="C35813" t="s">
        <v>1166</v>
      </c>
      <c r="D35813" t="s">
        <v>1719</v>
      </c>
      <c r="F35813" s="2" t="str">
        <f>HYPERLINK("http://www.otzar.org/book.asp?606970","קול מחזיקי הדת - 3 כר'")</f>
        <v>קול מחזיקי הדת - 3 כר'</v>
      </c>
    </row>
    <row r="35814" spans="1:6" x14ac:dyDescent="0.2">
      <c r="A35814" t="s">
        <v>55389</v>
      </c>
      <c r="B35814" t="s">
        <v>55390</v>
      </c>
      <c r="C35814" t="s">
        <v>332</v>
      </c>
      <c r="D35814" t="s">
        <v>14</v>
      </c>
      <c r="E35814" t="s">
        <v>1174</v>
      </c>
      <c r="F35814" s="2" t="str">
        <f>HYPERLINK("http://www.otzar.org/book.asp?176869","קול מחזיקי הדת - 5 כר'")</f>
        <v>קול מחזיקי הדת - 5 כר'</v>
      </c>
    </row>
    <row r="35815" spans="1:6" x14ac:dyDescent="0.2">
      <c r="A35815" t="s">
        <v>55391</v>
      </c>
      <c r="B35815" t="s">
        <v>1750</v>
      </c>
      <c r="C35815" t="s">
        <v>506</v>
      </c>
      <c r="D35815" t="s">
        <v>55392</v>
      </c>
      <c r="E35815" t="s">
        <v>202</v>
      </c>
      <c r="F35815" s="2" t="str">
        <f>HYPERLINK("http://www.otzar.org/book.asp?163264","קול מחזיקי הדת - א-ב")</f>
        <v>קול מחזיקי הדת - א-ב</v>
      </c>
    </row>
    <row r="35816" spans="1:6" x14ac:dyDescent="0.2">
      <c r="A35816" t="s">
        <v>55393</v>
      </c>
      <c r="B35816" t="s">
        <v>51475</v>
      </c>
      <c r="C35816" t="s">
        <v>1570</v>
      </c>
      <c r="D35816" t="s">
        <v>6138</v>
      </c>
      <c r="E35816" t="s">
        <v>2862</v>
      </c>
      <c r="F35816" s="2" t="str">
        <f>HYPERLINK("http://www.otzar.org/book.asp?5122","קול מנחם &lt;קאליב&gt; - 12 כר'")</f>
        <v>קול מנחם &lt;קאליב&gt; - 12 כר'</v>
      </c>
    </row>
    <row r="35817" spans="1:6" x14ac:dyDescent="0.2">
      <c r="A35817" t="s">
        <v>55394</v>
      </c>
      <c r="B35817" t="s">
        <v>55395</v>
      </c>
      <c r="C35817" t="s">
        <v>411</v>
      </c>
      <c r="D35817" t="s">
        <v>52</v>
      </c>
      <c r="E35817" t="s">
        <v>144</v>
      </c>
      <c r="F35817" s="2" t="str">
        <f>HYPERLINK("http://www.otzar.org/book.asp?164964","קול מנחם")</f>
        <v>קול מנחם</v>
      </c>
    </row>
    <row r="35818" spans="1:6" x14ac:dyDescent="0.2">
      <c r="A35818" t="s">
        <v>55396</v>
      </c>
      <c r="B35818" t="s">
        <v>12242</v>
      </c>
      <c r="C35818" t="s">
        <v>146</v>
      </c>
      <c r="D35818" t="s">
        <v>21</v>
      </c>
      <c r="E35818" t="s">
        <v>154</v>
      </c>
      <c r="F35818" s="2" t="str">
        <f>HYPERLINK("http://www.otzar.org/book.asp?197256","קול מצהלות חתנים")</f>
        <v>קול מצהלות חתנים</v>
      </c>
    </row>
    <row r="35819" spans="1:6" x14ac:dyDescent="0.2">
      <c r="A35819" t="s">
        <v>55397</v>
      </c>
      <c r="B35819" t="s">
        <v>55398</v>
      </c>
      <c r="C35819" t="s">
        <v>454</v>
      </c>
      <c r="D35819" t="s">
        <v>90</v>
      </c>
      <c r="E35819" t="s">
        <v>10482</v>
      </c>
      <c r="F35819" s="2" t="str">
        <f>HYPERLINK("http://www.otzar.org/book.asp?175938","קול מצהלות")</f>
        <v>קול מצהלות</v>
      </c>
    </row>
    <row r="35820" spans="1:6" x14ac:dyDescent="0.2">
      <c r="A35820" t="s">
        <v>55397</v>
      </c>
      <c r="B35820" t="s">
        <v>18747</v>
      </c>
      <c r="C35820" t="s">
        <v>383</v>
      </c>
      <c r="D35820" t="s">
        <v>14</v>
      </c>
      <c r="E35820" t="s">
        <v>241</v>
      </c>
      <c r="F35820" s="2" t="str">
        <f>HYPERLINK("http://www.otzar.org/book.asp?108350","קול מצהלות")</f>
        <v>קול מצהלות</v>
      </c>
    </row>
    <row r="35821" spans="1:6" x14ac:dyDescent="0.2">
      <c r="A35821" t="s">
        <v>55399</v>
      </c>
      <c r="B35821" t="s">
        <v>55400</v>
      </c>
      <c r="C35821" t="s">
        <v>767</v>
      </c>
      <c r="D35821" t="s">
        <v>27</v>
      </c>
      <c r="E35821" t="s">
        <v>234</v>
      </c>
      <c r="F35821" s="2" t="str">
        <f>HYPERLINK("http://www.otzar.org/book.asp?623631","קול מציון - אמרי ציון")</f>
        <v>קול מציון - אמרי ציון</v>
      </c>
    </row>
    <row r="35822" spans="1:6" x14ac:dyDescent="0.2">
      <c r="A35822" t="s">
        <v>55401</v>
      </c>
      <c r="B35822" t="s">
        <v>55402</v>
      </c>
      <c r="C35822" t="s">
        <v>767</v>
      </c>
      <c r="D35822" t="s">
        <v>21</v>
      </c>
      <c r="E35822" t="s">
        <v>234</v>
      </c>
      <c r="F35822" s="2" t="str">
        <f>HYPERLINK("http://www.otzar.org/book.asp?603622","קול מציון")</f>
        <v>קול מציון</v>
      </c>
    </row>
    <row r="35823" spans="1:6" x14ac:dyDescent="0.2">
      <c r="A35823" t="s">
        <v>55401</v>
      </c>
      <c r="B35823" t="s">
        <v>23246</v>
      </c>
      <c r="C35823" t="s">
        <v>6054</v>
      </c>
      <c r="D35823" t="s">
        <v>27</v>
      </c>
      <c r="E35823" t="s">
        <v>104</v>
      </c>
      <c r="F35823" s="2" t="str">
        <f>HYPERLINK("http://www.otzar.org/book.asp?168023","קול מציון")</f>
        <v>קול מציון</v>
      </c>
    </row>
    <row r="35824" spans="1:6" x14ac:dyDescent="0.2">
      <c r="A35824" t="s">
        <v>55403</v>
      </c>
      <c r="B35824" t="s">
        <v>55404</v>
      </c>
      <c r="C35824" t="s">
        <v>1160</v>
      </c>
      <c r="D35824" t="s">
        <v>412</v>
      </c>
      <c r="F35824" s="2" t="str">
        <f>HYPERLINK("http://www.otzar.org/book.asp?612061","קול מרדכי")</f>
        <v>קול מרדכי</v>
      </c>
    </row>
    <row r="35825" spans="1:6" x14ac:dyDescent="0.2">
      <c r="A35825" t="s">
        <v>55405</v>
      </c>
      <c r="B35825" t="s">
        <v>11051</v>
      </c>
      <c r="C35825" t="s">
        <v>1169</v>
      </c>
      <c r="D35825" t="s">
        <v>1889</v>
      </c>
      <c r="E35825" t="s">
        <v>803</v>
      </c>
      <c r="F35825" s="2" t="str">
        <f>HYPERLINK("http://www.otzar.org/book.asp?300554","קול משה")</f>
        <v>קול משה</v>
      </c>
    </row>
    <row r="35826" spans="1:6" x14ac:dyDescent="0.2">
      <c r="A35826" t="s">
        <v>55405</v>
      </c>
      <c r="B35826" t="s">
        <v>41958</v>
      </c>
      <c r="C35826" t="s">
        <v>411</v>
      </c>
      <c r="D35826" t="s">
        <v>412</v>
      </c>
      <c r="F35826" s="2" t="str">
        <f>HYPERLINK("http://www.otzar.org/book.asp?615895","קול משה")</f>
        <v>קול משה</v>
      </c>
    </row>
    <row r="35827" spans="1:6" x14ac:dyDescent="0.2">
      <c r="A35827" t="s">
        <v>55406</v>
      </c>
      <c r="B35827" t="s">
        <v>5618</v>
      </c>
      <c r="C35827" t="s">
        <v>466</v>
      </c>
      <c r="D35827" t="s">
        <v>52</v>
      </c>
      <c r="E35827" t="s">
        <v>234</v>
      </c>
      <c r="F35827" s="2" t="str">
        <f>HYPERLINK("http://www.otzar.org/book.asp?61711","קול נהי ארימה - הספדים על ר' דוד פוברסקי זצ""ל")</f>
        <v>קול נהי ארימה - הספדים על ר' דוד פוברסקי זצ"ל</v>
      </c>
    </row>
    <row r="35828" spans="1:6" x14ac:dyDescent="0.2">
      <c r="A35828" t="s">
        <v>55407</v>
      </c>
      <c r="B35828" t="s">
        <v>55408</v>
      </c>
      <c r="C35828" t="s">
        <v>286</v>
      </c>
      <c r="D35828" t="s">
        <v>1538</v>
      </c>
      <c r="E35828" t="s">
        <v>234</v>
      </c>
      <c r="F35828" s="2" t="str">
        <f>HYPERLINK("http://www.otzar.org/book.asp?167544","קול נהי בכי תמרורים")</f>
        <v>קול נהי בכי תמרורים</v>
      </c>
    </row>
    <row r="35829" spans="1:6" x14ac:dyDescent="0.2">
      <c r="A35829" t="s">
        <v>55409</v>
      </c>
      <c r="B35829" t="s">
        <v>55410</v>
      </c>
      <c r="C35829" t="s">
        <v>2644</v>
      </c>
      <c r="D35829" t="s">
        <v>5209</v>
      </c>
      <c r="E35829" t="s">
        <v>234</v>
      </c>
      <c r="F35829" s="2" t="str">
        <f>HYPERLINK("http://www.otzar.org/book.asp?189332","קול נהי ומספד מר")</f>
        <v>קול נהי ומספד מר</v>
      </c>
    </row>
    <row r="35830" spans="1:6" x14ac:dyDescent="0.2">
      <c r="A35830" t="s">
        <v>55411</v>
      </c>
      <c r="B35830" t="s">
        <v>30151</v>
      </c>
      <c r="C35830" t="s">
        <v>492</v>
      </c>
      <c r="D35830" t="s">
        <v>27</v>
      </c>
      <c r="E35830" t="s">
        <v>234</v>
      </c>
      <c r="F35830" s="2" t="str">
        <f>HYPERLINK("http://www.otzar.org/book.asp?189326","קול נהי")</f>
        <v>קול נהי</v>
      </c>
    </row>
    <row r="35831" spans="1:6" x14ac:dyDescent="0.2">
      <c r="A35831" t="s">
        <v>55411</v>
      </c>
      <c r="B35831" t="s">
        <v>55412</v>
      </c>
      <c r="C35831" t="s">
        <v>445</v>
      </c>
      <c r="D35831" t="s">
        <v>27</v>
      </c>
      <c r="E35831" t="s">
        <v>234</v>
      </c>
      <c r="F35831" s="2" t="str">
        <f>HYPERLINK("http://www.otzar.org/book.asp?189327","קול נהי")</f>
        <v>קול נהי</v>
      </c>
    </row>
    <row r="35832" spans="1:6" x14ac:dyDescent="0.2">
      <c r="A35832" t="s">
        <v>55413</v>
      </c>
      <c r="B35832" t="s">
        <v>5618</v>
      </c>
      <c r="C35832" t="s">
        <v>775</v>
      </c>
      <c r="D35832" t="s">
        <v>9909</v>
      </c>
      <c r="E35832" t="s">
        <v>234</v>
      </c>
      <c r="F35832" s="2" t="str">
        <f>HYPERLINK("http://www.otzar.org/book.asp?601237","קול נהי - הספדים על מו""ר רפאל יונה טיקוצ'ינסקי")</f>
        <v>קול נהי - הספדים על מו"ר רפאל יונה טיקוצ'ינסקי</v>
      </c>
    </row>
    <row r="35833" spans="1:6" x14ac:dyDescent="0.2">
      <c r="A35833" t="s">
        <v>55411</v>
      </c>
      <c r="B35833" t="s">
        <v>55414</v>
      </c>
      <c r="C35833" t="s">
        <v>950</v>
      </c>
      <c r="D35833" t="s">
        <v>6785</v>
      </c>
      <c r="E35833" t="s">
        <v>234</v>
      </c>
      <c r="F35833" s="2" t="str">
        <f>HYPERLINK("http://www.otzar.org/book.asp?189328","קול נהי")</f>
        <v>קול נהי</v>
      </c>
    </row>
    <row r="35834" spans="1:6" x14ac:dyDescent="0.2">
      <c r="A35834" t="s">
        <v>55411</v>
      </c>
      <c r="B35834" t="s">
        <v>55415</v>
      </c>
      <c r="C35834" t="s">
        <v>1437</v>
      </c>
      <c r="D35834" t="s">
        <v>855</v>
      </c>
      <c r="E35834" t="s">
        <v>234</v>
      </c>
      <c r="F35834" s="2" t="str">
        <f>HYPERLINK("http://www.otzar.org/book.asp?189338","קול נהי")</f>
        <v>קול נהי</v>
      </c>
    </row>
    <row r="35835" spans="1:6" x14ac:dyDescent="0.2">
      <c r="A35835" t="s">
        <v>55411</v>
      </c>
      <c r="B35835" t="s">
        <v>12510</v>
      </c>
      <c r="C35835" t="s">
        <v>1177</v>
      </c>
      <c r="D35835" t="s">
        <v>855</v>
      </c>
      <c r="E35835" t="s">
        <v>234</v>
      </c>
      <c r="F35835" s="2" t="str">
        <f>HYPERLINK("http://www.otzar.org/book.asp?189329","קול נהי")</f>
        <v>קול נהי</v>
      </c>
    </row>
    <row r="35836" spans="1:6" x14ac:dyDescent="0.2">
      <c r="A35836" t="s">
        <v>55411</v>
      </c>
      <c r="B35836" t="s">
        <v>55416</v>
      </c>
      <c r="C35836" t="s">
        <v>748</v>
      </c>
      <c r="D35836" t="s">
        <v>56</v>
      </c>
      <c r="E35836" t="s">
        <v>234</v>
      </c>
      <c r="F35836" s="2" t="str">
        <f>HYPERLINK("http://www.otzar.org/book.asp?189330","קול נהי")</f>
        <v>קול נהי</v>
      </c>
    </row>
    <row r="35837" spans="1:6" x14ac:dyDescent="0.2">
      <c r="A35837" t="s">
        <v>55411</v>
      </c>
      <c r="B35837" t="s">
        <v>55417</v>
      </c>
      <c r="C35837" t="s">
        <v>3709</v>
      </c>
      <c r="D35837" t="s">
        <v>744</v>
      </c>
      <c r="E35837" t="s">
        <v>234</v>
      </c>
      <c r="F35837" s="2" t="str">
        <f>HYPERLINK("http://www.otzar.org/book.asp?28206","קול נהי")</f>
        <v>קול נהי</v>
      </c>
    </row>
    <row r="35838" spans="1:6" x14ac:dyDescent="0.2">
      <c r="A35838" t="s">
        <v>55411</v>
      </c>
      <c r="B35838" t="s">
        <v>55418</v>
      </c>
      <c r="C35838" t="s">
        <v>343</v>
      </c>
      <c r="D35838" t="s">
        <v>1023</v>
      </c>
      <c r="E35838" t="s">
        <v>234</v>
      </c>
      <c r="F35838" s="2" t="str">
        <f>HYPERLINK("http://www.otzar.org/book.asp?189331","קול נהי")</f>
        <v>קול נהי</v>
      </c>
    </row>
    <row r="35839" spans="1:6" x14ac:dyDescent="0.2">
      <c r="A35839" t="s">
        <v>55419</v>
      </c>
      <c r="B35839" t="s">
        <v>55420</v>
      </c>
      <c r="C35839" t="s">
        <v>619</v>
      </c>
      <c r="D35839" t="s">
        <v>283</v>
      </c>
      <c r="E35839" t="s">
        <v>55421</v>
      </c>
      <c r="F35839" s="2" t="str">
        <f>HYPERLINK("http://www.otzar.org/book.asp?28406","קול נפתלי")</f>
        <v>קול נפתלי</v>
      </c>
    </row>
    <row r="35840" spans="1:6" x14ac:dyDescent="0.2">
      <c r="A35840" t="s">
        <v>55422</v>
      </c>
      <c r="B35840" t="s">
        <v>7980</v>
      </c>
      <c r="C35840" t="s">
        <v>133</v>
      </c>
      <c r="D35840" t="s">
        <v>412</v>
      </c>
      <c r="E35840" t="s">
        <v>84</v>
      </c>
      <c r="F35840" s="2" t="str">
        <f>HYPERLINK("http://www.otzar.org/book.asp?606366","קול סופר &lt;מהדורה חדשה&gt; - 3 כר'")</f>
        <v>קול סופר &lt;מהדורה חדשה&gt; - 3 כר'</v>
      </c>
    </row>
    <row r="35841" spans="1:6" x14ac:dyDescent="0.2">
      <c r="A35841" t="s">
        <v>55423</v>
      </c>
      <c r="B35841" t="s">
        <v>55424</v>
      </c>
      <c r="C35841" t="s">
        <v>767</v>
      </c>
      <c r="D35841" t="s">
        <v>52</v>
      </c>
      <c r="F35841" s="2" t="str">
        <f>HYPERLINK("http://www.otzar.org/book.asp?610779","קול סופר ונבכי נהרות - מקואות")</f>
        <v>קול סופר ונבכי נהרות - מקואות</v>
      </c>
    </row>
    <row r="35842" spans="1:6" x14ac:dyDescent="0.2">
      <c r="A35842" t="s">
        <v>55425</v>
      </c>
      <c r="B35842" t="s">
        <v>7980</v>
      </c>
      <c r="C35842" t="s">
        <v>10455</v>
      </c>
      <c r="D35842" t="s">
        <v>379</v>
      </c>
      <c r="E35842" t="s">
        <v>786</v>
      </c>
      <c r="F35842" s="2" t="str">
        <f>HYPERLINK("http://www.otzar.org/book.asp?101612","קול סופר")</f>
        <v>קול סופר</v>
      </c>
    </row>
    <row r="35843" spans="1:6" x14ac:dyDescent="0.2">
      <c r="A35843" t="s">
        <v>55426</v>
      </c>
      <c r="B35843" t="s">
        <v>16416</v>
      </c>
      <c r="C35843" t="s">
        <v>1202</v>
      </c>
      <c r="D35843" t="s">
        <v>974</v>
      </c>
      <c r="E35843" t="s">
        <v>803</v>
      </c>
      <c r="F35843" s="2" t="str">
        <f>HYPERLINK("http://www.otzar.org/book.asp?145309","קול סופרים")</f>
        <v>קול סופרים</v>
      </c>
    </row>
    <row r="35844" spans="1:6" x14ac:dyDescent="0.2">
      <c r="A35844" t="s">
        <v>55427</v>
      </c>
      <c r="B35844" t="s">
        <v>55428</v>
      </c>
      <c r="C35844" t="s">
        <v>1640</v>
      </c>
      <c r="D35844" t="s">
        <v>14</v>
      </c>
      <c r="E35844" t="s">
        <v>202</v>
      </c>
      <c r="F35844" s="2" t="str">
        <f>HYPERLINK("http://www.otzar.org/book.asp?193250","קול סיני - 43 כר'")</f>
        <v>קול סיני - 43 כר'</v>
      </c>
    </row>
    <row r="35845" spans="1:6" x14ac:dyDescent="0.2">
      <c r="A35845" t="s">
        <v>55429</v>
      </c>
      <c r="B35845" t="s">
        <v>10248</v>
      </c>
      <c r="C35845" t="s">
        <v>466</v>
      </c>
      <c r="D35845" t="s">
        <v>412</v>
      </c>
      <c r="E35845" t="s">
        <v>202</v>
      </c>
      <c r="F35845" s="2" t="str">
        <f>HYPERLINK("http://www.otzar.org/book.asp?170690","קול צבי - 9 כר'")</f>
        <v>קול צבי - 9 כר'</v>
      </c>
    </row>
    <row r="35846" spans="1:6" x14ac:dyDescent="0.2">
      <c r="A35846" t="s">
        <v>55430</v>
      </c>
      <c r="B35846" t="s">
        <v>55431</v>
      </c>
      <c r="C35846" t="s">
        <v>1228</v>
      </c>
      <c r="D35846" t="s">
        <v>225</v>
      </c>
      <c r="E35846" t="s">
        <v>55432</v>
      </c>
      <c r="F35846" s="2" t="str">
        <f>HYPERLINK("http://www.otzar.org/book.asp?19130","קול צהלה")</f>
        <v>קול צהלה</v>
      </c>
    </row>
    <row r="35847" spans="1:6" x14ac:dyDescent="0.2">
      <c r="A35847" t="s">
        <v>55433</v>
      </c>
      <c r="B35847" t="s">
        <v>2637</v>
      </c>
      <c r="C35847" t="s">
        <v>103</v>
      </c>
      <c r="D35847" t="s">
        <v>412</v>
      </c>
      <c r="E35847" t="s">
        <v>6688</v>
      </c>
      <c r="F35847" s="2" t="str">
        <f>HYPERLINK("http://www.otzar.org/book.asp?627260","קול צופיך")</f>
        <v>קול צופיך</v>
      </c>
    </row>
    <row r="35848" spans="1:6" x14ac:dyDescent="0.2">
      <c r="A35848" t="s">
        <v>55433</v>
      </c>
      <c r="B35848" t="s">
        <v>24946</v>
      </c>
      <c r="C35848" t="s">
        <v>1448</v>
      </c>
      <c r="D35848" t="s">
        <v>14</v>
      </c>
      <c r="E35848" t="s">
        <v>621</v>
      </c>
      <c r="F35848" s="2" t="str">
        <f>HYPERLINK("http://www.otzar.org/book.asp?12092","קול צופיך")</f>
        <v>קול צופיך</v>
      </c>
    </row>
    <row r="35849" spans="1:6" x14ac:dyDescent="0.2">
      <c r="A35849" t="s">
        <v>55434</v>
      </c>
      <c r="B35849" t="s">
        <v>3820</v>
      </c>
      <c r="C35849" t="s">
        <v>124</v>
      </c>
      <c r="D35849" t="s">
        <v>14</v>
      </c>
      <c r="E35849" t="s">
        <v>158</v>
      </c>
      <c r="F35849" s="2" t="str">
        <f>HYPERLINK("http://www.otzar.org/book.asp?166448","קול צופיך - 3 כר'")</f>
        <v>קול צופיך - 3 כר'</v>
      </c>
    </row>
    <row r="35850" spans="1:6" x14ac:dyDescent="0.2">
      <c r="A35850" t="s">
        <v>55435</v>
      </c>
      <c r="B35850" t="s">
        <v>2396</v>
      </c>
      <c r="C35850" t="s">
        <v>68</v>
      </c>
      <c r="D35850" t="s">
        <v>1076</v>
      </c>
      <c r="E35850" t="s">
        <v>158</v>
      </c>
      <c r="F35850" s="2" t="str">
        <f>HYPERLINK("http://www.otzar.org/book.asp?165259","קול צופיך - 2 כר'")</f>
        <v>קול צופיך - 2 כר'</v>
      </c>
    </row>
    <row r="35851" spans="1:6" x14ac:dyDescent="0.2">
      <c r="A35851" t="s">
        <v>55436</v>
      </c>
      <c r="B35851" t="s">
        <v>55437</v>
      </c>
      <c r="C35851" t="s">
        <v>3246</v>
      </c>
      <c r="D35851" t="s">
        <v>889</v>
      </c>
      <c r="E35851" t="s">
        <v>22375</v>
      </c>
      <c r="F35851" s="2" t="str">
        <f>HYPERLINK("http://www.otzar.org/book.asp?101611","קול צעקת הרועים")</f>
        <v>קול צעקת הרועים</v>
      </c>
    </row>
    <row r="35852" spans="1:6" x14ac:dyDescent="0.2">
      <c r="A35852" t="s">
        <v>55438</v>
      </c>
      <c r="B35852" t="s">
        <v>1197</v>
      </c>
      <c r="C35852" t="s">
        <v>1650</v>
      </c>
      <c r="D35852" t="s">
        <v>27</v>
      </c>
      <c r="E35852" t="s">
        <v>4738</v>
      </c>
      <c r="F35852" s="2" t="str">
        <f>HYPERLINK("http://www.otzar.org/book.asp?20612","קול קהל ישראל")</f>
        <v>קול קהל ישראל</v>
      </c>
    </row>
    <row r="35853" spans="1:6" x14ac:dyDescent="0.2">
      <c r="A35853" t="s">
        <v>55439</v>
      </c>
      <c r="B35853" t="s">
        <v>55440</v>
      </c>
      <c r="C35853" t="s">
        <v>5257</v>
      </c>
      <c r="D35853" t="s">
        <v>744</v>
      </c>
      <c r="E35853" t="s">
        <v>4341</v>
      </c>
      <c r="F35853" s="2" t="str">
        <f>HYPERLINK("http://www.otzar.org/book.asp?101572","קול קול יעקב")</f>
        <v>קול קול יעקב</v>
      </c>
    </row>
    <row r="35854" spans="1:6" x14ac:dyDescent="0.2">
      <c r="A35854" t="s">
        <v>55441</v>
      </c>
      <c r="B35854" t="s">
        <v>38206</v>
      </c>
      <c r="C35854" t="s">
        <v>427</v>
      </c>
      <c r="D35854" t="s">
        <v>14</v>
      </c>
      <c r="E35854" t="s">
        <v>213</v>
      </c>
      <c r="F35854" s="2" t="str">
        <f>HYPERLINK("http://www.otzar.org/book.asp?626273","קול קורא")</f>
        <v>קול קורא</v>
      </c>
    </row>
    <row r="35855" spans="1:6" x14ac:dyDescent="0.2">
      <c r="A35855" t="s">
        <v>55442</v>
      </c>
      <c r="B35855" t="s">
        <v>686</v>
      </c>
      <c r="C35855" t="s">
        <v>176</v>
      </c>
      <c r="D35855" t="s">
        <v>52</v>
      </c>
      <c r="E35855" t="s">
        <v>230</v>
      </c>
      <c r="F35855" s="2" t="str">
        <f>HYPERLINK("http://www.otzar.org/book.asp?176811","קול רחל - עטרת שלמה")</f>
        <v>קול רחל - עטרת שלמה</v>
      </c>
    </row>
    <row r="35856" spans="1:6" x14ac:dyDescent="0.2">
      <c r="A35856" t="s">
        <v>55443</v>
      </c>
      <c r="B35856" t="s">
        <v>32055</v>
      </c>
      <c r="E35856" t="s">
        <v>140</v>
      </c>
      <c r="F35856" s="2" t="str">
        <f>HYPERLINK("http://www.otzar.org/book.asp?626280","קול רינה וישועה באהלי צדיקים")</f>
        <v>קול רינה וישועה באהלי צדיקים</v>
      </c>
    </row>
    <row r="35857" spans="1:6" x14ac:dyDescent="0.2">
      <c r="A35857" t="s">
        <v>55444</v>
      </c>
      <c r="B35857" t="s">
        <v>4457</v>
      </c>
      <c r="C35857" t="s">
        <v>366</v>
      </c>
      <c r="D35857" t="s">
        <v>2909</v>
      </c>
      <c r="F35857" s="2" t="str">
        <f>HYPERLINK("http://www.otzar.org/book.asp?611023","קול רינה - 2 כר'")</f>
        <v>קול רינה - 2 כר'</v>
      </c>
    </row>
    <row r="35858" spans="1:6" x14ac:dyDescent="0.2">
      <c r="A35858" t="s">
        <v>55445</v>
      </c>
      <c r="B35858" t="s">
        <v>55446</v>
      </c>
      <c r="C35858" t="s">
        <v>291</v>
      </c>
      <c r="D35858" t="s">
        <v>212</v>
      </c>
      <c r="E35858" t="s">
        <v>158</v>
      </c>
      <c r="F35858" s="2" t="str">
        <f>HYPERLINK("http://www.otzar.org/book.asp?28383","קול רנה וישועה")</f>
        <v>קול רנה וישועה</v>
      </c>
    </row>
    <row r="35859" spans="1:6" x14ac:dyDescent="0.2">
      <c r="A35859" t="s">
        <v>55447</v>
      </c>
      <c r="B35859" t="s">
        <v>55448</v>
      </c>
      <c r="C35859" t="s">
        <v>411</v>
      </c>
      <c r="D35859" t="s">
        <v>229</v>
      </c>
      <c r="E35859" t="s">
        <v>158</v>
      </c>
      <c r="F35859" s="2" t="str">
        <f>HYPERLINK("http://www.otzar.org/book.asp?629820","קול רנה - 2 כר'")</f>
        <v>קול רנה - 2 כר'</v>
      </c>
    </row>
    <row r="35860" spans="1:6" x14ac:dyDescent="0.2">
      <c r="A35860" t="s">
        <v>55449</v>
      </c>
      <c r="B35860" t="s">
        <v>55450</v>
      </c>
      <c r="C35860" t="s">
        <v>1036</v>
      </c>
      <c r="D35860" t="s">
        <v>55451</v>
      </c>
      <c r="F35860" s="2" t="str">
        <f>HYPERLINK("http://www.otzar.org/book.asp?611376","קול רנה")</f>
        <v>קול רנה</v>
      </c>
    </row>
    <row r="35861" spans="1:6" x14ac:dyDescent="0.2">
      <c r="A35861" t="s">
        <v>55449</v>
      </c>
      <c r="B35861" t="s">
        <v>23665</v>
      </c>
      <c r="C35861" t="s">
        <v>1166</v>
      </c>
      <c r="D35861" t="s">
        <v>446</v>
      </c>
      <c r="E35861" t="s">
        <v>43</v>
      </c>
      <c r="F35861" s="2" t="str">
        <f>HYPERLINK("http://www.otzar.org/book.asp?150008","קול רנה")</f>
        <v>קול רנה</v>
      </c>
    </row>
    <row r="35862" spans="1:6" x14ac:dyDescent="0.2">
      <c r="A35862" t="s">
        <v>55452</v>
      </c>
      <c r="B35862" t="s">
        <v>3625</v>
      </c>
      <c r="C35862" t="s">
        <v>576</v>
      </c>
      <c r="D35862" t="s">
        <v>5108</v>
      </c>
      <c r="E35862" t="s">
        <v>674</v>
      </c>
      <c r="F35862" s="2" t="str">
        <f>HYPERLINK("http://www.otzar.org/book.asp?145209","קול רעש גדול")</f>
        <v>קול רעש גדול</v>
      </c>
    </row>
    <row r="35863" spans="1:6" x14ac:dyDescent="0.2">
      <c r="A35863" t="s">
        <v>55453</v>
      </c>
      <c r="B35863" t="s">
        <v>1750</v>
      </c>
      <c r="C35863" t="s">
        <v>13</v>
      </c>
      <c r="D35863" t="s">
        <v>52</v>
      </c>
      <c r="E35863" t="s">
        <v>202</v>
      </c>
      <c r="F35863" s="2" t="str">
        <f>HYPERLINK("http://www.otzar.org/book.asp?154271","קול רפאל")</f>
        <v>קול רפאל</v>
      </c>
    </row>
    <row r="35864" spans="1:6" x14ac:dyDescent="0.2">
      <c r="A35864" t="s">
        <v>55454</v>
      </c>
      <c r="B35864" t="s">
        <v>3669</v>
      </c>
      <c r="C35864" t="s">
        <v>23</v>
      </c>
      <c r="D35864" t="s">
        <v>90</v>
      </c>
      <c r="E35864" t="s">
        <v>8079</v>
      </c>
      <c r="F35864" s="2" t="str">
        <f>HYPERLINK("http://www.otzar.org/book.asp?628085","קול שופר חזק מאד")</f>
        <v>קול שופר חזק מאד</v>
      </c>
    </row>
    <row r="35865" spans="1:6" x14ac:dyDescent="0.2">
      <c r="A35865" t="s">
        <v>55455</v>
      </c>
      <c r="B35865" t="s">
        <v>3292</v>
      </c>
      <c r="C35865" t="s">
        <v>547</v>
      </c>
      <c r="D35865" t="s">
        <v>3293</v>
      </c>
      <c r="E35865" t="s">
        <v>234</v>
      </c>
      <c r="F35865" s="2" t="str">
        <f>HYPERLINK("http://www.otzar.org/book.asp?141950","קול שופר")</f>
        <v>קול שופר</v>
      </c>
    </row>
    <row r="35866" spans="1:6" x14ac:dyDescent="0.2">
      <c r="A35866" t="s">
        <v>55456</v>
      </c>
      <c r="B35866" t="s">
        <v>48481</v>
      </c>
      <c r="C35866" t="s">
        <v>6062</v>
      </c>
      <c r="D35866" t="s">
        <v>76</v>
      </c>
      <c r="E35866" t="s">
        <v>158</v>
      </c>
      <c r="F35866" s="2" t="str">
        <f>HYPERLINK("http://www.otzar.org/book.asp?141145","קול שמואל")</f>
        <v>קול שמואל</v>
      </c>
    </row>
    <row r="35867" spans="1:6" x14ac:dyDescent="0.2">
      <c r="A35867" t="s">
        <v>55457</v>
      </c>
      <c r="B35867" t="s">
        <v>24596</v>
      </c>
      <c r="C35867" t="s">
        <v>189</v>
      </c>
      <c r="D35867" t="s">
        <v>14</v>
      </c>
      <c r="E35867" t="s">
        <v>55458</v>
      </c>
      <c r="F35867" s="2" t="str">
        <f>HYPERLINK("http://www.otzar.org/book.asp?157648","קול שמחה &lt;מהדורה המסורה&gt;")</f>
        <v>קול שמחה &lt;מהדורה המסורה&gt;</v>
      </c>
    </row>
    <row r="35868" spans="1:6" x14ac:dyDescent="0.2">
      <c r="A35868" t="s">
        <v>55459</v>
      </c>
      <c r="B35868" t="s">
        <v>24596</v>
      </c>
      <c r="C35868" t="s">
        <v>151</v>
      </c>
      <c r="D35868" t="s">
        <v>14</v>
      </c>
      <c r="F35868" s="2" t="str">
        <f>HYPERLINK("http://www.otzar.org/book.asp?610713","קול שמחה &lt;מהדורה חדשה&gt;")</f>
        <v>קול שמחה &lt;מהדורה חדשה&gt;</v>
      </c>
    </row>
    <row r="35869" spans="1:6" x14ac:dyDescent="0.2">
      <c r="A35869" t="s">
        <v>55460</v>
      </c>
      <c r="B35869" t="s">
        <v>37474</v>
      </c>
      <c r="C35869" t="s">
        <v>366</v>
      </c>
      <c r="D35869" t="s">
        <v>2798</v>
      </c>
      <c r="E35869" t="s">
        <v>104</v>
      </c>
      <c r="F35869" s="2" t="str">
        <f>HYPERLINK("http://www.otzar.org/book.asp?630922","קול שמחה לחתן ולכלה")</f>
        <v>קול שמחה לחתן ולכלה</v>
      </c>
    </row>
    <row r="35870" spans="1:6" x14ac:dyDescent="0.2">
      <c r="A35870" t="s">
        <v>55461</v>
      </c>
      <c r="B35870" t="s">
        <v>55462</v>
      </c>
      <c r="C35870" t="s">
        <v>1470</v>
      </c>
      <c r="D35870" t="s">
        <v>1100</v>
      </c>
      <c r="E35870" t="s">
        <v>154</v>
      </c>
      <c r="F35870" s="2" t="str">
        <f>HYPERLINK("http://www.otzar.org/book.asp?102640","קול שמחה")</f>
        <v>קול שמחה</v>
      </c>
    </row>
    <row r="35871" spans="1:6" x14ac:dyDescent="0.2">
      <c r="A35871" t="s">
        <v>55461</v>
      </c>
      <c r="B35871" t="s">
        <v>3842</v>
      </c>
      <c r="C35871" t="s">
        <v>63</v>
      </c>
      <c r="D35871" t="s">
        <v>52</v>
      </c>
      <c r="E35871" t="s">
        <v>104</v>
      </c>
      <c r="F35871" s="2" t="str">
        <f>HYPERLINK("http://www.otzar.org/book.asp?163071","קול שמחה")</f>
        <v>קול שמחה</v>
      </c>
    </row>
    <row r="35872" spans="1:6" x14ac:dyDescent="0.2">
      <c r="A35872" t="s">
        <v>55463</v>
      </c>
      <c r="B35872" t="s">
        <v>55464</v>
      </c>
      <c r="C35872" t="s">
        <v>27654</v>
      </c>
      <c r="D35872" t="s">
        <v>30</v>
      </c>
      <c r="E35872" t="s">
        <v>15</v>
      </c>
      <c r="F35872" s="2" t="str">
        <f>HYPERLINK("http://www.otzar.org/book.asp?300544","קול שמחה - 6 כר'")</f>
        <v>קול שמחה - 6 כר'</v>
      </c>
    </row>
    <row r="35873" spans="1:6" x14ac:dyDescent="0.2">
      <c r="A35873" t="s">
        <v>55461</v>
      </c>
      <c r="B35873" t="s">
        <v>4398</v>
      </c>
      <c r="C35873" t="s">
        <v>189</v>
      </c>
      <c r="D35873" t="s">
        <v>216</v>
      </c>
      <c r="E35873" t="s">
        <v>2915</v>
      </c>
      <c r="F35873" s="2" t="str">
        <f>HYPERLINK("http://www.otzar.org/book.asp?148453","קול שמחה")</f>
        <v>קול שמחה</v>
      </c>
    </row>
    <row r="35874" spans="1:6" x14ac:dyDescent="0.2">
      <c r="A35874" t="s">
        <v>55461</v>
      </c>
      <c r="B35874" t="s">
        <v>31871</v>
      </c>
      <c r="C35874" t="s">
        <v>55465</v>
      </c>
      <c r="D35874" t="s">
        <v>592</v>
      </c>
      <c r="E35874" t="s">
        <v>26676</v>
      </c>
      <c r="F35874" s="2" t="str">
        <f>HYPERLINK("http://www.otzar.org/book.asp?626451","קול שמחה")</f>
        <v>קול שמחה</v>
      </c>
    </row>
    <row r="35875" spans="1:6" x14ac:dyDescent="0.2">
      <c r="A35875" t="s">
        <v>55461</v>
      </c>
      <c r="B35875" t="s">
        <v>55461</v>
      </c>
      <c r="C35875" t="s">
        <v>51</v>
      </c>
      <c r="D35875" t="s">
        <v>412</v>
      </c>
      <c r="E35875" t="s">
        <v>579</v>
      </c>
      <c r="F35875" s="2" t="str">
        <f>HYPERLINK("http://www.otzar.org/book.asp?64371","קול שמחה")</f>
        <v>קול שמחה</v>
      </c>
    </row>
    <row r="35876" spans="1:6" x14ac:dyDescent="0.2">
      <c r="A35876" t="s">
        <v>55461</v>
      </c>
      <c r="B35876" t="s">
        <v>55466</v>
      </c>
      <c r="C35876" t="s">
        <v>383</v>
      </c>
      <c r="D35876" t="s">
        <v>646</v>
      </c>
      <c r="E35876" t="s">
        <v>219</v>
      </c>
      <c r="F35876" s="2" t="str">
        <f>HYPERLINK("http://www.otzar.org/book.asp?63921","קול שמחה")</f>
        <v>קול שמחה</v>
      </c>
    </row>
    <row r="35877" spans="1:6" x14ac:dyDescent="0.2">
      <c r="A35877" t="s">
        <v>55467</v>
      </c>
      <c r="B35877" t="s">
        <v>24596</v>
      </c>
      <c r="C35877" t="s">
        <v>20</v>
      </c>
      <c r="D35877" t="s">
        <v>52</v>
      </c>
      <c r="E35877" t="s">
        <v>2862</v>
      </c>
      <c r="F35877" s="2" t="str">
        <f>HYPERLINK("http://www.otzar.org/book.asp?8011","קול שמחה - 3 כר'")</f>
        <v>קול שמחה - 3 כר'</v>
      </c>
    </row>
    <row r="35878" spans="1:6" x14ac:dyDescent="0.2">
      <c r="A35878" t="s">
        <v>55468</v>
      </c>
      <c r="B35878" t="s">
        <v>55469</v>
      </c>
      <c r="C35878" t="s">
        <v>20</v>
      </c>
      <c r="D35878" t="s">
        <v>90</v>
      </c>
      <c r="F35878" s="2" t="str">
        <f>HYPERLINK("http://www.otzar.org/book.asp?616247","קול שמעון - סוטה")</f>
        <v>קול שמעון - סוטה</v>
      </c>
    </row>
    <row r="35879" spans="1:6" x14ac:dyDescent="0.2">
      <c r="A35879" t="s">
        <v>55470</v>
      </c>
      <c r="B35879" t="s">
        <v>55471</v>
      </c>
      <c r="C35879" t="s">
        <v>1388</v>
      </c>
      <c r="D35879" t="s">
        <v>14</v>
      </c>
      <c r="E35879" t="s">
        <v>241</v>
      </c>
      <c r="F35879" s="2" t="str">
        <f>HYPERLINK("http://www.otzar.org/book.asp?152470","קול ששון &lt;מכון הכתב&gt;")</f>
        <v>קול ששון &lt;מכון הכתב&gt;</v>
      </c>
    </row>
    <row r="35880" spans="1:6" x14ac:dyDescent="0.2">
      <c r="A35880" t="s">
        <v>55472</v>
      </c>
      <c r="E35880" t="s">
        <v>11110</v>
      </c>
      <c r="F35880" s="2" t="str">
        <f>HYPERLINK("http://www.otzar.org/book.asp?626807","קול ששון וקול שמחה")</f>
        <v>קול ששון וקול שמחה</v>
      </c>
    </row>
    <row r="35881" spans="1:6" x14ac:dyDescent="0.2">
      <c r="A35881" t="s">
        <v>55473</v>
      </c>
      <c r="B35881" t="s">
        <v>55474</v>
      </c>
      <c r="C35881" t="s">
        <v>6784</v>
      </c>
      <c r="D35881" t="s">
        <v>55475</v>
      </c>
      <c r="F35881" s="2" t="str">
        <f>HYPERLINK("http://www.otzar.org/book.asp?626950","קול ששון - &lt;מגילת אסתר עם פירוש הראב""ע ופירוש פתוחי חותם&gt;")</f>
        <v>קול ששון - &lt;מגילת אסתר עם פירוש הראב"ע ופירוש פתוחי חותם&gt;</v>
      </c>
    </row>
    <row r="35882" spans="1:6" x14ac:dyDescent="0.2">
      <c r="A35882" t="s">
        <v>55476</v>
      </c>
      <c r="B35882" t="s">
        <v>55477</v>
      </c>
      <c r="C35882" t="s">
        <v>103</v>
      </c>
      <c r="D35882" t="s">
        <v>52</v>
      </c>
      <c r="E35882" t="s">
        <v>1970</v>
      </c>
      <c r="F35882" s="2" t="str">
        <f>HYPERLINK("http://www.otzar.org/book.asp?149625","קול ששון - מועדים")</f>
        <v>קול ששון - מועדים</v>
      </c>
    </row>
    <row r="35883" spans="1:6" x14ac:dyDescent="0.2">
      <c r="A35883" t="s">
        <v>55478</v>
      </c>
      <c r="B35883" t="s">
        <v>55471</v>
      </c>
      <c r="C35883" t="s">
        <v>1036</v>
      </c>
      <c r="D35883" t="s">
        <v>212</v>
      </c>
      <c r="E35883" t="s">
        <v>960</v>
      </c>
      <c r="F35883" s="2" t="str">
        <f>HYPERLINK("http://www.otzar.org/book.asp?7471","קול ששון")</f>
        <v>קול ששון</v>
      </c>
    </row>
    <row r="35884" spans="1:6" x14ac:dyDescent="0.2">
      <c r="A35884" t="s">
        <v>55478</v>
      </c>
      <c r="B35884" t="s">
        <v>11725</v>
      </c>
      <c r="C35884" t="s">
        <v>55479</v>
      </c>
      <c r="D35884" t="s">
        <v>3208</v>
      </c>
      <c r="F35884" s="2" t="str">
        <f>HYPERLINK("http://www.otzar.org/book.asp?618132","קול ששון")</f>
        <v>קול ששון</v>
      </c>
    </row>
    <row r="35885" spans="1:6" x14ac:dyDescent="0.2">
      <c r="A35885" t="s">
        <v>55480</v>
      </c>
      <c r="B35885" t="s">
        <v>55481</v>
      </c>
      <c r="C35885" t="s">
        <v>23</v>
      </c>
      <c r="D35885" t="s">
        <v>90</v>
      </c>
      <c r="E35885" t="s">
        <v>213</v>
      </c>
      <c r="F35885" s="2" t="str">
        <f>HYPERLINK("http://www.otzar.org/book.asp?627805","קול תודה - 5 כר'")</f>
        <v>קול תודה - 5 כר'</v>
      </c>
    </row>
    <row r="35886" spans="1:6" x14ac:dyDescent="0.2">
      <c r="A35886" t="s">
        <v>55482</v>
      </c>
      <c r="B35886" t="s">
        <v>55483</v>
      </c>
      <c r="C35886" t="s">
        <v>1663</v>
      </c>
      <c r="D35886" t="s">
        <v>9</v>
      </c>
      <c r="E35886" t="s">
        <v>144</v>
      </c>
      <c r="F35886" s="2" t="str">
        <f>HYPERLINK("http://www.otzar.org/book.asp?51503","קול תודה")</f>
        <v>קול תודה</v>
      </c>
    </row>
    <row r="35887" spans="1:6" x14ac:dyDescent="0.2">
      <c r="A35887" t="s">
        <v>55482</v>
      </c>
      <c r="B35887" t="s">
        <v>2396</v>
      </c>
      <c r="C35887" t="s">
        <v>189</v>
      </c>
      <c r="D35887" t="s">
        <v>1076</v>
      </c>
      <c r="E35887" t="s">
        <v>158</v>
      </c>
      <c r="F35887" s="2" t="str">
        <f>HYPERLINK("http://www.otzar.org/book.asp?165286","קול תודה")</f>
        <v>קול תודה</v>
      </c>
    </row>
    <row r="35888" spans="1:6" x14ac:dyDescent="0.2">
      <c r="A35888" t="s">
        <v>55484</v>
      </c>
      <c r="B35888" t="s">
        <v>55485</v>
      </c>
      <c r="C35888" t="s">
        <v>547</v>
      </c>
      <c r="D35888" t="s">
        <v>14</v>
      </c>
      <c r="E35888" t="s">
        <v>202</v>
      </c>
      <c r="F35888" s="2" t="str">
        <f>HYPERLINK("http://www.otzar.org/book.asp?104733","קול תורה &lt;סדרה ישנה&gt; - 13 כר'")</f>
        <v>קול תורה &lt;סדרה ישנה&gt; - 13 כר'</v>
      </c>
    </row>
    <row r="35889" spans="1:6" x14ac:dyDescent="0.2">
      <c r="A35889" t="s">
        <v>55485</v>
      </c>
      <c r="B35889" t="s">
        <v>55486</v>
      </c>
      <c r="C35889" t="s">
        <v>160</v>
      </c>
      <c r="D35889" t="s">
        <v>55487</v>
      </c>
      <c r="F35889" s="2" t="str">
        <f>HYPERLINK("http://www.otzar.org/book.asp?620576","קול תורה")</f>
        <v>קול תורה</v>
      </c>
    </row>
    <row r="35890" spans="1:6" x14ac:dyDescent="0.2">
      <c r="A35890" t="s">
        <v>55488</v>
      </c>
      <c r="B35890" t="s">
        <v>382</v>
      </c>
      <c r="C35890" t="s">
        <v>99</v>
      </c>
      <c r="D35890" t="s">
        <v>55489</v>
      </c>
      <c r="E35890" t="s">
        <v>202</v>
      </c>
      <c r="F35890" s="2" t="str">
        <f>HYPERLINK("http://www.otzar.org/book.asp?167203","קול תורה - 10 כר'")</f>
        <v>קול תורה - 10 כר'</v>
      </c>
    </row>
    <row r="35891" spans="1:6" x14ac:dyDescent="0.2">
      <c r="A35891" t="s">
        <v>55490</v>
      </c>
      <c r="B35891" t="s">
        <v>55485</v>
      </c>
      <c r="C35891" t="s">
        <v>160</v>
      </c>
      <c r="D35891" t="s">
        <v>14</v>
      </c>
      <c r="E35891" t="s">
        <v>202</v>
      </c>
      <c r="F35891" s="2" t="str">
        <f>HYPERLINK("http://www.otzar.org/book.asp?145102","קול תורה - 31 כר'")</f>
        <v>קול תורה - 31 כר'</v>
      </c>
    </row>
    <row r="35892" spans="1:6" x14ac:dyDescent="0.2">
      <c r="A35892" t="s">
        <v>55491</v>
      </c>
      <c r="B35892" t="s">
        <v>2396</v>
      </c>
      <c r="C35892" t="s">
        <v>313</v>
      </c>
      <c r="D35892" t="s">
        <v>1076</v>
      </c>
      <c r="E35892" t="s">
        <v>144</v>
      </c>
      <c r="F35892" s="2" t="str">
        <f>HYPERLINK("http://www.otzar.org/book.asp?85105","קול תורה - (ש""ס)")</f>
        <v>קול תורה - (ש"ס)</v>
      </c>
    </row>
    <row r="35893" spans="1:6" x14ac:dyDescent="0.2">
      <c r="A35893" t="s">
        <v>55492</v>
      </c>
      <c r="B35893" t="s">
        <v>5667</v>
      </c>
      <c r="C35893" t="s">
        <v>462</v>
      </c>
      <c r="D35893" t="s">
        <v>55493</v>
      </c>
      <c r="F35893" s="2" t="str">
        <f>HYPERLINK("http://www.otzar.org/book.asp?620574","קול תורה - א")</f>
        <v>קול תורה - א</v>
      </c>
    </row>
    <row r="35894" spans="1:6" x14ac:dyDescent="0.2">
      <c r="A35894" t="s">
        <v>55494</v>
      </c>
      <c r="B35894" t="s">
        <v>55495</v>
      </c>
      <c r="C35894" t="s">
        <v>1160</v>
      </c>
      <c r="D35894" t="s">
        <v>1632</v>
      </c>
      <c r="E35894" t="s">
        <v>202</v>
      </c>
      <c r="F35894" s="2" t="str">
        <f>HYPERLINK("http://www.otzar.org/book.asp?624541","קול תורה - 2 כר'")</f>
        <v>קול תורה - 2 כר'</v>
      </c>
    </row>
    <row r="35895" spans="1:6" x14ac:dyDescent="0.2">
      <c r="A35895" t="s">
        <v>55496</v>
      </c>
      <c r="B35895" t="s">
        <v>16210</v>
      </c>
      <c r="C35895" t="s">
        <v>24600</v>
      </c>
      <c r="D35895" t="s">
        <v>27</v>
      </c>
      <c r="E35895" t="s">
        <v>3567</v>
      </c>
      <c r="F35895" s="2" t="str">
        <f>HYPERLINK("http://www.otzar.org/book.asp?20614","קול תחנה קול טחנה")</f>
        <v>קול תחנה קול טחנה</v>
      </c>
    </row>
    <row r="35896" spans="1:6" x14ac:dyDescent="0.2">
      <c r="A35896" t="s">
        <v>55497</v>
      </c>
      <c r="B35896" t="s">
        <v>55498</v>
      </c>
      <c r="C35896" t="s">
        <v>2832</v>
      </c>
      <c r="D35896" t="s">
        <v>225</v>
      </c>
      <c r="E35896" t="s">
        <v>234</v>
      </c>
      <c r="F35896" s="2" t="str">
        <f>HYPERLINK("http://www.otzar.org/book.asp?167589","קול תרועה")</f>
        <v>קול תרועה</v>
      </c>
    </row>
    <row r="35897" spans="1:6" x14ac:dyDescent="0.2">
      <c r="A35897" t="s">
        <v>55499</v>
      </c>
      <c r="B35897" t="s">
        <v>55500</v>
      </c>
      <c r="C35897" t="s">
        <v>946</v>
      </c>
      <c r="D35897" t="s">
        <v>27</v>
      </c>
      <c r="F35897" s="2" t="str">
        <f>HYPERLINK("http://www.otzar.org/book.asp?178893","קולה של ירושלים")</f>
        <v>קולה של ירושלים</v>
      </c>
    </row>
    <row r="35898" spans="1:6" x14ac:dyDescent="0.2">
      <c r="A35898" t="s">
        <v>55501</v>
      </c>
      <c r="B35898" t="s">
        <v>4581</v>
      </c>
      <c r="C35898" t="s">
        <v>55502</v>
      </c>
      <c r="D35898" t="s">
        <v>212</v>
      </c>
      <c r="E35898" t="s">
        <v>158</v>
      </c>
      <c r="F35898" s="2" t="str">
        <f>HYPERLINK("http://www.otzar.org/book.asp?20677","קולו של יעקב")</f>
        <v>קולו של יעקב</v>
      </c>
    </row>
    <row r="35899" spans="1:6" x14ac:dyDescent="0.2">
      <c r="A35899" t="s">
        <v>55503</v>
      </c>
      <c r="B35899" t="s">
        <v>55504</v>
      </c>
      <c r="C35899" t="s">
        <v>609</v>
      </c>
      <c r="D35899" t="s">
        <v>55505</v>
      </c>
      <c r="E35899" t="s">
        <v>246</v>
      </c>
      <c r="F35899" s="2" t="str">
        <f>HYPERLINK("http://www.otzar.org/book.asp?166889","קולי יעקב - 2 כר'")</f>
        <v>קולי יעקב - 2 כר'</v>
      </c>
    </row>
    <row r="35900" spans="1:6" x14ac:dyDescent="0.2">
      <c r="A35900" t="s">
        <v>55506</v>
      </c>
      <c r="B35900" t="s">
        <v>25048</v>
      </c>
      <c r="C35900" t="s">
        <v>767</v>
      </c>
      <c r="D35900" t="s">
        <v>14</v>
      </c>
      <c r="E35900" t="s">
        <v>213</v>
      </c>
      <c r="F35900" s="2" t="str">
        <f>HYPERLINK("http://www.otzar.org/book.asp?157751","קולמוס הלב")</f>
        <v>קולמוס הלב</v>
      </c>
    </row>
    <row r="35901" spans="1:6" x14ac:dyDescent="0.2">
      <c r="A35901" t="s">
        <v>55507</v>
      </c>
      <c r="B35901" t="s">
        <v>9141</v>
      </c>
      <c r="C35901" t="s">
        <v>133</v>
      </c>
      <c r="D35901" t="s">
        <v>14</v>
      </c>
      <c r="F35901" s="2" t="str">
        <f>HYPERLINK("http://www.otzar.org/book.asp?621998","קולמוס יוסף")</f>
        <v>קולמוס יוסף</v>
      </c>
    </row>
    <row r="35902" spans="1:6" x14ac:dyDescent="0.2">
      <c r="A35902" t="s">
        <v>55508</v>
      </c>
      <c r="B35902" t="s">
        <v>55509</v>
      </c>
      <c r="C35902" t="s">
        <v>51</v>
      </c>
      <c r="D35902" t="s">
        <v>14</v>
      </c>
      <c r="E35902" t="s">
        <v>202</v>
      </c>
      <c r="F35902" s="2" t="str">
        <f>HYPERLINK("http://www.otzar.org/book.asp?176036","קולמוס - 123 כר'")</f>
        <v>קולמוס - 123 כר'</v>
      </c>
    </row>
    <row r="35903" spans="1:6" x14ac:dyDescent="0.2">
      <c r="A35903" t="s">
        <v>55510</v>
      </c>
      <c r="B35903" t="s">
        <v>55511</v>
      </c>
      <c r="C35903" t="s">
        <v>1208</v>
      </c>
      <c r="D35903" t="s">
        <v>90</v>
      </c>
      <c r="E35903" t="s">
        <v>15</v>
      </c>
      <c r="F35903" s="2" t="str">
        <f>HYPERLINK("http://www.otzar.org/book.asp?196649","קולמוס")</f>
        <v>קולמוס</v>
      </c>
    </row>
    <row r="35904" spans="1:6" x14ac:dyDescent="0.2">
      <c r="A35904" t="s">
        <v>55512</v>
      </c>
      <c r="B35904" t="s">
        <v>3865</v>
      </c>
      <c r="C35904" t="s">
        <v>775</v>
      </c>
      <c r="D35904" t="s">
        <v>14</v>
      </c>
      <c r="E35904" t="s">
        <v>15</v>
      </c>
      <c r="F35904" s="2" t="str">
        <f>HYPERLINK("http://www.otzar.org/book.asp?161756","קולן של סופרים")</f>
        <v>קולן של סופרים</v>
      </c>
    </row>
    <row r="35905" spans="1:6" x14ac:dyDescent="0.2">
      <c r="A35905" t="s">
        <v>55513</v>
      </c>
      <c r="B35905" t="s">
        <v>1417</v>
      </c>
      <c r="C35905" t="s">
        <v>553</v>
      </c>
      <c r="D35905" t="s">
        <v>14</v>
      </c>
      <c r="E35905" t="s">
        <v>144</v>
      </c>
      <c r="F35905" s="2" t="str">
        <f>HYPERLINK("http://www.otzar.org/book.asp?9840","קולן של סופרים - נזיקין א")</f>
        <v>קולן של סופרים - נזיקין א</v>
      </c>
    </row>
    <row r="35906" spans="1:6" x14ac:dyDescent="0.2">
      <c r="A35906" t="s">
        <v>55514</v>
      </c>
      <c r="B35906" t="s">
        <v>6999</v>
      </c>
      <c r="C35906" t="s">
        <v>103</v>
      </c>
      <c r="D35906" t="s">
        <v>14</v>
      </c>
      <c r="E35906" t="s">
        <v>104</v>
      </c>
      <c r="F35906" s="2" t="str">
        <f>HYPERLINK("http://www.otzar.org/book.asp?199866","קום התהלך בארץ")</f>
        <v>קום התהלך בארץ</v>
      </c>
    </row>
    <row r="35907" spans="1:6" x14ac:dyDescent="0.2">
      <c r="A35907" t="s">
        <v>55514</v>
      </c>
      <c r="B35907" t="s">
        <v>17938</v>
      </c>
      <c r="C35907" t="s">
        <v>23</v>
      </c>
      <c r="D35907" t="s">
        <v>10790</v>
      </c>
      <c r="E35907" t="s">
        <v>674</v>
      </c>
      <c r="F35907" s="2" t="str">
        <f>HYPERLINK("http://www.otzar.org/book.asp?608615","קום התהלך בארץ")</f>
        <v>קום התהלך בארץ</v>
      </c>
    </row>
    <row r="35908" spans="1:6" x14ac:dyDescent="0.2">
      <c r="A35908" t="s">
        <v>55515</v>
      </c>
      <c r="B35908" t="s">
        <v>1728</v>
      </c>
      <c r="C35908" t="s">
        <v>146</v>
      </c>
      <c r="D35908" t="s">
        <v>273</v>
      </c>
      <c r="E35908" t="s">
        <v>741</v>
      </c>
      <c r="F35908" s="2" t="str">
        <f>HYPERLINK("http://www.otzar.org/book.asp?628571","קומי אורי")</f>
        <v>קומי אורי</v>
      </c>
    </row>
    <row r="35909" spans="1:6" x14ac:dyDescent="0.2">
      <c r="A35909" t="s">
        <v>55515</v>
      </c>
      <c r="B35909" t="s">
        <v>686</v>
      </c>
      <c r="C35909" t="s">
        <v>133</v>
      </c>
      <c r="D35909" t="s">
        <v>52</v>
      </c>
      <c r="E35909" t="s">
        <v>104</v>
      </c>
      <c r="F35909" s="2" t="str">
        <f>HYPERLINK("http://www.otzar.org/book.asp?175969","קומי אורי")</f>
        <v>קומי אורי</v>
      </c>
    </row>
    <row r="35910" spans="1:6" x14ac:dyDescent="0.2">
      <c r="A35910" t="s">
        <v>55515</v>
      </c>
      <c r="B35910" t="s">
        <v>1809</v>
      </c>
      <c r="C35910" t="s">
        <v>919</v>
      </c>
      <c r="D35910" t="s">
        <v>14</v>
      </c>
      <c r="E35910" t="s">
        <v>213</v>
      </c>
      <c r="F35910" s="2" t="str">
        <f>HYPERLINK("http://www.otzar.org/book.asp?13149","קומי אורי")</f>
        <v>קומי אורי</v>
      </c>
    </row>
    <row r="35911" spans="1:6" x14ac:dyDescent="0.2">
      <c r="A35911" t="s">
        <v>55515</v>
      </c>
      <c r="B35911" t="s">
        <v>18568</v>
      </c>
      <c r="C35911" t="s">
        <v>1535</v>
      </c>
      <c r="D35911" t="s">
        <v>5659</v>
      </c>
      <c r="E35911" t="s">
        <v>241</v>
      </c>
      <c r="F35911" s="2" t="str">
        <f>HYPERLINK("http://www.otzar.org/book.asp?200648","קומי אורי")</f>
        <v>קומי אורי</v>
      </c>
    </row>
    <row r="35912" spans="1:6" x14ac:dyDescent="0.2">
      <c r="A35912" t="s">
        <v>55516</v>
      </c>
      <c r="B35912" t="s">
        <v>55517</v>
      </c>
      <c r="C35912" t="s">
        <v>466</v>
      </c>
      <c r="D35912" t="s">
        <v>52</v>
      </c>
      <c r="E35912" t="s">
        <v>213</v>
      </c>
      <c r="F35912" s="2" t="str">
        <f>HYPERLINK("http://www.otzar.org/book.asp?63656","קומי רוני בלילה")</f>
        <v>קומי רוני בלילה</v>
      </c>
    </row>
    <row r="35913" spans="1:6" x14ac:dyDescent="0.2">
      <c r="A35913" t="s">
        <v>55518</v>
      </c>
      <c r="B35913" t="s">
        <v>1809</v>
      </c>
      <c r="C35913" t="s">
        <v>3228</v>
      </c>
      <c r="D35913" t="s">
        <v>27</v>
      </c>
      <c r="E35913" t="s">
        <v>960</v>
      </c>
      <c r="F35913" s="2" t="str">
        <f>HYPERLINK("http://www.otzar.org/book.asp?6468","קומי רני")</f>
        <v>קומי רני</v>
      </c>
    </row>
    <row r="35914" spans="1:6" x14ac:dyDescent="0.2">
      <c r="A35914" t="s">
        <v>55519</v>
      </c>
      <c r="B35914" t="s">
        <v>55520</v>
      </c>
      <c r="C35914" t="s">
        <v>366</v>
      </c>
      <c r="D35914" t="s">
        <v>14</v>
      </c>
      <c r="E35914" t="s">
        <v>144</v>
      </c>
      <c r="F35914" s="2" t="str">
        <f>HYPERLINK("http://www.otzar.org/book.asp?610361","קומץ הארי - 2 כר'")</f>
        <v>קומץ הארי - 2 כר'</v>
      </c>
    </row>
    <row r="35915" spans="1:6" x14ac:dyDescent="0.2">
      <c r="A35915" t="s">
        <v>55521</v>
      </c>
      <c r="B35915" t="s">
        <v>31197</v>
      </c>
      <c r="C35915" t="s">
        <v>466</v>
      </c>
      <c r="D35915" t="s">
        <v>52</v>
      </c>
      <c r="E35915" t="s">
        <v>172</v>
      </c>
      <c r="F35915" s="2" t="str">
        <f>HYPERLINK("http://www.otzar.org/book.asp?61423","קומץ החלה")</f>
        <v>קומץ החלה</v>
      </c>
    </row>
    <row r="35916" spans="1:6" x14ac:dyDescent="0.2">
      <c r="A35916" t="s">
        <v>55522</v>
      </c>
      <c r="B35916" t="s">
        <v>2993</v>
      </c>
      <c r="C35916" t="s">
        <v>13</v>
      </c>
      <c r="D35916" t="s">
        <v>14919</v>
      </c>
      <c r="E35916" t="s">
        <v>213</v>
      </c>
      <c r="F35916" s="2" t="str">
        <f>HYPERLINK("http://www.otzar.org/book.asp?84179","קומץ המנחה &lt;מהדורת הר ברכה&gt;")</f>
        <v>קומץ המנחה &lt;מהדורת הר ברכה&gt;</v>
      </c>
    </row>
    <row r="35917" spans="1:6" x14ac:dyDescent="0.2">
      <c r="A35917" t="s">
        <v>55523</v>
      </c>
      <c r="B35917" t="s">
        <v>55524</v>
      </c>
      <c r="C35917" t="s">
        <v>23</v>
      </c>
      <c r="D35917" t="s">
        <v>276</v>
      </c>
      <c r="F35917" s="2" t="str">
        <f>HYPERLINK("http://www.otzar.org/book.asp?610182","קומץ המנחה - מנחות")</f>
        <v>קומץ המנחה - מנחות</v>
      </c>
    </row>
    <row r="35918" spans="1:6" x14ac:dyDescent="0.2">
      <c r="A35918" t="s">
        <v>55525</v>
      </c>
      <c r="B35918" t="s">
        <v>5253</v>
      </c>
      <c r="C35918" t="s">
        <v>4266</v>
      </c>
      <c r="D35918" t="s">
        <v>90</v>
      </c>
      <c r="E35918" t="s">
        <v>158</v>
      </c>
      <c r="F35918" s="2" t="str">
        <f>HYPERLINK("http://www.otzar.org/book.asp?191641","קומץ המנחה - 2 כר'")</f>
        <v>קומץ המנחה - 2 כר'</v>
      </c>
    </row>
    <row r="35919" spans="1:6" x14ac:dyDescent="0.2">
      <c r="A35919" t="s">
        <v>55526</v>
      </c>
      <c r="B35919" t="s">
        <v>2993</v>
      </c>
      <c r="C35919" t="s">
        <v>725</v>
      </c>
      <c r="D35919" t="s">
        <v>1769</v>
      </c>
      <c r="E35919" t="s">
        <v>140</v>
      </c>
      <c r="F35919" s="2" t="str">
        <f>HYPERLINK("http://www.otzar.org/book.asp?6423","קומץ המנחה")</f>
        <v>קומץ המנחה</v>
      </c>
    </row>
    <row r="35920" spans="1:6" x14ac:dyDescent="0.2">
      <c r="A35920" t="s">
        <v>55527</v>
      </c>
      <c r="B35920" t="s">
        <v>39596</v>
      </c>
      <c r="C35920" t="s">
        <v>23</v>
      </c>
      <c r="D35920" t="s">
        <v>276</v>
      </c>
      <c r="E35920" t="s">
        <v>15</v>
      </c>
      <c r="F35920" s="2" t="str">
        <f>HYPERLINK("http://www.otzar.org/book.asp?194210","קונדריס - 10 כר'")</f>
        <v>קונדריס - 10 כר'</v>
      </c>
    </row>
    <row r="35921" spans="1:6" x14ac:dyDescent="0.2">
      <c r="A35921" t="s">
        <v>55528</v>
      </c>
      <c r="B35921" t="s">
        <v>14489</v>
      </c>
      <c r="C35921" t="s">
        <v>20</v>
      </c>
      <c r="D35921" t="s">
        <v>412</v>
      </c>
      <c r="E35921" t="s">
        <v>15</v>
      </c>
      <c r="F35921" s="2" t="str">
        <f>HYPERLINK("http://www.otzar.org/book.asp?606575","קונוטרס אוספי שביעית")</f>
        <v>קונוטרס אוספי שביעית</v>
      </c>
    </row>
    <row r="35922" spans="1:6" x14ac:dyDescent="0.2">
      <c r="A35922" t="s">
        <v>55529</v>
      </c>
      <c r="B35922" t="s">
        <v>6428</v>
      </c>
      <c r="C35922" t="s">
        <v>224</v>
      </c>
      <c r="D35922" t="s">
        <v>1966</v>
      </c>
      <c r="E35922" t="s">
        <v>3055</v>
      </c>
      <c r="F35922" s="2" t="str">
        <f>HYPERLINK("http://www.otzar.org/book.asp?106157","קונטרוס ברכות והודאות - 2 כר'")</f>
        <v>קונטרוס ברכות והודאות - 2 כר'</v>
      </c>
    </row>
    <row r="35923" spans="1:6" x14ac:dyDescent="0.2">
      <c r="A35923" t="s">
        <v>55530</v>
      </c>
      <c r="B35923" t="s">
        <v>16182</v>
      </c>
      <c r="C35923" t="s">
        <v>11127</v>
      </c>
      <c r="D35923" t="s">
        <v>76</v>
      </c>
      <c r="E35923" t="s">
        <v>399</v>
      </c>
      <c r="F35923" s="2" t="str">
        <f>HYPERLINK("http://www.otzar.org/book.asp?141091","קונטריס השמות &lt;רוח נאמן&gt;")</f>
        <v>קונטריס השמות &lt;רוח נאמן&gt;</v>
      </c>
    </row>
    <row r="35924" spans="1:6" x14ac:dyDescent="0.2">
      <c r="A35924" t="s">
        <v>55531</v>
      </c>
      <c r="B35924" t="s">
        <v>10517</v>
      </c>
      <c r="C35924" t="s">
        <v>496</v>
      </c>
      <c r="D35924" t="s">
        <v>27</v>
      </c>
      <c r="E35924" t="s">
        <v>15</v>
      </c>
      <c r="F35924" s="2" t="str">
        <f>HYPERLINK("http://www.otzar.org/book.asp?20678","קונטריס השמיטה")</f>
        <v>קונטריס השמיטה</v>
      </c>
    </row>
    <row r="35925" spans="1:6" x14ac:dyDescent="0.2">
      <c r="A35925" t="s">
        <v>55532</v>
      </c>
      <c r="B35925" t="s">
        <v>33841</v>
      </c>
      <c r="C35925" t="s">
        <v>989</v>
      </c>
      <c r="D35925" t="s">
        <v>2201</v>
      </c>
      <c r="E35925" t="s">
        <v>3798</v>
      </c>
      <c r="F35925" s="2" t="str">
        <f>HYPERLINK("http://www.otzar.org/book.asp?626042","קונטרס  מאמרי ימי הרצון")</f>
        <v>קונטרס  מאמרי ימי הרצון</v>
      </c>
    </row>
    <row r="35926" spans="1:6" x14ac:dyDescent="0.2">
      <c r="A35926" t="s">
        <v>55533</v>
      </c>
      <c r="B35926" t="s">
        <v>55534</v>
      </c>
      <c r="C35926" t="s">
        <v>1268</v>
      </c>
      <c r="D35926" t="s">
        <v>14</v>
      </c>
      <c r="F35926" s="2" t="str">
        <f>HYPERLINK("http://www.otzar.org/book.asp?614514","קונטרס ""ליל הבדולח""")</f>
        <v>קונטרס "ליל הבדולח"</v>
      </c>
    </row>
    <row r="35927" spans="1:6" x14ac:dyDescent="0.2">
      <c r="A35927" t="s">
        <v>55535</v>
      </c>
      <c r="B35927" t="s">
        <v>55536</v>
      </c>
      <c r="C35927" t="s">
        <v>129</v>
      </c>
      <c r="D35927" t="s">
        <v>14</v>
      </c>
      <c r="E35927" t="s">
        <v>246</v>
      </c>
      <c r="F35927" s="2" t="str">
        <f>HYPERLINK("http://www.otzar.org/book.asp?142392","קונטרס אאביך ביום מבך")</f>
        <v>קונטרס אאביך ביום מבך</v>
      </c>
    </row>
    <row r="35928" spans="1:6" x14ac:dyDescent="0.2">
      <c r="A35928" t="s">
        <v>55537</v>
      </c>
      <c r="B35928" t="s">
        <v>55538</v>
      </c>
      <c r="C35928" t="s">
        <v>37</v>
      </c>
      <c r="D35928" t="s">
        <v>14</v>
      </c>
      <c r="E35928" t="s">
        <v>104</v>
      </c>
      <c r="F35928" s="2" t="str">
        <f>HYPERLINK("http://www.otzar.org/book.asp?193830","קונטרס אאדה עד חוג שמים")</f>
        <v>קונטרס אאדה עד חוג שמים</v>
      </c>
    </row>
    <row r="35929" spans="1:6" x14ac:dyDescent="0.2">
      <c r="A35929" t="s">
        <v>55539</v>
      </c>
      <c r="B35929" t="s">
        <v>206</v>
      </c>
      <c r="C35929" t="s">
        <v>20</v>
      </c>
      <c r="D35929" t="s">
        <v>90</v>
      </c>
      <c r="E35929" t="s">
        <v>241</v>
      </c>
      <c r="F35929" s="2" t="str">
        <f>HYPERLINK("http://www.otzar.org/book.asp?629869","קונטרס אאזרך")</f>
        <v>קונטרס אאזרך</v>
      </c>
    </row>
    <row r="35930" spans="1:6" x14ac:dyDescent="0.2">
      <c r="A35930" t="s">
        <v>55540</v>
      </c>
      <c r="B35930" t="s">
        <v>55541</v>
      </c>
      <c r="C35930" t="s">
        <v>366</v>
      </c>
      <c r="D35930" t="s">
        <v>21</v>
      </c>
      <c r="F35930" s="2" t="str">
        <f>HYPERLINK("http://www.otzar.org/book.asp?610567","קונטרס אארוג לשבת")</f>
        <v>קונטרס אארוג לשבת</v>
      </c>
    </row>
    <row r="35931" spans="1:6" x14ac:dyDescent="0.2">
      <c r="A35931" t="s">
        <v>55542</v>
      </c>
      <c r="B35931" t="s">
        <v>55543</v>
      </c>
      <c r="C35931" t="s">
        <v>37</v>
      </c>
      <c r="D35931" t="s">
        <v>7468</v>
      </c>
      <c r="E35931" t="s">
        <v>144</v>
      </c>
      <c r="F35931" s="2" t="str">
        <f>HYPERLINK("http://www.otzar.org/book.asp?191090","קונטרס אב באריאל")</f>
        <v>קונטרס אב באריאל</v>
      </c>
    </row>
    <row r="35932" spans="1:6" x14ac:dyDescent="0.2">
      <c r="A35932" t="s">
        <v>55544</v>
      </c>
      <c r="B35932" t="s">
        <v>206</v>
      </c>
      <c r="C35932" t="s">
        <v>17</v>
      </c>
      <c r="D35932" t="s">
        <v>90</v>
      </c>
      <c r="F35932" s="2" t="str">
        <f>HYPERLINK("http://www.otzar.org/book.asp?199192","קונטרס אב ישראל - 3 כר'")</f>
        <v>קונטרס אב ישראל - 3 כר'</v>
      </c>
    </row>
    <row r="35933" spans="1:6" x14ac:dyDescent="0.2">
      <c r="A35933" t="s">
        <v>55545</v>
      </c>
      <c r="B35933" t="s">
        <v>12788</v>
      </c>
      <c r="C35933" t="s">
        <v>151</v>
      </c>
      <c r="D35933" t="s">
        <v>118</v>
      </c>
      <c r="E35933" t="s">
        <v>104</v>
      </c>
      <c r="F35933" s="2" t="str">
        <f>HYPERLINK("http://www.otzar.org/book.asp?613604","קונטרס אב לאחים")</f>
        <v>קונטרס אב לאחים</v>
      </c>
    </row>
    <row r="35934" spans="1:6" x14ac:dyDescent="0.2">
      <c r="A35934" t="s">
        <v>55546</v>
      </c>
      <c r="B35934" t="s">
        <v>17786</v>
      </c>
      <c r="C35934" t="s">
        <v>422</v>
      </c>
      <c r="D35934" t="s">
        <v>2867</v>
      </c>
      <c r="F35934" s="2" t="str">
        <f>HYPERLINK("http://www.otzar.org/book.asp?618688","קונטרס אבא באהל - נדה")</f>
        <v>קונטרס אבא באהל - נדה</v>
      </c>
    </row>
    <row r="35935" spans="1:6" x14ac:dyDescent="0.2">
      <c r="A35935" t="s">
        <v>55547</v>
      </c>
      <c r="B35935" t="s">
        <v>55548</v>
      </c>
      <c r="C35935" t="s">
        <v>20</v>
      </c>
      <c r="D35935" t="s">
        <v>52</v>
      </c>
      <c r="F35935" s="2" t="str">
        <f>HYPERLINK("http://www.otzar.org/book.asp?622308","קונטרס אבא זכרונו לברכה")</f>
        <v>קונטרס אבא זכרונו לברכה</v>
      </c>
    </row>
    <row r="35936" spans="1:6" x14ac:dyDescent="0.2">
      <c r="A35936" t="s">
        <v>55549</v>
      </c>
      <c r="B35936" t="s">
        <v>12900</v>
      </c>
      <c r="C35936" t="s">
        <v>151</v>
      </c>
      <c r="D35936" t="s">
        <v>90</v>
      </c>
      <c r="E35936" t="s">
        <v>104</v>
      </c>
      <c r="F35936" s="2" t="str">
        <f>HYPERLINK("http://www.otzar.org/book.asp?615380","קונטרס אבא חלקיה")</f>
        <v>קונטרס אבא חלקיה</v>
      </c>
    </row>
    <row r="35937" spans="1:6" x14ac:dyDescent="0.2">
      <c r="A35937" t="s">
        <v>55550</v>
      </c>
      <c r="B35937" t="s">
        <v>55551</v>
      </c>
      <c r="C35937" t="s">
        <v>20</v>
      </c>
      <c r="D35937" t="s">
        <v>90</v>
      </c>
      <c r="F35937" s="2" t="str">
        <f>HYPERLINK("http://www.otzar.org/book.asp?610319","קונטרס אבא שבת")</f>
        <v>קונטרס אבא שבת</v>
      </c>
    </row>
    <row r="35938" spans="1:6" x14ac:dyDescent="0.2">
      <c r="A35938" t="s">
        <v>55552</v>
      </c>
      <c r="B35938" t="s">
        <v>55553</v>
      </c>
      <c r="C35938" t="s">
        <v>20</v>
      </c>
      <c r="D35938" t="s">
        <v>52</v>
      </c>
      <c r="E35938" t="s">
        <v>119</v>
      </c>
      <c r="F35938" s="2" t="str">
        <f>HYPERLINK("http://www.otzar.org/book.asp?85537","קונטרס אבדת הפר""ח")</f>
        <v>קונטרס אבדת הפר"ח</v>
      </c>
    </row>
    <row r="35939" spans="1:6" x14ac:dyDescent="0.2">
      <c r="A35939" t="s">
        <v>55554</v>
      </c>
      <c r="B35939" t="s">
        <v>14157</v>
      </c>
      <c r="C35939" t="s">
        <v>114</v>
      </c>
      <c r="D35939" t="s">
        <v>147</v>
      </c>
      <c r="F35939" s="2" t="str">
        <f>HYPERLINK("http://www.otzar.org/book.asp?616338","קונטרס אבוא ביתך")</f>
        <v>קונטרס אבוא ביתך</v>
      </c>
    </row>
    <row r="35940" spans="1:6" x14ac:dyDescent="0.2">
      <c r="A35940" t="s">
        <v>55554</v>
      </c>
      <c r="B35940" t="s">
        <v>55555</v>
      </c>
      <c r="C35940" t="s">
        <v>68</v>
      </c>
      <c r="D35940" t="s">
        <v>852</v>
      </c>
      <c r="E35940" t="s">
        <v>202</v>
      </c>
      <c r="F35940" s="2" t="str">
        <f>HYPERLINK("http://www.otzar.org/book.asp?611151","קונטרס אבוא ביתך")</f>
        <v>קונטרס אבוא ביתך</v>
      </c>
    </row>
    <row r="35941" spans="1:6" x14ac:dyDescent="0.2">
      <c r="A35941" t="s">
        <v>55554</v>
      </c>
      <c r="B35941" t="s">
        <v>55556</v>
      </c>
      <c r="C35941" t="s">
        <v>133</v>
      </c>
      <c r="D35941" t="s">
        <v>90</v>
      </c>
      <c r="F35941" s="2" t="str">
        <f>HYPERLINK("http://www.otzar.org/book.asp?612222","קונטרס אבוא ביתך")</f>
        <v>קונטרס אבוא ביתך</v>
      </c>
    </row>
    <row r="35942" spans="1:6" x14ac:dyDescent="0.2">
      <c r="A35942" t="s">
        <v>55557</v>
      </c>
      <c r="B35942" t="s">
        <v>55558</v>
      </c>
      <c r="C35942" t="s">
        <v>313</v>
      </c>
      <c r="D35942" t="s">
        <v>52</v>
      </c>
      <c r="E35942" t="s">
        <v>55559</v>
      </c>
      <c r="F35942" s="2" t="str">
        <f>HYPERLINK("http://www.otzar.org/book.asp?143779","קונטרס אבות עטרה לבנים")</f>
        <v>קונטרס אבות עטרה לבנים</v>
      </c>
    </row>
    <row r="35943" spans="1:6" x14ac:dyDescent="0.2">
      <c r="A35943" t="s">
        <v>55560</v>
      </c>
      <c r="B35943" t="s">
        <v>22438</v>
      </c>
      <c r="C35943" t="s">
        <v>133</v>
      </c>
      <c r="D35943" t="s">
        <v>245</v>
      </c>
      <c r="E35943" t="s">
        <v>15</v>
      </c>
      <c r="F35943" s="2" t="str">
        <f>HYPERLINK("http://www.otzar.org/book.asp?181871","קונטרס אבי הבן והסנדק")</f>
        <v>קונטרס אבי הבן והסנדק</v>
      </c>
    </row>
    <row r="35944" spans="1:6" x14ac:dyDescent="0.2">
      <c r="A35944" t="s">
        <v>55561</v>
      </c>
      <c r="B35944" t="s">
        <v>21659</v>
      </c>
      <c r="C35944" t="s">
        <v>37</v>
      </c>
      <c r="D35944" t="s">
        <v>14</v>
      </c>
      <c r="F35944" s="2" t="str">
        <f>HYPERLINK("http://www.otzar.org/book.asp?614492","קונטרס אבי רבי - מרן הגרע""י יוסף")</f>
        <v>קונטרס אבי רבי - מרן הגרע"י יוסף</v>
      </c>
    </row>
    <row r="35945" spans="1:6" x14ac:dyDescent="0.2">
      <c r="A35945" t="s">
        <v>55562</v>
      </c>
      <c r="B35945" t="s">
        <v>55563</v>
      </c>
      <c r="C35945" t="s">
        <v>68</v>
      </c>
      <c r="D35945" t="s">
        <v>14</v>
      </c>
      <c r="E35945" t="s">
        <v>144</v>
      </c>
      <c r="F35945" s="2" t="str">
        <f>HYPERLINK("http://www.otzar.org/book.asp?153203","קונטרס אבידה מדעת")</f>
        <v>קונטרס אבידה מדעת</v>
      </c>
    </row>
    <row r="35946" spans="1:6" x14ac:dyDescent="0.2">
      <c r="A35946" t="s">
        <v>55564</v>
      </c>
      <c r="B35946" t="s">
        <v>55565</v>
      </c>
      <c r="C35946" t="s">
        <v>71</v>
      </c>
      <c r="D35946" t="s">
        <v>412</v>
      </c>
      <c r="E35946" t="s">
        <v>158</v>
      </c>
      <c r="F35946" s="2" t="str">
        <f>HYPERLINK("http://www.otzar.org/book.asp?603134","קונטרס אביר יעקב")</f>
        <v>קונטרס אביר יעקב</v>
      </c>
    </row>
    <row r="35947" spans="1:6" x14ac:dyDescent="0.2">
      <c r="A35947" t="s">
        <v>55566</v>
      </c>
      <c r="B35947" t="s">
        <v>35231</v>
      </c>
      <c r="C35947" t="s">
        <v>23</v>
      </c>
      <c r="D35947" t="s">
        <v>412</v>
      </c>
      <c r="F35947" s="2" t="str">
        <f>HYPERLINK("http://www.otzar.org/book.asp?194577","קונטרס אבן אליעזר")</f>
        <v>קונטרס אבן אליעזר</v>
      </c>
    </row>
    <row r="35948" spans="1:6" x14ac:dyDescent="0.2">
      <c r="A35948" t="s">
        <v>55567</v>
      </c>
      <c r="B35948" t="s">
        <v>35620</v>
      </c>
      <c r="C35948" t="s">
        <v>422</v>
      </c>
      <c r="D35948" t="s">
        <v>1550</v>
      </c>
      <c r="E35948" t="s">
        <v>130</v>
      </c>
      <c r="F35948" s="2" t="str">
        <f>HYPERLINK("http://www.otzar.org/book.asp?158810","קונטרס אבן הבנים")</f>
        <v>קונטרס אבן הבנים</v>
      </c>
    </row>
    <row r="35949" spans="1:6" x14ac:dyDescent="0.2">
      <c r="A35949" t="s">
        <v>55568</v>
      </c>
      <c r="B35949" t="s">
        <v>55569</v>
      </c>
      <c r="C35949" t="s">
        <v>176</v>
      </c>
      <c r="D35949" t="s">
        <v>52</v>
      </c>
      <c r="E35949" t="s">
        <v>202</v>
      </c>
      <c r="F35949" s="2" t="str">
        <f>HYPERLINK("http://www.otzar.org/book.asp?623814","קונטרס אבן הראשה")</f>
        <v>קונטרס אבן הראשה</v>
      </c>
    </row>
    <row r="35950" spans="1:6" x14ac:dyDescent="0.2">
      <c r="A35950" t="s">
        <v>55570</v>
      </c>
      <c r="B35950" t="s">
        <v>55571</v>
      </c>
      <c r="C35950" t="s">
        <v>37</v>
      </c>
      <c r="D35950" t="s">
        <v>52</v>
      </c>
      <c r="E35950" t="s">
        <v>130</v>
      </c>
      <c r="F35950" s="2" t="str">
        <f>HYPERLINK("http://www.otzar.org/book.asp?189847","קונטרס אבן שהם")</f>
        <v>קונטרס אבן שהם</v>
      </c>
    </row>
    <row r="35951" spans="1:6" x14ac:dyDescent="0.2">
      <c r="A35951" t="s">
        <v>55570</v>
      </c>
      <c r="B35951" t="s">
        <v>55572</v>
      </c>
      <c r="C35951" t="s">
        <v>114</v>
      </c>
      <c r="D35951" t="s">
        <v>14</v>
      </c>
      <c r="E35951" t="s">
        <v>144</v>
      </c>
      <c r="F35951" s="2" t="str">
        <f>HYPERLINK("http://www.otzar.org/book.asp?181003","קונטרס אבן שהם")</f>
        <v>קונטרס אבן שהם</v>
      </c>
    </row>
    <row r="35952" spans="1:6" x14ac:dyDescent="0.2">
      <c r="A35952" t="s">
        <v>55573</v>
      </c>
      <c r="B35952" t="s">
        <v>55574</v>
      </c>
      <c r="C35952" t="s">
        <v>366</v>
      </c>
      <c r="D35952" t="s">
        <v>52</v>
      </c>
      <c r="F35952" s="2" t="str">
        <f>HYPERLINK("http://www.otzar.org/book.asp?612316","קונטרס אבן שלמה - 3 כר'")</f>
        <v>קונטרס אבן שלמה - 3 כר'</v>
      </c>
    </row>
    <row r="35953" spans="1:6" x14ac:dyDescent="0.2">
      <c r="A35953" t="s">
        <v>55575</v>
      </c>
      <c r="B35953" t="s">
        <v>55576</v>
      </c>
      <c r="C35953" t="s">
        <v>114</v>
      </c>
      <c r="D35953" t="s">
        <v>486</v>
      </c>
      <c r="E35953" t="s">
        <v>148</v>
      </c>
      <c r="F35953" s="2" t="str">
        <f>HYPERLINK("http://www.otzar.org/book.asp?197721","קונטרס אבן שמואל")</f>
        <v>קונטרס אבן שמואל</v>
      </c>
    </row>
    <row r="35954" spans="1:6" x14ac:dyDescent="0.2">
      <c r="A35954" t="s">
        <v>55577</v>
      </c>
      <c r="B35954" t="s">
        <v>55578</v>
      </c>
      <c r="C35954" t="s">
        <v>114</v>
      </c>
      <c r="D35954" t="s">
        <v>52</v>
      </c>
      <c r="E35954" t="s">
        <v>15</v>
      </c>
      <c r="F35954" s="2" t="str">
        <f>HYPERLINK("http://www.otzar.org/book.asp?181606","קונטרס אבני כירה")</f>
        <v>קונטרס אבני כירה</v>
      </c>
    </row>
    <row r="35955" spans="1:6" x14ac:dyDescent="0.2">
      <c r="A35955" t="s">
        <v>55579</v>
      </c>
      <c r="B35955" t="s">
        <v>30455</v>
      </c>
      <c r="C35955" t="s">
        <v>20</v>
      </c>
      <c r="D35955" t="s">
        <v>21</v>
      </c>
      <c r="E35955" t="s">
        <v>144</v>
      </c>
      <c r="F35955" s="2" t="str">
        <f>HYPERLINK("http://www.otzar.org/book.asp?606859","קונטרס אבני שהם")</f>
        <v>קונטרס אבני שהם</v>
      </c>
    </row>
    <row r="35956" spans="1:6" x14ac:dyDescent="0.2">
      <c r="A35956" t="s">
        <v>55580</v>
      </c>
      <c r="B35956" t="s">
        <v>705</v>
      </c>
      <c r="C35956" t="s">
        <v>313</v>
      </c>
      <c r="D35956" t="s">
        <v>52</v>
      </c>
      <c r="F35956" s="2" t="str">
        <f>HYPERLINK("http://www.otzar.org/book.asp?142271","קונטרס אבנים שלמות")</f>
        <v>קונטרס אבנים שלמות</v>
      </c>
    </row>
    <row r="35957" spans="1:6" x14ac:dyDescent="0.2">
      <c r="A35957" t="s">
        <v>55581</v>
      </c>
      <c r="B35957" t="s">
        <v>51104</v>
      </c>
      <c r="C35957" t="s">
        <v>20</v>
      </c>
      <c r="D35957" t="s">
        <v>14</v>
      </c>
      <c r="F35957" s="2" t="str">
        <f>HYPERLINK("http://www.otzar.org/book.asp?613391","קונטרס אברהם יגל")</f>
        <v>קונטרס אברהם יגל</v>
      </c>
    </row>
    <row r="35958" spans="1:6" x14ac:dyDescent="0.2">
      <c r="A35958" t="s">
        <v>55582</v>
      </c>
      <c r="B35958" t="s">
        <v>50522</v>
      </c>
      <c r="C35958" t="s">
        <v>146</v>
      </c>
      <c r="D35958" t="s">
        <v>14</v>
      </c>
      <c r="E35958" t="s">
        <v>104</v>
      </c>
      <c r="F35958" s="2" t="str">
        <f>HYPERLINK("http://www.otzar.org/book.asp?156509","קונטרס אגרא דבי הילולא")</f>
        <v>קונטרס אגרא דבי הילולא</v>
      </c>
    </row>
    <row r="35959" spans="1:6" x14ac:dyDescent="0.2">
      <c r="A35959" t="s">
        <v>55583</v>
      </c>
      <c r="B35959" t="s">
        <v>55584</v>
      </c>
      <c r="C35959" t="s">
        <v>103</v>
      </c>
      <c r="D35959" t="s">
        <v>52</v>
      </c>
      <c r="E35959" t="s">
        <v>144</v>
      </c>
      <c r="F35959" s="2" t="str">
        <f>HYPERLINK("http://www.otzar.org/book.asp?603215","קונטרס אגרא דשמעתא")</f>
        <v>קונטרס אגרא דשמעתא</v>
      </c>
    </row>
    <row r="35960" spans="1:6" x14ac:dyDescent="0.2">
      <c r="A35960" t="s">
        <v>55585</v>
      </c>
      <c r="B35960" t="s">
        <v>34524</v>
      </c>
      <c r="C35960" t="s">
        <v>176</v>
      </c>
      <c r="D35960" t="s">
        <v>245</v>
      </c>
      <c r="E35960" t="s">
        <v>104</v>
      </c>
      <c r="F35960" s="2" t="str">
        <f>HYPERLINK("http://www.otzar.org/book.asp?625572","קונטרס אגרות מאמר מרדכי")</f>
        <v>קונטרס אגרות מאמר מרדכי</v>
      </c>
    </row>
    <row r="35961" spans="1:6" x14ac:dyDescent="0.2">
      <c r="A35961" t="s">
        <v>55586</v>
      </c>
      <c r="B35961" t="s">
        <v>1465</v>
      </c>
      <c r="C35961" t="s">
        <v>37</v>
      </c>
      <c r="D35961" t="s">
        <v>52</v>
      </c>
      <c r="E35961" t="s">
        <v>234</v>
      </c>
      <c r="F35961" s="2" t="str">
        <f>HYPERLINK("http://www.otzar.org/book.asp?182977","קונטרס אגרת החיים")</f>
        <v>קונטרס אגרת החיים</v>
      </c>
    </row>
    <row r="35962" spans="1:6" x14ac:dyDescent="0.2">
      <c r="A35962" t="s">
        <v>55587</v>
      </c>
      <c r="B35962" t="s">
        <v>1733</v>
      </c>
      <c r="C35962" t="s">
        <v>20</v>
      </c>
      <c r="D35962" t="s">
        <v>90</v>
      </c>
      <c r="E35962" t="s">
        <v>226</v>
      </c>
      <c r="F35962" s="2" t="str">
        <f>HYPERLINK("http://www.otzar.org/book.asp?162439","קונטרס אדמורי בית בעלזא")</f>
        <v>קונטרס אדמורי בית בעלזא</v>
      </c>
    </row>
    <row r="35963" spans="1:6" x14ac:dyDescent="0.2">
      <c r="A35963" t="s">
        <v>55588</v>
      </c>
      <c r="B35963" t="s">
        <v>55589</v>
      </c>
      <c r="C35963" t="s">
        <v>17</v>
      </c>
      <c r="D35963" t="s">
        <v>90</v>
      </c>
      <c r="E35963" t="s">
        <v>1626</v>
      </c>
      <c r="F35963" s="2" t="str">
        <f>HYPERLINK("http://www.otzar.org/book.asp?626097","קונטרס אדמת קודש")</f>
        <v>קונטרס אדמת קודש</v>
      </c>
    </row>
    <row r="35964" spans="1:6" x14ac:dyDescent="0.2">
      <c r="A35964" t="s">
        <v>55590</v>
      </c>
      <c r="B35964" t="s">
        <v>1775</v>
      </c>
      <c r="C35964" t="s">
        <v>151</v>
      </c>
      <c r="D35964" t="s">
        <v>52</v>
      </c>
      <c r="E35964" t="s">
        <v>186</v>
      </c>
      <c r="F35964" s="2" t="str">
        <f>HYPERLINK("http://www.otzar.org/book.asp?618880","קונטרס אדני פז")</f>
        <v>קונטרס אדני פז</v>
      </c>
    </row>
    <row r="35965" spans="1:6" x14ac:dyDescent="0.2">
      <c r="A35965" t="s">
        <v>55590</v>
      </c>
      <c r="B35965" t="s">
        <v>55591</v>
      </c>
      <c r="C35965" t="s">
        <v>37</v>
      </c>
      <c r="D35965" t="s">
        <v>52</v>
      </c>
      <c r="E35965" t="s">
        <v>144</v>
      </c>
      <c r="F35965" s="2" t="str">
        <f>HYPERLINK("http://www.otzar.org/book.asp?180246","קונטרס אדני פז")</f>
        <v>קונטרס אדני פז</v>
      </c>
    </row>
    <row r="35966" spans="1:6" x14ac:dyDescent="0.2">
      <c r="A35966" t="s">
        <v>55592</v>
      </c>
      <c r="B35966" t="s">
        <v>20316</v>
      </c>
      <c r="C35966" t="s">
        <v>114</v>
      </c>
      <c r="D35966" t="s">
        <v>412</v>
      </c>
      <c r="E35966" t="s">
        <v>130</v>
      </c>
      <c r="F35966" s="2" t="str">
        <f>HYPERLINK("http://www.otzar.org/book.asp?194100","קונטרס אדרת של אליהו")</f>
        <v>קונטרס אדרת של אליהו</v>
      </c>
    </row>
    <row r="35967" spans="1:6" x14ac:dyDescent="0.2">
      <c r="A35967" t="s">
        <v>55593</v>
      </c>
      <c r="B35967" t="s">
        <v>55594</v>
      </c>
      <c r="C35967" t="s">
        <v>366</v>
      </c>
      <c r="D35967" t="s">
        <v>90</v>
      </c>
      <c r="E35967" t="s">
        <v>158</v>
      </c>
      <c r="F35967" s="2" t="str">
        <f>HYPERLINK("http://www.otzar.org/book.asp?602947","קונטרס אדרת שנער")</f>
        <v>קונטרס אדרת שנער</v>
      </c>
    </row>
    <row r="35968" spans="1:6" x14ac:dyDescent="0.2">
      <c r="A35968" t="s">
        <v>55595</v>
      </c>
      <c r="B35968" t="s">
        <v>21962</v>
      </c>
      <c r="C35968" t="s">
        <v>244</v>
      </c>
      <c r="D35968" t="s">
        <v>852</v>
      </c>
      <c r="F35968" s="2" t="str">
        <f>HYPERLINK("http://www.otzar.org/book.asp?610985","קונטרס אהבה רבה")</f>
        <v>קונטרס אהבה רבה</v>
      </c>
    </row>
    <row r="35969" spans="1:6" x14ac:dyDescent="0.2">
      <c r="A35969" t="s">
        <v>55596</v>
      </c>
      <c r="B35969" t="s">
        <v>55597</v>
      </c>
      <c r="C35969" t="s">
        <v>366</v>
      </c>
      <c r="D35969" t="s">
        <v>646</v>
      </c>
      <c r="E35969" t="s">
        <v>140</v>
      </c>
      <c r="F35969" s="2" t="str">
        <f>HYPERLINK("http://www.otzar.org/book.asp?628779","קונטרס אהבת איתן")</f>
        <v>קונטרס אהבת איתן</v>
      </c>
    </row>
    <row r="35970" spans="1:6" x14ac:dyDescent="0.2">
      <c r="A35970" t="s">
        <v>55598</v>
      </c>
      <c r="B35970" t="s">
        <v>51079</v>
      </c>
      <c r="C35970" t="s">
        <v>20</v>
      </c>
      <c r="D35970" t="s">
        <v>14</v>
      </c>
      <c r="F35970" s="2" t="str">
        <f>HYPERLINK("http://www.otzar.org/book.asp?610369","קונטרס אהבת כלולותיך")</f>
        <v>קונטרס אהבת כלולותיך</v>
      </c>
    </row>
    <row r="35971" spans="1:6" x14ac:dyDescent="0.2">
      <c r="A35971" t="s">
        <v>55599</v>
      </c>
      <c r="B35971" t="s">
        <v>55600</v>
      </c>
      <c r="C35971" t="s">
        <v>20</v>
      </c>
      <c r="D35971" t="s">
        <v>90</v>
      </c>
      <c r="F35971" s="2" t="str">
        <f>HYPERLINK("http://www.otzar.org/book.asp?616844","קונטרס אהבת שמואל")</f>
        <v>קונטרס אהבת שמואל</v>
      </c>
    </row>
    <row r="35972" spans="1:6" x14ac:dyDescent="0.2">
      <c r="A35972" t="s">
        <v>55601</v>
      </c>
      <c r="B35972" t="s">
        <v>55602</v>
      </c>
      <c r="C35972" t="s">
        <v>20</v>
      </c>
      <c r="D35972" t="s">
        <v>90</v>
      </c>
      <c r="E35972" t="s">
        <v>104</v>
      </c>
      <c r="F35972" s="2" t="str">
        <f>HYPERLINK("http://www.otzar.org/book.asp?192861","קונטרס אהוביו של מקום - 2 כר'")</f>
        <v>קונטרס אהוביו של מקום - 2 כר'</v>
      </c>
    </row>
    <row r="35973" spans="1:6" x14ac:dyDescent="0.2">
      <c r="A35973" t="s">
        <v>55603</v>
      </c>
      <c r="B35973" t="s">
        <v>51464</v>
      </c>
      <c r="C35973" t="s">
        <v>366</v>
      </c>
      <c r="D35973" t="s">
        <v>367</v>
      </c>
      <c r="E35973" t="s">
        <v>2199</v>
      </c>
      <c r="F35973" s="2" t="str">
        <f>HYPERLINK("http://www.otzar.org/book.asp?603972","קונטרס אהל מרים")</f>
        <v>קונטרס אהל מרים</v>
      </c>
    </row>
    <row r="35974" spans="1:6" x14ac:dyDescent="0.2">
      <c r="A35974" t="s">
        <v>55604</v>
      </c>
      <c r="B35974" t="s">
        <v>55605</v>
      </c>
      <c r="C35974" t="s">
        <v>20</v>
      </c>
      <c r="D35974" t="s">
        <v>14</v>
      </c>
      <c r="E35974" t="s">
        <v>186</v>
      </c>
      <c r="F35974" s="2" t="str">
        <f>HYPERLINK("http://www.otzar.org/book.asp?166004","קונטרס אהל רבקה")</f>
        <v>קונטרס אהל רבקה</v>
      </c>
    </row>
    <row r="35975" spans="1:6" x14ac:dyDescent="0.2">
      <c r="A35975" t="s">
        <v>55606</v>
      </c>
      <c r="B35975" t="s">
        <v>24510</v>
      </c>
      <c r="C35975" t="s">
        <v>427</v>
      </c>
      <c r="D35975" t="s">
        <v>115</v>
      </c>
      <c r="E35975" t="s">
        <v>202</v>
      </c>
      <c r="F35975" s="2" t="str">
        <f>HYPERLINK("http://www.otzar.org/book.asp?163381","קונטרס אהל שרה")</f>
        <v>קונטרס אהל שרה</v>
      </c>
    </row>
    <row r="35976" spans="1:6" x14ac:dyDescent="0.2">
      <c r="A35976" t="s">
        <v>55607</v>
      </c>
      <c r="B35976" t="s">
        <v>6987</v>
      </c>
      <c r="C35976" t="s">
        <v>20</v>
      </c>
      <c r="D35976" t="s">
        <v>90</v>
      </c>
      <c r="E35976" t="s">
        <v>144</v>
      </c>
      <c r="F35976" s="2" t="str">
        <f>HYPERLINK("http://www.otzar.org/book.asp?603498","קונטרס אהל תורה - מכות")</f>
        <v>קונטרס אהל תורה - מכות</v>
      </c>
    </row>
    <row r="35977" spans="1:6" x14ac:dyDescent="0.2">
      <c r="A35977" t="s">
        <v>55608</v>
      </c>
      <c r="B35977" t="s">
        <v>2506</v>
      </c>
      <c r="C35977" t="s">
        <v>133</v>
      </c>
      <c r="D35977" t="s">
        <v>276</v>
      </c>
      <c r="E35977" t="s">
        <v>144</v>
      </c>
      <c r="F35977" s="2" t="str">
        <f>HYPERLINK("http://www.otzar.org/book.asp?197636","קונטרס אהלי דעת - 7 כר'")</f>
        <v>קונטרס אהלי דעת - 7 כר'</v>
      </c>
    </row>
    <row r="35978" spans="1:6" x14ac:dyDescent="0.2">
      <c r="A35978" t="s">
        <v>55609</v>
      </c>
      <c r="B35978" t="s">
        <v>55609</v>
      </c>
      <c r="C35978" t="s">
        <v>1268</v>
      </c>
      <c r="D35978" t="s">
        <v>52</v>
      </c>
      <c r="E35978" t="s">
        <v>140</v>
      </c>
      <c r="F35978" s="2" t="str">
        <f>HYPERLINK("http://www.otzar.org/book.asp?143070","קונטרס אהלי צדיקים")</f>
        <v>קונטרס אהלי צדיקים</v>
      </c>
    </row>
    <row r="35979" spans="1:6" x14ac:dyDescent="0.2">
      <c r="A35979" t="s">
        <v>55610</v>
      </c>
      <c r="B35979" t="s">
        <v>55611</v>
      </c>
      <c r="C35979" t="s">
        <v>151</v>
      </c>
      <c r="F35979" s="2" t="str">
        <f>HYPERLINK("http://www.otzar.org/book.asp?629945","קונטרס אובנתא דליבא - מזוזה")</f>
        <v>קונטרס אובנתא דליבא - מזוזה</v>
      </c>
    </row>
    <row r="35980" spans="1:6" x14ac:dyDescent="0.2">
      <c r="A35980" t="s">
        <v>55612</v>
      </c>
      <c r="B35980" t="s">
        <v>55613</v>
      </c>
      <c r="C35980" t="s">
        <v>411</v>
      </c>
      <c r="D35980" t="s">
        <v>5678</v>
      </c>
      <c r="E35980" t="s">
        <v>202</v>
      </c>
      <c r="F35980" s="2" t="str">
        <f>HYPERLINK("http://www.otzar.org/book.asp?600119","קונטרס אודה את השם")</f>
        <v>קונטרס אודה את השם</v>
      </c>
    </row>
    <row r="35981" spans="1:6" x14ac:dyDescent="0.2">
      <c r="A35981" t="s">
        <v>55614</v>
      </c>
      <c r="B35981" t="s">
        <v>128</v>
      </c>
      <c r="C35981" t="s">
        <v>146</v>
      </c>
      <c r="D35981" t="s">
        <v>52</v>
      </c>
      <c r="E35981" t="s">
        <v>15</v>
      </c>
      <c r="F35981" s="2" t="str">
        <f>HYPERLINK("http://www.otzar.org/book.asp?52628","קונטרס אוהב משפט")</f>
        <v>קונטרס אוהב משפט</v>
      </c>
    </row>
    <row r="35982" spans="1:6" x14ac:dyDescent="0.2">
      <c r="A35982" t="s">
        <v>55615</v>
      </c>
      <c r="B35982" t="s">
        <v>55616</v>
      </c>
      <c r="C35982" t="s">
        <v>23</v>
      </c>
      <c r="D35982" t="s">
        <v>2285</v>
      </c>
      <c r="E35982" t="s">
        <v>15</v>
      </c>
      <c r="F35982" s="2" t="str">
        <f>HYPERLINK("http://www.otzar.org/book.asp?195122","קונטרס אויבינו פלילים")</f>
        <v>קונטרס אויבינו פלילים</v>
      </c>
    </row>
    <row r="35983" spans="1:6" x14ac:dyDescent="0.2">
      <c r="A35983" t="s">
        <v>55617</v>
      </c>
      <c r="B35983" t="s">
        <v>28201</v>
      </c>
      <c r="C35983" t="s">
        <v>176</v>
      </c>
      <c r="D35983" t="s">
        <v>14</v>
      </c>
      <c r="E35983" t="s">
        <v>714</v>
      </c>
      <c r="F35983" s="2" t="str">
        <f>HYPERLINK("http://www.otzar.org/book.asp?166438","קונטרס אונאת דברים וגניבת דעת")</f>
        <v>קונטרס אונאת דברים וגניבת דעת</v>
      </c>
    </row>
    <row r="35984" spans="1:6" x14ac:dyDescent="0.2">
      <c r="A35984" t="s">
        <v>55618</v>
      </c>
      <c r="B35984" t="s">
        <v>43976</v>
      </c>
      <c r="C35984" t="s">
        <v>185</v>
      </c>
      <c r="D35984" t="s">
        <v>14</v>
      </c>
      <c r="E35984" t="s">
        <v>10</v>
      </c>
      <c r="F35984" s="2" t="str">
        <f>HYPERLINK("http://www.otzar.org/book.asp?630018","קונטרס אונאת דברים")</f>
        <v>קונטרס אונאת דברים</v>
      </c>
    </row>
    <row r="35985" spans="1:6" x14ac:dyDescent="0.2">
      <c r="A35985" t="s">
        <v>55619</v>
      </c>
      <c r="B35985" t="s">
        <v>42423</v>
      </c>
      <c r="C35985" t="s">
        <v>20</v>
      </c>
      <c r="D35985" t="s">
        <v>90</v>
      </c>
      <c r="F35985" s="2" t="str">
        <f>HYPERLINK("http://www.otzar.org/book.asp?611455","קונטרס אוסף ידיעות מעניינות")</f>
        <v>קונטרס אוסף ידיעות מעניינות</v>
      </c>
    </row>
    <row r="35986" spans="1:6" x14ac:dyDescent="0.2">
      <c r="A35986" t="s">
        <v>55620</v>
      </c>
      <c r="B35986" t="s">
        <v>12198</v>
      </c>
      <c r="C35986" t="s">
        <v>989</v>
      </c>
      <c r="D35986" t="s">
        <v>14</v>
      </c>
      <c r="E35986" t="s">
        <v>1164</v>
      </c>
      <c r="F35986" s="2" t="str">
        <f>HYPERLINK("http://www.otzar.org/book.asp?10768","קונטרס אופן הדלקת המנורה בעת הנס חנוכה")</f>
        <v>קונטרס אופן הדלקת המנורה בעת הנס חנוכה</v>
      </c>
    </row>
    <row r="35987" spans="1:6" x14ac:dyDescent="0.2">
      <c r="A35987" t="s">
        <v>55621</v>
      </c>
      <c r="B35987" t="s">
        <v>37485</v>
      </c>
      <c r="C35987" t="s">
        <v>20</v>
      </c>
      <c r="D35987" t="s">
        <v>90</v>
      </c>
      <c r="E35987" t="s">
        <v>15</v>
      </c>
      <c r="F35987" s="2" t="str">
        <f>HYPERLINK("http://www.otzar.org/book.asp?628070","קונטרס אופני ריבית מצויים")</f>
        <v>קונטרס אופני ריבית מצויים</v>
      </c>
    </row>
    <row r="35988" spans="1:6" x14ac:dyDescent="0.2">
      <c r="A35988" t="s">
        <v>55622</v>
      </c>
      <c r="B35988" t="s">
        <v>42423</v>
      </c>
      <c r="C35988" t="s">
        <v>133</v>
      </c>
      <c r="D35988" t="s">
        <v>14</v>
      </c>
      <c r="E35988" t="s">
        <v>104</v>
      </c>
      <c r="F35988" s="2" t="str">
        <f>HYPERLINK("http://www.otzar.org/book.asp?176160","קונטרס אוצר הפתגמים ודבר ענין בעניינו")</f>
        <v>קונטרס אוצר הפתגמים ודבר ענין בעניינו</v>
      </c>
    </row>
    <row r="35989" spans="1:6" x14ac:dyDescent="0.2">
      <c r="A35989" t="s">
        <v>55623</v>
      </c>
      <c r="B35989" t="s">
        <v>55624</v>
      </c>
      <c r="C35989" t="s">
        <v>133</v>
      </c>
      <c r="D35989" t="s">
        <v>90</v>
      </c>
      <c r="F35989" s="2" t="str">
        <f>HYPERLINK("http://www.otzar.org/book.asp?618498","קונטרס אוצר ציונים - 13 כר'")</f>
        <v>קונטרס אוצר ציונים - 13 כר'</v>
      </c>
    </row>
    <row r="35990" spans="1:6" x14ac:dyDescent="0.2">
      <c r="A35990" t="s">
        <v>55625</v>
      </c>
      <c r="B35990" t="s">
        <v>55626</v>
      </c>
      <c r="C35990" t="s">
        <v>23</v>
      </c>
      <c r="D35990" t="s">
        <v>14</v>
      </c>
      <c r="F35990" s="2" t="str">
        <f>HYPERLINK("http://www.otzar.org/book.asp?610987","קונטרס אוצרות אור")</f>
        <v>קונטרס אוצרות אור</v>
      </c>
    </row>
    <row r="35991" spans="1:6" x14ac:dyDescent="0.2">
      <c r="A35991" t="s">
        <v>55627</v>
      </c>
      <c r="B35991" t="s">
        <v>55628</v>
      </c>
      <c r="C35991" t="s">
        <v>20</v>
      </c>
      <c r="D35991" t="s">
        <v>90</v>
      </c>
      <c r="E35991" t="s">
        <v>202</v>
      </c>
      <c r="F35991" s="2" t="str">
        <f>HYPERLINK("http://www.otzar.org/book.asp?181902","קונטרס אור אליהו - אליבא דהלכתא")</f>
        <v>קונטרס אור אליהו - אליבא דהלכתא</v>
      </c>
    </row>
    <row r="35992" spans="1:6" x14ac:dyDescent="0.2">
      <c r="A35992" t="s">
        <v>55629</v>
      </c>
      <c r="B35992" t="s">
        <v>55630</v>
      </c>
      <c r="C35992" t="s">
        <v>87</v>
      </c>
      <c r="D35992" t="s">
        <v>14</v>
      </c>
      <c r="E35992" t="s">
        <v>241</v>
      </c>
      <c r="F35992" s="2" t="str">
        <f>HYPERLINK("http://www.otzar.org/book.asp?171939","קונטרס אור האמונה")</f>
        <v>קונטרס אור האמונה</v>
      </c>
    </row>
    <row r="35993" spans="1:6" x14ac:dyDescent="0.2">
      <c r="A35993" t="s">
        <v>55631</v>
      </c>
      <c r="B35993" t="s">
        <v>26647</v>
      </c>
      <c r="C35993" t="s">
        <v>20</v>
      </c>
      <c r="D35993" t="s">
        <v>90</v>
      </c>
      <c r="E35993" t="s">
        <v>4022</v>
      </c>
      <c r="F35993" s="2" t="str">
        <f>HYPERLINK("http://www.otzar.org/book.asp?614809","קונטרס אור הגנוז - חנוכה")</f>
        <v>קונטרס אור הגנוז - חנוכה</v>
      </c>
    </row>
    <row r="35994" spans="1:6" x14ac:dyDescent="0.2">
      <c r="A35994" t="s">
        <v>55632</v>
      </c>
      <c r="B35994" t="s">
        <v>55633</v>
      </c>
      <c r="C35994" t="s">
        <v>111</v>
      </c>
      <c r="D35994" t="s">
        <v>646</v>
      </c>
      <c r="E35994" t="s">
        <v>246</v>
      </c>
      <c r="F35994" s="2" t="str">
        <f>HYPERLINK("http://www.otzar.org/book.asp?631085","קונטרס אור החנוכה")</f>
        <v>קונטרס אור החנוכה</v>
      </c>
    </row>
    <row r="35995" spans="1:6" x14ac:dyDescent="0.2">
      <c r="A35995" t="s">
        <v>55632</v>
      </c>
      <c r="B35995" t="s">
        <v>29045</v>
      </c>
      <c r="C35995" t="s">
        <v>13</v>
      </c>
      <c r="D35995" t="s">
        <v>52</v>
      </c>
      <c r="E35995" t="s">
        <v>3055</v>
      </c>
      <c r="F35995" s="2" t="str">
        <f>HYPERLINK("http://www.otzar.org/book.asp?168645","קונטרס אור החנוכה")</f>
        <v>קונטרס אור החנוכה</v>
      </c>
    </row>
    <row r="35996" spans="1:6" x14ac:dyDescent="0.2">
      <c r="A35996" t="s">
        <v>55634</v>
      </c>
      <c r="B35996" t="s">
        <v>55635</v>
      </c>
      <c r="C35996" t="s">
        <v>1208</v>
      </c>
      <c r="E35996" t="s">
        <v>202</v>
      </c>
      <c r="F35996" s="2" t="str">
        <f>HYPERLINK("http://www.otzar.org/book.asp?625401","קונטרס אור הכולל - ב")</f>
        <v>קונטרס אור הכולל - ב</v>
      </c>
    </row>
    <row r="35997" spans="1:6" x14ac:dyDescent="0.2">
      <c r="A35997" t="s">
        <v>55636</v>
      </c>
      <c r="B35997" t="s">
        <v>55637</v>
      </c>
      <c r="C35997" t="s">
        <v>20</v>
      </c>
      <c r="D35997" t="s">
        <v>14</v>
      </c>
      <c r="E35997" t="s">
        <v>246</v>
      </c>
      <c r="F35997" s="2" t="str">
        <f>HYPERLINK("http://www.otzar.org/book.asp?625538","קונטרס אור המאיר - על עניני חנוכה")</f>
        <v>קונטרס אור המאיר - על עניני חנוכה</v>
      </c>
    </row>
    <row r="35998" spans="1:6" x14ac:dyDescent="0.2">
      <c r="A35998" t="s">
        <v>55638</v>
      </c>
      <c r="B35998" t="s">
        <v>55633</v>
      </c>
      <c r="C35998" t="s">
        <v>111</v>
      </c>
      <c r="D35998" t="s">
        <v>646</v>
      </c>
      <c r="E35998" t="s">
        <v>246</v>
      </c>
      <c r="F35998" s="2" t="str">
        <f>HYPERLINK("http://www.otzar.org/book.asp?630343","קונטרס אור הפורים")</f>
        <v>קונטרס אור הפורים</v>
      </c>
    </row>
    <row r="35999" spans="1:6" x14ac:dyDescent="0.2">
      <c r="A35999" t="s">
        <v>55638</v>
      </c>
      <c r="B35999" t="s">
        <v>55639</v>
      </c>
      <c r="E35999" t="s">
        <v>246</v>
      </c>
      <c r="F35999" s="2" t="str">
        <f>HYPERLINK("http://www.otzar.org/book.asp?627277","קונטרס אור הפורים")</f>
        <v>קונטרס אור הפורים</v>
      </c>
    </row>
    <row r="36000" spans="1:6" x14ac:dyDescent="0.2">
      <c r="A36000" t="s">
        <v>55640</v>
      </c>
      <c r="B36000" t="s">
        <v>55641</v>
      </c>
      <c r="C36000" t="s">
        <v>151</v>
      </c>
      <c r="D36000" t="s">
        <v>90</v>
      </c>
      <c r="F36000" s="2" t="str">
        <f>HYPERLINK("http://www.otzar.org/book.asp?619052","קונטרס אור השבת")</f>
        <v>קונטרס אור השבת</v>
      </c>
    </row>
    <row r="36001" spans="1:6" x14ac:dyDescent="0.2">
      <c r="A36001" t="s">
        <v>55640</v>
      </c>
      <c r="B36001" t="s">
        <v>51469</v>
      </c>
      <c r="C36001" t="s">
        <v>71</v>
      </c>
      <c r="D36001" t="s">
        <v>14</v>
      </c>
      <c r="E36001" t="s">
        <v>1185</v>
      </c>
      <c r="F36001" s="2" t="str">
        <f>HYPERLINK("http://www.otzar.org/book.asp?163098","קונטרס אור השבת")</f>
        <v>קונטרס אור השבת</v>
      </c>
    </row>
    <row r="36002" spans="1:6" x14ac:dyDescent="0.2">
      <c r="A36002" t="s">
        <v>55640</v>
      </c>
      <c r="B36002" t="s">
        <v>55642</v>
      </c>
      <c r="C36002" t="s">
        <v>114</v>
      </c>
      <c r="D36002" t="s">
        <v>14</v>
      </c>
      <c r="E36002" t="s">
        <v>3516</v>
      </c>
      <c r="F36002" s="2" t="str">
        <f>HYPERLINK("http://www.otzar.org/book.asp?166053","קונטרס אור השבת")</f>
        <v>קונטרס אור השבת</v>
      </c>
    </row>
    <row r="36003" spans="1:6" x14ac:dyDescent="0.2">
      <c r="A36003" t="s">
        <v>55640</v>
      </c>
      <c r="B36003" t="s">
        <v>4218</v>
      </c>
      <c r="C36003" t="s">
        <v>366</v>
      </c>
      <c r="D36003" t="s">
        <v>14</v>
      </c>
      <c r="F36003" s="2" t="str">
        <f>HYPERLINK("http://www.otzar.org/book.asp?618840","קונטרס אור השבת")</f>
        <v>קונטרס אור השבת</v>
      </c>
    </row>
    <row r="36004" spans="1:6" x14ac:dyDescent="0.2">
      <c r="A36004" t="s">
        <v>55643</v>
      </c>
      <c r="B36004" t="s">
        <v>3871</v>
      </c>
      <c r="C36004" t="s">
        <v>151</v>
      </c>
      <c r="D36004" t="s">
        <v>52</v>
      </c>
      <c r="E36004" t="s">
        <v>104</v>
      </c>
      <c r="F36004" s="2" t="str">
        <f>HYPERLINK("http://www.otzar.org/book.asp?613173","קונטרס אור השמחה")</f>
        <v>קונטרס אור השמחה</v>
      </c>
    </row>
    <row r="36005" spans="1:6" x14ac:dyDescent="0.2">
      <c r="A36005" t="s">
        <v>55644</v>
      </c>
      <c r="B36005" t="s">
        <v>29045</v>
      </c>
      <c r="C36005" t="s">
        <v>23</v>
      </c>
      <c r="D36005" t="s">
        <v>52</v>
      </c>
      <c r="E36005" t="s">
        <v>140</v>
      </c>
      <c r="F36005" s="2" t="str">
        <f>HYPERLINK("http://www.otzar.org/book.asp?182400","קונטרס אור השמיטה")</f>
        <v>קונטרס אור השמיטה</v>
      </c>
    </row>
    <row r="36006" spans="1:6" x14ac:dyDescent="0.2">
      <c r="A36006" t="s">
        <v>55645</v>
      </c>
      <c r="B36006" t="s">
        <v>7557</v>
      </c>
      <c r="C36006" t="s">
        <v>23</v>
      </c>
      <c r="D36006" t="s">
        <v>14</v>
      </c>
      <c r="E36006" t="s">
        <v>241</v>
      </c>
      <c r="F36006" s="2" t="str">
        <f>HYPERLINK("http://www.otzar.org/book.asp?630791","קונטרס אור ועבודת שמירת העיניים")</f>
        <v>קונטרס אור ועבודת שמירת העיניים</v>
      </c>
    </row>
    <row r="36007" spans="1:6" x14ac:dyDescent="0.2">
      <c r="A36007" t="s">
        <v>55646</v>
      </c>
      <c r="B36007" t="s">
        <v>55647</v>
      </c>
      <c r="C36007" t="s">
        <v>189</v>
      </c>
      <c r="D36007" t="s">
        <v>80</v>
      </c>
      <c r="E36007" t="s">
        <v>140</v>
      </c>
      <c r="F36007" s="2" t="str">
        <f>HYPERLINK("http://www.otzar.org/book.asp?608267","קונטרס אור יוחנן")</f>
        <v>קונטרס אור יוחנן</v>
      </c>
    </row>
    <row r="36008" spans="1:6" x14ac:dyDescent="0.2">
      <c r="A36008" t="s">
        <v>55648</v>
      </c>
      <c r="B36008" t="s">
        <v>55649</v>
      </c>
      <c r="C36008" t="s">
        <v>114</v>
      </c>
      <c r="D36008" t="s">
        <v>52</v>
      </c>
      <c r="E36008" t="s">
        <v>144</v>
      </c>
      <c r="F36008" s="2" t="str">
        <f>HYPERLINK("http://www.otzar.org/book.asp?165077","קונטרס אור יקרות")</f>
        <v>קונטרס אור יקרות</v>
      </c>
    </row>
    <row r="36009" spans="1:6" x14ac:dyDescent="0.2">
      <c r="A36009" t="s">
        <v>55650</v>
      </c>
      <c r="B36009" t="s">
        <v>55651</v>
      </c>
      <c r="C36009" t="s">
        <v>151</v>
      </c>
      <c r="D36009" t="s">
        <v>646</v>
      </c>
      <c r="E36009" t="s">
        <v>172</v>
      </c>
      <c r="F36009" s="2" t="str">
        <f>HYPERLINK("http://www.otzar.org/book.asp?615404","קונטרס אור ליהודים")</f>
        <v>קונטרס אור ליהודים</v>
      </c>
    </row>
    <row r="36010" spans="1:6" x14ac:dyDescent="0.2">
      <c r="A36010" t="s">
        <v>55652</v>
      </c>
      <c r="B36010" t="s">
        <v>55653</v>
      </c>
      <c r="C36010" t="s">
        <v>68</v>
      </c>
      <c r="D36010" t="s">
        <v>14</v>
      </c>
      <c r="E36010" t="s">
        <v>15</v>
      </c>
      <c r="F36010" s="2" t="str">
        <f>HYPERLINK("http://www.otzar.org/book.asp?168013","קונטרס אור מנחם")</f>
        <v>קונטרס אור מנחם</v>
      </c>
    </row>
    <row r="36011" spans="1:6" x14ac:dyDescent="0.2">
      <c r="A36011" t="s">
        <v>55654</v>
      </c>
      <c r="B36011" t="s">
        <v>55597</v>
      </c>
      <c r="C36011" t="s">
        <v>366</v>
      </c>
      <c r="D36011" t="s">
        <v>646</v>
      </c>
      <c r="E36011" t="s">
        <v>140</v>
      </c>
      <c r="F36011" s="2" t="str">
        <f>HYPERLINK("http://www.otzar.org/book.asp?628781","קונטרס אור עולם")</f>
        <v>קונטרס אור עולם</v>
      </c>
    </row>
    <row r="36012" spans="1:6" x14ac:dyDescent="0.2">
      <c r="A36012" t="s">
        <v>55655</v>
      </c>
      <c r="B36012" t="s">
        <v>11760</v>
      </c>
      <c r="C36012" t="s">
        <v>23</v>
      </c>
      <c r="D36012" t="s">
        <v>5172</v>
      </c>
      <c r="F36012" s="2" t="str">
        <f>HYPERLINK("http://www.otzar.org/book.asp?197680","קונטרס אור ראש השנה")</f>
        <v>קונטרס אור ראש השנה</v>
      </c>
    </row>
    <row r="36013" spans="1:6" x14ac:dyDescent="0.2">
      <c r="A36013" t="s">
        <v>55656</v>
      </c>
      <c r="B36013" t="s">
        <v>16485</v>
      </c>
      <c r="C36013" t="s">
        <v>20</v>
      </c>
      <c r="D36013" t="s">
        <v>52</v>
      </c>
      <c r="F36013" s="2" t="str">
        <f>HYPERLINK("http://www.otzar.org/book.asp?616544","קונטרס אור שבעת הימים")</f>
        <v>קונטרס אור שבעת הימים</v>
      </c>
    </row>
    <row r="36014" spans="1:6" x14ac:dyDescent="0.2">
      <c r="A36014" t="s">
        <v>55657</v>
      </c>
      <c r="B36014" t="s">
        <v>21308</v>
      </c>
      <c r="C36014" t="s">
        <v>20</v>
      </c>
      <c r="D36014" t="s">
        <v>52</v>
      </c>
      <c r="F36014" s="2" t="str">
        <f>HYPERLINK("http://www.otzar.org/book.asp?621840","קונטרס אורות החיים")</f>
        <v>קונטרס אורות החיים</v>
      </c>
    </row>
    <row r="36015" spans="1:6" x14ac:dyDescent="0.2">
      <c r="A36015" t="s">
        <v>55658</v>
      </c>
      <c r="B36015" t="s">
        <v>4457</v>
      </c>
      <c r="C36015" t="s">
        <v>111</v>
      </c>
      <c r="D36015" t="s">
        <v>2909</v>
      </c>
      <c r="F36015" s="2" t="str">
        <f>HYPERLINK("http://www.otzar.org/book.asp?621841","קונטרס אורות המועדים - 3 כר'")</f>
        <v>קונטרס אורות המועדים - 3 כר'</v>
      </c>
    </row>
    <row r="36016" spans="1:6" x14ac:dyDescent="0.2">
      <c r="A36016" t="s">
        <v>55659</v>
      </c>
      <c r="B36016" t="s">
        <v>55660</v>
      </c>
      <c r="C36016" t="s">
        <v>103</v>
      </c>
      <c r="D36016" t="s">
        <v>52</v>
      </c>
      <c r="E36016" t="s">
        <v>467</v>
      </c>
      <c r="F36016" s="2" t="str">
        <f>HYPERLINK("http://www.otzar.org/book.asp?162027","קונטרס אורות חיים - 2 כר'")</f>
        <v>קונטרס אורות חיים - 2 כר'</v>
      </c>
    </row>
    <row r="36017" spans="1:6" x14ac:dyDescent="0.2">
      <c r="A36017" t="s">
        <v>55661</v>
      </c>
      <c r="B36017" t="s">
        <v>24983</v>
      </c>
      <c r="C36017" t="s">
        <v>23</v>
      </c>
      <c r="D36017" t="s">
        <v>152</v>
      </c>
      <c r="E36017" t="s">
        <v>130</v>
      </c>
      <c r="F36017" s="2" t="str">
        <f>HYPERLINK("http://www.otzar.org/book.asp?629468","קונטרס אורח אהרן")</f>
        <v>קונטרס אורח אהרן</v>
      </c>
    </row>
    <row r="36018" spans="1:6" x14ac:dyDescent="0.2">
      <c r="A36018" t="s">
        <v>55662</v>
      </c>
      <c r="B36018" t="s">
        <v>55663</v>
      </c>
      <c r="C36018" t="s">
        <v>411</v>
      </c>
      <c r="D36018" t="s">
        <v>52</v>
      </c>
      <c r="E36018" t="s">
        <v>246</v>
      </c>
      <c r="F36018" s="2" t="str">
        <f>HYPERLINK("http://www.otzar.org/book.asp?623981","קונטרס אורח חיים - אדר")</f>
        <v>קונטרס אורח חיים - אדר</v>
      </c>
    </row>
    <row r="36019" spans="1:6" x14ac:dyDescent="0.2">
      <c r="A36019" t="s">
        <v>55664</v>
      </c>
      <c r="B36019" t="s">
        <v>49498</v>
      </c>
      <c r="C36019" t="s">
        <v>37</v>
      </c>
      <c r="D36019" t="s">
        <v>152</v>
      </c>
      <c r="F36019" s="2" t="str">
        <f>HYPERLINK("http://www.otzar.org/book.asp?616822","קונטרס אורח חכמים")</f>
        <v>קונטרס אורח חכמים</v>
      </c>
    </row>
    <row r="36020" spans="1:6" x14ac:dyDescent="0.2">
      <c r="A36020" t="s">
        <v>55665</v>
      </c>
      <c r="B36020" t="s">
        <v>12287</v>
      </c>
      <c r="C36020" t="s">
        <v>114</v>
      </c>
      <c r="D36020" t="s">
        <v>657</v>
      </c>
      <c r="E36020" t="s">
        <v>144</v>
      </c>
      <c r="F36020" s="2" t="str">
        <f>HYPERLINK("http://www.otzar.org/book.asp?166142","קונטרס אורח ישר - וסתות")</f>
        <v>קונטרס אורח ישר - וסתות</v>
      </c>
    </row>
    <row r="36021" spans="1:6" x14ac:dyDescent="0.2">
      <c r="A36021" t="s">
        <v>55666</v>
      </c>
      <c r="E36021" t="s">
        <v>140</v>
      </c>
      <c r="F36021" s="2" t="str">
        <f>HYPERLINK("http://www.otzar.org/book.asp?624665","קונטרס אורח לצדיק")</f>
        <v>קונטרס אורח לצדיק</v>
      </c>
    </row>
    <row r="36022" spans="1:6" x14ac:dyDescent="0.2">
      <c r="A36022" t="s">
        <v>55667</v>
      </c>
      <c r="B36022" t="s">
        <v>12706</v>
      </c>
      <c r="C36022" t="s">
        <v>133</v>
      </c>
      <c r="D36022" t="s">
        <v>14</v>
      </c>
      <c r="E36022" t="s">
        <v>15</v>
      </c>
      <c r="F36022" s="2" t="str">
        <f>HYPERLINK("http://www.otzar.org/book.asp?175604","קונטרס אורחות לשון")</f>
        <v>קונטרס אורחות לשון</v>
      </c>
    </row>
    <row r="36023" spans="1:6" x14ac:dyDescent="0.2">
      <c r="A36023" t="s">
        <v>55668</v>
      </c>
      <c r="B36023" t="s">
        <v>55669</v>
      </c>
      <c r="C36023" t="s">
        <v>23</v>
      </c>
      <c r="D36023" t="s">
        <v>52</v>
      </c>
      <c r="E36023" t="s">
        <v>246</v>
      </c>
      <c r="F36023" s="2" t="str">
        <f>HYPERLINK("http://www.otzar.org/book.asp?191108","קונטרס אורי וישעי - חנוכה")</f>
        <v>קונטרס אורי וישעי - חנוכה</v>
      </c>
    </row>
    <row r="36024" spans="1:6" x14ac:dyDescent="0.2">
      <c r="A36024" t="s">
        <v>55670</v>
      </c>
      <c r="B36024" t="s">
        <v>55671</v>
      </c>
      <c r="C36024" t="s">
        <v>366</v>
      </c>
      <c r="D36024" t="s">
        <v>21</v>
      </c>
      <c r="E36024" t="s">
        <v>674</v>
      </c>
      <c r="F36024" s="2" t="str">
        <f>HYPERLINK("http://www.otzar.org/book.asp?603746","קונטרס אורך האמה")</f>
        <v>קונטרס אורך האמה</v>
      </c>
    </row>
    <row r="36025" spans="1:6" x14ac:dyDescent="0.2">
      <c r="A36025" t="s">
        <v>55672</v>
      </c>
      <c r="B36025" t="s">
        <v>20380</v>
      </c>
      <c r="C36025" t="s">
        <v>366</v>
      </c>
      <c r="D36025" t="s">
        <v>90</v>
      </c>
      <c r="E36025" t="s">
        <v>148</v>
      </c>
      <c r="F36025" s="2" t="str">
        <f>HYPERLINK("http://www.otzar.org/book.asp?605009","קונטרס אורך ימים - כיבוד אב ואם")</f>
        <v>קונטרס אורך ימים - כיבוד אב ואם</v>
      </c>
    </row>
    <row r="36026" spans="1:6" x14ac:dyDescent="0.2">
      <c r="A36026" t="s">
        <v>55673</v>
      </c>
      <c r="B36026" t="s">
        <v>9266</v>
      </c>
      <c r="C36026" t="s">
        <v>37</v>
      </c>
      <c r="D36026" t="s">
        <v>152</v>
      </c>
      <c r="F36026" s="2" t="str">
        <f>HYPERLINK("http://www.otzar.org/book.asp?182928","קונטרס אות ברית")</f>
        <v>קונטרס אות ברית</v>
      </c>
    </row>
    <row r="36027" spans="1:6" x14ac:dyDescent="0.2">
      <c r="A36027" t="s">
        <v>55674</v>
      </c>
      <c r="B36027" t="s">
        <v>55675</v>
      </c>
      <c r="C36027" t="s">
        <v>422</v>
      </c>
      <c r="D36027" t="s">
        <v>152</v>
      </c>
      <c r="F36027" s="2" t="str">
        <f>HYPERLINK("http://www.otzar.org/book.asp?157112","קונטרס אות עולם - שבת")</f>
        <v>קונטרס אות עולם - שבת</v>
      </c>
    </row>
    <row r="36028" spans="1:6" x14ac:dyDescent="0.2">
      <c r="A36028" t="s">
        <v>55676</v>
      </c>
      <c r="B36028" t="s">
        <v>1402</v>
      </c>
      <c r="C36028" t="s">
        <v>624</v>
      </c>
      <c r="D36028" t="s">
        <v>52</v>
      </c>
      <c r="E36028" t="s">
        <v>241</v>
      </c>
      <c r="F36028" s="2" t="str">
        <f>HYPERLINK("http://www.otzar.org/book.asp?157878","קונטרס אותה אבקש")</f>
        <v>קונטרס אותה אבקש</v>
      </c>
    </row>
    <row r="36029" spans="1:6" x14ac:dyDescent="0.2">
      <c r="A36029" t="s">
        <v>55677</v>
      </c>
      <c r="B36029" t="s">
        <v>55678</v>
      </c>
      <c r="C36029" t="s">
        <v>244</v>
      </c>
      <c r="D36029" t="s">
        <v>21</v>
      </c>
      <c r="E36029" t="s">
        <v>81</v>
      </c>
      <c r="F36029" s="2" t="str">
        <f>HYPERLINK("http://www.otzar.org/book.asp?600133","קונטרס אז אמר שלמה")</f>
        <v>קונטרס אז אמר שלמה</v>
      </c>
    </row>
    <row r="36030" spans="1:6" x14ac:dyDescent="0.2">
      <c r="A36030" t="s">
        <v>55679</v>
      </c>
      <c r="B36030" t="s">
        <v>55680</v>
      </c>
      <c r="D36030" t="s">
        <v>90</v>
      </c>
      <c r="F36030" s="2" t="str">
        <f>HYPERLINK("http://www.otzar.org/book.asp?603262","קונטרס אז ישיר - מאזני צדק")</f>
        <v>קונטרס אז ישיר - מאזני צדק</v>
      </c>
    </row>
    <row r="36031" spans="1:6" x14ac:dyDescent="0.2">
      <c r="A36031" t="s">
        <v>55681</v>
      </c>
      <c r="B36031" t="s">
        <v>4875</v>
      </c>
      <c r="C36031" t="s">
        <v>454</v>
      </c>
      <c r="D36031" t="s">
        <v>14</v>
      </c>
      <c r="E36031" t="s">
        <v>467</v>
      </c>
      <c r="F36031" s="2" t="str">
        <f>HYPERLINK("http://www.otzar.org/book.asp?160930","קונטרס אז ישיר")</f>
        <v>קונטרס אז ישיר</v>
      </c>
    </row>
    <row r="36032" spans="1:6" x14ac:dyDescent="0.2">
      <c r="A36032" t="s">
        <v>55681</v>
      </c>
      <c r="B36032" t="s">
        <v>55682</v>
      </c>
      <c r="C36032" t="s">
        <v>366</v>
      </c>
      <c r="D36032" t="s">
        <v>152</v>
      </c>
      <c r="F36032" s="2" t="str">
        <f>HYPERLINK("http://www.otzar.org/book.asp?609127","קונטרס אז ישיר")</f>
        <v>קונטרס אז ישיר</v>
      </c>
    </row>
    <row r="36033" spans="1:6" x14ac:dyDescent="0.2">
      <c r="A36033" t="s">
        <v>55683</v>
      </c>
      <c r="B36033" t="s">
        <v>4889</v>
      </c>
      <c r="E36033" t="s">
        <v>140</v>
      </c>
      <c r="F36033" s="2" t="str">
        <f>HYPERLINK("http://www.otzar.org/book.asp?628010","קונטרס אז נדברו - 4 כר'")</f>
        <v>קונטרס אז נדברו - 4 כר'</v>
      </c>
    </row>
    <row r="36034" spans="1:6" x14ac:dyDescent="0.2">
      <c r="A36034" t="s">
        <v>55684</v>
      </c>
      <c r="B36034" t="s">
        <v>8743</v>
      </c>
      <c r="C36034" t="s">
        <v>133</v>
      </c>
      <c r="D36034" t="s">
        <v>412</v>
      </c>
      <c r="F36034" s="2" t="str">
        <f>HYPERLINK("http://www.otzar.org/book.asp?613587","קונטרס אז רב ניסים")</f>
        <v>קונטרס אז רב ניסים</v>
      </c>
    </row>
    <row r="36035" spans="1:6" x14ac:dyDescent="0.2">
      <c r="A36035" t="s">
        <v>55685</v>
      </c>
      <c r="B36035" t="s">
        <v>2872</v>
      </c>
      <c r="C36035" t="s">
        <v>20</v>
      </c>
      <c r="D36035" t="s">
        <v>52</v>
      </c>
      <c r="E36035" t="s">
        <v>104</v>
      </c>
      <c r="F36035" s="2" t="str">
        <f>HYPERLINK("http://www.otzar.org/book.asp?607481","קונטרס אחר כותלנו")</f>
        <v>קונטרס אחר כותלנו</v>
      </c>
    </row>
    <row r="36036" spans="1:6" x14ac:dyDescent="0.2">
      <c r="A36036" t="s">
        <v>55686</v>
      </c>
      <c r="B36036" t="s">
        <v>3286</v>
      </c>
      <c r="C36036" t="s">
        <v>1160</v>
      </c>
      <c r="D36036" t="s">
        <v>52</v>
      </c>
      <c r="E36036" t="s">
        <v>104</v>
      </c>
      <c r="F36036" s="2" t="str">
        <f>HYPERLINK("http://www.otzar.org/book.asp?142295","קונטרס אחר כתלנו - 2 כר'")</f>
        <v>קונטרס אחר כתלנו - 2 כר'</v>
      </c>
    </row>
    <row r="36037" spans="1:6" x14ac:dyDescent="0.2">
      <c r="A36037" t="s">
        <v>55687</v>
      </c>
      <c r="B36037" t="s">
        <v>107</v>
      </c>
      <c r="C36037" t="s">
        <v>146</v>
      </c>
      <c r="D36037" t="s">
        <v>14</v>
      </c>
      <c r="E36037" t="s">
        <v>104</v>
      </c>
      <c r="F36037" s="2" t="str">
        <f>HYPERLINK("http://www.otzar.org/book.asp?84485","קונטרס אחרית האדם בעולם הזה")</f>
        <v>קונטרס אחרית האדם בעולם הזה</v>
      </c>
    </row>
    <row r="36038" spans="1:6" x14ac:dyDescent="0.2">
      <c r="A36038" t="s">
        <v>55688</v>
      </c>
      <c r="B36038" t="s">
        <v>55689</v>
      </c>
      <c r="C36038" t="s">
        <v>20</v>
      </c>
      <c r="D36038" t="s">
        <v>4549</v>
      </c>
      <c r="E36038" t="s">
        <v>104</v>
      </c>
      <c r="F36038" s="2" t="str">
        <f>HYPERLINK("http://www.otzar.org/book.asp?623386","קונטרס איי הים")</f>
        <v>קונטרס איי הים</v>
      </c>
    </row>
    <row r="36039" spans="1:6" x14ac:dyDescent="0.2">
      <c r="A36039" t="s">
        <v>55690</v>
      </c>
      <c r="B36039" t="s">
        <v>206</v>
      </c>
      <c r="C36039" t="s">
        <v>151</v>
      </c>
      <c r="D36039" t="s">
        <v>52</v>
      </c>
      <c r="F36039" s="2" t="str">
        <f>HYPERLINK("http://www.otzar.org/book.asp?616383","קונטרס איך נשיר")</f>
        <v>קונטרס איך נשיר</v>
      </c>
    </row>
    <row r="36040" spans="1:6" x14ac:dyDescent="0.2">
      <c r="A36040" t="s">
        <v>55691</v>
      </c>
      <c r="B36040" t="s">
        <v>55692</v>
      </c>
      <c r="C36040" t="s">
        <v>143</v>
      </c>
      <c r="D36040" t="s">
        <v>1511</v>
      </c>
      <c r="E36040" t="s">
        <v>144</v>
      </c>
      <c r="F36040" s="2" t="str">
        <f>HYPERLINK("http://www.otzar.org/book.asp?159054","קונטרס אילו של אברהם")</f>
        <v>קונטרס אילו של אברהם</v>
      </c>
    </row>
    <row r="36041" spans="1:6" x14ac:dyDescent="0.2">
      <c r="A36041" t="s">
        <v>55693</v>
      </c>
      <c r="B36041" t="s">
        <v>206</v>
      </c>
      <c r="C36041" t="s">
        <v>146</v>
      </c>
      <c r="D36041" t="s">
        <v>52</v>
      </c>
      <c r="E36041" t="s">
        <v>144</v>
      </c>
      <c r="F36041" s="2" t="str">
        <f>HYPERLINK("http://www.otzar.org/book.asp?53042","קונטרס אילת אהבים")</f>
        <v>קונטרס אילת אהבים</v>
      </c>
    </row>
    <row r="36042" spans="1:6" x14ac:dyDescent="0.2">
      <c r="A36042" t="s">
        <v>55694</v>
      </c>
      <c r="B36042" t="s">
        <v>9179</v>
      </c>
      <c r="C36042" t="s">
        <v>151</v>
      </c>
      <c r="D36042" t="s">
        <v>52</v>
      </c>
      <c r="F36042" s="2" t="str">
        <f>HYPERLINK("http://www.otzar.org/book.asp?620431","קונטרס אילת אהבים - פנינים מבעל אילת השחר")</f>
        <v>קונטרס אילת אהבים - פנינים מבעל אילת השחר</v>
      </c>
    </row>
    <row r="36043" spans="1:6" x14ac:dyDescent="0.2">
      <c r="A36043" t="s">
        <v>55695</v>
      </c>
      <c r="B36043" t="s">
        <v>5293</v>
      </c>
      <c r="C36043" t="s">
        <v>114</v>
      </c>
      <c r="D36043" t="s">
        <v>21</v>
      </c>
      <c r="E36043" t="s">
        <v>241</v>
      </c>
      <c r="F36043" s="2" t="str">
        <f>HYPERLINK("http://www.otzar.org/book.asp?197850","קונטרס אין אבדה כאבדת הזמן")</f>
        <v>קונטרס אין אבדה כאבדת הזמן</v>
      </c>
    </row>
    <row r="36044" spans="1:6" x14ac:dyDescent="0.2">
      <c r="A36044" t="s">
        <v>55696</v>
      </c>
      <c r="B36044" t="s">
        <v>55697</v>
      </c>
      <c r="C36044" t="s">
        <v>14</v>
      </c>
      <c r="D36044" t="s">
        <v>133</v>
      </c>
      <c r="E36044" t="s">
        <v>15</v>
      </c>
      <c r="F36044" s="2" t="str">
        <f>HYPERLINK("http://www.otzar.org/book.asp?197768","קונטרס אין בין")</f>
        <v>קונטרס אין בין</v>
      </c>
    </row>
    <row r="36045" spans="1:6" x14ac:dyDescent="0.2">
      <c r="A36045" t="s">
        <v>55698</v>
      </c>
      <c r="B36045" t="s">
        <v>29800</v>
      </c>
      <c r="C36045" t="s">
        <v>37</v>
      </c>
      <c r="D36045" t="s">
        <v>52</v>
      </c>
      <c r="E36045" t="s">
        <v>15</v>
      </c>
      <c r="F36045" s="2" t="str">
        <f>HYPERLINK("http://www.otzar.org/book.asp?602855","קונטרס אין למו מכשול")</f>
        <v>קונטרס אין למו מכשול</v>
      </c>
    </row>
    <row r="36046" spans="1:6" x14ac:dyDescent="0.2">
      <c r="A36046" t="s">
        <v>55699</v>
      </c>
      <c r="B36046" t="s">
        <v>55700</v>
      </c>
      <c r="C36046" t="s">
        <v>133</v>
      </c>
      <c r="D36046" t="s">
        <v>90</v>
      </c>
      <c r="E36046" t="s">
        <v>15</v>
      </c>
      <c r="F36046" s="2" t="str">
        <f>HYPERLINK("http://www.otzar.org/book.asp?198036","קונטרס איסור והיתר")</f>
        <v>קונטרס איסור והיתר</v>
      </c>
    </row>
    <row r="36047" spans="1:6" x14ac:dyDescent="0.2">
      <c r="A36047" t="s">
        <v>55701</v>
      </c>
      <c r="B36047" t="s">
        <v>55702</v>
      </c>
      <c r="C36047" t="s">
        <v>2008</v>
      </c>
      <c r="D36047" t="s">
        <v>15140</v>
      </c>
      <c r="E36047" t="s">
        <v>674</v>
      </c>
      <c r="F36047" s="2" t="str">
        <f>HYPERLINK("http://www.otzar.org/book.asp?197031","קונטרס איסור פריעת ראש של נשים")</f>
        <v>קונטרס איסור פריעת ראש של נשים</v>
      </c>
    </row>
    <row r="36048" spans="1:6" x14ac:dyDescent="0.2">
      <c r="A36048" t="s">
        <v>55703</v>
      </c>
      <c r="B36048" t="s">
        <v>4988</v>
      </c>
      <c r="C36048" t="s">
        <v>585</v>
      </c>
      <c r="D36048" t="s">
        <v>52</v>
      </c>
      <c r="F36048" s="2" t="str">
        <f>HYPERLINK("http://www.otzar.org/book.asp?630258","קונטרס איסור פתיחת כלים")</f>
        <v>קונטרס איסור פתיחת כלים</v>
      </c>
    </row>
    <row r="36049" spans="1:6" x14ac:dyDescent="0.2">
      <c r="A36049" t="s">
        <v>55704</v>
      </c>
      <c r="B36049" t="s">
        <v>55705</v>
      </c>
      <c r="C36049" t="s">
        <v>366</v>
      </c>
      <c r="D36049" t="s">
        <v>14</v>
      </c>
      <c r="E36049" t="s">
        <v>15</v>
      </c>
      <c r="F36049" s="2" t="str">
        <f>HYPERLINK("http://www.otzar.org/book.asp?603135","קונטרס איש איטר")</f>
        <v>קונטרס איש איטר</v>
      </c>
    </row>
    <row r="36050" spans="1:6" x14ac:dyDescent="0.2">
      <c r="A36050" t="s">
        <v>55704</v>
      </c>
      <c r="B36050" t="s">
        <v>55706</v>
      </c>
      <c r="C36050" t="s">
        <v>940</v>
      </c>
      <c r="D36050" t="s">
        <v>646</v>
      </c>
      <c r="E36050" t="s">
        <v>15</v>
      </c>
      <c r="F36050" s="2" t="str">
        <f>HYPERLINK("http://www.otzar.org/book.asp?624475","קונטרס איש איטר")</f>
        <v>קונטרס איש איטר</v>
      </c>
    </row>
    <row r="36051" spans="1:6" x14ac:dyDescent="0.2">
      <c r="A36051" t="s">
        <v>55707</v>
      </c>
      <c r="B36051" t="s">
        <v>206</v>
      </c>
      <c r="C36051" t="s">
        <v>151</v>
      </c>
      <c r="D36051" t="s">
        <v>90</v>
      </c>
      <c r="F36051" s="2" t="str">
        <f>HYPERLINK("http://www.otzar.org/book.asp?614386","קונטרס איש ימיני")</f>
        <v>קונטרס איש ימיני</v>
      </c>
    </row>
    <row r="36052" spans="1:6" x14ac:dyDescent="0.2">
      <c r="A36052" t="s">
        <v>55708</v>
      </c>
      <c r="B36052" t="s">
        <v>55708</v>
      </c>
      <c r="C36052" t="s">
        <v>114</v>
      </c>
      <c r="D36052" t="s">
        <v>14</v>
      </c>
      <c r="E36052" t="s">
        <v>241</v>
      </c>
      <c r="F36052" s="2" t="str">
        <f>HYPERLINK("http://www.otzar.org/book.asp?169076","קונטרס אך בצלם")</f>
        <v>קונטרס אך בצלם</v>
      </c>
    </row>
    <row r="36053" spans="1:6" x14ac:dyDescent="0.2">
      <c r="A36053" t="s">
        <v>55709</v>
      </c>
      <c r="B36053" t="s">
        <v>55710</v>
      </c>
      <c r="C36053" t="s">
        <v>133</v>
      </c>
      <c r="D36053" t="s">
        <v>55711</v>
      </c>
      <c r="E36053" t="s">
        <v>140</v>
      </c>
      <c r="F36053" s="2" t="str">
        <f>HYPERLINK("http://www.otzar.org/book.asp?624664","קונטרס אכסניא של תורה")</f>
        <v>קונטרס אכסניא של תורה</v>
      </c>
    </row>
    <row r="36054" spans="1:6" x14ac:dyDescent="0.2">
      <c r="A36054" t="s">
        <v>55712</v>
      </c>
      <c r="B36054" t="s">
        <v>5564</v>
      </c>
      <c r="C36054" t="s">
        <v>1663</v>
      </c>
      <c r="D36054" t="s">
        <v>14</v>
      </c>
      <c r="E36054" t="s">
        <v>158</v>
      </c>
      <c r="F36054" s="2" t="str">
        <f>HYPERLINK("http://www.otzar.org/book.asp?179330","קונטרס אל גנת אגוז ירדתי")</f>
        <v>קונטרס אל גנת אגוז ירדתי</v>
      </c>
    </row>
    <row r="36055" spans="1:6" x14ac:dyDescent="0.2">
      <c r="A36055" t="s">
        <v>55713</v>
      </c>
      <c r="B36055" t="s">
        <v>55714</v>
      </c>
      <c r="C36055" t="s">
        <v>129</v>
      </c>
      <c r="D36055" t="s">
        <v>52</v>
      </c>
      <c r="E36055" t="s">
        <v>144</v>
      </c>
      <c r="F36055" s="2" t="str">
        <f>HYPERLINK("http://www.otzar.org/book.asp?193111","קונטרס אל חנן")</f>
        <v>קונטרס אל חנן</v>
      </c>
    </row>
    <row r="36056" spans="1:6" x14ac:dyDescent="0.2">
      <c r="A36056" t="s">
        <v>55715</v>
      </c>
      <c r="B36056" t="s">
        <v>6984</v>
      </c>
      <c r="C36056" t="s">
        <v>151</v>
      </c>
      <c r="D36056" t="s">
        <v>486</v>
      </c>
      <c r="E36056" t="s">
        <v>246</v>
      </c>
      <c r="F36056" s="2" t="str">
        <f>HYPERLINK("http://www.otzar.org/book.asp?623578","קונטרס אל מול פני המנורה - 2 כר'")</f>
        <v>קונטרס אל מול פני המנורה - 2 כר'</v>
      </c>
    </row>
    <row r="36057" spans="1:6" x14ac:dyDescent="0.2">
      <c r="A36057" t="s">
        <v>55716</v>
      </c>
      <c r="B36057" t="s">
        <v>55717</v>
      </c>
      <c r="C36057" t="s">
        <v>383</v>
      </c>
      <c r="D36057" t="s">
        <v>14</v>
      </c>
      <c r="F36057" s="2" t="str">
        <f>HYPERLINK("http://www.otzar.org/book.asp?609606","קונטרס אל תגעו במשיחי")</f>
        <v>קונטרס אל תגעו במשיחי</v>
      </c>
    </row>
    <row r="36058" spans="1:6" x14ac:dyDescent="0.2">
      <c r="A36058" t="s">
        <v>55718</v>
      </c>
      <c r="B36058" t="s">
        <v>55719</v>
      </c>
      <c r="C36058" t="s">
        <v>189</v>
      </c>
      <c r="D36058" t="s">
        <v>90</v>
      </c>
      <c r="E36058" t="s">
        <v>104</v>
      </c>
      <c r="F36058" s="2" t="str">
        <f>HYPERLINK("http://www.otzar.org/book.asp?145278","קונטרס אל תפנו")</f>
        <v>קונטרס אל תפנו</v>
      </c>
    </row>
    <row r="36059" spans="1:6" x14ac:dyDescent="0.2">
      <c r="A36059" t="s">
        <v>55720</v>
      </c>
      <c r="B36059" t="s">
        <v>1602</v>
      </c>
      <c r="C36059" t="s">
        <v>17</v>
      </c>
      <c r="D36059" t="s">
        <v>21</v>
      </c>
      <c r="E36059" t="s">
        <v>733</v>
      </c>
      <c r="F36059" s="2" t="str">
        <f>HYPERLINK("http://www.otzar.org/book.asp?191180","קונטרס אלו לעומת אלו")</f>
        <v>קונטרס אלו לעומת אלו</v>
      </c>
    </row>
    <row r="36060" spans="1:6" x14ac:dyDescent="0.2">
      <c r="A36060" t="s">
        <v>55721</v>
      </c>
      <c r="F36060" s="2" t="str">
        <f>HYPERLINK("http://www.otzar.org/book.asp?618096","קונטרס אלול אני לדודי ודודי לי")</f>
        <v>קונטרס אלול אני לדודי ודודי לי</v>
      </c>
    </row>
    <row r="36061" spans="1:6" x14ac:dyDescent="0.2">
      <c r="A36061" t="s">
        <v>55722</v>
      </c>
      <c r="B36061" t="s">
        <v>55723</v>
      </c>
      <c r="C36061" t="s">
        <v>189</v>
      </c>
      <c r="D36061" t="s">
        <v>21</v>
      </c>
      <c r="F36061" s="2" t="str">
        <f>HYPERLINK("http://www.otzar.org/book.asp?194865","קונטרס אלון בכות")</f>
        <v>קונטרס אלון בכות</v>
      </c>
    </row>
    <row r="36062" spans="1:6" x14ac:dyDescent="0.2">
      <c r="A36062" t="s">
        <v>55724</v>
      </c>
      <c r="B36062" t="s">
        <v>55725</v>
      </c>
      <c r="C36062" t="s">
        <v>114</v>
      </c>
      <c r="D36062" t="s">
        <v>21</v>
      </c>
      <c r="F36062" s="2" t="str">
        <f>HYPERLINK("http://www.otzar.org/book.asp?197719","קונטרס אלמוגי הים")</f>
        <v>קונטרס אלמוגי הים</v>
      </c>
    </row>
    <row r="36063" spans="1:6" x14ac:dyDescent="0.2">
      <c r="A36063" t="s">
        <v>55726</v>
      </c>
      <c r="B36063" t="s">
        <v>1248</v>
      </c>
      <c r="C36063" t="s">
        <v>366</v>
      </c>
      <c r="D36063" t="s">
        <v>80</v>
      </c>
      <c r="F36063" s="2" t="str">
        <f>HYPERLINK("http://www.otzar.org/book.asp?610188","קונטרס אלפים באמה")</f>
        <v>קונטרס אלפים באמה</v>
      </c>
    </row>
    <row r="36064" spans="1:6" x14ac:dyDescent="0.2">
      <c r="A36064" t="s">
        <v>55727</v>
      </c>
      <c r="B36064" t="s">
        <v>206</v>
      </c>
      <c r="C36064" t="s">
        <v>133</v>
      </c>
      <c r="D36064" t="s">
        <v>90</v>
      </c>
      <c r="F36064" s="2" t="str">
        <f>HYPERLINK("http://www.otzar.org/book.asp?609600","קונטרס אלקי אבי בעזרי")</f>
        <v>קונטרס אלקי אבי בעזרי</v>
      </c>
    </row>
    <row r="36065" spans="1:6" x14ac:dyDescent="0.2">
      <c r="A36065" t="s">
        <v>55728</v>
      </c>
      <c r="B36065" t="s">
        <v>55729</v>
      </c>
      <c r="C36065" t="s">
        <v>133</v>
      </c>
      <c r="D36065" t="s">
        <v>90</v>
      </c>
      <c r="E36065" t="s">
        <v>241</v>
      </c>
      <c r="F36065" s="2" t="str">
        <f>HYPERLINK("http://www.otzar.org/book.asp?176880","קונטרס אם אמרתי")</f>
        <v>קונטרס אם אמרתי</v>
      </c>
    </row>
    <row r="36066" spans="1:6" x14ac:dyDescent="0.2">
      <c r="A36066" t="s">
        <v>55730</v>
      </c>
      <c r="B36066" t="s">
        <v>3871</v>
      </c>
      <c r="C36066" t="s">
        <v>68</v>
      </c>
      <c r="D36066" t="s">
        <v>80</v>
      </c>
      <c r="F36066" s="2" t="str">
        <f>HYPERLINK("http://www.otzar.org/book.asp?610434","קונטרס אם אשכחך ירושלים")</f>
        <v>קונטרס אם אשכחך ירושלים</v>
      </c>
    </row>
    <row r="36067" spans="1:6" x14ac:dyDescent="0.2">
      <c r="A36067" t="s">
        <v>55731</v>
      </c>
      <c r="B36067" t="s">
        <v>55732</v>
      </c>
      <c r="C36067" t="s">
        <v>20</v>
      </c>
      <c r="D36067" t="s">
        <v>14</v>
      </c>
      <c r="E36067" t="s">
        <v>104</v>
      </c>
      <c r="F36067" s="2" t="str">
        <f>HYPERLINK("http://www.otzar.org/book.asp?176941","קונטרס אם בחקתי")</f>
        <v>קונטרס אם בחקתי</v>
      </c>
    </row>
    <row r="36068" spans="1:6" x14ac:dyDescent="0.2">
      <c r="A36068" t="s">
        <v>55733</v>
      </c>
      <c r="B36068" t="s">
        <v>55734</v>
      </c>
      <c r="C36068" t="s">
        <v>20</v>
      </c>
      <c r="D36068" t="s">
        <v>721</v>
      </c>
      <c r="E36068" t="s">
        <v>202</v>
      </c>
      <c r="F36068" s="2" t="str">
        <f>HYPERLINK("http://www.otzar.org/book.asp?174499","קונטרס אם הבנים שמחה")</f>
        <v>קונטרס אם הבנים שמחה</v>
      </c>
    </row>
    <row r="36069" spans="1:6" x14ac:dyDescent="0.2">
      <c r="A36069" t="s">
        <v>55735</v>
      </c>
      <c r="B36069" t="s">
        <v>55736</v>
      </c>
      <c r="C36069" t="s">
        <v>20</v>
      </c>
      <c r="D36069" t="s">
        <v>90</v>
      </c>
      <c r="E36069" t="s">
        <v>144</v>
      </c>
      <c r="F36069" s="2" t="str">
        <f>HYPERLINK("http://www.otzar.org/book.asp?629870","קונטרס אם כסף תלוה")</f>
        <v>קונטרס אם כסף תלוה</v>
      </c>
    </row>
    <row r="36070" spans="1:6" x14ac:dyDescent="0.2">
      <c r="A36070" t="s">
        <v>55737</v>
      </c>
      <c r="B36070" t="s">
        <v>55738</v>
      </c>
      <c r="C36070" t="s">
        <v>111</v>
      </c>
      <c r="D36070" t="s">
        <v>90</v>
      </c>
      <c r="E36070" t="s">
        <v>241</v>
      </c>
      <c r="F36070" s="2" t="str">
        <f>HYPERLINK("http://www.otzar.org/book.asp?623673","קונטרס אמונת אהרן")</f>
        <v>קונטרס אמונת אהרן</v>
      </c>
    </row>
    <row r="36071" spans="1:6" x14ac:dyDescent="0.2">
      <c r="A36071" t="s">
        <v>55739</v>
      </c>
      <c r="B36071" t="s">
        <v>55740</v>
      </c>
      <c r="C36071" t="s">
        <v>244</v>
      </c>
      <c r="D36071" t="s">
        <v>1156</v>
      </c>
      <c r="E36071" t="s">
        <v>213</v>
      </c>
      <c r="F36071" s="2" t="str">
        <f>HYPERLINK("http://www.otzar.org/book.asp?630309","קונטרס אמונת חיים - 2 כר'")</f>
        <v>קונטרס אמונת חיים - 2 כר'</v>
      </c>
    </row>
    <row r="36072" spans="1:6" x14ac:dyDescent="0.2">
      <c r="A36072" t="s">
        <v>55741</v>
      </c>
      <c r="B36072" t="s">
        <v>5919</v>
      </c>
      <c r="C36072" t="s">
        <v>2284</v>
      </c>
      <c r="D36072" t="s">
        <v>52</v>
      </c>
      <c r="E36072" t="s">
        <v>104</v>
      </c>
      <c r="F36072" s="2" t="str">
        <f>HYPERLINK("http://www.otzar.org/book.asp?25498","קונטרס אמונת חכמים")</f>
        <v>קונטרס אמונת חכמים</v>
      </c>
    </row>
    <row r="36073" spans="1:6" x14ac:dyDescent="0.2">
      <c r="A36073" t="s">
        <v>55742</v>
      </c>
      <c r="B36073" t="s">
        <v>5928</v>
      </c>
      <c r="C36073" t="s">
        <v>466</v>
      </c>
      <c r="D36073" t="s">
        <v>55743</v>
      </c>
      <c r="E36073" t="s">
        <v>202</v>
      </c>
      <c r="F36073" s="2" t="str">
        <f>HYPERLINK("http://www.otzar.org/book.asp?624897","קונטרס אמונת עתיך - תשנ""ט")</f>
        <v>קונטרס אמונת עתיך - תשנ"ט</v>
      </c>
    </row>
    <row r="36074" spans="1:6" x14ac:dyDescent="0.2">
      <c r="A36074" t="s">
        <v>55744</v>
      </c>
      <c r="B36074" t="s">
        <v>55745</v>
      </c>
      <c r="C36074" t="s">
        <v>466</v>
      </c>
      <c r="D36074" t="s">
        <v>52</v>
      </c>
      <c r="E36074" t="s">
        <v>219</v>
      </c>
      <c r="F36074" s="2" t="str">
        <f>HYPERLINK("http://www.otzar.org/book.asp?61991","קונטרס אמירה בחצות")</f>
        <v>קונטרס אמירה בחצות</v>
      </c>
    </row>
    <row r="36075" spans="1:6" x14ac:dyDescent="0.2">
      <c r="A36075" t="s">
        <v>55746</v>
      </c>
      <c r="B36075" t="s">
        <v>55747</v>
      </c>
      <c r="C36075" t="s">
        <v>383</v>
      </c>
      <c r="D36075" t="s">
        <v>412</v>
      </c>
      <c r="E36075" t="s">
        <v>104</v>
      </c>
      <c r="F36075" s="2" t="str">
        <f>HYPERLINK("http://www.otzar.org/book.asp?142006","קונטרס אמירה נעימה")</f>
        <v>קונטרס אמירה נעימה</v>
      </c>
    </row>
    <row r="36076" spans="1:6" x14ac:dyDescent="0.2">
      <c r="A36076" t="s">
        <v>55748</v>
      </c>
      <c r="B36076" t="s">
        <v>55749</v>
      </c>
      <c r="C36076" t="s">
        <v>133</v>
      </c>
      <c r="D36076" t="s">
        <v>14</v>
      </c>
      <c r="E36076" t="s">
        <v>140</v>
      </c>
      <c r="F36076" s="2" t="str">
        <f>HYPERLINK("http://www.otzar.org/book.asp?170045","קונטרס אמר רבי עקיבא")</f>
        <v>קונטרס אמר רבי עקיבא</v>
      </c>
    </row>
    <row r="36077" spans="1:6" x14ac:dyDescent="0.2">
      <c r="A36077" t="s">
        <v>55750</v>
      </c>
      <c r="B36077" t="s">
        <v>55751</v>
      </c>
      <c r="C36077" t="s">
        <v>68</v>
      </c>
      <c r="D36077" t="s">
        <v>14</v>
      </c>
      <c r="F36077" s="2" t="str">
        <f>HYPERLINK("http://www.otzar.org/book.asp?85897","קונטרס אמרות דעת")</f>
        <v>קונטרס אמרות דעת</v>
      </c>
    </row>
    <row r="36078" spans="1:6" x14ac:dyDescent="0.2">
      <c r="A36078" t="s">
        <v>55752</v>
      </c>
      <c r="B36078" t="s">
        <v>55753</v>
      </c>
      <c r="C36078" t="s">
        <v>111</v>
      </c>
      <c r="D36078" t="s">
        <v>52</v>
      </c>
      <c r="F36078" s="2" t="str">
        <f>HYPERLINK("http://www.otzar.org/book.asp?618731","קונטרס אמרי אברהם")</f>
        <v>קונטרס אמרי אברהם</v>
      </c>
    </row>
    <row r="36079" spans="1:6" x14ac:dyDescent="0.2">
      <c r="A36079" t="s">
        <v>55754</v>
      </c>
      <c r="B36079" t="s">
        <v>55755</v>
      </c>
      <c r="C36079" t="s">
        <v>37</v>
      </c>
      <c r="D36079" t="s">
        <v>52</v>
      </c>
      <c r="E36079" t="s">
        <v>84</v>
      </c>
      <c r="F36079" s="2" t="str">
        <f>HYPERLINK("http://www.otzar.org/book.asp?182978","קונטרס אמרי דבש - 2 כר'")</f>
        <v>קונטרס אמרי דבש - 2 כר'</v>
      </c>
    </row>
    <row r="36080" spans="1:6" x14ac:dyDescent="0.2">
      <c r="A36080" t="s">
        <v>55756</v>
      </c>
      <c r="B36080" t="s">
        <v>6275</v>
      </c>
      <c r="C36080" t="s">
        <v>940</v>
      </c>
      <c r="D36080" t="s">
        <v>52</v>
      </c>
      <c r="E36080" t="s">
        <v>29386</v>
      </c>
      <c r="F36080" s="2" t="str">
        <f>HYPERLINK("http://www.otzar.org/book.asp?24376","קונטרס אמרי דוד")</f>
        <v>קונטרס אמרי דוד</v>
      </c>
    </row>
    <row r="36081" spans="1:6" x14ac:dyDescent="0.2">
      <c r="A36081" t="s">
        <v>55757</v>
      </c>
      <c r="B36081" t="s">
        <v>55758</v>
      </c>
      <c r="C36081" t="s">
        <v>1619</v>
      </c>
      <c r="D36081" t="s">
        <v>2196</v>
      </c>
      <c r="E36081" t="s">
        <v>803</v>
      </c>
      <c r="F36081" s="2" t="str">
        <f>HYPERLINK("http://www.otzar.org/book.asp?149711","קונטרס אמרי חן - 2 כר'")</f>
        <v>קונטרס אמרי חן - 2 כר'</v>
      </c>
    </row>
    <row r="36082" spans="1:6" x14ac:dyDescent="0.2">
      <c r="A36082" t="s">
        <v>55759</v>
      </c>
      <c r="B36082" t="s">
        <v>206</v>
      </c>
      <c r="C36082" t="s">
        <v>37</v>
      </c>
      <c r="D36082" t="s">
        <v>52</v>
      </c>
      <c r="F36082" s="2" t="str">
        <f>HYPERLINK("http://www.otzar.org/book.asp?198141","קונטרס אמרי יבמין")</f>
        <v>קונטרס אמרי יבמין</v>
      </c>
    </row>
    <row r="36083" spans="1:6" x14ac:dyDescent="0.2">
      <c r="A36083" t="s">
        <v>55760</v>
      </c>
      <c r="B36083" t="s">
        <v>55761</v>
      </c>
      <c r="C36083" t="s">
        <v>17</v>
      </c>
      <c r="D36083" t="s">
        <v>52</v>
      </c>
      <c r="E36083" t="s">
        <v>674</v>
      </c>
      <c r="F36083" s="2" t="str">
        <f>HYPERLINK("http://www.otzar.org/book.asp?144379","קונטרס אמרי יהושע")</f>
        <v>קונטרס אמרי יהושע</v>
      </c>
    </row>
    <row r="36084" spans="1:6" x14ac:dyDescent="0.2">
      <c r="A36084" t="s">
        <v>55762</v>
      </c>
      <c r="B36084" t="s">
        <v>55763</v>
      </c>
      <c r="C36084" t="s">
        <v>23</v>
      </c>
      <c r="D36084" t="s">
        <v>52</v>
      </c>
      <c r="E36084" t="s">
        <v>144</v>
      </c>
      <c r="F36084" s="2" t="str">
        <f>HYPERLINK("http://www.otzar.org/book.asp?195836","קונטרס אמרי יוסף - 3 כר'")</f>
        <v>קונטרס אמרי יוסף - 3 כר'</v>
      </c>
    </row>
    <row r="36085" spans="1:6" x14ac:dyDescent="0.2">
      <c r="A36085" t="s">
        <v>55764</v>
      </c>
      <c r="B36085" t="s">
        <v>55765</v>
      </c>
      <c r="C36085" t="s">
        <v>445</v>
      </c>
      <c r="D36085" t="s">
        <v>55766</v>
      </c>
      <c r="E36085" t="s">
        <v>15</v>
      </c>
      <c r="F36085" s="2" t="str">
        <f>HYPERLINK("http://www.otzar.org/book.asp?300293","קונטרס אמרי ישראל")</f>
        <v>קונטרס אמרי ישראל</v>
      </c>
    </row>
    <row r="36086" spans="1:6" x14ac:dyDescent="0.2">
      <c r="A36086" t="s">
        <v>55767</v>
      </c>
      <c r="B36086" t="s">
        <v>55768</v>
      </c>
      <c r="C36086" t="s">
        <v>366</v>
      </c>
      <c r="D36086" t="s">
        <v>152</v>
      </c>
      <c r="F36086" s="2" t="str">
        <f>HYPERLINK("http://www.otzar.org/book.asp?614393","קונטרס אמרי ישראל - תחומין בכלים")</f>
        <v>קונטרס אמרי ישראל - תחומין בכלים</v>
      </c>
    </row>
    <row r="36087" spans="1:6" x14ac:dyDescent="0.2">
      <c r="A36087" t="s">
        <v>55769</v>
      </c>
      <c r="B36087" t="s">
        <v>55770</v>
      </c>
      <c r="C36087" t="s">
        <v>189</v>
      </c>
      <c r="D36087" t="s">
        <v>14</v>
      </c>
      <c r="E36087" t="s">
        <v>15</v>
      </c>
      <c r="F36087" s="2" t="str">
        <f>HYPERLINK("http://www.otzar.org/book.asp?189830","קונטרס אמרי מרדכי - 5 כר'")</f>
        <v>קונטרס אמרי מרדכי - 5 כר'</v>
      </c>
    </row>
    <row r="36088" spans="1:6" x14ac:dyDescent="0.2">
      <c r="A36088" t="s">
        <v>55771</v>
      </c>
      <c r="B36088" t="s">
        <v>55772</v>
      </c>
      <c r="C36088" t="s">
        <v>411</v>
      </c>
      <c r="D36088" t="s">
        <v>14</v>
      </c>
      <c r="E36088" t="s">
        <v>213</v>
      </c>
      <c r="F36088" s="2" t="str">
        <f>HYPERLINK("http://www.otzar.org/book.asp?167007","קונטרס אמרי מרדכי")</f>
        <v>קונטרס אמרי מרדכי</v>
      </c>
    </row>
    <row r="36089" spans="1:6" x14ac:dyDescent="0.2">
      <c r="A36089" t="s">
        <v>55773</v>
      </c>
      <c r="B36089" t="s">
        <v>206</v>
      </c>
      <c r="C36089" t="s">
        <v>37</v>
      </c>
      <c r="D36089" t="s">
        <v>55774</v>
      </c>
      <c r="F36089" s="2" t="str">
        <f>HYPERLINK("http://www.otzar.org/book.asp?198140","קונטרס אמרי סוכה")</f>
        <v>קונטרס אמרי סוכה</v>
      </c>
    </row>
    <row r="36090" spans="1:6" x14ac:dyDescent="0.2">
      <c r="A36090" t="s">
        <v>55775</v>
      </c>
      <c r="B36090" t="s">
        <v>55776</v>
      </c>
      <c r="C36090" t="s">
        <v>366</v>
      </c>
      <c r="D36090" t="s">
        <v>55777</v>
      </c>
      <c r="E36090" t="s">
        <v>4779</v>
      </c>
      <c r="F36090" s="2" t="str">
        <f>HYPERLINK("http://www.otzar.org/book.asp?618963","קונטרס אמרי פי")</f>
        <v>קונטרס אמרי פי</v>
      </c>
    </row>
    <row r="36091" spans="1:6" x14ac:dyDescent="0.2">
      <c r="A36091" t="s">
        <v>55778</v>
      </c>
      <c r="B36091" t="s">
        <v>55779</v>
      </c>
      <c r="C36091" t="s">
        <v>366</v>
      </c>
      <c r="D36091" t="s">
        <v>152</v>
      </c>
      <c r="E36091" t="s">
        <v>144</v>
      </c>
      <c r="F36091" s="2" t="str">
        <f>HYPERLINK("http://www.otzar.org/book.asp?608575","קונטרס אמרי פי - מלבן")</f>
        <v>קונטרס אמרי פי - מלבן</v>
      </c>
    </row>
    <row r="36092" spans="1:6" x14ac:dyDescent="0.2">
      <c r="A36092" t="s">
        <v>55775</v>
      </c>
      <c r="B36092" t="s">
        <v>6576</v>
      </c>
      <c r="C36092" t="s">
        <v>103</v>
      </c>
      <c r="D36092" t="s">
        <v>14</v>
      </c>
      <c r="E36092" t="s">
        <v>15</v>
      </c>
      <c r="F36092" s="2" t="str">
        <f>HYPERLINK("http://www.otzar.org/book.asp?160625","קונטרס אמרי פי")</f>
        <v>קונטרס אמרי פי</v>
      </c>
    </row>
    <row r="36093" spans="1:6" x14ac:dyDescent="0.2">
      <c r="A36093" t="s">
        <v>55780</v>
      </c>
      <c r="B36093" t="s">
        <v>55781</v>
      </c>
      <c r="C36093" t="s">
        <v>366</v>
      </c>
      <c r="D36093" t="s">
        <v>367</v>
      </c>
      <c r="F36093" s="2" t="str">
        <f>HYPERLINK("http://www.otzar.org/book.asp?613225","קונטרס אמרי פנחס")</f>
        <v>קונטרס אמרי פנחס</v>
      </c>
    </row>
    <row r="36094" spans="1:6" x14ac:dyDescent="0.2">
      <c r="A36094" t="s">
        <v>55782</v>
      </c>
      <c r="B36094" t="s">
        <v>55783</v>
      </c>
      <c r="C36094" t="s">
        <v>133</v>
      </c>
      <c r="D36094" t="s">
        <v>412</v>
      </c>
      <c r="F36094" s="2" t="str">
        <f>HYPERLINK("http://www.otzar.org/book.asp?198770","קונטרס אמרי צבי - פורים")</f>
        <v>קונטרס אמרי צבי - פורים</v>
      </c>
    </row>
    <row r="36095" spans="1:6" x14ac:dyDescent="0.2">
      <c r="A36095" t="s">
        <v>55784</v>
      </c>
      <c r="B36095" t="s">
        <v>55785</v>
      </c>
      <c r="C36095" t="s">
        <v>422</v>
      </c>
      <c r="D36095" t="s">
        <v>52</v>
      </c>
      <c r="E36095" t="s">
        <v>55786</v>
      </c>
      <c r="F36095" s="2" t="str">
        <f>HYPERLINK("http://www.otzar.org/book.asp?158368","קונטרס אמרי שפר")</f>
        <v>קונטרס אמרי שפר</v>
      </c>
    </row>
    <row r="36096" spans="1:6" x14ac:dyDescent="0.2">
      <c r="A36096" t="s">
        <v>55784</v>
      </c>
      <c r="B36096" t="s">
        <v>6824</v>
      </c>
      <c r="C36096" t="s">
        <v>189</v>
      </c>
      <c r="D36096" t="s">
        <v>14</v>
      </c>
      <c r="E36096" t="s">
        <v>104</v>
      </c>
      <c r="F36096" s="2" t="str">
        <f>HYPERLINK("http://www.otzar.org/book.asp?61996","קונטרס אמרי שפר")</f>
        <v>קונטרס אמרי שפר</v>
      </c>
    </row>
    <row r="36097" spans="1:6" x14ac:dyDescent="0.2">
      <c r="A36097" t="s">
        <v>55787</v>
      </c>
      <c r="B36097" t="s">
        <v>55788</v>
      </c>
      <c r="C36097" t="s">
        <v>37</v>
      </c>
      <c r="D36097" t="s">
        <v>21</v>
      </c>
      <c r="E36097" t="s">
        <v>15</v>
      </c>
      <c r="F36097" s="2" t="str">
        <f>HYPERLINK("http://www.otzar.org/book.asp?197839","קונטרס אמרת צדקך")</f>
        <v>קונטרס אמרת צדקך</v>
      </c>
    </row>
    <row r="36098" spans="1:6" x14ac:dyDescent="0.2">
      <c r="A36098" t="s">
        <v>55789</v>
      </c>
      <c r="B36098" t="s">
        <v>55790</v>
      </c>
      <c r="C36098" t="s">
        <v>133</v>
      </c>
      <c r="D36098" t="s">
        <v>412</v>
      </c>
      <c r="F36098" s="2" t="str">
        <f>HYPERLINK("http://www.otzar.org/book.asp?608788","קונטרס אמת ואמונה")</f>
        <v>קונטרס אמת ואמונה</v>
      </c>
    </row>
    <row r="36099" spans="1:6" x14ac:dyDescent="0.2">
      <c r="A36099" t="s">
        <v>55791</v>
      </c>
      <c r="B36099" t="s">
        <v>239</v>
      </c>
      <c r="C36099" t="s">
        <v>133</v>
      </c>
      <c r="D36099" t="s">
        <v>14</v>
      </c>
      <c r="E36099" t="s">
        <v>213</v>
      </c>
      <c r="F36099" s="2" t="str">
        <f>HYPERLINK("http://www.otzar.org/book.asp?173998","קונטרס אמת ליעקב")</f>
        <v>קונטרס אמת ליעקב</v>
      </c>
    </row>
    <row r="36100" spans="1:6" x14ac:dyDescent="0.2">
      <c r="A36100" t="s">
        <v>55791</v>
      </c>
      <c r="B36100" t="s">
        <v>55792</v>
      </c>
      <c r="C36100" t="s">
        <v>1208</v>
      </c>
      <c r="D36100" t="s">
        <v>423</v>
      </c>
      <c r="E36100" t="s">
        <v>2840</v>
      </c>
      <c r="F36100" s="2" t="str">
        <f>HYPERLINK("http://www.otzar.org/book.asp?154264","קונטרס אמת ליעקב")</f>
        <v>קונטרס אמת ליעקב</v>
      </c>
    </row>
    <row r="36101" spans="1:6" x14ac:dyDescent="0.2">
      <c r="A36101" t="s">
        <v>55791</v>
      </c>
      <c r="B36101" t="s">
        <v>55793</v>
      </c>
      <c r="C36101" t="s">
        <v>366</v>
      </c>
      <c r="D36101" t="s">
        <v>3939</v>
      </c>
      <c r="E36101" t="s">
        <v>1157</v>
      </c>
      <c r="F36101" s="2" t="str">
        <f>HYPERLINK("http://www.otzar.org/book.asp?626617","קונטרס אמת ליעקב")</f>
        <v>קונטרס אמת ליעקב</v>
      </c>
    </row>
    <row r="36102" spans="1:6" x14ac:dyDescent="0.2">
      <c r="A36102" t="s">
        <v>55794</v>
      </c>
      <c r="B36102" t="s">
        <v>55795</v>
      </c>
      <c r="C36102" t="s">
        <v>20</v>
      </c>
      <c r="D36102" t="s">
        <v>90</v>
      </c>
      <c r="F36102" s="2" t="str">
        <f>HYPERLINK("http://www.otzar.org/book.asp?620322","קונטרס אמת מארץ תצמח")</f>
        <v>קונטרס אמת מארץ תצמח</v>
      </c>
    </row>
    <row r="36103" spans="1:6" x14ac:dyDescent="0.2">
      <c r="A36103" t="s">
        <v>55796</v>
      </c>
      <c r="B36103" t="s">
        <v>18962</v>
      </c>
      <c r="C36103" t="s">
        <v>114</v>
      </c>
      <c r="D36103" t="s">
        <v>52</v>
      </c>
      <c r="E36103" t="s">
        <v>202</v>
      </c>
      <c r="F36103" s="2" t="str">
        <f>HYPERLINK("http://www.otzar.org/book.asp?624719","קונטרס אמת מארץ")</f>
        <v>קונטרס אמת מארץ</v>
      </c>
    </row>
    <row r="36104" spans="1:6" x14ac:dyDescent="0.2">
      <c r="A36104" t="s">
        <v>55797</v>
      </c>
      <c r="B36104" t="s">
        <v>51079</v>
      </c>
      <c r="C36104" t="s">
        <v>20</v>
      </c>
      <c r="D36104" t="s">
        <v>14</v>
      </c>
      <c r="F36104" s="2" t="str">
        <f>HYPERLINK("http://www.otzar.org/book.asp?610370","קונטרס אני לדודי")</f>
        <v>קונטרס אני לדודי</v>
      </c>
    </row>
    <row r="36105" spans="1:6" x14ac:dyDescent="0.2">
      <c r="A36105" t="s">
        <v>55798</v>
      </c>
      <c r="B36105" t="s">
        <v>37519</v>
      </c>
      <c r="C36105" t="s">
        <v>13</v>
      </c>
      <c r="D36105" t="s">
        <v>14</v>
      </c>
      <c r="E36105" t="s">
        <v>144</v>
      </c>
      <c r="F36105" s="2" t="str">
        <f>HYPERLINK("http://www.otzar.org/book.asp?172051","קונטרס אניות סוחר")</f>
        <v>קונטרס אניות סוחר</v>
      </c>
    </row>
    <row r="36106" spans="1:6" x14ac:dyDescent="0.2">
      <c r="A36106" t="s">
        <v>55799</v>
      </c>
      <c r="B36106" t="s">
        <v>206</v>
      </c>
      <c r="C36106" t="s">
        <v>244</v>
      </c>
      <c r="D36106" t="s">
        <v>367</v>
      </c>
      <c r="E36106" t="s">
        <v>241</v>
      </c>
      <c r="F36106" s="2" t="str">
        <f>HYPERLINK("http://www.otzar.org/book.asp?199859","קונטרס אנשי חיל")</f>
        <v>קונטרס אנשי חיל</v>
      </c>
    </row>
    <row r="36107" spans="1:6" x14ac:dyDescent="0.2">
      <c r="A36107" t="s">
        <v>55800</v>
      </c>
      <c r="B36107" t="s">
        <v>8880</v>
      </c>
      <c r="C36107" t="s">
        <v>20</v>
      </c>
      <c r="D36107" t="s">
        <v>14</v>
      </c>
      <c r="E36107" t="s">
        <v>144</v>
      </c>
      <c r="F36107" s="2" t="str">
        <f>HYPERLINK("http://www.otzar.org/book.asp?603487","קונטרס אסוקי הלכתא - 5 כר'")</f>
        <v>קונטרס אסוקי הלכתא - 5 כר'</v>
      </c>
    </row>
    <row r="36108" spans="1:6" x14ac:dyDescent="0.2">
      <c r="A36108" t="s">
        <v>55801</v>
      </c>
      <c r="B36108" t="s">
        <v>55802</v>
      </c>
      <c r="C36108" t="s">
        <v>151</v>
      </c>
      <c r="D36108" t="s">
        <v>3069</v>
      </c>
      <c r="F36108" s="2" t="str">
        <f>HYPERLINK("http://www.otzar.org/book.asp?614498","קונטרס אספקלריא המאירה")</f>
        <v>קונטרס אספקלריא המאירה</v>
      </c>
    </row>
    <row r="36109" spans="1:6" x14ac:dyDescent="0.2">
      <c r="A36109" t="s">
        <v>55803</v>
      </c>
      <c r="B36109" t="s">
        <v>55804</v>
      </c>
      <c r="C36109" t="s">
        <v>133</v>
      </c>
      <c r="D36109" t="s">
        <v>152</v>
      </c>
      <c r="F36109" s="2" t="str">
        <f>HYPERLINK("http://www.otzar.org/book.asp?194051","קונטרס אעופה כיונה")</f>
        <v>קונטרס אעופה כיונה</v>
      </c>
    </row>
    <row r="36110" spans="1:6" x14ac:dyDescent="0.2">
      <c r="A36110" t="s">
        <v>55805</v>
      </c>
      <c r="B36110" t="s">
        <v>55806</v>
      </c>
      <c r="C36110" t="s">
        <v>68</v>
      </c>
      <c r="D36110" t="s">
        <v>21</v>
      </c>
      <c r="E36110" t="s">
        <v>246</v>
      </c>
      <c r="F36110" s="2" t="str">
        <f>HYPERLINK("http://www.otzar.org/book.asp?600263","קונטרס אפיקומן")</f>
        <v>קונטרס אפיקומן</v>
      </c>
    </row>
    <row r="36111" spans="1:6" x14ac:dyDescent="0.2">
      <c r="A36111" t="s">
        <v>55807</v>
      </c>
      <c r="B36111" t="s">
        <v>7305</v>
      </c>
      <c r="C36111" t="s">
        <v>111</v>
      </c>
      <c r="D36111" t="s">
        <v>52</v>
      </c>
      <c r="F36111" s="2" t="str">
        <f>HYPERLINK("http://www.otzar.org/book.asp?632051","קונטרס אפיקי מים")</f>
        <v>קונטרס אפיקי מים</v>
      </c>
    </row>
    <row r="36112" spans="1:6" x14ac:dyDescent="0.2">
      <c r="A36112" t="s">
        <v>55807</v>
      </c>
      <c r="B36112" t="s">
        <v>55808</v>
      </c>
      <c r="C36112" t="s">
        <v>383</v>
      </c>
      <c r="D36112" t="s">
        <v>14</v>
      </c>
      <c r="E36112" t="s">
        <v>5392</v>
      </c>
      <c r="F36112" s="2" t="str">
        <f>HYPERLINK("http://www.otzar.org/book.asp?169203","קונטרס אפיקי מים")</f>
        <v>קונטרס אפיקי מים</v>
      </c>
    </row>
    <row r="36113" spans="1:6" x14ac:dyDescent="0.2">
      <c r="A36113" t="s">
        <v>55809</v>
      </c>
      <c r="B36113" t="s">
        <v>27381</v>
      </c>
      <c r="C36113" t="s">
        <v>244</v>
      </c>
      <c r="D36113" t="s">
        <v>152</v>
      </c>
      <c r="E36113" t="s">
        <v>104</v>
      </c>
      <c r="F36113" s="2" t="str">
        <f>HYPERLINK("http://www.otzar.org/book.asp?603306","קונטרס אפסי ארץ")</f>
        <v>קונטרס אפסי ארץ</v>
      </c>
    </row>
    <row r="36114" spans="1:6" x14ac:dyDescent="0.2">
      <c r="A36114" t="s">
        <v>55810</v>
      </c>
      <c r="B36114" t="s">
        <v>23114</v>
      </c>
      <c r="C36114" t="s">
        <v>23</v>
      </c>
      <c r="D36114" t="s">
        <v>21</v>
      </c>
      <c r="E36114" t="s">
        <v>202</v>
      </c>
      <c r="F36114" s="2" t="str">
        <f>HYPERLINK("http://www.otzar.org/book.asp?604983","קונטרס אראנו בישע")</f>
        <v>קונטרס אראנו בישע</v>
      </c>
    </row>
    <row r="36115" spans="1:6" x14ac:dyDescent="0.2">
      <c r="A36115" t="s">
        <v>55811</v>
      </c>
      <c r="B36115" t="s">
        <v>8789</v>
      </c>
      <c r="C36115" t="s">
        <v>383</v>
      </c>
      <c r="D36115" t="s">
        <v>14</v>
      </c>
      <c r="E36115" t="s">
        <v>246</v>
      </c>
      <c r="F36115" s="2" t="str">
        <f>HYPERLINK("http://www.otzar.org/book.asp?603036","קונטרס ארבע כוסות")</f>
        <v>קונטרס ארבע כוסות</v>
      </c>
    </row>
    <row r="36116" spans="1:6" x14ac:dyDescent="0.2">
      <c r="A36116" t="s">
        <v>55812</v>
      </c>
      <c r="B36116" t="s">
        <v>55813</v>
      </c>
      <c r="F36116" s="2" t="str">
        <f>HYPERLINK("http://www.otzar.org/book.asp?619032","קונטרס ארבעה שומרים")</f>
        <v>קונטרס ארבעה שומרים</v>
      </c>
    </row>
    <row r="36117" spans="1:6" x14ac:dyDescent="0.2">
      <c r="A36117" t="s">
        <v>55814</v>
      </c>
      <c r="B36117" t="s">
        <v>43595</v>
      </c>
      <c r="C36117" t="s">
        <v>151</v>
      </c>
      <c r="D36117" t="s">
        <v>52</v>
      </c>
      <c r="F36117" s="2" t="str">
        <f>HYPERLINK("http://www.otzar.org/book.asp?616416","קונטרס ארבעים לבינה")</f>
        <v>קונטרס ארבעים לבינה</v>
      </c>
    </row>
    <row r="36118" spans="1:6" x14ac:dyDescent="0.2">
      <c r="A36118" t="s">
        <v>55815</v>
      </c>
      <c r="B36118" t="s">
        <v>22313</v>
      </c>
      <c r="C36118" t="s">
        <v>13</v>
      </c>
      <c r="D36118" t="s">
        <v>22314</v>
      </c>
      <c r="E36118" t="s">
        <v>1157</v>
      </c>
      <c r="F36118" s="2" t="str">
        <f>HYPERLINK("http://www.otzar.org/book.asp?64270","קונטרס ארבעת המינים &lt;הלכות ומנהגי תימן&gt;")</f>
        <v>קונטרס ארבעת המינים &lt;הלכות ומנהגי תימן&gt;</v>
      </c>
    </row>
    <row r="36119" spans="1:6" x14ac:dyDescent="0.2">
      <c r="A36119" t="s">
        <v>55816</v>
      </c>
      <c r="B36119" t="s">
        <v>11834</v>
      </c>
      <c r="C36119" t="s">
        <v>244</v>
      </c>
      <c r="D36119" t="s">
        <v>152</v>
      </c>
      <c r="F36119" s="2" t="str">
        <f>HYPERLINK("http://www.otzar.org/book.asp?197311","קונטרס ארבעת המינים כהלכתן")</f>
        <v>קונטרס ארבעת המינים כהלכתן</v>
      </c>
    </row>
    <row r="36120" spans="1:6" x14ac:dyDescent="0.2">
      <c r="A36120" t="s">
        <v>55817</v>
      </c>
      <c r="B36120" t="s">
        <v>45916</v>
      </c>
      <c r="C36120" t="s">
        <v>20</v>
      </c>
      <c r="D36120" t="s">
        <v>52</v>
      </c>
      <c r="E36120" t="s">
        <v>186</v>
      </c>
      <c r="F36120" s="2" t="str">
        <f>HYPERLINK("http://www.otzar.org/book.asp?53154","קונטרס ארח סלולה")</f>
        <v>קונטרס ארח סלולה</v>
      </c>
    </row>
    <row r="36121" spans="1:6" x14ac:dyDescent="0.2">
      <c r="A36121" t="s">
        <v>55818</v>
      </c>
      <c r="B36121" t="s">
        <v>55819</v>
      </c>
      <c r="C36121" t="s">
        <v>114</v>
      </c>
      <c r="D36121" t="s">
        <v>5172</v>
      </c>
      <c r="E36121" t="s">
        <v>202</v>
      </c>
      <c r="F36121" s="2" t="str">
        <f>HYPERLINK("http://www.otzar.org/book.asp?163869","קונטרס ארח קריה - ב")</f>
        <v>קונטרס ארח קריה - ב</v>
      </c>
    </row>
    <row r="36122" spans="1:6" x14ac:dyDescent="0.2">
      <c r="A36122" t="s">
        <v>55820</v>
      </c>
      <c r="B36122" t="s">
        <v>55821</v>
      </c>
      <c r="C36122" t="s">
        <v>133</v>
      </c>
      <c r="D36122" t="s">
        <v>52</v>
      </c>
      <c r="F36122" s="2" t="str">
        <f>HYPERLINK("http://www.otzar.org/book.asp?608787","קונטרס ארחות יעקב - עלי אורח")</f>
        <v>קונטרס ארחות יעקב - עלי אורח</v>
      </c>
    </row>
    <row r="36123" spans="1:6" x14ac:dyDescent="0.2">
      <c r="A36123" t="s">
        <v>55822</v>
      </c>
      <c r="B36123" t="s">
        <v>7097</v>
      </c>
      <c r="C36123" t="s">
        <v>366</v>
      </c>
      <c r="D36123" t="s">
        <v>14</v>
      </c>
      <c r="F36123" s="2" t="str">
        <f>HYPERLINK("http://www.otzar.org/book.asp?629953","קונטרס אריה ישאג - 7 כר'")</f>
        <v>קונטרס אריה ישאג - 7 כר'</v>
      </c>
    </row>
    <row r="36124" spans="1:6" x14ac:dyDescent="0.2">
      <c r="A36124" t="s">
        <v>55823</v>
      </c>
      <c r="B36124" t="s">
        <v>55824</v>
      </c>
      <c r="C36124" t="s">
        <v>422</v>
      </c>
      <c r="D36124" t="s">
        <v>90</v>
      </c>
      <c r="E36124" t="s">
        <v>674</v>
      </c>
      <c r="F36124" s="2" t="str">
        <f>HYPERLINK("http://www.otzar.org/book.asp?168492","קונטרס ארץ הקודש")</f>
        <v>קונטרס ארץ הקודש</v>
      </c>
    </row>
    <row r="36125" spans="1:6" x14ac:dyDescent="0.2">
      <c r="A36125" t="s">
        <v>55825</v>
      </c>
      <c r="B36125" t="s">
        <v>206</v>
      </c>
      <c r="C36125" t="s">
        <v>114</v>
      </c>
      <c r="D36125" t="s">
        <v>90</v>
      </c>
      <c r="E36125" t="s">
        <v>144</v>
      </c>
      <c r="F36125" s="2" t="str">
        <f>HYPERLINK("http://www.otzar.org/book.asp?604536","קונטרס ארץ חיים")</f>
        <v>קונטרס ארץ חיים</v>
      </c>
    </row>
    <row r="36126" spans="1:6" x14ac:dyDescent="0.2">
      <c r="A36126" t="s">
        <v>55825</v>
      </c>
      <c r="B36126" t="s">
        <v>19239</v>
      </c>
      <c r="C36126" t="s">
        <v>13</v>
      </c>
      <c r="D36126" t="s">
        <v>14</v>
      </c>
      <c r="E36126" t="s">
        <v>144</v>
      </c>
      <c r="F36126" s="2" t="str">
        <f>HYPERLINK("http://www.otzar.org/book.asp?194092","קונטרס ארץ חיים")</f>
        <v>קונטרס ארץ חיים</v>
      </c>
    </row>
    <row r="36127" spans="1:6" x14ac:dyDescent="0.2">
      <c r="A36127" t="s">
        <v>55826</v>
      </c>
      <c r="B36127" t="s">
        <v>206</v>
      </c>
      <c r="C36127" t="s">
        <v>20</v>
      </c>
      <c r="D36127" t="s">
        <v>52</v>
      </c>
      <c r="E36127" t="s">
        <v>144</v>
      </c>
      <c r="F36127" s="2" t="str">
        <f>HYPERLINK("http://www.otzar.org/book.asp?623721","קונטרס ארץ חמדה")</f>
        <v>קונטרס ארץ חמדה</v>
      </c>
    </row>
    <row r="36128" spans="1:6" x14ac:dyDescent="0.2">
      <c r="A36128" t="s">
        <v>55827</v>
      </c>
      <c r="B36128" t="s">
        <v>107</v>
      </c>
      <c r="C36128" t="s">
        <v>17</v>
      </c>
      <c r="D36128" t="s">
        <v>14</v>
      </c>
      <c r="E36128" t="s">
        <v>104</v>
      </c>
      <c r="F36128" s="2" t="str">
        <f>HYPERLINK("http://www.otzar.org/book.asp?84484","קונטרס ארצות הברית של אמריקה")</f>
        <v>קונטרס ארצות הברית של אמריקה</v>
      </c>
    </row>
    <row r="36129" spans="1:6" x14ac:dyDescent="0.2">
      <c r="A36129" t="s">
        <v>55828</v>
      </c>
      <c r="B36129" t="s">
        <v>55829</v>
      </c>
      <c r="C36129" t="s">
        <v>244</v>
      </c>
      <c r="D36129" t="s">
        <v>14</v>
      </c>
      <c r="E36129" t="s">
        <v>202</v>
      </c>
      <c r="F36129" s="2" t="str">
        <f>HYPERLINK("http://www.otzar.org/book.asp?631135","קונטרס ארשת שפתים")</f>
        <v>קונטרס ארשת שפתים</v>
      </c>
    </row>
    <row r="36130" spans="1:6" x14ac:dyDescent="0.2">
      <c r="A36130" t="s">
        <v>55830</v>
      </c>
      <c r="B36130" t="s">
        <v>11462</v>
      </c>
      <c r="C36130" t="s">
        <v>20</v>
      </c>
      <c r="D36130" t="s">
        <v>52</v>
      </c>
      <c r="F36130" s="2" t="str">
        <f>HYPERLINK("http://www.otzar.org/book.asp?610491","קונטרס אש דת")</f>
        <v>קונטרס אש דת</v>
      </c>
    </row>
    <row r="36131" spans="1:6" x14ac:dyDescent="0.2">
      <c r="A36131" t="s">
        <v>55831</v>
      </c>
      <c r="B36131" t="s">
        <v>46292</v>
      </c>
      <c r="C36131" t="s">
        <v>422</v>
      </c>
      <c r="D36131" t="s">
        <v>52</v>
      </c>
      <c r="F36131" s="2" t="str">
        <f>HYPERLINK("http://www.otzar.org/book.asp?606150","קונטרס אש טהורה - י""ח דבר")</f>
        <v>קונטרס אש טהורה - י"ח דבר</v>
      </c>
    </row>
    <row r="36132" spans="1:6" x14ac:dyDescent="0.2">
      <c r="A36132" t="s">
        <v>55832</v>
      </c>
      <c r="B36132" t="s">
        <v>27381</v>
      </c>
      <c r="C36132" t="s">
        <v>114</v>
      </c>
      <c r="D36132" t="s">
        <v>152</v>
      </c>
      <c r="E36132" t="s">
        <v>246</v>
      </c>
      <c r="F36132" s="2" t="str">
        <f>HYPERLINK("http://www.otzar.org/book.asp?163414","קונטרס אשאל אבי")</f>
        <v>קונטרס אשאל אבי</v>
      </c>
    </row>
    <row r="36133" spans="1:6" x14ac:dyDescent="0.2">
      <c r="A36133" t="s">
        <v>55833</v>
      </c>
      <c r="B36133" t="s">
        <v>55834</v>
      </c>
      <c r="C36133" t="s">
        <v>244</v>
      </c>
      <c r="D36133" t="s">
        <v>90</v>
      </c>
      <c r="F36133" s="2" t="str">
        <f>HYPERLINK("http://www.otzar.org/book.asp?609157","קונטרס אשה ריח")</f>
        <v>קונטרס אשה ריח</v>
      </c>
    </row>
    <row r="36134" spans="1:6" x14ac:dyDescent="0.2">
      <c r="A36134" t="s">
        <v>55835</v>
      </c>
      <c r="B36134" t="s">
        <v>24983</v>
      </c>
      <c r="C36134" t="s">
        <v>133</v>
      </c>
      <c r="D36134" t="s">
        <v>152</v>
      </c>
      <c r="F36134" s="2" t="str">
        <f>HYPERLINK("http://www.otzar.org/book.asp?629922","קונטרס אשי אהרן - חנוכה")</f>
        <v>קונטרס אשי אהרן - חנוכה</v>
      </c>
    </row>
    <row r="36135" spans="1:6" x14ac:dyDescent="0.2">
      <c r="A36135" t="s">
        <v>55836</v>
      </c>
      <c r="B36135" t="s">
        <v>55837</v>
      </c>
      <c r="C36135" t="s">
        <v>20</v>
      </c>
      <c r="D36135" t="s">
        <v>52</v>
      </c>
      <c r="E36135" t="s">
        <v>144</v>
      </c>
      <c r="F36135" s="2" t="str">
        <f>HYPERLINK("http://www.otzar.org/book.asp?176300","קונטרס אשי כהן - 14 כר'")</f>
        <v>קונטרס אשי כהן - 14 כר'</v>
      </c>
    </row>
    <row r="36136" spans="1:6" x14ac:dyDescent="0.2">
      <c r="A36136" t="s">
        <v>55838</v>
      </c>
      <c r="B36136" t="s">
        <v>55839</v>
      </c>
      <c r="C36136" t="s">
        <v>37</v>
      </c>
      <c r="D36136" t="s">
        <v>3825</v>
      </c>
      <c r="E36136" t="s">
        <v>803</v>
      </c>
      <c r="F36136" s="2" t="str">
        <f>HYPERLINK("http://www.otzar.org/book.asp?193801","קונטרס אשיב ממצולות ים")</f>
        <v>קונטרס אשיב ממצולות ים</v>
      </c>
    </row>
    <row r="36137" spans="1:6" x14ac:dyDescent="0.2">
      <c r="A36137" t="s">
        <v>55840</v>
      </c>
      <c r="B36137" t="s">
        <v>55841</v>
      </c>
      <c r="C36137" t="s">
        <v>20</v>
      </c>
      <c r="D36137" t="s">
        <v>90</v>
      </c>
      <c r="F36137" s="2" t="str">
        <f>HYPERLINK("http://www.otzar.org/book.asp?618615","קונטרס אשירה לה'")</f>
        <v>קונטרס אשירה לה'</v>
      </c>
    </row>
    <row r="36138" spans="1:6" x14ac:dyDescent="0.2">
      <c r="A36138" t="s">
        <v>55842</v>
      </c>
      <c r="B36138" t="s">
        <v>7982</v>
      </c>
      <c r="C36138" t="s">
        <v>37</v>
      </c>
      <c r="D36138" t="s">
        <v>21</v>
      </c>
      <c r="F36138" s="2" t="str">
        <f>HYPERLINK("http://www.otzar.org/book.asp?610101","קונטרס אשכול יוסף - 2 כר'")</f>
        <v>קונטרס אשכול יוסף - 2 כר'</v>
      </c>
    </row>
    <row r="36139" spans="1:6" x14ac:dyDescent="0.2">
      <c r="A36139" t="s">
        <v>55843</v>
      </c>
      <c r="B36139" t="s">
        <v>55616</v>
      </c>
      <c r="C36139" t="s">
        <v>23</v>
      </c>
      <c r="D36139" t="s">
        <v>2285</v>
      </c>
      <c r="E36139" t="s">
        <v>15</v>
      </c>
      <c r="F36139" s="2" t="str">
        <f>HYPERLINK("http://www.otzar.org/book.asp?195120","קונטרס אשר יעשון")</f>
        <v>קונטרס אשר יעשון</v>
      </c>
    </row>
    <row r="36140" spans="1:6" x14ac:dyDescent="0.2">
      <c r="A36140" t="s">
        <v>55844</v>
      </c>
      <c r="B36140" t="s">
        <v>27094</v>
      </c>
      <c r="C36140" t="s">
        <v>366</v>
      </c>
      <c r="D36140" t="s">
        <v>52</v>
      </c>
      <c r="E36140" t="s">
        <v>24</v>
      </c>
      <c r="F36140" s="2" t="str">
        <f>HYPERLINK("http://www.otzar.org/book.asp?623841","קונטרס אשרי המלך")</f>
        <v>קונטרס אשרי המלך</v>
      </c>
    </row>
    <row r="36141" spans="1:6" x14ac:dyDescent="0.2">
      <c r="A36141" t="s">
        <v>55845</v>
      </c>
      <c r="B36141" t="s">
        <v>52826</v>
      </c>
      <c r="C36141" t="s">
        <v>68</v>
      </c>
      <c r="D36141" t="s">
        <v>21</v>
      </c>
      <c r="E36141" t="s">
        <v>399</v>
      </c>
      <c r="F36141" s="2" t="str">
        <f>HYPERLINK("http://www.otzar.org/book.asp?197767","קונטרס אשרי עם סודך")</f>
        <v>קונטרס אשרי עם סודך</v>
      </c>
    </row>
    <row r="36142" spans="1:6" x14ac:dyDescent="0.2">
      <c r="A36142" t="s">
        <v>55846</v>
      </c>
      <c r="B36142" t="s">
        <v>206</v>
      </c>
      <c r="F36142" s="2" t="str">
        <f>HYPERLINK("http://www.otzar.org/book.asp?630375","קונטרס אשריך - יבמות, כתובות")</f>
        <v>קונטרס אשריך - יבמות, כתובות</v>
      </c>
    </row>
    <row r="36143" spans="1:6" x14ac:dyDescent="0.2">
      <c r="A36143" t="s">
        <v>55847</v>
      </c>
      <c r="B36143" t="s">
        <v>55848</v>
      </c>
      <c r="C36143" t="s">
        <v>20</v>
      </c>
      <c r="D36143" t="s">
        <v>14</v>
      </c>
      <c r="E36143" t="s">
        <v>158</v>
      </c>
      <c r="F36143" s="2" t="str">
        <f>HYPERLINK("http://www.otzar.org/book.asp?186826","קונטרס אשת חיל ע""פ ר""י די שיגוביה ורבני משפחת אלגאזי")</f>
        <v>קונטרס אשת חיל ע"פ ר"י די שיגוביה ורבני משפחת אלגאזי</v>
      </c>
    </row>
    <row r="36144" spans="1:6" x14ac:dyDescent="0.2">
      <c r="A36144" t="s">
        <v>55849</v>
      </c>
      <c r="B36144" t="s">
        <v>30102</v>
      </c>
      <c r="C36144" t="s">
        <v>20</v>
      </c>
      <c r="D36144" t="s">
        <v>90</v>
      </c>
      <c r="E36144" t="s">
        <v>140</v>
      </c>
      <c r="F36144" s="2" t="str">
        <f>HYPERLINK("http://www.otzar.org/book.asp?614782","קונטרס אשת חיל")</f>
        <v>קונטרס אשת חיל</v>
      </c>
    </row>
    <row r="36145" spans="1:6" x14ac:dyDescent="0.2">
      <c r="A36145" t="s">
        <v>55850</v>
      </c>
      <c r="B36145" t="s">
        <v>26520</v>
      </c>
      <c r="C36145" t="s">
        <v>411</v>
      </c>
      <c r="D36145" t="s">
        <v>90</v>
      </c>
      <c r="E36145" t="s">
        <v>144</v>
      </c>
      <c r="F36145" s="2" t="str">
        <f>HYPERLINK("http://www.otzar.org/book.asp?604663","קונטרס את בריתי")</f>
        <v>קונטרס את בריתי</v>
      </c>
    </row>
    <row r="36146" spans="1:6" x14ac:dyDescent="0.2">
      <c r="A36146" t="s">
        <v>55851</v>
      </c>
      <c r="B36146" t="s">
        <v>13604</v>
      </c>
      <c r="C36146" t="s">
        <v>411</v>
      </c>
      <c r="D36146" t="s">
        <v>52</v>
      </c>
      <c r="F36146" s="2" t="str">
        <f>HYPERLINK("http://www.otzar.org/book.asp?622333","קונטרס באהלי רבותינו")</f>
        <v>קונטרס באהלי רבותינו</v>
      </c>
    </row>
    <row r="36147" spans="1:6" x14ac:dyDescent="0.2">
      <c r="A36147" t="s">
        <v>55852</v>
      </c>
      <c r="B36147" t="s">
        <v>21962</v>
      </c>
      <c r="C36147" t="s">
        <v>366</v>
      </c>
      <c r="D36147" t="s">
        <v>852</v>
      </c>
      <c r="F36147" s="2" t="str">
        <f>HYPERLINK("http://www.otzar.org/book.asp?610991","קונטרס באורך נראה אור")</f>
        <v>קונטרס באורך נראה אור</v>
      </c>
    </row>
    <row r="36148" spans="1:6" x14ac:dyDescent="0.2">
      <c r="A36148" t="s">
        <v>55853</v>
      </c>
      <c r="B36148" t="s">
        <v>43046</v>
      </c>
      <c r="C36148" t="s">
        <v>37</v>
      </c>
      <c r="D36148" t="s">
        <v>52</v>
      </c>
      <c r="E36148" t="s">
        <v>144</v>
      </c>
      <c r="F36148" s="2" t="str">
        <f>HYPERLINK("http://www.otzar.org/book.asp?180830","קונטרס באחריות יד שומרין")</f>
        <v>קונטרס באחריות יד שומרין</v>
      </c>
    </row>
    <row r="36149" spans="1:6" x14ac:dyDescent="0.2">
      <c r="A36149" t="s">
        <v>55854</v>
      </c>
      <c r="B36149" t="s">
        <v>8766</v>
      </c>
      <c r="C36149" t="s">
        <v>20</v>
      </c>
      <c r="D36149" t="s">
        <v>14</v>
      </c>
      <c r="E36149" t="s">
        <v>15</v>
      </c>
      <c r="F36149" s="2" t="str">
        <f>HYPERLINK("http://www.otzar.org/book.asp?199786","קונטרס באיסור יציאה מא""י")</f>
        <v>קונטרס באיסור יציאה מא"י</v>
      </c>
    </row>
    <row r="36150" spans="1:6" x14ac:dyDescent="0.2">
      <c r="A36150" t="s">
        <v>55855</v>
      </c>
      <c r="B36150" t="s">
        <v>5933</v>
      </c>
      <c r="C36150" t="s">
        <v>151</v>
      </c>
      <c r="D36150" t="s">
        <v>5172</v>
      </c>
      <c r="E36150" t="s">
        <v>144</v>
      </c>
      <c r="F36150" s="2" t="str">
        <f>HYPERLINK("http://www.otzar.org/book.asp?614385","קונטרס באר אברהם")</f>
        <v>קונטרס באר אברהם</v>
      </c>
    </row>
    <row r="36151" spans="1:6" x14ac:dyDescent="0.2">
      <c r="A36151" t="s">
        <v>55855</v>
      </c>
      <c r="B36151" t="s">
        <v>8305</v>
      </c>
      <c r="C36151" t="s">
        <v>189</v>
      </c>
      <c r="D36151" t="s">
        <v>14</v>
      </c>
      <c r="E36151" t="s">
        <v>104</v>
      </c>
      <c r="F36151" s="2" t="str">
        <f>HYPERLINK("http://www.otzar.org/book.asp?168219","קונטרס באר אברהם")</f>
        <v>קונטרס באר אברהם</v>
      </c>
    </row>
    <row r="36152" spans="1:6" x14ac:dyDescent="0.2">
      <c r="A36152" t="s">
        <v>55856</v>
      </c>
      <c r="B36152" t="s">
        <v>8308</v>
      </c>
      <c r="C36152" t="s">
        <v>13</v>
      </c>
      <c r="D36152" t="s">
        <v>14</v>
      </c>
      <c r="E36152" t="s">
        <v>399</v>
      </c>
      <c r="F36152" s="2" t="str">
        <f>HYPERLINK("http://www.otzar.org/book.asp?614896","קונטרס באר אליהו - ארימת ידאי")</f>
        <v>קונטרס באר אליהו - ארימת ידאי</v>
      </c>
    </row>
    <row r="36153" spans="1:6" x14ac:dyDescent="0.2">
      <c r="A36153" t="s">
        <v>55857</v>
      </c>
      <c r="B36153" t="s">
        <v>3883</v>
      </c>
      <c r="C36153" t="s">
        <v>114</v>
      </c>
      <c r="D36153" t="s">
        <v>21</v>
      </c>
      <c r="E36153" t="s">
        <v>158</v>
      </c>
      <c r="F36153" s="2" t="str">
        <f>HYPERLINK("http://www.otzar.org/book.asp?197336","קונטרס באר המגילה")</f>
        <v>קונטרס באר המגילה</v>
      </c>
    </row>
    <row r="36154" spans="1:6" x14ac:dyDescent="0.2">
      <c r="A36154" t="s">
        <v>55858</v>
      </c>
      <c r="B36154" t="s">
        <v>7176</v>
      </c>
      <c r="C36154" t="s">
        <v>411</v>
      </c>
      <c r="D36154" t="s">
        <v>14</v>
      </c>
      <c r="E36154" t="s">
        <v>15</v>
      </c>
      <c r="F36154" s="2" t="str">
        <f>HYPERLINK("http://www.otzar.org/book.asp?181873","קונטרס באר חיים")</f>
        <v>קונטרס באר חיים</v>
      </c>
    </row>
    <row r="36155" spans="1:6" x14ac:dyDescent="0.2">
      <c r="A36155" t="s">
        <v>55859</v>
      </c>
      <c r="B36155" t="s">
        <v>55860</v>
      </c>
      <c r="C36155" t="s">
        <v>244</v>
      </c>
      <c r="D36155" t="s">
        <v>147</v>
      </c>
      <c r="E36155" t="s">
        <v>158</v>
      </c>
      <c r="F36155" s="2" t="str">
        <f>HYPERLINK("http://www.otzar.org/book.asp?193554","קונטרס באר יצחק")</f>
        <v>קונטרס באר יצחק</v>
      </c>
    </row>
    <row r="36156" spans="1:6" x14ac:dyDescent="0.2">
      <c r="A36156" t="s">
        <v>55861</v>
      </c>
      <c r="B36156" t="s">
        <v>8478</v>
      </c>
      <c r="C36156" t="s">
        <v>114</v>
      </c>
      <c r="D36156" t="s">
        <v>6133</v>
      </c>
      <c r="E36156" t="s">
        <v>24</v>
      </c>
      <c r="F36156" s="2" t="str">
        <f>HYPERLINK("http://www.otzar.org/book.asp?623301","קונטרס באר יצחק - תפילה")</f>
        <v>קונטרס באר יצחק - תפילה</v>
      </c>
    </row>
    <row r="36157" spans="1:6" x14ac:dyDescent="0.2">
      <c r="A36157" t="s">
        <v>55862</v>
      </c>
      <c r="B36157" t="s">
        <v>55863</v>
      </c>
      <c r="C36157" t="s">
        <v>23</v>
      </c>
      <c r="D36157" t="s">
        <v>52</v>
      </c>
      <c r="E36157" t="s">
        <v>104</v>
      </c>
      <c r="F36157" s="2" t="str">
        <f>HYPERLINK("http://www.otzar.org/book.asp?192824","קונטרס באר מים חיים")</f>
        <v>קונטרס באר מים חיים</v>
      </c>
    </row>
    <row r="36158" spans="1:6" x14ac:dyDescent="0.2">
      <c r="A36158" t="s">
        <v>55864</v>
      </c>
      <c r="B36158" t="s">
        <v>8554</v>
      </c>
      <c r="C36158" t="s">
        <v>785</v>
      </c>
      <c r="D36158" t="s">
        <v>14</v>
      </c>
      <c r="E36158" t="s">
        <v>467</v>
      </c>
      <c r="F36158" s="2" t="str">
        <f>HYPERLINK("http://www.otzar.org/book.asp?169023","קונטרס באר מרדכי")</f>
        <v>קונטרס באר מרדכי</v>
      </c>
    </row>
    <row r="36159" spans="1:6" x14ac:dyDescent="0.2">
      <c r="A36159" t="s">
        <v>55865</v>
      </c>
      <c r="B36159" t="s">
        <v>8607</v>
      </c>
      <c r="C36159" t="s">
        <v>20</v>
      </c>
      <c r="D36159" t="s">
        <v>52</v>
      </c>
      <c r="E36159" t="s">
        <v>230</v>
      </c>
      <c r="F36159" s="2" t="str">
        <f>HYPERLINK("http://www.otzar.org/book.asp?605226","קונטרס באר צדק")</f>
        <v>קונטרס באר צדק</v>
      </c>
    </row>
    <row r="36160" spans="1:6" x14ac:dyDescent="0.2">
      <c r="A36160" t="s">
        <v>55866</v>
      </c>
      <c r="B36160" t="s">
        <v>1702</v>
      </c>
      <c r="C36160" t="s">
        <v>411</v>
      </c>
      <c r="D36160" t="s">
        <v>52</v>
      </c>
      <c r="E36160" t="s">
        <v>241</v>
      </c>
      <c r="F36160" s="2" t="str">
        <f>HYPERLINK("http://www.otzar.org/book.asp?603905","קונטרס באר שבע")</f>
        <v>קונטרס באר שבע</v>
      </c>
    </row>
    <row r="36161" spans="1:6" x14ac:dyDescent="0.2">
      <c r="A36161" t="s">
        <v>55867</v>
      </c>
      <c r="B36161" t="s">
        <v>55868</v>
      </c>
      <c r="C36161" t="s">
        <v>366</v>
      </c>
      <c r="D36161" t="s">
        <v>52</v>
      </c>
      <c r="E36161" t="s">
        <v>202</v>
      </c>
      <c r="F36161" s="2" t="str">
        <f>HYPERLINK("http://www.otzar.org/book.asp?625032","קונטרס באר שלמה - גיטין")</f>
        <v>קונטרס באר שלמה - גיטין</v>
      </c>
    </row>
    <row r="36162" spans="1:6" x14ac:dyDescent="0.2">
      <c r="A36162" t="s">
        <v>55869</v>
      </c>
      <c r="B36162" t="s">
        <v>55870</v>
      </c>
      <c r="C36162" t="s">
        <v>133</v>
      </c>
      <c r="D36162" t="s">
        <v>90</v>
      </c>
      <c r="E36162" t="s">
        <v>144</v>
      </c>
      <c r="F36162" s="2" t="str">
        <f>HYPERLINK("http://www.otzar.org/book.asp?176181","קונטרס בארות המים")</f>
        <v>קונטרס בארות המים</v>
      </c>
    </row>
    <row r="36163" spans="1:6" x14ac:dyDescent="0.2">
      <c r="A36163" t="s">
        <v>55871</v>
      </c>
      <c r="B36163" t="s">
        <v>55872</v>
      </c>
      <c r="C36163" t="s">
        <v>956</v>
      </c>
      <c r="D36163" t="s">
        <v>412</v>
      </c>
      <c r="E36163" t="s">
        <v>144</v>
      </c>
      <c r="F36163" s="2" t="str">
        <f>HYPERLINK("http://www.otzar.org/book.asp?155347","קונטרס בבאור גדר ענין קדוה""ג וקדו""ד")</f>
        <v>קונטרס בבאור גדר ענין קדוה"ג וקדו"ד</v>
      </c>
    </row>
    <row r="36164" spans="1:6" x14ac:dyDescent="0.2">
      <c r="A36164" t="s">
        <v>55873</v>
      </c>
      <c r="B36164" t="s">
        <v>55874</v>
      </c>
      <c r="F36164" s="2" t="str">
        <f>HYPERLINK("http://www.otzar.org/book.asp?620486","קונטרס בביאור מהותם הרוחנית של מועדי ה'")</f>
        <v>קונטרס בביאור מהותם הרוחנית של מועדי ה'</v>
      </c>
    </row>
    <row r="36165" spans="1:6" x14ac:dyDescent="0.2">
      <c r="A36165" t="s">
        <v>55875</v>
      </c>
      <c r="B36165" t="s">
        <v>318</v>
      </c>
      <c r="C36165" t="s">
        <v>244</v>
      </c>
      <c r="D36165" t="s">
        <v>14</v>
      </c>
      <c r="F36165" s="2" t="str">
        <f>HYPERLINK("http://www.otzar.org/book.asp?199459","קונטרס בגד ארגמן")</f>
        <v>קונטרס בגד ארגמן</v>
      </c>
    </row>
    <row r="36166" spans="1:6" x14ac:dyDescent="0.2">
      <c r="A36166" t="s">
        <v>55876</v>
      </c>
      <c r="B36166" t="s">
        <v>206</v>
      </c>
      <c r="E36166" t="s">
        <v>8854</v>
      </c>
      <c r="F36166" s="2" t="str">
        <f>HYPERLINK("http://www.otzar.org/book.asp?626487","קונטרס בגדי לבן")</f>
        <v>קונטרס בגדי לבן</v>
      </c>
    </row>
    <row r="36167" spans="1:6" x14ac:dyDescent="0.2">
      <c r="A36167" t="s">
        <v>55877</v>
      </c>
      <c r="B36167" t="s">
        <v>55878</v>
      </c>
      <c r="C36167" t="s">
        <v>411</v>
      </c>
      <c r="D36167" t="s">
        <v>52</v>
      </c>
      <c r="E36167" t="s">
        <v>130</v>
      </c>
      <c r="F36167" s="2" t="str">
        <f>HYPERLINK("http://www.otzar.org/book.asp?627126","קונטרס בגדי שבת")</f>
        <v>קונטרס בגדי שבת</v>
      </c>
    </row>
    <row r="36168" spans="1:6" x14ac:dyDescent="0.2">
      <c r="A36168" t="s">
        <v>55879</v>
      </c>
      <c r="B36168" t="s">
        <v>55880</v>
      </c>
      <c r="C36168" t="s">
        <v>20</v>
      </c>
      <c r="D36168" t="s">
        <v>14</v>
      </c>
      <c r="E36168" t="s">
        <v>15</v>
      </c>
      <c r="F36168" s="2" t="str">
        <f>HYPERLINK("http://www.otzar.org/book.asp?172912","קונטרס בגדר ברכת התורה")</f>
        <v>קונטרס בגדר ברכת התורה</v>
      </c>
    </row>
    <row r="36169" spans="1:6" x14ac:dyDescent="0.2">
      <c r="A36169" t="s">
        <v>55881</v>
      </c>
      <c r="B36169" t="s">
        <v>55882</v>
      </c>
      <c r="C36169" t="s">
        <v>244</v>
      </c>
      <c r="D36169" t="s">
        <v>14</v>
      </c>
      <c r="F36169" s="2" t="str">
        <f>HYPERLINK("http://www.otzar.org/book.asp?608802","קונטרס בגדרי איסור שכר מצוה ושכר שבת")</f>
        <v>קונטרס בגדרי איסור שכר מצוה ושכר שבת</v>
      </c>
    </row>
    <row r="36170" spans="1:6" x14ac:dyDescent="0.2">
      <c r="A36170" t="s">
        <v>55883</v>
      </c>
      <c r="B36170" t="s">
        <v>9328</v>
      </c>
      <c r="C36170" t="s">
        <v>129</v>
      </c>
      <c r="D36170" t="s">
        <v>80</v>
      </c>
      <c r="E36170" t="s">
        <v>15</v>
      </c>
      <c r="F36170" s="2" t="str">
        <f>HYPERLINK("http://www.otzar.org/book.asp?601142","קונטרס בגדרי חובת קריאת שנים מקרא ואחד תרגום")</f>
        <v>קונטרס בגדרי חובת קריאת שנים מקרא ואחד תרגום</v>
      </c>
    </row>
    <row r="36171" spans="1:6" x14ac:dyDescent="0.2">
      <c r="A36171" t="s">
        <v>55883</v>
      </c>
      <c r="B36171" t="s">
        <v>55884</v>
      </c>
      <c r="C36171" t="s">
        <v>51</v>
      </c>
      <c r="D36171" t="s">
        <v>52</v>
      </c>
      <c r="E36171" t="s">
        <v>15</v>
      </c>
      <c r="F36171" s="2" t="str">
        <f>HYPERLINK("http://www.otzar.org/book.asp?179940","קונטרס בגדרי חובת קריאת שנים מקרא ואחד תרגום")</f>
        <v>קונטרס בגדרי חובת קריאת שנים מקרא ואחד תרגום</v>
      </c>
    </row>
    <row r="36172" spans="1:6" x14ac:dyDescent="0.2">
      <c r="A36172" t="s">
        <v>55885</v>
      </c>
      <c r="B36172" t="s">
        <v>37858</v>
      </c>
      <c r="C36172" t="s">
        <v>244</v>
      </c>
      <c r="D36172" t="s">
        <v>21</v>
      </c>
      <c r="E36172" t="s">
        <v>144</v>
      </c>
      <c r="F36172" s="2" t="str">
        <f>HYPERLINK("http://www.otzar.org/book.asp?608175","קונטרס בגדרי לבוד")</f>
        <v>קונטרס בגדרי לבוד</v>
      </c>
    </row>
    <row r="36173" spans="1:6" x14ac:dyDescent="0.2">
      <c r="A36173" t="s">
        <v>55886</v>
      </c>
      <c r="B36173" t="s">
        <v>37858</v>
      </c>
      <c r="C36173" t="s">
        <v>244</v>
      </c>
      <c r="D36173" t="s">
        <v>21</v>
      </c>
      <c r="E36173" t="s">
        <v>144</v>
      </c>
      <c r="F36173" s="2" t="str">
        <f>HYPERLINK("http://www.otzar.org/book.asp?608182","קונטרס בגדרי רה""ר")</f>
        <v>קונטרס בגדרי רה"ר</v>
      </c>
    </row>
    <row r="36174" spans="1:6" x14ac:dyDescent="0.2">
      <c r="A36174" t="s">
        <v>55887</v>
      </c>
      <c r="B36174" t="s">
        <v>55888</v>
      </c>
      <c r="C36174" t="s">
        <v>20</v>
      </c>
      <c r="D36174" t="s">
        <v>367</v>
      </c>
      <c r="E36174" t="s">
        <v>15</v>
      </c>
      <c r="F36174" s="2" t="str">
        <f>HYPERLINK("http://www.otzar.org/book.asp?168568","קונטרס בגדרי שהייה וחזרה")</f>
        <v>קונטרס בגדרי שהייה וחזרה</v>
      </c>
    </row>
    <row r="36175" spans="1:6" x14ac:dyDescent="0.2">
      <c r="A36175" t="s">
        <v>55889</v>
      </c>
      <c r="B36175" t="s">
        <v>55890</v>
      </c>
      <c r="C36175" t="s">
        <v>585</v>
      </c>
      <c r="D36175" t="s">
        <v>14</v>
      </c>
      <c r="F36175" s="2" t="str">
        <f>HYPERLINK("http://www.otzar.org/book.asp?615559","קונטרס בגיא צלמות")</f>
        <v>קונטרס בגיא צלמות</v>
      </c>
    </row>
    <row r="36176" spans="1:6" x14ac:dyDescent="0.2">
      <c r="A36176" t="s">
        <v>55891</v>
      </c>
      <c r="B36176" t="s">
        <v>55892</v>
      </c>
      <c r="C36176" t="s">
        <v>767</v>
      </c>
      <c r="D36176" t="s">
        <v>3939</v>
      </c>
      <c r="F36176" s="2" t="str">
        <f>HYPERLINK("http://www.otzar.org/book.asp?197830","קונטרס בדבר הנדון של רבית בבנקים")</f>
        <v>קונטרס בדבר הנדון של רבית בבנקים</v>
      </c>
    </row>
    <row r="36177" spans="1:6" x14ac:dyDescent="0.2">
      <c r="A36177" t="s">
        <v>55893</v>
      </c>
      <c r="B36177" t="s">
        <v>14381</v>
      </c>
      <c r="C36177" t="s">
        <v>411</v>
      </c>
      <c r="D36177" t="s">
        <v>52</v>
      </c>
      <c r="E36177" t="s">
        <v>104</v>
      </c>
      <c r="F36177" s="2" t="str">
        <f>HYPERLINK("http://www.otzar.org/book.asp?168732","קונטרס בדידי הוי עובדא")</f>
        <v>קונטרס בדידי הוי עובדא</v>
      </c>
    </row>
    <row r="36178" spans="1:6" x14ac:dyDescent="0.2">
      <c r="A36178" t="s">
        <v>55894</v>
      </c>
      <c r="B36178" t="s">
        <v>32901</v>
      </c>
      <c r="C36178" t="s">
        <v>176</v>
      </c>
      <c r="D36178" t="s">
        <v>52</v>
      </c>
      <c r="E36178" t="s">
        <v>15</v>
      </c>
      <c r="F36178" s="2" t="str">
        <f>HYPERLINK("http://www.otzar.org/book.asp?142230","קונטרס בדין אכילת עוגות וכו' בטעם יין בתשעת הימים")</f>
        <v>קונטרס בדין אכילת עוגות וכו' בטעם יין בתשעת הימים</v>
      </c>
    </row>
    <row r="36179" spans="1:6" x14ac:dyDescent="0.2">
      <c r="A36179" t="s">
        <v>55895</v>
      </c>
      <c r="B36179" t="s">
        <v>55896</v>
      </c>
      <c r="C36179" t="s">
        <v>366</v>
      </c>
      <c r="D36179" t="s">
        <v>245</v>
      </c>
      <c r="E36179" t="s">
        <v>15</v>
      </c>
      <c r="F36179" s="2" t="str">
        <f>HYPERLINK("http://www.otzar.org/book.asp?606336","קונטרס בדין אננס לברכה וערלה")</f>
        <v>קונטרס בדין אננס לברכה וערלה</v>
      </c>
    </row>
    <row r="36180" spans="1:6" x14ac:dyDescent="0.2">
      <c r="A36180" t="s">
        <v>55897</v>
      </c>
      <c r="B36180" t="s">
        <v>23819</v>
      </c>
      <c r="C36180" t="s">
        <v>1388</v>
      </c>
      <c r="D36180" t="s">
        <v>52</v>
      </c>
      <c r="E36180" t="s">
        <v>15</v>
      </c>
      <c r="F36180" s="2" t="str">
        <f>HYPERLINK("http://www.otzar.org/book.asp?143120","קונטרס בדין ברכת הנהנין")</f>
        <v>קונטרס בדין ברכת הנהנין</v>
      </c>
    </row>
    <row r="36181" spans="1:6" x14ac:dyDescent="0.2">
      <c r="A36181" t="s">
        <v>55898</v>
      </c>
      <c r="B36181" t="s">
        <v>55899</v>
      </c>
      <c r="C36181" t="s">
        <v>445</v>
      </c>
      <c r="D36181" t="s">
        <v>27</v>
      </c>
      <c r="E36181" t="s">
        <v>3567</v>
      </c>
      <c r="F36181" s="2" t="str">
        <f>HYPERLINK("http://www.otzar.org/book.asp?19209","קונטרס בדין השמיטה")</f>
        <v>קונטרס בדין השמיטה</v>
      </c>
    </row>
    <row r="36182" spans="1:6" x14ac:dyDescent="0.2">
      <c r="A36182" t="s">
        <v>55900</v>
      </c>
      <c r="B36182" t="s">
        <v>55901</v>
      </c>
      <c r="C36182" t="s">
        <v>129</v>
      </c>
      <c r="D36182" t="s">
        <v>14</v>
      </c>
      <c r="E36182" t="s">
        <v>130</v>
      </c>
      <c r="F36182" s="2" t="str">
        <f>HYPERLINK("http://www.otzar.org/book.asp?60172","קונטרס בדין זמן הדלקת נר חנוכה")</f>
        <v>קונטרס בדין זמן הדלקת נר חנוכה</v>
      </c>
    </row>
    <row r="36183" spans="1:6" x14ac:dyDescent="0.2">
      <c r="A36183" t="s">
        <v>55902</v>
      </c>
      <c r="B36183" t="s">
        <v>55903</v>
      </c>
      <c r="C36183" t="s">
        <v>442</v>
      </c>
      <c r="D36183" t="s">
        <v>412</v>
      </c>
      <c r="E36183" t="s">
        <v>144</v>
      </c>
      <c r="F36183" s="2" t="str">
        <f>HYPERLINK("http://www.otzar.org/book.asp?14175","קונטרס בדין מוכר גוף החפץ של משכונו ביד אחר")</f>
        <v>קונטרס בדין מוכר גוף החפץ של משכונו ביד אחר</v>
      </c>
    </row>
    <row r="36184" spans="1:6" x14ac:dyDescent="0.2">
      <c r="A36184" t="s">
        <v>55904</v>
      </c>
      <c r="B36184" t="s">
        <v>32901</v>
      </c>
      <c r="C36184" t="s">
        <v>767</v>
      </c>
      <c r="D36184" t="s">
        <v>52</v>
      </c>
      <c r="F36184" s="2" t="str">
        <f>HYPERLINK("http://www.otzar.org/book.asp?142233","קונטרס בדין מכירת חמץ כללית לגוי")</f>
        <v>קונטרס בדין מכירת חמץ כללית לגוי</v>
      </c>
    </row>
    <row r="36185" spans="1:6" x14ac:dyDescent="0.2">
      <c r="A36185" t="s">
        <v>55905</v>
      </c>
      <c r="B36185" t="s">
        <v>30780</v>
      </c>
      <c r="C36185" t="s">
        <v>114</v>
      </c>
      <c r="D36185" t="s">
        <v>52</v>
      </c>
      <c r="E36185" t="s">
        <v>674</v>
      </c>
      <c r="F36185" s="2" t="str">
        <f>HYPERLINK("http://www.otzar.org/book.asp?167140","קונטרס בדין נטיעת עץ במקדש")</f>
        <v>קונטרס בדין נטיעת עץ במקדש</v>
      </c>
    </row>
    <row r="36186" spans="1:6" x14ac:dyDescent="0.2">
      <c r="A36186" t="s">
        <v>55906</v>
      </c>
      <c r="B36186" t="s">
        <v>55907</v>
      </c>
      <c r="C36186" t="s">
        <v>13</v>
      </c>
      <c r="D36186" t="s">
        <v>14</v>
      </c>
      <c r="E36186" t="s">
        <v>674</v>
      </c>
      <c r="F36186" s="2" t="str">
        <f>HYPERLINK("http://www.otzar.org/book.asp?145108","קונטרס בדין סוף טומאה לצאת")</f>
        <v>קונטרס בדין סוף טומאה לצאת</v>
      </c>
    </row>
    <row r="36187" spans="1:6" x14ac:dyDescent="0.2">
      <c r="A36187" t="s">
        <v>55908</v>
      </c>
      <c r="B36187" t="s">
        <v>206</v>
      </c>
      <c r="C36187" t="s">
        <v>523</v>
      </c>
      <c r="D36187" t="s">
        <v>52</v>
      </c>
      <c r="E36187" t="s">
        <v>15</v>
      </c>
      <c r="F36187" s="2" t="str">
        <f>HYPERLINK("http://www.otzar.org/book.asp?605165","קונטרס בדין עציץ נקוב בשביעית")</f>
        <v>קונטרס בדין עציץ נקוב בשביעית</v>
      </c>
    </row>
    <row r="36188" spans="1:6" x14ac:dyDescent="0.2">
      <c r="A36188" t="s">
        <v>55909</v>
      </c>
      <c r="B36188" t="s">
        <v>9187</v>
      </c>
      <c r="C36188" t="s">
        <v>87</v>
      </c>
      <c r="D36188" t="s">
        <v>52</v>
      </c>
      <c r="F36188" s="2" t="str">
        <f>HYPERLINK("http://www.otzar.org/book.asp?618042","קונטרס בדין עציץ שאינו נקוב")</f>
        <v>קונטרס בדין עציץ שאינו נקוב</v>
      </c>
    </row>
    <row r="36189" spans="1:6" x14ac:dyDescent="0.2">
      <c r="A36189" t="s">
        <v>55910</v>
      </c>
      <c r="B36189" t="s">
        <v>39148</v>
      </c>
      <c r="C36189" t="s">
        <v>411</v>
      </c>
      <c r="D36189" t="s">
        <v>55911</v>
      </c>
      <c r="F36189" s="2" t="str">
        <f>HYPERLINK("http://www.otzar.org/book.asp?169697","קונטרס בדין קריאת הלל בקירוי")</f>
        <v>קונטרס בדין קריאת הלל בקירוי</v>
      </c>
    </row>
    <row r="36190" spans="1:6" x14ac:dyDescent="0.2">
      <c r="A36190" t="s">
        <v>55912</v>
      </c>
      <c r="B36190" t="s">
        <v>55913</v>
      </c>
      <c r="C36190" t="s">
        <v>146</v>
      </c>
      <c r="D36190" t="s">
        <v>367</v>
      </c>
      <c r="E36190" t="s">
        <v>144</v>
      </c>
      <c r="F36190" s="2" t="str">
        <f>HYPERLINK("http://www.otzar.org/book.asp?53748","קונטרס בדין שיעבודא דרבי נתן")</f>
        <v>קונטרס בדין שיעבודא דרבי נתן</v>
      </c>
    </row>
    <row r="36191" spans="1:6" x14ac:dyDescent="0.2">
      <c r="A36191" t="s">
        <v>55914</v>
      </c>
      <c r="B36191" t="s">
        <v>3768</v>
      </c>
      <c r="C36191" t="s">
        <v>37</v>
      </c>
      <c r="D36191" t="s">
        <v>90</v>
      </c>
      <c r="E36191" t="s">
        <v>15</v>
      </c>
      <c r="F36191" s="2" t="str">
        <f>HYPERLINK("http://www.otzar.org/book.asp?197542","קונטרס בדין תוספת שביעית - 2 כר'")</f>
        <v>קונטרס בדין תוספת שביעית - 2 כר'</v>
      </c>
    </row>
    <row r="36192" spans="1:6" x14ac:dyDescent="0.2">
      <c r="A36192" t="s">
        <v>55915</v>
      </c>
      <c r="B36192" t="s">
        <v>6146</v>
      </c>
      <c r="C36192" t="s">
        <v>20</v>
      </c>
      <c r="D36192" t="s">
        <v>152</v>
      </c>
      <c r="F36192" s="2" t="str">
        <f>HYPERLINK("http://www.otzar.org/book.asp?197304","קונטרס בדיני אמירה לנכרי")</f>
        <v>קונטרס בדיני אמירה לנכרי</v>
      </c>
    </row>
    <row r="36193" spans="1:6" x14ac:dyDescent="0.2">
      <c r="A36193" t="s">
        <v>55916</v>
      </c>
      <c r="B36193" t="s">
        <v>55917</v>
      </c>
      <c r="C36193" t="s">
        <v>55918</v>
      </c>
      <c r="D36193" t="s">
        <v>152</v>
      </c>
      <c r="E36193" t="s">
        <v>15</v>
      </c>
      <c r="F36193" s="2" t="str">
        <f>HYPERLINK("http://www.otzar.org/book.asp?153827","קונטרס בדיני בסיס ואין אדם אוסר דבר שאינו שלו")</f>
        <v>קונטרס בדיני בסיס ואין אדם אוסר דבר שאינו שלו</v>
      </c>
    </row>
    <row r="36194" spans="1:6" x14ac:dyDescent="0.2">
      <c r="A36194" t="s">
        <v>55919</v>
      </c>
      <c r="B36194" t="s">
        <v>23830</v>
      </c>
      <c r="C36194" t="s">
        <v>422</v>
      </c>
      <c r="D36194" t="s">
        <v>367</v>
      </c>
      <c r="E36194" t="s">
        <v>144</v>
      </c>
      <c r="F36194" s="2" t="str">
        <f>HYPERLINK("http://www.otzar.org/book.asp?179938","קונטרס בדיני מורדת")</f>
        <v>קונטרס בדיני מורדת</v>
      </c>
    </row>
    <row r="36195" spans="1:6" x14ac:dyDescent="0.2">
      <c r="A36195" t="s">
        <v>55920</v>
      </c>
      <c r="B36195" t="s">
        <v>55921</v>
      </c>
      <c r="C36195" t="s">
        <v>151</v>
      </c>
      <c r="D36195" t="s">
        <v>52</v>
      </c>
      <c r="F36195" s="2" t="str">
        <f>HYPERLINK("http://www.otzar.org/book.asp?620782","קונטרס בדיני מקום הנחת עירוב תחומין")</f>
        <v>קונטרס בדיני מקום הנחת עירוב תחומין</v>
      </c>
    </row>
    <row r="36196" spans="1:6" x14ac:dyDescent="0.2">
      <c r="A36196" t="s">
        <v>55922</v>
      </c>
      <c r="B36196" t="s">
        <v>19646</v>
      </c>
      <c r="C36196" t="s">
        <v>37</v>
      </c>
      <c r="D36196" t="s">
        <v>14</v>
      </c>
      <c r="E36196" t="s">
        <v>15</v>
      </c>
      <c r="F36196" s="2" t="str">
        <f>HYPERLINK("http://www.otzar.org/book.asp?182513","קונטרס בדיני שביעית")</f>
        <v>קונטרס בדיני שביעית</v>
      </c>
    </row>
    <row r="36197" spans="1:6" x14ac:dyDescent="0.2">
      <c r="A36197" t="s">
        <v>55923</v>
      </c>
      <c r="B36197" t="s">
        <v>55597</v>
      </c>
      <c r="C36197" t="s">
        <v>111</v>
      </c>
      <c r="D36197" t="s">
        <v>646</v>
      </c>
      <c r="E36197" t="s">
        <v>15</v>
      </c>
      <c r="F36197" s="2" t="str">
        <f>HYPERLINK("http://www.otzar.org/book.asp?627143","קונטרס בדמייך חיי")</f>
        <v>קונטרס בדמייך חיי</v>
      </c>
    </row>
    <row r="36198" spans="1:6" x14ac:dyDescent="0.2">
      <c r="A36198" t="s">
        <v>55924</v>
      </c>
      <c r="B36198" t="s">
        <v>55924</v>
      </c>
      <c r="C36198" t="s">
        <v>411</v>
      </c>
      <c r="D36198" t="s">
        <v>412</v>
      </c>
      <c r="E36198" t="s">
        <v>15</v>
      </c>
      <c r="F36198" s="2" t="str">
        <f>HYPERLINK("http://www.otzar.org/book.asp?166522","קונטרס בדמיך חיי")</f>
        <v>קונטרס בדמיך חיי</v>
      </c>
    </row>
    <row r="36199" spans="1:6" x14ac:dyDescent="0.2">
      <c r="A36199" t="s">
        <v>55925</v>
      </c>
      <c r="B36199" t="s">
        <v>10448</v>
      </c>
      <c r="C36199" t="s">
        <v>151</v>
      </c>
      <c r="D36199" t="s">
        <v>2375</v>
      </c>
      <c r="E36199" t="s">
        <v>130</v>
      </c>
      <c r="F36199" s="2" t="str">
        <f>HYPERLINK("http://www.otzar.org/book.asp?625551","קונטרס בדרך המלך")</f>
        <v>קונטרס בדרך המלך</v>
      </c>
    </row>
    <row r="36200" spans="1:6" x14ac:dyDescent="0.2">
      <c r="A36200" t="s">
        <v>55926</v>
      </c>
      <c r="B36200" t="s">
        <v>55927</v>
      </c>
      <c r="C36200" t="s">
        <v>1208</v>
      </c>
      <c r="D36200" t="s">
        <v>14</v>
      </c>
      <c r="E36200" t="s">
        <v>933</v>
      </c>
      <c r="F36200" s="2" t="str">
        <f>HYPERLINK("http://www.otzar.org/book.asp?85179","קונטרס בהלכות נדה")</f>
        <v>קונטרס בהלכות נדה</v>
      </c>
    </row>
    <row r="36201" spans="1:6" x14ac:dyDescent="0.2">
      <c r="A36201" t="s">
        <v>55928</v>
      </c>
      <c r="B36201" t="s">
        <v>8947</v>
      </c>
      <c r="C36201" t="s">
        <v>37</v>
      </c>
      <c r="D36201" t="s">
        <v>14</v>
      </c>
      <c r="E36201" t="s">
        <v>246</v>
      </c>
      <c r="F36201" s="2" t="str">
        <f>HYPERLINK("http://www.otzar.org/book.asp?181874","קונטרס בהעלותך את הנרות")</f>
        <v>קונטרס בהעלותך את הנרות</v>
      </c>
    </row>
    <row r="36202" spans="1:6" x14ac:dyDescent="0.2">
      <c r="A36202" t="s">
        <v>55929</v>
      </c>
      <c r="B36202" t="s">
        <v>55930</v>
      </c>
      <c r="C36202" t="s">
        <v>37</v>
      </c>
      <c r="D36202" t="s">
        <v>52</v>
      </c>
      <c r="E36202" t="s">
        <v>144</v>
      </c>
      <c r="F36202" s="2" t="str">
        <f>HYPERLINK("http://www.otzar.org/book.asp?193166","קונטרס בהרי יהודה")</f>
        <v>קונטרס בהרי יהודה</v>
      </c>
    </row>
    <row r="36203" spans="1:6" x14ac:dyDescent="0.2">
      <c r="A36203" t="s">
        <v>55931</v>
      </c>
      <c r="B36203" t="s">
        <v>28684</v>
      </c>
      <c r="C36203" t="s">
        <v>624</v>
      </c>
      <c r="D36203" t="s">
        <v>8952</v>
      </c>
      <c r="E36203" t="s">
        <v>81</v>
      </c>
      <c r="F36203" s="2" t="str">
        <f>HYPERLINK("http://www.otzar.org/book.asp?103195","קונטרס בואו חשבון")</f>
        <v>קונטרס בואו חשבון</v>
      </c>
    </row>
    <row r="36204" spans="1:6" x14ac:dyDescent="0.2">
      <c r="A36204" t="s">
        <v>55931</v>
      </c>
      <c r="B36204" t="s">
        <v>10380</v>
      </c>
      <c r="C36204" t="s">
        <v>189</v>
      </c>
      <c r="D36204" t="s">
        <v>367</v>
      </c>
      <c r="E36204" t="s">
        <v>15</v>
      </c>
      <c r="F36204" s="2" t="str">
        <f>HYPERLINK("http://www.otzar.org/book.asp?168381","קונטרס בואו חשבון")</f>
        <v>קונטרס בואו חשבון</v>
      </c>
    </row>
    <row r="36205" spans="1:6" x14ac:dyDescent="0.2">
      <c r="A36205" t="s">
        <v>55932</v>
      </c>
      <c r="B36205" t="s">
        <v>3184</v>
      </c>
      <c r="C36205" t="s">
        <v>624</v>
      </c>
      <c r="D36205" t="s">
        <v>52</v>
      </c>
      <c r="E36205" t="s">
        <v>674</v>
      </c>
      <c r="F36205" s="2" t="str">
        <f>HYPERLINK("http://www.otzar.org/book.asp?155253","קונטרס בואו חשבון - ב")</f>
        <v>קונטרס בואו חשבון - ב</v>
      </c>
    </row>
    <row r="36206" spans="1:6" x14ac:dyDescent="0.2">
      <c r="A36206" t="s">
        <v>55931</v>
      </c>
      <c r="B36206" t="s">
        <v>4480</v>
      </c>
      <c r="C36206" t="s">
        <v>124</v>
      </c>
      <c r="D36206" t="s">
        <v>14</v>
      </c>
      <c r="E36206" t="s">
        <v>786</v>
      </c>
      <c r="F36206" s="2" t="str">
        <f>HYPERLINK("http://www.otzar.org/book.asp?191260","קונטרס בואו חשבון")</f>
        <v>קונטרס בואו חשבון</v>
      </c>
    </row>
    <row r="36207" spans="1:6" x14ac:dyDescent="0.2">
      <c r="A36207" t="s">
        <v>55933</v>
      </c>
      <c r="B36207" t="s">
        <v>8743</v>
      </c>
      <c r="C36207" t="s">
        <v>37</v>
      </c>
      <c r="D36207" t="s">
        <v>412</v>
      </c>
      <c r="F36207" s="2" t="str">
        <f>HYPERLINK("http://www.otzar.org/book.asp?613590","קונטרס בוני בית שני עזרא ונחמיה")</f>
        <v>קונטרס בוני בית שני עזרא ונחמיה</v>
      </c>
    </row>
    <row r="36208" spans="1:6" x14ac:dyDescent="0.2">
      <c r="A36208" t="s">
        <v>55934</v>
      </c>
      <c r="B36208" t="s">
        <v>55935</v>
      </c>
      <c r="C36208" t="s">
        <v>114</v>
      </c>
      <c r="D36208" t="s">
        <v>14</v>
      </c>
      <c r="E36208" t="s">
        <v>246</v>
      </c>
      <c r="F36208" s="2" t="str">
        <f>HYPERLINK("http://www.otzar.org/book.asp?181672","קונטרס בוצינא קדישא")</f>
        <v>קונטרס בוצינא קדישא</v>
      </c>
    </row>
    <row r="36209" spans="1:6" x14ac:dyDescent="0.2">
      <c r="A36209" t="s">
        <v>55936</v>
      </c>
      <c r="B36209" t="s">
        <v>20398</v>
      </c>
      <c r="C36209" t="s">
        <v>111</v>
      </c>
      <c r="D36209" t="s">
        <v>14</v>
      </c>
      <c r="E36209" t="s">
        <v>202</v>
      </c>
      <c r="F36209" s="2" t="str">
        <f>HYPERLINK("http://www.otzar.org/book.asp?626714","קונטרס בזקנינו נלך")</f>
        <v>קונטרס בזקנינו נלך</v>
      </c>
    </row>
    <row r="36210" spans="1:6" x14ac:dyDescent="0.2">
      <c r="A36210" t="s">
        <v>55937</v>
      </c>
      <c r="B36210" t="s">
        <v>55938</v>
      </c>
      <c r="C36210" t="s">
        <v>1448</v>
      </c>
      <c r="D36210" t="s">
        <v>646</v>
      </c>
      <c r="F36210" s="2" t="str">
        <f>HYPERLINK("http://www.otzar.org/book.asp?613219","קונטרס בטחון")</f>
        <v>קונטרס בטחון</v>
      </c>
    </row>
    <row r="36211" spans="1:6" x14ac:dyDescent="0.2">
      <c r="A36211" t="s">
        <v>55939</v>
      </c>
      <c r="B36211" t="s">
        <v>13429</v>
      </c>
      <c r="C36211" t="s">
        <v>133</v>
      </c>
      <c r="D36211" t="s">
        <v>12936</v>
      </c>
      <c r="E36211" t="s">
        <v>202</v>
      </c>
      <c r="F36211" s="2" t="str">
        <f>HYPERLINK("http://www.otzar.org/book.asp?626191","קונטרס בי מדרשא - 2 כר'")</f>
        <v>קונטרס בי מדרשא - 2 כר'</v>
      </c>
    </row>
    <row r="36212" spans="1:6" x14ac:dyDescent="0.2">
      <c r="A36212" t="s">
        <v>55940</v>
      </c>
      <c r="B36212" t="s">
        <v>9187</v>
      </c>
      <c r="C36212" t="s">
        <v>103</v>
      </c>
      <c r="D36212" t="s">
        <v>52</v>
      </c>
      <c r="E36212" t="s">
        <v>130</v>
      </c>
      <c r="F36212" s="2" t="str">
        <f>HYPERLINK("http://www.otzar.org/book.asp?53032","קונטרס ביאור שטרות ההרשאה למכירת חמץ")</f>
        <v>קונטרס ביאור שטרות ההרשאה למכירת חמץ</v>
      </c>
    </row>
    <row r="36213" spans="1:6" x14ac:dyDescent="0.2">
      <c r="A36213" t="s">
        <v>55941</v>
      </c>
      <c r="B36213" t="s">
        <v>55942</v>
      </c>
      <c r="C36213" t="s">
        <v>37</v>
      </c>
      <c r="D36213" t="s">
        <v>52</v>
      </c>
      <c r="E36213" t="s">
        <v>10893</v>
      </c>
      <c r="F36213" s="2" t="str">
        <f>HYPERLINK("http://www.otzar.org/book.asp?194148","קונטרס ביאורי דעת")</f>
        <v>קונטרס ביאורי דעת</v>
      </c>
    </row>
    <row r="36214" spans="1:6" x14ac:dyDescent="0.2">
      <c r="A36214" t="s">
        <v>55941</v>
      </c>
      <c r="B36214" t="s">
        <v>55943</v>
      </c>
      <c r="C36214" t="s">
        <v>37</v>
      </c>
      <c r="D36214" t="s">
        <v>21</v>
      </c>
      <c r="E36214" t="s">
        <v>15</v>
      </c>
      <c r="F36214" s="2" t="str">
        <f>HYPERLINK("http://www.otzar.org/book.asp?602688","קונטרס ביאורי דעת")</f>
        <v>קונטרס ביאורי דעת</v>
      </c>
    </row>
    <row r="36215" spans="1:6" x14ac:dyDescent="0.2">
      <c r="A36215" t="s">
        <v>55944</v>
      </c>
      <c r="B36215" t="s">
        <v>55945</v>
      </c>
      <c r="C36215" t="s">
        <v>189</v>
      </c>
      <c r="D36215" t="s">
        <v>14</v>
      </c>
      <c r="E36215" t="s">
        <v>1185</v>
      </c>
      <c r="F36215" s="2" t="str">
        <f>HYPERLINK("http://www.otzar.org/book.asp?613947","קונטרס ביאורי החסידות על התורה - ואתחנן")</f>
        <v>קונטרס ביאורי החסידות על התורה - ואתחנן</v>
      </c>
    </row>
    <row r="36216" spans="1:6" x14ac:dyDescent="0.2">
      <c r="A36216" t="s">
        <v>55946</v>
      </c>
      <c r="B36216" t="s">
        <v>46292</v>
      </c>
      <c r="C36216" t="s">
        <v>23</v>
      </c>
      <c r="D36216" t="s">
        <v>52</v>
      </c>
      <c r="E36216" t="s">
        <v>144</v>
      </c>
      <c r="F36216" s="2" t="str">
        <f>HYPERLINK("http://www.otzar.org/book.asp?606281","קונטרס ביאורי סוגיות בפרק הדר")</f>
        <v>קונטרס ביאורי סוגיות בפרק הדר</v>
      </c>
    </row>
    <row r="36217" spans="1:6" x14ac:dyDescent="0.2">
      <c r="A36217" t="s">
        <v>55947</v>
      </c>
      <c r="B36217" t="s">
        <v>37858</v>
      </c>
      <c r="C36217" t="s">
        <v>244</v>
      </c>
      <c r="D36217" t="s">
        <v>21</v>
      </c>
      <c r="E36217" t="s">
        <v>144</v>
      </c>
      <c r="F36217" s="2" t="str">
        <f>HYPERLINK("http://www.otzar.org/book.asp?608178","קונטרס ביאורי עניינים - עירובין פ""א")</f>
        <v>קונטרס ביאורי עניינים - עירובין פ"א</v>
      </c>
    </row>
    <row r="36218" spans="1:6" x14ac:dyDescent="0.2">
      <c r="A36218" t="s">
        <v>55948</v>
      </c>
      <c r="B36218" t="s">
        <v>55949</v>
      </c>
      <c r="C36218" t="s">
        <v>129</v>
      </c>
      <c r="D36218" t="s">
        <v>52</v>
      </c>
      <c r="F36218" s="2" t="str">
        <f>HYPERLINK("http://www.otzar.org/book.asp?629940","קונטרס ביאורי ענינים - 3 כר'")</f>
        <v>קונטרס ביאורי ענינים - 3 כר'</v>
      </c>
    </row>
    <row r="36219" spans="1:6" x14ac:dyDescent="0.2">
      <c r="A36219" t="s">
        <v>55950</v>
      </c>
      <c r="B36219" t="s">
        <v>55556</v>
      </c>
      <c r="C36219" t="s">
        <v>133</v>
      </c>
      <c r="F36219" s="2" t="str">
        <f>HYPERLINK("http://www.otzar.org/book.asp?612272","קונטרס ביאורי שמועות - 2 כר'")</f>
        <v>קונטרס ביאורי שמועות - 2 כר'</v>
      </c>
    </row>
    <row r="36220" spans="1:6" x14ac:dyDescent="0.2">
      <c r="A36220" t="s">
        <v>55951</v>
      </c>
      <c r="B36220" t="s">
        <v>55952</v>
      </c>
      <c r="F36220" s="2" t="str">
        <f>HYPERLINK("http://www.otzar.org/book.asp?613223","קונטרס ביאורים בכמה מן הסוגיות במסכת כתובת")</f>
        <v>קונטרס ביאורים בכמה מן הסוגיות במסכת כתובת</v>
      </c>
    </row>
    <row r="36221" spans="1:6" x14ac:dyDescent="0.2">
      <c r="A36221" t="s">
        <v>55953</v>
      </c>
      <c r="B36221" t="s">
        <v>11466</v>
      </c>
      <c r="C36221" t="s">
        <v>176</v>
      </c>
      <c r="D36221" t="s">
        <v>14</v>
      </c>
      <c r="E36221" t="s">
        <v>144</v>
      </c>
      <c r="F36221" s="2" t="str">
        <f>HYPERLINK("http://www.otzar.org/book.asp?191491","קונטרס ביאורים במלאכת סחיטה")</f>
        <v>קונטרס ביאורים במלאכת סחיטה</v>
      </c>
    </row>
    <row r="36222" spans="1:6" x14ac:dyDescent="0.2">
      <c r="A36222" t="s">
        <v>55954</v>
      </c>
      <c r="B36222" t="s">
        <v>46328</v>
      </c>
      <c r="C36222" t="s">
        <v>454</v>
      </c>
      <c r="D36222" t="s">
        <v>21</v>
      </c>
      <c r="E36222" t="s">
        <v>172</v>
      </c>
      <c r="F36222" s="2" t="str">
        <f>HYPERLINK("http://www.otzar.org/book.asp?197778","קונטרס ביאורים ברע""א")</f>
        <v>קונטרס ביאורים ברע"א</v>
      </c>
    </row>
    <row r="36223" spans="1:6" x14ac:dyDescent="0.2">
      <c r="A36223" t="s">
        <v>55955</v>
      </c>
      <c r="B36223" t="s">
        <v>32968</v>
      </c>
      <c r="C36223" t="s">
        <v>13</v>
      </c>
      <c r="D36223" t="s">
        <v>657</v>
      </c>
      <c r="E36223" t="s">
        <v>15</v>
      </c>
      <c r="F36223" s="2" t="str">
        <f>HYPERLINK("http://www.otzar.org/book.asp?144492","קונטרס ביאורים ובירורים בהלכות שביעית")</f>
        <v>קונטרס ביאורים ובירורים בהלכות שביעית</v>
      </c>
    </row>
    <row r="36224" spans="1:6" x14ac:dyDescent="0.2">
      <c r="A36224" t="s">
        <v>55956</v>
      </c>
      <c r="B36224" t="s">
        <v>55957</v>
      </c>
      <c r="C36224" t="s">
        <v>20</v>
      </c>
      <c r="F36224" s="2" t="str">
        <f>HYPERLINK("http://www.otzar.org/book.asp?622599","קונטרס ביאורים והארות - 3 כר'")</f>
        <v>קונטרס ביאורים והארות - 3 כר'</v>
      </c>
    </row>
    <row r="36225" spans="1:6" x14ac:dyDescent="0.2">
      <c r="A36225" t="s">
        <v>55958</v>
      </c>
      <c r="B36225" t="s">
        <v>55959</v>
      </c>
      <c r="C36225" t="s">
        <v>17</v>
      </c>
      <c r="D36225" t="s">
        <v>52</v>
      </c>
      <c r="E36225" t="s">
        <v>144</v>
      </c>
      <c r="F36225" s="2" t="str">
        <f>HYPERLINK("http://www.otzar.org/book.asp?629796","קונטרס ביאורים - קובץ מר""מ - סנהדרין")</f>
        <v>קונטרס ביאורים - קובץ מר"מ - סנהדרין</v>
      </c>
    </row>
    <row r="36226" spans="1:6" x14ac:dyDescent="0.2">
      <c r="A36226" t="s">
        <v>55960</v>
      </c>
      <c r="B36226" t="s">
        <v>55949</v>
      </c>
      <c r="C36226" t="s">
        <v>454</v>
      </c>
      <c r="D36226" t="s">
        <v>52</v>
      </c>
      <c r="F36226" s="2" t="str">
        <f>HYPERLINK("http://www.otzar.org/book.asp?629926","קונטרס ביאורים - 3 כר'")</f>
        <v>קונטרס ביאורים - 3 כר'</v>
      </c>
    </row>
    <row r="36227" spans="1:6" x14ac:dyDescent="0.2">
      <c r="A36227" t="s">
        <v>55961</v>
      </c>
      <c r="B36227" t="s">
        <v>32901</v>
      </c>
      <c r="C36227" t="s">
        <v>17</v>
      </c>
      <c r="D36227" t="s">
        <v>52</v>
      </c>
      <c r="E36227" t="s">
        <v>15</v>
      </c>
      <c r="F36227" s="2" t="str">
        <f>HYPERLINK("http://www.otzar.org/book.asp?142234","קונטרס ביאורים - דרכי מכירת חמץ לגוי בע""פ שחל להיות בשבת")</f>
        <v>קונטרס ביאורים - דרכי מכירת חמץ לגוי בע"פ שחל להיות בשבת</v>
      </c>
    </row>
    <row r="36228" spans="1:6" x14ac:dyDescent="0.2">
      <c r="A36228" t="s">
        <v>55962</v>
      </c>
      <c r="B36228" t="s">
        <v>55963</v>
      </c>
      <c r="C36228" t="s">
        <v>20</v>
      </c>
      <c r="D36228" t="s">
        <v>4549</v>
      </c>
      <c r="E36228" t="s">
        <v>144</v>
      </c>
      <c r="F36228" s="2" t="str">
        <f>HYPERLINK("http://www.otzar.org/book.asp?623390","קונטרס ביאורים")</f>
        <v>קונטרס ביאורים</v>
      </c>
    </row>
    <row r="36229" spans="1:6" x14ac:dyDescent="0.2">
      <c r="A36229" t="s">
        <v>55964</v>
      </c>
      <c r="B36229" t="s">
        <v>55965</v>
      </c>
      <c r="C36229" t="s">
        <v>151</v>
      </c>
      <c r="D36229" t="s">
        <v>1156</v>
      </c>
      <c r="F36229" s="2" t="str">
        <f>HYPERLINK("http://www.otzar.org/book.asp?618841","קונטרס ביאורים - קידושין")</f>
        <v>קונטרס ביאורים - קידושין</v>
      </c>
    </row>
    <row r="36230" spans="1:6" x14ac:dyDescent="0.2">
      <c r="A36230" t="s">
        <v>55966</v>
      </c>
      <c r="B36230" t="s">
        <v>9331</v>
      </c>
      <c r="C36230" t="s">
        <v>244</v>
      </c>
      <c r="D36230" t="s">
        <v>486</v>
      </c>
      <c r="F36230" s="2" t="str">
        <f>HYPERLINK("http://www.otzar.org/book.asp?198159","קונטרס ביד רמ""א - 2 כר'")</f>
        <v>קונטרס ביד רמ"א - 2 כר'</v>
      </c>
    </row>
    <row r="36231" spans="1:6" x14ac:dyDescent="0.2">
      <c r="A36231" t="s">
        <v>55967</v>
      </c>
      <c r="B36231" t="s">
        <v>55968</v>
      </c>
      <c r="C36231" t="s">
        <v>466</v>
      </c>
      <c r="D36231" t="s">
        <v>52</v>
      </c>
      <c r="F36231" s="2" t="str">
        <f>HYPERLINK("http://www.otzar.org/book.asp?183188","קונטרס ביום השמיני")</f>
        <v>קונטרס ביום השמיני</v>
      </c>
    </row>
    <row r="36232" spans="1:6" x14ac:dyDescent="0.2">
      <c r="A36232" t="s">
        <v>55969</v>
      </c>
      <c r="B36232" t="s">
        <v>55669</v>
      </c>
      <c r="C36232" t="s">
        <v>114</v>
      </c>
      <c r="D36232" t="s">
        <v>52</v>
      </c>
      <c r="E36232" t="s">
        <v>202</v>
      </c>
      <c r="F36232" s="2" t="str">
        <f>HYPERLINK("http://www.otzar.org/book.asp?161266","קונטרס ביכורי אביב")</f>
        <v>קונטרס ביכורי אביב</v>
      </c>
    </row>
    <row r="36233" spans="1:6" x14ac:dyDescent="0.2">
      <c r="A36233" t="s">
        <v>55970</v>
      </c>
      <c r="B36233" t="s">
        <v>55971</v>
      </c>
      <c r="C36233" t="s">
        <v>20</v>
      </c>
      <c r="D36233" t="s">
        <v>4549</v>
      </c>
      <c r="E36233" t="s">
        <v>144</v>
      </c>
      <c r="F36233" s="2" t="str">
        <f>HYPERLINK("http://www.otzar.org/book.asp?623383","קונטרס ביכורי אברהם")</f>
        <v>קונטרס ביכורי אברהם</v>
      </c>
    </row>
    <row r="36234" spans="1:6" x14ac:dyDescent="0.2">
      <c r="A36234" t="s">
        <v>55970</v>
      </c>
      <c r="B36234" t="s">
        <v>55972</v>
      </c>
      <c r="C36234" t="s">
        <v>23</v>
      </c>
      <c r="D36234" t="s">
        <v>90</v>
      </c>
      <c r="F36234" s="2" t="str">
        <f>HYPERLINK("http://www.otzar.org/book.asp?610083","קונטרס ביכורי אברהם")</f>
        <v>קונטרס ביכורי אברהם</v>
      </c>
    </row>
    <row r="36235" spans="1:6" x14ac:dyDescent="0.2">
      <c r="A36235" t="s">
        <v>55973</v>
      </c>
      <c r="B36235" t="s">
        <v>55974</v>
      </c>
      <c r="C36235" t="s">
        <v>13</v>
      </c>
      <c r="D36235" t="s">
        <v>52</v>
      </c>
      <c r="E36235" t="s">
        <v>144</v>
      </c>
      <c r="F36235" s="2" t="str">
        <f>HYPERLINK("http://www.otzar.org/book.asp?173004","קונטרס ביכורי יאה - ספיה לקטן")</f>
        <v>קונטרס ביכורי יאה - ספיה לקטן</v>
      </c>
    </row>
    <row r="36236" spans="1:6" x14ac:dyDescent="0.2">
      <c r="A36236" t="s">
        <v>55975</v>
      </c>
      <c r="B36236" t="s">
        <v>55976</v>
      </c>
      <c r="C36236" t="s">
        <v>366</v>
      </c>
      <c r="D36236" t="s">
        <v>90</v>
      </c>
      <c r="E36236" t="s">
        <v>144</v>
      </c>
      <c r="F36236" s="2" t="str">
        <f>HYPERLINK("http://www.otzar.org/book.asp?606072","קונטרס ביכורי יהודה")</f>
        <v>קונטרס ביכורי יהודה</v>
      </c>
    </row>
    <row r="36237" spans="1:6" x14ac:dyDescent="0.2">
      <c r="A36237" t="s">
        <v>55977</v>
      </c>
      <c r="B36237" t="s">
        <v>55978</v>
      </c>
      <c r="C36237" t="s">
        <v>23</v>
      </c>
      <c r="D36237" t="s">
        <v>90</v>
      </c>
      <c r="E36237" t="s">
        <v>674</v>
      </c>
      <c r="F36237" s="2" t="str">
        <f>HYPERLINK("http://www.otzar.org/book.asp?195718","קונטרס ביכורי יוסף חיים")</f>
        <v>קונטרס ביכורי יוסף חיים</v>
      </c>
    </row>
    <row r="36238" spans="1:6" x14ac:dyDescent="0.2">
      <c r="A36238" t="s">
        <v>55979</v>
      </c>
      <c r="B36238" t="s">
        <v>55980</v>
      </c>
      <c r="C36238" t="s">
        <v>23</v>
      </c>
      <c r="D36238" t="s">
        <v>14</v>
      </c>
      <c r="F36238" s="2" t="str">
        <f>HYPERLINK("http://www.otzar.org/book.asp?198052","קונטרס ביכורי מעשיך")</f>
        <v>קונטרס ביכורי מעשיך</v>
      </c>
    </row>
    <row r="36239" spans="1:6" x14ac:dyDescent="0.2">
      <c r="A36239" t="s">
        <v>55981</v>
      </c>
      <c r="B36239" t="s">
        <v>55982</v>
      </c>
      <c r="C36239" t="s">
        <v>151</v>
      </c>
      <c r="D36239" t="s">
        <v>55983</v>
      </c>
      <c r="F36239" s="2" t="str">
        <f>HYPERLINK("http://www.otzar.org/book.asp?615878","קונטרס בימי מתתיהו")</f>
        <v>קונטרס בימי מתתיהו</v>
      </c>
    </row>
    <row r="36240" spans="1:6" x14ac:dyDescent="0.2">
      <c r="A36240" t="s">
        <v>55984</v>
      </c>
      <c r="F36240" s="2" t="str">
        <f>HYPERLINK("http://www.otzar.org/book.asp?620696","קונטרס בימים ההם בזמן הזה")</f>
        <v>קונטרס בימים ההם בזמן הזה</v>
      </c>
    </row>
    <row r="36241" spans="1:6" x14ac:dyDescent="0.2">
      <c r="A36241" t="s">
        <v>55985</v>
      </c>
      <c r="B36241" t="s">
        <v>3286</v>
      </c>
      <c r="C36241" t="s">
        <v>114</v>
      </c>
      <c r="D36241" t="s">
        <v>80</v>
      </c>
      <c r="E36241" t="s">
        <v>246</v>
      </c>
      <c r="F36241" s="2" t="str">
        <f>HYPERLINK("http://www.otzar.org/book.asp?181342","קונטרס בין המצרים")</f>
        <v>קונטרס בין המצרים</v>
      </c>
    </row>
    <row r="36242" spans="1:6" x14ac:dyDescent="0.2">
      <c r="A36242" t="s">
        <v>55986</v>
      </c>
      <c r="B36242" t="s">
        <v>55987</v>
      </c>
      <c r="C36242" t="s">
        <v>20</v>
      </c>
      <c r="D36242" t="s">
        <v>90</v>
      </c>
      <c r="F36242" s="2" t="str">
        <f>HYPERLINK("http://www.otzar.org/book.asp?616623","קונטרס בין השמשות")</f>
        <v>קונטרס בין השמשות</v>
      </c>
    </row>
    <row r="36243" spans="1:6" x14ac:dyDescent="0.2">
      <c r="A36243" t="s">
        <v>55988</v>
      </c>
      <c r="B36243" t="s">
        <v>1748</v>
      </c>
      <c r="C36243" t="s">
        <v>23</v>
      </c>
      <c r="D36243" t="s">
        <v>52</v>
      </c>
      <c r="E36243" t="s">
        <v>144</v>
      </c>
      <c r="F36243" s="2" t="str">
        <f>HYPERLINK("http://www.otzar.org/book.asp?607591","קונטרס בין ישראל לעמים - סתם ינם, יין נסך")</f>
        <v>קונטרס בין ישראל לעמים - סתם ינם, יין נסך</v>
      </c>
    </row>
    <row r="36244" spans="1:6" x14ac:dyDescent="0.2">
      <c r="A36244" t="s">
        <v>55989</v>
      </c>
      <c r="B36244" t="s">
        <v>11834</v>
      </c>
      <c r="C36244" t="s">
        <v>23</v>
      </c>
      <c r="D36244" t="s">
        <v>152</v>
      </c>
      <c r="F36244" s="2" t="str">
        <f>HYPERLINK("http://www.otzar.org/book.asp?197313","קונטרס בין פסח לשבועות")</f>
        <v>קונטרס בין פסח לשבועות</v>
      </c>
    </row>
    <row r="36245" spans="1:6" x14ac:dyDescent="0.2">
      <c r="A36245" t="s">
        <v>55990</v>
      </c>
      <c r="B36245" t="s">
        <v>9506</v>
      </c>
      <c r="C36245" t="s">
        <v>20</v>
      </c>
      <c r="D36245" t="s">
        <v>52</v>
      </c>
      <c r="E36245" t="s">
        <v>104</v>
      </c>
      <c r="F36245" s="2" t="str">
        <f>HYPERLINK("http://www.otzar.org/book.asp?182066","קונטרס בין תכלת לארגמן &lt;מהדו""ק&gt;")</f>
        <v>קונטרס בין תכלת לארגמן &lt;מהדו"ק&gt;</v>
      </c>
    </row>
    <row r="36246" spans="1:6" x14ac:dyDescent="0.2">
      <c r="A36246" t="s">
        <v>55991</v>
      </c>
      <c r="B36246" t="s">
        <v>12708</v>
      </c>
      <c r="C36246" t="s">
        <v>111</v>
      </c>
      <c r="D36246" t="s">
        <v>152</v>
      </c>
      <c r="E36246" t="s">
        <v>104</v>
      </c>
      <c r="F36246" s="2" t="str">
        <f>HYPERLINK("http://www.otzar.org/book.asp?629332","קונטרס בין תכלת ללבן")</f>
        <v>קונטרס בין תכלת ללבן</v>
      </c>
    </row>
    <row r="36247" spans="1:6" x14ac:dyDescent="0.2">
      <c r="A36247" t="s">
        <v>55992</v>
      </c>
      <c r="B36247" t="s">
        <v>363</v>
      </c>
      <c r="C36247" t="s">
        <v>23</v>
      </c>
      <c r="D36247" t="s">
        <v>52</v>
      </c>
      <c r="E36247" t="s">
        <v>172</v>
      </c>
      <c r="F36247" s="2" t="str">
        <f>HYPERLINK("http://www.otzar.org/book.asp?194097","קונטרס בינת החושן")</f>
        <v>קונטרס בינת החושן</v>
      </c>
    </row>
    <row r="36248" spans="1:6" x14ac:dyDescent="0.2">
      <c r="A36248" t="s">
        <v>55993</v>
      </c>
      <c r="B36248" t="s">
        <v>55994</v>
      </c>
      <c r="C36248" t="s">
        <v>133</v>
      </c>
      <c r="D36248" t="s">
        <v>52</v>
      </c>
      <c r="E36248" t="s">
        <v>15</v>
      </c>
      <c r="F36248" s="2" t="str">
        <f>HYPERLINK("http://www.otzar.org/book.asp?601663","קונטרס ביסוד החיוב דברכות התורה")</f>
        <v>קונטרס ביסוד החיוב דברכות התורה</v>
      </c>
    </row>
    <row r="36249" spans="1:6" x14ac:dyDescent="0.2">
      <c r="A36249" t="s">
        <v>55995</v>
      </c>
      <c r="B36249" t="s">
        <v>14118</v>
      </c>
      <c r="C36249" t="s">
        <v>624</v>
      </c>
      <c r="D36249" t="s">
        <v>21</v>
      </c>
      <c r="F36249" s="2" t="str">
        <f>HYPERLINK("http://www.otzar.org/book.asp?630753","קונטרס ביעור מעשרות")</f>
        <v>קונטרס ביעור מעשרות</v>
      </c>
    </row>
    <row r="36250" spans="1:6" x14ac:dyDescent="0.2">
      <c r="A36250" t="s">
        <v>55995</v>
      </c>
      <c r="B36250" t="s">
        <v>55996</v>
      </c>
      <c r="C36250" t="s">
        <v>624</v>
      </c>
      <c r="D36250" t="s">
        <v>367</v>
      </c>
      <c r="E36250" t="s">
        <v>15</v>
      </c>
      <c r="F36250" s="2" t="str">
        <f>HYPERLINK("http://www.otzar.org/book.asp?196702","קונטרס ביעור מעשרות")</f>
        <v>קונטרס ביעור מעשרות</v>
      </c>
    </row>
    <row r="36251" spans="1:6" x14ac:dyDescent="0.2">
      <c r="A36251" t="s">
        <v>55995</v>
      </c>
      <c r="B36251" t="s">
        <v>41875</v>
      </c>
      <c r="C36251" t="s">
        <v>17</v>
      </c>
      <c r="D36251" t="s">
        <v>52</v>
      </c>
      <c r="E36251" t="s">
        <v>15</v>
      </c>
      <c r="F36251" s="2" t="str">
        <f>HYPERLINK("http://www.otzar.org/book.asp?160937","קונטרס ביעור מעשרות")</f>
        <v>קונטרס ביעור מעשרות</v>
      </c>
    </row>
    <row r="36252" spans="1:6" x14ac:dyDescent="0.2">
      <c r="A36252" t="s">
        <v>55997</v>
      </c>
      <c r="B36252" t="s">
        <v>14157</v>
      </c>
      <c r="C36252" t="s">
        <v>114</v>
      </c>
      <c r="D36252" t="s">
        <v>147</v>
      </c>
      <c r="F36252" s="2" t="str">
        <f>HYPERLINK("http://www.otzar.org/book.asp?616335","קונטרס ביצחק יקרא")</f>
        <v>קונטרס ביצחק יקרא</v>
      </c>
    </row>
    <row r="36253" spans="1:6" x14ac:dyDescent="0.2">
      <c r="A36253" t="s">
        <v>55998</v>
      </c>
      <c r="B36253" t="s">
        <v>206</v>
      </c>
      <c r="C36253" t="s">
        <v>114</v>
      </c>
      <c r="D36253" t="s">
        <v>52</v>
      </c>
      <c r="E36253" t="s">
        <v>144</v>
      </c>
      <c r="F36253" s="2" t="str">
        <f>HYPERLINK("http://www.otzar.org/book.asp?162548","קונטרס בירא עמיקתא - הרחקת נזיקין")</f>
        <v>קונטרס בירא עמיקתא - הרחקת נזיקין</v>
      </c>
    </row>
    <row r="36254" spans="1:6" x14ac:dyDescent="0.2">
      <c r="A36254" t="s">
        <v>55999</v>
      </c>
      <c r="B36254" t="s">
        <v>56000</v>
      </c>
      <c r="C36254" t="s">
        <v>366</v>
      </c>
      <c r="D36254" t="s">
        <v>90</v>
      </c>
      <c r="E36254" t="s">
        <v>3915</v>
      </c>
      <c r="F36254" s="2" t="str">
        <f>HYPERLINK("http://www.otzar.org/book.asp?612198","קונטרס בירור בענין דין קיפול שערות הזקן בשבת קודש")</f>
        <v>קונטרס בירור בענין דין קיפול שערות הזקן בשבת קודש</v>
      </c>
    </row>
    <row r="36255" spans="1:6" x14ac:dyDescent="0.2">
      <c r="A36255" t="s">
        <v>56001</v>
      </c>
      <c r="B36255" t="s">
        <v>56002</v>
      </c>
      <c r="C36255" t="s">
        <v>411</v>
      </c>
      <c r="D36255" t="s">
        <v>1076</v>
      </c>
      <c r="E36255" t="s">
        <v>15</v>
      </c>
      <c r="F36255" s="2" t="str">
        <f>HYPERLINK("http://www.otzar.org/book.asp?603201","קונטרס בירור הלכה - 2 כר'")</f>
        <v>קונטרס בירור הלכה - 2 כר'</v>
      </c>
    </row>
    <row r="36256" spans="1:6" x14ac:dyDescent="0.2">
      <c r="A36256" t="s">
        <v>56003</v>
      </c>
      <c r="B36256" t="s">
        <v>40267</v>
      </c>
      <c r="C36256" t="s">
        <v>133</v>
      </c>
      <c r="D36256" t="s">
        <v>14</v>
      </c>
      <c r="F36256" s="2" t="str">
        <f>HYPERLINK("http://www.otzar.org/book.asp?612318","קונטרס בירורי דברים - בורר")</f>
        <v>קונטרס בירורי דברים - בורר</v>
      </c>
    </row>
    <row r="36257" spans="1:6" x14ac:dyDescent="0.2">
      <c r="A36257" t="s">
        <v>56004</v>
      </c>
      <c r="B36257" t="s">
        <v>7176</v>
      </c>
      <c r="C36257" t="s">
        <v>20</v>
      </c>
      <c r="D36257" t="s">
        <v>14</v>
      </c>
      <c r="E36257" t="s">
        <v>15</v>
      </c>
      <c r="F36257" s="2" t="str">
        <f>HYPERLINK("http://www.otzar.org/book.asp?630019","קונטרס בירורי הלכה - הלכות שבת")</f>
        <v>קונטרס בירורי הלכה - הלכות שבת</v>
      </c>
    </row>
    <row r="36258" spans="1:6" x14ac:dyDescent="0.2">
      <c r="A36258" t="s">
        <v>56005</v>
      </c>
      <c r="B36258" t="s">
        <v>12210</v>
      </c>
      <c r="C36258" t="s">
        <v>51</v>
      </c>
      <c r="D36258" t="s">
        <v>14</v>
      </c>
      <c r="F36258" s="2" t="str">
        <f>HYPERLINK("http://www.otzar.org/book.asp?178910","קונטרס בירורי הלכה")</f>
        <v>קונטרס בירורי הלכה</v>
      </c>
    </row>
    <row r="36259" spans="1:6" x14ac:dyDescent="0.2">
      <c r="A36259" t="s">
        <v>56006</v>
      </c>
      <c r="B36259" t="s">
        <v>56007</v>
      </c>
      <c r="C36259" t="s">
        <v>133</v>
      </c>
      <c r="D36259" t="s">
        <v>52</v>
      </c>
      <c r="E36259" t="s">
        <v>144</v>
      </c>
      <c r="F36259" s="2" t="str">
        <f>HYPERLINK("http://www.otzar.org/book.asp?175726","קונטרס בירורי עניינים - ראש השנה")</f>
        <v>קונטרס בירורי עניינים - ראש השנה</v>
      </c>
    </row>
    <row r="36260" spans="1:6" x14ac:dyDescent="0.2">
      <c r="A36260" t="s">
        <v>56008</v>
      </c>
      <c r="B36260" t="s">
        <v>31852</v>
      </c>
      <c r="C36260" t="s">
        <v>244</v>
      </c>
      <c r="D36260" t="s">
        <v>21</v>
      </c>
      <c r="E36260" t="s">
        <v>144</v>
      </c>
      <c r="F36260" s="2" t="str">
        <f>HYPERLINK("http://www.otzar.org/book.asp?601019","קונטרס בירורי ענינים")</f>
        <v>קונטרס בירורי ענינים</v>
      </c>
    </row>
    <row r="36261" spans="1:6" x14ac:dyDescent="0.2">
      <c r="A36261" t="s">
        <v>56009</v>
      </c>
      <c r="B36261" t="s">
        <v>56010</v>
      </c>
      <c r="C36261" t="s">
        <v>411</v>
      </c>
      <c r="D36261" t="s">
        <v>52</v>
      </c>
      <c r="E36261" t="s">
        <v>104</v>
      </c>
      <c r="F36261" s="2" t="str">
        <f>HYPERLINK("http://www.otzar.org/book.asp?169794","קונטרס בירורי ענינים - 2 כר'")</f>
        <v>קונטרס בירורי ענינים - 2 כר'</v>
      </c>
    </row>
    <row r="36262" spans="1:6" x14ac:dyDescent="0.2">
      <c r="A36262" t="s">
        <v>56011</v>
      </c>
      <c r="B36262" t="s">
        <v>56012</v>
      </c>
      <c r="C36262" t="s">
        <v>14</v>
      </c>
      <c r="F36262" s="2" t="str">
        <f>HYPERLINK("http://www.otzar.org/book.asp?622350","קונטרס בירורים - 12 כר'")</f>
        <v>קונטרס בירורים - 12 כר'</v>
      </c>
    </row>
    <row r="36263" spans="1:6" x14ac:dyDescent="0.2">
      <c r="A36263" t="s">
        <v>56013</v>
      </c>
      <c r="B36263" t="s">
        <v>32742</v>
      </c>
      <c r="C36263" t="s">
        <v>985</v>
      </c>
      <c r="D36263" t="s">
        <v>2293</v>
      </c>
      <c r="F36263" s="2" t="str">
        <f>HYPERLINK("http://www.otzar.org/book.asp?158951","קונטרס בירורים")</f>
        <v>קונטרס בירורים</v>
      </c>
    </row>
    <row r="36264" spans="1:6" x14ac:dyDescent="0.2">
      <c r="A36264" t="s">
        <v>56014</v>
      </c>
      <c r="B36264" t="s">
        <v>56015</v>
      </c>
      <c r="C36264" t="s">
        <v>37</v>
      </c>
      <c r="D36264" t="s">
        <v>52</v>
      </c>
      <c r="F36264" s="2" t="str">
        <f>HYPERLINK("http://www.otzar.org/book.asp?606381","קונטרס בית אבותינו")</f>
        <v>קונטרס בית אבותינו</v>
      </c>
    </row>
    <row r="36265" spans="1:6" x14ac:dyDescent="0.2">
      <c r="A36265" t="s">
        <v>56016</v>
      </c>
      <c r="B36265" t="s">
        <v>56017</v>
      </c>
      <c r="C36265" t="s">
        <v>90</v>
      </c>
      <c r="D36265" t="s">
        <v>52</v>
      </c>
      <c r="E36265" t="s">
        <v>158</v>
      </c>
      <c r="F36265" s="2" t="str">
        <f>HYPERLINK("http://www.otzar.org/book.asp?630146","קונטרס בית אליעזר - 2 כר'")</f>
        <v>קונטרס בית אליעזר - 2 כר'</v>
      </c>
    </row>
    <row r="36266" spans="1:6" x14ac:dyDescent="0.2">
      <c r="A36266" t="s">
        <v>56018</v>
      </c>
      <c r="B36266" t="s">
        <v>56019</v>
      </c>
      <c r="C36266" t="s">
        <v>13</v>
      </c>
      <c r="D36266" t="s">
        <v>646</v>
      </c>
      <c r="E36266" t="s">
        <v>144</v>
      </c>
      <c r="F36266" s="2" t="str">
        <f>HYPERLINK("http://www.otzar.org/book.asp?166264","קונטרס בית דוד")</f>
        <v>קונטרס בית דוד</v>
      </c>
    </row>
    <row r="36267" spans="1:6" x14ac:dyDescent="0.2">
      <c r="A36267" t="s">
        <v>56020</v>
      </c>
      <c r="E36267" t="s">
        <v>2758</v>
      </c>
      <c r="F36267" s="2" t="str">
        <f>HYPERLINK("http://www.otzar.org/book.asp?626791","קונטרס בית האר""י")</f>
        <v>קונטרס בית האר"י</v>
      </c>
    </row>
    <row r="36268" spans="1:6" x14ac:dyDescent="0.2">
      <c r="A36268" t="s">
        <v>56021</v>
      </c>
      <c r="B36268" t="s">
        <v>56022</v>
      </c>
      <c r="C36268" t="s">
        <v>244</v>
      </c>
      <c r="D36268" t="s">
        <v>21</v>
      </c>
      <c r="E36268" t="s">
        <v>130</v>
      </c>
      <c r="F36268" s="2" t="str">
        <f>HYPERLINK("http://www.otzar.org/book.asp?196385","קונטרס בית היין")</f>
        <v>קונטרס בית היין</v>
      </c>
    </row>
    <row r="36269" spans="1:6" x14ac:dyDescent="0.2">
      <c r="A36269" t="s">
        <v>56023</v>
      </c>
      <c r="B36269" t="s">
        <v>10380</v>
      </c>
      <c r="C36269" t="s">
        <v>68</v>
      </c>
      <c r="D36269" t="s">
        <v>367</v>
      </c>
      <c r="E36269" t="s">
        <v>15</v>
      </c>
      <c r="F36269" s="2" t="str">
        <f>HYPERLINK("http://www.otzar.org/book.asp?168450","קונטרס בית הלחמי - לחמניות מזונות")</f>
        <v>קונטרס בית הלחמי - לחמניות מזונות</v>
      </c>
    </row>
    <row r="36270" spans="1:6" x14ac:dyDescent="0.2">
      <c r="A36270" t="s">
        <v>56024</v>
      </c>
      <c r="B36270" t="s">
        <v>206</v>
      </c>
      <c r="C36270" t="s">
        <v>37</v>
      </c>
      <c r="D36270" t="s">
        <v>21</v>
      </c>
      <c r="E36270" t="s">
        <v>15</v>
      </c>
      <c r="F36270" s="2" t="str">
        <f>HYPERLINK("http://www.otzar.org/book.asp?192318","קונטרס בית חיים")</f>
        <v>קונטרס בית חיים</v>
      </c>
    </row>
    <row r="36271" spans="1:6" x14ac:dyDescent="0.2">
      <c r="A36271" t="s">
        <v>56025</v>
      </c>
      <c r="B36271" t="s">
        <v>56026</v>
      </c>
      <c r="C36271" t="s">
        <v>989</v>
      </c>
      <c r="D36271" t="s">
        <v>52</v>
      </c>
      <c r="E36271" t="s">
        <v>202</v>
      </c>
      <c r="F36271" s="2" t="str">
        <f>HYPERLINK("http://www.otzar.org/book.asp?85296","קונטרס בית יהושע - 2 כר'")</f>
        <v>קונטרס בית יהושע - 2 כר'</v>
      </c>
    </row>
    <row r="36272" spans="1:6" x14ac:dyDescent="0.2">
      <c r="A36272" t="s">
        <v>56027</v>
      </c>
      <c r="B36272" t="s">
        <v>56028</v>
      </c>
      <c r="C36272" t="s">
        <v>523</v>
      </c>
      <c r="D36272" t="s">
        <v>52</v>
      </c>
      <c r="E36272" t="s">
        <v>140</v>
      </c>
      <c r="F36272" s="2" t="str">
        <f>HYPERLINK("http://www.otzar.org/book.asp?196823","קונטרס בית יוסף להבה")</f>
        <v>קונטרס בית יוסף להבה</v>
      </c>
    </row>
    <row r="36273" spans="1:6" x14ac:dyDescent="0.2">
      <c r="A36273" t="s">
        <v>56029</v>
      </c>
      <c r="B36273" t="s">
        <v>10255</v>
      </c>
      <c r="C36273" t="s">
        <v>20</v>
      </c>
      <c r="D36273" t="s">
        <v>118</v>
      </c>
      <c r="E36273" t="s">
        <v>130</v>
      </c>
      <c r="F36273" s="2" t="str">
        <f>HYPERLINK("http://www.otzar.org/book.asp?148868","קונטרס בית יצחק - עניני ראש השנה")</f>
        <v>קונטרס בית יצחק - עניני ראש השנה</v>
      </c>
    </row>
    <row r="36274" spans="1:6" x14ac:dyDescent="0.2">
      <c r="A36274" t="s">
        <v>56030</v>
      </c>
      <c r="B36274" t="s">
        <v>552</v>
      </c>
      <c r="C36274" t="s">
        <v>133</v>
      </c>
      <c r="D36274" t="s">
        <v>52</v>
      </c>
      <c r="E36274" t="s">
        <v>674</v>
      </c>
      <c r="F36274" s="2" t="str">
        <f>HYPERLINK("http://www.otzar.org/book.asp?191715","קונטרס בית ישראל אהרן")</f>
        <v>קונטרס בית ישראל אהרן</v>
      </c>
    </row>
    <row r="36275" spans="1:6" x14ac:dyDescent="0.2">
      <c r="A36275" t="s">
        <v>56031</v>
      </c>
      <c r="B36275" t="s">
        <v>40267</v>
      </c>
      <c r="C36275" t="s">
        <v>37</v>
      </c>
      <c r="D36275" t="s">
        <v>14</v>
      </c>
      <c r="E36275" t="s">
        <v>15</v>
      </c>
      <c r="F36275" s="2" t="str">
        <f>HYPERLINK("http://www.otzar.org/book.asp?603771","קונטרס בית מצודות")</f>
        <v>קונטרס בית מצודות</v>
      </c>
    </row>
    <row r="36276" spans="1:6" x14ac:dyDescent="0.2">
      <c r="A36276" t="s">
        <v>56032</v>
      </c>
      <c r="B36276" t="s">
        <v>56033</v>
      </c>
      <c r="C36276" t="s">
        <v>23</v>
      </c>
      <c r="D36276" t="s">
        <v>21</v>
      </c>
      <c r="E36276" t="s">
        <v>186</v>
      </c>
      <c r="F36276" s="2" t="str">
        <f>HYPERLINK("http://www.otzar.org/book.asp?600266","קונטרס בית נאמן - גיטין")</f>
        <v>קונטרס בית נאמן - גיטין</v>
      </c>
    </row>
    <row r="36277" spans="1:6" x14ac:dyDescent="0.2">
      <c r="A36277" t="s">
        <v>56034</v>
      </c>
      <c r="B36277" t="s">
        <v>56035</v>
      </c>
      <c r="C36277" t="s">
        <v>114</v>
      </c>
      <c r="D36277" t="s">
        <v>21</v>
      </c>
      <c r="E36277" t="s">
        <v>15</v>
      </c>
      <c r="F36277" s="2" t="str">
        <f>HYPERLINK("http://www.otzar.org/book.asp?606941","קונטרס בית עובד - הלכות תפילין")</f>
        <v>קונטרס בית עובד - הלכות תפילין</v>
      </c>
    </row>
    <row r="36278" spans="1:6" x14ac:dyDescent="0.2">
      <c r="A36278" t="s">
        <v>56036</v>
      </c>
      <c r="B36278" t="s">
        <v>56037</v>
      </c>
      <c r="C36278" t="s">
        <v>189</v>
      </c>
      <c r="D36278" t="s">
        <v>486</v>
      </c>
      <c r="E36278" t="s">
        <v>119</v>
      </c>
      <c r="F36278" s="2" t="str">
        <f>HYPERLINK("http://www.otzar.org/book.asp?149846","קונטרס בית צדיקים יעמוד - 10 כר'")</f>
        <v>קונטרס בית צדיקים יעמוד - 10 כר'</v>
      </c>
    </row>
    <row r="36279" spans="1:6" x14ac:dyDescent="0.2">
      <c r="A36279" t="s">
        <v>56038</v>
      </c>
      <c r="B36279" t="s">
        <v>56039</v>
      </c>
      <c r="C36279" t="s">
        <v>133</v>
      </c>
      <c r="D36279" t="s">
        <v>2531</v>
      </c>
      <c r="E36279" t="s">
        <v>15</v>
      </c>
      <c r="F36279" s="2" t="str">
        <f>HYPERLINK("http://www.otzar.org/book.asp?627245","קונטרס בית קטן")</f>
        <v>קונטרס בית קטן</v>
      </c>
    </row>
    <row r="36280" spans="1:6" x14ac:dyDescent="0.2">
      <c r="A36280" t="s">
        <v>56040</v>
      </c>
      <c r="B36280" t="s">
        <v>1005</v>
      </c>
      <c r="C36280" t="s">
        <v>313</v>
      </c>
      <c r="D36280" t="s">
        <v>52</v>
      </c>
      <c r="E36280" t="s">
        <v>202</v>
      </c>
      <c r="F36280" s="2" t="str">
        <f>HYPERLINK("http://www.otzar.org/book.asp?63420","קונטרס בית רינה")</f>
        <v>קונטרס בית רינה</v>
      </c>
    </row>
    <row r="36281" spans="1:6" x14ac:dyDescent="0.2">
      <c r="A36281" t="s">
        <v>56041</v>
      </c>
      <c r="B36281" t="s">
        <v>2688</v>
      </c>
      <c r="C36281" t="s">
        <v>1448</v>
      </c>
      <c r="D36281" t="s">
        <v>412</v>
      </c>
      <c r="E36281" t="s">
        <v>15</v>
      </c>
      <c r="F36281" s="2" t="str">
        <f>HYPERLINK("http://www.otzar.org/book.asp?160602","קונטרס בית שרה")</f>
        <v>קונטרס בית שרה</v>
      </c>
    </row>
    <row r="36282" spans="1:6" x14ac:dyDescent="0.2">
      <c r="A36282" t="s">
        <v>56042</v>
      </c>
      <c r="B36282" t="s">
        <v>56043</v>
      </c>
      <c r="C36282" t="s">
        <v>23</v>
      </c>
      <c r="D36282" t="s">
        <v>2867</v>
      </c>
      <c r="E36282" t="s">
        <v>202</v>
      </c>
      <c r="F36282" s="2" t="str">
        <f>HYPERLINK("http://www.otzar.org/book.asp?193281","קונטרס בך אתפאר")</f>
        <v>קונטרס בך אתפאר</v>
      </c>
    </row>
    <row r="36283" spans="1:6" x14ac:dyDescent="0.2">
      <c r="A36283" t="s">
        <v>56044</v>
      </c>
      <c r="B36283" t="s">
        <v>56045</v>
      </c>
      <c r="C36283" t="s">
        <v>189</v>
      </c>
      <c r="D36283" t="s">
        <v>90</v>
      </c>
      <c r="F36283" s="2" t="str">
        <f>HYPERLINK("http://www.otzar.org/book.asp?613220","קונטרס בך יברך ישראל")</f>
        <v>קונטרס בך יברך ישראל</v>
      </c>
    </row>
    <row r="36284" spans="1:6" x14ac:dyDescent="0.2">
      <c r="A36284" t="s">
        <v>56046</v>
      </c>
      <c r="B36284" t="s">
        <v>56047</v>
      </c>
      <c r="C36284" t="s">
        <v>20</v>
      </c>
      <c r="D36284" t="s">
        <v>52</v>
      </c>
      <c r="E36284" t="s">
        <v>144</v>
      </c>
      <c r="F36284" s="2" t="str">
        <f>HYPERLINK("http://www.otzar.org/book.asp?624958","קונטרס בכורי צבי - בכורות")</f>
        <v>קונטרס בכורי צבי - בכורות</v>
      </c>
    </row>
    <row r="36285" spans="1:6" x14ac:dyDescent="0.2">
      <c r="A36285" t="s">
        <v>56048</v>
      </c>
      <c r="B36285" t="s">
        <v>56049</v>
      </c>
      <c r="C36285" t="s">
        <v>133</v>
      </c>
      <c r="D36285" t="s">
        <v>14</v>
      </c>
      <c r="E36285" t="s">
        <v>3915</v>
      </c>
      <c r="F36285" s="2" t="str">
        <f>HYPERLINK("http://www.otzar.org/book.asp?171102","קונטרס בכל דרכיך דעהו")</f>
        <v>קונטרס בכל דרכיך דעהו</v>
      </c>
    </row>
    <row r="36286" spans="1:6" x14ac:dyDescent="0.2">
      <c r="A36286" t="s">
        <v>56050</v>
      </c>
      <c r="B36286" t="s">
        <v>9683</v>
      </c>
      <c r="C36286" t="s">
        <v>523</v>
      </c>
      <c r="D36286" t="s">
        <v>14</v>
      </c>
      <c r="E36286" t="s">
        <v>144</v>
      </c>
      <c r="F36286" s="2" t="str">
        <f>HYPERLINK("http://www.otzar.org/book.asp?180780","קונטרס בכל נפשך")</f>
        <v>קונטרס בכל נפשך</v>
      </c>
    </row>
    <row r="36287" spans="1:6" x14ac:dyDescent="0.2">
      <c r="A36287" t="s">
        <v>56051</v>
      </c>
      <c r="B36287" t="s">
        <v>5293</v>
      </c>
      <c r="C36287" t="s">
        <v>189</v>
      </c>
      <c r="D36287" t="s">
        <v>21</v>
      </c>
      <c r="E36287" t="s">
        <v>241</v>
      </c>
      <c r="F36287" s="2" t="str">
        <f>HYPERLINK("http://www.otzar.org/book.asp?197835","קונטרס בכל עת יהיו בגדיך לבנים")</f>
        <v>קונטרס בכל עת יהיו בגדיך לבנים</v>
      </c>
    </row>
    <row r="36288" spans="1:6" x14ac:dyDescent="0.2">
      <c r="A36288" t="s">
        <v>56052</v>
      </c>
      <c r="B36288" t="s">
        <v>7666</v>
      </c>
      <c r="C36288" t="s">
        <v>411</v>
      </c>
      <c r="D36288" t="s">
        <v>423</v>
      </c>
      <c r="E36288" t="s">
        <v>2840</v>
      </c>
      <c r="F36288" s="2" t="str">
        <f>HYPERLINK("http://www.otzar.org/book.asp?193686","קונטרס בכתם פז")</f>
        <v>קונטרס בכתם פז</v>
      </c>
    </row>
    <row r="36289" spans="1:6" x14ac:dyDescent="0.2">
      <c r="A36289" t="s">
        <v>56053</v>
      </c>
      <c r="B36289" t="s">
        <v>1748</v>
      </c>
      <c r="C36289" t="s">
        <v>114</v>
      </c>
      <c r="D36289" t="s">
        <v>52</v>
      </c>
      <c r="E36289" t="s">
        <v>15</v>
      </c>
      <c r="F36289" s="2" t="str">
        <f>HYPERLINK("http://www.otzar.org/book.asp?180567","קונטרס בל תוסיף")</f>
        <v>קונטרס בל תוסיף</v>
      </c>
    </row>
    <row r="36290" spans="1:6" x14ac:dyDescent="0.2">
      <c r="A36290" t="s">
        <v>56054</v>
      </c>
      <c r="B36290" t="s">
        <v>56055</v>
      </c>
      <c r="C36290" t="s">
        <v>1811</v>
      </c>
      <c r="D36290" t="s">
        <v>52</v>
      </c>
      <c r="F36290" s="2" t="str">
        <f>HYPERLINK("http://www.otzar.org/book.asp?618973","קונטרס במוצאי שביעית")</f>
        <v>קונטרס במוצאי שביעית</v>
      </c>
    </row>
    <row r="36291" spans="1:6" x14ac:dyDescent="0.2">
      <c r="A36291" t="s">
        <v>56056</v>
      </c>
      <c r="B36291" t="s">
        <v>206</v>
      </c>
      <c r="C36291" t="s">
        <v>68</v>
      </c>
      <c r="D36291" t="s">
        <v>52</v>
      </c>
      <c r="E36291" t="s">
        <v>1211</v>
      </c>
      <c r="F36291" s="2" t="str">
        <f>HYPERLINK("http://www.otzar.org/book.asp?167465","קונטרס במילי דנזיקין לרבינו עקיבא איגר")</f>
        <v>קונטרס במילי דנזיקין לרבינו עקיבא איגר</v>
      </c>
    </row>
    <row r="36292" spans="1:6" x14ac:dyDescent="0.2">
      <c r="A36292" t="s">
        <v>56057</v>
      </c>
      <c r="B36292" t="s">
        <v>43903</v>
      </c>
      <c r="C36292" t="s">
        <v>466</v>
      </c>
      <c r="D36292" t="s">
        <v>52</v>
      </c>
      <c r="E36292" t="s">
        <v>144</v>
      </c>
      <c r="F36292" s="2" t="str">
        <f>HYPERLINK("http://www.otzar.org/book.asp?142535","קונטרס במילי דנזיקין")</f>
        <v>קונטרס במילי דנזיקין</v>
      </c>
    </row>
    <row r="36293" spans="1:6" x14ac:dyDescent="0.2">
      <c r="A36293" t="s">
        <v>56058</v>
      </c>
      <c r="B36293" t="s">
        <v>20593</v>
      </c>
      <c r="C36293" t="s">
        <v>313</v>
      </c>
      <c r="D36293" t="s">
        <v>52</v>
      </c>
      <c r="F36293" s="2" t="str">
        <f>HYPERLINK("http://www.otzar.org/book.asp?62978","קונטרס במילי דעירובין")</f>
        <v>קונטרס במילי דעירובין</v>
      </c>
    </row>
    <row r="36294" spans="1:6" x14ac:dyDescent="0.2">
      <c r="A36294" t="s">
        <v>56059</v>
      </c>
      <c r="B36294" t="s">
        <v>20593</v>
      </c>
      <c r="C36294" t="s">
        <v>17</v>
      </c>
      <c r="D36294" t="s">
        <v>52</v>
      </c>
      <c r="E36294" t="s">
        <v>15</v>
      </c>
      <c r="F36294" s="2" t="str">
        <f>HYPERLINK("http://www.otzar.org/book.asp?62979","קונטרס במילי דשבת ושביעית")</f>
        <v>קונטרס במילי דשבת ושביעית</v>
      </c>
    </row>
    <row r="36295" spans="1:6" x14ac:dyDescent="0.2">
      <c r="A36295" t="s">
        <v>56060</v>
      </c>
      <c r="B36295" t="s">
        <v>20593</v>
      </c>
      <c r="C36295" t="s">
        <v>51</v>
      </c>
      <c r="D36295" t="s">
        <v>52</v>
      </c>
      <c r="E36295" t="s">
        <v>144</v>
      </c>
      <c r="F36295" s="2" t="str">
        <f>HYPERLINK("http://www.otzar.org/book.asp?62980","קונטרס במילי חולין")</f>
        <v>קונטרס במילי חולין</v>
      </c>
    </row>
    <row r="36296" spans="1:6" x14ac:dyDescent="0.2">
      <c r="A36296" t="s">
        <v>56061</v>
      </c>
      <c r="B36296" t="s">
        <v>56062</v>
      </c>
      <c r="C36296" t="s">
        <v>366</v>
      </c>
      <c r="D36296" t="s">
        <v>52</v>
      </c>
      <c r="F36296" s="2" t="str">
        <f>HYPERLINK("http://www.otzar.org/book.asp?616731","קונטרס במסכת יבמות")</f>
        <v>קונטרס במסכת יבמות</v>
      </c>
    </row>
    <row r="36297" spans="1:6" x14ac:dyDescent="0.2">
      <c r="A36297" t="s">
        <v>56063</v>
      </c>
      <c r="B36297" t="s">
        <v>49013</v>
      </c>
      <c r="C36297" t="s">
        <v>68</v>
      </c>
      <c r="D36297" t="s">
        <v>90</v>
      </c>
      <c r="E36297" t="s">
        <v>1211</v>
      </c>
      <c r="F36297" s="2" t="str">
        <f>HYPERLINK("http://www.otzar.org/book.asp?165095","קונטרס במצותיך האמנתי")</f>
        <v>קונטרס במצותיך האמנתי</v>
      </c>
    </row>
    <row r="36298" spans="1:6" x14ac:dyDescent="0.2">
      <c r="A36298" t="s">
        <v>56064</v>
      </c>
      <c r="B36298" t="s">
        <v>686</v>
      </c>
      <c r="C36298" t="s">
        <v>454</v>
      </c>
      <c r="D36298" t="s">
        <v>52</v>
      </c>
      <c r="E36298" t="s">
        <v>104</v>
      </c>
      <c r="F36298" s="2" t="str">
        <f>HYPERLINK("http://www.otzar.org/book.asp?84400","קונטרס במשך היבל - נחלי מים")</f>
        <v>קונטרס במשך היבל - נחלי מים</v>
      </c>
    </row>
    <row r="36299" spans="1:6" x14ac:dyDescent="0.2">
      <c r="A36299" t="s">
        <v>56065</v>
      </c>
      <c r="B36299" t="s">
        <v>7122</v>
      </c>
      <c r="C36299" t="s">
        <v>23</v>
      </c>
      <c r="D36299" t="s">
        <v>52</v>
      </c>
      <c r="E36299" t="s">
        <v>158</v>
      </c>
      <c r="F36299" s="2" t="str">
        <f>HYPERLINK("http://www.otzar.org/book.asp?621253","קונטרס בן אמתיך")</f>
        <v>קונטרס בן אמתיך</v>
      </c>
    </row>
    <row r="36300" spans="1:6" x14ac:dyDescent="0.2">
      <c r="A36300" t="s">
        <v>56066</v>
      </c>
      <c r="B36300" t="s">
        <v>56067</v>
      </c>
      <c r="C36300" t="s">
        <v>68</v>
      </c>
      <c r="D36300" t="s">
        <v>52</v>
      </c>
      <c r="E36300" t="s">
        <v>15</v>
      </c>
      <c r="F36300" s="2" t="str">
        <f>HYPERLINK("http://www.otzar.org/book.asp?165089","קונטרס בן י""ג למצוות")</f>
        <v>קונטרס בן י"ג למצוות</v>
      </c>
    </row>
    <row r="36301" spans="1:6" x14ac:dyDescent="0.2">
      <c r="A36301" t="s">
        <v>56068</v>
      </c>
      <c r="B36301" t="s">
        <v>17508</v>
      </c>
      <c r="C36301" t="s">
        <v>454</v>
      </c>
      <c r="D36301" t="s">
        <v>14</v>
      </c>
      <c r="E36301" t="s">
        <v>241</v>
      </c>
      <c r="F36301" s="2" t="str">
        <f>HYPERLINK("http://www.otzar.org/book.asp?189020","קונטרס בן יכבד אב")</f>
        <v>קונטרס בן יכבד אב</v>
      </c>
    </row>
    <row r="36302" spans="1:6" x14ac:dyDescent="0.2">
      <c r="A36302" t="s">
        <v>56069</v>
      </c>
      <c r="B36302" t="s">
        <v>56070</v>
      </c>
      <c r="C36302" t="s">
        <v>103</v>
      </c>
      <c r="D36302" t="s">
        <v>52</v>
      </c>
      <c r="E36302" t="s">
        <v>144</v>
      </c>
      <c r="F36302" s="2" t="str">
        <f>HYPERLINK("http://www.otzar.org/book.asp?144508","קונטרס בן נח")</f>
        <v>קונטרס בן נח</v>
      </c>
    </row>
    <row r="36303" spans="1:6" x14ac:dyDescent="0.2">
      <c r="A36303" t="s">
        <v>56071</v>
      </c>
      <c r="B36303" t="s">
        <v>56072</v>
      </c>
      <c r="C36303" t="s">
        <v>13</v>
      </c>
      <c r="D36303" t="s">
        <v>14</v>
      </c>
      <c r="E36303" t="s">
        <v>144</v>
      </c>
      <c r="F36303" s="2" t="str">
        <f>HYPERLINK("http://www.otzar.org/book.asp?163100","קונטרס בנאות דשא")</f>
        <v>קונטרס בנאות דשא</v>
      </c>
    </row>
    <row r="36304" spans="1:6" x14ac:dyDescent="0.2">
      <c r="A36304" t="s">
        <v>56071</v>
      </c>
      <c r="B36304" t="s">
        <v>5082</v>
      </c>
      <c r="C36304" t="s">
        <v>244</v>
      </c>
      <c r="D36304" t="s">
        <v>412</v>
      </c>
      <c r="F36304" s="2" t="str">
        <f>HYPERLINK("http://www.otzar.org/book.asp?612528","קונטרס בנאות דשא")</f>
        <v>קונטרס בנאות דשא</v>
      </c>
    </row>
    <row r="36305" spans="1:6" x14ac:dyDescent="0.2">
      <c r="A36305" t="s">
        <v>56071</v>
      </c>
      <c r="B36305" t="s">
        <v>6486</v>
      </c>
      <c r="C36305" t="s">
        <v>313</v>
      </c>
      <c r="D36305" t="s">
        <v>986</v>
      </c>
      <c r="E36305" t="s">
        <v>741</v>
      </c>
      <c r="F36305" s="2" t="str">
        <f>HYPERLINK("http://www.otzar.org/book.asp?153929","קונטרס בנאות דשא")</f>
        <v>קונטרס בנאות דשא</v>
      </c>
    </row>
    <row r="36306" spans="1:6" x14ac:dyDescent="0.2">
      <c r="A36306" t="s">
        <v>56073</v>
      </c>
      <c r="B36306" t="s">
        <v>56074</v>
      </c>
      <c r="C36306" t="s">
        <v>244</v>
      </c>
      <c r="D36306" t="s">
        <v>14</v>
      </c>
      <c r="E36306" t="s">
        <v>130</v>
      </c>
      <c r="F36306" s="2" t="str">
        <f>HYPERLINK("http://www.otzar.org/book.asp?196807","קונטרס בנות ירושלים")</f>
        <v>קונטרס בנות ירושלים</v>
      </c>
    </row>
    <row r="36307" spans="1:6" x14ac:dyDescent="0.2">
      <c r="A36307" t="s">
        <v>56075</v>
      </c>
      <c r="B36307" t="s">
        <v>10824</v>
      </c>
      <c r="C36307" t="s">
        <v>114</v>
      </c>
      <c r="D36307" t="s">
        <v>52</v>
      </c>
      <c r="E36307" t="s">
        <v>241</v>
      </c>
      <c r="F36307" s="2" t="str">
        <f>HYPERLINK("http://www.otzar.org/book.asp?608125","קונטרס בני אלים")</f>
        <v>קונטרס בני אלים</v>
      </c>
    </row>
    <row r="36308" spans="1:6" x14ac:dyDescent="0.2">
      <c r="A36308" t="s">
        <v>56076</v>
      </c>
      <c r="B36308" t="s">
        <v>56077</v>
      </c>
      <c r="C36308" t="s">
        <v>13</v>
      </c>
      <c r="D36308" t="s">
        <v>14</v>
      </c>
      <c r="F36308" s="2" t="str">
        <f>HYPERLINK("http://www.otzar.org/book.asp?618505","קונטרס בני בינה - בענייני ימי החנוכה")</f>
        <v>קונטרס בני בינה - בענייני ימי החנוכה</v>
      </c>
    </row>
    <row r="36309" spans="1:6" x14ac:dyDescent="0.2">
      <c r="A36309" t="s">
        <v>56078</v>
      </c>
      <c r="B36309" t="s">
        <v>40017</v>
      </c>
      <c r="C36309" t="s">
        <v>422</v>
      </c>
      <c r="D36309" t="s">
        <v>14</v>
      </c>
      <c r="F36309" s="2" t="str">
        <f>HYPERLINK("http://www.otzar.org/book.asp?619652","קונטרס בני בכורי ישראל")</f>
        <v>קונטרס בני בכורי ישראל</v>
      </c>
    </row>
    <row r="36310" spans="1:6" x14ac:dyDescent="0.2">
      <c r="A36310" t="s">
        <v>56079</v>
      </c>
      <c r="B36310" t="s">
        <v>17919</v>
      </c>
      <c r="C36310" t="s">
        <v>37</v>
      </c>
      <c r="D36310" t="s">
        <v>52</v>
      </c>
      <c r="E36310" t="s">
        <v>241</v>
      </c>
      <c r="F36310" s="2" t="str">
        <f>HYPERLINK("http://www.otzar.org/book.asp?181607","קונטרס בני חביבי")</f>
        <v>קונטרס בני חביבי</v>
      </c>
    </row>
    <row r="36311" spans="1:6" x14ac:dyDescent="0.2">
      <c r="A36311" t="s">
        <v>56080</v>
      </c>
      <c r="B36311" t="s">
        <v>56081</v>
      </c>
      <c r="C36311" t="s">
        <v>896</v>
      </c>
      <c r="D36311" t="s">
        <v>5558</v>
      </c>
      <c r="E36311" t="s">
        <v>2098</v>
      </c>
      <c r="F36311" s="2" t="str">
        <f>HYPERLINK("http://www.otzar.org/book.asp?300592","קונטרס בני לוי")</f>
        <v>קונטרס בני לוי</v>
      </c>
    </row>
    <row r="36312" spans="1:6" x14ac:dyDescent="0.2">
      <c r="A36312" t="s">
        <v>56082</v>
      </c>
      <c r="B36312" t="s">
        <v>56083</v>
      </c>
      <c r="C36312" t="s">
        <v>20</v>
      </c>
      <c r="E36312" t="s">
        <v>241</v>
      </c>
      <c r="F36312" s="2" t="str">
        <f>HYPERLINK("http://www.otzar.org/book.asp?193087","קונטרס בני עליה - התמדה בתורה וחשיבותה")</f>
        <v>קונטרס בני עליה - התמדה בתורה וחשיבותה</v>
      </c>
    </row>
    <row r="36313" spans="1:6" x14ac:dyDescent="0.2">
      <c r="A36313" t="s">
        <v>56084</v>
      </c>
      <c r="B36313" t="s">
        <v>30102</v>
      </c>
      <c r="C36313" t="s">
        <v>20</v>
      </c>
      <c r="E36313" t="s">
        <v>15</v>
      </c>
      <c r="F36313" s="2" t="str">
        <f>HYPERLINK("http://www.otzar.org/book.asp?193086","קונטרס בני עליה - הוספת קרואים לס""ת")</f>
        <v>קונטרס בני עליה - הוספת קרואים לס"ת</v>
      </c>
    </row>
    <row r="36314" spans="1:6" x14ac:dyDescent="0.2">
      <c r="A36314" t="s">
        <v>56085</v>
      </c>
      <c r="B36314" t="s">
        <v>56086</v>
      </c>
      <c r="C36314" t="s">
        <v>68</v>
      </c>
      <c r="D36314" t="s">
        <v>90</v>
      </c>
      <c r="E36314" t="s">
        <v>241</v>
      </c>
      <c r="F36314" s="2" t="str">
        <f>HYPERLINK("http://www.otzar.org/book.asp?166358","קונטרס בני ראובן")</f>
        <v>קונטרס בני ראובן</v>
      </c>
    </row>
    <row r="36315" spans="1:6" x14ac:dyDescent="0.2">
      <c r="A36315" t="s">
        <v>56087</v>
      </c>
      <c r="B36315" t="s">
        <v>56088</v>
      </c>
      <c r="C36315" t="s">
        <v>114</v>
      </c>
      <c r="D36315" t="s">
        <v>14</v>
      </c>
      <c r="E36315" t="s">
        <v>172</v>
      </c>
      <c r="F36315" s="2" t="str">
        <f>HYPERLINK("http://www.otzar.org/book.asp?602881","קונטרס בנין אב")</f>
        <v>קונטרס בנין אב</v>
      </c>
    </row>
    <row r="36316" spans="1:6" x14ac:dyDescent="0.2">
      <c r="A36316" t="s">
        <v>56089</v>
      </c>
      <c r="B36316" t="s">
        <v>11294</v>
      </c>
      <c r="C36316" t="s">
        <v>23</v>
      </c>
      <c r="D36316" t="s">
        <v>152</v>
      </c>
      <c r="E36316" t="s">
        <v>144</v>
      </c>
      <c r="F36316" s="2" t="str">
        <f>HYPERLINK("http://www.otzar.org/book.asp?623463","קונטרס בנין חיים - 2 כר'")</f>
        <v>קונטרס בנין חיים - 2 כר'</v>
      </c>
    </row>
    <row r="36317" spans="1:6" x14ac:dyDescent="0.2">
      <c r="A36317" t="s">
        <v>56090</v>
      </c>
      <c r="B36317" t="s">
        <v>17068</v>
      </c>
      <c r="C36317" t="s">
        <v>146</v>
      </c>
      <c r="D36317" t="s">
        <v>14</v>
      </c>
      <c r="E36317" t="s">
        <v>803</v>
      </c>
      <c r="F36317" s="2" t="str">
        <f>HYPERLINK("http://www.otzar.org/book.asp?147577","קונטרס בסוגיא דחביצא")</f>
        <v>קונטרס בסוגיא דחביצא</v>
      </c>
    </row>
    <row r="36318" spans="1:6" x14ac:dyDescent="0.2">
      <c r="A36318" t="s">
        <v>56091</v>
      </c>
      <c r="B36318" t="s">
        <v>17068</v>
      </c>
      <c r="C36318" t="s">
        <v>146</v>
      </c>
      <c r="D36318" t="s">
        <v>14</v>
      </c>
      <c r="E36318" t="s">
        <v>144</v>
      </c>
      <c r="F36318" s="2" t="str">
        <f>HYPERLINK("http://www.otzar.org/book.asp?147578","קונטרס בסוגיא דמיטב")</f>
        <v>קונטרס בסוגיא דמיטב</v>
      </c>
    </row>
    <row r="36319" spans="1:6" x14ac:dyDescent="0.2">
      <c r="A36319" t="s">
        <v>56092</v>
      </c>
      <c r="B36319" t="s">
        <v>56093</v>
      </c>
      <c r="C36319" t="s">
        <v>20</v>
      </c>
      <c r="D36319" t="s">
        <v>14</v>
      </c>
      <c r="F36319" s="2" t="str">
        <f>HYPERLINK("http://www.otzar.org/book.asp?197068","קונטרס בסוכות תשבו")</f>
        <v>קונטרס בסוכות תשבו</v>
      </c>
    </row>
    <row r="36320" spans="1:6" x14ac:dyDescent="0.2">
      <c r="A36320" t="s">
        <v>56094</v>
      </c>
      <c r="B36320" t="s">
        <v>56095</v>
      </c>
      <c r="C36320" t="s">
        <v>20</v>
      </c>
      <c r="D36320" t="s">
        <v>90</v>
      </c>
      <c r="E36320" t="s">
        <v>230</v>
      </c>
      <c r="F36320" s="2" t="str">
        <f>HYPERLINK("http://www.otzar.org/book.asp?624887","קונטרס בספר חיי""ם")</f>
        <v>קונטרס בספר חיי"ם</v>
      </c>
    </row>
    <row r="36321" spans="1:6" x14ac:dyDescent="0.2">
      <c r="A36321" t="s">
        <v>56096</v>
      </c>
      <c r="B36321" t="s">
        <v>56097</v>
      </c>
      <c r="C36321" t="s">
        <v>366</v>
      </c>
      <c r="D36321" t="s">
        <v>1156</v>
      </c>
      <c r="F36321" s="2" t="str">
        <f>HYPERLINK("http://www.otzar.org/book.asp?610184","קונטרס בעי למהוי חסידא")</f>
        <v>קונטרס בעי למהוי חסידא</v>
      </c>
    </row>
    <row r="36322" spans="1:6" x14ac:dyDescent="0.2">
      <c r="A36322" t="s">
        <v>56098</v>
      </c>
      <c r="B36322" t="s">
        <v>20373</v>
      </c>
      <c r="C36322" t="s">
        <v>20</v>
      </c>
      <c r="D36322" t="s">
        <v>90</v>
      </c>
      <c r="E36322" t="s">
        <v>213</v>
      </c>
      <c r="F36322" s="2" t="str">
        <f>HYPERLINK("http://www.otzar.org/book.asp?627545","קונטרס בעיות זמנינו - 2 כר'")</f>
        <v>קונטרס בעיות זמנינו - 2 כר'</v>
      </c>
    </row>
    <row r="36323" spans="1:6" x14ac:dyDescent="0.2">
      <c r="A36323" t="s">
        <v>56099</v>
      </c>
      <c r="B36323" t="s">
        <v>55917</v>
      </c>
      <c r="C36323" t="s">
        <v>56100</v>
      </c>
      <c r="D36323" t="s">
        <v>152</v>
      </c>
      <c r="E36323" t="s">
        <v>144</v>
      </c>
      <c r="F36323" s="2" t="str">
        <f>HYPERLINK("http://www.otzar.org/book.asp?153826","קונטרס בעלות וזכיה באיסורי הנאה")</f>
        <v>קונטרס בעלות וזכיה באיסורי הנאה</v>
      </c>
    </row>
    <row r="36324" spans="1:6" x14ac:dyDescent="0.2">
      <c r="A36324" t="s">
        <v>56101</v>
      </c>
      <c r="B36324" t="s">
        <v>14157</v>
      </c>
      <c r="C36324" t="s">
        <v>37</v>
      </c>
      <c r="D36324" t="s">
        <v>147</v>
      </c>
      <c r="E36324" t="s">
        <v>15</v>
      </c>
      <c r="F36324" s="2" t="str">
        <f>HYPERLINK("http://www.otzar.org/book.asp?194302","קונטרס בעמדם יעמודו")</f>
        <v>קונטרס בעמדם יעמודו</v>
      </c>
    </row>
    <row r="36325" spans="1:6" x14ac:dyDescent="0.2">
      <c r="A36325" t="s">
        <v>56102</v>
      </c>
      <c r="B36325" t="s">
        <v>56103</v>
      </c>
      <c r="C36325" t="s">
        <v>133</v>
      </c>
      <c r="D36325" t="s">
        <v>52</v>
      </c>
      <c r="E36325" t="s">
        <v>104</v>
      </c>
      <c r="F36325" s="2" t="str">
        <f>HYPERLINK("http://www.otzar.org/book.asp?175432","קונטרס בעניין  קדימת תדיר ומקודש")</f>
        <v>קונטרס בעניין  קדימת תדיר ומקודש</v>
      </c>
    </row>
    <row r="36326" spans="1:6" x14ac:dyDescent="0.2">
      <c r="A36326" t="s">
        <v>56104</v>
      </c>
      <c r="B36326" t="s">
        <v>51060</v>
      </c>
      <c r="C36326" t="s">
        <v>151</v>
      </c>
      <c r="D36326" t="s">
        <v>52</v>
      </c>
      <c r="E36326" t="s">
        <v>579</v>
      </c>
      <c r="F36326" s="2" t="str">
        <f>HYPERLINK("http://www.otzar.org/book.asp?615080","קונטרס בעניין מקדש וכליו")</f>
        <v>קונטרס בעניין מקדש וכליו</v>
      </c>
    </row>
    <row r="36327" spans="1:6" x14ac:dyDescent="0.2">
      <c r="A36327" t="s">
        <v>56105</v>
      </c>
      <c r="B36327" t="s">
        <v>206</v>
      </c>
      <c r="C36327" t="s">
        <v>422</v>
      </c>
      <c r="D36327" t="s">
        <v>90</v>
      </c>
      <c r="E36327" t="s">
        <v>213</v>
      </c>
      <c r="F36327" s="2" t="str">
        <f>HYPERLINK("http://www.otzar.org/book.asp?614882","קונטרס בעניין פאה נוכרית")</f>
        <v>קונטרס בעניין פאה נוכרית</v>
      </c>
    </row>
    <row r="36328" spans="1:6" x14ac:dyDescent="0.2">
      <c r="A36328" t="s">
        <v>56106</v>
      </c>
      <c r="B36328" t="s">
        <v>2728</v>
      </c>
      <c r="C36328" t="s">
        <v>111</v>
      </c>
      <c r="D36328" t="s">
        <v>14</v>
      </c>
      <c r="E36328" t="s">
        <v>246</v>
      </c>
      <c r="F36328" s="2" t="str">
        <f>HYPERLINK("http://www.otzar.org/book.asp?631197","קונטרס בענייני אכילת מצה ולחם משנה")</f>
        <v>קונטרס בענייני אכילת מצה ולחם משנה</v>
      </c>
    </row>
    <row r="36329" spans="1:6" x14ac:dyDescent="0.2">
      <c r="A36329" t="s">
        <v>56107</v>
      </c>
      <c r="B36329" t="s">
        <v>1248</v>
      </c>
      <c r="C36329" t="s">
        <v>366</v>
      </c>
      <c r="D36329" t="s">
        <v>80</v>
      </c>
      <c r="F36329" s="2" t="str">
        <f>HYPERLINK("http://www.otzar.org/book.asp?610187","קונטרס בענייני בורר ולש")</f>
        <v>קונטרס בענייני בורר ולש</v>
      </c>
    </row>
    <row r="36330" spans="1:6" x14ac:dyDescent="0.2">
      <c r="A36330" t="s">
        <v>56108</v>
      </c>
      <c r="B36330" t="s">
        <v>28250</v>
      </c>
      <c r="C36330" t="s">
        <v>13</v>
      </c>
      <c r="D36330" t="s">
        <v>14</v>
      </c>
      <c r="E36330" t="s">
        <v>144</v>
      </c>
      <c r="F36330" s="2" t="str">
        <f>HYPERLINK("http://www.otzar.org/book.asp?61371","קונטרס בענייני זיקה")</f>
        <v>קונטרס בענייני זיקה</v>
      </c>
    </row>
    <row r="36331" spans="1:6" x14ac:dyDescent="0.2">
      <c r="A36331" t="s">
        <v>56109</v>
      </c>
      <c r="B36331" t="s">
        <v>1010</v>
      </c>
      <c r="C36331" t="s">
        <v>20</v>
      </c>
      <c r="D36331" t="s">
        <v>1156</v>
      </c>
      <c r="F36331" s="2" t="str">
        <f>HYPERLINK("http://www.otzar.org/book.asp?198642","קונטרס בענייני חג הסוכות")</f>
        <v>קונטרס בענייני חג הסוכות</v>
      </c>
    </row>
    <row r="36332" spans="1:6" x14ac:dyDescent="0.2">
      <c r="A36332" t="s">
        <v>56110</v>
      </c>
      <c r="B36332" t="s">
        <v>56111</v>
      </c>
      <c r="C36332" t="s">
        <v>111</v>
      </c>
      <c r="D36332" t="s">
        <v>90</v>
      </c>
      <c r="E36332" t="s">
        <v>15</v>
      </c>
      <c r="F36332" s="2" t="str">
        <f>HYPERLINK("http://www.otzar.org/book.asp?629840","קונטרס בענייני יחוד")</f>
        <v>קונטרס בענייני יחוד</v>
      </c>
    </row>
    <row r="36333" spans="1:6" x14ac:dyDescent="0.2">
      <c r="A36333" t="s">
        <v>56112</v>
      </c>
      <c r="B36333" t="s">
        <v>56113</v>
      </c>
      <c r="C36333" t="s">
        <v>176</v>
      </c>
      <c r="D36333" t="s">
        <v>52</v>
      </c>
      <c r="E36333" t="s">
        <v>3489</v>
      </c>
      <c r="F36333" s="2" t="str">
        <f>HYPERLINK("http://www.otzar.org/book.asp?167791","קונטרס בענייני נטילת ידים במסכת ידים")</f>
        <v>קונטרס בענייני נטילת ידים במסכת ידים</v>
      </c>
    </row>
    <row r="36334" spans="1:6" x14ac:dyDescent="0.2">
      <c r="A36334" t="s">
        <v>56114</v>
      </c>
      <c r="B36334" t="s">
        <v>41343</v>
      </c>
      <c r="C36334" t="s">
        <v>146</v>
      </c>
      <c r="D36334" t="s">
        <v>14</v>
      </c>
      <c r="E36334" t="s">
        <v>15</v>
      </c>
      <c r="F36334" s="2" t="str">
        <f>HYPERLINK("http://www.otzar.org/book.asp?145585","קונטרס בענייני עירוי והכשרת משטחי שיש &lt;לפסח ולכל ימות השנה&gt;")</f>
        <v>קונטרס בענייני עירוי והכשרת משטחי שיש &lt;לפסח ולכל ימות השנה&gt;</v>
      </c>
    </row>
    <row r="36335" spans="1:6" x14ac:dyDescent="0.2">
      <c r="A36335" t="s">
        <v>56115</v>
      </c>
      <c r="B36335" t="s">
        <v>56116</v>
      </c>
      <c r="C36335" t="s">
        <v>51</v>
      </c>
      <c r="D36335" t="s">
        <v>1356</v>
      </c>
      <c r="E36335" t="s">
        <v>246</v>
      </c>
      <c r="F36335" s="2" t="str">
        <f>HYPERLINK("http://www.otzar.org/book.asp?628054","קונטרס בענייני פורים")</f>
        <v>קונטרס בענייני פורים</v>
      </c>
    </row>
    <row r="36336" spans="1:6" x14ac:dyDescent="0.2">
      <c r="A36336" t="s">
        <v>56117</v>
      </c>
      <c r="B36336" t="s">
        <v>51060</v>
      </c>
      <c r="C36336" t="s">
        <v>366</v>
      </c>
      <c r="D36336" t="s">
        <v>80</v>
      </c>
      <c r="E36336" t="s">
        <v>144</v>
      </c>
      <c r="F36336" s="2" t="str">
        <f>HYPERLINK("http://www.otzar.org/book.asp?606867","קונטרס בענייני קדימה במצוות")</f>
        <v>קונטרס בענייני קדימה במצוות</v>
      </c>
    </row>
    <row r="36337" spans="1:6" x14ac:dyDescent="0.2">
      <c r="A36337" t="s">
        <v>56118</v>
      </c>
      <c r="B36337" t="s">
        <v>8415</v>
      </c>
      <c r="C36337" t="s">
        <v>17</v>
      </c>
      <c r="D36337" t="s">
        <v>14</v>
      </c>
      <c r="E36337" t="s">
        <v>15</v>
      </c>
      <c r="F36337" s="2" t="str">
        <f>HYPERLINK("http://www.otzar.org/book.asp?148806","קונטרס בענייני שביעית")</f>
        <v>קונטרס בענייני שביעית</v>
      </c>
    </row>
    <row r="36338" spans="1:6" x14ac:dyDescent="0.2">
      <c r="A36338" t="s">
        <v>56119</v>
      </c>
      <c r="B36338" t="s">
        <v>206</v>
      </c>
      <c r="C36338" t="s">
        <v>20</v>
      </c>
      <c r="D36338" t="s">
        <v>90</v>
      </c>
      <c r="F36338" s="2" t="str">
        <f>HYPERLINK("http://www.otzar.org/book.asp?610283","קונטרס בענין אדני השדה")</f>
        <v>קונטרס בענין אדני השדה</v>
      </c>
    </row>
    <row r="36339" spans="1:6" x14ac:dyDescent="0.2">
      <c r="A36339" t="s">
        <v>56120</v>
      </c>
      <c r="B36339" t="s">
        <v>46325</v>
      </c>
      <c r="C36339" t="s">
        <v>20</v>
      </c>
      <c r="D36339" t="s">
        <v>21</v>
      </c>
      <c r="E36339" t="s">
        <v>130</v>
      </c>
      <c r="F36339" s="2" t="str">
        <f>HYPERLINK("http://www.otzar.org/book.asp?197755","קונטרס בענין אהל")</f>
        <v>קונטרס בענין אהל</v>
      </c>
    </row>
    <row r="36340" spans="1:6" x14ac:dyDescent="0.2">
      <c r="A36340" t="s">
        <v>56121</v>
      </c>
      <c r="B36340" t="s">
        <v>56122</v>
      </c>
      <c r="C36340" t="s">
        <v>422</v>
      </c>
      <c r="D36340" t="s">
        <v>90</v>
      </c>
      <c r="E36340" t="s">
        <v>15</v>
      </c>
      <c r="F36340" s="2" t="str">
        <f>HYPERLINK("http://www.otzar.org/book.asp?630062","קונטרס בענין אחד מל והשני פורע")</f>
        <v>קונטרס בענין אחד מל והשני פורע</v>
      </c>
    </row>
    <row r="36341" spans="1:6" x14ac:dyDescent="0.2">
      <c r="A36341" t="s">
        <v>56123</v>
      </c>
      <c r="B36341" t="s">
        <v>37858</v>
      </c>
      <c r="C36341" t="s">
        <v>20</v>
      </c>
      <c r="D36341" t="s">
        <v>21</v>
      </c>
      <c r="E36341" t="s">
        <v>130</v>
      </c>
      <c r="F36341" s="2" t="str">
        <f>HYPERLINK("http://www.otzar.org/book.asp?608164","קונטרס בענין אכילת מצה")</f>
        <v>קונטרס בענין אכילת מצה</v>
      </c>
    </row>
    <row r="36342" spans="1:6" x14ac:dyDescent="0.2">
      <c r="A36342" t="s">
        <v>56124</v>
      </c>
      <c r="B36342" t="s">
        <v>34756</v>
      </c>
      <c r="C36342" t="s">
        <v>13</v>
      </c>
      <c r="D36342" t="s">
        <v>14</v>
      </c>
      <c r="E36342" t="s">
        <v>15</v>
      </c>
      <c r="F36342" s="2" t="str">
        <f>HYPERLINK("http://www.otzar.org/book.asp?150990","קונטרס בענין אמירה לעכו""ם בשביעית")</f>
        <v>קונטרס בענין אמירה לעכו"ם בשביעית</v>
      </c>
    </row>
    <row r="36343" spans="1:6" x14ac:dyDescent="0.2">
      <c r="A36343" t="s">
        <v>56125</v>
      </c>
      <c r="B36343" t="s">
        <v>206</v>
      </c>
      <c r="C36343" t="s">
        <v>37</v>
      </c>
      <c r="D36343" t="s">
        <v>152</v>
      </c>
      <c r="F36343" s="2" t="str">
        <f>HYPERLINK("http://www.otzar.org/book.asp?198520","קונטרס בענין גידולי נכרי בשביעית")</f>
        <v>קונטרס בענין גידולי נכרי בשביעית</v>
      </c>
    </row>
    <row r="36344" spans="1:6" x14ac:dyDescent="0.2">
      <c r="A36344" t="s">
        <v>56126</v>
      </c>
      <c r="B36344" t="s">
        <v>56127</v>
      </c>
      <c r="C36344" t="s">
        <v>68</v>
      </c>
      <c r="D36344" t="s">
        <v>367</v>
      </c>
      <c r="E36344" t="s">
        <v>144</v>
      </c>
      <c r="F36344" s="2" t="str">
        <f>HYPERLINK("http://www.otzar.org/book.asp?151900","קונטרס בענין גלות וערי מקלט")</f>
        <v>קונטרס בענין גלות וערי מקלט</v>
      </c>
    </row>
    <row r="36345" spans="1:6" x14ac:dyDescent="0.2">
      <c r="A36345" t="s">
        <v>56128</v>
      </c>
      <c r="B36345" t="s">
        <v>11294</v>
      </c>
      <c r="C36345" t="s">
        <v>68</v>
      </c>
      <c r="D36345" t="s">
        <v>152</v>
      </c>
      <c r="E36345" t="s">
        <v>424</v>
      </c>
      <c r="F36345" s="2" t="str">
        <f>HYPERLINK("http://www.otzar.org/book.asp?170026","קונטרס בענין גר שנתגייר כקטן שנולד דמי")</f>
        <v>קונטרס בענין גר שנתגייר כקטן שנולד דמי</v>
      </c>
    </row>
    <row r="36346" spans="1:6" x14ac:dyDescent="0.2">
      <c r="A36346" t="s">
        <v>56129</v>
      </c>
      <c r="B36346" t="s">
        <v>9506</v>
      </c>
      <c r="C36346" t="s">
        <v>20</v>
      </c>
      <c r="D36346" t="s">
        <v>52</v>
      </c>
      <c r="E36346" t="s">
        <v>803</v>
      </c>
      <c r="F36346" s="2" t="str">
        <f>HYPERLINK("http://www.otzar.org/book.asp?195132","קונטרס בענין גרמא וכח כוחו")</f>
        <v>קונטרס בענין גרמא וכח כוחו</v>
      </c>
    </row>
    <row r="36347" spans="1:6" x14ac:dyDescent="0.2">
      <c r="A36347" t="s">
        <v>56130</v>
      </c>
      <c r="B36347" t="s">
        <v>56131</v>
      </c>
      <c r="C36347" t="s">
        <v>111</v>
      </c>
      <c r="D36347" t="s">
        <v>412</v>
      </c>
      <c r="E36347" t="s">
        <v>15</v>
      </c>
      <c r="F36347" s="2" t="str">
        <f>HYPERLINK("http://www.otzar.org/book.asp?627267","קונטרס בענין הנחת תפילין דר""ת")</f>
        <v>קונטרס בענין הנחת תפילין דר"ת</v>
      </c>
    </row>
    <row r="36348" spans="1:6" x14ac:dyDescent="0.2">
      <c r="A36348" t="s">
        <v>56132</v>
      </c>
      <c r="B36348" t="s">
        <v>19060</v>
      </c>
      <c r="C36348" t="s">
        <v>533</v>
      </c>
      <c r="D36348" t="s">
        <v>14</v>
      </c>
      <c r="E36348" t="s">
        <v>15</v>
      </c>
      <c r="F36348" s="2" t="str">
        <f>HYPERLINK("http://www.otzar.org/book.asp?84953","קונטרס בענין הפרשת תרו""מ")</f>
        <v>קונטרס בענין הפרשת תרו"מ</v>
      </c>
    </row>
    <row r="36349" spans="1:6" x14ac:dyDescent="0.2">
      <c r="A36349" t="s">
        <v>56133</v>
      </c>
      <c r="B36349" t="s">
        <v>48502</v>
      </c>
      <c r="C36349" t="s">
        <v>23</v>
      </c>
      <c r="D36349" t="s">
        <v>152</v>
      </c>
      <c r="E36349" t="s">
        <v>241</v>
      </c>
      <c r="F36349" s="2" t="str">
        <f>HYPERLINK("http://www.otzar.org/book.asp?191164","קונטרס בענין השגחה פרטית ובטחון")</f>
        <v>קונטרס בענין השגחה פרטית ובטחון</v>
      </c>
    </row>
    <row r="36350" spans="1:6" x14ac:dyDescent="0.2">
      <c r="A36350" t="s">
        <v>56134</v>
      </c>
      <c r="B36350" t="s">
        <v>49198</v>
      </c>
      <c r="C36350" t="s">
        <v>306</v>
      </c>
      <c r="D36350" t="s">
        <v>1422</v>
      </c>
      <c r="E36350" t="s">
        <v>154</v>
      </c>
      <c r="F36350" s="2" t="str">
        <f>HYPERLINK("http://www.otzar.org/book.asp?28538","קונטרס בענין השנות הבימה")</f>
        <v>קונטרס בענין השנות הבימה</v>
      </c>
    </row>
    <row r="36351" spans="1:6" x14ac:dyDescent="0.2">
      <c r="A36351" t="s">
        <v>56135</v>
      </c>
      <c r="B36351" t="s">
        <v>25848</v>
      </c>
      <c r="E36351" t="s">
        <v>144</v>
      </c>
      <c r="F36351" s="2" t="str">
        <f>HYPERLINK("http://www.otzar.org/book.asp?623711","קונטרס בענין זיקה")</f>
        <v>קונטרס בענין זיקה</v>
      </c>
    </row>
    <row r="36352" spans="1:6" x14ac:dyDescent="0.2">
      <c r="A36352" t="s">
        <v>56136</v>
      </c>
      <c r="B36352" t="s">
        <v>56137</v>
      </c>
      <c r="C36352" t="s">
        <v>20</v>
      </c>
      <c r="D36352" t="s">
        <v>90</v>
      </c>
      <c r="F36352" s="2" t="str">
        <f>HYPERLINK("http://www.otzar.org/book.asp?620355","קונטרס בענין זמן ר""ת")</f>
        <v>קונטרס בענין זמן ר"ת</v>
      </c>
    </row>
    <row r="36353" spans="1:6" x14ac:dyDescent="0.2">
      <c r="A36353" t="s">
        <v>56138</v>
      </c>
      <c r="B36353" t="s">
        <v>37858</v>
      </c>
      <c r="C36353" t="s">
        <v>244</v>
      </c>
      <c r="D36353" t="s">
        <v>21</v>
      </c>
      <c r="E36353" t="s">
        <v>144</v>
      </c>
      <c r="F36353" s="2" t="str">
        <f>HYPERLINK("http://www.otzar.org/book.asp?608174","קונטרס בענין חנ""נ")</f>
        <v>קונטרס בענין חנ"נ</v>
      </c>
    </row>
    <row r="36354" spans="1:6" x14ac:dyDescent="0.2">
      <c r="A36354" t="s">
        <v>56139</v>
      </c>
      <c r="B36354" t="s">
        <v>56140</v>
      </c>
      <c r="C36354" t="s">
        <v>23</v>
      </c>
      <c r="D36354" t="s">
        <v>52</v>
      </c>
      <c r="E36354" t="s">
        <v>104</v>
      </c>
      <c r="F36354" s="2" t="str">
        <f>HYPERLINK("http://www.otzar.org/book.asp?625501","קונטרס בענין ישמע אל נאקת העם ויענם")</f>
        <v>קונטרס בענין ישמע אל נאקת העם ויענם</v>
      </c>
    </row>
    <row r="36355" spans="1:6" x14ac:dyDescent="0.2">
      <c r="A36355" t="s">
        <v>56141</v>
      </c>
      <c r="B36355" t="s">
        <v>206</v>
      </c>
      <c r="C36355" t="s">
        <v>151</v>
      </c>
      <c r="D36355" t="s">
        <v>14</v>
      </c>
      <c r="F36355" s="2" t="str">
        <f>HYPERLINK("http://www.otzar.org/book.asp?615235","קונטרס בענין לא יחל דברו")</f>
        <v>קונטרס בענין לא יחל דברו</v>
      </c>
    </row>
    <row r="36356" spans="1:6" x14ac:dyDescent="0.2">
      <c r="A36356" t="s">
        <v>56142</v>
      </c>
      <c r="B36356" t="s">
        <v>56143</v>
      </c>
      <c r="C36356" t="s">
        <v>20</v>
      </c>
      <c r="D36356" t="s">
        <v>367</v>
      </c>
      <c r="F36356" s="2" t="str">
        <f>HYPERLINK("http://www.otzar.org/book.asp?610338","קונטרס בענין מוחזק ותפיסה")</f>
        <v>קונטרס בענין מוחזק ותפיסה</v>
      </c>
    </row>
    <row r="36357" spans="1:6" x14ac:dyDescent="0.2">
      <c r="A36357" t="s">
        <v>56144</v>
      </c>
      <c r="B36357" t="s">
        <v>55943</v>
      </c>
      <c r="C36357" t="s">
        <v>20</v>
      </c>
      <c r="D36357" t="s">
        <v>14</v>
      </c>
      <c r="E36357" t="s">
        <v>130</v>
      </c>
      <c r="F36357" s="2" t="str">
        <f>HYPERLINK("http://www.otzar.org/book.asp?158713","קונטרס בענין מלאכת צידה וחבלה בשבת")</f>
        <v>קונטרס בענין מלאכת צידה וחבלה בשבת</v>
      </c>
    </row>
    <row r="36358" spans="1:6" x14ac:dyDescent="0.2">
      <c r="A36358" t="s">
        <v>56145</v>
      </c>
      <c r="B36358" t="s">
        <v>56146</v>
      </c>
      <c r="C36358" t="s">
        <v>13</v>
      </c>
      <c r="D36358" t="s">
        <v>52</v>
      </c>
      <c r="E36358" t="s">
        <v>144</v>
      </c>
      <c r="F36358" s="2" t="str">
        <f>HYPERLINK("http://www.otzar.org/book.asp?191512","קונטרס בענין מלאת השנה")</f>
        <v>קונטרס בענין מלאת השנה</v>
      </c>
    </row>
    <row r="36359" spans="1:6" x14ac:dyDescent="0.2">
      <c r="A36359" t="s">
        <v>56147</v>
      </c>
      <c r="B36359" t="s">
        <v>8789</v>
      </c>
      <c r="C36359" t="s">
        <v>87</v>
      </c>
      <c r="D36359" t="s">
        <v>14</v>
      </c>
      <c r="E36359" t="s">
        <v>246</v>
      </c>
      <c r="F36359" s="2" t="str">
        <f>HYPERLINK("http://www.otzar.org/book.asp?603035","קונטרס בענין מצה ומרור")</f>
        <v>קונטרס בענין מצה ומרור</v>
      </c>
    </row>
    <row r="36360" spans="1:6" x14ac:dyDescent="0.2">
      <c r="A36360" t="s">
        <v>56148</v>
      </c>
      <c r="B36360" t="s">
        <v>56149</v>
      </c>
      <c r="C36360" t="s">
        <v>1268</v>
      </c>
      <c r="D36360" t="s">
        <v>412</v>
      </c>
      <c r="E36360" t="s">
        <v>130</v>
      </c>
      <c r="F36360" s="2" t="str">
        <f>HYPERLINK("http://www.otzar.org/book.asp?173417","קונטרס בענין מצות זכירת עמלק")</f>
        <v>קונטרס בענין מצות זכירת עמלק</v>
      </c>
    </row>
    <row r="36361" spans="1:6" x14ac:dyDescent="0.2">
      <c r="A36361" t="s">
        <v>56150</v>
      </c>
      <c r="B36361" t="s">
        <v>56151</v>
      </c>
      <c r="C36361" t="s">
        <v>366</v>
      </c>
      <c r="D36361" t="s">
        <v>412</v>
      </c>
      <c r="F36361" s="2" t="str">
        <f>HYPERLINK("http://www.otzar.org/book.asp?623243","קונטרס בענין מצות לא תחמוד")</f>
        <v>קונטרס בענין מצות לא תחמוד</v>
      </c>
    </row>
    <row r="36362" spans="1:6" x14ac:dyDescent="0.2">
      <c r="A36362" t="s">
        <v>56152</v>
      </c>
      <c r="B36362" t="s">
        <v>56153</v>
      </c>
      <c r="C36362" t="s">
        <v>411</v>
      </c>
      <c r="D36362" t="s">
        <v>52</v>
      </c>
      <c r="E36362" t="s">
        <v>104</v>
      </c>
      <c r="F36362" s="2" t="str">
        <f>HYPERLINK("http://www.otzar.org/book.asp?171646","קונטרס בענין מקום קו התאריך")</f>
        <v>קונטרס בענין מקום קו התאריך</v>
      </c>
    </row>
    <row r="36363" spans="1:6" x14ac:dyDescent="0.2">
      <c r="A36363" t="s">
        <v>56154</v>
      </c>
      <c r="B36363" t="s">
        <v>56155</v>
      </c>
      <c r="C36363" t="s">
        <v>146</v>
      </c>
      <c r="D36363" t="s">
        <v>1974</v>
      </c>
      <c r="E36363" t="s">
        <v>15</v>
      </c>
      <c r="F36363" s="2" t="str">
        <f>HYPERLINK("http://www.otzar.org/book.asp?168989","קונטרס בענין סידור קידושין על ידי רב מורה הוראה")</f>
        <v>קונטרס בענין סידור קידושין על ידי רב מורה הוראה</v>
      </c>
    </row>
    <row r="36364" spans="1:6" x14ac:dyDescent="0.2">
      <c r="A36364" t="s">
        <v>56156</v>
      </c>
      <c r="B36364" t="s">
        <v>37858</v>
      </c>
      <c r="C36364" t="s">
        <v>454</v>
      </c>
      <c r="D36364" t="s">
        <v>21</v>
      </c>
      <c r="E36364" t="s">
        <v>144</v>
      </c>
      <c r="F36364" s="2" t="str">
        <f>HYPERLINK("http://www.otzar.org/book.asp?608181","קונטרס בענין ע""א נאמן באיסורים")</f>
        <v>קונטרס בענין ע"א נאמן באיסורים</v>
      </c>
    </row>
    <row r="36365" spans="1:6" x14ac:dyDescent="0.2">
      <c r="A36365" t="s">
        <v>56157</v>
      </c>
      <c r="B36365" t="s">
        <v>3768</v>
      </c>
      <c r="C36365" t="s">
        <v>68</v>
      </c>
      <c r="D36365" t="s">
        <v>367</v>
      </c>
      <c r="E36365" t="s">
        <v>15</v>
      </c>
      <c r="F36365" s="2" t="str">
        <f>HYPERLINK("http://www.otzar.org/book.asp?160058","קונטרס בענין עבודת ישראל בקרקע של גוי בשביעית")</f>
        <v>קונטרס בענין עבודת ישראל בקרקע של גוי בשביעית</v>
      </c>
    </row>
    <row r="36366" spans="1:6" x14ac:dyDescent="0.2">
      <c r="A36366" t="s">
        <v>56158</v>
      </c>
      <c r="B36366" t="s">
        <v>41268</v>
      </c>
      <c r="C36366" t="s">
        <v>1160</v>
      </c>
      <c r="D36366" t="s">
        <v>14</v>
      </c>
      <c r="E36366" t="s">
        <v>144</v>
      </c>
      <c r="F36366" s="2" t="str">
        <f>HYPERLINK("http://www.otzar.org/book.asp?143115","קונטרס בענין עובר ירך אמו")</f>
        <v>קונטרס בענין עובר ירך אמו</v>
      </c>
    </row>
    <row r="36367" spans="1:6" x14ac:dyDescent="0.2">
      <c r="A36367" t="s">
        <v>56159</v>
      </c>
      <c r="B36367" t="s">
        <v>7144</v>
      </c>
      <c r="C36367" t="s">
        <v>20</v>
      </c>
      <c r="D36367" t="s">
        <v>52</v>
      </c>
      <c r="F36367" s="2" t="str">
        <f>HYPERLINK("http://www.otzar.org/book.asp?600877","קונטרס בענין עיון וכבודה של תורה")</f>
        <v>קונטרס בענין עיון וכבודה של תורה</v>
      </c>
    </row>
    <row r="36368" spans="1:6" x14ac:dyDescent="0.2">
      <c r="A36368" t="s">
        <v>56160</v>
      </c>
      <c r="B36368" t="s">
        <v>56161</v>
      </c>
      <c r="C36368" t="s">
        <v>189</v>
      </c>
      <c r="D36368" t="s">
        <v>14</v>
      </c>
      <c r="E36368" t="s">
        <v>15</v>
      </c>
      <c r="F36368" s="2" t="str">
        <f>HYPERLINK("http://www.otzar.org/book.asp?21607","קונטרס בענין עישון ביו""ט")</f>
        <v>קונטרס בענין עישון ביו"ט</v>
      </c>
    </row>
    <row r="36369" spans="1:6" x14ac:dyDescent="0.2">
      <c r="A36369" t="s">
        <v>56162</v>
      </c>
      <c r="B36369" t="s">
        <v>56163</v>
      </c>
      <c r="C36369" t="s">
        <v>185</v>
      </c>
      <c r="D36369" t="s">
        <v>367</v>
      </c>
      <c r="E36369" t="s">
        <v>15</v>
      </c>
      <c r="F36369" s="2" t="str">
        <f>HYPERLINK("http://www.otzar.org/book.asp?631622","קונטרס בענין עישון סיגריות ביו""ט")</f>
        <v>קונטרס בענין עישון סיגריות ביו"ט</v>
      </c>
    </row>
    <row r="36370" spans="1:6" x14ac:dyDescent="0.2">
      <c r="A36370" t="s">
        <v>56164</v>
      </c>
      <c r="B36370" t="s">
        <v>12481</v>
      </c>
      <c r="C36370" t="s">
        <v>114</v>
      </c>
      <c r="D36370" t="s">
        <v>14</v>
      </c>
      <c r="E36370" t="s">
        <v>104</v>
      </c>
      <c r="F36370" s="2" t="str">
        <f>HYPERLINK("http://www.otzar.org/book.asp?199968","קונטרס בענין עצירת גשמים")</f>
        <v>קונטרס בענין עצירת גשמים</v>
      </c>
    </row>
    <row r="36371" spans="1:6" x14ac:dyDescent="0.2">
      <c r="A36371" t="s">
        <v>56165</v>
      </c>
      <c r="B36371" t="s">
        <v>56166</v>
      </c>
      <c r="C36371" t="s">
        <v>111</v>
      </c>
      <c r="D36371" t="s">
        <v>90</v>
      </c>
      <c r="E36371" t="s">
        <v>15</v>
      </c>
      <c r="F36371" s="2" t="str">
        <f>HYPERLINK("http://www.otzar.org/book.asp?630323","קונטרס בענין קידוש מבעוד יום")</f>
        <v>קונטרס בענין קידוש מבעוד יום</v>
      </c>
    </row>
    <row r="36372" spans="1:6" x14ac:dyDescent="0.2">
      <c r="A36372" t="s">
        <v>56167</v>
      </c>
      <c r="B36372" t="s">
        <v>2681</v>
      </c>
      <c r="C36372" t="s">
        <v>133</v>
      </c>
      <c r="D36372" t="s">
        <v>14</v>
      </c>
      <c r="E36372" t="s">
        <v>15</v>
      </c>
      <c r="F36372" s="2" t="str">
        <f>HYPERLINK("http://www.otzar.org/book.asp?630320","קונטרס בענין קריאת שם לועזי")</f>
        <v>קונטרס בענין קריאת שם לועזי</v>
      </c>
    </row>
    <row r="36373" spans="1:6" x14ac:dyDescent="0.2">
      <c r="A36373" t="s">
        <v>56168</v>
      </c>
      <c r="B36373" t="s">
        <v>1748</v>
      </c>
      <c r="C36373" t="s">
        <v>422</v>
      </c>
      <c r="D36373" t="s">
        <v>52</v>
      </c>
      <c r="E36373" t="s">
        <v>15</v>
      </c>
      <c r="F36373" s="2" t="str">
        <f>HYPERLINK("http://www.otzar.org/book.asp?85744","קונטרס בענין שביתת בנו")</f>
        <v>קונטרס בענין שביתת בנו</v>
      </c>
    </row>
    <row r="36374" spans="1:6" x14ac:dyDescent="0.2">
      <c r="A36374" t="s">
        <v>56169</v>
      </c>
      <c r="B36374" t="s">
        <v>206</v>
      </c>
      <c r="C36374" t="s">
        <v>133</v>
      </c>
      <c r="D36374" t="s">
        <v>52</v>
      </c>
      <c r="E36374" t="s">
        <v>15</v>
      </c>
      <c r="F36374" s="2" t="str">
        <f>HYPERLINK("http://www.otzar.org/book.asp?171082","קונטרס בענין שואל ומוכר כסותו לנר חנוכה ושאר מצוות")</f>
        <v>קונטרס בענין שואל ומוכר כסותו לנר חנוכה ושאר מצוות</v>
      </c>
    </row>
    <row r="36375" spans="1:6" x14ac:dyDescent="0.2">
      <c r="A36375" t="s">
        <v>56170</v>
      </c>
      <c r="B36375" t="s">
        <v>56171</v>
      </c>
      <c r="C36375" t="s">
        <v>20</v>
      </c>
      <c r="F36375" s="2" t="str">
        <f>HYPERLINK("http://www.otzar.org/book.asp?622601","קונטרס בענין שומע כעונה")</f>
        <v>קונטרס בענין שומע כעונה</v>
      </c>
    </row>
    <row r="36376" spans="1:6" x14ac:dyDescent="0.2">
      <c r="A36376" t="s">
        <v>56172</v>
      </c>
      <c r="B36376" t="s">
        <v>56173</v>
      </c>
      <c r="C36376" t="s">
        <v>1640</v>
      </c>
      <c r="D36376" t="s">
        <v>412</v>
      </c>
      <c r="E36376" t="s">
        <v>144</v>
      </c>
      <c r="F36376" s="2" t="str">
        <f>HYPERLINK("http://www.otzar.org/book.asp?160659","קונטרס בענין שינוי וקניני גזילה")</f>
        <v>קונטרס בענין שינוי וקניני גזילה</v>
      </c>
    </row>
    <row r="36377" spans="1:6" x14ac:dyDescent="0.2">
      <c r="A36377" t="s">
        <v>56174</v>
      </c>
      <c r="B36377" t="s">
        <v>6987</v>
      </c>
      <c r="C36377" t="s">
        <v>90</v>
      </c>
      <c r="D36377" t="s">
        <v>20</v>
      </c>
      <c r="E36377" t="s">
        <v>104</v>
      </c>
      <c r="F36377" s="2" t="str">
        <f>HYPERLINK("http://www.otzar.org/book.asp?193683","קונטרס בענין שיעורי אוכלין למשקין")</f>
        <v>קונטרס בענין שיעורי אוכלין למשקין</v>
      </c>
    </row>
    <row r="36378" spans="1:6" x14ac:dyDescent="0.2">
      <c r="A36378" t="s">
        <v>56175</v>
      </c>
      <c r="B36378" t="s">
        <v>56176</v>
      </c>
      <c r="C36378" t="s">
        <v>114</v>
      </c>
      <c r="D36378" t="s">
        <v>245</v>
      </c>
      <c r="F36378" s="2" t="str">
        <f>HYPERLINK("http://www.otzar.org/book.asp?182944","קונטרס בענין שמחת בית השואבה")</f>
        <v>קונטרס בענין שמחת בית השואבה</v>
      </c>
    </row>
    <row r="36379" spans="1:6" x14ac:dyDescent="0.2">
      <c r="A36379" t="s">
        <v>56177</v>
      </c>
      <c r="B36379" t="s">
        <v>42016</v>
      </c>
      <c r="C36379" t="s">
        <v>68</v>
      </c>
      <c r="D36379" t="s">
        <v>14</v>
      </c>
      <c r="F36379" s="2" t="str">
        <f>HYPERLINK("http://www.otzar.org/book.asp?157101","קונטרס בענין שני כלים שנגעו זב""ז")</f>
        <v>קונטרס בענין שני כלים שנגעו זב"ז</v>
      </c>
    </row>
    <row r="36380" spans="1:6" x14ac:dyDescent="0.2">
      <c r="A36380" t="s">
        <v>56178</v>
      </c>
      <c r="B36380" t="s">
        <v>37858</v>
      </c>
      <c r="C36380" t="s">
        <v>20</v>
      </c>
      <c r="D36380" t="s">
        <v>21</v>
      </c>
      <c r="E36380" t="s">
        <v>3516</v>
      </c>
      <c r="F36380" s="2" t="str">
        <f>HYPERLINK("http://www.otzar.org/book.asp?608180","קונטרס בעניני ארבעת המינים")</f>
        <v>קונטרס בעניני ארבעת המינים</v>
      </c>
    </row>
    <row r="36381" spans="1:6" x14ac:dyDescent="0.2">
      <c r="A36381" t="s">
        <v>56179</v>
      </c>
      <c r="B36381" t="s">
        <v>206</v>
      </c>
      <c r="C36381" t="s">
        <v>20</v>
      </c>
      <c r="D36381" t="s">
        <v>90</v>
      </c>
      <c r="E36381" t="s">
        <v>15</v>
      </c>
      <c r="F36381" s="2" t="str">
        <f>HYPERLINK("http://www.otzar.org/book.asp?166982","קונטרס בעניני בורר")</f>
        <v>קונטרס בעניני בורר</v>
      </c>
    </row>
    <row r="36382" spans="1:6" x14ac:dyDescent="0.2">
      <c r="A36382" t="s">
        <v>56180</v>
      </c>
      <c r="B36382" t="s">
        <v>56181</v>
      </c>
      <c r="C36382" t="s">
        <v>103</v>
      </c>
      <c r="D36382" t="s">
        <v>14</v>
      </c>
      <c r="E36382" t="s">
        <v>144</v>
      </c>
      <c r="F36382" s="2" t="str">
        <f>HYPERLINK("http://www.otzar.org/book.asp?23027","קונטרס בעניני ברכת הזימון")</f>
        <v>קונטרס בעניני ברכת הזימון</v>
      </c>
    </row>
    <row r="36383" spans="1:6" x14ac:dyDescent="0.2">
      <c r="A36383" t="s">
        <v>56182</v>
      </c>
      <c r="B36383" t="s">
        <v>56183</v>
      </c>
      <c r="C36383" t="s">
        <v>51</v>
      </c>
      <c r="D36383" t="s">
        <v>423</v>
      </c>
      <c r="E36383" t="s">
        <v>2091</v>
      </c>
      <c r="F36383" s="2" t="str">
        <f>HYPERLINK("http://www.otzar.org/book.asp?163115","קונטרס בעניני ברכת הנהנין")</f>
        <v>קונטרס בעניני ברכת הנהנין</v>
      </c>
    </row>
    <row r="36384" spans="1:6" x14ac:dyDescent="0.2">
      <c r="A36384" t="s">
        <v>56184</v>
      </c>
      <c r="B36384" t="s">
        <v>56185</v>
      </c>
      <c r="C36384" t="s">
        <v>244</v>
      </c>
      <c r="D36384" t="s">
        <v>52</v>
      </c>
      <c r="E36384" t="s">
        <v>674</v>
      </c>
      <c r="F36384" s="2" t="str">
        <f>HYPERLINK("http://www.otzar.org/book.asp?624888","קונטרס בעניני דיני ציבור ודבר שבקדושה")</f>
        <v>קונטרס בעניני דיני ציבור ודבר שבקדושה</v>
      </c>
    </row>
    <row r="36385" spans="1:6" x14ac:dyDescent="0.2">
      <c r="A36385" t="s">
        <v>56186</v>
      </c>
      <c r="B36385" t="s">
        <v>43000</v>
      </c>
      <c r="F36385" s="2" t="str">
        <f>HYPERLINK("http://www.otzar.org/book.asp?630405","קונטרס בעניני המועדים")</f>
        <v>קונטרס בעניני המועדים</v>
      </c>
    </row>
    <row r="36386" spans="1:6" x14ac:dyDescent="0.2">
      <c r="A36386" t="s">
        <v>56187</v>
      </c>
      <c r="B36386" t="s">
        <v>56188</v>
      </c>
      <c r="C36386" t="s">
        <v>422</v>
      </c>
      <c r="D36386" t="s">
        <v>21</v>
      </c>
      <c r="E36386" t="s">
        <v>144</v>
      </c>
      <c r="F36386" s="2" t="str">
        <f>HYPERLINK("http://www.otzar.org/book.asp?603400","קונטרס בעניני הרחקת נזיקין")</f>
        <v>קונטרס בעניני הרחקת נזיקין</v>
      </c>
    </row>
    <row r="36387" spans="1:6" x14ac:dyDescent="0.2">
      <c r="A36387" t="s">
        <v>56189</v>
      </c>
      <c r="B36387" t="s">
        <v>2737</v>
      </c>
      <c r="C36387" t="s">
        <v>956</v>
      </c>
      <c r="D36387" t="s">
        <v>52</v>
      </c>
      <c r="E36387" t="s">
        <v>144</v>
      </c>
      <c r="F36387" s="2" t="str">
        <f>HYPERLINK("http://www.otzar.org/book.asp?11623","קונטרס בעניני זיקה")</f>
        <v>קונטרס בעניני זיקה</v>
      </c>
    </row>
    <row r="36388" spans="1:6" x14ac:dyDescent="0.2">
      <c r="A36388" t="s">
        <v>56190</v>
      </c>
      <c r="B36388" t="s">
        <v>1748</v>
      </c>
      <c r="C36388" t="s">
        <v>13</v>
      </c>
      <c r="D36388" t="s">
        <v>52</v>
      </c>
      <c r="E36388" t="s">
        <v>144</v>
      </c>
      <c r="F36388" s="2" t="str">
        <f>HYPERLINK("http://www.otzar.org/book.asp?149837","קונטרס בעניני ח""י דבר")</f>
        <v>קונטרס בעניני ח"י דבר</v>
      </c>
    </row>
    <row r="36389" spans="1:6" x14ac:dyDescent="0.2">
      <c r="A36389" t="s">
        <v>56191</v>
      </c>
      <c r="B36389" t="s">
        <v>1343</v>
      </c>
      <c r="C36389" t="s">
        <v>20</v>
      </c>
      <c r="D36389" t="s">
        <v>90</v>
      </c>
      <c r="E36389" t="s">
        <v>130</v>
      </c>
      <c r="F36389" s="2" t="str">
        <f>HYPERLINK("http://www.otzar.org/book.asp?62615","קונטרס בעניני חג הסוכות ושמחת תורה")</f>
        <v>קונטרס בעניני חג הסוכות ושמחת תורה</v>
      </c>
    </row>
    <row r="36390" spans="1:6" x14ac:dyDescent="0.2">
      <c r="A36390" t="s">
        <v>56192</v>
      </c>
      <c r="B36390" t="s">
        <v>1343</v>
      </c>
      <c r="C36390" t="s">
        <v>313</v>
      </c>
      <c r="D36390" t="s">
        <v>14</v>
      </c>
      <c r="E36390" t="s">
        <v>230</v>
      </c>
      <c r="F36390" s="2" t="str">
        <f>HYPERLINK("http://www.otzar.org/book.asp?22991","קונטרס בעניני חג הפסח ספירת העומר וחג השבועות")</f>
        <v>קונטרס בעניני חג הפסח ספירת העומר וחג השבועות</v>
      </c>
    </row>
    <row r="36391" spans="1:6" x14ac:dyDescent="0.2">
      <c r="A36391" t="s">
        <v>56193</v>
      </c>
      <c r="B36391" t="s">
        <v>847</v>
      </c>
      <c r="C36391" t="s">
        <v>411</v>
      </c>
      <c r="D36391" t="s">
        <v>52</v>
      </c>
      <c r="E36391" t="s">
        <v>172</v>
      </c>
      <c r="F36391" s="2" t="str">
        <f>HYPERLINK("http://www.otzar.org/book.asp?626208","קונטרס בעניני יור""ד סי' קצ""ה")</f>
        <v>קונטרס בעניני יור"ד סי' קצ"ה</v>
      </c>
    </row>
    <row r="36392" spans="1:6" x14ac:dyDescent="0.2">
      <c r="A36392" t="s">
        <v>56194</v>
      </c>
      <c r="B36392" t="s">
        <v>206</v>
      </c>
      <c r="C36392" t="s">
        <v>151</v>
      </c>
      <c r="D36392" t="s">
        <v>90</v>
      </c>
      <c r="F36392" s="2" t="str">
        <f>HYPERLINK("http://www.otzar.org/book.asp?618081","קונטרס בעניני ימי בין המצרים")</f>
        <v>קונטרס בעניני ימי בין המצרים</v>
      </c>
    </row>
    <row r="36393" spans="1:6" x14ac:dyDescent="0.2">
      <c r="A36393" t="s">
        <v>56195</v>
      </c>
      <c r="B36393" t="s">
        <v>1343</v>
      </c>
      <c r="C36393" t="s">
        <v>313</v>
      </c>
      <c r="D36393" t="s">
        <v>14</v>
      </c>
      <c r="E36393" t="s">
        <v>246</v>
      </c>
      <c r="F36393" s="2" t="str">
        <f>HYPERLINK("http://www.otzar.org/book.asp?22990","קונטרס בעניני ימי החנוכה וימי הפורים")</f>
        <v>קונטרס בעניני ימי החנוכה וימי הפורים</v>
      </c>
    </row>
    <row r="36394" spans="1:6" x14ac:dyDescent="0.2">
      <c r="A36394" t="s">
        <v>56196</v>
      </c>
      <c r="B36394" t="s">
        <v>22056</v>
      </c>
      <c r="C36394" t="s">
        <v>143</v>
      </c>
      <c r="D36394" t="s">
        <v>21</v>
      </c>
      <c r="E36394" t="s">
        <v>144</v>
      </c>
      <c r="F36394" s="2" t="str">
        <f>HYPERLINK("http://www.otzar.org/book.asp?197841","קונטרס בעניני מכירת שטרות")</f>
        <v>קונטרס בעניני מכירת שטרות</v>
      </c>
    </row>
    <row r="36395" spans="1:6" x14ac:dyDescent="0.2">
      <c r="A36395" t="s">
        <v>56197</v>
      </c>
      <c r="B36395" t="s">
        <v>56198</v>
      </c>
      <c r="C36395" t="s">
        <v>20</v>
      </c>
      <c r="D36395" t="s">
        <v>152</v>
      </c>
      <c r="E36395" t="s">
        <v>803</v>
      </c>
      <c r="F36395" s="2" t="str">
        <f>HYPERLINK("http://www.otzar.org/book.asp?160768","קונטרס בעניני מלאכת בורר")</f>
        <v>קונטרס בעניני מלאכת בורר</v>
      </c>
    </row>
    <row r="36396" spans="1:6" x14ac:dyDescent="0.2">
      <c r="A36396" t="s">
        <v>56199</v>
      </c>
      <c r="B36396" t="s">
        <v>4019</v>
      </c>
      <c r="C36396" t="s">
        <v>146</v>
      </c>
      <c r="D36396" t="s">
        <v>14</v>
      </c>
      <c r="E36396" t="s">
        <v>15</v>
      </c>
      <c r="F36396" s="2" t="str">
        <f>HYPERLINK("http://www.otzar.org/book.asp?168395","קונטרס בעניני מלאכת מחשבת - 2 כר'")</f>
        <v>קונטרס בעניני מלאכת מחשבת - 2 כר'</v>
      </c>
    </row>
    <row r="36397" spans="1:6" x14ac:dyDescent="0.2">
      <c r="A36397" t="s">
        <v>56200</v>
      </c>
      <c r="B36397" t="s">
        <v>56201</v>
      </c>
      <c r="C36397" t="s">
        <v>1268</v>
      </c>
      <c r="D36397" t="s">
        <v>52</v>
      </c>
      <c r="E36397" t="s">
        <v>15</v>
      </c>
      <c r="F36397" s="2" t="str">
        <f>HYPERLINK("http://www.otzar.org/book.asp?143135","קונטרס בעניני מקואות")</f>
        <v>קונטרס בעניני מקואות</v>
      </c>
    </row>
    <row r="36398" spans="1:6" x14ac:dyDescent="0.2">
      <c r="A36398" t="s">
        <v>56202</v>
      </c>
      <c r="B36398" t="s">
        <v>56203</v>
      </c>
      <c r="C36398" t="s">
        <v>176</v>
      </c>
      <c r="D36398" t="s">
        <v>52</v>
      </c>
      <c r="E36398" t="s">
        <v>3489</v>
      </c>
      <c r="F36398" s="2" t="str">
        <f>HYPERLINK("http://www.otzar.org/book.asp?144393","קונטרס בעניני נטילת ידים במס' ידים ובהל' נט""י")</f>
        <v>קונטרס בעניני נטילת ידים במס' ידים ובהל' נט"י</v>
      </c>
    </row>
    <row r="36399" spans="1:6" x14ac:dyDescent="0.2">
      <c r="A36399" t="s">
        <v>56204</v>
      </c>
      <c r="B36399" t="s">
        <v>56205</v>
      </c>
      <c r="C36399" t="s">
        <v>68</v>
      </c>
      <c r="D36399" t="s">
        <v>52</v>
      </c>
      <c r="E36399" t="s">
        <v>144</v>
      </c>
      <c r="F36399" s="2" t="str">
        <f>HYPERLINK("http://www.otzar.org/book.asp?603805","קונטרס בעניני סוכות")</f>
        <v>קונטרס בעניני סוכות</v>
      </c>
    </row>
    <row r="36400" spans="1:6" x14ac:dyDescent="0.2">
      <c r="A36400" t="s">
        <v>56206</v>
      </c>
      <c r="B36400" t="s">
        <v>56206</v>
      </c>
      <c r="C36400" t="s">
        <v>383</v>
      </c>
      <c r="D36400" t="s">
        <v>52</v>
      </c>
      <c r="E36400" t="s">
        <v>144</v>
      </c>
      <c r="F36400" s="2" t="str">
        <f>HYPERLINK("http://www.otzar.org/book.asp?19254","קונטרס בעניני קטן ועוסק במצוה")</f>
        <v>קונטרס בעניני קטן ועוסק במצוה</v>
      </c>
    </row>
    <row r="36401" spans="1:6" x14ac:dyDescent="0.2">
      <c r="A36401" t="s">
        <v>56207</v>
      </c>
      <c r="B36401" t="s">
        <v>46292</v>
      </c>
      <c r="C36401" t="s">
        <v>129</v>
      </c>
      <c r="D36401" t="s">
        <v>52</v>
      </c>
      <c r="E36401" t="s">
        <v>144</v>
      </c>
      <c r="F36401" s="2" t="str">
        <f>HYPERLINK("http://www.otzar.org/book.asp?606280","קונטרס בעניני ריבית")</f>
        <v>קונטרס בעניני ריבית</v>
      </c>
    </row>
    <row r="36402" spans="1:6" x14ac:dyDescent="0.2">
      <c r="A36402" t="s">
        <v>56208</v>
      </c>
      <c r="B36402" t="s">
        <v>15367</v>
      </c>
      <c r="C36402" t="s">
        <v>553</v>
      </c>
      <c r="D36402" t="s">
        <v>14</v>
      </c>
      <c r="F36402" s="2" t="str">
        <f>HYPERLINK("http://www.otzar.org/book.asp?611154","קונטרס בעניני שביעית")</f>
        <v>קונטרס בעניני שביעית</v>
      </c>
    </row>
    <row r="36403" spans="1:6" x14ac:dyDescent="0.2">
      <c r="A36403" t="s">
        <v>56209</v>
      </c>
      <c r="B36403" t="s">
        <v>4019</v>
      </c>
      <c r="C36403" t="s">
        <v>68</v>
      </c>
      <c r="D36403" t="s">
        <v>14</v>
      </c>
      <c r="E36403" t="s">
        <v>15</v>
      </c>
      <c r="F36403" s="2" t="str">
        <f>HYPERLINK("http://www.otzar.org/book.asp?168399","קונטרס בעניני שכירות פועלים")</f>
        <v>קונטרס בעניני שכירות פועלים</v>
      </c>
    </row>
    <row r="36404" spans="1:6" x14ac:dyDescent="0.2">
      <c r="A36404" t="s">
        <v>56210</v>
      </c>
      <c r="B36404" t="s">
        <v>9179</v>
      </c>
      <c r="C36404" t="s">
        <v>20</v>
      </c>
      <c r="D36404" t="s">
        <v>52</v>
      </c>
      <c r="E36404" t="s">
        <v>144</v>
      </c>
      <c r="F36404" s="2" t="str">
        <f>HYPERLINK("http://www.otzar.org/book.asp?623230","קונטרס בעניני שליחות")</f>
        <v>קונטרס בעניני שליחות</v>
      </c>
    </row>
    <row r="36405" spans="1:6" x14ac:dyDescent="0.2">
      <c r="A36405" t="s">
        <v>56211</v>
      </c>
      <c r="B36405" t="s">
        <v>51060</v>
      </c>
      <c r="C36405" t="s">
        <v>37</v>
      </c>
      <c r="D36405" t="s">
        <v>52</v>
      </c>
      <c r="E36405" t="s">
        <v>130</v>
      </c>
      <c r="F36405" s="2" t="str">
        <f>HYPERLINK("http://www.otzar.org/book.asp?189311","קונטרס בעניני תוספת שבת קידוש והבדלה")</f>
        <v>קונטרס בעניני תוספת שבת קידוש והבדלה</v>
      </c>
    </row>
    <row r="36406" spans="1:6" x14ac:dyDescent="0.2">
      <c r="A36406" t="s">
        <v>56212</v>
      </c>
      <c r="B36406" t="s">
        <v>1248</v>
      </c>
      <c r="C36406" t="s">
        <v>366</v>
      </c>
      <c r="D36406" t="s">
        <v>80</v>
      </c>
      <c r="E36406" t="s">
        <v>144</v>
      </c>
      <c r="F36406" s="2" t="str">
        <f>HYPERLINK("http://www.otzar.org/book.asp?608138","קונטרס בעניני תערובות")</f>
        <v>קונטרס בעניני תערובות</v>
      </c>
    </row>
    <row r="36407" spans="1:6" x14ac:dyDescent="0.2">
      <c r="A36407" t="s">
        <v>56213</v>
      </c>
      <c r="B36407" t="s">
        <v>56214</v>
      </c>
      <c r="C36407" t="s">
        <v>68</v>
      </c>
      <c r="D36407" t="s">
        <v>90</v>
      </c>
      <c r="E36407" t="s">
        <v>15</v>
      </c>
      <c r="F36407" s="2" t="str">
        <f>HYPERLINK("http://www.otzar.org/book.asp?156426","קונטרס בעניני תפילין")</f>
        <v>קונטרס בעניני תפילין</v>
      </c>
    </row>
    <row r="36408" spans="1:6" x14ac:dyDescent="0.2">
      <c r="A36408" t="s">
        <v>56215</v>
      </c>
      <c r="B36408" t="s">
        <v>56216</v>
      </c>
      <c r="C36408" t="s">
        <v>114</v>
      </c>
      <c r="D36408" t="s">
        <v>646</v>
      </c>
      <c r="E36408" t="s">
        <v>15</v>
      </c>
      <c r="F36408" s="2" t="str">
        <f>HYPERLINK("http://www.otzar.org/book.asp?168699","קונטרס בעניני תפילין, אבני שי")</f>
        <v>קונטרס בעניני תפילין, אבני שי</v>
      </c>
    </row>
    <row r="36409" spans="1:6" x14ac:dyDescent="0.2">
      <c r="A36409" t="s">
        <v>56217</v>
      </c>
      <c r="B36409" t="s">
        <v>9179</v>
      </c>
      <c r="C36409" t="s">
        <v>20</v>
      </c>
      <c r="D36409" t="s">
        <v>52</v>
      </c>
      <c r="E36409" t="s">
        <v>144</v>
      </c>
      <c r="F36409" s="2" t="str">
        <f>HYPERLINK("http://www.otzar.org/book.asp?623218","קונטרס בענינים שונים")</f>
        <v>קונטרס בענינים שונים</v>
      </c>
    </row>
    <row r="36410" spans="1:6" x14ac:dyDescent="0.2">
      <c r="A36410" t="s">
        <v>56218</v>
      </c>
      <c r="B36410" t="s">
        <v>206</v>
      </c>
      <c r="C36410" t="s">
        <v>366</v>
      </c>
      <c r="D36410" t="s">
        <v>152</v>
      </c>
      <c r="E36410" t="s">
        <v>104</v>
      </c>
      <c r="F36410" s="2" t="str">
        <f>HYPERLINK("http://www.otzar.org/book.asp?627643","קונטרס בעקבי הצאן")</f>
        <v>קונטרס בעקבי הצאן</v>
      </c>
    </row>
    <row r="36411" spans="1:6" x14ac:dyDescent="0.2">
      <c r="A36411" t="s">
        <v>56219</v>
      </c>
      <c r="B36411" t="s">
        <v>56220</v>
      </c>
      <c r="C36411" t="s">
        <v>1208</v>
      </c>
      <c r="D36411" t="s">
        <v>563</v>
      </c>
      <c r="E36411" t="s">
        <v>104</v>
      </c>
      <c r="F36411" s="2" t="str">
        <f>HYPERLINK("http://www.otzar.org/book.asp?623910","קונטרס בפי רבים אהללה")</f>
        <v>קונטרס בפי רבים אהללה</v>
      </c>
    </row>
    <row r="36412" spans="1:6" x14ac:dyDescent="0.2">
      <c r="A36412" t="s">
        <v>56221</v>
      </c>
      <c r="B36412" t="s">
        <v>5293</v>
      </c>
      <c r="C36412" t="s">
        <v>37</v>
      </c>
      <c r="D36412" t="s">
        <v>21</v>
      </c>
      <c r="F36412" s="2" t="str">
        <f>HYPERLINK("http://www.otzar.org/book.asp?198631","קונטרס בצדק תשפוט עמיתך")</f>
        <v>קונטרס בצדק תשפוט עמיתך</v>
      </c>
    </row>
    <row r="36413" spans="1:6" x14ac:dyDescent="0.2">
      <c r="A36413" t="s">
        <v>56222</v>
      </c>
      <c r="B36413" t="s">
        <v>56223</v>
      </c>
      <c r="C36413" t="s">
        <v>20</v>
      </c>
      <c r="D36413" t="s">
        <v>14</v>
      </c>
      <c r="F36413" s="2" t="str">
        <f>HYPERLINK("http://www.otzar.org/book.asp?620811","קונטרס בצדק תשפוט")</f>
        <v>קונטרס בצדק תשפוט</v>
      </c>
    </row>
    <row r="36414" spans="1:6" x14ac:dyDescent="0.2">
      <c r="A36414" t="s">
        <v>56224</v>
      </c>
      <c r="B36414" t="s">
        <v>56225</v>
      </c>
      <c r="C36414" t="s">
        <v>13</v>
      </c>
      <c r="D36414" t="s">
        <v>52</v>
      </c>
      <c r="E36414" t="s">
        <v>803</v>
      </c>
      <c r="F36414" s="2" t="str">
        <f>HYPERLINK("http://www.otzar.org/book.asp?162148","קונטרס בציר יצחק")</f>
        <v>קונטרס בציר יצחק</v>
      </c>
    </row>
    <row r="36415" spans="1:6" x14ac:dyDescent="0.2">
      <c r="A36415" t="s">
        <v>56226</v>
      </c>
      <c r="B36415" t="s">
        <v>56227</v>
      </c>
      <c r="C36415" t="s">
        <v>37</v>
      </c>
      <c r="D36415" t="s">
        <v>80</v>
      </c>
      <c r="E36415" t="s">
        <v>144</v>
      </c>
      <c r="F36415" s="2" t="str">
        <f>HYPERLINK("http://www.otzar.org/book.asp?195753","קונטרס בצל הברכה - 3 כר'")</f>
        <v>קונטרס בצל הברכה - 3 כר'</v>
      </c>
    </row>
    <row r="36416" spans="1:6" x14ac:dyDescent="0.2">
      <c r="A36416" t="s">
        <v>56228</v>
      </c>
      <c r="B36416" t="s">
        <v>56229</v>
      </c>
      <c r="C36416" t="s">
        <v>133</v>
      </c>
      <c r="D36416" t="s">
        <v>52</v>
      </c>
      <c r="E36416" t="s">
        <v>803</v>
      </c>
      <c r="F36416" s="2" t="str">
        <f>HYPERLINK("http://www.otzar.org/book.asp?171251","קונטרס בצלו חמדתי")</f>
        <v>קונטרס בצלו חמדתי</v>
      </c>
    </row>
    <row r="36417" spans="1:6" x14ac:dyDescent="0.2">
      <c r="A36417" t="s">
        <v>56230</v>
      </c>
      <c r="B36417" t="s">
        <v>206</v>
      </c>
      <c r="C36417" t="s">
        <v>114</v>
      </c>
      <c r="D36417" t="s">
        <v>152</v>
      </c>
      <c r="E36417" t="s">
        <v>241</v>
      </c>
      <c r="F36417" s="2" t="str">
        <f>HYPERLINK("http://www.otzar.org/book.asp?167804","קונטרס בקש שלום - בגנות המחלוקת")</f>
        <v>קונטרס בקש שלום - בגנות המחלוקת</v>
      </c>
    </row>
    <row r="36418" spans="1:6" x14ac:dyDescent="0.2">
      <c r="A36418" t="s">
        <v>56231</v>
      </c>
      <c r="B36418" t="s">
        <v>2820</v>
      </c>
      <c r="C36418" t="s">
        <v>767</v>
      </c>
      <c r="D36418" t="s">
        <v>52</v>
      </c>
      <c r="E36418" t="s">
        <v>2840</v>
      </c>
      <c r="F36418" s="2" t="str">
        <f>HYPERLINK("http://www.otzar.org/book.asp?148290","קונטרס בר מצוה")</f>
        <v>קונטרס בר מצוה</v>
      </c>
    </row>
    <row r="36419" spans="1:6" x14ac:dyDescent="0.2">
      <c r="A36419" t="s">
        <v>56232</v>
      </c>
      <c r="B36419" t="s">
        <v>2667</v>
      </c>
      <c r="C36419" t="s">
        <v>37</v>
      </c>
      <c r="D36419" t="s">
        <v>134</v>
      </c>
      <c r="F36419" s="2" t="str">
        <f>HYPERLINK("http://www.otzar.org/book.asp?198074","קונטרס בר מצרא")</f>
        <v>קונטרס בר מצרא</v>
      </c>
    </row>
    <row r="36420" spans="1:6" x14ac:dyDescent="0.2">
      <c r="A36420" t="s">
        <v>56233</v>
      </c>
      <c r="B36420" t="s">
        <v>128</v>
      </c>
      <c r="C36420" t="s">
        <v>51</v>
      </c>
      <c r="D36420" t="s">
        <v>52</v>
      </c>
      <c r="E36420" t="s">
        <v>15</v>
      </c>
      <c r="F36420" s="2" t="str">
        <f>HYPERLINK("http://www.otzar.org/book.asp?52626","קונטרס ברוב עם הדרת מלך")</f>
        <v>קונטרס ברוב עם הדרת מלך</v>
      </c>
    </row>
    <row r="36421" spans="1:6" x14ac:dyDescent="0.2">
      <c r="A36421" t="s">
        <v>56234</v>
      </c>
      <c r="B36421" t="s">
        <v>11760</v>
      </c>
      <c r="C36421" t="s">
        <v>23</v>
      </c>
      <c r="D36421" t="s">
        <v>5172</v>
      </c>
      <c r="E36421" t="s">
        <v>1626</v>
      </c>
      <c r="F36421" s="2" t="str">
        <f>HYPERLINK("http://www.otzar.org/book.asp?193622","קונטרס ברוך אתה")</f>
        <v>קונטרס ברוך אתה</v>
      </c>
    </row>
    <row r="36422" spans="1:6" x14ac:dyDescent="0.2">
      <c r="A36422" t="s">
        <v>56235</v>
      </c>
      <c r="B36422" t="s">
        <v>11794</v>
      </c>
      <c r="C36422" t="s">
        <v>20</v>
      </c>
      <c r="D36422" t="s">
        <v>412</v>
      </c>
      <c r="E36422" t="s">
        <v>104</v>
      </c>
      <c r="F36422" s="2" t="str">
        <f>HYPERLINK("http://www.otzar.org/book.asp?162840","קונטרס ברוך צורי")</f>
        <v>קונטרס ברוך צורי</v>
      </c>
    </row>
    <row r="36423" spans="1:6" x14ac:dyDescent="0.2">
      <c r="A36423" t="s">
        <v>56236</v>
      </c>
      <c r="B36423" t="s">
        <v>56237</v>
      </c>
      <c r="C36423" t="s">
        <v>20</v>
      </c>
      <c r="D36423" t="s">
        <v>90</v>
      </c>
      <c r="E36423" t="s">
        <v>144</v>
      </c>
      <c r="F36423" s="2" t="str">
        <f>HYPERLINK("http://www.otzar.org/book.asp?176063","קונטרס ברוך שכוונתי")</f>
        <v>קונטרס ברוך שכוונתי</v>
      </c>
    </row>
    <row r="36424" spans="1:6" x14ac:dyDescent="0.2">
      <c r="A36424" t="s">
        <v>56238</v>
      </c>
      <c r="B36424" t="s">
        <v>9611</v>
      </c>
      <c r="C36424" t="s">
        <v>438</v>
      </c>
      <c r="D36424" t="s">
        <v>14</v>
      </c>
      <c r="E36424" t="s">
        <v>15</v>
      </c>
      <c r="F36424" s="2" t="str">
        <f>HYPERLINK("http://www.otzar.org/book.asp?171087","קונטרס ברור בדין קריאת הפטורה")</f>
        <v>קונטרס ברור בדין קריאת הפטורה</v>
      </c>
    </row>
    <row r="36425" spans="1:6" x14ac:dyDescent="0.2">
      <c r="A36425" t="s">
        <v>56239</v>
      </c>
      <c r="B36425" t="s">
        <v>56240</v>
      </c>
      <c r="C36425" t="s">
        <v>189</v>
      </c>
      <c r="D36425" t="s">
        <v>52</v>
      </c>
      <c r="E36425" t="s">
        <v>144</v>
      </c>
      <c r="F36425" s="2" t="str">
        <f>HYPERLINK("http://www.otzar.org/book.asp?162363","קונטרס בריך רחמנא -  תא שמע - ו")</f>
        <v>קונטרס בריך רחמנא -  תא שמע - ו</v>
      </c>
    </row>
    <row r="36426" spans="1:6" x14ac:dyDescent="0.2">
      <c r="A36426" t="s">
        <v>56241</v>
      </c>
      <c r="B36426" t="s">
        <v>11246</v>
      </c>
      <c r="C36426" t="s">
        <v>20</v>
      </c>
      <c r="D36426" t="s">
        <v>14</v>
      </c>
      <c r="F36426" s="2" t="str">
        <f>HYPERLINK("http://www.otzar.org/book.asp?182324","קונטרס ברית אדם")</f>
        <v>קונטרס ברית אדם</v>
      </c>
    </row>
    <row r="36427" spans="1:6" x14ac:dyDescent="0.2">
      <c r="A36427" t="s">
        <v>56242</v>
      </c>
      <c r="B36427" t="s">
        <v>56242</v>
      </c>
      <c r="C36427" t="s">
        <v>422</v>
      </c>
      <c r="D36427" t="s">
        <v>412</v>
      </c>
      <c r="E36427" t="s">
        <v>104</v>
      </c>
      <c r="F36427" s="2" t="str">
        <f>HYPERLINK("http://www.otzar.org/book.asp?85925","קונטרס ברית איתנים")</f>
        <v>קונטרס ברית איתנים</v>
      </c>
    </row>
    <row r="36428" spans="1:6" x14ac:dyDescent="0.2">
      <c r="A36428" t="s">
        <v>56243</v>
      </c>
      <c r="B36428" t="s">
        <v>56244</v>
      </c>
      <c r="C36428" t="s">
        <v>411</v>
      </c>
      <c r="D36428" t="s">
        <v>152</v>
      </c>
      <c r="E36428" t="s">
        <v>144</v>
      </c>
      <c r="F36428" s="2" t="str">
        <f>HYPERLINK("http://www.otzar.org/book.asp?606505","קונטרס ברית אש - 3 כר'")</f>
        <v>קונטרס ברית אש - 3 כר'</v>
      </c>
    </row>
    <row r="36429" spans="1:6" x14ac:dyDescent="0.2">
      <c r="A36429" t="s">
        <v>56245</v>
      </c>
      <c r="B36429" t="s">
        <v>27763</v>
      </c>
      <c r="C36429" t="s">
        <v>103</v>
      </c>
      <c r="D36429" t="s">
        <v>1076</v>
      </c>
      <c r="E36429" t="s">
        <v>674</v>
      </c>
      <c r="F36429" s="2" t="str">
        <f>HYPERLINK("http://www.otzar.org/book.asp?148704","קונטרס ברית דוד")</f>
        <v>קונטרס ברית דוד</v>
      </c>
    </row>
    <row r="36430" spans="1:6" x14ac:dyDescent="0.2">
      <c r="A36430" t="s">
        <v>56246</v>
      </c>
      <c r="B36430" t="s">
        <v>56247</v>
      </c>
      <c r="C36430" t="s">
        <v>20</v>
      </c>
      <c r="D36430" t="s">
        <v>90</v>
      </c>
      <c r="E36430" t="s">
        <v>15</v>
      </c>
      <c r="F36430" s="2" t="str">
        <f>HYPERLINK("http://www.otzar.org/book.asp?197770","קונטרס ברית יעקב")</f>
        <v>קונטרס ברית יעקב</v>
      </c>
    </row>
    <row r="36431" spans="1:6" x14ac:dyDescent="0.2">
      <c r="A36431" t="s">
        <v>56248</v>
      </c>
      <c r="B36431" t="s">
        <v>1557</v>
      </c>
      <c r="C36431" t="s">
        <v>20</v>
      </c>
      <c r="D36431" t="s">
        <v>152</v>
      </c>
      <c r="F36431" s="2" t="str">
        <f>HYPERLINK("http://www.otzar.org/book.asp?610310","קונטרס ברית יצחק")</f>
        <v>קונטרס ברית יצחק</v>
      </c>
    </row>
    <row r="36432" spans="1:6" x14ac:dyDescent="0.2">
      <c r="A36432" t="s">
        <v>56249</v>
      </c>
      <c r="B36432" t="s">
        <v>206</v>
      </c>
      <c r="C36432" t="s">
        <v>20</v>
      </c>
      <c r="D36432" t="s">
        <v>90</v>
      </c>
      <c r="E36432" t="s">
        <v>172</v>
      </c>
      <c r="F36432" s="2" t="str">
        <f>HYPERLINK("http://www.otzar.org/book.asp?192910","קונטרס ברית כרתי לעיני")</f>
        <v>קונטרס ברית כרתי לעיני</v>
      </c>
    </row>
    <row r="36433" spans="1:6" x14ac:dyDescent="0.2">
      <c r="A36433" t="s">
        <v>56249</v>
      </c>
      <c r="B36433" t="s">
        <v>20380</v>
      </c>
      <c r="C36433" t="s">
        <v>20</v>
      </c>
      <c r="D36433" t="s">
        <v>90</v>
      </c>
      <c r="F36433" s="2" t="str">
        <f>HYPERLINK("http://www.otzar.org/book.asp?610867","קונטרס ברית כרתי לעיני")</f>
        <v>קונטרס ברית כרתי לעיני</v>
      </c>
    </row>
    <row r="36434" spans="1:6" x14ac:dyDescent="0.2">
      <c r="A36434" t="s">
        <v>56250</v>
      </c>
      <c r="B36434" t="s">
        <v>56251</v>
      </c>
      <c r="C36434" t="s">
        <v>940</v>
      </c>
      <c r="D36434" t="s">
        <v>52</v>
      </c>
      <c r="E36434" t="s">
        <v>104</v>
      </c>
      <c r="F36434" s="2" t="str">
        <f>HYPERLINK("http://www.otzar.org/book.asp?174255","קונטרס ברית מלח")</f>
        <v>קונטרס ברית מלח</v>
      </c>
    </row>
    <row r="36435" spans="1:6" x14ac:dyDescent="0.2">
      <c r="A36435" t="s">
        <v>56252</v>
      </c>
      <c r="B36435" t="s">
        <v>4263</v>
      </c>
      <c r="C36435" t="s">
        <v>20</v>
      </c>
      <c r="E36435" t="s">
        <v>467</v>
      </c>
      <c r="F36435" s="2" t="str">
        <f>HYPERLINK("http://www.otzar.org/book.asp?600427","קונטרס ברית משה")</f>
        <v>קונטרס ברית משה</v>
      </c>
    </row>
    <row r="36436" spans="1:6" x14ac:dyDescent="0.2">
      <c r="A36436" t="s">
        <v>56253</v>
      </c>
      <c r="B36436" t="s">
        <v>56254</v>
      </c>
      <c r="C36436" t="s">
        <v>37</v>
      </c>
      <c r="D36436" t="s">
        <v>486</v>
      </c>
      <c r="F36436" s="2" t="str">
        <f>HYPERLINK("http://www.otzar.org/book.asp?182424","קונטרס ברית עולם - מוקצה ומלאכות")</f>
        <v>קונטרס ברית עולם - מוקצה ומלאכות</v>
      </c>
    </row>
    <row r="36437" spans="1:6" x14ac:dyDescent="0.2">
      <c r="A36437" t="s">
        <v>56255</v>
      </c>
      <c r="B36437" t="s">
        <v>56047</v>
      </c>
      <c r="C36437" t="s">
        <v>56256</v>
      </c>
      <c r="D36437" t="s">
        <v>52</v>
      </c>
      <c r="E36437" t="s">
        <v>246</v>
      </c>
      <c r="F36437" s="2" t="str">
        <f>HYPERLINK("http://www.otzar.org/book.asp?624959","קונטרס ברית שבת")</f>
        <v>קונטרס ברית שבת</v>
      </c>
    </row>
    <row r="36438" spans="1:6" x14ac:dyDescent="0.2">
      <c r="A36438" t="s">
        <v>56257</v>
      </c>
      <c r="B36438" t="s">
        <v>206</v>
      </c>
      <c r="C36438" t="s">
        <v>133</v>
      </c>
      <c r="D36438" t="s">
        <v>14</v>
      </c>
      <c r="E36438" t="s">
        <v>30653</v>
      </c>
      <c r="F36438" s="2" t="str">
        <f>HYPERLINK("http://www.otzar.org/book.asp?614892","קונטרס ברית שלום")</f>
        <v>קונטרס ברית שלום</v>
      </c>
    </row>
    <row r="36439" spans="1:6" x14ac:dyDescent="0.2">
      <c r="A36439" t="s">
        <v>56258</v>
      </c>
      <c r="B36439" t="s">
        <v>2866</v>
      </c>
      <c r="C36439" t="s">
        <v>411</v>
      </c>
      <c r="D36439" t="s">
        <v>2867</v>
      </c>
      <c r="E36439" t="s">
        <v>154</v>
      </c>
      <c r="F36439" s="2" t="str">
        <f>HYPERLINK("http://www.otzar.org/book.asp?166433","קונטרס בריתי יומם ולילה")</f>
        <v>קונטרס בריתי יומם ולילה</v>
      </c>
    </row>
    <row r="36440" spans="1:6" x14ac:dyDescent="0.2">
      <c r="A36440" t="s">
        <v>56259</v>
      </c>
      <c r="B36440" t="s">
        <v>8063</v>
      </c>
      <c r="C36440" t="s">
        <v>244</v>
      </c>
      <c r="D36440" t="s">
        <v>14</v>
      </c>
      <c r="E36440" t="s">
        <v>15</v>
      </c>
      <c r="F36440" s="2" t="str">
        <f>HYPERLINK("http://www.otzar.org/book.asp?199683","קונטרס בריתך ינצורו")</f>
        <v>קונטרס בריתך ינצורו</v>
      </c>
    </row>
    <row r="36441" spans="1:6" x14ac:dyDescent="0.2">
      <c r="A36441" t="s">
        <v>56260</v>
      </c>
      <c r="B36441" t="s">
        <v>56261</v>
      </c>
      <c r="C36441" t="s">
        <v>20</v>
      </c>
      <c r="D36441" t="s">
        <v>90</v>
      </c>
      <c r="E36441" t="s">
        <v>17007</v>
      </c>
      <c r="F36441" s="2" t="str">
        <f>HYPERLINK("http://www.otzar.org/book.asp?615738","קונטרס ברך דודי")</f>
        <v>קונטרס ברך דודי</v>
      </c>
    </row>
    <row r="36442" spans="1:6" x14ac:dyDescent="0.2">
      <c r="A36442" t="s">
        <v>56262</v>
      </c>
      <c r="B36442" t="s">
        <v>15329</v>
      </c>
      <c r="C36442" t="s">
        <v>17</v>
      </c>
      <c r="D36442" t="s">
        <v>52</v>
      </c>
      <c r="E36442" t="s">
        <v>1211</v>
      </c>
      <c r="F36442" s="2" t="str">
        <f>HYPERLINK("http://www.otzar.org/book.asp?625597","קונטרס ברך חילו")</f>
        <v>קונטרס ברך חילו</v>
      </c>
    </row>
    <row r="36443" spans="1:6" x14ac:dyDescent="0.2">
      <c r="A36443" t="s">
        <v>56263</v>
      </c>
      <c r="B36443" t="s">
        <v>24100</v>
      </c>
      <c r="C36443" t="s">
        <v>114</v>
      </c>
      <c r="D36443" t="s">
        <v>52</v>
      </c>
      <c r="E36443" t="s">
        <v>130</v>
      </c>
      <c r="F36443" s="2" t="str">
        <f>HYPERLINK("http://www.otzar.org/book.asp?174298","קונטרס ברכה אחרונה")</f>
        <v>קונטרס ברכה אחרונה</v>
      </c>
    </row>
    <row r="36444" spans="1:6" x14ac:dyDescent="0.2">
      <c r="A36444" t="s">
        <v>56264</v>
      </c>
      <c r="B36444" t="s">
        <v>56265</v>
      </c>
      <c r="C36444" t="s">
        <v>20</v>
      </c>
      <c r="D36444" t="s">
        <v>90</v>
      </c>
      <c r="E36444" t="s">
        <v>104</v>
      </c>
      <c r="F36444" s="2" t="str">
        <f>HYPERLINK("http://www.otzar.org/book.asp?167811","קונטרס ברכה והצלחה")</f>
        <v>קונטרס ברכה והצלחה</v>
      </c>
    </row>
    <row r="36445" spans="1:6" x14ac:dyDescent="0.2">
      <c r="A36445" t="s">
        <v>56266</v>
      </c>
      <c r="B36445" t="s">
        <v>12049</v>
      </c>
      <c r="C36445" t="s">
        <v>20</v>
      </c>
      <c r="D36445" t="s">
        <v>90</v>
      </c>
      <c r="E36445" t="s">
        <v>144</v>
      </c>
      <c r="F36445" s="2" t="str">
        <f>HYPERLINK("http://www.otzar.org/book.asp?630136","קונטרס ברכה לישראל - פרק לא יחפור")</f>
        <v>קונטרס ברכה לישראל - פרק לא יחפור</v>
      </c>
    </row>
    <row r="36446" spans="1:6" x14ac:dyDescent="0.2">
      <c r="A36446" t="s">
        <v>56267</v>
      </c>
      <c r="B36446" t="s">
        <v>56268</v>
      </c>
      <c r="C36446" t="s">
        <v>366</v>
      </c>
      <c r="D36446" t="s">
        <v>90</v>
      </c>
      <c r="F36446" s="2" t="str">
        <f>HYPERLINK("http://www.otzar.org/book.asp?603679","קונטרס ברכי נפשי")</f>
        <v>קונטרס ברכי נפשי</v>
      </c>
    </row>
    <row r="36447" spans="1:6" x14ac:dyDescent="0.2">
      <c r="A36447" t="s">
        <v>56269</v>
      </c>
      <c r="B36447" t="s">
        <v>627</v>
      </c>
      <c r="C36447" t="s">
        <v>20</v>
      </c>
      <c r="D36447" t="s">
        <v>14</v>
      </c>
      <c r="E36447" t="s">
        <v>219</v>
      </c>
      <c r="F36447" s="2" t="str">
        <f>HYPERLINK("http://www.otzar.org/book.asp?148701","קונטרס ברכת אברהם")</f>
        <v>קונטרס ברכת אברהם</v>
      </c>
    </row>
    <row r="36448" spans="1:6" x14ac:dyDescent="0.2">
      <c r="A36448" t="s">
        <v>56270</v>
      </c>
      <c r="B36448" t="s">
        <v>4393</v>
      </c>
      <c r="C36448" t="s">
        <v>767</v>
      </c>
      <c r="D36448" t="s">
        <v>21</v>
      </c>
      <c r="E36448" t="s">
        <v>246</v>
      </c>
      <c r="F36448" s="2" t="str">
        <f>HYPERLINK("http://www.otzar.org/book.asp?600314","קונטרס ברכת גאולה")</f>
        <v>קונטרס ברכת גאולה</v>
      </c>
    </row>
    <row r="36449" spans="1:6" x14ac:dyDescent="0.2">
      <c r="A36449" t="s">
        <v>56271</v>
      </c>
      <c r="B36449" t="s">
        <v>12292</v>
      </c>
      <c r="C36449" t="s">
        <v>103</v>
      </c>
      <c r="D36449" t="s">
        <v>4665</v>
      </c>
      <c r="F36449" s="2" t="str">
        <f>HYPERLINK("http://www.otzar.org/book.asp?163817","קונטרס ברכת דוד - קידושין, סנהדרין")</f>
        <v>קונטרס ברכת דוד - קידושין, סנהדרין</v>
      </c>
    </row>
    <row r="36450" spans="1:6" x14ac:dyDescent="0.2">
      <c r="A36450" t="s">
        <v>56272</v>
      </c>
      <c r="B36450" t="s">
        <v>56273</v>
      </c>
      <c r="C36450" t="s">
        <v>17</v>
      </c>
      <c r="D36450" t="s">
        <v>52</v>
      </c>
      <c r="E36450" t="s">
        <v>15</v>
      </c>
      <c r="F36450" s="2" t="str">
        <f>HYPERLINK("http://www.otzar.org/book.asp?160943","קונטרס ברכת הזימון")</f>
        <v>קונטרס ברכת הזימון</v>
      </c>
    </row>
    <row r="36451" spans="1:6" x14ac:dyDescent="0.2">
      <c r="A36451" t="s">
        <v>56274</v>
      </c>
      <c r="B36451" t="s">
        <v>6628</v>
      </c>
      <c r="C36451" t="s">
        <v>146</v>
      </c>
      <c r="D36451" t="s">
        <v>52</v>
      </c>
      <c r="E36451" t="s">
        <v>15</v>
      </c>
      <c r="F36451" s="2" t="str">
        <f>HYPERLINK("http://www.otzar.org/book.asp?168729","קונטרס ברכת הזמן - 3 כר'")</f>
        <v>קונטרס ברכת הזמן - 3 כר'</v>
      </c>
    </row>
    <row r="36452" spans="1:6" x14ac:dyDescent="0.2">
      <c r="A36452" t="s">
        <v>56275</v>
      </c>
      <c r="B36452" t="s">
        <v>10824</v>
      </c>
      <c r="C36452" t="s">
        <v>20</v>
      </c>
      <c r="D36452" t="s">
        <v>52</v>
      </c>
      <c r="E36452" t="s">
        <v>144</v>
      </c>
      <c r="F36452" s="2" t="str">
        <f>HYPERLINK("http://www.otzar.org/book.asp?608490","קונטרס ברכת המצוות")</f>
        <v>קונטרס ברכת המצוות</v>
      </c>
    </row>
    <row r="36453" spans="1:6" x14ac:dyDescent="0.2">
      <c r="A36453" t="s">
        <v>56276</v>
      </c>
      <c r="B36453" t="s">
        <v>29969</v>
      </c>
      <c r="C36453" t="s">
        <v>20</v>
      </c>
      <c r="D36453" t="s">
        <v>90</v>
      </c>
      <c r="E36453" t="s">
        <v>3755</v>
      </c>
      <c r="F36453" s="2" t="str">
        <f>HYPERLINK("http://www.otzar.org/book.asp?611706","קונטרס ברכת הנהנין עם כוונות הרש""ש")</f>
        <v>קונטרס ברכת הנהנין עם כוונות הרש"ש</v>
      </c>
    </row>
    <row r="36454" spans="1:6" x14ac:dyDescent="0.2">
      <c r="A36454" t="s">
        <v>56277</v>
      </c>
      <c r="B36454" t="s">
        <v>3253</v>
      </c>
      <c r="C36454" t="s">
        <v>111</v>
      </c>
      <c r="D36454" t="s">
        <v>52</v>
      </c>
      <c r="E36454" t="s">
        <v>140</v>
      </c>
      <c r="F36454" s="2" t="str">
        <f>HYPERLINK("http://www.otzar.org/book.asp?631141","קונטרס ברכת הנהנין")</f>
        <v>קונטרס ברכת הנהנין</v>
      </c>
    </row>
    <row r="36455" spans="1:6" x14ac:dyDescent="0.2">
      <c r="A36455" t="s">
        <v>56278</v>
      </c>
      <c r="B36455" t="s">
        <v>22701</v>
      </c>
      <c r="C36455" t="s">
        <v>785</v>
      </c>
      <c r="D36455" t="s">
        <v>7468</v>
      </c>
      <c r="F36455" s="2" t="str">
        <f>HYPERLINK("http://www.otzar.org/book.asp?613441","קונטרס ברכת הפת")</f>
        <v>קונטרס ברכת הפת</v>
      </c>
    </row>
    <row r="36456" spans="1:6" x14ac:dyDescent="0.2">
      <c r="A36456" t="s">
        <v>56279</v>
      </c>
      <c r="B36456" t="s">
        <v>56280</v>
      </c>
      <c r="C36456" t="s">
        <v>23</v>
      </c>
      <c r="D36456" t="s">
        <v>152</v>
      </c>
      <c r="E36456" t="s">
        <v>24</v>
      </c>
      <c r="F36456" s="2" t="str">
        <f>HYPERLINK("http://www.otzar.org/book.asp?600257","קונטרס ברכת חתנים")</f>
        <v>קונטרס ברכת חתנים</v>
      </c>
    </row>
    <row r="36457" spans="1:6" x14ac:dyDescent="0.2">
      <c r="A36457" t="s">
        <v>56279</v>
      </c>
      <c r="B36457" t="s">
        <v>54817</v>
      </c>
      <c r="C36457" t="s">
        <v>68</v>
      </c>
      <c r="D36457" t="s">
        <v>52</v>
      </c>
      <c r="E36457" t="s">
        <v>15</v>
      </c>
      <c r="F36457" s="2" t="str">
        <f>HYPERLINK("http://www.otzar.org/book.asp?608100","קונטרס ברכת חתנים")</f>
        <v>קונטרס ברכת חתנים</v>
      </c>
    </row>
    <row r="36458" spans="1:6" x14ac:dyDescent="0.2">
      <c r="A36458" t="s">
        <v>56281</v>
      </c>
      <c r="B36458" t="s">
        <v>2074</v>
      </c>
      <c r="C36458" t="s">
        <v>366</v>
      </c>
      <c r="D36458" t="s">
        <v>14</v>
      </c>
      <c r="E36458" t="s">
        <v>15</v>
      </c>
      <c r="F36458" s="2" t="str">
        <f>HYPERLINK("http://www.otzar.org/book.asp?608696","קונטרס ברכת ט""ק שלא נפשט בלילה לדעת האר""י ז""ל")</f>
        <v>קונטרס ברכת ט"ק שלא נפשט בלילה לדעת האר"י ז"ל</v>
      </c>
    </row>
    <row r="36459" spans="1:6" x14ac:dyDescent="0.2">
      <c r="A36459" t="s">
        <v>56282</v>
      </c>
      <c r="B36459" t="s">
        <v>12487</v>
      </c>
      <c r="C36459" t="s">
        <v>133</v>
      </c>
      <c r="D36459" t="s">
        <v>486</v>
      </c>
      <c r="E36459" t="s">
        <v>144</v>
      </c>
      <c r="F36459" s="2" t="str">
        <f>HYPERLINK("http://www.otzar.org/book.asp?191490","קונטרס ברכת יהודה - שבת")</f>
        <v>קונטרס ברכת יהודה - שבת</v>
      </c>
    </row>
    <row r="36460" spans="1:6" x14ac:dyDescent="0.2">
      <c r="A36460" t="s">
        <v>56283</v>
      </c>
      <c r="B36460" t="s">
        <v>42653</v>
      </c>
      <c r="C36460" t="s">
        <v>37</v>
      </c>
      <c r="D36460" t="s">
        <v>90</v>
      </c>
      <c r="E36460" t="s">
        <v>144</v>
      </c>
      <c r="F36460" s="2" t="str">
        <f>HYPERLINK("http://www.otzar.org/book.asp?630240","קונטרס ברכת יעקב - 2 כר'")</f>
        <v>קונטרס ברכת יעקב - 2 כר'</v>
      </c>
    </row>
    <row r="36461" spans="1:6" x14ac:dyDescent="0.2">
      <c r="A36461" t="s">
        <v>56284</v>
      </c>
      <c r="B36461" t="s">
        <v>52938</v>
      </c>
      <c r="C36461" t="s">
        <v>111</v>
      </c>
      <c r="D36461" t="s">
        <v>14</v>
      </c>
      <c r="E36461" t="s">
        <v>15</v>
      </c>
      <c r="F36461" s="2" t="str">
        <f>HYPERLINK("http://www.otzar.org/book.asp?629693","קונטרס ברכת ישע")</f>
        <v>קונטרס ברכת ישע</v>
      </c>
    </row>
    <row r="36462" spans="1:6" x14ac:dyDescent="0.2">
      <c r="A36462" t="s">
        <v>56285</v>
      </c>
      <c r="B36462" t="s">
        <v>56286</v>
      </c>
      <c r="C36462" t="s">
        <v>37</v>
      </c>
      <c r="D36462" t="s">
        <v>245</v>
      </c>
      <c r="E36462" t="s">
        <v>803</v>
      </c>
      <c r="F36462" s="2" t="str">
        <f>HYPERLINK("http://www.otzar.org/book.asp?186848","קונטרס ברכת ישראל")</f>
        <v>קונטרס ברכת ישראל</v>
      </c>
    </row>
    <row r="36463" spans="1:6" x14ac:dyDescent="0.2">
      <c r="A36463" t="s">
        <v>56287</v>
      </c>
      <c r="B36463" t="s">
        <v>206</v>
      </c>
      <c r="F36463" s="2" t="str">
        <f>HYPERLINK("http://www.otzar.org/book.asp?613646","קונטרס ברכת מעין שבע")</f>
        <v>קונטרס ברכת מעין שבע</v>
      </c>
    </row>
    <row r="36464" spans="1:6" x14ac:dyDescent="0.2">
      <c r="A36464" t="s">
        <v>56288</v>
      </c>
      <c r="B36464" t="s">
        <v>56289</v>
      </c>
      <c r="C36464" t="s">
        <v>37</v>
      </c>
      <c r="D36464" t="s">
        <v>90</v>
      </c>
      <c r="E36464" t="s">
        <v>144</v>
      </c>
      <c r="F36464" s="2" t="str">
        <f>HYPERLINK("http://www.otzar.org/book.asp?194098","קונטרס ברכת משה")</f>
        <v>קונטרס ברכת משה</v>
      </c>
    </row>
    <row r="36465" spans="1:6" x14ac:dyDescent="0.2">
      <c r="A36465" t="s">
        <v>56290</v>
      </c>
      <c r="B36465" t="s">
        <v>12633</v>
      </c>
      <c r="C36465" t="s">
        <v>37</v>
      </c>
      <c r="D36465" t="s">
        <v>245</v>
      </c>
      <c r="E36465" t="s">
        <v>56291</v>
      </c>
      <c r="F36465" s="2" t="str">
        <f>HYPERLINK("http://www.otzar.org/book.asp?182970","קונטרס ברכת נחמן - 3 כר'")</f>
        <v>קונטרס ברכת נחמן - 3 כר'</v>
      </c>
    </row>
    <row r="36466" spans="1:6" x14ac:dyDescent="0.2">
      <c r="A36466" t="s">
        <v>56292</v>
      </c>
      <c r="B36466" t="s">
        <v>56293</v>
      </c>
      <c r="C36466" t="s">
        <v>133</v>
      </c>
      <c r="D36466" t="s">
        <v>245</v>
      </c>
      <c r="E36466" t="s">
        <v>144</v>
      </c>
      <c r="F36466" s="2" t="str">
        <f>HYPERLINK("http://www.otzar.org/book.asp?172622","קונטרס ברכת נחמן - מחיצות, תחומין בב""ח, תערובת")</f>
        <v>קונטרס ברכת נחמן - מחיצות, תחומין בב"ח, תערובת</v>
      </c>
    </row>
    <row r="36467" spans="1:6" x14ac:dyDescent="0.2">
      <c r="A36467" t="s">
        <v>56294</v>
      </c>
      <c r="B36467" t="s">
        <v>56295</v>
      </c>
      <c r="C36467" t="s">
        <v>411</v>
      </c>
      <c r="D36467" t="s">
        <v>21</v>
      </c>
      <c r="E36467" t="s">
        <v>144</v>
      </c>
      <c r="F36467" s="2" t="str">
        <f>HYPERLINK("http://www.otzar.org/book.asp?191652","קונטרס ברכת נתן - ברכות")</f>
        <v>קונטרס ברכת נתן - ברכות</v>
      </c>
    </row>
    <row r="36468" spans="1:6" x14ac:dyDescent="0.2">
      <c r="A36468" t="s">
        <v>56296</v>
      </c>
      <c r="B36468" t="s">
        <v>56297</v>
      </c>
      <c r="E36468" t="s">
        <v>15</v>
      </c>
      <c r="F36468" s="2" t="str">
        <f>HYPERLINK("http://www.otzar.org/book.asp?625857","קונטרס ברכת שלמה")</f>
        <v>קונטרס ברכת שלמה</v>
      </c>
    </row>
    <row r="36469" spans="1:6" x14ac:dyDescent="0.2">
      <c r="A36469" t="s">
        <v>56298</v>
      </c>
      <c r="B36469" t="s">
        <v>56299</v>
      </c>
      <c r="C36469" t="s">
        <v>23</v>
      </c>
      <c r="D36469" t="s">
        <v>21</v>
      </c>
      <c r="E36469" t="s">
        <v>241</v>
      </c>
      <c r="F36469" s="2" t="str">
        <f>HYPERLINK("http://www.otzar.org/book.asp?602675","קונטרס ברכת שמואל")</f>
        <v>קונטרס ברכת שמואל</v>
      </c>
    </row>
    <row r="36470" spans="1:6" x14ac:dyDescent="0.2">
      <c r="A36470" t="s">
        <v>56300</v>
      </c>
      <c r="B36470" t="s">
        <v>56301</v>
      </c>
      <c r="C36470" t="s">
        <v>332</v>
      </c>
      <c r="D36470" t="s">
        <v>118</v>
      </c>
      <c r="E36470" t="s">
        <v>144</v>
      </c>
      <c r="F36470" s="2" t="str">
        <f>HYPERLINK("http://www.otzar.org/book.asp?13058","קונטרס ברכת שרגא")</f>
        <v>קונטרס ברכת שרגא</v>
      </c>
    </row>
    <row r="36471" spans="1:6" x14ac:dyDescent="0.2">
      <c r="A36471" t="s">
        <v>56302</v>
      </c>
      <c r="B36471" t="s">
        <v>206</v>
      </c>
      <c r="C36471" t="s">
        <v>114</v>
      </c>
      <c r="D36471" t="s">
        <v>118</v>
      </c>
      <c r="E36471" t="s">
        <v>241</v>
      </c>
      <c r="F36471" s="2" t="str">
        <f>HYPERLINK("http://www.otzar.org/book.asp?162124","קונטרס בשבילי נברא העולם")</f>
        <v>קונטרס בשבילי נברא העולם</v>
      </c>
    </row>
    <row r="36472" spans="1:6" x14ac:dyDescent="0.2">
      <c r="A36472" t="s">
        <v>56303</v>
      </c>
      <c r="B36472" t="s">
        <v>56304</v>
      </c>
      <c r="C36472" t="s">
        <v>111</v>
      </c>
      <c r="D36472" t="s">
        <v>14</v>
      </c>
      <c r="E36472" t="s">
        <v>104</v>
      </c>
      <c r="F36472" s="2" t="str">
        <f>HYPERLINK("http://www.otzar.org/book.asp?625662","קונטרס בשולי השולחן")</f>
        <v>קונטרס בשולי השולחן</v>
      </c>
    </row>
    <row r="36473" spans="1:6" x14ac:dyDescent="0.2">
      <c r="A36473" t="s">
        <v>56305</v>
      </c>
      <c r="B36473" t="s">
        <v>56306</v>
      </c>
      <c r="C36473" t="s">
        <v>23</v>
      </c>
      <c r="D36473" t="s">
        <v>21</v>
      </c>
      <c r="E36473" t="s">
        <v>104</v>
      </c>
      <c r="F36473" s="2" t="str">
        <f>HYPERLINK("http://www.otzar.org/book.asp?199685","קונטרס בשיטת אדמו""ר הזקן בגדול הגריס")</f>
        <v>קונטרס בשיטת אדמו"ר הזקן בגדול הגריס</v>
      </c>
    </row>
    <row r="36474" spans="1:6" x14ac:dyDescent="0.2">
      <c r="A36474" t="s">
        <v>56307</v>
      </c>
      <c r="B36474" t="s">
        <v>56308</v>
      </c>
      <c r="C36474" t="s">
        <v>624</v>
      </c>
      <c r="D36474" t="s">
        <v>14</v>
      </c>
      <c r="F36474" s="2" t="str">
        <f>HYPERLINK("http://www.otzar.org/book.asp?613371","קונטרס בשיעור אורך רגל הכ""ף פשוטה")</f>
        <v>קונטרס בשיעור אורך רגל הכ"ף פשוטה</v>
      </c>
    </row>
    <row r="36475" spans="1:6" x14ac:dyDescent="0.2">
      <c r="A36475" t="s">
        <v>56309</v>
      </c>
      <c r="B36475" t="s">
        <v>21708</v>
      </c>
      <c r="C36475" t="s">
        <v>313</v>
      </c>
      <c r="D36475" t="s">
        <v>657</v>
      </c>
      <c r="E36475" t="s">
        <v>15</v>
      </c>
      <c r="F36475" s="2" t="str">
        <f>HYPERLINK("http://www.otzar.org/book.asp?108181","קונטרס בת מלך")</f>
        <v>קונטרס בת מלך</v>
      </c>
    </row>
    <row r="36476" spans="1:6" x14ac:dyDescent="0.2">
      <c r="A36476" t="s">
        <v>56310</v>
      </c>
      <c r="B36476" t="s">
        <v>56311</v>
      </c>
      <c r="C36476" t="s">
        <v>37</v>
      </c>
      <c r="D36476" t="s">
        <v>90</v>
      </c>
      <c r="F36476" s="2" t="str">
        <f>HYPERLINK("http://www.otzar.org/book.asp?197566","קונטרס בתוך ביתה")</f>
        <v>קונטרס בתוך ביתה</v>
      </c>
    </row>
    <row r="36477" spans="1:6" x14ac:dyDescent="0.2">
      <c r="A36477" t="s">
        <v>56312</v>
      </c>
      <c r="B36477" t="s">
        <v>56313</v>
      </c>
      <c r="C36477" t="s">
        <v>466</v>
      </c>
      <c r="D36477" t="s">
        <v>19689</v>
      </c>
      <c r="E36477" t="s">
        <v>219</v>
      </c>
      <c r="F36477" s="2" t="str">
        <f>HYPERLINK("http://www.otzar.org/book.asp?52883","קונטרס ג' שערים נפתחים")</f>
        <v>קונטרס ג' שערים נפתחים</v>
      </c>
    </row>
    <row r="36478" spans="1:6" x14ac:dyDescent="0.2">
      <c r="A36478" t="s">
        <v>56314</v>
      </c>
      <c r="B36478" t="s">
        <v>13030</v>
      </c>
      <c r="C36478" t="s">
        <v>422</v>
      </c>
      <c r="D36478" t="s">
        <v>2196</v>
      </c>
      <c r="E36478" t="s">
        <v>15</v>
      </c>
      <c r="F36478" s="2" t="str">
        <f>HYPERLINK("http://www.otzar.org/book.asp?603833","קונטרס גבול המזרח")</f>
        <v>קונטרס גבול המזרח</v>
      </c>
    </row>
    <row r="36479" spans="1:6" x14ac:dyDescent="0.2">
      <c r="A36479" t="s">
        <v>56315</v>
      </c>
      <c r="B36479" t="s">
        <v>56316</v>
      </c>
      <c r="C36479" t="s">
        <v>17</v>
      </c>
      <c r="D36479" t="s">
        <v>14</v>
      </c>
      <c r="E36479" t="s">
        <v>104</v>
      </c>
      <c r="F36479" s="2" t="str">
        <f>HYPERLINK("http://www.otzar.org/book.asp?173794","קונטרס גבול פאת נגב")</f>
        <v>קונטרס גבול פאת נגב</v>
      </c>
    </row>
    <row r="36480" spans="1:6" x14ac:dyDescent="0.2">
      <c r="A36480" t="s">
        <v>56317</v>
      </c>
      <c r="B36480" t="s">
        <v>107</v>
      </c>
      <c r="C36480" t="s">
        <v>1388</v>
      </c>
      <c r="D36480" t="s">
        <v>14</v>
      </c>
      <c r="E36480" t="s">
        <v>104</v>
      </c>
      <c r="F36480" s="2" t="str">
        <f>HYPERLINK("http://www.otzar.org/book.asp?84483","קונטרס גבורות גשמים")</f>
        <v>קונטרס גבורות גשמים</v>
      </c>
    </row>
    <row r="36481" spans="1:6" x14ac:dyDescent="0.2">
      <c r="A36481" t="s">
        <v>56318</v>
      </c>
      <c r="B36481" t="s">
        <v>56070</v>
      </c>
      <c r="C36481" t="s">
        <v>244</v>
      </c>
      <c r="D36481" t="s">
        <v>52</v>
      </c>
      <c r="E36481" t="s">
        <v>803</v>
      </c>
      <c r="F36481" s="2" t="str">
        <f>HYPERLINK("http://www.otzar.org/book.asp?194050","קונטרס גבורות שמונים")</f>
        <v>קונטרס גבורות שמונים</v>
      </c>
    </row>
    <row r="36482" spans="1:6" x14ac:dyDescent="0.2">
      <c r="A36482" t="s">
        <v>56319</v>
      </c>
      <c r="B36482" t="s">
        <v>34136</v>
      </c>
      <c r="C36482" t="s">
        <v>366</v>
      </c>
      <c r="D36482" t="s">
        <v>52</v>
      </c>
      <c r="E36482" t="s">
        <v>144</v>
      </c>
      <c r="F36482" s="2" t="str">
        <f>HYPERLINK("http://www.otzar.org/book.asp?604917","קונטרס גבורת מרדכי")</f>
        <v>קונטרס גבורת מרדכי</v>
      </c>
    </row>
    <row r="36483" spans="1:6" x14ac:dyDescent="0.2">
      <c r="A36483" t="s">
        <v>56320</v>
      </c>
      <c r="B36483" t="s">
        <v>42628</v>
      </c>
      <c r="C36483" t="s">
        <v>244</v>
      </c>
      <c r="D36483" t="s">
        <v>52</v>
      </c>
      <c r="E36483" t="s">
        <v>786</v>
      </c>
      <c r="F36483" s="2" t="str">
        <f>HYPERLINK("http://www.otzar.org/book.asp?603208","קונטרס גבעת פנחס")</f>
        <v>קונטרס גבעת פנחס</v>
      </c>
    </row>
    <row r="36484" spans="1:6" x14ac:dyDescent="0.2">
      <c r="A36484" t="s">
        <v>56321</v>
      </c>
      <c r="B36484" t="s">
        <v>56322</v>
      </c>
      <c r="C36484" t="s">
        <v>68</v>
      </c>
      <c r="D36484" t="s">
        <v>52</v>
      </c>
      <c r="E36484" t="s">
        <v>241</v>
      </c>
      <c r="F36484" s="2" t="str">
        <f>HYPERLINK("http://www.otzar.org/book.asp?172951","קונטרס גדול המצווה ועושה")</f>
        <v>קונטרס גדול המצווה ועושה</v>
      </c>
    </row>
    <row r="36485" spans="1:6" x14ac:dyDescent="0.2">
      <c r="A36485" t="s">
        <v>56323</v>
      </c>
      <c r="B36485" t="s">
        <v>56324</v>
      </c>
      <c r="C36485" t="s">
        <v>1268</v>
      </c>
      <c r="D36485" t="s">
        <v>412</v>
      </c>
      <c r="F36485" s="2" t="str">
        <f>HYPERLINK("http://www.otzar.org/book.asp?196452","קונטרס גדולי יצחק")</f>
        <v>קונטרס גדולי יצחק</v>
      </c>
    </row>
    <row r="36486" spans="1:6" x14ac:dyDescent="0.2">
      <c r="A36486" t="s">
        <v>56325</v>
      </c>
      <c r="B36486" t="s">
        <v>56325</v>
      </c>
      <c r="C36486" t="s">
        <v>124</v>
      </c>
      <c r="D36486" t="s">
        <v>52</v>
      </c>
      <c r="E36486" t="s">
        <v>104</v>
      </c>
      <c r="F36486" s="2" t="str">
        <f>HYPERLINK("http://www.otzar.org/book.asp?107030","קונטרס גדרי קדושה")</f>
        <v>קונטרס גדרי קדושה</v>
      </c>
    </row>
    <row r="36487" spans="1:6" x14ac:dyDescent="0.2">
      <c r="A36487" t="s">
        <v>56326</v>
      </c>
      <c r="B36487" t="s">
        <v>56327</v>
      </c>
      <c r="C36487" t="s">
        <v>244</v>
      </c>
      <c r="D36487" t="s">
        <v>3560</v>
      </c>
      <c r="F36487" s="2" t="str">
        <f>HYPERLINK("http://www.otzar.org/book.asp?609759","קונטרס גולה עמוקות")</f>
        <v>קונטרס גולה עמוקות</v>
      </c>
    </row>
    <row r="36488" spans="1:6" x14ac:dyDescent="0.2">
      <c r="A36488" t="s">
        <v>56328</v>
      </c>
      <c r="B36488" t="s">
        <v>206</v>
      </c>
      <c r="C36488" t="s">
        <v>151</v>
      </c>
      <c r="D36488" t="s">
        <v>1550</v>
      </c>
      <c r="F36488" s="2" t="str">
        <f>HYPERLINK("http://www.otzar.org/book.asp?615914","קונטרס גולות מים")</f>
        <v>קונטרס גולות מים</v>
      </c>
    </row>
    <row r="36489" spans="1:6" x14ac:dyDescent="0.2">
      <c r="A36489" t="s">
        <v>56329</v>
      </c>
      <c r="B36489" t="s">
        <v>37719</v>
      </c>
      <c r="C36489" t="s">
        <v>133</v>
      </c>
      <c r="D36489" t="s">
        <v>21</v>
      </c>
      <c r="E36489" t="s">
        <v>15</v>
      </c>
      <c r="F36489" s="2" t="str">
        <f>HYPERLINK("http://www.otzar.org/book.asp?195632","קונטרס גומל חיים")</f>
        <v>קונטרס גומל חיים</v>
      </c>
    </row>
    <row r="36490" spans="1:6" x14ac:dyDescent="0.2">
      <c r="A36490" t="s">
        <v>56330</v>
      </c>
      <c r="B36490" t="s">
        <v>477</v>
      </c>
      <c r="C36490" t="s">
        <v>68</v>
      </c>
      <c r="D36490" t="s">
        <v>14</v>
      </c>
      <c r="E36490" t="s">
        <v>246</v>
      </c>
      <c r="F36490" s="2" t="str">
        <f>HYPERLINK("http://www.otzar.org/book.asp?176347","קונטרס גור אריה - 4 כר'")</f>
        <v>קונטרס גור אריה - 4 כר'</v>
      </c>
    </row>
    <row r="36491" spans="1:6" x14ac:dyDescent="0.2">
      <c r="A36491" t="s">
        <v>56331</v>
      </c>
      <c r="B36491" t="s">
        <v>17496</v>
      </c>
      <c r="C36491" t="s">
        <v>163</v>
      </c>
      <c r="D36491" t="s">
        <v>56332</v>
      </c>
      <c r="E36491" t="s">
        <v>119</v>
      </c>
      <c r="F36491" s="2" t="str">
        <f>HYPERLINK("http://www.otzar.org/book.asp?147126","קונטרס גזרות תתנ""ו - 2 כר'")</f>
        <v>קונטרס גזרות תתנ"ו - 2 כר'</v>
      </c>
    </row>
    <row r="36492" spans="1:6" x14ac:dyDescent="0.2">
      <c r="A36492" t="s">
        <v>56333</v>
      </c>
      <c r="B36492" t="s">
        <v>7982</v>
      </c>
      <c r="C36492" t="s">
        <v>133</v>
      </c>
      <c r="D36492" t="s">
        <v>21</v>
      </c>
      <c r="F36492" s="2" t="str">
        <f>HYPERLINK("http://www.otzar.org/book.asp?610103","קונטרס גחלי אש")</f>
        <v>קונטרס גחלי אש</v>
      </c>
    </row>
    <row r="36493" spans="1:6" x14ac:dyDescent="0.2">
      <c r="A36493" t="s">
        <v>56334</v>
      </c>
      <c r="B36493" t="s">
        <v>206</v>
      </c>
      <c r="F36493" s="2" t="str">
        <f>HYPERLINK("http://www.otzar.org/book.asp?629915","קונטרס גחלים על ראשו")</f>
        <v>קונטרס גחלים על ראשו</v>
      </c>
    </row>
    <row r="36494" spans="1:6" x14ac:dyDescent="0.2">
      <c r="A36494" t="s">
        <v>56335</v>
      </c>
      <c r="B36494" t="s">
        <v>56336</v>
      </c>
      <c r="C36494" t="s">
        <v>151</v>
      </c>
      <c r="D36494" t="s">
        <v>52</v>
      </c>
      <c r="F36494" s="2" t="str">
        <f>HYPERLINK("http://www.otzar.org/book.asp?622741","קונטרס גט מעושה")</f>
        <v>קונטרס גט מעושה</v>
      </c>
    </row>
    <row r="36495" spans="1:6" x14ac:dyDescent="0.2">
      <c r="A36495" t="s">
        <v>56337</v>
      </c>
      <c r="B36495" t="s">
        <v>56131</v>
      </c>
      <c r="C36495" t="s">
        <v>111</v>
      </c>
      <c r="D36495" t="s">
        <v>412</v>
      </c>
      <c r="E36495" t="s">
        <v>15</v>
      </c>
      <c r="F36495" s="2" t="str">
        <f>HYPERLINK("http://www.otzar.org/book.asp?627266","קונטרס גידול הזקן - 2 כר'")</f>
        <v>קונטרס גידול הזקן - 2 כר'</v>
      </c>
    </row>
    <row r="36496" spans="1:6" x14ac:dyDescent="0.2">
      <c r="A36496" t="s">
        <v>56338</v>
      </c>
      <c r="B36496" t="s">
        <v>9425</v>
      </c>
      <c r="C36496" t="s">
        <v>56339</v>
      </c>
      <c r="D36496" t="s">
        <v>9426</v>
      </c>
      <c r="E36496" t="s">
        <v>15</v>
      </c>
      <c r="F36496" s="2" t="str">
        <f>HYPERLINK("http://www.otzar.org/book.asp?179833","קונטרס גידולי שדה")</f>
        <v>קונטרס גידולי שדה</v>
      </c>
    </row>
    <row r="36497" spans="1:6" x14ac:dyDescent="0.2">
      <c r="A36497" t="s">
        <v>56340</v>
      </c>
      <c r="B36497" t="s">
        <v>107</v>
      </c>
      <c r="C36497" t="s">
        <v>454</v>
      </c>
      <c r="D36497" t="s">
        <v>14</v>
      </c>
      <c r="E36497" t="s">
        <v>104</v>
      </c>
      <c r="F36497" s="2" t="str">
        <f>HYPERLINK("http://www.otzar.org/book.asp?84490","קונטרס גילגול נשמות")</f>
        <v>קונטרס גילגול נשמות</v>
      </c>
    </row>
    <row r="36498" spans="1:6" x14ac:dyDescent="0.2">
      <c r="A36498" t="s">
        <v>56341</v>
      </c>
      <c r="B36498" t="s">
        <v>11113</v>
      </c>
      <c r="C36498" t="s">
        <v>17</v>
      </c>
      <c r="D36498" t="s">
        <v>14</v>
      </c>
      <c r="E36498" t="s">
        <v>104</v>
      </c>
      <c r="F36498" s="2" t="str">
        <f>HYPERLINK("http://www.otzar.org/book.asp?176801","קונטרס גילו ברעדה")</f>
        <v>קונטרס גילו ברעדה</v>
      </c>
    </row>
    <row r="36499" spans="1:6" x14ac:dyDescent="0.2">
      <c r="A36499" t="s">
        <v>56342</v>
      </c>
      <c r="B36499" t="s">
        <v>56343</v>
      </c>
      <c r="C36499" t="s">
        <v>151</v>
      </c>
      <c r="D36499" t="s">
        <v>14</v>
      </c>
      <c r="F36499" s="2" t="str">
        <f>HYPERLINK("http://www.otzar.org/book.asp?619346","קונטרס גלות אליהו")</f>
        <v>קונטרס גלות אליהו</v>
      </c>
    </row>
    <row r="36500" spans="1:6" x14ac:dyDescent="0.2">
      <c r="A36500" t="s">
        <v>56344</v>
      </c>
      <c r="B36500" t="s">
        <v>22207</v>
      </c>
      <c r="D36500" t="s">
        <v>52</v>
      </c>
      <c r="F36500" s="2" t="str">
        <f>HYPERLINK("http://www.otzar.org/book.asp?612586","קונטרס גלילי כסף")</f>
        <v>קונטרס גלילי כסף</v>
      </c>
    </row>
    <row r="36501" spans="1:6" x14ac:dyDescent="0.2">
      <c r="A36501" t="s">
        <v>56345</v>
      </c>
      <c r="B36501" t="s">
        <v>6987</v>
      </c>
      <c r="C36501" t="s">
        <v>111</v>
      </c>
      <c r="D36501" t="s">
        <v>14</v>
      </c>
      <c r="E36501" t="s">
        <v>246</v>
      </c>
      <c r="F36501" s="2" t="str">
        <f>HYPERLINK("http://www.otzar.org/book.asp?627274","קונטרס גמולו בראשו")</f>
        <v>קונטרס גמולו בראשו</v>
      </c>
    </row>
    <row r="36502" spans="1:6" x14ac:dyDescent="0.2">
      <c r="A36502" t="s">
        <v>56346</v>
      </c>
      <c r="B36502" t="s">
        <v>56347</v>
      </c>
      <c r="C36502" t="s">
        <v>151</v>
      </c>
      <c r="D36502" t="s">
        <v>14</v>
      </c>
      <c r="F36502" s="2" t="str">
        <f>HYPERLINK("http://www.otzar.org/book.asp?616080","קונטרס גמרא ברורה - ארבעה אבות")</f>
        <v>קונטרס גמרא ברורה - ארבעה אבות</v>
      </c>
    </row>
    <row r="36503" spans="1:6" x14ac:dyDescent="0.2">
      <c r="A36503" t="s">
        <v>56348</v>
      </c>
      <c r="B36503" t="s">
        <v>107</v>
      </c>
      <c r="C36503" t="s">
        <v>454</v>
      </c>
      <c r="D36503" t="s">
        <v>14</v>
      </c>
      <c r="E36503" t="s">
        <v>234</v>
      </c>
      <c r="F36503" s="2" t="str">
        <f>HYPERLINK("http://www.otzar.org/book.asp?84491","קונטרס גמרה של תורה")</f>
        <v>קונטרס גמרה של תורה</v>
      </c>
    </row>
    <row r="36504" spans="1:6" x14ac:dyDescent="0.2">
      <c r="A36504" t="s">
        <v>56349</v>
      </c>
      <c r="B36504" t="s">
        <v>13030</v>
      </c>
      <c r="C36504" t="s">
        <v>13</v>
      </c>
      <c r="D36504" t="s">
        <v>2196</v>
      </c>
      <c r="E36504" t="s">
        <v>15</v>
      </c>
      <c r="F36504" s="2" t="str">
        <f>HYPERLINK("http://www.otzar.org/book.asp?603834","קונטרס גן העיר")</f>
        <v>קונטרס גן העיר</v>
      </c>
    </row>
    <row r="36505" spans="1:6" x14ac:dyDescent="0.2">
      <c r="A36505" t="s">
        <v>56350</v>
      </c>
      <c r="B36505" t="s">
        <v>56351</v>
      </c>
      <c r="C36505" t="s">
        <v>244</v>
      </c>
      <c r="D36505" t="s">
        <v>3069</v>
      </c>
      <c r="F36505" s="2" t="str">
        <f>HYPERLINK("http://www.otzar.org/book.asp?616871","קונטרס גנזי יוסף")</f>
        <v>קונטרס גנזי יוסף</v>
      </c>
    </row>
    <row r="36506" spans="1:6" x14ac:dyDescent="0.2">
      <c r="A36506" t="s">
        <v>56352</v>
      </c>
      <c r="B36506" t="s">
        <v>206</v>
      </c>
      <c r="C36506" t="s">
        <v>51</v>
      </c>
      <c r="D36506" t="s">
        <v>52</v>
      </c>
      <c r="E36506" t="s">
        <v>144</v>
      </c>
      <c r="F36506" s="2" t="str">
        <f>HYPERLINK("http://www.otzar.org/book.asp?190977","קונטרס גניבה וגזילה")</f>
        <v>קונטרס גניבה וגזילה</v>
      </c>
    </row>
    <row r="36507" spans="1:6" x14ac:dyDescent="0.2">
      <c r="A36507" t="s">
        <v>56353</v>
      </c>
      <c r="B36507" t="s">
        <v>6984</v>
      </c>
      <c r="C36507" t="s">
        <v>133</v>
      </c>
      <c r="D36507" t="s">
        <v>14</v>
      </c>
      <c r="E36507" t="s">
        <v>3055</v>
      </c>
      <c r="F36507" s="2" t="str">
        <f>HYPERLINK("http://www.otzar.org/book.asp?623581","קונטרס גער חית קנה")</f>
        <v>קונטרס גער חית קנה</v>
      </c>
    </row>
    <row r="36508" spans="1:6" x14ac:dyDescent="0.2">
      <c r="A36508" t="s">
        <v>56354</v>
      </c>
      <c r="B36508" t="s">
        <v>11294</v>
      </c>
      <c r="C36508" t="s">
        <v>133</v>
      </c>
      <c r="D36508" t="s">
        <v>5172</v>
      </c>
      <c r="E36508" t="s">
        <v>579</v>
      </c>
      <c r="F36508" s="2" t="str">
        <f>HYPERLINK("http://www.otzar.org/book.asp?195027","קונטרס גר שנתגייר כקטן שנולד דמי")</f>
        <v>קונטרס גר שנתגייר כקטן שנולד דמי</v>
      </c>
    </row>
    <row r="36509" spans="1:6" x14ac:dyDescent="0.2">
      <c r="A36509" t="s">
        <v>56355</v>
      </c>
      <c r="B36509" t="s">
        <v>41875</v>
      </c>
      <c r="C36509" t="s">
        <v>146</v>
      </c>
      <c r="D36509" t="s">
        <v>14</v>
      </c>
      <c r="E36509" t="s">
        <v>144</v>
      </c>
      <c r="F36509" s="2" t="str">
        <f>HYPERLINK("http://www.otzar.org/book.asp?160961","קונטרס גשמי ברכה")</f>
        <v>קונטרס גשמי ברכה</v>
      </c>
    </row>
    <row r="36510" spans="1:6" x14ac:dyDescent="0.2">
      <c r="A36510" t="s">
        <v>56356</v>
      </c>
      <c r="B36510" t="s">
        <v>9187</v>
      </c>
      <c r="C36510" t="s">
        <v>17</v>
      </c>
      <c r="D36510" t="s">
        <v>52</v>
      </c>
      <c r="E36510" t="s">
        <v>130</v>
      </c>
      <c r="F36510" s="2" t="str">
        <f>HYPERLINK("http://www.otzar.org/book.asp?50310","קונטרס ד' מינים בשביעית")</f>
        <v>קונטרס ד' מינים בשביעית</v>
      </c>
    </row>
    <row r="36511" spans="1:6" x14ac:dyDescent="0.2">
      <c r="A36511" t="s">
        <v>56357</v>
      </c>
      <c r="B36511" t="s">
        <v>56358</v>
      </c>
      <c r="C36511" t="s">
        <v>411</v>
      </c>
      <c r="D36511" t="s">
        <v>14</v>
      </c>
      <c r="E36511" t="s">
        <v>246</v>
      </c>
      <c r="F36511" s="2" t="str">
        <f>HYPERLINK("http://www.otzar.org/book.asp?170787","קונטרס ד' מינים")</f>
        <v>קונטרס ד' מינים</v>
      </c>
    </row>
    <row r="36512" spans="1:6" x14ac:dyDescent="0.2">
      <c r="A36512" t="s">
        <v>56359</v>
      </c>
      <c r="B36512" t="s">
        <v>1331</v>
      </c>
      <c r="C36512" t="s">
        <v>17</v>
      </c>
      <c r="D36512" t="s">
        <v>14</v>
      </c>
      <c r="E36512" t="s">
        <v>4022</v>
      </c>
      <c r="F36512" s="2" t="str">
        <f>HYPERLINK("http://www.otzar.org/book.asp?163124","קונטרס דא""ח - 2 כר'")</f>
        <v>קונטרס דא"ח - 2 כר'</v>
      </c>
    </row>
    <row r="36513" spans="1:6" x14ac:dyDescent="0.2">
      <c r="A36513" t="s">
        <v>56360</v>
      </c>
      <c r="B36513" t="s">
        <v>56361</v>
      </c>
      <c r="C36513" t="s">
        <v>20</v>
      </c>
      <c r="D36513" t="s">
        <v>1156</v>
      </c>
      <c r="E36513" t="s">
        <v>202</v>
      </c>
      <c r="F36513" s="2" t="str">
        <f>HYPERLINK("http://www.otzar.org/book.asp?605517","קונטרס דבי הילולא")</f>
        <v>קונטרס דבי הילולא</v>
      </c>
    </row>
    <row r="36514" spans="1:6" x14ac:dyDescent="0.2">
      <c r="A36514" t="s">
        <v>56362</v>
      </c>
      <c r="B36514" t="s">
        <v>1750</v>
      </c>
      <c r="C36514" t="s">
        <v>133</v>
      </c>
      <c r="F36514" s="2" t="str">
        <f>HYPERLINK("http://www.otzar.org/book.asp?603278","קונטרס דבי עילאי")</f>
        <v>קונטרס דבי עילאי</v>
      </c>
    </row>
    <row r="36515" spans="1:6" x14ac:dyDescent="0.2">
      <c r="A36515" t="s">
        <v>56363</v>
      </c>
      <c r="B36515" t="s">
        <v>56364</v>
      </c>
      <c r="C36515" t="s">
        <v>17</v>
      </c>
      <c r="D36515" t="s">
        <v>412</v>
      </c>
      <c r="E36515" t="s">
        <v>144</v>
      </c>
      <c r="F36515" s="2" t="str">
        <f>HYPERLINK("http://www.otzar.org/book.asp?604016","קונטרס דבר אליעזר")</f>
        <v>קונטרס דבר אליעזר</v>
      </c>
    </row>
    <row r="36516" spans="1:6" x14ac:dyDescent="0.2">
      <c r="A36516" t="s">
        <v>56365</v>
      </c>
      <c r="B36516" t="s">
        <v>56366</v>
      </c>
      <c r="C36516" t="s">
        <v>411</v>
      </c>
      <c r="D36516" t="s">
        <v>152</v>
      </c>
      <c r="E36516" t="s">
        <v>144</v>
      </c>
      <c r="F36516" s="2" t="str">
        <f>HYPERLINK("http://www.otzar.org/book.asp?172913","קונטרס דבר אמר - 2 כר'")</f>
        <v>קונטרס דבר אמר - 2 כר'</v>
      </c>
    </row>
    <row r="36517" spans="1:6" x14ac:dyDescent="0.2">
      <c r="A36517" t="s">
        <v>56367</v>
      </c>
      <c r="B36517" t="s">
        <v>56368</v>
      </c>
      <c r="C36517" t="s">
        <v>124</v>
      </c>
      <c r="D36517" t="s">
        <v>52</v>
      </c>
      <c r="F36517" s="2" t="str">
        <f>HYPERLINK("http://www.otzar.org/book.asp?182326","קונטרס דבר בעתו")</f>
        <v>קונטרס דבר בעתו</v>
      </c>
    </row>
    <row r="36518" spans="1:6" x14ac:dyDescent="0.2">
      <c r="A36518" t="s">
        <v>56369</v>
      </c>
      <c r="B36518" t="s">
        <v>9651</v>
      </c>
      <c r="C36518" t="s">
        <v>111</v>
      </c>
      <c r="D36518" t="s">
        <v>52</v>
      </c>
      <c r="E36518" t="s">
        <v>140</v>
      </c>
      <c r="F36518" s="2" t="str">
        <f>HYPERLINK("http://www.otzar.org/book.asp?627163","קונטרס דבר הגורם לממון")</f>
        <v>קונטרס דבר הגורם לממון</v>
      </c>
    </row>
    <row r="36519" spans="1:6" x14ac:dyDescent="0.2">
      <c r="A36519" t="s">
        <v>56370</v>
      </c>
      <c r="B36519" t="s">
        <v>14662</v>
      </c>
      <c r="C36519" t="s">
        <v>87</v>
      </c>
      <c r="D36519" t="s">
        <v>412</v>
      </c>
      <c r="F36519" s="2" t="str">
        <f>HYPERLINK("http://www.otzar.org/book.asp?613066","קונטרס דבר השמיטה - 2 כר'")</f>
        <v>קונטרס דבר השמיטה - 2 כר'</v>
      </c>
    </row>
    <row r="36520" spans="1:6" x14ac:dyDescent="0.2">
      <c r="A36520" t="s">
        <v>56371</v>
      </c>
      <c r="B36520" t="s">
        <v>56372</v>
      </c>
      <c r="C36520" t="s">
        <v>23</v>
      </c>
      <c r="D36520" t="s">
        <v>90</v>
      </c>
      <c r="E36520" t="s">
        <v>384</v>
      </c>
      <c r="F36520" s="2" t="str">
        <f>HYPERLINK("http://www.otzar.org/book.asp?197820","קונטרס דבר יהודה")</f>
        <v>קונטרס דבר יהודה</v>
      </c>
    </row>
    <row r="36521" spans="1:6" x14ac:dyDescent="0.2">
      <c r="A36521" t="s">
        <v>56373</v>
      </c>
      <c r="B36521" t="s">
        <v>40835</v>
      </c>
      <c r="C36521" t="s">
        <v>332</v>
      </c>
      <c r="D36521" t="s">
        <v>412</v>
      </c>
      <c r="F36521" s="2" t="str">
        <f>HYPERLINK("http://www.otzar.org/book.asp?196449","קונטרס דבר משה")</f>
        <v>קונטרס דבר משה</v>
      </c>
    </row>
    <row r="36522" spans="1:6" x14ac:dyDescent="0.2">
      <c r="A36522" t="s">
        <v>56374</v>
      </c>
      <c r="B36522" t="s">
        <v>14265</v>
      </c>
      <c r="C36522" t="s">
        <v>244</v>
      </c>
      <c r="D36522" t="s">
        <v>21</v>
      </c>
      <c r="E36522" t="s">
        <v>15</v>
      </c>
      <c r="F36522" s="2" t="str">
        <f>HYPERLINK("http://www.otzar.org/book.asp?603109","קונטרס דברות מנחם - קוביה הונגרית")</f>
        <v>קונטרס דברות מנחם - קוביה הונגרית</v>
      </c>
    </row>
    <row r="36523" spans="1:6" x14ac:dyDescent="0.2">
      <c r="A36523" t="s">
        <v>56375</v>
      </c>
      <c r="B36523" t="s">
        <v>56376</v>
      </c>
      <c r="C36523" t="s">
        <v>68</v>
      </c>
      <c r="D36523" t="s">
        <v>56377</v>
      </c>
      <c r="E36523" t="s">
        <v>872</v>
      </c>
      <c r="F36523" s="2" t="str">
        <f>HYPERLINK("http://www.otzar.org/book.asp?165962","קונטרס דברות מרדכי")</f>
        <v>קונטרס דברות מרדכי</v>
      </c>
    </row>
    <row r="36524" spans="1:6" x14ac:dyDescent="0.2">
      <c r="A36524" t="s">
        <v>56378</v>
      </c>
      <c r="B36524" t="s">
        <v>56379</v>
      </c>
      <c r="C36524" t="s">
        <v>366</v>
      </c>
      <c r="D36524" t="s">
        <v>2531</v>
      </c>
      <c r="E36524" t="s">
        <v>230</v>
      </c>
      <c r="F36524" s="2" t="str">
        <f>HYPERLINK("http://www.otzar.org/book.asp?630326","קונטרס דברי אותותיו - א")</f>
        <v>קונטרס דברי אותותיו - א</v>
      </c>
    </row>
    <row r="36525" spans="1:6" x14ac:dyDescent="0.2">
      <c r="A36525" t="s">
        <v>56380</v>
      </c>
      <c r="B36525" t="s">
        <v>56381</v>
      </c>
      <c r="C36525" t="s">
        <v>332</v>
      </c>
      <c r="D36525" t="s">
        <v>412</v>
      </c>
      <c r="E36525" t="s">
        <v>14089</v>
      </c>
      <c r="F36525" s="2" t="str">
        <f>HYPERLINK("http://www.otzar.org/book.asp?179497","קונטרס דברי אמת  - א")</f>
        <v>קונטרס דברי אמת  - א</v>
      </c>
    </row>
    <row r="36526" spans="1:6" x14ac:dyDescent="0.2">
      <c r="A36526" t="s">
        <v>56382</v>
      </c>
      <c r="B36526" t="s">
        <v>56383</v>
      </c>
      <c r="C36526" t="s">
        <v>466</v>
      </c>
      <c r="D36526" t="s">
        <v>52</v>
      </c>
      <c r="E36526" t="s">
        <v>230</v>
      </c>
      <c r="F36526" s="2" t="str">
        <f>HYPERLINK("http://www.otzar.org/book.asp?179972","קונטרס דברי דוד")</f>
        <v>קונטרס דברי דוד</v>
      </c>
    </row>
    <row r="36527" spans="1:6" x14ac:dyDescent="0.2">
      <c r="A36527" t="s">
        <v>56384</v>
      </c>
      <c r="B36527" t="s">
        <v>56385</v>
      </c>
      <c r="C36527" t="s">
        <v>129</v>
      </c>
      <c r="E36527" t="s">
        <v>144</v>
      </c>
      <c r="F36527" s="2" t="str">
        <f>HYPERLINK("http://www.otzar.org/book.asp?52985","קונטרס דברי הודיה")</f>
        <v>קונטרס דברי הודיה</v>
      </c>
    </row>
    <row r="36528" spans="1:6" x14ac:dyDescent="0.2">
      <c r="A36528" t="s">
        <v>56386</v>
      </c>
      <c r="B36528" t="s">
        <v>5171</v>
      </c>
      <c r="C36528" t="s">
        <v>114</v>
      </c>
      <c r="D36528" t="s">
        <v>5172</v>
      </c>
      <c r="E36528" t="s">
        <v>246</v>
      </c>
      <c r="F36528" s="2" t="str">
        <f>HYPERLINK("http://www.otzar.org/book.asp?161537","קונטרס דברי הצומות - תענית אסתר")</f>
        <v>קונטרס דברי הצומות - תענית אסתר</v>
      </c>
    </row>
    <row r="36529" spans="1:6" x14ac:dyDescent="0.2">
      <c r="A36529" t="s">
        <v>56387</v>
      </c>
      <c r="B36529" t="s">
        <v>12648</v>
      </c>
      <c r="C36529" t="s">
        <v>244</v>
      </c>
      <c r="D36529" t="s">
        <v>245</v>
      </c>
      <c r="F36529" s="2" t="str">
        <f>HYPERLINK("http://www.otzar.org/book.asp?611431","קונטרס דברי הרב ודברי התלמיד")</f>
        <v>קונטרס דברי הרב ודברי התלמיד</v>
      </c>
    </row>
    <row r="36530" spans="1:6" x14ac:dyDescent="0.2">
      <c r="A36530" t="s">
        <v>56388</v>
      </c>
      <c r="B36530" t="s">
        <v>206</v>
      </c>
      <c r="C36530" t="s">
        <v>411</v>
      </c>
      <c r="D36530" t="s">
        <v>14</v>
      </c>
      <c r="F36530" s="2" t="str">
        <f>HYPERLINK("http://www.otzar.org/book.asp?609601","קונטרס דברי חיזוק בהלכה ובאגדה")</f>
        <v>קונטרס דברי חיזוק בהלכה ובאגדה</v>
      </c>
    </row>
    <row r="36531" spans="1:6" x14ac:dyDescent="0.2">
      <c r="A36531" t="s">
        <v>56389</v>
      </c>
      <c r="B36531" t="s">
        <v>206</v>
      </c>
      <c r="C36531" t="s">
        <v>244</v>
      </c>
      <c r="D36531" t="s">
        <v>90</v>
      </c>
      <c r="F36531" s="2" t="str">
        <f>HYPERLINK("http://www.otzar.org/book.asp?610576","קונטרס דברי חיזוק")</f>
        <v>קונטרס דברי חיזוק</v>
      </c>
    </row>
    <row r="36532" spans="1:6" x14ac:dyDescent="0.2">
      <c r="A36532" t="s">
        <v>56389</v>
      </c>
      <c r="B36532" t="s">
        <v>1353</v>
      </c>
      <c r="C36532" t="s">
        <v>103</v>
      </c>
      <c r="D36532" t="s">
        <v>52</v>
      </c>
      <c r="E36532" t="s">
        <v>104</v>
      </c>
      <c r="F36532" s="2" t="str">
        <f>HYPERLINK("http://www.otzar.org/book.asp?163084","קונטרס דברי חיזוק")</f>
        <v>קונטרס דברי חיזוק</v>
      </c>
    </row>
    <row r="36533" spans="1:6" x14ac:dyDescent="0.2">
      <c r="A36533" t="s">
        <v>56390</v>
      </c>
      <c r="B36533" t="s">
        <v>56391</v>
      </c>
      <c r="C36533" t="s">
        <v>366</v>
      </c>
      <c r="D36533" t="s">
        <v>44009</v>
      </c>
      <c r="E36533" t="s">
        <v>158</v>
      </c>
      <c r="F36533" s="2" t="str">
        <f>HYPERLINK("http://www.otzar.org/book.asp?606109","קונטרס דברי יונתן - קהלת")</f>
        <v>קונטרס דברי יונתן - קהלת</v>
      </c>
    </row>
    <row r="36534" spans="1:6" x14ac:dyDescent="0.2">
      <c r="A36534" t="s">
        <v>56392</v>
      </c>
      <c r="B36534" t="s">
        <v>1639</v>
      </c>
      <c r="C36534" t="s">
        <v>79</v>
      </c>
      <c r="D36534" t="s">
        <v>13819</v>
      </c>
      <c r="E36534" t="s">
        <v>674</v>
      </c>
      <c r="F36534" s="2" t="str">
        <f>HYPERLINK("http://www.otzar.org/book.asp?167555","קונטרס דברי יחזקאל")</f>
        <v>קונטרס דברי יחזקאל</v>
      </c>
    </row>
    <row r="36535" spans="1:6" x14ac:dyDescent="0.2">
      <c r="A36535" t="s">
        <v>56393</v>
      </c>
      <c r="B36535" t="s">
        <v>4719</v>
      </c>
      <c r="C36535" t="s">
        <v>23</v>
      </c>
      <c r="D36535" t="s">
        <v>367</v>
      </c>
      <c r="F36535" s="2" t="str">
        <f>HYPERLINK("http://www.otzar.org/book.asp?198457","קונטרס דברי יעקב")</f>
        <v>קונטרס דברי יעקב</v>
      </c>
    </row>
    <row r="36536" spans="1:6" x14ac:dyDescent="0.2">
      <c r="A36536" t="s">
        <v>56394</v>
      </c>
      <c r="B36536" t="s">
        <v>29903</v>
      </c>
      <c r="C36536" t="s">
        <v>989</v>
      </c>
      <c r="D36536" t="s">
        <v>52</v>
      </c>
      <c r="E36536" t="s">
        <v>144</v>
      </c>
      <c r="F36536" s="2" t="str">
        <f>HYPERLINK("http://www.otzar.org/book.asp?167757","קונטרס דברי ישעי' - 2 כר'")</f>
        <v>קונטרס דברי ישעי' - 2 כר'</v>
      </c>
    </row>
    <row r="36537" spans="1:6" x14ac:dyDescent="0.2">
      <c r="A36537" t="s">
        <v>56395</v>
      </c>
      <c r="B36537" t="s">
        <v>2861</v>
      </c>
      <c r="C36537" t="s">
        <v>146</v>
      </c>
      <c r="D36537" t="s">
        <v>52</v>
      </c>
      <c r="F36537" s="2" t="str">
        <f>HYPERLINK("http://www.otzar.org/book.asp?612496","קונטרס דברי מוסר - תשמ""א -תשמ""ה")</f>
        <v>קונטרס דברי מוסר - תשמ"א -תשמ"ה</v>
      </c>
    </row>
    <row r="36538" spans="1:6" x14ac:dyDescent="0.2">
      <c r="A36538" t="s">
        <v>56396</v>
      </c>
      <c r="B36538" t="s">
        <v>2697</v>
      </c>
      <c r="C36538" t="s">
        <v>37</v>
      </c>
      <c r="D36538" t="s">
        <v>90</v>
      </c>
      <c r="F36538" s="2" t="str">
        <f>HYPERLINK("http://www.otzar.org/book.asp?188206","קונטרס דברי סופרים &lt;מהדורה חדשה&gt;")</f>
        <v>קונטרס דברי סופרים &lt;מהדורה חדשה&gt;</v>
      </c>
    </row>
    <row r="36539" spans="1:6" x14ac:dyDescent="0.2">
      <c r="A36539" t="s">
        <v>56397</v>
      </c>
      <c r="B36539" t="s">
        <v>2697</v>
      </c>
      <c r="C36539" t="s">
        <v>581</v>
      </c>
      <c r="D36539" t="s">
        <v>225</v>
      </c>
      <c r="E36539" t="s">
        <v>202</v>
      </c>
      <c r="F36539" s="2" t="str">
        <f>HYPERLINK("http://www.otzar.org/book.asp?103965","קונטרס דברי סופרים")</f>
        <v>קונטרס דברי סופרים</v>
      </c>
    </row>
    <row r="36540" spans="1:6" x14ac:dyDescent="0.2">
      <c r="A36540" t="s">
        <v>56397</v>
      </c>
      <c r="B36540" t="s">
        <v>56398</v>
      </c>
      <c r="C36540" t="s">
        <v>143</v>
      </c>
      <c r="D36540" t="s">
        <v>14</v>
      </c>
      <c r="E36540" t="s">
        <v>803</v>
      </c>
      <c r="F36540" s="2" t="str">
        <f>HYPERLINK("http://www.otzar.org/book.asp?166314","קונטרס דברי סופרים")</f>
        <v>קונטרס דברי סופרים</v>
      </c>
    </row>
    <row r="36541" spans="1:6" x14ac:dyDescent="0.2">
      <c r="A36541" t="s">
        <v>56399</v>
      </c>
      <c r="B36541" t="s">
        <v>56400</v>
      </c>
      <c r="C36541" t="s">
        <v>332</v>
      </c>
      <c r="D36541" t="s">
        <v>14</v>
      </c>
      <c r="E36541" t="s">
        <v>15</v>
      </c>
      <c r="F36541" s="2" t="str">
        <f>HYPERLINK("http://www.otzar.org/book.asp?626317","קונטרס דברי קדושה")</f>
        <v>קונטרס דברי קדושה</v>
      </c>
    </row>
    <row r="36542" spans="1:6" x14ac:dyDescent="0.2">
      <c r="A36542" t="s">
        <v>56401</v>
      </c>
      <c r="B36542" t="s">
        <v>206</v>
      </c>
      <c r="C36542" t="s">
        <v>422</v>
      </c>
      <c r="D36542" t="s">
        <v>14</v>
      </c>
      <c r="E36542" t="s">
        <v>15</v>
      </c>
      <c r="F36542" s="2" t="str">
        <f>HYPERLINK("http://www.otzar.org/book.asp?168378","קונטרס דברי שיר - 2 כר'")</f>
        <v>קונטרס דברי שיר - 2 כר'</v>
      </c>
    </row>
    <row r="36543" spans="1:6" x14ac:dyDescent="0.2">
      <c r="A36543" t="s">
        <v>56402</v>
      </c>
      <c r="B36543" t="s">
        <v>56403</v>
      </c>
      <c r="C36543" t="s">
        <v>775</v>
      </c>
      <c r="D36543" t="s">
        <v>21</v>
      </c>
      <c r="E36543" t="s">
        <v>15</v>
      </c>
      <c r="F36543" s="2" t="str">
        <f>HYPERLINK("http://www.otzar.org/book.asp?197779","קונטרס דברי שלמה")</f>
        <v>קונטרס דברי שלמה</v>
      </c>
    </row>
    <row r="36544" spans="1:6" x14ac:dyDescent="0.2">
      <c r="A36544" t="s">
        <v>56404</v>
      </c>
      <c r="B36544" t="s">
        <v>56405</v>
      </c>
      <c r="C36544" t="s">
        <v>366</v>
      </c>
      <c r="D36544" t="s">
        <v>14</v>
      </c>
      <c r="E36544" t="s">
        <v>730</v>
      </c>
      <c r="F36544" s="2" t="str">
        <f>HYPERLINK("http://www.otzar.org/book.asp?628640","קונטרס דברי שמואל - דיני ברכת התורה")</f>
        <v>קונטרס דברי שמואל - דיני ברכת התורה</v>
      </c>
    </row>
    <row r="36545" spans="1:6" x14ac:dyDescent="0.2">
      <c r="A36545" t="s">
        <v>56406</v>
      </c>
      <c r="B36545" t="s">
        <v>56407</v>
      </c>
      <c r="C36545" t="s">
        <v>366</v>
      </c>
      <c r="D36545" t="s">
        <v>52</v>
      </c>
      <c r="E36545" t="s">
        <v>144</v>
      </c>
      <c r="F36545" s="2" t="str">
        <f>HYPERLINK("http://www.otzar.org/book.asp?629837","קונטרס דברי שרגא - 2 כר'")</f>
        <v>קונטרס דברי שרגא - 2 כר'</v>
      </c>
    </row>
    <row r="36546" spans="1:6" x14ac:dyDescent="0.2">
      <c r="A36546" t="s">
        <v>56408</v>
      </c>
      <c r="B36546" t="s">
        <v>16984</v>
      </c>
      <c r="C36546" t="s">
        <v>785</v>
      </c>
      <c r="D36546" t="s">
        <v>14</v>
      </c>
      <c r="F36546" s="2" t="str">
        <f>HYPERLINK("http://www.otzar.org/book.asp?630745","קונטרס דברי תורה")</f>
        <v>קונטרס דברי תורה</v>
      </c>
    </row>
    <row r="36547" spans="1:6" x14ac:dyDescent="0.2">
      <c r="A36547" t="s">
        <v>56409</v>
      </c>
      <c r="B36547" t="s">
        <v>15157</v>
      </c>
      <c r="C36547" t="s">
        <v>366</v>
      </c>
      <c r="D36547" t="s">
        <v>14</v>
      </c>
      <c r="E36547" t="s">
        <v>144</v>
      </c>
      <c r="F36547" s="2" t="str">
        <f>HYPERLINK("http://www.otzar.org/book.asp?602886","קונטרס דברי תורה - 10 כר'")</f>
        <v>קונטרס דברי תורה - 10 כר'</v>
      </c>
    </row>
    <row r="36548" spans="1:6" x14ac:dyDescent="0.2">
      <c r="A36548" t="s">
        <v>56410</v>
      </c>
      <c r="B36548" t="s">
        <v>22053</v>
      </c>
      <c r="C36548" t="s">
        <v>332</v>
      </c>
      <c r="D36548" t="s">
        <v>52</v>
      </c>
      <c r="E36548" t="s">
        <v>144</v>
      </c>
      <c r="F36548" s="2" t="str">
        <f>HYPERLINK("http://www.otzar.org/book.asp?159275","קונטרס דברי תורה - 3 כר'")</f>
        <v>קונטרס דברי תורה - 3 כר'</v>
      </c>
    </row>
    <row r="36549" spans="1:6" x14ac:dyDescent="0.2">
      <c r="A36549" t="s">
        <v>56411</v>
      </c>
      <c r="B36549" t="s">
        <v>206</v>
      </c>
      <c r="C36549" t="s">
        <v>114</v>
      </c>
      <c r="D36549" t="s">
        <v>412</v>
      </c>
      <c r="E36549" t="s">
        <v>674</v>
      </c>
      <c r="F36549" s="2" t="str">
        <f>HYPERLINK("http://www.otzar.org/book.asp?162014","קונטרס דגי הים")</f>
        <v>קונטרס דגי הים</v>
      </c>
    </row>
    <row r="36550" spans="1:6" x14ac:dyDescent="0.2">
      <c r="A36550" t="s">
        <v>56412</v>
      </c>
      <c r="B36550" t="s">
        <v>12426</v>
      </c>
      <c r="C36550" t="s">
        <v>785</v>
      </c>
      <c r="D36550" t="s">
        <v>52</v>
      </c>
      <c r="E36550" t="s">
        <v>10</v>
      </c>
      <c r="F36550" s="2" t="str">
        <f>HYPERLINK("http://www.otzar.org/book.asp?153957","קונטרס דגל מחנה ראובן")</f>
        <v>קונטרס דגל מחנה ראובן</v>
      </c>
    </row>
    <row r="36551" spans="1:6" x14ac:dyDescent="0.2">
      <c r="A36551" t="s">
        <v>56413</v>
      </c>
      <c r="B36551" t="s">
        <v>15033</v>
      </c>
      <c r="C36551" t="s">
        <v>6054</v>
      </c>
      <c r="D36551" t="s">
        <v>9</v>
      </c>
      <c r="E36551" t="s">
        <v>104</v>
      </c>
      <c r="F36551" s="2" t="str">
        <f>HYPERLINK("http://www.otzar.org/book.asp?169711","קונטרס דובר שלום (צוואה)")</f>
        <v>קונטרס דובר שלום (צוואה)</v>
      </c>
    </row>
    <row r="36552" spans="1:6" x14ac:dyDescent="0.2">
      <c r="A36552" t="s">
        <v>56414</v>
      </c>
      <c r="B36552" t="s">
        <v>56415</v>
      </c>
      <c r="C36552" t="s">
        <v>1650</v>
      </c>
      <c r="D36552" t="s">
        <v>2276</v>
      </c>
      <c r="E36552" t="s">
        <v>43</v>
      </c>
      <c r="F36552" s="2" t="str">
        <f>HYPERLINK("http://www.otzar.org/book.asp?28288","קונטרס דורש חמורות")</f>
        <v>קונטרס דורש חמורות</v>
      </c>
    </row>
    <row r="36553" spans="1:6" x14ac:dyDescent="0.2">
      <c r="A36553" t="s">
        <v>56416</v>
      </c>
      <c r="B36553" t="s">
        <v>56417</v>
      </c>
      <c r="C36553" t="s">
        <v>383</v>
      </c>
      <c r="D36553" t="s">
        <v>52</v>
      </c>
      <c r="E36553" t="s">
        <v>234</v>
      </c>
      <c r="F36553" s="2" t="str">
        <f>HYPERLINK("http://www.otzar.org/book.asp?143778","קונטרס דורש לציון")</f>
        <v>קונטרס דורש לציון</v>
      </c>
    </row>
    <row r="36554" spans="1:6" x14ac:dyDescent="0.2">
      <c r="A36554" t="s">
        <v>56418</v>
      </c>
      <c r="B36554" t="s">
        <v>56419</v>
      </c>
      <c r="C36554" t="s">
        <v>466</v>
      </c>
      <c r="D36554" t="s">
        <v>152</v>
      </c>
      <c r="F36554" s="2" t="str">
        <f>HYPERLINK("http://www.otzar.org/book.asp?197724","קונטרס די שמיא")</f>
        <v>קונטרס די שמיא</v>
      </c>
    </row>
    <row r="36555" spans="1:6" x14ac:dyDescent="0.2">
      <c r="A36555" t="s">
        <v>56420</v>
      </c>
      <c r="B36555" t="s">
        <v>48391</v>
      </c>
      <c r="C36555" t="s">
        <v>411</v>
      </c>
      <c r="D36555" t="s">
        <v>52</v>
      </c>
      <c r="E36555" t="s">
        <v>15</v>
      </c>
      <c r="F36555" s="2" t="str">
        <f>HYPERLINK("http://www.otzar.org/book.asp?172942","קונטרס דין אמת")</f>
        <v>קונטרס דין אמת</v>
      </c>
    </row>
    <row r="36556" spans="1:6" x14ac:dyDescent="0.2">
      <c r="A36556" t="s">
        <v>56421</v>
      </c>
      <c r="B36556" t="s">
        <v>56422</v>
      </c>
      <c r="C36556" t="s">
        <v>366</v>
      </c>
      <c r="D36556" t="s">
        <v>1156</v>
      </c>
      <c r="F36556" s="2" t="str">
        <f>HYPERLINK("http://www.otzar.org/book.asp?609565","קונטרס דין קנס בבתולה מן הנישואין")</f>
        <v>קונטרס דין קנס בבתולה מן הנישואין</v>
      </c>
    </row>
    <row r="36557" spans="1:6" x14ac:dyDescent="0.2">
      <c r="A36557" t="s">
        <v>56423</v>
      </c>
      <c r="B36557" t="s">
        <v>42892</v>
      </c>
      <c r="C36557" t="s">
        <v>68</v>
      </c>
      <c r="D36557" t="s">
        <v>52</v>
      </c>
      <c r="E36557" t="s">
        <v>144</v>
      </c>
      <c r="F36557" s="2" t="str">
        <f>HYPERLINK("http://www.otzar.org/book.asp?606048","קונטרס דיני אש")</f>
        <v>קונטרס דיני אש</v>
      </c>
    </row>
    <row r="36558" spans="1:6" x14ac:dyDescent="0.2">
      <c r="A36558" t="s">
        <v>56424</v>
      </c>
      <c r="B36558" t="s">
        <v>206</v>
      </c>
      <c r="C36558" t="s">
        <v>37</v>
      </c>
      <c r="D36558" t="s">
        <v>152</v>
      </c>
      <c r="F36558" s="2" t="str">
        <f>HYPERLINK("http://www.otzar.org/book.asp?198521","קונטרס דיני בן עיר ובן כרך")</f>
        <v>קונטרס דיני בן עיר ובן כרך</v>
      </c>
    </row>
    <row r="36559" spans="1:6" x14ac:dyDescent="0.2">
      <c r="A36559" t="s">
        <v>56425</v>
      </c>
      <c r="B36559" t="s">
        <v>38782</v>
      </c>
      <c r="C36559" t="s">
        <v>20</v>
      </c>
      <c r="D36559" t="s">
        <v>152</v>
      </c>
      <c r="E36559" t="s">
        <v>1211</v>
      </c>
      <c r="F36559" s="2" t="str">
        <f>HYPERLINK("http://www.otzar.org/book.asp?180619","קונטרס דיני גלות לעיר מקלט")</f>
        <v>קונטרס דיני גלות לעיר מקלט</v>
      </c>
    </row>
    <row r="36560" spans="1:6" x14ac:dyDescent="0.2">
      <c r="A36560" t="s">
        <v>56426</v>
      </c>
      <c r="B36560" t="s">
        <v>2872</v>
      </c>
      <c r="C36560" t="s">
        <v>151</v>
      </c>
      <c r="D36560" t="s">
        <v>52</v>
      </c>
      <c r="F36560" s="2" t="str">
        <f>HYPERLINK("http://www.otzar.org/book.asp?616724","קונטרס דיני הדלקת נרות חנוכה")</f>
        <v>קונטרס דיני הדלקת נרות חנוכה</v>
      </c>
    </row>
    <row r="36561" spans="1:6" x14ac:dyDescent="0.2">
      <c r="A36561" t="s">
        <v>56427</v>
      </c>
      <c r="B36561" t="s">
        <v>1748</v>
      </c>
      <c r="C36561" t="s">
        <v>411</v>
      </c>
      <c r="D36561" t="s">
        <v>52</v>
      </c>
      <c r="E36561" t="s">
        <v>144</v>
      </c>
      <c r="F36561" s="2" t="str">
        <f>HYPERLINK("http://www.otzar.org/book.asp?180569","קונטרס דיני יוצא")</f>
        <v>קונטרס דיני יוצא</v>
      </c>
    </row>
    <row r="36562" spans="1:6" x14ac:dyDescent="0.2">
      <c r="A36562" t="s">
        <v>56428</v>
      </c>
      <c r="B36562" t="s">
        <v>8789</v>
      </c>
      <c r="C36562" t="s">
        <v>20</v>
      </c>
      <c r="D36562" t="s">
        <v>14</v>
      </c>
      <c r="E36562" t="s">
        <v>130</v>
      </c>
      <c r="F36562" s="2" t="str">
        <f>HYPERLINK("http://www.otzar.org/book.asp?603194","קונטרס דיני קדושת הסוכה ונויה")</f>
        <v>קונטרס דיני קדושת הסוכה ונויה</v>
      </c>
    </row>
    <row r="36563" spans="1:6" x14ac:dyDescent="0.2">
      <c r="A36563" t="s">
        <v>56429</v>
      </c>
      <c r="B36563" t="s">
        <v>42892</v>
      </c>
      <c r="C36563" t="s">
        <v>103</v>
      </c>
      <c r="D36563" t="s">
        <v>52</v>
      </c>
      <c r="E36563" t="s">
        <v>15</v>
      </c>
      <c r="F36563" s="2" t="str">
        <f>HYPERLINK("http://www.otzar.org/book.asp?168998","קונטרס דיני קדימה במצוות")</f>
        <v>קונטרס דיני קדימה במצוות</v>
      </c>
    </row>
    <row r="36564" spans="1:6" x14ac:dyDescent="0.2">
      <c r="A36564" t="s">
        <v>56430</v>
      </c>
      <c r="B36564" t="s">
        <v>2872</v>
      </c>
      <c r="C36564" t="s">
        <v>244</v>
      </c>
      <c r="D36564" t="s">
        <v>52</v>
      </c>
      <c r="E36564" t="s">
        <v>1211</v>
      </c>
      <c r="F36564" s="2" t="str">
        <f>HYPERLINK("http://www.otzar.org/book.asp?607580","קונטרס דיני קרבן העוף")</f>
        <v>קונטרס דיני קרבן העוף</v>
      </c>
    </row>
    <row r="36565" spans="1:6" x14ac:dyDescent="0.2">
      <c r="A36565" t="s">
        <v>56431</v>
      </c>
      <c r="B36565" t="s">
        <v>56432</v>
      </c>
      <c r="C36565" t="s">
        <v>1448</v>
      </c>
      <c r="D36565" t="s">
        <v>52</v>
      </c>
      <c r="E36565" t="s">
        <v>15</v>
      </c>
      <c r="F36565" s="2" t="str">
        <f>HYPERLINK("http://www.otzar.org/book.asp?624952","קונטרס דיני שביעית")</f>
        <v>קונטרס דיני שביעית</v>
      </c>
    </row>
    <row r="36566" spans="1:6" x14ac:dyDescent="0.2">
      <c r="A36566" t="s">
        <v>56431</v>
      </c>
      <c r="B36566" t="s">
        <v>7320</v>
      </c>
      <c r="C36566" t="s">
        <v>23</v>
      </c>
      <c r="D36566" t="s">
        <v>14</v>
      </c>
      <c r="E36566" t="s">
        <v>15</v>
      </c>
      <c r="F36566" s="2" t="str">
        <f>HYPERLINK("http://www.otzar.org/book.asp?630581","קונטרס דיני שביעית")</f>
        <v>קונטרס דיני שביעית</v>
      </c>
    </row>
    <row r="36567" spans="1:6" x14ac:dyDescent="0.2">
      <c r="A36567" t="s">
        <v>56433</v>
      </c>
      <c r="B36567" t="s">
        <v>2681</v>
      </c>
      <c r="C36567" t="s">
        <v>114</v>
      </c>
      <c r="D36567" t="s">
        <v>90</v>
      </c>
      <c r="E36567" t="s">
        <v>15</v>
      </c>
      <c r="F36567" s="2" t="str">
        <f>HYPERLINK("http://www.otzar.org/book.asp?630324","קונטרס דינים דקדוקים וחומרות בתפילין")</f>
        <v>קונטרס דינים דקדוקים וחומרות בתפילין</v>
      </c>
    </row>
    <row r="36568" spans="1:6" x14ac:dyDescent="0.2">
      <c r="A36568" t="s">
        <v>56434</v>
      </c>
      <c r="B36568" t="s">
        <v>56435</v>
      </c>
      <c r="C36568" t="s">
        <v>313</v>
      </c>
      <c r="D36568" t="s">
        <v>52</v>
      </c>
      <c r="E36568" t="s">
        <v>15</v>
      </c>
      <c r="F36568" s="2" t="str">
        <f>HYPERLINK("http://www.otzar.org/book.asp?163097","קונטרס דיצה וחדוה")</f>
        <v>קונטרס דיצה וחדוה</v>
      </c>
    </row>
    <row r="36569" spans="1:6" x14ac:dyDescent="0.2">
      <c r="A36569" t="s">
        <v>56436</v>
      </c>
      <c r="B36569" t="s">
        <v>56437</v>
      </c>
      <c r="C36569" t="s">
        <v>23</v>
      </c>
      <c r="D36569" t="s">
        <v>134</v>
      </c>
      <c r="E36569" t="s">
        <v>144</v>
      </c>
      <c r="F36569" s="2" t="str">
        <f>HYPERLINK("http://www.otzar.org/book.asp?194127","קונטרס דירת עראי")</f>
        <v>קונטרס דירת עראי</v>
      </c>
    </row>
    <row r="36570" spans="1:6" x14ac:dyDescent="0.2">
      <c r="A36570" t="s">
        <v>56438</v>
      </c>
      <c r="B36570" t="s">
        <v>56439</v>
      </c>
      <c r="C36570" t="s">
        <v>146</v>
      </c>
      <c r="D36570" t="s">
        <v>80</v>
      </c>
      <c r="E36570" t="s">
        <v>219</v>
      </c>
      <c r="F36570" s="2" t="str">
        <f>HYPERLINK("http://www.otzar.org/book.asp?196751","קונטרס דמעת ישראל השלם")</f>
        <v>קונטרס דמעת ישראל השלם</v>
      </c>
    </row>
    <row r="36571" spans="1:6" x14ac:dyDescent="0.2">
      <c r="A36571" t="s">
        <v>56440</v>
      </c>
      <c r="B36571" t="s">
        <v>22241</v>
      </c>
      <c r="C36571" t="s">
        <v>23</v>
      </c>
      <c r="D36571" t="s">
        <v>2375</v>
      </c>
      <c r="F36571" s="2" t="str">
        <f>HYPERLINK("http://www.otzar.org/book.asp?196432","קונטרס דניאל איש חמודות")</f>
        <v>קונטרס דניאל איש חמודות</v>
      </c>
    </row>
    <row r="36572" spans="1:6" x14ac:dyDescent="0.2">
      <c r="A36572" t="s">
        <v>56441</v>
      </c>
      <c r="B36572" t="s">
        <v>56442</v>
      </c>
      <c r="C36572" t="s">
        <v>366</v>
      </c>
      <c r="D36572" t="s">
        <v>21</v>
      </c>
      <c r="F36572" s="2" t="str">
        <f>HYPERLINK("http://www.otzar.org/book.asp?610080","קונטרס דעה ברורה - סימן רעג")</f>
        <v>קונטרס דעה ברורה - סימן רעג</v>
      </c>
    </row>
    <row r="36573" spans="1:6" x14ac:dyDescent="0.2">
      <c r="A36573" t="s">
        <v>56443</v>
      </c>
      <c r="B36573" t="s">
        <v>9326</v>
      </c>
      <c r="C36573" t="s">
        <v>111</v>
      </c>
      <c r="D36573" t="s">
        <v>486</v>
      </c>
      <c r="F36573" s="2" t="str">
        <f>HYPERLINK("http://www.otzar.org/book.asp?623009","קונטרס דער קאצקער קוויטעל - מאמר פדיון הבן באלכסנדר")</f>
        <v>קונטרס דער קאצקער קוויטעל - מאמר פדיון הבן באלכסנדר</v>
      </c>
    </row>
    <row r="36574" spans="1:6" x14ac:dyDescent="0.2">
      <c r="A36574" t="s">
        <v>56444</v>
      </c>
      <c r="B36574" t="s">
        <v>56445</v>
      </c>
      <c r="C36574" t="s">
        <v>23</v>
      </c>
      <c r="D36574" t="s">
        <v>21</v>
      </c>
      <c r="F36574" s="2" t="str">
        <f>HYPERLINK("http://www.otzar.org/book.asp?603283","קונטרס דעת חדרים - יבמות")</f>
        <v>קונטרס דעת חדרים - יבמות</v>
      </c>
    </row>
    <row r="36575" spans="1:6" x14ac:dyDescent="0.2">
      <c r="A36575" t="s">
        <v>56446</v>
      </c>
      <c r="B36575" t="s">
        <v>11753</v>
      </c>
      <c r="C36575" t="s">
        <v>20</v>
      </c>
      <c r="D36575" t="s">
        <v>1076</v>
      </c>
      <c r="F36575" s="2" t="str">
        <f>HYPERLINK("http://www.otzar.org/book.asp?622230","קונטרס דעת חכמה")</f>
        <v>קונטרס דעת חכמה</v>
      </c>
    </row>
    <row r="36576" spans="1:6" x14ac:dyDescent="0.2">
      <c r="A36576" t="s">
        <v>56447</v>
      </c>
      <c r="B36576" t="s">
        <v>56448</v>
      </c>
      <c r="C36576" t="s">
        <v>129</v>
      </c>
      <c r="D36576" t="s">
        <v>52</v>
      </c>
      <c r="E36576" t="s">
        <v>213</v>
      </c>
      <c r="F36576" s="2" t="str">
        <f>HYPERLINK("http://www.otzar.org/book.asp?142098","קונטרס דעת מבינים")</f>
        <v>קונטרס דעת מבינים</v>
      </c>
    </row>
    <row r="36577" spans="1:6" x14ac:dyDescent="0.2">
      <c r="A36577" t="s">
        <v>56449</v>
      </c>
      <c r="B36577" t="s">
        <v>56450</v>
      </c>
      <c r="C36577" t="s">
        <v>151</v>
      </c>
      <c r="D36577" t="s">
        <v>14</v>
      </c>
      <c r="F36577" s="2" t="str">
        <f>HYPERLINK("http://www.otzar.org/book.asp?621477","קונטרס דעת תבונות")</f>
        <v>קונטרס דעת תבונות</v>
      </c>
    </row>
    <row r="36578" spans="1:6" x14ac:dyDescent="0.2">
      <c r="A36578" t="s">
        <v>56451</v>
      </c>
      <c r="B36578" t="s">
        <v>56452</v>
      </c>
      <c r="C36578" t="s">
        <v>20</v>
      </c>
      <c r="D36578" t="s">
        <v>90</v>
      </c>
      <c r="E36578" t="s">
        <v>104</v>
      </c>
      <c r="F36578" s="2" t="str">
        <f>HYPERLINK("http://www.otzar.org/book.asp?179732","קונטרס דעת תורה")</f>
        <v>קונטרס דעת תורה</v>
      </c>
    </row>
    <row r="36579" spans="1:6" x14ac:dyDescent="0.2">
      <c r="A36579" t="s">
        <v>56451</v>
      </c>
      <c r="B36579" t="s">
        <v>1353</v>
      </c>
      <c r="C36579" t="s">
        <v>111</v>
      </c>
      <c r="D36579" t="s">
        <v>52</v>
      </c>
      <c r="E36579" t="s">
        <v>241</v>
      </c>
      <c r="F36579" s="2" t="str">
        <f>HYPERLINK("http://www.otzar.org/book.asp?628134","קונטרס דעת תורה")</f>
        <v>קונטרס דעת תורה</v>
      </c>
    </row>
    <row r="36580" spans="1:6" x14ac:dyDescent="0.2">
      <c r="A36580" t="s">
        <v>56453</v>
      </c>
      <c r="B36580" t="s">
        <v>51102</v>
      </c>
      <c r="C36580" t="s">
        <v>111</v>
      </c>
      <c r="D36580" t="s">
        <v>90</v>
      </c>
      <c r="E36580" t="s">
        <v>246</v>
      </c>
      <c r="F36580" s="2" t="str">
        <f>HYPERLINK("http://www.otzar.org/book.asp?629358","קונטרס דצך עדש באחב")</f>
        <v>קונטרס דצך עדש באחב</v>
      </c>
    </row>
    <row r="36581" spans="1:6" x14ac:dyDescent="0.2">
      <c r="A36581" t="s">
        <v>56454</v>
      </c>
      <c r="B36581" t="s">
        <v>56455</v>
      </c>
      <c r="C36581" t="s">
        <v>37</v>
      </c>
      <c r="D36581" t="s">
        <v>52</v>
      </c>
      <c r="E36581" t="s">
        <v>2758</v>
      </c>
      <c r="F36581" s="2" t="str">
        <f>HYPERLINK("http://www.otzar.org/book.asp?188833","קונטרס דרושי הפורים - 2 כר'")</f>
        <v>קונטרס דרושי הפורים - 2 כר'</v>
      </c>
    </row>
    <row r="36582" spans="1:6" x14ac:dyDescent="0.2">
      <c r="A36582" t="s">
        <v>56456</v>
      </c>
      <c r="B36582" t="s">
        <v>174</v>
      </c>
      <c r="C36582" t="s">
        <v>114</v>
      </c>
      <c r="D36582" t="s">
        <v>52</v>
      </c>
      <c r="E36582" t="s">
        <v>241</v>
      </c>
      <c r="F36582" s="2" t="str">
        <f>HYPERLINK("http://www.otzar.org/book.asp?165561","קונטרס דרך הלימוד במשנתו של מרן הגרא""מ שך")</f>
        <v>קונטרס דרך הלימוד במשנתו של מרן הגרא"מ שך</v>
      </c>
    </row>
    <row r="36583" spans="1:6" x14ac:dyDescent="0.2">
      <c r="A36583" t="s">
        <v>56457</v>
      </c>
      <c r="B36583" t="s">
        <v>56458</v>
      </c>
      <c r="C36583" t="s">
        <v>23</v>
      </c>
      <c r="D36583" t="s">
        <v>412</v>
      </c>
      <c r="F36583" s="2" t="str">
        <f>HYPERLINK("http://www.otzar.org/book.asp?196431","קונטרס דרך הלימוד")</f>
        <v>קונטרס דרך הלימוד</v>
      </c>
    </row>
    <row r="36584" spans="1:6" x14ac:dyDescent="0.2">
      <c r="A36584" t="s">
        <v>56457</v>
      </c>
      <c r="B36584" t="s">
        <v>206</v>
      </c>
      <c r="C36584" t="s">
        <v>114</v>
      </c>
      <c r="D36584" t="s">
        <v>412</v>
      </c>
      <c r="E36584" t="s">
        <v>15</v>
      </c>
      <c r="F36584" s="2" t="str">
        <f>HYPERLINK("http://www.otzar.org/book.asp?162563","קונטרס דרך הלימוד")</f>
        <v>קונטרס דרך הלימוד</v>
      </c>
    </row>
    <row r="36585" spans="1:6" x14ac:dyDescent="0.2">
      <c r="A36585" t="s">
        <v>56459</v>
      </c>
      <c r="B36585" t="s">
        <v>44672</v>
      </c>
      <c r="C36585" t="s">
        <v>87</v>
      </c>
      <c r="D36585" t="s">
        <v>52</v>
      </c>
      <c r="E36585" t="s">
        <v>16417</v>
      </c>
      <c r="F36585" s="2" t="str">
        <f>HYPERLINK("http://www.otzar.org/book.asp?84586","קונטרס דרך הקודש")</f>
        <v>קונטרס דרך הקודש</v>
      </c>
    </row>
    <row r="36586" spans="1:6" x14ac:dyDescent="0.2">
      <c r="A36586" t="s">
        <v>56460</v>
      </c>
      <c r="B36586" t="s">
        <v>16465</v>
      </c>
      <c r="C36586" t="s">
        <v>919</v>
      </c>
      <c r="D36586" t="s">
        <v>412</v>
      </c>
      <c r="E36586" t="s">
        <v>241</v>
      </c>
      <c r="F36586" s="2" t="str">
        <f>HYPERLINK("http://www.otzar.org/book.asp?164297","קונטרס דרך התפלה")</f>
        <v>קונטרס דרך התפלה</v>
      </c>
    </row>
    <row r="36587" spans="1:6" x14ac:dyDescent="0.2">
      <c r="A36587" t="s">
        <v>56461</v>
      </c>
      <c r="B36587" t="s">
        <v>56462</v>
      </c>
      <c r="C36587" t="s">
        <v>313</v>
      </c>
      <c r="D36587" t="s">
        <v>412</v>
      </c>
      <c r="E36587" t="s">
        <v>234</v>
      </c>
      <c r="F36587" s="2" t="str">
        <f>HYPERLINK("http://www.otzar.org/book.asp?624662","קונטרס דרך חיים תוכחות מוסר")</f>
        <v>קונטרס דרך חיים תוכחות מוסר</v>
      </c>
    </row>
    <row r="36588" spans="1:6" x14ac:dyDescent="0.2">
      <c r="A36588" t="s">
        <v>56463</v>
      </c>
      <c r="B36588" t="s">
        <v>56464</v>
      </c>
      <c r="C36588" t="s">
        <v>151</v>
      </c>
      <c r="D36588" t="s">
        <v>14</v>
      </c>
      <c r="F36588" s="2" t="str">
        <f>HYPERLINK("http://www.otzar.org/book.asp?619355","קונטרס דרך ים - ביצה")</f>
        <v>קונטרס דרך ים - ביצה</v>
      </c>
    </row>
    <row r="36589" spans="1:6" x14ac:dyDescent="0.2">
      <c r="A36589" t="s">
        <v>56465</v>
      </c>
      <c r="B36589" t="s">
        <v>56466</v>
      </c>
      <c r="C36589" t="s">
        <v>111</v>
      </c>
      <c r="D36589" t="s">
        <v>52</v>
      </c>
      <c r="E36589" t="s">
        <v>15</v>
      </c>
      <c r="F36589" s="2" t="str">
        <f>HYPERLINK("http://www.otzar.org/book.asp?630129","קונטרס דרך ישועות")</f>
        <v>קונטרס דרך ישועות</v>
      </c>
    </row>
    <row r="36590" spans="1:6" x14ac:dyDescent="0.2">
      <c r="A36590" t="s">
        <v>56467</v>
      </c>
      <c r="B36590" t="s">
        <v>29800</v>
      </c>
      <c r="C36590" t="s">
        <v>37</v>
      </c>
      <c r="D36590" t="s">
        <v>52</v>
      </c>
      <c r="E36590" t="s">
        <v>172</v>
      </c>
      <c r="F36590" s="2" t="str">
        <f>HYPERLINK("http://www.otzar.org/book.asp?603190","קונטרס דרך ישרים")</f>
        <v>קונטרס דרך ישרים</v>
      </c>
    </row>
    <row r="36591" spans="1:6" x14ac:dyDescent="0.2">
      <c r="A36591" t="s">
        <v>56468</v>
      </c>
      <c r="B36591" t="s">
        <v>56469</v>
      </c>
      <c r="C36591" t="s">
        <v>23</v>
      </c>
      <c r="D36591" t="s">
        <v>3750</v>
      </c>
      <c r="F36591" s="2" t="str">
        <f>HYPERLINK("http://www.otzar.org/book.asp?610573","קונטרס דרך כוכב מיעקב")</f>
        <v>קונטרס דרך כוכב מיעקב</v>
      </c>
    </row>
    <row r="36592" spans="1:6" x14ac:dyDescent="0.2">
      <c r="A36592" t="s">
        <v>56470</v>
      </c>
      <c r="B36592" t="s">
        <v>56471</v>
      </c>
      <c r="C36592" t="s">
        <v>133</v>
      </c>
      <c r="D36592" t="s">
        <v>52</v>
      </c>
      <c r="E36592" t="s">
        <v>10</v>
      </c>
      <c r="F36592" s="2" t="str">
        <f>HYPERLINK("http://www.otzar.org/book.asp?606494","קונטרס דרך תורה")</f>
        <v>קונטרס דרך תורה</v>
      </c>
    </row>
    <row r="36593" spans="1:6" x14ac:dyDescent="0.2">
      <c r="A36593" t="s">
        <v>56472</v>
      </c>
      <c r="B36593" t="s">
        <v>29695</v>
      </c>
      <c r="C36593" t="s">
        <v>17</v>
      </c>
      <c r="D36593" t="s">
        <v>52</v>
      </c>
      <c r="E36593" t="s">
        <v>104</v>
      </c>
      <c r="F36593" s="2" t="str">
        <f>HYPERLINK("http://www.otzar.org/book.asp?190866","קונטרס דרכה של תורה")</f>
        <v>קונטרס דרכה של תורה</v>
      </c>
    </row>
    <row r="36594" spans="1:6" x14ac:dyDescent="0.2">
      <c r="A36594" t="s">
        <v>56473</v>
      </c>
      <c r="B36594" t="s">
        <v>29695</v>
      </c>
      <c r="C36594" t="s">
        <v>17</v>
      </c>
      <c r="D36594" t="s">
        <v>52</v>
      </c>
      <c r="E36594" t="s">
        <v>104</v>
      </c>
      <c r="F36594" s="2" t="str">
        <f>HYPERLINK("http://www.otzar.org/book.asp?190865","קונטרס דרכו של בן תורה")</f>
        <v>קונטרס דרכו של בן תורה</v>
      </c>
    </row>
    <row r="36595" spans="1:6" x14ac:dyDescent="0.2">
      <c r="A36595" t="s">
        <v>56474</v>
      </c>
      <c r="B36595" t="s">
        <v>16707</v>
      </c>
      <c r="C36595" t="s">
        <v>71</v>
      </c>
      <c r="D36595" t="s">
        <v>52</v>
      </c>
      <c r="E36595" t="s">
        <v>703</v>
      </c>
      <c r="F36595" s="2" t="str">
        <f>HYPERLINK("http://www.otzar.org/book.asp?168713","קונטרס דרכי העבודה - א")</f>
        <v>קונטרס דרכי העבודה - א</v>
      </c>
    </row>
    <row r="36596" spans="1:6" x14ac:dyDescent="0.2">
      <c r="A36596" t="s">
        <v>56475</v>
      </c>
      <c r="B36596" t="s">
        <v>14157</v>
      </c>
      <c r="C36596" t="s">
        <v>411</v>
      </c>
      <c r="D36596" t="s">
        <v>152</v>
      </c>
      <c r="E36596" t="s">
        <v>246</v>
      </c>
      <c r="F36596" s="2" t="str">
        <f>HYPERLINK("http://www.otzar.org/book.asp?615401","קונטרס דרכי הפסח - דרכי חינוך")</f>
        <v>קונטרס דרכי הפסח - דרכי חינוך</v>
      </c>
    </row>
    <row r="36597" spans="1:6" x14ac:dyDescent="0.2">
      <c r="A36597" t="s">
        <v>56476</v>
      </c>
      <c r="B36597" t="s">
        <v>56477</v>
      </c>
      <c r="C36597" t="s">
        <v>20</v>
      </c>
      <c r="D36597" t="s">
        <v>412</v>
      </c>
      <c r="E36597" t="s">
        <v>15</v>
      </c>
      <c r="F36597" s="2" t="str">
        <f>HYPERLINK("http://www.otzar.org/book.asp?625541","קונטרס דרכי חיים - הערות על ספר חפץ חיים")</f>
        <v>קונטרס דרכי חיים - הערות על ספר חפץ חיים</v>
      </c>
    </row>
    <row r="36598" spans="1:6" x14ac:dyDescent="0.2">
      <c r="A36598" t="s">
        <v>56478</v>
      </c>
      <c r="B36598" t="s">
        <v>8415</v>
      </c>
      <c r="C36598" t="s">
        <v>114</v>
      </c>
      <c r="D36598" t="s">
        <v>14</v>
      </c>
      <c r="E36598" t="s">
        <v>213</v>
      </c>
      <c r="F36598" s="2" t="str">
        <f>HYPERLINK("http://www.otzar.org/book.asp?160128","קונטרס דרכי חיים - 2 כר'")</f>
        <v>קונטרס דרכי חיים - 2 כר'</v>
      </c>
    </row>
    <row r="36599" spans="1:6" x14ac:dyDescent="0.2">
      <c r="A36599" t="s">
        <v>56479</v>
      </c>
      <c r="B36599" t="s">
        <v>56480</v>
      </c>
      <c r="C36599" t="s">
        <v>189</v>
      </c>
      <c r="D36599" t="s">
        <v>52</v>
      </c>
      <c r="E36599" t="s">
        <v>104</v>
      </c>
      <c r="F36599" s="2" t="str">
        <f>HYPERLINK("http://www.otzar.org/book.asp?143064","קונטרס דרכי משה")</f>
        <v>קונטרס דרכי משה</v>
      </c>
    </row>
    <row r="36600" spans="1:6" x14ac:dyDescent="0.2">
      <c r="A36600" t="s">
        <v>56481</v>
      </c>
      <c r="B36600" t="s">
        <v>206</v>
      </c>
      <c r="C36600" t="s">
        <v>20</v>
      </c>
      <c r="D36600" t="s">
        <v>90</v>
      </c>
      <c r="E36600" t="s">
        <v>144</v>
      </c>
      <c r="F36600" s="2" t="str">
        <f>HYPERLINK("http://www.otzar.org/book.asp?167466","קונטרס דרכי נועם")</f>
        <v>קונטרס דרכי נועם</v>
      </c>
    </row>
    <row r="36601" spans="1:6" x14ac:dyDescent="0.2">
      <c r="A36601" t="s">
        <v>56482</v>
      </c>
      <c r="B36601" t="s">
        <v>56483</v>
      </c>
      <c r="C36601" t="s">
        <v>1811</v>
      </c>
      <c r="D36601" t="s">
        <v>52</v>
      </c>
      <c r="E36601" t="s">
        <v>140</v>
      </c>
      <c r="F36601" s="2" t="str">
        <f>HYPERLINK("http://www.otzar.org/book.asp?600029","קונטרס דרכי נועם - מים חיים")</f>
        <v>קונטרס דרכי נועם - מים חיים</v>
      </c>
    </row>
    <row r="36602" spans="1:6" x14ac:dyDescent="0.2">
      <c r="A36602" t="s">
        <v>56484</v>
      </c>
      <c r="B36602" t="s">
        <v>4019</v>
      </c>
      <c r="C36602" t="s">
        <v>244</v>
      </c>
      <c r="D36602" t="s">
        <v>14</v>
      </c>
      <c r="E36602" t="s">
        <v>144</v>
      </c>
      <c r="F36602" s="2" t="str">
        <f>HYPERLINK("http://www.otzar.org/book.asp?600823","קונטרס דרכי נועם - הרחקת נזיקין")</f>
        <v>קונטרס דרכי נועם - הרחקת נזיקין</v>
      </c>
    </row>
    <row r="36603" spans="1:6" x14ac:dyDescent="0.2">
      <c r="A36603" t="s">
        <v>56485</v>
      </c>
      <c r="B36603" t="s">
        <v>30780</v>
      </c>
      <c r="C36603" t="s">
        <v>20</v>
      </c>
      <c r="D36603" t="s">
        <v>52</v>
      </c>
      <c r="E36603" t="s">
        <v>104</v>
      </c>
      <c r="F36603" s="2" t="str">
        <f>HYPERLINK("http://www.otzar.org/book.asp?626539","קונטרס דרש באוכלוסא")</f>
        <v>קונטרס דרש באוכלוסא</v>
      </c>
    </row>
    <row r="36604" spans="1:6" x14ac:dyDescent="0.2">
      <c r="A36604" t="s">
        <v>56486</v>
      </c>
      <c r="B36604" t="s">
        <v>932</v>
      </c>
      <c r="C36604" t="s">
        <v>422</v>
      </c>
      <c r="D36604" t="s">
        <v>90</v>
      </c>
      <c r="F36604" s="2" t="str">
        <f>HYPERLINK("http://www.otzar.org/book.asp?194032","קונטרס דרש דר""ש מש""ה")</f>
        <v>קונטרס דרש דר"ש מש"ה</v>
      </c>
    </row>
    <row r="36605" spans="1:6" x14ac:dyDescent="0.2">
      <c r="A36605" t="s">
        <v>56487</v>
      </c>
      <c r="B36605" t="s">
        <v>56488</v>
      </c>
      <c r="C36605" t="s">
        <v>553</v>
      </c>
      <c r="D36605" t="s">
        <v>14</v>
      </c>
      <c r="E36605" t="s">
        <v>241</v>
      </c>
      <c r="F36605" s="2" t="str">
        <f>HYPERLINK("http://www.otzar.org/book.asp?152002","קונטרס דרשה ותוכחת מוסר")</f>
        <v>קונטרס דרשה ותוכחת מוסר</v>
      </c>
    </row>
    <row r="36606" spans="1:6" x14ac:dyDescent="0.2">
      <c r="A36606" t="s">
        <v>56489</v>
      </c>
      <c r="B36606" t="s">
        <v>56490</v>
      </c>
      <c r="C36606" t="s">
        <v>919</v>
      </c>
      <c r="D36606" t="s">
        <v>52</v>
      </c>
      <c r="E36606" t="s">
        <v>234</v>
      </c>
      <c r="F36606" s="2" t="str">
        <f>HYPERLINK("http://www.otzar.org/book.asp?169146","קונטרס דרשות")</f>
        <v>קונטרס דרשות</v>
      </c>
    </row>
    <row r="36607" spans="1:6" x14ac:dyDescent="0.2">
      <c r="A36607" t="s">
        <v>56491</v>
      </c>
      <c r="B36607" t="s">
        <v>17089</v>
      </c>
      <c r="C36607" t="s">
        <v>438</v>
      </c>
      <c r="D36607" t="s">
        <v>14</v>
      </c>
      <c r="E36607" t="s">
        <v>104</v>
      </c>
      <c r="F36607" s="2" t="str">
        <f>HYPERLINK("http://www.otzar.org/book.asp?171080","קונטרס דת משה ויהודית")</f>
        <v>קונטרס דת משה ויהודית</v>
      </c>
    </row>
    <row r="36608" spans="1:6" x14ac:dyDescent="0.2">
      <c r="A36608" t="s">
        <v>56492</v>
      </c>
      <c r="B36608" t="s">
        <v>51079</v>
      </c>
      <c r="C36608" t="s">
        <v>20</v>
      </c>
      <c r="D36608" t="s">
        <v>90</v>
      </c>
      <c r="F36608" s="2" t="str">
        <f>HYPERLINK("http://www.otzar.org/book.asp?610371","קונטרס ה' אורי")</f>
        <v>קונטרס ה' אורי</v>
      </c>
    </row>
    <row r="36609" spans="1:6" x14ac:dyDescent="0.2">
      <c r="A36609" t="s">
        <v>56493</v>
      </c>
      <c r="B36609" t="s">
        <v>21962</v>
      </c>
      <c r="C36609" t="s">
        <v>366</v>
      </c>
      <c r="D36609" t="s">
        <v>852</v>
      </c>
      <c r="F36609" s="2" t="str">
        <f>HYPERLINK("http://www.otzar.org/book.asp?611044","קונטרס האדרת והאמונה")</f>
        <v>קונטרס האדרת והאמונה</v>
      </c>
    </row>
    <row r="36610" spans="1:6" x14ac:dyDescent="0.2">
      <c r="A36610" t="s">
        <v>56494</v>
      </c>
      <c r="B36610" t="s">
        <v>27094</v>
      </c>
      <c r="C36610" t="s">
        <v>37</v>
      </c>
      <c r="D36610" t="s">
        <v>52</v>
      </c>
      <c r="E36610" t="s">
        <v>104</v>
      </c>
      <c r="F36610" s="2" t="str">
        <f>HYPERLINK("http://www.otzar.org/book.asp?623845","קונטרס האור החיים הקדוש")</f>
        <v>קונטרס האור החיים הקדוש</v>
      </c>
    </row>
    <row r="36611" spans="1:6" x14ac:dyDescent="0.2">
      <c r="A36611" t="s">
        <v>56495</v>
      </c>
      <c r="B36611" t="s">
        <v>56496</v>
      </c>
      <c r="C36611" t="s">
        <v>17</v>
      </c>
      <c r="D36611" t="s">
        <v>1156</v>
      </c>
      <c r="F36611" s="2" t="str">
        <f>HYPERLINK("http://www.otzar.org/book.asp?614451","קונטרס האורה")</f>
        <v>קונטרס האורה</v>
      </c>
    </row>
    <row r="36612" spans="1:6" x14ac:dyDescent="0.2">
      <c r="A36612" t="s">
        <v>56497</v>
      </c>
      <c r="B36612" t="s">
        <v>48484</v>
      </c>
      <c r="C36612" t="s">
        <v>13</v>
      </c>
      <c r="D36612" t="s">
        <v>14</v>
      </c>
      <c r="E36612" t="s">
        <v>144</v>
      </c>
      <c r="F36612" s="2" t="str">
        <f>HYPERLINK("http://www.otzar.org/book.asp?623590","קונטרס האזינו רוזנים")</f>
        <v>קונטרס האזינו רוזנים</v>
      </c>
    </row>
    <row r="36613" spans="1:6" x14ac:dyDescent="0.2">
      <c r="A36613" t="s">
        <v>56498</v>
      </c>
      <c r="B36613" t="s">
        <v>56499</v>
      </c>
      <c r="C36613" t="s">
        <v>151</v>
      </c>
      <c r="D36613" t="s">
        <v>4519</v>
      </c>
      <c r="E36613" t="s">
        <v>674</v>
      </c>
      <c r="F36613" s="2" t="str">
        <f>HYPERLINK("http://www.otzar.org/book.asp?621437","קונטרס האילן הקדוש")</f>
        <v>קונטרס האילן הקדוש</v>
      </c>
    </row>
    <row r="36614" spans="1:6" x14ac:dyDescent="0.2">
      <c r="A36614" t="s">
        <v>56500</v>
      </c>
      <c r="B36614" t="s">
        <v>56501</v>
      </c>
      <c r="C36614" t="s">
        <v>785</v>
      </c>
      <c r="D36614" t="s">
        <v>229</v>
      </c>
      <c r="E36614" t="s">
        <v>130</v>
      </c>
      <c r="F36614" s="2" t="str">
        <f>HYPERLINK("http://www.otzar.org/book.asp?630214","קונטרס האם ערבה זו כשרה")</f>
        <v>קונטרס האם ערבה זו כשרה</v>
      </c>
    </row>
    <row r="36615" spans="1:6" x14ac:dyDescent="0.2">
      <c r="A36615" t="s">
        <v>56502</v>
      </c>
      <c r="B36615" t="s">
        <v>206</v>
      </c>
      <c r="C36615" t="s">
        <v>23</v>
      </c>
      <c r="D36615" t="s">
        <v>90</v>
      </c>
      <c r="E36615" t="s">
        <v>130</v>
      </c>
      <c r="F36615" s="2" t="str">
        <f>HYPERLINK("http://www.otzar.org/book.asp?194233","קונטרס האמת תורה דרכה")</f>
        <v>קונטרס האמת תורה דרכה</v>
      </c>
    </row>
    <row r="36616" spans="1:6" x14ac:dyDescent="0.2">
      <c r="A36616" t="s">
        <v>56503</v>
      </c>
      <c r="B36616" t="s">
        <v>56504</v>
      </c>
      <c r="C36616" t="s">
        <v>51</v>
      </c>
      <c r="D36616" t="s">
        <v>118</v>
      </c>
      <c r="E36616" t="s">
        <v>158</v>
      </c>
      <c r="F36616" s="2" t="str">
        <f>HYPERLINK("http://www.otzar.org/book.asp?160515","קונטרס הארות והערות על פרשיות התורה")</f>
        <v>קונטרס הארות והערות על פרשיות התורה</v>
      </c>
    </row>
    <row r="36617" spans="1:6" x14ac:dyDescent="0.2">
      <c r="A36617" t="s">
        <v>56505</v>
      </c>
      <c r="B36617" t="s">
        <v>56506</v>
      </c>
      <c r="C36617" t="s">
        <v>411</v>
      </c>
      <c r="D36617" t="s">
        <v>52</v>
      </c>
      <c r="F36617" s="2" t="str">
        <f>HYPERLINK("http://www.otzar.org/book.asp?615575","קונטרס הבגדים כהלכה")</f>
        <v>קונטרס הבגדים כהלכה</v>
      </c>
    </row>
    <row r="36618" spans="1:6" x14ac:dyDescent="0.2">
      <c r="A36618" t="s">
        <v>56507</v>
      </c>
      <c r="B36618" t="s">
        <v>24067</v>
      </c>
      <c r="C36618" t="s">
        <v>523</v>
      </c>
      <c r="D36618" t="s">
        <v>52</v>
      </c>
      <c r="E36618" t="s">
        <v>213</v>
      </c>
      <c r="F36618" s="2" t="str">
        <f>HYPERLINK("http://www.otzar.org/book.asp?160883","קונטרס הבו לה' כבוד")</f>
        <v>קונטרס הבו לה' כבוד</v>
      </c>
    </row>
    <row r="36619" spans="1:6" x14ac:dyDescent="0.2">
      <c r="A36619" t="s">
        <v>56508</v>
      </c>
      <c r="B36619" t="s">
        <v>3068</v>
      </c>
      <c r="C36619" t="s">
        <v>37</v>
      </c>
      <c r="D36619" t="s">
        <v>3069</v>
      </c>
      <c r="E36619" t="s">
        <v>13834</v>
      </c>
      <c r="F36619" s="2" t="str">
        <f>HYPERLINK("http://www.otzar.org/book.asp?193489","קונטרס הבוחר בשירי זמרה")</f>
        <v>קונטרס הבוחר בשירי זמרה</v>
      </c>
    </row>
    <row r="36620" spans="1:6" x14ac:dyDescent="0.2">
      <c r="A36620" t="s">
        <v>56509</v>
      </c>
      <c r="B36620" t="s">
        <v>56510</v>
      </c>
      <c r="C36620" t="s">
        <v>151</v>
      </c>
      <c r="D36620" t="s">
        <v>152</v>
      </c>
      <c r="E36620" t="s">
        <v>130</v>
      </c>
      <c r="F36620" s="2" t="str">
        <f>HYPERLINK("http://www.otzar.org/book.asp?628057","קונטרס הבורגנין של רמות")</f>
        <v>קונטרס הבורגנין של רמות</v>
      </c>
    </row>
    <row r="36621" spans="1:6" x14ac:dyDescent="0.2">
      <c r="A36621" t="s">
        <v>56511</v>
      </c>
      <c r="B36621" t="s">
        <v>18111</v>
      </c>
      <c r="C36621" t="s">
        <v>244</v>
      </c>
      <c r="D36621" t="s">
        <v>21</v>
      </c>
      <c r="F36621" s="2" t="str">
        <f>HYPERLINK("http://www.otzar.org/book.asp?198176","קונטרס הבורגנין")</f>
        <v>קונטרס הבורגנין</v>
      </c>
    </row>
    <row r="36622" spans="1:6" x14ac:dyDescent="0.2">
      <c r="A36622" t="s">
        <v>56512</v>
      </c>
      <c r="B36622" t="s">
        <v>56513</v>
      </c>
      <c r="C36622" t="s">
        <v>151</v>
      </c>
      <c r="D36622" t="s">
        <v>90</v>
      </c>
      <c r="F36622" s="2" t="str">
        <f>HYPERLINK("http://www.otzar.org/book.asp?622171","קונטרס הביאורים - 2 כר'")</f>
        <v>קונטרס הביאורים - 2 כר'</v>
      </c>
    </row>
    <row r="36623" spans="1:6" x14ac:dyDescent="0.2">
      <c r="A36623" t="s">
        <v>56514</v>
      </c>
      <c r="B36623" t="s">
        <v>18013</v>
      </c>
      <c r="C36623" t="s">
        <v>454</v>
      </c>
      <c r="D36623" t="s">
        <v>14</v>
      </c>
      <c r="E36623" t="s">
        <v>144</v>
      </c>
      <c r="F36623" s="2" t="str">
        <f>HYPERLINK("http://www.otzar.org/book.asp?23040","קונטרס הביאורים, שערי שמועות - 10 כר'")</f>
        <v>קונטרס הביאורים, שערי שמועות - 10 כר'</v>
      </c>
    </row>
    <row r="36624" spans="1:6" x14ac:dyDescent="0.2">
      <c r="A36624" t="s">
        <v>56515</v>
      </c>
      <c r="B36624" t="s">
        <v>56516</v>
      </c>
      <c r="C36624" t="s">
        <v>111</v>
      </c>
      <c r="D36624" t="s">
        <v>1156</v>
      </c>
      <c r="F36624" s="2" t="str">
        <f>HYPERLINK("http://www.otzar.org/book.asp?621619","קונטרס הבינני - 11 כר'")</f>
        <v>קונטרס הבינני - 11 כר'</v>
      </c>
    </row>
    <row r="36625" spans="1:6" x14ac:dyDescent="0.2">
      <c r="A36625" t="s">
        <v>56517</v>
      </c>
      <c r="B36625" t="s">
        <v>56518</v>
      </c>
      <c r="C36625" t="s">
        <v>106</v>
      </c>
      <c r="D36625" t="s">
        <v>52</v>
      </c>
      <c r="E36625" t="s">
        <v>144</v>
      </c>
      <c r="F36625" s="2" t="str">
        <f>HYPERLINK("http://www.otzar.org/book.asp?171058","קונטרס הבירורים")</f>
        <v>קונטרס הבירורים</v>
      </c>
    </row>
    <row r="36626" spans="1:6" x14ac:dyDescent="0.2">
      <c r="A36626" t="s">
        <v>56519</v>
      </c>
      <c r="B36626" t="s">
        <v>56520</v>
      </c>
      <c r="C36626" t="s">
        <v>1663</v>
      </c>
      <c r="D36626" t="s">
        <v>13187</v>
      </c>
      <c r="E36626" t="s">
        <v>1262</v>
      </c>
      <c r="F36626" s="2" t="str">
        <f>HYPERLINK("http://www.otzar.org/book.asp?52511","קונטרס הבכורים")</f>
        <v>קונטרס הבכורים</v>
      </c>
    </row>
    <row r="36627" spans="1:6" x14ac:dyDescent="0.2">
      <c r="A36627" t="s">
        <v>56521</v>
      </c>
      <c r="B36627" t="s">
        <v>51581</v>
      </c>
      <c r="C36627" t="s">
        <v>351</v>
      </c>
      <c r="D36627" t="s">
        <v>6042</v>
      </c>
      <c r="E36627" t="s">
        <v>15</v>
      </c>
      <c r="F36627" s="2" t="str">
        <f>HYPERLINK("http://www.otzar.org/book.asp?28333","קונטרס הבלעת הדם")</f>
        <v>קונטרס הבלעת הדם</v>
      </c>
    </row>
    <row r="36628" spans="1:6" x14ac:dyDescent="0.2">
      <c r="A36628" t="s">
        <v>56522</v>
      </c>
      <c r="B36628" t="s">
        <v>31883</v>
      </c>
      <c r="C36628" t="s">
        <v>87</v>
      </c>
      <c r="D36628" t="s">
        <v>52</v>
      </c>
      <c r="E36628" t="s">
        <v>1185</v>
      </c>
      <c r="F36628" s="2" t="str">
        <f>HYPERLINK("http://www.otzar.org/book.asp?143777","קונטרס הבעש""ט הקדוש")</f>
        <v>קונטרס הבעש"ט הקדוש</v>
      </c>
    </row>
    <row r="36629" spans="1:6" x14ac:dyDescent="0.2">
      <c r="A36629" t="s">
        <v>56523</v>
      </c>
      <c r="B36629" t="s">
        <v>2919</v>
      </c>
      <c r="C36629" t="s">
        <v>20</v>
      </c>
      <c r="D36629" t="s">
        <v>90</v>
      </c>
      <c r="E36629" t="s">
        <v>241</v>
      </c>
      <c r="F36629" s="2" t="str">
        <f>HYPERLINK("http://www.otzar.org/book.asp?627647","קונטרס הברכה על המרור")</f>
        <v>קונטרס הברכה על המרור</v>
      </c>
    </row>
    <row r="36630" spans="1:6" x14ac:dyDescent="0.2">
      <c r="A36630" t="s">
        <v>56524</v>
      </c>
      <c r="B36630" t="s">
        <v>6987</v>
      </c>
      <c r="C36630" t="s">
        <v>20</v>
      </c>
      <c r="D36630" t="s">
        <v>90</v>
      </c>
      <c r="E36630" t="s">
        <v>15</v>
      </c>
      <c r="F36630" s="2" t="str">
        <f>HYPERLINK("http://www.otzar.org/book.asp?630141","קונטרס הבת והלכותיה - סעודת בת מצוה")</f>
        <v>קונטרס הבת והלכותיה - סעודת בת מצוה</v>
      </c>
    </row>
    <row r="36631" spans="1:6" x14ac:dyDescent="0.2">
      <c r="A36631" t="s">
        <v>56525</v>
      </c>
      <c r="B36631" t="s">
        <v>25498</v>
      </c>
      <c r="C36631" t="s">
        <v>15089</v>
      </c>
      <c r="D36631" t="s">
        <v>6551</v>
      </c>
      <c r="E36631" t="s">
        <v>144</v>
      </c>
      <c r="F36631" s="2" t="str">
        <f>HYPERLINK("http://www.otzar.org/book.asp?107196","קונטרס הגאון ר' צבי חריף זצ""ל - 2 כר'")</f>
        <v>קונטרס הגאון ר' צבי חריף זצ"ל - 2 כר'</v>
      </c>
    </row>
    <row r="36632" spans="1:6" x14ac:dyDescent="0.2">
      <c r="A36632" t="s">
        <v>56526</v>
      </c>
      <c r="B36632" t="s">
        <v>56527</v>
      </c>
      <c r="E36632" t="s">
        <v>144</v>
      </c>
      <c r="F36632" s="2" t="str">
        <f>HYPERLINK("http://www.otzar.org/book.asp?623343","קונטרס הגדול - א")</f>
        <v>קונטרס הגדול - א</v>
      </c>
    </row>
    <row r="36633" spans="1:6" x14ac:dyDescent="0.2">
      <c r="A36633" t="s">
        <v>56528</v>
      </c>
      <c r="B36633" t="s">
        <v>4263</v>
      </c>
      <c r="C36633" t="s">
        <v>533</v>
      </c>
      <c r="D36633" t="s">
        <v>14</v>
      </c>
      <c r="E36633" t="s">
        <v>140</v>
      </c>
      <c r="F36633" s="2" t="str">
        <f>HYPERLINK("http://www.otzar.org/book.asp?628723","קונטרס הגדת משה")</f>
        <v>קונטרס הגדת משה</v>
      </c>
    </row>
    <row r="36634" spans="1:6" x14ac:dyDescent="0.2">
      <c r="A36634" t="s">
        <v>56529</v>
      </c>
      <c r="B36634" t="s">
        <v>56529</v>
      </c>
      <c r="C36634" t="s">
        <v>1619</v>
      </c>
      <c r="D36634" t="s">
        <v>412</v>
      </c>
      <c r="E36634" t="s">
        <v>1211</v>
      </c>
      <c r="F36634" s="2" t="str">
        <f>HYPERLINK("http://www.otzar.org/book.asp?10066","קונטרס הגהות")</f>
        <v>קונטרס הגהות</v>
      </c>
    </row>
    <row r="36635" spans="1:6" x14ac:dyDescent="0.2">
      <c r="A36635" t="s">
        <v>56530</v>
      </c>
      <c r="B36635" t="s">
        <v>25892</v>
      </c>
      <c r="C36635" t="s">
        <v>51</v>
      </c>
      <c r="D36635" t="s">
        <v>14</v>
      </c>
      <c r="E36635" t="s">
        <v>104</v>
      </c>
      <c r="F36635" s="2" t="str">
        <f>HYPERLINK("http://www.otzar.org/book.asp?148630","קונטרס הגיע זמן")</f>
        <v>קונטרס הגיע זמן</v>
      </c>
    </row>
    <row r="36636" spans="1:6" x14ac:dyDescent="0.2">
      <c r="A36636" t="s">
        <v>56531</v>
      </c>
      <c r="B36636" t="s">
        <v>44626</v>
      </c>
      <c r="C36636" t="s">
        <v>68</v>
      </c>
      <c r="D36636" t="s">
        <v>52</v>
      </c>
      <c r="E36636" t="s">
        <v>15</v>
      </c>
      <c r="F36636" s="2" t="str">
        <f>HYPERLINK("http://www.otzar.org/book.asp?630087","קונטרס הגירות")</f>
        <v>קונטרס הגירות</v>
      </c>
    </row>
    <row r="36637" spans="1:6" x14ac:dyDescent="0.2">
      <c r="A36637" t="s">
        <v>56532</v>
      </c>
      <c r="B36637" t="s">
        <v>56533</v>
      </c>
      <c r="C36637" t="s">
        <v>466</v>
      </c>
      <c r="D36637" t="s">
        <v>17847</v>
      </c>
      <c r="F36637" s="2" t="str">
        <f>HYPERLINK("http://www.otzar.org/book.asp?613199","קונטרס הדיבוק")</f>
        <v>קונטרס הדיבוק</v>
      </c>
    </row>
    <row r="36638" spans="1:6" x14ac:dyDescent="0.2">
      <c r="A36638" t="s">
        <v>56534</v>
      </c>
      <c r="B36638" t="s">
        <v>56535</v>
      </c>
      <c r="C36638" t="s">
        <v>20</v>
      </c>
      <c r="D36638" t="s">
        <v>90</v>
      </c>
      <c r="F36638" s="2" t="str">
        <f>HYPERLINK("http://www.otzar.org/book.asp?198522","קונטרס הדלקת הנר")</f>
        <v>קונטרס הדלקת הנר</v>
      </c>
    </row>
    <row r="36639" spans="1:6" x14ac:dyDescent="0.2">
      <c r="A36639" t="s">
        <v>56536</v>
      </c>
      <c r="B36639" t="s">
        <v>56537</v>
      </c>
      <c r="C36639" t="s">
        <v>124</v>
      </c>
      <c r="D36639" t="s">
        <v>52</v>
      </c>
      <c r="E36639" t="s">
        <v>104</v>
      </c>
      <c r="F36639" s="2" t="str">
        <f>HYPERLINK("http://www.otzar.org/book.asp?623858","קונטרס הדרכה לכלות")</f>
        <v>קונטרס הדרכה לכלות</v>
      </c>
    </row>
    <row r="36640" spans="1:6" x14ac:dyDescent="0.2">
      <c r="A36640" t="s">
        <v>56538</v>
      </c>
      <c r="B36640" t="s">
        <v>1557</v>
      </c>
      <c r="C36640" t="s">
        <v>189</v>
      </c>
      <c r="D36640" t="s">
        <v>152</v>
      </c>
      <c r="F36640" s="2" t="str">
        <f>HYPERLINK("http://www.otzar.org/book.asp?610382","קונטרס הדרן עלך - הלכות ארבעת המינים")</f>
        <v>קונטרס הדרן עלך - הלכות ארבעת המינים</v>
      </c>
    </row>
    <row r="36641" spans="1:6" x14ac:dyDescent="0.2">
      <c r="A36641" t="s">
        <v>56539</v>
      </c>
      <c r="B36641" t="s">
        <v>12292</v>
      </c>
      <c r="C36641" t="s">
        <v>13</v>
      </c>
      <c r="D36641" t="s">
        <v>4665</v>
      </c>
      <c r="F36641" s="2" t="str">
        <f>HYPERLINK("http://www.otzar.org/book.asp?163801","קונטרס הדרת דוד - לולב הגזול")</f>
        <v>קונטרס הדרת דוד - לולב הגזול</v>
      </c>
    </row>
    <row r="36642" spans="1:6" x14ac:dyDescent="0.2">
      <c r="A36642" t="s">
        <v>56540</v>
      </c>
      <c r="B36642" t="s">
        <v>35286</v>
      </c>
      <c r="C36642" t="s">
        <v>244</v>
      </c>
      <c r="D36642" t="s">
        <v>412</v>
      </c>
      <c r="F36642" s="2" t="str">
        <f>HYPERLINK("http://www.otzar.org/book.asp?616538","קונטרס הדרת יוסף")</f>
        <v>קונטרס הדרת יוסף</v>
      </c>
    </row>
    <row r="36643" spans="1:6" x14ac:dyDescent="0.2">
      <c r="A36643" t="s">
        <v>56541</v>
      </c>
      <c r="B36643" t="s">
        <v>206</v>
      </c>
      <c r="C36643" t="s">
        <v>51</v>
      </c>
      <c r="D36643" t="s">
        <v>52</v>
      </c>
      <c r="E36643" t="s">
        <v>15</v>
      </c>
      <c r="F36643" s="2" t="str">
        <f>HYPERLINK("http://www.otzar.org/book.asp?161562","קונטרס הדרת מלך")</f>
        <v>קונטרס הדרת מלך</v>
      </c>
    </row>
    <row r="36644" spans="1:6" x14ac:dyDescent="0.2">
      <c r="A36644" t="s">
        <v>56541</v>
      </c>
      <c r="B36644" t="s">
        <v>56542</v>
      </c>
      <c r="F36644" s="2" t="str">
        <f>HYPERLINK("http://www.otzar.org/book.asp?616537","קונטרס הדרת מלך")</f>
        <v>קונטרס הדרת מלך</v>
      </c>
    </row>
    <row r="36645" spans="1:6" x14ac:dyDescent="0.2">
      <c r="A36645" t="s">
        <v>56543</v>
      </c>
      <c r="B36645" t="s">
        <v>40267</v>
      </c>
      <c r="C36645" t="s">
        <v>411</v>
      </c>
      <c r="D36645" t="s">
        <v>14</v>
      </c>
      <c r="E36645" t="s">
        <v>1517</v>
      </c>
      <c r="F36645" s="2" t="str">
        <f>HYPERLINK("http://www.otzar.org/book.asp?171663","קונטרס הדרת מלך - ראש השנה")</f>
        <v>קונטרס הדרת מלך - ראש השנה</v>
      </c>
    </row>
    <row r="36646" spans="1:6" x14ac:dyDescent="0.2">
      <c r="A36646" t="s">
        <v>56544</v>
      </c>
      <c r="B36646" t="s">
        <v>2872</v>
      </c>
      <c r="C36646" t="s">
        <v>20</v>
      </c>
      <c r="D36646" t="s">
        <v>52</v>
      </c>
      <c r="E36646" t="s">
        <v>104</v>
      </c>
      <c r="F36646" s="2" t="str">
        <f>HYPERLINK("http://www.otzar.org/book.asp?607579","קונטרס ההנהגה באכילת קרבן פסח")</f>
        <v>קונטרס ההנהגה באכילת קרבן פסח</v>
      </c>
    </row>
    <row r="36647" spans="1:6" x14ac:dyDescent="0.2">
      <c r="A36647" t="s">
        <v>56545</v>
      </c>
      <c r="B36647" t="s">
        <v>1149</v>
      </c>
      <c r="C36647" t="s">
        <v>503</v>
      </c>
      <c r="D36647" t="s">
        <v>6214</v>
      </c>
      <c r="E36647" t="s">
        <v>43</v>
      </c>
      <c r="F36647" s="2" t="str">
        <f>HYPERLINK("http://www.otzar.org/book.asp?197604","קונטרס ההקדמות והמבוא")</f>
        <v>קונטרס ההקדמות והמבוא</v>
      </c>
    </row>
    <row r="36648" spans="1:6" x14ac:dyDescent="0.2">
      <c r="A36648" t="s">
        <v>56546</v>
      </c>
      <c r="B36648" t="s">
        <v>56547</v>
      </c>
      <c r="C36648" t="s">
        <v>168</v>
      </c>
      <c r="D36648" t="s">
        <v>14</v>
      </c>
      <c r="E36648" t="s">
        <v>714</v>
      </c>
      <c r="F36648" s="2" t="str">
        <f>HYPERLINK("http://www.otzar.org/book.asp?153954","קונטרס ההשכמה - התעוררות לתפלה")</f>
        <v>קונטרס ההשכמה - התעוררות לתפלה</v>
      </c>
    </row>
    <row r="36649" spans="1:6" x14ac:dyDescent="0.2">
      <c r="A36649" t="s">
        <v>56548</v>
      </c>
      <c r="B36649" t="s">
        <v>1367</v>
      </c>
      <c r="C36649" t="s">
        <v>5991</v>
      </c>
      <c r="E36649" t="s">
        <v>140</v>
      </c>
      <c r="F36649" s="2" t="str">
        <f>HYPERLINK("http://www.otzar.org/book.asp?146264","קונטרס ההתפעלות")</f>
        <v>קונטרס ההתפעלות</v>
      </c>
    </row>
    <row r="36650" spans="1:6" x14ac:dyDescent="0.2">
      <c r="A36650" t="s">
        <v>56549</v>
      </c>
      <c r="B36650" t="s">
        <v>56550</v>
      </c>
      <c r="C36650" t="s">
        <v>366</v>
      </c>
      <c r="D36650" t="s">
        <v>90</v>
      </c>
      <c r="E36650" t="s">
        <v>15</v>
      </c>
      <c r="F36650" s="2" t="str">
        <f>HYPERLINK("http://www.otzar.org/book.asp?624827","קונטרס הואיל משה")</f>
        <v>קונטרס הואיל משה</v>
      </c>
    </row>
    <row r="36651" spans="1:6" x14ac:dyDescent="0.2">
      <c r="A36651" t="s">
        <v>56551</v>
      </c>
      <c r="B36651" t="s">
        <v>56552</v>
      </c>
      <c r="C36651" t="s">
        <v>20</v>
      </c>
      <c r="D36651" t="s">
        <v>90</v>
      </c>
      <c r="F36651" s="2" t="str">
        <f>HYPERLINK("http://www.otzar.org/book.asp?608583","קונטרס הוד יוסף")</f>
        <v>קונטרס הוד יוסף</v>
      </c>
    </row>
    <row r="36652" spans="1:6" x14ac:dyDescent="0.2">
      <c r="A36652" t="s">
        <v>56553</v>
      </c>
      <c r="B36652" t="s">
        <v>56554</v>
      </c>
      <c r="C36652" t="s">
        <v>151</v>
      </c>
      <c r="D36652" t="s">
        <v>4223</v>
      </c>
      <c r="E36652" t="s">
        <v>246</v>
      </c>
      <c r="F36652" s="2" t="str">
        <f>HYPERLINK("http://www.otzar.org/book.asp?625387","קונטרס הוד שבהוד")</f>
        <v>קונטרס הוד שבהוד</v>
      </c>
    </row>
    <row r="36653" spans="1:6" x14ac:dyDescent="0.2">
      <c r="A36653" t="s">
        <v>56555</v>
      </c>
      <c r="B36653" t="s">
        <v>56556</v>
      </c>
      <c r="C36653" t="s">
        <v>151</v>
      </c>
      <c r="D36653" t="s">
        <v>52</v>
      </c>
      <c r="E36653" t="s">
        <v>144</v>
      </c>
      <c r="F36653" s="2" t="str">
        <f>HYPERLINK("http://www.otzar.org/book.asp?618881","קונטרס הודך והדרך - ב""מ")</f>
        <v>קונטרס הודך והדרך - ב"מ</v>
      </c>
    </row>
    <row r="36654" spans="1:6" x14ac:dyDescent="0.2">
      <c r="A36654" t="s">
        <v>56557</v>
      </c>
      <c r="B36654" t="s">
        <v>1750</v>
      </c>
      <c r="C36654" t="s">
        <v>129</v>
      </c>
      <c r="D36654" t="s">
        <v>1076</v>
      </c>
      <c r="E36654" t="s">
        <v>3055</v>
      </c>
      <c r="F36654" s="2" t="str">
        <f>HYPERLINK("http://www.otzar.org/book.asp?145414","קונטרס הודך והדרך")</f>
        <v>קונטרס הודך והדרך</v>
      </c>
    </row>
    <row r="36655" spans="1:6" x14ac:dyDescent="0.2">
      <c r="A36655" t="s">
        <v>56558</v>
      </c>
      <c r="B36655" t="s">
        <v>5293</v>
      </c>
      <c r="C36655" t="s">
        <v>133</v>
      </c>
      <c r="D36655" t="s">
        <v>21</v>
      </c>
      <c r="E36655" t="s">
        <v>241</v>
      </c>
      <c r="F36655" s="2" t="str">
        <f>HYPERLINK("http://www.otzar.org/book.asp?197838","קונטרס הוויתור")</f>
        <v>קונטרס הוויתור</v>
      </c>
    </row>
    <row r="36656" spans="1:6" x14ac:dyDescent="0.2">
      <c r="A36656" t="s">
        <v>56559</v>
      </c>
      <c r="B36656" t="s">
        <v>18830</v>
      </c>
      <c r="C36656" t="s">
        <v>133</v>
      </c>
      <c r="D36656" t="s">
        <v>14</v>
      </c>
      <c r="E36656" t="s">
        <v>144</v>
      </c>
      <c r="F36656" s="2" t="str">
        <f>HYPERLINK("http://www.otzar.org/book.asp?602897","קונטרס הויות דאביי")</f>
        <v>קונטרס הויות דאביי</v>
      </c>
    </row>
    <row r="36657" spans="1:6" x14ac:dyDescent="0.2">
      <c r="A36657" t="s">
        <v>56560</v>
      </c>
      <c r="B36657" t="s">
        <v>56560</v>
      </c>
      <c r="C36657" t="s">
        <v>1268</v>
      </c>
      <c r="D36657" t="s">
        <v>118</v>
      </c>
      <c r="E36657" t="s">
        <v>213</v>
      </c>
      <c r="F36657" s="2" t="str">
        <f>HYPERLINK("http://www.otzar.org/book.asp?934","קונטרס הויכוח")</f>
        <v>קונטרס הויכוח</v>
      </c>
    </row>
    <row r="36658" spans="1:6" x14ac:dyDescent="0.2">
      <c r="A36658" t="s">
        <v>56561</v>
      </c>
      <c r="B36658" t="s">
        <v>206</v>
      </c>
      <c r="C36658" t="s">
        <v>20</v>
      </c>
      <c r="D36658" t="s">
        <v>90</v>
      </c>
      <c r="F36658" s="2" t="str">
        <f>HYPERLINK("http://www.otzar.org/book.asp?198161","קונטרס הולך את חכמים יחכם")</f>
        <v>קונטרס הולך את חכמים יחכם</v>
      </c>
    </row>
    <row r="36659" spans="1:6" x14ac:dyDescent="0.2">
      <c r="A36659" t="s">
        <v>56562</v>
      </c>
      <c r="B36659" t="s">
        <v>56047</v>
      </c>
      <c r="C36659" t="s">
        <v>133</v>
      </c>
      <c r="D36659" t="s">
        <v>52</v>
      </c>
      <c r="E36659" t="s">
        <v>144</v>
      </c>
      <c r="F36659" s="2" t="str">
        <f>HYPERLINK("http://www.otzar.org/book.asp?624957","קונטרס הוצאה")</f>
        <v>קונטרס הוצאה</v>
      </c>
    </row>
    <row r="36660" spans="1:6" x14ac:dyDescent="0.2">
      <c r="A36660" t="s">
        <v>56563</v>
      </c>
      <c r="B36660" t="s">
        <v>12481</v>
      </c>
      <c r="C36660" t="s">
        <v>68</v>
      </c>
      <c r="D36660" t="s">
        <v>14</v>
      </c>
      <c r="F36660" s="2" t="str">
        <f>HYPERLINK("http://www.otzar.org/book.asp?198042","קונטרס הזדמנות אחרונה")</f>
        <v>קונטרס הזדמנות אחרונה</v>
      </c>
    </row>
    <row r="36661" spans="1:6" x14ac:dyDescent="0.2">
      <c r="A36661" t="s">
        <v>56564</v>
      </c>
      <c r="B36661" t="s">
        <v>6987</v>
      </c>
      <c r="C36661" t="s">
        <v>454</v>
      </c>
      <c r="D36661" t="s">
        <v>14</v>
      </c>
      <c r="E36661" t="s">
        <v>104</v>
      </c>
      <c r="F36661" s="2" t="str">
        <f>HYPERLINK("http://www.otzar.org/book.asp?62002","קונטרס הזהרו בגחלתן יתד היהדות")</f>
        <v>קונטרס הזהרו בגחלתן יתד היהדות</v>
      </c>
    </row>
    <row r="36662" spans="1:6" x14ac:dyDescent="0.2">
      <c r="A36662" t="s">
        <v>56565</v>
      </c>
      <c r="B36662" t="s">
        <v>32357</v>
      </c>
      <c r="C36662" t="s">
        <v>20</v>
      </c>
      <c r="D36662" t="s">
        <v>52</v>
      </c>
      <c r="E36662" t="s">
        <v>241</v>
      </c>
      <c r="F36662" s="2" t="str">
        <f>HYPERLINK("http://www.otzar.org/book.asp?193808","קונטרס הזורעים בדמעה")</f>
        <v>קונטרס הזורעים בדמעה</v>
      </c>
    </row>
    <row r="36663" spans="1:6" x14ac:dyDescent="0.2">
      <c r="A36663" t="s">
        <v>56566</v>
      </c>
      <c r="B36663" t="s">
        <v>56567</v>
      </c>
      <c r="C36663" t="s">
        <v>129</v>
      </c>
      <c r="D36663" t="s">
        <v>1550</v>
      </c>
      <c r="E36663" t="s">
        <v>2338</v>
      </c>
      <c r="F36663" s="2" t="str">
        <f>HYPERLINK("http://www.otzar.org/book.asp?176161","קונטרס הזכרון - 9 כר'")</f>
        <v>קונטרס הזכרון - 9 כר'</v>
      </c>
    </row>
    <row r="36664" spans="1:6" x14ac:dyDescent="0.2">
      <c r="A36664" t="s">
        <v>56568</v>
      </c>
      <c r="B36664" t="s">
        <v>26647</v>
      </c>
      <c r="E36664" t="s">
        <v>202</v>
      </c>
      <c r="F36664" s="2" t="str">
        <f>HYPERLINK("http://www.otzar.org/book.asp?627745","קונטרס החבורות מילי דנזיקין")</f>
        <v>קונטרס החבורות מילי דנזיקין</v>
      </c>
    </row>
    <row r="36665" spans="1:6" x14ac:dyDescent="0.2">
      <c r="A36665" t="s">
        <v>56569</v>
      </c>
      <c r="B36665" t="s">
        <v>56570</v>
      </c>
      <c r="C36665" t="s">
        <v>366</v>
      </c>
      <c r="D36665" t="s">
        <v>14</v>
      </c>
      <c r="F36665" s="2" t="str">
        <f>HYPERLINK("http://www.otzar.org/book.asp?611004","קונטרס החדש הזה לכם")</f>
        <v>קונטרס החדש הזה לכם</v>
      </c>
    </row>
    <row r="36666" spans="1:6" x14ac:dyDescent="0.2">
      <c r="A36666" t="s">
        <v>56571</v>
      </c>
      <c r="B36666" t="s">
        <v>40017</v>
      </c>
      <c r="C36666" t="s">
        <v>189</v>
      </c>
      <c r="D36666" t="s">
        <v>14</v>
      </c>
      <c r="F36666" s="2" t="str">
        <f>HYPERLINK("http://www.otzar.org/book.asp?612130","קונטרס החודש הזה")</f>
        <v>קונטרס החודש הזה</v>
      </c>
    </row>
    <row r="36667" spans="1:6" x14ac:dyDescent="0.2">
      <c r="A36667" t="s">
        <v>56572</v>
      </c>
      <c r="B36667" t="s">
        <v>22669</v>
      </c>
      <c r="C36667" t="s">
        <v>37</v>
      </c>
      <c r="D36667" t="s">
        <v>52</v>
      </c>
      <c r="E36667" t="s">
        <v>144</v>
      </c>
      <c r="F36667" s="2" t="str">
        <f>HYPERLINK("http://www.otzar.org/book.asp?600650","קונטרס החורים והסולם")</f>
        <v>קונטרס החורים והסולם</v>
      </c>
    </row>
    <row r="36668" spans="1:6" x14ac:dyDescent="0.2">
      <c r="A36668" t="s">
        <v>56573</v>
      </c>
      <c r="B36668" t="s">
        <v>206</v>
      </c>
      <c r="C36668" t="s">
        <v>20</v>
      </c>
      <c r="D36668" t="s">
        <v>90</v>
      </c>
      <c r="E36668" t="s">
        <v>144</v>
      </c>
      <c r="F36668" s="2" t="str">
        <f>HYPERLINK("http://www.otzar.org/book.asp?608577","קונטרס החזקות")</f>
        <v>קונטרס החזקות</v>
      </c>
    </row>
    <row r="36669" spans="1:6" x14ac:dyDescent="0.2">
      <c r="A36669" t="s">
        <v>56573</v>
      </c>
      <c r="B36669" t="s">
        <v>23424</v>
      </c>
      <c r="C36669" t="s">
        <v>553</v>
      </c>
      <c r="D36669" t="s">
        <v>52</v>
      </c>
      <c r="E36669" t="s">
        <v>144</v>
      </c>
      <c r="F36669" s="2" t="str">
        <f>HYPERLINK("http://www.otzar.org/book.asp?194915","קונטרס החזקות")</f>
        <v>קונטרס החזקות</v>
      </c>
    </row>
    <row r="36670" spans="1:6" x14ac:dyDescent="0.2">
      <c r="A36670" t="s">
        <v>56574</v>
      </c>
      <c r="B36670" t="s">
        <v>56575</v>
      </c>
      <c r="C36670" t="s">
        <v>523</v>
      </c>
      <c r="D36670" t="s">
        <v>52</v>
      </c>
      <c r="E36670" t="s">
        <v>241</v>
      </c>
      <c r="F36670" s="2" t="str">
        <f>HYPERLINK("http://www.otzar.org/book.asp?61960","קונטרס החיים שערי אהרן")</f>
        <v>קונטרס החיים שערי אהרן</v>
      </c>
    </row>
    <row r="36671" spans="1:6" x14ac:dyDescent="0.2">
      <c r="A36671" t="s">
        <v>56576</v>
      </c>
      <c r="B36671" t="s">
        <v>20652</v>
      </c>
      <c r="C36671" t="s">
        <v>725</v>
      </c>
      <c r="D36671" t="s">
        <v>27</v>
      </c>
      <c r="E36671" t="s">
        <v>15</v>
      </c>
      <c r="F36671" s="2" t="str">
        <f>HYPERLINK("http://www.otzar.org/book.asp?169422","קונטרס החליבה")</f>
        <v>קונטרס החליבה</v>
      </c>
    </row>
    <row r="36672" spans="1:6" x14ac:dyDescent="0.2">
      <c r="A36672" t="s">
        <v>56577</v>
      </c>
      <c r="B36672" t="s">
        <v>15154</v>
      </c>
      <c r="C36672" t="s">
        <v>3840</v>
      </c>
      <c r="D36672" t="s">
        <v>412</v>
      </c>
      <c r="E36672" t="s">
        <v>241</v>
      </c>
      <c r="F36672" s="2" t="str">
        <f>HYPERLINK("http://www.otzar.org/book.asp?158164","קונטרס החסד")</f>
        <v>קונטרס החסד</v>
      </c>
    </row>
    <row r="36673" spans="1:6" x14ac:dyDescent="0.2">
      <c r="A36673" t="s">
        <v>56578</v>
      </c>
      <c r="B36673" t="s">
        <v>35526</v>
      </c>
      <c r="C36673" t="s">
        <v>624</v>
      </c>
      <c r="D36673" t="s">
        <v>486</v>
      </c>
      <c r="E36673" t="s">
        <v>10</v>
      </c>
      <c r="F36673" s="2" t="str">
        <f>HYPERLINK("http://www.otzar.org/book.asp?53250","קונטרס הטהרה")</f>
        <v>קונטרס הטהרה</v>
      </c>
    </row>
    <row r="36674" spans="1:6" x14ac:dyDescent="0.2">
      <c r="A36674" t="s">
        <v>56579</v>
      </c>
      <c r="B36674" t="s">
        <v>2020</v>
      </c>
      <c r="C36674" t="s">
        <v>20</v>
      </c>
      <c r="D36674" t="s">
        <v>52</v>
      </c>
      <c r="E36674" t="s">
        <v>104</v>
      </c>
      <c r="F36674" s="2" t="str">
        <f>HYPERLINK("http://www.otzar.org/book.asp?625738","קונטרס הטהרות - כללי קרבנות")</f>
        <v>קונטרס הטהרות - כללי קרבנות</v>
      </c>
    </row>
    <row r="36675" spans="1:6" x14ac:dyDescent="0.2">
      <c r="A36675" t="s">
        <v>56580</v>
      </c>
      <c r="B36675" t="s">
        <v>206</v>
      </c>
      <c r="C36675" t="s">
        <v>51</v>
      </c>
      <c r="D36675" t="s">
        <v>52</v>
      </c>
      <c r="E36675" t="s">
        <v>241</v>
      </c>
      <c r="F36675" s="2" t="str">
        <f>HYPERLINK("http://www.otzar.org/book.asp?623502","קונטרס היא אוצרו")</f>
        <v>קונטרס היא אוצרו</v>
      </c>
    </row>
    <row r="36676" spans="1:6" x14ac:dyDescent="0.2">
      <c r="A36676" t="s">
        <v>56581</v>
      </c>
      <c r="B36676" t="s">
        <v>3188</v>
      </c>
      <c r="C36676" t="s">
        <v>244</v>
      </c>
      <c r="D36676" t="s">
        <v>14</v>
      </c>
      <c r="E36676" t="s">
        <v>144</v>
      </c>
      <c r="F36676" s="2" t="str">
        <f>HYPERLINK("http://www.otzar.org/book.asp?608277","קונטרס היא שיחתי - 4 כר'")</f>
        <v>קונטרס היא שיחתי - 4 כר'</v>
      </c>
    </row>
    <row r="36677" spans="1:6" x14ac:dyDescent="0.2">
      <c r="A36677" t="s">
        <v>56582</v>
      </c>
      <c r="C36677" t="s">
        <v>366</v>
      </c>
      <c r="D36677" t="s">
        <v>657</v>
      </c>
      <c r="E36677" t="s">
        <v>674</v>
      </c>
      <c r="F36677" s="2" t="str">
        <f>HYPERLINK("http://www.otzar.org/book.asp?613211","קונטרס היוצא לדרך")</f>
        <v>קונטרס היוצא לדרך</v>
      </c>
    </row>
    <row r="36678" spans="1:6" x14ac:dyDescent="0.2">
      <c r="A36678" t="s">
        <v>56583</v>
      </c>
      <c r="B36678" t="s">
        <v>3168</v>
      </c>
      <c r="C36678" t="s">
        <v>20</v>
      </c>
      <c r="D36678" t="s">
        <v>90</v>
      </c>
      <c r="E36678" t="s">
        <v>104</v>
      </c>
      <c r="F36678" s="2" t="str">
        <f>HYPERLINK("http://www.otzar.org/book.asp?166045","קונטרס הילולא דצדיקיא")</f>
        <v>קונטרס הילולא דצדיקיא</v>
      </c>
    </row>
    <row r="36679" spans="1:6" x14ac:dyDescent="0.2">
      <c r="A36679" t="s">
        <v>56584</v>
      </c>
      <c r="B36679" t="s">
        <v>206</v>
      </c>
      <c r="C36679" t="s">
        <v>422</v>
      </c>
      <c r="D36679" t="s">
        <v>657</v>
      </c>
      <c r="E36679" t="s">
        <v>15</v>
      </c>
      <c r="F36679" s="2" t="str">
        <f>HYPERLINK("http://www.otzar.org/book.asp?85757","קונטרס הירקות שנזרעו בשביעית")</f>
        <v>קונטרס הירקות שנזרעו בשביעית</v>
      </c>
    </row>
    <row r="36680" spans="1:6" x14ac:dyDescent="0.2">
      <c r="A36680" t="s">
        <v>56585</v>
      </c>
      <c r="B36680" t="s">
        <v>206</v>
      </c>
      <c r="C36680" t="s">
        <v>20</v>
      </c>
      <c r="D36680" t="s">
        <v>90</v>
      </c>
      <c r="E36680" t="s">
        <v>15</v>
      </c>
      <c r="F36680" s="2" t="str">
        <f>HYPERLINK("http://www.otzar.org/book.asp?193495","קונטרס היתר עיסקא כהלכתו")</f>
        <v>קונטרס היתר עיסקא כהלכתו</v>
      </c>
    </row>
    <row r="36681" spans="1:6" x14ac:dyDescent="0.2">
      <c r="A36681" t="s">
        <v>56586</v>
      </c>
      <c r="B36681" t="s">
        <v>2872</v>
      </c>
      <c r="C36681" t="s">
        <v>20</v>
      </c>
      <c r="D36681" t="s">
        <v>90</v>
      </c>
      <c r="F36681" s="2" t="str">
        <f>HYPERLINK("http://www.otzar.org/book.asp?607511","קונטרס הכנה לגאולה")</f>
        <v>קונטרס הכנה לגאולה</v>
      </c>
    </row>
    <row r="36682" spans="1:6" x14ac:dyDescent="0.2">
      <c r="A36682" t="s">
        <v>56587</v>
      </c>
      <c r="B36682" t="s">
        <v>56588</v>
      </c>
      <c r="C36682" t="s">
        <v>20</v>
      </c>
      <c r="D36682" t="s">
        <v>90</v>
      </c>
      <c r="F36682" s="2" t="str">
        <f>HYPERLINK("http://www.otzar.org/book.asp?198650","קונטרס הכנה למצוה")</f>
        <v>קונטרס הכנה למצוה</v>
      </c>
    </row>
    <row r="36683" spans="1:6" x14ac:dyDescent="0.2">
      <c r="A36683" t="s">
        <v>56589</v>
      </c>
      <c r="B36683" t="s">
        <v>56590</v>
      </c>
      <c r="C36683" t="s">
        <v>383</v>
      </c>
      <c r="D36683" t="s">
        <v>486</v>
      </c>
      <c r="E36683" t="s">
        <v>144</v>
      </c>
      <c r="F36683" s="2" t="str">
        <f>HYPERLINK("http://www.otzar.org/book.asp?617342","קונטרס הכנה על פרק הכונס")</f>
        <v>קונטרס הכנה על פרק הכונס</v>
      </c>
    </row>
    <row r="36684" spans="1:6" x14ac:dyDescent="0.2">
      <c r="A36684" t="s">
        <v>56591</v>
      </c>
      <c r="B36684" t="s">
        <v>56592</v>
      </c>
      <c r="C36684" t="s">
        <v>20</v>
      </c>
      <c r="D36684" t="s">
        <v>90</v>
      </c>
      <c r="F36684" s="2" t="str">
        <f>HYPERLINK("http://www.otzar.org/book.asp?610590","קונטרס הכנה")</f>
        <v>קונטרס הכנה</v>
      </c>
    </row>
    <row r="36685" spans="1:6" x14ac:dyDescent="0.2">
      <c r="A36685" t="s">
        <v>56593</v>
      </c>
      <c r="B36685" t="s">
        <v>56594</v>
      </c>
      <c r="C36685" t="s">
        <v>244</v>
      </c>
      <c r="D36685" t="s">
        <v>21</v>
      </c>
      <c r="F36685" s="2" t="str">
        <f>HYPERLINK("http://www.otzar.org/book.asp?610588","קונטרס הכנת שבת - מוקצה")</f>
        <v>קונטרס הכנת שבת - מוקצה</v>
      </c>
    </row>
    <row r="36686" spans="1:6" x14ac:dyDescent="0.2">
      <c r="A36686" t="s">
        <v>56595</v>
      </c>
      <c r="B36686" t="s">
        <v>56062</v>
      </c>
      <c r="C36686" t="s">
        <v>244</v>
      </c>
      <c r="D36686" t="s">
        <v>52</v>
      </c>
      <c r="F36686" s="2" t="str">
        <f>HYPERLINK("http://www.otzar.org/book.asp?616725","קונטרס הכרעתה של חזקה")</f>
        <v>קונטרס הכרעתה של חזקה</v>
      </c>
    </row>
    <row r="36687" spans="1:6" x14ac:dyDescent="0.2">
      <c r="A36687" t="s">
        <v>56596</v>
      </c>
      <c r="B36687" t="s">
        <v>56225</v>
      </c>
      <c r="C36687" t="s">
        <v>13</v>
      </c>
      <c r="D36687" t="s">
        <v>52</v>
      </c>
      <c r="E36687" t="s">
        <v>130</v>
      </c>
      <c r="F36687" s="2" t="str">
        <f>HYPERLINK("http://www.otzar.org/book.asp?162154","קונטרס הכשרת הכלים והמטבח לפסח")</f>
        <v>קונטרס הכשרת הכלים והמטבח לפסח</v>
      </c>
    </row>
    <row r="36688" spans="1:6" x14ac:dyDescent="0.2">
      <c r="A36688" t="s">
        <v>56597</v>
      </c>
      <c r="B36688" t="s">
        <v>56598</v>
      </c>
      <c r="C36688" t="s">
        <v>919</v>
      </c>
      <c r="D36688" t="s">
        <v>14</v>
      </c>
      <c r="E36688" t="s">
        <v>104</v>
      </c>
      <c r="F36688" s="2" t="str">
        <f>HYPERLINK("http://www.otzar.org/book.asp?179125","קונטרס הכתל המערבי")</f>
        <v>קונטרס הכתל המערבי</v>
      </c>
    </row>
    <row r="36689" spans="1:6" x14ac:dyDescent="0.2">
      <c r="A36689" t="s">
        <v>56599</v>
      </c>
      <c r="B36689" t="s">
        <v>14157</v>
      </c>
      <c r="C36689" t="s">
        <v>114</v>
      </c>
      <c r="D36689" t="s">
        <v>152</v>
      </c>
      <c r="E36689" t="s">
        <v>5935</v>
      </c>
      <c r="F36689" s="2" t="str">
        <f>HYPERLINK("http://www.otzar.org/book.asp?615396","קונטרס הליכות והלכות לבין הזמנים")</f>
        <v>קונטרס הליכות והלכות לבין הזמנים</v>
      </c>
    </row>
    <row r="36690" spans="1:6" x14ac:dyDescent="0.2">
      <c r="A36690" t="s">
        <v>56600</v>
      </c>
      <c r="B36690" t="s">
        <v>14157</v>
      </c>
      <c r="C36690" t="s">
        <v>411</v>
      </c>
      <c r="D36690" t="s">
        <v>152</v>
      </c>
      <c r="F36690" s="2" t="str">
        <f>HYPERLINK("http://www.otzar.org/book.asp?615398","קונטרס הליכות זמן הביניים")</f>
        <v>קונטרס הליכות זמן הביניים</v>
      </c>
    </row>
    <row r="36691" spans="1:6" x14ac:dyDescent="0.2">
      <c r="A36691" t="s">
        <v>56601</v>
      </c>
      <c r="B36691" t="s">
        <v>17702</v>
      </c>
      <c r="C36691" t="s">
        <v>133</v>
      </c>
      <c r="D36691" t="s">
        <v>423</v>
      </c>
      <c r="E36691" t="s">
        <v>15</v>
      </c>
      <c r="F36691" s="2" t="str">
        <f>HYPERLINK("http://www.otzar.org/book.asp?180124","קונטרס הליכות חיים - סדר היום")</f>
        <v>קונטרס הליכות חיים - סדר היום</v>
      </c>
    </row>
    <row r="36692" spans="1:6" x14ac:dyDescent="0.2">
      <c r="A36692" t="s">
        <v>56602</v>
      </c>
      <c r="B36692" t="s">
        <v>56603</v>
      </c>
      <c r="C36692" t="s">
        <v>20</v>
      </c>
      <c r="D36692" t="s">
        <v>90</v>
      </c>
      <c r="E36692" t="s">
        <v>130</v>
      </c>
      <c r="F36692" s="2" t="str">
        <f>HYPERLINK("http://www.otzar.org/book.asp?193079","קונטרס הליכות יעקב - חנוכה")</f>
        <v>קונטרס הליכות יעקב - חנוכה</v>
      </c>
    </row>
    <row r="36693" spans="1:6" x14ac:dyDescent="0.2">
      <c r="A36693" t="s">
        <v>56604</v>
      </c>
      <c r="B36693" t="s">
        <v>56605</v>
      </c>
      <c r="C36693" t="s">
        <v>20</v>
      </c>
      <c r="D36693" t="s">
        <v>90</v>
      </c>
      <c r="E36693" t="s">
        <v>26676</v>
      </c>
      <c r="F36693" s="2" t="str">
        <f>HYPERLINK("http://www.otzar.org/book.asp?605961","קונטרס הליכות שבא - ויכר יוסף")</f>
        <v>קונטרס הליכות שבא - ויכר יוסף</v>
      </c>
    </row>
    <row r="36694" spans="1:6" x14ac:dyDescent="0.2">
      <c r="A36694" t="s">
        <v>56606</v>
      </c>
      <c r="B36694" t="s">
        <v>29098</v>
      </c>
      <c r="C36694" t="s">
        <v>442</v>
      </c>
      <c r="D36694" t="s">
        <v>27</v>
      </c>
      <c r="E36694" t="s">
        <v>3567</v>
      </c>
      <c r="F36694" s="2" t="str">
        <f>HYPERLINK("http://www.otzar.org/book.asp?7367","קונטרס הליקוטים של אגודת תקנת נר""ן")</f>
        <v>קונטרס הליקוטים של אגודת תקנת נר"ן</v>
      </c>
    </row>
    <row r="36695" spans="1:6" x14ac:dyDescent="0.2">
      <c r="A36695" t="s">
        <v>56607</v>
      </c>
      <c r="B36695" t="s">
        <v>26564</v>
      </c>
      <c r="C36695" t="s">
        <v>1640</v>
      </c>
      <c r="D36695" t="s">
        <v>52</v>
      </c>
      <c r="E36695" t="s">
        <v>15</v>
      </c>
      <c r="F36695" s="2" t="str">
        <f>HYPERLINK("http://www.otzar.org/book.asp?142493","קונטרס הלכה ברורה")</f>
        <v>קונטרס הלכה ברורה</v>
      </c>
    </row>
    <row r="36696" spans="1:6" x14ac:dyDescent="0.2">
      <c r="A36696" t="s">
        <v>56608</v>
      </c>
      <c r="B36696" t="s">
        <v>56609</v>
      </c>
      <c r="C36696" t="s">
        <v>151</v>
      </c>
      <c r="D36696" t="s">
        <v>14</v>
      </c>
      <c r="F36696" s="2" t="str">
        <f>HYPERLINK("http://www.otzar.org/book.asp?616081","קונטרס הלכה ברורה - חנוכה ופורים")</f>
        <v>קונטרס הלכה ברורה - חנוכה ופורים</v>
      </c>
    </row>
    <row r="36697" spans="1:6" x14ac:dyDescent="0.2">
      <c r="A36697" t="s">
        <v>56610</v>
      </c>
      <c r="B36697" t="s">
        <v>6814</v>
      </c>
      <c r="C36697" t="s">
        <v>20</v>
      </c>
      <c r="D36697" t="s">
        <v>80</v>
      </c>
      <c r="E36697" t="s">
        <v>130</v>
      </c>
      <c r="F36697" s="2" t="str">
        <f>HYPERLINK("http://www.otzar.org/book.asp?603110","קונטרס הלכה למעשה בקנית ד' מינים")</f>
        <v>קונטרס הלכה למעשה בקנית ד' מינים</v>
      </c>
    </row>
    <row r="36698" spans="1:6" x14ac:dyDescent="0.2">
      <c r="A36698" t="s">
        <v>56611</v>
      </c>
      <c r="B36698" t="s">
        <v>10517</v>
      </c>
      <c r="C36698" t="s">
        <v>20</v>
      </c>
      <c r="D36698" t="s">
        <v>14</v>
      </c>
      <c r="E36698" t="s">
        <v>15</v>
      </c>
      <c r="F36698" s="2" t="str">
        <f>HYPERLINK("http://www.otzar.org/book.asp?173190","קונטרס הלכה למעשה")</f>
        <v>קונטרס הלכה למעשה</v>
      </c>
    </row>
    <row r="36699" spans="1:6" x14ac:dyDescent="0.2">
      <c r="A36699" t="s">
        <v>56612</v>
      </c>
      <c r="B36699" t="s">
        <v>56613</v>
      </c>
      <c r="C36699" t="s">
        <v>151</v>
      </c>
      <c r="D36699" t="s">
        <v>52</v>
      </c>
      <c r="F36699" s="2" t="str">
        <f>HYPERLINK("http://www.otzar.org/book.asp?611214","קונטרס הלכה למשה - הלכות מקוואות")</f>
        <v>קונטרס הלכה למשה - הלכות מקוואות</v>
      </c>
    </row>
    <row r="36700" spans="1:6" x14ac:dyDescent="0.2">
      <c r="A36700" t="s">
        <v>56614</v>
      </c>
      <c r="B36700" t="s">
        <v>3566</v>
      </c>
      <c r="C36700" t="s">
        <v>558</v>
      </c>
      <c r="D36700" t="s">
        <v>30</v>
      </c>
      <c r="E36700" t="s">
        <v>15</v>
      </c>
      <c r="F36700" s="2" t="str">
        <f>HYPERLINK("http://www.otzar.org/book.asp?193402","קונטרס הלכה למשה")</f>
        <v>קונטרס הלכה למשה</v>
      </c>
    </row>
    <row r="36701" spans="1:6" x14ac:dyDescent="0.2">
      <c r="A36701" t="s">
        <v>56615</v>
      </c>
      <c r="B36701" t="s">
        <v>55957</v>
      </c>
      <c r="C36701" t="s">
        <v>20</v>
      </c>
      <c r="F36701" s="2" t="str">
        <f>HYPERLINK("http://www.otzar.org/book.asp?622598","קונטרס הלכות אפיית מצות")</f>
        <v>קונטרס הלכות אפיית מצות</v>
      </c>
    </row>
    <row r="36702" spans="1:6" x14ac:dyDescent="0.2">
      <c r="A36702" t="s">
        <v>56616</v>
      </c>
      <c r="B36702" t="s">
        <v>28201</v>
      </c>
      <c r="C36702" t="s">
        <v>17</v>
      </c>
      <c r="D36702" t="s">
        <v>14</v>
      </c>
      <c r="E36702" t="s">
        <v>15</v>
      </c>
      <c r="F36702" s="2" t="str">
        <f>HYPERLINK("http://www.otzar.org/book.asp?166437","קונטרס הלכות גזל")</f>
        <v>קונטרס הלכות גזל</v>
      </c>
    </row>
    <row r="36703" spans="1:6" x14ac:dyDescent="0.2">
      <c r="A36703" t="s">
        <v>56617</v>
      </c>
      <c r="B36703" t="s">
        <v>56618</v>
      </c>
      <c r="C36703" t="s">
        <v>411</v>
      </c>
      <c r="D36703" t="s">
        <v>108</v>
      </c>
      <c r="E36703" t="s">
        <v>15</v>
      </c>
      <c r="F36703" s="2" t="str">
        <f>HYPERLINK("http://www.otzar.org/book.asp?198246","קונטרס הלכות הארץ - 2 כר'")</f>
        <v>קונטרס הלכות הארץ - 2 כר'</v>
      </c>
    </row>
    <row r="36704" spans="1:6" x14ac:dyDescent="0.2">
      <c r="A36704" t="s">
        <v>56619</v>
      </c>
      <c r="B36704" t="s">
        <v>51001</v>
      </c>
      <c r="C36704" t="s">
        <v>71</v>
      </c>
      <c r="D36704" t="s">
        <v>14</v>
      </c>
      <c r="E36704" t="s">
        <v>130</v>
      </c>
      <c r="F36704" s="2" t="str">
        <f>HYPERLINK("http://www.otzar.org/book.asp?163342","קונטרס הלכות השכיחות")</f>
        <v>קונטרס הלכות השכיחות</v>
      </c>
    </row>
    <row r="36705" spans="1:6" x14ac:dyDescent="0.2">
      <c r="A36705" t="s">
        <v>56620</v>
      </c>
      <c r="B36705" t="s">
        <v>44845</v>
      </c>
      <c r="C36705" t="s">
        <v>68</v>
      </c>
      <c r="D36705" t="s">
        <v>14</v>
      </c>
      <c r="E36705" t="s">
        <v>148</v>
      </c>
      <c r="F36705" s="2" t="str">
        <f>HYPERLINK("http://www.otzar.org/book.asp?156680","קונטרס הלכות והנהגות")</f>
        <v>קונטרס הלכות והנהגות</v>
      </c>
    </row>
    <row r="36706" spans="1:6" x14ac:dyDescent="0.2">
      <c r="A36706" t="s">
        <v>56621</v>
      </c>
      <c r="B36706" t="s">
        <v>56622</v>
      </c>
      <c r="C36706" t="s">
        <v>244</v>
      </c>
      <c r="D36706" t="s">
        <v>2362</v>
      </c>
      <c r="F36706" s="2" t="str">
        <f>HYPERLINK("http://www.otzar.org/book.asp?603883","קונטרס הלכות חו""מ ורבית")</f>
        <v>קונטרס הלכות חו"מ ורבית</v>
      </c>
    </row>
    <row r="36707" spans="1:6" x14ac:dyDescent="0.2">
      <c r="A36707" t="s">
        <v>56623</v>
      </c>
      <c r="B36707" t="s">
        <v>11834</v>
      </c>
      <c r="C36707" t="s">
        <v>23</v>
      </c>
      <c r="D36707" t="s">
        <v>152</v>
      </c>
      <c r="F36707" s="2" t="str">
        <f>HYPERLINK("http://www.otzar.org/book.asp?197314","קונטרס הלכות חול המועד")</f>
        <v>קונטרס הלכות חול המועד</v>
      </c>
    </row>
    <row r="36708" spans="1:6" x14ac:dyDescent="0.2">
      <c r="A36708" t="s">
        <v>56623</v>
      </c>
      <c r="B36708" t="s">
        <v>27784</v>
      </c>
      <c r="C36708" t="s">
        <v>189</v>
      </c>
      <c r="D36708" t="s">
        <v>423</v>
      </c>
      <c r="F36708" s="2" t="str">
        <f>HYPERLINK("http://www.otzar.org/book.asp?619314","קונטרס הלכות חול המועד")</f>
        <v>קונטרס הלכות חול המועד</v>
      </c>
    </row>
    <row r="36709" spans="1:6" x14ac:dyDescent="0.2">
      <c r="A36709" t="s">
        <v>56624</v>
      </c>
      <c r="B36709" t="s">
        <v>11834</v>
      </c>
      <c r="C36709" t="s">
        <v>23</v>
      </c>
      <c r="D36709" t="s">
        <v>152</v>
      </c>
      <c r="F36709" s="2" t="str">
        <f>HYPERLINK("http://www.otzar.org/book.asp?197315","קונטרס הלכות חנוכה")</f>
        <v>קונטרס הלכות חנוכה</v>
      </c>
    </row>
    <row r="36710" spans="1:6" x14ac:dyDescent="0.2">
      <c r="A36710" t="s">
        <v>56625</v>
      </c>
      <c r="B36710" t="s">
        <v>15868</v>
      </c>
      <c r="C36710" t="s">
        <v>111</v>
      </c>
      <c r="D36710" t="s">
        <v>245</v>
      </c>
      <c r="E36710" t="s">
        <v>172</v>
      </c>
      <c r="F36710" s="2" t="str">
        <f>HYPERLINK("http://www.otzar.org/book.asp?623303","קונטרס הלכות טריפות הריאה")</f>
        <v>קונטרס הלכות טריפות הריאה</v>
      </c>
    </row>
    <row r="36711" spans="1:6" x14ac:dyDescent="0.2">
      <c r="A36711" t="s">
        <v>56626</v>
      </c>
      <c r="B36711" t="s">
        <v>56627</v>
      </c>
      <c r="C36711" t="s">
        <v>111</v>
      </c>
      <c r="D36711" t="s">
        <v>52</v>
      </c>
      <c r="E36711" t="s">
        <v>15</v>
      </c>
      <c r="F36711" s="2" t="str">
        <f>HYPERLINK("http://www.otzar.org/book.asp?630126","קונטרס הלכות מצויות - 2 כר'")</f>
        <v>קונטרס הלכות מצויות - 2 כר'</v>
      </c>
    </row>
    <row r="36712" spans="1:6" x14ac:dyDescent="0.2">
      <c r="A36712" t="s">
        <v>56628</v>
      </c>
      <c r="B36712" t="s">
        <v>56622</v>
      </c>
      <c r="C36712" t="s">
        <v>411</v>
      </c>
      <c r="D36712" t="s">
        <v>2362</v>
      </c>
      <c r="F36712" s="2" t="str">
        <f>HYPERLINK("http://www.otzar.org/book.asp?603881","קונטרס הלכות נזקי שכנים")</f>
        <v>קונטרס הלכות נזקי שכנים</v>
      </c>
    </row>
    <row r="36713" spans="1:6" x14ac:dyDescent="0.2">
      <c r="A36713" t="s">
        <v>56629</v>
      </c>
      <c r="B36713" t="s">
        <v>56630</v>
      </c>
      <c r="C36713" t="s">
        <v>422</v>
      </c>
      <c r="E36713" t="s">
        <v>15</v>
      </c>
      <c r="F36713" s="2" t="str">
        <f>HYPERLINK("http://www.otzar.org/book.asp?191488","קונטרס הלכות עירוב תבשילין עם ילקוט נחום")</f>
        <v>קונטרס הלכות עירוב תבשילין עם ילקוט נחום</v>
      </c>
    </row>
    <row r="36714" spans="1:6" x14ac:dyDescent="0.2">
      <c r="A36714" t="s">
        <v>56631</v>
      </c>
      <c r="B36714" t="s">
        <v>18196</v>
      </c>
      <c r="C36714" t="s">
        <v>1570</v>
      </c>
      <c r="D36714" t="s">
        <v>412</v>
      </c>
      <c r="F36714" s="2" t="str">
        <f>HYPERLINK("http://www.otzar.org/book.asp?614540","קונטרס הלכות ערב פסח שחל להיות בשבת")</f>
        <v>קונטרס הלכות ערב פסח שחל להיות בשבת</v>
      </c>
    </row>
    <row r="36715" spans="1:6" x14ac:dyDescent="0.2">
      <c r="A36715" t="s">
        <v>56632</v>
      </c>
      <c r="B36715" t="s">
        <v>56622</v>
      </c>
      <c r="C36715" t="s">
        <v>23</v>
      </c>
      <c r="D36715" t="s">
        <v>2362</v>
      </c>
      <c r="F36715" s="2" t="str">
        <f>HYPERLINK("http://www.otzar.org/book.asp?603880","קונטרס הלכות פועלים בשבת")</f>
        <v>קונטרס הלכות פועלים בשבת</v>
      </c>
    </row>
    <row r="36716" spans="1:6" x14ac:dyDescent="0.2">
      <c r="A36716" t="s">
        <v>56633</v>
      </c>
      <c r="B36716" t="s">
        <v>11834</v>
      </c>
      <c r="C36716" t="s">
        <v>23</v>
      </c>
      <c r="D36716" t="s">
        <v>152</v>
      </c>
      <c r="F36716" s="2" t="str">
        <f>HYPERLINK("http://www.otzar.org/book.asp?197316","קונטרס הלכות פורים")</f>
        <v>קונטרס הלכות פורים</v>
      </c>
    </row>
    <row r="36717" spans="1:6" x14ac:dyDescent="0.2">
      <c r="A36717" t="s">
        <v>56634</v>
      </c>
      <c r="B36717" t="s">
        <v>56635</v>
      </c>
      <c r="C36717" t="s">
        <v>23</v>
      </c>
      <c r="D36717" t="s">
        <v>412</v>
      </c>
      <c r="F36717" s="2" t="str">
        <f>HYPERLINK("http://www.otzar.org/book.asp?198325","קונטרס הלכות פסח שחל בשבת")</f>
        <v>קונטרס הלכות פסח שחל בשבת</v>
      </c>
    </row>
    <row r="36718" spans="1:6" x14ac:dyDescent="0.2">
      <c r="A36718" t="s">
        <v>56636</v>
      </c>
      <c r="B36718" t="s">
        <v>11834</v>
      </c>
      <c r="C36718" t="s">
        <v>244</v>
      </c>
      <c r="D36718" t="s">
        <v>152</v>
      </c>
      <c r="F36718" s="2" t="str">
        <f>HYPERLINK("http://www.otzar.org/book.asp?197317","קונטרס הלכות פסח")</f>
        <v>קונטרס הלכות פסח</v>
      </c>
    </row>
    <row r="36719" spans="1:6" x14ac:dyDescent="0.2">
      <c r="A36719" t="s">
        <v>56637</v>
      </c>
      <c r="B36719" t="s">
        <v>56622</v>
      </c>
      <c r="C36719" t="s">
        <v>133</v>
      </c>
      <c r="D36719" t="s">
        <v>2362</v>
      </c>
      <c r="F36719" s="2" t="str">
        <f>HYPERLINK("http://www.otzar.org/book.asp?603815","קונטרס הלכות רבית - 2 כר'")</f>
        <v>קונטרס הלכות רבית - 2 כר'</v>
      </c>
    </row>
    <row r="36720" spans="1:6" x14ac:dyDescent="0.2">
      <c r="A36720" t="s">
        <v>56638</v>
      </c>
      <c r="B36720" t="s">
        <v>11834</v>
      </c>
      <c r="C36720" t="s">
        <v>23</v>
      </c>
      <c r="D36720" t="s">
        <v>152</v>
      </c>
      <c r="F36720" s="2" t="str">
        <f>HYPERLINK("http://www.otzar.org/book.asp?197318","קונטרס הלכות רבית")</f>
        <v>קונטרס הלכות רבית</v>
      </c>
    </row>
    <row r="36721" spans="1:6" x14ac:dyDescent="0.2">
      <c r="A36721" t="s">
        <v>56639</v>
      </c>
      <c r="B36721" t="s">
        <v>11834</v>
      </c>
      <c r="C36721" t="s">
        <v>244</v>
      </c>
      <c r="D36721" t="s">
        <v>152</v>
      </c>
      <c r="F36721" s="2" t="str">
        <f>HYPERLINK("http://www.otzar.org/book.asp?197319","קונטרס הלכות שבע ברכות")</f>
        <v>קונטרס הלכות שבע ברכות</v>
      </c>
    </row>
    <row r="36722" spans="1:6" x14ac:dyDescent="0.2">
      <c r="A36722" t="s">
        <v>56640</v>
      </c>
      <c r="B36722" t="s">
        <v>11834</v>
      </c>
      <c r="C36722" t="s">
        <v>23</v>
      </c>
      <c r="D36722" t="s">
        <v>152</v>
      </c>
      <c r="F36722" s="2" t="str">
        <f>HYPERLINK("http://www.otzar.org/book.asp?197321","קונטרס הלכות שמיטה")</f>
        <v>קונטרס הלכות שמיטה</v>
      </c>
    </row>
    <row r="36723" spans="1:6" x14ac:dyDescent="0.2">
      <c r="A36723" t="s">
        <v>56641</v>
      </c>
      <c r="B36723" t="s">
        <v>2872</v>
      </c>
      <c r="C36723" t="s">
        <v>111</v>
      </c>
      <c r="D36723" t="s">
        <v>90</v>
      </c>
      <c r="E36723" t="s">
        <v>1211</v>
      </c>
      <c r="F36723" s="2" t="str">
        <f>HYPERLINK("http://www.otzar.org/book.asp?628492","קונטרס הלכות שתי הלחם")</f>
        <v>קונטרס הלכות שתי הלחם</v>
      </c>
    </row>
    <row r="36724" spans="1:6" x14ac:dyDescent="0.2">
      <c r="A36724" t="s">
        <v>56642</v>
      </c>
      <c r="B36724" t="s">
        <v>20584</v>
      </c>
      <c r="C36724" t="s">
        <v>129</v>
      </c>
      <c r="D36724" t="s">
        <v>14</v>
      </c>
      <c r="E36724" t="s">
        <v>674</v>
      </c>
      <c r="F36724" s="2" t="str">
        <f>HYPERLINK("http://www.otzar.org/book.asp?160562","קונטרס הלכות תולעים")</f>
        <v>קונטרס הלכות תולעים</v>
      </c>
    </row>
    <row r="36725" spans="1:6" x14ac:dyDescent="0.2">
      <c r="A36725" t="s">
        <v>56643</v>
      </c>
      <c r="B36725" t="s">
        <v>6273</v>
      </c>
      <c r="C36725" t="s">
        <v>1811</v>
      </c>
      <c r="D36725" t="s">
        <v>52</v>
      </c>
      <c r="E36725" t="s">
        <v>15</v>
      </c>
      <c r="F36725" s="2" t="str">
        <f>HYPERLINK("http://www.otzar.org/book.asp?180430","קונטרס הלכות תלמוד תורה")</f>
        <v>קונטרס הלכות תלמוד תורה</v>
      </c>
    </row>
    <row r="36726" spans="1:6" x14ac:dyDescent="0.2">
      <c r="A36726" t="s">
        <v>56644</v>
      </c>
      <c r="B36726" t="s">
        <v>6273</v>
      </c>
      <c r="C36726" t="s">
        <v>1619</v>
      </c>
      <c r="D36726" t="s">
        <v>52</v>
      </c>
      <c r="E36726" t="s">
        <v>15</v>
      </c>
      <c r="F36726" s="2" t="str">
        <f>HYPERLINK("http://www.otzar.org/book.asp?180438","קונטרס הלכות תפילה")</f>
        <v>קונטרס הלכות תפילה</v>
      </c>
    </row>
    <row r="36727" spans="1:6" x14ac:dyDescent="0.2">
      <c r="A36727" t="s">
        <v>56645</v>
      </c>
      <c r="B36727" t="s">
        <v>36860</v>
      </c>
      <c r="C36727" t="s">
        <v>151</v>
      </c>
      <c r="D36727" t="s">
        <v>52</v>
      </c>
      <c r="E36727" t="s">
        <v>15</v>
      </c>
      <c r="F36727" s="2" t="str">
        <f>HYPERLINK("http://www.otzar.org/book.asp?628800","קונטרס הלכות תקיעת שופר - 2 כר'")</f>
        <v>קונטרס הלכות תקיעת שופר - 2 כר'</v>
      </c>
    </row>
    <row r="36728" spans="1:6" x14ac:dyDescent="0.2">
      <c r="A36728" t="s">
        <v>56646</v>
      </c>
      <c r="B36728" t="s">
        <v>11834</v>
      </c>
      <c r="C36728" t="s">
        <v>244</v>
      </c>
      <c r="D36728" t="s">
        <v>152</v>
      </c>
      <c r="F36728" s="2" t="str">
        <f>HYPERLINK("http://www.otzar.org/book.asp?197320","קונטרס הלכות תקיעת שופר")</f>
        <v>קונטרס הלכות תקיעת שופר</v>
      </c>
    </row>
    <row r="36729" spans="1:6" x14ac:dyDescent="0.2">
      <c r="A36729" t="s">
        <v>56647</v>
      </c>
      <c r="B36729" t="s">
        <v>56648</v>
      </c>
      <c r="C36729" t="s">
        <v>37</v>
      </c>
      <c r="D36729" t="s">
        <v>21</v>
      </c>
      <c r="E36729" t="s">
        <v>15</v>
      </c>
      <c r="F36729" s="2" t="str">
        <f>HYPERLINK("http://www.otzar.org/book.asp?624724","קונטרס המאיר לארץ")</f>
        <v>קונטרס המאיר לארץ</v>
      </c>
    </row>
    <row r="36730" spans="1:6" x14ac:dyDescent="0.2">
      <c r="A36730" t="s">
        <v>56649</v>
      </c>
      <c r="B36730" t="s">
        <v>3768</v>
      </c>
      <c r="C36730" t="s">
        <v>114</v>
      </c>
      <c r="D36730" t="s">
        <v>367</v>
      </c>
      <c r="E36730" t="s">
        <v>15</v>
      </c>
      <c r="F36730" s="2" t="str">
        <f>HYPERLINK("http://www.otzar.org/book.asp?160057","קונטרס המברר שאין שום ספק בשנת השמיטה")</f>
        <v>קונטרס המברר שאין שום ספק בשנת השמיטה</v>
      </c>
    </row>
    <row r="36731" spans="1:6" x14ac:dyDescent="0.2">
      <c r="A36731" t="s">
        <v>56650</v>
      </c>
      <c r="B36731" t="s">
        <v>44841</v>
      </c>
      <c r="C36731" t="s">
        <v>383</v>
      </c>
      <c r="D36731" t="s">
        <v>412</v>
      </c>
      <c r="E36731" t="s">
        <v>3516</v>
      </c>
      <c r="F36731" s="2" t="str">
        <f>HYPERLINK("http://www.otzar.org/book.asp?162373","קונטרס המועדים")</f>
        <v>קונטרס המועדים</v>
      </c>
    </row>
    <row r="36732" spans="1:6" x14ac:dyDescent="0.2">
      <c r="A36732" t="s">
        <v>56650</v>
      </c>
      <c r="B36732" t="s">
        <v>33157</v>
      </c>
      <c r="C36732" t="s">
        <v>454</v>
      </c>
      <c r="D36732" t="s">
        <v>4549</v>
      </c>
      <c r="E36732" t="s">
        <v>130</v>
      </c>
      <c r="F36732" s="2" t="str">
        <f>HYPERLINK("http://www.otzar.org/book.asp?84723","קונטרס המועדים")</f>
        <v>קונטרס המועדים</v>
      </c>
    </row>
    <row r="36733" spans="1:6" x14ac:dyDescent="0.2">
      <c r="A36733" t="s">
        <v>56651</v>
      </c>
      <c r="B36733" t="s">
        <v>56652</v>
      </c>
      <c r="C36733" t="s">
        <v>617</v>
      </c>
      <c r="D36733" t="s">
        <v>535</v>
      </c>
      <c r="E36733" t="s">
        <v>674</v>
      </c>
      <c r="F36733" s="2" t="str">
        <f>HYPERLINK("http://www.otzar.org/book.asp?171552","קונטרס המזכיר")</f>
        <v>קונטרס המזכיר</v>
      </c>
    </row>
    <row r="36734" spans="1:6" x14ac:dyDescent="0.2">
      <c r="A36734" t="s">
        <v>56653</v>
      </c>
      <c r="B36734" t="s">
        <v>5564</v>
      </c>
      <c r="C36734" t="s">
        <v>843</v>
      </c>
      <c r="D36734" t="s">
        <v>14</v>
      </c>
      <c r="F36734" s="2" t="str">
        <f>HYPERLINK("http://www.otzar.org/book.asp?617932","קונטרס המחשבה")</f>
        <v>קונטרס המחשבה</v>
      </c>
    </row>
    <row r="36735" spans="1:6" x14ac:dyDescent="0.2">
      <c r="A36735" t="s">
        <v>56654</v>
      </c>
      <c r="B36735" t="s">
        <v>56655</v>
      </c>
      <c r="C36735" t="s">
        <v>103</v>
      </c>
      <c r="D36735" t="s">
        <v>152</v>
      </c>
      <c r="E36735" t="s">
        <v>130</v>
      </c>
      <c r="F36735" s="2" t="str">
        <f>HYPERLINK("http://www.otzar.org/book.asp?173615","קונטרס המינים המהודרים")</f>
        <v>קונטרס המינים המהודרים</v>
      </c>
    </row>
    <row r="36736" spans="1:6" x14ac:dyDescent="0.2">
      <c r="A36736" t="s">
        <v>56656</v>
      </c>
      <c r="B36736" t="s">
        <v>21962</v>
      </c>
      <c r="C36736" t="s">
        <v>20</v>
      </c>
      <c r="D36736" t="s">
        <v>852</v>
      </c>
      <c r="F36736" s="2" t="str">
        <f>HYPERLINK("http://www.otzar.org/book.asp?610995","קונטרס המלך - שיחות לר""ה")</f>
        <v>קונטרס המלך - שיחות לר"ה</v>
      </c>
    </row>
    <row r="36737" spans="1:6" x14ac:dyDescent="0.2">
      <c r="A36737" t="s">
        <v>56657</v>
      </c>
      <c r="B36737" t="s">
        <v>56652</v>
      </c>
      <c r="C36737" t="s">
        <v>503</v>
      </c>
      <c r="D36737" t="s">
        <v>280</v>
      </c>
      <c r="E36737" t="s">
        <v>104</v>
      </c>
      <c r="F36737" s="2" t="str">
        <f>HYPERLINK("http://www.otzar.org/book.asp?171557","קונטרס המספיד")</f>
        <v>קונטרס המספיד</v>
      </c>
    </row>
    <row r="36738" spans="1:6" x14ac:dyDescent="0.2">
      <c r="A36738" t="s">
        <v>56658</v>
      </c>
      <c r="B36738" t="s">
        <v>56659</v>
      </c>
      <c r="C36738" t="s">
        <v>23</v>
      </c>
      <c r="D36738" t="s">
        <v>21</v>
      </c>
      <c r="F36738" s="2" t="str">
        <f>HYPERLINK("http://www.otzar.org/book.asp?194866","קונטרס המערכה על היהדות")</f>
        <v>קונטרס המערכה על היהדות</v>
      </c>
    </row>
    <row r="36739" spans="1:6" x14ac:dyDescent="0.2">
      <c r="A36739" t="s">
        <v>56660</v>
      </c>
      <c r="B36739" t="s">
        <v>56652</v>
      </c>
      <c r="C36739" t="s">
        <v>635</v>
      </c>
      <c r="D36739" t="s">
        <v>535</v>
      </c>
      <c r="E36739" t="s">
        <v>104</v>
      </c>
      <c r="F36739" s="2" t="str">
        <f>HYPERLINK("http://www.otzar.org/book.asp?171551","קונטרס המפרש")</f>
        <v>קונטרס המפרש</v>
      </c>
    </row>
    <row r="36740" spans="1:6" x14ac:dyDescent="0.2">
      <c r="A36740" t="s">
        <v>56661</v>
      </c>
      <c r="B36740" t="s">
        <v>56652</v>
      </c>
      <c r="C36740" t="s">
        <v>728</v>
      </c>
      <c r="D36740" t="s">
        <v>535</v>
      </c>
      <c r="E36740" t="s">
        <v>104</v>
      </c>
      <c r="F36740" s="2" t="str">
        <f>HYPERLINK("http://www.otzar.org/book.asp?721","קונטרס המפתח")</f>
        <v>קונטרס המפתח</v>
      </c>
    </row>
    <row r="36741" spans="1:6" x14ac:dyDescent="0.2">
      <c r="A36741" t="s">
        <v>56661</v>
      </c>
      <c r="B36741" t="s">
        <v>15430</v>
      </c>
      <c r="C36741" t="s">
        <v>411</v>
      </c>
      <c r="D36741" t="s">
        <v>15431</v>
      </c>
      <c r="F36741" s="2" t="str">
        <f>HYPERLINK("http://www.otzar.org/book.asp?615990","קונטרס המפתח")</f>
        <v>קונטרס המפתח</v>
      </c>
    </row>
    <row r="36742" spans="1:6" x14ac:dyDescent="0.2">
      <c r="A36742" t="s">
        <v>56662</v>
      </c>
      <c r="B36742" t="s">
        <v>3068</v>
      </c>
      <c r="C36742" t="s">
        <v>23</v>
      </c>
      <c r="D36742" t="s">
        <v>3069</v>
      </c>
      <c r="E36742" t="s">
        <v>104</v>
      </c>
      <c r="F36742" s="2" t="str">
        <f>HYPERLINK("http://www.otzar.org/book.asp?193525","קונטרס המצוה המיוחדת לדור")</f>
        <v>קונטרס המצוה המיוחדת לדור</v>
      </c>
    </row>
    <row r="36743" spans="1:6" x14ac:dyDescent="0.2">
      <c r="A36743" t="s">
        <v>56663</v>
      </c>
      <c r="B36743" t="s">
        <v>2469</v>
      </c>
      <c r="C36743" t="s">
        <v>189</v>
      </c>
      <c r="D36743" t="s">
        <v>147</v>
      </c>
      <c r="E36743" t="s">
        <v>15</v>
      </c>
      <c r="F36743" s="2" t="str">
        <f>HYPERLINK("http://www.otzar.org/book.asp?172559","קונטרס המצוות")</f>
        <v>קונטרס המצוות</v>
      </c>
    </row>
    <row r="36744" spans="1:6" x14ac:dyDescent="0.2">
      <c r="A36744" t="s">
        <v>56663</v>
      </c>
      <c r="B36744" t="s">
        <v>10638</v>
      </c>
      <c r="C36744" t="s">
        <v>151</v>
      </c>
      <c r="D36744" t="s">
        <v>52</v>
      </c>
      <c r="F36744" s="2" t="str">
        <f>HYPERLINK("http://www.otzar.org/book.asp?612148","קונטרס המצוות")</f>
        <v>קונטרס המצוות</v>
      </c>
    </row>
    <row r="36745" spans="1:6" x14ac:dyDescent="0.2">
      <c r="A36745" t="s">
        <v>56664</v>
      </c>
      <c r="B36745" t="s">
        <v>56665</v>
      </c>
      <c r="C36745" t="s">
        <v>51</v>
      </c>
      <c r="D36745" t="s">
        <v>30044</v>
      </c>
      <c r="F36745" s="2" t="str">
        <f>HYPERLINK("http://www.otzar.org/book.asp?193628","קונטרס המקוה")</f>
        <v>קונטרס המקוה</v>
      </c>
    </row>
    <row r="36746" spans="1:6" x14ac:dyDescent="0.2">
      <c r="A36746" t="s">
        <v>56666</v>
      </c>
      <c r="B36746" t="s">
        <v>56652</v>
      </c>
      <c r="C36746" t="s">
        <v>728</v>
      </c>
      <c r="D36746" t="s">
        <v>535</v>
      </c>
      <c r="E36746" t="s">
        <v>199</v>
      </c>
      <c r="F36746" s="2" t="str">
        <f>HYPERLINK("http://www.otzar.org/book.asp?151969","קונטרס המקונן")</f>
        <v>קונטרס המקונן</v>
      </c>
    </row>
    <row r="36747" spans="1:6" x14ac:dyDescent="0.2">
      <c r="A36747" t="s">
        <v>56667</v>
      </c>
      <c r="B36747" t="s">
        <v>56668</v>
      </c>
      <c r="C36747" t="s">
        <v>422</v>
      </c>
      <c r="D36747" t="s">
        <v>367</v>
      </c>
      <c r="E36747" t="s">
        <v>3055</v>
      </c>
      <c r="F36747" s="2" t="str">
        <f>HYPERLINK("http://www.otzar.org/book.asp?163073","קונטרס הנהגות הספירה")</f>
        <v>קונטרס הנהגות הספירה</v>
      </c>
    </row>
    <row r="36748" spans="1:6" x14ac:dyDescent="0.2">
      <c r="A36748" t="s">
        <v>56669</v>
      </c>
      <c r="B36748" t="s">
        <v>2469</v>
      </c>
      <c r="C36748" t="s">
        <v>189</v>
      </c>
      <c r="D36748" t="s">
        <v>147</v>
      </c>
      <c r="E36748" t="s">
        <v>15</v>
      </c>
      <c r="F36748" s="2" t="str">
        <f>HYPERLINK("http://www.otzar.org/book.asp?172556","קונטרס הנהגות והכרעות")</f>
        <v>קונטרס הנהגות והכרעות</v>
      </c>
    </row>
    <row r="36749" spans="1:6" x14ac:dyDescent="0.2">
      <c r="A36749" t="s">
        <v>56670</v>
      </c>
      <c r="B36749" t="s">
        <v>56671</v>
      </c>
      <c r="C36749" t="s">
        <v>151</v>
      </c>
      <c r="D36749" t="s">
        <v>90</v>
      </c>
      <c r="E36749" t="s">
        <v>803</v>
      </c>
      <c r="F36749" s="2" t="str">
        <f>HYPERLINK("http://www.otzar.org/book.asp?630368","קונטרס הנהגת התורה בספיקות")</f>
        <v>קונטרס הנהגת התורה בספיקות</v>
      </c>
    </row>
    <row r="36750" spans="1:6" x14ac:dyDescent="0.2">
      <c r="A36750" t="s">
        <v>56672</v>
      </c>
      <c r="B36750" t="s">
        <v>56327</v>
      </c>
      <c r="C36750" t="s">
        <v>244</v>
      </c>
      <c r="D36750" t="s">
        <v>3560</v>
      </c>
      <c r="F36750" s="2" t="str">
        <f>HYPERLINK("http://www.otzar.org/book.asp?609758","קונטרס הנודע ביהודה")</f>
        <v>קונטרס הנודע ביהודה</v>
      </c>
    </row>
    <row r="36751" spans="1:6" x14ac:dyDescent="0.2">
      <c r="A36751" t="s">
        <v>56673</v>
      </c>
      <c r="B36751" t="s">
        <v>42908</v>
      </c>
      <c r="C36751" t="s">
        <v>37</v>
      </c>
      <c r="D36751" t="s">
        <v>52</v>
      </c>
      <c r="E36751" t="s">
        <v>144</v>
      </c>
      <c r="F36751" s="2" t="str">
        <f>HYPERLINK("http://www.otzar.org/book.asp?191608","קונטרס הנותן בים דרך")</f>
        <v>קונטרס הנותן בים דרך</v>
      </c>
    </row>
    <row r="36752" spans="1:6" x14ac:dyDescent="0.2">
      <c r="A36752" t="s">
        <v>56674</v>
      </c>
      <c r="B36752" t="s">
        <v>56675</v>
      </c>
      <c r="C36752" t="s">
        <v>37</v>
      </c>
      <c r="D36752" t="s">
        <v>14</v>
      </c>
      <c r="E36752" t="s">
        <v>241</v>
      </c>
      <c r="F36752" s="2" t="str">
        <f>HYPERLINK("http://www.otzar.org/book.asp?189291","קונטרס הנסים הגלויים והנסתרים במשנת הרמב""ן ז""ל")</f>
        <v>קונטרס הנסים הגלויים והנסתרים במשנת הרמב"ן ז"ל</v>
      </c>
    </row>
    <row r="36753" spans="1:6" x14ac:dyDescent="0.2">
      <c r="A36753" t="s">
        <v>56676</v>
      </c>
      <c r="B36753" t="s">
        <v>56677</v>
      </c>
      <c r="C36753" t="s">
        <v>23</v>
      </c>
      <c r="D36753" t="s">
        <v>21</v>
      </c>
      <c r="E36753" t="s">
        <v>144</v>
      </c>
      <c r="F36753" s="2" t="str">
        <f>HYPERLINK("http://www.otzar.org/book.asp?192313","קונטרס הנשך")</f>
        <v>קונטרס הנשך</v>
      </c>
    </row>
    <row r="36754" spans="1:6" x14ac:dyDescent="0.2">
      <c r="A36754" t="s">
        <v>56678</v>
      </c>
      <c r="B36754" t="s">
        <v>4166</v>
      </c>
      <c r="C36754" t="s">
        <v>956</v>
      </c>
      <c r="D36754" t="s">
        <v>646</v>
      </c>
      <c r="E36754" t="s">
        <v>104</v>
      </c>
      <c r="F36754" s="2" t="str">
        <f>HYPERLINK("http://www.otzar.org/book.asp?615736","קונטרס הנשף")</f>
        <v>קונטרס הנשף</v>
      </c>
    </row>
    <row r="36755" spans="1:6" x14ac:dyDescent="0.2">
      <c r="A36755" t="s">
        <v>56679</v>
      </c>
      <c r="B36755" t="s">
        <v>56680</v>
      </c>
      <c r="C36755" t="s">
        <v>956</v>
      </c>
      <c r="D36755" t="s">
        <v>14</v>
      </c>
      <c r="E36755" t="s">
        <v>213</v>
      </c>
      <c r="F36755" s="2" t="str">
        <f>HYPERLINK("http://www.otzar.org/book.asp?14840","קונטרס הסברה")</f>
        <v>קונטרס הסברה</v>
      </c>
    </row>
    <row r="36756" spans="1:6" x14ac:dyDescent="0.2">
      <c r="A36756" t="s">
        <v>56681</v>
      </c>
      <c r="B36756" t="s">
        <v>56682</v>
      </c>
      <c r="C36756" t="s">
        <v>624</v>
      </c>
      <c r="D36756" t="s">
        <v>14</v>
      </c>
      <c r="E36756" t="s">
        <v>1211</v>
      </c>
      <c r="F36756" s="2" t="str">
        <f>HYPERLINK("http://www.otzar.org/book.asp?106077","קונטרס הספיקות השלם &lt;פיתוחי חותם ושורשי הכללים&gt;")</f>
        <v>קונטרס הספיקות השלם &lt;פיתוחי חותם ושורשי הכללים&gt;</v>
      </c>
    </row>
    <row r="36757" spans="1:6" x14ac:dyDescent="0.2">
      <c r="A36757" t="s">
        <v>56683</v>
      </c>
      <c r="B36757" t="s">
        <v>56684</v>
      </c>
      <c r="C36757" t="s">
        <v>114</v>
      </c>
      <c r="D36757" t="s">
        <v>52</v>
      </c>
      <c r="E36757" t="s">
        <v>144</v>
      </c>
      <c r="F36757" s="2" t="str">
        <f>HYPERLINK("http://www.otzar.org/book.asp?162680","קונטרס הספיקות עם ביאור בחזק יד")</f>
        <v>קונטרס הספיקות עם ביאור בחזק יד</v>
      </c>
    </row>
    <row r="36758" spans="1:6" x14ac:dyDescent="0.2">
      <c r="A36758" t="s">
        <v>56685</v>
      </c>
      <c r="B36758" t="s">
        <v>56682</v>
      </c>
      <c r="C36758" t="s">
        <v>624</v>
      </c>
      <c r="D36758" t="s">
        <v>14</v>
      </c>
      <c r="E36758" t="s">
        <v>144</v>
      </c>
      <c r="F36758" s="2" t="str">
        <f>HYPERLINK("http://www.otzar.org/book.asp?175972","קונטרס הספיקות עם קונטרס בית הספק")</f>
        <v>קונטרס הספיקות עם קונטרס בית הספק</v>
      </c>
    </row>
    <row r="36759" spans="1:6" x14ac:dyDescent="0.2">
      <c r="A36759" t="s">
        <v>56686</v>
      </c>
      <c r="B36759" t="s">
        <v>56687</v>
      </c>
      <c r="C36759" t="s">
        <v>17</v>
      </c>
      <c r="D36759" t="s">
        <v>52</v>
      </c>
      <c r="E36759" t="s">
        <v>803</v>
      </c>
      <c r="F36759" s="2" t="str">
        <f>HYPERLINK("http://www.otzar.org/book.asp?26406","קונטרס הספיקות - עם ביאור ערוגת הבשם")</f>
        <v>קונטרס הספיקות - עם ביאור ערוגת הבשם</v>
      </c>
    </row>
    <row r="36760" spans="1:6" x14ac:dyDescent="0.2">
      <c r="A36760" t="s">
        <v>56688</v>
      </c>
      <c r="B36760" t="s">
        <v>56689</v>
      </c>
      <c r="C36760" t="s">
        <v>51</v>
      </c>
      <c r="D36760" t="s">
        <v>14</v>
      </c>
      <c r="E36760" t="s">
        <v>1211</v>
      </c>
      <c r="F36760" s="2" t="str">
        <f>HYPERLINK("http://www.otzar.org/book.asp?51957","קונטרס הספיקות - עם ביאור זר זהב")</f>
        <v>קונטרס הספיקות - עם ביאור זר זהב</v>
      </c>
    </row>
    <row r="36761" spans="1:6" x14ac:dyDescent="0.2">
      <c r="A36761" t="s">
        <v>56690</v>
      </c>
      <c r="B36761" t="s">
        <v>56682</v>
      </c>
      <c r="C36761" t="s">
        <v>351</v>
      </c>
      <c r="D36761" t="s">
        <v>379</v>
      </c>
      <c r="E36761" t="s">
        <v>144</v>
      </c>
      <c r="F36761" s="2" t="str">
        <f>HYPERLINK("http://www.otzar.org/book.asp?101719","קונטרס הספיקות")</f>
        <v>קונטרס הספיקות</v>
      </c>
    </row>
    <row r="36762" spans="1:6" x14ac:dyDescent="0.2">
      <c r="A36762" t="s">
        <v>56691</v>
      </c>
      <c r="B36762" t="s">
        <v>35751</v>
      </c>
      <c r="C36762" t="s">
        <v>68</v>
      </c>
      <c r="D36762" t="s">
        <v>14</v>
      </c>
      <c r="E36762" t="s">
        <v>104</v>
      </c>
      <c r="F36762" s="2" t="str">
        <f>HYPERLINK("http://www.otzar.org/book.asp?28301","קונטרס העברונות &lt;עולם ועד&gt;")</f>
        <v>קונטרס העברונות &lt;עולם ועד&gt;</v>
      </c>
    </row>
    <row r="36763" spans="1:6" x14ac:dyDescent="0.2">
      <c r="A36763" t="s">
        <v>56692</v>
      </c>
      <c r="B36763" t="s">
        <v>56693</v>
      </c>
      <c r="C36763" t="s">
        <v>366</v>
      </c>
      <c r="D36763" t="s">
        <v>412</v>
      </c>
      <c r="E36763" t="s">
        <v>144</v>
      </c>
      <c r="F36763" s="2" t="str">
        <f>HYPERLINK("http://www.otzar.org/book.asp?623363","קונטרס העיונים - 6 כר'")</f>
        <v>קונטרס העיונים - 6 כר'</v>
      </c>
    </row>
    <row r="36764" spans="1:6" x14ac:dyDescent="0.2">
      <c r="A36764" t="s">
        <v>56694</v>
      </c>
      <c r="B36764" t="s">
        <v>56695</v>
      </c>
      <c r="C36764" t="s">
        <v>37</v>
      </c>
      <c r="E36764" t="s">
        <v>144</v>
      </c>
      <c r="F36764" s="2" t="str">
        <f>HYPERLINK("http://www.otzar.org/book.asp?603839","קונטרס העמדת סוטה")</f>
        <v>קונטרס העמדת סוטה</v>
      </c>
    </row>
    <row r="36765" spans="1:6" x14ac:dyDescent="0.2">
      <c r="A36765" t="s">
        <v>56696</v>
      </c>
      <c r="B36765" t="s">
        <v>206</v>
      </c>
      <c r="C36765" t="s">
        <v>37</v>
      </c>
      <c r="D36765" t="s">
        <v>14</v>
      </c>
      <c r="F36765" s="2" t="str">
        <f>HYPERLINK("http://www.otzar.org/book.asp?615959","קונטרס העמל והיגיעה בתורה")</f>
        <v>קונטרס העמל והיגיעה בתורה</v>
      </c>
    </row>
    <row r="36766" spans="1:6" x14ac:dyDescent="0.2">
      <c r="A36766" t="s">
        <v>56697</v>
      </c>
      <c r="B36766" t="s">
        <v>206</v>
      </c>
      <c r="C36766" t="s">
        <v>146</v>
      </c>
      <c r="D36766" t="s">
        <v>52</v>
      </c>
      <c r="E36766" t="s">
        <v>144</v>
      </c>
      <c r="F36766" s="2" t="str">
        <f>HYPERLINK("http://www.otzar.org/book.asp?85493","קונטרס הענינים - 2 כר'")</f>
        <v>קונטרס הענינים - 2 כר'</v>
      </c>
    </row>
    <row r="36767" spans="1:6" x14ac:dyDescent="0.2">
      <c r="A36767" t="s">
        <v>56698</v>
      </c>
      <c r="B36767" t="s">
        <v>56699</v>
      </c>
      <c r="C36767" t="s">
        <v>411</v>
      </c>
      <c r="D36767" t="s">
        <v>90</v>
      </c>
      <c r="E36767" t="s">
        <v>960</v>
      </c>
      <c r="F36767" s="2" t="str">
        <f>HYPERLINK("http://www.otzar.org/book.asp?630303","קונטרס העצות לתפילה בכוונה")</f>
        <v>קונטרס העצות לתפילה בכוונה</v>
      </c>
    </row>
    <row r="36768" spans="1:6" x14ac:dyDescent="0.2">
      <c r="A36768" t="s">
        <v>56700</v>
      </c>
      <c r="B36768" t="s">
        <v>24139</v>
      </c>
      <c r="C36768" t="s">
        <v>68</v>
      </c>
      <c r="D36768" t="s">
        <v>14</v>
      </c>
      <c r="F36768" s="2" t="str">
        <f>HYPERLINK("http://www.otzar.org/book.asp?182288","קונטרס הערות בדיני תפילה")</f>
        <v>קונטרס הערות בדיני תפילה</v>
      </c>
    </row>
    <row r="36769" spans="1:6" x14ac:dyDescent="0.2">
      <c r="A36769" t="s">
        <v>56701</v>
      </c>
      <c r="B36769" t="s">
        <v>56702</v>
      </c>
      <c r="C36769" t="s">
        <v>133</v>
      </c>
      <c r="D36769" t="s">
        <v>90</v>
      </c>
      <c r="E36769" t="s">
        <v>15</v>
      </c>
      <c r="F36769" s="2" t="str">
        <f>HYPERLINK("http://www.otzar.org/book.asp?182061","קונטרס הערות בספר המדע")</f>
        <v>קונטרס הערות בספר המדע</v>
      </c>
    </row>
    <row r="36770" spans="1:6" x14ac:dyDescent="0.2">
      <c r="A36770" t="s">
        <v>56703</v>
      </c>
      <c r="B36770" t="s">
        <v>56704</v>
      </c>
      <c r="C36770" t="s">
        <v>68</v>
      </c>
      <c r="D36770" t="s">
        <v>1156</v>
      </c>
      <c r="E36770" t="s">
        <v>15</v>
      </c>
      <c r="F36770" s="2" t="str">
        <f>HYPERLINK("http://www.otzar.org/book.asp?158476","קונטרס הערות בענין פאה נכרית")</f>
        <v>קונטרס הערות בענין פאה נכרית</v>
      </c>
    </row>
    <row r="36771" spans="1:6" x14ac:dyDescent="0.2">
      <c r="A36771" t="s">
        <v>56705</v>
      </c>
      <c r="B36771" t="s">
        <v>20599</v>
      </c>
      <c r="C36771" t="s">
        <v>23</v>
      </c>
      <c r="D36771" t="s">
        <v>52</v>
      </c>
      <c r="E36771" t="s">
        <v>104</v>
      </c>
      <c r="F36771" s="2" t="str">
        <f>HYPERLINK("http://www.otzar.org/book.asp?194065","קונטרס הערות בענינים שונים")</f>
        <v>קונטרס הערות בענינים שונים</v>
      </c>
    </row>
    <row r="36772" spans="1:6" x14ac:dyDescent="0.2">
      <c r="A36772" t="s">
        <v>56706</v>
      </c>
      <c r="B36772" t="s">
        <v>9266</v>
      </c>
      <c r="C36772" t="s">
        <v>20</v>
      </c>
      <c r="D36772" t="s">
        <v>90</v>
      </c>
      <c r="E36772" t="s">
        <v>144</v>
      </c>
      <c r="F36772" s="2" t="str">
        <f>HYPERLINK("http://www.otzar.org/book.asp?625480","קונטרס הערות וביאורים - 3 כר'")</f>
        <v>קונטרס הערות וביאורים - 3 כר'</v>
      </c>
    </row>
    <row r="36773" spans="1:6" x14ac:dyDescent="0.2">
      <c r="A36773" t="s">
        <v>56706</v>
      </c>
      <c r="B36773" t="s">
        <v>20619</v>
      </c>
      <c r="C36773" t="s">
        <v>114</v>
      </c>
      <c r="D36773" t="s">
        <v>5172</v>
      </c>
      <c r="E36773" t="s">
        <v>15</v>
      </c>
      <c r="F36773" s="2" t="str">
        <f>HYPERLINK("http://www.otzar.org/book.asp?167656","קונטרס הערות וביאורים - 3 כר'")</f>
        <v>קונטרס הערות וביאורים - 3 כר'</v>
      </c>
    </row>
    <row r="36774" spans="1:6" x14ac:dyDescent="0.2">
      <c r="A36774" t="s">
        <v>56707</v>
      </c>
      <c r="B36774" t="s">
        <v>9635</v>
      </c>
      <c r="C36774" t="s">
        <v>114</v>
      </c>
      <c r="D36774" t="s">
        <v>152</v>
      </c>
      <c r="E36774" t="s">
        <v>144</v>
      </c>
      <c r="F36774" s="2" t="str">
        <f>HYPERLINK("http://www.otzar.org/book.asp?173381","קונטרס הערות וביאורים - בסוגיא דשטרות")</f>
        <v>קונטרס הערות וביאורים - בסוגיא דשטרות</v>
      </c>
    </row>
    <row r="36775" spans="1:6" x14ac:dyDescent="0.2">
      <c r="A36775" t="s">
        <v>56708</v>
      </c>
      <c r="B36775" t="s">
        <v>12291</v>
      </c>
      <c r="C36775" t="s">
        <v>1268</v>
      </c>
      <c r="D36775" t="s">
        <v>52</v>
      </c>
      <c r="E36775" t="s">
        <v>246</v>
      </c>
      <c r="F36775" s="2" t="str">
        <f>HYPERLINK("http://www.otzar.org/book.asp?626609","קונטרס הערות ועיונים")</f>
        <v>קונטרס הערות ועיונים</v>
      </c>
    </row>
    <row r="36776" spans="1:6" x14ac:dyDescent="0.2">
      <c r="A36776" t="s">
        <v>56709</v>
      </c>
      <c r="B36776" t="s">
        <v>56710</v>
      </c>
      <c r="C36776" t="s">
        <v>30363</v>
      </c>
      <c r="D36776" t="s">
        <v>2285</v>
      </c>
      <c r="E36776" t="s">
        <v>144</v>
      </c>
      <c r="F36776" s="2" t="str">
        <f>HYPERLINK("http://www.otzar.org/book.asp?148390","קונטרס הערות וציונים - סוטה")</f>
        <v>קונטרס הערות וציונים - סוטה</v>
      </c>
    </row>
    <row r="36777" spans="1:6" x14ac:dyDescent="0.2">
      <c r="A36777" t="s">
        <v>56711</v>
      </c>
      <c r="B36777" t="s">
        <v>17111</v>
      </c>
      <c r="C36777" t="s">
        <v>68</v>
      </c>
      <c r="D36777" t="s">
        <v>657</v>
      </c>
      <c r="F36777" s="2" t="str">
        <f>HYPERLINK("http://www.otzar.org/book.asp?151293","קונטרס הערות לדרושי רבינו אברהם חריף")</f>
        <v>קונטרס הערות לדרושי רבינו אברהם חריף</v>
      </c>
    </row>
    <row r="36778" spans="1:6" x14ac:dyDescent="0.2">
      <c r="A36778" t="s">
        <v>56712</v>
      </c>
      <c r="B36778" t="s">
        <v>51075</v>
      </c>
      <c r="C36778" t="s">
        <v>151</v>
      </c>
      <c r="D36778" t="s">
        <v>486</v>
      </c>
      <c r="F36778" s="2" t="str">
        <f>HYPERLINK("http://www.otzar.org/book.asp?616089","קונטרס הערות על מנ""ח הל' מילה")</f>
        <v>קונטרס הערות על מנ"ח הל' מילה</v>
      </c>
    </row>
    <row r="36779" spans="1:6" x14ac:dyDescent="0.2">
      <c r="A36779" t="s">
        <v>56713</v>
      </c>
      <c r="B36779" t="s">
        <v>12198</v>
      </c>
      <c r="C36779" t="s">
        <v>956</v>
      </c>
      <c r="D36779" t="s">
        <v>14</v>
      </c>
      <c r="E36779" t="s">
        <v>246</v>
      </c>
      <c r="F36779" s="2" t="str">
        <f>HYPERLINK("http://www.otzar.org/book.asp?150572","קונטרס הערות על ספר פסח כהלכתו")</f>
        <v>קונטרס הערות על ספר פסח כהלכתו</v>
      </c>
    </row>
    <row r="36780" spans="1:6" x14ac:dyDescent="0.2">
      <c r="A36780" t="s">
        <v>56704</v>
      </c>
      <c r="B36780" t="s">
        <v>56714</v>
      </c>
      <c r="C36780" t="s">
        <v>1160</v>
      </c>
      <c r="D36780" t="s">
        <v>52</v>
      </c>
      <c r="E36780" t="s">
        <v>786</v>
      </c>
      <c r="F36780" s="2" t="str">
        <f>HYPERLINK("http://www.otzar.org/book.asp?9084","קונטרס הערות")</f>
        <v>קונטרס הערות</v>
      </c>
    </row>
    <row r="36781" spans="1:6" x14ac:dyDescent="0.2">
      <c r="A36781" t="s">
        <v>56715</v>
      </c>
      <c r="B36781" t="s">
        <v>7320</v>
      </c>
      <c r="C36781" t="s">
        <v>37</v>
      </c>
      <c r="D36781" t="s">
        <v>14</v>
      </c>
      <c r="E36781" t="s">
        <v>130</v>
      </c>
      <c r="F36781" s="2" t="str">
        <f>HYPERLINK("http://www.otzar.org/book.asp?630577","קונטרס הפיטם")</f>
        <v>קונטרס הפיטם</v>
      </c>
    </row>
    <row r="36782" spans="1:6" x14ac:dyDescent="0.2">
      <c r="A36782" t="s">
        <v>56716</v>
      </c>
      <c r="B36782" t="s">
        <v>5139</v>
      </c>
      <c r="C36782" t="s">
        <v>1940</v>
      </c>
      <c r="D36782" t="s">
        <v>267</v>
      </c>
      <c r="E36782" t="s">
        <v>104</v>
      </c>
      <c r="F36782" s="2" t="str">
        <f>HYPERLINK("http://www.otzar.org/book.asp?145447","קונטרס הפעלים &lt;שפה לנאמנים&gt;")</f>
        <v>קונטרס הפעלים &lt;שפה לנאמנים&gt;</v>
      </c>
    </row>
    <row r="36783" spans="1:6" x14ac:dyDescent="0.2">
      <c r="A36783" t="s">
        <v>56717</v>
      </c>
      <c r="B36783" t="s">
        <v>4019</v>
      </c>
      <c r="C36783" t="s">
        <v>114</v>
      </c>
      <c r="D36783" t="s">
        <v>14</v>
      </c>
      <c r="E36783" t="s">
        <v>144</v>
      </c>
      <c r="F36783" s="2" t="str">
        <f>HYPERLINK("http://www.otzar.org/book.asp?168390","קונטרס הפקדתי שומרים")</f>
        <v>קונטרס הפקדתי שומרים</v>
      </c>
    </row>
    <row r="36784" spans="1:6" x14ac:dyDescent="0.2">
      <c r="A36784" t="s">
        <v>56718</v>
      </c>
      <c r="B36784" t="s">
        <v>17584</v>
      </c>
      <c r="C36784" t="s">
        <v>51</v>
      </c>
      <c r="D36784" t="s">
        <v>52</v>
      </c>
      <c r="E36784" t="s">
        <v>213</v>
      </c>
      <c r="F36784" s="2" t="str">
        <f>HYPERLINK("http://www.otzar.org/book.asp?600555","קונטרס הצוואה והתפילה")</f>
        <v>קונטרס הצוואה והתפילה</v>
      </c>
    </row>
    <row r="36785" spans="1:6" x14ac:dyDescent="0.2">
      <c r="A36785" t="s">
        <v>56719</v>
      </c>
      <c r="B36785" t="s">
        <v>45667</v>
      </c>
      <c r="C36785" t="s">
        <v>411</v>
      </c>
      <c r="D36785" t="s">
        <v>14</v>
      </c>
      <c r="F36785" s="2" t="str">
        <f>HYPERLINK("http://www.otzar.org/book.asp?611356","קונטרס הצוואה")</f>
        <v>קונטרס הצוואה</v>
      </c>
    </row>
    <row r="36786" spans="1:6" x14ac:dyDescent="0.2">
      <c r="A36786" t="s">
        <v>56719</v>
      </c>
      <c r="B36786" t="s">
        <v>56720</v>
      </c>
      <c r="C36786" t="s">
        <v>129</v>
      </c>
      <c r="D36786" t="s">
        <v>21</v>
      </c>
      <c r="E36786" t="s">
        <v>241</v>
      </c>
      <c r="F36786" s="2" t="str">
        <f>HYPERLINK("http://www.otzar.org/book.asp?196802","קונטרס הצוואה")</f>
        <v>קונטרס הצוואה</v>
      </c>
    </row>
    <row r="36787" spans="1:6" x14ac:dyDescent="0.2">
      <c r="A36787" t="s">
        <v>56719</v>
      </c>
      <c r="B36787" t="s">
        <v>49697</v>
      </c>
      <c r="C36787" t="s">
        <v>411</v>
      </c>
      <c r="D36787" t="s">
        <v>4338</v>
      </c>
      <c r="F36787" s="2" t="str">
        <f>HYPERLINK("http://www.otzar.org/book.asp?610219","קונטרס הצוואה")</f>
        <v>קונטרס הצוואה</v>
      </c>
    </row>
    <row r="36788" spans="1:6" x14ac:dyDescent="0.2">
      <c r="A36788" t="s">
        <v>56721</v>
      </c>
      <c r="B36788" t="s">
        <v>56722</v>
      </c>
      <c r="C36788" t="s">
        <v>422</v>
      </c>
      <c r="D36788" t="s">
        <v>27</v>
      </c>
      <c r="F36788" s="2" t="str">
        <f>HYPERLINK("http://www.otzar.org/book.asp?182334","קונטרס הצוואה - 2 כר'")</f>
        <v>קונטרס הצוואה - 2 כר'</v>
      </c>
    </row>
    <row r="36789" spans="1:6" x14ac:dyDescent="0.2">
      <c r="A36789" t="s">
        <v>56723</v>
      </c>
      <c r="B36789" t="s">
        <v>13730</v>
      </c>
      <c r="C36789" t="s">
        <v>151</v>
      </c>
      <c r="D36789" t="s">
        <v>216</v>
      </c>
      <c r="F36789" s="2" t="str">
        <f>HYPERLINK("http://www.otzar.org/book.asp?618689","קונטרס הציץ ונפגע")</f>
        <v>קונטרס הציץ ונפגע</v>
      </c>
    </row>
    <row r="36790" spans="1:6" x14ac:dyDescent="0.2">
      <c r="A36790" t="s">
        <v>56724</v>
      </c>
      <c r="B36790" t="s">
        <v>56725</v>
      </c>
      <c r="C36790" t="s">
        <v>114</v>
      </c>
      <c r="D36790" t="s">
        <v>14</v>
      </c>
      <c r="E36790" t="s">
        <v>15</v>
      </c>
      <c r="F36790" s="2" t="str">
        <f>HYPERLINK("http://www.otzar.org/book.asp?162549","קונטרס הציצית")</f>
        <v>קונטרס הציצית</v>
      </c>
    </row>
    <row r="36791" spans="1:6" x14ac:dyDescent="0.2">
      <c r="A36791" t="s">
        <v>56726</v>
      </c>
      <c r="B36791" t="s">
        <v>30102</v>
      </c>
      <c r="C36791" t="s">
        <v>114</v>
      </c>
      <c r="D36791" t="s">
        <v>14</v>
      </c>
      <c r="E36791" t="s">
        <v>140</v>
      </c>
      <c r="F36791" s="2" t="str">
        <f>HYPERLINK("http://www.otzar.org/book.asp?614785","קונטרס הקב""ה אנחנו אוהבים אותך")</f>
        <v>קונטרס הקב"ה אנחנו אוהבים אותך</v>
      </c>
    </row>
    <row r="36792" spans="1:6" x14ac:dyDescent="0.2">
      <c r="A36792" t="s">
        <v>56727</v>
      </c>
      <c r="B36792" t="s">
        <v>39856</v>
      </c>
      <c r="C36792" t="s">
        <v>176</v>
      </c>
      <c r="D36792" t="s">
        <v>14</v>
      </c>
      <c r="E36792" t="s">
        <v>104</v>
      </c>
      <c r="F36792" s="2" t="str">
        <f>HYPERLINK("http://www.otzar.org/book.asp?169024","קונטרס הקבצו ושמעו")</f>
        <v>קונטרס הקבצו ושמעו</v>
      </c>
    </row>
    <row r="36793" spans="1:6" x14ac:dyDescent="0.2">
      <c r="A36793" t="s">
        <v>56728</v>
      </c>
      <c r="B36793" t="s">
        <v>19486</v>
      </c>
      <c r="C36793" t="s">
        <v>51</v>
      </c>
      <c r="D36793" t="s">
        <v>646</v>
      </c>
      <c r="E36793" t="s">
        <v>219</v>
      </c>
      <c r="F36793" s="2" t="str">
        <f>HYPERLINK("http://www.otzar.org/book.asp?189578","קונטרס הקדמות לנשמת")</f>
        <v>קונטרס הקדמות לנשמת</v>
      </c>
    </row>
    <row r="36794" spans="1:6" x14ac:dyDescent="0.2">
      <c r="A36794" t="s">
        <v>56729</v>
      </c>
      <c r="B36794" t="s">
        <v>5797</v>
      </c>
      <c r="C36794" t="s">
        <v>366</v>
      </c>
      <c r="D36794" t="s">
        <v>5798</v>
      </c>
      <c r="E36794" t="s">
        <v>144</v>
      </c>
      <c r="F36794" s="2" t="str">
        <f>HYPERLINK("http://www.otzar.org/book.asp?607140","קונטרס הקדמת מלאכה קודם שעת הפיקוח נפש")</f>
        <v>קונטרס הקדמת מלאכה קודם שעת הפיקוח נפש</v>
      </c>
    </row>
    <row r="36795" spans="1:6" x14ac:dyDescent="0.2">
      <c r="A36795" t="s">
        <v>56730</v>
      </c>
      <c r="B36795" t="s">
        <v>56731</v>
      </c>
      <c r="C36795" t="s">
        <v>2323</v>
      </c>
      <c r="D36795" t="s">
        <v>739</v>
      </c>
      <c r="F36795" s="2" t="str">
        <f>HYPERLINK("http://www.otzar.org/book.asp?198722","קונטרס הראיות")</f>
        <v>קונטרס הראיות</v>
      </c>
    </row>
    <row r="36796" spans="1:6" x14ac:dyDescent="0.2">
      <c r="A36796" t="s">
        <v>56732</v>
      </c>
      <c r="B36796" t="s">
        <v>206</v>
      </c>
      <c r="C36796" t="s">
        <v>114</v>
      </c>
      <c r="D36796" t="s">
        <v>14</v>
      </c>
      <c r="E36796" t="s">
        <v>18549</v>
      </c>
      <c r="F36796" s="2" t="str">
        <f>HYPERLINK("http://www.otzar.org/book.asp?614891","קונטרס הראת לדעת")</f>
        <v>קונטרס הראת לדעת</v>
      </c>
    </row>
    <row r="36797" spans="1:6" x14ac:dyDescent="0.2">
      <c r="A36797" t="s">
        <v>56733</v>
      </c>
      <c r="B36797" t="s">
        <v>20593</v>
      </c>
      <c r="C36797" t="s">
        <v>775</v>
      </c>
      <c r="D36797" t="s">
        <v>52</v>
      </c>
      <c r="E36797" t="s">
        <v>803</v>
      </c>
      <c r="F36797" s="2" t="str">
        <f>HYPERLINK("http://www.otzar.org/book.asp?62981","קונטרס הרגשת נדה")</f>
        <v>קונטרס הרגשת נדה</v>
      </c>
    </row>
    <row r="36798" spans="1:6" x14ac:dyDescent="0.2">
      <c r="A36798" t="s">
        <v>56734</v>
      </c>
      <c r="B36798" t="s">
        <v>33135</v>
      </c>
      <c r="C36798" t="s">
        <v>20</v>
      </c>
      <c r="D36798" t="s">
        <v>1156</v>
      </c>
      <c r="E36798" t="s">
        <v>241</v>
      </c>
      <c r="F36798" s="2" t="str">
        <f>HYPERLINK("http://www.otzar.org/book.asp?622529","קונטרס הרועה בשושנים")</f>
        <v>קונטרס הרועה בשושנים</v>
      </c>
    </row>
    <row r="36799" spans="1:6" x14ac:dyDescent="0.2">
      <c r="A36799" t="s">
        <v>56735</v>
      </c>
      <c r="B36799" t="s">
        <v>56736</v>
      </c>
      <c r="C36799" t="s">
        <v>185</v>
      </c>
      <c r="D36799" t="s">
        <v>486</v>
      </c>
      <c r="E36799" t="s">
        <v>674</v>
      </c>
      <c r="F36799" s="2" t="str">
        <f>HYPERLINK("http://www.otzar.org/book.asp?628793","קונטרס הררים התלויים בשערה")</f>
        <v>קונטרס הררים התלויים בשערה</v>
      </c>
    </row>
    <row r="36800" spans="1:6" x14ac:dyDescent="0.2">
      <c r="A36800" t="s">
        <v>56737</v>
      </c>
      <c r="B36800" t="s">
        <v>56738</v>
      </c>
      <c r="C36800" t="s">
        <v>17</v>
      </c>
      <c r="D36800" t="s">
        <v>1731</v>
      </c>
      <c r="E36800" t="s">
        <v>144</v>
      </c>
      <c r="F36800" s="2" t="str">
        <f>HYPERLINK("http://www.otzar.org/book.asp?22002","קונטרס השבועות")</f>
        <v>קונטרס השבועות</v>
      </c>
    </row>
    <row r="36801" spans="1:6" x14ac:dyDescent="0.2">
      <c r="A36801" t="s">
        <v>56739</v>
      </c>
      <c r="B36801" t="s">
        <v>56740</v>
      </c>
      <c r="C36801" t="s">
        <v>244</v>
      </c>
      <c r="D36801" t="s">
        <v>147</v>
      </c>
      <c r="F36801" s="2" t="str">
        <f>HYPERLINK("http://www.otzar.org/book.asp?601184","קונטרס השביעית")</f>
        <v>קונטרס השביעית</v>
      </c>
    </row>
    <row r="36802" spans="1:6" x14ac:dyDescent="0.2">
      <c r="A36802" t="s">
        <v>56741</v>
      </c>
      <c r="B36802" t="s">
        <v>56742</v>
      </c>
      <c r="C36802" t="s">
        <v>71</v>
      </c>
      <c r="D36802" t="s">
        <v>14</v>
      </c>
      <c r="E36802" t="s">
        <v>140</v>
      </c>
      <c r="F36802" s="2" t="str">
        <f>HYPERLINK("http://www.otzar.org/book.asp?169018","קונטרס השבת נועם הנשמות")</f>
        <v>קונטרס השבת נועם הנשמות</v>
      </c>
    </row>
    <row r="36803" spans="1:6" x14ac:dyDescent="0.2">
      <c r="A36803" t="s">
        <v>56743</v>
      </c>
      <c r="B36803" t="s">
        <v>56744</v>
      </c>
      <c r="C36803" t="s">
        <v>133</v>
      </c>
      <c r="D36803" t="s">
        <v>14</v>
      </c>
      <c r="E36803" t="s">
        <v>246</v>
      </c>
      <c r="F36803" s="2" t="str">
        <f>HYPERLINK("http://www.otzar.org/book.asp?179883","קונטרס השבת")</f>
        <v>קונטרס השבת</v>
      </c>
    </row>
    <row r="36804" spans="1:6" x14ac:dyDescent="0.2">
      <c r="A36804" t="s">
        <v>56745</v>
      </c>
      <c r="B36804" t="s">
        <v>206</v>
      </c>
      <c r="C36804" t="s">
        <v>422</v>
      </c>
      <c r="D36804" t="s">
        <v>2201</v>
      </c>
      <c r="E36804" t="s">
        <v>241</v>
      </c>
      <c r="F36804" s="2" t="str">
        <f>HYPERLINK("http://www.otzar.org/book.asp?623503","קונטרס השיבני שבת")</f>
        <v>קונטרס השיבני שבת</v>
      </c>
    </row>
    <row r="36805" spans="1:6" x14ac:dyDescent="0.2">
      <c r="A36805" t="s">
        <v>56746</v>
      </c>
      <c r="B36805" t="s">
        <v>56747</v>
      </c>
      <c r="C36805" t="s">
        <v>20</v>
      </c>
      <c r="D36805" t="s">
        <v>276</v>
      </c>
      <c r="E36805" t="s">
        <v>144</v>
      </c>
      <c r="F36805" s="2" t="str">
        <f>HYPERLINK("http://www.otzar.org/book.asp?603751","קונטרס השיעורים - נדה")</f>
        <v>קונטרס השיעורים - נדה</v>
      </c>
    </row>
    <row r="36806" spans="1:6" x14ac:dyDescent="0.2">
      <c r="A36806" t="s">
        <v>56748</v>
      </c>
      <c r="B36806" t="s">
        <v>7593</v>
      </c>
      <c r="C36806" t="s">
        <v>17</v>
      </c>
      <c r="D36806" t="s">
        <v>5172</v>
      </c>
      <c r="E36806" t="s">
        <v>130</v>
      </c>
      <c r="F36806" s="2" t="str">
        <f>HYPERLINK("http://www.otzar.org/book.asp?163117","קונטרס השיעורים - סוכה")</f>
        <v>קונטרס השיעורים - סוכה</v>
      </c>
    </row>
    <row r="36807" spans="1:6" x14ac:dyDescent="0.2">
      <c r="A36807" t="s">
        <v>56749</v>
      </c>
      <c r="B36807" t="s">
        <v>56750</v>
      </c>
      <c r="C36807" t="s">
        <v>114</v>
      </c>
      <c r="D36807" t="s">
        <v>14</v>
      </c>
      <c r="E36807" t="s">
        <v>144</v>
      </c>
      <c r="F36807" s="2" t="str">
        <f>HYPERLINK("http://www.otzar.org/book.asp?171697","קונטרס השיעורים - 4 כר'")</f>
        <v>קונטרס השיעורים - 4 כר'</v>
      </c>
    </row>
    <row r="36808" spans="1:6" x14ac:dyDescent="0.2">
      <c r="A36808" t="s">
        <v>56751</v>
      </c>
      <c r="B36808" t="s">
        <v>20652</v>
      </c>
      <c r="C36808" t="s">
        <v>2008</v>
      </c>
      <c r="D36808" t="s">
        <v>27</v>
      </c>
      <c r="E36808" t="s">
        <v>104</v>
      </c>
      <c r="F36808" s="2" t="str">
        <f>HYPERLINK("http://www.otzar.org/book.asp?12712","קונטרס השיעורים")</f>
        <v>קונטרס השיעורים</v>
      </c>
    </row>
    <row r="36809" spans="1:6" x14ac:dyDescent="0.2">
      <c r="A36809" t="s">
        <v>56752</v>
      </c>
      <c r="B36809" t="s">
        <v>56753</v>
      </c>
      <c r="C36809" t="s">
        <v>146</v>
      </c>
      <c r="D36809" t="s">
        <v>52</v>
      </c>
      <c r="E36809" t="s">
        <v>144</v>
      </c>
      <c r="F36809" s="2" t="str">
        <f>HYPERLINK("http://www.otzar.org/book.asp?52252","קונטרס השיעורים - 11 כר'")</f>
        <v>קונטרס השיעורים - 11 כר'</v>
      </c>
    </row>
    <row r="36810" spans="1:6" x14ac:dyDescent="0.2">
      <c r="A36810" t="s">
        <v>56754</v>
      </c>
      <c r="B36810" t="s">
        <v>1750</v>
      </c>
      <c r="C36810" t="s">
        <v>151</v>
      </c>
      <c r="D36810" t="s">
        <v>1550</v>
      </c>
      <c r="F36810" s="2" t="str">
        <f>HYPERLINK("http://www.otzar.org/book.asp?616713","קונטרס השיעורים - אהל בנימין")</f>
        <v>קונטרס השיעורים - אהל בנימין</v>
      </c>
    </row>
    <row r="36811" spans="1:6" x14ac:dyDescent="0.2">
      <c r="A36811" t="s">
        <v>56755</v>
      </c>
      <c r="B36811" t="s">
        <v>56756</v>
      </c>
      <c r="C36811" t="s">
        <v>133</v>
      </c>
      <c r="D36811" t="s">
        <v>52</v>
      </c>
      <c r="E36811" t="s">
        <v>15</v>
      </c>
      <c r="F36811" s="2" t="str">
        <f>HYPERLINK("http://www.otzar.org/book.asp?180566","קונטרס השירה הזאת")</f>
        <v>קונטרס השירה הזאת</v>
      </c>
    </row>
    <row r="36812" spans="1:6" x14ac:dyDescent="0.2">
      <c r="A36812" t="s">
        <v>56757</v>
      </c>
      <c r="B36812" t="s">
        <v>206</v>
      </c>
      <c r="C36812" t="s">
        <v>68</v>
      </c>
      <c r="D36812" t="s">
        <v>21</v>
      </c>
      <c r="F36812" s="2" t="str">
        <f>HYPERLINK("http://www.otzar.org/book.asp?614996","קונטרס השכל וידוע אותי")</f>
        <v>קונטרס השכל וידוע אותי</v>
      </c>
    </row>
    <row r="36813" spans="1:6" x14ac:dyDescent="0.2">
      <c r="A36813" t="s">
        <v>56758</v>
      </c>
      <c r="B36813" t="s">
        <v>20652</v>
      </c>
      <c r="C36813" t="s">
        <v>237</v>
      </c>
      <c r="D36813" t="s">
        <v>14</v>
      </c>
      <c r="E36813" t="s">
        <v>148</v>
      </c>
      <c r="F36813" s="2" t="str">
        <f>HYPERLINK("http://www.otzar.org/book.asp?12017","קונטרס השלחן")</f>
        <v>קונטרס השלחן</v>
      </c>
    </row>
    <row r="36814" spans="1:6" x14ac:dyDescent="0.2">
      <c r="A36814" t="s">
        <v>56759</v>
      </c>
      <c r="B36814" t="s">
        <v>56760</v>
      </c>
      <c r="C36814" t="s">
        <v>244</v>
      </c>
      <c r="D36814" t="s">
        <v>14</v>
      </c>
      <c r="E36814" t="s">
        <v>15</v>
      </c>
      <c r="F36814" s="2" t="str">
        <f>HYPERLINK("http://www.otzar.org/book.asp?608485","קונטרס השלמת הברכות")</f>
        <v>קונטרס השלמת הברכות</v>
      </c>
    </row>
    <row r="36815" spans="1:6" x14ac:dyDescent="0.2">
      <c r="A36815" t="s">
        <v>56761</v>
      </c>
      <c r="B36815" t="s">
        <v>56762</v>
      </c>
      <c r="C36815" t="s">
        <v>56763</v>
      </c>
      <c r="D36815" t="s">
        <v>260</v>
      </c>
      <c r="E36815" t="s">
        <v>621</v>
      </c>
      <c r="F36815" s="2" t="str">
        <f>HYPERLINK("http://www.otzar.org/book.asp?12406","קונטרס השמות החדש - 6 כר'")</f>
        <v>קונטרס השמות החדש - 6 כר'</v>
      </c>
    </row>
    <row r="36816" spans="1:6" x14ac:dyDescent="0.2">
      <c r="A36816" t="s">
        <v>56764</v>
      </c>
      <c r="B36816" t="s">
        <v>56765</v>
      </c>
      <c r="C36816" t="s">
        <v>168</v>
      </c>
      <c r="D36816" t="s">
        <v>14</v>
      </c>
      <c r="E36816" t="s">
        <v>3755</v>
      </c>
      <c r="F36816" s="2" t="str">
        <f>HYPERLINK("http://www.otzar.org/book.asp?6198","קונטרס השמות")</f>
        <v>קונטרס השמות</v>
      </c>
    </row>
    <row r="36817" spans="1:6" x14ac:dyDescent="0.2">
      <c r="A36817" t="s">
        <v>56764</v>
      </c>
      <c r="B36817" t="s">
        <v>1371</v>
      </c>
      <c r="C36817" t="s">
        <v>5721</v>
      </c>
      <c r="D36817" t="s">
        <v>1279</v>
      </c>
      <c r="E36817" t="s">
        <v>17007</v>
      </c>
      <c r="F36817" s="2" t="str">
        <f>HYPERLINK("http://www.otzar.org/book.asp?8189","קונטרס השמות")</f>
        <v>קונטרס השמות</v>
      </c>
    </row>
    <row r="36818" spans="1:6" x14ac:dyDescent="0.2">
      <c r="A36818" t="s">
        <v>56764</v>
      </c>
      <c r="B36818" t="s">
        <v>6458</v>
      </c>
      <c r="C36818" t="s">
        <v>1718</v>
      </c>
      <c r="D36818" t="s">
        <v>38372</v>
      </c>
      <c r="E36818" t="s">
        <v>15</v>
      </c>
      <c r="F36818" s="2" t="str">
        <f>HYPERLINK("http://www.otzar.org/book.asp?28346","קונטרס השמות")</f>
        <v>קונטרס השמות</v>
      </c>
    </row>
    <row r="36819" spans="1:6" x14ac:dyDescent="0.2">
      <c r="A36819" t="s">
        <v>56764</v>
      </c>
      <c r="B36819" t="s">
        <v>56764</v>
      </c>
      <c r="C36819" t="s">
        <v>1437</v>
      </c>
      <c r="D36819" t="s">
        <v>4269</v>
      </c>
      <c r="E36819" t="s">
        <v>674</v>
      </c>
      <c r="F36819" s="2" t="str">
        <f>HYPERLINK("http://www.otzar.org/book.asp?20681","קונטרס השמות")</f>
        <v>קונטרס השמות</v>
      </c>
    </row>
    <row r="36820" spans="1:6" x14ac:dyDescent="0.2">
      <c r="A36820" t="s">
        <v>56766</v>
      </c>
      <c r="B36820" t="s">
        <v>56767</v>
      </c>
      <c r="C36820" t="s">
        <v>189</v>
      </c>
      <c r="D36820" t="s">
        <v>152</v>
      </c>
      <c r="F36820" s="2" t="str">
        <f>HYPERLINK("http://www.otzar.org/book.asp?613214","קונטרס השמחה במועד")</f>
        <v>קונטרס השמחה במועד</v>
      </c>
    </row>
    <row r="36821" spans="1:6" x14ac:dyDescent="0.2">
      <c r="A36821" t="s">
        <v>56768</v>
      </c>
      <c r="B36821" t="s">
        <v>1091</v>
      </c>
      <c r="C36821" t="s">
        <v>51</v>
      </c>
      <c r="D36821" t="s">
        <v>14</v>
      </c>
      <c r="E36821" t="s">
        <v>104</v>
      </c>
      <c r="F36821" s="2" t="str">
        <f>HYPERLINK("http://www.otzar.org/book.asp?189186","קונטרס התאומים")</f>
        <v>קונטרס התאומים</v>
      </c>
    </row>
    <row r="36822" spans="1:6" x14ac:dyDescent="0.2">
      <c r="A36822" t="s">
        <v>56769</v>
      </c>
      <c r="B36822" t="s">
        <v>6987</v>
      </c>
      <c r="C36822" t="s">
        <v>111</v>
      </c>
      <c r="D36822" t="s">
        <v>1156</v>
      </c>
      <c r="E36822" t="s">
        <v>219</v>
      </c>
      <c r="F36822" s="2" t="str">
        <f>HYPERLINK("http://www.otzar.org/book.asp?630312","קונטרס התבוננות בברכת אשר יצר")</f>
        <v>קונטרס התבוננות בברכת אשר יצר</v>
      </c>
    </row>
    <row r="36823" spans="1:6" x14ac:dyDescent="0.2">
      <c r="A36823" t="s">
        <v>56770</v>
      </c>
      <c r="B36823" t="s">
        <v>29301</v>
      </c>
      <c r="C36823" t="s">
        <v>523</v>
      </c>
      <c r="D36823" t="s">
        <v>4508</v>
      </c>
      <c r="F36823" s="2" t="str">
        <f>HYPERLINK("http://www.otzar.org/book.asp?614691","קונטרס התורה והמצוה")</f>
        <v>קונטרס התורה והמצוה</v>
      </c>
    </row>
    <row r="36824" spans="1:6" x14ac:dyDescent="0.2">
      <c r="A36824" t="s">
        <v>56770</v>
      </c>
      <c r="B36824" t="s">
        <v>56771</v>
      </c>
      <c r="C36824" t="s">
        <v>68</v>
      </c>
      <c r="D36824" t="s">
        <v>52</v>
      </c>
      <c r="E36824" t="s">
        <v>15</v>
      </c>
      <c r="F36824" s="2" t="str">
        <f>HYPERLINK("http://www.otzar.org/book.asp?165591","קונטרס התורה והמצוה")</f>
        <v>קונטרס התורה והמצוה</v>
      </c>
    </row>
    <row r="36825" spans="1:6" x14ac:dyDescent="0.2">
      <c r="A36825" t="s">
        <v>56772</v>
      </c>
      <c r="B36825" t="s">
        <v>12570</v>
      </c>
      <c r="C36825" t="s">
        <v>1208</v>
      </c>
      <c r="D36825" t="s">
        <v>14</v>
      </c>
      <c r="E36825" t="s">
        <v>144</v>
      </c>
      <c r="F36825" s="2" t="str">
        <f>HYPERLINK("http://www.otzar.org/book.asp?625566","קונטרס התערובות")</f>
        <v>קונטרס התערובות</v>
      </c>
    </row>
    <row r="36826" spans="1:6" x14ac:dyDescent="0.2">
      <c r="A36826" t="s">
        <v>56773</v>
      </c>
      <c r="B36826" t="s">
        <v>56774</v>
      </c>
      <c r="C36826" t="s">
        <v>176</v>
      </c>
      <c r="D36826" t="s">
        <v>486</v>
      </c>
      <c r="E36826" t="s">
        <v>22304</v>
      </c>
      <c r="F36826" s="2" t="str">
        <f>HYPERLINK("http://www.otzar.org/book.asp?154215","קונטרס התקשרות בתפילין")</f>
        <v>קונטרס התקשרות בתפילין</v>
      </c>
    </row>
    <row r="36827" spans="1:6" x14ac:dyDescent="0.2">
      <c r="A36827" t="s">
        <v>56775</v>
      </c>
      <c r="B36827" t="s">
        <v>4050</v>
      </c>
      <c r="C36827" t="s">
        <v>27514</v>
      </c>
      <c r="D36827" t="s">
        <v>691</v>
      </c>
      <c r="E36827" t="s">
        <v>154</v>
      </c>
      <c r="F36827" s="2" t="str">
        <f>HYPERLINK("http://www.otzar.org/book.asp?20683","קונטרס התשובות (מתוך טהרת ישראל)")</f>
        <v>קונטרס התשובות (מתוך טהרת ישראל)</v>
      </c>
    </row>
    <row r="36828" spans="1:6" x14ac:dyDescent="0.2">
      <c r="A36828" t="s">
        <v>56776</v>
      </c>
      <c r="B36828" t="s">
        <v>4050</v>
      </c>
      <c r="C36828" t="s">
        <v>1202</v>
      </c>
      <c r="D36828" t="s">
        <v>1566</v>
      </c>
      <c r="E36828" t="s">
        <v>154</v>
      </c>
      <c r="F36828" s="2" t="str">
        <f>HYPERLINK("http://www.otzar.org/book.asp?63906","קונטרס התשובות")</f>
        <v>קונטרס התשובות</v>
      </c>
    </row>
    <row r="36829" spans="1:6" x14ac:dyDescent="0.2">
      <c r="A36829" t="s">
        <v>56776</v>
      </c>
      <c r="B36829" t="s">
        <v>56777</v>
      </c>
      <c r="C36829" t="s">
        <v>547</v>
      </c>
      <c r="D36829" t="s">
        <v>974</v>
      </c>
      <c r="E36829" t="s">
        <v>588</v>
      </c>
      <c r="F36829" s="2" t="str">
        <f>HYPERLINK("http://www.otzar.org/book.asp?101623","קונטרס התשובות")</f>
        <v>קונטרס התשובות</v>
      </c>
    </row>
    <row r="36830" spans="1:6" x14ac:dyDescent="0.2">
      <c r="A36830" t="s">
        <v>56778</v>
      </c>
      <c r="B36830" t="s">
        <v>56779</v>
      </c>
      <c r="C36830" t="s">
        <v>87</v>
      </c>
      <c r="D36830" t="s">
        <v>412</v>
      </c>
      <c r="E36830" t="s">
        <v>213</v>
      </c>
      <c r="F36830" s="2" t="str">
        <f>HYPERLINK("http://www.otzar.org/book.asp?142703","קונטרס ואהבת לרעך כמוך")</f>
        <v>קונטרס ואהבת לרעך כמוך</v>
      </c>
    </row>
    <row r="36831" spans="1:6" x14ac:dyDescent="0.2">
      <c r="A36831" t="s">
        <v>56778</v>
      </c>
      <c r="B36831" t="s">
        <v>56780</v>
      </c>
      <c r="C36831" t="s">
        <v>334</v>
      </c>
      <c r="D36831" t="s">
        <v>4996</v>
      </c>
      <c r="E36831" t="s">
        <v>241</v>
      </c>
      <c r="F36831" s="2" t="str">
        <f>HYPERLINK("http://www.otzar.org/book.asp?148476","קונטרס ואהבת לרעך כמוך")</f>
        <v>קונטרס ואהבת לרעך כמוך</v>
      </c>
    </row>
    <row r="36832" spans="1:6" x14ac:dyDescent="0.2">
      <c r="A36832" t="s">
        <v>56781</v>
      </c>
      <c r="B36832" t="s">
        <v>56781</v>
      </c>
      <c r="C36832" t="s">
        <v>20</v>
      </c>
      <c r="D36832" t="s">
        <v>52</v>
      </c>
      <c r="E36832" t="s">
        <v>213</v>
      </c>
      <c r="F36832" s="2" t="str">
        <f>HYPERLINK("http://www.otzar.org/book.asp?148818","קונטרס ואהבת לרעך")</f>
        <v>קונטרס ואהבת לרעך</v>
      </c>
    </row>
    <row r="36833" spans="1:6" x14ac:dyDescent="0.2">
      <c r="A36833" t="s">
        <v>56782</v>
      </c>
      <c r="B36833" t="s">
        <v>2861</v>
      </c>
      <c r="C36833" t="s">
        <v>17</v>
      </c>
      <c r="D36833" t="s">
        <v>52</v>
      </c>
      <c r="E36833" t="s">
        <v>703</v>
      </c>
      <c r="F36833" s="2" t="str">
        <f>HYPERLINK("http://www.otzar.org/book.asp?63095","קונטרס ואורח צדיקים כאור נוגה")</f>
        <v>קונטרס ואורח צדיקים כאור נוגה</v>
      </c>
    </row>
    <row r="36834" spans="1:6" x14ac:dyDescent="0.2">
      <c r="A36834" t="s">
        <v>56783</v>
      </c>
      <c r="B36834" t="s">
        <v>30780</v>
      </c>
      <c r="C36834" t="s">
        <v>411</v>
      </c>
      <c r="D36834" t="s">
        <v>52</v>
      </c>
      <c r="E36834" t="s">
        <v>104</v>
      </c>
      <c r="F36834" s="2" t="str">
        <f>HYPERLINK("http://www.otzar.org/book.asp?167131","קונטרס ואם בגבורות")</f>
        <v>קונטרס ואם בגבורות</v>
      </c>
    </row>
    <row r="36835" spans="1:6" x14ac:dyDescent="0.2">
      <c r="A36835" t="s">
        <v>56784</v>
      </c>
      <c r="B36835" t="s">
        <v>21843</v>
      </c>
      <c r="C36835" t="s">
        <v>87</v>
      </c>
      <c r="D36835" t="s">
        <v>14</v>
      </c>
      <c r="E36835" t="s">
        <v>960</v>
      </c>
      <c r="F36835" s="2" t="str">
        <f>HYPERLINK("http://www.otzar.org/book.asp?600438","קונטרס ואני תפילה")</f>
        <v>קונטרס ואני תפילה</v>
      </c>
    </row>
    <row r="36836" spans="1:6" x14ac:dyDescent="0.2">
      <c r="A36836" t="s">
        <v>56785</v>
      </c>
      <c r="B36836" t="s">
        <v>56786</v>
      </c>
      <c r="C36836" t="s">
        <v>366</v>
      </c>
      <c r="D36836" t="s">
        <v>52</v>
      </c>
      <c r="E36836" t="s">
        <v>158</v>
      </c>
      <c r="F36836" s="2" t="str">
        <f>HYPERLINK("http://www.otzar.org/book.asp?602816","קונטרס ואשיחה בחוקיך")</f>
        <v>קונטרס ואשיחה בחוקיך</v>
      </c>
    </row>
    <row r="36837" spans="1:6" x14ac:dyDescent="0.2">
      <c r="A36837" t="s">
        <v>56787</v>
      </c>
      <c r="B36837" t="s">
        <v>55813</v>
      </c>
      <c r="F36837" s="2" t="str">
        <f>HYPERLINK("http://www.otzar.org/book.asp?619031","קונטרס ובהם נהגה")</f>
        <v>קונטרס ובהם נהגה</v>
      </c>
    </row>
    <row r="36838" spans="1:6" x14ac:dyDescent="0.2">
      <c r="A36838" t="s">
        <v>56788</v>
      </c>
      <c r="B36838" t="s">
        <v>1222</v>
      </c>
      <c r="C36838" t="s">
        <v>20</v>
      </c>
      <c r="D36838" t="s">
        <v>90</v>
      </c>
      <c r="E36838" t="s">
        <v>144</v>
      </c>
      <c r="F36838" s="2" t="str">
        <f>HYPERLINK("http://www.otzar.org/book.asp?631573","קונטרס ובו קצת הערות בריש סנהדרין")</f>
        <v>קונטרס ובו קצת הערות בריש סנהדרין</v>
      </c>
    </row>
    <row r="36839" spans="1:6" x14ac:dyDescent="0.2">
      <c r="A36839" t="s">
        <v>56789</v>
      </c>
      <c r="B36839" t="s">
        <v>206</v>
      </c>
      <c r="F36839" s="2" t="str">
        <f>HYPERLINK("http://www.otzar.org/book.asp?630409","קונטרס ובחרת בחיים - 2 כר'")</f>
        <v>קונטרס ובחרת בחיים - 2 כר'</v>
      </c>
    </row>
    <row r="36840" spans="1:6" x14ac:dyDescent="0.2">
      <c r="A36840" t="s">
        <v>56790</v>
      </c>
      <c r="B36840" t="s">
        <v>31942</v>
      </c>
      <c r="C36840" t="s">
        <v>23</v>
      </c>
      <c r="D36840" t="s">
        <v>14</v>
      </c>
      <c r="E36840" t="s">
        <v>202</v>
      </c>
      <c r="F36840" s="2" t="str">
        <f>HYPERLINK("http://www.otzar.org/book.asp?608281","קונטרס ובחרת בחיים")</f>
        <v>קונטרס ובחרת בחיים</v>
      </c>
    </row>
    <row r="36841" spans="1:6" x14ac:dyDescent="0.2">
      <c r="A36841" t="s">
        <v>56789</v>
      </c>
      <c r="B36841" t="s">
        <v>50287</v>
      </c>
      <c r="C36841" t="s">
        <v>189</v>
      </c>
      <c r="D36841" t="s">
        <v>412</v>
      </c>
      <c r="E36841" t="s">
        <v>5935</v>
      </c>
      <c r="F36841" s="2" t="str">
        <f>HYPERLINK("http://www.otzar.org/book.asp?163355","קונטרס ובחרת בחיים - 2 כר'")</f>
        <v>קונטרס ובחרת בחיים - 2 כר'</v>
      </c>
    </row>
    <row r="36842" spans="1:6" x14ac:dyDescent="0.2">
      <c r="A36842" t="s">
        <v>56790</v>
      </c>
      <c r="B36842" t="s">
        <v>56791</v>
      </c>
      <c r="C36842" t="s">
        <v>1619</v>
      </c>
      <c r="D36842" t="s">
        <v>216</v>
      </c>
      <c r="E36842" t="s">
        <v>241</v>
      </c>
      <c r="F36842" s="2" t="str">
        <f>HYPERLINK("http://www.otzar.org/book.asp?180439","קונטרס ובחרת בחיים")</f>
        <v>קונטרס ובחרת בחיים</v>
      </c>
    </row>
    <row r="36843" spans="1:6" x14ac:dyDescent="0.2">
      <c r="A36843" t="s">
        <v>56792</v>
      </c>
      <c r="B36843" t="s">
        <v>21161</v>
      </c>
      <c r="C36843" t="s">
        <v>189</v>
      </c>
      <c r="D36843" t="s">
        <v>3283</v>
      </c>
      <c r="F36843" s="2" t="str">
        <f>HYPERLINK("http://www.otzar.org/book.asp?616292","קונטרס וביום שמחתכם")</f>
        <v>קונטרס וביום שמחתכם</v>
      </c>
    </row>
    <row r="36844" spans="1:6" x14ac:dyDescent="0.2">
      <c r="A36844" t="s">
        <v>56793</v>
      </c>
      <c r="B36844" t="s">
        <v>10056</v>
      </c>
      <c r="C36844" t="s">
        <v>189</v>
      </c>
      <c r="D36844" t="s">
        <v>1180</v>
      </c>
      <c r="F36844" s="2" t="str">
        <f>HYPERLINK("http://www.otzar.org/book.asp?199173","קונטרס ובלכתך בדרך")</f>
        <v>קונטרס ובלכתך בדרך</v>
      </c>
    </row>
    <row r="36845" spans="1:6" x14ac:dyDescent="0.2">
      <c r="A36845" t="s">
        <v>56794</v>
      </c>
      <c r="B36845" t="s">
        <v>22669</v>
      </c>
      <c r="C36845" t="s">
        <v>366</v>
      </c>
      <c r="D36845" t="s">
        <v>52</v>
      </c>
      <c r="E36845" t="s">
        <v>172</v>
      </c>
      <c r="F36845" s="2" t="str">
        <f>HYPERLINK("http://www.otzar.org/book.asp?608054","קונטרס וברכת - א")</f>
        <v>קונטרס וברכת - א</v>
      </c>
    </row>
    <row r="36846" spans="1:6" x14ac:dyDescent="0.2">
      <c r="A36846" t="s">
        <v>56795</v>
      </c>
      <c r="B36846" t="s">
        <v>10552</v>
      </c>
      <c r="C36846" t="s">
        <v>1448</v>
      </c>
      <c r="D36846" t="s">
        <v>646</v>
      </c>
      <c r="F36846" s="2" t="str">
        <f>HYPERLINK("http://www.otzar.org/book.asp?84942","קונטרס וגם לשמונה")</f>
        <v>קונטרס וגם לשמונה</v>
      </c>
    </row>
    <row r="36847" spans="1:6" x14ac:dyDescent="0.2">
      <c r="A36847" t="s">
        <v>56796</v>
      </c>
      <c r="B36847" t="s">
        <v>3402</v>
      </c>
      <c r="C36847" t="s">
        <v>422</v>
      </c>
      <c r="D36847" t="s">
        <v>52</v>
      </c>
      <c r="E36847" t="s">
        <v>130</v>
      </c>
      <c r="F36847" s="2" t="str">
        <f>HYPERLINK("http://www.otzar.org/book.asp?158728","קונטרס ודבר דבר")</f>
        <v>קונטרס ודבר דבר</v>
      </c>
    </row>
    <row r="36848" spans="1:6" x14ac:dyDescent="0.2">
      <c r="A36848" t="s">
        <v>56797</v>
      </c>
      <c r="B36848" t="s">
        <v>43595</v>
      </c>
      <c r="C36848" t="s">
        <v>111</v>
      </c>
      <c r="D36848" t="s">
        <v>52</v>
      </c>
      <c r="E36848" t="s">
        <v>144</v>
      </c>
      <c r="F36848" s="2" t="str">
        <f>HYPERLINK("http://www.otzar.org/book.asp?629330","קונטרס ודברת בם")</f>
        <v>קונטרס ודברת בם</v>
      </c>
    </row>
    <row r="36849" spans="1:6" x14ac:dyDescent="0.2">
      <c r="A36849" t="s">
        <v>56798</v>
      </c>
      <c r="B36849" t="s">
        <v>56799</v>
      </c>
      <c r="C36849" t="s">
        <v>129</v>
      </c>
      <c r="D36849" t="s">
        <v>14</v>
      </c>
      <c r="E36849" t="s">
        <v>130</v>
      </c>
      <c r="F36849" s="2" t="str">
        <f>HYPERLINK("http://www.otzar.org/book.asp?153968","קונטרס ודרשת וחקרת - 2 כר'")</f>
        <v>קונטרס ודרשת וחקרת - 2 כר'</v>
      </c>
    </row>
    <row r="36850" spans="1:6" x14ac:dyDescent="0.2">
      <c r="A36850" t="s">
        <v>56800</v>
      </c>
      <c r="B36850" t="s">
        <v>206</v>
      </c>
      <c r="C36850" t="s">
        <v>20</v>
      </c>
      <c r="D36850" t="s">
        <v>14</v>
      </c>
      <c r="E36850" t="s">
        <v>234</v>
      </c>
      <c r="F36850" s="2" t="str">
        <f>HYPERLINK("http://www.otzar.org/book.asp?605798","קונטרס והאיש משה")</f>
        <v>קונטרס והאיש משה</v>
      </c>
    </row>
    <row r="36851" spans="1:6" x14ac:dyDescent="0.2">
      <c r="A36851" t="s">
        <v>56801</v>
      </c>
      <c r="B36851" t="s">
        <v>21962</v>
      </c>
      <c r="C36851" t="s">
        <v>20</v>
      </c>
      <c r="D36851" t="s">
        <v>852</v>
      </c>
      <c r="F36851" s="2" t="str">
        <f>HYPERLINK("http://www.otzar.org/book.asp?611046","קונטרס והאר עינינו")</f>
        <v>קונטרס והאר עינינו</v>
      </c>
    </row>
    <row r="36852" spans="1:6" x14ac:dyDescent="0.2">
      <c r="A36852" t="s">
        <v>56801</v>
      </c>
      <c r="B36852" t="s">
        <v>4719</v>
      </c>
      <c r="C36852" t="s">
        <v>111</v>
      </c>
      <c r="D36852" t="s">
        <v>367</v>
      </c>
      <c r="E36852" t="s">
        <v>144</v>
      </c>
      <c r="F36852" s="2" t="str">
        <f>HYPERLINK("http://www.otzar.org/book.asp?621073","קונטרס והאר עינינו")</f>
        <v>קונטרס והאר עינינו</v>
      </c>
    </row>
    <row r="36853" spans="1:6" x14ac:dyDescent="0.2">
      <c r="A36853" t="s">
        <v>56802</v>
      </c>
      <c r="B36853" t="s">
        <v>56803</v>
      </c>
      <c r="C36853" t="s">
        <v>20</v>
      </c>
      <c r="D36853" t="s">
        <v>90</v>
      </c>
      <c r="E36853" t="s">
        <v>213</v>
      </c>
      <c r="F36853" s="2" t="str">
        <f>HYPERLINK("http://www.otzar.org/book.asp?626389","קונטרס והבית בהבנותו")</f>
        <v>קונטרס והבית בהבנותו</v>
      </c>
    </row>
    <row r="36854" spans="1:6" x14ac:dyDescent="0.2">
      <c r="A36854" t="s">
        <v>56804</v>
      </c>
      <c r="B36854" t="s">
        <v>56805</v>
      </c>
      <c r="C36854" t="s">
        <v>366</v>
      </c>
      <c r="D36854" t="s">
        <v>90</v>
      </c>
      <c r="F36854" s="2" t="str">
        <f>HYPERLINK("http://www.otzar.org/book.asp?618002","קונטרס והגדת לבנך")</f>
        <v>קונטרס והגדת לבנך</v>
      </c>
    </row>
    <row r="36855" spans="1:6" x14ac:dyDescent="0.2">
      <c r="A36855" t="s">
        <v>56806</v>
      </c>
      <c r="B36855" t="s">
        <v>56807</v>
      </c>
      <c r="C36855" t="s">
        <v>189</v>
      </c>
      <c r="D36855" t="s">
        <v>52</v>
      </c>
      <c r="E36855" t="s">
        <v>246</v>
      </c>
      <c r="F36855" s="2" t="str">
        <f>HYPERLINK("http://www.otzar.org/book.asp?158720","קונטרס והדליקו נרות בחצרות קדשך")</f>
        <v>קונטרס והדליקו נרות בחצרות קדשך</v>
      </c>
    </row>
    <row r="36856" spans="1:6" x14ac:dyDescent="0.2">
      <c r="A36856" t="s">
        <v>56808</v>
      </c>
      <c r="B36856" t="s">
        <v>56809</v>
      </c>
      <c r="C36856" t="s">
        <v>383</v>
      </c>
      <c r="D36856" t="s">
        <v>15715</v>
      </c>
      <c r="F36856" s="2" t="str">
        <f>HYPERLINK("http://www.otzar.org/book.asp?623911","קונטרס והיה ברכה")</f>
        <v>קונטרס והיה ברכה</v>
      </c>
    </row>
    <row r="36857" spans="1:6" x14ac:dyDescent="0.2">
      <c r="A36857" t="s">
        <v>56810</v>
      </c>
      <c r="B36857" t="s">
        <v>8743</v>
      </c>
      <c r="C36857" t="s">
        <v>129</v>
      </c>
      <c r="D36857" t="s">
        <v>412</v>
      </c>
      <c r="F36857" s="2" t="str">
        <f>HYPERLINK("http://www.otzar.org/book.asp?613586","קונטרס והיה לאות על ידך - איטר יד בתפילין")</f>
        <v>קונטרס והיה לאות על ידך - איטר יד בתפילין</v>
      </c>
    </row>
    <row r="36858" spans="1:6" x14ac:dyDescent="0.2">
      <c r="A36858" t="s">
        <v>56811</v>
      </c>
      <c r="B36858" t="s">
        <v>1681</v>
      </c>
      <c r="C36858" t="s">
        <v>13</v>
      </c>
      <c r="D36858" t="s">
        <v>52</v>
      </c>
      <c r="E36858" t="s">
        <v>158</v>
      </c>
      <c r="F36858" s="2" t="str">
        <f>HYPERLINK("http://www.otzar.org/book.asp?171577","קונטרס והיה לשון שמחה")</f>
        <v>קונטרס והיה לשון שמחה</v>
      </c>
    </row>
    <row r="36859" spans="1:6" x14ac:dyDescent="0.2">
      <c r="A36859" t="s">
        <v>56812</v>
      </c>
      <c r="B36859" t="s">
        <v>56813</v>
      </c>
      <c r="C36859" t="s">
        <v>68</v>
      </c>
      <c r="D36859" t="s">
        <v>90</v>
      </c>
      <c r="E36859" t="s">
        <v>15</v>
      </c>
      <c r="F36859" s="2" t="str">
        <f>HYPERLINK("http://www.otzar.org/book.asp?630485","קונטרס והיה מחניך קדוש")</f>
        <v>קונטרס והיה מחניך קדוש</v>
      </c>
    </row>
    <row r="36860" spans="1:6" x14ac:dyDescent="0.2">
      <c r="A36860" t="s">
        <v>56814</v>
      </c>
      <c r="B36860" t="s">
        <v>3582</v>
      </c>
      <c r="C36860" t="s">
        <v>68</v>
      </c>
      <c r="D36860" t="s">
        <v>486</v>
      </c>
      <c r="E36860" t="s">
        <v>15</v>
      </c>
      <c r="F36860" s="2" t="str">
        <f>HYPERLINK("http://www.otzar.org/book.asp?179066","קונטרס והיו עיניך רואות")</f>
        <v>קונטרס והיו עיניך רואות</v>
      </c>
    </row>
    <row r="36861" spans="1:6" x14ac:dyDescent="0.2">
      <c r="A36861" t="s">
        <v>56815</v>
      </c>
      <c r="B36861" t="s">
        <v>51079</v>
      </c>
      <c r="C36861" t="s">
        <v>366</v>
      </c>
      <c r="D36861" t="s">
        <v>14</v>
      </c>
      <c r="F36861" s="2" t="str">
        <f>HYPERLINK("http://www.otzar.org/book.asp?610376","קונטרס והיית אך שמח")</f>
        <v>קונטרס והיית אך שמח</v>
      </c>
    </row>
    <row r="36862" spans="1:6" x14ac:dyDescent="0.2">
      <c r="A36862" t="s">
        <v>56816</v>
      </c>
      <c r="B36862" t="s">
        <v>5293</v>
      </c>
      <c r="C36862" t="s">
        <v>244</v>
      </c>
      <c r="D36862" t="s">
        <v>21</v>
      </c>
      <c r="E36862" t="s">
        <v>104</v>
      </c>
      <c r="F36862" s="2" t="str">
        <f>HYPERLINK("http://www.otzar.org/book.asp?606643","קונטרס והייתם קדושים")</f>
        <v>קונטרס והייתם קדושים</v>
      </c>
    </row>
    <row r="36863" spans="1:6" x14ac:dyDescent="0.2">
      <c r="A36863" t="s">
        <v>56817</v>
      </c>
      <c r="B36863" t="s">
        <v>56818</v>
      </c>
      <c r="C36863" t="s">
        <v>466</v>
      </c>
      <c r="D36863" t="s">
        <v>14</v>
      </c>
      <c r="F36863" s="2" t="str">
        <f>HYPERLINK("http://www.otzar.org/book.asp?613389","קונטרס והייתם קדושים - מים אחרונים")</f>
        <v>קונטרס והייתם קדושים - מים אחרונים</v>
      </c>
    </row>
    <row r="36864" spans="1:6" x14ac:dyDescent="0.2">
      <c r="A36864" t="s">
        <v>56819</v>
      </c>
      <c r="B36864" t="s">
        <v>56820</v>
      </c>
      <c r="C36864" t="s">
        <v>20</v>
      </c>
      <c r="D36864" t="s">
        <v>14</v>
      </c>
      <c r="E36864" t="s">
        <v>803</v>
      </c>
      <c r="F36864" s="2" t="str">
        <f>HYPERLINK("http://www.otzar.org/book.asp?619643","קונטרס והכינו את אשר יבואו")</f>
        <v>קונטרס והכינו את אשר יבואו</v>
      </c>
    </row>
    <row r="36865" spans="1:6" x14ac:dyDescent="0.2">
      <c r="A36865" t="s">
        <v>56821</v>
      </c>
      <c r="B36865" t="s">
        <v>15755</v>
      </c>
      <c r="C36865" t="s">
        <v>366</v>
      </c>
      <c r="D36865" t="s">
        <v>152</v>
      </c>
      <c r="E36865" t="s">
        <v>144</v>
      </c>
      <c r="F36865" s="2" t="str">
        <f>HYPERLINK("http://www.otzar.org/book.asp?626762","קונטרס והערב נא")</f>
        <v>קונטרס והערב נא</v>
      </c>
    </row>
    <row r="36866" spans="1:6" x14ac:dyDescent="0.2">
      <c r="A36866" t="s">
        <v>56821</v>
      </c>
      <c r="B36866" t="s">
        <v>38595</v>
      </c>
      <c r="C36866" t="s">
        <v>111</v>
      </c>
      <c r="D36866" t="s">
        <v>14</v>
      </c>
      <c r="E36866" t="s">
        <v>144</v>
      </c>
      <c r="F36866" s="2" t="str">
        <f>HYPERLINK("http://www.otzar.org/book.asp?624798","קונטרס והערב נא")</f>
        <v>קונטרס והערב נא</v>
      </c>
    </row>
    <row r="36867" spans="1:6" x14ac:dyDescent="0.2">
      <c r="A36867" t="s">
        <v>56822</v>
      </c>
      <c r="B36867" t="s">
        <v>42423</v>
      </c>
      <c r="C36867" t="s">
        <v>20</v>
      </c>
      <c r="D36867" t="s">
        <v>90</v>
      </c>
      <c r="F36867" s="2" t="str">
        <f>HYPERLINK("http://www.otzar.org/book.asp?611475","קונטרס ווארטים יחודיים על הפרשה")</f>
        <v>קונטרס ווארטים יחודיים על הפרשה</v>
      </c>
    </row>
    <row r="36868" spans="1:6" x14ac:dyDescent="0.2">
      <c r="A36868" t="s">
        <v>56823</v>
      </c>
      <c r="B36868" t="s">
        <v>56652</v>
      </c>
      <c r="C36868" t="s">
        <v>12036</v>
      </c>
      <c r="D36868" t="s">
        <v>1459</v>
      </c>
      <c r="E36868" t="s">
        <v>219</v>
      </c>
      <c r="F36868" s="2" t="str">
        <f>HYPERLINK("http://www.otzar.org/book.asp?171556","קונטרס ווירמייזא וקהל ווינא")</f>
        <v>קונטרס ווירמייזא וקהל ווינא</v>
      </c>
    </row>
    <row r="36869" spans="1:6" x14ac:dyDescent="0.2">
      <c r="A36869" t="s">
        <v>56824</v>
      </c>
      <c r="B36869" t="s">
        <v>56825</v>
      </c>
      <c r="C36869" t="s">
        <v>124</v>
      </c>
      <c r="D36869" t="s">
        <v>412</v>
      </c>
      <c r="E36869" t="s">
        <v>714</v>
      </c>
      <c r="F36869" s="2" t="str">
        <f>HYPERLINK("http://www.otzar.org/book.asp?604207","קונטרס וותיקין")</f>
        <v>קונטרס וותיקין</v>
      </c>
    </row>
    <row r="36870" spans="1:6" x14ac:dyDescent="0.2">
      <c r="A36870" t="s">
        <v>56826</v>
      </c>
      <c r="B36870" t="s">
        <v>56827</v>
      </c>
      <c r="C36870" t="s">
        <v>20</v>
      </c>
      <c r="D36870" t="s">
        <v>276</v>
      </c>
      <c r="E36870" t="s">
        <v>15</v>
      </c>
      <c r="F36870" s="2" t="str">
        <f>HYPERLINK("http://www.otzar.org/book.asp?603764","קונטרס וזאת התורה אשר שם משה")</f>
        <v>קונטרס וזאת התורה אשר שם משה</v>
      </c>
    </row>
    <row r="36871" spans="1:6" x14ac:dyDescent="0.2">
      <c r="A36871" t="s">
        <v>56828</v>
      </c>
      <c r="B36871" t="s">
        <v>38154</v>
      </c>
      <c r="C36871" t="s">
        <v>71</v>
      </c>
      <c r="D36871" t="s">
        <v>412</v>
      </c>
      <c r="E36871" t="s">
        <v>234</v>
      </c>
      <c r="F36871" s="2" t="str">
        <f>HYPERLINK("http://www.otzar.org/book.asp?170861","קונטרס וזה הדבר אשר מל יהושע")</f>
        <v>קונטרס וזה הדבר אשר מל יהושע</v>
      </c>
    </row>
    <row r="36872" spans="1:6" x14ac:dyDescent="0.2">
      <c r="A36872" t="s">
        <v>56829</v>
      </c>
      <c r="B36872" t="s">
        <v>107</v>
      </c>
      <c r="C36872" t="s">
        <v>103</v>
      </c>
      <c r="D36872" t="s">
        <v>14</v>
      </c>
      <c r="E36872" t="s">
        <v>15</v>
      </c>
      <c r="F36872" s="2" t="str">
        <f>HYPERLINK("http://www.otzar.org/book.asp?84494","קונטרס וחי אחיך עמך")</f>
        <v>קונטרס וחי אחיך עמך</v>
      </c>
    </row>
    <row r="36873" spans="1:6" x14ac:dyDescent="0.2">
      <c r="A36873" t="s">
        <v>56830</v>
      </c>
      <c r="B36873" t="s">
        <v>54700</v>
      </c>
      <c r="C36873" t="s">
        <v>244</v>
      </c>
      <c r="D36873" t="s">
        <v>52</v>
      </c>
      <c r="F36873" s="2" t="str">
        <f>HYPERLINK("http://www.otzar.org/book.asp?611034","קונטרס וחיי עולם נטע")</f>
        <v>קונטרס וחיי עולם נטע</v>
      </c>
    </row>
    <row r="36874" spans="1:6" x14ac:dyDescent="0.2">
      <c r="A36874" t="s">
        <v>56831</v>
      </c>
      <c r="B36874" t="s">
        <v>1748</v>
      </c>
      <c r="C36874" t="s">
        <v>133</v>
      </c>
      <c r="D36874" t="s">
        <v>52</v>
      </c>
      <c r="E36874" t="s">
        <v>246</v>
      </c>
      <c r="F36874" s="2" t="str">
        <f>HYPERLINK("http://www.otzar.org/book.asp?607593","קונטרס וטמאו כל השמנים")</f>
        <v>קונטרס וטמאו כל השמנים</v>
      </c>
    </row>
    <row r="36875" spans="1:6" x14ac:dyDescent="0.2">
      <c r="A36875" t="s">
        <v>56832</v>
      </c>
      <c r="B36875" t="s">
        <v>56833</v>
      </c>
      <c r="C36875" t="s">
        <v>411</v>
      </c>
      <c r="D36875" t="s">
        <v>14</v>
      </c>
      <c r="F36875" s="2" t="str">
        <f>HYPERLINK("http://www.otzar.org/book.asp?611238","קונטרס ויבא יעקב שלם")</f>
        <v>קונטרס ויבא יעקב שלם</v>
      </c>
    </row>
    <row r="36876" spans="1:6" x14ac:dyDescent="0.2">
      <c r="A36876" t="s">
        <v>56834</v>
      </c>
      <c r="B36876" t="s">
        <v>44856</v>
      </c>
      <c r="C36876" t="s">
        <v>422</v>
      </c>
      <c r="D36876" t="s">
        <v>21</v>
      </c>
      <c r="F36876" s="2" t="str">
        <f>HYPERLINK("http://www.otzar.org/book.asp?198510","קונטרס ויברך כל בשר")</f>
        <v>קונטרס ויברך כל בשר</v>
      </c>
    </row>
    <row r="36877" spans="1:6" x14ac:dyDescent="0.2">
      <c r="A36877" t="s">
        <v>56835</v>
      </c>
      <c r="B36877" t="s">
        <v>14102</v>
      </c>
      <c r="C36877" t="s">
        <v>383</v>
      </c>
      <c r="D36877" t="s">
        <v>21</v>
      </c>
      <c r="E36877" t="s">
        <v>241</v>
      </c>
      <c r="F36877" s="2" t="str">
        <f>HYPERLINK("http://www.otzar.org/book.asp?603232","קונטרס וידעת היום")</f>
        <v>קונטרס וידעת היום</v>
      </c>
    </row>
    <row r="36878" spans="1:6" x14ac:dyDescent="0.2">
      <c r="A36878" t="s">
        <v>56836</v>
      </c>
      <c r="B36878" t="s">
        <v>56836</v>
      </c>
      <c r="C36878" t="s">
        <v>146</v>
      </c>
      <c r="D36878" t="s">
        <v>412</v>
      </c>
      <c r="E36878" t="s">
        <v>104</v>
      </c>
      <c r="F36878" s="2" t="str">
        <f>HYPERLINK("http://www.otzar.org/book.asp?165987","קונטרס ויואל משה אמת ותורתו אמת")</f>
        <v>קונטרס ויואל משה אמת ותורתו אמת</v>
      </c>
    </row>
    <row r="36879" spans="1:6" x14ac:dyDescent="0.2">
      <c r="A36879" t="s">
        <v>56837</v>
      </c>
      <c r="B36879" t="s">
        <v>48391</v>
      </c>
      <c r="C36879" t="s">
        <v>129</v>
      </c>
      <c r="D36879" t="s">
        <v>52</v>
      </c>
      <c r="E36879" t="s">
        <v>154</v>
      </c>
      <c r="F36879" s="2" t="str">
        <f>HYPERLINK("http://www.otzar.org/book.asp?162150","קונטרס וילן בעמק")</f>
        <v>קונטרס וילן בעמק</v>
      </c>
    </row>
    <row r="36880" spans="1:6" x14ac:dyDescent="0.2">
      <c r="A36880" t="s">
        <v>56838</v>
      </c>
      <c r="B36880" t="s">
        <v>56839</v>
      </c>
      <c r="C36880" t="s">
        <v>146</v>
      </c>
      <c r="D36880" t="s">
        <v>14</v>
      </c>
      <c r="E36880" t="s">
        <v>4738</v>
      </c>
      <c r="F36880" s="2" t="str">
        <f>HYPERLINK("http://www.otzar.org/book.asp?26693","קונטרס וילן יהושע")</f>
        <v>קונטרס וילן יהושע</v>
      </c>
    </row>
    <row r="36881" spans="1:6" x14ac:dyDescent="0.2">
      <c r="A36881" t="s">
        <v>56840</v>
      </c>
      <c r="B36881" t="s">
        <v>4437</v>
      </c>
      <c r="C36881" t="s">
        <v>111</v>
      </c>
      <c r="D36881" t="s">
        <v>852</v>
      </c>
      <c r="F36881" s="2" t="str">
        <f>HYPERLINK("http://www.otzar.org/book.asp?627399","קונטרס וימצא יוסף חן")</f>
        <v>קונטרס וימצא יוסף חן</v>
      </c>
    </row>
    <row r="36882" spans="1:6" x14ac:dyDescent="0.2">
      <c r="A36882" t="s">
        <v>56841</v>
      </c>
      <c r="B36882" t="s">
        <v>5047</v>
      </c>
      <c r="C36882" t="s">
        <v>151</v>
      </c>
      <c r="D36882" t="s">
        <v>21</v>
      </c>
      <c r="F36882" s="2" t="str">
        <f>HYPERLINK("http://www.otzar.org/book.asp?616439","קונטרס ויסב שמואל")</f>
        <v>קונטרס ויסב שמואל</v>
      </c>
    </row>
    <row r="36883" spans="1:6" x14ac:dyDescent="0.2">
      <c r="A36883" t="s">
        <v>56842</v>
      </c>
      <c r="B36883" t="s">
        <v>206</v>
      </c>
      <c r="C36883" t="s">
        <v>20</v>
      </c>
      <c r="D36883" t="s">
        <v>14</v>
      </c>
      <c r="E36883" t="s">
        <v>15</v>
      </c>
      <c r="F36883" s="2" t="str">
        <f>HYPERLINK("http://www.otzar.org/book.asp?618775","קונטרס ויעל משה")</f>
        <v>קונטרס ויעל משה</v>
      </c>
    </row>
    <row r="36884" spans="1:6" x14ac:dyDescent="0.2">
      <c r="A36884" t="s">
        <v>56843</v>
      </c>
      <c r="F36884" s="2" t="str">
        <f>HYPERLINK("http://www.otzar.org/book.asp?197753","קונטרס ויצבור יוסף")</f>
        <v>קונטרס ויצבור יוסף</v>
      </c>
    </row>
    <row r="36885" spans="1:6" x14ac:dyDescent="0.2">
      <c r="A36885" t="s">
        <v>56844</v>
      </c>
      <c r="B36885" t="s">
        <v>56845</v>
      </c>
      <c r="C36885" t="s">
        <v>419</v>
      </c>
      <c r="D36885" t="s">
        <v>14</v>
      </c>
      <c r="E36885" t="s">
        <v>104</v>
      </c>
      <c r="F36885" s="2" t="str">
        <f>HYPERLINK("http://www.otzar.org/book.asp?161453","קונטרס ויצו יוסף")</f>
        <v>קונטרס ויצו יוסף</v>
      </c>
    </row>
    <row r="36886" spans="1:6" x14ac:dyDescent="0.2">
      <c r="A36886" t="s">
        <v>56846</v>
      </c>
      <c r="B36886" t="s">
        <v>2074</v>
      </c>
      <c r="C36886" t="s">
        <v>775</v>
      </c>
      <c r="D36886" t="s">
        <v>14</v>
      </c>
      <c r="E36886" t="s">
        <v>8854</v>
      </c>
      <c r="F36886" s="2" t="str">
        <f>HYPERLINK("http://www.otzar.org/book.asp?160019","קונטרס ויצץ ציץ")</f>
        <v>קונטרס ויצץ ציץ</v>
      </c>
    </row>
    <row r="36887" spans="1:6" x14ac:dyDescent="0.2">
      <c r="A36887" t="s">
        <v>56847</v>
      </c>
      <c r="B36887" t="s">
        <v>2877</v>
      </c>
      <c r="C36887" t="s">
        <v>13</v>
      </c>
      <c r="D36887" t="s">
        <v>14</v>
      </c>
      <c r="F36887" s="2" t="str">
        <f>HYPERLINK("http://www.otzar.org/book.asp?194030","קונטרס ויש לומר")</f>
        <v>קונטרס ויש לומר</v>
      </c>
    </row>
    <row r="36888" spans="1:6" x14ac:dyDescent="0.2">
      <c r="A36888" t="s">
        <v>56848</v>
      </c>
      <c r="B36888" t="s">
        <v>56849</v>
      </c>
      <c r="C36888" t="s">
        <v>151</v>
      </c>
      <c r="F36888" s="2" t="str">
        <f>HYPERLINK("http://www.otzar.org/book.asp?618842","קונטרס וישמח יונה")</f>
        <v>קונטרס וישמח יונה</v>
      </c>
    </row>
    <row r="36889" spans="1:6" x14ac:dyDescent="0.2">
      <c r="A36889" t="s">
        <v>56850</v>
      </c>
      <c r="B36889" t="s">
        <v>56851</v>
      </c>
      <c r="C36889" t="s">
        <v>20</v>
      </c>
      <c r="D36889" t="s">
        <v>90</v>
      </c>
      <c r="F36889" s="2" t="str">
        <f>HYPERLINK("http://www.otzar.org/book.asp?611047","קונטרס ויתהלך חנוך")</f>
        <v>קונטרס ויתהלך חנוך</v>
      </c>
    </row>
    <row r="36890" spans="1:6" x14ac:dyDescent="0.2">
      <c r="A36890" t="s">
        <v>56852</v>
      </c>
      <c r="B36890" t="s">
        <v>56853</v>
      </c>
      <c r="C36890" t="s">
        <v>422</v>
      </c>
      <c r="D36890" t="s">
        <v>21</v>
      </c>
      <c r="E36890" t="s">
        <v>15</v>
      </c>
      <c r="F36890" s="2" t="str">
        <f>HYPERLINK("http://www.otzar.org/book.asp?197193","קונטרס וכל החיי""ם")</f>
        <v>קונטרס וכל החיי"ם</v>
      </c>
    </row>
    <row r="36891" spans="1:6" x14ac:dyDescent="0.2">
      <c r="A36891" t="s">
        <v>56854</v>
      </c>
      <c r="B36891" t="s">
        <v>22669</v>
      </c>
      <c r="C36891" t="s">
        <v>366</v>
      </c>
      <c r="D36891" t="s">
        <v>52</v>
      </c>
      <c r="E36891" t="s">
        <v>15</v>
      </c>
      <c r="F36891" s="2" t="str">
        <f>HYPERLINK("http://www.otzar.org/book.asp?608055","קונטרס וכתבתם - א")</f>
        <v>קונטרס וכתבתם - א</v>
      </c>
    </row>
    <row r="36892" spans="1:6" x14ac:dyDescent="0.2">
      <c r="A36892" t="s">
        <v>56855</v>
      </c>
      <c r="B36892" t="s">
        <v>39679</v>
      </c>
      <c r="C36892" t="s">
        <v>21457</v>
      </c>
      <c r="D36892" t="s">
        <v>661</v>
      </c>
      <c r="E36892" t="s">
        <v>1336</v>
      </c>
      <c r="F36892" s="2" t="str">
        <f>HYPERLINK("http://www.otzar.org/book.asp?104638","קונטרס וכתורה יעשה - 2 כר'")</f>
        <v>קונטרס וכתורה יעשה - 2 כר'</v>
      </c>
    </row>
    <row r="36893" spans="1:6" x14ac:dyDescent="0.2">
      <c r="A36893" t="s">
        <v>56856</v>
      </c>
      <c r="B36893" t="s">
        <v>21962</v>
      </c>
      <c r="C36893" t="s">
        <v>20</v>
      </c>
      <c r="D36893" t="s">
        <v>852</v>
      </c>
      <c r="F36893" s="2" t="str">
        <f>HYPERLINK("http://www.otzar.org/book.asp?611048","קונטרס ולדבקה בו")</f>
        <v>קונטרס ולדבקה בו</v>
      </c>
    </row>
    <row r="36894" spans="1:6" x14ac:dyDescent="0.2">
      <c r="A36894" t="s">
        <v>56857</v>
      </c>
      <c r="B36894" t="s">
        <v>14815</v>
      </c>
      <c r="C36894" t="s">
        <v>411</v>
      </c>
      <c r="D36894" t="s">
        <v>14816</v>
      </c>
      <c r="E36894" t="s">
        <v>246</v>
      </c>
      <c r="F36894" s="2" t="str">
        <f>HYPERLINK("http://www.otzar.org/book.asp?603204","קונטרס ולקח אזוב")</f>
        <v>קונטרס ולקח אזוב</v>
      </c>
    </row>
    <row r="36895" spans="1:6" x14ac:dyDescent="0.2">
      <c r="A36895" t="s">
        <v>56858</v>
      </c>
      <c r="B36895" t="s">
        <v>22491</v>
      </c>
      <c r="C36895" t="s">
        <v>114</v>
      </c>
      <c r="D36895" t="s">
        <v>52</v>
      </c>
      <c r="E36895" t="s">
        <v>1164</v>
      </c>
      <c r="F36895" s="2" t="str">
        <f>HYPERLINK("http://www.otzar.org/book.asp?162845","קונטרס ולקח אלעזר - א")</f>
        <v>קונטרס ולקח אלעזר - א</v>
      </c>
    </row>
    <row r="36896" spans="1:6" x14ac:dyDescent="0.2">
      <c r="A36896" t="s">
        <v>56859</v>
      </c>
      <c r="B36896" t="s">
        <v>206</v>
      </c>
      <c r="C36896" t="s">
        <v>20</v>
      </c>
      <c r="D36896" t="s">
        <v>412</v>
      </c>
      <c r="E36896" t="s">
        <v>130</v>
      </c>
      <c r="F36896" s="2" t="str">
        <f>HYPERLINK("http://www.otzar.org/book.asp?195128","קונטרס ולקחתם לכם כפות תמרים")</f>
        <v>קונטרס ולקחתם לכם כפות תמרים</v>
      </c>
    </row>
    <row r="36897" spans="1:6" x14ac:dyDescent="0.2">
      <c r="A36897" t="s">
        <v>56860</v>
      </c>
      <c r="B36897" t="s">
        <v>56861</v>
      </c>
      <c r="C36897" t="s">
        <v>37</v>
      </c>
      <c r="D36897" t="s">
        <v>52</v>
      </c>
      <c r="E36897" t="s">
        <v>246</v>
      </c>
      <c r="F36897" s="2" t="str">
        <f>HYPERLINK("http://www.otzar.org/book.asp?182868","קונטרס ולקחתם לכם - ארבעת המינים")</f>
        <v>קונטרס ולקחתם לכם - ארבעת המינים</v>
      </c>
    </row>
    <row r="36898" spans="1:6" x14ac:dyDescent="0.2">
      <c r="A36898" t="s">
        <v>56862</v>
      </c>
      <c r="B36898" t="s">
        <v>12403</v>
      </c>
      <c r="C36898" t="s">
        <v>23</v>
      </c>
      <c r="D36898" t="s">
        <v>14</v>
      </c>
      <c r="F36898" s="2" t="str">
        <f>HYPERLINK("http://www.otzar.org/book.asp?193826","קונטרס ולרפואה שלימה")</f>
        <v>קונטרס ולרפואה שלימה</v>
      </c>
    </row>
    <row r="36899" spans="1:6" x14ac:dyDescent="0.2">
      <c r="A36899" t="s">
        <v>56863</v>
      </c>
      <c r="B36899" t="s">
        <v>56864</v>
      </c>
      <c r="C36899" t="s">
        <v>411</v>
      </c>
      <c r="D36899" t="s">
        <v>52</v>
      </c>
      <c r="E36899" t="s">
        <v>15</v>
      </c>
      <c r="F36899" s="2" t="str">
        <f>HYPERLINK("http://www.otzar.org/book.asp?170940","קונטרס ומעשה ידינו כוננהו")</f>
        <v>קונטרס ומעשה ידינו כוננהו</v>
      </c>
    </row>
    <row r="36900" spans="1:6" x14ac:dyDescent="0.2">
      <c r="A36900" t="s">
        <v>56865</v>
      </c>
      <c r="B36900" t="s">
        <v>477</v>
      </c>
      <c r="C36900" t="s">
        <v>244</v>
      </c>
      <c r="D36900" t="s">
        <v>14</v>
      </c>
      <c r="E36900" t="s">
        <v>15</v>
      </c>
      <c r="F36900" s="2" t="str">
        <f>HYPERLINK("http://www.otzar.org/book.asp?603124","קונטרס ומפליא לעשות")</f>
        <v>קונטרס ומפליא לעשות</v>
      </c>
    </row>
    <row r="36901" spans="1:6" x14ac:dyDescent="0.2">
      <c r="A36901" t="s">
        <v>56866</v>
      </c>
      <c r="B36901" t="s">
        <v>107</v>
      </c>
      <c r="C36901" t="s">
        <v>103</v>
      </c>
      <c r="D36901" t="s">
        <v>14</v>
      </c>
      <c r="E36901" t="s">
        <v>674</v>
      </c>
      <c r="F36901" s="2" t="str">
        <f>HYPERLINK("http://www.otzar.org/book.asp?84480","קונטרס ומצדיקי הרבים ככוכבים")</f>
        <v>קונטרס ומצדיקי הרבים ככוכבים</v>
      </c>
    </row>
    <row r="36902" spans="1:6" x14ac:dyDescent="0.2">
      <c r="A36902" t="s">
        <v>56867</v>
      </c>
      <c r="B36902" t="s">
        <v>5293</v>
      </c>
      <c r="C36902" t="s">
        <v>146</v>
      </c>
      <c r="D36902" t="s">
        <v>21</v>
      </c>
      <c r="E36902" t="s">
        <v>15</v>
      </c>
      <c r="F36902" s="2" t="str">
        <f>HYPERLINK("http://www.otzar.org/book.asp?197836","קונטרס ומקדשי תיראו")</f>
        <v>קונטרס ומקדשי תיראו</v>
      </c>
    </row>
    <row r="36903" spans="1:6" x14ac:dyDescent="0.2">
      <c r="A36903" t="s">
        <v>56868</v>
      </c>
      <c r="B36903" t="s">
        <v>50498</v>
      </c>
      <c r="C36903" t="s">
        <v>13</v>
      </c>
      <c r="D36903" t="s">
        <v>14</v>
      </c>
      <c r="E36903" t="s">
        <v>130</v>
      </c>
      <c r="F36903" s="2" t="str">
        <f>HYPERLINK("http://www.otzar.org/book.asp?158718","קונטרס ומשלוח מנות")</f>
        <v>קונטרס ומשלוח מנות</v>
      </c>
    </row>
    <row r="36904" spans="1:6" x14ac:dyDescent="0.2">
      <c r="A36904" t="s">
        <v>56869</v>
      </c>
      <c r="B36904" t="s">
        <v>9179</v>
      </c>
      <c r="C36904" t="s">
        <v>133</v>
      </c>
      <c r="D36904" t="s">
        <v>52</v>
      </c>
      <c r="F36904" s="2" t="str">
        <f>HYPERLINK("http://www.otzar.org/book.asp?623239","קונטרס ומשפע מצות תפילין")</f>
        <v>קונטרס ומשפע מצות תפילין</v>
      </c>
    </row>
    <row r="36905" spans="1:6" x14ac:dyDescent="0.2">
      <c r="A36905" t="s">
        <v>56870</v>
      </c>
      <c r="B36905" t="s">
        <v>24958</v>
      </c>
      <c r="C36905" t="s">
        <v>13</v>
      </c>
      <c r="E36905" t="s">
        <v>25310</v>
      </c>
      <c r="F36905" s="2" t="str">
        <f>HYPERLINK("http://www.otzar.org/book.asp?148715","קונטרס ומתוק האור")</f>
        <v>קונטרס ומתוק האור</v>
      </c>
    </row>
    <row r="36906" spans="1:6" x14ac:dyDescent="0.2">
      <c r="A36906" t="s">
        <v>56871</v>
      </c>
      <c r="B36906" t="s">
        <v>18628</v>
      </c>
      <c r="C36906" t="s">
        <v>454</v>
      </c>
      <c r="D36906" t="s">
        <v>21</v>
      </c>
      <c r="E36906" t="s">
        <v>144</v>
      </c>
      <c r="F36906" s="2" t="str">
        <f>HYPERLINK("http://www.otzar.org/book.asp?626095","קונטרס ומתורתך תלמדני - 2 כר'")</f>
        <v>קונטרס ומתורתך תלמדני - 2 כר'</v>
      </c>
    </row>
    <row r="36907" spans="1:6" x14ac:dyDescent="0.2">
      <c r="A36907" t="s">
        <v>56872</v>
      </c>
      <c r="B36907" t="s">
        <v>13030</v>
      </c>
      <c r="C36907" t="s">
        <v>13</v>
      </c>
      <c r="D36907" t="s">
        <v>2196</v>
      </c>
      <c r="E36907" t="s">
        <v>15</v>
      </c>
      <c r="F36907" s="2" t="str">
        <f>HYPERLINK("http://www.otzar.org/book.asp?603842","קונטרס ונסב הגבול - 3 כר'")</f>
        <v>קונטרס ונסב הגבול - 3 כר'</v>
      </c>
    </row>
    <row r="36908" spans="1:6" x14ac:dyDescent="0.2">
      <c r="A36908" t="s">
        <v>56873</v>
      </c>
      <c r="B36908" t="s">
        <v>56874</v>
      </c>
      <c r="C36908" t="s">
        <v>454</v>
      </c>
      <c r="D36908" t="s">
        <v>21</v>
      </c>
      <c r="E36908" t="s">
        <v>144</v>
      </c>
      <c r="F36908" s="2" t="str">
        <f>HYPERLINK("http://www.otzar.org/book.asp?191489","קונטרס ונרי שמה")</f>
        <v>קונטרס ונרי שמה</v>
      </c>
    </row>
    <row r="36909" spans="1:6" x14ac:dyDescent="0.2">
      <c r="A36909" t="s">
        <v>56875</v>
      </c>
      <c r="B36909" t="s">
        <v>12075</v>
      </c>
      <c r="C36909" t="s">
        <v>20</v>
      </c>
      <c r="D36909" t="s">
        <v>152</v>
      </c>
      <c r="F36909" s="2" t="str">
        <f>HYPERLINK("http://www.otzar.org/book.asp?629949","קונטרס ונשמח במצותיך")</f>
        <v>קונטרס ונשמח במצותיך</v>
      </c>
    </row>
    <row r="36910" spans="1:6" x14ac:dyDescent="0.2">
      <c r="A36910" t="s">
        <v>56876</v>
      </c>
      <c r="B36910" t="s">
        <v>53651</v>
      </c>
      <c r="C36910" t="s">
        <v>20</v>
      </c>
      <c r="D36910" t="s">
        <v>14</v>
      </c>
      <c r="E36910" t="s">
        <v>3798</v>
      </c>
      <c r="F36910" s="2" t="str">
        <f>HYPERLINK("http://www.otzar.org/book.asp?614787","קונטרס ונשמחה בו")</f>
        <v>קונטרס ונשמחה בו</v>
      </c>
    </row>
    <row r="36911" spans="1:6" x14ac:dyDescent="0.2">
      <c r="A36911" t="s">
        <v>56877</v>
      </c>
      <c r="B36911" t="s">
        <v>56813</v>
      </c>
      <c r="C36911" t="s">
        <v>13</v>
      </c>
      <c r="D36911" t="s">
        <v>90</v>
      </c>
      <c r="E36911" t="s">
        <v>15</v>
      </c>
      <c r="F36911" s="2" t="str">
        <f>HYPERLINK("http://www.otzar.org/book.asp?630487","קונטרס ונשמרת מכל דבר רע")</f>
        <v>קונטרס ונשמרת מכל דבר רע</v>
      </c>
    </row>
    <row r="36912" spans="1:6" x14ac:dyDescent="0.2">
      <c r="A36912" t="s">
        <v>56878</v>
      </c>
      <c r="B36912" t="s">
        <v>56879</v>
      </c>
      <c r="C36912" t="s">
        <v>23</v>
      </c>
      <c r="D36912" t="s">
        <v>21</v>
      </c>
      <c r="E36912" t="s">
        <v>104</v>
      </c>
      <c r="F36912" s="2" t="str">
        <f>HYPERLINK("http://www.otzar.org/book.asp?197848","קונטרס ונשמרתם מאד לנפשכם")</f>
        <v>קונטרס ונשמרתם מאד לנפשכם</v>
      </c>
    </row>
    <row r="36913" spans="1:6" x14ac:dyDescent="0.2">
      <c r="A36913" t="s">
        <v>56880</v>
      </c>
      <c r="B36913" t="s">
        <v>55917</v>
      </c>
      <c r="C36913" t="s">
        <v>56881</v>
      </c>
      <c r="D36913" t="s">
        <v>152</v>
      </c>
      <c r="E36913" t="s">
        <v>144</v>
      </c>
      <c r="F36913" s="2" t="str">
        <f>HYPERLINK("http://www.otzar.org/book.asp?153829","קונטרס ונתן בידה")</f>
        <v>קונטרס ונתן בידה</v>
      </c>
    </row>
    <row r="36914" spans="1:6" x14ac:dyDescent="0.2">
      <c r="A36914" t="s">
        <v>56882</v>
      </c>
      <c r="B36914" t="s">
        <v>56883</v>
      </c>
      <c r="C36914" t="s">
        <v>1208</v>
      </c>
      <c r="D36914" t="s">
        <v>14</v>
      </c>
      <c r="E36914" t="s">
        <v>119</v>
      </c>
      <c r="F36914" s="2" t="str">
        <f>HYPERLINK("http://www.otzar.org/book.asp?176899","קונטרס ועד דור ודור אמונתו")</f>
        <v>קונטרס ועד דור ודור אמונתו</v>
      </c>
    </row>
    <row r="36915" spans="1:6" x14ac:dyDescent="0.2">
      <c r="A36915" t="s">
        <v>56884</v>
      </c>
      <c r="B36915" t="s">
        <v>50287</v>
      </c>
      <c r="C36915" t="s">
        <v>422</v>
      </c>
      <c r="D36915" t="s">
        <v>412</v>
      </c>
      <c r="E36915" t="s">
        <v>714</v>
      </c>
      <c r="F36915" s="2" t="str">
        <f>HYPERLINK("http://www.otzar.org/book.asp?163356","קונטרס ועינינו מאירות - א")</f>
        <v>קונטרס ועינינו מאירות - א</v>
      </c>
    </row>
    <row r="36916" spans="1:6" x14ac:dyDescent="0.2">
      <c r="A36916" t="s">
        <v>56885</v>
      </c>
      <c r="B36916" t="s">
        <v>56886</v>
      </c>
      <c r="C36916" t="s">
        <v>103</v>
      </c>
      <c r="D36916" t="s">
        <v>52</v>
      </c>
      <c r="E36916" t="s">
        <v>15</v>
      </c>
      <c r="F36916" s="2" t="str">
        <f>HYPERLINK("http://www.otzar.org/book.asp?188829","קונטרס ועשו להם ציצית")</f>
        <v>קונטרס ועשו להם ציצית</v>
      </c>
    </row>
    <row r="36917" spans="1:6" x14ac:dyDescent="0.2">
      <c r="A36917" t="s">
        <v>56887</v>
      </c>
      <c r="B36917" t="s">
        <v>55917</v>
      </c>
      <c r="C36917" t="s">
        <v>56888</v>
      </c>
      <c r="D36917" t="s">
        <v>152</v>
      </c>
      <c r="E36917" t="s">
        <v>144</v>
      </c>
      <c r="F36917" s="2" t="str">
        <f>HYPERLINK("http://www.otzar.org/book.asp?153825","קונטרס ופרשו השמלה")</f>
        <v>קונטרס ופרשו השמלה</v>
      </c>
    </row>
    <row r="36918" spans="1:6" x14ac:dyDescent="0.2">
      <c r="A36918" t="s">
        <v>56889</v>
      </c>
      <c r="B36918" t="s">
        <v>56890</v>
      </c>
      <c r="C36918" t="s">
        <v>103</v>
      </c>
      <c r="D36918" t="s">
        <v>52</v>
      </c>
      <c r="F36918" s="2" t="str">
        <f>HYPERLINK("http://www.otzar.org/book.asp?619631","קונטרס וצדיקים ישמחו")</f>
        <v>קונטרס וצדיקים ישמחו</v>
      </c>
    </row>
    <row r="36919" spans="1:6" x14ac:dyDescent="0.2">
      <c r="A36919" t="s">
        <v>56891</v>
      </c>
      <c r="B36919" t="s">
        <v>56892</v>
      </c>
      <c r="C36919" t="s">
        <v>111</v>
      </c>
      <c r="D36919" t="s">
        <v>2285</v>
      </c>
      <c r="E36919" t="s">
        <v>15</v>
      </c>
      <c r="F36919" s="2" t="str">
        <f>HYPERLINK("http://www.otzar.org/book.asp?630491","קונטרס וקולי בא בדממה")</f>
        <v>קונטרס וקולי בא בדממה</v>
      </c>
    </row>
    <row r="36920" spans="1:6" x14ac:dyDescent="0.2">
      <c r="A36920" t="s">
        <v>56893</v>
      </c>
      <c r="B36920" t="s">
        <v>56894</v>
      </c>
      <c r="C36920" t="s">
        <v>129</v>
      </c>
      <c r="D36920" t="s">
        <v>90</v>
      </c>
      <c r="E36920" t="s">
        <v>140</v>
      </c>
      <c r="F36920" s="2" t="str">
        <f>HYPERLINK("http://www.otzar.org/book.asp?615973","קונטרס וקראת לשבת עונג")</f>
        <v>קונטרס וקראת לשבת עונג</v>
      </c>
    </row>
    <row r="36921" spans="1:6" x14ac:dyDescent="0.2">
      <c r="A36921" t="s">
        <v>56893</v>
      </c>
      <c r="B36921" t="s">
        <v>56813</v>
      </c>
      <c r="C36921" t="s">
        <v>13</v>
      </c>
      <c r="D36921" t="s">
        <v>90</v>
      </c>
      <c r="E36921" t="s">
        <v>130</v>
      </c>
      <c r="F36921" s="2" t="str">
        <f>HYPERLINK("http://www.otzar.org/book.asp?630492","קונטרס וקראת לשבת עונג")</f>
        <v>קונטרס וקראת לשבת עונג</v>
      </c>
    </row>
    <row r="36922" spans="1:6" x14ac:dyDescent="0.2">
      <c r="A36922" t="s">
        <v>56893</v>
      </c>
      <c r="B36922" t="s">
        <v>9187</v>
      </c>
      <c r="C36922" t="s">
        <v>20</v>
      </c>
      <c r="D36922" t="s">
        <v>90</v>
      </c>
      <c r="E36922" t="s">
        <v>130</v>
      </c>
      <c r="F36922" s="2" t="str">
        <f>HYPERLINK("http://www.otzar.org/book.asp?158705","קונטרס וקראת לשבת עונג")</f>
        <v>קונטרס וקראת לשבת עונג</v>
      </c>
    </row>
    <row r="36923" spans="1:6" x14ac:dyDescent="0.2">
      <c r="A36923" t="s">
        <v>56895</v>
      </c>
      <c r="B36923" t="s">
        <v>18820</v>
      </c>
      <c r="C36923" t="s">
        <v>454</v>
      </c>
      <c r="D36923" t="s">
        <v>52</v>
      </c>
      <c r="F36923" s="2" t="str">
        <f>HYPERLINK("http://www.otzar.org/book.asp?630370","קונטרס ורפא ירפא")</f>
        <v>קונטרס ורפא ירפא</v>
      </c>
    </row>
    <row r="36924" spans="1:6" x14ac:dyDescent="0.2">
      <c r="A36924" t="s">
        <v>56896</v>
      </c>
      <c r="B36924" t="s">
        <v>7723</v>
      </c>
      <c r="C36924" t="s">
        <v>411</v>
      </c>
      <c r="D36924" t="s">
        <v>412</v>
      </c>
      <c r="F36924" s="2" t="str">
        <f>HYPERLINK("http://www.otzar.org/book.asp?199197","קונטרס ושבתי בבית ה'")</f>
        <v>קונטרס ושבתי בבית ה'</v>
      </c>
    </row>
    <row r="36925" spans="1:6" x14ac:dyDescent="0.2">
      <c r="A36925" t="s">
        <v>56897</v>
      </c>
      <c r="B36925" t="s">
        <v>51102</v>
      </c>
      <c r="C36925" t="s">
        <v>185</v>
      </c>
      <c r="D36925" t="s">
        <v>90</v>
      </c>
      <c r="E36925" t="s">
        <v>246</v>
      </c>
      <c r="F36925" s="2" t="str">
        <f>HYPERLINK("http://www.otzar.org/book.asp?629373","קונטרס ושמחתם לפני ה'")</f>
        <v>קונטרס ושמחתם לפני ה'</v>
      </c>
    </row>
    <row r="36926" spans="1:6" x14ac:dyDescent="0.2">
      <c r="A36926" t="s">
        <v>56898</v>
      </c>
      <c r="B36926" t="s">
        <v>56899</v>
      </c>
      <c r="C36926" t="s">
        <v>23</v>
      </c>
      <c r="D36926" t="s">
        <v>412</v>
      </c>
      <c r="E36926" t="s">
        <v>130</v>
      </c>
      <c r="F36926" s="2" t="str">
        <f>HYPERLINK("http://www.otzar.org/book.asp?195127","קונטרס ושמרת את המצות")</f>
        <v>קונטרס ושמרת את המצות</v>
      </c>
    </row>
    <row r="36927" spans="1:6" x14ac:dyDescent="0.2">
      <c r="A36927" t="s">
        <v>56900</v>
      </c>
      <c r="B36927" t="s">
        <v>22669</v>
      </c>
      <c r="C36927" t="s">
        <v>366</v>
      </c>
      <c r="D36927" t="s">
        <v>52</v>
      </c>
      <c r="E36927" t="s">
        <v>246</v>
      </c>
      <c r="F36927" s="2" t="str">
        <f>HYPERLINK("http://www.otzar.org/book.asp?608056","קונטרס ושמרתם")</f>
        <v>קונטרס ושמרתם</v>
      </c>
    </row>
    <row r="36928" spans="1:6" x14ac:dyDescent="0.2">
      <c r="A36928" t="s">
        <v>56901</v>
      </c>
      <c r="B36928" t="s">
        <v>1877</v>
      </c>
      <c r="C36928" t="s">
        <v>111</v>
      </c>
      <c r="D36928" t="s">
        <v>52</v>
      </c>
      <c r="E36928" t="s">
        <v>104</v>
      </c>
      <c r="F36928" s="2" t="str">
        <f>HYPERLINK("http://www.otzar.org/book.asp?630494","קונטרס ושפני טמוני חול")</f>
        <v>קונטרס ושפני טמוני חול</v>
      </c>
    </row>
    <row r="36929" spans="1:6" x14ac:dyDescent="0.2">
      <c r="A36929" t="s">
        <v>56902</v>
      </c>
      <c r="B36929" t="s">
        <v>21698</v>
      </c>
      <c r="C36929" t="s">
        <v>20</v>
      </c>
      <c r="D36929" t="s">
        <v>6540</v>
      </c>
      <c r="F36929" s="2" t="str">
        <f>HYPERLINK("http://www.otzar.org/book.asp?153225","קונטרס ותשר דבורה - 2 כר'")</f>
        <v>קונטרס ותשר דבורה - 2 כר'</v>
      </c>
    </row>
    <row r="36930" spans="1:6" x14ac:dyDescent="0.2">
      <c r="A36930" t="s">
        <v>56903</v>
      </c>
      <c r="B36930" t="s">
        <v>56904</v>
      </c>
      <c r="C36930" t="s">
        <v>1811</v>
      </c>
      <c r="D36930" t="s">
        <v>14</v>
      </c>
      <c r="F36930" s="2" t="str">
        <f>HYPERLINK("http://www.otzar.org/book.asp?617139","קונטרס ותתפלל חנה")</f>
        <v>קונטרס ותתפלל חנה</v>
      </c>
    </row>
    <row r="36931" spans="1:6" x14ac:dyDescent="0.2">
      <c r="A36931" t="s">
        <v>56905</v>
      </c>
      <c r="B36931" t="s">
        <v>56906</v>
      </c>
      <c r="C36931" t="s">
        <v>103</v>
      </c>
      <c r="D36931" t="s">
        <v>20</v>
      </c>
      <c r="F36931" s="2" t="str">
        <f>HYPERLINK("http://www.otzar.org/book.asp?190978","קונטרס זאת החיה")</f>
        <v>קונטרס זאת החיה</v>
      </c>
    </row>
    <row r="36932" spans="1:6" x14ac:dyDescent="0.2">
      <c r="A36932" t="s">
        <v>56907</v>
      </c>
      <c r="B36932" t="s">
        <v>56908</v>
      </c>
      <c r="C36932" t="s">
        <v>133</v>
      </c>
      <c r="D36932" t="s">
        <v>21</v>
      </c>
      <c r="E36932" t="s">
        <v>104</v>
      </c>
      <c r="F36932" s="2" t="str">
        <f>HYPERLINK("http://www.otzar.org/book.asp?193098","קונטרס זאת התורה לא תהיה מוחלפת")</f>
        <v>קונטרס זאת התורה לא תהיה מוחלפת</v>
      </c>
    </row>
    <row r="36933" spans="1:6" x14ac:dyDescent="0.2">
      <c r="A36933" t="s">
        <v>56909</v>
      </c>
      <c r="B36933" t="s">
        <v>56910</v>
      </c>
      <c r="C36933" t="s">
        <v>133</v>
      </c>
      <c r="D36933" t="s">
        <v>134</v>
      </c>
      <c r="E36933" t="s">
        <v>246</v>
      </c>
      <c r="F36933" s="2" t="str">
        <f>HYPERLINK("http://www.otzar.org/book.asp?603196","קונטרס זבד טוב")</f>
        <v>קונטרס זבד טוב</v>
      </c>
    </row>
    <row r="36934" spans="1:6" x14ac:dyDescent="0.2">
      <c r="A36934" t="s">
        <v>56911</v>
      </c>
      <c r="B36934" t="s">
        <v>6987</v>
      </c>
      <c r="C36934" t="s">
        <v>133</v>
      </c>
      <c r="D36934" t="s">
        <v>90</v>
      </c>
      <c r="E36934" t="s">
        <v>1517</v>
      </c>
      <c r="F36934" s="2" t="str">
        <f>HYPERLINK("http://www.otzar.org/book.asp?175944","קונטרס זבח הפסח")</f>
        <v>קונטרס זבח הפסח</v>
      </c>
    </row>
    <row r="36935" spans="1:6" x14ac:dyDescent="0.2">
      <c r="A36935" t="s">
        <v>56912</v>
      </c>
      <c r="B36935" t="s">
        <v>56913</v>
      </c>
      <c r="C36935" t="s">
        <v>422</v>
      </c>
      <c r="D36935" t="s">
        <v>14</v>
      </c>
      <c r="E36935" t="s">
        <v>15</v>
      </c>
      <c r="F36935" s="2" t="str">
        <f>HYPERLINK("http://www.otzar.org/book.asp?181778","קונטרס זבח פסח")</f>
        <v>קונטרס זבח פסח</v>
      </c>
    </row>
    <row r="36936" spans="1:6" x14ac:dyDescent="0.2">
      <c r="A36936" t="s">
        <v>56914</v>
      </c>
      <c r="B36936" t="s">
        <v>56915</v>
      </c>
      <c r="C36936" t="s">
        <v>244</v>
      </c>
      <c r="D36936" t="s">
        <v>152</v>
      </c>
      <c r="F36936" s="2" t="str">
        <f>HYPERLINK("http://www.otzar.org/book.asp?197570","קונטרס זבחי ההוד")</f>
        <v>קונטרס זבחי ההוד</v>
      </c>
    </row>
    <row r="36937" spans="1:6" x14ac:dyDescent="0.2">
      <c r="A36937" t="s">
        <v>56916</v>
      </c>
      <c r="B36937" t="s">
        <v>52826</v>
      </c>
      <c r="C36937" t="s">
        <v>146</v>
      </c>
      <c r="D36937" t="s">
        <v>21</v>
      </c>
      <c r="E36937" t="s">
        <v>246</v>
      </c>
      <c r="F36937" s="2" t="str">
        <f>HYPERLINK("http://www.otzar.org/book.asp?196790","קונטרס זבחי תודה")</f>
        <v>קונטרס זבחי תודה</v>
      </c>
    </row>
    <row r="36938" spans="1:6" x14ac:dyDescent="0.2">
      <c r="A36938" t="s">
        <v>56917</v>
      </c>
      <c r="B36938" t="s">
        <v>56918</v>
      </c>
      <c r="C36938" t="s">
        <v>151</v>
      </c>
      <c r="D36938" t="s">
        <v>52</v>
      </c>
      <c r="E36938" t="s">
        <v>674</v>
      </c>
      <c r="F36938" s="2" t="str">
        <f>HYPERLINK("http://www.otzar.org/book.asp?611822","קונטרס זה ספר תולדות אדם")</f>
        <v>קונטרס זה ספר תולדות אדם</v>
      </c>
    </row>
    <row r="36939" spans="1:6" x14ac:dyDescent="0.2">
      <c r="A36939" t="s">
        <v>56919</v>
      </c>
      <c r="B36939" t="s">
        <v>42628</v>
      </c>
      <c r="C36939" t="s">
        <v>71</v>
      </c>
      <c r="D36939" t="s">
        <v>52</v>
      </c>
      <c r="F36939" s="2" t="str">
        <f>HYPERLINK("http://www.otzar.org/book.asp?603211","קונטרס זהב המלאכה")</f>
        <v>קונטרס זהב המלאכה</v>
      </c>
    </row>
    <row r="36940" spans="1:6" x14ac:dyDescent="0.2">
      <c r="A36940" t="s">
        <v>56920</v>
      </c>
      <c r="B36940" t="s">
        <v>6987</v>
      </c>
      <c r="C36940" t="s">
        <v>37</v>
      </c>
      <c r="D36940" t="s">
        <v>14</v>
      </c>
      <c r="E36940" t="s">
        <v>130</v>
      </c>
      <c r="F36940" s="2" t="str">
        <f>HYPERLINK("http://www.otzar.org/book.asp?630496","קונטרס זהב ולבונה")</f>
        <v>קונטרס זהב ולבונה</v>
      </c>
    </row>
    <row r="36941" spans="1:6" x14ac:dyDescent="0.2">
      <c r="A36941" t="s">
        <v>56921</v>
      </c>
      <c r="B36941" t="s">
        <v>56922</v>
      </c>
      <c r="C36941" t="s">
        <v>151</v>
      </c>
      <c r="D36941" t="s">
        <v>52</v>
      </c>
      <c r="F36941" s="2" t="str">
        <f>HYPERLINK("http://www.otzar.org/book.asp?619014","קונטרס זהב טהור")</f>
        <v>קונטרס זהב טהור</v>
      </c>
    </row>
    <row r="36942" spans="1:6" x14ac:dyDescent="0.2">
      <c r="A36942" t="s">
        <v>56923</v>
      </c>
      <c r="B36942" t="s">
        <v>33135</v>
      </c>
      <c r="C36942" t="s">
        <v>20</v>
      </c>
      <c r="D36942" t="s">
        <v>1156</v>
      </c>
      <c r="E36942" t="s">
        <v>140</v>
      </c>
      <c r="F36942" s="2" t="str">
        <f>HYPERLINK("http://www.otzar.org/book.asp?622532","קונטרס זיו שושנים")</f>
        <v>קונטרס זיו שושנים</v>
      </c>
    </row>
    <row r="36943" spans="1:6" x14ac:dyDescent="0.2">
      <c r="A36943" t="s">
        <v>56924</v>
      </c>
      <c r="B36943" t="s">
        <v>5293</v>
      </c>
      <c r="C36943" t="s">
        <v>37</v>
      </c>
      <c r="D36943" t="s">
        <v>21</v>
      </c>
      <c r="F36943" s="2" t="str">
        <f>HYPERLINK("http://www.otzar.org/book.asp?199144","קונטרס זיכוי הרבים")</f>
        <v>קונטרס זיכוי הרבים</v>
      </c>
    </row>
    <row r="36944" spans="1:6" x14ac:dyDescent="0.2">
      <c r="A36944" t="s">
        <v>56925</v>
      </c>
      <c r="B36944" t="s">
        <v>49648</v>
      </c>
      <c r="C36944" t="s">
        <v>176</v>
      </c>
      <c r="D36944" t="s">
        <v>486</v>
      </c>
      <c r="E36944" t="s">
        <v>144</v>
      </c>
      <c r="F36944" s="2" t="str">
        <f>HYPERLINK("http://www.otzar.org/book.asp?151899","קונטרס זיקת יבמין")</f>
        <v>קונטרס זיקת יבמין</v>
      </c>
    </row>
    <row r="36945" spans="1:6" x14ac:dyDescent="0.2">
      <c r="A36945" t="s">
        <v>56926</v>
      </c>
      <c r="B36945" t="s">
        <v>4988</v>
      </c>
      <c r="C36945" t="s">
        <v>313</v>
      </c>
      <c r="D36945" t="s">
        <v>52</v>
      </c>
      <c r="F36945" s="2" t="str">
        <f>HYPERLINK("http://www.otzar.org/book.asp?153415","קונטרס זכור ברית אברהם ועקידת יצחק")</f>
        <v>קונטרס זכור ברית אברהם ועקידת יצחק</v>
      </c>
    </row>
    <row r="36946" spans="1:6" x14ac:dyDescent="0.2">
      <c r="A36946" t="s">
        <v>56927</v>
      </c>
      <c r="B36946" t="s">
        <v>56928</v>
      </c>
      <c r="C36946" t="s">
        <v>366</v>
      </c>
      <c r="D36946" t="s">
        <v>1156</v>
      </c>
      <c r="E36946" t="s">
        <v>15</v>
      </c>
      <c r="F36946" s="2" t="str">
        <f>HYPERLINK("http://www.otzar.org/book.asp?629695","קונטרס זכור זאת ליעקב")</f>
        <v>קונטרס זכור זאת ליעקב</v>
      </c>
    </row>
    <row r="36947" spans="1:6" x14ac:dyDescent="0.2">
      <c r="A36947" t="s">
        <v>56929</v>
      </c>
      <c r="B36947" t="s">
        <v>56930</v>
      </c>
      <c r="C36947" t="s">
        <v>17</v>
      </c>
      <c r="D36947" t="s">
        <v>14</v>
      </c>
      <c r="F36947" s="2" t="str">
        <f>HYPERLINK("http://www.otzar.org/book.asp?613067","קונטרס זכור ימות עולם")</f>
        <v>קונטרס זכור ימות עולם</v>
      </c>
    </row>
    <row r="36948" spans="1:6" x14ac:dyDescent="0.2">
      <c r="A36948" t="s">
        <v>56931</v>
      </c>
      <c r="B36948" t="s">
        <v>56932</v>
      </c>
      <c r="C36948" t="s">
        <v>366</v>
      </c>
      <c r="D36948" t="s">
        <v>14</v>
      </c>
      <c r="E36948" t="s">
        <v>140</v>
      </c>
      <c r="F36948" s="2" t="str">
        <f>HYPERLINK("http://www.otzar.org/book.asp?620776","קונטרס זכור לאברהם")</f>
        <v>קונטרס זכור לאברהם</v>
      </c>
    </row>
    <row r="36949" spans="1:6" x14ac:dyDescent="0.2">
      <c r="A36949" t="s">
        <v>56931</v>
      </c>
      <c r="B36949" t="s">
        <v>56933</v>
      </c>
      <c r="C36949" t="s">
        <v>168</v>
      </c>
      <c r="D36949" t="s">
        <v>21</v>
      </c>
      <c r="E36949" t="s">
        <v>202</v>
      </c>
      <c r="F36949" s="2" t="str">
        <f>HYPERLINK("http://www.otzar.org/book.asp?195034","קונטרס זכור לאברהם")</f>
        <v>קונטרס זכור לאברהם</v>
      </c>
    </row>
    <row r="36950" spans="1:6" x14ac:dyDescent="0.2">
      <c r="A36950" t="s">
        <v>56931</v>
      </c>
      <c r="B36950" t="s">
        <v>1750</v>
      </c>
      <c r="C36950" t="s">
        <v>146</v>
      </c>
      <c r="D36950" t="s">
        <v>52</v>
      </c>
      <c r="E36950" t="s">
        <v>104</v>
      </c>
      <c r="F36950" s="2" t="str">
        <f>HYPERLINK("http://www.otzar.org/book.asp?193089","קונטרס זכור לאברהם")</f>
        <v>קונטרס זכור לאברהם</v>
      </c>
    </row>
    <row r="36951" spans="1:6" x14ac:dyDescent="0.2">
      <c r="A36951" t="s">
        <v>56931</v>
      </c>
      <c r="B36951" t="s">
        <v>56934</v>
      </c>
      <c r="C36951" t="s">
        <v>411</v>
      </c>
      <c r="D36951" t="s">
        <v>90</v>
      </c>
      <c r="F36951" s="2" t="str">
        <f>HYPERLINK("http://www.otzar.org/book.asp?190937","קונטרס זכור לאברהם")</f>
        <v>קונטרס זכור לאברהם</v>
      </c>
    </row>
    <row r="36952" spans="1:6" x14ac:dyDescent="0.2">
      <c r="A36952" t="s">
        <v>56935</v>
      </c>
      <c r="B36952" t="s">
        <v>56936</v>
      </c>
      <c r="C36952" t="s">
        <v>37</v>
      </c>
      <c r="D36952" t="s">
        <v>14</v>
      </c>
      <c r="E36952" t="s">
        <v>104</v>
      </c>
      <c r="F36952" s="2" t="str">
        <f>HYPERLINK("http://www.otzar.org/book.asp?180790","קונטרס זכור לדוד - כתיבת חידו""ת")</f>
        <v>קונטרס זכור לדוד - כתיבת חידו"ת</v>
      </c>
    </row>
    <row r="36953" spans="1:6" x14ac:dyDescent="0.2">
      <c r="A36953" t="s">
        <v>56937</v>
      </c>
      <c r="B36953" t="s">
        <v>206</v>
      </c>
      <c r="C36953" t="s">
        <v>20</v>
      </c>
      <c r="D36953" t="s">
        <v>14</v>
      </c>
      <c r="E36953" t="s">
        <v>467</v>
      </c>
      <c r="F36953" s="2" t="str">
        <f>HYPERLINK("http://www.otzar.org/book.asp?605796","קונטרס זכור")</f>
        <v>קונטרס זכור</v>
      </c>
    </row>
    <row r="36954" spans="1:6" x14ac:dyDescent="0.2">
      <c r="A36954" t="s">
        <v>56938</v>
      </c>
      <c r="B36954" t="s">
        <v>56939</v>
      </c>
      <c r="C36954" t="s">
        <v>176</v>
      </c>
      <c r="D36954" t="s">
        <v>14</v>
      </c>
      <c r="E36954" t="s">
        <v>3516</v>
      </c>
      <c r="F36954" s="2" t="str">
        <f>HYPERLINK("http://www.otzar.org/book.asp?159964","קונטרס זכות אבות")</f>
        <v>קונטרס זכות אבות</v>
      </c>
    </row>
    <row r="36955" spans="1:6" x14ac:dyDescent="0.2">
      <c r="A36955" t="s">
        <v>56940</v>
      </c>
      <c r="B36955" t="s">
        <v>17751</v>
      </c>
      <c r="C36955" t="s">
        <v>1706</v>
      </c>
      <c r="D36955" t="s">
        <v>14</v>
      </c>
      <c r="E36955" t="s">
        <v>241</v>
      </c>
      <c r="F36955" s="2" t="str">
        <f>HYPERLINK("http://www.otzar.org/book.asp?142494","קונטרס זכות הרבים")</f>
        <v>קונטרס זכות הרבים</v>
      </c>
    </row>
    <row r="36956" spans="1:6" x14ac:dyDescent="0.2">
      <c r="A36956" t="s">
        <v>56941</v>
      </c>
      <c r="B36956" t="s">
        <v>54179</v>
      </c>
      <c r="C36956" t="s">
        <v>454</v>
      </c>
      <c r="D36956" t="s">
        <v>52</v>
      </c>
      <c r="E36956" t="s">
        <v>144</v>
      </c>
      <c r="F36956" s="2" t="str">
        <f>HYPERLINK("http://www.otzar.org/book.asp?174299","קונטרס זכר אהרן")</f>
        <v>קונטרס זכר אהרן</v>
      </c>
    </row>
    <row r="36957" spans="1:6" x14ac:dyDescent="0.2">
      <c r="A36957" t="s">
        <v>56942</v>
      </c>
      <c r="B36957" t="s">
        <v>56943</v>
      </c>
      <c r="C36957" t="s">
        <v>185</v>
      </c>
      <c r="D36957" t="s">
        <v>152</v>
      </c>
      <c r="E36957" t="s">
        <v>15</v>
      </c>
      <c r="F36957" s="2" t="str">
        <f>HYPERLINK("http://www.otzar.org/book.asp?630499","קונטרס זכר דבר")</f>
        <v>קונטרס זכר דבר</v>
      </c>
    </row>
    <row r="36958" spans="1:6" x14ac:dyDescent="0.2">
      <c r="A36958" t="s">
        <v>56944</v>
      </c>
      <c r="B36958" t="s">
        <v>56945</v>
      </c>
      <c r="C36958" t="s">
        <v>366</v>
      </c>
      <c r="D36958" t="s">
        <v>423</v>
      </c>
      <c r="F36958" s="2" t="str">
        <f>HYPERLINK("http://www.otzar.org/book.asp?608875","קונטרס זכר זאת ליעקב")</f>
        <v>קונטרס זכר זאת ליעקב</v>
      </c>
    </row>
    <row r="36959" spans="1:6" x14ac:dyDescent="0.2">
      <c r="A36959" t="s">
        <v>56946</v>
      </c>
      <c r="B36959" t="s">
        <v>3824</v>
      </c>
      <c r="C36959" t="s">
        <v>87</v>
      </c>
      <c r="D36959" t="s">
        <v>2504</v>
      </c>
      <c r="F36959" s="2" t="str">
        <f>HYPERLINK("http://www.otzar.org/book.asp?156612","קונטרס זכר לאברהם")</f>
        <v>קונטרס זכר לאברהם</v>
      </c>
    </row>
    <row r="36960" spans="1:6" x14ac:dyDescent="0.2">
      <c r="A36960" t="s">
        <v>56947</v>
      </c>
      <c r="B36960" t="s">
        <v>56948</v>
      </c>
      <c r="C36960" t="s">
        <v>383</v>
      </c>
      <c r="D36960" t="s">
        <v>646</v>
      </c>
      <c r="E36960" t="s">
        <v>1262</v>
      </c>
      <c r="F36960" s="2" t="str">
        <f>HYPERLINK("http://www.otzar.org/book.asp?166454","קונטרס זכר ליעקב")</f>
        <v>קונטרס זכר ליעקב</v>
      </c>
    </row>
    <row r="36961" spans="1:6" x14ac:dyDescent="0.2">
      <c r="A36961" t="s">
        <v>56949</v>
      </c>
      <c r="B36961" t="s">
        <v>22056</v>
      </c>
      <c r="C36961" t="s">
        <v>454</v>
      </c>
      <c r="D36961" t="s">
        <v>21</v>
      </c>
      <c r="E36961" t="s">
        <v>1164</v>
      </c>
      <c r="F36961" s="2" t="str">
        <f>HYPERLINK("http://www.otzar.org/book.asp?190931","קונטרס זכר ליציאת מצרים")</f>
        <v>קונטרס זכר ליציאת מצרים</v>
      </c>
    </row>
    <row r="36962" spans="1:6" x14ac:dyDescent="0.2">
      <c r="A36962" t="s">
        <v>56950</v>
      </c>
      <c r="B36962" t="s">
        <v>56951</v>
      </c>
      <c r="C36962" t="s">
        <v>585</v>
      </c>
      <c r="D36962" t="s">
        <v>52</v>
      </c>
      <c r="E36962" t="s">
        <v>202</v>
      </c>
      <c r="F36962" s="2" t="str">
        <f>HYPERLINK("http://www.otzar.org/book.asp?624747","קונטרס זכר משה")</f>
        <v>קונטרס זכר משה</v>
      </c>
    </row>
    <row r="36963" spans="1:6" x14ac:dyDescent="0.2">
      <c r="A36963" t="s">
        <v>56952</v>
      </c>
      <c r="B36963" t="s">
        <v>56952</v>
      </c>
      <c r="C36963" t="s">
        <v>146</v>
      </c>
      <c r="D36963" t="s">
        <v>14</v>
      </c>
      <c r="E36963" t="s">
        <v>1626</v>
      </c>
      <c r="F36963" s="2" t="str">
        <f>HYPERLINK("http://www.otzar.org/book.asp?143785","קונטרס זכר נפלאותיו")</f>
        <v>קונטרס זכר נפלאותיו</v>
      </c>
    </row>
    <row r="36964" spans="1:6" x14ac:dyDescent="0.2">
      <c r="A36964" t="s">
        <v>56953</v>
      </c>
      <c r="B36964" t="s">
        <v>206</v>
      </c>
      <c r="C36964" t="s">
        <v>20</v>
      </c>
      <c r="D36964" t="s">
        <v>1550</v>
      </c>
      <c r="F36964" s="2" t="str">
        <f>HYPERLINK("http://www.otzar.org/book.asp?197650","קונטרס זכר שלום - כתובות")</f>
        <v>קונטרס זכר שלום - כתובות</v>
      </c>
    </row>
    <row r="36965" spans="1:6" x14ac:dyDescent="0.2">
      <c r="A36965" t="s">
        <v>56954</v>
      </c>
      <c r="B36965" t="s">
        <v>56955</v>
      </c>
      <c r="C36965" t="s">
        <v>466</v>
      </c>
      <c r="D36965" t="s">
        <v>152</v>
      </c>
      <c r="F36965" s="2" t="str">
        <f>HYPERLINK("http://www.otzar.org/book.asp?157601","קונטרס זכר שמעון")</f>
        <v>קונטרס זכר שמעון</v>
      </c>
    </row>
    <row r="36966" spans="1:6" x14ac:dyDescent="0.2">
      <c r="A36966" t="s">
        <v>56956</v>
      </c>
      <c r="B36966" t="s">
        <v>56957</v>
      </c>
      <c r="C36966" t="s">
        <v>244</v>
      </c>
      <c r="D36966" t="s">
        <v>52</v>
      </c>
      <c r="E36966" t="s">
        <v>241</v>
      </c>
      <c r="F36966" s="2" t="str">
        <f>HYPERLINK("http://www.otzar.org/book.asp?607218","קונטרס זכרו יעקב")</f>
        <v>קונטרס זכרו יעקב</v>
      </c>
    </row>
    <row r="36967" spans="1:6" x14ac:dyDescent="0.2">
      <c r="A36967" t="s">
        <v>56958</v>
      </c>
      <c r="B36967" t="s">
        <v>29256</v>
      </c>
      <c r="C36967" t="s">
        <v>68</v>
      </c>
      <c r="D36967" t="s">
        <v>412</v>
      </c>
      <c r="E36967" t="s">
        <v>15</v>
      </c>
      <c r="F36967" s="2" t="str">
        <f>HYPERLINK("http://www.otzar.org/book.asp?160863","קונטרס זכרון אבות")</f>
        <v>קונטרס זכרון אבות</v>
      </c>
    </row>
    <row r="36968" spans="1:6" x14ac:dyDescent="0.2">
      <c r="A36968" t="s">
        <v>56959</v>
      </c>
      <c r="B36968" t="s">
        <v>2511</v>
      </c>
      <c r="C36968" t="s">
        <v>129</v>
      </c>
      <c r="D36968" t="s">
        <v>2201</v>
      </c>
      <c r="E36968" t="s">
        <v>15</v>
      </c>
      <c r="F36968" s="2" t="str">
        <f>HYPERLINK("http://www.otzar.org/book.asp?198211","קונטרס זכרון אהל משה")</f>
        <v>קונטרס זכרון אהל משה</v>
      </c>
    </row>
    <row r="36969" spans="1:6" x14ac:dyDescent="0.2">
      <c r="A36969" t="s">
        <v>56960</v>
      </c>
      <c r="B36969" t="s">
        <v>56961</v>
      </c>
      <c r="C36969" t="s">
        <v>176</v>
      </c>
      <c r="D36969" t="s">
        <v>412</v>
      </c>
      <c r="F36969" s="2" t="str">
        <f>HYPERLINK("http://www.otzar.org/book.asp?609993","קונטרס זכרון אליהו")</f>
        <v>קונטרס זכרון אליהו</v>
      </c>
    </row>
    <row r="36970" spans="1:6" x14ac:dyDescent="0.2">
      <c r="A36970" t="s">
        <v>56962</v>
      </c>
      <c r="B36970" t="s">
        <v>56963</v>
      </c>
      <c r="C36970" t="s">
        <v>176</v>
      </c>
      <c r="D36970" t="s">
        <v>412</v>
      </c>
      <c r="F36970" s="2" t="str">
        <f>HYPERLINK("http://www.otzar.org/book.asp?609992","קונטרס זכרון אלימלך")</f>
        <v>קונטרס זכרון אלימלך</v>
      </c>
    </row>
    <row r="36971" spans="1:6" x14ac:dyDescent="0.2">
      <c r="A36971" t="s">
        <v>56964</v>
      </c>
      <c r="B36971" t="s">
        <v>56965</v>
      </c>
      <c r="C36971" t="s">
        <v>37</v>
      </c>
      <c r="D36971" t="s">
        <v>245</v>
      </c>
      <c r="E36971" t="s">
        <v>144</v>
      </c>
      <c r="F36971" s="2" t="str">
        <f>HYPERLINK("http://www.otzar.org/book.asp?186847","קונטרס זכרון אסתר - בבא קמא")</f>
        <v>קונטרס זכרון אסתר - בבא קמא</v>
      </c>
    </row>
    <row r="36972" spans="1:6" x14ac:dyDescent="0.2">
      <c r="A36972" t="s">
        <v>56966</v>
      </c>
      <c r="B36972" t="s">
        <v>552</v>
      </c>
      <c r="C36972" t="s">
        <v>129</v>
      </c>
      <c r="D36972" t="s">
        <v>14</v>
      </c>
      <c r="E36972" t="s">
        <v>202</v>
      </c>
      <c r="F36972" s="2" t="str">
        <f>HYPERLINK("http://www.otzar.org/book.asp?53041","קונטרס זכרון הלווים")</f>
        <v>קונטרס זכרון הלווים</v>
      </c>
    </row>
    <row r="36973" spans="1:6" x14ac:dyDescent="0.2">
      <c r="A36973" t="s">
        <v>56967</v>
      </c>
      <c r="B36973" t="s">
        <v>1005</v>
      </c>
      <c r="C36973" t="s">
        <v>133</v>
      </c>
      <c r="D36973" t="s">
        <v>14</v>
      </c>
      <c r="E36973" t="s">
        <v>2091</v>
      </c>
      <c r="F36973" s="2" t="str">
        <f>HYPERLINK("http://www.otzar.org/book.asp?173369","קונטרס זכרון הלל")</f>
        <v>קונטרס זכרון הלל</v>
      </c>
    </row>
    <row r="36974" spans="1:6" x14ac:dyDescent="0.2">
      <c r="A36974" t="s">
        <v>56968</v>
      </c>
      <c r="B36974" t="s">
        <v>56969</v>
      </c>
      <c r="C36974" t="s">
        <v>313</v>
      </c>
      <c r="D36974" t="s">
        <v>657</v>
      </c>
      <c r="E36974" t="s">
        <v>246</v>
      </c>
      <c r="F36974" s="2" t="str">
        <f>HYPERLINK("http://www.otzar.org/book.asp?163083","קונטרס זכרון חנה - פורים")</f>
        <v>קונטרס זכרון חנה - פורים</v>
      </c>
    </row>
    <row r="36975" spans="1:6" x14ac:dyDescent="0.2">
      <c r="A36975" t="s">
        <v>56970</v>
      </c>
      <c r="B36975" t="s">
        <v>56971</v>
      </c>
      <c r="C36975" t="s">
        <v>129</v>
      </c>
      <c r="D36975" t="s">
        <v>52</v>
      </c>
      <c r="E36975" t="s">
        <v>165</v>
      </c>
      <c r="F36975" s="2" t="str">
        <f>HYPERLINK("http://www.otzar.org/book.asp?143187","קונטרס זכרון יוסף - 4 כר'")</f>
        <v>קונטרס זכרון יוסף - 4 כר'</v>
      </c>
    </row>
    <row r="36976" spans="1:6" x14ac:dyDescent="0.2">
      <c r="A36976" t="s">
        <v>56972</v>
      </c>
      <c r="B36976" t="s">
        <v>56973</v>
      </c>
      <c r="C36976" t="s">
        <v>20</v>
      </c>
      <c r="D36976" t="s">
        <v>52</v>
      </c>
      <c r="E36976" t="s">
        <v>130</v>
      </c>
      <c r="F36976" s="2" t="str">
        <f>HYPERLINK("http://www.otzar.org/book.asp?161509","קונטרס זכרון יוסף - חג השבועות")</f>
        <v>קונטרס זכרון יוסף - חג השבועות</v>
      </c>
    </row>
    <row r="36977" spans="1:6" x14ac:dyDescent="0.2">
      <c r="A36977" t="s">
        <v>56974</v>
      </c>
      <c r="B36977" t="s">
        <v>56975</v>
      </c>
      <c r="C36977" t="s">
        <v>523</v>
      </c>
      <c r="D36977" t="s">
        <v>52</v>
      </c>
      <c r="E36977" t="s">
        <v>234</v>
      </c>
      <c r="F36977" s="2" t="str">
        <f>HYPERLINK("http://www.otzar.org/book.asp?199550","קונטרס זכרון יעב""ץ")</f>
        <v>קונטרס זכרון יעב"ץ</v>
      </c>
    </row>
    <row r="36978" spans="1:6" x14ac:dyDescent="0.2">
      <c r="A36978" t="s">
        <v>56976</v>
      </c>
      <c r="B36978" t="s">
        <v>56977</v>
      </c>
      <c r="C36978" t="s">
        <v>146</v>
      </c>
      <c r="D36978" t="s">
        <v>14</v>
      </c>
      <c r="E36978" t="s">
        <v>202</v>
      </c>
      <c r="F36978" s="2" t="str">
        <f>HYPERLINK("http://www.otzar.org/book.asp?169202","קונטרס זכרון יעקב")</f>
        <v>קונטרס זכרון יעקב</v>
      </c>
    </row>
    <row r="36979" spans="1:6" x14ac:dyDescent="0.2">
      <c r="A36979" t="s">
        <v>56978</v>
      </c>
      <c r="B36979" t="s">
        <v>56979</v>
      </c>
      <c r="C36979" t="s">
        <v>1208</v>
      </c>
      <c r="D36979" t="s">
        <v>52</v>
      </c>
      <c r="E36979" t="s">
        <v>202</v>
      </c>
      <c r="F36979" s="2" t="str">
        <f>HYPERLINK("http://www.otzar.org/book.asp?23800","קונטרס זכרון יצחק ירנן")</f>
        <v>קונטרס זכרון יצחק ירנן</v>
      </c>
    </row>
    <row r="36980" spans="1:6" x14ac:dyDescent="0.2">
      <c r="A36980" t="s">
        <v>56980</v>
      </c>
      <c r="B36980" t="s">
        <v>56183</v>
      </c>
      <c r="C36980" t="s">
        <v>176</v>
      </c>
      <c r="D36980" t="s">
        <v>14</v>
      </c>
      <c r="E36980" t="s">
        <v>202</v>
      </c>
      <c r="F36980" s="2" t="str">
        <f>HYPERLINK("http://www.otzar.org/book.asp?626643","קונטרס זכרון להרבנית הצדקנית מרת שינא חיה אלישיב")</f>
        <v>קונטרס זכרון להרבנית הצדקנית מרת שינא חיה אלישיב</v>
      </c>
    </row>
    <row r="36981" spans="1:6" x14ac:dyDescent="0.2">
      <c r="A36981" t="s">
        <v>56981</v>
      </c>
      <c r="C36981" t="s">
        <v>523</v>
      </c>
      <c r="D36981" t="s">
        <v>216</v>
      </c>
      <c r="E36981" t="s">
        <v>202</v>
      </c>
      <c r="F36981" s="2" t="str">
        <f>HYPERLINK("http://www.otzar.org/book.asp?624950","קונטרס זכרון ליום השנה העשרים לפטירת הרב מאיר שצרנסקי ז""ל")</f>
        <v>קונטרס זכרון ליום השנה העשרים לפטירת הרב מאיר שצרנסקי ז"ל</v>
      </c>
    </row>
    <row r="36982" spans="1:6" x14ac:dyDescent="0.2">
      <c r="A36982" t="s">
        <v>56982</v>
      </c>
      <c r="B36982" t="s">
        <v>56983</v>
      </c>
      <c r="C36982" t="s">
        <v>26</v>
      </c>
      <c r="D36982" t="s">
        <v>14</v>
      </c>
      <c r="E36982" t="s">
        <v>202</v>
      </c>
      <c r="F36982" s="2" t="str">
        <f>HYPERLINK("http://www.otzar.org/book.asp?624675","קונטרס זכרון למורנו ורבנו הגה""צ רבי יחזקאל פרצוביץ")</f>
        <v>קונטרס זכרון למורנו ורבנו הגה"צ רבי יחזקאל פרצוביץ</v>
      </c>
    </row>
    <row r="36983" spans="1:6" x14ac:dyDescent="0.2">
      <c r="A36983" t="s">
        <v>56984</v>
      </c>
      <c r="B36983" t="s">
        <v>56985</v>
      </c>
      <c r="C36983" t="s">
        <v>523</v>
      </c>
      <c r="D36983" t="s">
        <v>52</v>
      </c>
      <c r="E36983" t="s">
        <v>12089</v>
      </c>
      <c r="F36983" s="2" t="str">
        <f>HYPERLINK("http://www.otzar.org/book.asp?143557","קונטרס זכרון מאיר")</f>
        <v>קונטרס זכרון מאיר</v>
      </c>
    </row>
    <row r="36984" spans="1:6" x14ac:dyDescent="0.2">
      <c r="A36984" t="s">
        <v>56986</v>
      </c>
      <c r="B36984" t="s">
        <v>56987</v>
      </c>
      <c r="C36984" t="s">
        <v>767</v>
      </c>
      <c r="D36984" t="s">
        <v>1356</v>
      </c>
      <c r="E36984" t="s">
        <v>202</v>
      </c>
      <c r="F36984" s="2" t="str">
        <f>HYPERLINK("http://www.otzar.org/book.asp?164986","קונטרס זכרון מנחם")</f>
        <v>קונטרס זכרון מנחם</v>
      </c>
    </row>
    <row r="36985" spans="1:6" x14ac:dyDescent="0.2">
      <c r="A36985" t="s">
        <v>56986</v>
      </c>
      <c r="B36985" t="s">
        <v>56988</v>
      </c>
      <c r="C36985" t="s">
        <v>114</v>
      </c>
      <c r="D36985" t="s">
        <v>14</v>
      </c>
      <c r="F36985" s="2" t="str">
        <f>HYPERLINK("http://www.otzar.org/book.asp?164112","קונטרס זכרון מנחם")</f>
        <v>קונטרס זכרון מנחם</v>
      </c>
    </row>
    <row r="36986" spans="1:6" x14ac:dyDescent="0.2">
      <c r="A36986" t="s">
        <v>56989</v>
      </c>
      <c r="B36986" t="s">
        <v>56990</v>
      </c>
      <c r="C36986" t="s">
        <v>114</v>
      </c>
      <c r="D36986" t="s">
        <v>14</v>
      </c>
      <c r="E36986" t="s">
        <v>246</v>
      </c>
      <c r="F36986" s="2" t="str">
        <f>HYPERLINK("http://www.otzar.org/book.asp?172451","קונטרס זכרון מרדכי")</f>
        <v>קונטרס זכרון מרדכי</v>
      </c>
    </row>
    <row r="36987" spans="1:6" x14ac:dyDescent="0.2">
      <c r="A36987" t="s">
        <v>56991</v>
      </c>
      <c r="B36987" t="s">
        <v>56992</v>
      </c>
      <c r="C36987" t="s">
        <v>37</v>
      </c>
      <c r="D36987" t="s">
        <v>1273</v>
      </c>
      <c r="E36987" t="s">
        <v>3516</v>
      </c>
      <c r="F36987" s="2" t="str">
        <f>HYPERLINK("http://www.otzar.org/book.asp?605267","קונטרס זכרון רפאל")</f>
        <v>קונטרס זכרון רפאל</v>
      </c>
    </row>
    <row r="36988" spans="1:6" x14ac:dyDescent="0.2">
      <c r="A36988" t="s">
        <v>56993</v>
      </c>
      <c r="B36988" t="s">
        <v>23894</v>
      </c>
      <c r="C36988" t="s">
        <v>180</v>
      </c>
      <c r="D36988" t="s">
        <v>52</v>
      </c>
      <c r="E36988" t="s">
        <v>144</v>
      </c>
      <c r="F36988" s="2" t="str">
        <f>HYPERLINK("http://www.otzar.org/book.asp?142229","קונטרס זכרון שאול")</f>
        <v>קונטרס זכרון שאול</v>
      </c>
    </row>
    <row r="36989" spans="1:6" x14ac:dyDescent="0.2">
      <c r="A36989" t="s">
        <v>56994</v>
      </c>
      <c r="B36989" t="s">
        <v>1005</v>
      </c>
      <c r="C36989" t="s">
        <v>624</v>
      </c>
      <c r="D36989" t="s">
        <v>14</v>
      </c>
      <c r="E36989" t="s">
        <v>186</v>
      </c>
      <c r="F36989" s="2" t="str">
        <f>HYPERLINK("http://www.otzar.org/book.asp?147942","קונטרס זכרון של הרב שמואל גרינפלד זצ""ל")</f>
        <v>קונטרס זכרון של הרב שמואל גרינפלד זצ"ל</v>
      </c>
    </row>
    <row r="36990" spans="1:6" x14ac:dyDescent="0.2">
      <c r="A36990" t="s">
        <v>56995</v>
      </c>
      <c r="B36990" t="s">
        <v>56996</v>
      </c>
      <c r="C36990" t="s">
        <v>87</v>
      </c>
      <c r="D36990" t="s">
        <v>52</v>
      </c>
      <c r="E36990" t="s">
        <v>202</v>
      </c>
      <c r="F36990" s="2" t="str">
        <f>HYPERLINK("http://www.otzar.org/book.asp?605314","קונטרס זכרון שלמה")</f>
        <v>קונטרס זכרון שלמה</v>
      </c>
    </row>
    <row r="36991" spans="1:6" x14ac:dyDescent="0.2">
      <c r="A36991" t="s">
        <v>56997</v>
      </c>
      <c r="B36991" t="s">
        <v>56998</v>
      </c>
      <c r="C36991" t="s">
        <v>366</v>
      </c>
      <c r="D36991" t="s">
        <v>90</v>
      </c>
      <c r="E36991" t="s">
        <v>199</v>
      </c>
      <c r="F36991" s="2" t="str">
        <f>HYPERLINK("http://www.otzar.org/book.asp?613799","קונטרס זכרון - עטרת צבי")</f>
        <v>קונטרס זכרון - עטרת צבי</v>
      </c>
    </row>
    <row r="36992" spans="1:6" x14ac:dyDescent="0.2">
      <c r="A36992" t="s">
        <v>8566</v>
      </c>
      <c r="B36992" t="s">
        <v>552</v>
      </c>
      <c r="C36992" t="s">
        <v>523</v>
      </c>
      <c r="D36992" t="s">
        <v>216</v>
      </c>
      <c r="E36992" t="s">
        <v>384</v>
      </c>
      <c r="F36992" s="2" t="str">
        <f>HYPERLINK("http://www.otzar.org/book.asp?14980","קונטרס זכרון")</f>
        <v>קונטרס זכרון</v>
      </c>
    </row>
    <row r="36993" spans="1:6" x14ac:dyDescent="0.2">
      <c r="A36993" t="s">
        <v>56999</v>
      </c>
      <c r="B36993" t="s">
        <v>57000</v>
      </c>
      <c r="C36993">
        <v>1988</v>
      </c>
      <c r="D36993" t="s">
        <v>412</v>
      </c>
      <c r="F36993" s="2" t="str">
        <f>HYPERLINK("http://www.otzar.org/book.asp?190900","קונטרס זמירות חוקיך - האשל ברמה")</f>
        <v>קונטרס זמירות חוקיך - האשל ברמה</v>
      </c>
    </row>
    <row r="36994" spans="1:6" x14ac:dyDescent="0.2">
      <c r="A36994" t="s">
        <v>57001</v>
      </c>
      <c r="B36994" t="s">
        <v>54320</v>
      </c>
      <c r="D36994" t="s">
        <v>14</v>
      </c>
      <c r="E36994" t="s">
        <v>246</v>
      </c>
      <c r="F36994" s="2" t="str">
        <f>HYPERLINK("http://www.otzar.org/book.asp?604622","קונטרס זמן גאולתנו")</f>
        <v>קונטרס זמן גאולתנו</v>
      </c>
    </row>
    <row r="36995" spans="1:6" x14ac:dyDescent="0.2">
      <c r="A36995" t="s">
        <v>57002</v>
      </c>
      <c r="B36995" t="s">
        <v>57003</v>
      </c>
      <c r="C36995" t="s">
        <v>785</v>
      </c>
      <c r="D36995" t="s">
        <v>90</v>
      </c>
      <c r="E36995" t="s">
        <v>130</v>
      </c>
      <c r="F36995" s="2" t="str">
        <f>HYPERLINK("http://www.otzar.org/book.asp?606158","קונטרס זמן הדלקת נר חנוכה")</f>
        <v>קונטרס זמן הדלקת נר חנוכה</v>
      </c>
    </row>
    <row r="36996" spans="1:6" x14ac:dyDescent="0.2">
      <c r="A36996" t="s">
        <v>57004</v>
      </c>
      <c r="B36996" t="s">
        <v>57005</v>
      </c>
      <c r="C36996" t="s">
        <v>20</v>
      </c>
      <c r="D36996" t="s">
        <v>21</v>
      </c>
      <c r="E36996" t="s">
        <v>15</v>
      </c>
      <c r="F36996" s="2" t="str">
        <f>HYPERLINK("http://www.otzar.org/book.asp?196808","קונטרס זמן הראוי למילה")</f>
        <v>קונטרס זמן הראוי למילה</v>
      </c>
    </row>
    <row r="36997" spans="1:6" x14ac:dyDescent="0.2">
      <c r="A36997" t="s">
        <v>57006</v>
      </c>
      <c r="B36997" t="s">
        <v>1748</v>
      </c>
      <c r="C36997" t="s">
        <v>366</v>
      </c>
      <c r="D36997" t="s">
        <v>52</v>
      </c>
      <c r="E36997" t="s">
        <v>246</v>
      </c>
      <c r="F36997" s="2" t="str">
        <f>HYPERLINK("http://www.otzar.org/book.asp?607594","קונטרס זמן שמחתנו")</f>
        <v>קונטרס זמן שמחתנו</v>
      </c>
    </row>
    <row r="36998" spans="1:6" x14ac:dyDescent="0.2">
      <c r="A36998" t="s">
        <v>57007</v>
      </c>
      <c r="B36998" t="s">
        <v>57008</v>
      </c>
      <c r="C36998" t="s">
        <v>20</v>
      </c>
      <c r="D36998" t="s">
        <v>52</v>
      </c>
      <c r="E36998" t="s">
        <v>15</v>
      </c>
      <c r="F36998" s="2" t="str">
        <f>HYPERLINK("http://www.otzar.org/book.asp?176636","קונטרס זריקת יד")</f>
        <v>קונטרס זריקת יד</v>
      </c>
    </row>
    <row r="36999" spans="1:6" x14ac:dyDescent="0.2">
      <c r="A36999" t="s">
        <v>57009</v>
      </c>
      <c r="B36999" t="s">
        <v>2707</v>
      </c>
      <c r="C36999" t="s">
        <v>244</v>
      </c>
      <c r="D36999" t="s">
        <v>14</v>
      </c>
      <c r="F36999" s="2" t="str">
        <f>HYPERLINK("http://www.otzar.org/book.asp?198163","קונטרס זרע ברך ה'")</f>
        <v>קונטרס זרע ברך ה'</v>
      </c>
    </row>
    <row r="37000" spans="1:6" x14ac:dyDescent="0.2">
      <c r="A37000" t="s">
        <v>57010</v>
      </c>
      <c r="B37000" t="s">
        <v>57011</v>
      </c>
      <c r="C37000" t="s">
        <v>37</v>
      </c>
      <c r="D37000" t="s">
        <v>1273</v>
      </c>
      <c r="E37000" t="s">
        <v>130</v>
      </c>
      <c r="F37000" s="2" t="str">
        <f>HYPERLINK("http://www.otzar.org/book.asp?605266","קונטרס זרע ברך")</f>
        <v>קונטרס זרע ברך</v>
      </c>
    </row>
    <row r="37001" spans="1:6" x14ac:dyDescent="0.2">
      <c r="A37001" t="s">
        <v>57012</v>
      </c>
      <c r="B37001" t="s">
        <v>24287</v>
      </c>
      <c r="C37001" t="s">
        <v>37</v>
      </c>
      <c r="D37001" t="s">
        <v>245</v>
      </c>
      <c r="E37001" t="s">
        <v>144</v>
      </c>
      <c r="F37001" s="2" t="str">
        <f>HYPERLINK("http://www.otzar.org/book.asp?182056","קונטרס זרע יהודה")</f>
        <v>קונטרס זרע יהודה</v>
      </c>
    </row>
    <row r="37002" spans="1:6" x14ac:dyDescent="0.2">
      <c r="A37002" t="s">
        <v>57013</v>
      </c>
      <c r="B37002" t="s">
        <v>206</v>
      </c>
      <c r="C37002" t="s">
        <v>151</v>
      </c>
      <c r="D37002" t="s">
        <v>90</v>
      </c>
      <c r="E37002" t="s">
        <v>202</v>
      </c>
      <c r="F37002" s="2" t="str">
        <f>HYPERLINK("http://www.otzar.org/book.asp?629696","קונטרס זרע יעקב")</f>
        <v>קונטרס זרע יעקב</v>
      </c>
    </row>
    <row r="37003" spans="1:6" x14ac:dyDescent="0.2">
      <c r="A37003" t="s">
        <v>57014</v>
      </c>
      <c r="B37003" t="s">
        <v>57015</v>
      </c>
      <c r="C37003" t="s">
        <v>23</v>
      </c>
      <c r="D37003" t="s">
        <v>21</v>
      </c>
      <c r="E37003" t="s">
        <v>2091</v>
      </c>
      <c r="F37003" s="2" t="str">
        <f>HYPERLINK("http://www.otzar.org/book.asp?195638","קונטרס זרע מרדכי")</f>
        <v>קונטרס זרע מרדכי</v>
      </c>
    </row>
    <row r="37004" spans="1:6" x14ac:dyDescent="0.2">
      <c r="A37004" t="s">
        <v>57016</v>
      </c>
      <c r="B37004" t="s">
        <v>57017</v>
      </c>
      <c r="C37004" t="s">
        <v>20</v>
      </c>
      <c r="D37004" t="s">
        <v>245</v>
      </c>
      <c r="F37004" s="2" t="str">
        <f>HYPERLINK("http://www.otzar.org/book.asp?616536","קונטרס ח""י יודוך")</f>
        <v>קונטרס ח"י יודוך</v>
      </c>
    </row>
    <row r="37005" spans="1:6" x14ac:dyDescent="0.2">
      <c r="A37005" t="s">
        <v>57018</v>
      </c>
      <c r="B37005" t="s">
        <v>44554</v>
      </c>
      <c r="C37005" t="s">
        <v>23</v>
      </c>
      <c r="D37005" t="s">
        <v>21</v>
      </c>
      <c r="E37005" t="s">
        <v>202</v>
      </c>
      <c r="F37005" s="2" t="str">
        <f>HYPERLINK("http://www.otzar.org/book.asp?623719","קונטרס חבורות והערות - זבחים")</f>
        <v>קונטרס חבורות והערות - זבחים</v>
      </c>
    </row>
    <row r="37006" spans="1:6" x14ac:dyDescent="0.2">
      <c r="A37006" t="s">
        <v>57019</v>
      </c>
      <c r="B37006" t="s">
        <v>8148</v>
      </c>
      <c r="C37006" t="s">
        <v>114</v>
      </c>
      <c r="D37006" t="s">
        <v>52</v>
      </c>
      <c r="E37006" t="s">
        <v>144</v>
      </c>
      <c r="F37006" s="2" t="str">
        <f>HYPERLINK("http://www.otzar.org/book.asp?163015","קונטרס חבורת קדשים")</f>
        <v>קונטרס חבורת קדשים</v>
      </c>
    </row>
    <row r="37007" spans="1:6" x14ac:dyDescent="0.2">
      <c r="A37007" t="s">
        <v>57020</v>
      </c>
      <c r="B37007" t="s">
        <v>9229</v>
      </c>
      <c r="C37007" t="s">
        <v>176</v>
      </c>
      <c r="D37007" t="s">
        <v>14</v>
      </c>
      <c r="E37007" t="s">
        <v>144</v>
      </c>
      <c r="F37007" s="2" t="str">
        <f>HYPERLINK("http://www.otzar.org/book.asp?166408","קונטרס חג המצות - 2 כר'")</f>
        <v>קונטרס חג המצות - 2 כר'</v>
      </c>
    </row>
    <row r="37008" spans="1:6" x14ac:dyDescent="0.2">
      <c r="A37008" t="s">
        <v>57021</v>
      </c>
      <c r="B37008" t="s">
        <v>32519</v>
      </c>
      <c r="F37008" s="2" t="str">
        <f>HYPERLINK("http://www.otzar.org/book.asp?618097","קונטרס חג הסוכות בסוכות תשבו שבעת ימים")</f>
        <v>קונטרס חג הסוכות בסוכות תשבו שבעת ימים</v>
      </c>
    </row>
    <row r="37009" spans="1:6" x14ac:dyDescent="0.2">
      <c r="A37009" t="s">
        <v>57022</v>
      </c>
      <c r="B37009" t="s">
        <v>9229</v>
      </c>
      <c r="C37009" t="s">
        <v>143</v>
      </c>
      <c r="D37009" t="s">
        <v>14</v>
      </c>
      <c r="E37009" t="s">
        <v>246</v>
      </c>
      <c r="F37009" s="2" t="str">
        <f>HYPERLINK("http://www.otzar.org/book.asp?51177","קונטרס חג הסוכות")</f>
        <v>קונטרס חג הסוכות</v>
      </c>
    </row>
    <row r="37010" spans="1:6" x14ac:dyDescent="0.2">
      <c r="A37010" t="s">
        <v>57023</v>
      </c>
      <c r="B37010" t="s">
        <v>206</v>
      </c>
      <c r="C37010" t="s">
        <v>151</v>
      </c>
      <c r="D37010" t="s">
        <v>90</v>
      </c>
      <c r="F37010" s="2" t="str">
        <f>HYPERLINK("http://www.otzar.org/book.asp?616710","קונטרס חג השבועות")</f>
        <v>קונטרס חג השבועות</v>
      </c>
    </row>
    <row r="37011" spans="1:6" x14ac:dyDescent="0.2">
      <c r="A37011" t="s">
        <v>57023</v>
      </c>
      <c r="B37011" t="s">
        <v>29045</v>
      </c>
      <c r="C37011" t="s">
        <v>13</v>
      </c>
      <c r="D37011" t="s">
        <v>52</v>
      </c>
      <c r="E37011" t="s">
        <v>3055</v>
      </c>
      <c r="F37011" s="2" t="str">
        <f>HYPERLINK("http://www.otzar.org/book.asp?167826","קונטרס חג השבועות")</f>
        <v>קונטרס חג השבועות</v>
      </c>
    </row>
    <row r="37012" spans="1:6" x14ac:dyDescent="0.2">
      <c r="A37012" t="s">
        <v>57024</v>
      </c>
      <c r="B37012" t="s">
        <v>24582</v>
      </c>
      <c r="C37012" t="s">
        <v>767</v>
      </c>
      <c r="D37012" t="s">
        <v>52</v>
      </c>
      <c r="E37012" t="s">
        <v>144</v>
      </c>
      <c r="F37012" s="2" t="str">
        <f>HYPERLINK("http://www.otzar.org/book.asp?180136","קונטרס חדות יו""ט - ביצה")</f>
        <v>קונטרס חדות יו"ט - ביצה</v>
      </c>
    </row>
    <row r="37013" spans="1:6" x14ac:dyDescent="0.2">
      <c r="A37013" t="s">
        <v>57025</v>
      </c>
      <c r="B37013" t="s">
        <v>57026</v>
      </c>
      <c r="C37013" t="s">
        <v>111</v>
      </c>
      <c r="D37013" t="s">
        <v>14</v>
      </c>
      <c r="E37013" t="s">
        <v>2091</v>
      </c>
      <c r="F37013" s="2" t="str">
        <f>HYPERLINK("http://www.otzar.org/book.asp?629375","קונטרס חדש בקרבי - תפילה")</f>
        <v>קונטרס חדש בקרבי - תפילה</v>
      </c>
    </row>
    <row r="37014" spans="1:6" x14ac:dyDescent="0.2">
      <c r="A37014" t="s">
        <v>57027</v>
      </c>
      <c r="B37014" t="s">
        <v>1750</v>
      </c>
      <c r="C37014" t="s">
        <v>68</v>
      </c>
      <c r="D37014" t="s">
        <v>21</v>
      </c>
      <c r="E37014" t="s">
        <v>202</v>
      </c>
      <c r="F37014" s="2" t="str">
        <f>HYPERLINK("http://www.otzar.org/book.asp?196814","קונטרס חדשים גם ישנים")</f>
        <v>קונטרס חדשים גם ישנים</v>
      </c>
    </row>
    <row r="37015" spans="1:6" x14ac:dyDescent="0.2">
      <c r="A37015" t="s">
        <v>57028</v>
      </c>
      <c r="B37015" t="s">
        <v>206</v>
      </c>
      <c r="C37015" t="s">
        <v>176</v>
      </c>
      <c r="D37015" t="s">
        <v>80</v>
      </c>
      <c r="E37015" t="s">
        <v>15</v>
      </c>
      <c r="F37015" s="2" t="str">
        <f>HYPERLINK("http://www.otzar.org/book.asp?197330","קונטרס חובת המקרא")</f>
        <v>קונטרס חובת המקרא</v>
      </c>
    </row>
    <row r="37016" spans="1:6" x14ac:dyDescent="0.2">
      <c r="A37016" t="s">
        <v>57029</v>
      </c>
      <c r="B37016" t="s">
        <v>24574</v>
      </c>
      <c r="C37016" t="s">
        <v>151</v>
      </c>
      <c r="D37016" t="s">
        <v>1156</v>
      </c>
      <c r="E37016" t="s">
        <v>130</v>
      </c>
      <c r="F37016" s="2" t="str">
        <f>HYPERLINK("http://www.otzar.org/book.asp?629699","קונטרס חודש ושבת")</f>
        <v>קונטרס חודש ושבת</v>
      </c>
    </row>
    <row r="37017" spans="1:6" x14ac:dyDescent="0.2">
      <c r="A37017" t="s">
        <v>57030</v>
      </c>
      <c r="B37017" t="s">
        <v>23830</v>
      </c>
      <c r="C37017" t="s">
        <v>37</v>
      </c>
      <c r="D37017" t="s">
        <v>367</v>
      </c>
      <c r="E37017" t="s">
        <v>15</v>
      </c>
      <c r="F37017" s="2" t="str">
        <f>HYPERLINK("http://www.otzar.org/book.asp?176897","קונטרס חודש שלם - ר""ח וברכת הלבנה")</f>
        <v>קונטרס חודש שלם - ר"ח וברכת הלבנה</v>
      </c>
    </row>
    <row r="37018" spans="1:6" x14ac:dyDescent="0.2">
      <c r="A37018" t="s">
        <v>57031</v>
      </c>
      <c r="B37018" t="s">
        <v>206</v>
      </c>
      <c r="C37018" t="s">
        <v>454</v>
      </c>
      <c r="D37018" t="s">
        <v>90</v>
      </c>
      <c r="E37018" t="s">
        <v>84</v>
      </c>
      <c r="F37018" s="2" t="str">
        <f>HYPERLINK("http://www.otzar.org/book.asp?53158","קונטרס חוות צבי")</f>
        <v>קונטרס חוות צבי</v>
      </c>
    </row>
    <row r="37019" spans="1:6" x14ac:dyDescent="0.2">
      <c r="A37019" t="s">
        <v>57032</v>
      </c>
      <c r="B37019" t="s">
        <v>9655</v>
      </c>
      <c r="E37019" t="s">
        <v>130</v>
      </c>
      <c r="F37019" s="2" t="str">
        <f>HYPERLINK("http://www.otzar.org/book.asp?622723","קונטרס חוט המשולש")</f>
        <v>קונטרס חוט המשולש</v>
      </c>
    </row>
    <row r="37020" spans="1:6" x14ac:dyDescent="0.2">
      <c r="A37020" t="s">
        <v>57033</v>
      </c>
      <c r="B37020" t="s">
        <v>57034</v>
      </c>
      <c r="C37020" t="s">
        <v>111</v>
      </c>
      <c r="D37020" t="s">
        <v>52</v>
      </c>
      <c r="E37020" t="s">
        <v>1164</v>
      </c>
      <c r="F37020" s="2" t="str">
        <f>HYPERLINK("http://www.otzar.org/book.asp?628506","קונטרס חוט השני")</f>
        <v>קונטרס חוט השני</v>
      </c>
    </row>
    <row r="37021" spans="1:6" x14ac:dyDescent="0.2">
      <c r="A37021" t="s">
        <v>57035</v>
      </c>
      <c r="B37021" t="s">
        <v>20584</v>
      </c>
      <c r="C37021" t="s">
        <v>13</v>
      </c>
      <c r="D37021" t="s">
        <v>14</v>
      </c>
      <c r="E37021" t="s">
        <v>130</v>
      </c>
      <c r="F37021" s="2" t="str">
        <f>HYPERLINK("http://www.otzar.org/book.asp?160568","קונטרס חולה בשבת")</f>
        <v>קונטרס חולה בשבת</v>
      </c>
    </row>
    <row r="37022" spans="1:6" x14ac:dyDescent="0.2">
      <c r="A37022" t="s">
        <v>57036</v>
      </c>
      <c r="B37022" t="s">
        <v>9510</v>
      </c>
      <c r="C37022" t="s">
        <v>23</v>
      </c>
      <c r="D37022" t="s">
        <v>657</v>
      </c>
      <c r="E37022" t="s">
        <v>144</v>
      </c>
      <c r="F37022" s="2" t="str">
        <f>HYPERLINK("http://www.otzar.org/book.asp?605203","קונטרס חולין")</f>
        <v>קונטרס חולין</v>
      </c>
    </row>
    <row r="37023" spans="1:6" x14ac:dyDescent="0.2">
      <c r="A37023" t="s">
        <v>57037</v>
      </c>
      <c r="B37023" t="s">
        <v>57038</v>
      </c>
      <c r="C37023" t="s">
        <v>143</v>
      </c>
      <c r="D37023" t="s">
        <v>646</v>
      </c>
      <c r="E37023" t="s">
        <v>579</v>
      </c>
      <c r="F37023" s="2" t="str">
        <f>HYPERLINK("http://www.otzar.org/book.asp?163099","קונטרס חומת יהודה על חומת אנך")</f>
        <v>קונטרס חומת יהודה על חומת אנך</v>
      </c>
    </row>
    <row r="37024" spans="1:6" x14ac:dyDescent="0.2">
      <c r="A37024" t="s">
        <v>57039</v>
      </c>
      <c r="B37024" t="s">
        <v>7118</v>
      </c>
      <c r="C37024" t="s">
        <v>133</v>
      </c>
      <c r="D37024" t="s">
        <v>14</v>
      </c>
      <c r="E37024" t="s">
        <v>144</v>
      </c>
      <c r="F37024" s="2" t="str">
        <f>HYPERLINK("http://www.otzar.org/book.asp?614889","קונטרס חופת בנימין")</f>
        <v>קונטרס חופת בנימין</v>
      </c>
    </row>
    <row r="37025" spans="1:6" x14ac:dyDescent="0.2">
      <c r="A37025" t="s">
        <v>57040</v>
      </c>
      <c r="B37025" t="s">
        <v>57041</v>
      </c>
      <c r="C37025" t="s">
        <v>366</v>
      </c>
      <c r="D37025" t="s">
        <v>80</v>
      </c>
      <c r="F37025" s="2" t="str">
        <f>HYPERLINK("http://www.otzar.org/book.asp?609778","קונטרס חוקים להורותם")</f>
        <v>קונטרס חוקים להורותם</v>
      </c>
    </row>
    <row r="37026" spans="1:6" x14ac:dyDescent="0.2">
      <c r="A37026" t="s">
        <v>57042</v>
      </c>
      <c r="B37026" t="s">
        <v>9655</v>
      </c>
      <c r="C37026" t="s">
        <v>151</v>
      </c>
      <c r="D37026" t="s">
        <v>52</v>
      </c>
      <c r="E37026" t="s">
        <v>130</v>
      </c>
      <c r="F37026" s="2" t="str">
        <f>HYPERLINK("http://www.otzar.org/book.asp?622727","קונטרס חוקת הפסח")</f>
        <v>קונטרס חוקת הפסח</v>
      </c>
    </row>
    <row r="37027" spans="1:6" x14ac:dyDescent="0.2">
      <c r="A37027" t="s">
        <v>57042</v>
      </c>
      <c r="B37027" t="s">
        <v>57043</v>
      </c>
      <c r="C37027" t="s">
        <v>366</v>
      </c>
      <c r="D37027" t="s">
        <v>52</v>
      </c>
      <c r="F37027" s="2" t="str">
        <f>HYPERLINK("http://www.otzar.org/book.asp?618136","קונטרס חוקת הפסח")</f>
        <v>קונטרס חוקת הפסח</v>
      </c>
    </row>
    <row r="37028" spans="1:6" x14ac:dyDescent="0.2">
      <c r="A37028" t="s">
        <v>57044</v>
      </c>
      <c r="B37028" t="s">
        <v>9641</v>
      </c>
      <c r="C37028" t="s">
        <v>332</v>
      </c>
      <c r="D37028" t="s">
        <v>14</v>
      </c>
      <c r="E37028" t="s">
        <v>104</v>
      </c>
      <c r="F37028" s="2" t="str">
        <f>HYPERLINK("http://www.otzar.org/book.asp?160020","קונטרס חוקת ישראל")</f>
        <v>קונטרס חוקת ישראל</v>
      </c>
    </row>
    <row r="37029" spans="1:6" x14ac:dyDescent="0.2">
      <c r="A37029" t="s">
        <v>57045</v>
      </c>
      <c r="B37029" t="s">
        <v>24983</v>
      </c>
      <c r="C37029" t="s">
        <v>23</v>
      </c>
      <c r="D37029" t="s">
        <v>152</v>
      </c>
      <c r="F37029" s="2" t="str">
        <f>HYPERLINK("http://www.otzar.org/book.asp?629469","קונטרס חושן אהרן - 2 כר'")</f>
        <v>קונטרס חושן אהרן - 2 כר'</v>
      </c>
    </row>
    <row r="37030" spans="1:6" x14ac:dyDescent="0.2">
      <c r="A37030" t="s">
        <v>57046</v>
      </c>
      <c r="B37030" t="s">
        <v>29695</v>
      </c>
      <c r="C37030" t="s">
        <v>454</v>
      </c>
      <c r="D37030" t="s">
        <v>52</v>
      </c>
      <c r="E37030" t="s">
        <v>130</v>
      </c>
      <c r="F37030" s="2" t="str">
        <f>HYPERLINK("http://www.otzar.org/book.asp?190864","קונטרס חותמו של כהן גדול- חנוכה")</f>
        <v>קונטרס חותמו של כהן גדול- חנוכה</v>
      </c>
    </row>
    <row r="37031" spans="1:6" x14ac:dyDescent="0.2">
      <c r="A37031" t="s">
        <v>57047</v>
      </c>
      <c r="B37031" t="s">
        <v>57048</v>
      </c>
      <c r="C37031" t="s">
        <v>466</v>
      </c>
      <c r="D37031" t="s">
        <v>14</v>
      </c>
      <c r="E37031" t="s">
        <v>104</v>
      </c>
      <c r="F37031" s="2" t="str">
        <f>HYPERLINK("http://www.otzar.org/book.asp?624911","קונטרס חזון ברוך")</f>
        <v>קונטרס חזון ברוך</v>
      </c>
    </row>
    <row r="37032" spans="1:6" x14ac:dyDescent="0.2">
      <c r="A37032" t="s">
        <v>57049</v>
      </c>
      <c r="B37032" t="s">
        <v>57050</v>
      </c>
      <c r="C37032" t="s">
        <v>51</v>
      </c>
      <c r="D37032" t="s">
        <v>14</v>
      </c>
      <c r="E37032" t="s">
        <v>144</v>
      </c>
      <c r="F37032" s="2" t="str">
        <f>HYPERLINK("http://www.otzar.org/book.asp?168217","קונטרס חזון ישעיהו")</f>
        <v>קונטרס חזון ישעיהו</v>
      </c>
    </row>
    <row r="37033" spans="1:6" x14ac:dyDescent="0.2">
      <c r="A37033" t="s">
        <v>57051</v>
      </c>
      <c r="B37033" t="s">
        <v>33304</v>
      </c>
      <c r="C37033" t="s">
        <v>133</v>
      </c>
      <c r="D37033" t="s">
        <v>14</v>
      </c>
      <c r="E37033" t="s">
        <v>104</v>
      </c>
      <c r="F37033" s="2" t="str">
        <f>HYPERLINK("http://www.otzar.org/book.asp?195634","קונטרס חזור ושושן - 3 כר'")</f>
        <v>קונטרס חזור ושושן - 3 כר'</v>
      </c>
    </row>
    <row r="37034" spans="1:6" x14ac:dyDescent="0.2">
      <c r="A37034" t="s">
        <v>57052</v>
      </c>
      <c r="B37034" t="s">
        <v>56033</v>
      </c>
      <c r="C37034" t="s">
        <v>411</v>
      </c>
      <c r="D37034" t="s">
        <v>21</v>
      </c>
      <c r="F37034" s="2" t="str">
        <f>HYPERLINK("http://www.otzar.org/book.asp?600265","קונטרס חזקת הבית - ע""פ חזקת הבתים")</f>
        <v>קונטרס חזקת הבית - ע"פ חזקת הבתים</v>
      </c>
    </row>
    <row r="37035" spans="1:6" x14ac:dyDescent="0.2">
      <c r="A37035" t="s">
        <v>57053</v>
      </c>
      <c r="B37035" t="s">
        <v>11834</v>
      </c>
      <c r="C37035" t="s">
        <v>244</v>
      </c>
      <c r="D37035" t="s">
        <v>152</v>
      </c>
      <c r="F37035" s="2" t="str">
        <f>HYPERLINK("http://www.otzar.org/book.asp?197322","קונטרס חזקת נזיקין ותשמישים")</f>
        <v>קונטרס חזקת נזיקין ותשמישים</v>
      </c>
    </row>
    <row r="37036" spans="1:6" x14ac:dyDescent="0.2">
      <c r="A37036" t="s">
        <v>57054</v>
      </c>
      <c r="B37036" t="s">
        <v>57055</v>
      </c>
      <c r="C37036" t="s">
        <v>23</v>
      </c>
      <c r="D37036" t="s">
        <v>80</v>
      </c>
      <c r="E37036" t="s">
        <v>144</v>
      </c>
      <c r="F37036" s="2" t="str">
        <f>HYPERLINK("http://www.otzar.org/book.asp?196723","קונטרס חזרת רבית")</f>
        <v>קונטרס חזרת רבית</v>
      </c>
    </row>
    <row r="37037" spans="1:6" x14ac:dyDescent="0.2">
      <c r="A37037" t="s">
        <v>57056</v>
      </c>
      <c r="B37037" t="s">
        <v>57057</v>
      </c>
      <c r="C37037" t="s">
        <v>411</v>
      </c>
      <c r="D37037" t="s">
        <v>14</v>
      </c>
      <c r="E37037" t="s">
        <v>158</v>
      </c>
      <c r="F37037" s="2" t="str">
        <f>HYPERLINK("http://www.otzar.org/book.asp?176930","קונטרס חיבה יתירה")</f>
        <v>קונטרס חיבה יתירה</v>
      </c>
    </row>
    <row r="37038" spans="1:6" x14ac:dyDescent="0.2">
      <c r="A37038" t="s">
        <v>57058</v>
      </c>
      <c r="B37038" t="s">
        <v>57059</v>
      </c>
      <c r="F37038" s="2" t="str">
        <f>HYPERLINK("http://www.otzar.org/book.asp?629948","קונטרס חיבור בגדר קנין הקידושין")</f>
        <v>קונטרס חיבור בגדר קנין הקידושין</v>
      </c>
    </row>
    <row r="37039" spans="1:6" x14ac:dyDescent="0.2">
      <c r="A37039" t="s">
        <v>57060</v>
      </c>
      <c r="B37039" t="s">
        <v>57059</v>
      </c>
      <c r="F37039" s="2" t="str">
        <f>HYPERLINK("http://www.otzar.org/book.asp?629947","קונטרס חיבור בענין קניני היבום")</f>
        <v>קונטרס חיבור בענין קניני היבום</v>
      </c>
    </row>
    <row r="37040" spans="1:6" x14ac:dyDescent="0.2">
      <c r="A37040" t="s">
        <v>57061</v>
      </c>
      <c r="B37040" t="s">
        <v>9510</v>
      </c>
      <c r="C37040" t="s">
        <v>133</v>
      </c>
      <c r="D37040" t="s">
        <v>90</v>
      </c>
      <c r="E37040" t="s">
        <v>384</v>
      </c>
      <c r="F37040" s="2" t="str">
        <f>HYPERLINK("http://www.otzar.org/book.asp?173618","קונטרס חיבת הקודש")</f>
        <v>קונטרס חיבת הקודש</v>
      </c>
    </row>
    <row r="37041" spans="1:6" x14ac:dyDescent="0.2">
      <c r="A37041" t="s">
        <v>57062</v>
      </c>
      <c r="B37041" t="s">
        <v>206</v>
      </c>
      <c r="C37041" t="s">
        <v>133</v>
      </c>
      <c r="D37041" t="s">
        <v>90</v>
      </c>
      <c r="F37041" s="2" t="str">
        <f>HYPERLINK("http://www.otzar.org/book.asp?198317","קונטרס חיבת הקודש - שליח ציבור")</f>
        <v>קונטרס חיבת הקודש - שליח ציבור</v>
      </c>
    </row>
    <row r="37042" spans="1:6" x14ac:dyDescent="0.2">
      <c r="A37042" t="s">
        <v>57063</v>
      </c>
      <c r="B37042" t="s">
        <v>53898</v>
      </c>
      <c r="C37042" t="s">
        <v>23</v>
      </c>
      <c r="D37042" t="s">
        <v>21</v>
      </c>
      <c r="F37042" s="2" t="str">
        <f>HYPERLINK("http://www.otzar.org/book.asp?196419","קונטרס חידו""ת בית שלום אהרן")</f>
        <v>קונטרס חידו"ת בית שלום אהרן</v>
      </c>
    </row>
    <row r="37043" spans="1:6" x14ac:dyDescent="0.2">
      <c r="A37043" t="s">
        <v>57064</v>
      </c>
      <c r="B37043" t="s">
        <v>57065</v>
      </c>
      <c r="C37043" t="s">
        <v>133</v>
      </c>
      <c r="D37043" t="s">
        <v>14</v>
      </c>
      <c r="E37043" t="s">
        <v>144</v>
      </c>
      <c r="F37043" s="2" t="str">
        <f>HYPERLINK("http://www.otzar.org/book.asp?175569","קונטרס חידו""ת - 3 כר'")</f>
        <v>קונטרס חידו"ת - 3 כר'</v>
      </c>
    </row>
    <row r="37044" spans="1:6" x14ac:dyDescent="0.2">
      <c r="A37044" t="s">
        <v>57066</v>
      </c>
      <c r="B37044" t="s">
        <v>57067</v>
      </c>
      <c r="C37044" t="s">
        <v>767</v>
      </c>
      <c r="D37044" t="s">
        <v>14</v>
      </c>
      <c r="E37044" t="s">
        <v>144</v>
      </c>
      <c r="F37044" s="2" t="str">
        <f>HYPERLINK("http://www.otzar.org/book.asp?85694","קונטרס חידו""ת")</f>
        <v>קונטרס חידו"ת</v>
      </c>
    </row>
    <row r="37045" spans="1:6" x14ac:dyDescent="0.2">
      <c r="A37045" t="s">
        <v>57068</v>
      </c>
      <c r="B37045" t="s">
        <v>57069</v>
      </c>
      <c r="C37045" t="s">
        <v>68</v>
      </c>
      <c r="D37045" t="s">
        <v>134</v>
      </c>
      <c r="F37045" s="2" t="str">
        <f>HYPERLINK("http://www.otzar.org/book.asp?198079","קונטרס חידו""ת - 2 כר'")</f>
        <v>קונטרס חידו"ת - 2 כר'</v>
      </c>
    </row>
    <row r="37046" spans="1:6" x14ac:dyDescent="0.2">
      <c r="A37046" t="s">
        <v>57070</v>
      </c>
      <c r="B37046" t="s">
        <v>51097</v>
      </c>
      <c r="C37046" t="s">
        <v>20</v>
      </c>
      <c r="D37046" t="s">
        <v>14</v>
      </c>
      <c r="E37046" t="s">
        <v>144</v>
      </c>
      <c r="F37046" s="2" t="str">
        <f>HYPERLINK("http://www.otzar.org/book.asp?608543","קונטרס חידו""ת - פרק איזהו נשך")</f>
        <v>קונטרס חידו"ת - פרק איזהו נשך</v>
      </c>
    </row>
    <row r="37047" spans="1:6" x14ac:dyDescent="0.2">
      <c r="A37047" t="s">
        <v>57071</v>
      </c>
      <c r="B37047" t="s">
        <v>54700</v>
      </c>
      <c r="C37047" t="s">
        <v>23</v>
      </c>
      <c r="D37047" t="s">
        <v>90</v>
      </c>
      <c r="F37047" s="2" t="str">
        <f>HYPERLINK("http://www.otzar.org/book.asp?611049","קונטרס חידודא דמציעתא")</f>
        <v>קונטרס חידודא דמציעתא</v>
      </c>
    </row>
    <row r="37048" spans="1:6" x14ac:dyDescent="0.2">
      <c r="A37048" t="s">
        <v>57072</v>
      </c>
      <c r="B37048" t="s">
        <v>57073</v>
      </c>
      <c r="C37048" t="s">
        <v>13</v>
      </c>
      <c r="D37048" t="s">
        <v>2285</v>
      </c>
      <c r="E37048" t="s">
        <v>144</v>
      </c>
      <c r="F37048" s="2" t="str">
        <f>HYPERLINK("http://www.otzar.org/book.asp?148391","קונטרס חידודי התורה - 5 כר'")</f>
        <v>קונטרס חידודי התורה - 5 כר'</v>
      </c>
    </row>
    <row r="37049" spans="1:6" x14ac:dyDescent="0.2">
      <c r="A37049" t="s">
        <v>57074</v>
      </c>
      <c r="B37049" t="s">
        <v>7604</v>
      </c>
      <c r="C37049" t="s">
        <v>168</v>
      </c>
      <c r="D37049" t="s">
        <v>14</v>
      </c>
      <c r="E37049" t="s">
        <v>130</v>
      </c>
      <c r="F37049" s="2" t="str">
        <f>HYPERLINK("http://www.otzar.org/book.asp?167450","קונטרס חידושי מרן הגר""ח קנייבסקי - פורים")</f>
        <v>קונטרס חידושי מרן הגר"ח קנייבסקי - פורים</v>
      </c>
    </row>
    <row r="37050" spans="1:6" x14ac:dyDescent="0.2">
      <c r="A37050" t="s">
        <v>57075</v>
      </c>
      <c r="B37050" t="s">
        <v>14662</v>
      </c>
      <c r="C37050" t="s">
        <v>20</v>
      </c>
      <c r="D37050" t="s">
        <v>412</v>
      </c>
      <c r="E37050" t="s">
        <v>8469</v>
      </c>
      <c r="F37050" s="2" t="str">
        <f>HYPERLINK("http://www.otzar.org/book.asp?188491","קונטרס חידושי תורה ודרשות")</f>
        <v>קונטרס חידושי תורה ודרשות</v>
      </c>
    </row>
    <row r="37051" spans="1:6" x14ac:dyDescent="0.2">
      <c r="A37051" t="s">
        <v>57076</v>
      </c>
      <c r="B37051" t="s">
        <v>10657</v>
      </c>
      <c r="C37051" t="s">
        <v>37</v>
      </c>
      <c r="D37051" t="s">
        <v>80</v>
      </c>
      <c r="E37051" t="s">
        <v>144</v>
      </c>
      <c r="F37051" s="2" t="str">
        <f>HYPERLINK("http://www.otzar.org/book.asp?600082","קונטרס חידושי תורה - 3 כר'")</f>
        <v>קונטרס חידושי תורה - 3 כר'</v>
      </c>
    </row>
    <row r="37052" spans="1:6" x14ac:dyDescent="0.2">
      <c r="A37052" t="s">
        <v>57077</v>
      </c>
      <c r="B37052" t="s">
        <v>14662</v>
      </c>
      <c r="C37052" t="s">
        <v>1663</v>
      </c>
      <c r="D37052" t="s">
        <v>52</v>
      </c>
      <c r="E37052" t="s">
        <v>158</v>
      </c>
      <c r="F37052" s="2" t="str">
        <f>HYPERLINK("http://www.otzar.org/book.asp?180688","קונטרס חידושי תורה - 5 כר'")</f>
        <v>קונטרס חידושי תורה - 5 כר'</v>
      </c>
    </row>
    <row r="37053" spans="1:6" x14ac:dyDescent="0.2">
      <c r="A37053" t="s">
        <v>57078</v>
      </c>
      <c r="B37053" t="s">
        <v>57079</v>
      </c>
      <c r="C37053" t="s">
        <v>189</v>
      </c>
      <c r="D37053" t="s">
        <v>14</v>
      </c>
      <c r="F37053" s="2" t="str">
        <f>HYPERLINK("http://www.otzar.org/book.asp?619396","קונטרס חידושים וביאורים בכמה ענינים")</f>
        <v>קונטרס חידושים וביאורים בכמה ענינים</v>
      </c>
    </row>
    <row r="37054" spans="1:6" x14ac:dyDescent="0.2">
      <c r="A37054" t="s">
        <v>57080</v>
      </c>
      <c r="B37054" t="s">
        <v>57081</v>
      </c>
      <c r="C37054" t="s">
        <v>20</v>
      </c>
      <c r="D37054" t="s">
        <v>21</v>
      </c>
      <c r="F37054" s="2" t="str">
        <f>HYPERLINK("http://www.otzar.org/book.asp?198300","קונטרס חידושים וביאורים על רמב""ם חמץ ומצה")</f>
        <v>קונטרס חידושים וביאורים על רמב"ם חמץ ומצה</v>
      </c>
    </row>
    <row r="37055" spans="1:6" x14ac:dyDescent="0.2">
      <c r="A37055" t="s">
        <v>57082</v>
      </c>
      <c r="B37055" t="s">
        <v>4610</v>
      </c>
      <c r="C37055" t="s">
        <v>26</v>
      </c>
      <c r="D37055" t="s">
        <v>52</v>
      </c>
      <c r="E37055" t="s">
        <v>144</v>
      </c>
      <c r="F37055" s="2" t="str">
        <f>HYPERLINK("http://www.otzar.org/book.asp?199735","קונטרס חידושים ופלפולים בסוגיא ירך")</f>
        <v>קונטרס חידושים ופלפולים בסוגיא ירך</v>
      </c>
    </row>
    <row r="37056" spans="1:6" x14ac:dyDescent="0.2">
      <c r="A37056" t="s">
        <v>57083</v>
      </c>
      <c r="B37056" t="s">
        <v>57084</v>
      </c>
      <c r="C37056" t="s">
        <v>366</v>
      </c>
      <c r="D37056" t="s">
        <v>57085</v>
      </c>
      <c r="E37056" t="s">
        <v>144</v>
      </c>
      <c r="F37056" s="2" t="str">
        <f>HYPERLINK("http://www.otzar.org/book.asp?602773","קונטרס חידושים על מסכת שבת")</f>
        <v>קונטרס חידושים על מסכת שבת</v>
      </c>
    </row>
    <row r="37057" spans="1:6" x14ac:dyDescent="0.2">
      <c r="A37057" t="s">
        <v>57086</v>
      </c>
      <c r="B37057" t="s">
        <v>12327</v>
      </c>
      <c r="C37057" t="s">
        <v>13</v>
      </c>
      <c r="D37057" t="s">
        <v>14</v>
      </c>
      <c r="E37057" t="s">
        <v>674</v>
      </c>
      <c r="F37057" s="2" t="str">
        <f>HYPERLINK("http://www.otzar.org/book.asp?145281","קונטרס חיוב מצוות הזמניות קודם זמן המצוה")</f>
        <v>קונטרס חיוב מצוות הזמניות קודם זמן המצוה</v>
      </c>
    </row>
    <row r="37058" spans="1:6" x14ac:dyDescent="0.2">
      <c r="A37058" t="s">
        <v>57087</v>
      </c>
      <c r="B37058" t="s">
        <v>35104</v>
      </c>
      <c r="C37058" t="s">
        <v>51</v>
      </c>
      <c r="D37058" t="s">
        <v>14</v>
      </c>
      <c r="E37058" t="s">
        <v>15</v>
      </c>
      <c r="F37058" s="2" t="str">
        <f>HYPERLINK("http://www.otzar.org/book.asp?148714","קונטרס חיוב נשים בברכת הגומל")</f>
        <v>קונטרס חיוב נשים בברכת הגומל</v>
      </c>
    </row>
    <row r="37059" spans="1:6" x14ac:dyDescent="0.2">
      <c r="A37059" t="s">
        <v>57088</v>
      </c>
      <c r="B37059" t="s">
        <v>56062</v>
      </c>
      <c r="C37059" t="s">
        <v>20</v>
      </c>
      <c r="D37059" t="s">
        <v>52</v>
      </c>
      <c r="F37059" s="2" t="str">
        <f>HYPERLINK("http://www.otzar.org/book.asp?619009","קונטרס חיובי גניבה וגזילה")</f>
        <v>קונטרס חיובי גניבה וגזילה</v>
      </c>
    </row>
    <row r="37060" spans="1:6" x14ac:dyDescent="0.2">
      <c r="A37060" t="s">
        <v>57089</v>
      </c>
      <c r="B37060" t="s">
        <v>16485</v>
      </c>
      <c r="C37060" t="s">
        <v>20</v>
      </c>
      <c r="D37060" t="s">
        <v>52</v>
      </c>
      <c r="F37060" s="2" t="str">
        <f>HYPERLINK("http://www.otzar.org/book.asp?616727","קונטרס חיזוק בתפילה")</f>
        <v>קונטרס חיזוק בתפילה</v>
      </c>
    </row>
    <row r="37061" spans="1:6" x14ac:dyDescent="0.2">
      <c r="A37061" t="s">
        <v>57090</v>
      </c>
      <c r="B37061" t="s">
        <v>57091</v>
      </c>
      <c r="C37061" t="s">
        <v>114</v>
      </c>
      <c r="D37061" t="s">
        <v>646</v>
      </c>
      <c r="E37061" t="s">
        <v>213</v>
      </c>
      <c r="F37061" s="2" t="str">
        <f>HYPERLINK("http://www.otzar.org/book.asp?166038","קונטרס חיזוק למלמד")</f>
        <v>קונטרס חיזוק למלמד</v>
      </c>
    </row>
    <row r="37062" spans="1:6" x14ac:dyDescent="0.2">
      <c r="A37062" t="s">
        <v>57092</v>
      </c>
      <c r="B37062" t="s">
        <v>57093</v>
      </c>
      <c r="C37062" t="s">
        <v>124</v>
      </c>
      <c r="D37062" t="s">
        <v>14</v>
      </c>
      <c r="E37062" t="s">
        <v>1211</v>
      </c>
      <c r="F37062" s="2" t="str">
        <f>HYPERLINK("http://www.otzar.org/book.asp?144068","קונטרס חיי יוסף")</f>
        <v>קונטרס חיי יוסף</v>
      </c>
    </row>
    <row r="37063" spans="1:6" x14ac:dyDescent="0.2">
      <c r="A37063" t="s">
        <v>57094</v>
      </c>
      <c r="B37063" t="s">
        <v>57095</v>
      </c>
      <c r="C37063" t="s">
        <v>23</v>
      </c>
      <c r="D37063" t="s">
        <v>90</v>
      </c>
      <c r="E37063" t="s">
        <v>144</v>
      </c>
      <c r="F37063" s="2" t="str">
        <f>HYPERLINK("http://www.otzar.org/book.asp?193672","קונטרס חיי יעקב")</f>
        <v>קונטרס חיי יעקב</v>
      </c>
    </row>
    <row r="37064" spans="1:6" x14ac:dyDescent="0.2">
      <c r="A37064" t="s">
        <v>57096</v>
      </c>
      <c r="B37064" t="s">
        <v>57097</v>
      </c>
      <c r="C37064" t="s">
        <v>20</v>
      </c>
      <c r="D37064" t="s">
        <v>90</v>
      </c>
      <c r="F37064" s="2" t="str">
        <f>HYPERLINK("http://www.otzar.org/book.asp?609524","קונטרס חיי שמעון - אבילות החורבן")</f>
        <v>קונטרס חיי שמעון - אבילות החורבן</v>
      </c>
    </row>
    <row r="37065" spans="1:6" x14ac:dyDescent="0.2">
      <c r="A37065" t="s">
        <v>57098</v>
      </c>
      <c r="B37065" t="s">
        <v>57099</v>
      </c>
      <c r="C37065" t="s">
        <v>71</v>
      </c>
      <c r="D37065" t="s">
        <v>52</v>
      </c>
      <c r="E37065" t="s">
        <v>213</v>
      </c>
      <c r="F37065" s="2" t="str">
        <f>HYPERLINK("http://www.otzar.org/book.asp?160942","קונטרס חיים וחסד")</f>
        <v>קונטרס חיים וחסד</v>
      </c>
    </row>
    <row r="37066" spans="1:6" x14ac:dyDescent="0.2">
      <c r="A37066" t="s">
        <v>57098</v>
      </c>
      <c r="B37066" t="s">
        <v>6335</v>
      </c>
      <c r="D37066" t="s">
        <v>52</v>
      </c>
      <c r="F37066" s="2" t="str">
        <f>HYPERLINK("http://www.otzar.org/book.asp?618753","קונטרס חיים וחסד")</f>
        <v>קונטרס חיים וחסד</v>
      </c>
    </row>
    <row r="37067" spans="1:6" x14ac:dyDescent="0.2">
      <c r="A37067" t="s">
        <v>57100</v>
      </c>
      <c r="B37067" t="s">
        <v>22365</v>
      </c>
      <c r="C37067" t="s">
        <v>13</v>
      </c>
      <c r="D37067" t="s">
        <v>21</v>
      </c>
      <c r="E37067" t="s">
        <v>219</v>
      </c>
      <c r="F37067" s="2" t="str">
        <f>HYPERLINK("http://www.otzar.org/book.asp?196820","קונטרס חיים ועוז")</f>
        <v>קונטרס חיים ועוז</v>
      </c>
    </row>
    <row r="37068" spans="1:6" x14ac:dyDescent="0.2">
      <c r="A37068" t="s">
        <v>57101</v>
      </c>
      <c r="B37068" t="s">
        <v>206</v>
      </c>
      <c r="C37068" t="s">
        <v>20</v>
      </c>
      <c r="D37068" t="s">
        <v>90</v>
      </c>
      <c r="E37068" t="s">
        <v>15</v>
      </c>
      <c r="F37068" s="2" t="str">
        <f>HYPERLINK("http://www.otzar.org/book.asp?601639","קונטרס חיים כהלכה - 2 כר'")</f>
        <v>קונטרס חיים כהלכה - 2 כר'</v>
      </c>
    </row>
    <row r="37069" spans="1:6" x14ac:dyDescent="0.2">
      <c r="A37069" t="s">
        <v>57102</v>
      </c>
      <c r="B37069" t="s">
        <v>57103</v>
      </c>
      <c r="C37069" t="s">
        <v>20</v>
      </c>
      <c r="D37069" t="s">
        <v>90</v>
      </c>
      <c r="F37069" s="2" t="str">
        <f>HYPERLINK("http://www.otzar.org/book.asp?608895","קונטרס חילים לתורה")</f>
        <v>קונטרס חילים לתורה</v>
      </c>
    </row>
    <row r="37070" spans="1:6" x14ac:dyDescent="0.2">
      <c r="A37070" t="s">
        <v>57104</v>
      </c>
      <c r="B37070" t="s">
        <v>26211</v>
      </c>
      <c r="C37070" t="s">
        <v>1166</v>
      </c>
      <c r="D37070" t="s">
        <v>225</v>
      </c>
      <c r="E37070" t="s">
        <v>213</v>
      </c>
      <c r="F37070" s="2" t="str">
        <f>HYPERLINK("http://www.otzar.org/book.asp?103042","קונטרס חינוך הבנים &lt;מאמר לגדל הבנים לתוה""ק&gt;")</f>
        <v>קונטרס חינוך הבנים &lt;מאמר לגדל הבנים לתוה"ק&gt;</v>
      </c>
    </row>
    <row r="37071" spans="1:6" x14ac:dyDescent="0.2">
      <c r="A37071" t="s">
        <v>57105</v>
      </c>
      <c r="B37071" t="s">
        <v>51081</v>
      </c>
      <c r="C37071" t="s">
        <v>87</v>
      </c>
      <c r="D37071" t="s">
        <v>486</v>
      </c>
      <c r="F37071" s="2" t="str">
        <f>HYPERLINK("http://www.otzar.org/book.asp?618061","קונטרס חינוך הבנים - נר מצוה ותורה אור")</f>
        <v>קונטרס חינוך הבנים - נר מצוה ותורה אור</v>
      </c>
    </row>
    <row r="37072" spans="1:6" x14ac:dyDescent="0.2">
      <c r="A37072" t="s">
        <v>57106</v>
      </c>
      <c r="B37072" t="s">
        <v>40267</v>
      </c>
      <c r="C37072" t="s">
        <v>133</v>
      </c>
      <c r="D37072" t="s">
        <v>14</v>
      </c>
      <c r="E37072" t="s">
        <v>246</v>
      </c>
      <c r="F37072" s="2" t="str">
        <f>HYPERLINK("http://www.otzar.org/book.asp?605773","קונטרס חירות עולם")</f>
        <v>קונטרס חירות עולם</v>
      </c>
    </row>
    <row r="37073" spans="1:6" x14ac:dyDescent="0.2">
      <c r="A37073" t="s">
        <v>57107</v>
      </c>
      <c r="B37073" t="s">
        <v>57108</v>
      </c>
      <c r="C37073" t="s">
        <v>129</v>
      </c>
      <c r="D37073" t="s">
        <v>6853</v>
      </c>
      <c r="F37073" s="2" t="str">
        <f>HYPERLINK("http://www.otzar.org/book.asp?198137","קונטרס חכם בחכמתו")</f>
        <v>קונטרס חכם בחכמתו</v>
      </c>
    </row>
    <row r="37074" spans="1:6" x14ac:dyDescent="0.2">
      <c r="A37074" t="s">
        <v>57109</v>
      </c>
      <c r="B37074" t="s">
        <v>57110</v>
      </c>
      <c r="C37074" t="s">
        <v>244</v>
      </c>
      <c r="D37074" t="s">
        <v>367</v>
      </c>
      <c r="F37074" s="2" t="str">
        <f>HYPERLINK("http://www.otzar.org/book.asp?607974","קונטרס חכמה נפלאה")</f>
        <v>קונטרס חכמה נפלאה</v>
      </c>
    </row>
    <row r="37075" spans="1:6" x14ac:dyDescent="0.2">
      <c r="A37075" t="s">
        <v>57111</v>
      </c>
      <c r="B37075" t="s">
        <v>38782</v>
      </c>
      <c r="C37075" t="s">
        <v>189</v>
      </c>
      <c r="D37075" t="s">
        <v>152</v>
      </c>
      <c r="E37075" t="s">
        <v>15</v>
      </c>
      <c r="F37075" s="2" t="str">
        <f>HYPERLINK("http://www.otzar.org/book.asp?180621","קונטרס חלוץ הנעל - סדר החליצה")</f>
        <v>קונטרס חלוץ הנעל - סדר החליצה</v>
      </c>
    </row>
    <row r="37076" spans="1:6" x14ac:dyDescent="0.2">
      <c r="A37076" t="s">
        <v>57112</v>
      </c>
      <c r="B37076" t="s">
        <v>57113</v>
      </c>
      <c r="C37076" t="s">
        <v>151</v>
      </c>
      <c r="D37076" t="s">
        <v>90</v>
      </c>
      <c r="F37076" s="2" t="str">
        <f>HYPERLINK("http://www.otzar.org/book.asp?611434","קונטרס חלזון הפורפרא")</f>
        <v>קונטרס חלזון הפורפרא</v>
      </c>
    </row>
    <row r="37077" spans="1:6" x14ac:dyDescent="0.2">
      <c r="A37077" t="s">
        <v>57114</v>
      </c>
      <c r="B37077" t="s">
        <v>57115</v>
      </c>
      <c r="C37077" t="s">
        <v>37</v>
      </c>
      <c r="D37077" t="s">
        <v>90</v>
      </c>
      <c r="F37077" s="2" t="str">
        <f>HYPERLINK("http://www.otzar.org/book.asp?197088","קונטרס חלקת חיים - 2 כר'")</f>
        <v>קונטרס חלקת חיים - 2 כר'</v>
      </c>
    </row>
    <row r="37078" spans="1:6" x14ac:dyDescent="0.2">
      <c r="A37078" t="s">
        <v>57116</v>
      </c>
      <c r="B37078" t="s">
        <v>57117</v>
      </c>
      <c r="C37078" t="s">
        <v>151</v>
      </c>
      <c r="D37078" t="s">
        <v>367</v>
      </c>
      <c r="F37078" s="2" t="str">
        <f>HYPERLINK("http://www.otzar.org/book.asp?618772","קונטרס חלקת יעקב")</f>
        <v>קונטרס חלקת יעקב</v>
      </c>
    </row>
    <row r="37079" spans="1:6" x14ac:dyDescent="0.2">
      <c r="A37079" t="s">
        <v>57118</v>
      </c>
      <c r="B37079" t="s">
        <v>57119</v>
      </c>
      <c r="C37079" t="s">
        <v>20</v>
      </c>
      <c r="D37079" t="s">
        <v>52</v>
      </c>
      <c r="F37079" s="2" t="str">
        <f>HYPERLINK("http://www.otzar.org/book.asp?604869","קונטרס חלת תרומה")</f>
        <v>קונטרס חלת תרומה</v>
      </c>
    </row>
    <row r="37080" spans="1:6" x14ac:dyDescent="0.2">
      <c r="A37080" t="s">
        <v>57120</v>
      </c>
      <c r="B37080" t="s">
        <v>57121</v>
      </c>
      <c r="C37080" t="s">
        <v>103</v>
      </c>
      <c r="D37080" t="s">
        <v>52</v>
      </c>
      <c r="E37080" t="s">
        <v>144</v>
      </c>
      <c r="F37080" s="2" t="str">
        <f>HYPERLINK("http://www.otzar.org/book.asp?190975","קונטרס חמדה טובה")</f>
        <v>קונטרס חמדה טובה</v>
      </c>
    </row>
    <row r="37081" spans="1:6" x14ac:dyDescent="0.2">
      <c r="A37081" t="s">
        <v>57122</v>
      </c>
      <c r="B37081" t="s">
        <v>57123</v>
      </c>
      <c r="C37081" t="s">
        <v>767</v>
      </c>
      <c r="D37081" t="s">
        <v>52</v>
      </c>
      <c r="F37081" s="2" t="str">
        <f>HYPERLINK("http://www.otzar.org/book.asp?618758","קונטרס חמדה לשלמה")</f>
        <v>קונטרס חמדה לשלמה</v>
      </c>
    </row>
    <row r="37082" spans="1:6" x14ac:dyDescent="0.2">
      <c r="A37082" t="s">
        <v>57124</v>
      </c>
      <c r="B37082" t="s">
        <v>57125</v>
      </c>
      <c r="E37082" t="s">
        <v>104</v>
      </c>
      <c r="F37082" s="2" t="str">
        <f>HYPERLINK("http://www.otzar.org/book.asp?622619","קונטרס חמדת אברהם - 2 כר'")</f>
        <v>קונטרס חמדת אברהם - 2 כר'</v>
      </c>
    </row>
    <row r="37083" spans="1:6" x14ac:dyDescent="0.2">
      <c r="A37083" t="s">
        <v>57126</v>
      </c>
      <c r="B37083" t="s">
        <v>57127</v>
      </c>
      <c r="C37083" t="s">
        <v>366</v>
      </c>
      <c r="D37083" t="s">
        <v>1156</v>
      </c>
      <c r="E37083" t="s">
        <v>15</v>
      </c>
      <c r="F37083" s="2" t="str">
        <f>HYPERLINK("http://www.otzar.org/book.asp?603034","קונטרס חמדת דניאל - 3 כר'")</f>
        <v>קונטרס חמדת דניאל - 3 כר'</v>
      </c>
    </row>
    <row r="37084" spans="1:6" x14ac:dyDescent="0.2">
      <c r="A37084" t="s">
        <v>57128</v>
      </c>
      <c r="B37084" t="s">
        <v>57128</v>
      </c>
      <c r="C37084" t="s">
        <v>71</v>
      </c>
      <c r="D37084" t="s">
        <v>80</v>
      </c>
      <c r="E37084" t="s">
        <v>246</v>
      </c>
      <c r="F37084" s="2" t="str">
        <f>HYPERLINK("http://www.otzar.org/book.asp?196768","קונטרס חמדת ימים")</f>
        <v>קונטרס חמדת ימים</v>
      </c>
    </row>
    <row r="37085" spans="1:6" x14ac:dyDescent="0.2">
      <c r="A37085" t="s">
        <v>57129</v>
      </c>
      <c r="B37085" t="s">
        <v>57130</v>
      </c>
      <c r="C37085" t="s">
        <v>20</v>
      </c>
      <c r="D37085" t="s">
        <v>90</v>
      </c>
      <c r="E37085" t="s">
        <v>933</v>
      </c>
      <c r="F37085" s="2" t="str">
        <f>HYPERLINK("http://www.otzar.org/book.asp?183066","קונטרס חמדת לבבי")</f>
        <v>קונטרס חמדת לבבי</v>
      </c>
    </row>
    <row r="37086" spans="1:6" x14ac:dyDescent="0.2">
      <c r="A37086" t="s">
        <v>57131</v>
      </c>
      <c r="B37086" t="s">
        <v>20316</v>
      </c>
      <c r="C37086" t="s">
        <v>20</v>
      </c>
      <c r="D37086" t="s">
        <v>412</v>
      </c>
      <c r="E37086" t="s">
        <v>219</v>
      </c>
      <c r="F37086" s="2" t="str">
        <f>HYPERLINK("http://www.otzar.org/book.asp?194149","קונטרס חמה בברכתה ובדיניה")</f>
        <v>קונטרס חמה בברכתה ובדיניה</v>
      </c>
    </row>
    <row r="37087" spans="1:6" x14ac:dyDescent="0.2">
      <c r="A37087" t="s">
        <v>57132</v>
      </c>
      <c r="B37087" t="s">
        <v>29045</v>
      </c>
      <c r="C37087" t="s">
        <v>13</v>
      </c>
      <c r="D37087" t="s">
        <v>52</v>
      </c>
      <c r="E37087" t="s">
        <v>3055</v>
      </c>
      <c r="F37087" s="2" t="str">
        <f>HYPERLINK("http://www.otzar.org/book.asp?167825","קונטרס חמישה עשר בשבט")</f>
        <v>קונטרס חמישה עשר בשבט</v>
      </c>
    </row>
    <row r="37088" spans="1:6" x14ac:dyDescent="0.2">
      <c r="A37088" t="s">
        <v>57133</v>
      </c>
      <c r="B37088" t="s">
        <v>107</v>
      </c>
      <c r="C37088" t="s">
        <v>1208</v>
      </c>
      <c r="D37088" t="s">
        <v>14</v>
      </c>
      <c r="E37088" t="s">
        <v>130</v>
      </c>
      <c r="F37088" s="2" t="str">
        <f>HYPERLINK("http://www.otzar.org/book.asp?84015","קונטרס חמץ משהו")</f>
        <v>קונטרס חמץ משהו</v>
      </c>
    </row>
    <row r="37089" spans="1:6" x14ac:dyDescent="0.2">
      <c r="A37089" t="s">
        <v>57134</v>
      </c>
      <c r="B37089" t="s">
        <v>8063</v>
      </c>
      <c r="C37089" t="s">
        <v>133</v>
      </c>
      <c r="D37089" t="s">
        <v>14</v>
      </c>
      <c r="E37089" t="s">
        <v>15</v>
      </c>
      <c r="F37089" s="2" t="str">
        <f>HYPERLINK("http://www.otzar.org/book.asp?175596","קונטרס חן מרים")</f>
        <v>קונטרס חן מרים</v>
      </c>
    </row>
    <row r="37090" spans="1:6" x14ac:dyDescent="0.2">
      <c r="A37090" t="s">
        <v>57135</v>
      </c>
      <c r="B37090" t="s">
        <v>17175</v>
      </c>
      <c r="C37090" t="s">
        <v>51</v>
      </c>
      <c r="D37090" t="s">
        <v>52</v>
      </c>
      <c r="E37090" t="s">
        <v>104</v>
      </c>
      <c r="F37090" s="2" t="str">
        <f>HYPERLINK("http://www.otzar.org/book.asp?24950","קונטרס חנוך ילדים")</f>
        <v>קונטרס חנוך ילדים</v>
      </c>
    </row>
    <row r="37091" spans="1:6" x14ac:dyDescent="0.2">
      <c r="A37091" t="s">
        <v>57136</v>
      </c>
      <c r="B37091" t="s">
        <v>45631</v>
      </c>
      <c r="C37091" t="s">
        <v>454</v>
      </c>
      <c r="D37091" t="s">
        <v>52</v>
      </c>
      <c r="E37091" t="s">
        <v>104</v>
      </c>
      <c r="F37091" s="2" t="str">
        <f>HYPERLINK("http://www.otzar.org/book.asp?625545","קונטרס חנוך לנער")</f>
        <v>קונטרס חנוך לנער</v>
      </c>
    </row>
    <row r="37092" spans="1:6" x14ac:dyDescent="0.2">
      <c r="A37092" t="s">
        <v>57137</v>
      </c>
      <c r="B37092" t="s">
        <v>4600</v>
      </c>
      <c r="C37092" t="s">
        <v>13</v>
      </c>
      <c r="D37092" t="s">
        <v>21</v>
      </c>
      <c r="E37092" t="s">
        <v>130</v>
      </c>
      <c r="F37092" s="2" t="str">
        <f>HYPERLINK("http://www.otzar.org/book.asp?197543","קונטרס חנוכה בישיבה")</f>
        <v>קונטרס חנוכה בישיבה</v>
      </c>
    </row>
    <row r="37093" spans="1:6" x14ac:dyDescent="0.2">
      <c r="A37093" t="s">
        <v>57138</v>
      </c>
      <c r="B37093" t="s">
        <v>40409</v>
      </c>
      <c r="C37093" t="s">
        <v>383</v>
      </c>
      <c r="D37093" t="s">
        <v>14</v>
      </c>
      <c r="E37093" t="s">
        <v>130</v>
      </c>
      <c r="F37093" s="2" t="str">
        <f>HYPERLINK("http://www.otzar.org/book.asp?156498","קונטרס חנוכה ומגילה")</f>
        <v>קונטרס חנוכה ומגילה</v>
      </c>
    </row>
    <row r="37094" spans="1:6" x14ac:dyDescent="0.2">
      <c r="A37094" t="s">
        <v>57139</v>
      </c>
      <c r="B37094" t="s">
        <v>54146</v>
      </c>
      <c r="C37094" t="s">
        <v>775</v>
      </c>
      <c r="D37094" t="s">
        <v>14</v>
      </c>
      <c r="E37094" t="s">
        <v>467</v>
      </c>
      <c r="F37094" s="2" t="str">
        <f>HYPERLINK("http://www.otzar.org/book.asp?60606","קונטרס חנוכה")</f>
        <v>קונטרס חנוכה</v>
      </c>
    </row>
    <row r="37095" spans="1:6" x14ac:dyDescent="0.2">
      <c r="A37095" t="s">
        <v>57139</v>
      </c>
      <c r="B37095" t="s">
        <v>6936</v>
      </c>
      <c r="C37095" t="s">
        <v>1640</v>
      </c>
      <c r="D37095" t="s">
        <v>52</v>
      </c>
      <c r="E37095" t="s">
        <v>246</v>
      </c>
      <c r="F37095" s="2" t="str">
        <f>HYPERLINK("http://www.otzar.org/book.asp?180376","קונטרס חנוכה")</f>
        <v>קונטרס חנוכה</v>
      </c>
    </row>
    <row r="37096" spans="1:6" x14ac:dyDescent="0.2">
      <c r="A37096" t="s">
        <v>57140</v>
      </c>
      <c r="B37096" t="s">
        <v>54785</v>
      </c>
      <c r="C37096" t="s">
        <v>133</v>
      </c>
      <c r="D37096" t="s">
        <v>14</v>
      </c>
      <c r="E37096" t="s">
        <v>246</v>
      </c>
      <c r="F37096" s="2" t="str">
        <f>HYPERLINK("http://www.otzar.org/book.asp?171909","קונטרס חנוכת הבית")</f>
        <v>קונטרס חנוכת הבית</v>
      </c>
    </row>
    <row r="37097" spans="1:6" x14ac:dyDescent="0.2">
      <c r="A37097" t="s">
        <v>57141</v>
      </c>
      <c r="B37097" t="s">
        <v>9510</v>
      </c>
      <c r="C37097" t="s">
        <v>411</v>
      </c>
      <c r="D37097" t="s">
        <v>10790</v>
      </c>
      <c r="E37097" t="s">
        <v>202</v>
      </c>
      <c r="F37097" s="2" t="str">
        <f>HYPERLINK("http://www.otzar.org/book.asp?172775","קונטרס חנוכת התורה")</f>
        <v>קונטרס חנוכת התורה</v>
      </c>
    </row>
    <row r="37098" spans="1:6" x14ac:dyDescent="0.2">
      <c r="A37098" t="s">
        <v>57142</v>
      </c>
      <c r="B37098" t="s">
        <v>5003</v>
      </c>
      <c r="C37098" t="s">
        <v>133</v>
      </c>
      <c r="D37098" t="s">
        <v>147</v>
      </c>
      <c r="E37098" t="s">
        <v>674</v>
      </c>
      <c r="F37098" s="2" t="str">
        <f>HYPERLINK("http://www.otzar.org/book.asp?625519","קונטרס חנוניך חלץ ממסגרים")</f>
        <v>קונטרס חנוניך חלץ ממסגרים</v>
      </c>
    </row>
    <row r="37099" spans="1:6" x14ac:dyDescent="0.2">
      <c r="A37099" t="s">
        <v>57143</v>
      </c>
      <c r="B37099" t="s">
        <v>9328</v>
      </c>
      <c r="C37099" t="s">
        <v>133</v>
      </c>
      <c r="D37099" t="s">
        <v>52</v>
      </c>
      <c r="F37099" s="2" t="str">
        <f>HYPERLINK("http://www.otzar.org/book.asp?183182","קונטרס חננו ועננו - י""ג מידות")</f>
        <v>קונטרס חננו ועננו - י"ג מידות</v>
      </c>
    </row>
    <row r="37100" spans="1:6" x14ac:dyDescent="0.2">
      <c r="A37100" t="s">
        <v>57144</v>
      </c>
      <c r="B37100" t="s">
        <v>206</v>
      </c>
      <c r="C37100" t="s">
        <v>68</v>
      </c>
      <c r="D37100" t="s">
        <v>486</v>
      </c>
      <c r="E37100" t="s">
        <v>144</v>
      </c>
      <c r="F37100" s="2" t="str">
        <f>HYPERLINK("http://www.otzar.org/book.asp?151818","קונטרס חסד לאברהם - 6 כר'")</f>
        <v>קונטרס חסד לאברהם - 6 כר'</v>
      </c>
    </row>
    <row r="37101" spans="1:6" x14ac:dyDescent="0.2">
      <c r="A37101" t="s">
        <v>57145</v>
      </c>
      <c r="B37101" t="s">
        <v>27001</v>
      </c>
      <c r="C37101" t="s">
        <v>68</v>
      </c>
      <c r="D37101" t="s">
        <v>2468</v>
      </c>
      <c r="E37101" t="s">
        <v>158</v>
      </c>
      <c r="F37101" s="2" t="str">
        <f>HYPERLINK("http://www.otzar.org/book.asp?197729","קונטרס חסד לאברהם")</f>
        <v>קונטרס חסד לאברהם</v>
      </c>
    </row>
    <row r="37102" spans="1:6" x14ac:dyDescent="0.2">
      <c r="A37102" t="s">
        <v>57146</v>
      </c>
      <c r="B37102" t="s">
        <v>9338</v>
      </c>
      <c r="C37102" t="s">
        <v>151</v>
      </c>
      <c r="D37102" t="s">
        <v>4519</v>
      </c>
      <c r="E37102" t="s">
        <v>104</v>
      </c>
      <c r="F37102" s="2" t="str">
        <f>HYPERLINK("http://www.otzar.org/book.asp?630358","קונטרס חצוצרות מלחמה")</f>
        <v>קונטרס חצוצרות מלחמה</v>
      </c>
    </row>
    <row r="37103" spans="1:6" x14ac:dyDescent="0.2">
      <c r="A37103" t="s">
        <v>57147</v>
      </c>
      <c r="B37103" t="s">
        <v>6121</v>
      </c>
      <c r="C37103" t="s">
        <v>411</v>
      </c>
      <c r="D37103" t="s">
        <v>14</v>
      </c>
      <c r="E37103" t="s">
        <v>144</v>
      </c>
      <c r="F37103" s="2" t="str">
        <f>HYPERLINK("http://www.otzar.org/book.asp?608551","קונטרס חצר אברהם")</f>
        <v>קונטרס חצר אברהם</v>
      </c>
    </row>
    <row r="37104" spans="1:6" x14ac:dyDescent="0.2">
      <c r="A37104" t="s">
        <v>57148</v>
      </c>
      <c r="B37104" t="s">
        <v>7666</v>
      </c>
      <c r="C37104" t="s">
        <v>411</v>
      </c>
      <c r="D37104" t="s">
        <v>423</v>
      </c>
      <c r="E37104" t="s">
        <v>246</v>
      </c>
      <c r="F37104" s="2" t="str">
        <f>HYPERLINK("http://www.otzar.org/book.asp?166520","קונטרס חקת הפסח - 3 כר'")</f>
        <v>קונטרס חקת הפסח - 3 כר'</v>
      </c>
    </row>
    <row r="37105" spans="1:6" x14ac:dyDescent="0.2">
      <c r="A37105" t="s">
        <v>57149</v>
      </c>
      <c r="B37105" t="s">
        <v>57150</v>
      </c>
      <c r="C37105" t="s">
        <v>37</v>
      </c>
      <c r="D37105" t="s">
        <v>90</v>
      </c>
      <c r="E37105" t="s">
        <v>15</v>
      </c>
      <c r="F37105" s="2" t="str">
        <f>HYPERLINK("http://www.otzar.org/book.asp?626220","קונטרס חרב פיפיות")</f>
        <v>קונטרס חרב פיפיות</v>
      </c>
    </row>
    <row r="37106" spans="1:6" x14ac:dyDescent="0.2">
      <c r="A37106" t="s">
        <v>57151</v>
      </c>
      <c r="B37106" t="s">
        <v>57152</v>
      </c>
      <c r="C37106" t="s">
        <v>189</v>
      </c>
      <c r="D37106" t="s">
        <v>14</v>
      </c>
      <c r="E37106" t="s">
        <v>803</v>
      </c>
      <c r="F37106" s="2" t="str">
        <f>HYPERLINK("http://www.otzar.org/book.asp?53049","קונטרס חרושת אבן")</f>
        <v>קונטרס חרושת אבן</v>
      </c>
    </row>
    <row r="37107" spans="1:6" x14ac:dyDescent="0.2">
      <c r="A37107" t="s">
        <v>57153</v>
      </c>
      <c r="B37107" t="s">
        <v>54498</v>
      </c>
      <c r="C37107" t="s">
        <v>151</v>
      </c>
      <c r="D37107" t="s">
        <v>52</v>
      </c>
      <c r="F37107" s="2" t="str">
        <f>HYPERLINK("http://www.otzar.org/book.asp?617820","קונטרס חשבון הנפש - בכתיבה")</f>
        <v>קונטרס חשבון הנפש - בכתיבה</v>
      </c>
    </row>
    <row r="37108" spans="1:6" x14ac:dyDescent="0.2">
      <c r="A37108" t="s">
        <v>57154</v>
      </c>
      <c r="B37108" t="s">
        <v>57155</v>
      </c>
      <c r="C37108" t="s">
        <v>23</v>
      </c>
      <c r="D37108" t="s">
        <v>6540</v>
      </c>
      <c r="F37108" s="2" t="str">
        <f>HYPERLINK("http://www.otzar.org/book.asp?199458","קונטרס חשבתי דרכי")</f>
        <v>קונטרס חשבתי דרכי</v>
      </c>
    </row>
    <row r="37109" spans="1:6" x14ac:dyDescent="0.2">
      <c r="A37109" t="s">
        <v>57156</v>
      </c>
      <c r="B37109" t="s">
        <v>43381</v>
      </c>
      <c r="C37109" t="s">
        <v>20</v>
      </c>
      <c r="D37109" t="s">
        <v>90</v>
      </c>
      <c r="E37109" t="s">
        <v>15</v>
      </c>
      <c r="F37109" s="2" t="str">
        <f>HYPERLINK("http://www.otzar.org/book.asp?193295","קונטרס חשמל בשבת ולחולה")</f>
        <v>קונטרס חשמל בשבת ולחולה</v>
      </c>
    </row>
    <row r="37110" spans="1:6" x14ac:dyDescent="0.2">
      <c r="A37110" t="s">
        <v>57157</v>
      </c>
      <c r="B37110" t="s">
        <v>57158</v>
      </c>
      <c r="C37110" t="s">
        <v>20</v>
      </c>
      <c r="D37110" t="s">
        <v>14</v>
      </c>
      <c r="E37110" t="s">
        <v>130</v>
      </c>
      <c r="F37110" s="2" t="str">
        <f>HYPERLINK("http://www.otzar.org/book.asp?158661","קונטרס טבילה בשבת")</f>
        <v>קונטרס טבילה בשבת</v>
      </c>
    </row>
    <row r="37111" spans="1:6" x14ac:dyDescent="0.2">
      <c r="A37111" t="s">
        <v>57159</v>
      </c>
      <c r="B37111" t="s">
        <v>57160</v>
      </c>
      <c r="C37111" t="s">
        <v>13</v>
      </c>
      <c r="D37111" t="s">
        <v>52</v>
      </c>
      <c r="E37111" t="s">
        <v>15</v>
      </c>
      <c r="F37111" s="2" t="str">
        <f>HYPERLINK("http://www.otzar.org/book.asp?161461","קונטרס טהר גברא")</f>
        <v>קונטרס טהר גברא</v>
      </c>
    </row>
    <row r="37112" spans="1:6" x14ac:dyDescent="0.2">
      <c r="A37112" t="s">
        <v>57161</v>
      </c>
      <c r="B37112" t="s">
        <v>206</v>
      </c>
      <c r="C37112" t="s">
        <v>20</v>
      </c>
      <c r="D37112" t="s">
        <v>90</v>
      </c>
      <c r="F37112" s="2" t="str">
        <f>HYPERLINK("http://www.otzar.org/book.asp?616621","קונטרס טהר יומא")</f>
        <v>קונטרס טהר יומא</v>
      </c>
    </row>
    <row r="37113" spans="1:6" x14ac:dyDescent="0.2">
      <c r="A37113" t="s">
        <v>57162</v>
      </c>
      <c r="B37113" t="s">
        <v>206</v>
      </c>
      <c r="C37113" t="s">
        <v>20</v>
      </c>
      <c r="D37113" t="s">
        <v>90</v>
      </c>
      <c r="F37113" s="2" t="str">
        <f>HYPERLINK("http://www.otzar.org/book.asp?622234","קונטרס טהרת הלב")</f>
        <v>קונטרס טהרת הלב</v>
      </c>
    </row>
    <row r="37114" spans="1:6" x14ac:dyDescent="0.2">
      <c r="A37114" t="s">
        <v>57163</v>
      </c>
      <c r="B37114" t="s">
        <v>5480</v>
      </c>
      <c r="F37114" s="2" t="str">
        <f>HYPERLINK("http://www.otzar.org/book.asp?630411","קונטרס טהרת המקוה")</f>
        <v>קונטרס טהרת המקוה</v>
      </c>
    </row>
    <row r="37115" spans="1:6" x14ac:dyDescent="0.2">
      <c r="A37115" t="s">
        <v>57164</v>
      </c>
      <c r="B37115" t="s">
        <v>206</v>
      </c>
      <c r="C37115" t="s">
        <v>454</v>
      </c>
      <c r="D37115" t="s">
        <v>21</v>
      </c>
      <c r="E37115" t="s">
        <v>144</v>
      </c>
      <c r="F37115" s="2" t="str">
        <f>HYPERLINK("http://www.otzar.org/book.asp?196699","קונטרס טהרת יוחסין")</f>
        <v>קונטרס טהרת יוחסין</v>
      </c>
    </row>
    <row r="37116" spans="1:6" x14ac:dyDescent="0.2">
      <c r="A37116" t="s">
        <v>57165</v>
      </c>
      <c r="B37116" t="s">
        <v>57166</v>
      </c>
      <c r="C37116" t="s">
        <v>68</v>
      </c>
      <c r="D37116" t="s">
        <v>1646</v>
      </c>
      <c r="E37116" t="s">
        <v>154</v>
      </c>
      <c r="F37116" s="2" t="str">
        <f>HYPERLINK("http://www.otzar.org/book.asp?158706","קונטרס טוב הארץ")</f>
        <v>קונטרס טוב הארץ</v>
      </c>
    </row>
    <row r="37117" spans="1:6" x14ac:dyDescent="0.2">
      <c r="A37117" t="s">
        <v>57167</v>
      </c>
      <c r="B37117" t="s">
        <v>57121</v>
      </c>
      <c r="C37117" t="s">
        <v>189</v>
      </c>
      <c r="D37117" t="s">
        <v>52</v>
      </c>
      <c r="E37117" t="s">
        <v>384</v>
      </c>
      <c r="F37117" s="2" t="str">
        <f>HYPERLINK("http://www.otzar.org/book.asp?190973","קונטרס טוב וחסד")</f>
        <v>קונטרס טוב וחסד</v>
      </c>
    </row>
    <row r="37118" spans="1:6" x14ac:dyDescent="0.2">
      <c r="A37118" t="s">
        <v>57168</v>
      </c>
      <c r="B37118" t="s">
        <v>57121</v>
      </c>
      <c r="C37118" t="s">
        <v>68</v>
      </c>
      <c r="D37118" t="s">
        <v>52</v>
      </c>
      <c r="E37118" t="s">
        <v>1517</v>
      </c>
      <c r="F37118" s="2" t="str">
        <f>HYPERLINK("http://www.otzar.org/book.asp?190974","קונטרס טוב וסלח")</f>
        <v>קונטרס טוב וסלח</v>
      </c>
    </row>
    <row r="37119" spans="1:6" x14ac:dyDescent="0.2">
      <c r="A37119" t="s">
        <v>57169</v>
      </c>
      <c r="B37119" t="s">
        <v>3391</v>
      </c>
      <c r="C37119" t="s">
        <v>366</v>
      </c>
      <c r="D37119" t="s">
        <v>52</v>
      </c>
      <c r="E37119" t="s">
        <v>714</v>
      </c>
      <c r="F37119" s="2" t="str">
        <f>HYPERLINK("http://www.otzar.org/book.asp?615088","קונטרס טוב להודות לה'")</f>
        <v>קונטרס טוב להודות לה'</v>
      </c>
    </row>
    <row r="37120" spans="1:6" x14ac:dyDescent="0.2">
      <c r="A37120" t="s">
        <v>57170</v>
      </c>
      <c r="B37120" t="s">
        <v>57171</v>
      </c>
      <c r="C37120" t="s">
        <v>422</v>
      </c>
      <c r="D37120" t="s">
        <v>152</v>
      </c>
      <c r="F37120" s="2" t="str">
        <f>HYPERLINK("http://www.otzar.org/book.asp?609160","קונטרס טובים מאורות")</f>
        <v>קונטרס טובים מאורות</v>
      </c>
    </row>
    <row r="37121" spans="1:6" x14ac:dyDescent="0.2">
      <c r="A37121" t="s">
        <v>57172</v>
      </c>
      <c r="B37121" t="s">
        <v>57173</v>
      </c>
      <c r="E37121" t="s">
        <v>213</v>
      </c>
      <c r="F37121" s="2" t="str">
        <f>HYPERLINK("http://www.otzar.org/book.asp?627838","קונטרס טיול בפרד""ס")</f>
        <v>קונטרס טיול בפרד"ס</v>
      </c>
    </row>
    <row r="37122" spans="1:6" x14ac:dyDescent="0.2">
      <c r="A37122" t="s">
        <v>57174</v>
      </c>
      <c r="B37122" t="s">
        <v>30102</v>
      </c>
      <c r="C37122" t="s">
        <v>20</v>
      </c>
      <c r="D37122" t="s">
        <v>90</v>
      </c>
      <c r="E37122" t="s">
        <v>140</v>
      </c>
      <c r="F37122" s="2" t="str">
        <f>HYPERLINK("http://www.otzar.org/book.asp?614783","קונטרס טיפה מים")</f>
        <v>קונטרס טיפה מים</v>
      </c>
    </row>
    <row r="37123" spans="1:6" x14ac:dyDescent="0.2">
      <c r="A37123" t="s">
        <v>57175</v>
      </c>
      <c r="B37123" t="s">
        <v>57176</v>
      </c>
      <c r="C37123" t="s">
        <v>422</v>
      </c>
      <c r="D37123" t="s">
        <v>14</v>
      </c>
      <c r="E37123" t="s">
        <v>144</v>
      </c>
      <c r="F37123" s="2" t="str">
        <f>HYPERLINK("http://www.otzar.org/book.asp?148713","קונטרס טירת כסף")</f>
        <v>קונטרס טירת כסף</v>
      </c>
    </row>
    <row r="37124" spans="1:6" x14ac:dyDescent="0.2">
      <c r="A37124" t="s">
        <v>57177</v>
      </c>
      <c r="B37124" t="s">
        <v>57178</v>
      </c>
      <c r="C37124" t="s">
        <v>940</v>
      </c>
      <c r="D37124" t="s">
        <v>14</v>
      </c>
      <c r="E37124" t="s">
        <v>15</v>
      </c>
      <c r="F37124" s="2" t="str">
        <f>HYPERLINK("http://www.otzar.org/book.asp?172008","קונטרס טל ומטר לברכה")</f>
        <v>קונטרס טל ומטר לברכה</v>
      </c>
    </row>
    <row r="37125" spans="1:6" x14ac:dyDescent="0.2">
      <c r="A37125" t="s">
        <v>57179</v>
      </c>
      <c r="B37125" t="s">
        <v>206</v>
      </c>
      <c r="C37125" t="s">
        <v>20</v>
      </c>
      <c r="D37125" t="s">
        <v>90</v>
      </c>
      <c r="E37125" t="s">
        <v>84</v>
      </c>
      <c r="F37125" s="2" t="str">
        <f>HYPERLINK("http://www.otzar.org/book.asp?53157","קונטרס טנא בכורים")</f>
        <v>קונטרס טנא בכורים</v>
      </c>
    </row>
    <row r="37126" spans="1:6" x14ac:dyDescent="0.2">
      <c r="A37126" t="s">
        <v>57180</v>
      </c>
      <c r="B37126" t="s">
        <v>369</v>
      </c>
      <c r="E37126" t="s">
        <v>246</v>
      </c>
      <c r="F37126" s="2" t="str">
        <f>HYPERLINK("http://www.otzar.org/book.asp?605348","קונטרס טעם החלב")</f>
        <v>קונטרס טעם החלב</v>
      </c>
    </row>
    <row r="37127" spans="1:6" x14ac:dyDescent="0.2">
      <c r="A37127" t="s">
        <v>57181</v>
      </c>
      <c r="B37127" t="s">
        <v>23249</v>
      </c>
      <c r="C37127" t="s">
        <v>37</v>
      </c>
      <c r="D37127" t="s">
        <v>412</v>
      </c>
      <c r="F37127" s="2" t="str">
        <f>HYPERLINK("http://www.otzar.org/book.asp?198373","קונטרס טעם הצבי")</f>
        <v>קונטרס טעם הצבי</v>
      </c>
    </row>
    <row r="37128" spans="1:6" x14ac:dyDescent="0.2">
      <c r="A37128" t="s">
        <v>57182</v>
      </c>
      <c r="B37128" t="s">
        <v>42628</v>
      </c>
      <c r="C37128" t="s">
        <v>20</v>
      </c>
      <c r="D37128" t="s">
        <v>52</v>
      </c>
      <c r="E37128" t="s">
        <v>144</v>
      </c>
      <c r="F37128" s="2" t="str">
        <f>HYPERLINK("http://www.otzar.org/book.asp?603205","קונטרס טעם עולם")</f>
        <v>קונטרס טעם עולם</v>
      </c>
    </row>
    <row r="37129" spans="1:6" x14ac:dyDescent="0.2">
      <c r="A37129" t="s">
        <v>57183</v>
      </c>
      <c r="B37129" t="s">
        <v>57184</v>
      </c>
      <c r="C37129" t="s">
        <v>111</v>
      </c>
      <c r="D37129" t="s">
        <v>52</v>
      </c>
      <c r="E37129" t="s">
        <v>15</v>
      </c>
      <c r="F37129" s="2" t="str">
        <f>HYPERLINK("http://www.otzar.org/book.asp?627639","קונטרס טעמי משה - 5 כר'")</f>
        <v>קונטרס טעמי משה - 5 כר'</v>
      </c>
    </row>
    <row r="37130" spans="1:6" x14ac:dyDescent="0.2">
      <c r="A37130" t="s">
        <v>57185</v>
      </c>
      <c r="B37130" t="s">
        <v>57186</v>
      </c>
      <c r="C37130" t="s">
        <v>23</v>
      </c>
      <c r="F37130" s="2" t="str">
        <f>HYPERLINK("http://www.otzar.org/book.asp?194583","קונטרס י""ג המערכות")</f>
        <v>קונטרס י"ג המערכות</v>
      </c>
    </row>
    <row r="37131" spans="1:6" x14ac:dyDescent="0.2">
      <c r="A37131" t="s">
        <v>57187</v>
      </c>
      <c r="B37131" t="s">
        <v>57188</v>
      </c>
      <c r="C37131" t="s">
        <v>411</v>
      </c>
      <c r="D37131" t="s">
        <v>90</v>
      </c>
      <c r="F37131" s="2" t="str">
        <f>HYPERLINK("http://www.otzar.org/book.asp?198629","קונטרס י""ג למצוות")</f>
        <v>קונטרס י"ג למצוות</v>
      </c>
    </row>
    <row r="37132" spans="1:6" x14ac:dyDescent="0.2">
      <c r="A37132" t="s">
        <v>57189</v>
      </c>
      <c r="B37132" t="s">
        <v>9510</v>
      </c>
      <c r="C37132" t="s">
        <v>20</v>
      </c>
      <c r="D37132" t="s">
        <v>90</v>
      </c>
      <c r="E37132" t="s">
        <v>104</v>
      </c>
      <c r="F37132" s="2" t="str">
        <f>HYPERLINK("http://www.otzar.org/book.asp?629222","קונטרס י""ח שעות")</f>
        <v>קונטרס י"ח שעות</v>
      </c>
    </row>
    <row r="37133" spans="1:6" x14ac:dyDescent="0.2">
      <c r="A37133" t="s">
        <v>57190</v>
      </c>
      <c r="B37133" t="s">
        <v>57191</v>
      </c>
      <c r="C37133" t="s">
        <v>411</v>
      </c>
      <c r="D37133" t="s">
        <v>14</v>
      </c>
      <c r="F37133" s="2" t="str">
        <f>HYPERLINK("http://www.otzar.org/book.asp?615516","קונטרס יאיר להב")</f>
        <v>קונטרס יאיר להב</v>
      </c>
    </row>
    <row r="37134" spans="1:6" x14ac:dyDescent="0.2">
      <c r="A37134" t="s">
        <v>57192</v>
      </c>
      <c r="B37134" t="s">
        <v>57193</v>
      </c>
      <c r="C37134" t="s">
        <v>111</v>
      </c>
      <c r="D37134" t="s">
        <v>90</v>
      </c>
      <c r="E37134" t="s">
        <v>202</v>
      </c>
      <c r="F37134" s="2" t="str">
        <f>HYPERLINK("http://www.otzar.org/book.asp?630511","קונטרס יאיר נרו")</f>
        <v>קונטרס יאיר נרו</v>
      </c>
    </row>
    <row r="37135" spans="1:6" x14ac:dyDescent="0.2">
      <c r="A37135" t="s">
        <v>57194</v>
      </c>
      <c r="B37135" t="s">
        <v>56047</v>
      </c>
      <c r="C37135" t="s">
        <v>411</v>
      </c>
      <c r="D37135" t="s">
        <v>52</v>
      </c>
      <c r="E37135" t="s">
        <v>202</v>
      </c>
      <c r="F37135" s="2" t="str">
        <f>HYPERLINK("http://www.otzar.org/book.asp?624956","קונטרס יבמות")</f>
        <v>קונטרס יבמות</v>
      </c>
    </row>
    <row r="37136" spans="1:6" x14ac:dyDescent="0.2">
      <c r="A37136" t="s">
        <v>57195</v>
      </c>
      <c r="B37136" t="s">
        <v>42628</v>
      </c>
      <c r="C37136" t="s">
        <v>189</v>
      </c>
      <c r="D37136" t="s">
        <v>52</v>
      </c>
      <c r="E37136" t="s">
        <v>144</v>
      </c>
      <c r="F37136" s="2" t="str">
        <f>HYPERLINK("http://www.otzar.org/book.asp?603206","קונטרס יברך הזבח")</f>
        <v>קונטרס יברך הזבח</v>
      </c>
    </row>
    <row r="37137" spans="1:6" x14ac:dyDescent="0.2">
      <c r="A37137" t="s">
        <v>57196</v>
      </c>
      <c r="B37137" t="s">
        <v>57197</v>
      </c>
      <c r="C37137" t="s">
        <v>133</v>
      </c>
      <c r="D37137" t="s">
        <v>52</v>
      </c>
      <c r="E37137" t="s">
        <v>144</v>
      </c>
      <c r="F37137" s="2" t="str">
        <f>HYPERLINK("http://www.otzar.org/book.asp?171328","קונטרס יגיעת בוקר")</f>
        <v>קונטרס יגיעת בוקר</v>
      </c>
    </row>
    <row r="37138" spans="1:6" x14ac:dyDescent="0.2">
      <c r="A37138" t="s">
        <v>57198</v>
      </c>
      <c r="B37138" t="s">
        <v>7850</v>
      </c>
      <c r="C37138" t="s">
        <v>13</v>
      </c>
      <c r="D37138" t="s">
        <v>52</v>
      </c>
      <c r="E37138" t="s">
        <v>803</v>
      </c>
      <c r="F37138" s="2" t="str">
        <f>HYPERLINK("http://www.otzar.org/book.asp?604314","קונטרס יגל לבי בישועתך")</f>
        <v>קונטרס יגל לבי בישועתך</v>
      </c>
    </row>
    <row r="37139" spans="1:6" x14ac:dyDescent="0.2">
      <c r="A37139" t="s">
        <v>57199</v>
      </c>
      <c r="B37139" t="s">
        <v>57200</v>
      </c>
      <c r="C37139" t="s">
        <v>767</v>
      </c>
      <c r="D37139" t="s">
        <v>14</v>
      </c>
      <c r="E37139" t="s">
        <v>57201</v>
      </c>
      <c r="F37139" s="2" t="str">
        <f>HYPERLINK("http://www.otzar.org/book.asp?61989","קונטרס יד אהרן")</f>
        <v>קונטרס יד אהרן</v>
      </c>
    </row>
    <row r="37140" spans="1:6" x14ac:dyDescent="0.2">
      <c r="A37140" t="s">
        <v>57202</v>
      </c>
      <c r="B37140" t="s">
        <v>57203</v>
      </c>
      <c r="C37140" t="s">
        <v>553</v>
      </c>
      <c r="D37140" t="s">
        <v>14</v>
      </c>
      <c r="E37140" t="s">
        <v>144</v>
      </c>
      <c r="F37140" s="2" t="str">
        <f>HYPERLINK("http://www.otzar.org/book.asp?160821","קונטרס יד אליעזר")</f>
        <v>קונטרס יד אליעזר</v>
      </c>
    </row>
    <row r="37141" spans="1:6" x14ac:dyDescent="0.2">
      <c r="A37141" t="s">
        <v>57204</v>
      </c>
      <c r="B37141" t="s">
        <v>57205</v>
      </c>
      <c r="C37141" t="s">
        <v>114</v>
      </c>
      <c r="D37141" t="s">
        <v>14</v>
      </c>
      <c r="E37141" t="s">
        <v>144</v>
      </c>
      <c r="F37141" s="2" t="str">
        <f>HYPERLINK("http://www.otzar.org/book.asp?168400","קונטרס יד בריבית")</f>
        <v>קונטרס יד בריבית</v>
      </c>
    </row>
    <row r="37142" spans="1:6" x14ac:dyDescent="0.2">
      <c r="A37142" t="s">
        <v>57206</v>
      </c>
      <c r="B37142" t="s">
        <v>57207</v>
      </c>
      <c r="C37142" t="s">
        <v>111</v>
      </c>
      <c r="D37142" t="s">
        <v>14</v>
      </c>
      <c r="E37142" t="s">
        <v>144</v>
      </c>
      <c r="F37142" s="2" t="str">
        <f>HYPERLINK("http://www.otzar.org/book.asp?630514","קונטרס יד גד - בכורות")</f>
        <v>קונטרס יד גד - בכורות</v>
      </c>
    </row>
    <row r="37143" spans="1:6" x14ac:dyDescent="0.2">
      <c r="A37143" t="s">
        <v>57208</v>
      </c>
      <c r="B37143" t="s">
        <v>3582</v>
      </c>
      <c r="C37143" t="s">
        <v>422</v>
      </c>
      <c r="D37143" t="s">
        <v>486</v>
      </c>
      <c r="E37143" t="s">
        <v>15</v>
      </c>
      <c r="F37143" s="2" t="str">
        <f>HYPERLINK("http://www.otzar.org/book.asp?179067","קונטרס יד דוד")</f>
        <v>קונטרס יד דוד</v>
      </c>
    </row>
    <row r="37144" spans="1:6" x14ac:dyDescent="0.2">
      <c r="A37144" t="s">
        <v>57209</v>
      </c>
      <c r="B37144" t="s">
        <v>28250</v>
      </c>
      <c r="C37144" t="s">
        <v>129</v>
      </c>
      <c r="D37144" t="s">
        <v>14</v>
      </c>
      <c r="E37144" t="s">
        <v>84</v>
      </c>
      <c r="F37144" s="2" t="str">
        <f>HYPERLINK("http://www.otzar.org/book.asp?144378","קונטרס יד הלוי - שביעית")</f>
        <v>קונטרס יד הלוי - שביעית</v>
      </c>
    </row>
    <row r="37145" spans="1:6" x14ac:dyDescent="0.2">
      <c r="A37145" t="s">
        <v>57210</v>
      </c>
      <c r="B37145" t="s">
        <v>57211</v>
      </c>
      <c r="C37145" t="s">
        <v>114</v>
      </c>
      <c r="D37145" t="s">
        <v>14</v>
      </c>
      <c r="E37145" t="s">
        <v>158</v>
      </c>
      <c r="F37145" s="2" t="str">
        <f>HYPERLINK("http://www.otzar.org/book.asp?625360","קונטרס יד יוסף - בראשית")</f>
        <v>קונטרס יד יוסף - בראשית</v>
      </c>
    </row>
    <row r="37146" spans="1:6" x14ac:dyDescent="0.2">
      <c r="A37146" t="s">
        <v>57212</v>
      </c>
      <c r="B37146" t="s">
        <v>57213</v>
      </c>
      <c r="C37146" t="s">
        <v>23</v>
      </c>
      <c r="D37146" t="s">
        <v>152</v>
      </c>
      <c r="E37146" t="s">
        <v>144</v>
      </c>
      <c r="F37146" s="2" t="str">
        <f>HYPERLINK("http://www.otzar.org/book.asp?195600","קונטרס יד ישראל - 2 כר'")</f>
        <v>קונטרס יד ישראל - 2 כר'</v>
      </c>
    </row>
    <row r="37147" spans="1:6" x14ac:dyDescent="0.2">
      <c r="A37147" t="s">
        <v>57214</v>
      </c>
      <c r="B37147" t="s">
        <v>57008</v>
      </c>
      <c r="C37147" t="s">
        <v>20</v>
      </c>
      <c r="D37147" t="s">
        <v>52</v>
      </c>
      <c r="E37147" t="s">
        <v>15</v>
      </c>
      <c r="F37147" s="2" t="str">
        <f>HYPERLINK("http://www.otzar.org/book.asp?176639","קונטרס יד למתעסק")</f>
        <v>קונטרס יד למתעסק</v>
      </c>
    </row>
    <row r="37148" spans="1:6" x14ac:dyDescent="0.2">
      <c r="A37148" t="s">
        <v>57215</v>
      </c>
      <c r="B37148" t="s">
        <v>56077</v>
      </c>
      <c r="C37148" t="s">
        <v>151</v>
      </c>
      <c r="D37148" t="s">
        <v>14</v>
      </c>
      <c r="F37148" s="2" t="str">
        <f>HYPERLINK("http://www.otzar.org/book.asp?618504","קונטרס יד לשבים")</f>
        <v>קונטרס יד לשבים</v>
      </c>
    </row>
    <row r="37149" spans="1:6" x14ac:dyDescent="0.2">
      <c r="A37149" t="s">
        <v>57216</v>
      </c>
      <c r="B37149" t="s">
        <v>2630</v>
      </c>
      <c r="C37149" t="s">
        <v>244</v>
      </c>
      <c r="D37149" t="s">
        <v>21</v>
      </c>
      <c r="E37149" t="s">
        <v>144</v>
      </c>
      <c r="F37149" s="2" t="str">
        <f>HYPERLINK("http://www.otzar.org/book.asp?605261","קונטרס יד שלום")</f>
        <v>קונטרס יד שלום</v>
      </c>
    </row>
    <row r="37150" spans="1:6" x14ac:dyDescent="0.2">
      <c r="A37150" t="s">
        <v>57217</v>
      </c>
      <c r="B37150" t="s">
        <v>12880</v>
      </c>
      <c r="C37150" t="s">
        <v>23</v>
      </c>
      <c r="D37150" t="s">
        <v>14</v>
      </c>
      <c r="E37150" t="s">
        <v>144</v>
      </c>
      <c r="F37150" s="2" t="str">
        <f>HYPERLINK("http://www.otzar.org/book.asp?194091","קונטרס יד שלמה - 2 כר'")</f>
        <v>קונטרס יד שלמה - 2 כר'</v>
      </c>
    </row>
    <row r="37151" spans="1:6" x14ac:dyDescent="0.2">
      <c r="A37151" t="s">
        <v>57218</v>
      </c>
      <c r="B37151" t="s">
        <v>57008</v>
      </c>
      <c r="C37151" t="s">
        <v>20</v>
      </c>
      <c r="D37151" t="s">
        <v>52</v>
      </c>
      <c r="E37151" t="s">
        <v>15</v>
      </c>
      <c r="F37151" s="2" t="str">
        <f>HYPERLINK("http://www.otzar.org/book.asp?176637","קונטרס ידא דמלאכות")</f>
        <v>קונטרס ידא דמלאכות</v>
      </c>
    </row>
    <row r="37152" spans="1:6" x14ac:dyDescent="0.2">
      <c r="A37152" t="s">
        <v>57219</v>
      </c>
      <c r="B37152" t="s">
        <v>6144</v>
      </c>
      <c r="C37152" t="s">
        <v>244</v>
      </c>
      <c r="D37152" t="s">
        <v>52</v>
      </c>
      <c r="E37152" t="s">
        <v>399</v>
      </c>
      <c r="F37152" s="2" t="str">
        <f>HYPERLINK("http://www.otzar.org/book.asp?602760","קונטרס ידי אליהו")</f>
        <v>קונטרס ידי אליהו</v>
      </c>
    </row>
    <row r="37153" spans="1:6" x14ac:dyDescent="0.2">
      <c r="A37153" t="s">
        <v>57220</v>
      </c>
      <c r="B37153" t="s">
        <v>15819</v>
      </c>
      <c r="C37153" t="s">
        <v>244</v>
      </c>
      <c r="D37153" t="s">
        <v>14</v>
      </c>
      <c r="E37153" t="s">
        <v>15</v>
      </c>
      <c r="F37153" s="2" t="str">
        <f>HYPERLINK("http://www.otzar.org/book.asp?600636","קונטרס ידי יוסף")</f>
        <v>קונטרס ידי יוסף</v>
      </c>
    </row>
    <row r="37154" spans="1:6" x14ac:dyDescent="0.2">
      <c r="A37154" t="s">
        <v>57221</v>
      </c>
      <c r="B37154" t="s">
        <v>57222</v>
      </c>
      <c r="C37154" t="s">
        <v>366</v>
      </c>
      <c r="D37154" t="s">
        <v>90</v>
      </c>
      <c r="F37154" s="2" t="str">
        <f>HYPERLINK("http://www.otzar.org/book.asp?608815","קונטרס ידי משה")</f>
        <v>קונטרס ידי משה</v>
      </c>
    </row>
    <row r="37155" spans="1:6" x14ac:dyDescent="0.2">
      <c r="A37155" t="s">
        <v>57223</v>
      </c>
      <c r="B37155" t="s">
        <v>57224</v>
      </c>
      <c r="C37155" t="s">
        <v>20</v>
      </c>
      <c r="D37155" t="s">
        <v>90</v>
      </c>
      <c r="E37155" t="s">
        <v>399</v>
      </c>
      <c r="F37155" s="2" t="str">
        <f>HYPERLINK("http://www.otzar.org/book.asp?614880","קונטרס ידיעות חשובות בעניין הזמן הראוי להתחיל ללמוד חלק הסוד")</f>
        <v>קונטרס ידיעות חשובות בעניין הזמן הראוי להתחיל ללמוד חלק הסוד</v>
      </c>
    </row>
    <row r="37156" spans="1:6" x14ac:dyDescent="0.2">
      <c r="A37156" t="s">
        <v>57225</v>
      </c>
      <c r="B37156" t="s">
        <v>57226</v>
      </c>
      <c r="C37156" t="s">
        <v>37</v>
      </c>
      <c r="D37156" t="s">
        <v>14</v>
      </c>
      <c r="E37156" t="s">
        <v>104</v>
      </c>
      <c r="F37156" s="2" t="str">
        <f>HYPERLINK("http://www.otzar.org/book.asp?180964","קונטרס ידיעת בית רבו")</f>
        <v>קונטרס ידיעת בית רבו</v>
      </c>
    </row>
    <row r="37157" spans="1:6" x14ac:dyDescent="0.2">
      <c r="A37157" t="s">
        <v>57227</v>
      </c>
      <c r="B37157" t="s">
        <v>6814</v>
      </c>
      <c r="C37157" t="s">
        <v>366</v>
      </c>
      <c r="D37157" t="s">
        <v>80</v>
      </c>
      <c r="E37157" t="s">
        <v>241</v>
      </c>
      <c r="F37157" s="2" t="str">
        <f>HYPERLINK("http://www.otzar.org/book.asp?603114","קונטרס ידיעת האמונה")</f>
        <v>קונטרס ידיעת האמונה</v>
      </c>
    </row>
    <row r="37158" spans="1:6" x14ac:dyDescent="0.2">
      <c r="A37158" t="s">
        <v>57228</v>
      </c>
      <c r="B37158" t="s">
        <v>57229</v>
      </c>
      <c r="C37158" t="s">
        <v>411</v>
      </c>
      <c r="D37158" t="s">
        <v>152</v>
      </c>
      <c r="F37158" s="2" t="str">
        <f>HYPERLINK("http://www.otzar.org/book.asp?197325","קונטרס ידיעת ישראל")</f>
        <v>קונטרס ידיעת ישראל</v>
      </c>
    </row>
    <row r="37159" spans="1:6" x14ac:dyDescent="0.2">
      <c r="A37159" t="s">
        <v>57230</v>
      </c>
      <c r="B37159" t="s">
        <v>17727</v>
      </c>
      <c r="C37159" t="s">
        <v>26</v>
      </c>
      <c r="D37159" t="s">
        <v>412</v>
      </c>
      <c r="F37159" s="2" t="str">
        <f>HYPERLINK("http://www.otzar.org/book.asp?613060","קונטרס יהי אור")</f>
        <v>קונטרס יהי אור</v>
      </c>
    </row>
    <row r="37160" spans="1:6" x14ac:dyDescent="0.2">
      <c r="A37160" t="s">
        <v>57231</v>
      </c>
      <c r="B37160" t="s">
        <v>49880</v>
      </c>
      <c r="C37160" t="s">
        <v>129</v>
      </c>
      <c r="D37160" t="s">
        <v>52</v>
      </c>
      <c r="E37160" t="s">
        <v>202</v>
      </c>
      <c r="F37160" s="2" t="str">
        <f>HYPERLINK("http://www.otzar.org/book.asp?173005","קונטרס יובל לנישואין")</f>
        <v>קונטרס יובל לנישואין</v>
      </c>
    </row>
    <row r="37161" spans="1:6" x14ac:dyDescent="0.2">
      <c r="A37161" t="s">
        <v>57232</v>
      </c>
      <c r="B37161" t="s">
        <v>57233</v>
      </c>
      <c r="C37161" t="s">
        <v>244</v>
      </c>
      <c r="D37161" t="s">
        <v>52</v>
      </c>
      <c r="E37161" t="s">
        <v>1517</v>
      </c>
      <c r="F37161" s="2" t="str">
        <f>HYPERLINK("http://www.otzar.org/book.asp?600223","קונטרס יודו לה' חסדו - זמירות לל""ג בעומר")</f>
        <v>קונטרס יודו לה' חסדו - זמירות לל"ג בעומר</v>
      </c>
    </row>
    <row r="37162" spans="1:6" x14ac:dyDescent="0.2">
      <c r="A37162" t="s">
        <v>57234</v>
      </c>
      <c r="B37162" t="s">
        <v>57235</v>
      </c>
      <c r="C37162" t="s">
        <v>151</v>
      </c>
      <c r="D37162" t="s">
        <v>80</v>
      </c>
      <c r="F37162" s="2" t="str">
        <f>HYPERLINK("http://www.otzar.org/book.asp?609785","קונטרס יודעי תרועה")</f>
        <v>קונטרס יודעי תרועה</v>
      </c>
    </row>
    <row r="37163" spans="1:6" x14ac:dyDescent="0.2">
      <c r="A37163" t="s">
        <v>57236</v>
      </c>
      <c r="B37163" t="s">
        <v>57237</v>
      </c>
      <c r="C37163" t="s">
        <v>129</v>
      </c>
      <c r="D37163" t="s">
        <v>52</v>
      </c>
      <c r="E37163" t="s">
        <v>15</v>
      </c>
      <c r="F37163" s="2" t="str">
        <f>HYPERLINK("http://www.otzar.org/book.asp?624935","קונטרס יום חתונתו")</f>
        <v>קונטרס יום חתונתו</v>
      </c>
    </row>
    <row r="37164" spans="1:6" x14ac:dyDescent="0.2">
      <c r="A37164" t="s">
        <v>57236</v>
      </c>
      <c r="B37164" t="s">
        <v>51079</v>
      </c>
      <c r="C37164" t="s">
        <v>37</v>
      </c>
      <c r="D37164" t="s">
        <v>14</v>
      </c>
      <c r="F37164" s="2" t="str">
        <f>HYPERLINK("http://www.otzar.org/book.asp?610379","קונטרס יום חתונתו")</f>
        <v>קונטרס יום חתונתו</v>
      </c>
    </row>
    <row r="37165" spans="1:6" x14ac:dyDescent="0.2">
      <c r="A37165" t="s">
        <v>57238</v>
      </c>
      <c r="B37165" t="s">
        <v>9510</v>
      </c>
      <c r="C37165" t="s">
        <v>366</v>
      </c>
      <c r="D37165" t="s">
        <v>5172</v>
      </c>
      <c r="F37165" s="2" t="str">
        <f>HYPERLINK("http://www.otzar.org/book.asp?605205","קונטרס יום טוב שני - 2 כר'")</f>
        <v>קונטרס יום טוב שני - 2 כר'</v>
      </c>
    </row>
    <row r="37166" spans="1:6" x14ac:dyDescent="0.2">
      <c r="A37166" t="s">
        <v>57239</v>
      </c>
      <c r="B37166" t="s">
        <v>22704</v>
      </c>
      <c r="C37166" t="s">
        <v>20</v>
      </c>
      <c r="D37166" t="s">
        <v>90</v>
      </c>
      <c r="F37166" s="2" t="str">
        <f>HYPERLINK("http://www.otzar.org/book.asp?611419","קונטרס יום שכולו שבת")</f>
        <v>קונטרס יום שכולו שבת</v>
      </c>
    </row>
    <row r="37167" spans="1:6" x14ac:dyDescent="0.2">
      <c r="A37167" t="s">
        <v>57239</v>
      </c>
      <c r="B37167" t="s">
        <v>50287</v>
      </c>
      <c r="C37167" t="s">
        <v>189</v>
      </c>
      <c r="D37167" t="s">
        <v>412</v>
      </c>
      <c r="E37167" t="s">
        <v>130</v>
      </c>
      <c r="F37167" s="2" t="str">
        <f>HYPERLINK("http://www.otzar.org/book.asp?163357","קונטרס יום שכולו שבת")</f>
        <v>קונטרס יום שכולו שבת</v>
      </c>
    </row>
    <row r="37168" spans="1:6" x14ac:dyDescent="0.2">
      <c r="A37168" t="s">
        <v>57240</v>
      </c>
      <c r="B37168" t="s">
        <v>57241</v>
      </c>
      <c r="C37168" t="s">
        <v>20</v>
      </c>
      <c r="D37168" t="s">
        <v>90</v>
      </c>
      <c r="E37168" t="s">
        <v>246</v>
      </c>
      <c r="F37168" s="2" t="str">
        <f>HYPERLINK("http://www.otzar.org/book.asp?196037","קונטרס יומא טבא לרבנן")</f>
        <v>קונטרס יומא טבא לרבנן</v>
      </c>
    </row>
    <row r="37169" spans="1:6" x14ac:dyDescent="0.2">
      <c r="A37169" t="s">
        <v>57242</v>
      </c>
      <c r="B37169" t="s">
        <v>206</v>
      </c>
      <c r="C37169" t="s">
        <v>189</v>
      </c>
      <c r="D37169" t="s">
        <v>21</v>
      </c>
      <c r="E37169" t="s">
        <v>15</v>
      </c>
      <c r="F37169" s="2" t="str">
        <f>HYPERLINK("http://www.otzar.org/book.asp?197827","קונטרס יוסיף חיים")</f>
        <v>קונטרס יוסיף חיים</v>
      </c>
    </row>
    <row r="37170" spans="1:6" x14ac:dyDescent="0.2">
      <c r="A37170" t="s">
        <v>57243</v>
      </c>
      <c r="B37170" t="s">
        <v>55804</v>
      </c>
      <c r="C37170" t="s">
        <v>111</v>
      </c>
      <c r="D37170" t="s">
        <v>52</v>
      </c>
      <c r="F37170" s="2" t="str">
        <f>HYPERLINK("http://www.otzar.org/book.asp?623072","קונטרס יוסיף לקח - 2 כר'")</f>
        <v>קונטרס יוסיף לקח - 2 כר'</v>
      </c>
    </row>
    <row r="37171" spans="1:6" x14ac:dyDescent="0.2">
      <c r="A37171" t="s">
        <v>57244</v>
      </c>
      <c r="B37171" t="s">
        <v>57245</v>
      </c>
      <c r="C37171" t="s">
        <v>23</v>
      </c>
      <c r="D37171" t="s">
        <v>21</v>
      </c>
      <c r="F37171" s="2" t="str">
        <f>HYPERLINK("http://www.otzar.org/book.asp?197720","קונטרס יוסף אהבה")</f>
        <v>קונטרס יוסף אהבה</v>
      </c>
    </row>
    <row r="37172" spans="1:6" x14ac:dyDescent="0.2">
      <c r="A37172" t="s">
        <v>57246</v>
      </c>
      <c r="B37172" t="s">
        <v>55804</v>
      </c>
      <c r="C37172" t="s">
        <v>23</v>
      </c>
      <c r="D37172" t="s">
        <v>152</v>
      </c>
      <c r="F37172" s="2" t="str">
        <f>HYPERLINK("http://www.otzar.org/book.asp?194052","קונטרס יוסף חן")</f>
        <v>קונטרס יוסף חן</v>
      </c>
    </row>
    <row r="37173" spans="1:6" x14ac:dyDescent="0.2">
      <c r="A37173" t="s">
        <v>57247</v>
      </c>
      <c r="B37173" t="s">
        <v>3391</v>
      </c>
      <c r="C37173" t="s">
        <v>111</v>
      </c>
      <c r="D37173" t="s">
        <v>52</v>
      </c>
      <c r="F37173" s="2" t="str">
        <f>HYPERLINK("http://www.otzar.org/book.asp?632053","קונטרס יוסף לקח")</f>
        <v>קונטרס יוסף לקח</v>
      </c>
    </row>
    <row r="37174" spans="1:6" x14ac:dyDescent="0.2">
      <c r="A37174" t="s">
        <v>57248</v>
      </c>
      <c r="B37174" t="s">
        <v>55804</v>
      </c>
      <c r="C37174" t="s">
        <v>23</v>
      </c>
      <c r="D37174" t="s">
        <v>152</v>
      </c>
      <c r="F37174" s="2" t="str">
        <f>HYPERLINK("http://www.otzar.org/book.asp?194053","קונטרס יוסף לקח - 2 כר'")</f>
        <v>קונטרס יוסף לקח - 2 כר'</v>
      </c>
    </row>
    <row r="37175" spans="1:6" x14ac:dyDescent="0.2">
      <c r="A37175" t="s">
        <v>57249</v>
      </c>
      <c r="B37175" t="s">
        <v>57250</v>
      </c>
      <c r="C37175" t="s">
        <v>20</v>
      </c>
      <c r="D37175" t="s">
        <v>14</v>
      </c>
      <c r="E37175" t="s">
        <v>144</v>
      </c>
      <c r="F37175" s="2" t="str">
        <f>HYPERLINK("http://www.otzar.org/book.asp?143680","קונטרס יוסף שיח")</f>
        <v>קונטרס יוסף שיח</v>
      </c>
    </row>
    <row r="37176" spans="1:6" x14ac:dyDescent="0.2">
      <c r="A37176" t="s">
        <v>57251</v>
      </c>
      <c r="B37176" t="s">
        <v>206</v>
      </c>
      <c r="C37176" t="s">
        <v>366</v>
      </c>
      <c r="D37176" t="s">
        <v>52</v>
      </c>
      <c r="E37176" t="s">
        <v>15</v>
      </c>
      <c r="F37176" s="2" t="str">
        <f>HYPERLINK("http://www.otzar.org/book.asp?606475","קונטרס יורנו בדרך")</f>
        <v>קונטרס יורנו בדרך</v>
      </c>
    </row>
    <row r="37177" spans="1:6" x14ac:dyDescent="0.2">
      <c r="A37177" t="s">
        <v>57252</v>
      </c>
      <c r="B37177" t="s">
        <v>57253</v>
      </c>
      <c r="C37177" t="s">
        <v>332</v>
      </c>
      <c r="D37177" t="s">
        <v>412</v>
      </c>
      <c r="E37177" t="s">
        <v>241</v>
      </c>
      <c r="F37177" s="2" t="str">
        <f>HYPERLINK("http://www.otzar.org/book.asp?624746","קונטרס יושב תהלות ישראל")</f>
        <v>קונטרס יושב תהלות ישראל</v>
      </c>
    </row>
    <row r="37178" spans="1:6" x14ac:dyDescent="0.2">
      <c r="A37178" t="s">
        <v>57254</v>
      </c>
      <c r="B37178" t="s">
        <v>9611</v>
      </c>
      <c r="C37178" t="s">
        <v>1619</v>
      </c>
      <c r="D37178" t="s">
        <v>27</v>
      </c>
      <c r="E37178" t="s">
        <v>130</v>
      </c>
      <c r="F37178" s="2" t="str">
        <f>HYPERLINK("http://www.otzar.org/book.asp?84397","קונטרס יחוה דעת")</f>
        <v>קונטרס יחוה דעת</v>
      </c>
    </row>
    <row r="37179" spans="1:6" x14ac:dyDescent="0.2">
      <c r="A37179" t="s">
        <v>57255</v>
      </c>
      <c r="B37179" t="s">
        <v>57256</v>
      </c>
      <c r="C37179" t="s">
        <v>466</v>
      </c>
      <c r="D37179" t="s">
        <v>852</v>
      </c>
      <c r="E37179" t="s">
        <v>119</v>
      </c>
      <c r="F37179" s="2" t="str">
        <f>HYPERLINK("http://www.otzar.org/book.asp?615969","קונטרס יחוס אבות")</f>
        <v>קונטרס יחוס אבות</v>
      </c>
    </row>
    <row r="37180" spans="1:6" x14ac:dyDescent="0.2">
      <c r="A37180" t="s">
        <v>57257</v>
      </c>
      <c r="B37180" t="s">
        <v>9342</v>
      </c>
      <c r="C37180" t="s">
        <v>176</v>
      </c>
      <c r="D37180" t="s">
        <v>52</v>
      </c>
      <c r="E37180" t="s">
        <v>15</v>
      </c>
      <c r="F37180" s="2" t="str">
        <f>HYPERLINK("http://www.otzar.org/book.asp?24954","קונטרס יחיד בהלכות אמירת תחנון ביחידות")</f>
        <v>קונטרס יחיד בהלכות אמירת תחנון ביחידות</v>
      </c>
    </row>
    <row r="37181" spans="1:6" x14ac:dyDescent="0.2">
      <c r="A37181" t="s">
        <v>57258</v>
      </c>
      <c r="B37181" t="s">
        <v>552</v>
      </c>
      <c r="F37181" s="2" t="str">
        <f>HYPERLINK("http://www.otzar.org/book.asp?616824","קונטרס יחיד היה")</f>
        <v>קונטרס יחיד היה</v>
      </c>
    </row>
    <row r="37182" spans="1:6" x14ac:dyDescent="0.2">
      <c r="A37182" t="s">
        <v>57259</v>
      </c>
      <c r="B37182" t="s">
        <v>1693</v>
      </c>
      <c r="C37182" t="s">
        <v>20</v>
      </c>
      <c r="D37182" t="s">
        <v>14</v>
      </c>
      <c r="E37182" t="s">
        <v>241</v>
      </c>
      <c r="F37182" s="2" t="str">
        <f>HYPERLINK("http://www.otzar.org/book.asp?168345","קונטרס יחידה ליחדך")</f>
        <v>קונטרס יחידה ליחדך</v>
      </c>
    </row>
    <row r="37183" spans="1:6" x14ac:dyDescent="0.2">
      <c r="A37183" t="s">
        <v>57260</v>
      </c>
      <c r="B37183" t="s">
        <v>57261</v>
      </c>
      <c r="C37183" t="s">
        <v>37</v>
      </c>
      <c r="D37183" t="s">
        <v>90</v>
      </c>
      <c r="E37183" t="s">
        <v>144</v>
      </c>
      <c r="F37183" s="2" t="str">
        <f>HYPERLINK("http://www.otzar.org/book.asp?614900","קונטרס יחלק שלל")</f>
        <v>קונטרס יחלק שלל</v>
      </c>
    </row>
    <row r="37184" spans="1:6" x14ac:dyDescent="0.2">
      <c r="A37184" t="s">
        <v>57260</v>
      </c>
      <c r="B37184" t="s">
        <v>9463</v>
      </c>
      <c r="C37184" t="s">
        <v>20</v>
      </c>
      <c r="D37184" t="s">
        <v>4549</v>
      </c>
      <c r="E37184" t="s">
        <v>144</v>
      </c>
      <c r="F37184" s="2" t="str">
        <f>HYPERLINK("http://www.otzar.org/book.asp?623384","קונטרס יחלק שלל")</f>
        <v>קונטרס יחלק שלל</v>
      </c>
    </row>
    <row r="37185" spans="1:6" x14ac:dyDescent="0.2">
      <c r="A37185" t="s">
        <v>57262</v>
      </c>
      <c r="B37185" t="s">
        <v>206</v>
      </c>
      <c r="C37185" t="s">
        <v>68</v>
      </c>
      <c r="D37185" t="s">
        <v>52</v>
      </c>
      <c r="E37185" t="s">
        <v>154</v>
      </c>
      <c r="F37185" s="2" t="str">
        <f>HYPERLINK("http://www.otzar.org/book.asp?161510","קונטרס יין הטוב")</f>
        <v>קונטרס יין הטוב</v>
      </c>
    </row>
    <row r="37186" spans="1:6" x14ac:dyDescent="0.2">
      <c r="A37186" t="s">
        <v>57263</v>
      </c>
      <c r="B37186" t="s">
        <v>57264</v>
      </c>
      <c r="C37186" t="s">
        <v>111</v>
      </c>
      <c r="D37186" t="s">
        <v>90</v>
      </c>
      <c r="E37186" t="s">
        <v>144</v>
      </c>
      <c r="F37186" s="2" t="str">
        <f>HYPERLINK("http://www.otzar.org/book.asp?629812","קונטרס יין הרקח - ב""ק")</f>
        <v>קונטרס יין הרקח - ב"ק</v>
      </c>
    </row>
    <row r="37187" spans="1:6" x14ac:dyDescent="0.2">
      <c r="A37187" t="s">
        <v>57265</v>
      </c>
      <c r="B37187" t="s">
        <v>9635</v>
      </c>
      <c r="C37187" t="s">
        <v>20</v>
      </c>
      <c r="D37187" t="s">
        <v>152</v>
      </c>
      <c r="E37187" t="s">
        <v>144</v>
      </c>
      <c r="F37187" s="2" t="str">
        <f>HYPERLINK("http://www.otzar.org/book.asp?179967","קונטרס יין מלכות (מכות, נדרים, שבועות-שתיים בתרא, גיטין)")</f>
        <v>קונטרס יין מלכות (מכות, נדרים, שבועות-שתיים בתרא, גיטין)</v>
      </c>
    </row>
    <row r="37188" spans="1:6" x14ac:dyDescent="0.2">
      <c r="A37188" t="s">
        <v>57266</v>
      </c>
      <c r="B37188" t="s">
        <v>9635</v>
      </c>
      <c r="C37188" t="s">
        <v>466</v>
      </c>
      <c r="D37188" t="s">
        <v>657</v>
      </c>
      <c r="E37188" t="s">
        <v>144</v>
      </c>
      <c r="F37188" s="2" t="str">
        <f>HYPERLINK("http://www.otzar.org/book.asp?23023","קונטרס יין מלכות (פסחים ,ב""מ, שבועות-שבועת הדיינים)")</f>
        <v>קונטרס יין מלכות (פסחים ,ב"מ, שבועות-שבועת הדיינים)</v>
      </c>
    </row>
    <row r="37189" spans="1:6" x14ac:dyDescent="0.2">
      <c r="A37189" t="s">
        <v>57267</v>
      </c>
      <c r="B37189" t="s">
        <v>57268</v>
      </c>
      <c r="C37189" t="s">
        <v>244</v>
      </c>
      <c r="D37189" t="s">
        <v>90</v>
      </c>
      <c r="E37189" t="s">
        <v>803</v>
      </c>
      <c r="F37189" s="2" t="str">
        <f>HYPERLINK("http://www.otzar.org/book.asp?602677","קונטרס יכירנו לאחרים")</f>
        <v>קונטרס יכירנו לאחרים</v>
      </c>
    </row>
    <row r="37190" spans="1:6" x14ac:dyDescent="0.2">
      <c r="A37190" t="s">
        <v>57269</v>
      </c>
      <c r="B37190" t="s">
        <v>57270</v>
      </c>
      <c r="C37190" t="s">
        <v>366</v>
      </c>
      <c r="D37190" t="s">
        <v>4996</v>
      </c>
      <c r="E37190" t="s">
        <v>246</v>
      </c>
      <c r="F37190" s="2" t="str">
        <f>HYPERLINK("http://www.otzar.org/book.asp?606342","קונטרס ילוה אישי")</f>
        <v>קונטרס ילוה אישי</v>
      </c>
    </row>
    <row r="37191" spans="1:6" x14ac:dyDescent="0.2">
      <c r="A37191" t="s">
        <v>57271</v>
      </c>
      <c r="B37191" t="s">
        <v>627</v>
      </c>
      <c r="C37191" t="s">
        <v>989</v>
      </c>
      <c r="D37191" t="s">
        <v>14</v>
      </c>
      <c r="E37191" t="s">
        <v>15</v>
      </c>
      <c r="F37191" s="2" t="str">
        <f>HYPERLINK("http://www.otzar.org/book.asp?195522","קונטרס ילקוט ענף עץ אבות")</f>
        <v>קונטרס ילקוט ענף עץ אבות</v>
      </c>
    </row>
    <row r="37192" spans="1:6" x14ac:dyDescent="0.2">
      <c r="A37192" t="s">
        <v>57272</v>
      </c>
      <c r="B37192" t="s">
        <v>57272</v>
      </c>
      <c r="C37192" t="s">
        <v>20</v>
      </c>
      <c r="D37192" t="s">
        <v>90</v>
      </c>
      <c r="E37192" t="s">
        <v>130</v>
      </c>
      <c r="F37192" s="2" t="str">
        <f>HYPERLINK("http://www.otzar.org/book.asp?163118","קונטרס ים החכמה")</f>
        <v>קונטרס ים החכמה</v>
      </c>
    </row>
    <row r="37193" spans="1:6" x14ac:dyDescent="0.2">
      <c r="A37193" t="s">
        <v>57273</v>
      </c>
      <c r="B37193" t="s">
        <v>57274</v>
      </c>
      <c r="C37193" t="s">
        <v>133</v>
      </c>
      <c r="D37193" t="s">
        <v>1273</v>
      </c>
      <c r="F37193" s="2" t="str">
        <f>HYPERLINK("http://www.otzar.org/book.asp?194591","קונטרס ים שמחה - עניני נישואין")</f>
        <v>קונטרס ים שמחה - עניני נישואין</v>
      </c>
    </row>
    <row r="37194" spans="1:6" x14ac:dyDescent="0.2">
      <c r="A37194" t="s">
        <v>57275</v>
      </c>
      <c r="B37194" t="s">
        <v>42150</v>
      </c>
      <c r="C37194" t="s">
        <v>624</v>
      </c>
      <c r="D37194" t="s">
        <v>14</v>
      </c>
      <c r="E37194" t="s">
        <v>130</v>
      </c>
      <c r="F37194" s="2" t="str">
        <f>HYPERLINK("http://www.otzar.org/book.asp?61329","קונטרס ימי הפורים בזמנם")</f>
        <v>קונטרס ימי הפורים בזמנם</v>
      </c>
    </row>
    <row r="37195" spans="1:6" x14ac:dyDescent="0.2">
      <c r="A37195" t="s">
        <v>57276</v>
      </c>
      <c r="B37195" t="s">
        <v>29484</v>
      </c>
      <c r="C37195" t="s">
        <v>20</v>
      </c>
      <c r="D37195" t="s">
        <v>90</v>
      </c>
      <c r="E37195" t="s">
        <v>3798</v>
      </c>
      <c r="F37195" s="2" t="str">
        <f>HYPERLINK("http://www.otzar.org/book.asp?197824","קונטרס ימי הרחמים והסליחות")</f>
        <v>קונטרס ימי הרחמים והסליחות</v>
      </c>
    </row>
    <row r="37196" spans="1:6" x14ac:dyDescent="0.2">
      <c r="A37196" t="s">
        <v>57277</v>
      </c>
      <c r="B37196" t="s">
        <v>4694</v>
      </c>
      <c r="C37196" t="s">
        <v>1570</v>
      </c>
      <c r="D37196" t="s">
        <v>2201</v>
      </c>
      <c r="E37196" t="s">
        <v>241</v>
      </c>
      <c r="F37196" s="2" t="str">
        <f>HYPERLINK("http://www.otzar.org/book.asp?604301","קונטרס ימי הרצון")</f>
        <v>קונטרס ימי הרצון</v>
      </c>
    </row>
    <row r="37197" spans="1:6" x14ac:dyDescent="0.2">
      <c r="A37197" t="s">
        <v>57277</v>
      </c>
      <c r="B37197" t="s">
        <v>33841</v>
      </c>
      <c r="C37197" t="s">
        <v>1570</v>
      </c>
      <c r="D37197" t="s">
        <v>2201</v>
      </c>
      <c r="E37197" t="s">
        <v>241</v>
      </c>
      <c r="F37197" s="2" t="str">
        <f>HYPERLINK("http://www.otzar.org/book.asp?624947","קונטרס ימי הרצון")</f>
        <v>קונטרס ימי הרצון</v>
      </c>
    </row>
    <row r="37198" spans="1:6" x14ac:dyDescent="0.2">
      <c r="A37198" t="s">
        <v>57278</v>
      </c>
      <c r="B37198" t="s">
        <v>1402</v>
      </c>
      <c r="C37198" t="s">
        <v>466</v>
      </c>
      <c r="D37198" t="s">
        <v>52</v>
      </c>
      <c r="E37198" t="s">
        <v>3798</v>
      </c>
      <c r="F37198" s="2" t="str">
        <f>HYPERLINK("http://www.otzar.org/book.asp?157876","קונטרס ימי רצון - אלול")</f>
        <v>קונטרס ימי רצון - אלול</v>
      </c>
    </row>
    <row r="37199" spans="1:6" x14ac:dyDescent="0.2">
      <c r="A37199" t="s">
        <v>57279</v>
      </c>
      <c r="B37199" t="s">
        <v>25534</v>
      </c>
      <c r="C37199" t="s">
        <v>523</v>
      </c>
      <c r="D37199" t="s">
        <v>14</v>
      </c>
      <c r="E37199" t="s">
        <v>15</v>
      </c>
      <c r="F37199" s="2" t="str">
        <f>HYPERLINK("http://www.otzar.org/book.asp?603231","קונטרס ימין ישראל")</f>
        <v>קונטרס ימין ישראל</v>
      </c>
    </row>
    <row r="37200" spans="1:6" x14ac:dyDescent="0.2">
      <c r="A37200" t="s">
        <v>57280</v>
      </c>
      <c r="B37200" t="s">
        <v>57281</v>
      </c>
      <c r="C37200" t="s">
        <v>20</v>
      </c>
      <c r="D37200" t="s">
        <v>3750</v>
      </c>
      <c r="E37200" t="s">
        <v>241</v>
      </c>
      <c r="F37200" s="2" t="str">
        <f>HYPERLINK("http://www.otzar.org/book.asp?607264","קונטרס יסוד החיים")</f>
        <v>קונטרס יסוד החיים</v>
      </c>
    </row>
    <row r="37201" spans="1:6" x14ac:dyDescent="0.2">
      <c r="A37201" t="s">
        <v>57282</v>
      </c>
      <c r="B37201" t="s">
        <v>57283</v>
      </c>
      <c r="D37201" t="s">
        <v>90</v>
      </c>
      <c r="F37201" s="2" t="str">
        <f>HYPERLINK("http://www.otzar.org/book.asp?198630","קונטרס יסוד מאיר")</f>
        <v>קונטרס יסוד מאיר</v>
      </c>
    </row>
    <row r="37202" spans="1:6" x14ac:dyDescent="0.2">
      <c r="A37202" t="s">
        <v>57284</v>
      </c>
      <c r="B37202" t="s">
        <v>57285</v>
      </c>
      <c r="C37202" t="s">
        <v>244</v>
      </c>
      <c r="D37202" t="s">
        <v>14</v>
      </c>
      <c r="E37202" t="s">
        <v>15</v>
      </c>
      <c r="F37202" s="2" t="str">
        <f>HYPERLINK("http://www.otzar.org/book.asp?603359","קונטרס יסודות הלכות יום טוב")</f>
        <v>קונטרס יסודות הלכות יום טוב</v>
      </c>
    </row>
    <row r="37203" spans="1:6" x14ac:dyDescent="0.2">
      <c r="A37203" t="s">
        <v>57286</v>
      </c>
      <c r="B37203" t="s">
        <v>5572</v>
      </c>
      <c r="C37203" t="s">
        <v>366</v>
      </c>
      <c r="D37203" t="s">
        <v>412</v>
      </c>
      <c r="F37203" s="2" t="str">
        <f>HYPERLINK("http://www.otzar.org/book.asp?608806","קונטרס יעמוד")</f>
        <v>קונטרס יעמוד</v>
      </c>
    </row>
    <row r="37204" spans="1:6" x14ac:dyDescent="0.2">
      <c r="A37204" t="s">
        <v>57287</v>
      </c>
      <c r="B37204" t="s">
        <v>57288</v>
      </c>
      <c r="C37204" t="s">
        <v>422</v>
      </c>
      <c r="D37204" t="s">
        <v>14</v>
      </c>
      <c r="E37204" t="s">
        <v>1517</v>
      </c>
      <c r="F37204" s="2" t="str">
        <f>HYPERLINK("http://www.otzar.org/book.asp?166269","קונטרס יעקב שיחי")</f>
        <v>קונטרס יעקב שיחי</v>
      </c>
    </row>
    <row r="37205" spans="1:6" x14ac:dyDescent="0.2">
      <c r="A37205" t="s">
        <v>57289</v>
      </c>
      <c r="B37205" t="s">
        <v>56273</v>
      </c>
      <c r="C37205" t="s">
        <v>146</v>
      </c>
      <c r="D37205" t="s">
        <v>52</v>
      </c>
      <c r="F37205" s="2" t="str">
        <f>HYPERLINK("http://www.otzar.org/book.asp?604837","קונטרס יערב עליו שיחי")</f>
        <v>קונטרס יערב עליו שיחי</v>
      </c>
    </row>
    <row r="37206" spans="1:6" x14ac:dyDescent="0.2">
      <c r="A37206" t="s">
        <v>57290</v>
      </c>
      <c r="B37206" t="s">
        <v>57291</v>
      </c>
      <c r="C37206" t="s">
        <v>366</v>
      </c>
      <c r="D37206" t="s">
        <v>4338</v>
      </c>
      <c r="F37206" s="2" t="str">
        <f>HYPERLINK("http://www.otzar.org/book.asp?609985","קונטרס יפה נדרשת")</f>
        <v>קונטרס יפה נדרשת</v>
      </c>
    </row>
    <row r="37207" spans="1:6" x14ac:dyDescent="0.2">
      <c r="A37207" t="s">
        <v>57292</v>
      </c>
      <c r="B37207" t="s">
        <v>763</v>
      </c>
      <c r="D37207" t="s">
        <v>412</v>
      </c>
      <c r="E37207" t="s">
        <v>15</v>
      </c>
      <c r="F37207" s="2" t="str">
        <f>HYPERLINK("http://www.otzar.org/book.asp?602689","קונטרס יצא אדם לפעלו")</f>
        <v>קונטרס יצא אדם לפעלו</v>
      </c>
    </row>
    <row r="37208" spans="1:6" x14ac:dyDescent="0.2">
      <c r="A37208" t="s">
        <v>57293</v>
      </c>
      <c r="B37208" t="s">
        <v>57294</v>
      </c>
      <c r="C37208" t="s">
        <v>129</v>
      </c>
      <c r="D37208" t="s">
        <v>52</v>
      </c>
      <c r="E37208" t="s">
        <v>15</v>
      </c>
      <c r="F37208" s="2" t="str">
        <f>HYPERLINK("http://www.otzar.org/book.asp?85734","קונטרס יקרא דאורייתא")</f>
        <v>קונטרס יקרא דאורייתא</v>
      </c>
    </row>
    <row r="37209" spans="1:6" x14ac:dyDescent="0.2">
      <c r="A37209" t="s">
        <v>57295</v>
      </c>
      <c r="B37209" t="s">
        <v>57296</v>
      </c>
      <c r="C37209" t="s">
        <v>87</v>
      </c>
      <c r="D37209" t="s">
        <v>986</v>
      </c>
      <c r="E37209" t="s">
        <v>158</v>
      </c>
      <c r="F37209" s="2" t="str">
        <f>HYPERLINK("http://www.otzar.org/book.asp?153930","קונטרס יקרא דשבתא - 2 כר'")</f>
        <v>קונטרס יקרא דשבתא - 2 כר'</v>
      </c>
    </row>
    <row r="37210" spans="1:6" x14ac:dyDescent="0.2">
      <c r="A37210" t="s">
        <v>57297</v>
      </c>
      <c r="B37210" t="s">
        <v>56077</v>
      </c>
      <c r="C37210" t="s">
        <v>129</v>
      </c>
      <c r="D37210" t="s">
        <v>14</v>
      </c>
      <c r="F37210" s="2" t="str">
        <f>HYPERLINK("http://www.otzar.org/book.asp?618506","קונטרס ירח איתנים - בענייני ראש השנה, יום הכיפורים ושמחת יום טוב")</f>
        <v>קונטרס ירח איתנים - בענייני ראש השנה, יום הכיפורים ושמחת יום טוב</v>
      </c>
    </row>
    <row r="37211" spans="1:6" x14ac:dyDescent="0.2">
      <c r="A37211" t="s">
        <v>57298</v>
      </c>
      <c r="B37211" t="s">
        <v>10824</v>
      </c>
      <c r="C37211" t="s">
        <v>114</v>
      </c>
      <c r="D37211" t="s">
        <v>52</v>
      </c>
      <c r="F37211" s="2" t="str">
        <f>HYPERLINK("http://www.otzar.org/book.asp?608894","קונטרס ירח איתנים")</f>
        <v>קונטרס ירח איתנים</v>
      </c>
    </row>
    <row r="37212" spans="1:6" x14ac:dyDescent="0.2">
      <c r="A37212" t="s">
        <v>57299</v>
      </c>
      <c r="B37212" t="s">
        <v>15154</v>
      </c>
      <c r="C37212" t="s">
        <v>1062</v>
      </c>
      <c r="D37212" t="s">
        <v>412</v>
      </c>
      <c r="F37212" s="2" t="str">
        <f>HYPERLINK("http://www.otzar.org/book.asp?620904","קונטרס ירח האיתנים - 2 כר'")</f>
        <v>קונטרס ירח האיתנים - 2 כר'</v>
      </c>
    </row>
    <row r="37213" spans="1:6" x14ac:dyDescent="0.2">
      <c r="A37213" t="s">
        <v>57300</v>
      </c>
      <c r="B37213" t="s">
        <v>24983</v>
      </c>
      <c r="C37213" t="s">
        <v>244</v>
      </c>
      <c r="D37213" t="s">
        <v>152</v>
      </c>
      <c r="E37213" t="s">
        <v>130</v>
      </c>
      <c r="F37213" s="2" t="str">
        <f>HYPERLINK("http://www.otzar.org/book.asp?629466","קונטרס ירח האיתנים")</f>
        <v>קונטרס ירח האיתנים</v>
      </c>
    </row>
    <row r="37214" spans="1:6" x14ac:dyDescent="0.2">
      <c r="A37214" t="s">
        <v>57300</v>
      </c>
      <c r="B37214" t="s">
        <v>16591</v>
      </c>
      <c r="C37214" t="s">
        <v>146</v>
      </c>
      <c r="D37214" t="s">
        <v>14</v>
      </c>
      <c r="E37214" t="s">
        <v>6078</v>
      </c>
      <c r="F37214" s="2" t="str">
        <f>HYPERLINK("http://www.otzar.org/book.asp?186754","קונטרס ירח האיתנים")</f>
        <v>קונטרס ירח האיתנים</v>
      </c>
    </row>
    <row r="37215" spans="1:6" x14ac:dyDescent="0.2">
      <c r="A37215" t="s">
        <v>57301</v>
      </c>
      <c r="B37215" t="s">
        <v>8065</v>
      </c>
      <c r="C37215" t="s">
        <v>411</v>
      </c>
      <c r="D37215" t="s">
        <v>2383</v>
      </c>
      <c r="E37215" t="s">
        <v>15</v>
      </c>
      <c r="F37215" s="2" t="str">
        <f>HYPERLINK("http://www.otzar.org/book.asp?622330","קונטרס ירח טוב")</f>
        <v>קונטרס ירח טוב</v>
      </c>
    </row>
    <row r="37216" spans="1:6" x14ac:dyDescent="0.2">
      <c r="A37216" t="s">
        <v>57302</v>
      </c>
      <c r="B37216" t="s">
        <v>1750</v>
      </c>
      <c r="C37216" t="s">
        <v>87</v>
      </c>
      <c r="D37216" t="s">
        <v>52</v>
      </c>
      <c r="E37216" t="s">
        <v>2091</v>
      </c>
      <c r="F37216" s="2" t="str">
        <f>HYPERLINK("http://www.otzar.org/book.asp?143600","קונטרס יריעות שלמה")</f>
        <v>קונטרס יריעות שלמה</v>
      </c>
    </row>
    <row r="37217" spans="1:6" x14ac:dyDescent="0.2">
      <c r="A37217" t="s">
        <v>57303</v>
      </c>
      <c r="B37217" t="s">
        <v>57304</v>
      </c>
      <c r="C37217" t="s">
        <v>151</v>
      </c>
      <c r="D37217" t="s">
        <v>152</v>
      </c>
      <c r="F37217" s="2" t="str">
        <f>HYPERLINK("http://www.otzar.org/book.asp?616843","קונטרס יש לעיין")</f>
        <v>קונטרס יש לעיין</v>
      </c>
    </row>
    <row r="37218" spans="1:6" x14ac:dyDescent="0.2">
      <c r="A37218" t="s">
        <v>57303</v>
      </c>
      <c r="B37218" t="s">
        <v>16577</v>
      </c>
      <c r="C37218" t="s">
        <v>244</v>
      </c>
      <c r="D37218" t="s">
        <v>152</v>
      </c>
      <c r="F37218" s="2" t="str">
        <f>HYPERLINK("http://www.otzar.org/book.asp?198192","קונטרס יש לעיין")</f>
        <v>קונטרס יש לעיין</v>
      </c>
    </row>
    <row r="37219" spans="1:6" x14ac:dyDescent="0.2">
      <c r="A37219" t="s">
        <v>57305</v>
      </c>
      <c r="B37219" t="s">
        <v>57306</v>
      </c>
      <c r="C37219" t="s">
        <v>366</v>
      </c>
      <c r="D37219" t="s">
        <v>14</v>
      </c>
      <c r="E37219" t="s">
        <v>144</v>
      </c>
      <c r="F37219" s="2" t="str">
        <f>HYPERLINK("http://www.otzar.org/book.asp?608283","קונטרס ישב ממלי - גיטין")</f>
        <v>קונטרס ישב ממלי - גיטין</v>
      </c>
    </row>
    <row r="37220" spans="1:6" x14ac:dyDescent="0.2">
      <c r="A37220" t="s">
        <v>57307</v>
      </c>
      <c r="B37220" t="s">
        <v>42908</v>
      </c>
      <c r="C37220" t="s">
        <v>68</v>
      </c>
      <c r="D37220" t="s">
        <v>52</v>
      </c>
      <c r="E37220" t="s">
        <v>144</v>
      </c>
      <c r="F37220" s="2" t="str">
        <f>HYPERLINK("http://www.otzar.org/book.asp?153025","קונטרס ישולם נדר")</f>
        <v>קונטרס ישולם נדר</v>
      </c>
    </row>
    <row r="37221" spans="1:6" x14ac:dyDescent="0.2">
      <c r="A37221" t="s">
        <v>57308</v>
      </c>
      <c r="B37221" t="s">
        <v>11221</v>
      </c>
      <c r="C37221" t="s">
        <v>114</v>
      </c>
      <c r="D37221" t="s">
        <v>21</v>
      </c>
      <c r="E37221" t="s">
        <v>15</v>
      </c>
      <c r="F37221" s="2" t="str">
        <f>HYPERLINK("http://www.otzar.org/book.asp?607233","קונטרס ישועות ונחמות")</f>
        <v>קונטרס ישועות ונחמות</v>
      </c>
    </row>
    <row r="37222" spans="1:6" x14ac:dyDescent="0.2">
      <c r="A37222" t="s">
        <v>57309</v>
      </c>
      <c r="B37222" t="s">
        <v>57310</v>
      </c>
      <c r="C37222" t="s">
        <v>767</v>
      </c>
      <c r="D37222" t="s">
        <v>52</v>
      </c>
      <c r="E37222" t="s">
        <v>57311</v>
      </c>
      <c r="F37222" s="2" t="str">
        <f>HYPERLINK("http://www.otzar.org/book.asp?165788","קונטרס ישועת יחזקאל המלא")</f>
        <v>קונטרס ישועת יחזקאל המלא</v>
      </c>
    </row>
    <row r="37223" spans="1:6" x14ac:dyDescent="0.2">
      <c r="A37223" t="s">
        <v>57312</v>
      </c>
      <c r="B37223" t="s">
        <v>57313</v>
      </c>
      <c r="C37223" t="s">
        <v>20</v>
      </c>
      <c r="D37223" t="s">
        <v>260</v>
      </c>
      <c r="F37223" s="2" t="str">
        <f>HYPERLINK("http://www.otzar.org/book.asp?191505","קונטרס ישועת יחזקאל")</f>
        <v>קונטרס ישועת יחזקאל</v>
      </c>
    </row>
    <row r="37224" spans="1:6" x14ac:dyDescent="0.2">
      <c r="A37224" t="s">
        <v>57314</v>
      </c>
      <c r="B37224" t="s">
        <v>10345</v>
      </c>
      <c r="C37224" t="s">
        <v>366</v>
      </c>
      <c r="D37224" t="s">
        <v>10346</v>
      </c>
      <c r="E37224" t="s">
        <v>104</v>
      </c>
      <c r="F37224" s="2" t="str">
        <f>HYPERLINK("http://www.otzar.org/book.asp?631091","קונטרס ישיבה על קברו - הערות בדברי התשב""ץ")</f>
        <v>קונטרס ישיבה על קברו - הערות בדברי התשב"ץ</v>
      </c>
    </row>
    <row r="37225" spans="1:6" x14ac:dyDescent="0.2">
      <c r="A37225" t="s">
        <v>57315</v>
      </c>
      <c r="B37225" t="s">
        <v>57316</v>
      </c>
      <c r="C37225" t="s">
        <v>111</v>
      </c>
      <c r="D37225" t="s">
        <v>14</v>
      </c>
      <c r="E37225" t="s">
        <v>172</v>
      </c>
      <c r="F37225" s="2" t="str">
        <f>HYPERLINK("http://www.otzar.org/book.asp?630524","קונטרס ישיר ישראל")</f>
        <v>קונטרס ישיר ישראל</v>
      </c>
    </row>
    <row r="37226" spans="1:6" x14ac:dyDescent="0.2">
      <c r="A37226" t="s">
        <v>57317</v>
      </c>
      <c r="B37226" t="s">
        <v>42642</v>
      </c>
      <c r="C37226" t="s">
        <v>103</v>
      </c>
      <c r="D37226" t="s">
        <v>14</v>
      </c>
      <c r="E37226" t="s">
        <v>104</v>
      </c>
      <c r="F37226" s="2" t="str">
        <f>HYPERLINK("http://www.otzar.org/book.asp?147358","קונטרס ישמח ישראל")</f>
        <v>קונטרס ישמח ישראל</v>
      </c>
    </row>
    <row r="37227" spans="1:6" x14ac:dyDescent="0.2">
      <c r="A37227" t="s">
        <v>57318</v>
      </c>
      <c r="B37227" t="s">
        <v>57319</v>
      </c>
      <c r="C37227" t="s">
        <v>133</v>
      </c>
      <c r="D37227" t="s">
        <v>21</v>
      </c>
      <c r="E37227" t="s">
        <v>6134</v>
      </c>
      <c r="F37227" s="2" t="str">
        <f>HYPERLINK("http://www.otzar.org/book.asp?197785","קונטרס ישמח משה במתנת חלקו")</f>
        <v>קונטרס ישמח משה במתנת חלקו</v>
      </c>
    </row>
    <row r="37228" spans="1:6" x14ac:dyDescent="0.2">
      <c r="A37228" t="s">
        <v>57320</v>
      </c>
      <c r="B37228" t="s">
        <v>24510</v>
      </c>
      <c r="C37228" t="s">
        <v>956</v>
      </c>
      <c r="D37228" t="s">
        <v>115</v>
      </c>
      <c r="E37228" t="s">
        <v>202</v>
      </c>
      <c r="F37228" s="2" t="str">
        <f>HYPERLINK("http://www.otzar.org/book.asp?163380","קונטרס ישמח שמה")</f>
        <v>קונטרס ישמח שמה</v>
      </c>
    </row>
    <row r="37229" spans="1:6" x14ac:dyDescent="0.2">
      <c r="A37229" t="s">
        <v>57321</v>
      </c>
      <c r="B37229" t="s">
        <v>41699</v>
      </c>
      <c r="C37229" t="s">
        <v>411</v>
      </c>
      <c r="D37229" t="s">
        <v>52</v>
      </c>
      <c r="E37229" t="s">
        <v>246</v>
      </c>
      <c r="F37229" s="2" t="str">
        <f>HYPERLINK("http://www.otzar.org/book.asp?629966","קונטרס ישמחו במלכותך")</f>
        <v>קונטרס ישמחו במלכותך</v>
      </c>
    </row>
    <row r="37230" spans="1:6" x14ac:dyDescent="0.2">
      <c r="A37230" t="s">
        <v>57322</v>
      </c>
      <c r="B37230" t="s">
        <v>30077</v>
      </c>
      <c r="C37230" t="s">
        <v>23</v>
      </c>
      <c r="D37230" t="s">
        <v>14</v>
      </c>
      <c r="E37230" t="s">
        <v>241</v>
      </c>
      <c r="F37230" s="2" t="str">
        <f>HYPERLINK("http://www.otzar.org/book.asp?606435","קונטרס ישראל ועמלק")</f>
        <v>קונטרס ישראל ועמלק</v>
      </c>
    </row>
    <row r="37231" spans="1:6" x14ac:dyDescent="0.2">
      <c r="A37231" t="s">
        <v>57323</v>
      </c>
      <c r="B37231" t="s">
        <v>57324</v>
      </c>
      <c r="C37231" t="s">
        <v>13</v>
      </c>
      <c r="D37231" t="s">
        <v>90</v>
      </c>
      <c r="E37231" t="s">
        <v>119</v>
      </c>
      <c r="F37231" s="2" t="str">
        <f>HYPERLINK("http://www.otzar.org/book.asp?63748","קונטרס ישראל לסגולתו")</f>
        <v>קונטרס ישראל לסגולתו</v>
      </c>
    </row>
    <row r="37232" spans="1:6" x14ac:dyDescent="0.2">
      <c r="A37232" t="s">
        <v>57325</v>
      </c>
      <c r="B37232" t="s">
        <v>206</v>
      </c>
      <c r="C37232" t="s">
        <v>124</v>
      </c>
      <c r="D37232" t="s">
        <v>14</v>
      </c>
      <c r="E37232" t="s">
        <v>5398</v>
      </c>
      <c r="F37232" s="2" t="str">
        <f>HYPERLINK("http://www.otzar.org/book.asp?150574","קונטרס כ""א אב ליומא דהילולא של מהר""א מבעלז")</f>
        <v>קונטרס כ"א אב ליומא דהילולא של מהר"א מבעלז</v>
      </c>
    </row>
    <row r="37233" spans="1:6" x14ac:dyDescent="0.2">
      <c r="A37233" t="s">
        <v>57326</v>
      </c>
      <c r="B37233" t="s">
        <v>57327</v>
      </c>
      <c r="C37233" t="s">
        <v>20</v>
      </c>
      <c r="D37233" t="s">
        <v>21</v>
      </c>
      <c r="E37233" t="s">
        <v>226</v>
      </c>
      <c r="F37233" s="2" t="str">
        <f>HYPERLINK("http://www.otzar.org/book.asp?197187","קונטרס כ""ב מר-חשון")</f>
        <v>קונטרס כ"ב מר-חשון</v>
      </c>
    </row>
    <row r="37234" spans="1:6" x14ac:dyDescent="0.2">
      <c r="A37234" t="s">
        <v>57328</v>
      </c>
      <c r="B37234" t="s">
        <v>1353</v>
      </c>
      <c r="C37234" t="s">
        <v>244</v>
      </c>
      <c r="D37234" t="s">
        <v>21</v>
      </c>
      <c r="E37234" t="s">
        <v>15</v>
      </c>
      <c r="F37234" s="2" t="str">
        <f>HYPERLINK("http://www.otzar.org/book.asp?600825","קונטרס כאיל תערוג - 5 כר'")</f>
        <v>קונטרס כאיל תערוג - 5 כר'</v>
      </c>
    </row>
    <row r="37235" spans="1:6" x14ac:dyDescent="0.2">
      <c r="A37235" t="s">
        <v>57329</v>
      </c>
      <c r="B37235" t="s">
        <v>5293</v>
      </c>
      <c r="C37235" t="s">
        <v>133</v>
      </c>
      <c r="D37235" t="s">
        <v>21</v>
      </c>
      <c r="E37235" t="s">
        <v>15</v>
      </c>
      <c r="F37235" s="2" t="str">
        <f>HYPERLINK("http://www.otzar.org/book.asp?197849","קונטרס כבוד אב ואם")</f>
        <v>קונטרס כבוד אב ואם</v>
      </c>
    </row>
    <row r="37236" spans="1:6" x14ac:dyDescent="0.2">
      <c r="A37236" t="s">
        <v>57330</v>
      </c>
      <c r="B37236" t="s">
        <v>10000</v>
      </c>
      <c r="C37236" t="s">
        <v>103</v>
      </c>
      <c r="D37236" t="s">
        <v>14</v>
      </c>
      <c r="E37236" t="s">
        <v>15</v>
      </c>
      <c r="F37236" s="2" t="str">
        <f>HYPERLINK("http://www.otzar.org/book.asp?182636","קונטרס כבוד בית הכנסת ובית המדרש")</f>
        <v>קונטרס כבוד בית הכנסת ובית המדרש</v>
      </c>
    </row>
    <row r="37237" spans="1:6" x14ac:dyDescent="0.2">
      <c r="A37237" t="s">
        <v>57331</v>
      </c>
      <c r="B37237" t="s">
        <v>206</v>
      </c>
      <c r="C37237" t="s">
        <v>466</v>
      </c>
      <c r="D37237" t="s">
        <v>14</v>
      </c>
      <c r="E37237" t="s">
        <v>57332</v>
      </c>
      <c r="F37237" s="2" t="str">
        <f>HYPERLINK("http://www.otzar.org/book.asp?6215","קונטרס כבוד התורה")</f>
        <v>קונטרס כבוד התורה</v>
      </c>
    </row>
    <row r="37238" spans="1:6" x14ac:dyDescent="0.2">
      <c r="A37238" t="s">
        <v>57333</v>
      </c>
      <c r="B37238" t="s">
        <v>57334</v>
      </c>
      <c r="C37238" t="s">
        <v>411</v>
      </c>
      <c r="D37238" t="s">
        <v>152</v>
      </c>
      <c r="E37238" t="s">
        <v>15</v>
      </c>
      <c r="F37238" s="2" t="str">
        <f>HYPERLINK("http://www.otzar.org/book.asp?175943","קונטרס כבוש כמבושל")</f>
        <v>קונטרס כבוש כמבושל</v>
      </c>
    </row>
    <row r="37239" spans="1:6" x14ac:dyDescent="0.2">
      <c r="A37239" t="s">
        <v>57335</v>
      </c>
      <c r="B37239" t="s">
        <v>51079</v>
      </c>
      <c r="C37239" t="s">
        <v>244</v>
      </c>
      <c r="D37239" t="s">
        <v>14</v>
      </c>
      <c r="F37239" s="2" t="str">
        <f>HYPERLINK("http://www.otzar.org/book.asp?610373","קונטרס כגמול עלי אמו")</f>
        <v>קונטרס כגמול עלי אמו</v>
      </c>
    </row>
    <row r="37240" spans="1:6" x14ac:dyDescent="0.2">
      <c r="A37240" t="s">
        <v>57336</v>
      </c>
      <c r="B37240" t="s">
        <v>21962</v>
      </c>
      <c r="C37240" t="s">
        <v>366</v>
      </c>
      <c r="D37240" t="s">
        <v>852</v>
      </c>
      <c r="F37240" s="2" t="str">
        <f>HYPERLINK("http://www.otzar.org/book.asp?611050","קונטרס כה תאמר לבית יעקב")</f>
        <v>קונטרס כה תאמר לבית יעקב</v>
      </c>
    </row>
    <row r="37241" spans="1:6" x14ac:dyDescent="0.2">
      <c r="A37241" t="s">
        <v>57336</v>
      </c>
      <c r="B37241" t="s">
        <v>57337</v>
      </c>
      <c r="C37241" t="s">
        <v>114</v>
      </c>
      <c r="D37241" t="s">
        <v>52</v>
      </c>
      <c r="E37241" t="s">
        <v>104</v>
      </c>
      <c r="F37241" s="2" t="str">
        <f>HYPERLINK("http://www.otzar.org/book.asp?167812","קונטרס כה תאמר לבית יעקב")</f>
        <v>קונטרס כה תאמר לבית יעקב</v>
      </c>
    </row>
    <row r="37242" spans="1:6" x14ac:dyDescent="0.2">
      <c r="A37242" t="s">
        <v>57338</v>
      </c>
      <c r="B37242" t="s">
        <v>1990</v>
      </c>
      <c r="C37242" t="s">
        <v>1619</v>
      </c>
      <c r="D37242" t="s">
        <v>21</v>
      </c>
      <c r="E37242" t="s">
        <v>219</v>
      </c>
      <c r="F37242" s="2" t="str">
        <f>HYPERLINK("http://www.otzar.org/book.asp?196813","קונטרס כוונת התפילה")</f>
        <v>קונטרס כוונת התפילה</v>
      </c>
    </row>
    <row r="37243" spans="1:6" x14ac:dyDescent="0.2">
      <c r="A37243" t="s">
        <v>57339</v>
      </c>
      <c r="B37243" t="s">
        <v>2919</v>
      </c>
      <c r="C37243" t="s">
        <v>20</v>
      </c>
      <c r="D37243" t="s">
        <v>20</v>
      </c>
      <c r="F37243" s="2" t="str">
        <f>HYPERLINK("http://www.otzar.org/book.asp?612422","קונטרס כונת הצום ביום הכיפורים")</f>
        <v>קונטרס כונת הצום ביום הכיפורים</v>
      </c>
    </row>
    <row r="37244" spans="1:6" x14ac:dyDescent="0.2">
      <c r="A37244" t="s">
        <v>57340</v>
      </c>
      <c r="B37244" t="s">
        <v>24100</v>
      </c>
      <c r="C37244" t="s">
        <v>37</v>
      </c>
      <c r="D37244" t="s">
        <v>52</v>
      </c>
      <c r="E37244" t="s">
        <v>246</v>
      </c>
      <c r="F37244" s="2" t="str">
        <f>HYPERLINK("http://www.otzar.org/book.asp?181045","קונטרס כוס ראשון")</f>
        <v>קונטרס כוס ראשון</v>
      </c>
    </row>
    <row r="37245" spans="1:6" x14ac:dyDescent="0.2">
      <c r="A37245" t="s">
        <v>57341</v>
      </c>
      <c r="B37245" t="s">
        <v>57342</v>
      </c>
      <c r="C37245" t="s">
        <v>23</v>
      </c>
      <c r="D37245" t="s">
        <v>21</v>
      </c>
      <c r="E37245" t="s">
        <v>15</v>
      </c>
      <c r="F37245" s="2" t="str">
        <f>HYPERLINK("http://www.otzar.org/book.asp?197812","קונטרס כוס של ברכה")</f>
        <v>קונטרס כוס של ברכה</v>
      </c>
    </row>
    <row r="37246" spans="1:6" x14ac:dyDescent="0.2">
      <c r="A37246" t="s">
        <v>57341</v>
      </c>
      <c r="B37246" t="s">
        <v>57343</v>
      </c>
      <c r="C37246" t="s">
        <v>244</v>
      </c>
      <c r="D37246" t="s">
        <v>1356</v>
      </c>
      <c r="F37246" s="2" t="str">
        <f>HYPERLINK("http://www.otzar.org/book.asp?198071","קונטרס כוס של ברכה")</f>
        <v>קונטרס כוס של ברכה</v>
      </c>
    </row>
    <row r="37247" spans="1:6" x14ac:dyDescent="0.2">
      <c r="A37247" t="s">
        <v>57341</v>
      </c>
      <c r="B37247" t="s">
        <v>3871</v>
      </c>
      <c r="C37247" t="s">
        <v>37</v>
      </c>
      <c r="D37247" t="s">
        <v>52</v>
      </c>
      <c r="E37247" t="s">
        <v>15</v>
      </c>
      <c r="F37247" s="2" t="str">
        <f>HYPERLINK("http://www.otzar.org/book.asp?189312","קונטרס כוס של ברכה")</f>
        <v>קונטרס כוס של ברכה</v>
      </c>
    </row>
    <row r="37248" spans="1:6" x14ac:dyDescent="0.2">
      <c r="A37248" t="s">
        <v>57344</v>
      </c>
      <c r="B37248" t="s">
        <v>11834</v>
      </c>
      <c r="C37248" t="s">
        <v>37</v>
      </c>
      <c r="D37248" t="s">
        <v>152</v>
      </c>
      <c r="F37248" s="2" t="str">
        <f>HYPERLINK("http://www.otzar.org/book.asp?197323","קונטרס כופין על מידת סדום")</f>
        <v>קונטרס כופין על מידת סדום</v>
      </c>
    </row>
    <row r="37249" spans="1:6" x14ac:dyDescent="0.2">
      <c r="A37249" t="s">
        <v>57345</v>
      </c>
      <c r="B37249" t="s">
        <v>57346</v>
      </c>
      <c r="C37249" t="s">
        <v>366</v>
      </c>
      <c r="D37249" t="s">
        <v>21</v>
      </c>
      <c r="E37249" t="s">
        <v>158</v>
      </c>
      <c r="F37249" s="2" t="str">
        <f>HYPERLINK("http://www.otzar.org/book.asp?609757","קונטרס כי אני הכבדתי את לבו")</f>
        <v>קונטרס כי אני הכבדתי את לבו</v>
      </c>
    </row>
    <row r="37250" spans="1:6" x14ac:dyDescent="0.2">
      <c r="A37250" t="s">
        <v>57347</v>
      </c>
      <c r="B37250" t="s">
        <v>5293</v>
      </c>
      <c r="C37250" t="s">
        <v>37</v>
      </c>
      <c r="D37250" t="s">
        <v>21</v>
      </c>
      <c r="E37250" t="s">
        <v>241</v>
      </c>
      <c r="F37250" s="2" t="str">
        <f>HYPERLINK("http://www.otzar.org/book.asp?197815","קונטרס כי אתה עמדי")</f>
        <v>קונטרס כי אתה עמדי</v>
      </c>
    </row>
    <row r="37251" spans="1:6" x14ac:dyDescent="0.2">
      <c r="A37251" t="s">
        <v>57348</v>
      </c>
      <c r="B37251" t="s">
        <v>3488</v>
      </c>
      <c r="C37251" t="s">
        <v>366</v>
      </c>
      <c r="D37251" t="s">
        <v>21</v>
      </c>
      <c r="E37251" t="s">
        <v>104</v>
      </c>
      <c r="F37251" s="2" t="str">
        <f>HYPERLINK("http://www.otzar.org/book.asp?606907","קונטרס כי בא השמש")</f>
        <v>קונטרס כי בא השמש</v>
      </c>
    </row>
    <row r="37252" spans="1:6" x14ac:dyDescent="0.2">
      <c r="A37252" t="s">
        <v>57349</v>
      </c>
      <c r="B37252" t="s">
        <v>5293</v>
      </c>
      <c r="C37252" t="s">
        <v>411</v>
      </c>
      <c r="D37252" t="s">
        <v>21</v>
      </c>
      <c r="E37252" t="s">
        <v>241</v>
      </c>
      <c r="F37252" s="2" t="str">
        <f>HYPERLINK("http://www.otzar.org/book.asp?197851","קונטרס כי באו בנים עד משבר")</f>
        <v>קונטרס כי באו בנים עד משבר</v>
      </c>
    </row>
    <row r="37253" spans="1:6" x14ac:dyDescent="0.2">
      <c r="A37253" t="s">
        <v>57350</v>
      </c>
      <c r="B37253" t="s">
        <v>15476</v>
      </c>
      <c r="C37253" t="s">
        <v>189</v>
      </c>
      <c r="D37253" t="s">
        <v>52</v>
      </c>
      <c r="E37253" t="s">
        <v>213</v>
      </c>
      <c r="F37253" s="2" t="str">
        <f>HYPERLINK("http://www.otzar.org/book.asp?60118","קונטרס כי דבר ה' בזה")</f>
        <v>קונטרס כי דבר ה' בזה</v>
      </c>
    </row>
    <row r="37254" spans="1:6" x14ac:dyDescent="0.2">
      <c r="A37254" t="s">
        <v>57351</v>
      </c>
      <c r="B37254" t="s">
        <v>57352</v>
      </c>
      <c r="C37254" t="s">
        <v>17</v>
      </c>
      <c r="D37254" t="s">
        <v>14</v>
      </c>
      <c r="E37254" t="s">
        <v>104</v>
      </c>
      <c r="F37254" s="2" t="str">
        <f>HYPERLINK("http://www.otzar.org/book.asp?611913","קונטרס כי היא חכמתכם ובינתכם")</f>
        <v>קונטרס כי היא חכמתכם ובינתכם</v>
      </c>
    </row>
    <row r="37255" spans="1:6" x14ac:dyDescent="0.2">
      <c r="A37255" t="s">
        <v>57353</v>
      </c>
      <c r="B37255" t="s">
        <v>206</v>
      </c>
      <c r="C37255" t="s">
        <v>23</v>
      </c>
      <c r="D37255" t="s">
        <v>152</v>
      </c>
      <c r="E37255" t="s">
        <v>148</v>
      </c>
      <c r="F37255" s="2" t="str">
        <f>HYPERLINK("http://www.otzar.org/book.asp?193568","קונטרס כי הם חיינו")</f>
        <v>קונטרס כי הם חיינו</v>
      </c>
    </row>
    <row r="37256" spans="1:6" x14ac:dyDescent="0.2">
      <c r="A37256" t="s">
        <v>57353</v>
      </c>
      <c r="B37256" t="s">
        <v>20380</v>
      </c>
      <c r="C37256" t="s">
        <v>366</v>
      </c>
      <c r="D37256" t="s">
        <v>90</v>
      </c>
      <c r="E37256" t="s">
        <v>148</v>
      </c>
      <c r="F37256" s="2" t="str">
        <f>HYPERLINK("http://www.otzar.org/book.asp?623323","קונטרס כי הם חיינו")</f>
        <v>קונטרס כי הם חיינו</v>
      </c>
    </row>
    <row r="37257" spans="1:6" x14ac:dyDescent="0.2">
      <c r="A37257" t="s">
        <v>57354</v>
      </c>
      <c r="B37257" t="s">
        <v>57355</v>
      </c>
      <c r="F37257" s="2" t="str">
        <f>HYPERLINK("http://www.otzar.org/book.asp?630416","קונטרס כי שם ה' אקרא הבו גודל לאלוקינו")</f>
        <v>קונטרס כי שם ה' אקרא הבו גודל לאלוקינו</v>
      </c>
    </row>
    <row r="37258" spans="1:6" x14ac:dyDescent="0.2">
      <c r="A37258" t="s">
        <v>57356</v>
      </c>
      <c r="B37258" t="s">
        <v>52783</v>
      </c>
      <c r="C37258" t="s">
        <v>129</v>
      </c>
      <c r="D37258" t="s">
        <v>3560</v>
      </c>
      <c r="E37258" t="s">
        <v>15</v>
      </c>
      <c r="F37258" s="2" t="str">
        <f>HYPERLINK("http://www.otzar.org/book.asp?617343","קונטרס כיבוד אב ואם")</f>
        <v>קונטרס כיבוד אב ואם</v>
      </c>
    </row>
    <row r="37259" spans="1:6" x14ac:dyDescent="0.2">
      <c r="A37259" t="s">
        <v>57357</v>
      </c>
      <c r="B37259" t="s">
        <v>10351</v>
      </c>
      <c r="C37259" t="s">
        <v>17</v>
      </c>
      <c r="D37259" t="s">
        <v>486</v>
      </c>
      <c r="E37259" t="s">
        <v>674</v>
      </c>
      <c r="F37259" s="2" t="str">
        <f>HYPERLINK("http://www.otzar.org/book.asp?25718","קונטרס כיבוד הורים")</f>
        <v>קונטרס כיבוד הורים</v>
      </c>
    </row>
    <row r="37260" spans="1:6" x14ac:dyDescent="0.2">
      <c r="A37260" t="s">
        <v>57358</v>
      </c>
      <c r="B37260" t="s">
        <v>57359</v>
      </c>
      <c r="C37260" t="s">
        <v>68</v>
      </c>
      <c r="D37260" t="s">
        <v>152</v>
      </c>
      <c r="E37260" t="s">
        <v>130</v>
      </c>
      <c r="F37260" s="2" t="str">
        <f>HYPERLINK("http://www.otzar.org/book.asp?162151","קונטרס כיד המלך")</f>
        <v>קונטרס כיד המלך</v>
      </c>
    </row>
    <row r="37261" spans="1:6" x14ac:dyDescent="0.2">
      <c r="A37261" t="s">
        <v>57360</v>
      </c>
      <c r="E37261" t="s">
        <v>104</v>
      </c>
      <c r="F37261" s="2" t="str">
        <f>HYPERLINK("http://www.otzar.org/book.asp?626314","קונטרס כיכר לאדן - אדני השדה")</f>
        <v>קונטרס כיכר לאדן - אדני השדה</v>
      </c>
    </row>
    <row r="37262" spans="1:6" x14ac:dyDescent="0.2">
      <c r="A37262" t="s">
        <v>57361</v>
      </c>
      <c r="B37262" t="s">
        <v>57362</v>
      </c>
      <c r="C37262" t="s">
        <v>114</v>
      </c>
      <c r="D37262" t="s">
        <v>52</v>
      </c>
      <c r="E37262" t="s">
        <v>144</v>
      </c>
      <c r="F37262" s="2" t="str">
        <f>HYPERLINK("http://www.otzar.org/book.asp?183127","קונטרס כיסוי הדם")</f>
        <v>קונטרס כיסוי הדם</v>
      </c>
    </row>
    <row r="37263" spans="1:6" x14ac:dyDescent="0.2">
      <c r="A37263" t="s">
        <v>57363</v>
      </c>
      <c r="B37263" t="s">
        <v>5003</v>
      </c>
      <c r="C37263" t="s">
        <v>366</v>
      </c>
      <c r="D37263" t="s">
        <v>147</v>
      </c>
      <c r="E37263" t="s">
        <v>15</v>
      </c>
      <c r="F37263" s="2" t="str">
        <f>HYPERLINK("http://www.otzar.org/book.asp?616944","קונטרס כיצד בודקין")</f>
        <v>קונטרס כיצד בודקין</v>
      </c>
    </row>
    <row r="37264" spans="1:6" x14ac:dyDescent="0.2">
      <c r="A37264" t="s">
        <v>57364</v>
      </c>
      <c r="B37264" t="s">
        <v>57365</v>
      </c>
      <c r="C37264" t="s">
        <v>23</v>
      </c>
      <c r="D37264" t="s">
        <v>412</v>
      </c>
      <c r="E37264" t="s">
        <v>241</v>
      </c>
      <c r="F37264" s="2" t="str">
        <f>HYPERLINK("http://www.otzar.org/book.asp?199196","קונטרס כיצד זוכים לעולם הבא")</f>
        <v>קונטרס כיצד זוכים לעולם הבא</v>
      </c>
    </row>
    <row r="37265" spans="1:6" x14ac:dyDescent="0.2">
      <c r="A37265" t="s">
        <v>57366</v>
      </c>
      <c r="B37265" t="s">
        <v>7604</v>
      </c>
      <c r="C37265" t="s">
        <v>151</v>
      </c>
      <c r="D37265" t="s">
        <v>52</v>
      </c>
      <c r="E37265" t="s">
        <v>15</v>
      </c>
      <c r="F37265" s="2" t="str">
        <f>HYPERLINK("http://www.otzar.org/book.asp?613174","קונטרס כיצד מברכין")</f>
        <v>קונטרס כיצד מברכין</v>
      </c>
    </row>
    <row r="37266" spans="1:6" x14ac:dyDescent="0.2">
      <c r="A37266" t="s">
        <v>57367</v>
      </c>
      <c r="B37266" t="s">
        <v>57368</v>
      </c>
      <c r="C37266" t="s">
        <v>103</v>
      </c>
      <c r="D37266" t="s">
        <v>6151</v>
      </c>
      <c r="E37266" t="s">
        <v>241</v>
      </c>
      <c r="F37266" s="2" t="str">
        <f>HYPERLINK("http://www.otzar.org/book.asp?166453","קונטרס כך דרכה של תורה")</f>
        <v>קונטרס כך דרכה של תורה</v>
      </c>
    </row>
    <row r="37267" spans="1:6" x14ac:dyDescent="0.2">
      <c r="A37267" t="s">
        <v>57369</v>
      </c>
      <c r="B37267" t="s">
        <v>206</v>
      </c>
      <c r="C37267" t="s">
        <v>111</v>
      </c>
      <c r="D37267" t="s">
        <v>90</v>
      </c>
      <c r="F37267" s="2" t="str">
        <f>HYPERLINK("http://www.otzar.org/book.asp?618624","קונטרס כל באיה לא ישובון - הנה באהל")</f>
        <v>קונטרס כל באיה לא ישובון - הנה באהל</v>
      </c>
    </row>
    <row r="37268" spans="1:6" x14ac:dyDescent="0.2">
      <c r="A37268" t="s">
        <v>57370</v>
      </c>
      <c r="B37268" t="s">
        <v>57371</v>
      </c>
      <c r="C37268" t="s">
        <v>111</v>
      </c>
      <c r="D37268" t="s">
        <v>1156</v>
      </c>
      <c r="F37268" s="2" t="str">
        <f>HYPERLINK("http://www.otzar.org/book.asp?621102","קונטרס כל מדרשי נס החנוכה")</f>
        <v>קונטרס כל מדרשי נס החנוכה</v>
      </c>
    </row>
    <row r="37269" spans="1:6" x14ac:dyDescent="0.2">
      <c r="A37269" t="s">
        <v>57372</v>
      </c>
      <c r="B37269" t="s">
        <v>5293</v>
      </c>
      <c r="C37269" t="s">
        <v>411</v>
      </c>
      <c r="D37269" t="s">
        <v>21</v>
      </c>
      <c r="E37269" t="s">
        <v>241</v>
      </c>
      <c r="F37269" s="2" t="str">
        <f>HYPERLINK("http://www.otzar.org/book.asp?197813","קונטרס כל עמל האדם לפיהו")</f>
        <v>קונטרס כל עמל האדם לפיהו</v>
      </c>
    </row>
    <row r="37270" spans="1:6" x14ac:dyDescent="0.2">
      <c r="A37270" t="s">
        <v>57373</v>
      </c>
      <c r="B37270" t="s">
        <v>56695</v>
      </c>
      <c r="C37270" t="s">
        <v>411</v>
      </c>
      <c r="D37270" t="s">
        <v>2362</v>
      </c>
      <c r="E37270" t="s">
        <v>202</v>
      </c>
      <c r="F37270" s="2" t="str">
        <f>HYPERLINK("http://www.otzar.org/book.asp?603852","קונטרס כל קבוצי קהל בודאי מודים")</f>
        <v>קונטרס כל קבוצי קהל בודאי מודים</v>
      </c>
    </row>
    <row r="37271" spans="1:6" x14ac:dyDescent="0.2">
      <c r="A37271" t="s">
        <v>57374</v>
      </c>
      <c r="B37271" t="s">
        <v>1681</v>
      </c>
      <c r="C37271" t="s">
        <v>13</v>
      </c>
      <c r="D37271" t="s">
        <v>52</v>
      </c>
      <c r="F37271" s="2" t="str">
        <f>HYPERLINK("http://www.otzar.org/book.asp?610695","קונטרס כלולות חתנים")</f>
        <v>קונטרס כלולות חתנים</v>
      </c>
    </row>
    <row r="37272" spans="1:6" x14ac:dyDescent="0.2">
      <c r="A37272" t="s">
        <v>57375</v>
      </c>
      <c r="B37272" t="s">
        <v>4263</v>
      </c>
      <c r="C37272" t="s">
        <v>533</v>
      </c>
      <c r="D37272" t="s">
        <v>1646</v>
      </c>
      <c r="E37272" t="s">
        <v>104</v>
      </c>
      <c r="F37272" s="2" t="str">
        <f>HYPERLINK("http://www.otzar.org/book.asp?167024","קונטרס כלי גולה")</f>
        <v>קונטרס כלי גולה</v>
      </c>
    </row>
    <row r="37273" spans="1:6" x14ac:dyDescent="0.2">
      <c r="A37273" t="s">
        <v>57376</v>
      </c>
      <c r="B37273" t="s">
        <v>3402</v>
      </c>
      <c r="C37273" t="s">
        <v>37</v>
      </c>
      <c r="D37273" t="s">
        <v>52</v>
      </c>
      <c r="E37273" t="s">
        <v>15</v>
      </c>
      <c r="F37273" s="2" t="str">
        <f>HYPERLINK("http://www.otzar.org/book.asp?180773","קונטרס כלי מלכות")</f>
        <v>קונטרס כלי מלכות</v>
      </c>
    </row>
    <row r="37274" spans="1:6" x14ac:dyDescent="0.2">
      <c r="A37274" t="s">
        <v>57377</v>
      </c>
      <c r="B37274" t="s">
        <v>31016</v>
      </c>
      <c r="C37274" t="s">
        <v>23</v>
      </c>
      <c r="D37274" t="s">
        <v>2285</v>
      </c>
      <c r="F37274" s="2" t="str">
        <f>HYPERLINK("http://www.otzar.org/book.asp?198721","קונטרס כללא בתרא")</f>
        <v>קונטרס כללא בתרא</v>
      </c>
    </row>
    <row r="37275" spans="1:6" x14ac:dyDescent="0.2">
      <c r="A37275" t="s">
        <v>57378</v>
      </c>
      <c r="B37275" t="s">
        <v>57379</v>
      </c>
      <c r="C37275" t="s">
        <v>366</v>
      </c>
      <c r="D37275" t="s">
        <v>4919</v>
      </c>
      <c r="F37275" s="2" t="str">
        <f>HYPERLINK("http://www.otzar.org/book.asp?603665","קונטרס כללי אסמכתא")</f>
        <v>קונטרס כללי אסמכתא</v>
      </c>
    </row>
    <row r="37276" spans="1:6" x14ac:dyDescent="0.2">
      <c r="A37276" t="s">
        <v>57380</v>
      </c>
      <c r="B37276" t="s">
        <v>7287</v>
      </c>
      <c r="C37276" t="s">
        <v>37</v>
      </c>
      <c r="D37276" t="s">
        <v>52</v>
      </c>
      <c r="F37276" s="2" t="str">
        <f>HYPERLINK("http://www.otzar.org/book.asp?622334","קונטרס כללי דפנות")</f>
        <v>קונטרס כללי דפנות</v>
      </c>
    </row>
    <row r="37277" spans="1:6" x14ac:dyDescent="0.2">
      <c r="A37277" t="s">
        <v>57381</v>
      </c>
      <c r="B37277" t="s">
        <v>57382</v>
      </c>
      <c r="C37277" t="s">
        <v>133</v>
      </c>
      <c r="D37277" t="s">
        <v>52</v>
      </c>
      <c r="F37277" s="2" t="str">
        <f>HYPERLINK("http://www.otzar.org/book.asp?621752","קונטרס כללי הקריאה")</f>
        <v>קונטרס כללי הקריאה</v>
      </c>
    </row>
    <row r="37278" spans="1:6" x14ac:dyDescent="0.2">
      <c r="A37278" t="s">
        <v>57383</v>
      </c>
      <c r="B37278" t="s">
        <v>6987</v>
      </c>
      <c r="C37278" t="s">
        <v>133</v>
      </c>
      <c r="D37278" t="s">
        <v>14</v>
      </c>
      <c r="E37278" t="s">
        <v>144</v>
      </c>
      <c r="F37278" s="2" t="str">
        <f>HYPERLINK("http://www.otzar.org/book.asp?175630","קונטרס כללי ספק טומאה ברה""י וברה""ר")</f>
        <v>קונטרס כללי ספק טומאה ברה"י וברה"ר</v>
      </c>
    </row>
    <row r="37279" spans="1:6" x14ac:dyDescent="0.2">
      <c r="A37279" t="s">
        <v>57384</v>
      </c>
      <c r="B37279" t="s">
        <v>57385</v>
      </c>
      <c r="C37279" t="s">
        <v>422</v>
      </c>
      <c r="D37279" t="s">
        <v>2125</v>
      </c>
      <c r="E37279" t="s">
        <v>241</v>
      </c>
      <c r="F37279" s="2" t="str">
        <f>HYPERLINK("http://www.otzar.org/book.asp?150902","קונטרס כמה קשה מחלוקת")</f>
        <v>קונטרס כמה קשה מחלוקת</v>
      </c>
    </row>
    <row r="37280" spans="1:6" x14ac:dyDescent="0.2">
      <c r="A37280" t="s">
        <v>57386</v>
      </c>
      <c r="B37280" t="s">
        <v>54438</v>
      </c>
      <c r="C37280" t="s">
        <v>383</v>
      </c>
      <c r="D37280" t="s">
        <v>152</v>
      </c>
      <c r="E37280" t="s">
        <v>186</v>
      </c>
      <c r="F37280" s="2" t="str">
        <f>HYPERLINK("http://www.otzar.org/book.asp?148804","קונטרס כנסת בית יצחק")</f>
        <v>קונטרס כנסת בית יצחק</v>
      </c>
    </row>
    <row r="37281" spans="1:6" x14ac:dyDescent="0.2">
      <c r="A37281" t="s">
        <v>57387</v>
      </c>
      <c r="B37281" t="s">
        <v>8880</v>
      </c>
      <c r="C37281" t="s">
        <v>51</v>
      </c>
      <c r="D37281" t="s">
        <v>14</v>
      </c>
      <c r="E37281" t="s">
        <v>674</v>
      </c>
      <c r="F37281" s="2" t="str">
        <f>HYPERLINK("http://www.otzar.org/book.asp?106755","קונטרס כנפי יונה")</f>
        <v>קונטרס כנפי יונה</v>
      </c>
    </row>
    <row r="37282" spans="1:6" x14ac:dyDescent="0.2">
      <c r="A37282" t="s">
        <v>57388</v>
      </c>
      <c r="B37282" t="s">
        <v>13339</v>
      </c>
      <c r="C37282" t="s">
        <v>244</v>
      </c>
      <c r="D37282" t="s">
        <v>90</v>
      </c>
      <c r="E37282" t="s">
        <v>104</v>
      </c>
      <c r="F37282" s="2" t="str">
        <f>HYPERLINK("http://www.otzar.org/book.asp?600637","קונטרס כסף טהור")</f>
        <v>קונטרס כסף טהור</v>
      </c>
    </row>
    <row r="37283" spans="1:6" x14ac:dyDescent="0.2">
      <c r="A37283" t="s">
        <v>57389</v>
      </c>
      <c r="B37283" t="s">
        <v>57390</v>
      </c>
      <c r="C37283" t="s">
        <v>366</v>
      </c>
      <c r="D37283" t="s">
        <v>2909</v>
      </c>
      <c r="F37283" s="2" t="str">
        <f>HYPERLINK("http://www.otzar.org/book.asp?611103","קונטרס כסף צרוף - 2 כר'")</f>
        <v>קונטרס כסף צרוף - 2 כר'</v>
      </c>
    </row>
    <row r="37284" spans="1:6" x14ac:dyDescent="0.2">
      <c r="A37284" t="s">
        <v>57391</v>
      </c>
      <c r="B37284" t="s">
        <v>57392</v>
      </c>
      <c r="C37284" t="s">
        <v>103</v>
      </c>
      <c r="D37284" t="s">
        <v>52</v>
      </c>
      <c r="E37284" t="s">
        <v>158</v>
      </c>
      <c r="F37284" s="2" t="str">
        <f>HYPERLINK("http://www.otzar.org/book.asp?188434","קונטרס כסף צרוף - 5 כר'")</f>
        <v>קונטרס כסף צרוף - 5 כר'</v>
      </c>
    </row>
    <row r="37285" spans="1:6" x14ac:dyDescent="0.2">
      <c r="A37285" t="s">
        <v>57393</v>
      </c>
      <c r="B37285" t="s">
        <v>57394</v>
      </c>
      <c r="C37285" t="s">
        <v>189</v>
      </c>
      <c r="D37285" t="s">
        <v>367</v>
      </c>
      <c r="E37285" t="s">
        <v>15</v>
      </c>
      <c r="F37285" s="2" t="str">
        <f>HYPERLINK("http://www.otzar.org/book.asp?144500","קונטרס כף הדן")</f>
        <v>קונטרס כף הדן</v>
      </c>
    </row>
    <row r="37286" spans="1:6" x14ac:dyDescent="0.2">
      <c r="A37286" t="s">
        <v>57395</v>
      </c>
      <c r="B37286" t="s">
        <v>57396</v>
      </c>
      <c r="C37286" t="s">
        <v>1619</v>
      </c>
      <c r="D37286" t="s">
        <v>14</v>
      </c>
      <c r="E37286" t="s">
        <v>140</v>
      </c>
      <c r="F37286" s="2" t="str">
        <f>HYPERLINK("http://www.otzar.org/book.asp?179586","קונטרס כפתור ופרח - ב")</f>
        <v>קונטרס כפתור ופרח - ב</v>
      </c>
    </row>
    <row r="37287" spans="1:6" x14ac:dyDescent="0.2">
      <c r="A37287" t="s">
        <v>57397</v>
      </c>
      <c r="B37287" t="s">
        <v>15329</v>
      </c>
      <c r="C37287" t="s">
        <v>313</v>
      </c>
      <c r="D37287" t="s">
        <v>52</v>
      </c>
      <c r="E37287" t="s">
        <v>144</v>
      </c>
      <c r="F37287" s="2" t="str">
        <f>HYPERLINK("http://www.otzar.org/book.asp?625598","קונטרס כצבי וכאיל")</f>
        <v>קונטרס כצבי וכאיל</v>
      </c>
    </row>
    <row r="37288" spans="1:6" x14ac:dyDescent="0.2">
      <c r="A37288" t="s">
        <v>57398</v>
      </c>
      <c r="B37288" t="s">
        <v>6496</v>
      </c>
      <c r="C37288" t="s">
        <v>366</v>
      </c>
      <c r="D37288" t="s">
        <v>4549</v>
      </c>
      <c r="E37288" t="s">
        <v>158</v>
      </c>
      <c r="F37288" s="2" t="str">
        <f>HYPERLINK("http://www.otzar.org/book.asp?623212","קונטרס כשבת המלך")</f>
        <v>קונטרס כשבת המלך</v>
      </c>
    </row>
    <row r="37289" spans="1:6" x14ac:dyDescent="0.2">
      <c r="A37289" t="s">
        <v>57399</v>
      </c>
      <c r="B37289" t="s">
        <v>57400</v>
      </c>
      <c r="C37289" t="s">
        <v>87</v>
      </c>
      <c r="D37289" t="s">
        <v>412</v>
      </c>
      <c r="E37289" t="s">
        <v>104</v>
      </c>
      <c r="F37289" s="2" t="str">
        <f>HYPERLINK("http://www.otzar.org/book.asp?169022","קונטרס כשושנים סגה")</f>
        <v>קונטרס כשושנים סגה</v>
      </c>
    </row>
    <row r="37290" spans="1:6" x14ac:dyDescent="0.2">
      <c r="A37290" t="s">
        <v>57401</v>
      </c>
      <c r="B37290" t="s">
        <v>3402</v>
      </c>
      <c r="C37290" t="s">
        <v>133</v>
      </c>
      <c r="D37290" t="s">
        <v>52</v>
      </c>
      <c r="E37290" t="s">
        <v>15</v>
      </c>
      <c r="F37290" s="2" t="str">
        <f>HYPERLINK("http://www.otzar.org/book.asp?181753","קונטרס כתבו לכם")</f>
        <v>קונטרס כתבו לכם</v>
      </c>
    </row>
    <row r="37291" spans="1:6" x14ac:dyDescent="0.2">
      <c r="A37291" t="s">
        <v>57402</v>
      </c>
      <c r="B37291" t="s">
        <v>57403</v>
      </c>
      <c r="C37291" t="s">
        <v>79</v>
      </c>
      <c r="D37291" t="s">
        <v>57404</v>
      </c>
      <c r="E37291" t="s">
        <v>104</v>
      </c>
      <c r="F37291" s="2" t="str">
        <f>HYPERLINK("http://www.otzar.org/book.asp?149645","קונטרס כתבי קודש")</f>
        <v>קונטרס כתבי קודש</v>
      </c>
    </row>
    <row r="37292" spans="1:6" x14ac:dyDescent="0.2">
      <c r="A37292" t="s">
        <v>57405</v>
      </c>
      <c r="B37292" t="s">
        <v>57406</v>
      </c>
      <c r="C37292" t="s">
        <v>189</v>
      </c>
      <c r="D37292" t="s">
        <v>14</v>
      </c>
      <c r="E37292" t="s">
        <v>158</v>
      </c>
      <c r="F37292" s="2" t="str">
        <f>HYPERLINK("http://www.otzar.org/book.asp?172222","קונטרס כתבי רשומות")</f>
        <v>קונטרס כתבי רשומות</v>
      </c>
    </row>
    <row r="37293" spans="1:6" x14ac:dyDescent="0.2">
      <c r="A37293" t="s">
        <v>57407</v>
      </c>
      <c r="B37293" t="s">
        <v>9510</v>
      </c>
      <c r="C37293" t="s">
        <v>68</v>
      </c>
      <c r="D37293" t="s">
        <v>90</v>
      </c>
      <c r="F37293" s="2" t="str">
        <f>HYPERLINK("http://www.otzar.org/book.asp?617893","קונטרס כתובות")</f>
        <v>קונטרס כתובות</v>
      </c>
    </row>
    <row r="37294" spans="1:6" x14ac:dyDescent="0.2">
      <c r="A37294" t="s">
        <v>57408</v>
      </c>
      <c r="B37294" t="s">
        <v>57409</v>
      </c>
      <c r="C37294" t="s">
        <v>313</v>
      </c>
      <c r="D37294" t="s">
        <v>52</v>
      </c>
      <c r="E37294" t="s">
        <v>15</v>
      </c>
      <c r="F37294" s="2" t="str">
        <f>HYPERLINK("http://www.otzar.org/book.asp?144450","קונטרס כתיבה יאה")</f>
        <v>קונטרס כתיבה יאה</v>
      </c>
    </row>
    <row r="37295" spans="1:6" x14ac:dyDescent="0.2">
      <c r="A37295" t="s">
        <v>57410</v>
      </c>
      <c r="B37295" t="s">
        <v>18786</v>
      </c>
      <c r="C37295" t="s">
        <v>151</v>
      </c>
      <c r="D37295" t="s">
        <v>52</v>
      </c>
      <c r="E37295" t="s">
        <v>872</v>
      </c>
      <c r="F37295" s="2" t="str">
        <f>HYPERLINK("http://www.otzar.org/book.asp?615087","קונטרס כתיבת עשרת בני המן")</f>
        <v>קונטרס כתיבת עשרת בני המן</v>
      </c>
    </row>
    <row r="37296" spans="1:6" x14ac:dyDescent="0.2">
      <c r="A37296" t="s">
        <v>57411</v>
      </c>
      <c r="B37296" t="s">
        <v>8070</v>
      </c>
      <c r="C37296" t="s">
        <v>151</v>
      </c>
      <c r="D37296" t="s">
        <v>152</v>
      </c>
      <c r="E37296" t="s">
        <v>104</v>
      </c>
      <c r="F37296" s="2" t="str">
        <f>HYPERLINK("http://www.otzar.org/book.asp?630537","קונטרס כתימרות אש")</f>
        <v>קונטרס כתימרות אש</v>
      </c>
    </row>
    <row r="37297" spans="1:6" x14ac:dyDescent="0.2">
      <c r="A37297" t="s">
        <v>57412</v>
      </c>
      <c r="B37297" t="s">
        <v>57413</v>
      </c>
      <c r="C37297" t="s">
        <v>313</v>
      </c>
      <c r="D37297" t="s">
        <v>90</v>
      </c>
      <c r="F37297" s="2" t="str">
        <f>HYPERLINK("http://www.otzar.org/book.asp?613213","קונטרס כתם פז")</f>
        <v>קונטרס כתם פז</v>
      </c>
    </row>
    <row r="37298" spans="1:6" x14ac:dyDescent="0.2">
      <c r="A37298" t="s">
        <v>57414</v>
      </c>
      <c r="B37298" t="s">
        <v>40000</v>
      </c>
      <c r="C37298" t="s">
        <v>68</v>
      </c>
      <c r="D37298" t="s">
        <v>14</v>
      </c>
      <c r="E37298" t="s">
        <v>399</v>
      </c>
      <c r="F37298" s="2" t="str">
        <f>HYPERLINK("http://www.otzar.org/book.asp?168890","קונטרס כתר מלכות")</f>
        <v>קונטרס כתר מלכות</v>
      </c>
    </row>
    <row r="37299" spans="1:6" x14ac:dyDescent="0.2">
      <c r="A37299" t="s">
        <v>57415</v>
      </c>
      <c r="B37299" t="s">
        <v>18608</v>
      </c>
      <c r="C37299" t="s">
        <v>133</v>
      </c>
      <c r="D37299" t="s">
        <v>14</v>
      </c>
      <c r="E37299" t="s">
        <v>43</v>
      </c>
      <c r="F37299" s="2" t="str">
        <f>HYPERLINK("http://www.otzar.org/book.asp?614861","קונטרס לאברהם בן")</f>
        <v>קונטרס לאברהם בן</v>
      </c>
    </row>
    <row r="37300" spans="1:6" x14ac:dyDescent="0.2">
      <c r="A37300" t="s">
        <v>57416</v>
      </c>
      <c r="B37300" t="s">
        <v>57417</v>
      </c>
      <c r="C37300" t="s">
        <v>111</v>
      </c>
      <c r="D37300" t="s">
        <v>14</v>
      </c>
      <c r="E37300" t="s">
        <v>104</v>
      </c>
      <c r="F37300" s="2" t="str">
        <f>HYPERLINK("http://www.otzar.org/book.asp?624951","קונטרס לאוהבי יש")</f>
        <v>קונטרס לאוהבי יש</v>
      </c>
    </row>
    <row r="37301" spans="1:6" x14ac:dyDescent="0.2">
      <c r="A37301" t="s">
        <v>57418</v>
      </c>
      <c r="B37301" t="s">
        <v>57419</v>
      </c>
      <c r="C37301" t="s">
        <v>114</v>
      </c>
      <c r="D37301" t="s">
        <v>52</v>
      </c>
      <c r="E37301" t="s">
        <v>15425</v>
      </c>
      <c r="F37301" s="2" t="str">
        <f>HYPERLINK("http://www.otzar.org/book.asp?165556","קונטרס לאורם - 4 כר'")</f>
        <v>קונטרס לאורם - 4 כר'</v>
      </c>
    </row>
    <row r="37302" spans="1:6" x14ac:dyDescent="0.2">
      <c r="A37302" t="s">
        <v>57420</v>
      </c>
      <c r="B37302" t="s">
        <v>90</v>
      </c>
      <c r="C37302" t="s">
        <v>422</v>
      </c>
      <c r="D37302" t="s">
        <v>1646</v>
      </c>
      <c r="E37302" t="s">
        <v>144</v>
      </c>
      <c r="F37302" s="2" t="str">
        <f>HYPERLINK("http://www.otzar.org/book.asp?150957","קונטרס לב האריה")</f>
        <v>קונטרס לב האריה</v>
      </c>
    </row>
    <row r="37303" spans="1:6" x14ac:dyDescent="0.2">
      <c r="A37303" t="s">
        <v>57421</v>
      </c>
      <c r="B37303" t="s">
        <v>57422</v>
      </c>
      <c r="C37303" t="s">
        <v>133</v>
      </c>
      <c r="D37303" t="s">
        <v>21</v>
      </c>
      <c r="F37303" s="2" t="str">
        <f>HYPERLINK("http://www.otzar.org/book.asp?191130","קונטרס לב זהב")</f>
        <v>קונטרס לב זהב</v>
      </c>
    </row>
    <row r="37304" spans="1:6" x14ac:dyDescent="0.2">
      <c r="A37304" t="s">
        <v>57423</v>
      </c>
      <c r="B37304" t="s">
        <v>29417</v>
      </c>
      <c r="C37304" t="s">
        <v>114</v>
      </c>
      <c r="D37304" t="s">
        <v>14</v>
      </c>
      <c r="E37304" t="s">
        <v>15</v>
      </c>
      <c r="F37304" s="2" t="str">
        <f>HYPERLINK("http://www.otzar.org/book.asp?629501","קונטרס לב ים - מלאכת מלבן")</f>
        <v>קונטרס לב ים - מלאכת מלבן</v>
      </c>
    </row>
    <row r="37305" spans="1:6" x14ac:dyDescent="0.2">
      <c r="A37305" t="s">
        <v>57424</v>
      </c>
      <c r="B37305" t="s">
        <v>56464</v>
      </c>
      <c r="C37305" t="s">
        <v>151</v>
      </c>
      <c r="D37305" t="s">
        <v>14</v>
      </c>
      <c r="F37305" s="2" t="str">
        <f>HYPERLINK("http://www.otzar.org/book.asp?619008","קונטרס לב ים - עירובין")</f>
        <v>קונטרס לב ים - עירובין</v>
      </c>
    </row>
    <row r="37306" spans="1:6" x14ac:dyDescent="0.2">
      <c r="A37306" t="s">
        <v>57425</v>
      </c>
      <c r="B37306" t="s">
        <v>57426</v>
      </c>
      <c r="C37306" t="s">
        <v>775</v>
      </c>
      <c r="D37306" t="s">
        <v>412</v>
      </c>
      <c r="E37306" t="s">
        <v>130</v>
      </c>
      <c r="F37306" s="2" t="str">
        <f>HYPERLINK("http://www.otzar.org/book.asp?84816","קונטרס לב מלכים")</f>
        <v>קונטרס לב מלכים</v>
      </c>
    </row>
    <row r="37307" spans="1:6" x14ac:dyDescent="0.2">
      <c r="A37307" t="s">
        <v>57427</v>
      </c>
      <c r="B37307" t="s">
        <v>57428</v>
      </c>
      <c r="C37307" t="s">
        <v>244</v>
      </c>
      <c r="D37307" t="s">
        <v>21</v>
      </c>
      <c r="E37307" t="s">
        <v>219</v>
      </c>
      <c r="F37307" s="2" t="str">
        <f>HYPERLINK("http://www.otzar.org/book.asp?196792","קונטרס לב מרדכי")</f>
        <v>קונטרס לב מרדכי</v>
      </c>
    </row>
    <row r="37308" spans="1:6" x14ac:dyDescent="0.2">
      <c r="A37308" t="s">
        <v>57429</v>
      </c>
      <c r="B37308" t="s">
        <v>9151</v>
      </c>
      <c r="C37308" t="s">
        <v>133</v>
      </c>
      <c r="D37308" t="s">
        <v>14</v>
      </c>
      <c r="F37308" s="2" t="str">
        <f>HYPERLINK("http://www.otzar.org/book.asp?177066","קונטרס לב צדיק יהגה")</f>
        <v>קונטרס לב צדיק יהגה</v>
      </c>
    </row>
    <row r="37309" spans="1:6" x14ac:dyDescent="0.2">
      <c r="A37309" t="s">
        <v>57430</v>
      </c>
      <c r="B37309" t="s">
        <v>57431</v>
      </c>
      <c r="C37309" t="s">
        <v>383</v>
      </c>
      <c r="D37309" t="s">
        <v>14</v>
      </c>
      <c r="F37309" s="2" t="str">
        <f>HYPERLINK("http://www.otzar.org/book.asp?183172","קונטרס לב שמחה - כתיבת ס""ת")</f>
        <v>קונטרס לב שמחה - כתיבת ס"ת</v>
      </c>
    </row>
    <row r="37310" spans="1:6" x14ac:dyDescent="0.2">
      <c r="A37310" t="s">
        <v>57432</v>
      </c>
      <c r="B37310" t="s">
        <v>50287</v>
      </c>
      <c r="C37310" t="s">
        <v>51</v>
      </c>
      <c r="D37310" t="s">
        <v>412</v>
      </c>
      <c r="E37310" t="s">
        <v>130</v>
      </c>
      <c r="F37310" s="2" t="str">
        <f>HYPERLINK("http://www.otzar.org/book.asp?163354","קונטרס לבוש וכסות מחלפת בשבת - א")</f>
        <v>קונטרס לבוש וכסות מחלפת בשבת - א</v>
      </c>
    </row>
    <row r="37311" spans="1:6" x14ac:dyDescent="0.2">
      <c r="A37311" t="s">
        <v>57433</v>
      </c>
      <c r="B37311" t="s">
        <v>57434</v>
      </c>
      <c r="C37311" t="s">
        <v>624</v>
      </c>
      <c r="D37311" t="s">
        <v>90</v>
      </c>
      <c r="E37311" t="s">
        <v>144</v>
      </c>
      <c r="F37311" s="2" t="str">
        <f>HYPERLINK("http://www.otzar.org/book.asp?189761","קונטרס לבוש מלכות")</f>
        <v>קונטרס לבוש מלכות</v>
      </c>
    </row>
    <row r="37312" spans="1:6" x14ac:dyDescent="0.2">
      <c r="A37312" t="s">
        <v>57435</v>
      </c>
      <c r="B37312" t="s">
        <v>57436</v>
      </c>
      <c r="C37312" t="s">
        <v>411</v>
      </c>
      <c r="D37312" t="s">
        <v>14</v>
      </c>
      <c r="E37312" t="s">
        <v>144</v>
      </c>
      <c r="F37312" s="2" t="str">
        <f>HYPERLINK("http://www.otzar.org/book.asp?603198","קונטרס לבי במזרח")</f>
        <v>קונטרס לבי במזרח</v>
      </c>
    </row>
    <row r="37313" spans="1:6" x14ac:dyDescent="0.2">
      <c r="A37313" t="s">
        <v>57437</v>
      </c>
      <c r="B37313" t="s">
        <v>206</v>
      </c>
      <c r="C37313" t="s">
        <v>111</v>
      </c>
      <c r="D37313" t="s">
        <v>90</v>
      </c>
      <c r="E37313" t="s">
        <v>144</v>
      </c>
      <c r="F37313" s="2" t="str">
        <f>HYPERLINK("http://www.otzar.org/book.asp?629814","קונטרס לבי בתורתך - ב""ק")</f>
        <v>קונטרס לבי בתורתך - ב"ק</v>
      </c>
    </row>
    <row r="37314" spans="1:6" x14ac:dyDescent="0.2">
      <c r="A37314" t="s">
        <v>57438</v>
      </c>
      <c r="B37314" t="s">
        <v>15868</v>
      </c>
      <c r="C37314" t="s">
        <v>411</v>
      </c>
      <c r="D37314" t="s">
        <v>245</v>
      </c>
      <c r="E37314" t="s">
        <v>529</v>
      </c>
      <c r="F37314" s="2" t="str">
        <f>HYPERLINK("http://www.otzar.org/book.asp?165519","קונטרס לבית אבותם")</f>
        <v>קונטרס לבית אבותם</v>
      </c>
    </row>
    <row r="37315" spans="1:6" x14ac:dyDescent="0.2">
      <c r="A37315" t="s">
        <v>57439</v>
      </c>
      <c r="B37315" t="s">
        <v>57440</v>
      </c>
      <c r="C37315" t="s">
        <v>523</v>
      </c>
      <c r="D37315" t="s">
        <v>14</v>
      </c>
      <c r="E37315" t="s">
        <v>15</v>
      </c>
      <c r="F37315" s="2" t="str">
        <f>HYPERLINK("http://www.otzar.org/book.asp?26034","קונטרס לברך באהבה")</f>
        <v>קונטרס לברך באהבה</v>
      </c>
    </row>
    <row r="37316" spans="1:6" x14ac:dyDescent="0.2">
      <c r="A37316" t="s">
        <v>57441</v>
      </c>
      <c r="B37316" t="s">
        <v>394</v>
      </c>
      <c r="C37316" t="s">
        <v>1650</v>
      </c>
      <c r="D37316" t="s">
        <v>726</v>
      </c>
      <c r="E37316" t="s">
        <v>10316</v>
      </c>
      <c r="F37316" s="2" t="str">
        <f>HYPERLINK("http://www.otzar.org/book.asp?83594","קונטרס לדוגמא")</f>
        <v>קונטרס לדוגמא</v>
      </c>
    </row>
    <row r="37317" spans="1:6" x14ac:dyDescent="0.2">
      <c r="A37317" t="s">
        <v>57442</v>
      </c>
      <c r="B37317" t="s">
        <v>6987</v>
      </c>
      <c r="C37317" t="s">
        <v>366</v>
      </c>
      <c r="D37317" t="s">
        <v>90</v>
      </c>
      <c r="E37317" t="s">
        <v>241</v>
      </c>
      <c r="F37317" s="2" t="str">
        <f>HYPERLINK("http://www.otzar.org/book.asp?630483","קונטרס לדופקי בתשובה")</f>
        <v>קונטרס לדופקי בתשובה</v>
      </c>
    </row>
    <row r="37318" spans="1:6" x14ac:dyDescent="0.2">
      <c r="A37318" t="s">
        <v>57443</v>
      </c>
      <c r="B37318" t="s">
        <v>39596</v>
      </c>
      <c r="C37318" t="s">
        <v>68</v>
      </c>
      <c r="D37318" t="s">
        <v>152</v>
      </c>
      <c r="F37318" s="2" t="str">
        <f>HYPERLINK("http://www.otzar.org/book.asp?603682","קונטרס לדעת ולהבין")</f>
        <v>קונטרס לדעת ולהבין</v>
      </c>
    </row>
    <row r="37319" spans="1:6" x14ac:dyDescent="0.2">
      <c r="A37319" t="s">
        <v>57444</v>
      </c>
      <c r="B37319" t="s">
        <v>41699</v>
      </c>
      <c r="C37319" t="s">
        <v>20</v>
      </c>
      <c r="D37319" t="s">
        <v>52</v>
      </c>
      <c r="E37319" t="s">
        <v>15</v>
      </c>
      <c r="F37319" s="2" t="str">
        <f>HYPERLINK("http://www.otzar.org/book.asp?630813","קונטרס לה' הארץ ומלואה")</f>
        <v>קונטרס לה' הארץ ומלואה</v>
      </c>
    </row>
    <row r="37320" spans="1:6" x14ac:dyDescent="0.2">
      <c r="A37320" t="s">
        <v>57445</v>
      </c>
      <c r="B37320" t="s">
        <v>57446</v>
      </c>
      <c r="C37320" t="s">
        <v>244</v>
      </c>
      <c r="D37320" t="s">
        <v>21</v>
      </c>
      <c r="E37320" t="s">
        <v>3790</v>
      </c>
      <c r="F37320" s="2" t="str">
        <f>HYPERLINK("http://www.otzar.org/book.asp?601481","קונטרס להאיר באור החיים")</f>
        <v>קונטרס להאיר באור החיים</v>
      </c>
    </row>
    <row r="37321" spans="1:6" x14ac:dyDescent="0.2">
      <c r="A37321" t="s">
        <v>57447</v>
      </c>
      <c r="B37321" t="s">
        <v>57448</v>
      </c>
      <c r="C37321" t="s">
        <v>17</v>
      </c>
      <c r="D37321" t="s">
        <v>21</v>
      </c>
      <c r="F37321" s="2" t="str">
        <f>HYPERLINK("http://www.otzar.org/book.asp?600354","קונטרס להאיר על הארץ")</f>
        <v>קונטרס להאיר על הארץ</v>
      </c>
    </row>
    <row r="37322" spans="1:6" x14ac:dyDescent="0.2">
      <c r="A37322" t="s">
        <v>57449</v>
      </c>
      <c r="B37322" t="s">
        <v>57450</v>
      </c>
      <c r="C37322" t="s">
        <v>68</v>
      </c>
      <c r="D37322" t="s">
        <v>3283</v>
      </c>
      <c r="F37322" s="2" t="str">
        <f>HYPERLINK("http://www.otzar.org/book.asp?616622","קונטרס להבחין בין יום ובין לילה")</f>
        <v>קונטרס להבחין בין יום ובין לילה</v>
      </c>
    </row>
    <row r="37323" spans="1:6" x14ac:dyDescent="0.2">
      <c r="A37323" t="s">
        <v>57451</v>
      </c>
      <c r="B37323" t="s">
        <v>57452</v>
      </c>
      <c r="C37323" t="s">
        <v>146</v>
      </c>
      <c r="D37323" t="s">
        <v>90</v>
      </c>
      <c r="E37323" t="s">
        <v>144</v>
      </c>
      <c r="F37323" s="2" t="str">
        <f>HYPERLINK("http://www.otzar.org/book.asp?179982","קונטרס להבין ולהשכיל - 6 כר'")</f>
        <v>קונטרס להבין ולהשכיל - 6 כר'</v>
      </c>
    </row>
    <row r="37324" spans="1:6" x14ac:dyDescent="0.2">
      <c r="A37324" t="s">
        <v>57453</v>
      </c>
      <c r="B37324" t="s">
        <v>57454</v>
      </c>
      <c r="C37324" t="s">
        <v>411</v>
      </c>
      <c r="D37324" t="s">
        <v>21</v>
      </c>
      <c r="E37324" t="s">
        <v>202</v>
      </c>
      <c r="F37324" s="2" t="str">
        <f>HYPERLINK("http://www.otzar.org/book.asp?603140","קונטרס להגות באמרי שפר")</f>
        <v>קונטרס להגות באמרי שפר</v>
      </c>
    </row>
    <row r="37325" spans="1:6" x14ac:dyDescent="0.2">
      <c r="A37325" t="s">
        <v>57455</v>
      </c>
      <c r="B37325" t="s">
        <v>29040</v>
      </c>
      <c r="C37325" t="s">
        <v>244</v>
      </c>
      <c r="D37325" t="s">
        <v>14142</v>
      </c>
      <c r="E37325" t="s">
        <v>241</v>
      </c>
      <c r="F37325" s="2" t="str">
        <f>HYPERLINK("http://www.otzar.org/book.asp?611371","קונטרס להגיד בבוקר")</f>
        <v>קונטרס להגיד בבוקר</v>
      </c>
    </row>
    <row r="37326" spans="1:6" x14ac:dyDescent="0.2">
      <c r="A37326" t="s">
        <v>57456</v>
      </c>
      <c r="B37326" t="s">
        <v>54465</v>
      </c>
      <c r="C37326" t="s">
        <v>422</v>
      </c>
      <c r="D37326" t="s">
        <v>21</v>
      </c>
      <c r="E37326" t="s">
        <v>246</v>
      </c>
      <c r="F37326" s="2" t="str">
        <f>HYPERLINK("http://www.otzar.org/book.asp?603503","קונטרס להודות ולהלל")</f>
        <v>קונטרס להודות ולהלל</v>
      </c>
    </row>
    <row r="37327" spans="1:6" x14ac:dyDescent="0.2">
      <c r="A37327" t="s">
        <v>57456</v>
      </c>
      <c r="B37327" t="s">
        <v>54320</v>
      </c>
      <c r="D37327" t="s">
        <v>14</v>
      </c>
      <c r="E37327" t="s">
        <v>246</v>
      </c>
      <c r="F37327" s="2" t="str">
        <f>HYPERLINK("http://www.otzar.org/book.asp?604621","קונטרס להודות ולהלל")</f>
        <v>קונטרס להודות ולהלל</v>
      </c>
    </row>
    <row r="37328" spans="1:6" x14ac:dyDescent="0.2">
      <c r="A37328" t="s">
        <v>57457</v>
      </c>
      <c r="B37328" t="s">
        <v>128</v>
      </c>
      <c r="C37328" t="s">
        <v>454</v>
      </c>
      <c r="D37328" t="s">
        <v>52</v>
      </c>
      <c r="E37328" t="s">
        <v>104</v>
      </c>
      <c r="F37328" s="2" t="str">
        <f>HYPERLINK("http://www.otzar.org/book.asp?52625","קונטרס לוית חן")</f>
        <v>קונטרס לוית חן</v>
      </c>
    </row>
    <row r="37329" spans="1:6" x14ac:dyDescent="0.2">
      <c r="A37329" t="s">
        <v>57458</v>
      </c>
      <c r="B37329" t="s">
        <v>30077</v>
      </c>
      <c r="C37329" t="s">
        <v>366</v>
      </c>
      <c r="D37329" t="s">
        <v>367</v>
      </c>
      <c r="F37329" s="2" t="str">
        <f>HYPERLINK("http://www.otzar.org/book.asp?601020","קונטרס לוקה בפרגול - 2 כר'")</f>
        <v>קונטרס לוקה בפרגול - 2 כר'</v>
      </c>
    </row>
    <row r="37330" spans="1:6" x14ac:dyDescent="0.2">
      <c r="A37330" t="s">
        <v>57459</v>
      </c>
      <c r="B37330" t="s">
        <v>11609</v>
      </c>
      <c r="C37330" t="s">
        <v>422</v>
      </c>
      <c r="D37330" t="s">
        <v>3436</v>
      </c>
      <c r="F37330" s="2" t="str">
        <f>HYPERLINK("http://www.otzar.org/book.asp?190966","קונטרס לחזות בנועם")</f>
        <v>קונטרס לחזות בנועם</v>
      </c>
    </row>
    <row r="37331" spans="1:6" x14ac:dyDescent="0.2">
      <c r="A37331" t="s">
        <v>57460</v>
      </c>
      <c r="B37331" t="s">
        <v>50218</v>
      </c>
      <c r="C37331" t="s">
        <v>422</v>
      </c>
      <c r="D37331" t="s">
        <v>21</v>
      </c>
      <c r="E37331" t="s">
        <v>84</v>
      </c>
      <c r="F37331" s="2" t="str">
        <f>HYPERLINK("http://www.otzar.org/book.asp?197828","קונטרס לחם הארץ")</f>
        <v>קונטרס לחם הארץ</v>
      </c>
    </row>
    <row r="37332" spans="1:6" x14ac:dyDescent="0.2">
      <c r="A37332" t="s">
        <v>57461</v>
      </c>
      <c r="B37332" t="s">
        <v>847</v>
      </c>
      <c r="C37332" t="s">
        <v>129</v>
      </c>
      <c r="E37332" t="s">
        <v>15</v>
      </c>
      <c r="F37332" s="2" t="str">
        <f>HYPERLINK("http://www.otzar.org/book.asp?626200","קונטרס לחם ויין - 5 כר'")</f>
        <v>קונטרס לחם ויין - 5 כר'</v>
      </c>
    </row>
    <row r="37333" spans="1:6" x14ac:dyDescent="0.2">
      <c r="A37333" t="s">
        <v>57462</v>
      </c>
      <c r="B37333" t="s">
        <v>57463</v>
      </c>
      <c r="C37333" t="s">
        <v>151</v>
      </c>
      <c r="D37333" t="s">
        <v>90</v>
      </c>
      <c r="F37333" s="2" t="str">
        <f>HYPERLINK("http://www.otzar.org/book.asp?610021","קונטרס לחם מאיש - 8 כר'")</f>
        <v>קונטרס לחם מאיש - 8 כר'</v>
      </c>
    </row>
    <row r="37334" spans="1:6" x14ac:dyDescent="0.2">
      <c r="A37334" t="s">
        <v>57464</v>
      </c>
      <c r="B37334" t="s">
        <v>57465</v>
      </c>
      <c r="C37334" t="s">
        <v>411</v>
      </c>
      <c r="D37334" t="s">
        <v>57466</v>
      </c>
      <c r="E37334" t="s">
        <v>104</v>
      </c>
      <c r="F37334" s="2" t="str">
        <f>HYPERLINK("http://www.otzar.org/book.asp?167108","קונטרס לחם ממרחק")</f>
        <v>קונטרס לחם ממרחק</v>
      </c>
    </row>
    <row r="37335" spans="1:6" x14ac:dyDescent="0.2">
      <c r="A37335" t="s">
        <v>57467</v>
      </c>
      <c r="B37335" t="s">
        <v>57468</v>
      </c>
      <c r="C37335" t="s">
        <v>23</v>
      </c>
      <c r="D37335" t="s">
        <v>14</v>
      </c>
      <c r="F37335" s="2" t="str">
        <f>HYPERLINK("http://www.otzar.org/book.asp?197249","קונטרס לחם מן השמים - 2 כר'")</f>
        <v>קונטרס לחם מן השמים - 2 כר'</v>
      </c>
    </row>
    <row r="37336" spans="1:6" x14ac:dyDescent="0.2">
      <c r="A37336" t="s">
        <v>57469</v>
      </c>
      <c r="B37336" t="s">
        <v>57470</v>
      </c>
      <c r="C37336" t="s">
        <v>17</v>
      </c>
      <c r="D37336" t="s">
        <v>21</v>
      </c>
      <c r="E37336" t="s">
        <v>104</v>
      </c>
      <c r="F37336" s="2" t="str">
        <f>HYPERLINK("http://www.otzar.org/book.asp?602680","קונטרס לחם מן השמים - פרשת המן")</f>
        <v>קונטרס לחם מן השמים - פרשת המן</v>
      </c>
    </row>
    <row r="37337" spans="1:6" x14ac:dyDescent="0.2">
      <c r="A37337" t="s">
        <v>57471</v>
      </c>
      <c r="B37337" t="s">
        <v>8070</v>
      </c>
      <c r="C37337" t="s">
        <v>151</v>
      </c>
      <c r="D37337" t="s">
        <v>152</v>
      </c>
      <c r="E37337" t="s">
        <v>104</v>
      </c>
      <c r="F37337" s="2" t="str">
        <f>HYPERLINK("http://www.otzar.org/book.asp?630549","קונטרס לחם פנים")</f>
        <v>קונטרס לחם פנים</v>
      </c>
    </row>
    <row r="37338" spans="1:6" x14ac:dyDescent="0.2">
      <c r="A37338" t="s">
        <v>57472</v>
      </c>
      <c r="B37338" t="s">
        <v>51079</v>
      </c>
      <c r="C37338" t="s">
        <v>20</v>
      </c>
      <c r="D37338" t="s">
        <v>14</v>
      </c>
      <c r="F37338" s="2" t="str">
        <f>HYPERLINK("http://www.otzar.org/book.asp?610375","קונטרס ליהודים היתה אורה ושמחה")</f>
        <v>קונטרס ליהודים היתה אורה ושמחה</v>
      </c>
    </row>
    <row r="37339" spans="1:6" x14ac:dyDescent="0.2">
      <c r="A37339" t="s">
        <v>57473</v>
      </c>
      <c r="B37339" t="s">
        <v>45285</v>
      </c>
      <c r="C37339" t="s">
        <v>114</v>
      </c>
      <c r="D37339" t="s">
        <v>52</v>
      </c>
      <c r="E37339" t="s">
        <v>246</v>
      </c>
      <c r="F37339" s="2" t="str">
        <f>HYPERLINK("http://www.otzar.org/book.asp?163014","קונטרס ליל הסדר")</f>
        <v>קונטרס ליל הסדר</v>
      </c>
    </row>
    <row r="37340" spans="1:6" x14ac:dyDescent="0.2">
      <c r="A37340" t="s">
        <v>57474</v>
      </c>
      <c r="B37340" t="s">
        <v>57475</v>
      </c>
      <c r="C37340" t="s">
        <v>454</v>
      </c>
      <c r="D37340" t="s">
        <v>14</v>
      </c>
      <c r="E37340" t="s">
        <v>3055</v>
      </c>
      <c r="F37340" s="2" t="str">
        <f>HYPERLINK("http://www.otzar.org/book.asp?166443","קונטרס ליל התקדש החג")</f>
        <v>קונטרס ליל התקדש החג</v>
      </c>
    </row>
    <row r="37341" spans="1:6" x14ac:dyDescent="0.2">
      <c r="A37341" t="s">
        <v>57476</v>
      </c>
      <c r="B37341" t="s">
        <v>22701</v>
      </c>
      <c r="C37341" t="s">
        <v>20</v>
      </c>
      <c r="D37341" t="s">
        <v>90</v>
      </c>
      <c r="F37341" s="2" t="str">
        <f>HYPERLINK("http://www.otzar.org/book.asp?619398","קונטרס ליל שימורים הוא")</f>
        <v>קונטרס ליל שימורים הוא</v>
      </c>
    </row>
    <row r="37342" spans="1:6" x14ac:dyDescent="0.2">
      <c r="A37342" t="s">
        <v>57477</v>
      </c>
      <c r="B37342" t="s">
        <v>9504</v>
      </c>
      <c r="C37342" t="s">
        <v>411</v>
      </c>
      <c r="D37342" t="s">
        <v>52</v>
      </c>
      <c r="E37342" t="s">
        <v>246</v>
      </c>
      <c r="F37342" s="2" t="str">
        <f>HYPERLINK("http://www.otzar.org/book.asp?172901","קונטרס ליל שימורים")</f>
        <v>קונטרס ליל שימורים</v>
      </c>
    </row>
    <row r="37343" spans="1:6" x14ac:dyDescent="0.2">
      <c r="A37343" t="s">
        <v>57478</v>
      </c>
      <c r="B37343" t="s">
        <v>21962</v>
      </c>
      <c r="C37343" t="s">
        <v>366</v>
      </c>
      <c r="D37343" t="s">
        <v>852</v>
      </c>
      <c r="F37343" s="2" t="str">
        <f>HYPERLINK("http://www.otzar.org/book.asp?611051","קונטרס לילה כיום יאיר")</f>
        <v>קונטרס לילה כיום יאיר</v>
      </c>
    </row>
    <row r="37344" spans="1:6" x14ac:dyDescent="0.2">
      <c r="A37344" t="s">
        <v>57479</v>
      </c>
      <c r="B37344" t="s">
        <v>57480</v>
      </c>
      <c r="C37344" t="s">
        <v>133</v>
      </c>
      <c r="D37344" t="s">
        <v>646</v>
      </c>
      <c r="E37344" t="s">
        <v>202</v>
      </c>
      <c r="F37344" s="2" t="str">
        <f>HYPERLINK("http://www.otzar.org/book.asp?194173","קונטרס לימוד התורה")</f>
        <v>קונטרס לימוד התורה</v>
      </c>
    </row>
    <row r="37345" spans="1:6" x14ac:dyDescent="0.2">
      <c r="A37345" t="s">
        <v>57481</v>
      </c>
      <c r="B37345" t="s">
        <v>6987</v>
      </c>
      <c r="C37345" t="s">
        <v>71</v>
      </c>
      <c r="D37345" t="s">
        <v>90</v>
      </c>
      <c r="E37345" t="s">
        <v>219</v>
      </c>
      <c r="F37345" s="2" t="str">
        <f>HYPERLINK("http://www.otzar.org/book.asp?61429","קונטרס לימי הרחמים והסליחות")</f>
        <v>קונטרס לימי הרחמים והסליחות</v>
      </c>
    </row>
    <row r="37346" spans="1:6" x14ac:dyDescent="0.2">
      <c r="A37346" t="s">
        <v>57482</v>
      </c>
      <c r="B37346" t="s">
        <v>57483</v>
      </c>
      <c r="C37346" t="s">
        <v>383</v>
      </c>
      <c r="D37346" t="s">
        <v>90</v>
      </c>
      <c r="E37346" t="s">
        <v>384</v>
      </c>
      <c r="F37346" s="2" t="str">
        <f>HYPERLINK("http://www.otzar.org/book.asp?28256","קונטרס ליקוט זקנים")</f>
        <v>קונטרס ליקוט זקנים</v>
      </c>
    </row>
    <row r="37347" spans="1:6" x14ac:dyDescent="0.2">
      <c r="A37347" t="s">
        <v>57484</v>
      </c>
      <c r="B37347" t="s">
        <v>57485</v>
      </c>
      <c r="C37347" t="s">
        <v>114</v>
      </c>
      <c r="D37347" t="s">
        <v>14</v>
      </c>
      <c r="E37347" t="s">
        <v>246</v>
      </c>
      <c r="F37347" s="2" t="str">
        <f>HYPERLINK("http://www.otzar.org/book.asp?181674","קונטרס ליקוט עניני שבת קודש")</f>
        <v>קונטרס ליקוט עניני שבת קודש</v>
      </c>
    </row>
    <row r="37348" spans="1:6" x14ac:dyDescent="0.2">
      <c r="A37348" t="s">
        <v>57486</v>
      </c>
      <c r="B37348" t="s">
        <v>57487</v>
      </c>
      <c r="C37348" t="s">
        <v>466</v>
      </c>
      <c r="D37348" t="s">
        <v>52</v>
      </c>
      <c r="E37348" t="s">
        <v>144</v>
      </c>
      <c r="F37348" s="2" t="str">
        <f>HYPERLINK("http://www.otzar.org/book.asp?614899","קונטרס ליקוטי אור - סוכה")</f>
        <v>קונטרס ליקוטי אור - סוכה</v>
      </c>
    </row>
    <row r="37349" spans="1:6" x14ac:dyDescent="0.2">
      <c r="A37349" t="s">
        <v>57488</v>
      </c>
      <c r="B37349" t="s">
        <v>57489</v>
      </c>
      <c r="C37349" t="s">
        <v>114</v>
      </c>
      <c r="D37349" t="s">
        <v>4996</v>
      </c>
      <c r="E37349" t="s">
        <v>144</v>
      </c>
      <c r="F37349" s="2" t="str">
        <f>HYPERLINK("http://www.otzar.org/book.asp?186703","קונטרס ליקוטי הערות וביאורים - 6 כר'")</f>
        <v>קונטרס ליקוטי הערות וביאורים - 6 כר'</v>
      </c>
    </row>
    <row r="37350" spans="1:6" x14ac:dyDescent="0.2">
      <c r="A37350" t="s">
        <v>57490</v>
      </c>
      <c r="B37350" t="s">
        <v>33563</v>
      </c>
      <c r="C37350" t="s">
        <v>767</v>
      </c>
      <c r="D37350" t="s">
        <v>14</v>
      </c>
      <c r="E37350" t="s">
        <v>674</v>
      </c>
      <c r="F37350" s="2" t="str">
        <f>HYPERLINK("http://www.otzar.org/book.asp?143118","קונטרס ליקוטי תורה בעניני נישואין")</f>
        <v>קונטרס ליקוטי תורה בעניני נישואין</v>
      </c>
    </row>
    <row r="37351" spans="1:6" x14ac:dyDescent="0.2">
      <c r="A37351" t="s">
        <v>57491</v>
      </c>
      <c r="B37351" t="s">
        <v>206</v>
      </c>
      <c r="C37351" t="s">
        <v>111</v>
      </c>
      <c r="D37351" t="s">
        <v>90</v>
      </c>
      <c r="F37351" s="2" t="str">
        <f>HYPERLINK("http://www.otzar.org/book.asp?618009","קונטרס לכו ונלכה באור ה'")</f>
        <v>קונטרס לכו ונלכה באור ה'</v>
      </c>
    </row>
    <row r="37352" spans="1:6" x14ac:dyDescent="0.2">
      <c r="A37352" t="s">
        <v>57492</v>
      </c>
      <c r="B37352" t="s">
        <v>18792</v>
      </c>
      <c r="C37352" t="s">
        <v>146</v>
      </c>
      <c r="D37352" t="s">
        <v>52</v>
      </c>
      <c r="E37352" t="s">
        <v>213</v>
      </c>
      <c r="F37352" s="2" t="str">
        <f>HYPERLINK("http://www.otzar.org/book.asp?61312","קונטרס לכו ונשובה אל ה'")</f>
        <v>קונטרס לכו ונשובה אל ה'</v>
      </c>
    </row>
    <row r="37353" spans="1:6" x14ac:dyDescent="0.2">
      <c r="A37353" t="s">
        <v>57493</v>
      </c>
      <c r="B37353" t="s">
        <v>32357</v>
      </c>
      <c r="C37353" t="s">
        <v>20</v>
      </c>
      <c r="D37353" t="s">
        <v>52</v>
      </c>
      <c r="E37353" t="s">
        <v>219</v>
      </c>
      <c r="F37353" s="2" t="str">
        <f>HYPERLINK("http://www.otzar.org/book.asp?193807","קונטרס למדני חוקיך")</f>
        <v>קונטרס למדני חוקיך</v>
      </c>
    </row>
    <row r="37354" spans="1:6" x14ac:dyDescent="0.2">
      <c r="A37354" t="s">
        <v>57494</v>
      </c>
      <c r="B37354" t="s">
        <v>57008</v>
      </c>
      <c r="C37354" t="s">
        <v>114</v>
      </c>
      <c r="D37354" t="s">
        <v>52</v>
      </c>
      <c r="E37354" t="s">
        <v>15</v>
      </c>
      <c r="F37354" s="2" t="str">
        <f>HYPERLINK("http://www.otzar.org/book.asp?176638","קונטרס למיגדר מילתא")</f>
        <v>קונטרס למיגדר מילתא</v>
      </c>
    </row>
    <row r="37355" spans="1:6" x14ac:dyDescent="0.2">
      <c r="A37355" t="s">
        <v>57495</v>
      </c>
      <c r="B37355" t="s">
        <v>53487</v>
      </c>
      <c r="C37355" t="s">
        <v>568</v>
      </c>
      <c r="D37355" t="s">
        <v>164</v>
      </c>
      <c r="E37355" t="s">
        <v>144</v>
      </c>
      <c r="F37355" s="2" t="str">
        <f>HYPERLINK("http://www.otzar.org/book.asp?103486","קונטרס למלאות חסרונות הש""ס")</f>
        <v>קונטרס למלאות חסרונות הש"ס</v>
      </c>
    </row>
    <row r="37356" spans="1:6" x14ac:dyDescent="0.2">
      <c r="A37356" t="s">
        <v>57496</v>
      </c>
      <c r="B37356" t="s">
        <v>57497</v>
      </c>
      <c r="C37356" t="s">
        <v>20</v>
      </c>
      <c r="D37356" t="s">
        <v>90</v>
      </c>
      <c r="F37356" s="2" t="str">
        <f>HYPERLINK("http://www.otzar.org/book.asp?609884","קונטרס למנצח בנגינות &lt;מנורת זהב טהור&gt;")</f>
        <v>קונטרס למנצח בנגינות &lt;מנורת זהב טהור&gt;</v>
      </c>
    </row>
    <row r="37357" spans="1:6" x14ac:dyDescent="0.2">
      <c r="A37357" t="s">
        <v>57498</v>
      </c>
      <c r="B37357" t="s">
        <v>57499</v>
      </c>
      <c r="C37357" t="s">
        <v>23</v>
      </c>
      <c r="D37357" t="s">
        <v>646</v>
      </c>
      <c r="F37357" s="2" t="str">
        <f>HYPERLINK("http://www.otzar.org/book.asp?198809","קונטרס למנקיות ולקשות הנסך")</f>
        <v>קונטרס למנקיות ולקשות הנסך</v>
      </c>
    </row>
    <row r="37358" spans="1:6" x14ac:dyDescent="0.2">
      <c r="A37358" t="s">
        <v>57500</v>
      </c>
      <c r="B37358" t="s">
        <v>40128</v>
      </c>
      <c r="C37358" t="s">
        <v>366</v>
      </c>
      <c r="D37358" t="s">
        <v>152</v>
      </c>
      <c r="E37358" t="s">
        <v>219</v>
      </c>
      <c r="F37358" s="2" t="str">
        <f>HYPERLINK("http://www.otzar.org/book.asp?623392","קונטרס למעלה למשכיל &lt;ביאור תפילת שחרית - עדות מזרח&gt;")</f>
        <v>קונטרס למעלה למשכיל &lt;ביאור תפילת שחרית - עדות מזרח&gt;</v>
      </c>
    </row>
    <row r="37359" spans="1:6" x14ac:dyDescent="0.2">
      <c r="A37359" t="s">
        <v>57501</v>
      </c>
      <c r="B37359" t="s">
        <v>40128</v>
      </c>
      <c r="C37359" t="s">
        <v>114</v>
      </c>
      <c r="D37359" t="s">
        <v>152</v>
      </c>
      <c r="E37359" t="s">
        <v>219</v>
      </c>
      <c r="F37359" s="2" t="str">
        <f>HYPERLINK("http://www.otzar.org/book.asp?162188","קונטרס למעלה למשכיל &lt;ביאור תפילת שמו""ע - 2 כר'")</f>
        <v>קונטרס למעלה למשכיל &lt;ביאור תפילת שמו"ע - 2 כר'</v>
      </c>
    </row>
    <row r="37360" spans="1:6" x14ac:dyDescent="0.2">
      <c r="A37360" t="s">
        <v>57502</v>
      </c>
      <c r="B37360" t="s">
        <v>40128</v>
      </c>
      <c r="C37360" t="s">
        <v>20</v>
      </c>
      <c r="D37360" t="s">
        <v>152</v>
      </c>
      <c r="E37360" t="s">
        <v>158</v>
      </c>
      <c r="F37360" s="2" t="str">
        <f>HYPERLINK("http://www.otzar.org/book.asp?623393","קונטרס למעלה למשכיל &lt;על התורה&gt;")</f>
        <v>קונטרס למעלה למשכיל &lt;על התורה&gt;</v>
      </c>
    </row>
    <row r="37361" spans="1:6" x14ac:dyDescent="0.2">
      <c r="A37361" t="s">
        <v>57503</v>
      </c>
      <c r="B37361" t="s">
        <v>40128</v>
      </c>
      <c r="C37361" t="s">
        <v>20</v>
      </c>
      <c r="D37361" t="s">
        <v>152</v>
      </c>
      <c r="E37361" t="s">
        <v>158</v>
      </c>
      <c r="F37361" s="2" t="str">
        <f>HYPERLINK("http://www.otzar.org/book.asp?623394","קונטרס למעלה למשכיל &lt;שיר השירים&gt;")</f>
        <v>קונטרס למעלה למשכיל &lt;שיר השירים&gt;</v>
      </c>
    </row>
    <row r="37362" spans="1:6" x14ac:dyDescent="0.2">
      <c r="A37362" t="s">
        <v>57504</v>
      </c>
      <c r="B37362" t="s">
        <v>3484</v>
      </c>
      <c r="C37362" t="s">
        <v>466</v>
      </c>
      <c r="D37362" t="s">
        <v>14</v>
      </c>
      <c r="F37362" s="2" t="str">
        <f>HYPERLINK("http://www.otzar.org/book.asp?620402","קונטרס למעלת הזכרת התשובה")</f>
        <v>קונטרס למעלת הזכרת התשובה</v>
      </c>
    </row>
    <row r="37363" spans="1:6" x14ac:dyDescent="0.2">
      <c r="A37363" t="s">
        <v>57505</v>
      </c>
      <c r="B37363" t="s">
        <v>57506</v>
      </c>
      <c r="C37363" t="s">
        <v>244</v>
      </c>
      <c r="D37363" t="s">
        <v>1356</v>
      </c>
      <c r="F37363" s="2" t="str">
        <f>HYPERLINK("http://www.otzar.org/book.asp?601438","קונטרס למען ידעו דורותיכם")</f>
        <v>קונטרס למען ידעו דורותיכם</v>
      </c>
    </row>
    <row r="37364" spans="1:6" x14ac:dyDescent="0.2">
      <c r="A37364" t="s">
        <v>57507</v>
      </c>
      <c r="B37364" t="s">
        <v>57508</v>
      </c>
      <c r="C37364" t="s">
        <v>151</v>
      </c>
      <c r="D37364" t="s">
        <v>134</v>
      </c>
      <c r="F37364" s="2" t="str">
        <f>HYPERLINK("http://www.otzar.org/book.asp?621152","קונטרס למרבה המשרה")</f>
        <v>קונטרס למרבה המשרה</v>
      </c>
    </row>
    <row r="37365" spans="1:6" x14ac:dyDescent="0.2">
      <c r="A37365" t="s">
        <v>57509</v>
      </c>
      <c r="B37365" t="s">
        <v>30810</v>
      </c>
      <c r="C37365" t="s">
        <v>151</v>
      </c>
      <c r="D37365" t="s">
        <v>90</v>
      </c>
      <c r="E37365" t="s">
        <v>104</v>
      </c>
      <c r="F37365" s="2" t="str">
        <f>HYPERLINK("http://www.otzar.org/book.asp?626790","קונטרס לעולם לא אשכח פקודיך")</f>
        <v>קונטרס לעולם לא אשכח פקודיך</v>
      </c>
    </row>
    <row r="37366" spans="1:6" x14ac:dyDescent="0.2">
      <c r="A37366" t="s">
        <v>57510</v>
      </c>
      <c r="B37366" t="s">
        <v>55736</v>
      </c>
      <c r="C37366" t="s">
        <v>20</v>
      </c>
      <c r="D37366" t="s">
        <v>90</v>
      </c>
      <c r="E37366" t="s">
        <v>130</v>
      </c>
      <c r="F37366" s="2" t="str">
        <f>HYPERLINK("http://www.otzar.org/book.asp?629879","קונטרס לעטר פתורא")</f>
        <v>קונטרס לעטר פתורא</v>
      </c>
    </row>
    <row r="37367" spans="1:6" x14ac:dyDescent="0.2">
      <c r="A37367" t="s">
        <v>57511</v>
      </c>
      <c r="B37367" t="s">
        <v>206</v>
      </c>
      <c r="C37367" t="s">
        <v>20</v>
      </c>
      <c r="D37367" t="s">
        <v>367</v>
      </c>
      <c r="F37367" s="2" t="str">
        <f>HYPERLINK("http://www.otzar.org/book.asp?198813","קונטרס לעשות את השבת")</f>
        <v>קונטרס לעשות את השבת</v>
      </c>
    </row>
    <row r="37368" spans="1:6" x14ac:dyDescent="0.2">
      <c r="A37368" t="s">
        <v>57512</v>
      </c>
      <c r="B37368" t="s">
        <v>51079</v>
      </c>
      <c r="C37368" t="s">
        <v>23</v>
      </c>
      <c r="D37368" t="s">
        <v>14</v>
      </c>
      <c r="F37368" s="2" t="str">
        <f>HYPERLINK("http://www.otzar.org/book.asp?610378","קונטרס לפני ה' תטהרו")</f>
        <v>קונטרס לפני ה' תטהרו</v>
      </c>
    </row>
    <row r="37369" spans="1:6" x14ac:dyDescent="0.2">
      <c r="A37369" t="s">
        <v>57513</v>
      </c>
      <c r="B37369" t="s">
        <v>57514</v>
      </c>
      <c r="C37369" t="s">
        <v>20</v>
      </c>
      <c r="D37369" t="s">
        <v>14</v>
      </c>
      <c r="E37369" t="s">
        <v>246</v>
      </c>
      <c r="F37369" s="2" t="str">
        <f>HYPERLINK("http://www.otzar.org/book.asp?181620","קונטרס לפני המלך")</f>
        <v>קונטרס לפני המלך</v>
      </c>
    </row>
    <row r="37370" spans="1:6" x14ac:dyDescent="0.2">
      <c r="A37370" t="s">
        <v>57515</v>
      </c>
      <c r="B37370" t="s">
        <v>57516</v>
      </c>
      <c r="C37370" t="s">
        <v>585</v>
      </c>
      <c r="D37370" t="s">
        <v>412</v>
      </c>
      <c r="F37370" s="2" t="str">
        <f>HYPERLINK("http://www.otzar.org/book.asp?610754","קונטרס לקח טוב - ב")</f>
        <v>קונטרס לקח טוב - ב</v>
      </c>
    </row>
    <row r="37371" spans="1:6" x14ac:dyDescent="0.2">
      <c r="A37371" t="s">
        <v>57517</v>
      </c>
      <c r="B37371" t="s">
        <v>9510</v>
      </c>
      <c r="C37371" t="s">
        <v>20</v>
      </c>
      <c r="D37371" t="s">
        <v>152</v>
      </c>
      <c r="F37371" s="2" t="str">
        <f>HYPERLINK("http://www.otzar.org/book.asp?617888","קונטרס לקיחה תמה")</f>
        <v>קונטרס לקיחה תמה</v>
      </c>
    </row>
    <row r="37372" spans="1:6" x14ac:dyDescent="0.2">
      <c r="A37372" t="s">
        <v>57518</v>
      </c>
      <c r="B37372" t="s">
        <v>3402</v>
      </c>
      <c r="C37372" t="s">
        <v>422</v>
      </c>
      <c r="D37372" t="s">
        <v>52</v>
      </c>
      <c r="E37372" t="s">
        <v>130</v>
      </c>
      <c r="F37372" s="2" t="str">
        <f>HYPERLINK("http://www.otzar.org/book.asp?158726","קונטרס לקראת כלה")</f>
        <v>קונטרס לקראת כלה</v>
      </c>
    </row>
    <row r="37373" spans="1:6" x14ac:dyDescent="0.2">
      <c r="A37373" t="s">
        <v>57519</v>
      </c>
      <c r="B37373" t="s">
        <v>21962</v>
      </c>
      <c r="C37373" t="s">
        <v>366</v>
      </c>
      <c r="D37373" t="s">
        <v>852</v>
      </c>
      <c r="F37373" s="2" t="str">
        <f>HYPERLINK("http://www.otzar.org/book.asp?611026","קונטרס לרעך כמוך -א")</f>
        <v>קונטרס לרעך כמוך -א</v>
      </c>
    </row>
    <row r="37374" spans="1:6" x14ac:dyDescent="0.2">
      <c r="A37374" t="s">
        <v>57520</v>
      </c>
      <c r="B37374" t="s">
        <v>57521</v>
      </c>
      <c r="C37374" t="s">
        <v>146</v>
      </c>
      <c r="D37374" t="s">
        <v>14</v>
      </c>
      <c r="E37374" t="s">
        <v>15</v>
      </c>
      <c r="F37374" s="2" t="str">
        <f>HYPERLINK("http://www.otzar.org/book.asp?150852","קונטרס לשון של זהירות")</f>
        <v>קונטרס לשון של זהירות</v>
      </c>
    </row>
    <row r="37375" spans="1:6" x14ac:dyDescent="0.2">
      <c r="A37375" t="s">
        <v>57522</v>
      </c>
      <c r="B37375" t="s">
        <v>57523</v>
      </c>
      <c r="C37375" t="s">
        <v>919</v>
      </c>
      <c r="D37375" t="s">
        <v>14</v>
      </c>
      <c r="F37375" s="2" t="str">
        <f>HYPERLINK("http://www.otzar.org/book.asp?611163","קונטרס לשונות רש""י")</f>
        <v>קונטרס לשונות רש"י</v>
      </c>
    </row>
    <row r="37376" spans="1:6" x14ac:dyDescent="0.2">
      <c r="A37376" t="s">
        <v>57524</v>
      </c>
      <c r="B37376" t="s">
        <v>14039</v>
      </c>
      <c r="C37376" t="s">
        <v>1470</v>
      </c>
      <c r="D37376" t="s">
        <v>9</v>
      </c>
      <c r="E37376" t="s">
        <v>119</v>
      </c>
      <c r="F37376" s="2" t="str">
        <f>HYPERLINK("http://www.otzar.org/book.asp?167484","קונטרס לתולדות רבינו שלמה ב""ר יצחק")</f>
        <v>קונטרס לתולדות רבינו שלמה ב"ר יצחק</v>
      </c>
    </row>
    <row r="37377" spans="1:6" x14ac:dyDescent="0.2">
      <c r="A37377" t="s">
        <v>57525</v>
      </c>
      <c r="B37377" t="s">
        <v>45285</v>
      </c>
      <c r="C37377" t="s">
        <v>114</v>
      </c>
      <c r="D37377" t="s">
        <v>52</v>
      </c>
      <c r="E37377" t="s">
        <v>104</v>
      </c>
      <c r="F37377" s="2" t="str">
        <f>HYPERLINK("http://www.otzar.org/book.asp?163013","קונטרס מאה ברכות")</f>
        <v>קונטרס מאה ברכות</v>
      </c>
    </row>
    <row r="37378" spans="1:6" x14ac:dyDescent="0.2">
      <c r="A37378" t="s">
        <v>57526</v>
      </c>
      <c r="B37378" t="s">
        <v>686</v>
      </c>
      <c r="C37378" t="s">
        <v>129</v>
      </c>
      <c r="D37378" t="s">
        <v>52</v>
      </c>
      <c r="E37378" t="s">
        <v>104</v>
      </c>
      <c r="F37378" s="2" t="str">
        <f>HYPERLINK("http://www.otzar.org/book.asp?60727","קונטרס מאה שערים, מנשיקות פיהו")</f>
        <v>קונטרס מאה שערים, מנשיקות פיהו</v>
      </c>
    </row>
    <row r="37379" spans="1:6" x14ac:dyDescent="0.2">
      <c r="A37379" t="s">
        <v>57527</v>
      </c>
      <c r="B37379" t="s">
        <v>51079</v>
      </c>
      <c r="C37379" t="s">
        <v>20</v>
      </c>
      <c r="D37379" t="s">
        <v>14</v>
      </c>
      <c r="F37379" s="2" t="str">
        <f>HYPERLINK("http://www.otzar.org/book.asp?609745","קונטרס מאור הברכה")</f>
        <v>קונטרס מאור הברכה</v>
      </c>
    </row>
    <row r="37380" spans="1:6" x14ac:dyDescent="0.2">
      <c r="A37380" t="s">
        <v>57528</v>
      </c>
      <c r="B37380" t="s">
        <v>57529</v>
      </c>
      <c r="C37380" t="s">
        <v>411</v>
      </c>
      <c r="D37380" t="s">
        <v>14</v>
      </c>
      <c r="F37380" s="2" t="str">
        <f>HYPERLINK("http://www.otzar.org/book.asp?181899","קונטרס מאור התורה")</f>
        <v>קונטרס מאור התורה</v>
      </c>
    </row>
    <row r="37381" spans="1:6" x14ac:dyDescent="0.2">
      <c r="A37381" t="s">
        <v>57530</v>
      </c>
      <c r="B37381" t="s">
        <v>57531</v>
      </c>
      <c r="C37381" t="s">
        <v>332</v>
      </c>
      <c r="D37381" t="s">
        <v>52</v>
      </c>
      <c r="E37381" t="s">
        <v>158</v>
      </c>
      <c r="F37381" s="2" t="str">
        <f>HYPERLINK("http://www.otzar.org/book.asp?623970","קונטרס מאור התרגום")</f>
        <v>קונטרס מאור התרגום</v>
      </c>
    </row>
    <row r="37382" spans="1:6" x14ac:dyDescent="0.2">
      <c r="A37382" t="s">
        <v>57532</v>
      </c>
      <c r="B37382" t="s">
        <v>57533</v>
      </c>
      <c r="C37382" t="s">
        <v>68</v>
      </c>
      <c r="D37382" t="s">
        <v>52</v>
      </c>
      <c r="E37382" t="s">
        <v>130</v>
      </c>
      <c r="F37382" s="2" t="str">
        <f>HYPERLINK("http://www.otzar.org/book.asp?161606","קונטרס מאור יחזקאל - יצב אברהם")</f>
        <v>קונטרס מאור יחזקאל - יצב אברהם</v>
      </c>
    </row>
    <row r="37383" spans="1:6" x14ac:dyDescent="0.2">
      <c r="A37383" t="s">
        <v>57534</v>
      </c>
      <c r="B37383" t="s">
        <v>24899</v>
      </c>
      <c r="C37383" t="s">
        <v>244</v>
      </c>
      <c r="D37383" t="s">
        <v>14</v>
      </c>
      <c r="E37383" t="s">
        <v>246</v>
      </c>
      <c r="F37383" s="2" t="str">
        <f>HYPERLINK("http://www.otzar.org/book.asp?603776","קונטרס מאור יעקב - 5 כר'")</f>
        <v>קונטרס מאור יעקב - 5 כר'</v>
      </c>
    </row>
    <row r="37384" spans="1:6" x14ac:dyDescent="0.2">
      <c r="A37384" t="s">
        <v>57535</v>
      </c>
      <c r="B37384" t="s">
        <v>8936</v>
      </c>
      <c r="C37384" t="s">
        <v>23</v>
      </c>
      <c r="D37384" t="s">
        <v>412</v>
      </c>
      <c r="E37384" t="s">
        <v>246</v>
      </c>
      <c r="F37384" s="2" t="str">
        <f>HYPERLINK("http://www.otzar.org/book.asp?193478","קונטרס מאורות החג")</f>
        <v>קונטרס מאורות החג</v>
      </c>
    </row>
    <row r="37385" spans="1:6" x14ac:dyDescent="0.2">
      <c r="A37385" t="s">
        <v>57536</v>
      </c>
      <c r="B37385" t="s">
        <v>57537</v>
      </c>
      <c r="C37385" t="s">
        <v>244</v>
      </c>
      <c r="D37385" t="s">
        <v>412</v>
      </c>
      <c r="F37385" s="2" t="str">
        <f>HYPERLINK("http://www.otzar.org/book.asp?613957","קונטרס מאורות קדומים")</f>
        <v>קונטרס מאורות קדומים</v>
      </c>
    </row>
    <row r="37386" spans="1:6" x14ac:dyDescent="0.2">
      <c r="A37386" t="s">
        <v>57538</v>
      </c>
      <c r="B37386" t="s">
        <v>17523</v>
      </c>
      <c r="C37386" t="s">
        <v>111</v>
      </c>
      <c r="D37386" t="s">
        <v>90</v>
      </c>
      <c r="E37386" t="s">
        <v>144</v>
      </c>
      <c r="F37386" s="2" t="str">
        <f>HYPERLINK("http://www.otzar.org/book.asp?629815","קונטרס מאורי אור")</f>
        <v>קונטרס מאורי אור</v>
      </c>
    </row>
    <row r="37387" spans="1:6" x14ac:dyDescent="0.2">
      <c r="A37387" t="s">
        <v>57539</v>
      </c>
      <c r="B37387" t="s">
        <v>55680</v>
      </c>
      <c r="D37387" t="s">
        <v>90</v>
      </c>
      <c r="F37387" s="2" t="str">
        <f>HYPERLINK("http://www.otzar.org/book.asp?603263","קונטרס מאזני צדק א - ב")</f>
        <v>קונטרס מאזני צדק א - ב</v>
      </c>
    </row>
    <row r="37388" spans="1:6" x14ac:dyDescent="0.2">
      <c r="A37388" t="s">
        <v>57540</v>
      </c>
      <c r="B37388" t="s">
        <v>4397</v>
      </c>
      <c r="C37388" t="s">
        <v>785</v>
      </c>
      <c r="D37388" t="s">
        <v>14</v>
      </c>
      <c r="E37388" t="s">
        <v>130</v>
      </c>
      <c r="F37388" s="2" t="str">
        <f>HYPERLINK("http://www.otzar.org/book.asp?62932","קונטרס מאי חנוכה")</f>
        <v>קונטרס מאי חנוכה</v>
      </c>
    </row>
    <row r="37389" spans="1:6" x14ac:dyDescent="0.2">
      <c r="A37389" t="s">
        <v>57541</v>
      </c>
      <c r="B37389" t="s">
        <v>57542</v>
      </c>
      <c r="C37389" t="s">
        <v>13</v>
      </c>
      <c r="D37389" t="s">
        <v>21</v>
      </c>
      <c r="E37389" t="s">
        <v>144</v>
      </c>
      <c r="F37389" s="2" t="str">
        <f>HYPERLINK("http://www.otzar.org/book.asp?603534","קונטרס מאיר מקומות - ב""ק פ""א")</f>
        <v>קונטרס מאיר מקומות - ב"ק פ"א</v>
      </c>
    </row>
    <row r="37390" spans="1:6" x14ac:dyDescent="0.2">
      <c r="A37390" t="s">
        <v>57543</v>
      </c>
      <c r="B37390" t="s">
        <v>12920</v>
      </c>
      <c r="C37390" t="s">
        <v>244</v>
      </c>
      <c r="D37390" t="s">
        <v>14</v>
      </c>
      <c r="F37390" s="2" t="str">
        <f>HYPERLINK("http://www.otzar.org/book.asp?198633","קונטרס מאמר היראה")</f>
        <v>קונטרס מאמר היראה</v>
      </c>
    </row>
    <row r="37391" spans="1:6" x14ac:dyDescent="0.2">
      <c r="A37391" t="s">
        <v>57544</v>
      </c>
      <c r="B37391" t="s">
        <v>24165</v>
      </c>
      <c r="C37391" t="s">
        <v>20</v>
      </c>
      <c r="D37391" t="s">
        <v>90</v>
      </c>
      <c r="E37391" t="s">
        <v>144</v>
      </c>
      <c r="F37391" s="2" t="str">
        <f>HYPERLINK("http://www.otzar.org/book.asp?190325","קונטרס מאמר כל דאי")</f>
        <v>קונטרס מאמר כל דאי</v>
      </c>
    </row>
    <row r="37392" spans="1:6" x14ac:dyDescent="0.2">
      <c r="A37392" t="s">
        <v>57545</v>
      </c>
      <c r="B37392" t="s">
        <v>57546</v>
      </c>
      <c r="C37392" t="s">
        <v>133</v>
      </c>
      <c r="D37392" t="s">
        <v>14</v>
      </c>
      <c r="F37392" s="2" t="str">
        <f>HYPERLINK("http://www.otzar.org/book.asp?613088","קונטרס מאמר כתם פז")</f>
        <v>קונטרס מאמר כתם פז</v>
      </c>
    </row>
    <row r="37393" spans="1:6" x14ac:dyDescent="0.2">
      <c r="A37393" t="s">
        <v>57547</v>
      </c>
      <c r="B37393" t="s">
        <v>57546</v>
      </c>
      <c r="F37393" s="2" t="str">
        <f>HYPERLINK("http://www.otzar.org/book.asp?613087","קונטרס מאמר מספר מפקד")</f>
        <v>קונטרס מאמר מספר מפקד</v>
      </c>
    </row>
    <row r="37394" spans="1:6" x14ac:dyDescent="0.2">
      <c r="A37394" t="s">
        <v>57548</v>
      </c>
      <c r="B37394" t="s">
        <v>1978</v>
      </c>
      <c r="C37394" t="s">
        <v>411</v>
      </c>
      <c r="D37394" t="s">
        <v>52</v>
      </c>
      <c r="E37394" t="s">
        <v>15</v>
      </c>
      <c r="F37394" s="2" t="str">
        <f>HYPERLINK("http://www.otzar.org/book.asp?172077","קונטרס מאמר קדישין המבואר")</f>
        <v>קונטרס מאמר קדישין המבואר</v>
      </c>
    </row>
    <row r="37395" spans="1:6" x14ac:dyDescent="0.2">
      <c r="A37395" t="s">
        <v>57549</v>
      </c>
      <c r="B37395" t="s">
        <v>17346</v>
      </c>
      <c r="C37395" t="s">
        <v>940</v>
      </c>
      <c r="D37395" t="s">
        <v>52</v>
      </c>
      <c r="E37395" t="s">
        <v>213</v>
      </c>
      <c r="F37395" s="2" t="str">
        <f>HYPERLINK("http://www.otzar.org/book.asp?195554","קונטרס מאמרי הימים הנוראים")</f>
        <v>קונטרס מאמרי הימים הנוראים</v>
      </c>
    </row>
    <row r="37396" spans="1:6" x14ac:dyDescent="0.2">
      <c r="A37396" t="s">
        <v>57550</v>
      </c>
      <c r="B37396" t="s">
        <v>57551</v>
      </c>
      <c r="C37396" t="s">
        <v>20</v>
      </c>
      <c r="D37396" t="s">
        <v>412</v>
      </c>
      <c r="E37396" t="s">
        <v>246</v>
      </c>
      <c r="F37396" s="2" t="str">
        <f>HYPERLINK("http://www.otzar.org/book.asp?171164","קונטרס מאמרי יו""ט וחג המצות")</f>
        <v>קונטרס מאמרי יו"ט וחג המצות</v>
      </c>
    </row>
    <row r="37397" spans="1:6" x14ac:dyDescent="0.2">
      <c r="A37397" t="s">
        <v>57552</v>
      </c>
      <c r="B37397" t="s">
        <v>206</v>
      </c>
      <c r="C37397" t="s">
        <v>20</v>
      </c>
      <c r="D37397" t="s">
        <v>21</v>
      </c>
      <c r="F37397" s="2" t="str">
        <f>HYPERLINK("http://www.otzar.org/book.asp?196430","קונטרס מאמרי מוסר")</f>
        <v>קונטרס מאמרי מוסר</v>
      </c>
    </row>
    <row r="37398" spans="1:6" x14ac:dyDescent="0.2">
      <c r="A37398" t="s">
        <v>57553</v>
      </c>
      <c r="B37398" t="s">
        <v>33841</v>
      </c>
      <c r="C37398" t="s">
        <v>1619</v>
      </c>
      <c r="D37398" t="s">
        <v>2201</v>
      </c>
      <c r="E37398" t="s">
        <v>241</v>
      </c>
      <c r="F37398" s="2" t="str">
        <f>HYPERLINK("http://www.otzar.org/book.asp?624946","קונטרס מאמרי עולם ברור")</f>
        <v>קונטרס מאמרי עולם ברור</v>
      </c>
    </row>
    <row r="37399" spans="1:6" x14ac:dyDescent="0.2">
      <c r="A37399" t="s">
        <v>57554</v>
      </c>
      <c r="B37399" t="s">
        <v>33841</v>
      </c>
      <c r="C37399" t="s">
        <v>26</v>
      </c>
      <c r="D37399" t="s">
        <v>2201</v>
      </c>
      <c r="E37399" t="s">
        <v>241</v>
      </c>
      <c r="F37399" s="2" t="str">
        <f>HYPERLINK("http://www.otzar.org/book.asp?624943","קונטרס מאמרי עולם הזה")</f>
        <v>קונטרס מאמרי עולם הזה</v>
      </c>
    </row>
    <row r="37400" spans="1:6" x14ac:dyDescent="0.2">
      <c r="A37400" t="s">
        <v>57555</v>
      </c>
      <c r="B37400" t="s">
        <v>57551</v>
      </c>
      <c r="C37400" t="s">
        <v>411</v>
      </c>
      <c r="D37400" t="s">
        <v>412</v>
      </c>
      <c r="E37400" t="s">
        <v>246</v>
      </c>
      <c r="F37400" s="2" t="str">
        <f>HYPERLINK("http://www.otzar.org/book.asp?171165","קונטרס מאמרי ר""ה")</f>
        <v>קונטרס מאמרי ר"ה</v>
      </c>
    </row>
    <row r="37401" spans="1:6" x14ac:dyDescent="0.2">
      <c r="A37401" t="s">
        <v>57556</v>
      </c>
      <c r="B37401" t="s">
        <v>57551</v>
      </c>
      <c r="C37401" t="s">
        <v>411</v>
      </c>
      <c r="D37401" t="s">
        <v>412</v>
      </c>
      <c r="E37401" t="s">
        <v>246</v>
      </c>
      <c r="F37401" s="2" t="str">
        <f>HYPERLINK("http://www.otzar.org/book.asp?171163","קונטרס מאמרי שבת וחנוכה")</f>
        <v>קונטרס מאמרי שבת וחנוכה</v>
      </c>
    </row>
    <row r="37402" spans="1:6" x14ac:dyDescent="0.2">
      <c r="A37402" t="s">
        <v>57557</v>
      </c>
      <c r="B37402" t="s">
        <v>30124</v>
      </c>
      <c r="C37402" t="s">
        <v>57558</v>
      </c>
      <c r="D37402" t="s">
        <v>9</v>
      </c>
      <c r="F37402" s="2" t="str">
        <f>HYPERLINK("http://www.otzar.org/book.asp?620683","קונטרס מאמרים פון... אדמו""ר שליט""א ממאדזיץ - ב")</f>
        <v>קונטרס מאמרים פון... אדמו"ר שליט"א ממאדזיץ - ב</v>
      </c>
    </row>
    <row r="37403" spans="1:6" x14ac:dyDescent="0.2">
      <c r="A37403" t="s">
        <v>57559</v>
      </c>
      <c r="B37403" t="s">
        <v>57560</v>
      </c>
      <c r="C37403" t="s">
        <v>111</v>
      </c>
      <c r="D37403" t="s">
        <v>152</v>
      </c>
      <c r="F37403" s="2" t="str">
        <f>HYPERLINK("http://www.otzar.org/book.asp?619113","קונטרס מאני דשיראי")</f>
        <v>קונטרס מאני דשיראי</v>
      </c>
    </row>
    <row r="37404" spans="1:6" x14ac:dyDescent="0.2">
      <c r="A37404" t="s">
        <v>57561</v>
      </c>
      <c r="B37404" t="s">
        <v>57562</v>
      </c>
      <c r="C37404" t="s">
        <v>68</v>
      </c>
      <c r="D37404" t="s">
        <v>52</v>
      </c>
      <c r="E37404" t="s">
        <v>140</v>
      </c>
      <c r="F37404" s="2" t="str">
        <f>HYPERLINK("http://www.otzar.org/book.asp?623815","קונטרס מאתיים לנוטרים")</f>
        <v>קונטרס מאתיים לנוטרים</v>
      </c>
    </row>
    <row r="37405" spans="1:6" x14ac:dyDescent="0.2">
      <c r="A37405" t="s">
        <v>57563</v>
      </c>
      <c r="B37405" t="s">
        <v>34716</v>
      </c>
      <c r="C37405" t="s">
        <v>366</v>
      </c>
      <c r="D37405" t="s">
        <v>90</v>
      </c>
      <c r="E37405" t="s">
        <v>803</v>
      </c>
      <c r="F37405" s="2" t="str">
        <f>HYPERLINK("http://www.otzar.org/book.asp?611818","קונטרס מבוא לדיני ההנהגות")</f>
        <v>קונטרס מבוא לדיני ההנהגות</v>
      </c>
    </row>
    <row r="37406" spans="1:6" x14ac:dyDescent="0.2">
      <c r="A37406" t="s">
        <v>57564</v>
      </c>
      <c r="B37406" t="s">
        <v>57546</v>
      </c>
      <c r="C37406" t="s">
        <v>553</v>
      </c>
      <c r="D37406" t="s">
        <v>52</v>
      </c>
      <c r="F37406" s="2" t="str">
        <f>HYPERLINK("http://www.otzar.org/book.asp?613086","קונטרס מבוא ללשון התרגום")</f>
        <v>קונטרס מבוא ללשון התרגום</v>
      </c>
    </row>
    <row r="37407" spans="1:6" x14ac:dyDescent="0.2">
      <c r="A37407" t="s">
        <v>57565</v>
      </c>
      <c r="B37407" t="s">
        <v>11614</v>
      </c>
      <c r="C37407" t="s">
        <v>244</v>
      </c>
      <c r="D37407" t="s">
        <v>423</v>
      </c>
      <c r="E37407" t="s">
        <v>202</v>
      </c>
      <c r="F37407" s="2" t="str">
        <f>HYPERLINK("http://www.otzar.org/book.asp?603761","קונטרס מבי מדרשא")</f>
        <v>קונטרס מבי מדרשא</v>
      </c>
    </row>
    <row r="37408" spans="1:6" x14ac:dyDescent="0.2">
      <c r="A37408" t="s">
        <v>57566</v>
      </c>
      <c r="B37408" t="s">
        <v>3068</v>
      </c>
      <c r="C37408" t="s">
        <v>37</v>
      </c>
      <c r="D37408" t="s">
        <v>3069</v>
      </c>
      <c r="E37408" t="s">
        <v>15</v>
      </c>
      <c r="F37408" s="2" t="str">
        <f>HYPERLINK("http://www.otzar.org/book.asp?193510","קונטרס מבעד לצמתך")</f>
        <v>קונטרס מבעד לצמתך</v>
      </c>
    </row>
    <row r="37409" spans="1:6" x14ac:dyDescent="0.2">
      <c r="A37409" t="s">
        <v>57567</v>
      </c>
      <c r="B37409" t="s">
        <v>57568</v>
      </c>
      <c r="C37409" t="s">
        <v>422</v>
      </c>
      <c r="D37409" t="s">
        <v>229</v>
      </c>
      <c r="E37409" t="s">
        <v>130</v>
      </c>
      <c r="F37409" s="2" t="str">
        <f>HYPERLINK("http://www.otzar.org/book.asp?158712","קונטרס מבעוד יום מוכנים")</f>
        <v>קונטרס מבעוד יום מוכנים</v>
      </c>
    </row>
    <row r="37410" spans="1:6" x14ac:dyDescent="0.2">
      <c r="A37410" t="s">
        <v>57569</v>
      </c>
      <c r="B37410" t="s">
        <v>40381</v>
      </c>
      <c r="C37410" t="s">
        <v>23</v>
      </c>
      <c r="D37410" t="s">
        <v>52</v>
      </c>
      <c r="E37410" t="s">
        <v>246</v>
      </c>
      <c r="F37410" s="2" t="str">
        <f>HYPERLINK("http://www.otzar.org/book.asp?603766","קונטרס מגדל דוד - חנוכה")</f>
        <v>קונטרס מגדל דוד - חנוכה</v>
      </c>
    </row>
    <row r="37411" spans="1:6" x14ac:dyDescent="0.2">
      <c r="A37411" t="s">
        <v>57570</v>
      </c>
      <c r="B37411" t="s">
        <v>57571</v>
      </c>
      <c r="C37411" t="s">
        <v>189</v>
      </c>
      <c r="D37411" t="s">
        <v>152</v>
      </c>
      <c r="E37411" t="s">
        <v>674</v>
      </c>
      <c r="F37411" s="2" t="str">
        <f>HYPERLINK("http://www.otzar.org/book.asp?61992","קונטרס מגדל דוד")</f>
        <v>קונטרס מגדל דוד</v>
      </c>
    </row>
    <row r="37412" spans="1:6" x14ac:dyDescent="0.2">
      <c r="A37412" t="s">
        <v>57572</v>
      </c>
      <c r="B37412" t="s">
        <v>8743</v>
      </c>
      <c r="C37412" t="s">
        <v>23</v>
      </c>
      <c r="D37412" t="s">
        <v>412</v>
      </c>
      <c r="F37412" s="2" t="str">
        <f>HYPERLINK("http://www.otzar.org/book.asp?613588","קונטרס מגילת אסתר")</f>
        <v>קונטרס מגילת אסתר</v>
      </c>
    </row>
    <row r="37413" spans="1:6" x14ac:dyDescent="0.2">
      <c r="A37413" t="s">
        <v>57573</v>
      </c>
      <c r="B37413" t="s">
        <v>8743</v>
      </c>
      <c r="C37413" t="s">
        <v>37</v>
      </c>
      <c r="D37413" t="s">
        <v>412</v>
      </c>
      <c r="F37413" s="2" t="str">
        <f>HYPERLINK("http://www.otzar.org/book.asp?613585","קונטרס מגילת ניטל")</f>
        <v>קונטרס מגילת ניטל</v>
      </c>
    </row>
    <row r="37414" spans="1:6" x14ac:dyDescent="0.2">
      <c r="A37414" t="s">
        <v>57574</v>
      </c>
      <c r="B37414" t="s">
        <v>6987</v>
      </c>
      <c r="C37414" t="s">
        <v>20</v>
      </c>
      <c r="D37414" t="s">
        <v>90</v>
      </c>
      <c r="E37414" t="s">
        <v>158</v>
      </c>
      <c r="F37414" s="2" t="str">
        <f>HYPERLINK("http://www.otzar.org/book.asp?630531","קונטרס מגילת רות עם ביאור כעץ שתול")</f>
        <v>קונטרס מגילת רות עם ביאור כעץ שתול</v>
      </c>
    </row>
    <row r="37415" spans="1:6" x14ac:dyDescent="0.2">
      <c r="A37415" t="s">
        <v>57575</v>
      </c>
      <c r="B37415" t="s">
        <v>57576</v>
      </c>
      <c r="C37415" t="s">
        <v>533</v>
      </c>
      <c r="D37415" t="s">
        <v>90</v>
      </c>
      <c r="E37415" t="s">
        <v>16417</v>
      </c>
      <c r="F37415" s="2" t="str">
        <f>HYPERLINK("http://www.otzar.org/book.asp?620987","קונטרס מגן ומושיע")</f>
        <v>קונטרס מגן ומושיע</v>
      </c>
    </row>
    <row r="37416" spans="1:6" x14ac:dyDescent="0.2">
      <c r="A37416" t="s">
        <v>57577</v>
      </c>
      <c r="B37416" t="s">
        <v>43877</v>
      </c>
      <c r="C37416" t="s">
        <v>114</v>
      </c>
      <c r="D37416" t="s">
        <v>52</v>
      </c>
      <c r="E37416" t="s">
        <v>246</v>
      </c>
      <c r="F37416" s="2" t="str">
        <f>HYPERLINK("http://www.otzar.org/book.asp?608126","קונטרס מדי דברי - 2 כר'")</f>
        <v>קונטרס מדי דברי - 2 כר'</v>
      </c>
    </row>
    <row r="37417" spans="1:6" x14ac:dyDescent="0.2">
      <c r="A37417" t="s">
        <v>57578</v>
      </c>
      <c r="B37417" t="s">
        <v>45419</v>
      </c>
      <c r="C37417" t="s">
        <v>383</v>
      </c>
      <c r="D37417" t="s">
        <v>52</v>
      </c>
      <c r="E37417" t="s">
        <v>1164</v>
      </c>
      <c r="F37417" s="2" t="str">
        <f>HYPERLINK("http://www.otzar.org/book.asp?157600","קונטרס מדי חודש בחדשו")</f>
        <v>קונטרס מדי חודש בחדשו</v>
      </c>
    </row>
    <row r="37418" spans="1:6" x14ac:dyDescent="0.2">
      <c r="A37418" t="s">
        <v>57579</v>
      </c>
      <c r="B37418" t="s">
        <v>57580</v>
      </c>
      <c r="C37418" t="s">
        <v>1619</v>
      </c>
      <c r="D37418" t="s">
        <v>52</v>
      </c>
      <c r="F37418" s="2" t="str">
        <f>HYPERLINK("http://www.otzar.org/book.asp?611437","קונטרס מדרכי לימוד התורה כראוי")</f>
        <v>קונטרס מדרכי לימוד התורה כראוי</v>
      </c>
    </row>
    <row r="37419" spans="1:6" x14ac:dyDescent="0.2">
      <c r="A37419" t="s">
        <v>57581</v>
      </c>
      <c r="B37419" t="s">
        <v>28379</v>
      </c>
      <c r="C37419" t="s">
        <v>151</v>
      </c>
      <c r="D37419" t="s">
        <v>52</v>
      </c>
      <c r="E37419" t="s">
        <v>213</v>
      </c>
      <c r="F37419" s="2" t="str">
        <f>HYPERLINK("http://www.otzar.org/book.asp?618871","קונטרס מה אהבתי תורתך")</f>
        <v>קונטרס מה אהבתי תורתך</v>
      </c>
    </row>
    <row r="37420" spans="1:6" x14ac:dyDescent="0.2">
      <c r="A37420" t="s">
        <v>57582</v>
      </c>
      <c r="B37420" t="s">
        <v>56695</v>
      </c>
      <c r="C37420" t="s">
        <v>20</v>
      </c>
      <c r="D37420" t="s">
        <v>90</v>
      </c>
      <c r="E37420" t="s">
        <v>144</v>
      </c>
      <c r="F37420" s="2" t="str">
        <f>HYPERLINK("http://www.otzar.org/book.asp?603853","קונטרס מה בין פסח מצרים לפסח דורות")</f>
        <v>קונטרס מה בין פסח מצרים לפסח דורות</v>
      </c>
    </row>
    <row r="37421" spans="1:6" x14ac:dyDescent="0.2">
      <c r="A37421" t="s">
        <v>57583</v>
      </c>
      <c r="B37421" t="s">
        <v>1010</v>
      </c>
      <c r="C37421" t="s">
        <v>20</v>
      </c>
      <c r="D37421" t="s">
        <v>1156</v>
      </c>
      <c r="F37421" s="2" t="str">
        <f>HYPERLINK("http://www.otzar.org/book.asp?198641","קונטרס מה לי לשקר")</f>
        <v>קונטרס מה לי לשקר</v>
      </c>
    </row>
    <row r="37422" spans="1:6" x14ac:dyDescent="0.2">
      <c r="A37422" t="s">
        <v>57584</v>
      </c>
      <c r="B37422" t="s">
        <v>57585</v>
      </c>
      <c r="C37422" t="s">
        <v>411</v>
      </c>
      <c r="D37422" t="s">
        <v>412</v>
      </c>
      <c r="E37422" t="s">
        <v>241</v>
      </c>
      <c r="F37422" s="2" t="str">
        <f>HYPERLINK("http://www.otzar.org/book.asp?611373","קונטרס מה לך נרדם")</f>
        <v>קונטרס מה לך נרדם</v>
      </c>
    </row>
    <row r="37423" spans="1:6" x14ac:dyDescent="0.2">
      <c r="A37423" t="s">
        <v>57586</v>
      </c>
      <c r="B37423" t="s">
        <v>8907</v>
      </c>
      <c r="C37423" t="s">
        <v>111</v>
      </c>
      <c r="D37423" t="s">
        <v>14</v>
      </c>
      <c r="E37423" t="s">
        <v>246</v>
      </c>
      <c r="F37423" s="2" t="str">
        <f>HYPERLINK("http://www.otzar.org/book.asp?625669","קונטרס מה נשתנה שן")</f>
        <v>קונטרס מה נשתנה שן</v>
      </c>
    </row>
    <row r="37424" spans="1:6" x14ac:dyDescent="0.2">
      <c r="A37424" t="s">
        <v>57587</v>
      </c>
      <c r="B37424" t="s">
        <v>10276</v>
      </c>
      <c r="C37424" t="s">
        <v>4404</v>
      </c>
      <c r="D37424" t="s">
        <v>39508</v>
      </c>
      <c r="E37424" t="s">
        <v>2135</v>
      </c>
      <c r="F37424" s="2" t="str">
        <f>HYPERLINK("http://www.otzar.org/book.asp?168093","קונטרס מהגאון הגדול מוהר""י ולק כ""ץ זצ""ל בעל הסמ""ע - 3 כר'")</f>
        <v>קונטרס מהגאון הגדול מוהר"י ולק כ"ץ זצ"ל בעל הסמ"ע - 3 כר'</v>
      </c>
    </row>
    <row r="37425" spans="1:6" x14ac:dyDescent="0.2">
      <c r="A37425" t="s">
        <v>57588</v>
      </c>
      <c r="B37425" t="s">
        <v>14662</v>
      </c>
      <c r="C37425" t="s">
        <v>427</v>
      </c>
      <c r="D37425" t="s">
        <v>412</v>
      </c>
      <c r="E37425" t="s">
        <v>564</v>
      </c>
      <c r="F37425" s="2" t="str">
        <f>HYPERLINK("http://www.otzar.org/book.asp?188471","קונטרס מהר""י ט""ב לימי השובבים וארבע פרשיות")</f>
        <v>קונטרס מהר"י ט"ב לימי השובבים וארבע פרשיות</v>
      </c>
    </row>
    <row r="37426" spans="1:6" x14ac:dyDescent="0.2">
      <c r="A37426" t="s">
        <v>57589</v>
      </c>
      <c r="B37426" t="s">
        <v>57590</v>
      </c>
      <c r="C37426" t="s">
        <v>111</v>
      </c>
      <c r="D37426" t="s">
        <v>14</v>
      </c>
      <c r="F37426" s="2" t="str">
        <f>HYPERLINK("http://www.otzar.org/book.asp?629326","קונטרס מודה כהלכה")</f>
        <v>קונטרס מודה כהלכה</v>
      </c>
    </row>
    <row r="37427" spans="1:6" x14ac:dyDescent="0.2">
      <c r="A37427" t="s">
        <v>57591</v>
      </c>
      <c r="B37427" t="s">
        <v>29695</v>
      </c>
      <c r="C37427" t="s">
        <v>422</v>
      </c>
      <c r="D37427" t="s">
        <v>52</v>
      </c>
      <c r="E37427" t="s">
        <v>144</v>
      </c>
      <c r="F37427" s="2" t="str">
        <f>HYPERLINK("http://www.otzar.org/book.asp?159967","קונטרס מוחזקות ותפיסה - 2 כר'")</f>
        <v>קונטרס מוחזקות ותפיסה - 2 כר'</v>
      </c>
    </row>
    <row r="37428" spans="1:6" x14ac:dyDescent="0.2">
      <c r="A37428" t="s">
        <v>57592</v>
      </c>
      <c r="B37428" t="s">
        <v>57593</v>
      </c>
      <c r="C37428" t="s">
        <v>37</v>
      </c>
      <c r="D37428" t="s">
        <v>14816</v>
      </c>
      <c r="E37428" t="s">
        <v>144</v>
      </c>
      <c r="F37428" s="2" t="str">
        <f>HYPERLINK("http://www.otzar.org/book.asp?182989","קונטרס מועדי ישראל - טבלאות עמ""ס סוכה")</f>
        <v>קונטרס מועדי ישראל - טבלאות עמ"ס סוכה</v>
      </c>
    </row>
    <row r="37429" spans="1:6" x14ac:dyDescent="0.2">
      <c r="A37429" t="s">
        <v>57594</v>
      </c>
      <c r="B37429" t="s">
        <v>57595</v>
      </c>
      <c r="C37429" t="s">
        <v>454</v>
      </c>
      <c r="D37429" t="s">
        <v>52</v>
      </c>
      <c r="E37429" t="s">
        <v>246</v>
      </c>
      <c r="F37429" s="2" t="str">
        <f>HYPERLINK("http://www.otzar.org/book.asp?146488","קונטרס מועדים וזמנים - 5 כר'")</f>
        <v>קונטרס מועדים וזמנים - 5 כר'</v>
      </c>
    </row>
    <row r="37430" spans="1:6" x14ac:dyDescent="0.2">
      <c r="A37430" t="s">
        <v>57596</v>
      </c>
      <c r="B37430" t="s">
        <v>206</v>
      </c>
      <c r="C37430" t="s">
        <v>244</v>
      </c>
      <c r="D37430" t="s">
        <v>21</v>
      </c>
      <c r="F37430" s="2" t="str">
        <f>HYPERLINK("http://www.otzar.org/book.asp?604349","קונטרס מוקצה")</f>
        <v>קונטרס מוקצה</v>
      </c>
    </row>
    <row r="37431" spans="1:6" x14ac:dyDescent="0.2">
      <c r="A37431" t="s">
        <v>57597</v>
      </c>
      <c r="B37431" t="s">
        <v>16688</v>
      </c>
      <c r="C37431" t="s">
        <v>68</v>
      </c>
      <c r="D37431" t="s">
        <v>52</v>
      </c>
      <c r="F37431" s="2" t="str">
        <f>HYPERLINK("http://www.otzar.org/book.asp?616194","קונטרס מור והדס")</f>
        <v>קונטרס מור והדס</v>
      </c>
    </row>
    <row r="37432" spans="1:6" x14ac:dyDescent="0.2">
      <c r="A37432" t="s">
        <v>57598</v>
      </c>
      <c r="B37432" t="s">
        <v>50411</v>
      </c>
      <c r="C37432" t="s">
        <v>129</v>
      </c>
      <c r="D37432" t="s">
        <v>367</v>
      </c>
      <c r="E37432" t="s">
        <v>15</v>
      </c>
      <c r="F37432" s="2" t="str">
        <f>HYPERLINK("http://www.otzar.org/book.asp?152828","קונטרס מורא מקדש")</f>
        <v>קונטרס מורא מקדש</v>
      </c>
    </row>
    <row r="37433" spans="1:6" x14ac:dyDescent="0.2">
      <c r="A37433" t="s">
        <v>57599</v>
      </c>
      <c r="B37433" t="s">
        <v>56140</v>
      </c>
      <c r="C37433" t="s">
        <v>133</v>
      </c>
      <c r="D37433" t="s">
        <v>90</v>
      </c>
      <c r="E37433" t="s">
        <v>2840</v>
      </c>
      <c r="F37433" s="2" t="str">
        <f>HYPERLINK("http://www.otzar.org/book.asp?614767","קונטרס מורא שבת")</f>
        <v>קונטרס מורא שבת</v>
      </c>
    </row>
    <row r="37434" spans="1:6" x14ac:dyDescent="0.2">
      <c r="A37434" t="s">
        <v>57600</v>
      </c>
      <c r="B37434" t="s">
        <v>16193</v>
      </c>
      <c r="C37434" t="s">
        <v>594</v>
      </c>
      <c r="D37434" t="s">
        <v>790</v>
      </c>
      <c r="F37434" s="2" t="str">
        <f>HYPERLINK("http://www.otzar.org/book.asp?612492","קונטרס מורה המורה")</f>
        <v>קונטרס מורה המורה</v>
      </c>
    </row>
    <row r="37435" spans="1:6" x14ac:dyDescent="0.2">
      <c r="A37435" t="s">
        <v>57601</v>
      </c>
      <c r="B37435" t="s">
        <v>34379</v>
      </c>
      <c r="C37435" t="s">
        <v>163</v>
      </c>
      <c r="D37435" t="s">
        <v>1722</v>
      </c>
      <c r="E37435" t="s">
        <v>588</v>
      </c>
      <c r="F37435" s="2" t="str">
        <f>HYPERLINK("http://www.otzar.org/book.asp?148398","קונטרס מורה לצדקה")</f>
        <v>קונטרס מורה לצדקה</v>
      </c>
    </row>
    <row r="37436" spans="1:6" x14ac:dyDescent="0.2">
      <c r="A37436" t="s">
        <v>57602</v>
      </c>
      <c r="B37436" t="s">
        <v>57603</v>
      </c>
      <c r="C37436" t="s">
        <v>71</v>
      </c>
      <c r="D37436" t="s">
        <v>115</v>
      </c>
      <c r="E37436" t="s">
        <v>202</v>
      </c>
      <c r="F37436" s="2" t="str">
        <f>HYPERLINK("http://www.otzar.org/book.asp?606028","קונטרס מזו""ר לנפש")</f>
        <v>קונטרס מזו"ר לנפש</v>
      </c>
    </row>
    <row r="37437" spans="1:6" x14ac:dyDescent="0.2">
      <c r="A37437" t="s">
        <v>57604</v>
      </c>
      <c r="B37437" t="s">
        <v>52938</v>
      </c>
      <c r="C37437" t="s">
        <v>366</v>
      </c>
      <c r="D37437" t="s">
        <v>14</v>
      </c>
      <c r="E37437" t="s">
        <v>15</v>
      </c>
      <c r="F37437" s="2" t="str">
        <f>HYPERLINK("http://www.otzar.org/book.asp?629700","קונטרס מזוזת ישע")</f>
        <v>קונטרס מזוזת ישע</v>
      </c>
    </row>
    <row r="37438" spans="1:6" x14ac:dyDescent="0.2">
      <c r="A37438" t="s">
        <v>57605</v>
      </c>
      <c r="B37438" t="s">
        <v>1748</v>
      </c>
      <c r="C37438" t="s">
        <v>244</v>
      </c>
      <c r="D37438" t="s">
        <v>52</v>
      </c>
      <c r="E37438" t="s">
        <v>230</v>
      </c>
      <c r="F37438" s="2" t="str">
        <f>HYPERLINK("http://www.otzar.org/book.asp?607595","קונטרס מזמור שיר - פורים ומגילת אסתר")</f>
        <v>קונטרס מזמור שיר - פורים ומגילת אסתר</v>
      </c>
    </row>
    <row r="37439" spans="1:6" x14ac:dyDescent="0.2">
      <c r="A37439" t="s">
        <v>57606</v>
      </c>
      <c r="B37439" t="s">
        <v>2861</v>
      </c>
      <c r="C37439" t="s">
        <v>68</v>
      </c>
      <c r="D37439" t="s">
        <v>52</v>
      </c>
      <c r="F37439" s="2" t="str">
        <f>HYPERLINK("http://www.otzar.org/book.asp?612494","קונטרס מזקנים אתבונן")</f>
        <v>קונטרס מזקנים אתבונן</v>
      </c>
    </row>
    <row r="37440" spans="1:6" x14ac:dyDescent="0.2">
      <c r="A37440" t="s">
        <v>57606</v>
      </c>
      <c r="B37440" t="s">
        <v>36521</v>
      </c>
      <c r="C37440" t="s">
        <v>13</v>
      </c>
      <c r="D37440" t="s">
        <v>5301</v>
      </c>
      <c r="E37440" t="s">
        <v>104</v>
      </c>
      <c r="F37440" s="2" t="str">
        <f>HYPERLINK("http://www.otzar.org/book.asp?623897","קונטרס מזקנים אתבונן")</f>
        <v>קונטרס מזקנים אתבונן</v>
      </c>
    </row>
    <row r="37441" spans="1:6" x14ac:dyDescent="0.2">
      <c r="A37441" t="s">
        <v>57606</v>
      </c>
      <c r="B37441" t="s">
        <v>1353</v>
      </c>
      <c r="C37441" t="s">
        <v>114</v>
      </c>
      <c r="D37441" t="s">
        <v>52</v>
      </c>
      <c r="E37441" t="s">
        <v>241</v>
      </c>
      <c r="F37441" s="2" t="str">
        <f>HYPERLINK("http://www.otzar.org/book.asp?163107","קונטרס מזקנים אתבונן")</f>
        <v>קונטרס מזקנים אתבונן</v>
      </c>
    </row>
    <row r="37442" spans="1:6" x14ac:dyDescent="0.2">
      <c r="A37442" t="s">
        <v>57607</v>
      </c>
      <c r="B37442" t="s">
        <v>46045</v>
      </c>
      <c r="C37442" t="s">
        <v>390</v>
      </c>
      <c r="D37442" t="s">
        <v>1180</v>
      </c>
      <c r="F37442" s="2" t="str">
        <f>HYPERLINK("http://www.otzar.org/book.asp?617356","קונטרס מזרח ומערב")</f>
        <v>קונטרס מזרח ומערב</v>
      </c>
    </row>
    <row r="37443" spans="1:6" x14ac:dyDescent="0.2">
      <c r="A37443" t="s">
        <v>57608</v>
      </c>
      <c r="B37443" t="s">
        <v>57609</v>
      </c>
      <c r="C37443" t="s">
        <v>422</v>
      </c>
      <c r="D37443" t="s">
        <v>52</v>
      </c>
      <c r="E37443" t="s">
        <v>219</v>
      </c>
      <c r="F37443" s="2" t="str">
        <f>HYPERLINK("http://www.otzar.org/book.asp?600222","קונטרס מזרח שמש")</f>
        <v>קונטרס מזרח שמש</v>
      </c>
    </row>
    <row r="37444" spans="1:6" x14ac:dyDescent="0.2">
      <c r="A37444" t="s">
        <v>57610</v>
      </c>
      <c r="B37444" t="s">
        <v>54700</v>
      </c>
      <c r="C37444" t="s">
        <v>68</v>
      </c>
      <c r="D37444" t="s">
        <v>90</v>
      </c>
      <c r="F37444" s="2" t="str">
        <f>HYPERLINK("http://www.otzar.org/book.asp?611054","קונטרס מח הקנינים")</f>
        <v>קונטרס מח הקנינים</v>
      </c>
    </row>
    <row r="37445" spans="1:6" x14ac:dyDescent="0.2">
      <c r="A37445" t="s">
        <v>57611</v>
      </c>
      <c r="B37445" t="s">
        <v>57612</v>
      </c>
      <c r="C37445" t="s">
        <v>20</v>
      </c>
      <c r="D37445" t="s">
        <v>90</v>
      </c>
      <c r="E37445" t="s">
        <v>84</v>
      </c>
      <c r="F37445" s="2" t="str">
        <f>HYPERLINK("http://www.otzar.org/book.asp?156733","קונטרס מחזיק ברכה - 2 כר'")</f>
        <v>קונטרס מחזיק ברכה - 2 כר'</v>
      </c>
    </row>
    <row r="37446" spans="1:6" x14ac:dyDescent="0.2">
      <c r="A37446" t="s">
        <v>57613</v>
      </c>
      <c r="B37446" t="s">
        <v>22207</v>
      </c>
      <c r="C37446" t="s">
        <v>23</v>
      </c>
      <c r="D37446" t="s">
        <v>3406</v>
      </c>
      <c r="E37446" t="s">
        <v>1626</v>
      </c>
      <c r="F37446" s="2" t="str">
        <f>HYPERLINK("http://www.otzar.org/book.asp?611819","קונטרס מחי ומסי")</f>
        <v>קונטרס מחי ומסי</v>
      </c>
    </row>
    <row r="37447" spans="1:6" x14ac:dyDescent="0.2">
      <c r="A37447" t="s">
        <v>57614</v>
      </c>
      <c r="B37447" t="s">
        <v>23938</v>
      </c>
      <c r="C37447" t="s">
        <v>334</v>
      </c>
      <c r="D37447" t="s">
        <v>52</v>
      </c>
      <c r="F37447" s="2" t="str">
        <f>HYPERLINK("http://www.otzar.org/book.asp?614009","קונטרס מחידושי רבי שמואל רוזובסקי")</f>
        <v>קונטרס מחידושי רבי שמואל רוזובסקי</v>
      </c>
    </row>
    <row r="37448" spans="1:6" x14ac:dyDescent="0.2">
      <c r="A37448" t="s">
        <v>57615</v>
      </c>
      <c r="B37448" t="s">
        <v>36912</v>
      </c>
      <c r="C37448" t="s">
        <v>422</v>
      </c>
      <c r="D37448" t="s">
        <v>14</v>
      </c>
      <c r="E37448" t="s">
        <v>674</v>
      </c>
      <c r="F37448" s="2" t="str">
        <f>HYPERLINK("http://www.otzar.org/book.asp?158723","קונטרס מחנה ישראל")</f>
        <v>קונטרס מחנה ישראל</v>
      </c>
    </row>
    <row r="37449" spans="1:6" x14ac:dyDescent="0.2">
      <c r="A37449" t="s">
        <v>57616</v>
      </c>
      <c r="B37449" t="s">
        <v>14157</v>
      </c>
      <c r="C37449" t="s">
        <v>13</v>
      </c>
      <c r="D37449" t="s">
        <v>147</v>
      </c>
      <c r="F37449" s="2" t="str">
        <f>HYPERLINK("http://www.otzar.org/book.asp?62196","קונטרס מחשבת מיכאל")</f>
        <v>קונטרס מחשבת מיכאל</v>
      </c>
    </row>
    <row r="37450" spans="1:6" x14ac:dyDescent="0.2">
      <c r="A37450" t="s">
        <v>57617</v>
      </c>
      <c r="B37450" t="s">
        <v>57618</v>
      </c>
      <c r="C37450" t="s">
        <v>68</v>
      </c>
      <c r="D37450" t="s">
        <v>52</v>
      </c>
      <c r="F37450" s="2" t="str">
        <f>HYPERLINK("http://www.otzar.org/book.asp?612119","קונטרס מחשבת מרדכי")</f>
        <v>קונטרס מחשבת מרדכי</v>
      </c>
    </row>
    <row r="37451" spans="1:6" x14ac:dyDescent="0.2">
      <c r="A37451" t="s">
        <v>57619</v>
      </c>
      <c r="B37451" t="s">
        <v>53992</v>
      </c>
      <c r="C37451" t="s">
        <v>20</v>
      </c>
      <c r="D37451" t="s">
        <v>52</v>
      </c>
      <c r="E37451" t="s">
        <v>674</v>
      </c>
      <c r="F37451" s="2" t="str">
        <f>HYPERLINK("http://www.otzar.org/book.asp?62284","קונטרס מטה יחיאל - הערות בספר חפץ חיים")</f>
        <v>קונטרס מטה יחיאל - הערות בספר חפץ חיים</v>
      </c>
    </row>
    <row r="37452" spans="1:6" x14ac:dyDescent="0.2">
      <c r="A37452" t="s">
        <v>57620</v>
      </c>
      <c r="B37452" t="s">
        <v>37185</v>
      </c>
      <c r="C37452" t="s">
        <v>411</v>
      </c>
      <c r="D37452" t="s">
        <v>52</v>
      </c>
      <c r="E37452" t="s">
        <v>15</v>
      </c>
      <c r="F37452" s="2" t="str">
        <f>HYPERLINK("http://www.otzar.org/book.asp?191202","קונטרס מטל השמים - 4 כר'")</f>
        <v>קונטרס מטל השמים - 4 כר'</v>
      </c>
    </row>
    <row r="37453" spans="1:6" x14ac:dyDescent="0.2">
      <c r="A37453" t="s">
        <v>57621</v>
      </c>
      <c r="B37453" t="s">
        <v>2796</v>
      </c>
      <c r="C37453" t="s">
        <v>523</v>
      </c>
      <c r="D37453" t="s">
        <v>2798</v>
      </c>
      <c r="E37453" t="s">
        <v>15</v>
      </c>
      <c r="F37453" s="2" t="str">
        <f>HYPERLINK("http://www.otzar.org/book.asp?163085","קונטרס מי בן שיח")</f>
        <v>קונטרס מי בן שיח</v>
      </c>
    </row>
    <row r="37454" spans="1:6" x14ac:dyDescent="0.2">
      <c r="A37454" t="s">
        <v>57622</v>
      </c>
      <c r="B37454" t="s">
        <v>57623</v>
      </c>
      <c r="C37454" t="s">
        <v>114</v>
      </c>
      <c r="D37454" t="s">
        <v>147</v>
      </c>
      <c r="E37454" t="s">
        <v>202</v>
      </c>
      <c r="F37454" s="2" t="str">
        <f>HYPERLINK("http://www.otzar.org/book.asp?606436","קונטרס מי דעת - ב")</f>
        <v>קונטרס מי דעת - ב</v>
      </c>
    </row>
    <row r="37455" spans="1:6" x14ac:dyDescent="0.2">
      <c r="A37455" t="s">
        <v>57624</v>
      </c>
      <c r="B37455" t="s">
        <v>57625</v>
      </c>
      <c r="C37455" t="s">
        <v>411</v>
      </c>
      <c r="D37455" t="s">
        <v>2196</v>
      </c>
      <c r="E37455" t="s">
        <v>15</v>
      </c>
      <c r="F37455" s="2" t="str">
        <f>HYPERLINK("http://www.otzar.org/book.asp?168799","קונטרס מי הדעת")</f>
        <v>קונטרס מי הדעת</v>
      </c>
    </row>
    <row r="37456" spans="1:6" x14ac:dyDescent="0.2">
      <c r="A37456" t="s">
        <v>57626</v>
      </c>
      <c r="B37456" t="s">
        <v>11294</v>
      </c>
      <c r="C37456" t="s">
        <v>13</v>
      </c>
      <c r="D37456" t="s">
        <v>5172</v>
      </c>
      <c r="E37456" t="s">
        <v>15</v>
      </c>
      <c r="F37456" s="2" t="str">
        <f>HYPERLINK("http://www.otzar.org/book.asp?195026","קונטרס מי הטהרה")</f>
        <v>קונטרס מי הטהרה</v>
      </c>
    </row>
    <row r="37457" spans="1:6" x14ac:dyDescent="0.2">
      <c r="A37457" t="s">
        <v>57627</v>
      </c>
      <c r="B37457" t="s">
        <v>5293</v>
      </c>
      <c r="C37457" t="s">
        <v>103</v>
      </c>
      <c r="D37457" t="s">
        <v>21</v>
      </c>
      <c r="F37457" s="2" t="str">
        <f>HYPERLINK("http://www.otzar.org/book.asp?197814","קונטרס מי מקטרג בראש כולם - גזל")</f>
        <v>קונטרס מי מקטרג בראש כולם - גזל</v>
      </c>
    </row>
    <row r="37458" spans="1:6" x14ac:dyDescent="0.2">
      <c r="A37458" t="s">
        <v>57628</v>
      </c>
      <c r="B37458" t="s">
        <v>2155</v>
      </c>
      <c r="C37458" t="s">
        <v>366</v>
      </c>
      <c r="D37458" t="s">
        <v>852</v>
      </c>
      <c r="E37458" t="s">
        <v>144</v>
      </c>
      <c r="F37458" s="2" t="str">
        <f>HYPERLINK("http://www.otzar.org/book.asp?604782","קונטרס מיגו והפה שאסר")</f>
        <v>קונטרס מיגו והפה שאסר</v>
      </c>
    </row>
    <row r="37459" spans="1:6" x14ac:dyDescent="0.2">
      <c r="A37459" t="s">
        <v>57629</v>
      </c>
      <c r="B37459" t="s">
        <v>57630</v>
      </c>
      <c r="C37459" t="s">
        <v>366</v>
      </c>
      <c r="D37459" t="s">
        <v>657</v>
      </c>
      <c r="E37459" t="s">
        <v>144</v>
      </c>
      <c r="F37459" s="2" t="str">
        <f>HYPERLINK("http://www.otzar.org/book.asp?604664","קונטרס מידת אהרן")</f>
        <v>קונטרס מידת אהרן</v>
      </c>
    </row>
    <row r="37460" spans="1:6" x14ac:dyDescent="0.2">
      <c r="A37460" t="s">
        <v>57631</v>
      </c>
      <c r="B37460" t="s">
        <v>57632</v>
      </c>
      <c r="C37460" t="s">
        <v>36103</v>
      </c>
      <c r="D37460" t="s">
        <v>19410</v>
      </c>
      <c r="E37460" t="s">
        <v>202</v>
      </c>
      <c r="F37460" s="2" t="str">
        <f>HYPERLINK("http://www.otzar.org/book.asp?625989","קונטרס מיוחד")</f>
        <v>קונטרס מיוחד</v>
      </c>
    </row>
    <row r="37461" spans="1:6" x14ac:dyDescent="0.2">
      <c r="A37461" t="s">
        <v>57631</v>
      </c>
      <c r="B37461" t="s">
        <v>57633</v>
      </c>
      <c r="C37461" t="s">
        <v>1640</v>
      </c>
      <c r="D37461" t="s">
        <v>14</v>
      </c>
      <c r="E37461" t="s">
        <v>241</v>
      </c>
      <c r="F37461" s="2" t="str">
        <f>HYPERLINK("http://www.otzar.org/book.asp?177046","קונטרס מיוחד")</f>
        <v>קונטרס מיוחד</v>
      </c>
    </row>
    <row r="37462" spans="1:6" x14ac:dyDescent="0.2">
      <c r="A37462" t="s">
        <v>57634</v>
      </c>
      <c r="B37462" t="s">
        <v>38749</v>
      </c>
      <c r="C37462" t="s">
        <v>68</v>
      </c>
      <c r="D37462" t="s">
        <v>152</v>
      </c>
      <c r="E37462" t="s">
        <v>144</v>
      </c>
      <c r="F37462" s="2" t="str">
        <f>HYPERLINK("http://www.otzar.org/book.asp?151282","קונטרס מיטב הגיון - 2 כר'")</f>
        <v>קונטרס מיטב הגיון - 2 כר'</v>
      </c>
    </row>
    <row r="37463" spans="1:6" x14ac:dyDescent="0.2">
      <c r="A37463" t="s">
        <v>57635</v>
      </c>
      <c r="B37463" t="s">
        <v>22207</v>
      </c>
      <c r="C37463" t="s">
        <v>23</v>
      </c>
      <c r="D37463" t="s">
        <v>3406</v>
      </c>
      <c r="E37463" t="s">
        <v>246</v>
      </c>
      <c r="F37463" s="2" t="str">
        <f>HYPERLINK("http://www.otzar.org/book.asp?611820","קונטרס מיין הרקח - הגדה של פסח")</f>
        <v>קונטרס מיין הרקח - הגדה של פסח</v>
      </c>
    </row>
    <row r="37464" spans="1:6" x14ac:dyDescent="0.2">
      <c r="A37464" t="s">
        <v>57636</v>
      </c>
      <c r="B37464" t="s">
        <v>57637</v>
      </c>
      <c r="C37464" t="s">
        <v>20</v>
      </c>
      <c r="D37464" t="s">
        <v>90</v>
      </c>
      <c r="F37464" s="2" t="str">
        <f>HYPERLINK("http://www.otzar.org/book.asp?629923","קונטרס מילה בסלע - מעילה")</f>
        <v>קונטרס מילה בסלע - מעילה</v>
      </c>
    </row>
    <row r="37465" spans="1:6" x14ac:dyDescent="0.2">
      <c r="A37465" t="s">
        <v>57638</v>
      </c>
      <c r="B37465" t="s">
        <v>23620</v>
      </c>
      <c r="C37465" t="s">
        <v>619</v>
      </c>
      <c r="D37465" t="s">
        <v>260</v>
      </c>
      <c r="E37465" t="s">
        <v>158</v>
      </c>
      <c r="F37465" s="2" t="str">
        <f>HYPERLINK("http://www.otzar.org/book.asp?19184","קונטרס מילואים &lt;לספר פרחי אהרן&gt;")</f>
        <v>קונטרס מילואים &lt;לספר פרחי אהרן&gt;</v>
      </c>
    </row>
    <row r="37466" spans="1:6" x14ac:dyDescent="0.2">
      <c r="A37466" t="s">
        <v>57639</v>
      </c>
      <c r="B37466" t="s">
        <v>8143</v>
      </c>
      <c r="C37466" t="s">
        <v>103</v>
      </c>
      <c r="D37466" t="s">
        <v>646</v>
      </c>
      <c r="E37466" t="s">
        <v>148</v>
      </c>
      <c r="F37466" s="2" t="str">
        <f>HYPERLINK("http://www.otzar.org/book.asp?148220","קונטרס מילואים לאפוד")</f>
        <v>קונטרס מילואים לאפוד</v>
      </c>
    </row>
    <row r="37467" spans="1:6" x14ac:dyDescent="0.2">
      <c r="A37467" t="s">
        <v>57640</v>
      </c>
      <c r="B37467" t="s">
        <v>57641</v>
      </c>
      <c r="C37467" t="s">
        <v>129</v>
      </c>
      <c r="D37467" t="s">
        <v>52</v>
      </c>
      <c r="E37467" t="s">
        <v>144</v>
      </c>
      <c r="F37467" s="2" t="str">
        <f>HYPERLINK("http://www.otzar.org/book.asp?145074","קונטרס מילוגא דשטרא")</f>
        <v>קונטרס מילוגא דשטרא</v>
      </c>
    </row>
    <row r="37468" spans="1:6" x14ac:dyDescent="0.2">
      <c r="A37468" t="s">
        <v>57642</v>
      </c>
      <c r="B37468" t="s">
        <v>57643</v>
      </c>
      <c r="C37468" t="s">
        <v>23</v>
      </c>
      <c r="D37468" t="s">
        <v>21</v>
      </c>
      <c r="E37468" t="s">
        <v>144</v>
      </c>
      <c r="F37468" s="2" t="str">
        <f>HYPERLINK("http://www.otzar.org/book.asp?191811","קונטרס מילי דאברהם")</f>
        <v>קונטרס מילי דאברהם</v>
      </c>
    </row>
    <row r="37469" spans="1:6" x14ac:dyDescent="0.2">
      <c r="A37469" t="s">
        <v>57644</v>
      </c>
      <c r="B37469" t="s">
        <v>1681</v>
      </c>
      <c r="C37469" t="s">
        <v>767</v>
      </c>
      <c r="D37469" t="s">
        <v>52</v>
      </c>
      <c r="E37469" t="s">
        <v>104</v>
      </c>
      <c r="F37469" s="2" t="str">
        <f>HYPERLINK("http://www.otzar.org/book.asp?62001","קונטרס מילי דבי הילולא - 2 כר'")</f>
        <v>קונטרס מילי דבי הילולא - 2 כר'</v>
      </c>
    </row>
    <row r="37470" spans="1:6" x14ac:dyDescent="0.2">
      <c r="A37470" t="s">
        <v>57645</v>
      </c>
      <c r="B37470" t="s">
        <v>57646</v>
      </c>
      <c r="C37470" t="s">
        <v>23</v>
      </c>
      <c r="D37470" t="s">
        <v>152</v>
      </c>
      <c r="F37470" s="2" t="str">
        <f>HYPERLINK("http://www.otzar.org/book.asp?197307","קונטרס מילי דבי מדרשא")</f>
        <v>קונטרס מילי דבי מדרשא</v>
      </c>
    </row>
    <row r="37471" spans="1:6" x14ac:dyDescent="0.2">
      <c r="A37471" t="s">
        <v>57647</v>
      </c>
      <c r="B37471" t="s">
        <v>57648</v>
      </c>
      <c r="C37471" t="s">
        <v>20</v>
      </c>
      <c r="D37471" t="s">
        <v>90</v>
      </c>
      <c r="F37471" s="2" t="str">
        <f>HYPERLINK("http://www.otzar.org/book.asp?621639","קונטרס מילי דברכות")</f>
        <v>קונטרס מילי דברכות</v>
      </c>
    </row>
    <row r="37472" spans="1:6" x14ac:dyDescent="0.2">
      <c r="A37472" t="s">
        <v>57649</v>
      </c>
      <c r="B37472" t="s">
        <v>6814</v>
      </c>
      <c r="C37472" t="s">
        <v>133</v>
      </c>
      <c r="D37472" t="s">
        <v>80</v>
      </c>
      <c r="E37472" t="s">
        <v>234</v>
      </c>
      <c r="F37472" s="2" t="str">
        <f>HYPERLINK("http://www.otzar.org/book.asp?603111","קונטרס מילי דהספידא")</f>
        <v>קונטרס מילי דהספידא</v>
      </c>
    </row>
    <row r="37473" spans="1:6" x14ac:dyDescent="0.2">
      <c r="A37473" t="s">
        <v>57650</v>
      </c>
      <c r="B37473" t="s">
        <v>7287</v>
      </c>
      <c r="C37473" t="s">
        <v>244</v>
      </c>
      <c r="D37473" t="s">
        <v>52</v>
      </c>
      <c r="E37473" t="s">
        <v>872</v>
      </c>
      <c r="F37473" s="2" t="str">
        <f>HYPERLINK("http://www.otzar.org/book.asp?621350","קונטרס מילי דחנוכה")</f>
        <v>קונטרס מילי דחנוכה</v>
      </c>
    </row>
    <row r="37474" spans="1:6" x14ac:dyDescent="0.2">
      <c r="A37474" t="s">
        <v>57651</v>
      </c>
      <c r="B37474" t="s">
        <v>37505</v>
      </c>
      <c r="C37474" t="s">
        <v>23</v>
      </c>
      <c r="D37474" t="s">
        <v>52</v>
      </c>
      <c r="E37474" t="s">
        <v>144</v>
      </c>
      <c r="F37474" s="2" t="str">
        <f>HYPERLINK("http://www.otzar.org/book.asp?190961","קונטרס מילי דנהנה")</f>
        <v>קונטרס מילי דנהנה</v>
      </c>
    </row>
    <row r="37475" spans="1:6" x14ac:dyDescent="0.2">
      <c r="A37475" t="s">
        <v>57652</v>
      </c>
      <c r="B37475" t="s">
        <v>57653</v>
      </c>
      <c r="D37475" t="s">
        <v>147</v>
      </c>
      <c r="E37475" t="s">
        <v>15</v>
      </c>
      <c r="F37475" s="2" t="str">
        <f>HYPERLINK("http://www.otzar.org/book.asp?624725","קונטרס מילי דנר")</f>
        <v>קונטרס מילי דנר</v>
      </c>
    </row>
    <row r="37476" spans="1:6" x14ac:dyDescent="0.2">
      <c r="A37476" t="s">
        <v>57654</v>
      </c>
      <c r="B37476" t="s">
        <v>3320</v>
      </c>
      <c r="C37476" t="s">
        <v>1268</v>
      </c>
      <c r="D37476" t="s">
        <v>412</v>
      </c>
      <c r="E37476" t="s">
        <v>130</v>
      </c>
      <c r="F37476" s="2" t="str">
        <f>HYPERLINK("http://www.otzar.org/book.asp?171091","קונטרס מילי דפיסחא")</f>
        <v>קונטרס מילי דפיסחא</v>
      </c>
    </row>
    <row r="37477" spans="1:6" x14ac:dyDescent="0.2">
      <c r="A37477" t="s">
        <v>57655</v>
      </c>
      <c r="B37477" t="s">
        <v>56695</v>
      </c>
      <c r="C37477" t="s">
        <v>68</v>
      </c>
      <c r="D37477" t="s">
        <v>12533</v>
      </c>
      <c r="E37477" t="s">
        <v>104</v>
      </c>
      <c r="F37477" s="2" t="str">
        <f>HYPERLINK("http://www.otzar.org/book.asp?603855","קונטרס מילי דפרק")</f>
        <v>קונטרס מילי דפרק</v>
      </c>
    </row>
    <row r="37478" spans="1:6" x14ac:dyDescent="0.2">
      <c r="A37478" t="s">
        <v>57656</v>
      </c>
      <c r="B37478" t="s">
        <v>7287</v>
      </c>
      <c r="C37478" t="s">
        <v>23</v>
      </c>
      <c r="D37478" t="s">
        <v>52</v>
      </c>
      <c r="E37478" t="s">
        <v>148</v>
      </c>
      <c r="F37478" s="2" t="str">
        <f>HYPERLINK("http://www.otzar.org/book.asp?621351","קונטרס מילי דשופר, מילי דתפילה")</f>
        <v>קונטרס מילי דשופר, מילי דתפילה</v>
      </c>
    </row>
    <row r="37479" spans="1:6" x14ac:dyDescent="0.2">
      <c r="A37479" t="s">
        <v>57657</v>
      </c>
      <c r="B37479" t="s">
        <v>1748</v>
      </c>
      <c r="C37479" t="s">
        <v>189</v>
      </c>
      <c r="D37479" t="s">
        <v>52</v>
      </c>
      <c r="E37479" t="s">
        <v>144</v>
      </c>
      <c r="F37479" s="2" t="str">
        <f>HYPERLINK("http://www.otzar.org/book.asp?53152","קונטרס מים אדירים - 5 כר'")</f>
        <v>קונטרס מים אדירים - 5 כר'</v>
      </c>
    </row>
    <row r="37480" spans="1:6" x14ac:dyDescent="0.2">
      <c r="A37480" t="s">
        <v>57658</v>
      </c>
      <c r="B37480" t="s">
        <v>35104</v>
      </c>
      <c r="C37480" t="s">
        <v>37</v>
      </c>
      <c r="D37480" t="s">
        <v>14</v>
      </c>
      <c r="E37480" t="s">
        <v>15</v>
      </c>
      <c r="F37480" s="2" t="str">
        <f>HYPERLINK("http://www.otzar.org/book.asp?625389","קונטרס מים חיים")</f>
        <v>קונטרס מים חיים</v>
      </c>
    </row>
    <row r="37481" spans="1:6" x14ac:dyDescent="0.2">
      <c r="A37481" t="s">
        <v>57659</v>
      </c>
      <c r="B37481" t="s">
        <v>51102</v>
      </c>
      <c r="C37481" t="s">
        <v>111</v>
      </c>
      <c r="D37481" t="s">
        <v>90</v>
      </c>
      <c r="E37481" t="s">
        <v>15</v>
      </c>
      <c r="F37481" s="2" t="str">
        <f>HYPERLINK("http://www.otzar.org/book.asp?629417","קונטרס מימים ימימה")</f>
        <v>קונטרס מימים ימימה</v>
      </c>
    </row>
    <row r="37482" spans="1:6" x14ac:dyDescent="0.2">
      <c r="A37482" t="s">
        <v>57660</v>
      </c>
      <c r="B37482" t="s">
        <v>3768</v>
      </c>
      <c r="C37482" t="s">
        <v>20</v>
      </c>
      <c r="D37482" t="s">
        <v>90</v>
      </c>
      <c r="E37482" t="s">
        <v>158</v>
      </c>
      <c r="F37482" s="2" t="str">
        <f>HYPERLINK("http://www.otzar.org/book.asp?195642","קונטרס מימר אלהא")</f>
        <v>קונטרס מימר אלהא</v>
      </c>
    </row>
    <row r="37483" spans="1:6" x14ac:dyDescent="0.2">
      <c r="A37483" t="s">
        <v>57661</v>
      </c>
      <c r="B37483" t="s">
        <v>9651</v>
      </c>
      <c r="C37483" t="s">
        <v>111</v>
      </c>
      <c r="D37483" t="s">
        <v>52</v>
      </c>
      <c r="E37483" t="s">
        <v>144</v>
      </c>
      <c r="F37483" s="2" t="str">
        <f>HYPERLINK("http://www.otzar.org/book.asp?627164","קונטרס מימרא דרחמנא")</f>
        <v>קונטרס מימרא דרחמנא</v>
      </c>
    </row>
    <row r="37484" spans="1:6" x14ac:dyDescent="0.2">
      <c r="A37484" t="s">
        <v>57662</v>
      </c>
      <c r="B37484" t="s">
        <v>57663</v>
      </c>
      <c r="C37484" t="s">
        <v>20</v>
      </c>
      <c r="D37484" t="s">
        <v>90</v>
      </c>
      <c r="F37484" s="2" t="str">
        <f>HYPERLINK("http://www.otzar.org/book.asp?199106","קונטרס מישור החיל")</f>
        <v>קונטרס מישור החיל</v>
      </c>
    </row>
    <row r="37485" spans="1:6" x14ac:dyDescent="0.2">
      <c r="A37485" t="s">
        <v>57664</v>
      </c>
      <c r="B37485" t="s">
        <v>21380</v>
      </c>
      <c r="C37485" t="s">
        <v>114</v>
      </c>
      <c r="D37485" t="s">
        <v>52</v>
      </c>
      <c r="E37485" t="s">
        <v>15</v>
      </c>
      <c r="F37485" s="2" t="str">
        <f>HYPERLINK("http://www.otzar.org/book.asp?159527","קונטרס מכבדו במותו")</f>
        <v>קונטרס מכבדו במותו</v>
      </c>
    </row>
    <row r="37486" spans="1:6" x14ac:dyDescent="0.2">
      <c r="A37486" t="s">
        <v>57665</v>
      </c>
      <c r="B37486" t="s">
        <v>57666</v>
      </c>
      <c r="C37486" t="s">
        <v>133</v>
      </c>
      <c r="D37486" t="s">
        <v>412</v>
      </c>
      <c r="E37486" t="s">
        <v>104</v>
      </c>
      <c r="F37486" s="2" t="str">
        <f>HYPERLINK("http://www.otzar.org/book.asp?175597","קונטרס מכירת עולם הבא")</f>
        <v>קונטרס מכירת עולם הבא</v>
      </c>
    </row>
    <row r="37487" spans="1:6" x14ac:dyDescent="0.2">
      <c r="A37487" t="s">
        <v>57667</v>
      </c>
      <c r="B37487" t="s">
        <v>1355</v>
      </c>
      <c r="C37487" t="s">
        <v>1160</v>
      </c>
      <c r="D37487" t="s">
        <v>1356</v>
      </c>
      <c r="E37487" t="s">
        <v>104</v>
      </c>
      <c r="F37487" s="2" t="str">
        <f>HYPERLINK("http://www.otzar.org/book.asp?179126","קונטרס מכתבי קודש")</f>
        <v>קונטרס מכתבי קודש</v>
      </c>
    </row>
    <row r="37488" spans="1:6" x14ac:dyDescent="0.2">
      <c r="A37488" t="s">
        <v>57668</v>
      </c>
      <c r="B37488" t="s">
        <v>57669</v>
      </c>
      <c r="C37488" t="s">
        <v>133</v>
      </c>
      <c r="D37488" t="s">
        <v>52</v>
      </c>
      <c r="E37488" t="s">
        <v>144</v>
      </c>
      <c r="F37488" s="2" t="str">
        <f>HYPERLINK("http://www.otzar.org/book.asp?175489","קונטרס מכתבים בכמה ענינים במסכת נזיר")</f>
        <v>קונטרס מכתבים בכמה ענינים במסכת נזיר</v>
      </c>
    </row>
    <row r="37489" spans="1:6" x14ac:dyDescent="0.2">
      <c r="A37489" t="s">
        <v>57670</v>
      </c>
      <c r="B37489" t="s">
        <v>7374</v>
      </c>
      <c r="C37489" t="s">
        <v>785</v>
      </c>
      <c r="D37489" t="s">
        <v>21</v>
      </c>
      <c r="E37489" t="s">
        <v>674</v>
      </c>
      <c r="F37489" s="2" t="str">
        <f>HYPERLINK("http://www.otzar.org/book.asp?196811","קונטרס מכתם לדוד")</f>
        <v>קונטרס מכתם לדוד</v>
      </c>
    </row>
    <row r="37490" spans="1:6" x14ac:dyDescent="0.2">
      <c r="A37490" t="s">
        <v>57671</v>
      </c>
      <c r="B37490" t="s">
        <v>57672</v>
      </c>
      <c r="C37490" t="s">
        <v>356</v>
      </c>
      <c r="D37490" t="s">
        <v>245</v>
      </c>
      <c r="E37490" t="s">
        <v>786</v>
      </c>
      <c r="F37490" s="2" t="str">
        <f>HYPERLINK("http://www.otzar.org/book.asp?170716","קונטרס מלאכות אריגה")</f>
        <v>קונטרס מלאכות אריגה</v>
      </c>
    </row>
    <row r="37491" spans="1:6" x14ac:dyDescent="0.2">
      <c r="A37491" t="s">
        <v>57673</v>
      </c>
      <c r="B37491" t="s">
        <v>9683</v>
      </c>
      <c r="C37491" t="s">
        <v>37</v>
      </c>
      <c r="D37491" t="s">
        <v>14</v>
      </c>
      <c r="F37491" s="2" t="str">
        <f>HYPERLINK("http://www.otzar.org/book.asp?610302","קונטרס מלאכת מחשבת")</f>
        <v>קונטרס מלאכת מחשבת</v>
      </c>
    </row>
    <row r="37492" spans="1:6" x14ac:dyDescent="0.2">
      <c r="A37492" t="s">
        <v>57674</v>
      </c>
      <c r="B37492" t="s">
        <v>57675</v>
      </c>
      <c r="C37492" t="s">
        <v>111</v>
      </c>
      <c r="E37492" t="s">
        <v>144</v>
      </c>
      <c r="F37492" s="2" t="str">
        <f>HYPERLINK("http://www.otzar.org/book.asp?629791","קונטרס מלאכת עבודה")</f>
        <v>קונטרס מלאכת עבודה</v>
      </c>
    </row>
    <row r="37493" spans="1:6" x14ac:dyDescent="0.2">
      <c r="A37493" t="s">
        <v>57676</v>
      </c>
      <c r="B37493" t="s">
        <v>57677</v>
      </c>
      <c r="C37493" t="s">
        <v>356</v>
      </c>
      <c r="D37493" t="s">
        <v>52</v>
      </c>
      <c r="F37493" s="2" t="str">
        <f>HYPERLINK("http://www.otzar.org/book.asp?191508","קונטרס מלחמתה של תורה")</f>
        <v>קונטרס מלחמתה של תורה</v>
      </c>
    </row>
    <row r="37494" spans="1:6" x14ac:dyDescent="0.2">
      <c r="A37494" t="s">
        <v>57678</v>
      </c>
      <c r="B37494" t="s">
        <v>57679</v>
      </c>
      <c r="C37494" t="s">
        <v>366</v>
      </c>
      <c r="D37494" t="s">
        <v>1156</v>
      </c>
      <c r="F37494" s="2" t="str">
        <f>HYPERLINK("http://www.otzar.org/book.asp?611028","קונטרס מלכות דוד")</f>
        <v>קונטרס מלכות דוד</v>
      </c>
    </row>
    <row r="37495" spans="1:6" x14ac:dyDescent="0.2">
      <c r="A37495" t="s">
        <v>57680</v>
      </c>
      <c r="B37495" t="s">
        <v>57681</v>
      </c>
      <c r="C37495" t="s">
        <v>185</v>
      </c>
      <c r="D37495" t="s">
        <v>90</v>
      </c>
      <c r="E37495" t="s">
        <v>1262</v>
      </c>
      <c r="F37495" s="2" t="str">
        <f>HYPERLINK("http://www.otzar.org/book.asp?628073","קונטרס מלכי ארץ")</f>
        <v>קונטרס מלכי ארץ</v>
      </c>
    </row>
    <row r="37496" spans="1:6" x14ac:dyDescent="0.2">
      <c r="A37496" t="s">
        <v>57682</v>
      </c>
      <c r="B37496" t="s">
        <v>10824</v>
      </c>
      <c r="C37496" t="s">
        <v>20</v>
      </c>
      <c r="D37496" t="s">
        <v>52</v>
      </c>
      <c r="F37496" s="2" t="str">
        <f>HYPERLINK("http://www.otzar.org/book.asp?608855","קונטרס ממשתה היין")</f>
        <v>קונטרס ממשתה היין</v>
      </c>
    </row>
    <row r="37497" spans="1:6" x14ac:dyDescent="0.2">
      <c r="A37497" t="s">
        <v>57683</v>
      </c>
      <c r="B37497" t="s">
        <v>57684</v>
      </c>
      <c r="C37497" t="s">
        <v>366</v>
      </c>
      <c r="D37497" t="s">
        <v>52</v>
      </c>
      <c r="E37497" t="s">
        <v>1211</v>
      </c>
      <c r="F37497" s="2" t="str">
        <f>HYPERLINK("http://www.otzar.org/book.asp?624923","קונטרס מן הבאר - ד")</f>
        <v>קונטרס מן הבאר - ד</v>
      </c>
    </row>
    <row r="37498" spans="1:6" x14ac:dyDescent="0.2">
      <c r="A37498" t="s">
        <v>57685</v>
      </c>
      <c r="B37498" t="s">
        <v>53093</v>
      </c>
      <c r="C37498" t="s">
        <v>129</v>
      </c>
      <c r="D37498" t="s">
        <v>412</v>
      </c>
      <c r="E37498" t="s">
        <v>2071</v>
      </c>
      <c r="F37498" s="2" t="str">
        <f>HYPERLINK("http://www.otzar.org/book.asp?145075","קונטרס מן היכלי שן")</f>
        <v>קונטרס מן היכלי שן</v>
      </c>
    </row>
    <row r="37499" spans="1:6" x14ac:dyDescent="0.2">
      <c r="A37499" t="s">
        <v>57686</v>
      </c>
      <c r="B37499" t="s">
        <v>38204</v>
      </c>
      <c r="C37499" t="s">
        <v>244</v>
      </c>
      <c r="D37499" t="s">
        <v>52</v>
      </c>
      <c r="F37499" s="2" t="str">
        <f>HYPERLINK("http://www.otzar.org/book.asp?194854","קונטרס מן המים - 2 כר'")</f>
        <v>קונטרס מן המים - 2 כר'</v>
      </c>
    </row>
    <row r="37500" spans="1:6" x14ac:dyDescent="0.2">
      <c r="A37500" t="s">
        <v>57687</v>
      </c>
      <c r="B37500" t="s">
        <v>57688</v>
      </c>
      <c r="C37500" t="s">
        <v>133</v>
      </c>
      <c r="D37500" t="s">
        <v>14546</v>
      </c>
      <c r="E37500" t="s">
        <v>15</v>
      </c>
      <c r="F37500" s="2" t="str">
        <f>HYPERLINK("http://www.otzar.org/book.asp?196165","קונטרס מנהגי ישיבת טלז")</f>
        <v>קונטרס מנהגי ישיבת טלז</v>
      </c>
    </row>
    <row r="37501" spans="1:6" x14ac:dyDescent="0.2">
      <c r="A37501" t="s">
        <v>57689</v>
      </c>
      <c r="B37501" t="s">
        <v>57690</v>
      </c>
      <c r="C37501" t="s">
        <v>114</v>
      </c>
      <c r="D37501" t="s">
        <v>90</v>
      </c>
      <c r="E37501" t="s">
        <v>15</v>
      </c>
      <c r="F37501" s="2" t="str">
        <f>HYPERLINK("http://www.otzar.org/book.asp?167847","קונטרס מנהיגי הכולל")</f>
        <v>קונטרס מנהיגי הכולל</v>
      </c>
    </row>
    <row r="37502" spans="1:6" x14ac:dyDescent="0.2">
      <c r="A37502" t="s">
        <v>57691</v>
      </c>
      <c r="B37502" t="s">
        <v>57692</v>
      </c>
      <c r="C37502" t="s">
        <v>114</v>
      </c>
      <c r="D37502" t="s">
        <v>14</v>
      </c>
      <c r="E37502" t="s">
        <v>4022</v>
      </c>
      <c r="F37502" s="2" t="str">
        <f>HYPERLINK("http://www.otzar.org/book.asp?163759","קונטרס מנוחה וקדושה")</f>
        <v>קונטרס מנוחה וקדושה</v>
      </c>
    </row>
    <row r="37503" spans="1:6" x14ac:dyDescent="0.2">
      <c r="A37503" t="s">
        <v>57693</v>
      </c>
      <c r="B37503" t="s">
        <v>57694</v>
      </c>
      <c r="C37503" t="s">
        <v>411</v>
      </c>
      <c r="D37503" t="s">
        <v>21</v>
      </c>
      <c r="F37503" s="2" t="str">
        <f>HYPERLINK("http://www.otzar.org/book.asp?610094","קונטרס מנוחה לא נכונה")</f>
        <v>קונטרס מנוחה לא נכונה</v>
      </c>
    </row>
    <row r="37504" spans="1:6" x14ac:dyDescent="0.2">
      <c r="A37504" t="s">
        <v>57695</v>
      </c>
      <c r="B37504" t="s">
        <v>42176</v>
      </c>
      <c r="C37504" t="s">
        <v>176</v>
      </c>
      <c r="D37504" t="s">
        <v>14</v>
      </c>
      <c r="F37504" s="2" t="str">
        <f>HYPERLINK("http://www.otzar.org/book.asp?630749","קונטרס מנוחה שלימה")</f>
        <v>קונטרס מנוחה שלימה</v>
      </c>
    </row>
    <row r="37505" spans="1:6" x14ac:dyDescent="0.2">
      <c r="A37505" t="s">
        <v>57696</v>
      </c>
      <c r="B37505" t="s">
        <v>10761</v>
      </c>
      <c r="C37505" t="s">
        <v>940</v>
      </c>
      <c r="D37505" t="s">
        <v>14</v>
      </c>
      <c r="E37505" t="s">
        <v>15</v>
      </c>
      <c r="F37505" s="2" t="str">
        <f>HYPERLINK("http://www.otzar.org/book.asp?172007","קונטרס מנוחה שלמה")</f>
        <v>קונטרס מנוחה שלמה</v>
      </c>
    </row>
    <row r="37506" spans="1:6" x14ac:dyDescent="0.2">
      <c r="A37506" t="s">
        <v>57697</v>
      </c>
      <c r="B37506" t="s">
        <v>206</v>
      </c>
      <c r="C37506" t="s">
        <v>20</v>
      </c>
      <c r="D37506" t="s">
        <v>90</v>
      </c>
      <c r="E37506" t="s">
        <v>241</v>
      </c>
      <c r="F37506" s="2" t="str">
        <f>HYPERLINK("http://www.otzar.org/book.asp?605598","קונטרס מנוחות ינהלני")</f>
        <v>קונטרס מנוחות ינהלני</v>
      </c>
    </row>
    <row r="37507" spans="1:6" x14ac:dyDescent="0.2">
      <c r="A37507" t="s">
        <v>57698</v>
      </c>
      <c r="B37507" t="s">
        <v>55611</v>
      </c>
      <c r="F37507" s="2" t="str">
        <f>HYPERLINK("http://www.otzar.org/book.asp?629916","קונטרס מנוחת אהבה - 2 כר'")</f>
        <v>קונטרס מנוחת אהבה - 2 כר'</v>
      </c>
    </row>
    <row r="37508" spans="1:6" x14ac:dyDescent="0.2">
      <c r="A37508" t="s">
        <v>57699</v>
      </c>
      <c r="B37508" t="s">
        <v>57700</v>
      </c>
      <c r="C37508" t="s">
        <v>767</v>
      </c>
      <c r="D37508" t="s">
        <v>52</v>
      </c>
      <c r="E37508" t="s">
        <v>144</v>
      </c>
      <c r="F37508" s="2" t="str">
        <f>HYPERLINK("http://www.otzar.org/book.asp?144882","קונטרס מנוחת אמת - 2 כר'")</f>
        <v>קונטרס מנוחת אמת - 2 כר'</v>
      </c>
    </row>
    <row r="37509" spans="1:6" x14ac:dyDescent="0.2">
      <c r="A37509" t="s">
        <v>57701</v>
      </c>
      <c r="B37509" t="s">
        <v>57702</v>
      </c>
      <c r="C37509" t="s">
        <v>313</v>
      </c>
      <c r="D37509" t="s">
        <v>14</v>
      </c>
      <c r="F37509" s="2" t="str">
        <f>HYPERLINK("http://www.otzar.org/book.asp?182322","קונטרס מנוחת הנפש - ב")</f>
        <v>קונטרס מנוחת הנפש - ב</v>
      </c>
    </row>
    <row r="37510" spans="1:6" x14ac:dyDescent="0.2">
      <c r="A37510" t="s">
        <v>57703</v>
      </c>
      <c r="B37510" t="s">
        <v>57704</v>
      </c>
      <c r="C37510" t="s">
        <v>244</v>
      </c>
      <c r="D37510" t="s">
        <v>134</v>
      </c>
      <c r="F37510" s="2" t="str">
        <f>HYPERLINK("http://www.otzar.org/book.asp?198073","קונטרס מנוחת השכינה")</f>
        <v>קונטרס מנוחת השכינה</v>
      </c>
    </row>
    <row r="37511" spans="1:6" x14ac:dyDescent="0.2">
      <c r="A37511" t="s">
        <v>57705</v>
      </c>
      <c r="B37511" t="s">
        <v>57706</v>
      </c>
      <c r="C37511" t="s">
        <v>176</v>
      </c>
      <c r="D37511" t="s">
        <v>657</v>
      </c>
      <c r="E37511" t="s">
        <v>144</v>
      </c>
      <c r="F37511" s="2" t="str">
        <f>HYPERLINK("http://www.otzar.org/book.asp?159961","קונטרס מנוחת יוסף")</f>
        <v>קונטרס מנוחת יוסף</v>
      </c>
    </row>
    <row r="37512" spans="1:6" x14ac:dyDescent="0.2">
      <c r="A37512" t="s">
        <v>57707</v>
      </c>
      <c r="B37512" t="s">
        <v>45667</v>
      </c>
      <c r="C37512" t="s">
        <v>244</v>
      </c>
      <c r="D37512" t="s">
        <v>90</v>
      </c>
      <c r="F37512" s="2" t="str">
        <f>HYPERLINK("http://www.otzar.org/book.asp?611056","קונטרס מנוחת שלום")</f>
        <v>קונטרס מנוחת שלום</v>
      </c>
    </row>
    <row r="37513" spans="1:6" x14ac:dyDescent="0.2">
      <c r="A37513" t="s">
        <v>57708</v>
      </c>
      <c r="B37513" t="s">
        <v>12426</v>
      </c>
      <c r="C37513" t="s">
        <v>775</v>
      </c>
      <c r="D37513" t="s">
        <v>52</v>
      </c>
      <c r="E37513" t="s">
        <v>9356</v>
      </c>
      <c r="F37513" s="2" t="str">
        <f>HYPERLINK("http://www.otzar.org/book.asp?160603","קונטרס מנורת המאור - 2 כר'")</f>
        <v>קונטרס מנורת המאור - 2 כר'</v>
      </c>
    </row>
    <row r="37514" spans="1:6" x14ac:dyDescent="0.2">
      <c r="A37514" t="s">
        <v>57709</v>
      </c>
      <c r="B37514" t="s">
        <v>57710</v>
      </c>
      <c r="C37514" t="s">
        <v>111</v>
      </c>
      <c r="D37514" t="s">
        <v>90</v>
      </c>
      <c r="F37514" s="2" t="str">
        <f>HYPERLINK("http://www.otzar.org/book.asp?632048","קונטרס מנחה בלולה")</f>
        <v>קונטרס מנחה בלולה</v>
      </c>
    </row>
    <row r="37515" spans="1:6" x14ac:dyDescent="0.2">
      <c r="A37515" t="s">
        <v>57711</v>
      </c>
      <c r="B37515" t="s">
        <v>57712</v>
      </c>
      <c r="C37515" t="s">
        <v>71</v>
      </c>
      <c r="D37515" t="s">
        <v>1180</v>
      </c>
      <c r="E37515" t="s">
        <v>158</v>
      </c>
      <c r="F37515" s="2" t="str">
        <f>HYPERLINK("http://www.otzar.org/book.asp?615966","קונטרס מנחה חדשה")</f>
        <v>קונטרס מנחה חדשה</v>
      </c>
    </row>
    <row r="37516" spans="1:6" x14ac:dyDescent="0.2">
      <c r="A37516" t="s">
        <v>57713</v>
      </c>
      <c r="B37516" t="s">
        <v>57714</v>
      </c>
      <c r="C37516" t="s">
        <v>133</v>
      </c>
      <c r="D37516" t="s">
        <v>229</v>
      </c>
      <c r="E37516" t="s">
        <v>144</v>
      </c>
      <c r="F37516" s="2" t="str">
        <f>HYPERLINK("http://www.otzar.org/book.asp?193442","קונטרס מנחם משיב - ע""ז")</f>
        <v>קונטרס מנחם משיב - ע"ז</v>
      </c>
    </row>
    <row r="37517" spans="1:6" x14ac:dyDescent="0.2">
      <c r="A37517" t="s">
        <v>57715</v>
      </c>
      <c r="B37517" t="s">
        <v>12027</v>
      </c>
      <c r="C37517" t="s">
        <v>20</v>
      </c>
      <c r="D37517" t="s">
        <v>90</v>
      </c>
      <c r="E37517" t="s">
        <v>144</v>
      </c>
      <c r="F37517" s="2" t="str">
        <f>HYPERLINK("http://www.otzar.org/book.asp?608536","קונטרס מנחם נפשי")</f>
        <v>קונטרס מנחם נפשי</v>
      </c>
    </row>
    <row r="37518" spans="1:6" x14ac:dyDescent="0.2">
      <c r="A37518" t="s">
        <v>57716</v>
      </c>
      <c r="B37518" t="s">
        <v>57717</v>
      </c>
      <c r="C37518" t="s">
        <v>151</v>
      </c>
      <c r="D37518" t="s">
        <v>412</v>
      </c>
      <c r="F37518" s="2" t="str">
        <f>HYPERLINK("http://www.otzar.org/book.asp?611378","קונטרס מנחם ציון - טבילת כלים")</f>
        <v>קונטרס מנחם ציון - טבילת כלים</v>
      </c>
    </row>
    <row r="37519" spans="1:6" x14ac:dyDescent="0.2">
      <c r="A37519" t="s">
        <v>57718</v>
      </c>
      <c r="B37519" t="s">
        <v>10092</v>
      </c>
      <c r="C37519" t="s">
        <v>133</v>
      </c>
      <c r="D37519" t="s">
        <v>14</v>
      </c>
      <c r="E37519" t="s">
        <v>202</v>
      </c>
      <c r="F37519" s="2" t="str">
        <f>HYPERLINK("http://www.otzar.org/book.asp?175603","קונטרס מנחת אב")</f>
        <v>קונטרס מנחת אב</v>
      </c>
    </row>
    <row r="37520" spans="1:6" x14ac:dyDescent="0.2">
      <c r="A37520" t="s">
        <v>57719</v>
      </c>
      <c r="B37520" t="s">
        <v>57720</v>
      </c>
      <c r="C37520" t="s">
        <v>411</v>
      </c>
      <c r="D37520" t="s">
        <v>14</v>
      </c>
      <c r="F37520" s="2" t="str">
        <f>HYPERLINK("http://www.otzar.org/book.asp?198635","קונטרס מנחת אלחנן")</f>
        <v>קונטרס מנחת אלחנן</v>
      </c>
    </row>
    <row r="37521" spans="1:6" x14ac:dyDescent="0.2">
      <c r="A37521" t="s">
        <v>57721</v>
      </c>
      <c r="B37521" t="s">
        <v>57722</v>
      </c>
      <c r="C37521" t="s">
        <v>244</v>
      </c>
      <c r="D37521" t="s">
        <v>80</v>
      </c>
      <c r="E37521" t="s">
        <v>15</v>
      </c>
      <c r="F37521" s="2" t="str">
        <f>HYPERLINK("http://www.otzar.org/book.asp?196716","קונטרס מנחת אליהו")</f>
        <v>קונטרס מנחת אליהו</v>
      </c>
    </row>
    <row r="37522" spans="1:6" x14ac:dyDescent="0.2">
      <c r="A37522" t="s">
        <v>57723</v>
      </c>
      <c r="B37522" t="s">
        <v>38586</v>
      </c>
      <c r="C37522" t="s">
        <v>244</v>
      </c>
      <c r="D37522" t="s">
        <v>21</v>
      </c>
      <c r="E37522" t="s">
        <v>15</v>
      </c>
      <c r="F37522" s="2" t="str">
        <f>HYPERLINK("http://www.otzar.org/book.asp?197782","קונטרס מנחת אשר - 2 כר'")</f>
        <v>קונטרס מנחת אשר - 2 כר'</v>
      </c>
    </row>
    <row r="37523" spans="1:6" x14ac:dyDescent="0.2">
      <c r="A37523" t="s">
        <v>57724</v>
      </c>
      <c r="B37523" t="s">
        <v>57637</v>
      </c>
      <c r="C37523" t="s">
        <v>366</v>
      </c>
      <c r="D37523" t="s">
        <v>90</v>
      </c>
      <c r="F37523" s="2" t="str">
        <f>HYPERLINK("http://www.otzar.org/book.asp?629919","קונטרס מנחת ביכורים - מנחות")</f>
        <v>קונטרס מנחת ביכורים - מנחות</v>
      </c>
    </row>
    <row r="37524" spans="1:6" x14ac:dyDescent="0.2">
      <c r="A37524" t="s">
        <v>57725</v>
      </c>
      <c r="B37524" t="s">
        <v>57726</v>
      </c>
      <c r="C37524" t="s">
        <v>146</v>
      </c>
      <c r="D37524" t="s">
        <v>367</v>
      </c>
      <c r="E37524" t="s">
        <v>15</v>
      </c>
      <c r="F37524" s="2" t="str">
        <f>HYPERLINK("http://www.otzar.org/book.asp?52670","קונטרס מנחת האביון")</f>
        <v>קונטרס מנחת האביון</v>
      </c>
    </row>
    <row r="37525" spans="1:6" x14ac:dyDescent="0.2">
      <c r="A37525" t="s">
        <v>57727</v>
      </c>
      <c r="B37525" t="s">
        <v>54700</v>
      </c>
      <c r="C37525" t="s">
        <v>244</v>
      </c>
      <c r="D37525" t="s">
        <v>90</v>
      </c>
      <c r="F37525" s="2" t="str">
        <f>HYPERLINK("http://www.otzar.org/book.asp?612216","קונטרס מנחת השבת")</f>
        <v>קונטרס מנחת השבת</v>
      </c>
    </row>
    <row r="37526" spans="1:6" x14ac:dyDescent="0.2">
      <c r="A37526" t="s">
        <v>57728</v>
      </c>
      <c r="B37526" t="s">
        <v>55974</v>
      </c>
      <c r="C37526" t="s">
        <v>133</v>
      </c>
      <c r="D37526" t="s">
        <v>52</v>
      </c>
      <c r="E37526" t="s">
        <v>15</v>
      </c>
      <c r="F37526" s="2" t="str">
        <f>HYPERLINK("http://www.otzar.org/book.asp?173006","קונטרס מנחת יאה - בשר בחלב")</f>
        <v>קונטרס מנחת יאה - בשר בחלב</v>
      </c>
    </row>
    <row r="37527" spans="1:6" x14ac:dyDescent="0.2">
      <c r="A37527" t="s">
        <v>57729</v>
      </c>
      <c r="B37527" t="s">
        <v>2500</v>
      </c>
      <c r="C37527" t="s">
        <v>332</v>
      </c>
      <c r="D37527" t="s">
        <v>412</v>
      </c>
      <c r="E37527" t="s">
        <v>15</v>
      </c>
      <c r="F37527" s="2" t="str">
        <f>HYPERLINK("http://www.otzar.org/book.asp?63229","קונטרס מנחת יהודה")</f>
        <v>קונטרס מנחת יהודה</v>
      </c>
    </row>
    <row r="37528" spans="1:6" x14ac:dyDescent="0.2">
      <c r="A37528" t="s">
        <v>57730</v>
      </c>
      <c r="B37528" t="s">
        <v>57731</v>
      </c>
      <c r="C37528" t="s">
        <v>23</v>
      </c>
      <c r="D37528" t="s">
        <v>21</v>
      </c>
      <c r="E37528" t="s">
        <v>154</v>
      </c>
      <c r="F37528" s="2" t="str">
        <f>HYPERLINK("http://www.otzar.org/book.asp?191194","קונטרס מנחת יוסף")</f>
        <v>קונטרס מנחת יוסף</v>
      </c>
    </row>
    <row r="37529" spans="1:6" x14ac:dyDescent="0.2">
      <c r="A37529" t="s">
        <v>57732</v>
      </c>
      <c r="B37529" t="s">
        <v>35351</v>
      </c>
      <c r="C37529" t="s">
        <v>133</v>
      </c>
      <c r="D37529" t="s">
        <v>52</v>
      </c>
      <c r="E37529" t="s">
        <v>144</v>
      </c>
      <c r="F37529" s="2" t="str">
        <f>HYPERLINK("http://www.otzar.org/book.asp?188822","קונטרס מנחת יוסף - חגיגה")</f>
        <v>קונטרס מנחת יוסף - חגיגה</v>
      </c>
    </row>
    <row r="37530" spans="1:6" x14ac:dyDescent="0.2">
      <c r="A37530" t="s">
        <v>57733</v>
      </c>
      <c r="B37530" t="s">
        <v>206</v>
      </c>
      <c r="C37530" t="s">
        <v>20</v>
      </c>
      <c r="D37530" t="s">
        <v>80</v>
      </c>
      <c r="F37530" s="2" t="str">
        <f>HYPERLINK("http://www.otzar.org/book.asp?609774","קונטרס מנחת יחזקאל")</f>
        <v>קונטרס מנחת יחזקאל</v>
      </c>
    </row>
    <row r="37531" spans="1:6" x14ac:dyDescent="0.2">
      <c r="A37531" t="s">
        <v>57734</v>
      </c>
      <c r="B37531" t="s">
        <v>57735</v>
      </c>
      <c r="C37531" t="s">
        <v>20</v>
      </c>
      <c r="D37531" t="s">
        <v>90</v>
      </c>
      <c r="E37531" t="s">
        <v>172</v>
      </c>
      <c r="F37531" s="2" t="str">
        <f>HYPERLINK("http://www.otzar.org/book.asp?197381","קונטרס מנחת יעקב")</f>
        <v>קונטרס מנחת יעקב</v>
      </c>
    </row>
    <row r="37532" spans="1:6" x14ac:dyDescent="0.2">
      <c r="A37532" t="s">
        <v>57736</v>
      </c>
      <c r="B37532" t="s">
        <v>38820</v>
      </c>
      <c r="C37532" t="s">
        <v>20</v>
      </c>
      <c r="D37532" t="s">
        <v>412</v>
      </c>
      <c r="E37532" t="s">
        <v>674</v>
      </c>
      <c r="F37532" s="2" t="str">
        <f>HYPERLINK("http://www.otzar.org/book.asp?188942","קונטרס מנחת ישורון")</f>
        <v>קונטרס מנחת ישורון</v>
      </c>
    </row>
    <row r="37533" spans="1:6" x14ac:dyDescent="0.2">
      <c r="A37533" t="s">
        <v>57737</v>
      </c>
      <c r="B37533" t="s">
        <v>57738</v>
      </c>
      <c r="C37533" t="s">
        <v>133</v>
      </c>
      <c r="D37533" t="s">
        <v>52</v>
      </c>
      <c r="F37533" s="2" t="str">
        <f>HYPERLINK("http://www.otzar.org/book.asp?194827","קונטרס מנחת כהן - 2 כר'")</f>
        <v>קונטרס מנחת כהן - 2 כר'</v>
      </c>
    </row>
    <row r="37534" spans="1:6" x14ac:dyDescent="0.2">
      <c r="A37534" t="s">
        <v>57739</v>
      </c>
      <c r="B37534" t="s">
        <v>57740</v>
      </c>
      <c r="C37534" t="s">
        <v>37</v>
      </c>
      <c r="D37534" t="s">
        <v>152</v>
      </c>
      <c r="E37534" t="s">
        <v>15</v>
      </c>
      <c r="F37534" s="2" t="str">
        <f>HYPERLINK("http://www.otzar.org/book.asp?182579","קונטרס מנחת מועד")</f>
        <v>קונטרס מנחת מועד</v>
      </c>
    </row>
    <row r="37535" spans="1:6" x14ac:dyDescent="0.2">
      <c r="A37535" t="s">
        <v>57741</v>
      </c>
      <c r="B37535" t="s">
        <v>57742</v>
      </c>
      <c r="C37535" t="s">
        <v>114</v>
      </c>
      <c r="D37535" t="s">
        <v>486</v>
      </c>
      <c r="F37535" s="2" t="str">
        <f>HYPERLINK("http://www.otzar.org/book.asp?198143","קונטרס מנחת סוכה")</f>
        <v>קונטרס מנחת סוכה</v>
      </c>
    </row>
    <row r="37536" spans="1:6" x14ac:dyDescent="0.2">
      <c r="A37536" t="s">
        <v>57743</v>
      </c>
      <c r="B37536" t="s">
        <v>57744</v>
      </c>
      <c r="C37536" t="s">
        <v>133</v>
      </c>
      <c r="D37536" t="s">
        <v>52</v>
      </c>
      <c r="E37536" t="s">
        <v>144</v>
      </c>
      <c r="F37536" s="2" t="str">
        <f>HYPERLINK("http://www.otzar.org/book.asp?175940","קונטרס מנחת עזרא - גיטין ב")</f>
        <v>קונטרס מנחת עזרא - גיטין ב</v>
      </c>
    </row>
    <row r="37537" spans="1:6" x14ac:dyDescent="0.2">
      <c r="A37537" t="s">
        <v>57745</v>
      </c>
      <c r="B37537" t="s">
        <v>57746</v>
      </c>
      <c r="C37537" t="s">
        <v>244</v>
      </c>
      <c r="D37537" t="s">
        <v>52</v>
      </c>
      <c r="F37537" s="2" t="str">
        <f>HYPERLINK("http://www.otzar.org/book.asp?621260","קונטרס מנחת עזרא - 13 כר'")</f>
        <v>קונטרס מנחת עזרא - 13 כר'</v>
      </c>
    </row>
    <row r="37538" spans="1:6" x14ac:dyDescent="0.2">
      <c r="A37538" t="s">
        <v>57747</v>
      </c>
      <c r="B37538" t="s">
        <v>9179</v>
      </c>
      <c r="C37538" t="s">
        <v>20</v>
      </c>
      <c r="D37538" t="s">
        <v>52</v>
      </c>
      <c r="F37538" s="2" t="str">
        <f>HYPERLINK("http://www.otzar.org/book.asp?623221","קונטרס מנחת פנחס - 3 כר'")</f>
        <v>קונטרס מנחת פנחס - 3 כר'</v>
      </c>
    </row>
    <row r="37539" spans="1:6" x14ac:dyDescent="0.2">
      <c r="A37539" t="s">
        <v>57748</v>
      </c>
      <c r="B37539" t="s">
        <v>13019</v>
      </c>
      <c r="C37539" t="s">
        <v>17</v>
      </c>
      <c r="D37539" t="s">
        <v>7277</v>
      </c>
      <c r="E37539" t="s">
        <v>241</v>
      </c>
      <c r="F37539" s="2" t="str">
        <f>HYPERLINK("http://www.otzar.org/book.asp?189032","קונטרס מנחת רחל")</f>
        <v>קונטרס מנחת רחל</v>
      </c>
    </row>
    <row r="37540" spans="1:6" x14ac:dyDescent="0.2">
      <c r="A37540" t="s">
        <v>57749</v>
      </c>
      <c r="B37540" t="s">
        <v>57750</v>
      </c>
      <c r="C37540" t="s">
        <v>20</v>
      </c>
      <c r="D37540" t="s">
        <v>152</v>
      </c>
      <c r="F37540" s="2" t="str">
        <f>HYPERLINK("http://www.otzar.org/book.asp?198548","קונטרס מנחת רפאל")</f>
        <v>קונטרס מנחת רפאל</v>
      </c>
    </row>
    <row r="37541" spans="1:6" x14ac:dyDescent="0.2">
      <c r="A37541" t="s">
        <v>57751</v>
      </c>
      <c r="B37541" t="s">
        <v>57752</v>
      </c>
      <c r="C37541" t="s">
        <v>812</v>
      </c>
      <c r="D37541" t="s">
        <v>10393</v>
      </c>
      <c r="F37541" s="2" t="str">
        <f>HYPERLINK("http://www.otzar.org/book.asp?150707","קונטרס מנחת ש""י")</f>
        <v>קונטרס מנחת ש"י</v>
      </c>
    </row>
    <row r="37542" spans="1:6" x14ac:dyDescent="0.2">
      <c r="A37542" t="s">
        <v>57753</v>
      </c>
      <c r="B37542" t="s">
        <v>57754</v>
      </c>
      <c r="C37542" t="s">
        <v>111</v>
      </c>
      <c r="D37542" t="s">
        <v>14</v>
      </c>
      <c r="E37542" t="s">
        <v>144</v>
      </c>
      <c r="F37542" s="2" t="str">
        <f>HYPERLINK("http://www.otzar.org/book.asp?630810","קונטרס מנחת שמעון - בעניין הואיל דאישתרי אישתרי")</f>
        <v>קונטרס מנחת שמעון - בעניין הואיל דאישתרי אישתרי</v>
      </c>
    </row>
    <row r="37543" spans="1:6" x14ac:dyDescent="0.2">
      <c r="A37543" t="s">
        <v>57755</v>
      </c>
      <c r="B37543" t="s">
        <v>57756</v>
      </c>
      <c r="C37543" t="s">
        <v>13</v>
      </c>
      <c r="D37543" t="s">
        <v>52</v>
      </c>
      <c r="F37543" s="2" t="str">
        <f>HYPERLINK("http://www.otzar.org/book.asp?610738","קונטרס מנחת תודה")</f>
        <v>קונטרס מנחת תודה</v>
      </c>
    </row>
    <row r="37544" spans="1:6" x14ac:dyDescent="0.2">
      <c r="A37544" t="s">
        <v>57757</v>
      </c>
      <c r="B37544" t="s">
        <v>56922</v>
      </c>
      <c r="C37544" t="s">
        <v>23</v>
      </c>
      <c r="D37544" t="s">
        <v>52</v>
      </c>
      <c r="F37544" s="2" t="str">
        <f>HYPERLINK("http://www.otzar.org/book.asp?198045","קונטרס מנחת תודה - 2 כר'")</f>
        <v>קונטרס מנחת תודה - 2 כר'</v>
      </c>
    </row>
    <row r="37545" spans="1:6" x14ac:dyDescent="0.2">
      <c r="A37545" t="s">
        <v>57755</v>
      </c>
      <c r="B37545" t="s">
        <v>44197</v>
      </c>
      <c r="C37545" t="s">
        <v>20</v>
      </c>
      <c r="D37545" t="s">
        <v>90</v>
      </c>
      <c r="E37545" t="s">
        <v>144</v>
      </c>
      <c r="F37545" s="2" t="str">
        <f>HYPERLINK("http://www.otzar.org/book.asp?603763","קונטרס מנחת תודה")</f>
        <v>קונטרס מנחת תודה</v>
      </c>
    </row>
    <row r="37546" spans="1:6" x14ac:dyDescent="0.2">
      <c r="A37546" t="s">
        <v>57755</v>
      </c>
      <c r="B37546" t="s">
        <v>9179</v>
      </c>
      <c r="C37546" t="s">
        <v>114</v>
      </c>
      <c r="D37546" t="s">
        <v>52</v>
      </c>
      <c r="E37546" t="s">
        <v>2135</v>
      </c>
      <c r="F37546" s="2" t="str">
        <f>HYPERLINK("http://www.otzar.org/book.asp?623226","קונטרס מנחת תודה")</f>
        <v>קונטרס מנחת תודה</v>
      </c>
    </row>
    <row r="37547" spans="1:6" x14ac:dyDescent="0.2">
      <c r="A37547" t="s">
        <v>57758</v>
      </c>
      <c r="B37547" t="s">
        <v>56306</v>
      </c>
      <c r="C37547" t="s">
        <v>23</v>
      </c>
      <c r="D37547" t="s">
        <v>21</v>
      </c>
      <c r="E37547" t="s">
        <v>104</v>
      </c>
      <c r="F37547" s="2" t="str">
        <f>HYPERLINK("http://www.otzar.org/book.asp?195032","קונטרס מסורת משקל הדרהם")</f>
        <v>קונטרס מסורת משקל הדרהם</v>
      </c>
    </row>
    <row r="37548" spans="1:6" x14ac:dyDescent="0.2">
      <c r="A37548" t="s">
        <v>57759</v>
      </c>
      <c r="B37548" t="s">
        <v>206</v>
      </c>
      <c r="C37548" t="s">
        <v>151</v>
      </c>
      <c r="D37548" t="s">
        <v>90</v>
      </c>
      <c r="F37548" s="2" t="str">
        <f>HYPERLINK("http://www.otzar.org/book.asp?632272","קונטרס מסילות")</f>
        <v>קונטרס מסילות</v>
      </c>
    </row>
    <row r="37549" spans="1:6" x14ac:dyDescent="0.2">
      <c r="A37549" t="s">
        <v>57760</v>
      </c>
      <c r="B37549" t="s">
        <v>57761</v>
      </c>
      <c r="C37549" t="s">
        <v>23</v>
      </c>
      <c r="D37549" t="s">
        <v>1643</v>
      </c>
      <c r="E37549" t="s">
        <v>144</v>
      </c>
      <c r="F37549" s="2" t="str">
        <f>HYPERLINK("http://www.otzar.org/book.asp?605771","קונטרס מסילת הברזל")</f>
        <v>קונטרס מסילת הברזל</v>
      </c>
    </row>
    <row r="37550" spans="1:6" x14ac:dyDescent="0.2">
      <c r="A37550" t="s">
        <v>57762</v>
      </c>
      <c r="B37550" t="s">
        <v>57763</v>
      </c>
      <c r="C37550" t="s">
        <v>23</v>
      </c>
      <c r="D37550" t="s">
        <v>52</v>
      </c>
      <c r="E37550" t="s">
        <v>202</v>
      </c>
      <c r="F37550" s="2" t="str">
        <f>HYPERLINK("http://www.otzar.org/book.asp?623298","קונטרס מסכת שביעית")</f>
        <v>קונטרס מסכת שביעית</v>
      </c>
    </row>
    <row r="37551" spans="1:6" x14ac:dyDescent="0.2">
      <c r="A37551" t="s">
        <v>57764</v>
      </c>
      <c r="B37551" t="s">
        <v>57765</v>
      </c>
      <c r="C37551" t="s">
        <v>411</v>
      </c>
      <c r="D37551" t="s">
        <v>52</v>
      </c>
      <c r="E37551" t="s">
        <v>234</v>
      </c>
      <c r="F37551" s="2" t="str">
        <f>HYPERLINK("http://www.otzar.org/book.asp?165560","קונטרס מספד גדול")</f>
        <v>קונטרס מספד גדול</v>
      </c>
    </row>
    <row r="37552" spans="1:6" x14ac:dyDescent="0.2">
      <c r="A37552" t="s">
        <v>57766</v>
      </c>
      <c r="B37552" t="s">
        <v>24067</v>
      </c>
      <c r="C37552" t="s">
        <v>37</v>
      </c>
      <c r="D37552" t="s">
        <v>52</v>
      </c>
      <c r="E37552" t="s">
        <v>246</v>
      </c>
      <c r="F37552" s="2" t="str">
        <f>HYPERLINK("http://www.otzar.org/book.asp?623299","קונטרס מספד חדש")</f>
        <v>קונטרס מספד חדש</v>
      </c>
    </row>
    <row r="37553" spans="1:6" x14ac:dyDescent="0.2">
      <c r="A37553" t="s">
        <v>57767</v>
      </c>
      <c r="B37553" t="s">
        <v>57768</v>
      </c>
      <c r="C37553" t="s">
        <v>2132</v>
      </c>
      <c r="D37553" t="s">
        <v>1180</v>
      </c>
      <c r="E37553" t="s">
        <v>154</v>
      </c>
      <c r="F37553" s="2" t="str">
        <f>HYPERLINK("http://www.otzar.org/book.asp?626461","קונטרס מספר ארץ החדשה - שו""ת מהרא""ל - לקוטי שו""ת מהרא""ל - תפארת אריה")</f>
        <v>קונטרס מספר ארץ החדשה - שו"ת מהרא"ל - לקוטי שו"ת מהרא"ל - תפארת אריה</v>
      </c>
    </row>
    <row r="37554" spans="1:6" x14ac:dyDescent="0.2">
      <c r="A37554" t="s">
        <v>57769</v>
      </c>
      <c r="B37554" t="s">
        <v>57770</v>
      </c>
      <c r="C37554" t="s">
        <v>37</v>
      </c>
      <c r="D37554" t="s">
        <v>52</v>
      </c>
      <c r="F37554" s="2" t="str">
        <f>HYPERLINK("http://www.otzar.org/book.asp?616476","קונטרס מעדני הבן")</f>
        <v>קונטרס מעדני הבן</v>
      </c>
    </row>
    <row r="37555" spans="1:6" x14ac:dyDescent="0.2">
      <c r="A37555" t="s">
        <v>57771</v>
      </c>
      <c r="B37555" t="s">
        <v>55783</v>
      </c>
      <c r="C37555" t="s">
        <v>244</v>
      </c>
      <c r="D37555" t="s">
        <v>412</v>
      </c>
      <c r="F37555" s="2" t="str">
        <f>HYPERLINK("http://www.otzar.org/book.asp?198780","קונטרס מעיין הבן - ג")</f>
        <v>קונטרס מעיין הבן - ג</v>
      </c>
    </row>
    <row r="37556" spans="1:6" x14ac:dyDescent="0.2">
      <c r="A37556" t="s">
        <v>57772</v>
      </c>
      <c r="B37556" t="s">
        <v>55783</v>
      </c>
      <c r="C37556" t="s">
        <v>37</v>
      </c>
      <c r="D37556" t="s">
        <v>412</v>
      </c>
      <c r="F37556" s="2" t="str">
        <f>HYPERLINK("http://www.otzar.org/book.asp?198315","קונטרס מעיין הברית")</f>
        <v>קונטרס מעיין הברית</v>
      </c>
    </row>
    <row r="37557" spans="1:6" x14ac:dyDescent="0.2">
      <c r="A37557" t="s">
        <v>57773</v>
      </c>
      <c r="B37557" t="s">
        <v>55783</v>
      </c>
      <c r="C37557" t="s">
        <v>23</v>
      </c>
      <c r="D37557" t="s">
        <v>412</v>
      </c>
      <c r="F37557" s="2" t="str">
        <f>HYPERLINK("http://www.otzar.org/book.asp?198314","קונטרס מעיין הבת")</f>
        <v>קונטרס מעיין הבת</v>
      </c>
    </row>
    <row r="37558" spans="1:6" x14ac:dyDescent="0.2">
      <c r="A37558" t="s">
        <v>57774</v>
      </c>
      <c r="E37558" t="s">
        <v>226</v>
      </c>
      <c r="F37558" s="2" t="str">
        <f>HYPERLINK("http://www.otzar.org/book.asp?630252","קונטרס מעיין היוחסין")</f>
        <v>קונטרס מעיין היוחסין</v>
      </c>
    </row>
    <row r="37559" spans="1:6" x14ac:dyDescent="0.2">
      <c r="A37559" t="s">
        <v>57775</v>
      </c>
      <c r="B37559" t="s">
        <v>55783</v>
      </c>
      <c r="C37559" t="s">
        <v>37</v>
      </c>
      <c r="D37559" t="s">
        <v>412</v>
      </c>
      <c r="F37559" s="2" t="str">
        <f>HYPERLINK("http://www.otzar.org/book.asp?198781","קונטרס מעיין הפדיון")</f>
        <v>קונטרס מעיין הפדיון</v>
      </c>
    </row>
    <row r="37560" spans="1:6" x14ac:dyDescent="0.2">
      <c r="A37560" t="s">
        <v>57776</v>
      </c>
      <c r="B37560" t="s">
        <v>55783</v>
      </c>
      <c r="C37560" t="s">
        <v>37</v>
      </c>
      <c r="D37560" t="s">
        <v>412</v>
      </c>
      <c r="F37560" s="2" t="str">
        <f>HYPERLINK("http://www.otzar.org/book.asp?198782","קונטרס מעיין השמחה")</f>
        <v>קונטרס מעיין השמחה</v>
      </c>
    </row>
    <row r="37561" spans="1:6" x14ac:dyDescent="0.2">
      <c r="A37561" t="s">
        <v>57777</v>
      </c>
      <c r="B37561" t="s">
        <v>57778</v>
      </c>
      <c r="C37561" t="s">
        <v>151</v>
      </c>
      <c r="D37561" t="s">
        <v>52</v>
      </c>
      <c r="F37561" s="2" t="str">
        <f>HYPERLINK("http://www.otzar.org/book.asp?613951","קונטרס מעיין חיים")</f>
        <v>קונטרס מעיין חיים</v>
      </c>
    </row>
    <row r="37562" spans="1:6" x14ac:dyDescent="0.2">
      <c r="A37562" t="s">
        <v>57779</v>
      </c>
      <c r="B37562" t="s">
        <v>16199</v>
      </c>
      <c r="C37562" t="s">
        <v>422</v>
      </c>
      <c r="D37562" t="s">
        <v>52</v>
      </c>
      <c r="E37562" t="s">
        <v>158</v>
      </c>
      <c r="F37562" s="2" t="str">
        <f>HYPERLINK("http://www.otzar.org/book.asp?155683","קונטרס מעין גנים - 17 כר'")</f>
        <v>קונטרס מעין גנים - 17 כר'</v>
      </c>
    </row>
    <row r="37563" spans="1:6" x14ac:dyDescent="0.2">
      <c r="A37563" t="s">
        <v>57780</v>
      </c>
      <c r="B37563" t="s">
        <v>4423</v>
      </c>
      <c r="D37563" t="s">
        <v>870</v>
      </c>
      <c r="E37563" t="s">
        <v>15</v>
      </c>
      <c r="F37563" s="2" t="str">
        <f>HYPERLINK("http://www.otzar.org/book.asp?606199","קונטרס מעין הברכות - ברכה מעין שלוש")</f>
        <v>קונטרס מעין הברכות - ברכה מעין שלוש</v>
      </c>
    </row>
    <row r="37564" spans="1:6" x14ac:dyDescent="0.2">
      <c r="A37564" t="s">
        <v>57781</v>
      </c>
      <c r="B37564" t="s">
        <v>206</v>
      </c>
      <c r="C37564" t="s">
        <v>23</v>
      </c>
      <c r="D37564" t="s">
        <v>90</v>
      </c>
      <c r="E37564" t="s">
        <v>104</v>
      </c>
      <c r="F37564" s="2" t="str">
        <f>HYPERLINK("http://www.otzar.org/book.asp?193618","קונטרס מעלות השמחה")</f>
        <v>קונטרס מעלות השמחה</v>
      </c>
    </row>
    <row r="37565" spans="1:6" x14ac:dyDescent="0.2">
      <c r="A37565" t="s">
        <v>57782</v>
      </c>
      <c r="B37565" t="s">
        <v>57783</v>
      </c>
      <c r="C37565" t="s">
        <v>20</v>
      </c>
      <c r="D37565" t="s">
        <v>90</v>
      </c>
      <c r="F37565" s="2" t="str">
        <f>HYPERLINK("http://www.otzar.org/book.asp?616928","קונטרס מעלין בקודש")</f>
        <v>קונטרס מעלין בקודש</v>
      </c>
    </row>
    <row r="37566" spans="1:6" x14ac:dyDescent="0.2">
      <c r="A37566" t="s">
        <v>57784</v>
      </c>
      <c r="B37566" t="s">
        <v>57785</v>
      </c>
      <c r="C37566" t="s">
        <v>129</v>
      </c>
      <c r="D37566" t="s">
        <v>52</v>
      </c>
      <c r="E37566" t="s">
        <v>1262</v>
      </c>
      <c r="F37566" s="2" t="str">
        <f>HYPERLINK("http://www.otzar.org/book.asp?159437","קונטרס מעלת בר מצוה - קונטרס מעלה עשן")</f>
        <v>קונטרס מעלת בר מצוה - קונטרס מעלה עשן</v>
      </c>
    </row>
    <row r="37567" spans="1:6" x14ac:dyDescent="0.2">
      <c r="A37567" t="s">
        <v>57786</v>
      </c>
      <c r="B37567" t="s">
        <v>16591</v>
      </c>
      <c r="C37567" t="s">
        <v>185</v>
      </c>
      <c r="D37567" t="s">
        <v>14</v>
      </c>
      <c r="E37567" t="s">
        <v>140</v>
      </c>
      <c r="F37567" s="2" t="str">
        <f>HYPERLINK("http://www.otzar.org/book.asp?630276","קונטרס מעמד קבלת פנים")</f>
        <v>קונטרס מעמד קבלת פנים</v>
      </c>
    </row>
    <row r="37568" spans="1:6" x14ac:dyDescent="0.2">
      <c r="A37568" t="s">
        <v>57787</v>
      </c>
      <c r="B37568" t="s">
        <v>57788</v>
      </c>
      <c r="C37568" t="s">
        <v>37</v>
      </c>
      <c r="D37568" t="s">
        <v>52</v>
      </c>
      <c r="E37568" t="s">
        <v>674</v>
      </c>
      <c r="F37568" s="2" t="str">
        <f>HYPERLINK("http://www.otzar.org/book.asp?193640","קונטרס מענה יוסף")</f>
        <v>קונטרס מענה יוסף</v>
      </c>
    </row>
    <row r="37569" spans="1:6" x14ac:dyDescent="0.2">
      <c r="A37569" t="s">
        <v>57789</v>
      </c>
      <c r="B37569" t="s">
        <v>42423</v>
      </c>
      <c r="C37569" t="s">
        <v>20</v>
      </c>
      <c r="D37569" t="s">
        <v>90</v>
      </c>
      <c r="F37569" s="2" t="str">
        <f>HYPERLINK("http://www.otzar.org/book.asp?611476","קונטרס מעניינא דמועדא - 2 כר'")</f>
        <v>קונטרס מעניינא דמועדא - 2 כר'</v>
      </c>
    </row>
    <row r="37570" spans="1:6" x14ac:dyDescent="0.2">
      <c r="A37570" t="s">
        <v>57790</v>
      </c>
      <c r="B37570" t="s">
        <v>57791</v>
      </c>
      <c r="C37570" t="s">
        <v>23</v>
      </c>
      <c r="D37570" t="s">
        <v>90</v>
      </c>
      <c r="E37570" t="s">
        <v>15</v>
      </c>
      <c r="F37570" s="2" t="str">
        <f>HYPERLINK("http://www.otzar.org/book.asp?194223","קונטרס מערכות העמק שאלה")</f>
        <v>קונטרס מערכות העמק שאלה</v>
      </c>
    </row>
    <row r="37571" spans="1:6" x14ac:dyDescent="0.2">
      <c r="A37571" t="s">
        <v>57792</v>
      </c>
      <c r="B37571" t="s">
        <v>1250</v>
      </c>
      <c r="C37571" t="s">
        <v>13</v>
      </c>
      <c r="D37571" t="s">
        <v>90</v>
      </c>
      <c r="E37571" t="s">
        <v>202</v>
      </c>
      <c r="F37571" s="2" t="str">
        <f>HYPERLINK("http://www.otzar.org/book.asp?183058","קונטרס מערכי ל""ב")</f>
        <v>קונטרס מערכי ל"ב</v>
      </c>
    </row>
    <row r="37572" spans="1:6" x14ac:dyDescent="0.2">
      <c r="A37572" t="s">
        <v>57793</v>
      </c>
      <c r="B37572" t="s">
        <v>57794</v>
      </c>
      <c r="C37572" t="s">
        <v>151</v>
      </c>
      <c r="D37572" t="s">
        <v>52</v>
      </c>
      <c r="F37572" s="2" t="str">
        <f>HYPERLINK("http://www.otzar.org/book.asp?616836","קונטרס מערכי לב")</f>
        <v>קונטרס מערכי לב</v>
      </c>
    </row>
    <row r="37573" spans="1:6" x14ac:dyDescent="0.2">
      <c r="A37573" t="s">
        <v>57793</v>
      </c>
      <c r="B37573" t="s">
        <v>15969</v>
      </c>
      <c r="C37573" t="s">
        <v>23</v>
      </c>
      <c r="D37573" t="s">
        <v>52</v>
      </c>
      <c r="E37573" t="s">
        <v>219</v>
      </c>
      <c r="F37573" s="2" t="str">
        <f>HYPERLINK("http://www.otzar.org/book.asp?607126","קונטרס מערכי לב")</f>
        <v>קונטרס מערכי לב</v>
      </c>
    </row>
    <row r="37574" spans="1:6" x14ac:dyDescent="0.2">
      <c r="A37574" t="s">
        <v>57795</v>
      </c>
      <c r="B37574" t="s">
        <v>26520</v>
      </c>
      <c r="C37574" t="s">
        <v>411</v>
      </c>
      <c r="D37574" t="s">
        <v>90</v>
      </c>
      <c r="F37574" s="2" t="str">
        <f>HYPERLINK("http://www.otzar.org/book.asp?604871","קונטרס מעשה אופה")</f>
        <v>קונטרס מעשה אופה</v>
      </c>
    </row>
    <row r="37575" spans="1:6" x14ac:dyDescent="0.2">
      <c r="A37575" t="s">
        <v>57796</v>
      </c>
      <c r="B37575" t="s">
        <v>12737</v>
      </c>
      <c r="C37575" t="s">
        <v>37</v>
      </c>
      <c r="D37575" t="s">
        <v>3069</v>
      </c>
      <c r="E37575" t="s">
        <v>158</v>
      </c>
      <c r="F37575" s="2" t="str">
        <f>HYPERLINK("http://www.otzar.org/book.asp?193586","קונטרס מעשה בראשית")</f>
        <v>קונטרס מעשה בראשית</v>
      </c>
    </row>
    <row r="37576" spans="1:6" x14ac:dyDescent="0.2">
      <c r="A37576" t="s">
        <v>57797</v>
      </c>
      <c r="B37576" t="s">
        <v>26520</v>
      </c>
      <c r="C37576" t="s">
        <v>37</v>
      </c>
      <c r="D37576" t="s">
        <v>90</v>
      </c>
      <c r="F37576" s="2" t="str">
        <f>HYPERLINK("http://www.otzar.org/book.asp?606599","קונטרס מעשה המצוה")</f>
        <v>קונטרס מעשה המצוה</v>
      </c>
    </row>
    <row r="37577" spans="1:6" x14ac:dyDescent="0.2">
      <c r="A37577" t="s">
        <v>57798</v>
      </c>
      <c r="B37577" t="s">
        <v>206</v>
      </c>
      <c r="C37577" t="s">
        <v>68</v>
      </c>
      <c r="D37577" t="s">
        <v>52</v>
      </c>
      <c r="E37577" t="s">
        <v>104</v>
      </c>
      <c r="F37577" s="2" t="str">
        <f>HYPERLINK("http://www.otzar.org/book.asp?168651","קונטרס מעשה חושב")</f>
        <v>קונטרס מעשה חושב</v>
      </c>
    </row>
    <row r="37578" spans="1:6" x14ac:dyDescent="0.2">
      <c r="A37578" t="s">
        <v>57799</v>
      </c>
      <c r="B37578" t="s">
        <v>57800</v>
      </c>
      <c r="C37578" t="s">
        <v>23</v>
      </c>
      <c r="D37578" t="s">
        <v>80</v>
      </c>
      <c r="E37578" t="s">
        <v>119</v>
      </c>
      <c r="F37578" s="2" t="str">
        <f>HYPERLINK("http://www.otzar.org/book.asp?195806","קונטרס מעשה נסים")</f>
        <v>קונטרס מעשה נסים</v>
      </c>
    </row>
    <row r="37579" spans="1:6" x14ac:dyDescent="0.2">
      <c r="A37579" t="s">
        <v>57801</v>
      </c>
      <c r="B37579" t="s">
        <v>1066</v>
      </c>
      <c r="C37579" t="s">
        <v>244</v>
      </c>
      <c r="D37579" t="s">
        <v>412</v>
      </c>
      <c r="E37579" t="s">
        <v>158</v>
      </c>
      <c r="F37579" s="2" t="str">
        <f>HYPERLINK("http://www.otzar.org/book.asp?627261","קונטרס מפורש בקרא")</f>
        <v>קונטרס מפורש בקרא</v>
      </c>
    </row>
    <row r="37580" spans="1:6" x14ac:dyDescent="0.2">
      <c r="A37580" t="s">
        <v>57802</v>
      </c>
      <c r="B37580" t="s">
        <v>57803</v>
      </c>
      <c r="C37580" t="s">
        <v>151</v>
      </c>
      <c r="D37580" t="s">
        <v>52</v>
      </c>
      <c r="E37580" t="s">
        <v>241</v>
      </c>
      <c r="F37580" s="2" t="str">
        <f>HYPERLINK("http://www.otzar.org/book.asp?615098","קונטרס מפניני מרן המשגיח")</f>
        <v>קונטרס מפניני מרן המשגיח</v>
      </c>
    </row>
    <row r="37581" spans="1:6" x14ac:dyDescent="0.2">
      <c r="A37581" t="s">
        <v>57804</v>
      </c>
      <c r="B37581" t="s">
        <v>57805</v>
      </c>
      <c r="C37581" t="s">
        <v>20</v>
      </c>
      <c r="D37581" t="s">
        <v>90</v>
      </c>
      <c r="E37581" t="s">
        <v>15</v>
      </c>
      <c r="F37581" s="2" t="str">
        <f>HYPERLINK("http://www.otzar.org/book.asp?193697","קונטרס מפסק לא כשר")</f>
        <v>קונטרס מפסק לא כשר</v>
      </c>
    </row>
    <row r="37582" spans="1:6" x14ac:dyDescent="0.2">
      <c r="A37582" t="s">
        <v>57806</v>
      </c>
      <c r="B37582" t="s">
        <v>40267</v>
      </c>
      <c r="C37582" t="s">
        <v>37</v>
      </c>
      <c r="D37582" t="s">
        <v>14</v>
      </c>
      <c r="E37582" t="s">
        <v>15</v>
      </c>
      <c r="F37582" s="2" t="str">
        <f>HYPERLINK("http://www.otzar.org/book.asp?605772","קונטרס מפרק הרים")</f>
        <v>קונטרס מפרק הרים</v>
      </c>
    </row>
    <row r="37583" spans="1:6" x14ac:dyDescent="0.2">
      <c r="A37583" t="s">
        <v>57807</v>
      </c>
      <c r="B37583" t="s">
        <v>8907</v>
      </c>
      <c r="C37583" t="s">
        <v>244</v>
      </c>
      <c r="D37583" t="s">
        <v>14</v>
      </c>
      <c r="E37583" t="s">
        <v>104</v>
      </c>
      <c r="F37583" s="2" t="str">
        <f>HYPERLINK("http://www.otzar.org/book.asp?625483","קונטרס מפתחות הפרנסה")</f>
        <v>קונטרס מפתחות הפרנסה</v>
      </c>
    </row>
    <row r="37584" spans="1:6" x14ac:dyDescent="0.2">
      <c r="A37584" t="s">
        <v>57808</v>
      </c>
      <c r="B37584" t="s">
        <v>57809</v>
      </c>
      <c r="C37584" t="s">
        <v>244</v>
      </c>
      <c r="D37584" t="s">
        <v>1273</v>
      </c>
      <c r="E37584" t="s">
        <v>144</v>
      </c>
      <c r="F37584" s="2" t="str">
        <f>HYPERLINK("http://www.otzar.org/book.asp?193223","קונטרס מצא טוב")</f>
        <v>קונטרס מצא טוב</v>
      </c>
    </row>
    <row r="37585" spans="1:6" x14ac:dyDescent="0.2">
      <c r="A37585" t="s">
        <v>57810</v>
      </c>
      <c r="B37585" t="s">
        <v>3286</v>
      </c>
      <c r="C37585" t="s">
        <v>785</v>
      </c>
      <c r="D37585" t="s">
        <v>52</v>
      </c>
      <c r="E37585" t="s">
        <v>15</v>
      </c>
      <c r="F37585" s="2" t="str">
        <f>HYPERLINK("http://www.otzar.org/book.asp?142365","קונטרס מצבת אבן")</f>
        <v>קונטרס מצבת אבן</v>
      </c>
    </row>
    <row r="37586" spans="1:6" x14ac:dyDescent="0.2">
      <c r="A37586" t="s">
        <v>57811</v>
      </c>
      <c r="B37586" t="s">
        <v>57812</v>
      </c>
      <c r="D37586" t="s">
        <v>14</v>
      </c>
      <c r="E37586" t="s">
        <v>674</v>
      </c>
      <c r="F37586" s="2" t="str">
        <f>HYPERLINK("http://www.otzar.org/book.asp?625114","קונטרס מצבת משה")</f>
        <v>קונטרס מצבת משה</v>
      </c>
    </row>
    <row r="37587" spans="1:6" x14ac:dyDescent="0.2">
      <c r="A37587" t="s">
        <v>57813</v>
      </c>
      <c r="B37587" t="s">
        <v>57814</v>
      </c>
      <c r="C37587" t="s">
        <v>151</v>
      </c>
      <c r="D37587" t="s">
        <v>412</v>
      </c>
      <c r="F37587" s="2" t="str">
        <f>HYPERLINK("http://www.otzar.org/book.asp?616551","קונטרס מצדיקי הרבים")</f>
        <v>קונטרס מצדיקי הרבים</v>
      </c>
    </row>
    <row r="37588" spans="1:6" x14ac:dyDescent="0.2">
      <c r="A37588" t="s">
        <v>57815</v>
      </c>
      <c r="B37588" t="s">
        <v>49154</v>
      </c>
      <c r="C37588" t="s">
        <v>151</v>
      </c>
      <c r="D37588" t="s">
        <v>14</v>
      </c>
      <c r="E37588" t="s">
        <v>130</v>
      </c>
      <c r="F37588" s="2" t="str">
        <f>HYPERLINK("http://www.otzar.org/book.asp?615406","קונטרס מצה זו שאנו אוכלים")</f>
        <v>קונטרס מצה זו שאנו אוכלים</v>
      </c>
    </row>
    <row r="37589" spans="1:6" x14ac:dyDescent="0.2">
      <c r="A37589" t="s">
        <v>57816</v>
      </c>
      <c r="B37589" t="s">
        <v>1286</v>
      </c>
      <c r="C37589" t="s">
        <v>23</v>
      </c>
      <c r="D37589" t="s">
        <v>412</v>
      </c>
      <c r="E37589" t="s">
        <v>104</v>
      </c>
      <c r="F37589" s="2" t="str">
        <f>HYPERLINK("http://www.otzar.org/book.asp?195093","קונטרס מצהלות חתנים")</f>
        <v>קונטרס מצהלות חתנים</v>
      </c>
    </row>
    <row r="37590" spans="1:6" x14ac:dyDescent="0.2">
      <c r="A37590" t="s">
        <v>57816</v>
      </c>
      <c r="B37590" t="s">
        <v>1750</v>
      </c>
      <c r="C37590" t="s">
        <v>454</v>
      </c>
      <c r="D37590" t="s">
        <v>52</v>
      </c>
      <c r="E37590" t="s">
        <v>202</v>
      </c>
      <c r="F37590" s="2" t="str">
        <f>HYPERLINK("http://www.otzar.org/book.asp?145118","קונטרס מצהלות חתנים")</f>
        <v>קונטרס מצהלות חתנים</v>
      </c>
    </row>
    <row r="37591" spans="1:6" x14ac:dyDescent="0.2">
      <c r="A37591" t="s">
        <v>57817</v>
      </c>
      <c r="B37591" t="s">
        <v>57818</v>
      </c>
      <c r="C37591" t="s">
        <v>20</v>
      </c>
      <c r="D37591" t="s">
        <v>90</v>
      </c>
      <c r="E37591" t="s">
        <v>130</v>
      </c>
      <c r="F37591" s="2" t="str">
        <f>HYPERLINK("http://www.otzar.org/book.asp?171620","קונטרס מצוה חביבה")</f>
        <v>קונטרס מצוה חביבה</v>
      </c>
    </row>
    <row r="37592" spans="1:6" x14ac:dyDescent="0.2">
      <c r="A37592" t="s">
        <v>57819</v>
      </c>
      <c r="B37592" t="s">
        <v>9179</v>
      </c>
      <c r="C37592" t="s">
        <v>20</v>
      </c>
      <c r="D37592" t="s">
        <v>52</v>
      </c>
      <c r="F37592" s="2" t="str">
        <f>HYPERLINK("http://www.otzar.org/book.asp?623228","קונטרס מצוה להקדיש בכור")</f>
        <v>קונטרס מצוה להקדיש בכור</v>
      </c>
    </row>
    <row r="37593" spans="1:6" x14ac:dyDescent="0.2">
      <c r="A37593" t="s">
        <v>57820</v>
      </c>
      <c r="B37593" t="s">
        <v>57821</v>
      </c>
      <c r="C37593" t="s">
        <v>151</v>
      </c>
      <c r="D37593" t="s">
        <v>20</v>
      </c>
      <c r="F37593" s="2" t="str">
        <f>HYPERLINK("http://www.otzar.org/book.asp?619789","קונטרס מצוות הסופרים")</f>
        <v>קונטרס מצוות הסופרים</v>
      </c>
    </row>
    <row r="37594" spans="1:6" x14ac:dyDescent="0.2">
      <c r="A37594" t="s">
        <v>57822</v>
      </c>
      <c r="B37594" t="s">
        <v>57823</v>
      </c>
      <c r="C37594" t="s">
        <v>176</v>
      </c>
      <c r="D37594" t="s">
        <v>14</v>
      </c>
      <c r="E37594" t="s">
        <v>674</v>
      </c>
      <c r="F37594" s="2" t="str">
        <f>HYPERLINK("http://www.otzar.org/book.asp?188944","קונטרס מצות הדירה והישיבה באר""י בזה""ז")</f>
        <v>קונטרס מצות הדירה והישיבה באר"י בזה"ז</v>
      </c>
    </row>
    <row r="37595" spans="1:6" x14ac:dyDescent="0.2">
      <c r="A37595" t="s">
        <v>57824</v>
      </c>
      <c r="B37595" t="s">
        <v>1402</v>
      </c>
      <c r="C37595" t="s">
        <v>17</v>
      </c>
      <c r="D37595" t="s">
        <v>52</v>
      </c>
      <c r="E37595" t="s">
        <v>246</v>
      </c>
      <c r="F37595" s="2" t="str">
        <f>HYPERLINK("http://www.otzar.org/book.asp?157877","קונטרס מצות המלך - חנוכה")</f>
        <v>קונטרס מצות המלך - חנוכה</v>
      </c>
    </row>
    <row r="37596" spans="1:6" x14ac:dyDescent="0.2">
      <c r="A37596" t="s">
        <v>57825</v>
      </c>
      <c r="B37596" t="s">
        <v>57826</v>
      </c>
      <c r="C37596" t="s">
        <v>13</v>
      </c>
      <c r="D37596" t="s">
        <v>486</v>
      </c>
      <c r="E37596" t="s">
        <v>144</v>
      </c>
      <c r="F37596" s="2" t="str">
        <f>HYPERLINK("http://www.otzar.org/book.asp?180251","קונטרס מצות המלך")</f>
        <v>קונטרס מצות המלך</v>
      </c>
    </row>
    <row r="37597" spans="1:6" x14ac:dyDescent="0.2">
      <c r="A37597" t="s">
        <v>57827</v>
      </c>
      <c r="B37597" t="s">
        <v>1504</v>
      </c>
      <c r="C37597" t="s">
        <v>1570</v>
      </c>
      <c r="D37597" t="s">
        <v>27</v>
      </c>
      <c r="E37597" t="s">
        <v>15</v>
      </c>
      <c r="F37597" s="2" t="str">
        <f>HYPERLINK("http://www.otzar.org/book.asp?166217","קונטרס מצות התלויות בארץ")</f>
        <v>קונטרס מצות התלויות בארץ</v>
      </c>
    </row>
    <row r="37598" spans="1:6" x14ac:dyDescent="0.2">
      <c r="A37598" t="s">
        <v>57828</v>
      </c>
      <c r="B37598" t="s">
        <v>49359</v>
      </c>
      <c r="C37598" t="s">
        <v>23</v>
      </c>
      <c r="D37598" t="s">
        <v>2285</v>
      </c>
      <c r="E37598" t="s">
        <v>15</v>
      </c>
      <c r="F37598" s="2" t="str">
        <f>HYPERLINK("http://www.otzar.org/book.asp?605003","קונטרס מצות זכור")</f>
        <v>קונטרס מצות זכור</v>
      </c>
    </row>
    <row r="37599" spans="1:6" x14ac:dyDescent="0.2">
      <c r="A37599" t="s">
        <v>57829</v>
      </c>
      <c r="B37599" t="s">
        <v>57095</v>
      </c>
      <c r="C37599" t="s">
        <v>37</v>
      </c>
      <c r="D37599" t="s">
        <v>90</v>
      </c>
      <c r="E37599" t="s">
        <v>803</v>
      </c>
      <c r="F37599" s="2" t="str">
        <f>HYPERLINK("http://www.otzar.org/book.asp?193246","קונטרס מצות יעקב")</f>
        <v>קונטרס מצות יעקב</v>
      </c>
    </row>
    <row r="37600" spans="1:6" x14ac:dyDescent="0.2">
      <c r="A37600" t="s">
        <v>57830</v>
      </c>
      <c r="B37600" t="s">
        <v>32901</v>
      </c>
      <c r="C37600" t="s">
        <v>143</v>
      </c>
      <c r="D37600" t="s">
        <v>52</v>
      </c>
      <c r="E37600" t="s">
        <v>241</v>
      </c>
      <c r="F37600" s="2" t="str">
        <f>HYPERLINK("http://www.otzar.org/book.asp?142232","קונטרס מציאת חן בעיני אלוקים ואדם")</f>
        <v>קונטרס מציאת חן בעיני אלוקים ואדם</v>
      </c>
    </row>
    <row r="37601" spans="1:6" x14ac:dyDescent="0.2">
      <c r="A37601" t="s">
        <v>57831</v>
      </c>
      <c r="B37601" t="s">
        <v>1750</v>
      </c>
      <c r="C37601" t="s">
        <v>17</v>
      </c>
      <c r="D37601" t="s">
        <v>412</v>
      </c>
      <c r="E37601" t="s">
        <v>202</v>
      </c>
      <c r="F37601" s="2" t="str">
        <f>HYPERLINK("http://www.otzar.org/book.asp?84765","קונטרס מציון תצא תורה")</f>
        <v>קונטרס מציון תצא תורה</v>
      </c>
    </row>
    <row r="37602" spans="1:6" x14ac:dyDescent="0.2">
      <c r="A37602" t="s">
        <v>57832</v>
      </c>
      <c r="B37602" t="s">
        <v>57833</v>
      </c>
      <c r="C37602" t="s">
        <v>68</v>
      </c>
      <c r="D37602" t="s">
        <v>412</v>
      </c>
      <c r="F37602" s="2" t="str">
        <f>HYPERLINK("http://www.otzar.org/book.asp?198302","קונטרס מציץ מן החרכים")</f>
        <v>קונטרס מציץ מן החרכים</v>
      </c>
    </row>
    <row r="37603" spans="1:6" x14ac:dyDescent="0.2">
      <c r="A37603" t="s">
        <v>57834</v>
      </c>
      <c r="B37603" t="s">
        <v>19239</v>
      </c>
      <c r="C37603" t="s">
        <v>411</v>
      </c>
      <c r="D37603" t="s">
        <v>14</v>
      </c>
      <c r="E37603" t="s">
        <v>144</v>
      </c>
      <c r="F37603" s="2" t="str">
        <f>HYPERLINK("http://www.otzar.org/book.asp?194232","קונטרס מצרף לכסף - שבועות")</f>
        <v>קונטרס מצרף לכסף - שבועות</v>
      </c>
    </row>
    <row r="37604" spans="1:6" x14ac:dyDescent="0.2">
      <c r="A37604" t="s">
        <v>57835</v>
      </c>
      <c r="B37604" t="s">
        <v>57836</v>
      </c>
      <c r="C37604" t="s">
        <v>20</v>
      </c>
      <c r="D37604" t="s">
        <v>52</v>
      </c>
      <c r="E37604" t="s">
        <v>144</v>
      </c>
      <c r="F37604" s="2" t="str">
        <f>HYPERLINK("http://www.otzar.org/book.asp?172909","קונטרס מצרף לכסף - 4 כר'")</f>
        <v>קונטרס מצרף לכסף - 4 כר'</v>
      </c>
    </row>
    <row r="37605" spans="1:6" x14ac:dyDescent="0.2">
      <c r="A37605" t="s">
        <v>57837</v>
      </c>
      <c r="B37605" t="s">
        <v>54817</v>
      </c>
      <c r="C37605" t="s">
        <v>114</v>
      </c>
      <c r="D37605" t="s">
        <v>52</v>
      </c>
      <c r="E37605" t="s">
        <v>219</v>
      </c>
      <c r="F37605" s="2" t="str">
        <f>HYPERLINK("http://www.otzar.org/book.asp?608101","קונטרס מקדש עמו ישראל")</f>
        <v>קונטרס מקדש עמו ישראל</v>
      </c>
    </row>
    <row r="37606" spans="1:6" x14ac:dyDescent="0.2">
      <c r="A37606" t="s">
        <v>57838</v>
      </c>
      <c r="B37606" t="s">
        <v>10824</v>
      </c>
      <c r="C37606" t="s">
        <v>114</v>
      </c>
      <c r="D37606" t="s">
        <v>52</v>
      </c>
      <c r="F37606" s="2" t="str">
        <f>HYPERLINK("http://www.otzar.org/book.asp?608889","קונטרס מקדשי השם")</f>
        <v>קונטרס מקדשי השם</v>
      </c>
    </row>
    <row r="37607" spans="1:6" x14ac:dyDescent="0.2">
      <c r="A37607" t="s">
        <v>57839</v>
      </c>
      <c r="B37607" t="s">
        <v>57840</v>
      </c>
      <c r="C37607" t="s">
        <v>20</v>
      </c>
      <c r="D37607" t="s">
        <v>14</v>
      </c>
      <c r="E37607" t="s">
        <v>130</v>
      </c>
      <c r="F37607" s="2" t="str">
        <f>HYPERLINK("http://www.otzar.org/book.asp?158704","קונטרס מקום הדלקה - סוגיא דאכסנאי")</f>
        <v>קונטרס מקום הדלקה - סוגיא דאכסנאי</v>
      </c>
    </row>
    <row r="37608" spans="1:6" x14ac:dyDescent="0.2">
      <c r="A37608" t="s">
        <v>57841</v>
      </c>
      <c r="B37608" t="s">
        <v>57842</v>
      </c>
      <c r="C37608" t="s">
        <v>111</v>
      </c>
      <c r="D37608" t="s">
        <v>90</v>
      </c>
      <c r="E37608" t="s">
        <v>15</v>
      </c>
      <c r="F37608" s="2" t="str">
        <f>HYPERLINK("http://www.otzar.org/book.asp?630824","קונטרס מקור הברכה")</f>
        <v>קונטרס מקור הברכה</v>
      </c>
    </row>
    <row r="37609" spans="1:6" x14ac:dyDescent="0.2">
      <c r="A37609" t="s">
        <v>57841</v>
      </c>
      <c r="B37609" t="s">
        <v>57843</v>
      </c>
      <c r="C37609" t="s">
        <v>20</v>
      </c>
      <c r="D37609" t="s">
        <v>1550</v>
      </c>
      <c r="E37609" t="s">
        <v>2091</v>
      </c>
      <c r="F37609" s="2" t="str">
        <f>HYPERLINK("http://www.otzar.org/book.asp?172532","קונטרס מקור הברכה")</f>
        <v>קונטרס מקור הברכה</v>
      </c>
    </row>
    <row r="37610" spans="1:6" x14ac:dyDescent="0.2">
      <c r="A37610" t="s">
        <v>57844</v>
      </c>
      <c r="B37610" t="s">
        <v>3462</v>
      </c>
      <c r="C37610" t="s">
        <v>20</v>
      </c>
      <c r="D37610" t="s">
        <v>52</v>
      </c>
      <c r="E37610" t="s">
        <v>399</v>
      </c>
      <c r="F37610" s="2" t="str">
        <f>HYPERLINK("http://www.otzar.org/book.asp?144526","קונטרס מקור הזהר")</f>
        <v>קונטרס מקור הזהר</v>
      </c>
    </row>
    <row r="37611" spans="1:6" x14ac:dyDescent="0.2">
      <c r="A37611" t="s">
        <v>57845</v>
      </c>
      <c r="B37611" t="s">
        <v>57846</v>
      </c>
      <c r="C37611" t="s">
        <v>143</v>
      </c>
      <c r="D37611" t="s">
        <v>1356</v>
      </c>
      <c r="E37611" t="s">
        <v>15</v>
      </c>
      <c r="F37611" s="2" t="str">
        <f>HYPERLINK("http://www.otzar.org/book.asp?170087","קונטרס מקור טהרה")</f>
        <v>קונטרס מקור טהרה</v>
      </c>
    </row>
    <row r="37612" spans="1:6" x14ac:dyDescent="0.2">
      <c r="A37612" t="s">
        <v>57847</v>
      </c>
      <c r="B37612" t="s">
        <v>57848</v>
      </c>
      <c r="C37612" t="s">
        <v>624</v>
      </c>
      <c r="D37612" t="s">
        <v>14</v>
      </c>
      <c r="E37612" t="s">
        <v>144</v>
      </c>
      <c r="F37612" s="2" t="str">
        <f>HYPERLINK("http://www.otzar.org/book.asp?605769","קונטרס מקורות והערות לעניני כפית גט")</f>
        <v>קונטרס מקורות והערות לעניני כפית גט</v>
      </c>
    </row>
    <row r="37613" spans="1:6" x14ac:dyDescent="0.2">
      <c r="A37613" t="s">
        <v>57849</v>
      </c>
      <c r="B37613" t="s">
        <v>318</v>
      </c>
      <c r="C37613" t="s">
        <v>366</v>
      </c>
      <c r="D37613" t="s">
        <v>14</v>
      </c>
      <c r="E37613" t="s">
        <v>399</v>
      </c>
      <c r="F37613" s="2" t="str">
        <f>HYPERLINK("http://www.otzar.org/book.asp?607112","קונטרס מקפחת ספרים")</f>
        <v>קונטרס מקפחת ספרים</v>
      </c>
    </row>
    <row r="37614" spans="1:6" x14ac:dyDescent="0.2">
      <c r="A37614" t="s">
        <v>57850</v>
      </c>
      <c r="B37614" t="s">
        <v>206</v>
      </c>
      <c r="C37614" t="s">
        <v>244</v>
      </c>
      <c r="D37614" t="s">
        <v>52</v>
      </c>
      <c r="E37614" t="s">
        <v>144</v>
      </c>
      <c r="F37614" s="2" t="str">
        <f>HYPERLINK("http://www.otzar.org/book.asp?606687","קונטרס מראה אור - 6 כר'")</f>
        <v>קונטרס מראה אור - 6 כר'</v>
      </c>
    </row>
    <row r="37615" spans="1:6" x14ac:dyDescent="0.2">
      <c r="A37615" t="s">
        <v>57851</v>
      </c>
      <c r="B37615" t="s">
        <v>41343</v>
      </c>
      <c r="C37615" t="s">
        <v>17</v>
      </c>
      <c r="D37615" t="s">
        <v>14</v>
      </c>
      <c r="E37615" t="s">
        <v>15</v>
      </c>
      <c r="F37615" s="2" t="str">
        <f>HYPERLINK("http://www.otzar.org/book.asp?145584","קונטרס מראה כהן - 2 כר'")</f>
        <v>קונטרס מראה כהן - 2 כר'</v>
      </c>
    </row>
    <row r="37616" spans="1:6" x14ac:dyDescent="0.2">
      <c r="A37616" t="s">
        <v>57852</v>
      </c>
      <c r="B37616" t="s">
        <v>31600</v>
      </c>
      <c r="C37616" t="s">
        <v>20</v>
      </c>
      <c r="D37616" t="s">
        <v>115</v>
      </c>
      <c r="E37616" t="s">
        <v>144</v>
      </c>
      <c r="F37616" s="2" t="str">
        <f>HYPERLINK("http://www.otzar.org/book.asp?197758","קונטרס מראה מקומות - שבועות, מכות")</f>
        <v>קונטרס מראה מקומות - שבועות, מכות</v>
      </c>
    </row>
    <row r="37617" spans="1:6" x14ac:dyDescent="0.2">
      <c r="A37617" t="s">
        <v>57853</v>
      </c>
      <c r="B37617" t="s">
        <v>55605</v>
      </c>
      <c r="C37617" t="s">
        <v>366</v>
      </c>
      <c r="D37617" t="s">
        <v>14</v>
      </c>
      <c r="E37617" t="s">
        <v>15</v>
      </c>
      <c r="F37617" s="2" t="str">
        <f>HYPERLINK("http://www.otzar.org/book.asp?625399","קונטרס מראות צובאות")</f>
        <v>קונטרס מראות צובאות</v>
      </c>
    </row>
    <row r="37618" spans="1:6" x14ac:dyDescent="0.2">
      <c r="A37618" t="s">
        <v>57854</v>
      </c>
      <c r="B37618" t="s">
        <v>15443</v>
      </c>
      <c r="C37618" t="s">
        <v>422</v>
      </c>
      <c r="D37618" t="s">
        <v>52</v>
      </c>
      <c r="E37618" t="s">
        <v>144</v>
      </c>
      <c r="F37618" s="2" t="str">
        <f>HYPERLINK("http://www.otzar.org/book.asp?603207","קונטרס מראי מקומות בדין אמירה לגוי")</f>
        <v>קונטרס מראי מקומות בדין אמירה לגוי</v>
      </c>
    </row>
    <row r="37619" spans="1:6" x14ac:dyDescent="0.2">
      <c r="A37619" t="s">
        <v>57855</v>
      </c>
      <c r="B37619" t="s">
        <v>29374</v>
      </c>
      <c r="C37619" t="s">
        <v>313</v>
      </c>
      <c r="D37619" t="s">
        <v>14</v>
      </c>
      <c r="E37619" t="s">
        <v>144</v>
      </c>
      <c r="F37619" s="2" t="str">
        <f>HYPERLINK("http://www.otzar.org/book.asp?161603","קונטרס מראי מקומות וציונים")</f>
        <v>קונטרס מראי מקומות וציונים</v>
      </c>
    </row>
    <row r="37620" spans="1:6" x14ac:dyDescent="0.2">
      <c r="A37620" t="s">
        <v>57856</v>
      </c>
      <c r="C37620" t="s">
        <v>20</v>
      </c>
      <c r="D37620" t="s">
        <v>90</v>
      </c>
      <c r="E37620" t="s">
        <v>144</v>
      </c>
      <c r="F37620" s="2" t="str">
        <f>HYPERLINK("http://www.otzar.org/book.asp?181814","קונטרס מראי מקומות ציונים והערות עמ""ס שבת")</f>
        <v>קונטרס מראי מקומות ציונים והערות עמ"ס שבת</v>
      </c>
    </row>
    <row r="37621" spans="1:6" x14ac:dyDescent="0.2">
      <c r="A37621" t="s">
        <v>57857</v>
      </c>
      <c r="B37621" t="s">
        <v>1748</v>
      </c>
      <c r="C37621" t="s">
        <v>411</v>
      </c>
      <c r="D37621" t="s">
        <v>52</v>
      </c>
      <c r="E37621" t="s">
        <v>144</v>
      </c>
      <c r="F37621" s="2" t="str">
        <f>HYPERLINK("http://www.otzar.org/book.asp?180578","קונטרס מראי מקומות - כיצד מברכין, שלשה שאכלו")</f>
        <v>קונטרס מראי מקומות - כיצד מברכין, שלשה שאכלו</v>
      </c>
    </row>
    <row r="37622" spans="1:6" x14ac:dyDescent="0.2">
      <c r="A37622" t="s">
        <v>57858</v>
      </c>
      <c r="B37622" t="s">
        <v>57859</v>
      </c>
      <c r="C37622" t="s">
        <v>13</v>
      </c>
      <c r="D37622" t="s">
        <v>14</v>
      </c>
      <c r="E37622" t="s">
        <v>1211</v>
      </c>
      <c r="F37622" s="2" t="str">
        <f>HYPERLINK("http://www.otzar.org/book.asp?151205","קונטרס מראש צורים - 2 כר'")</f>
        <v>קונטרס מראש צורים - 2 כר'</v>
      </c>
    </row>
    <row r="37623" spans="1:6" x14ac:dyDescent="0.2">
      <c r="A37623" t="s">
        <v>57860</v>
      </c>
      <c r="B37623" t="s">
        <v>57861</v>
      </c>
      <c r="C37623" t="s">
        <v>411</v>
      </c>
      <c r="D37623" t="s">
        <v>80</v>
      </c>
      <c r="E37623" t="s">
        <v>119</v>
      </c>
      <c r="F37623" s="2" t="str">
        <f>HYPERLINK("http://www.otzar.org/book.asp?197722","קונטרס מראש צורים")</f>
        <v>קונטרס מראש צורים</v>
      </c>
    </row>
    <row r="37624" spans="1:6" x14ac:dyDescent="0.2">
      <c r="A37624" t="s">
        <v>57862</v>
      </c>
      <c r="B37624" t="s">
        <v>12706</v>
      </c>
      <c r="C37624" t="s">
        <v>313</v>
      </c>
      <c r="D37624" t="s">
        <v>21</v>
      </c>
      <c r="E37624" t="s">
        <v>15</v>
      </c>
      <c r="F37624" s="2" t="str">
        <f>HYPERLINK("http://www.otzar.org/book.asp?191483","קונטרס מרבה חיים")</f>
        <v>קונטרס מרבה חיים</v>
      </c>
    </row>
    <row r="37625" spans="1:6" x14ac:dyDescent="0.2">
      <c r="A37625" t="s">
        <v>57863</v>
      </c>
      <c r="B37625" t="s">
        <v>57864</v>
      </c>
      <c r="C37625" t="s">
        <v>23</v>
      </c>
      <c r="D37625" t="s">
        <v>152</v>
      </c>
      <c r="F37625" s="2" t="str">
        <f>HYPERLINK("http://www.otzar.org/book.asp?199096","קונטרס מרבה שלום")</f>
        <v>קונטרס מרבה שלום</v>
      </c>
    </row>
    <row r="37626" spans="1:6" x14ac:dyDescent="0.2">
      <c r="A37626" t="s">
        <v>57865</v>
      </c>
      <c r="B37626" t="s">
        <v>57648</v>
      </c>
      <c r="C37626" t="s">
        <v>37</v>
      </c>
      <c r="D37626" t="s">
        <v>90</v>
      </c>
      <c r="E37626" t="s">
        <v>144</v>
      </c>
      <c r="F37626" s="2" t="str">
        <f>HYPERLINK("http://www.otzar.org/book.asp?193868","קונטרס מרגניתא מעלייתא")</f>
        <v>קונטרס מרגניתא מעלייתא</v>
      </c>
    </row>
    <row r="37627" spans="1:6" x14ac:dyDescent="0.2">
      <c r="A37627" t="s">
        <v>57866</v>
      </c>
      <c r="B37627" t="s">
        <v>11221</v>
      </c>
      <c r="C37627" t="s">
        <v>23</v>
      </c>
      <c r="D37627" t="s">
        <v>21</v>
      </c>
      <c r="E37627" t="s">
        <v>130</v>
      </c>
      <c r="F37627" s="2" t="str">
        <f>HYPERLINK("http://www.otzar.org/book.asp?607230","קונטרס מרדכי היהודי")</f>
        <v>קונטרס מרדכי היהודי</v>
      </c>
    </row>
    <row r="37628" spans="1:6" x14ac:dyDescent="0.2">
      <c r="A37628" t="s">
        <v>57867</v>
      </c>
      <c r="B37628" t="s">
        <v>57868</v>
      </c>
      <c r="C37628" t="s">
        <v>244</v>
      </c>
      <c r="D37628" t="s">
        <v>52</v>
      </c>
      <c r="E37628" t="s">
        <v>144</v>
      </c>
      <c r="F37628" s="2" t="str">
        <f>HYPERLINK("http://www.otzar.org/book.asp?603748","קונטרס משאת אחי")</f>
        <v>קונטרס משאת אחי</v>
      </c>
    </row>
    <row r="37629" spans="1:6" x14ac:dyDescent="0.2">
      <c r="A37629" t="s">
        <v>57869</v>
      </c>
      <c r="B37629" t="s">
        <v>57870</v>
      </c>
      <c r="C37629" t="s">
        <v>411</v>
      </c>
      <c r="D37629" t="s">
        <v>15682</v>
      </c>
      <c r="E37629" t="s">
        <v>246</v>
      </c>
      <c r="F37629" s="2" t="str">
        <f>HYPERLINK("http://www.otzar.org/book.asp?607265","קונטרס משאת בנימין - לט""ו בשבט")</f>
        <v>קונטרס משאת בנימין - לט"ו בשבט</v>
      </c>
    </row>
    <row r="37630" spans="1:6" x14ac:dyDescent="0.2">
      <c r="A37630" t="s">
        <v>57871</v>
      </c>
      <c r="B37630" t="s">
        <v>57872</v>
      </c>
      <c r="C37630" t="s">
        <v>20</v>
      </c>
      <c r="D37630" t="s">
        <v>90</v>
      </c>
      <c r="F37630" s="2" t="str">
        <f>HYPERLINK("http://www.otzar.org/book.asp?622335","קונטרס משאת יום טוב")</f>
        <v>קונטרס משאת יום טוב</v>
      </c>
    </row>
    <row r="37631" spans="1:6" x14ac:dyDescent="0.2">
      <c r="A37631" t="s">
        <v>57873</v>
      </c>
      <c r="B37631" t="s">
        <v>57874</v>
      </c>
      <c r="C37631" t="s">
        <v>244</v>
      </c>
      <c r="E37631" t="s">
        <v>104</v>
      </c>
      <c r="F37631" s="2" t="str">
        <f>HYPERLINK("http://www.otzar.org/book.asp?606869","קונטרס משאת כפי - ב")</f>
        <v>קונטרס משאת כפי - ב</v>
      </c>
    </row>
    <row r="37632" spans="1:6" x14ac:dyDescent="0.2">
      <c r="A37632" t="s">
        <v>57875</v>
      </c>
      <c r="B37632" t="s">
        <v>57876</v>
      </c>
      <c r="C37632" t="s">
        <v>68</v>
      </c>
      <c r="D37632" t="s">
        <v>52</v>
      </c>
      <c r="E37632" t="s">
        <v>130</v>
      </c>
      <c r="F37632" s="2" t="str">
        <f>HYPERLINK("http://www.otzar.org/book.asp?163700","קונטרס משאת שבת")</f>
        <v>קונטרס משאת שבת</v>
      </c>
    </row>
    <row r="37633" spans="1:6" x14ac:dyDescent="0.2">
      <c r="A37633" t="s">
        <v>57877</v>
      </c>
      <c r="B37633" t="s">
        <v>56813</v>
      </c>
      <c r="C37633" t="s">
        <v>68</v>
      </c>
      <c r="D37633" t="s">
        <v>52</v>
      </c>
      <c r="E37633" t="s">
        <v>15</v>
      </c>
      <c r="F37633" s="2" t="str">
        <f>HYPERLINK("http://www.otzar.org/book.asp?193674","קונטרס משביר ברכה")</f>
        <v>קונטרס משביר ברכה</v>
      </c>
    </row>
    <row r="37634" spans="1:6" x14ac:dyDescent="0.2">
      <c r="A37634" t="s">
        <v>57878</v>
      </c>
      <c r="B37634" t="s">
        <v>41699</v>
      </c>
      <c r="C37634" t="s">
        <v>111</v>
      </c>
      <c r="D37634" t="s">
        <v>52</v>
      </c>
      <c r="E37634" t="s">
        <v>84</v>
      </c>
      <c r="F37634" s="2" t="str">
        <f>HYPERLINK("http://www.otzar.org/book.asp?629965","קונטרס משביר זרע - פאה פרקים ה, ט")</f>
        <v>קונטרס משביר זרע - פאה פרקים ה, ט</v>
      </c>
    </row>
    <row r="37635" spans="1:6" x14ac:dyDescent="0.2">
      <c r="A37635" t="s">
        <v>57879</v>
      </c>
      <c r="B37635" t="s">
        <v>41699</v>
      </c>
      <c r="C37635" t="s">
        <v>111</v>
      </c>
      <c r="D37635" t="s">
        <v>52</v>
      </c>
      <c r="E37635" t="s">
        <v>15</v>
      </c>
      <c r="F37635" s="2" t="str">
        <f>HYPERLINK("http://www.otzar.org/book.asp?630516","קונטרס משביר ליוסף - 10 כר'")</f>
        <v>קונטרס משביר ליוסף - 10 כר'</v>
      </c>
    </row>
    <row r="37636" spans="1:6" x14ac:dyDescent="0.2">
      <c r="A37636" t="s">
        <v>57880</v>
      </c>
      <c r="B37636" t="s">
        <v>206</v>
      </c>
      <c r="C37636" t="s">
        <v>20</v>
      </c>
      <c r="D37636" t="s">
        <v>90</v>
      </c>
      <c r="E37636" t="s">
        <v>741</v>
      </c>
      <c r="F37636" s="2" t="str">
        <f>HYPERLINK("http://www.otzar.org/book.asp?194235","קונטרס משה אמת")</f>
        <v>קונטרס משה אמת</v>
      </c>
    </row>
    <row r="37637" spans="1:6" x14ac:dyDescent="0.2">
      <c r="A37637" t="s">
        <v>57881</v>
      </c>
      <c r="B37637" t="s">
        <v>57882</v>
      </c>
      <c r="C37637" t="s">
        <v>111</v>
      </c>
      <c r="D37637" t="s">
        <v>90</v>
      </c>
      <c r="E37637" t="s">
        <v>119</v>
      </c>
      <c r="F37637" s="2" t="str">
        <f>HYPERLINK("http://www.otzar.org/book.asp?628048","קונטרס משה עבד נאמן")</f>
        <v>קונטרס משה עבד נאמן</v>
      </c>
    </row>
    <row r="37638" spans="1:6" x14ac:dyDescent="0.2">
      <c r="A37638" t="s">
        <v>57883</v>
      </c>
      <c r="B37638" t="s">
        <v>57884</v>
      </c>
      <c r="C37638" t="s">
        <v>133</v>
      </c>
      <c r="D37638" t="s">
        <v>657</v>
      </c>
      <c r="E37638" t="s">
        <v>674</v>
      </c>
      <c r="F37638" s="2" t="str">
        <f>HYPERLINK("http://www.otzar.org/book.asp?192302","קונטרס משולחן גבוה")</f>
        <v>קונטרס משולחן גבוה</v>
      </c>
    </row>
    <row r="37639" spans="1:6" x14ac:dyDescent="0.2">
      <c r="A37639" t="s">
        <v>57885</v>
      </c>
      <c r="B37639" t="s">
        <v>11553</v>
      </c>
      <c r="C37639" t="s">
        <v>133</v>
      </c>
      <c r="D37639" t="s">
        <v>52</v>
      </c>
      <c r="F37639" s="2" t="str">
        <f>HYPERLINK("http://www.otzar.org/book.asp?610678","קונטרס משולש")</f>
        <v>קונטרס משולש</v>
      </c>
    </row>
    <row r="37640" spans="1:6" x14ac:dyDescent="0.2">
      <c r="A37640" t="s">
        <v>57886</v>
      </c>
      <c r="B37640" t="s">
        <v>57887</v>
      </c>
      <c r="C37640" t="s">
        <v>454</v>
      </c>
      <c r="D37640" t="s">
        <v>52</v>
      </c>
      <c r="E37640" t="s">
        <v>15</v>
      </c>
      <c r="F37640" s="2" t="str">
        <f>HYPERLINK("http://www.otzar.org/book.asp?605988","קונטרס משוש דודים")</f>
        <v>קונטרס משוש דודים</v>
      </c>
    </row>
    <row r="37641" spans="1:6" x14ac:dyDescent="0.2">
      <c r="A37641" t="s">
        <v>57888</v>
      </c>
      <c r="B37641" t="s">
        <v>32357</v>
      </c>
      <c r="C37641" t="s">
        <v>146</v>
      </c>
      <c r="D37641" t="s">
        <v>52</v>
      </c>
      <c r="E37641" t="s">
        <v>144</v>
      </c>
      <c r="F37641" s="2" t="str">
        <f>HYPERLINK("http://www.otzar.org/book.asp?193806","קונטרס משוש חתן")</f>
        <v>קונטרס משוש חתן</v>
      </c>
    </row>
    <row r="37642" spans="1:6" x14ac:dyDescent="0.2">
      <c r="A37642" t="s">
        <v>57889</v>
      </c>
      <c r="B37642" t="s">
        <v>57890</v>
      </c>
      <c r="C37642" t="s">
        <v>244</v>
      </c>
      <c r="D37642" t="s">
        <v>21</v>
      </c>
      <c r="E37642" t="s">
        <v>144</v>
      </c>
      <c r="F37642" s="2" t="str">
        <f>HYPERLINK("http://www.otzar.org/book.asp?606874","קונטרס משכיל לדוד")</f>
        <v>קונטרס משכיל לדוד</v>
      </c>
    </row>
    <row r="37643" spans="1:6" x14ac:dyDescent="0.2">
      <c r="A37643" t="s">
        <v>57891</v>
      </c>
      <c r="B37643" t="s">
        <v>57892</v>
      </c>
      <c r="C37643" t="s">
        <v>133</v>
      </c>
      <c r="D37643" t="s">
        <v>90</v>
      </c>
      <c r="E37643" t="s">
        <v>144</v>
      </c>
      <c r="F37643" s="2" t="str">
        <f>HYPERLINK("http://www.otzar.org/book.asp?629476","קונטרס משכן גבריאל - 3 כר'")</f>
        <v>קונטרס משכן גבריאל - 3 כר'</v>
      </c>
    </row>
    <row r="37644" spans="1:6" x14ac:dyDescent="0.2">
      <c r="A37644" t="s">
        <v>57893</v>
      </c>
      <c r="B37644" t="s">
        <v>4399</v>
      </c>
      <c r="C37644" t="s">
        <v>334</v>
      </c>
      <c r="D37644" t="s">
        <v>646</v>
      </c>
      <c r="E37644" t="s">
        <v>158</v>
      </c>
      <c r="F37644" s="2" t="str">
        <f>HYPERLINK("http://www.otzar.org/book.asp?615723","קונטרס משכנותיך ישראל - 5 כר'")</f>
        <v>קונטרס משכנותיך ישראל - 5 כר'</v>
      </c>
    </row>
    <row r="37645" spans="1:6" x14ac:dyDescent="0.2">
      <c r="A37645" t="s">
        <v>57894</v>
      </c>
      <c r="B37645" t="s">
        <v>14381</v>
      </c>
      <c r="C37645" t="s">
        <v>133</v>
      </c>
      <c r="D37645" t="s">
        <v>52</v>
      </c>
      <c r="E37645" t="s">
        <v>104</v>
      </c>
      <c r="F37645" s="2" t="str">
        <f>HYPERLINK("http://www.otzar.org/book.asp?179987","קונטרס משל ונמשל")</f>
        <v>קונטרס משל ונמשל</v>
      </c>
    </row>
    <row r="37646" spans="1:6" x14ac:dyDescent="0.2">
      <c r="A37646" t="s">
        <v>57895</v>
      </c>
      <c r="B37646" t="s">
        <v>8789</v>
      </c>
      <c r="C37646" t="s">
        <v>523</v>
      </c>
      <c r="D37646" t="s">
        <v>14</v>
      </c>
      <c r="E37646" t="s">
        <v>246</v>
      </c>
      <c r="F37646" s="2" t="str">
        <f>HYPERLINK("http://www.otzar.org/book.asp?603200","קונטרס משלוח מנות")</f>
        <v>קונטרס משלוח מנות</v>
      </c>
    </row>
    <row r="37647" spans="1:6" x14ac:dyDescent="0.2">
      <c r="A37647" t="s">
        <v>57896</v>
      </c>
      <c r="B37647" t="s">
        <v>12075</v>
      </c>
      <c r="C37647" t="s">
        <v>37</v>
      </c>
      <c r="D37647" t="s">
        <v>152</v>
      </c>
      <c r="F37647" s="2" t="str">
        <f>HYPERLINK("http://www.otzar.org/book.asp?629943","קונטרס משמח ציון בבניה - 2 כר'")</f>
        <v>קונטרס משמח ציון בבניה - 2 כר'</v>
      </c>
    </row>
    <row r="37648" spans="1:6" x14ac:dyDescent="0.2">
      <c r="A37648" t="s">
        <v>57897</v>
      </c>
      <c r="B37648" t="s">
        <v>3181</v>
      </c>
      <c r="C37648" t="s">
        <v>57898</v>
      </c>
      <c r="D37648" t="s">
        <v>152</v>
      </c>
      <c r="E37648" t="s">
        <v>144</v>
      </c>
      <c r="F37648" s="2" t="str">
        <f>HYPERLINK("http://www.otzar.org/book.asp?153828","קונטרס משמחי לב")</f>
        <v>קונטרס משמחי לב</v>
      </c>
    </row>
    <row r="37649" spans="1:6" x14ac:dyDescent="0.2">
      <c r="A37649" t="s">
        <v>57899</v>
      </c>
      <c r="B37649" t="s">
        <v>57899</v>
      </c>
      <c r="C37649" t="s">
        <v>103</v>
      </c>
      <c r="D37649" t="s">
        <v>52</v>
      </c>
      <c r="E37649" t="s">
        <v>15</v>
      </c>
      <c r="F37649" s="2" t="str">
        <f>HYPERLINK("http://www.otzar.org/book.asp?142987","קונטרס משנה אחת")</f>
        <v>קונטרס משנה אחת</v>
      </c>
    </row>
    <row r="37650" spans="1:6" x14ac:dyDescent="0.2">
      <c r="A37650" t="s">
        <v>57900</v>
      </c>
      <c r="B37650" t="s">
        <v>25848</v>
      </c>
      <c r="C37650" t="s">
        <v>111</v>
      </c>
      <c r="D37650" t="s">
        <v>90</v>
      </c>
      <c r="F37650" s="2" t="str">
        <f>HYPERLINK("http://www.otzar.org/book.asp?620469","קונטרס משנה ברכה")</f>
        <v>קונטרס משנה ברכה</v>
      </c>
    </row>
    <row r="37651" spans="1:6" x14ac:dyDescent="0.2">
      <c r="A37651" t="s">
        <v>57901</v>
      </c>
      <c r="B37651" t="s">
        <v>30529</v>
      </c>
      <c r="C37651" t="s">
        <v>422</v>
      </c>
      <c r="D37651" t="s">
        <v>14</v>
      </c>
      <c r="E37651" t="s">
        <v>15</v>
      </c>
      <c r="F37651" s="2" t="str">
        <f>HYPERLINK("http://www.otzar.org/book.asp?161131","קונטרס משנה תורה")</f>
        <v>קונטרס משנה תורה</v>
      </c>
    </row>
    <row r="37652" spans="1:6" x14ac:dyDescent="0.2">
      <c r="A37652" t="s">
        <v>57902</v>
      </c>
      <c r="B37652" t="s">
        <v>2919</v>
      </c>
      <c r="C37652" t="s">
        <v>20</v>
      </c>
      <c r="D37652" t="s">
        <v>20</v>
      </c>
      <c r="F37652" s="2" t="str">
        <f>HYPERLINK("http://www.otzar.org/book.asp?612421","קונטרס משנכנס אדר מרבין בשמחה")</f>
        <v>קונטרס משנכנס אדר מרבין בשמחה</v>
      </c>
    </row>
    <row r="37653" spans="1:6" x14ac:dyDescent="0.2">
      <c r="A37653" t="s">
        <v>57903</v>
      </c>
      <c r="B37653" t="s">
        <v>24574</v>
      </c>
      <c r="C37653" t="s">
        <v>111</v>
      </c>
      <c r="D37653" t="s">
        <v>1156</v>
      </c>
      <c r="E37653" t="s">
        <v>246</v>
      </c>
      <c r="F37653" s="2" t="str">
        <f>HYPERLINK("http://www.otzar.org/book.asp?629701","קונטרס משנכנס אדר")</f>
        <v>קונטרס משנכנס אדר</v>
      </c>
    </row>
    <row r="37654" spans="1:6" x14ac:dyDescent="0.2">
      <c r="A37654" t="s">
        <v>57904</v>
      </c>
      <c r="B37654" t="s">
        <v>57905</v>
      </c>
      <c r="C37654" t="s">
        <v>411</v>
      </c>
      <c r="D37654" t="s">
        <v>52</v>
      </c>
      <c r="E37654" t="s">
        <v>130</v>
      </c>
      <c r="F37654" s="2" t="str">
        <f>HYPERLINK("http://www.otzar.org/book.asp?191193","קונטרס משנת אהרן - מוקצה")</f>
        <v>קונטרס משנת אהרן - מוקצה</v>
      </c>
    </row>
    <row r="37655" spans="1:6" x14ac:dyDescent="0.2">
      <c r="A37655" t="s">
        <v>57906</v>
      </c>
      <c r="B37655" t="s">
        <v>42780</v>
      </c>
      <c r="C37655" t="s">
        <v>151</v>
      </c>
      <c r="D37655" t="s">
        <v>90</v>
      </c>
      <c r="E37655" t="s">
        <v>144</v>
      </c>
      <c r="F37655" s="2" t="str">
        <f>HYPERLINK("http://www.otzar.org/book.asp?629834","קונטרס משנת הגט")</f>
        <v>קונטרס משנת הגט</v>
      </c>
    </row>
    <row r="37656" spans="1:6" x14ac:dyDescent="0.2">
      <c r="A37656" t="s">
        <v>57907</v>
      </c>
      <c r="B37656" t="s">
        <v>42780</v>
      </c>
      <c r="C37656" t="s">
        <v>151</v>
      </c>
      <c r="D37656" t="s">
        <v>90</v>
      </c>
      <c r="E37656" t="s">
        <v>144</v>
      </c>
      <c r="F37656" s="2" t="str">
        <f>HYPERLINK("http://www.otzar.org/book.asp?629835","קונטרס משנת הדיינים")</f>
        <v>קונטרס משנת הדיינים</v>
      </c>
    </row>
    <row r="37657" spans="1:6" x14ac:dyDescent="0.2">
      <c r="A37657" t="s">
        <v>57908</v>
      </c>
      <c r="B37657" t="s">
        <v>57909</v>
      </c>
      <c r="C37657" t="s">
        <v>411</v>
      </c>
      <c r="D37657" t="s">
        <v>152</v>
      </c>
      <c r="E37657" t="s">
        <v>130</v>
      </c>
      <c r="F37657" s="2" t="str">
        <f>HYPERLINK("http://www.otzar.org/book.asp?168328","קונטרס משנת הטהרה")</f>
        <v>קונטרס משנת הטהרה</v>
      </c>
    </row>
    <row r="37658" spans="1:6" x14ac:dyDescent="0.2">
      <c r="A37658" t="s">
        <v>57910</v>
      </c>
      <c r="B37658" t="s">
        <v>42780</v>
      </c>
      <c r="C37658" t="s">
        <v>366</v>
      </c>
      <c r="D37658" t="s">
        <v>90</v>
      </c>
      <c r="E37658" t="s">
        <v>144</v>
      </c>
      <c r="F37658" s="2" t="str">
        <f>HYPERLINK("http://www.otzar.org/book.asp?629836","קונטרס משנת היבום")</f>
        <v>קונטרס משנת היבום</v>
      </c>
    </row>
    <row r="37659" spans="1:6" x14ac:dyDescent="0.2">
      <c r="A37659" t="s">
        <v>57911</v>
      </c>
      <c r="B37659" t="s">
        <v>42628</v>
      </c>
      <c r="C37659" t="s">
        <v>422</v>
      </c>
      <c r="D37659" t="s">
        <v>52</v>
      </c>
      <c r="E37659" t="s">
        <v>144</v>
      </c>
      <c r="F37659" s="2" t="str">
        <f>HYPERLINK("http://www.otzar.org/book.asp?603209","קונטרס משנת היחוד")</f>
        <v>קונטרס משנת היחוד</v>
      </c>
    </row>
    <row r="37660" spans="1:6" x14ac:dyDescent="0.2">
      <c r="A37660" t="s">
        <v>57912</v>
      </c>
      <c r="B37660" t="s">
        <v>42590</v>
      </c>
      <c r="C37660" t="s">
        <v>37</v>
      </c>
      <c r="D37660" t="s">
        <v>52</v>
      </c>
      <c r="E37660" t="s">
        <v>246</v>
      </c>
      <c r="F37660" s="2" t="str">
        <f>HYPERLINK("http://www.otzar.org/book.asp?180799","קונטרס משנת חיים  - יציאת מצרים")</f>
        <v>קונטרס משנת חיים  - יציאת מצרים</v>
      </c>
    </row>
    <row r="37661" spans="1:6" x14ac:dyDescent="0.2">
      <c r="A37661" t="s">
        <v>57913</v>
      </c>
      <c r="B37661" t="s">
        <v>42628</v>
      </c>
      <c r="C37661" t="s">
        <v>37</v>
      </c>
      <c r="D37661" t="s">
        <v>52</v>
      </c>
      <c r="F37661" s="2" t="str">
        <f>HYPERLINK("http://www.otzar.org/book.asp?193189","קונטרס משנת יואל - עירובין")</f>
        <v>קונטרס משנת יואל - עירובין</v>
      </c>
    </row>
    <row r="37662" spans="1:6" x14ac:dyDescent="0.2">
      <c r="A37662" t="s">
        <v>57914</v>
      </c>
      <c r="B37662" t="s">
        <v>42780</v>
      </c>
      <c r="C37662" t="s">
        <v>20</v>
      </c>
      <c r="D37662" t="s">
        <v>90</v>
      </c>
      <c r="E37662" t="s">
        <v>144</v>
      </c>
      <c r="F37662" s="2" t="str">
        <f>HYPERLINK("http://www.otzar.org/book.asp?626943","קונטרס משנת מיטב")</f>
        <v>קונטרס משנת מיטב</v>
      </c>
    </row>
    <row r="37663" spans="1:6" x14ac:dyDescent="0.2">
      <c r="A37663" t="s">
        <v>57915</v>
      </c>
      <c r="B37663" t="s">
        <v>41823</v>
      </c>
      <c r="C37663" t="s">
        <v>244</v>
      </c>
      <c r="D37663" t="s">
        <v>52</v>
      </c>
      <c r="F37663" s="2" t="str">
        <f>HYPERLINK("http://www.otzar.org/book.asp?197522","קונטרס משנת מרדכי")</f>
        <v>קונטרס משנת מרדכי</v>
      </c>
    </row>
    <row r="37664" spans="1:6" x14ac:dyDescent="0.2">
      <c r="A37664" t="s">
        <v>57916</v>
      </c>
      <c r="B37664" t="s">
        <v>42780</v>
      </c>
      <c r="C37664" t="s">
        <v>20</v>
      </c>
      <c r="D37664" t="s">
        <v>90</v>
      </c>
      <c r="E37664" t="s">
        <v>144</v>
      </c>
      <c r="F37664" s="2" t="str">
        <f>HYPERLINK("http://www.otzar.org/book.asp?626944","קונטרס משנת מרובה")</f>
        <v>קונטרס משנת מרובה</v>
      </c>
    </row>
    <row r="37665" spans="1:6" x14ac:dyDescent="0.2">
      <c r="A37665" t="s">
        <v>57917</v>
      </c>
      <c r="B37665" t="s">
        <v>1851</v>
      </c>
      <c r="C37665" t="s">
        <v>20</v>
      </c>
      <c r="D37665" t="s">
        <v>14</v>
      </c>
      <c r="E37665" t="s">
        <v>15</v>
      </c>
      <c r="F37665" s="2" t="str">
        <f>HYPERLINK("http://www.otzar.org/book.asp?625363","קונטרס משנת סופרים חסדי דוד")</f>
        <v>קונטרס משנת סופרים חסדי דוד</v>
      </c>
    </row>
    <row r="37666" spans="1:6" x14ac:dyDescent="0.2">
      <c r="A37666" t="s">
        <v>57918</v>
      </c>
      <c r="B37666" t="s">
        <v>206</v>
      </c>
      <c r="C37666" t="s">
        <v>51</v>
      </c>
      <c r="D37666" t="s">
        <v>6987</v>
      </c>
      <c r="E37666" t="s">
        <v>144</v>
      </c>
      <c r="F37666" s="2" t="str">
        <f>HYPERLINK("http://www.otzar.org/book.asp?195792","קונטרס משנת שמעון - גיטין פרק האומר")</f>
        <v>קונטרס משנת שמעון - גיטין פרק האומר</v>
      </c>
    </row>
    <row r="37667" spans="1:6" x14ac:dyDescent="0.2">
      <c r="A37667" t="s">
        <v>57919</v>
      </c>
      <c r="B37667" t="s">
        <v>35351</v>
      </c>
      <c r="C37667" t="s">
        <v>133</v>
      </c>
      <c r="D37667" t="s">
        <v>52</v>
      </c>
      <c r="E37667" t="s">
        <v>130</v>
      </c>
      <c r="F37667" s="2" t="str">
        <f>HYPERLINK("http://www.otzar.org/book.asp?188823","קונטרס משפחה ומשפחה")</f>
        <v>קונטרס משפחה ומשפחה</v>
      </c>
    </row>
    <row r="37668" spans="1:6" x14ac:dyDescent="0.2">
      <c r="A37668" t="s">
        <v>57920</v>
      </c>
      <c r="B37668" t="s">
        <v>57921</v>
      </c>
      <c r="C37668" t="s">
        <v>20</v>
      </c>
      <c r="D37668" t="s">
        <v>52</v>
      </c>
      <c r="E37668" t="s">
        <v>119</v>
      </c>
      <c r="F37668" s="2" t="str">
        <f>HYPERLINK("http://www.otzar.org/book.asp?156494","קונטרס משפחת רם")</f>
        <v>קונטרס משפחת רם</v>
      </c>
    </row>
    <row r="37669" spans="1:6" x14ac:dyDescent="0.2">
      <c r="A37669" t="s">
        <v>57922</v>
      </c>
      <c r="B37669" t="s">
        <v>57923</v>
      </c>
      <c r="C37669" t="s">
        <v>366</v>
      </c>
      <c r="D37669" t="s">
        <v>90</v>
      </c>
      <c r="F37669" s="2" t="str">
        <f>HYPERLINK("http://www.otzar.org/book.asp?603966","קונטרס משפט האונאה")</f>
        <v>קונטרס משפט האונאה</v>
      </c>
    </row>
    <row r="37670" spans="1:6" x14ac:dyDescent="0.2">
      <c r="A37670" t="s">
        <v>57924</v>
      </c>
      <c r="B37670" t="s">
        <v>7287</v>
      </c>
      <c r="C37670" t="s">
        <v>366</v>
      </c>
      <c r="D37670" t="s">
        <v>52</v>
      </c>
      <c r="E37670" t="s">
        <v>172</v>
      </c>
      <c r="F37670" s="2" t="str">
        <f>HYPERLINK("http://www.otzar.org/book.asp?620473","קונטרס משפט העירוב")</f>
        <v>קונטרס משפט העירוב</v>
      </c>
    </row>
    <row r="37671" spans="1:6" x14ac:dyDescent="0.2">
      <c r="A37671" t="s">
        <v>57925</v>
      </c>
      <c r="B37671" t="s">
        <v>35168</v>
      </c>
      <c r="C37671" t="s">
        <v>133</v>
      </c>
      <c r="D37671" t="s">
        <v>4549</v>
      </c>
      <c r="E37671" t="s">
        <v>144</v>
      </c>
      <c r="F37671" s="2" t="str">
        <f>HYPERLINK("http://www.otzar.org/book.asp?172790","קונטרס משפטי ה' אמת צדקו יחדיו - חנוכה")</f>
        <v>קונטרס משפטי ה' אמת צדקו יחדיו - חנוכה</v>
      </c>
    </row>
    <row r="37672" spans="1:6" x14ac:dyDescent="0.2">
      <c r="A37672" t="s">
        <v>57926</v>
      </c>
      <c r="B37672" t="s">
        <v>56033</v>
      </c>
      <c r="C37672" t="s">
        <v>244</v>
      </c>
      <c r="D37672" t="s">
        <v>21</v>
      </c>
      <c r="E37672" t="s">
        <v>186</v>
      </c>
      <c r="F37672" s="2" t="str">
        <f>HYPERLINK("http://www.otzar.org/book.asp?600267","קונטרס משפטי הבית - בבא קמא")</f>
        <v>קונטרס משפטי הבית - בבא קמא</v>
      </c>
    </row>
    <row r="37673" spans="1:6" x14ac:dyDescent="0.2">
      <c r="A37673" t="s">
        <v>57927</v>
      </c>
      <c r="B37673" t="s">
        <v>206</v>
      </c>
      <c r="C37673" t="s">
        <v>176</v>
      </c>
      <c r="D37673" t="s">
        <v>21</v>
      </c>
      <c r="F37673" s="2" t="str">
        <f>HYPERLINK("http://www.otzar.org/book.asp?621845","קונטרס משפטי הגזילה")</f>
        <v>קונטרס משפטי הגזילה</v>
      </c>
    </row>
    <row r="37674" spans="1:6" x14ac:dyDescent="0.2">
      <c r="A37674" t="s">
        <v>57928</v>
      </c>
      <c r="B37674" t="s">
        <v>26520</v>
      </c>
      <c r="C37674" t="s">
        <v>411</v>
      </c>
      <c r="D37674" t="s">
        <v>90</v>
      </c>
      <c r="F37674" s="2" t="str">
        <f>HYPERLINK("http://www.otzar.org/book.asp?604556","קונטרס משפטי יעקב")</f>
        <v>קונטרס משפטי יעקב</v>
      </c>
    </row>
    <row r="37675" spans="1:6" x14ac:dyDescent="0.2">
      <c r="A37675" t="s">
        <v>57929</v>
      </c>
      <c r="B37675" t="s">
        <v>57930</v>
      </c>
      <c r="E37675" t="s">
        <v>104</v>
      </c>
      <c r="F37675" s="2" t="str">
        <f>HYPERLINK("http://www.otzar.org/book.asp?625862","קונטרס משרשי החינוך")</f>
        <v>קונטרס משרשי החינוך</v>
      </c>
    </row>
    <row r="37676" spans="1:6" x14ac:dyDescent="0.2">
      <c r="A37676" t="s">
        <v>57931</v>
      </c>
      <c r="B37676" t="s">
        <v>21284</v>
      </c>
      <c r="C37676" t="s">
        <v>37</v>
      </c>
      <c r="D37676" t="s">
        <v>412</v>
      </c>
      <c r="F37676" s="2" t="str">
        <f>HYPERLINK("http://www.otzar.org/book.asp?196145","קונטרס משתה ושמחה תמיד")</f>
        <v>קונטרס משתה ושמחה תמיד</v>
      </c>
    </row>
    <row r="37677" spans="1:6" x14ac:dyDescent="0.2">
      <c r="A37677" t="s">
        <v>57932</v>
      </c>
      <c r="B37677" t="s">
        <v>57933</v>
      </c>
      <c r="C37677" t="s">
        <v>244</v>
      </c>
      <c r="D37677" t="s">
        <v>646</v>
      </c>
      <c r="F37677" s="2" t="str">
        <f>HYPERLINK("http://www.otzar.org/book.asp?199112","קונטרס משתה ושמחה")</f>
        <v>קונטרס משתה ושמחה</v>
      </c>
    </row>
    <row r="37678" spans="1:6" x14ac:dyDescent="0.2">
      <c r="A37678" t="s">
        <v>57934</v>
      </c>
      <c r="B37678" t="s">
        <v>57935</v>
      </c>
      <c r="C37678" t="s">
        <v>133</v>
      </c>
      <c r="D37678" t="s">
        <v>90</v>
      </c>
      <c r="F37678" s="2" t="str">
        <f>HYPERLINK("http://www.otzar.org/book.asp?193550","קונטרס מתורת הארץ - 2 כר'")</f>
        <v>קונטרס מתורת הארץ - 2 כר'</v>
      </c>
    </row>
    <row r="37679" spans="1:6" x14ac:dyDescent="0.2">
      <c r="A37679" t="s">
        <v>57936</v>
      </c>
      <c r="B37679" t="s">
        <v>57937</v>
      </c>
      <c r="C37679" t="s">
        <v>111</v>
      </c>
      <c r="D37679" t="s">
        <v>90</v>
      </c>
      <c r="E37679" t="s">
        <v>144</v>
      </c>
      <c r="F37679" s="2" t="str">
        <f>HYPERLINK("http://www.otzar.org/book.asp?630000","קונטרס מתורת חורב")</f>
        <v>קונטרס מתורת חורב</v>
      </c>
    </row>
    <row r="37680" spans="1:6" x14ac:dyDescent="0.2">
      <c r="A37680" t="s">
        <v>57938</v>
      </c>
      <c r="B37680" t="s">
        <v>40469</v>
      </c>
      <c r="C37680" t="s">
        <v>366</v>
      </c>
      <c r="D37680" t="s">
        <v>14</v>
      </c>
      <c r="E37680" t="s">
        <v>104</v>
      </c>
      <c r="F37680" s="2" t="str">
        <f>HYPERLINK("http://www.otzar.org/book.asp?608578","קונטרס מתורתן של רבותינו")</f>
        <v>קונטרס מתורתן של רבותינו</v>
      </c>
    </row>
    <row r="37681" spans="1:6" x14ac:dyDescent="0.2">
      <c r="A37681" t="s">
        <v>57939</v>
      </c>
      <c r="B37681" t="s">
        <v>3286</v>
      </c>
      <c r="C37681" t="s">
        <v>1570</v>
      </c>
      <c r="D37681" t="s">
        <v>52</v>
      </c>
      <c r="E37681" t="s">
        <v>15</v>
      </c>
      <c r="F37681" s="2" t="str">
        <f>HYPERLINK("http://www.otzar.org/book.asp?142266","קונטרס מתי מלחמה")</f>
        <v>קונטרס מתי מלחמה</v>
      </c>
    </row>
    <row r="37682" spans="1:6" x14ac:dyDescent="0.2">
      <c r="A37682" t="s">
        <v>57940</v>
      </c>
      <c r="B37682" t="s">
        <v>57941</v>
      </c>
      <c r="E37682" t="s">
        <v>246</v>
      </c>
      <c r="F37682" s="2" t="str">
        <f>HYPERLINK("http://www.otzar.org/book.asp?625859","קונטרס מתיקות ימי הפסח")</f>
        <v>קונטרס מתיקות ימי הפסח</v>
      </c>
    </row>
    <row r="37683" spans="1:6" x14ac:dyDescent="0.2">
      <c r="A37683" t="s">
        <v>57942</v>
      </c>
      <c r="B37683" t="s">
        <v>57943</v>
      </c>
      <c r="C37683" t="s">
        <v>334</v>
      </c>
      <c r="D37683" t="s">
        <v>412</v>
      </c>
      <c r="E37683" t="s">
        <v>1164</v>
      </c>
      <c r="F37683" s="2" t="str">
        <f>HYPERLINK("http://www.otzar.org/book.asp?166459","קונטרס מתנה טובה")</f>
        <v>קונטרס מתנה טובה</v>
      </c>
    </row>
    <row r="37684" spans="1:6" x14ac:dyDescent="0.2">
      <c r="A37684" t="s">
        <v>57944</v>
      </c>
      <c r="B37684" t="s">
        <v>57945</v>
      </c>
      <c r="C37684" t="s">
        <v>146</v>
      </c>
      <c r="D37684" t="s">
        <v>14</v>
      </c>
      <c r="E37684" t="s">
        <v>15</v>
      </c>
      <c r="F37684" s="2" t="str">
        <f>HYPERLINK("http://www.otzar.org/book.asp?145586","קונטרס מתנות כהונה &lt;בעניני נתינת מתנה בשבת ויו""ט&gt;")</f>
        <v>קונטרס מתנות כהונה &lt;בעניני נתינת מתנה בשבת ויו"ט&gt;</v>
      </c>
    </row>
    <row r="37685" spans="1:6" x14ac:dyDescent="0.2">
      <c r="A37685" t="s">
        <v>57946</v>
      </c>
      <c r="B37685" t="s">
        <v>107</v>
      </c>
      <c r="C37685" t="s">
        <v>168</v>
      </c>
      <c r="D37685" t="s">
        <v>14</v>
      </c>
      <c r="E37685" t="s">
        <v>15</v>
      </c>
      <c r="F37685" s="2" t="str">
        <f>HYPERLINK("http://www.otzar.org/book.asp?84488","קונטרס מתנות כהונה מהבהמה")</f>
        <v>קונטרס מתנות כהונה מהבהמה</v>
      </c>
    </row>
    <row r="37686" spans="1:6" x14ac:dyDescent="0.2">
      <c r="A37686" t="s">
        <v>57947</v>
      </c>
      <c r="B37686" t="s">
        <v>57948</v>
      </c>
      <c r="E37686" t="s">
        <v>241</v>
      </c>
      <c r="F37686" s="2" t="str">
        <f>HYPERLINK("http://www.otzar.org/book.asp?625574","קונטרס מתנת חלקו")</f>
        <v>קונטרס מתנת חלקו</v>
      </c>
    </row>
    <row r="37687" spans="1:6" x14ac:dyDescent="0.2">
      <c r="A37687" t="s">
        <v>57949</v>
      </c>
      <c r="B37687" t="s">
        <v>57950</v>
      </c>
      <c r="C37687" t="s">
        <v>23</v>
      </c>
      <c r="D37687" t="s">
        <v>52</v>
      </c>
      <c r="E37687" t="s">
        <v>15</v>
      </c>
      <c r="F37687" s="2" t="str">
        <f>HYPERLINK("http://www.otzar.org/book.asp?190312","קונטרס מתנת יהודה - שביעית")</f>
        <v>קונטרס מתנת יהודה - שביעית</v>
      </c>
    </row>
    <row r="37688" spans="1:6" x14ac:dyDescent="0.2">
      <c r="A37688" t="s">
        <v>57951</v>
      </c>
      <c r="B37688" t="s">
        <v>57952</v>
      </c>
      <c r="C37688" t="s">
        <v>111</v>
      </c>
      <c r="D37688" t="s">
        <v>90</v>
      </c>
      <c r="E37688" t="s">
        <v>144</v>
      </c>
      <c r="F37688" s="2" t="str">
        <f>HYPERLINK("http://www.otzar.org/book.asp?629818","קונטרס מתנת יהודה - ב""ק")</f>
        <v>קונטרס מתנת יהודה - ב"ק</v>
      </c>
    </row>
    <row r="37689" spans="1:6" x14ac:dyDescent="0.2">
      <c r="A37689" t="s">
        <v>57953</v>
      </c>
      <c r="B37689" t="s">
        <v>57954</v>
      </c>
      <c r="C37689" t="s">
        <v>111</v>
      </c>
      <c r="D37689" t="s">
        <v>657</v>
      </c>
      <c r="E37689" t="s">
        <v>144</v>
      </c>
      <c r="F37689" s="2" t="str">
        <f>HYPERLINK("http://www.otzar.org/book.asp?628141","קונטרס מתנת נתנאל")</f>
        <v>קונטרס מתנת נתנאל</v>
      </c>
    </row>
    <row r="37690" spans="1:6" x14ac:dyDescent="0.2">
      <c r="A37690" t="s">
        <v>57955</v>
      </c>
      <c r="B37690" t="s">
        <v>206</v>
      </c>
      <c r="C37690" t="s">
        <v>313</v>
      </c>
      <c r="D37690" t="s">
        <v>14</v>
      </c>
      <c r="E37690" t="s">
        <v>144</v>
      </c>
      <c r="F37690" s="2" t="str">
        <f>HYPERLINK("http://www.otzar.org/book.asp?175939","קונטרס מתנת שמים")</f>
        <v>קונטרס מתנת שמים</v>
      </c>
    </row>
    <row r="37691" spans="1:6" x14ac:dyDescent="0.2">
      <c r="A37691" t="s">
        <v>57956</v>
      </c>
      <c r="B37691" t="s">
        <v>33759</v>
      </c>
      <c r="C37691" t="s">
        <v>57957</v>
      </c>
      <c r="D37691" t="s">
        <v>412</v>
      </c>
      <c r="E37691" t="s">
        <v>241</v>
      </c>
      <c r="F37691" s="2" t="str">
        <f>HYPERLINK("http://www.otzar.org/book.asp?624663","קונטרס נאר אמונה")</f>
        <v>קונטרס נאר אמונה</v>
      </c>
    </row>
    <row r="37692" spans="1:6" x14ac:dyDescent="0.2">
      <c r="A37692" t="s">
        <v>57958</v>
      </c>
      <c r="B37692" t="s">
        <v>18752</v>
      </c>
      <c r="C37692" t="s">
        <v>106</v>
      </c>
      <c r="D37692" t="s">
        <v>57959</v>
      </c>
      <c r="E37692" t="s">
        <v>15</v>
      </c>
      <c r="F37692" s="2" t="str">
        <f>HYPERLINK("http://www.otzar.org/book.asp?180367","קונטרס נבוני לחש")</f>
        <v>קונטרס נבוני לחש</v>
      </c>
    </row>
    <row r="37693" spans="1:6" x14ac:dyDescent="0.2">
      <c r="A37693" t="s">
        <v>57960</v>
      </c>
      <c r="B37693" t="s">
        <v>57961</v>
      </c>
      <c r="C37693" t="s">
        <v>646</v>
      </c>
      <c r="D37693" t="s">
        <v>646</v>
      </c>
      <c r="F37693" s="2" t="str">
        <f>HYPERLINK("http://www.otzar.org/book.asp?611021","קונטרס נבטי מנחם")</f>
        <v>קונטרס נבטי מנחם</v>
      </c>
    </row>
    <row r="37694" spans="1:6" x14ac:dyDescent="0.2">
      <c r="A37694" t="s">
        <v>57962</v>
      </c>
      <c r="B37694" t="s">
        <v>11656</v>
      </c>
      <c r="C37694" t="s">
        <v>20</v>
      </c>
      <c r="D37694" t="s">
        <v>52</v>
      </c>
      <c r="E37694" t="s">
        <v>81</v>
      </c>
      <c r="F37694" s="2" t="str">
        <f>HYPERLINK("http://www.otzar.org/book.asp?106359","קונטרס נגד הציונות")</f>
        <v>קונטרס נגד הציונות</v>
      </c>
    </row>
    <row r="37695" spans="1:6" x14ac:dyDescent="0.2">
      <c r="A37695" t="s">
        <v>57963</v>
      </c>
      <c r="B37695" t="s">
        <v>40267</v>
      </c>
      <c r="C37695" t="s">
        <v>20</v>
      </c>
      <c r="D37695" t="s">
        <v>14</v>
      </c>
      <c r="E37695" t="s">
        <v>246</v>
      </c>
      <c r="F37695" s="2" t="str">
        <f>HYPERLINK("http://www.otzar.org/book.asp?173368","קונטרס נגילה ונשמחה בך")</f>
        <v>קונטרס נגילה ונשמחה בך</v>
      </c>
    </row>
    <row r="37696" spans="1:6" x14ac:dyDescent="0.2">
      <c r="A37696" t="s">
        <v>57964</v>
      </c>
      <c r="B37696" t="s">
        <v>8253</v>
      </c>
      <c r="C37696" t="s">
        <v>20</v>
      </c>
      <c r="D37696" t="s">
        <v>52</v>
      </c>
      <c r="E37696" t="s">
        <v>144</v>
      </c>
      <c r="F37696" s="2" t="str">
        <f>HYPERLINK("http://www.otzar.org/book.asp?176336","קונטרס נדונים ומראה מקומות")</f>
        <v>קונטרס נדונים ומראה מקומות</v>
      </c>
    </row>
    <row r="37697" spans="1:6" x14ac:dyDescent="0.2">
      <c r="A37697" t="s">
        <v>57965</v>
      </c>
      <c r="B37697" t="s">
        <v>9510</v>
      </c>
      <c r="C37697" t="s">
        <v>129</v>
      </c>
      <c r="D37697" t="s">
        <v>115</v>
      </c>
      <c r="F37697" s="2" t="str">
        <f>HYPERLINK("http://www.otzar.org/book.asp?617894","קונטרס נדרים ובבא מציעא")</f>
        <v>קונטרס נדרים ובבא מציעא</v>
      </c>
    </row>
    <row r="37698" spans="1:6" x14ac:dyDescent="0.2">
      <c r="A37698" t="s">
        <v>57966</v>
      </c>
      <c r="B37698" t="s">
        <v>57967</v>
      </c>
      <c r="C37698" t="s">
        <v>366</v>
      </c>
      <c r="F37698" s="2" t="str">
        <f>HYPERLINK("http://www.otzar.org/book.asp?610033","קונטרס נדרשת יפה")</f>
        <v>קונטרס נדרשת יפה</v>
      </c>
    </row>
    <row r="37699" spans="1:6" x14ac:dyDescent="0.2">
      <c r="A37699" t="s">
        <v>57968</v>
      </c>
      <c r="B37699" t="s">
        <v>57968</v>
      </c>
      <c r="C37699" t="s">
        <v>90</v>
      </c>
      <c r="D37699" t="s">
        <v>20</v>
      </c>
      <c r="E37699" t="s">
        <v>15</v>
      </c>
      <c r="F37699" s="2" t="str">
        <f>HYPERLINK("http://www.otzar.org/book.asp?196773","קונטרס נהרות איתן")</f>
        <v>קונטרס נהרות איתן</v>
      </c>
    </row>
    <row r="37700" spans="1:6" x14ac:dyDescent="0.2">
      <c r="A37700" t="s">
        <v>57969</v>
      </c>
      <c r="B37700" t="s">
        <v>57970</v>
      </c>
      <c r="C37700" t="s">
        <v>454</v>
      </c>
      <c r="D37700" t="s">
        <v>21</v>
      </c>
      <c r="E37700" t="s">
        <v>714</v>
      </c>
      <c r="F37700" s="2" t="str">
        <f>HYPERLINK("http://www.otzar.org/book.asp?190892","קונטרס נוהג כצאן יוסף")</f>
        <v>קונטרס נוהג כצאן יוסף</v>
      </c>
    </row>
    <row r="37701" spans="1:6" x14ac:dyDescent="0.2">
      <c r="A37701" t="s">
        <v>57969</v>
      </c>
      <c r="B37701" t="s">
        <v>57971</v>
      </c>
      <c r="D37701" t="s">
        <v>14</v>
      </c>
      <c r="E37701" t="s">
        <v>213</v>
      </c>
      <c r="F37701" s="2" t="str">
        <f>HYPERLINK("http://www.otzar.org/book.asp?627917","קונטרס נוהג כצאן יוסף")</f>
        <v>קונטרס נוהג כצאן יוסף</v>
      </c>
    </row>
    <row r="37702" spans="1:6" x14ac:dyDescent="0.2">
      <c r="A37702" t="s">
        <v>57972</v>
      </c>
      <c r="B37702" t="s">
        <v>51390</v>
      </c>
      <c r="C37702" t="s">
        <v>366</v>
      </c>
      <c r="D37702" t="s">
        <v>52</v>
      </c>
      <c r="E37702" t="s">
        <v>144</v>
      </c>
      <c r="F37702" s="2" t="str">
        <f>HYPERLINK("http://www.otzar.org/book.asp?606207","קונטרס נוי סוכה")</f>
        <v>קונטרס נוי סוכה</v>
      </c>
    </row>
    <row r="37703" spans="1:6" x14ac:dyDescent="0.2">
      <c r="A37703" t="s">
        <v>57973</v>
      </c>
      <c r="B37703" t="s">
        <v>24057</v>
      </c>
      <c r="C37703" t="s">
        <v>146</v>
      </c>
      <c r="D37703" t="s">
        <v>423</v>
      </c>
      <c r="E37703" t="s">
        <v>3878</v>
      </c>
      <c r="F37703" s="2" t="str">
        <f>HYPERLINK("http://www.otzar.org/book.asp?167335","קונטרס נועם הנשמות")</f>
        <v>קונטרס נועם הנשמות</v>
      </c>
    </row>
    <row r="37704" spans="1:6" x14ac:dyDescent="0.2">
      <c r="A37704" t="s">
        <v>57974</v>
      </c>
      <c r="B37704" t="s">
        <v>54700</v>
      </c>
      <c r="C37704" t="s">
        <v>244</v>
      </c>
      <c r="D37704" t="s">
        <v>90</v>
      </c>
      <c r="F37704" s="2" t="str">
        <f>HYPERLINK("http://www.otzar.org/book.asp?612217","קונטרס נועם השבת")</f>
        <v>קונטרס נועם השבת</v>
      </c>
    </row>
    <row r="37705" spans="1:6" x14ac:dyDescent="0.2">
      <c r="A37705" t="s">
        <v>57975</v>
      </c>
      <c r="B37705" t="s">
        <v>57976</v>
      </c>
      <c r="C37705" t="s">
        <v>454</v>
      </c>
      <c r="D37705" t="s">
        <v>3939</v>
      </c>
      <c r="F37705" s="2" t="str">
        <f>HYPERLINK("http://www.otzar.org/book.asp?611233","קונטרס נועם התורה - א")</f>
        <v>קונטרס נועם התורה - א</v>
      </c>
    </row>
    <row r="37706" spans="1:6" x14ac:dyDescent="0.2">
      <c r="A37706" t="s">
        <v>57977</v>
      </c>
      <c r="B37706" t="s">
        <v>51079</v>
      </c>
      <c r="C37706" t="s">
        <v>20</v>
      </c>
      <c r="D37706" t="s">
        <v>14</v>
      </c>
      <c r="F37706" s="2" t="str">
        <f>HYPERLINK("http://www.otzar.org/book.asp?610374","קונטרס נועם מאור השבת")</f>
        <v>קונטרס נועם מאור השבת</v>
      </c>
    </row>
    <row r="37707" spans="1:6" x14ac:dyDescent="0.2">
      <c r="A37707" t="s">
        <v>57978</v>
      </c>
      <c r="B37707" t="s">
        <v>3454</v>
      </c>
      <c r="C37707" t="s">
        <v>366</v>
      </c>
      <c r="D37707" t="s">
        <v>21</v>
      </c>
      <c r="E37707" t="s">
        <v>246</v>
      </c>
      <c r="F37707" s="2" t="str">
        <f>HYPERLINK("http://www.otzar.org/book.asp?605215","קונטרס נועם שבת")</f>
        <v>קונטרס נועם שבת</v>
      </c>
    </row>
    <row r="37708" spans="1:6" x14ac:dyDescent="0.2">
      <c r="A37708" t="s">
        <v>57979</v>
      </c>
      <c r="B37708" t="s">
        <v>57980</v>
      </c>
      <c r="C37708" t="s">
        <v>313</v>
      </c>
      <c r="D37708" t="s">
        <v>20</v>
      </c>
      <c r="E37708" t="s">
        <v>2840</v>
      </c>
      <c r="F37708" s="2" t="str">
        <f>HYPERLINK("http://www.otzar.org/book.asp?176751","קונטרס נופת לימודים")</f>
        <v>קונטרס נופת לימודים</v>
      </c>
    </row>
    <row r="37709" spans="1:6" x14ac:dyDescent="0.2">
      <c r="A37709" t="s">
        <v>57981</v>
      </c>
      <c r="B37709" t="s">
        <v>57982</v>
      </c>
      <c r="C37709" t="s">
        <v>244</v>
      </c>
      <c r="D37709" t="s">
        <v>14</v>
      </c>
      <c r="F37709" s="2" t="str">
        <f>HYPERLINK("http://www.otzar.org/book.asp?198562","קונטרס נזירת שמשון")</f>
        <v>קונטרס נזירת שמשון</v>
      </c>
    </row>
    <row r="37710" spans="1:6" x14ac:dyDescent="0.2">
      <c r="A37710" t="s">
        <v>57983</v>
      </c>
      <c r="B37710" t="s">
        <v>43634</v>
      </c>
      <c r="C37710" t="s">
        <v>767</v>
      </c>
      <c r="D37710" t="s">
        <v>52</v>
      </c>
      <c r="E37710" t="s">
        <v>144</v>
      </c>
      <c r="F37710" s="2" t="str">
        <f>HYPERLINK("http://www.otzar.org/book.asp?182323","קונטרס נזר אברהם - נדה")</f>
        <v>קונטרס נזר אברהם - נדה</v>
      </c>
    </row>
    <row r="37711" spans="1:6" x14ac:dyDescent="0.2">
      <c r="A37711" t="s">
        <v>57984</v>
      </c>
      <c r="B37711" t="s">
        <v>57985</v>
      </c>
      <c r="C37711" t="s">
        <v>20</v>
      </c>
      <c r="D37711" t="s">
        <v>52</v>
      </c>
      <c r="F37711" s="2" t="str">
        <f>HYPERLINK("http://www.otzar.org/book.asp?621129","קונטרס נזר הצבי")</f>
        <v>קונטרס נזר הצבי</v>
      </c>
    </row>
    <row r="37712" spans="1:6" x14ac:dyDescent="0.2">
      <c r="A37712" t="s">
        <v>57986</v>
      </c>
      <c r="B37712" t="s">
        <v>57987</v>
      </c>
      <c r="C37712" t="s">
        <v>103</v>
      </c>
      <c r="D37712" t="s">
        <v>21</v>
      </c>
      <c r="E37712" t="s">
        <v>104</v>
      </c>
      <c r="F37712" s="2" t="str">
        <f>HYPERLINK("http://www.otzar.org/book.asp?197773","קונטרס נזר משה")</f>
        <v>קונטרס נזר משה</v>
      </c>
    </row>
    <row r="37713" spans="1:6" x14ac:dyDescent="0.2">
      <c r="A37713" t="s">
        <v>57988</v>
      </c>
      <c r="B37713" t="s">
        <v>43848</v>
      </c>
      <c r="C37713" t="s">
        <v>419</v>
      </c>
      <c r="D37713" t="s">
        <v>14</v>
      </c>
      <c r="F37713" s="2" t="str">
        <f>HYPERLINK("http://www.otzar.org/book.asp?182983","קונטרס נחלת אשר")</f>
        <v>קונטרס נחלת אשר</v>
      </c>
    </row>
    <row r="37714" spans="1:6" x14ac:dyDescent="0.2">
      <c r="A37714" t="s">
        <v>57989</v>
      </c>
      <c r="B37714" t="s">
        <v>57990</v>
      </c>
      <c r="C37714" t="s">
        <v>23</v>
      </c>
      <c r="D37714" t="s">
        <v>52</v>
      </c>
      <c r="E37714" t="s">
        <v>674</v>
      </c>
      <c r="F37714" s="2" t="str">
        <f>HYPERLINK("http://www.otzar.org/book.asp?629430","קונטרס נחלת ה'")</f>
        <v>קונטרס נחלת ה'</v>
      </c>
    </row>
    <row r="37715" spans="1:6" x14ac:dyDescent="0.2">
      <c r="A37715" t="s">
        <v>57991</v>
      </c>
      <c r="B37715" t="s">
        <v>57992</v>
      </c>
      <c r="C37715" t="s">
        <v>23</v>
      </c>
      <c r="F37715" s="2" t="str">
        <f>HYPERLINK("http://www.otzar.org/book.asp?616829","קונטרס נחלת יעקב")</f>
        <v>קונטרס נחלת יעקב</v>
      </c>
    </row>
    <row r="37716" spans="1:6" x14ac:dyDescent="0.2">
      <c r="A37716" t="s">
        <v>57993</v>
      </c>
      <c r="B37716" t="s">
        <v>57994</v>
      </c>
      <c r="C37716" t="s">
        <v>111</v>
      </c>
      <c r="D37716" t="s">
        <v>152</v>
      </c>
      <c r="E37716" t="s">
        <v>144</v>
      </c>
      <c r="F37716" s="2" t="str">
        <f>HYPERLINK("http://www.otzar.org/book.asp?629816","קונטרס נחלת שי - ב""ק")</f>
        <v>קונטרס נחלת שי - ב"ק</v>
      </c>
    </row>
    <row r="37717" spans="1:6" x14ac:dyDescent="0.2">
      <c r="A37717" t="s">
        <v>57995</v>
      </c>
      <c r="B37717" t="s">
        <v>51640</v>
      </c>
      <c r="C37717" t="s">
        <v>244</v>
      </c>
      <c r="D37717" t="s">
        <v>90</v>
      </c>
      <c r="E37717" t="s">
        <v>15</v>
      </c>
      <c r="F37717" s="2" t="str">
        <f>HYPERLINK("http://www.otzar.org/book.asp?608424","קונטרס נחמת ציון")</f>
        <v>קונטרס נחמת ציון</v>
      </c>
    </row>
    <row r="37718" spans="1:6" x14ac:dyDescent="0.2">
      <c r="A37718" t="s">
        <v>57996</v>
      </c>
      <c r="B37718" t="s">
        <v>3768</v>
      </c>
      <c r="C37718" t="s">
        <v>124</v>
      </c>
      <c r="D37718" t="s">
        <v>412</v>
      </c>
      <c r="E37718" t="s">
        <v>714</v>
      </c>
      <c r="F37718" s="2" t="str">
        <f>HYPERLINK("http://www.otzar.org/book.asp?173416","קונטרס נחפשה דרכינו")</f>
        <v>קונטרס נחפשה דרכינו</v>
      </c>
    </row>
    <row r="37719" spans="1:6" x14ac:dyDescent="0.2">
      <c r="A37719" t="s">
        <v>57997</v>
      </c>
      <c r="B37719" t="s">
        <v>1750</v>
      </c>
      <c r="C37719" t="s">
        <v>23</v>
      </c>
      <c r="D37719" t="s">
        <v>14</v>
      </c>
      <c r="F37719" s="2" t="str">
        <f>HYPERLINK("http://www.otzar.org/book.asp?197965","קונטרס נטה קו")</f>
        <v>קונטרס נטה קו</v>
      </c>
    </row>
    <row r="37720" spans="1:6" x14ac:dyDescent="0.2">
      <c r="A37720" t="s">
        <v>57998</v>
      </c>
      <c r="B37720" t="s">
        <v>12327</v>
      </c>
      <c r="C37720" t="s">
        <v>13</v>
      </c>
      <c r="D37720" t="s">
        <v>14</v>
      </c>
      <c r="E37720" t="s">
        <v>130</v>
      </c>
      <c r="F37720" s="2" t="str">
        <f>HYPERLINK("http://www.otzar.org/book.asp?145282","קונטרס נטילת לולב בסוכה קודם התפילה")</f>
        <v>קונטרס נטילת לולב בסוכה קודם התפילה</v>
      </c>
    </row>
    <row r="37721" spans="1:6" x14ac:dyDescent="0.2">
      <c r="A37721" t="s">
        <v>57999</v>
      </c>
      <c r="B37721" t="s">
        <v>58000</v>
      </c>
      <c r="C37721" t="s">
        <v>23</v>
      </c>
      <c r="D37721" t="s">
        <v>52</v>
      </c>
      <c r="E37721" t="s">
        <v>144</v>
      </c>
      <c r="F37721" s="2" t="str">
        <f>HYPERLINK("http://www.otzar.org/book.asp?193191","קונטרס נטפי דמעה - הגוזל ומאכיל")</f>
        <v>קונטרס נטפי דמעה - הגוזל ומאכיל</v>
      </c>
    </row>
    <row r="37722" spans="1:6" x14ac:dyDescent="0.2">
      <c r="A37722" t="s">
        <v>58001</v>
      </c>
      <c r="B37722" t="s">
        <v>8743</v>
      </c>
      <c r="C37722" t="s">
        <v>37</v>
      </c>
      <c r="D37722" t="s">
        <v>412</v>
      </c>
      <c r="F37722" s="2" t="str">
        <f>HYPERLINK("http://www.otzar.org/book.asp?613589","קונטרס נס לשושנים")</f>
        <v>קונטרס נס לשושנים</v>
      </c>
    </row>
    <row r="37723" spans="1:6" x14ac:dyDescent="0.2">
      <c r="A37723" t="s">
        <v>58002</v>
      </c>
      <c r="B37723" t="s">
        <v>58003</v>
      </c>
      <c r="C37723" t="s">
        <v>244</v>
      </c>
      <c r="D37723" t="s">
        <v>21</v>
      </c>
      <c r="F37723" s="2" t="str">
        <f>HYPERLINK("http://www.otzar.org/book.asp?196240","קונטרס נספר תהלתך")</f>
        <v>קונטרס נספר תהלתך</v>
      </c>
    </row>
    <row r="37724" spans="1:6" x14ac:dyDescent="0.2">
      <c r="A37724" t="s">
        <v>58004</v>
      </c>
      <c r="B37724" t="s">
        <v>1750</v>
      </c>
      <c r="C37724" t="s">
        <v>68</v>
      </c>
      <c r="D37724" t="s">
        <v>90</v>
      </c>
      <c r="E37724" t="s">
        <v>202</v>
      </c>
      <c r="F37724" s="2" t="str">
        <f>HYPERLINK("http://www.otzar.org/book.asp?155898","קונטרס נעימות התורה")</f>
        <v>קונטרס נעימות התורה</v>
      </c>
    </row>
    <row r="37725" spans="1:6" x14ac:dyDescent="0.2">
      <c r="A37725" t="s">
        <v>58005</v>
      </c>
      <c r="B37725" t="s">
        <v>12027</v>
      </c>
      <c r="C37725" t="s">
        <v>20</v>
      </c>
      <c r="D37725" t="s">
        <v>52</v>
      </c>
      <c r="F37725" s="2" t="str">
        <f>HYPERLINK("http://www.otzar.org/book.asp?608034","קונטרס נעם שבת")</f>
        <v>קונטרס נעם שבת</v>
      </c>
    </row>
    <row r="37726" spans="1:6" x14ac:dyDescent="0.2">
      <c r="A37726" t="s">
        <v>58006</v>
      </c>
      <c r="B37726" t="s">
        <v>58007</v>
      </c>
      <c r="C37726" t="s">
        <v>20</v>
      </c>
      <c r="D37726" t="s">
        <v>21</v>
      </c>
      <c r="E37726" t="s">
        <v>119</v>
      </c>
      <c r="F37726" s="2" t="str">
        <f>HYPERLINK("http://www.otzar.org/book.asp?197771","קונטרס נפלאות יצחק")</f>
        <v>קונטרס נפלאות יצחק</v>
      </c>
    </row>
    <row r="37727" spans="1:6" x14ac:dyDescent="0.2">
      <c r="A37727" t="s">
        <v>58008</v>
      </c>
      <c r="B37727" t="s">
        <v>58009</v>
      </c>
      <c r="C37727" t="s">
        <v>523</v>
      </c>
      <c r="D37727" t="s">
        <v>486</v>
      </c>
      <c r="F37727" s="2" t="str">
        <f>HYPERLINK("http://www.otzar.org/book.asp?612537","קונטרס נפש אברהם")</f>
        <v>קונטרס נפש אברהם</v>
      </c>
    </row>
    <row r="37728" spans="1:6" x14ac:dyDescent="0.2">
      <c r="A37728" t="s">
        <v>58010</v>
      </c>
      <c r="B37728" t="s">
        <v>52698</v>
      </c>
      <c r="C37728" t="s">
        <v>23</v>
      </c>
      <c r="D37728" t="s">
        <v>52</v>
      </c>
      <c r="E37728" t="s">
        <v>246</v>
      </c>
      <c r="F37728" s="2" t="str">
        <f>HYPERLINK("http://www.otzar.org/book.asp?190960","קונטרס נפש מלכה")</f>
        <v>קונטרס נפש מלכה</v>
      </c>
    </row>
    <row r="37729" spans="1:6" x14ac:dyDescent="0.2">
      <c r="A37729" t="s">
        <v>58011</v>
      </c>
      <c r="B37729" t="s">
        <v>4317</v>
      </c>
      <c r="C37729" t="s">
        <v>785</v>
      </c>
      <c r="D37729" t="s">
        <v>2362</v>
      </c>
      <c r="E37729" t="s">
        <v>144</v>
      </c>
      <c r="F37729" s="2" t="str">
        <f>HYPERLINK("http://www.otzar.org/book.asp?610668","קונטרס נפש עמל")</f>
        <v>קונטרס נפש עמל</v>
      </c>
    </row>
    <row r="37730" spans="1:6" x14ac:dyDescent="0.2">
      <c r="A37730" t="s">
        <v>58012</v>
      </c>
      <c r="B37730" t="s">
        <v>285</v>
      </c>
      <c r="C37730" t="s">
        <v>286</v>
      </c>
      <c r="D37730" t="s">
        <v>2009</v>
      </c>
      <c r="E37730" t="s">
        <v>104</v>
      </c>
      <c r="F37730" s="2" t="str">
        <f>HYPERLINK("http://www.otzar.org/book.asp?149408","קונטרס נפתלי שבע רצון")</f>
        <v>קונטרס נפתלי שבע רצון</v>
      </c>
    </row>
    <row r="37731" spans="1:6" x14ac:dyDescent="0.2">
      <c r="A37731" t="s">
        <v>58013</v>
      </c>
      <c r="B37731" t="s">
        <v>58014</v>
      </c>
      <c r="D37731" t="s">
        <v>52</v>
      </c>
      <c r="F37731" s="2" t="str">
        <f>HYPERLINK("http://www.otzar.org/book.asp?620768","קונטרס נצוצות מאש התורה")</f>
        <v>קונטרס נצוצות מאש התורה</v>
      </c>
    </row>
    <row r="37732" spans="1:6" x14ac:dyDescent="0.2">
      <c r="A37732" t="s">
        <v>58015</v>
      </c>
      <c r="B37732" t="s">
        <v>58016</v>
      </c>
      <c r="C37732" t="s">
        <v>143</v>
      </c>
      <c r="D37732" t="s">
        <v>646</v>
      </c>
      <c r="E37732" t="s">
        <v>104</v>
      </c>
      <c r="F37732" s="2" t="str">
        <f>HYPERLINK("http://www.otzar.org/book.asp?181948","קונטרס נצח ישראל")</f>
        <v>קונטרס נצח ישראל</v>
      </c>
    </row>
    <row r="37733" spans="1:6" x14ac:dyDescent="0.2">
      <c r="A37733" t="s">
        <v>58017</v>
      </c>
      <c r="B37733" t="s">
        <v>58018</v>
      </c>
      <c r="C37733" t="s">
        <v>624</v>
      </c>
      <c r="D37733" t="s">
        <v>21</v>
      </c>
      <c r="E37733" t="s">
        <v>714</v>
      </c>
      <c r="F37733" s="2" t="str">
        <f>HYPERLINK("http://www.otzar.org/book.asp?197188","קונטרס נקודות מבט")</f>
        <v>קונטרס נקודות מבט</v>
      </c>
    </row>
    <row r="37734" spans="1:6" x14ac:dyDescent="0.2">
      <c r="A37734" t="s">
        <v>58019</v>
      </c>
      <c r="B37734" t="s">
        <v>8880</v>
      </c>
      <c r="C37734" t="s">
        <v>129</v>
      </c>
      <c r="D37734" t="s">
        <v>21</v>
      </c>
      <c r="F37734" s="2" t="str">
        <f>HYPERLINK("http://www.otzar.org/book.asp?610572","קונטרס נקודות סיכום למפרשים - 2 כר'")</f>
        <v>קונטרס נקודות סיכום למפרשים - 2 כר'</v>
      </c>
    </row>
    <row r="37735" spans="1:6" x14ac:dyDescent="0.2">
      <c r="A37735" t="s">
        <v>58020</v>
      </c>
      <c r="B37735" t="s">
        <v>58021</v>
      </c>
      <c r="C37735" t="s">
        <v>244</v>
      </c>
      <c r="D37735" t="s">
        <v>20</v>
      </c>
      <c r="F37735" s="2" t="str">
        <f>HYPERLINK("http://www.otzar.org/book.asp?197652","קונטרס נר אליעזר")</f>
        <v>קונטרס נר אליעזר</v>
      </c>
    </row>
    <row r="37736" spans="1:6" x14ac:dyDescent="0.2">
      <c r="A37736" t="s">
        <v>58022</v>
      </c>
      <c r="B37736" t="s">
        <v>9179</v>
      </c>
      <c r="C37736" t="s">
        <v>20</v>
      </c>
      <c r="D37736" t="s">
        <v>52</v>
      </c>
      <c r="F37736" s="2" t="str">
        <f>HYPERLINK("http://www.otzar.org/book.asp?623214","קונטרס נר ישראל")</f>
        <v>קונטרס נר ישראל</v>
      </c>
    </row>
    <row r="37737" spans="1:6" x14ac:dyDescent="0.2">
      <c r="A37737" t="s">
        <v>58023</v>
      </c>
      <c r="B37737" t="s">
        <v>23787</v>
      </c>
      <c r="C37737" t="s">
        <v>411</v>
      </c>
      <c r="D37737" t="s">
        <v>90</v>
      </c>
      <c r="E37737" t="s">
        <v>246</v>
      </c>
      <c r="F37737" s="2" t="str">
        <f>HYPERLINK("http://www.otzar.org/book.asp?190770","קונטרס נר לשרה")</f>
        <v>קונטרס נר לשרה</v>
      </c>
    </row>
    <row r="37738" spans="1:6" x14ac:dyDescent="0.2">
      <c r="A37738" t="s">
        <v>58024</v>
      </c>
      <c r="B37738" t="s">
        <v>7012</v>
      </c>
      <c r="C37738" t="s">
        <v>454</v>
      </c>
      <c r="D37738" t="s">
        <v>1356</v>
      </c>
      <c r="E37738" t="s">
        <v>130</v>
      </c>
      <c r="F37738" s="2" t="str">
        <f>HYPERLINK("http://www.otzar.org/book.asp?196173","קונטרס נר מצוה")</f>
        <v>קונטרס נר מצוה</v>
      </c>
    </row>
    <row r="37739" spans="1:6" x14ac:dyDescent="0.2">
      <c r="A37739" t="s">
        <v>58025</v>
      </c>
      <c r="B37739" t="s">
        <v>58026</v>
      </c>
      <c r="C37739" t="s">
        <v>103</v>
      </c>
      <c r="D37739" t="s">
        <v>21</v>
      </c>
      <c r="E37739" t="s">
        <v>104</v>
      </c>
      <c r="F37739" s="2" t="str">
        <f>HYPERLINK("http://www.otzar.org/book.asp?606875","קונטרס נר מרדכי")</f>
        <v>קונטרס נר מרדכי</v>
      </c>
    </row>
    <row r="37740" spans="1:6" x14ac:dyDescent="0.2">
      <c r="A37740" t="s">
        <v>58027</v>
      </c>
      <c r="B37740" t="s">
        <v>58028</v>
      </c>
      <c r="C37740" t="s">
        <v>133</v>
      </c>
      <c r="D37740" t="s">
        <v>52</v>
      </c>
      <c r="E37740" t="s">
        <v>803</v>
      </c>
      <c r="F37740" s="2" t="str">
        <f>HYPERLINK("http://www.otzar.org/book.asp?615525","קונטרס נר שבת")</f>
        <v>קונטרס נר שבת</v>
      </c>
    </row>
    <row r="37741" spans="1:6" x14ac:dyDescent="0.2">
      <c r="A37741" t="s">
        <v>58029</v>
      </c>
      <c r="B37741" t="s">
        <v>552</v>
      </c>
      <c r="C37741" t="s">
        <v>313</v>
      </c>
      <c r="D37741" t="s">
        <v>52</v>
      </c>
      <c r="E37741" t="s">
        <v>202</v>
      </c>
      <c r="F37741" s="2" t="str">
        <f>HYPERLINK("http://www.otzar.org/book.asp?143005","קונטרס נר שלום")</f>
        <v>קונטרס נר שלום</v>
      </c>
    </row>
    <row r="37742" spans="1:6" x14ac:dyDescent="0.2">
      <c r="A37742" t="s">
        <v>58030</v>
      </c>
      <c r="B37742" t="s">
        <v>9611</v>
      </c>
      <c r="C37742" t="s">
        <v>775</v>
      </c>
      <c r="D37742" t="s">
        <v>14</v>
      </c>
      <c r="F37742" s="2" t="str">
        <f>HYPERLINK("http://www.otzar.org/book.asp?621761","קונטרס נרות חיים")</f>
        <v>קונטרס נרות חיים</v>
      </c>
    </row>
    <row r="37743" spans="1:6" x14ac:dyDescent="0.2">
      <c r="A37743" t="s">
        <v>58031</v>
      </c>
      <c r="B37743" t="s">
        <v>44909</v>
      </c>
      <c r="C37743" t="s">
        <v>411</v>
      </c>
      <c r="D37743" t="s">
        <v>147</v>
      </c>
      <c r="E37743" t="s">
        <v>219</v>
      </c>
      <c r="F37743" s="2" t="str">
        <f>HYPERLINK("http://www.otzar.org/book.asp?175545","קונטרס נשמע קולם - 2 כר'")</f>
        <v>קונטרס נשמע קולם - 2 כר'</v>
      </c>
    </row>
    <row r="37744" spans="1:6" x14ac:dyDescent="0.2">
      <c r="A37744" t="s">
        <v>58032</v>
      </c>
      <c r="B37744" t="s">
        <v>18792</v>
      </c>
      <c r="C37744" t="s">
        <v>20</v>
      </c>
      <c r="D37744" t="s">
        <v>52</v>
      </c>
      <c r="E37744" t="s">
        <v>213</v>
      </c>
      <c r="F37744" s="2" t="str">
        <f>HYPERLINK("http://www.otzar.org/book.asp?614894","קונטרס נשמת היהדות ועצת בלעם")</f>
        <v>קונטרס נשמת היהדות ועצת בלעם</v>
      </c>
    </row>
    <row r="37745" spans="1:6" x14ac:dyDescent="0.2">
      <c r="A37745" t="s">
        <v>58033</v>
      </c>
      <c r="B37745" t="s">
        <v>58034</v>
      </c>
      <c r="C37745" t="s">
        <v>366</v>
      </c>
      <c r="D37745" t="s">
        <v>1356</v>
      </c>
      <c r="F37745" s="2" t="str">
        <f>HYPERLINK("http://www.otzar.org/book.asp?616872","קונטרס נשמת חיים")</f>
        <v>קונטרס נשמת חיים</v>
      </c>
    </row>
    <row r="37746" spans="1:6" x14ac:dyDescent="0.2">
      <c r="A37746" t="s">
        <v>58035</v>
      </c>
      <c r="B37746" t="s">
        <v>206</v>
      </c>
      <c r="C37746" t="s">
        <v>20</v>
      </c>
      <c r="D37746" t="s">
        <v>1632</v>
      </c>
      <c r="F37746" s="2" t="str">
        <f>HYPERLINK("http://www.otzar.org/book.asp?605927","קונטרס נשמת שרה")</f>
        <v>קונטרס נשמת שרה</v>
      </c>
    </row>
    <row r="37747" spans="1:6" x14ac:dyDescent="0.2">
      <c r="A37747" t="s">
        <v>58036</v>
      </c>
      <c r="B37747" t="s">
        <v>58037</v>
      </c>
      <c r="C37747" t="s">
        <v>411</v>
      </c>
      <c r="D37747" t="s">
        <v>52</v>
      </c>
      <c r="F37747" s="2" t="str">
        <f>HYPERLINK("http://www.otzar.org/book.asp?616650","קונטרס נתיב ים - 3 כר'")</f>
        <v>קונטרס נתיב ים - 3 כר'</v>
      </c>
    </row>
    <row r="37748" spans="1:6" x14ac:dyDescent="0.2">
      <c r="A37748" t="s">
        <v>58038</v>
      </c>
      <c r="B37748" t="s">
        <v>58039</v>
      </c>
      <c r="C37748" t="s">
        <v>111</v>
      </c>
      <c r="D37748" t="s">
        <v>52</v>
      </c>
      <c r="F37748" s="2" t="str">
        <f>HYPERLINK("http://www.otzar.org/book.asp?632014","קונטרס נתיבות דעת - קידושין")</f>
        <v>קונטרס נתיבות דעת - קידושין</v>
      </c>
    </row>
    <row r="37749" spans="1:6" x14ac:dyDescent="0.2">
      <c r="A37749" t="s">
        <v>58040</v>
      </c>
      <c r="B37749" t="s">
        <v>1748</v>
      </c>
      <c r="C37749" t="s">
        <v>366</v>
      </c>
      <c r="D37749" t="s">
        <v>52</v>
      </c>
      <c r="E37749" t="s">
        <v>144</v>
      </c>
      <c r="F37749" s="2" t="str">
        <f>HYPERLINK("http://www.otzar.org/book.asp?607597","קונטרס נתיבי דעת - נדה")</f>
        <v>קונטרס נתיבי דעת - נדה</v>
      </c>
    </row>
    <row r="37750" spans="1:6" x14ac:dyDescent="0.2">
      <c r="A37750" t="s">
        <v>58041</v>
      </c>
      <c r="B37750" t="s">
        <v>1748</v>
      </c>
      <c r="C37750" t="s">
        <v>133</v>
      </c>
      <c r="D37750" t="s">
        <v>52</v>
      </c>
      <c r="E37750" t="s">
        <v>15</v>
      </c>
      <c r="F37750" s="2" t="str">
        <f>HYPERLINK("http://www.otzar.org/book.asp?180574","קונטרס נתיבי הלכה")</f>
        <v>קונטרס נתיבי הלכה</v>
      </c>
    </row>
    <row r="37751" spans="1:6" x14ac:dyDescent="0.2">
      <c r="A37751" t="s">
        <v>58042</v>
      </c>
      <c r="B37751" t="s">
        <v>1748</v>
      </c>
      <c r="C37751" t="s">
        <v>133</v>
      </c>
      <c r="D37751" t="s">
        <v>52</v>
      </c>
      <c r="E37751" t="s">
        <v>15</v>
      </c>
      <c r="F37751" s="2" t="str">
        <f>HYPERLINK("http://www.otzar.org/book.asp?180575","קונטרס נתיבי הקטן")</f>
        <v>קונטרס נתיבי הקטן</v>
      </c>
    </row>
    <row r="37752" spans="1:6" x14ac:dyDescent="0.2">
      <c r="A37752" t="s">
        <v>58043</v>
      </c>
      <c r="B37752" t="s">
        <v>1748</v>
      </c>
      <c r="C37752" t="s">
        <v>37</v>
      </c>
      <c r="D37752" t="s">
        <v>52</v>
      </c>
      <c r="E37752" t="s">
        <v>144</v>
      </c>
      <c r="F37752" s="2" t="str">
        <f>HYPERLINK("http://www.otzar.org/book.asp?180576","קונטרס נתיבי השמועה - שנים אוחזין")</f>
        <v>קונטרס נתיבי השמועה - שנים אוחזין</v>
      </c>
    </row>
    <row r="37753" spans="1:6" x14ac:dyDescent="0.2">
      <c r="A37753" t="s">
        <v>58044</v>
      </c>
      <c r="B37753" t="s">
        <v>1748</v>
      </c>
      <c r="C37753" t="s">
        <v>68</v>
      </c>
      <c r="D37753" t="s">
        <v>52</v>
      </c>
      <c r="E37753" t="s">
        <v>15</v>
      </c>
      <c r="F37753" s="2" t="str">
        <f>HYPERLINK("http://www.otzar.org/book.asp?160564","קונטרס נתיבי מועד")</f>
        <v>קונטרס נתיבי מועד</v>
      </c>
    </row>
    <row r="37754" spans="1:6" x14ac:dyDescent="0.2">
      <c r="A37754" t="s">
        <v>58045</v>
      </c>
      <c r="B37754" t="s">
        <v>1748</v>
      </c>
      <c r="C37754" t="s">
        <v>37</v>
      </c>
      <c r="D37754" t="s">
        <v>52</v>
      </c>
      <c r="E37754" t="s">
        <v>144</v>
      </c>
      <c r="F37754" s="2" t="str">
        <f>HYPERLINK("http://www.otzar.org/book.asp?607600","קונטרס נתיבי מועד, שיעורי שבט הלוי - ביצה")</f>
        <v>קונטרס נתיבי מועד, שיעורי שבט הלוי - ביצה</v>
      </c>
    </row>
    <row r="37755" spans="1:6" x14ac:dyDescent="0.2">
      <c r="A37755" t="s">
        <v>58046</v>
      </c>
      <c r="B37755" t="s">
        <v>58047</v>
      </c>
      <c r="C37755" t="s">
        <v>37</v>
      </c>
      <c r="F37755" s="2" t="str">
        <f>HYPERLINK("http://www.otzar.org/book.asp?602687","קונטרס נתינה ברורה")</f>
        <v>קונטרס נתינה ברורה</v>
      </c>
    </row>
    <row r="37756" spans="1:6" x14ac:dyDescent="0.2">
      <c r="A37756" t="s">
        <v>58048</v>
      </c>
      <c r="B37756" t="s">
        <v>10997</v>
      </c>
      <c r="C37756" t="s">
        <v>422</v>
      </c>
      <c r="D37756" t="s">
        <v>52</v>
      </c>
      <c r="E37756" t="s">
        <v>2091</v>
      </c>
      <c r="F37756" s="2" t="str">
        <f>HYPERLINK("http://www.otzar.org/book.asp?158792","קונטרס נתן דוד")</f>
        <v>קונטרס נתן דוד</v>
      </c>
    </row>
    <row r="37757" spans="1:6" x14ac:dyDescent="0.2">
      <c r="A37757" t="s">
        <v>58049</v>
      </c>
      <c r="B37757" t="s">
        <v>56295</v>
      </c>
      <c r="C37757" t="s">
        <v>23</v>
      </c>
      <c r="D37757" t="s">
        <v>21</v>
      </c>
      <c r="F37757" s="2" t="str">
        <f>HYPERLINK("http://www.otzar.org/book.asp?191653","קונטרס נתן תורה")</f>
        <v>קונטרס נתן תורה</v>
      </c>
    </row>
    <row r="37758" spans="1:6" x14ac:dyDescent="0.2">
      <c r="A37758" t="s">
        <v>58050</v>
      </c>
      <c r="B37758" t="s">
        <v>24958</v>
      </c>
      <c r="C37758" t="s">
        <v>366</v>
      </c>
      <c r="D37758" t="s">
        <v>14</v>
      </c>
      <c r="E37758" t="s">
        <v>104</v>
      </c>
      <c r="F37758" s="2" t="str">
        <f>HYPERLINK("http://www.otzar.org/book.asp?624728","קונטרס סגולות אמרתך")</f>
        <v>קונטרס סגולות אמרתך</v>
      </c>
    </row>
    <row r="37759" spans="1:6" x14ac:dyDescent="0.2">
      <c r="A37759" t="s">
        <v>58051</v>
      </c>
      <c r="B37759" t="s">
        <v>3614</v>
      </c>
      <c r="C37759" t="s">
        <v>1388</v>
      </c>
      <c r="D37759" t="s">
        <v>52</v>
      </c>
      <c r="E37759" t="s">
        <v>703</v>
      </c>
      <c r="F37759" s="2" t="str">
        <f>HYPERLINK("http://www.otzar.org/book.asp?154668","קונטרס סדר דרך הלימוד")</f>
        <v>קונטרס סדר דרך הלימוד</v>
      </c>
    </row>
    <row r="37760" spans="1:6" x14ac:dyDescent="0.2">
      <c r="A37760" t="s">
        <v>58052</v>
      </c>
      <c r="B37760" t="s">
        <v>58053</v>
      </c>
      <c r="C37760" t="s">
        <v>133</v>
      </c>
      <c r="D37760" t="s">
        <v>14</v>
      </c>
      <c r="E37760" t="s">
        <v>15</v>
      </c>
      <c r="F37760" s="2" t="str">
        <f>HYPERLINK("http://www.otzar.org/book.asp?179433","קונטרס סדר הגט")</f>
        <v>קונטרס סדר הגט</v>
      </c>
    </row>
    <row r="37761" spans="1:6" x14ac:dyDescent="0.2">
      <c r="A37761" t="s">
        <v>58054</v>
      </c>
      <c r="B37761" t="s">
        <v>206</v>
      </c>
      <c r="C37761" t="s">
        <v>114</v>
      </c>
      <c r="D37761" t="s">
        <v>52</v>
      </c>
      <c r="E37761" t="s">
        <v>246</v>
      </c>
      <c r="F37761" s="2" t="str">
        <f>HYPERLINK("http://www.otzar.org/book.asp?168650","קונטרס סדר הגר""א")</f>
        <v>קונטרס סדר הגר"א</v>
      </c>
    </row>
    <row r="37762" spans="1:6" x14ac:dyDescent="0.2">
      <c r="A37762" t="s">
        <v>58055</v>
      </c>
      <c r="B37762" t="s">
        <v>3253</v>
      </c>
      <c r="C37762" t="s">
        <v>111</v>
      </c>
      <c r="D37762" t="s">
        <v>52</v>
      </c>
      <c r="E37762" t="s">
        <v>140</v>
      </c>
      <c r="F37762" s="2" t="str">
        <f>HYPERLINK("http://www.otzar.org/book.asp?631139","קונטרס סדר היום")</f>
        <v>קונטרס סדר היום</v>
      </c>
    </row>
    <row r="37763" spans="1:6" x14ac:dyDescent="0.2">
      <c r="A37763" t="s">
        <v>58056</v>
      </c>
      <c r="B37763" t="s">
        <v>33664</v>
      </c>
      <c r="C37763" t="s">
        <v>438</v>
      </c>
      <c r="D37763" t="s">
        <v>80</v>
      </c>
      <c r="E37763" t="s">
        <v>15</v>
      </c>
      <c r="F37763" s="2" t="str">
        <f>HYPERLINK("http://www.otzar.org/book.asp?623501","קונטרס סדר הפרשת תרו""מ - סדר השביעית - תשכ""ב")</f>
        <v>קונטרס סדר הפרשת תרו"מ - סדר השביעית - תשכ"ב</v>
      </c>
    </row>
    <row r="37764" spans="1:6" x14ac:dyDescent="0.2">
      <c r="A37764" t="s">
        <v>58057</v>
      </c>
      <c r="B37764" t="s">
        <v>8415</v>
      </c>
      <c r="C37764" t="s">
        <v>13</v>
      </c>
      <c r="D37764" t="s">
        <v>14</v>
      </c>
      <c r="E37764" t="s">
        <v>15</v>
      </c>
      <c r="F37764" s="2" t="str">
        <f>HYPERLINK("http://www.otzar.org/book.asp?62218","קונטרס סדר התקיעות - 3 כר'")</f>
        <v>קונטרס סדר התקיעות - 3 כר'</v>
      </c>
    </row>
    <row r="37765" spans="1:6" x14ac:dyDescent="0.2">
      <c r="A37765" t="s">
        <v>58058</v>
      </c>
      <c r="B37765" t="s">
        <v>19441</v>
      </c>
      <c r="C37765" t="s">
        <v>411</v>
      </c>
      <c r="D37765" t="s">
        <v>14</v>
      </c>
      <c r="E37765" t="s">
        <v>130</v>
      </c>
      <c r="F37765" s="2" t="str">
        <f>HYPERLINK("http://www.otzar.org/book.asp?192859","קונטרס סדר תקיעתינו")</f>
        <v>קונטרס סדר תקיעתינו</v>
      </c>
    </row>
    <row r="37766" spans="1:6" x14ac:dyDescent="0.2">
      <c r="A37766" t="s">
        <v>58059</v>
      </c>
      <c r="B37766" t="s">
        <v>58060</v>
      </c>
      <c r="C37766" t="s">
        <v>366</v>
      </c>
      <c r="D37766" t="s">
        <v>90</v>
      </c>
      <c r="E37766" t="s">
        <v>158</v>
      </c>
      <c r="F37766" s="2" t="str">
        <f>HYPERLINK("http://www.otzar.org/book.asp?603473","קונטרס סדרי עזרא")</f>
        <v>קונטרס סדרי עזרא</v>
      </c>
    </row>
    <row r="37767" spans="1:6" x14ac:dyDescent="0.2">
      <c r="A37767" t="s">
        <v>58061</v>
      </c>
      <c r="B37767" t="s">
        <v>206</v>
      </c>
      <c r="C37767" t="s">
        <v>411</v>
      </c>
      <c r="D37767" t="s">
        <v>14</v>
      </c>
      <c r="E37767" t="s">
        <v>241</v>
      </c>
      <c r="F37767" s="2" t="str">
        <f>HYPERLINK("http://www.otzar.org/book.asp?167810","קונטרס סובלנות וויתור")</f>
        <v>קונטרס סובלנות וויתור</v>
      </c>
    </row>
    <row r="37768" spans="1:6" x14ac:dyDescent="0.2">
      <c r="A37768" t="s">
        <v>58062</v>
      </c>
      <c r="B37768" t="s">
        <v>5651</v>
      </c>
      <c r="C37768" t="s">
        <v>111</v>
      </c>
      <c r="D37768" t="s">
        <v>14</v>
      </c>
      <c r="E37768" t="s">
        <v>144</v>
      </c>
      <c r="F37768" s="2" t="str">
        <f>HYPERLINK("http://www.otzar.org/book.asp?626770","קונטרס סוגיא דשתי הלחם")</f>
        <v>קונטרס סוגיא דשתי הלחם</v>
      </c>
    </row>
    <row r="37769" spans="1:6" x14ac:dyDescent="0.2">
      <c r="A37769" t="s">
        <v>58063</v>
      </c>
      <c r="B37769" t="s">
        <v>58064</v>
      </c>
      <c r="C37769" t="s">
        <v>68</v>
      </c>
      <c r="D37769" t="s">
        <v>52</v>
      </c>
      <c r="E37769" t="s">
        <v>144</v>
      </c>
      <c r="F37769" s="2" t="str">
        <f>HYPERLINK("http://www.otzar.org/book.asp?180819","קונטרס סוגית יחוד כלים")</f>
        <v>קונטרס סוגית יחוד כלים</v>
      </c>
    </row>
    <row r="37770" spans="1:6" x14ac:dyDescent="0.2">
      <c r="A37770" t="s">
        <v>58065</v>
      </c>
      <c r="B37770" t="s">
        <v>107</v>
      </c>
      <c r="C37770" t="s">
        <v>146</v>
      </c>
      <c r="D37770" t="s">
        <v>14</v>
      </c>
      <c r="E37770" t="s">
        <v>213</v>
      </c>
      <c r="F37770" s="2" t="str">
        <f>HYPERLINK("http://www.otzar.org/book.asp?84493","קונטרס סוד החיים המאושרים")</f>
        <v>קונטרס סוד החיים המאושרים</v>
      </c>
    </row>
    <row r="37771" spans="1:6" x14ac:dyDescent="0.2">
      <c r="A37771" t="s">
        <v>58066</v>
      </c>
      <c r="B37771" t="s">
        <v>58067</v>
      </c>
      <c r="C37771" t="s">
        <v>13</v>
      </c>
      <c r="D37771" t="s">
        <v>14</v>
      </c>
      <c r="E37771" t="s">
        <v>399</v>
      </c>
      <c r="F37771" s="2" t="str">
        <f>HYPERLINK("http://www.otzar.org/book.asp?169071","קונטרס סוד הנסירה עם פירוש ביאורי אור")</f>
        <v>קונטרס סוד הנסירה עם פירוש ביאורי אור</v>
      </c>
    </row>
    <row r="37772" spans="1:6" x14ac:dyDescent="0.2">
      <c r="A37772" t="s">
        <v>58068</v>
      </c>
      <c r="B37772" t="s">
        <v>206</v>
      </c>
      <c r="C37772" t="s">
        <v>129</v>
      </c>
      <c r="D37772" t="s">
        <v>52</v>
      </c>
      <c r="E37772" t="s">
        <v>246</v>
      </c>
      <c r="F37772" s="2" t="str">
        <f>HYPERLINK("http://www.otzar.org/book.asp?168652","קונטרס סוכת אליהו")</f>
        <v>קונטרס סוכת אליהו</v>
      </c>
    </row>
    <row r="37773" spans="1:6" x14ac:dyDescent="0.2">
      <c r="A37773" t="s">
        <v>58069</v>
      </c>
      <c r="B37773" t="s">
        <v>58070</v>
      </c>
      <c r="C37773" t="s">
        <v>87</v>
      </c>
      <c r="D37773" t="s">
        <v>52</v>
      </c>
      <c r="E37773" t="s">
        <v>130</v>
      </c>
      <c r="F37773" s="2" t="str">
        <f>HYPERLINK("http://www.otzar.org/book.asp?160935","קונטרס סוכת דוד")</f>
        <v>קונטרס סוכת דוד</v>
      </c>
    </row>
    <row r="37774" spans="1:6" x14ac:dyDescent="0.2">
      <c r="A37774" t="s">
        <v>58071</v>
      </c>
      <c r="B37774" t="s">
        <v>9655</v>
      </c>
      <c r="C37774" t="s">
        <v>151</v>
      </c>
      <c r="D37774" t="s">
        <v>52</v>
      </c>
      <c r="E37774" t="s">
        <v>130</v>
      </c>
      <c r="F37774" s="2" t="str">
        <f>HYPERLINK("http://www.otzar.org/book.asp?622726","קונטרס סוכת חיים")</f>
        <v>קונטרס סוכת חיים</v>
      </c>
    </row>
    <row r="37775" spans="1:6" x14ac:dyDescent="0.2">
      <c r="A37775" t="s">
        <v>58072</v>
      </c>
      <c r="B37775" t="s">
        <v>58073</v>
      </c>
      <c r="C37775" t="s">
        <v>133</v>
      </c>
      <c r="D37775" t="s">
        <v>90</v>
      </c>
      <c r="E37775" t="s">
        <v>803</v>
      </c>
      <c r="F37775" s="2" t="str">
        <f>HYPERLINK("http://www.otzar.org/book.asp?603868","קונטרס סוכת רחמים")</f>
        <v>קונטרס סוכת רחמים</v>
      </c>
    </row>
    <row r="37776" spans="1:6" x14ac:dyDescent="0.2">
      <c r="A37776" t="s">
        <v>58074</v>
      </c>
      <c r="B37776" t="s">
        <v>11831</v>
      </c>
      <c r="C37776" t="s">
        <v>124</v>
      </c>
      <c r="D37776" t="s">
        <v>52</v>
      </c>
      <c r="E37776" t="s">
        <v>714</v>
      </c>
      <c r="F37776" s="2" t="str">
        <f>HYPERLINK("http://www.otzar.org/book.asp?162398","קונטרס סוכת שלום")</f>
        <v>קונטרס סוכת שלום</v>
      </c>
    </row>
    <row r="37777" spans="1:6" x14ac:dyDescent="0.2">
      <c r="A37777" t="s">
        <v>58075</v>
      </c>
      <c r="B37777" t="s">
        <v>58076</v>
      </c>
      <c r="C37777" t="s">
        <v>411</v>
      </c>
      <c r="D37777" t="s">
        <v>90</v>
      </c>
      <c r="E37777" t="s">
        <v>144</v>
      </c>
      <c r="F37777" s="2" t="str">
        <f>HYPERLINK("http://www.otzar.org/book.asp?603033","קונטרס סוכת שלומך")</f>
        <v>קונטרס סוכת שלומך</v>
      </c>
    </row>
    <row r="37778" spans="1:6" x14ac:dyDescent="0.2">
      <c r="A37778" t="s">
        <v>58077</v>
      </c>
      <c r="B37778" t="s">
        <v>58078</v>
      </c>
      <c r="D37778" t="s">
        <v>412</v>
      </c>
      <c r="E37778" t="s">
        <v>3291</v>
      </c>
      <c r="F37778" s="2" t="str">
        <f>HYPERLINK("http://www.otzar.org/book.asp?622518","קונטרס סופר וספר")</f>
        <v>קונטרס סופר וספר</v>
      </c>
    </row>
    <row r="37779" spans="1:6" x14ac:dyDescent="0.2">
      <c r="A37779" t="s">
        <v>58079</v>
      </c>
      <c r="B37779" t="s">
        <v>58064</v>
      </c>
      <c r="C37779" t="s">
        <v>13</v>
      </c>
      <c r="D37779" t="s">
        <v>52</v>
      </c>
      <c r="E37779" t="s">
        <v>15</v>
      </c>
      <c r="F37779" s="2" t="str">
        <f>HYPERLINK("http://www.otzar.org/book.asp?180820","קונטרס סחורה בשביעית")</f>
        <v>קונטרס סחורה בשביעית</v>
      </c>
    </row>
    <row r="37780" spans="1:6" x14ac:dyDescent="0.2">
      <c r="A37780" t="s">
        <v>58080</v>
      </c>
      <c r="B37780" t="s">
        <v>2919</v>
      </c>
      <c r="C37780" t="s">
        <v>20</v>
      </c>
      <c r="D37780" t="s">
        <v>1646</v>
      </c>
      <c r="F37780" s="2" t="str">
        <f>HYPERLINK("http://www.otzar.org/book.asp?612420","קונטרס סיבת הנישואין")</f>
        <v>קונטרס סיבת הנישואין</v>
      </c>
    </row>
    <row r="37781" spans="1:6" x14ac:dyDescent="0.2">
      <c r="A37781" t="s">
        <v>58081</v>
      </c>
      <c r="B37781" t="s">
        <v>57103</v>
      </c>
      <c r="C37781" t="s">
        <v>20</v>
      </c>
      <c r="D37781" t="s">
        <v>90</v>
      </c>
      <c r="F37781" s="2" t="str">
        <f>HYPERLINK("http://www.otzar.org/book.asp?608877","קונטרס סיג לתורה")</f>
        <v>קונטרס סיג לתורה</v>
      </c>
    </row>
    <row r="37782" spans="1:6" x14ac:dyDescent="0.2">
      <c r="A37782" t="s">
        <v>58082</v>
      </c>
      <c r="B37782" t="s">
        <v>5003</v>
      </c>
      <c r="C37782" t="s">
        <v>366</v>
      </c>
      <c r="D37782" t="s">
        <v>147</v>
      </c>
      <c r="E37782" t="s">
        <v>15</v>
      </c>
      <c r="F37782" s="2" t="str">
        <f>HYPERLINK("http://www.otzar.org/book.asp?616947","קונטרס סידור זבח כהלכתו")</f>
        <v>קונטרס סידור זבח כהלכתו</v>
      </c>
    </row>
    <row r="37783" spans="1:6" x14ac:dyDescent="0.2">
      <c r="A37783" t="s">
        <v>58083</v>
      </c>
      <c r="B37783" t="s">
        <v>58084</v>
      </c>
      <c r="C37783" t="s">
        <v>133</v>
      </c>
      <c r="D37783" t="s">
        <v>14</v>
      </c>
      <c r="E37783" t="s">
        <v>144</v>
      </c>
      <c r="F37783" s="2" t="str">
        <f>HYPERLINK("http://www.otzar.org/book.asp?174532","קונטרס סיכום הדף - 2 כר'")</f>
        <v>קונטרס סיכום הדף - 2 כר'</v>
      </c>
    </row>
    <row r="37784" spans="1:6" x14ac:dyDescent="0.2">
      <c r="A37784" t="s">
        <v>58085</v>
      </c>
      <c r="B37784" t="s">
        <v>58086</v>
      </c>
      <c r="C37784" t="s">
        <v>366</v>
      </c>
      <c r="D37784" t="s">
        <v>52</v>
      </c>
      <c r="E37784" t="s">
        <v>144</v>
      </c>
      <c r="F37784" s="2" t="str">
        <f>HYPERLINK("http://www.otzar.org/book.asp?613385","קונטרס סיכומי משה")</f>
        <v>קונטרס סיכומי משה</v>
      </c>
    </row>
    <row r="37785" spans="1:6" x14ac:dyDescent="0.2">
      <c r="A37785" t="s">
        <v>58087</v>
      </c>
      <c r="B37785" t="s">
        <v>58088</v>
      </c>
      <c r="E37785" t="s">
        <v>15</v>
      </c>
      <c r="F37785" s="2" t="str">
        <f>HYPERLINK("http://www.otzar.org/book.asp?626079","קונטרס סימן מאליהו - דגי הים - כנפי חגבים")</f>
        <v>קונטרס סימן מאליהו - דגי הים - כנפי חגבים</v>
      </c>
    </row>
    <row r="37786" spans="1:6" x14ac:dyDescent="0.2">
      <c r="A37786" t="s">
        <v>58089</v>
      </c>
      <c r="B37786" t="s">
        <v>58090</v>
      </c>
      <c r="C37786" t="s">
        <v>114</v>
      </c>
      <c r="D37786" t="s">
        <v>21</v>
      </c>
      <c r="F37786" s="2" t="str">
        <f>HYPERLINK("http://www.otzar.org/book.asp?197829","קונטרס סימנא מילתא")</f>
        <v>קונטרס סימנא מילתא</v>
      </c>
    </row>
    <row r="37787" spans="1:6" x14ac:dyDescent="0.2">
      <c r="A37787" t="s">
        <v>58091</v>
      </c>
      <c r="B37787" t="s">
        <v>9425</v>
      </c>
      <c r="C37787" t="s">
        <v>366</v>
      </c>
      <c r="D37787" t="s">
        <v>147</v>
      </c>
      <c r="F37787" s="2" t="str">
        <f>HYPERLINK("http://www.otzar.org/book.asp?609909","קונטרס סימני טהרה")</f>
        <v>קונטרס סימני טהרה</v>
      </c>
    </row>
    <row r="37788" spans="1:6" x14ac:dyDescent="0.2">
      <c r="A37788" t="s">
        <v>58092</v>
      </c>
      <c r="B37788" t="s">
        <v>58093</v>
      </c>
      <c r="C37788" t="s">
        <v>20</v>
      </c>
      <c r="D37788" t="s">
        <v>6283</v>
      </c>
      <c r="E37788" t="s">
        <v>43</v>
      </c>
      <c r="F37788" s="2" t="str">
        <f>HYPERLINK("http://www.otzar.org/book.asp?181755","קונטרס סימנים")</f>
        <v>קונטרס סימנים</v>
      </c>
    </row>
    <row r="37789" spans="1:6" x14ac:dyDescent="0.2">
      <c r="A37789" t="s">
        <v>58094</v>
      </c>
      <c r="B37789" t="s">
        <v>206</v>
      </c>
      <c r="C37789" t="s">
        <v>553</v>
      </c>
      <c r="D37789" t="s">
        <v>52</v>
      </c>
      <c r="E37789" t="s">
        <v>15</v>
      </c>
      <c r="F37789" s="2" t="str">
        <f>HYPERLINK("http://www.otzar.org/book.asp?617349","קונטרס סם תם ארץ צבי")</f>
        <v>קונטרס סם תם ארץ צבי</v>
      </c>
    </row>
    <row r="37790" spans="1:6" x14ac:dyDescent="0.2">
      <c r="A37790" t="s">
        <v>58095</v>
      </c>
      <c r="B37790" t="s">
        <v>6146</v>
      </c>
      <c r="C37790" t="s">
        <v>20</v>
      </c>
      <c r="D37790" t="s">
        <v>152</v>
      </c>
      <c r="F37790" s="2" t="str">
        <f>HYPERLINK("http://www.otzar.org/book.asp?197569","קונטרס סנפיר וקשקשת")</f>
        <v>קונטרס סנפיר וקשקשת</v>
      </c>
    </row>
    <row r="37791" spans="1:6" x14ac:dyDescent="0.2">
      <c r="A37791" t="s">
        <v>58096</v>
      </c>
      <c r="B37791" t="s">
        <v>49037</v>
      </c>
      <c r="C37791" t="s">
        <v>129</v>
      </c>
      <c r="D37791" t="s">
        <v>1156</v>
      </c>
      <c r="F37791" s="2" t="str">
        <f>HYPERLINK("http://www.otzar.org/book.asp?157124","קונטרס ספק השקול")</f>
        <v>קונטרס ספק השקול</v>
      </c>
    </row>
    <row r="37792" spans="1:6" x14ac:dyDescent="0.2">
      <c r="A37792" t="s">
        <v>58097</v>
      </c>
      <c r="B37792" t="s">
        <v>26520</v>
      </c>
      <c r="C37792" t="s">
        <v>37</v>
      </c>
      <c r="D37792" t="s">
        <v>90</v>
      </c>
      <c r="F37792" s="2" t="str">
        <f>HYPERLINK("http://www.otzar.org/book.asp?606597","קונטרס ספק ספיקא בממון")</f>
        <v>קונטרס ספק ספיקא בממון</v>
      </c>
    </row>
    <row r="37793" spans="1:6" x14ac:dyDescent="0.2">
      <c r="A37793" t="s">
        <v>58098</v>
      </c>
      <c r="B37793" t="s">
        <v>58099</v>
      </c>
      <c r="C37793" t="s">
        <v>454</v>
      </c>
      <c r="D37793" t="s">
        <v>14</v>
      </c>
      <c r="E37793" t="s">
        <v>1211</v>
      </c>
      <c r="F37793" s="2" t="str">
        <f>HYPERLINK("http://www.otzar.org/book.asp?52619","קונטרס ספק של סופרים")</f>
        <v>קונטרס ספק של סופרים</v>
      </c>
    </row>
    <row r="37794" spans="1:6" x14ac:dyDescent="0.2">
      <c r="A37794" t="s">
        <v>58100</v>
      </c>
      <c r="B37794" t="s">
        <v>58101</v>
      </c>
      <c r="C37794" t="s">
        <v>411</v>
      </c>
      <c r="D37794" t="s">
        <v>2319</v>
      </c>
      <c r="E37794" t="s">
        <v>158</v>
      </c>
      <c r="F37794" s="2" t="str">
        <f>HYPERLINK("http://www.otzar.org/book.asp?611445","קונטרס ספר איוב בעיית צדיק ורע לו")</f>
        <v>קונטרס ספר איוב בעיית צדיק ורע לו</v>
      </c>
    </row>
    <row r="37795" spans="1:6" x14ac:dyDescent="0.2">
      <c r="A37795" t="s">
        <v>58102</v>
      </c>
      <c r="B37795" t="s">
        <v>58103</v>
      </c>
      <c r="C37795" t="s">
        <v>411</v>
      </c>
      <c r="D37795" t="s">
        <v>14</v>
      </c>
      <c r="E37795" t="s">
        <v>104</v>
      </c>
      <c r="F37795" s="2" t="str">
        <f>HYPERLINK("http://www.otzar.org/book.asp?606190","קונטרס ספרים וסופרים")</f>
        <v>קונטרס ספרים וסופרים</v>
      </c>
    </row>
    <row r="37796" spans="1:6" x14ac:dyDescent="0.2">
      <c r="A37796" t="s">
        <v>58104</v>
      </c>
      <c r="B37796" t="s">
        <v>58105</v>
      </c>
      <c r="C37796" t="s">
        <v>496</v>
      </c>
      <c r="D37796" t="s">
        <v>5050</v>
      </c>
      <c r="E37796" t="s">
        <v>130</v>
      </c>
      <c r="F37796" s="2" t="str">
        <f>HYPERLINK("http://www.otzar.org/book.asp?166827","קונטרס ע""ד הכשר השמן הנעשה משומשמין")</f>
        <v>קונטרס ע"ד הכשר השמן הנעשה משומשמין</v>
      </c>
    </row>
    <row r="37797" spans="1:6" x14ac:dyDescent="0.2">
      <c r="A37797" t="s">
        <v>58106</v>
      </c>
      <c r="B37797" t="s">
        <v>17919</v>
      </c>
      <c r="C37797" t="s">
        <v>37</v>
      </c>
      <c r="D37797" t="s">
        <v>80</v>
      </c>
      <c r="F37797" s="2" t="str">
        <f>HYPERLINK("http://www.otzar.org/book.asp?609646","קונטרס עבדך משיחך")</f>
        <v>קונטרס עבדך משיחך</v>
      </c>
    </row>
    <row r="37798" spans="1:6" x14ac:dyDescent="0.2">
      <c r="A37798" t="s">
        <v>58107</v>
      </c>
      <c r="F37798" s="2" t="str">
        <f>HYPERLINK("http://www.otzar.org/book.asp?622010","קונטרס עבודה שבלב")</f>
        <v>קונטרס עבודה שבלב</v>
      </c>
    </row>
    <row r="37799" spans="1:6" x14ac:dyDescent="0.2">
      <c r="A37799" t="s">
        <v>58108</v>
      </c>
      <c r="B37799" t="s">
        <v>23830</v>
      </c>
      <c r="C37799" t="s">
        <v>37</v>
      </c>
      <c r="D37799" t="s">
        <v>367</v>
      </c>
      <c r="E37799" t="s">
        <v>246</v>
      </c>
      <c r="F37799" s="2" t="str">
        <f>HYPERLINK("http://www.otzar.org/book.asp?179937","קונטרס עבודה שלימה")</f>
        <v>קונטרס עבודה שלימה</v>
      </c>
    </row>
    <row r="37800" spans="1:6" x14ac:dyDescent="0.2">
      <c r="A37800" t="s">
        <v>58109</v>
      </c>
      <c r="B37800" t="s">
        <v>58110</v>
      </c>
      <c r="C37800" t="s">
        <v>23</v>
      </c>
      <c r="D37800" t="s">
        <v>21</v>
      </c>
      <c r="F37800" s="2" t="str">
        <f>HYPERLINK("http://www.otzar.org/book.asp?601017","קונטרס עבודת בן המצרים")</f>
        <v>קונטרס עבודת בן המצרים</v>
      </c>
    </row>
    <row r="37801" spans="1:6" x14ac:dyDescent="0.2">
      <c r="A37801" t="s">
        <v>58111</v>
      </c>
      <c r="B37801" t="s">
        <v>2861</v>
      </c>
      <c r="C37801" t="s">
        <v>189</v>
      </c>
      <c r="D37801" t="s">
        <v>52</v>
      </c>
      <c r="E37801" t="s">
        <v>467</v>
      </c>
      <c r="F37801" s="2" t="str">
        <f>HYPERLINK("http://www.otzar.org/book.asp?63096","קונטרס עבודת ה' בימי השובבי""ם")</f>
        <v>קונטרס עבודת ה' בימי השובבי"ם</v>
      </c>
    </row>
    <row r="37802" spans="1:6" x14ac:dyDescent="0.2">
      <c r="A37802" t="s">
        <v>58112</v>
      </c>
      <c r="B37802" t="s">
        <v>798</v>
      </c>
      <c r="C37802" t="s">
        <v>114</v>
      </c>
      <c r="D37802" t="s">
        <v>90</v>
      </c>
      <c r="E37802" t="s">
        <v>241</v>
      </c>
      <c r="F37802" s="2" t="str">
        <f>HYPERLINK("http://www.otzar.org/book.asp?162072","קונטרס עבודת הלב")</f>
        <v>קונטרס עבודת הלב</v>
      </c>
    </row>
    <row r="37803" spans="1:6" x14ac:dyDescent="0.2">
      <c r="A37803" t="s">
        <v>58113</v>
      </c>
      <c r="B37803" t="s">
        <v>58114</v>
      </c>
      <c r="C37803" t="s">
        <v>133</v>
      </c>
      <c r="D37803" t="s">
        <v>21</v>
      </c>
      <c r="E37803" t="s">
        <v>104</v>
      </c>
      <c r="F37803" s="2" t="str">
        <f>HYPERLINK("http://www.otzar.org/book.asp?197786","קונטרס עבודת הלוי")</f>
        <v>קונטרס עבודת הלוי</v>
      </c>
    </row>
    <row r="37804" spans="1:6" x14ac:dyDescent="0.2">
      <c r="A37804" t="s">
        <v>58115</v>
      </c>
      <c r="B37804" t="s">
        <v>12920</v>
      </c>
      <c r="C37804" t="s">
        <v>151</v>
      </c>
      <c r="D37804" t="s">
        <v>14</v>
      </c>
      <c r="E37804" t="s">
        <v>241</v>
      </c>
      <c r="F37804" s="2" t="str">
        <f>HYPERLINK("http://www.otzar.org/book.asp?626312","קונטרס עבודת ימי האלול")</f>
        <v>קונטרס עבודת ימי האלול</v>
      </c>
    </row>
    <row r="37805" spans="1:6" x14ac:dyDescent="0.2">
      <c r="A37805" t="s">
        <v>58116</v>
      </c>
      <c r="B37805" t="s">
        <v>12920</v>
      </c>
      <c r="C37805" t="s">
        <v>151</v>
      </c>
      <c r="D37805" t="s">
        <v>14</v>
      </c>
      <c r="F37805" s="2" t="str">
        <f>HYPERLINK("http://www.otzar.org/book.asp?616269","קונטרס עבודת ימי חנוכה")</f>
        <v>קונטרס עבודת ימי חנוכה</v>
      </c>
    </row>
    <row r="37806" spans="1:6" x14ac:dyDescent="0.2">
      <c r="A37806" t="s">
        <v>58117</v>
      </c>
      <c r="B37806" t="s">
        <v>51276</v>
      </c>
      <c r="C37806" t="s">
        <v>8678</v>
      </c>
      <c r="D37806" t="s">
        <v>5258</v>
      </c>
      <c r="E37806" t="s">
        <v>172</v>
      </c>
      <c r="F37806" s="2" t="str">
        <f>HYPERLINK("http://www.otzar.org/book.asp?14158","קונטרס עגונות למוהר""ל")</f>
        <v>קונטרס עגונות למוהר"ל</v>
      </c>
    </row>
    <row r="37807" spans="1:6" x14ac:dyDescent="0.2">
      <c r="A37807" t="s">
        <v>58118</v>
      </c>
      <c r="B37807" t="s">
        <v>301</v>
      </c>
      <c r="C37807" t="s">
        <v>581</v>
      </c>
      <c r="D37807" t="s">
        <v>303</v>
      </c>
      <c r="E37807" t="s">
        <v>10</v>
      </c>
      <c r="F37807" s="2" t="str">
        <f>HYPERLINK("http://www.otzar.org/book.asp?1002","קונטרס עגונות")</f>
        <v>קונטרס עגונות</v>
      </c>
    </row>
    <row r="37808" spans="1:6" x14ac:dyDescent="0.2">
      <c r="A37808" t="s">
        <v>58119</v>
      </c>
      <c r="B37808" t="s">
        <v>9179</v>
      </c>
      <c r="C37808" t="s">
        <v>13</v>
      </c>
      <c r="D37808" t="s">
        <v>52</v>
      </c>
      <c r="E37808" t="s">
        <v>144</v>
      </c>
      <c r="F37808" s="2" t="str">
        <f>HYPERLINK("http://www.otzar.org/book.asp?623223","קונטרס עד שיאמר רוצה אני")</f>
        <v>קונטרס עד שיאמר רוצה אני</v>
      </c>
    </row>
    <row r="37809" spans="1:6" x14ac:dyDescent="0.2">
      <c r="A37809" t="s">
        <v>58120</v>
      </c>
      <c r="B37809" t="s">
        <v>58121</v>
      </c>
      <c r="C37809" t="s">
        <v>151</v>
      </c>
      <c r="D37809" t="s">
        <v>152</v>
      </c>
      <c r="E37809" t="s">
        <v>144</v>
      </c>
      <c r="F37809" s="2" t="str">
        <f>HYPERLINK("http://www.otzar.org/book.asp?625643","קונטרס עדות נאמנה")</f>
        <v>קונטרס עדות נאמנה</v>
      </c>
    </row>
    <row r="37810" spans="1:6" x14ac:dyDescent="0.2">
      <c r="A37810" t="s">
        <v>58122</v>
      </c>
      <c r="B37810" t="s">
        <v>5797</v>
      </c>
      <c r="C37810" t="s">
        <v>366</v>
      </c>
      <c r="D37810" t="s">
        <v>5798</v>
      </c>
      <c r="E37810" t="s">
        <v>144</v>
      </c>
      <c r="F37810" s="2" t="str">
        <f>HYPERLINK("http://www.otzar.org/book.asp?607142","קונטרס עדותו של הפסול לעדות")</f>
        <v>קונטרס עדותו של הפסול לעדות</v>
      </c>
    </row>
    <row r="37811" spans="1:6" x14ac:dyDescent="0.2">
      <c r="A37811" t="s">
        <v>58123</v>
      </c>
      <c r="B37811" t="s">
        <v>58124</v>
      </c>
      <c r="C37811" t="s">
        <v>37</v>
      </c>
      <c r="D37811" t="s">
        <v>90</v>
      </c>
      <c r="E37811" t="s">
        <v>144</v>
      </c>
      <c r="F37811" s="2" t="str">
        <f>HYPERLINK("http://www.otzar.org/book.asp?193192","קונטרס עדי זהב")</f>
        <v>קונטרס עדי זהב</v>
      </c>
    </row>
    <row r="37812" spans="1:6" x14ac:dyDescent="0.2">
      <c r="A37812" t="s">
        <v>58125</v>
      </c>
      <c r="B37812" t="s">
        <v>58126</v>
      </c>
      <c r="C37812" t="s">
        <v>151</v>
      </c>
      <c r="D37812" t="s">
        <v>21</v>
      </c>
      <c r="F37812" s="2" t="str">
        <f>HYPERLINK("http://www.otzar.org/book.asp?621838","קונטרס עובדות והנהגות מרבינו בעל הדרכי שמואל")</f>
        <v>קונטרס עובדות והנהגות מרבינו בעל הדרכי שמואל</v>
      </c>
    </row>
    <row r="37813" spans="1:6" x14ac:dyDescent="0.2">
      <c r="A37813" t="s">
        <v>58127</v>
      </c>
      <c r="B37813" t="s">
        <v>30077</v>
      </c>
      <c r="C37813" t="s">
        <v>366</v>
      </c>
      <c r="D37813" t="s">
        <v>14</v>
      </c>
      <c r="E37813" t="s">
        <v>104</v>
      </c>
      <c r="F37813" s="2" t="str">
        <f>HYPERLINK("http://www.otzar.org/book.asp?606434","קונטרס עוג מלך הבשן")</f>
        <v>קונטרס עוג מלך הבשן</v>
      </c>
    </row>
    <row r="37814" spans="1:6" x14ac:dyDescent="0.2">
      <c r="A37814" t="s">
        <v>58128</v>
      </c>
      <c r="B37814" t="s">
        <v>58129</v>
      </c>
      <c r="C37814" t="s">
        <v>176</v>
      </c>
      <c r="D37814" t="s">
        <v>52</v>
      </c>
      <c r="F37814" s="2" t="str">
        <f>HYPERLINK("http://www.otzar.org/book.asp?612116","קונטרס עוד יוסף חי")</f>
        <v>קונטרס עוד יוסף חי</v>
      </c>
    </row>
    <row r="37815" spans="1:6" x14ac:dyDescent="0.2">
      <c r="A37815" t="s">
        <v>58130</v>
      </c>
      <c r="B37815" t="s">
        <v>58131</v>
      </c>
      <c r="C37815" t="s">
        <v>411</v>
      </c>
      <c r="D37815" t="s">
        <v>52</v>
      </c>
      <c r="F37815" s="2" t="str">
        <f>HYPERLINK("http://www.otzar.org/book.asp?169623","קונטרס עוד ינובון")</f>
        <v>קונטרס עוד ינובון</v>
      </c>
    </row>
    <row r="37816" spans="1:6" x14ac:dyDescent="0.2">
      <c r="A37816" t="s">
        <v>58132</v>
      </c>
      <c r="B37816" t="s">
        <v>57224</v>
      </c>
      <c r="C37816" t="s">
        <v>20</v>
      </c>
      <c r="D37816" t="s">
        <v>90</v>
      </c>
      <c r="E37816" t="s">
        <v>399</v>
      </c>
      <c r="F37816" s="2" t="str">
        <f>HYPERLINK("http://www.otzar.org/book.asp?614881","קונטרס עוטה אור כשלמה")</f>
        <v>קונטרס עוטה אור כשלמה</v>
      </c>
    </row>
    <row r="37817" spans="1:6" x14ac:dyDescent="0.2">
      <c r="A37817" t="s">
        <v>58133</v>
      </c>
      <c r="B37817" t="s">
        <v>432</v>
      </c>
      <c r="C37817" t="s">
        <v>1663</v>
      </c>
      <c r="D37817" t="s">
        <v>9</v>
      </c>
      <c r="E37817" t="s">
        <v>213</v>
      </c>
      <c r="F37817" s="2" t="str">
        <f>HYPERLINK("http://www.otzar.org/book.asp?51751","קונטרס עול תורה")</f>
        <v>קונטרס עול תורה</v>
      </c>
    </row>
    <row r="37818" spans="1:6" x14ac:dyDescent="0.2">
      <c r="A37818" t="s">
        <v>58133</v>
      </c>
      <c r="B37818" t="s">
        <v>17727</v>
      </c>
      <c r="C37818" t="s">
        <v>1663</v>
      </c>
      <c r="D37818" t="s">
        <v>412</v>
      </c>
      <c r="F37818" s="2" t="str">
        <f>HYPERLINK("http://www.otzar.org/book.asp?613061","קונטרס עול תורה")</f>
        <v>קונטרס עול תורה</v>
      </c>
    </row>
    <row r="37819" spans="1:6" x14ac:dyDescent="0.2">
      <c r="A37819" t="s">
        <v>58133</v>
      </c>
      <c r="B37819" t="s">
        <v>58134</v>
      </c>
      <c r="C37819" t="s">
        <v>87</v>
      </c>
      <c r="D37819" t="s">
        <v>52</v>
      </c>
      <c r="E37819" t="s">
        <v>241</v>
      </c>
      <c r="F37819" s="2" t="str">
        <f>HYPERLINK("http://www.otzar.org/book.asp?160804","קונטרס עול תורה")</f>
        <v>קונטרס עול תורה</v>
      </c>
    </row>
    <row r="37820" spans="1:6" x14ac:dyDescent="0.2">
      <c r="A37820" t="s">
        <v>58133</v>
      </c>
      <c r="B37820" t="s">
        <v>24067</v>
      </c>
      <c r="C37820" t="s">
        <v>87</v>
      </c>
      <c r="D37820" t="s">
        <v>52</v>
      </c>
      <c r="E37820" t="s">
        <v>241</v>
      </c>
      <c r="F37820" s="2" t="str">
        <f>HYPERLINK("http://www.otzar.org/book.asp?623297","קונטרס עול תורה")</f>
        <v>קונטרס עול תורה</v>
      </c>
    </row>
    <row r="37821" spans="1:6" x14ac:dyDescent="0.2">
      <c r="A37821" t="s">
        <v>58135</v>
      </c>
      <c r="B37821" t="s">
        <v>5360</v>
      </c>
      <c r="C37821" t="s">
        <v>23</v>
      </c>
      <c r="D37821" t="s">
        <v>90</v>
      </c>
      <c r="F37821" s="2" t="str">
        <f>HYPERLINK("http://www.otzar.org/book.asp?610406","קונטרס עולת יצחק - 9 כר'")</f>
        <v>קונטרס עולת יצחק - 9 כר'</v>
      </c>
    </row>
    <row r="37822" spans="1:6" x14ac:dyDescent="0.2">
      <c r="A37822" t="s">
        <v>58136</v>
      </c>
      <c r="B37822" t="s">
        <v>58137</v>
      </c>
      <c r="E37822" t="s">
        <v>202</v>
      </c>
      <c r="F37822" s="2" t="str">
        <f>HYPERLINK("http://www.otzar.org/book.asp?627922","קונטרס עונג יום טוב - 2 כר'")</f>
        <v>קונטרס עונג יום טוב - 2 כר'</v>
      </c>
    </row>
    <row r="37823" spans="1:6" x14ac:dyDescent="0.2">
      <c r="A37823" t="s">
        <v>58138</v>
      </c>
      <c r="B37823" t="s">
        <v>58139</v>
      </c>
      <c r="C37823" t="s">
        <v>366</v>
      </c>
      <c r="D37823" t="s">
        <v>412</v>
      </c>
      <c r="F37823" s="2" t="str">
        <f>HYPERLINK("http://www.otzar.org/book.asp?607609","קונטרס עוף טהור")</f>
        <v>קונטרס עוף טהור</v>
      </c>
    </row>
    <row r="37824" spans="1:6" x14ac:dyDescent="0.2">
      <c r="A37824" t="s">
        <v>58140</v>
      </c>
      <c r="B37824" t="s">
        <v>17727</v>
      </c>
      <c r="C37824" t="s">
        <v>168</v>
      </c>
      <c r="D37824" t="s">
        <v>412</v>
      </c>
      <c r="E37824" t="s">
        <v>104</v>
      </c>
      <c r="F37824" s="2" t="str">
        <f>HYPERLINK("http://www.otzar.org/book.asp?172137","קונטרס עורו ישנים")</f>
        <v>קונטרס עורו ישנים</v>
      </c>
    </row>
    <row r="37825" spans="1:6" x14ac:dyDescent="0.2">
      <c r="A37825" t="s">
        <v>58141</v>
      </c>
      <c r="B37825" t="s">
        <v>3871</v>
      </c>
      <c r="C37825" t="s">
        <v>366</v>
      </c>
      <c r="D37825" t="s">
        <v>80</v>
      </c>
      <c r="F37825" s="2" t="str">
        <f>HYPERLINK("http://www.otzar.org/book.asp?610435","קונטרס עושה שלום")</f>
        <v>קונטרס עושה שלום</v>
      </c>
    </row>
    <row r="37826" spans="1:6" x14ac:dyDescent="0.2">
      <c r="A37826" t="s">
        <v>58142</v>
      </c>
      <c r="B37826" t="s">
        <v>58143</v>
      </c>
      <c r="C37826" t="s">
        <v>23</v>
      </c>
      <c r="D37826" t="s">
        <v>276</v>
      </c>
      <c r="E37826" t="s">
        <v>15</v>
      </c>
      <c r="F37826" s="2" t="str">
        <f>HYPERLINK("http://www.otzar.org/book.asp?605111","קונטרס עזר כנגדו")</f>
        <v>קונטרס עזר כנגדו</v>
      </c>
    </row>
    <row r="37827" spans="1:6" x14ac:dyDescent="0.2">
      <c r="A37827" t="s">
        <v>58144</v>
      </c>
      <c r="B37827" t="s">
        <v>56017</v>
      </c>
      <c r="C37827" t="s">
        <v>111</v>
      </c>
      <c r="D37827" t="s">
        <v>52</v>
      </c>
      <c r="E37827" t="s">
        <v>158</v>
      </c>
      <c r="F37827" s="2" t="str">
        <f>HYPERLINK("http://www.otzar.org/book.asp?630150","קונטרס עזרת אליעזר - 19 כר'")</f>
        <v>קונטרס עזרת אליעזר - 19 כר'</v>
      </c>
    </row>
    <row r="37828" spans="1:6" x14ac:dyDescent="0.2">
      <c r="A37828" t="s">
        <v>58145</v>
      </c>
      <c r="B37828" t="s">
        <v>58146</v>
      </c>
      <c r="C37828" t="s">
        <v>146</v>
      </c>
      <c r="E37828" t="s">
        <v>202</v>
      </c>
      <c r="F37828" s="2" t="str">
        <f>HYPERLINK("http://www.otzar.org/book.asp?603870","קונטרס עטרה ליושנה")</f>
        <v>קונטרס עטרה ליושנה</v>
      </c>
    </row>
    <row r="37829" spans="1:6" x14ac:dyDescent="0.2">
      <c r="A37829" t="s">
        <v>58147</v>
      </c>
      <c r="B37829" t="s">
        <v>552</v>
      </c>
      <c r="C37829" t="s">
        <v>17</v>
      </c>
      <c r="D37829" t="s">
        <v>14</v>
      </c>
      <c r="E37829" t="s">
        <v>202</v>
      </c>
      <c r="F37829" s="2" t="str">
        <f>HYPERLINK("http://www.otzar.org/book.asp?52986","קונטרס עטרת זקנים בני בנים")</f>
        <v>קונטרס עטרת זקנים בני בנים</v>
      </c>
    </row>
    <row r="37830" spans="1:6" x14ac:dyDescent="0.2">
      <c r="A37830" t="s">
        <v>58148</v>
      </c>
      <c r="B37830" t="s">
        <v>58149</v>
      </c>
      <c r="F37830" s="2" t="str">
        <f>HYPERLINK("http://www.otzar.org/book.asp?630736","קונטרס עטרת חכמים - בבא בתרא")</f>
        <v>קונטרס עטרת חכמים - בבא בתרא</v>
      </c>
    </row>
    <row r="37831" spans="1:6" x14ac:dyDescent="0.2">
      <c r="A37831" t="s">
        <v>58150</v>
      </c>
      <c r="B37831" t="s">
        <v>52202</v>
      </c>
      <c r="C37831" t="s">
        <v>20</v>
      </c>
      <c r="D37831" t="s">
        <v>657</v>
      </c>
      <c r="E37831" t="s">
        <v>15</v>
      </c>
      <c r="F37831" s="2" t="str">
        <f>HYPERLINK("http://www.otzar.org/book.asp?626761","קונטרס עטרת יצחק")</f>
        <v>קונטרס עטרת יצחק</v>
      </c>
    </row>
    <row r="37832" spans="1:6" x14ac:dyDescent="0.2">
      <c r="A37832" t="s">
        <v>58151</v>
      </c>
      <c r="B37832" t="s">
        <v>58152</v>
      </c>
      <c r="C37832" t="s">
        <v>151</v>
      </c>
      <c r="D37832" t="s">
        <v>276</v>
      </c>
      <c r="E37832" t="s">
        <v>15</v>
      </c>
      <c r="F37832" s="2" t="str">
        <f>HYPERLINK("http://www.otzar.org/book.asp?623753","קונטרס עטרת מלוכה")</f>
        <v>קונטרס עטרת מלוכה</v>
      </c>
    </row>
    <row r="37833" spans="1:6" x14ac:dyDescent="0.2">
      <c r="A37833" t="s">
        <v>58153</v>
      </c>
      <c r="B37833" t="s">
        <v>57256</v>
      </c>
      <c r="C37833" t="s">
        <v>51</v>
      </c>
      <c r="D37833" t="s">
        <v>852</v>
      </c>
      <c r="E37833" t="s">
        <v>741</v>
      </c>
      <c r="F37833" s="2" t="str">
        <f>HYPERLINK("http://www.otzar.org/book.asp?615968","קונטרס עידנא דחדוותא")</f>
        <v>קונטרס עידנא דחדוותא</v>
      </c>
    </row>
    <row r="37834" spans="1:6" x14ac:dyDescent="0.2">
      <c r="A37834" t="s">
        <v>58153</v>
      </c>
      <c r="B37834" t="s">
        <v>58154</v>
      </c>
      <c r="C37834" t="s">
        <v>366</v>
      </c>
      <c r="D37834" t="s">
        <v>152</v>
      </c>
      <c r="F37834" s="2" t="str">
        <f>HYPERLINK("http://www.otzar.org/book.asp?608198","קונטרס עידנא דחדוותא")</f>
        <v>קונטרס עידנא דחדוותא</v>
      </c>
    </row>
    <row r="37835" spans="1:6" x14ac:dyDescent="0.2">
      <c r="A37835" t="s">
        <v>58155</v>
      </c>
      <c r="B37835" t="s">
        <v>48903</v>
      </c>
      <c r="C37835" t="s">
        <v>5903</v>
      </c>
      <c r="D37835" t="s">
        <v>45290</v>
      </c>
      <c r="E37835" t="s">
        <v>241</v>
      </c>
      <c r="F37835" s="2" t="str">
        <f>HYPERLINK("http://www.otzar.org/book.asp?84113","קונטרס עיון תפילה &lt;מתוך סידור דעת קדושים&gt;")</f>
        <v>קונטרס עיון תפילה &lt;מתוך סידור דעת קדושים&gt;</v>
      </c>
    </row>
    <row r="37836" spans="1:6" x14ac:dyDescent="0.2">
      <c r="A37836" t="s">
        <v>58156</v>
      </c>
      <c r="B37836" t="s">
        <v>16120</v>
      </c>
      <c r="C37836" t="s">
        <v>87</v>
      </c>
      <c r="D37836" t="s">
        <v>52</v>
      </c>
      <c r="E37836" t="s">
        <v>144</v>
      </c>
      <c r="F37836" s="2" t="str">
        <f>HYPERLINK("http://www.otzar.org/book.asp?624726","קונטרס עיוני דעת")</f>
        <v>קונטרס עיוני דעת</v>
      </c>
    </row>
    <row r="37837" spans="1:6" x14ac:dyDescent="0.2">
      <c r="A37837" t="s">
        <v>58157</v>
      </c>
      <c r="B37837" t="s">
        <v>7405</v>
      </c>
      <c r="C37837" t="s">
        <v>23</v>
      </c>
      <c r="D37837" t="s">
        <v>14</v>
      </c>
      <c r="F37837" s="2" t="str">
        <f>HYPERLINK("http://www.otzar.org/book.asp?197530","קונטרס עיונים בברכת אשר יצר")</f>
        <v>קונטרס עיונים בברכת אשר יצר</v>
      </c>
    </row>
    <row r="37838" spans="1:6" x14ac:dyDescent="0.2">
      <c r="A37838" t="s">
        <v>58158</v>
      </c>
      <c r="B37838" t="s">
        <v>42181</v>
      </c>
      <c r="C37838" t="s">
        <v>17</v>
      </c>
      <c r="D37838" t="s">
        <v>52</v>
      </c>
      <c r="E37838" t="s">
        <v>246</v>
      </c>
      <c r="F37838" s="2" t="str">
        <f>HYPERLINK("http://www.otzar.org/book.asp?173008","קונטרס עיונים בהגדה של פסח")</f>
        <v>קונטרס עיונים בהגדה של פסח</v>
      </c>
    </row>
    <row r="37839" spans="1:6" x14ac:dyDescent="0.2">
      <c r="A37839" t="s">
        <v>58159</v>
      </c>
      <c r="B37839" t="s">
        <v>206</v>
      </c>
      <c r="C37839" t="s">
        <v>1268</v>
      </c>
      <c r="D37839" t="s">
        <v>14</v>
      </c>
      <c r="E37839" t="s">
        <v>84</v>
      </c>
      <c r="F37839" s="2" t="str">
        <f>HYPERLINK("http://www.otzar.org/book.asp?84916","קונטרס עיונים והערות - על סדר טהרות")</f>
        <v>קונטרס עיונים והערות - על סדר טהרות</v>
      </c>
    </row>
    <row r="37840" spans="1:6" x14ac:dyDescent="0.2">
      <c r="A37840" t="s">
        <v>58160</v>
      </c>
      <c r="B37840" t="s">
        <v>58161</v>
      </c>
      <c r="C37840" t="s">
        <v>454</v>
      </c>
      <c r="D37840" t="s">
        <v>52</v>
      </c>
      <c r="E37840" t="s">
        <v>144</v>
      </c>
      <c r="F37840" s="2" t="str">
        <f>HYPERLINK("http://www.otzar.org/book.asp?190969","קונטרס עין הסוגיא - השותפין")</f>
        <v>קונטרס עין הסוגיא - השותפין</v>
      </c>
    </row>
    <row r="37841" spans="1:6" x14ac:dyDescent="0.2">
      <c r="A37841" t="s">
        <v>58162</v>
      </c>
      <c r="B37841" t="s">
        <v>19239</v>
      </c>
      <c r="C37841" t="s">
        <v>13</v>
      </c>
      <c r="D37841" t="s">
        <v>14</v>
      </c>
      <c r="E37841" t="s">
        <v>144</v>
      </c>
      <c r="F37841" s="2" t="str">
        <f>HYPERLINK("http://www.otzar.org/book.asp?194226","קונטרס עין טובה")</f>
        <v>קונטרס עין טובה</v>
      </c>
    </row>
    <row r="37842" spans="1:6" x14ac:dyDescent="0.2">
      <c r="A37842" t="s">
        <v>58163</v>
      </c>
      <c r="B37842" t="s">
        <v>55338</v>
      </c>
      <c r="C37842" t="s">
        <v>609</v>
      </c>
      <c r="D37842" t="s">
        <v>2940</v>
      </c>
      <c r="F37842" s="2" t="str">
        <f>HYPERLINK("http://www.otzar.org/book.asp?85002","קונטרס עין יעקב")</f>
        <v>קונטרס עין יעקב</v>
      </c>
    </row>
    <row r="37843" spans="1:6" x14ac:dyDescent="0.2">
      <c r="A37843" t="s">
        <v>58164</v>
      </c>
      <c r="B37843" t="s">
        <v>49122</v>
      </c>
      <c r="C37843" t="s">
        <v>20</v>
      </c>
      <c r="D37843" t="s">
        <v>52</v>
      </c>
      <c r="E37843" t="s">
        <v>172</v>
      </c>
      <c r="F37843" s="2" t="str">
        <f>HYPERLINK("http://www.otzar.org/book.asp?61096","קונטרס עינים לחושן - הל' נחלות")</f>
        <v>קונטרס עינים לחושן - הל' נחלות</v>
      </c>
    </row>
    <row r="37844" spans="1:6" x14ac:dyDescent="0.2">
      <c r="A37844" t="s">
        <v>58165</v>
      </c>
      <c r="B37844" t="s">
        <v>9635</v>
      </c>
      <c r="C37844" t="s">
        <v>146</v>
      </c>
      <c r="D37844" t="s">
        <v>657</v>
      </c>
      <c r="E37844" t="s">
        <v>144</v>
      </c>
      <c r="F37844" s="2" t="str">
        <f>HYPERLINK("http://www.otzar.org/book.asp?28050","קונטרס עיקרי הסוגיות על פרק נערה המאורסה")</f>
        <v>קונטרס עיקרי הסוגיות על פרק נערה המאורסה</v>
      </c>
    </row>
    <row r="37845" spans="1:6" x14ac:dyDescent="0.2">
      <c r="A37845" t="s">
        <v>58166</v>
      </c>
      <c r="B37845" t="s">
        <v>58167</v>
      </c>
      <c r="C37845" t="s">
        <v>244</v>
      </c>
      <c r="D37845" t="s">
        <v>52</v>
      </c>
      <c r="E37845" t="s">
        <v>144</v>
      </c>
      <c r="F37845" s="2" t="str">
        <f>HYPERLINK("http://www.otzar.org/book.asp?608576","קונטרס עיר מקלט")</f>
        <v>קונטרס עיר מקלט</v>
      </c>
    </row>
    <row r="37846" spans="1:6" x14ac:dyDescent="0.2">
      <c r="A37846" t="s">
        <v>58168</v>
      </c>
      <c r="B37846" t="s">
        <v>58169</v>
      </c>
      <c r="C37846" t="s">
        <v>506</v>
      </c>
      <c r="D37846" t="s">
        <v>7648</v>
      </c>
      <c r="E37846" t="s">
        <v>104</v>
      </c>
      <c r="F37846" s="2" t="str">
        <f>HYPERLINK("http://www.otzar.org/book.asp?167473","קונטרס עיתונאי")</f>
        <v>קונטרס עיתונאי</v>
      </c>
    </row>
    <row r="37847" spans="1:6" x14ac:dyDescent="0.2">
      <c r="A37847" t="s">
        <v>58170</v>
      </c>
      <c r="B37847" t="s">
        <v>58171</v>
      </c>
      <c r="C37847" t="s">
        <v>553</v>
      </c>
      <c r="D37847" t="s">
        <v>14</v>
      </c>
      <c r="E37847" t="s">
        <v>8107</v>
      </c>
      <c r="F37847" s="2" t="str">
        <f>HYPERLINK("http://www.otzar.org/book.asp?8237","קונטרס על איסור המכירה בשביעית")</f>
        <v>קונטרס על איסור המכירה בשביעית</v>
      </c>
    </row>
    <row r="37848" spans="1:6" x14ac:dyDescent="0.2">
      <c r="A37848" t="s">
        <v>58172</v>
      </c>
      <c r="B37848" t="s">
        <v>58173</v>
      </c>
      <c r="C37848" t="s">
        <v>334</v>
      </c>
      <c r="D37848" t="s">
        <v>412</v>
      </c>
      <c r="E37848" t="s">
        <v>104</v>
      </c>
      <c r="F37848" s="2" t="str">
        <f>HYPERLINK("http://www.otzar.org/book.asp?603242","קונטרס על דבר אמת")</f>
        <v>קונטרס על דבר אמת</v>
      </c>
    </row>
    <row r="37849" spans="1:6" x14ac:dyDescent="0.2">
      <c r="A37849" t="s">
        <v>58174</v>
      </c>
      <c r="B37849" t="s">
        <v>16120</v>
      </c>
      <c r="C37849" t="s">
        <v>23</v>
      </c>
      <c r="E37849" t="s">
        <v>158</v>
      </c>
      <c r="F37849" s="2" t="str">
        <f>HYPERLINK("http://www.otzar.org/book.asp?624718","קונטרס על המלך טוב")</f>
        <v>קונטרס על המלך טוב</v>
      </c>
    </row>
    <row r="37850" spans="1:6" x14ac:dyDescent="0.2">
      <c r="A37850" t="s">
        <v>58175</v>
      </c>
      <c r="B37850" t="s">
        <v>58176</v>
      </c>
      <c r="C37850" t="s">
        <v>133</v>
      </c>
      <c r="D37850" t="s">
        <v>14</v>
      </c>
      <c r="F37850" s="2" t="str">
        <f>HYPERLINK("http://www.otzar.org/book.asp?198142","קונטרס על הניסים - חנוכה, פורים")</f>
        <v>קונטרס על הניסים - חנוכה, פורים</v>
      </c>
    </row>
    <row r="37851" spans="1:6" x14ac:dyDescent="0.2">
      <c r="A37851" t="s">
        <v>58177</v>
      </c>
      <c r="B37851" t="s">
        <v>5293</v>
      </c>
      <c r="C37851" t="s">
        <v>411</v>
      </c>
      <c r="D37851" t="s">
        <v>21</v>
      </c>
      <c r="E37851" t="s">
        <v>241</v>
      </c>
      <c r="F37851" s="2" t="str">
        <f>HYPERLINK("http://www.otzar.org/book.asp?197837","קונטרס על חובת הכרת הטוב")</f>
        <v>קונטרס על חובת הכרת הטוב</v>
      </c>
    </row>
    <row r="37852" spans="1:6" x14ac:dyDescent="0.2">
      <c r="A37852" t="s">
        <v>58178</v>
      </c>
      <c r="B37852" t="s">
        <v>51079</v>
      </c>
      <c r="C37852" t="s">
        <v>20</v>
      </c>
      <c r="D37852" t="s">
        <v>14</v>
      </c>
      <c r="F37852" s="2" t="str">
        <f>HYPERLINK("http://www.otzar.org/book.asp?610372","קונטרס על חומותיך ירושלים")</f>
        <v>קונטרס על חומותיך ירושלים</v>
      </c>
    </row>
    <row r="37853" spans="1:6" x14ac:dyDescent="0.2">
      <c r="A37853" t="s">
        <v>58179</v>
      </c>
      <c r="B37853" t="s">
        <v>11675</v>
      </c>
      <c r="C37853" t="s">
        <v>13</v>
      </c>
      <c r="D37853" t="s">
        <v>14</v>
      </c>
      <c r="E37853" t="s">
        <v>2840</v>
      </c>
      <c r="F37853" s="2" t="str">
        <f>HYPERLINK("http://www.otzar.org/book.asp?143906","קונטרס על ימין שהוא שמאל")</f>
        <v>קונטרס על ימין שהוא שמאל</v>
      </c>
    </row>
    <row r="37854" spans="1:6" x14ac:dyDescent="0.2">
      <c r="A37854" t="s">
        <v>58180</v>
      </c>
      <c r="B37854" t="s">
        <v>10345</v>
      </c>
      <c r="C37854" t="s">
        <v>111</v>
      </c>
      <c r="D37854" t="s">
        <v>10346</v>
      </c>
      <c r="E37854" t="s">
        <v>674</v>
      </c>
      <c r="F37854" s="2" t="str">
        <f>HYPERLINK("http://www.otzar.org/book.asp?630359","קונטרס על כנפי נשרים")</f>
        <v>קונטרס על כנפי נשרים</v>
      </c>
    </row>
    <row r="37855" spans="1:6" x14ac:dyDescent="0.2">
      <c r="A37855" t="s">
        <v>58181</v>
      </c>
      <c r="B37855" t="s">
        <v>57818</v>
      </c>
      <c r="C37855" t="s">
        <v>20</v>
      </c>
      <c r="D37855" t="s">
        <v>90</v>
      </c>
      <c r="E37855" t="s">
        <v>230</v>
      </c>
      <c r="F37855" s="2" t="str">
        <f>HYPERLINK("http://www.otzar.org/book.asp?171616","קונטרס על מה אבדה הארץ")</f>
        <v>קונטרס על מה אבדה הארץ</v>
      </c>
    </row>
    <row r="37856" spans="1:6" x14ac:dyDescent="0.2">
      <c r="A37856" t="s">
        <v>58182</v>
      </c>
      <c r="B37856" t="s">
        <v>6987</v>
      </c>
      <c r="C37856" t="s">
        <v>71</v>
      </c>
      <c r="D37856" t="s">
        <v>14</v>
      </c>
      <c r="E37856" t="s">
        <v>144</v>
      </c>
      <c r="F37856" s="2" t="str">
        <f>HYPERLINK("http://www.otzar.org/book.asp?60378","קונטרס על מסכת ערכין")</f>
        <v>קונטרס על מסכת ערכין</v>
      </c>
    </row>
    <row r="37857" spans="1:6" x14ac:dyDescent="0.2">
      <c r="A37857" t="s">
        <v>58183</v>
      </c>
      <c r="B37857" t="s">
        <v>58184</v>
      </c>
      <c r="C37857" t="s">
        <v>23</v>
      </c>
      <c r="D37857" t="s">
        <v>14</v>
      </c>
      <c r="F37857" s="2" t="str">
        <f>HYPERLINK("http://www.otzar.org/book.asp?197678","קונטרס על משמר השבת")</f>
        <v>קונטרס על משמר השבת</v>
      </c>
    </row>
    <row r="37858" spans="1:6" x14ac:dyDescent="0.2">
      <c r="A37858" t="s">
        <v>58185</v>
      </c>
      <c r="B37858" t="s">
        <v>2667</v>
      </c>
      <c r="C37858" t="s">
        <v>189</v>
      </c>
      <c r="D37858" t="s">
        <v>58186</v>
      </c>
      <c r="F37858" s="2" t="str">
        <f>HYPERLINK("http://www.otzar.org/book.asp?198684","קונטרס על נס וחי - סוכה")</f>
        <v>קונטרס על נס וחי - סוכה</v>
      </c>
    </row>
    <row r="37859" spans="1:6" x14ac:dyDescent="0.2">
      <c r="A37859" t="s">
        <v>58187</v>
      </c>
      <c r="B37859" t="s">
        <v>11831</v>
      </c>
      <c r="C37859" t="s">
        <v>26</v>
      </c>
      <c r="D37859" t="s">
        <v>52</v>
      </c>
      <c r="F37859" s="2" t="str">
        <f>HYPERLINK("http://www.otzar.org/book.asp?169570","קונטרס על ענייני ספירת העומר")</f>
        <v>קונטרס על ענייני ספירת העומר</v>
      </c>
    </row>
    <row r="37860" spans="1:6" x14ac:dyDescent="0.2">
      <c r="A37860" t="s">
        <v>58188</v>
      </c>
      <c r="B37860" t="s">
        <v>58189</v>
      </c>
      <c r="C37860" t="s">
        <v>23</v>
      </c>
      <c r="D37860" t="s">
        <v>21</v>
      </c>
      <c r="E37860" t="s">
        <v>246</v>
      </c>
      <c r="F37860" s="2" t="str">
        <f>HYPERLINK("http://www.otzar.org/book.asp?191820","קונטרס על עניני חג השבועות")</f>
        <v>קונטרס על עניני חג השבועות</v>
      </c>
    </row>
    <row r="37861" spans="1:6" x14ac:dyDescent="0.2">
      <c r="A37861" t="s">
        <v>58190</v>
      </c>
      <c r="B37861" t="s">
        <v>58191</v>
      </c>
      <c r="C37861" t="s">
        <v>146</v>
      </c>
      <c r="D37861" t="s">
        <v>14</v>
      </c>
      <c r="E37861" t="s">
        <v>144</v>
      </c>
      <c r="F37861" s="2" t="str">
        <f>HYPERLINK("http://www.otzar.org/book.asp?52987","קונטרס על קצת מעניני פרק חזקת הבתים")</f>
        <v>קונטרס על קצת מעניני פרק חזקת הבתים</v>
      </c>
    </row>
    <row r="37862" spans="1:6" x14ac:dyDescent="0.2">
      <c r="A37862" t="s">
        <v>58192</v>
      </c>
      <c r="B37862" t="s">
        <v>58193</v>
      </c>
      <c r="E37862" t="s">
        <v>241</v>
      </c>
      <c r="F37862" s="2" t="str">
        <f>HYPERLINK("http://www.otzar.org/book.asp?630550","קונטרס על שלשה דברים האדם עומד")</f>
        <v>קונטרס על שלשה דברים האדם עומד</v>
      </c>
    </row>
    <row r="37863" spans="1:6" x14ac:dyDescent="0.2">
      <c r="A37863" t="s">
        <v>58194</v>
      </c>
      <c r="B37863" t="s">
        <v>20591</v>
      </c>
      <c r="C37863" t="s">
        <v>454</v>
      </c>
      <c r="D37863" t="s">
        <v>52</v>
      </c>
      <c r="E37863" t="s">
        <v>84</v>
      </c>
      <c r="F37863" s="2" t="str">
        <f>HYPERLINK("http://www.otzar.org/book.asp?53055","קונטרס על - מסכת נגעים")</f>
        <v>קונטרס על - מסכת נגעים</v>
      </c>
    </row>
    <row r="37864" spans="1:6" x14ac:dyDescent="0.2">
      <c r="A37864" t="s">
        <v>58195</v>
      </c>
      <c r="B37864" t="s">
        <v>552</v>
      </c>
      <c r="C37864" t="s">
        <v>20</v>
      </c>
      <c r="D37864" t="s">
        <v>52</v>
      </c>
      <c r="E37864" t="s">
        <v>202</v>
      </c>
      <c r="F37864" s="2" t="str">
        <f>HYPERLINK("http://www.otzar.org/book.asp?14611","קונטרס עלי דמע [ויזמן]")</f>
        <v>קונטרס עלי דמע [ויזמן]</v>
      </c>
    </row>
    <row r="37865" spans="1:6" x14ac:dyDescent="0.2">
      <c r="A37865" t="s">
        <v>58196</v>
      </c>
      <c r="B37865" t="s">
        <v>7917</v>
      </c>
      <c r="C37865" t="s">
        <v>23</v>
      </c>
      <c r="D37865" t="s">
        <v>2504</v>
      </c>
      <c r="E37865" t="s">
        <v>803</v>
      </c>
      <c r="F37865" s="2" t="str">
        <f>HYPERLINK("http://www.otzar.org/book.asp?194145","קונטרס עלי ציון ופדיוני בכוריה")</f>
        <v>קונטרס עלי ציון ופדיוני בכוריה</v>
      </c>
    </row>
    <row r="37866" spans="1:6" x14ac:dyDescent="0.2">
      <c r="A37866" t="s">
        <v>58197</v>
      </c>
      <c r="B37866" t="s">
        <v>58198</v>
      </c>
      <c r="C37866" t="s">
        <v>114</v>
      </c>
      <c r="D37866" t="s">
        <v>14</v>
      </c>
      <c r="E37866" t="s">
        <v>104</v>
      </c>
      <c r="F37866" s="2" t="str">
        <f>HYPERLINK("http://www.otzar.org/book.asp?162364","קונטרס עלי שיח")</f>
        <v>קונטרס עלי שיח</v>
      </c>
    </row>
    <row r="37867" spans="1:6" x14ac:dyDescent="0.2">
      <c r="A37867" t="s">
        <v>58197</v>
      </c>
      <c r="B37867" t="s">
        <v>20380</v>
      </c>
      <c r="C37867" t="s">
        <v>20</v>
      </c>
      <c r="D37867" t="s">
        <v>90</v>
      </c>
      <c r="F37867" s="2" t="str">
        <f>HYPERLINK("http://www.otzar.org/book.asp?610868","קונטרס עלי שיח")</f>
        <v>קונטרס עלי שיח</v>
      </c>
    </row>
    <row r="37868" spans="1:6" x14ac:dyDescent="0.2">
      <c r="A37868" t="s">
        <v>58199</v>
      </c>
      <c r="B37868" t="s">
        <v>56886</v>
      </c>
      <c r="C37868" t="s">
        <v>133</v>
      </c>
      <c r="D37868" t="s">
        <v>52</v>
      </c>
      <c r="E37868" t="s">
        <v>144</v>
      </c>
      <c r="F37868" s="2" t="str">
        <f>HYPERLINK("http://www.otzar.org/book.asp?188828","קונטרס עליות ברוך - 3 כר'")</f>
        <v>קונטרס עליות ברוך - 3 כר'</v>
      </c>
    </row>
    <row r="37869" spans="1:6" x14ac:dyDescent="0.2">
      <c r="A37869" t="s">
        <v>58200</v>
      </c>
      <c r="B37869" t="s">
        <v>477</v>
      </c>
      <c r="C37869" t="s">
        <v>20</v>
      </c>
      <c r="D37869" t="s">
        <v>14</v>
      </c>
      <c r="E37869" t="s">
        <v>104</v>
      </c>
      <c r="F37869" s="2" t="str">
        <f>HYPERLINK("http://www.otzar.org/book.asp?174001","קונטרס עלינו לשבח")</f>
        <v>קונטרס עלינו לשבח</v>
      </c>
    </row>
    <row r="37870" spans="1:6" x14ac:dyDescent="0.2">
      <c r="A37870" t="s">
        <v>58200</v>
      </c>
      <c r="B37870" t="s">
        <v>58201</v>
      </c>
      <c r="C37870" t="s">
        <v>146</v>
      </c>
      <c r="D37870" t="s">
        <v>14</v>
      </c>
      <c r="E37870" t="s">
        <v>219</v>
      </c>
      <c r="F37870" s="2" t="str">
        <f>HYPERLINK("http://www.otzar.org/book.asp?85355","קונטרס עלינו לשבח")</f>
        <v>קונטרס עלינו לשבח</v>
      </c>
    </row>
    <row r="37871" spans="1:6" x14ac:dyDescent="0.2">
      <c r="A37871" t="s">
        <v>58202</v>
      </c>
      <c r="B37871" t="s">
        <v>58203</v>
      </c>
      <c r="C37871" t="s">
        <v>366</v>
      </c>
      <c r="D37871" t="s">
        <v>80</v>
      </c>
      <c r="F37871" s="2" t="str">
        <f>HYPERLINK("http://www.otzar.org/book.asp?609994","קונטרס עלתה נצה")</f>
        <v>קונטרס עלתה נצה</v>
      </c>
    </row>
    <row r="37872" spans="1:6" x14ac:dyDescent="0.2">
      <c r="A37872" t="s">
        <v>58204</v>
      </c>
      <c r="B37872" t="s">
        <v>58205</v>
      </c>
      <c r="C37872" t="s">
        <v>133</v>
      </c>
      <c r="D37872" t="s">
        <v>412</v>
      </c>
      <c r="E37872" t="s">
        <v>104</v>
      </c>
      <c r="F37872" s="2" t="str">
        <f>HYPERLINK("http://www.otzar.org/book.asp?173666","קונטרס עמודי החצר")</f>
        <v>קונטרס עמודי החצר</v>
      </c>
    </row>
    <row r="37873" spans="1:6" x14ac:dyDescent="0.2">
      <c r="A37873" t="s">
        <v>58206</v>
      </c>
      <c r="B37873" t="s">
        <v>58207</v>
      </c>
      <c r="C37873" t="s">
        <v>422</v>
      </c>
      <c r="D37873" t="s">
        <v>52</v>
      </c>
      <c r="F37873" s="2" t="str">
        <f>HYPERLINK("http://www.otzar.org/book.asp?608881","קונטרס עמודי משה")</f>
        <v>קונטרס עמודי משה</v>
      </c>
    </row>
    <row r="37874" spans="1:6" x14ac:dyDescent="0.2">
      <c r="A37874" t="s">
        <v>58208</v>
      </c>
      <c r="B37874" t="s">
        <v>58209</v>
      </c>
      <c r="C37874" t="s">
        <v>624</v>
      </c>
      <c r="D37874" t="s">
        <v>1511</v>
      </c>
      <c r="E37874" t="s">
        <v>15</v>
      </c>
      <c r="F37874" s="2" t="str">
        <f>HYPERLINK("http://www.otzar.org/book.asp?62003","קונטרס עמודי שש - מלאכות שבת")</f>
        <v>קונטרס עמודי שש - מלאכות שבת</v>
      </c>
    </row>
    <row r="37875" spans="1:6" x14ac:dyDescent="0.2">
      <c r="A37875" t="s">
        <v>58210</v>
      </c>
      <c r="B37875" t="s">
        <v>1010</v>
      </c>
      <c r="C37875" t="s">
        <v>133</v>
      </c>
      <c r="D37875" t="s">
        <v>1156</v>
      </c>
      <c r="F37875" s="2" t="str">
        <f>HYPERLINK("http://www.otzar.org/book.asp?199147","קונטרס עמודי שש")</f>
        <v>קונטרס עמודי שש</v>
      </c>
    </row>
    <row r="37876" spans="1:6" x14ac:dyDescent="0.2">
      <c r="A37876" t="s">
        <v>58211</v>
      </c>
      <c r="B37876" t="s">
        <v>58212</v>
      </c>
      <c r="C37876" t="s">
        <v>20</v>
      </c>
      <c r="D37876" t="s">
        <v>646</v>
      </c>
      <c r="E37876" t="s">
        <v>158</v>
      </c>
      <c r="F37876" s="2" t="str">
        <f>HYPERLINK("http://www.otzar.org/book.asp?146772","קונטרס עמוקה מני ים")</f>
        <v>קונטרס עמוקה מני ים</v>
      </c>
    </row>
    <row r="37877" spans="1:6" x14ac:dyDescent="0.2">
      <c r="A37877" t="s">
        <v>58213</v>
      </c>
      <c r="B37877" t="s">
        <v>206</v>
      </c>
      <c r="C37877" t="s">
        <v>244</v>
      </c>
      <c r="D37877" t="s">
        <v>21</v>
      </c>
      <c r="E37877" t="s">
        <v>241</v>
      </c>
      <c r="F37877" s="2" t="str">
        <f>HYPERLINK("http://www.otzar.org/book.asp?607271","קונטרס עמל ועיון בתורה")</f>
        <v>קונטרס עמל ועיון בתורה</v>
      </c>
    </row>
    <row r="37878" spans="1:6" x14ac:dyDescent="0.2">
      <c r="A37878" t="s">
        <v>58214</v>
      </c>
      <c r="B37878" t="s">
        <v>58215</v>
      </c>
      <c r="C37878" t="s">
        <v>71</v>
      </c>
      <c r="D37878" t="s">
        <v>14</v>
      </c>
      <c r="E37878" t="s">
        <v>148</v>
      </c>
      <c r="F37878" s="2" t="str">
        <f>HYPERLINK("http://www.otzar.org/book.asp?189450","קונטרס עמק הלב")</f>
        <v>קונטרס עמק הלב</v>
      </c>
    </row>
    <row r="37879" spans="1:6" x14ac:dyDescent="0.2">
      <c r="A37879" t="s">
        <v>58216</v>
      </c>
      <c r="B37879" t="s">
        <v>58217</v>
      </c>
      <c r="C37879" t="s">
        <v>68</v>
      </c>
      <c r="D37879" t="s">
        <v>3406</v>
      </c>
      <c r="E37879" t="s">
        <v>15</v>
      </c>
      <c r="F37879" s="2" t="str">
        <f>HYPERLINK("http://www.otzar.org/book.asp?615425","קונטרס ענבי הגפן")</f>
        <v>קונטרס ענבי הגפן</v>
      </c>
    </row>
    <row r="37880" spans="1:6" x14ac:dyDescent="0.2">
      <c r="A37880" t="s">
        <v>58218</v>
      </c>
      <c r="B37880" t="s">
        <v>58219</v>
      </c>
      <c r="C37880" t="s">
        <v>20</v>
      </c>
      <c r="D37880" t="s">
        <v>90</v>
      </c>
      <c r="E37880" t="s">
        <v>15</v>
      </c>
      <c r="F37880" s="2" t="str">
        <f>HYPERLINK("http://www.otzar.org/book.asp?61210","קונטרס עניית אמן כהלכתה")</f>
        <v>קונטרס עניית אמן כהלכתה</v>
      </c>
    </row>
    <row r="37881" spans="1:6" x14ac:dyDescent="0.2">
      <c r="A37881" t="s">
        <v>58220</v>
      </c>
      <c r="B37881" t="s">
        <v>12916</v>
      </c>
      <c r="C37881" t="s">
        <v>454</v>
      </c>
      <c r="D37881" t="s">
        <v>21</v>
      </c>
      <c r="E37881" t="s">
        <v>104</v>
      </c>
      <c r="F37881" s="2" t="str">
        <f>HYPERLINK("http://www.otzar.org/book.asp?196817","קונטרס ענינו של יום")</f>
        <v>קונטרס ענינו של יום</v>
      </c>
    </row>
    <row r="37882" spans="1:6" x14ac:dyDescent="0.2">
      <c r="A37882" t="s">
        <v>58221</v>
      </c>
      <c r="B37882" t="s">
        <v>1748</v>
      </c>
      <c r="C37882" t="s">
        <v>244</v>
      </c>
      <c r="D37882" t="s">
        <v>52</v>
      </c>
      <c r="E37882" t="s">
        <v>246</v>
      </c>
      <c r="F37882" s="2" t="str">
        <f>HYPERLINK("http://www.otzar.org/book.asp?607589","קונטרס עניני אבלות החורבן")</f>
        <v>קונטרס עניני אבלות החורבן</v>
      </c>
    </row>
    <row r="37883" spans="1:6" x14ac:dyDescent="0.2">
      <c r="A37883" t="s">
        <v>58222</v>
      </c>
      <c r="B37883" t="s">
        <v>30780</v>
      </c>
      <c r="C37883" t="s">
        <v>114</v>
      </c>
      <c r="D37883" t="s">
        <v>52</v>
      </c>
      <c r="E37883" t="s">
        <v>104</v>
      </c>
      <c r="F37883" s="2" t="str">
        <f>HYPERLINK("http://www.otzar.org/book.asp?167141","קונטרס עניני בגדי כהונה")</f>
        <v>קונטרס עניני בגדי כהונה</v>
      </c>
    </row>
    <row r="37884" spans="1:6" x14ac:dyDescent="0.2">
      <c r="A37884" t="s">
        <v>58223</v>
      </c>
      <c r="B37884" t="s">
        <v>9179</v>
      </c>
      <c r="C37884" t="s">
        <v>20</v>
      </c>
      <c r="D37884" t="s">
        <v>52</v>
      </c>
      <c r="E37884" t="s">
        <v>144</v>
      </c>
      <c r="F37884" s="2" t="str">
        <f>HYPERLINK("http://www.otzar.org/book.asp?623216","קונטרס עניני בל תאחר")</f>
        <v>קונטרס עניני בל תאחר</v>
      </c>
    </row>
    <row r="37885" spans="1:6" x14ac:dyDescent="0.2">
      <c r="A37885" t="s">
        <v>58224</v>
      </c>
      <c r="B37885" t="s">
        <v>1286</v>
      </c>
      <c r="C37885" t="s">
        <v>366</v>
      </c>
      <c r="D37885" t="s">
        <v>412</v>
      </c>
      <c r="F37885" s="2" t="str">
        <f>HYPERLINK("http://www.otzar.org/book.asp?605926","קונטרס עניני בר מצוה")</f>
        <v>קונטרס עניני בר מצוה</v>
      </c>
    </row>
    <row r="37886" spans="1:6" x14ac:dyDescent="0.2">
      <c r="A37886" t="s">
        <v>58225</v>
      </c>
      <c r="B37886" t="s">
        <v>206</v>
      </c>
      <c r="C37886" t="s">
        <v>185</v>
      </c>
      <c r="D37886" t="s">
        <v>90</v>
      </c>
      <c r="E37886" t="s">
        <v>144</v>
      </c>
      <c r="F37886" s="2" t="str">
        <f>HYPERLINK("http://www.otzar.org/book.asp?629432","קונטרס עניני מלאכת מחשבת")</f>
        <v>קונטרס עניני מלאכת מחשבת</v>
      </c>
    </row>
    <row r="37887" spans="1:6" x14ac:dyDescent="0.2">
      <c r="A37887" t="s">
        <v>58226</v>
      </c>
      <c r="B37887" t="s">
        <v>1748</v>
      </c>
      <c r="C37887" t="s">
        <v>146</v>
      </c>
      <c r="D37887" t="s">
        <v>52</v>
      </c>
      <c r="E37887" t="s">
        <v>144</v>
      </c>
      <c r="F37887" s="2" t="str">
        <f>HYPERLINK("http://www.otzar.org/book.asp?141828","קונטרס עניני עבד עברי")</f>
        <v>קונטרס עניני עבד עברי</v>
      </c>
    </row>
    <row r="37888" spans="1:6" x14ac:dyDescent="0.2">
      <c r="A37888" t="s">
        <v>58227</v>
      </c>
      <c r="B37888" t="s">
        <v>58228</v>
      </c>
      <c r="C37888" t="s">
        <v>20</v>
      </c>
      <c r="D37888" t="s">
        <v>14</v>
      </c>
      <c r="F37888" s="2" t="str">
        <f>HYPERLINK("http://www.otzar.org/book.asp?603683","קונטרס ענינים במוקצה")</f>
        <v>קונטרס ענינים במוקצה</v>
      </c>
    </row>
    <row r="37889" spans="1:6" x14ac:dyDescent="0.2">
      <c r="A37889" t="s">
        <v>58229</v>
      </c>
      <c r="B37889" t="s">
        <v>58230</v>
      </c>
      <c r="C37889" t="s">
        <v>151</v>
      </c>
      <c r="D37889" t="s">
        <v>21</v>
      </c>
      <c r="F37889" s="2" t="str">
        <f>HYPERLINK("http://www.otzar.org/book.asp?621952","קונטרס ענינים בספיקות")</f>
        <v>קונטרס ענינים בספיקות</v>
      </c>
    </row>
    <row r="37890" spans="1:6" x14ac:dyDescent="0.2">
      <c r="A37890" t="s">
        <v>58231</v>
      </c>
      <c r="E37890" t="s">
        <v>144</v>
      </c>
      <c r="F37890" s="2" t="str">
        <f>HYPERLINK("http://www.otzar.org/book.asp?629461","קונטרס ענינים בפרק הדר")</f>
        <v>קונטרס ענינים בפרק הדר</v>
      </c>
    </row>
    <row r="37891" spans="1:6" x14ac:dyDescent="0.2">
      <c r="A37891" t="s">
        <v>58232</v>
      </c>
      <c r="B37891" t="s">
        <v>58233</v>
      </c>
      <c r="C37891" t="s">
        <v>2284</v>
      </c>
      <c r="D37891" t="s">
        <v>14</v>
      </c>
      <c r="E37891" t="s">
        <v>1164</v>
      </c>
      <c r="F37891" s="2" t="str">
        <f>HYPERLINK("http://www.otzar.org/book.asp?105763","קונטרס ענני הכבוד")</f>
        <v>קונטרס ענני הכבוד</v>
      </c>
    </row>
    <row r="37892" spans="1:6" x14ac:dyDescent="0.2">
      <c r="A37892" t="s">
        <v>58234</v>
      </c>
      <c r="B37892" t="s">
        <v>29695</v>
      </c>
      <c r="C37892" t="s">
        <v>454</v>
      </c>
      <c r="D37892" t="s">
        <v>52</v>
      </c>
      <c r="E37892" t="s">
        <v>246</v>
      </c>
      <c r="F37892" s="2" t="str">
        <f>HYPERLINK("http://www.otzar.org/book.asp?190862","קונטרס ענני כבוד - סוכות")</f>
        <v>קונטרס ענני כבוד - סוכות</v>
      </c>
    </row>
    <row r="37893" spans="1:6" x14ac:dyDescent="0.2">
      <c r="A37893" t="s">
        <v>58235</v>
      </c>
      <c r="B37893" t="s">
        <v>58236</v>
      </c>
      <c r="C37893" t="s">
        <v>20</v>
      </c>
      <c r="D37893" t="s">
        <v>216</v>
      </c>
      <c r="E37893" t="s">
        <v>246</v>
      </c>
      <c r="F37893" s="2" t="str">
        <f>HYPERLINK("http://www.otzar.org/book.asp?153952","קונטרס ענני כבוד")</f>
        <v>קונטרס ענני כבוד</v>
      </c>
    </row>
    <row r="37894" spans="1:6" x14ac:dyDescent="0.2">
      <c r="A37894" t="s">
        <v>58237</v>
      </c>
      <c r="B37894" t="s">
        <v>58238</v>
      </c>
      <c r="C37894" t="s">
        <v>111</v>
      </c>
      <c r="D37894" t="s">
        <v>147</v>
      </c>
      <c r="E37894" t="s">
        <v>15</v>
      </c>
      <c r="F37894" s="2" t="str">
        <f>HYPERLINK("http://www.otzar.org/book.asp?623258","קונטרס עסק עמהן")</f>
        <v>קונטרס עסק עמהן</v>
      </c>
    </row>
    <row r="37895" spans="1:6" x14ac:dyDescent="0.2">
      <c r="A37895" t="s">
        <v>58239</v>
      </c>
      <c r="B37895" t="s">
        <v>58240</v>
      </c>
      <c r="C37895" t="s">
        <v>422</v>
      </c>
      <c r="D37895" t="s">
        <v>423</v>
      </c>
      <c r="E37895" t="s">
        <v>234</v>
      </c>
      <c r="F37895" s="2" t="str">
        <f>HYPERLINK("http://www.otzar.org/book.asp?85848","קונטרס עץ הגן")</f>
        <v>קונטרס עץ הגן</v>
      </c>
    </row>
    <row r="37896" spans="1:6" x14ac:dyDescent="0.2">
      <c r="A37896" t="s">
        <v>58241</v>
      </c>
      <c r="B37896" t="s">
        <v>206</v>
      </c>
      <c r="C37896" t="s">
        <v>20</v>
      </c>
      <c r="D37896" t="s">
        <v>14</v>
      </c>
      <c r="E37896" t="s">
        <v>246</v>
      </c>
      <c r="F37896" s="2" t="str">
        <f>HYPERLINK("http://www.otzar.org/book.asp?605797","קונטרס עץ השדה")</f>
        <v>קונטרס עץ השדה</v>
      </c>
    </row>
    <row r="37897" spans="1:6" x14ac:dyDescent="0.2">
      <c r="A37897" t="s">
        <v>58242</v>
      </c>
      <c r="B37897" t="s">
        <v>49942</v>
      </c>
      <c r="C37897" t="s">
        <v>68</v>
      </c>
      <c r="D37897" t="s">
        <v>4549</v>
      </c>
      <c r="F37897" s="2" t="str">
        <f>HYPERLINK("http://www.otzar.org/book.asp?609167","קונטרס עץ חיים - 9 כר'")</f>
        <v>קונטרס עץ חיים - 9 כר'</v>
      </c>
    </row>
    <row r="37898" spans="1:6" x14ac:dyDescent="0.2">
      <c r="A37898" t="s">
        <v>58243</v>
      </c>
      <c r="B37898" t="s">
        <v>58244</v>
      </c>
      <c r="C37898" t="s">
        <v>411</v>
      </c>
      <c r="D37898" t="s">
        <v>276</v>
      </c>
      <c r="E37898" t="s">
        <v>144</v>
      </c>
      <c r="F37898" s="2" t="str">
        <f>HYPERLINK("http://www.otzar.org/book.asp?193673","קונטרס עצה הוגנת")</f>
        <v>קונטרס עצה הוגנת</v>
      </c>
    </row>
    <row r="37899" spans="1:6" x14ac:dyDescent="0.2">
      <c r="A37899" t="s">
        <v>58245</v>
      </c>
      <c r="B37899" t="s">
        <v>28952</v>
      </c>
      <c r="C37899" t="s">
        <v>133</v>
      </c>
      <c r="D37899" t="s">
        <v>486</v>
      </c>
      <c r="E37899" t="s">
        <v>241</v>
      </c>
      <c r="F37899" s="2" t="str">
        <f>HYPERLINK("http://www.otzar.org/book.asp?623951","קונטרס עצה ותבונה")</f>
        <v>קונטרס עצה ותבונה</v>
      </c>
    </row>
    <row r="37900" spans="1:6" x14ac:dyDescent="0.2">
      <c r="A37900" t="s">
        <v>58246</v>
      </c>
      <c r="B37900" t="s">
        <v>58247</v>
      </c>
      <c r="C37900" t="s">
        <v>23</v>
      </c>
      <c r="D37900" t="s">
        <v>152</v>
      </c>
      <c r="E37900" t="s">
        <v>803</v>
      </c>
      <c r="F37900" s="2" t="str">
        <f>HYPERLINK("http://www.otzar.org/book.asp?193825","קונטרס עצת מלאכיו ישלים")</f>
        <v>קונטרס עצת מלאכיו ישלים</v>
      </c>
    </row>
    <row r="37901" spans="1:6" x14ac:dyDescent="0.2">
      <c r="A37901" t="s">
        <v>58248</v>
      </c>
      <c r="B37901" t="s">
        <v>50042</v>
      </c>
      <c r="C37901" t="s">
        <v>143</v>
      </c>
      <c r="D37901" t="s">
        <v>216</v>
      </c>
      <c r="E37901" t="s">
        <v>246</v>
      </c>
      <c r="F37901" s="2" t="str">
        <f>HYPERLINK("http://www.otzar.org/book.asp?191502","קונטרס עקבי אבירים - פסח")</f>
        <v>קונטרס עקבי אבירים - פסח</v>
      </c>
    </row>
    <row r="37902" spans="1:6" x14ac:dyDescent="0.2">
      <c r="A37902" t="s">
        <v>58249</v>
      </c>
      <c r="B37902" t="s">
        <v>58250</v>
      </c>
      <c r="C37902" t="s">
        <v>146</v>
      </c>
      <c r="D37902" t="s">
        <v>14</v>
      </c>
      <c r="E37902" t="s">
        <v>144</v>
      </c>
      <c r="F37902" s="2" t="str">
        <f>HYPERLINK("http://www.otzar.org/book.asp?162361","קונטרס עקבי אברהם")</f>
        <v>קונטרס עקבי אברהם</v>
      </c>
    </row>
    <row r="37903" spans="1:6" x14ac:dyDescent="0.2">
      <c r="A37903" t="s">
        <v>58251</v>
      </c>
      <c r="B37903" t="s">
        <v>5973</v>
      </c>
      <c r="C37903" t="s">
        <v>1169</v>
      </c>
      <c r="D37903" t="s">
        <v>260</v>
      </c>
      <c r="E37903" t="s">
        <v>58252</v>
      </c>
      <c r="F37903" s="2" t="str">
        <f>HYPERLINK("http://www.otzar.org/book.asp?14020","קונטרס ערבות")</f>
        <v>קונטרס ערבות</v>
      </c>
    </row>
    <row r="37904" spans="1:6" x14ac:dyDescent="0.2">
      <c r="A37904" t="s">
        <v>58253</v>
      </c>
      <c r="B37904" t="s">
        <v>6273</v>
      </c>
      <c r="C37904" t="s">
        <v>919</v>
      </c>
      <c r="D37904" t="s">
        <v>52</v>
      </c>
      <c r="E37904" t="s">
        <v>144</v>
      </c>
      <c r="F37904" s="2" t="str">
        <f>HYPERLINK("http://www.otzar.org/book.asp?180429","קונטרס ערבי פסחים")</f>
        <v>קונטרס ערבי פסחים</v>
      </c>
    </row>
    <row r="37905" spans="1:6" x14ac:dyDescent="0.2">
      <c r="A37905" t="s">
        <v>58254</v>
      </c>
      <c r="B37905" t="s">
        <v>1557</v>
      </c>
      <c r="C37905" t="s">
        <v>366</v>
      </c>
      <c r="D37905" t="s">
        <v>152</v>
      </c>
      <c r="F37905" s="2" t="str">
        <f>HYPERLINK("http://www.otzar.org/book.asp?610386","קונטרס עריכת השולחן - ליל הסדר")</f>
        <v>קונטרס עריכת השולחן - ליל הסדר</v>
      </c>
    </row>
    <row r="37906" spans="1:6" x14ac:dyDescent="0.2">
      <c r="A37906" t="s">
        <v>58255</v>
      </c>
      <c r="B37906" t="s">
        <v>58256</v>
      </c>
      <c r="C37906" t="s">
        <v>114</v>
      </c>
      <c r="D37906" t="s">
        <v>52</v>
      </c>
      <c r="E37906" t="s">
        <v>148</v>
      </c>
      <c r="F37906" s="2" t="str">
        <f>HYPERLINK("http://www.otzar.org/book.asp?171306","קונטרס ערכו מגן עם זר השלחן")</f>
        <v>קונטרס ערכו מגן עם זר השלחן</v>
      </c>
    </row>
    <row r="37907" spans="1:6" x14ac:dyDescent="0.2">
      <c r="A37907" t="s">
        <v>58257</v>
      </c>
      <c r="B37907" t="s">
        <v>58258</v>
      </c>
      <c r="C37907" t="s">
        <v>68</v>
      </c>
      <c r="D37907" t="s">
        <v>14</v>
      </c>
      <c r="E37907" t="s">
        <v>158</v>
      </c>
      <c r="F37907" s="2" t="str">
        <f>HYPERLINK("http://www.otzar.org/book.asp?158480","קונטרס עשבי בשמים")</f>
        <v>קונטרס עשבי בשמים</v>
      </c>
    </row>
    <row r="37908" spans="1:6" x14ac:dyDescent="0.2">
      <c r="A37908" t="s">
        <v>58259</v>
      </c>
      <c r="B37908" t="s">
        <v>58260</v>
      </c>
      <c r="D37908" t="s">
        <v>2909</v>
      </c>
      <c r="F37908" s="2" t="str">
        <f>HYPERLINK("http://www.otzar.org/book.asp?603288","קונטרס עשו חיל - דיני ומנהגי פסח לנשים ונערות")</f>
        <v>קונטרס עשו חיל - דיני ומנהגי פסח לנשים ונערות</v>
      </c>
    </row>
    <row r="37909" spans="1:6" x14ac:dyDescent="0.2">
      <c r="A37909" t="s">
        <v>58261</v>
      </c>
      <c r="B37909" t="s">
        <v>12596</v>
      </c>
      <c r="C37909" t="s">
        <v>151</v>
      </c>
      <c r="D37909" t="s">
        <v>14</v>
      </c>
      <c r="E37909" t="s">
        <v>674</v>
      </c>
      <c r="F37909" s="2" t="str">
        <f>HYPERLINK("http://www.otzar.org/book.asp?626715","קונטרס עשירית")</f>
        <v>קונטרס עשירית</v>
      </c>
    </row>
    <row r="37910" spans="1:6" x14ac:dyDescent="0.2">
      <c r="A37910" t="s">
        <v>58262</v>
      </c>
      <c r="B37910" t="s">
        <v>55972</v>
      </c>
      <c r="C37910" t="s">
        <v>23</v>
      </c>
      <c r="D37910" t="s">
        <v>90</v>
      </c>
      <c r="F37910" s="2" t="str">
        <f>HYPERLINK("http://www.otzar.org/book.asp?620510","קונטרס עשרת ימי תשובה")</f>
        <v>קונטרס עשרת ימי תשובה</v>
      </c>
    </row>
    <row r="37911" spans="1:6" x14ac:dyDescent="0.2">
      <c r="A37911" t="s">
        <v>58263</v>
      </c>
      <c r="B37911" t="s">
        <v>206</v>
      </c>
      <c r="C37911" t="s">
        <v>20</v>
      </c>
      <c r="D37911" t="s">
        <v>90</v>
      </c>
      <c r="F37911" s="2" t="str">
        <f>HYPERLINK("http://www.otzar.org/book.asp?614879","קונטרס עת הזמיר הגיע")</f>
        <v>קונטרס עת הזמיר הגיע</v>
      </c>
    </row>
    <row r="37912" spans="1:6" x14ac:dyDescent="0.2">
      <c r="A37912" t="s">
        <v>58264</v>
      </c>
      <c r="B37912" t="s">
        <v>20107</v>
      </c>
      <c r="C37912" t="s">
        <v>20</v>
      </c>
      <c r="D37912" t="s">
        <v>14</v>
      </c>
      <c r="E37912" t="s">
        <v>104</v>
      </c>
      <c r="F37912" s="2" t="str">
        <f>HYPERLINK("http://www.otzar.org/book.asp?608674","קונטרס עת ללדת")</f>
        <v>קונטרס עת ללדת</v>
      </c>
    </row>
    <row r="37913" spans="1:6" x14ac:dyDescent="0.2">
      <c r="A37913" t="s">
        <v>58265</v>
      </c>
      <c r="B37913" t="s">
        <v>58266</v>
      </c>
      <c r="C37913" t="s">
        <v>366</v>
      </c>
      <c r="D37913" t="s">
        <v>486</v>
      </c>
      <c r="F37913" s="2" t="str">
        <f>HYPERLINK("http://www.otzar.org/book.asp?608824","קונטרס עת רקוד")</f>
        <v>קונטרס עת רקוד</v>
      </c>
    </row>
    <row r="37914" spans="1:6" x14ac:dyDescent="0.2">
      <c r="A37914" t="s">
        <v>58265</v>
      </c>
      <c r="B37914" t="s">
        <v>9714</v>
      </c>
      <c r="C37914" t="s">
        <v>366</v>
      </c>
      <c r="D37914" t="s">
        <v>14</v>
      </c>
      <c r="E37914" t="s">
        <v>140</v>
      </c>
      <c r="F37914" s="2" t="str">
        <f>HYPERLINK("http://www.otzar.org/book.asp?629843","קונטרס עת רקוד")</f>
        <v>קונטרס עת רקוד</v>
      </c>
    </row>
    <row r="37915" spans="1:6" x14ac:dyDescent="0.2">
      <c r="A37915" t="s">
        <v>58267</v>
      </c>
      <c r="B37915" t="s">
        <v>12075</v>
      </c>
      <c r="C37915" t="s">
        <v>37</v>
      </c>
      <c r="D37915" t="s">
        <v>152</v>
      </c>
      <c r="F37915" s="2" t="str">
        <f>HYPERLINK("http://www.otzar.org/book.asp?629942","קונטרס פאר מזוזה")</f>
        <v>קונטרס פאר מזוזה</v>
      </c>
    </row>
    <row r="37916" spans="1:6" x14ac:dyDescent="0.2">
      <c r="A37916" t="s">
        <v>58268</v>
      </c>
      <c r="B37916" t="s">
        <v>58269</v>
      </c>
      <c r="C37916" t="s">
        <v>20</v>
      </c>
      <c r="D37916" t="s">
        <v>14</v>
      </c>
      <c r="F37916" s="2" t="str">
        <f>HYPERLINK("http://www.otzar.org/book.asp?611055","קונטרס פארו עלי")</f>
        <v>קונטרס פארו עלי</v>
      </c>
    </row>
    <row r="37917" spans="1:6" x14ac:dyDescent="0.2">
      <c r="A37917" t="s">
        <v>58270</v>
      </c>
      <c r="B37917" t="s">
        <v>58271</v>
      </c>
      <c r="C37917" t="s">
        <v>68</v>
      </c>
      <c r="D37917" t="s">
        <v>52</v>
      </c>
      <c r="E37917" t="s">
        <v>144</v>
      </c>
      <c r="F37917" s="2" t="str">
        <f>HYPERLINK("http://www.otzar.org/book.asp?191609","קונטרס פאת ים")</f>
        <v>קונטרס פאת ים</v>
      </c>
    </row>
    <row r="37918" spans="1:6" x14ac:dyDescent="0.2">
      <c r="A37918" t="s">
        <v>58272</v>
      </c>
      <c r="B37918" t="s">
        <v>58273</v>
      </c>
      <c r="C37918" t="s">
        <v>111</v>
      </c>
      <c r="D37918" t="s">
        <v>90</v>
      </c>
      <c r="F37918" s="2" t="str">
        <f>HYPERLINK("http://www.otzar.org/book.asp?618008","קונטרס פאת קדמה - 2 כר'")</f>
        <v>קונטרס פאת קדמה - 2 כר'</v>
      </c>
    </row>
    <row r="37919" spans="1:6" x14ac:dyDescent="0.2">
      <c r="A37919" t="s">
        <v>58274</v>
      </c>
      <c r="B37919" t="s">
        <v>58275</v>
      </c>
      <c r="C37919" t="s">
        <v>366</v>
      </c>
      <c r="D37919" t="s">
        <v>14</v>
      </c>
      <c r="F37919" s="2" t="str">
        <f>HYPERLINK("http://www.otzar.org/book.asp?620485","קונטרס פאת שדך")</f>
        <v>קונטרס פאת שדך</v>
      </c>
    </row>
    <row r="37920" spans="1:6" x14ac:dyDescent="0.2">
      <c r="A37920" t="s">
        <v>58276</v>
      </c>
      <c r="B37920" t="s">
        <v>3299</v>
      </c>
      <c r="C37920" t="s">
        <v>146</v>
      </c>
      <c r="D37920" t="s">
        <v>52</v>
      </c>
      <c r="F37920" s="2" t="str">
        <f>HYPERLINK("http://www.otzar.org/book.asp?163819","קונטרס פה קדוש")</f>
        <v>קונטרס פה קדוש</v>
      </c>
    </row>
    <row r="37921" spans="1:6" x14ac:dyDescent="0.2">
      <c r="A37921" t="s">
        <v>58277</v>
      </c>
      <c r="B37921" t="s">
        <v>58278</v>
      </c>
      <c r="C37921" t="s">
        <v>366</v>
      </c>
      <c r="D37921" t="s">
        <v>367</v>
      </c>
      <c r="F37921" s="2" t="str">
        <f>HYPERLINK("http://www.otzar.org/book.asp?616540","קונטרס פולמוס התרנגולים הכשרים")</f>
        <v>קונטרס פולמוס התרנגולים הכשרים</v>
      </c>
    </row>
    <row r="37922" spans="1:6" x14ac:dyDescent="0.2">
      <c r="A37922" t="s">
        <v>58279</v>
      </c>
      <c r="B37922" t="s">
        <v>39764</v>
      </c>
      <c r="C37922" t="s">
        <v>383</v>
      </c>
      <c r="D37922" t="s">
        <v>52</v>
      </c>
      <c r="E37922" t="s">
        <v>15</v>
      </c>
      <c r="F37922" s="2" t="str">
        <f>HYPERLINK("http://www.otzar.org/book.asp?194926","קונטרס פוקח עורים")</f>
        <v>קונטרס פוקח עורים</v>
      </c>
    </row>
    <row r="37923" spans="1:6" x14ac:dyDescent="0.2">
      <c r="A37923" t="s">
        <v>58280</v>
      </c>
      <c r="B37923" t="s">
        <v>54146</v>
      </c>
      <c r="C37923" t="s">
        <v>775</v>
      </c>
      <c r="D37923" t="s">
        <v>14</v>
      </c>
      <c r="E37923" t="s">
        <v>467</v>
      </c>
      <c r="F37923" s="2" t="str">
        <f>HYPERLINK("http://www.otzar.org/book.asp?60607","קונטרס פורים")</f>
        <v>קונטרס פורים</v>
      </c>
    </row>
    <row r="37924" spans="1:6" x14ac:dyDescent="0.2">
      <c r="A37924" t="s">
        <v>58280</v>
      </c>
      <c r="B37924" t="s">
        <v>6936</v>
      </c>
      <c r="C37924" t="s">
        <v>20</v>
      </c>
      <c r="D37924" t="s">
        <v>52</v>
      </c>
      <c r="E37924" t="s">
        <v>246</v>
      </c>
      <c r="F37924" s="2" t="str">
        <f>HYPERLINK("http://www.otzar.org/book.asp?180388","קונטרס פורים")</f>
        <v>קונטרס פורים</v>
      </c>
    </row>
    <row r="37925" spans="1:6" x14ac:dyDescent="0.2">
      <c r="A37925" t="s">
        <v>58280</v>
      </c>
      <c r="B37925" t="s">
        <v>58281</v>
      </c>
      <c r="C37925" t="s">
        <v>454</v>
      </c>
      <c r="D37925" t="s">
        <v>14</v>
      </c>
      <c r="E37925" t="s">
        <v>246</v>
      </c>
      <c r="F37925" s="2" t="str">
        <f>HYPERLINK("http://www.otzar.org/book.asp?174085","קונטרס פורים")</f>
        <v>קונטרס פורים</v>
      </c>
    </row>
    <row r="37926" spans="1:6" x14ac:dyDescent="0.2">
      <c r="A37926" t="s">
        <v>58282</v>
      </c>
      <c r="B37926" t="s">
        <v>39826</v>
      </c>
      <c r="C37926" t="s">
        <v>1047</v>
      </c>
      <c r="D37926" t="s">
        <v>283</v>
      </c>
      <c r="F37926" s="2" t="str">
        <f>HYPERLINK("http://www.otzar.org/book.asp?179788","קונטרס פותח דברים &lt;מהדורה מלאה&gt;")</f>
        <v>קונטרס פותח דברים &lt;מהדורה מלאה&gt;</v>
      </c>
    </row>
    <row r="37927" spans="1:6" x14ac:dyDescent="0.2">
      <c r="A37927" t="s">
        <v>58283</v>
      </c>
      <c r="B37927" t="s">
        <v>2176</v>
      </c>
      <c r="C37927" t="s">
        <v>87</v>
      </c>
      <c r="D37927" t="s">
        <v>14</v>
      </c>
      <c r="E37927" t="s">
        <v>104</v>
      </c>
      <c r="F37927" s="2" t="str">
        <f>HYPERLINK("http://www.otzar.org/book.asp?181818","קונטרס פותח שער")</f>
        <v>קונטרס פותח שער</v>
      </c>
    </row>
    <row r="37928" spans="1:6" x14ac:dyDescent="0.2">
      <c r="A37928" t="s">
        <v>58284</v>
      </c>
      <c r="B37928" t="s">
        <v>58285</v>
      </c>
      <c r="F37928" s="2" t="str">
        <f>HYPERLINK("http://www.otzar.org/book.asp?610441","קונטרס פי הבאר - 3 כר'")</f>
        <v>קונטרס פי הבאר - 3 כר'</v>
      </c>
    </row>
    <row r="37929" spans="1:6" x14ac:dyDescent="0.2">
      <c r="A37929" t="s">
        <v>58286</v>
      </c>
      <c r="B37929" t="s">
        <v>42628</v>
      </c>
      <c r="C37929" t="s">
        <v>37</v>
      </c>
      <c r="D37929" t="s">
        <v>52</v>
      </c>
      <c r="E37929" t="s">
        <v>144</v>
      </c>
      <c r="F37929" s="2" t="str">
        <f>HYPERLINK("http://www.otzar.org/book.asp?193193","קונטרס פי הבאר - איזהו נשך")</f>
        <v>קונטרס פי הבאר - איזהו נשך</v>
      </c>
    </row>
    <row r="37930" spans="1:6" x14ac:dyDescent="0.2">
      <c r="A37930" t="s">
        <v>58287</v>
      </c>
      <c r="B37930" t="s">
        <v>50566</v>
      </c>
      <c r="C37930" t="s">
        <v>366</v>
      </c>
      <c r="D37930" t="s">
        <v>14</v>
      </c>
      <c r="E37930" t="s">
        <v>15</v>
      </c>
      <c r="F37930" s="2" t="str">
        <f>HYPERLINK("http://www.otzar.org/book.asp?605617","קונטרס פי כהן - 2 כר'")</f>
        <v>קונטרס פי כהן - 2 כר'</v>
      </c>
    </row>
    <row r="37931" spans="1:6" x14ac:dyDescent="0.2">
      <c r="A37931" t="s">
        <v>58288</v>
      </c>
      <c r="B37931" t="s">
        <v>58289</v>
      </c>
      <c r="C37931" t="s">
        <v>20</v>
      </c>
      <c r="D37931" t="s">
        <v>14</v>
      </c>
      <c r="E37931" t="s">
        <v>144</v>
      </c>
      <c r="F37931" s="2" t="str">
        <f>HYPERLINK("http://www.otzar.org/book.asp?608299","קונטרס פי מלכים - 8 כר'")</f>
        <v>קונטרס פי מלכים - 8 כר'</v>
      </c>
    </row>
    <row r="37932" spans="1:6" x14ac:dyDescent="0.2">
      <c r="A37932" t="s">
        <v>58290</v>
      </c>
      <c r="B37932" t="s">
        <v>31942</v>
      </c>
      <c r="C37932" t="s">
        <v>20</v>
      </c>
      <c r="D37932" t="s">
        <v>14</v>
      </c>
      <c r="E37932" t="s">
        <v>186</v>
      </c>
      <c r="F37932" s="2" t="str">
        <f>HYPERLINK("http://www.otzar.org/book.asp?608305","קונטרס פי מלכים - 2 כר'")</f>
        <v>קונטרס פי מלכים - 2 כר'</v>
      </c>
    </row>
    <row r="37933" spans="1:6" x14ac:dyDescent="0.2">
      <c r="A37933" t="s">
        <v>58291</v>
      </c>
      <c r="B37933" t="s">
        <v>58292</v>
      </c>
      <c r="C37933" t="s">
        <v>20</v>
      </c>
      <c r="D37933" t="s">
        <v>14</v>
      </c>
      <c r="E37933" t="s">
        <v>104</v>
      </c>
      <c r="F37933" s="2" t="str">
        <f>HYPERLINK("http://www.otzar.org/book.asp?608298","קונטרס פי מלכים - 19 כר'")</f>
        <v>קונטרס פי מלכים - 19 כר'</v>
      </c>
    </row>
    <row r="37934" spans="1:6" x14ac:dyDescent="0.2">
      <c r="A37934" t="s">
        <v>58293</v>
      </c>
      <c r="B37934" t="s">
        <v>58294</v>
      </c>
      <c r="C37934" t="s">
        <v>411</v>
      </c>
      <c r="D37934" t="s">
        <v>52</v>
      </c>
      <c r="E37934" t="s">
        <v>202</v>
      </c>
      <c r="F37934" s="2" t="str">
        <f>HYPERLINK("http://www.otzar.org/book.asp?614390","קונטרס פירות האשל - 2 כר'")</f>
        <v>קונטרס פירות האשל - 2 כר'</v>
      </c>
    </row>
    <row r="37935" spans="1:6" x14ac:dyDescent="0.2">
      <c r="A37935" t="s">
        <v>58295</v>
      </c>
      <c r="B37935" t="s">
        <v>58296</v>
      </c>
      <c r="C37935" t="s">
        <v>366</v>
      </c>
      <c r="D37935" t="s">
        <v>80</v>
      </c>
      <c r="E37935" t="s">
        <v>84</v>
      </c>
      <c r="F37935" s="2" t="str">
        <f>HYPERLINK("http://www.otzar.org/book.asp?608359","קונטרס פירות השביעית")</f>
        <v>קונטרס פירות השביעית</v>
      </c>
    </row>
    <row r="37936" spans="1:6" x14ac:dyDescent="0.2">
      <c r="A37936" t="s">
        <v>58297</v>
      </c>
      <c r="B37936" t="s">
        <v>31942</v>
      </c>
      <c r="C37936" t="s">
        <v>20</v>
      </c>
      <c r="D37936" t="s">
        <v>14</v>
      </c>
      <c r="E37936" t="s">
        <v>202</v>
      </c>
      <c r="F37936" s="2" t="str">
        <f>HYPERLINK("http://www.otzar.org/book.asp?608324","קונטרס פירותיך מתוקים")</f>
        <v>קונטרס פירותיך מתוקים</v>
      </c>
    </row>
    <row r="37937" spans="1:6" x14ac:dyDescent="0.2">
      <c r="A37937" t="s">
        <v>58298</v>
      </c>
      <c r="B37937" t="s">
        <v>12570</v>
      </c>
      <c r="C37937" t="s">
        <v>51</v>
      </c>
      <c r="D37937" t="s">
        <v>14</v>
      </c>
      <c r="E37937" t="s">
        <v>144</v>
      </c>
      <c r="F37937" s="2" t="str">
        <f>HYPERLINK("http://www.otzar.org/book.asp?160800","קונטרס פלאות עדותיך")</f>
        <v>קונטרס פלאות עדותיך</v>
      </c>
    </row>
    <row r="37938" spans="1:6" x14ac:dyDescent="0.2">
      <c r="A37938" t="s">
        <v>58299</v>
      </c>
      <c r="B37938" t="s">
        <v>57171</v>
      </c>
      <c r="C37938" t="s">
        <v>17</v>
      </c>
      <c r="D37938" t="s">
        <v>3560</v>
      </c>
      <c r="E37938" t="s">
        <v>144</v>
      </c>
      <c r="F37938" s="2" t="str">
        <f>HYPERLINK("http://www.otzar.org/book.asp?609161","קונטרס פלפול התלמידים - מכות")</f>
        <v>קונטרס פלפול התלמידים - מכות</v>
      </c>
    </row>
    <row r="37939" spans="1:6" x14ac:dyDescent="0.2">
      <c r="A37939" t="s">
        <v>58300</v>
      </c>
      <c r="B37939" t="s">
        <v>30609</v>
      </c>
      <c r="C37939" t="s">
        <v>244</v>
      </c>
      <c r="D37939" t="s">
        <v>3560</v>
      </c>
      <c r="F37939" s="2" t="str">
        <f>HYPERLINK("http://www.otzar.org/book.asp?609761","קונטרס פנחס הוא אליהו")</f>
        <v>קונטרס פנחס הוא אליהו</v>
      </c>
    </row>
    <row r="37940" spans="1:6" x14ac:dyDescent="0.2">
      <c r="A37940" t="s">
        <v>58301</v>
      </c>
      <c r="B37940" t="s">
        <v>51227</v>
      </c>
      <c r="C37940" t="s">
        <v>411</v>
      </c>
      <c r="D37940" t="s">
        <v>52</v>
      </c>
      <c r="E37940" t="s">
        <v>144</v>
      </c>
      <c r="F37940" s="2" t="str">
        <f>HYPERLINK("http://www.otzar.org/book.asp?600813","קונטרס פני הבית")</f>
        <v>קונטרס פני הבית</v>
      </c>
    </row>
    <row r="37941" spans="1:6" x14ac:dyDescent="0.2">
      <c r="A37941" t="s">
        <v>58302</v>
      </c>
      <c r="B37941" t="s">
        <v>58303</v>
      </c>
      <c r="C37941" t="s">
        <v>1811</v>
      </c>
      <c r="D37941" t="s">
        <v>21</v>
      </c>
      <c r="E37941" t="s">
        <v>144</v>
      </c>
      <c r="F37941" s="2" t="str">
        <f>HYPERLINK("http://www.otzar.org/book.asp?194920","קונטרס פני יהושע")</f>
        <v>קונטרס פני יהושע</v>
      </c>
    </row>
    <row r="37942" spans="1:6" x14ac:dyDescent="0.2">
      <c r="A37942" t="s">
        <v>58304</v>
      </c>
      <c r="B37942" t="s">
        <v>58305</v>
      </c>
      <c r="C37942" t="s">
        <v>23</v>
      </c>
      <c r="D37942" t="s">
        <v>52</v>
      </c>
      <c r="E37942" t="s">
        <v>104</v>
      </c>
      <c r="F37942" s="2" t="str">
        <f>HYPERLINK("http://www.otzar.org/book.asp?608569","קונטרס פני ליש")</f>
        <v>קונטרס פני ליש</v>
      </c>
    </row>
    <row r="37943" spans="1:6" x14ac:dyDescent="0.2">
      <c r="A37943" t="s">
        <v>58306</v>
      </c>
      <c r="B37943" t="s">
        <v>58307</v>
      </c>
      <c r="C37943" t="s">
        <v>13</v>
      </c>
      <c r="D37943" t="s">
        <v>14</v>
      </c>
      <c r="E37943" t="s">
        <v>144</v>
      </c>
      <c r="F37943" s="2" t="str">
        <f>HYPERLINK("http://www.otzar.org/book.asp?166259","קונטרס פני משה - בבא קמא")</f>
        <v>קונטרס פני משה - בבא קמא</v>
      </c>
    </row>
    <row r="37944" spans="1:6" x14ac:dyDescent="0.2">
      <c r="A37944" t="s">
        <v>58308</v>
      </c>
      <c r="B37944" t="s">
        <v>58309</v>
      </c>
      <c r="C37944" t="s">
        <v>411</v>
      </c>
      <c r="D37944" t="s">
        <v>367</v>
      </c>
      <c r="E37944" t="s">
        <v>15</v>
      </c>
      <c r="F37944" s="2" t="str">
        <f>HYPERLINK("http://www.otzar.org/book.asp?189841","קונטרס פני משה - בשר בחלב תערובות ועניני פסח")</f>
        <v>קונטרס פני משה - בשר בחלב תערובות ועניני פסח</v>
      </c>
    </row>
    <row r="37945" spans="1:6" x14ac:dyDescent="0.2">
      <c r="A37945" t="s">
        <v>58310</v>
      </c>
      <c r="B37945" t="s">
        <v>46635</v>
      </c>
      <c r="C37945" t="s">
        <v>20</v>
      </c>
      <c r="D37945" t="s">
        <v>806</v>
      </c>
      <c r="E37945" t="s">
        <v>234</v>
      </c>
      <c r="F37945" s="2" t="str">
        <f>HYPERLINK("http://www.otzar.org/book.asp?199589","קונטרס פני שלמה")</f>
        <v>קונטרס פני שלמה</v>
      </c>
    </row>
    <row r="37946" spans="1:6" x14ac:dyDescent="0.2">
      <c r="A37946" t="s">
        <v>58311</v>
      </c>
      <c r="B37946" t="s">
        <v>58312</v>
      </c>
      <c r="C37946" t="s">
        <v>366</v>
      </c>
      <c r="D37946" t="s">
        <v>52</v>
      </c>
      <c r="E37946" t="s">
        <v>230</v>
      </c>
      <c r="F37946" s="2" t="str">
        <f>HYPERLINK("http://www.otzar.org/book.asp?609017","קונטרס פניני אבותינו - פקודת משה")</f>
        <v>קונטרס פניני אבותינו - פקודת משה</v>
      </c>
    </row>
    <row r="37947" spans="1:6" x14ac:dyDescent="0.2">
      <c r="A37947" t="s">
        <v>58313</v>
      </c>
      <c r="B37947" t="s">
        <v>58314</v>
      </c>
      <c r="C37947" t="s">
        <v>411</v>
      </c>
      <c r="D37947" t="s">
        <v>14</v>
      </c>
      <c r="E37947" t="s">
        <v>246</v>
      </c>
      <c r="F37947" s="2" t="str">
        <f>HYPERLINK("http://www.otzar.org/book.asp?173530","קונטרס פניני אבי""ע - 2 כר'")</f>
        <v>קונטרס פניני אבי"ע - 2 כר'</v>
      </c>
    </row>
    <row r="37948" spans="1:6" x14ac:dyDescent="0.2">
      <c r="A37948" t="s">
        <v>58315</v>
      </c>
      <c r="B37948" t="s">
        <v>58316</v>
      </c>
      <c r="C37948" t="s">
        <v>68</v>
      </c>
      <c r="D37948" t="s">
        <v>21</v>
      </c>
      <c r="E37948" t="s">
        <v>230</v>
      </c>
      <c r="F37948" s="2" t="str">
        <f>HYPERLINK("http://www.otzar.org/book.asp?603478","קונטרס פניני בנימין")</f>
        <v>קונטרס פניני בנימין</v>
      </c>
    </row>
    <row r="37949" spans="1:6" x14ac:dyDescent="0.2">
      <c r="A37949" t="s">
        <v>58317</v>
      </c>
      <c r="B37949" t="s">
        <v>52202</v>
      </c>
      <c r="C37949" t="s">
        <v>20</v>
      </c>
      <c r="D37949" t="s">
        <v>657</v>
      </c>
      <c r="E37949" t="s">
        <v>130</v>
      </c>
      <c r="F37949" s="2" t="str">
        <f>HYPERLINK("http://www.otzar.org/book.asp?626731","קונטרס פניני הלל")</f>
        <v>קונטרס פניני הלל</v>
      </c>
    </row>
    <row r="37950" spans="1:6" x14ac:dyDescent="0.2">
      <c r="A37950" t="s">
        <v>58318</v>
      </c>
      <c r="B37950" t="s">
        <v>58319</v>
      </c>
      <c r="C37950" t="s">
        <v>68</v>
      </c>
      <c r="D37950" t="s">
        <v>14</v>
      </c>
      <c r="E37950" t="s">
        <v>158</v>
      </c>
      <c r="F37950" s="2" t="str">
        <f>HYPERLINK("http://www.otzar.org/book.asp?172078","קונטרס פניני המגילה")</f>
        <v>קונטרס פניני המגילה</v>
      </c>
    </row>
    <row r="37951" spans="1:6" x14ac:dyDescent="0.2">
      <c r="A37951" t="s">
        <v>58320</v>
      </c>
      <c r="B37951" t="s">
        <v>58321</v>
      </c>
      <c r="C37951" t="s">
        <v>111</v>
      </c>
      <c r="D37951" t="s">
        <v>52</v>
      </c>
      <c r="F37951" s="2" t="str">
        <f>HYPERLINK("http://www.otzar.org/book.asp?632057","קונטרס פניני יוסף")</f>
        <v>קונטרס פניני יוסף</v>
      </c>
    </row>
    <row r="37952" spans="1:6" x14ac:dyDescent="0.2">
      <c r="A37952" t="s">
        <v>58322</v>
      </c>
      <c r="B37952" t="s">
        <v>56143</v>
      </c>
      <c r="C37952" t="s">
        <v>111</v>
      </c>
      <c r="D37952" t="s">
        <v>367</v>
      </c>
      <c r="F37952" s="2" t="str">
        <f>HYPERLINK("http://www.otzar.org/book.asp?621103","קונטרס פניני יעקב")</f>
        <v>קונטרס פניני יעקב</v>
      </c>
    </row>
    <row r="37953" spans="1:6" x14ac:dyDescent="0.2">
      <c r="A37953" t="s">
        <v>58323</v>
      </c>
      <c r="B37953" t="s">
        <v>58324</v>
      </c>
      <c r="C37953" t="s">
        <v>151</v>
      </c>
      <c r="D37953" t="s">
        <v>412</v>
      </c>
      <c r="F37953" s="2" t="str">
        <f>HYPERLINK("http://www.otzar.org/book.asp?609989","קונטרס פניני לב מנחם")</f>
        <v>קונטרס פניני לב מנחם</v>
      </c>
    </row>
    <row r="37954" spans="1:6" x14ac:dyDescent="0.2">
      <c r="A37954" t="s">
        <v>58325</v>
      </c>
      <c r="B37954" t="s">
        <v>58326</v>
      </c>
      <c r="C37954" t="s">
        <v>129</v>
      </c>
      <c r="D37954" t="s">
        <v>14</v>
      </c>
      <c r="F37954" s="2" t="str">
        <f>HYPERLINK("http://www.otzar.org/book.asp?85896","קונטרס פניני משה")</f>
        <v>קונטרס פניני משה</v>
      </c>
    </row>
    <row r="37955" spans="1:6" x14ac:dyDescent="0.2">
      <c r="A37955" t="s">
        <v>58327</v>
      </c>
      <c r="B37955" t="s">
        <v>15154</v>
      </c>
      <c r="C37955" t="s">
        <v>3840</v>
      </c>
      <c r="D37955" t="s">
        <v>412</v>
      </c>
      <c r="F37955" s="2" t="str">
        <f>HYPERLINK("http://www.otzar.org/book.asp?620905","קונטרס פסח תשי""א - 3 כר'")</f>
        <v>קונטרס פסח תשי"א - 3 כר'</v>
      </c>
    </row>
    <row r="37956" spans="1:6" x14ac:dyDescent="0.2">
      <c r="A37956" t="s">
        <v>58328</v>
      </c>
      <c r="B37956" t="s">
        <v>54146</v>
      </c>
      <c r="C37956" t="s">
        <v>523</v>
      </c>
      <c r="D37956" t="s">
        <v>14</v>
      </c>
      <c r="E37956" t="s">
        <v>467</v>
      </c>
      <c r="F37956" s="2" t="str">
        <f>HYPERLINK("http://www.otzar.org/book.asp?60605","קונטרס פסח")</f>
        <v>קונטרס פסח</v>
      </c>
    </row>
    <row r="37957" spans="1:6" x14ac:dyDescent="0.2">
      <c r="A37957" t="s">
        <v>58328</v>
      </c>
      <c r="B37957" t="s">
        <v>6936</v>
      </c>
      <c r="C37957" t="s">
        <v>20</v>
      </c>
      <c r="D37957" t="s">
        <v>52</v>
      </c>
      <c r="E37957" t="s">
        <v>246</v>
      </c>
      <c r="F37957" s="2" t="str">
        <f>HYPERLINK("http://www.otzar.org/book.asp?180449","קונטרס פסח")</f>
        <v>קונטרס פסח</v>
      </c>
    </row>
    <row r="37958" spans="1:6" x14ac:dyDescent="0.2">
      <c r="A37958" t="s">
        <v>58328</v>
      </c>
      <c r="B37958" t="s">
        <v>58281</v>
      </c>
      <c r="C37958" t="s">
        <v>454</v>
      </c>
      <c r="D37958" t="s">
        <v>14</v>
      </c>
      <c r="E37958" t="s">
        <v>246</v>
      </c>
      <c r="F37958" s="2" t="str">
        <f>HYPERLINK("http://www.otzar.org/book.asp?174087","קונטרס פסח")</f>
        <v>קונטרס פסח</v>
      </c>
    </row>
    <row r="37959" spans="1:6" x14ac:dyDescent="0.2">
      <c r="A37959" t="s">
        <v>58329</v>
      </c>
      <c r="B37959" t="s">
        <v>49889</v>
      </c>
      <c r="C37959" t="s">
        <v>411</v>
      </c>
      <c r="D37959" t="s">
        <v>14</v>
      </c>
      <c r="E37959" t="s">
        <v>246</v>
      </c>
      <c r="F37959" s="2" t="str">
        <f>HYPERLINK("http://www.otzar.org/book.asp?196521","קונטרס פסקי הלכות - 6 כר'")</f>
        <v>קונטרס פסקי הלכות - 6 כר'</v>
      </c>
    </row>
    <row r="37960" spans="1:6" x14ac:dyDescent="0.2">
      <c r="A37960" t="s">
        <v>58330</v>
      </c>
      <c r="B37960" t="s">
        <v>58331</v>
      </c>
      <c r="C37960" t="s">
        <v>366</v>
      </c>
      <c r="D37960" t="s">
        <v>4996</v>
      </c>
      <c r="F37960" s="2" t="str">
        <f>HYPERLINK("http://www.otzar.org/book.asp?610570","קונטרס פסקי הלכות - נדה")</f>
        <v>קונטרס פסקי הלכות - נדה</v>
      </c>
    </row>
    <row r="37961" spans="1:6" x14ac:dyDescent="0.2">
      <c r="A37961" t="s">
        <v>58332</v>
      </c>
      <c r="B37961" t="s">
        <v>51642</v>
      </c>
      <c r="C37961" t="s">
        <v>17</v>
      </c>
      <c r="D37961" t="s">
        <v>14</v>
      </c>
      <c r="E37961" t="s">
        <v>246</v>
      </c>
      <c r="F37961" s="2" t="str">
        <f>HYPERLINK("http://www.otzar.org/book.asp?628728","קונטרס פסקי הלכות")</f>
        <v>קונטרס פסקי הלכות</v>
      </c>
    </row>
    <row r="37962" spans="1:6" x14ac:dyDescent="0.2">
      <c r="A37962" t="s">
        <v>58333</v>
      </c>
      <c r="B37962" t="s">
        <v>58334</v>
      </c>
      <c r="C37962" t="s">
        <v>129</v>
      </c>
      <c r="D37962" t="s">
        <v>152</v>
      </c>
      <c r="E37962" t="s">
        <v>15</v>
      </c>
      <c r="F37962" s="2" t="str">
        <f>HYPERLINK("http://www.otzar.org/book.asp?142454","קונטרס פסקים וביאורים בהלכות טהרה")</f>
        <v>קונטרס פסקים וביאורים בהלכות טהרה</v>
      </c>
    </row>
    <row r="37963" spans="1:6" x14ac:dyDescent="0.2">
      <c r="A37963" t="s">
        <v>58335</v>
      </c>
      <c r="B37963" t="s">
        <v>35351</v>
      </c>
      <c r="C37963" t="s">
        <v>133</v>
      </c>
      <c r="D37963" t="s">
        <v>52</v>
      </c>
      <c r="E37963" t="s">
        <v>15</v>
      </c>
      <c r="F37963" s="2" t="str">
        <f>HYPERLINK("http://www.otzar.org/book.asp?188824","קונטרס פעמיך בנעלים - נקיון כפי")</f>
        <v>קונטרס פעמיך בנעלים - נקיון כפי</v>
      </c>
    </row>
    <row r="37964" spans="1:6" x14ac:dyDescent="0.2">
      <c r="A37964" t="s">
        <v>58336</v>
      </c>
      <c r="B37964" t="s">
        <v>58337</v>
      </c>
      <c r="C37964" t="s">
        <v>133</v>
      </c>
      <c r="D37964" t="s">
        <v>52</v>
      </c>
      <c r="E37964" t="s">
        <v>158</v>
      </c>
      <c r="F37964" s="2" t="str">
        <f>HYPERLINK("http://www.otzar.org/book.asp?171250","קונטרס פקודת משה - שמות")</f>
        <v>קונטרס פקודת משה - שמות</v>
      </c>
    </row>
    <row r="37965" spans="1:6" x14ac:dyDescent="0.2">
      <c r="A37965" t="s">
        <v>58338</v>
      </c>
      <c r="B37965" t="s">
        <v>30077</v>
      </c>
      <c r="C37965" t="s">
        <v>244</v>
      </c>
      <c r="D37965" t="s">
        <v>14</v>
      </c>
      <c r="E37965" t="s">
        <v>104</v>
      </c>
      <c r="F37965" s="2" t="str">
        <f>HYPERLINK("http://www.otzar.org/book.asp?606439","קונטרס פרדס התורה")</f>
        <v>קונטרס פרדס התורה</v>
      </c>
    </row>
    <row r="37966" spans="1:6" x14ac:dyDescent="0.2">
      <c r="A37966" t="s">
        <v>58339</v>
      </c>
      <c r="B37966" t="s">
        <v>58340</v>
      </c>
      <c r="C37966" t="s">
        <v>20</v>
      </c>
      <c r="D37966" t="s">
        <v>152</v>
      </c>
      <c r="E37966" t="s">
        <v>144</v>
      </c>
      <c r="F37966" s="2" t="str">
        <f>HYPERLINK("http://www.otzar.org/book.asp?629799","קונטרס פרזות מרדכי")</f>
        <v>קונטרס פרזות מרדכי</v>
      </c>
    </row>
    <row r="37967" spans="1:6" x14ac:dyDescent="0.2">
      <c r="A37967" t="s">
        <v>58341</v>
      </c>
      <c r="B37967" t="s">
        <v>1750</v>
      </c>
      <c r="C37967" t="s">
        <v>133</v>
      </c>
      <c r="D37967" t="s">
        <v>90</v>
      </c>
      <c r="F37967" s="2" t="str">
        <f>HYPERLINK("http://www.otzar.org/book.asp?197981","קונטרס פרח מטה אהרן - ב")</f>
        <v>קונטרס פרח מטה אהרן - ב</v>
      </c>
    </row>
    <row r="37968" spans="1:6" x14ac:dyDescent="0.2">
      <c r="A37968" t="s">
        <v>58342</v>
      </c>
      <c r="B37968" t="s">
        <v>38943</v>
      </c>
      <c r="C37968" t="s">
        <v>68</v>
      </c>
      <c r="D37968" t="s">
        <v>80</v>
      </c>
      <c r="E37968" t="s">
        <v>144</v>
      </c>
      <c r="F37968" s="2" t="str">
        <f>HYPERLINK("http://www.otzar.org/book.asp?196776","קונטרס פרי אברהם")</f>
        <v>קונטרס פרי אברהם</v>
      </c>
    </row>
    <row r="37969" spans="1:6" x14ac:dyDescent="0.2">
      <c r="A37969" t="s">
        <v>58343</v>
      </c>
      <c r="B37969" t="s">
        <v>51982</v>
      </c>
      <c r="C37969" t="s">
        <v>767</v>
      </c>
      <c r="D37969" t="s">
        <v>52</v>
      </c>
      <c r="E37969" t="s">
        <v>144</v>
      </c>
      <c r="F37969" s="2" t="str">
        <f>HYPERLINK("http://www.otzar.org/book.asp?85056","קונטרס פרי דוד")</f>
        <v>קונטרס פרי דוד</v>
      </c>
    </row>
    <row r="37970" spans="1:6" x14ac:dyDescent="0.2">
      <c r="A37970" t="s">
        <v>58344</v>
      </c>
      <c r="B37970" t="s">
        <v>58345</v>
      </c>
      <c r="C37970" t="s">
        <v>244</v>
      </c>
      <c r="D37970" t="s">
        <v>147</v>
      </c>
      <c r="F37970" s="2" t="str">
        <f>HYPERLINK("http://www.otzar.org/book.asp?198604","קונטרס פרי הדר")</f>
        <v>קונטרס פרי הדר</v>
      </c>
    </row>
    <row r="37971" spans="1:6" x14ac:dyDescent="0.2">
      <c r="A37971" t="s">
        <v>58346</v>
      </c>
      <c r="B37971" t="s">
        <v>52049</v>
      </c>
      <c r="C37971" t="s">
        <v>20</v>
      </c>
      <c r="D37971" t="s">
        <v>90</v>
      </c>
      <c r="E37971" t="s">
        <v>144</v>
      </c>
      <c r="F37971" s="2" t="str">
        <f>HYPERLINK("http://www.otzar.org/book.asp?180816","קונטרס פרי טוב - 12 כר'")</f>
        <v>קונטרס פרי טוב - 12 כר'</v>
      </c>
    </row>
    <row r="37972" spans="1:6" x14ac:dyDescent="0.2">
      <c r="A37972" t="s">
        <v>58347</v>
      </c>
      <c r="B37972" t="s">
        <v>58348</v>
      </c>
      <c r="C37972" t="s">
        <v>133</v>
      </c>
      <c r="D37972" t="s">
        <v>90</v>
      </c>
      <c r="E37972" t="s">
        <v>144</v>
      </c>
      <c r="F37972" s="2" t="str">
        <f>HYPERLINK("http://www.otzar.org/book.asp?615566","קונטרס פרי לאברהם - נדרים")</f>
        <v>קונטרס פרי לאברהם - נדרים</v>
      </c>
    </row>
    <row r="37973" spans="1:6" x14ac:dyDescent="0.2">
      <c r="A37973" t="s">
        <v>58349</v>
      </c>
      <c r="B37973" t="s">
        <v>58350</v>
      </c>
      <c r="C37973" t="s">
        <v>151</v>
      </c>
      <c r="D37973" t="s">
        <v>1156</v>
      </c>
      <c r="F37973" s="2" t="str">
        <f>HYPERLINK("http://www.otzar.org/book.asp?616095","קונטרס פרי משפט")</f>
        <v>קונטרס פרי משפט</v>
      </c>
    </row>
    <row r="37974" spans="1:6" x14ac:dyDescent="0.2">
      <c r="A37974" t="s">
        <v>58351</v>
      </c>
      <c r="B37974" t="s">
        <v>51963</v>
      </c>
      <c r="C37974" t="s">
        <v>366</v>
      </c>
      <c r="D37974" t="s">
        <v>21</v>
      </c>
      <c r="F37974" s="2" t="str">
        <f>HYPERLINK("http://www.otzar.org/book.asp?601477","קונטרס פרי עוז")</f>
        <v>קונטרס פרי עוז</v>
      </c>
    </row>
    <row r="37975" spans="1:6" x14ac:dyDescent="0.2">
      <c r="A37975" t="s">
        <v>58352</v>
      </c>
      <c r="B37975" t="s">
        <v>3768</v>
      </c>
      <c r="C37975" t="s">
        <v>767</v>
      </c>
      <c r="D37975" t="s">
        <v>52</v>
      </c>
      <c r="E37975" t="s">
        <v>144</v>
      </c>
      <c r="F37975" s="2" t="str">
        <f>HYPERLINK("http://www.otzar.org/book.asp?148820","קונטרס פרי עץ הגן")</f>
        <v>קונטרס פרי עץ הגן</v>
      </c>
    </row>
    <row r="37976" spans="1:6" x14ac:dyDescent="0.2">
      <c r="A37976" t="s">
        <v>58353</v>
      </c>
      <c r="B37976" t="s">
        <v>58354</v>
      </c>
      <c r="F37976" s="2" t="str">
        <f>HYPERLINK("http://www.otzar.org/book.asp?620495","קונטרס פרי עץ הדעת טוב")</f>
        <v>קונטרס פרי עץ הדעת טוב</v>
      </c>
    </row>
    <row r="37977" spans="1:6" x14ac:dyDescent="0.2">
      <c r="A37977" t="s">
        <v>58355</v>
      </c>
      <c r="B37977" t="s">
        <v>206</v>
      </c>
      <c r="C37977" t="s">
        <v>20</v>
      </c>
      <c r="D37977" t="s">
        <v>90</v>
      </c>
      <c r="E37977" t="s">
        <v>130</v>
      </c>
      <c r="F37977" s="2" t="str">
        <f>HYPERLINK("http://www.otzar.org/book.asp?193727","קונטרס פרי עץ הדר")</f>
        <v>קונטרס פרי עץ הדר</v>
      </c>
    </row>
    <row r="37978" spans="1:6" x14ac:dyDescent="0.2">
      <c r="A37978" t="s">
        <v>58355</v>
      </c>
      <c r="B37978" t="s">
        <v>58356</v>
      </c>
      <c r="C37978" t="s">
        <v>129</v>
      </c>
      <c r="D37978" t="s">
        <v>367</v>
      </c>
      <c r="E37978" t="s">
        <v>130</v>
      </c>
      <c r="F37978" s="2" t="str">
        <f>HYPERLINK("http://www.otzar.org/book.asp?168346","קונטרס פרי עץ הדר")</f>
        <v>קונטרס פרי עץ הדר</v>
      </c>
    </row>
    <row r="37979" spans="1:6" x14ac:dyDescent="0.2">
      <c r="A37979" t="s">
        <v>58357</v>
      </c>
      <c r="B37979" t="s">
        <v>58358</v>
      </c>
      <c r="C37979" t="s">
        <v>313</v>
      </c>
      <c r="D37979" t="s">
        <v>14</v>
      </c>
      <c r="E37979" t="s">
        <v>144</v>
      </c>
      <c r="F37979" s="2" t="str">
        <f>HYPERLINK("http://www.otzar.org/book.asp?167002","קונטרס פרי שרגא")</f>
        <v>קונטרס פרי שרגא</v>
      </c>
    </row>
    <row r="37980" spans="1:6" x14ac:dyDescent="0.2">
      <c r="A37980" t="s">
        <v>58359</v>
      </c>
      <c r="B37980" t="s">
        <v>58360</v>
      </c>
      <c r="C37980" t="s">
        <v>111</v>
      </c>
      <c r="D37980" t="s">
        <v>14</v>
      </c>
      <c r="E37980" t="s">
        <v>15</v>
      </c>
      <c r="F37980" s="2" t="str">
        <f>HYPERLINK("http://www.otzar.org/book.asp?630888","קונטרס פריסת שלומים")</f>
        <v>קונטרס פריסת שלומים</v>
      </c>
    </row>
    <row r="37981" spans="1:6" x14ac:dyDescent="0.2">
      <c r="A37981" t="s">
        <v>58361</v>
      </c>
      <c r="B37981" t="s">
        <v>58362</v>
      </c>
      <c r="C37981" t="s">
        <v>23</v>
      </c>
      <c r="E37981" t="s">
        <v>246</v>
      </c>
      <c r="F37981" s="2" t="str">
        <f>HYPERLINK("http://www.otzar.org/book.asp?604918","קונטרס פרסומי ניסא")</f>
        <v>קונטרס פרסומי ניסא</v>
      </c>
    </row>
    <row r="37982" spans="1:6" x14ac:dyDescent="0.2">
      <c r="A37982" t="s">
        <v>58363</v>
      </c>
      <c r="B37982" t="s">
        <v>58364</v>
      </c>
      <c r="C37982" t="s">
        <v>151</v>
      </c>
      <c r="D37982" t="s">
        <v>14</v>
      </c>
      <c r="F37982" s="2" t="str">
        <f>HYPERLINK("http://www.otzar.org/book.asp?610265","קונטרס פרקי תשובה")</f>
        <v>קונטרס פרקי תשובה</v>
      </c>
    </row>
    <row r="37983" spans="1:6" x14ac:dyDescent="0.2">
      <c r="A37983" t="s">
        <v>58365</v>
      </c>
      <c r="B37983" t="s">
        <v>58366</v>
      </c>
      <c r="C37983" t="s">
        <v>151</v>
      </c>
      <c r="D37983" t="s">
        <v>90</v>
      </c>
      <c r="E37983" t="s">
        <v>144</v>
      </c>
      <c r="F37983" s="2" t="str">
        <f>HYPERLINK("http://www.otzar.org/book.asp?619087","קונטרס פשט ודרש")</f>
        <v>קונטרס פשט ודרש</v>
      </c>
    </row>
    <row r="37984" spans="1:6" x14ac:dyDescent="0.2">
      <c r="A37984" t="s">
        <v>58367</v>
      </c>
      <c r="B37984" t="s">
        <v>58076</v>
      </c>
      <c r="C37984" t="s">
        <v>411</v>
      </c>
      <c r="D37984" t="s">
        <v>90</v>
      </c>
      <c r="E37984" t="s">
        <v>158</v>
      </c>
      <c r="F37984" s="2" t="str">
        <f>HYPERLINK("http://www.otzar.org/book.asp?603199","קונטרס פתגם המלך")</f>
        <v>קונטרס פתגם המלך</v>
      </c>
    </row>
    <row r="37985" spans="1:6" x14ac:dyDescent="0.2">
      <c r="A37985" t="s">
        <v>58368</v>
      </c>
      <c r="B37985" t="s">
        <v>11068</v>
      </c>
      <c r="C37985" t="s">
        <v>17</v>
      </c>
      <c r="D37985" t="s">
        <v>486</v>
      </c>
      <c r="F37985" s="2" t="str">
        <f>HYPERLINK("http://www.otzar.org/book.asp?612529","קונטרס פתגמי אורייתא - 7 כר'")</f>
        <v>קונטרס פתגמי אורייתא - 7 כר'</v>
      </c>
    </row>
    <row r="37986" spans="1:6" x14ac:dyDescent="0.2">
      <c r="A37986" t="s">
        <v>58369</v>
      </c>
      <c r="B37986" t="s">
        <v>9348</v>
      </c>
      <c r="C37986" t="s">
        <v>20</v>
      </c>
      <c r="D37986" t="s">
        <v>2468</v>
      </c>
      <c r="E37986" t="s">
        <v>104</v>
      </c>
      <c r="F37986" s="2" t="str">
        <f>HYPERLINK("http://www.otzar.org/book.asp?160080","קונטרס פתגמי דאורייתא")</f>
        <v>קונטרס פתגמי דאורייתא</v>
      </c>
    </row>
    <row r="37987" spans="1:6" x14ac:dyDescent="0.2">
      <c r="A37987" t="s">
        <v>58370</v>
      </c>
      <c r="B37987" t="s">
        <v>58371</v>
      </c>
      <c r="C37987" t="s">
        <v>454</v>
      </c>
      <c r="D37987" t="s">
        <v>52</v>
      </c>
      <c r="E37987" t="s">
        <v>148</v>
      </c>
      <c r="F37987" s="2" t="str">
        <f>HYPERLINK("http://www.otzar.org/book.asp?173482","קונטרס פתוחי חותם")</f>
        <v>קונטרס פתוחי חותם</v>
      </c>
    </row>
    <row r="37988" spans="1:6" x14ac:dyDescent="0.2">
      <c r="A37988" t="s">
        <v>58372</v>
      </c>
      <c r="B37988" t="s">
        <v>55736</v>
      </c>
      <c r="C37988" t="s">
        <v>20</v>
      </c>
      <c r="D37988" t="s">
        <v>90</v>
      </c>
      <c r="E37988" t="s">
        <v>130</v>
      </c>
      <c r="F37988" s="2" t="str">
        <f>HYPERLINK("http://www.otzar.org/book.asp?629880","קונטרס פתורא חדתא")</f>
        <v>קונטרס פתורא חדתא</v>
      </c>
    </row>
    <row r="37989" spans="1:6" x14ac:dyDescent="0.2">
      <c r="A37989" t="s">
        <v>58373</v>
      </c>
      <c r="B37989" t="s">
        <v>24998</v>
      </c>
      <c r="C37989" t="s">
        <v>20</v>
      </c>
      <c r="D37989" t="s">
        <v>721</v>
      </c>
      <c r="F37989" s="2" t="str">
        <f>HYPERLINK("http://www.otzar.org/book.asp?620384","קונטרס פתח דבריך יאיר")</f>
        <v>קונטרס פתח דבריך יאיר</v>
      </c>
    </row>
    <row r="37990" spans="1:6" x14ac:dyDescent="0.2">
      <c r="A37990" t="s">
        <v>58373</v>
      </c>
      <c r="B37990" t="s">
        <v>58374</v>
      </c>
      <c r="C37990" t="s">
        <v>411</v>
      </c>
      <c r="D37990" t="s">
        <v>90</v>
      </c>
      <c r="F37990" s="2" t="str">
        <f>HYPERLINK("http://www.otzar.org/book.asp?605790","קונטרס פתח דבריך יאיר")</f>
        <v>קונטרס פתח דבריך יאיר</v>
      </c>
    </row>
    <row r="37991" spans="1:6" x14ac:dyDescent="0.2">
      <c r="A37991" t="s">
        <v>58375</v>
      </c>
      <c r="B37991" t="s">
        <v>58376</v>
      </c>
      <c r="C37991" t="s">
        <v>17</v>
      </c>
      <c r="D37991" t="s">
        <v>14</v>
      </c>
      <c r="E37991" t="s">
        <v>15</v>
      </c>
      <c r="F37991" s="2" t="str">
        <f>HYPERLINK("http://www.otzar.org/book.asp?194908","קונטרס פתח הבית - 7 כר'")</f>
        <v>קונטרס פתח הבית - 7 כר'</v>
      </c>
    </row>
    <row r="37992" spans="1:6" x14ac:dyDescent="0.2">
      <c r="A37992" t="s">
        <v>58377</v>
      </c>
      <c r="B37992" t="s">
        <v>51173</v>
      </c>
      <c r="C37992" t="s">
        <v>133</v>
      </c>
      <c r="D37992" t="s">
        <v>14</v>
      </c>
      <c r="E37992" t="s">
        <v>3516</v>
      </c>
      <c r="F37992" s="2" t="str">
        <f>HYPERLINK("http://www.otzar.org/book.asp?171826","קונטרס פתח הבית - 13 כר'")</f>
        <v>קונטרס פתח הבית - 13 כר'</v>
      </c>
    </row>
    <row r="37993" spans="1:6" x14ac:dyDescent="0.2">
      <c r="A37993" t="s">
        <v>58378</v>
      </c>
      <c r="B37993" t="s">
        <v>58379</v>
      </c>
      <c r="C37993" t="s">
        <v>20</v>
      </c>
      <c r="D37993" t="s">
        <v>52</v>
      </c>
      <c r="E37993" t="s">
        <v>144</v>
      </c>
      <c r="F37993" s="2" t="str">
        <f>HYPERLINK("http://www.otzar.org/book.asp?603762","קונטרס פתח הזיקה")</f>
        <v>קונטרס פתח הזיקה</v>
      </c>
    </row>
    <row r="37994" spans="1:6" x14ac:dyDescent="0.2">
      <c r="A37994" t="s">
        <v>58380</v>
      </c>
      <c r="B37994" t="s">
        <v>58381</v>
      </c>
      <c r="C37994" t="s">
        <v>37</v>
      </c>
      <c r="D37994" t="s">
        <v>152</v>
      </c>
      <c r="F37994" s="2" t="str">
        <f>HYPERLINK("http://www.otzar.org/book.asp?197328","קונטרס פתח היחוד")</f>
        <v>קונטרס פתח היחוד</v>
      </c>
    </row>
    <row r="37995" spans="1:6" x14ac:dyDescent="0.2">
      <c r="A37995" t="s">
        <v>58382</v>
      </c>
      <c r="B37995" t="s">
        <v>1750</v>
      </c>
      <c r="C37995" t="s">
        <v>114</v>
      </c>
      <c r="D37995" t="s">
        <v>115</v>
      </c>
      <c r="E37995" t="s">
        <v>84</v>
      </c>
      <c r="F37995" s="2" t="str">
        <f>HYPERLINK("http://www.otzar.org/book.asp?194228","קונטרס פתחי אמונה")</f>
        <v>קונטרס פתחי אמונה</v>
      </c>
    </row>
    <row r="37996" spans="1:6" x14ac:dyDescent="0.2">
      <c r="A37996" t="s">
        <v>58383</v>
      </c>
      <c r="B37996" t="s">
        <v>206</v>
      </c>
      <c r="C37996" t="s">
        <v>133</v>
      </c>
      <c r="D37996" t="s">
        <v>134</v>
      </c>
      <c r="E37996" t="s">
        <v>158</v>
      </c>
      <c r="F37996" s="2" t="str">
        <f>HYPERLINK("http://www.otzar.org/book.asp?176142","קונטרס פתחי הרמב""ן")</f>
        <v>קונטרס פתחי הרמב"ן</v>
      </c>
    </row>
    <row r="37997" spans="1:6" x14ac:dyDescent="0.2">
      <c r="A37997" t="s">
        <v>58384</v>
      </c>
      <c r="B37997" t="s">
        <v>58385</v>
      </c>
      <c r="C37997" t="s">
        <v>151</v>
      </c>
      <c r="D37997" t="s">
        <v>152</v>
      </c>
      <c r="F37997" s="2" t="str">
        <f>HYPERLINK("http://www.otzar.org/book.asp?616718","קונטרס פתחי מזוזה - 2 כר'")</f>
        <v>קונטרס פתחי מזוזה - 2 כר'</v>
      </c>
    </row>
    <row r="37998" spans="1:6" x14ac:dyDescent="0.2">
      <c r="A37998" t="s">
        <v>58386</v>
      </c>
      <c r="B37998" t="s">
        <v>58387</v>
      </c>
      <c r="C37998" t="s">
        <v>151</v>
      </c>
      <c r="D37998" t="s">
        <v>90</v>
      </c>
      <c r="F37998" s="2" t="str">
        <f>HYPERLINK("http://www.otzar.org/book.asp?621891","קונטרס פתחי מזוזות")</f>
        <v>קונטרס פתחי מזוזות</v>
      </c>
    </row>
    <row r="37999" spans="1:6" x14ac:dyDescent="0.2">
      <c r="A37999" t="s">
        <v>58388</v>
      </c>
      <c r="B37999" t="s">
        <v>206</v>
      </c>
      <c r="C37999" t="s">
        <v>20</v>
      </c>
      <c r="D37999" t="s">
        <v>90</v>
      </c>
      <c r="E37999" t="s">
        <v>144</v>
      </c>
      <c r="F37999" s="2" t="str">
        <f>HYPERLINK("http://www.otzar.org/book.asp?166162","קונטרס פתחי סוגיות")</f>
        <v>קונטרס פתחי סוגיות</v>
      </c>
    </row>
    <row r="38000" spans="1:6" x14ac:dyDescent="0.2">
      <c r="A38000" t="s">
        <v>58389</v>
      </c>
      <c r="B38000" t="s">
        <v>58364</v>
      </c>
      <c r="C38000" t="s">
        <v>114</v>
      </c>
      <c r="D38000" t="s">
        <v>14</v>
      </c>
      <c r="E38000" t="s">
        <v>933</v>
      </c>
      <c r="F38000" s="2" t="str">
        <f>HYPERLINK("http://www.otzar.org/book.asp?166486","קונטרס פתחי שמחה")</f>
        <v>קונטרס פתחי שמחה</v>
      </c>
    </row>
    <row r="38001" spans="1:6" x14ac:dyDescent="0.2">
      <c r="A38001" t="s">
        <v>58390</v>
      </c>
      <c r="B38001" t="s">
        <v>27951</v>
      </c>
      <c r="C38001" t="s">
        <v>151</v>
      </c>
      <c r="D38001" t="s">
        <v>20</v>
      </c>
      <c r="F38001" s="2" t="str">
        <f>HYPERLINK("http://www.otzar.org/book.asp?609145","קונטרס פתחי שמחת יום טוב")</f>
        <v>קונטרס פתחי שמחת יום טוב</v>
      </c>
    </row>
    <row r="38002" spans="1:6" x14ac:dyDescent="0.2">
      <c r="A38002" t="s">
        <v>58391</v>
      </c>
      <c r="B38002" t="s">
        <v>6824</v>
      </c>
      <c r="C38002" t="s">
        <v>189</v>
      </c>
      <c r="D38002" t="s">
        <v>14</v>
      </c>
      <c r="E38002" t="s">
        <v>15</v>
      </c>
      <c r="F38002" s="2" t="str">
        <f>HYPERLINK("http://www.otzar.org/book.asp?143002","קונטרס פתחי שערים")</f>
        <v>קונטרס פתחי שערים</v>
      </c>
    </row>
    <row r="38003" spans="1:6" x14ac:dyDescent="0.2">
      <c r="A38003" t="s">
        <v>58392</v>
      </c>
      <c r="B38003" t="s">
        <v>58393</v>
      </c>
      <c r="C38003" t="s">
        <v>189</v>
      </c>
      <c r="D38003" t="s">
        <v>115</v>
      </c>
      <c r="E38003" t="s">
        <v>202</v>
      </c>
      <c r="F38003" s="2" t="str">
        <f>HYPERLINK("http://www.otzar.org/book.asp?603077","קונטרס פתחי תורה")</f>
        <v>קונטרס פתחי תורה</v>
      </c>
    </row>
    <row r="38004" spans="1:6" x14ac:dyDescent="0.2">
      <c r="A38004" t="s">
        <v>58394</v>
      </c>
      <c r="B38004" t="s">
        <v>53865</v>
      </c>
      <c r="C38004" t="s">
        <v>23</v>
      </c>
      <c r="D38004" t="s">
        <v>1076</v>
      </c>
      <c r="F38004" s="2" t="str">
        <f>HYPERLINK("http://www.otzar.org/book.asp?197682","קונטרס צדיק כתמר יפרח")</f>
        <v>קונטרס צדיק כתמר יפרח</v>
      </c>
    </row>
    <row r="38005" spans="1:6" x14ac:dyDescent="0.2">
      <c r="A38005" t="s">
        <v>58395</v>
      </c>
      <c r="B38005" t="s">
        <v>58396</v>
      </c>
      <c r="C38005" t="s">
        <v>133</v>
      </c>
      <c r="D38005" t="s">
        <v>52</v>
      </c>
      <c r="F38005" s="2" t="str">
        <f>HYPERLINK("http://www.otzar.org/book.asp?622071","קונטרס צדקת משה")</f>
        <v>קונטרס צדקת משה</v>
      </c>
    </row>
    <row r="38006" spans="1:6" x14ac:dyDescent="0.2">
      <c r="A38006" t="s">
        <v>58397</v>
      </c>
      <c r="B38006" t="s">
        <v>3145</v>
      </c>
      <c r="C38006" t="s">
        <v>23</v>
      </c>
      <c r="D38006" t="s">
        <v>52</v>
      </c>
      <c r="E38006" t="s">
        <v>579</v>
      </c>
      <c r="F38006" s="2" t="str">
        <f>HYPERLINK("http://www.otzar.org/book.asp?183135","קונטרס צדקת ראובן")</f>
        <v>קונטרס צדקת ראובן</v>
      </c>
    </row>
    <row r="38007" spans="1:6" x14ac:dyDescent="0.2">
      <c r="A38007" t="s">
        <v>58398</v>
      </c>
      <c r="B38007" t="s">
        <v>20490</v>
      </c>
      <c r="C38007" t="s">
        <v>366</v>
      </c>
      <c r="D38007" t="s">
        <v>52</v>
      </c>
      <c r="F38007" s="2" t="str">
        <f>HYPERLINK("http://www.otzar.org/book.asp?619584","קונטרס צורת כתיבת השמות בגיטין")</f>
        <v>קונטרס צורת כתיבת השמות בגיטין</v>
      </c>
    </row>
    <row r="38008" spans="1:6" x14ac:dyDescent="0.2">
      <c r="A38008" t="s">
        <v>58399</v>
      </c>
      <c r="B38008" t="s">
        <v>58400</v>
      </c>
      <c r="C38008" t="s">
        <v>20</v>
      </c>
      <c r="D38008" t="s">
        <v>90</v>
      </c>
      <c r="F38008" s="2" t="str">
        <f>HYPERLINK("http://www.otzar.org/book.asp?193602","קונטרס צורת קשר של תפילין")</f>
        <v>קונטרס צורת קשר של תפילין</v>
      </c>
    </row>
    <row r="38009" spans="1:6" x14ac:dyDescent="0.2">
      <c r="A38009" t="s">
        <v>58401</v>
      </c>
      <c r="B38009" t="s">
        <v>2074</v>
      </c>
      <c r="C38009" t="s">
        <v>383</v>
      </c>
      <c r="D38009" t="s">
        <v>14</v>
      </c>
      <c r="F38009" s="2" t="str">
        <f>HYPERLINK("http://www.otzar.org/book.asp?617930","קונטרס ציון לנפש חיה")</f>
        <v>קונטרס ציון לנפש חיה</v>
      </c>
    </row>
    <row r="38010" spans="1:6" x14ac:dyDescent="0.2">
      <c r="A38010" t="s">
        <v>58402</v>
      </c>
      <c r="B38010" t="s">
        <v>57233</v>
      </c>
      <c r="C38010" t="s">
        <v>68</v>
      </c>
      <c r="D38010" t="s">
        <v>52</v>
      </c>
      <c r="E38010" t="s">
        <v>140</v>
      </c>
      <c r="F38010" s="2" t="str">
        <f>HYPERLINK("http://www.otzar.org/book.asp?167442","קונטרס ציון לנפש")</f>
        <v>קונטרס ציון לנפש</v>
      </c>
    </row>
    <row r="38011" spans="1:6" x14ac:dyDescent="0.2">
      <c r="A38011" t="s">
        <v>58403</v>
      </c>
      <c r="B38011" t="s">
        <v>58404</v>
      </c>
      <c r="C38011" t="s">
        <v>114</v>
      </c>
      <c r="D38011" t="s">
        <v>1180</v>
      </c>
      <c r="E38011" t="s">
        <v>144</v>
      </c>
      <c r="F38011" s="2" t="str">
        <f>HYPERLINK("http://www.otzar.org/book.asp?168383","קונטרס ציוני שלמה - 2 כר'")</f>
        <v>קונטרס ציוני שלמה - 2 כר'</v>
      </c>
    </row>
    <row r="38012" spans="1:6" x14ac:dyDescent="0.2">
      <c r="A38012" t="s">
        <v>58405</v>
      </c>
      <c r="B38012" t="s">
        <v>16780</v>
      </c>
      <c r="C38012" t="s">
        <v>454</v>
      </c>
      <c r="D38012" t="s">
        <v>52</v>
      </c>
      <c r="E38012" t="s">
        <v>144</v>
      </c>
      <c r="F38012" s="2" t="str">
        <f>HYPERLINK("http://www.otzar.org/book.asp?53020","קונטרס ציונים - 5 כר'")</f>
        <v>קונטרס ציונים - 5 כר'</v>
      </c>
    </row>
    <row r="38013" spans="1:6" x14ac:dyDescent="0.2">
      <c r="A38013" t="s">
        <v>58406</v>
      </c>
      <c r="B38013" t="s">
        <v>58407</v>
      </c>
      <c r="C38013" t="s">
        <v>37</v>
      </c>
      <c r="D38013" t="s">
        <v>245</v>
      </c>
      <c r="F38013" s="2" t="str">
        <f>HYPERLINK("http://www.otzar.org/book.asp?609717","קונטרס צילתה דסוכה")</f>
        <v>קונטרס צילתה דסוכה</v>
      </c>
    </row>
    <row r="38014" spans="1:6" x14ac:dyDescent="0.2">
      <c r="A38014" t="s">
        <v>58408</v>
      </c>
      <c r="B38014" t="s">
        <v>48391</v>
      </c>
      <c r="C38014" t="s">
        <v>454</v>
      </c>
      <c r="D38014" t="s">
        <v>52</v>
      </c>
      <c r="E38014" t="s">
        <v>15</v>
      </c>
      <c r="F38014" s="2" t="str">
        <f>HYPERLINK("http://www.otzar.org/book.asp?162153","קונטרס ציץ שלמה")</f>
        <v>קונטרס ציץ שלמה</v>
      </c>
    </row>
    <row r="38015" spans="1:6" x14ac:dyDescent="0.2">
      <c r="A38015" t="s">
        <v>58409</v>
      </c>
      <c r="B38015" t="s">
        <v>58410</v>
      </c>
      <c r="C38015" t="s">
        <v>13</v>
      </c>
      <c r="D38015" t="s">
        <v>52</v>
      </c>
      <c r="E38015" t="s">
        <v>15</v>
      </c>
      <c r="F38015" s="2" t="str">
        <f>HYPERLINK("http://www.otzar.org/book.asp?175880","קונטרס צלותא דאברהם")</f>
        <v>קונטרס צלותא דאברהם</v>
      </c>
    </row>
    <row r="38016" spans="1:6" x14ac:dyDescent="0.2">
      <c r="A38016" t="s">
        <v>58411</v>
      </c>
      <c r="B38016" t="s">
        <v>58412</v>
      </c>
      <c r="C38016" t="s">
        <v>411</v>
      </c>
      <c r="D38016" t="s">
        <v>229</v>
      </c>
      <c r="F38016" s="2" t="str">
        <f>HYPERLINK("http://www.otzar.org/book.asp?169730","קונטרס צלותהון בכן מקבל")</f>
        <v>קונטרס צלותהון בכן מקבל</v>
      </c>
    </row>
    <row r="38017" spans="1:6" x14ac:dyDescent="0.2">
      <c r="A38017" t="s">
        <v>58413</v>
      </c>
      <c r="B38017" t="s">
        <v>58414</v>
      </c>
      <c r="C38017" t="s">
        <v>37</v>
      </c>
      <c r="D38017" t="s">
        <v>14</v>
      </c>
      <c r="E38017" t="s">
        <v>15</v>
      </c>
      <c r="F38017" s="2" t="str">
        <f>HYPERLINK("http://www.otzar.org/book.asp?194166","קונטרס צלי אש")</f>
        <v>קונטרס צלי אש</v>
      </c>
    </row>
    <row r="38018" spans="1:6" x14ac:dyDescent="0.2">
      <c r="A38018" t="s">
        <v>58415</v>
      </c>
      <c r="B38018" t="s">
        <v>23815</v>
      </c>
      <c r="C38018" t="s">
        <v>133</v>
      </c>
      <c r="D38018" t="s">
        <v>21</v>
      </c>
      <c r="F38018" s="2" t="str">
        <f>HYPERLINK("http://www.otzar.org/book.asp?621852","קונטרס צמח ישראל")</f>
        <v>קונטרס צמח ישראל</v>
      </c>
    </row>
    <row r="38019" spans="1:6" x14ac:dyDescent="0.2">
      <c r="A38019" t="s">
        <v>58416</v>
      </c>
      <c r="B38019" t="s">
        <v>20373</v>
      </c>
      <c r="C38019" t="s">
        <v>20</v>
      </c>
      <c r="D38019" t="s">
        <v>90</v>
      </c>
      <c r="E38019" t="s">
        <v>384</v>
      </c>
      <c r="F38019" s="2" t="str">
        <f>HYPERLINK("http://www.otzar.org/book.asp?627542","קונטרס צעקת ישראל - 2 כר'")</f>
        <v>קונטרס צעקת ישראל - 2 כר'</v>
      </c>
    </row>
    <row r="38020" spans="1:6" x14ac:dyDescent="0.2">
      <c r="A38020" t="s">
        <v>58417</v>
      </c>
      <c r="B38020" t="s">
        <v>58418</v>
      </c>
      <c r="C38020" t="s">
        <v>366</v>
      </c>
      <c r="D38020" t="s">
        <v>412</v>
      </c>
      <c r="E38020" t="s">
        <v>674</v>
      </c>
      <c r="F38020" s="2" t="str">
        <f>HYPERLINK("http://www.otzar.org/book.asp?607510","קונטרס צפור טהורה")</f>
        <v>קונטרס צפור טהורה</v>
      </c>
    </row>
    <row r="38021" spans="1:6" x14ac:dyDescent="0.2">
      <c r="A38021" t="s">
        <v>58419</v>
      </c>
      <c r="B38021" t="s">
        <v>12027</v>
      </c>
      <c r="C38021" t="s">
        <v>20</v>
      </c>
      <c r="D38021" t="s">
        <v>90</v>
      </c>
      <c r="F38021" s="2" t="str">
        <f>HYPERLINK("http://www.otzar.org/book.asp?608033","קונטרס צפירת תפארה")</f>
        <v>קונטרס צפירת תפארה</v>
      </c>
    </row>
    <row r="38022" spans="1:6" x14ac:dyDescent="0.2">
      <c r="A38022" t="s">
        <v>58419</v>
      </c>
      <c r="B38022" t="s">
        <v>6824</v>
      </c>
      <c r="C38022" t="s">
        <v>189</v>
      </c>
      <c r="D38022" t="s">
        <v>14</v>
      </c>
      <c r="E38022" t="s">
        <v>104</v>
      </c>
      <c r="F38022" s="2" t="str">
        <f>HYPERLINK("http://www.otzar.org/book.asp?61997","קונטרס צפירת תפארה")</f>
        <v>קונטרס צפירת תפארה</v>
      </c>
    </row>
    <row r="38023" spans="1:6" x14ac:dyDescent="0.2">
      <c r="A38023" t="s">
        <v>58420</v>
      </c>
      <c r="B38023" t="s">
        <v>58421</v>
      </c>
      <c r="C38023" t="s">
        <v>151</v>
      </c>
      <c r="D38023" t="s">
        <v>412</v>
      </c>
      <c r="F38023" s="2" t="str">
        <f>HYPERLINK("http://www.otzar.org/book.asp?611717","קונטרס צפנת פענח מבואר - בחומה היא יושבת")</f>
        <v>קונטרס צפנת פענח מבואר - בחומה היא יושבת</v>
      </c>
    </row>
    <row r="38024" spans="1:6" x14ac:dyDescent="0.2">
      <c r="A38024" t="s">
        <v>58422</v>
      </c>
      <c r="B38024" t="s">
        <v>58423</v>
      </c>
      <c r="C38024" t="s">
        <v>23</v>
      </c>
      <c r="D38024" t="s">
        <v>21</v>
      </c>
      <c r="E38024" t="s">
        <v>148</v>
      </c>
      <c r="F38024" s="2" t="str">
        <f>HYPERLINK("http://www.otzar.org/book.asp?197196","קונטרס צפנת פענח עם ביאור חדש")</f>
        <v>קונטרס צפנת פענח עם ביאור חדש</v>
      </c>
    </row>
    <row r="38025" spans="1:6" x14ac:dyDescent="0.2">
      <c r="A38025" t="s">
        <v>58424</v>
      </c>
      <c r="B38025" t="s">
        <v>49422</v>
      </c>
      <c r="C38025" t="s">
        <v>168</v>
      </c>
      <c r="D38025" t="s">
        <v>52</v>
      </c>
      <c r="E38025" t="s">
        <v>104</v>
      </c>
      <c r="F38025" s="2" t="str">
        <f>HYPERLINK("http://www.otzar.org/book.asp?159055","קונטרס קב תמרים")</f>
        <v>קונטרס קב תמרים</v>
      </c>
    </row>
    <row r="38026" spans="1:6" x14ac:dyDescent="0.2">
      <c r="A38026" t="s">
        <v>58425</v>
      </c>
      <c r="B38026" t="s">
        <v>58426</v>
      </c>
      <c r="C38026" t="s">
        <v>133</v>
      </c>
      <c r="D38026" t="s">
        <v>52</v>
      </c>
      <c r="E38026" t="s">
        <v>15</v>
      </c>
      <c r="F38026" s="2" t="str">
        <f>HYPERLINK("http://www.otzar.org/book.asp?174297","קונטרס קביעות בקידוש")</f>
        <v>קונטרס קביעות בקידוש</v>
      </c>
    </row>
    <row r="38027" spans="1:6" x14ac:dyDescent="0.2">
      <c r="A38027" t="s">
        <v>58427</v>
      </c>
      <c r="B38027" t="s">
        <v>1245</v>
      </c>
      <c r="C38027" t="s">
        <v>3106</v>
      </c>
      <c r="D38027" t="s">
        <v>9</v>
      </c>
      <c r="E38027" t="s">
        <v>104</v>
      </c>
      <c r="F38027" s="2" t="str">
        <f>HYPERLINK("http://www.otzar.org/book.asp?160667","קונטרס קביעת קו התאריך")</f>
        <v>קונטרס קביעת קו התאריך</v>
      </c>
    </row>
    <row r="38028" spans="1:6" x14ac:dyDescent="0.2">
      <c r="A38028" t="s">
        <v>58428</v>
      </c>
      <c r="B38028" t="s">
        <v>58429</v>
      </c>
      <c r="C38028" t="s">
        <v>775</v>
      </c>
      <c r="D38028" t="s">
        <v>1632</v>
      </c>
      <c r="E38028" t="s">
        <v>104</v>
      </c>
      <c r="F38028" s="2" t="str">
        <f>HYPERLINK("http://www.otzar.org/book.asp?625378","קונטרס קבלות ומאמרים")</f>
        <v>קונטרס קבלות ומאמרים</v>
      </c>
    </row>
    <row r="38029" spans="1:6" x14ac:dyDescent="0.2">
      <c r="A38029" t="s">
        <v>58430</v>
      </c>
      <c r="B38029" t="s">
        <v>58431</v>
      </c>
      <c r="C38029" t="s">
        <v>37</v>
      </c>
      <c r="D38029" t="s">
        <v>80</v>
      </c>
      <c r="E38029" t="s">
        <v>104</v>
      </c>
      <c r="F38029" s="2" t="str">
        <f>HYPERLINK("http://www.otzar.org/book.asp?197821","קונטרס קבלת עול תורה בפרשיות ק""ש")</f>
        <v>קונטרס קבלת עול תורה בפרשיות ק"ש</v>
      </c>
    </row>
    <row r="38030" spans="1:6" x14ac:dyDescent="0.2">
      <c r="A38030" t="s">
        <v>58432</v>
      </c>
      <c r="B38030" t="s">
        <v>58433</v>
      </c>
      <c r="C38030" t="s">
        <v>151</v>
      </c>
      <c r="D38030" t="s">
        <v>52</v>
      </c>
      <c r="E38030" t="s">
        <v>15</v>
      </c>
      <c r="F38030" s="2" t="str">
        <f>HYPERLINK("http://www.otzar.org/book.asp?612201","קונטרס קדוש יעקב")</f>
        <v>קונטרס קדוש יעקב</v>
      </c>
    </row>
    <row r="38031" spans="1:6" x14ac:dyDescent="0.2">
      <c r="A38031" t="s">
        <v>58434</v>
      </c>
      <c r="B38031" t="s">
        <v>41304</v>
      </c>
      <c r="C38031" t="s">
        <v>31324</v>
      </c>
      <c r="D38031" t="s">
        <v>412</v>
      </c>
      <c r="E38031" t="s">
        <v>15</v>
      </c>
      <c r="F38031" s="2" t="str">
        <f>HYPERLINK("http://www.otzar.org/book.asp?605263","קונטרס קדוש ישראל")</f>
        <v>קונטרס קדוש ישראל</v>
      </c>
    </row>
    <row r="38032" spans="1:6" x14ac:dyDescent="0.2">
      <c r="A38032" t="s">
        <v>58435</v>
      </c>
      <c r="B38032" t="s">
        <v>57099</v>
      </c>
      <c r="C38032" t="s">
        <v>13</v>
      </c>
      <c r="D38032" t="s">
        <v>52</v>
      </c>
      <c r="E38032" t="s">
        <v>714</v>
      </c>
      <c r="F38032" s="2" t="str">
        <f>HYPERLINK("http://www.otzar.org/book.asp?158992","קונטרס קדושה וטהרה")</f>
        <v>קונטרס קדושה וטהרה</v>
      </c>
    </row>
    <row r="38033" spans="1:6" x14ac:dyDescent="0.2">
      <c r="A38033" t="s">
        <v>58436</v>
      </c>
      <c r="B38033" t="s">
        <v>10000</v>
      </c>
      <c r="C38033" t="s">
        <v>13</v>
      </c>
      <c r="D38033" t="s">
        <v>14</v>
      </c>
      <c r="F38033" s="2" t="str">
        <f>HYPERLINK("http://www.otzar.org/book.asp?182634","קונטרס קדושת הלשון")</f>
        <v>קונטרס קדושת הלשון</v>
      </c>
    </row>
    <row r="38034" spans="1:6" x14ac:dyDescent="0.2">
      <c r="A38034" t="s">
        <v>58437</v>
      </c>
      <c r="B38034" t="s">
        <v>2908</v>
      </c>
      <c r="C38034" t="s">
        <v>23</v>
      </c>
      <c r="D38034" t="s">
        <v>2909</v>
      </c>
      <c r="E38034" t="s">
        <v>15</v>
      </c>
      <c r="F38034" s="2" t="str">
        <f>HYPERLINK("http://www.otzar.org/book.asp?191149","קונטרס קדושת הנישואין")</f>
        <v>קונטרס קדושת הנישואין</v>
      </c>
    </row>
    <row r="38035" spans="1:6" x14ac:dyDescent="0.2">
      <c r="A38035" t="s">
        <v>58438</v>
      </c>
      <c r="B38035" t="s">
        <v>10000</v>
      </c>
      <c r="C38035" t="s">
        <v>146</v>
      </c>
      <c r="D38035" t="s">
        <v>14</v>
      </c>
      <c r="F38035" s="2" t="str">
        <f>HYPERLINK("http://www.otzar.org/book.asp?182635","קונטרס קדושת העינים")</f>
        <v>קונטרס קדושת העינים</v>
      </c>
    </row>
    <row r="38036" spans="1:6" x14ac:dyDescent="0.2">
      <c r="A38036" t="s">
        <v>58439</v>
      </c>
      <c r="B38036" t="s">
        <v>52135</v>
      </c>
      <c r="C38036" t="s">
        <v>624</v>
      </c>
      <c r="D38036" t="s">
        <v>52</v>
      </c>
      <c r="F38036" s="2" t="str">
        <f>HYPERLINK("http://www.otzar.org/book.asp?612090","קונטרס קדושת ימי הפורים")</f>
        <v>קונטרס קדושת ימי הפורים</v>
      </c>
    </row>
    <row r="38037" spans="1:6" x14ac:dyDescent="0.2">
      <c r="A38037" t="s">
        <v>58440</v>
      </c>
      <c r="B38037" t="s">
        <v>58441</v>
      </c>
      <c r="C38037" t="s">
        <v>13</v>
      </c>
      <c r="D38037" t="s">
        <v>52</v>
      </c>
      <c r="F38037" s="2" t="str">
        <f>HYPERLINK("http://www.otzar.org/book.asp?610739","קונטרס קדושת ירושלים")</f>
        <v>קונטרס קדושת ירושלים</v>
      </c>
    </row>
    <row r="38038" spans="1:6" x14ac:dyDescent="0.2">
      <c r="A38038" t="s">
        <v>58442</v>
      </c>
      <c r="B38038" t="s">
        <v>58443</v>
      </c>
      <c r="C38038" t="s">
        <v>244</v>
      </c>
      <c r="D38038" t="s">
        <v>14</v>
      </c>
      <c r="E38038" t="s">
        <v>104</v>
      </c>
      <c r="F38038" s="2" t="str">
        <f>HYPERLINK("http://www.otzar.org/book.asp?607045","קונטרס קדושת ישראל")</f>
        <v>קונטרס קדושת ישראל</v>
      </c>
    </row>
    <row r="38039" spans="1:6" x14ac:dyDescent="0.2">
      <c r="A38039" t="s">
        <v>58444</v>
      </c>
      <c r="B38039" t="s">
        <v>42289</v>
      </c>
      <c r="C38039" t="s">
        <v>133</v>
      </c>
      <c r="D38039" t="s">
        <v>52</v>
      </c>
      <c r="F38039" s="2" t="str">
        <f>HYPERLINK("http://www.otzar.org/book.asp?608858","קונטרס קהילות דשלמה")</f>
        <v>קונטרס קהילות דשלמה</v>
      </c>
    </row>
    <row r="38040" spans="1:6" x14ac:dyDescent="0.2">
      <c r="A38040" t="s">
        <v>58445</v>
      </c>
      <c r="B38040" t="s">
        <v>15329</v>
      </c>
      <c r="C38040" t="s">
        <v>133</v>
      </c>
      <c r="D38040" t="s">
        <v>52</v>
      </c>
      <c r="E38040" t="s">
        <v>104</v>
      </c>
      <c r="F38040" s="2" t="str">
        <f>HYPERLINK("http://www.otzar.org/book.asp?603315","קונטרס קהל עמים")</f>
        <v>קונטרס קהל עמים</v>
      </c>
    </row>
    <row r="38041" spans="1:6" x14ac:dyDescent="0.2">
      <c r="A38041" t="s">
        <v>58446</v>
      </c>
      <c r="B38041" t="s">
        <v>53882</v>
      </c>
      <c r="C38041" t="s">
        <v>533</v>
      </c>
      <c r="D38041" t="s">
        <v>14</v>
      </c>
      <c r="E38041" t="s">
        <v>10482</v>
      </c>
      <c r="F38041" s="2" t="str">
        <f>HYPERLINK("http://www.otzar.org/book.asp?143374","קונטרס קובץ אליהו")</f>
        <v>קונטרס קובץ אליהו</v>
      </c>
    </row>
    <row r="38042" spans="1:6" x14ac:dyDescent="0.2">
      <c r="A38042" t="s">
        <v>58447</v>
      </c>
      <c r="B38042" t="s">
        <v>54874</v>
      </c>
      <c r="C38042" t="s">
        <v>37</v>
      </c>
      <c r="D38042" t="s">
        <v>21</v>
      </c>
      <c r="F38042" s="2" t="str">
        <f>HYPERLINK("http://www.otzar.org/book.asp?603285","קונטרס קובץ השיעורים - גיטין")</f>
        <v>קונטרס קובץ השיעורים - גיטין</v>
      </c>
    </row>
    <row r="38043" spans="1:6" x14ac:dyDescent="0.2">
      <c r="A38043" t="s">
        <v>58448</v>
      </c>
      <c r="B38043" t="s">
        <v>58449</v>
      </c>
      <c r="C38043" t="s">
        <v>23</v>
      </c>
      <c r="D38043" t="s">
        <v>90</v>
      </c>
      <c r="F38043" s="2" t="str">
        <f>HYPERLINK("http://www.otzar.org/book.asp?197685","קונטרס קובץ ענינים - ב""מ")</f>
        <v>קונטרס קובץ ענינים - ב"מ</v>
      </c>
    </row>
    <row r="38044" spans="1:6" x14ac:dyDescent="0.2">
      <c r="A38044" t="s">
        <v>58450</v>
      </c>
      <c r="B38044" t="s">
        <v>54337</v>
      </c>
      <c r="C38044" t="s">
        <v>176</v>
      </c>
      <c r="D38044" t="s">
        <v>30335</v>
      </c>
      <c r="E38044" t="s">
        <v>202</v>
      </c>
      <c r="F38044" s="2" t="str">
        <f>HYPERLINK("http://www.otzar.org/book.asp?626365","קונטרס קול אליהו")</f>
        <v>קונטרס קול אליהו</v>
      </c>
    </row>
    <row r="38045" spans="1:6" x14ac:dyDescent="0.2">
      <c r="A38045" t="s">
        <v>58451</v>
      </c>
      <c r="B38045" t="s">
        <v>48058</v>
      </c>
      <c r="C38045" t="s">
        <v>51</v>
      </c>
      <c r="D38045" t="s">
        <v>16390</v>
      </c>
      <c r="E38045" t="s">
        <v>213</v>
      </c>
      <c r="F38045" s="2" t="str">
        <f>HYPERLINK("http://www.otzar.org/book.asp?63820","קונטרס קול דודי דופק")</f>
        <v>קונטרס קול דודי דופק</v>
      </c>
    </row>
    <row r="38046" spans="1:6" x14ac:dyDescent="0.2">
      <c r="A38046" t="s">
        <v>58451</v>
      </c>
      <c r="B38046" t="s">
        <v>58452</v>
      </c>
      <c r="C38046" t="s">
        <v>146</v>
      </c>
      <c r="D38046" t="s">
        <v>52</v>
      </c>
      <c r="F38046" s="2" t="str">
        <f>HYPERLINK("http://www.otzar.org/book.asp?609634","קונטרס קול דודי דופק")</f>
        <v>קונטרס קול דודי דופק</v>
      </c>
    </row>
    <row r="38047" spans="1:6" x14ac:dyDescent="0.2">
      <c r="A38047" t="s">
        <v>58453</v>
      </c>
      <c r="B38047" t="s">
        <v>40911</v>
      </c>
      <c r="C38047" t="s">
        <v>411</v>
      </c>
      <c r="D38047" t="s">
        <v>152</v>
      </c>
      <c r="E38047" t="s">
        <v>144</v>
      </c>
      <c r="F38047" s="2" t="str">
        <f>HYPERLINK("http://www.otzar.org/book.asp?167794","קונטרס קול ה' בכח")</f>
        <v>קונטרס קול ה' בכח</v>
      </c>
    </row>
    <row r="38048" spans="1:6" x14ac:dyDescent="0.2">
      <c r="A38048" t="s">
        <v>58454</v>
      </c>
      <c r="B38048" t="s">
        <v>3768</v>
      </c>
      <c r="C38048" t="s">
        <v>20</v>
      </c>
      <c r="D38048" t="s">
        <v>152</v>
      </c>
      <c r="F38048" s="2" t="str">
        <f>HYPERLINK("http://www.otzar.org/book.asp?157151","קונטרס קול חתן")</f>
        <v>קונטרס קול חתן</v>
      </c>
    </row>
    <row r="38049" spans="1:6" x14ac:dyDescent="0.2">
      <c r="A38049" t="s">
        <v>58454</v>
      </c>
      <c r="B38049" t="s">
        <v>37474</v>
      </c>
      <c r="C38049" t="s">
        <v>151</v>
      </c>
      <c r="D38049" t="s">
        <v>2798</v>
      </c>
      <c r="E38049" t="s">
        <v>15</v>
      </c>
      <c r="F38049" s="2" t="str">
        <f>HYPERLINK("http://www.otzar.org/book.asp?630921","קונטרס קול חתן")</f>
        <v>קונטרס קול חתן</v>
      </c>
    </row>
    <row r="38050" spans="1:6" x14ac:dyDescent="0.2">
      <c r="A38050" t="s">
        <v>58455</v>
      </c>
      <c r="B38050" t="s">
        <v>58456</v>
      </c>
      <c r="C38050" t="s">
        <v>244</v>
      </c>
      <c r="D38050" t="s">
        <v>90</v>
      </c>
      <c r="F38050" s="2" t="str">
        <f>HYPERLINK("http://www.otzar.org/book.asp?606006","קונטרס קול יעקב")</f>
        <v>קונטרס קול יעקב</v>
      </c>
    </row>
    <row r="38051" spans="1:6" x14ac:dyDescent="0.2">
      <c r="A38051" t="s">
        <v>58457</v>
      </c>
      <c r="B38051" t="s">
        <v>3824</v>
      </c>
      <c r="C38051" t="s">
        <v>775</v>
      </c>
      <c r="D38051" t="s">
        <v>2504</v>
      </c>
      <c r="E38051" t="s">
        <v>202</v>
      </c>
      <c r="F38051" s="2" t="str">
        <f>HYPERLINK("http://www.otzar.org/book.asp?163531","קונטרס קול יעקב - 5 כר'")</f>
        <v>קונטרס קול יעקב - 5 כר'</v>
      </c>
    </row>
    <row r="38052" spans="1:6" x14ac:dyDescent="0.2">
      <c r="A38052" t="s">
        <v>58458</v>
      </c>
      <c r="B38052" t="s">
        <v>37474</v>
      </c>
      <c r="C38052" t="s">
        <v>111</v>
      </c>
      <c r="D38052" t="s">
        <v>2798</v>
      </c>
      <c r="F38052" s="2" t="str">
        <f>HYPERLINK("http://www.otzar.org/book.asp?621914","קונטרס קול כלה")</f>
        <v>קונטרס קול כלה</v>
      </c>
    </row>
    <row r="38053" spans="1:6" x14ac:dyDescent="0.2">
      <c r="A38053" t="s">
        <v>58459</v>
      </c>
      <c r="B38053" t="s">
        <v>9540</v>
      </c>
      <c r="C38053" t="s">
        <v>111</v>
      </c>
      <c r="D38053" t="s">
        <v>152</v>
      </c>
      <c r="E38053" t="s">
        <v>144</v>
      </c>
      <c r="F38053" s="2" t="str">
        <f>HYPERLINK("http://www.otzar.org/book.asp?626763","קונטרס קול מחצצים")</f>
        <v>קונטרס קול מחצצים</v>
      </c>
    </row>
    <row r="38054" spans="1:6" x14ac:dyDescent="0.2">
      <c r="A38054" t="s">
        <v>58460</v>
      </c>
      <c r="B38054" t="s">
        <v>6987</v>
      </c>
      <c r="C38054" t="s">
        <v>189</v>
      </c>
      <c r="D38054" t="s">
        <v>14</v>
      </c>
      <c r="E38054" t="s">
        <v>202</v>
      </c>
      <c r="F38054" s="2" t="str">
        <f>HYPERLINK("http://www.otzar.org/book.asp?61988","קונטרס קול מצהלות")</f>
        <v>קונטרס קול מצהלות</v>
      </c>
    </row>
    <row r="38055" spans="1:6" x14ac:dyDescent="0.2">
      <c r="A38055" t="s">
        <v>58461</v>
      </c>
      <c r="B38055" t="s">
        <v>58462</v>
      </c>
      <c r="C38055" t="s">
        <v>114</v>
      </c>
      <c r="D38055" t="s">
        <v>14</v>
      </c>
      <c r="E38055" t="s">
        <v>241</v>
      </c>
      <c r="F38055" s="2" t="str">
        <f>HYPERLINK("http://www.otzar.org/book.asp?170784","קונטרס קול קורא")</f>
        <v>קונטרס קול קורא</v>
      </c>
    </row>
    <row r="38056" spans="1:6" x14ac:dyDescent="0.2">
      <c r="A38056" t="s">
        <v>58463</v>
      </c>
      <c r="B38056" t="s">
        <v>58464</v>
      </c>
      <c r="E38056" t="s">
        <v>144</v>
      </c>
      <c r="F38056" s="2" t="str">
        <f>HYPERLINK("http://www.otzar.org/book.asp?176953","קונטרס קול רינה")</f>
        <v>קונטרס קול רינה</v>
      </c>
    </row>
    <row r="38057" spans="1:6" x14ac:dyDescent="0.2">
      <c r="A38057" t="s">
        <v>58465</v>
      </c>
      <c r="B38057" t="s">
        <v>17288</v>
      </c>
      <c r="C38057" t="s">
        <v>411</v>
      </c>
      <c r="D38057" t="s">
        <v>90</v>
      </c>
      <c r="E38057" t="s">
        <v>246</v>
      </c>
      <c r="F38057" s="2" t="str">
        <f>HYPERLINK("http://www.otzar.org/book.asp?172243","קונטרס קול רנה וישועה")</f>
        <v>קונטרס קול רנה וישועה</v>
      </c>
    </row>
    <row r="38058" spans="1:6" x14ac:dyDescent="0.2">
      <c r="A38058" t="s">
        <v>58466</v>
      </c>
      <c r="B38058" t="s">
        <v>18804</v>
      </c>
      <c r="C38058" t="s">
        <v>103</v>
      </c>
      <c r="D38058" t="s">
        <v>52</v>
      </c>
      <c r="E38058" t="s">
        <v>15</v>
      </c>
      <c r="F38058" s="2" t="str">
        <f>HYPERLINK("http://www.otzar.org/book.asp?188844","קונטרס קול רנה")</f>
        <v>קונטרס קול רנה</v>
      </c>
    </row>
    <row r="38059" spans="1:6" x14ac:dyDescent="0.2">
      <c r="A38059" t="s">
        <v>58467</v>
      </c>
      <c r="B38059" t="s">
        <v>55075</v>
      </c>
      <c r="C38059" t="s">
        <v>68</v>
      </c>
      <c r="D38059" t="s">
        <v>152</v>
      </c>
      <c r="E38059" t="s">
        <v>1174</v>
      </c>
      <c r="F38059" s="2" t="str">
        <f>HYPERLINK("http://www.otzar.org/book.asp?163873","קונטרס קול שמחה")</f>
        <v>קונטרס קול שמחה</v>
      </c>
    </row>
    <row r="38060" spans="1:6" x14ac:dyDescent="0.2">
      <c r="A38060" t="s">
        <v>58468</v>
      </c>
      <c r="B38060" t="s">
        <v>51079</v>
      </c>
      <c r="C38060" t="s">
        <v>133</v>
      </c>
      <c r="D38060" t="s">
        <v>14</v>
      </c>
      <c r="F38060" s="2" t="str">
        <f>HYPERLINK("http://www.otzar.org/book.asp?610381","קונטרס קול ששון וקול שמחה")</f>
        <v>קונטרס קול ששון וקול שמחה</v>
      </c>
    </row>
    <row r="38061" spans="1:6" x14ac:dyDescent="0.2">
      <c r="A38061" t="s">
        <v>58469</v>
      </c>
      <c r="B38061" t="s">
        <v>206</v>
      </c>
      <c r="C38061" t="s">
        <v>13</v>
      </c>
      <c r="D38061" t="s">
        <v>14</v>
      </c>
      <c r="E38061" t="s">
        <v>219</v>
      </c>
      <c r="F38061" s="2" t="str">
        <f>HYPERLINK("http://www.otzar.org/book.asp?162144","קונטרס קולך ערב")</f>
        <v>קונטרס קולך ערב</v>
      </c>
    </row>
    <row r="38062" spans="1:6" x14ac:dyDescent="0.2">
      <c r="A38062" t="s">
        <v>58470</v>
      </c>
      <c r="B38062" t="s">
        <v>51079</v>
      </c>
      <c r="C38062" t="s">
        <v>20</v>
      </c>
      <c r="D38062" t="s">
        <v>14</v>
      </c>
      <c r="F38062" s="2" t="str">
        <f>HYPERLINK("http://www.otzar.org/book.asp?610377","קונטרס קומי אורי")</f>
        <v>קונטרס קומי אורי</v>
      </c>
    </row>
    <row r="38063" spans="1:6" x14ac:dyDescent="0.2">
      <c r="A38063" t="s">
        <v>58471</v>
      </c>
      <c r="B38063" t="s">
        <v>51581</v>
      </c>
      <c r="C38063" t="s">
        <v>4705</v>
      </c>
      <c r="D38063" t="s">
        <v>6042</v>
      </c>
      <c r="E38063" t="s">
        <v>15</v>
      </c>
      <c r="F38063" s="2" t="str">
        <f>HYPERLINK("http://www.otzar.org/book.asp?21427","קונטרס קונדיסין וצורת הפתח")</f>
        <v>קונטרס קונדיסין וצורת הפתח</v>
      </c>
    </row>
    <row r="38064" spans="1:6" x14ac:dyDescent="0.2">
      <c r="A38064" t="s">
        <v>58472</v>
      </c>
      <c r="B38064" t="s">
        <v>1367</v>
      </c>
      <c r="C38064" t="s">
        <v>1679</v>
      </c>
      <c r="D38064" t="s">
        <v>90</v>
      </c>
      <c r="E38064" t="s">
        <v>703</v>
      </c>
      <c r="F38064" s="2" t="str">
        <f>HYPERLINK("http://www.otzar.org/book.asp?62142","קונטרס קטן מעניני בחירה - 2 כר'")</f>
        <v>קונטרס קטן מעניני בחירה - 2 כר'</v>
      </c>
    </row>
    <row r="38065" spans="1:6" x14ac:dyDescent="0.2">
      <c r="A38065" t="s">
        <v>58473</v>
      </c>
      <c r="B38065" t="s">
        <v>38880</v>
      </c>
      <c r="C38065" t="s">
        <v>189</v>
      </c>
      <c r="D38065" t="s">
        <v>14</v>
      </c>
      <c r="F38065" s="2" t="str">
        <f>HYPERLINK("http://www.otzar.org/book.asp?182406","קונטרס קטן שהגדיל")</f>
        <v>קונטרס קטן שהגדיל</v>
      </c>
    </row>
    <row r="38066" spans="1:6" x14ac:dyDescent="0.2">
      <c r="A38066" t="s">
        <v>58474</v>
      </c>
      <c r="B38066" t="s">
        <v>38880</v>
      </c>
      <c r="C38066" t="s">
        <v>114</v>
      </c>
      <c r="D38066" t="s">
        <v>14</v>
      </c>
      <c r="F38066" s="2" t="str">
        <f>HYPERLINK("http://www.otzar.org/book.asp?182405","קונטרס קטן שהקדיש")</f>
        <v>קונטרס קטן שהקדיש</v>
      </c>
    </row>
    <row r="38067" spans="1:6" x14ac:dyDescent="0.2">
      <c r="A38067" t="s">
        <v>58475</v>
      </c>
      <c r="B38067" t="s">
        <v>38880</v>
      </c>
      <c r="C38067" t="s">
        <v>133</v>
      </c>
      <c r="D38067" t="s">
        <v>14</v>
      </c>
      <c r="F38067" s="2" t="str">
        <f>HYPERLINK("http://www.otzar.org/book.asp?182404","קונטרס קטן שטיהר")</f>
        <v>קונטרס קטן שטיהר</v>
      </c>
    </row>
    <row r="38068" spans="1:6" x14ac:dyDescent="0.2">
      <c r="A38068" t="s">
        <v>58476</v>
      </c>
      <c r="B38068" t="s">
        <v>43688</v>
      </c>
      <c r="C38068" t="s">
        <v>111</v>
      </c>
      <c r="D38068" t="s">
        <v>90</v>
      </c>
      <c r="E38068" t="s">
        <v>202</v>
      </c>
      <c r="F38068" s="2" t="str">
        <f>HYPERLINK("http://www.otzar.org/book.asp?629808","קונטרס קיבלו וקיימו - 4 כר'")</f>
        <v>קונטרס קיבלו וקיימו - 4 כר'</v>
      </c>
    </row>
    <row r="38069" spans="1:6" x14ac:dyDescent="0.2">
      <c r="A38069" t="s">
        <v>58477</v>
      </c>
      <c r="B38069" t="s">
        <v>9655</v>
      </c>
      <c r="E38069" t="s">
        <v>15</v>
      </c>
      <c r="F38069" s="2" t="str">
        <f>HYPERLINK("http://www.otzar.org/book.asp?622725","קונטרס קידושא רבא")</f>
        <v>קונטרס קידושא רבא</v>
      </c>
    </row>
    <row r="38070" spans="1:6" x14ac:dyDescent="0.2">
      <c r="A38070" t="s">
        <v>58478</v>
      </c>
      <c r="B38070" t="s">
        <v>58479</v>
      </c>
      <c r="C38070" t="s">
        <v>68</v>
      </c>
      <c r="D38070" t="s">
        <v>118</v>
      </c>
      <c r="E38070" t="s">
        <v>144</v>
      </c>
      <c r="F38070" s="2" t="str">
        <f>HYPERLINK("http://www.otzar.org/book.asp?166231","קונטרס קידושי אשה")</f>
        <v>קונטרס קידושי אשה</v>
      </c>
    </row>
    <row r="38071" spans="1:6" x14ac:dyDescent="0.2">
      <c r="A38071" t="s">
        <v>58480</v>
      </c>
      <c r="B38071" t="s">
        <v>6987</v>
      </c>
      <c r="C38071" t="s">
        <v>20</v>
      </c>
      <c r="D38071" t="s">
        <v>90</v>
      </c>
      <c r="E38071" t="s">
        <v>144</v>
      </c>
      <c r="F38071" s="2" t="str">
        <f>HYPERLINK("http://www.otzar.org/book.asp?163346","קונטרס קיום ועדות שטרות")</f>
        <v>קונטרס קיום ועדות שטרות</v>
      </c>
    </row>
    <row r="38072" spans="1:6" x14ac:dyDescent="0.2">
      <c r="A38072" t="s">
        <v>58481</v>
      </c>
      <c r="B38072" t="s">
        <v>12027</v>
      </c>
      <c r="C38072" t="s">
        <v>114</v>
      </c>
      <c r="D38072" t="s">
        <v>52</v>
      </c>
      <c r="F38072" s="2" t="str">
        <f>HYPERLINK("http://www.otzar.org/book.asp?608036","קונטרס קיים מרדכי")</f>
        <v>קונטרס קיים מרדכי</v>
      </c>
    </row>
    <row r="38073" spans="1:6" x14ac:dyDescent="0.2">
      <c r="A38073" t="s">
        <v>58482</v>
      </c>
      <c r="B38073" t="s">
        <v>32357</v>
      </c>
      <c r="C38073" t="s">
        <v>20</v>
      </c>
      <c r="D38073" t="s">
        <v>52</v>
      </c>
      <c r="E38073" t="s">
        <v>246</v>
      </c>
      <c r="F38073" s="2" t="str">
        <f>HYPERLINK("http://www.otzar.org/book.asp?193815","קונטרס קיימו וקבלו")</f>
        <v>קונטרס קיימו וקבלו</v>
      </c>
    </row>
    <row r="38074" spans="1:6" x14ac:dyDescent="0.2">
      <c r="A38074" t="s">
        <v>58483</v>
      </c>
      <c r="B38074" t="s">
        <v>29934</v>
      </c>
      <c r="C38074" t="s">
        <v>523</v>
      </c>
      <c r="D38074" t="s">
        <v>14</v>
      </c>
      <c r="E38074" t="s">
        <v>158</v>
      </c>
      <c r="F38074" s="2" t="str">
        <f>HYPERLINK("http://www.otzar.org/book.asp?171203","קונטרס קיימיה דדוד משיחא")</f>
        <v>קונטרס קיימיה דדוד משיחא</v>
      </c>
    </row>
    <row r="38075" spans="1:6" x14ac:dyDescent="0.2">
      <c r="A38075" t="s">
        <v>58484</v>
      </c>
      <c r="B38075" t="s">
        <v>58485</v>
      </c>
      <c r="C38075" t="s">
        <v>466</v>
      </c>
      <c r="D38075" t="s">
        <v>852</v>
      </c>
      <c r="E38075" t="s">
        <v>3790</v>
      </c>
      <c r="F38075" s="2" t="str">
        <f>HYPERLINK("http://www.otzar.org/book.asp?84384","קונטרס קיצור הלכות בין אדם לחבירו")</f>
        <v>קונטרס קיצור הלכות בין אדם לחבירו</v>
      </c>
    </row>
    <row r="38076" spans="1:6" x14ac:dyDescent="0.2">
      <c r="A38076" t="s">
        <v>58486</v>
      </c>
      <c r="B38076" t="s">
        <v>58485</v>
      </c>
      <c r="C38076" t="s">
        <v>51</v>
      </c>
      <c r="D38076" t="s">
        <v>852</v>
      </c>
      <c r="E38076" t="s">
        <v>15</v>
      </c>
      <c r="F38076" s="2" t="str">
        <f>HYPERLINK("http://www.otzar.org/book.asp?150585","קונטרס קיצור הלכות רבית והיתר עסקא")</f>
        <v>קונטרס קיצור הלכות רבית והיתר עסקא</v>
      </c>
    </row>
    <row r="38077" spans="1:6" x14ac:dyDescent="0.2">
      <c r="A38077" t="s">
        <v>58487</v>
      </c>
      <c r="B38077" t="s">
        <v>2342</v>
      </c>
      <c r="C38077" t="s">
        <v>454</v>
      </c>
      <c r="D38077" t="s">
        <v>52</v>
      </c>
      <c r="E38077" t="s">
        <v>144</v>
      </c>
      <c r="F38077" s="2" t="str">
        <f>HYPERLINK("http://www.otzar.org/book.asp?108143","קונטרס קל וחומר דמשה")</f>
        <v>קונטרס קל וחומר דמשה</v>
      </c>
    </row>
    <row r="38078" spans="1:6" x14ac:dyDescent="0.2">
      <c r="A38078" t="s">
        <v>58488</v>
      </c>
      <c r="B38078" t="s">
        <v>58489</v>
      </c>
      <c r="C38078" t="s">
        <v>133</v>
      </c>
      <c r="D38078" t="s">
        <v>58490</v>
      </c>
      <c r="E38078" t="s">
        <v>246</v>
      </c>
      <c r="F38078" s="2" t="str">
        <f>HYPERLINK("http://www.otzar.org/book.asp?606331","קונטרס קלעי החצר - 4 כר'")</f>
        <v>קונטרס קלעי החצר - 4 כר'</v>
      </c>
    </row>
    <row r="38079" spans="1:6" x14ac:dyDescent="0.2">
      <c r="A38079" t="s">
        <v>58491</v>
      </c>
      <c r="B38079" t="s">
        <v>58492</v>
      </c>
      <c r="C38079" t="s">
        <v>146</v>
      </c>
      <c r="D38079" t="s">
        <v>52</v>
      </c>
      <c r="E38079" t="s">
        <v>144</v>
      </c>
      <c r="F38079" s="2" t="str">
        <f>HYPERLINK("http://www.otzar.org/book.asp?165463","קונטרס קם תחתיו")</f>
        <v>קונטרס קם תחתיו</v>
      </c>
    </row>
    <row r="38080" spans="1:6" x14ac:dyDescent="0.2">
      <c r="A38080" t="s">
        <v>58493</v>
      </c>
      <c r="B38080" t="s">
        <v>58494</v>
      </c>
      <c r="C38080" t="s">
        <v>1208</v>
      </c>
      <c r="D38080" t="s">
        <v>14</v>
      </c>
      <c r="F38080" s="2" t="str">
        <f>HYPERLINK("http://www.otzar.org/book.asp?618977","קונטרס קן צפור")</f>
        <v>קונטרס קן צפור</v>
      </c>
    </row>
    <row r="38081" spans="1:6" x14ac:dyDescent="0.2">
      <c r="A38081" t="s">
        <v>58495</v>
      </c>
      <c r="B38081" t="s">
        <v>43595</v>
      </c>
      <c r="C38081" t="s">
        <v>37</v>
      </c>
      <c r="D38081" t="s">
        <v>52</v>
      </c>
      <c r="F38081" s="2" t="str">
        <f>HYPERLINK("http://www.otzar.org/book.asp?193553","קונטרס קנה לך חבר - 2 כר'")</f>
        <v>קונטרס קנה לך חבר - 2 כר'</v>
      </c>
    </row>
    <row r="38082" spans="1:6" x14ac:dyDescent="0.2">
      <c r="A38082" t="s">
        <v>58496</v>
      </c>
      <c r="B38082" t="s">
        <v>38880</v>
      </c>
      <c r="C38082" t="s">
        <v>114</v>
      </c>
      <c r="D38082" t="s">
        <v>14</v>
      </c>
      <c r="F38082" s="2" t="str">
        <f>HYPERLINK("http://www.otzar.org/book.asp?182401","קונטרס קנייני תורה")</f>
        <v>קונטרס קנייני תורה</v>
      </c>
    </row>
    <row r="38083" spans="1:6" x14ac:dyDescent="0.2">
      <c r="A38083" t="s">
        <v>58497</v>
      </c>
      <c r="B38083" t="s">
        <v>31942</v>
      </c>
      <c r="C38083" t="s">
        <v>20</v>
      </c>
      <c r="D38083" t="s">
        <v>14</v>
      </c>
      <c r="E38083" t="s">
        <v>84</v>
      </c>
      <c r="F38083" s="2" t="str">
        <f>HYPERLINK("http://www.otzar.org/book.asp?608323","קונטרס קנין דעת")</f>
        <v>קונטרס קנין דעת</v>
      </c>
    </row>
    <row r="38084" spans="1:6" x14ac:dyDescent="0.2">
      <c r="A38084" t="s">
        <v>58498</v>
      </c>
      <c r="B38084" t="s">
        <v>55917</v>
      </c>
      <c r="C38084" t="s">
        <v>58499</v>
      </c>
      <c r="D38084" t="s">
        <v>152</v>
      </c>
      <c r="E38084" t="s">
        <v>144</v>
      </c>
      <c r="F38084" s="2" t="str">
        <f>HYPERLINK("http://www.otzar.org/book.asp?153830","קונטרס קנין כספו")</f>
        <v>קונטרס קנין כספו</v>
      </c>
    </row>
    <row r="38085" spans="1:6" x14ac:dyDescent="0.2">
      <c r="A38085" t="s">
        <v>58500</v>
      </c>
      <c r="B38085" t="s">
        <v>56047</v>
      </c>
      <c r="C38085" t="s">
        <v>244</v>
      </c>
      <c r="D38085" t="s">
        <v>52</v>
      </c>
      <c r="E38085" t="s">
        <v>144</v>
      </c>
      <c r="F38085" s="2" t="str">
        <f>HYPERLINK("http://www.otzar.org/book.asp?624955","קונטרס קנין סודר")</f>
        <v>קונטרס קנין סודר</v>
      </c>
    </row>
    <row r="38086" spans="1:6" x14ac:dyDescent="0.2">
      <c r="A38086" t="s">
        <v>58501</v>
      </c>
      <c r="B38086" t="s">
        <v>58502</v>
      </c>
      <c r="C38086" t="s">
        <v>151</v>
      </c>
      <c r="D38086" t="s">
        <v>152</v>
      </c>
      <c r="E38086" t="s">
        <v>144</v>
      </c>
      <c r="F38086" s="2" t="str">
        <f>HYPERLINK("http://www.otzar.org/book.asp?614669","קונטרס קנין שמחה - קידושין וגיטין")</f>
        <v>קונטרס קנין שמחה - קידושין וגיטין</v>
      </c>
    </row>
    <row r="38087" spans="1:6" x14ac:dyDescent="0.2">
      <c r="A38087" t="s">
        <v>58503</v>
      </c>
      <c r="B38087" t="s">
        <v>58504</v>
      </c>
      <c r="C38087" t="s">
        <v>68</v>
      </c>
      <c r="D38087" t="s">
        <v>14</v>
      </c>
      <c r="E38087" t="s">
        <v>241</v>
      </c>
      <c r="F38087" s="2" t="str">
        <f>HYPERLINK("http://www.otzar.org/book.asp?168353","קונטרס קנין תורה")</f>
        <v>קונטרס קנין תורה</v>
      </c>
    </row>
    <row r="38088" spans="1:6" x14ac:dyDescent="0.2">
      <c r="A38088" t="s">
        <v>58503</v>
      </c>
      <c r="B38088" t="s">
        <v>58505</v>
      </c>
      <c r="C38088" t="s">
        <v>23</v>
      </c>
      <c r="D38088" t="s">
        <v>14</v>
      </c>
      <c r="F38088" s="2" t="str">
        <f>HYPERLINK("http://www.otzar.org/book.asp?616065","קונטרס קנין תורה")</f>
        <v>קונטרס קנין תורה</v>
      </c>
    </row>
    <row r="38089" spans="1:6" x14ac:dyDescent="0.2">
      <c r="A38089" t="s">
        <v>58506</v>
      </c>
      <c r="B38089" t="s">
        <v>206</v>
      </c>
      <c r="C38089" t="s">
        <v>244</v>
      </c>
      <c r="D38089" t="s">
        <v>90</v>
      </c>
      <c r="E38089" t="s">
        <v>241</v>
      </c>
      <c r="F38089" s="2" t="str">
        <f>HYPERLINK("http://www.otzar.org/book.asp?607258","קונטרס קניני הדעת - א")</f>
        <v>קונטרס קניני הדעת - א</v>
      </c>
    </row>
    <row r="38090" spans="1:6" x14ac:dyDescent="0.2">
      <c r="A38090" t="s">
        <v>58507</v>
      </c>
      <c r="B38090" t="s">
        <v>11221</v>
      </c>
      <c r="C38090" t="s">
        <v>133</v>
      </c>
      <c r="D38090" t="s">
        <v>21</v>
      </c>
      <c r="E38090" t="s">
        <v>84</v>
      </c>
      <c r="F38090" s="2" t="str">
        <f>HYPERLINK("http://www.otzar.org/book.asp?607227","קונטרס קניני התורה")</f>
        <v>קונטרס קניני התורה</v>
      </c>
    </row>
    <row r="38091" spans="1:6" x14ac:dyDescent="0.2">
      <c r="A38091" t="s">
        <v>58508</v>
      </c>
      <c r="B38091" t="s">
        <v>7232</v>
      </c>
      <c r="C38091" t="s">
        <v>37</v>
      </c>
      <c r="D38091" t="s">
        <v>152</v>
      </c>
      <c r="E38091" t="s">
        <v>241</v>
      </c>
      <c r="F38091" s="2" t="str">
        <f>HYPERLINK("http://www.otzar.org/book.asp?622695","קונטרס קניני תורה - 2 כר'")</f>
        <v>קונטרס קניני תורה - 2 כר'</v>
      </c>
    </row>
    <row r="38092" spans="1:6" x14ac:dyDescent="0.2">
      <c r="A38092" t="s">
        <v>58509</v>
      </c>
      <c r="B38092" t="s">
        <v>58510</v>
      </c>
      <c r="C38092" t="s">
        <v>189</v>
      </c>
      <c r="D38092" t="s">
        <v>118</v>
      </c>
      <c r="E38092" t="s">
        <v>144</v>
      </c>
      <c r="F38092" s="2" t="str">
        <f>HYPERLINK("http://www.otzar.org/book.asp?162146","קונטרס קרבן שמואל")</f>
        <v>קונטרס קרבן שמואל</v>
      </c>
    </row>
    <row r="38093" spans="1:6" x14ac:dyDescent="0.2">
      <c r="A38093" t="s">
        <v>58511</v>
      </c>
      <c r="B38093" t="s">
        <v>206</v>
      </c>
      <c r="C38093" t="s">
        <v>20</v>
      </c>
      <c r="D38093" t="s">
        <v>14</v>
      </c>
      <c r="E38093" t="s">
        <v>15</v>
      </c>
      <c r="F38093" s="2" t="str">
        <f>HYPERLINK("http://www.otzar.org/book.asp?606080","קונטרס קריאה ברורה")</f>
        <v>קונטרס קריאה ברורה</v>
      </c>
    </row>
    <row r="38094" spans="1:6" x14ac:dyDescent="0.2">
      <c r="A38094" t="s">
        <v>58512</v>
      </c>
      <c r="B38094" t="s">
        <v>58513</v>
      </c>
      <c r="C38094" t="s">
        <v>366</v>
      </c>
      <c r="D38094" t="s">
        <v>14</v>
      </c>
      <c r="F38094" s="2" t="str">
        <f>HYPERLINK("http://www.otzar.org/book.asp?618620","קונטרס קרן עור פניו - 2 כר'")</f>
        <v>קונטרס קרן עור פניו - 2 כר'</v>
      </c>
    </row>
    <row r="38095" spans="1:6" x14ac:dyDescent="0.2">
      <c r="A38095" t="s">
        <v>58514</v>
      </c>
      <c r="B38095" t="s">
        <v>24943</v>
      </c>
      <c r="C38095" t="s">
        <v>58515</v>
      </c>
      <c r="D38095" t="s">
        <v>52</v>
      </c>
      <c r="E38095" t="s">
        <v>15</v>
      </c>
      <c r="F38095" s="2" t="str">
        <f>HYPERLINK("http://www.otzar.org/book.asp?623595","קונטרס קשר של קיימא")</f>
        <v>קונטרס קשר של קיימא</v>
      </c>
    </row>
    <row r="38096" spans="1:6" x14ac:dyDescent="0.2">
      <c r="A38096" t="s">
        <v>58516</v>
      </c>
      <c r="B38096" t="s">
        <v>9641</v>
      </c>
      <c r="C38096" t="s">
        <v>1160</v>
      </c>
      <c r="D38096" t="s">
        <v>14</v>
      </c>
      <c r="E38096" t="s">
        <v>15</v>
      </c>
      <c r="F38096" s="2" t="str">
        <f>HYPERLINK("http://www.otzar.org/book.asp?162703","קונטרס קשר תפלין")</f>
        <v>קונטרס קשר תפלין</v>
      </c>
    </row>
    <row r="38097" spans="1:6" x14ac:dyDescent="0.2">
      <c r="A38097" t="s">
        <v>58517</v>
      </c>
      <c r="B38097" t="s">
        <v>58518</v>
      </c>
      <c r="C38097" t="s">
        <v>58519</v>
      </c>
      <c r="D38097" t="s">
        <v>58520</v>
      </c>
      <c r="F38097" s="2" t="str">
        <f>HYPERLINK("http://www.otzar.org/book.asp?614421","קונטרס ר' חיים יונה &lt;דפו""ר&gt;")</f>
        <v>קונטרס ר' חיים יונה &lt;דפו"ר&gt;</v>
      </c>
    </row>
    <row r="38098" spans="1:6" x14ac:dyDescent="0.2">
      <c r="A38098" t="s">
        <v>58521</v>
      </c>
      <c r="B38098" t="s">
        <v>58518</v>
      </c>
      <c r="C38098" t="s">
        <v>466</v>
      </c>
      <c r="D38098" t="s">
        <v>245</v>
      </c>
      <c r="F38098" s="2" t="str">
        <f>HYPERLINK("http://www.otzar.org/book.asp?614428","קונטרס ר' חיים יונה &lt;מהדו""ח&gt;")</f>
        <v>קונטרס ר' חיים יונה &lt;מהדו"ח&gt;</v>
      </c>
    </row>
    <row r="38099" spans="1:6" x14ac:dyDescent="0.2">
      <c r="A38099" t="s">
        <v>58522</v>
      </c>
      <c r="B38099" t="s">
        <v>58518</v>
      </c>
      <c r="C38099" t="s">
        <v>11821</v>
      </c>
      <c r="D38099" t="s">
        <v>267</v>
      </c>
      <c r="E38099" t="s">
        <v>144</v>
      </c>
      <c r="F38099" s="2" t="str">
        <f>HYPERLINK("http://www.otzar.org/book.asp?100093","קונטרס ר' חיים יונה")</f>
        <v>קונטרס ר' חיים יונה</v>
      </c>
    </row>
    <row r="38100" spans="1:6" x14ac:dyDescent="0.2">
      <c r="A38100" t="s">
        <v>58523</v>
      </c>
      <c r="B38100" t="s">
        <v>58524</v>
      </c>
      <c r="C38100" t="s">
        <v>366</v>
      </c>
      <c r="D38100" t="s">
        <v>152</v>
      </c>
      <c r="F38100" s="2" t="str">
        <f>HYPERLINK("http://www.otzar.org/book.asp?610199","קונטרס ראיתי בני עליה")</f>
        <v>קונטרס ראיתי בני עליה</v>
      </c>
    </row>
    <row r="38101" spans="1:6" x14ac:dyDescent="0.2">
      <c r="A38101" t="s">
        <v>58525</v>
      </c>
      <c r="B38101" t="s">
        <v>15689</v>
      </c>
      <c r="C38101" t="s">
        <v>68</v>
      </c>
      <c r="D38101" t="s">
        <v>3069</v>
      </c>
      <c r="E38101" t="s">
        <v>246</v>
      </c>
      <c r="F38101" s="2" t="str">
        <f>HYPERLINK("http://www.otzar.org/book.asp?162159","קונטרס ראש השנה")</f>
        <v>קונטרס ראש השנה</v>
      </c>
    </row>
    <row r="38102" spans="1:6" x14ac:dyDescent="0.2">
      <c r="A38102" t="s">
        <v>58526</v>
      </c>
      <c r="B38102" t="s">
        <v>58527</v>
      </c>
      <c r="C38102" t="s">
        <v>146</v>
      </c>
      <c r="D38102" t="s">
        <v>412</v>
      </c>
      <c r="E38102" t="s">
        <v>202</v>
      </c>
      <c r="F38102" s="2" t="str">
        <f>HYPERLINK("http://www.otzar.org/book.asp?623816","קונטרס ראש פנה")</f>
        <v>קונטרס ראש פנה</v>
      </c>
    </row>
    <row r="38103" spans="1:6" x14ac:dyDescent="0.2">
      <c r="A38103" t="s">
        <v>58528</v>
      </c>
      <c r="B38103" t="s">
        <v>206</v>
      </c>
      <c r="C38103" t="s">
        <v>103</v>
      </c>
      <c r="D38103" t="s">
        <v>52</v>
      </c>
      <c r="E38103" t="s">
        <v>993</v>
      </c>
      <c r="F38103" s="2" t="str">
        <f>HYPERLINK("http://www.otzar.org/book.asp?167849","קונטרס ראשונים כמלאכים")</f>
        <v>קונטרס ראשונים כמלאכים</v>
      </c>
    </row>
    <row r="38104" spans="1:6" x14ac:dyDescent="0.2">
      <c r="A38104" t="s">
        <v>58529</v>
      </c>
      <c r="B38104" t="s">
        <v>58530</v>
      </c>
      <c r="C38104" t="s">
        <v>366</v>
      </c>
      <c r="D38104" t="s">
        <v>90</v>
      </c>
      <c r="E38104" t="s">
        <v>15</v>
      </c>
      <c r="F38104" s="2" t="str">
        <f>HYPERLINK("http://www.otzar.org/book.asp?629682","קונטרס ראשי בשמים - 6 כר'")</f>
        <v>קונטרס ראשי בשמים - 6 כר'</v>
      </c>
    </row>
    <row r="38105" spans="1:6" x14ac:dyDescent="0.2">
      <c r="A38105" t="s">
        <v>58531</v>
      </c>
      <c r="B38105" t="s">
        <v>37591</v>
      </c>
      <c r="C38105" t="s">
        <v>940</v>
      </c>
      <c r="D38105" t="s">
        <v>52</v>
      </c>
      <c r="E38105" t="s">
        <v>58532</v>
      </c>
      <c r="F38105" s="2" t="str">
        <f>HYPERLINK("http://www.otzar.org/book.asp?63770","קונטרס ראשית בכורי")</f>
        <v>קונטרס ראשית בכורי</v>
      </c>
    </row>
    <row r="38106" spans="1:6" x14ac:dyDescent="0.2">
      <c r="A38106" t="s">
        <v>58533</v>
      </c>
      <c r="B38106" t="s">
        <v>29903</v>
      </c>
      <c r="C38106" t="s">
        <v>427</v>
      </c>
      <c r="D38106" t="s">
        <v>52</v>
      </c>
      <c r="E38106" t="s">
        <v>15</v>
      </c>
      <c r="F38106" s="2" t="str">
        <f>HYPERLINK("http://www.otzar.org/book.asp?167759","קונטרס ראשית דגנך")</f>
        <v>קונטרס ראשית דגנך</v>
      </c>
    </row>
    <row r="38107" spans="1:6" x14ac:dyDescent="0.2">
      <c r="A38107" t="s">
        <v>58534</v>
      </c>
      <c r="B38107" t="s">
        <v>58535</v>
      </c>
      <c r="C38107" t="s">
        <v>454</v>
      </c>
      <c r="D38107" t="s">
        <v>3283</v>
      </c>
      <c r="E38107" t="s">
        <v>3987</v>
      </c>
      <c r="F38107" s="2" t="str">
        <f>HYPERLINK("http://www.otzar.org/book.asp?188832","קונטרס רבי זעקל בשם החתם סופר")</f>
        <v>קונטרס רבי זעקל בשם החתם סופר</v>
      </c>
    </row>
    <row r="38108" spans="1:6" x14ac:dyDescent="0.2">
      <c r="A38108" t="s">
        <v>58536</v>
      </c>
      <c r="B38108" t="s">
        <v>46016</v>
      </c>
      <c r="C38108" t="s">
        <v>422</v>
      </c>
      <c r="D38108" t="s">
        <v>52</v>
      </c>
      <c r="F38108" s="2" t="str">
        <f>HYPERLINK("http://www.otzar.org/book.asp?619086","קונטרס רבית דברים")</f>
        <v>קונטרס רבית דברים</v>
      </c>
    </row>
    <row r="38109" spans="1:6" x14ac:dyDescent="0.2">
      <c r="A38109" t="s">
        <v>58537</v>
      </c>
      <c r="B38109" t="s">
        <v>58538</v>
      </c>
      <c r="C38109" t="s">
        <v>37</v>
      </c>
      <c r="D38109" t="s">
        <v>14</v>
      </c>
      <c r="E38109" t="s">
        <v>1211</v>
      </c>
      <c r="F38109" s="2" t="str">
        <f>HYPERLINK("http://www.otzar.org/book.asp?614890","קונטרס רוב דגן")</f>
        <v>קונטרס רוב דגן</v>
      </c>
    </row>
    <row r="38110" spans="1:6" x14ac:dyDescent="0.2">
      <c r="A38110" t="s">
        <v>58539</v>
      </c>
      <c r="B38110" t="s">
        <v>29924</v>
      </c>
      <c r="C38110" t="s">
        <v>244</v>
      </c>
      <c r="D38110" t="s">
        <v>14</v>
      </c>
      <c r="E38110" t="s">
        <v>144</v>
      </c>
      <c r="F38110" s="2" t="str">
        <f>HYPERLINK("http://www.otzar.org/book.asp?608291","קונטרס רוני בלילה - 5 כר'")</f>
        <v>קונטרס רוני בלילה - 5 כר'</v>
      </c>
    </row>
    <row r="38111" spans="1:6" x14ac:dyDescent="0.2">
      <c r="A38111" t="s">
        <v>58540</v>
      </c>
      <c r="B38111" t="s">
        <v>18820</v>
      </c>
      <c r="C38111" t="s">
        <v>68</v>
      </c>
      <c r="D38111" t="s">
        <v>52</v>
      </c>
      <c r="E38111" t="s">
        <v>104</v>
      </c>
      <c r="F38111" s="2" t="str">
        <f>HYPERLINK("http://www.otzar.org/book.asp?172953","קונטרס רופא ורפואה במקורות חז""ל")</f>
        <v>קונטרס רופא ורפואה במקורות חז"ל</v>
      </c>
    </row>
    <row r="38112" spans="1:6" x14ac:dyDescent="0.2">
      <c r="A38112" t="s">
        <v>58541</v>
      </c>
      <c r="B38112" t="s">
        <v>11925</v>
      </c>
      <c r="C38112" t="s">
        <v>411</v>
      </c>
      <c r="D38112" t="s">
        <v>52</v>
      </c>
      <c r="E38112" t="s">
        <v>872</v>
      </c>
      <c r="F38112" s="2" t="str">
        <f>HYPERLINK("http://www.otzar.org/book.asp?167805","קונטרס רחל באה עם הצאן")</f>
        <v>קונטרס רחל באה עם הצאן</v>
      </c>
    </row>
    <row r="38113" spans="1:6" x14ac:dyDescent="0.2">
      <c r="A38113" t="s">
        <v>58542</v>
      </c>
      <c r="B38113" t="s">
        <v>56268</v>
      </c>
      <c r="C38113" t="s">
        <v>23</v>
      </c>
      <c r="D38113" t="s">
        <v>90</v>
      </c>
      <c r="F38113" s="2" t="str">
        <f>HYPERLINK("http://www.otzar.org/book.asp?610589","קונטרס רחמנא אמר תקעו")</f>
        <v>קונטרס רחמנא אמר תקעו</v>
      </c>
    </row>
    <row r="38114" spans="1:6" x14ac:dyDescent="0.2">
      <c r="A38114" t="s">
        <v>58543</v>
      </c>
      <c r="B38114" t="s">
        <v>5092</v>
      </c>
      <c r="C38114" t="s">
        <v>20</v>
      </c>
      <c r="D38114" t="s">
        <v>412</v>
      </c>
      <c r="E38114" t="s">
        <v>384</v>
      </c>
      <c r="F38114" s="2" t="str">
        <f>HYPERLINK("http://www.otzar.org/book.asp?160400","קונטרס רחמנא ליבא בעי")</f>
        <v>קונטרס רחמנא ליבא בעי</v>
      </c>
    </row>
    <row r="38115" spans="1:6" x14ac:dyDescent="0.2">
      <c r="A38115" t="s">
        <v>58544</v>
      </c>
      <c r="B38115" t="s">
        <v>206</v>
      </c>
      <c r="C38115" t="s">
        <v>20</v>
      </c>
      <c r="D38115" t="s">
        <v>90</v>
      </c>
      <c r="E38115" t="s">
        <v>104</v>
      </c>
      <c r="F38115" s="2" t="str">
        <f>HYPERLINK("http://www.otzar.org/book.asp?193566","קונטרס רחשי לב")</f>
        <v>קונטרס רחשי לב</v>
      </c>
    </row>
    <row r="38116" spans="1:6" x14ac:dyDescent="0.2">
      <c r="A38116" t="s">
        <v>58545</v>
      </c>
      <c r="B38116" t="s">
        <v>599</v>
      </c>
      <c r="C38116" t="s">
        <v>422</v>
      </c>
      <c r="D38116" t="s">
        <v>52</v>
      </c>
      <c r="E38116" t="s">
        <v>15</v>
      </c>
      <c r="F38116" s="2" t="str">
        <f>HYPERLINK("http://www.otzar.org/book.asp?163106","קונטרס רי""ח טוב")</f>
        <v>קונטרס רי"ח טוב</v>
      </c>
    </row>
    <row r="38117" spans="1:6" x14ac:dyDescent="0.2">
      <c r="A38117" t="s">
        <v>58546</v>
      </c>
      <c r="B38117" t="s">
        <v>58547</v>
      </c>
      <c r="C38117" t="s">
        <v>151</v>
      </c>
      <c r="D38117" t="s">
        <v>52</v>
      </c>
      <c r="E38117" t="s">
        <v>144</v>
      </c>
      <c r="F38117" s="2" t="str">
        <f>HYPERLINK("http://www.otzar.org/book.asp?626988","קונטרס ריבוע העיר")</f>
        <v>קונטרס ריבוע העיר</v>
      </c>
    </row>
    <row r="38118" spans="1:6" x14ac:dyDescent="0.2">
      <c r="A38118" t="s">
        <v>58548</v>
      </c>
      <c r="B38118" t="s">
        <v>58549</v>
      </c>
      <c r="C38118" t="s">
        <v>20</v>
      </c>
      <c r="D38118" t="s">
        <v>90</v>
      </c>
      <c r="E38118" t="s">
        <v>158</v>
      </c>
      <c r="F38118" s="2" t="str">
        <f>HYPERLINK("http://www.otzar.org/book.asp?606229","קונטרס רינת יצחק")</f>
        <v>קונטרס רינת יצחק</v>
      </c>
    </row>
    <row r="38119" spans="1:6" x14ac:dyDescent="0.2">
      <c r="A38119" t="s">
        <v>58550</v>
      </c>
      <c r="B38119" t="s">
        <v>14157</v>
      </c>
      <c r="C38119" t="s">
        <v>51</v>
      </c>
      <c r="D38119" t="s">
        <v>52</v>
      </c>
      <c r="E38119" t="s">
        <v>158</v>
      </c>
      <c r="F38119" s="2" t="str">
        <f>HYPERLINK("http://www.otzar.org/book.asp?22162","קונטרס רינת שמואל")</f>
        <v>קונטרס רינת שמואל</v>
      </c>
    </row>
    <row r="38120" spans="1:6" x14ac:dyDescent="0.2">
      <c r="A38120" t="s">
        <v>58551</v>
      </c>
      <c r="B38120" t="s">
        <v>56244</v>
      </c>
      <c r="C38120" t="s">
        <v>111</v>
      </c>
      <c r="D38120" t="s">
        <v>152</v>
      </c>
      <c r="E38120" t="s">
        <v>158</v>
      </c>
      <c r="F38120" s="2" t="str">
        <f>HYPERLINK("http://www.otzar.org/book.asp?624552","קונטרס רכב אש")</f>
        <v>קונטרס רכב אש</v>
      </c>
    </row>
    <row r="38121" spans="1:6" x14ac:dyDescent="0.2">
      <c r="A38121" t="s">
        <v>58552</v>
      </c>
      <c r="B38121" t="s">
        <v>58273</v>
      </c>
      <c r="C38121" t="s">
        <v>366</v>
      </c>
      <c r="D38121" t="s">
        <v>90</v>
      </c>
      <c r="F38121" s="2" t="str">
        <f>HYPERLINK("http://www.otzar.org/book.asp?615854","קונטרס רמוני זהב")</f>
        <v>קונטרס רמוני זהב</v>
      </c>
    </row>
    <row r="38122" spans="1:6" x14ac:dyDescent="0.2">
      <c r="A38122" t="s">
        <v>58553</v>
      </c>
      <c r="B38122" t="s">
        <v>58273</v>
      </c>
      <c r="C38122" t="s">
        <v>366</v>
      </c>
      <c r="D38122" t="s">
        <v>14</v>
      </c>
      <c r="E38122" t="s">
        <v>104</v>
      </c>
      <c r="F38122" s="2" t="str">
        <f>HYPERLINK("http://www.otzar.org/book.asp?620470","קונטרס רמוני תכלת")</f>
        <v>קונטרס רמוני תכלת</v>
      </c>
    </row>
    <row r="38123" spans="1:6" x14ac:dyDescent="0.2">
      <c r="A38123" t="s">
        <v>58554</v>
      </c>
      <c r="B38123" t="s">
        <v>34375</v>
      </c>
      <c r="C38123" t="s">
        <v>940</v>
      </c>
      <c r="D38123" t="s">
        <v>412</v>
      </c>
      <c r="E38123" t="s">
        <v>202</v>
      </c>
      <c r="F38123" s="2" t="str">
        <f>HYPERLINK("http://www.otzar.org/book.asp?626410","קונטרס רנה וישועה")</f>
        <v>קונטרס רנה וישועה</v>
      </c>
    </row>
    <row r="38124" spans="1:6" x14ac:dyDescent="0.2">
      <c r="A38124" t="s">
        <v>58555</v>
      </c>
      <c r="B38124" t="s">
        <v>51469</v>
      </c>
      <c r="C38124" t="s">
        <v>624</v>
      </c>
      <c r="D38124" t="s">
        <v>14</v>
      </c>
      <c r="E38124" t="s">
        <v>474</v>
      </c>
      <c r="F38124" s="2" t="str">
        <f>HYPERLINK("http://www.otzar.org/book.asp?163088","קונטרס רני ושמחי")</f>
        <v>קונטרס רני ושמחי</v>
      </c>
    </row>
    <row r="38125" spans="1:6" x14ac:dyDescent="0.2">
      <c r="A38125" t="s">
        <v>58556</v>
      </c>
      <c r="B38125" t="s">
        <v>58557</v>
      </c>
      <c r="C38125" t="s">
        <v>244</v>
      </c>
      <c r="D38125" t="s">
        <v>80</v>
      </c>
      <c r="E38125" t="s">
        <v>144</v>
      </c>
      <c r="F38125" s="2" t="str">
        <f>HYPERLINK("http://www.otzar.org/book.asp?600961","קונטרס רסיסי טל")</f>
        <v>קונטרס רסיסי טל</v>
      </c>
    </row>
    <row r="38126" spans="1:6" x14ac:dyDescent="0.2">
      <c r="A38126" t="s">
        <v>58558</v>
      </c>
      <c r="B38126" t="s">
        <v>206</v>
      </c>
      <c r="C38126" t="s">
        <v>68</v>
      </c>
      <c r="D38126" t="s">
        <v>52</v>
      </c>
      <c r="E38126" t="s">
        <v>241</v>
      </c>
      <c r="F38126" s="2" t="str">
        <f>HYPERLINK("http://www.otzar.org/book.asp?168354","קונטרס רפואת המחשבה כיצד")</f>
        <v>קונטרס רפואת המחשבה כיצד</v>
      </c>
    </row>
    <row r="38127" spans="1:6" x14ac:dyDescent="0.2">
      <c r="A38127" t="s">
        <v>58559</v>
      </c>
      <c r="B38127" t="s">
        <v>8045</v>
      </c>
      <c r="C38127" t="s">
        <v>114</v>
      </c>
      <c r="D38127" t="s">
        <v>14</v>
      </c>
      <c r="F38127" s="2" t="str">
        <f>HYPERLINK("http://www.otzar.org/book.asp?163820","קונטרס רצוף אהבה")</f>
        <v>קונטרס רצוף אהבה</v>
      </c>
    </row>
    <row r="38128" spans="1:6" x14ac:dyDescent="0.2">
      <c r="A38128" t="s">
        <v>58560</v>
      </c>
      <c r="B38128" t="s">
        <v>42289</v>
      </c>
      <c r="C38128" t="s">
        <v>37</v>
      </c>
      <c r="D38128" t="s">
        <v>52</v>
      </c>
      <c r="F38128" s="2" t="str">
        <f>HYPERLINK("http://www.otzar.org/book.asp?621948","קונטרס רקמת שש - 2 כר'")</f>
        <v>קונטרס רקמת שש - 2 כר'</v>
      </c>
    </row>
    <row r="38129" spans="1:6" x14ac:dyDescent="0.2">
      <c r="A38129" t="s">
        <v>58561</v>
      </c>
      <c r="B38129" t="s">
        <v>58562</v>
      </c>
      <c r="C38129" t="s">
        <v>20</v>
      </c>
      <c r="D38129" t="s">
        <v>1156</v>
      </c>
      <c r="F38129" s="2" t="str">
        <f>HYPERLINK("http://www.otzar.org/book.asp?616094","קונטרס רשב""י לשיטתו")</f>
        <v>קונטרס רשב"י לשיטתו</v>
      </c>
    </row>
    <row r="38130" spans="1:6" x14ac:dyDescent="0.2">
      <c r="A38130" t="s">
        <v>58561</v>
      </c>
      <c r="B38130" t="s">
        <v>206</v>
      </c>
      <c r="E38130" t="s">
        <v>246</v>
      </c>
      <c r="F38130" s="2" t="str">
        <f>HYPERLINK("http://www.otzar.org/book.asp?627921","קונטרס רשב""י לשיטתו")</f>
        <v>קונטרס רשב"י לשיטתו</v>
      </c>
    </row>
    <row r="38131" spans="1:6" x14ac:dyDescent="0.2">
      <c r="A38131" t="s">
        <v>58563</v>
      </c>
      <c r="B38131" t="s">
        <v>58564</v>
      </c>
      <c r="C38131" t="s">
        <v>13</v>
      </c>
      <c r="D38131" t="s">
        <v>14</v>
      </c>
      <c r="E38131" t="s">
        <v>15</v>
      </c>
      <c r="F38131" s="2" t="str">
        <f>HYPERLINK("http://www.otzar.org/book.asp?62273","קונטרס רשויות השבת")</f>
        <v>קונטרס רשויות השבת</v>
      </c>
    </row>
    <row r="38132" spans="1:6" x14ac:dyDescent="0.2">
      <c r="A38132" t="s">
        <v>58565</v>
      </c>
      <c r="B38132" t="s">
        <v>12648</v>
      </c>
      <c r="C38132" t="s">
        <v>114</v>
      </c>
      <c r="D38132" t="s">
        <v>14</v>
      </c>
      <c r="E38132" t="s">
        <v>213</v>
      </c>
      <c r="F38132" s="2" t="str">
        <f>HYPERLINK("http://www.otzar.org/book.asp?166922","קונטרס רשימות במסילת ישרים")</f>
        <v>קונטרס רשימות במסילת ישרים</v>
      </c>
    </row>
    <row r="38133" spans="1:6" x14ac:dyDescent="0.2">
      <c r="A38133" t="s">
        <v>58566</v>
      </c>
      <c r="B38133" t="s">
        <v>58567</v>
      </c>
      <c r="C38133" t="s">
        <v>151</v>
      </c>
      <c r="D38133" t="s">
        <v>14</v>
      </c>
      <c r="E38133" t="s">
        <v>1174</v>
      </c>
      <c r="F38133" s="2" t="str">
        <f>HYPERLINK("http://www.otzar.org/book.asp?616796","קונטרס רשמי קודש")</f>
        <v>קונטרס רשמי קודש</v>
      </c>
    </row>
    <row r="38134" spans="1:6" x14ac:dyDescent="0.2">
      <c r="A38134" t="s">
        <v>58568</v>
      </c>
      <c r="B38134" t="s">
        <v>58569</v>
      </c>
      <c r="C38134" t="s">
        <v>422</v>
      </c>
      <c r="D38134" t="s">
        <v>14</v>
      </c>
      <c r="E38134" t="s">
        <v>384</v>
      </c>
      <c r="F38134" s="2" t="str">
        <f>HYPERLINK("http://www.otzar.org/book.asp?84689","קונטרס ש""ם תפארת")</f>
        <v>קונטרס ש"ם תפארת</v>
      </c>
    </row>
    <row r="38135" spans="1:6" x14ac:dyDescent="0.2">
      <c r="A38135" t="s">
        <v>58570</v>
      </c>
      <c r="B38135" t="s">
        <v>2872</v>
      </c>
      <c r="C38135" t="s">
        <v>111</v>
      </c>
      <c r="D38135" t="s">
        <v>52</v>
      </c>
      <c r="E38135" t="s">
        <v>104</v>
      </c>
      <c r="F38135" s="2" t="str">
        <f>HYPERLINK("http://www.otzar.org/book.asp?628505","קונטרס שאו מנחה")</f>
        <v>קונטרס שאו מנחה</v>
      </c>
    </row>
    <row r="38136" spans="1:6" x14ac:dyDescent="0.2">
      <c r="A38136" t="s">
        <v>58571</v>
      </c>
      <c r="B38136" t="s">
        <v>58572</v>
      </c>
      <c r="C38136" t="s">
        <v>20</v>
      </c>
      <c r="D38136" t="s">
        <v>52</v>
      </c>
      <c r="E38136" t="s">
        <v>15</v>
      </c>
      <c r="F38136" s="2" t="str">
        <f>HYPERLINK("http://www.otzar.org/book.asp?196647","קונטרס שאלות בהלכות סת""ם")</f>
        <v>קונטרס שאלות בהלכות סת"ם</v>
      </c>
    </row>
    <row r="38137" spans="1:6" x14ac:dyDescent="0.2">
      <c r="A38137" t="s">
        <v>58573</v>
      </c>
      <c r="B38137" t="s">
        <v>13426</v>
      </c>
      <c r="C38137" t="s">
        <v>411</v>
      </c>
      <c r="D38137" t="s">
        <v>14</v>
      </c>
      <c r="E38137" t="s">
        <v>15</v>
      </c>
      <c r="F38137" s="2" t="str">
        <f>HYPERLINK("http://www.otzar.org/book.asp?171706","קונטרס שאלות ותשובות על הספר מקדש מעט")</f>
        <v>קונטרס שאלות ותשובות על הספר מקדש מעט</v>
      </c>
    </row>
    <row r="38138" spans="1:6" x14ac:dyDescent="0.2">
      <c r="A38138" t="s">
        <v>58574</v>
      </c>
      <c r="B38138" t="s">
        <v>2681</v>
      </c>
      <c r="C38138" t="s">
        <v>111</v>
      </c>
      <c r="D38138" t="s">
        <v>90</v>
      </c>
      <c r="E38138" t="s">
        <v>15</v>
      </c>
      <c r="F38138" s="2" t="str">
        <f>HYPERLINK("http://www.otzar.org/book.asp?630325","קונטרס שאלות מצויות ליולדת בשבת וביו""ט")</f>
        <v>קונטרס שאלות מצויות ליולדת בשבת וביו"ט</v>
      </c>
    </row>
    <row r="38139" spans="1:6" x14ac:dyDescent="0.2">
      <c r="A38139" t="s">
        <v>58575</v>
      </c>
      <c r="B38139" t="s">
        <v>58576</v>
      </c>
      <c r="C38139" t="s">
        <v>114</v>
      </c>
      <c r="D38139" t="s">
        <v>14</v>
      </c>
      <c r="F38139" s="2" t="str">
        <f>HYPERLINK("http://www.otzar.org/book.asp?630751","קונטרס שאלת חיים - מצוות השבת")</f>
        <v>קונטרס שאלת חיים - מצוות השבת</v>
      </c>
    </row>
    <row r="38140" spans="1:6" x14ac:dyDescent="0.2">
      <c r="A38140" t="s">
        <v>58577</v>
      </c>
      <c r="B38140" t="s">
        <v>6335</v>
      </c>
      <c r="C38140" t="s">
        <v>146</v>
      </c>
      <c r="D38140" t="s">
        <v>52</v>
      </c>
      <c r="E38140" t="s">
        <v>15</v>
      </c>
      <c r="F38140" s="2" t="str">
        <f>HYPERLINK("http://www.otzar.org/book.asp?53063","קונטרס שארית חיים")</f>
        <v>קונטרס שארית חיים</v>
      </c>
    </row>
    <row r="38141" spans="1:6" x14ac:dyDescent="0.2">
      <c r="A38141" t="s">
        <v>58578</v>
      </c>
      <c r="B38141" t="s">
        <v>15154</v>
      </c>
      <c r="C38141" t="s">
        <v>1062</v>
      </c>
      <c r="D38141" t="s">
        <v>412</v>
      </c>
      <c r="E38141" t="s">
        <v>714</v>
      </c>
      <c r="F38141" s="2" t="str">
        <f>HYPERLINK("http://www.otzar.org/book.asp?180378","קונטרס שבועות תשי""ב")</f>
        <v>קונטרס שבועות תשי"ב</v>
      </c>
    </row>
    <row r="38142" spans="1:6" x14ac:dyDescent="0.2">
      <c r="A38142" t="s">
        <v>58579</v>
      </c>
      <c r="B38142" t="s">
        <v>58281</v>
      </c>
      <c r="C38142" t="s">
        <v>454</v>
      </c>
      <c r="D38142" t="s">
        <v>14</v>
      </c>
      <c r="E38142" t="s">
        <v>246</v>
      </c>
      <c r="F38142" s="2" t="str">
        <f>HYPERLINK("http://www.otzar.org/book.asp?174086","קונטרס שבועות")</f>
        <v>קונטרס שבועות</v>
      </c>
    </row>
    <row r="38143" spans="1:6" x14ac:dyDescent="0.2">
      <c r="A38143" t="s">
        <v>58580</v>
      </c>
      <c r="B38143" t="s">
        <v>6897</v>
      </c>
      <c r="C38143" t="s">
        <v>454</v>
      </c>
      <c r="D38143" t="s">
        <v>52</v>
      </c>
      <c r="F38143" s="2" t="str">
        <f>HYPERLINK("http://www.otzar.org/book.asp?612019","קונטרס שבות יעקב")</f>
        <v>קונטרס שבות יעקב</v>
      </c>
    </row>
    <row r="38144" spans="1:6" x14ac:dyDescent="0.2">
      <c r="A38144" t="s">
        <v>58581</v>
      </c>
      <c r="B38144" t="s">
        <v>9635</v>
      </c>
      <c r="C38144" t="s">
        <v>624</v>
      </c>
      <c r="D38144" t="s">
        <v>152</v>
      </c>
      <c r="E38144" t="s">
        <v>104</v>
      </c>
      <c r="F38144" s="2" t="str">
        <f>HYPERLINK("http://www.otzar.org/book.asp?179968","קונטרס שבות יעקב - א")</f>
        <v>קונטרס שבות יעקב - א</v>
      </c>
    </row>
    <row r="38145" spans="1:6" x14ac:dyDescent="0.2">
      <c r="A38145" t="s">
        <v>58582</v>
      </c>
      <c r="B38145" t="s">
        <v>11221</v>
      </c>
      <c r="C38145" t="s">
        <v>411</v>
      </c>
      <c r="D38145" t="s">
        <v>21</v>
      </c>
      <c r="E38145" t="s">
        <v>1517</v>
      </c>
      <c r="F38145" s="2" t="str">
        <f>HYPERLINK("http://www.otzar.org/book.asp?607231","קונטרס שבח והודאה")</f>
        <v>קונטרס שבח והודאה</v>
      </c>
    </row>
    <row r="38146" spans="1:6" x14ac:dyDescent="0.2">
      <c r="A38146" t="s">
        <v>58583</v>
      </c>
      <c r="B38146" t="s">
        <v>58584</v>
      </c>
      <c r="C38146" t="s">
        <v>111</v>
      </c>
      <c r="D38146" t="s">
        <v>1156</v>
      </c>
      <c r="E38146" t="s">
        <v>144</v>
      </c>
      <c r="F38146" s="2" t="str">
        <f>HYPERLINK("http://www.otzar.org/book.asp?627925","קונטרס שבט אשר")</f>
        <v>קונטרס שבט אשר</v>
      </c>
    </row>
    <row r="38147" spans="1:6" x14ac:dyDescent="0.2">
      <c r="A38147" t="s">
        <v>58585</v>
      </c>
      <c r="B38147" t="s">
        <v>42908</v>
      </c>
      <c r="C38147" t="s">
        <v>37</v>
      </c>
      <c r="D38147" t="s">
        <v>52</v>
      </c>
      <c r="E38147" t="s">
        <v>144</v>
      </c>
      <c r="F38147" s="2" t="str">
        <f>HYPERLINK("http://www.otzar.org/book.asp?191611","קונטרס שבט מיהודה - 16 כר'")</f>
        <v>קונטרס שבט מיהודה - 16 כר'</v>
      </c>
    </row>
    <row r="38148" spans="1:6" x14ac:dyDescent="0.2">
      <c r="A38148" t="s">
        <v>58586</v>
      </c>
      <c r="B38148" t="s">
        <v>58587</v>
      </c>
      <c r="F38148" s="2" t="str">
        <f>HYPERLINK("http://www.otzar.org/book.asp?612417","קונטרס שביבי המועדים")</f>
        <v>קונטרס שביבי המועדים</v>
      </c>
    </row>
    <row r="38149" spans="1:6" x14ac:dyDescent="0.2">
      <c r="A38149" t="s">
        <v>58588</v>
      </c>
      <c r="B38149" t="s">
        <v>9651</v>
      </c>
      <c r="C38149" t="s">
        <v>111</v>
      </c>
      <c r="D38149" t="s">
        <v>52</v>
      </c>
      <c r="E38149" t="s">
        <v>144</v>
      </c>
      <c r="F38149" s="2" t="str">
        <f>HYPERLINK("http://www.otzar.org/book.asp?627166","קונטרס שבילי הקבוע")</f>
        <v>קונטרס שבילי הקבוע</v>
      </c>
    </row>
    <row r="38150" spans="1:6" x14ac:dyDescent="0.2">
      <c r="A38150" t="s">
        <v>58589</v>
      </c>
      <c r="B38150" t="s">
        <v>58590</v>
      </c>
      <c r="C38150" t="s">
        <v>68</v>
      </c>
      <c r="D38150" t="s">
        <v>139</v>
      </c>
      <c r="E38150" t="s">
        <v>104</v>
      </c>
      <c r="F38150" s="2" t="str">
        <f>HYPERLINK("http://www.otzar.org/book.asp?608057","קונטרס שבילי הרקיע")</f>
        <v>קונטרס שבילי הרקיע</v>
      </c>
    </row>
    <row r="38151" spans="1:6" x14ac:dyDescent="0.2">
      <c r="A38151" t="s">
        <v>58591</v>
      </c>
      <c r="B38151" t="s">
        <v>56093</v>
      </c>
      <c r="C38151" t="s">
        <v>13</v>
      </c>
      <c r="D38151" t="s">
        <v>14</v>
      </c>
      <c r="F38151" s="2" t="str">
        <f>HYPERLINK("http://www.otzar.org/book.asp?197070","קונטרס שבע ביום הללתיך")</f>
        <v>קונטרס שבע ביום הללתיך</v>
      </c>
    </row>
    <row r="38152" spans="1:6" x14ac:dyDescent="0.2">
      <c r="A38152" t="s">
        <v>58592</v>
      </c>
      <c r="B38152" t="s">
        <v>15623</v>
      </c>
      <c r="C38152" t="s">
        <v>114</v>
      </c>
      <c r="D38152" t="s">
        <v>52</v>
      </c>
      <c r="E38152" t="s">
        <v>15</v>
      </c>
      <c r="F38152" s="2" t="str">
        <f>HYPERLINK("http://www.otzar.org/book.asp?188932","קונטרס שבע ברכות")</f>
        <v>קונטרס שבע ברכות</v>
      </c>
    </row>
    <row r="38153" spans="1:6" x14ac:dyDescent="0.2">
      <c r="A38153" t="s">
        <v>58592</v>
      </c>
      <c r="B38153" t="s">
        <v>58593</v>
      </c>
      <c r="C38153" t="s">
        <v>17</v>
      </c>
      <c r="D38153" t="s">
        <v>14</v>
      </c>
      <c r="E38153" t="s">
        <v>424</v>
      </c>
      <c r="F38153" s="2" t="str">
        <f>HYPERLINK("http://www.otzar.org/book.asp?144428","קונטרס שבע ברכות")</f>
        <v>קונטרס שבע ברכות</v>
      </c>
    </row>
    <row r="38154" spans="1:6" x14ac:dyDescent="0.2">
      <c r="A38154" t="s">
        <v>58594</v>
      </c>
      <c r="B38154" t="s">
        <v>58595</v>
      </c>
      <c r="C38154" t="s">
        <v>20</v>
      </c>
      <c r="D38154" t="s">
        <v>21</v>
      </c>
      <c r="E38154" t="s">
        <v>219</v>
      </c>
      <c r="F38154" s="2" t="str">
        <f>HYPERLINK("http://www.otzar.org/book.asp?196789","קונטרס שבע הקפות")</f>
        <v>קונטרס שבע הקפות</v>
      </c>
    </row>
    <row r="38155" spans="1:6" x14ac:dyDescent="0.2">
      <c r="A38155" t="s">
        <v>58596</v>
      </c>
      <c r="B38155" t="s">
        <v>1748</v>
      </c>
      <c r="C38155" t="s">
        <v>129</v>
      </c>
      <c r="D38155" t="s">
        <v>52</v>
      </c>
      <c r="E38155" t="s">
        <v>104</v>
      </c>
      <c r="F38155" s="2" t="str">
        <f>HYPERLINK("http://www.otzar.org/book.asp?149836","קונטרס שבע מצוות בני נח")</f>
        <v>קונטרס שבע מצוות בני נח</v>
      </c>
    </row>
    <row r="38156" spans="1:6" x14ac:dyDescent="0.2">
      <c r="A38156" t="s">
        <v>58597</v>
      </c>
      <c r="B38156" t="s">
        <v>15623</v>
      </c>
      <c r="C38156" t="s">
        <v>129</v>
      </c>
      <c r="D38156" t="s">
        <v>52</v>
      </c>
      <c r="E38156" t="s">
        <v>15</v>
      </c>
      <c r="F38156" s="2" t="str">
        <f>HYPERLINK("http://www.otzar.org/book.asp?188930","קונטרס שבע ספיקות בענייני ברכות - 2 כר'")</f>
        <v>קונטרס שבע ספיקות בענייני ברכות - 2 כר'</v>
      </c>
    </row>
    <row r="38157" spans="1:6" x14ac:dyDescent="0.2">
      <c r="A38157" t="s">
        <v>58598</v>
      </c>
      <c r="B38157" t="s">
        <v>58599</v>
      </c>
      <c r="C38157" t="s">
        <v>176</v>
      </c>
      <c r="D38157" t="s">
        <v>21</v>
      </c>
      <c r="F38157" s="2" t="str">
        <f>HYPERLINK("http://www.otzar.org/book.asp?600428","קונטרס שבעים פנים לתורה")</f>
        <v>קונטרס שבעים פנים לתורה</v>
      </c>
    </row>
    <row r="38158" spans="1:6" x14ac:dyDescent="0.2">
      <c r="A38158" t="s">
        <v>58600</v>
      </c>
      <c r="B38158" t="s">
        <v>58601</v>
      </c>
      <c r="C38158" t="s">
        <v>553</v>
      </c>
      <c r="D38158" t="s">
        <v>412</v>
      </c>
      <c r="E38158" t="s">
        <v>703</v>
      </c>
      <c r="F38158" s="2" t="str">
        <f>HYPERLINK("http://www.otzar.org/book.asp?179055","קונטרס שבת אחים")</f>
        <v>קונטרס שבת אחים</v>
      </c>
    </row>
    <row r="38159" spans="1:6" x14ac:dyDescent="0.2">
      <c r="A38159" t="s">
        <v>58600</v>
      </c>
      <c r="B38159" t="s">
        <v>48391</v>
      </c>
      <c r="C38159" t="s">
        <v>133</v>
      </c>
      <c r="D38159" t="s">
        <v>52</v>
      </c>
      <c r="E38159" t="s">
        <v>15</v>
      </c>
      <c r="F38159" s="2" t="str">
        <f>HYPERLINK("http://www.otzar.org/book.asp?172945","קונטרס שבת אחים")</f>
        <v>קונטרס שבת אחים</v>
      </c>
    </row>
    <row r="38160" spans="1:6" x14ac:dyDescent="0.2">
      <c r="A38160" t="s">
        <v>58602</v>
      </c>
      <c r="B38160" t="s">
        <v>6984</v>
      </c>
      <c r="C38160" t="s">
        <v>114</v>
      </c>
      <c r="D38160" t="s">
        <v>486</v>
      </c>
      <c r="E38160" t="s">
        <v>246</v>
      </c>
      <c r="F38160" s="2" t="str">
        <f>HYPERLINK("http://www.otzar.org/book.asp?623585","קונטרס שבת לה'")</f>
        <v>קונטרס שבת לה'</v>
      </c>
    </row>
    <row r="38161" spans="1:6" x14ac:dyDescent="0.2">
      <c r="A38161" t="s">
        <v>58603</v>
      </c>
      <c r="B38161" t="s">
        <v>3888</v>
      </c>
      <c r="C38161" t="s">
        <v>466</v>
      </c>
      <c r="D38161" t="s">
        <v>14</v>
      </c>
      <c r="E38161" t="s">
        <v>24</v>
      </c>
      <c r="F38161" s="2" t="str">
        <f>HYPERLINK("http://www.otzar.org/book.asp?630192","קונטרס שבת לפני החתונה ועליה לתורה")</f>
        <v>קונטרס שבת לפני החתונה ועליה לתורה</v>
      </c>
    </row>
    <row r="38162" spans="1:6" x14ac:dyDescent="0.2">
      <c r="A38162" t="s">
        <v>58604</v>
      </c>
      <c r="B38162" t="s">
        <v>16688</v>
      </c>
      <c r="C38162" t="s">
        <v>68</v>
      </c>
      <c r="D38162" t="s">
        <v>52</v>
      </c>
      <c r="F38162" s="2" t="str">
        <f>HYPERLINK("http://www.otzar.org/book.asp?616182","קונטרס שבת מלכתא")</f>
        <v>קונטרס שבת מלכתא</v>
      </c>
    </row>
    <row r="38163" spans="1:6" x14ac:dyDescent="0.2">
      <c r="A38163" t="s">
        <v>58605</v>
      </c>
      <c r="B38163" t="s">
        <v>58606</v>
      </c>
      <c r="C38163" t="s">
        <v>13</v>
      </c>
      <c r="D38163" t="s">
        <v>90</v>
      </c>
      <c r="E38163" t="s">
        <v>119</v>
      </c>
      <c r="F38163" s="2" t="str">
        <f>HYPERLINK("http://www.otzar.org/book.asp?63749","קונטרס שבת של מי")</f>
        <v>קונטרס שבת של מי</v>
      </c>
    </row>
    <row r="38164" spans="1:6" x14ac:dyDescent="0.2">
      <c r="A38164" t="s">
        <v>58607</v>
      </c>
      <c r="B38164" t="s">
        <v>57253</v>
      </c>
      <c r="C38164" t="s">
        <v>124</v>
      </c>
      <c r="D38164" t="s">
        <v>412</v>
      </c>
      <c r="E38164" t="s">
        <v>674</v>
      </c>
      <c r="F38164" s="2" t="str">
        <f>HYPERLINK("http://www.otzar.org/book.asp?172009","קונטרס שבתי בבית ה'")</f>
        <v>קונטרס שבתי בבית ה'</v>
      </c>
    </row>
    <row r="38165" spans="1:6" x14ac:dyDescent="0.2">
      <c r="A38165" t="s">
        <v>58608</v>
      </c>
      <c r="B38165" t="s">
        <v>56273</v>
      </c>
      <c r="C38165" t="s">
        <v>422</v>
      </c>
      <c r="D38165" t="s">
        <v>52</v>
      </c>
      <c r="E38165" t="s">
        <v>15</v>
      </c>
      <c r="F38165" s="2" t="str">
        <f>HYPERLINK("http://www.otzar.org/book.asp?160950","קונטרס שגיאות מי יבין - 2 כר'")</f>
        <v>קונטרס שגיאות מי יבין - 2 כר'</v>
      </c>
    </row>
    <row r="38166" spans="1:6" x14ac:dyDescent="0.2">
      <c r="A38166" t="s">
        <v>58609</v>
      </c>
      <c r="B38166" t="s">
        <v>38782</v>
      </c>
      <c r="C38166" t="s">
        <v>20</v>
      </c>
      <c r="D38166" t="s">
        <v>152</v>
      </c>
      <c r="E38166" t="s">
        <v>144</v>
      </c>
      <c r="F38166" s="2" t="str">
        <f>HYPERLINK("http://www.otzar.org/book.asp?180623","קונטרס שדה כובס - כיבוס מי חטאת")</f>
        <v>קונטרס שדה כובס - כיבוס מי חטאת</v>
      </c>
    </row>
    <row r="38167" spans="1:6" x14ac:dyDescent="0.2">
      <c r="A38167" t="s">
        <v>58610</v>
      </c>
      <c r="B38167" t="s">
        <v>58611</v>
      </c>
      <c r="C38167" t="s">
        <v>151</v>
      </c>
      <c r="D38167" t="s">
        <v>14</v>
      </c>
      <c r="F38167" s="2" t="str">
        <f>HYPERLINK("http://www.otzar.org/book.asp?616412","קונטרס שהשמחה במעונו")</f>
        <v>קונטרס שהשמחה במעונו</v>
      </c>
    </row>
    <row r="38168" spans="1:6" x14ac:dyDescent="0.2">
      <c r="A38168" t="s">
        <v>58610</v>
      </c>
      <c r="B38168" t="s">
        <v>58612</v>
      </c>
      <c r="C38168" t="s">
        <v>523</v>
      </c>
      <c r="D38168" t="s">
        <v>14</v>
      </c>
      <c r="E38168" t="s">
        <v>140</v>
      </c>
      <c r="F38168" s="2" t="str">
        <f>HYPERLINK("http://www.otzar.org/book.asp?615974","קונטרס שהשמחה במעונו")</f>
        <v>קונטרס שהשמחה במעונו</v>
      </c>
    </row>
    <row r="38169" spans="1:6" x14ac:dyDescent="0.2">
      <c r="A38169" t="s">
        <v>58613</v>
      </c>
      <c r="B38169" t="s">
        <v>58101</v>
      </c>
      <c r="C38169" t="s">
        <v>37</v>
      </c>
      <c r="D38169" t="s">
        <v>14</v>
      </c>
      <c r="F38169" s="2" t="str">
        <f>HYPERLINK("http://www.otzar.org/book.asp?611433","קונטרס שו""ע עם מקורות הדינים וקיצור משנ""ב - הלכות פורים")</f>
        <v>קונטרס שו"ע עם מקורות הדינים וקיצור משנ"ב - הלכות פורים</v>
      </c>
    </row>
    <row r="38170" spans="1:6" x14ac:dyDescent="0.2">
      <c r="A38170" t="s">
        <v>58614</v>
      </c>
      <c r="B38170" t="s">
        <v>58615</v>
      </c>
      <c r="C38170" t="s">
        <v>133</v>
      </c>
      <c r="D38170" t="s">
        <v>147</v>
      </c>
      <c r="F38170" s="2" t="str">
        <f>HYPERLINK("http://www.otzar.org/book.asp?199111","קונטרס שו""ת ישרים")</f>
        <v>קונטרס שו"ת ישרים</v>
      </c>
    </row>
    <row r="38171" spans="1:6" x14ac:dyDescent="0.2">
      <c r="A38171" t="s">
        <v>58616</v>
      </c>
      <c r="B38171" t="s">
        <v>56017</v>
      </c>
      <c r="C38171" t="s">
        <v>366</v>
      </c>
      <c r="D38171" t="s">
        <v>52</v>
      </c>
      <c r="E38171" t="s">
        <v>158</v>
      </c>
      <c r="F38171" s="2" t="str">
        <f>HYPERLINK("http://www.otzar.org/book.asp?630155","קונטרס שו""ת עזרת אליעזר - 7 כר'")</f>
        <v>קונטרס שו"ת עזרת אליעזר - 7 כר'</v>
      </c>
    </row>
    <row r="38172" spans="1:6" x14ac:dyDescent="0.2">
      <c r="A38172" t="s">
        <v>58617</v>
      </c>
      <c r="B38172" t="s">
        <v>58618</v>
      </c>
      <c r="C38172" t="s">
        <v>767</v>
      </c>
      <c r="D38172" t="s">
        <v>80</v>
      </c>
      <c r="E38172" t="s">
        <v>144</v>
      </c>
      <c r="F38172" s="2" t="str">
        <f>HYPERLINK("http://www.otzar.org/book.asp?196825","קונטרס שואל כענין - גיטין פ""א")</f>
        <v>קונטרס שואל כענין - גיטין פ"א</v>
      </c>
    </row>
    <row r="38173" spans="1:6" x14ac:dyDescent="0.2">
      <c r="A38173" t="s">
        <v>58619</v>
      </c>
      <c r="B38173" t="s">
        <v>206</v>
      </c>
      <c r="C38173" t="s">
        <v>20</v>
      </c>
      <c r="D38173" t="s">
        <v>90</v>
      </c>
      <c r="E38173" t="s">
        <v>104</v>
      </c>
      <c r="F38173" s="2" t="str">
        <f>HYPERLINK("http://www.otzar.org/book.asp?195064","קונטרס שוב אשוב")</f>
        <v>קונטרס שוב אשוב</v>
      </c>
    </row>
    <row r="38174" spans="1:6" x14ac:dyDescent="0.2">
      <c r="A38174" t="s">
        <v>58619</v>
      </c>
      <c r="B38174" t="s">
        <v>6987</v>
      </c>
      <c r="C38174" t="s">
        <v>20</v>
      </c>
      <c r="D38174" t="s">
        <v>90</v>
      </c>
      <c r="E38174" t="s">
        <v>213</v>
      </c>
      <c r="F38174" s="2" t="str">
        <f>HYPERLINK("http://www.otzar.org/book.asp?162052","קונטרס שוב אשוב")</f>
        <v>קונטרס שוב אשוב</v>
      </c>
    </row>
    <row r="38175" spans="1:6" x14ac:dyDescent="0.2">
      <c r="A38175" t="s">
        <v>58620</v>
      </c>
      <c r="B38175" t="s">
        <v>55075</v>
      </c>
      <c r="C38175" t="s">
        <v>1811</v>
      </c>
      <c r="D38175" t="s">
        <v>52</v>
      </c>
      <c r="F38175" s="2" t="str">
        <f>HYPERLINK("http://www.otzar.org/book.asp?612117","קונטרס שובה ישראל - 2 כר'")</f>
        <v>קונטרס שובה ישראל - 2 כר'</v>
      </c>
    </row>
    <row r="38176" spans="1:6" x14ac:dyDescent="0.2">
      <c r="A38176" t="s">
        <v>58621</v>
      </c>
      <c r="B38176" t="s">
        <v>20064</v>
      </c>
      <c r="C38176" t="s">
        <v>114</v>
      </c>
      <c r="D38176" t="s">
        <v>412</v>
      </c>
      <c r="F38176" s="2" t="str">
        <f>HYPERLINK("http://www.otzar.org/book.asp?616709","קונטרס שובה ישראל")</f>
        <v>קונטרס שובה ישראל</v>
      </c>
    </row>
    <row r="38177" spans="1:6" x14ac:dyDescent="0.2">
      <c r="A38177" t="s">
        <v>58622</v>
      </c>
      <c r="B38177" t="s">
        <v>5213</v>
      </c>
      <c r="C38177" t="s">
        <v>114</v>
      </c>
      <c r="D38177" t="s">
        <v>14</v>
      </c>
      <c r="E38177" t="s">
        <v>15</v>
      </c>
      <c r="F38177" s="2" t="str">
        <f>HYPERLINK("http://www.otzar.org/book.asp?160770","קונטרס שובו בנים שובבים")</f>
        <v>קונטרס שובו בנים שובבים</v>
      </c>
    </row>
    <row r="38178" spans="1:6" x14ac:dyDescent="0.2">
      <c r="A38178" t="s">
        <v>58623</v>
      </c>
      <c r="B38178" t="s">
        <v>6486</v>
      </c>
      <c r="C38178" t="s">
        <v>51</v>
      </c>
      <c r="D38178" t="s">
        <v>986</v>
      </c>
      <c r="E38178" t="s">
        <v>1296</v>
      </c>
      <c r="F38178" s="2" t="str">
        <f>HYPERLINK("http://www.otzar.org/book.asp?153928","קונטרס שובו בנים")</f>
        <v>קונטרס שובו בנים</v>
      </c>
    </row>
    <row r="38179" spans="1:6" x14ac:dyDescent="0.2">
      <c r="A38179" t="s">
        <v>58624</v>
      </c>
      <c r="B38179" t="s">
        <v>58625</v>
      </c>
      <c r="C38179" t="s">
        <v>23</v>
      </c>
      <c r="D38179" t="s">
        <v>276</v>
      </c>
      <c r="F38179" s="2" t="str">
        <f>HYPERLINK("http://www.otzar.org/book.asp?190758","קונטרס שובו והשיבו")</f>
        <v>קונטרס שובו והשיבו</v>
      </c>
    </row>
    <row r="38180" spans="1:6" x14ac:dyDescent="0.2">
      <c r="A38180" t="s">
        <v>58626</v>
      </c>
      <c r="B38180" t="s">
        <v>27001</v>
      </c>
      <c r="C38180" t="s">
        <v>20</v>
      </c>
      <c r="D38180" t="s">
        <v>2468</v>
      </c>
      <c r="E38180" t="s">
        <v>158</v>
      </c>
      <c r="F38180" s="2" t="str">
        <f>HYPERLINK("http://www.otzar.org/book.asp?610058","קונטרס שובע שמחות - כי תשא, ויקהל, פקודי")</f>
        <v>קונטרס שובע שמחות - כי תשא, ויקהל, פקודי</v>
      </c>
    </row>
    <row r="38181" spans="1:6" x14ac:dyDescent="0.2">
      <c r="A38181" t="s">
        <v>58627</v>
      </c>
      <c r="B38181" t="s">
        <v>2155</v>
      </c>
      <c r="C38181" t="s">
        <v>366</v>
      </c>
      <c r="D38181" t="s">
        <v>852</v>
      </c>
      <c r="E38181" t="s">
        <v>15</v>
      </c>
      <c r="F38181" s="2" t="str">
        <f>HYPERLINK("http://www.otzar.org/book.asp?604783","קונטרס שוכר ונשכר")</f>
        <v>קונטרס שוכר ונשכר</v>
      </c>
    </row>
    <row r="38182" spans="1:6" x14ac:dyDescent="0.2">
      <c r="A38182" t="s">
        <v>58628</v>
      </c>
      <c r="B38182" t="s">
        <v>15736</v>
      </c>
      <c r="C38182" t="s">
        <v>133</v>
      </c>
      <c r="D38182" t="s">
        <v>52</v>
      </c>
      <c r="E38182" t="s">
        <v>15</v>
      </c>
      <c r="F38182" s="2" t="str">
        <f>HYPERLINK("http://www.otzar.org/book.asp?173962","קונטרס שולחן ערוך כהלכה - בשר בחלב")</f>
        <v>קונטרס שולחן ערוך כהלכה - בשר בחלב</v>
      </c>
    </row>
    <row r="38183" spans="1:6" x14ac:dyDescent="0.2">
      <c r="A38183" t="s">
        <v>58629</v>
      </c>
      <c r="B38183" t="s">
        <v>58630</v>
      </c>
      <c r="C38183" t="s">
        <v>366</v>
      </c>
      <c r="D38183" t="s">
        <v>52</v>
      </c>
      <c r="F38183" s="2" t="str">
        <f>HYPERLINK("http://www.otzar.org/book.asp?606593","קונטרס שום בצל וביצה")</f>
        <v>קונטרס שום בצל וביצה</v>
      </c>
    </row>
    <row r="38184" spans="1:6" x14ac:dyDescent="0.2">
      <c r="A38184" t="s">
        <v>58631</v>
      </c>
      <c r="B38184" t="s">
        <v>206</v>
      </c>
      <c r="C38184" t="s">
        <v>71</v>
      </c>
      <c r="D38184" t="s">
        <v>80</v>
      </c>
      <c r="F38184" s="2" t="str">
        <f>HYPERLINK("http://www.otzar.org/book.asp?197334","קונטרס שומע כעונה")</f>
        <v>קונטרס שומע כעונה</v>
      </c>
    </row>
    <row r="38185" spans="1:6" x14ac:dyDescent="0.2">
      <c r="A38185" t="s">
        <v>58632</v>
      </c>
      <c r="B38185" t="s">
        <v>4437</v>
      </c>
      <c r="C38185" t="s">
        <v>129</v>
      </c>
      <c r="D38185" t="s">
        <v>52</v>
      </c>
      <c r="E38185" t="s">
        <v>15</v>
      </c>
      <c r="F38185" s="2" t="str">
        <f>HYPERLINK("http://www.otzar.org/book.asp?151013","קונטרס שומר טהרה")</f>
        <v>קונטרס שומר טהרה</v>
      </c>
    </row>
    <row r="38186" spans="1:6" x14ac:dyDescent="0.2">
      <c r="A38186" t="s">
        <v>58633</v>
      </c>
      <c r="B38186" t="s">
        <v>3614</v>
      </c>
      <c r="C38186" t="s">
        <v>908</v>
      </c>
      <c r="D38186" t="s">
        <v>90</v>
      </c>
      <c r="E38186" t="s">
        <v>703</v>
      </c>
      <c r="F38186" s="2" t="str">
        <f>HYPERLINK("http://www.otzar.org/book.asp?172151","קונטרס שומרי משפט")</f>
        <v>קונטרס שומרי משפט</v>
      </c>
    </row>
    <row r="38187" spans="1:6" x14ac:dyDescent="0.2">
      <c r="A38187" t="s">
        <v>58634</v>
      </c>
      <c r="B38187" t="s">
        <v>11386</v>
      </c>
      <c r="C38187" t="s">
        <v>68</v>
      </c>
      <c r="D38187" t="s">
        <v>14</v>
      </c>
      <c r="E38187" t="s">
        <v>234</v>
      </c>
      <c r="F38187" s="2" t="str">
        <f>HYPERLINK("http://www.otzar.org/book.asp?169459","קונטרס שונה הלכות")</f>
        <v>קונטרס שונה הלכות</v>
      </c>
    </row>
    <row r="38188" spans="1:6" x14ac:dyDescent="0.2">
      <c r="A38188" t="s">
        <v>58635</v>
      </c>
      <c r="B38188" t="s">
        <v>58636</v>
      </c>
      <c r="C38188" t="s">
        <v>6987</v>
      </c>
      <c r="D38188" t="s">
        <v>52</v>
      </c>
      <c r="E38188" t="s">
        <v>399</v>
      </c>
      <c r="F38188" s="2" t="str">
        <f>HYPERLINK("http://www.otzar.org/book.asp?631142","קונטרס שופר של משיח")</f>
        <v>קונטרס שופר של משיח</v>
      </c>
    </row>
    <row r="38189" spans="1:6" x14ac:dyDescent="0.2">
      <c r="A38189" t="s">
        <v>58637</v>
      </c>
      <c r="B38189" t="s">
        <v>58638</v>
      </c>
      <c r="C38189" t="s">
        <v>20</v>
      </c>
      <c r="D38189" t="s">
        <v>90</v>
      </c>
      <c r="E38189" t="s">
        <v>144</v>
      </c>
      <c r="F38189" s="2" t="str">
        <f>HYPERLINK("http://www.otzar.org/book.asp?623674","קונטרס שופרא דשטרא")</f>
        <v>קונטרס שופרא דשטרא</v>
      </c>
    </row>
    <row r="38190" spans="1:6" x14ac:dyDescent="0.2">
      <c r="A38190" t="s">
        <v>58639</v>
      </c>
      <c r="B38190" t="s">
        <v>58640</v>
      </c>
      <c r="C38190" t="s">
        <v>37</v>
      </c>
      <c r="D38190" t="s">
        <v>14</v>
      </c>
      <c r="E38190" t="s">
        <v>119</v>
      </c>
      <c r="F38190" s="2" t="str">
        <f>HYPERLINK("http://www.otzar.org/book.asp?193606","קונטרס שופריה דיוסף")</f>
        <v>קונטרס שופריה דיוסף</v>
      </c>
    </row>
    <row r="38191" spans="1:6" x14ac:dyDescent="0.2">
      <c r="A38191" t="s">
        <v>58641</v>
      </c>
      <c r="B38191" t="s">
        <v>58642</v>
      </c>
      <c r="C38191" t="s">
        <v>133</v>
      </c>
      <c r="D38191" t="s">
        <v>134</v>
      </c>
      <c r="F38191" s="2" t="str">
        <f>HYPERLINK("http://www.otzar.org/book.asp?604778","קונטרס שושן פורים")</f>
        <v>קונטרס שושן פורים</v>
      </c>
    </row>
    <row r="38192" spans="1:6" x14ac:dyDescent="0.2">
      <c r="A38192" t="s">
        <v>58643</v>
      </c>
      <c r="B38192" t="s">
        <v>58644</v>
      </c>
      <c r="C38192" t="s">
        <v>466</v>
      </c>
      <c r="D38192" t="s">
        <v>52</v>
      </c>
      <c r="E38192" t="s">
        <v>1697</v>
      </c>
      <c r="F38192" s="2" t="str">
        <f>HYPERLINK("http://www.otzar.org/book.asp?163105","קונטרס שושנת העמקים")</f>
        <v>קונטרס שושנת העמקים</v>
      </c>
    </row>
    <row r="38193" spans="1:6" x14ac:dyDescent="0.2">
      <c r="A38193" t="s">
        <v>58645</v>
      </c>
      <c r="B38193" t="s">
        <v>58646</v>
      </c>
      <c r="C38193" t="s">
        <v>313</v>
      </c>
      <c r="D38193" t="s">
        <v>14</v>
      </c>
      <c r="E38193" t="s">
        <v>246</v>
      </c>
      <c r="F38193" s="2" t="str">
        <f>HYPERLINK("http://www.otzar.org/book.asp?168218","קונטרס שושנת יעקב - 2 כר'")</f>
        <v>קונטרס שושנת יעקב - 2 כר'</v>
      </c>
    </row>
    <row r="38194" spans="1:6" x14ac:dyDescent="0.2">
      <c r="A38194" t="s">
        <v>58647</v>
      </c>
      <c r="B38194" t="s">
        <v>58648</v>
      </c>
      <c r="C38194" t="s">
        <v>23</v>
      </c>
      <c r="D38194" t="s">
        <v>90</v>
      </c>
      <c r="F38194" s="2" t="str">
        <f>HYPERLINK("http://www.otzar.org/book.asp?610140","קונטרס שטר התנאים")</f>
        <v>קונטרס שטר התנאים</v>
      </c>
    </row>
    <row r="38195" spans="1:6" x14ac:dyDescent="0.2">
      <c r="A38195" t="s">
        <v>58649</v>
      </c>
      <c r="B38195" t="s">
        <v>1451</v>
      </c>
      <c r="C38195" t="s">
        <v>411</v>
      </c>
      <c r="D38195" t="s">
        <v>14</v>
      </c>
      <c r="F38195" s="2" t="str">
        <f>HYPERLINK("http://www.otzar.org/book.asp?632058","קונטרס שי למועדים - פסח")</f>
        <v>קונטרס שי למועדים - פסח</v>
      </c>
    </row>
    <row r="38196" spans="1:6" x14ac:dyDescent="0.2">
      <c r="A38196" t="s">
        <v>58650</v>
      </c>
      <c r="B38196" t="s">
        <v>35133</v>
      </c>
      <c r="C38196" t="s">
        <v>466</v>
      </c>
      <c r="D38196" t="s">
        <v>657</v>
      </c>
      <c r="E38196" t="s">
        <v>144</v>
      </c>
      <c r="F38196" s="2" t="str">
        <f>HYPERLINK("http://www.otzar.org/book.asp?61994","קונטרס שי למורא - קידושין")</f>
        <v>קונטרס שי למורא - קידושין</v>
      </c>
    </row>
    <row r="38197" spans="1:6" x14ac:dyDescent="0.2">
      <c r="A38197" t="s">
        <v>58651</v>
      </c>
      <c r="B38197" t="s">
        <v>58652</v>
      </c>
      <c r="C38197" t="s">
        <v>114</v>
      </c>
      <c r="D38197" t="s">
        <v>52</v>
      </c>
      <c r="E38197" t="s">
        <v>246</v>
      </c>
      <c r="F38197" s="2" t="str">
        <f>HYPERLINK("http://www.otzar.org/book.asp?168726","קונטרס שי""ח הפסח")</f>
        <v>קונטרס שי"ח הפסח</v>
      </c>
    </row>
    <row r="38198" spans="1:6" x14ac:dyDescent="0.2">
      <c r="A38198" t="s">
        <v>58653</v>
      </c>
      <c r="B38198" t="s">
        <v>9348</v>
      </c>
      <c r="C38198" t="s">
        <v>20</v>
      </c>
      <c r="D38198" t="s">
        <v>2468</v>
      </c>
      <c r="E38198" t="s">
        <v>104</v>
      </c>
      <c r="F38198" s="2" t="str">
        <f>HYPERLINK("http://www.otzar.org/book.asp?162041","קונטרס שיגרא דלישנא &lt;ביטוי השגור&gt;")</f>
        <v>קונטרס שיגרא דלישנא &lt;ביטוי השגור&gt;</v>
      </c>
    </row>
    <row r="38199" spans="1:6" x14ac:dyDescent="0.2">
      <c r="A38199" t="s">
        <v>58654</v>
      </c>
      <c r="B38199" t="s">
        <v>53904</v>
      </c>
      <c r="C38199" t="s">
        <v>23</v>
      </c>
      <c r="D38199" t="s">
        <v>52</v>
      </c>
      <c r="E38199" t="s">
        <v>15</v>
      </c>
      <c r="F38199" s="2" t="str">
        <f>HYPERLINK("http://www.otzar.org/book.asp?602774","קונטרס שיח אפריון")</f>
        <v>קונטרס שיח אפריון</v>
      </c>
    </row>
    <row r="38200" spans="1:6" x14ac:dyDescent="0.2">
      <c r="A38200" t="s">
        <v>58655</v>
      </c>
      <c r="B38200" t="s">
        <v>58652</v>
      </c>
      <c r="C38200" t="s">
        <v>411</v>
      </c>
      <c r="D38200" t="s">
        <v>90</v>
      </c>
      <c r="E38200" t="s">
        <v>158</v>
      </c>
      <c r="F38200" s="2" t="str">
        <f>HYPERLINK("http://www.otzar.org/book.asp?169040","קונטרס שיח הפרשה - במדבר א")</f>
        <v>קונטרס שיח הפרשה - במדבר א</v>
      </c>
    </row>
    <row r="38201" spans="1:6" x14ac:dyDescent="0.2">
      <c r="A38201" t="s">
        <v>58656</v>
      </c>
      <c r="B38201" t="s">
        <v>58657</v>
      </c>
      <c r="C38201" t="s">
        <v>20</v>
      </c>
      <c r="D38201" t="s">
        <v>152</v>
      </c>
      <c r="E38201" t="s">
        <v>144</v>
      </c>
      <c r="F38201" s="2" t="str">
        <f>HYPERLINK("http://www.otzar.org/book.asp?179640","קונטרס שיח יעקב")</f>
        <v>קונטרס שיח יעקב</v>
      </c>
    </row>
    <row r="38202" spans="1:6" x14ac:dyDescent="0.2">
      <c r="A38202" t="s">
        <v>58658</v>
      </c>
      <c r="B38202" t="s">
        <v>26534</v>
      </c>
      <c r="C38202" t="s">
        <v>20</v>
      </c>
      <c r="D38202" t="s">
        <v>14</v>
      </c>
      <c r="E38202" t="s">
        <v>15</v>
      </c>
      <c r="F38202" s="2" t="str">
        <f>HYPERLINK("http://www.otzar.org/book.asp?53156","קונטרס שיח שבת")</f>
        <v>קונטרס שיח שבת</v>
      </c>
    </row>
    <row r="38203" spans="1:6" x14ac:dyDescent="0.2">
      <c r="A38203" t="s">
        <v>58659</v>
      </c>
      <c r="B38203" t="s">
        <v>58660</v>
      </c>
      <c r="C38203" t="s">
        <v>940</v>
      </c>
      <c r="D38203" t="s">
        <v>14</v>
      </c>
      <c r="E38203" t="s">
        <v>148</v>
      </c>
      <c r="F38203" s="2" t="str">
        <f>HYPERLINK("http://www.otzar.org/book.asp?168355","קונטרס שיח שפתים")</f>
        <v>קונטרס שיח שפתים</v>
      </c>
    </row>
    <row r="38204" spans="1:6" x14ac:dyDescent="0.2">
      <c r="A38204" t="s">
        <v>58661</v>
      </c>
      <c r="B38204" t="s">
        <v>58662</v>
      </c>
      <c r="C38204" t="s">
        <v>20</v>
      </c>
      <c r="D38204" t="s">
        <v>52</v>
      </c>
      <c r="F38204" s="2" t="str">
        <f>HYPERLINK("http://www.otzar.org/book.asp?180537","קונטרס שיח שרפי קודש")</f>
        <v>קונטרס שיח שרפי קודש</v>
      </c>
    </row>
    <row r="38205" spans="1:6" x14ac:dyDescent="0.2">
      <c r="A38205" t="s">
        <v>58663</v>
      </c>
      <c r="B38205" t="s">
        <v>3520</v>
      </c>
      <c r="C38205" t="s">
        <v>176</v>
      </c>
      <c r="D38205" t="s">
        <v>14</v>
      </c>
      <c r="E38205" t="s">
        <v>741</v>
      </c>
      <c r="F38205" s="2" t="str">
        <f>HYPERLINK("http://www.otzar.org/book.asp?144050","קונטרס שיחות קודש")</f>
        <v>קונטרס שיחות קודש</v>
      </c>
    </row>
    <row r="38206" spans="1:6" x14ac:dyDescent="0.2">
      <c r="A38206" t="s">
        <v>58664</v>
      </c>
      <c r="B38206" t="s">
        <v>58664</v>
      </c>
      <c r="C38206" t="s">
        <v>68</v>
      </c>
      <c r="D38206" t="s">
        <v>486</v>
      </c>
      <c r="E38206" t="s">
        <v>104</v>
      </c>
      <c r="F38206" s="2" t="str">
        <f>HYPERLINK("http://www.otzar.org/book.asp?170797","קונטרס שיחות")</f>
        <v>קונטרס שיחות</v>
      </c>
    </row>
    <row r="38207" spans="1:6" x14ac:dyDescent="0.2">
      <c r="A38207" t="s">
        <v>58665</v>
      </c>
      <c r="B38207" t="s">
        <v>4636</v>
      </c>
      <c r="C38207" t="s">
        <v>23</v>
      </c>
      <c r="D38207" t="s">
        <v>30583</v>
      </c>
      <c r="F38207" s="2" t="str">
        <f>HYPERLINK("http://www.otzar.org/book.asp?605916","קונטרס שיחת הילדים")</f>
        <v>קונטרס שיחת הילדים</v>
      </c>
    </row>
    <row r="38208" spans="1:6" x14ac:dyDescent="0.2">
      <c r="A38208" t="s">
        <v>58666</v>
      </c>
      <c r="B38208" t="s">
        <v>58667</v>
      </c>
      <c r="C38208" t="s">
        <v>366</v>
      </c>
      <c r="D38208" t="s">
        <v>1156</v>
      </c>
      <c r="F38208" s="2" t="str">
        <f>HYPERLINK("http://www.otzar.org/book.asp?611030","קונטרס שיחת עבדי אבות")</f>
        <v>קונטרס שיחת עבדי אבות</v>
      </c>
    </row>
    <row r="38209" spans="1:6" x14ac:dyDescent="0.2">
      <c r="A38209" t="s">
        <v>58668</v>
      </c>
      <c r="B38209" t="s">
        <v>58669</v>
      </c>
      <c r="C38209" t="s">
        <v>1570</v>
      </c>
      <c r="E38209" t="s">
        <v>104</v>
      </c>
      <c r="F38209" s="2" t="str">
        <f>HYPERLINK("http://www.otzar.org/book.asp?195551","קונטרס שיחת תלמידים")</f>
        <v>קונטרס שיחת תלמידים</v>
      </c>
    </row>
    <row r="38210" spans="1:6" x14ac:dyDescent="0.2">
      <c r="A38210" t="s">
        <v>58670</v>
      </c>
      <c r="B38210" t="s">
        <v>3768</v>
      </c>
      <c r="C38210" t="s">
        <v>68</v>
      </c>
      <c r="D38210" t="s">
        <v>367</v>
      </c>
      <c r="E38210" t="s">
        <v>15</v>
      </c>
      <c r="F38210" s="2" t="str">
        <f>HYPERLINK("http://www.otzar.org/book.asp?160066","קונטרס שיטות הראשונים בענין שמיטה בזה""ז")</f>
        <v>קונטרס שיטות הראשונים בענין שמיטה בזה"ז</v>
      </c>
    </row>
    <row r="38211" spans="1:6" x14ac:dyDescent="0.2">
      <c r="A38211" t="s">
        <v>58671</v>
      </c>
      <c r="B38211" t="s">
        <v>58672</v>
      </c>
      <c r="C38211" t="s">
        <v>20</v>
      </c>
      <c r="D38211" t="s">
        <v>90</v>
      </c>
      <c r="F38211" s="2" t="str">
        <f>HYPERLINK("http://www.otzar.org/book.asp?617435","קונטרס שיירי מצוה")</f>
        <v>קונטרס שיירי מצוה</v>
      </c>
    </row>
    <row r="38212" spans="1:6" x14ac:dyDescent="0.2">
      <c r="A38212" t="s">
        <v>58673</v>
      </c>
      <c r="B38212" t="s">
        <v>23648</v>
      </c>
      <c r="C38212" t="s">
        <v>422</v>
      </c>
      <c r="D38212" t="s">
        <v>2504</v>
      </c>
      <c r="E38212" t="s">
        <v>202</v>
      </c>
      <c r="F38212" s="2" t="str">
        <f>HYPERLINK("http://www.otzar.org/book.asp?173889","קונטרס שימוש חכמים")</f>
        <v>קונטרס שימוש חכמים</v>
      </c>
    </row>
    <row r="38213" spans="1:6" x14ac:dyDescent="0.2">
      <c r="A38213" t="s">
        <v>58674</v>
      </c>
      <c r="B38213" t="s">
        <v>6734</v>
      </c>
      <c r="C38213" t="s">
        <v>114</v>
      </c>
      <c r="D38213" t="s">
        <v>147</v>
      </c>
      <c r="E38213" t="s">
        <v>172</v>
      </c>
      <c r="F38213" s="2" t="str">
        <f>HYPERLINK("http://www.otzar.org/book.asp?162538","קונטרס שינון הוראה")</f>
        <v>קונטרס שינון הוראה</v>
      </c>
    </row>
    <row r="38214" spans="1:6" x14ac:dyDescent="0.2">
      <c r="A38214" t="s">
        <v>58675</v>
      </c>
      <c r="B38214" t="s">
        <v>56153</v>
      </c>
      <c r="C38214" t="s">
        <v>37</v>
      </c>
      <c r="D38214" t="s">
        <v>52</v>
      </c>
      <c r="E38214" t="s">
        <v>104</v>
      </c>
      <c r="F38214" s="2" t="str">
        <f>HYPERLINK("http://www.otzar.org/book.asp?190254","קונטרס שיעור השיעורים")</f>
        <v>קונטרס שיעור השיעורים</v>
      </c>
    </row>
    <row r="38215" spans="1:6" x14ac:dyDescent="0.2">
      <c r="A38215" t="s">
        <v>58676</v>
      </c>
      <c r="B38215" t="s">
        <v>58677</v>
      </c>
      <c r="C38215" t="s">
        <v>20</v>
      </c>
      <c r="D38215" t="s">
        <v>21</v>
      </c>
      <c r="E38215" t="s">
        <v>144</v>
      </c>
      <c r="F38215" s="2" t="str">
        <f>HYPERLINK("http://www.otzar.org/book.asp?196775","קונטרס שיעורי איזהו נשך")</f>
        <v>קונטרס שיעורי איזהו נשך</v>
      </c>
    </row>
    <row r="38216" spans="1:6" x14ac:dyDescent="0.2">
      <c r="A38216" t="s">
        <v>58678</v>
      </c>
      <c r="B38216" t="s">
        <v>28250</v>
      </c>
      <c r="C38216" t="s">
        <v>133</v>
      </c>
      <c r="D38216" t="s">
        <v>14</v>
      </c>
      <c r="E38216" t="s">
        <v>144</v>
      </c>
      <c r="F38216" s="2" t="str">
        <f>HYPERLINK("http://www.otzar.org/book.asp?191118","קונטרס שיעורי בבא מציעא")</f>
        <v>קונטרס שיעורי בבא מציעא</v>
      </c>
    </row>
    <row r="38217" spans="1:6" x14ac:dyDescent="0.2">
      <c r="A38217" t="s">
        <v>58679</v>
      </c>
      <c r="B38217" t="s">
        <v>8832</v>
      </c>
      <c r="C38217" t="s">
        <v>20</v>
      </c>
      <c r="D38217" t="s">
        <v>52</v>
      </c>
      <c r="E38217" t="s">
        <v>144</v>
      </c>
      <c r="F38217" s="2" t="str">
        <f>HYPERLINK("http://www.otzar.org/book.asp?166229","קונטרס שיעורי הגרב""ד - שטרות")</f>
        <v>קונטרס שיעורי הגרב"ד - שטרות</v>
      </c>
    </row>
    <row r="38218" spans="1:6" x14ac:dyDescent="0.2">
      <c r="A38218" t="s">
        <v>58680</v>
      </c>
      <c r="B38218" t="s">
        <v>58681</v>
      </c>
      <c r="C38218" t="s">
        <v>111</v>
      </c>
      <c r="D38218" t="s">
        <v>90</v>
      </c>
      <c r="E38218" t="s">
        <v>15</v>
      </c>
      <c r="F38218" s="2" t="str">
        <f>HYPERLINK("http://www.otzar.org/book.asp?630823","קונטרס שיעורי טלית קטן")</f>
        <v>קונטרס שיעורי טלית קטן</v>
      </c>
    </row>
    <row r="38219" spans="1:6" x14ac:dyDescent="0.2">
      <c r="A38219" t="s">
        <v>58682</v>
      </c>
      <c r="B38219" t="s">
        <v>28250</v>
      </c>
      <c r="C38219" t="s">
        <v>133</v>
      </c>
      <c r="D38219" t="s">
        <v>14</v>
      </c>
      <c r="E38219" t="s">
        <v>144</v>
      </c>
      <c r="F38219" s="2" t="str">
        <f>HYPERLINK("http://www.otzar.org/book.asp?191115","קונטרס שיעורי מכות")</f>
        <v>קונטרס שיעורי מכות</v>
      </c>
    </row>
    <row r="38220" spans="1:6" x14ac:dyDescent="0.2">
      <c r="A38220" t="s">
        <v>58683</v>
      </c>
      <c r="B38220" t="s">
        <v>28250</v>
      </c>
      <c r="C38220" t="s">
        <v>133</v>
      </c>
      <c r="D38220" t="s">
        <v>14</v>
      </c>
      <c r="E38220" t="s">
        <v>144</v>
      </c>
      <c r="F38220" s="2" t="str">
        <f>HYPERLINK("http://www.otzar.org/book.asp?191116","קונטרס שיעורי סנהדרין")</f>
        <v>קונטרס שיעורי סנהדרין</v>
      </c>
    </row>
    <row r="38221" spans="1:6" x14ac:dyDescent="0.2">
      <c r="A38221" t="s">
        <v>58684</v>
      </c>
      <c r="B38221" t="s">
        <v>58685</v>
      </c>
      <c r="C38221" t="s">
        <v>366</v>
      </c>
      <c r="D38221" t="s">
        <v>90</v>
      </c>
      <c r="F38221" s="2" t="str">
        <f>HYPERLINK("http://www.otzar.org/book.asp?610587","קונטרס שיעורי ר' שמעון - ב""מ פ""א")</f>
        <v>קונטרס שיעורי ר' שמעון - ב"מ פ"א</v>
      </c>
    </row>
    <row r="38222" spans="1:6" x14ac:dyDescent="0.2">
      <c r="A38222" t="s">
        <v>58686</v>
      </c>
      <c r="B38222" t="s">
        <v>7515</v>
      </c>
      <c r="C38222" t="s">
        <v>151</v>
      </c>
      <c r="D38222" t="s">
        <v>52</v>
      </c>
      <c r="F38222" s="2" t="str">
        <f>HYPERLINK("http://www.otzar.org/book.asp?620001","קונטרס שיעורי רבי משה זאב איתן שליט""א")</f>
        <v>קונטרס שיעורי רבי משה זאב איתן שליט"א</v>
      </c>
    </row>
    <row r="38223" spans="1:6" x14ac:dyDescent="0.2">
      <c r="A38223" t="s">
        <v>58687</v>
      </c>
      <c r="B38223" t="s">
        <v>54465</v>
      </c>
      <c r="C38223" t="s">
        <v>185</v>
      </c>
      <c r="D38223" t="s">
        <v>14</v>
      </c>
      <c r="E38223" t="s">
        <v>144</v>
      </c>
      <c r="F38223" s="2" t="str">
        <f>HYPERLINK("http://www.otzar.org/book.asp?629137","קונטרס שיעורי רבנו ראש הישיבה - קידושין פ""ק")</f>
        <v>קונטרס שיעורי רבנו ראש הישיבה - קידושין פ"ק</v>
      </c>
    </row>
    <row r="38224" spans="1:6" x14ac:dyDescent="0.2">
      <c r="A38224" t="s">
        <v>58688</v>
      </c>
      <c r="B38224" t="s">
        <v>9635</v>
      </c>
      <c r="C38224" t="s">
        <v>133</v>
      </c>
      <c r="D38224" t="s">
        <v>152</v>
      </c>
      <c r="E38224" t="s">
        <v>144</v>
      </c>
      <c r="F38224" s="2" t="str">
        <f>HYPERLINK("http://www.otzar.org/book.asp?179964","קונטרס שיעורים בבבא קמא - (ארבעה אבות, כיצד הרגל, מרובה)")</f>
        <v>קונטרס שיעורים בבבא קמא - (ארבעה אבות, כיצד הרגל, מרובה)</v>
      </c>
    </row>
    <row r="38225" spans="1:6" x14ac:dyDescent="0.2">
      <c r="A38225" t="s">
        <v>58689</v>
      </c>
      <c r="B38225" t="s">
        <v>9635</v>
      </c>
      <c r="C38225" t="s">
        <v>411</v>
      </c>
      <c r="D38225" t="s">
        <v>56377</v>
      </c>
      <c r="E38225" t="s">
        <v>144</v>
      </c>
      <c r="F38225" s="2" t="str">
        <f>HYPERLINK("http://www.otzar.org/book.asp?166143","קונטרס שיעורים בגיטין (המביא גט קמא)")</f>
        <v>קונטרס שיעורים בגיטין (המביא גט קמא)</v>
      </c>
    </row>
    <row r="38226" spans="1:6" x14ac:dyDescent="0.2">
      <c r="A38226" t="s">
        <v>58690</v>
      </c>
      <c r="B38226" t="s">
        <v>9635</v>
      </c>
      <c r="C38226" t="s">
        <v>411</v>
      </c>
      <c r="D38226" t="s">
        <v>152</v>
      </c>
      <c r="E38226" t="s">
        <v>144</v>
      </c>
      <c r="F38226" s="2" t="str">
        <f>HYPERLINK("http://www.otzar.org/book.asp?173380","קונטרס שיעורים בגיטין (כל הגט, השולח)")</f>
        <v>קונטרס שיעורים בגיטין (כל הגט, השולח)</v>
      </c>
    </row>
    <row r="38227" spans="1:6" x14ac:dyDescent="0.2">
      <c r="A38227" t="s">
        <v>58691</v>
      </c>
      <c r="B38227" t="s">
        <v>57342</v>
      </c>
      <c r="C38227" t="s">
        <v>23</v>
      </c>
      <c r="D38227" t="s">
        <v>14</v>
      </c>
      <c r="F38227" s="2" t="str">
        <f>HYPERLINK("http://www.otzar.org/book.asp?194161","קונטרס שיעורים בהלכות טהרה")</f>
        <v>קונטרס שיעורים בהלכות טהרה</v>
      </c>
    </row>
    <row r="38228" spans="1:6" x14ac:dyDescent="0.2">
      <c r="A38228" t="s">
        <v>58692</v>
      </c>
      <c r="B38228" t="s">
        <v>57081</v>
      </c>
      <c r="C38228" t="s">
        <v>1619</v>
      </c>
      <c r="D38228" t="s">
        <v>21</v>
      </c>
      <c r="F38228" s="2" t="str">
        <f>HYPERLINK("http://www.otzar.org/book.asp?198299","קונטרס שיעורים בית אהרן")</f>
        <v>קונטרס שיעורים בית אהרן</v>
      </c>
    </row>
    <row r="38229" spans="1:6" x14ac:dyDescent="0.2">
      <c r="A38229" t="s">
        <v>58693</v>
      </c>
      <c r="B38229" t="s">
        <v>33501</v>
      </c>
      <c r="C38229" t="s">
        <v>111</v>
      </c>
      <c r="D38229" t="s">
        <v>52</v>
      </c>
      <c r="E38229" t="s">
        <v>144</v>
      </c>
      <c r="F38229" s="2" t="str">
        <f>HYPERLINK("http://www.otzar.org/book.asp?630038","קונטרס שיעורים במסכת קידושין")</f>
        <v>קונטרס שיעורים במסכת קידושין</v>
      </c>
    </row>
    <row r="38230" spans="1:6" x14ac:dyDescent="0.2">
      <c r="A38230" t="s">
        <v>58694</v>
      </c>
      <c r="B38230" t="s">
        <v>9635</v>
      </c>
      <c r="C38230" t="s">
        <v>411</v>
      </c>
      <c r="D38230" t="s">
        <v>152</v>
      </c>
      <c r="E38230" t="s">
        <v>144</v>
      </c>
      <c r="F38230" s="2" t="str">
        <f>HYPERLINK("http://www.otzar.org/book.asp?173379","קונטרס שיעורים בסנהדרין (בן סורר, הנשרפין)")</f>
        <v>קונטרס שיעורים בסנהדרין (בן סורר, הנשרפין)</v>
      </c>
    </row>
    <row r="38231" spans="1:6" x14ac:dyDescent="0.2">
      <c r="A38231" t="s">
        <v>58695</v>
      </c>
      <c r="B38231" t="s">
        <v>11585</v>
      </c>
      <c r="C38231" t="s">
        <v>356</v>
      </c>
      <c r="D38231" t="s">
        <v>8245</v>
      </c>
      <c r="E38231" t="s">
        <v>144</v>
      </c>
      <c r="F38231" s="2" t="str">
        <f>HYPERLINK("http://www.otzar.org/book.asp?195957","קונטרס שיעורים בפרק בן סורר ומורה")</f>
        <v>קונטרס שיעורים בפרק בן סורר ומורה</v>
      </c>
    </row>
    <row r="38232" spans="1:6" x14ac:dyDescent="0.2">
      <c r="A38232" t="s">
        <v>58696</v>
      </c>
      <c r="B38232" t="s">
        <v>24278</v>
      </c>
      <c r="C38232" t="s">
        <v>68</v>
      </c>
      <c r="D38232" t="s">
        <v>52</v>
      </c>
      <c r="F38232" s="2" t="str">
        <f>HYPERLINK("http://www.otzar.org/book.asp?169640","קונטרס שיעורים - 6 כר'")</f>
        <v>קונטרס שיעורים - 6 כר'</v>
      </c>
    </row>
    <row r="38233" spans="1:6" x14ac:dyDescent="0.2">
      <c r="A38233" t="s">
        <v>58697</v>
      </c>
      <c r="B38233" t="s">
        <v>58698</v>
      </c>
      <c r="C38233" t="s">
        <v>176</v>
      </c>
      <c r="D38233" t="s">
        <v>1356</v>
      </c>
      <c r="E38233" t="s">
        <v>144</v>
      </c>
      <c r="F38233" s="2" t="str">
        <f>HYPERLINK("http://www.otzar.org/book.asp?161602","קונטרס שיעורים - 4 כר'")</f>
        <v>קונטרס שיעורים - 4 כר'</v>
      </c>
    </row>
    <row r="38234" spans="1:6" x14ac:dyDescent="0.2">
      <c r="A38234" t="s">
        <v>58699</v>
      </c>
      <c r="B38234" t="s">
        <v>58700</v>
      </c>
      <c r="C38234" t="s">
        <v>422</v>
      </c>
      <c r="D38234" t="s">
        <v>1511</v>
      </c>
      <c r="E38234" t="s">
        <v>144</v>
      </c>
      <c r="F38234" s="2" t="str">
        <f>HYPERLINK("http://www.otzar.org/book.asp?150985","קונטרס שיעורים - בבא קמא, גיטין")</f>
        <v>קונטרס שיעורים - בבא קמא, גיטין</v>
      </c>
    </row>
    <row r="38235" spans="1:6" x14ac:dyDescent="0.2">
      <c r="A38235" t="s">
        <v>58701</v>
      </c>
      <c r="B38235" t="s">
        <v>30681</v>
      </c>
      <c r="C38235" t="s">
        <v>37</v>
      </c>
      <c r="D38235" t="s">
        <v>14</v>
      </c>
      <c r="E38235" t="s">
        <v>144</v>
      </c>
      <c r="F38235" s="2" t="str">
        <f>HYPERLINK("http://www.otzar.org/book.asp?179175","קונטרס שיעורים - ב""ב")</f>
        <v>קונטרס שיעורים - ב"ב</v>
      </c>
    </row>
    <row r="38236" spans="1:6" x14ac:dyDescent="0.2">
      <c r="A38236" t="s">
        <v>58702</v>
      </c>
      <c r="B38236" t="s">
        <v>8832</v>
      </c>
      <c r="C38236" t="s">
        <v>71</v>
      </c>
      <c r="D38236" t="s">
        <v>52</v>
      </c>
      <c r="E38236" t="s">
        <v>144</v>
      </c>
      <c r="F38236" s="2" t="str">
        <f>HYPERLINK("http://www.otzar.org/book.asp?169251","קונטרס שיעורים - בבא קמא")</f>
        <v>קונטרס שיעורים - בבא קמא</v>
      </c>
    </row>
    <row r="38237" spans="1:6" x14ac:dyDescent="0.2">
      <c r="A38237" t="s">
        <v>58703</v>
      </c>
      <c r="B38237" t="s">
        <v>58704</v>
      </c>
      <c r="C38237" t="s">
        <v>20</v>
      </c>
      <c r="D38237" t="s">
        <v>90</v>
      </c>
      <c r="F38237" s="2" t="str">
        <f>HYPERLINK("http://www.otzar.org/book.asp?611185","קונטרס שיר ותודה")</f>
        <v>קונטרס שיר ותודה</v>
      </c>
    </row>
    <row r="38238" spans="1:6" x14ac:dyDescent="0.2">
      <c r="A38238" t="s">
        <v>58705</v>
      </c>
      <c r="B38238" t="s">
        <v>477</v>
      </c>
      <c r="C38238" t="s">
        <v>133</v>
      </c>
      <c r="D38238" t="s">
        <v>14</v>
      </c>
      <c r="E38238" t="s">
        <v>158</v>
      </c>
      <c r="F38238" s="2" t="str">
        <f>HYPERLINK("http://www.otzar.org/book.asp?176351","קונטרס שירה חדשה - 2 כר'")</f>
        <v>קונטרס שירה חדשה - 2 כר'</v>
      </c>
    </row>
    <row r="38239" spans="1:6" x14ac:dyDescent="0.2">
      <c r="A38239" t="s">
        <v>58706</v>
      </c>
      <c r="B38239" t="s">
        <v>54229</v>
      </c>
      <c r="C38239" t="s">
        <v>366</v>
      </c>
      <c r="F38239" s="2" t="str">
        <f>HYPERLINK("http://www.otzar.org/book.asp?618761","קונטרס שירו למלך")</f>
        <v>קונטרס שירו למלך</v>
      </c>
    </row>
    <row r="38240" spans="1:6" x14ac:dyDescent="0.2">
      <c r="A38240" t="s">
        <v>58707</v>
      </c>
      <c r="B38240" t="s">
        <v>58708</v>
      </c>
      <c r="C38240" t="s">
        <v>103</v>
      </c>
      <c r="D38240" t="s">
        <v>14</v>
      </c>
      <c r="E38240" t="s">
        <v>241</v>
      </c>
      <c r="F38240" s="2" t="str">
        <f>HYPERLINK("http://www.otzar.org/book.asp?25460","קונטרס שירת דבורה  על שמונה פרקים לרמב""ם")</f>
        <v>קונטרס שירת דבורה  על שמונה פרקים לרמב"ם</v>
      </c>
    </row>
    <row r="38241" spans="1:6" x14ac:dyDescent="0.2">
      <c r="A38241" t="s">
        <v>58709</v>
      </c>
      <c r="B38241" t="s">
        <v>489</v>
      </c>
      <c r="C38241" t="s">
        <v>103</v>
      </c>
      <c r="D38241" t="s">
        <v>14</v>
      </c>
      <c r="E38241" t="s">
        <v>2091</v>
      </c>
      <c r="F38241" s="2" t="str">
        <f>HYPERLINK("http://www.otzar.org/book.asp?26355","קונטרס שירת דוד בענייני ספר תורה")</f>
        <v>קונטרס שירת דוד בענייני ספר תורה</v>
      </c>
    </row>
    <row r="38242" spans="1:6" x14ac:dyDescent="0.2">
      <c r="A38242" t="s">
        <v>58710</v>
      </c>
      <c r="B38242" t="s">
        <v>11753</v>
      </c>
      <c r="C38242" t="s">
        <v>37</v>
      </c>
      <c r="D38242" t="s">
        <v>1076</v>
      </c>
      <c r="E38242" t="s">
        <v>158</v>
      </c>
      <c r="F38242" s="2" t="str">
        <f>HYPERLINK("http://www.otzar.org/book.asp?603239","קונטרס שירת דוד")</f>
        <v>קונטרס שירת דוד</v>
      </c>
    </row>
    <row r="38243" spans="1:6" x14ac:dyDescent="0.2">
      <c r="A38243" t="s">
        <v>58711</v>
      </c>
      <c r="B38243" t="s">
        <v>206</v>
      </c>
      <c r="C38243" t="s">
        <v>20</v>
      </c>
      <c r="D38243" t="s">
        <v>90</v>
      </c>
      <c r="E38243" t="s">
        <v>241</v>
      </c>
      <c r="F38243" s="2" t="str">
        <f>HYPERLINK("http://www.otzar.org/book.asp?629881","קונטרס שירת דודי")</f>
        <v>קונטרס שירת דודי</v>
      </c>
    </row>
    <row r="38244" spans="1:6" x14ac:dyDescent="0.2">
      <c r="A38244" t="s">
        <v>58712</v>
      </c>
      <c r="B38244" t="s">
        <v>58713</v>
      </c>
      <c r="C38244" t="s">
        <v>244</v>
      </c>
      <c r="D38244" t="s">
        <v>52</v>
      </c>
      <c r="E38244" t="s">
        <v>158</v>
      </c>
      <c r="F38244" s="2" t="str">
        <f>HYPERLINK("http://www.otzar.org/book.asp?193225","קונטרס שירת האזינו עם ביאור שירת הגפן")</f>
        <v>קונטרס שירת האזינו עם ביאור שירת הגפן</v>
      </c>
    </row>
    <row r="38245" spans="1:6" x14ac:dyDescent="0.2">
      <c r="A38245" t="s">
        <v>58714</v>
      </c>
      <c r="B38245" t="s">
        <v>58715</v>
      </c>
      <c r="C38245" t="s">
        <v>366</v>
      </c>
      <c r="D38245" t="s">
        <v>15682</v>
      </c>
      <c r="E38245" t="s">
        <v>148</v>
      </c>
      <c r="F38245" s="2" t="str">
        <f>HYPERLINK("http://www.otzar.org/book.asp?626481","קונטרס שירת הים - 7 כר'")</f>
        <v>קונטרס שירת הים - 7 כר'</v>
      </c>
    </row>
    <row r="38246" spans="1:6" x14ac:dyDescent="0.2">
      <c r="A38246" t="s">
        <v>58716</v>
      </c>
      <c r="B38246" t="s">
        <v>58717</v>
      </c>
      <c r="D38246" t="s">
        <v>52</v>
      </c>
      <c r="F38246" s="2" t="str">
        <f>HYPERLINK("http://www.otzar.org/book.asp?620767","קונטרס שירת הלוי")</f>
        <v>קונטרס שירת הלוי</v>
      </c>
    </row>
    <row r="38247" spans="1:6" x14ac:dyDescent="0.2">
      <c r="A38247" t="s">
        <v>58718</v>
      </c>
      <c r="B38247" t="s">
        <v>14873</v>
      </c>
      <c r="F38247" s="2" t="str">
        <f>HYPERLINK("http://www.otzar.org/book.asp?622594","קונטרס שירת המועדים - חנוכה")</f>
        <v>קונטרס שירת המועדים - חנוכה</v>
      </c>
    </row>
    <row r="38248" spans="1:6" x14ac:dyDescent="0.2">
      <c r="A38248" t="s">
        <v>58719</v>
      </c>
      <c r="B38248" t="s">
        <v>9635</v>
      </c>
      <c r="C38248" t="s">
        <v>129</v>
      </c>
      <c r="D38248" t="s">
        <v>657</v>
      </c>
      <c r="E38248" t="s">
        <v>213</v>
      </c>
      <c r="F38248" s="2" t="str">
        <f>HYPERLINK("http://www.otzar.org/book.asp?52889","קונטרס שירת יהודה - 2 כר'")</f>
        <v>קונטרס שירת יהודה - 2 כר'</v>
      </c>
    </row>
    <row r="38249" spans="1:6" x14ac:dyDescent="0.2">
      <c r="A38249" t="s">
        <v>58720</v>
      </c>
      <c r="B38249" t="s">
        <v>55834</v>
      </c>
      <c r="C38249" t="s">
        <v>20</v>
      </c>
      <c r="D38249" t="s">
        <v>90</v>
      </c>
      <c r="E38249" t="s">
        <v>674</v>
      </c>
      <c r="F38249" s="2" t="str">
        <f>HYPERLINK("http://www.otzar.org/book.asp?191123","קונטרס שירת ינון")</f>
        <v>קונטרס שירת ינון</v>
      </c>
    </row>
    <row r="38250" spans="1:6" x14ac:dyDescent="0.2">
      <c r="A38250" t="s">
        <v>58721</v>
      </c>
      <c r="B38250" t="s">
        <v>12027</v>
      </c>
      <c r="C38250" t="s">
        <v>20</v>
      </c>
      <c r="D38250" t="s">
        <v>52</v>
      </c>
      <c r="F38250" s="2" t="str">
        <f>HYPERLINK("http://www.otzar.org/book.asp?608037","קונטרס שירת מרים")</f>
        <v>קונטרס שירת מרים</v>
      </c>
    </row>
    <row r="38251" spans="1:6" x14ac:dyDescent="0.2">
      <c r="A38251" t="s">
        <v>58722</v>
      </c>
      <c r="B38251" t="s">
        <v>29899</v>
      </c>
      <c r="C38251" t="s">
        <v>151</v>
      </c>
      <c r="D38251" t="s">
        <v>90</v>
      </c>
      <c r="E38251" t="s">
        <v>144</v>
      </c>
      <c r="F38251" s="2" t="str">
        <f>HYPERLINK("http://www.otzar.org/book.asp?623260","קונטרס שכן טוב")</f>
        <v>קונטרס שכן טוב</v>
      </c>
    </row>
    <row r="38252" spans="1:6" x14ac:dyDescent="0.2">
      <c r="A38252" t="s">
        <v>58723</v>
      </c>
      <c r="B38252" t="s">
        <v>29695</v>
      </c>
      <c r="C38252" t="s">
        <v>454</v>
      </c>
      <c r="D38252" t="s">
        <v>52</v>
      </c>
      <c r="E38252" t="s">
        <v>246</v>
      </c>
      <c r="F38252" s="2" t="str">
        <f>HYPERLINK("http://www.otzar.org/book.asp?190861","קונטרס שכר לפעולתך - סוכות")</f>
        <v>קונטרס שכר לפעולתך - סוכות</v>
      </c>
    </row>
    <row r="38253" spans="1:6" x14ac:dyDescent="0.2">
      <c r="A38253" t="s">
        <v>58724</v>
      </c>
      <c r="B38253" t="s">
        <v>58725</v>
      </c>
      <c r="C38253" t="s">
        <v>146</v>
      </c>
      <c r="D38253" t="s">
        <v>14</v>
      </c>
      <c r="E38253" t="s">
        <v>202</v>
      </c>
      <c r="F38253" s="2" t="str">
        <f>HYPERLINK("http://www.otzar.org/book.asp?626080","קונטרס של ברכה")</f>
        <v>קונטרס של ברכה</v>
      </c>
    </row>
    <row r="38254" spans="1:6" x14ac:dyDescent="0.2">
      <c r="A38254" t="s">
        <v>58726</v>
      </c>
      <c r="B38254" t="s">
        <v>58727</v>
      </c>
      <c r="C38254" t="s">
        <v>8</v>
      </c>
      <c r="D38254" t="s">
        <v>21</v>
      </c>
      <c r="F38254" s="2" t="str">
        <f>HYPERLINK("http://www.otzar.org/book.asp?612194","קונטרס של עדת ישראל החרדית בא""י")</f>
        <v>קונטרס של עדת ישראל החרדית בא"י</v>
      </c>
    </row>
    <row r="38255" spans="1:6" x14ac:dyDescent="0.2">
      <c r="A38255" t="s">
        <v>58728</v>
      </c>
      <c r="B38255" t="s">
        <v>58729</v>
      </c>
      <c r="F38255" s="2" t="str">
        <f>HYPERLINK("http://www.otzar.org/book.asp?618779","קונטרס שלהבת התורה - 3 כר'")</f>
        <v>קונטרס שלהבת התורה - 3 כר'</v>
      </c>
    </row>
    <row r="38256" spans="1:6" x14ac:dyDescent="0.2">
      <c r="A38256" t="s">
        <v>58730</v>
      </c>
      <c r="B38256" t="s">
        <v>11831</v>
      </c>
      <c r="C38256" t="s">
        <v>585</v>
      </c>
      <c r="D38256" t="s">
        <v>52</v>
      </c>
      <c r="E38256" t="s">
        <v>960</v>
      </c>
      <c r="F38256" s="2" t="str">
        <f>HYPERLINK("http://www.otzar.org/book.asp?180428","קונטרס שלום אהלך")</f>
        <v>קונטרס שלום אהלך</v>
      </c>
    </row>
    <row r="38257" spans="1:6" x14ac:dyDescent="0.2">
      <c r="A38257" t="s">
        <v>58731</v>
      </c>
      <c r="B38257" t="s">
        <v>21698</v>
      </c>
      <c r="C38257" t="s">
        <v>624</v>
      </c>
      <c r="D38257" t="s">
        <v>52</v>
      </c>
      <c r="E38257" t="s">
        <v>8482</v>
      </c>
      <c r="F38257" s="2" t="str">
        <f>HYPERLINK("http://www.otzar.org/book.asp?153230","קונטרס שלום ישראל")</f>
        <v>קונטרס שלום ישראל</v>
      </c>
    </row>
    <row r="38258" spans="1:6" x14ac:dyDescent="0.2">
      <c r="A38258" t="s">
        <v>58732</v>
      </c>
      <c r="B38258" t="s">
        <v>432</v>
      </c>
      <c r="C38258" t="s">
        <v>168</v>
      </c>
      <c r="D38258" t="s">
        <v>412</v>
      </c>
      <c r="E38258" t="s">
        <v>241</v>
      </c>
      <c r="F38258" s="2" t="str">
        <f>HYPERLINK("http://www.otzar.org/book.asp?603229","קונטרס שלום על ישראל")</f>
        <v>קונטרס שלום על ישראל</v>
      </c>
    </row>
    <row r="38259" spans="1:6" x14ac:dyDescent="0.2">
      <c r="A38259" t="s">
        <v>58733</v>
      </c>
      <c r="B38259" t="s">
        <v>58734</v>
      </c>
      <c r="C38259" t="s">
        <v>151</v>
      </c>
      <c r="D38259" t="s">
        <v>14</v>
      </c>
      <c r="E38259" t="s">
        <v>144</v>
      </c>
      <c r="F38259" s="2" t="str">
        <f>HYPERLINK("http://www.otzar.org/book.asp?616929","קונטרס שלחן עורך - כתובות, גיטין")</f>
        <v>קונטרס שלחן עורך - כתובות, גיטין</v>
      </c>
    </row>
    <row r="38260" spans="1:6" x14ac:dyDescent="0.2">
      <c r="A38260" t="s">
        <v>58735</v>
      </c>
      <c r="B38260" t="s">
        <v>9651</v>
      </c>
      <c r="C38260" t="s">
        <v>111</v>
      </c>
      <c r="D38260" t="s">
        <v>52</v>
      </c>
      <c r="E38260" t="s">
        <v>144</v>
      </c>
      <c r="F38260" s="2" t="str">
        <f>HYPERLINK("http://www.otzar.org/book.asp?627165","קונטרס שלמי הזמן")</f>
        <v>קונטרס שלמי הזמן</v>
      </c>
    </row>
    <row r="38261" spans="1:6" x14ac:dyDescent="0.2">
      <c r="A38261" t="s">
        <v>58736</v>
      </c>
      <c r="B38261" t="s">
        <v>58737</v>
      </c>
      <c r="C38261" t="s">
        <v>151</v>
      </c>
      <c r="D38261" t="s">
        <v>152</v>
      </c>
      <c r="F38261" s="2" t="str">
        <f>HYPERLINK("http://www.otzar.org/book.asp?617810","קונטרס שלמי חיים")</f>
        <v>קונטרס שלמי חיים</v>
      </c>
    </row>
    <row r="38262" spans="1:6" x14ac:dyDescent="0.2">
      <c r="A38262" t="s">
        <v>58738</v>
      </c>
      <c r="B38262" t="s">
        <v>58739</v>
      </c>
      <c r="C38262" t="s">
        <v>133</v>
      </c>
      <c r="D38262" t="s">
        <v>90</v>
      </c>
      <c r="E38262" t="s">
        <v>144</v>
      </c>
      <c r="F38262" s="2" t="str">
        <f>HYPERLINK("http://www.otzar.org/book.asp?179587","קונטרס שלמי יוסף - 2 כר'")</f>
        <v>קונטרס שלמי יוסף - 2 כר'</v>
      </c>
    </row>
    <row r="38263" spans="1:6" x14ac:dyDescent="0.2">
      <c r="A38263" t="s">
        <v>58740</v>
      </c>
      <c r="B38263" t="s">
        <v>24574</v>
      </c>
      <c r="C38263" t="s">
        <v>422</v>
      </c>
      <c r="D38263" t="s">
        <v>14</v>
      </c>
      <c r="E38263" t="s">
        <v>241</v>
      </c>
      <c r="F38263" s="2" t="str">
        <f>HYPERLINK("http://www.otzar.org/book.asp?85735","קונטרס שלמי יוסף")</f>
        <v>קונטרס שלמי יוסף</v>
      </c>
    </row>
    <row r="38264" spans="1:6" x14ac:dyDescent="0.2">
      <c r="A38264" t="s">
        <v>58741</v>
      </c>
      <c r="B38264" t="s">
        <v>58742</v>
      </c>
      <c r="C38264" t="s">
        <v>68</v>
      </c>
      <c r="D38264" t="s">
        <v>58743</v>
      </c>
      <c r="E38264" t="s">
        <v>144</v>
      </c>
      <c r="F38264" s="2" t="str">
        <f>HYPERLINK("http://www.otzar.org/book.asp?606061","קונטרס שלמי משה - 7 כר'")</f>
        <v>קונטרס שלמי משה - 7 כר'</v>
      </c>
    </row>
    <row r="38265" spans="1:6" x14ac:dyDescent="0.2">
      <c r="A38265" t="s">
        <v>58744</v>
      </c>
      <c r="B38265" t="s">
        <v>19614</v>
      </c>
      <c r="C38265" t="s">
        <v>13</v>
      </c>
      <c r="D38265" t="s">
        <v>14</v>
      </c>
      <c r="F38265" s="2" t="str">
        <f>HYPERLINK("http://www.otzar.org/book.asp?161563","קונטרס שלמי ציבור")</f>
        <v>קונטרס שלמי ציבור</v>
      </c>
    </row>
    <row r="38266" spans="1:6" x14ac:dyDescent="0.2">
      <c r="A38266" t="s">
        <v>58745</v>
      </c>
      <c r="B38266" t="s">
        <v>58746</v>
      </c>
      <c r="C38266" t="s">
        <v>244</v>
      </c>
      <c r="D38266" t="s">
        <v>52</v>
      </c>
      <c r="E38266" t="s">
        <v>15</v>
      </c>
      <c r="F38266" s="2" t="str">
        <f>HYPERLINK("http://www.otzar.org/book.asp?195197","קונטרס שלמי שמחה")</f>
        <v>קונטרס שלמי שמחה</v>
      </c>
    </row>
    <row r="38267" spans="1:6" x14ac:dyDescent="0.2">
      <c r="A38267" t="s">
        <v>58747</v>
      </c>
      <c r="B38267" t="s">
        <v>41875</v>
      </c>
      <c r="C38267" t="s">
        <v>553</v>
      </c>
      <c r="D38267" t="s">
        <v>52</v>
      </c>
      <c r="E38267" t="s">
        <v>1157</v>
      </c>
      <c r="F38267" s="2" t="str">
        <f>HYPERLINK("http://www.otzar.org/book.asp?159966","קונטרס שלמי תודה - ירידת המן, לחם משנה, זורע בשבת")</f>
        <v>קונטרס שלמי תודה - ירידת המן, לחם משנה, זורע בשבת</v>
      </c>
    </row>
    <row r="38268" spans="1:6" x14ac:dyDescent="0.2">
      <c r="A38268" t="s">
        <v>58748</v>
      </c>
      <c r="B38268" t="s">
        <v>41875</v>
      </c>
      <c r="C38268" t="s">
        <v>244</v>
      </c>
      <c r="D38268" t="s">
        <v>52</v>
      </c>
      <c r="F38268" s="2" t="str">
        <f>HYPERLINK("http://www.otzar.org/book.asp?198757","קונטרס שלמים מציון")</f>
        <v>קונטרס שלמים מציון</v>
      </c>
    </row>
    <row r="38269" spans="1:6" x14ac:dyDescent="0.2">
      <c r="A38269" t="s">
        <v>58749</v>
      </c>
      <c r="B38269" t="s">
        <v>58750</v>
      </c>
      <c r="C38269" t="s">
        <v>129</v>
      </c>
      <c r="D38269" t="s">
        <v>14</v>
      </c>
      <c r="E38269" t="s">
        <v>172</v>
      </c>
      <c r="F38269" s="2" t="str">
        <f>HYPERLINK("http://www.otzar.org/book.asp?152700","קונטרס שם כתוב - 3 כר'")</f>
        <v>קונטרס שם כתוב - 3 כר'</v>
      </c>
    </row>
    <row r="38270" spans="1:6" x14ac:dyDescent="0.2">
      <c r="A38270" t="s">
        <v>58751</v>
      </c>
      <c r="B38270" t="s">
        <v>22300</v>
      </c>
      <c r="C38270" t="s">
        <v>114</v>
      </c>
      <c r="D38270" t="s">
        <v>14</v>
      </c>
      <c r="F38270" s="2" t="str">
        <f>HYPERLINK("http://www.otzar.org/book.asp?157605","קונטרס שם שאול")</f>
        <v>קונטרס שם שאול</v>
      </c>
    </row>
    <row r="38271" spans="1:6" x14ac:dyDescent="0.2">
      <c r="A38271" t="s">
        <v>58752</v>
      </c>
      <c r="B38271" t="s">
        <v>1385</v>
      </c>
      <c r="C38271" t="s">
        <v>2132</v>
      </c>
      <c r="D38271" t="s">
        <v>646</v>
      </c>
      <c r="E38271" t="s">
        <v>154</v>
      </c>
      <c r="F38271" s="2" t="str">
        <f>HYPERLINK("http://www.otzar.org/book.asp?155404","קונטרס שמונה תשובות")</f>
        <v>קונטרס שמונה תשובות</v>
      </c>
    </row>
    <row r="38272" spans="1:6" x14ac:dyDescent="0.2">
      <c r="A38272" t="s">
        <v>58753</v>
      </c>
      <c r="B38272" t="s">
        <v>24958</v>
      </c>
      <c r="C38272" t="s">
        <v>114</v>
      </c>
      <c r="D38272" t="s">
        <v>21</v>
      </c>
      <c r="E38272" t="s">
        <v>15</v>
      </c>
      <c r="F38272" s="2" t="str">
        <f>HYPERLINK("http://www.otzar.org/book.asp?196819","קונטרס שמות בארץ")</f>
        <v>קונטרס שמות בארץ</v>
      </c>
    </row>
    <row r="38273" spans="1:6" x14ac:dyDescent="0.2">
      <c r="A38273" t="s">
        <v>58754</v>
      </c>
      <c r="C38273" t="s">
        <v>244</v>
      </c>
      <c r="D38273" t="s">
        <v>90</v>
      </c>
      <c r="E38273" t="s">
        <v>104</v>
      </c>
      <c r="F38273" s="2" t="str">
        <f>HYPERLINK("http://www.otzar.org/book.asp?604620","קונטרס שמח תשמח")</f>
        <v>קונטרס שמח תשמח</v>
      </c>
    </row>
    <row r="38274" spans="1:6" x14ac:dyDescent="0.2">
      <c r="A38274" t="s">
        <v>58755</v>
      </c>
      <c r="B38274" t="s">
        <v>58756</v>
      </c>
      <c r="C38274" t="s">
        <v>23</v>
      </c>
      <c r="D38274" t="s">
        <v>21</v>
      </c>
      <c r="E38274" t="s">
        <v>119</v>
      </c>
      <c r="F38274" s="2" t="str">
        <f>HYPERLINK("http://www.otzar.org/book.asp?197739","קונטרס שמחה לאיש")</f>
        <v>קונטרס שמחה לאיש</v>
      </c>
    </row>
    <row r="38275" spans="1:6" x14ac:dyDescent="0.2">
      <c r="A38275" t="s">
        <v>58757</v>
      </c>
      <c r="B38275" t="s">
        <v>58758</v>
      </c>
      <c r="C38275" t="s">
        <v>13</v>
      </c>
      <c r="D38275" t="s">
        <v>52</v>
      </c>
      <c r="E38275" t="s">
        <v>104</v>
      </c>
      <c r="F38275" s="2" t="str">
        <f>HYPERLINK("http://www.otzar.org/book.asp?161551","קונטרס שמחת אליהו בעניני שלום בית")</f>
        <v>קונטרס שמחת אליהו בעניני שלום בית</v>
      </c>
    </row>
    <row r="38276" spans="1:6" x14ac:dyDescent="0.2">
      <c r="A38276" t="s">
        <v>58759</v>
      </c>
      <c r="B38276" t="s">
        <v>58760</v>
      </c>
      <c r="C38276" t="s">
        <v>71</v>
      </c>
      <c r="D38276" t="s">
        <v>14</v>
      </c>
      <c r="E38276" t="s">
        <v>84</v>
      </c>
      <c r="F38276" s="2" t="str">
        <f>HYPERLINK("http://www.otzar.org/book.asp?144424","קונטרס שמחת דוד")</f>
        <v>קונטרס שמחת דוד</v>
      </c>
    </row>
    <row r="38277" spans="1:6" x14ac:dyDescent="0.2">
      <c r="A38277" t="s">
        <v>58759</v>
      </c>
      <c r="B38277" t="s">
        <v>58638</v>
      </c>
      <c r="C38277" t="s">
        <v>13</v>
      </c>
      <c r="D38277" t="s">
        <v>14</v>
      </c>
      <c r="E38277" t="s">
        <v>144</v>
      </c>
      <c r="F38277" s="2" t="str">
        <f>HYPERLINK("http://www.otzar.org/book.asp?163127","קונטרס שמחת דוד")</f>
        <v>קונטרס שמחת דוד</v>
      </c>
    </row>
    <row r="38278" spans="1:6" x14ac:dyDescent="0.2">
      <c r="A38278" t="s">
        <v>58761</v>
      </c>
      <c r="B38278" t="s">
        <v>58762</v>
      </c>
      <c r="C38278" t="s">
        <v>422</v>
      </c>
      <c r="D38278" t="s">
        <v>52</v>
      </c>
      <c r="E38278" t="s">
        <v>2840</v>
      </c>
      <c r="F38278" s="2" t="str">
        <f>HYPERLINK("http://www.otzar.org/book.asp?160571","קונטרס שמחת הבר מצוה של אי""ש ויספיש")</f>
        <v>קונטרס שמחת הבר מצוה של אי"ש ויספיש</v>
      </c>
    </row>
    <row r="38279" spans="1:6" x14ac:dyDescent="0.2">
      <c r="A38279" t="s">
        <v>58763</v>
      </c>
      <c r="B38279" t="s">
        <v>58764</v>
      </c>
      <c r="C38279" t="s">
        <v>422</v>
      </c>
      <c r="D38279" t="s">
        <v>14</v>
      </c>
      <c r="E38279" t="s">
        <v>15</v>
      </c>
      <c r="F38279" s="2" t="str">
        <f>HYPERLINK("http://www.otzar.org/book.asp?193598","קונטרס שמחת הלב - 2 כר'")</f>
        <v>קונטרס שמחת הלב - 2 כר'</v>
      </c>
    </row>
    <row r="38280" spans="1:6" x14ac:dyDescent="0.2">
      <c r="A38280" t="s">
        <v>58765</v>
      </c>
      <c r="B38280" t="s">
        <v>58766</v>
      </c>
      <c r="C38280" t="s">
        <v>20</v>
      </c>
      <c r="D38280" t="s">
        <v>90</v>
      </c>
      <c r="F38280" s="2" t="str">
        <f>HYPERLINK("http://www.otzar.org/book.asp?616168","קונטרס שמחת יונתן")</f>
        <v>קונטרס שמחת יונתן</v>
      </c>
    </row>
    <row r="38281" spans="1:6" x14ac:dyDescent="0.2">
      <c r="A38281" t="s">
        <v>58767</v>
      </c>
      <c r="B38281" t="s">
        <v>38053</v>
      </c>
      <c r="C38281" t="s">
        <v>68</v>
      </c>
      <c r="D38281" t="s">
        <v>52</v>
      </c>
      <c r="E38281" t="s">
        <v>1211</v>
      </c>
      <c r="F38281" s="2" t="str">
        <f>HYPERLINK("http://www.otzar.org/book.asp?163434","קונטרס שמחת לב")</f>
        <v>קונטרס שמחת לב</v>
      </c>
    </row>
    <row r="38282" spans="1:6" x14ac:dyDescent="0.2">
      <c r="A38282" t="s">
        <v>58768</v>
      </c>
      <c r="B38282" t="s">
        <v>58769</v>
      </c>
      <c r="C38282" t="s">
        <v>20</v>
      </c>
      <c r="D38282" t="s">
        <v>52</v>
      </c>
      <c r="F38282" s="2" t="str">
        <f>HYPERLINK("http://www.otzar.org/book.asp?609064","קונטרס שמחת מנחם")</f>
        <v>קונטרס שמחת מנחם</v>
      </c>
    </row>
    <row r="38283" spans="1:6" x14ac:dyDescent="0.2">
      <c r="A38283" t="s">
        <v>58770</v>
      </c>
      <c r="B38283" t="s">
        <v>4437</v>
      </c>
      <c r="E38283" t="s">
        <v>202</v>
      </c>
      <c r="F38283" s="2" t="str">
        <f>HYPERLINK("http://www.otzar.org/book.asp?193444","קונטרס שמחת מרדכי")</f>
        <v>קונטרס שמחת מרדכי</v>
      </c>
    </row>
    <row r="38284" spans="1:6" x14ac:dyDescent="0.2">
      <c r="A38284" t="s">
        <v>58771</v>
      </c>
      <c r="B38284" t="s">
        <v>22348</v>
      </c>
      <c r="C38284" t="s">
        <v>20</v>
      </c>
      <c r="D38284" t="s">
        <v>1356</v>
      </c>
      <c r="E38284" t="s">
        <v>246</v>
      </c>
      <c r="F38284" s="2" t="str">
        <f>HYPERLINK("http://www.otzar.org/book.asp?626161","קונטרס שמחת משה וסדר זמירות לשבת קודש")</f>
        <v>קונטרס שמחת משה וסדר זמירות לשבת קודש</v>
      </c>
    </row>
    <row r="38285" spans="1:6" x14ac:dyDescent="0.2">
      <c r="A38285" t="s">
        <v>58772</v>
      </c>
      <c r="B38285" t="s">
        <v>40835</v>
      </c>
      <c r="C38285" t="s">
        <v>332</v>
      </c>
      <c r="D38285" t="s">
        <v>412</v>
      </c>
      <c r="F38285" s="2" t="str">
        <f>HYPERLINK("http://www.otzar.org/book.asp?196453","קונטרס שמחת שלום")</f>
        <v>קונטרס שמחת שלום</v>
      </c>
    </row>
    <row r="38286" spans="1:6" x14ac:dyDescent="0.2">
      <c r="A38286" t="s">
        <v>58773</v>
      </c>
      <c r="B38286" t="s">
        <v>2500</v>
      </c>
      <c r="C38286" t="s">
        <v>332</v>
      </c>
      <c r="D38286" t="s">
        <v>412</v>
      </c>
      <c r="E38286" t="s">
        <v>15</v>
      </c>
      <c r="F38286" s="2" t="str">
        <f>HYPERLINK("http://www.otzar.org/book.asp?604922","קונטרס שמחת שלום - א")</f>
        <v>קונטרס שמחת שלום - א</v>
      </c>
    </row>
    <row r="38287" spans="1:6" x14ac:dyDescent="0.2">
      <c r="A38287" t="s">
        <v>58772</v>
      </c>
      <c r="B38287" t="s">
        <v>58774</v>
      </c>
      <c r="C38287" t="s">
        <v>103</v>
      </c>
      <c r="D38287" t="s">
        <v>20</v>
      </c>
      <c r="E38287" t="s">
        <v>158</v>
      </c>
      <c r="F38287" s="2" t="str">
        <f>HYPERLINK("http://www.otzar.org/book.asp?188848","קונטרס שמחת שלום")</f>
        <v>קונטרס שמחת שלום</v>
      </c>
    </row>
    <row r="38288" spans="1:6" x14ac:dyDescent="0.2">
      <c r="A38288" t="s">
        <v>58775</v>
      </c>
      <c r="B38288" t="s">
        <v>3768</v>
      </c>
      <c r="C38288" t="s">
        <v>20</v>
      </c>
      <c r="D38288" t="s">
        <v>367</v>
      </c>
      <c r="E38288" t="s">
        <v>15</v>
      </c>
      <c r="F38288" s="2" t="str">
        <f>HYPERLINK("http://www.otzar.org/book.asp?194269","קונטרס שמיטה כמצוותה - 3 כר'")</f>
        <v>קונטרס שמיטה כמצוותה - 3 כר'</v>
      </c>
    </row>
    <row r="38289" spans="1:6" x14ac:dyDescent="0.2">
      <c r="A38289" t="s">
        <v>58776</v>
      </c>
      <c r="B38289" t="s">
        <v>58777</v>
      </c>
      <c r="C38289" t="s">
        <v>23</v>
      </c>
      <c r="D38289" t="s">
        <v>1840</v>
      </c>
      <c r="E38289" t="s">
        <v>15</v>
      </c>
      <c r="F38289" s="2" t="str">
        <f>HYPERLINK("http://www.otzar.org/book.asp?192852","קונטרס שמיטת כספים ופרוזבול")</f>
        <v>קונטרס שמיטת כספים ופרוזבול</v>
      </c>
    </row>
    <row r="38290" spans="1:6" x14ac:dyDescent="0.2">
      <c r="A38290" t="s">
        <v>58778</v>
      </c>
      <c r="B38290" t="s">
        <v>58779</v>
      </c>
      <c r="C38290" t="s">
        <v>20</v>
      </c>
      <c r="D38290" t="s">
        <v>90</v>
      </c>
      <c r="E38290" t="s">
        <v>15</v>
      </c>
      <c r="F38290" s="2" t="str">
        <f>HYPERLINK("http://www.otzar.org/book.asp?628071","קונטרס שמירת דבורים")</f>
        <v>קונטרס שמירת דבורים</v>
      </c>
    </row>
    <row r="38291" spans="1:6" x14ac:dyDescent="0.2">
      <c r="A38291" t="s">
        <v>58780</v>
      </c>
      <c r="B38291" t="s">
        <v>58781</v>
      </c>
      <c r="C38291" t="s">
        <v>20</v>
      </c>
      <c r="D38291" t="s">
        <v>14</v>
      </c>
      <c r="E38291" t="s">
        <v>15</v>
      </c>
      <c r="F38291" s="2" t="str">
        <f>HYPERLINK("http://www.otzar.org/book.asp?142924","קונטרס שמירת הלשון - 3 כר'")</f>
        <v>קונטרס שמירת הלשון - 3 כר'</v>
      </c>
    </row>
    <row r="38292" spans="1:6" x14ac:dyDescent="0.2">
      <c r="A38292" t="s">
        <v>58782</v>
      </c>
      <c r="B38292" t="s">
        <v>58783</v>
      </c>
      <c r="C38292" t="s">
        <v>20</v>
      </c>
      <c r="D38292" t="s">
        <v>245</v>
      </c>
      <c r="E38292" t="s">
        <v>241</v>
      </c>
      <c r="F38292" s="2" t="str">
        <f>HYPERLINK("http://www.otzar.org/book.asp?21797","קונטרס שמירת הלשון")</f>
        <v>קונטרס שמירת הלשון</v>
      </c>
    </row>
    <row r="38293" spans="1:6" x14ac:dyDescent="0.2">
      <c r="A38293" t="s">
        <v>58784</v>
      </c>
      <c r="B38293" t="s">
        <v>58785</v>
      </c>
      <c r="C38293" t="s">
        <v>133</v>
      </c>
      <c r="D38293" t="s">
        <v>152</v>
      </c>
      <c r="E38293" t="s">
        <v>803</v>
      </c>
      <c r="F38293" s="2" t="str">
        <f>HYPERLINK("http://www.otzar.org/book.asp?172905","קונטרס שמירת השבת - בסיס לדבר האסור")</f>
        <v>קונטרס שמירת השבת - בסיס לדבר האסור</v>
      </c>
    </row>
    <row r="38294" spans="1:6" x14ac:dyDescent="0.2">
      <c r="A38294" t="s">
        <v>58786</v>
      </c>
      <c r="B38294" t="s">
        <v>3949</v>
      </c>
      <c r="C38294" t="s">
        <v>17</v>
      </c>
      <c r="D38294" t="s">
        <v>423</v>
      </c>
      <c r="E38294" t="s">
        <v>15</v>
      </c>
      <c r="F38294" s="2" t="str">
        <f>HYPERLINK("http://www.otzar.org/book.asp?191272","קונטרס שמירת שביעית כהלכתה")</f>
        <v>קונטרס שמירת שביעית כהלכתה</v>
      </c>
    </row>
    <row r="38295" spans="1:6" x14ac:dyDescent="0.2">
      <c r="A38295" t="s">
        <v>58787</v>
      </c>
      <c r="B38295" t="s">
        <v>12210</v>
      </c>
      <c r="C38295" t="s">
        <v>37</v>
      </c>
      <c r="D38295" t="s">
        <v>14</v>
      </c>
      <c r="E38295" t="s">
        <v>15</v>
      </c>
      <c r="F38295" s="2" t="str">
        <f>HYPERLINK("http://www.otzar.org/book.asp?178909","קונטרס שמירת שבת - הלכה סדורה")</f>
        <v>קונטרס שמירת שבת - הלכה סדורה</v>
      </c>
    </row>
    <row r="38296" spans="1:6" x14ac:dyDescent="0.2">
      <c r="A38296" t="s">
        <v>58788</v>
      </c>
      <c r="B38296" t="s">
        <v>206</v>
      </c>
      <c r="C38296" t="s">
        <v>151</v>
      </c>
      <c r="D38296" t="s">
        <v>52</v>
      </c>
      <c r="F38296" s="2" t="str">
        <f>HYPERLINK("http://www.otzar.org/book.asp?610721","קונטרס שמן המור")</f>
        <v>קונטרס שמן המור</v>
      </c>
    </row>
    <row r="38297" spans="1:6" x14ac:dyDescent="0.2">
      <c r="A38297" t="s">
        <v>58789</v>
      </c>
      <c r="B38297" t="s">
        <v>23249</v>
      </c>
      <c r="C38297" t="s">
        <v>26</v>
      </c>
      <c r="D38297" t="s">
        <v>412</v>
      </c>
      <c r="F38297" s="2" t="str">
        <f>HYPERLINK("http://www.otzar.org/book.asp?615339","קונטרס שמן למאור")</f>
        <v>קונטרס שמן למאור</v>
      </c>
    </row>
    <row r="38298" spans="1:6" x14ac:dyDescent="0.2">
      <c r="A38298" t="s">
        <v>58790</v>
      </c>
      <c r="B38298" t="s">
        <v>58791</v>
      </c>
      <c r="C38298" t="s">
        <v>51</v>
      </c>
      <c r="D38298" t="s">
        <v>412</v>
      </c>
      <c r="E38298" t="s">
        <v>467</v>
      </c>
      <c r="F38298" s="2" t="str">
        <f>HYPERLINK("http://www.otzar.org/book.asp?156849","קונטרס שמע אפרים")</f>
        <v>קונטרס שמע אפרים</v>
      </c>
    </row>
    <row r="38299" spans="1:6" x14ac:dyDescent="0.2">
      <c r="A38299" t="s">
        <v>58792</v>
      </c>
      <c r="B38299" t="s">
        <v>58793</v>
      </c>
      <c r="C38299" t="s">
        <v>114</v>
      </c>
      <c r="D38299" t="s">
        <v>14</v>
      </c>
      <c r="E38299" t="s">
        <v>1211</v>
      </c>
      <c r="F38299" s="2" t="str">
        <f>HYPERLINK("http://www.otzar.org/book.asp?162357","קונטרס שמע ישראל - ט")</f>
        <v>קונטרס שמע ישראל - ט</v>
      </c>
    </row>
    <row r="38300" spans="1:6" x14ac:dyDescent="0.2">
      <c r="A38300" t="s">
        <v>58794</v>
      </c>
      <c r="B38300" t="s">
        <v>58795</v>
      </c>
      <c r="C38300" t="s">
        <v>46</v>
      </c>
      <c r="D38300" t="s">
        <v>260</v>
      </c>
      <c r="E38300" t="s">
        <v>202</v>
      </c>
      <c r="F38300" s="2" t="str">
        <f>HYPERLINK("http://www.otzar.org/book.asp?603809","קונטרס שמע שלמה")</f>
        <v>קונטרס שמע שלמה</v>
      </c>
    </row>
    <row r="38301" spans="1:6" x14ac:dyDescent="0.2">
      <c r="A38301" t="s">
        <v>58796</v>
      </c>
      <c r="B38301" t="s">
        <v>54700</v>
      </c>
      <c r="C38301" t="s">
        <v>20</v>
      </c>
      <c r="D38301" t="s">
        <v>90</v>
      </c>
      <c r="F38301" s="2" t="str">
        <f>HYPERLINK("http://www.otzar.org/book.asp?612214","קונטרס שמעתא דמציעתא")</f>
        <v>קונטרס שמעתא דמציעתא</v>
      </c>
    </row>
    <row r="38302" spans="1:6" x14ac:dyDescent="0.2">
      <c r="A38302" t="s">
        <v>58797</v>
      </c>
      <c r="B38302" t="s">
        <v>58798</v>
      </c>
      <c r="C38302" t="s">
        <v>422</v>
      </c>
      <c r="D38302" t="s">
        <v>90</v>
      </c>
      <c r="E38302" t="s">
        <v>1211</v>
      </c>
      <c r="F38302" s="2" t="str">
        <f>HYPERLINK("http://www.otzar.org/book.asp?168352","קונטרס שמעתא דספק ספיקא")</f>
        <v>קונטרס שמעתא דספק ספיקא</v>
      </c>
    </row>
    <row r="38303" spans="1:6" x14ac:dyDescent="0.2">
      <c r="A38303" t="s">
        <v>58799</v>
      </c>
      <c r="B38303" t="s">
        <v>206</v>
      </c>
      <c r="C38303" t="s">
        <v>20</v>
      </c>
      <c r="D38303" t="s">
        <v>90</v>
      </c>
      <c r="E38303" t="s">
        <v>144</v>
      </c>
      <c r="F38303" s="2" t="str">
        <f>HYPERLINK("http://www.otzar.org/book.asp?181928","קונטרס שמעתתא דגזילה")</f>
        <v>קונטרס שמעתתא דגזילה</v>
      </c>
    </row>
    <row r="38304" spans="1:6" x14ac:dyDescent="0.2">
      <c r="A38304" t="s">
        <v>58799</v>
      </c>
      <c r="B38304" t="s">
        <v>4019</v>
      </c>
      <c r="C38304" t="s">
        <v>37</v>
      </c>
      <c r="D38304" t="s">
        <v>14</v>
      </c>
      <c r="E38304" t="s">
        <v>144</v>
      </c>
      <c r="F38304" s="2" t="str">
        <f>HYPERLINK("http://www.otzar.org/book.asp?600806","קונטרס שמעתתא דגזילה")</f>
        <v>קונטרס שמעתתא דגזילה</v>
      </c>
    </row>
    <row r="38305" spans="1:6" x14ac:dyDescent="0.2">
      <c r="A38305" t="s">
        <v>58800</v>
      </c>
      <c r="B38305" t="s">
        <v>46339</v>
      </c>
      <c r="C38305" t="s">
        <v>151</v>
      </c>
      <c r="D38305" t="s">
        <v>14</v>
      </c>
      <c r="E38305" t="s">
        <v>144</v>
      </c>
      <c r="F38305" s="2" t="str">
        <f>HYPERLINK("http://www.otzar.org/book.asp?625448","קונטרס שמעתתא דכתובות ומכות")</f>
        <v>קונטרס שמעתתא דכתובות ומכות</v>
      </c>
    </row>
    <row r="38306" spans="1:6" x14ac:dyDescent="0.2">
      <c r="A38306" t="s">
        <v>58801</v>
      </c>
      <c r="B38306" t="s">
        <v>49004</v>
      </c>
      <c r="C38306" t="s">
        <v>37</v>
      </c>
      <c r="D38306" t="s">
        <v>52</v>
      </c>
      <c r="E38306" t="s">
        <v>144</v>
      </c>
      <c r="F38306" s="2" t="str">
        <f>HYPERLINK("http://www.otzar.org/book.asp?614897","קונטרס שמעתתא דמגילה")</f>
        <v>קונטרס שמעתתא דמגילה</v>
      </c>
    </row>
    <row r="38307" spans="1:6" x14ac:dyDescent="0.2">
      <c r="A38307" t="s">
        <v>58802</v>
      </c>
      <c r="B38307" t="s">
        <v>7176</v>
      </c>
      <c r="C38307" t="s">
        <v>20</v>
      </c>
      <c r="D38307" t="s">
        <v>90</v>
      </c>
      <c r="F38307" s="2" t="str">
        <f>HYPERLINK("http://www.otzar.org/book.asp?181895","קונטרס שמעתתא דמזוזה")</f>
        <v>קונטרס שמעתתא דמזוזה</v>
      </c>
    </row>
    <row r="38308" spans="1:6" x14ac:dyDescent="0.2">
      <c r="A38308" t="s">
        <v>58803</v>
      </c>
      <c r="B38308" t="s">
        <v>58804</v>
      </c>
      <c r="C38308" t="s">
        <v>244</v>
      </c>
      <c r="D38308" t="s">
        <v>14</v>
      </c>
      <c r="E38308" t="s">
        <v>15</v>
      </c>
      <c r="F38308" s="2" t="str">
        <f>HYPERLINK("http://www.otzar.org/book.asp?623555","קונטרס שמש ינון - 2 כר'")</f>
        <v>קונטרס שמש ינון - 2 כר'</v>
      </c>
    </row>
    <row r="38309" spans="1:6" x14ac:dyDescent="0.2">
      <c r="A38309" t="s">
        <v>58805</v>
      </c>
      <c r="B38309" t="s">
        <v>58018</v>
      </c>
      <c r="C38309" t="s">
        <v>244</v>
      </c>
      <c r="D38309" t="s">
        <v>21</v>
      </c>
      <c r="E38309" t="s">
        <v>733</v>
      </c>
      <c r="F38309" s="2" t="str">
        <f>HYPERLINK("http://www.otzar.org/book.asp?626712","קונטרס שמש צדקה")</f>
        <v>קונטרס שמש צדקה</v>
      </c>
    </row>
    <row r="38310" spans="1:6" x14ac:dyDescent="0.2">
      <c r="A38310" t="s">
        <v>58806</v>
      </c>
      <c r="B38310" t="s">
        <v>2074</v>
      </c>
      <c r="C38310" t="s">
        <v>624</v>
      </c>
      <c r="D38310" t="s">
        <v>14</v>
      </c>
      <c r="E38310" t="s">
        <v>119</v>
      </c>
      <c r="F38310" s="2" t="str">
        <f>HYPERLINK("http://www.otzar.org/book.asp?150362","קונטרס שנות חיים")</f>
        <v>קונטרס שנות חיים</v>
      </c>
    </row>
    <row r="38311" spans="1:6" x14ac:dyDescent="0.2">
      <c r="A38311" t="s">
        <v>58807</v>
      </c>
      <c r="B38311" t="s">
        <v>5797</v>
      </c>
      <c r="C38311" t="s">
        <v>366</v>
      </c>
      <c r="D38311" t="s">
        <v>5798</v>
      </c>
      <c r="E38311" t="s">
        <v>144</v>
      </c>
      <c r="F38311" s="2" t="str">
        <f>HYPERLINK("http://www.otzar.org/book.asp?607138","קונטרס שני שבילין")</f>
        <v>קונטרס שני שבילין</v>
      </c>
    </row>
    <row r="38312" spans="1:6" x14ac:dyDescent="0.2">
      <c r="A38312" t="s">
        <v>58808</v>
      </c>
      <c r="B38312" t="s">
        <v>58809</v>
      </c>
      <c r="C38312" t="s">
        <v>356</v>
      </c>
      <c r="D38312" t="s">
        <v>52</v>
      </c>
      <c r="E38312" t="s">
        <v>130</v>
      </c>
      <c r="F38312" s="2" t="str">
        <f>HYPERLINK("http://www.otzar.org/book.asp?617352","קונטרס שני שרי קדש")</f>
        <v>קונטרס שני שרי קדש</v>
      </c>
    </row>
    <row r="38313" spans="1:6" x14ac:dyDescent="0.2">
      <c r="A38313" t="s">
        <v>58810</v>
      </c>
      <c r="B38313" t="s">
        <v>58811</v>
      </c>
      <c r="C38313" t="s">
        <v>189</v>
      </c>
      <c r="D38313" t="s">
        <v>90</v>
      </c>
      <c r="E38313" t="s">
        <v>674</v>
      </c>
      <c r="F38313" s="2" t="str">
        <f>HYPERLINK("http://www.otzar.org/book.asp?163506","קונטרס שנת העיבור")</f>
        <v>קונטרס שנת העיבור</v>
      </c>
    </row>
    <row r="38314" spans="1:6" x14ac:dyDescent="0.2">
      <c r="A38314" t="s">
        <v>58812</v>
      </c>
      <c r="B38314" t="s">
        <v>54933</v>
      </c>
      <c r="C38314" t="s">
        <v>23</v>
      </c>
      <c r="D38314" t="s">
        <v>21</v>
      </c>
      <c r="F38314" s="2" t="str">
        <f>HYPERLINK("http://www.otzar.org/book.asp?193479","קונטרס שנת השבע")</f>
        <v>קונטרס שנת השבע</v>
      </c>
    </row>
    <row r="38315" spans="1:6" x14ac:dyDescent="0.2">
      <c r="A38315" t="s">
        <v>58812</v>
      </c>
      <c r="B38315" t="s">
        <v>58813</v>
      </c>
      <c r="C38315" t="s">
        <v>23</v>
      </c>
      <c r="D38315" t="s">
        <v>90</v>
      </c>
      <c r="F38315" s="2" t="str">
        <f>HYPERLINK("http://www.otzar.org/book.asp?197679","קונטרס שנת השבע")</f>
        <v>קונטרס שנת השבע</v>
      </c>
    </row>
    <row r="38316" spans="1:6" x14ac:dyDescent="0.2">
      <c r="A38316" t="s">
        <v>58814</v>
      </c>
      <c r="B38316" t="s">
        <v>55700</v>
      </c>
      <c r="C38316" t="s">
        <v>37</v>
      </c>
      <c r="D38316" t="s">
        <v>7116</v>
      </c>
      <c r="E38316" t="s">
        <v>15</v>
      </c>
      <c r="F38316" s="2" t="str">
        <f>HYPERLINK("http://www.otzar.org/book.asp?198037","קונטרס שנת השמיטה")</f>
        <v>קונטרס שנת השמיטה</v>
      </c>
    </row>
    <row r="38317" spans="1:6" x14ac:dyDescent="0.2">
      <c r="A38317" t="s">
        <v>58815</v>
      </c>
      <c r="B38317" t="s">
        <v>12388</v>
      </c>
      <c r="C38317" t="s">
        <v>20</v>
      </c>
      <c r="D38317" t="s">
        <v>367</v>
      </c>
      <c r="F38317" s="2" t="str">
        <f>HYPERLINK("http://www.otzar.org/book.asp?179600","קונטרס שעוני מים בשבת")</f>
        <v>קונטרס שעוני מים בשבת</v>
      </c>
    </row>
    <row r="38318" spans="1:6" x14ac:dyDescent="0.2">
      <c r="A38318" t="s">
        <v>58816</v>
      </c>
      <c r="B38318" t="s">
        <v>58817</v>
      </c>
      <c r="C38318" t="s">
        <v>151</v>
      </c>
      <c r="D38318" t="s">
        <v>14</v>
      </c>
      <c r="E38318" t="s">
        <v>130</v>
      </c>
      <c r="F38318" s="2" t="str">
        <f>HYPERLINK("http://www.otzar.org/book.asp?611821","קונטרס שעיר המשתלח")</f>
        <v>קונטרס שעיר המשתלח</v>
      </c>
    </row>
    <row r="38319" spans="1:6" x14ac:dyDescent="0.2">
      <c r="A38319" t="s">
        <v>58818</v>
      </c>
      <c r="B38319" t="s">
        <v>54710</v>
      </c>
      <c r="C38319" t="s">
        <v>103</v>
      </c>
      <c r="D38319" t="s">
        <v>52</v>
      </c>
      <c r="E38319" t="s">
        <v>803</v>
      </c>
      <c r="F38319" s="2" t="str">
        <f>HYPERLINK("http://www.otzar.org/book.asp?52990","קונטרס שער בת רבים")</f>
        <v>קונטרס שער בת רבים</v>
      </c>
    </row>
    <row r="38320" spans="1:6" x14ac:dyDescent="0.2">
      <c r="A38320" t="s">
        <v>58819</v>
      </c>
      <c r="B38320" t="s">
        <v>14106</v>
      </c>
      <c r="C38320" t="s">
        <v>20</v>
      </c>
      <c r="D38320" t="s">
        <v>6151</v>
      </c>
      <c r="E38320" t="s">
        <v>241</v>
      </c>
      <c r="F38320" s="2" t="str">
        <f>HYPERLINK("http://www.otzar.org/book.asp?165817","קונטרס שער הבחינה")</f>
        <v>קונטרס שער הבחינה</v>
      </c>
    </row>
    <row r="38321" spans="1:6" x14ac:dyDescent="0.2">
      <c r="A38321" t="s">
        <v>58820</v>
      </c>
      <c r="B38321" t="s">
        <v>58821</v>
      </c>
      <c r="C38321" t="s">
        <v>244</v>
      </c>
      <c r="D38321" t="s">
        <v>52</v>
      </c>
      <c r="E38321" t="s">
        <v>104</v>
      </c>
      <c r="F38321" s="2" t="str">
        <f>HYPERLINK("http://www.otzar.org/book.asp?607507","קונטרס שער המים")</f>
        <v>קונטרס שער המים</v>
      </c>
    </row>
    <row r="38322" spans="1:6" x14ac:dyDescent="0.2">
      <c r="A38322" t="s">
        <v>58822</v>
      </c>
      <c r="B38322" t="s">
        <v>56554</v>
      </c>
      <c r="D38322" t="s">
        <v>4223</v>
      </c>
      <c r="E38322" t="s">
        <v>234</v>
      </c>
      <c r="F38322" s="2" t="str">
        <f>HYPERLINK("http://www.otzar.org/book.asp?604644","קונטרס שער הנו""ן")</f>
        <v>קונטרס שער הנו"ן</v>
      </c>
    </row>
    <row r="38323" spans="1:6" x14ac:dyDescent="0.2">
      <c r="A38323" t="s">
        <v>58823</v>
      </c>
      <c r="B38323" t="s">
        <v>58823</v>
      </c>
      <c r="C38323" t="s">
        <v>20</v>
      </c>
      <c r="D38323" t="s">
        <v>90</v>
      </c>
      <c r="E38323" t="s">
        <v>219</v>
      </c>
      <c r="F38323" s="2" t="str">
        <f>HYPERLINK("http://www.otzar.org/book.asp?166046","קונטרס שער התפלות")</f>
        <v>קונטרס שער התפלות</v>
      </c>
    </row>
    <row r="38324" spans="1:6" x14ac:dyDescent="0.2">
      <c r="A38324" t="s">
        <v>58824</v>
      </c>
      <c r="B38324" t="s">
        <v>58825</v>
      </c>
      <c r="C38324" t="s">
        <v>185</v>
      </c>
      <c r="D38324" t="s">
        <v>52</v>
      </c>
      <c r="E38324" t="s">
        <v>674</v>
      </c>
      <c r="F38324" s="2" t="str">
        <f>HYPERLINK("http://www.otzar.org/book.asp?627964","קונטרס שער יוסף")</f>
        <v>קונטרס שער יוסף</v>
      </c>
    </row>
    <row r="38325" spans="1:6" x14ac:dyDescent="0.2">
      <c r="A38325" t="s">
        <v>58826</v>
      </c>
      <c r="B38325" t="s">
        <v>13305</v>
      </c>
      <c r="C38325" t="s">
        <v>20</v>
      </c>
      <c r="D38325" t="s">
        <v>90</v>
      </c>
      <c r="E38325" t="s">
        <v>241</v>
      </c>
      <c r="F38325" s="2" t="str">
        <f>HYPERLINK("http://www.otzar.org/book.asp?84394","קונטרס שערי אונאה")</f>
        <v>קונטרס שערי אונאה</v>
      </c>
    </row>
    <row r="38326" spans="1:6" x14ac:dyDescent="0.2">
      <c r="A38326" t="s">
        <v>58827</v>
      </c>
      <c r="B38326" t="s">
        <v>58828</v>
      </c>
      <c r="C38326" t="s">
        <v>20</v>
      </c>
      <c r="D38326" t="s">
        <v>90</v>
      </c>
      <c r="E38326" t="s">
        <v>399</v>
      </c>
      <c r="F38326" s="2" t="str">
        <f>HYPERLINK("http://www.otzar.org/book.asp?196826","קונטרס שערי החן")</f>
        <v>קונטרס שערי החן</v>
      </c>
    </row>
    <row r="38327" spans="1:6" x14ac:dyDescent="0.2">
      <c r="A38327" t="s">
        <v>58829</v>
      </c>
      <c r="B38327" t="s">
        <v>58830</v>
      </c>
      <c r="C38327" t="s">
        <v>422</v>
      </c>
      <c r="D38327" t="s">
        <v>52</v>
      </c>
      <c r="E38327" t="s">
        <v>803</v>
      </c>
      <c r="F38327" s="2" t="str">
        <f>HYPERLINK("http://www.otzar.org/book.asp?85741","קונטרס שערי החצר")</f>
        <v>קונטרס שערי החצר</v>
      </c>
    </row>
    <row r="38328" spans="1:6" x14ac:dyDescent="0.2">
      <c r="A38328" t="s">
        <v>58831</v>
      </c>
      <c r="B38328" t="s">
        <v>206</v>
      </c>
      <c r="C38328" t="s">
        <v>37</v>
      </c>
      <c r="D38328" t="s">
        <v>90</v>
      </c>
      <c r="F38328" s="2" t="str">
        <f>HYPERLINK("http://www.otzar.org/book.asp?603197","קונטרס שערי הילולים")</f>
        <v>קונטרס שערי הילולים</v>
      </c>
    </row>
    <row r="38329" spans="1:6" x14ac:dyDescent="0.2">
      <c r="A38329" t="s">
        <v>58832</v>
      </c>
      <c r="B38329" t="s">
        <v>54700</v>
      </c>
      <c r="C38329" t="s">
        <v>422</v>
      </c>
      <c r="D38329" t="s">
        <v>52</v>
      </c>
      <c r="F38329" s="2" t="str">
        <f>HYPERLINK("http://www.otzar.org/book.asp?612218","קונטרס שערי הישיבה")</f>
        <v>קונטרס שערי הישיבה</v>
      </c>
    </row>
    <row r="38330" spans="1:6" x14ac:dyDescent="0.2">
      <c r="A38330" t="s">
        <v>58833</v>
      </c>
      <c r="B38330" t="s">
        <v>58834</v>
      </c>
      <c r="C38330" t="s">
        <v>20</v>
      </c>
      <c r="D38330" t="s">
        <v>90</v>
      </c>
      <c r="E38330" t="s">
        <v>144</v>
      </c>
      <c r="F38330" s="2" t="str">
        <f>HYPERLINK("http://www.otzar.org/book.asp?197723","קונטרס שערי חזקה")</f>
        <v>קונטרס שערי חזקה</v>
      </c>
    </row>
    <row r="38331" spans="1:6" x14ac:dyDescent="0.2">
      <c r="A38331" t="s">
        <v>58835</v>
      </c>
      <c r="B38331" t="s">
        <v>58836</v>
      </c>
      <c r="C38331" t="s">
        <v>189</v>
      </c>
      <c r="D38331" t="s">
        <v>367</v>
      </c>
      <c r="E38331" t="s">
        <v>15</v>
      </c>
      <c r="F38331" s="2" t="str">
        <f>HYPERLINK("http://www.otzar.org/book.asp?180913","קונטרס שערי טהרה")</f>
        <v>קונטרס שערי טהרה</v>
      </c>
    </row>
    <row r="38332" spans="1:6" x14ac:dyDescent="0.2">
      <c r="A38332" t="s">
        <v>58837</v>
      </c>
      <c r="B38332" t="s">
        <v>26944</v>
      </c>
      <c r="C38332" t="s">
        <v>68</v>
      </c>
      <c r="D38332" t="s">
        <v>721</v>
      </c>
      <c r="F38332" s="2" t="str">
        <f>HYPERLINK("http://www.otzar.org/book.asp?197686","קונטרס שערי לימוד")</f>
        <v>קונטרס שערי לימוד</v>
      </c>
    </row>
    <row r="38333" spans="1:6" x14ac:dyDescent="0.2">
      <c r="A38333" t="s">
        <v>58838</v>
      </c>
      <c r="B38333" t="s">
        <v>4263</v>
      </c>
      <c r="C38333" t="s">
        <v>533</v>
      </c>
      <c r="D38333" t="s">
        <v>118</v>
      </c>
      <c r="E38333" t="s">
        <v>703</v>
      </c>
      <c r="F38333" s="2" t="str">
        <f>HYPERLINK("http://www.otzar.org/book.asp?626538","קונטרס שערי נחמה אהל שרה")</f>
        <v>קונטרס שערי נחמה אהל שרה</v>
      </c>
    </row>
    <row r="38334" spans="1:6" x14ac:dyDescent="0.2">
      <c r="A38334" t="s">
        <v>58839</v>
      </c>
      <c r="B38334" t="s">
        <v>58840</v>
      </c>
      <c r="C38334" t="s">
        <v>20</v>
      </c>
      <c r="D38334" t="s">
        <v>90</v>
      </c>
      <c r="F38334" s="2" t="str">
        <f>HYPERLINK("http://www.otzar.org/book.asp?621881","קונטרס שערי סוגיות - 6 כר'")</f>
        <v>קונטרס שערי סוגיות - 6 כר'</v>
      </c>
    </row>
    <row r="38335" spans="1:6" x14ac:dyDescent="0.2">
      <c r="A38335" t="s">
        <v>58841</v>
      </c>
      <c r="B38335" t="s">
        <v>58842</v>
      </c>
      <c r="C38335" t="s">
        <v>624</v>
      </c>
      <c r="D38335" t="s">
        <v>21</v>
      </c>
      <c r="E38335" t="s">
        <v>474</v>
      </c>
      <c r="F38335" s="2" t="str">
        <f>HYPERLINK("http://www.otzar.org/book.asp?196806","קונטרס שערי עזרא")</f>
        <v>קונטרס שערי עזרא</v>
      </c>
    </row>
    <row r="38336" spans="1:6" x14ac:dyDescent="0.2">
      <c r="A38336" t="s">
        <v>58843</v>
      </c>
      <c r="B38336" t="s">
        <v>58844</v>
      </c>
      <c r="C38336" t="s">
        <v>422</v>
      </c>
      <c r="D38336" t="s">
        <v>14</v>
      </c>
      <c r="E38336" t="s">
        <v>246</v>
      </c>
      <c r="F38336" s="2" t="str">
        <f>HYPERLINK("http://www.otzar.org/book.asp?150963","קונטרס שערי עיון - 2 כר'")</f>
        <v>קונטרס שערי עיון - 2 כר'</v>
      </c>
    </row>
    <row r="38337" spans="1:6" x14ac:dyDescent="0.2">
      <c r="A38337" t="s">
        <v>58845</v>
      </c>
      <c r="B38337" t="s">
        <v>35174</v>
      </c>
      <c r="C38337" t="s">
        <v>133</v>
      </c>
      <c r="D38337" t="s">
        <v>152</v>
      </c>
      <c r="E38337" t="s">
        <v>144</v>
      </c>
      <c r="F38337" s="2" t="str">
        <f>HYPERLINK("http://www.otzar.org/book.asp?171107","קונטרס שערי צבי - סוטה")</f>
        <v>קונטרס שערי צבי - סוטה</v>
      </c>
    </row>
    <row r="38338" spans="1:6" x14ac:dyDescent="0.2">
      <c r="A38338" t="s">
        <v>58846</v>
      </c>
      <c r="B38338" t="s">
        <v>58847</v>
      </c>
      <c r="C38338" t="s">
        <v>51</v>
      </c>
      <c r="D38338" t="s">
        <v>14</v>
      </c>
      <c r="E38338" t="s">
        <v>714</v>
      </c>
      <c r="F38338" s="2" t="str">
        <f>HYPERLINK("http://www.otzar.org/book.asp?169056","קונטרס שערי צדק - 2 כר'")</f>
        <v>קונטרס שערי צדק - 2 כר'</v>
      </c>
    </row>
    <row r="38339" spans="1:6" x14ac:dyDescent="0.2">
      <c r="A38339" t="s">
        <v>58848</v>
      </c>
      <c r="B38339" t="s">
        <v>1750</v>
      </c>
      <c r="C38339" t="s">
        <v>146</v>
      </c>
      <c r="D38339" t="s">
        <v>90</v>
      </c>
      <c r="F38339" s="2" t="str">
        <f>HYPERLINK("http://www.otzar.org/book.asp?609997","קונטרס שערי צדק")</f>
        <v>קונטרס שערי צדק</v>
      </c>
    </row>
    <row r="38340" spans="1:6" x14ac:dyDescent="0.2">
      <c r="A38340" t="s">
        <v>58849</v>
      </c>
      <c r="B38340" t="s">
        <v>58850</v>
      </c>
      <c r="C38340" t="s">
        <v>151</v>
      </c>
      <c r="D38340" t="s">
        <v>14</v>
      </c>
      <c r="E38340" t="s">
        <v>384</v>
      </c>
      <c r="F38340" s="2" t="str">
        <f>HYPERLINK("http://www.otzar.org/book.asp?611908","קונטרס שערי ציון")</f>
        <v>קונטרס שערי ציון</v>
      </c>
    </row>
    <row r="38341" spans="1:6" x14ac:dyDescent="0.2">
      <c r="A38341" t="s">
        <v>58849</v>
      </c>
      <c r="B38341" t="s">
        <v>58851</v>
      </c>
      <c r="C38341" t="s">
        <v>366</v>
      </c>
      <c r="D38341" t="s">
        <v>3560</v>
      </c>
      <c r="F38341" s="2" t="str">
        <f>HYPERLINK("http://www.otzar.org/book.asp?609519","קונטרס שערי ציון")</f>
        <v>קונטרס שערי ציון</v>
      </c>
    </row>
    <row r="38342" spans="1:6" x14ac:dyDescent="0.2">
      <c r="A38342" t="s">
        <v>58849</v>
      </c>
      <c r="B38342" t="s">
        <v>54949</v>
      </c>
      <c r="C38342" t="s">
        <v>422</v>
      </c>
      <c r="D38342" t="s">
        <v>14</v>
      </c>
      <c r="E38342" t="s">
        <v>202</v>
      </c>
      <c r="F38342" s="2" t="str">
        <f>HYPERLINK("http://www.otzar.org/book.asp?628686","קונטרס שערי ציון")</f>
        <v>קונטרס שערי ציון</v>
      </c>
    </row>
    <row r="38343" spans="1:6" x14ac:dyDescent="0.2">
      <c r="A38343" t="s">
        <v>58852</v>
      </c>
      <c r="B38343" t="s">
        <v>58853</v>
      </c>
      <c r="C38343" t="s">
        <v>454</v>
      </c>
      <c r="D38343" t="s">
        <v>52</v>
      </c>
      <c r="E38343" t="s">
        <v>144</v>
      </c>
      <c r="F38343" s="2" t="str">
        <f>HYPERLINK("http://www.otzar.org/book.asp?144382","קונטרס שערי שבועות")</f>
        <v>קונטרס שערי שבועות</v>
      </c>
    </row>
    <row r="38344" spans="1:6" x14ac:dyDescent="0.2">
      <c r="A38344" t="s">
        <v>58854</v>
      </c>
      <c r="B38344" t="s">
        <v>58855</v>
      </c>
      <c r="C38344" t="s">
        <v>37</v>
      </c>
      <c r="D38344" t="s">
        <v>52</v>
      </c>
      <c r="E38344" t="s">
        <v>58856</v>
      </c>
      <c r="F38344" s="2" t="str">
        <f>HYPERLINK("http://www.otzar.org/book.asp?181889","קונטרס שערי שיח")</f>
        <v>קונטרס שערי שיח</v>
      </c>
    </row>
    <row r="38345" spans="1:6" x14ac:dyDescent="0.2">
      <c r="A38345" t="s">
        <v>58857</v>
      </c>
      <c r="B38345" t="s">
        <v>24057</v>
      </c>
      <c r="C38345" t="s">
        <v>146</v>
      </c>
      <c r="D38345" t="s">
        <v>423</v>
      </c>
      <c r="F38345" s="2" t="str">
        <f>HYPERLINK("http://www.otzar.org/book.asp?167334","קונטרס שערי שמחה")</f>
        <v>קונטרס שערי שמחה</v>
      </c>
    </row>
    <row r="38346" spans="1:6" x14ac:dyDescent="0.2">
      <c r="A38346" t="s">
        <v>58858</v>
      </c>
      <c r="B38346" t="s">
        <v>54483</v>
      </c>
      <c r="C38346" t="s">
        <v>37</v>
      </c>
      <c r="D38346" t="s">
        <v>14</v>
      </c>
      <c r="F38346" s="2" t="str">
        <f>HYPERLINK("http://www.otzar.org/book.asp?621623","קונטרס שערים המצוינים בהלכה - 4 כר'")</f>
        <v>קונטרס שערים המצוינים בהלכה - 4 כר'</v>
      </c>
    </row>
    <row r="38347" spans="1:6" x14ac:dyDescent="0.2">
      <c r="A38347" t="s">
        <v>58859</v>
      </c>
      <c r="B38347" t="s">
        <v>58860</v>
      </c>
      <c r="C38347" t="s">
        <v>37</v>
      </c>
      <c r="D38347" t="s">
        <v>412</v>
      </c>
      <c r="E38347" t="s">
        <v>144</v>
      </c>
      <c r="F38347" s="2" t="str">
        <f>HYPERLINK("http://www.otzar.org/book.asp?192795","קונטרס שעשועי אפרים - 4 כר'")</f>
        <v>קונטרס שעשועי אפרים - 4 כר'</v>
      </c>
    </row>
    <row r="38348" spans="1:6" x14ac:dyDescent="0.2">
      <c r="A38348" t="s">
        <v>58861</v>
      </c>
      <c r="B38348" t="s">
        <v>58862</v>
      </c>
      <c r="C38348" t="s">
        <v>114</v>
      </c>
      <c r="D38348" t="s">
        <v>14</v>
      </c>
      <c r="F38348" s="2" t="str">
        <f>HYPERLINK("http://www.otzar.org/book.asp?197133","קונטרס שעשועי שמואל")</f>
        <v>קונטרס שעשועי שמואל</v>
      </c>
    </row>
    <row r="38349" spans="1:6" x14ac:dyDescent="0.2">
      <c r="A38349" t="s">
        <v>58863</v>
      </c>
      <c r="B38349" t="s">
        <v>58864</v>
      </c>
      <c r="C38349" t="s">
        <v>87</v>
      </c>
      <c r="D38349" t="s">
        <v>21</v>
      </c>
      <c r="E38349" t="s">
        <v>104</v>
      </c>
      <c r="F38349" s="2" t="str">
        <f>HYPERLINK("http://www.otzar.org/book.asp?602681","קונטרס שפה ברורה")</f>
        <v>קונטרס שפה ברורה</v>
      </c>
    </row>
    <row r="38350" spans="1:6" x14ac:dyDescent="0.2">
      <c r="A38350" t="s">
        <v>58865</v>
      </c>
      <c r="B38350" t="s">
        <v>6333</v>
      </c>
      <c r="C38350" t="s">
        <v>454</v>
      </c>
      <c r="D38350" t="s">
        <v>52</v>
      </c>
      <c r="E38350" t="s">
        <v>15</v>
      </c>
      <c r="F38350" s="2" t="str">
        <f>HYPERLINK("http://www.otzar.org/book.asp?192876","קונטרס שפתי חיים")</f>
        <v>קונטרס שפתי חיים</v>
      </c>
    </row>
    <row r="38351" spans="1:6" x14ac:dyDescent="0.2">
      <c r="A38351" t="s">
        <v>58866</v>
      </c>
      <c r="B38351" t="s">
        <v>1248</v>
      </c>
      <c r="C38351" t="s">
        <v>366</v>
      </c>
      <c r="D38351" t="s">
        <v>80</v>
      </c>
      <c r="F38351" s="2" t="str">
        <f>HYPERLINK("http://www.otzar.org/book.asp?610186","קונטרס שפתי רננות")</f>
        <v>קונטרס שפתי רננות</v>
      </c>
    </row>
    <row r="38352" spans="1:6" x14ac:dyDescent="0.2">
      <c r="A38352" t="s">
        <v>58867</v>
      </c>
      <c r="B38352" t="s">
        <v>58868</v>
      </c>
      <c r="C38352" t="s">
        <v>775</v>
      </c>
      <c r="D38352" t="s">
        <v>90</v>
      </c>
      <c r="E38352" t="s">
        <v>186</v>
      </c>
      <c r="F38352" s="2" t="str">
        <f>HYPERLINK("http://www.otzar.org/book.asp?159767","קונטרס שפתיים ישק - א")</f>
        <v>קונטרס שפתיים ישק - א</v>
      </c>
    </row>
    <row r="38353" spans="1:6" x14ac:dyDescent="0.2">
      <c r="A38353" t="s">
        <v>58869</v>
      </c>
      <c r="B38353" t="s">
        <v>58870</v>
      </c>
      <c r="C38353" t="s">
        <v>124</v>
      </c>
      <c r="D38353" t="s">
        <v>1076</v>
      </c>
      <c r="F38353" s="2" t="str">
        <f>HYPERLINK("http://www.otzar.org/book.asp?613383","קונטרס שקל הקודש")</f>
        <v>קונטרס שקל הקודש</v>
      </c>
    </row>
    <row r="38354" spans="1:6" x14ac:dyDescent="0.2">
      <c r="A38354" t="s">
        <v>58871</v>
      </c>
      <c r="B38354" t="s">
        <v>35425</v>
      </c>
      <c r="C38354" t="s">
        <v>71</v>
      </c>
      <c r="D38354" t="s">
        <v>14</v>
      </c>
      <c r="E38354" t="s">
        <v>234</v>
      </c>
      <c r="F38354" s="2" t="str">
        <f>HYPERLINK("http://www.otzar.org/book.asp?163079","קונטרס שקלי הקודש")</f>
        <v>קונטרס שקלי הקודש</v>
      </c>
    </row>
    <row r="38355" spans="1:6" x14ac:dyDescent="0.2">
      <c r="A38355" t="s">
        <v>58872</v>
      </c>
      <c r="B38355" t="s">
        <v>32066</v>
      </c>
      <c r="C38355" t="s">
        <v>411</v>
      </c>
      <c r="D38355" t="s">
        <v>1205</v>
      </c>
      <c r="F38355" s="2" t="str">
        <f>HYPERLINK("http://www.otzar.org/book.asp?182943","קונטרס שרשי הנהגת הספיקות")</f>
        <v>קונטרס שרשי הנהגת הספיקות</v>
      </c>
    </row>
    <row r="38356" spans="1:6" x14ac:dyDescent="0.2">
      <c r="A38356" t="s">
        <v>58873</v>
      </c>
      <c r="B38356" t="s">
        <v>40644</v>
      </c>
      <c r="C38356" t="s">
        <v>23</v>
      </c>
      <c r="D38356" t="s">
        <v>412</v>
      </c>
      <c r="E38356" t="s">
        <v>15</v>
      </c>
      <c r="F38356" s="2" t="str">
        <f>HYPERLINK("http://www.otzar.org/book.asp?605264","קונטרס שרשים בהכשר כלים")</f>
        <v>קונטרס שרשים בהכשר כלים</v>
      </c>
    </row>
    <row r="38357" spans="1:6" x14ac:dyDescent="0.2">
      <c r="A38357" t="s">
        <v>58874</v>
      </c>
      <c r="B38357" t="s">
        <v>40644</v>
      </c>
      <c r="C38357" t="s">
        <v>23</v>
      </c>
      <c r="D38357" t="s">
        <v>412</v>
      </c>
      <c r="E38357" t="s">
        <v>15</v>
      </c>
      <c r="F38357" s="2" t="str">
        <f>HYPERLINK("http://www.otzar.org/book.asp?605265","קונטרס שרשים בהלכות הוצאה")</f>
        <v>קונטרס שרשים בהלכות הוצאה</v>
      </c>
    </row>
    <row r="38358" spans="1:6" x14ac:dyDescent="0.2">
      <c r="A38358" t="s">
        <v>58875</v>
      </c>
      <c r="B38358" t="s">
        <v>58876</v>
      </c>
      <c r="C38358" t="s">
        <v>111</v>
      </c>
      <c r="D38358" t="s">
        <v>1156</v>
      </c>
      <c r="F38358" s="2" t="str">
        <f>HYPERLINK("http://www.otzar.org/book.asp?622552","קונטרס שרתי במדינות - פירוש ר""י אלמדרי לפרק אין מעמידין")</f>
        <v>קונטרס שרתי במדינות - פירוש ר"י אלמדרי לפרק אין מעמידין</v>
      </c>
    </row>
    <row r="38359" spans="1:6" x14ac:dyDescent="0.2">
      <c r="A38359" t="s">
        <v>58877</v>
      </c>
      <c r="B38359" t="s">
        <v>6987</v>
      </c>
      <c r="C38359" t="s">
        <v>20</v>
      </c>
      <c r="D38359" t="s">
        <v>90</v>
      </c>
      <c r="E38359" t="s">
        <v>15</v>
      </c>
      <c r="F38359" s="2" t="str">
        <f>HYPERLINK("http://www.otzar.org/book.asp?631168","קונטרס שש מצוות תמידיות")</f>
        <v>קונטרס שש מצוות תמידיות</v>
      </c>
    </row>
    <row r="38360" spans="1:6" x14ac:dyDescent="0.2">
      <c r="A38360" t="s">
        <v>58878</v>
      </c>
      <c r="B38360" t="s">
        <v>54785</v>
      </c>
      <c r="C38360" t="s">
        <v>523</v>
      </c>
      <c r="D38360" t="s">
        <v>14</v>
      </c>
      <c r="E38360" t="s">
        <v>58879</v>
      </c>
      <c r="F38360" s="2" t="str">
        <f>HYPERLINK("http://www.otzar.org/book.asp?19271","קונטרס שש משזר")</f>
        <v>קונטרס שש משזר</v>
      </c>
    </row>
    <row r="38361" spans="1:6" x14ac:dyDescent="0.2">
      <c r="A38361" t="s">
        <v>58880</v>
      </c>
      <c r="B38361" t="s">
        <v>40819</v>
      </c>
      <c r="C38361" t="s">
        <v>366</v>
      </c>
      <c r="D38361" t="s">
        <v>52</v>
      </c>
      <c r="F38361" s="2" t="str">
        <f>HYPERLINK("http://www.otzar.org/book.asp?608926","קונטרס ששון המועד - ר""ה ויוה""כ")</f>
        <v>קונטרס ששון המועד - ר"ה ויוה"כ</v>
      </c>
    </row>
    <row r="38362" spans="1:6" x14ac:dyDescent="0.2">
      <c r="A38362" t="s">
        <v>58881</v>
      </c>
      <c r="B38362" t="s">
        <v>56077</v>
      </c>
      <c r="C38362" t="s">
        <v>129</v>
      </c>
      <c r="D38362" t="s">
        <v>14</v>
      </c>
      <c r="F38362" s="2" t="str">
        <f>HYPERLINK("http://www.otzar.org/book.asp?618507","קונטרס ששון ויקר - בענייני מחיית עמלק ופורים")</f>
        <v>קונטרס ששון ויקר - בענייני מחיית עמלק ופורים</v>
      </c>
    </row>
    <row r="38363" spans="1:6" x14ac:dyDescent="0.2">
      <c r="A38363" t="s">
        <v>58882</v>
      </c>
      <c r="B38363" t="s">
        <v>1248</v>
      </c>
      <c r="C38363" t="s">
        <v>366</v>
      </c>
      <c r="D38363" t="s">
        <v>80</v>
      </c>
      <c r="F38363" s="2" t="str">
        <f>HYPERLINK("http://www.otzar.org/book.asp?610200","קונטרס ששים ריבוא")</f>
        <v>קונטרס ששים ריבוא</v>
      </c>
    </row>
    <row r="38364" spans="1:6" x14ac:dyDescent="0.2">
      <c r="A38364" t="s">
        <v>58883</v>
      </c>
      <c r="B38364" t="s">
        <v>11553</v>
      </c>
      <c r="C38364" t="s">
        <v>23</v>
      </c>
      <c r="D38364" t="s">
        <v>52</v>
      </c>
      <c r="F38364" s="2" t="str">
        <f>HYPERLINK("http://www.otzar.org/book.asp?610747","קונטרס שתי אותיות בשבת והמסתעף")</f>
        <v>קונטרס שתי אותיות בשבת והמסתעף</v>
      </c>
    </row>
    <row r="38365" spans="1:6" x14ac:dyDescent="0.2">
      <c r="A38365" t="s">
        <v>58884</v>
      </c>
      <c r="B38365" t="s">
        <v>3865</v>
      </c>
      <c r="C38365" t="s">
        <v>13</v>
      </c>
      <c r="D38365" t="s">
        <v>14</v>
      </c>
      <c r="E38365" t="s">
        <v>15</v>
      </c>
      <c r="F38365" s="2" t="str">
        <f>HYPERLINK("http://www.otzar.org/book.asp?162126","קונטרס שתיה והנאה ממי הכנרת בפסח")</f>
        <v>קונטרס שתיה והנאה ממי הכנרת בפסח</v>
      </c>
    </row>
    <row r="38366" spans="1:6" x14ac:dyDescent="0.2">
      <c r="A38366" t="s">
        <v>58885</v>
      </c>
      <c r="B38366" t="s">
        <v>58198</v>
      </c>
      <c r="C38366" t="s">
        <v>176</v>
      </c>
      <c r="D38366" t="s">
        <v>14</v>
      </c>
      <c r="E38366" t="s">
        <v>803</v>
      </c>
      <c r="F38366" s="2" t="str">
        <f>HYPERLINK("http://www.otzar.org/book.asp?160018","קונטרס תא שמע - 9 כר'")</f>
        <v>קונטרס תא שמע - 9 כר'</v>
      </c>
    </row>
    <row r="38367" spans="1:6" x14ac:dyDescent="0.2">
      <c r="A38367" t="s">
        <v>58886</v>
      </c>
      <c r="B38367" t="s">
        <v>58887</v>
      </c>
      <c r="C38367" t="s">
        <v>37</v>
      </c>
      <c r="D38367" t="s">
        <v>367</v>
      </c>
      <c r="E38367" t="s">
        <v>15</v>
      </c>
      <c r="F38367" s="2" t="str">
        <f>HYPERLINK("http://www.otzar.org/book.asp?195630","קונטרס תא שמע")</f>
        <v>קונטרס תא שמע</v>
      </c>
    </row>
    <row r="38368" spans="1:6" x14ac:dyDescent="0.2">
      <c r="A38368" t="s">
        <v>58888</v>
      </c>
      <c r="B38368" t="s">
        <v>17331</v>
      </c>
      <c r="C38368" t="s">
        <v>20</v>
      </c>
      <c r="D38368" t="s">
        <v>2347</v>
      </c>
      <c r="E38368" t="s">
        <v>674</v>
      </c>
      <c r="F38368" s="2" t="str">
        <f>HYPERLINK("http://www.otzar.org/book.asp?107108","קונטרס תגא דאורייתא &lt;בעניני ספר תורה&gt;")</f>
        <v>קונטרס תגא דאורייתא &lt;בעניני ספר תורה&gt;</v>
      </c>
    </row>
    <row r="38369" spans="1:6" x14ac:dyDescent="0.2">
      <c r="A38369" t="s">
        <v>58889</v>
      </c>
      <c r="B38369" t="s">
        <v>35104</v>
      </c>
      <c r="C38369" t="s">
        <v>133</v>
      </c>
      <c r="D38369" t="s">
        <v>14</v>
      </c>
      <c r="E38369" t="s">
        <v>15</v>
      </c>
      <c r="F38369" s="2" t="str">
        <f>HYPERLINK("http://www.otzar.org/book.asp?179584","קונטרס תגלחת מצוה")</f>
        <v>קונטרס תגלחת מצוה</v>
      </c>
    </row>
    <row r="38370" spans="1:6" x14ac:dyDescent="0.2">
      <c r="A38370" t="s">
        <v>58890</v>
      </c>
      <c r="B38370" t="s">
        <v>58891</v>
      </c>
      <c r="C38370" t="s">
        <v>133</v>
      </c>
      <c r="D38370" t="s">
        <v>152</v>
      </c>
      <c r="E38370" t="s">
        <v>15</v>
      </c>
      <c r="F38370" s="2" t="str">
        <f>HYPERLINK("http://www.otzar.org/book.asp?176263","קונטרס תדיר בתפילה")</f>
        <v>קונטרס תדיר בתפילה</v>
      </c>
    </row>
    <row r="38371" spans="1:6" x14ac:dyDescent="0.2">
      <c r="A38371" t="s">
        <v>58892</v>
      </c>
      <c r="B38371" t="s">
        <v>11386</v>
      </c>
      <c r="C38371" t="s">
        <v>313</v>
      </c>
      <c r="D38371" t="s">
        <v>14</v>
      </c>
      <c r="E38371" t="s">
        <v>64</v>
      </c>
      <c r="F38371" s="2" t="str">
        <f>HYPERLINK("http://www.otzar.org/book.asp?169454","קונטרס תהילת שמואל")</f>
        <v>קונטרס תהילת שמואל</v>
      </c>
    </row>
    <row r="38372" spans="1:6" x14ac:dyDescent="0.2">
      <c r="A38372" t="s">
        <v>58893</v>
      </c>
      <c r="B38372" t="s">
        <v>58894</v>
      </c>
      <c r="C38372" t="s">
        <v>133</v>
      </c>
      <c r="D38372" t="s">
        <v>90</v>
      </c>
      <c r="F38372" s="2" t="str">
        <f>HYPERLINK("http://www.otzar.org/book.asp?181817","קונטרס תהלה לדוד")</f>
        <v>קונטרס תהלה לדוד</v>
      </c>
    </row>
    <row r="38373" spans="1:6" x14ac:dyDescent="0.2">
      <c r="A38373" t="s">
        <v>58895</v>
      </c>
      <c r="B38373" t="s">
        <v>18444</v>
      </c>
      <c r="C38373" t="s">
        <v>2870</v>
      </c>
      <c r="D38373" t="s">
        <v>6042</v>
      </c>
      <c r="E38373" t="s">
        <v>24</v>
      </c>
      <c r="F38373" s="2" t="str">
        <f>HYPERLINK("http://www.otzar.org/book.asp?106464","קונטרס תודה")</f>
        <v>קונטרס תודה</v>
      </c>
    </row>
    <row r="38374" spans="1:6" x14ac:dyDescent="0.2">
      <c r="A38374" t="s">
        <v>58896</v>
      </c>
      <c r="B38374" t="s">
        <v>58897</v>
      </c>
      <c r="C38374" t="s">
        <v>129</v>
      </c>
      <c r="D38374" t="s">
        <v>1156</v>
      </c>
      <c r="F38374" s="2" t="str">
        <f>HYPERLINK("http://www.otzar.org/book.asp?612084","קונטרס תוכחות מוסר")</f>
        <v>קונטרס תוכחות מוסר</v>
      </c>
    </row>
    <row r="38375" spans="1:6" x14ac:dyDescent="0.2">
      <c r="A38375" t="s">
        <v>58898</v>
      </c>
      <c r="B38375" t="s">
        <v>58899</v>
      </c>
      <c r="C38375" t="s">
        <v>37</v>
      </c>
      <c r="D38375" t="s">
        <v>367</v>
      </c>
      <c r="E38375" t="s">
        <v>104</v>
      </c>
      <c r="F38375" s="2" t="str">
        <f>HYPERLINK("http://www.otzar.org/book.asp?189703","קונטרס תולדות אדם")</f>
        <v>קונטרס תולדות אדם</v>
      </c>
    </row>
    <row r="38376" spans="1:6" x14ac:dyDescent="0.2">
      <c r="A38376" t="s">
        <v>58900</v>
      </c>
      <c r="B38376" t="s">
        <v>9649</v>
      </c>
      <c r="C38376" t="s">
        <v>37</v>
      </c>
      <c r="D38376" t="s">
        <v>90</v>
      </c>
      <c r="E38376" t="s">
        <v>15</v>
      </c>
      <c r="F38376" s="2" t="str">
        <f>HYPERLINK("http://www.otzar.org/book.asp?604925","קונטרס תולדות האור")</f>
        <v>קונטרס תולדות האור</v>
      </c>
    </row>
    <row r="38377" spans="1:6" x14ac:dyDescent="0.2">
      <c r="A38377" t="s">
        <v>58901</v>
      </c>
      <c r="B38377" t="s">
        <v>25509</v>
      </c>
      <c r="C38377" t="s">
        <v>146</v>
      </c>
      <c r="D38377" t="s">
        <v>14</v>
      </c>
      <c r="E38377" t="s">
        <v>119</v>
      </c>
      <c r="F38377" s="2" t="str">
        <f>HYPERLINK("http://www.otzar.org/book.asp?160450","קונטרס תולדות חמדת שלמה")</f>
        <v>קונטרס תולדות חמדת שלמה</v>
      </c>
    </row>
    <row r="38378" spans="1:6" x14ac:dyDescent="0.2">
      <c r="A38378" t="s">
        <v>58902</v>
      </c>
      <c r="B38378" t="s">
        <v>58903</v>
      </c>
      <c r="C38378" t="s">
        <v>106</v>
      </c>
      <c r="D38378" t="s">
        <v>27</v>
      </c>
      <c r="E38378" t="s">
        <v>202</v>
      </c>
      <c r="F38378" s="2" t="str">
        <f>HYPERLINK("http://www.otzar.org/book.asp?171054","קונטרס תולדות יעקב")</f>
        <v>קונטרס תולדות יעקב</v>
      </c>
    </row>
    <row r="38379" spans="1:6" x14ac:dyDescent="0.2">
      <c r="A38379" t="s">
        <v>58902</v>
      </c>
      <c r="B38379" t="s">
        <v>57095</v>
      </c>
      <c r="C38379" t="s">
        <v>244</v>
      </c>
      <c r="D38379" t="s">
        <v>90</v>
      </c>
      <c r="E38379" t="s">
        <v>15</v>
      </c>
      <c r="F38379" s="2" t="str">
        <f>HYPERLINK("http://www.otzar.org/book.asp?193241","קונטרס תולדות יעקב")</f>
        <v>קונטרס תולדות יעקב</v>
      </c>
    </row>
    <row r="38380" spans="1:6" x14ac:dyDescent="0.2">
      <c r="A38380" t="s">
        <v>58904</v>
      </c>
      <c r="B38380" t="s">
        <v>58905</v>
      </c>
      <c r="C38380" t="s">
        <v>114</v>
      </c>
      <c r="D38380" t="s">
        <v>52</v>
      </c>
      <c r="E38380" t="s">
        <v>234</v>
      </c>
      <c r="F38380" s="2" t="str">
        <f>HYPERLINK("http://www.otzar.org/book.asp?170950","קונטרס תולדות יצחק")</f>
        <v>קונטרס תולדות יצחק</v>
      </c>
    </row>
    <row r="38381" spans="1:6" x14ac:dyDescent="0.2">
      <c r="A38381" t="s">
        <v>58906</v>
      </c>
      <c r="B38381" t="s">
        <v>58907</v>
      </c>
      <c r="C38381" t="s">
        <v>20</v>
      </c>
      <c r="D38381" t="s">
        <v>90</v>
      </c>
      <c r="E38381" t="s">
        <v>202</v>
      </c>
      <c r="F38381" s="2" t="str">
        <f>HYPERLINK("http://www.otzar.org/book.asp?183283","קונטרס תולדות צבי - עבודה זרה")</f>
        <v>קונטרס תולדות צבי - עבודה זרה</v>
      </c>
    </row>
    <row r="38382" spans="1:6" x14ac:dyDescent="0.2">
      <c r="A38382" t="s">
        <v>58908</v>
      </c>
      <c r="B38382" t="s">
        <v>58909</v>
      </c>
      <c r="C38382" t="s">
        <v>244</v>
      </c>
      <c r="E38382" t="s">
        <v>15</v>
      </c>
      <c r="F38382" s="2" t="str">
        <f>HYPERLINK("http://www.otzar.org/book.asp?613240","קונטרס תולדות שמש")</f>
        <v>קונטרס תולדות שמש</v>
      </c>
    </row>
    <row r="38383" spans="1:6" x14ac:dyDescent="0.2">
      <c r="A38383" t="s">
        <v>58910</v>
      </c>
      <c r="B38383" t="s">
        <v>58911</v>
      </c>
      <c r="C38383" t="s">
        <v>23</v>
      </c>
      <c r="F38383" s="2" t="str">
        <f>HYPERLINK("http://www.otzar.org/book.asp?629944","קונטרס תומת ישרים")</f>
        <v>קונטרס תומת ישרים</v>
      </c>
    </row>
    <row r="38384" spans="1:6" x14ac:dyDescent="0.2">
      <c r="A38384" t="s">
        <v>58912</v>
      </c>
      <c r="B38384" t="s">
        <v>128</v>
      </c>
      <c r="C38384" t="s">
        <v>146</v>
      </c>
      <c r="D38384" t="s">
        <v>52</v>
      </c>
      <c r="E38384" t="s">
        <v>15</v>
      </c>
      <c r="F38384" s="2" t="str">
        <f>HYPERLINK("http://www.otzar.org/book.asp?52627","קונטרס תוספת קדושה")</f>
        <v>קונטרס תוספת קדושה</v>
      </c>
    </row>
    <row r="38385" spans="1:6" x14ac:dyDescent="0.2">
      <c r="A38385" t="s">
        <v>58913</v>
      </c>
      <c r="B38385" t="s">
        <v>58914</v>
      </c>
      <c r="C38385" t="s">
        <v>23</v>
      </c>
      <c r="D38385" t="s">
        <v>27</v>
      </c>
      <c r="E38385" t="s">
        <v>144</v>
      </c>
      <c r="F38385" s="2" t="str">
        <f>HYPERLINK("http://www.otzar.org/book.asp?183370","קונטרס תוספת ריבית")</f>
        <v>קונטרס תוספת ריבית</v>
      </c>
    </row>
    <row r="38386" spans="1:6" x14ac:dyDescent="0.2">
      <c r="A38386" t="s">
        <v>58915</v>
      </c>
      <c r="B38386" t="s">
        <v>57740</v>
      </c>
      <c r="C38386" t="s">
        <v>20</v>
      </c>
      <c r="D38386" t="s">
        <v>276</v>
      </c>
      <c r="E38386" t="s">
        <v>84</v>
      </c>
      <c r="F38386" s="2" t="str">
        <f>HYPERLINK("http://www.otzar.org/book.asp?604063","קונטרס תוספת שביעית")</f>
        <v>קונטרס תוספת שביעית</v>
      </c>
    </row>
    <row r="38387" spans="1:6" x14ac:dyDescent="0.2">
      <c r="A38387" t="s">
        <v>58916</v>
      </c>
      <c r="B38387" t="s">
        <v>32623</v>
      </c>
      <c r="C38387" t="s">
        <v>20</v>
      </c>
      <c r="D38387" t="s">
        <v>90</v>
      </c>
      <c r="F38387" s="2" t="str">
        <f>HYPERLINK("http://www.otzar.org/book.asp?616092","קונטרס תופסי משוטיך")</f>
        <v>קונטרס תופסי משוטיך</v>
      </c>
    </row>
    <row r="38388" spans="1:6" x14ac:dyDescent="0.2">
      <c r="A38388" t="s">
        <v>58917</v>
      </c>
      <c r="B38388" t="s">
        <v>58918</v>
      </c>
      <c r="C38388" t="s">
        <v>20</v>
      </c>
      <c r="D38388" t="s">
        <v>5172</v>
      </c>
      <c r="E38388" t="s">
        <v>3798</v>
      </c>
      <c r="F38388" s="2" t="str">
        <f>HYPERLINK("http://www.otzar.org/book.asp?163108","קונטרס תורה אור")</f>
        <v>קונטרס תורה אור</v>
      </c>
    </row>
    <row r="38389" spans="1:6" x14ac:dyDescent="0.2">
      <c r="A38389" t="s">
        <v>58919</v>
      </c>
      <c r="B38389" t="s">
        <v>56268</v>
      </c>
      <c r="C38389" t="s">
        <v>366</v>
      </c>
      <c r="D38389" t="s">
        <v>90</v>
      </c>
      <c r="F38389" s="2" t="str">
        <f>HYPERLINK("http://www.otzar.org/book.asp?603685","קונטרס תורה אור - חנוכה")</f>
        <v>קונטרס תורה אור - חנוכה</v>
      </c>
    </row>
    <row r="38390" spans="1:6" x14ac:dyDescent="0.2">
      <c r="A38390" t="s">
        <v>58920</v>
      </c>
      <c r="B38390" t="s">
        <v>58921</v>
      </c>
      <c r="C38390" t="s">
        <v>37</v>
      </c>
      <c r="D38390" t="s">
        <v>90</v>
      </c>
      <c r="F38390" s="2" t="str">
        <f>HYPERLINK("http://www.otzar.org/book.asp?192835","קונטרס תורה בטהרה")</f>
        <v>קונטרס תורה בטהרה</v>
      </c>
    </row>
    <row r="38391" spans="1:6" x14ac:dyDescent="0.2">
      <c r="A38391" t="s">
        <v>58922</v>
      </c>
      <c r="B38391" t="s">
        <v>347</v>
      </c>
      <c r="C38391" t="s">
        <v>956</v>
      </c>
      <c r="D38391" t="s">
        <v>52</v>
      </c>
      <c r="E38391" t="s">
        <v>144</v>
      </c>
      <c r="F38391" s="2" t="str">
        <f>HYPERLINK("http://www.otzar.org/book.asp?11621","קונטרס תורני")</f>
        <v>קונטרס תורני</v>
      </c>
    </row>
    <row r="38392" spans="1:6" x14ac:dyDescent="0.2">
      <c r="A38392" t="s">
        <v>58922</v>
      </c>
      <c r="B38392" t="s">
        <v>58922</v>
      </c>
      <c r="C38392" t="s">
        <v>3103</v>
      </c>
      <c r="D38392" t="s">
        <v>27</v>
      </c>
      <c r="E38392" t="s">
        <v>202</v>
      </c>
      <c r="F38392" s="2" t="str">
        <f>HYPERLINK("http://www.otzar.org/book.asp?20684","קונטרס תורני")</f>
        <v>קונטרס תורני</v>
      </c>
    </row>
    <row r="38393" spans="1:6" x14ac:dyDescent="0.2">
      <c r="A38393" t="s">
        <v>58923</v>
      </c>
      <c r="B38393" t="s">
        <v>58326</v>
      </c>
      <c r="C38393" t="s">
        <v>68</v>
      </c>
      <c r="D38393" t="s">
        <v>14</v>
      </c>
      <c r="F38393" s="2" t="str">
        <f>HYPERLINK("http://www.otzar.org/book.asp?85898","קונטרס תורת אברהם")</f>
        <v>קונטרס תורת אברהם</v>
      </c>
    </row>
    <row r="38394" spans="1:6" x14ac:dyDescent="0.2">
      <c r="A38394" t="s">
        <v>58924</v>
      </c>
      <c r="B38394" t="s">
        <v>13998</v>
      </c>
      <c r="C38394" t="s">
        <v>20</v>
      </c>
      <c r="D38394" t="s">
        <v>147</v>
      </c>
      <c r="F38394" s="2" t="str">
        <f>HYPERLINK("http://www.otzar.org/book.asp?183152","קונטרס תורת אמך - 6 כר'")</f>
        <v>קונטרס תורת אמך - 6 כר'</v>
      </c>
    </row>
    <row r="38395" spans="1:6" x14ac:dyDescent="0.2">
      <c r="A38395" t="s">
        <v>58925</v>
      </c>
      <c r="B38395" t="s">
        <v>9510</v>
      </c>
      <c r="C38395" t="s">
        <v>244</v>
      </c>
      <c r="D38395" t="s">
        <v>5172</v>
      </c>
      <c r="F38395" s="2" t="str">
        <f>HYPERLINK("http://www.otzar.org/book.asp?605204","קונטרס תורת הברכה")</f>
        <v>קונטרס תורת הברכה</v>
      </c>
    </row>
    <row r="38396" spans="1:6" x14ac:dyDescent="0.2">
      <c r="A38396" t="s">
        <v>58926</v>
      </c>
      <c r="B38396" t="s">
        <v>206</v>
      </c>
      <c r="C38396" t="s">
        <v>20</v>
      </c>
      <c r="D38396" t="s">
        <v>90</v>
      </c>
      <c r="F38396" s="2" t="str">
        <f>HYPERLINK("http://www.otzar.org/book.asp?619344","קונטרס תורת הגלות")</f>
        <v>קונטרס תורת הגלות</v>
      </c>
    </row>
    <row r="38397" spans="1:6" x14ac:dyDescent="0.2">
      <c r="A38397" t="s">
        <v>58927</v>
      </c>
      <c r="B38397" t="s">
        <v>58928</v>
      </c>
      <c r="C38397" t="s">
        <v>13</v>
      </c>
      <c r="D38397" t="s">
        <v>367</v>
      </c>
      <c r="F38397" s="2" t="str">
        <f>HYPERLINK("http://www.otzar.org/book.asp?194601","קונטרס תורת הגליונות")</f>
        <v>קונטרס תורת הגליונות</v>
      </c>
    </row>
    <row r="38398" spans="1:6" x14ac:dyDescent="0.2">
      <c r="A38398" t="s">
        <v>58929</v>
      </c>
      <c r="B38398" t="s">
        <v>58930</v>
      </c>
      <c r="C38398" t="s">
        <v>624</v>
      </c>
      <c r="D38398" t="s">
        <v>21</v>
      </c>
      <c r="E38398" t="s">
        <v>2091</v>
      </c>
      <c r="F38398" s="2" t="str">
        <f>HYPERLINK("http://www.otzar.org/book.asp?606940","קונטרס תורת הלשון - ג")</f>
        <v>קונטרס תורת הלשון - ג</v>
      </c>
    </row>
    <row r="38399" spans="1:6" x14ac:dyDescent="0.2">
      <c r="A38399" t="s">
        <v>58931</v>
      </c>
      <c r="B38399" t="s">
        <v>58844</v>
      </c>
      <c r="C38399" t="s">
        <v>13</v>
      </c>
      <c r="D38399" t="s">
        <v>90</v>
      </c>
      <c r="E38399" t="s">
        <v>130</v>
      </c>
      <c r="F38399" s="2" t="str">
        <f>HYPERLINK("http://www.otzar.org/book.asp?150889","קונטרס תורת המגילה")</f>
        <v>קונטרס תורת המגילה</v>
      </c>
    </row>
    <row r="38400" spans="1:6" x14ac:dyDescent="0.2">
      <c r="A38400" t="s">
        <v>58932</v>
      </c>
      <c r="B38400" t="s">
        <v>9540</v>
      </c>
      <c r="C38400" t="s">
        <v>20</v>
      </c>
      <c r="D38400" t="s">
        <v>152</v>
      </c>
      <c r="E38400" t="s">
        <v>1164</v>
      </c>
      <c r="F38400" s="2" t="str">
        <f>HYPERLINK("http://www.otzar.org/book.asp?626764","קונטרס תורת המועדים")</f>
        <v>קונטרס תורת המועדים</v>
      </c>
    </row>
    <row r="38401" spans="1:6" x14ac:dyDescent="0.2">
      <c r="A38401" t="s">
        <v>58933</v>
      </c>
      <c r="B38401" t="s">
        <v>58387</v>
      </c>
      <c r="C38401" t="s">
        <v>20</v>
      </c>
      <c r="D38401" t="s">
        <v>90</v>
      </c>
      <c r="F38401" s="2" t="str">
        <f>HYPERLINK("http://www.otzar.org/book.asp?620825","קונטרס תורת המנחה")</f>
        <v>קונטרס תורת המנחה</v>
      </c>
    </row>
    <row r="38402" spans="1:6" x14ac:dyDescent="0.2">
      <c r="A38402" t="s">
        <v>58934</v>
      </c>
      <c r="B38402" t="s">
        <v>58258</v>
      </c>
      <c r="C38402" t="s">
        <v>454</v>
      </c>
      <c r="D38402" t="s">
        <v>52</v>
      </c>
      <c r="E38402" t="s">
        <v>144</v>
      </c>
      <c r="F38402" s="2" t="str">
        <f>HYPERLINK("http://www.otzar.org/book.asp?626184","קונטרס תורת המציאה")</f>
        <v>קונטרס תורת המציאה</v>
      </c>
    </row>
    <row r="38403" spans="1:6" x14ac:dyDescent="0.2">
      <c r="A38403" t="s">
        <v>58935</v>
      </c>
      <c r="B38403" t="s">
        <v>8832</v>
      </c>
      <c r="C38403" t="s">
        <v>68</v>
      </c>
      <c r="D38403" t="s">
        <v>52</v>
      </c>
      <c r="E38403" t="s">
        <v>144</v>
      </c>
      <c r="F38403" s="2" t="str">
        <f>HYPERLINK("http://www.otzar.org/book.asp?166230","קונטרס תורת הנהנה")</f>
        <v>קונטרס תורת הנהנה</v>
      </c>
    </row>
    <row r="38404" spans="1:6" x14ac:dyDescent="0.2">
      <c r="A38404" t="s">
        <v>58936</v>
      </c>
      <c r="B38404" t="s">
        <v>58937</v>
      </c>
      <c r="C38404" t="s">
        <v>576</v>
      </c>
      <c r="D38404" t="s">
        <v>3208</v>
      </c>
      <c r="E38404" t="s">
        <v>104</v>
      </c>
      <c r="F38404" s="2" t="str">
        <f>HYPERLINK("http://www.otzar.org/book.asp?628741","קונטרס תורת הנקוד")</f>
        <v>קונטרס תורת הנקוד</v>
      </c>
    </row>
    <row r="38405" spans="1:6" x14ac:dyDescent="0.2">
      <c r="A38405" t="s">
        <v>58938</v>
      </c>
      <c r="B38405" t="s">
        <v>9506</v>
      </c>
      <c r="C38405" t="s">
        <v>20</v>
      </c>
      <c r="D38405" t="s">
        <v>52</v>
      </c>
      <c r="F38405" s="2" t="str">
        <f>HYPERLINK("http://www.otzar.org/book.asp?191233","קונטרס תורת הסוכה")</f>
        <v>קונטרס תורת הסוכה</v>
      </c>
    </row>
    <row r="38406" spans="1:6" x14ac:dyDescent="0.2">
      <c r="A38406" t="s">
        <v>58939</v>
      </c>
      <c r="B38406" t="s">
        <v>51963</v>
      </c>
      <c r="C38406" t="s">
        <v>244</v>
      </c>
      <c r="D38406" t="s">
        <v>21</v>
      </c>
      <c r="F38406" s="2" t="str">
        <f>HYPERLINK("http://www.otzar.org/book.asp?601214","קונטרס תורת הפסח")</f>
        <v>קונטרס תורת הפסח</v>
      </c>
    </row>
    <row r="38407" spans="1:6" x14ac:dyDescent="0.2">
      <c r="A38407" t="s">
        <v>58940</v>
      </c>
      <c r="B38407" t="s">
        <v>1286</v>
      </c>
      <c r="C38407" t="s">
        <v>23</v>
      </c>
      <c r="D38407" t="s">
        <v>412</v>
      </c>
      <c r="E38407" t="s">
        <v>1438</v>
      </c>
      <c r="F38407" s="2" t="str">
        <f>HYPERLINK("http://www.otzar.org/book.asp?195080","קונטרס תורת הקבלה")</f>
        <v>קונטרס תורת הקבלה</v>
      </c>
    </row>
    <row r="38408" spans="1:6" x14ac:dyDescent="0.2">
      <c r="A38408" t="s">
        <v>58941</v>
      </c>
      <c r="B38408" t="s">
        <v>9510</v>
      </c>
      <c r="C38408" t="s">
        <v>20</v>
      </c>
      <c r="D38408" t="s">
        <v>90</v>
      </c>
      <c r="F38408" s="2" t="str">
        <f>HYPERLINK("http://www.otzar.org/book.asp?617895","קונטרס תורת הקדשים")</f>
        <v>קונטרס תורת הקדשים</v>
      </c>
    </row>
    <row r="38409" spans="1:6" x14ac:dyDescent="0.2">
      <c r="A38409" t="s">
        <v>58942</v>
      </c>
      <c r="B38409" t="s">
        <v>9510</v>
      </c>
      <c r="C38409" t="s">
        <v>366</v>
      </c>
      <c r="D38409" t="s">
        <v>5172</v>
      </c>
      <c r="E38409" t="s">
        <v>144</v>
      </c>
      <c r="F38409" s="2" t="str">
        <f>HYPERLINK("http://www.otzar.org/book.asp?602986","קונטרס תורת הרבית")</f>
        <v>קונטרס תורת הרבית</v>
      </c>
    </row>
    <row r="38410" spans="1:6" x14ac:dyDescent="0.2">
      <c r="A38410" t="s">
        <v>58943</v>
      </c>
      <c r="B38410" t="s">
        <v>58944</v>
      </c>
      <c r="C38410" t="s">
        <v>37</v>
      </c>
      <c r="D38410" t="s">
        <v>14</v>
      </c>
      <c r="F38410" s="2" t="str">
        <f>HYPERLINK("http://www.otzar.org/book.asp?618619","קונטרס תורת השלחן")</f>
        <v>קונטרס תורת השלחן</v>
      </c>
    </row>
    <row r="38411" spans="1:6" x14ac:dyDescent="0.2">
      <c r="A38411" t="s">
        <v>58945</v>
      </c>
      <c r="B38411" t="s">
        <v>58946</v>
      </c>
      <c r="C38411" t="s">
        <v>454</v>
      </c>
      <c r="D38411" t="s">
        <v>423</v>
      </c>
      <c r="E38411" t="s">
        <v>15</v>
      </c>
      <c r="F38411" s="2" t="str">
        <f>HYPERLINK("http://www.otzar.org/book.asp?604176","קונטרס תורת חיים")</f>
        <v>קונטרס תורת חיים</v>
      </c>
    </row>
    <row r="38412" spans="1:6" x14ac:dyDescent="0.2">
      <c r="A38412" t="s">
        <v>58945</v>
      </c>
      <c r="B38412" t="s">
        <v>1750</v>
      </c>
      <c r="C38412" t="s">
        <v>13</v>
      </c>
      <c r="D38412" t="s">
        <v>486</v>
      </c>
      <c r="E38412" t="s">
        <v>202</v>
      </c>
      <c r="F38412" s="2" t="str">
        <f>HYPERLINK("http://www.otzar.org/book.asp?170897","קונטרס תורת חיים")</f>
        <v>קונטרס תורת חיים</v>
      </c>
    </row>
    <row r="38413" spans="1:6" x14ac:dyDescent="0.2">
      <c r="A38413" t="s">
        <v>58945</v>
      </c>
      <c r="B38413" t="s">
        <v>1328</v>
      </c>
      <c r="C38413" t="s">
        <v>133</v>
      </c>
      <c r="D38413" t="s">
        <v>52</v>
      </c>
      <c r="E38413" t="s">
        <v>15</v>
      </c>
      <c r="F38413" s="2" t="str">
        <f>HYPERLINK("http://www.otzar.org/book.asp?172937","קונטרס תורת חיים")</f>
        <v>קונטרס תורת חיים</v>
      </c>
    </row>
    <row r="38414" spans="1:6" x14ac:dyDescent="0.2">
      <c r="A38414" t="s">
        <v>58947</v>
      </c>
      <c r="B38414" t="s">
        <v>58948</v>
      </c>
      <c r="C38414" t="s">
        <v>20</v>
      </c>
      <c r="D38414" t="s">
        <v>90</v>
      </c>
      <c r="F38414" s="2" t="str">
        <f>HYPERLINK("http://www.otzar.org/book.asp?181932","קונטרס תורת ישראל - מיגו")</f>
        <v>קונטרס תורת ישראל - מיגו</v>
      </c>
    </row>
    <row r="38415" spans="1:6" x14ac:dyDescent="0.2">
      <c r="A38415" t="s">
        <v>58949</v>
      </c>
      <c r="B38415" t="s">
        <v>58950</v>
      </c>
      <c r="C38415" t="s">
        <v>13</v>
      </c>
      <c r="D38415" t="s">
        <v>8720</v>
      </c>
      <c r="F38415" s="2" t="str">
        <f>HYPERLINK("http://www.otzar.org/book.asp?198695","קונטרס תורת פיך")</f>
        <v>קונטרס תורת פיך</v>
      </c>
    </row>
    <row r="38416" spans="1:6" x14ac:dyDescent="0.2">
      <c r="A38416" t="s">
        <v>58951</v>
      </c>
      <c r="B38416" t="s">
        <v>53811</v>
      </c>
      <c r="C38416" t="s">
        <v>20</v>
      </c>
      <c r="D38416" t="s">
        <v>21</v>
      </c>
      <c r="F38416" s="2" t="str">
        <f>HYPERLINK("http://www.otzar.org/book.asp?603289","קונטרס תורת רפאל - 2 כר'")</f>
        <v>קונטרס תורת רפאל - 2 כר'</v>
      </c>
    </row>
    <row r="38417" spans="1:6" x14ac:dyDescent="0.2">
      <c r="A38417" t="s">
        <v>58952</v>
      </c>
      <c r="B38417" t="s">
        <v>35104</v>
      </c>
      <c r="C38417" t="s">
        <v>411</v>
      </c>
      <c r="D38417" t="s">
        <v>52</v>
      </c>
      <c r="E38417" t="s">
        <v>1164</v>
      </c>
      <c r="F38417" s="2" t="str">
        <f>HYPERLINK("http://www.otzar.org/book.asp?167000","קונטרס תורתו מגן לנו")</f>
        <v>קונטרס תורתו מגן לנו</v>
      </c>
    </row>
    <row r="38418" spans="1:6" x14ac:dyDescent="0.2">
      <c r="A38418" t="s">
        <v>58953</v>
      </c>
      <c r="B38418" t="s">
        <v>54700</v>
      </c>
      <c r="C38418" t="s">
        <v>13</v>
      </c>
      <c r="D38418" t="s">
        <v>90</v>
      </c>
      <c r="F38418" s="2" t="str">
        <f>HYPERLINK("http://www.otzar.org/book.asp?612207","קונטרס תורתך שעשועי")</f>
        <v>קונטרס תורתך שעשועי</v>
      </c>
    </row>
    <row r="38419" spans="1:6" x14ac:dyDescent="0.2">
      <c r="A38419" t="s">
        <v>58953</v>
      </c>
      <c r="B38419" t="s">
        <v>9179</v>
      </c>
      <c r="C38419" t="s">
        <v>20</v>
      </c>
      <c r="D38419" t="s">
        <v>52</v>
      </c>
      <c r="E38419" t="s">
        <v>104</v>
      </c>
      <c r="F38419" s="2" t="str">
        <f>HYPERLINK("http://www.otzar.org/book.asp?623231","קונטרס תורתך שעשועי")</f>
        <v>קונטרס תורתך שעשועי</v>
      </c>
    </row>
    <row r="38420" spans="1:6" x14ac:dyDescent="0.2">
      <c r="A38420" t="s">
        <v>58954</v>
      </c>
      <c r="B38420" t="s">
        <v>6302</v>
      </c>
      <c r="C38420" t="s">
        <v>133</v>
      </c>
      <c r="D38420" t="s">
        <v>52</v>
      </c>
      <c r="E38420" t="s">
        <v>104</v>
      </c>
      <c r="F38420" s="2" t="str">
        <f>HYPERLINK("http://www.otzar.org/book.asp?175824","קונטרס תושיע בנים")</f>
        <v>קונטרס תושיע בנים</v>
      </c>
    </row>
    <row r="38421" spans="1:6" x14ac:dyDescent="0.2">
      <c r="A38421" t="s">
        <v>58955</v>
      </c>
      <c r="B38421" t="s">
        <v>54498</v>
      </c>
      <c r="C38421" t="s">
        <v>68</v>
      </c>
      <c r="D38421" t="s">
        <v>90</v>
      </c>
      <c r="F38421" s="2" t="str">
        <f>HYPERLINK("http://www.otzar.org/book.asp?617812","קונטרס תחבולות מלחמה")</f>
        <v>קונטרס תחבולות מלחמה</v>
      </c>
    </row>
    <row r="38422" spans="1:6" x14ac:dyDescent="0.2">
      <c r="A38422" t="s">
        <v>58956</v>
      </c>
      <c r="B38422" t="s">
        <v>30791</v>
      </c>
      <c r="C38422" t="s">
        <v>133</v>
      </c>
      <c r="D38422" t="s">
        <v>30792</v>
      </c>
      <c r="E38422" t="s">
        <v>158</v>
      </c>
      <c r="F38422" s="2" t="str">
        <f>HYPERLINK("http://www.otzar.org/book.asp?193630","קונטרס תיבת נח")</f>
        <v>קונטרס תיבת נח</v>
      </c>
    </row>
    <row r="38423" spans="1:6" x14ac:dyDescent="0.2">
      <c r="A38423" t="s">
        <v>58957</v>
      </c>
      <c r="B38423" t="s">
        <v>3462</v>
      </c>
      <c r="C38423" t="s">
        <v>71</v>
      </c>
      <c r="D38423" t="s">
        <v>52</v>
      </c>
      <c r="E38423" t="s">
        <v>219</v>
      </c>
      <c r="F38423" s="2" t="str">
        <f>HYPERLINK("http://www.otzar.org/book.asp?146766","קונטרס תיקון גדול מאד")</f>
        <v>קונטרס תיקון גדול מאד</v>
      </c>
    </row>
    <row r="38424" spans="1:6" x14ac:dyDescent="0.2">
      <c r="A38424" t="s">
        <v>58958</v>
      </c>
      <c r="B38424" t="s">
        <v>56992</v>
      </c>
      <c r="C38424" t="s">
        <v>411</v>
      </c>
      <c r="D38424" t="s">
        <v>245</v>
      </c>
      <c r="E38424" t="s">
        <v>144</v>
      </c>
      <c r="F38424" s="2" t="str">
        <f>HYPERLINK("http://www.otzar.org/book.asp?606711","קונטרס תיקון המבוי")</f>
        <v>קונטרס תיקון המבוי</v>
      </c>
    </row>
    <row r="38425" spans="1:6" x14ac:dyDescent="0.2">
      <c r="A38425" t="s">
        <v>58959</v>
      </c>
      <c r="B38425" t="s">
        <v>11834</v>
      </c>
      <c r="C38425" t="s">
        <v>37</v>
      </c>
      <c r="D38425" t="s">
        <v>152</v>
      </c>
      <c r="F38425" s="2" t="str">
        <f>HYPERLINK("http://www.otzar.org/book.asp?197324","קונטרס תיקון העיר")</f>
        <v>קונטרס תיקון העיר</v>
      </c>
    </row>
    <row r="38426" spans="1:6" x14ac:dyDescent="0.2">
      <c r="A38426" t="s">
        <v>58960</v>
      </c>
      <c r="B38426" t="s">
        <v>58961</v>
      </c>
      <c r="C38426" t="s">
        <v>103</v>
      </c>
      <c r="D38426" t="s">
        <v>52</v>
      </c>
      <c r="F38426" s="2" t="str">
        <f>HYPERLINK("http://www.otzar.org/book.asp?197673","קונטרס תיקון מבואות")</f>
        <v>קונטרס תיקון מבואות</v>
      </c>
    </row>
    <row r="38427" spans="1:6" x14ac:dyDescent="0.2">
      <c r="A38427" t="s">
        <v>58962</v>
      </c>
      <c r="B38427" t="s">
        <v>58963</v>
      </c>
      <c r="C38427" t="s">
        <v>20</v>
      </c>
      <c r="D38427" t="s">
        <v>90</v>
      </c>
      <c r="E38427" t="s">
        <v>15</v>
      </c>
      <c r="F38427" s="2" t="str">
        <f>HYPERLINK("http://www.otzar.org/book.asp?630054","קונטרס תיקוני שבת כהלכתו")</f>
        <v>קונטרס תיקוני שבת כהלכתו</v>
      </c>
    </row>
    <row r="38428" spans="1:6" x14ac:dyDescent="0.2">
      <c r="A38428" t="s">
        <v>58964</v>
      </c>
      <c r="B38428" t="s">
        <v>34136</v>
      </c>
      <c r="C38428" t="s">
        <v>151</v>
      </c>
      <c r="D38428" t="s">
        <v>52</v>
      </c>
      <c r="F38428" s="2" t="str">
        <f>HYPERLINK("http://www.otzar.org/book.asp?619581","קונטרס תכלת מרדכי")</f>
        <v>קונטרס תכלת מרדכי</v>
      </c>
    </row>
    <row r="38429" spans="1:6" x14ac:dyDescent="0.2">
      <c r="A38429" t="s">
        <v>58965</v>
      </c>
      <c r="B38429" t="s">
        <v>56153</v>
      </c>
      <c r="C38429" t="s">
        <v>244</v>
      </c>
      <c r="D38429" t="s">
        <v>52</v>
      </c>
      <c r="E38429" t="s">
        <v>104</v>
      </c>
      <c r="F38429" s="2" t="str">
        <f>HYPERLINK("http://www.otzar.org/book.asp?606587","קונטרס תכלתא דחלזון")</f>
        <v>קונטרס תכלתא דחלזון</v>
      </c>
    </row>
    <row r="38430" spans="1:6" x14ac:dyDescent="0.2">
      <c r="A38430" t="s">
        <v>58966</v>
      </c>
      <c r="B38430" t="s">
        <v>58967</v>
      </c>
      <c r="C38430" t="s">
        <v>146</v>
      </c>
      <c r="D38430" t="s">
        <v>412</v>
      </c>
      <c r="E38430" t="s">
        <v>104</v>
      </c>
      <c r="F38430" s="2" t="str">
        <f>HYPERLINK("http://www.otzar.org/book.asp?144955","קונטרס תכנית הבית")</f>
        <v>קונטרס תכנית הבית</v>
      </c>
    </row>
    <row r="38431" spans="1:6" x14ac:dyDescent="0.2">
      <c r="A38431" t="s">
        <v>58968</v>
      </c>
      <c r="B38431" t="s">
        <v>30077</v>
      </c>
      <c r="C38431" t="s">
        <v>366</v>
      </c>
      <c r="D38431" t="s">
        <v>14</v>
      </c>
      <c r="E38431" t="s">
        <v>130</v>
      </c>
      <c r="F38431" s="2" t="str">
        <f>HYPERLINK("http://www.otzar.org/book.asp?606427","קונטרס תל ירמות")</f>
        <v>קונטרס תל ירמות</v>
      </c>
    </row>
    <row r="38432" spans="1:6" x14ac:dyDescent="0.2">
      <c r="A38432" t="s">
        <v>58969</v>
      </c>
      <c r="B38432" t="s">
        <v>58970</v>
      </c>
      <c r="C38432" t="s">
        <v>151</v>
      </c>
      <c r="D38432" t="s">
        <v>52</v>
      </c>
      <c r="E38432" t="s">
        <v>424</v>
      </c>
      <c r="F38432" s="2" t="str">
        <f>HYPERLINK("http://www.otzar.org/book.asp?611823","קונטרס תל עולם")</f>
        <v>קונטרס תל עולם</v>
      </c>
    </row>
    <row r="38433" spans="1:6" x14ac:dyDescent="0.2">
      <c r="A38433" t="s">
        <v>58971</v>
      </c>
      <c r="B38433" t="s">
        <v>58972</v>
      </c>
      <c r="C38433" t="s">
        <v>366</v>
      </c>
      <c r="D38433" t="s">
        <v>1156</v>
      </c>
      <c r="E38433" t="s">
        <v>803</v>
      </c>
      <c r="F38433" s="2" t="str">
        <f>HYPERLINK("http://www.otzar.org/book.asp?608438","קונטרס תליה במכה")</f>
        <v>קונטרס תליה במכה</v>
      </c>
    </row>
    <row r="38434" spans="1:6" x14ac:dyDescent="0.2">
      <c r="A38434" t="s">
        <v>58973</v>
      </c>
      <c r="B38434" t="s">
        <v>1978</v>
      </c>
      <c r="C38434" t="s">
        <v>189</v>
      </c>
      <c r="D38434" t="s">
        <v>14</v>
      </c>
      <c r="E38434" t="s">
        <v>213</v>
      </c>
      <c r="F38434" s="2" t="str">
        <f>HYPERLINK("http://www.otzar.org/book.asp?145296","קונטרס תלמוד תורה")</f>
        <v>קונטרס תלמוד תורה</v>
      </c>
    </row>
    <row r="38435" spans="1:6" x14ac:dyDescent="0.2">
      <c r="A38435" t="s">
        <v>58974</v>
      </c>
      <c r="B38435" t="s">
        <v>58975</v>
      </c>
      <c r="C38435" t="s">
        <v>151</v>
      </c>
      <c r="D38435" t="s">
        <v>90</v>
      </c>
      <c r="F38435" s="2" t="str">
        <f>HYPERLINK("http://www.otzar.org/book.asp?620800","קונטרס תלמודו בידו")</f>
        <v>קונטרס תלמודו בידו</v>
      </c>
    </row>
    <row r="38436" spans="1:6" x14ac:dyDescent="0.2">
      <c r="A38436" t="s">
        <v>58976</v>
      </c>
      <c r="B38436" t="s">
        <v>58977</v>
      </c>
      <c r="C38436" t="s">
        <v>111</v>
      </c>
      <c r="D38436" t="s">
        <v>14</v>
      </c>
      <c r="E38436" t="s">
        <v>84</v>
      </c>
      <c r="F38436" s="2" t="str">
        <f>HYPERLINK("http://www.otzar.org/book.asp?630334","קונטרס תמידים כסדרם - תמיד")</f>
        <v>קונטרס תמידים כסדרם - תמיד</v>
      </c>
    </row>
    <row r="38437" spans="1:6" x14ac:dyDescent="0.2">
      <c r="A38437" t="s">
        <v>58978</v>
      </c>
      <c r="B38437" t="s">
        <v>206</v>
      </c>
      <c r="C38437" t="s">
        <v>114</v>
      </c>
      <c r="D38437" t="s">
        <v>52</v>
      </c>
      <c r="E38437" t="s">
        <v>424</v>
      </c>
      <c r="F38437" s="2" t="str">
        <f>HYPERLINK("http://www.otzar.org/book.asp?168653","קונטרס תמנת חרס")</f>
        <v>קונטרס תמנת חרס</v>
      </c>
    </row>
    <row r="38438" spans="1:6" x14ac:dyDescent="0.2">
      <c r="A38438" t="s">
        <v>58979</v>
      </c>
      <c r="B38438" t="s">
        <v>5797</v>
      </c>
      <c r="C38438" t="s">
        <v>366</v>
      </c>
      <c r="D38438" t="s">
        <v>5798</v>
      </c>
      <c r="E38438" t="s">
        <v>144</v>
      </c>
      <c r="F38438" s="2" t="str">
        <f>HYPERLINK("http://www.otzar.org/book.asp?607139","קונטרס תנאי בדבר שבממון")</f>
        <v>קונטרס תנאי בדבר שבממון</v>
      </c>
    </row>
    <row r="38439" spans="1:6" x14ac:dyDescent="0.2">
      <c r="A38439" t="s">
        <v>58980</v>
      </c>
      <c r="B38439" t="s">
        <v>58981</v>
      </c>
      <c r="C38439" t="s">
        <v>23</v>
      </c>
      <c r="D38439" t="s">
        <v>3436</v>
      </c>
      <c r="E38439" t="s">
        <v>104</v>
      </c>
      <c r="F38439" s="2" t="str">
        <f>HYPERLINK("http://www.otzar.org/book.asp?195698","קונטרס תנה הודך על השמים")</f>
        <v>קונטרס תנה הודך על השמים</v>
      </c>
    </row>
    <row r="38440" spans="1:6" x14ac:dyDescent="0.2">
      <c r="A38440" t="s">
        <v>58982</v>
      </c>
      <c r="B38440" t="s">
        <v>58983</v>
      </c>
      <c r="C38440" t="s">
        <v>411</v>
      </c>
      <c r="D38440" t="s">
        <v>52</v>
      </c>
      <c r="E38440" t="s">
        <v>7411</v>
      </c>
      <c r="F38440" s="2" t="str">
        <f>HYPERLINK("http://www.otzar.org/book.asp?166782","קונטרס תנובות שחר")</f>
        <v>קונטרס תנובות שחר</v>
      </c>
    </row>
    <row r="38441" spans="1:6" x14ac:dyDescent="0.2">
      <c r="A38441" t="s">
        <v>58984</v>
      </c>
      <c r="B38441" t="s">
        <v>58985</v>
      </c>
      <c r="F38441" s="2" t="str">
        <f>HYPERLINK("http://www.otzar.org/book.asp?629941","קונטרס תפארת אברהם - כיבוד הורים")</f>
        <v>קונטרס תפארת אברהם - כיבוד הורים</v>
      </c>
    </row>
    <row r="38442" spans="1:6" x14ac:dyDescent="0.2">
      <c r="A38442" t="s">
        <v>58986</v>
      </c>
      <c r="B38442" t="s">
        <v>58987</v>
      </c>
      <c r="C38442" t="s">
        <v>189</v>
      </c>
      <c r="D38442" t="s">
        <v>52</v>
      </c>
      <c r="E38442" t="s">
        <v>119</v>
      </c>
      <c r="F38442" s="2" t="str">
        <f>HYPERLINK("http://www.otzar.org/book.asp?172006","קונטרס תפארת בית ישראל")</f>
        <v>קונטרס תפארת בית ישראל</v>
      </c>
    </row>
    <row r="38443" spans="1:6" x14ac:dyDescent="0.2">
      <c r="A38443" t="s">
        <v>58988</v>
      </c>
      <c r="B38443" t="s">
        <v>58989</v>
      </c>
      <c r="C38443" t="s">
        <v>523</v>
      </c>
      <c r="D38443" t="s">
        <v>58990</v>
      </c>
      <c r="E38443" t="s">
        <v>119</v>
      </c>
      <c r="F38443" s="2" t="str">
        <f>HYPERLINK("http://www.otzar.org/book.asp?193632","קונטרס תפארת בנים אבותם")</f>
        <v>קונטרס תפארת בנים אבותם</v>
      </c>
    </row>
    <row r="38444" spans="1:6" x14ac:dyDescent="0.2">
      <c r="A38444" t="s">
        <v>58991</v>
      </c>
      <c r="B38444" t="s">
        <v>54700</v>
      </c>
      <c r="C38444" t="s">
        <v>244</v>
      </c>
      <c r="D38444" t="s">
        <v>52</v>
      </c>
      <c r="F38444" s="2" t="str">
        <f>HYPERLINK("http://www.otzar.org/book.asp?612219","קונטרס תפארת השבת")</f>
        <v>קונטרס תפארת השבת</v>
      </c>
    </row>
    <row r="38445" spans="1:6" x14ac:dyDescent="0.2">
      <c r="A38445" t="s">
        <v>58992</v>
      </c>
      <c r="B38445" t="s">
        <v>15969</v>
      </c>
      <c r="C38445" t="s">
        <v>189</v>
      </c>
      <c r="D38445" t="s">
        <v>52</v>
      </c>
      <c r="F38445" s="2" t="str">
        <f>HYPERLINK("http://www.otzar.org/book.asp?194221","קונטרס תפארת חתנים")</f>
        <v>קונטרס תפארת חתנים</v>
      </c>
    </row>
    <row r="38446" spans="1:6" x14ac:dyDescent="0.2">
      <c r="A38446" t="s">
        <v>58993</v>
      </c>
      <c r="B38446" t="s">
        <v>58994</v>
      </c>
      <c r="C38446" t="s">
        <v>58995</v>
      </c>
      <c r="D38446" t="s">
        <v>90</v>
      </c>
      <c r="E38446" t="s">
        <v>144</v>
      </c>
      <c r="F38446" s="2" t="str">
        <f>HYPERLINK("http://www.otzar.org/book.asp?197757","קונטרס תפארת יעקב")</f>
        <v>קונטרס תפארת יעקב</v>
      </c>
    </row>
    <row r="38447" spans="1:6" x14ac:dyDescent="0.2">
      <c r="A38447" t="s">
        <v>58996</v>
      </c>
      <c r="B38447" t="s">
        <v>58997</v>
      </c>
      <c r="C38447" t="s">
        <v>68</v>
      </c>
      <c r="D38447" t="s">
        <v>52</v>
      </c>
      <c r="F38447" s="2" t="str">
        <f>HYPERLINK("http://www.otzar.org/book.asp?608819","קונטרס תפארת יצחק")</f>
        <v>קונטרס תפארת יצחק</v>
      </c>
    </row>
    <row r="38448" spans="1:6" x14ac:dyDescent="0.2">
      <c r="A38448" t="s">
        <v>58998</v>
      </c>
      <c r="B38448" t="s">
        <v>58999</v>
      </c>
      <c r="C38448" t="s">
        <v>20</v>
      </c>
      <c r="D38448" t="s">
        <v>2504</v>
      </c>
      <c r="E38448" t="s">
        <v>202</v>
      </c>
      <c r="F38448" s="2" t="str">
        <f>HYPERLINK("http://www.otzar.org/book.asp?163528","קונטרס תפארת ישראל - 2 כר'")</f>
        <v>קונטרס תפארת ישראל - 2 כר'</v>
      </c>
    </row>
    <row r="38449" spans="1:6" x14ac:dyDescent="0.2">
      <c r="A38449" t="s">
        <v>59000</v>
      </c>
      <c r="B38449" t="s">
        <v>489</v>
      </c>
      <c r="C38449" t="s">
        <v>114</v>
      </c>
      <c r="D38449" t="s">
        <v>14</v>
      </c>
      <c r="E38449" t="s">
        <v>202</v>
      </c>
      <c r="F38449" s="2" t="str">
        <f>HYPERLINK("http://www.otzar.org/book.asp?619877","קונטרס תפארת ערמונים")</f>
        <v>קונטרס תפארת ערמונים</v>
      </c>
    </row>
    <row r="38450" spans="1:6" x14ac:dyDescent="0.2">
      <c r="A38450" t="s">
        <v>59001</v>
      </c>
      <c r="B38450" t="s">
        <v>23949</v>
      </c>
      <c r="C38450" t="s">
        <v>37</v>
      </c>
      <c r="D38450" t="s">
        <v>646</v>
      </c>
      <c r="E38450" t="s">
        <v>130</v>
      </c>
      <c r="F38450" s="2" t="str">
        <f>HYPERLINK("http://www.otzar.org/book.asp?191172","קונטרס תפארת צבי - 2 כר'")</f>
        <v>קונטרס תפארת צבי - 2 כר'</v>
      </c>
    </row>
    <row r="38451" spans="1:6" x14ac:dyDescent="0.2">
      <c r="A38451" t="s">
        <v>59002</v>
      </c>
      <c r="B38451" t="s">
        <v>59003</v>
      </c>
      <c r="C38451" t="s">
        <v>114</v>
      </c>
      <c r="D38451" t="s">
        <v>14</v>
      </c>
      <c r="E38451" t="s">
        <v>230</v>
      </c>
      <c r="F38451" s="2" t="str">
        <f>HYPERLINK("http://www.otzar.org/book.asp?163387","קונטרס תפארת שמואל")</f>
        <v>קונטרס תפארת שמואל</v>
      </c>
    </row>
    <row r="38452" spans="1:6" x14ac:dyDescent="0.2">
      <c r="A38452" t="s">
        <v>59004</v>
      </c>
      <c r="B38452" t="s">
        <v>59005</v>
      </c>
      <c r="C38452" t="s">
        <v>23</v>
      </c>
      <c r="D38452" t="s">
        <v>21</v>
      </c>
      <c r="E38452" t="s">
        <v>213</v>
      </c>
      <c r="F38452" s="2" t="str">
        <f>HYPERLINK("http://www.otzar.org/book.asp?195801","קונטרס תפארת ששון")</f>
        <v>קונטרס תפארת ששון</v>
      </c>
    </row>
    <row r="38453" spans="1:6" x14ac:dyDescent="0.2">
      <c r="A38453" t="s">
        <v>59006</v>
      </c>
      <c r="B38453" t="s">
        <v>206</v>
      </c>
      <c r="C38453" t="s">
        <v>114</v>
      </c>
      <c r="D38453" t="s">
        <v>52</v>
      </c>
      <c r="E38453" t="s">
        <v>15</v>
      </c>
      <c r="F38453" s="2" t="str">
        <f>HYPERLINK("http://www.otzar.org/book.asp?162128","קונטרס תפילה בלחש")</f>
        <v>קונטרס תפילה בלחש</v>
      </c>
    </row>
    <row r="38454" spans="1:6" x14ac:dyDescent="0.2">
      <c r="A38454" t="s">
        <v>59007</v>
      </c>
      <c r="B38454" t="s">
        <v>18820</v>
      </c>
      <c r="C38454" t="s">
        <v>114</v>
      </c>
      <c r="D38454" t="s">
        <v>52</v>
      </c>
      <c r="E38454" t="s">
        <v>219</v>
      </c>
      <c r="F38454" s="2" t="str">
        <f>HYPERLINK("http://www.otzar.org/book.asp?172936","קונטרס תפילה ורפואה")</f>
        <v>קונטרס תפילה ורפואה</v>
      </c>
    </row>
    <row r="38455" spans="1:6" x14ac:dyDescent="0.2">
      <c r="A38455" t="s">
        <v>59008</v>
      </c>
      <c r="B38455" t="s">
        <v>11019</v>
      </c>
      <c r="C38455" t="s">
        <v>20</v>
      </c>
      <c r="D38455" t="s">
        <v>14</v>
      </c>
      <c r="E38455" t="s">
        <v>219</v>
      </c>
      <c r="F38455" s="2" t="str">
        <f>HYPERLINK("http://www.otzar.org/book.asp?163092","קונטרס תפילה לדוד")</f>
        <v>קונטרס תפילה לדוד</v>
      </c>
    </row>
    <row r="38456" spans="1:6" x14ac:dyDescent="0.2">
      <c r="A38456" t="s">
        <v>59009</v>
      </c>
      <c r="B38456" t="s">
        <v>4431</v>
      </c>
      <c r="C38456" t="s">
        <v>20</v>
      </c>
      <c r="D38456" t="s">
        <v>14</v>
      </c>
      <c r="F38456" s="2" t="str">
        <f>HYPERLINK("http://www.otzar.org/book.asp?613381","קונטרס תפילות ממוהר""ר אליעזר פאפו")</f>
        <v>קונטרס תפילות ממוהר"ר אליעזר פאפו</v>
      </c>
    </row>
    <row r="38457" spans="1:6" x14ac:dyDescent="0.2">
      <c r="A38457" t="s">
        <v>59010</v>
      </c>
      <c r="B38457" t="s">
        <v>59011</v>
      </c>
      <c r="C38457" t="s">
        <v>23</v>
      </c>
      <c r="D38457" t="s">
        <v>4549</v>
      </c>
      <c r="E38457" t="s">
        <v>15</v>
      </c>
      <c r="F38457" s="2" t="str">
        <f>HYPERLINK("http://www.otzar.org/book.asp?623369","קונטרס תפילת הדרך")</f>
        <v>קונטרס תפילת הדרך</v>
      </c>
    </row>
    <row r="38458" spans="1:6" x14ac:dyDescent="0.2">
      <c r="A38458" t="s">
        <v>59012</v>
      </c>
      <c r="B38458" t="s">
        <v>5797</v>
      </c>
      <c r="C38458" t="s">
        <v>366</v>
      </c>
      <c r="D38458" t="s">
        <v>5798</v>
      </c>
      <c r="E38458" t="s">
        <v>144</v>
      </c>
      <c r="F38458" s="2" t="str">
        <f>HYPERLINK("http://www.otzar.org/book.asp?607137","קונטרס תפיסה ובעלות")</f>
        <v>קונטרס תפיסה ובעלות</v>
      </c>
    </row>
    <row r="38459" spans="1:6" x14ac:dyDescent="0.2">
      <c r="A38459" t="s">
        <v>59013</v>
      </c>
      <c r="B38459" t="s">
        <v>42219</v>
      </c>
      <c r="C38459" t="s">
        <v>411</v>
      </c>
      <c r="D38459" t="s">
        <v>412</v>
      </c>
      <c r="E38459" t="s">
        <v>15</v>
      </c>
      <c r="F38459" s="2" t="str">
        <f>HYPERLINK("http://www.otzar.org/book.asp?192794","קונטרס תפלה בצבור")</f>
        <v>קונטרס תפלה בצבור</v>
      </c>
    </row>
    <row r="38460" spans="1:6" x14ac:dyDescent="0.2">
      <c r="A38460" t="s">
        <v>59014</v>
      </c>
      <c r="B38460" t="s">
        <v>59015</v>
      </c>
      <c r="C38460" t="s">
        <v>37</v>
      </c>
      <c r="D38460" t="s">
        <v>90</v>
      </c>
      <c r="E38460" t="s">
        <v>2775</v>
      </c>
      <c r="F38460" s="2" t="str">
        <f>HYPERLINK("http://www.otzar.org/book.asp?195639","קונטרס תפלה לדוד")</f>
        <v>קונטרס תפלה לדוד</v>
      </c>
    </row>
    <row r="38461" spans="1:6" x14ac:dyDescent="0.2">
      <c r="A38461" t="s">
        <v>59016</v>
      </c>
      <c r="B38461" t="s">
        <v>8159</v>
      </c>
      <c r="C38461" t="s">
        <v>13</v>
      </c>
      <c r="D38461" t="s">
        <v>52</v>
      </c>
      <c r="F38461" s="2" t="str">
        <f>HYPERLINK("http://www.otzar.org/book.asp?85902","קונטרס תקון חצות")</f>
        <v>קונטרס תקון חצות</v>
      </c>
    </row>
    <row r="38462" spans="1:6" x14ac:dyDescent="0.2">
      <c r="A38462" t="s">
        <v>59017</v>
      </c>
      <c r="B38462" t="s">
        <v>59018</v>
      </c>
      <c r="C38462" t="s">
        <v>23</v>
      </c>
      <c r="D38462" t="s">
        <v>276</v>
      </c>
      <c r="E38462" t="s">
        <v>15</v>
      </c>
      <c r="F38462" s="2" t="str">
        <f>HYPERLINK("http://www.otzar.org/book.asp?600580","קונטרס תקנת הרבית - 3 כר'")</f>
        <v>קונטרס תקנת הרבית - 3 כר'</v>
      </c>
    </row>
    <row r="38463" spans="1:6" x14ac:dyDescent="0.2">
      <c r="A38463" t="s">
        <v>59019</v>
      </c>
      <c r="B38463" t="s">
        <v>26637</v>
      </c>
      <c r="C38463" t="s">
        <v>1470</v>
      </c>
      <c r="D38463" t="s">
        <v>412</v>
      </c>
      <c r="E38463" t="s">
        <v>15</v>
      </c>
      <c r="F38463" s="2" t="str">
        <f>HYPERLINK("http://www.otzar.org/book.asp?190728","קונטרס תקנת עגונות")</f>
        <v>קונטרס תקנת עגונות</v>
      </c>
    </row>
    <row r="38464" spans="1:6" x14ac:dyDescent="0.2">
      <c r="A38464" t="s">
        <v>59019</v>
      </c>
      <c r="B38464" t="s">
        <v>11333</v>
      </c>
      <c r="C38464" t="s">
        <v>985</v>
      </c>
      <c r="D38464" t="s">
        <v>59020</v>
      </c>
      <c r="E38464" t="s">
        <v>803</v>
      </c>
      <c r="F38464" s="2" t="str">
        <f>HYPERLINK("http://www.otzar.org/book.asp?52420","קונטרס תקנת עגונות")</f>
        <v>קונטרס תקנת עגונות</v>
      </c>
    </row>
    <row r="38465" spans="1:6" x14ac:dyDescent="0.2">
      <c r="A38465" t="s">
        <v>59021</v>
      </c>
      <c r="B38465" t="s">
        <v>21804</v>
      </c>
      <c r="C38465" t="s">
        <v>17</v>
      </c>
      <c r="D38465" t="s">
        <v>14</v>
      </c>
      <c r="E38465" t="s">
        <v>186</v>
      </c>
      <c r="F38465" s="2" t="str">
        <f>HYPERLINK("http://www.otzar.org/book.asp?85097","קונטרס תקפו כהן")</f>
        <v>קונטרס תקפו כהן</v>
      </c>
    </row>
    <row r="38466" spans="1:6" x14ac:dyDescent="0.2">
      <c r="A38466" t="s">
        <v>59021</v>
      </c>
      <c r="B38466" t="s">
        <v>59022</v>
      </c>
      <c r="C38466" t="s">
        <v>133</v>
      </c>
      <c r="D38466" t="s">
        <v>21</v>
      </c>
      <c r="E38466" t="s">
        <v>144</v>
      </c>
      <c r="F38466" s="2" t="str">
        <f>HYPERLINK("http://www.otzar.org/book.asp?195937","קונטרס תקפו כהן")</f>
        <v>קונטרס תקפו כהן</v>
      </c>
    </row>
    <row r="38467" spans="1:6" x14ac:dyDescent="0.2">
      <c r="A38467" t="s">
        <v>59023</v>
      </c>
      <c r="B38467" t="s">
        <v>6458</v>
      </c>
      <c r="C38467" t="s">
        <v>617</v>
      </c>
      <c r="D38467" t="s">
        <v>6238</v>
      </c>
      <c r="E38467" t="s">
        <v>15</v>
      </c>
      <c r="F38467" s="2" t="str">
        <f>HYPERLINK("http://www.otzar.org/book.asp?19374","קונטרס תר""ל")</f>
        <v>קונטרס תר"ל</v>
      </c>
    </row>
    <row r="38468" spans="1:6" x14ac:dyDescent="0.2">
      <c r="A38468" t="s">
        <v>59024</v>
      </c>
      <c r="B38468" t="s">
        <v>56652</v>
      </c>
      <c r="C38468" t="s">
        <v>1335</v>
      </c>
      <c r="D38468" t="s">
        <v>535</v>
      </c>
      <c r="E38468" t="s">
        <v>674</v>
      </c>
      <c r="F38468" s="2" t="str">
        <f>HYPERLINK("http://www.otzar.org/book.asp?171554","קונטרס תרי""ג")</f>
        <v>קונטרס תרי"ג</v>
      </c>
    </row>
    <row r="38469" spans="1:6" x14ac:dyDescent="0.2">
      <c r="A38469" t="s">
        <v>59025</v>
      </c>
      <c r="B38469" t="s">
        <v>5003</v>
      </c>
      <c r="C38469" t="s">
        <v>151</v>
      </c>
      <c r="D38469" t="s">
        <v>147</v>
      </c>
      <c r="F38469" s="2" t="str">
        <f>HYPERLINK("http://www.otzar.org/book.asp?616940","קונטרס תרנגולתא דאגמא")</f>
        <v>קונטרס תרנגולתא דאגמא</v>
      </c>
    </row>
    <row r="38470" spans="1:6" x14ac:dyDescent="0.2">
      <c r="A38470" t="s">
        <v>59026</v>
      </c>
      <c r="B38470" t="s">
        <v>12985</v>
      </c>
      <c r="C38470" t="s">
        <v>1609</v>
      </c>
      <c r="D38470" t="s">
        <v>59027</v>
      </c>
      <c r="E38470" t="s">
        <v>674</v>
      </c>
      <c r="F38470" s="2" t="str">
        <f>HYPERLINK("http://www.otzar.org/book.asp?188845","קונטרס תרתי לריעותא")</f>
        <v>קונטרס תרתי לריעותא</v>
      </c>
    </row>
    <row r="38471" spans="1:6" x14ac:dyDescent="0.2">
      <c r="A38471" t="s">
        <v>59028</v>
      </c>
      <c r="B38471" t="s">
        <v>18792</v>
      </c>
      <c r="C38471" t="s">
        <v>17</v>
      </c>
      <c r="D38471" t="s">
        <v>52</v>
      </c>
      <c r="F38471" s="2" t="str">
        <f>HYPERLINK("http://www.otzar.org/book.asp?614006","קונטרס תשובה ותפלה בימים נוראים הקדושים")</f>
        <v>קונטרס תשובה ותפלה בימים נוראים הקדושים</v>
      </c>
    </row>
    <row r="38472" spans="1:6" x14ac:dyDescent="0.2">
      <c r="A38472" t="s">
        <v>59029</v>
      </c>
      <c r="B38472" t="s">
        <v>59030</v>
      </c>
      <c r="C38472" t="s">
        <v>244</v>
      </c>
      <c r="D38472" t="s">
        <v>21</v>
      </c>
      <c r="F38472" s="2" t="str">
        <f>HYPERLINK("http://www.otzar.org/book.asp?622216","קונטרס תשובת המשקל למשקל הדרהם")</f>
        <v>קונטרס תשובת המשקל למשקל הדרהם</v>
      </c>
    </row>
    <row r="38473" spans="1:6" x14ac:dyDescent="0.2">
      <c r="A38473" t="s">
        <v>59031</v>
      </c>
      <c r="B38473" t="s">
        <v>30320</v>
      </c>
      <c r="C38473" t="s">
        <v>59032</v>
      </c>
      <c r="D38473" t="s">
        <v>36267</v>
      </c>
      <c r="E38473" t="s">
        <v>467</v>
      </c>
      <c r="F38473" s="2" t="str">
        <f>HYPERLINK("http://www.otzar.org/book.asp?196333","קונטרס תשובת השנה")</f>
        <v>קונטרס תשובת השנה</v>
      </c>
    </row>
    <row r="38474" spans="1:6" x14ac:dyDescent="0.2">
      <c r="A38474" t="s">
        <v>59033</v>
      </c>
      <c r="B38474" t="s">
        <v>5797</v>
      </c>
      <c r="C38474" t="s">
        <v>133</v>
      </c>
      <c r="D38474" t="s">
        <v>5798</v>
      </c>
      <c r="F38474" s="2" t="str">
        <f>HYPERLINK("http://www.otzar.org/book.asp?198309","קונטרס תשובת שאלה")</f>
        <v>קונטרס תשובת שאלה</v>
      </c>
    </row>
    <row r="38475" spans="1:6" x14ac:dyDescent="0.2">
      <c r="A38475" t="s">
        <v>59034</v>
      </c>
      <c r="B38475" t="s">
        <v>59035</v>
      </c>
      <c r="C38475" t="s">
        <v>411</v>
      </c>
      <c r="D38475" t="s">
        <v>14</v>
      </c>
      <c r="E38475" t="s">
        <v>230</v>
      </c>
      <c r="F38475" s="2" t="str">
        <f>HYPERLINK("http://www.otzar.org/book.asp?167190","קונטרס תשועתם היית לנצח")</f>
        <v>קונטרס תשועתם היית לנצח</v>
      </c>
    </row>
    <row r="38476" spans="1:6" x14ac:dyDescent="0.2">
      <c r="A38476" t="s">
        <v>59036</v>
      </c>
      <c r="B38476" t="s">
        <v>59037</v>
      </c>
      <c r="C38476" t="s">
        <v>20</v>
      </c>
      <c r="D38476" t="s">
        <v>14</v>
      </c>
      <c r="E38476" t="s">
        <v>579</v>
      </c>
      <c r="F38476" s="2" t="str">
        <f>HYPERLINK("http://www.otzar.org/book.asp?624880","קונטרס - המקדש וכליו")</f>
        <v>קונטרס - המקדש וכליו</v>
      </c>
    </row>
    <row r="38477" spans="1:6" x14ac:dyDescent="0.2">
      <c r="A38477" t="s">
        <v>59038</v>
      </c>
      <c r="B38477" t="s">
        <v>20591</v>
      </c>
      <c r="C38477" t="s">
        <v>313</v>
      </c>
      <c r="D38477" t="s">
        <v>52</v>
      </c>
      <c r="E38477" t="s">
        <v>144</v>
      </c>
      <c r="F38477" s="2" t="str">
        <f>HYPERLINK("http://www.otzar.org/book.asp?53061","קונטרס - 4 כר'")</f>
        <v>קונטרס - 4 כר'</v>
      </c>
    </row>
    <row r="38478" spans="1:6" x14ac:dyDescent="0.2">
      <c r="A38478" t="s">
        <v>59039</v>
      </c>
      <c r="B38478" t="s">
        <v>9338</v>
      </c>
      <c r="C38478" t="s">
        <v>23</v>
      </c>
      <c r="D38478" t="s">
        <v>4519</v>
      </c>
      <c r="E38478" t="s">
        <v>674</v>
      </c>
      <c r="F38478" s="2" t="str">
        <f>HYPERLINK("http://www.otzar.org/book.asp?630354","קונטרס - לא תהא כהנת כפונדקית")</f>
        <v>קונטרס - לא תהא כהנת כפונדקית</v>
      </c>
    </row>
    <row r="38479" spans="1:6" x14ac:dyDescent="0.2">
      <c r="A38479" t="s">
        <v>59040</v>
      </c>
      <c r="B38479" t="s">
        <v>59041</v>
      </c>
      <c r="C38479" t="s">
        <v>23</v>
      </c>
      <c r="D38479" t="s">
        <v>90</v>
      </c>
      <c r="E38479" t="s">
        <v>564</v>
      </c>
      <c r="F38479" s="2" t="str">
        <f>HYPERLINK("http://www.otzar.org/book.asp?618869","קונטרס - כבוד בית ה'")</f>
        <v>קונטרס - כבוד בית ה'</v>
      </c>
    </row>
    <row r="38480" spans="1:6" x14ac:dyDescent="0.2">
      <c r="A38480" t="s">
        <v>59042</v>
      </c>
      <c r="B38480" t="s">
        <v>30102</v>
      </c>
      <c r="C38480" t="s">
        <v>20</v>
      </c>
      <c r="D38480" t="s">
        <v>14</v>
      </c>
      <c r="E38480" t="s">
        <v>3055</v>
      </c>
      <c r="F38480" s="2" t="str">
        <f>HYPERLINK("http://www.otzar.org/book.asp?614799","קונטרס - 2 כר'")</f>
        <v>קונטרס - 2 כר'</v>
      </c>
    </row>
    <row r="38481" spans="1:6" x14ac:dyDescent="0.2">
      <c r="A38481" t="s">
        <v>59042</v>
      </c>
      <c r="B38481" t="s">
        <v>3727</v>
      </c>
      <c r="C38481" t="s">
        <v>20</v>
      </c>
      <c r="D38481" t="s">
        <v>52</v>
      </c>
      <c r="E38481" t="s">
        <v>165</v>
      </c>
      <c r="F38481" s="2" t="str">
        <f>HYPERLINK("http://www.otzar.org/book.asp?613227","קונטרס - 2 כר'")</f>
        <v>קונטרס - 2 כר'</v>
      </c>
    </row>
    <row r="38482" spans="1:6" x14ac:dyDescent="0.2">
      <c r="A38482" t="s">
        <v>59043</v>
      </c>
      <c r="B38482" t="s">
        <v>28379</v>
      </c>
      <c r="C38482" t="s">
        <v>366</v>
      </c>
      <c r="D38482" t="s">
        <v>52</v>
      </c>
      <c r="E38482" t="s">
        <v>144</v>
      </c>
      <c r="F38482" s="2" t="str">
        <f>HYPERLINK("http://www.otzar.org/book.asp?614808","קונטרס - משמני אשר - אלו מציעות")</f>
        <v>קונטרס - משמני אשר - אלו מציעות</v>
      </c>
    </row>
    <row r="38483" spans="1:6" x14ac:dyDescent="0.2">
      <c r="A38483" t="s">
        <v>59044</v>
      </c>
      <c r="B38483" t="s">
        <v>59045</v>
      </c>
      <c r="C38483" t="s">
        <v>189</v>
      </c>
      <c r="D38483" t="s">
        <v>52</v>
      </c>
      <c r="E38483" t="s">
        <v>219</v>
      </c>
      <c r="F38483" s="2" t="str">
        <f>HYPERLINK("http://www.otzar.org/book.asp?617348","קונטרס - לישרי לב שמחה")</f>
        <v>קונטרס - לישרי לב שמחה</v>
      </c>
    </row>
    <row r="38484" spans="1:6" x14ac:dyDescent="0.2">
      <c r="A38484" t="s">
        <v>59038</v>
      </c>
      <c r="B38484" t="s">
        <v>59046</v>
      </c>
      <c r="C38484" t="s">
        <v>133</v>
      </c>
      <c r="D38484" t="s">
        <v>47794</v>
      </c>
      <c r="F38484" s="2" t="str">
        <f>HYPERLINK("http://www.otzar.org/book.asp?193407","קונטרס - 4 כר'")</f>
        <v>קונטרס - 4 כר'</v>
      </c>
    </row>
    <row r="38485" spans="1:6" x14ac:dyDescent="0.2">
      <c r="A38485" t="s">
        <v>59047</v>
      </c>
      <c r="B38485" t="s">
        <v>14784</v>
      </c>
      <c r="C38485" t="s">
        <v>422</v>
      </c>
      <c r="D38485" t="s">
        <v>14</v>
      </c>
      <c r="E38485" t="s">
        <v>24</v>
      </c>
      <c r="F38485" s="2" t="str">
        <f>HYPERLINK("http://www.otzar.org/book.asp?160175","קונטרס - 46 כר'")</f>
        <v>קונטרס - 46 כר'</v>
      </c>
    </row>
    <row r="38486" spans="1:6" x14ac:dyDescent="0.2">
      <c r="A38486" t="s">
        <v>59048</v>
      </c>
      <c r="B38486" t="s">
        <v>44649</v>
      </c>
      <c r="C38486" t="s">
        <v>68</v>
      </c>
      <c r="D38486" t="s">
        <v>412</v>
      </c>
      <c r="E38486" t="s">
        <v>15</v>
      </c>
      <c r="F38486" s="2" t="str">
        <f>HYPERLINK("http://www.otzar.org/book.asp?171799","קונטרס - 87 כר'")</f>
        <v>קונטרס - 87 כר'</v>
      </c>
    </row>
    <row r="38487" spans="1:6" x14ac:dyDescent="0.2">
      <c r="A38487" t="s">
        <v>59049</v>
      </c>
      <c r="B38487" t="s">
        <v>59050</v>
      </c>
      <c r="C38487" t="s">
        <v>103</v>
      </c>
      <c r="D38487" t="s">
        <v>14</v>
      </c>
      <c r="E38487" t="s">
        <v>130</v>
      </c>
      <c r="F38487" s="2" t="str">
        <f>HYPERLINK("http://www.otzar.org/book.asp?158826","קונטרס - 3 כר'")</f>
        <v>קונטרס - 3 כר'</v>
      </c>
    </row>
    <row r="38488" spans="1:6" x14ac:dyDescent="0.2">
      <c r="A38488" t="s">
        <v>59051</v>
      </c>
      <c r="B38488" t="s">
        <v>59052</v>
      </c>
      <c r="C38488" t="s">
        <v>114</v>
      </c>
      <c r="D38488" t="s">
        <v>52</v>
      </c>
      <c r="E38488" t="s">
        <v>15</v>
      </c>
      <c r="F38488" s="2" t="str">
        <f>HYPERLINK("http://www.otzar.org/book.asp?617350","קונטרס - זהירות מלשון הרע בשידוכים")</f>
        <v>קונטרס - זהירות מלשון הרע בשידוכים</v>
      </c>
    </row>
    <row r="38489" spans="1:6" x14ac:dyDescent="0.2">
      <c r="A38489" t="s">
        <v>59053</v>
      </c>
      <c r="B38489" t="s">
        <v>55994</v>
      </c>
      <c r="C38489" t="s">
        <v>146</v>
      </c>
      <c r="D38489" t="s">
        <v>52</v>
      </c>
      <c r="E38489" t="s">
        <v>15</v>
      </c>
      <c r="F38489" s="2" t="str">
        <f>HYPERLINK("http://www.otzar.org/book.asp?155804","קונטרס - 5 כר'")</f>
        <v>קונטרס - 5 כר'</v>
      </c>
    </row>
    <row r="38490" spans="1:6" x14ac:dyDescent="0.2">
      <c r="A38490" t="s">
        <v>59054</v>
      </c>
      <c r="B38490" t="s">
        <v>59055</v>
      </c>
      <c r="C38490" t="s">
        <v>129</v>
      </c>
      <c r="D38490" t="s">
        <v>14</v>
      </c>
      <c r="E38490" t="s">
        <v>140</v>
      </c>
      <c r="F38490" s="2" t="str">
        <f>HYPERLINK("http://www.otzar.org/book.asp?152419","קונטרסי חסידות - 5 כר'")</f>
        <v>קונטרסי חסידות - 5 כר'</v>
      </c>
    </row>
    <row r="38491" spans="1:6" x14ac:dyDescent="0.2">
      <c r="A38491" t="s">
        <v>59056</v>
      </c>
      <c r="B38491" t="s">
        <v>59057</v>
      </c>
      <c r="C38491" t="s">
        <v>146</v>
      </c>
      <c r="D38491" t="s">
        <v>59058</v>
      </c>
      <c r="E38491" t="s">
        <v>144</v>
      </c>
      <c r="F38491" s="2" t="str">
        <f>HYPERLINK("http://www.otzar.org/book.asp?606635","קונטרסי עיון בסוגיות הש""ס")</f>
        <v>קונטרסי עיון בסוגיות הש"ס</v>
      </c>
    </row>
    <row r="38492" spans="1:6" x14ac:dyDescent="0.2">
      <c r="A38492" t="s">
        <v>59059</v>
      </c>
      <c r="B38492" t="s">
        <v>12606</v>
      </c>
      <c r="C38492" t="s">
        <v>51</v>
      </c>
      <c r="D38492" t="s">
        <v>14</v>
      </c>
      <c r="E38492" t="s">
        <v>144</v>
      </c>
      <c r="F38492" s="2" t="str">
        <f>HYPERLINK("http://www.otzar.org/book.asp?108403","קונטרסי שיעורים - 2 כר'")</f>
        <v>קונטרסי שיעורים - 2 כר'</v>
      </c>
    </row>
    <row r="38493" spans="1:6" x14ac:dyDescent="0.2">
      <c r="A38493" t="s">
        <v>59060</v>
      </c>
      <c r="B38493" t="s">
        <v>19490</v>
      </c>
      <c r="C38493" t="s">
        <v>189</v>
      </c>
      <c r="D38493" t="s">
        <v>14</v>
      </c>
      <c r="E38493" t="s">
        <v>144</v>
      </c>
      <c r="F38493" s="2" t="str">
        <f>HYPERLINK("http://www.otzar.org/book.asp?50284","קונטרסי שיעורים - 6 כר'")</f>
        <v>קונטרסי שיעורים - 6 כר'</v>
      </c>
    </row>
    <row r="38494" spans="1:6" x14ac:dyDescent="0.2">
      <c r="A38494" t="s">
        <v>59061</v>
      </c>
      <c r="B38494" t="s">
        <v>206</v>
      </c>
      <c r="C38494" t="s">
        <v>20</v>
      </c>
      <c r="D38494" t="s">
        <v>14</v>
      </c>
      <c r="E38494" t="s">
        <v>246</v>
      </c>
      <c r="F38494" s="2" t="str">
        <f>HYPERLINK("http://www.otzar.org/book.asp?605945","קונטרסים אושפיזין - ישראל בראשית")</f>
        <v>קונטרסים אושפיזין - ישראל בראשית</v>
      </c>
    </row>
    <row r="38495" spans="1:6" x14ac:dyDescent="0.2">
      <c r="A38495" t="s">
        <v>59062</v>
      </c>
      <c r="B38495" t="s">
        <v>59063</v>
      </c>
      <c r="C38495" t="s">
        <v>20</v>
      </c>
      <c r="D38495" t="s">
        <v>412</v>
      </c>
      <c r="E38495" t="s">
        <v>234</v>
      </c>
      <c r="F38495" s="2" t="str">
        <f>HYPERLINK("http://www.otzar.org/book.asp?177250","קונטרסים יד אליעזר")</f>
        <v>קונטרסים יד אליעזר</v>
      </c>
    </row>
    <row r="38496" spans="1:6" x14ac:dyDescent="0.2">
      <c r="A38496" t="s">
        <v>59064</v>
      </c>
      <c r="B38496" t="s">
        <v>59065</v>
      </c>
      <c r="C38496" t="s">
        <v>1062</v>
      </c>
      <c r="D38496" t="s">
        <v>3208</v>
      </c>
      <c r="F38496" s="2" t="str">
        <f>HYPERLINK("http://www.otzar.org/book.asp?197627","קונטרסים לבעיות הפועל המזרחי - ג")</f>
        <v>קונטרסים לבעיות הפועל המזרחי - ג</v>
      </c>
    </row>
    <row r="38497" spans="1:6" x14ac:dyDescent="0.2">
      <c r="A38497" t="s">
        <v>59066</v>
      </c>
      <c r="B38497" t="s">
        <v>59067</v>
      </c>
      <c r="C38497" t="s">
        <v>1437</v>
      </c>
      <c r="D38497" t="s">
        <v>59068</v>
      </c>
      <c r="E38497" t="s">
        <v>2533</v>
      </c>
      <c r="F38497" s="2" t="str">
        <f>HYPERLINK("http://www.otzar.org/book.asp?9791","קונטרסים מתלמוד בבלי כריתות ותלמוד ירושלמי ברכות")</f>
        <v>קונטרסים מתלמוד בבלי כריתות ותלמוד ירושלמי ברכות</v>
      </c>
    </row>
    <row r="38498" spans="1:6" x14ac:dyDescent="0.2">
      <c r="A38498" t="s">
        <v>59069</v>
      </c>
      <c r="B38498" t="s">
        <v>59070</v>
      </c>
      <c r="C38498" t="s">
        <v>989</v>
      </c>
      <c r="D38498" t="s">
        <v>59071</v>
      </c>
      <c r="F38498" s="2" t="str">
        <f>HYPERLINK("http://www.otzar.org/book.asp?611676","קונקורדאנציה עניינית - 4 כר'")</f>
        <v>קונקורדאנציה עניינית - 4 כר'</v>
      </c>
    </row>
    <row r="38499" spans="1:6" x14ac:dyDescent="0.2">
      <c r="A38499" t="s">
        <v>59072</v>
      </c>
      <c r="B38499" t="s">
        <v>59073</v>
      </c>
      <c r="C38499" t="s">
        <v>390</v>
      </c>
      <c r="D38499" t="s">
        <v>646</v>
      </c>
      <c r="E38499" t="s">
        <v>104</v>
      </c>
      <c r="F38499" s="2" t="str">
        <f>HYPERLINK("http://www.otzar.org/book.asp?23712","קונקורדנציה תלמודית - רב")</f>
        <v>קונקורדנציה תלמודית - רב</v>
      </c>
    </row>
    <row r="38500" spans="1:6" x14ac:dyDescent="0.2">
      <c r="A38500" t="s">
        <v>59074</v>
      </c>
      <c r="B38500" t="s">
        <v>38672</v>
      </c>
      <c r="C38500" t="s">
        <v>87</v>
      </c>
      <c r="D38500" t="s">
        <v>721</v>
      </c>
      <c r="E38500" t="s">
        <v>674</v>
      </c>
      <c r="F38500" s="2" t="str">
        <f>HYPERLINK("http://www.otzar.org/book.asp?174453","קופת הרוכלים")</f>
        <v>קופת הרוכלים</v>
      </c>
    </row>
    <row r="38501" spans="1:6" x14ac:dyDescent="0.2">
      <c r="A38501" t="s">
        <v>59075</v>
      </c>
      <c r="B38501" t="s">
        <v>59076</v>
      </c>
      <c r="C38501" t="s">
        <v>111</v>
      </c>
      <c r="D38501" t="s">
        <v>1156</v>
      </c>
      <c r="E38501" t="s">
        <v>15</v>
      </c>
      <c r="F38501" s="2" t="str">
        <f>HYPERLINK("http://www.otzar.org/book.asp?630022","קוצותיו תלתלים")</f>
        <v>קוצותיו תלתלים</v>
      </c>
    </row>
    <row r="38502" spans="1:6" x14ac:dyDescent="0.2">
      <c r="A38502" t="s">
        <v>59077</v>
      </c>
      <c r="B38502" t="s">
        <v>5956</v>
      </c>
      <c r="C38502" t="s">
        <v>594</v>
      </c>
      <c r="D38502" t="s">
        <v>322</v>
      </c>
      <c r="E38502" t="s">
        <v>1211</v>
      </c>
      <c r="F38502" s="2" t="str">
        <f>HYPERLINK("http://www.otzar.org/book.asp?5645","קורא באמת - 2 כר'")</f>
        <v>קורא באמת - 2 כר'</v>
      </c>
    </row>
    <row r="38503" spans="1:6" x14ac:dyDescent="0.2">
      <c r="A38503" t="s">
        <v>59078</v>
      </c>
      <c r="B38503" t="s">
        <v>1102</v>
      </c>
      <c r="C38503" t="s">
        <v>59079</v>
      </c>
      <c r="D38503" t="s">
        <v>27</v>
      </c>
      <c r="E38503" t="s">
        <v>119</v>
      </c>
      <c r="F38503" s="2" t="str">
        <f>HYPERLINK("http://www.otzar.org/book.asp?15667","קורא הדורות - 4 כר'")</f>
        <v>קורא הדורות - 4 כר'</v>
      </c>
    </row>
    <row r="38504" spans="1:6" x14ac:dyDescent="0.2">
      <c r="A38504" t="s">
        <v>59078</v>
      </c>
      <c r="B38504" t="s">
        <v>59080</v>
      </c>
      <c r="C38504" t="s">
        <v>46</v>
      </c>
      <c r="D38504" t="s">
        <v>27</v>
      </c>
      <c r="E38504" t="s">
        <v>733</v>
      </c>
      <c r="F38504" s="2" t="str">
        <f>HYPERLINK("http://www.otzar.org/book.asp?606","קורא הדורות - 4 כר'")</f>
        <v>קורא הדורות - 4 כר'</v>
      </c>
    </row>
    <row r="38505" spans="1:6" x14ac:dyDescent="0.2">
      <c r="A38505" t="s">
        <v>59081</v>
      </c>
      <c r="B38505" t="s">
        <v>6486</v>
      </c>
      <c r="C38505" t="s">
        <v>71</v>
      </c>
      <c r="D38505" t="s">
        <v>986</v>
      </c>
      <c r="E38505" t="s">
        <v>158</v>
      </c>
      <c r="F38505" s="2" t="str">
        <f>HYPERLINK("http://www.otzar.org/book.asp?153889","קורא מראש")</f>
        <v>קורא מראש</v>
      </c>
    </row>
    <row r="38506" spans="1:6" x14ac:dyDescent="0.2">
      <c r="A38506" t="s">
        <v>59082</v>
      </c>
      <c r="B38506" t="s">
        <v>22316</v>
      </c>
      <c r="C38506" t="s">
        <v>129</v>
      </c>
      <c r="D38506" t="s">
        <v>367</v>
      </c>
      <c r="E38506" t="s">
        <v>15</v>
      </c>
      <c r="F38506" s="2" t="str">
        <f>HYPERLINK("http://www.otzar.org/book.asp?62675","קוראי עונג - 3 כר'")</f>
        <v>קוראי עונג - 3 כר'</v>
      </c>
    </row>
    <row r="38507" spans="1:6" x14ac:dyDescent="0.2">
      <c r="A38507" t="s">
        <v>59083</v>
      </c>
      <c r="B38507" t="s">
        <v>59084</v>
      </c>
      <c r="C38507" t="s">
        <v>2140</v>
      </c>
      <c r="D38507" t="s">
        <v>1482</v>
      </c>
      <c r="E38507" t="s">
        <v>399</v>
      </c>
      <c r="F38507" s="2" t="str">
        <f>HYPERLINK("http://www.otzar.org/book.asp?63922","קורות ארזים &lt;בית היין&gt;")</f>
        <v>קורות ארזים &lt;בית היין&gt;</v>
      </c>
    </row>
    <row r="38508" spans="1:6" x14ac:dyDescent="0.2">
      <c r="A38508" t="s">
        <v>59085</v>
      </c>
      <c r="B38508" t="s">
        <v>8642</v>
      </c>
      <c r="C38508" t="s">
        <v>624</v>
      </c>
      <c r="D38508" t="s">
        <v>52</v>
      </c>
      <c r="E38508" t="s">
        <v>104</v>
      </c>
      <c r="F38508" s="2" t="str">
        <f>HYPERLINK("http://www.otzar.org/book.asp?83742","קורות בתינו ארזים")</f>
        <v>קורות בתינו ארזים</v>
      </c>
    </row>
    <row r="38509" spans="1:6" x14ac:dyDescent="0.2">
      <c r="A38509" t="s">
        <v>59086</v>
      </c>
      <c r="B38509" t="s">
        <v>59087</v>
      </c>
      <c r="C38509" t="s">
        <v>23</v>
      </c>
      <c r="D38509" t="s">
        <v>6540</v>
      </c>
      <c r="F38509" s="2" t="str">
        <f>HYPERLINK("http://www.otzar.org/book.asp?198348","קורות הדורות - 2 כר'")</f>
        <v>קורות הדורות - 2 כר'</v>
      </c>
    </row>
    <row r="38510" spans="1:6" x14ac:dyDescent="0.2">
      <c r="A38510" t="s">
        <v>59088</v>
      </c>
      <c r="B38510" t="s">
        <v>59089</v>
      </c>
      <c r="C38510" t="s">
        <v>10565</v>
      </c>
      <c r="D38510" t="s">
        <v>59090</v>
      </c>
      <c r="E38510" t="s">
        <v>119</v>
      </c>
      <c r="F38510" s="2" t="str">
        <f>HYPERLINK("http://www.otzar.org/book.asp?15122","קורות היהודים בתורקיה וארצות הקדם - 6 כר'")</f>
        <v>קורות היהודים בתורקיה וארצות הקדם - 6 כר'</v>
      </c>
    </row>
    <row r="38511" spans="1:6" x14ac:dyDescent="0.2">
      <c r="A38511" t="s">
        <v>59091</v>
      </c>
      <c r="B38511" t="s">
        <v>59092</v>
      </c>
      <c r="C38511" t="s">
        <v>6784</v>
      </c>
      <c r="D38511" t="s">
        <v>56</v>
      </c>
      <c r="E38511" t="s">
        <v>733</v>
      </c>
      <c r="F38511" s="2" t="str">
        <f>HYPERLINK("http://www.otzar.org/book.asp?14837","קורות העתים - 3 כר'")</f>
        <v>קורות העתים - 3 כר'</v>
      </c>
    </row>
    <row r="38512" spans="1:6" x14ac:dyDescent="0.2">
      <c r="A38512" t="s">
        <v>59093</v>
      </c>
      <c r="B38512" t="s">
        <v>59094</v>
      </c>
      <c r="C38512" t="s">
        <v>270</v>
      </c>
      <c r="D38512" t="s">
        <v>35382</v>
      </c>
      <c r="E38512" t="s">
        <v>104</v>
      </c>
      <c r="F38512" s="2" t="str">
        <f>HYPERLINK("http://www.otzar.org/book.asp?61764","קורות העתים")</f>
        <v>קורות העתים</v>
      </c>
    </row>
    <row r="38513" spans="1:6" x14ac:dyDescent="0.2">
      <c r="A38513" t="s">
        <v>59095</v>
      </c>
      <c r="B38513" t="s">
        <v>4975</v>
      </c>
      <c r="C38513" t="s">
        <v>1650</v>
      </c>
      <c r="D38513" t="s">
        <v>974</v>
      </c>
      <c r="E38513" t="s">
        <v>81</v>
      </c>
      <c r="F38513" s="2" t="str">
        <f>HYPERLINK("http://www.otzar.org/book.asp?11027","קורות התורה והאמונה בהונגריה")</f>
        <v>קורות התורה והאמונה בהונגריה</v>
      </c>
    </row>
    <row r="38514" spans="1:6" x14ac:dyDescent="0.2">
      <c r="A38514" t="s">
        <v>59096</v>
      </c>
      <c r="B38514" t="s">
        <v>59097</v>
      </c>
      <c r="C38514" t="s">
        <v>124</v>
      </c>
      <c r="D38514" t="s">
        <v>14</v>
      </c>
      <c r="E38514" t="s">
        <v>733</v>
      </c>
      <c r="F38514" s="2" t="str">
        <f>HYPERLINK("http://www.otzar.org/book.asp?64239","קורות ומעשים - תשל""ג - תשל""ה")</f>
        <v>קורות ומעשים - תשל"ג - תשל"ה</v>
      </c>
    </row>
    <row r="38515" spans="1:6" x14ac:dyDescent="0.2">
      <c r="A38515" t="s">
        <v>59098</v>
      </c>
      <c r="B38515" t="s">
        <v>59099</v>
      </c>
      <c r="C38515" t="s">
        <v>390</v>
      </c>
      <c r="D38515" t="s">
        <v>14</v>
      </c>
      <c r="E38515" t="s">
        <v>733</v>
      </c>
      <c r="F38515" s="2" t="str">
        <f>HYPERLINK("http://www.otzar.org/book.asp?106364","קורות ותלאות יתומי ציון")</f>
        <v>קורות ותלאות יתומי ציון</v>
      </c>
    </row>
    <row r="38516" spans="1:6" x14ac:dyDescent="0.2">
      <c r="A38516" t="s">
        <v>59100</v>
      </c>
      <c r="B38516" t="s">
        <v>59101</v>
      </c>
      <c r="C38516" t="s">
        <v>244</v>
      </c>
      <c r="D38516" t="s">
        <v>412</v>
      </c>
      <c r="F38516" s="2" t="str">
        <f>HYPERLINK("http://www.otzar.org/book.asp?605913","קורות חיי המגן שאול")</f>
        <v>קורות חיי המגן שאול</v>
      </c>
    </row>
    <row r="38517" spans="1:6" x14ac:dyDescent="0.2">
      <c r="A38517" t="s">
        <v>59102</v>
      </c>
      <c r="B38517" t="s">
        <v>59103</v>
      </c>
      <c r="C38517" t="s">
        <v>23</v>
      </c>
      <c r="D38517" t="s">
        <v>147</v>
      </c>
      <c r="E38517" t="s">
        <v>119</v>
      </c>
      <c r="F38517" s="2" t="str">
        <f>HYPERLINK("http://www.otzar.org/book.asp?195590","קורות חייו של הרב זכריה אביגד")</f>
        <v>קורות חייו של הרב זכריה אביגד</v>
      </c>
    </row>
    <row r="38518" spans="1:6" x14ac:dyDescent="0.2">
      <c r="A38518" t="s">
        <v>59104</v>
      </c>
      <c r="B38518" t="s">
        <v>59105</v>
      </c>
      <c r="C38518" t="s">
        <v>1535</v>
      </c>
      <c r="D38518" t="s">
        <v>27</v>
      </c>
      <c r="E38518" t="s">
        <v>733</v>
      </c>
      <c r="F38518" s="2" t="str">
        <f>HYPERLINK("http://www.otzar.org/book.asp?12749","קורות חשבון העבור")</f>
        <v>קורות חשבון העבור</v>
      </c>
    </row>
    <row r="38519" spans="1:6" x14ac:dyDescent="0.2">
      <c r="A38519" t="s">
        <v>59106</v>
      </c>
      <c r="B38519" t="s">
        <v>32444</v>
      </c>
      <c r="C38519" t="s">
        <v>1246</v>
      </c>
      <c r="D38519" t="s">
        <v>27</v>
      </c>
      <c r="E38519" t="s">
        <v>119</v>
      </c>
      <c r="F38519" s="2" t="str">
        <f>HYPERLINK("http://www.otzar.org/book.asp?156692","קורות ישראל")</f>
        <v>קורות ישראל</v>
      </c>
    </row>
    <row r="38520" spans="1:6" x14ac:dyDescent="0.2">
      <c r="A38520" t="s">
        <v>59107</v>
      </c>
      <c r="B38520" t="s">
        <v>59108</v>
      </c>
      <c r="C38520" t="s">
        <v>609</v>
      </c>
      <c r="D38520" t="s">
        <v>27</v>
      </c>
      <c r="E38520" t="s">
        <v>119</v>
      </c>
      <c r="F38520" s="2" t="str">
        <f>HYPERLINK("http://www.otzar.org/book.asp?20676","קורות משפחה")</f>
        <v>קורות משפחה</v>
      </c>
    </row>
    <row r="38521" spans="1:6" x14ac:dyDescent="0.2">
      <c r="A38521" t="s">
        <v>59109</v>
      </c>
      <c r="B38521" t="s">
        <v>55337</v>
      </c>
      <c r="C38521" t="s">
        <v>224</v>
      </c>
      <c r="D38521" t="s">
        <v>947</v>
      </c>
      <c r="E38521" t="s">
        <v>119</v>
      </c>
      <c r="F38521" s="2" t="str">
        <f>HYPERLINK("http://www.otzar.org/book.asp?189878","קורות עם עולם - ב")</f>
        <v>קורות עם עולם - ב</v>
      </c>
    </row>
    <row r="38522" spans="1:6" x14ac:dyDescent="0.2">
      <c r="A38522" t="s">
        <v>59110</v>
      </c>
      <c r="B38522" t="s">
        <v>59111</v>
      </c>
      <c r="C38522" t="s">
        <v>940</v>
      </c>
      <c r="D38522" t="s">
        <v>90</v>
      </c>
      <c r="F38522" s="2" t="str">
        <f>HYPERLINK("http://www.otzar.org/book.asp?618030","קורות ר' אליהו וינשטין ובני משפחתו")</f>
        <v>קורות ר' אליהו וינשטין ובני משפחתו</v>
      </c>
    </row>
    <row r="38523" spans="1:6" x14ac:dyDescent="0.2">
      <c r="A38523" t="s">
        <v>59112</v>
      </c>
      <c r="B38523" t="s">
        <v>11375</v>
      </c>
      <c r="C38523" t="s">
        <v>9995</v>
      </c>
      <c r="D38523" t="s">
        <v>2303</v>
      </c>
      <c r="F38523" s="2" t="str">
        <f>HYPERLINK("http://www.otzar.org/book.asp?617057","קורי עכביש")</f>
        <v>קורי עכביש</v>
      </c>
    </row>
    <row r="38524" spans="1:6" x14ac:dyDescent="0.2">
      <c r="A38524" t="s">
        <v>59113</v>
      </c>
      <c r="B38524" t="s">
        <v>9358</v>
      </c>
      <c r="C38524" t="s">
        <v>1246</v>
      </c>
      <c r="D38524" t="s">
        <v>260</v>
      </c>
      <c r="F38524" s="2" t="str">
        <f>HYPERLINK("http://www.otzar.org/book.asp?199750","קוריב - יזכור בוך קאריוו")</f>
        <v>קוריב - יזכור בוך קאריוו</v>
      </c>
    </row>
    <row r="38525" spans="1:6" x14ac:dyDescent="0.2">
      <c r="A38525" t="s">
        <v>59114</v>
      </c>
      <c r="B38525" t="s">
        <v>602</v>
      </c>
      <c r="C38525" t="s">
        <v>617</v>
      </c>
      <c r="D38525" t="s">
        <v>27</v>
      </c>
      <c r="E38525" t="s">
        <v>213</v>
      </c>
      <c r="F38525" s="2" t="str">
        <f>HYPERLINK("http://www.otzar.org/book.asp?103718","קורנין דנהור")</f>
        <v>קורנין דנהור</v>
      </c>
    </row>
    <row r="38526" spans="1:6" x14ac:dyDescent="0.2">
      <c r="A38526" t="s">
        <v>59115</v>
      </c>
      <c r="E38526" t="s">
        <v>15</v>
      </c>
      <c r="F38526" s="2" t="str">
        <f>HYPERLINK("http://www.otzar.org/book.asp?160781","קורקוס עבודה כתב יד")</f>
        <v>קורקוס עבודה כתב יד</v>
      </c>
    </row>
    <row r="38527" spans="1:6" x14ac:dyDescent="0.2">
      <c r="A38527" t="s">
        <v>59116</v>
      </c>
      <c r="B38527" t="s">
        <v>1385</v>
      </c>
      <c r="C38527" t="s">
        <v>585</v>
      </c>
      <c r="D38527" t="s">
        <v>52</v>
      </c>
      <c r="E38527" t="s">
        <v>154</v>
      </c>
      <c r="F38527" s="2" t="str">
        <f>HYPERLINK("http://www.otzar.org/book.asp?60085","קושיות עצומות")</f>
        <v>קושיות עצומות</v>
      </c>
    </row>
    <row r="38528" spans="1:6" x14ac:dyDescent="0.2">
      <c r="A38528" t="s">
        <v>59117</v>
      </c>
      <c r="B38528" t="s">
        <v>686</v>
      </c>
      <c r="C38528" t="s">
        <v>13</v>
      </c>
      <c r="D38528" t="s">
        <v>52</v>
      </c>
      <c r="E38528" t="s">
        <v>104</v>
      </c>
      <c r="F38528" s="2" t="str">
        <f>HYPERLINK("http://www.otzar.org/book.asp?148226","קח טוב")</f>
        <v>קח טוב</v>
      </c>
    </row>
    <row r="38529" spans="1:6" x14ac:dyDescent="0.2">
      <c r="A38529" t="s">
        <v>59118</v>
      </c>
      <c r="B38529" t="s">
        <v>20520</v>
      </c>
      <c r="C38529" t="s">
        <v>523</v>
      </c>
      <c r="D38529" t="s">
        <v>14</v>
      </c>
      <c r="F38529" s="2" t="str">
        <f>HYPERLINK("http://www.otzar.org/book.asp?611671","קחו מזמרת הארץ")</f>
        <v>קחו מזמרת הארץ</v>
      </c>
    </row>
    <row r="38530" spans="1:6" x14ac:dyDescent="0.2">
      <c r="A38530" t="s">
        <v>59119</v>
      </c>
      <c r="B38530" t="s">
        <v>9043</v>
      </c>
      <c r="C38530" t="s">
        <v>114</v>
      </c>
      <c r="D38530" t="s">
        <v>90</v>
      </c>
      <c r="E38530" t="s">
        <v>104</v>
      </c>
      <c r="F38530" s="2" t="str">
        <f>HYPERLINK("http://www.otzar.org/book.asp?160103","קטורת דוד")</f>
        <v>קטורת דוד</v>
      </c>
    </row>
    <row r="38531" spans="1:6" x14ac:dyDescent="0.2">
      <c r="A38531" t="s">
        <v>59120</v>
      </c>
      <c r="B38531" t="s">
        <v>59121</v>
      </c>
      <c r="C38531" t="s">
        <v>2605</v>
      </c>
      <c r="D38531" t="s">
        <v>1722</v>
      </c>
      <c r="E38531" t="s">
        <v>219</v>
      </c>
      <c r="F38531" s="2" t="str">
        <f>HYPERLINK("http://www.otzar.org/book.asp?147188","קטורת עם הכוונות")</f>
        <v>קטורת עם הכוונות</v>
      </c>
    </row>
    <row r="38532" spans="1:6" x14ac:dyDescent="0.2">
      <c r="A38532" t="s">
        <v>59122</v>
      </c>
      <c r="B38532" t="s">
        <v>5932</v>
      </c>
      <c r="C38532" t="s">
        <v>129</v>
      </c>
      <c r="D38532" t="s">
        <v>1840</v>
      </c>
      <c r="E38532" t="s">
        <v>2091</v>
      </c>
      <c r="F38532" s="2" t="str">
        <f>HYPERLINK("http://www.otzar.org/book.asp?143606","קטיף שביעית")</f>
        <v>קטיף שביעית</v>
      </c>
    </row>
    <row r="38533" spans="1:6" x14ac:dyDescent="0.2">
      <c r="A38533" t="s">
        <v>59123</v>
      </c>
      <c r="B38533" t="s">
        <v>59124</v>
      </c>
      <c r="D38533" t="s">
        <v>412</v>
      </c>
      <c r="E38533" t="s">
        <v>104</v>
      </c>
      <c r="F38533" s="2" t="str">
        <f>HYPERLINK("http://www.otzar.org/book.asp?199483","קטלוג ברומר &lt;כת""י שבספרית ביהמ""ד לרבנים&gt; - 10 כר'")</f>
        <v>קטלוג ברומר &lt;כת"י שבספרית ביהמ"ד לרבנים&gt; - 10 כר'</v>
      </c>
    </row>
    <row r="38534" spans="1:6" x14ac:dyDescent="0.2">
      <c r="A38534" t="s">
        <v>59125</v>
      </c>
      <c r="B38534" t="s">
        <v>59126</v>
      </c>
      <c r="C38534" t="s">
        <v>454</v>
      </c>
      <c r="D38534" t="s">
        <v>19689</v>
      </c>
      <c r="E38534" t="s">
        <v>104</v>
      </c>
      <c r="F38534" s="2" t="str">
        <f>HYPERLINK("http://www.otzar.org/book.asp?147977","קטלוג האינקונאבולות היהודיות של הספריה הממלכתית לרוסיה")</f>
        <v>קטלוג האינקונאבולות היהודיות של הספריה הממלכתית לרוסיה</v>
      </c>
    </row>
    <row r="38535" spans="1:6" x14ac:dyDescent="0.2">
      <c r="A38535" t="s">
        <v>59127</v>
      </c>
      <c r="B38535" t="s">
        <v>49819</v>
      </c>
      <c r="C38535">
        <v>1973</v>
      </c>
      <c r="D38535" t="s">
        <v>412</v>
      </c>
      <c r="E38535" t="s">
        <v>104</v>
      </c>
      <c r="F38535" s="2" t="str">
        <f>HYPERLINK("http://www.otzar.org/book.asp?627345","קטלוג כתבי היד העבריים ומקומם")</f>
        <v>קטלוג כתבי היד העבריים ומקומם</v>
      </c>
    </row>
    <row r="38536" spans="1:6" x14ac:dyDescent="0.2">
      <c r="A38536" t="s">
        <v>59128</v>
      </c>
      <c r="B38536" t="s">
        <v>19994</v>
      </c>
      <c r="C38536" t="s">
        <v>1448</v>
      </c>
      <c r="D38536" t="s">
        <v>14</v>
      </c>
      <c r="E38536" t="s">
        <v>104</v>
      </c>
      <c r="F38536" s="2" t="str">
        <f>HYPERLINK("http://www.otzar.org/book.asp?148691","קטלוג לספרי רבני ארם צובא וכתבי ידם")</f>
        <v>קטלוג לספרי רבני ארם צובא וכתבי ידם</v>
      </c>
    </row>
    <row r="38537" spans="1:6" x14ac:dyDescent="0.2">
      <c r="A38537" t="s">
        <v>59129</v>
      </c>
      <c r="B38537" t="s">
        <v>59130</v>
      </c>
      <c r="C38537" t="s">
        <v>244</v>
      </c>
      <c r="D38537" t="s">
        <v>21</v>
      </c>
      <c r="F38537" s="2" t="str">
        <f>HYPERLINK("http://www.otzar.org/book.asp?603939","קטלוג מורשת - 16 כר'")</f>
        <v>קטלוג מורשת - 16 כר'</v>
      </c>
    </row>
    <row r="38538" spans="1:6" x14ac:dyDescent="0.2">
      <c r="A38538" t="s">
        <v>59131</v>
      </c>
      <c r="B38538" t="s">
        <v>59130</v>
      </c>
      <c r="C38538" t="s">
        <v>111</v>
      </c>
      <c r="D38538" t="s">
        <v>14</v>
      </c>
      <c r="E38538" t="s">
        <v>104</v>
      </c>
      <c r="F38538" s="2" t="str">
        <f>HYPERLINK("http://www.otzar.org/book.asp?623263","קטלוג צפונות - 2 כר'")</f>
        <v>קטלוג צפונות - 2 כר'</v>
      </c>
    </row>
    <row r="38539" spans="1:6" x14ac:dyDescent="0.2">
      <c r="A38539" t="s">
        <v>59132</v>
      </c>
      <c r="B38539" t="s">
        <v>59133</v>
      </c>
      <c r="C38539" t="s">
        <v>111</v>
      </c>
      <c r="D38539" t="s">
        <v>21</v>
      </c>
      <c r="E38539" t="s">
        <v>104</v>
      </c>
      <c r="F38539" s="2" t="str">
        <f>HYPERLINK("http://www.otzar.org/book.asp?628591","קטלוג קדם - 66")</f>
        <v>קטלוג קדם - 66</v>
      </c>
    </row>
    <row r="38540" spans="1:6" x14ac:dyDescent="0.2">
      <c r="A38540" t="s">
        <v>59134</v>
      </c>
      <c r="B38540" t="s">
        <v>34730</v>
      </c>
      <c r="C38540" t="s">
        <v>624</v>
      </c>
      <c r="D38540" t="s">
        <v>59135</v>
      </c>
      <c r="E38540" t="s">
        <v>104</v>
      </c>
      <c r="F38540" s="2" t="str">
        <f>HYPERLINK("http://www.otzar.org/book.asp?602146","קטלוג של שרידי הלכה ומדרש מגניזת קהיר שבאוסף א""נ אדלר")</f>
        <v>קטלוג של שרידי הלכה ומדרש מגניזת קהיר שבאוסף א"נ אדלר</v>
      </c>
    </row>
    <row r="38541" spans="1:6" x14ac:dyDescent="0.2">
      <c r="A38541" t="s">
        <v>59136</v>
      </c>
      <c r="B38541" t="s">
        <v>59137</v>
      </c>
      <c r="C38541" t="s">
        <v>1811</v>
      </c>
      <c r="D38541" t="s">
        <v>21</v>
      </c>
      <c r="E38541" t="s">
        <v>104</v>
      </c>
      <c r="F38541" s="2" t="str">
        <f>HYPERLINK("http://www.otzar.org/book.asp?602419","קטלוג תשל""ג")</f>
        <v>קטלוג תשל"ג</v>
      </c>
    </row>
    <row r="38542" spans="1:6" x14ac:dyDescent="0.2">
      <c r="A38542" t="s">
        <v>10385</v>
      </c>
      <c r="B38542" t="s">
        <v>28663</v>
      </c>
      <c r="C38542" t="s">
        <v>1458</v>
      </c>
      <c r="D38542" t="s">
        <v>6537</v>
      </c>
      <c r="F38542" s="2" t="str">
        <f>HYPERLINK("http://www.otzar.org/book.asp?600025","קטלוג")</f>
        <v>קטלוג</v>
      </c>
    </row>
    <row r="38543" spans="1:6" x14ac:dyDescent="0.2">
      <c r="A38543" t="s">
        <v>59138</v>
      </c>
      <c r="B38543" t="s">
        <v>20529</v>
      </c>
      <c r="C38543" t="s">
        <v>146</v>
      </c>
      <c r="D38543" t="s">
        <v>59139</v>
      </c>
      <c r="E38543" t="s">
        <v>104</v>
      </c>
      <c r="F38543" s="2" t="str">
        <f>HYPERLINK("http://www.otzar.org/book.asp?605058","קטן וגדול - אוצר פירושים על אותיות גדולות וקטנות שבתורה")</f>
        <v>קטן וגדול - אוצר פירושים על אותיות גדולות וקטנות שבתורה</v>
      </c>
    </row>
    <row r="38544" spans="1:6" x14ac:dyDescent="0.2">
      <c r="A38544" t="s">
        <v>59140</v>
      </c>
      <c r="B38544" t="s">
        <v>59141</v>
      </c>
      <c r="C38544" t="s">
        <v>2740</v>
      </c>
      <c r="D38544" t="s">
        <v>2740</v>
      </c>
      <c r="E38544" t="s">
        <v>786</v>
      </c>
      <c r="F38544" s="2" t="str">
        <f>HYPERLINK("http://www.otzar.org/book.asp?191365","קטעי גניזה של משנה תלמוד ומדרש")</f>
        <v>קטעי גניזה של משנה תלמוד ומדרש</v>
      </c>
    </row>
    <row r="38545" spans="1:6" x14ac:dyDescent="0.2">
      <c r="A38545" t="s">
        <v>59142</v>
      </c>
      <c r="B38545" t="s">
        <v>50595</v>
      </c>
      <c r="C38545" t="s">
        <v>2740</v>
      </c>
      <c r="D38545" t="s">
        <v>2740</v>
      </c>
      <c r="E38545" t="s">
        <v>219</v>
      </c>
      <c r="F38545" s="2" t="str">
        <f>HYPERLINK("http://www.otzar.org/book.asp?191368","קטעי הגניזה של פיוטי יניי")</f>
        <v>קטעי הגניזה של פיוטי יניי</v>
      </c>
    </row>
    <row r="38546" spans="1:6" x14ac:dyDescent="0.2">
      <c r="A38546" t="s">
        <v>59143</v>
      </c>
      <c r="B38546" t="s">
        <v>59144</v>
      </c>
      <c r="C38546" t="s">
        <v>1470</v>
      </c>
      <c r="D38546" t="s">
        <v>33969</v>
      </c>
      <c r="E38546" t="s">
        <v>59145</v>
      </c>
      <c r="F38546" s="2" t="str">
        <f>HYPERLINK("http://www.otzar.org/book.asp?8734","קטעי מדרשים מכתבי יד הגניזה - בראשית, שמות")</f>
        <v>קטעי מדרשים מכתבי יד הגניזה - בראשית, שמות</v>
      </c>
    </row>
    <row r="38547" spans="1:6" x14ac:dyDescent="0.2">
      <c r="A38547" t="s">
        <v>59146</v>
      </c>
      <c r="B38547" t="s">
        <v>4814</v>
      </c>
      <c r="C38547" t="s">
        <v>1388</v>
      </c>
      <c r="D38547" t="s">
        <v>14</v>
      </c>
      <c r="F38547" s="2" t="str">
        <f>HYPERLINK("http://www.otzar.org/book.asp?182823","קטעי תקיעתות בנוסח יוסי בן יוסי (תדפיס)")</f>
        <v>קטעי תקיעתות בנוסח יוסי בן יוסי (תדפיס)</v>
      </c>
    </row>
    <row r="38548" spans="1:6" x14ac:dyDescent="0.2">
      <c r="A38548" t="s">
        <v>59147</v>
      </c>
      <c r="B38548" t="s">
        <v>59148</v>
      </c>
      <c r="C38548" t="s">
        <v>59149</v>
      </c>
      <c r="D38548" t="s">
        <v>59150</v>
      </c>
      <c r="E38548" t="s">
        <v>15</v>
      </c>
      <c r="F38548" s="2" t="str">
        <f>HYPERLINK("http://www.otzar.org/book.asp?196209","קטעים מן הלכות ברכות")</f>
        <v>קטעים מן הלכות ברכות</v>
      </c>
    </row>
    <row r="38549" spans="1:6" x14ac:dyDescent="0.2">
      <c r="A38549" t="s">
        <v>59151</v>
      </c>
      <c r="B38549" t="s">
        <v>59152</v>
      </c>
      <c r="C38549" t="s">
        <v>1470</v>
      </c>
      <c r="D38549" t="s">
        <v>563</v>
      </c>
      <c r="E38549" t="s">
        <v>15</v>
      </c>
      <c r="F38549" s="2" t="str">
        <f>HYPERLINK("http://www.otzar.org/book.asp?168689","קטעים מספר יד החזקה")</f>
        <v>קטעים מספר יד החזקה</v>
      </c>
    </row>
    <row r="38550" spans="1:6" x14ac:dyDescent="0.2">
      <c r="A38550" t="s">
        <v>59153</v>
      </c>
      <c r="B38550" t="s">
        <v>59154</v>
      </c>
      <c r="C38550" t="s">
        <v>26234</v>
      </c>
      <c r="D38550" t="s">
        <v>1023</v>
      </c>
      <c r="E38550" t="s">
        <v>1211</v>
      </c>
      <c r="F38550" s="2" t="str">
        <f>HYPERLINK("http://www.otzar.org/book.asp?101718","קטרת המזבח")</f>
        <v>קטרת המזבח</v>
      </c>
    </row>
    <row r="38551" spans="1:6" x14ac:dyDescent="0.2">
      <c r="A38551" t="s">
        <v>59155</v>
      </c>
      <c r="B38551" t="s">
        <v>59154</v>
      </c>
      <c r="C38551" t="s">
        <v>59156</v>
      </c>
      <c r="D38551" t="s">
        <v>1023</v>
      </c>
      <c r="E38551" t="s">
        <v>1847</v>
      </c>
      <c r="F38551" s="2" t="str">
        <f>HYPERLINK("http://www.otzar.org/book.asp?5399","קטרת הסמים")</f>
        <v>קטרת הסמים</v>
      </c>
    </row>
    <row r="38552" spans="1:6" x14ac:dyDescent="0.2">
      <c r="A38552" t="s">
        <v>59157</v>
      </c>
      <c r="B38552" t="s">
        <v>686</v>
      </c>
      <c r="C38552" t="s">
        <v>13</v>
      </c>
      <c r="D38552" t="s">
        <v>52</v>
      </c>
      <c r="E38552" t="s">
        <v>104</v>
      </c>
      <c r="F38552" s="2" t="str">
        <f>HYPERLINK("http://www.otzar.org/book.asp?60628","קטרת ונסכים")</f>
        <v>קטרת ונסכים</v>
      </c>
    </row>
    <row r="38553" spans="1:6" x14ac:dyDescent="0.2">
      <c r="A38553" t="s">
        <v>59158</v>
      </c>
      <c r="B38553" t="s">
        <v>24630</v>
      </c>
      <c r="C38553" t="s">
        <v>1418</v>
      </c>
      <c r="D38553" t="s">
        <v>283</v>
      </c>
      <c r="E38553" t="s">
        <v>579</v>
      </c>
      <c r="F38553" s="2" t="str">
        <f>HYPERLINK("http://www.otzar.org/book.asp?140807","קטרת סמים")</f>
        <v>קטרת סמים</v>
      </c>
    </row>
    <row r="38554" spans="1:6" x14ac:dyDescent="0.2">
      <c r="A38554" t="s">
        <v>59158</v>
      </c>
      <c r="B38554" t="s">
        <v>59159</v>
      </c>
      <c r="C38554" t="s">
        <v>6054</v>
      </c>
      <c r="D38554" t="s">
        <v>10557</v>
      </c>
      <c r="F38554" s="2" t="str">
        <f>HYPERLINK("http://www.otzar.org/book.asp?620587","קטרת סמים")</f>
        <v>קטרת סמים</v>
      </c>
    </row>
    <row r="38555" spans="1:6" x14ac:dyDescent="0.2">
      <c r="A38555" t="s">
        <v>59160</v>
      </c>
      <c r="B38555" t="s">
        <v>59161</v>
      </c>
      <c r="C38555" t="s">
        <v>59162</v>
      </c>
      <c r="D38555" t="s">
        <v>225</v>
      </c>
      <c r="E38555" t="s">
        <v>15</v>
      </c>
      <c r="F38555" s="2" t="str">
        <f>HYPERLINK("http://www.otzar.org/book.asp?20675","קיבוץ יהודה - 4 כר'")</f>
        <v>קיבוץ יהודה - 4 כר'</v>
      </c>
    </row>
    <row r="38556" spans="1:6" x14ac:dyDescent="0.2">
      <c r="A38556" t="s">
        <v>59163</v>
      </c>
      <c r="B38556" t="s">
        <v>59164</v>
      </c>
      <c r="C38556" t="s">
        <v>160</v>
      </c>
      <c r="D38556" t="s">
        <v>9</v>
      </c>
      <c r="E38556" t="s">
        <v>158</v>
      </c>
      <c r="F38556" s="2" t="str">
        <f>HYPERLINK("http://www.otzar.org/book.asp?23456","קיבוץ מזרה ישראל - בראשית, שמות")</f>
        <v>קיבוץ מזרה ישראל - בראשית, שמות</v>
      </c>
    </row>
    <row r="38557" spans="1:6" x14ac:dyDescent="0.2">
      <c r="A38557" t="s">
        <v>59165</v>
      </c>
      <c r="B38557" t="s">
        <v>59166</v>
      </c>
      <c r="C38557" t="s">
        <v>23875</v>
      </c>
      <c r="D38557" t="s">
        <v>59167</v>
      </c>
      <c r="E38557" t="s">
        <v>104</v>
      </c>
      <c r="F38557" s="2" t="str">
        <f>HYPERLINK("http://www.otzar.org/book.asp?147117","קידוש השם המיוחד של ר' מתית ור' פנחם ור' אברם זי""ע")</f>
        <v>קידוש השם המיוחד של ר' מתית ור' פנחם ור' אברם זי"ע</v>
      </c>
    </row>
    <row r="38558" spans="1:6" x14ac:dyDescent="0.2">
      <c r="A38558" t="s">
        <v>59168</v>
      </c>
      <c r="B38558" t="s">
        <v>59169</v>
      </c>
      <c r="C38558" t="s">
        <v>427</v>
      </c>
      <c r="D38558" t="s">
        <v>216</v>
      </c>
      <c r="E38558" t="s">
        <v>119</v>
      </c>
      <c r="F38558" s="2" t="str">
        <f>HYPERLINK("http://www.otzar.org/book.asp?168170","קידוש השם")</f>
        <v>קידוש השם</v>
      </c>
    </row>
    <row r="38559" spans="1:6" x14ac:dyDescent="0.2">
      <c r="A38559" t="s">
        <v>59170</v>
      </c>
      <c r="B38559" t="s">
        <v>59171</v>
      </c>
      <c r="C38559" t="s">
        <v>1811</v>
      </c>
      <c r="D38559" t="s">
        <v>14</v>
      </c>
      <c r="F38559" s="2" t="str">
        <f>HYPERLINK("http://www.otzar.org/book.asp?613770","קידוש ירחים דרבי פנחס")</f>
        <v>קידוש ירחים דרבי פנחס</v>
      </c>
    </row>
    <row r="38560" spans="1:6" x14ac:dyDescent="0.2">
      <c r="A38560" t="s">
        <v>59172</v>
      </c>
      <c r="B38560" t="s">
        <v>59173</v>
      </c>
      <c r="C38560" t="s">
        <v>87</v>
      </c>
      <c r="D38560" t="s">
        <v>52</v>
      </c>
      <c r="E38560" t="s">
        <v>24</v>
      </c>
      <c r="F38560" s="2" t="str">
        <f>HYPERLINK("http://www.otzar.org/book.asp?22097","קידוש כהלכתו")</f>
        <v>קידוש כהלכתו</v>
      </c>
    </row>
    <row r="38561" spans="1:6" x14ac:dyDescent="0.2">
      <c r="A38561" t="s">
        <v>59174</v>
      </c>
      <c r="B38561" t="s">
        <v>59175</v>
      </c>
      <c r="C38561" t="s">
        <v>366</v>
      </c>
      <c r="D38561" t="s">
        <v>14</v>
      </c>
      <c r="F38561" s="2" t="str">
        <f>HYPERLINK("http://www.otzar.org/book.asp?619028","קידושא רבא")</f>
        <v>קידושא רבא</v>
      </c>
    </row>
    <row r="38562" spans="1:6" x14ac:dyDescent="0.2">
      <c r="A38562" t="s">
        <v>59176</v>
      </c>
      <c r="B38562" t="s">
        <v>5988</v>
      </c>
      <c r="C38562" t="s">
        <v>1019</v>
      </c>
      <c r="D38562" t="s">
        <v>76</v>
      </c>
      <c r="E38562" t="s">
        <v>158</v>
      </c>
      <c r="F38562" s="2" t="str">
        <f>HYPERLINK("http://www.otzar.org/book.asp?20674","קידש ידיד")</f>
        <v>קידש ידיד</v>
      </c>
    </row>
    <row r="38563" spans="1:6" x14ac:dyDescent="0.2">
      <c r="A38563" t="s">
        <v>59177</v>
      </c>
      <c r="B38563" t="s">
        <v>26071</v>
      </c>
      <c r="C38563" t="s">
        <v>506</v>
      </c>
      <c r="D38563" t="s">
        <v>2295</v>
      </c>
      <c r="E38563" t="s">
        <v>104</v>
      </c>
      <c r="F38563" s="2" t="str">
        <f>HYPERLINK("http://www.otzar.org/book.asp?20673","קיום העולם")</f>
        <v>קיום העולם</v>
      </c>
    </row>
    <row r="38564" spans="1:6" x14ac:dyDescent="0.2">
      <c r="A38564" t="s">
        <v>59178</v>
      </c>
      <c r="B38564" t="s">
        <v>59179</v>
      </c>
      <c r="C38564" t="s">
        <v>411</v>
      </c>
      <c r="D38564" t="s">
        <v>90</v>
      </c>
      <c r="E38564" t="s">
        <v>144</v>
      </c>
      <c r="F38564" s="2" t="str">
        <f>HYPERLINK("http://www.otzar.org/book.asp?181621","קיום העירוב")</f>
        <v>קיום העירוב</v>
      </c>
    </row>
    <row r="38565" spans="1:6" x14ac:dyDescent="0.2">
      <c r="A38565" t="s">
        <v>59180</v>
      </c>
      <c r="B38565" t="s">
        <v>18976</v>
      </c>
      <c r="C38565" t="s">
        <v>49684</v>
      </c>
      <c r="D38565" t="s">
        <v>27</v>
      </c>
      <c r="E38565" t="s">
        <v>241</v>
      </c>
      <c r="F38565" s="2" t="str">
        <f>HYPERLINK("http://www.otzar.org/book.asp?20672","קיום התורה - 2 כר'")</f>
        <v>קיום התורה - 2 כר'</v>
      </c>
    </row>
    <row r="38566" spans="1:6" x14ac:dyDescent="0.2">
      <c r="A38566" t="s">
        <v>59181</v>
      </c>
      <c r="B38566" t="s">
        <v>59182</v>
      </c>
      <c r="C38566" t="s">
        <v>68</v>
      </c>
      <c r="D38566" t="s">
        <v>14</v>
      </c>
      <c r="E38566" t="s">
        <v>158</v>
      </c>
      <c r="F38566" s="2" t="str">
        <f>HYPERLINK("http://www.otzar.org/book.asp?159791","קיום ויעוד")</f>
        <v>קיום ויעוד</v>
      </c>
    </row>
    <row r="38567" spans="1:6" x14ac:dyDescent="0.2">
      <c r="A38567" t="s">
        <v>59183</v>
      </c>
      <c r="B38567" t="s">
        <v>12812</v>
      </c>
      <c r="C38567" t="s">
        <v>244</v>
      </c>
      <c r="D38567" t="s">
        <v>14</v>
      </c>
      <c r="F38567" s="2" t="str">
        <f>HYPERLINK("http://www.otzar.org/book.asp?197648","קיום שטרות")</f>
        <v>קיום שטרות</v>
      </c>
    </row>
    <row r="38568" spans="1:6" x14ac:dyDescent="0.2">
      <c r="A38568" t="s">
        <v>59184</v>
      </c>
      <c r="B38568" t="s">
        <v>29934</v>
      </c>
      <c r="C38568" t="s">
        <v>523</v>
      </c>
      <c r="D38568" t="s">
        <v>52</v>
      </c>
      <c r="F38568" s="2" t="str">
        <f>HYPERLINK("http://www.otzar.org/book.asp?621479","קיימיה דדוד משיחא")</f>
        <v>קיימיה דדוד משיחא</v>
      </c>
    </row>
    <row r="38569" spans="1:6" x14ac:dyDescent="0.2">
      <c r="A38569" t="s">
        <v>59185</v>
      </c>
      <c r="B38569" t="s">
        <v>29934</v>
      </c>
      <c r="C38569" t="s">
        <v>422</v>
      </c>
      <c r="D38569" t="s">
        <v>52</v>
      </c>
      <c r="F38569" s="2" t="str">
        <f>HYPERLINK("http://www.otzar.org/book.asp?621480","קיימיה דמשה נביאה")</f>
        <v>קיימיה דמשה נביאה</v>
      </c>
    </row>
    <row r="38570" spans="1:6" x14ac:dyDescent="0.2">
      <c r="A38570" t="s">
        <v>59186</v>
      </c>
      <c r="B38570" t="s">
        <v>2023</v>
      </c>
      <c r="C38570" t="s">
        <v>103</v>
      </c>
      <c r="D38570" t="s">
        <v>27</v>
      </c>
      <c r="E38570" t="s">
        <v>10943</v>
      </c>
      <c r="F38570" s="2" t="str">
        <f>HYPERLINK("http://www.otzar.org/book.asp?186777","קילורית לעין")</f>
        <v>קילורית לעין</v>
      </c>
    </row>
    <row r="38571" spans="1:6" x14ac:dyDescent="0.2">
      <c r="A38571" t="s">
        <v>59187</v>
      </c>
      <c r="B38571" t="s">
        <v>30917</v>
      </c>
      <c r="C38571" t="s">
        <v>114</v>
      </c>
      <c r="D38571" t="s">
        <v>14</v>
      </c>
      <c r="E38571" t="s">
        <v>674</v>
      </c>
      <c r="F38571" s="2" t="str">
        <f>HYPERLINK("http://www.otzar.org/book.asp?171683","קימה והידור")</f>
        <v>קימה והידור</v>
      </c>
    </row>
    <row r="38572" spans="1:6" x14ac:dyDescent="0.2">
      <c r="A38572" t="s">
        <v>59188</v>
      </c>
      <c r="B38572" t="s">
        <v>28080</v>
      </c>
      <c r="C38572" t="s">
        <v>17</v>
      </c>
      <c r="D38572" t="s">
        <v>412</v>
      </c>
      <c r="E38572" t="s">
        <v>230</v>
      </c>
      <c r="F38572" s="2" t="str">
        <f>HYPERLINK("http://www.otzar.org/book.asp?62125","קימו וקבלו")</f>
        <v>קימו וקבלו</v>
      </c>
    </row>
    <row r="38573" spans="1:6" x14ac:dyDescent="0.2">
      <c r="A38573" t="s">
        <v>59189</v>
      </c>
      <c r="B38573" t="s">
        <v>3644</v>
      </c>
      <c r="C38573" t="s">
        <v>20</v>
      </c>
      <c r="D38573" t="s">
        <v>14</v>
      </c>
      <c r="E38573" t="s">
        <v>3055</v>
      </c>
      <c r="F38573" s="2" t="str">
        <f>HYPERLINK("http://www.otzar.org/book.asp?159369","קימו וקיבלו - פורים")</f>
        <v>קימו וקיבלו - פורים</v>
      </c>
    </row>
    <row r="38574" spans="1:6" x14ac:dyDescent="0.2">
      <c r="A38574" t="s">
        <v>59190</v>
      </c>
      <c r="B38574" t="s">
        <v>13006</v>
      </c>
      <c r="C38574" t="s">
        <v>940</v>
      </c>
      <c r="D38574" t="s">
        <v>14</v>
      </c>
      <c r="E38574" t="s">
        <v>144</v>
      </c>
      <c r="F38574" s="2" t="str">
        <f>HYPERLINK("http://www.otzar.org/book.asp?11433","קימחא דפסחא")</f>
        <v>קימחא דפסחא</v>
      </c>
    </row>
    <row r="38575" spans="1:6" x14ac:dyDescent="0.2">
      <c r="A38575" t="s">
        <v>59191</v>
      </c>
      <c r="B38575" t="s">
        <v>1387</v>
      </c>
      <c r="C38575" t="s">
        <v>1666</v>
      </c>
      <c r="D38575" t="s">
        <v>49</v>
      </c>
      <c r="E38575" t="s">
        <v>219</v>
      </c>
      <c r="F38575" s="2" t="str">
        <f>HYPERLINK("http://www.otzar.org/book.asp?147214","קינה היא וקוננוה")</f>
        <v>קינה היא וקוננוה</v>
      </c>
    </row>
    <row r="38576" spans="1:6" x14ac:dyDescent="0.2">
      <c r="A38576" t="s">
        <v>59192</v>
      </c>
      <c r="B38576" t="s">
        <v>59193</v>
      </c>
      <c r="C38576" t="s">
        <v>24127</v>
      </c>
      <c r="D38576" t="s">
        <v>1411</v>
      </c>
      <c r="E38576" t="s">
        <v>5144</v>
      </c>
      <c r="F38576" s="2" t="str">
        <f>HYPERLINK("http://www.otzar.org/book.asp?151455","קינה על הדליקה אשר נפלה פה מנטובה")</f>
        <v>קינה על הדליקה אשר נפלה פה מנטובה</v>
      </c>
    </row>
    <row r="38577" spans="1:6" x14ac:dyDescent="0.2">
      <c r="A38577" t="s">
        <v>59194</v>
      </c>
      <c r="B38577" t="s">
        <v>59195</v>
      </c>
      <c r="C38577" t="s">
        <v>1666</v>
      </c>
      <c r="D38577" t="s">
        <v>95</v>
      </c>
      <c r="E38577" t="s">
        <v>5144</v>
      </c>
      <c r="F38577" s="2" t="str">
        <f>HYPERLINK("http://www.otzar.org/book.asp?151454","קינה על פטירת הגאון כמוהר""ר יודא מפדוה")</f>
        <v>קינה על פטירת הגאון כמוהר"ר יודא מפדוה</v>
      </c>
    </row>
    <row r="38578" spans="1:6" x14ac:dyDescent="0.2">
      <c r="A38578" t="s">
        <v>59196</v>
      </c>
      <c r="B38578" t="s">
        <v>6991</v>
      </c>
      <c r="C38578" t="s">
        <v>114</v>
      </c>
      <c r="D38578" t="s">
        <v>14</v>
      </c>
      <c r="E38578" t="s">
        <v>219</v>
      </c>
      <c r="F38578" s="2" t="str">
        <f>HYPERLINK("http://www.otzar.org/book.asp?625504","קינות המבוארות")</f>
        <v>קינות המבוארות</v>
      </c>
    </row>
    <row r="38579" spans="1:6" x14ac:dyDescent="0.2">
      <c r="A38579" t="s">
        <v>59197</v>
      </c>
      <c r="B38579" t="s">
        <v>59198</v>
      </c>
      <c r="C38579" t="s">
        <v>1191</v>
      </c>
      <c r="D38579" t="s">
        <v>5665</v>
      </c>
      <c r="E38579" t="s">
        <v>1517</v>
      </c>
      <c r="F38579" s="2" t="str">
        <f>HYPERLINK("http://www.otzar.org/book.asp?147274","קינות לתשעה באב עם פירוש מספיק")</f>
        <v>קינות לתשעה באב עם פירוש מספיק</v>
      </c>
    </row>
    <row r="38580" spans="1:6" x14ac:dyDescent="0.2">
      <c r="A38580" t="s">
        <v>59199</v>
      </c>
      <c r="B38580" t="s">
        <v>59200</v>
      </c>
      <c r="C38580" t="s">
        <v>23</v>
      </c>
      <c r="D38580" t="s">
        <v>15470</v>
      </c>
      <c r="F38580" s="2" t="str">
        <f>HYPERLINK("http://www.otzar.org/book.asp?194537","קינות לתשעה באב עם תרגום לגרמנית")</f>
        <v>קינות לתשעה באב עם תרגום לגרמנית</v>
      </c>
    </row>
    <row r="38581" spans="1:6" x14ac:dyDescent="0.2">
      <c r="A38581" t="s">
        <v>59201</v>
      </c>
      <c r="B38581" t="s">
        <v>36689</v>
      </c>
      <c r="C38581" t="s">
        <v>37</v>
      </c>
      <c r="D38581" t="s">
        <v>1156</v>
      </c>
      <c r="F38581" s="2" t="str">
        <f>HYPERLINK("http://www.otzar.org/book.asp?619353","קינות לתשעה באב - כמנהג אשכנז המובהק")</f>
        <v>קינות לתשעה באב - כמנהג אשכנז המובהק</v>
      </c>
    </row>
    <row r="38582" spans="1:6" x14ac:dyDescent="0.2">
      <c r="A38582" t="s">
        <v>59202</v>
      </c>
      <c r="B38582" t="s">
        <v>17846</v>
      </c>
      <c r="C38582" t="s">
        <v>366</v>
      </c>
      <c r="D38582" t="s">
        <v>3859</v>
      </c>
      <c r="F38582" s="2" t="str">
        <f>HYPERLINK("http://www.otzar.org/book.asp?608783","קינות לתשעה באב - 2 כר'")</f>
        <v>קינות לתשעה באב - 2 כר'</v>
      </c>
    </row>
    <row r="38583" spans="1:6" x14ac:dyDescent="0.2">
      <c r="A38583" t="s">
        <v>59203</v>
      </c>
      <c r="B38583" t="s">
        <v>59204</v>
      </c>
      <c r="C38583" t="s">
        <v>1160</v>
      </c>
      <c r="D38583" t="s">
        <v>14</v>
      </c>
      <c r="E38583" t="s">
        <v>1517</v>
      </c>
      <c r="F38583" s="2" t="str">
        <f>HYPERLINK("http://www.otzar.org/book.asp?151888","קינות לתשעה באב")</f>
        <v>קינות לתשעה באב</v>
      </c>
    </row>
    <row r="38584" spans="1:6" x14ac:dyDescent="0.2">
      <c r="A38584" t="s">
        <v>59205</v>
      </c>
      <c r="B38584" t="s">
        <v>59206</v>
      </c>
      <c r="C38584" t="s">
        <v>14</v>
      </c>
      <c r="D38584" t="s">
        <v>3840</v>
      </c>
      <c r="F38584" s="2" t="str">
        <f>HYPERLINK("http://www.otzar.org/book.asp?617590","קינות מאת זקני חכמי תימן על הריסות הדת ע""י השלטון בארץ הקדש")</f>
        <v>קינות מאת זקני חכמי תימן על הריסות הדת ע"י השלטון בארץ הקדש</v>
      </c>
    </row>
    <row r="38585" spans="1:6" x14ac:dyDescent="0.2">
      <c r="A38585" t="s">
        <v>59207</v>
      </c>
      <c r="B38585" t="s">
        <v>8741</v>
      </c>
      <c r="C38585" t="s">
        <v>180</v>
      </c>
      <c r="D38585" t="s">
        <v>14</v>
      </c>
      <c r="E38585" t="s">
        <v>1626</v>
      </c>
      <c r="F38585" s="2" t="str">
        <f>HYPERLINK("http://www.otzar.org/book.asp?143421","קינות על חורבן ירושלים")</f>
        <v>קינות על חורבן ירושלים</v>
      </c>
    </row>
    <row r="38586" spans="1:6" x14ac:dyDescent="0.2">
      <c r="A38586" t="s">
        <v>59208</v>
      </c>
      <c r="B38586" t="s">
        <v>20921</v>
      </c>
      <c r="C38586" t="s">
        <v>13138</v>
      </c>
      <c r="D38586" t="s">
        <v>726</v>
      </c>
      <c r="E38586" t="s">
        <v>219</v>
      </c>
      <c r="F38586" s="2" t="str">
        <f>HYPERLINK("http://www.otzar.org/book.asp?146609","קינות עם פירוש")</f>
        <v>קינות עם פירוש</v>
      </c>
    </row>
    <row r="38587" spans="1:6" x14ac:dyDescent="0.2">
      <c r="A38587" t="s">
        <v>59209</v>
      </c>
      <c r="B38587" t="s">
        <v>49660</v>
      </c>
      <c r="C38587" t="s">
        <v>1278</v>
      </c>
      <c r="D38587" t="s">
        <v>56</v>
      </c>
      <c r="E38587" t="s">
        <v>234</v>
      </c>
      <c r="F38587" s="2" t="str">
        <f>HYPERLINK("http://www.otzar.org/book.asp?167599","קינת יהודה וישראל")</f>
        <v>קינת יהודה וישראל</v>
      </c>
    </row>
    <row r="38588" spans="1:6" x14ac:dyDescent="0.2">
      <c r="A38588" t="s">
        <v>59210</v>
      </c>
      <c r="B38588" t="s">
        <v>59211</v>
      </c>
      <c r="C38588" t="s">
        <v>13</v>
      </c>
      <c r="D38588" t="s">
        <v>52</v>
      </c>
      <c r="E38588" t="s">
        <v>5144</v>
      </c>
      <c r="F38588" s="2" t="str">
        <f>HYPERLINK("http://www.otzar.org/book.asp?199542","קינת מן המיצר עם ביאור ופירוש נר לאברהם")</f>
        <v>קינת מן המיצר עם ביאור ופירוש נר לאברהם</v>
      </c>
    </row>
    <row r="38589" spans="1:6" x14ac:dyDescent="0.2">
      <c r="A38589" t="s">
        <v>59212</v>
      </c>
      <c r="B38589" t="s">
        <v>18987</v>
      </c>
      <c r="C38589" t="s">
        <v>1388</v>
      </c>
      <c r="D38589" t="s">
        <v>14</v>
      </c>
      <c r="E38589" t="s">
        <v>42045</v>
      </c>
      <c r="F38589" s="2" t="str">
        <f>HYPERLINK("http://www.otzar.org/book.asp?64346","קיץ המזבח")</f>
        <v>קיץ המזבח</v>
      </c>
    </row>
    <row r="38590" spans="1:6" x14ac:dyDescent="0.2">
      <c r="A38590" t="s">
        <v>59213</v>
      </c>
      <c r="B38590" t="s">
        <v>2802</v>
      </c>
      <c r="C38590" t="s">
        <v>20</v>
      </c>
      <c r="D38590" t="s">
        <v>14970</v>
      </c>
      <c r="E38590" t="s">
        <v>399</v>
      </c>
      <c r="F38590" s="2" t="str">
        <f>HYPERLINK("http://www.otzar.org/book.asp?195831","קיצור אוצר החיים (קומרנא)")</f>
        <v>קיצור אוצר החיים (קומרנא)</v>
      </c>
    </row>
    <row r="38591" spans="1:6" x14ac:dyDescent="0.2">
      <c r="A38591" t="s">
        <v>59214</v>
      </c>
      <c r="B38591" t="s">
        <v>15186</v>
      </c>
      <c r="C38591" t="s">
        <v>8799</v>
      </c>
      <c r="D38591" t="s">
        <v>1023</v>
      </c>
      <c r="E38591" t="s">
        <v>158</v>
      </c>
      <c r="F38591" s="2" t="str">
        <f>HYPERLINK("http://www.otzar.org/book.asp?102206","קיצור אלשיך על התורה - 2 כר'")</f>
        <v>קיצור אלשיך על התורה - 2 כר'</v>
      </c>
    </row>
    <row r="38592" spans="1:6" x14ac:dyDescent="0.2">
      <c r="A38592" t="s">
        <v>59215</v>
      </c>
      <c r="B38592" t="s">
        <v>1510</v>
      </c>
      <c r="C38592" t="s">
        <v>411</v>
      </c>
      <c r="D38592" t="s">
        <v>1511</v>
      </c>
      <c r="E38592" t="s">
        <v>15</v>
      </c>
      <c r="F38592" s="2" t="str">
        <f>HYPERLINK("http://www.otzar.org/book.asp?171170","קיצור דיני אמירה לנכרי בשבת")</f>
        <v>קיצור דיני אמירה לנכרי בשבת</v>
      </c>
    </row>
    <row r="38593" spans="1:6" x14ac:dyDescent="0.2">
      <c r="A38593" t="s">
        <v>59216</v>
      </c>
      <c r="B38593" t="s">
        <v>1510</v>
      </c>
      <c r="C38593" t="s">
        <v>114</v>
      </c>
      <c r="D38593" t="s">
        <v>1511</v>
      </c>
      <c r="E38593" t="s">
        <v>15</v>
      </c>
      <c r="F38593" s="2" t="str">
        <f>HYPERLINK("http://www.otzar.org/book.asp?171172","קיצור דיני בית הכנסת ובית המדרש")</f>
        <v>קיצור דיני בית הכנסת ובית המדרש</v>
      </c>
    </row>
    <row r="38594" spans="1:6" x14ac:dyDescent="0.2">
      <c r="A38594" t="s">
        <v>59217</v>
      </c>
      <c r="B38594" t="s">
        <v>18189</v>
      </c>
      <c r="C38594" t="s">
        <v>17</v>
      </c>
      <c r="D38594" t="s">
        <v>52</v>
      </c>
      <c r="E38594" t="s">
        <v>15</v>
      </c>
      <c r="F38594" s="2" t="str">
        <f>HYPERLINK("http://www.otzar.org/book.asp?143790","קיצור דיני ברית מילה ופדיון הבן")</f>
        <v>קיצור דיני ברית מילה ופדיון הבן</v>
      </c>
    </row>
    <row r="38595" spans="1:6" x14ac:dyDescent="0.2">
      <c r="A38595" t="s">
        <v>59218</v>
      </c>
      <c r="B38595" t="s">
        <v>1510</v>
      </c>
      <c r="C38595" t="s">
        <v>133</v>
      </c>
      <c r="D38595" t="s">
        <v>1511</v>
      </c>
      <c r="E38595" t="s">
        <v>246</v>
      </c>
      <c r="F38595" s="2" t="str">
        <f>HYPERLINK("http://www.otzar.org/book.asp?171171","קיצור דיני ומנהגי הושענה רבה ושמחת תורה")</f>
        <v>קיצור דיני ומנהגי הושענה רבה ושמחת תורה</v>
      </c>
    </row>
    <row r="38596" spans="1:6" x14ac:dyDescent="0.2">
      <c r="A38596" t="s">
        <v>59219</v>
      </c>
      <c r="B38596" t="s">
        <v>24100</v>
      </c>
      <c r="C38596" t="s">
        <v>37</v>
      </c>
      <c r="D38596" t="s">
        <v>52</v>
      </c>
      <c r="E38596" t="s">
        <v>130</v>
      </c>
      <c r="F38596" s="2" t="str">
        <f>HYPERLINK("http://www.otzar.org/book.asp?181044","קיצור דיני ומנהגי ליל הסדר")</f>
        <v>קיצור דיני ומנהגי ליל הסדר</v>
      </c>
    </row>
    <row r="38597" spans="1:6" x14ac:dyDescent="0.2">
      <c r="A38597" t="s">
        <v>59220</v>
      </c>
      <c r="B38597" t="s">
        <v>18189</v>
      </c>
      <c r="C38597" t="s">
        <v>313</v>
      </c>
      <c r="D38597" t="s">
        <v>52</v>
      </c>
      <c r="E38597" t="s">
        <v>15</v>
      </c>
      <c r="F38597" s="2" t="str">
        <f>HYPERLINK("http://www.otzar.org/book.asp?143781","קיצור דיני חלה")</f>
        <v>קיצור דיני חלה</v>
      </c>
    </row>
    <row r="38598" spans="1:6" x14ac:dyDescent="0.2">
      <c r="A38598" t="s">
        <v>59221</v>
      </c>
      <c r="B38598" t="s">
        <v>2979</v>
      </c>
      <c r="C38598" t="s">
        <v>20</v>
      </c>
      <c r="D38598" t="s">
        <v>486</v>
      </c>
      <c r="E38598" t="s">
        <v>15</v>
      </c>
      <c r="F38598" s="2" t="str">
        <f>HYPERLINK("http://www.otzar.org/book.asp?188802","קיצור דיני טהרה")</f>
        <v>קיצור דיני טהרה</v>
      </c>
    </row>
    <row r="38599" spans="1:6" x14ac:dyDescent="0.2">
      <c r="A38599" t="s">
        <v>59222</v>
      </c>
      <c r="B38599" t="s">
        <v>56055</v>
      </c>
      <c r="C38599" t="s">
        <v>454</v>
      </c>
      <c r="D38599" t="s">
        <v>52</v>
      </c>
      <c r="E38599" t="s">
        <v>15</v>
      </c>
      <c r="F38599" s="2" t="str">
        <f>HYPERLINK("http://www.otzar.org/book.asp?603233","קיצור דיני כיבוד אב ואם")</f>
        <v>קיצור דיני כיבוד אב ואם</v>
      </c>
    </row>
    <row r="38600" spans="1:6" x14ac:dyDescent="0.2">
      <c r="A38600" t="s">
        <v>59223</v>
      </c>
      <c r="B38600" t="s">
        <v>206</v>
      </c>
      <c r="C38600" t="s">
        <v>114</v>
      </c>
      <c r="D38600" t="s">
        <v>52</v>
      </c>
      <c r="E38600" t="s">
        <v>15</v>
      </c>
      <c r="F38600" s="2" t="str">
        <f>HYPERLINK("http://www.otzar.org/book.asp?163712","קיצור דיני לא תלין פעולת שכיר וביומו תתן שכרו")</f>
        <v>קיצור דיני לא תלין פעולת שכיר וביומו תתן שכרו</v>
      </c>
    </row>
    <row r="38601" spans="1:6" x14ac:dyDescent="0.2">
      <c r="A38601" t="s">
        <v>59223</v>
      </c>
      <c r="B38601" t="s">
        <v>20354</v>
      </c>
      <c r="C38601" t="s">
        <v>146</v>
      </c>
      <c r="D38601" t="s">
        <v>90</v>
      </c>
      <c r="E38601" t="s">
        <v>15</v>
      </c>
      <c r="F38601" s="2" t="str">
        <f>HYPERLINK("http://www.otzar.org/book.asp?63103","קיצור דיני לא תלין פעולת שכיר וביומו תתן שכרו")</f>
        <v>קיצור דיני לא תלין פעולת שכיר וביומו תתן שכרו</v>
      </c>
    </row>
    <row r="38602" spans="1:6" x14ac:dyDescent="0.2">
      <c r="A38602" t="s">
        <v>59224</v>
      </c>
      <c r="B38602" t="s">
        <v>20777</v>
      </c>
      <c r="C38602" t="s">
        <v>71</v>
      </c>
      <c r="D38602" t="s">
        <v>52</v>
      </c>
      <c r="E38602" t="s">
        <v>130</v>
      </c>
      <c r="F38602" s="2" t="str">
        <f>HYPERLINK("http://www.otzar.org/book.asp?161554","קיצור דיני סדר תקיעת שופר")</f>
        <v>קיצור דיני סדר תקיעת שופר</v>
      </c>
    </row>
    <row r="38603" spans="1:6" x14ac:dyDescent="0.2">
      <c r="A38603" t="s">
        <v>59225</v>
      </c>
      <c r="B38603" t="s">
        <v>1748</v>
      </c>
      <c r="C38603" t="s">
        <v>17</v>
      </c>
      <c r="D38603" t="s">
        <v>52</v>
      </c>
      <c r="E38603" t="s">
        <v>104</v>
      </c>
      <c r="F38603" s="2" t="str">
        <f>HYPERLINK("http://www.otzar.org/book.asp?141827","קיצור דיני ספק טומאה")</f>
        <v>קיצור דיני ספק טומאה</v>
      </c>
    </row>
    <row r="38604" spans="1:6" x14ac:dyDescent="0.2">
      <c r="A38604" t="s">
        <v>59226</v>
      </c>
      <c r="B38604" t="s">
        <v>17431</v>
      </c>
      <c r="C38604" t="s">
        <v>87</v>
      </c>
      <c r="D38604" t="s">
        <v>14</v>
      </c>
      <c r="E38604" t="s">
        <v>130</v>
      </c>
      <c r="F38604" s="2" t="str">
        <f>HYPERLINK("http://www.otzar.org/book.asp?13129","קיצור דיני פורים המשולש")</f>
        <v>קיצור דיני פורים המשולש</v>
      </c>
    </row>
    <row r="38605" spans="1:6" x14ac:dyDescent="0.2">
      <c r="A38605" t="s">
        <v>59227</v>
      </c>
      <c r="B38605" t="s">
        <v>206</v>
      </c>
      <c r="C38605" t="s">
        <v>454</v>
      </c>
      <c r="D38605" t="s">
        <v>52</v>
      </c>
      <c r="E38605" t="s">
        <v>15</v>
      </c>
      <c r="F38605" s="2" t="str">
        <f>HYPERLINK("http://www.otzar.org/book.asp?161585","קיצור דיני ריבית המצויים")</f>
        <v>קיצור דיני ריבית המצויים</v>
      </c>
    </row>
    <row r="38606" spans="1:6" x14ac:dyDescent="0.2">
      <c r="A38606" t="s">
        <v>59227</v>
      </c>
      <c r="B38606" t="s">
        <v>59228</v>
      </c>
      <c r="C38606" t="s">
        <v>454</v>
      </c>
      <c r="D38606" t="s">
        <v>21</v>
      </c>
      <c r="E38606" t="s">
        <v>15</v>
      </c>
      <c r="F38606" s="2" t="str">
        <f>HYPERLINK("http://www.otzar.org/book.asp?603090","קיצור דיני ריבית המצויים")</f>
        <v>קיצור דיני ריבית המצויים</v>
      </c>
    </row>
    <row r="38607" spans="1:6" x14ac:dyDescent="0.2">
      <c r="A38607" t="s">
        <v>59229</v>
      </c>
      <c r="B38607" t="s">
        <v>18189</v>
      </c>
      <c r="C38607" t="s">
        <v>23</v>
      </c>
      <c r="D38607" t="s">
        <v>52</v>
      </c>
      <c r="E38607" t="s">
        <v>15</v>
      </c>
      <c r="F38607" s="2" t="str">
        <f>HYPERLINK("http://www.otzar.org/book.asp?183352","קיצור דיני שביעית &lt;מהדורה שניה&gt;")</f>
        <v>קיצור דיני שביעית &lt;מהדורה שניה&gt;</v>
      </c>
    </row>
    <row r="38608" spans="1:6" x14ac:dyDescent="0.2">
      <c r="A38608" t="s">
        <v>59230</v>
      </c>
      <c r="B38608" t="s">
        <v>27813</v>
      </c>
      <c r="C38608" t="s">
        <v>1811</v>
      </c>
      <c r="D38608" t="s">
        <v>14</v>
      </c>
      <c r="E38608" t="s">
        <v>15</v>
      </c>
      <c r="F38608" s="2" t="str">
        <f>HYPERLINK("http://www.otzar.org/book.asp?10273","קיצור דיני שביעית")</f>
        <v>קיצור דיני שביעית</v>
      </c>
    </row>
    <row r="38609" spans="1:6" x14ac:dyDescent="0.2">
      <c r="A38609" t="s">
        <v>59230</v>
      </c>
      <c r="B38609" t="s">
        <v>18189</v>
      </c>
      <c r="C38609" t="s">
        <v>17</v>
      </c>
      <c r="D38609" t="s">
        <v>52</v>
      </c>
      <c r="E38609" t="s">
        <v>10</v>
      </c>
      <c r="F38609" s="2" t="str">
        <f>HYPERLINK("http://www.otzar.org/book.asp?60223","קיצור דיני שביעית")</f>
        <v>קיצור דיני שביעית</v>
      </c>
    </row>
    <row r="38610" spans="1:6" x14ac:dyDescent="0.2">
      <c r="A38610" t="s">
        <v>59231</v>
      </c>
      <c r="B38610" t="s">
        <v>1510</v>
      </c>
      <c r="C38610" t="s">
        <v>411</v>
      </c>
      <c r="D38610" t="s">
        <v>1511</v>
      </c>
      <c r="E38610" t="s">
        <v>130</v>
      </c>
      <c r="F38610" s="2" t="str">
        <f>HYPERLINK("http://www.otzar.org/book.asp?171173","קיצור דיני שהיה חזרה והטמנה")</f>
        <v>קיצור דיני שהיה חזרה והטמנה</v>
      </c>
    </row>
    <row r="38611" spans="1:6" x14ac:dyDescent="0.2">
      <c r="A38611" t="s">
        <v>59232</v>
      </c>
      <c r="B38611" t="s">
        <v>59233</v>
      </c>
      <c r="C38611" t="s">
        <v>23</v>
      </c>
      <c r="D38611" t="s">
        <v>21</v>
      </c>
      <c r="E38611" t="s">
        <v>15</v>
      </c>
      <c r="F38611" s="2" t="str">
        <f>HYPERLINK("http://www.otzar.org/book.asp?196040","קיצור דיני שמיטת כספים")</f>
        <v>קיצור דיני שמיטת כספים</v>
      </c>
    </row>
    <row r="38612" spans="1:6" x14ac:dyDescent="0.2">
      <c r="A38612" t="s">
        <v>59234</v>
      </c>
      <c r="B38612" t="s">
        <v>26204</v>
      </c>
      <c r="C38612" t="s">
        <v>20</v>
      </c>
      <c r="D38612" t="s">
        <v>14</v>
      </c>
      <c r="F38612" s="2" t="str">
        <f>HYPERLINK("http://www.otzar.org/book.asp?613414","קיצור דיני שמיטת קרקעות - 2 כר'")</f>
        <v>קיצור דיני שמיטת קרקעות - 2 כר'</v>
      </c>
    </row>
    <row r="38613" spans="1:6" x14ac:dyDescent="0.2">
      <c r="A38613" t="s">
        <v>59235</v>
      </c>
      <c r="B38613" t="s">
        <v>59236</v>
      </c>
      <c r="C38613" t="s">
        <v>46</v>
      </c>
      <c r="D38613" t="s">
        <v>216</v>
      </c>
      <c r="F38613" s="2" t="str">
        <f>HYPERLINK("http://www.otzar.org/book.asp?618975","קיצור דינים והדרכה מעשית לשנת השמיטה")</f>
        <v>קיצור דינים והדרכה מעשית לשנת השמיטה</v>
      </c>
    </row>
    <row r="38614" spans="1:6" x14ac:dyDescent="0.2">
      <c r="A38614" t="s">
        <v>59237</v>
      </c>
      <c r="B38614" t="s">
        <v>59238</v>
      </c>
      <c r="C38614" t="s">
        <v>3205</v>
      </c>
      <c r="D38614" t="s">
        <v>412</v>
      </c>
      <c r="E38614" t="s">
        <v>172</v>
      </c>
      <c r="F38614" s="2" t="str">
        <f>HYPERLINK("http://www.otzar.org/book.asp?177105","קיצור דרכי תשובה &lt;שיח יצחק&gt; - טריפות")</f>
        <v>קיצור דרכי תשובה &lt;שיח יצחק&gt; - טריפות</v>
      </c>
    </row>
    <row r="38615" spans="1:6" x14ac:dyDescent="0.2">
      <c r="A38615" t="s">
        <v>59239</v>
      </c>
      <c r="B38615" t="s">
        <v>27038</v>
      </c>
      <c r="C38615" t="s">
        <v>332</v>
      </c>
      <c r="D38615" t="s">
        <v>14</v>
      </c>
      <c r="E38615" t="s">
        <v>399</v>
      </c>
      <c r="F38615" s="2" t="str">
        <f>HYPERLINK("http://www.otzar.org/book.asp?10278","קיצור דרש מטי ולא מטי של הרב דוד פארדו")</f>
        <v>קיצור דרש מטי ולא מטי של הרב דוד פארדו</v>
      </c>
    </row>
    <row r="38616" spans="1:6" x14ac:dyDescent="0.2">
      <c r="A38616" t="s">
        <v>59240</v>
      </c>
      <c r="B38616" t="s">
        <v>206</v>
      </c>
      <c r="C38616" t="s">
        <v>366</v>
      </c>
      <c r="D38616" t="s">
        <v>52</v>
      </c>
      <c r="E38616" t="s">
        <v>674</v>
      </c>
      <c r="F38616" s="2" t="str">
        <f>HYPERLINK("http://www.otzar.org/book.asp?606126","קיצור ההלכות הנוגעות לבין הזמנים")</f>
        <v>קיצור ההלכות הנוגעות לבין הזמנים</v>
      </c>
    </row>
    <row r="38617" spans="1:6" x14ac:dyDescent="0.2">
      <c r="A38617" t="s">
        <v>59241</v>
      </c>
      <c r="B38617" t="s">
        <v>206</v>
      </c>
      <c r="C38617" t="s">
        <v>189</v>
      </c>
      <c r="D38617" t="s">
        <v>52</v>
      </c>
      <c r="E38617" t="s">
        <v>241</v>
      </c>
      <c r="F38617" s="2" t="str">
        <f>HYPERLINK("http://www.otzar.org/book.asp?153347","קיצור ההלכות וההנהגות המעשיות")</f>
        <v>קיצור ההלכות וההנהגות המעשיות</v>
      </c>
    </row>
    <row r="38618" spans="1:6" x14ac:dyDescent="0.2">
      <c r="A38618" t="s">
        <v>59242</v>
      </c>
      <c r="B38618" t="s">
        <v>1390</v>
      </c>
      <c r="C38618" t="s">
        <v>103</v>
      </c>
      <c r="D38618" t="s">
        <v>14</v>
      </c>
      <c r="E38618" t="s">
        <v>399</v>
      </c>
      <c r="F38618" s="2" t="str">
        <f>HYPERLINK("http://www.otzar.org/book.asp?22941","קיצור הכוונות - 3 כר'")</f>
        <v>קיצור הכוונות - 3 כר'</v>
      </c>
    </row>
    <row r="38619" spans="1:6" x14ac:dyDescent="0.2">
      <c r="A38619" t="s">
        <v>59243</v>
      </c>
      <c r="B38619" t="s">
        <v>15402</v>
      </c>
      <c r="C38619" t="s">
        <v>103</v>
      </c>
      <c r="D38619" t="s">
        <v>412</v>
      </c>
      <c r="E38619" t="s">
        <v>15</v>
      </c>
      <c r="F38619" s="2" t="str">
        <f>HYPERLINK("http://www.otzar.org/book.asp?52698","קיצור הלכות אבלות מספר נשמת ישראל")</f>
        <v>קיצור הלכות אבלות מספר נשמת ישראל</v>
      </c>
    </row>
    <row r="38620" spans="1:6" x14ac:dyDescent="0.2">
      <c r="A38620" t="s">
        <v>59244</v>
      </c>
      <c r="B38620" t="s">
        <v>12463</v>
      </c>
      <c r="C38620" t="s">
        <v>129</v>
      </c>
      <c r="D38620" t="s">
        <v>90</v>
      </c>
      <c r="E38620" t="s">
        <v>130</v>
      </c>
      <c r="F38620" s="2" t="str">
        <f>HYPERLINK("http://www.otzar.org/book.asp?172840","קיצור הלכות אפית מצות")</f>
        <v>קיצור הלכות אפית מצות</v>
      </c>
    </row>
    <row r="38621" spans="1:6" x14ac:dyDescent="0.2">
      <c r="A38621" t="s">
        <v>59245</v>
      </c>
      <c r="B38621" t="s">
        <v>59246</v>
      </c>
      <c r="C38621" t="s">
        <v>23</v>
      </c>
      <c r="E38621" t="s">
        <v>15</v>
      </c>
      <c r="F38621" s="2" t="str">
        <f>HYPERLINK("http://www.otzar.org/book.asp?600048","קיצור הלכות הפרדה בין בשר לחלב")</f>
        <v>קיצור הלכות הפרדה בין בשר לחלב</v>
      </c>
    </row>
    <row r="38622" spans="1:6" x14ac:dyDescent="0.2">
      <c r="A38622" t="s">
        <v>59247</v>
      </c>
      <c r="B38622" t="s">
        <v>15689</v>
      </c>
      <c r="C38622" t="s">
        <v>114</v>
      </c>
      <c r="D38622" t="s">
        <v>3069</v>
      </c>
      <c r="E38622" t="s">
        <v>15</v>
      </c>
      <c r="F38622" s="2" t="str">
        <f>HYPERLINK("http://www.otzar.org/book.asp?162160","קיצור הלכות ומנהגי אבלות")</f>
        <v>קיצור הלכות ומנהגי אבלות</v>
      </c>
    </row>
    <row r="38623" spans="1:6" x14ac:dyDescent="0.2">
      <c r="A38623" t="s">
        <v>59248</v>
      </c>
      <c r="B38623" t="s">
        <v>56922</v>
      </c>
      <c r="C38623" t="s">
        <v>151</v>
      </c>
      <c r="D38623" t="s">
        <v>52</v>
      </c>
      <c r="F38623" s="2" t="str">
        <f>HYPERLINK("http://www.otzar.org/book.asp?616430","קיצור הלכות וסתות")</f>
        <v>קיצור הלכות וסתות</v>
      </c>
    </row>
    <row r="38624" spans="1:6" x14ac:dyDescent="0.2">
      <c r="A38624" t="s">
        <v>59249</v>
      </c>
      <c r="B38624" t="s">
        <v>59250</v>
      </c>
      <c r="C38624" t="s">
        <v>366</v>
      </c>
      <c r="D38624" t="s">
        <v>2383</v>
      </c>
      <c r="E38624" t="s">
        <v>15</v>
      </c>
      <c r="F38624" s="2" t="str">
        <f>HYPERLINK("http://www.otzar.org/book.asp?630633","קיצור הלכות זימון")</f>
        <v>קיצור הלכות זימון</v>
      </c>
    </row>
    <row r="38625" spans="1:6" x14ac:dyDescent="0.2">
      <c r="A38625" t="s">
        <v>59251</v>
      </c>
      <c r="B38625" t="s">
        <v>58485</v>
      </c>
      <c r="C38625" t="s">
        <v>624</v>
      </c>
      <c r="D38625" t="s">
        <v>852</v>
      </c>
      <c r="E38625" t="s">
        <v>2091</v>
      </c>
      <c r="F38625" s="2" t="str">
        <f>HYPERLINK("http://www.otzar.org/book.asp?84390","קיצור הלכות חובל מזיק ושמירת הגוף")</f>
        <v>קיצור הלכות חובל מזיק ושמירת הגוף</v>
      </c>
    </row>
    <row r="38626" spans="1:6" x14ac:dyDescent="0.2">
      <c r="A38626" t="s">
        <v>59252</v>
      </c>
      <c r="B38626" t="s">
        <v>18253</v>
      </c>
      <c r="C38626" t="s">
        <v>454</v>
      </c>
      <c r="D38626" t="s">
        <v>216</v>
      </c>
      <c r="E38626" t="s">
        <v>15</v>
      </c>
      <c r="F38626" s="2" t="str">
        <f>HYPERLINK("http://www.otzar.org/book.asp?149728","קיצור הלכות טהרה")</f>
        <v>קיצור הלכות טהרה</v>
      </c>
    </row>
    <row r="38627" spans="1:6" x14ac:dyDescent="0.2">
      <c r="A38627" t="s">
        <v>59253</v>
      </c>
      <c r="B38627" t="s">
        <v>47934</v>
      </c>
      <c r="C38627" t="s">
        <v>419</v>
      </c>
      <c r="D38627" t="s">
        <v>852</v>
      </c>
      <c r="E38627" t="s">
        <v>4163</v>
      </c>
      <c r="F38627" s="2" t="str">
        <f>HYPERLINK("http://www.otzar.org/book.asp?84388","קיצור הלכות יום טוב וספירת העומר")</f>
        <v>קיצור הלכות יום טוב וספירת העומר</v>
      </c>
    </row>
    <row r="38628" spans="1:6" x14ac:dyDescent="0.2">
      <c r="A38628" t="s">
        <v>59254</v>
      </c>
      <c r="B38628" t="s">
        <v>25894</v>
      </c>
      <c r="C38628" t="s">
        <v>133</v>
      </c>
      <c r="D38628" t="s">
        <v>72</v>
      </c>
      <c r="E38628" t="s">
        <v>130</v>
      </c>
      <c r="F38628" s="2" t="str">
        <f>HYPERLINK("http://www.otzar.org/book.asp?196588","קיצור הלכות יום טוב")</f>
        <v>קיצור הלכות יום טוב</v>
      </c>
    </row>
    <row r="38629" spans="1:6" x14ac:dyDescent="0.2">
      <c r="A38629" t="s">
        <v>59255</v>
      </c>
      <c r="B38629" t="s">
        <v>58485</v>
      </c>
      <c r="C38629" t="s">
        <v>1268</v>
      </c>
      <c r="D38629" t="s">
        <v>852</v>
      </c>
      <c r="E38629" t="s">
        <v>2091</v>
      </c>
      <c r="F38629" s="2" t="str">
        <f>HYPERLINK("http://www.otzar.org/book.asp?84385","קיצור הלכות יחוד וצניעות - דיני שביעית בשמינית")</f>
        <v>קיצור הלכות יחוד וצניעות - דיני שביעית בשמינית</v>
      </c>
    </row>
    <row r="38630" spans="1:6" x14ac:dyDescent="0.2">
      <c r="A38630" t="s">
        <v>59256</v>
      </c>
      <c r="B38630" t="s">
        <v>59246</v>
      </c>
      <c r="C38630" t="s">
        <v>366</v>
      </c>
      <c r="D38630" t="s">
        <v>52</v>
      </c>
      <c r="F38630" s="2" t="str">
        <f>HYPERLINK("http://www.otzar.org/book.asp?618077","קיצור הלכות יחוד")</f>
        <v>קיצור הלכות יחוד</v>
      </c>
    </row>
    <row r="38631" spans="1:6" x14ac:dyDescent="0.2">
      <c r="A38631" t="s">
        <v>59257</v>
      </c>
      <c r="B38631" t="s">
        <v>28680</v>
      </c>
      <c r="C38631" t="s">
        <v>90</v>
      </c>
      <c r="D38631" t="s">
        <v>152</v>
      </c>
      <c r="F38631" s="2" t="str">
        <f>HYPERLINK("http://www.otzar.org/book.asp?617044","קיצור הלכות למי שנשברה ידו")</f>
        <v>קיצור הלכות למי שנשברה ידו</v>
      </c>
    </row>
    <row r="38632" spans="1:6" x14ac:dyDescent="0.2">
      <c r="A38632" t="s">
        <v>59258</v>
      </c>
      <c r="B38632" t="s">
        <v>58485</v>
      </c>
      <c r="C38632" t="s">
        <v>585</v>
      </c>
      <c r="D38632" t="s">
        <v>852</v>
      </c>
      <c r="E38632" t="s">
        <v>2091</v>
      </c>
      <c r="F38632" s="2" t="str">
        <f>HYPERLINK("http://www.otzar.org/book.asp?84391","קיצור הלכות לשון הרע")</f>
        <v>קיצור הלכות לשון הרע</v>
      </c>
    </row>
    <row r="38633" spans="1:6" x14ac:dyDescent="0.2">
      <c r="A38633" t="s">
        <v>59258</v>
      </c>
      <c r="B38633" t="s">
        <v>15706</v>
      </c>
      <c r="C38633" t="s">
        <v>59259</v>
      </c>
      <c r="D38633" t="s">
        <v>52</v>
      </c>
      <c r="E38633" t="s">
        <v>15</v>
      </c>
      <c r="F38633" s="2" t="str">
        <f>HYPERLINK("http://www.otzar.org/book.asp?189194","קיצור הלכות לשון הרע")</f>
        <v>קיצור הלכות לשון הרע</v>
      </c>
    </row>
    <row r="38634" spans="1:6" x14ac:dyDescent="0.2">
      <c r="A38634" t="s">
        <v>59260</v>
      </c>
      <c r="B38634" t="s">
        <v>3286</v>
      </c>
      <c r="C38634" t="s">
        <v>454</v>
      </c>
      <c r="D38634" t="s">
        <v>52</v>
      </c>
      <c r="E38634" t="s">
        <v>658</v>
      </c>
      <c r="F38634" s="2" t="str">
        <f>HYPERLINK("http://www.otzar.org/book.asp?62135","קיצור הלכות מועדים - 3 כר'")</f>
        <v>קיצור הלכות מועדים - 3 כר'</v>
      </c>
    </row>
    <row r="38635" spans="1:6" x14ac:dyDescent="0.2">
      <c r="A38635" t="s">
        <v>59261</v>
      </c>
      <c r="B38635" t="s">
        <v>30822</v>
      </c>
      <c r="C38635" t="s">
        <v>454</v>
      </c>
      <c r="D38635" t="s">
        <v>14</v>
      </c>
      <c r="F38635" s="2" t="str">
        <f>HYPERLINK("http://www.otzar.org/book.asp?613059","קיצור הלכות מוקצה")</f>
        <v>קיצור הלכות מוקצה</v>
      </c>
    </row>
    <row r="38636" spans="1:6" x14ac:dyDescent="0.2">
      <c r="A38636" t="s">
        <v>59262</v>
      </c>
      <c r="B38636" t="s">
        <v>56613</v>
      </c>
      <c r="C38636" t="s">
        <v>111</v>
      </c>
      <c r="D38636" t="s">
        <v>90</v>
      </c>
      <c r="E38636" t="s">
        <v>15</v>
      </c>
      <c r="F38636" s="2" t="str">
        <f>HYPERLINK("http://www.otzar.org/book.asp?630364","קיצור הלכות מזוזה")</f>
        <v>קיצור הלכות מזוזה</v>
      </c>
    </row>
    <row r="38637" spans="1:6" x14ac:dyDescent="0.2">
      <c r="A38637" t="s">
        <v>59263</v>
      </c>
      <c r="B38637" t="s">
        <v>1557</v>
      </c>
      <c r="C38637" t="s">
        <v>68</v>
      </c>
      <c r="D38637" t="s">
        <v>152</v>
      </c>
      <c r="F38637" s="2" t="str">
        <f>HYPERLINK("http://www.otzar.org/book.asp?610384","קיצור הלכות מצות כתיבת ספר תורה")</f>
        <v>קיצור הלכות מצות כתיבת ספר תורה</v>
      </c>
    </row>
    <row r="38638" spans="1:6" x14ac:dyDescent="0.2">
      <c r="A38638" t="s">
        <v>59264</v>
      </c>
      <c r="B38638" t="s">
        <v>59265</v>
      </c>
      <c r="C38638" t="s">
        <v>383</v>
      </c>
      <c r="D38638" t="s">
        <v>273</v>
      </c>
      <c r="F38638" s="2" t="str">
        <f>HYPERLINK("http://www.otzar.org/book.asp?627713","קיצור הלכות משו""ע אדמו""ר הזקן - 2 כר'")</f>
        <v>קיצור הלכות משו"ע אדמו"ר הזקן - 2 כר'</v>
      </c>
    </row>
    <row r="38639" spans="1:6" x14ac:dyDescent="0.2">
      <c r="A38639" t="s">
        <v>59266</v>
      </c>
      <c r="B38639" t="s">
        <v>17175</v>
      </c>
      <c r="C38639" t="s">
        <v>767</v>
      </c>
      <c r="D38639" t="s">
        <v>52</v>
      </c>
      <c r="E38639" t="s">
        <v>15</v>
      </c>
      <c r="F38639" s="2" t="str">
        <f>HYPERLINK("http://www.otzar.org/book.asp?24919","קיצור הלכות נדה מנוקד")</f>
        <v>קיצור הלכות נדה מנוקד</v>
      </c>
    </row>
    <row r="38640" spans="1:6" x14ac:dyDescent="0.2">
      <c r="A38640" t="s">
        <v>59267</v>
      </c>
      <c r="B38640" t="s">
        <v>59268</v>
      </c>
      <c r="C38640" t="s">
        <v>59269</v>
      </c>
      <c r="D38640" t="s">
        <v>367</v>
      </c>
      <c r="E38640" t="s">
        <v>15</v>
      </c>
      <c r="F38640" s="2" t="str">
        <f>HYPERLINK("http://www.otzar.org/book.asp?199830","קיצור הלכות נדה")</f>
        <v>קיצור הלכות נדה</v>
      </c>
    </row>
    <row r="38641" spans="1:6" x14ac:dyDescent="0.2">
      <c r="A38641" t="s">
        <v>59270</v>
      </c>
      <c r="B38641" t="s">
        <v>59271</v>
      </c>
      <c r="C38641" t="s">
        <v>20</v>
      </c>
      <c r="D38641" t="s">
        <v>52</v>
      </c>
      <c r="E38641" t="s">
        <v>15</v>
      </c>
      <c r="F38641" s="2" t="str">
        <f>HYPERLINK("http://www.otzar.org/book.asp?603474","קיצור הלכות סת""ם")</f>
        <v>קיצור הלכות סת"ם</v>
      </c>
    </row>
    <row r="38642" spans="1:6" x14ac:dyDescent="0.2">
      <c r="A38642" t="s">
        <v>59272</v>
      </c>
      <c r="B38642" t="s">
        <v>59273</v>
      </c>
      <c r="C38642" t="s">
        <v>366</v>
      </c>
      <c r="D38642" t="s">
        <v>80</v>
      </c>
      <c r="E38642" t="s">
        <v>130</v>
      </c>
      <c r="F38642" s="2" t="str">
        <f>HYPERLINK("http://www.otzar.org/book.asp?604018","קיצור הלכות פורים המצויות")</f>
        <v>קיצור הלכות פורים המצויות</v>
      </c>
    </row>
    <row r="38643" spans="1:6" x14ac:dyDescent="0.2">
      <c r="A38643" t="s">
        <v>59274</v>
      </c>
      <c r="B38643" t="s">
        <v>1549</v>
      </c>
      <c r="C38643" t="s">
        <v>146</v>
      </c>
      <c r="D38643" t="s">
        <v>1550</v>
      </c>
      <c r="E38643" t="s">
        <v>15</v>
      </c>
      <c r="F38643" s="2" t="str">
        <f>HYPERLINK("http://www.otzar.org/book.asp?26694","קיצור הלכות פסח")</f>
        <v>קיצור הלכות פסח</v>
      </c>
    </row>
    <row r="38644" spans="1:6" x14ac:dyDescent="0.2">
      <c r="A38644" t="s">
        <v>59274</v>
      </c>
      <c r="B38644" t="s">
        <v>1510</v>
      </c>
      <c r="C38644" t="s">
        <v>23</v>
      </c>
      <c r="D38644" t="s">
        <v>1511</v>
      </c>
      <c r="F38644" s="2" t="str">
        <f>HYPERLINK("http://www.otzar.org/book.asp?192841","קיצור הלכות פסח")</f>
        <v>קיצור הלכות פסח</v>
      </c>
    </row>
    <row r="38645" spans="1:6" x14ac:dyDescent="0.2">
      <c r="A38645" t="s">
        <v>59275</v>
      </c>
      <c r="B38645" t="s">
        <v>58485</v>
      </c>
      <c r="C38645" t="s">
        <v>176</v>
      </c>
      <c r="D38645" t="s">
        <v>852</v>
      </c>
      <c r="E38645" t="s">
        <v>2091</v>
      </c>
      <c r="F38645" s="2" t="str">
        <f>HYPERLINK("http://www.otzar.org/book.asp?84387","קיצור הלכות קריאת התורה, קדושת בית הכנסת, תשמישי קדושה")</f>
        <v>קיצור הלכות קריאת התורה, קדושת בית הכנסת, תשמישי קדושה</v>
      </c>
    </row>
    <row r="38646" spans="1:6" x14ac:dyDescent="0.2">
      <c r="A38646" t="s">
        <v>59276</v>
      </c>
      <c r="B38646" t="s">
        <v>48490</v>
      </c>
      <c r="C38646" t="s">
        <v>111</v>
      </c>
      <c r="D38646" t="s">
        <v>14</v>
      </c>
      <c r="E38646" t="s">
        <v>15</v>
      </c>
      <c r="F38646" s="2" t="str">
        <f>HYPERLINK("http://www.otzar.org/book.asp?629844","קיצור הלכות רבית - א")</f>
        <v>קיצור הלכות רבית - א</v>
      </c>
    </row>
    <row r="38647" spans="1:6" x14ac:dyDescent="0.2">
      <c r="A38647" t="s">
        <v>59277</v>
      </c>
      <c r="B38647" t="s">
        <v>59278</v>
      </c>
      <c r="C38647" t="s">
        <v>1663</v>
      </c>
      <c r="D38647" t="s">
        <v>412</v>
      </c>
      <c r="E38647" t="s">
        <v>15</v>
      </c>
      <c r="F38647" s="2" t="str">
        <f>HYPERLINK("http://www.otzar.org/book.asp?144661","קיצור הלכות שבת")</f>
        <v>קיצור הלכות שבת</v>
      </c>
    </row>
    <row r="38648" spans="1:6" x14ac:dyDescent="0.2">
      <c r="A38648" t="s">
        <v>59277</v>
      </c>
      <c r="B38648" t="s">
        <v>25894</v>
      </c>
      <c r="C38648" t="s">
        <v>411</v>
      </c>
      <c r="D38648" t="s">
        <v>72</v>
      </c>
      <c r="E38648" t="s">
        <v>130</v>
      </c>
      <c r="F38648" s="2" t="str">
        <f>HYPERLINK("http://www.otzar.org/book.asp?196586","קיצור הלכות שבת")</f>
        <v>קיצור הלכות שבת</v>
      </c>
    </row>
    <row r="38649" spans="1:6" x14ac:dyDescent="0.2">
      <c r="A38649" t="s">
        <v>59279</v>
      </c>
      <c r="B38649" t="s">
        <v>59280</v>
      </c>
      <c r="C38649" t="s">
        <v>151</v>
      </c>
      <c r="D38649" t="s">
        <v>4549</v>
      </c>
      <c r="F38649" s="2" t="str">
        <f>HYPERLINK("http://www.otzar.org/book.asp?621870","קיצור הלכות שופר")</f>
        <v>קיצור הלכות שופר</v>
      </c>
    </row>
    <row r="38650" spans="1:6" x14ac:dyDescent="0.2">
      <c r="A38650" t="s">
        <v>59281</v>
      </c>
      <c r="B38650" t="s">
        <v>19527</v>
      </c>
      <c r="D38650" t="s">
        <v>14</v>
      </c>
      <c r="F38650" s="2" t="str">
        <f>HYPERLINK("http://www.otzar.org/book.asp?620487","קיצור הלכות שמיטה")</f>
        <v>קיצור הלכות שמיטה</v>
      </c>
    </row>
    <row r="38651" spans="1:6" x14ac:dyDescent="0.2">
      <c r="A38651" t="s">
        <v>59282</v>
      </c>
      <c r="B38651" t="s">
        <v>59283</v>
      </c>
      <c r="C38651" t="s">
        <v>176</v>
      </c>
      <c r="D38651" t="s">
        <v>52</v>
      </c>
      <c r="E38651" t="s">
        <v>15</v>
      </c>
      <c r="F38651" s="2" t="str">
        <f>HYPERLINK("http://www.otzar.org/book.asp?623971","קיצור הלכות - 5 כר'")</f>
        <v>קיצור הלכות - 5 כר'</v>
      </c>
    </row>
    <row r="38652" spans="1:6" x14ac:dyDescent="0.2">
      <c r="A38652" t="s">
        <v>59284</v>
      </c>
      <c r="B38652" t="s">
        <v>59285</v>
      </c>
      <c r="C38652" t="s">
        <v>313</v>
      </c>
      <c r="D38652" t="s">
        <v>14</v>
      </c>
      <c r="E38652" t="s">
        <v>28</v>
      </c>
      <c r="F38652" s="2" t="str">
        <f>HYPERLINK("http://www.otzar.org/book.asp?6284","קיצור המדריך התורני לא""י - בדיקת מזון מתולעים")</f>
        <v>קיצור המדריך התורני לא"י - בדיקת מזון מתולעים</v>
      </c>
    </row>
    <row r="38653" spans="1:6" x14ac:dyDescent="0.2">
      <c r="A38653" t="s">
        <v>59286</v>
      </c>
      <c r="B38653" t="s">
        <v>2528</v>
      </c>
      <c r="C38653" t="s">
        <v>286</v>
      </c>
      <c r="D38653" t="s">
        <v>1023</v>
      </c>
      <c r="E38653" t="s">
        <v>172</v>
      </c>
      <c r="F38653" s="2" t="str">
        <f>HYPERLINK("http://www.otzar.org/book.asp?107087","קיצור השלחן הערוך")</f>
        <v>קיצור השלחן הערוך</v>
      </c>
    </row>
    <row r="38654" spans="1:6" x14ac:dyDescent="0.2">
      <c r="A38654" t="s">
        <v>59287</v>
      </c>
      <c r="B38654" t="s">
        <v>59288</v>
      </c>
      <c r="C38654" t="s">
        <v>2832</v>
      </c>
      <c r="D38654" t="s">
        <v>280</v>
      </c>
      <c r="F38654" s="2" t="str">
        <f>HYPERLINK("http://www.otzar.org/book.asp?620223","קיצור התלמוד - ב")</f>
        <v>קיצור התלמוד - ב</v>
      </c>
    </row>
    <row r="38655" spans="1:6" x14ac:dyDescent="0.2">
      <c r="A38655" t="s">
        <v>59289</v>
      </c>
      <c r="B38655" t="s">
        <v>24635</v>
      </c>
      <c r="C38655" t="s">
        <v>1663</v>
      </c>
      <c r="D38655" t="s">
        <v>27</v>
      </c>
      <c r="E38655" t="s">
        <v>241</v>
      </c>
      <c r="F38655" s="2" t="str">
        <f>HYPERLINK("http://www.otzar.org/book.asp?5503","קיצור חובת הלבבות - 2 כר'")</f>
        <v>קיצור חובת הלבבות - 2 כר'</v>
      </c>
    </row>
    <row r="38656" spans="1:6" x14ac:dyDescent="0.2">
      <c r="A38656" t="s">
        <v>59290</v>
      </c>
      <c r="B38656" t="s">
        <v>2184</v>
      </c>
      <c r="C38656" t="s">
        <v>411</v>
      </c>
      <c r="D38656" t="s">
        <v>14</v>
      </c>
      <c r="F38656" s="2" t="str">
        <f>HYPERLINK("http://www.otzar.org/book.asp?612304","קיצור חוסן יהושע - 2 כר'")</f>
        <v>קיצור חוסן יהושע - 2 כר'</v>
      </c>
    </row>
    <row r="38657" spans="1:6" x14ac:dyDescent="0.2">
      <c r="A38657" t="s">
        <v>59291</v>
      </c>
      <c r="B38657" t="s">
        <v>59292</v>
      </c>
      <c r="C38657" t="s">
        <v>23</v>
      </c>
      <c r="D38657" t="s">
        <v>1156</v>
      </c>
      <c r="F38657" s="2" t="str">
        <f>HYPERLINK("http://www.otzar.org/book.asp?199154","קיצור חשבון הנפש")</f>
        <v>קיצור חשבון הנפש</v>
      </c>
    </row>
    <row r="38658" spans="1:6" x14ac:dyDescent="0.2">
      <c r="A38658" t="s">
        <v>59293</v>
      </c>
      <c r="B38658" t="s">
        <v>1361</v>
      </c>
      <c r="C38658" t="s">
        <v>1096</v>
      </c>
      <c r="D38658" t="s">
        <v>267</v>
      </c>
      <c r="E38658" t="s">
        <v>104</v>
      </c>
      <c r="F38658" s="2" t="str">
        <f>HYPERLINK("http://www.otzar.org/book.asp?189382","קיצור כללי הוראה")</f>
        <v>קיצור כללי הוראה</v>
      </c>
    </row>
    <row r="38659" spans="1:6" x14ac:dyDescent="0.2">
      <c r="A38659" t="s">
        <v>59294</v>
      </c>
      <c r="B38659" t="s">
        <v>4289</v>
      </c>
      <c r="C38659" t="s">
        <v>1811</v>
      </c>
      <c r="D38659" t="s">
        <v>52</v>
      </c>
      <c r="F38659" s="2" t="str">
        <f>HYPERLINK("http://www.otzar.org/book.asp?191630","קיצור ליקוטי הלכות")</f>
        <v>קיצור ליקוטי הלכות</v>
      </c>
    </row>
    <row r="38660" spans="1:6" x14ac:dyDescent="0.2">
      <c r="A38660" t="s">
        <v>59295</v>
      </c>
      <c r="B38660" t="s">
        <v>3614</v>
      </c>
      <c r="C38660" t="s">
        <v>250</v>
      </c>
      <c r="D38660" t="s">
        <v>13554</v>
      </c>
      <c r="F38660" s="2" t="str">
        <f>HYPERLINK("http://www.otzar.org/book.asp?152793","קיצור ליקוטי מוהר""ן &lt;דפו""ר&gt;")</f>
        <v>קיצור ליקוטי מוהר"ן &lt;דפו"ר&gt;</v>
      </c>
    </row>
    <row r="38661" spans="1:6" x14ac:dyDescent="0.2">
      <c r="A38661" t="s">
        <v>59296</v>
      </c>
      <c r="B38661" t="s">
        <v>3614</v>
      </c>
      <c r="C38661" t="s">
        <v>13</v>
      </c>
      <c r="D38661" t="s">
        <v>14</v>
      </c>
      <c r="E38661" t="s">
        <v>140</v>
      </c>
      <c r="F38661" s="2" t="str">
        <f>HYPERLINK("http://www.otzar.org/book.asp?142502","קיצור ליקוטי מוהר""ן &lt;טקסט&gt;")</f>
        <v>קיצור ליקוטי מוהר"ן &lt;טקסט&gt;</v>
      </c>
    </row>
    <row r="38662" spans="1:6" x14ac:dyDescent="0.2">
      <c r="A38662" t="s">
        <v>59297</v>
      </c>
      <c r="B38662" t="s">
        <v>3614</v>
      </c>
      <c r="C38662" t="s">
        <v>124</v>
      </c>
      <c r="D38662" t="s">
        <v>52</v>
      </c>
      <c r="E38662" t="s">
        <v>140</v>
      </c>
      <c r="F38662" s="2" t="str">
        <f>HYPERLINK("http://www.otzar.org/book.asp?154162","קיצור ליקוטי מוהר""ן השלם")</f>
        <v>קיצור ליקוטי מוהר"ן השלם</v>
      </c>
    </row>
    <row r="38663" spans="1:6" x14ac:dyDescent="0.2">
      <c r="A38663" t="s">
        <v>59298</v>
      </c>
      <c r="B38663" t="s">
        <v>3614</v>
      </c>
      <c r="C38663" t="s">
        <v>360</v>
      </c>
      <c r="D38663" t="s">
        <v>691</v>
      </c>
      <c r="E38663" t="s">
        <v>140</v>
      </c>
      <c r="F38663" s="2" t="str">
        <f>HYPERLINK("http://www.otzar.org/book.asp?11503","קיצור ליקוטי מוהר""ן - 2 כר'")</f>
        <v>קיצור ליקוטי מוהר"ן - 2 כר'</v>
      </c>
    </row>
    <row r="38664" spans="1:6" x14ac:dyDescent="0.2">
      <c r="A38664" t="s">
        <v>59299</v>
      </c>
      <c r="B38664" t="s">
        <v>206</v>
      </c>
      <c r="C38664" t="s">
        <v>37</v>
      </c>
      <c r="D38664" t="s">
        <v>90</v>
      </c>
      <c r="F38664" s="2" t="str">
        <f>HYPERLINK("http://www.otzar.org/book.asp?612161","קיצור מדריך לחתן - תפארת חתנים")</f>
        <v>קיצור מדריך לחתן - תפארת חתנים</v>
      </c>
    </row>
    <row r="38665" spans="1:6" x14ac:dyDescent="0.2">
      <c r="A38665" t="s">
        <v>59300</v>
      </c>
      <c r="B38665" t="s">
        <v>59301</v>
      </c>
      <c r="C38665" t="s">
        <v>224</v>
      </c>
      <c r="D38665" t="s">
        <v>412</v>
      </c>
      <c r="E38665" t="s">
        <v>241</v>
      </c>
      <c r="F38665" s="2" t="str">
        <f>HYPERLINK("http://www.otzar.org/book.asp?620983","קיצור מורה נבוכים &lt;אידיש&gt;")</f>
        <v>קיצור מורה נבוכים &lt;אידיש&gt;</v>
      </c>
    </row>
    <row r="38666" spans="1:6" x14ac:dyDescent="0.2">
      <c r="A38666" t="s">
        <v>59302</v>
      </c>
      <c r="B38666" t="s">
        <v>59303</v>
      </c>
      <c r="C38666" t="s">
        <v>59304</v>
      </c>
      <c r="D38666" t="s">
        <v>744</v>
      </c>
      <c r="E38666" t="s">
        <v>158</v>
      </c>
      <c r="F38666" s="2" t="str">
        <f>HYPERLINK("http://www.otzar.org/book.asp?7442","קיצור מזרחי")</f>
        <v>קיצור מזרחי</v>
      </c>
    </row>
    <row r="38667" spans="1:6" x14ac:dyDescent="0.2">
      <c r="A38667" t="s">
        <v>59305</v>
      </c>
      <c r="B38667" t="s">
        <v>6687</v>
      </c>
      <c r="C38667" t="s">
        <v>1885</v>
      </c>
      <c r="D38667" t="s">
        <v>283</v>
      </c>
      <c r="E38667" t="s">
        <v>399</v>
      </c>
      <c r="F38667" s="2" t="str">
        <f>HYPERLINK("http://www.otzar.org/book.asp?102500","קיצור מחברת הקדש")</f>
        <v>קיצור מחברת הקדש</v>
      </c>
    </row>
    <row r="38668" spans="1:6" x14ac:dyDescent="0.2">
      <c r="A38668" t="s">
        <v>59306</v>
      </c>
      <c r="B38668" t="s">
        <v>1291</v>
      </c>
      <c r="C38668" t="s">
        <v>35505</v>
      </c>
      <c r="D38668" t="s">
        <v>19410</v>
      </c>
      <c r="F38668" s="2" t="str">
        <f>HYPERLINK("http://www.otzar.org/book.asp?620079","קיצור מטה אפרים")</f>
        <v>קיצור מטה אפרים</v>
      </c>
    </row>
    <row r="38669" spans="1:6" x14ac:dyDescent="0.2">
      <c r="A38669" t="s">
        <v>59307</v>
      </c>
      <c r="B38669" t="s">
        <v>59308</v>
      </c>
      <c r="C38669" t="s">
        <v>59309</v>
      </c>
      <c r="D38669" t="s">
        <v>30691</v>
      </c>
      <c r="E38669" t="s">
        <v>104</v>
      </c>
      <c r="F38669" s="2" t="str">
        <f>HYPERLINK("http://www.otzar.org/book.asp?625375","קיצור מלאכת המספר")</f>
        <v>קיצור מלאכת המספר</v>
      </c>
    </row>
    <row r="38670" spans="1:6" x14ac:dyDescent="0.2">
      <c r="A38670" t="s">
        <v>59310</v>
      </c>
      <c r="B38670" t="s">
        <v>59311</v>
      </c>
      <c r="C38670" t="s">
        <v>419</v>
      </c>
      <c r="D38670" t="s">
        <v>14</v>
      </c>
      <c r="E38670" t="s">
        <v>15</v>
      </c>
      <c r="F38670" s="2" t="str">
        <f>HYPERLINK("http://www.otzar.org/book.asp?154204","קיצור מנורת המאור החדש")</f>
        <v>קיצור מנורת המאור החדש</v>
      </c>
    </row>
    <row r="38671" spans="1:6" x14ac:dyDescent="0.2">
      <c r="A38671" t="s">
        <v>59312</v>
      </c>
      <c r="B38671" t="s">
        <v>1988</v>
      </c>
      <c r="C38671" t="s">
        <v>59313</v>
      </c>
      <c r="D38671" t="s">
        <v>32571</v>
      </c>
      <c r="F38671" s="2" t="str">
        <f>HYPERLINK("http://www.otzar.org/book.asp?620599","קיצור מעבר יב""ק")</f>
        <v>קיצור מעבר יב"ק</v>
      </c>
    </row>
    <row r="38672" spans="1:6" x14ac:dyDescent="0.2">
      <c r="A38672" t="s">
        <v>59314</v>
      </c>
      <c r="B38672" t="s">
        <v>1988</v>
      </c>
      <c r="C38672" t="s">
        <v>1659</v>
      </c>
      <c r="D38672" t="s">
        <v>4703</v>
      </c>
      <c r="E38672" t="s">
        <v>219</v>
      </c>
      <c r="F38672" s="2" t="str">
        <f>HYPERLINK("http://www.otzar.org/book.asp?172720","קיצור מעבר יבק")</f>
        <v>קיצור מעבר יבק</v>
      </c>
    </row>
    <row r="38673" spans="1:6" x14ac:dyDescent="0.2">
      <c r="A38673" t="s">
        <v>59315</v>
      </c>
      <c r="B38673" t="s">
        <v>59316</v>
      </c>
      <c r="C38673" t="s">
        <v>1410</v>
      </c>
      <c r="D38673" t="s">
        <v>22965</v>
      </c>
      <c r="E38673" t="s">
        <v>104</v>
      </c>
      <c r="F38673" s="2" t="str">
        <f>HYPERLINK("http://www.otzar.org/book.asp?145445","קיצור מרדכי וסימניו")</f>
        <v>קיצור מרדכי וסימניו</v>
      </c>
    </row>
    <row r="38674" spans="1:6" x14ac:dyDescent="0.2">
      <c r="A38674" t="s">
        <v>59317</v>
      </c>
      <c r="B38674" t="s">
        <v>11265</v>
      </c>
      <c r="C38674" t="s">
        <v>13</v>
      </c>
      <c r="D38674" t="s">
        <v>14</v>
      </c>
      <c r="E38674" t="s">
        <v>213</v>
      </c>
      <c r="F38674" s="2" t="str">
        <f>HYPERLINK("http://www.otzar.org/book.asp?60187","קיצור משפטי השלום")</f>
        <v>קיצור משפטי השלום</v>
      </c>
    </row>
    <row r="38675" spans="1:6" x14ac:dyDescent="0.2">
      <c r="A38675" t="s">
        <v>59318</v>
      </c>
      <c r="B38675" t="s">
        <v>59319</v>
      </c>
      <c r="C38675" t="s">
        <v>15870</v>
      </c>
      <c r="D38675" t="s">
        <v>32637</v>
      </c>
      <c r="E38675" t="s">
        <v>579</v>
      </c>
      <c r="F38675" s="2" t="str">
        <f>HYPERLINK("http://www.otzar.org/book.asp?102205","קיצור נחלת יעקב")</f>
        <v>קיצור נחלת יעקב</v>
      </c>
    </row>
    <row r="38676" spans="1:6" x14ac:dyDescent="0.2">
      <c r="A38676" t="s">
        <v>59320</v>
      </c>
      <c r="B38676" t="s">
        <v>23066</v>
      </c>
      <c r="C38676" t="s">
        <v>114</v>
      </c>
      <c r="D38676" t="s">
        <v>52</v>
      </c>
      <c r="E38676" t="s">
        <v>15</v>
      </c>
      <c r="F38676" s="2" t="str">
        <f>HYPERLINK("http://www.otzar.org/book.asp?162250","קיצור נחלת שבעה &lt;החדש&gt;")</f>
        <v>קיצור נחלת שבעה &lt;החדש&gt;</v>
      </c>
    </row>
    <row r="38677" spans="1:6" x14ac:dyDescent="0.2">
      <c r="A38677" t="s">
        <v>59321</v>
      </c>
      <c r="B38677" t="s">
        <v>23066</v>
      </c>
      <c r="C38677" t="s">
        <v>422</v>
      </c>
      <c r="D38677" t="s">
        <v>52</v>
      </c>
      <c r="E38677" t="s">
        <v>15</v>
      </c>
      <c r="F38677" s="2" t="str">
        <f>HYPERLINK("http://www.otzar.org/book.asp?162248","קיצור נחלת שבעה &lt;השלם&gt; - 2 כר'")</f>
        <v>קיצור נחלת שבעה &lt;השלם&gt; - 2 כר'</v>
      </c>
    </row>
    <row r="38678" spans="1:6" x14ac:dyDescent="0.2">
      <c r="A38678" t="s">
        <v>59322</v>
      </c>
      <c r="B38678" t="s">
        <v>44032</v>
      </c>
      <c r="C38678" t="s">
        <v>99</v>
      </c>
      <c r="D38678" t="s">
        <v>929</v>
      </c>
      <c r="E38678" t="s">
        <v>15</v>
      </c>
      <c r="F38678" s="2" t="str">
        <f>HYPERLINK("http://www.otzar.org/book.asp?144758","קיצור נחלת שבעה")</f>
        <v>קיצור נחלת שבעה</v>
      </c>
    </row>
    <row r="38679" spans="1:6" x14ac:dyDescent="0.2">
      <c r="A38679" t="s">
        <v>59323</v>
      </c>
      <c r="B38679" t="s">
        <v>47565</v>
      </c>
      <c r="C38679" t="s">
        <v>1706</v>
      </c>
      <c r="D38679" t="s">
        <v>283</v>
      </c>
      <c r="E38679" t="s">
        <v>104</v>
      </c>
      <c r="F38679" s="2" t="str">
        <f>HYPERLINK("http://www.otzar.org/book.asp?11919","קיצור סמ""ג")</f>
        <v>קיצור סמ"ג</v>
      </c>
    </row>
    <row r="38680" spans="1:6" x14ac:dyDescent="0.2">
      <c r="A38680" t="s">
        <v>59324</v>
      </c>
      <c r="B38680" t="s">
        <v>12106</v>
      </c>
      <c r="C38680" t="s">
        <v>129</v>
      </c>
      <c r="D38680" t="s">
        <v>14</v>
      </c>
      <c r="E38680" t="s">
        <v>15</v>
      </c>
      <c r="F38680" s="2" t="str">
        <f>HYPERLINK("http://www.otzar.org/book.asp?142304","קיצור ספר הנחמדים מפז")</f>
        <v>קיצור ספר הנחמדים מפז</v>
      </c>
    </row>
    <row r="38681" spans="1:6" x14ac:dyDescent="0.2">
      <c r="A38681" t="s">
        <v>59325</v>
      </c>
      <c r="B38681" t="s">
        <v>59326</v>
      </c>
      <c r="C38681" t="s">
        <v>6054</v>
      </c>
      <c r="D38681" t="s">
        <v>21</v>
      </c>
      <c r="E38681" t="s">
        <v>15</v>
      </c>
      <c r="F38681" s="2" t="str">
        <f>HYPERLINK("http://www.otzar.org/book.asp?196034","קיצור ספר חסידים")</f>
        <v>קיצור ספר חסידים</v>
      </c>
    </row>
    <row r="38682" spans="1:6" x14ac:dyDescent="0.2">
      <c r="A38682" t="s">
        <v>59327</v>
      </c>
      <c r="B38682" t="s">
        <v>9751</v>
      </c>
      <c r="C38682" t="s">
        <v>940</v>
      </c>
      <c r="D38682" t="s">
        <v>14</v>
      </c>
      <c r="E38682" t="s">
        <v>15</v>
      </c>
      <c r="F38682" s="2" t="str">
        <f>HYPERLINK("http://www.otzar.org/book.asp?163562","קיצור ספר חרדים")</f>
        <v>קיצור ספר חרדים</v>
      </c>
    </row>
    <row r="38683" spans="1:6" x14ac:dyDescent="0.2">
      <c r="A38683" t="s">
        <v>59328</v>
      </c>
      <c r="B38683" t="s">
        <v>59329</v>
      </c>
      <c r="C38683" t="s">
        <v>454</v>
      </c>
      <c r="D38683" t="s">
        <v>367</v>
      </c>
      <c r="E38683" t="s">
        <v>15</v>
      </c>
      <c r="F38683" s="2" t="str">
        <f>HYPERLINK("http://www.otzar.org/book.asp?200274","קיצור ספר יריעות שלמה")</f>
        <v>קיצור ספר יריעות שלמה</v>
      </c>
    </row>
    <row r="38684" spans="1:6" x14ac:dyDescent="0.2">
      <c r="A38684" t="s">
        <v>59330</v>
      </c>
      <c r="B38684" t="s">
        <v>59331</v>
      </c>
      <c r="C38684" t="s">
        <v>189</v>
      </c>
      <c r="D38684" t="s">
        <v>14</v>
      </c>
      <c r="F38684" s="2" t="str">
        <f>HYPERLINK("http://www.otzar.org/book.asp?182313","קיצור ספר מצות גדול")</f>
        <v>קיצור ספר מצות גדול</v>
      </c>
    </row>
    <row r="38685" spans="1:6" x14ac:dyDescent="0.2">
      <c r="A38685" t="s">
        <v>59332</v>
      </c>
      <c r="B38685" t="s">
        <v>51566</v>
      </c>
      <c r="C38685" t="s">
        <v>366</v>
      </c>
      <c r="D38685" t="s">
        <v>14</v>
      </c>
      <c r="F38685" s="2" t="str">
        <f>HYPERLINK("http://www.otzar.org/book.asp?616899","קיצור ספרי בדיקת המזון כהלכה")</f>
        <v>קיצור ספרי בדיקת המזון כהלכה</v>
      </c>
    </row>
    <row r="38686" spans="1:6" x14ac:dyDescent="0.2">
      <c r="A38686" t="s">
        <v>59333</v>
      </c>
      <c r="B38686" t="s">
        <v>59334</v>
      </c>
      <c r="C38686" t="s">
        <v>11298</v>
      </c>
      <c r="D38686" t="s">
        <v>544</v>
      </c>
      <c r="E38686" t="s">
        <v>104</v>
      </c>
      <c r="F38686" s="2" t="str">
        <f>HYPERLINK("http://www.otzar.org/book.asp?62158","קיצור עברונות")</f>
        <v>קיצור עברונות</v>
      </c>
    </row>
    <row r="38687" spans="1:6" x14ac:dyDescent="0.2">
      <c r="A38687" t="s">
        <v>59335</v>
      </c>
      <c r="B38687" t="s">
        <v>4617</v>
      </c>
      <c r="C38687" t="s">
        <v>9159</v>
      </c>
      <c r="D38687" t="s">
        <v>59336</v>
      </c>
      <c r="F38687" s="2" t="str">
        <f>HYPERLINK("http://www.otzar.org/book.asp?170309","קיצור פסקי הראש")</f>
        <v>קיצור פסקי הראש</v>
      </c>
    </row>
    <row r="38688" spans="1:6" x14ac:dyDescent="0.2">
      <c r="A38688" t="s">
        <v>59337</v>
      </c>
      <c r="B38688" t="s">
        <v>59338</v>
      </c>
      <c r="C38688" t="s">
        <v>366</v>
      </c>
      <c r="D38688" t="s">
        <v>21</v>
      </c>
      <c r="F38688" s="2" t="str">
        <f>HYPERLINK("http://www.otzar.org/book.asp?610221","קיצור פתחי מגדים - 2 כר'")</f>
        <v>קיצור פתחי מגדים - 2 כר'</v>
      </c>
    </row>
    <row r="38689" spans="1:6" x14ac:dyDescent="0.2">
      <c r="A38689" t="s">
        <v>59339</v>
      </c>
      <c r="B38689" t="s">
        <v>2235</v>
      </c>
      <c r="C38689" t="s">
        <v>1310</v>
      </c>
      <c r="D38689" t="s">
        <v>5209</v>
      </c>
      <c r="E38689" t="s">
        <v>104</v>
      </c>
      <c r="F38689" s="2" t="str">
        <f>HYPERLINK("http://www.otzar.org/book.asp?102207","קיצור ציצת נובל צבי - 2 כר'")</f>
        <v>קיצור ציצת נובל צבי - 2 כר'</v>
      </c>
    </row>
    <row r="38690" spans="1:6" x14ac:dyDescent="0.2">
      <c r="A38690" t="s">
        <v>59340</v>
      </c>
      <c r="B38690" t="s">
        <v>40640</v>
      </c>
      <c r="C38690" t="s">
        <v>23</v>
      </c>
      <c r="D38690" t="s">
        <v>21</v>
      </c>
      <c r="E38690" t="s">
        <v>399</v>
      </c>
      <c r="F38690" s="2" t="str">
        <f>HYPERLINK("http://www.otzar.org/book.asp?191388","קיצור קל""ח פתחי חכמה")</f>
        <v>קיצור קל"ח פתחי חכמה</v>
      </c>
    </row>
    <row r="38691" spans="1:6" x14ac:dyDescent="0.2">
      <c r="A38691" t="s">
        <v>59340</v>
      </c>
      <c r="B38691" t="s">
        <v>1390</v>
      </c>
      <c r="C38691" t="s">
        <v>20</v>
      </c>
      <c r="D38691" t="s">
        <v>52</v>
      </c>
      <c r="E38691" t="s">
        <v>399</v>
      </c>
      <c r="F38691" s="2" t="str">
        <f>HYPERLINK("http://www.otzar.org/book.asp?12695","קיצור קל""ח פתחי חכמה")</f>
        <v>קיצור קל"ח פתחי חכמה</v>
      </c>
    </row>
    <row r="38692" spans="1:6" x14ac:dyDescent="0.2">
      <c r="A38692" t="s">
        <v>59341</v>
      </c>
      <c r="B38692" t="s">
        <v>59342</v>
      </c>
      <c r="C38692" t="s">
        <v>576</v>
      </c>
      <c r="D38692" t="s">
        <v>1966</v>
      </c>
      <c r="E38692" t="s">
        <v>241</v>
      </c>
      <c r="F38692" s="2" t="str">
        <f>HYPERLINK("http://www.otzar.org/book.asp?11689","קיצור ראשית חכמה - 2 כר'")</f>
        <v>קיצור ראשית חכמה - 2 כר'</v>
      </c>
    </row>
    <row r="38693" spans="1:6" x14ac:dyDescent="0.2">
      <c r="A38693" t="s">
        <v>59343</v>
      </c>
      <c r="B38693" t="s">
        <v>44856</v>
      </c>
      <c r="C38693" t="s">
        <v>454</v>
      </c>
      <c r="D38693" t="s">
        <v>21</v>
      </c>
      <c r="E38693" t="s">
        <v>144</v>
      </c>
      <c r="F38693" s="2" t="str">
        <f>HYPERLINK("http://www.otzar.org/book.asp?197126","קיצור שיחת חולין")</f>
        <v>קיצור שיחת חולין</v>
      </c>
    </row>
    <row r="38694" spans="1:6" x14ac:dyDescent="0.2">
      <c r="A38694" t="s">
        <v>59344</v>
      </c>
      <c r="B38694" t="s">
        <v>59345</v>
      </c>
      <c r="C38694" t="s">
        <v>13</v>
      </c>
      <c r="D38694" t="s">
        <v>52</v>
      </c>
      <c r="E38694" t="s">
        <v>148</v>
      </c>
      <c r="F38694" s="2" t="str">
        <f>HYPERLINK("http://www.otzar.org/book.asp?159600","קיצור שלחן ערוך  הלכונת נדה &lt;חיי טהרה&gt;")</f>
        <v>קיצור שלחן ערוך  הלכונת נדה &lt;חיי טהרה&gt;</v>
      </c>
    </row>
    <row r="38695" spans="1:6" x14ac:dyDescent="0.2">
      <c r="A38695" t="s">
        <v>59346</v>
      </c>
      <c r="B38695" t="s">
        <v>14827</v>
      </c>
      <c r="C38695" t="s">
        <v>68</v>
      </c>
      <c r="D38695" t="s">
        <v>21</v>
      </c>
      <c r="E38695" t="s">
        <v>148</v>
      </c>
      <c r="F38695" s="2" t="str">
        <f>HYPERLINK("http://www.otzar.org/book.asp?602084","קיצור שלחן ערוך &lt;דרכי הלכה&gt;")</f>
        <v>קיצור שלחן ערוך &lt;דרכי הלכה&gt;</v>
      </c>
    </row>
    <row r="38696" spans="1:6" x14ac:dyDescent="0.2">
      <c r="A38696" t="s">
        <v>59347</v>
      </c>
      <c r="B38696" t="s">
        <v>59348</v>
      </c>
      <c r="C38696" t="s">
        <v>558</v>
      </c>
      <c r="D38696" t="s">
        <v>283</v>
      </c>
      <c r="E38696" t="s">
        <v>172</v>
      </c>
      <c r="F38696" s="2" t="str">
        <f>HYPERLINK("http://www.otzar.org/book.asp?156173","קיצור שלחן ערוך &lt;מנחת יום טוב&gt;")</f>
        <v>קיצור שלחן ערוך &lt;מנחת יום טוב&gt;</v>
      </c>
    </row>
    <row r="38697" spans="1:6" x14ac:dyDescent="0.2">
      <c r="A38697" t="s">
        <v>59349</v>
      </c>
      <c r="B38697" t="s">
        <v>59348</v>
      </c>
      <c r="C38697" t="s">
        <v>492</v>
      </c>
      <c r="D38697" t="s">
        <v>283</v>
      </c>
      <c r="E38697" t="s">
        <v>15</v>
      </c>
      <c r="F38697" s="2" t="str">
        <f>HYPERLINK("http://www.otzar.org/book.asp?21476","קיצור שלחן ערוך &lt;מנחת שבת&gt;")</f>
        <v>קיצור שלחן ערוך &lt;מנחת שבת&gt;</v>
      </c>
    </row>
    <row r="38698" spans="1:6" x14ac:dyDescent="0.2">
      <c r="A38698" t="s">
        <v>59350</v>
      </c>
      <c r="B38698" t="s">
        <v>59348</v>
      </c>
      <c r="C38698" t="s">
        <v>133</v>
      </c>
      <c r="D38698" t="s">
        <v>486</v>
      </c>
      <c r="E38698" t="s">
        <v>130</v>
      </c>
      <c r="F38698" s="2" t="str">
        <f>HYPERLINK("http://www.otzar.org/book.asp?188795","קיצור שלחן ערוך &lt;מנחת שבת&gt; &lt;מהדורה חדשה&gt;")</f>
        <v>קיצור שלחן ערוך &lt;מנחת שבת&gt; &lt;מהדורה חדשה&gt;</v>
      </c>
    </row>
    <row r="38699" spans="1:6" x14ac:dyDescent="0.2">
      <c r="A38699" t="s">
        <v>59351</v>
      </c>
      <c r="B38699" t="s">
        <v>59348</v>
      </c>
      <c r="C38699" t="s">
        <v>445</v>
      </c>
      <c r="D38699" t="s">
        <v>283</v>
      </c>
      <c r="E38699" t="s">
        <v>148</v>
      </c>
      <c r="F38699" s="2" t="str">
        <f>HYPERLINK("http://www.otzar.org/book.asp?101624","קיצור שלחן ערוך &lt;מעדני שמואל&gt;")</f>
        <v>קיצור שלחן ערוך &lt;מעדני שמואל&gt;</v>
      </c>
    </row>
    <row r="38700" spans="1:6" x14ac:dyDescent="0.2">
      <c r="A38700" t="s">
        <v>59352</v>
      </c>
      <c r="B38700" t="s">
        <v>59348</v>
      </c>
      <c r="C38700" t="s">
        <v>558</v>
      </c>
      <c r="D38700" t="s">
        <v>283</v>
      </c>
      <c r="E38700" t="s">
        <v>148</v>
      </c>
      <c r="F38700" s="2" t="str">
        <f>HYPERLINK("http://www.otzar.org/book.asp?105073","קיצור שלחן ערוך &lt;שערי עדן&gt;")</f>
        <v>קיצור שלחן ערוך &lt;שערי עדן&gt;</v>
      </c>
    </row>
    <row r="38701" spans="1:6" x14ac:dyDescent="0.2">
      <c r="A38701" t="s">
        <v>59353</v>
      </c>
      <c r="B38701" t="s">
        <v>59354</v>
      </c>
      <c r="C38701" t="s">
        <v>411</v>
      </c>
      <c r="D38701" t="s">
        <v>14</v>
      </c>
      <c r="F38701" s="2" t="str">
        <f>HYPERLINK("http://www.otzar.org/book.asp?608756","קיצור שלחן ערוך &lt;עם פירוש&gt; - 4 כר'")</f>
        <v>קיצור שלחן ערוך &lt;עם פירוש&gt; - 4 כר'</v>
      </c>
    </row>
    <row r="38702" spans="1:6" x14ac:dyDescent="0.2">
      <c r="A38702" t="s">
        <v>59355</v>
      </c>
      <c r="B38702" t="s">
        <v>59356</v>
      </c>
      <c r="C38702" t="s">
        <v>20</v>
      </c>
      <c r="D38702" t="s">
        <v>59357</v>
      </c>
      <c r="E38702" t="s">
        <v>172</v>
      </c>
      <c r="F38702" s="2" t="str">
        <f>HYPERLINK("http://www.otzar.org/book.asp?603621","קיצור שלחן ערוך &lt;עמודי השלחן - 2 כר'")</f>
        <v>קיצור שלחן ערוך &lt;עמודי השלחן - 2 כר'</v>
      </c>
    </row>
    <row r="38703" spans="1:6" x14ac:dyDescent="0.2">
      <c r="A38703" t="s">
        <v>59358</v>
      </c>
      <c r="B38703" t="s">
        <v>59359</v>
      </c>
      <c r="C38703" t="s">
        <v>533</v>
      </c>
      <c r="D38703" t="s">
        <v>2458</v>
      </c>
      <c r="E38703" t="s">
        <v>172</v>
      </c>
      <c r="F38703" s="2" t="str">
        <f>HYPERLINK("http://www.otzar.org/book.asp?179922","קיצור שלחן ערוך &lt;שער המזרח&gt; - 2 כר'")</f>
        <v>קיצור שלחן ערוך &lt;שער המזרח&gt; - 2 כר'</v>
      </c>
    </row>
    <row r="38704" spans="1:6" x14ac:dyDescent="0.2">
      <c r="A38704" t="s">
        <v>59360</v>
      </c>
      <c r="B38704" t="s">
        <v>59361</v>
      </c>
      <c r="C38704" t="s">
        <v>1619</v>
      </c>
      <c r="D38704" t="s">
        <v>14</v>
      </c>
      <c r="E38704" t="s">
        <v>172</v>
      </c>
      <c r="F38704" s="2" t="str">
        <f>HYPERLINK("http://www.otzar.org/book.asp?166193","קיצור שלחן ערוך &lt;שערי שלום - 3 כר'")</f>
        <v>קיצור שלחן ערוך &lt;שערי שלום - 3 כר'</v>
      </c>
    </row>
    <row r="38705" spans="1:6" x14ac:dyDescent="0.2">
      <c r="A38705" t="s">
        <v>59362</v>
      </c>
      <c r="B38705" t="s">
        <v>2528</v>
      </c>
      <c r="C38705" t="s">
        <v>785</v>
      </c>
      <c r="D38705" t="s">
        <v>14</v>
      </c>
      <c r="E38705" t="s">
        <v>172</v>
      </c>
      <c r="F38705" s="2" t="str">
        <f>HYPERLINK("http://www.otzar.org/book.asp?629136","קיצור שלחן ערוך &lt;אורות חיים&gt;")</f>
        <v>קיצור שלחן ערוך &lt;אורות חיים&gt;</v>
      </c>
    </row>
    <row r="38706" spans="1:6" x14ac:dyDescent="0.2">
      <c r="A38706" t="s">
        <v>59363</v>
      </c>
      <c r="B38706" t="s">
        <v>2528</v>
      </c>
      <c r="C38706" t="s">
        <v>20</v>
      </c>
      <c r="D38706" t="s">
        <v>14</v>
      </c>
      <c r="E38706" t="s">
        <v>172</v>
      </c>
      <c r="F38706" s="2" t="str">
        <f>HYPERLINK("http://www.otzar.org/book.asp?164032","קיצור שלחן ערוך &lt;מסגרת השלחן - לחם הפנים&gt;")</f>
        <v>קיצור שלחן ערוך &lt;מסגרת השלחן - לחם הפנים&gt;</v>
      </c>
    </row>
    <row r="38707" spans="1:6" x14ac:dyDescent="0.2">
      <c r="A38707" t="s">
        <v>59364</v>
      </c>
      <c r="B38707" t="s">
        <v>2528</v>
      </c>
      <c r="C38707" t="s">
        <v>777</v>
      </c>
      <c r="D38707" t="s">
        <v>59365</v>
      </c>
      <c r="E38707" t="s">
        <v>172</v>
      </c>
      <c r="F38707" s="2" t="str">
        <f>HYPERLINK("http://www.otzar.org/book.asp?179911","קיצור שלחן ערוך &lt;מסגרת השלחן&gt; - 2 כר'")</f>
        <v>קיצור שלחן ערוך &lt;מסגרת השלחן&gt; - 2 כר'</v>
      </c>
    </row>
    <row r="38708" spans="1:6" x14ac:dyDescent="0.2">
      <c r="A38708" t="s">
        <v>59366</v>
      </c>
      <c r="B38708" t="s">
        <v>2528</v>
      </c>
      <c r="C38708" t="s">
        <v>506</v>
      </c>
      <c r="D38708" t="s">
        <v>9</v>
      </c>
      <c r="E38708" t="s">
        <v>172</v>
      </c>
      <c r="F38708" s="2" t="str">
        <f>HYPERLINK("http://www.otzar.org/book.asp?177240","קיצור שלחן ערוך &lt;מראה מקום - ביאור המילים הקשות&gt;")</f>
        <v>קיצור שלחן ערוך &lt;מראה מקום - ביאור המילים הקשות&gt;</v>
      </c>
    </row>
    <row r="38709" spans="1:6" x14ac:dyDescent="0.2">
      <c r="A38709" t="s">
        <v>59367</v>
      </c>
      <c r="B38709" t="s">
        <v>2528</v>
      </c>
      <c r="C38709" t="s">
        <v>20</v>
      </c>
      <c r="D38709" t="s">
        <v>14</v>
      </c>
      <c r="E38709" t="s">
        <v>15</v>
      </c>
      <c r="F38709" s="2" t="str">
        <f>HYPERLINK("http://www.otzar.org/book.asp?149192","קיצור שלחן ערוך &lt;עברי טייטש&gt;")</f>
        <v>קיצור שלחן ערוך &lt;עברי טייטש&gt;</v>
      </c>
    </row>
    <row r="38710" spans="1:6" x14ac:dyDescent="0.2">
      <c r="A38710" t="s">
        <v>59368</v>
      </c>
      <c r="B38710" t="s">
        <v>2528</v>
      </c>
      <c r="C38710" t="s">
        <v>59369</v>
      </c>
      <c r="D38710" t="s">
        <v>1037</v>
      </c>
      <c r="E38710" t="s">
        <v>148</v>
      </c>
      <c r="F38710" s="2" t="str">
        <f>HYPERLINK("http://www.otzar.org/book.asp?11757","קיצור שלחן ערוך &lt;עיר דוד&gt; - 2 כר'")</f>
        <v>קיצור שלחן ערוך &lt;עיר דוד&gt; - 2 כר'</v>
      </c>
    </row>
    <row r="38711" spans="1:6" x14ac:dyDescent="0.2">
      <c r="A38711" t="s">
        <v>59370</v>
      </c>
      <c r="B38711" t="s">
        <v>59371</v>
      </c>
      <c r="C38711" t="s">
        <v>390</v>
      </c>
      <c r="D38711" t="s">
        <v>216</v>
      </c>
      <c r="E38711" t="s">
        <v>148</v>
      </c>
      <c r="F38711" s="2" t="str">
        <f>HYPERLINK("http://www.otzar.org/book.asp?7555","קיצור שלחן ערוך &lt;מסגרת השלחן, לבושי טהרה&gt; - הלכות נדה")</f>
        <v>קיצור שלחן ערוך &lt;מסגרת השלחן, לבושי טהרה&gt; - הלכות נדה</v>
      </c>
    </row>
    <row r="38712" spans="1:6" x14ac:dyDescent="0.2">
      <c r="A38712" t="s">
        <v>59372</v>
      </c>
      <c r="B38712" t="s">
        <v>2528</v>
      </c>
      <c r="C38712" t="s">
        <v>482</v>
      </c>
      <c r="D38712" t="s">
        <v>27</v>
      </c>
      <c r="E38712" t="s">
        <v>148</v>
      </c>
      <c r="F38712" s="2" t="str">
        <f>HYPERLINK("http://www.otzar.org/book.asp?10249","קיצור שלחן ערוך השלם &lt;מסגרת השלחן, לחם הפנים&gt;")</f>
        <v>קיצור שלחן ערוך השלם &lt;מסגרת השלחן, לחם הפנים&gt;</v>
      </c>
    </row>
    <row r="38713" spans="1:6" x14ac:dyDescent="0.2">
      <c r="A38713" t="s">
        <v>59373</v>
      </c>
      <c r="B38713" t="s">
        <v>2528</v>
      </c>
      <c r="C38713" t="s">
        <v>1374</v>
      </c>
      <c r="D38713" t="s">
        <v>947</v>
      </c>
      <c r="E38713" t="s">
        <v>172</v>
      </c>
      <c r="F38713" s="2" t="str">
        <f>HYPERLINK("http://www.otzar.org/book.asp?155616","קיצור שלחן ערוך השלם &lt;ערוך השלחן, אבני נזר&gt;")</f>
        <v>קיצור שלחן ערוך השלם &lt;ערוך השלחן, אבני נזר&gt;</v>
      </c>
    </row>
    <row r="38714" spans="1:6" x14ac:dyDescent="0.2">
      <c r="A38714" t="s">
        <v>59374</v>
      </c>
      <c r="B38714" t="s">
        <v>2528</v>
      </c>
      <c r="C38714" t="s">
        <v>777</v>
      </c>
      <c r="D38714" t="s">
        <v>974</v>
      </c>
      <c r="E38714" t="s">
        <v>837</v>
      </c>
      <c r="F38714" s="2" t="str">
        <f>HYPERLINK("http://www.otzar.org/book.asp?155614","קיצור שלחן ערוך השלם עם פאת השלחן")</f>
        <v>קיצור שלחן ערוך השלם עם פאת השלחן</v>
      </c>
    </row>
    <row r="38715" spans="1:6" x14ac:dyDescent="0.2">
      <c r="A38715" t="s">
        <v>59375</v>
      </c>
      <c r="B38715" t="s">
        <v>2528</v>
      </c>
      <c r="C38715" t="s">
        <v>20</v>
      </c>
      <c r="D38715" t="s">
        <v>1365</v>
      </c>
      <c r="F38715" s="2" t="str">
        <f>HYPERLINK("http://www.otzar.org/book.asp?600420","קיצור שלחן ערוך השלם - 2 כר'")</f>
        <v>קיצור שלחן ערוך השלם - 2 כר'</v>
      </c>
    </row>
    <row r="38716" spans="1:6" x14ac:dyDescent="0.2">
      <c r="A38716" t="s">
        <v>59376</v>
      </c>
      <c r="B38716" t="s">
        <v>59377</v>
      </c>
      <c r="C38716" t="s">
        <v>20</v>
      </c>
      <c r="D38716" t="s">
        <v>14</v>
      </c>
      <c r="E38716" t="s">
        <v>172</v>
      </c>
      <c r="F38716" s="2" t="str">
        <f>HYPERLINK("http://www.otzar.org/book.asp?179333","קיצור שלחן ערוך השלם - א")</f>
        <v>קיצור שלחן ערוך השלם - א</v>
      </c>
    </row>
    <row r="38717" spans="1:6" x14ac:dyDescent="0.2">
      <c r="A38717" t="s">
        <v>59378</v>
      </c>
      <c r="B38717" t="s">
        <v>59271</v>
      </c>
      <c r="C38717" t="s">
        <v>244</v>
      </c>
      <c r="D38717" t="s">
        <v>52</v>
      </c>
      <c r="F38717" s="2" t="str">
        <f>HYPERLINK("http://www.otzar.org/book.asp?603734","קיצור שלחן ערוך לבנות עדות המזרח - 2 כר'")</f>
        <v>קיצור שלחן ערוך לבנות עדות המזרח - 2 כר'</v>
      </c>
    </row>
    <row r="38718" spans="1:6" x14ac:dyDescent="0.2">
      <c r="A38718" t="s">
        <v>59379</v>
      </c>
      <c r="B38718" t="s">
        <v>9496</v>
      </c>
      <c r="C38718" t="s">
        <v>106</v>
      </c>
      <c r="D38718" t="s">
        <v>216</v>
      </c>
      <c r="E38718" t="s">
        <v>15</v>
      </c>
      <c r="F38718" s="2" t="str">
        <f>HYPERLINK("http://www.otzar.org/book.asp?145245","קיצור שלחן ערוך מקור חיים")</f>
        <v>קיצור שלחן ערוך מקור חיים</v>
      </c>
    </row>
    <row r="38719" spans="1:6" x14ac:dyDescent="0.2">
      <c r="A38719" t="s">
        <v>59380</v>
      </c>
      <c r="B38719" t="s">
        <v>32247</v>
      </c>
      <c r="C38719" t="s">
        <v>189</v>
      </c>
      <c r="D38719" t="s">
        <v>14</v>
      </c>
      <c r="E38719" t="s">
        <v>172</v>
      </c>
      <c r="F38719" s="2" t="str">
        <f>HYPERLINK("http://www.otzar.org/book.asp?50940","קיצור שלחן ערוך ספרדי")</f>
        <v>קיצור שלחן ערוך ספרדי</v>
      </c>
    </row>
    <row r="38720" spans="1:6" x14ac:dyDescent="0.2">
      <c r="A38720" t="s">
        <v>59381</v>
      </c>
      <c r="B38720" t="s">
        <v>18194</v>
      </c>
      <c r="C38720" t="s">
        <v>1169</v>
      </c>
      <c r="D38720" t="s">
        <v>27</v>
      </c>
      <c r="E38720" t="s">
        <v>674</v>
      </c>
      <c r="F38720" s="2" t="str">
        <f>HYPERLINK("http://www.otzar.org/book.asp?143963","קיצור שלחן ערוך עם סיפורים חסידיים - 6 כר'")</f>
        <v>קיצור שלחן ערוך עם סיפורים חסידיים - 6 כר'</v>
      </c>
    </row>
    <row r="38721" spans="1:6" x14ac:dyDescent="0.2">
      <c r="A38721" t="s">
        <v>59382</v>
      </c>
      <c r="B38721" t="s">
        <v>2528</v>
      </c>
      <c r="C38721" t="s">
        <v>59383</v>
      </c>
      <c r="D38721" t="s">
        <v>6214</v>
      </c>
      <c r="E38721" t="s">
        <v>172</v>
      </c>
      <c r="F38721" s="2" t="str">
        <f>HYPERLINK("http://www.otzar.org/book.asp?623339","קיצור שלחן ערוך - 2 כר'")</f>
        <v>קיצור שלחן ערוך - 2 כר'</v>
      </c>
    </row>
    <row r="38722" spans="1:6" x14ac:dyDescent="0.2">
      <c r="A38722" t="s">
        <v>59384</v>
      </c>
      <c r="B38722" t="s">
        <v>59385</v>
      </c>
      <c r="C38722" t="s">
        <v>7162</v>
      </c>
      <c r="D38722" t="s">
        <v>1023</v>
      </c>
      <c r="E38722" t="s">
        <v>7486</v>
      </c>
      <c r="F38722" s="2" t="str">
        <f>HYPERLINK("http://www.otzar.org/book.asp?103720","קיצור שני לוחות הברית - 5 כר'")</f>
        <v>קיצור שני לוחות הברית - 5 כר'</v>
      </c>
    </row>
    <row r="38723" spans="1:6" x14ac:dyDescent="0.2">
      <c r="A38723" t="s">
        <v>59386</v>
      </c>
      <c r="B38723" t="s">
        <v>3443</v>
      </c>
      <c r="C38723" t="s">
        <v>59</v>
      </c>
      <c r="D38723" t="s">
        <v>5665</v>
      </c>
      <c r="E38723" t="s">
        <v>15</v>
      </c>
      <c r="F38723" s="2" t="str">
        <f>HYPERLINK("http://www.otzar.org/book.asp?170290","קיצור שני לוחות הברית")</f>
        <v>קיצור שני לוחות הברית</v>
      </c>
    </row>
    <row r="38724" spans="1:6" x14ac:dyDescent="0.2">
      <c r="A38724" t="s">
        <v>59387</v>
      </c>
      <c r="B38724" t="s">
        <v>59388</v>
      </c>
      <c r="C38724" t="s">
        <v>10215</v>
      </c>
      <c r="D38724" t="s">
        <v>32571</v>
      </c>
      <c r="E38724" t="s">
        <v>241</v>
      </c>
      <c r="F38724" s="2" t="str">
        <f>HYPERLINK("http://www.otzar.org/book.asp?628811","קיצור שני לחות הברית")</f>
        <v>קיצור שני לחות הברית</v>
      </c>
    </row>
    <row r="38725" spans="1:6" x14ac:dyDescent="0.2">
      <c r="A38725" t="s">
        <v>59389</v>
      </c>
      <c r="B38725" t="s">
        <v>1574</v>
      </c>
      <c r="C38725" t="s">
        <v>23</v>
      </c>
      <c r="D38725" t="s">
        <v>14</v>
      </c>
      <c r="F38725" s="2" t="str">
        <f>HYPERLINK("http://www.otzar.org/book.asp?614449","קיצור שערי תשובה")</f>
        <v>קיצור שערי תשובה</v>
      </c>
    </row>
    <row r="38726" spans="1:6" x14ac:dyDescent="0.2">
      <c r="A38726" t="s">
        <v>59390</v>
      </c>
      <c r="B38726" t="s">
        <v>12183</v>
      </c>
      <c r="C38726" t="s">
        <v>581</v>
      </c>
      <c r="D38726" t="s">
        <v>592</v>
      </c>
      <c r="F38726" s="2" t="str">
        <f>HYPERLINK("http://www.otzar.org/book.asp?617245","קיצור תניא")</f>
        <v>קיצור תניא</v>
      </c>
    </row>
    <row r="38727" spans="1:6" x14ac:dyDescent="0.2">
      <c r="A38727" t="s">
        <v>59391</v>
      </c>
      <c r="B38727" t="s">
        <v>59392</v>
      </c>
      <c r="C38727" t="s">
        <v>422</v>
      </c>
      <c r="D38727" t="s">
        <v>412</v>
      </c>
      <c r="E38727" t="s">
        <v>393</v>
      </c>
      <c r="F38727" s="2" t="str">
        <f>HYPERLINK("http://www.otzar.org/book.asp?163132","קיצור תניא - 2 כר'")</f>
        <v>קיצור תניא - 2 כר'</v>
      </c>
    </row>
    <row r="38728" spans="1:6" x14ac:dyDescent="0.2">
      <c r="A38728" t="s">
        <v>59393</v>
      </c>
      <c r="B38728" t="s">
        <v>59394</v>
      </c>
      <c r="C38728" t="s">
        <v>23</v>
      </c>
      <c r="D38728" t="s">
        <v>52</v>
      </c>
      <c r="E38728" t="s">
        <v>104</v>
      </c>
      <c r="F38728" s="2" t="str">
        <f>HYPERLINK("http://www.otzar.org/book.asp?190097","קיצור תרי""ג מצות - מצוה בזמנה")</f>
        <v>קיצור תרי"ג מצות - מצוה בזמנה</v>
      </c>
    </row>
    <row r="38729" spans="1:6" x14ac:dyDescent="0.2">
      <c r="A38729" t="s">
        <v>59395</v>
      </c>
      <c r="B38729" t="s">
        <v>59396</v>
      </c>
      <c r="C38729" t="s">
        <v>59397</v>
      </c>
      <c r="D38729" t="s">
        <v>1023</v>
      </c>
      <c r="E38729" t="s">
        <v>144</v>
      </c>
      <c r="F38729" s="2" t="str">
        <f>HYPERLINK("http://www.otzar.org/book.asp?105804","קיקיון דיונה &lt;דפו""ר&gt;")</f>
        <v>קיקיון דיונה &lt;דפו"ר&gt;</v>
      </c>
    </row>
    <row r="38730" spans="1:6" x14ac:dyDescent="0.2">
      <c r="A38730" t="s">
        <v>59398</v>
      </c>
      <c r="B38730" t="s">
        <v>59396</v>
      </c>
      <c r="C38730" t="s">
        <v>5619</v>
      </c>
      <c r="D38730" t="s">
        <v>32637</v>
      </c>
      <c r="E38730" t="s">
        <v>144</v>
      </c>
      <c r="F38730" s="2" t="str">
        <f>HYPERLINK("http://www.otzar.org/book.asp?101573","קיקיון דיונה - 3 כר'")</f>
        <v>קיקיון דיונה - 3 כר'</v>
      </c>
    </row>
    <row r="38731" spans="1:6" x14ac:dyDescent="0.2">
      <c r="A38731" t="s">
        <v>59399</v>
      </c>
      <c r="B38731" t="s">
        <v>1557</v>
      </c>
      <c r="C38731" t="s">
        <v>151</v>
      </c>
      <c r="D38731" t="s">
        <v>152</v>
      </c>
      <c r="F38731" s="2" t="str">
        <f>HYPERLINK("http://www.otzar.org/book.asp?610313","קירוב רחוקים וקרובים")</f>
        <v>קירוב רחוקים וקרובים</v>
      </c>
    </row>
    <row r="38732" spans="1:6" x14ac:dyDescent="0.2">
      <c r="A38732" t="s">
        <v>59400</v>
      </c>
      <c r="B38732" t="s">
        <v>59401</v>
      </c>
      <c r="D38732" t="s">
        <v>412</v>
      </c>
      <c r="E38732" t="s">
        <v>104</v>
      </c>
      <c r="F38732" s="2" t="str">
        <f>HYPERLINK("http://www.otzar.org/book.asp?167139","קישוטי כלה - 3 כר'")</f>
        <v>קישוטי כלה - 3 כר'</v>
      </c>
    </row>
    <row r="38733" spans="1:6" x14ac:dyDescent="0.2">
      <c r="A38733" t="s">
        <v>59402</v>
      </c>
      <c r="B38733" t="s">
        <v>59403</v>
      </c>
      <c r="C38733" t="s">
        <v>266</v>
      </c>
      <c r="D38733" t="s">
        <v>267</v>
      </c>
      <c r="E38733" t="s">
        <v>59404</v>
      </c>
      <c r="F38733" s="2" t="str">
        <f>HYPERLINK("http://www.otzar.org/book.asp?23513","קישוטי כלה")</f>
        <v>קישוטי כלה</v>
      </c>
    </row>
    <row r="38734" spans="1:6" x14ac:dyDescent="0.2">
      <c r="A38734" t="s">
        <v>59405</v>
      </c>
      <c r="B38734" t="s">
        <v>16201</v>
      </c>
      <c r="C38734" t="s">
        <v>143</v>
      </c>
      <c r="D38734" t="s">
        <v>80</v>
      </c>
      <c r="E38734" t="s">
        <v>158</v>
      </c>
      <c r="F38734" s="2" t="str">
        <f>HYPERLINK("http://www.otzar.org/book.asp?602465","קישוטי תורה")</f>
        <v>קישוטי תורה</v>
      </c>
    </row>
    <row r="38735" spans="1:6" x14ac:dyDescent="0.2">
      <c r="A38735" t="s">
        <v>59406</v>
      </c>
      <c r="B38735" t="s">
        <v>763</v>
      </c>
      <c r="C38735" t="s">
        <v>13</v>
      </c>
      <c r="D38735" t="s">
        <v>764</v>
      </c>
      <c r="E38735" t="s">
        <v>154</v>
      </c>
      <c r="F38735" s="2" t="str">
        <f>HYPERLINK("http://www.otzar.org/book.asp?149738","קל כנשר &lt;שו""ת&gt; א")</f>
        <v>קל כנשר &lt;שו"ת&gt; א</v>
      </c>
    </row>
    <row r="38736" spans="1:6" x14ac:dyDescent="0.2">
      <c r="A38736" t="s">
        <v>59407</v>
      </c>
      <c r="B38736" t="s">
        <v>1390</v>
      </c>
      <c r="C38736" t="s">
        <v>1524</v>
      </c>
      <c r="D38736" t="s">
        <v>4364</v>
      </c>
      <c r="E38736" t="s">
        <v>399</v>
      </c>
      <c r="F38736" s="2" t="str">
        <f>HYPERLINK("http://www.otzar.org/book.asp?105849","קל""ח פתחי חכמה &lt;דפו""ר&gt; - 2 כר'")</f>
        <v>קל"ח פתחי חכמה &lt;דפו"ר&gt; - 2 כר'</v>
      </c>
    </row>
    <row r="38737" spans="1:6" x14ac:dyDescent="0.2">
      <c r="A38737" t="s">
        <v>59408</v>
      </c>
      <c r="B38737" t="s">
        <v>1390</v>
      </c>
      <c r="C38737" t="s">
        <v>13</v>
      </c>
      <c r="D38737" t="s">
        <v>14</v>
      </c>
      <c r="E38737" t="s">
        <v>399</v>
      </c>
      <c r="F38737" s="2" t="str">
        <f>HYPERLINK("http://www.otzar.org/book.asp?83665","קל""ח פתחי חכמה &lt;מבואר&gt;")</f>
        <v>קל"ח פתחי חכמה &lt;מבואר&gt;</v>
      </c>
    </row>
    <row r="38738" spans="1:6" x14ac:dyDescent="0.2">
      <c r="A38738" t="s">
        <v>59409</v>
      </c>
      <c r="B38738" t="s">
        <v>1390</v>
      </c>
      <c r="C38738" t="s">
        <v>429</v>
      </c>
      <c r="D38738" t="s">
        <v>283</v>
      </c>
      <c r="E38738" t="s">
        <v>2075</v>
      </c>
      <c r="F38738" s="2" t="str">
        <f>HYPERLINK("http://www.otzar.org/book.asp?12752","קל""ח פתחי חכמה - 3 כר'")</f>
        <v>קל"ח פתחי חכמה - 3 כר'</v>
      </c>
    </row>
    <row r="38739" spans="1:6" x14ac:dyDescent="0.2">
      <c r="A38739" t="s">
        <v>59410</v>
      </c>
      <c r="B38739" t="s">
        <v>686</v>
      </c>
      <c r="C38739" t="s">
        <v>422</v>
      </c>
      <c r="D38739" t="s">
        <v>52</v>
      </c>
      <c r="E38739" t="s">
        <v>104</v>
      </c>
      <c r="F38739" s="2" t="str">
        <f>HYPERLINK("http://www.otzar.org/book.asp?84406","קלא אילן")</f>
        <v>קלא אילן</v>
      </c>
    </row>
    <row r="38740" spans="1:6" x14ac:dyDescent="0.2">
      <c r="A38740" t="s">
        <v>59411</v>
      </c>
      <c r="B38740" t="s">
        <v>686</v>
      </c>
      <c r="C38740" t="s">
        <v>68</v>
      </c>
      <c r="D38740" t="s">
        <v>52</v>
      </c>
      <c r="E38740" t="s">
        <v>104</v>
      </c>
      <c r="F38740" s="2" t="str">
        <f>HYPERLINK("http://www.otzar.org/book.asp?189700","קמה אלומתי")</f>
        <v>קמה אלומתי</v>
      </c>
    </row>
    <row r="38741" spans="1:6" x14ac:dyDescent="0.2">
      <c r="A38741" t="s">
        <v>59412</v>
      </c>
      <c r="B38741" t="s">
        <v>1005</v>
      </c>
      <c r="C38741" t="s">
        <v>411</v>
      </c>
      <c r="D38741" t="s">
        <v>14</v>
      </c>
      <c r="E38741" t="s">
        <v>202</v>
      </c>
      <c r="F38741" s="2" t="str">
        <f>HYPERLINK("http://www.otzar.org/book.asp?168562","קמו בניה")</f>
        <v>קמו בניה</v>
      </c>
    </row>
    <row r="38742" spans="1:6" x14ac:dyDescent="0.2">
      <c r="A38742" t="s">
        <v>59413</v>
      </c>
      <c r="B38742" t="s">
        <v>59414</v>
      </c>
      <c r="C38742" t="s">
        <v>151</v>
      </c>
      <c r="D38742" t="s">
        <v>14</v>
      </c>
      <c r="F38742" s="2" t="str">
        <f>HYPERLINK("http://www.otzar.org/book.asp?617171","קמח התורה")</f>
        <v>קמח התורה</v>
      </c>
    </row>
    <row r="38743" spans="1:6" x14ac:dyDescent="0.2">
      <c r="A38743" t="s">
        <v>59415</v>
      </c>
      <c r="B38743" t="s">
        <v>59416</v>
      </c>
      <c r="C38743" t="s">
        <v>6448</v>
      </c>
      <c r="D38743" t="s">
        <v>76</v>
      </c>
      <c r="F38743" s="2" t="str">
        <f>HYPERLINK("http://www.otzar.org/book.asp?622574","קמח סלת")</f>
        <v>קמח סלת</v>
      </c>
    </row>
    <row r="38744" spans="1:6" x14ac:dyDescent="0.2">
      <c r="A38744" t="s">
        <v>59417</v>
      </c>
      <c r="B38744" t="s">
        <v>59418</v>
      </c>
      <c r="C38744" t="s">
        <v>4114</v>
      </c>
      <c r="D38744" t="s">
        <v>9091</v>
      </c>
      <c r="E38744" t="s">
        <v>144</v>
      </c>
      <c r="F38744" s="2" t="str">
        <f>HYPERLINK("http://www.otzar.org/book.asp?106911","קמח פסח")</f>
        <v>קמח פסח</v>
      </c>
    </row>
    <row r="38745" spans="1:6" x14ac:dyDescent="0.2">
      <c r="A38745" t="s">
        <v>59419</v>
      </c>
      <c r="B38745" t="s">
        <v>37049</v>
      </c>
      <c r="C38745" t="s">
        <v>129</v>
      </c>
      <c r="D38745" t="s">
        <v>37050</v>
      </c>
      <c r="E38745" t="s">
        <v>15</v>
      </c>
      <c r="F38745" s="2" t="str">
        <f>HYPERLINK("http://www.otzar.org/book.asp?153964","קמחא דפסחא")</f>
        <v>קמחא דפסחא</v>
      </c>
    </row>
    <row r="38746" spans="1:6" x14ac:dyDescent="0.2">
      <c r="A38746" t="s">
        <v>59420</v>
      </c>
      <c r="B38746" t="s">
        <v>59421</v>
      </c>
      <c r="C38746" t="s">
        <v>13</v>
      </c>
      <c r="D38746" t="s">
        <v>2319</v>
      </c>
      <c r="E38746" t="s">
        <v>119</v>
      </c>
      <c r="F38746" s="2" t="str">
        <f>HYPERLINK("http://www.otzar.org/book.asp?180231","קמנו ונתעודד")</f>
        <v>קמנו ונתעודד</v>
      </c>
    </row>
    <row r="38747" spans="1:6" x14ac:dyDescent="0.2">
      <c r="A38747" t="s">
        <v>59422</v>
      </c>
      <c r="B38747" t="s">
        <v>27233</v>
      </c>
      <c r="C38747" t="s">
        <v>244</v>
      </c>
      <c r="D38747" t="s">
        <v>21</v>
      </c>
      <c r="F38747" s="2" t="str">
        <f>HYPERLINK("http://www.otzar.org/book.asp?601548","קמץ המנחה - 2 כר'")</f>
        <v>קמץ המנחה - 2 כר'</v>
      </c>
    </row>
    <row r="38748" spans="1:6" x14ac:dyDescent="0.2">
      <c r="A38748" t="s">
        <v>59423</v>
      </c>
      <c r="B38748" t="s">
        <v>4174</v>
      </c>
      <c r="C38748" t="s">
        <v>114</v>
      </c>
      <c r="D38748" t="s">
        <v>14</v>
      </c>
      <c r="F38748" s="2" t="str">
        <f>HYPERLINK("http://www.otzar.org/book.asp?622929","קן משולח - שילוח הקן")</f>
        <v>קן משולח - שילוח הקן</v>
      </c>
    </row>
    <row r="38749" spans="1:6" x14ac:dyDescent="0.2">
      <c r="A38749" t="s">
        <v>59424</v>
      </c>
      <c r="B38749" t="s">
        <v>21700</v>
      </c>
      <c r="C38749" t="s">
        <v>189</v>
      </c>
      <c r="D38749" t="s">
        <v>216</v>
      </c>
      <c r="E38749" t="s">
        <v>158</v>
      </c>
      <c r="F38749" s="2" t="str">
        <f>HYPERLINK("http://www.otzar.org/book.asp?191895","קן צפור - תהלים")</f>
        <v>קן צפור - תהלים</v>
      </c>
    </row>
    <row r="38750" spans="1:6" x14ac:dyDescent="0.2">
      <c r="A38750" t="s">
        <v>59425</v>
      </c>
      <c r="B38750" t="s">
        <v>1750</v>
      </c>
      <c r="C38750" t="s">
        <v>114</v>
      </c>
      <c r="D38750" t="s">
        <v>216</v>
      </c>
      <c r="F38750" s="2" t="str">
        <f>HYPERLINK("http://www.otzar.org/book.asp?619609","קןבץ תורני עולה בגורל - ב")</f>
        <v>קןבץ תורני עולה בגורל - ב</v>
      </c>
    </row>
    <row r="38751" spans="1:6" x14ac:dyDescent="0.2">
      <c r="A38751" t="s">
        <v>59426</v>
      </c>
      <c r="B38751" t="s">
        <v>30529</v>
      </c>
      <c r="C38751" t="s">
        <v>422</v>
      </c>
      <c r="D38751" t="s">
        <v>14</v>
      </c>
      <c r="E38751" t="s">
        <v>241</v>
      </c>
      <c r="F38751" s="2" t="str">
        <f>HYPERLINK("http://www.otzar.org/book.asp?161150","קנאת איש מרעהו")</f>
        <v>קנאת איש מרעהו</v>
      </c>
    </row>
    <row r="38752" spans="1:6" x14ac:dyDescent="0.2">
      <c r="A38752" t="s">
        <v>59427</v>
      </c>
      <c r="B38752" t="s">
        <v>1390</v>
      </c>
      <c r="C38752" t="s">
        <v>59428</v>
      </c>
      <c r="D38752" t="s">
        <v>9091</v>
      </c>
      <c r="E38752" t="s">
        <v>399</v>
      </c>
      <c r="F38752" s="2" t="str">
        <f>HYPERLINK("http://www.otzar.org/book.asp?53559","קנאת ה' צבאות - 2 כר'")</f>
        <v>קנאת ה' צבאות - 2 כר'</v>
      </c>
    </row>
    <row r="38753" spans="1:6" x14ac:dyDescent="0.2">
      <c r="A38753" t="s">
        <v>59427</v>
      </c>
      <c r="B38753" t="s">
        <v>26000</v>
      </c>
      <c r="C38753" t="s">
        <v>946</v>
      </c>
      <c r="D38753" t="s">
        <v>139</v>
      </c>
      <c r="E38753" t="s">
        <v>140</v>
      </c>
      <c r="F38753" s="2" t="str">
        <f>HYPERLINK("http://www.otzar.org/book.asp?196022","קנאת ה' צבאות - 2 כר'")</f>
        <v>קנאת ה' צבאות - 2 כר'</v>
      </c>
    </row>
    <row r="38754" spans="1:6" x14ac:dyDescent="0.2">
      <c r="A38754" t="s">
        <v>59429</v>
      </c>
      <c r="B38754" t="s">
        <v>59430</v>
      </c>
      <c r="C38754" t="s">
        <v>176</v>
      </c>
      <c r="D38754" t="s">
        <v>14</v>
      </c>
      <c r="E38754" t="s">
        <v>158</v>
      </c>
      <c r="F38754" s="2" t="str">
        <f>HYPERLINK("http://www.otzar.org/book.asp?61841","קנאת סופרים &lt;אודות תיקון סופרים&gt;")</f>
        <v>קנאת סופרים &lt;אודות תיקון סופרים&gt;</v>
      </c>
    </row>
    <row r="38755" spans="1:6" x14ac:dyDescent="0.2">
      <c r="A38755" t="s">
        <v>59430</v>
      </c>
      <c r="B38755" t="s">
        <v>27179</v>
      </c>
      <c r="C38755" t="s">
        <v>5160</v>
      </c>
      <c r="D38755" t="s">
        <v>212</v>
      </c>
      <c r="E38755" t="s">
        <v>730</v>
      </c>
      <c r="F38755" s="2" t="str">
        <f>HYPERLINK("http://www.otzar.org/book.asp?387","קנאת סופרים")</f>
        <v>קנאת סופרים</v>
      </c>
    </row>
    <row r="38756" spans="1:6" x14ac:dyDescent="0.2">
      <c r="A38756" t="s">
        <v>59430</v>
      </c>
      <c r="B38756" t="s">
        <v>305</v>
      </c>
      <c r="C38756" t="s">
        <v>15405</v>
      </c>
      <c r="D38756" t="s">
        <v>35382</v>
      </c>
      <c r="E38756" t="s">
        <v>38079</v>
      </c>
      <c r="F38756" s="2" t="str">
        <f>HYPERLINK("http://www.otzar.org/book.asp?883","קנאת סופרים")</f>
        <v>קנאת סופרים</v>
      </c>
    </row>
    <row r="38757" spans="1:6" x14ac:dyDescent="0.2">
      <c r="A38757" t="s">
        <v>59431</v>
      </c>
      <c r="B38757" t="s">
        <v>59432</v>
      </c>
      <c r="C38757" t="s">
        <v>5823</v>
      </c>
      <c r="D38757" t="s">
        <v>40830</v>
      </c>
      <c r="E38757" t="s">
        <v>158</v>
      </c>
      <c r="F38757" s="2" t="str">
        <f>HYPERLINK("http://www.otzar.org/book.asp?619476","קנאת פינחס - 2 כר'")</f>
        <v>קנאת פינחס - 2 כר'</v>
      </c>
    </row>
    <row r="38758" spans="1:6" x14ac:dyDescent="0.2">
      <c r="A38758" t="s">
        <v>59433</v>
      </c>
      <c r="B38758" t="s">
        <v>59433</v>
      </c>
      <c r="C38758" t="s">
        <v>321</v>
      </c>
      <c r="D38758" t="s">
        <v>1023</v>
      </c>
      <c r="E38758" t="s">
        <v>5935</v>
      </c>
      <c r="F38758" s="2" t="str">
        <f>HYPERLINK("http://www.otzar.org/book.asp?102201","קנאת ציון")</f>
        <v>קנאת ציון</v>
      </c>
    </row>
    <row r="38759" spans="1:6" x14ac:dyDescent="0.2">
      <c r="A38759" t="s">
        <v>59434</v>
      </c>
      <c r="B38759" t="s">
        <v>21772</v>
      </c>
      <c r="C38759" t="s">
        <v>237</v>
      </c>
      <c r="D38759" t="s">
        <v>1889</v>
      </c>
      <c r="E38759" t="s">
        <v>158</v>
      </c>
      <c r="F38759" s="2" t="str">
        <f>HYPERLINK("http://www.otzar.org/book.asp?151626","קנה אברהם - 2 כר'")</f>
        <v>קנה אברהם - 2 כר'</v>
      </c>
    </row>
    <row r="38760" spans="1:6" x14ac:dyDescent="0.2">
      <c r="A38760" t="s">
        <v>59435</v>
      </c>
      <c r="B38760" t="s">
        <v>59436</v>
      </c>
      <c r="C38760" t="s">
        <v>4348</v>
      </c>
      <c r="D38760" t="s">
        <v>2303</v>
      </c>
      <c r="E38760" t="s">
        <v>154</v>
      </c>
      <c r="F38760" s="2" t="str">
        <f>HYPERLINK("http://www.otzar.org/book.asp?151659","קנה אברהם")</f>
        <v>קנה אברהם</v>
      </c>
    </row>
    <row r="38761" spans="1:6" x14ac:dyDescent="0.2">
      <c r="A38761" t="s">
        <v>59437</v>
      </c>
      <c r="B38761" t="s">
        <v>59438</v>
      </c>
      <c r="C38761" t="s">
        <v>1166</v>
      </c>
      <c r="D38761" t="s">
        <v>1889</v>
      </c>
      <c r="E38761" t="s">
        <v>158</v>
      </c>
      <c r="F38761" s="2" t="str">
        <f>HYPERLINK("http://www.otzar.org/book.asp?6832","קנה אברהם - 3 כר'")</f>
        <v>קנה אברהם - 3 כר'</v>
      </c>
    </row>
    <row r="38762" spans="1:6" x14ac:dyDescent="0.2">
      <c r="A38762" t="s">
        <v>59435</v>
      </c>
      <c r="B38762" t="s">
        <v>12202</v>
      </c>
      <c r="C38762" t="s">
        <v>503</v>
      </c>
      <c r="D38762" t="s">
        <v>283</v>
      </c>
      <c r="E38762" t="s">
        <v>2098</v>
      </c>
      <c r="F38762" s="2" t="str">
        <f>HYPERLINK("http://www.otzar.org/book.asp?15936","קנה אברהם")</f>
        <v>קנה אברהם</v>
      </c>
    </row>
    <row r="38763" spans="1:6" x14ac:dyDescent="0.2">
      <c r="A38763" t="s">
        <v>59439</v>
      </c>
      <c r="B38763" t="s">
        <v>3251</v>
      </c>
      <c r="C38763" t="s">
        <v>37</v>
      </c>
      <c r="D38763" t="s">
        <v>14</v>
      </c>
      <c r="F38763" s="2" t="str">
        <f>HYPERLINK("http://www.otzar.org/book.asp?198362","קנה בינה")</f>
        <v>קנה בינה</v>
      </c>
    </row>
    <row r="38764" spans="1:6" x14ac:dyDescent="0.2">
      <c r="A38764" t="s">
        <v>59439</v>
      </c>
      <c r="B38764" t="s">
        <v>57551</v>
      </c>
      <c r="C38764" t="s">
        <v>114</v>
      </c>
      <c r="D38764" t="s">
        <v>412</v>
      </c>
      <c r="E38764" t="s">
        <v>3798</v>
      </c>
      <c r="F38764" s="2" t="str">
        <f>HYPERLINK("http://www.otzar.org/book.asp?170983","קנה בינה")</f>
        <v>קנה בינה</v>
      </c>
    </row>
    <row r="38765" spans="1:6" x14ac:dyDescent="0.2">
      <c r="A38765" t="s">
        <v>59440</v>
      </c>
      <c r="B38765" t="s">
        <v>31053</v>
      </c>
      <c r="C38765" t="s">
        <v>313</v>
      </c>
      <c r="D38765" t="s">
        <v>14</v>
      </c>
      <c r="E38765" t="s">
        <v>15</v>
      </c>
      <c r="F38765" s="2" t="str">
        <f>HYPERLINK("http://www.otzar.org/book.asp?106116","קנה בשם &lt;הלכות נדה&gt; - 4 כר'")</f>
        <v>קנה בשם &lt;הלכות נדה&gt; - 4 כר'</v>
      </c>
    </row>
    <row r="38766" spans="1:6" x14ac:dyDescent="0.2">
      <c r="A38766" t="s">
        <v>59441</v>
      </c>
      <c r="B38766" t="s">
        <v>1267</v>
      </c>
      <c r="C38766" t="s">
        <v>785</v>
      </c>
      <c r="D38766" t="s">
        <v>646</v>
      </c>
      <c r="E38766" t="s">
        <v>104</v>
      </c>
      <c r="F38766" s="2" t="str">
        <f>HYPERLINK("http://www.otzar.org/book.asp?158203","קנה בשם")</f>
        <v>קנה בשם</v>
      </c>
    </row>
    <row r="38767" spans="1:6" x14ac:dyDescent="0.2">
      <c r="A38767" t="s">
        <v>59442</v>
      </c>
      <c r="B38767" t="s">
        <v>31053</v>
      </c>
      <c r="C38767" t="s">
        <v>313</v>
      </c>
      <c r="D38767" t="s">
        <v>14</v>
      </c>
      <c r="E38767" t="s">
        <v>154</v>
      </c>
      <c r="F38767" s="2" t="str">
        <f>HYPERLINK("http://www.otzar.org/book.asp?106117","קנה בשם - 4 כר'")</f>
        <v>קנה בשם - 4 כר'</v>
      </c>
    </row>
    <row r="38768" spans="1:6" x14ac:dyDescent="0.2">
      <c r="A38768" t="s">
        <v>59443</v>
      </c>
      <c r="B38768" t="s">
        <v>16549</v>
      </c>
      <c r="C38768" t="s">
        <v>5334</v>
      </c>
      <c r="D38768" t="s">
        <v>744</v>
      </c>
      <c r="E38768" t="s">
        <v>104</v>
      </c>
      <c r="F38768" s="2" t="str">
        <f>HYPERLINK("http://www.otzar.org/book.asp?100601","קנה המדה")</f>
        <v>קנה המדה</v>
      </c>
    </row>
    <row r="38769" spans="1:6" x14ac:dyDescent="0.2">
      <c r="A38769" t="s">
        <v>59444</v>
      </c>
      <c r="B38769" t="s">
        <v>23627</v>
      </c>
      <c r="C38769" t="s">
        <v>224</v>
      </c>
      <c r="D38769" t="s">
        <v>29630</v>
      </c>
      <c r="E38769" t="s">
        <v>1157</v>
      </c>
      <c r="F38769" s="2" t="str">
        <f>HYPERLINK("http://www.otzar.org/book.asp?83628","קנה וקנמון")</f>
        <v>קנה וקנמון</v>
      </c>
    </row>
    <row r="38770" spans="1:6" x14ac:dyDescent="0.2">
      <c r="A38770" t="s">
        <v>59445</v>
      </c>
      <c r="B38770" t="s">
        <v>47242</v>
      </c>
      <c r="C38770" t="s">
        <v>1706</v>
      </c>
      <c r="D38770" t="s">
        <v>1117</v>
      </c>
      <c r="E38770" t="s">
        <v>399</v>
      </c>
      <c r="F38770" s="2" t="str">
        <f>HYPERLINK("http://www.otzar.org/book.asp?6026","קנה חכמה קנה בינה - 2 כר'")</f>
        <v>קנה חכמה קנה בינה - 2 כר'</v>
      </c>
    </row>
    <row r="38771" spans="1:6" x14ac:dyDescent="0.2">
      <c r="A38771" t="s">
        <v>59446</v>
      </c>
      <c r="B38771" t="s">
        <v>16806</v>
      </c>
      <c r="C38771" t="s">
        <v>17</v>
      </c>
      <c r="D38771" t="s">
        <v>14</v>
      </c>
      <c r="E38771" t="s">
        <v>674</v>
      </c>
      <c r="F38771" s="2" t="str">
        <f>HYPERLINK("http://www.otzar.org/book.asp?22650","קנה חכמה")</f>
        <v>קנה חכמה</v>
      </c>
    </row>
    <row r="38772" spans="1:6" x14ac:dyDescent="0.2">
      <c r="A38772" t="s">
        <v>59447</v>
      </c>
      <c r="B38772" t="s">
        <v>5550</v>
      </c>
      <c r="C38772" t="s">
        <v>59448</v>
      </c>
      <c r="D38772" t="s">
        <v>2290</v>
      </c>
      <c r="E38772" t="s">
        <v>234</v>
      </c>
      <c r="F38772" s="2" t="str">
        <f>HYPERLINK("http://www.otzar.org/book.asp?5695","קנה חכמה - 2 כר'")</f>
        <v>קנה חכמה - 2 כר'</v>
      </c>
    </row>
    <row r="38773" spans="1:6" x14ac:dyDescent="0.2">
      <c r="A38773" t="s">
        <v>59449</v>
      </c>
      <c r="B38773" t="s">
        <v>489</v>
      </c>
      <c r="C38773" t="s">
        <v>133</v>
      </c>
      <c r="D38773" t="s">
        <v>14</v>
      </c>
      <c r="E38773" t="s">
        <v>202</v>
      </c>
      <c r="F38773" s="2" t="str">
        <f>HYPERLINK("http://www.otzar.org/book.asp?171675","קנה לך חבר - ד")</f>
        <v>קנה לך חבר - ד</v>
      </c>
    </row>
    <row r="38774" spans="1:6" x14ac:dyDescent="0.2">
      <c r="A38774" t="s">
        <v>59450</v>
      </c>
      <c r="B38774" t="s">
        <v>43385</v>
      </c>
      <c r="C38774" t="s">
        <v>402</v>
      </c>
      <c r="D38774" t="s">
        <v>1023</v>
      </c>
      <c r="E38774" t="s">
        <v>1626</v>
      </c>
      <c r="F38774" s="2" t="str">
        <f>HYPERLINK("http://www.otzar.org/book.asp?147089","קנה")</f>
        <v>קנה</v>
      </c>
    </row>
    <row r="38775" spans="1:6" x14ac:dyDescent="0.2">
      <c r="A38775" t="s">
        <v>59451</v>
      </c>
      <c r="B38775" t="s">
        <v>46660</v>
      </c>
      <c r="C38775" t="s">
        <v>422</v>
      </c>
      <c r="D38775" t="s">
        <v>367</v>
      </c>
      <c r="E38775" t="s">
        <v>148</v>
      </c>
      <c r="F38775" s="2" t="str">
        <f>HYPERLINK("http://www.otzar.org/book.asp?157801","קנות דעה - 2 כר'")</f>
        <v>קנות דעה - 2 כר'</v>
      </c>
    </row>
    <row r="38776" spans="1:6" x14ac:dyDescent="0.2">
      <c r="A38776" t="s">
        <v>59452</v>
      </c>
      <c r="B38776" t="s">
        <v>8137</v>
      </c>
      <c r="C38776" t="s">
        <v>71</v>
      </c>
      <c r="D38776" t="s">
        <v>412</v>
      </c>
      <c r="E38776" t="s">
        <v>59453</v>
      </c>
      <c r="F38776" s="2" t="str">
        <f>HYPERLINK("http://www.otzar.org/book.asp?163358","קני המנורה")</f>
        <v>קני המנורה</v>
      </c>
    </row>
    <row r="38777" spans="1:6" x14ac:dyDescent="0.2">
      <c r="A38777" t="s">
        <v>59454</v>
      </c>
      <c r="B38777" t="s">
        <v>59455</v>
      </c>
      <c r="C38777" t="s">
        <v>51</v>
      </c>
      <c r="D38777" t="s">
        <v>52</v>
      </c>
      <c r="E38777" t="s">
        <v>15</v>
      </c>
      <c r="F38777" s="2" t="str">
        <f>HYPERLINK("http://www.otzar.org/book.asp?605145","קנין אב  - תפילין ובר מצוה")</f>
        <v>קנין אב  - תפילין ובר מצוה</v>
      </c>
    </row>
    <row r="38778" spans="1:6" x14ac:dyDescent="0.2">
      <c r="A38778" t="s">
        <v>59456</v>
      </c>
      <c r="B38778" t="s">
        <v>59457</v>
      </c>
      <c r="C38778" t="s">
        <v>59</v>
      </c>
      <c r="D38778" t="s">
        <v>60</v>
      </c>
      <c r="E38778" t="s">
        <v>104</v>
      </c>
      <c r="F38778" s="2" t="str">
        <f>HYPERLINK("http://www.otzar.org/book.asp?144197","קנין אברהם")</f>
        <v>קנין אברהם</v>
      </c>
    </row>
    <row r="38779" spans="1:6" x14ac:dyDescent="0.2">
      <c r="A38779" t="s">
        <v>59458</v>
      </c>
      <c r="B38779" t="s">
        <v>59459</v>
      </c>
      <c r="C38779" t="s">
        <v>366</v>
      </c>
      <c r="D38779" t="s">
        <v>14</v>
      </c>
      <c r="F38779" s="2" t="str">
        <f>HYPERLINK("http://www.otzar.org/book.asp?609640","קנין אמנה")</f>
        <v>קנין אמנה</v>
      </c>
    </row>
    <row r="38780" spans="1:6" x14ac:dyDescent="0.2">
      <c r="A38780" t="s">
        <v>59460</v>
      </c>
      <c r="B38780" t="s">
        <v>4373</v>
      </c>
      <c r="C38780" t="s">
        <v>8375</v>
      </c>
      <c r="D38780" t="s">
        <v>212</v>
      </c>
      <c r="E38780" t="s">
        <v>837</v>
      </c>
      <c r="F38780" s="2" t="str">
        <f>HYPERLINK("http://www.otzar.org/book.asp?152221","קנין גוף וקנין פירות - 2 כר'")</f>
        <v>קנין גוף וקנין פירות - 2 כר'</v>
      </c>
    </row>
    <row r="38781" spans="1:6" x14ac:dyDescent="0.2">
      <c r="A38781" t="s">
        <v>59461</v>
      </c>
      <c r="B38781" t="s">
        <v>59462</v>
      </c>
      <c r="C38781" t="s">
        <v>13</v>
      </c>
      <c r="D38781" t="s">
        <v>14</v>
      </c>
      <c r="E38781" t="s">
        <v>172</v>
      </c>
      <c r="F38781" s="2" t="str">
        <f>HYPERLINK("http://www.otzar.org/book.asp?169267","קנין דעה - 2 כר'")</f>
        <v>קנין דעה - 2 כר'</v>
      </c>
    </row>
    <row r="38782" spans="1:6" x14ac:dyDescent="0.2">
      <c r="A38782" t="s">
        <v>59463</v>
      </c>
      <c r="B38782" t="s">
        <v>4373</v>
      </c>
      <c r="C38782" t="s">
        <v>1418</v>
      </c>
      <c r="D38782" t="s">
        <v>212</v>
      </c>
      <c r="E38782" t="s">
        <v>59464</v>
      </c>
      <c r="F38782" s="2" t="str">
        <f>HYPERLINK("http://www.otzar.org/book.asp?101619","קנין הגוף - 2 כר'")</f>
        <v>קנין הגוף - 2 כר'</v>
      </c>
    </row>
    <row r="38783" spans="1:6" x14ac:dyDescent="0.2">
      <c r="A38783" t="s">
        <v>59465</v>
      </c>
      <c r="B38783" t="s">
        <v>59466</v>
      </c>
      <c r="C38783" t="s">
        <v>151</v>
      </c>
      <c r="D38783" t="s">
        <v>21</v>
      </c>
      <c r="E38783" t="s">
        <v>59467</v>
      </c>
      <c r="F38783" s="2" t="str">
        <f>HYPERLINK("http://www.otzar.org/book.asp?611435","קנין התורה")</f>
        <v>קנין התורה</v>
      </c>
    </row>
    <row r="38784" spans="1:6" x14ac:dyDescent="0.2">
      <c r="A38784" t="s">
        <v>59468</v>
      </c>
      <c r="B38784" t="s">
        <v>59469</v>
      </c>
      <c r="C38784" t="s">
        <v>1202</v>
      </c>
      <c r="D38784" t="s">
        <v>59470</v>
      </c>
      <c r="E38784" t="s">
        <v>435</v>
      </c>
      <c r="F38784" s="2" t="str">
        <f>HYPERLINK("http://www.otzar.org/book.asp?623954","קנין חדש")</f>
        <v>קנין חדש</v>
      </c>
    </row>
    <row r="38785" spans="1:6" x14ac:dyDescent="0.2">
      <c r="A38785" t="s">
        <v>59471</v>
      </c>
      <c r="B38785" t="s">
        <v>7393</v>
      </c>
      <c r="C38785" t="s">
        <v>462</v>
      </c>
      <c r="D38785" t="s">
        <v>225</v>
      </c>
      <c r="E38785" t="s">
        <v>1517</v>
      </c>
      <c r="F38785" s="2" t="str">
        <f>HYPERLINK("http://www.otzar.org/book.asp?13630","קנין טוב")</f>
        <v>קנין טוב</v>
      </c>
    </row>
    <row r="38786" spans="1:6" x14ac:dyDescent="0.2">
      <c r="A38786" t="s">
        <v>59472</v>
      </c>
      <c r="B38786" t="s">
        <v>19643</v>
      </c>
      <c r="C38786" t="s">
        <v>37</v>
      </c>
      <c r="D38786" t="s">
        <v>52</v>
      </c>
      <c r="E38786" t="s">
        <v>10</v>
      </c>
      <c r="F38786" s="2" t="str">
        <f>HYPERLINK("http://www.otzar.org/book.asp?182269","קנין יורה דעה - 2 כר'")</f>
        <v>קנין יורה דעה - 2 כר'</v>
      </c>
    </row>
    <row r="38787" spans="1:6" x14ac:dyDescent="0.2">
      <c r="A38787" t="s">
        <v>59473</v>
      </c>
      <c r="B38787" t="s">
        <v>29701</v>
      </c>
      <c r="C38787" t="s">
        <v>20</v>
      </c>
      <c r="D38787" t="s">
        <v>14</v>
      </c>
      <c r="E38787" t="s">
        <v>38</v>
      </c>
      <c r="F38787" s="2" t="str">
        <f>HYPERLINK("http://www.otzar.org/book.asp?6085","קנין כתר תורה")</f>
        <v>קנין כתר תורה</v>
      </c>
    </row>
    <row r="38788" spans="1:6" x14ac:dyDescent="0.2">
      <c r="A38788" t="s">
        <v>59474</v>
      </c>
      <c r="B38788" t="s">
        <v>4373</v>
      </c>
      <c r="C38788" t="s">
        <v>6784</v>
      </c>
      <c r="D38788" t="s">
        <v>212</v>
      </c>
      <c r="E38788" t="s">
        <v>1164</v>
      </c>
      <c r="F38788" s="2" t="str">
        <f>HYPERLINK("http://www.otzar.org/book.asp?101617","קנין פירות")</f>
        <v>קנין פירות</v>
      </c>
    </row>
    <row r="38789" spans="1:6" x14ac:dyDescent="0.2">
      <c r="A38789" t="s">
        <v>59475</v>
      </c>
      <c r="B38789" t="s">
        <v>12880</v>
      </c>
      <c r="C38789" t="s">
        <v>37</v>
      </c>
      <c r="D38789" t="s">
        <v>14</v>
      </c>
      <c r="E38789" t="s">
        <v>144</v>
      </c>
      <c r="F38789" s="2" t="str">
        <f>HYPERLINK("http://www.otzar.org/book.asp?183096","קנין שלמה")</f>
        <v>קנין שלמה</v>
      </c>
    </row>
    <row r="38790" spans="1:6" x14ac:dyDescent="0.2">
      <c r="A38790" t="s">
        <v>59476</v>
      </c>
      <c r="B38790" t="s">
        <v>847</v>
      </c>
      <c r="C38790" t="s">
        <v>189</v>
      </c>
      <c r="D38790" t="s">
        <v>52</v>
      </c>
      <c r="E38790" t="s">
        <v>144</v>
      </c>
      <c r="F38790" s="2" t="str">
        <f>HYPERLINK("http://www.otzar.org/book.asp?53034","קנין שלמה - יבמות")</f>
        <v>קנין שלמה - יבמות</v>
      </c>
    </row>
    <row r="38791" spans="1:6" x14ac:dyDescent="0.2">
      <c r="A38791" t="s">
        <v>59477</v>
      </c>
      <c r="B38791" t="s">
        <v>59478</v>
      </c>
      <c r="C38791" t="s">
        <v>124</v>
      </c>
      <c r="D38791" t="s">
        <v>817</v>
      </c>
      <c r="E38791" t="s">
        <v>154</v>
      </c>
      <c r="F38791" s="2" t="str">
        <f>HYPERLINK("http://www.otzar.org/book.asp?102633","קנין תורה בהלכה - 7 כר'")</f>
        <v>קנין תורה בהלכה - 7 כר'</v>
      </c>
    </row>
    <row r="38792" spans="1:6" x14ac:dyDescent="0.2">
      <c r="A38792" t="s">
        <v>59479</v>
      </c>
      <c r="B38792" t="s">
        <v>59478</v>
      </c>
      <c r="C38792" t="s">
        <v>940</v>
      </c>
      <c r="D38792" t="s">
        <v>72</v>
      </c>
      <c r="E38792" t="s">
        <v>158</v>
      </c>
      <c r="F38792" s="2" t="str">
        <f>HYPERLINK("http://www.otzar.org/book.asp?162033","קנין תורה בשמעתתא &lt;מהדורה חדשה&gt; - 5 כר'")</f>
        <v>קנין תורה בשמעתתא &lt;מהדורה חדשה&gt; - 5 כר'</v>
      </c>
    </row>
    <row r="38793" spans="1:6" x14ac:dyDescent="0.2">
      <c r="A38793" t="s">
        <v>59480</v>
      </c>
      <c r="B38793" t="s">
        <v>59478</v>
      </c>
      <c r="C38793" t="s">
        <v>919</v>
      </c>
      <c r="D38793" t="s">
        <v>40360</v>
      </c>
      <c r="E38793" t="s">
        <v>158</v>
      </c>
      <c r="F38793" s="2" t="str">
        <f>HYPERLINK("http://www.otzar.org/book.asp?7969","קנין תורה בשמעתתא - 5 כר'")</f>
        <v>קנין תורה בשמעתתא - 5 כר'</v>
      </c>
    </row>
    <row r="38794" spans="1:6" x14ac:dyDescent="0.2">
      <c r="A38794" t="s">
        <v>59481</v>
      </c>
      <c r="B38794" t="s">
        <v>59482</v>
      </c>
      <c r="C38794" t="s">
        <v>14</v>
      </c>
      <c r="F38794" s="2" t="str">
        <f>HYPERLINK("http://www.otzar.org/book.asp?622602","קנין תורה כיצד")</f>
        <v>קנין תורה כיצד</v>
      </c>
    </row>
    <row r="38795" spans="1:6" x14ac:dyDescent="0.2">
      <c r="A38795" t="s">
        <v>59483</v>
      </c>
      <c r="B38795" t="s">
        <v>52685</v>
      </c>
      <c r="C38795" t="s">
        <v>133</v>
      </c>
      <c r="D38795" t="s">
        <v>2909</v>
      </c>
      <c r="F38795" s="2" t="str">
        <f>HYPERLINK("http://www.otzar.org/book.asp?603290","קנין תורה")</f>
        <v>קנין תורה</v>
      </c>
    </row>
    <row r="38796" spans="1:6" x14ac:dyDescent="0.2">
      <c r="A38796" t="s">
        <v>59484</v>
      </c>
      <c r="B38796" t="s">
        <v>29857</v>
      </c>
      <c r="C38796" t="s">
        <v>37</v>
      </c>
      <c r="D38796" t="s">
        <v>1840</v>
      </c>
      <c r="F38796" s="2" t="str">
        <f>HYPERLINK("http://www.otzar.org/book.asp?610350","קנין תורה - 2 כר'")</f>
        <v>קנין תורה - 2 כר'</v>
      </c>
    </row>
    <row r="38797" spans="1:6" x14ac:dyDescent="0.2">
      <c r="A38797" t="s">
        <v>59483</v>
      </c>
      <c r="B38797" t="s">
        <v>59485</v>
      </c>
      <c r="C38797" t="s">
        <v>68</v>
      </c>
      <c r="D38797" t="s">
        <v>14</v>
      </c>
      <c r="E38797" t="s">
        <v>84</v>
      </c>
      <c r="F38797" s="2" t="str">
        <f>HYPERLINK("http://www.otzar.org/book.asp?606698","קנין תורה")</f>
        <v>קנין תורה</v>
      </c>
    </row>
    <row r="38798" spans="1:6" x14ac:dyDescent="0.2">
      <c r="A38798" t="s">
        <v>59483</v>
      </c>
      <c r="B38798" t="s">
        <v>4977</v>
      </c>
      <c r="C38798" t="s">
        <v>20</v>
      </c>
      <c r="D38798" t="s">
        <v>14</v>
      </c>
      <c r="E38798" t="s">
        <v>84</v>
      </c>
      <c r="F38798" s="2" t="str">
        <f>HYPERLINK("http://www.otzar.org/book.asp?153429","קנין תורה")</f>
        <v>קנין תורה</v>
      </c>
    </row>
    <row r="38799" spans="1:6" x14ac:dyDescent="0.2">
      <c r="A38799" t="s">
        <v>59483</v>
      </c>
      <c r="B38799" t="s">
        <v>3367</v>
      </c>
      <c r="C38799" t="s">
        <v>103</v>
      </c>
      <c r="D38799" t="s">
        <v>14</v>
      </c>
      <c r="E38799" t="s">
        <v>241</v>
      </c>
      <c r="F38799" s="2" t="str">
        <f>HYPERLINK("http://www.otzar.org/book.asp?162718","קנין תורה")</f>
        <v>קנין תורה</v>
      </c>
    </row>
    <row r="38800" spans="1:6" x14ac:dyDescent="0.2">
      <c r="A38800" t="s">
        <v>59483</v>
      </c>
      <c r="B38800" t="s">
        <v>107</v>
      </c>
      <c r="C38800" t="s">
        <v>20</v>
      </c>
      <c r="D38800" t="s">
        <v>14</v>
      </c>
      <c r="E38800" t="s">
        <v>104</v>
      </c>
      <c r="F38800" s="2" t="str">
        <f>HYPERLINK("http://www.otzar.org/book.asp?6129","קנין תורה")</f>
        <v>קנין תורה</v>
      </c>
    </row>
    <row r="38801" spans="1:6" x14ac:dyDescent="0.2">
      <c r="A38801" t="s">
        <v>59486</v>
      </c>
      <c r="B38801" t="s">
        <v>36264</v>
      </c>
      <c r="C38801" t="s">
        <v>1535</v>
      </c>
      <c r="D38801" t="s">
        <v>283</v>
      </c>
      <c r="F38801" s="2" t="str">
        <f>HYPERLINK("http://www.otzar.org/book.asp?181580","קניני קדם - ב")</f>
        <v>קניני קדם - ב</v>
      </c>
    </row>
    <row r="38802" spans="1:6" x14ac:dyDescent="0.2">
      <c r="A38802" t="s">
        <v>59487</v>
      </c>
      <c r="B38802" t="s">
        <v>38726</v>
      </c>
      <c r="C38802" t="s">
        <v>291</v>
      </c>
      <c r="D38802" t="s">
        <v>59488</v>
      </c>
      <c r="E38802" t="s">
        <v>7817</v>
      </c>
      <c r="F38802" s="2" t="str">
        <f>HYPERLINK("http://www.otzar.org/book.asp?149023","קנמן בשם  &lt;מתוך עין יעקב&gt;")</f>
        <v>קנמן בשם  &lt;מתוך עין יעקב&gt;</v>
      </c>
    </row>
    <row r="38803" spans="1:6" x14ac:dyDescent="0.2">
      <c r="A38803" t="s">
        <v>59489</v>
      </c>
      <c r="B38803" t="s">
        <v>59490</v>
      </c>
      <c r="C38803" t="s">
        <v>5903</v>
      </c>
      <c r="D38803" t="s">
        <v>267</v>
      </c>
      <c r="E38803" t="s">
        <v>18606</v>
      </c>
      <c r="F38803" s="2" t="str">
        <f>HYPERLINK("http://www.otzar.org/book.asp?20670","קנת סופרים")</f>
        <v>קנת סופרים</v>
      </c>
    </row>
    <row r="38804" spans="1:6" x14ac:dyDescent="0.2">
      <c r="A38804" t="s">
        <v>59491</v>
      </c>
      <c r="B38804" t="s">
        <v>2528</v>
      </c>
      <c r="C38804" t="s">
        <v>594</v>
      </c>
      <c r="D38804" t="s">
        <v>929</v>
      </c>
      <c r="E38804" t="s">
        <v>2135</v>
      </c>
      <c r="F38804" s="2" t="str">
        <f>HYPERLINK("http://www.otzar.org/book.asp?154510","קסת הסופר &lt;לשכת הסופר&gt; - א ב (מהדו""ב)")</f>
        <v>קסת הסופר &lt;לשכת הסופר&gt; - א ב (מהדו"ב)</v>
      </c>
    </row>
    <row r="38805" spans="1:6" x14ac:dyDescent="0.2">
      <c r="A38805" t="s">
        <v>59492</v>
      </c>
      <c r="B38805" t="s">
        <v>2528</v>
      </c>
      <c r="C38805" t="s">
        <v>854</v>
      </c>
      <c r="D38805" t="s">
        <v>2313</v>
      </c>
      <c r="E38805" t="s">
        <v>15</v>
      </c>
      <c r="F38805" s="2" t="str">
        <f>HYPERLINK("http://www.otzar.org/book.asp?154145","קסת הסופר - 4 כר'")</f>
        <v>קסת הסופר - 4 כר'</v>
      </c>
    </row>
    <row r="38806" spans="1:6" x14ac:dyDescent="0.2">
      <c r="A38806" t="s">
        <v>59493</v>
      </c>
      <c r="B38806" t="s">
        <v>19024</v>
      </c>
      <c r="C38806" t="s">
        <v>24600</v>
      </c>
      <c r="D38806" t="s">
        <v>216</v>
      </c>
      <c r="E38806" t="s">
        <v>5166</v>
      </c>
      <c r="F38806" s="2" t="str">
        <f>HYPERLINK("http://www.otzar.org/book.asp?5329","קסת הסופר - א")</f>
        <v>קסת הסופר - א</v>
      </c>
    </row>
    <row r="38807" spans="1:6" x14ac:dyDescent="0.2">
      <c r="A38807" t="s">
        <v>59494</v>
      </c>
      <c r="B38807" t="s">
        <v>25176</v>
      </c>
      <c r="C38807" t="s">
        <v>114</v>
      </c>
      <c r="D38807" t="s">
        <v>147</v>
      </c>
      <c r="E38807" t="s">
        <v>158</v>
      </c>
      <c r="F38807" s="2" t="str">
        <f>HYPERLINK("http://www.otzar.org/book.asp?158052","קסת יהונתן")</f>
        <v>קסת יהונתן</v>
      </c>
    </row>
    <row r="38808" spans="1:6" x14ac:dyDescent="0.2">
      <c r="A38808" t="s">
        <v>59494</v>
      </c>
      <c r="B38808" t="s">
        <v>59495</v>
      </c>
      <c r="C38808" t="s">
        <v>59496</v>
      </c>
      <c r="D38808" t="s">
        <v>4703</v>
      </c>
      <c r="F38808" s="2" t="str">
        <f>HYPERLINK("http://www.otzar.org/book.asp?151520","קסת יהונתן")</f>
        <v>קסת יהונתן</v>
      </c>
    </row>
    <row r="38809" spans="1:6" x14ac:dyDescent="0.2">
      <c r="A38809" t="s">
        <v>59497</v>
      </c>
      <c r="B38809" t="s">
        <v>59498</v>
      </c>
      <c r="C38809" t="s">
        <v>114</v>
      </c>
      <c r="D38809" t="s">
        <v>90</v>
      </c>
      <c r="E38809" t="s">
        <v>202</v>
      </c>
      <c r="F38809" s="2" t="str">
        <f>HYPERLINK("http://www.otzar.org/book.asp?193829","קסת - א")</f>
        <v>קסת - א</v>
      </c>
    </row>
    <row r="38810" spans="1:6" x14ac:dyDescent="0.2">
      <c r="A38810" t="s">
        <v>59499</v>
      </c>
      <c r="B38810" t="s">
        <v>4964</v>
      </c>
      <c r="C38810" t="s">
        <v>1160</v>
      </c>
      <c r="D38810" t="s">
        <v>14</v>
      </c>
      <c r="E38810" t="s">
        <v>119</v>
      </c>
      <c r="F38810" s="2" t="str">
        <f>HYPERLINK("http://www.otzar.org/book.asp?145013","קץ הימין")</f>
        <v>קץ הימין</v>
      </c>
    </row>
    <row r="38811" spans="1:6" x14ac:dyDescent="0.2">
      <c r="A38811" t="s">
        <v>59499</v>
      </c>
      <c r="B38811" t="s">
        <v>21956</v>
      </c>
      <c r="C38811" t="s">
        <v>20</v>
      </c>
      <c r="D38811" t="s">
        <v>216</v>
      </c>
      <c r="F38811" s="2" t="str">
        <f>HYPERLINK("http://www.otzar.org/book.asp?620777","קץ הימין")</f>
        <v>קץ הימין</v>
      </c>
    </row>
    <row r="38812" spans="1:6" x14ac:dyDescent="0.2">
      <c r="A38812" t="s">
        <v>59500</v>
      </c>
      <c r="B38812" t="s">
        <v>59501</v>
      </c>
      <c r="C38812" t="s">
        <v>180</v>
      </c>
      <c r="D38812" t="s">
        <v>14</v>
      </c>
      <c r="F38812" s="2" t="str">
        <f>HYPERLINK("http://www.otzar.org/book.asp?152950","קץ המערכה")</f>
        <v>קץ המערכה</v>
      </c>
    </row>
    <row r="38813" spans="1:6" x14ac:dyDescent="0.2">
      <c r="A38813" t="s">
        <v>59502</v>
      </c>
      <c r="B38813" t="s">
        <v>12440</v>
      </c>
      <c r="C38813" t="s">
        <v>224</v>
      </c>
      <c r="D38813" t="s">
        <v>726</v>
      </c>
      <c r="E38813" t="s">
        <v>213</v>
      </c>
      <c r="F38813" s="2" t="str">
        <f>HYPERLINK("http://www.otzar.org/book.asp?10352","קץ הפלאות")</f>
        <v>קץ הפלאות</v>
      </c>
    </row>
    <row r="38814" spans="1:6" x14ac:dyDescent="0.2">
      <c r="A38814" t="s">
        <v>59503</v>
      </c>
      <c r="B38814" t="s">
        <v>4735</v>
      </c>
      <c r="C38814" t="s">
        <v>189</v>
      </c>
      <c r="D38814" t="s">
        <v>14</v>
      </c>
      <c r="E38814" t="s">
        <v>104</v>
      </c>
      <c r="F38814" s="2" t="str">
        <f>HYPERLINK("http://www.otzar.org/book.asp?63873","קץ שם לחשך")</f>
        <v>קץ שם לחשך</v>
      </c>
    </row>
    <row r="38815" spans="1:6" x14ac:dyDescent="0.2">
      <c r="A38815" t="s">
        <v>59504</v>
      </c>
      <c r="B38815" t="s">
        <v>59505</v>
      </c>
      <c r="C38815" t="s">
        <v>133</v>
      </c>
      <c r="D38815" t="s">
        <v>52</v>
      </c>
      <c r="E38815" t="s">
        <v>15</v>
      </c>
      <c r="F38815" s="2" t="str">
        <f>HYPERLINK("http://www.otzar.org/book.asp?182009","קצה היריעה - מוקצה")</f>
        <v>קצה היריעה - מוקצה</v>
      </c>
    </row>
    <row r="38816" spans="1:6" x14ac:dyDescent="0.2">
      <c r="A38816" t="s">
        <v>59506</v>
      </c>
      <c r="B38816" t="s">
        <v>8105</v>
      </c>
      <c r="C38816" t="s">
        <v>244</v>
      </c>
      <c r="D38816" t="s">
        <v>14</v>
      </c>
      <c r="E38816" t="s">
        <v>172</v>
      </c>
      <c r="F38816" s="2" t="str">
        <f>HYPERLINK("http://www.otzar.org/book.asp?608426","קצה המטה")</f>
        <v>קצה המטה</v>
      </c>
    </row>
    <row r="38817" spans="1:6" x14ac:dyDescent="0.2">
      <c r="A38817" t="s">
        <v>59507</v>
      </c>
      <c r="B38817" t="s">
        <v>59508</v>
      </c>
      <c r="C38817" t="s">
        <v>114</v>
      </c>
      <c r="D38817" t="s">
        <v>152</v>
      </c>
      <c r="E38817" t="s">
        <v>104</v>
      </c>
      <c r="F38817" s="2" t="str">
        <f>HYPERLINK("http://www.otzar.org/book.asp?165536","קצה המטה - ב")</f>
        <v>קצה המטה - ב</v>
      </c>
    </row>
    <row r="38818" spans="1:6" x14ac:dyDescent="0.2">
      <c r="A38818" t="s">
        <v>59509</v>
      </c>
      <c r="B38818" t="s">
        <v>59510</v>
      </c>
      <c r="C38818" t="s">
        <v>12351</v>
      </c>
      <c r="D38818" t="s">
        <v>2041</v>
      </c>
      <c r="E38818" t="s">
        <v>104</v>
      </c>
      <c r="F38818" s="2" t="str">
        <f>HYPERLINK("http://www.otzar.org/book.asp?63856","קצוי ארץ")</f>
        <v>קצוי ארץ</v>
      </c>
    </row>
    <row r="38819" spans="1:6" x14ac:dyDescent="0.2">
      <c r="A38819" t="s">
        <v>59511</v>
      </c>
      <c r="B38819" t="s">
        <v>338</v>
      </c>
      <c r="C38819" t="s">
        <v>37</v>
      </c>
      <c r="D38819" t="s">
        <v>14</v>
      </c>
      <c r="F38819" s="2" t="str">
        <f>HYPERLINK("http://www.otzar.org/book.asp?182465","קצוצי פאה")</f>
        <v>קצוצי פאה</v>
      </c>
    </row>
    <row r="38820" spans="1:6" x14ac:dyDescent="0.2">
      <c r="A38820" t="s">
        <v>59512</v>
      </c>
      <c r="B38820" t="s">
        <v>59513</v>
      </c>
      <c r="C38820" t="s">
        <v>180</v>
      </c>
      <c r="D38820" t="s">
        <v>216</v>
      </c>
      <c r="F38820" s="2" t="str">
        <f>HYPERLINK("http://www.otzar.org/book.asp?632013","קצור אבן העזר")</f>
        <v>קצור אבן העזר</v>
      </c>
    </row>
    <row r="38821" spans="1:6" x14ac:dyDescent="0.2">
      <c r="A38821" t="s">
        <v>59514</v>
      </c>
      <c r="B38821" t="s">
        <v>58429</v>
      </c>
      <c r="C38821" t="s">
        <v>390</v>
      </c>
      <c r="D38821" t="s">
        <v>21</v>
      </c>
      <c r="E38821" t="s">
        <v>15</v>
      </c>
      <c r="F38821" s="2" t="str">
        <f>HYPERLINK("http://www.otzar.org/book.asp?196337","קצור הלכות נדה")</f>
        <v>קצור הלכות נדה</v>
      </c>
    </row>
    <row r="38822" spans="1:6" x14ac:dyDescent="0.2">
      <c r="A38822" t="s">
        <v>59515</v>
      </c>
      <c r="B38822" t="s">
        <v>59516</v>
      </c>
      <c r="C38822" t="s">
        <v>20</v>
      </c>
      <c r="D38822" t="s">
        <v>90</v>
      </c>
      <c r="F38822" s="2" t="str">
        <f>HYPERLINK("http://www.otzar.org/book.asp?613378","קצור ספר חרדים")</f>
        <v>קצור ספר חרדים</v>
      </c>
    </row>
    <row r="38823" spans="1:6" x14ac:dyDescent="0.2">
      <c r="A38823" t="s">
        <v>59517</v>
      </c>
      <c r="B38823" t="s">
        <v>3551</v>
      </c>
      <c r="C38823" t="s">
        <v>383</v>
      </c>
      <c r="D38823" t="s">
        <v>90</v>
      </c>
      <c r="E38823" t="s">
        <v>15</v>
      </c>
      <c r="F38823" s="2" t="str">
        <f>HYPERLINK("http://www.otzar.org/book.asp?180723","קצור שולחן ערוך - 6 כר'")</f>
        <v>קצור שולחן ערוך - 6 כר'</v>
      </c>
    </row>
    <row r="38824" spans="1:6" x14ac:dyDescent="0.2">
      <c r="A38824" t="s">
        <v>59518</v>
      </c>
      <c r="B38824" t="s">
        <v>59519</v>
      </c>
      <c r="C38824" t="s">
        <v>23</v>
      </c>
      <c r="D38824" t="s">
        <v>21</v>
      </c>
      <c r="E38824" t="s">
        <v>241</v>
      </c>
      <c r="F38824" s="2" t="str">
        <f>HYPERLINK("http://www.otzar.org/book.asp?190308","קצות דרכיו")</f>
        <v>קצות דרכיו</v>
      </c>
    </row>
    <row r="38825" spans="1:6" x14ac:dyDescent="0.2">
      <c r="A38825" t="s">
        <v>59520</v>
      </c>
      <c r="B38825" t="s">
        <v>836</v>
      </c>
      <c r="C38825" t="s">
        <v>1208</v>
      </c>
      <c r="D38825" t="s">
        <v>14</v>
      </c>
      <c r="E38825" t="s">
        <v>21326</v>
      </c>
      <c r="F38825" s="2" t="str">
        <f>HYPERLINK("http://www.otzar.org/book.asp?106073","קצות החושן השלם &lt;עין לנתיבות, פיתוחי חותם&gt; - 4 כר'")</f>
        <v>קצות החושן השלם &lt;עין לנתיבות, פיתוחי חותם&gt; - 4 כר'</v>
      </c>
    </row>
    <row r="38826" spans="1:6" x14ac:dyDescent="0.2">
      <c r="A38826" t="s">
        <v>59521</v>
      </c>
      <c r="B38826" t="s">
        <v>59522</v>
      </c>
      <c r="C38826" t="s">
        <v>129</v>
      </c>
      <c r="D38826" t="s">
        <v>14</v>
      </c>
      <c r="E38826" t="s">
        <v>172</v>
      </c>
      <c r="F38826" s="2" t="str">
        <f>HYPERLINK("http://www.otzar.org/book.asp?180974","קצות החושן - 3 כר'")</f>
        <v>קצות החושן - 3 כר'</v>
      </c>
    </row>
    <row r="38827" spans="1:6" x14ac:dyDescent="0.2">
      <c r="A38827" t="s">
        <v>59523</v>
      </c>
      <c r="B38827" t="s">
        <v>836</v>
      </c>
      <c r="C38827" t="s">
        <v>5826</v>
      </c>
      <c r="D38827" t="s">
        <v>267</v>
      </c>
      <c r="E38827" t="s">
        <v>172</v>
      </c>
      <c r="F38827" s="2" t="str">
        <f>HYPERLINK("http://www.otzar.org/book.asp?176984","קצות החשן &lt;תקע""ו&gt; - 2 כר'")</f>
        <v>קצות החשן &lt;תקע"ו&gt; - 2 כר'</v>
      </c>
    </row>
    <row r="38828" spans="1:6" x14ac:dyDescent="0.2">
      <c r="A38828" t="s">
        <v>59524</v>
      </c>
      <c r="B38828" t="s">
        <v>1035</v>
      </c>
      <c r="C38828" t="s">
        <v>31586</v>
      </c>
      <c r="D38828" t="s">
        <v>1482</v>
      </c>
      <c r="E38828" t="s">
        <v>172</v>
      </c>
      <c r="F38828" s="2" t="str">
        <f>HYPERLINK("http://www.otzar.org/book.asp?166849","קצות החשן &lt;תק""ץ&gt; - 2 כר'")</f>
        <v>קצות החשן &lt;תק"ץ&gt; - 2 כר'</v>
      </c>
    </row>
    <row r="38829" spans="1:6" x14ac:dyDescent="0.2">
      <c r="A38829" t="s">
        <v>59525</v>
      </c>
      <c r="B38829" t="s">
        <v>836</v>
      </c>
      <c r="C38829" t="s">
        <v>20</v>
      </c>
      <c r="D38829" t="s">
        <v>2347</v>
      </c>
      <c r="E38829" t="s">
        <v>172</v>
      </c>
      <c r="F38829" s="2" t="str">
        <f>HYPERLINK("http://www.otzar.org/book.asp?5238","קצות החשן")</f>
        <v>קצות החשן</v>
      </c>
    </row>
    <row r="38830" spans="1:6" x14ac:dyDescent="0.2">
      <c r="A38830" t="s">
        <v>59526</v>
      </c>
      <c r="B38830" t="s">
        <v>59526</v>
      </c>
      <c r="C38830" t="s">
        <v>919</v>
      </c>
      <c r="D38830" t="s">
        <v>216</v>
      </c>
      <c r="E38830" t="s">
        <v>25613</v>
      </c>
      <c r="F38830" s="2" t="str">
        <f>HYPERLINK("http://www.otzar.org/book.asp?9053","קצות החשן - מפתחות")</f>
        <v>קצות החשן - מפתחות</v>
      </c>
    </row>
    <row r="38831" spans="1:6" x14ac:dyDescent="0.2">
      <c r="A38831" t="s">
        <v>59527</v>
      </c>
      <c r="B38831" t="s">
        <v>59528</v>
      </c>
      <c r="C38831" t="s">
        <v>1208</v>
      </c>
      <c r="D38831" t="s">
        <v>52</v>
      </c>
      <c r="F38831" s="2" t="str">
        <f>HYPERLINK("http://www.otzar.org/book.asp?617922","קצות השבת - הלכות מוקצה בקצרה")</f>
        <v>קצות השבת - הלכות מוקצה בקצרה</v>
      </c>
    </row>
    <row r="38832" spans="1:6" x14ac:dyDescent="0.2">
      <c r="A38832" t="s">
        <v>59529</v>
      </c>
      <c r="B38832" t="s">
        <v>20652</v>
      </c>
      <c r="C38832" t="s">
        <v>59530</v>
      </c>
      <c r="D38832" t="s">
        <v>27</v>
      </c>
      <c r="E38832" t="s">
        <v>15</v>
      </c>
      <c r="F38832" s="2" t="str">
        <f>HYPERLINK("http://www.otzar.org/book.asp?150740","קצות השלחן - 9 כר'")</f>
        <v>קצות השלחן - 9 כר'</v>
      </c>
    </row>
    <row r="38833" spans="1:6" x14ac:dyDescent="0.2">
      <c r="A38833" t="s">
        <v>59531</v>
      </c>
      <c r="B38833" t="s">
        <v>59532</v>
      </c>
      <c r="C38833" t="s">
        <v>594</v>
      </c>
      <c r="D38833" t="s">
        <v>157</v>
      </c>
      <c r="E38833" t="s">
        <v>158</v>
      </c>
      <c r="F38833" s="2" t="str">
        <f>HYPERLINK("http://www.otzar.org/book.asp?141005","קציר החטים")</f>
        <v>קציר החטים</v>
      </c>
    </row>
    <row r="38834" spans="1:6" x14ac:dyDescent="0.2">
      <c r="A38834" t="s">
        <v>59533</v>
      </c>
      <c r="B38834" t="s">
        <v>58681</v>
      </c>
      <c r="C38834" t="s">
        <v>189</v>
      </c>
      <c r="D38834" t="s">
        <v>412</v>
      </c>
      <c r="E38834" t="s">
        <v>130</v>
      </c>
      <c r="F38834" s="2" t="str">
        <f>HYPERLINK("http://www.otzar.org/book.asp?163684","קציר חטים")</f>
        <v>קציר חטים</v>
      </c>
    </row>
    <row r="38835" spans="1:6" x14ac:dyDescent="0.2">
      <c r="A38835" t="s">
        <v>59534</v>
      </c>
      <c r="B38835" t="s">
        <v>206</v>
      </c>
      <c r="C38835" t="s">
        <v>244</v>
      </c>
      <c r="D38835" t="s">
        <v>52</v>
      </c>
      <c r="F38835" s="2" t="str">
        <f>HYPERLINK("http://www.otzar.org/book.asp?197971","קצירת האומר - 4 כר'")</f>
        <v>קצירת האומר - 4 כר'</v>
      </c>
    </row>
    <row r="38836" spans="1:6" x14ac:dyDescent="0.2">
      <c r="A38836" t="s">
        <v>59535</v>
      </c>
      <c r="B38836" t="s">
        <v>53212</v>
      </c>
      <c r="C38836" t="s">
        <v>23</v>
      </c>
      <c r="D38836" t="s">
        <v>52</v>
      </c>
      <c r="E38836" t="s">
        <v>84</v>
      </c>
      <c r="F38836" s="2" t="str">
        <f>HYPERLINK("http://www.otzar.org/book.asp?193194","קצירת האומר - 2 כר'")</f>
        <v>קצירת האומר - 2 כר'</v>
      </c>
    </row>
    <row r="38837" spans="1:6" x14ac:dyDescent="0.2">
      <c r="A38837" t="s">
        <v>59536</v>
      </c>
      <c r="B38837" t="s">
        <v>9425</v>
      </c>
      <c r="C38837" t="s">
        <v>17</v>
      </c>
      <c r="D38837" t="s">
        <v>9426</v>
      </c>
      <c r="E38837" t="s">
        <v>15</v>
      </c>
      <c r="F38837" s="2" t="str">
        <f>HYPERLINK("http://www.otzar.org/book.asp?60589","קצירת השדה")</f>
        <v>קצירת השדה</v>
      </c>
    </row>
    <row r="38838" spans="1:6" x14ac:dyDescent="0.2">
      <c r="A38838" t="s">
        <v>59537</v>
      </c>
      <c r="B38838" t="s">
        <v>59538</v>
      </c>
      <c r="C38838" t="s">
        <v>725</v>
      </c>
      <c r="D38838" t="s">
        <v>974</v>
      </c>
      <c r="F38838" s="2" t="str">
        <f>HYPERLINK("http://www.otzar.org/book.asp?182358","קצת העתק מספרי שירה חדשה")</f>
        <v>קצת העתק מספרי שירה חדשה</v>
      </c>
    </row>
    <row r="38839" spans="1:6" x14ac:dyDescent="0.2">
      <c r="A38839" t="s">
        <v>59539</v>
      </c>
      <c r="B38839" t="s">
        <v>59540</v>
      </c>
      <c r="C38839" t="s">
        <v>1954</v>
      </c>
      <c r="D38839" t="s">
        <v>27</v>
      </c>
      <c r="E38839" t="s">
        <v>1626</v>
      </c>
      <c r="F38839" s="2" t="str">
        <f>HYPERLINK("http://www.otzar.org/book.asp?13106","קצת יוסף הצדיק וקצת חנה")</f>
        <v>קצת יוסף הצדיק וקצת חנה</v>
      </c>
    </row>
    <row r="38840" spans="1:6" x14ac:dyDescent="0.2">
      <c r="A38840" t="s">
        <v>59541</v>
      </c>
      <c r="B38840" t="s">
        <v>59542</v>
      </c>
      <c r="C38840" t="s">
        <v>619</v>
      </c>
      <c r="D38840" t="s">
        <v>8024</v>
      </c>
      <c r="E38840" t="s">
        <v>154</v>
      </c>
      <c r="F38840" s="2" t="str">
        <f>HYPERLINK("http://www.otzar.org/book.asp?52141","קצת מכתבי מוהר""ר דוד אברהם חי, יד דוד, ויען יצחק")</f>
        <v>קצת מכתבי מוהר"ר דוד אברהם חי, יד דוד, ויען יצחק</v>
      </c>
    </row>
    <row r="38841" spans="1:6" x14ac:dyDescent="0.2">
      <c r="A38841" t="s">
        <v>59543</v>
      </c>
      <c r="B38841" t="s">
        <v>13321</v>
      </c>
      <c r="C38841" t="s">
        <v>3709</v>
      </c>
      <c r="D38841" t="s">
        <v>157</v>
      </c>
      <c r="F38841" s="2" t="str">
        <f>HYPERLINK("http://www.otzar.org/book.asp?152768","קרא מקר""ה")</f>
        <v>קרא מקר"ה</v>
      </c>
    </row>
    <row r="38842" spans="1:6" x14ac:dyDescent="0.2">
      <c r="A38842" t="s">
        <v>59544</v>
      </c>
      <c r="B38842" t="s">
        <v>1510</v>
      </c>
      <c r="C38842" t="s">
        <v>411</v>
      </c>
      <c r="D38842" t="s">
        <v>1511</v>
      </c>
      <c r="E38842" t="s">
        <v>130</v>
      </c>
      <c r="F38842" s="2" t="str">
        <f>HYPERLINK("http://www.otzar.org/book.asp?171178","קרא עלי מועד")</f>
        <v>קרא עלי מועד</v>
      </c>
    </row>
    <row r="38843" spans="1:6" x14ac:dyDescent="0.2">
      <c r="A38843" t="s">
        <v>59544</v>
      </c>
      <c r="B38843" t="s">
        <v>552</v>
      </c>
      <c r="C38843" t="s">
        <v>20</v>
      </c>
      <c r="D38843" t="s">
        <v>52</v>
      </c>
      <c r="E38843" t="s">
        <v>202</v>
      </c>
      <c r="F38843" s="2" t="str">
        <f>HYPERLINK("http://www.otzar.org/book.asp?170938","קרא עלי מועד")</f>
        <v>קרא עלי מועד</v>
      </c>
    </row>
    <row r="38844" spans="1:6" x14ac:dyDescent="0.2">
      <c r="A38844" t="s">
        <v>59545</v>
      </c>
      <c r="B38844" t="s">
        <v>17145</v>
      </c>
      <c r="C38844" t="s">
        <v>68</v>
      </c>
      <c r="D38844" t="s">
        <v>14</v>
      </c>
      <c r="E38844" t="s">
        <v>119</v>
      </c>
      <c r="F38844" s="2" t="str">
        <f>HYPERLINK("http://www.otzar.org/book.asp?199435","קראתי ואין עונה")</f>
        <v>קראתי ואין עונה</v>
      </c>
    </row>
    <row r="38845" spans="1:6" x14ac:dyDescent="0.2">
      <c r="A38845" t="s">
        <v>59546</v>
      </c>
      <c r="B38845" t="s">
        <v>32015</v>
      </c>
      <c r="C38845" t="s">
        <v>1863</v>
      </c>
      <c r="D38845" t="s">
        <v>8592</v>
      </c>
      <c r="E38845" t="s">
        <v>33235</v>
      </c>
      <c r="F38845" s="2" t="str">
        <f>HYPERLINK("http://www.otzar.org/book.asp?103308","קרבן אהרן - 3 כר'")</f>
        <v>קרבן אהרן - 3 כר'</v>
      </c>
    </row>
    <row r="38846" spans="1:6" x14ac:dyDescent="0.2">
      <c r="A38846" t="s">
        <v>59547</v>
      </c>
      <c r="B38846" t="s">
        <v>59548</v>
      </c>
      <c r="C38846" t="s">
        <v>11715</v>
      </c>
      <c r="D38846" t="s">
        <v>8167</v>
      </c>
      <c r="E38846" t="s">
        <v>674</v>
      </c>
      <c r="F38846" s="2" t="str">
        <f>HYPERLINK("http://www.otzar.org/book.asp?101628","קרבן אהרן")</f>
        <v>קרבן אהרן</v>
      </c>
    </row>
    <row r="38847" spans="1:6" x14ac:dyDescent="0.2">
      <c r="A38847" t="s">
        <v>59547</v>
      </c>
      <c r="B38847" t="s">
        <v>59549</v>
      </c>
      <c r="C38847" t="s">
        <v>7384</v>
      </c>
      <c r="D38847" t="s">
        <v>212</v>
      </c>
      <c r="F38847" s="2" t="str">
        <f>HYPERLINK("http://www.otzar.org/book.asp?84997","קרבן אהרן")</f>
        <v>קרבן אהרן</v>
      </c>
    </row>
    <row r="38848" spans="1:6" x14ac:dyDescent="0.2">
      <c r="A38848" t="s">
        <v>59547</v>
      </c>
      <c r="B38848" t="s">
        <v>28171</v>
      </c>
      <c r="C38848" t="s">
        <v>59550</v>
      </c>
      <c r="D38848" t="s">
        <v>10557</v>
      </c>
      <c r="F38848" s="2" t="str">
        <f>HYPERLINK("http://www.otzar.org/book.asp?619301","קרבן אהרן")</f>
        <v>קרבן אהרן</v>
      </c>
    </row>
    <row r="38849" spans="1:6" x14ac:dyDescent="0.2">
      <c r="A38849" t="s">
        <v>59551</v>
      </c>
      <c r="B38849" t="s">
        <v>10987</v>
      </c>
      <c r="C38849" t="s">
        <v>1981</v>
      </c>
      <c r="D38849" t="s">
        <v>76</v>
      </c>
      <c r="E38849" t="s">
        <v>2088</v>
      </c>
      <c r="F38849" s="2" t="str">
        <f>HYPERLINK("http://www.otzar.org/book.asp?101788","קרבן אליצור")</f>
        <v>קרבן אליצור</v>
      </c>
    </row>
    <row r="38850" spans="1:6" x14ac:dyDescent="0.2">
      <c r="A38850" t="s">
        <v>59551</v>
      </c>
      <c r="B38850" t="s">
        <v>43598</v>
      </c>
      <c r="C38850" t="s">
        <v>286</v>
      </c>
      <c r="D38850" t="s">
        <v>43599</v>
      </c>
      <c r="E38850" t="s">
        <v>154</v>
      </c>
      <c r="F38850" s="2" t="str">
        <f>HYPERLINK("http://www.otzar.org/book.asp?84075","קרבן אליצור")</f>
        <v>קרבן אליצור</v>
      </c>
    </row>
    <row r="38851" spans="1:6" x14ac:dyDescent="0.2">
      <c r="A38851" t="s">
        <v>59552</v>
      </c>
      <c r="B38851" t="s">
        <v>59553</v>
      </c>
      <c r="C38851" t="s">
        <v>68</v>
      </c>
      <c r="D38851" t="s">
        <v>90</v>
      </c>
      <c r="E38851" t="s">
        <v>144</v>
      </c>
      <c r="F38851" s="2" t="str">
        <f>HYPERLINK("http://www.otzar.org/book.asp?621772","קרבן אריאל")</f>
        <v>קרבן אריאל</v>
      </c>
    </row>
    <row r="38852" spans="1:6" x14ac:dyDescent="0.2">
      <c r="A38852" t="s">
        <v>59554</v>
      </c>
      <c r="B38852" t="s">
        <v>59555</v>
      </c>
      <c r="C38852" t="s">
        <v>2455</v>
      </c>
      <c r="D38852" t="s">
        <v>212</v>
      </c>
      <c r="E38852" t="s">
        <v>28318</v>
      </c>
      <c r="F38852" s="2" t="str">
        <f>HYPERLINK("http://www.otzar.org/book.asp?101789","קרבן אש""ה")</f>
        <v>קרבן אש"ה</v>
      </c>
    </row>
    <row r="38853" spans="1:6" x14ac:dyDescent="0.2">
      <c r="A38853" t="s">
        <v>59556</v>
      </c>
      <c r="B38853" t="s">
        <v>59557</v>
      </c>
      <c r="C38853" t="s">
        <v>1981</v>
      </c>
      <c r="D38853" t="s">
        <v>59558</v>
      </c>
      <c r="E38853" t="s">
        <v>144</v>
      </c>
      <c r="F38853" s="2" t="str">
        <f>HYPERLINK("http://www.otzar.org/book.asp?101574","קרבן אשם")</f>
        <v>קרבן אשם</v>
      </c>
    </row>
    <row r="38854" spans="1:6" x14ac:dyDescent="0.2">
      <c r="A38854" t="s">
        <v>59559</v>
      </c>
      <c r="B38854" t="s">
        <v>59560</v>
      </c>
      <c r="C38854" t="s">
        <v>1535</v>
      </c>
      <c r="D38854" t="s">
        <v>225</v>
      </c>
      <c r="E38854" t="s">
        <v>15</v>
      </c>
      <c r="F38854" s="2" t="str">
        <f>HYPERLINK("http://www.otzar.org/book.asp?190001","קרבן אשר")</f>
        <v>קרבן אשר</v>
      </c>
    </row>
    <row r="38855" spans="1:6" x14ac:dyDescent="0.2">
      <c r="A38855" t="s">
        <v>59559</v>
      </c>
      <c r="B38855" t="s">
        <v>59561</v>
      </c>
      <c r="C38855" t="s">
        <v>390</v>
      </c>
      <c r="D38855" t="s">
        <v>1356</v>
      </c>
      <c r="E38855" t="s">
        <v>3516</v>
      </c>
      <c r="F38855" s="2" t="str">
        <f>HYPERLINK("http://www.otzar.org/book.asp?13784","קרבן אשר")</f>
        <v>קרבן אשר</v>
      </c>
    </row>
    <row r="38856" spans="1:6" x14ac:dyDescent="0.2">
      <c r="A38856" t="s">
        <v>59562</v>
      </c>
      <c r="B38856" t="s">
        <v>59563</v>
      </c>
      <c r="C38856" t="s">
        <v>1160</v>
      </c>
      <c r="D38856" t="s">
        <v>14</v>
      </c>
      <c r="E38856" t="s">
        <v>230</v>
      </c>
      <c r="F38856" s="2" t="str">
        <f>HYPERLINK("http://www.otzar.org/book.asp?190002","קרבן העני - 2 כר'")</f>
        <v>קרבן העני - 2 כר'</v>
      </c>
    </row>
    <row r="38857" spans="1:6" x14ac:dyDescent="0.2">
      <c r="A38857" t="s">
        <v>59564</v>
      </c>
      <c r="B38857" t="s">
        <v>22764</v>
      </c>
      <c r="C38857" t="s">
        <v>1022</v>
      </c>
      <c r="D38857" t="s">
        <v>49</v>
      </c>
      <c r="E38857" t="s">
        <v>15</v>
      </c>
      <c r="F38857" s="2" t="str">
        <f>HYPERLINK("http://www.otzar.org/book.asp?6500","קרבן חגיגה")</f>
        <v>קרבן חגיגה</v>
      </c>
    </row>
    <row r="38858" spans="1:6" x14ac:dyDescent="0.2">
      <c r="A38858" t="s">
        <v>59565</v>
      </c>
      <c r="B38858" t="s">
        <v>2150</v>
      </c>
      <c r="C38858" t="s">
        <v>313</v>
      </c>
      <c r="D38858" t="s">
        <v>14</v>
      </c>
      <c r="E38858" t="s">
        <v>144</v>
      </c>
      <c r="F38858" s="2" t="str">
        <f>HYPERLINK("http://www.otzar.org/book.asp?51934","קרבן מלכים")</f>
        <v>קרבן מלכים</v>
      </c>
    </row>
    <row r="38859" spans="1:6" x14ac:dyDescent="0.2">
      <c r="A38859" t="s">
        <v>59566</v>
      </c>
      <c r="B38859" t="s">
        <v>38407</v>
      </c>
      <c r="C38859" t="s">
        <v>725</v>
      </c>
      <c r="D38859" t="s">
        <v>59567</v>
      </c>
      <c r="E38859" t="s">
        <v>15</v>
      </c>
      <c r="F38859" s="2" t="str">
        <f>HYPERLINK("http://www.otzar.org/book.asp?166155","קרבן מנחה")</f>
        <v>קרבן מנחה</v>
      </c>
    </row>
    <row r="38860" spans="1:6" x14ac:dyDescent="0.2">
      <c r="A38860" t="s">
        <v>59566</v>
      </c>
      <c r="B38860" t="s">
        <v>59568</v>
      </c>
      <c r="C38860" t="s">
        <v>506</v>
      </c>
      <c r="D38860" t="s">
        <v>14</v>
      </c>
      <c r="E38860" t="s">
        <v>158</v>
      </c>
      <c r="F38860" s="2" t="str">
        <f>HYPERLINK("http://www.otzar.org/book.asp?172830","קרבן מנחה")</f>
        <v>קרבן מנחה</v>
      </c>
    </row>
    <row r="38861" spans="1:6" x14ac:dyDescent="0.2">
      <c r="A38861" t="s">
        <v>59566</v>
      </c>
      <c r="B38861" t="s">
        <v>4574</v>
      </c>
      <c r="C38861" t="s">
        <v>7193</v>
      </c>
      <c r="D38861" t="s">
        <v>157</v>
      </c>
      <c r="E38861" t="s">
        <v>234</v>
      </c>
      <c r="F38861" s="2" t="str">
        <f>HYPERLINK("http://www.otzar.org/book.asp?102208","קרבן מנחה")</f>
        <v>קרבן מנחה</v>
      </c>
    </row>
    <row r="38862" spans="1:6" x14ac:dyDescent="0.2">
      <c r="A38862" t="s">
        <v>59566</v>
      </c>
      <c r="B38862" t="s">
        <v>59569</v>
      </c>
      <c r="C38862" t="s">
        <v>362</v>
      </c>
      <c r="D38862" t="s">
        <v>225</v>
      </c>
      <c r="E38862" t="s">
        <v>219</v>
      </c>
      <c r="F38862" s="2" t="str">
        <f>HYPERLINK("http://www.otzar.org/book.asp?60635","קרבן מנחה")</f>
        <v>קרבן מנחה</v>
      </c>
    </row>
    <row r="38863" spans="1:6" x14ac:dyDescent="0.2">
      <c r="A38863" t="s">
        <v>59570</v>
      </c>
      <c r="B38863" t="s">
        <v>59571</v>
      </c>
      <c r="C38863" t="s">
        <v>940</v>
      </c>
      <c r="D38863" t="s">
        <v>8113</v>
      </c>
      <c r="E38863" t="s">
        <v>435</v>
      </c>
      <c r="F38863" s="2" t="str">
        <f>HYPERLINK("http://www.otzar.org/book.asp?144771","קרבן משה - 2 כר'")</f>
        <v>קרבן משה - 2 כר'</v>
      </c>
    </row>
    <row r="38864" spans="1:6" x14ac:dyDescent="0.2">
      <c r="A38864" t="s">
        <v>59572</v>
      </c>
      <c r="B38864" t="s">
        <v>38911</v>
      </c>
      <c r="C38864" t="s">
        <v>176</v>
      </c>
      <c r="D38864" t="s">
        <v>14</v>
      </c>
      <c r="E38864" t="s">
        <v>920</v>
      </c>
      <c r="F38864" s="2" t="str">
        <f>HYPERLINK("http://www.otzar.org/book.asp?10067","קרבן נתנאל על מסכתות הש""ס")</f>
        <v>קרבן נתנאל על מסכתות הש"ס</v>
      </c>
    </row>
    <row r="38865" spans="1:6" x14ac:dyDescent="0.2">
      <c r="A38865" t="s">
        <v>59573</v>
      </c>
      <c r="B38865" t="s">
        <v>38911</v>
      </c>
      <c r="C38865" t="s">
        <v>8678</v>
      </c>
      <c r="D38865" t="s">
        <v>4088</v>
      </c>
      <c r="E38865" t="s">
        <v>424</v>
      </c>
      <c r="F38865" s="2" t="str">
        <f>HYPERLINK("http://www.otzar.org/book.asp?104843","קרבן נתנאל")</f>
        <v>קרבן נתנאל</v>
      </c>
    </row>
    <row r="38866" spans="1:6" x14ac:dyDescent="0.2">
      <c r="A38866" t="s">
        <v>59573</v>
      </c>
      <c r="B38866" t="s">
        <v>59574</v>
      </c>
      <c r="C38866" t="s">
        <v>956</v>
      </c>
      <c r="D38866" t="s">
        <v>1356</v>
      </c>
      <c r="E38866" t="s">
        <v>158</v>
      </c>
      <c r="F38866" s="2" t="str">
        <f>HYPERLINK("http://www.otzar.org/book.asp?149974","קרבן נתנאל")</f>
        <v>קרבן נתנאל</v>
      </c>
    </row>
    <row r="38867" spans="1:6" x14ac:dyDescent="0.2">
      <c r="A38867" t="s">
        <v>59575</v>
      </c>
      <c r="B38867" t="s">
        <v>59576</v>
      </c>
      <c r="C38867" t="s">
        <v>462</v>
      </c>
      <c r="D38867" t="s">
        <v>592</v>
      </c>
      <c r="F38867" s="2" t="str">
        <f>HYPERLINK("http://www.otzar.org/book.asp?620901","קרבן עני")</f>
        <v>קרבן עני</v>
      </c>
    </row>
    <row r="38868" spans="1:6" x14ac:dyDescent="0.2">
      <c r="A38868" t="s">
        <v>59577</v>
      </c>
      <c r="B38868" t="s">
        <v>5517</v>
      </c>
      <c r="C38868" t="s">
        <v>454</v>
      </c>
      <c r="D38868" t="s">
        <v>14</v>
      </c>
      <c r="F38868" s="2" t="str">
        <f>HYPERLINK("http://www.otzar.org/book.asp?620242","קרבן פסח כהלכתו")</f>
        <v>קרבן פסח כהלכתו</v>
      </c>
    </row>
    <row r="38869" spans="1:6" x14ac:dyDescent="0.2">
      <c r="A38869" t="s">
        <v>59578</v>
      </c>
      <c r="B38869" t="s">
        <v>59579</v>
      </c>
      <c r="C38869" t="s">
        <v>600</v>
      </c>
      <c r="D38869" t="s">
        <v>56</v>
      </c>
      <c r="E38869" t="s">
        <v>246</v>
      </c>
      <c r="F38869" s="2" t="str">
        <f>HYPERLINK("http://www.otzar.org/book.asp?19173","קרבן פסח")</f>
        <v>קרבן פסח</v>
      </c>
    </row>
    <row r="38870" spans="1:6" x14ac:dyDescent="0.2">
      <c r="A38870" t="s">
        <v>59578</v>
      </c>
      <c r="B38870" t="s">
        <v>3292</v>
      </c>
      <c r="C38870" t="s">
        <v>725</v>
      </c>
      <c r="D38870" t="s">
        <v>27</v>
      </c>
      <c r="E38870" t="s">
        <v>246</v>
      </c>
      <c r="F38870" s="2" t="str">
        <f>HYPERLINK("http://www.otzar.org/book.asp?104773","קרבן פסח")</f>
        <v>קרבן פסח</v>
      </c>
    </row>
    <row r="38871" spans="1:6" x14ac:dyDescent="0.2">
      <c r="A38871" t="s">
        <v>59580</v>
      </c>
      <c r="B38871" t="s">
        <v>900</v>
      </c>
      <c r="C38871" t="s">
        <v>767</v>
      </c>
      <c r="D38871" t="s">
        <v>412</v>
      </c>
      <c r="E38871" t="s">
        <v>508</v>
      </c>
      <c r="F38871" s="2" t="str">
        <f>HYPERLINK("http://www.otzar.org/book.asp?85725","קרבן ציון")</f>
        <v>קרבן ציון</v>
      </c>
    </row>
    <row r="38872" spans="1:6" x14ac:dyDescent="0.2">
      <c r="A38872" t="s">
        <v>59581</v>
      </c>
      <c r="B38872" t="s">
        <v>59582</v>
      </c>
      <c r="C38872" t="s">
        <v>576</v>
      </c>
      <c r="D38872" t="s">
        <v>27</v>
      </c>
      <c r="E38872" t="s">
        <v>158</v>
      </c>
      <c r="F38872" s="2" t="str">
        <f>HYPERLINK("http://www.otzar.org/book.asp?149031","קרבן ראשית")</f>
        <v>קרבן ראשית</v>
      </c>
    </row>
    <row r="38873" spans="1:6" x14ac:dyDescent="0.2">
      <c r="A38873" t="s">
        <v>59583</v>
      </c>
      <c r="B38873" t="s">
        <v>1493</v>
      </c>
      <c r="C38873" t="s">
        <v>59584</v>
      </c>
      <c r="D38873" t="s">
        <v>59585</v>
      </c>
      <c r="F38873" s="2" t="str">
        <f>HYPERLINK("http://www.otzar.org/book.asp?621592","קרבן ראשית - 3 כר'")</f>
        <v>קרבן ראשית - 3 כר'</v>
      </c>
    </row>
    <row r="38874" spans="1:6" x14ac:dyDescent="0.2">
      <c r="A38874" t="s">
        <v>59586</v>
      </c>
      <c r="B38874" t="s">
        <v>43585</v>
      </c>
      <c r="C38874" t="s">
        <v>1519</v>
      </c>
      <c r="D38874" t="s">
        <v>59587</v>
      </c>
      <c r="E38874" t="s">
        <v>130</v>
      </c>
      <c r="F38874" s="2" t="str">
        <f>HYPERLINK("http://www.otzar.org/book.asp?196854","קרבן שבת - 3 כר'")</f>
        <v>קרבן שבת - 3 כר'</v>
      </c>
    </row>
    <row r="38875" spans="1:6" x14ac:dyDescent="0.2">
      <c r="A38875" t="s">
        <v>59588</v>
      </c>
      <c r="B38875" t="s">
        <v>44471</v>
      </c>
      <c r="C38875" t="s">
        <v>442</v>
      </c>
      <c r="D38875" t="s">
        <v>699</v>
      </c>
      <c r="E38875" t="s">
        <v>154</v>
      </c>
      <c r="F38875" s="2" t="str">
        <f>HYPERLINK("http://www.otzar.org/book.asp?101575","קרבן שמואל")</f>
        <v>קרבן שמואל</v>
      </c>
    </row>
    <row r="38876" spans="1:6" x14ac:dyDescent="0.2">
      <c r="A38876" t="s">
        <v>59589</v>
      </c>
      <c r="B38876" t="s">
        <v>49768</v>
      </c>
      <c r="C38876" t="s">
        <v>950</v>
      </c>
      <c r="D38876" t="s">
        <v>56</v>
      </c>
      <c r="E38876" t="s">
        <v>144</v>
      </c>
      <c r="F38876" s="2" t="str">
        <f>HYPERLINK("http://www.otzar.org/book.asp?20667","קרבן תודה")</f>
        <v>קרבן תודה</v>
      </c>
    </row>
    <row r="38877" spans="1:6" x14ac:dyDescent="0.2">
      <c r="A38877" t="s">
        <v>59589</v>
      </c>
      <c r="B38877" t="s">
        <v>59590</v>
      </c>
      <c r="C38877" t="s">
        <v>129</v>
      </c>
      <c r="D38877" t="s">
        <v>59591</v>
      </c>
      <c r="F38877" s="2" t="str">
        <f>HYPERLINK("http://www.otzar.org/book.asp?621470","קרבן תודה")</f>
        <v>קרבן תודה</v>
      </c>
    </row>
    <row r="38878" spans="1:6" x14ac:dyDescent="0.2">
      <c r="A38878" t="s">
        <v>59592</v>
      </c>
      <c r="B38878" t="s">
        <v>59593</v>
      </c>
      <c r="C38878" t="s">
        <v>411</v>
      </c>
      <c r="D38878" t="s">
        <v>21</v>
      </c>
      <c r="E38878" t="s">
        <v>144</v>
      </c>
      <c r="F38878" s="2" t="str">
        <f>HYPERLINK("http://www.otzar.org/book.asp?605256","קרבנות היום - יומא")</f>
        <v>קרבנות היום - יומא</v>
      </c>
    </row>
    <row r="38879" spans="1:6" x14ac:dyDescent="0.2">
      <c r="A38879" t="s">
        <v>59594</v>
      </c>
      <c r="B38879" t="s">
        <v>44873</v>
      </c>
      <c r="C38879" t="s">
        <v>14979</v>
      </c>
      <c r="D38879" t="s">
        <v>27</v>
      </c>
      <c r="E38879" t="s">
        <v>733</v>
      </c>
      <c r="F38879" s="2" t="str">
        <f>HYPERLINK("http://www.otzar.org/book.asp?151","קרבני לחמי &lt;ייני עם חלבי&gt; - א")</f>
        <v>קרבני לחמי &lt;ייני עם חלבי&gt; - א</v>
      </c>
    </row>
    <row r="38880" spans="1:6" x14ac:dyDescent="0.2">
      <c r="A38880" t="s">
        <v>59595</v>
      </c>
      <c r="B38880" t="s">
        <v>59595</v>
      </c>
      <c r="C38880" t="s">
        <v>176</v>
      </c>
      <c r="D38880" t="s">
        <v>21</v>
      </c>
      <c r="E38880" t="s">
        <v>241</v>
      </c>
      <c r="F38880" s="2" t="str">
        <f>HYPERLINK("http://www.otzar.org/book.asp?600310","קרבת ה'")</f>
        <v>קרבת ה'</v>
      </c>
    </row>
    <row r="38881" spans="1:6" x14ac:dyDescent="0.2">
      <c r="A38881" t="s">
        <v>59596</v>
      </c>
      <c r="B38881" t="s">
        <v>59597</v>
      </c>
      <c r="C38881" t="s">
        <v>3709</v>
      </c>
      <c r="D38881" t="s">
        <v>51737</v>
      </c>
      <c r="F38881" s="2" t="str">
        <f>HYPERLINK("http://www.otzar.org/book.asp?53800","קרה מקרה")</f>
        <v>קרה מקרה</v>
      </c>
    </row>
    <row r="38882" spans="1:6" x14ac:dyDescent="0.2">
      <c r="A38882" t="s">
        <v>59598</v>
      </c>
      <c r="B38882" t="s">
        <v>41190</v>
      </c>
      <c r="C38882" t="s">
        <v>244</v>
      </c>
      <c r="D38882" t="s">
        <v>21</v>
      </c>
      <c r="E38882" t="s">
        <v>246</v>
      </c>
      <c r="F38882" s="2" t="str">
        <f>HYPERLINK("http://www.otzar.org/book.asp?199618","קרואי מועד - 6 כר'")</f>
        <v>קרואי מועד - 6 כר'</v>
      </c>
    </row>
    <row r="38883" spans="1:6" x14ac:dyDescent="0.2">
      <c r="A38883" t="s">
        <v>59599</v>
      </c>
      <c r="B38883" t="s">
        <v>59600</v>
      </c>
      <c r="C38883" t="s">
        <v>523</v>
      </c>
      <c r="D38883" t="s">
        <v>52</v>
      </c>
      <c r="E38883" t="s">
        <v>4022</v>
      </c>
      <c r="F38883" s="2" t="str">
        <f>HYPERLINK("http://www.otzar.org/book.asp?165850","קרואי מועד")</f>
        <v>קרואי מועד</v>
      </c>
    </row>
    <row r="38884" spans="1:6" x14ac:dyDescent="0.2">
      <c r="A38884" t="s">
        <v>59599</v>
      </c>
      <c r="B38884" t="s">
        <v>59599</v>
      </c>
      <c r="C38884" t="s">
        <v>624</v>
      </c>
      <c r="D38884" t="s">
        <v>52</v>
      </c>
      <c r="E38884" t="s">
        <v>4163</v>
      </c>
      <c r="F38884" s="2" t="str">
        <f>HYPERLINK("http://www.otzar.org/book.asp?17437","קרואי מועד")</f>
        <v>קרואי מועד</v>
      </c>
    </row>
    <row r="38885" spans="1:6" x14ac:dyDescent="0.2">
      <c r="A38885" t="s">
        <v>59601</v>
      </c>
      <c r="B38885" t="s">
        <v>59602</v>
      </c>
      <c r="C38885" t="s">
        <v>111</v>
      </c>
      <c r="D38885" t="s">
        <v>14</v>
      </c>
      <c r="E38885" t="s">
        <v>241</v>
      </c>
      <c r="F38885" s="2" t="str">
        <f>HYPERLINK("http://www.otzar.org/book.asp?629845","קרוב אליך ה'")</f>
        <v>קרוב אליך ה'</v>
      </c>
    </row>
    <row r="38886" spans="1:6" x14ac:dyDescent="0.2">
      <c r="A38886" t="s">
        <v>59603</v>
      </c>
      <c r="B38886" t="s">
        <v>11725</v>
      </c>
      <c r="C38886" t="s">
        <v>1470</v>
      </c>
      <c r="D38886" t="s">
        <v>1889</v>
      </c>
      <c r="E38886" t="s">
        <v>219</v>
      </c>
      <c r="F38886" s="2" t="str">
        <f>HYPERLINK("http://www.otzar.org/book.asp?156037","קרוב""ץ")</f>
        <v>קרוב"ץ</v>
      </c>
    </row>
    <row r="38887" spans="1:6" x14ac:dyDescent="0.2">
      <c r="A38887" t="s">
        <v>59604</v>
      </c>
      <c r="B38887" t="s">
        <v>36719</v>
      </c>
      <c r="C38887" t="s">
        <v>3475</v>
      </c>
      <c r="D38887" t="s">
        <v>2373</v>
      </c>
      <c r="E38887" t="s">
        <v>246</v>
      </c>
      <c r="F38887" s="2" t="str">
        <f>HYPERLINK("http://www.otzar.org/book.asp?169185","קרובות &lt;לשבועות&gt; עם ביאור ותרגום אשכנזי")</f>
        <v>קרובות &lt;לשבועות&gt; עם ביאור ותרגום אשכנזי</v>
      </c>
    </row>
    <row r="38888" spans="1:6" x14ac:dyDescent="0.2">
      <c r="A38888" t="s">
        <v>59605</v>
      </c>
      <c r="B38888" t="s">
        <v>59606</v>
      </c>
      <c r="C38888" t="s">
        <v>473</v>
      </c>
      <c r="D38888" t="s">
        <v>283</v>
      </c>
      <c r="E38888" t="s">
        <v>119</v>
      </c>
      <c r="F38888" s="2" t="str">
        <f>HYPERLINK("http://www.otzar.org/book.asp?619","קרות היהודים ברומא")</f>
        <v>קרות היהודים ברומא</v>
      </c>
    </row>
    <row r="38889" spans="1:6" x14ac:dyDescent="0.2">
      <c r="A38889" t="s">
        <v>59607</v>
      </c>
      <c r="B38889" t="s">
        <v>31343</v>
      </c>
      <c r="C38889" t="s">
        <v>111</v>
      </c>
      <c r="D38889" t="s">
        <v>52</v>
      </c>
      <c r="F38889" s="2" t="str">
        <f>HYPERLINK("http://www.otzar.org/book.asp?621925","קרי וכתיב")</f>
        <v>קרי וכתיב</v>
      </c>
    </row>
    <row r="38890" spans="1:6" x14ac:dyDescent="0.2">
      <c r="A38890" t="s">
        <v>59608</v>
      </c>
      <c r="B38890" t="s">
        <v>59609</v>
      </c>
      <c r="C38890" t="s">
        <v>454</v>
      </c>
      <c r="D38890" t="s">
        <v>14</v>
      </c>
      <c r="E38890" t="s">
        <v>564</v>
      </c>
      <c r="F38890" s="2" t="str">
        <f>HYPERLINK("http://www.otzar.org/book.asp?26385","קריאה בקריה - 3 כר'")</f>
        <v>קריאה בקריה - 3 כר'</v>
      </c>
    </row>
    <row r="38891" spans="1:6" x14ac:dyDescent="0.2">
      <c r="A38891" t="s">
        <v>59610</v>
      </c>
      <c r="B38891" t="s">
        <v>15733</v>
      </c>
      <c r="C38891" t="s">
        <v>103</v>
      </c>
      <c r="D38891" t="s">
        <v>21</v>
      </c>
      <c r="E38891" t="s">
        <v>15</v>
      </c>
      <c r="F38891" s="2" t="str">
        <f>HYPERLINK("http://www.otzar.org/book.asp?192886","קריאה הקדושה &lt;מהדורה חדשה&gt;")</f>
        <v>קריאה הקדושה &lt;מהדורה חדשה&gt;</v>
      </c>
    </row>
    <row r="38892" spans="1:6" x14ac:dyDescent="0.2">
      <c r="A38892" t="s">
        <v>59611</v>
      </c>
      <c r="B38892" t="s">
        <v>5667</v>
      </c>
      <c r="C38892" t="s">
        <v>2105</v>
      </c>
      <c r="D38892" t="s">
        <v>9</v>
      </c>
      <c r="E38892" t="s">
        <v>15</v>
      </c>
      <c r="F38892" s="2" t="str">
        <f>HYPERLINK("http://www.otzar.org/book.asp?174544","קריאה הקדושה")</f>
        <v>קריאה הקדושה</v>
      </c>
    </row>
    <row r="38893" spans="1:6" x14ac:dyDescent="0.2">
      <c r="A38893" t="s">
        <v>59612</v>
      </c>
      <c r="B38893" t="s">
        <v>39924</v>
      </c>
      <c r="C38893" t="s">
        <v>2672</v>
      </c>
      <c r="D38893" t="s">
        <v>49</v>
      </c>
      <c r="E38893" t="s">
        <v>31</v>
      </c>
      <c r="F38893" s="2" t="str">
        <f>HYPERLINK("http://www.otzar.org/book.asp?102212","קריאה נאמנה")</f>
        <v>קריאה נאמנה</v>
      </c>
    </row>
    <row r="38894" spans="1:6" x14ac:dyDescent="0.2">
      <c r="A38894" t="s">
        <v>59613</v>
      </c>
      <c r="B38894" t="s">
        <v>59609</v>
      </c>
      <c r="C38894" t="s">
        <v>111</v>
      </c>
      <c r="D38894" t="s">
        <v>21</v>
      </c>
      <c r="F38894" s="2" t="str">
        <f>HYPERLINK("http://www.otzar.org/book.asp?621955","קריאה של חיבה")</f>
        <v>קריאה של חיבה</v>
      </c>
    </row>
    <row r="38895" spans="1:6" x14ac:dyDescent="0.2">
      <c r="A38895" t="s">
        <v>59614</v>
      </c>
      <c r="B38895" t="s">
        <v>11324</v>
      </c>
      <c r="C38895" t="s">
        <v>176</v>
      </c>
      <c r="D38895" t="s">
        <v>14</v>
      </c>
      <c r="E38895" t="s">
        <v>467</v>
      </c>
      <c r="F38895" s="2" t="str">
        <f>HYPERLINK("http://www.otzar.org/book.asp?61256","קריאי מועד")</f>
        <v>קריאי מועד</v>
      </c>
    </row>
    <row r="38896" spans="1:6" x14ac:dyDescent="0.2">
      <c r="A38896" t="s">
        <v>59614</v>
      </c>
      <c r="B38896" t="s">
        <v>59615</v>
      </c>
      <c r="C38896" t="s">
        <v>600</v>
      </c>
      <c r="D38896" t="s">
        <v>1459</v>
      </c>
      <c r="E38896" t="s">
        <v>1517</v>
      </c>
      <c r="F38896" s="2" t="str">
        <f>HYPERLINK("http://www.otzar.org/book.asp?156540","קריאי מועד")</f>
        <v>קריאי מועד</v>
      </c>
    </row>
    <row r="38897" spans="1:6" x14ac:dyDescent="0.2">
      <c r="A38897" t="s">
        <v>59614</v>
      </c>
      <c r="B38897" t="s">
        <v>59616</v>
      </c>
      <c r="C38897" t="s">
        <v>75</v>
      </c>
      <c r="D38897" t="s">
        <v>1459</v>
      </c>
      <c r="E38897" t="s">
        <v>219</v>
      </c>
      <c r="F38897" s="2" t="str">
        <f>HYPERLINK("http://www.otzar.org/book.asp?105892","קריאי מועד")</f>
        <v>קריאי מועד</v>
      </c>
    </row>
    <row r="38898" spans="1:6" x14ac:dyDescent="0.2">
      <c r="A38898" t="s">
        <v>59614</v>
      </c>
      <c r="B38898" t="s">
        <v>59617</v>
      </c>
      <c r="C38898" t="s">
        <v>1706</v>
      </c>
      <c r="D38898" t="s">
        <v>212</v>
      </c>
      <c r="E38898" t="s">
        <v>219</v>
      </c>
      <c r="F38898" s="2" t="str">
        <f>HYPERLINK("http://www.otzar.org/book.asp?105891","קריאי מועד")</f>
        <v>קריאי מועד</v>
      </c>
    </row>
    <row r="38899" spans="1:6" x14ac:dyDescent="0.2">
      <c r="A38899" t="s">
        <v>59614</v>
      </c>
      <c r="B38899" t="s">
        <v>59618</v>
      </c>
      <c r="C38899" t="s">
        <v>576</v>
      </c>
      <c r="D38899" t="s">
        <v>22797</v>
      </c>
      <c r="F38899" s="2" t="str">
        <f>HYPERLINK("http://www.otzar.org/book.asp?613268","קריאי מועד")</f>
        <v>קריאי מועד</v>
      </c>
    </row>
    <row r="38900" spans="1:6" x14ac:dyDescent="0.2">
      <c r="A38900" t="s">
        <v>59614</v>
      </c>
      <c r="B38900" t="s">
        <v>59619</v>
      </c>
      <c r="C38900" t="s">
        <v>411</v>
      </c>
      <c r="D38900" t="s">
        <v>52</v>
      </c>
      <c r="E38900" t="s">
        <v>1517</v>
      </c>
      <c r="F38900" s="2" t="str">
        <f>HYPERLINK("http://www.otzar.org/book.asp?167661","קריאי מועד")</f>
        <v>קריאי מועד</v>
      </c>
    </row>
    <row r="38901" spans="1:6" x14ac:dyDescent="0.2">
      <c r="A38901" t="s">
        <v>59614</v>
      </c>
      <c r="B38901" t="s">
        <v>59620</v>
      </c>
      <c r="C38901" t="s">
        <v>1609</v>
      </c>
      <c r="D38901" t="s">
        <v>14</v>
      </c>
      <c r="E38901" t="s">
        <v>1517</v>
      </c>
      <c r="F38901" s="2" t="str">
        <f>HYPERLINK("http://www.otzar.org/book.asp?148945","קריאי מועד")</f>
        <v>קריאי מועד</v>
      </c>
    </row>
    <row r="38902" spans="1:6" x14ac:dyDescent="0.2">
      <c r="A38902" t="s">
        <v>59621</v>
      </c>
      <c r="B38902" t="s">
        <v>59622</v>
      </c>
      <c r="C38902" t="s">
        <v>775</v>
      </c>
      <c r="D38902" t="s">
        <v>14</v>
      </c>
      <c r="E38902" t="s">
        <v>674</v>
      </c>
      <c r="F38902" s="2" t="str">
        <f>HYPERLINK("http://www.otzar.org/book.asp?105766","קריאת התורה כהלכתה")</f>
        <v>קריאת התורה כהלכתה</v>
      </c>
    </row>
    <row r="38903" spans="1:6" x14ac:dyDescent="0.2">
      <c r="A38903" t="s">
        <v>59623</v>
      </c>
      <c r="B38903" t="s">
        <v>39605</v>
      </c>
      <c r="C38903" t="s">
        <v>1019</v>
      </c>
      <c r="D38903" t="s">
        <v>280</v>
      </c>
      <c r="E38903" t="s">
        <v>104</v>
      </c>
      <c r="F38903" s="2" t="str">
        <f>HYPERLINK("http://www.otzar.org/book.asp?189364","קריאת התורה")</f>
        <v>קריאת התורה</v>
      </c>
    </row>
    <row r="38904" spans="1:6" x14ac:dyDescent="0.2">
      <c r="A38904" t="s">
        <v>59624</v>
      </c>
      <c r="B38904" t="s">
        <v>9883</v>
      </c>
      <c r="C38904" t="s">
        <v>103</v>
      </c>
      <c r="D38904" t="s">
        <v>14</v>
      </c>
      <c r="E38904" t="s">
        <v>158</v>
      </c>
      <c r="F38904" s="2" t="str">
        <f>HYPERLINK("http://www.otzar.org/book.asp?172888","קריאת ספר &lt;מהדורה חדשה&gt; - 3 כר'")</f>
        <v>קריאת ספר &lt;מהדורה חדשה&gt; - 3 כר'</v>
      </c>
    </row>
    <row r="38905" spans="1:6" x14ac:dyDescent="0.2">
      <c r="A38905" t="s">
        <v>59625</v>
      </c>
      <c r="B38905" t="s">
        <v>9883</v>
      </c>
      <c r="C38905" t="s">
        <v>427</v>
      </c>
      <c r="D38905" t="s">
        <v>14</v>
      </c>
      <c r="E38905" t="s">
        <v>158</v>
      </c>
      <c r="F38905" s="2" t="str">
        <f>HYPERLINK("http://www.otzar.org/book.asp?158912","קריאת ספר - 2 כר'")</f>
        <v>קריאת ספר - 2 כר'</v>
      </c>
    </row>
    <row r="38906" spans="1:6" x14ac:dyDescent="0.2">
      <c r="A38906" t="s">
        <v>59626</v>
      </c>
      <c r="B38906" t="s">
        <v>59627</v>
      </c>
      <c r="C38906" t="s">
        <v>129</v>
      </c>
      <c r="D38906" t="s">
        <v>52</v>
      </c>
      <c r="E38906" t="s">
        <v>144</v>
      </c>
      <c r="F38906" s="2" t="str">
        <f>HYPERLINK("http://www.otzar.org/book.asp?161205","קריאת עונג - 2 כר'")</f>
        <v>קריאת עונג - 2 כר'</v>
      </c>
    </row>
    <row r="38907" spans="1:6" x14ac:dyDescent="0.2">
      <c r="A38907" t="s">
        <v>59628</v>
      </c>
      <c r="B38907" t="s">
        <v>3768</v>
      </c>
      <c r="C38907" t="s">
        <v>20</v>
      </c>
      <c r="D38907" t="s">
        <v>90</v>
      </c>
      <c r="E38907" t="s">
        <v>130</v>
      </c>
      <c r="F38907" s="2" t="str">
        <f>HYPERLINK("http://www.otzar.org/book.asp?160805","קריאת עתונים בשבת ויו""ט")</f>
        <v>קריאת עתונים בשבת ויו"ט</v>
      </c>
    </row>
    <row r="38908" spans="1:6" x14ac:dyDescent="0.2">
      <c r="A38908" t="s">
        <v>59629</v>
      </c>
      <c r="B38908" t="s">
        <v>20935</v>
      </c>
      <c r="C38908" t="s">
        <v>114</v>
      </c>
      <c r="D38908" t="s">
        <v>14</v>
      </c>
      <c r="E38908" t="s">
        <v>130</v>
      </c>
      <c r="F38908" s="2" t="str">
        <f>HYPERLINK("http://www.otzar.org/book.asp?179706","קריאת שמו""ת והלכותיה")</f>
        <v>קריאת שמו"ת והלכותיה</v>
      </c>
    </row>
    <row r="38909" spans="1:6" x14ac:dyDescent="0.2">
      <c r="A38909" t="s">
        <v>59630</v>
      </c>
      <c r="B38909" t="s">
        <v>59631</v>
      </c>
      <c r="C38909" t="s">
        <v>13</v>
      </c>
      <c r="D38909" t="s">
        <v>1974</v>
      </c>
      <c r="E38909" t="s">
        <v>15</v>
      </c>
      <c r="F38909" s="2" t="str">
        <f>HYPERLINK("http://www.otzar.org/book.asp?176972","קריאת שמע")</f>
        <v>קריאת שמע</v>
      </c>
    </row>
    <row r="38910" spans="1:6" x14ac:dyDescent="0.2">
      <c r="A38910" t="s">
        <v>59632</v>
      </c>
      <c r="B38910" t="s">
        <v>59633</v>
      </c>
      <c r="C38910" t="s">
        <v>59634</v>
      </c>
      <c r="D38910" t="s">
        <v>16023</v>
      </c>
      <c r="E38910" t="s">
        <v>10</v>
      </c>
      <c r="F38910" s="2" t="str">
        <f>HYPERLINK("http://www.otzar.org/book.asp?20970","קריה הנאמנה - 2 כר'")</f>
        <v>קריה הנאמנה - 2 כר'</v>
      </c>
    </row>
    <row r="38911" spans="1:6" x14ac:dyDescent="0.2">
      <c r="A38911" t="s">
        <v>59635</v>
      </c>
      <c r="B38911" t="s">
        <v>5267</v>
      </c>
      <c r="C38911" t="s">
        <v>422</v>
      </c>
      <c r="D38911" t="s">
        <v>14</v>
      </c>
      <c r="E38911" t="s">
        <v>234</v>
      </c>
      <c r="F38911" s="2" t="str">
        <f>HYPERLINK("http://www.otzar.org/book.asp?170719","קריה נאמנה &lt;מהדורה חדשה&gt;")</f>
        <v>קריה נאמנה &lt;מהדורה חדשה&gt;</v>
      </c>
    </row>
    <row r="38912" spans="1:6" x14ac:dyDescent="0.2">
      <c r="A38912" t="s">
        <v>59636</v>
      </c>
      <c r="B38912" t="s">
        <v>5267</v>
      </c>
      <c r="C38912" t="s">
        <v>163</v>
      </c>
      <c r="D38912" t="s">
        <v>1459</v>
      </c>
      <c r="E38912" t="s">
        <v>234</v>
      </c>
      <c r="F38912" s="2" t="str">
        <f>HYPERLINK("http://www.otzar.org/book.asp?102213","קריה נאמנה")</f>
        <v>קריה נאמנה</v>
      </c>
    </row>
    <row r="38913" spans="1:6" x14ac:dyDescent="0.2">
      <c r="A38913" t="s">
        <v>59637</v>
      </c>
      <c r="B38913" t="s">
        <v>59638</v>
      </c>
      <c r="C38913" t="s">
        <v>24554</v>
      </c>
      <c r="D38913" t="s">
        <v>1365</v>
      </c>
      <c r="F38913" s="2" t="str">
        <f>HYPERLINK("http://www.otzar.org/book.asp?621151","קריה נאמנה - 2 כר'")</f>
        <v>קריה נאמנה - 2 כר'</v>
      </c>
    </row>
    <row r="38914" spans="1:6" x14ac:dyDescent="0.2">
      <c r="A38914" t="s">
        <v>59639</v>
      </c>
      <c r="B38914" t="s">
        <v>59640</v>
      </c>
      <c r="C38914" t="s">
        <v>624</v>
      </c>
      <c r="D38914" t="s">
        <v>657</v>
      </c>
      <c r="E38914" t="s">
        <v>202</v>
      </c>
      <c r="F38914" s="2" t="str">
        <f>HYPERLINK("http://www.otzar.org/book.asp?169013","קריה נאמנה - י")</f>
        <v>קריה נאמנה - י</v>
      </c>
    </row>
    <row r="38915" spans="1:6" x14ac:dyDescent="0.2">
      <c r="A38915" t="s">
        <v>59641</v>
      </c>
      <c r="B38915" t="s">
        <v>7075</v>
      </c>
      <c r="C38915" t="s">
        <v>888</v>
      </c>
      <c r="D38915" t="s">
        <v>1117</v>
      </c>
      <c r="E38915" t="s">
        <v>3567</v>
      </c>
      <c r="F38915" s="2" t="str">
        <f>HYPERLINK("http://www.otzar.org/book.asp?100600","קריה נשגבה")</f>
        <v>קריה נשגבה</v>
      </c>
    </row>
    <row r="38916" spans="1:6" x14ac:dyDescent="0.2">
      <c r="A38916" t="s">
        <v>59642</v>
      </c>
      <c r="B38916" t="s">
        <v>5355</v>
      </c>
      <c r="C38916" t="s">
        <v>114</v>
      </c>
      <c r="D38916" t="s">
        <v>52</v>
      </c>
      <c r="E38916" t="s">
        <v>104</v>
      </c>
      <c r="F38916" s="2" t="str">
        <f>HYPERLINK("http://www.otzar.org/book.asp?162777","קריינא דאגרתא &lt;מהדורה חדשה&gt; - 3 כר'")</f>
        <v>קריינא דאגרתא &lt;מהדורה חדשה&gt; - 3 כר'</v>
      </c>
    </row>
    <row r="38917" spans="1:6" x14ac:dyDescent="0.2">
      <c r="A38917" t="s">
        <v>59643</v>
      </c>
      <c r="B38917" t="s">
        <v>5355</v>
      </c>
      <c r="C38917" t="s">
        <v>940</v>
      </c>
      <c r="D38917" t="s">
        <v>52</v>
      </c>
      <c r="E38917" t="s">
        <v>213</v>
      </c>
      <c r="F38917" s="2" t="str">
        <f>HYPERLINK("http://www.otzar.org/book.asp?142235","קריינא דאגרתא - 2 כר'")</f>
        <v>קריינא דאגרתא - 2 כר'</v>
      </c>
    </row>
    <row r="38918" spans="1:6" x14ac:dyDescent="0.2">
      <c r="A38918" t="s">
        <v>59644</v>
      </c>
      <c r="B38918" t="s">
        <v>59645</v>
      </c>
      <c r="C38918" t="s">
        <v>20</v>
      </c>
      <c r="D38918" t="s">
        <v>27</v>
      </c>
      <c r="E38918" t="s">
        <v>579</v>
      </c>
      <c r="F38918" s="2" t="str">
        <f>HYPERLINK("http://www.otzar.org/book.asp?615945","קרית ארבע &lt;מהדורה חדשה&gt;")</f>
        <v>קרית ארבע &lt;מהדורה חדשה&gt;</v>
      </c>
    </row>
    <row r="38919" spans="1:6" x14ac:dyDescent="0.2">
      <c r="A38919" t="s">
        <v>18218</v>
      </c>
      <c r="B38919" t="s">
        <v>59646</v>
      </c>
      <c r="C38919" t="s">
        <v>1124</v>
      </c>
      <c r="D38919" t="s">
        <v>1188</v>
      </c>
      <c r="E38919" t="s">
        <v>295</v>
      </c>
      <c r="F38919" s="2" t="str">
        <f>HYPERLINK("http://www.otzar.org/book.asp?16058","קרית ארבע")</f>
        <v>קרית ארבע</v>
      </c>
    </row>
    <row r="38920" spans="1:6" x14ac:dyDescent="0.2">
      <c r="A38920" t="s">
        <v>18218</v>
      </c>
      <c r="B38920" t="s">
        <v>59647</v>
      </c>
      <c r="C38920" t="s">
        <v>1885</v>
      </c>
      <c r="D38920" t="s">
        <v>889</v>
      </c>
      <c r="E38920" t="s">
        <v>158</v>
      </c>
      <c r="F38920" s="2" t="str">
        <f>HYPERLINK("http://www.otzar.org/book.asp?103262","קרית ארבע")</f>
        <v>קרית ארבע</v>
      </c>
    </row>
    <row r="38921" spans="1:6" x14ac:dyDescent="0.2">
      <c r="A38921" t="s">
        <v>18218</v>
      </c>
      <c r="B38921" t="s">
        <v>2663</v>
      </c>
      <c r="C38921" t="s">
        <v>1811</v>
      </c>
      <c r="D38921" t="s">
        <v>52</v>
      </c>
      <c r="E38921" t="s">
        <v>384</v>
      </c>
      <c r="F38921" s="2" t="str">
        <f>HYPERLINK("http://www.otzar.org/book.asp?143883","קרית ארבע")</f>
        <v>קרית ארבע</v>
      </c>
    </row>
    <row r="38922" spans="1:6" x14ac:dyDescent="0.2">
      <c r="A38922" t="s">
        <v>59648</v>
      </c>
      <c r="B38922" t="s">
        <v>59645</v>
      </c>
      <c r="C38922" t="s">
        <v>23</v>
      </c>
      <c r="D38922" t="s">
        <v>2798</v>
      </c>
      <c r="E38922" t="s">
        <v>230</v>
      </c>
      <c r="F38922" s="2" t="str">
        <f>HYPERLINK("http://www.otzar.org/book.asp?624862","קרית ארבע - 2 כר'")</f>
        <v>קרית ארבע - 2 כר'</v>
      </c>
    </row>
    <row r="38923" spans="1:6" x14ac:dyDescent="0.2">
      <c r="A38923" t="s">
        <v>18218</v>
      </c>
      <c r="B38923" t="s">
        <v>59649</v>
      </c>
      <c r="C38923" t="s">
        <v>1640</v>
      </c>
      <c r="D38923" t="s">
        <v>14</v>
      </c>
      <c r="E38923" t="s">
        <v>158</v>
      </c>
      <c r="F38923" s="2" t="str">
        <f>HYPERLINK("http://www.otzar.org/book.asp?166228","קרית ארבע")</f>
        <v>קרית ארבע</v>
      </c>
    </row>
    <row r="38924" spans="1:6" x14ac:dyDescent="0.2">
      <c r="A38924" t="s">
        <v>59650</v>
      </c>
      <c r="B38924" t="s">
        <v>59651</v>
      </c>
      <c r="C38924" t="s">
        <v>33718</v>
      </c>
      <c r="D38924" t="s">
        <v>21</v>
      </c>
      <c r="E38924" t="s">
        <v>38723</v>
      </c>
      <c r="F38924" s="2" t="str">
        <f>HYPERLINK("http://www.otzar.org/book.asp?196183","קרית ארבע - אבן שלמה- אלפי מנשה - פשר דבר ושקל הקודש - מנחם ציון")</f>
        <v>קרית ארבע - אבן שלמה- אלפי מנשה - פשר דבר ושקל הקודש - מנחם ציון</v>
      </c>
    </row>
    <row r="38925" spans="1:6" x14ac:dyDescent="0.2">
      <c r="A38925" t="s">
        <v>59652</v>
      </c>
      <c r="B38925" t="s">
        <v>6962</v>
      </c>
      <c r="C38925" t="s">
        <v>624</v>
      </c>
      <c r="D38925" t="s">
        <v>52</v>
      </c>
      <c r="E38925" t="s">
        <v>29979</v>
      </c>
      <c r="F38925" s="2" t="str">
        <f>HYPERLINK("http://www.otzar.org/book.asp?50676","קרית אריאל")</f>
        <v>קרית אריאל</v>
      </c>
    </row>
    <row r="38926" spans="1:6" x14ac:dyDescent="0.2">
      <c r="A38926" t="s">
        <v>59653</v>
      </c>
      <c r="B38926" t="s">
        <v>35483</v>
      </c>
      <c r="C38926" t="s">
        <v>99</v>
      </c>
      <c r="D38926" t="s">
        <v>3592</v>
      </c>
      <c r="E38926" t="s">
        <v>4738</v>
      </c>
      <c r="F38926" s="2" t="str">
        <f>HYPERLINK("http://www.otzar.org/book.asp?171004","קרית חנ""א")</f>
        <v>קרית חנ"א</v>
      </c>
    </row>
    <row r="38927" spans="1:6" x14ac:dyDescent="0.2">
      <c r="A38927" t="s">
        <v>59654</v>
      </c>
      <c r="B38927" t="s">
        <v>6370</v>
      </c>
      <c r="C38927" t="s">
        <v>26</v>
      </c>
      <c r="D38927" t="s">
        <v>646</v>
      </c>
      <c r="E38927" t="s">
        <v>230</v>
      </c>
      <c r="F38927" s="2" t="str">
        <f>HYPERLINK("http://www.otzar.org/book.asp?181254","קרית חנה דוד")</f>
        <v>קרית חנה דוד</v>
      </c>
    </row>
    <row r="38928" spans="1:6" x14ac:dyDescent="0.2">
      <c r="A38928" t="s">
        <v>59655</v>
      </c>
      <c r="B38928" t="s">
        <v>33269</v>
      </c>
      <c r="C38928" t="s">
        <v>3017</v>
      </c>
      <c r="D38928" t="s">
        <v>27</v>
      </c>
      <c r="E38928" t="s">
        <v>154</v>
      </c>
      <c r="F38928" s="2" t="str">
        <f>HYPERLINK("http://www.otzar.org/book.asp?102641","קרית חנה דוד - 2 כר'")</f>
        <v>קרית חנה דוד - 2 כר'</v>
      </c>
    </row>
    <row r="38929" spans="1:6" x14ac:dyDescent="0.2">
      <c r="A38929" t="s">
        <v>59654</v>
      </c>
      <c r="B38929" t="s">
        <v>59656</v>
      </c>
      <c r="C38929" t="s">
        <v>1160</v>
      </c>
      <c r="D38929" t="s">
        <v>412</v>
      </c>
      <c r="E38929" t="s">
        <v>2509</v>
      </c>
      <c r="F38929" s="2" t="str">
        <f>HYPERLINK("http://www.otzar.org/book.asp?106786","קרית חנה דוד")</f>
        <v>קרית חנה דוד</v>
      </c>
    </row>
    <row r="38930" spans="1:6" x14ac:dyDescent="0.2">
      <c r="A38930" t="s">
        <v>59657</v>
      </c>
      <c r="B38930" t="s">
        <v>59658</v>
      </c>
      <c r="C38930" t="s">
        <v>5277</v>
      </c>
      <c r="D38930" t="s">
        <v>744</v>
      </c>
      <c r="F38930" s="2" t="str">
        <f>HYPERLINK("http://www.otzar.org/book.asp?198297","קרית חנה - 2 כר'")</f>
        <v>קרית חנה - 2 כר'</v>
      </c>
    </row>
    <row r="38931" spans="1:6" x14ac:dyDescent="0.2">
      <c r="A38931" t="s">
        <v>59659</v>
      </c>
      <c r="B38931" t="s">
        <v>59660</v>
      </c>
      <c r="C38931" t="s">
        <v>1524</v>
      </c>
      <c r="D38931" t="s">
        <v>1516</v>
      </c>
      <c r="E38931" t="s">
        <v>154</v>
      </c>
      <c r="F38931" s="2" t="str">
        <f>HYPERLINK("http://www.otzar.org/book.asp?20666","קרית חנה")</f>
        <v>קרית חנה</v>
      </c>
    </row>
    <row r="38932" spans="1:6" x14ac:dyDescent="0.2">
      <c r="A38932" t="s">
        <v>59661</v>
      </c>
      <c r="B38932" t="s">
        <v>59662</v>
      </c>
      <c r="C38932" t="s">
        <v>146</v>
      </c>
      <c r="D38932" t="s">
        <v>134</v>
      </c>
      <c r="F38932" s="2" t="str">
        <f>HYPERLINK("http://www.otzar.org/book.asp?169592","קרית מלך רב &lt;מכון משנת רבי אהרן&gt; - 2 כר'")</f>
        <v>קרית מלך רב &lt;מכון משנת רבי אהרן&gt; - 2 כר'</v>
      </c>
    </row>
    <row r="38933" spans="1:6" x14ac:dyDescent="0.2">
      <c r="A38933" t="s">
        <v>59663</v>
      </c>
      <c r="B38933" t="s">
        <v>59662</v>
      </c>
      <c r="C38933" t="s">
        <v>59664</v>
      </c>
      <c r="D38933" t="s">
        <v>1490</v>
      </c>
      <c r="E38933" t="s">
        <v>10</v>
      </c>
      <c r="F38933" s="2" t="str">
        <f>HYPERLINK("http://www.otzar.org/book.asp?8962","קרית מלך רב - 2 כר'")</f>
        <v>קרית מלך רב - 2 כר'</v>
      </c>
    </row>
    <row r="38934" spans="1:6" x14ac:dyDescent="0.2">
      <c r="A38934" t="s">
        <v>59665</v>
      </c>
      <c r="B38934" t="s">
        <v>59666</v>
      </c>
      <c r="C38934" t="s">
        <v>313</v>
      </c>
      <c r="D38934" t="s">
        <v>14</v>
      </c>
      <c r="E38934" t="s">
        <v>202</v>
      </c>
      <c r="F38934" s="2" t="str">
        <f>HYPERLINK("http://www.otzar.org/book.asp?163478","קרית מלך - 14 כר'")</f>
        <v>קרית מלך - 14 כר'</v>
      </c>
    </row>
    <row r="38935" spans="1:6" x14ac:dyDescent="0.2">
      <c r="A38935" t="s">
        <v>59667</v>
      </c>
      <c r="B38935" t="s">
        <v>59668</v>
      </c>
      <c r="C38935" t="s">
        <v>422</v>
      </c>
      <c r="D38935" t="s">
        <v>14</v>
      </c>
      <c r="E38935" t="s">
        <v>202</v>
      </c>
      <c r="F38935" s="2" t="str">
        <f>HYPERLINK("http://www.otzar.org/book.asp?161219","קרית מלך - 2 כר'")</f>
        <v>קרית מלך - 2 כר'</v>
      </c>
    </row>
    <row r="38936" spans="1:6" x14ac:dyDescent="0.2">
      <c r="A38936" t="s">
        <v>59669</v>
      </c>
      <c r="B38936" t="s">
        <v>7604</v>
      </c>
      <c r="C38936" t="s">
        <v>533</v>
      </c>
      <c r="D38936" t="s">
        <v>52</v>
      </c>
      <c r="E38936" t="s">
        <v>15</v>
      </c>
      <c r="F38936" s="2" t="str">
        <f>HYPERLINK("http://www.otzar.org/book.asp?106410","קרית מלך")</f>
        <v>קרית מלך</v>
      </c>
    </row>
    <row r="38937" spans="1:6" x14ac:dyDescent="0.2">
      <c r="A38937" t="s">
        <v>59670</v>
      </c>
      <c r="B38937" t="s">
        <v>1440</v>
      </c>
      <c r="C38937" t="s">
        <v>15262</v>
      </c>
      <c r="D38937" t="s">
        <v>49</v>
      </c>
      <c r="E38937" t="s">
        <v>15</v>
      </c>
      <c r="F38937" s="2" t="str">
        <f>HYPERLINK("http://www.otzar.org/book.asp?53560","קרית ספר &lt;דפו""ר&gt;")</f>
        <v>קרית ספר &lt;דפו"ר&gt;</v>
      </c>
    </row>
    <row r="38938" spans="1:6" x14ac:dyDescent="0.2">
      <c r="A38938" t="s">
        <v>59671</v>
      </c>
      <c r="B38938" t="s">
        <v>9963</v>
      </c>
      <c r="C38938" t="s">
        <v>411</v>
      </c>
      <c r="D38938" t="s">
        <v>14</v>
      </c>
      <c r="F38938" s="2" t="str">
        <f>HYPERLINK("http://www.otzar.org/book.asp?198643","קרית ספר &lt;מהדורה חדשה&gt;")</f>
        <v>קרית ספר &lt;מהדורה חדשה&gt;</v>
      </c>
    </row>
    <row r="38939" spans="1:6" x14ac:dyDescent="0.2">
      <c r="A38939" t="s">
        <v>657</v>
      </c>
      <c r="B38939" t="s">
        <v>16927</v>
      </c>
      <c r="C38939" t="s">
        <v>1228</v>
      </c>
      <c r="D38939" t="s">
        <v>267</v>
      </c>
      <c r="E38939" t="s">
        <v>957</v>
      </c>
      <c r="F38939" s="2" t="str">
        <f>HYPERLINK("http://www.otzar.org/book.asp?12908","קרית ספר")</f>
        <v>קרית ספר</v>
      </c>
    </row>
    <row r="38940" spans="1:6" x14ac:dyDescent="0.2">
      <c r="A38940" t="s">
        <v>657</v>
      </c>
      <c r="B38940" t="s">
        <v>59672</v>
      </c>
      <c r="C38940" t="s">
        <v>2076</v>
      </c>
      <c r="D38940" t="s">
        <v>283</v>
      </c>
      <c r="E38940" t="s">
        <v>104</v>
      </c>
      <c r="F38940" s="2" t="str">
        <f>HYPERLINK("http://www.otzar.org/book.asp?20664","קרית ספר")</f>
        <v>קרית ספר</v>
      </c>
    </row>
    <row r="38941" spans="1:6" x14ac:dyDescent="0.2">
      <c r="A38941" t="s">
        <v>657</v>
      </c>
      <c r="B38941" t="s">
        <v>59673</v>
      </c>
      <c r="C38941" t="s">
        <v>37220</v>
      </c>
      <c r="D38941" t="s">
        <v>7999</v>
      </c>
      <c r="E38941" t="s">
        <v>474</v>
      </c>
      <c r="F38941" s="2" t="str">
        <f>HYPERLINK("http://www.otzar.org/book.asp?102214","קרית ספר")</f>
        <v>קרית ספר</v>
      </c>
    </row>
    <row r="38942" spans="1:6" x14ac:dyDescent="0.2">
      <c r="A38942" t="s">
        <v>59674</v>
      </c>
      <c r="B38942" t="s">
        <v>1440</v>
      </c>
      <c r="C38942" t="s">
        <v>854</v>
      </c>
      <c r="D38942" t="s">
        <v>283</v>
      </c>
      <c r="E38942" t="s">
        <v>15</v>
      </c>
      <c r="F38942" s="2" t="str">
        <f>HYPERLINK("http://www.otzar.org/book.asp?8956","קרית ספר - 2 כר'")</f>
        <v>קרית ספר - 2 כר'</v>
      </c>
    </row>
    <row r="38943" spans="1:6" x14ac:dyDescent="0.2">
      <c r="A38943" t="s">
        <v>59675</v>
      </c>
      <c r="B38943" t="s">
        <v>9963</v>
      </c>
      <c r="C38943" t="s">
        <v>1954</v>
      </c>
      <c r="D38943" t="s">
        <v>27</v>
      </c>
      <c r="E38943" t="s">
        <v>15</v>
      </c>
      <c r="F38943" s="2" t="str">
        <f>HYPERLINK("http://www.otzar.org/book.asp?8322","קרית ספר - 4 כר'")</f>
        <v>קרית ספר - 4 כר'</v>
      </c>
    </row>
    <row r="38944" spans="1:6" x14ac:dyDescent="0.2">
      <c r="A38944" t="s">
        <v>59676</v>
      </c>
      <c r="B38944" t="s">
        <v>59677</v>
      </c>
      <c r="C38944" t="s">
        <v>466</v>
      </c>
      <c r="D38944" t="s">
        <v>657</v>
      </c>
      <c r="E38944" t="s">
        <v>202</v>
      </c>
      <c r="F38944" s="2" t="str">
        <f>HYPERLINK("http://www.otzar.org/book.asp?144444","קרית ספר - 24 כר'")</f>
        <v>קרית ספר - 24 כר'</v>
      </c>
    </row>
    <row r="38945" spans="1:6" x14ac:dyDescent="0.2">
      <c r="A38945" t="s">
        <v>59678</v>
      </c>
      <c r="B38945" t="s">
        <v>58510</v>
      </c>
      <c r="C38945" t="s">
        <v>68</v>
      </c>
      <c r="D38945" t="s">
        <v>52</v>
      </c>
      <c r="E38945" t="s">
        <v>144</v>
      </c>
      <c r="F38945" s="2" t="str">
        <f>HYPERLINK("http://www.otzar.org/book.asp?159393","קרית עוז - 2 כר'")</f>
        <v>קרית עוז - 2 כר'</v>
      </c>
    </row>
    <row r="38946" spans="1:6" x14ac:dyDescent="0.2">
      <c r="A38946" t="s">
        <v>59679</v>
      </c>
      <c r="B38946" t="s">
        <v>59680</v>
      </c>
      <c r="C38946" t="s">
        <v>8678</v>
      </c>
      <c r="D38946" t="s">
        <v>76</v>
      </c>
      <c r="E38946" t="s">
        <v>38986</v>
      </c>
      <c r="F38946" s="2" t="str">
        <f>HYPERLINK("http://www.otzar.org/book.asp?147082","קרית שמע")</f>
        <v>קרית שמע</v>
      </c>
    </row>
    <row r="38947" spans="1:6" x14ac:dyDescent="0.2">
      <c r="A38947" t="s">
        <v>59681</v>
      </c>
      <c r="B38947" t="s">
        <v>55504</v>
      </c>
      <c r="C38947" t="s">
        <v>6062</v>
      </c>
      <c r="D38947" t="s">
        <v>4288</v>
      </c>
      <c r="E38947" t="s">
        <v>957</v>
      </c>
      <c r="F38947" s="2" t="str">
        <f>HYPERLINK("http://www.otzar.org/book.asp?102215","קרן אור פני משה")</f>
        <v>קרן אור פני משה</v>
      </c>
    </row>
    <row r="38948" spans="1:6" x14ac:dyDescent="0.2">
      <c r="A38948" t="s">
        <v>59682</v>
      </c>
      <c r="B38948" t="s">
        <v>31907</v>
      </c>
      <c r="C38948" t="s">
        <v>553</v>
      </c>
      <c r="D38948" t="s">
        <v>52</v>
      </c>
      <c r="E38948" t="s">
        <v>933</v>
      </c>
      <c r="F38948" s="2" t="str">
        <f>HYPERLINK("http://www.otzar.org/book.asp?85288","קרן אור - משה ידבר")</f>
        <v>קרן אור - משה ידבר</v>
      </c>
    </row>
    <row r="38949" spans="1:6" x14ac:dyDescent="0.2">
      <c r="A38949" t="s">
        <v>59683</v>
      </c>
      <c r="B38949" t="s">
        <v>59684</v>
      </c>
      <c r="C38949" t="s">
        <v>279</v>
      </c>
      <c r="D38949" t="s">
        <v>60</v>
      </c>
      <c r="E38949" t="s">
        <v>930</v>
      </c>
      <c r="F38949" s="2" t="str">
        <f>HYPERLINK("http://www.otzar.org/book.asp?101576","קרן אור")</f>
        <v>קרן אור</v>
      </c>
    </row>
    <row r="38950" spans="1:6" x14ac:dyDescent="0.2">
      <c r="A38950" t="s">
        <v>59685</v>
      </c>
      <c r="B38950" t="s">
        <v>59686</v>
      </c>
      <c r="C38950" t="s">
        <v>454</v>
      </c>
      <c r="D38950" t="s">
        <v>52</v>
      </c>
      <c r="E38950" t="s">
        <v>144</v>
      </c>
      <c r="F38950" s="2" t="str">
        <f>HYPERLINK("http://www.otzar.org/book.asp?21801","קרן אורה המפואר - 4 כר'")</f>
        <v>קרן אורה המפואר - 4 כר'</v>
      </c>
    </row>
    <row r="38951" spans="1:6" x14ac:dyDescent="0.2">
      <c r="A38951" t="s">
        <v>59687</v>
      </c>
      <c r="B38951" t="s">
        <v>59686</v>
      </c>
      <c r="C38951" t="s">
        <v>503</v>
      </c>
      <c r="D38951" t="s">
        <v>283</v>
      </c>
      <c r="E38951" t="s">
        <v>144</v>
      </c>
      <c r="F38951" s="2" t="str">
        <f>HYPERLINK("http://www.otzar.org/book.asp?101581","קרן אורה - 9 כר'")</f>
        <v>קרן אורה - 9 כר'</v>
      </c>
    </row>
    <row r="38952" spans="1:6" x14ac:dyDescent="0.2">
      <c r="A38952" t="s">
        <v>59688</v>
      </c>
      <c r="B38952" t="s">
        <v>59689</v>
      </c>
      <c r="C38952" t="s">
        <v>940</v>
      </c>
      <c r="D38952" t="s">
        <v>14</v>
      </c>
      <c r="E38952" t="s">
        <v>230</v>
      </c>
      <c r="F38952" s="2" t="str">
        <f>HYPERLINK("http://www.otzar.org/book.asp?172147","קרן אורה - 2 כר'")</f>
        <v>קרן אורה - 2 כר'</v>
      </c>
    </row>
    <row r="38953" spans="1:6" x14ac:dyDescent="0.2">
      <c r="A38953" t="s">
        <v>59690</v>
      </c>
      <c r="B38953" t="s">
        <v>59691</v>
      </c>
      <c r="C38953" t="s">
        <v>87</v>
      </c>
      <c r="D38953" t="s">
        <v>14</v>
      </c>
      <c r="F38953" s="2" t="str">
        <f>HYPERLINK("http://www.otzar.org/book.asp?169677","קרן בן שמן")</f>
        <v>קרן בן שמן</v>
      </c>
    </row>
    <row r="38954" spans="1:6" x14ac:dyDescent="0.2">
      <c r="A38954" t="s">
        <v>59692</v>
      </c>
      <c r="B38954" t="s">
        <v>41375</v>
      </c>
      <c r="C38954" t="s">
        <v>533</v>
      </c>
      <c r="D38954" t="s">
        <v>14</v>
      </c>
      <c r="E38954" t="s">
        <v>144</v>
      </c>
      <c r="F38954" s="2" t="str">
        <f>HYPERLINK("http://www.otzar.org/book.asp?149794","קרן דוד - 2 כר'")</f>
        <v>קרן דוד - 2 כר'</v>
      </c>
    </row>
    <row r="38955" spans="1:6" x14ac:dyDescent="0.2">
      <c r="A38955" t="s">
        <v>59693</v>
      </c>
      <c r="B38955" t="s">
        <v>59694</v>
      </c>
      <c r="C38955" t="s">
        <v>4144</v>
      </c>
      <c r="D38955" t="s">
        <v>38303</v>
      </c>
      <c r="E38955" t="s">
        <v>674</v>
      </c>
      <c r="F38955" s="2" t="str">
        <f>HYPERLINK("http://www.otzar.org/book.asp?151477","קרן דוד")</f>
        <v>קרן דוד</v>
      </c>
    </row>
    <row r="38956" spans="1:6" x14ac:dyDescent="0.2">
      <c r="A38956" t="s">
        <v>59695</v>
      </c>
      <c r="B38956" t="s">
        <v>59696</v>
      </c>
      <c r="C38956" t="s">
        <v>1437</v>
      </c>
      <c r="D38956" t="s">
        <v>11104</v>
      </c>
      <c r="E38956" t="s">
        <v>202</v>
      </c>
      <c r="F38956" s="2" t="str">
        <f>HYPERLINK("http://www.otzar.org/book.asp?162203","קרן דוד - א")</f>
        <v>קרן דוד - א</v>
      </c>
    </row>
    <row r="38957" spans="1:6" x14ac:dyDescent="0.2">
      <c r="A38957" t="s">
        <v>59697</v>
      </c>
      <c r="B38957" t="s">
        <v>19170</v>
      </c>
      <c r="C38957" t="s">
        <v>383</v>
      </c>
      <c r="D38957" t="s">
        <v>14605</v>
      </c>
      <c r="E38957" t="s">
        <v>202</v>
      </c>
      <c r="F38957" s="2" t="str">
        <f>HYPERLINK("http://www.otzar.org/book.asp?155425","קרן היובל")</f>
        <v>קרן היובל</v>
      </c>
    </row>
    <row r="38958" spans="1:6" x14ac:dyDescent="0.2">
      <c r="A38958" t="s">
        <v>59698</v>
      </c>
      <c r="B38958" t="s">
        <v>33409</v>
      </c>
      <c r="C38958" t="s">
        <v>581</v>
      </c>
      <c r="D38958" t="s">
        <v>2705</v>
      </c>
      <c r="E38958" t="s">
        <v>234</v>
      </c>
      <c r="F38958" s="2" t="str">
        <f>HYPERLINK("http://www.otzar.org/book.asp?198678","קרן הצבי")</f>
        <v>קרן הצבי</v>
      </c>
    </row>
    <row r="38959" spans="1:6" x14ac:dyDescent="0.2">
      <c r="A38959" t="s">
        <v>59699</v>
      </c>
      <c r="B38959" t="s">
        <v>59700</v>
      </c>
      <c r="E38959" t="s">
        <v>104</v>
      </c>
      <c r="F38959" s="2" t="str">
        <f>HYPERLINK("http://www.otzar.org/book.asp?629913","קרן הצבי - א &lt;מצוות א-כג&gt;")</f>
        <v>קרן הצבי - א &lt;מצוות א-כג&gt;</v>
      </c>
    </row>
    <row r="38960" spans="1:6" x14ac:dyDescent="0.2">
      <c r="A38960" t="s">
        <v>59701</v>
      </c>
      <c r="B38960" t="s">
        <v>14489</v>
      </c>
      <c r="C38960" t="s">
        <v>533</v>
      </c>
      <c r="D38960" t="s">
        <v>412</v>
      </c>
      <c r="E38960" t="s">
        <v>148</v>
      </c>
      <c r="F38960" s="2" t="str">
        <f>HYPERLINK("http://www.otzar.org/book.asp?152871","קרן התורה - ריבית")</f>
        <v>קרן התורה - ריבית</v>
      </c>
    </row>
    <row r="38961" spans="1:6" x14ac:dyDescent="0.2">
      <c r="A38961" t="s">
        <v>59702</v>
      </c>
      <c r="B38961" t="s">
        <v>59703</v>
      </c>
      <c r="C38961" t="s">
        <v>59704</v>
      </c>
      <c r="D38961" t="s">
        <v>283</v>
      </c>
      <c r="E38961" t="s">
        <v>234</v>
      </c>
      <c r="F38961" s="2" t="str">
        <f>HYPERLINK("http://www.otzar.org/book.asp?13057","קרן יהושע - 2 כר'")</f>
        <v>קרן יהושע - 2 כר'</v>
      </c>
    </row>
    <row r="38962" spans="1:6" x14ac:dyDescent="0.2">
      <c r="A38962" t="s">
        <v>59705</v>
      </c>
      <c r="B38962" t="s">
        <v>59706</v>
      </c>
      <c r="C38962" t="s">
        <v>550</v>
      </c>
      <c r="D38962" t="s">
        <v>283</v>
      </c>
      <c r="E38962" t="s">
        <v>158</v>
      </c>
      <c r="F38962" s="2" t="str">
        <f>HYPERLINK("http://www.otzar.org/book.asp?28326","קרן ישועה")</f>
        <v>קרן ישועה</v>
      </c>
    </row>
    <row r="38963" spans="1:6" x14ac:dyDescent="0.2">
      <c r="A38963" t="s">
        <v>59707</v>
      </c>
      <c r="B38963" t="s">
        <v>59708</v>
      </c>
      <c r="C38963" t="s">
        <v>576</v>
      </c>
      <c r="D38963" t="s">
        <v>691</v>
      </c>
      <c r="E38963" t="s">
        <v>3055</v>
      </c>
      <c r="F38963" s="2" t="str">
        <f>HYPERLINK("http://www.otzar.org/book.asp?7909","קרן ישועה - 3 כר'")</f>
        <v>קרן ישועה - 3 כר'</v>
      </c>
    </row>
    <row r="38964" spans="1:6" x14ac:dyDescent="0.2">
      <c r="A38964" t="s">
        <v>59709</v>
      </c>
      <c r="B38964" t="s">
        <v>59710</v>
      </c>
      <c r="C38964" t="s">
        <v>63</v>
      </c>
      <c r="D38964" t="s">
        <v>14</v>
      </c>
      <c r="E38964" t="s">
        <v>59711</v>
      </c>
      <c r="F38964" s="2" t="str">
        <f>HYPERLINK("http://www.otzar.org/book.asp?7997","קרן ישי")</f>
        <v>קרן ישי</v>
      </c>
    </row>
    <row r="38965" spans="1:6" x14ac:dyDescent="0.2">
      <c r="A38965" t="s">
        <v>59712</v>
      </c>
      <c r="B38965" t="s">
        <v>59709</v>
      </c>
      <c r="C38965" t="s">
        <v>411</v>
      </c>
      <c r="D38965" t="s">
        <v>21</v>
      </c>
      <c r="E38965" t="s">
        <v>172</v>
      </c>
      <c r="F38965" s="2" t="str">
        <f>HYPERLINK("http://www.otzar.org/book.asp?605523","קרן ישי - 3 כר'")</f>
        <v>קרן ישי - 3 כר'</v>
      </c>
    </row>
    <row r="38966" spans="1:6" x14ac:dyDescent="0.2">
      <c r="A38966" t="s">
        <v>59713</v>
      </c>
      <c r="B38966" t="s">
        <v>686</v>
      </c>
      <c r="C38966" t="s">
        <v>13</v>
      </c>
      <c r="D38966" t="s">
        <v>52</v>
      </c>
      <c r="E38966" t="s">
        <v>104</v>
      </c>
      <c r="F38966" s="2" t="str">
        <f>HYPERLINK("http://www.otzar.org/book.asp?60743","קרן ישעי")</f>
        <v>קרן ישעי</v>
      </c>
    </row>
    <row r="38967" spans="1:6" x14ac:dyDescent="0.2">
      <c r="A38967" t="s">
        <v>59714</v>
      </c>
      <c r="B38967" t="s">
        <v>1750</v>
      </c>
      <c r="C38967" t="s">
        <v>313</v>
      </c>
      <c r="D38967" t="s">
        <v>646</v>
      </c>
      <c r="E38967" t="s">
        <v>202</v>
      </c>
      <c r="F38967" s="2" t="str">
        <f>HYPERLINK("http://www.otzar.org/book.asp?172499","קרן ישראל")</f>
        <v>קרן ישראל</v>
      </c>
    </row>
    <row r="38968" spans="1:6" x14ac:dyDescent="0.2">
      <c r="A38968" t="s">
        <v>59715</v>
      </c>
      <c r="B38968" t="s">
        <v>17574</v>
      </c>
      <c r="C38968" t="s">
        <v>13</v>
      </c>
      <c r="D38968" t="s">
        <v>9</v>
      </c>
      <c r="E38968" t="s">
        <v>467</v>
      </c>
      <c r="F38968" s="2" t="str">
        <f>HYPERLINK("http://www.otzar.org/book.asp?162308","קרן לדוד &lt;מהדורה חדשה&gt; - 6 כר'")</f>
        <v>קרן לדוד &lt;מהדורה חדשה&gt; - 6 כר'</v>
      </c>
    </row>
    <row r="38969" spans="1:6" x14ac:dyDescent="0.2">
      <c r="A38969" t="s">
        <v>59716</v>
      </c>
      <c r="B38969" t="s">
        <v>59717</v>
      </c>
      <c r="C38969" t="s">
        <v>71</v>
      </c>
      <c r="D38969" t="s">
        <v>14</v>
      </c>
      <c r="E38969" t="s">
        <v>59718</v>
      </c>
      <c r="F38969" s="2" t="str">
        <f>HYPERLINK("http://www.otzar.org/book.asp?149092","קרן לדוד ולזרעו")</f>
        <v>קרן לדוד ולזרעו</v>
      </c>
    </row>
    <row r="38970" spans="1:6" x14ac:dyDescent="0.2">
      <c r="A38970" t="s">
        <v>59719</v>
      </c>
      <c r="B38970" t="s">
        <v>17574</v>
      </c>
      <c r="C38970" t="s">
        <v>609</v>
      </c>
      <c r="D38970" t="s">
        <v>1966</v>
      </c>
      <c r="E38970" t="s">
        <v>59720</v>
      </c>
      <c r="F38970" s="2" t="str">
        <f>HYPERLINK("http://www.otzar.org/book.asp?12144","קרן לדוד - 3 כר'")</f>
        <v>קרן לדוד - 3 כר'</v>
      </c>
    </row>
    <row r="38971" spans="1:6" x14ac:dyDescent="0.2">
      <c r="A38971" t="s">
        <v>59721</v>
      </c>
      <c r="B38971" t="s">
        <v>59722</v>
      </c>
      <c r="C38971" t="s">
        <v>79</v>
      </c>
      <c r="D38971" t="s">
        <v>1889</v>
      </c>
      <c r="E38971" t="s">
        <v>44767</v>
      </c>
      <c r="F38971" s="2" t="str">
        <f>HYPERLINK("http://www.otzar.org/book.asp?300529","קרן לדוד")</f>
        <v>קרן לדוד</v>
      </c>
    </row>
    <row r="38972" spans="1:6" x14ac:dyDescent="0.2">
      <c r="A38972" t="s">
        <v>59721</v>
      </c>
      <c r="B38972" t="s">
        <v>5522</v>
      </c>
      <c r="C38972" t="s">
        <v>2644</v>
      </c>
      <c r="D38972" t="s">
        <v>267</v>
      </c>
      <c r="E38972" t="s">
        <v>234</v>
      </c>
      <c r="F38972" s="2" t="str">
        <f>HYPERLINK("http://www.otzar.org/book.asp?28404","קרן לדוד")</f>
        <v>קרן לדוד</v>
      </c>
    </row>
    <row r="38973" spans="1:6" x14ac:dyDescent="0.2">
      <c r="A38973" t="s">
        <v>59721</v>
      </c>
      <c r="B38973" t="s">
        <v>33269</v>
      </c>
      <c r="C38973" t="s">
        <v>985</v>
      </c>
      <c r="D38973" t="s">
        <v>14830</v>
      </c>
      <c r="E38973" t="s">
        <v>920</v>
      </c>
      <c r="F38973" s="2" t="str">
        <f>HYPERLINK("http://www.otzar.org/book.asp?10001","קרן לדוד")</f>
        <v>קרן לדוד</v>
      </c>
    </row>
    <row r="38974" spans="1:6" x14ac:dyDescent="0.2">
      <c r="A38974" t="s">
        <v>59721</v>
      </c>
      <c r="B38974" t="s">
        <v>25110</v>
      </c>
      <c r="C38974" t="s">
        <v>5991</v>
      </c>
      <c r="D38974" t="s">
        <v>1660</v>
      </c>
      <c r="E38974" t="s">
        <v>158</v>
      </c>
      <c r="F38974" s="2" t="str">
        <f>HYPERLINK("http://www.otzar.org/book.asp?189400","קרן לדוד")</f>
        <v>קרן לדוד</v>
      </c>
    </row>
    <row r="38975" spans="1:6" x14ac:dyDescent="0.2">
      <c r="A38975" t="s">
        <v>59723</v>
      </c>
      <c r="B38975" t="s">
        <v>44780</v>
      </c>
      <c r="C38975" t="s">
        <v>383</v>
      </c>
      <c r="E38975" t="s">
        <v>834</v>
      </c>
      <c r="F38975" s="2" t="str">
        <f>HYPERLINK("http://www.otzar.org/book.asp?195962","קרן ליצהר - צהר ליוסף")</f>
        <v>קרן ליצהר - צהר ליוסף</v>
      </c>
    </row>
    <row r="38976" spans="1:6" x14ac:dyDescent="0.2">
      <c r="A38976" t="s">
        <v>59724</v>
      </c>
      <c r="B38976" t="s">
        <v>2322</v>
      </c>
      <c r="C38976" t="s">
        <v>17774</v>
      </c>
      <c r="D38976" t="s">
        <v>60</v>
      </c>
      <c r="E38976" t="s">
        <v>399</v>
      </c>
      <c r="F38976" s="2" t="str">
        <f>HYPERLINK("http://www.otzar.org/book.asp?149992","קרן עור")</f>
        <v>קרן עור</v>
      </c>
    </row>
    <row r="38977" spans="1:6" x14ac:dyDescent="0.2">
      <c r="A38977" t="s">
        <v>59725</v>
      </c>
      <c r="B38977" t="s">
        <v>59726</v>
      </c>
      <c r="C38977" t="s">
        <v>1208</v>
      </c>
      <c r="D38977" t="s">
        <v>412</v>
      </c>
      <c r="F38977" s="2" t="str">
        <f>HYPERLINK("http://www.otzar.org/book.asp?610665","קרן פני משה - 2 כר'")</f>
        <v>קרן פני משה - 2 כר'</v>
      </c>
    </row>
    <row r="38978" spans="1:6" x14ac:dyDescent="0.2">
      <c r="A38978" t="s">
        <v>59727</v>
      </c>
      <c r="B38978" t="s">
        <v>59728</v>
      </c>
      <c r="C38978" t="s">
        <v>1202</v>
      </c>
      <c r="D38978" t="s">
        <v>9</v>
      </c>
      <c r="E38978" t="s">
        <v>31</v>
      </c>
      <c r="F38978" s="2" t="str">
        <f>HYPERLINK("http://www.otzar.org/book.asp?102216","קרן צבי")</f>
        <v>קרן צבי</v>
      </c>
    </row>
    <row r="38979" spans="1:6" x14ac:dyDescent="0.2">
      <c r="A38979" t="s">
        <v>59729</v>
      </c>
      <c r="B38979" t="s">
        <v>59730</v>
      </c>
      <c r="C38979" t="s">
        <v>854</v>
      </c>
      <c r="D38979" t="s">
        <v>4269</v>
      </c>
      <c r="E38979" t="s">
        <v>15</v>
      </c>
      <c r="F38979" s="2" t="str">
        <f>HYPERLINK("http://www.otzar.org/book.asp?13108","קרן שחר")</f>
        <v>קרן שחר</v>
      </c>
    </row>
    <row r="38980" spans="1:6" x14ac:dyDescent="0.2">
      <c r="A38980" t="s">
        <v>59731</v>
      </c>
      <c r="B38980" t="s">
        <v>59732</v>
      </c>
      <c r="C38980" t="s">
        <v>59733</v>
      </c>
      <c r="D38980" t="s">
        <v>1833</v>
      </c>
      <c r="E38980" t="s">
        <v>158</v>
      </c>
      <c r="F38980" s="2" t="str">
        <f>HYPERLINK("http://www.otzar.org/book.asp?21423","קרן שמואל")</f>
        <v>קרן שמואל</v>
      </c>
    </row>
    <row r="38981" spans="1:6" x14ac:dyDescent="0.2">
      <c r="A38981" t="s">
        <v>59734</v>
      </c>
      <c r="B38981" t="s">
        <v>59735</v>
      </c>
      <c r="C38981" t="s">
        <v>151</v>
      </c>
      <c r="D38981" t="s">
        <v>14</v>
      </c>
      <c r="F38981" s="2" t="str">
        <f>HYPERLINK("http://www.otzar.org/book.asp?622908","קרנות המזבח &lt;מהדורה חדשה&gt;")</f>
        <v>קרנות המזבח &lt;מהדורה חדשה&gt;</v>
      </c>
    </row>
    <row r="38982" spans="1:6" x14ac:dyDescent="0.2">
      <c r="A38982" t="s">
        <v>59736</v>
      </c>
      <c r="B38982" t="s">
        <v>59737</v>
      </c>
      <c r="C38982" t="s">
        <v>8</v>
      </c>
      <c r="D38982" t="s">
        <v>691</v>
      </c>
      <c r="E38982" t="s">
        <v>803</v>
      </c>
      <c r="F38982" s="2" t="str">
        <f>HYPERLINK("http://www.otzar.org/book.asp?9128","קרנות המזבח")</f>
        <v>קרנות המזבח</v>
      </c>
    </row>
    <row r="38983" spans="1:6" x14ac:dyDescent="0.2">
      <c r="A38983" t="s">
        <v>59736</v>
      </c>
      <c r="B38983" t="s">
        <v>59735</v>
      </c>
      <c r="C38983" t="s">
        <v>506</v>
      </c>
      <c r="D38983" t="s">
        <v>283</v>
      </c>
      <c r="E38983" t="s">
        <v>104</v>
      </c>
      <c r="F38983" s="2" t="str">
        <f>HYPERLINK("http://www.otzar.org/book.asp?147843","קרנות המזבח")</f>
        <v>קרנות המזבח</v>
      </c>
    </row>
    <row r="38984" spans="1:6" x14ac:dyDescent="0.2">
      <c r="A38984" t="s">
        <v>59738</v>
      </c>
      <c r="B38984" t="s">
        <v>19671</v>
      </c>
      <c r="C38984" t="s">
        <v>2644</v>
      </c>
      <c r="D38984" t="s">
        <v>27</v>
      </c>
      <c r="E38984" t="s">
        <v>399</v>
      </c>
      <c r="F38984" s="2" t="str">
        <f>HYPERLINK("http://www.otzar.org/book.asp?103721","קרנות צדיק - 3 כר'")</f>
        <v>קרנות צדיק - 3 כר'</v>
      </c>
    </row>
    <row r="38985" spans="1:6" x14ac:dyDescent="0.2">
      <c r="A38985" t="s">
        <v>59739</v>
      </c>
      <c r="B38985" t="s">
        <v>59740</v>
      </c>
      <c r="F38985" s="2" t="str">
        <f>HYPERLINK("http://www.otzar.org/book.asp?632819","קרני אור &lt;על הגה""צ ר' זונדל קרויזר&gt;")</f>
        <v>קרני אור &lt;על הגה"צ ר' זונדל קרויזר&gt;</v>
      </c>
    </row>
    <row r="38986" spans="1:6" x14ac:dyDescent="0.2">
      <c r="A38986" t="s">
        <v>59741</v>
      </c>
      <c r="B38986" t="s">
        <v>29624</v>
      </c>
      <c r="C38986" t="s">
        <v>1166</v>
      </c>
      <c r="D38986" t="s">
        <v>56</v>
      </c>
      <c r="E38986" t="s">
        <v>399</v>
      </c>
      <c r="F38986" s="2" t="str">
        <f>HYPERLINK("http://www.otzar.org/book.asp?5945","קרני אור")</f>
        <v>קרני אור</v>
      </c>
    </row>
    <row r="38987" spans="1:6" x14ac:dyDescent="0.2">
      <c r="A38987" t="s">
        <v>59741</v>
      </c>
      <c r="B38987" t="s">
        <v>59742</v>
      </c>
      <c r="C38987" t="s">
        <v>812</v>
      </c>
      <c r="D38987" t="s">
        <v>260</v>
      </c>
      <c r="E38987" t="s">
        <v>158</v>
      </c>
      <c r="F38987" s="2" t="str">
        <f>HYPERLINK("http://www.otzar.org/book.asp?21519","קרני אור")</f>
        <v>קרני אור</v>
      </c>
    </row>
    <row r="38988" spans="1:6" x14ac:dyDescent="0.2">
      <c r="A38988" t="s">
        <v>59741</v>
      </c>
      <c r="B38988" t="s">
        <v>21368</v>
      </c>
      <c r="C38988" t="s">
        <v>454</v>
      </c>
      <c r="D38988" t="s">
        <v>14</v>
      </c>
      <c r="E38988" t="s">
        <v>960</v>
      </c>
      <c r="F38988" s="2" t="str">
        <f>HYPERLINK("http://www.otzar.org/book.asp?64333","קרני אור")</f>
        <v>קרני אור</v>
      </c>
    </row>
    <row r="38989" spans="1:6" x14ac:dyDescent="0.2">
      <c r="A38989" t="s">
        <v>59743</v>
      </c>
      <c r="B38989" t="s">
        <v>56977</v>
      </c>
      <c r="C38989" t="s">
        <v>103</v>
      </c>
      <c r="D38989" t="s">
        <v>412</v>
      </c>
      <c r="E38989" t="s">
        <v>186</v>
      </c>
      <c r="F38989" s="2" t="str">
        <f>HYPERLINK("http://www.otzar.org/book.asp?161943","קרני אור - גיטין")</f>
        <v>קרני אור - גיטין</v>
      </c>
    </row>
    <row r="38990" spans="1:6" x14ac:dyDescent="0.2">
      <c r="A38990" t="s">
        <v>59744</v>
      </c>
      <c r="B38990" t="s">
        <v>59745</v>
      </c>
      <c r="C38990" t="s">
        <v>985</v>
      </c>
      <c r="D38990" t="s">
        <v>9</v>
      </c>
      <c r="E38990" t="s">
        <v>474</v>
      </c>
      <c r="F38990" s="2" t="str">
        <f>HYPERLINK("http://www.otzar.org/book.asp?102217","קרני אור - 2 כר'")</f>
        <v>קרני אור - 2 כר'</v>
      </c>
    </row>
    <row r="38991" spans="1:6" x14ac:dyDescent="0.2">
      <c r="A38991" t="s">
        <v>59746</v>
      </c>
      <c r="B38991" t="s">
        <v>18687</v>
      </c>
      <c r="C38991" t="s">
        <v>224</v>
      </c>
      <c r="D38991" t="s">
        <v>3293</v>
      </c>
      <c r="E38991" t="s">
        <v>234</v>
      </c>
      <c r="F38991" s="2" t="str">
        <f>HYPERLINK("http://www.otzar.org/book.asp?148235","קרני ההוד")</f>
        <v>קרני ההוד</v>
      </c>
    </row>
    <row r="38992" spans="1:6" x14ac:dyDescent="0.2">
      <c r="A38992" t="s">
        <v>59747</v>
      </c>
      <c r="B38992" t="s">
        <v>59748</v>
      </c>
      <c r="C38992" t="s">
        <v>59749</v>
      </c>
      <c r="D38992" t="s">
        <v>283</v>
      </c>
      <c r="E38992" t="s">
        <v>158</v>
      </c>
      <c r="F38992" s="2" t="str">
        <f>HYPERLINK("http://www.otzar.org/book.asp?151450","קרני צבי")</f>
        <v>קרני צבי</v>
      </c>
    </row>
    <row r="38993" spans="1:6" x14ac:dyDescent="0.2">
      <c r="A38993" t="s">
        <v>59750</v>
      </c>
      <c r="B38993" t="s">
        <v>46566</v>
      </c>
      <c r="C38993" t="s">
        <v>3840</v>
      </c>
      <c r="D38993" t="s">
        <v>9</v>
      </c>
      <c r="E38993" t="s">
        <v>144</v>
      </c>
      <c r="F38993" s="2" t="str">
        <f>HYPERLINK("http://www.otzar.org/book.asp?20663","קרני רא""ם")</f>
        <v>קרני רא"ם</v>
      </c>
    </row>
    <row r="38994" spans="1:6" x14ac:dyDescent="0.2">
      <c r="A38994" t="s">
        <v>59750</v>
      </c>
      <c r="B38994" t="s">
        <v>552</v>
      </c>
      <c r="C38994" t="s">
        <v>189</v>
      </c>
      <c r="D38994" t="s">
        <v>14</v>
      </c>
      <c r="E38994" t="s">
        <v>202</v>
      </c>
      <c r="F38994" s="2" t="str">
        <f>HYPERLINK("http://www.otzar.org/book.asp?152485","קרני רא""ם")</f>
        <v>קרני רא"ם</v>
      </c>
    </row>
    <row r="38995" spans="1:6" x14ac:dyDescent="0.2">
      <c r="A38995" t="s">
        <v>59751</v>
      </c>
      <c r="B38995" t="s">
        <v>59752</v>
      </c>
      <c r="C38995" t="s">
        <v>4087</v>
      </c>
      <c r="D38995" t="s">
        <v>212</v>
      </c>
      <c r="E38995" t="s">
        <v>158</v>
      </c>
      <c r="F38995" s="2" t="str">
        <f>HYPERLINK("http://www.otzar.org/book.asp?21424","קרני ראם")</f>
        <v>קרני ראם</v>
      </c>
    </row>
    <row r="38996" spans="1:6" x14ac:dyDescent="0.2">
      <c r="A38996" t="s">
        <v>59753</v>
      </c>
      <c r="B38996" t="s">
        <v>21163</v>
      </c>
      <c r="C38996" t="s">
        <v>728</v>
      </c>
      <c r="D38996" t="s">
        <v>267</v>
      </c>
      <c r="E38996" t="s">
        <v>158</v>
      </c>
      <c r="F38996" s="2" t="str">
        <f>HYPERLINK("http://www.otzar.org/book.asp?103723","קרני ראם - 3 כר'")</f>
        <v>קרני ראם - 3 כר'</v>
      </c>
    </row>
    <row r="38997" spans="1:6" x14ac:dyDescent="0.2">
      <c r="A38997" t="s">
        <v>59754</v>
      </c>
      <c r="B38997" t="s">
        <v>2959</v>
      </c>
      <c r="C38997" t="s">
        <v>51</v>
      </c>
      <c r="D38997" t="s">
        <v>52</v>
      </c>
      <c r="E38997" t="s">
        <v>144</v>
      </c>
      <c r="F38997" s="2" t="str">
        <f>HYPERLINK("http://www.otzar.org/book.asp?163676","קרני ראם - 2 כר'")</f>
        <v>קרני ראם - 2 כר'</v>
      </c>
    </row>
    <row r="38998" spans="1:6" x14ac:dyDescent="0.2">
      <c r="A38998" t="s">
        <v>59751</v>
      </c>
      <c r="B38998" t="s">
        <v>59755</v>
      </c>
      <c r="C38998" t="s">
        <v>1844</v>
      </c>
      <c r="D38998" t="s">
        <v>582</v>
      </c>
      <c r="E38998" t="s">
        <v>14523</v>
      </c>
      <c r="F38998" s="2" t="str">
        <f>HYPERLINK("http://www.otzar.org/book.asp?8855","קרני ראם")</f>
        <v>קרני ראם</v>
      </c>
    </row>
    <row r="38999" spans="1:6" x14ac:dyDescent="0.2">
      <c r="A38999" t="s">
        <v>59756</v>
      </c>
      <c r="B38999" t="s">
        <v>59752</v>
      </c>
      <c r="C38999" t="s">
        <v>17</v>
      </c>
      <c r="D38999" t="s">
        <v>14</v>
      </c>
      <c r="E38999" t="s">
        <v>158</v>
      </c>
      <c r="F38999" s="2" t="str">
        <f>HYPERLINK("http://www.otzar.org/book.asp?143641","קרני ראם, זרע יצחק")</f>
        <v>קרני ראם, זרע יצחק</v>
      </c>
    </row>
    <row r="39000" spans="1:6" x14ac:dyDescent="0.2">
      <c r="A39000" t="s">
        <v>59757</v>
      </c>
      <c r="B39000" t="s">
        <v>59758</v>
      </c>
      <c r="C39000" t="s">
        <v>133</v>
      </c>
      <c r="D39000" t="s">
        <v>152</v>
      </c>
      <c r="E39000" t="s">
        <v>15</v>
      </c>
      <c r="F39000" s="2" t="str">
        <f>HYPERLINK("http://www.otzar.org/book.asp?173976","קרני ראמים - חורש")</f>
        <v>קרני ראמים - חורש</v>
      </c>
    </row>
    <row r="39001" spans="1:6" x14ac:dyDescent="0.2">
      <c r="A39001" t="s">
        <v>59759</v>
      </c>
      <c r="B39001" t="s">
        <v>26966</v>
      </c>
      <c r="C39001" t="s">
        <v>630</v>
      </c>
      <c r="D39001" t="s">
        <v>76</v>
      </c>
      <c r="E39001" t="s">
        <v>158</v>
      </c>
      <c r="F39001" s="2" t="str">
        <f>HYPERLINK("http://www.otzar.org/book.asp?20662","קרני ראמים")</f>
        <v>קרני ראמים</v>
      </c>
    </row>
    <row r="39002" spans="1:6" x14ac:dyDescent="0.2">
      <c r="A39002" t="s">
        <v>59760</v>
      </c>
      <c r="B39002" t="s">
        <v>24736</v>
      </c>
      <c r="C39002" t="s">
        <v>1268</v>
      </c>
      <c r="D39002" t="s">
        <v>52</v>
      </c>
      <c r="E39002" t="s">
        <v>1103</v>
      </c>
      <c r="F39002" s="2" t="str">
        <f>HYPERLINK("http://www.otzar.org/book.asp?51131","קרני רמים - 2 כר'")</f>
        <v>קרני רמים - 2 כר'</v>
      </c>
    </row>
    <row r="39003" spans="1:6" x14ac:dyDescent="0.2">
      <c r="A39003" t="s">
        <v>59761</v>
      </c>
      <c r="B39003" t="s">
        <v>59762</v>
      </c>
      <c r="C39003" t="s">
        <v>59763</v>
      </c>
      <c r="D39003" t="s">
        <v>14</v>
      </c>
      <c r="E39003" t="s">
        <v>202</v>
      </c>
      <c r="F39003" s="2" t="str">
        <f>HYPERLINK("http://www.otzar.org/book.asp?144423","קשוט - א-ט")</f>
        <v>קשוט - א-ט</v>
      </c>
    </row>
    <row r="39004" spans="1:6" x14ac:dyDescent="0.2">
      <c r="A39004" t="s">
        <v>59764</v>
      </c>
      <c r="B39004" t="s">
        <v>776</v>
      </c>
      <c r="C39004" t="s">
        <v>237</v>
      </c>
      <c r="D39004" t="s">
        <v>27</v>
      </c>
      <c r="E39004" t="s">
        <v>241</v>
      </c>
      <c r="F39004" s="2" t="str">
        <f>HYPERLINK("http://www.otzar.org/book.asp?179227","קשוטי חן")</f>
        <v>קשוטי חן</v>
      </c>
    </row>
    <row r="39005" spans="1:6" x14ac:dyDescent="0.2">
      <c r="A39005" t="s">
        <v>59765</v>
      </c>
      <c r="B39005" t="s">
        <v>59766</v>
      </c>
      <c r="C39005" t="s">
        <v>1481</v>
      </c>
      <c r="D39005" t="s">
        <v>1482</v>
      </c>
      <c r="F39005" s="2" t="str">
        <f>HYPERLINK("http://www.otzar.org/book.asp?170266","קשוטי כלה")</f>
        <v>קשוטי כלה</v>
      </c>
    </row>
    <row r="39006" spans="1:6" x14ac:dyDescent="0.2">
      <c r="A39006" t="s">
        <v>59767</v>
      </c>
      <c r="B39006" t="s">
        <v>686</v>
      </c>
      <c r="C39006" t="s">
        <v>129</v>
      </c>
      <c r="D39006" t="s">
        <v>52</v>
      </c>
      <c r="E39006" t="s">
        <v>957</v>
      </c>
      <c r="F39006" s="2" t="str">
        <f>HYPERLINK("http://www.otzar.org/book.asp?60740","קשוטין דאורייתא")</f>
        <v>קשוטין דאורייתא</v>
      </c>
    </row>
    <row r="39007" spans="1:6" x14ac:dyDescent="0.2">
      <c r="A39007" t="s">
        <v>59768</v>
      </c>
      <c r="B39007" t="s">
        <v>12198</v>
      </c>
      <c r="C39007" t="s">
        <v>919</v>
      </c>
      <c r="D39007" t="s">
        <v>14</v>
      </c>
      <c r="E39007" t="s">
        <v>144</v>
      </c>
      <c r="F39007" s="2" t="str">
        <f>HYPERLINK("http://www.otzar.org/book.asp?84795","קשוטין לאורייתא")</f>
        <v>קשוטין לאורייתא</v>
      </c>
    </row>
    <row r="39008" spans="1:6" x14ac:dyDescent="0.2">
      <c r="A39008" t="s">
        <v>59769</v>
      </c>
      <c r="B39008" t="s">
        <v>776</v>
      </c>
      <c r="C39008" t="s">
        <v>3106</v>
      </c>
      <c r="D39008" t="s">
        <v>27</v>
      </c>
      <c r="E39008" t="s">
        <v>104</v>
      </c>
      <c r="F39008" s="2" t="str">
        <f>HYPERLINK("http://www.otzar.org/book.asp?146802","קשורי חן")</f>
        <v>קשורי חן</v>
      </c>
    </row>
    <row r="39009" spans="1:6" x14ac:dyDescent="0.2">
      <c r="A39009" t="s">
        <v>59770</v>
      </c>
      <c r="B39009" t="s">
        <v>4581</v>
      </c>
      <c r="C39009" t="s">
        <v>411</v>
      </c>
      <c r="D39009" t="s">
        <v>90</v>
      </c>
      <c r="E39009" t="s">
        <v>219</v>
      </c>
      <c r="F39009" s="2" t="str">
        <f>HYPERLINK("http://www.otzar.org/book.asp?190088","קשורים ליעקב, אורח מישור, דרך ישר")</f>
        <v>קשורים ליעקב, אורח מישור, דרך ישר</v>
      </c>
    </row>
    <row r="39010" spans="1:6" x14ac:dyDescent="0.2">
      <c r="A39010" t="s">
        <v>59771</v>
      </c>
      <c r="B39010" t="s">
        <v>26060</v>
      </c>
      <c r="C39010" t="s">
        <v>332</v>
      </c>
      <c r="D39010" t="s">
        <v>2798</v>
      </c>
      <c r="F39010" s="2" t="str">
        <f>HYPERLINK("http://www.otzar.org/book.asp?85267","קשות הנסך - 2 כר'")</f>
        <v>קשות הנסך - 2 כר'</v>
      </c>
    </row>
    <row r="39011" spans="1:6" x14ac:dyDescent="0.2">
      <c r="A39011" t="s">
        <v>59772</v>
      </c>
      <c r="B39011" t="s">
        <v>59773</v>
      </c>
      <c r="C39011" t="s">
        <v>1202</v>
      </c>
      <c r="D39011" t="s">
        <v>947</v>
      </c>
      <c r="E39011" t="s">
        <v>104</v>
      </c>
      <c r="F39011" s="2" t="str">
        <f>HYPERLINK("http://www.otzar.org/book.asp?20661","קשות מיושב")</f>
        <v>קשות מיושב</v>
      </c>
    </row>
    <row r="39012" spans="1:6" x14ac:dyDescent="0.2">
      <c r="A39012" t="s">
        <v>59772</v>
      </c>
      <c r="B39012" t="s">
        <v>2700</v>
      </c>
      <c r="C39012" t="s">
        <v>800</v>
      </c>
      <c r="D39012" t="s">
        <v>164</v>
      </c>
      <c r="E39012" t="s">
        <v>144</v>
      </c>
      <c r="F39012" s="2" t="str">
        <f>HYPERLINK("http://www.otzar.org/book.asp?17640","קשות מיושב")</f>
        <v>קשות מיושב</v>
      </c>
    </row>
    <row r="39013" spans="1:6" x14ac:dyDescent="0.2">
      <c r="A39013" t="s">
        <v>59774</v>
      </c>
      <c r="B39013" t="s">
        <v>59775</v>
      </c>
      <c r="C39013" t="s">
        <v>366</v>
      </c>
      <c r="D39013" t="s">
        <v>52</v>
      </c>
      <c r="E39013" t="s">
        <v>144</v>
      </c>
      <c r="F39013" s="2" t="str">
        <f>HYPERLINK("http://www.otzar.org/book.asp?605474","קשייתא - 2 כר'")</f>
        <v>קשייתא - 2 כר'</v>
      </c>
    </row>
    <row r="39014" spans="1:6" x14ac:dyDescent="0.2">
      <c r="A39014" t="s">
        <v>59776</v>
      </c>
      <c r="B39014" t="s">
        <v>59777</v>
      </c>
      <c r="C39014" t="s">
        <v>411</v>
      </c>
      <c r="D39014" t="s">
        <v>14</v>
      </c>
      <c r="E39014" t="s">
        <v>144</v>
      </c>
      <c r="F39014" s="2" t="str">
        <f>HYPERLINK("http://www.otzar.org/book.asp?166733","קשר אומן")</f>
        <v>קשר אומן</v>
      </c>
    </row>
    <row r="39015" spans="1:6" x14ac:dyDescent="0.2">
      <c r="A39015" t="s">
        <v>59778</v>
      </c>
      <c r="B39015" t="s">
        <v>1308</v>
      </c>
      <c r="C39015" t="s">
        <v>3709</v>
      </c>
      <c r="D39015" t="s">
        <v>1660</v>
      </c>
      <c r="F39015" s="2" t="str">
        <f>HYPERLINK("http://www.otzar.org/book.asp?169534","קשר גודל")</f>
        <v>קשר גודל</v>
      </c>
    </row>
    <row r="39016" spans="1:6" x14ac:dyDescent="0.2">
      <c r="A39016" t="s">
        <v>59779</v>
      </c>
      <c r="B39016" t="s">
        <v>12259</v>
      </c>
      <c r="C39016" t="s">
        <v>411</v>
      </c>
      <c r="D39016" t="s">
        <v>14</v>
      </c>
      <c r="E39016" t="s">
        <v>15</v>
      </c>
      <c r="F39016" s="2" t="str">
        <f>HYPERLINK("http://www.otzar.org/book.asp?171234","קשר הדל""ת של תפילין")</f>
        <v>קשר הדל"ת של תפילין</v>
      </c>
    </row>
    <row r="39017" spans="1:6" x14ac:dyDescent="0.2">
      <c r="A39017" t="s">
        <v>59780</v>
      </c>
      <c r="B39017" t="s">
        <v>59781</v>
      </c>
      <c r="C39017" t="s">
        <v>37</v>
      </c>
      <c r="D39017" t="s">
        <v>14778</v>
      </c>
      <c r="F39017" s="2" t="str">
        <f>HYPERLINK("http://www.otzar.org/book.asp?191147","קשר של קיימא")</f>
        <v>קשר של קיימא</v>
      </c>
    </row>
    <row r="39018" spans="1:6" x14ac:dyDescent="0.2">
      <c r="A39018" t="s">
        <v>59782</v>
      </c>
      <c r="B39018" t="s">
        <v>59783</v>
      </c>
      <c r="C39018" t="s">
        <v>111</v>
      </c>
      <c r="D39018" t="s">
        <v>52</v>
      </c>
      <c r="F39018" s="2" t="str">
        <f>HYPERLINK("http://www.otzar.org/book.asp?621818","קשר תורה &lt;מהדורה חדשה&gt;")</f>
        <v>קשר תורה &lt;מהדורה חדשה&gt;</v>
      </c>
    </row>
    <row r="39019" spans="1:6" x14ac:dyDescent="0.2">
      <c r="A39019" t="s">
        <v>59784</v>
      </c>
      <c r="B39019" t="s">
        <v>59783</v>
      </c>
      <c r="C39019" t="s">
        <v>2543</v>
      </c>
      <c r="D39019" t="s">
        <v>56</v>
      </c>
      <c r="E39019" t="s">
        <v>2071</v>
      </c>
      <c r="F39019" s="2" t="str">
        <f>HYPERLINK("http://www.otzar.org/book.asp?106950","קשר תורה")</f>
        <v>קשר תורה</v>
      </c>
    </row>
    <row r="39020" spans="1:6" x14ac:dyDescent="0.2">
      <c r="A39020" t="s">
        <v>59785</v>
      </c>
      <c r="B39020" t="s">
        <v>2620</v>
      </c>
      <c r="C39020" t="s">
        <v>59786</v>
      </c>
      <c r="D39020" t="s">
        <v>212</v>
      </c>
      <c r="E39020" t="s">
        <v>241</v>
      </c>
      <c r="F39020" s="2" t="str">
        <f>HYPERLINK("http://www.otzar.org/book.asp?102219","קשת ומגן")</f>
        <v>קשת ומגן</v>
      </c>
    </row>
    <row r="39021" spans="1:6" x14ac:dyDescent="0.2">
      <c r="A39021" t="s">
        <v>59787</v>
      </c>
      <c r="B39021" t="s">
        <v>1990</v>
      </c>
      <c r="C39021" t="s">
        <v>266</v>
      </c>
      <c r="D39021" t="s">
        <v>283</v>
      </c>
      <c r="E39021" t="s">
        <v>234</v>
      </c>
      <c r="F39021" s="2" t="str">
        <f>HYPERLINK("http://www.otzar.org/book.asp?13073","קשת יהונתן")</f>
        <v>קשת יהונתן</v>
      </c>
    </row>
    <row r="39022" spans="1:6" x14ac:dyDescent="0.2">
      <c r="A39022" t="s">
        <v>59787</v>
      </c>
      <c r="B39022" t="s">
        <v>59788</v>
      </c>
      <c r="C39022" t="s">
        <v>68</v>
      </c>
      <c r="D39022" t="s">
        <v>486</v>
      </c>
      <c r="E39022" t="s">
        <v>15</v>
      </c>
      <c r="F39022" s="2" t="str">
        <f>HYPERLINK("http://www.otzar.org/book.asp?174383","קשת יהונתן")</f>
        <v>קשת יהונתן</v>
      </c>
    </row>
    <row r="39023" spans="1:6" x14ac:dyDescent="0.2">
      <c r="A39023" t="s">
        <v>59789</v>
      </c>
      <c r="B39023" t="s">
        <v>39118</v>
      </c>
      <c r="C39023" t="s">
        <v>9307</v>
      </c>
      <c r="D39023" t="s">
        <v>1490</v>
      </c>
      <c r="E39023" t="s">
        <v>241</v>
      </c>
      <c r="F39023" s="2" t="str">
        <f>HYPERLINK("http://www.otzar.org/book.asp?63923","קשת נחושה")</f>
        <v>קשת נחושה</v>
      </c>
    </row>
    <row r="39024" spans="1:6" x14ac:dyDescent="0.2">
      <c r="A39024" t="s">
        <v>59790</v>
      </c>
      <c r="B39024" t="s">
        <v>59791</v>
      </c>
      <c r="C39024" t="s">
        <v>68</v>
      </c>
      <c r="D39024" t="s">
        <v>90</v>
      </c>
      <c r="F39024" s="2" t="str">
        <f>HYPERLINK("http://www.otzar.org/book.asp?610984","ר' אלה - תולדות רבי אליהו לופיאן")</f>
        <v>ר' אלה - תולדות רבי אליהו לופיאן</v>
      </c>
    </row>
    <row r="39025" spans="1:6" x14ac:dyDescent="0.2">
      <c r="A39025" t="s">
        <v>59792</v>
      </c>
      <c r="B39025" t="s">
        <v>732</v>
      </c>
      <c r="C39025" t="s">
        <v>619</v>
      </c>
      <c r="D39025" t="s">
        <v>27</v>
      </c>
      <c r="E39025" t="s">
        <v>119</v>
      </c>
      <c r="F39025" s="2" t="str">
        <f>HYPERLINK("http://www.otzar.org/book.asp?188634","ר' אליהו גודאל ז""ל")</f>
        <v>ר' אליהו גודאל ז"ל</v>
      </c>
    </row>
    <row r="39026" spans="1:6" x14ac:dyDescent="0.2">
      <c r="A39026" t="s">
        <v>59793</v>
      </c>
      <c r="B39026" t="s">
        <v>59794</v>
      </c>
      <c r="C39026" t="s">
        <v>4144</v>
      </c>
      <c r="D39026" t="s">
        <v>14</v>
      </c>
      <c r="E39026" t="s">
        <v>119</v>
      </c>
      <c r="F39026" s="2" t="str">
        <f>HYPERLINK("http://www.otzar.org/book.asp?182348","ר' אליעזר ליפמן קמיניץ")</f>
        <v>ר' אליעזר ליפמן קמיניץ</v>
      </c>
    </row>
    <row r="39027" spans="1:6" x14ac:dyDescent="0.2">
      <c r="A39027" t="s">
        <v>59795</v>
      </c>
      <c r="B39027" t="s">
        <v>1093</v>
      </c>
      <c r="C39027" t="s">
        <v>129</v>
      </c>
      <c r="D39027" t="s">
        <v>14</v>
      </c>
      <c r="F39027" s="2" t="str">
        <f>HYPERLINK("http://www.otzar.org/book.asp?612282","ר' אשר (פריינד) - מפי תלמידיו")</f>
        <v>ר' אשר (פריינד) - מפי תלמידיו</v>
      </c>
    </row>
    <row r="39028" spans="1:6" x14ac:dyDescent="0.2">
      <c r="A39028" t="s">
        <v>59796</v>
      </c>
      <c r="B39028" t="s">
        <v>59797</v>
      </c>
      <c r="C39028" t="s">
        <v>79</v>
      </c>
      <c r="D39028" t="s">
        <v>27</v>
      </c>
      <c r="E39028" t="s">
        <v>517</v>
      </c>
      <c r="F39028" s="2" t="str">
        <f>HYPERLINK("http://www.otzar.org/book.asp?106363","ר' בנימין הירש ז""ל")</f>
        <v>ר' בנימין הירש ז"ל</v>
      </c>
    </row>
    <row r="39029" spans="1:6" x14ac:dyDescent="0.2">
      <c r="A39029" t="s">
        <v>59798</v>
      </c>
      <c r="B39029" t="s">
        <v>732</v>
      </c>
      <c r="C39029" t="s">
        <v>99</v>
      </c>
      <c r="D39029" t="s">
        <v>27</v>
      </c>
      <c r="E39029" t="s">
        <v>119</v>
      </c>
      <c r="F39029" s="2" t="str">
        <f>HYPERLINK("http://www.otzar.org/book.asp?188643","ר' בצלאל לפין")</f>
        <v>ר' בצלאל לפין</v>
      </c>
    </row>
    <row r="39030" spans="1:6" x14ac:dyDescent="0.2">
      <c r="A39030" t="s">
        <v>59799</v>
      </c>
      <c r="B39030" t="s">
        <v>59800</v>
      </c>
      <c r="C39030" t="s">
        <v>20</v>
      </c>
      <c r="D39030" t="s">
        <v>90</v>
      </c>
      <c r="E39030" t="s">
        <v>119</v>
      </c>
      <c r="F39030" s="2" t="str">
        <f>HYPERLINK("http://www.otzar.org/book.asp?63697","ר' הירש")</f>
        <v>ר' הירש</v>
      </c>
    </row>
    <row r="39031" spans="1:6" x14ac:dyDescent="0.2">
      <c r="A39031" t="s">
        <v>59801</v>
      </c>
      <c r="B39031" t="s">
        <v>59802</v>
      </c>
      <c r="C39031">
        <v>1894</v>
      </c>
      <c r="D39031" t="s">
        <v>59803</v>
      </c>
      <c r="E39031" t="s">
        <v>119</v>
      </c>
      <c r="F39031" s="2" t="str">
        <f>HYPERLINK("http://www.otzar.org/book.asp?627343","ר' יאיר חיים בכרך (גרמנית)")</f>
        <v>ר' יאיר חיים בכרך (גרמנית)</v>
      </c>
    </row>
    <row r="39032" spans="1:6" x14ac:dyDescent="0.2">
      <c r="A39032" t="s">
        <v>59804</v>
      </c>
      <c r="B39032" t="s">
        <v>59805</v>
      </c>
      <c r="C39032" t="s">
        <v>133</v>
      </c>
      <c r="D39032" t="s">
        <v>21</v>
      </c>
      <c r="F39032" s="2" t="str">
        <f>HYPERLINK("http://www.otzar.org/book.asp?195681","ר' יואל משה סלומון פועלו ותולדותיו")</f>
        <v>ר' יואל משה סלומון פועלו ותולדותיו</v>
      </c>
    </row>
    <row r="39033" spans="1:6" x14ac:dyDescent="0.2">
      <c r="A39033" t="s">
        <v>59806</v>
      </c>
      <c r="B39033" t="s">
        <v>59807</v>
      </c>
      <c r="C39033" t="s">
        <v>8</v>
      </c>
      <c r="D39033" t="s">
        <v>9</v>
      </c>
      <c r="E39033" t="s">
        <v>59808</v>
      </c>
      <c r="F39033" s="2" t="str">
        <f>HYPERLINK("http://www.otzar.org/book.asp?596","ר' יום טוב ליפמן מיהלהויזן")</f>
        <v>ר' יום טוב ליפמן מיהלהויזן</v>
      </c>
    </row>
    <row r="39034" spans="1:6" x14ac:dyDescent="0.2">
      <c r="A39034" t="s">
        <v>59809</v>
      </c>
      <c r="B39034" t="s">
        <v>59810</v>
      </c>
      <c r="C39034" t="s">
        <v>411</v>
      </c>
      <c r="D39034" t="s">
        <v>14</v>
      </c>
      <c r="F39034" s="2" t="str">
        <f>HYPERLINK("http://www.otzar.org/book.asp?611110","ר' יוסל  איש ירושלים")</f>
        <v>ר' יוסל  איש ירושלים</v>
      </c>
    </row>
    <row r="39035" spans="1:6" x14ac:dyDescent="0.2">
      <c r="A39035" t="s">
        <v>59811</v>
      </c>
      <c r="B39035" t="s">
        <v>59812</v>
      </c>
      <c r="C39035" t="s">
        <v>176</v>
      </c>
      <c r="D39035" t="s">
        <v>216</v>
      </c>
      <c r="E39035" t="s">
        <v>791</v>
      </c>
      <c r="F39035" s="2" t="str">
        <f>HYPERLINK("http://www.otzar.org/book.asp?173143","ר' יוסף ששפורטש וספר תשובותיו")</f>
        <v>ר' יוסף ששפורטש וספר תשובותיו</v>
      </c>
    </row>
    <row r="39036" spans="1:6" x14ac:dyDescent="0.2">
      <c r="A39036" t="s">
        <v>59813</v>
      </c>
      <c r="B39036" t="s">
        <v>5143</v>
      </c>
      <c r="C39036" t="s">
        <v>71</v>
      </c>
      <c r="D39036" t="s">
        <v>721</v>
      </c>
      <c r="E39036" t="s">
        <v>119</v>
      </c>
      <c r="F39036" s="2" t="str">
        <f>HYPERLINK("http://www.otzar.org/book.asp?165876","ר' יעקב סלאמה - הצדיק המופלא מתונסיה")</f>
        <v>ר' יעקב סלאמה - הצדיק המופלא מתונסיה</v>
      </c>
    </row>
    <row r="39037" spans="1:6" x14ac:dyDescent="0.2">
      <c r="A39037" t="s">
        <v>59814</v>
      </c>
      <c r="B39037" t="s">
        <v>59815</v>
      </c>
      <c r="C39037" t="s">
        <v>1609</v>
      </c>
      <c r="D39037" t="s">
        <v>260</v>
      </c>
      <c r="E39037" t="s">
        <v>119</v>
      </c>
      <c r="F39037" s="2" t="str">
        <f>HYPERLINK("http://www.otzar.org/book.asp?5441","ר' מרדכי'לי מסלונים זצ""ל")</f>
        <v>ר' מרדכי'לי מסלונים זצ"ל</v>
      </c>
    </row>
    <row r="39038" spans="1:6" x14ac:dyDescent="0.2">
      <c r="A39038" t="s">
        <v>59816</v>
      </c>
      <c r="B39038" t="s">
        <v>40258</v>
      </c>
      <c r="C39038" t="s">
        <v>3690</v>
      </c>
      <c r="D39038" t="s">
        <v>535</v>
      </c>
      <c r="E39038" t="s">
        <v>59817</v>
      </c>
      <c r="F39038" s="2" t="str">
        <f>HYPERLINK("http://www.otzar.org/book.asp?181326","ר' משה הדרשן מנרבונה")</f>
        <v>ר' משה הדרשן מנרבונה</v>
      </c>
    </row>
    <row r="39039" spans="1:6" x14ac:dyDescent="0.2">
      <c r="A39039" t="s">
        <v>59818</v>
      </c>
      <c r="B39039" t="s">
        <v>16866</v>
      </c>
      <c r="C39039" t="s">
        <v>180</v>
      </c>
      <c r="D39039" t="s">
        <v>412</v>
      </c>
      <c r="E39039" t="s">
        <v>733</v>
      </c>
      <c r="F39039" s="2" t="str">
        <f>HYPERLINK("http://www.otzar.org/book.asp?25473","ר' משה שמואל ודורו")</f>
        <v>ר' משה שמואל ודורו</v>
      </c>
    </row>
    <row r="39040" spans="1:6" x14ac:dyDescent="0.2">
      <c r="A39040" t="s">
        <v>59819</v>
      </c>
      <c r="B39040" t="s">
        <v>21096</v>
      </c>
      <c r="C39040" t="s">
        <v>14</v>
      </c>
      <c r="D39040">
        <v>1981</v>
      </c>
      <c r="E39040" t="s">
        <v>226</v>
      </c>
      <c r="F39040" s="2" t="str">
        <f>HYPERLINK("http://www.otzar.org/book.asp?196677","ר' נחמן מבראסלב")</f>
        <v>ר' נחמן מבראסלב</v>
      </c>
    </row>
    <row r="39041" spans="1:6" x14ac:dyDescent="0.2">
      <c r="A39041" t="s">
        <v>59820</v>
      </c>
      <c r="B39041" t="s">
        <v>59815</v>
      </c>
      <c r="C39041" t="s">
        <v>3106</v>
      </c>
      <c r="D39041" t="s">
        <v>9</v>
      </c>
      <c r="E39041" t="s">
        <v>119</v>
      </c>
      <c r="F39041" s="2" t="str">
        <f>HYPERLINK("http://www.otzar.org/book.asp?149035","ר' פינחס מיכאל זצ""ל")</f>
        <v>ר' פינחס מיכאל זצ"ל</v>
      </c>
    </row>
    <row r="39042" spans="1:6" x14ac:dyDescent="0.2">
      <c r="A39042" t="s">
        <v>59821</v>
      </c>
      <c r="B39042" t="s">
        <v>59822</v>
      </c>
      <c r="C39042" t="s">
        <v>466</v>
      </c>
      <c r="D39042" t="s">
        <v>21</v>
      </c>
      <c r="E39042" t="s">
        <v>104</v>
      </c>
      <c r="F39042" s="2" t="str">
        <f>HYPERLINK("http://www.otzar.org/book.asp?195500","ר' שלוימלה")</f>
        <v>ר' שלוימלה</v>
      </c>
    </row>
    <row r="39043" spans="1:6" x14ac:dyDescent="0.2">
      <c r="A39043" t="s">
        <v>59823</v>
      </c>
      <c r="B39043" t="s">
        <v>37194</v>
      </c>
      <c r="C39043" t="s">
        <v>617</v>
      </c>
      <c r="D39043" t="s">
        <v>8545</v>
      </c>
      <c r="F39043" s="2" t="str">
        <f>HYPERLINK("http://www.otzar.org/book.asp?613762","ר' שלמה דאפיאירה")</f>
        <v>ר' שלמה דאפיאירה</v>
      </c>
    </row>
    <row r="39044" spans="1:6" x14ac:dyDescent="0.2">
      <c r="A39044" t="s">
        <v>59824</v>
      </c>
      <c r="B39044" t="s">
        <v>59825</v>
      </c>
      <c r="C39044" t="s">
        <v>133</v>
      </c>
      <c r="D39044" t="s">
        <v>90</v>
      </c>
      <c r="E39044" t="s">
        <v>119</v>
      </c>
      <c r="F39044" s="2" t="str">
        <f>HYPERLINK("http://www.otzar.org/book.asp?623948","ר' שלמה - תולדות חייו ומשנתו של רבי שלמה פרייפלד")</f>
        <v>ר' שלמה - תולדות חייו ומשנתו של רבי שלמה פרייפלד</v>
      </c>
    </row>
    <row r="39045" spans="1:6" x14ac:dyDescent="0.2">
      <c r="A39045" t="s">
        <v>59826</v>
      </c>
      <c r="B39045" t="s">
        <v>1005</v>
      </c>
      <c r="C39045" t="s">
        <v>20</v>
      </c>
      <c r="D39045" t="s">
        <v>90</v>
      </c>
      <c r="E39045" t="s">
        <v>202</v>
      </c>
      <c r="F39045" s="2" t="str">
        <f>HYPERLINK("http://www.otzar.org/book.asp?623797","ר' שמואל אליהו")</f>
        <v>ר' שמואל אליהו</v>
      </c>
    </row>
    <row r="39046" spans="1:6" x14ac:dyDescent="0.2">
      <c r="A39046" t="s">
        <v>59827</v>
      </c>
      <c r="B39046" t="s">
        <v>17496</v>
      </c>
      <c r="C39046" t="s">
        <v>99</v>
      </c>
      <c r="D39046" t="s">
        <v>8316</v>
      </c>
      <c r="E39046" t="s">
        <v>59828</v>
      </c>
      <c r="F39046" s="2" t="str">
        <f>HYPERLINK("http://www.otzar.org/book.asp?8860","ראב""ן &lt;אבן שלמה&gt;")</f>
        <v>ראב"ן &lt;אבן שלמה&gt;</v>
      </c>
    </row>
    <row r="39047" spans="1:6" x14ac:dyDescent="0.2">
      <c r="A39047" t="s">
        <v>59829</v>
      </c>
      <c r="B39047" t="s">
        <v>17496</v>
      </c>
      <c r="C39047" t="s">
        <v>1228</v>
      </c>
      <c r="D39047" t="s">
        <v>283</v>
      </c>
      <c r="E39047" t="s">
        <v>59830</v>
      </c>
      <c r="F39047" s="2" t="str">
        <f>HYPERLINK("http://www.otzar.org/book.asp?103911","ראב""ן &lt;אבני שהם&gt;")</f>
        <v>ראב"ן &lt;אבני שהם&gt;</v>
      </c>
    </row>
    <row r="39048" spans="1:6" x14ac:dyDescent="0.2">
      <c r="A39048" t="s">
        <v>59831</v>
      </c>
      <c r="B39048" t="s">
        <v>17496</v>
      </c>
      <c r="C39048" t="s">
        <v>12754</v>
      </c>
      <c r="D39048" t="s">
        <v>744</v>
      </c>
      <c r="E39048" t="s">
        <v>803</v>
      </c>
      <c r="F39048" s="2" t="str">
        <f>HYPERLINK("http://www.otzar.org/book.asp?103910","ראב""ן &lt;דפו""ר&gt;")</f>
        <v>ראב"ן &lt;דפו"ר&gt;</v>
      </c>
    </row>
    <row r="39049" spans="1:6" x14ac:dyDescent="0.2">
      <c r="A39049" t="s">
        <v>59832</v>
      </c>
      <c r="B39049" t="s">
        <v>59833</v>
      </c>
      <c r="C39049" t="s">
        <v>411</v>
      </c>
      <c r="D39049" t="s">
        <v>52</v>
      </c>
      <c r="E39049" t="s">
        <v>15</v>
      </c>
      <c r="F39049" s="2" t="str">
        <f>HYPERLINK("http://www.otzar.org/book.asp?168238","ראב""ן - 3 כר'")</f>
        <v>ראב"ן - 3 כר'</v>
      </c>
    </row>
    <row r="39050" spans="1:6" x14ac:dyDescent="0.2">
      <c r="A39050" t="s">
        <v>59834</v>
      </c>
      <c r="B39050" t="s">
        <v>17496</v>
      </c>
      <c r="C39050" t="s">
        <v>42223</v>
      </c>
      <c r="D39050" t="s">
        <v>27</v>
      </c>
      <c r="F39050" s="2" t="str">
        <f>HYPERLINK("http://www.otzar.org/book.asp?167435","ראב""ן - 2 כר'")</f>
        <v>ראב"ן - 2 כר'</v>
      </c>
    </row>
    <row r="39051" spans="1:6" x14ac:dyDescent="0.2">
      <c r="A39051" t="s">
        <v>59835</v>
      </c>
      <c r="B39051" t="s">
        <v>59836</v>
      </c>
      <c r="C39051" t="s">
        <v>189</v>
      </c>
      <c r="D39051" t="s">
        <v>52</v>
      </c>
      <c r="E39051" t="s">
        <v>803</v>
      </c>
      <c r="F39051" s="2" t="str">
        <f>HYPERLINK("http://www.otzar.org/book.asp?63189","ראבי""ה השלם &lt;מהדורת דבליצקי&gt; - 4 כר'")</f>
        <v>ראבי"ה השלם &lt;מהדורת דבליצקי&gt; - 4 כר'</v>
      </c>
    </row>
    <row r="39052" spans="1:6" x14ac:dyDescent="0.2">
      <c r="A39052" t="s">
        <v>59837</v>
      </c>
      <c r="B39052" t="s">
        <v>18854</v>
      </c>
      <c r="C39052" t="s">
        <v>4705</v>
      </c>
      <c r="D39052" t="s">
        <v>1117</v>
      </c>
      <c r="E39052" t="s">
        <v>901</v>
      </c>
      <c r="F39052" s="2" t="str">
        <f>HYPERLINK("http://www.otzar.org/book.asp?101790","ראבי""ה - 6 כר'")</f>
        <v>ראבי"ה - 6 כר'</v>
      </c>
    </row>
    <row r="39053" spans="1:6" x14ac:dyDescent="0.2">
      <c r="A39053" t="s">
        <v>59838</v>
      </c>
      <c r="B39053" t="s">
        <v>59839</v>
      </c>
      <c r="C39053" t="s">
        <v>1470</v>
      </c>
      <c r="D39053" t="s">
        <v>412</v>
      </c>
      <c r="F39053" s="2" t="str">
        <f>HYPERLINK("http://www.otzar.org/book.asp?189850","ראדיא רעדעס")</f>
        <v>ראדיא רעדעס</v>
      </c>
    </row>
    <row r="39054" spans="1:6" x14ac:dyDescent="0.2">
      <c r="A39054" t="s">
        <v>59840</v>
      </c>
      <c r="B39054" t="s">
        <v>7663</v>
      </c>
      <c r="C39054" t="s">
        <v>1047</v>
      </c>
      <c r="D39054" t="s">
        <v>27</v>
      </c>
      <c r="E39054" t="s">
        <v>219</v>
      </c>
      <c r="F39054" s="2" t="str">
        <f>HYPERLINK("http://www.otzar.org/book.asp?146985","ראה חיים &lt;תכונת הארץ&gt;")</f>
        <v>ראה חיים &lt;תכונת הארץ&gt;</v>
      </c>
    </row>
    <row r="39055" spans="1:6" x14ac:dyDescent="0.2">
      <c r="A39055" t="s">
        <v>59841</v>
      </c>
      <c r="B39055" t="s">
        <v>59842</v>
      </c>
      <c r="C39055" t="s">
        <v>454</v>
      </c>
      <c r="D39055" t="s">
        <v>14</v>
      </c>
      <c r="E39055" t="s">
        <v>104</v>
      </c>
      <c r="F39055" s="2" t="str">
        <f>HYPERLINK("http://www.otzar.org/book.asp?106457","ראה חיים")</f>
        <v>ראה חיים</v>
      </c>
    </row>
    <row r="39056" spans="1:6" x14ac:dyDescent="0.2">
      <c r="A39056" t="s">
        <v>59841</v>
      </c>
      <c r="B39056" t="s">
        <v>59843</v>
      </c>
      <c r="C39056" t="s">
        <v>422</v>
      </c>
      <c r="D39056" t="s">
        <v>52</v>
      </c>
      <c r="F39056" s="2" t="str">
        <f>HYPERLINK("http://www.otzar.org/book.asp?614442","ראה חיים")</f>
        <v>ראה חיים</v>
      </c>
    </row>
    <row r="39057" spans="1:6" x14ac:dyDescent="0.2">
      <c r="A39057" t="s">
        <v>59844</v>
      </c>
      <c r="B39057" t="s">
        <v>59845</v>
      </c>
      <c r="C39057" t="s">
        <v>1570</v>
      </c>
      <c r="D39057" t="s">
        <v>14</v>
      </c>
      <c r="F39057" s="2" t="str">
        <f>HYPERLINK("http://www.otzar.org/book.asp?156399","ראה חיים - 4 כר'")</f>
        <v>ראה חיים - 4 כר'</v>
      </c>
    </row>
    <row r="39058" spans="1:6" x14ac:dyDescent="0.2">
      <c r="A39058" t="s">
        <v>59846</v>
      </c>
      <c r="B39058" t="s">
        <v>155</v>
      </c>
      <c r="C39058" t="s">
        <v>5231</v>
      </c>
      <c r="D39058" t="s">
        <v>76</v>
      </c>
      <c r="E39058" t="s">
        <v>158</v>
      </c>
      <c r="F39058" s="2" t="str">
        <f>HYPERLINK("http://www.otzar.org/book.asp?103263","ראה חיים - 2 כר'")</f>
        <v>ראה חיים - 2 כר'</v>
      </c>
    </row>
    <row r="39059" spans="1:6" x14ac:dyDescent="0.2">
      <c r="A39059" t="s">
        <v>59847</v>
      </c>
      <c r="B39059" t="s">
        <v>28398</v>
      </c>
      <c r="C39059" t="s">
        <v>619</v>
      </c>
      <c r="D39059" t="s">
        <v>563</v>
      </c>
      <c r="E39059" t="s">
        <v>2088</v>
      </c>
      <c r="F39059" s="2" t="str">
        <f>HYPERLINK("http://www.otzar.org/book.asp?158865","ראוי לבילה")</f>
        <v>ראוי לבילה</v>
      </c>
    </row>
    <row r="39060" spans="1:6" x14ac:dyDescent="0.2">
      <c r="A39060" t="s">
        <v>59848</v>
      </c>
      <c r="B39060" t="s">
        <v>59849</v>
      </c>
      <c r="C39060" t="s">
        <v>5544</v>
      </c>
      <c r="D39060" t="s">
        <v>1490</v>
      </c>
      <c r="E39060" t="s">
        <v>15</v>
      </c>
      <c r="F39060" s="2" t="str">
        <f>HYPERLINK("http://www.otzar.org/book.asp?7786","ראומה")</f>
        <v>ראומה</v>
      </c>
    </row>
    <row r="39061" spans="1:6" x14ac:dyDescent="0.2">
      <c r="A39061" t="s">
        <v>59850</v>
      </c>
      <c r="B39061" t="s">
        <v>59851</v>
      </c>
      <c r="C39061" t="s">
        <v>37</v>
      </c>
      <c r="D39061" t="s">
        <v>14</v>
      </c>
      <c r="E39061" t="s">
        <v>84</v>
      </c>
      <c r="F39061" s="2" t="str">
        <f>HYPERLINK("http://www.otzar.org/book.asp?182054","ראי הדעת - טהרות")</f>
        <v>ראי הדעת - טהרות</v>
      </c>
    </row>
    <row r="39062" spans="1:6" x14ac:dyDescent="0.2">
      <c r="A39062" t="s">
        <v>59852</v>
      </c>
      <c r="B39062" t="s">
        <v>8399</v>
      </c>
      <c r="C39062" t="s">
        <v>224</v>
      </c>
      <c r="D39062" t="s">
        <v>27</v>
      </c>
      <c r="E39062" t="s">
        <v>119</v>
      </c>
      <c r="F39062" s="2" t="str">
        <f>HYPERLINK("http://www.otzar.org/book.asp?620103","ראיה מהימנא")</f>
        <v>ראיה מהימנא</v>
      </c>
    </row>
    <row r="39063" spans="1:6" x14ac:dyDescent="0.2">
      <c r="A39063" t="s">
        <v>59853</v>
      </c>
      <c r="B39063" t="s">
        <v>59854</v>
      </c>
      <c r="C39063" t="s">
        <v>244</v>
      </c>
      <c r="D39063" t="s">
        <v>115</v>
      </c>
      <c r="F39063" s="2" t="str">
        <f>HYPERLINK("http://www.otzar.org/book.asp?199628","ראיית העיבור")</f>
        <v>ראיית העיבור</v>
      </c>
    </row>
    <row r="39064" spans="1:6" x14ac:dyDescent="0.2">
      <c r="A39064" t="s">
        <v>59855</v>
      </c>
      <c r="B39064" t="s">
        <v>6014</v>
      </c>
      <c r="C39064" t="s">
        <v>244</v>
      </c>
      <c r="D39064" t="s">
        <v>216</v>
      </c>
      <c r="F39064" s="2" t="str">
        <f>HYPERLINK("http://www.otzar.org/book.asp?611600","ראיתי צדיק - אלבום מראות מצדיקי הוסיאטין")</f>
        <v>ראיתי צדיק - אלבום מראות מצדיקי הוסיאטין</v>
      </c>
    </row>
    <row r="39065" spans="1:6" x14ac:dyDescent="0.2">
      <c r="A39065" t="s">
        <v>59856</v>
      </c>
      <c r="B39065" t="s">
        <v>9358</v>
      </c>
      <c r="C39065" t="s">
        <v>3106</v>
      </c>
      <c r="D39065" t="s">
        <v>5301</v>
      </c>
      <c r="E39065" t="s">
        <v>202</v>
      </c>
      <c r="F39065" s="2" t="str">
        <f>HYPERLINK("http://www.otzar.org/book.asp?106440","ראקישוק - יזכור בוך ראקישוק וסביבותיה")</f>
        <v>ראקישוק - יזכור בוך ראקישוק וסביבותיה</v>
      </c>
    </row>
    <row r="39066" spans="1:6" x14ac:dyDescent="0.2">
      <c r="A39066" t="s">
        <v>59857</v>
      </c>
      <c r="B39066" t="s">
        <v>59858</v>
      </c>
      <c r="C39066" t="s">
        <v>13</v>
      </c>
      <c r="D39066" t="s">
        <v>52</v>
      </c>
      <c r="E39066" t="s">
        <v>154</v>
      </c>
      <c r="F39066" s="2" t="str">
        <f>HYPERLINK("http://www.otzar.org/book.asp?144895","ראש אליהו - 10 כר'")</f>
        <v>ראש אליהו - 10 כר'</v>
      </c>
    </row>
    <row r="39067" spans="1:6" x14ac:dyDescent="0.2">
      <c r="A39067" t="s">
        <v>59859</v>
      </c>
      <c r="B39067" t="s">
        <v>6359</v>
      </c>
      <c r="C39067" t="s">
        <v>13</v>
      </c>
      <c r="D39067" t="s">
        <v>14</v>
      </c>
      <c r="E39067" t="s">
        <v>234</v>
      </c>
      <c r="F39067" s="2" t="str">
        <f>HYPERLINK("http://www.otzar.org/book.asp?142895","ראש אמיר - 2 כר'")</f>
        <v>ראש אמיר - 2 כר'</v>
      </c>
    </row>
    <row r="39068" spans="1:6" x14ac:dyDescent="0.2">
      <c r="A39068" t="s">
        <v>59860</v>
      </c>
      <c r="B39068" t="s">
        <v>4675</v>
      </c>
      <c r="C39068" t="s">
        <v>129</v>
      </c>
      <c r="D39068" t="s">
        <v>412</v>
      </c>
      <c r="E39068" t="s">
        <v>993</v>
      </c>
      <c r="F39068" s="2" t="str">
        <f>HYPERLINK("http://www.otzar.org/book.asp?166348","ראש אמיר")</f>
        <v>ראש אמיר</v>
      </c>
    </row>
    <row r="39069" spans="1:6" x14ac:dyDescent="0.2">
      <c r="A39069" t="s">
        <v>59861</v>
      </c>
      <c r="B39069" t="s">
        <v>17467</v>
      </c>
      <c r="C39069" t="s">
        <v>33894</v>
      </c>
      <c r="D39069" t="s">
        <v>1490</v>
      </c>
      <c r="E39069" t="s">
        <v>5935</v>
      </c>
      <c r="F39069" s="2" t="str">
        <f>HYPERLINK("http://www.otzar.org/book.asp?52474","ראש אמנה - 4 כר'")</f>
        <v>ראש אמנה - 4 כר'</v>
      </c>
    </row>
    <row r="39070" spans="1:6" x14ac:dyDescent="0.2">
      <c r="A39070" t="s">
        <v>59862</v>
      </c>
      <c r="B39070" t="s">
        <v>4918</v>
      </c>
      <c r="C39070" t="s">
        <v>176</v>
      </c>
      <c r="D39070" t="s">
        <v>4919</v>
      </c>
      <c r="E39070" t="s">
        <v>104</v>
      </c>
      <c r="F39070" s="2" t="str">
        <f>HYPERLINK("http://www.otzar.org/book.asp?63931","ראש אמנה - 2 כר'")</f>
        <v>ראש אמנה - 2 כר'</v>
      </c>
    </row>
    <row r="39071" spans="1:6" x14ac:dyDescent="0.2">
      <c r="A39071" t="s">
        <v>59863</v>
      </c>
      <c r="B39071" t="s">
        <v>59864</v>
      </c>
      <c r="C39071" t="s">
        <v>129</v>
      </c>
      <c r="D39071" t="s">
        <v>14</v>
      </c>
      <c r="E39071" t="s">
        <v>84</v>
      </c>
      <c r="F39071" s="2" t="str">
        <f>HYPERLINK("http://www.otzar.org/book.asp?60211","ראש אמנה - זרעים א")</f>
        <v>ראש אמנה - זרעים א</v>
      </c>
    </row>
    <row r="39072" spans="1:6" x14ac:dyDescent="0.2">
      <c r="A39072" t="s">
        <v>59865</v>
      </c>
      <c r="B39072" t="s">
        <v>1291</v>
      </c>
      <c r="C39072" t="s">
        <v>503</v>
      </c>
      <c r="D39072" t="s">
        <v>283</v>
      </c>
      <c r="E39072" t="s">
        <v>730</v>
      </c>
      <c r="F39072" s="2" t="str">
        <f>HYPERLINK("http://www.otzar.org/book.asp?13753","ראש אפרים - 4 כר'")</f>
        <v>ראש אפרים - 4 כר'</v>
      </c>
    </row>
    <row r="39073" spans="1:6" x14ac:dyDescent="0.2">
      <c r="A39073" t="s">
        <v>59866</v>
      </c>
      <c r="B39073" t="s">
        <v>59867</v>
      </c>
      <c r="C39073" t="s">
        <v>5903</v>
      </c>
      <c r="D39073" t="s">
        <v>56</v>
      </c>
      <c r="E39073" t="s">
        <v>144</v>
      </c>
      <c r="F39073" s="2" t="str">
        <f>HYPERLINK("http://www.otzar.org/book.asp?28537","ראש אריה")</f>
        <v>ראש אריה</v>
      </c>
    </row>
    <row r="39074" spans="1:6" x14ac:dyDescent="0.2">
      <c r="A39074" t="s">
        <v>59866</v>
      </c>
      <c r="B39074" t="s">
        <v>59868</v>
      </c>
      <c r="C39074" t="s">
        <v>1619</v>
      </c>
      <c r="D39074" t="s">
        <v>14</v>
      </c>
      <c r="E39074" t="s">
        <v>1336</v>
      </c>
      <c r="F39074" s="2" t="str">
        <f>HYPERLINK("http://www.otzar.org/book.asp?955","ראש אריה")</f>
        <v>ראש אריה</v>
      </c>
    </row>
    <row r="39075" spans="1:6" x14ac:dyDescent="0.2">
      <c r="A39075" t="s">
        <v>59869</v>
      </c>
      <c r="B39075" t="s">
        <v>17081</v>
      </c>
      <c r="C39075" t="s">
        <v>111</v>
      </c>
      <c r="D39075" t="s">
        <v>245</v>
      </c>
      <c r="E39075" t="s">
        <v>219</v>
      </c>
      <c r="F39075" s="2" t="str">
        <f>HYPERLINK("http://www.otzar.org/book.asp?627045","ראש אשמורות &lt;מכון משנת רבי אהרן&gt;")</f>
        <v>ראש אשמורות &lt;מכון משנת רבי אהרן&gt;</v>
      </c>
    </row>
    <row r="39076" spans="1:6" x14ac:dyDescent="0.2">
      <c r="A39076" t="s">
        <v>59870</v>
      </c>
      <c r="B39076" t="s">
        <v>17081</v>
      </c>
      <c r="C39076" t="s">
        <v>59871</v>
      </c>
      <c r="D39076" t="s">
        <v>59872</v>
      </c>
      <c r="E39076" t="s">
        <v>1517</v>
      </c>
      <c r="F39076" s="2" t="str">
        <f>HYPERLINK("http://www.otzar.org/book.asp?180880","ראש אשמורות")</f>
        <v>ראש אשמורות</v>
      </c>
    </row>
    <row r="39077" spans="1:6" x14ac:dyDescent="0.2">
      <c r="A39077" t="s">
        <v>59873</v>
      </c>
      <c r="B39077" t="s">
        <v>1308</v>
      </c>
      <c r="C39077" t="s">
        <v>279</v>
      </c>
      <c r="D39077" t="s">
        <v>1411</v>
      </c>
      <c r="E39077" t="s">
        <v>158</v>
      </c>
      <c r="F39077" s="2" t="str">
        <f>HYPERLINK("http://www.otzar.org/book.asp?14092","ראש דוד - 3 כר'")</f>
        <v>ראש דוד - 3 כר'</v>
      </c>
    </row>
    <row r="39078" spans="1:6" x14ac:dyDescent="0.2">
      <c r="A39078" t="s">
        <v>59874</v>
      </c>
      <c r="B39078" t="s">
        <v>59875</v>
      </c>
      <c r="C39078" t="s">
        <v>366</v>
      </c>
      <c r="D39078" t="s">
        <v>14</v>
      </c>
      <c r="F39078" s="2" t="str">
        <f>HYPERLINK("http://www.otzar.org/book.asp?617982","ראש דעה - 3 כר'")</f>
        <v>ראש דעה - 3 כר'</v>
      </c>
    </row>
    <row r="39079" spans="1:6" x14ac:dyDescent="0.2">
      <c r="A39079" t="s">
        <v>59876</v>
      </c>
      <c r="B39079" t="s">
        <v>31913</v>
      </c>
      <c r="C39079" t="s">
        <v>5169</v>
      </c>
      <c r="D39079" t="s">
        <v>56</v>
      </c>
      <c r="E39079" t="s">
        <v>1262</v>
      </c>
      <c r="F39079" s="2" t="str">
        <f>HYPERLINK("http://www.otzar.org/book.asp?146705","ראש הגבעה - 2 כר'")</f>
        <v>ראש הגבעה - 2 כר'</v>
      </c>
    </row>
    <row r="39080" spans="1:6" x14ac:dyDescent="0.2">
      <c r="A39080" t="s">
        <v>59877</v>
      </c>
      <c r="B39080" t="s">
        <v>206</v>
      </c>
      <c r="C39080" t="s">
        <v>114</v>
      </c>
      <c r="D39080" t="s">
        <v>90</v>
      </c>
      <c r="F39080" s="2" t="str">
        <f>HYPERLINK("http://www.otzar.org/book.asp?601188","ראש הילולי - ב""ב")</f>
        <v>ראש הילולי - ב"ב</v>
      </c>
    </row>
    <row r="39081" spans="1:6" x14ac:dyDescent="0.2">
      <c r="A39081" t="s">
        <v>59878</v>
      </c>
      <c r="B39081" t="s">
        <v>20957</v>
      </c>
      <c r="C39081" t="s">
        <v>1208</v>
      </c>
      <c r="D39081" t="s">
        <v>14</v>
      </c>
      <c r="E39081" t="s">
        <v>144</v>
      </c>
      <c r="F39081" s="2" t="str">
        <f>HYPERLINK("http://www.otzar.org/book.asp?151545","ראש הכרמל")</f>
        <v>ראש הכרמל</v>
      </c>
    </row>
    <row r="39082" spans="1:6" x14ac:dyDescent="0.2">
      <c r="A39082" t="s">
        <v>59879</v>
      </c>
      <c r="B39082" t="s">
        <v>59880</v>
      </c>
      <c r="C39082" t="s">
        <v>2076</v>
      </c>
      <c r="D39082" t="s">
        <v>267</v>
      </c>
      <c r="E39082" t="s">
        <v>144</v>
      </c>
      <c r="F39082" s="2" t="str">
        <f>HYPERLINK("http://www.otzar.org/book.asp?162097","ראש המזבח - 2 כר'")</f>
        <v>ראש המזבח - 2 כר'</v>
      </c>
    </row>
    <row r="39083" spans="1:6" x14ac:dyDescent="0.2">
      <c r="A39083" t="s">
        <v>59881</v>
      </c>
      <c r="B39083" t="s">
        <v>59882</v>
      </c>
      <c r="C39083" t="s">
        <v>286</v>
      </c>
      <c r="D39083" t="s">
        <v>3208</v>
      </c>
      <c r="F39083" s="2" t="str">
        <f>HYPERLINK("http://www.otzar.org/book.asp?197502","ראש השנה לאילנות")</f>
        <v>ראש השנה לאילנות</v>
      </c>
    </row>
    <row r="39084" spans="1:6" x14ac:dyDescent="0.2">
      <c r="A39084" t="s">
        <v>59881</v>
      </c>
      <c r="B39084" t="s">
        <v>2885</v>
      </c>
      <c r="C39084" t="s">
        <v>20</v>
      </c>
      <c r="D39084" t="s">
        <v>14</v>
      </c>
      <c r="E39084" t="s">
        <v>3055</v>
      </c>
      <c r="F39084" s="2" t="str">
        <f>HYPERLINK("http://www.otzar.org/book.asp?60914","ראש השנה לאילנות")</f>
        <v>ראש השנה לאילנות</v>
      </c>
    </row>
    <row r="39085" spans="1:6" x14ac:dyDescent="0.2">
      <c r="A39085" t="s">
        <v>59883</v>
      </c>
      <c r="B39085" t="s">
        <v>3614</v>
      </c>
      <c r="C39085" t="s">
        <v>624</v>
      </c>
      <c r="D39085" t="s">
        <v>118</v>
      </c>
      <c r="E39085" t="s">
        <v>3055</v>
      </c>
      <c r="F39085" s="2" t="str">
        <f>HYPERLINK("http://www.otzar.org/book.asp?108417","ראש השנה של הצדיק האמת")</f>
        <v>ראש השנה של הצדיק האמת</v>
      </c>
    </row>
    <row r="39086" spans="1:6" x14ac:dyDescent="0.2">
      <c r="A39086" t="s">
        <v>59884</v>
      </c>
      <c r="B39086" t="s">
        <v>8822</v>
      </c>
      <c r="C39086" t="s">
        <v>843</v>
      </c>
      <c r="D39086" t="s">
        <v>646</v>
      </c>
      <c r="E39086" t="s">
        <v>246</v>
      </c>
      <c r="F39086" s="2" t="str">
        <f>HYPERLINK("http://www.otzar.org/book.asp?628732","ראש השנה, עשרת ימי תשובה, יום כיפור, חנוכה")</f>
        <v>ראש השנה, עשרת ימי תשובה, יום כיפור, חנוכה</v>
      </c>
    </row>
    <row r="39087" spans="1:6" x14ac:dyDescent="0.2">
      <c r="A39087" t="s">
        <v>59885</v>
      </c>
      <c r="B39087" t="s">
        <v>59886</v>
      </c>
      <c r="C39087" t="s">
        <v>37</v>
      </c>
      <c r="D39087" t="s">
        <v>52</v>
      </c>
      <c r="E39087" t="s">
        <v>144</v>
      </c>
      <c r="F39087" s="2" t="str">
        <f>HYPERLINK("http://www.otzar.org/book.asp?180785","ראש השרביט")</f>
        <v>ראש השרביט</v>
      </c>
    </row>
    <row r="39088" spans="1:6" x14ac:dyDescent="0.2">
      <c r="A39088" t="s">
        <v>59887</v>
      </c>
      <c r="B39088" t="s">
        <v>206</v>
      </c>
      <c r="C39088" t="s">
        <v>37</v>
      </c>
      <c r="D39088" t="s">
        <v>90</v>
      </c>
      <c r="E39088" t="s">
        <v>15</v>
      </c>
      <c r="F39088" s="2" t="str">
        <f>HYPERLINK("http://www.otzar.org/book.asp?195089","ראש חודש בהלכה ובאגדה")</f>
        <v>ראש חודש בהלכה ובאגדה</v>
      </c>
    </row>
    <row r="39089" spans="1:6" x14ac:dyDescent="0.2">
      <c r="A39089" t="s">
        <v>59888</v>
      </c>
      <c r="B39089" t="s">
        <v>26887</v>
      </c>
      <c r="C39089" t="s">
        <v>17</v>
      </c>
      <c r="D39089" t="s">
        <v>721</v>
      </c>
      <c r="E39089" t="s">
        <v>246</v>
      </c>
      <c r="F39089" s="2" t="str">
        <f>HYPERLINK("http://www.otzar.org/book.asp?629093","ראש חודש טבת ""ראש חודש אלבנאת""")</f>
        <v>ראש חודש טבת "ראש חודש אלבנאת"</v>
      </c>
    </row>
    <row r="39090" spans="1:6" x14ac:dyDescent="0.2">
      <c r="A39090" t="s">
        <v>59889</v>
      </c>
      <c r="B39090" t="s">
        <v>38154</v>
      </c>
      <c r="C39090" t="s">
        <v>68</v>
      </c>
      <c r="D39090" t="s">
        <v>412</v>
      </c>
      <c r="E39090" t="s">
        <v>1970</v>
      </c>
      <c r="F39090" s="2" t="str">
        <f>HYPERLINK("http://www.otzar.org/book.asp?170857","ראש יהושע - 2 כר'")</f>
        <v>ראש יהושע - 2 כר'</v>
      </c>
    </row>
    <row r="39091" spans="1:6" x14ac:dyDescent="0.2">
      <c r="A39091" t="s">
        <v>59890</v>
      </c>
      <c r="B39091" t="s">
        <v>1361</v>
      </c>
      <c r="C39091" t="s">
        <v>114</v>
      </c>
      <c r="D39091" t="s">
        <v>14</v>
      </c>
      <c r="E39091" t="s">
        <v>144</v>
      </c>
      <c r="F39091" s="2" t="str">
        <f>HYPERLINK("http://www.otzar.org/book.asp?159346","ראש יוסף &lt;מהדורה חדשה&gt; - 4 כר'")</f>
        <v>ראש יוסף &lt;מהדורה חדשה&gt; - 4 כר'</v>
      </c>
    </row>
    <row r="39092" spans="1:6" x14ac:dyDescent="0.2">
      <c r="A39092" t="s">
        <v>59891</v>
      </c>
      <c r="B39092" t="s">
        <v>59892</v>
      </c>
      <c r="C39092" t="s">
        <v>4198</v>
      </c>
      <c r="D39092" t="s">
        <v>157</v>
      </c>
      <c r="E39092" t="s">
        <v>15</v>
      </c>
      <c r="F39092" s="2" t="str">
        <f>HYPERLINK("http://www.otzar.org/book.asp?141402","ראש יוסף - 3 כר'")</f>
        <v>ראש יוסף - 3 כר'</v>
      </c>
    </row>
    <row r="39093" spans="1:6" x14ac:dyDescent="0.2">
      <c r="A39093" t="s">
        <v>59893</v>
      </c>
      <c r="B39093" t="s">
        <v>59894</v>
      </c>
      <c r="C39093" t="s">
        <v>1124</v>
      </c>
      <c r="D39093" t="s">
        <v>283</v>
      </c>
      <c r="E39093" t="s">
        <v>148</v>
      </c>
      <c r="F39093" s="2" t="str">
        <f>HYPERLINK("http://www.otzar.org/book.asp?5036","ראש יוסף")</f>
        <v>ראש יוסף</v>
      </c>
    </row>
    <row r="39094" spans="1:6" x14ac:dyDescent="0.2">
      <c r="A39094" t="s">
        <v>59895</v>
      </c>
      <c r="B39094" t="s">
        <v>6681</v>
      </c>
      <c r="C39094" t="s">
        <v>940</v>
      </c>
      <c r="D39094" t="s">
        <v>52</v>
      </c>
      <c r="F39094" s="2" t="str">
        <f>HYPERLINK("http://www.otzar.org/book.asp?615830","ראש יוסף - 2 כר'")</f>
        <v>ראש יוסף - 2 כר'</v>
      </c>
    </row>
    <row r="39095" spans="1:6" x14ac:dyDescent="0.2">
      <c r="A39095" t="s">
        <v>59893</v>
      </c>
      <c r="B39095" t="s">
        <v>59896</v>
      </c>
      <c r="C39095" t="s">
        <v>11715</v>
      </c>
      <c r="D39095" t="s">
        <v>59897</v>
      </c>
      <c r="E39095" t="s">
        <v>786</v>
      </c>
      <c r="F39095" s="2" t="str">
        <f>HYPERLINK("http://www.otzar.org/book.asp?101791","ראש יוסף")</f>
        <v>ראש יוסף</v>
      </c>
    </row>
    <row r="39096" spans="1:6" x14ac:dyDescent="0.2">
      <c r="A39096" t="s">
        <v>59893</v>
      </c>
      <c r="B39096" t="s">
        <v>59898</v>
      </c>
      <c r="C39096" t="s">
        <v>1135</v>
      </c>
      <c r="D39096" t="s">
        <v>2303</v>
      </c>
      <c r="E39096" t="s">
        <v>15301</v>
      </c>
      <c r="F39096" s="2" t="str">
        <f>HYPERLINK("http://www.otzar.org/book.asp?100646","ראש יוסף")</f>
        <v>ראש יוסף</v>
      </c>
    </row>
    <row r="39097" spans="1:6" x14ac:dyDescent="0.2">
      <c r="A39097" t="s">
        <v>59893</v>
      </c>
      <c r="B39097" t="s">
        <v>59899</v>
      </c>
      <c r="C39097" t="s">
        <v>111</v>
      </c>
      <c r="D39097" t="s">
        <v>14</v>
      </c>
      <c r="E39097" t="s">
        <v>15</v>
      </c>
      <c r="F39097" s="2" t="str">
        <f>HYPERLINK("http://www.otzar.org/book.asp?629650","ראש יוסף")</f>
        <v>ראש יוסף</v>
      </c>
    </row>
    <row r="39098" spans="1:6" x14ac:dyDescent="0.2">
      <c r="A39098" t="s">
        <v>59893</v>
      </c>
      <c r="B39098" t="s">
        <v>59900</v>
      </c>
      <c r="C39098" t="s">
        <v>20</v>
      </c>
      <c r="D39098" t="s">
        <v>52</v>
      </c>
      <c r="E39098" t="s">
        <v>202</v>
      </c>
      <c r="F39098" s="2" t="str">
        <f>HYPERLINK("http://www.otzar.org/book.asp?163865","ראש יוסף")</f>
        <v>ראש יוסף</v>
      </c>
    </row>
    <row r="39099" spans="1:6" x14ac:dyDescent="0.2">
      <c r="A39099" t="s">
        <v>59893</v>
      </c>
      <c r="B39099" t="s">
        <v>53758</v>
      </c>
      <c r="C39099" t="s">
        <v>445</v>
      </c>
      <c r="D39099" t="s">
        <v>225</v>
      </c>
      <c r="E39099" t="s">
        <v>1185</v>
      </c>
      <c r="F39099" s="2" t="str">
        <f>HYPERLINK("http://www.otzar.org/book.asp?11396","ראש יוסף")</f>
        <v>ראש יוסף</v>
      </c>
    </row>
    <row r="39100" spans="1:6" x14ac:dyDescent="0.2">
      <c r="A39100" t="s">
        <v>59895</v>
      </c>
      <c r="B39100" t="s">
        <v>59901</v>
      </c>
      <c r="C39100" t="s">
        <v>466</v>
      </c>
      <c r="D39100" t="s">
        <v>14</v>
      </c>
      <c r="E39100" t="s">
        <v>144</v>
      </c>
      <c r="F39100" s="2" t="str">
        <f>HYPERLINK("http://www.otzar.org/book.asp?189012","ראש יוסף - 2 כר'")</f>
        <v>ראש יוסף - 2 כר'</v>
      </c>
    </row>
    <row r="39101" spans="1:6" x14ac:dyDescent="0.2">
      <c r="A39101" t="s">
        <v>59902</v>
      </c>
      <c r="B39101" t="s">
        <v>1361</v>
      </c>
      <c r="C39101" t="s">
        <v>2076</v>
      </c>
      <c r="D39101" t="s">
        <v>1279</v>
      </c>
      <c r="E39101" t="s">
        <v>144</v>
      </c>
      <c r="F39101" s="2" t="str">
        <f>HYPERLINK("http://www.otzar.org/book.asp?8892","ראש יוסף - 4 כר'")</f>
        <v>ראש יוסף - 4 כר'</v>
      </c>
    </row>
    <row r="39102" spans="1:6" x14ac:dyDescent="0.2">
      <c r="A39102" t="s">
        <v>59903</v>
      </c>
      <c r="B39102" t="s">
        <v>59904</v>
      </c>
      <c r="C39102" t="s">
        <v>286</v>
      </c>
      <c r="D39102" t="s">
        <v>14725</v>
      </c>
      <c r="E39102" t="s">
        <v>154</v>
      </c>
      <c r="F39102" s="2" t="str">
        <f>HYPERLINK("http://www.otzar.org/book.asp?102643","ראש לראובני")</f>
        <v>ראש לראובני</v>
      </c>
    </row>
    <row r="39103" spans="1:6" x14ac:dyDescent="0.2">
      <c r="A39103" t="s">
        <v>59905</v>
      </c>
      <c r="D39103" t="s">
        <v>14445</v>
      </c>
      <c r="F39103" s="2" t="str">
        <f>HYPERLINK("http://www.otzar.org/book.asp?164744","ראש מלכים")</f>
        <v>ראש מלכים</v>
      </c>
    </row>
    <row r="39104" spans="1:6" x14ac:dyDescent="0.2">
      <c r="A39104" t="s">
        <v>59906</v>
      </c>
      <c r="B39104" t="s">
        <v>13038</v>
      </c>
      <c r="C39104" t="s">
        <v>5823</v>
      </c>
      <c r="D39104" t="s">
        <v>535</v>
      </c>
      <c r="E39104" t="s">
        <v>154</v>
      </c>
      <c r="F39104" s="2" t="str">
        <f>HYPERLINK("http://www.otzar.org/book.asp?21420","ראש מנשה")</f>
        <v>ראש מנשה</v>
      </c>
    </row>
    <row r="39105" spans="1:6" x14ac:dyDescent="0.2">
      <c r="A39105" t="s">
        <v>59907</v>
      </c>
      <c r="B39105" t="s">
        <v>59908</v>
      </c>
      <c r="C39105" t="s">
        <v>8222</v>
      </c>
      <c r="D39105" t="s">
        <v>49</v>
      </c>
      <c r="E39105" t="s">
        <v>158</v>
      </c>
      <c r="F39105" s="2" t="str">
        <f>HYPERLINK("http://www.otzar.org/book.asp?20660","ראש מר דרור")</f>
        <v>ראש מר דרור</v>
      </c>
    </row>
    <row r="39106" spans="1:6" x14ac:dyDescent="0.2">
      <c r="A39106" t="s">
        <v>59909</v>
      </c>
      <c r="B39106" t="s">
        <v>14857</v>
      </c>
      <c r="C39106" t="s">
        <v>411</v>
      </c>
      <c r="D39106" t="s">
        <v>1356</v>
      </c>
      <c r="E39106" t="s">
        <v>2088</v>
      </c>
      <c r="F39106" s="2" t="str">
        <f>HYPERLINK("http://www.otzar.org/book.asp?166035","ראש משביר &lt;הוצאה חדשה&gt;")</f>
        <v>ראש משביר &lt;הוצאה חדשה&gt;</v>
      </c>
    </row>
    <row r="39107" spans="1:6" x14ac:dyDescent="0.2">
      <c r="A39107" t="s">
        <v>59910</v>
      </c>
      <c r="B39107" t="s">
        <v>14857</v>
      </c>
      <c r="C39107" t="s">
        <v>6784</v>
      </c>
      <c r="D39107" t="s">
        <v>212</v>
      </c>
      <c r="E39107" t="s">
        <v>51986</v>
      </c>
      <c r="F39107" s="2" t="str">
        <f>HYPERLINK("http://www.otzar.org/book.asp?11555","ראש משביר - 2 כר'")</f>
        <v>ראש משביר - 2 כר'</v>
      </c>
    </row>
    <row r="39108" spans="1:6" x14ac:dyDescent="0.2">
      <c r="A39108" t="s">
        <v>59910</v>
      </c>
      <c r="B39108" t="s">
        <v>4686</v>
      </c>
      <c r="C39108" t="s">
        <v>59911</v>
      </c>
      <c r="D39108" t="s">
        <v>76</v>
      </c>
      <c r="E39108" t="s">
        <v>154</v>
      </c>
      <c r="F39108" s="2" t="str">
        <f>HYPERLINK("http://www.otzar.org/book.asp?101793","ראש משביר - 2 כר'")</f>
        <v>ראש משביר - 2 כר'</v>
      </c>
    </row>
    <row r="39109" spans="1:6" x14ac:dyDescent="0.2">
      <c r="A39109" t="s">
        <v>59912</v>
      </c>
      <c r="B39109" t="s">
        <v>23097</v>
      </c>
      <c r="C39109" t="s">
        <v>1177</v>
      </c>
      <c r="D39109" t="s">
        <v>56</v>
      </c>
      <c r="E39109" t="s">
        <v>345</v>
      </c>
      <c r="F39109" s="2" t="str">
        <f>HYPERLINK("http://www.otzar.org/book.asp?101729","ראש פינה")</f>
        <v>ראש פינה</v>
      </c>
    </row>
    <row r="39110" spans="1:6" x14ac:dyDescent="0.2">
      <c r="A39110" t="s">
        <v>59913</v>
      </c>
      <c r="B39110" t="s">
        <v>59914</v>
      </c>
      <c r="C39110" t="s">
        <v>168</v>
      </c>
      <c r="D39110" t="s">
        <v>80</v>
      </c>
      <c r="E39110" t="s">
        <v>15</v>
      </c>
      <c r="F39110" s="2" t="str">
        <f>HYPERLINK("http://www.otzar.org/book.asp?197833","ראש פינה - הל' יבום וחליצה")</f>
        <v>ראש פינה - הל' יבום וחליצה</v>
      </c>
    </row>
    <row r="39111" spans="1:6" x14ac:dyDescent="0.2">
      <c r="A39111" t="s">
        <v>59915</v>
      </c>
      <c r="B39111" t="s">
        <v>2483</v>
      </c>
      <c r="C39111" t="s">
        <v>624</v>
      </c>
      <c r="D39111" t="s">
        <v>52</v>
      </c>
      <c r="E39111" t="s">
        <v>803</v>
      </c>
      <c r="F39111" s="2" t="str">
        <f>HYPERLINK("http://www.otzar.org/book.asp?142057","ראש פנה, פנת יקרת")</f>
        <v>ראש פנה, פנת יקרת</v>
      </c>
    </row>
    <row r="39112" spans="1:6" x14ac:dyDescent="0.2">
      <c r="A39112" t="s">
        <v>59916</v>
      </c>
      <c r="B39112" t="s">
        <v>59917</v>
      </c>
      <c r="C39112" t="s">
        <v>189</v>
      </c>
      <c r="D39112" t="s">
        <v>2798</v>
      </c>
      <c r="E39112" t="s">
        <v>246</v>
      </c>
      <c r="F39112" s="2" t="str">
        <f>HYPERLINK("http://www.otzar.org/book.asp?159427","ראש שמחתי")</f>
        <v>ראש שמחתי</v>
      </c>
    </row>
    <row r="39113" spans="1:6" x14ac:dyDescent="0.2">
      <c r="A39113" t="s">
        <v>59918</v>
      </c>
      <c r="B39113" t="s">
        <v>29926</v>
      </c>
      <c r="C39113" t="s">
        <v>422</v>
      </c>
      <c r="D39113" t="s">
        <v>152</v>
      </c>
      <c r="E39113" t="s">
        <v>202</v>
      </c>
      <c r="F39113" s="2" t="str">
        <f>HYPERLINK("http://www.otzar.org/book.asp?84372","ראש שמחתי - א")</f>
        <v>ראש שמחתי - א</v>
      </c>
    </row>
    <row r="39114" spans="1:6" x14ac:dyDescent="0.2">
      <c r="A39114" t="s">
        <v>59919</v>
      </c>
      <c r="B39114" t="s">
        <v>1340</v>
      </c>
      <c r="C39114" t="s">
        <v>20</v>
      </c>
      <c r="D39114" t="s">
        <v>52</v>
      </c>
      <c r="E39114" t="s">
        <v>144</v>
      </c>
      <c r="F39114" s="2" t="str">
        <f>HYPERLINK("http://www.otzar.org/book.asp?622067","ראשון לציון &lt;מהדורה חדשה&gt; - 5 כר'")</f>
        <v>ראשון לציון &lt;מהדורה חדשה&gt; - 5 כר'</v>
      </c>
    </row>
    <row r="39115" spans="1:6" x14ac:dyDescent="0.2">
      <c r="A39115" t="s">
        <v>59920</v>
      </c>
      <c r="B39115" t="s">
        <v>1340</v>
      </c>
      <c r="C39115" t="s">
        <v>3246</v>
      </c>
      <c r="D39115" t="s">
        <v>27</v>
      </c>
      <c r="E39115" t="s">
        <v>7760</v>
      </c>
      <c r="F39115" s="2" t="str">
        <f>HYPERLINK("http://www.otzar.org/book.asp?11557","ראשון לציון - 2 כר'")</f>
        <v>ראשון לציון - 2 כר'</v>
      </c>
    </row>
    <row r="39116" spans="1:6" x14ac:dyDescent="0.2">
      <c r="A39116" t="s">
        <v>3560</v>
      </c>
      <c r="B39116" t="s">
        <v>5519</v>
      </c>
      <c r="C39116" t="s">
        <v>2543</v>
      </c>
      <c r="D39116" t="s">
        <v>283</v>
      </c>
      <c r="E39116" t="s">
        <v>154</v>
      </c>
      <c r="F39116" s="2" t="str">
        <f>HYPERLINK("http://www.otzar.org/book.asp?20659","ראשון לציון")</f>
        <v>ראשון לציון</v>
      </c>
    </row>
    <row r="39117" spans="1:6" x14ac:dyDescent="0.2">
      <c r="A39117" t="s">
        <v>59921</v>
      </c>
      <c r="B39117" t="s">
        <v>38143</v>
      </c>
      <c r="C39117" t="s">
        <v>843</v>
      </c>
      <c r="D39117" t="s">
        <v>260</v>
      </c>
      <c r="E39117" t="s">
        <v>119</v>
      </c>
      <c r="F39117" s="2" t="str">
        <f>HYPERLINK("http://www.otzar.org/book.asp?188483","ראשונים ואחרונים")</f>
        <v>ראשונים ואחרונים</v>
      </c>
    </row>
    <row r="39118" spans="1:6" x14ac:dyDescent="0.2">
      <c r="A39118" t="s">
        <v>59922</v>
      </c>
      <c r="B39118" t="s">
        <v>5293</v>
      </c>
      <c r="C39118" t="s">
        <v>151</v>
      </c>
      <c r="D39118" t="s">
        <v>14</v>
      </c>
      <c r="F39118" s="2" t="str">
        <f>HYPERLINK("http://www.otzar.org/book.asp?614851","ראשונים כמלאכים - 2 כר'")</f>
        <v>ראשונים כמלאכים - 2 כר'</v>
      </c>
    </row>
    <row r="39119" spans="1:6" x14ac:dyDescent="0.2">
      <c r="A39119" t="s">
        <v>59922</v>
      </c>
      <c r="B39119" t="s">
        <v>59923</v>
      </c>
      <c r="C39119" t="s">
        <v>13</v>
      </c>
      <c r="D39119" t="s">
        <v>14</v>
      </c>
      <c r="E39119" t="s">
        <v>119</v>
      </c>
      <c r="F39119" s="2" t="str">
        <f>HYPERLINK("http://www.otzar.org/book.asp?153499","ראשונים כמלאכים - 2 כר'")</f>
        <v>ראשונים כמלאכים - 2 כר'</v>
      </c>
    </row>
    <row r="39120" spans="1:6" x14ac:dyDescent="0.2">
      <c r="A39120" t="s">
        <v>59924</v>
      </c>
      <c r="B39120" t="s">
        <v>28001</v>
      </c>
      <c r="C39120" t="s">
        <v>366</v>
      </c>
      <c r="D39120" t="s">
        <v>486</v>
      </c>
      <c r="F39120" s="2" t="str">
        <f>HYPERLINK("http://www.otzar.org/book.asp?614464","ראשי אבות - תשרי, מרחשון")</f>
        <v>ראשי אבות - תשרי, מרחשון</v>
      </c>
    </row>
    <row r="39121" spans="1:6" x14ac:dyDescent="0.2">
      <c r="A39121" t="s">
        <v>59925</v>
      </c>
      <c r="B39121" t="s">
        <v>3989</v>
      </c>
      <c r="C39121" t="s">
        <v>624</v>
      </c>
      <c r="D39121" t="s">
        <v>52</v>
      </c>
      <c r="E39121" t="s">
        <v>1262</v>
      </c>
      <c r="F39121" s="2" t="str">
        <f>HYPERLINK("http://www.otzar.org/book.asp?84618","ראשי אבות")</f>
        <v>ראשי אבות</v>
      </c>
    </row>
    <row r="39122" spans="1:6" x14ac:dyDescent="0.2">
      <c r="A39122" t="s">
        <v>59926</v>
      </c>
      <c r="B39122" t="s">
        <v>59927</v>
      </c>
      <c r="C39122" t="s">
        <v>129</v>
      </c>
      <c r="D39122" t="s">
        <v>52</v>
      </c>
      <c r="E39122" t="s">
        <v>104</v>
      </c>
      <c r="F39122" s="2" t="str">
        <f>HYPERLINK("http://www.otzar.org/book.asp?191165","ראשי בשמים &lt;מהדורה חדשה&gt;")</f>
        <v>ראשי בשמים &lt;מהדורה חדשה&gt;</v>
      </c>
    </row>
    <row r="39123" spans="1:6" x14ac:dyDescent="0.2">
      <c r="A39123" t="s">
        <v>59928</v>
      </c>
      <c r="B39123" t="s">
        <v>59929</v>
      </c>
      <c r="C39123" t="s">
        <v>503</v>
      </c>
      <c r="D39123" t="s">
        <v>56</v>
      </c>
      <c r="E39123" t="s">
        <v>154</v>
      </c>
      <c r="F39123" s="2" t="str">
        <f>HYPERLINK("http://www.otzar.org/book.asp?5064","ראשי בשמים א -ב")</f>
        <v>ראשי בשמים א -ב</v>
      </c>
    </row>
    <row r="39124" spans="1:6" x14ac:dyDescent="0.2">
      <c r="A39124" t="s">
        <v>59930</v>
      </c>
      <c r="B39124" t="s">
        <v>49978</v>
      </c>
      <c r="C39124" t="s">
        <v>1335</v>
      </c>
      <c r="D39124" t="s">
        <v>283</v>
      </c>
      <c r="E39124" t="s">
        <v>59931</v>
      </c>
      <c r="F39124" s="2" t="str">
        <f>HYPERLINK("http://www.otzar.org/book.asp?5174","ראשי בשמים")</f>
        <v>ראשי בשמים</v>
      </c>
    </row>
    <row r="39125" spans="1:6" x14ac:dyDescent="0.2">
      <c r="A39125" t="s">
        <v>59932</v>
      </c>
      <c r="B39125" t="s">
        <v>59933</v>
      </c>
      <c r="C39125" t="s">
        <v>362</v>
      </c>
      <c r="D39125" t="s">
        <v>43422</v>
      </c>
      <c r="E39125" t="s">
        <v>172</v>
      </c>
      <c r="F39125" s="2" t="str">
        <f>HYPERLINK("http://www.otzar.org/book.asp?180080","ראשי בשמים - שושנת המלך")</f>
        <v>ראשי בשמים - שושנת המלך</v>
      </c>
    </row>
    <row r="39126" spans="1:6" x14ac:dyDescent="0.2">
      <c r="A39126" t="s">
        <v>59930</v>
      </c>
      <c r="B39126" t="s">
        <v>59927</v>
      </c>
      <c r="C39126" t="s">
        <v>777</v>
      </c>
      <c r="D39126" t="s">
        <v>100</v>
      </c>
      <c r="E39126" t="s">
        <v>104</v>
      </c>
      <c r="F39126" s="2" t="str">
        <f>HYPERLINK("http://www.otzar.org/book.asp?25342","ראשי בשמים")</f>
        <v>ראשי בשמים</v>
      </c>
    </row>
    <row r="39127" spans="1:6" x14ac:dyDescent="0.2">
      <c r="A39127" t="s">
        <v>59930</v>
      </c>
      <c r="B39127" t="s">
        <v>8751</v>
      </c>
      <c r="C39127" t="s">
        <v>71</v>
      </c>
      <c r="D39127" t="s">
        <v>52</v>
      </c>
      <c r="E39127" t="s">
        <v>104</v>
      </c>
      <c r="F39127" s="2" t="str">
        <f>HYPERLINK("http://www.otzar.org/book.asp?162784","ראשי בשמים")</f>
        <v>ראשי בשמים</v>
      </c>
    </row>
    <row r="39128" spans="1:6" x14ac:dyDescent="0.2">
      <c r="A39128" t="s">
        <v>59934</v>
      </c>
      <c r="B39128" t="s">
        <v>59935</v>
      </c>
      <c r="C39128" t="s">
        <v>454</v>
      </c>
      <c r="D39128" t="s">
        <v>412</v>
      </c>
      <c r="E39128" t="s">
        <v>3055</v>
      </c>
      <c r="F39128" s="2" t="str">
        <f>HYPERLINK("http://www.otzar.org/book.asp?162016","ראשי בשמים - 2 כר'")</f>
        <v>ראשי בשמים - 2 כר'</v>
      </c>
    </row>
    <row r="39129" spans="1:6" x14ac:dyDescent="0.2">
      <c r="A39129" t="s">
        <v>59930</v>
      </c>
      <c r="B39129" t="s">
        <v>7415</v>
      </c>
      <c r="C39129" t="s">
        <v>1650</v>
      </c>
      <c r="D39129" t="s">
        <v>1117</v>
      </c>
      <c r="F39129" s="2" t="str">
        <f>HYPERLINK("http://www.otzar.org/book.asp?149965","ראשי בשמים")</f>
        <v>ראשי בשמים</v>
      </c>
    </row>
    <row r="39130" spans="1:6" x14ac:dyDescent="0.2">
      <c r="A39130" t="s">
        <v>59936</v>
      </c>
      <c r="B39130" t="s">
        <v>52470</v>
      </c>
      <c r="C39130" t="s">
        <v>244</v>
      </c>
      <c r="D39130" t="s">
        <v>14</v>
      </c>
      <c r="F39130" s="2" t="str">
        <f>HYPERLINK("http://www.otzar.org/book.asp?620775","ראשי הרים  - אדמו""ר ר' יצחק מאיר מקאפיטשניץ")</f>
        <v>ראשי הרים  - אדמו"ר ר' יצחק מאיר מקאפיטשניץ</v>
      </c>
    </row>
    <row r="39131" spans="1:6" x14ac:dyDescent="0.2">
      <c r="A39131" t="s">
        <v>59937</v>
      </c>
      <c r="B39131" t="s">
        <v>12426</v>
      </c>
      <c r="C39131" t="s">
        <v>1208</v>
      </c>
      <c r="D39131" t="s">
        <v>52</v>
      </c>
      <c r="E39131" t="s">
        <v>15</v>
      </c>
      <c r="F39131" s="2" t="str">
        <f>HYPERLINK("http://www.otzar.org/book.asp?62839","ראשי חדשים כהלכתם")</f>
        <v>ראשי חדשים כהלכתם</v>
      </c>
    </row>
    <row r="39132" spans="1:6" x14ac:dyDescent="0.2">
      <c r="A39132" t="s">
        <v>59938</v>
      </c>
      <c r="B39132" t="s">
        <v>206</v>
      </c>
      <c r="C39132" t="s">
        <v>23</v>
      </c>
      <c r="D39132" t="s">
        <v>14</v>
      </c>
      <c r="E39132" t="s">
        <v>399</v>
      </c>
      <c r="F39132" s="2" t="str">
        <f>HYPERLINK("http://www.otzar.org/book.asp?193637","ראשי פרקים")</f>
        <v>ראשי פרקים</v>
      </c>
    </row>
    <row r="39133" spans="1:6" x14ac:dyDescent="0.2">
      <c r="A39133" t="s">
        <v>59939</v>
      </c>
      <c r="B39133" t="s">
        <v>59940</v>
      </c>
      <c r="C39133" t="s">
        <v>51</v>
      </c>
      <c r="D39133" t="s">
        <v>1356</v>
      </c>
      <c r="E39133" t="s">
        <v>144</v>
      </c>
      <c r="F39133" s="2" t="str">
        <f>HYPERLINK("http://www.otzar.org/book.asp?620115","ראשי פרקים - כתובות")</f>
        <v>ראשי פרקים - כתובות</v>
      </c>
    </row>
    <row r="39134" spans="1:6" x14ac:dyDescent="0.2">
      <c r="A39134" t="s">
        <v>59941</v>
      </c>
      <c r="B39134" t="s">
        <v>7503</v>
      </c>
      <c r="C39134" t="s">
        <v>356</v>
      </c>
      <c r="D39134" t="s">
        <v>14</v>
      </c>
      <c r="E39134" t="s">
        <v>144</v>
      </c>
      <c r="F39134" s="2" t="str">
        <f>HYPERLINK("http://www.otzar.org/book.asp?26769","ראשי שערים - 4 כר'")</f>
        <v>ראשי שערים - 4 כר'</v>
      </c>
    </row>
    <row r="39135" spans="1:6" x14ac:dyDescent="0.2">
      <c r="A39135" t="s">
        <v>59942</v>
      </c>
      <c r="B39135" t="s">
        <v>59943</v>
      </c>
      <c r="C39135" t="s">
        <v>99</v>
      </c>
      <c r="D39135" t="s">
        <v>1239</v>
      </c>
      <c r="E39135" t="s">
        <v>104</v>
      </c>
      <c r="F39135" s="2" t="str">
        <f>HYPERLINK("http://www.otzar.org/book.asp?6591","ראשי תיבות")</f>
        <v>ראשי תיבות</v>
      </c>
    </row>
    <row r="39136" spans="1:6" x14ac:dyDescent="0.2">
      <c r="A39136" t="s">
        <v>59944</v>
      </c>
      <c r="B39136" t="s">
        <v>17091</v>
      </c>
      <c r="C39136" t="s">
        <v>244</v>
      </c>
      <c r="D39136" t="s">
        <v>245</v>
      </c>
      <c r="E39136" t="s">
        <v>84</v>
      </c>
      <c r="F39136" s="2" t="str">
        <f>HYPERLINK("http://www.otzar.org/book.asp?607210","ראשית אוני - ביכורים")</f>
        <v>ראשית אוני - ביכורים</v>
      </c>
    </row>
    <row r="39137" spans="1:6" x14ac:dyDescent="0.2">
      <c r="A39137" t="s">
        <v>59945</v>
      </c>
      <c r="B39137" t="s">
        <v>29679</v>
      </c>
      <c r="C39137" t="s">
        <v>151</v>
      </c>
      <c r="D39137" t="s">
        <v>90</v>
      </c>
      <c r="F39137" s="2" t="str">
        <f>HYPERLINK("http://www.otzar.org/book.asp?617583","ראשית ביכורי אדמתך")</f>
        <v>ראשית ביכורי אדמתך</v>
      </c>
    </row>
    <row r="39138" spans="1:6" x14ac:dyDescent="0.2">
      <c r="A39138" t="s">
        <v>59946</v>
      </c>
      <c r="B39138" t="s">
        <v>13881</v>
      </c>
      <c r="C39138" t="s">
        <v>13</v>
      </c>
      <c r="D39138" t="s">
        <v>486</v>
      </c>
      <c r="F39138" s="2" t="str">
        <f>HYPERLINK("http://www.otzar.org/book.asp?610296","ראשית ביכורים")</f>
        <v>ראשית ביכורים</v>
      </c>
    </row>
    <row r="39139" spans="1:6" x14ac:dyDescent="0.2">
      <c r="A39139" t="s">
        <v>59946</v>
      </c>
      <c r="B39139" t="s">
        <v>59947</v>
      </c>
      <c r="C39139" t="s">
        <v>411</v>
      </c>
      <c r="D39139" t="s">
        <v>20</v>
      </c>
      <c r="F39139" s="2" t="str">
        <f>HYPERLINK("http://www.otzar.org/book.asp?199101","ראשית ביכורים")</f>
        <v>ראשית ביכורים</v>
      </c>
    </row>
    <row r="39140" spans="1:6" x14ac:dyDescent="0.2">
      <c r="A39140" t="s">
        <v>59948</v>
      </c>
      <c r="B39140" t="s">
        <v>59949</v>
      </c>
      <c r="C39140" t="s">
        <v>1609</v>
      </c>
      <c r="D39140" t="s">
        <v>260</v>
      </c>
      <c r="E39140" t="s">
        <v>104</v>
      </c>
      <c r="F39140" s="2" t="str">
        <f>HYPERLINK("http://www.otzar.org/book.asp?151559","ראשית בכורי הביבליוגרפיה בספרות העברית")</f>
        <v>ראשית בכורי הביבליוגרפיה בספרות העברית</v>
      </c>
    </row>
    <row r="39141" spans="1:6" x14ac:dyDescent="0.2">
      <c r="A39141" t="s">
        <v>59950</v>
      </c>
      <c r="B39141" t="s">
        <v>5703</v>
      </c>
      <c r="C39141" t="s">
        <v>59951</v>
      </c>
      <c r="D39141" t="s">
        <v>283</v>
      </c>
      <c r="E39141" t="s">
        <v>4333</v>
      </c>
      <c r="F39141" s="2" t="str">
        <f>HYPERLINK("http://www.otzar.org/book.asp?103724","ראשית בכורי משה חיים א-ב")</f>
        <v>ראשית בכורי משה חיים א-ב</v>
      </c>
    </row>
    <row r="39142" spans="1:6" x14ac:dyDescent="0.2">
      <c r="A39142" t="s">
        <v>59952</v>
      </c>
      <c r="B39142" t="s">
        <v>48979</v>
      </c>
      <c r="C39142" t="s">
        <v>2672</v>
      </c>
      <c r="D39142" t="s">
        <v>49</v>
      </c>
      <c r="E39142" t="s">
        <v>10</v>
      </c>
      <c r="F39142" s="2" t="str">
        <f>HYPERLINK("http://www.otzar.org/book.asp?20627","ראשית בכורי קציר")</f>
        <v>ראשית בכורי קציר</v>
      </c>
    </row>
    <row r="39143" spans="1:6" x14ac:dyDescent="0.2">
      <c r="A39143" t="s">
        <v>59953</v>
      </c>
      <c r="B39143" t="s">
        <v>10250</v>
      </c>
      <c r="C39143" t="s">
        <v>1047</v>
      </c>
      <c r="D39143" t="s">
        <v>280</v>
      </c>
      <c r="E39143" t="s">
        <v>435</v>
      </c>
      <c r="F39143" s="2" t="str">
        <f>HYPERLINK("http://www.otzar.org/book.asp?13775","ראשית בכורי")</f>
        <v>ראשית בכורי</v>
      </c>
    </row>
    <row r="39144" spans="1:6" x14ac:dyDescent="0.2">
      <c r="A39144" t="s">
        <v>59954</v>
      </c>
      <c r="B39144" t="s">
        <v>59955</v>
      </c>
      <c r="C39144" t="s">
        <v>547</v>
      </c>
      <c r="D39144" t="s">
        <v>225</v>
      </c>
      <c r="E39144" t="s">
        <v>920</v>
      </c>
      <c r="F39144" s="2" t="str">
        <f>HYPERLINK("http://www.otzar.org/book.asp?106187","ראשית בכורים - 2 כר'")</f>
        <v>ראשית בכורים - 2 כר'</v>
      </c>
    </row>
    <row r="39145" spans="1:6" x14ac:dyDescent="0.2">
      <c r="A39145" t="s">
        <v>59956</v>
      </c>
      <c r="B39145" t="s">
        <v>22223</v>
      </c>
      <c r="C39145" t="s">
        <v>8294</v>
      </c>
      <c r="D39145" t="s">
        <v>322</v>
      </c>
      <c r="E39145" t="s">
        <v>234</v>
      </c>
      <c r="F39145" s="2" t="str">
        <f>HYPERLINK("http://www.otzar.org/book.asp?20628","ראשית בכורים")</f>
        <v>ראשית בכורים</v>
      </c>
    </row>
    <row r="39146" spans="1:6" x14ac:dyDescent="0.2">
      <c r="A39146" t="s">
        <v>59956</v>
      </c>
      <c r="B39146" t="s">
        <v>33625</v>
      </c>
      <c r="C39146" t="s">
        <v>1058</v>
      </c>
      <c r="D39146" t="s">
        <v>56</v>
      </c>
      <c r="E39146" t="s">
        <v>154</v>
      </c>
      <c r="F39146" s="2" t="str">
        <f>HYPERLINK("http://www.otzar.org/book.asp?16911","ראשית בכורים")</f>
        <v>ראשית בכורים</v>
      </c>
    </row>
    <row r="39147" spans="1:6" x14ac:dyDescent="0.2">
      <c r="A39147" t="s">
        <v>59956</v>
      </c>
      <c r="B39147" t="s">
        <v>8886</v>
      </c>
      <c r="C39147" t="s">
        <v>143</v>
      </c>
      <c r="D39147" t="s">
        <v>852</v>
      </c>
      <c r="E39147" t="s">
        <v>202</v>
      </c>
      <c r="F39147" s="2" t="str">
        <f>HYPERLINK("http://www.otzar.org/book.asp?169085","ראשית בכורים")</f>
        <v>ראשית בכורים</v>
      </c>
    </row>
    <row r="39148" spans="1:6" x14ac:dyDescent="0.2">
      <c r="A39148" t="s">
        <v>59957</v>
      </c>
      <c r="B39148" t="s">
        <v>59958</v>
      </c>
      <c r="C39148" t="s">
        <v>176</v>
      </c>
      <c r="D39148" t="s">
        <v>52</v>
      </c>
      <c r="E39148" t="s">
        <v>213</v>
      </c>
      <c r="F39148" s="2" t="str">
        <f>HYPERLINK("http://www.otzar.org/book.asp?168183","ראשית דבר")</f>
        <v>ראשית דבר</v>
      </c>
    </row>
    <row r="39149" spans="1:6" x14ac:dyDescent="0.2">
      <c r="A39149" t="s">
        <v>59959</v>
      </c>
      <c r="B39149" t="s">
        <v>3663</v>
      </c>
      <c r="C39149" t="s">
        <v>13</v>
      </c>
      <c r="D39149" t="s">
        <v>2285</v>
      </c>
      <c r="E39149" t="s">
        <v>15</v>
      </c>
      <c r="F39149" s="2" t="str">
        <f>HYPERLINK("http://www.otzar.org/book.asp?182403","ראשית דגנך")</f>
        <v>ראשית דגנך</v>
      </c>
    </row>
    <row r="39150" spans="1:6" x14ac:dyDescent="0.2">
      <c r="A39150" t="s">
        <v>59960</v>
      </c>
      <c r="B39150" t="s">
        <v>49465</v>
      </c>
      <c r="C39150" t="s">
        <v>728</v>
      </c>
      <c r="D39150" t="s">
        <v>283</v>
      </c>
      <c r="E39150" t="s">
        <v>2840</v>
      </c>
      <c r="F39150" s="2" t="str">
        <f>HYPERLINK("http://www.otzar.org/book.asp?19181","ראשית דוד")</f>
        <v>ראשית דוד</v>
      </c>
    </row>
    <row r="39151" spans="1:6" x14ac:dyDescent="0.2">
      <c r="A39151" t="s">
        <v>59961</v>
      </c>
      <c r="B39151" t="s">
        <v>59962</v>
      </c>
      <c r="C39151" t="s">
        <v>422</v>
      </c>
      <c r="D39151" t="s">
        <v>14</v>
      </c>
      <c r="E39151" t="s">
        <v>104</v>
      </c>
      <c r="F39151" s="2" t="str">
        <f>HYPERLINK("http://www.otzar.org/book.asp?84211","ראשית דעת")</f>
        <v>ראשית דעת</v>
      </c>
    </row>
    <row r="39152" spans="1:6" x14ac:dyDescent="0.2">
      <c r="A39152" t="s">
        <v>59963</v>
      </c>
      <c r="B39152" t="s">
        <v>16914</v>
      </c>
      <c r="C39152" t="s">
        <v>27030</v>
      </c>
      <c r="D39152" t="s">
        <v>49</v>
      </c>
      <c r="F39152" s="2" t="str">
        <f>HYPERLINK("http://www.otzar.org/book.asp?164745","ראשית דעת - 3 כר'")</f>
        <v>ראשית דעת - 3 כר'</v>
      </c>
    </row>
    <row r="39153" spans="1:6" x14ac:dyDescent="0.2">
      <c r="A39153" t="s">
        <v>59964</v>
      </c>
      <c r="B39153" t="s">
        <v>59965</v>
      </c>
      <c r="C39153" t="s">
        <v>1663</v>
      </c>
      <c r="D39153" t="s">
        <v>260</v>
      </c>
      <c r="E39153" t="s">
        <v>213</v>
      </c>
      <c r="F39153" s="2" t="str">
        <f>HYPERLINK("http://www.otzar.org/book.asp?144817","ראשית דעת - 2 כר'")</f>
        <v>ראשית דעת - 2 כר'</v>
      </c>
    </row>
    <row r="39154" spans="1:6" x14ac:dyDescent="0.2">
      <c r="A39154" t="s">
        <v>59966</v>
      </c>
      <c r="B39154" t="s">
        <v>4918</v>
      </c>
      <c r="C39154" t="s">
        <v>767</v>
      </c>
      <c r="D39154" t="s">
        <v>4919</v>
      </c>
      <c r="E39154" t="s">
        <v>241</v>
      </c>
      <c r="F39154" s="2" t="str">
        <f>HYPERLINK("http://www.otzar.org/book.asp?63926","ראשית דעת - 5 כר'")</f>
        <v>ראשית דעת - 5 כר'</v>
      </c>
    </row>
    <row r="39155" spans="1:6" x14ac:dyDescent="0.2">
      <c r="A39155" t="s">
        <v>59961</v>
      </c>
      <c r="B39155" t="s">
        <v>15161</v>
      </c>
      <c r="C39155" t="s">
        <v>411</v>
      </c>
      <c r="D39155" t="s">
        <v>52</v>
      </c>
      <c r="F39155" s="2" t="str">
        <f>HYPERLINK("http://www.otzar.org/book.asp?617218","ראשית דעת")</f>
        <v>ראשית דעת</v>
      </c>
    </row>
    <row r="39156" spans="1:6" x14ac:dyDescent="0.2">
      <c r="A39156" t="s">
        <v>59967</v>
      </c>
      <c r="B39156" t="s">
        <v>8732</v>
      </c>
      <c r="C39156" t="s">
        <v>725</v>
      </c>
      <c r="D39156" t="s">
        <v>592</v>
      </c>
      <c r="E39156" t="s">
        <v>733</v>
      </c>
      <c r="F39156" s="2" t="str">
        <f>HYPERLINK("http://www.otzar.org/book.asp?625027","ראשית הישוב מחוץ לחומת ירושלם")</f>
        <v>ראשית הישוב מחוץ לחומת ירושלם</v>
      </c>
    </row>
    <row r="39157" spans="1:6" x14ac:dyDescent="0.2">
      <c r="A39157" t="s">
        <v>59968</v>
      </c>
      <c r="B39157" t="s">
        <v>15537</v>
      </c>
      <c r="C39157" t="s">
        <v>17</v>
      </c>
      <c r="D39157" t="s">
        <v>216</v>
      </c>
      <c r="E39157" t="s">
        <v>213</v>
      </c>
      <c r="F39157" s="2" t="str">
        <f>HYPERLINK("http://www.otzar.org/book.asp?148679","ראשית העבודה")</f>
        <v>ראשית העבודה</v>
      </c>
    </row>
    <row r="39158" spans="1:6" x14ac:dyDescent="0.2">
      <c r="A39158" t="s">
        <v>59969</v>
      </c>
      <c r="B39158" t="s">
        <v>59970</v>
      </c>
      <c r="C39158" t="s">
        <v>854</v>
      </c>
      <c r="D39158" t="s">
        <v>4269</v>
      </c>
      <c r="E39158" t="s">
        <v>15</v>
      </c>
      <c r="F39158" s="2" t="str">
        <f>HYPERLINK("http://www.otzar.org/book.asp?51814","ראשית העומר")</f>
        <v>ראשית העומר</v>
      </c>
    </row>
    <row r="39159" spans="1:6" x14ac:dyDescent="0.2">
      <c r="A39159" t="s">
        <v>59971</v>
      </c>
      <c r="B39159" t="s">
        <v>45525</v>
      </c>
      <c r="C39159" t="s">
        <v>1208</v>
      </c>
      <c r="D39159" t="s">
        <v>45526</v>
      </c>
      <c r="F39159" s="2" t="str">
        <f>HYPERLINK("http://www.otzar.org/book.asp?623105","ראשית הפייטנות בבלקנים")</f>
        <v>ראשית הפייטנות בבלקנים</v>
      </c>
    </row>
    <row r="39160" spans="1:6" x14ac:dyDescent="0.2">
      <c r="A39160" t="s">
        <v>59972</v>
      </c>
      <c r="B39160" t="s">
        <v>59973</v>
      </c>
      <c r="C39160" t="s">
        <v>1388</v>
      </c>
      <c r="D39160" t="s">
        <v>14</v>
      </c>
      <c r="E39160" t="s">
        <v>3055</v>
      </c>
      <c r="F39160" s="2" t="str">
        <f>HYPERLINK("http://www.otzar.org/book.asp?154514","ראשית השנה")</f>
        <v>ראשית השנה</v>
      </c>
    </row>
    <row r="39161" spans="1:6" x14ac:dyDescent="0.2">
      <c r="A39161" t="s">
        <v>59974</v>
      </c>
      <c r="B39161" t="s">
        <v>59975</v>
      </c>
      <c r="C39161" t="s">
        <v>12392</v>
      </c>
      <c r="D39161" t="s">
        <v>49</v>
      </c>
      <c r="E39161" t="s">
        <v>314</v>
      </c>
      <c r="F39161" s="2" t="str">
        <f>HYPERLINK("http://www.otzar.org/book.asp?53563","ראשית חכמה &lt;דפו""ר&gt; - 2 כר'")</f>
        <v>ראשית חכמה &lt;דפו"ר&gt; - 2 כר'</v>
      </c>
    </row>
    <row r="39162" spans="1:6" x14ac:dyDescent="0.2">
      <c r="A39162" t="s">
        <v>59976</v>
      </c>
      <c r="B39162" t="s">
        <v>59342</v>
      </c>
      <c r="C39162" t="s">
        <v>1166</v>
      </c>
      <c r="D39162" t="s">
        <v>90</v>
      </c>
      <c r="E39162" t="s">
        <v>314</v>
      </c>
      <c r="F39162" s="2" t="str">
        <f>HYPERLINK("http://www.otzar.org/book.asp?24721","ראשית חכמה הקצר - 3 כר'")</f>
        <v>ראשית חכמה הקצר - 3 כר'</v>
      </c>
    </row>
    <row r="39163" spans="1:6" x14ac:dyDescent="0.2">
      <c r="A39163" t="s">
        <v>59977</v>
      </c>
      <c r="B39163" t="s">
        <v>59975</v>
      </c>
      <c r="C39163" t="s">
        <v>59978</v>
      </c>
      <c r="D39163" t="s">
        <v>21010</v>
      </c>
      <c r="E39163" t="s">
        <v>241</v>
      </c>
      <c r="F39163" s="2" t="str">
        <f>HYPERLINK("http://www.otzar.org/book.asp?618649","ראשית חכמה הקצר")</f>
        <v>ראשית חכמה הקצר</v>
      </c>
    </row>
    <row r="39164" spans="1:6" x14ac:dyDescent="0.2">
      <c r="A39164" t="s">
        <v>59979</v>
      </c>
      <c r="B39164" t="s">
        <v>1457</v>
      </c>
      <c r="C39164" t="s">
        <v>854</v>
      </c>
      <c r="D39164" t="s">
        <v>280</v>
      </c>
      <c r="E39164" t="s">
        <v>213</v>
      </c>
      <c r="F39164" s="2" t="str">
        <f>HYPERLINK("http://www.otzar.org/book.asp?12191","ראשית חכמה")</f>
        <v>ראשית חכמה</v>
      </c>
    </row>
    <row r="39165" spans="1:6" x14ac:dyDescent="0.2">
      <c r="A39165" t="s">
        <v>59980</v>
      </c>
      <c r="B39165" t="s">
        <v>6206</v>
      </c>
      <c r="C39165" t="s">
        <v>59981</v>
      </c>
      <c r="D39165" t="s">
        <v>52</v>
      </c>
      <c r="E39165" t="s">
        <v>144</v>
      </c>
      <c r="F39165" s="2" t="str">
        <f>HYPERLINK("http://www.otzar.org/book.asp?610785","ראשית חכמה - ברכות")</f>
        <v>ראשית חכמה - ברכות</v>
      </c>
    </row>
    <row r="39166" spans="1:6" x14ac:dyDescent="0.2">
      <c r="A39166" t="s">
        <v>59982</v>
      </c>
      <c r="B39166" t="s">
        <v>59975</v>
      </c>
      <c r="C39166" t="s">
        <v>22961</v>
      </c>
      <c r="D39166" t="s">
        <v>1490</v>
      </c>
      <c r="F39166" s="2" t="str">
        <f>HYPERLINK("http://www.otzar.org/book.asp?164768","ראשית חכמה - 9 כר'")</f>
        <v>ראשית חכמה - 9 כר'</v>
      </c>
    </row>
    <row r="39167" spans="1:6" x14ac:dyDescent="0.2">
      <c r="A39167" t="s">
        <v>59983</v>
      </c>
      <c r="B39167" t="s">
        <v>531</v>
      </c>
      <c r="C39167" t="s">
        <v>1811</v>
      </c>
      <c r="D39167" t="s">
        <v>14</v>
      </c>
      <c r="E39167" t="s">
        <v>104</v>
      </c>
      <c r="F39167" s="2" t="str">
        <f>HYPERLINK("http://www.otzar.org/book.asp?154631","ראשית חכמה, ספר הטעמים")</f>
        <v>ראשית חכמה, ספר הטעמים</v>
      </c>
    </row>
    <row r="39168" spans="1:6" x14ac:dyDescent="0.2">
      <c r="A39168" t="s">
        <v>59984</v>
      </c>
      <c r="B39168" t="s">
        <v>35599</v>
      </c>
      <c r="D39168" t="s">
        <v>412</v>
      </c>
      <c r="E39168" t="s">
        <v>59985</v>
      </c>
      <c r="F39168" s="2" t="str">
        <f>HYPERLINK("http://www.otzar.org/book.asp?179567","ראשית ישראל - מקוואות")</f>
        <v>ראשית ישראל - מקוואות</v>
      </c>
    </row>
    <row r="39169" spans="1:6" x14ac:dyDescent="0.2">
      <c r="A39169" t="s">
        <v>59986</v>
      </c>
      <c r="B39169" t="s">
        <v>59987</v>
      </c>
      <c r="C39169" t="s">
        <v>9946</v>
      </c>
      <c r="D39169" t="s">
        <v>280</v>
      </c>
      <c r="E39169" t="s">
        <v>104</v>
      </c>
      <c r="F39169" s="2" t="str">
        <f>HYPERLINK("http://www.otzar.org/book.asp?200385","ראשית למודים")</f>
        <v>ראשית למודים</v>
      </c>
    </row>
    <row r="39170" spans="1:6" x14ac:dyDescent="0.2">
      <c r="A39170" t="s">
        <v>59988</v>
      </c>
      <c r="B39170" t="s">
        <v>489</v>
      </c>
      <c r="F39170" s="2" t="str">
        <f>HYPERLINK("http://www.otzar.org/book.asp?610783","ראשית למחשבה ישראלית")</f>
        <v>ראשית למחשבה ישראלית</v>
      </c>
    </row>
    <row r="39171" spans="1:6" x14ac:dyDescent="0.2">
      <c r="A39171" t="s">
        <v>59989</v>
      </c>
      <c r="B39171" t="s">
        <v>59990</v>
      </c>
      <c r="C39171" t="s">
        <v>79</v>
      </c>
      <c r="D39171" t="s">
        <v>41003</v>
      </c>
      <c r="E39171" t="s">
        <v>119</v>
      </c>
      <c r="F39171" s="2" t="str">
        <f>HYPERLINK("http://www.otzar.org/book.asp?603056","ראשית למלאת שבעים שנה לפתח תקוה")</f>
        <v>ראשית למלאת שבעים שנה לפתח תקוה</v>
      </c>
    </row>
    <row r="39172" spans="1:6" x14ac:dyDescent="0.2">
      <c r="A39172" t="s">
        <v>59991</v>
      </c>
      <c r="B39172" t="s">
        <v>59992</v>
      </c>
      <c r="C39172" t="s">
        <v>1169</v>
      </c>
      <c r="D39172" t="s">
        <v>9</v>
      </c>
      <c r="E39172" t="s">
        <v>59993</v>
      </c>
      <c r="F39172" s="2" t="str">
        <f>HYPERLINK("http://www.otzar.org/book.asp?8582","ראשית מגדים")</f>
        <v>ראשית מגדים</v>
      </c>
    </row>
    <row r="39173" spans="1:6" x14ac:dyDescent="0.2">
      <c r="A39173" t="s">
        <v>59994</v>
      </c>
      <c r="B39173" t="s">
        <v>59995</v>
      </c>
      <c r="C39173" t="s">
        <v>189</v>
      </c>
      <c r="D39173" t="s">
        <v>14</v>
      </c>
      <c r="E39173" t="s">
        <v>84</v>
      </c>
      <c r="F39173" s="2" t="str">
        <f>HYPERLINK("http://www.otzar.org/book.asp?163275","ראשית עריסותיכם - טהרת ידים")</f>
        <v>ראשית עריסותיכם - טהרת ידים</v>
      </c>
    </row>
    <row r="39174" spans="1:6" x14ac:dyDescent="0.2">
      <c r="A39174" t="s">
        <v>59996</v>
      </c>
      <c r="B39174" t="s">
        <v>55164</v>
      </c>
      <c r="C39174" t="s">
        <v>422</v>
      </c>
      <c r="D39174" t="s">
        <v>14</v>
      </c>
      <c r="E39174" t="s">
        <v>2091</v>
      </c>
      <c r="F39174" s="2" t="str">
        <f>HYPERLINK("http://www.otzar.org/book.asp?170813","ראשית עריסותכם - חלה")</f>
        <v>ראשית עריסותכם - חלה</v>
      </c>
    </row>
    <row r="39175" spans="1:6" x14ac:dyDescent="0.2">
      <c r="A39175" t="s">
        <v>59997</v>
      </c>
      <c r="B39175" t="s">
        <v>11528</v>
      </c>
      <c r="C39175" t="s">
        <v>71</v>
      </c>
      <c r="D39175" t="s">
        <v>21</v>
      </c>
      <c r="E39175" t="s">
        <v>202</v>
      </c>
      <c r="F39175" s="2" t="str">
        <f>HYPERLINK("http://www.otzar.org/book.asp?193658","ראשית - 2 כר'")</f>
        <v>ראשית - 2 כר'</v>
      </c>
    </row>
    <row r="39176" spans="1:6" x14ac:dyDescent="0.2">
      <c r="A39176" t="s">
        <v>59998</v>
      </c>
      <c r="B39176" t="s">
        <v>7913</v>
      </c>
      <c r="C39176" t="s">
        <v>5242</v>
      </c>
      <c r="D39176" t="s">
        <v>49</v>
      </c>
      <c r="E39176" t="s">
        <v>15</v>
      </c>
      <c r="F39176" s="2" t="str">
        <f>HYPERLINK("http://www.otzar.org/book.asp?170985","רב אלפס - א")</f>
        <v>רב אלפס - א</v>
      </c>
    </row>
    <row r="39177" spans="1:6" x14ac:dyDescent="0.2">
      <c r="A39177" t="s">
        <v>59999</v>
      </c>
      <c r="B39177" t="s">
        <v>60000</v>
      </c>
      <c r="C39177" t="s">
        <v>411</v>
      </c>
      <c r="D39177" t="s">
        <v>21</v>
      </c>
      <c r="E39177" t="s">
        <v>803</v>
      </c>
      <c r="F39177" s="2" t="str">
        <f>HYPERLINK("http://www.otzar.org/book.asp?197285","רב אלפס - מלחמות השם - ספר הזכות - מאה שערים - חידושי הרשב""א ליקוטים והשלמות - כ")</f>
        <v>רב אלפס - מלחמות השם - ספר הזכות - מאה שערים - חידושי הרשב"א ליקוטים והשלמות - כ</v>
      </c>
    </row>
    <row r="39178" spans="1:6" x14ac:dyDescent="0.2">
      <c r="A39178" t="s">
        <v>60001</v>
      </c>
      <c r="B39178" t="s">
        <v>60002</v>
      </c>
      <c r="C39178" t="s">
        <v>581</v>
      </c>
      <c r="D39178" t="s">
        <v>27</v>
      </c>
      <c r="E39178" t="s">
        <v>119</v>
      </c>
      <c r="F39178" s="2" t="str">
        <f>HYPERLINK("http://www.otzar.org/book.asp?181057","רב אשי")</f>
        <v>רב אשי</v>
      </c>
    </row>
    <row r="39179" spans="1:6" x14ac:dyDescent="0.2">
      <c r="A39179" t="s">
        <v>60003</v>
      </c>
      <c r="B39179" t="s">
        <v>3900</v>
      </c>
      <c r="C39179" t="s">
        <v>523</v>
      </c>
      <c r="D39179" t="s">
        <v>52</v>
      </c>
      <c r="E39179" t="s">
        <v>803</v>
      </c>
      <c r="F39179" s="2" t="str">
        <f>HYPERLINK("http://www.otzar.org/book.asp?26810","רב ברכות השלם")</f>
        <v>רב ברכות השלם</v>
      </c>
    </row>
    <row r="39180" spans="1:6" x14ac:dyDescent="0.2">
      <c r="A39180" t="s">
        <v>60004</v>
      </c>
      <c r="B39180" t="s">
        <v>3900</v>
      </c>
      <c r="C39180" t="s">
        <v>87</v>
      </c>
      <c r="D39180" t="s">
        <v>657</v>
      </c>
      <c r="E39180" t="s">
        <v>15</v>
      </c>
      <c r="F39180" s="2" t="str">
        <f>HYPERLINK("http://www.otzar.org/book.asp?26863","רב ברכות")</f>
        <v>רב ברכות</v>
      </c>
    </row>
    <row r="39181" spans="1:6" x14ac:dyDescent="0.2">
      <c r="A39181" t="s">
        <v>60005</v>
      </c>
      <c r="B39181" t="s">
        <v>599</v>
      </c>
      <c r="C39181" t="s">
        <v>71</v>
      </c>
      <c r="D39181" t="s">
        <v>2458</v>
      </c>
      <c r="E39181" t="s">
        <v>104</v>
      </c>
      <c r="F39181" s="2" t="str">
        <f>HYPERLINK("http://www.otzar.org/book.asp?148910","רב ברכות - 3 כר'")</f>
        <v>רב ברכות - 3 כר'</v>
      </c>
    </row>
    <row r="39182" spans="1:6" x14ac:dyDescent="0.2">
      <c r="A39182" t="s">
        <v>60005</v>
      </c>
      <c r="B39182" t="s">
        <v>1750</v>
      </c>
      <c r="C39182" t="s">
        <v>151</v>
      </c>
      <c r="D39182" t="s">
        <v>14</v>
      </c>
      <c r="E39182" t="s">
        <v>202</v>
      </c>
      <c r="F39182" s="2" t="str">
        <f>HYPERLINK("http://www.otzar.org/book.asp?625524","רב ברכות - 3 כר'")</f>
        <v>רב ברכות - 3 כר'</v>
      </c>
    </row>
    <row r="39183" spans="1:6" x14ac:dyDescent="0.2">
      <c r="A39183" t="s">
        <v>60006</v>
      </c>
      <c r="B39183" t="s">
        <v>31747</v>
      </c>
      <c r="C39183" t="s">
        <v>60007</v>
      </c>
      <c r="D39183" t="s">
        <v>76</v>
      </c>
      <c r="E39183" t="s">
        <v>154</v>
      </c>
      <c r="F39183" s="2" t="str">
        <f>HYPERLINK("http://www.otzar.org/book.asp?101553","רב דגן - 2 כר'")</f>
        <v>רב דגן - 2 כר'</v>
      </c>
    </row>
    <row r="39184" spans="1:6" x14ac:dyDescent="0.2">
      <c r="A39184" t="s">
        <v>60008</v>
      </c>
      <c r="B39184" t="s">
        <v>47476</v>
      </c>
      <c r="C39184" t="s">
        <v>20</v>
      </c>
      <c r="D39184" t="s">
        <v>90</v>
      </c>
      <c r="E39184" t="s">
        <v>119</v>
      </c>
      <c r="F39184" s="2" t="str">
        <f>HYPERLINK("http://www.otzar.org/book.asp?52417","רב האי גאון (מתוך ספר השנה)")</f>
        <v>רב האי גאון (מתוך ספר השנה)</v>
      </c>
    </row>
    <row r="39185" spans="1:6" x14ac:dyDescent="0.2">
      <c r="A39185" t="s">
        <v>60009</v>
      </c>
      <c r="B39185" t="s">
        <v>1750</v>
      </c>
      <c r="C39185" t="s">
        <v>812</v>
      </c>
      <c r="D39185" t="s">
        <v>27</v>
      </c>
      <c r="E39185" t="s">
        <v>23176</v>
      </c>
      <c r="F39185" s="2" t="str">
        <f>HYPERLINK("http://www.otzar.org/book.asp?90","רב האי גאון")</f>
        <v>רב האי גאון</v>
      </c>
    </row>
    <row r="39186" spans="1:6" x14ac:dyDescent="0.2">
      <c r="A39186" t="s">
        <v>60010</v>
      </c>
      <c r="B39186" t="s">
        <v>60011</v>
      </c>
      <c r="C39186" t="s">
        <v>1062</v>
      </c>
      <c r="D39186" t="s">
        <v>646</v>
      </c>
      <c r="F39186" s="2" t="str">
        <f>HYPERLINK("http://www.otzar.org/book.asp?615657","רב החובל")</f>
        <v>רב החובל</v>
      </c>
    </row>
    <row r="39187" spans="1:6" x14ac:dyDescent="0.2">
      <c r="A39187" t="s">
        <v>60012</v>
      </c>
      <c r="B39187" t="s">
        <v>4854</v>
      </c>
      <c r="C39187" t="s">
        <v>37</v>
      </c>
      <c r="D39187" t="s">
        <v>367</v>
      </c>
      <c r="E39187" t="s">
        <v>140</v>
      </c>
      <c r="F39187" s="2" t="str">
        <f>HYPERLINK("http://www.otzar.org/book.asp?605473","רב חסד - 2 כר'")</f>
        <v>רב חסד - 2 כר'</v>
      </c>
    </row>
    <row r="39188" spans="1:6" x14ac:dyDescent="0.2">
      <c r="A39188" t="s">
        <v>60013</v>
      </c>
      <c r="B39188" t="s">
        <v>60014</v>
      </c>
      <c r="C39188" t="s">
        <v>4354</v>
      </c>
      <c r="D39188" t="s">
        <v>8939</v>
      </c>
      <c r="E39188" t="s">
        <v>1776</v>
      </c>
      <c r="F39188" s="2" t="str">
        <f>HYPERLINK("http://www.otzar.org/book.asp?19422","רב חסד")</f>
        <v>רב חסד</v>
      </c>
    </row>
    <row r="39189" spans="1:6" x14ac:dyDescent="0.2">
      <c r="A39189" t="s">
        <v>60015</v>
      </c>
      <c r="B39189" t="s">
        <v>60016</v>
      </c>
      <c r="C39189" t="s">
        <v>1166</v>
      </c>
      <c r="D39189" t="s">
        <v>283</v>
      </c>
      <c r="E39189" t="s">
        <v>15</v>
      </c>
      <c r="F39189" s="2" t="str">
        <f>HYPERLINK("http://www.otzar.org/book.asp?171437","רב טבחיא")</f>
        <v>רב טבחיא</v>
      </c>
    </row>
    <row r="39190" spans="1:6" x14ac:dyDescent="0.2">
      <c r="A39190" t="s">
        <v>60017</v>
      </c>
      <c r="B39190" t="s">
        <v>892</v>
      </c>
      <c r="C39190" t="s">
        <v>1047</v>
      </c>
      <c r="D39190" t="s">
        <v>267</v>
      </c>
      <c r="E39190" t="s">
        <v>1185</v>
      </c>
      <c r="F39190" s="2" t="str">
        <f>HYPERLINK("http://www.otzar.org/book.asp?100642","רב טוב")</f>
        <v>רב טוב</v>
      </c>
    </row>
    <row r="39191" spans="1:6" x14ac:dyDescent="0.2">
      <c r="A39191" t="s">
        <v>60018</v>
      </c>
      <c r="B39191" t="s">
        <v>60019</v>
      </c>
      <c r="C39191" t="s">
        <v>594</v>
      </c>
      <c r="D39191" t="s">
        <v>267</v>
      </c>
      <c r="E39191" t="s">
        <v>154</v>
      </c>
      <c r="F39191" s="2" t="str">
        <f>HYPERLINK("http://www.otzar.org/book.asp?53565","רב טובך - 2 כר'")</f>
        <v>רב טובך - 2 כר'</v>
      </c>
    </row>
    <row r="39192" spans="1:6" x14ac:dyDescent="0.2">
      <c r="A39192" t="s">
        <v>60020</v>
      </c>
      <c r="B39192" t="s">
        <v>60021</v>
      </c>
      <c r="C39192" t="s">
        <v>22961</v>
      </c>
      <c r="D39192" t="s">
        <v>1490</v>
      </c>
      <c r="E39192" t="s">
        <v>8786</v>
      </c>
      <c r="F39192" s="2" t="str">
        <f>HYPERLINK("http://www.otzar.org/book.asp?9480","רב יוסף")</f>
        <v>רב יוסף</v>
      </c>
    </row>
    <row r="39193" spans="1:6" x14ac:dyDescent="0.2">
      <c r="A39193" t="s">
        <v>60022</v>
      </c>
      <c r="B39193" t="s">
        <v>36303</v>
      </c>
      <c r="C39193" t="s">
        <v>411</v>
      </c>
      <c r="D39193" t="s">
        <v>14</v>
      </c>
      <c r="E39193" t="s">
        <v>14900</v>
      </c>
      <c r="F39193" s="2" t="str">
        <f>HYPERLINK("http://www.otzar.org/book.asp?172326","רב ייבי &lt;מהדורה חדשה&gt; - 2 כר'")</f>
        <v>רב ייבי &lt;מהדורה חדשה&gt; - 2 כר'</v>
      </c>
    </row>
    <row r="39194" spans="1:6" x14ac:dyDescent="0.2">
      <c r="A39194" t="s">
        <v>60023</v>
      </c>
      <c r="B39194" t="s">
        <v>36303</v>
      </c>
      <c r="C39194" t="s">
        <v>422</v>
      </c>
      <c r="D39194" t="s">
        <v>14</v>
      </c>
      <c r="E39194" t="s">
        <v>32209</v>
      </c>
      <c r="F39194" s="2" t="str">
        <f>HYPERLINK("http://www.otzar.org/book.asp?157654","רב ייבי &lt;מהדורת המסורה&gt; - 2 כר'")</f>
        <v>רב ייבי &lt;מהדורת המסורה&gt; - 2 כר'</v>
      </c>
    </row>
    <row r="39195" spans="1:6" x14ac:dyDescent="0.2">
      <c r="A39195" t="s">
        <v>60024</v>
      </c>
      <c r="B39195" t="s">
        <v>36303</v>
      </c>
      <c r="C39195" t="s">
        <v>482</v>
      </c>
      <c r="D39195" t="s">
        <v>9</v>
      </c>
      <c r="E39195" t="s">
        <v>2610</v>
      </c>
      <c r="F39195" s="2" t="str">
        <f>HYPERLINK("http://www.otzar.org/book.asp?476","רב ייבי - 2 כר'")</f>
        <v>רב ייבי - 2 כר'</v>
      </c>
    </row>
    <row r="39196" spans="1:6" x14ac:dyDescent="0.2">
      <c r="A39196" t="s">
        <v>60025</v>
      </c>
      <c r="B39196" t="s">
        <v>15996</v>
      </c>
      <c r="C39196" t="s">
        <v>1609</v>
      </c>
      <c r="D39196" t="s">
        <v>260</v>
      </c>
      <c r="E39196" t="s">
        <v>119</v>
      </c>
      <c r="F39196" s="2" t="str">
        <f>HYPERLINK("http://www.otzar.org/book.asp?170648","רב יעקב מזא""ה")</f>
        <v>רב יעקב מזא"ה</v>
      </c>
    </row>
    <row r="39197" spans="1:6" x14ac:dyDescent="0.2">
      <c r="A39197" t="s">
        <v>60026</v>
      </c>
      <c r="B39197" t="s">
        <v>60027</v>
      </c>
      <c r="C39197" t="s">
        <v>51</v>
      </c>
      <c r="D39197" t="s">
        <v>1356</v>
      </c>
      <c r="E39197" t="s">
        <v>119</v>
      </c>
      <c r="F39197" s="2" t="str">
        <f>HYPERLINK("http://www.otzar.org/book.asp?153628","רב כמלאך")</f>
        <v>רב כמלאך</v>
      </c>
    </row>
    <row r="39198" spans="1:6" x14ac:dyDescent="0.2">
      <c r="A39198" t="s">
        <v>60028</v>
      </c>
      <c r="B39198" t="s">
        <v>25896</v>
      </c>
      <c r="C39198" t="s">
        <v>2644</v>
      </c>
      <c r="D39198" t="s">
        <v>27</v>
      </c>
      <c r="E39198" t="s">
        <v>154</v>
      </c>
      <c r="F39198" s="2" t="str">
        <f>HYPERLINK("http://www.otzar.org/book.asp?20630","רב מלכי""א")</f>
        <v>רב מלכי"א</v>
      </c>
    </row>
    <row r="39199" spans="1:6" x14ac:dyDescent="0.2">
      <c r="A39199" t="s">
        <v>60029</v>
      </c>
      <c r="B39199" t="s">
        <v>19872</v>
      </c>
      <c r="C39199" t="s">
        <v>41107</v>
      </c>
      <c r="D39199" t="s">
        <v>60030</v>
      </c>
      <c r="E39199" t="s">
        <v>15</v>
      </c>
      <c r="F39199" s="2" t="str">
        <f>HYPERLINK("http://www.otzar.org/book.asp?197058","רב מרדכי")</f>
        <v>רב מרדכי</v>
      </c>
    </row>
    <row r="39200" spans="1:6" x14ac:dyDescent="0.2">
      <c r="A39200" t="s">
        <v>60031</v>
      </c>
      <c r="B39200" t="s">
        <v>20218</v>
      </c>
      <c r="C39200" t="s">
        <v>1640</v>
      </c>
      <c r="D39200" t="s">
        <v>14</v>
      </c>
      <c r="E39200" t="s">
        <v>60032</v>
      </c>
      <c r="F39200" s="2" t="str">
        <f>HYPERLINK("http://www.otzar.org/book.asp?10514","רב נסים גאון &lt;חמשה ספרים&gt;")</f>
        <v>רב נסים גאון &lt;חמשה ספרים&gt;</v>
      </c>
    </row>
    <row r="39201" spans="1:6" x14ac:dyDescent="0.2">
      <c r="A39201" t="s">
        <v>60033</v>
      </c>
      <c r="B39201" t="s">
        <v>60034</v>
      </c>
      <c r="C39201" t="s">
        <v>3205</v>
      </c>
      <c r="D39201" t="s">
        <v>27</v>
      </c>
      <c r="E39201" t="s">
        <v>119</v>
      </c>
      <c r="F39201" s="2" t="str">
        <f>HYPERLINK("http://www.otzar.org/book.asp?167528","רב סעדיה גאון")</f>
        <v>רב סעדיה גאון</v>
      </c>
    </row>
    <row r="39202" spans="1:6" x14ac:dyDescent="0.2">
      <c r="A39202" t="s">
        <v>60033</v>
      </c>
      <c r="B39202" t="s">
        <v>47476</v>
      </c>
      <c r="C39202" t="s">
        <v>777</v>
      </c>
      <c r="D39202" t="s">
        <v>9</v>
      </c>
      <c r="E39202" t="s">
        <v>119</v>
      </c>
      <c r="F39202" s="2" t="str">
        <f>HYPERLINK("http://www.otzar.org/book.asp?51798","רב סעדיה גאון")</f>
        <v>רב סעדיה גאון</v>
      </c>
    </row>
    <row r="39203" spans="1:6" x14ac:dyDescent="0.2">
      <c r="A39203" t="s">
        <v>60033</v>
      </c>
      <c r="B39203" t="s">
        <v>60035</v>
      </c>
      <c r="C39203" t="s">
        <v>3840</v>
      </c>
      <c r="D39203" t="s">
        <v>260</v>
      </c>
      <c r="E39203" t="s">
        <v>119</v>
      </c>
      <c r="F39203" s="2" t="str">
        <f>HYPERLINK("http://www.otzar.org/book.asp?167592","רב סעדיה גאון")</f>
        <v>רב סעדיה גאון</v>
      </c>
    </row>
    <row r="39204" spans="1:6" x14ac:dyDescent="0.2">
      <c r="A39204" t="s">
        <v>60033</v>
      </c>
      <c r="B39204" t="s">
        <v>60036</v>
      </c>
      <c r="C39204" t="s">
        <v>2008</v>
      </c>
      <c r="D39204" t="s">
        <v>27</v>
      </c>
      <c r="E39204" t="s">
        <v>202</v>
      </c>
      <c r="F39204" s="2" t="str">
        <f>HYPERLINK("http://www.otzar.org/book.asp?158403","רב סעדיה גאון")</f>
        <v>רב סעדיה גאון</v>
      </c>
    </row>
    <row r="39205" spans="1:6" x14ac:dyDescent="0.2">
      <c r="A39205" t="s">
        <v>60037</v>
      </c>
      <c r="B39205" t="s">
        <v>15186</v>
      </c>
      <c r="C39205" t="s">
        <v>7162</v>
      </c>
      <c r="D39205" t="s">
        <v>2461</v>
      </c>
      <c r="E39205" t="s">
        <v>158</v>
      </c>
      <c r="F39205" s="2" t="str">
        <f>HYPERLINK("http://www.otzar.org/book.asp?16061","רב פנינים - 2 כר'")</f>
        <v>רב פנינים - 2 כר'</v>
      </c>
    </row>
    <row r="39206" spans="1:6" x14ac:dyDescent="0.2">
      <c r="A39206" t="s">
        <v>60038</v>
      </c>
      <c r="B39206" t="s">
        <v>37330</v>
      </c>
      <c r="C39206" t="s">
        <v>989</v>
      </c>
      <c r="D39206" t="s">
        <v>6974</v>
      </c>
      <c r="E39206" t="s">
        <v>234</v>
      </c>
      <c r="F39206" s="2" t="str">
        <f>HYPERLINK("http://www.otzar.org/book.asp?84040","רב פנינים")</f>
        <v>רב פנינים</v>
      </c>
    </row>
    <row r="39207" spans="1:6" x14ac:dyDescent="0.2">
      <c r="A39207" t="s">
        <v>60037</v>
      </c>
      <c r="B39207" t="s">
        <v>12494</v>
      </c>
      <c r="C39207" t="s">
        <v>1284</v>
      </c>
      <c r="D39207" t="s">
        <v>225</v>
      </c>
      <c r="E39207" t="s">
        <v>463</v>
      </c>
      <c r="F39207" s="2" t="str">
        <f>HYPERLINK("http://www.otzar.org/book.asp?103725","רב פנינים - 2 כר'")</f>
        <v>רב פנינים - 2 כר'</v>
      </c>
    </row>
    <row r="39208" spans="1:6" x14ac:dyDescent="0.2">
      <c r="A39208" t="s">
        <v>60039</v>
      </c>
      <c r="B39208" t="s">
        <v>50792</v>
      </c>
      <c r="C39208" t="s">
        <v>1718</v>
      </c>
      <c r="D39208" t="s">
        <v>1279</v>
      </c>
      <c r="E39208" t="s">
        <v>81</v>
      </c>
      <c r="F39208" s="2" t="str">
        <f>HYPERLINK("http://www.otzar.org/book.asp?12414","רב פעלים")</f>
        <v>רב פעלים</v>
      </c>
    </row>
    <row r="39209" spans="1:6" x14ac:dyDescent="0.2">
      <c r="A39209" t="s">
        <v>60039</v>
      </c>
      <c r="B39209" t="s">
        <v>46585</v>
      </c>
      <c r="C39209" t="s">
        <v>1706</v>
      </c>
      <c r="D39209" t="s">
        <v>283</v>
      </c>
      <c r="E39209" t="s">
        <v>64</v>
      </c>
      <c r="F39209" s="2" t="str">
        <f>HYPERLINK("http://www.otzar.org/book.asp?6079","רב פעלים")</f>
        <v>רב פעלים</v>
      </c>
    </row>
    <row r="39210" spans="1:6" x14ac:dyDescent="0.2">
      <c r="A39210" t="s">
        <v>60039</v>
      </c>
      <c r="B39210" t="s">
        <v>60040</v>
      </c>
      <c r="C39210" t="s">
        <v>802</v>
      </c>
      <c r="D39210" t="s">
        <v>56</v>
      </c>
      <c r="E39210" t="s">
        <v>10768</v>
      </c>
      <c r="F39210" s="2" t="str">
        <f>HYPERLINK("http://www.otzar.org/book.asp?151496","רב פעלים")</f>
        <v>רב פעלים</v>
      </c>
    </row>
    <row r="39211" spans="1:6" x14ac:dyDescent="0.2">
      <c r="A39211" t="s">
        <v>60041</v>
      </c>
      <c r="B39211" t="s">
        <v>599</v>
      </c>
      <c r="C39211" t="s">
        <v>60042</v>
      </c>
      <c r="D39211" t="s">
        <v>27</v>
      </c>
      <c r="E39211" t="s">
        <v>60043</v>
      </c>
      <c r="F39211" s="2" t="str">
        <f>HYPERLINK("http://www.otzar.org/book.asp?16467","רב פעלים - 4 כר'")</f>
        <v>רב פעלים - 4 כר'</v>
      </c>
    </row>
    <row r="39212" spans="1:6" x14ac:dyDescent="0.2">
      <c r="A39212" t="s">
        <v>60044</v>
      </c>
      <c r="B39212" t="s">
        <v>60045</v>
      </c>
      <c r="C39212" t="s">
        <v>20</v>
      </c>
      <c r="D39212" t="s">
        <v>14</v>
      </c>
      <c r="E39212" t="s">
        <v>803</v>
      </c>
      <c r="F39212" s="2" t="str">
        <f>HYPERLINK("http://www.otzar.org/book.asp?623617","רב רבנן")</f>
        <v>רב רבנן</v>
      </c>
    </row>
    <row r="39213" spans="1:6" x14ac:dyDescent="0.2">
      <c r="A39213" t="s">
        <v>60046</v>
      </c>
      <c r="B39213" t="s">
        <v>6978</v>
      </c>
      <c r="C39213" t="s">
        <v>1156</v>
      </c>
      <c r="D39213" t="s">
        <v>244</v>
      </c>
      <c r="E39213" t="s">
        <v>119</v>
      </c>
      <c r="F39213" s="2" t="str">
        <f>HYPERLINK("http://www.otzar.org/book.asp?610997","רב רבנן - על מרן בעל שבט הלוי")</f>
        <v>רב רבנן - על מרן בעל שבט הלוי</v>
      </c>
    </row>
    <row r="39214" spans="1:6" x14ac:dyDescent="0.2">
      <c r="A39214" t="s">
        <v>60047</v>
      </c>
      <c r="B39214" t="s">
        <v>60048</v>
      </c>
      <c r="C39214" t="s">
        <v>189</v>
      </c>
      <c r="D39214" t="s">
        <v>14</v>
      </c>
      <c r="E39214" t="s">
        <v>213</v>
      </c>
      <c r="F39214" s="2" t="str">
        <f>HYPERLINK("http://www.otzar.org/book.asp?60003","רב שיח")</f>
        <v>רב שיח</v>
      </c>
    </row>
    <row r="39215" spans="1:6" x14ac:dyDescent="0.2">
      <c r="A39215" t="s">
        <v>60049</v>
      </c>
      <c r="B39215" t="s">
        <v>60050</v>
      </c>
      <c r="C39215" t="s">
        <v>189</v>
      </c>
      <c r="D39215" t="s">
        <v>14</v>
      </c>
      <c r="F39215" s="2" t="str">
        <f>HYPERLINK("http://www.otzar.org/book.asp?183173","רב שלום - 2 כר'")</f>
        <v>רב שלום - 2 כר'</v>
      </c>
    </row>
    <row r="39216" spans="1:6" x14ac:dyDescent="0.2">
      <c r="A39216" t="s">
        <v>60051</v>
      </c>
      <c r="B39216" t="s">
        <v>2900</v>
      </c>
      <c r="C39216" t="s">
        <v>2870</v>
      </c>
      <c r="D39216" t="s">
        <v>5050</v>
      </c>
      <c r="E39216" t="s">
        <v>733</v>
      </c>
      <c r="F39216" s="2" t="str">
        <f>HYPERLINK("http://www.otzar.org/book.asp?7553","רב שרירא גאון")</f>
        <v>רב שרירא גאון</v>
      </c>
    </row>
    <row r="39217" spans="1:6" x14ac:dyDescent="0.2">
      <c r="A39217" t="s">
        <v>60052</v>
      </c>
      <c r="B39217" t="s">
        <v>16740</v>
      </c>
      <c r="C39217" t="s">
        <v>13</v>
      </c>
      <c r="D39217" t="s">
        <v>115</v>
      </c>
      <c r="E39217" t="s">
        <v>213</v>
      </c>
      <c r="F39217" s="2" t="str">
        <f>HYPERLINK("http://www.otzar.org/book.asp?171687","רבבות אפרים &lt;מחשבה והגות&gt; - 3 כר'")</f>
        <v>רבבות אפרים &lt;מחשבה והגות&gt; - 3 כר'</v>
      </c>
    </row>
    <row r="39218" spans="1:6" x14ac:dyDescent="0.2">
      <c r="A39218" t="s">
        <v>60053</v>
      </c>
      <c r="B39218" t="s">
        <v>60054</v>
      </c>
      <c r="C39218" t="s">
        <v>103</v>
      </c>
      <c r="D39218" t="s">
        <v>60055</v>
      </c>
      <c r="E39218" t="s">
        <v>158</v>
      </c>
      <c r="F39218" s="2" t="str">
        <f>HYPERLINK("http://www.otzar.org/book.asp?28089","רבבות אפרים &lt;על התורה&gt; - ב")</f>
        <v>רבבות אפרים &lt;על התורה&gt; - ב</v>
      </c>
    </row>
    <row r="39219" spans="1:6" x14ac:dyDescent="0.2">
      <c r="A39219" t="s">
        <v>60056</v>
      </c>
      <c r="B39219" t="s">
        <v>43023</v>
      </c>
      <c r="C39219" t="s">
        <v>454</v>
      </c>
      <c r="D39219" t="s">
        <v>14</v>
      </c>
      <c r="F39219" s="2" t="str">
        <f>HYPERLINK("http://www.otzar.org/book.asp?157095","רבבות אפרים (שמעתתא דרבית) - א")</f>
        <v>רבבות אפרים (שמעתתא דרבית) - א</v>
      </c>
    </row>
    <row r="39220" spans="1:6" x14ac:dyDescent="0.2">
      <c r="A39220" t="s">
        <v>60057</v>
      </c>
      <c r="B39220" t="s">
        <v>43023</v>
      </c>
      <c r="C39220" t="s">
        <v>454</v>
      </c>
      <c r="D39220" t="s">
        <v>14</v>
      </c>
      <c r="E39220" t="s">
        <v>144</v>
      </c>
      <c r="F39220" s="2" t="str">
        <f>HYPERLINK("http://www.otzar.org/book.asp?151075","רבבות אפרים (שמעתתא דריבית) - ב")</f>
        <v>רבבות אפרים (שמעתתא דריבית) - ב</v>
      </c>
    </row>
    <row r="39221" spans="1:6" x14ac:dyDescent="0.2">
      <c r="A39221" t="s">
        <v>60058</v>
      </c>
      <c r="B39221" t="s">
        <v>16740</v>
      </c>
      <c r="C39221" t="s">
        <v>13</v>
      </c>
      <c r="D39221" t="s">
        <v>115</v>
      </c>
      <c r="E39221" t="s">
        <v>2071</v>
      </c>
      <c r="F39221" s="2" t="str">
        <f>HYPERLINK("http://www.otzar.org/book.asp?157827","רבבות אפרים - 3 כר'")</f>
        <v>רבבות אפרים - 3 כר'</v>
      </c>
    </row>
    <row r="39222" spans="1:6" x14ac:dyDescent="0.2">
      <c r="A39222" t="s">
        <v>60059</v>
      </c>
      <c r="B39222" t="s">
        <v>60054</v>
      </c>
      <c r="C39222" t="s">
        <v>146</v>
      </c>
      <c r="D39222" t="s">
        <v>60055</v>
      </c>
      <c r="E39222" t="s">
        <v>154</v>
      </c>
      <c r="F39222" s="2" t="str">
        <f>HYPERLINK("http://www.otzar.org/book.asp?26865","רבבות אפרים - 10 כר'")</f>
        <v>רבבות אפרים - 10 כר'</v>
      </c>
    </row>
    <row r="39223" spans="1:6" x14ac:dyDescent="0.2">
      <c r="A39223" t="s">
        <v>60060</v>
      </c>
      <c r="B39223" t="s">
        <v>60061</v>
      </c>
      <c r="C39223" t="s">
        <v>908</v>
      </c>
      <c r="D39223" t="s">
        <v>225</v>
      </c>
      <c r="E39223" t="s">
        <v>104</v>
      </c>
      <c r="F39223" s="2" t="str">
        <f>HYPERLINK("http://www.otzar.org/book.asp?10194","רבבות אפרים")</f>
        <v>רבבות אפרים</v>
      </c>
    </row>
    <row r="39224" spans="1:6" x14ac:dyDescent="0.2">
      <c r="A39224" t="s">
        <v>60060</v>
      </c>
      <c r="B39224" t="s">
        <v>23467</v>
      </c>
      <c r="C39224" t="s">
        <v>2550</v>
      </c>
      <c r="D39224" t="s">
        <v>27</v>
      </c>
      <c r="E39224" t="s">
        <v>559</v>
      </c>
      <c r="F39224" s="2" t="str">
        <f>HYPERLINK("http://www.otzar.org/book.asp?26136","רבבות אפרים")</f>
        <v>רבבות אפרים</v>
      </c>
    </row>
    <row r="39225" spans="1:6" x14ac:dyDescent="0.2">
      <c r="A39225" t="s">
        <v>60062</v>
      </c>
      <c r="B39225" t="s">
        <v>60063</v>
      </c>
      <c r="C39225" t="s">
        <v>103</v>
      </c>
      <c r="D39225" t="s">
        <v>60055</v>
      </c>
      <c r="E39225" t="s">
        <v>241</v>
      </c>
      <c r="F39225" s="2" t="str">
        <f>HYPERLINK("http://www.otzar.org/book.asp?26874","רבבות ויובלות - 2 כר'")</f>
        <v>רבבות ויובלות - 2 כר'</v>
      </c>
    </row>
    <row r="39226" spans="1:6" x14ac:dyDescent="0.2">
      <c r="A39226" t="s">
        <v>60064</v>
      </c>
      <c r="B39226" t="s">
        <v>57546</v>
      </c>
      <c r="C39226" t="s">
        <v>411</v>
      </c>
      <c r="D39226" t="s">
        <v>14</v>
      </c>
      <c r="E39226" t="s">
        <v>104</v>
      </c>
      <c r="F39226" s="2" t="str">
        <f>HYPERLINK("http://www.otzar.org/book.asp?168798","רבבות קודש")</f>
        <v>רבבות קודש</v>
      </c>
    </row>
    <row r="39227" spans="1:6" x14ac:dyDescent="0.2">
      <c r="A39227" t="s">
        <v>60065</v>
      </c>
      <c r="B39227" t="s">
        <v>40727</v>
      </c>
      <c r="C39227" t="s">
        <v>146</v>
      </c>
      <c r="D39227" t="s">
        <v>32621</v>
      </c>
      <c r="E39227" t="s">
        <v>43</v>
      </c>
      <c r="F39227" s="2" t="str">
        <f>HYPERLINK("http://www.otzar.org/book.asp?625439","רבה אמנותך - שיר השירים רבה א")</f>
        <v>רבה אמנותך - שיר השירים רבה א</v>
      </c>
    </row>
    <row r="39228" spans="1:6" x14ac:dyDescent="0.2">
      <c r="A39228" t="s">
        <v>60066</v>
      </c>
      <c r="B39228" t="s">
        <v>21126</v>
      </c>
      <c r="C39228" t="s">
        <v>624</v>
      </c>
      <c r="D39228" t="s">
        <v>14</v>
      </c>
      <c r="E39228" t="s">
        <v>15</v>
      </c>
      <c r="F39228" s="2" t="str">
        <f>HYPERLINK("http://www.otzar.org/book.asp?191914","רבות בנות עשו חיל")</f>
        <v>רבות בנות עשו חיל</v>
      </c>
    </row>
    <row r="39229" spans="1:6" x14ac:dyDescent="0.2">
      <c r="A39229" t="s">
        <v>60067</v>
      </c>
      <c r="B39229" t="s">
        <v>16317</v>
      </c>
      <c r="C39229" t="s">
        <v>143</v>
      </c>
      <c r="D39229" t="s">
        <v>52</v>
      </c>
      <c r="F39229" s="2" t="str">
        <f>HYPERLINK("http://www.otzar.org/book.asp?169676","רבות בנות - 2 כר'")</f>
        <v>רבות בנות - 2 כר'</v>
      </c>
    </row>
    <row r="39230" spans="1:6" x14ac:dyDescent="0.2">
      <c r="A39230" t="s">
        <v>60068</v>
      </c>
      <c r="B39230" t="s">
        <v>60069</v>
      </c>
      <c r="E39230" t="s">
        <v>119</v>
      </c>
      <c r="F39230" s="2" t="str">
        <f>HYPERLINK("http://www.otzar.org/book.asp?611022","רבותינו רועי ישראל - תולדות אדמור""י סטריקוב")</f>
        <v>רבותינו רועי ישראל - תולדות אדמור"י סטריקוב</v>
      </c>
    </row>
    <row r="39231" spans="1:6" x14ac:dyDescent="0.2">
      <c r="A39231" t="s">
        <v>60070</v>
      </c>
      <c r="B39231" t="s">
        <v>60071</v>
      </c>
      <c r="C39231" t="s">
        <v>767</v>
      </c>
      <c r="D39231" t="s">
        <v>14</v>
      </c>
      <c r="F39231" s="2" t="str">
        <f>HYPERLINK("http://www.otzar.org/book.asp?614430","רבותינו שבגולה - 2 כר'")</f>
        <v>רבותינו שבגולה - 2 כר'</v>
      </c>
    </row>
    <row r="39232" spans="1:6" x14ac:dyDescent="0.2">
      <c r="A39232" t="s">
        <v>60072</v>
      </c>
      <c r="B39232" t="s">
        <v>60073</v>
      </c>
      <c r="C39232" t="s">
        <v>3246</v>
      </c>
      <c r="D39232" t="s">
        <v>1422</v>
      </c>
      <c r="E39232" t="s">
        <v>104</v>
      </c>
      <c r="F39232" s="2" t="str">
        <f>HYPERLINK("http://www.otzar.org/book.asp?189593","רבותינו שבגולה")</f>
        <v>רבותינו שבגולה</v>
      </c>
    </row>
    <row r="39233" spans="1:6" x14ac:dyDescent="0.2">
      <c r="A39233" t="s">
        <v>60074</v>
      </c>
      <c r="B39233" t="s">
        <v>19016</v>
      </c>
      <c r="C39233" t="s">
        <v>106</v>
      </c>
      <c r="D39233" t="s">
        <v>52</v>
      </c>
      <c r="E39233" t="s">
        <v>119</v>
      </c>
      <c r="F39233" s="2" t="str">
        <f>HYPERLINK("http://www.otzar.org/book.asp?153657","רבותינו")</f>
        <v>רבותינו</v>
      </c>
    </row>
    <row r="39234" spans="1:6" x14ac:dyDescent="0.2">
      <c r="A39234" t="s">
        <v>60075</v>
      </c>
      <c r="B39234" t="s">
        <v>531</v>
      </c>
      <c r="C39234" t="s">
        <v>1706</v>
      </c>
      <c r="D39234" t="s">
        <v>283</v>
      </c>
      <c r="E39234" t="s">
        <v>733</v>
      </c>
      <c r="F39234" s="2" t="str">
        <f>HYPERLINK("http://www.otzar.org/book.asp?142885","רבי אברהם אבן עזרא - ב")</f>
        <v>רבי אברהם אבן עזרא - ב</v>
      </c>
    </row>
    <row r="39235" spans="1:6" x14ac:dyDescent="0.2">
      <c r="A39235" t="s">
        <v>60076</v>
      </c>
      <c r="B39235" t="s">
        <v>18539</v>
      </c>
      <c r="C39235" t="s">
        <v>68</v>
      </c>
      <c r="D39235" t="s">
        <v>14</v>
      </c>
      <c r="E39235" t="s">
        <v>119</v>
      </c>
      <c r="F39235" s="2" t="str">
        <f>HYPERLINK("http://www.otzar.org/book.asp?612047","רבי אברהם אליעזר מינצברג - ראש משפחת מינצברג")</f>
        <v>רבי אברהם אליעזר מינצברג - ראש משפחת מינצברג</v>
      </c>
    </row>
    <row r="39236" spans="1:6" x14ac:dyDescent="0.2">
      <c r="A39236" t="s">
        <v>60077</v>
      </c>
      <c r="B39236" t="s">
        <v>15215</v>
      </c>
      <c r="C39236" t="s">
        <v>989</v>
      </c>
      <c r="D39236" t="s">
        <v>118</v>
      </c>
      <c r="E39236" t="s">
        <v>119</v>
      </c>
      <c r="F39236" s="2" t="str">
        <f>HYPERLINK("http://www.otzar.org/book.asp?177232","רבי אברהם בן עזרא")</f>
        <v>רבי אברהם בן עזרא</v>
      </c>
    </row>
    <row r="39237" spans="1:6" x14ac:dyDescent="0.2">
      <c r="A39237" t="s">
        <v>60078</v>
      </c>
      <c r="B39237" t="s">
        <v>39138</v>
      </c>
      <c r="C39237" t="s">
        <v>533</v>
      </c>
      <c r="D39237" t="s">
        <v>14</v>
      </c>
      <c r="E39237" t="s">
        <v>119</v>
      </c>
      <c r="F39237" s="2" t="str">
        <f>HYPERLINK("http://www.otzar.org/book.asp?174661","רבי אברהם הלוי בעל גינת ורדים ובני דורו")</f>
        <v>רבי אברהם הלוי בעל גינת ורדים ובני דורו</v>
      </c>
    </row>
    <row r="39238" spans="1:6" x14ac:dyDescent="0.2">
      <c r="A39238" t="s">
        <v>60079</v>
      </c>
      <c r="B39238" t="s">
        <v>15534</v>
      </c>
      <c r="C39238" t="s">
        <v>286</v>
      </c>
      <c r="D39238" t="s">
        <v>9</v>
      </c>
      <c r="E39238" t="s">
        <v>119</v>
      </c>
      <c r="F39238" s="2" t="str">
        <f>HYPERLINK("http://www.otzar.org/book.asp?182555","רבי אברהם סבע")</f>
        <v>רבי אברהם סבע</v>
      </c>
    </row>
    <row r="39239" spans="1:6" x14ac:dyDescent="0.2">
      <c r="A39239" t="s">
        <v>60080</v>
      </c>
      <c r="B39239" t="s">
        <v>21100</v>
      </c>
      <c r="E39239" t="s">
        <v>119</v>
      </c>
      <c r="F39239" s="2" t="str">
        <f>HYPERLINK("http://www.otzar.org/book.asp?611107","רבי אהרן ליב")</f>
        <v>רבי אהרן ליב</v>
      </c>
    </row>
    <row r="39240" spans="1:6" x14ac:dyDescent="0.2">
      <c r="A39240" t="s">
        <v>60081</v>
      </c>
      <c r="B39240" t="s">
        <v>60082</v>
      </c>
      <c r="C39240" t="s">
        <v>8</v>
      </c>
      <c r="D39240" t="s">
        <v>38372</v>
      </c>
      <c r="E39240" t="s">
        <v>60083</v>
      </c>
      <c r="F39240" s="2" t="str">
        <f>HYPERLINK("http://www.otzar.org/book.asp?7373","רבי אורי מ'סטרעליסק")</f>
        <v>רבי אורי מ'סטרעליסק</v>
      </c>
    </row>
    <row r="39241" spans="1:6" x14ac:dyDescent="0.2">
      <c r="A39241" t="s">
        <v>60084</v>
      </c>
      <c r="B39241" t="s">
        <v>17147</v>
      </c>
      <c r="C39241" t="s">
        <v>919</v>
      </c>
      <c r="D39241" t="s">
        <v>14</v>
      </c>
      <c r="E39241" t="s">
        <v>119</v>
      </c>
      <c r="F39241" s="2" t="str">
        <f>HYPERLINK("http://www.otzar.org/book.asp?154138","רבי אייזל חריף")</f>
        <v>רבי אייזל חריף</v>
      </c>
    </row>
    <row r="39242" spans="1:6" x14ac:dyDescent="0.2">
      <c r="A39242" t="s">
        <v>60085</v>
      </c>
      <c r="B39242" t="s">
        <v>60086</v>
      </c>
      <c r="C39242" t="s">
        <v>37</v>
      </c>
      <c r="D39242" t="s">
        <v>14</v>
      </c>
      <c r="E39242" t="s">
        <v>119</v>
      </c>
      <c r="F39242" s="2" t="str">
        <f>HYPERLINK("http://www.otzar.org/book.asp?611181","רבי איצלה - תולדות רבי איצלה בלזר")</f>
        <v>רבי איצלה - תולדות רבי איצלה בלזר</v>
      </c>
    </row>
    <row r="39243" spans="1:6" x14ac:dyDescent="0.2">
      <c r="A39243" t="s">
        <v>60087</v>
      </c>
      <c r="B39243" t="s">
        <v>8977</v>
      </c>
      <c r="C39243" t="s">
        <v>482</v>
      </c>
      <c r="D39243" t="s">
        <v>260</v>
      </c>
      <c r="E39243" t="s">
        <v>733</v>
      </c>
      <c r="F39243" s="2" t="str">
        <f>HYPERLINK("http://www.otzar.org/book.asp?156814","רבי אלחנן הקדוש")</f>
        <v>רבי אלחנן הקדוש</v>
      </c>
    </row>
    <row r="39244" spans="1:6" x14ac:dyDescent="0.2">
      <c r="A39244" t="s">
        <v>60088</v>
      </c>
      <c r="B39244" t="s">
        <v>60089</v>
      </c>
      <c r="C39244" t="s">
        <v>1954</v>
      </c>
      <c r="D39244" t="s">
        <v>260</v>
      </c>
      <c r="E39244" t="s">
        <v>119</v>
      </c>
      <c r="F39244" s="2" t="str">
        <f>HYPERLINK("http://www.otzar.org/book.asp?167483","רבי אליהו חיים מייזל ז""ל הרב בלודז'")</f>
        <v>רבי אליהו חיים מייזל ז"ל הרב בלודז'</v>
      </c>
    </row>
    <row r="39245" spans="1:6" x14ac:dyDescent="0.2">
      <c r="A39245" t="s">
        <v>60090</v>
      </c>
      <c r="B39245" t="s">
        <v>60091</v>
      </c>
      <c r="C39245" t="s">
        <v>286</v>
      </c>
      <c r="D39245" t="s">
        <v>27</v>
      </c>
      <c r="E39245" t="s">
        <v>119</v>
      </c>
      <c r="F39245" s="2" t="str">
        <f>HYPERLINK("http://www.otzar.org/book.asp?189622","רבי אליהו מני")</f>
        <v>רבי אליהו מני</v>
      </c>
    </row>
    <row r="39246" spans="1:6" x14ac:dyDescent="0.2">
      <c r="A39246" t="s">
        <v>60092</v>
      </c>
      <c r="B39246" t="s">
        <v>1750</v>
      </c>
      <c r="C39246" t="s">
        <v>1570</v>
      </c>
      <c r="D39246" t="s">
        <v>14</v>
      </c>
      <c r="E39246" t="s">
        <v>202</v>
      </c>
      <c r="F39246" s="2" t="str">
        <f>HYPERLINK("http://www.otzar.org/book.asp?14798","רבי אליהו פרדס זצ""ל")</f>
        <v>רבי אליהו פרדס זצ"ל</v>
      </c>
    </row>
    <row r="39247" spans="1:6" x14ac:dyDescent="0.2">
      <c r="A39247" t="s">
        <v>60093</v>
      </c>
      <c r="B39247" t="s">
        <v>18978</v>
      </c>
      <c r="C39247" t="s">
        <v>533</v>
      </c>
      <c r="D39247" t="s">
        <v>118</v>
      </c>
      <c r="E39247" t="s">
        <v>119</v>
      </c>
      <c r="F39247" s="2" t="str">
        <f>HYPERLINK("http://www.otzar.org/book.asp?84103","רבי אליהו קפשאלי איש קנדיאה")</f>
        <v>רבי אליהו קפשאלי איש קנדיאה</v>
      </c>
    </row>
    <row r="39248" spans="1:6" x14ac:dyDescent="0.2">
      <c r="A39248" t="s">
        <v>60094</v>
      </c>
      <c r="B39248" t="s">
        <v>60095</v>
      </c>
      <c r="C39248" t="s">
        <v>20</v>
      </c>
      <c r="D39248" t="s">
        <v>216</v>
      </c>
      <c r="E39248" t="s">
        <v>226</v>
      </c>
      <c r="F39248" s="2" t="str">
        <f>HYPERLINK("http://www.otzar.org/book.asp?151968","רבי אלימלך מליזענסק")</f>
        <v>רבי אלימלך מליזענסק</v>
      </c>
    </row>
    <row r="39249" spans="1:6" x14ac:dyDescent="0.2">
      <c r="A39249" t="s">
        <v>60096</v>
      </c>
      <c r="B39249" t="s">
        <v>21001</v>
      </c>
      <c r="C39249" t="s">
        <v>619</v>
      </c>
      <c r="D39249" t="s">
        <v>27</v>
      </c>
      <c r="E39249" t="s">
        <v>119</v>
      </c>
      <c r="F39249" s="2" t="str">
        <f>HYPERLINK("http://www.otzar.org/book.asp?189366","רבי אליעזר דון יחייא")</f>
        <v>רבי אליעזר דון יחייא</v>
      </c>
    </row>
    <row r="39250" spans="1:6" x14ac:dyDescent="0.2">
      <c r="A39250" t="s">
        <v>60097</v>
      </c>
      <c r="B39250" t="s">
        <v>7048</v>
      </c>
      <c r="C39250" t="s">
        <v>143</v>
      </c>
      <c r="D39250" t="s">
        <v>216</v>
      </c>
      <c r="E39250" t="s">
        <v>119</v>
      </c>
      <c r="F39250" s="2" t="str">
        <f>HYPERLINK("http://www.otzar.org/book.asp?154924","רבי אליעזר הגדול וחבריו")</f>
        <v>רבי אליעזר הגדול וחבריו</v>
      </c>
    </row>
    <row r="39251" spans="1:6" x14ac:dyDescent="0.2">
      <c r="A39251" t="s">
        <v>60098</v>
      </c>
      <c r="B39251" t="s">
        <v>60099</v>
      </c>
      <c r="C39251" t="s">
        <v>1811</v>
      </c>
      <c r="D39251" t="s">
        <v>14</v>
      </c>
      <c r="E39251" t="s">
        <v>119</v>
      </c>
      <c r="F39251" s="2" t="str">
        <f>HYPERLINK("http://www.otzar.org/book.asp?167495","רבי אריה ליב יעלין וחיבורו יפה עינים")</f>
        <v>רבי אריה ליב יעלין וחיבורו יפה עינים</v>
      </c>
    </row>
    <row r="39252" spans="1:6" x14ac:dyDescent="0.2">
      <c r="A39252" t="s">
        <v>60100</v>
      </c>
      <c r="B39252" t="s">
        <v>60101</v>
      </c>
      <c r="C39252" t="s">
        <v>843</v>
      </c>
      <c r="D39252" t="s">
        <v>60102</v>
      </c>
      <c r="F39252" s="2" t="str">
        <f>HYPERLINK("http://www.otzar.org/book.asp?614693","רבי ברוך דוב לייבוביץ")</f>
        <v>רבי ברוך דוב לייבוביץ</v>
      </c>
    </row>
    <row r="39253" spans="1:6" x14ac:dyDescent="0.2">
      <c r="A39253" t="s">
        <v>60103</v>
      </c>
      <c r="B39253" t="s">
        <v>5975</v>
      </c>
      <c r="C39253" t="s">
        <v>168</v>
      </c>
      <c r="D39253" t="s">
        <v>14</v>
      </c>
      <c r="E39253" t="s">
        <v>119</v>
      </c>
      <c r="F39253" s="2" t="str">
        <f>HYPERLINK("http://www.otzar.org/book.asp?158871","רבי גבריאל קונפורטי וחיבורו יסוד עולם - תדפיס")</f>
        <v>רבי גבריאל קונפורטי וחיבורו יסוד עולם - תדפיס</v>
      </c>
    </row>
    <row r="39254" spans="1:6" x14ac:dyDescent="0.2">
      <c r="A39254" t="s">
        <v>60104</v>
      </c>
      <c r="B39254" t="s">
        <v>6452</v>
      </c>
      <c r="C39254" t="s">
        <v>1062</v>
      </c>
      <c r="D39254" t="s">
        <v>260</v>
      </c>
      <c r="F39254" s="2" t="str">
        <f>HYPERLINK("http://www.otzar.org/book.asp?174272","רבי דוב מליאובה")</f>
        <v>רבי דוב מליאובה</v>
      </c>
    </row>
    <row r="39255" spans="1:6" x14ac:dyDescent="0.2">
      <c r="A39255" t="s">
        <v>60105</v>
      </c>
      <c r="B39255" t="s">
        <v>60106</v>
      </c>
      <c r="C39255" t="s">
        <v>1706</v>
      </c>
      <c r="D39255" t="s">
        <v>283</v>
      </c>
      <c r="E39255" t="s">
        <v>733</v>
      </c>
      <c r="F39255" s="2" t="str">
        <f>HYPERLINK("http://www.otzar.org/book.asp?100566","רבי דונש בן לברט")</f>
        <v>רבי דונש בן לברט</v>
      </c>
    </row>
    <row r="39256" spans="1:6" x14ac:dyDescent="0.2">
      <c r="A39256" t="s">
        <v>60107</v>
      </c>
      <c r="B39256" t="s">
        <v>60108</v>
      </c>
      <c r="C39256" t="s">
        <v>454</v>
      </c>
      <c r="D39256" t="s">
        <v>52</v>
      </c>
      <c r="E39256" t="s">
        <v>81</v>
      </c>
      <c r="F39256" s="2" t="str">
        <f>HYPERLINK("http://www.otzar.org/book.asp?161842","רבי ועלוול - דער איידלמאן")</f>
        <v>רבי ועלוול - דער איידלמאן</v>
      </c>
    </row>
    <row r="39257" spans="1:6" x14ac:dyDescent="0.2">
      <c r="A39257" t="s">
        <v>60109</v>
      </c>
      <c r="B39257" t="s">
        <v>49187</v>
      </c>
      <c r="C39257" t="s">
        <v>908</v>
      </c>
      <c r="D39257" t="s">
        <v>947</v>
      </c>
      <c r="E39257" t="s">
        <v>226</v>
      </c>
      <c r="F39257" s="2" t="str">
        <f>HYPERLINK("http://www.otzar.org/book.asp?20633","רבי זאב ליפשיץ")</f>
        <v>רבי זאב ליפשיץ</v>
      </c>
    </row>
    <row r="39258" spans="1:6" x14ac:dyDescent="0.2">
      <c r="A39258" t="s">
        <v>60110</v>
      </c>
      <c r="B39258" t="s">
        <v>60111</v>
      </c>
      <c r="C39258" t="s">
        <v>785</v>
      </c>
      <c r="D39258" t="s">
        <v>52</v>
      </c>
      <c r="E39258" t="s">
        <v>119</v>
      </c>
      <c r="F39258" s="2" t="str">
        <f>HYPERLINK("http://www.otzar.org/book.asp?156936","רבי זלמן ינקלביץ")</f>
        <v>רבי זלמן ינקלביץ</v>
      </c>
    </row>
    <row r="39259" spans="1:6" x14ac:dyDescent="0.2">
      <c r="A39259" t="s">
        <v>60112</v>
      </c>
      <c r="B39259" t="s">
        <v>5621</v>
      </c>
      <c r="C39259" t="s">
        <v>1160</v>
      </c>
      <c r="D39259" t="s">
        <v>14</v>
      </c>
      <c r="E39259" t="s">
        <v>202</v>
      </c>
      <c r="F39259" s="2" t="str">
        <f>HYPERLINK("http://www.otzar.org/book.asp?145127","רבי זלמן סורוצקין ז""ל")</f>
        <v>רבי זלמן סורוצקין ז"ל</v>
      </c>
    </row>
    <row r="39260" spans="1:6" x14ac:dyDescent="0.2">
      <c r="A39260" t="s">
        <v>60113</v>
      </c>
      <c r="B39260" t="s">
        <v>107</v>
      </c>
      <c r="C39260" t="s">
        <v>466</v>
      </c>
      <c r="D39260" t="s">
        <v>14</v>
      </c>
      <c r="E39260" t="s">
        <v>119</v>
      </c>
      <c r="F39260" s="2" t="str">
        <f>HYPERLINK("http://www.otzar.org/book.asp?6227","רבי חייא רבא")</f>
        <v>רבי חייא רבא</v>
      </c>
    </row>
    <row r="39261" spans="1:6" x14ac:dyDescent="0.2">
      <c r="A39261" t="s">
        <v>60114</v>
      </c>
      <c r="B39261" t="s">
        <v>60115</v>
      </c>
      <c r="C39261" t="s">
        <v>585</v>
      </c>
      <c r="D39261" t="s">
        <v>21</v>
      </c>
      <c r="E39261" t="s">
        <v>119</v>
      </c>
      <c r="F39261" s="2" t="str">
        <f>HYPERLINK("http://www.otzar.org/book.asp?602662","רבי חיים בן עטר ופירושו אור החיים על התורה")</f>
        <v>רבי חיים בן עטר ופירושו אור החיים על התורה</v>
      </c>
    </row>
    <row r="39262" spans="1:6" x14ac:dyDescent="0.2">
      <c r="A39262" t="s">
        <v>60116</v>
      </c>
      <c r="C39262" t="s">
        <v>20</v>
      </c>
      <c r="D39262" t="s">
        <v>90</v>
      </c>
      <c r="E39262" t="s">
        <v>119</v>
      </c>
      <c r="F39262" s="2" t="str">
        <f>HYPERLINK("http://www.otzar.org/book.asp?181804","רבי חיים בן עטר חייו ופעלו")</f>
        <v>רבי חיים בן עטר חייו ופעלו</v>
      </c>
    </row>
    <row r="39263" spans="1:6" x14ac:dyDescent="0.2">
      <c r="A39263" t="s">
        <v>60117</v>
      </c>
      <c r="B39263" t="s">
        <v>60118</v>
      </c>
      <c r="C39263" t="s">
        <v>1640</v>
      </c>
      <c r="D39263" t="s">
        <v>118</v>
      </c>
      <c r="E39263" t="s">
        <v>119</v>
      </c>
      <c r="F39263" s="2" t="str">
        <f>HYPERLINK("http://www.otzar.org/book.asp?175422","רבי חיים יעקב הלפרן")</f>
        <v>רבי חיים יעקב הלפרן</v>
      </c>
    </row>
    <row r="39264" spans="1:6" x14ac:dyDescent="0.2">
      <c r="A39264" t="s">
        <v>60119</v>
      </c>
      <c r="B39264" t="s">
        <v>3227</v>
      </c>
      <c r="C39264" t="s">
        <v>956</v>
      </c>
      <c r="D39264" t="s">
        <v>14</v>
      </c>
      <c r="E39264" t="s">
        <v>733</v>
      </c>
      <c r="F39264" s="2" t="str">
        <f>HYPERLINK("http://www.otzar.org/book.asp?528","רבי חיים פאלאג'י וספריו")</f>
        <v>רבי חיים פאלאג'י וספריו</v>
      </c>
    </row>
    <row r="39265" spans="1:6" x14ac:dyDescent="0.2">
      <c r="A39265" t="s">
        <v>60120</v>
      </c>
      <c r="B39265" t="s">
        <v>19488</v>
      </c>
      <c r="C39265" t="s">
        <v>26</v>
      </c>
      <c r="D39265" t="s">
        <v>412</v>
      </c>
      <c r="F39265" s="2" t="str">
        <f>HYPERLINK("http://www.otzar.org/book.asp?600809","רבי חיים פישל עפשטיין")</f>
        <v>רבי חיים פישל עפשטיין</v>
      </c>
    </row>
    <row r="39266" spans="1:6" x14ac:dyDescent="0.2">
      <c r="A39266" t="s">
        <v>60121</v>
      </c>
      <c r="B39266" t="s">
        <v>49798</v>
      </c>
      <c r="C39266" t="s">
        <v>1437</v>
      </c>
      <c r="D39266" t="s">
        <v>7648</v>
      </c>
      <c r="E39266" t="s">
        <v>219</v>
      </c>
      <c r="F39266" s="2" t="str">
        <f>HYPERLINK("http://www.otzar.org/book.asp?179499","רבי יהודה אלחריזי - תחכמוני")</f>
        <v>רבי יהודה אלחריזי - תחכמוני</v>
      </c>
    </row>
    <row r="39267" spans="1:6" x14ac:dyDescent="0.2">
      <c r="A39267" t="s">
        <v>60122</v>
      </c>
      <c r="B39267" t="s">
        <v>7048</v>
      </c>
      <c r="C39267" t="s">
        <v>71</v>
      </c>
      <c r="D39267" t="s">
        <v>216</v>
      </c>
      <c r="E39267" t="s">
        <v>119</v>
      </c>
      <c r="F39267" s="2" t="str">
        <f>HYPERLINK("http://www.otzar.org/book.asp?154925","רבי יהודה בר אילעאי")</f>
        <v>רבי יהודה בר אילעאי</v>
      </c>
    </row>
    <row r="39268" spans="1:6" x14ac:dyDescent="0.2">
      <c r="A39268" t="s">
        <v>60123</v>
      </c>
      <c r="B39268" t="s">
        <v>12911</v>
      </c>
      <c r="C39268" t="s">
        <v>55502</v>
      </c>
      <c r="D39268" t="s">
        <v>283</v>
      </c>
      <c r="E39268" t="s">
        <v>733</v>
      </c>
      <c r="F39268" s="2" t="str">
        <f>HYPERLINK("http://www.otzar.org/book.asp?106547","רבי יהודה הלוי")</f>
        <v>רבי יהודה הלוי</v>
      </c>
    </row>
    <row r="39269" spans="1:6" x14ac:dyDescent="0.2">
      <c r="A39269" t="s">
        <v>60124</v>
      </c>
      <c r="B39269" t="s">
        <v>107</v>
      </c>
      <c r="C39269" t="s">
        <v>20</v>
      </c>
      <c r="D39269" t="s">
        <v>14</v>
      </c>
      <c r="E39269" t="s">
        <v>25257</v>
      </c>
      <c r="F39269" s="2" t="str">
        <f>HYPERLINK("http://www.otzar.org/book.asp?6121","רבי יהודה הנשיא - חותם המשנה")</f>
        <v>רבי יהודה הנשיא - חותם המשנה</v>
      </c>
    </row>
    <row r="39270" spans="1:6" x14ac:dyDescent="0.2">
      <c r="A39270" t="s">
        <v>60125</v>
      </c>
      <c r="B39270" t="s">
        <v>60126</v>
      </c>
      <c r="C39270" t="s">
        <v>482</v>
      </c>
      <c r="D39270" t="s">
        <v>260</v>
      </c>
      <c r="E39270" t="s">
        <v>119</v>
      </c>
      <c r="F39270" s="2" t="str">
        <f>HYPERLINK("http://www.otzar.org/book.asp?166820","רבי יהונתן איבשיץ")</f>
        <v>רבי יהונתן איבשיץ</v>
      </c>
    </row>
    <row r="39271" spans="1:6" x14ac:dyDescent="0.2">
      <c r="A39271" t="s">
        <v>60127</v>
      </c>
      <c r="B39271" t="s">
        <v>60128</v>
      </c>
      <c r="C39271" t="s">
        <v>237</v>
      </c>
      <c r="D39271" t="s">
        <v>27</v>
      </c>
      <c r="E39271" t="s">
        <v>202</v>
      </c>
      <c r="F39271" s="2" t="str">
        <f>HYPERLINK("http://www.otzar.org/book.asp?143193","רבי יהושע מהוראדנא זצ""ל")</f>
        <v>רבי יהושע מהוראדנא זצ"ל</v>
      </c>
    </row>
    <row r="39272" spans="1:6" x14ac:dyDescent="0.2">
      <c r="A39272" t="s">
        <v>60129</v>
      </c>
      <c r="B39272" t="s">
        <v>8977</v>
      </c>
      <c r="C39272" t="s">
        <v>843</v>
      </c>
      <c r="D39272" t="s">
        <v>1654</v>
      </c>
      <c r="E39272" t="s">
        <v>104</v>
      </c>
      <c r="F39272" s="2" t="str">
        <f>HYPERLINK("http://www.otzar.org/book.asp?625393","רבי יוסלמן - 2 כר'")</f>
        <v>רבי יוסלמן - 2 כר'</v>
      </c>
    </row>
    <row r="39273" spans="1:6" x14ac:dyDescent="0.2">
      <c r="A39273" t="s">
        <v>60130</v>
      </c>
      <c r="B39273" t="s">
        <v>60131</v>
      </c>
      <c r="C39273" t="s">
        <v>854</v>
      </c>
      <c r="D39273" t="s">
        <v>283</v>
      </c>
      <c r="E39273" t="s">
        <v>733</v>
      </c>
      <c r="F39273" s="2" t="str">
        <f>HYPERLINK("http://www.otzar.org/book.asp?106981","רבי יוסף איש רוסהיים")</f>
        <v>רבי יוסף איש רוסהיים</v>
      </c>
    </row>
    <row r="39274" spans="1:6" x14ac:dyDescent="0.2">
      <c r="A39274" t="s">
        <v>60132</v>
      </c>
      <c r="B39274" t="s">
        <v>60133</v>
      </c>
      <c r="C39274" t="s">
        <v>523</v>
      </c>
      <c r="D39274" t="s">
        <v>14</v>
      </c>
      <c r="E39274" t="s">
        <v>60134</v>
      </c>
      <c r="F39274" s="2" t="str">
        <f>HYPERLINK("http://www.otzar.org/book.asp?52938","רבי יוסף זונדל מסלאנט")</f>
        <v>רבי יוסף זונדל מסלאנט</v>
      </c>
    </row>
    <row r="39275" spans="1:6" x14ac:dyDescent="0.2">
      <c r="A39275" t="s">
        <v>60135</v>
      </c>
      <c r="B39275" t="s">
        <v>60135</v>
      </c>
      <c r="C39275" t="s">
        <v>20</v>
      </c>
      <c r="D39275" t="s">
        <v>14</v>
      </c>
      <c r="E39275" t="s">
        <v>119</v>
      </c>
      <c r="F39275" s="2" t="str">
        <f>HYPERLINK("http://www.otzar.org/book.asp?148618","רבי יוסף חיים זוננפלד זצ""ל")</f>
        <v>רבי יוסף חיים זוננפלד זצ"ל</v>
      </c>
    </row>
    <row r="39276" spans="1:6" x14ac:dyDescent="0.2">
      <c r="A39276" t="s">
        <v>60136</v>
      </c>
      <c r="B39276" t="s">
        <v>60137</v>
      </c>
      <c r="C39276" t="s">
        <v>20</v>
      </c>
      <c r="D39276" t="s">
        <v>90</v>
      </c>
      <c r="F39276" s="2" t="str">
        <f>HYPERLINK("http://www.otzar.org/book.asp?633170","רבי יוסף ראש הסדר")</f>
        <v>רבי יוסף ראש הסדר</v>
      </c>
    </row>
    <row r="39277" spans="1:6" x14ac:dyDescent="0.2">
      <c r="A39277" t="s">
        <v>60138</v>
      </c>
      <c r="B39277" t="s">
        <v>24669</v>
      </c>
      <c r="C39277" t="s">
        <v>160</v>
      </c>
      <c r="D39277" t="s">
        <v>14</v>
      </c>
      <c r="E39277" t="s">
        <v>119</v>
      </c>
      <c r="F39277" s="2" t="str">
        <f>HYPERLINK("http://www.otzar.org/book.asp?182115","רבי יוסף ריבלין")</f>
        <v>רבי יוסף ריבלין</v>
      </c>
    </row>
    <row r="39278" spans="1:6" x14ac:dyDescent="0.2">
      <c r="A39278" t="s">
        <v>60139</v>
      </c>
      <c r="B39278" t="s">
        <v>60140</v>
      </c>
      <c r="C39278" t="s">
        <v>390</v>
      </c>
      <c r="D39278" t="s">
        <v>14</v>
      </c>
      <c r="E39278" t="s">
        <v>733</v>
      </c>
      <c r="F39278" s="2" t="str">
        <f>HYPERLINK("http://www.otzar.org/book.asp?158971","רבי יחזקאל לנדוי")</f>
        <v>רבי יחזקאל לנדוי</v>
      </c>
    </row>
    <row r="39279" spans="1:6" x14ac:dyDescent="0.2">
      <c r="A39279" t="s">
        <v>60141</v>
      </c>
      <c r="B39279" t="s">
        <v>60142</v>
      </c>
      <c r="C39279" t="s">
        <v>71</v>
      </c>
      <c r="D39279" t="s">
        <v>14</v>
      </c>
      <c r="E39279" t="s">
        <v>119</v>
      </c>
      <c r="F39279" s="2" t="str">
        <f>HYPERLINK("http://www.otzar.org/book.asp?153625","רבי יעקב (קמנצקי)")</f>
        <v>רבי יעקב (קמנצקי)</v>
      </c>
    </row>
    <row r="39280" spans="1:6" x14ac:dyDescent="0.2">
      <c r="A39280" t="s">
        <v>60143</v>
      </c>
      <c r="B39280" t="s">
        <v>18978</v>
      </c>
      <c r="C39280" t="s">
        <v>1663</v>
      </c>
      <c r="D39280" t="s">
        <v>27</v>
      </c>
      <c r="E39280" t="s">
        <v>27260</v>
      </c>
      <c r="F39280" s="2" t="str">
        <f>HYPERLINK("http://www.otzar.org/book.asp?15164","רבי יעקב אליישר")</f>
        <v>רבי יעקב אליישר</v>
      </c>
    </row>
    <row r="39281" spans="1:6" x14ac:dyDescent="0.2">
      <c r="A39281" t="s">
        <v>60144</v>
      </c>
      <c r="B39281" t="s">
        <v>60145</v>
      </c>
      <c r="C39281" t="s">
        <v>619</v>
      </c>
      <c r="D39281" t="s">
        <v>225</v>
      </c>
      <c r="E39281" t="s">
        <v>5398</v>
      </c>
      <c r="F39281" s="2" t="str">
        <f>HYPERLINK("http://www.otzar.org/book.asp?100580","רבי יעקב יצחק מפשיסחה - 2 כר'")</f>
        <v>רבי יעקב יצחק מפשיסחה - 2 כר'</v>
      </c>
    </row>
    <row r="39282" spans="1:6" x14ac:dyDescent="0.2">
      <c r="A39282" t="s">
        <v>60146</v>
      </c>
      <c r="B39282" t="s">
        <v>60147</v>
      </c>
      <c r="C39282" t="s">
        <v>1374</v>
      </c>
      <c r="D39282" t="s">
        <v>11729</v>
      </c>
      <c r="E39282" t="s">
        <v>119</v>
      </c>
      <c r="F39282" s="2" t="str">
        <f>HYPERLINK("http://www.otzar.org/book.asp?196234","רבי יצחק אלחנן זצ""ל")</f>
        <v>רבי יצחק אלחנן זצ"ל</v>
      </c>
    </row>
    <row r="39283" spans="1:6" x14ac:dyDescent="0.2">
      <c r="A39283" t="s">
        <v>60148</v>
      </c>
      <c r="C39283" t="s">
        <v>390</v>
      </c>
      <c r="D39283" t="s">
        <v>412</v>
      </c>
      <c r="F39283" s="2" t="str">
        <f>HYPERLINK("http://www.otzar.org/book.asp?611590","רבי יצחק אלחנן ספקטור תולדות חייו ואגרותיו")</f>
        <v>רבי יצחק אלחנן ספקטור תולדות חייו ואגרותיו</v>
      </c>
    </row>
    <row r="39284" spans="1:6" x14ac:dyDescent="0.2">
      <c r="A39284" t="s">
        <v>60149</v>
      </c>
      <c r="B39284" t="s">
        <v>60150</v>
      </c>
      <c r="C39284" t="s">
        <v>366</v>
      </c>
      <c r="D39284" t="s">
        <v>1156</v>
      </c>
      <c r="F39284" s="2" t="str">
        <f>HYPERLINK("http://www.otzar.org/book.asp?608863","רבי יצחק בר ששת")</f>
        <v>רבי יצחק בר ששת</v>
      </c>
    </row>
    <row r="39285" spans="1:6" x14ac:dyDescent="0.2">
      <c r="A39285" t="s">
        <v>60151</v>
      </c>
      <c r="B39285" t="s">
        <v>11573</v>
      </c>
      <c r="C39285" t="s">
        <v>585</v>
      </c>
      <c r="D39285" t="s">
        <v>14</v>
      </c>
      <c r="E39285" t="s">
        <v>119</v>
      </c>
      <c r="F39285" s="2" t="str">
        <f>HYPERLINK("http://www.otzar.org/book.asp?615107","רבי יצחק ממגנצא")</f>
        <v>רבי יצחק ממגנצא</v>
      </c>
    </row>
    <row r="39286" spans="1:6" x14ac:dyDescent="0.2">
      <c r="A39286" t="s">
        <v>60152</v>
      </c>
      <c r="B39286" t="s">
        <v>47624</v>
      </c>
      <c r="C39286">
        <v>1963</v>
      </c>
      <c r="D39286" t="s">
        <v>412</v>
      </c>
      <c r="F39286" s="2" t="str">
        <f>HYPERLINK("http://www.otzar.org/book.asp?612900","רבי ישראל בעל שם טוב")</f>
        <v>רבי ישראל בעל שם טוב</v>
      </c>
    </row>
    <row r="39287" spans="1:6" x14ac:dyDescent="0.2">
      <c r="A39287" t="s">
        <v>60153</v>
      </c>
      <c r="B39287" t="s">
        <v>6452</v>
      </c>
      <c r="C39287" t="s">
        <v>237</v>
      </c>
      <c r="D39287" t="s">
        <v>260</v>
      </c>
      <c r="E39287" t="s">
        <v>226</v>
      </c>
      <c r="F39287" s="2" t="str">
        <f>HYPERLINK("http://www.otzar.org/book.asp?154130","רבי ישראל בעל שם טוב - 2 כר'")</f>
        <v>רבי ישראל בעל שם טוב - 2 כר'</v>
      </c>
    </row>
    <row r="39288" spans="1:6" x14ac:dyDescent="0.2">
      <c r="A39288" t="s">
        <v>60152</v>
      </c>
      <c r="B39288" t="s">
        <v>5574</v>
      </c>
      <c r="C39288" t="s">
        <v>124</v>
      </c>
      <c r="D39288" t="s">
        <v>27</v>
      </c>
      <c r="E39288" t="s">
        <v>741</v>
      </c>
      <c r="F39288" s="2" t="str">
        <f>HYPERLINK("http://www.otzar.org/book.asp?154427","רבי ישראל בעל שם טוב")</f>
        <v>רבי ישראל בעל שם טוב</v>
      </c>
    </row>
    <row r="39289" spans="1:6" x14ac:dyDescent="0.2">
      <c r="A39289" t="s">
        <v>60154</v>
      </c>
      <c r="B39289" t="s">
        <v>60155</v>
      </c>
      <c r="E39289" t="s">
        <v>119</v>
      </c>
      <c r="F39289" s="2" t="str">
        <f>HYPERLINK("http://www.otzar.org/book.asp?625569","רבי ישראל זאב גוסטמן זצ""ל")</f>
        <v>רבי ישראל זאב גוסטמן זצ"ל</v>
      </c>
    </row>
    <row r="39290" spans="1:6" x14ac:dyDescent="0.2">
      <c r="A39290" t="s">
        <v>60156</v>
      </c>
      <c r="B39290" t="s">
        <v>60157</v>
      </c>
      <c r="C39290" t="s">
        <v>390</v>
      </c>
      <c r="D39290" t="s">
        <v>260</v>
      </c>
      <c r="E39290" t="s">
        <v>119</v>
      </c>
      <c r="F39290" s="2" t="str">
        <f>HYPERLINK("http://www.otzar.org/book.asp?174256","רבי ישראל מאיר הכהן בעל חפץ חיים")</f>
        <v>רבי ישראל מאיר הכהן בעל חפץ חיים</v>
      </c>
    </row>
    <row r="39291" spans="1:6" x14ac:dyDescent="0.2">
      <c r="A39291" t="s">
        <v>60158</v>
      </c>
      <c r="B39291" t="s">
        <v>21473</v>
      </c>
      <c r="C39291" t="s">
        <v>13979</v>
      </c>
      <c r="D39291" t="s">
        <v>260</v>
      </c>
      <c r="E39291" t="s">
        <v>583</v>
      </c>
      <c r="F39291" s="2" t="str">
        <f>HYPERLINK("http://www.otzar.org/book.asp?171481","רבי ישראל מסלנט")</f>
        <v>רבי ישראל מסלנט</v>
      </c>
    </row>
    <row r="39292" spans="1:6" x14ac:dyDescent="0.2">
      <c r="A39292" t="s">
        <v>60159</v>
      </c>
      <c r="B39292" t="s">
        <v>107</v>
      </c>
      <c r="C39292" t="s">
        <v>17</v>
      </c>
      <c r="D39292" t="s">
        <v>14</v>
      </c>
      <c r="E39292" t="s">
        <v>27260</v>
      </c>
      <c r="F39292" s="2" t="str">
        <f>HYPERLINK("http://www.otzar.org/book.asp?6359","רבי ישראל משקלוב")</f>
        <v>רבי ישראל משקלוב</v>
      </c>
    </row>
    <row r="39293" spans="1:6" x14ac:dyDescent="0.2">
      <c r="A39293" t="s">
        <v>60160</v>
      </c>
      <c r="B39293" t="s">
        <v>259</v>
      </c>
      <c r="C39293" t="s">
        <v>160</v>
      </c>
      <c r="D39293" t="s">
        <v>260</v>
      </c>
      <c r="E39293" t="s">
        <v>119</v>
      </c>
      <c r="F39293" s="2" t="str">
        <f>HYPERLINK("http://www.otzar.org/book.asp?163113","רבי לוי יצחק מברדיצ'ב")</f>
        <v>רבי לוי יצחק מברדיצ'ב</v>
      </c>
    </row>
    <row r="39294" spans="1:6" x14ac:dyDescent="0.2">
      <c r="A39294" t="s">
        <v>60161</v>
      </c>
      <c r="B39294" t="s">
        <v>21538</v>
      </c>
      <c r="C39294" t="s">
        <v>3106</v>
      </c>
      <c r="D39294" t="s">
        <v>260</v>
      </c>
      <c r="E39294" t="s">
        <v>119</v>
      </c>
      <c r="F39294" s="2" t="str">
        <f>HYPERLINK("http://www.otzar.org/book.asp?158027","רבי מאיר  מלובלין")</f>
        <v>רבי מאיר  מלובלין</v>
      </c>
    </row>
    <row r="39295" spans="1:6" x14ac:dyDescent="0.2">
      <c r="A39295" t="s">
        <v>60162</v>
      </c>
      <c r="B39295" t="s">
        <v>21538</v>
      </c>
      <c r="C39295" t="s">
        <v>3106</v>
      </c>
      <c r="D39295" t="s">
        <v>260</v>
      </c>
      <c r="E39295" t="s">
        <v>119</v>
      </c>
      <c r="F39295" s="2" t="str">
        <f>HYPERLINK("http://www.otzar.org/book.asp?83572","רבי מאיר יחיאל מאוסטרובצה")</f>
        <v>רבי מאיר יחיאל מאוסטרובצה</v>
      </c>
    </row>
    <row r="39296" spans="1:6" x14ac:dyDescent="0.2">
      <c r="A39296" t="s">
        <v>60163</v>
      </c>
      <c r="B39296" t="s">
        <v>60164</v>
      </c>
      <c r="C39296" t="s">
        <v>37</v>
      </c>
      <c r="D39296" t="s">
        <v>21</v>
      </c>
      <c r="E39296" t="s">
        <v>920</v>
      </c>
      <c r="F39296" s="2" t="str">
        <f>HYPERLINK("http://www.otzar.org/book.asp?199812","רבי מאיר מארים מקוברין - ספר ניר - נדרים")</f>
        <v>רבי מאיר מארים מקוברין - ספר ניר - נדרים</v>
      </c>
    </row>
    <row r="39297" spans="1:6" x14ac:dyDescent="0.2">
      <c r="A39297" t="s">
        <v>60165</v>
      </c>
      <c r="B39297" t="s">
        <v>7473</v>
      </c>
      <c r="C39297" t="s">
        <v>2644</v>
      </c>
      <c r="D39297" t="s">
        <v>60166</v>
      </c>
      <c r="E39297" t="s">
        <v>119</v>
      </c>
      <c r="F39297" s="2" t="str">
        <f>HYPERLINK("http://www.otzar.org/book.asp?195896","רבי מאיר מרוטנבורג")</f>
        <v>רבי מאיר מרוטנבורג</v>
      </c>
    </row>
    <row r="39298" spans="1:6" x14ac:dyDescent="0.2">
      <c r="A39298" t="s">
        <v>60167</v>
      </c>
      <c r="B39298" t="s">
        <v>60168</v>
      </c>
      <c r="C39298" t="s">
        <v>20</v>
      </c>
      <c r="D39298" t="s">
        <v>412</v>
      </c>
      <c r="F39298" s="2" t="str">
        <f>HYPERLINK("http://www.otzar.org/book.asp?197609","רבי מאיר שפירא זצ""ל")</f>
        <v>רבי מאיר שפירא זצ"ל</v>
      </c>
    </row>
    <row r="39299" spans="1:6" x14ac:dyDescent="0.2">
      <c r="A39299" t="s">
        <v>60169</v>
      </c>
      <c r="B39299" t="s">
        <v>3554</v>
      </c>
      <c r="C39299" t="s">
        <v>180</v>
      </c>
      <c r="D39299" t="s">
        <v>52</v>
      </c>
      <c r="F39299" s="2" t="str">
        <f>HYPERLINK("http://www.otzar.org/book.asp?611686","רבי מאיר שפירא - 2 כר'")</f>
        <v>רבי מאיר שפירא - 2 כר'</v>
      </c>
    </row>
    <row r="39300" spans="1:6" x14ac:dyDescent="0.2">
      <c r="A39300" t="s">
        <v>60170</v>
      </c>
      <c r="B39300" t="s">
        <v>259</v>
      </c>
      <c r="C39300" t="s">
        <v>1062</v>
      </c>
      <c r="D39300" t="s">
        <v>260</v>
      </c>
      <c r="E39300" t="s">
        <v>226</v>
      </c>
      <c r="F39300" s="2" t="str">
        <f>HYPERLINK("http://www.otzar.org/book.asp?154451","רבי מנדלי מקוצק")</f>
        <v>רבי מנדלי מקוצק</v>
      </c>
    </row>
    <row r="39301" spans="1:6" x14ac:dyDescent="0.2">
      <c r="A39301" t="s">
        <v>60171</v>
      </c>
      <c r="B39301" t="s">
        <v>5034</v>
      </c>
      <c r="C39301" t="s">
        <v>79</v>
      </c>
      <c r="D39301" t="s">
        <v>260</v>
      </c>
      <c r="E39301" t="s">
        <v>119</v>
      </c>
      <c r="F39301" s="2" t="str">
        <f>HYPERLINK("http://www.otzar.org/book.asp?151963","רבי מנחם זמבה")</f>
        <v>רבי מנחם זמבה</v>
      </c>
    </row>
    <row r="39302" spans="1:6" x14ac:dyDescent="0.2">
      <c r="A39302" t="s">
        <v>60172</v>
      </c>
      <c r="B39302" t="s">
        <v>6452</v>
      </c>
      <c r="C39302" t="s">
        <v>3106</v>
      </c>
      <c r="D39302" t="s">
        <v>260</v>
      </c>
      <c r="E39302" t="s">
        <v>54557</v>
      </c>
      <c r="F39302" s="2" t="str">
        <f>HYPERLINK("http://www.otzar.org/book.asp?9914","רבי מנחם מנדל מרומנוב")</f>
        <v>רבי מנחם מנדל מרומנוב</v>
      </c>
    </row>
    <row r="39303" spans="1:6" x14ac:dyDescent="0.2">
      <c r="A39303" t="s">
        <v>60173</v>
      </c>
      <c r="B39303" t="s">
        <v>60174</v>
      </c>
      <c r="C39303" t="s">
        <v>87</v>
      </c>
      <c r="D39303" t="s">
        <v>14</v>
      </c>
      <c r="E39303" t="s">
        <v>199</v>
      </c>
      <c r="F39303" s="2" t="str">
        <f>HYPERLINK("http://www.otzar.org/book.asp?171106","רבי מרדכי דוד לודמיר")</f>
        <v>רבי מרדכי דוד לודמיר</v>
      </c>
    </row>
    <row r="39304" spans="1:6" x14ac:dyDescent="0.2">
      <c r="A39304" t="s">
        <v>60175</v>
      </c>
      <c r="B39304" t="s">
        <v>41734</v>
      </c>
      <c r="C39304" t="s">
        <v>20</v>
      </c>
      <c r="D39304" t="s">
        <v>216</v>
      </c>
      <c r="F39304" s="2" t="str">
        <f>HYPERLINK("http://www.otzar.org/book.asp?616298","רבי משה אבן עזרא - 2 כר'")</f>
        <v>רבי משה אבן עזרא - 2 כר'</v>
      </c>
    </row>
    <row r="39305" spans="1:6" x14ac:dyDescent="0.2">
      <c r="A39305" t="s">
        <v>60176</v>
      </c>
      <c r="B39305" t="s">
        <v>60177</v>
      </c>
      <c r="C39305" t="s">
        <v>1570</v>
      </c>
      <c r="D39305" t="s">
        <v>118</v>
      </c>
      <c r="E39305" t="s">
        <v>27260</v>
      </c>
      <c r="F39305" s="2" t="str">
        <f>HYPERLINK("http://www.otzar.org/book.asp?627","רבי משה איסרלש &lt;הרמ""א&gt;")</f>
        <v>רבי משה איסרלש &lt;הרמ"א&gt;</v>
      </c>
    </row>
    <row r="39306" spans="1:6" x14ac:dyDescent="0.2">
      <c r="A39306" t="s">
        <v>60178</v>
      </c>
      <c r="B39306" t="s">
        <v>60179</v>
      </c>
      <c r="C39306" t="s">
        <v>356</v>
      </c>
      <c r="D39306" t="s">
        <v>14</v>
      </c>
      <c r="E39306" t="s">
        <v>119</v>
      </c>
      <c r="F39306" s="2" t="str">
        <f>HYPERLINK("http://www.otzar.org/book.asp?84971","רבי משה בן נחמן - הרמב""ן")</f>
        <v>רבי משה בן נחמן - הרמב"ן</v>
      </c>
    </row>
    <row r="39307" spans="1:6" x14ac:dyDescent="0.2">
      <c r="A39307" t="s">
        <v>60180</v>
      </c>
      <c r="B39307" t="s">
        <v>60181</v>
      </c>
      <c r="C39307" t="s">
        <v>224</v>
      </c>
      <c r="D39307" t="s">
        <v>1654</v>
      </c>
      <c r="E39307" t="s">
        <v>119</v>
      </c>
      <c r="F39307" s="2" t="str">
        <f>HYPERLINK("http://www.otzar.org/book.asp?612677","רבי משה מונטיפיורי")</f>
        <v>רבי משה מונטיפיורי</v>
      </c>
    </row>
    <row r="39308" spans="1:6" x14ac:dyDescent="0.2">
      <c r="A39308" t="s">
        <v>60182</v>
      </c>
      <c r="B39308" t="s">
        <v>60183</v>
      </c>
      <c r="C39308" t="s">
        <v>133</v>
      </c>
      <c r="D39308" t="s">
        <v>152</v>
      </c>
      <c r="E39308" t="s">
        <v>119</v>
      </c>
      <c r="F39308" s="2" t="str">
        <f>HYPERLINK("http://www.otzar.org/book.asp?172096","רבי משה מרדכי - 2 כר'")</f>
        <v>רבי משה מרדכי - 2 כר'</v>
      </c>
    </row>
    <row r="39309" spans="1:6" x14ac:dyDescent="0.2">
      <c r="A39309" t="s">
        <v>60184</v>
      </c>
      <c r="B39309" t="s">
        <v>3809</v>
      </c>
      <c r="C39309" t="s">
        <v>185</v>
      </c>
      <c r="D39309" t="s">
        <v>21</v>
      </c>
      <c r="E39309" t="s">
        <v>119</v>
      </c>
      <c r="F39309" s="2" t="str">
        <f>HYPERLINK("http://www.otzar.org/book.asp?630583","רבי משולם מבדריש וחכמי פרובאנס הראשונים")</f>
        <v>רבי משולם מבדריש וחכמי פרובאנס הראשונים</v>
      </c>
    </row>
    <row r="39310" spans="1:6" x14ac:dyDescent="0.2">
      <c r="A39310" t="s">
        <v>60185</v>
      </c>
      <c r="B39310" t="s">
        <v>60186</v>
      </c>
      <c r="C39310" t="s">
        <v>989</v>
      </c>
      <c r="D39310" t="s">
        <v>14</v>
      </c>
      <c r="E39310" t="s">
        <v>119</v>
      </c>
      <c r="F39310" s="2" t="str">
        <f>HYPERLINK("http://www.otzar.org/book.asp?149145","רבי נחום הצדיק")</f>
        <v>רבי נחום הצדיק</v>
      </c>
    </row>
    <row r="39311" spans="1:6" x14ac:dyDescent="0.2">
      <c r="A39311" t="s">
        <v>60187</v>
      </c>
      <c r="B39311" t="s">
        <v>60188</v>
      </c>
      <c r="D39311" t="s">
        <v>14</v>
      </c>
      <c r="F39311" s="2" t="str">
        <f>HYPERLINK("http://www.otzar.org/book.asp?622307","רבי נחום יואל הלפרן ז""ל")</f>
        <v>רבי נחום יואל הלפרן ז"ל</v>
      </c>
    </row>
    <row r="39312" spans="1:6" x14ac:dyDescent="0.2">
      <c r="A39312" t="s">
        <v>60189</v>
      </c>
      <c r="B39312" t="s">
        <v>2506</v>
      </c>
      <c r="C39312" t="s">
        <v>20</v>
      </c>
      <c r="D39312" t="s">
        <v>5172</v>
      </c>
      <c r="E39312" t="s">
        <v>119</v>
      </c>
      <c r="F39312" s="2" t="str">
        <f>HYPERLINK("http://www.otzar.org/book.asp?198408","רבי נחום - תולדות רבי נחום ברגמן זצ""ל")</f>
        <v>רבי נחום - תולדות רבי נחום ברגמן זצ"ל</v>
      </c>
    </row>
    <row r="39313" spans="1:6" x14ac:dyDescent="0.2">
      <c r="A39313" t="s">
        <v>60190</v>
      </c>
      <c r="B39313" t="s">
        <v>60191</v>
      </c>
      <c r="C39313" t="s">
        <v>356</v>
      </c>
      <c r="D39313" t="s">
        <v>14</v>
      </c>
      <c r="E39313" t="s">
        <v>140</v>
      </c>
      <c r="F39313" s="2" t="str">
        <f>HYPERLINK("http://www.otzar.org/book.asp?155996","רבי נחמן מברסלב עיונים בסיפוריו")</f>
        <v>רבי נחמן מברסלב עיונים בסיפוריו</v>
      </c>
    </row>
    <row r="39314" spans="1:6" x14ac:dyDescent="0.2">
      <c r="A39314" t="s">
        <v>60192</v>
      </c>
      <c r="B39314" t="s">
        <v>19004</v>
      </c>
      <c r="C39314" t="s">
        <v>3106</v>
      </c>
      <c r="D39314" t="s">
        <v>216</v>
      </c>
      <c r="E39314" t="s">
        <v>226</v>
      </c>
      <c r="F39314" s="2" t="str">
        <f>HYPERLINK("http://www.otzar.org/book.asp?158688","רבי נחמן מברסלב")</f>
        <v>רבי נחמן מברסלב</v>
      </c>
    </row>
    <row r="39315" spans="1:6" x14ac:dyDescent="0.2">
      <c r="A39315" t="s">
        <v>60193</v>
      </c>
      <c r="B39315" t="s">
        <v>27064</v>
      </c>
      <c r="C39315" t="s">
        <v>445</v>
      </c>
      <c r="D39315" t="s">
        <v>283</v>
      </c>
      <c r="E39315" t="s">
        <v>226</v>
      </c>
      <c r="F39315" s="2" t="str">
        <f>HYPERLINK("http://www.otzar.org/book.asp?188718","רבי נחמן מברסלב - חייו ותורתו")</f>
        <v>רבי נחמן מברסלב - חייו ותורתו</v>
      </c>
    </row>
    <row r="39316" spans="1:6" x14ac:dyDescent="0.2">
      <c r="A39316" t="s">
        <v>60194</v>
      </c>
      <c r="B39316" t="s">
        <v>60195</v>
      </c>
      <c r="C39316" t="s">
        <v>5823</v>
      </c>
      <c r="D39316" t="s">
        <v>20713</v>
      </c>
      <c r="F39316" s="2" t="str">
        <f>HYPERLINK("http://www.otzar.org/book.asp?197995","רבי נתנאל ווייל &lt;גרמנית&gt;")</f>
        <v>רבי נתנאל ווייל &lt;גרמנית&gt;</v>
      </c>
    </row>
    <row r="39317" spans="1:6" x14ac:dyDescent="0.2">
      <c r="A39317" t="s">
        <v>60196</v>
      </c>
      <c r="B39317" t="s">
        <v>60197</v>
      </c>
      <c r="C39317" t="s">
        <v>244</v>
      </c>
      <c r="D39317" t="s">
        <v>147</v>
      </c>
      <c r="E39317" t="s">
        <v>119</v>
      </c>
      <c r="F39317" s="2" t="str">
        <f>HYPERLINK("http://www.otzar.org/book.asp?617339","רבי סעדיה אריבי - ספר הזכרון")</f>
        <v>רבי סעדיה אריבי - ספר הזכרון</v>
      </c>
    </row>
    <row r="39318" spans="1:6" x14ac:dyDescent="0.2">
      <c r="A39318" t="s">
        <v>60198</v>
      </c>
      <c r="B39318" t="s">
        <v>60199</v>
      </c>
      <c r="C39318" t="s">
        <v>2543</v>
      </c>
      <c r="D39318" t="s">
        <v>2181</v>
      </c>
      <c r="E39318" t="s">
        <v>791</v>
      </c>
      <c r="F39318" s="2" t="str">
        <f>HYPERLINK("http://www.otzar.org/book.asp?20635","רבי עזריה פיגו")</f>
        <v>רבי עזריה פיגו</v>
      </c>
    </row>
    <row r="39319" spans="1:6" x14ac:dyDescent="0.2">
      <c r="A39319" t="s">
        <v>60200</v>
      </c>
      <c r="B39319" t="s">
        <v>8977</v>
      </c>
      <c r="C39319" t="s">
        <v>60201</v>
      </c>
      <c r="D39319" t="s">
        <v>16601</v>
      </c>
      <c r="E39319" t="s">
        <v>119</v>
      </c>
      <c r="F39319" s="2" t="str">
        <f>HYPERLINK("http://www.otzar.org/book.asp?612779","רבי עקיבא &lt;מעובד לבני הנעורים&gt;")</f>
        <v>רבי עקיבא &lt;מעובד לבני הנעורים&gt;</v>
      </c>
    </row>
    <row r="39320" spans="1:6" x14ac:dyDescent="0.2">
      <c r="A39320" t="s">
        <v>60202</v>
      </c>
      <c r="B39320" t="s">
        <v>60203</v>
      </c>
      <c r="C39320" t="s">
        <v>767</v>
      </c>
      <c r="D39320" t="s">
        <v>14</v>
      </c>
      <c r="E39320" t="s">
        <v>158</v>
      </c>
      <c r="F39320" s="2" t="str">
        <f>HYPERLINK("http://www.otzar.org/book.asp?142212","רבי עקיבא איגר על התורה - נחלת יעקב עה""ת")</f>
        <v>רבי עקיבא איגר על התורה - נחלת יעקב עה"ת</v>
      </c>
    </row>
    <row r="39321" spans="1:6" x14ac:dyDescent="0.2">
      <c r="A39321" t="s">
        <v>60204</v>
      </c>
      <c r="B39321" t="s">
        <v>60205</v>
      </c>
      <c r="F39321" s="2" t="str">
        <f>HYPERLINK("http://www.otzar.org/book.asp?615312","רבי עקיבא איגר על התורה - אהלי שם")</f>
        <v>רבי עקיבא איגר על התורה - אהלי שם</v>
      </c>
    </row>
    <row r="39322" spans="1:6" x14ac:dyDescent="0.2">
      <c r="A39322" t="s">
        <v>60206</v>
      </c>
      <c r="B39322" t="s">
        <v>60207</v>
      </c>
      <c r="C39322" t="s">
        <v>151</v>
      </c>
      <c r="D39322" t="s">
        <v>52</v>
      </c>
      <c r="E39322" t="s">
        <v>119</v>
      </c>
      <c r="F39322" s="2" t="str">
        <f>HYPERLINK("http://www.otzar.org/book.asp?611824","רבי עקיבא איגר - חייו ופעולתו")</f>
        <v>רבי עקיבא איגר - חייו ופעולתו</v>
      </c>
    </row>
    <row r="39323" spans="1:6" x14ac:dyDescent="0.2">
      <c r="A39323" t="s">
        <v>60208</v>
      </c>
      <c r="B39323" t="s">
        <v>60209</v>
      </c>
      <c r="C39323" t="s">
        <v>411</v>
      </c>
      <c r="D39323" t="s">
        <v>14</v>
      </c>
      <c r="E39323" t="s">
        <v>241</v>
      </c>
      <c r="F39323" s="2" t="str">
        <f>HYPERLINK("http://www.otzar.org/book.asp?169984","רבי עקיבא ודורו של שמד")</f>
        <v>רבי עקיבא ודורו של שמד</v>
      </c>
    </row>
    <row r="39324" spans="1:6" x14ac:dyDescent="0.2">
      <c r="A39324" t="s">
        <v>60210</v>
      </c>
      <c r="B39324" t="s">
        <v>107</v>
      </c>
      <c r="C39324" t="s">
        <v>767</v>
      </c>
      <c r="D39324" t="s">
        <v>14</v>
      </c>
      <c r="E39324" t="s">
        <v>119</v>
      </c>
      <c r="F39324" s="2" t="str">
        <f>HYPERLINK("http://www.otzar.org/book.asp?6522","רבי עקיבא ודורו")</f>
        <v>רבי עקיבא ודורו</v>
      </c>
    </row>
    <row r="39325" spans="1:6" x14ac:dyDescent="0.2">
      <c r="A39325" t="s">
        <v>60211</v>
      </c>
      <c r="B39325" t="s">
        <v>60212</v>
      </c>
      <c r="C39325" t="s">
        <v>1663</v>
      </c>
      <c r="D39325" t="s">
        <v>27</v>
      </c>
      <c r="F39325" s="2" t="str">
        <f>HYPERLINK("http://www.otzar.org/book.asp?174325","רבי עקיבא ותורתו")</f>
        <v>רבי עקיבא ותורתו</v>
      </c>
    </row>
    <row r="39326" spans="1:6" x14ac:dyDescent="0.2">
      <c r="A39326" t="s">
        <v>60213</v>
      </c>
      <c r="B39326" t="s">
        <v>60214</v>
      </c>
      <c r="C39326" t="s">
        <v>619</v>
      </c>
      <c r="D39326" t="s">
        <v>9</v>
      </c>
      <c r="E39326" t="s">
        <v>733</v>
      </c>
      <c r="F39326" s="2" t="str">
        <f>HYPERLINK("http://www.otzar.org/book.asp?698","רבי עקיבא ותלמידיו")</f>
        <v>רבי עקיבא ותלמידיו</v>
      </c>
    </row>
    <row r="39327" spans="1:6" x14ac:dyDescent="0.2">
      <c r="A39327" t="s">
        <v>60215</v>
      </c>
      <c r="B39327" t="s">
        <v>8977</v>
      </c>
      <c r="C39327" t="s">
        <v>482</v>
      </c>
      <c r="D39327" t="s">
        <v>260</v>
      </c>
      <c r="E39327" t="s">
        <v>733</v>
      </c>
      <c r="F39327" s="2" t="str">
        <f>HYPERLINK("http://www.otzar.org/book.asp?156816","רבי עקיבא")</f>
        <v>רבי עקיבא</v>
      </c>
    </row>
    <row r="39328" spans="1:6" x14ac:dyDescent="0.2">
      <c r="A39328" t="s">
        <v>60216</v>
      </c>
      <c r="B39328" t="s">
        <v>60002</v>
      </c>
      <c r="C39328" t="s">
        <v>581</v>
      </c>
      <c r="D39328" t="s">
        <v>3208</v>
      </c>
      <c r="F39328" s="2" t="str">
        <f>HYPERLINK("http://www.otzar.org/book.asp?620248","רבי עקיבה")</f>
        <v>רבי עקיבה</v>
      </c>
    </row>
    <row r="39329" spans="1:6" x14ac:dyDescent="0.2">
      <c r="A39329" t="s">
        <v>60217</v>
      </c>
      <c r="B39329" t="s">
        <v>6452</v>
      </c>
      <c r="C39329" t="s">
        <v>433</v>
      </c>
      <c r="D39329" t="s">
        <v>260</v>
      </c>
      <c r="E39329" t="s">
        <v>226</v>
      </c>
      <c r="F39329" s="2" t="str">
        <f>HYPERLINK("http://www.otzar.org/book.asp?11043","רבי פנחס מקוריץ")</f>
        <v>רבי פנחס מקוריץ</v>
      </c>
    </row>
    <row r="39330" spans="1:6" x14ac:dyDescent="0.2">
      <c r="A39330" t="s">
        <v>60218</v>
      </c>
      <c r="B39330" t="s">
        <v>60219</v>
      </c>
      <c r="C39330" t="s">
        <v>1954</v>
      </c>
      <c r="D39330" t="s">
        <v>260</v>
      </c>
      <c r="E39330" t="s">
        <v>119</v>
      </c>
      <c r="F39330" s="2" t="str">
        <f>HYPERLINK("http://www.otzar.org/book.asp?20636","רבי צבי הירש חיות ז""ל")</f>
        <v>רבי צבי הירש חיות ז"ל</v>
      </c>
    </row>
    <row r="39331" spans="1:6" x14ac:dyDescent="0.2">
      <c r="A39331" t="s">
        <v>60220</v>
      </c>
      <c r="B39331" t="s">
        <v>15569</v>
      </c>
      <c r="C39331" t="s">
        <v>176</v>
      </c>
      <c r="D39331" t="s">
        <v>14</v>
      </c>
      <c r="E39331" t="s">
        <v>733</v>
      </c>
      <c r="F39331" s="2" t="str">
        <f>HYPERLINK("http://www.otzar.org/book.asp?159721","רבי צבי הירש מרימנוב")</f>
        <v>רבי צבי הירש מרימנוב</v>
      </c>
    </row>
    <row r="39332" spans="1:6" x14ac:dyDescent="0.2">
      <c r="A39332" t="s">
        <v>60220</v>
      </c>
      <c r="B39332" t="s">
        <v>60221</v>
      </c>
      <c r="C39332" t="s">
        <v>725</v>
      </c>
      <c r="D39332" t="s">
        <v>14</v>
      </c>
      <c r="E39332" t="s">
        <v>226</v>
      </c>
      <c r="F39332" s="2" t="str">
        <f>HYPERLINK("http://www.otzar.org/book.asp?105251","רבי צבי הירש מרימנוב")</f>
        <v>רבי צבי הירש מרימנוב</v>
      </c>
    </row>
    <row r="39333" spans="1:6" x14ac:dyDescent="0.2">
      <c r="A39333" t="s">
        <v>60222</v>
      </c>
      <c r="B39333" t="s">
        <v>21338</v>
      </c>
      <c r="C39333" t="s">
        <v>111</v>
      </c>
      <c r="D39333" t="s">
        <v>21339</v>
      </c>
      <c r="E39333" t="s">
        <v>119</v>
      </c>
      <c r="F39333" s="2" t="str">
        <f>HYPERLINK("http://www.otzar.org/book.asp?626252","רבי צבי יהודה מלצר זצ""ל")</f>
        <v>רבי צבי יהודה מלצר זצ"ל</v>
      </c>
    </row>
    <row r="39334" spans="1:6" x14ac:dyDescent="0.2">
      <c r="A39334" t="s">
        <v>60223</v>
      </c>
      <c r="B39334" t="s">
        <v>47449</v>
      </c>
      <c r="C39334" t="s">
        <v>237</v>
      </c>
      <c r="D39334" t="s">
        <v>27</v>
      </c>
      <c r="E39334" t="s">
        <v>52143</v>
      </c>
      <c r="F39334" s="2" t="str">
        <f>HYPERLINK("http://www.otzar.org/book.asp?12658","רבי שבתי דונולו")</f>
        <v>רבי שבתי דונולו</v>
      </c>
    </row>
    <row r="39335" spans="1:6" x14ac:dyDescent="0.2">
      <c r="A39335" t="s">
        <v>60224</v>
      </c>
      <c r="B39335" t="s">
        <v>28617</v>
      </c>
      <c r="C39335" t="s">
        <v>1811</v>
      </c>
      <c r="D39335" t="s">
        <v>14</v>
      </c>
      <c r="E39335" t="s">
        <v>5144</v>
      </c>
      <c r="F39335" s="2" t="str">
        <f>HYPERLINK("http://www.otzar.org/book.asp?611911","רבי שלום מעטוף ותכלאל עטרת זקנים")</f>
        <v>רבי שלום מעטוף ותכלאל עטרת זקנים</v>
      </c>
    </row>
    <row r="39336" spans="1:6" x14ac:dyDescent="0.2">
      <c r="A39336" t="s">
        <v>60225</v>
      </c>
      <c r="B39336" t="s">
        <v>60226</v>
      </c>
      <c r="C39336" t="s">
        <v>168</v>
      </c>
      <c r="D39336" t="s">
        <v>21</v>
      </c>
      <c r="E39336" t="s">
        <v>119</v>
      </c>
      <c r="F39336" s="2" t="str">
        <f>HYPERLINK("http://www.otzar.org/book.asp?190349","רבי שלמה חעלמא")</f>
        <v>רבי שלמה חעלמא</v>
      </c>
    </row>
    <row r="39337" spans="1:6" x14ac:dyDescent="0.2">
      <c r="A39337" t="s">
        <v>60227</v>
      </c>
      <c r="B39337" t="s">
        <v>60228</v>
      </c>
      <c r="C39337" t="s">
        <v>1706</v>
      </c>
      <c r="D39337" t="s">
        <v>283</v>
      </c>
      <c r="E39337" t="s">
        <v>733</v>
      </c>
      <c r="F39337" s="2" t="str">
        <f>HYPERLINK("http://www.otzar.org/book.asp?100565","רבי שלמה שרביט הזהב")</f>
        <v>רבי שלמה שרביט הזהב</v>
      </c>
    </row>
    <row r="39338" spans="1:6" x14ac:dyDescent="0.2">
      <c r="A39338" t="s">
        <v>60229</v>
      </c>
      <c r="B39338" t="s">
        <v>8977</v>
      </c>
      <c r="C39338" t="s">
        <v>482</v>
      </c>
      <c r="D39338" t="s">
        <v>260</v>
      </c>
      <c r="E39338" t="s">
        <v>104</v>
      </c>
      <c r="F39338" s="2" t="str">
        <f>HYPERLINK("http://www.otzar.org/book.asp?156812","רבי שמואל הנגיד")</f>
        <v>רבי שמואל הנגיד</v>
      </c>
    </row>
    <row r="39339" spans="1:6" x14ac:dyDescent="0.2">
      <c r="A39339" t="s">
        <v>60230</v>
      </c>
      <c r="B39339" t="s">
        <v>15215</v>
      </c>
      <c r="C39339" t="s">
        <v>812</v>
      </c>
      <c r="D39339" t="s">
        <v>412</v>
      </c>
      <c r="E39339" t="s">
        <v>202</v>
      </c>
      <c r="F39339" s="2" t="str">
        <f>HYPERLINK("http://www.otzar.org/book.asp?626593","רבי שמואל מאהיליווער")</f>
        <v>רבי שמואל מאהיליווער</v>
      </c>
    </row>
    <row r="39340" spans="1:6" x14ac:dyDescent="0.2">
      <c r="A39340" t="s">
        <v>60231</v>
      </c>
      <c r="B39340" t="s">
        <v>60145</v>
      </c>
      <c r="C39340" t="s">
        <v>46</v>
      </c>
      <c r="D39340" t="s">
        <v>260</v>
      </c>
      <c r="E39340" t="s">
        <v>5398</v>
      </c>
      <c r="F39340" s="2" t="str">
        <f>HYPERLINK("http://www.otzar.org/book.asp?100590","רבי שמחה בונם מפשיסחה")</f>
        <v>רבי שמחה בונם מפשיסחה</v>
      </c>
    </row>
    <row r="39341" spans="1:6" x14ac:dyDescent="0.2">
      <c r="A39341" t="s">
        <v>60232</v>
      </c>
      <c r="B39341" t="s">
        <v>7473</v>
      </c>
      <c r="C39341" t="s">
        <v>2644</v>
      </c>
      <c r="D39341" t="s">
        <v>60166</v>
      </c>
      <c r="E39341" t="s">
        <v>733</v>
      </c>
      <c r="F39341" s="2" t="str">
        <f>HYPERLINK("http://www.otzar.org/book.asp?196032","רבי שמעון הפייטן")</f>
        <v>רבי שמעון הפייטן</v>
      </c>
    </row>
    <row r="39342" spans="1:6" x14ac:dyDescent="0.2">
      <c r="A39342" t="s">
        <v>60233</v>
      </c>
      <c r="B39342" t="s">
        <v>3554</v>
      </c>
      <c r="C39342" t="s">
        <v>919</v>
      </c>
      <c r="D39342" t="s">
        <v>52</v>
      </c>
      <c r="E39342" t="s">
        <v>119</v>
      </c>
      <c r="F39342" s="2" t="str">
        <f>HYPERLINK("http://www.otzar.org/book.asp?144136","רבי שמעון ותורתו")</f>
        <v>רבי שמעון ותורתו</v>
      </c>
    </row>
    <row r="39343" spans="1:6" x14ac:dyDescent="0.2">
      <c r="A39343" t="s">
        <v>60234</v>
      </c>
      <c r="B39343" t="s">
        <v>60235</v>
      </c>
      <c r="C39343" t="s">
        <v>466</v>
      </c>
      <c r="D39343" t="s">
        <v>14</v>
      </c>
      <c r="F39343" s="2" t="str">
        <f>HYPERLINK("http://www.otzar.org/book.asp?163600","רבי שמעון חסידא")</f>
        <v>רבי שמעון חסידא</v>
      </c>
    </row>
    <row r="39344" spans="1:6" x14ac:dyDescent="0.2">
      <c r="A39344" t="s">
        <v>60236</v>
      </c>
      <c r="B39344" t="s">
        <v>23984</v>
      </c>
      <c r="C39344" t="s">
        <v>63</v>
      </c>
      <c r="D39344" t="s">
        <v>260</v>
      </c>
      <c r="E39344" t="s">
        <v>119</v>
      </c>
      <c r="F39344" s="2" t="str">
        <f>HYPERLINK("http://www.otzar.org/book.asp?152910","רבי שמשון רפאל הירש")</f>
        <v>רבי שמשון רפאל הירש</v>
      </c>
    </row>
    <row r="39345" spans="1:6" x14ac:dyDescent="0.2">
      <c r="A39345" t="s">
        <v>60237</v>
      </c>
      <c r="B39345" t="s">
        <v>60238</v>
      </c>
      <c r="C39345" t="s">
        <v>3840</v>
      </c>
      <c r="D39345" t="s">
        <v>14</v>
      </c>
      <c r="E39345" t="s">
        <v>14523</v>
      </c>
      <c r="F39345" s="2" t="str">
        <f>HYPERLINK("http://www.otzar.org/book.asp?13778","רבי שניאור זלמן הירשוביץ")</f>
        <v>רבי שניאור זלמן הירשוביץ</v>
      </c>
    </row>
    <row r="39346" spans="1:6" x14ac:dyDescent="0.2">
      <c r="A39346" t="s">
        <v>60239</v>
      </c>
      <c r="B39346" t="s">
        <v>59933</v>
      </c>
      <c r="C39346" t="s">
        <v>51</v>
      </c>
      <c r="D39346" t="s">
        <v>1156</v>
      </c>
      <c r="E39346" t="s">
        <v>653</v>
      </c>
      <c r="F39346" s="2" t="str">
        <f>HYPERLINK("http://www.otzar.org/book.asp?64202","רביד הזהב &lt;עם ביאור&gt;")</f>
        <v>רביד הזהב &lt;עם ביאור&gt;</v>
      </c>
    </row>
    <row r="39347" spans="1:6" x14ac:dyDescent="0.2">
      <c r="A39347" t="s">
        <v>60240</v>
      </c>
      <c r="B39347" t="s">
        <v>60241</v>
      </c>
      <c r="C39347" t="s">
        <v>1535</v>
      </c>
      <c r="D39347" t="s">
        <v>283</v>
      </c>
      <c r="E39347" t="s">
        <v>957</v>
      </c>
      <c r="F39347" s="2" t="str">
        <f>HYPERLINK("http://www.otzar.org/book.asp?20639","רביד הזהב גרגירי כסף")</f>
        <v>רביד הזהב גרגירי כסף</v>
      </c>
    </row>
    <row r="39348" spans="1:6" x14ac:dyDescent="0.2">
      <c r="A39348" t="s">
        <v>60242</v>
      </c>
      <c r="B39348" t="s">
        <v>60243</v>
      </c>
      <c r="C39348" t="s">
        <v>5823</v>
      </c>
      <c r="D39348" t="s">
        <v>283</v>
      </c>
      <c r="E39348" t="s">
        <v>154</v>
      </c>
      <c r="F39348" s="2" t="str">
        <f>HYPERLINK("http://www.otzar.org/book.asp?20638","רביד הזהב")</f>
        <v>רביד הזהב</v>
      </c>
    </row>
    <row r="39349" spans="1:6" x14ac:dyDescent="0.2">
      <c r="A39349" t="s">
        <v>60242</v>
      </c>
      <c r="B39349" t="s">
        <v>5218</v>
      </c>
      <c r="C39349" t="s">
        <v>1448</v>
      </c>
      <c r="D39349" t="s">
        <v>14</v>
      </c>
      <c r="E39349" t="s">
        <v>104</v>
      </c>
      <c r="F39349" s="2" t="str">
        <f>HYPERLINK("http://www.otzar.org/book.asp?53656","רביד הזהב")</f>
        <v>רביד הזהב</v>
      </c>
    </row>
    <row r="39350" spans="1:6" x14ac:dyDescent="0.2">
      <c r="A39350" t="s">
        <v>60244</v>
      </c>
      <c r="B39350" t="s">
        <v>27763</v>
      </c>
      <c r="C39350" t="s">
        <v>13</v>
      </c>
      <c r="D39350" t="s">
        <v>1076</v>
      </c>
      <c r="E39350" t="s">
        <v>154</v>
      </c>
      <c r="F39350" s="2" t="str">
        <f>HYPERLINK("http://www.otzar.org/book.asp?181033","רביד הזהב - 2 כר'")</f>
        <v>רביד הזהב - 2 כר'</v>
      </c>
    </row>
    <row r="39351" spans="1:6" x14ac:dyDescent="0.2">
      <c r="A39351" t="s">
        <v>60244</v>
      </c>
      <c r="B39351" t="s">
        <v>60245</v>
      </c>
      <c r="C39351" t="s">
        <v>1124</v>
      </c>
      <c r="D39351" t="s">
        <v>855</v>
      </c>
      <c r="E39351" t="s">
        <v>1185</v>
      </c>
      <c r="F39351" s="2" t="str">
        <f>HYPERLINK("http://www.otzar.org/book.asp?5827","רביד הזהב - 2 כר'")</f>
        <v>רביד הזהב - 2 כר'</v>
      </c>
    </row>
    <row r="39352" spans="1:6" x14ac:dyDescent="0.2">
      <c r="A39352" t="s">
        <v>60246</v>
      </c>
      <c r="B39352" t="s">
        <v>54803</v>
      </c>
      <c r="C39352" t="s">
        <v>129</v>
      </c>
      <c r="D39352" t="s">
        <v>52</v>
      </c>
      <c r="E39352" t="s">
        <v>158</v>
      </c>
      <c r="F39352" s="2" t="str">
        <f>HYPERLINK("http://www.otzar.org/book.asp?52280","רביד הזהב - 5 כר'")</f>
        <v>רביד הזהב - 5 כר'</v>
      </c>
    </row>
    <row r="39353" spans="1:6" x14ac:dyDescent="0.2">
      <c r="A39353" t="s">
        <v>60244</v>
      </c>
      <c r="B39353" t="s">
        <v>60247</v>
      </c>
      <c r="C39353" t="s">
        <v>775</v>
      </c>
      <c r="D39353" t="s">
        <v>412</v>
      </c>
      <c r="E39353" t="s">
        <v>148</v>
      </c>
      <c r="F39353" s="2" t="str">
        <f>HYPERLINK("http://www.otzar.org/book.asp?151212","רביד הזהב - 2 כר'")</f>
        <v>רביד הזהב - 2 כר'</v>
      </c>
    </row>
    <row r="39354" spans="1:6" x14ac:dyDescent="0.2">
      <c r="A39354" t="s">
        <v>60248</v>
      </c>
      <c r="B39354" t="s">
        <v>60249</v>
      </c>
      <c r="C39354" t="s">
        <v>1659</v>
      </c>
      <c r="D39354" t="s">
        <v>2041</v>
      </c>
      <c r="E39354" t="s">
        <v>158</v>
      </c>
      <c r="F39354" s="2" t="str">
        <f>HYPERLINK("http://www.otzar.org/book.asp?100638","רביד הזהב - 6 כר'")</f>
        <v>רביד הזהב - 6 כר'</v>
      </c>
    </row>
    <row r="39355" spans="1:6" x14ac:dyDescent="0.2">
      <c r="A39355" t="s">
        <v>60242</v>
      </c>
      <c r="B39355" t="s">
        <v>60250</v>
      </c>
      <c r="C39355" t="s">
        <v>2243</v>
      </c>
      <c r="D39355" t="s">
        <v>267</v>
      </c>
      <c r="E39355" t="s">
        <v>148</v>
      </c>
      <c r="F39355" s="2" t="str">
        <f>HYPERLINK("http://www.otzar.org/book.asp?63884","רביד הזהב")</f>
        <v>רביד הזהב</v>
      </c>
    </row>
    <row r="39356" spans="1:6" x14ac:dyDescent="0.2">
      <c r="A39356" t="s">
        <v>60242</v>
      </c>
      <c r="B39356" t="s">
        <v>59933</v>
      </c>
      <c r="C39356" t="s">
        <v>1246</v>
      </c>
      <c r="D39356" t="s">
        <v>260</v>
      </c>
      <c r="E39356" t="s">
        <v>653</v>
      </c>
      <c r="F39356" s="2" t="str">
        <f>HYPERLINK("http://www.otzar.org/book.asp?19164","רביד הזהב")</f>
        <v>רביד הזהב</v>
      </c>
    </row>
    <row r="39357" spans="1:6" x14ac:dyDescent="0.2">
      <c r="A39357" t="s">
        <v>60251</v>
      </c>
      <c r="B39357" t="s">
        <v>60252</v>
      </c>
      <c r="C39357" t="s">
        <v>20</v>
      </c>
      <c r="D39357" t="s">
        <v>367</v>
      </c>
      <c r="E39357" t="s">
        <v>148</v>
      </c>
      <c r="F39357" s="2" t="str">
        <f>HYPERLINK("http://www.otzar.org/book.asp?161952","רביד הזהב - קידוש השם, ענינים")</f>
        <v>רביד הזהב - קידוש השם, ענינים</v>
      </c>
    </row>
    <row r="39358" spans="1:6" x14ac:dyDescent="0.2">
      <c r="A39358" t="s">
        <v>60253</v>
      </c>
      <c r="B39358" t="s">
        <v>60254</v>
      </c>
      <c r="C39358" t="s">
        <v>114</v>
      </c>
      <c r="D39358" t="s">
        <v>60255</v>
      </c>
      <c r="E39358" t="s">
        <v>872</v>
      </c>
      <c r="F39358" s="2" t="str">
        <f>HYPERLINK("http://www.otzar.org/book.asp?177259","רביד השולחן - שו""ע הלכות שבת")</f>
        <v>רביד השולחן - שו"ע הלכות שבת</v>
      </c>
    </row>
    <row r="39359" spans="1:6" x14ac:dyDescent="0.2">
      <c r="A39359" t="s">
        <v>60256</v>
      </c>
      <c r="B39359" t="s">
        <v>60257</v>
      </c>
      <c r="C39359" t="s">
        <v>619</v>
      </c>
      <c r="D39359" t="s">
        <v>225</v>
      </c>
      <c r="E39359" t="s">
        <v>60258</v>
      </c>
      <c r="F39359" s="2" t="str">
        <f>HYPERLINK("http://www.otzar.org/book.asp?25347","רביד יוסף")</f>
        <v>רביד יוסף</v>
      </c>
    </row>
    <row r="39360" spans="1:6" x14ac:dyDescent="0.2">
      <c r="A39360" t="s">
        <v>60259</v>
      </c>
      <c r="B39360" t="s">
        <v>60260</v>
      </c>
      <c r="C39360" t="s">
        <v>1246</v>
      </c>
      <c r="D39360" t="s">
        <v>646</v>
      </c>
      <c r="E39360" t="s">
        <v>467</v>
      </c>
      <c r="F39360" s="2" t="str">
        <f>HYPERLINK("http://www.otzar.org/book.asp?159224","רבינו אברהם ב""ר דוד (דרשה לר""ה)")</f>
        <v>רבינו אברהם ב"ר דוד (דרשה לר"ה)</v>
      </c>
    </row>
    <row r="39361" spans="1:6" x14ac:dyDescent="0.2">
      <c r="A39361" t="s">
        <v>60261</v>
      </c>
      <c r="B39361" t="s">
        <v>27094</v>
      </c>
      <c r="C39361" t="s">
        <v>151</v>
      </c>
      <c r="D39361" t="s">
        <v>52</v>
      </c>
      <c r="E39361" t="s">
        <v>733</v>
      </c>
      <c r="F39361" s="2" t="str">
        <f>HYPERLINK("http://www.otzar.org/book.asp?623843","רבינו אור החיים הקדוש")</f>
        <v>רבינו אור החיים הקדוש</v>
      </c>
    </row>
    <row r="39362" spans="1:6" x14ac:dyDescent="0.2">
      <c r="A39362" t="s">
        <v>60262</v>
      </c>
      <c r="B39362" t="s">
        <v>49187</v>
      </c>
      <c r="C39362" t="s">
        <v>286</v>
      </c>
      <c r="D39362" t="s">
        <v>947</v>
      </c>
      <c r="E39362" t="s">
        <v>119</v>
      </c>
      <c r="F39362" s="2" t="str">
        <f>HYPERLINK("http://www.otzar.org/book.asp?151857","רבינו אליקים געץ")</f>
        <v>רבינו אליקים געץ</v>
      </c>
    </row>
    <row r="39363" spans="1:6" x14ac:dyDescent="0.2">
      <c r="A39363" t="s">
        <v>60263</v>
      </c>
      <c r="B39363" t="s">
        <v>60264</v>
      </c>
      <c r="C39363" t="s">
        <v>547</v>
      </c>
      <c r="D39363" t="s">
        <v>34899</v>
      </c>
      <c r="E39363" t="s">
        <v>733</v>
      </c>
      <c r="F39363" s="2" t="str">
        <f>HYPERLINK("http://www.otzar.org/book.asp?100450","רבינו אלעזר מגרמיזא")</f>
        <v>רבינו אלעזר מגרמיזא</v>
      </c>
    </row>
    <row r="39364" spans="1:6" x14ac:dyDescent="0.2">
      <c r="A39364" t="s">
        <v>60265</v>
      </c>
      <c r="B39364" t="s">
        <v>17846</v>
      </c>
      <c r="C39364" t="s">
        <v>1268</v>
      </c>
      <c r="D39364" t="s">
        <v>14</v>
      </c>
      <c r="E39364" t="s">
        <v>1336</v>
      </c>
      <c r="F39364" s="2" t="str">
        <f>HYPERLINK("http://www.otzar.org/book.asp?8328","רבינו אלעזר מטרשקון")</f>
        <v>רבינו אלעזר מטרשקון</v>
      </c>
    </row>
    <row r="39365" spans="1:6" x14ac:dyDescent="0.2">
      <c r="A39365" t="s">
        <v>60266</v>
      </c>
      <c r="B39365" t="s">
        <v>60267</v>
      </c>
      <c r="C39365" t="s">
        <v>6607</v>
      </c>
      <c r="D39365" t="s">
        <v>744</v>
      </c>
      <c r="E39365" t="s">
        <v>15</v>
      </c>
      <c r="F39365" s="2" t="str">
        <f>HYPERLINK("http://www.otzar.org/book.asp?53566","רבינו אשר ז""ל עם מעדני יו""ט ולחם חמודות - 4 כר'")</f>
        <v>רבינו אשר ז"ל עם מעדני יו"ט ולחם חמודות - 4 כר'</v>
      </c>
    </row>
    <row r="39366" spans="1:6" x14ac:dyDescent="0.2">
      <c r="A39366" t="s">
        <v>60268</v>
      </c>
      <c r="B39366" t="s">
        <v>9164</v>
      </c>
      <c r="C39366" t="s">
        <v>1609</v>
      </c>
      <c r="D39366" t="s">
        <v>14</v>
      </c>
      <c r="E39366" t="s">
        <v>158</v>
      </c>
      <c r="F39366" s="2" t="str">
        <f>HYPERLINK("http://www.otzar.org/book.asp?178980","רבינו בחיי &lt;עם כמה הוספות&gt; - 2 כר'")</f>
        <v>רבינו בחיי &lt;עם כמה הוספות&gt; - 2 כר'</v>
      </c>
    </row>
    <row r="39367" spans="1:6" x14ac:dyDescent="0.2">
      <c r="A39367" t="s">
        <v>60269</v>
      </c>
      <c r="B39367" t="s">
        <v>9164</v>
      </c>
      <c r="C39367" t="s">
        <v>41107</v>
      </c>
      <c r="D39367" t="s">
        <v>13372</v>
      </c>
      <c r="E39367" t="s">
        <v>158</v>
      </c>
      <c r="F39367" s="2" t="str">
        <f>HYPERLINK("http://www.otzar.org/book.asp?153043","רבינו בחיי בר אשר")</f>
        <v>רבינו בחיי בר אשר</v>
      </c>
    </row>
    <row r="39368" spans="1:6" x14ac:dyDescent="0.2">
      <c r="A39368" t="s">
        <v>60270</v>
      </c>
      <c r="B39368" t="s">
        <v>9164</v>
      </c>
      <c r="C39368" t="s">
        <v>60271</v>
      </c>
      <c r="D39368" t="s">
        <v>1117</v>
      </c>
      <c r="E39368" t="s">
        <v>158</v>
      </c>
      <c r="F39368" s="2" t="str">
        <f>HYPERLINK("http://www.otzar.org/book.asp?53569","רבינו בחיי עה""ת - 2 כר'")</f>
        <v>רבינו בחיי עה"ת - 2 כר'</v>
      </c>
    </row>
    <row r="39369" spans="1:6" x14ac:dyDescent="0.2">
      <c r="A39369" t="s">
        <v>60272</v>
      </c>
      <c r="B39369" t="s">
        <v>9164</v>
      </c>
      <c r="C39369" t="s">
        <v>383</v>
      </c>
      <c r="D39369" t="s">
        <v>52</v>
      </c>
      <c r="E39369" t="s">
        <v>158</v>
      </c>
      <c r="F39369" s="2" t="str">
        <f>HYPERLINK("http://www.otzar.org/book.asp?146954","רבינו בחיי על התורה עם ספר טוב טעם - 4 כר'")</f>
        <v>רבינו בחיי על התורה עם ספר טוב טעם - 4 כר'</v>
      </c>
    </row>
    <row r="39370" spans="1:6" x14ac:dyDescent="0.2">
      <c r="A39370" t="s">
        <v>60273</v>
      </c>
      <c r="B39370" t="s">
        <v>9164</v>
      </c>
      <c r="C39370" t="s">
        <v>330</v>
      </c>
      <c r="D39370" t="s">
        <v>1324</v>
      </c>
      <c r="F39370" s="2" t="str">
        <f>HYPERLINK("http://www.otzar.org/book.asp?614573","רבינו בחיי - 3 כר'")</f>
        <v>רבינו בחיי - 3 כר'</v>
      </c>
    </row>
    <row r="39371" spans="1:6" x14ac:dyDescent="0.2">
      <c r="A39371" t="s">
        <v>60274</v>
      </c>
      <c r="B39371" t="s">
        <v>8977</v>
      </c>
      <c r="C39371" t="s">
        <v>482</v>
      </c>
      <c r="D39371" t="s">
        <v>260</v>
      </c>
      <c r="E39371" t="s">
        <v>104</v>
      </c>
      <c r="F39371" s="2" t="str">
        <f>HYPERLINK("http://www.otzar.org/book.asp?156813","רבינו גרשום מאור הגולה")</f>
        <v>רבינו גרשום מאור הגולה</v>
      </c>
    </row>
    <row r="39372" spans="1:6" x14ac:dyDescent="0.2">
      <c r="A39372" t="s">
        <v>60275</v>
      </c>
      <c r="B39372" t="s">
        <v>60276</v>
      </c>
      <c r="C39372">
        <v>1941</v>
      </c>
      <c r="D39372" t="s">
        <v>412</v>
      </c>
      <c r="E39372" t="s">
        <v>119</v>
      </c>
      <c r="F39372" s="2" t="str">
        <f>HYPERLINK("http://www.otzar.org/book.asp?196496","רבינו גרשום, רש""י, ר' יהודה החסיד")</f>
        <v>רבינו גרשום, רש"י, ר' יהודה החסיד</v>
      </c>
    </row>
    <row r="39373" spans="1:6" x14ac:dyDescent="0.2">
      <c r="A39373" t="s">
        <v>60277</v>
      </c>
      <c r="B39373" t="s">
        <v>60278</v>
      </c>
      <c r="C39373" t="s">
        <v>99</v>
      </c>
      <c r="D39373" t="s">
        <v>9</v>
      </c>
      <c r="E39373" t="s">
        <v>119</v>
      </c>
      <c r="F39373" s="2" t="str">
        <f>HYPERLINK("http://www.otzar.org/book.asp?173109","רבינו הגדול מהר""י אבוהב")</f>
        <v>רבינו הגדול מהר"י אבוהב</v>
      </c>
    </row>
    <row r="39374" spans="1:6" x14ac:dyDescent="0.2">
      <c r="A39374" t="s">
        <v>60279</v>
      </c>
      <c r="B39374" t="s">
        <v>60280</v>
      </c>
      <c r="C39374" t="s">
        <v>956</v>
      </c>
      <c r="D39374" t="s">
        <v>52</v>
      </c>
      <c r="E39374" t="s">
        <v>1262</v>
      </c>
      <c r="F39374" s="2" t="str">
        <f>HYPERLINK("http://www.otzar.org/book.asp?173028","רבינו החזון איש זצ""ל")</f>
        <v>רבינו החזון איש זצ"ל</v>
      </c>
    </row>
    <row r="39375" spans="1:6" x14ac:dyDescent="0.2">
      <c r="A39375" t="s">
        <v>60281</v>
      </c>
      <c r="B39375" t="s">
        <v>47770</v>
      </c>
      <c r="C39375" t="s">
        <v>523</v>
      </c>
      <c r="D39375" t="s">
        <v>14</v>
      </c>
      <c r="E39375" t="s">
        <v>119</v>
      </c>
      <c r="F39375" s="2" t="str">
        <f>HYPERLINK("http://www.otzar.org/book.asp?174070","רבינו החתם סופר מפי כתבו - משה עלה למרום")</f>
        <v>רבינו החתם סופר מפי כתבו - משה עלה למרום</v>
      </c>
    </row>
    <row r="39376" spans="1:6" x14ac:dyDescent="0.2">
      <c r="A39376" t="s">
        <v>60282</v>
      </c>
      <c r="B39376" t="s">
        <v>60283</v>
      </c>
      <c r="C39376" t="s">
        <v>17</v>
      </c>
      <c r="D39376" t="s">
        <v>52</v>
      </c>
      <c r="E39376" t="s">
        <v>119</v>
      </c>
      <c r="F39376" s="2" t="str">
        <f>HYPERLINK("http://www.otzar.org/book.asp?153777","רבינו הקדוש מדאראג")</f>
        <v>רבינו הקדוש מדאראג</v>
      </c>
    </row>
    <row r="39377" spans="1:6" x14ac:dyDescent="0.2">
      <c r="A39377" t="s">
        <v>60284</v>
      </c>
      <c r="B39377" t="s">
        <v>57778</v>
      </c>
      <c r="C39377" t="s">
        <v>366</v>
      </c>
      <c r="D39377" t="s">
        <v>52</v>
      </c>
      <c r="E39377" t="s">
        <v>226</v>
      </c>
      <c r="F39377" s="2" t="str">
        <f>HYPERLINK("http://www.otzar.org/book.asp?613949","רבינו הקדוש מהארנסטייפל")</f>
        <v>רבינו הקדוש מהארנסטייפל</v>
      </c>
    </row>
    <row r="39378" spans="1:6" x14ac:dyDescent="0.2">
      <c r="A39378" t="s">
        <v>60285</v>
      </c>
      <c r="B39378" t="s">
        <v>57778</v>
      </c>
      <c r="C39378" t="s">
        <v>624</v>
      </c>
      <c r="D39378" t="s">
        <v>52</v>
      </c>
      <c r="E39378" t="s">
        <v>119</v>
      </c>
      <c r="F39378" s="2" t="str">
        <f>HYPERLINK("http://www.otzar.org/book.asp?171024","רבינו הקדוש מטשחויב")</f>
        <v>רבינו הקדוש מטשחויב</v>
      </c>
    </row>
    <row r="39379" spans="1:6" x14ac:dyDescent="0.2">
      <c r="A39379" t="s">
        <v>60286</v>
      </c>
      <c r="B39379" t="s">
        <v>57778</v>
      </c>
      <c r="C39379" t="s">
        <v>129</v>
      </c>
      <c r="D39379" t="s">
        <v>52</v>
      </c>
      <c r="E39379" t="s">
        <v>119</v>
      </c>
      <c r="F39379" s="2" t="str">
        <f>HYPERLINK("http://www.otzar.org/book.asp?171136","רבינו הקדוש מראצפערט")</f>
        <v>רבינו הקדוש מראצפערט</v>
      </c>
    </row>
    <row r="39380" spans="1:6" x14ac:dyDescent="0.2">
      <c r="A39380" t="s">
        <v>60287</v>
      </c>
      <c r="B39380" t="s">
        <v>60288</v>
      </c>
      <c r="C39380" t="s">
        <v>51</v>
      </c>
      <c r="D39380" t="s">
        <v>2458</v>
      </c>
      <c r="E39380" t="s">
        <v>119</v>
      </c>
      <c r="F39380" s="2" t="str">
        <f>HYPERLINK("http://www.otzar.org/book.asp?145563","רבינו הקדוש משינאווא - 2 כר'")</f>
        <v>רבינו הקדוש משינאווא - 2 כר'</v>
      </c>
    </row>
    <row r="39381" spans="1:6" x14ac:dyDescent="0.2">
      <c r="A39381" t="s">
        <v>60289</v>
      </c>
      <c r="B39381" t="s">
        <v>10919</v>
      </c>
      <c r="C39381" t="s">
        <v>785</v>
      </c>
      <c r="D39381" t="s">
        <v>21</v>
      </c>
      <c r="E39381" t="s">
        <v>119</v>
      </c>
      <c r="F39381" s="2" t="str">
        <f>HYPERLINK("http://www.otzar.org/book.asp?191360","רבינו הקדוש")</f>
        <v>רבינו הקדוש</v>
      </c>
    </row>
    <row r="39382" spans="1:6" x14ac:dyDescent="0.2">
      <c r="A39382" t="s">
        <v>60290</v>
      </c>
      <c r="B39382" t="s">
        <v>39722</v>
      </c>
      <c r="C39382" t="s">
        <v>143</v>
      </c>
      <c r="D39382" t="s">
        <v>14</v>
      </c>
      <c r="E39382" t="s">
        <v>119</v>
      </c>
      <c r="F39382" s="2" t="str">
        <f>HYPERLINK("http://www.otzar.org/book.asp?162681","רבינו השאגת אריה")</f>
        <v>רבינו השאגת אריה</v>
      </c>
    </row>
    <row r="39383" spans="1:6" x14ac:dyDescent="0.2">
      <c r="A39383" t="s">
        <v>60291</v>
      </c>
      <c r="B39383" t="s">
        <v>34322</v>
      </c>
      <c r="C39383" t="s">
        <v>433</v>
      </c>
      <c r="D39383" t="s">
        <v>260</v>
      </c>
      <c r="E39383" t="s">
        <v>226</v>
      </c>
      <c r="F39383" s="2" t="str">
        <f>HYPERLINK("http://www.otzar.org/book.asp?107085","רבינו זצ""ל מגור")</f>
        <v>רבינו זצ"ל מגור</v>
      </c>
    </row>
    <row r="39384" spans="1:6" x14ac:dyDescent="0.2">
      <c r="A39384" t="s">
        <v>60292</v>
      </c>
      <c r="B39384" t="s">
        <v>18033</v>
      </c>
      <c r="C39384" t="s">
        <v>146</v>
      </c>
      <c r="D39384" t="s">
        <v>14</v>
      </c>
      <c r="E39384" t="s">
        <v>84</v>
      </c>
      <c r="F39384" s="2" t="str">
        <f>HYPERLINK("http://www.otzar.org/book.asp?50574","רבינו יונה על מסכת אבות ע""פ יוסף לקח")</f>
        <v>רבינו יונה על מסכת אבות ע"פ יוסף לקח</v>
      </c>
    </row>
    <row r="39385" spans="1:6" x14ac:dyDescent="0.2">
      <c r="A39385" t="s">
        <v>60293</v>
      </c>
      <c r="B39385" t="s">
        <v>10458</v>
      </c>
      <c r="C39385" t="s">
        <v>1885</v>
      </c>
      <c r="D39385" t="s">
        <v>7226</v>
      </c>
      <c r="F39385" s="2" t="str">
        <f>HYPERLINK("http://www.otzar.org/book.asp?604218","רבינו יוסף קארו")</f>
        <v>רבינו יוסף קארו</v>
      </c>
    </row>
    <row r="39386" spans="1:6" x14ac:dyDescent="0.2">
      <c r="A39386" t="s">
        <v>60294</v>
      </c>
      <c r="B39386" t="s">
        <v>60295</v>
      </c>
      <c r="C39386" t="s">
        <v>1619</v>
      </c>
      <c r="D39386" t="s">
        <v>412</v>
      </c>
      <c r="E39386" t="s">
        <v>119</v>
      </c>
      <c r="F39386" s="2" t="str">
        <f>HYPERLINK("http://www.otzar.org/book.asp?611331","רבינו משה איסרליש")</f>
        <v>רבינו משה איסרליש</v>
      </c>
    </row>
    <row r="39387" spans="1:6" x14ac:dyDescent="0.2">
      <c r="A39387" t="s">
        <v>60296</v>
      </c>
      <c r="B39387" t="s">
        <v>34282</v>
      </c>
      <c r="C39387" t="s">
        <v>624</v>
      </c>
      <c r="D39387" t="s">
        <v>1180</v>
      </c>
      <c r="E39387" t="s">
        <v>119</v>
      </c>
      <c r="F39387" s="2" t="str">
        <f>HYPERLINK("http://www.otzar.org/book.asp?171317","רבינו שמעון סופר - 2 כר'")</f>
        <v>רבינו שמעון סופר - 2 כר'</v>
      </c>
    </row>
    <row r="39388" spans="1:6" x14ac:dyDescent="0.2">
      <c r="A39388" t="s">
        <v>60297</v>
      </c>
      <c r="B39388" t="s">
        <v>34646</v>
      </c>
      <c r="C39388" t="s">
        <v>51</v>
      </c>
      <c r="D39388" t="s">
        <v>14</v>
      </c>
      <c r="E39388" t="s">
        <v>119</v>
      </c>
      <c r="F39388" s="2" t="str">
        <f>HYPERLINK("http://www.otzar.org/book.asp?183357","רבינו תם ובני דורו")</f>
        <v>רבינו תם ובני דורו</v>
      </c>
    </row>
    <row r="39389" spans="1:6" x14ac:dyDescent="0.2">
      <c r="A39389" t="s">
        <v>60298</v>
      </c>
      <c r="B39389" t="s">
        <v>34646</v>
      </c>
      <c r="C39389" t="s">
        <v>383</v>
      </c>
      <c r="D39389" t="s">
        <v>14</v>
      </c>
      <c r="E39389" t="s">
        <v>119</v>
      </c>
      <c r="F39389" s="2" t="str">
        <f>HYPERLINK("http://www.otzar.org/book.asp?183358","רבינו תם רבותיו ותלמידיו")</f>
        <v>רבינו תם רבותיו ותלמידיו</v>
      </c>
    </row>
    <row r="39390" spans="1:6" x14ac:dyDescent="0.2">
      <c r="A39390" t="s">
        <v>60299</v>
      </c>
      <c r="B39390" t="s">
        <v>28738</v>
      </c>
      <c r="C39390" t="s">
        <v>1470</v>
      </c>
      <c r="D39390" t="s">
        <v>9</v>
      </c>
      <c r="E39390" t="s">
        <v>154</v>
      </c>
      <c r="F39390" s="2" t="str">
        <f>HYPERLINK("http://www.otzar.org/book.asp?28533","רביעי בקודש שקט בנימין")</f>
        <v>רביעי בקודש שקט בנימין</v>
      </c>
    </row>
    <row r="39391" spans="1:6" x14ac:dyDescent="0.2">
      <c r="A39391" t="s">
        <v>60300</v>
      </c>
      <c r="B39391" t="s">
        <v>60301</v>
      </c>
      <c r="C39391" t="s">
        <v>366</v>
      </c>
      <c r="D39391" t="s">
        <v>152</v>
      </c>
      <c r="F39391" s="2" t="str">
        <f>HYPERLINK("http://www.otzar.org/book.asp?609855","רבית בתכנית 'חיסכון לכל ילד'")</f>
        <v>רבית בתכנית 'חיסכון לכל ילד'</v>
      </c>
    </row>
    <row r="39392" spans="1:6" x14ac:dyDescent="0.2">
      <c r="A39392" t="s">
        <v>60302</v>
      </c>
      <c r="B39392" t="s">
        <v>7645</v>
      </c>
      <c r="C39392" t="s">
        <v>422</v>
      </c>
      <c r="D39392" t="s">
        <v>2531</v>
      </c>
      <c r="E39392" t="s">
        <v>803</v>
      </c>
      <c r="F39392" s="2" t="str">
        <f>HYPERLINK("http://www.otzar.org/book.asp?85571","רבית דרך קנס")</f>
        <v>רבית דרך קנס</v>
      </c>
    </row>
    <row r="39393" spans="1:6" x14ac:dyDescent="0.2">
      <c r="A39393" t="s">
        <v>60303</v>
      </c>
      <c r="B39393" t="s">
        <v>48490</v>
      </c>
      <c r="C39393" t="s">
        <v>68</v>
      </c>
      <c r="D39393" t="s">
        <v>14</v>
      </c>
      <c r="E39393" t="s">
        <v>15</v>
      </c>
      <c r="F39393" s="2" t="str">
        <f>HYPERLINK("http://www.otzar.org/book.asp?155907","רבית הלכה למעשה - ברית פנחס")</f>
        <v>רבית הלכה למעשה - ברית פנחס</v>
      </c>
    </row>
    <row r="39394" spans="1:6" x14ac:dyDescent="0.2">
      <c r="A39394" t="s">
        <v>60304</v>
      </c>
      <c r="B39394" t="s">
        <v>941</v>
      </c>
      <c r="C39394" t="s">
        <v>133</v>
      </c>
      <c r="D39394" t="s">
        <v>14</v>
      </c>
      <c r="E39394" t="s">
        <v>15</v>
      </c>
      <c r="F39394" s="2" t="str">
        <f>HYPERLINK("http://www.otzar.org/book.asp?608254","רבית לאור ההלכה - 2 כר'")</f>
        <v>רבית לאור ההלכה - 2 כר'</v>
      </c>
    </row>
    <row r="39395" spans="1:6" x14ac:dyDescent="0.2">
      <c r="A39395" t="s">
        <v>60305</v>
      </c>
      <c r="B39395" t="s">
        <v>60306</v>
      </c>
      <c r="C39395" t="s">
        <v>103</v>
      </c>
      <c r="D39395" t="s">
        <v>14</v>
      </c>
      <c r="E39395" t="s">
        <v>119</v>
      </c>
      <c r="F39395" s="2" t="str">
        <f>HYPERLINK("http://www.otzar.org/book.asp?159311","רבן ומושיען של ישראל &lt;קונטרס&gt;")</f>
        <v>רבן ומושיען של ישראל &lt;קונטרס&gt;</v>
      </c>
    </row>
    <row r="39396" spans="1:6" x14ac:dyDescent="0.2">
      <c r="A39396" t="s">
        <v>60307</v>
      </c>
      <c r="B39396" t="s">
        <v>60306</v>
      </c>
      <c r="C39396" t="s">
        <v>189</v>
      </c>
      <c r="D39396" t="s">
        <v>14</v>
      </c>
      <c r="E39396" t="s">
        <v>119</v>
      </c>
      <c r="F39396" s="2" t="str">
        <f>HYPERLINK("http://www.otzar.org/book.asp?159310","רבן ומושיען של ישראל")</f>
        <v>רבן ומושיען של ישראל</v>
      </c>
    </row>
    <row r="39397" spans="1:6" x14ac:dyDescent="0.2">
      <c r="A39397" t="s">
        <v>60308</v>
      </c>
      <c r="B39397" t="s">
        <v>107</v>
      </c>
      <c r="C39397" t="s">
        <v>313</v>
      </c>
      <c r="D39397" t="s">
        <v>14</v>
      </c>
      <c r="E39397" t="s">
        <v>25257</v>
      </c>
      <c r="F39397" s="2" t="str">
        <f>HYPERLINK("http://www.otzar.org/book.asp?6352","רבן יוחנן בן זכאי ותלמידיו")</f>
        <v>רבן יוחנן בן זכאי ותלמידיו</v>
      </c>
    </row>
    <row r="39398" spans="1:6" x14ac:dyDescent="0.2">
      <c r="A39398" t="s">
        <v>60309</v>
      </c>
      <c r="B39398" t="s">
        <v>3554</v>
      </c>
      <c r="C39398" t="s">
        <v>919</v>
      </c>
      <c r="D39398" t="s">
        <v>52</v>
      </c>
      <c r="E39398" t="s">
        <v>119</v>
      </c>
      <c r="F39398" s="2" t="str">
        <f>HYPERLINK("http://www.otzar.org/book.asp?143525","רבן של ישראל")</f>
        <v>רבן של ישראל</v>
      </c>
    </row>
    <row r="39399" spans="1:6" x14ac:dyDescent="0.2">
      <c r="A39399" t="s">
        <v>60310</v>
      </c>
      <c r="B39399" t="s">
        <v>36002</v>
      </c>
      <c r="C39399" t="s">
        <v>133</v>
      </c>
      <c r="D39399" t="s">
        <v>21</v>
      </c>
      <c r="F39399" s="2" t="str">
        <f>HYPERLINK("http://www.otzar.org/book.asp?622233","רבן של כל בני הגולה")</f>
        <v>רבן של כל בני הגולה</v>
      </c>
    </row>
    <row r="39400" spans="1:6" x14ac:dyDescent="0.2">
      <c r="A39400" t="s">
        <v>60311</v>
      </c>
      <c r="B39400" t="s">
        <v>60312</v>
      </c>
      <c r="C39400" t="s">
        <v>492</v>
      </c>
      <c r="D39400" t="s">
        <v>6214</v>
      </c>
      <c r="F39400" s="2" t="str">
        <f>HYPERLINK("http://www.otzar.org/book.asp?197397","רבנו אליהו מוילנא")</f>
        <v>רבנו אליהו מוילנא</v>
      </c>
    </row>
    <row r="39401" spans="1:6" x14ac:dyDescent="0.2">
      <c r="A39401" t="s">
        <v>60313</v>
      </c>
      <c r="B39401" t="s">
        <v>107</v>
      </c>
      <c r="C39401" t="s">
        <v>176</v>
      </c>
      <c r="D39401" t="s">
        <v>14</v>
      </c>
      <c r="E39401" t="s">
        <v>119</v>
      </c>
      <c r="F39401" s="2" t="str">
        <f>HYPERLINK("http://www.otzar.org/book.asp?84022","רבנו הגדול")</f>
        <v>רבנו הגדול</v>
      </c>
    </row>
    <row r="39402" spans="1:6" x14ac:dyDescent="0.2">
      <c r="A39402" t="s">
        <v>60314</v>
      </c>
      <c r="B39402" t="s">
        <v>60280</v>
      </c>
      <c r="E39402" t="s">
        <v>119</v>
      </c>
      <c r="F39402" s="2" t="str">
        <f>HYPERLINK("http://www.otzar.org/book.asp?626597","רבנו החזון איש, רבנו חיים עוזר זצ""ל")</f>
        <v>רבנו החזון איש, רבנו חיים עוזר זצ"ל</v>
      </c>
    </row>
    <row r="39403" spans="1:6" x14ac:dyDescent="0.2">
      <c r="A39403" t="s">
        <v>60315</v>
      </c>
      <c r="B39403" t="s">
        <v>2889</v>
      </c>
      <c r="C39403" t="s">
        <v>60316</v>
      </c>
      <c r="D39403" t="s">
        <v>14</v>
      </c>
      <c r="E39403" t="s">
        <v>119</v>
      </c>
      <c r="F39403" s="2" t="str">
        <f>HYPERLINK("http://www.otzar.org/book.asp?610798","רבנו הקדוש מצאנז - 3 כר'")</f>
        <v>רבנו הקדוש מצאנז - 3 כר'</v>
      </c>
    </row>
    <row r="39404" spans="1:6" x14ac:dyDescent="0.2">
      <c r="A39404" t="s">
        <v>60317</v>
      </c>
      <c r="B39404" t="s">
        <v>50764</v>
      </c>
      <c r="C39404" t="s">
        <v>19959</v>
      </c>
      <c r="D39404" t="s">
        <v>27</v>
      </c>
      <c r="E39404" t="s">
        <v>158</v>
      </c>
      <c r="F39404" s="2" t="str">
        <f>HYPERLINK("http://www.otzar.org/book.asp?7899","רבנו יוסף בכור שור - 3 כר'")</f>
        <v>רבנו יוסף בכור שור - 3 כר'</v>
      </c>
    </row>
    <row r="39405" spans="1:6" x14ac:dyDescent="0.2">
      <c r="A39405" t="s">
        <v>60318</v>
      </c>
      <c r="B39405" t="s">
        <v>60319</v>
      </c>
      <c r="C39405" t="s">
        <v>26</v>
      </c>
      <c r="D39405" t="s">
        <v>14</v>
      </c>
      <c r="E39405" t="s">
        <v>119</v>
      </c>
      <c r="F39405" s="2" t="str">
        <f>HYPERLINK("http://www.otzar.org/book.asp?179107","רבנו יוסף הלוי אבן מיגאש")</f>
        <v>רבנו יוסף הלוי אבן מיגאש</v>
      </c>
    </row>
    <row r="39406" spans="1:6" x14ac:dyDescent="0.2">
      <c r="A39406" t="s">
        <v>60320</v>
      </c>
      <c r="B39406" t="s">
        <v>8977</v>
      </c>
      <c r="C39406" t="s">
        <v>482</v>
      </c>
      <c r="D39406" t="s">
        <v>260</v>
      </c>
      <c r="E39406" t="s">
        <v>104</v>
      </c>
      <c r="F39406" s="2" t="str">
        <f>HYPERLINK("http://www.otzar.org/book.asp?156815","רבנו מאיר מרוטנבורג")</f>
        <v>רבנו מאיר מרוטנבורג</v>
      </c>
    </row>
    <row r="39407" spans="1:6" x14ac:dyDescent="0.2">
      <c r="A39407" t="s">
        <v>60321</v>
      </c>
      <c r="B39407" t="s">
        <v>10822</v>
      </c>
      <c r="C39407" t="s">
        <v>224</v>
      </c>
      <c r="D39407" t="s">
        <v>2295</v>
      </c>
      <c r="E39407" t="s">
        <v>119</v>
      </c>
      <c r="F39407" s="2" t="str">
        <f>HYPERLINK("http://www.otzar.org/book.asp?106494","רבנו משה בן מימון")</f>
        <v>רבנו משה בן מימון</v>
      </c>
    </row>
    <row r="39408" spans="1:6" x14ac:dyDescent="0.2">
      <c r="A39408" t="s">
        <v>60321</v>
      </c>
      <c r="B39408" t="s">
        <v>60322</v>
      </c>
      <c r="C39408" t="s">
        <v>224</v>
      </c>
      <c r="D39408" t="s">
        <v>52479</v>
      </c>
      <c r="E39408" t="s">
        <v>15</v>
      </c>
      <c r="F39408" s="2" t="str">
        <f>HYPERLINK("http://www.otzar.org/book.asp?196225","רבנו משה בן מימון")</f>
        <v>רבנו משה בן מימון</v>
      </c>
    </row>
    <row r="39409" spans="1:6" x14ac:dyDescent="0.2">
      <c r="A39409" t="s">
        <v>60323</v>
      </c>
      <c r="B39409" t="s">
        <v>1750</v>
      </c>
      <c r="C39409" t="s">
        <v>224</v>
      </c>
      <c r="D39409" t="s">
        <v>27</v>
      </c>
      <c r="E39409" t="s">
        <v>60324</v>
      </c>
      <c r="F39409" s="2" t="str">
        <f>HYPERLINK("http://www.otzar.org/book.asp?14968","רבנו משה בן מימון - א-ב")</f>
        <v>רבנו משה בן מימון - א-ב</v>
      </c>
    </row>
    <row r="39410" spans="1:6" x14ac:dyDescent="0.2">
      <c r="A39410" t="s">
        <v>60325</v>
      </c>
      <c r="B39410" t="s">
        <v>60326</v>
      </c>
      <c r="C39410" t="s">
        <v>1268</v>
      </c>
      <c r="D39410" t="s">
        <v>14</v>
      </c>
      <c r="E39410" t="s">
        <v>119</v>
      </c>
      <c r="F39410" s="2" t="str">
        <f>HYPERLINK("http://www.otzar.org/book.asp?151863","רבנו משה סופר")</f>
        <v>רבנו משה סופר</v>
      </c>
    </row>
    <row r="39411" spans="1:6" x14ac:dyDescent="0.2">
      <c r="A39411" t="s">
        <v>60327</v>
      </c>
      <c r="B39411" t="s">
        <v>40821</v>
      </c>
      <c r="C39411" t="s">
        <v>10303</v>
      </c>
      <c r="D39411" t="s">
        <v>3208</v>
      </c>
      <c r="F39411" s="2" t="str">
        <f>HYPERLINK("http://www.otzar.org/book.asp?623026","רבנו שמואל מוהליבר ז""ל")</f>
        <v>רבנו שמואל מוהליבר ז"ל</v>
      </c>
    </row>
    <row r="39412" spans="1:6" x14ac:dyDescent="0.2">
      <c r="A39412" t="s">
        <v>60328</v>
      </c>
      <c r="B39412" t="s">
        <v>60329</v>
      </c>
      <c r="C39412" t="s">
        <v>553</v>
      </c>
      <c r="D39412" t="s">
        <v>14</v>
      </c>
      <c r="E39412" t="s">
        <v>5935</v>
      </c>
      <c r="F39412" s="2" t="str">
        <f>HYPERLINK("http://www.otzar.org/book.asp?166721","רבנות וקהילה במשנת מרן החתם סופר זצ""ל")</f>
        <v>רבנות וקהילה במשנת מרן החתם סופר זצ"ל</v>
      </c>
    </row>
    <row r="39413" spans="1:6" x14ac:dyDescent="0.2">
      <c r="A39413" t="s">
        <v>60330</v>
      </c>
      <c r="B39413" t="s">
        <v>3113</v>
      </c>
      <c r="C39413" t="s">
        <v>1096</v>
      </c>
      <c r="D39413" t="s">
        <v>56</v>
      </c>
      <c r="E39413" t="s">
        <v>733</v>
      </c>
      <c r="F39413" s="2" t="str">
        <f>HYPERLINK("http://www.otzar.org/book.asp?19089","רבני מינסק וחכמיה")</f>
        <v>רבני מינסק וחכמיה</v>
      </c>
    </row>
    <row r="39414" spans="1:6" x14ac:dyDescent="0.2">
      <c r="A39414" t="s">
        <v>60331</v>
      </c>
      <c r="B39414" t="s">
        <v>60332</v>
      </c>
      <c r="C39414" t="s">
        <v>1268</v>
      </c>
      <c r="D39414" t="s">
        <v>52</v>
      </c>
      <c r="E39414" t="s">
        <v>119</v>
      </c>
      <c r="F39414" s="2" t="str">
        <f>HYPERLINK("http://www.otzar.org/book.asp?166277","רבני קלאוזנבורג")</f>
        <v>רבני קלאוזנבורג</v>
      </c>
    </row>
    <row r="39415" spans="1:6" x14ac:dyDescent="0.2">
      <c r="A39415" t="s">
        <v>60333</v>
      </c>
      <c r="B39415" t="s">
        <v>7048</v>
      </c>
      <c r="C39415" t="s">
        <v>523</v>
      </c>
      <c r="D39415" t="s">
        <v>216</v>
      </c>
      <c r="E39415" t="s">
        <v>733</v>
      </c>
      <c r="F39415" s="2" t="str">
        <f>HYPERLINK("http://www.otzar.org/book.asp?154926","רבנן דאגדתא")</f>
        <v>רבנן דאגדתא</v>
      </c>
    </row>
    <row r="39416" spans="1:6" x14ac:dyDescent="0.2">
      <c r="A39416" t="s">
        <v>60334</v>
      </c>
      <c r="B39416" t="s">
        <v>2900</v>
      </c>
      <c r="C39416" t="s">
        <v>576</v>
      </c>
      <c r="D39416" t="s">
        <v>27</v>
      </c>
      <c r="E39416" t="s">
        <v>733</v>
      </c>
      <c r="F39416" s="2" t="str">
        <f>HYPERLINK("http://www.otzar.org/book.asp?101629","רבנן סבוראי ותלמודם")</f>
        <v>רבנן סבוראי ותלמודם</v>
      </c>
    </row>
    <row r="39417" spans="1:6" x14ac:dyDescent="0.2">
      <c r="A39417" t="s">
        <v>60335</v>
      </c>
      <c r="B39417" t="s">
        <v>6646</v>
      </c>
      <c r="E39417" t="s">
        <v>621</v>
      </c>
      <c r="F39417" s="2" t="str">
        <f>HYPERLINK("http://www.otzar.org/book.asp?196544","רבנן קדישי")</f>
        <v>רבנן קדישי</v>
      </c>
    </row>
    <row r="39418" spans="1:6" x14ac:dyDescent="0.2">
      <c r="A39418" t="s">
        <v>60336</v>
      </c>
      <c r="B39418" t="s">
        <v>60337</v>
      </c>
      <c r="C39418" t="s">
        <v>4705</v>
      </c>
      <c r="D39418" t="s">
        <v>283</v>
      </c>
      <c r="E39418" t="s">
        <v>172</v>
      </c>
      <c r="F39418" s="2" t="str">
        <f>HYPERLINK("http://www.otzar.org/book.asp?21422","רבע שקל כסף")</f>
        <v>רבע שקל כסף</v>
      </c>
    </row>
    <row r="39419" spans="1:6" x14ac:dyDescent="0.2">
      <c r="A39419" t="s">
        <v>60338</v>
      </c>
      <c r="B39419" t="s">
        <v>686</v>
      </c>
      <c r="C39419" t="s">
        <v>244</v>
      </c>
      <c r="D39419" t="s">
        <v>80</v>
      </c>
      <c r="E39419" t="s">
        <v>3798</v>
      </c>
      <c r="F39419" s="2" t="str">
        <f>HYPERLINK("http://www.otzar.org/book.asp?606741","רבץ כאריה")</f>
        <v>רבץ כאריה</v>
      </c>
    </row>
    <row r="39420" spans="1:6" x14ac:dyDescent="0.2">
      <c r="A39420" t="s">
        <v>60339</v>
      </c>
      <c r="B39420" t="s">
        <v>170</v>
      </c>
      <c r="C39420" t="s">
        <v>1981</v>
      </c>
      <c r="D39420" t="s">
        <v>403</v>
      </c>
      <c r="E39420" t="s">
        <v>60340</v>
      </c>
      <c r="F39420" s="2" t="str">
        <f>HYPERLINK("http://www.otzar.org/book.asp?101630","רגל ישרה")</f>
        <v>רגל ישרה</v>
      </c>
    </row>
    <row r="39421" spans="1:6" x14ac:dyDescent="0.2">
      <c r="A39421" t="s">
        <v>60339</v>
      </c>
      <c r="B39421" t="s">
        <v>60341</v>
      </c>
      <c r="C39421" t="s">
        <v>1954</v>
      </c>
      <c r="D39421" t="s">
        <v>563</v>
      </c>
      <c r="E39421" t="s">
        <v>15</v>
      </c>
      <c r="F39421" s="2" t="str">
        <f>HYPERLINK("http://www.otzar.org/book.asp?146965","רגל ישרה")</f>
        <v>רגל ישרה</v>
      </c>
    </row>
    <row r="39422" spans="1:6" x14ac:dyDescent="0.2">
      <c r="A39422" t="s">
        <v>60342</v>
      </c>
      <c r="B39422" t="s">
        <v>1264</v>
      </c>
      <c r="C39422" t="s">
        <v>1278</v>
      </c>
      <c r="D39422" t="s">
        <v>1279</v>
      </c>
      <c r="E39422" t="s">
        <v>1438</v>
      </c>
      <c r="F39422" s="2" t="str">
        <f>HYPERLINK("http://www.otzar.org/book.asp?100640","רגל ישרה - 2 כר'")</f>
        <v>רגל ישרה - 2 כר'</v>
      </c>
    </row>
    <row r="39423" spans="1:6" x14ac:dyDescent="0.2">
      <c r="A39423" t="s">
        <v>60343</v>
      </c>
      <c r="B39423" t="s">
        <v>686</v>
      </c>
      <c r="C39423" t="s">
        <v>37</v>
      </c>
      <c r="D39423" t="s">
        <v>52</v>
      </c>
      <c r="E39423" t="s">
        <v>104</v>
      </c>
      <c r="F39423" s="2" t="str">
        <f>HYPERLINK("http://www.otzar.org/book.asp?189253","רגלי כאילות - הורני ה' דרכך")</f>
        <v>רגלי כאילות - הורני ה' דרכך</v>
      </c>
    </row>
    <row r="39424" spans="1:6" x14ac:dyDescent="0.2">
      <c r="A39424" t="s">
        <v>60344</v>
      </c>
      <c r="B39424" t="s">
        <v>13646</v>
      </c>
      <c r="C39424" t="s">
        <v>1650</v>
      </c>
      <c r="D39424" t="s">
        <v>30</v>
      </c>
      <c r="E39424" t="s">
        <v>213</v>
      </c>
      <c r="F39424" s="2" t="str">
        <f>HYPERLINK("http://www.otzar.org/book.asp?100639","רגלי מבשר")</f>
        <v>רגלי מבשר</v>
      </c>
    </row>
    <row r="39425" spans="1:6" x14ac:dyDescent="0.2">
      <c r="A39425" t="s">
        <v>60345</v>
      </c>
      <c r="B39425" t="s">
        <v>60346</v>
      </c>
      <c r="C39425" t="s">
        <v>313</v>
      </c>
      <c r="D39425" t="s">
        <v>118</v>
      </c>
      <c r="E39425" t="s">
        <v>733</v>
      </c>
      <c r="F39425" s="2" t="str">
        <f>HYPERLINK("http://www.otzar.org/book.asp?159509","רגלי מבשר - תולדות רבי עקיבא יוסף שלזינגר")</f>
        <v>רגלי מבשר - תולדות רבי עקיבא יוסף שלזינגר</v>
      </c>
    </row>
    <row r="39426" spans="1:6" x14ac:dyDescent="0.2">
      <c r="A39426" t="s">
        <v>60344</v>
      </c>
      <c r="B39426" t="s">
        <v>33442</v>
      </c>
      <c r="C39426" t="s">
        <v>87</v>
      </c>
      <c r="D39426" t="s">
        <v>27</v>
      </c>
      <c r="E39426" t="s">
        <v>2071</v>
      </c>
      <c r="F39426" s="2" t="str">
        <f>HYPERLINK("http://www.otzar.org/book.asp?195011","רגלי מבשר")</f>
        <v>רגלי מבשר</v>
      </c>
    </row>
    <row r="39427" spans="1:6" x14ac:dyDescent="0.2">
      <c r="A39427" t="s">
        <v>60347</v>
      </c>
      <c r="B39427" t="s">
        <v>2885</v>
      </c>
      <c r="C39427" t="s">
        <v>454</v>
      </c>
      <c r="D39427" t="s">
        <v>90</v>
      </c>
      <c r="F39427" s="2" t="str">
        <f>HYPERLINK("http://www.otzar.org/book.asp?618130","רגעי מוהרא""ש")</f>
        <v>רגעי מוהרא"ש</v>
      </c>
    </row>
    <row r="39428" spans="1:6" x14ac:dyDescent="0.2">
      <c r="A39428" t="s">
        <v>60348</v>
      </c>
      <c r="B39428" t="s">
        <v>60349</v>
      </c>
      <c r="C39428" t="s">
        <v>5823</v>
      </c>
      <c r="D39428" t="s">
        <v>1365</v>
      </c>
      <c r="E39428" t="s">
        <v>104</v>
      </c>
      <c r="F39428" s="2" t="str">
        <f>HYPERLINK("http://www.otzar.org/book.asp?191418","רגש אמרינו")</f>
        <v>רגש אמרינו</v>
      </c>
    </row>
    <row r="39429" spans="1:6" x14ac:dyDescent="0.2">
      <c r="A39429" t="s">
        <v>60350</v>
      </c>
      <c r="B39429" t="s">
        <v>3292</v>
      </c>
      <c r="C39429" t="s">
        <v>99</v>
      </c>
      <c r="D39429" t="s">
        <v>3293</v>
      </c>
      <c r="E39429" t="s">
        <v>234</v>
      </c>
      <c r="F39429" s="2" t="str">
        <f>HYPERLINK("http://www.otzar.org/book.asp?51813","רגש לב")</f>
        <v>רגש לב</v>
      </c>
    </row>
    <row r="39430" spans="1:6" x14ac:dyDescent="0.2">
      <c r="A39430" t="s">
        <v>60351</v>
      </c>
      <c r="B39430" t="s">
        <v>15118</v>
      </c>
      <c r="C39430" t="s">
        <v>22237</v>
      </c>
      <c r="D39430" t="s">
        <v>260</v>
      </c>
      <c r="E39430" t="s">
        <v>588</v>
      </c>
      <c r="F39430" s="2" t="str">
        <f>HYPERLINK("http://www.otzar.org/book.asp?20875","רגשי הדת - 2 כר'")</f>
        <v>רגשי הדת - 2 כר'</v>
      </c>
    </row>
    <row r="39431" spans="1:6" x14ac:dyDescent="0.2">
      <c r="A39431" t="s">
        <v>60352</v>
      </c>
      <c r="B39431" t="s">
        <v>60353</v>
      </c>
      <c r="C39431" t="s">
        <v>3246</v>
      </c>
      <c r="D39431" t="s">
        <v>9</v>
      </c>
      <c r="E39431" t="s">
        <v>60354</v>
      </c>
      <c r="F39431" s="2" t="str">
        <f>HYPERLINK("http://www.otzar.org/book.asp?100635","רגשי יהודה")</f>
        <v>רגשי יהודה</v>
      </c>
    </row>
    <row r="39432" spans="1:6" x14ac:dyDescent="0.2">
      <c r="A39432" t="s">
        <v>60355</v>
      </c>
      <c r="B39432" t="s">
        <v>60356</v>
      </c>
      <c r="C39432" t="s">
        <v>133</v>
      </c>
      <c r="D39432" t="s">
        <v>14</v>
      </c>
      <c r="E39432" t="s">
        <v>202</v>
      </c>
      <c r="F39432" s="2" t="str">
        <f>HYPERLINK("http://www.otzar.org/book.asp?627822","רגשת חצריה - 4 כר'")</f>
        <v>רגשת חצריה - 4 כר'</v>
      </c>
    </row>
    <row r="39433" spans="1:6" x14ac:dyDescent="0.2">
      <c r="A39433" t="s">
        <v>60357</v>
      </c>
      <c r="B39433" t="s">
        <v>30378</v>
      </c>
      <c r="C39433" t="s">
        <v>1335</v>
      </c>
      <c r="D39433" t="s">
        <v>2069</v>
      </c>
      <c r="E39433" t="s">
        <v>158</v>
      </c>
      <c r="F39433" s="2" t="str">
        <f>HYPERLINK("http://www.otzar.org/book.asp?197602","רד""ק")</f>
        <v>רד"ק</v>
      </c>
    </row>
    <row r="39434" spans="1:6" x14ac:dyDescent="0.2">
      <c r="A39434" t="s">
        <v>60358</v>
      </c>
      <c r="B39434" t="s">
        <v>9358</v>
      </c>
      <c r="C39434" t="s">
        <v>419</v>
      </c>
      <c r="D39434" t="s">
        <v>90</v>
      </c>
      <c r="E39434" t="s">
        <v>119</v>
      </c>
      <c r="F39434" s="2" t="str">
        <f>HYPERLINK("http://www.otzar.org/book.asp?199741","רדאוץ")</f>
        <v>רדאוץ</v>
      </c>
    </row>
    <row r="39435" spans="1:6" x14ac:dyDescent="0.2">
      <c r="A39435" t="s">
        <v>60359</v>
      </c>
      <c r="B39435" t="s">
        <v>9358</v>
      </c>
      <c r="C39435" t="s">
        <v>3106</v>
      </c>
      <c r="D39435" t="s">
        <v>22561</v>
      </c>
      <c r="F39435" s="2" t="str">
        <f>HYPERLINK("http://www.otzar.org/book.asp?616941","רדושקוביץ")</f>
        <v>רדושקוביץ</v>
      </c>
    </row>
    <row r="39436" spans="1:6" x14ac:dyDescent="0.2">
      <c r="A39436" t="s">
        <v>60360</v>
      </c>
      <c r="B39436" t="s">
        <v>9358</v>
      </c>
      <c r="C39436" t="s">
        <v>1609</v>
      </c>
      <c r="D39436" t="s">
        <v>216</v>
      </c>
      <c r="F39436" s="2" t="str">
        <f>HYPERLINK("http://www.otzar.org/book.asp?151706","רדזין")</f>
        <v>רדזין</v>
      </c>
    </row>
    <row r="39437" spans="1:6" x14ac:dyDescent="0.2">
      <c r="A39437" t="s">
        <v>60361</v>
      </c>
      <c r="B39437" t="s">
        <v>5139</v>
      </c>
      <c r="C39437" t="s">
        <v>17</v>
      </c>
      <c r="D39437" t="s">
        <v>14</v>
      </c>
      <c r="E39437" t="s">
        <v>104</v>
      </c>
      <c r="F39437" s="2" t="str">
        <f>HYPERLINK("http://www.otzar.org/book.asp?200299","רדיפי מיא")</f>
        <v>רדיפי מיא</v>
      </c>
    </row>
    <row r="39438" spans="1:6" x14ac:dyDescent="0.2">
      <c r="A39438" t="s">
        <v>60362</v>
      </c>
      <c r="B39438" t="s">
        <v>60363</v>
      </c>
      <c r="C39438" t="s">
        <v>812</v>
      </c>
      <c r="D39438" t="s">
        <v>1100</v>
      </c>
      <c r="E39438" t="s">
        <v>158</v>
      </c>
      <c r="F39438" s="2" t="str">
        <f>HYPERLINK("http://www.otzar.org/book.asp?172929","רהיטי ברותים")</f>
        <v>רהיטי ברותים</v>
      </c>
    </row>
    <row r="39439" spans="1:6" x14ac:dyDescent="0.2">
      <c r="A39439" t="s">
        <v>60364</v>
      </c>
      <c r="B39439" t="s">
        <v>55978</v>
      </c>
      <c r="C39439" t="s">
        <v>244</v>
      </c>
      <c r="D39439" t="s">
        <v>90</v>
      </c>
      <c r="E39439" t="s">
        <v>104</v>
      </c>
      <c r="F39439" s="2" t="str">
        <f>HYPERLINK("http://www.otzar.org/book.asp?600404","רואים בעיניים עצומות")</f>
        <v>רואים בעיניים עצומות</v>
      </c>
    </row>
    <row r="39440" spans="1:6" x14ac:dyDescent="0.2">
      <c r="A39440" t="s">
        <v>60365</v>
      </c>
      <c r="B39440" t="s">
        <v>8127</v>
      </c>
      <c r="C39440" t="s">
        <v>343</v>
      </c>
      <c r="D39440" t="s">
        <v>212</v>
      </c>
      <c r="E39440" t="s">
        <v>8318</v>
      </c>
      <c r="F39440" s="2" t="str">
        <f>HYPERLINK("http://www.otzar.org/book.asp?101795","רוב דגן")</f>
        <v>רוב דגן</v>
      </c>
    </row>
    <row r="39441" spans="1:6" x14ac:dyDescent="0.2">
      <c r="A39441" t="s">
        <v>60366</v>
      </c>
      <c r="B39441" t="s">
        <v>9096</v>
      </c>
      <c r="C39441" t="s">
        <v>180</v>
      </c>
      <c r="D39441" t="s">
        <v>14</v>
      </c>
      <c r="E39441" t="s">
        <v>104</v>
      </c>
      <c r="F39441" s="2" t="str">
        <f>HYPERLINK("http://www.otzar.org/book.asp?151253","רוב מנין או רוב חכמה")</f>
        <v>רוב מנין או רוב חכמה</v>
      </c>
    </row>
    <row r="39442" spans="1:6" x14ac:dyDescent="0.2">
      <c r="A39442" t="s">
        <v>60367</v>
      </c>
      <c r="B39442" t="s">
        <v>54789</v>
      </c>
      <c r="C39442" t="s">
        <v>151</v>
      </c>
      <c r="D39442" t="s">
        <v>2362</v>
      </c>
      <c r="E39442" t="s">
        <v>144</v>
      </c>
      <c r="F39442" s="2" t="str">
        <f>HYPERLINK("http://www.otzar.org/book.asp?621491","רווחא מילתא")</f>
        <v>רווחא מילתא</v>
      </c>
    </row>
    <row r="39443" spans="1:6" x14ac:dyDescent="0.2">
      <c r="A39443" t="s">
        <v>60368</v>
      </c>
      <c r="B39443" t="s">
        <v>60369</v>
      </c>
      <c r="C39443" t="s">
        <v>17</v>
      </c>
      <c r="D39443" t="s">
        <v>14</v>
      </c>
      <c r="E39443" t="s">
        <v>144</v>
      </c>
      <c r="F39443" s="2" t="str">
        <f>HYPERLINK("http://www.otzar.org/book.asp?144298","רווחא שמעתא - 18 כר'")</f>
        <v>רווחא שמעתא - 18 כר'</v>
      </c>
    </row>
    <row r="39444" spans="1:6" x14ac:dyDescent="0.2">
      <c r="A39444" t="s">
        <v>60370</v>
      </c>
      <c r="B39444" t="s">
        <v>27211</v>
      </c>
      <c r="C39444" t="s">
        <v>775</v>
      </c>
      <c r="D39444" t="s">
        <v>14</v>
      </c>
      <c r="E39444" t="s">
        <v>144</v>
      </c>
      <c r="F39444" s="2" t="str">
        <f>HYPERLINK("http://www.otzar.org/book.asp?22571","רווחא שמעתתא - 2 כר'")</f>
        <v>רווחא שמעתתא - 2 כר'</v>
      </c>
    </row>
    <row r="39445" spans="1:6" x14ac:dyDescent="0.2">
      <c r="A39445" t="s">
        <v>60371</v>
      </c>
      <c r="B39445" t="s">
        <v>60372</v>
      </c>
      <c r="C39445" t="s">
        <v>114</v>
      </c>
      <c r="D39445" t="s">
        <v>367</v>
      </c>
      <c r="E39445" t="s">
        <v>158</v>
      </c>
      <c r="F39445" s="2" t="str">
        <f>HYPERLINK("http://www.otzar.org/book.asp?608568","רוח אבות - בראשית")</f>
        <v>רוח אבות - בראשית</v>
      </c>
    </row>
    <row r="39446" spans="1:6" x14ac:dyDescent="0.2">
      <c r="A39446" t="s">
        <v>60373</v>
      </c>
      <c r="B39446" t="s">
        <v>60374</v>
      </c>
      <c r="C39446" t="s">
        <v>51</v>
      </c>
      <c r="D39446" t="s">
        <v>1550</v>
      </c>
      <c r="E39446" t="s">
        <v>144</v>
      </c>
      <c r="F39446" s="2" t="str">
        <f>HYPERLINK("http://www.otzar.org/book.asp?61804","רוח אליהו")</f>
        <v>רוח אליהו</v>
      </c>
    </row>
    <row r="39447" spans="1:6" x14ac:dyDescent="0.2">
      <c r="A39447" t="s">
        <v>60373</v>
      </c>
      <c r="B39447" t="s">
        <v>60375</v>
      </c>
      <c r="C39447" t="s">
        <v>562</v>
      </c>
      <c r="D39447" t="s">
        <v>76</v>
      </c>
      <c r="E39447" t="s">
        <v>6134</v>
      </c>
      <c r="F39447" s="2" t="str">
        <f>HYPERLINK("http://www.otzar.org/book.asp?52495","רוח אליהו")</f>
        <v>רוח אליהו</v>
      </c>
    </row>
    <row r="39448" spans="1:6" x14ac:dyDescent="0.2">
      <c r="A39448" t="s">
        <v>60376</v>
      </c>
      <c r="B39448" t="s">
        <v>29424</v>
      </c>
      <c r="C39448" t="s">
        <v>2465</v>
      </c>
      <c r="D39448" t="s">
        <v>3817</v>
      </c>
      <c r="E39448" t="s">
        <v>64</v>
      </c>
      <c r="F39448" s="2" t="str">
        <f>HYPERLINK("http://www.otzar.org/book.asp?147132","רוח אלקים")</f>
        <v>רוח אלקים</v>
      </c>
    </row>
    <row r="39449" spans="1:6" x14ac:dyDescent="0.2">
      <c r="A39449" t="s">
        <v>60377</v>
      </c>
      <c r="B39449" t="s">
        <v>44524</v>
      </c>
      <c r="C39449" t="s">
        <v>7422</v>
      </c>
      <c r="D39449" t="s">
        <v>76</v>
      </c>
      <c r="E39449" t="s">
        <v>1847</v>
      </c>
      <c r="F39449" s="2" t="str">
        <f>HYPERLINK("http://www.otzar.org/book.asp?100627","רוח דוד ונשמת דוד")</f>
        <v>רוח דוד ונשמת דוד</v>
      </c>
    </row>
    <row r="39450" spans="1:6" x14ac:dyDescent="0.2">
      <c r="A39450" t="s">
        <v>60378</v>
      </c>
      <c r="B39450" t="s">
        <v>5407</v>
      </c>
      <c r="C39450" t="s">
        <v>1202</v>
      </c>
      <c r="D39450" t="s">
        <v>27</v>
      </c>
      <c r="E39450" t="s">
        <v>241</v>
      </c>
      <c r="F39450" s="2" t="str">
        <f>HYPERLINK("http://www.otzar.org/book.asp?17432","רוח הגן")</f>
        <v>רוח הגן</v>
      </c>
    </row>
    <row r="39451" spans="1:6" x14ac:dyDescent="0.2">
      <c r="A39451" t="s">
        <v>60379</v>
      </c>
      <c r="B39451" t="s">
        <v>2074</v>
      </c>
      <c r="C39451" t="s">
        <v>366</v>
      </c>
      <c r="D39451" t="s">
        <v>14</v>
      </c>
      <c r="E39451" t="s">
        <v>104</v>
      </c>
      <c r="F39451" s="2" t="str">
        <f>HYPERLINK("http://www.otzar.org/book.asp?608711","רוח הי""ם - 2 כר'")</f>
        <v>רוח הי"ם - 2 כר'</v>
      </c>
    </row>
    <row r="39452" spans="1:6" x14ac:dyDescent="0.2">
      <c r="A39452" t="s">
        <v>60380</v>
      </c>
      <c r="B39452" t="s">
        <v>60381</v>
      </c>
      <c r="C39452" t="s">
        <v>2550</v>
      </c>
      <c r="D39452" t="s">
        <v>9</v>
      </c>
      <c r="E39452" t="s">
        <v>474</v>
      </c>
      <c r="F39452" s="2" t="str">
        <f>HYPERLINK("http://www.otzar.org/book.asp?103731","רוח העת")</f>
        <v>רוח העת</v>
      </c>
    </row>
    <row r="39453" spans="1:6" x14ac:dyDescent="0.2">
      <c r="A39453" t="s">
        <v>60382</v>
      </c>
      <c r="B39453" t="s">
        <v>3129</v>
      </c>
      <c r="C39453" t="s">
        <v>896</v>
      </c>
      <c r="D39453" t="s">
        <v>56</v>
      </c>
      <c r="E39453" t="s">
        <v>158</v>
      </c>
      <c r="F39453" s="2" t="str">
        <f>HYPERLINK("http://www.otzar.org/book.asp?21414","רוח והצלה")</f>
        <v>רוח והצלה</v>
      </c>
    </row>
    <row r="39454" spans="1:6" x14ac:dyDescent="0.2">
      <c r="A39454" t="s">
        <v>60383</v>
      </c>
      <c r="B39454" t="s">
        <v>60384</v>
      </c>
      <c r="C39454" t="s">
        <v>624</v>
      </c>
      <c r="D39454" t="s">
        <v>4207</v>
      </c>
      <c r="E39454" t="s">
        <v>84</v>
      </c>
      <c r="F39454" s="2" t="str">
        <f>HYPERLINK("http://www.otzar.org/book.asp?63633","רוח חיים &lt;ובחרת בחיים&gt;")</f>
        <v>רוח חיים &lt;ובחרת בחיים&gt;</v>
      </c>
    </row>
    <row r="39455" spans="1:6" x14ac:dyDescent="0.2">
      <c r="A39455" t="s">
        <v>60385</v>
      </c>
      <c r="B39455" t="s">
        <v>1308</v>
      </c>
      <c r="C39455" t="s">
        <v>168</v>
      </c>
      <c r="D39455" t="s">
        <v>4207</v>
      </c>
      <c r="F39455" s="2" t="str">
        <f>HYPERLINK("http://www.otzar.org/book.asp?83863","רוח חיים")</f>
        <v>רוח חיים</v>
      </c>
    </row>
    <row r="39456" spans="1:6" x14ac:dyDescent="0.2">
      <c r="A39456" t="s">
        <v>60386</v>
      </c>
      <c r="B39456" t="s">
        <v>36321</v>
      </c>
      <c r="C39456" t="s">
        <v>5991</v>
      </c>
      <c r="D39456" t="s">
        <v>1279</v>
      </c>
      <c r="E39456" t="s">
        <v>104</v>
      </c>
      <c r="F39456" s="2" t="str">
        <f>HYPERLINK("http://www.otzar.org/book.asp?25351","רוח חיים - 2 כר'")</f>
        <v>רוח חיים - 2 כר'</v>
      </c>
    </row>
    <row r="39457" spans="1:6" x14ac:dyDescent="0.2">
      <c r="A39457" t="s">
        <v>60385</v>
      </c>
      <c r="B39457" t="s">
        <v>60387</v>
      </c>
      <c r="C39457" t="s">
        <v>3246</v>
      </c>
      <c r="D39457" t="s">
        <v>56</v>
      </c>
      <c r="E39457" t="s">
        <v>463</v>
      </c>
      <c r="F39457" s="2" t="str">
        <f>HYPERLINK("http://www.otzar.org/book.asp?191416","רוח חיים")</f>
        <v>רוח חיים</v>
      </c>
    </row>
    <row r="39458" spans="1:6" x14ac:dyDescent="0.2">
      <c r="A39458" t="s">
        <v>60385</v>
      </c>
      <c r="B39458" t="s">
        <v>5018</v>
      </c>
      <c r="C39458" t="s">
        <v>419</v>
      </c>
      <c r="D39458" t="s">
        <v>21</v>
      </c>
      <c r="E39458" t="s">
        <v>8551</v>
      </c>
      <c r="F39458" s="2" t="str">
        <f>HYPERLINK("http://www.otzar.org/book.asp?198423","רוח חיים")</f>
        <v>רוח חיים</v>
      </c>
    </row>
    <row r="39459" spans="1:6" x14ac:dyDescent="0.2">
      <c r="A39459" t="s">
        <v>60385</v>
      </c>
      <c r="B39459" t="s">
        <v>60388</v>
      </c>
      <c r="C39459" t="s">
        <v>1524</v>
      </c>
      <c r="D39459" t="s">
        <v>2714</v>
      </c>
      <c r="E39459" t="s">
        <v>104</v>
      </c>
      <c r="F39459" s="2" t="str">
        <f>HYPERLINK("http://www.otzar.org/book.asp?146833","רוח חיים")</f>
        <v>רוח חיים</v>
      </c>
    </row>
    <row r="39460" spans="1:6" x14ac:dyDescent="0.2">
      <c r="A39460" t="s">
        <v>60389</v>
      </c>
      <c r="B39460" t="s">
        <v>60390</v>
      </c>
      <c r="C39460" t="s">
        <v>87</v>
      </c>
      <c r="D39460" t="s">
        <v>14</v>
      </c>
      <c r="E39460" t="s">
        <v>213</v>
      </c>
      <c r="F39460" s="2" t="str">
        <f>HYPERLINK("http://www.otzar.org/book.asp?147651","רוח חיים - עם ציונים ומילואים")</f>
        <v>רוח חיים - עם ציונים ומילואים</v>
      </c>
    </row>
    <row r="39461" spans="1:6" x14ac:dyDescent="0.2">
      <c r="A39461" t="s">
        <v>60385</v>
      </c>
      <c r="B39461" t="s">
        <v>60391</v>
      </c>
      <c r="C39461" t="s">
        <v>1535</v>
      </c>
      <c r="D39461" t="s">
        <v>50406</v>
      </c>
      <c r="E39461" t="s">
        <v>27774</v>
      </c>
      <c r="F39461" s="2" t="str">
        <f>HYPERLINK("http://www.otzar.org/book.asp?624781","רוח חיים")</f>
        <v>רוח חיים</v>
      </c>
    </row>
    <row r="39462" spans="1:6" x14ac:dyDescent="0.2">
      <c r="A39462" t="s">
        <v>60392</v>
      </c>
      <c r="B39462" t="s">
        <v>1465</v>
      </c>
      <c r="C39462" t="s">
        <v>985</v>
      </c>
      <c r="D39462" t="s">
        <v>33545</v>
      </c>
      <c r="E39462" t="s">
        <v>84</v>
      </c>
      <c r="F39462" s="2" t="str">
        <f>HYPERLINK("http://www.otzar.org/book.asp?602826","רוח חיים - 3 כר'")</f>
        <v>רוח חיים - 3 כר'</v>
      </c>
    </row>
    <row r="39463" spans="1:6" x14ac:dyDescent="0.2">
      <c r="A39463" t="s">
        <v>60386</v>
      </c>
      <c r="B39463" t="s">
        <v>155</v>
      </c>
      <c r="C39463" t="s">
        <v>11939</v>
      </c>
      <c r="D39463" t="s">
        <v>157</v>
      </c>
      <c r="E39463" t="s">
        <v>154</v>
      </c>
      <c r="F39463" s="2" t="str">
        <f>HYPERLINK("http://www.otzar.org/book.asp?108260","רוח חיים - 2 כר'")</f>
        <v>רוח חיים - 2 כר'</v>
      </c>
    </row>
    <row r="39464" spans="1:6" x14ac:dyDescent="0.2">
      <c r="A39464" t="s">
        <v>60385</v>
      </c>
      <c r="B39464" t="s">
        <v>5272</v>
      </c>
      <c r="C39464" t="s">
        <v>163</v>
      </c>
      <c r="D39464" t="s">
        <v>283</v>
      </c>
      <c r="E39464" t="s">
        <v>234</v>
      </c>
      <c r="F39464" s="2" t="str">
        <f>HYPERLINK("http://www.otzar.org/book.asp?167600","רוח חיים")</f>
        <v>רוח חיים</v>
      </c>
    </row>
    <row r="39465" spans="1:6" x14ac:dyDescent="0.2">
      <c r="A39465" t="s">
        <v>60393</v>
      </c>
      <c r="B39465" t="s">
        <v>59962</v>
      </c>
      <c r="C39465" t="s">
        <v>114</v>
      </c>
      <c r="D39465" t="s">
        <v>14</v>
      </c>
      <c r="E39465" t="s">
        <v>60394</v>
      </c>
      <c r="F39465" s="2" t="str">
        <f>HYPERLINK("http://www.otzar.org/book.asp?166000","רוח חכמה")</f>
        <v>רוח חכמה</v>
      </c>
    </row>
    <row r="39466" spans="1:6" x14ac:dyDescent="0.2">
      <c r="A39466" t="s">
        <v>60395</v>
      </c>
      <c r="B39466" t="s">
        <v>10047</v>
      </c>
      <c r="C39466" t="s">
        <v>1374</v>
      </c>
      <c r="D39466" t="s">
        <v>592</v>
      </c>
      <c r="E39466" t="s">
        <v>104</v>
      </c>
      <c r="F39466" s="2" t="str">
        <f>HYPERLINK("http://www.otzar.org/book.asp?191415","רוח חכמים")</f>
        <v>רוח חכמים</v>
      </c>
    </row>
    <row r="39467" spans="1:6" x14ac:dyDescent="0.2">
      <c r="A39467" t="s">
        <v>60396</v>
      </c>
      <c r="B39467" t="s">
        <v>36494</v>
      </c>
      <c r="C39467" t="s">
        <v>558</v>
      </c>
      <c r="D39467" t="s">
        <v>2968</v>
      </c>
      <c r="E39467" t="s">
        <v>158</v>
      </c>
      <c r="F39467" s="2" t="str">
        <f>HYPERLINK("http://www.otzar.org/book.asp?199649","רוח חכמים - 2 כר'")</f>
        <v>רוח חכמים - 2 כר'</v>
      </c>
    </row>
    <row r="39468" spans="1:6" x14ac:dyDescent="0.2">
      <c r="A39468" t="s">
        <v>60397</v>
      </c>
      <c r="B39468" t="s">
        <v>60398</v>
      </c>
      <c r="C39468" t="s">
        <v>60399</v>
      </c>
      <c r="D39468" t="s">
        <v>2718</v>
      </c>
      <c r="F39468" s="2" t="str">
        <f>HYPERLINK("http://www.otzar.org/book.asp?620221","רוח חן - 5 כר'")</f>
        <v>רוח חן - 5 כר'</v>
      </c>
    </row>
    <row r="39469" spans="1:6" x14ac:dyDescent="0.2">
      <c r="A39469" t="s">
        <v>60400</v>
      </c>
      <c r="B39469" t="s">
        <v>776</v>
      </c>
      <c r="C39469" t="s">
        <v>60401</v>
      </c>
      <c r="D39469" t="s">
        <v>260</v>
      </c>
      <c r="E39469" t="s">
        <v>241</v>
      </c>
      <c r="F39469" s="2" t="str">
        <f>HYPERLINK("http://www.otzar.org/book.asp?179228","רוח חן")</f>
        <v>רוח חן</v>
      </c>
    </row>
    <row r="39470" spans="1:6" x14ac:dyDescent="0.2">
      <c r="A39470" t="s">
        <v>60402</v>
      </c>
      <c r="B39470" t="s">
        <v>15161</v>
      </c>
      <c r="C39470" t="s">
        <v>37</v>
      </c>
      <c r="D39470" t="s">
        <v>52</v>
      </c>
      <c r="F39470" s="2" t="str">
        <f>HYPERLINK("http://www.otzar.org/book.asp?617217","רוח טהרה")</f>
        <v>רוח טהרה</v>
      </c>
    </row>
    <row r="39471" spans="1:6" x14ac:dyDescent="0.2">
      <c r="A39471" t="s">
        <v>60403</v>
      </c>
      <c r="B39471" t="s">
        <v>60404</v>
      </c>
      <c r="C39471" t="s">
        <v>10455</v>
      </c>
      <c r="D39471" t="s">
        <v>212</v>
      </c>
      <c r="E39471" t="s">
        <v>474</v>
      </c>
      <c r="F39471" s="2" t="str">
        <f>HYPERLINK("http://www.otzar.org/book.asp?25352","רוח יעקב - 2 כר'")</f>
        <v>רוח יעקב - 2 כר'</v>
      </c>
    </row>
    <row r="39472" spans="1:6" x14ac:dyDescent="0.2">
      <c r="A39472" t="s">
        <v>60405</v>
      </c>
      <c r="B39472" t="s">
        <v>19954</v>
      </c>
      <c r="C39472" t="s">
        <v>5823</v>
      </c>
      <c r="D39472" t="s">
        <v>9</v>
      </c>
      <c r="E39472" t="s">
        <v>234</v>
      </c>
      <c r="F39472" s="2" t="str">
        <f>HYPERLINK("http://www.otzar.org/book.asp?51817","רוח יעקב - 3 כר'")</f>
        <v>רוח יעקב - 3 כר'</v>
      </c>
    </row>
    <row r="39473" spans="1:6" x14ac:dyDescent="0.2">
      <c r="A39473" t="s">
        <v>60406</v>
      </c>
      <c r="B39473" t="s">
        <v>60407</v>
      </c>
      <c r="C39473" t="s">
        <v>20</v>
      </c>
      <c r="D39473" t="s">
        <v>21</v>
      </c>
      <c r="E39473" t="s">
        <v>4333</v>
      </c>
      <c r="F39473" s="2" t="str">
        <f>HYPERLINK("http://www.otzar.org/book.asp?607255","רוח ממללא")</f>
        <v>רוח ממללא</v>
      </c>
    </row>
    <row r="39474" spans="1:6" x14ac:dyDescent="0.2">
      <c r="A39474" t="s">
        <v>60408</v>
      </c>
      <c r="B39474" t="s">
        <v>686</v>
      </c>
      <c r="C39474" t="s">
        <v>133</v>
      </c>
      <c r="D39474" t="s">
        <v>52</v>
      </c>
      <c r="E39474" t="s">
        <v>1164</v>
      </c>
      <c r="F39474" s="2" t="str">
        <f>HYPERLINK("http://www.otzar.org/book.asp?175951","רוח ממללא - המלך במסיבו")</f>
        <v>רוח ממללא - המלך במסיבו</v>
      </c>
    </row>
    <row r="39475" spans="1:6" x14ac:dyDescent="0.2">
      <c r="A39475" t="s">
        <v>60409</v>
      </c>
      <c r="B39475" t="s">
        <v>60410</v>
      </c>
      <c r="C39475" t="s">
        <v>111</v>
      </c>
      <c r="D39475" t="s">
        <v>90</v>
      </c>
      <c r="E39475" t="s">
        <v>144</v>
      </c>
      <c r="F39475" s="2" t="str">
        <f>HYPERLINK("http://www.otzar.org/book.asp?622638","רוח ממרום")</f>
        <v>רוח ממרום</v>
      </c>
    </row>
    <row r="39476" spans="1:6" x14ac:dyDescent="0.2">
      <c r="A39476" t="s">
        <v>60411</v>
      </c>
      <c r="B39476" t="s">
        <v>7887</v>
      </c>
      <c r="C39476" t="s">
        <v>129</v>
      </c>
      <c r="D39476" t="s">
        <v>90</v>
      </c>
      <c r="E39476" t="s">
        <v>241</v>
      </c>
      <c r="F39476" s="2" t="str">
        <f>HYPERLINK("http://www.otzar.org/book.asp?603879","רוח נכון - מידת הכעס")</f>
        <v>רוח נכון - מידת הכעס</v>
      </c>
    </row>
    <row r="39477" spans="1:6" x14ac:dyDescent="0.2">
      <c r="A39477" t="s">
        <v>60412</v>
      </c>
      <c r="B39477" t="s">
        <v>60412</v>
      </c>
      <c r="C39477" t="s">
        <v>20</v>
      </c>
      <c r="D39477" t="s">
        <v>118</v>
      </c>
      <c r="E39477" t="s">
        <v>241</v>
      </c>
      <c r="F39477" s="2" t="str">
        <f>HYPERLINK("http://www.otzar.org/book.asp?26028","רוח נמוכה")</f>
        <v>רוח נמוכה</v>
      </c>
    </row>
    <row r="39478" spans="1:6" x14ac:dyDescent="0.2">
      <c r="A39478" t="s">
        <v>60413</v>
      </c>
      <c r="B39478" t="s">
        <v>60414</v>
      </c>
      <c r="C39478" t="s">
        <v>422</v>
      </c>
      <c r="D39478" t="s">
        <v>229</v>
      </c>
      <c r="E39478" t="s">
        <v>144</v>
      </c>
      <c r="F39478" s="2" t="str">
        <f>HYPERLINK("http://www.otzar.org/book.asp?153010","רוח רפאל")</f>
        <v>רוח רפאל</v>
      </c>
    </row>
    <row r="39479" spans="1:6" x14ac:dyDescent="0.2">
      <c r="A39479" t="s">
        <v>60415</v>
      </c>
      <c r="B39479" t="s">
        <v>1728</v>
      </c>
      <c r="C39479" t="s">
        <v>68</v>
      </c>
      <c r="D39479" t="s">
        <v>273</v>
      </c>
      <c r="E39479" t="s">
        <v>741</v>
      </c>
      <c r="F39479" s="2" t="str">
        <f>HYPERLINK("http://www.otzar.org/book.asp?628572","רוחו של משיח")</f>
        <v>רוחו של משיח</v>
      </c>
    </row>
    <row r="39480" spans="1:6" x14ac:dyDescent="0.2">
      <c r="A39480" t="s">
        <v>60416</v>
      </c>
      <c r="B39480" t="s">
        <v>6984</v>
      </c>
      <c r="C39480" t="s">
        <v>20</v>
      </c>
      <c r="D39480" t="s">
        <v>486</v>
      </c>
      <c r="E39480" t="s">
        <v>3055</v>
      </c>
      <c r="F39480" s="2" t="str">
        <f>HYPERLINK("http://www.otzar.org/book.asp?623583","רוחצות בחלב")</f>
        <v>רוחצות בחלב</v>
      </c>
    </row>
    <row r="39481" spans="1:6" x14ac:dyDescent="0.2">
      <c r="A39481" t="s">
        <v>60417</v>
      </c>
      <c r="B39481" t="s">
        <v>6987</v>
      </c>
      <c r="C39481" t="s">
        <v>20</v>
      </c>
      <c r="D39481" t="s">
        <v>90</v>
      </c>
      <c r="E39481" t="s">
        <v>1847</v>
      </c>
      <c r="F39481" s="2" t="str">
        <f>HYPERLINK("http://www.otzar.org/book.asp?181669","רוכב הדורות")</f>
        <v>רוכב הדורות</v>
      </c>
    </row>
    <row r="39482" spans="1:6" x14ac:dyDescent="0.2">
      <c r="A39482" t="s">
        <v>60418</v>
      </c>
      <c r="B39482" t="s">
        <v>25951</v>
      </c>
      <c r="C39482" t="s">
        <v>442</v>
      </c>
      <c r="D39482" t="s">
        <v>27</v>
      </c>
      <c r="E39482" t="s">
        <v>733</v>
      </c>
      <c r="F39482" s="2" t="str">
        <f>HYPERLINK("http://www.otzar.org/book.asp?626098","רומא וירושלים")</f>
        <v>רומא וירושלים</v>
      </c>
    </row>
    <row r="39483" spans="1:6" x14ac:dyDescent="0.2">
      <c r="A39483" t="s">
        <v>60419</v>
      </c>
      <c r="B39483" t="s">
        <v>15186</v>
      </c>
      <c r="C39483" t="s">
        <v>60420</v>
      </c>
      <c r="D39483" t="s">
        <v>1324</v>
      </c>
      <c r="F39483" s="2" t="str">
        <f>HYPERLINK("http://www.otzar.org/book.asp?611751","רוממות אל &lt;דפו""ר&gt;")</f>
        <v>רוממות אל &lt;דפו"ר&gt;</v>
      </c>
    </row>
    <row r="39484" spans="1:6" x14ac:dyDescent="0.2">
      <c r="A39484" t="s">
        <v>60421</v>
      </c>
      <c r="B39484" t="s">
        <v>15186</v>
      </c>
      <c r="C39484" t="s">
        <v>888</v>
      </c>
      <c r="D39484" t="s">
        <v>56</v>
      </c>
      <c r="E39484" t="s">
        <v>158</v>
      </c>
      <c r="F39484" s="2" t="str">
        <f>HYPERLINK("http://www.otzar.org/book.asp?14181","רוממות אל")</f>
        <v>רוממות אל</v>
      </c>
    </row>
    <row r="39485" spans="1:6" x14ac:dyDescent="0.2">
      <c r="A39485" t="s">
        <v>60421</v>
      </c>
      <c r="B39485" t="s">
        <v>686</v>
      </c>
      <c r="C39485" t="s">
        <v>313</v>
      </c>
      <c r="D39485" t="s">
        <v>52</v>
      </c>
      <c r="E39485" t="s">
        <v>104</v>
      </c>
      <c r="F39485" s="2" t="str">
        <f>HYPERLINK("http://www.otzar.org/book.asp?189263","רוממות אל")</f>
        <v>רוממות אל</v>
      </c>
    </row>
    <row r="39486" spans="1:6" x14ac:dyDescent="0.2">
      <c r="A39486" t="s">
        <v>60421</v>
      </c>
      <c r="B39486" t="s">
        <v>60422</v>
      </c>
      <c r="C39486" t="s">
        <v>617</v>
      </c>
      <c r="D39486" t="s">
        <v>22873</v>
      </c>
      <c r="E39486" t="s">
        <v>219</v>
      </c>
      <c r="F39486" s="2" t="str">
        <f>HYPERLINK("http://www.otzar.org/book.asp?148952","רוממות אל")</f>
        <v>רוממות אל</v>
      </c>
    </row>
    <row r="39487" spans="1:6" x14ac:dyDescent="0.2">
      <c r="A39487" t="s">
        <v>60423</v>
      </c>
      <c r="B39487" t="s">
        <v>2002</v>
      </c>
      <c r="C39487" t="s">
        <v>752</v>
      </c>
      <c r="D39487" t="s">
        <v>8579</v>
      </c>
      <c r="E39487" t="s">
        <v>213</v>
      </c>
      <c r="F39487" s="2" t="str">
        <f>HYPERLINK("http://www.otzar.org/book.asp?19141","רוממות נשמת ישראל")</f>
        <v>רוממות נשמת ישראל</v>
      </c>
    </row>
    <row r="39488" spans="1:6" x14ac:dyDescent="0.2">
      <c r="A39488" t="s">
        <v>60424</v>
      </c>
      <c r="B39488" t="s">
        <v>2002</v>
      </c>
      <c r="C39488" t="s">
        <v>390</v>
      </c>
      <c r="D39488" t="s">
        <v>14</v>
      </c>
      <c r="E39488" t="s">
        <v>213</v>
      </c>
      <c r="F39488" s="2" t="str">
        <f>HYPERLINK("http://www.otzar.org/book.asp?10782","רוממת נשמת ישראל")</f>
        <v>רוממת נשמת ישראל</v>
      </c>
    </row>
    <row r="39489" spans="1:6" x14ac:dyDescent="0.2">
      <c r="A39489" t="s">
        <v>60425</v>
      </c>
      <c r="B39489" t="s">
        <v>60426</v>
      </c>
      <c r="C39489" t="s">
        <v>114</v>
      </c>
      <c r="D39489" t="s">
        <v>14</v>
      </c>
      <c r="E39489" t="s">
        <v>4656</v>
      </c>
      <c r="F39489" s="2" t="str">
        <f>HYPERLINK("http://www.otzar.org/book.asp?179641","רון שיר ושבח")</f>
        <v>רון שיר ושבח</v>
      </c>
    </row>
    <row r="39490" spans="1:6" x14ac:dyDescent="0.2">
      <c r="A39490" t="s">
        <v>60427</v>
      </c>
      <c r="B39490" t="s">
        <v>4953</v>
      </c>
      <c r="C39490" t="s">
        <v>17</v>
      </c>
      <c r="D39490" t="s">
        <v>14</v>
      </c>
      <c r="E39490" t="s">
        <v>1517</v>
      </c>
      <c r="F39490" s="2" t="str">
        <f>HYPERLINK("http://www.otzar.org/book.asp?159374","רון שיר ושבח - יוצרות לארבע פרשיות, קרובץ, פורים, שבת הגדול")</f>
        <v>רון שיר ושבח - יוצרות לארבע פרשיות, קרובץ, פורים, שבת הגדול</v>
      </c>
    </row>
    <row r="39491" spans="1:6" x14ac:dyDescent="0.2">
      <c r="A39491" t="s">
        <v>60428</v>
      </c>
      <c r="B39491" t="s">
        <v>60429</v>
      </c>
      <c r="C39491" t="s">
        <v>785</v>
      </c>
      <c r="D39491" t="s">
        <v>412</v>
      </c>
      <c r="E39491" t="s">
        <v>119</v>
      </c>
      <c r="F39491" s="2" t="str">
        <f>HYPERLINK("http://www.otzar.org/book.asp?183285","רועה אבן ישראל")</f>
        <v>רועה אבן ישראל</v>
      </c>
    </row>
    <row r="39492" spans="1:6" x14ac:dyDescent="0.2">
      <c r="A39492" t="s">
        <v>60430</v>
      </c>
      <c r="B39492" t="s">
        <v>1083</v>
      </c>
      <c r="C39492" t="s">
        <v>68</v>
      </c>
      <c r="D39492" t="s">
        <v>657</v>
      </c>
      <c r="F39492" s="2" t="str">
        <f>HYPERLINK("http://www.otzar.org/book.asp?163853","רועה בשושנים - 14 כר'")</f>
        <v>רועה בשושנים - 14 כר'</v>
      </c>
    </row>
    <row r="39493" spans="1:6" x14ac:dyDescent="0.2">
      <c r="A39493" t="s">
        <v>60431</v>
      </c>
      <c r="B39493" t="s">
        <v>60432</v>
      </c>
      <c r="C39493" t="s">
        <v>146</v>
      </c>
      <c r="D39493" t="s">
        <v>14</v>
      </c>
      <c r="E39493" t="s">
        <v>158</v>
      </c>
      <c r="F39493" s="2" t="str">
        <f>HYPERLINK("http://www.otzar.org/book.asp?169027","רועה ישראל")</f>
        <v>רועה ישראל</v>
      </c>
    </row>
    <row r="39494" spans="1:6" x14ac:dyDescent="0.2">
      <c r="A39494" t="s">
        <v>60433</v>
      </c>
      <c r="B39494" t="s">
        <v>60434</v>
      </c>
      <c r="C39494" t="s">
        <v>114</v>
      </c>
      <c r="D39494" t="s">
        <v>14</v>
      </c>
      <c r="E39494" t="s">
        <v>226</v>
      </c>
      <c r="F39494" s="2" t="str">
        <f>HYPERLINK("http://www.otzar.org/book.asp?600215","רועה נאמן &lt;מהדורה מורחבת&gt;")</f>
        <v>רועה נאמן &lt;מהדורה מורחבת&gt;</v>
      </c>
    </row>
    <row r="39495" spans="1:6" x14ac:dyDescent="0.2">
      <c r="A39495" t="s">
        <v>60435</v>
      </c>
      <c r="B39495" t="s">
        <v>60434</v>
      </c>
      <c r="C39495" t="s">
        <v>775</v>
      </c>
      <c r="D39495" t="s">
        <v>14</v>
      </c>
      <c r="E39495" t="s">
        <v>226</v>
      </c>
      <c r="F39495" s="2" t="str">
        <f>HYPERLINK("http://www.otzar.org/book.asp?161838","רועה נאמן")</f>
        <v>רועה נאמן</v>
      </c>
    </row>
    <row r="39496" spans="1:6" x14ac:dyDescent="0.2">
      <c r="A39496" t="s">
        <v>60436</v>
      </c>
      <c r="B39496" t="s">
        <v>60437</v>
      </c>
      <c r="C39496" t="s">
        <v>956</v>
      </c>
      <c r="D39496" t="s">
        <v>27</v>
      </c>
      <c r="E39496" t="s">
        <v>202</v>
      </c>
      <c r="F39496" s="2" t="str">
        <f>HYPERLINK("http://www.otzar.org/book.asp?171565","רועה שבעה")</f>
        <v>רועה שבעה</v>
      </c>
    </row>
    <row r="39497" spans="1:6" x14ac:dyDescent="0.2">
      <c r="A39497" t="s">
        <v>60438</v>
      </c>
      <c r="B39497" t="s">
        <v>18985</v>
      </c>
      <c r="C39497" t="s">
        <v>2644</v>
      </c>
      <c r="D39497" t="s">
        <v>27</v>
      </c>
      <c r="F39497" s="2" t="str">
        <f>HYPERLINK("http://www.otzar.org/book.asp?174393","רועי ישראל")</f>
        <v>רועי ישראל</v>
      </c>
    </row>
    <row r="39498" spans="1:6" x14ac:dyDescent="0.2">
      <c r="A39498" t="s">
        <v>60439</v>
      </c>
      <c r="B39498" t="s">
        <v>5703</v>
      </c>
      <c r="C39498" t="s">
        <v>1706</v>
      </c>
      <c r="D39498" t="s">
        <v>283</v>
      </c>
      <c r="E39498" t="s">
        <v>930</v>
      </c>
      <c r="F39498" s="2" t="str">
        <f>HYPERLINK("http://www.otzar.org/book.asp?167565","רועי ישרון")</f>
        <v>רועי ישרון</v>
      </c>
    </row>
    <row r="39499" spans="1:6" x14ac:dyDescent="0.2">
      <c r="A39499" t="s">
        <v>60440</v>
      </c>
      <c r="B39499" t="s">
        <v>22391</v>
      </c>
      <c r="C39499" t="s">
        <v>1208</v>
      </c>
      <c r="D39499" t="s">
        <v>14</v>
      </c>
      <c r="E39499" t="s">
        <v>104</v>
      </c>
      <c r="F39499" s="2" t="str">
        <f>HYPERLINK("http://www.otzar.org/book.asp?166401","רופא ישראל")</f>
        <v>רופא ישראל</v>
      </c>
    </row>
    <row r="39500" spans="1:6" x14ac:dyDescent="0.2">
      <c r="A39500" t="s">
        <v>60441</v>
      </c>
      <c r="B39500" t="s">
        <v>22868</v>
      </c>
      <c r="C39500" t="s">
        <v>51</v>
      </c>
      <c r="D39500" t="s">
        <v>14</v>
      </c>
      <c r="E39500" t="s">
        <v>837</v>
      </c>
      <c r="F39500" s="2" t="str">
        <f>HYPERLINK("http://www.otzar.org/book.asp?144564","רוץ למשפט")</f>
        <v>רוץ למשפט</v>
      </c>
    </row>
    <row r="39501" spans="1:6" x14ac:dyDescent="0.2">
      <c r="A39501" t="s">
        <v>60442</v>
      </c>
      <c r="B39501" t="s">
        <v>22868</v>
      </c>
      <c r="C39501" t="s">
        <v>20</v>
      </c>
      <c r="D39501" t="s">
        <v>14</v>
      </c>
      <c r="E39501" t="s">
        <v>837</v>
      </c>
      <c r="F39501" s="2" t="str">
        <f>HYPERLINK("http://www.otzar.org/book.asp?144570","רוץ לעזרה")</f>
        <v>רוץ לעזרה</v>
      </c>
    </row>
    <row r="39502" spans="1:6" x14ac:dyDescent="0.2">
      <c r="A39502" t="s">
        <v>60443</v>
      </c>
      <c r="B39502" t="s">
        <v>60444</v>
      </c>
      <c r="C39502" t="s">
        <v>114</v>
      </c>
      <c r="D39502" t="s">
        <v>52</v>
      </c>
      <c r="E39502" t="s">
        <v>241</v>
      </c>
      <c r="F39502" s="2" t="str">
        <f>HYPERLINK("http://www.otzar.org/book.asp?170949","רוצה ה' ביראיו")</f>
        <v>רוצה ה' ביראיו</v>
      </c>
    </row>
    <row r="39503" spans="1:6" x14ac:dyDescent="0.2">
      <c r="A39503" t="s">
        <v>60445</v>
      </c>
      <c r="B39503" t="s">
        <v>4971</v>
      </c>
      <c r="C39503" t="s">
        <v>20</v>
      </c>
      <c r="D39503" t="s">
        <v>52</v>
      </c>
      <c r="E39503" t="s">
        <v>241</v>
      </c>
      <c r="F39503" s="2" t="str">
        <f>HYPERLINK("http://www.otzar.org/book.asp?623515","רוצים לחיות")</f>
        <v>רוצים לחיות</v>
      </c>
    </row>
    <row r="39504" spans="1:6" x14ac:dyDescent="0.2">
      <c r="A39504" t="s">
        <v>60446</v>
      </c>
      <c r="B39504" t="s">
        <v>60447</v>
      </c>
      <c r="C39504" t="s">
        <v>812</v>
      </c>
      <c r="D39504" t="s">
        <v>974</v>
      </c>
      <c r="E39504" t="s">
        <v>213</v>
      </c>
      <c r="F39504" s="2" t="str">
        <f>HYPERLINK("http://www.otzar.org/book.asp?197047","רז הדק")</f>
        <v>רז הדק</v>
      </c>
    </row>
    <row r="39505" spans="1:6" x14ac:dyDescent="0.2">
      <c r="A39505" t="s">
        <v>60448</v>
      </c>
      <c r="B39505" t="s">
        <v>60449</v>
      </c>
      <c r="C39505" t="s">
        <v>1208</v>
      </c>
      <c r="D39505" t="s">
        <v>90</v>
      </c>
      <c r="E39505" t="s">
        <v>84</v>
      </c>
      <c r="F39505" s="2" t="str">
        <f>HYPERLINK("http://www.otzar.org/book.asp?51965","רז חיים")</f>
        <v>רז חיים</v>
      </c>
    </row>
    <row r="39506" spans="1:6" x14ac:dyDescent="0.2">
      <c r="A39506" t="s">
        <v>60450</v>
      </c>
      <c r="B39506" t="s">
        <v>13208</v>
      </c>
      <c r="C39506" t="s">
        <v>180</v>
      </c>
      <c r="D39506" t="s">
        <v>216</v>
      </c>
      <c r="E39506" t="s">
        <v>213</v>
      </c>
      <c r="F39506" s="2" t="str">
        <f>HYPERLINK("http://www.otzar.org/book.asp?10590","רזא דאורייתא")</f>
        <v>רזא דאורייתא</v>
      </c>
    </row>
    <row r="39507" spans="1:6" x14ac:dyDescent="0.2">
      <c r="A39507" t="s">
        <v>60451</v>
      </c>
      <c r="B39507" t="s">
        <v>8947</v>
      </c>
      <c r="C39507" t="s">
        <v>103</v>
      </c>
      <c r="D39507" t="s">
        <v>14</v>
      </c>
      <c r="E39507" t="s">
        <v>158</v>
      </c>
      <c r="F39507" s="2" t="str">
        <f>HYPERLINK("http://www.otzar.org/book.asp?157560","רזא דאחד - 4 כר'")</f>
        <v>רזא דאחד - 4 כר'</v>
      </c>
    </row>
    <row r="39508" spans="1:6" x14ac:dyDescent="0.2">
      <c r="A39508" t="s">
        <v>60452</v>
      </c>
      <c r="B39508" t="s">
        <v>15996</v>
      </c>
      <c r="C39508" t="s">
        <v>3106</v>
      </c>
      <c r="D39508" t="s">
        <v>260</v>
      </c>
      <c r="E39508" t="s">
        <v>213</v>
      </c>
      <c r="F39508" s="2" t="str">
        <f>HYPERLINK("http://www.otzar.org/book.asp?9921","רזא דחיי")</f>
        <v>רזא דחיי</v>
      </c>
    </row>
    <row r="39509" spans="1:6" x14ac:dyDescent="0.2">
      <c r="A39509" t="s">
        <v>60453</v>
      </c>
      <c r="B39509" t="s">
        <v>60454</v>
      </c>
      <c r="C39509" t="s">
        <v>146</v>
      </c>
      <c r="D39509" t="s">
        <v>1156</v>
      </c>
      <c r="E39509" t="s">
        <v>158</v>
      </c>
      <c r="F39509" s="2" t="str">
        <f>HYPERLINK("http://www.otzar.org/book.asp?179054","רזא דחיים")</f>
        <v>רזא דחיים</v>
      </c>
    </row>
    <row r="39510" spans="1:6" x14ac:dyDescent="0.2">
      <c r="A39510" t="s">
        <v>60455</v>
      </c>
      <c r="B39510" t="s">
        <v>60456</v>
      </c>
      <c r="C39510" t="s">
        <v>351</v>
      </c>
      <c r="D39510" t="s">
        <v>1279</v>
      </c>
      <c r="E39510" t="s">
        <v>158</v>
      </c>
      <c r="F39510" s="2" t="str">
        <f>HYPERLINK("http://www.otzar.org/book.asp?103732","רזא דחכמתא")</f>
        <v>רזא דחכמתא</v>
      </c>
    </row>
    <row r="39511" spans="1:6" x14ac:dyDescent="0.2">
      <c r="A39511" t="s">
        <v>60457</v>
      </c>
      <c r="B39511" t="s">
        <v>29974</v>
      </c>
      <c r="C39511" t="s">
        <v>111</v>
      </c>
      <c r="D39511" t="s">
        <v>52</v>
      </c>
      <c r="F39511" s="2" t="str">
        <f>HYPERLINK("http://www.otzar.org/book.asp?632065","רזא דמעין שבע")</f>
        <v>רזא דמעין שבע</v>
      </c>
    </row>
    <row r="39512" spans="1:6" x14ac:dyDescent="0.2">
      <c r="A39512" t="s">
        <v>60458</v>
      </c>
      <c r="B39512" t="s">
        <v>60459</v>
      </c>
      <c r="C39512" t="s">
        <v>189</v>
      </c>
      <c r="D39512" t="s">
        <v>3161</v>
      </c>
      <c r="E39512" t="s">
        <v>674</v>
      </c>
      <c r="F39512" s="2" t="str">
        <f>HYPERLINK("http://www.otzar.org/book.asp?196601","רזא דמשה")</f>
        <v>רזא דמשה</v>
      </c>
    </row>
    <row r="39513" spans="1:6" x14ac:dyDescent="0.2">
      <c r="A39513" t="s">
        <v>60460</v>
      </c>
      <c r="B39513" t="s">
        <v>60461</v>
      </c>
      <c r="C39513" t="s">
        <v>919</v>
      </c>
      <c r="D39513" t="s">
        <v>14</v>
      </c>
      <c r="E39513" t="s">
        <v>119</v>
      </c>
      <c r="F39513" s="2" t="str">
        <f>HYPERLINK("http://www.otzar.org/book.asp?188933","רזא דעובדא")</f>
        <v>רזא דעובדא</v>
      </c>
    </row>
    <row r="39514" spans="1:6" x14ac:dyDescent="0.2">
      <c r="A39514" t="s">
        <v>60462</v>
      </c>
      <c r="B39514" t="s">
        <v>13208</v>
      </c>
      <c r="C39514" t="s">
        <v>1619</v>
      </c>
      <c r="D39514" t="s">
        <v>216</v>
      </c>
      <c r="E39514" t="s">
        <v>241</v>
      </c>
      <c r="F39514" s="2" t="str">
        <f>HYPERLINK("http://www.otzar.org/book.asp?156778","רזא דצדקה וחסד")</f>
        <v>רזא דצדקה וחסד</v>
      </c>
    </row>
    <row r="39515" spans="1:6" x14ac:dyDescent="0.2">
      <c r="A39515" t="s">
        <v>60463</v>
      </c>
      <c r="B39515" t="s">
        <v>12364</v>
      </c>
      <c r="C39515" t="s">
        <v>146</v>
      </c>
      <c r="D39515" t="s">
        <v>152</v>
      </c>
      <c r="E39515" t="s">
        <v>15</v>
      </c>
      <c r="F39515" s="2" t="str">
        <f>HYPERLINK("http://www.otzar.org/book.asp?50133","רזא דשבת")</f>
        <v>רזא דשבת</v>
      </c>
    </row>
    <row r="39516" spans="1:6" x14ac:dyDescent="0.2">
      <c r="A39516" t="s">
        <v>60463</v>
      </c>
      <c r="B39516" t="s">
        <v>11462</v>
      </c>
      <c r="C39516" t="s">
        <v>68</v>
      </c>
      <c r="D39516" t="s">
        <v>52</v>
      </c>
      <c r="E39516" t="s">
        <v>246</v>
      </c>
      <c r="F39516" s="2" t="str">
        <f>HYPERLINK("http://www.otzar.org/book.asp?169854","רזא דשבת")</f>
        <v>רזא דשבת</v>
      </c>
    </row>
    <row r="39517" spans="1:6" x14ac:dyDescent="0.2">
      <c r="A39517" t="s">
        <v>60464</v>
      </c>
      <c r="B39517" t="s">
        <v>8947</v>
      </c>
      <c r="C39517" t="s">
        <v>114</v>
      </c>
      <c r="D39517" t="s">
        <v>14</v>
      </c>
      <c r="E39517" t="s">
        <v>230</v>
      </c>
      <c r="F39517" s="2" t="str">
        <f>HYPERLINK("http://www.otzar.org/book.asp?176757","רזא דשבת - 3 כר'")</f>
        <v>רזא דשבת - 3 כר'</v>
      </c>
    </row>
    <row r="39518" spans="1:6" x14ac:dyDescent="0.2">
      <c r="A39518" t="s">
        <v>60465</v>
      </c>
      <c r="B39518" t="s">
        <v>60466</v>
      </c>
      <c r="C39518" t="s">
        <v>422</v>
      </c>
      <c r="D39518" t="s">
        <v>14</v>
      </c>
      <c r="E39518" t="s">
        <v>186</v>
      </c>
      <c r="F39518" s="2" t="str">
        <f>HYPERLINK("http://www.otzar.org/book.asp?624927","רזא דשבת - נשים")</f>
        <v>רזא דשבת - נשים</v>
      </c>
    </row>
    <row r="39519" spans="1:6" x14ac:dyDescent="0.2">
      <c r="A39519" t="s">
        <v>60463</v>
      </c>
      <c r="B39519" t="s">
        <v>60467</v>
      </c>
      <c r="C39519" t="s">
        <v>466</v>
      </c>
      <c r="D39519" t="s">
        <v>14</v>
      </c>
      <c r="E39519" t="s">
        <v>130</v>
      </c>
      <c r="F39519" s="2" t="str">
        <f>HYPERLINK("http://www.otzar.org/book.asp?181793","רזא דשבת")</f>
        <v>רזא דשבת</v>
      </c>
    </row>
    <row r="39520" spans="1:6" x14ac:dyDescent="0.2">
      <c r="A39520" t="s">
        <v>60463</v>
      </c>
      <c r="B39520" t="s">
        <v>60461</v>
      </c>
      <c r="C39520" t="s">
        <v>1160</v>
      </c>
      <c r="D39520" t="s">
        <v>14</v>
      </c>
      <c r="E39520" t="s">
        <v>158</v>
      </c>
      <c r="F39520" s="2" t="str">
        <f>HYPERLINK("http://www.otzar.org/book.asp?10166","רזא דשבת")</f>
        <v>רזא דשבת</v>
      </c>
    </row>
    <row r="39521" spans="1:6" x14ac:dyDescent="0.2">
      <c r="A39521" t="s">
        <v>60468</v>
      </c>
      <c r="B39521" t="s">
        <v>60469</v>
      </c>
      <c r="C39521" t="s">
        <v>151</v>
      </c>
      <c r="D39521" t="s">
        <v>90</v>
      </c>
      <c r="E39521" t="s">
        <v>130</v>
      </c>
      <c r="F39521" s="2" t="str">
        <f>HYPERLINK("http://www.otzar.org/book.asp?624716","רזא דשבתא")</f>
        <v>רזא דשבתא</v>
      </c>
    </row>
    <row r="39522" spans="1:6" x14ac:dyDescent="0.2">
      <c r="A39522" t="s">
        <v>60468</v>
      </c>
      <c r="B39522" t="s">
        <v>13208</v>
      </c>
      <c r="C39522" t="s">
        <v>1640</v>
      </c>
      <c r="D39522" t="s">
        <v>216</v>
      </c>
      <c r="E39522" t="s">
        <v>19097</v>
      </c>
      <c r="F39522" s="2" t="str">
        <f>HYPERLINK("http://www.otzar.org/book.asp?5836","רזא דשבתא")</f>
        <v>רזא דשבתא</v>
      </c>
    </row>
    <row r="39523" spans="1:6" x14ac:dyDescent="0.2">
      <c r="A39523" t="s">
        <v>60468</v>
      </c>
      <c r="B39523" t="s">
        <v>60470</v>
      </c>
      <c r="C39523" t="s">
        <v>114</v>
      </c>
      <c r="D39523" t="s">
        <v>412</v>
      </c>
      <c r="E39523" t="s">
        <v>2758</v>
      </c>
      <c r="F39523" s="2" t="str">
        <f>HYPERLINK("http://www.otzar.org/book.asp?171414","רזא דשבתא")</f>
        <v>רזא דשבתא</v>
      </c>
    </row>
    <row r="39524" spans="1:6" x14ac:dyDescent="0.2">
      <c r="A39524" t="s">
        <v>60471</v>
      </c>
      <c r="B39524" t="s">
        <v>13208</v>
      </c>
      <c r="C39524" t="s">
        <v>1570</v>
      </c>
      <c r="D39524" t="s">
        <v>216</v>
      </c>
      <c r="E39524" t="s">
        <v>241</v>
      </c>
      <c r="F39524" s="2" t="str">
        <f>HYPERLINK("http://www.otzar.org/book.asp?174598","רזא דשמע ישראל")</f>
        <v>רזא דשמע ישראל</v>
      </c>
    </row>
    <row r="39525" spans="1:6" x14ac:dyDescent="0.2">
      <c r="A39525" t="s">
        <v>60472</v>
      </c>
      <c r="B39525" t="s">
        <v>6984</v>
      </c>
      <c r="C39525" t="s">
        <v>111</v>
      </c>
      <c r="D39525" t="s">
        <v>486</v>
      </c>
      <c r="E39525" t="s">
        <v>3055</v>
      </c>
      <c r="F39525" s="2" t="str">
        <f>HYPERLINK("http://www.otzar.org/book.asp?623584","רזא יקירא")</f>
        <v>רזא יקירא</v>
      </c>
    </row>
    <row r="39526" spans="1:6" x14ac:dyDescent="0.2">
      <c r="A39526" t="s">
        <v>60473</v>
      </c>
      <c r="B39526" t="s">
        <v>4818</v>
      </c>
      <c r="C39526" t="s">
        <v>133</v>
      </c>
      <c r="D39526" t="s">
        <v>14</v>
      </c>
      <c r="E39526" t="s">
        <v>1438</v>
      </c>
      <c r="F39526" s="2" t="str">
        <f>HYPERLINK("http://www.otzar.org/book.asp?180226","רזא מהימנא &lt;מהדורה חדשה&gt;")</f>
        <v>רזא מהימנא &lt;מהדורה חדשה&gt;</v>
      </c>
    </row>
    <row r="39527" spans="1:6" x14ac:dyDescent="0.2">
      <c r="A39527" t="s">
        <v>60474</v>
      </c>
      <c r="B39527" t="s">
        <v>4818</v>
      </c>
      <c r="C39527" t="s">
        <v>1991</v>
      </c>
      <c r="D39527" t="s">
        <v>267</v>
      </c>
      <c r="E39527" t="s">
        <v>1438</v>
      </c>
      <c r="F39527" s="2" t="str">
        <f>HYPERLINK("http://www.otzar.org/book.asp?100631","רזא מהמנא")</f>
        <v>רזא מהמנא</v>
      </c>
    </row>
    <row r="39528" spans="1:6" x14ac:dyDescent="0.2">
      <c r="A39528" t="s">
        <v>60475</v>
      </c>
      <c r="B39528" t="s">
        <v>60476</v>
      </c>
      <c r="C39528" t="s">
        <v>42597</v>
      </c>
      <c r="D39528" t="s">
        <v>2041</v>
      </c>
      <c r="E39528" t="s">
        <v>104</v>
      </c>
      <c r="F39528" s="2" t="str">
        <f>HYPERLINK("http://www.otzar.org/book.asp?145303","רזוהי גליין - 2 כר'")</f>
        <v>רזוהי גליין - 2 כר'</v>
      </c>
    </row>
    <row r="39529" spans="1:6" x14ac:dyDescent="0.2">
      <c r="A39529" t="s">
        <v>60477</v>
      </c>
      <c r="B39529" t="s">
        <v>60478</v>
      </c>
      <c r="C39529" t="s">
        <v>133</v>
      </c>
      <c r="D39529" t="s">
        <v>52</v>
      </c>
      <c r="E39529" t="s">
        <v>158</v>
      </c>
      <c r="F39529" s="2" t="str">
        <f>HYPERLINK("http://www.otzar.org/book.asp?188977","רזי אור החיים &lt;הצבי והצדק&gt;")</f>
        <v>רזי אור החיים &lt;הצבי והצדק&gt;</v>
      </c>
    </row>
    <row r="39530" spans="1:6" x14ac:dyDescent="0.2">
      <c r="A39530" t="s">
        <v>60479</v>
      </c>
      <c r="B39530" t="s">
        <v>7859</v>
      </c>
      <c r="C39530" t="s">
        <v>87</v>
      </c>
      <c r="D39530" t="s">
        <v>52</v>
      </c>
      <c r="E39530" t="s">
        <v>144</v>
      </c>
      <c r="F39530" s="2" t="str">
        <f>HYPERLINK("http://www.otzar.org/book.asp?153598","רזי ברכה")</f>
        <v>רזי ברכה</v>
      </c>
    </row>
    <row r="39531" spans="1:6" x14ac:dyDescent="0.2">
      <c r="A39531" t="s">
        <v>60480</v>
      </c>
      <c r="B39531" t="s">
        <v>776</v>
      </c>
      <c r="C39531" t="s">
        <v>576</v>
      </c>
      <c r="D39531" t="s">
        <v>27</v>
      </c>
      <c r="E39531" t="s">
        <v>158</v>
      </c>
      <c r="F39531" s="2" t="str">
        <f>HYPERLINK("http://www.otzar.org/book.asp?158030","רזי לי")</f>
        <v>רזי לי</v>
      </c>
    </row>
    <row r="39532" spans="1:6" x14ac:dyDescent="0.2">
      <c r="A39532" t="s">
        <v>60481</v>
      </c>
      <c r="B39532" t="s">
        <v>60482</v>
      </c>
      <c r="C39532" t="s">
        <v>133</v>
      </c>
      <c r="D39532" t="s">
        <v>118</v>
      </c>
      <c r="E39532" t="s">
        <v>234</v>
      </c>
      <c r="F39532" s="2" t="str">
        <f>HYPERLINK("http://www.otzar.org/book.asp?190870","רזי מבאר משה - 4 כר'")</f>
        <v>רזי מבאר משה - 4 כר'</v>
      </c>
    </row>
    <row r="39533" spans="1:6" x14ac:dyDescent="0.2">
      <c r="A39533" t="s">
        <v>60483</v>
      </c>
      <c r="B39533" t="s">
        <v>4735</v>
      </c>
      <c r="C39533" t="s">
        <v>553</v>
      </c>
      <c r="D39533" t="s">
        <v>14</v>
      </c>
      <c r="E39533" t="s">
        <v>1164</v>
      </c>
      <c r="F39533" s="2" t="str">
        <f>HYPERLINK("http://www.otzar.org/book.asp?191714","רזי שבת ומועד")</f>
        <v>רזי שבת ומועד</v>
      </c>
    </row>
    <row r="39534" spans="1:6" x14ac:dyDescent="0.2">
      <c r="A39534" t="s">
        <v>60484</v>
      </c>
      <c r="B39534" t="s">
        <v>15161</v>
      </c>
      <c r="C39534" t="s">
        <v>466</v>
      </c>
      <c r="D39534" t="s">
        <v>52</v>
      </c>
      <c r="E39534" t="s">
        <v>399</v>
      </c>
      <c r="F39534" s="2" t="str">
        <f>HYPERLINK("http://www.otzar.org/book.asp?146457","רזיאל המלאך עם פי' סוד קדושים")</f>
        <v>רזיאל המלאך עם פי' סוד קדושים</v>
      </c>
    </row>
    <row r="39535" spans="1:6" x14ac:dyDescent="0.2">
      <c r="A39535" t="s">
        <v>60485</v>
      </c>
      <c r="B39535" t="s">
        <v>60485</v>
      </c>
      <c r="C39535" t="s">
        <v>1609</v>
      </c>
      <c r="D39535" t="s">
        <v>14</v>
      </c>
      <c r="E39535" t="s">
        <v>399</v>
      </c>
      <c r="F39535" s="2" t="str">
        <f>HYPERLINK("http://www.otzar.org/book.asp?16525","רזיאל המלאך")</f>
        <v>רזיאל המלאך</v>
      </c>
    </row>
    <row r="39536" spans="1:6" x14ac:dyDescent="0.2">
      <c r="A39536" t="s">
        <v>60486</v>
      </c>
      <c r="B39536" t="s">
        <v>60487</v>
      </c>
      <c r="C39536" t="s">
        <v>8002</v>
      </c>
      <c r="D39536" t="s">
        <v>1023</v>
      </c>
      <c r="F39536" s="2" t="str">
        <f>HYPERLINK("http://www.otzar.org/book.asp?170305","רזיאל המלאך - 3 כר'")</f>
        <v>רזיאל המלאך - 3 כר'</v>
      </c>
    </row>
    <row r="39537" spans="1:6" x14ac:dyDescent="0.2">
      <c r="A39537" t="s">
        <v>60485</v>
      </c>
      <c r="B39537" t="s">
        <v>60488</v>
      </c>
      <c r="C39537" t="s">
        <v>630</v>
      </c>
      <c r="D39537" t="s">
        <v>283</v>
      </c>
      <c r="E39537" t="s">
        <v>1438</v>
      </c>
      <c r="F39537" s="2" t="str">
        <f>HYPERLINK("http://www.otzar.org/book.asp?105870","רזיאל המלאך")</f>
        <v>רזיאל המלאך</v>
      </c>
    </row>
    <row r="39538" spans="1:6" x14ac:dyDescent="0.2">
      <c r="A39538" t="s">
        <v>60485</v>
      </c>
      <c r="B39538" t="s">
        <v>60489</v>
      </c>
      <c r="C39538" t="s">
        <v>950</v>
      </c>
      <c r="D39538" t="s">
        <v>267</v>
      </c>
      <c r="E39538" t="s">
        <v>399</v>
      </c>
      <c r="F39538" s="2" t="str">
        <f>HYPERLINK("http://www.otzar.org/book.asp?103734","רזיאל המלאך")</f>
        <v>רזיאל המלאך</v>
      </c>
    </row>
    <row r="39539" spans="1:6" x14ac:dyDescent="0.2">
      <c r="A39539" t="s">
        <v>60485</v>
      </c>
      <c r="B39539" t="s">
        <v>60490</v>
      </c>
      <c r="C39539" t="s">
        <v>752</v>
      </c>
      <c r="D39539" t="s">
        <v>8579</v>
      </c>
      <c r="F39539" s="2" t="str">
        <f>HYPERLINK("http://www.otzar.org/book.asp?626406","רזיאל המלאך")</f>
        <v>רזיאל המלאך</v>
      </c>
    </row>
    <row r="39540" spans="1:6" x14ac:dyDescent="0.2">
      <c r="A39540" t="s">
        <v>60485</v>
      </c>
      <c r="B39540" t="s">
        <v>60491</v>
      </c>
      <c r="C39540" t="s">
        <v>698</v>
      </c>
      <c r="D39540" t="s">
        <v>27</v>
      </c>
      <c r="E39540" t="s">
        <v>399</v>
      </c>
      <c r="F39540" s="2" t="str">
        <f>HYPERLINK("http://www.otzar.org/book.asp?9904","רזיאל המלאך")</f>
        <v>רזיאל המלאך</v>
      </c>
    </row>
    <row r="39541" spans="1:6" x14ac:dyDescent="0.2">
      <c r="A39541" t="s">
        <v>60492</v>
      </c>
      <c r="B39541" t="s">
        <v>60493</v>
      </c>
      <c r="C39541" t="s">
        <v>888</v>
      </c>
      <c r="D39541" t="s">
        <v>283</v>
      </c>
      <c r="E39541" t="s">
        <v>60494</v>
      </c>
      <c r="F39541" s="2" t="str">
        <f>HYPERLINK("http://www.otzar.org/book.asp?100633","רזין דאורייתא")</f>
        <v>רזין דאורייתא</v>
      </c>
    </row>
    <row r="39542" spans="1:6" x14ac:dyDescent="0.2">
      <c r="A39542" t="s">
        <v>60495</v>
      </c>
      <c r="B39542" t="s">
        <v>14472</v>
      </c>
      <c r="C39542" t="s">
        <v>576</v>
      </c>
      <c r="D39542" t="s">
        <v>27</v>
      </c>
      <c r="E39542" t="s">
        <v>399</v>
      </c>
      <c r="F39542" s="2" t="str">
        <f>HYPERLINK("http://www.otzar.org/book.asp?179593","רזין טמירין לקוטי מנחם")</f>
        <v>רזין טמירין לקוטי מנחם</v>
      </c>
    </row>
    <row r="39543" spans="1:6" x14ac:dyDescent="0.2">
      <c r="A39543" t="s">
        <v>60496</v>
      </c>
      <c r="B39543" t="s">
        <v>44479</v>
      </c>
      <c r="C39543" t="s">
        <v>854</v>
      </c>
      <c r="D39543" t="s">
        <v>307</v>
      </c>
      <c r="F39543" s="2" t="str">
        <f>HYPERLINK("http://www.otzar.org/book.asp?620000","רזין קדישין")</f>
        <v>רזין קדישין</v>
      </c>
    </row>
    <row r="39544" spans="1:6" x14ac:dyDescent="0.2">
      <c r="A39544" t="s">
        <v>60497</v>
      </c>
      <c r="B39544" t="s">
        <v>44012</v>
      </c>
      <c r="C39544" t="s">
        <v>103</v>
      </c>
      <c r="D39544" t="s">
        <v>90</v>
      </c>
      <c r="E39544" t="s">
        <v>84</v>
      </c>
      <c r="F39544" s="2" t="str">
        <f>HYPERLINK("http://www.otzar.org/book.asp?145176","רחב ידים")</f>
        <v>רחב ידים</v>
      </c>
    </row>
    <row r="39545" spans="1:6" x14ac:dyDescent="0.2">
      <c r="A39545" t="s">
        <v>60498</v>
      </c>
      <c r="B39545" t="s">
        <v>686</v>
      </c>
      <c r="C39545" t="s">
        <v>133</v>
      </c>
      <c r="D39545" t="s">
        <v>52</v>
      </c>
      <c r="E39545" t="s">
        <v>104</v>
      </c>
      <c r="F39545" s="2" t="str">
        <f>HYPERLINK("http://www.otzar.org/book.asp?172202","רחב פי")</f>
        <v>רחב פי</v>
      </c>
    </row>
    <row r="39546" spans="1:6" x14ac:dyDescent="0.2">
      <c r="A39546" t="s">
        <v>60498</v>
      </c>
      <c r="B39546" t="s">
        <v>8330</v>
      </c>
      <c r="C39546" t="s">
        <v>151</v>
      </c>
      <c r="D39546" t="s">
        <v>52</v>
      </c>
      <c r="F39546" s="2" t="str">
        <f>HYPERLINK("http://www.otzar.org/book.asp?617901","רחב פי")</f>
        <v>רחב פי</v>
      </c>
    </row>
    <row r="39547" spans="1:6" x14ac:dyDescent="0.2">
      <c r="A39547" t="s">
        <v>60499</v>
      </c>
      <c r="B39547" t="s">
        <v>12971</v>
      </c>
      <c r="C39547" t="s">
        <v>244</v>
      </c>
      <c r="D39547" t="s">
        <v>14</v>
      </c>
      <c r="E39547" t="s">
        <v>733</v>
      </c>
      <c r="F39547" s="2" t="str">
        <f>HYPERLINK("http://www.otzar.org/book.asp?628584","רחוב מאה שערים")</f>
        <v>רחוב מאה שערים</v>
      </c>
    </row>
    <row r="39548" spans="1:6" x14ac:dyDescent="0.2">
      <c r="A39548" t="s">
        <v>60500</v>
      </c>
      <c r="B39548" t="s">
        <v>5267</v>
      </c>
      <c r="C39548" t="s">
        <v>1885</v>
      </c>
      <c r="D39548" t="s">
        <v>756</v>
      </c>
      <c r="E39548" t="s">
        <v>158</v>
      </c>
      <c r="F39548" s="2" t="str">
        <f>HYPERLINK("http://www.otzar.org/book.asp?16046","רחובות הנהר")</f>
        <v>רחובות הנהר</v>
      </c>
    </row>
    <row r="39549" spans="1:6" x14ac:dyDescent="0.2">
      <c r="A39549" t="s">
        <v>60501</v>
      </c>
      <c r="B39549" t="s">
        <v>33865</v>
      </c>
      <c r="C39549" t="s">
        <v>422</v>
      </c>
      <c r="D39549" t="s">
        <v>33866</v>
      </c>
      <c r="E39549" t="s">
        <v>186</v>
      </c>
      <c r="F39549" s="2" t="str">
        <f>HYPERLINK("http://www.otzar.org/book.asp?159880","רחובות הנהר - 2 כר'")</f>
        <v>רחובות הנהר - 2 כר'</v>
      </c>
    </row>
    <row r="39550" spans="1:6" x14ac:dyDescent="0.2">
      <c r="A39550" t="s">
        <v>60502</v>
      </c>
      <c r="B39550" t="s">
        <v>60503</v>
      </c>
      <c r="C39550" t="s">
        <v>785</v>
      </c>
      <c r="D39550" t="s">
        <v>14</v>
      </c>
      <c r="E39550" t="s">
        <v>130</v>
      </c>
      <c r="F39550" s="2" t="str">
        <f>HYPERLINK("http://www.otzar.org/book.asp?154201","רחובות העיר")</f>
        <v>רחובות העיר</v>
      </c>
    </row>
    <row r="39551" spans="1:6" x14ac:dyDescent="0.2">
      <c r="A39551" t="s">
        <v>60504</v>
      </c>
      <c r="B39551" t="s">
        <v>60505</v>
      </c>
      <c r="C39551" t="s">
        <v>1535</v>
      </c>
      <c r="D39551" t="s">
        <v>27</v>
      </c>
      <c r="E39551" t="s">
        <v>144</v>
      </c>
      <c r="F39551" s="2" t="str">
        <f>HYPERLINK("http://www.otzar.org/book.asp?172170","רחובות יצחק")</f>
        <v>רחובות יצחק</v>
      </c>
    </row>
    <row r="39552" spans="1:6" x14ac:dyDescent="0.2">
      <c r="A39552" t="s">
        <v>60506</v>
      </c>
      <c r="B39552" t="s">
        <v>60507</v>
      </c>
      <c r="C39552" t="s">
        <v>3690</v>
      </c>
      <c r="D39552" t="s">
        <v>56</v>
      </c>
      <c r="E39552" t="s">
        <v>119</v>
      </c>
      <c r="F39552" s="2" t="str">
        <f>HYPERLINK("http://www.otzar.org/book.asp?166816","רחובות עיר")</f>
        <v>רחובות עיר</v>
      </c>
    </row>
    <row r="39553" spans="1:6" x14ac:dyDescent="0.2">
      <c r="A39553" t="s">
        <v>60508</v>
      </c>
      <c r="B39553" t="s">
        <v>35141</v>
      </c>
      <c r="C39553" t="s">
        <v>802</v>
      </c>
      <c r="D39553" t="s">
        <v>7648</v>
      </c>
      <c r="E39553" t="s">
        <v>158</v>
      </c>
      <c r="F39553" s="2" t="str">
        <f>HYPERLINK("http://www.otzar.org/book.asp?151471","רחובות עיר - 2 כר'")</f>
        <v>רחובות עיר - 2 כר'</v>
      </c>
    </row>
    <row r="39554" spans="1:6" x14ac:dyDescent="0.2">
      <c r="A39554" t="s">
        <v>60509</v>
      </c>
      <c r="B39554" t="s">
        <v>9698</v>
      </c>
      <c r="C39554" t="s">
        <v>454</v>
      </c>
      <c r="D39554" t="s">
        <v>21</v>
      </c>
      <c r="E39554" t="s">
        <v>104</v>
      </c>
      <c r="F39554" s="2" t="str">
        <f>HYPERLINK("http://www.otzar.org/book.asp?199596","רחל אמנו")</f>
        <v>רחל אמנו</v>
      </c>
    </row>
    <row r="39555" spans="1:6" x14ac:dyDescent="0.2">
      <c r="A39555" t="s">
        <v>60510</v>
      </c>
      <c r="B39555" t="s">
        <v>60511</v>
      </c>
      <c r="C39555" t="s">
        <v>725</v>
      </c>
      <c r="D39555" t="s">
        <v>1654</v>
      </c>
      <c r="F39555" s="2" t="str">
        <f>HYPERLINK("http://www.otzar.org/book.asp?620231","רחל ברקמן")</f>
        <v>רחל ברקמן</v>
      </c>
    </row>
    <row r="39556" spans="1:6" x14ac:dyDescent="0.2">
      <c r="A39556" t="s">
        <v>60512</v>
      </c>
      <c r="B39556" t="s">
        <v>59563</v>
      </c>
      <c r="C39556" t="s">
        <v>725</v>
      </c>
      <c r="D39556" t="s">
        <v>38303</v>
      </c>
      <c r="E39556" t="s">
        <v>241</v>
      </c>
      <c r="F39556" s="2" t="str">
        <f>HYPERLINK("http://www.otzar.org/book.asp?191478","רחמי האב &lt;תרגום ערבי&gt;")</f>
        <v>רחמי האב &lt;תרגום ערבי&gt;</v>
      </c>
    </row>
    <row r="39557" spans="1:6" x14ac:dyDescent="0.2">
      <c r="A39557" t="s">
        <v>60513</v>
      </c>
      <c r="B39557" t="s">
        <v>60514</v>
      </c>
      <c r="C39557" t="s">
        <v>1619</v>
      </c>
      <c r="D39557" t="s">
        <v>14</v>
      </c>
      <c r="E39557" t="s">
        <v>241</v>
      </c>
      <c r="F39557" s="2" t="str">
        <f>HYPERLINK("http://www.otzar.org/book.asp?174104","רחמי האב - 2 כר'")</f>
        <v>רחמי האב - 2 כר'</v>
      </c>
    </row>
    <row r="39558" spans="1:6" x14ac:dyDescent="0.2">
      <c r="A39558" t="s">
        <v>60515</v>
      </c>
      <c r="B39558" t="s">
        <v>59563</v>
      </c>
      <c r="C39558" t="s">
        <v>433</v>
      </c>
      <c r="D39558" t="s">
        <v>27</v>
      </c>
      <c r="E39558" t="s">
        <v>7862</v>
      </c>
      <c r="F39558" s="2" t="str">
        <f>HYPERLINK("http://www.otzar.org/book.asp?5319","רחמי האב - 3 כר'")</f>
        <v>רחמי האב - 3 כר'</v>
      </c>
    </row>
    <row r="39559" spans="1:6" x14ac:dyDescent="0.2">
      <c r="A39559" t="s">
        <v>60516</v>
      </c>
      <c r="B39559" t="s">
        <v>60517</v>
      </c>
      <c r="C39559" t="s">
        <v>581</v>
      </c>
      <c r="D39559" t="s">
        <v>947</v>
      </c>
      <c r="E39559" t="s">
        <v>144</v>
      </c>
      <c r="F39559" s="2" t="str">
        <f>HYPERLINK("http://www.otzar.org/book.asp?101748","רחמי הלוי")</f>
        <v>רחמי הלוי</v>
      </c>
    </row>
    <row r="39560" spans="1:6" x14ac:dyDescent="0.2">
      <c r="A39560" t="s">
        <v>60518</v>
      </c>
      <c r="B39560" t="s">
        <v>60519</v>
      </c>
      <c r="C39560" t="s">
        <v>23</v>
      </c>
      <c r="D39560" t="s">
        <v>52</v>
      </c>
      <c r="E39560" t="s">
        <v>241</v>
      </c>
      <c r="F39560" s="2" t="str">
        <f>HYPERLINK("http://www.otzar.org/book.asp?195486","רחמי הרב - שבט הלוי")</f>
        <v>רחמי הרב - שבט הלוי</v>
      </c>
    </row>
    <row r="39561" spans="1:6" x14ac:dyDescent="0.2">
      <c r="A39561" t="s">
        <v>60520</v>
      </c>
      <c r="B39561" t="s">
        <v>10617</v>
      </c>
      <c r="C39561" t="s">
        <v>23</v>
      </c>
      <c r="D39561" t="s">
        <v>2285</v>
      </c>
      <c r="E39561" t="s">
        <v>15</v>
      </c>
      <c r="F39561" s="2" t="str">
        <f>HYPERLINK("http://www.otzar.org/book.asp?602785","רחמיך ואחיה - 2 כר'")</f>
        <v>רחמיך ואחיה - 2 כר'</v>
      </c>
    </row>
    <row r="39562" spans="1:6" x14ac:dyDescent="0.2">
      <c r="A39562" t="s">
        <v>60521</v>
      </c>
      <c r="B39562" t="s">
        <v>60522</v>
      </c>
      <c r="C39562" t="s">
        <v>419</v>
      </c>
      <c r="D39562" t="s">
        <v>14</v>
      </c>
      <c r="E39562" t="s">
        <v>508</v>
      </c>
      <c r="F39562" s="2" t="str">
        <f>HYPERLINK("http://www.otzar.org/book.asp?153650","רחמיך רבים")</f>
        <v>רחמיך רבים</v>
      </c>
    </row>
    <row r="39563" spans="1:6" x14ac:dyDescent="0.2">
      <c r="A39563" t="s">
        <v>60523</v>
      </c>
      <c r="B39563" t="s">
        <v>3768</v>
      </c>
      <c r="C39563" t="s">
        <v>146</v>
      </c>
      <c r="D39563" t="s">
        <v>14</v>
      </c>
      <c r="E39563" t="s">
        <v>241</v>
      </c>
      <c r="F39563" s="2" t="str">
        <f>HYPERLINK("http://www.otzar.org/book.asp?157645","רחמנא ליבא בעי")</f>
        <v>רחמנא ליבא בעי</v>
      </c>
    </row>
    <row r="39564" spans="1:6" x14ac:dyDescent="0.2">
      <c r="A39564" t="s">
        <v>60524</v>
      </c>
      <c r="B39564" t="s">
        <v>60525</v>
      </c>
      <c r="C39564" t="s">
        <v>366</v>
      </c>
      <c r="D39564" t="s">
        <v>367</v>
      </c>
      <c r="F39564" s="2" t="str">
        <f>HYPERLINK("http://www.otzar.org/book.asp?616690","רחש הלב - 2 כר'")</f>
        <v>רחש הלב - 2 כר'</v>
      </c>
    </row>
    <row r="39565" spans="1:6" x14ac:dyDescent="0.2">
      <c r="A39565" t="s">
        <v>60526</v>
      </c>
      <c r="B39565" t="s">
        <v>60527</v>
      </c>
      <c r="C39565" t="s">
        <v>1169</v>
      </c>
      <c r="D39565" t="s">
        <v>27</v>
      </c>
      <c r="E39565" t="s">
        <v>791</v>
      </c>
      <c r="F39565" s="2" t="str">
        <f>HYPERLINK("http://www.otzar.org/book.asp?14207","רחש לבב")</f>
        <v>רחש לבב</v>
      </c>
    </row>
    <row r="39566" spans="1:6" x14ac:dyDescent="0.2">
      <c r="A39566" t="s">
        <v>60528</v>
      </c>
      <c r="B39566" t="s">
        <v>46750</v>
      </c>
      <c r="C39566" t="s">
        <v>13</v>
      </c>
      <c r="D39566" t="s">
        <v>52</v>
      </c>
      <c r="E39566" t="s">
        <v>60529</v>
      </c>
      <c r="F39566" s="2" t="str">
        <f>HYPERLINK("http://www.otzar.org/book.asp?64224","רחש לבי")</f>
        <v>רחש לבי</v>
      </c>
    </row>
    <row r="39567" spans="1:6" x14ac:dyDescent="0.2">
      <c r="A39567" t="s">
        <v>60528</v>
      </c>
      <c r="B39567" t="s">
        <v>40755</v>
      </c>
      <c r="C39567" t="s">
        <v>129</v>
      </c>
      <c r="D39567" t="s">
        <v>14</v>
      </c>
      <c r="E39567" t="s">
        <v>158</v>
      </c>
      <c r="F39567" s="2" t="str">
        <f>HYPERLINK("http://www.otzar.org/book.asp?142133","רחש לבי")</f>
        <v>רחש לבי</v>
      </c>
    </row>
    <row r="39568" spans="1:6" x14ac:dyDescent="0.2">
      <c r="A39568" t="s">
        <v>60530</v>
      </c>
      <c r="B39568" t="s">
        <v>60531</v>
      </c>
      <c r="C39568" t="s">
        <v>20</v>
      </c>
      <c r="D39568" t="s">
        <v>412</v>
      </c>
      <c r="E39568" t="s">
        <v>579</v>
      </c>
      <c r="F39568" s="2" t="str">
        <f>HYPERLINK("http://www.otzar.org/book.asp?194966","רחשי האילן")</f>
        <v>רחשי האילן</v>
      </c>
    </row>
    <row r="39569" spans="1:6" x14ac:dyDescent="0.2">
      <c r="A39569" t="s">
        <v>60532</v>
      </c>
      <c r="B39569" t="s">
        <v>60533</v>
      </c>
      <c r="C39569" t="s">
        <v>111</v>
      </c>
      <c r="D39569" t="s">
        <v>423</v>
      </c>
      <c r="E39569" t="s">
        <v>158</v>
      </c>
      <c r="F39569" s="2" t="str">
        <f>HYPERLINK("http://www.otzar.org/book.asp?629525","רחשי יוסף - אם לבינה")</f>
        <v>רחשי יוסף - אם לבינה</v>
      </c>
    </row>
    <row r="39570" spans="1:6" x14ac:dyDescent="0.2">
      <c r="A39570" t="s">
        <v>60534</v>
      </c>
      <c r="B39570" t="s">
        <v>60535</v>
      </c>
      <c r="C39570" t="s">
        <v>908</v>
      </c>
      <c r="D39570" t="s">
        <v>691</v>
      </c>
      <c r="E39570" t="s">
        <v>158</v>
      </c>
      <c r="F39570" s="2" t="str">
        <f>HYPERLINK("http://www.otzar.org/book.asp?188706","רחשי לב - בראשית")</f>
        <v>רחשי לב - בראשית</v>
      </c>
    </row>
    <row r="39571" spans="1:6" x14ac:dyDescent="0.2">
      <c r="A39571" t="s">
        <v>60536</v>
      </c>
      <c r="B39571" t="s">
        <v>60537</v>
      </c>
      <c r="C39571" t="s">
        <v>558</v>
      </c>
      <c r="D39571" t="s">
        <v>56</v>
      </c>
      <c r="E39571" t="s">
        <v>241</v>
      </c>
      <c r="F39571" s="2" t="str">
        <f>HYPERLINK("http://www.otzar.org/book.asp?188603","רחשי לב")</f>
        <v>רחשי לב</v>
      </c>
    </row>
    <row r="39572" spans="1:6" x14ac:dyDescent="0.2">
      <c r="A39572" t="s">
        <v>60536</v>
      </c>
      <c r="B39572" t="s">
        <v>60538</v>
      </c>
      <c r="C39572" t="s">
        <v>146</v>
      </c>
      <c r="D39572" t="s">
        <v>14</v>
      </c>
      <c r="F39572" s="2" t="str">
        <f>HYPERLINK("http://www.otzar.org/book.asp?619285","רחשי לב")</f>
        <v>רחשי לב</v>
      </c>
    </row>
    <row r="39573" spans="1:6" x14ac:dyDescent="0.2">
      <c r="A39573" t="s">
        <v>60536</v>
      </c>
      <c r="B39573" t="s">
        <v>14139</v>
      </c>
      <c r="C39573" t="s">
        <v>51</v>
      </c>
      <c r="D39573" t="s">
        <v>14</v>
      </c>
      <c r="E39573" t="s">
        <v>2915</v>
      </c>
      <c r="F39573" s="2" t="str">
        <f>HYPERLINK("http://www.otzar.org/book.asp?50512","רחשי לב")</f>
        <v>רחשי לב</v>
      </c>
    </row>
    <row r="39574" spans="1:6" x14ac:dyDescent="0.2">
      <c r="A39574" t="s">
        <v>60539</v>
      </c>
      <c r="B39574" t="s">
        <v>19934</v>
      </c>
      <c r="C39574" t="s">
        <v>244</v>
      </c>
      <c r="D39574" t="s">
        <v>21</v>
      </c>
      <c r="F39574" s="2" t="str">
        <f>HYPERLINK("http://www.otzar.org/book.asp?601428","רי""ף מבואר - 2 כר'")</f>
        <v>רי"ף מבואר - 2 כר'</v>
      </c>
    </row>
    <row r="39575" spans="1:6" x14ac:dyDescent="0.2">
      <c r="A39575" t="s">
        <v>60540</v>
      </c>
      <c r="B39575" t="s">
        <v>2643</v>
      </c>
      <c r="C39575" t="s">
        <v>9957</v>
      </c>
      <c r="D39575" t="s">
        <v>2181</v>
      </c>
      <c r="E39575" t="s">
        <v>154</v>
      </c>
      <c r="F39575" s="2" t="str">
        <f>HYPERLINK("http://www.otzar.org/book.asp?10916","ריב""ם שנייטוך")</f>
        <v>ריב"ם שנייטוך</v>
      </c>
    </row>
    <row r="39576" spans="1:6" x14ac:dyDescent="0.2">
      <c r="A39576" t="s">
        <v>60541</v>
      </c>
      <c r="B39576" t="s">
        <v>50807</v>
      </c>
      <c r="C39576" t="s">
        <v>2008</v>
      </c>
      <c r="D39576" t="s">
        <v>412</v>
      </c>
      <c r="E39576" t="s">
        <v>15</v>
      </c>
      <c r="F39576" s="2" t="str">
        <f>HYPERLINK("http://www.otzar.org/book.asp?101633","ריב""ן - 2 כר'")</f>
        <v>ריב"ן - 2 כר'</v>
      </c>
    </row>
    <row r="39577" spans="1:6" x14ac:dyDescent="0.2">
      <c r="A39577" t="s">
        <v>60542</v>
      </c>
      <c r="B39577" t="s">
        <v>9043</v>
      </c>
      <c r="C39577" t="s">
        <v>114</v>
      </c>
      <c r="D39577" t="s">
        <v>90</v>
      </c>
      <c r="E39577" t="s">
        <v>399</v>
      </c>
      <c r="F39577" s="2" t="str">
        <f>HYPERLINK("http://www.otzar.org/book.asp?160106","ריבון עלם ועלמיא")</f>
        <v>ריבון עלם ועלמיא</v>
      </c>
    </row>
    <row r="39578" spans="1:6" x14ac:dyDescent="0.2">
      <c r="A39578" t="s">
        <v>60543</v>
      </c>
      <c r="B39578" t="s">
        <v>60544</v>
      </c>
      <c r="C39578" t="s">
        <v>5308</v>
      </c>
      <c r="D39578" t="s">
        <v>212</v>
      </c>
      <c r="E39578" t="s">
        <v>241</v>
      </c>
      <c r="F39578" s="2" t="str">
        <f>HYPERLINK("http://www.otzar.org/book.asp?83646","ריוח והצלה")</f>
        <v>ריוח והצלה</v>
      </c>
    </row>
    <row r="39579" spans="1:6" x14ac:dyDescent="0.2">
      <c r="A39579" t="s">
        <v>60545</v>
      </c>
      <c r="B39579" t="s">
        <v>60546</v>
      </c>
      <c r="C39579" t="s">
        <v>1388</v>
      </c>
      <c r="D39579" t="s">
        <v>21</v>
      </c>
      <c r="F39579" s="2" t="str">
        <f>HYPERLINK("http://www.otzar.org/book.asp?194898","ריח בשמים")</f>
        <v>ריח בשמים</v>
      </c>
    </row>
    <row r="39580" spans="1:6" x14ac:dyDescent="0.2">
      <c r="A39580" t="s">
        <v>60547</v>
      </c>
      <c r="B39580" t="s">
        <v>686</v>
      </c>
      <c r="C39580" t="s">
        <v>411</v>
      </c>
      <c r="D39580" t="s">
        <v>52</v>
      </c>
      <c r="E39580" t="s">
        <v>104</v>
      </c>
      <c r="F39580" s="2" t="str">
        <f>HYPERLINK("http://www.otzar.org/book.asp?165394","ריח גפנים")</f>
        <v>ריח גפנים</v>
      </c>
    </row>
    <row r="39581" spans="1:6" x14ac:dyDescent="0.2">
      <c r="A39581" t="s">
        <v>60548</v>
      </c>
      <c r="B39581" t="s">
        <v>60549</v>
      </c>
      <c r="C39581" t="s">
        <v>854</v>
      </c>
      <c r="D39581" t="s">
        <v>225</v>
      </c>
      <c r="E39581" t="s">
        <v>246</v>
      </c>
      <c r="F39581" s="2" t="str">
        <f>HYPERLINK("http://www.otzar.org/book.asp?104774","ריח דודאים - 2 כר'")</f>
        <v>ריח דודאים - 2 כר'</v>
      </c>
    </row>
    <row r="39582" spans="1:6" x14ac:dyDescent="0.2">
      <c r="A39582" t="s">
        <v>60550</v>
      </c>
      <c r="B39582" t="s">
        <v>60551</v>
      </c>
      <c r="C39582" t="s">
        <v>775</v>
      </c>
      <c r="D39582" t="s">
        <v>412</v>
      </c>
      <c r="F39582" s="2" t="str">
        <f>HYPERLINK("http://www.otzar.org/book.asp?163725","ריח דודאים")</f>
        <v>ריח דודאים</v>
      </c>
    </row>
    <row r="39583" spans="1:6" x14ac:dyDescent="0.2">
      <c r="A39583" t="s">
        <v>60550</v>
      </c>
      <c r="B39583" t="s">
        <v>1264</v>
      </c>
      <c r="C39583" t="s">
        <v>1954</v>
      </c>
      <c r="D39583" t="s">
        <v>27</v>
      </c>
      <c r="E39583" t="s">
        <v>144</v>
      </c>
      <c r="F39583" s="2" t="str">
        <f>HYPERLINK("http://www.otzar.org/book.asp?9088","ריח דודאים")</f>
        <v>ריח דודאים</v>
      </c>
    </row>
    <row r="39584" spans="1:6" x14ac:dyDescent="0.2">
      <c r="A39584" t="s">
        <v>60552</v>
      </c>
      <c r="B39584" t="s">
        <v>30611</v>
      </c>
      <c r="C39584" t="s">
        <v>13</v>
      </c>
      <c r="D39584" t="s">
        <v>14</v>
      </c>
      <c r="E39584" t="s">
        <v>15</v>
      </c>
      <c r="F39584" s="2" t="str">
        <f>HYPERLINK("http://www.otzar.org/book.asp?148036","ריח הגט - חכמת יצחק")</f>
        <v>ריח הגט - חכמת יצחק</v>
      </c>
    </row>
    <row r="39585" spans="1:6" x14ac:dyDescent="0.2">
      <c r="A39585" t="s">
        <v>60553</v>
      </c>
      <c r="B39585" t="s">
        <v>60554</v>
      </c>
      <c r="C39585" t="s">
        <v>3957</v>
      </c>
      <c r="D39585" t="s">
        <v>544</v>
      </c>
      <c r="E39585" t="s">
        <v>474</v>
      </c>
      <c r="F39585" s="2" t="str">
        <f>HYPERLINK("http://www.otzar.org/book.asp?151612","ריח השדה")</f>
        <v>ריח השדה</v>
      </c>
    </row>
    <row r="39586" spans="1:6" x14ac:dyDescent="0.2">
      <c r="A39586" t="s">
        <v>60553</v>
      </c>
      <c r="B39586" t="s">
        <v>60555</v>
      </c>
      <c r="F39586" s="2" t="str">
        <f>HYPERLINK("http://www.otzar.org/book.asp?619901","ריח השדה")</f>
        <v>ריח השדה</v>
      </c>
    </row>
    <row r="39587" spans="1:6" x14ac:dyDescent="0.2">
      <c r="A39587" t="s">
        <v>60553</v>
      </c>
      <c r="B39587" t="s">
        <v>60556</v>
      </c>
      <c r="C39587" t="s">
        <v>422</v>
      </c>
      <c r="D39587" t="s">
        <v>423</v>
      </c>
      <c r="E39587" t="s">
        <v>2533</v>
      </c>
      <c r="F39587" s="2" t="str">
        <f>HYPERLINK("http://www.otzar.org/book.asp?157909","ריח השדה")</f>
        <v>ריח השדה</v>
      </c>
    </row>
    <row r="39588" spans="1:6" x14ac:dyDescent="0.2">
      <c r="A39588" t="s">
        <v>60557</v>
      </c>
      <c r="B39588" t="s">
        <v>206</v>
      </c>
      <c r="C39588" t="s">
        <v>114</v>
      </c>
      <c r="D39588" t="s">
        <v>14</v>
      </c>
      <c r="E39588" t="s">
        <v>246</v>
      </c>
      <c r="F39588" s="2" t="str">
        <f>HYPERLINK("http://www.otzar.org/book.asp?606248","ריח טוב בפירות - סדר ט""ו בשבט")</f>
        <v>ריח טוב בפירות - סדר ט"ו בשבט</v>
      </c>
    </row>
    <row r="39589" spans="1:6" x14ac:dyDescent="0.2">
      <c r="A39589" t="s">
        <v>60558</v>
      </c>
      <c r="B39589" t="s">
        <v>1750</v>
      </c>
      <c r="C39589" t="s">
        <v>68</v>
      </c>
      <c r="D39589" t="s">
        <v>1076</v>
      </c>
      <c r="E39589" t="s">
        <v>130</v>
      </c>
      <c r="F39589" s="2" t="str">
        <f>HYPERLINK("http://www.otzar.org/book.asp?165204","ריח טוב")</f>
        <v>ריח טוב</v>
      </c>
    </row>
    <row r="39590" spans="1:6" x14ac:dyDescent="0.2">
      <c r="A39590" t="s">
        <v>60559</v>
      </c>
      <c r="B39590" t="s">
        <v>60560</v>
      </c>
      <c r="C39590" t="s">
        <v>286</v>
      </c>
      <c r="D39590" t="s">
        <v>27</v>
      </c>
      <c r="E39590" t="s">
        <v>17007</v>
      </c>
      <c r="F39590" s="2" t="str">
        <f>HYPERLINK("http://www.otzar.org/book.asp?6172","ריח ליצחק")</f>
        <v>ריח ליצחק</v>
      </c>
    </row>
    <row r="39591" spans="1:6" x14ac:dyDescent="0.2">
      <c r="A39591" t="s">
        <v>60561</v>
      </c>
      <c r="B39591" t="s">
        <v>38185</v>
      </c>
      <c r="C39591" t="s">
        <v>383</v>
      </c>
      <c r="D39591" t="s">
        <v>4478</v>
      </c>
      <c r="E39591" t="s">
        <v>104</v>
      </c>
      <c r="F39591" s="2" t="str">
        <f>HYPERLINK("http://www.otzar.org/book.asp?63138","ריח מים")</f>
        <v>ריח מים</v>
      </c>
    </row>
    <row r="39592" spans="1:6" x14ac:dyDescent="0.2">
      <c r="A39592" t="s">
        <v>60562</v>
      </c>
      <c r="B39592" t="s">
        <v>60563</v>
      </c>
      <c r="C39592" t="s">
        <v>24721</v>
      </c>
      <c r="D39592" t="s">
        <v>2303</v>
      </c>
      <c r="E39592" t="s">
        <v>1626</v>
      </c>
      <c r="F39592" s="2" t="str">
        <f>HYPERLINK("http://www.otzar.org/book.asp?147118","ריח ניחוח")</f>
        <v>ריח ניחוח</v>
      </c>
    </row>
    <row r="39593" spans="1:6" x14ac:dyDescent="0.2">
      <c r="A39593" t="s">
        <v>60562</v>
      </c>
      <c r="B39593" t="s">
        <v>17881</v>
      </c>
      <c r="C39593" t="s">
        <v>6784</v>
      </c>
      <c r="D39593" t="s">
        <v>283</v>
      </c>
      <c r="E39593" t="s">
        <v>154</v>
      </c>
      <c r="F39593" s="2" t="str">
        <f>HYPERLINK("http://www.otzar.org/book.asp?101634","ריח ניחוח")</f>
        <v>ריח ניחוח</v>
      </c>
    </row>
    <row r="39594" spans="1:6" x14ac:dyDescent="0.2">
      <c r="A39594" t="s">
        <v>60564</v>
      </c>
      <c r="B39594" t="s">
        <v>60565</v>
      </c>
      <c r="C39594" t="s">
        <v>332</v>
      </c>
      <c r="D39594" t="s">
        <v>14</v>
      </c>
      <c r="F39594" s="2" t="str">
        <f>HYPERLINK("http://www.otzar.org/book.asp?153498","ריח ניחח")</f>
        <v>ריח ניחח</v>
      </c>
    </row>
    <row r="39595" spans="1:6" x14ac:dyDescent="0.2">
      <c r="A39595" t="s">
        <v>60566</v>
      </c>
      <c r="B39595" t="s">
        <v>60567</v>
      </c>
      <c r="C39595" t="s">
        <v>366</v>
      </c>
      <c r="D39595" t="s">
        <v>152</v>
      </c>
      <c r="E39595" t="s">
        <v>154</v>
      </c>
      <c r="F39595" s="2" t="str">
        <f>HYPERLINK("http://www.otzar.org/book.asp?608466","ריח נרדי")</f>
        <v>ריח נרדי</v>
      </c>
    </row>
    <row r="39596" spans="1:6" x14ac:dyDescent="0.2">
      <c r="A39596" t="s">
        <v>60568</v>
      </c>
      <c r="B39596" t="s">
        <v>60569</v>
      </c>
      <c r="C39596" t="s">
        <v>103</v>
      </c>
      <c r="D39596" t="s">
        <v>14</v>
      </c>
      <c r="E39596" t="s">
        <v>10851</v>
      </c>
      <c r="F39596" s="2" t="str">
        <f>HYPERLINK("http://www.otzar.org/book.asp?152219","ריח שדה &lt;מכון הכתב&gt;")</f>
        <v>ריח שדה &lt;מכון הכתב&gt;</v>
      </c>
    </row>
    <row r="39597" spans="1:6" x14ac:dyDescent="0.2">
      <c r="A39597" t="s">
        <v>60570</v>
      </c>
      <c r="B39597" t="s">
        <v>60569</v>
      </c>
      <c r="C39597" t="s">
        <v>4348</v>
      </c>
      <c r="D39597" t="s">
        <v>1490</v>
      </c>
      <c r="E39597" t="s">
        <v>52189</v>
      </c>
      <c r="F39597" s="2" t="str">
        <f>HYPERLINK("http://www.otzar.org/book.asp?101796","ריח שדה")</f>
        <v>ריח שדה</v>
      </c>
    </row>
    <row r="39598" spans="1:6" x14ac:dyDescent="0.2">
      <c r="A39598" t="s">
        <v>60571</v>
      </c>
      <c r="B39598" t="s">
        <v>686</v>
      </c>
      <c r="C39598" t="s">
        <v>133</v>
      </c>
      <c r="D39598" t="s">
        <v>52</v>
      </c>
      <c r="E39598" t="s">
        <v>579</v>
      </c>
      <c r="F39598" s="2" t="str">
        <f>HYPERLINK("http://www.otzar.org/book.asp?175952","ריח שדה - אחרי הקצרים")</f>
        <v>ריח שדה - אחרי הקצרים</v>
      </c>
    </row>
    <row r="39599" spans="1:6" x14ac:dyDescent="0.2">
      <c r="A39599" t="s">
        <v>60572</v>
      </c>
      <c r="B39599" t="s">
        <v>686</v>
      </c>
      <c r="C39599" t="s">
        <v>553</v>
      </c>
      <c r="D39599" t="s">
        <v>52</v>
      </c>
      <c r="F39599" s="2" t="str">
        <f>HYPERLINK("http://www.otzar.org/book.asp?618482","ריח תפוחים")</f>
        <v>ריח תפוחים</v>
      </c>
    </row>
    <row r="39600" spans="1:6" x14ac:dyDescent="0.2">
      <c r="A39600" t="s">
        <v>60573</v>
      </c>
      <c r="B39600" t="s">
        <v>19669</v>
      </c>
      <c r="C39600" t="s">
        <v>1278</v>
      </c>
      <c r="D39600" t="s">
        <v>9091</v>
      </c>
      <c r="E39600" t="s">
        <v>144</v>
      </c>
      <c r="F39600" s="2" t="str">
        <f>HYPERLINK("http://www.otzar.org/book.asp?176936","ריטב""א על מסכת ראש השנה")</f>
        <v>ריטב"א על מסכת ראש השנה</v>
      </c>
    </row>
    <row r="39601" spans="1:6" x14ac:dyDescent="0.2">
      <c r="A39601" t="s">
        <v>60574</v>
      </c>
      <c r="B39601" t="s">
        <v>60575</v>
      </c>
      <c r="C39601" t="s">
        <v>20</v>
      </c>
      <c r="D39601" t="s">
        <v>14</v>
      </c>
      <c r="E39601" t="s">
        <v>213</v>
      </c>
      <c r="F39601" s="2" t="str">
        <f>HYPERLINK("http://www.otzar.org/book.asp?197367","רינה וישועה, באהלי צדיקים")</f>
        <v>רינה וישועה, באהלי צדיקים</v>
      </c>
    </row>
    <row r="39602" spans="1:6" x14ac:dyDescent="0.2">
      <c r="A39602" t="s">
        <v>60576</v>
      </c>
      <c r="B39602" t="s">
        <v>19563</v>
      </c>
      <c r="C39602" t="s">
        <v>1811</v>
      </c>
      <c r="D39602" t="s">
        <v>14</v>
      </c>
      <c r="E39602" t="s">
        <v>172</v>
      </c>
      <c r="F39602" s="2" t="str">
        <f>HYPERLINK("http://www.otzar.org/book.asp?615515","רינה ותפלה")</f>
        <v>רינה ותפלה</v>
      </c>
    </row>
    <row r="39603" spans="1:6" x14ac:dyDescent="0.2">
      <c r="A39603" t="s">
        <v>60577</v>
      </c>
      <c r="B39603" t="s">
        <v>38796</v>
      </c>
      <c r="C39603" t="s">
        <v>2271</v>
      </c>
      <c r="D39603" t="s">
        <v>9748</v>
      </c>
      <c r="E39603" t="s">
        <v>246</v>
      </c>
      <c r="F39603" s="2" t="str">
        <f>HYPERLINK("http://www.otzar.org/book.asp?51815","רינון יצחק")</f>
        <v>רינון יצחק</v>
      </c>
    </row>
    <row r="39604" spans="1:6" x14ac:dyDescent="0.2">
      <c r="A39604" t="s">
        <v>60578</v>
      </c>
      <c r="B39604" t="s">
        <v>60579</v>
      </c>
      <c r="C39604" t="s">
        <v>146</v>
      </c>
      <c r="D39604" t="s">
        <v>152</v>
      </c>
      <c r="F39604" s="2" t="str">
        <f>HYPERLINK("http://www.otzar.org/book.asp?157159","רינונה של תורה")</f>
        <v>רינונה של תורה</v>
      </c>
    </row>
    <row r="39605" spans="1:6" x14ac:dyDescent="0.2">
      <c r="A39605" t="s">
        <v>60580</v>
      </c>
      <c r="B39605" t="s">
        <v>60581</v>
      </c>
      <c r="C39605" t="s">
        <v>366</v>
      </c>
      <c r="D39605" t="s">
        <v>52</v>
      </c>
      <c r="F39605" s="2" t="str">
        <f>HYPERLINK("http://www.otzar.org/book.asp?602115","רינת אהרן - 2 כר'")</f>
        <v>רינת אהרן - 2 כר'</v>
      </c>
    </row>
    <row r="39606" spans="1:6" x14ac:dyDescent="0.2">
      <c r="A39606" t="s">
        <v>60582</v>
      </c>
      <c r="B39606" t="s">
        <v>12683</v>
      </c>
      <c r="C39606" t="s">
        <v>411</v>
      </c>
      <c r="D39606" t="s">
        <v>90</v>
      </c>
      <c r="E39606" t="s">
        <v>246</v>
      </c>
      <c r="F39606" s="2" t="str">
        <f>HYPERLINK("http://www.otzar.org/book.asp?176255","רינת השבת")</f>
        <v>רינת השבת</v>
      </c>
    </row>
    <row r="39607" spans="1:6" x14ac:dyDescent="0.2">
      <c r="A39607" t="s">
        <v>60583</v>
      </c>
      <c r="B39607" t="s">
        <v>56750</v>
      </c>
      <c r="C39607" t="s">
        <v>146</v>
      </c>
      <c r="D39607" t="s">
        <v>14</v>
      </c>
      <c r="E39607" t="s">
        <v>144</v>
      </c>
      <c r="F39607" s="2" t="str">
        <f>HYPERLINK("http://www.otzar.org/book.asp?28625","רינת התורה  (שעורי הישיבה) - יבמות")</f>
        <v>רינת התורה  (שעורי הישיבה) - יבמות</v>
      </c>
    </row>
    <row r="39608" spans="1:6" x14ac:dyDescent="0.2">
      <c r="A39608" t="s">
        <v>60584</v>
      </c>
      <c r="B39608" t="s">
        <v>4294</v>
      </c>
      <c r="C39608" t="s">
        <v>51</v>
      </c>
      <c r="D39608" t="s">
        <v>14</v>
      </c>
      <c r="E39608" t="s">
        <v>8781</v>
      </c>
      <c r="F39608" s="2" t="str">
        <f>HYPERLINK("http://www.otzar.org/book.asp?625660","רינת ציון - 2 כר'")</f>
        <v>רינת ציון - 2 כר'</v>
      </c>
    </row>
    <row r="39609" spans="1:6" x14ac:dyDescent="0.2">
      <c r="A39609" t="s">
        <v>60585</v>
      </c>
      <c r="B39609" t="s">
        <v>14157</v>
      </c>
      <c r="C39609" t="s">
        <v>114</v>
      </c>
      <c r="D39609" t="s">
        <v>147</v>
      </c>
      <c r="F39609" s="2" t="str">
        <f>HYPERLINK("http://www.otzar.org/book.asp?161121","רינת שמואל - בראשית ב")</f>
        <v>רינת שמואל - בראשית ב</v>
      </c>
    </row>
    <row r="39610" spans="1:6" x14ac:dyDescent="0.2">
      <c r="A39610" t="s">
        <v>60586</v>
      </c>
      <c r="B39610" t="s">
        <v>46045</v>
      </c>
      <c r="C39610" t="s">
        <v>1954</v>
      </c>
      <c r="D39610" t="s">
        <v>14</v>
      </c>
      <c r="E39610" t="s">
        <v>803</v>
      </c>
      <c r="F39610" s="2" t="str">
        <f>HYPERLINK("http://www.otzar.org/book.asp?60366","ריצבש""י - א-ב")</f>
        <v>ריצבש"י - א-ב</v>
      </c>
    </row>
    <row r="39611" spans="1:6" x14ac:dyDescent="0.2">
      <c r="A39611" t="s">
        <v>60587</v>
      </c>
      <c r="B39611" t="s">
        <v>1750</v>
      </c>
      <c r="C39611" t="s">
        <v>133</v>
      </c>
      <c r="D39611" t="s">
        <v>423</v>
      </c>
      <c r="E39611" t="s">
        <v>1174</v>
      </c>
      <c r="F39611" s="2" t="str">
        <f>HYPERLINK("http://www.otzar.org/book.asp?180140","ריקודין קדישין")</f>
        <v>ריקודין קדישין</v>
      </c>
    </row>
    <row r="39612" spans="1:6" x14ac:dyDescent="0.2">
      <c r="A39612" t="s">
        <v>60588</v>
      </c>
      <c r="B39612" t="s">
        <v>60589</v>
      </c>
      <c r="C39612" t="s">
        <v>411</v>
      </c>
      <c r="D39612" t="s">
        <v>20</v>
      </c>
      <c r="E39612" t="s">
        <v>234</v>
      </c>
      <c r="F39612" s="2" t="str">
        <f>HYPERLINK("http://www.otzar.org/book.asp?172633","ריש""א דגלותא - 5 כר'")</f>
        <v>ריש"א דגלותא - 5 כר'</v>
      </c>
    </row>
    <row r="39613" spans="1:6" x14ac:dyDescent="0.2">
      <c r="A39613" t="s">
        <v>60590</v>
      </c>
      <c r="B39613" t="s">
        <v>52594</v>
      </c>
      <c r="C39613" t="s">
        <v>20</v>
      </c>
      <c r="D39613" t="s">
        <v>240</v>
      </c>
      <c r="F39613" s="2" t="str">
        <f>HYPERLINK("http://www.otzar.org/book.asp?604611","רישא וסיפא &lt;המבואר&gt;")</f>
        <v>רישא וסיפא &lt;המבואר&gt;</v>
      </c>
    </row>
    <row r="39614" spans="1:6" x14ac:dyDescent="0.2">
      <c r="A39614" t="s">
        <v>60591</v>
      </c>
      <c r="B39614" t="s">
        <v>52594</v>
      </c>
      <c r="C39614" t="s">
        <v>624</v>
      </c>
      <c r="D39614" t="s">
        <v>14</v>
      </c>
      <c r="E39614" t="s">
        <v>158</v>
      </c>
      <c r="F39614" s="2" t="str">
        <f>HYPERLINK("http://www.otzar.org/book.asp?166190","רישא וסיפא")</f>
        <v>רישא וסיפא</v>
      </c>
    </row>
    <row r="39615" spans="1:6" x14ac:dyDescent="0.2">
      <c r="A39615" t="s">
        <v>60592</v>
      </c>
      <c r="B39615" t="s">
        <v>5651</v>
      </c>
      <c r="C39615" t="s">
        <v>37</v>
      </c>
      <c r="D39615" t="s">
        <v>14</v>
      </c>
      <c r="E39615" t="s">
        <v>119</v>
      </c>
      <c r="F39615" s="2" t="str">
        <f>HYPERLINK("http://www.otzar.org/book.asp?180916","רישי מתיבתא")</f>
        <v>רישי מתיבתא</v>
      </c>
    </row>
    <row r="39616" spans="1:6" x14ac:dyDescent="0.2">
      <c r="A39616" t="s">
        <v>60593</v>
      </c>
      <c r="B39616" t="s">
        <v>60594</v>
      </c>
      <c r="C39616" t="s">
        <v>466</v>
      </c>
      <c r="D39616" t="s">
        <v>52</v>
      </c>
      <c r="E39616" t="s">
        <v>1438</v>
      </c>
      <c r="F39616" s="2" t="str">
        <f>HYPERLINK("http://www.otzar.org/book.asp?107435","רכב אלהים &lt;אופן המרכבה&gt;")</f>
        <v>רכב אלהים &lt;אופן המרכבה&gt;</v>
      </c>
    </row>
    <row r="39617" spans="1:6" x14ac:dyDescent="0.2">
      <c r="A39617" t="s">
        <v>60595</v>
      </c>
      <c r="B39617" t="s">
        <v>29638</v>
      </c>
      <c r="C39617" t="s">
        <v>29639</v>
      </c>
      <c r="D39617" t="s">
        <v>1117</v>
      </c>
      <c r="E39617" t="s">
        <v>241</v>
      </c>
      <c r="F39617" s="2" t="str">
        <f>HYPERLINK("http://www.otzar.org/book.asp?51810","רכב אליהו")</f>
        <v>רכב אליהו</v>
      </c>
    </row>
    <row r="39618" spans="1:6" x14ac:dyDescent="0.2">
      <c r="A39618" t="s">
        <v>60596</v>
      </c>
      <c r="B39618" t="s">
        <v>7552</v>
      </c>
      <c r="C39618" t="s">
        <v>114</v>
      </c>
      <c r="D39618" t="s">
        <v>7553</v>
      </c>
      <c r="E39618" t="s">
        <v>15</v>
      </c>
      <c r="F39618" s="2" t="str">
        <f>HYPERLINK("http://www.otzar.org/book.asp?163278","רכב ישראל")</f>
        <v>רכב ישראל</v>
      </c>
    </row>
    <row r="39619" spans="1:6" x14ac:dyDescent="0.2">
      <c r="A39619" t="s">
        <v>60596</v>
      </c>
      <c r="B39619" t="s">
        <v>22200</v>
      </c>
      <c r="C39619" t="s">
        <v>46</v>
      </c>
      <c r="D39619" t="s">
        <v>52</v>
      </c>
      <c r="F39619" s="2" t="str">
        <f>HYPERLINK("http://www.otzar.org/book.asp?198390","רכב ישראל")</f>
        <v>רכב ישראל</v>
      </c>
    </row>
    <row r="39620" spans="1:6" x14ac:dyDescent="0.2">
      <c r="A39620" t="s">
        <v>60597</v>
      </c>
      <c r="B39620" t="s">
        <v>16383</v>
      </c>
      <c r="C39620" t="s">
        <v>466</v>
      </c>
      <c r="D39620" t="s">
        <v>14</v>
      </c>
      <c r="E39620" t="s">
        <v>399</v>
      </c>
      <c r="F39620" s="2" t="str">
        <f>HYPERLINK("http://www.otzar.org/book.asp?50160","רכב ישראל - קבלת רמח""ל")</f>
        <v>רכב ישראל - קבלת רמח"ל</v>
      </c>
    </row>
    <row r="39621" spans="1:6" x14ac:dyDescent="0.2">
      <c r="A39621" t="s">
        <v>60598</v>
      </c>
      <c r="B39621" t="s">
        <v>60599</v>
      </c>
      <c r="C39621" t="s">
        <v>99</v>
      </c>
      <c r="D39621" t="s">
        <v>27</v>
      </c>
      <c r="E39621" t="s">
        <v>933</v>
      </c>
      <c r="F39621" s="2" t="str">
        <f>HYPERLINK("http://www.otzar.org/book.asp?149186","רכב על דבר אמת")</f>
        <v>רכב על דבר אמת</v>
      </c>
    </row>
    <row r="39622" spans="1:6" x14ac:dyDescent="0.2">
      <c r="A39622" t="s">
        <v>60600</v>
      </c>
      <c r="B39622" t="s">
        <v>14181</v>
      </c>
      <c r="C39622" t="s">
        <v>698</v>
      </c>
      <c r="D39622" t="s">
        <v>1966</v>
      </c>
      <c r="E39622" t="s">
        <v>172</v>
      </c>
      <c r="F39622" s="2" t="str">
        <f>HYPERLINK("http://www.otzar.org/book.asp?51811","רכוש הים")</f>
        <v>רכוש הים</v>
      </c>
    </row>
    <row r="39623" spans="1:6" x14ac:dyDescent="0.2">
      <c r="A39623" t="s">
        <v>60601</v>
      </c>
      <c r="B39623" t="s">
        <v>732</v>
      </c>
      <c r="C39623" t="s">
        <v>60602</v>
      </c>
      <c r="D39623" t="s">
        <v>27</v>
      </c>
      <c r="E39623" t="s">
        <v>733</v>
      </c>
      <c r="F39623" s="2" t="str">
        <f>HYPERLINK("http://www.otzar.org/book.asp?188667","רכושנו הרוחני בירושלם")</f>
        <v>רכושנו הרוחני בירושלם</v>
      </c>
    </row>
    <row r="39624" spans="1:6" x14ac:dyDescent="0.2">
      <c r="A39624" t="s">
        <v>60603</v>
      </c>
      <c r="B39624" t="s">
        <v>1314</v>
      </c>
      <c r="C39624" t="s">
        <v>13</v>
      </c>
      <c r="D39624" t="s">
        <v>32811</v>
      </c>
      <c r="E39624" t="s">
        <v>1438</v>
      </c>
      <c r="F39624" s="2" t="str">
        <f>HYPERLINK("http://www.otzar.org/book.asp?63008","רמ""ז הרומ""ז - אם לבינה")</f>
        <v>רמ"ז הרומ"ז - אם לבינה</v>
      </c>
    </row>
    <row r="39625" spans="1:6" x14ac:dyDescent="0.2">
      <c r="A39625" t="s">
        <v>60604</v>
      </c>
      <c r="B39625" t="s">
        <v>1846</v>
      </c>
      <c r="C39625" t="s">
        <v>244</v>
      </c>
      <c r="D39625" t="s">
        <v>14</v>
      </c>
      <c r="E39625" t="s">
        <v>15</v>
      </c>
      <c r="F39625" s="2" t="str">
        <f>HYPERLINK("http://www.otzar.org/book.asp?621813","רמב""ם ע""פ מעיל אליהו")</f>
        <v>רמב"ם ע"פ מעיל אליהו</v>
      </c>
    </row>
    <row r="39626" spans="1:6" x14ac:dyDescent="0.2">
      <c r="A39626" t="s">
        <v>60605</v>
      </c>
      <c r="B39626" t="s">
        <v>1320</v>
      </c>
      <c r="C39626" t="s">
        <v>940</v>
      </c>
      <c r="D39626" t="s">
        <v>14</v>
      </c>
      <c r="E39626" t="s">
        <v>2135</v>
      </c>
      <c r="F39626" s="2" t="str">
        <f>HYPERLINK("http://www.otzar.org/book.asp?191342","רמב""ם על התורה - 2 כר'")</f>
        <v>רמב"ם על התורה - 2 כר'</v>
      </c>
    </row>
    <row r="39627" spans="1:6" x14ac:dyDescent="0.2">
      <c r="A39627" t="s">
        <v>60606</v>
      </c>
      <c r="B39627" t="s">
        <v>686</v>
      </c>
      <c r="C39627" t="s">
        <v>37</v>
      </c>
      <c r="D39627" t="s">
        <v>52</v>
      </c>
      <c r="E39627" t="s">
        <v>104</v>
      </c>
      <c r="F39627" s="2" t="str">
        <f>HYPERLINK("http://www.otzar.org/book.asp?182742","רמה קרני")</f>
        <v>רמה קרני</v>
      </c>
    </row>
    <row r="39628" spans="1:6" x14ac:dyDescent="0.2">
      <c r="A39628" t="s">
        <v>60607</v>
      </c>
      <c r="B39628" t="s">
        <v>60608</v>
      </c>
      <c r="C39628" t="s">
        <v>11298</v>
      </c>
      <c r="D39628" t="s">
        <v>2714</v>
      </c>
      <c r="E39628" t="s">
        <v>234</v>
      </c>
      <c r="F39628" s="2" t="str">
        <f>HYPERLINK("http://www.otzar.org/book.asp?101635","רמון גדיש")</f>
        <v>רמון גדיש</v>
      </c>
    </row>
    <row r="39629" spans="1:6" x14ac:dyDescent="0.2">
      <c r="A39629" t="s">
        <v>60609</v>
      </c>
      <c r="B39629" t="s">
        <v>60610</v>
      </c>
      <c r="C39629" t="s">
        <v>356</v>
      </c>
      <c r="D39629" t="s">
        <v>118</v>
      </c>
      <c r="E39629" t="s">
        <v>144</v>
      </c>
      <c r="F39629" s="2" t="str">
        <f>HYPERLINK("http://www.otzar.org/book.asp?174117","רמון פרץ &lt;מהדורה חדשה&gt;")</f>
        <v>רמון פרץ &lt;מהדורה חדשה&gt;</v>
      </c>
    </row>
    <row r="39630" spans="1:6" x14ac:dyDescent="0.2">
      <c r="A39630" t="s">
        <v>60611</v>
      </c>
      <c r="B39630" t="s">
        <v>16939</v>
      </c>
      <c r="C39630" t="s">
        <v>2465</v>
      </c>
      <c r="D39630" t="s">
        <v>42</v>
      </c>
      <c r="E39630" t="s">
        <v>144</v>
      </c>
      <c r="F39630" s="2" t="str">
        <f>HYPERLINK("http://www.otzar.org/book.asp?9220","רמון פרץ")</f>
        <v>רמון פרץ</v>
      </c>
    </row>
    <row r="39631" spans="1:6" x14ac:dyDescent="0.2">
      <c r="A39631" t="s">
        <v>60611</v>
      </c>
      <c r="B39631" t="s">
        <v>24582</v>
      </c>
      <c r="C39631" t="s">
        <v>17</v>
      </c>
      <c r="D39631" t="s">
        <v>52</v>
      </c>
      <c r="E39631" t="s">
        <v>219</v>
      </c>
      <c r="F39631" s="2" t="str">
        <f>HYPERLINK("http://www.otzar.org/book.asp?85486","רמון פרץ")</f>
        <v>רמון פרץ</v>
      </c>
    </row>
    <row r="39632" spans="1:6" x14ac:dyDescent="0.2">
      <c r="A39632" t="s">
        <v>60612</v>
      </c>
      <c r="B39632" t="s">
        <v>2396</v>
      </c>
      <c r="C39632" t="s">
        <v>37</v>
      </c>
      <c r="D39632" t="s">
        <v>1076</v>
      </c>
      <c r="E39632" t="s">
        <v>84</v>
      </c>
      <c r="F39632" s="2" t="str">
        <f>HYPERLINK("http://www.otzar.org/book.asp?617320","רמון פרץ - בסוגיות הש""ס")</f>
        <v>רמון פרץ - בסוגיות הש"ס</v>
      </c>
    </row>
    <row r="39633" spans="1:6" x14ac:dyDescent="0.2">
      <c r="A39633" t="s">
        <v>60613</v>
      </c>
      <c r="B39633" t="s">
        <v>41858</v>
      </c>
      <c r="C39633" t="s">
        <v>2488</v>
      </c>
      <c r="D39633" t="s">
        <v>267</v>
      </c>
      <c r="F39633" s="2" t="str">
        <f>HYPERLINK("http://www.otzar.org/book.asp?83974","רמוני זהב")</f>
        <v>רמוני זהב</v>
      </c>
    </row>
    <row r="39634" spans="1:6" x14ac:dyDescent="0.2">
      <c r="A39634" t="s">
        <v>60614</v>
      </c>
      <c r="B39634" t="s">
        <v>60615</v>
      </c>
      <c r="C39634" t="s">
        <v>189</v>
      </c>
      <c r="D39634" t="s">
        <v>14</v>
      </c>
      <c r="E39634" t="s">
        <v>104</v>
      </c>
      <c r="F39634" s="2" t="str">
        <f>HYPERLINK("http://www.otzar.org/book.asp?64319","רמות גלעד - 2 כר'")</f>
        <v>רמות גלעד - 2 כר'</v>
      </c>
    </row>
    <row r="39635" spans="1:6" x14ac:dyDescent="0.2">
      <c r="A39635" t="s">
        <v>60616</v>
      </c>
      <c r="B39635" t="s">
        <v>48454</v>
      </c>
      <c r="C39635" t="s">
        <v>506</v>
      </c>
      <c r="D39635" t="s">
        <v>1117</v>
      </c>
      <c r="E39635" t="s">
        <v>60617</v>
      </c>
      <c r="F39635" s="2" t="str">
        <f>HYPERLINK("http://www.otzar.org/book.asp?7922","רמזי אלול")</f>
        <v>רמזי אלול</v>
      </c>
    </row>
    <row r="39636" spans="1:6" x14ac:dyDescent="0.2">
      <c r="A39636" t="s">
        <v>60618</v>
      </c>
      <c r="B39636" t="s">
        <v>60619</v>
      </c>
      <c r="C39636" t="s">
        <v>244</v>
      </c>
      <c r="D39636" t="s">
        <v>412</v>
      </c>
      <c r="E39636" t="s">
        <v>33041</v>
      </c>
      <c r="F39636" s="2" t="str">
        <f>HYPERLINK("http://www.otzar.org/book.asp?606369","רמזי דחכמתא &lt;מהדורה חדשה&gt;")</f>
        <v>רמזי דחכמתא &lt;מהדורה חדשה&gt;</v>
      </c>
    </row>
    <row r="39637" spans="1:6" x14ac:dyDescent="0.2">
      <c r="A39637" t="s">
        <v>60620</v>
      </c>
      <c r="B39637" t="s">
        <v>60619</v>
      </c>
      <c r="C39637" t="s">
        <v>619</v>
      </c>
      <c r="D39637" t="s">
        <v>283</v>
      </c>
      <c r="E39637" t="s">
        <v>2862</v>
      </c>
      <c r="F39637" s="2" t="str">
        <f>HYPERLINK("http://www.otzar.org/book.asp?100763","רמזי דחכמתא")</f>
        <v>רמזי דחכמתא</v>
      </c>
    </row>
    <row r="39638" spans="1:6" x14ac:dyDescent="0.2">
      <c r="A39638" t="s">
        <v>60621</v>
      </c>
      <c r="B39638" t="s">
        <v>60622</v>
      </c>
      <c r="C39638" t="s">
        <v>5823</v>
      </c>
      <c r="D39638" t="s">
        <v>4269</v>
      </c>
      <c r="F39638" s="2" t="str">
        <f>HYPERLINK("http://www.otzar.org/book.asp?25359","רמזי הגדות")</f>
        <v>רמזי הגדות</v>
      </c>
    </row>
    <row r="39639" spans="1:6" x14ac:dyDescent="0.2">
      <c r="A39639" t="s">
        <v>60623</v>
      </c>
      <c r="B39639" t="s">
        <v>60624</v>
      </c>
      <c r="C39639" t="s">
        <v>68</v>
      </c>
      <c r="D39639" t="s">
        <v>14</v>
      </c>
      <c r="E39639" t="s">
        <v>246</v>
      </c>
      <c r="F39639" s="2" t="str">
        <f>HYPERLINK("http://www.otzar.org/book.asp?163070","רמזי חודש אלול")</f>
        <v>רמזי חודש אלול</v>
      </c>
    </row>
    <row r="39640" spans="1:6" x14ac:dyDescent="0.2">
      <c r="A39640" t="s">
        <v>60625</v>
      </c>
      <c r="B39640" t="s">
        <v>4049</v>
      </c>
      <c r="C39640" t="s">
        <v>1096</v>
      </c>
      <c r="D39640" t="s">
        <v>283</v>
      </c>
      <c r="E39640" t="s">
        <v>60626</v>
      </c>
      <c r="F39640" s="2" t="str">
        <f>HYPERLINK("http://www.otzar.org/book.asp?100762","רמזי ישראל")</f>
        <v>רמזי ישראל</v>
      </c>
    </row>
    <row r="39641" spans="1:6" x14ac:dyDescent="0.2">
      <c r="A39641" t="s">
        <v>60627</v>
      </c>
      <c r="B39641" t="s">
        <v>60628</v>
      </c>
      <c r="C39641" t="s">
        <v>23</v>
      </c>
      <c r="D39641" t="s">
        <v>52</v>
      </c>
      <c r="E39641" t="s">
        <v>246</v>
      </c>
      <c r="F39641" s="2" t="str">
        <f>HYPERLINK("http://www.otzar.org/book.asp?622541","רמזי מחשבה - 3 כר'")</f>
        <v>רמזי מחשבה - 3 כר'</v>
      </c>
    </row>
    <row r="39642" spans="1:6" x14ac:dyDescent="0.2">
      <c r="A39642" t="s">
        <v>60629</v>
      </c>
      <c r="B39642" t="s">
        <v>60630</v>
      </c>
      <c r="C39642" t="s">
        <v>1166</v>
      </c>
      <c r="D39642" t="s">
        <v>225</v>
      </c>
      <c r="E39642" t="s">
        <v>246</v>
      </c>
      <c r="F39642" s="2" t="str">
        <f>HYPERLINK("http://www.otzar.org/book.asp?23727","רמזי שבת")</f>
        <v>רמזי שבת</v>
      </c>
    </row>
    <row r="39643" spans="1:6" x14ac:dyDescent="0.2">
      <c r="A39643" t="s">
        <v>60629</v>
      </c>
      <c r="B39643" t="s">
        <v>60631</v>
      </c>
      <c r="C39643" t="s">
        <v>1284</v>
      </c>
      <c r="D39643" t="s">
        <v>592</v>
      </c>
      <c r="E39643" t="s">
        <v>246</v>
      </c>
      <c r="F39643" s="2" t="str">
        <f>HYPERLINK("http://www.otzar.org/book.asp?194871","רמזי שבת")</f>
        <v>רמזי שבת</v>
      </c>
    </row>
    <row r="39644" spans="1:6" x14ac:dyDescent="0.2">
      <c r="A39644" t="s">
        <v>60632</v>
      </c>
      <c r="B39644" t="s">
        <v>60633</v>
      </c>
      <c r="C39644" t="s">
        <v>1124</v>
      </c>
      <c r="D39644" t="s">
        <v>60634</v>
      </c>
      <c r="E39644" t="s">
        <v>579</v>
      </c>
      <c r="F39644" s="2" t="str">
        <f>HYPERLINK("http://www.otzar.org/book.asp?197049","רמזי תורה")</f>
        <v>רמזי תורה</v>
      </c>
    </row>
    <row r="39645" spans="1:6" x14ac:dyDescent="0.2">
      <c r="A39645" t="s">
        <v>60635</v>
      </c>
      <c r="B39645" t="s">
        <v>60636</v>
      </c>
      <c r="C39645" t="s">
        <v>1811</v>
      </c>
      <c r="D39645" t="s">
        <v>412</v>
      </c>
      <c r="E39645" t="s">
        <v>14089</v>
      </c>
      <c r="F39645" s="2" t="str">
        <f>HYPERLINK("http://www.otzar.org/book.asp?623441","רמזים בתורה")</f>
        <v>רמזים בתורה</v>
      </c>
    </row>
    <row r="39646" spans="1:6" x14ac:dyDescent="0.2">
      <c r="A39646" t="s">
        <v>60637</v>
      </c>
      <c r="B39646" t="s">
        <v>60638</v>
      </c>
      <c r="C39646" t="s">
        <v>812</v>
      </c>
      <c r="D39646" t="s">
        <v>27</v>
      </c>
      <c r="E39646" t="s">
        <v>1626</v>
      </c>
      <c r="F39646" s="2" t="str">
        <f>HYPERLINK("http://www.otzar.org/book.asp?149627","רמזים וגימטריאות")</f>
        <v>רמזים וגימטריאות</v>
      </c>
    </row>
    <row r="39647" spans="1:6" x14ac:dyDescent="0.2">
      <c r="A39647" t="s">
        <v>60639</v>
      </c>
      <c r="B39647" t="s">
        <v>60640</v>
      </c>
      <c r="C39647" t="s">
        <v>68</v>
      </c>
      <c r="D39647" t="s">
        <v>18218</v>
      </c>
      <c r="E39647" t="s">
        <v>172</v>
      </c>
      <c r="F39647" s="2" t="str">
        <f>HYPERLINK("http://www.otzar.org/book.asp?154408","רמזים לשלחן")</f>
        <v>רמזים לשלחן</v>
      </c>
    </row>
    <row r="39648" spans="1:6" x14ac:dyDescent="0.2">
      <c r="A39648" t="s">
        <v>60641</v>
      </c>
      <c r="B39648" t="s">
        <v>32943</v>
      </c>
      <c r="C39648" t="s">
        <v>20</v>
      </c>
      <c r="D39648" t="s">
        <v>90</v>
      </c>
      <c r="F39648" s="2" t="str">
        <f>HYPERLINK("http://www.otzar.org/book.asp?617925","רמזין קדישין על פסוק שה""ש הנצנים נראו בארץ")</f>
        <v>רמזין קדישין על פסוק שה"ש הנצנים נראו בארץ</v>
      </c>
    </row>
    <row r="39649" spans="1:6" x14ac:dyDescent="0.2">
      <c r="A39649" t="s">
        <v>60642</v>
      </c>
      <c r="B39649" t="s">
        <v>60157</v>
      </c>
      <c r="C39649" t="s">
        <v>79</v>
      </c>
      <c r="D39649" t="s">
        <v>260</v>
      </c>
      <c r="E39649" t="s">
        <v>517</v>
      </c>
      <c r="F39649" s="2" t="str">
        <f>HYPERLINK("http://www.otzar.org/book.asp?12680","רמח""ל")</f>
        <v>רמח"ל</v>
      </c>
    </row>
    <row r="39650" spans="1:6" x14ac:dyDescent="0.2">
      <c r="A39650" t="s">
        <v>60643</v>
      </c>
      <c r="B39650" t="s">
        <v>24019</v>
      </c>
      <c r="C39650" t="s">
        <v>1202</v>
      </c>
      <c r="D39650" t="s">
        <v>283</v>
      </c>
      <c r="E39650" t="s">
        <v>579</v>
      </c>
      <c r="F39650" s="2" t="str">
        <f>HYPERLINK("http://www.otzar.org/book.asp?103735","רמיזות ישראל")</f>
        <v>רמיזות ישראל</v>
      </c>
    </row>
    <row r="39651" spans="1:6" x14ac:dyDescent="0.2">
      <c r="A39651" t="s">
        <v>60644</v>
      </c>
      <c r="B39651" t="s">
        <v>60645</v>
      </c>
      <c r="C39651" t="s">
        <v>473</v>
      </c>
      <c r="D39651" t="s">
        <v>379</v>
      </c>
      <c r="E39651" t="s">
        <v>463</v>
      </c>
      <c r="F39651" s="2" t="str">
        <f>HYPERLINK("http://www.otzar.org/book.asp?141033","רמיזי תורה ותלמודת זאב")</f>
        <v>רמיזי תורה ותלמודת זאב</v>
      </c>
    </row>
    <row r="39652" spans="1:6" x14ac:dyDescent="0.2">
      <c r="A39652" t="s">
        <v>60646</v>
      </c>
      <c r="B39652" t="s">
        <v>107</v>
      </c>
      <c r="C39652" t="s">
        <v>176</v>
      </c>
      <c r="D39652" t="s">
        <v>14</v>
      </c>
      <c r="E39652" t="s">
        <v>104</v>
      </c>
      <c r="F39652" s="2" t="str">
        <f>HYPERLINK("http://www.otzar.org/book.asp?84492","רמת הגולן ועבר הירדן - שכם ואלון מורה")</f>
        <v>רמת הגולן ועבר הירדן - שכם ואלון מורה</v>
      </c>
    </row>
    <row r="39653" spans="1:6" x14ac:dyDescent="0.2">
      <c r="A39653" t="s">
        <v>60647</v>
      </c>
      <c r="B39653" t="s">
        <v>338</v>
      </c>
      <c r="C39653" t="s">
        <v>244</v>
      </c>
      <c r="D39653" t="s">
        <v>14</v>
      </c>
      <c r="E39653" t="s">
        <v>154</v>
      </c>
      <c r="F39653" s="2" t="str">
        <f>HYPERLINK("http://www.otzar.org/book.asp?608671","רמת משפט")</f>
        <v>רמת משפט</v>
      </c>
    </row>
    <row r="39654" spans="1:6" x14ac:dyDescent="0.2">
      <c r="A39654" t="s">
        <v>60648</v>
      </c>
      <c r="B39654" t="s">
        <v>14011</v>
      </c>
      <c r="C39654" t="s">
        <v>20</v>
      </c>
      <c r="D39654" t="s">
        <v>118</v>
      </c>
      <c r="E39654" t="s">
        <v>674</v>
      </c>
      <c r="F39654" s="2" t="str">
        <f>HYPERLINK("http://www.otzar.org/book.asp?12080","רמת רחל")</f>
        <v>רמת רחל</v>
      </c>
    </row>
    <row r="39655" spans="1:6" x14ac:dyDescent="0.2">
      <c r="A39655" t="s">
        <v>60649</v>
      </c>
      <c r="B39655" t="s">
        <v>60650</v>
      </c>
      <c r="C39655" t="s">
        <v>17</v>
      </c>
      <c r="D39655" t="s">
        <v>27</v>
      </c>
      <c r="E39655" t="s">
        <v>60651</v>
      </c>
      <c r="F39655" s="2" t="str">
        <f>HYPERLINK("http://www.otzar.org/book.asp?176014","רמת שמואל &lt;מהדורה חדשה&gt;")</f>
        <v>רמת שמואל &lt;מהדורה חדשה&gt;</v>
      </c>
    </row>
    <row r="39656" spans="1:6" x14ac:dyDescent="0.2">
      <c r="A39656" t="s">
        <v>60652</v>
      </c>
      <c r="B39656" t="s">
        <v>60650</v>
      </c>
      <c r="C39656" t="s">
        <v>8</v>
      </c>
      <c r="D39656" t="s">
        <v>27</v>
      </c>
      <c r="E39656" t="s">
        <v>60653</v>
      </c>
      <c r="F39656" s="2" t="str">
        <f>HYPERLINK("http://www.otzar.org/book.asp?8045","רמת שמואל")</f>
        <v>רמת שמואל</v>
      </c>
    </row>
    <row r="39657" spans="1:6" x14ac:dyDescent="0.2">
      <c r="A39657" t="s">
        <v>60654</v>
      </c>
      <c r="B39657" t="s">
        <v>31605</v>
      </c>
      <c r="C39657" t="s">
        <v>585</v>
      </c>
      <c r="D39657" t="s">
        <v>14</v>
      </c>
      <c r="E39657" t="s">
        <v>4940</v>
      </c>
      <c r="F39657" s="2" t="str">
        <f>HYPERLINK("http://www.otzar.org/book.asp?8008","רמת שמואל - בראשית")</f>
        <v>רמת שמואל - בראשית</v>
      </c>
    </row>
    <row r="39658" spans="1:6" x14ac:dyDescent="0.2">
      <c r="A39658" t="s">
        <v>60652</v>
      </c>
      <c r="B39658" t="s">
        <v>29770</v>
      </c>
      <c r="C39658" t="s">
        <v>1268</v>
      </c>
      <c r="D39658" t="s">
        <v>14</v>
      </c>
      <c r="E39658" t="s">
        <v>60655</v>
      </c>
      <c r="F39658" s="2" t="str">
        <f>HYPERLINK("http://www.otzar.org/book.asp?8897","רמת שמואל")</f>
        <v>רמת שמואל</v>
      </c>
    </row>
    <row r="39659" spans="1:6" x14ac:dyDescent="0.2">
      <c r="A39659" t="s">
        <v>60652</v>
      </c>
      <c r="B39659" t="s">
        <v>34416</v>
      </c>
      <c r="C39659" t="s">
        <v>1096</v>
      </c>
      <c r="D39659" t="s">
        <v>56</v>
      </c>
      <c r="E39659" t="s">
        <v>1697</v>
      </c>
      <c r="F39659" s="2" t="str">
        <f>HYPERLINK("http://www.otzar.org/book.asp?101953","רמת שמואל")</f>
        <v>רמת שמואל</v>
      </c>
    </row>
    <row r="39660" spans="1:6" x14ac:dyDescent="0.2">
      <c r="A39660" t="s">
        <v>60652</v>
      </c>
      <c r="B39660" t="s">
        <v>60656</v>
      </c>
      <c r="C39660" t="s">
        <v>884</v>
      </c>
      <c r="D39660" t="s">
        <v>1023</v>
      </c>
      <c r="E39660" t="s">
        <v>144</v>
      </c>
      <c r="F39660" s="2" t="str">
        <f>HYPERLINK("http://www.otzar.org/book.asp?101797","רמת שמואל")</f>
        <v>רמת שמואל</v>
      </c>
    </row>
    <row r="39661" spans="1:6" x14ac:dyDescent="0.2">
      <c r="A39661" t="s">
        <v>60657</v>
      </c>
      <c r="B39661" t="s">
        <v>60658</v>
      </c>
      <c r="C39661" t="s">
        <v>244</v>
      </c>
      <c r="D39661" t="s">
        <v>14</v>
      </c>
      <c r="F39661" s="2" t="str">
        <f>HYPERLINK("http://www.otzar.org/book.asp?610717","רמתים צופים &lt;מהדו""ח&gt;")</f>
        <v>רמתים צופים &lt;מהדו"ח&gt;</v>
      </c>
    </row>
    <row r="39662" spans="1:6" x14ac:dyDescent="0.2">
      <c r="A39662" t="s">
        <v>60659</v>
      </c>
      <c r="B39662" t="s">
        <v>60660</v>
      </c>
      <c r="C39662" t="s">
        <v>462</v>
      </c>
      <c r="D39662" t="s">
        <v>283</v>
      </c>
      <c r="E39662" t="s">
        <v>43</v>
      </c>
      <c r="F39662" s="2" t="str">
        <f>HYPERLINK("http://www.otzar.org/book.asp?63439","רמתים צופים")</f>
        <v>רמתים צופים</v>
      </c>
    </row>
    <row r="39663" spans="1:6" x14ac:dyDescent="0.2">
      <c r="A39663" t="s">
        <v>60659</v>
      </c>
      <c r="B39663" t="s">
        <v>60661</v>
      </c>
      <c r="C39663" t="s">
        <v>728</v>
      </c>
      <c r="D39663" t="s">
        <v>2295</v>
      </c>
      <c r="E39663" t="s">
        <v>43</v>
      </c>
      <c r="F39663" s="2" t="str">
        <f>HYPERLINK("http://www.otzar.org/book.asp?100688","רמתים צופים")</f>
        <v>רמתים צופים</v>
      </c>
    </row>
    <row r="39664" spans="1:6" x14ac:dyDescent="0.2">
      <c r="A39664" t="s">
        <v>60662</v>
      </c>
      <c r="B39664" t="s">
        <v>22857</v>
      </c>
      <c r="C39664" t="s">
        <v>4592</v>
      </c>
      <c r="D39664" t="s">
        <v>889</v>
      </c>
      <c r="E39664" t="s">
        <v>1164</v>
      </c>
      <c r="F39664" s="2" t="str">
        <f>HYPERLINK("http://www.otzar.org/book.asp?5305","רנה וישועה - 2 כר'")</f>
        <v>רנה וישועה - 2 כר'</v>
      </c>
    </row>
    <row r="39665" spans="1:6" x14ac:dyDescent="0.2">
      <c r="A39665" t="s">
        <v>60663</v>
      </c>
      <c r="B39665" t="s">
        <v>60664</v>
      </c>
      <c r="C39665" t="s">
        <v>176</v>
      </c>
      <c r="D39665" t="s">
        <v>1356</v>
      </c>
      <c r="E39665" t="s">
        <v>202</v>
      </c>
      <c r="F39665" s="2" t="str">
        <f>HYPERLINK("http://www.otzar.org/book.asp?626603","רנה של תורה - קידושין")</f>
        <v>רנה של תורה - קידושין</v>
      </c>
    </row>
    <row r="39666" spans="1:6" x14ac:dyDescent="0.2">
      <c r="A39666" t="s">
        <v>60665</v>
      </c>
      <c r="B39666" t="s">
        <v>17366</v>
      </c>
      <c r="C39666" t="s">
        <v>366</v>
      </c>
      <c r="E39666" t="s">
        <v>467</v>
      </c>
      <c r="F39666" s="2" t="str">
        <f>HYPERLINK("http://www.otzar.org/book.asp?626029","רנו ליעקב שמחה - פורים")</f>
        <v>רנו ליעקב שמחה - פורים</v>
      </c>
    </row>
    <row r="39667" spans="1:6" x14ac:dyDescent="0.2">
      <c r="A39667" t="s">
        <v>60666</v>
      </c>
      <c r="B39667" t="s">
        <v>15516</v>
      </c>
      <c r="C39667" t="s">
        <v>160</v>
      </c>
      <c r="D39667" t="s">
        <v>27</v>
      </c>
      <c r="E39667" t="s">
        <v>158</v>
      </c>
      <c r="F39667" s="2" t="str">
        <f>HYPERLINK("http://www.otzar.org/book.asp?158328","רנו ליעקב שמחה")</f>
        <v>רנו ליעקב שמחה</v>
      </c>
    </row>
    <row r="39668" spans="1:6" x14ac:dyDescent="0.2">
      <c r="A39668" t="s">
        <v>60667</v>
      </c>
      <c r="B39668" t="s">
        <v>5572</v>
      </c>
      <c r="C39668" t="s">
        <v>366</v>
      </c>
      <c r="D39668" t="s">
        <v>412</v>
      </c>
      <c r="F39668" s="2" t="str">
        <f>HYPERLINK("http://www.otzar.org/book.asp?608761","רנו ליעקב - 2 כר'")</f>
        <v>רנו ליעקב - 2 כר'</v>
      </c>
    </row>
    <row r="39669" spans="1:6" x14ac:dyDescent="0.2">
      <c r="A39669" t="s">
        <v>60668</v>
      </c>
      <c r="B39669" t="s">
        <v>60669</v>
      </c>
      <c r="C39669" t="s">
        <v>603</v>
      </c>
      <c r="D39669" t="s">
        <v>157</v>
      </c>
      <c r="E39669" t="s">
        <v>234</v>
      </c>
      <c r="F39669" s="2" t="str">
        <f>HYPERLINK("http://www.otzar.org/book.asp?107343","רני ושמחי")</f>
        <v>רני ושמחי</v>
      </c>
    </row>
    <row r="39670" spans="1:6" x14ac:dyDescent="0.2">
      <c r="A39670" t="s">
        <v>60670</v>
      </c>
      <c r="B39670" t="s">
        <v>1750</v>
      </c>
      <c r="C39670" t="s">
        <v>17</v>
      </c>
      <c r="D39670" t="s">
        <v>52</v>
      </c>
      <c r="E39670" t="s">
        <v>202</v>
      </c>
      <c r="F39670" s="2" t="str">
        <f>HYPERLINK("http://www.otzar.org/book.asp?166619","רני ושמחי - 4 כר'")</f>
        <v>רני ושמחי - 4 כר'</v>
      </c>
    </row>
    <row r="39671" spans="1:6" x14ac:dyDescent="0.2">
      <c r="A39671" t="s">
        <v>60668</v>
      </c>
      <c r="B39671" t="s">
        <v>2396</v>
      </c>
      <c r="C39671" t="s">
        <v>146</v>
      </c>
      <c r="D39671" t="s">
        <v>1076</v>
      </c>
      <c r="E39671" t="s">
        <v>158</v>
      </c>
      <c r="F39671" s="2" t="str">
        <f>HYPERLINK("http://www.otzar.org/book.asp?165263","רני ושמחי")</f>
        <v>רני ושמחי</v>
      </c>
    </row>
    <row r="39672" spans="1:6" x14ac:dyDescent="0.2">
      <c r="A39672" t="s">
        <v>60671</v>
      </c>
      <c r="B39672" t="s">
        <v>2074</v>
      </c>
      <c r="C39672" t="s">
        <v>189</v>
      </c>
      <c r="D39672" t="s">
        <v>14</v>
      </c>
      <c r="E39672" t="s">
        <v>1626</v>
      </c>
      <c r="F39672" s="2" t="str">
        <f>HYPERLINK("http://www.otzar.org/book.asp?150369","רני עקרה")</f>
        <v>רני עקרה</v>
      </c>
    </row>
    <row r="39673" spans="1:6" x14ac:dyDescent="0.2">
      <c r="A39673" t="s">
        <v>60672</v>
      </c>
      <c r="B39673" t="s">
        <v>60673</v>
      </c>
      <c r="C39673" t="s">
        <v>523</v>
      </c>
      <c r="D39673" t="s">
        <v>412</v>
      </c>
      <c r="E39673" t="s">
        <v>13352</v>
      </c>
      <c r="F39673" s="2" t="str">
        <f>HYPERLINK("http://www.otzar.org/book.asp?159445","רני עקרה - כונת הלב")</f>
        <v>רני עקרה - כונת הלב</v>
      </c>
    </row>
    <row r="39674" spans="1:6" x14ac:dyDescent="0.2">
      <c r="A39674" t="s">
        <v>60674</v>
      </c>
      <c r="B39674" t="s">
        <v>31085</v>
      </c>
      <c r="C39674" t="s">
        <v>908</v>
      </c>
      <c r="D39674" t="s">
        <v>283</v>
      </c>
      <c r="E39674" t="s">
        <v>2088</v>
      </c>
      <c r="F39674" s="2" t="str">
        <f>HYPERLINK("http://www.otzar.org/book.asp?146","רנן לבקר")</f>
        <v>רנן לבקר</v>
      </c>
    </row>
    <row r="39675" spans="1:6" x14ac:dyDescent="0.2">
      <c r="A39675" t="s">
        <v>60675</v>
      </c>
      <c r="B39675" t="s">
        <v>21338</v>
      </c>
      <c r="C39675" t="s">
        <v>37</v>
      </c>
      <c r="D39675" t="s">
        <v>21339</v>
      </c>
      <c r="F39675" s="2" t="str">
        <f>HYPERLINK("http://www.otzar.org/book.asp?608841","רננו צדיקים - לזכרו של אלירן עמר")</f>
        <v>רננו צדיקים - לזכרו של אלירן עמר</v>
      </c>
    </row>
    <row r="39676" spans="1:6" x14ac:dyDescent="0.2">
      <c r="A39676" t="s">
        <v>60676</v>
      </c>
      <c r="B39676" t="s">
        <v>4222</v>
      </c>
      <c r="C39676" t="s">
        <v>313</v>
      </c>
      <c r="D39676" t="s">
        <v>14</v>
      </c>
      <c r="E39676" t="s">
        <v>241</v>
      </c>
      <c r="F39676" s="2" t="str">
        <f>HYPERLINK("http://www.otzar.org/book.asp?175984","רננו צדיקים")</f>
        <v>רננו צדיקים</v>
      </c>
    </row>
    <row r="39677" spans="1:6" x14ac:dyDescent="0.2">
      <c r="A39677" t="s">
        <v>60677</v>
      </c>
      <c r="B39677" t="s">
        <v>1846</v>
      </c>
      <c r="C39677" t="s">
        <v>3942</v>
      </c>
      <c r="D39677" t="s">
        <v>1396</v>
      </c>
      <c r="E39677" t="s">
        <v>158</v>
      </c>
      <c r="F39677" s="2" t="str">
        <f>HYPERLINK("http://www.otzar.org/book.asp?53573","רנת דודים &lt;דפו""ר&gt;")</f>
        <v>רנת דודים &lt;דפו"ר&gt;</v>
      </c>
    </row>
    <row r="39678" spans="1:6" x14ac:dyDescent="0.2">
      <c r="A39678" t="s">
        <v>60678</v>
      </c>
      <c r="B39678" t="s">
        <v>1846</v>
      </c>
      <c r="C39678" t="s">
        <v>51</v>
      </c>
      <c r="D39678" t="s">
        <v>1156</v>
      </c>
      <c r="F39678" s="2" t="str">
        <f>HYPERLINK("http://www.otzar.org/book.asp?619945","רנת דודים &lt;מהדורה חדשה&gt;")</f>
        <v>רנת דודים &lt;מהדורה חדשה&gt;</v>
      </c>
    </row>
    <row r="39679" spans="1:6" x14ac:dyDescent="0.2">
      <c r="A39679" t="s">
        <v>60679</v>
      </c>
      <c r="B39679" t="s">
        <v>1846</v>
      </c>
      <c r="C39679" t="s">
        <v>1284</v>
      </c>
      <c r="D39679" t="s">
        <v>2313</v>
      </c>
      <c r="E39679" t="s">
        <v>158</v>
      </c>
      <c r="F39679" s="2" t="str">
        <f>HYPERLINK("http://www.otzar.org/book.asp?25361","רנת דודים")</f>
        <v>רנת דודים</v>
      </c>
    </row>
    <row r="39680" spans="1:6" x14ac:dyDescent="0.2">
      <c r="A39680" t="s">
        <v>60680</v>
      </c>
      <c r="B39680" t="s">
        <v>60681</v>
      </c>
      <c r="C39680" t="s">
        <v>624</v>
      </c>
      <c r="D39680" t="s">
        <v>52</v>
      </c>
      <c r="E39680" t="s">
        <v>241</v>
      </c>
      <c r="F39680" s="2" t="str">
        <f>HYPERLINK("http://www.otzar.org/book.asp?174536","רנת חיל")</f>
        <v>רנת חיל</v>
      </c>
    </row>
    <row r="39681" spans="1:6" x14ac:dyDescent="0.2">
      <c r="A39681" t="s">
        <v>60682</v>
      </c>
      <c r="B39681" t="s">
        <v>60681</v>
      </c>
      <c r="C39681" t="s">
        <v>133</v>
      </c>
      <c r="D39681" t="s">
        <v>52</v>
      </c>
      <c r="E39681" t="s">
        <v>104</v>
      </c>
      <c r="F39681" s="2" t="str">
        <f>HYPERLINK("http://www.otzar.org/book.asp?175586","רנת יין")</f>
        <v>רנת יין</v>
      </c>
    </row>
    <row r="39682" spans="1:6" x14ac:dyDescent="0.2">
      <c r="A39682" t="s">
        <v>60683</v>
      </c>
      <c r="B39682" t="s">
        <v>13067</v>
      </c>
      <c r="C39682" t="s">
        <v>454</v>
      </c>
      <c r="D39682" t="s">
        <v>14</v>
      </c>
      <c r="E39682" t="s">
        <v>158</v>
      </c>
      <c r="F39682" s="2" t="str">
        <f>HYPERLINK("http://www.otzar.org/book.asp?106685","רנת יצחק &lt;נ""ך&gt; - 10 כר'")</f>
        <v>רנת יצחק &lt;נ"ך&gt; - 10 כר'</v>
      </c>
    </row>
    <row r="39683" spans="1:6" x14ac:dyDescent="0.2">
      <c r="A39683" t="s">
        <v>60684</v>
      </c>
      <c r="B39683" t="s">
        <v>13067</v>
      </c>
      <c r="C39683" t="s">
        <v>176</v>
      </c>
      <c r="D39683" t="s">
        <v>14</v>
      </c>
      <c r="E39683" t="s">
        <v>158</v>
      </c>
      <c r="F39683" s="2" t="str">
        <f>HYPERLINK("http://www.otzar.org/book.asp?106680","רנת יצחק &lt;על התורה&gt; - 6 כר'")</f>
        <v>רנת יצחק &lt;על התורה&gt; - 6 כר'</v>
      </c>
    </row>
    <row r="39684" spans="1:6" x14ac:dyDescent="0.2">
      <c r="A39684" t="s">
        <v>60685</v>
      </c>
      <c r="B39684" t="s">
        <v>13067</v>
      </c>
      <c r="C39684" t="s">
        <v>133</v>
      </c>
      <c r="D39684" t="s">
        <v>14</v>
      </c>
      <c r="E39684" t="s">
        <v>144</v>
      </c>
      <c r="F39684" s="2" t="str">
        <f>HYPERLINK("http://www.otzar.org/book.asp?171810","רנת יצחק - 4 כר'")</f>
        <v>רנת יצחק - 4 כר'</v>
      </c>
    </row>
    <row r="39685" spans="1:6" x14ac:dyDescent="0.2">
      <c r="A39685" t="s">
        <v>60686</v>
      </c>
      <c r="B39685" t="s">
        <v>60687</v>
      </c>
      <c r="C39685" t="s">
        <v>106</v>
      </c>
      <c r="D39685" t="s">
        <v>52</v>
      </c>
      <c r="E39685" t="s">
        <v>741</v>
      </c>
      <c r="F39685" s="2" t="str">
        <f>HYPERLINK("http://www.otzar.org/book.asp?10783","רנת ציון")</f>
        <v>רנת ציון</v>
      </c>
    </row>
    <row r="39686" spans="1:6" x14ac:dyDescent="0.2">
      <c r="A39686" t="s">
        <v>60688</v>
      </c>
      <c r="B39686" t="s">
        <v>1653</v>
      </c>
      <c r="C39686" t="s">
        <v>802</v>
      </c>
      <c r="D39686" t="s">
        <v>1731</v>
      </c>
      <c r="E39686" t="s">
        <v>733</v>
      </c>
      <c r="F39686" s="2" t="str">
        <f>HYPERLINK("http://www.otzar.org/book.asp?63","רסאלה")</f>
        <v>רסאלה</v>
      </c>
    </row>
    <row r="39687" spans="1:6" x14ac:dyDescent="0.2">
      <c r="A39687" t="s">
        <v>60689</v>
      </c>
      <c r="B39687" t="s">
        <v>60690</v>
      </c>
      <c r="C39687" t="s">
        <v>438</v>
      </c>
      <c r="D39687" t="s">
        <v>49952</v>
      </c>
      <c r="E39687" t="s">
        <v>158</v>
      </c>
      <c r="F39687" s="2" t="str">
        <f>HYPERLINK("http://www.otzar.org/book.asp?14380","רסיסי טל - 3 כר'")</f>
        <v>רסיסי טל - 3 כר'</v>
      </c>
    </row>
    <row r="39688" spans="1:6" x14ac:dyDescent="0.2">
      <c r="A39688" t="s">
        <v>60691</v>
      </c>
      <c r="B39688" t="s">
        <v>60692</v>
      </c>
      <c r="C39688" t="s">
        <v>23</v>
      </c>
      <c r="D39688" t="s">
        <v>1273</v>
      </c>
      <c r="E39688" t="s">
        <v>15</v>
      </c>
      <c r="F39688" s="2" t="str">
        <f>HYPERLINK("http://www.otzar.org/book.asp?605539","רסיסי טל - מלאכות שבת")</f>
        <v>רסיסי טל - מלאכות שבת</v>
      </c>
    </row>
    <row r="39689" spans="1:6" x14ac:dyDescent="0.2">
      <c r="A39689" t="s">
        <v>60693</v>
      </c>
      <c r="B39689" t="s">
        <v>60694</v>
      </c>
      <c r="C39689" t="s">
        <v>189</v>
      </c>
      <c r="D39689" t="s">
        <v>7468</v>
      </c>
      <c r="E39689" t="s">
        <v>15</v>
      </c>
      <c r="F39689" s="2" t="str">
        <f>HYPERLINK("http://www.otzar.org/book.asp?175857","רסיסי טל - 2 כר'")</f>
        <v>רסיסי טל - 2 כר'</v>
      </c>
    </row>
    <row r="39690" spans="1:6" x14ac:dyDescent="0.2">
      <c r="A39690" t="s">
        <v>60695</v>
      </c>
      <c r="B39690" t="s">
        <v>2993</v>
      </c>
      <c r="C39690" t="s">
        <v>454</v>
      </c>
      <c r="D39690" t="s">
        <v>14919</v>
      </c>
      <c r="E39690" t="s">
        <v>104</v>
      </c>
      <c r="F39690" s="2" t="str">
        <f>HYPERLINK("http://www.otzar.org/book.asp?84176","רסיסי לילה &lt;מהדורת הר ברכה&gt;")</f>
        <v>רסיסי לילה &lt;מהדורת הר ברכה&gt;</v>
      </c>
    </row>
    <row r="39691" spans="1:6" x14ac:dyDescent="0.2">
      <c r="A39691" t="s">
        <v>60696</v>
      </c>
      <c r="B39691" t="s">
        <v>60697</v>
      </c>
      <c r="C39691" t="s">
        <v>60698</v>
      </c>
      <c r="D39691" t="s">
        <v>60699</v>
      </c>
      <c r="F39691" s="2" t="str">
        <f>HYPERLINK("http://www.otzar.org/book.asp?621904","רסיסי לילה")</f>
        <v>רסיסי לילה</v>
      </c>
    </row>
    <row r="39692" spans="1:6" x14ac:dyDescent="0.2">
      <c r="A39692" t="s">
        <v>60696</v>
      </c>
      <c r="B39692" t="s">
        <v>2993</v>
      </c>
      <c r="C39692" t="s">
        <v>888</v>
      </c>
      <c r="D39692" t="s">
        <v>726</v>
      </c>
      <c r="E39692" t="s">
        <v>741</v>
      </c>
      <c r="F39692" s="2" t="str">
        <f>HYPERLINK("http://www.otzar.org/book.asp?10601","רסיסי לילה")</f>
        <v>רסיסי לילה</v>
      </c>
    </row>
    <row r="39693" spans="1:6" x14ac:dyDescent="0.2">
      <c r="A39693" t="s">
        <v>60700</v>
      </c>
      <c r="B39693" t="s">
        <v>12253</v>
      </c>
      <c r="C39693" t="s">
        <v>383</v>
      </c>
      <c r="D39693" t="s">
        <v>1974</v>
      </c>
      <c r="E39693" t="s">
        <v>10</v>
      </c>
      <c r="F39693" s="2" t="str">
        <f>HYPERLINK("http://www.otzar.org/book.asp?154524","רסיסי תורה")</f>
        <v>רסיסי תורה</v>
      </c>
    </row>
    <row r="39694" spans="1:6" x14ac:dyDescent="0.2">
      <c r="A39694" t="s">
        <v>60701</v>
      </c>
      <c r="B39694" t="s">
        <v>206</v>
      </c>
      <c r="C39694" t="s">
        <v>114</v>
      </c>
      <c r="D39694" t="s">
        <v>14</v>
      </c>
      <c r="F39694" s="2" t="str">
        <f>HYPERLINK("http://www.otzar.org/book.asp?622659","רעדה יאחזון")</f>
        <v>רעדה יאחזון</v>
      </c>
    </row>
    <row r="39695" spans="1:6" x14ac:dyDescent="0.2">
      <c r="A39695" t="s">
        <v>60702</v>
      </c>
      <c r="B39695" t="s">
        <v>60703</v>
      </c>
      <c r="C39695" t="s">
        <v>1374</v>
      </c>
      <c r="D39695" t="s">
        <v>8647</v>
      </c>
      <c r="E39695" t="s">
        <v>234</v>
      </c>
      <c r="F39695" s="2" t="str">
        <f>HYPERLINK("http://www.otzar.org/book.asp?610488","רעדנער און דענקער - ב")</f>
        <v>רעדנער און דענקער - ב</v>
      </c>
    </row>
    <row r="39696" spans="1:6" x14ac:dyDescent="0.2">
      <c r="A39696" t="s">
        <v>60704</v>
      </c>
      <c r="B39696" t="s">
        <v>206</v>
      </c>
      <c r="C39696" t="s">
        <v>189</v>
      </c>
      <c r="D39696" t="s">
        <v>14</v>
      </c>
      <c r="E39696" t="s">
        <v>17698</v>
      </c>
      <c r="F39696" s="2" t="str">
        <f>HYPERLINK("http://www.otzar.org/book.asp?50547","רעוא דרעוין")</f>
        <v>רעוא דרעוין</v>
      </c>
    </row>
    <row r="39697" spans="1:6" x14ac:dyDescent="0.2">
      <c r="A39697" t="s">
        <v>60705</v>
      </c>
      <c r="B39697" t="s">
        <v>60706</v>
      </c>
      <c r="C39697" t="s">
        <v>68</v>
      </c>
      <c r="D39697" t="s">
        <v>412</v>
      </c>
      <c r="E39697" t="s">
        <v>246</v>
      </c>
      <c r="F39697" s="2" t="str">
        <f>HYPERLINK("http://www.otzar.org/book.asp?172042","רעוא דרעין")</f>
        <v>רעוא דרעין</v>
      </c>
    </row>
    <row r="39698" spans="1:6" x14ac:dyDescent="0.2">
      <c r="A39698" t="s">
        <v>60707</v>
      </c>
      <c r="B39698" t="s">
        <v>1791</v>
      </c>
      <c r="C39698" t="s">
        <v>533</v>
      </c>
      <c r="D39698" t="s">
        <v>14</v>
      </c>
      <c r="E39698" t="s">
        <v>1438</v>
      </c>
      <c r="F39698" s="2" t="str">
        <f>HYPERLINK("http://www.otzar.org/book.asp?6012","רעיא מהימנא &lt;נתיבות יאיר&gt; - 2 כר'")</f>
        <v>רעיא מהימנא &lt;נתיבות יאיר&gt; - 2 כר'</v>
      </c>
    </row>
    <row r="39699" spans="1:6" x14ac:dyDescent="0.2">
      <c r="A39699" t="s">
        <v>60708</v>
      </c>
      <c r="B39699" t="s">
        <v>25643</v>
      </c>
      <c r="C39699" t="s">
        <v>244</v>
      </c>
      <c r="D39699" t="s">
        <v>90</v>
      </c>
      <c r="F39699" s="2" t="str">
        <f>HYPERLINK("http://www.otzar.org/book.asp?199780","רעיא מהימנא - 5 כר'")</f>
        <v>רעיא מהימנא - 5 כר'</v>
      </c>
    </row>
    <row r="39700" spans="1:6" x14ac:dyDescent="0.2">
      <c r="A39700" t="s">
        <v>60709</v>
      </c>
      <c r="B39700" t="s">
        <v>23984</v>
      </c>
      <c r="C39700" t="s">
        <v>160</v>
      </c>
      <c r="D39700" t="s">
        <v>27</v>
      </c>
      <c r="E39700" t="s">
        <v>583</v>
      </c>
      <c r="F39700" s="2" t="str">
        <f>HYPERLINK("http://www.otzar.org/book.asp?107122","רעיונות במוסר והשקפה")</f>
        <v>רעיונות במוסר והשקפה</v>
      </c>
    </row>
    <row r="39701" spans="1:6" x14ac:dyDescent="0.2">
      <c r="A39701" t="s">
        <v>60710</v>
      </c>
      <c r="B39701" t="s">
        <v>37432</v>
      </c>
      <c r="C39701" t="s">
        <v>940</v>
      </c>
      <c r="D39701" t="s">
        <v>90</v>
      </c>
      <c r="E39701" t="s">
        <v>230</v>
      </c>
      <c r="F39701" s="2" t="str">
        <f>HYPERLINK("http://www.otzar.org/book.asp?173514","רעיונות במקרא - ב")</f>
        <v>רעיונות במקרא - ב</v>
      </c>
    </row>
    <row r="39702" spans="1:6" x14ac:dyDescent="0.2">
      <c r="A39702" t="s">
        <v>60711</v>
      </c>
      <c r="B39702" t="s">
        <v>51871</v>
      </c>
      <c r="C39702" t="s">
        <v>3840</v>
      </c>
      <c r="D39702" t="s">
        <v>9</v>
      </c>
      <c r="E39702" t="s">
        <v>158</v>
      </c>
      <c r="F39702" s="2" t="str">
        <f>HYPERLINK("http://www.otzar.org/book.asp?51800","רעיונות בראשית")</f>
        <v>רעיונות בראשית</v>
      </c>
    </row>
    <row r="39703" spans="1:6" x14ac:dyDescent="0.2">
      <c r="A39703" t="s">
        <v>60712</v>
      </c>
      <c r="B39703" t="s">
        <v>14039</v>
      </c>
      <c r="C39703" t="s">
        <v>2550</v>
      </c>
      <c r="D39703" t="s">
        <v>9</v>
      </c>
      <c r="E39703" t="s">
        <v>158</v>
      </c>
      <c r="F39703" s="2" t="str">
        <f>HYPERLINK("http://www.otzar.org/book.asp?107112","רעיונות וחמר לדרוש")</f>
        <v>רעיונות וחמר לדרוש</v>
      </c>
    </row>
    <row r="39704" spans="1:6" x14ac:dyDescent="0.2">
      <c r="A39704" t="s">
        <v>60713</v>
      </c>
      <c r="B39704" t="s">
        <v>3108</v>
      </c>
      <c r="C39704" t="s">
        <v>20</v>
      </c>
      <c r="D39704" t="s">
        <v>90</v>
      </c>
      <c r="E39704" t="s">
        <v>6688</v>
      </c>
      <c r="F39704" s="2" t="str">
        <f>HYPERLINK("http://www.otzar.org/book.asp?174545","רעיונות ומחשבות מאוצר הקבלה והחסידות - ב")</f>
        <v>רעיונות ומחשבות מאוצר הקבלה והחסידות - ב</v>
      </c>
    </row>
    <row r="39705" spans="1:6" x14ac:dyDescent="0.2">
      <c r="A39705" t="s">
        <v>60714</v>
      </c>
      <c r="B39705" t="s">
        <v>13942</v>
      </c>
      <c r="C39705" t="s">
        <v>71</v>
      </c>
      <c r="D39705" t="s">
        <v>14</v>
      </c>
      <c r="E39705" t="s">
        <v>158</v>
      </c>
      <c r="F39705" s="2" t="str">
        <f>HYPERLINK("http://www.otzar.org/book.asp?168738","רעיונות ומסרים לפרשת השבוע - 8 כר'")</f>
        <v>רעיונות ומסרים לפרשת השבוע - 8 כר'</v>
      </c>
    </row>
    <row r="39706" spans="1:6" x14ac:dyDescent="0.2">
      <c r="A39706" t="s">
        <v>60715</v>
      </c>
      <c r="B39706" t="s">
        <v>60716</v>
      </c>
      <c r="C39706" t="s">
        <v>286</v>
      </c>
      <c r="D39706" t="s">
        <v>699</v>
      </c>
      <c r="E39706" t="s">
        <v>158</v>
      </c>
      <c r="F39706" s="2" t="str">
        <f>HYPERLINK("http://www.otzar.org/book.asp?51799","רעיונות חיים - 2 כר'")</f>
        <v>רעיונות חיים - 2 כר'</v>
      </c>
    </row>
    <row r="39707" spans="1:6" x14ac:dyDescent="0.2">
      <c r="A39707" t="s">
        <v>60717</v>
      </c>
      <c r="B39707" t="s">
        <v>1091</v>
      </c>
      <c r="C39707" t="s">
        <v>146</v>
      </c>
      <c r="D39707" t="s">
        <v>14</v>
      </c>
      <c r="E39707" t="s">
        <v>104</v>
      </c>
      <c r="F39707" s="2" t="str">
        <f>HYPERLINK("http://www.otzar.org/book.asp?162814","רעיונות לדרוש")</f>
        <v>רעיונות לדרוש</v>
      </c>
    </row>
    <row r="39708" spans="1:6" x14ac:dyDescent="0.2">
      <c r="A39708" t="s">
        <v>60718</v>
      </c>
      <c r="B39708" t="s">
        <v>60719</v>
      </c>
      <c r="C39708" t="s">
        <v>390</v>
      </c>
      <c r="D39708" t="s">
        <v>412</v>
      </c>
      <c r="E39708" t="s">
        <v>158</v>
      </c>
      <c r="F39708" s="2" t="str">
        <f>HYPERLINK("http://www.otzar.org/book.asp?177052","רעיונות נתן")</f>
        <v>רעיונות נתן</v>
      </c>
    </row>
    <row r="39709" spans="1:6" x14ac:dyDescent="0.2">
      <c r="A39709" t="s">
        <v>60720</v>
      </c>
      <c r="B39709" t="s">
        <v>48910</v>
      </c>
      <c r="C39709" t="s">
        <v>581</v>
      </c>
      <c r="D39709" t="s">
        <v>56</v>
      </c>
      <c r="E39709" t="s">
        <v>3785</v>
      </c>
      <c r="F39709" s="2" t="str">
        <f>HYPERLINK("http://www.otzar.org/book.asp?149391","רעיונות על אבות")</f>
        <v>רעיונות על אבות</v>
      </c>
    </row>
    <row r="39710" spans="1:6" x14ac:dyDescent="0.2">
      <c r="A39710" t="s">
        <v>60721</v>
      </c>
      <c r="B39710" t="s">
        <v>60722</v>
      </c>
      <c r="C39710" t="s">
        <v>812</v>
      </c>
      <c r="D39710" t="s">
        <v>283</v>
      </c>
      <c r="E39710" t="s">
        <v>158</v>
      </c>
      <c r="F39710" s="2" t="str">
        <f>HYPERLINK("http://www.otzar.org/book.asp?20646","רעיוני תורה - בראשית")</f>
        <v>רעיוני תורה - בראשית</v>
      </c>
    </row>
    <row r="39711" spans="1:6" x14ac:dyDescent="0.2">
      <c r="A39711" t="s">
        <v>60723</v>
      </c>
      <c r="B39711" t="s">
        <v>13297</v>
      </c>
      <c r="C39711" t="s">
        <v>111</v>
      </c>
      <c r="D39711" t="s">
        <v>21</v>
      </c>
      <c r="F39711" s="2" t="str">
        <f>HYPERLINK("http://www.otzar.org/book.asp?619710","רעים אהובים")</f>
        <v>רעים אהובים</v>
      </c>
    </row>
    <row r="39712" spans="1:6" x14ac:dyDescent="0.2">
      <c r="A39712" t="s">
        <v>60724</v>
      </c>
      <c r="B39712" t="s">
        <v>60725</v>
      </c>
      <c r="C39712" t="s">
        <v>3690</v>
      </c>
      <c r="D39712" t="s">
        <v>60726</v>
      </c>
      <c r="E39712" t="s">
        <v>104</v>
      </c>
      <c r="F39712" s="2" t="str">
        <f>HYPERLINK("http://www.otzar.org/book.asp?196320","רעשים ורעמים")</f>
        <v>רעשים ורעמים</v>
      </c>
    </row>
    <row r="39713" spans="1:6" x14ac:dyDescent="0.2">
      <c r="A39713" t="s">
        <v>60727</v>
      </c>
      <c r="B39713" t="s">
        <v>60728</v>
      </c>
      <c r="C39713" t="s">
        <v>411</v>
      </c>
      <c r="D39713" t="s">
        <v>52</v>
      </c>
      <c r="E39713" t="s">
        <v>104</v>
      </c>
      <c r="F39713" s="2" t="str">
        <f>HYPERLINK("http://www.otzar.org/book.asp?166161","רפאה נפשי")</f>
        <v>רפאה נפשי</v>
      </c>
    </row>
    <row r="39714" spans="1:6" x14ac:dyDescent="0.2">
      <c r="A39714" t="s">
        <v>60729</v>
      </c>
      <c r="B39714" t="s">
        <v>31745</v>
      </c>
      <c r="C39714" t="s">
        <v>506</v>
      </c>
      <c r="D39714" t="s">
        <v>23043</v>
      </c>
      <c r="E39714" t="s">
        <v>241</v>
      </c>
      <c r="F39714" s="2" t="str">
        <f>HYPERLINK("http://www.otzar.org/book.asp?188604","רפאות התוגה וצרי הדאגה")</f>
        <v>רפאות התוגה וצרי הדאגה</v>
      </c>
    </row>
    <row r="39715" spans="1:6" x14ac:dyDescent="0.2">
      <c r="A39715" t="s">
        <v>60730</v>
      </c>
      <c r="B39715" t="s">
        <v>5667</v>
      </c>
      <c r="C39715" t="s">
        <v>360</v>
      </c>
      <c r="D39715" t="s">
        <v>225</v>
      </c>
      <c r="E39715" t="s">
        <v>1438</v>
      </c>
      <c r="F39715" s="2" t="str">
        <f>HYPERLINK("http://www.otzar.org/book.asp?200118","רפאל המלאך")</f>
        <v>רפאל המלאך</v>
      </c>
    </row>
    <row r="39716" spans="1:6" x14ac:dyDescent="0.2">
      <c r="A39716" t="s">
        <v>60731</v>
      </c>
      <c r="B39716" t="s">
        <v>60732</v>
      </c>
      <c r="C39716" t="s">
        <v>411</v>
      </c>
      <c r="D39716" t="s">
        <v>14</v>
      </c>
      <c r="E39716" t="s">
        <v>674</v>
      </c>
      <c r="F39716" s="2" t="str">
        <f>HYPERLINK("http://www.otzar.org/book.asp?170044","רפאל - א")</f>
        <v>רפאל - א</v>
      </c>
    </row>
    <row r="39717" spans="1:6" x14ac:dyDescent="0.2">
      <c r="A39717" t="s">
        <v>60733</v>
      </c>
      <c r="B39717" t="s">
        <v>401</v>
      </c>
      <c r="C39717" t="s">
        <v>5619</v>
      </c>
      <c r="D39717" t="s">
        <v>280</v>
      </c>
      <c r="E39717" t="s">
        <v>144</v>
      </c>
      <c r="F39717" s="2" t="str">
        <f>HYPERLINK("http://www.otzar.org/book.asp?101636","רפדוני בתפוחים - 3 כר'")</f>
        <v>רפדוני בתפוחים - 3 כר'</v>
      </c>
    </row>
    <row r="39718" spans="1:6" x14ac:dyDescent="0.2">
      <c r="A39718" t="s">
        <v>60734</v>
      </c>
      <c r="B39718" t="s">
        <v>17506</v>
      </c>
      <c r="C39718" t="s">
        <v>133</v>
      </c>
      <c r="D39718" t="s">
        <v>14</v>
      </c>
      <c r="E39718" t="s">
        <v>213</v>
      </c>
      <c r="F39718" s="2" t="str">
        <f>HYPERLINK("http://www.otzar.org/book.asp?180238","רפדוני בתפוחים - 5 כר'")</f>
        <v>רפדוני בתפוחים - 5 כר'</v>
      </c>
    </row>
    <row r="39719" spans="1:6" x14ac:dyDescent="0.2">
      <c r="A39719" t="s">
        <v>60735</v>
      </c>
      <c r="B39719" t="s">
        <v>7108</v>
      </c>
      <c r="C39719" t="s">
        <v>523</v>
      </c>
      <c r="D39719" t="s">
        <v>14</v>
      </c>
      <c r="E39719" t="s">
        <v>104</v>
      </c>
      <c r="F39719" s="2" t="str">
        <f>HYPERLINK("http://www.otzar.org/book.asp?606943","רפואה אתיקה והלכה - 4 כר'")</f>
        <v>רפואה אתיקה והלכה - 4 כר'</v>
      </c>
    </row>
    <row r="39720" spans="1:6" x14ac:dyDescent="0.2">
      <c r="A39720" t="s">
        <v>60736</v>
      </c>
      <c r="B39720" t="s">
        <v>28680</v>
      </c>
      <c r="C39720" t="s">
        <v>23</v>
      </c>
      <c r="D39720" t="s">
        <v>152</v>
      </c>
      <c r="F39720" s="2" t="str">
        <f>HYPERLINK("http://www.otzar.org/book.asp?614901","רפואה בהלכה")</f>
        <v>רפואה בהלכה</v>
      </c>
    </row>
    <row r="39721" spans="1:6" x14ac:dyDescent="0.2">
      <c r="A39721" t="s">
        <v>60737</v>
      </c>
      <c r="B39721" t="s">
        <v>49687</v>
      </c>
      <c r="C39721" t="s">
        <v>146</v>
      </c>
      <c r="D39721" t="s">
        <v>14</v>
      </c>
      <c r="E39721" t="s">
        <v>674</v>
      </c>
      <c r="F39721" s="2" t="str">
        <f>HYPERLINK("http://www.otzar.org/book.asp?143718","רפואה והלכה הלכה למעשה")</f>
        <v>רפואה והלכה הלכה למעשה</v>
      </c>
    </row>
    <row r="39722" spans="1:6" x14ac:dyDescent="0.2">
      <c r="A39722" t="s">
        <v>60738</v>
      </c>
      <c r="B39722" t="s">
        <v>10789</v>
      </c>
      <c r="C39722" t="s">
        <v>37</v>
      </c>
      <c r="D39722" t="s">
        <v>27</v>
      </c>
      <c r="E39722" t="s">
        <v>104</v>
      </c>
      <c r="F39722" s="2" t="str">
        <f>HYPERLINK("http://www.otzar.org/book.asp?196211","רפואה והלכה וכוונות התורה")</f>
        <v>רפואה והלכה וכוונות התורה</v>
      </c>
    </row>
    <row r="39723" spans="1:6" x14ac:dyDescent="0.2">
      <c r="A39723" t="s">
        <v>60739</v>
      </c>
      <c r="B39723" t="s">
        <v>2245</v>
      </c>
      <c r="C39723" t="s">
        <v>1535</v>
      </c>
      <c r="D39723" t="s">
        <v>27</v>
      </c>
      <c r="E39723" t="s">
        <v>1438</v>
      </c>
      <c r="F39723" s="2" t="str">
        <f>HYPERLINK("http://www.otzar.org/book.asp?13452","רפואה וחיים מירושלם")</f>
        <v>רפואה וחיים מירושלם</v>
      </c>
    </row>
    <row r="39724" spans="1:6" x14ac:dyDescent="0.2">
      <c r="A39724" t="s">
        <v>60740</v>
      </c>
      <c r="B39724" t="s">
        <v>155</v>
      </c>
      <c r="C39724" t="s">
        <v>603</v>
      </c>
      <c r="D39724" t="s">
        <v>157</v>
      </c>
      <c r="E39724" t="s">
        <v>1438</v>
      </c>
      <c r="F39724" s="2" t="str">
        <f>HYPERLINK("http://www.otzar.org/book.asp?6435","רפואה וחיים - 2 כר'")</f>
        <v>רפואה וחיים - 2 כר'</v>
      </c>
    </row>
    <row r="39725" spans="1:6" x14ac:dyDescent="0.2">
      <c r="A39725" t="s">
        <v>60741</v>
      </c>
      <c r="B39725" t="s">
        <v>60742</v>
      </c>
      <c r="C39725" t="s">
        <v>20</v>
      </c>
      <c r="D39725" t="s">
        <v>90</v>
      </c>
      <c r="E39725" t="s">
        <v>158</v>
      </c>
      <c r="F39725" s="2" t="str">
        <f>HYPERLINK("http://www.otzar.org/book.asp?606534","רפואה למכה")</f>
        <v>רפואה למכה</v>
      </c>
    </row>
    <row r="39726" spans="1:6" x14ac:dyDescent="0.2">
      <c r="A39726" t="s">
        <v>60743</v>
      </c>
      <c r="B39726" t="s">
        <v>49687</v>
      </c>
      <c r="C39726" t="s">
        <v>411</v>
      </c>
      <c r="D39726" t="s">
        <v>14</v>
      </c>
      <c r="E39726" t="s">
        <v>674</v>
      </c>
      <c r="F39726" s="2" t="str">
        <f>HYPERLINK("http://www.otzar.org/book.asp?188970","רפואה מציאות והלכה")</f>
        <v>רפואה מציאות והלכה</v>
      </c>
    </row>
    <row r="39727" spans="1:6" x14ac:dyDescent="0.2">
      <c r="A39727" t="s">
        <v>60744</v>
      </c>
      <c r="B39727" t="s">
        <v>21964</v>
      </c>
      <c r="C39727" t="s">
        <v>87</v>
      </c>
      <c r="D39727" t="s">
        <v>6865</v>
      </c>
      <c r="E39727" t="s">
        <v>15</v>
      </c>
      <c r="F39727" s="2" t="str">
        <f>HYPERLINK("http://www.otzar.org/book.asp?52202","רפואה משפט והלכה - ב")</f>
        <v>רפואה משפט והלכה - ב</v>
      </c>
    </row>
    <row r="39728" spans="1:6" x14ac:dyDescent="0.2">
      <c r="A39728" t="s">
        <v>60745</v>
      </c>
      <c r="B39728" t="s">
        <v>27875</v>
      </c>
      <c r="C39728" t="s">
        <v>366</v>
      </c>
      <c r="D39728" t="s">
        <v>90</v>
      </c>
      <c r="E39728" t="s">
        <v>158</v>
      </c>
      <c r="F39728" s="2" t="str">
        <f>HYPERLINK("http://www.otzar.org/book.asp?612293","רפואות העם - 2 כר'")</f>
        <v>רפואות העם - 2 כר'</v>
      </c>
    </row>
    <row r="39729" spans="1:6" x14ac:dyDescent="0.2">
      <c r="A39729" t="s">
        <v>60746</v>
      </c>
      <c r="B39729" t="s">
        <v>16585</v>
      </c>
      <c r="C39729" t="s">
        <v>2543</v>
      </c>
      <c r="D39729" t="s">
        <v>27</v>
      </c>
      <c r="E39729" t="s">
        <v>104</v>
      </c>
      <c r="F39729" s="2" t="str">
        <f>HYPERLINK("http://www.otzar.org/book.asp?188606","רפואות וסגולות")</f>
        <v>רפואות וסגולות</v>
      </c>
    </row>
    <row r="39730" spans="1:6" x14ac:dyDescent="0.2">
      <c r="A39730" t="s">
        <v>60747</v>
      </c>
      <c r="B39730" t="s">
        <v>60748</v>
      </c>
      <c r="C39730" t="s">
        <v>143</v>
      </c>
      <c r="D39730" t="s">
        <v>118</v>
      </c>
      <c r="E39730" t="s">
        <v>104</v>
      </c>
      <c r="F39730" s="2" t="str">
        <f>HYPERLINK("http://www.otzar.org/book.asp?180027","רפואות תימן - 3 כר'")</f>
        <v>רפואות תימן - 3 כר'</v>
      </c>
    </row>
    <row r="39731" spans="1:6" x14ac:dyDescent="0.2">
      <c r="A39731" t="s">
        <v>60749</v>
      </c>
      <c r="B39731" t="s">
        <v>31408</v>
      </c>
      <c r="C39731" t="s">
        <v>1284</v>
      </c>
      <c r="D39731" t="s">
        <v>4269</v>
      </c>
      <c r="E39731" t="s">
        <v>4455</v>
      </c>
      <c r="F39731" s="2" t="str">
        <f>HYPERLINK("http://www.otzar.org/book.asp?100761","רפואת הנפש א-ב")</f>
        <v>רפואת הנפש א-ב</v>
      </c>
    </row>
    <row r="39732" spans="1:6" x14ac:dyDescent="0.2">
      <c r="A39732" t="s">
        <v>60750</v>
      </c>
      <c r="B39732" t="s">
        <v>12726</v>
      </c>
      <c r="C39732" t="s">
        <v>87</v>
      </c>
      <c r="D39732" t="s">
        <v>14</v>
      </c>
      <c r="F39732" s="2" t="str">
        <f>HYPERLINK("http://www.otzar.org/book.asp?617381","רפואת הנפש הגוף והבית")</f>
        <v>רפואת הנפש הגוף והבית</v>
      </c>
    </row>
    <row r="39733" spans="1:6" x14ac:dyDescent="0.2">
      <c r="A39733" t="s">
        <v>60751</v>
      </c>
      <c r="B39733" t="s">
        <v>16597</v>
      </c>
      <c r="C39733" t="s">
        <v>71</v>
      </c>
      <c r="D39733" t="s">
        <v>721</v>
      </c>
      <c r="E39733" t="s">
        <v>241</v>
      </c>
      <c r="F39733" s="2" t="str">
        <f>HYPERLINK("http://www.otzar.org/book.asp?174495","רפואת הנפש")</f>
        <v>רפואת הנפש</v>
      </c>
    </row>
    <row r="39734" spans="1:6" x14ac:dyDescent="0.2">
      <c r="A39734" t="s">
        <v>60752</v>
      </c>
      <c r="B39734" t="s">
        <v>60753</v>
      </c>
      <c r="C39734" t="s">
        <v>624</v>
      </c>
      <c r="D39734" t="s">
        <v>52</v>
      </c>
      <c r="E39734" t="s">
        <v>148</v>
      </c>
      <c r="F39734" s="2" t="str">
        <f>HYPERLINK("http://www.otzar.org/book.asp?157897","רפידתו זהב - ריבית")</f>
        <v>רפידתו זהב - ריבית</v>
      </c>
    </row>
    <row r="39735" spans="1:6" x14ac:dyDescent="0.2">
      <c r="A39735" t="s">
        <v>60754</v>
      </c>
      <c r="B39735" t="s">
        <v>60755</v>
      </c>
      <c r="C39735" t="s">
        <v>20</v>
      </c>
      <c r="D39735" t="s">
        <v>4549</v>
      </c>
      <c r="E39735" t="s">
        <v>144</v>
      </c>
      <c r="F39735" s="2" t="str">
        <f>HYPERLINK("http://www.otzar.org/book.asp?623391","רפתא דחיא")</f>
        <v>רפתא דחיא</v>
      </c>
    </row>
    <row r="39736" spans="1:6" x14ac:dyDescent="0.2">
      <c r="A39736" t="s">
        <v>60756</v>
      </c>
      <c r="B39736" t="s">
        <v>26071</v>
      </c>
      <c r="C39736" t="s">
        <v>506</v>
      </c>
      <c r="D39736" t="s">
        <v>2295</v>
      </c>
      <c r="E39736" t="s">
        <v>674</v>
      </c>
      <c r="F39736" s="2" t="str">
        <f>HYPERLINK("http://www.otzar.org/book.asp?103736","רץ כצבי")</f>
        <v>רץ כצבי</v>
      </c>
    </row>
    <row r="39737" spans="1:6" x14ac:dyDescent="0.2">
      <c r="A39737" t="s">
        <v>60757</v>
      </c>
      <c r="B39737" t="s">
        <v>60758</v>
      </c>
      <c r="C39737" t="s">
        <v>13</v>
      </c>
      <c r="D39737" t="s">
        <v>3331</v>
      </c>
      <c r="E39737" t="s">
        <v>60759</v>
      </c>
      <c r="F39737" s="2" t="str">
        <f>HYPERLINK("http://www.otzar.org/book.asp?144972","רץ כצבי - 16 כר'")</f>
        <v>רץ כצבי - 16 כר'</v>
      </c>
    </row>
    <row r="39738" spans="1:6" x14ac:dyDescent="0.2">
      <c r="A39738" t="s">
        <v>60760</v>
      </c>
      <c r="B39738" t="s">
        <v>60761</v>
      </c>
      <c r="C39738" t="s">
        <v>802</v>
      </c>
      <c r="D39738" t="s">
        <v>1008</v>
      </c>
      <c r="E39738" t="s">
        <v>84</v>
      </c>
      <c r="F39738" s="2" t="str">
        <f>HYPERLINK("http://www.otzar.org/book.asp?16547","רץ למשנה")</f>
        <v>רץ למשנה</v>
      </c>
    </row>
    <row r="39739" spans="1:6" x14ac:dyDescent="0.2">
      <c r="A39739" t="s">
        <v>60762</v>
      </c>
      <c r="B39739" t="s">
        <v>60763</v>
      </c>
      <c r="C39739" t="s">
        <v>111</v>
      </c>
      <c r="D39739" t="s">
        <v>21</v>
      </c>
      <c r="E39739" t="s">
        <v>172</v>
      </c>
      <c r="F39739" s="2" t="str">
        <f>HYPERLINK("http://www.otzar.org/book.asp?621944","רצון אליהו - הלכות חלה")</f>
        <v>רצון אליהו - הלכות חלה</v>
      </c>
    </row>
    <row r="39740" spans="1:6" x14ac:dyDescent="0.2">
      <c r="A39740" t="s">
        <v>60764</v>
      </c>
      <c r="B39740" t="s">
        <v>206</v>
      </c>
      <c r="C39740" t="s">
        <v>90</v>
      </c>
      <c r="D39740" t="s">
        <v>20</v>
      </c>
      <c r="F39740" s="2" t="str">
        <f>HYPERLINK("http://www.otzar.org/book.asp?620697","רצון יראיו")</f>
        <v>רצון יראיו</v>
      </c>
    </row>
    <row r="39741" spans="1:6" x14ac:dyDescent="0.2">
      <c r="A39741" t="s">
        <v>60765</v>
      </c>
      <c r="B39741" t="s">
        <v>60766</v>
      </c>
      <c r="C39741" t="s">
        <v>1036</v>
      </c>
      <c r="D39741" t="s">
        <v>56</v>
      </c>
      <c r="E39741" t="s">
        <v>213</v>
      </c>
      <c r="F39741" s="2" t="str">
        <f>HYPERLINK("http://www.otzar.org/book.asp?188607","רצון יראים")</f>
        <v>רצון יראים</v>
      </c>
    </row>
    <row r="39742" spans="1:6" x14ac:dyDescent="0.2">
      <c r="A39742" t="s">
        <v>60767</v>
      </c>
      <c r="B39742" t="s">
        <v>23233</v>
      </c>
      <c r="C39742" t="s">
        <v>748</v>
      </c>
      <c r="D39742" t="s">
        <v>379</v>
      </c>
      <c r="E39742" t="s">
        <v>158</v>
      </c>
      <c r="F39742" s="2" t="str">
        <f>HYPERLINK("http://www.otzar.org/book.asp?20647","רצון ישראל - תהלים")</f>
        <v>רצון ישראל - תהלים</v>
      </c>
    </row>
    <row r="39743" spans="1:6" x14ac:dyDescent="0.2">
      <c r="A39743" t="s">
        <v>60768</v>
      </c>
      <c r="B39743" t="s">
        <v>60769</v>
      </c>
      <c r="C39743" t="s">
        <v>411</v>
      </c>
      <c r="D39743" t="s">
        <v>14</v>
      </c>
      <c r="E39743" t="s">
        <v>674</v>
      </c>
      <c r="F39743" s="2" t="str">
        <f>HYPERLINK("http://www.otzar.org/book.asp?165520","רצונך חפצתי")</f>
        <v>רצונך חפצתי</v>
      </c>
    </row>
    <row r="39744" spans="1:6" x14ac:dyDescent="0.2">
      <c r="A39744" t="s">
        <v>60770</v>
      </c>
      <c r="B39744" t="s">
        <v>107</v>
      </c>
      <c r="C39744" t="s">
        <v>176</v>
      </c>
      <c r="D39744" t="s">
        <v>14</v>
      </c>
      <c r="E39744" t="s">
        <v>104</v>
      </c>
      <c r="F39744" s="2" t="str">
        <f>HYPERLINK("http://www.otzar.org/book.asp?84035","רצועת עזה - ארץ פלשתים")</f>
        <v>רצועת עזה - ארץ פלשתים</v>
      </c>
    </row>
    <row r="39745" spans="1:6" x14ac:dyDescent="0.2">
      <c r="A39745" t="s">
        <v>60771</v>
      </c>
      <c r="B39745" t="s">
        <v>2023</v>
      </c>
      <c r="C39745" t="s">
        <v>16796</v>
      </c>
      <c r="D39745" t="s">
        <v>2290</v>
      </c>
      <c r="E39745" t="s">
        <v>1211</v>
      </c>
      <c r="F39745" s="2" t="str">
        <f>HYPERLINK("http://www.otzar.org/book.asp?100760","רצוף אהבה")</f>
        <v>רצוף אהבה</v>
      </c>
    </row>
    <row r="39746" spans="1:6" x14ac:dyDescent="0.2">
      <c r="A39746" t="s">
        <v>60772</v>
      </c>
      <c r="B39746" t="s">
        <v>10757</v>
      </c>
      <c r="C39746" t="s">
        <v>20</v>
      </c>
      <c r="D39746" t="s">
        <v>152</v>
      </c>
      <c r="E39746" t="s">
        <v>674</v>
      </c>
      <c r="F39746" s="2" t="str">
        <f>HYPERLINK("http://www.otzar.org/book.asp?601201","רצוף אהבה - ב")</f>
        <v>רצוף אהבה - ב</v>
      </c>
    </row>
    <row r="39747" spans="1:6" x14ac:dyDescent="0.2">
      <c r="A39747" t="s">
        <v>60771</v>
      </c>
      <c r="B39747" t="s">
        <v>60773</v>
      </c>
      <c r="D39747" t="s">
        <v>152</v>
      </c>
      <c r="E39747" t="s">
        <v>2153</v>
      </c>
      <c r="F39747" s="2" t="str">
        <f>HYPERLINK("http://www.otzar.org/book.asp?180658","רצוף אהבה")</f>
        <v>רצוף אהבה</v>
      </c>
    </row>
    <row r="39748" spans="1:6" x14ac:dyDescent="0.2">
      <c r="A39748" t="s">
        <v>60774</v>
      </c>
      <c r="B39748" t="s">
        <v>60775</v>
      </c>
      <c r="C39748" t="s">
        <v>843</v>
      </c>
      <c r="D39748" t="s">
        <v>563</v>
      </c>
      <c r="E39748" t="s">
        <v>5351</v>
      </c>
      <c r="F39748" s="2" t="str">
        <f>HYPERLINK("http://www.otzar.org/book.asp?181286","רקועי פחים")</f>
        <v>רקועי פחים</v>
      </c>
    </row>
    <row r="39749" spans="1:6" x14ac:dyDescent="0.2">
      <c r="A39749" t="s">
        <v>60776</v>
      </c>
      <c r="B39749" t="s">
        <v>10628</v>
      </c>
      <c r="C39749" t="s">
        <v>71</v>
      </c>
      <c r="D39749" t="s">
        <v>14</v>
      </c>
      <c r="E39749" t="s">
        <v>10893</v>
      </c>
      <c r="F39749" s="2" t="str">
        <f>HYPERLINK("http://www.otzar.org/book.asp?161874","רקיק אחד עם ענף שושן &lt;מהדורה חדשה&gt;")</f>
        <v>רקיק אחד עם ענף שושן &lt;מהדורה חדשה&gt;</v>
      </c>
    </row>
    <row r="39750" spans="1:6" x14ac:dyDescent="0.2">
      <c r="A39750" t="s">
        <v>60777</v>
      </c>
      <c r="B39750" t="s">
        <v>10628</v>
      </c>
      <c r="C39750" t="s">
        <v>224</v>
      </c>
      <c r="D39750" t="s">
        <v>6974</v>
      </c>
      <c r="E39750" t="s">
        <v>10893</v>
      </c>
      <c r="F39750" s="2" t="str">
        <f>HYPERLINK("http://www.otzar.org/book.asp?151683","רקיק אחד עם ענף שושן")</f>
        <v>רקיק אחד עם ענף שושן</v>
      </c>
    </row>
    <row r="39751" spans="1:6" x14ac:dyDescent="0.2">
      <c r="A39751" t="s">
        <v>60778</v>
      </c>
      <c r="B39751" t="s">
        <v>60779</v>
      </c>
      <c r="C39751" t="s">
        <v>940</v>
      </c>
      <c r="D39751" t="s">
        <v>14</v>
      </c>
      <c r="E39751" t="s">
        <v>158</v>
      </c>
      <c r="F39751" s="2" t="str">
        <f>HYPERLINK("http://www.otzar.org/book.asp?143982","רש""י השלם &lt;אריאל&gt; - 8 כר'")</f>
        <v>רש"י השלם &lt;אריאל&gt; - 8 כר'</v>
      </c>
    </row>
    <row r="39752" spans="1:6" x14ac:dyDescent="0.2">
      <c r="A39752" t="s">
        <v>60780</v>
      </c>
      <c r="B39752" t="s">
        <v>24874</v>
      </c>
      <c r="C39752" t="s">
        <v>46</v>
      </c>
      <c r="D39752" t="s">
        <v>27</v>
      </c>
      <c r="E39752" t="s">
        <v>104</v>
      </c>
      <c r="F39752" s="2" t="str">
        <f>HYPERLINK("http://www.otzar.org/book.asp?155760","רש""י וירושלמי")</f>
        <v>רש"י וירושלמי</v>
      </c>
    </row>
    <row r="39753" spans="1:6" x14ac:dyDescent="0.2">
      <c r="A39753" t="s">
        <v>60781</v>
      </c>
      <c r="B39753" t="s">
        <v>5078</v>
      </c>
      <c r="C39753" t="s">
        <v>71</v>
      </c>
      <c r="D39753" t="s">
        <v>52</v>
      </c>
      <c r="E39753" t="s">
        <v>119</v>
      </c>
      <c r="F39753" s="2" t="str">
        <f>HYPERLINK("http://www.otzar.org/book.asp?143470","רש""י חייו ופירושיו - 4 כר'")</f>
        <v>רש"י חייו ופירושיו - 4 כר'</v>
      </c>
    </row>
    <row r="39754" spans="1:6" x14ac:dyDescent="0.2">
      <c r="A39754" t="s">
        <v>60782</v>
      </c>
      <c r="B39754" t="s">
        <v>60783</v>
      </c>
      <c r="C39754" t="s">
        <v>1228</v>
      </c>
      <c r="D39754" t="s">
        <v>6042</v>
      </c>
      <c r="E39754" t="s">
        <v>158</v>
      </c>
      <c r="F39754" s="2" t="str">
        <f>HYPERLINK("http://www.otzar.org/book.asp?53574","רש""י על התורה עם פירוש זכור לאברהם - 3 כר'")</f>
        <v>רש"י על התורה עם פירוש זכור לאברהם - 3 כר'</v>
      </c>
    </row>
    <row r="39755" spans="1:6" x14ac:dyDescent="0.2">
      <c r="A39755" t="s">
        <v>60784</v>
      </c>
      <c r="B39755" t="s">
        <v>5332</v>
      </c>
      <c r="C39755" t="s">
        <v>60785</v>
      </c>
      <c r="D39755" t="s">
        <v>46376</v>
      </c>
      <c r="F39755" s="2" t="str">
        <f>HYPERLINK("http://www.otzar.org/book.asp?164781","רש""י על חמשה חומשי תורה")</f>
        <v>רש"י על חמשה חומשי תורה</v>
      </c>
    </row>
    <row r="39756" spans="1:6" x14ac:dyDescent="0.2">
      <c r="A39756" t="s">
        <v>60786</v>
      </c>
      <c r="B39756" t="s">
        <v>60787</v>
      </c>
      <c r="C39756" t="s">
        <v>1954</v>
      </c>
      <c r="D39756" t="s">
        <v>260</v>
      </c>
      <c r="E39756" t="s">
        <v>119</v>
      </c>
      <c r="F39756" s="2" t="str">
        <f>HYPERLINK("http://www.otzar.org/book.asp?166194","רש""י")</f>
        <v>רש"י</v>
      </c>
    </row>
    <row r="39757" spans="1:6" x14ac:dyDescent="0.2">
      <c r="A39757" t="s">
        <v>60786</v>
      </c>
      <c r="B39757" t="s">
        <v>60788</v>
      </c>
      <c r="C39757" t="s">
        <v>1470</v>
      </c>
      <c r="D39757" t="s">
        <v>260</v>
      </c>
      <c r="E39757" t="s">
        <v>119</v>
      </c>
      <c r="F39757" s="2" t="str">
        <f>HYPERLINK("http://www.otzar.org/book.asp?605067","רש""י")</f>
        <v>רש"י</v>
      </c>
    </row>
    <row r="39758" spans="1:6" x14ac:dyDescent="0.2">
      <c r="A39758" t="s">
        <v>60786</v>
      </c>
      <c r="B39758" t="s">
        <v>21177</v>
      </c>
      <c r="C39758" t="s">
        <v>1954</v>
      </c>
      <c r="D39758" t="s">
        <v>260</v>
      </c>
      <c r="E39758" t="s">
        <v>119</v>
      </c>
      <c r="F39758" s="2" t="str">
        <f>HYPERLINK("http://www.otzar.org/book.asp?171458","רש""י")</f>
        <v>רש"י</v>
      </c>
    </row>
    <row r="39759" spans="1:6" x14ac:dyDescent="0.2">
      <c r="A39759" t="s">
        <v>60789</v>
      </c>
      <c r="B39759" t="s">
        <v>60787</v>
      </c>
      <c r="C39759" t="s">
        <v>1609</v>
      </c>
      <c r="D39759" t="s">
        <v>260</v>
      </c>
      <c r="F39759" s="2" t="str">
        <f>HYPERLINK("http://www.otzar.org/book.asp?156168","רשב""י")</f>
        <v>רשב"י</v>
      </c>
    </row>
    <row r="39760" spans="1:6" x14ac:dyDescent="0.2">
      <c r="A39760" t="s">
        <v>60790</v>
      </c>
      <c r="B39760" t="s">
        <v>17395</v>
      </c>
      <c r="C39760" t="s">
        <v>785</v>
      </c>
      <c r="D39760" t="s">
        <v>412</v>
      </c>
      <c r="F39760" s="2" t="str">
        <f>HYPERLINK("http://www.otzar.org/book.asp?618932","רשויות ועירובין")</f>
        <v>רשויות ועירובין</v>
      </c>
    </row>
    <row r="39761" spans="1:6" x14ac:dyDescent="0.2">
      <c r="A39761" t="s">
        <v>60791</v>
      </c>
      <c r="B39761" t="s">
        <v>60009</v>
      </c>
      <c r="C39761" t="s">
        <v>356</v>
      </c>
      <c r="D39761" t="s">
        <v>14</v>
      </c>
      <c r="E39761" t="s">
        <v>158</v>
      </c>
      <c r="F39761" s="2" t="str">
        <f>HYPERLINK("http://www.otzar.org/book.asp?164293","רשויות לפרשיות התורה")</f>
        <v>רשויות לפרשיות התורה</v>
      </c>
    </row>
    <row r="39762" spans="1:6" x14ac:dyDescent="0.2">
      <c r="A39762" t="s">
        <v>60792</v>
      </c>
      <c r="B39762" t="s">
        <v>11560</v>
      </c>
      <c r="C39762" t="s">
        <v>422</v>
      </c>
      <c r="D39762" t="s">
        <v>152</v>
      </c>
      <c r="E39762" t="s">
        <v>15</v>
      </c>
      <c r="F39762" s="2" t="str">
        <f>HYPERLINK("http://www.otzar.org/book.asp?192865","רשויות שבת")</f>
        <v>רשויות שבת</v>
      </c>
    </row>
    <row r="39763" spans="1:6" x14ac:dyDescent="0.2">
      <c r="A39763" t="s">
        <v>60793</v>
      </c>
      <c r="B39763" t="s">
        <v>60794</v>
      </c>
      <c r="C39763" t="s">
        <v>581</v>
      </c>
      <c r="D39763" t="s">
        <v>39392</v>
      </c>
      <c r="E39763" t="s">
        <v>213</v>
      </c>
      <c r="F39763" s="2" t="str">
        <f>HYPERLINK("http://www.otzar.org/book.asp?188608","רשומות וזכרונות")</f>
        <v>רשומות וזכרונות</v>
      </c>
    </row>
    <row r="39764" spans="1:6" x14ac:dyDescent="0.2">
      <c r="A39764" t="s">
        <v>60795</v>
      </c>
      <c r="B39764" t="s">
        <v>776</v>
      </c>
      <c r="C39764" t="s">
        <v>3106</v>
      </c>
      <c r="D39764" t="s">
        <v>27</v>
      </c>
      <c r="E39764" t="s">
        <v>104</v>
      </c>
      <c r="F39764" s="2" t="str">
        <f>HYPERLINK("http://www.otzar.org/book.asp?146803","רשומי חן")</f>
        <v>רשומי חן</v>
      </c>
    </row>
    <row r="39765" spans="1:6" x14ac:dyDescent="0.2">
      <c r="A39765" t="s">
        <v>60796</v>
      </c>
      <c r="B39765" t="s">
        <v>4423</v>
      </c>
      <c r="D39765" t="s">
        <v>870</v>
      </c>
      <c r="E39765" t="s">
        <v>246</v>
      </c>
      <c r="F39765" s="2" t="str">
        <f>HYPERLINK("http://www.otzar.org/book.asp?605856","רשימא דהגדתא")</f>
        <v>רשימא דהגדתא</v>
      </c>
    </row>
    <row r="39766" spans="1:6" x14ac:dyDescent="0.2">
      <c r="A39766" t="s">
        <v>60797</v>
      </c>
      <c r="B39766" t="s">
        <v>4423</v>
      </c>
      <c r="D39766" t="s">
        <v>870</v>
      </c>
      <c r="E39766" t="s">
        <v>230</v>
      </c>
      <c r="F39766" s="2" t="str">
        <f>HYPERLINK("http://www.otzar.org/book.asp?605855","רשימא דמגילתא")</f>
        <v>רשימא דמגילתא</v>
      </c>
    </row>
    <row r="39767" spans="1:6" x14ac:dyDescent="0.2">
      <c r="A39767" t="s">
        <v>60798</v>
      </c>
      <c r="B39767" t="s">
        <v>15154</v>
      </c>
      <c r="C39767" t="s">
        <v>3840</v>
      </c>
      <c r="D39767" t="s">
        <v>412</v>
      </c>
      <c r="F39767" s="2" t="str">
        <f>HYPERLINK("http://www.otzar.org/book.asp?620902","רשימה ליקוטי דיבורים של סעודת פורים תשי""א")</f>
        <v>רשימה ליקוטי דיבורים של סעודת פורים תשי"א</v>
      </c>
    </row>
    <row r="39768" spans="1:6" x14ac:dyDescent="0.2">
      <c r="A39768" t="s">
        <v>60799</v>
      </c>
      <c r="B39768" t="s">
        <v>45285</v>
      </c>
      <c r="C39768" t="s">
        <v>129</v>
      </c>
      <c r="D39768" t="s">
        <v>52</v>
      </c>
      <c r="E39768" t="s">
        <v>144</v>
      </c>
      <c r="F39768" s="2" t="str">
        <f>HYPERLINK("http://www.otzar.org/book.asp?145331","רשימות בגיטין")</f>
        <v>רשימות בגיטין</v>
      </c>
    </row>
    <row r="39769" spans="1:6" x14ac:dyDescent="0.2">
      <c r="A39769" t="s">
        <v>60800</v>
      </c>
      <c r="B39769" t="s">
        <v>60801</v>
      </c>
      <c r="C39769" t="s">
        <v>366</v>
      </c>
      <c r="D39769" t="s">
        <v>21</v>
      </c>
      <c r="F39769" s="2" t="str">
        <f>HYPERLINK("http://www.otzar.org/book.asp?604977","רשימות ביסודי הדת והדעת")</f>
        <v>רשימות ביסודי הדת והדעת</v>
      </c>
    </row>
    <row r="39770" spans="1:6" x14ac:dyDescent="0.2">
      <c r="A39770" t="s">
        <v>60802</v>
      </c>
      <c r="B39770" t="s">
        <v>60801</v>
      </c>
      <c r="C39770" t="s">
        <v>37</v>
      </c>
      <c r="D39770" t="s">
        <v>14</v>
      </c>
      <c r="E39770" t="s">
        <v>144</v>
      </c>
      <c r="F39770" s="2" t="str">
        <f>HYPERLINK("http://www.otzar.org/book.asp?180657","רשימות במסכת ראש השנה")</f>
        <v>רשימות במסכת ראש השנה</v>
      </c>
    </row>
    <row r="39771" spans="1:6" x14ac:dyDescent="0.2">
      <c r="A39771" t="s">
        <v>60803</v>
      </c>
      <c r="B39771" t="s">
        <v>10622</v>
      </c>
      <c r="C39771" t="s">
        <v>366</v>
      </c>
      <c r="D39771" t="s">
        <v>90</v>
      </c>
      <c r="F39771" s="2" t="str">
        <f>HYPERLINK("http://www.otzar.org/book.asp?608202","רשימות במסכת - 6 כר'")</f>
        <v>רשימות במסכת - 6 כר'</v>
      </c>
    </row>
    <row r="39772" spans="1:6" x14ac:dyDescent="0.2">
      <c r="A39772" t="s">
        <v>60804</v>
      </c>
      <c r="B39772" t="s">
        <v>60805</v>
      </c>
      <c r="C39772" t="s">
        <v>422</v>
      </c>
      <c r="D39772" t="s">
        <v>14</v>
      </c>
      <c r="E39772" t="s">
        <v>144</v>
      </c>
      <c r="F39772" s="2" t="str">
        <f>HYPERLINK("http://www.otzar.org/book.asp?153090","רשימות בסוגיות דחזקות")</f>
        <v>רשימות בסוגיות דחזקות</v>
      </c>
    </row>
    <row r="39773" spans="1:6" x14ac:dyDescent="0.2">
      <c r="A39773" t="s">
        <v>60806</v>
      </c>
      <c r="B39773" t="s">
        <v>60805</v>
      </c>
      <c r="C39773" t="s">
        <v>129</v>
      </c>
      <c r="D39773" t="s">
        <v>14</v>
      </c>
      <c r="E39773" t="s">
        <v>144</v>
      </c>
      <c r="F39773" s="2" t="str">
        <f>HYPERLINK("http://www.otzar.org/book.asp?153091","רשימות בסוגיות דמיטב")</f>
        <v>רשימות בסוגיות דמיטב</v>
      </c>
    </row>
    <row r="39774" spans="1:6" x14ac:dyDescent="0.2">
      <c r="A39774" t="s">
        <v>60807</v>
      </c>
      <c r="B39774" t="s">
        <v>60808</v>
      </c>
      <c r="C39774" t="s">
        <v>111</v>
      </c>
      <c r="D39774" t="s">
        <v>1356</v>
      </c>
      <c r="F39774" s="2" t="str">
        <f>HYPERLINK("http://www.otzar.org/book.asp?619387","רשימות בפרשת השבוע")</f>
        <v>רשימות בפרשת השבוע</v>
      </c>
    </row>
    <row r="39775" spans="1:6" x14ac:dyDescent="0.2">
      <c r="A39775" t="s">
        <v>60809</v>
      </c>
      <c r="B39775" t="s">
        <v>60810</v>
      </c>
      <c r="C39775" t="s">
        <v>366</v>
      </c>
      <c r="D39775" t="s">
        <v>152</v>
      </c>
      <c r="F39775" s="2" t="str">
        <f>HYPERLINK("http://www.otzar.org/book.asp?609642","רשימות זכרונות &lt;מהאמונת משה והאמרי מנחם&gt;")</f>
        <v>רשימות זכרונות &lt;מהאמונת משה והאמרי מנחם&gt;</v>
      </c>
    </row>
    <row r="39776" spans="1:6" x14ac:dyDescent="0.2">
      <c r="A39776" t="s">
        <v>60811</v>
      </c>
      <c r="B39776" t="s">
        <v>15154</v>
      </c>
      <c r="C39776" t="s">
        <v>466</v>
      </c>
      <c r="D39776" t="s">
        <v>412</v>
      </c>
      <c r="E39776" t="s">
        <v>467</v>
      </c>
      <c r="F39776" s="2" t="str">
        <f>HYPERLINK("http://www.otzar.org/book.asp?154395","רשימות לב - 7 כר'")</f>
        <v>רשימות לב - 7 כר'</v>
      </c>
    </row>
    <row r="39777" spans="1:6" x14ac:dyDescent="0.2">
      <c r="A39777" t="s">
        <v>60812</v>
      </c>
      <c r="B39777" t="s">
        <v>1750</v>
      </c>
      <c r="C39777" t="s">
        <v>71</v>
      </c>
      <c r="D39777" t="s">
        <v>52</v>
      </c>
      <c r="E39777" t="s">
        <v>750</v>
      </c>
      <c r="F39777" s="2" t="str">
        <f>HYPERLINK("http://www.otzar.org/book.asp?143107","רשימות מהועד (כולל מכתב מאליהו) - 16 כר'")</f>
        <v>רשימות מהועד (כולל מכתב מאליהו) - 16 כר'</v>
      </c>
    </row>
    <row r="39778" spans="1:6" x14ac:dyDescent="0.2">
      <c r="A39778" t="s">
        <v>60813</v>
      </c>
      <c r="B39778" t="s">
        <v>7782</v>
      </c>
      <c r="C39778" t="s">
        <v>20</v>
      </c>
      <c r="D39778" t="s">
        <v>90</v>
      </c>
      <c r="E39778" t="s">
        <v>158</v>
      </c>
      <c r="F39778" s="2" t="str">
        <f>HYPERLINK("http://www.otzar.org/book.asp?172219","רשימות משיעורי הרה""צ חיים הכהן שליט""א")</f>
        <v>רשימות משיעורי הרה"צ חיים הכהן שליט"א</v>
      </c>
    </row>
    <row r="39779" spans="1:6" x14ac:dyDescent="0.2">
      <c r="A39779" t="s">
        <v>60814</v>
      </c>
      <c r="B39779" t="s">
        <v>1333</v>
      </c>
      <c r="C39779" t="s">
        <v>313</v>
      </c>
      <c r="D39779" t="s">
        <v>52</v>
      </c>
      <c r="E39779" t="s">
        <v>144</v>
      </c>
      <c r="F39779" s="2" t="str">
        <f>HYPERLINK("http://www.otzar.org/book.asp?28014","רשימות קה""י")</f>
        <v>רשימות קה"י</v>
      </c>
    </row>
    <row r="39780" spans="1:6" x14ac:dyDescent="0.2">
      <c r="A39780" t="s">
        <v>60815</v>
      </c>
      <c r="B39780" t="s">
        <v>9229</v>
      </c>
      <c r="C39780" t="s">
        <v>466</v>
      </c>
      <c r="D39780" t="s">
        <v>14</v>
      </c>
      <c r="E39780" t="s">
        <v>144</v>
      </c>
      <c r="F39780" s="2" t="str">
        <f>HYPERLINK("http://www.otzar.org/book.asp?61460","רשימות שיעורים")</f>
        <v>רשימות שיעורים</v>
      </c>
    </row>
    <row r="39781" spans="1:6" x14ac:dyDescent="0.2">
      <c r="A39781" t="s">
        <v>60816</v>
      </c>
      <c r="B39781" t="s">
        <v>54803</v>
      </c>
      <c r="C39781" t="s">
        <v>133</v>
      </c>
      <c r="D39781" t="s">
        <v>52</v>
      </c>
      <c r="E39781" t="s">
        <v>144</v>
      </c>
      <c r="F39781" s="2" t="str">
        <f>HYPERLINK("http://www.otzar.org/book.asp?605955","רשימות שיעורים - 6 כר'")</f>
        <v>רשימות שיעורים - 6 כר'</v>
      </c>
    </row>
    <row r="39782" spans="1:6" x14ac:dyDescent="0.2">
      <c r="A39782" t="s">
        <v>60817</v>
      </c>
      <c r="B39782" t="s">
        <v>36226</v>
      </c>
      <c r="C39782" t="s">
        <v>313</v>
      </c>
      <c r="D39782" t="s">
        <v>14</v>
      </c>
      <c r="E39782" t="s">
        <v>144</v>
      </c>
      <c r="F39782" s="2" t="str">
        <f>HYPERLINK("http://www.otzar.org/book.asp?153525","רשימות שיעורים - 7 כר'")</f>
        <v>רשימות שיעורים - 7 כר'</v>
      </c>
    </row>
    <row r="39783" spans="1:6" x14ac:dyDescent="0.2">
      <c r="A39783" t="s">
        <v>60818</v>
      </c>
      <c r="B39783" t="s">
        <v>60819</v>
      </c>
      <c r="C39783" t="s">
        <v>87</v>
      </c>
      <c r="D39783" t="s">
        <v>216</v>
      </c>
      <c r="E39783" t="s">
        <v>104</v>
      </c>
      <c r="F39783" s="2" t="str">
        <f>HYPERLINK("http://www.otzar.org/book.asp?177204","רשימות שנות דור")</f>
        <v>רשימות שנות דור</v>
      </c>
    </row>
    <row r="39784" spans="1:6" x14ac:dyDescent="0.2">
      <c r="A39784" t="s">
        <v>60820</v>
      </c>
      <c r="B39784" t="s">
        <v>60821</v>
      </c>
      <c r="C39784" t="s">
        <v>23</v>
      </c>
      <c r="D39784" t="s">
        <v>52</v>
      </c>
      <c r="F39784" s="2" t="str">
        <f>HYPERLINK("http://www.otzar.org/book.asp?199277","רשימות - 8 כר'")</f>
        <v>רשימות - 8 כר'</v>
      </c>
    </row>
    <row r="39785" spans="1:6" x14ac:dyDescent="0.2">
      <c r="A39785" t="s">
        <v>60822</v>
      </c>
      <c r="B39785" t="s">
        <v>60823</v>
      </c>
      <c r="C39785" t="s">
        <v>248</v>
      </c>
      <c r="D39785" t="s">
        <v>744</v>
      </c>
      <c r="E39785" t="s">
        <v>119</v>
      </c>
      <c r="F39785" s="2" t="str">
        <f>HYPERLINK("http://www.otzar.org/book.asp?151859","רשימת אנשי מופת")</f>
        <v>רשימת אנשי מופת</v>
      </c>
    </row>
    <row r="39786" spans="1:6" x14ac:dyDescent="0.2">
      <c r="A39786" t="s">
        <v>60824</v>
      </c>
      <c r="B39786" t="s">
        <v>60825</v>
      </c>
      <c r="C39786" t="s">
        <v>286</v>
      </c>
      <c r="D39786" t="s">
        <v>974</v>
      </c>
      <c r="E39786" t="s">
        <v>104</v>
      </c>
      <c r="F39786" s="2" t="str">
        <f>HYPERLINK("http://www.otzar.org/book.asp?168047","רשימת בית אוצר הספרים")</f>
        <v>רשימת בית אוצר הספרים</v>
      </c>
    </row>
    <row r="39787" spans="1:6" x14ac:dyDescent="0.2">
      <c r="A39787" t="s">
        <v>60826</v>
      </c>
      <c r="B39787" t="s">
        <v>31969</v>
      </c>
      <c r="C39787" t="s">
        <v>585</v>
      </c>
      <c r="D39787" t="s">
        <v>14</v>
      </c>
      <c r="E39787" t="s">
        <v>104</v>
      </c>
      <c r="F39787" s="2" t="str">
        <f>HYPERLINK("http://www.otzar.org/book.asp?171092","רשימת בתי הכנסת בירושלים")</f>
        <v>רשימת בתי הכנסת בירושלים</v>
      </c>
    </row>
    <row r="39788" spans="1:6" x14ac:dyDescent="0.2">
      <c r="A39788" t="s">
        <v>60827</v>
      </c>
      <c r="B39788" t="s">
        <v>60828</v>
      </c>
      <c r="C39788" t="s">
        <v>362</v>
      </c>
      <c r="D39788" t="s">
        <v>5615</v>
      </c>
      <c r="E39788" t="s">
        <v>1164</v>
      </c>
      <c r="F39788" s="2" t="str">
        <f>HYPERLINK("http://www.otzar.org/book.asp?104336","רשימת הגדות פסח")</f>
        <v>רשימת הגדות פסח</v>
      </c>
    </row>
    <row r="39789" spans="1:6" x14ac:dyDescent="0.2">
      <c r="A39789" t="s">
        <v>60829</v>
      </c>
      <c r="B39789" t="s">
        <v>20701</v>
      </c>
      <c r="C39789" t="s">
        <v>438</v>
      </c>
      <c r="D39789" t="s">
        <v>21</v>
      </c>
      <c r="E39789" t="s">
        <v>158</v>
      </c>
      <c r="F39789" s="2" t="str">
        <f>HYPERLINK("http://www.otzar.org/book.asp?602575","רשימת ההפטרות - מתוך האנצקלופדיה התלמודית")</f>
        <v>רשימת ההפטרות - מתוך האנצקלופדיה התלמודית</v>
      </c>
    </row>
    <row r="39790" spans="1:6" x14ac:dyDescent="0.2">
      <c r="A39790" t="s">
        <v>60830</v>
      </c>
      <c r="B39790" t="s">
        <v>47989</v>
      </c>
      <c r="C39790" t="s">
        <v>442</v>
      </c>
      <c r="D39790" t="s">
        <v>27</v>
      </c>
      <c r="E39790" t="s">
        <v>733</v>
      </c>
      <c r="F39790" s="2" t="str">
        <f>HYPERLINK("http://www.otzar.org/book.asp?189647","רשימת הנדבות - 5 כר'")</f>
        <v>רשימת הנדבות - 5 כר'</v>
      </c>
    </row>
    <row r="39791" spans="1:6" x14ac:dyDescent="0.2">
      <c r="A39791" t="s">
        <v>60831</v>
      </c>
      <c r="B39791" t="s">
        <v>2398</v>
      </c>
      <c r="C39791" t="s">
        <v>63</v>
      </c>
      <c r="D39791" t="s">
        <v>14</v>
      </c>
      <c r="E39791" t="s">
        <v>104</v>
      </c>
      <c r="F39791" s="2" t="str">
        <f>HYPERLINK("http://www.otzar.org/book.asp?175761","רשימת הספרים על שביעית")</f>
        <v>רשימת הספרים על שביעית</v>
      </c>
    </row>
    <row r="39792" spans="1:6" x14ac:dyDescent="0.2">
      <c r="A39792" t="s">
        <v>60832</v>
      </c>
      <c r="B39792" t="s">
        <v>60833</v>
      </c>
      <c r="C39792" t="s">
        <v>523</v>
      </c>
      <c r="D39792" t="s">
        <v>412</v>
      </c>
      <c r="E39792" t="s">
        <v>104</v>
      </c>
      <c r="F39792" s="2" t="str">
        <f>HYPERLINK("http://www.otzar.org/book.asp?160907","רשימת הספרים שנדפסו אצל ""קופי-קורנר""")</f>
        <v>רשימת הספרים שנדפסו אצל "קופי-קורנר"</v>
      </c>
    </row>
    <row r="39793" spans="1:6" x14ac:dyDescent="0.2">
      <c r="A39793" t="s">
        <v>60834</v>
      </c>
      <c r="B39793" t="s">
        <v>60835</v>
      </c>
      <c r="C39793" t="s">
        <v>908</v>
      </c>
      <c r="D39793" t="s">
        <v>27</v>
      </c>
      <c r="E39793" t="s">
        <v>104</v>
      </c>
      <c r="F39793" s="2" t="str">
        <f>HYPERLINK("http://www.otzar.org/book.asp?175850","רשימת כתבי היד העבריים")</f>
        <v>רשימת כתבי היד העבריים</v>
      </c>
    </row>
    <row r="39794" spans="1:6" x14ac:dyDescent="0.2">
      <c r="A39794" t="s">
        <v>60836</v>
      </c>
      <c r="B39794" t="s">
        <v>9348</v>
      </c>
      <c r="C39794" t="s">
        <v>20</v>
      </c>
      <c r="D39794" t="s">
        <v>2468</v>
      </c>
      <c r="E39794" t="s">
        <v>104</v>
      </c>
      <c r="F39794" s="2" t="str">
        <f>HYPERLINK("http://www.otzar.org/book.asp?162042","רשימת מאמרים ופתגמים")</f>
        <v>רשימת מאמרים ופתגמים</v>
      </c>
    </row>
    <row r="39795" spans="1:6" x14ac:dyDescent="0.2">
      <c r="A39795" t="s">
        <v>60837</v>
      </c>
      <c r="B39795" t="s">
        <v>60838</v>
      </c>
      <c r="C39795" t="s">
        <v>133</v>
      </c>
      <c r="D39795" t="s">
        <v>118</v>
      </c>
      <c r="E39795" t="s">
        <v>202</v>
      </c>
      <c r="F39795" s="2" t="str">
        <f>HYPERLINK("http://www.otzar.org/book.asp?179936","רשימת סטפנסקי לספרי חסידות")</f>
        <v>רשימת סטפנסקי לספרי חסידות</v>
      </c>
    </row>
    <row r="39796" spans="1:6" x14ac:dyDescent="0.2">
      <c r="A39796" t="s">
        <v>60839</v>
      </c>
      <c r="B39796" t="s">
        <v>60840</v>
      </c>
      <c r="C39796" t="s">
        <v>60841</v>
      </c>
      <c r="D39796" t="s">
        <v>27</v>
      </c>
      <c r="E39796" t="s">
        <v>104</v>
      </c>
      <c r="F39796" s="2" t="str">
        <f>HYPERLINK("http://www.otzar.org/book.asp?602415","רשימת תצלומי כתבי - 3 כר'")</f>
        <v>רשימת תצלומי כתבי - 3 כר'</v>
      </c>
    </row>
    <row r="39797" spans="1:6" x14ac:dyDescent="0.2">
      <c r="A39797" t="s">
        <v>60842</v>
      </c>
      <c r="B39797" t="s">
        <v>60843</v>
      </c>
      <c r="C39797" t="s">
        <v>151</v>
      </c>
      <c r="D39797" t="s">
        <v>14</v>
      </c>
      <c r="F39797" s="2" t="str">
        <f>HYPERLINK("http://www.otzar.org/book.asp?619291","רשמי דעת")</f>
        <v>רשמי דעת</v>
      </c>
    </row>
    <row r="39798" spans="1:6" x14ac:dyDescent="0.2">
      <c r="A39798" t="s">
        <v>60844</v>
      </c>
      <c r="B39798" t="s">
        <v>206</v>
      </c>
      <c r="C39798" t="s">
        <v>151</v>
      </c>
      <c r="D39798" t="s">
        <v>52</v>
      </c>
      <c r="F39798" s="2" t="str">
        <f>HYPERLINK("http://www.otzar.org/book.asp?619057","רשמי מחשבה ביציאת מצרים")</f>
        <v>רשמי מחשבה ביציאת מצרים</v>
      </c>
    </row>
    <row r="39799" spans="1:6" x14ac:dyDescent="0.2">
      <c r="A39799" t="s">
        <v>60845</v>
      </c>
      <c r="B39799" t="s">
        <v>60846</v>
      </c>
      <c r="C39799" t="s">
        <v>250</v>
      </c>
      <c r="D39799" t="s">
        <v>283</v>
      </c>
      <c r="E39799" t="s">
        <v>930</v>
      </c>
      <c r="F39799" s="2" t="str">
        <f>HYPERLINK("http://www.otzar.org/book.asp?10918","רשמי שאלה")</f>
        <v>רשמי שאלה</v>
      </c>
    </row>
    <row r="39800" spans="1:6" x14ac:dyDescent="0.2">
      <c r="A39800" t="s">
        <v>60845</v>
      </c>
      <c r="B39800" t="s">
        <v>37482</v>
      </c>
      <c r="C39800" t="s">
        <v>908</v>
      </c>
      <c r="D39800" t="s">
        <v>1589</v>
      </c>
      <c r="E39800" t="s">
        <v>2840</v>
      </c>
      <c r="F39800" s="2" t="str">
        <f>HYPERLINK("http://www.otzar.org/book.asp?178884","רשמי שאלה")</f>
        <v>רשמי שאלה</v>
      </c>
    </row>
    <row r="39801" spans="1:6" x14ac:dyDescent="0.2">
      <c r="A39801" t="s">
        <v>60847</v>
      </c>
      <c r="B39801" t="s">
        <v>7839</v>
      </c>
      <c r="C39801" t="s">
        <v>332</v>
      </c>
      <c r="D39801" t="s">
        <v>52</v>
      </c>
      <c r="F39801" s="2" t="str">
        <f>HYPERLINK("http://www.otzar.org/book.asp?153340","רשפי אש דת")</f>
        <v>רשפי אש דת</v>
      </c>
    </row>
    <row r="39802" spans="1:6" x14ac:dyDescent="0.2">
      <c r="A39802" t="s">
        <v>60848</v>
      </c>
      <c r="B39802" t="s">
        <v>60849</v>
      </c>
      <c r="C39802" t="s">
        <v>111</v>
      </c>
      <c r="D39802" t="s">
        <v>14</v>
      </c>
      <c r="E39802" t="s">
        <v>60850</v>
      </c>
      <c r="F39802" s="2" t="str">
        <f>HYPERLINK("http://www.otzar.org/book.asp?623196","רשפי אש החדש")</f>
        <v>רשפי אש החדש</v>
      </c>
    </row>
    <row r="39803" spans="1:6" x14ac:dyDescent="0.2">
      <c r="A39803" t="s">
        <v>60851</v>
      </c>
      <c r="B39803" t="s">
        <v>60852</v>
      </c>
      <c r="C39803" t="s">
        <v>2543</v>
      </c>
      <c r="D39803" t="s">
        <v>225</v>
      </c>
      <c r="E39803" t="s">
        <v>6136</v>
      </c>
      <c r="F39803" s="2" t="str">
        <f>HYPERLINK("http://www.otzar.org/book.asp?8021","רשפי אש השלם")</f>
        <v>רשפי אש השלם</v>
      </c>
    </row>
    <row r="39804" spans="1:6" x14ac:dyDescent="0.2">
      <c r="A39804" t="s">
        <v>60853</v>
      </c>
      <c r="B39804" t="s">
        <v>60854</v>
      </c>
      <c r="C39804" t="s">
        <v>87</v>
      </c>
      <c r="D39804" t="s">
        <v>486</v>
      </c>
      <c r="E39804" t="s">
        <v>158</v>
      </c>
      <c r="F39804" s="2" t="str">
        <f>HYPERLINK("http://www.otzar.org/book.asp?152728","רשפי אש - שלהבתיה")</f>
        <v>רשפי אש - שלהבתיה</v>
      </c>
    </row>
    <row r="39805" spans="1:6" x14ac:dyDescent="0.2">
      <c r="A39805" t="s">
        <v>60855</v>
      </c>
      <c r="B39805" t="s">
        <v>10192</v>
      </c>
      <c r="C39805" t="s">
        <v>7625</v>
      </c>
      <c r="D39805" t="s">
        <v>42</v>
      </c>
      <c r="E39805" t="s">
        <v>158</v>
      </c>
      <c r="F39805" s="2" t="str">
        <f>HYPERLINK("http://www.otzar.org/book.asp?141133","רשפי אש")</f>
        <v>רשפי אש</v>
      </c>
    </row>
    <row r="39806" spans="1:6" x14ac:dyDescent="0.2">
      <c r="A39806" t="s">
        <v>60856</v>
      </c>
      <c r="B39806" t="s">
        <v>60857</v>
      </c>
      <c r="C39806" t="s">
        <v>454</v>
      </c>
      <c r="D39806" t="s">
        <v>486</v>
      </c>
      <c r="E39806" t="s">
        <v>144</v>
      </c>
      <c r="F39806" s="2" t="str">
        <f>HYPERLINK("http://www.otzar.org/book.asp?165295","רשפי אש - עבודה זרה")</f>
        <v>רשפי אש - עבודה זרה</v>
      </c>
    </row>
    <row r="39807" spans="1:6" x14ac:dyDescent="0.2">
      <c r="A39807" t="s">
        <v>60855</v>
      </c>
      <c r="B39807" t="s">
        <v>60855</v>
      </c>
      <c r="C39807" t="s">
        <v>8</v>
      </c>
      <c r="D39807" t="s">
        <v>947</v>
      </c>
      <c r="E39807" t="s">
        <v>202</v>
      </c>
      <c r="F39807" s="2" t="str">
        <f>HYPERLINK("http://www.otzar.org/book.asp?20724","רשפי אש")</f>
        <v>רשפי אש</v>
      </c>
    </row>
    <row r="39808" spans="1:6" x14ac:dyDescent="0.2">
      <c r="A39808" t="s">
        <v>60855</v>
      </c>
      <c r="B39808" t="s">
        <v>60858</v>
      </c>
      <c r="C39808" t="s">
        <v>313</v>
      </c>
      <c r="D39808" t="s">
        <v>4478</v>
      </c>
      <c r="E39808" t="s">
        <v>130</v>
      </c>
      <c r="F39808" s="2" t="str">
        <f>HYPERLINK("http://www.otzar.org/book.asp?63149","רשפי אש")</f>
        <v>רשפי אש</v>
      </c>
    </row>
    <row r="39809" spans="1:6" x14ac:dyDescent="0.2">
      <c r="A39809" t="s">
        <v>60855</v>
      </c>
      <c r="B39809" t="s">
        <v>12208</v>
      </c>
      <c r="C39809" t="s">
        <v>1374</v>
      </c>
      <c r="D39809" t="s">
        <v>8555</v>
      </c>
      <c r="E39809" t="s">
        <v>158</v>
      </c>
      <c r="F39809" s="2" t="str">
        <f>HYPERLINK("http://www.otzar.org/book.asp?178883","רשפי אש")</f>
        <v>רשפי אש</v>
      </c>
    </row>
    <row r="39810" spans="1:6" x14ac:dyDescent="0.2">
      <c r="A39810" t="s">
        <v>60855</v>
      </c>
      <c r="B39810" t="s">
        <v>60852</v>
      </c>
      <c r="C39810" t="s">
        <v>1228</v>
      </c>
      <c r="D39810" t="s">
        <v>2313</v>
      </c>
      <c r="E39810" t="s">
        <v>104</v>
      </c>
      <c r="F39810" s="2" t="str">
        <f>HYPERLINK("http://www.otzar.org/book.asp?167545","רשפי אש")</f>
        <v>רשפי אש</v>
      </c>
    </row>
    <row r="39811" spans="1:6" x14ac:dyDescent="0.2">
      <c r="A39811" t="s">
        <v>60859</v>
      </c>
      <c r="B39811" t="s">
        <v>60860</v>
      </c>
      <c r="C39811" t="s">
        <v>20</v>
      </c>
      <c r="D39811" t="s">
        <v>21</v>
      </c>
      <c r="E39811" t="s">
        <v>104</v>
      </c>
      <c r="F39811" s="2" t="str">
        <f>HYPERLINK("http://www.otzar.org/book.asp?600185","רשפי קודש")</f>
        <v>רשפי קודש</v>
      </c>
    </row>
    <row r="39812" spans="1:6" x14ac:dyDescent="0.2">
      <c r="A39812" t="s">
        <v>60861</v>
      </c>
      <c r="B39812" t="s">
        <v>60862</v>
      </c>
      <c r="C39812" t="s">
        <v>1150</v>
      </c>
      <c r="D39812" t="s">
        <v>9162</v>
      </c>
      <c r="E39812" t="s">
        <v>234</v>
      </c>
      <c r="F39812" s="2" t="str">
        <f>HYPERLINK("http://www.otzar.org/book.asp?103737","רשפי קשת")</f>
        <v>רשפי קשת</v>
      </c>
    </row>
    <row r="39813" spans="1:6" x14ac:dyDescent="0.2">
      <c r="A39813" t="s">
        <v>60863</v>
      </c>
      <c r="B39813" t="s">
        <v>23538</v>
      </c>
      <c r="C39813" t="s">
        <v>553</v>
      </c>
      <c r="D39813" t="s">
        <v>118</v>
      </c>
      <c r="E39813" t="s">
        <v>158</v>
      </c>
      <c r="F39813" s="2" t="str">
        <f>HYPERLINK("http://www.otzar.org/book.asp?161854","רשפי תורה")</f>
        <v>רשפי תורה</v>
      </c>
    </row>
    <row r="39814" spans="1:6" x14ac:dyDescent="0.2">
      <c r="A39814" t="s">
        <v>60864</v>
      </c>
      <c r="B39814" t="s">
        <v>9338</v>
      </c>
      <c r="C39814" t="s">
        <v>20</v>
      </c>
      <c r="D39814" t="s">
        <v>4519</v>
      </c>
      <c r="E39814" t="s">
        <v>130</v>
      </c>
      <c r="F39814" s="2" t="str">
        <f>HYPERLINK("http://www.otzar.org/book.asp?153005","רשפיה רשפי אש")</f>
        <v>רשפיה רשפי אש</v>
      </c>
    </row>
    <row r="39815" spans="1:6" x14ac:dyDescent="0.2">
      <c r="A39815" t="s">
        <v>60864</v>
      </c>
      <c r="B39815" t="s">
        <v>60865</v>
      </c>
      <c r="C39815" t="s">
        <v>422</v>
      </c>
      <c r="D39815" t="s">
        <v>90</v>
      </c>
      <c r="E39815" t="s">
        <v>140</v>
      </c>
      <c r="F39815" s="2" t="str">
        <f>HYPERLINK("http://www.otzar.org/book.asp?172781","רשפיה רשפי אש")</f>
        <v>רשפיה רשפי אש</v>
      </c>
    </row>
    <row r="39816" spans="1:6" x14ac:dyDescent="0.2">
      <c r="A39816" t="s">
        <v>60866</v>
      </c>
      <c r="B39816" t="s">
        <v>60867</v>
      </c>
      <c r="C39816" t="s">
        <v>2105</v>
      </c>
      <c r="D39816" t="s">
        <v>1589</v>
      </c>
      <c r="E39816" t="s">
        <v>144</v>
      </c>
      <c r="F39816" s="2" t="str">
        <f>HYPERLINK("http://www.otzar.org/book.asp?63409","ש""ס הגדול שבגדולים &lt;ברכות&gt;")</f>
        <v>ש"ס הגדול שבגדולים &lt;ברכות&gt;</v>
      </c>
    </row>
    <row r="39817" spans="1:6" x14ac:dyDescent="0.2">
      <c r="A39817" t="s">
        <v>60868</v>
      </c>
      <c r="B39817" t="s">
        <v>60869</v>
      </c>
      <c r="C39817" t="s">
        <v>1202</v>
      </c>
      <c r="D39817" t="s">
        <v>563</v>
      </c>
      <c r="E39817" t="s">
        <v>144</v>
      </c>
      <c r="F39817" s="2" t="str">
        <f>HYPERLINK("http://www.otzar.org/book.asp?63408","ש""ס המסביר")</f>
        <v>ש"ס המסביר</v>
      </c>
    </row>
    <row r="39818" spans="1:6" x14ac:dyDescent="0.2">
      <c r="A39818" t="s">
        <v>60870</v>
      </c>
      <c r="B39818" t="s">
        <v>686</v>
      </c>
      <c r="C39818" t="s">
        <v>244</v>
      </c>
      <c r="D39818" t="s">
        <v>80</v>
      </c>
      <c r="E39818" t="s">
        <v>104</v>
      </c>
      <c r="F39818" s="2" t="str">
        <f>HYPERLINK("http://www.otzar.org/book.asp?198063","שאג ישאג, בנאות דשא, דבש וחלב")</f>
        <v>שאג ישאג, בנאות דשא, דבש וחלב</v>
      </c>
    </row>
    <row r="39819" spans="1:6" x14ac:dyDescent="0.2">
      <c r="A39819" t="s">
        <v>60871</v>
      </c>
      <c r="B39819" t="s">
        <v>206</v>
      </c>
      <c r="C39819" t="s">
        <v>20</v>
      </c>
      <c r="D39819" t="s">
        <v>90</v>
      </c>
      <c r="F39819" s="2" t="str">
        <f>HYPERLINK("http://www.otzar.org/book.asp?610611","שאגלחך לשמים")</f>
        <v>שאגלחך לשמים</v>
      </c>
    </row>
    <row r="39820" spans="1:6" x14ac:dyDescent="0.2">
      <c r="A39820" t="s">
        <v>60872</v>
      </c>
      <c r="B39820" t="s">
        <v>60873</v>
      </c>
      <c r="C39820" t="s">
        <v>10155</v>
      </c>
      <c r="D39820" t="s">
        <v>76</v>
      </c>
      <c r="E39820" t="s">
        <v>154</v>
      </c>
      <c r="F39820" s="2" t="str">
        <f>HYPERLINK("http://www.otzar.org/book.asp?101149","שאגת אריה &lt;קול שחל&gt;")</f>
        <v>שאגת אריה &lt;קול שחל&gt;</v>
      </c>
    </row>
    <row r="39821" spans="1:6" x14ac:dyDescent="0.2">
      <c r="A39821" t="s">
        <v>60874</v>
      </c>
      <c r="B39821" t="s">
        <v>60875</v>
      </c>
      <c r="C39821" t="s">
        <v>244</v>
      </c>
      <c r="D39821" t="s">
        <v>412</v>
      </c>
      <c r="E39821" t="s">
        <v>154</v>
      </c>
      <c r="F39821" s="2" t="str">
        <f>HYPERLINK("http://www.otzar.org/book.asp?603593","שאגת אריה &lt;מהדורה חדשה&gt; - 3 כר'")</f>
        <v>שאגת אריה &lt;מהדורה חדשה&gt; - 3 כר'</v>
      </c>
    </row>
    <row r="39822" spans="1:6" x14ac:dyDescent="0.2">
      <c r="A39822" t="s">
        <v>60876</v>
      </c>
      <c r="B39822" t="s">
        <v>13054</v>
      </c>
      <c r="C39822" t="s">
        <v>37</v>
      </c>
      <c r="D39822" t="s">
        <v>14</v>
      </c>
      <c r="F39822" s="2" t="str">
        <f>HYPERLINK("http://www.otzar.org/book.asp?198644","שאגת אריה &lt;מהדורת אור החיים&gt; - 2 כר'")</f>
        <v>שאגת אריה &lt;מהדורת אור החיים&gt; - 2 כר'</v>
      </c>
    </row>
    <row r="39823" spans="1:6" x14ac:dyDescent="0.2">
      <c r="A39823" t="s">
        <v>60877</v>
      </c>
      <c r="B39823" t="s">
        <v>4619</v>
      </c>
      <c r="C39823" t="s">
        <v>133</v>
      </c>
      <c r="D39823" t="s">
        <v>412</v>
      </c>
      <c r="E39823" t="s">
        <v>877</v>
      </c>
      <c r="F39823" s="2" t="str">
        <f>HYPERLINK("http://www.otzar.org/book.asp?172044","שאגת אריה &lt;מהדורה חדשה&gt;")</f>
        <v>שאגת אריה &lt;מהדורה חדשה&gt;</v>
      </c>
    </row>
    <row r="39824" spans="1:6" x14ac:dyDescent="0.2">
      <c r="A39824" t="s">
        <v>60878</v>
      </c>
      <c r="B39824" t="s">
        <v>13054</v>
      </c>
      <c r="C39824" t="s">
        <v>603</v>
      </c>
      <c r="D39824" t="s">
        <v>56</v>
      </c>
      <c r="F39824" s="2" t="str">
        <f>HYPERLINK("http://www.otzar.org/book.asp?153081","שאגת אריה החדשות - 2 כר'")</f>
        <v>שאגת אריה החדשות - 2 כר'</v>
      </c>
    </row>
    <row r="39825" spans="1:6" x14ac:dyDescent="0.2">
      <c r="A39825" t="s">
        <v>60879</v>
      </c>
      <c r="B39825" t="s">
        <v>60880</v>
      </c>
      <c r="C39825" t="s">
        <v>51</v>
      </c>
      <c r="D39825" t="s">
        <v>412</v>
      </c>
      <c r="E39825" t="s">
        <v>154</v>
      </c>
      <c r="F39825" s="2" t="str">
        <f>HYPERLINK("http://www.otzar.org/book.asp?177242","שאגת אריה וקול שחל &lt;מהדורה חדשה&gt;")</f>
        <v>שאגת אריה וקול שחל &lt;מהדורה חדשה&gt;</v>
      </c>
    </row>
    <row r="39826" spans="1:6" x14ac:dyDescent="0.2">
      <c r="A39826" t="s">
        <v>60881</v>
      </c>
      <c r="B39826" t="s">
        <v>60873</v>
      </c>
      <c r="C39826" t="s">
        <v>22961</v>
      </c>
      <c r="D39826" t="s">
        <v>15839</v>
      </c>
      <c r="E39826" t="s">
        <v>154</v>
      </c>
      <c r="F39826" s="2" t="str">
        <f>HYPERLINK("http://www.otzar.org/book.asp?150021","שאגת אריה")</f>
        <v>שאגת אריה</v>
      </c>
    </row>
    <row r="39827" spans="1:6" x14ac:dyDescent="0.2">
      <c r="A39827" t="s">
        <v>60882</v>
      </c>
      <c r="B39827" t="s">
        <v>60883</v>
      </c>
      <c r="C39827" t="s">
        <v>2269</v>
      </c>
      <c r="D39827" t="s">
        <v>610</v>
      </c>
      <c r="E39827" t="s">
        <v>144</v>
      </c>
      <c r="F39827" s="2" t="str">
        <f>HYPERLINK("http://www.otzar.org/book.asp?101811","שאגת אריה - 2 כר'")</f>
        <v>שאגת אריה - 2 כר'</v>
      </c>
    </row>
    <row r="39828" spans="1:6" x14ac:dyDescent="0.2">
      <c r="A39828" t="s">
        <v>60884</v>
      </c>
      <c r="B39828" t="s">
        <v>60885</v>
      </c>
      <c r="C39828" t="s">
        <v>51</v>
      </c>
      <c r="D39828" t="s">
        <v>14</v>
      </c>
      <c r="E39828" t="s">
        <v>154</v>
      </c>
      <c r="F39828" s="2" t="str">
        <f>HYPERLINK("http://www.otzar.org/book.asp?21829","שאגת אריה - (החדש והמלא)")</f>
        <v>שאגת אריה - (החדש והמלא)</v>
      </c>
    </row>
    <row r="39829" spans="1:6" x14ac:dyDescent="0.2">
      <c r="A39829" t="s">
        <v>60886</v>
      </c>
      <c r="B39829" t="s">
        <v>13054</v>
      </c>
      <c r="C39829" t="s">
        <v>2213</v>
      </c>
      <c r="D39829" t="s">
        <v>2290</v>
      </c>
      <c r="E39829" t="s">
        <v>154</v>
      </c>
      <c r="F39829" s="2" t="str">
        <f>HYPERLINK("http://www.otzar.org/book.asp?102646","שאגת אריה - 5 כר'")</f>
        <v>שאגת אריה - 5 כר'</v>
      </c>
    </row>
    <row r="39830" spans="1:6" x14ac:dyDescent="0.2">
      <c r="A39830" t="s">
        <v>60881</v>
      </c>
      <c r="B39830" t="s">
        <v>60887</v>
      </c>
      <c r="C39830" t="s">
        <v>366</v>
      </c>
      <c r="D39830" t="s">
        <v>90</v>
      </c>
      <c r="E39830" t="s">
        <v>104</v>
      </c>
      <c r="F39830" s="2" t="str">
        <f>HYPERLINK("http://www.otzar.org/book.asp?630198","שאגת אריה")</f>
        <v>שאגת אריה</v>
      </c>
    </row>
    <row r="39831" spans="1:6" x14ac:dyDescent="0.2">
      <c r="A39831" t="s">
        <v>60882</v>
      </c>
      <c r="B39831" t="s">
        <v>7893</v>
      </c>
      <c r="C39831" t="s">
        <v>919</v>
      </c>
      <c r="D39831" t="s">
        <v>14</v>
      </c>
      <c r="E39831" t="s">
        <v>1262</v>
      </c>
      <c r="F39831" s="2" t="str">
        <f>HYPERLINK("http://www.otzar.org/book.asp?191025","שאגת אריה - 2 כר'")</f>
        <v>שאגת אריה - 2 כר'</v>
      </c>
    </row>
    <row r="39832" spans="1:6" x14ac:dyDescent="0.2">
      <c r="A39832" t="s">
        <v>60882</v>
      </c>
      <c r="B39832" t="s">
        <v>4619</v>
      </c>
      <c r="C39832" t="s">
        <v>1062</v>
      </c>
      <c r="D39832" t="s">
        <v>27</v>
      </c>
      <c r="E39832" t="s">
        <v>241</v>
      </c>
      <c r="F39832" s="2" t="str">
        <f>HYPERLINK("http://www.otzar.org/book.asp?156826","שאגת אריה - 2 כר'")</f>
        <v>שאגת אריה - 2 כר'</v>
      </c>
    </row>
    <row r="39833" spans="1:6" x14ac:dyDescent="0.2">
      <c r="A39833" t="s">
        <v>60882</v>
      </c>
      <c r="B39833" t="s">
        <v>1417</v>
      </c>
      <c r="C39833" t="s">
        <v>8678</v>
      </c>
      <c r="D39833" t="s">
        <v>1023</v>
      </c>
      <c r="F39833" s="2" t="str">
        <f>HYPERLINK("http://www.otzar.org/book.asp?619048","שאגת אריה - 2 כר'")</f>
        <v>שאגת אריה - 2 כר'</v>
      </c>
    </row>
    <row r="39834" spans="1:6" x14ac:dyDescent="0.2">
      <c r="A39834" t="s">
        <v>60888</v>
      </c>
      <c r="B39834" t="s">
        <v>60889</v>
      </c>
      <c r="C39834" t="s">
        <v>189</v>
      </c>
      <c r="D39834" t="s">
        <v>14</v>
      </c>
      <c r="E39834" t="s">
        <v>399</v>
      </c>
      <c r="F39834" s="2" t="str">
        <f>HYPERLINK("http://www.otzar.org/book.asp?25697","שאגת הארי")</f>
        <v>שאגת הארי</v>
      </c>
    </row>
    <row r="39835" spans="1:6" x14ac:dyDescent="0.2">
      <c r="A39835" t="s">
        <v>60890</v>
      </c>
      <c r="B39835" t="s">
        <v>60891</v>
      </c>
      <c r="C39835" t="s">
        <v>60892</v>
      </c>
      <c r="D39835" t="s">
        <v>661</v>
      </c>
      <c r="E39835" t="s">
        <v>241</v>
      </c>
      <c r="F39835" s="2" t="str">
        <f>HYPERLINK("http://www.otzar.org/book.asp?173067","שאגת זאב")</f>
        <v>שאגת זאב</v>
      </c>
    </row>
    <row r="39836" spans="1:6" x14ac:dyDescent="0.2">
      <c r="A39836" t="s">
        <v>60893</v>
      </c>
      <c r="B39836" t="s">
        <v>60894</v>
      </c>
      <c r="C39836" t="s">
        <v>79</v>
      </c>
      <c r="D39836" t="s">
        <v>14</v>
      </c>
      <c r="E39836" t="s">
        <v>579</v>
      </c>
      <c r="F39836" s="2" t="str">
        <f>HYPERLINK("http://www.otzar.org/book.asp?103738","שאגת ירושלים")</f>
        <v>שאגת ירושלים</v>
      </c>
    </row>
    <row r="39837" spans="1:6" x14ac:dyDescent="0.2">
      <c r="A39837" t="s">
        <v>60895</v>
      </c>
      <c r="B39837" t="s">
        <v>60896</v>
      </c>
      <c r="C39837" t="s">
        <v>624</v>
      </c>
      <c r="D39837" t="s">
        <v>52</v>
      </c>
      <c r="E39837" t="s">
        <v>733</v>
      </c>
      <c r="F39837" s="2" t="str">
        <f>HYPERLINK("http://www.otzar.org/book.asp?153762","שאגת מעונה")</f>
        <v>שאגת מעונה</v>
      </c>
    </row>
    <row r="39838" spans="1:6" x14ac:dyDescent="0.2">
      <c r="A39838" t="s">
        <v>60897</v>
      </c>
      <c r="B39838" t="s">
        <v>60898</v>
      </c>
      <c r="C39838" t="s">
        <v>854</v>
      </c>
      <c r="D39838" t="s">
        <v>14</v>
      </c>
      <c r="E39838" t="s">
        <v>158</v>
      </c>
      <c r="F39838" s="2" t="str">
        <f>HYPERLINK("http://www.otzar.org/book.asp?156653","שאהין תורה - 4 כר'")</f>
        <v>שאהין תורה - 4 כר'</v>
      </c>
    </row>
    <row r="39839" spans="1:6" x14ac:dyDescent="0.2">
      <c r="A39839" t="s">
        <v>60899</v>
      </c>
      <c r="B39839" t="s">
        <v>60900</v>
      </c>
      <c r="C39839" t="s">
        <v>1619</v>
      </c>
      <c r="D39839" t="s">
        <v>216</v>
      </c>
      <c r="E39839" t="s">
        <v>219</v>
      </c>
      <c r="F39839" s="2" t="str">
        <f>HYPERLINK("http://www.otzar.org/book.asp?162404","שאו זמרה (החדש)")</f>
        <v>שאו זמרה (החדש)</v>
      </c>
    </row>
    <row r="39840" spans="1:6" x14ac:dyDescent="0.2">
      <c r="A39840" t="s">
        <v>60901</v>
      </c>
      <c r="B39840" t="s">
        <v>40614</v>
      </c>
      <c r="C39840" t="s">
        <v>37</v>
      </c>
      <c r="D39840" t="s">
        <v>52</v>
      </c>
      <c r="E39840" t="s">
        <v>15</v>
      </c>
      <c r="F39840" s="2" t="str">
        <f>HYPERLINK("http://www.otzar.org/book.asp?190317","שאו ידיכם קודש - נטילת ידים")</f>
        <v>שאו ידיכם קודש - נטילת ידים</v>
      </c>
    </row>
    <row r="39841" spans="1:6" x14ac:dyDescent="0.2">
      <c r="A39841" t="s">
        <v>60902</v>
      </c>
      <c r="B39841" t="s">
        <v>60903</v>
      </c>
      <c r="C39841" t="s">
        <v>13</v>
      </c>
      <c r="D39841" t="s">
        <v>14</v>
      </c>
      <c r="E39841" t="s">
        <v>573</v>
      </c>
      <c r="F39841" s="2" t="str">
        <f>HYPERLINK("http://www.otzar.org/book.asp?186783","שאו מנחה - 2 כר'")</f>
        <v>שאו מנחה - 2 כר'</v>
      </c>
    </row>
    <row r="39842" spans="1:6" x14ac:dyDescent="0.2">
      <c r="A39842" t="s">
        <v>60904</v>
      </c>
      <c r="B39842" t="s">
        <v>60905</v>
      </c>
      <c r="C39842" t="s">
        <v>313</v>
      </c>
      <c r="D39842" t="s">
        <v>52</v>
      </c>
      <c r="E39842" t="s">
        <v>3798</v>
      </c>
      <c r="F39842" s="2" t="str">
        <f>HYPERLINK("http://www.otzar.org/book.asp?191911","שאו מרום עיניכם")</f>
        <v>שאו מרום עיניכם</v>
      </c>
    </row>
    <row r="39843" spans="1:6" x14ac:dyDescent="0.2">
      <c r="A39843" t="s">
        <v>60906</v>
      </c>
      <c r="B39843" t="s">
        <v>60907</v>
      </c>
      <c r="C39843" t="s">
        <v>124</v>
      </c>
      <c r="D39843" t="s">
        <v>423</v>
      </c>
      <c r="E39843" t="s">
        <v>119</v>
      </c>
      <c r="F39843" s="2" t="str">
        <f>HYPERLINK("http://www.otzar.org/book.asp?144711","שאול בחיר ה'")</f>
        <v>שאול בחיר ה'</v>
      </c>
    </row>
    <row r="39844" spans="1:6" x14ac:dyDescent="0.2">
      <c r="A39844" t="s">
        <v>60908</v>
      </c>
      <c r="B39844" t="s">
        <v>22059</v>
      </c>
      <c r="C39844" t="s">
        <v>624</v>
      </c>
      <c r="D39844" t="s">
        <v>27</v>
      </c>
      <c r="E39844" t="s">
        <v>158</v>
      </c>
      <c r="F39844" s="2" t="str">
        <f>HYPERLINK("http://www.otzar.org/book.asp?176026","שאול בחיר השם")</f>
        <v>שאול בחיר השם</v>
      </c>
    </row>
    <row r="39845" spans="1:6" x14ac:dyDescent="0.2">
      <c r="A39845" t="s">
        <v>60909</v>
      </c>
      <c r="B39845" t="s">
        <v>98</v>
      </c>
      <c r="C39845" t="s">
        <v>360</v>
      </c>
      <c r="D39845" t="s">
        <v>379</v>
      </c>
      <c r="E39845" t="s">
        <v>877</v>
      </c>
      <c r="F39845" s="2" t="str">
        <f>HYPERLINK("http://www.otzar.org/book.asp?6825","שאול שאל")</f>
        <v>שאול שאל</v>
      </c>
    </row>
    <row r="39846" spans="1:6" x14ac:dyDescent="0.2">
      <c r="A39846" t="s">
        <v>60909</v>
      </c>
      <c r="B39846" t="s">
        <v>60910</v>
      </c>
      <c r="C39846" t="s">
        <v>411</v>
      </c>
      <c r="D39846" t="s">
        <v>486</v>
      </c>
      <c r="E39846" t="s">
        <v>684</v>
      </c>
      <c r="F39846" s="2" t="str">
        <f>HYPERLINK("http://www.otzar.org/book.asp?172525","שאול שאל")</f>
        <v>שאול שאל</v>
      </c>
    </row>
    <row r="39847" spans="1:6" x14ac:dyDescent="0.2">
      <c r="A39847" t="s">
        <v>60911</v>
      </c>
      <c r="B39847" t="s">
        <v>27296</v>
      </c>
      <c r="C39847" t="s">
        <v>366</v>
      </c>
      <c r="D39847" t="s">
        <v>21</v>
      </c>
      <c r="F39847" s="2" t="str">
        <f>HYPERLINK("http://www.otzar.org/book.asp?610069","שאון מעיר")</f>
        <v>שאון מעיר</v>
      </c>
    </row>
    <row r="39848" spans="1:6" x14ac:dyDescent="0.2">
      <c r="A39848" t="s">
        <v>60912</v>
      </c>
      <c r="B39848" t="s">
        <v>14929</v>
      </c>
      <c r="C39848" t="s">
        <v>1470</v>
      </c>
      <c r="D39848" t="s">
        <v>9</v>
      </c>
      <c r="E39848" t="s">
        <v>154</v>
      </c>
      <c r="F39848" s="2" t="str">
        <f>HYPERLINK("http://www.otzar.org/book.asp?101810","שאילות משה")</f>
        <v>שאילות משה</v>
      </c>
    </row>
    <row r="39849" spans="1:6" x14ac:dyDescent="0.2">
      <c r="A39849" t="s">
        <v>60913</v>
      </c>
      <c r="B39849" t="s">
        <v>18025</v>
      </c>
      <c r="C39849" t="s">
        <v>1278</v>
      </c>
      <c r="D39849" t="s">
        <v>35335</v>
      </c>
      <c r="E39849" t="s">
        <v>588</v>
      </c>
      <c r="F39849" s="2" t="str">
        <f>HYPERLINK("http://www.otzar.org/book.asp?842","שאילות שמואל")</f>
        <v>שאילות שמואל</v>
      </c>
    </row>
    <row r="39850" spans="1:6" x14ac:dyDescent="0.2">
      <c r="A39850" t="s">
        <v>60914</v>
      </c>
      <c r="B39850" t="s">
        <v>49649</v>
      </c>
      <c r="C39850" t="s">
        <v>1166</v>
      </c>
      <c r="D39850" t="s">
        <v>225</v>
      </c>
      <c r="E39850" t="s">
        <v>60915</v>
      </c>
      <c r="F39850" s="2" t="str">
        <f>HYPERLINK("http://www.otzar.org/book.asp?9511","שאילת דוד - 2 כר'")</f>
        <v>שאילת דוד - 2 כר'</v>
      </c>
    </row>
    <row r="39851" spans="1:6" x14ac:dyDescent="0.2">
      <c r="A39851" t="s">
        <v>60916</v>
      </c>
      <c r="B39851" t="s">
        <v>110</v>
      </c>
      <c r="C39851" t="s">
        <v>185</v>
      </c>
      <c r="D39851" t="s">
        <v>52</v>
      </c>
      <c r="E39851" t="s">
        <v>674</v>
      </c>
      <c r="F39851" s="2" t="str">
        <f>HYPERLINK("http://www.otzar.org/book.asp?630362","שאילת החיים")</f>
        <v>שאילת החיים</v>
      </c>
    </row>
    <row r="39852" spans="1:6" x14ac:dyDescent="0.2">
      <c r="A39852" t="s">
        <v>60917</v>
      </c>
      <c r="B39852" t="s">
        <v>60918</v>
      </c>
      <c r="C39852" t="s">
        <v>111</v>
      </c>
      <c r="D39852" t="s">
        <v>412</v>
      </c>
      <c r="E39852" t="s">
        <v>246</v>
      </c>
      <c r="F39852" s="2" t="str">
        <f>HYPERLINK("http://www.otzar.org/book.asp?629526","שאילת חיים - 2 כר'")</f>
        <v>שאילת חיים - 2 כר'</v>
      </c>
    </row>
    <row r="39853" spans="1:6" x14ac:dyDescent="0.2">
      <c r="A39853" t="s">
        <v>60919</v>
      </c>
      <c r="B39853" t="s">
        <v>6361</v>
      </c>
      <c r="C39853" t="s">
        <v>1811</v>
      </c>
      <c r="D39853" t="s">
        <v>216</v>
      </c>
      <c r="E39853" t="s">
        <v>154</v>
      </c>
      <c r="F39853" s="2" t="str">
        <f>HYPERLINK("http://www.otzar.org/book.asp?102650","שאילת חמדת צבי - 5 כר'")</f>
        <v>שאילת חמדת צבי - 5 כר'</v>
      </c>
    </row>
    <row r="39854" spans="1:6" x14ac:dyDescent="0.2">
      <c r="A39854" t="s">
        <v>60920</v>
      </c>
      <c r="B39854" t="s">
        <v>1417</v>
      </c>
      <c r="C39854" t="s">
        <v>60921</v>
      </c>
      <c r="D39854" t="s">
        <v>42</v>
      </c>
      <c r="E39854" t="s">
        <v>154</v>
      </c>
      <c r="F39854" s="2" t="str">
        <f>HYPERLINK("http://www.otzar.org/book.asp?102652","שאילת יעבץ - 4 כר'")</f>
        <v>שאילת יעבץ - 4 כר'</v>
      </c>
    </row>
    <row r="39855" spans="1:6" x14ac:dyDescent="0.2">
      <c r="A39855" t="s">
        <v>60922</v>
      </c>
      <c r="B39855" t="s">
        <v>60923</v>
      </c>
      <c r="C39855" t="s">
        <v>1284</v>
      </c>
      <c r="D39855" t="s">
        <v>3627</v>
      </c>
      <c r="E39855" t="s">
        <v>154</v>
      </c>
      <c r="F39855" s="2" t="str">
        <f>HYPERLINK("http://www.otzar.org/book.asp?148497","שאילת יעקב - 2 כר'")</f>
        <v>שאילת יעקב - 2 כר'</v>
      </c>
    </row>
    <row r="39856" spans="1:6" x14ac:dyDescent="0.2">
      <c r="A39856" t="s">
        <v>60924</v>
      </c>
      <c r="B39856" t="s">
        <v>48574</v>
      </c>
      <c r="C39856" t="s">
        <v>332</v>
      </c>
      <c r="D39856" t="s">
        <v>412</v>
      </c>
      <c r="E39856" t="s">
        <v>154</v>
      </c>
      <c r="F39856" s="2" t="str">
        <f>HYPERLINK("http://www.otzar.org/book.asp?199586","שאילת יצחק מהדו""ת")</f>
        <v>שאילת יצחק מהדו"ת</v>
      </c>
    </row>
    <row r="39857" spans="1:6" x14ac:dyDescent="0.2">
      <c r="A39857" t="s">
        <v>60925</v>
      </c>
      <c r="B39857" t="s">
        <v>48574</v>
      </c>
      <c r="C39857" t="s">
        <v>38533</v>
      </c>
      <c r="D39857" t="s">
        <v>51910</v>
      </c>
      <c r="E39857" t="s">
        <v>154</v>
      </c>
      <c r="F39857" s="2" t="str">
        <f>HYPERLINK("http://www.otzar.org/book.asp?25380","שאילת יצחק")</f>
        <v>שאילת יצחק</v>
      </c>
    </row>
    <row r="39858" spans="1:6" x14ac:dyDescent="0.2">
      <c r="A39858" t="s">
        <v>60926</v>
      </c>
      <c r="B39858" t="s">
        <v>60927</v>
      </c>
      <c r="C39858" t="s">
        <v>180</v>
      </c>
      <c r="D39858" t="s">
        <v>412</v>
      </c>
      <c r="E39858" t="s">
        <v>154</v>
      </c>
      <c r="F39858" s="2" t="str">
        <f>HYPERLINK("http://www.otzar.org/book.asp?28532","שאילת ישרון")</f>
        <v>שאילת ישרון</v>
      </c>
    </row>
    <row r="39859" spans="1:6" x14ac:dyDescent="0.2">
      <c r="A39859" t="s">
        <v>60928</v>
      </c>
      <c r="B39859" t="s">
        <v>60929</v>
      </c>
      <c r="C39859" t="s">
        <v>843</v>
      </c>
      <c r="D39859" t="s">
        <v>260</v>
      </c>
      <c r="E39859" t="s">
        <v>154</v>
      </c>
      <c r="F39859" s="2" t="str">
        <f>HYPERLINK("http://www.otzar.org/book.asp?20725","שאילת משה")</f>
        <v>שאילת משה</v>
      </c>
    </row>
    <row r="39860" spans="1:6" x14ac:dyDescent="0.2">
      <c r="A39860" t="s">
        <v>60930</v>
      </c>
      <c r="B39860" t="s">
        <v>22347</v>
      </c>
      <c r="C39860" t="s">
        <v>151</v>
      </c>
      <c r="D39860" t="s">
        <v>52</v>
      </c>
      <c r="F39860" s="2" t="str">
        <f>HYPERLINK("http://www.otzar.org/book.asp?616471","שאילת משה - 5 כר'")</f>
        <v>שאילת משה - 5 כר'</v>
      </c>
    </row>
    <row r="39861" spans="1:6" x14ac:dyDescent="0.2">
      <c r="A39861" t="s">
        <v>60931</v>
      </c>
      <c r="B39861" t="s">
        <v>60932</v>
      </c>
      <c r="C39861" t="s">
        <v>767</v>
      </c>
      <c r="D39861" t="s">
        <v>52</v>
      </c>
      <c r="E39861" t="s">
        <v>154</v>
      </c>
      <c r="F39861" s="2" t="str">
        <f>HYPERLINK("http://www.otzar.org/book.asp?161479","שאילת שאול - 2 כר'")</f>
        <v>שאילת שאול - 2 כר'</v>
      </c>
    </row>
    <row r="39862" spans="1:6" x14ac:dyDescent="0.2">
      <c r="A39862" t="s">
        <v>60933</v>
      </c>
      <c r="B39862" t="s">
        <v>60934</v>
      </c>
      <c r="C39862" t="s">
        <v>1058</v>
      </c>
      <c r="D39862" t="s">
        <v>60</v>
      </c>
      <c r="E39862" t="s">
        <v>154</v>
      </c>
      <c r="F39862" s="2" t="str">
        <f>HYPERLINK("http://www.otzar.org/book.asp?51835","שאילת שלום - 2 כר'")</f>
        <v>שאילת שלום - 2 כר'</v>
      </c>
    </row>
    <row r="39863" spans="1:6" x14ac:dyDescent="0.2">
      <c r="A39863" t="s">
        <v>60933</v>
      </c>
      <c r="B39863" t="s">
        <v>60935</v>
      </c>
      <c r="C39863" t="s">
        <v>2644</v>
      </c>
      <c r="D39863" t="s">
        <v>56</v>
      </c>
      <c r="E39863" t="s">
        <v>508</v>
      </c>
      <c r="F39863" s="2" t="str">
        <f>HYPERLINK("http://www.otzar.org/book.asp?9076","שאילת שלום - 2 כר'")</f>
        <v>שאילת שלום - 2 כר'</v>
      </c>
    </row>
    <row r="39864" spans="1:6" x14ac:dyDescent="0.2">
      <c r="A39864" t="s">
        <v>60936</v>
      </c>
      <c r="B39864" t="s">
        <v>60937</v>
      </c>
      <c r="C39864" t="s">
        <v>51</v>
      </c>
      <c r="D39864" t="s">
        <v>14</v>
      </c>
      <c r="E39864" t="s">
        <v>930</v>
      </c>
      <c r="F39864" s="2" t="str">
        <f>HYPERLINK("http://www.otzar.org/book.asp?153118","שאילת שלמה")</f>
        <v>שאילת שלמה</v>
      </c>
    </row>
    <row r="39865" spans="1:6" x14ac:dyDescent="0.2">
      <c r="A39865" t="s">
        <v>60938</v>
      </c>
      <c r="B39865" t="s">
        <v>25572</v>
      </c>
      <c r="C39865" t="s">
        <v>189</v>
      </c>
      <c r="D39865" t="s">
        <v>52</v>
      </c>
      <c r="E39865" t="s">
        <v>588</v>
      </c>
      <c r="F39865" s="2" t="str">
        <f>HYPERLINK("http://www.otzar.org/book.asp?147909","שאילת שמואל")</f>
        <v>שאילת שמואל</v>
      </c>
    </row>
    <row r="39866" spans="1:6" x14ac:dyDescent="0.2">
      <c r="A39866" t="s">
        <v>60939</v>
      </c>
      <c r="B39866" t="s">
        <v>47476</v>
      </c>
      <c r="C39866" t="s">
        <v>60940</v>
      </c>
      <c r="D39866" t="s">
        <v>27</v>
      </c>
      <c r="F39866" s="2" t="str">
        <f>HYPERLINK("http://www.otzar.org/book.asp?163579","שאילתות &lt;מירסקי&gt; - 5 כר'")</f>
        <v>שאילתות &lt;מירסקי&gt; - 5 כר'</v>
      </c>
    </row>
    <row r="39867" spans="1:6" x14ac:dyDescent="0.2">
      <c r="A39867" t="s">
        <v>60941</v>
      </c>
      <c r="B39867" t="s">
        <v>60942</v>
      </c>
      <c r="C39867" t="s">
        <v>1519</v>
      </c>
      <c r="D39867" t="s">
        <v>280</v>
      </c>
      <c r="E39867" t="s">
        <v>588</v>
      </c>
      <c r="F39867" s="2" t="str">
        <f>HYPERLINK("http://www.otzar.org/book.asp?20727","שאילתות אביה")</f>
        <v>שאילתות אביה</v>
      </c>
    </row>
    <row r="39868" spans="1:6" x14ac:dyDescent="0.2">
      <c r="A39868" t="s">
        <v>60943</v>
      </c>
      <c r="B39868" t="s">
        <v>60944</v>
      </c>
      <c r="C39868" t="s">
        <v>4404</v>
      </c>
      <c r="D39868" t="s">
        <v>4703</v>
      </c>
      <c r="E39868" t="s">
        <v>15</v>
      </c>
      <c r="F39868" s="2" t="str">
        <f>HYPERLINK("http://www.otzar.org/book.asp?150082","שאילתות דרב אחאי גאון משבחא")</f>
        <v>שאילתות דרב אחאי גאון משבחא</v>
      </c>
    </row>
    <row r="39869" spans="1:6" x14ac:dyDescent="0.2">
      <c r="A39869" t="s">
        <v>60945</v>
      </c>
      <c r="B39869" t="s">
        <v>60944</v>
      </c>
      <c r="C39869" t="s">
        <v>462</v>
      </c>
      <c r="D39869" t="s">
        <v>535</v>
      </c>
      <c r="E39869" t="s">
        <v>15</v>
      </c>
      <c r="F39869" s="2" t="str">
        <f>HYPERLINK("http://www.otzar.org/book.asp?189497","שאילתות דרב אחאי גאון")</f>
        <v>שאילתות דרב אחאי גאון</v>
      </c>
    </row>
    <row r="39870" spans="1:6" x14ac:dyDescent="0.2">
      <c r="A39870" t="s">
        <v>60946</v>
      </c>
      <c r="B39870" t="s">
        <v>60944</v>
      </c>
      <c r="C39870" t="s">
        <v>330</v>
      </c>
      <c r="D39870" t="s">
        <v>49</v>
      </c>
      <c r="E39870" t="s">
        <v>2135</v>
      </c>
      <c r="F39870" s="2" t="str">
        <f>HYPERLINK("http://www.otzar.org/book.asp?7905","שאילתות")</f>
        <v>שאילתות</v>
      </c>
    </row>
    <row r="39871" spans="1:6" x14ac:dyDescent="0.2">
      <c r="A39871" t="s">
        <v>60947</v>
      </c>
      <c r="B39871" t="s">
        <v>23034</v>
      </c>
      <c r="C39871" t="s">
        <v>23</v>
      </c>
      <c r="D39871" t="s">
        <v>21</v>
      </c>
      <c r="E39871" t="s">
        <v>3798</v>
      </c>
      <c r="F39871" s="2" t="str">
        <f>HYPERLINK("http://www.otzar.org/book.asp?602078","שאיפות לשלימות")</f>
        <v>שאיפות לשלימות</v>
      </c>
    </row>
    <row r="39872" spans="1:6" x14ac:dyDescent="0.2">
      <c r="A39872" t="s">
        <v>60948</v>
      </c>
      <c r="B39872" t="s">
        <v>29295</v>
      </c>
      <c r="C39872" t="s">
        <v>473</v>
      </c>
      <c r="D39872" t="s">
        <v>225</v>
      </c>
      <c r="E39872" t="s">
        <v>5186</v>
      </c>
      <c r="F39872" s="2" t="str">
        <f>HYPERLINK("http://www.otzar.org/book.asp?149562","שאירות משה")</f>
        <v>שאירות משה</v>
      </c>
    </row>
    <row r="39873" spans="1:6" x14ac:dyDescent="0.2">
      <c r="A39873" t="s">
        <v>60949</v>
      </c>
      <c r="B39873" t="s">
        <v>33628</v>
      </c>
      <c r="C39873" t="s">
        <v>244</v>
      </c>
      <c r="D39873" t="s">
        <v>139</v>
      </c>
      <c r="E39873" t="s">
        <v>158</v>
      </c>
      <c r="F39873" s="2" t="str">
        <f>HYPERLINK("http://www.otzar.org/book.asp?629980","שאל בני")</f>
        <v>שאל בני</v>
      </c>
    </row>
    <row r="39874" spans="1:6" x14ac:dyDescent="0.2">
      <c r="A39874" t="s">
        <v>60950</v>
      </c>
      <c r="B39874" t="s">
        <v>60951</v>
      </c>
      <c r="C39874" t="s">
        <v>143</v>
      </c>
      <c r="D39874" t="s">
        <v>31528</v>
      </c>
      <c r="F39874" s="2" t="str">
        <f>HYPERLINK("http://www.otzar.org/book.asp?620434","שאל בנך ויגדך - בראשית (התורה הכתובה והמסורה, לשון לימודים, לחשוב מחשבות)")</f>
        <v>שאל בנך ויגדך - בראשית (התורה הכתובה והמסורה, לשון לימודים, לחשוב מחשבות)</v>
      </c>
    </row>
    <row r="39875" spans="1:6" x14ac:dyDescent="0.2">
      <c r="A39875" t="s">
        <v>60952</v>
      </c>
      <c r="B39875" t="s">
        <v>5358</v>
      </c>
      <c r="C39875" t="s">
        <v>496</v>
      </c>
      <c r="D39875" t="s">
        <v>27</v>
      </c>
      <c r="E39875" t="s">
        <v>588</v>
      </c>
      <c r="F39875" s="2" t="str">
        <f>HYPERLINK("http://www.otzar.org/book.asp?14171","שאל האי""ש ופני חמ""א")</f>
        <v>שאל האי"ש ופני חמ"א</v>
      </c>
    </row>
    <row r="39876" spans="1:6" x14ac:dyDescent="0.2">
      <c r="A39876" t="s">
        <v>60953</v>
      </c>
      <c r="B39876" t="s">
        <v>55793</v>
      </c>
      <c r="C39876" t="s">
        <v>114</v>
      </c>
      <c r="D39876" t="s">
        <v>2375</v>
      </c>
      <c r="E39876" t="s">
        <v>9356</v>
      </c>
      <c r="F39876" s="2" t="str">
        <f>HYPERLINK("http://www.otzar.org/book.asp?164106","שאל יעקב")</f>
        <v>שאל יעקב</v>
      </c>
    </row>
    <row r="39877" spans="1:6" x14ac:dyDescent="0.2">
      <c r="A39877" t="s">
        <v>60954</v>
      </c>
      <c r="B39877" t="s">
        <v>60955</v>
      </c>
      <c r="C39877" t="s">
        <v>2543</v>
      </c>
      <c r="D39877" t="s">
        <v>661</v>
      </c>
      <c r="E39877" t="s">
        <v>9760</v>
      </c>
      <c r="F39877" s="2" t="str">
        <f>HYPERLINK("http://www.otzar.org/book.asp?103739","שאל לך אות")</f>
        <v>שאל לך אות</v>
      </c>
    </row>
    <row r="39878" spans="1:6" x14ac:dyDescent="0.2">
      <c r="A39878" t="s">
        <v>60956</v>
      </c>
      <c r="B39878" t="s">
        <v>8123</v>
      </c>
      <c r="C39878" t="s">
        <v>313</v>
      </c>
      <c r="D39878" t="s">
        <v>14</v>
      </c>
      <c r="F39878" s="2" t="str">
        <f>HYPERLINK("http://www.otzar.org/book.asp?620259","שאל נא")</f>
        <v>שאל נא</v>
      </c>
    </row>
    <row r="39879" spans="1:6" x14ac:dyDescent="0.2">
      <c r="A39879" t="s">
        <v>60957</v>
      </c>
      <c r="B39879" t="s">
        <v>60958</v>
      </c>
      <c r="C39879" t="s">
        <v>1374</v>
      </c>
      <c r="D39879" t="s">
        <v>60959</v>
      </c>
      <c r="E39879" t="s">
        <v>154</v>
      </c>
      <c r="F39879" s="2" t="str">
        <f>HYPERLINK("http://www.otzar.org/book.asp?107295","שאל שלמה")</f>
        <v>שאל שלמה</v>
      </c>
    </row>
    <row r="39880" spans="1:6" x14ac:dyDescent="0.2">
      <c r="A39880" t="s">
        <v>60960</v>
      </c>
      <c r="B39880" t="s">
        <v>1617</v>
      </c>
      <c r="C39880" t="s">
        <v>286</v>
      </c>
      <c r="D39880" t="s">
        <v>563</v>
      </c>
      <c r="E39880" t="s">
        <v>154</v>
      </c>
      <c r="F39880" s="2" t="str">
        <f>HYPERLINK("http://www.otzar.org/book.asp?631131","שאלה ותשובה להלכה למעשה - 2 כר'")</f>
        <v>שאלה ותשובה להלכה למעשה - 2 כר'</v>
      </c>
    </row>
    <row r="39881" spans="1:6" x14ac:dyDescent="0.2">
      <c r="A39881" t="s">
        <v>60961</v>
      </c>
      <c r="B39881" t="s">
        <v>60962</v>
      </c>
      <c r="C39881" t="s">
        <v>1481</v>
      </c>
      <c r="D39881" t="s">
        <v>251</v>
      </c>
      <c r="E39881" t="s">
        <v>154</v>
      </c>
      <c r="F39881" s="2" t="str">
        <f>HYPERLINK("http://www.otzar.org/book.asp?84634","שאלה ותשובה")</f>
        <v>שאלה ותשובה</v>
      </c>
    </row>
    <row r="39882" spans="1:6" x14ac:dyDescent="0.2">
      <c r="A39882" t="s">
        <v>60963</v>
      </c>
      <c r="B39882" t="s">
        <v>60964</v>
      </c>
      <c r="C39882" t="s">
        <v>143</v>
      </c>
      <c r="D39882" t="s">
        <v>14</v>
      </c>
      <c r="E39882" t="s">
        <v>15</v>
      </c>
      <c r="F39882" s="2" t="str">
        <f>HYPERLINK("http://www.otzar.org/book.asp?623938","שאלה של סמכות")</f>
        <v>שאלה של סמכות</v>
      </c>
    </row>
    <row r="39883" spans="1:6" x14ac:dyDescent="0.2">
      <c r="A39883" t="s">
        <v>60965</v>
      </c>
      <c r="B39883" t="s">
        <v>60966</v>
      </c>
      <c r="C39883" t="s">
        <v>3295</v>
      </c>
      <c r="D39883" t="s">
        <v>42</v>
      </c>
      <c r="E39883" t="s">
        <v>154</v>
      </c>
      <c r="F39883" s="2" t="str">
        <f>HYPERLINK("http://www.otzar.org/book.asp?152244","שאלה תשובה")</f>
        <v>שאלה תשובה</v>
      </c>
    </row>
    <row r="39884" spans="1:6" x14ac:dyDescent="0.2">
      <c r="A39884" t="s">
        <v>60967</v>
      </c>
      <c r="B39884" t="s">
        <v>60968</v>
      </c>
      <c r="C39884" t="s">
        <v>26</v>
      </c>
      <c r="D39884" t="s">
        <v>14</v>
      </c>
      <c r="E39884" t="s">
        <v>733</v>
      </c>
      <c r="F39884" s="2" t="str">
        <f>HYPERLINK("http://www.otzar.org/book.asp?147083","שאלו שלום ירושלים")</f>
        <v>שאלו שלום ירושלים</v>
      </c>
    </row>
    <row r="39885" spans="1:6" x14ac:dyDescent="0.2">
      <c r="A39885" t="s">
        <v>60967</v>
      </c>
      <c r="B39885" t="s">
        <v>19014</v>
      </c>
      <c r="C39885" t="s">
        <v>1202</v>
      </c>
      <c r="D39885" t="s">
        <v>22980</v>
      </c>
      <c r="E39885" t="s">
        <v>104</v>
      </c>
      <c r="F39885" s="2" t="str">
        <f>HYPERLINK("http://www.otzar.org/book.asp?169733","שאלו שלום ירושלים")</f>
        <v>שאלו שלום ירושלים</v>
      </c>
    </row>
    <row r="39886" spans="1:6" x14ac:dyDescent="0.2">
      <c r="A39886" t="s">
        <v>60967</v>
      </c>
      <c r="B39886" t="s">
        <v>7757</v>
      </c>
      <c r="C39886" t="s">
        <v>427</v>
      </c>
      <c r="D39886" t="s">
        <v>14</v>
      </c>
      <c r="E39886" t="s">
        <v>517</v>
      </c>
      <c r="F39886" s="2" t="str">
        <f>HYPERLINK("http://www.otzar.org/book.asp?15230","שאלו שלום ירושלים")</f>
        <v>שאלו שלום ירושלים</v>
      </c>
    </row>
    <row r="39887" spans="1:6" x14ac:dyDescent="0.2">
      <c r="A39887" t="s">
        <v>60967</v>
      </c>
      <c r="B39887" t="s">
        <v>26648</v>
      </c>
      <c r="C39887" t="s">
        <v>445</v>
      </c>
      <c r="D39887" t="s">
        <v>691</v>
      </c>
      <c r="E39887" t="s">
        <v>1097</v>
      </c>
      <c r="F39887" s="2" t="str">
        <f>HYPERLINK("http://www.otzar.org/book.asp?169892","שאלו שלום ירושלים")</f>
        <v>שאלו שלום ירושלים</v>
      </c>
    </row>
    <row r="39888" spans="1:6" x14ac:dyDescent="0.2">
      <c r="A39888" t="s">
        <v>60967</v>
      </c>
      <c r="B39888" t="s">
        <v>489</v>
      </c>
      <c r="C39888" t="s">
        <v>168</v>
      </c>
      <c r="D39888" t="s">
        <v>14</v>
      </c>
      <c r="E39888" t="s">
        <v>384</v>
      </c>
      <c r="F39888" s="2" t="str">
        <f>HYPERLINK("http://www.otzar.org/book.asp?14754","שאלו שלום ירושלים")</f>
        <v>שאלו שלום ירושלים</v>
      </c>
    </row>
    <row r="39889" spans="1:6" x14ac:dyDescent="0.2">
      <c r="A39889" t="s">
        <v>60969</v>
      </c>
      <c r="B39889" t="s">
        <v>16158</v>
      </c>
      <c r="C39889" t="s">
        <v>383</v>
      </c>
      <c r="D39889" t="s">
        <v>216</v>
      </c>
      <c r="F39889" s="2" t="str">
        <f>HYPERLINK("http://www.otzar.org/book.asp?615158","שאלו שלום ירושלים - 8 כר'")</f>
        <v>שאלו שלום ירושלים - 8 כר'</v>
      </c>
    </row>
    <row r="39890" spans="1:6" x14ac:dyDescent="0.2">
      <c r="A39890" t="s">
        <v>60970</v>
      </c>
      <c r="B39890" t="s">
        <v>60971</v>
      </c>
      <c r="C39890" t="s">
        <v>143</v>
      </c>
      <c r="D39890" t="s">
        <v>14</v>
      </c>
      <c r="E39890" t="s">
        <v>241</v>
      </c>
      <c r="F39890" s="2" t="str">
        <f>HYPERLINK("http://www.otzar.org/book.asp?62784","שאלו שלום")</f>
        <v>שאלו שלום</v>
      </c>
    </row>
    <row r="39891" spans="1:6" x14ac:dyDescent="0.2">
      <c r="A39891" t="s">
        <v>60972</v>
      </c>
      <c r="B39891" t="s">
        <v>60973</v>
      </c>
      <c r="C39891" t="s">
        <v>4059</v>
      </c>
      <c r="D39891" t="s">
        <v>42</v>
      </c>
      <c r="E39891" t="s">
        <v>154</v>
      </c>
      <c r="F39891" s="2" t="str">
        <f>HYPERLINK("http://www.otzar.org/book.asp?22385","שאלות בית אבל ובית משתה")</f>
        <v>שאלות בית אבל ובית משתה</v>
      </c>
    </row>
    <row r="39892" spans="1:6" x14ac:dyDescent="0.2">
      <c r="A39892" t="s">
        <v>60974</v>
      </c>
      <c r="B39892" t="s">
        <v>1035</v>
      </c>
      <c r="C39892" t="s">
        <v>60975</v>
      </c>
      <c r="D39892" t="s">
        <v>26069</v>
      </c>
      <c r="F39892" s="2" t="str">
        <f>HYPERLINK("http://www.otzar.org/book.asp?611729","שאלות ותשובות &lt;בית יוסף&gt;")</f>
        <v>שאלות ותשובות &lt;בית יוסף&gt;</v>
      </c>
    </row>
    <row r="39893" spans="1:6" x14ac:dyDescent="0.2">
      <c r="A39893" t="s">
        <v>60976</v>
      </c>
      <c r="B39893" t="s">
        <v>60977</v>
      </c>
      <c r="C39893" t="s">
        <v>244</v>
      </c>
      <c r="D39893" t="s">
        <v>6853</v>
      </c>
      <c r="F39893" s="2" t="str">
        <f>HYPERLINK("http://www.otzar.org/book.asp?610586","שאלות ותשובות בהלכות פסח ויו""ט")</f>
        <v>שאלות ותשובות בהלכות פסח ויו"ט</v>
      </c>
    </row>
    <row r="39894" spans="1:6" x14ac:dyDescent="0.2">
      <c r="A39894" t="s">
        <v>60978</v>
      </c>
      <c r="B39894" t="s">
        <v>60979</v>
      </c>
      <c r="C39894" t="s">
        <v>785</v>
      </c>
      <c r="D39894" t="s">
        <v>52</v>
      </c>
      <c r="E39894" t="s">
        <v>508</v>
      </c>
      <c r="F39894" s="2" t="str">
        <f>HYPERLINK("http://www.otzar.org/book.asp?161829","שאלות ותשובות במסכת נדרים")</f>
        <v>שאלות ותשובות במסכת נדרים</v>
      </c>
    </row>
    <row r="39895" spans="1:6" x14ac:dyDescent="0.2">
      <c r="A39895" t="s">
        <v>60980</v>
      </c>
      <c r="B39895" t="s">
        <v>60981</v>
      </c>
      <c r="C39895" t="s">
        <v>60982</v>
      </c>
      <c r="D39895" t="s">
        <v>49</v>
      </c>
      <c r="E39895" t="s">
        <v>154</v>
      </c>
      <c r="F39895" s="2" t="str">
        <f>HYPERLINK("http://www.otzar.org/book.asp?168862","שאלות ותשובות הר""י לבית הלוי &lt;מהדורה ראשונה&gt;")</f>
        <v>שאלות ותשובות הר"י לבית הלוי &lt;מהדורה ראשונה&gt;</v>
      </c>
    </row>
    <row r="39896" spans="1:6" x14ac:dyDescent="0.2">
      <c r="A39896" t="s">
        <v>60983</v>
      </c>
      <c r="B39896" t="s">
        <v>60981</v>
      </c>
      <c r="C39896" t="s">
        <v>60984</v>
      </c>
      <c r="D39896" t="s">
        <v>49</v>
      </c>
      <c r="E39896" t="s">
        <v>154</v>
      </c>
      <c r="F39896" s="2" t="str">
        <f>HYPERLINK("http://www.otzar.org/book.asp?10841","שאלות ותשובות הר""י לבית הלוי &lt;מהדורה שניה&gt; - 2 כר'")</f>
        <v>שאלות ותשובות הר"י לבית הלוי &lt;מהדורה שניה&gt; - 2 כר'</v>
      </c>
    </row>
    <row r="39897" spans="1:6" x14ac:dyDescent="0.2">
      <c r="A39897" t="s">
        <v>60985</v>
      </c>
      <c r="B39897" t="s">
        <v>60986</v>
      </c>
      <c r="C39897" t="s">
        <v>180</v>
      </c>
      <c r="D39897" t="s">
        <v>14</v>
      </c>
      <c r="E39897" t="s">
        <v>154</v>
      </c>
      <c r="F39897" s="2" t="str">
        <f>HYPERLINK("http://www.otzar.org/book.asp?180141","שאלות ותשובות הרב אברהם משה פינגרהוט ז""ל")</f>
        <v>שאלות ותשובות הרב אברהם משה פינגרהוט ז"ל</v>
      </c>
    </row>
    <row r="39898" spans="1:6" x14ac:dyDescent="0.2">
      <c r="A39898" t="s">
        <v>60987</v>
      </c>
      <c r="B39898" t="s">
        <v>24553</v>
      </c>
      <c r="C39898" t="s">
        <v>6448</v>
      </c>
      <c r="D39898" t="s">
        <v>3636</v>
      </c>
      <c r="E39898" t="s">
        <v>154</v>
      </c>
      <c r="F39898" s="2" t="str">
        <f>HYPERLINK("http://www.otzar.org/book.asp?623520","שאלות ותשובות הרשב""א המיוחסות להרמב""ן")</f>
        <v>שאלות ותשובות הרשב"א המיוחסות להרמב"ן</v>
      </c>
    </row>
    <row r="39899" spans="1:6" x14ac:dyDescent="0.2">
      <c r="A39899" t="s">
        <v>60988</v>
      </c>
      <c r="B39899" t="s">
        <v>60989</v>
      </c>
      <c r="C39899" t="s">
        <v>366</v>
      </c>
      <c r="D39899" t="s">
        <v>14</v>
      </c>
      <c r="E39899" t="s">
        <v>154</v>
      </c>
      <c r="F39899" s="2" t="str">
        <f>HYPERLINK("http://www.otzar.org/book.asp?615457","שאלות ותשובות זרח השלום")</f>
        <v>שאלות ותשובות זרח השלום</v>
      </c>
    </row>
    <row r="39900" spans="1:6" x14ac:dyDescent="0.2">
      <c r="A39900" t="s">
        <v>60990</v>
      </c>
      <c r="B39900" t="s">
        <v>60991</v>
      </c>
      <c r="C39900" t="s">
        <v>13</v>
      </c>
      <c r="D39900" t="s">
        <v>412</v>
      </c>
      <c r="E39900" t="s">
        <v>15</v>
      </c>
      <c r="F39900" s="2" t="str">
        <f>HYPERLINK("http://www.otzar.org/book.asp?171417","שאלות ותשובות על הלכות שבת")</f>
        <v>שאלות ותשובות על הלכות שבת</v>
      </c>
    </row>
    <row r="39901" spans="1:6" x14ac:dyDescent="0.2">
      <c r="A39901" t="s">
        <v>60990</v>
      </c>
      <c r="B39901" t="s">
        <v>35238</v>
      </c>
      <c r="C39901" t="s">
        <v>411</v>
      </c>
      <c r="D39901" t="s">
        <v>412</v>
      </c>
      <c r="E39901" t="s">
        <v>15</v>
      </c>
      <c r="F39901" s="2" t="str">
        <f>HYPERLINK("http://www.otzar.org/book.asp?176495","שאלות ותשובות על הלכות שבת")</f>
        <v>שאלות ותשובות על הלכות שבת</v>
      </c>
    </row>
    <row r="39902" spans="1:6" x14ac:dyDescent="0.2">
      <c r="A39902" t="s">
        <v>60992</v>
      </c>
      <c r="B39902" t="s">
        <v>60993</v>
      </c>
      <c r="C39902" t="s">
        <v>151</v>
      </c>
      <c r="D39902" t="s">
        <v>412</v>
      </c>
      <c r="E39902" t="s">
        <v>154</v>
      </c>
      <c r="F39902" s="2" t="str">
        <f>HYPERLINK("http://www.otzar.org/book.asp?615429","שאלות ותשובות עשה משה")</f>
        <v>שאלות ותשובות עשה משה</v>
      </c>
    </row>
    <row r="39903" spans="1:6" x14ac:dyDescent="0.2">
      <c r="A39903" t="s">
        <v>60994</v>
      </c>
      <c r="B39903" t="s">
        <v>60995</v>
      </c>
      <c r="C39903" t="s">
        <v>33604</v>
      </c>
      <c r="D39903" t="s">
        <v>1490</v>
      </c>
      <c r="E39903" t="s">
        <v>154</v>
      </c>
      <c r="F39903" s="2" t="str">
        <f>HYPERLINK("http://www.otzar.org/book.asp?164914","שאלות ותשובות של הגאונים")</f>
        <v>שאלות ותשובות של הגאונים</v>
      </c>
    </row>
    <row r="39904" spans="1:6" x14ac:dyDescent="0.2">
      <c r="A39904" t="s">
        <v>60996</v>
      </c>
      <c r="B39904" t="s">
        <v>55806</v>
      </c>
      <c r="C39904" t="s">
        <v>68</v>
      </c>
      <c r="D39904" t="s">
        <v>21</v>
      </c>
      <c r="F39904" s="2" t="str">
        <f>HYPERLINK("http://www.otzar.org/book.asp?600264","שאלות ותשובות - בבא קמא")</f>
        <v>שאלות ותשובות - בבא קמא</v>
      </c>
    </row>
    <row r="39905" spans="1:6" x14ac:dyDescent="0.2">
      <c r="A39905" t="s">
        <v>60997</v>
      </c>
      <c r="B39905" t="s">
        <v>14744</v>
      </c>
      <c r="C39905" t="s">
        <v>5823</v>
      </c>
      <c r="D39905" t="s">
        <v>56</v>
      </c>
      <c r="E39905" t="s">
        <v>10178</v>
      </c>
      <c r="F39905" s="2" t="str">
        <f>HYPERLINK("http://www.otzar.org/book.asp?20729","שאלות חיים")</f>
        <v>שאלות חיים</v>
      </c>
    </row>
    <row r="39906" spans="1:6" x14ac:dyDescent="0.2">
      <c r="A39906" t="s">
        <v>60998</v>
      </c>
      <c r="B39906" t="s">
        <v>60999</v>
      </c>
      <c r="C39906" t="s">
        <v>17</v>
      </c>
      <c r="D39906" t="s">
        <v>5421</v>
      </c>
      <c r="E39906" t="s">
        <v>154</v>
      </c>
      <c r="F39906" s="2" t="str">
        <f>HYPERLINK("http://www.otzar.org/book.asp?149874","שאלות ר' חטר בן שלמה")</f>
        <v>שאלות ר' חטר בן שלמה</v>
      </c>
    </row>
    <row r="39907" spans="1:6" x14ac:dyDescent="0.2">
      <c r="A39907" t="s">
        <v>61000</v>
      </c>
      <c r="B39907" t="s">
        <v>9328</v>
      </c>
      <c r="C39907" t="s">
        <v>20</v>
      </c>
      <c r="D39907" t="s">
        <v>52</v>
      </c>
      <c r="F39907" s="2" t="str">
        <f>HYPERLINK("http://www.otzar.org/book.asp?610415","שאלות שינון ועיון בהלכות נדה")</f>
        <v>שאלות שינון ועיון בהלכות נדה</v>
      </c>
    </row>
    <row r="39908" spans="1:6" x14ac:dyDescent="0.2">
      <c r="A39908" t="s">
        <v>61001</v>
      </c>
      <c r="B39908" t="s">
        <v>35743</v>
      </c>
      <c r="C39908" t="s">
        <v>609</v>
      </c>
      <c r="D39908" t="s">
        <v>61002</v>
      </c>
      <c r="E39908" t="s">
        <v>144</v>
      </c>
      <c r="F39908" s="2" t="str">
        <f>HYPERLINK("http://www.otzar.org/book.asp?196340","שאלות תלמודיות")</f>
        <v>שאלות תלמודיות</v>
      </c>
    </row>
    <row r="39909" spans="1:6" x14ac:dyDescent="0.2">
      <c r="A39909" t="s">
        <v>61003</v>
      </c>
      <c r="B39909" t="s">
        <v>61004</v>
      </c>
      <c r="C39909" t="s">
        <v>31573</v>
      </c>
      <c r="D39909" t="s">
        <v>49</v>
      </c>
      <c r="F39909" s="2" t="str">
        <f>HYPERLINK("http://www.otzar.org/book.asp?618728","שאלות - 2 כר'")</f>
        <v>שאלות - 2 כר'</v>
      </c>
    </row>
    <row r="39910" spans="1:6" x14ac:dyDescent="0.2">
      <c r="A39910" t="s">
        <v>61005</v>
      </c>
      <c r="B39910" t="s">
        <v>14188</v>
      </c>
      <c r="C39910" t="s">
        <v>438</v>
      </c>
      <c r="D39910" t="s">
        <v>14</v>
      </c>
      <c r="E39910" t="s">
        <v>10</v>
      </c>
      <c r="F39910" s="2" t="str">
        <f>HYPERLINK("http://www.otzar.org/book.asp?13783","שאלי ציון - 3 כר'")</f>
        <v>שאלי ציון - 3 כר'</v>
      </c>
    </row>
    <row r="39911" spans="1:6" x14ac:dyDescent="0.2">
      <c r="A39911" t="s">
        <v>61006</v>
      </c>
      <c r="B39911" t="s">
        <v>61007</v>
      </c>
      <c r="C39911" t="s">
        <v>313</v>
      </c>
      <c r="D39911" t="s">
        <v>152</v>
      </c>
      <c r="E39911" t="s">
        <v>15</v>
      </c>
      <c r="F39911" s="2" t="str">
        <f>HYPERLINK("http://www.otzar.org/book.asp?156911","שאלת אשר")</f>
        <v>שאלת אשר</v>
      </c>
    </row>
    <row r="39912" spans="1:6" x14ac:dyDescent="0.2">
      <c r="A39912" t="s">
        <v>61008</v>
      </c>
      <c r="B39912" t="s">
        <v>16107</v>
      </c>
      <c r="C39912" t="s">
        <v>775</v>
      </c>
      <c r="D39912" t="s">
        <v>52</v>
      </c>
      <c r="E39912" t="s">
        <v>435</v>
      </c>
      <c r="F39912" s="2" t="str">
        <f>HYPERLINK("http://www.otzar.org/book.asp?194950","שאלת הכהנים תורה &lt;מהדורה חדשה&gt;")</f>
        <v>שאלת הכהנים תורה &lt;מהדורה חדשה&gt;</v>
      </c>
    </row>
    <row r="39913" spans="1:6" x14ac:dyDescent="0.2">
      <c r="A39913" t="s">
        <v>61009</v>
      </c>
      <c r="B39913" t="s">
        <v>16107</v>
      </c>
      <c r="C39913" t="s">
        <v>4266</v>
      </c>
      <c r="D39913" t="s">
        <v>42</v>
      </c>
      <c r="E39913" t="s">
        <v>104</v>
      </c>
      <c r="F39913" s="2" t="str">
        <f>HYPERLINK("http://www.otzar.org/book.asp?102793","שאלת הכהנים תורה")</f>
        <v>שאלת הכהנים תורה</v>
      </c>
    </row>
    <row r="39914" spans="1:6" x14ac:dyDescent="0.2">
      <c r="A39914" t="s">
        <v>61010</v>
      </c>
      <c r="B39914" t="s">
        <v>61011</v>
      </c>
      <c r="C39914" t="s">
        <v>111</v>
      </c>
      <c r="D39914" t="s">
        <v>90</v>
      </c>
      <c r="F39914" s="2" t="str">
        <f>HYPERLINK("http://www.otzar.org/book.asp?621923","שאלת המטוטלת")</f>
        <v>שאלת המטוטלת</v>
      </c>
    </row>
    <row r="39915" spans="1:6" x14ac:dyDescent="0.2">
      <c r="A39915" t="s">
        <v>61012</v>
      </c>
      <c r="B39915" t="s">
        <v>61013</v>
      </c>
      <c r="C39915" t="s">
        <v>151</v>
      </c>
      <c r="D39915" t="s">
        <v>486</v>
      </c>
      <c r="E39915" t="s">
        <v>10</v>
      </c>
      <c r="F39915" s="2" t="str">
        <f>HYPERLINK("http://www.otzar.org/book.asp?625962","שאלת חכם - 2 כר'")</f>
        <v>שאלת חכם - 2 כר'</v>
      </c>
    </row>
    <row r="39916" spans="1:6" x14ac:dyDescent="0.2">
      <c r="A39916" t="s">
        <v>61014</v>
      </c>
      <c r="B39916" t="s">
        <v>61015</v>
      </c>
      <c r="C39916" t="s">
        <v>23</v>
      </c>
      <c r="D39916" t="s">
        <v>21</v>
      </c>
      <c r="E39916" t="s">
        <v>144</v>
      </c>
      <c r="F39916" s="2" t="str">
        <f>HYPERLINK("http://www.otzar.org/book.asp?197747","שאלת יצחק")</f>
        <v>שאלת יצחק</v>
      </c>
    </row>
    <row r="39917" spans="1:6" x14ac:dyDescent="0.2">
      <c r="A39917" t="s">
        <v>61014</v>
      </c>
      <c r="B39917" t="s">
        <v>50069</v>
      </c>
      <c r="C39917" t="s">
        <v>146</v>
      </c>
      <c r="D39917" t="s">
        <v>52</v>
      </c>
      <c r="E39917" t="s">
        <v>508</v>
      </c>
      <c r="F39917" s="2" t="str">
        <f>HYPERLINK("http://www.otzar.org/book.asp?61053","שאלת יצחק")</f>
        <v>שאלת יצחק</v>
      </c>
    </row>
    <row r="39918" spans="1:6" x14ac:dyDescent="0.2">
      <c r="A39918" t="s">
        <v>61016</v>
      </c>
      <c r="B39918" t="s">
        <v>61016</v>
      </c>
      <c r="C39918" t="s">
        <v>1410</v>
      </c>
      <c r="D39918" t="s">
        <v>726</v>
      </c>
      <c r="E39918" t="s">
        <v>241</v>
      </c>
      <c r="F39918" s="2" t="str">
        <f>HYPERLINK("http://www.otzar.org/book.asp?84149","שאלת ענין הנשמה")</f>
        <v>שאלת ענין הנשמה</v>
      </c>
    </row>
    <row r="39919" spans="1:6" x14ac:dyDescent="0.2">
      <c r="A39919" t="s">
        <v>61017</v>
      </c>
      <c r="B39919" t="s">
        <v>61018</v>
      </c>
      <c r="C39919" t="s">
        <v>189</v>
      </c>
      <c r="D39919" t="s">
        <v>657</v>
      </c>
      <c r="E39919" t="s">
        <v>154</v>
      </c>
      <c r="F39919" s="2" t="str">
        <f>HYPERLINK("http://www.otzar.org/book.asp?26747","שאלת רב - 2 כר'")</f>
        <v>שאלת רב - 2 כר'</v>
      </c>
    </row>
    <row r="39920" spans="1:6" x14ac:dyDescent="0.2">
      <c r="A39920" t="s">
        <v>61019</v>
      </c>
      <c r="B39920" t="s">
        <v>61020</v>
      </c>
      <c r="C39920" t="s">
        <v>68</v>
      </c>
      <c r="D39920" t="s">
        <v>14</v>
      </c>
      <c r="F39920" s="2" t="str">
        <f>HYPERLINK("http://www.otzar.org/book.asp?163787","שאלת שלום &lt;אנגלית&gt;")</f>
        <v>שאלת שלום &lt;אנגלית&gt;</v>
      </c>
    </row>
    <row r="39921" spans="1:6" x14ac:dyDescent="0.2">
      <c r="A39921" t="s">
        <v>61021</v>
      </c>
      <c r="B39921" t="s">
        <v>61022</v>
      </c>
      <c r="C39921" t="s">
        <v>23</v>
      </c>
      <c r="D39921" t="s">
        <v>32849</v>
      </c>
      <c r="F39921" s="2" t="str">
        <f>HYPERLINK("http://www.otzar.org/book.asp?199199","שאלת שלום - 2 כר'")</f>
        <v>שאלת שלום - 2 כר'</v>
      </c>
    </row>
    <row r="39922" spans="1:6" x14ac:dyDescent="0.2">
      <c r="A39922" t="s">
        <v>61023</v>
      </c>
      <c r="B39922" t="s">
        <v>61020</v>
      </c>
      <c r="C39922" t="s">
        <v>68</v>
      </c>
      <c r="D39922" t="s">
        <v>14</v>
      </c>
      <c r="F39922" s="2" t="str">
        <f>HYPERLINK("http://www.otzar.org/book.asp?163786","שאלת שלום")</f>
        <v>שאלת שלום</v>
      </c>
    </row>
    <row r="39923" spans="1:6" x14ac:dyDescent="0.2">
      <c r="A39923" t="s">
        <v>61024</v>
      </c>
      <c r="B39923" t="s">
        <v>3243</v>
      </c>
      <c r="C39923" t="s">
        <v>619</v>
      </c>
      <c r="D39923" t="s">
        <v>27</v>
      </c>
      <c r="E39923" t="s">
        <v>154</v>
      </c>
      <c r="F39923" s="2" t="str">
        <f>HYPERLINK("http://www.otzar.org/book.asp?148548","שאלת שלמה - 2 כר'")</f>
        <v>שאלת שלמה - 2 כר'</v>
      </c>
    </row>
    <row r="39924" spans="1:6" x14ac:dyDescent="0.2">
      <c r="A39924" t="s">
        <v>61025</v>
      </c>
      <c r="B39924" t="s">
        <v>59892</v>
      </c>
      <c r="C39924" t="s">
        <v>3739</v>
      </c>
      <c r="D39924" t="s">
        <v>1593</v>
      </c>
      <c r="E39924" t="s">
        <v>154</v>
      </c>
      <c r="F39924" s="2" t="str">
        <f>HYPERLINK("http://www.otzar.org/book.asp?166892","שאלת תשובה &lt;תשובת ראש יוסף&gt;")</f>
        <v>שאלת תשובה &lt;תשובת ראש יוסף&gt;</v>
      </c>
    </row>
    <row r="39925" spans="1:6" x14ac:dyDescent="0.2">
      <c r="A39925" t="s">
        <v>61026</v>
      </c>
      <c r="B39925" t="s">
        <v>50012</v>
      </c>
      <c r="C39925" t="s">
        <v>61027</v>
      </c>
      <c r="D39925" t="s">
        <v>27</v>
      </c>
      <c r="E39925" t="s">
        <v>15</v>
      </c>
      <c r="F39925" s="2" t="str">
        <f>HYPERLINK("http://www.otzar.org/book.asp?19175","שאר יוסף - 9 כר'")</f>
        <v>שאר יוסף - 9 כר'</v>
      </c>
    </row>
    <row r="39926" spans="1:6" x14ac:dyDescent="0.2">
      <c r="A39926" t="s">
        <v>61028</v>
      </c>
      <c r="B39926" t="s">
        <v>33724</v>
      </c>
      <c r="C39926" t="s">
        <v>2008</v>
      </c>
      <c r="D39926" t="s">
        <v>18232</v>
      </c>
      <c r="E39926" t="s">
        <v>246</v>
      </c>
      <c r="F39926" s="2" t="str">
        <f>HYPERLINK("http://www.otzar.org/book.asp?171006","שאר ירקות")</f>
        <v>שאר ירקות</v>
      </c>
    </row>
    <row r="39927" spans="1:6" x14ac:dyDescent="0.2">
      <c r="A39927" t="s">
        <v>61029</v>
      </c>
      <c r="B39927" t="s">
        <v>61030</v>
      </c>
      <c r="C39927" t="s">
        <v>1663</v>
      </c>
      <c r="D39927" t="s">
        <v>412</v>
      </c>
      <c r="E39927" t="s">
        <v>158</v>
      </c>
      <c r="F39927" s="2" t="str">
        <f>HYPERLINK("http://www.otzar.org/book.asp?150031","שאר ישוב - 2 כר'")</f>
        <v>שאר ישוב - 2 כר'</v>
      </c>
    </row>
    <row r="39928" spans="1:6" x14ac:dyDescent="0.2">
      <c r="A39928" t="s">
        <v>61031</v>
      </c>
      <c r="B39928" t="s">
        <v>10394</v>
      </c>
      <c r="C39928" t="s">
        <v>956</v>
      </c>
      <c r="D39928" t="s">
        <v>14</v>
      </c>
      <c r="E39928" t="s">
        <v>9760</v>
      </c>
      <c r="F39928" s="2" t="str">
        <f>HYPERLINK("http://www.otzar.org/book.asp?13038","שאר מרדכי")</f>
        <v>שאר מרדכי</v>
      </c>
    </row>
    <row r="39929" spans="1:6" x14ac:dyDescent="0.2">
      <c r="A39929" t="s">
        <v>61032</v>
      </c>
      <c r="B39929" t="s">
        <v>61033</v>
      </c>
      <c r="C39929" t="s">
        <v>1246</v>
      </c>
      <c r="D39929" t="s">
        <v>14</v>
      </c>
      <c r="F39929" s="2" t="str">
        <f>HYPERLINK("http://www.otzar.org/book.asp?156371","שאר ציון")</f>
        <v>שאר ציון</v>
      </c>
    </row>
    <row r="39930" spans="1:6" x14ac:dyDescent="0.2">
      <c r="A39930" t="s">
        <v>61034</v>
      </c>
      <c r="B39930" t="s">
        <v>61035</v>
      </c>
      <c r="C39930" t="s">
        <v>151</v>
      </c>
      <c r="D39930" t="s">
        <v>14</v>
      </c>
      <c r="F39930" s="2" t="str">
        <f>HYPERLINK("http://www.otzar.org/book.asp?619912","שארית אברהם - ב")</f>
        <v>שארית אברהם - ב</v>
      </c>
    </row>
    <row r="39931" spans="1:6" x14ac:dyDescent="0.2">
      <c r="A39931" t="s">
        <v>61036</v>
      </c>
      <c r="B39931" t="s">
        <v>61037</v>
      </c>
      <c r="C39931" t="s">
        <v>244</v>
      </c>
      <c r="D39931" t="s">
        <v>14</v>
      </c>
      <c r="F39931" s="2" t="str">
        <f>HYPERLINK("http://www.otzar.org/book.asp?609575","שארית אברהם")</f>
        <v>שארית אברהם</v>
      </c>
    </row>
    <row r="39932" spans="1:6" x14ac:dyDescent="0.2">
      <c r="A39932" t="s">
        <v>61036</v>
      </c>
      <c r="B39932" t="s">
        <v>61038</v>
      </c>
      <c r="C39932" t="s">
        <v>989</v>
      </c>
      <c r="D39932" t="s">
        <v>14</v>
      </c>
      <c r="E39932" t="s">
        <v>3387</v>
      </c>
      <c r="F39932" s="2" t="str">
        <f>HYPERLINK("http://www.otzar.org/book.asp?9071","שארית אברהם")</f>
        <v>שארית אברהם</v>
      </c>
    </row>
    <row r="39933" spans="1:6" x14ac:dyDescent="0.2">
      <c r="A39933" t="s">
        <v>61039</v>
      </c>
      <c r="B39933" t="s">
        <v>61040</v>
      </c>
      <c r="C39933" t="s">
        <v>1268</v>
      </c>
      <c r="D39933" t="s">
        <v>412</v>
      </c>
      <c r="E39933" t="s">
        <v>230</v>
      </c>
      <c r="F39933" s="2" t="str">
        <f>HYPERLINK("http://www.otzar.org/book.asp?608935","שארית אהרן")</f>
        <v>שארית אהרן</v>
      </c>
    </row>
    <row r="39934" spans="1:6" x14ac:dyDescent="0.2">
      <c r="A39934" t="s">
        <v>61041</v>
      </c>
      <c r="B39934" t="s">
        <v>61042</v>
      </c>
      <c r="C39934" t="s">
        <v>775</v>
      </c>
      <c r="D39934" t="s">
        <v>52</v>
      </c>
      <c r="E39934" t="s">
        <v>3387</v>
      </c>
      <c r="F39934" s="2" t="str">
        <f>HYPERLINK("http://www.otzar.org/book.asp?107239","שארית אפרים דב")</f>
        <v>שארית אפרים דב</v>
      </c>
    </row>
    <row r="39935" spans="1:6" x14ac:dyDescent="0.2">
      <c r="A39935" t="s">
        <v>61043</v>
      </c>
      <c r="B39935" t="s">
        <v>61044</v>
      </c>
      <c r="C39935" t="s">
        <v>506</v>
      </c>
      <c r="D39935" t="s">
        <v>1966</v>
      </c>
      <c r="E39935" t="s">
        <v>3516</v>
      </c>
      <c r="F39935" s="2" t="str">
        <f>HYPERLINK("http://www.otzar.org/book.asp?189496","שארית אפרים")</f>
        <v>שארית אפרים</v>
      </c>
    </row>
    <row r="39936" spans="1:6" x14ac:dyDescent="0.2">
      <c r="A39936" t="s">
        <v>61043</v>
      </c>
      <c r="B39936" t="s">
        <v>1291</v>
      </c>
      <c r="C39936" t="s">
        <v>71</v>
      </c>
      <c r="D39936" t="s">
        <v>14</v>
      </c>
      <c r="E39936" t="s">
        <v>104</v>
      </c>
      <c r="F39936" s="2" t="str">
        <f>HYPERLINK("http://www.otzar.org/book.asp?163195","שארית אפרים")</f>
        <v>שארית אפרים</v>
      </c>
    </row>
    <row r="39937" spans="1:6" x14ac:dyDescent="0.2">
      <c r="A39937" t="s">
        <v>61045</v>
      </c>
      <c r="B39937" t="s">
        <v>61046</v>
      </c>
      <c r="C39937" t="s">
        <v>61047</v>
      </c>
      <c r="D39937" t="s">
        <v>516</v>
      </c>
      <c r="E39937" t="s">
        <v>435</v>
      </c>
      <c r="F39937" s="2" t="str">
        <f>HYPERLINK("http://www.otzar.org/book.asp?182232","שארית בנימין - 2 כר'")</f>
        <v>שארית בנימין - 2 כר'</v>
      </c>
    </row>
    <row r="39938" spans="1:6" x14ac:dyDescent="0.2">
      <c r="A39938" t="s">
        <v>61048</v>
      </c>
      <c r="B39938" t="s">
        <v>61049</v>
      </c>
      <c r="C39938" t="s">
        <v>767</v>
      </c>
      <c r="D39938" t="s">
        <v>14</v>
      </c>
      <c r="E39938" t="s">
        <v>144</v>
      </c>
      <c r="F39938" s="2" t="str">
        <f>HYPERLINK("http://www.otzar.org/book.asp?163038","שארית בנימין")</f>
        <v>שארית בנימין</v>
      </c>
    </row>
    <row r="39939" spans="1:6" x14ac:dyDescent="0.2">
      <c r="A39939" t="s">
        <v>61050</v>
      </c>
      <c r="B39939" t="s">
        <v>61051</v>
      </c>
      <c r="C39939" t="s">
        <v>1811</v>
      </c>
      <c r="D39939" t="s">
        <v>14</v>
      </c>
      <c r="F39939" s="2" t="str">
        <f>HYPERLINK("http://www.otzar.org/book.asp?21262","שארית ברוך - ב")</f>
        <v>שארית ברוך - ב</v>
      </c>
    </row>
    <row r="39940" spans="1:6" x14ac:dyDescent="0.2">
      <c r="A39940" t="s">
        <v>61052</v>
      </c>
      <c r="B39940" t="s">
        <v>61053</v>
      </c>
      <c r="C39940" t="s">
        <v>1811</v>
      </c>
      <c r="D39940" t="s">
        <v>14</v>
      </c>
      <c r="E39940" t="s">
        <v>1185</v>
      </c>
      <c r="F39940" s="2" t="str">
        <f>HYPERLINK("http://www.otzar.org/book.asp?7618","שארית ברוך - א")</f>
        <v>שארית ברוך - א</v>
      </c>
    </row>
    <row r="39941" spans="1:6" x14ac:dyDescent="0.2">
      <c r="A39941" t="s">
        <v>61054</v>
      </c>
      <c r="B39941" t="s">
        <v>61055</v>
      </c>
      <c r="C39941" t="s">
        <v>812</v>
      </c>
      <c r="D39941" t="s">
        <v>283</v>
      </c>
      <c r="E39941" t="s">
        <v>140</v>
      </c>
      <c r="F39941" s="2" t="str">
        <f>HYPERLINK("http://www.otzar.org/book.asp?141119","שארית ברכה - א")</f>
        <v>שארית ברכה - א</v>
      </c>
    </row>
    <row r="39942" spans="1:6" x14ac:dyDescent="0.2">
      <c r="A39942" t="s">
        <v>61056</v>
      </c>
      <c r="B39942" t="s">
        <v>7579</v>
      </c>
      <c r="C39942" t="s">
        <v>3690</v>
      </c>
      <c r="D39942" t="s">
        <v>225</v>
      </c>
      <c r="E39942" t="s">
        <v>61057</v>
      </c>
      <c r="F39942" s="2" t="str">
        <f>HYPERLINK("http://www.otzar.org/book.asp?100374","שארית הברכה")</f>
        <v>שארית הברכה</v>
      </c>
    </row>
    <row r="39943" spans="1:6" x14ac:dyDescent="0.2">
      <c r="A39943" t="s">
        <v>61058</v>
      </c>
      <c r="B39943" t="s">
        <v>20003</v>
      </c>
      <c r="C39943" t="s">
        <v>8</v>
      </c>
      <c r="D39943" t="s">
        <v>995</v>
      </c>
      <c r="E39943" t="s">
        <v>1211</v>
      </c>
      <c r="F39943" s="2" t="str">
        <f>HYPERLINK("http://www.otzar.org/book.asp?100549","שארית החיים")</f>
        <v>שארית החיים</v>
      </c>
    </row>
    <row r="39944" spans="1:6" x14ac:dyDescent="0.2">
      <c r="A39944" t="s">
        <v>61059</v>
      </c>
      <c r="B39944" t="s">
        <v>18025</v>
      </c>
      <c r="C39944" t="s">
        <v>429</v>
      </c>
      <c r="D39944" t="s">
        <v>283</v>
      </c>
      <c r="E39944" t="s">
        <v>158</v>
      </c>
      <c r="F39944" s="2" t="str">
        <f>HYPERLINK("http://www.otzar.org/book.asp?141055","שארית הפליטה")</f>
        <v>שארית הפליטה</v>
      </c>
    </row>
    <row r="39945" spans="1:6" x14ac:dyDescent="0.2">
      <c r="A39945" t="s">
        <v>61060</v>
      </c>
      <c r="B39945" t="s">
        <v>18229</v>
      </c>
      <c r="C39945" t="s">
        <v>189</v>
      </c>
      <c r="D39945" t="s">
        <v>721</v>
      </c>
      <c r="E39945" t="s">
        <v>154</v>
      </c>
      <c r="F39945" s="2" t="str">
        <f>HYPERLINK("http://www.otzar.org/book.asp?174455","שארית הצאן - 4 כר'")</f>
        <v>שארית הצאן - 4 כר'</v>
      </c>
    </row>
    <row r="39946" spans="1:6" x14ac:dyDescent="0.2">
      <c r="A39946" t="s">
        <v>61061</v>
      </c>
      <c r="B39946" t="s">
        <v>61062</v>
      </c>
      <c r="C39946" t="s">
        <v>51</v>
      </c>
      <c r="D39946" t="s">
        <v>14</v>
      </c>
      <c r="E39946" t="s">
        <v>14342</v>
      </c>
      <c r="F39946" s="2" t="str">
        <f>HYPERLINK("http://www.otzar.org/book.asp?62626","שארית זאב")</f>
        <v>שארית זאב</v>
      </c>
    </row>
    <row r="39947" spans="1:6" x14ac:dyDescent="0.2">
      <c r="A39947" t="s">
        <v>61063</v>
      </c>
      <c r="B39947" t="s">
        <v>3129</v>
      </c>
      <c r="C39947" t="s">
        <v>728</v>
      </c>
      <c r="D39947" t="s">
        <v>56</v>
      </c>
      <c r="E39947" t="s">
        <v>61064</v>
      </c>
      <c r="F39947" s="2" t="str">
        <f>HYPERLINK("http://www.otzar.org/book.asp?6499","שארית חיים")</f>
        <v>שארית חיים</v>
      </c>
    </row>
    <row r="39948" spans="1:6" x14ac:dyDescent="0.2">
      <c r="A39948" t="s">
        <v>61065</v>
      </c>
      <c r="B39948" t="s">
        <v>3129</v>
      </c>
      <c r="C39948" t="s">
        <v>313</v>
      </c>
      <c r="D39948" t="s">
        <v>14</v>
      </c>
      <c r="E39948" t="s">
        <v>1237</v>
      </c>
      <c r="F39948" s="2" t="str">
        <f>HYPERLINK("http://www.otzar.org/book.asp?159909","שארית חיים. אוצר חיים. הדרת צבי.")</f>
        <v>שארית חיים. אוצר חיים. הדרת צבי.</v>
      </c>
    </row>
    <row r="39949" spans="1:6" x14ac:dyDescent="0.2">
      <c r="A39949" t="s">
        <v>61066</v>
      </c>
      <c r="B39949" t="s">
        <v>61067</v>
      </c>
      <c r="C39949" t="s">
        <v>1811</v>
      </c>
      <c r="D39949" t="s">
        <v>14</v>
      </c>
      <c r="E39949" t="s">
        <v>791</v>
      </c>
      <c r="F39949" s="2" t="str">
        <f>HYPERLINK("http://www.otzar.org/book.asp?9546","שארית יהודה")</f>
        <v>שארית יהודה</v>
      </c>
    </row>
    <row r="39950" spans="1:6" x14ac:dyDescent="0.2">
      <c r="A39950" t="s">
        <v>61066</v>
      </c>
      <c r="B39950" t="s">
        <v>61068</v>
      </c>
      <c r="C39950" t="s">
        <v>151</v>
      </c>
      <c r="D39950" t="s">
        <v>90</v>
      </c>
      <c r="F39950" s="2" t="str">
        <f>HYPERLINK("http://www.otzar.org/book.asp?611825","שארית יהודה")</f>
        <v>שארית יהודה</v>
      </c>
    </row>
    <row r="39951" spans="1:6" x14ac:dyDescent="0.2">
      <c r="A39951" t="s">
        <v>61069</v>
      </c>
      <c r="B39951" t="s">
        <v>61070</v>
      </c>
      <c r="C39951" t="s">
        <v>3942</v>
      </c>
      <c r="D39951" t="s">
        <v>76</v>
      </c>
      <c r="F39951" s="2" t="str">
        <f>HYPERLINK("http://www.otzar.org/book.asp?619176","שארית יהודה - 2 כר'")</f>
        <v>שארית יהודה - 2 כר'</v>
      </c>
    </row>
    <row r="39952" spans="1:6" x14ac:dyDescent="0.2">
      <c r="A39952" t="s">
        <v>61066</v>
      </c>
      <c r="B39952" t="s">
        <v>21922</v>
      </c>
      <c r="C39952" t="s">
        <v>812</v>
      </c>
      <c r="D39952" t="s">
        <v>303</v>
      </c>
      <c r="E39952" t="s">
        <v>154</v>
      </c>
      <c r="F39952" s="2" t="str">
        <f>HYPERLINK("http://www.otzar.org/book.asp?21411","שארית יהודה")</f>
        <v>שארית יהודה</v>
      </c>
    </row>
    <row r="39953" spans="1:6" x14ac:dyDescent="0.2">
      <c r="A39953" t="s">
        <v>61071</v>
      </c>
      <c r="B39953" t="s">
        <v>61072</v>
      </c>
      <c r="C39953" t="s">
        <v>1570</v>
      </c>
      <c r="D39953" t="s">
        <v>14</v>
      </c>
      <c r="E39953" t="s">
        <v>61073</v>
      </c>
      <c r="F39953" s="2" t="str">
        <f>HYPERLINK("http://www.otzar.org/book.asp?10266","שארית יוסף אשר")</f>
        <v>שארית יוסף אשר</v>
      </c>
    </row>
    <row r="39954" spans="1:6" x14ac:dyDescent="0.2">
      <c r="A39954" t="s">
        <v>61074</v>
      </c>
      <c r="B39954" t="s">
        <v>61075</v>
      </c>
      <c r="C39954" t="s">
        <v>9307</v>
      </c>
      <c r="D39954" t="s">
        <v>1411</v>
      </c>
      <c r="E39954" t="s">
        <v>1211</v>
      </c>
      <c r="F39954" s="2" t="str">
        <f>HYPERLINK("http://www.otzar.org/book.asp?188552","שארית יוסף - 2 כר'")</f>
        <v>שארית יוסף - 2 כר'</v>
      </c>
    </row>
    <row r="39955" spans="1:6" x14ac:dyDescent="0.2">
      <c r="A39955" t="s">
        <v>61076</v>
      </c>
      <c r="B39955" t="s">
        <v>26060</v>
      </c>
      <c r="C39955" t="s">
        <v>1570</v>
      </c>
      <c r="D39955" t="s">
        <v>2798</v>
      </c>
      <c r="E39955" t="s">
        <v>474</v>
      </c>
      <c r="F39955" s="2" t="str">
        <f>HYPERLINK("http://www.otzar.org/book.asp?604577","שארית יוסף")</f>
        <v>שארית יוסף</v>
      </c>
    </row>
    <row r="39956" spans="1:6" x14ac:dyDescent="0.2">
      <c r="A39956" t="s">
        <v>61077</v>
      </c>
      <c r="B39956" t="s">
        <v>61078</v>
      </c>
      <c r="C39956" t="s">
        <v>356</v>
      </c>
      <c r="D39956" t="s">
        <v>412</v>
      </c>
      <c r="E39956" t="s">
        <v>144</v>
      </c>
      <c r="F39956" s="2" t="str">
        <f>HYPERLINK("http://www.otzar.org/book.asp?144518","שארית יוסף - 5 כר'")</f>
        <v>שארית יוסף - 5 כר'</v>
      </c>
    </row>
    <row r="39957" spans="1:6" x14ac:dyDescent="0.2">
      <c r="A39957" t="s">
        <v>61076</v>
      </c>
      <c r="B39957" t="s">
        <v>61079</v>
      </c>
      <c r="C39957" t="s">
        <v>496</v>
      </c>
      <c r="D39957" t="s">
        <v>2181</v>
      </c>
      <c r="E39957" t="s">
        <v>158</v>
      </c>
      <c r="F39957" s="2" t="str">
        <f>HYPERLINK("http://www.otzar.org/book.asp?197050","שארית יוסף")</f>
        <v>שארית יוסף</v>
      </c>
    </row>
    <row r="39958" spans="1:6" x14ac:dyDescent="0.2">
      <c r="A39958" t="s">
        <v>61080</v>
      </c>
      <c r="B39958" t="s">
        <v>12508</v>
      </c>
      <c r="C39958" t="s">
        <v>356</v>
      </c>
      <c r="D39958" t="s">
        <v>412</v>
      </c>
      <c r="F39958" s="2" t="str">
        <f>HYPERLINK("http://www.otzar.org/book.asp?149811","שארית יוסף - 3 כר'")</f>
        <v>שארית יוסף - 3 כר'</v>
      </c>
    </row>
    <row r="39959" spans="1:6" x14ac:dyDescent="0.2">
      <c r="A39959" t="s">
        <v>61081</v>
      </c>
      <c r="B39959" t="s">
        <v>61082</v>
      </c>
      <c r="C39959" t="s">
        <v>617</v>
      </c>
      <c r="D39959" t="s">
        <v>1117</v>
      </c>
      <c r="E39959" t="s">
        <v>154</v>
      </c>
      <c r="F39959" s="2" t="str">
        <f>HYPERLINK("http://www.otzar.org/book.asp?326","שארית יוסף - 4 כר'")</f>
        <v>שארית יוסף - 4 כר'</v>
      </c>
    </row>
    <row r="39960" spans="1:6" x14ac:dyDescent="0.2">
      <c r="A39960" t="s">
        <v>61076</v>
      </c>
      <c r="B39960" t="s">
        <v>61083</v>
      </c>
      <c r="C39960" t="s">
        <v>50781</v>
      </c>
      <c r="D39960" t="s">
        <v>76</v>
      </c>
      <c r="E39960" t="s">
        <v>24</v>
      </c>
      <c r="F39960" s="2" t="str">
        <f>HYPERLINK("http://www.otzar.org/book.asp?63861","שארית יוסף")</f>
        <v>שארית יוסף</v>
      </c>
    </row>
    <row r="39961" spans="1:6" x14ac:dyDescent="0.2">
      <c r="A39961" t="s">
        <v>61076</v>
      </c>
      <c r="B39961" t="s">
        <v>61084</v>
      </c>
      <c r="C39961" t="s">
        <v>313</v>
      </c>
      <c r="D39961" t="s">
        <v>14</v>
      </c>
      <c r="E39961" t="s">
        <v>213</v>
      </c>
      <c r="F39961" s="2" t="str">
        <f>HYPERLINK("http://www.otzar.org/book.asp?181603","שארית יוסף")</f>
        <v>שארית יוסף</v>
      </c>
    </row>
    <row r="39962" spans="1:6" x14ac:dyDescent="0.2">
      <c r="A39962" t="s">
        <v>61076</v>
      </c>
      <c r="B39962" t="s">
        <v>61085</v>
      </c>
      <c r="C39962" t="s">
        <v>473</v>
      </c>
      <c r="D39962" t="s">
        <v>283</v>
      </c>
      <c r="E39962" t="s">
        <v>154</v>
      </c>
      <c r="F39962" s="2" t="str">
        <f>HYPERLINK("http://www.otzar.org/book.asp?10914","שארית יוסף")</f>
        <v>שארית יוסף</v>
      </c>
    </row>
    <row r="39963" spans="1:6" x14ac:dyDescent="0.2">
      <c r="A39963" t="s">
        <v>61076</v>
      </c>
      <c r="B39963" t="s">
        <v>61076</v>
      </c>
      <c r="C39963" t="s">
        <v>617</v>
      </c>
      <c r="D39963" t="s">
        <v>27</v>
      </c>
      <c r="E39963" t="s">
        <v>5935</v>
      </c>
      <c r="F39963" s="2" t="str">
        <f>HYPERLINK("http://www.otzar.org/book.asp?103996","שארית יוסף")</f>
        <v>שארית יוסף</v>
      </c>
    </row>
    <row r="39964" spans="1:6" x14ac:dyDescent="0.2">
      <c r="A39964" t="s">
        <v>61086</v>
      </c>
      <c r="B39964" t="s">
        <v>14121</v>
      </c>
      <c r="C39964" t="s">
        <v>244</v>
      </c>
      <c r="D39964" t="s">
        <v>52</v>
      </c>
      <c r="E39964" t="s">
        <v>10</v>
      </c>
      <c r="F39964" s="2" t="str">
        <f>HYPERLINK("http://www.otzar.org/book.asp?603542","שארית יעקב &lt;מהדורה חדשה&gt;")</f>
        <v>שארית יעקב &lt;מהדורה חדשה&gt;</v>
      </c>
    </row>
    <row r="39965" spans="1:6" x14ac:dyDescent="0.2">
      <c r="A39965" t="s">
        <v>61087</v>
      </c>
      <c r="B39965" t="s">
        <v>61088</v>
      </c>
      <c r="C39965" t="s">
        <v>129</v>
      </c>
      <c r="D39965" t="s">
        <v>14</v>
      </c>
      <c r="E39965" t="s">
        <v>144</v>
      </c>
      <c r="F39965" s="2" t="str">
        <f>HYPERLINK("http://www.otzar.org/book.asp?624906","שארית יעקב &lt;לעלוב-בראנוביץ'&gt; - תשס""ז")</f>
        <v>שארית יעקב &lt;לעלוב-בראנוביץ'&gt; - תשס"ז</v>
      </c>
    </row>
    <row r="39966" spans="1:6" x14ac:dyDescent="0.2">
      <c r="A39966" t="s">
        <v>61089</v>
      </c>
      <c r="B39966" t="s">
        <v>15901</v>
      </c>
      <c r="C39966" t="s">
        <v>20</v>
      </c>
      <c r="D39966" t="s">
        <v>14</v>
      </c>
      <c r="E39966" t="s">
        <v>3516</v>
      </c>
      <c r="F39966" s="2" t="str">
        <f>HYPERLINK("http://www.otzar.org/book.asp?163081","שארית יעקב ים החכמה - מגילה ופורים")</f>
        <v>שארית יעקב ים החכמה - מגילה ופורים</v>
      </c>
    </row>
    <row r="39967" spans="1:6" x14ac:dyDescent="0.2">
      <c r="A39967" t="s">
        <v>61090</v>
      </c>
      <c r="B39967" t="s">
        <v>6885</v>
      </c>
      <c r="C39967" t="s">
        <v>2040</v>
      </c>
      <c r="D39967" t="s">
        <v>212</v>
      </c>
      <c r="E39967" t="s">
        <v>158</v>
      </c>
      <c r="F39967" s="2" t="str">
        <f>HYPERLINK("http://www.otzar.org/book.asp?16077","שארית יעקב")</f>
        <v>שארית יעקב</v>
      </c>
    </row>
    <row r="39968" spans="1:6" x14ac:dyDescent="0.2">
      <c r="A39968" t="s">
        <v>61090</v>
      </c>
      <c r="B39968" t="s">
        <v>61091</v>
      </c>
      <c r="C39968" t="s">
        <v>61092</v>
      </c>
      <c r="D39968" t="s">
        <v>27</v>
      </c>
      <c r="E39968" t="s">
        <v>61093</v>
      </c>
      <c r="F39968" s="2" t="str">
        <f>HYPERLINK("http://www.otzar.org/book.asp?161179","שארית יעקב")</f>
        <v>שארית יעקב</v>
      </c>
    </row>
    <row r="39969" spans="1:6" x14ac:dyDescent="0.2">
      <c r="A39969" t="s">
        <v>61090</v>
      </c>
      <c r="B39969" t="s">
        <v>2005</v>
      </c>
      <c r="C39969" t="s">
        <v>79</v>
      </c>
      <c r="D39969" t="s">
        <v>9</v>
      </c>
      <c r="E39969" t="s">
        <v>4074</v>
      </c>
      <c r="F39969" s="2" t="str">
        <f>HYPERLINK("http://www.otzar.org/book.asp?100759","שארית יעקב")</f>
        <v>שארית יעקב</v>
      </c>
    </row>
    <row r="39970" spans="1:6" x14ac:dyDescent="0.2">
      <c r="A39970" t="s">
        <v>61094</v>
      </c>
      <c r="B39970" t="s">
        <v>61095</v>
      </c>
      <c r="C39970" t="s">
        <v>61096</v>
      </c>
      <c r="D39970" t="s">
        <v>56</v>
      </c>
      <c r="E39970" t="s">
        <v>154</v>
      </c>
      <c r="F39970" s="2" t="str">
        <f>HYPERLINK("http://www.otzar.org/book.asp?200633","שארית יעקב - 2 כר'")</f>
        <v>שארית יעקב - 2 כר'</v>
      </c>
    </row>
    <row r="39971" spans="1:6" x14ac:dyDescent="0.2">
      <c r="A39971" t="s">
        <v>61090</v>
      </c>
      <c r="B39971" t="s">
        <v>61097</v>
      </c>
      <c r="C39971" t="s">
        <v>503</v>
      </c>
      <c r="D39971" t="s">
        <v>56</v>
      </c>
      <c r="E39971" t="s">
        <v>104</v>
      </c>
      <c r="F39971" s="2" t="str">
        <f>HYPERLINK("http://www.otzar.org/book.asp?8192","שארית יעקב")</f>
        <v>שארית יעקב</v>
      </c>
    </row>
    <row r="39972" spans="1:6" x14ac:dyDescent="0.2">
      <c r="A39972" t="s">
        <v>61098</v>
      </c>
      <c r="B39972" t="s">
        <v>61099</v>
      </c>
      <c r="C39972" t="s">
        <v>61100</v>
      </c>
      <c r="D39972" t="s">
        <v>27</v>
      </c>
      <c r="E39972" t="s">
        <v>144</v>
      </c>
      <c r="F39972" s="2" t="str">
        <f>HYPERLINK("http://www.otzar.org/book.asp?15445","שארית יעקב - 3 כר'")</f>
        <v>שארית יעקב - 3 כר'</v>
      </c>
    </row>
    <row r="39973" spans="1:6" x14ac:dyDescent="0.2">
      <c r="A39973" t="s">
        <v>61090</v>
      </c>
      <c r="B39973" t="s">
        <v>10210</v>
      </c>
      <c r="C39973" t="s">
        <v>698</v>
      </c>
      <c r="D39973" t="s">
        <v>1889</v>
      </c>
      <c r="E39973" t="s">
        <v>158</v>
      </c>
      <c r="F39973" s="2" t="str">
        <f>HYPERLINK("http://www.otzar.org/book.asp?620389","שארית יעקב")</f>
        <v>שארית יעקב</v>
      </c>
    </row>
    <row r="39974" spans="1:6" x14ac:dyDescent="0.2">
      <c r="A39974" t="s">
        <v>61101</v>
      </c>
      <c r="B39974" t="s">
        <v>61102</v>
      </c>
      <c r="C39974" t="s">
        <v>411</v>
      </c>
      <c r="D39974" t="s">
        <v>1156</v>
      </c>
      <c r="F39974" s="2" t="str">
        <f>HYPERLINK("http://www.otzar.org/book.asp?612307","שארית יעקב - 6 כר'")</f>
        <v>שארית יעקב - 6 כר'</v>
      </c>
    </row>
    <row r="39975" spans="1:6" x14ac:dyDescent="0.2">
      <c r="A39975" t="s">
        <v>61094</v>
      </c>
      <c r="B39975" t="s">
        <v>14121</v>
      </c>
      <c r="C39975" t="s">
        <v>23885</v>
      </c>
      <c r="D39975" t="s">
        <v>27</v>
      </c>
      <c r="E39975" t="s">
        <v>234</v>
      </c>
      <c r="F39975" s="2" t="str">
        <f>HYPERLINK("http://www.otzar.org/book.asp?21413","שארית יעקב - 2 כר'")</f>
        <v>שארית יעקב - 2 כר'</v>
      </c>
    </row>
    <row r="39976" spans="1:6" x14ac:dyDescent="0.2">
      <c r="A39976" t="s">
        <v>61090</v>
      </c>
      <c r="B39976" t="s">
        <v>2474</v>
      </c>
      <c r="C39976" t="s">
        <v>429</v>
      </c>
      <c r="D39976" t="s">
        <v>267</v>
      </c>
      <c r="E39976" t="s">
        <v>6440</v>
      </c>
      <c r="F39976" s="2" t="str">
        <f>HYPERLINK("http://www.otzar.org/book.asp?101713","שארית יעקב")</f>
        <v>שארית יעקב</v>
      </c>
    </row>
    <row r="39977" spans="1:6" x14ac:dyDescent="0.2">
      <c r="A39977" t="s">
        <v>61090</v>
      </c>
      <c r="B39977" t="s">
        <v>61103</v>
      </c>
      <c r="C39977" t="s">
        <v>8890</v>
      </c>
      <c r="D39977" t="s">
        <v>42</v>
      </c>
      <c r="E39977" t="s">
        <v>8029</v>
      </c>
      <c r="F39977" s="2" t="str">
        <f>HYPERLINK("http://www.otzar.org/book.asp?21412","שארית יעקב")</f>
        <v>שארית יעקב</v>
      </c>
    </row>
    <row r="39978" spans="1:6" x14ac:dyDescent="0.2">
      <c r="A39978" t="s">
        <v>61090</v>
      </c>
      <c r="B39978" t="s">
        <v>61104</v>
      </c>
      <c r="C39978" t="s">
        <v>1437</v>
      </c>
      <c r="D39978" t="s">
        <v>56</v>
      </c>
      <c r="E39978" t="s">
        <v>61105</v>
      </c>
      <c r="F39978" s="2" t="str">
        <f>HYPERLINK("http://www.otzar.org/book.asp?10910","שארית יעקב")</f>
        <v>שארית יעקב</v>
      </c>
    </row>
    <row r="39979" spans="1:6" x14ac:dyDescent="0.2">
      <c r="A39979" t="s">
        <v>61094</v>
      </c>
      <c r="B39979" t="s">
        <v>61106</v>
      </c>
      <c r="C39979" t="s">
        <v>1666</v>
      </c>
      <c r="D39979" t="s">
        <v>76</v>
      </c>
      <c r="F39979" s="2" t="str">
        <f>HYPERLINK("http://www.otzar.org/book.asp?619199","שארית יעקב - 2 כר'")</f>
        <v>שארית יעקב - 2 כר'</v>
      </c>
    </row>
    <row r="39980" spans="1:6" x14ac:dyDescent="0.2">
      <c r="A39980" t="s">
        <v>61090</v>
      </c>
      <c r="B39980" t="s">
        <v>61107</v>
      </c>
      <c r="C39980" t="s">
        <v>843</v>
      </c>
      <c r="D39980" t="s">
        <v>563</v>
      </c>
      <c r="E39980" t="s">
        <v>14551</v>
      </c>
      <c r="F39980" s="2" t="str">
        <f>HYPERLINK("http://www.otzar.org/book.asp?10069","שארית יעקב")</f>
        <v>שארית יעקב</v>
      </c>
    </row>
    <row r="39981" spans="1:6" x14ac:dyDescent="0.2">
      <c r="A39981" t="s">
        <v>61094</v>
      </c>
      <c r="B39981" t="s">
        <v>15901</v>
      </c>
      <c r="C39981" t="s">
        <v>23</v>
      </c>
      <c r="D39981" t="s">
        <v>14</v>
      </c>
      <c r="E39981" t="s">
        <v>144</v>
      </c>
      <c r="F39981" s="2" t="str">
        <f>HYPERLINK("http://www.otzar.org/book.asp?617897","שארית יעקב - 2 כר'")</f>
        <v>שארית יעקב - 2 כר'</v>
      </c>
    </row>
    <row r="39982" spans="1:6" x14ac:dyDescent="0.2">
      <c r="A39982" t="s">
        <v>61090</v>
      </c>
      <c r="B39982" t="s">
        <v>61108</v>
      </c>
      <c r="C39982" t="s">
        <v>2076</v>
      </c>
      <c r="D39982" t="s">
        <v>27</v>
      </c>
      <c r="E39982" t="s">
        <v>7411</v>
      </c>
      <c r="F39982" s="2" t="str">
        <f>HYPERLINK("http://www.otzar.org/book.asp?173179","שארית יעקב")</f>
        <v>שארית יעקב</v>
      </c>
    </row>
    <row r="39983" spans="1:6" x14ac:dyDescent="0.2">
      <c r="A39983" t="s">
        <v>61090</v>
      </c>
      <c r="B39983" t="s">
        <v>28445</v>
      </c>
      <c r="C39983" t="s">
        <v>2870</v>
      </c>
      <c r="D39983" t="s">
        <v>9896</v>
      </c>
      <c r="E39983" t="s">
        <v>158</v>
      </c>
      <c r="F39983" s="2" t="str">
        <f>HYPERLINK("http://www.otzar.org/book.asp?25385","שארית יעקב")</f>
        <v>שארית יעקב</v>
      </c>
    </row>
    <row r="39984" spans="1:6" x14ac:dyDescent="0.2">
      <c r="A39984" t="s">
        <v>61090</v>
      </c>
      <c r="B39984" t="s">
        <v>61109</v>
      </c>
      <c r="C39984" t="s">
        <v>624</v>
      </c>
      <c r="D39984" t="s">
        <v>52</v>
      </c>
      <c r="E39984" t="s">
        <v>3987</v>
      </c>
      <c r="F39984" s="2" t="str">
        <f>HYPERLINK("http://www.otzar.org/book.asp?21849","שארית יעקב")</f>
        <v>שארית יעקב</v>
      </c>
    </row>
    <row r="39985" spans="1:6" x14ac:dyDescent="0.2">
      <c r="A39985" t="s">
        <v>61090</v>
      </c>
      <c r="B39985" t="s">
        <v>61110</v>
      </c>
      <c r="C39985" t="s">
        <v>533</v>
      </c>
      <c r="D39985" t="s">
        <v>14</v>
      </c>
      <c r="E39985" t="s">
        <v>35077</v>
      </c>
      <c r="F39985" s="2" t="str">
        <f>HYPERLINK("http://www.otzar.org/book.asp?174508","שארית יעקב")</f>
        <v>שארית יעקב</v>
      </c>
    </row>
    <row r="39986" spans="1:6" x14ac:dyDescent="0.2">
      <c r="A39986" t="s">
        <v>61090</v>
      </c>
      <c r="B39986" t="s">
        <v>8330</v>
      </c>
      <c r="C39986" t="s">
        <v>366</v>
      </c>
      <c r="D39986" t="s">
        <v>52</v>
      </c>
      <c r="F39986" s="2" t="str">
        <f>HYPERLINK("http://www.otzar.org/book.asp?613611","שארית יעקב")</f>
        <v>שארית יעקב</v>
      </c>
    </row>
    <row r="39987" spans="1:6" x14ac:dyDescent="0.2">
      <c r="A39987" t="s">
        <v>61090</v>
      </c>
      <c r="B39987" t="s">
        <v>61111</v>
      </c>
      <c r="C39987" t="s">
        <v>2008</v>
      </c>
      <c r="D39987" t="s">
        <v>260</v>
      </c>
      <c r="E39987" t="s">
        <v>158</v>
      </c>
      <c r="F39987" s="2" t="str">
        <f>HYPERLINK("http://www.otzar.org/book.asp?25386","שארית יעקב")</f>
        <v>שארית יעקב</v>
      </c>
    </row>
    <row r="39988" spans="1:6" x14ac:dyDescent="0.2">
      <c r="A39988" t="s">
        <v>61090</v>
      </c>
      <c r="B39988" t="s">
        <v>61112</v>
      </c>
      <c r="C39988" t="s">
        <v>133</v>
      </c>
      <c r="D39988" t="s">
        <v>1156</v>
      </c>
      <c r="E39988" t="s">
        <v>140</v>
      </c>
      <c r="F39988" s="2" t="str">
        <f>HYPERLINK("http://www.otzar.org/book.asp?611140","שארית יעקב")</f>
        <v>שארית יעקב</v>
      </c>
    </row>
    <row r="39989" spans="1:6" x14ac:dyDescent="0.2">
      <c r="A39989" t="s">
        <v>61094</v>
      </c>
      <c r="B39989" t="s">
        <v>61113</v>
      </c>
      <c r="C39989" t="s">
        <v>61114</v>
      </c>
      <c r="D39989" t="s">
        <v>225</v>
      </c>
      <c r="E39989" t="s">
        <v>144</v>
      </c>
      <c r="F39989" s="2" t="str">
        <f>HYPERLINK("http://www.otzar.org/book.asp?104005","שארית יעקב - 2 כר'")</f>
        <v>שארית יעקב - 2 כר'</v>
      </c>
    </row>
    <row r="39990" spans="1:6" x14ac:dyDescent="0.2">
      <c r="A39990" t="s">
        <v>61115</v>
      </c>
      <c r="B39990" t="s">
        <v>61116</v>
      </c>
      <c r="C39990" t="s">
        <v>189</v>
      </c>
      <c r="D39990" t="s">
        <v>14</v>
      </c>
      <c r="E39990" t="s">
        <v>226</v>
      </c>
      <c r="F39990" s="2" t="str">
        <f>HYPERLINK("http://www.otzar.org/book.asp?178945","שארית יצחק - מדרכי הצדיק")</f>
        <v>שארית יצחק - מדרכי הצדיק</v>
      </c>
    </row>
    <row r="39991" spans="1:6" x14ac:dyDescent="0.2">
      <c r="A39991" t="s">
        <v>61117</v>
      </c>
      <c r="B39991" t="s">
        <v>61118</v>
      </c>
      <c r="C39991" t="s">
        <v>445</v>
      </c>
      <c r="D39991" t="s">
        <v>283</v>
      </c>
      <c r="E39991" t="s">
        <v>158</v>
      </c>
      <c r="F39991" s="2" t="str">
        <f>HYPERLINK("http://www.otzar.org/book.asp?141078","שארית יצחק")</f>
        <v>שארית יצחק</v>
      </c>
    </row>
    <row r="39992" spans="1:6" x14ac:dyDescent="0.2">
      <c r="A39992" t="s">
        <v>61117</v>
      </c>
      <c r="B39992" t="s">
        <v>49330</v>
      </c>
      <c r="C39992" t="s">
        <v>785</v>
      </c>
      <c r="D39992" t="s">
        <v>216</v>
      </c>
      <c r="E39992" t="s">
        <v>61119</v>
      </c>
      <c r="F39992" s="2" t="str">
        <f>HYPERLINK("http://www.otzar.org/book.asp?174065","שארית יצחק")</f>
        <v>שארית יצחק</v>
      </c>
    </row>
    <row r="39993" spans="1:6" x14ac:dyDescent="0.2">
      <c r="A39993" t="s">
        <v>61117</v>
      </c>
      <c r="B39993" t="s">
        <v>61120</v>
      </c>
      <c r="C39993" t="s">
        <v>1570</v>
      </c>
      <c r="D39993" t="s">
        <v>412</v>
      </c>
      <c r="E39993" t="s">
        <v>158</v>
      </c>
      <c r="F39993" s="2" t="str">
        <f>HYPERLINK("http://www.otzar.org/book.asp?172177","שארית יצחק")</f>
        <v>שארית יצחק</v>
      </c>
    </row>
    <row r="39994" spans="1:6" x14ac:dyDescent="0.2">
      <c r="A39994" t="s">
        <v>61121</v>
      </c>
      <c r="B39994" t="s">
        <v>33131</v>
      </c>
      <c r="C39994" t="s">
        <v>189</v>
      </c>
      <c r="D39994" t="s">
        <v>412</v>
      </c>
      <c r="E39994" t="s">
        <v>1164</v>
      </c>
      <c r="F39994" s="2" t="str">
        <f>HYPERLINK("http://www.otzar.org/book.asp?165379","שארית ישראל &lt;מהדורה חדשה&gt;")</f>
        <v>שארית ישראל &lt;מהדורה חדשה&gt;</v>
      </c>
    </row>
    <row r="39995" spans="1:6" x14ac:dyDescent="0.2">
      <c r="A39995" t="s">
        <v>61121</v>
      </c>
      <c r="B39995" t="s">
        <v>41746</v>
      </c>
      <c r="C39995" t="s">
        <v>20</v>
      </c>
      <c r="D39995" t="s">
        <v>90</v>
      </c>
      <c r="F39995" s="2" t="str">
        <f>HYPERLINK("http://www.otzar.org/book.asp?188459","שארית ישראל &lt;מהדורה חדשה&gt;")</f>
        <v>שארית ישראל &lt;מהדורה חדשה&gt;</v>
      </c>
    </row>
    <row r="39996" spans="1:6" x14ac:dyDescent="0.2">
      <c r="A39996" t="s">
        <v>61122</v>
      </c>
      <c r="B39996" t="s">
        <v>61123</v>
      </c>
      <c r="C39996" t="s">
        <v>180</v>
      </c>
      <c r="D39996" t="s">
        <v>14</v>
      </c>
      <c r="E39996" t="s">
        <v>119</v>
      </c>
      <c r="F39996" s="2" t="str">
        <f>HYPERLINK("http://www.otzar.org/book.asp?14633","שארית ישראל - 3 כר'")</f>
        <v>שארית ישראל - 3 כר'</v>
      </c>
    </row>
    <row r="39997" spans="1:6" x14ac:dyDescent="0.2">
      <c r="A39997" t="s">
        <v>13509</v>
      </c>
      <c r="B39997" t="s">
        <v>61124</v>
      </c>
      <c r="C39997" t="s">
        <v>1954</v>
      </c>
      <c r="D39997" t="s">
        <v>9</v>
      </c>
      <c r="E39997" t="s">
        <v>6914</v>
      </c>
      <c r="F39997" s="2" t="str">
        <f>HYPERLINK("http://www.otzar.org/book.asp?100758","שארית ישראל")</f>
        <v>שארית ישראל</v>
      </c>
    </row>
    <row r="39998" spans="1:6" x14ac:dyDescent="0.2">
      <c r="A39998" t="s">
        <v>13509</v>
      </c>
      <c r="B39998" t="s">
        <v>4049</v>
      </c>
      <c r="C39998" t="s">
        <v>61125</v>
      </c>
      <c r="D39998" t="s">
        <v>726</v>
      </c>
      <c r="E39998" t="s">
        <v>1185</v>
      </c>
      <c r="F39998" s="2" t="str">
        <f>HYPERLINK("http://www.otzar.org/book.asp?20736","שארית ישראל")</f>
        <v>שארית ישראל</v>
      </c>
    </row>
    <row r="39999" spans="1:6" x14ac:dyDescent="0.2">
      <c r="A39999" t="s">
        <v>61126</v>
      </c>
      <c r="B39999" t="s">
        <v>61127</v>
      </c>
      <c r="C39999" t="s">
        <v>20</v>
      </c>
      <c r="D39999" t="s">
        <v>147</v>
      </c>
      <c r="E39999" t="s">
        <v>148</v>
      </c>
      <c r="F39999" s="2" t="str">
        <f>HYPERLINK("http://www.otzar.org/book.asp?199926","שארית ישראל - נדה")</f>
        <v>שארית ישראל - נדה</v>
      </c>
    </row>
    <row r="40000" spans="1:6" x14ac:dyDescent="0.2">
      <c r="A40000" t="s">
        <v>13509</v>
      </c>
      <c r="B40000" t="s">
        <v>41005</v>
      </c>
      <c r="C40000" t="s">
        <v>462</v>
      </c>
      <c r="D40000" t="s">
        <v>225</v>
      </c>
      <c r="E40000" t="s">
        <v>15</v>
      </c>
      <c r="F40000" s="2" t="str">
        <f>HYPERLINK("http://www.otzar.org/book.asp?52005","שארית ישראל")</f>
        <v>שארית ישראל</v>
      </c>
    </row>
    <row r="40001" spans="1:6" x14ac:dyDescent="0.2">
      <c r="A40001" t="s">
        <v>13509</v>
      </c>
      <c r="B40001" t="s">
        <v>25252</v>
      </c>
      <c r="F40001" s="2" t="str">
        <f>HYPERLINK("http://www.otzar.org/book.asp?618045","שארית ישראל")</f>
        <v>שארית ישראל</v>
      </c>
    </row>
    <row r="40002" spans="1:6" x14ac:dyDescent="0.2">
      <c r="A40002" t="s">
        <v>13509</v>
      </c>
      <c r="B40002" t="s">
        <v>33131</v>
      </c>
      <c r="C40002" t="s">
        <v>1844</v>
      </c>
      <c r="D40002" t="s">
        <v>1279</v>
      </c>
      <c r="E40002" t="s">
        <v>703</v>
      </c>
      <c r="F40002" s="2" t="str">
        <f>HYPERLINK("http://www.otzar.org/book.asp?7295","שארית ישראל")</f>
        <v>שארית ישראל</v>
      </c>
    </row>
    <row r="40003" spans="1:6" x14ac:dyDescent="0.2">
      <c r="A40003" t="s">
        <v>13509</v>
      </c>
      <c r="B40003" t="s">
        <v>41746</v>
      </c>
      <c r="C40003" t="s">
        <v>3695</v>
      </c>
      <c r="D40003" t="s">
        <v>76</v>
      </c>
      <c r="E40003" t="s">
        <v>234</v>
      </c>
      <c r="F40003" s="2" t="str">
        <f>HYPERLINK("http://www.otzar.org/book.asp?20739","שארית ישראל")</f>
        <v>שארית ישראל</v>
      </c>
    </row>
    <row r="40004" spans="1:6" x14ac:dyDescent="0.2">
      <c r="A40004" t="s">
        <v>13509</v>
      </c>
      <c r="B40004" t="s">
        <v>61128</v>
      </c>
      <c r="C40004" t="s">
        <v>785</v>
      </c>
      <c r="D40004" t="s">
        <v>216</v>
      </c>
      <c r="E40004" t="s">
        <v>357</v>
      </c>
      <c r="F40004" s="2" t="str">
        <f>HYPERLINK("http://www.otzar.org/book.asp?174064","שארית ישראל")</f>
        <v>שארית ישראל</v>
      </c>
    </row>
    <row r="40005" spans="1:6" x14ac:dyDescent="0.2">
      <c r="A40005" t="s">
        <v>13509</v>
      </c>
      <c r="B40005" t="s">
        <v>19286</v>
      </c>
      <c r="C40005" t="s">
        <v>26</v>
      </c>
      <c r="D40005" t="s">
        <v>14</v>
      </c>
      <c r="E40005" t="s">
        <v>508</v>
      </c>
      <c r="F40005" s="2" t="str">
        <f>HYPERLINK("http://www.otzar.org/book.asp?102653","שארית ישראל")</f>
        <v>שארית ישראל</v>
      </c>
    </row>
    <row r="40006" spans="1:6" x14ac:dyDescent="0.2">
      <c r="A40006" t="s">
        <v>13509</v>
      </c>
      <c r="B40006" t="s">
        <v>61129</v>
      </c>
      <c r="C40006" t="s">
        <v>2644</v>
      </c>
      <c r="D40006" t="s">
        <v>56</v>
      </c>
      <c r="E40006" t="s">
        <v>234</v>
      </c>
      <c r="F40006" s="2" t="str">
        <f>HYPERLINK("http://www.otzar.org/book.asp?188609","שארית ישראל")</f>
        <v>שארית ישראל</v>
      </c>
    </row>
    <row r="40007" spans="1:6" x14ac:dyDescent="0.2">
      <c r="A40007" t="s">
        <v>13509</v>
      </c>
      <c r="B40007" t="s">
        <v>61130</v>
      </c>
      <c r="C40007" t="s">
        <v>6062</v>
      </c>
      <c r="D40007" t="s">
        <v>280</v>
      </c>
      <c r="E40007" t="s">
        <v>144</v>
      </c>
      <c r="F40007" s="2" t="str">
        <f>HYPERLINK("http://www.otzar.org/book.asp?5678","שארית ישראל")</f>
        <v>שארית ישראל</v>
      </c>
    </row>
    <row r="40008" spans="1:6" x14ac:dyDescent="0.2">
      <c r="A40008" t="s">
        <v>61131</v>
      </c>
      <c r="B40008" t="s">
        <v>4289</v>
      </c>
      <c r="C40008" t="s">
        <v>26</v>
      </c>
      <c r="D40008" t="s">
        <v>52</v>
      </c>
      <c r="E40008" t="s">
        <v>733</v>
      </c>
      <c r="F40008" s="2" t="str">
        <f>HYPERLINK("http://www.otzar.org/book.asp?174567","שארית ישראל, יקרא דחיי")</f>
        <v>שארית ישראל, יקרא דחיי</v>
      </c>
    </row>
    <row r="40009" spans="1:6" x14ac:dyDescent="0.2">
      <c r="A40009" t="s">
        <v>61132</v>
      </c>
      <c r="B40009" t="s">
        <v>61133</v>
      </c>
      <c r="C40009" t="s">
        <v>585</v>
      </c>
      <c r="D40009" t="s">
        <v>14</v>
      </c>
      <c r="E40009" t="s">
        <v>144</v>
      </c>
      <c r="F40009" s="2" t="str">
        <f>HYPERLINK("http://www.otzar.org/book.asp?25481","שארית כלב")</f>
        <v>שארית כלב</v>
      </c>
    </row>
    <row r="40010" spans="1:6" x14ac:dyDescent="0.2">
      <c r="A40010" t="s">
        <v>61134</v>
      </c>
      <c r="B40010" t="s">
        <v>61135</v>
      </c>
      <c r="C40010" t="s">
        <v>244</v>
      </c>
      <c r="D40010" t="s">
        <v>52</v>
      </c>
      <c r="E40010" t="s">
        <v>33041</v>
      </c>
      <c r="F40010" s="2" t="str">
        <f>HYPERLINK("http://www.otzar.org/book.asp?612169","שארית מהרש""ז")</f>
        <v>שארית מהרש"ז</v>
      </c>
    </row>
    <row r="40011" spans="1:6" x14ac:dyDescent="0.2">
      <c r="A40011" t="s">
        <v>61136</v>
      </c>
      <c r="B40011" t="s">
        <v>61137</v>
      </c>
      <c r="C40011" t="s">
        <v>334</v>
      </c>
      <c r="D40011" t="s">
        <v>14</v>
      </c>
      <c r="E40011" t="s">
        <v>13488</v>
      </c>
      <c r="F40011" s="2" t="str">
        <f>HYPERLINK("http://www.otzar.org/book.asp?144019","שארית מנחם")</f>
        <v>שארית מנחם</v>
      </c>
    </row>
    <row r="40012" spans="1:6" x14ac:dyDescent="0.2">
      <c r="A40012" t="s">
        <v>61138</v>
      </c>
      <c r="B40012" t="s">
        <v>61139</v>
      </c>
      <c r="C40012" t="s">
        <v>1570</v>
      </c>
      <c r="D40012" t="s">
        <v>52</v>
      </c>
      <c r="E40012" t="s">
        <v>158</v>
      </c>
      <c r="F40012" s="2" t="str">
        <f>HYPERLINK("http://www.otzar.org/book.asp?171514","שארית מנחם - 7 כר'")</f>
        <v>שארית מנחם - 7 כר'</v>
      </c>
    </row>
    <row r="40013" spans="1:6" x14ac:dyDescent="0.2">
      <c r="A40013" t="s">
        <v>61140</v>
      </c>
      <c r="B40013" t="s">
        <v>61141</v>
      </c>
      <c r="C40013" t="s">
        <v>411</v>
      </c>
      <c r="D40013" t="s">
        <v>14</v>
      </c>
      <c r="E40013" t="s">
        <v>61142</v>
      </c>
      <c r="F40013" s="2" t="str">
        <f>HYPERLINK("http://www.otzar.org/book.asp?170413","שארית מנחם - גנזי מאיר - אלה תולדותיהם")</f>
        <v>שארית מנחם - גנזי מאיר - אלה תולדותיהם</v>
      </c>
    </row>
    <row r="40014" spans="1:6" x14ac:dyDescent="0.2">
      <c r="A40014" t="s">
        <v>61143</v>
      </c>
      <c r="B40014" t="s">
        <v>5726</v>
      </c>
      <c r="C40014" t="s">
        <v>482</v>
      </c>
      <c r="D40014" t="s">
        <v>1731</v>
      </c>
      <c r="E40014" t="s">
        <v>158</v>
      </c>
      <c r="F40014" s="2" t="str">
        <f>HYPERLINK("http://www.otzar.org/book.asp?105517","שארית מנחם - 3 כר'")</f>
        <v>שארית מנחם - 3 כר'</v>
      </c>
    </row>
    <row r="40015" spans="1:6" x14ac:dyDescent="0.2">
      <c r="A40015" t="s">
        <v>61144</v>
      </c>
      <c r="B40015" t="s">
        <v>61145</v>
      </c>
      <c r="C40015" t="s">
        <v>133</v>
      </c>
      <c r="D40015" t="s">
        <v>412</v>
      </c>
      <c r="E40015" t="s">
        <v>579</v>
      </c>
      <c r="F40015" s="2" t="str">
        <f>HYPERLINK("http://www.otzar.org/book.asp?170848","שארית משה")</f>
        <v>שארית משה</v>
      </c>
    </row>
    <row r="40016" spans="1:6" x14ac:dyDescent="0.2">
      <c r="A40016" t="s">
        <v>61146</v>
      </c>
      <c r="B40016" t="s">
        <v>61147</v>
      </c>
      <c r="C40016" t="s">
        <v>854</v>
      </c>
      <c r="D40016" t="s">
        <v>56</v>
      </c>
      <c r="E40016" t="s">
        <v>144</v>
      </c>
      <c r="F40016" s="2" t="str">
        <f>HYPERLINK("http://www.otzar.org/book.asp?189495","שארית נחמיה")</f>
        <v>שארית נחמיה</v>
      </c>
    </row>
    <row r="40017" spans="1:6" x14ac:dyDescent="0.2">
      <c r="A40017" t="s">
        <v>61148</v>
      </c>
      <c r="B40017" t="s">
        <v>61149</v>
      </c>
      <c r="C40017" t="s">
        <v>454</v>
      </c>
      <c r="D40017" t="s">
        <v>412</v>
      </c>
      <c r="E40017" t="s">
        <v>144</v>
      </c>
      <c r="F40017" s="2" t="str">
        <f>HYPERLINK("http://www.otzar.org/book.asp?160456","שארית נתן בנימין")</f>
        <v>שארית נתן בנימין</v>
      </c>
    </row>
    <row r="40018" spans="1:6" x14ac:dyDescent="0.2">
      <c r="A40018" t="s">
        <v>61150</v>
      </c>
      <c r="B40018" t="s">
        <v>61151</v>
      </c>
      <c r="C40018" t="s">
        <v>37</v>
      </c>
      <c r="D40018" t="s">
        <v>486</v>
      </c>
      <c r="E40018" t="s">
        <v>7760</v>
      </c>
      <c r="F40018" s="2" t="str">
        <f>HYPERLINK("http://www.otzar.org/book.asp?180764","שארית נתן - 3 כר'")</f>
        <v>שארית נתן - 3 כר'</v>
      </c>
    </row>
    <row r="40019" spans="1:6" x14ac:dyDescent="0.2">
      <c r="A40019" t="s">
        <v>61152</v>
      </c>
      <c r="B40019" t="s">
        <v>61153</v>
      </c>
      <c r="C40019" t="s">
        <v>748</v>
      </c>
      <c r="D40019" t="s">
        <v>283</v>
      </c>
      <c r="E40019" t="s">
        <v>61154</v>
      </c>
      <c r="F40019" s="2" t="str">
        <f>HYPERLINK("http://www.otzar.org/book.asp?9404","שארית נתן")</f>
        <v>שארית נתן</v>
      </c>
    </row>
    <row r="40020" spans="1:6" x14ac:dyDescent="0.2">
      <c r="A40020" t="s">
        <v>61155</v>
      </c>
      <c r="B40020" t="s">
        <v>61156</v>
      </c>
      <c r="C40020" t="s">
        <v>581</v>
      </c>
      <c r="D40020" t="s">
        <v>2440</v>
      </c>
      <c r="E40020" t="s">
        <v>158</v>
      </c>
      <c r="F40020" s="2" t="str">
        <f>HYPERLINK("http://www.otzar.org/book.asp?141066","שארית עזריאל")</f>
        <v>שארית עזריאל</v>
      </c>
    </row>
    <row r="40021" spans="1:6" x14ac:dyDescent="0.2">
      <c r="A40021" t="s">
        <v>61157</v>
      </c>
      <c r="B40021" t="s">
        <v>26663</v>
      </c>
      <c r="C40021" t="s">
        <v>1844</v>
      </c>
      <c r="D40021" t="s">
        <v>60</v>
      </c>
      <c r="F40021" s="2" t="str">
        <f>HYPERLINK("http://www.otzar.org/book.asp?149231","שארית צבי")</f>
        <v>שארית צבי</v>
      </c>
    </row>
    <row r="40022" spans="1:6" x14ac:dyDescent="0.2">
      <c r="A40022" t="s">
        <v>61158</v>
      </c>
      <c r="B40022" t="s">
        <v>61159</v>
      </c>
      <c r="C40022" t="s">
        <v>2076</v>
      </c>
      <c r="D40022" t="s">
        <v>27</v>
      </c>
      <c r="E40022" t="s">
        <v>158</v>
      </c>
      <c r="F40022" s="2" t="str">
        <f>HYPERLINK("http://www.otzar.org/book.asp?189494","שארית ציון")</f>
        <v>שארית ציון</v>
      </c>
    </row>
    <row r="40023" spans="1:6" x14ac:dyDescent="0.2">
      <c r="A40023" t="s">
        <v>61160</v>
      </c>
      <c r="B40023" t="s">
        <v>61161</v>
      </c>
      <c r="C40023" t="s">
        <v>473</v>
      </c>
      <c r="D40023" t="s">
        <v>225</v>
      </c>
      <c r="E40023" t="s">
        <v>2098</v>
      </c>
      <c r="F40023" s="2" t="str">
        <f>HYPERLINK("http://www.otzar.org/book.asp?25389","שארית שמחה")</f>
        <v>שארית שמחה</v>
      </c>
    </row>
    <row r="40024" spans="1:6" x14ac:dyDescent="0.2">
      <c r="A40024" t="s">
        <v>61160</v>
      </c>
      <c r="B40024" t="s">
        <v>61162</v>
      </c>
      <c r="C40024" t="s">
        <v>427</v>
      </c>
      <c r="D40024" t="s">
        <v>14</v>
      </c>
      <c r="E40024" t="s">
        <v>791</v>
      </c>
      <c r="F40024" s="2" t="str">
        <f>HYPERLINK("http://www.otzar.org/book.asp?13135","שארית שמחה")</f>
        <v>שארית שמחה</v>
      </c>
    </row>
    <row r="40025" spans="1:6" x14ac:dyDescent="0.2">
      <c r="A40025" t="s">
        <v>61163</v>
      </c>
      <c r="B40025" t="s">
        <v>61164</v>
      </c>
      <c r="C40025" t="s">
        <v>244</v>
      </c>
      <c r="D40025" t="s">
        <v>367</v>
      </c>
      <c r="E40025" t="s">
        <v>148</v>
      </c>
      <c r="F40025" s="2" t="str">
        <f>HYPERLINK("http://www.otzar.org/book.asp?199925","שאת המעשר")</f>
        <v>שאת המעשר</v>
      </c>
    </row>
    <row r="40026" spans="1:6" x14ac:dyDescent="0.2">
      <c r="A40026" t="s">
        <v>61165</v>
      </c>
      <c r="B40026" t="s">
        <v>61166</v>
      </c>
      <c r="C40026" t="s">
        <v>1863</v>
      </c>
      <c r="D40026" t="s">
        <v>322</v>
      </c>
      <c r="E40026" t="s">
        <v>154</v>
      </c>
      <c r="F40026" s="2" t="str">
        <f>HYPERLINK("http://www.otzar.org/book.asp?775","שב יעקב - 2 כר'")</f>
        <v>שב יעקב - 2 כר'</v>
      </c>
    </row>
    <row r="40027" spans="1:6" x14ac:dyDescent="0.2">
      <c r="A40027" t="s">
        <v>61167</v>
      </c>
      <c r="B40027" t="s">
        <v>37500</v>
      </c>
      <c r="C40027" t="s">
        <v>189</v>
      </c>
      <c r="D40027" t="s">
        <v>52</v>
      </c>
      <c r="E40027" t="s">
        <v>104</v>
      </c>
      <c r="F40027" s="2" t="str">
        <f>HYPERLINK("http://www.otzar.org/book.asp?159402","שב מערכות")</f>
        <v>שב מערכות</v>
      </c>
    </row>
    <row r="40028" spans="1:6" x14ac:dyDescent="0.2">
      <c r="A40028" t="s">
        <v>61168</v>
      </c>
      <c r="B40028" t="s">
        <v>61169</v>
      </c>
      <c r="C40028" t="s">
        <v>111</v>
      </c>
      <c r="D40028" t="s">
        <v>14</v>
      </c>
      <c r="E40028" t="s">
        <v>144</v>
      </c>
      <c r="F40028" s="2" t="str">
        <f>HYPERLINK("http://www.otzar.org/book.asp?628797","שב שמעתתא &lt;קול דודי&gt; - 3 כר'")</f>
        <v>שב שמעתתא &lt;קול דודי&gt; - 3 כר'</v>
      </c>
    </row>
    <row r="40029" spans="1:6" x14ac:dyDescent="0.2">
      <c r="A40029" t="s">
        <v>61170</v>
      </c>
      <c r="B40029" t="s">
        <v>61171</v>
      </c>
      <c r="C40029" t="s">
        <v>17</v>
      </c>
      <c r="D40029" t="s">
        <v>14</v>
      </c>
      <c r="E40029" t="s">
        <v>144</v>
      </c>
      <c r="F40029" s="2" t="str">
        <f>HYPERLINK("http://www.otzar.org/book.asp?105227","שב שמעתתא &lt;שמעתא המבוארת&gt; - 2 כר'")</f>
        <v>שב שמעתתא &lt;שמעתא המבוארת&gt; - 2 כר'</v>
      </c>
    </row>
    <row r="40030" spans="1:6" x14ac:dyDescent="0.2">
      <c r="A40030" t="s">
        <v>61172</v>
      </c>
      <c r="B40030" t="s">
        <v>61173</v>
      </c>
      <c r="C40030" t="s">
        <v>143</v>
      </c>
      <c r="D40030" t="s">
        <v>52</v>
      </c>
      <c r="E40030" t="s">
        <v>144</v>
      </c>
      <c r="F40030" s="2" t="str">
        <f>HYPERLINK("http://www.otzar.org/book.asp?83691","שב שמעתתא &lt;זיהרא דשמעתתא&gt;")</f>
        <v>שב שמעתתא &lt;זיהרא דשמעתתא&gt;</v>
      </c>
    </row>
    <row r="40031" spans="1:6" x14ac:dyDescent="0.2">
      <c r="A40031" t="s">
        <v>61174</v>
      </c>
      <c r="B40031" t="s">
        <v>61175</v>
      </c>
      <c r="C40031" t="s">
        <v>366</v>
      </c>
      <c r="D40031" t="s">
        <v>52</v>
      </c>
      <c r="F40031" s="2" t="str">
        <f>HYPERLINK("http://www.otzar.org/book.asp?621425","שב שמעתתא &lt;שמועות רבותינו&gt;")</f>
        <v>שב שמעתתא &lt;שמועות רבותינו&gt;</v>
      </c>
    </row>
    <row r="40032" spans="1:6" x14ac:dyDescent="0.2">
      <c r="A40032" t="s">
        <v>61176</v>
      </c>
      <c r="B40032" t="s">
        <v>61177</v>
      </c>
      <c r="C40032" t="s">
        <v>143</v>
      </c>
      <c r="D40032" t="s">
        <v>14</v>
      </c>
      <c r="E40032" t="s">
        <v>803</v>
      </c>
      <c r="F40032" s="2" t="str">
        <f>HYPERLINK("http://www.otzar.org/book.asp?603004","שב שמעתתא &lt;פירושא דשמעתתא&gt;")</f>
        <v>שב שמעתתא &lt;פירושא דשמעתתא&gt;</v>
      </c>
    </row>
    <row r="40033" spans="1:6" x14ac:dyDescent="0.2">
      <c r="A40033" t="s">
        <v>61178</v>
      </c>
      <c r="B40033" t="s">
        <v>836</v>
      </c>
      <c r="C40033" t="s">
        <v>752</v>
      </c>
      <c r="D40033" t="s">
        <v>267</v>
      </c>
      <c r="E40033" t="s">
        <v>144</v>
      </c>
      <c r="F40033" s="2" t="str">
        <f>HYPERLINK("http://www.otzar.org/book.asp?162276","שב שמעתתא &lt;הגהות השו""מ והברוך טעם&gt;")</f>
        <v>שב שמעתתא &lt;הגהות השו"מ והברוך טעם&gt;</v>
      </c>
    </row>
    <row r="40034" spans="1:6" x14ac:dyDescent="0.2">
      <c r="A40034" t="s">
        <v>61179</v>
      </c>
      <c r="B40034" t="s">
        <v>836</v>
      </c>
      <c r="C40034" t="s">
        <v>624</v>
      </c>
      <c r="D40034" t="s">
        <v>14</v>
      </c>
      <c r="E40034" t="s">
        <v>144</v>
      </c>
      <c r="F40034" s="2" t="str">
        <f>HYPERLINK("http://www.otzar.org/book.asp?5189","שב שמעתתא &lt;המוגה&gt;")</f>
        <v>שב שמעתתא &lt;המוגה&gt;</v>
      </c>
    </row>
    <row r="40035" spans="1:6" x14ac:dyDescent="0.2">
      <c r="A40035" t="s">
        <v>61180</v>
      </c>
      <c r="B40035" t="s">
        <v>836</v>
      </c>
      <c r="C40035" t="s">
        <v>68</v>
      </c>
      <c r="D40035" t="s">
        <v>90</v>
      </c>
      <c r="E40035" t="s">
        <v>144</v>
      </c>
      <c r="F40035" s="2" t="str">
        <f>HYPERLINK("http://www.otzar.org/book.asp?174587","שב שמעתתא &lt;הערות וביאורים&gt;")</f>
        <v>שב שמעתתא &lt;הערות וביאורים&gt;</v>
      </c>
    </row>
    <row r="40036" spans="1:6" x14ac:dyDescent="0.2">
      <c r="A40036" t="s">
        <v>61181</v>
      </c>
      <c r="B40036" t="s">
        <v>836</v>
      </c>
      <c r="C40036" t="s">
        <v>13</v>
      </c>
      <c r="D40036" t="s">
        <v>52</v>
      </c>
      <c r="E40036" t="s">
        <v>144</v>
      </c>
      <c r="F40036" s="2" t="str">
        <f>HYPERLINK("http://www.otzar.org/book.asp?175372","שב שמעתתא &lt;מהדורת ספרי אוה""ח&gt;")</f>
        <v>שב שמעתתא &lt;מהדורת ספרי אוה"ח&gt;</v>
      </c>
    </row>
    <row r="40037" spans="1:6" x14ac:dyDescent="0.2">
      <c r="A40037" t="s">
        <v>61182</v>
      </c>
      <c r="B40037" t="s">
        <v>836</v>
      </c>
      <c r="C40037" t="s">
        <v>940</v>
      </c>
      <c r="D40037" t="s">
        <v>14</v>
      </c>
      <c r="F40037" s="2" t="str">
        <f>HYPERLINK("http://www.otzar.org/book.asp?622310","שב שמעתתא &lt;רווחא דשמעתתא&gt;")</f>
        <v>שב שמעתתא &lt;רווחא דשמעתתא&gt;</v>
      </c>
    </row>
    <row r="40038" spans="1:6" x14ac:dyDescent="0.2">
      <c r="A40038" t="s">
        <v>61183</v>
      </c>
      <c r="B40038" t="s">
        <v>51417</v>
      </c>
      <c r="C40038" t="s">
        <v>103</v>
      </c>
      <c r="D40038" t="s">
        <v>14</v>
      </c>
      <c r="E40038" t="s">
        <v>144</v>
      </c>
      <c r="F40038" s="2" t="str">
        <f>HYPERLINK("http://www.otzar.org/book.asp?22088","שב שמעתתא המוגה והמפואר עם קונטרס המקורות")</f>
        <v>שב שמעתתא המוגה והמפואר עם קונטרס המקורות</v>
      </c>
    </row>
    <row r="40039" spans="1:6" x14ac:dyDescent="0.2">
      <c r="A40039" t="s">
        <v>61184</v>
      </c>
      <c r="B40039" t="s">
        <v>61185</v>
      </c>
      <c r="C40039" t="s">
        <v>313</v>
      </c>
      <c r="D40039" t="s">
        <v>14</v>
      </c>
      <c r="E40039" t="s">
        <v>144</v>
      </c>
      <c r="F40039" s="2" t="str">
        <f>HYPERLINK("http://www.otzar.org/book.asp?28170","שב שמעתתא עם אוצר שמועות")</f>
        <v>שב שמעתתא עם אוצר שמועות</v>
      </c>
    </row>
    <row r="40040" spans="1:6" x14ac:dyDescent="0.2">
      <c r="A40040" t="s">
        <v>61186</v>
      </c>
      <c r="B40040" t="s">
        <v>61187</v>
      </c>
      <c r="C40040" t="s">
        <v>20</v>
      </c>
      <c r="D40040" t="s">
        <v>90</v>
      </c>
      <c r="E40040" t="s">
        <v>1211</v>
      </c>
      <c r="F40040" s="2" t="str">
        <f>HYPERLINK("http://www.otzar.org/book.asp?193097","שב שמעתתא עם ביאור דבר המלך - ש""א פ""א-ב")</f>
        <v>שב שמעתתא עם ביאור דבר המלך - ש"א פ"א-ב</v>
      </c>
    </row>
    <row r="40041" spans="1:6" x14ac:dyDescent="0.2">
      <c r="A40041" t="s">
        <v>61188</v>
      </c>
      <c r="B40041" t="s">
        <v>19533</v>
      </c>
      <c r="C40041" t="s">
        <v>143</v>
      </c>
      <c r="D40041" t="s">
        <v>14</v>
      </c>
      <c r="E40041" t="s">
        <v>144</v>
      </c>
      <c r="F40041" s="2" t="str">
        <f>HYPERLINK("http://www.otzar.org/book.asp?60275","שב שמעתתא עם ביאורים והערות הגרש""ז")</f>
        <v>שב שמעתתא עם ביאורים והערות הגרש"ז</v>
      </c>
    </row>
    <row r="40042" spans="1:6" x14ac:dyDescent="0.2">
      <c r="A40042" t="s">
        <v>61189</v>
      </c>
      <c r="B40042" t="s">
        <v>51417</v>
      </c>
      <c r="C40042" t="s">
        <v>143</v>
      </c>
      <c r="D40042" t="s">
        <v>52</v>
      </c>
      <c r="E40042" t="s">
        <v>144</v>
      </c>
      <c r="F40042" s="2" t="str">
        <f>HYPERLINK("http://www.otzar.org/book.asp?16420","שב שמעתתא עם הערות קהלות יעקב")</f>
        <v>שב שמעתתא עם הערות קהלות יעקב</v>
      </c>
    </row>
    <row r="40043" spans="1:6" x14ac:dyDescent="0.2">
      <c r="A40043" t="s">
        <v>61190</v>
      </c>
      <c r="B40043" t="s">
        <v>61191</v>
      </c>
      <c r="C40043" t="s">
        <v>146</v>
      </c>
      <c r="D40043" t="s">
        <v>52</v>
      </c>
      <c r="E40043" t="s">
        <v>144</v>
      </c>
      <c r="F40043" s="2" t="str">
        <f>HYPERLINK("http://www.otzar.org/book.asp?60276","שב שמעתתא עם צילותא דשמעתתא")</f>
        <v>שב שמעתתא עם צילותא דשמעתתא</v>
      </c>
    </row>
    <row r="40044" spans="1:6" x14ac:dyDescent="0.2">
      <c r="A40044" t="s">
        <v>61192</v>
      </c>
      <c r="B40044" t="s">
        <v>61193</v>
      </c>
      <c r="C40044" t="s">
        <v>17</v>
      </c>
      <c r="D40044" t="s">
        <v>14</v>
      </c>
      <c r="E40044" t="s">
        <v>1211</v>
      </c>
      <c r="F40044" s="2" t="str">
        <f>HYPERLINK("http://www.otzar.org/book.asp?50681","שב שמעתתא עם רשימות בשמעתתא")</f>
        <v>שב שמעתתא עם רשימות בשמעתתא</v>
      </c>
    </row>
    <row r="40045" spans="1:6" x14ac:dyDescent="0.2">
      <c r="A40045" t="s">
        <v>61194</v>
      </c>
      <c r="B40045" t="s">
        <v>836</v>
      </c>
      <c r="C40045" t="s">
        <v>1844</v>
      </c>
      <c r="D40045" t="s">
        <v>267</v>
      </c>
      <c r="E40045" t="s">
        <v>144</v>
      </c>
      <c r="F40045" s="2" t="str">
        <f>HYPERLINK("http://www.otzar.org/book.asp?11681","שב שמעתתא")</f>
        <v>שב שמעתתא</v>
      </c>
    </row>
    <row r="40046" spans="1:6" x14ac:dyDescent="0.2">
      <c r="A40046" t="s">
        <v>61195</v>
      </c>
      <c r="B40046" t="s">
        <v>61196</v>
      </c>
      <c r="C40046" t="s">
        <v>114</v>
      </c>
      <c r="D40046" t="s">
        <v>1646</v>
      </c>
      <c r="E40046" t="s">
        <v>144</v>
      </c>
      <c r="F40046" s="2" t="str">
        <f>HYPERLINK("http://www.otzar.org/book.asp?165208","שבו ואחלמה - 4 כר'")</f>
        <v>שבו ואחלמה - 4 כר'</v>
      </c>
    </row>
    <row r="40047" spans="1:6" x14ac:dyDescent="0.2">
      <c r="A40047" t="s">
        <v>61197</v>
      </c>
      <c r="B40047" t="s">
        <v>61198</v>
      </c>
      <c r="C40047" t="s">
        <v>87</v>
      </c>
      <c r="D40047" t="s">
        <v>52</v>
      </c>
      <c r="E40047" t="s">
        <v>144</v>
      </c>
      <c r="F40047" s="2" t="str">
        <f>HYPERLINK("http://www.otzar.org/book.asp?613998","שבולת הנהר - נבכי נהרות")</f>
        <v>שבולת הנהר - נבכי נהרות</v>
      </c>
    </row>
    <row r="40048" spans="1:6" x14ac:dyDescent="0.2">
      <c r="A40048" t="s">
        <v>61199</v>
      </c>
      <c r="B40048" t="s">
        <v>13369</v>
      </c>
      <c r="C40048" t="s">
        <v>1268</v>
      </c>
      <c r="D40048" t="s">
        <v>52</v>
      </c>
      <c r="E40048" t="s">
        <v>474</v>
      </c>
      <c r="F40048" s="2" t="str">
        <f>HYPERLINK("http://www.otzar.org/book.asp?193657","שבולת הנהר - 3 כר'")</f>
        <v>שבולת הנהר - 3 כר'</v>
      </c>
    </row>
    <row r="40049" spans="1:6" x14ac:dyDescent="0.2">
      <c r="A40049" t="s">
        <v>61200</v>
      </c>
      <c r="B40049" t="s">
        <v>1681</v>
      </c>
      <c r="C40049" t="s">
        <v>71</v>
      </c>
      <c r="D40049" t="s">
        <v>52</v>
      </c>
      <c r="E40049" t="s">
        <v>15</v>
      </c>
      <c r="F40049" s="2" t="str">
        <f>HYPERLINK("http://www.otzar.org/book.asp?24377","שבוע וישוע הבן")</f>
        <v>שבוע וישוע הבן</v>
      </c>
    </row>
    <row r="40050" spans="1:6" x14ac:dyDescent="0.2">
      <c r="A40050" t="s">
        <v>61201</v>
      </c>
      <c r="B40050" t="s">
        <v>11725</v>
      </c>
      <c r="C40050" t="s">
        <v>503</v>
      </c>
      <c r="D40050" t="s">
        <v>212</v>
      </c>
      <c r="E40050" t="s">
        <v>1626</v>
      </c>
      <c r="F40050" s="2" t="str">
        <f>HYPERLINK("http://www.otzar.org/book.asp?173092","שבוע טוב. תרס""ד")</f>
        <v>שבוע טוב. תרס"ד</v>
      </c>
    </row>
    <row r="40051" spans="1:6" x14ac:dyDescent="0.2">
      <c r="A40051" t="s">
        <v>61202</v>
      </c>
      <c r="B40051" t="s">
        <v>11725</v>
      </c>
      <c r="C40051" t="s">
        <v>79</v>
      </c>
      <c r="D40051" t="s">
        <v>212</v>
      </c>
      <c r="E40051" t="s">
        <v>1626</v>
      </c>
      <c r="F40051" s="2" t="str">
        <f>HYPERLINK("http://www.otzar.org/book.asp?173098","שבוע טוב. תש""ח")</f>
        <v>שבוע טוב. תש"ח</v>
      </c>
    </row>
    <row r="40052" spans="1:6" x14ac:dyDescent="0.2">
      <c r="A40052" t="s">
        <v>61203</v>
      </c>
      <c r="B40052" t="s">
        <v>61204</v>
      </c>
      <c r="C40052" t="s">
        <v>1640</v>
      </c>
      <c r="D40052" t="s">
        <v>412</v>
      </c>
      <c r="E40052" t="s">
        <v>467</v>
      </c>
      <c r="F40052" s="2" t="str">
        <f>HYPERLINK("http://www.otzar.org/book.asp?188939","שבועות אלמאנאך")</f>
        <v>שבועות אלמאנאך</v>
      </c>
    </row>
    <row r="40053" spans="1:6" x14ac:dyDescent="0.2">
      <c r="A40053" t="s">
        <v>61205</v>
      </c>
      <c r="B40053" t="s">
        <v>10761</v>
      </c>
      <c r="C40053" t="s">
        <v>151</v>
      </c>
      <c r="D40053" t="s">
        <v>14</v>
      </c>
      <c r="F40053" s="2" t="str">
        <f>HYPERLINK("http://www.otzar.org/book.asp?622921","שבועות למעשה")</f>
        <v>שבועות למעשה</v>
      </c>
    </row>
    <row r="40054" spans="1:6" x14ac:dyDescent="0.2">
      <c r="A40054" t="s">
        <v>61206</v>
      </c>
      <c r="B40054" t="s">
        <v>61206</v>
      </c>
      <c r="C40054" t="s">
        <v>1640</v>
      </c>
      <c r="D40054" t="s">
        <v>52</v>
      </c>
      <c r="E40054" t="s">
        <v>144</v>
      </c>
      <c r="F40054" s="2" t="str">
        <f>HYPERLINK("http://www.otzar.org/book.asp?12028","שבועת המשנה")</f>
        <v>שבועת המשנה</v>
      </c>
    </row>
    <row r="40055" spans="1:6" x14ac:dyDescent="0.2">
      <c r="A40055" t="s">
        <v>61207</v>
      </c>
      <c r="B40055" t="s">
        <v>4019</v>
      </c>
      <c r="C40055" t="s">
        <v>103</v>
      </c>
      <c r="D40055" t="s">
        <v>14</v>
      </c>
      <c r="E40055" t="s">
        <v>144</v>
      </c>
      <c r="F40055" s="2" t="str">
        <f>HYPERLINK("http://www.otzar.org/book.asp?168391","שבועת העדות")</f>
        <v>שבועת העדות</v>
      </c>
    </row>
    <row r="40056" spans="1:6" x14ac:dyDescent="0.2">
      <c r="A40056" t="s">
        <v>61208</v>
      </c>
      <c r="B40056" t="s">
        <v>61209</v>
      </c>
      <c r="C40056" t="s">
        <v>13</v>
      </c>
      <c r="D40056" t="s">
        <v>14</v>
      </c>
      <c r="E40056" t="s">
        <v>61210</v>
      </c>
      <c r="F40056" s="2" t="str">
        <f>HYPERLINK("http://www.otzar.org/book.asp?179426","שבות יהודה - 2 כר'")</f>
        <v>שבות יהודה - 2 כר'</v>
      </c>
    </row>
    <row r="40057" spans="1:6" x14ac:dyDescent="0.2">
      <c r="A40057" t="s">
        <v>61211</v>
      </c>
      <c r="B40057" t="s">
        <v>61212</v>
      </c>
      <c r="C40057" t="s">
        <v>244</v>
      </c>
      <c r="D40057" t="s">
        <v>423</v>
      </c>
      <c r="E40057" t="s">
        <v>148</v>
      </c>
      <c r="F40057" s="2" t="str">
        <f>HYPERLINK("http://www.otzar.org/book.asp?196755","שבות יהודה")</f>
        <v>שבות יהודה</v>
      </c>
    </row>
    <row r="40058" spans="1:6" x14ac:dyDescent="0.2">
      <c r="A40058" t="s">
        <v>61211</v>
      </c>
      <c r="B40058" t="s">
        <v>2464</v>
      </c>
      <c r="C40058" t="s">
        <v>2243</v>
      </c>
      <c r="D40058" t="s">
        <v>212</v>
      </c>
      <c r="E40058" t="s">
        <v>43</v>
      </c>
      <c r="F40058" s="2" t="str">
        <f>HYPERLINK("http://www.otzar.org/book.asp?101124","שבות יהודה")</f>
        <v>שבות יהודה</v>
      </c>
    </row>
    <row r="40059" spans="1:6" x14ac:dyDescent="0.2">
      <c r="A40059" t="s">
        <v>61213</v>
      </c>
      <c r="B40059" t="s">
        <v>61214</v>
      </c>
      <c r="C40059" t="s">
        <v>1448</v>
      </c>
      <c r="D40059" t="s">
        <v>14</v>
      </c>
      <c r="E40059" t="s">
        <v>61215</v>
      </c>
      <c r="F40059" s="2" t="str">
        <f>HYPERLINK("http://www.otzar.org/book.asp?181510","שבות יהודה, בנין נערים, מילי דאבא")</f>
        <v>שבות יהודה, בנין נערים, מילי דאבא</v>
      </c>
    </row>
    <row r="40060" spans="1:6" x14ac:dyDescent="0.2">
      <c r="A40060" t="s">
        <v>61216</v>
      </c>
      <c r="B40060" t="s">
        <v>28805</v>
      </c>
      <c r="C40060" t="s">
        <v>9914</v>
      </c>
      <c r="D40060" t="s">
        <v>157</v>
      </c>
      <c r="E40060" t="s">
        <v>144</v>
      </c>
      <c r="F40060" s="2" t="str">
        <f>HYPERLINK("http://www.otzar.org/book.asp?25390","שבות יעקב")</f>
        <v>שבות יעקב</v>
      </c>
    </row>
    <row r="40061" spans="1:6" x14ac:dyDescent="0.2">
      <c r="A40061" t="s">
        <v>61217</v>
      </c>
      <c r="B40061" t="s">
        <v>27157</v>
      </c>
      <c r="C40061" t="s">
        <v>61218</v>
      </c>
      <c r="D40061" t="s">
        <v>18341</v>
      </c>
      <c r="E40061" t="s">
        <v>508</v>
      </c>
      <c r="F40061" s="2" t="str">
        <f>HYPERLINK("http://www.otzar.org/book.asp?102655","שבות יעקב - 5 כר'")</f>
        <v>שבות יעקב - 5 כר'</v>
      </c>
    </row>
    <row r="40062" spans="1:6" x14ac:dyDescent="0.2">
      <c r="A40062" t="s">
        <v>61219</v>
      </c>
      <c r="B40062" t="s">
        <v>61220</v>
      </c>
      <c r="C40062" t="s">
        <v>785</v>
      </c>
      <c r="D40062" t="s">
        <v>14</v>
      </c>
      <c r="E40062" t="s">
        <v>15</v>
      </c>
      <c r="F40062" s="2" t="str">
        <f>HYPERLINK("http://www.otzar.org/book.asp?142302","שבות יצחק - 18 כר'")</f>
        <v>שבות יצחק - 18 כר'</v>
      </c>
    </row>
    <row r="40063" spans="1:6" x14ac:dyDescent="0.2">
      <c r="A40063" t="s">
        <v>61221</v>
      </c>
      <c r="B40063" t="s">
        <v>18360</v>
      </c>
      <c r="C40063" t="s">
        <v>103</v>
      </c>
      <c r="D40063" t="s">
        <v>52</v>
      </c>
      <c r="E40063" t="s">
        <v>154</v>
      </c>
      <c r="F40063" s="2" t="str">
        <f>HYPERLINK("http://www.otzar.org/book.asp?51133","שבות עמי - א")</f>
        <v>שבות עמי - א</v>
      </c>
    </row>
    <row r="40064" spans="1:6" x14ac:dyDescent="0.2">
      <c r="A40064" t="s">
        <v>61222</v>
      </c>
      <c r="B40064" t="s">
        <v>6762</v>
      </c>
      <c r="C40064" t="s">
        <v>143</v>
      </c>
      <c r="D40064" t="s">
        <v>21</v>
      </c>
      <c r="E40064" t="s">
        <v>158</v>
      </c>
      <c r="F40064" s="2" t="str">
        <f>HYPERLINK("http://www.otzar.org/book.asp?193112","שבח ואמת")</f>
        <v>שבח ואמת</v>
      </c>
    </row>
    <row r="40065" spans="1:6" x14ac:dyDescent="0.2">
      <c r="A40065" t="s">
        <v>61223</v>
      </c>
      <c r="B40065" t="s">
        <v>61224</v>
      </c>
      <c r="C40065" t="s">
        <v>725</v>
      </c>
      <c r="D40065" t="s">
        <v>6974</v>
      </c>
      <c r="E40065" t="s">
        <v>399</v>
      </c>
      <c r="F40065" s="2" t="str">
        <f>HYPERLINK("http://www.otzar.org/book.asp?25079","שבח חיים &lt;חיים וחסד&gt;")</f>
        <v>שבח חיים &lt;חיים וחסד&gt;</v>
      </c>
    </row>
    <row r="40066" spans="1:6" x14ac:dyDescent="0.2">
      <c r="A40066" t="s">
        <v>61225</v>
      </c>
      <c r="B40066" t="s">
        <v>2396</v>
      </c>
      <c r="C40066" t="s">
        <v>37</v>
      </c>
      <c r="D40066" t="s">
        <v>1076</v>
      </c>
      <c r="E40066" t="s">
        <v>61226</v>
      </c>
      <c r="F40066" s="2" t="str">
        <f>HYPERLINK("http://www.otzar.org/book.asp?617324","שבח לבני אהרן  - בסוגיות הש""ס")</f>
        <v>שבח לבני אהרן  - בסוגיות הש"ס</v>
      </c>
    </row>
    <row r="40067" spans="1:6" x14ac:dyDescent="0.2">
      <c r="A40067" t="s">
        <v>61227</v>
      </c>
      <c r="B40067" t="s">
        <v>61228</v>
      </c>
      <c r="C40067" t="s">
        <v>411</v>
      </c>
      <c r="D40067" t="s">
        <v>14</v>
      </c>
      <c r="E40067" t="s">
        <v>144</v>
      </c>
      <c r="F40067" s="2" t="str">
        <f>HYPERLINK("http://www.otzar.org/book.asp?171242","שבח נעורים")</f>
        <v>שבח נעורים</v>
      </c>
    </row>
    <row r="40068" spans="1:6" x14ac:dyDescent="0.2">
      <c r="A40068" t="s">
        <v>61227</v>
      </c>
      <c r="B40068" t="s">
        <v>9673</v>
      </c>
      <c r="C40068" t="s">
        <v>103</v>
      </c>
      <c r="D40068" t="s">
        <v>52</v>
      </c>
      <c r="E40068" t="s">
        <v>2071</v>
      </c>
      <c r="F40068" s="2" t="str">
        <f>HYPERLINK("http://www.otzar.org/book.asp?155926","שבח נעורים")</f>
        <v>שבח נעורים</v>
      </c>
    </row>
    <row r="40069" spans="1:6" x14ac:dyDescent="0.2">
      <c r="A40069" t="s">
        <v>61229</v>
      </c>
      <c r="B40069" t="s">
        <v>24253</v>
      </c>
      <c r="C40069" t="s">
        <v>1706</v>
      </c>
      <c r="D40069" t="s">
        <v>283</v>
      </c>
      <c r="E40069" t="s">
        <v>50056</v>
      </c>
      <c r="F40069" s="2" t="str">
        <f>HYPERLINK("http://www.otzar.org/book.asp?104759","שבח פסח - 3 כר'")</f>
        <v>שבח פסח - 3 כר'</v>
      </c>
    </row>
    <row r="40070" spans="1:6" x14ac:dyDescent="0.2">
      <c r="A40070" t="s">
        <v>61230</v>
      </c>
      <c r="B40070" t="s">
        <v>61231</v>
      </c>
      <c r="C40070" t="s">
        <v>133</v>
      </c>
      <c r="D40070" t="s">
        <v>412</v>
      </c>
      <c r="E40070" t="s">
        <v>246</v>
      </c>
      <c r="F40070" s="2" t="str">
        <f>HYPERLINK("http://www.otzar.org/book.asp?192864","שבח פסח - חודש ניסן, הגדה של פסח")</f>
        <v>שבח פסח - חודש ניסן, הגדה של פסח</v>
      </c>
    </row>
    <row r="40071" spans="1:6" x14ac:dyDescent="0.2">
      <c r="A40071" t="s">
        <v>61232</v>
      </c>
      <c r="B40071" t="s">
        <v>61233</v>
      </c>
      <c r="C40071" t="s">
        <v>1166</v>
      </c>
      <c r="D40071" t="s">
        <v>61234</v>
      </c>
      <c r="E40071" t="s">
        <v>219</v>
      </c>
      <c r="F40071" s="2" t="str">
        <f>HYPERLINK("http://www.otzar.org/book.asp?25391","שבח שבת")</f>
        <v>שבח שבת</v>
      </c>
    </row>
    <row r="40072" spans="1:6" x14ac:dyDescent="0.2">
      <c r="A40072" t="s">
        <v>61235</v>
      </c>
      <c r="B40072" t="s">
        <v>61236</v>
      </c>
      <c r="C40072" t="s">
        <v>103</v>
      </c>
      <c r="D40072" t="s">
        <v>14</v>
      </c>
      <c r="E40072" t="s">
        <v>104</v>
      </c>
      <c r="F40072" s="2" t="str">
        <f>HYPERLINK("http://www.otzar.org/book.asp?144534","שבחה של תורה")</f>
        <v>שבחה של תורה</v>
      </c>
    </row>
    <row r="40073" spans="1:6" x14ac:dyDescent="0.2">
      <c r="A40073" t="s">
        <v>61237</v>
      </c>
      <c r="B40073" t="s">
        <v>61238</v>
      </c>
      <c r="C40073" t="s">
        <v>244</v>
      </c>
      <c r="D40073" t="s">
        <v>412</v>
      </c>
      <c r="E40073" t="s">
        <v>104</v>
      </c>
      <c r="F40073" s="2" t="str">
        <f>HYPERLINK("http://www.otzar.org/book.asp?199927","שבחו אהובים - 3 כר'")</f>
        <v>שבחו אהובים - 3 כר'</v>
      </c>
    </row>
    <row r="40074" spans="1:6" x14ac:dyDescent="0.2">
      <c r="A40074" t="s">
        <v>61239</v>
      </c>
      <c r="B40074" t="s">
        <v>61240</v>
      </c>
      <c r="C40074" t="s">
        <v>68</v>
      </c>
      <c r="D40074" t="s">
        <v>14</v>
      </c>
      <c r="F40074" s="2" t="str">
        <f>HYPERLINK("http://www.otzar.org/book.asp?156915","שבחו אהובים")</f>
        <v>שבחו אהובים</v>
      </c>
    </row>
    <row r="40075" spans="1:6" x14ac:dyDescent="0.2">
      <c r="A40075" t="s">
        <v>61241</v>
      </c>
      <c r="B40075" t="s">
        <v>38435</v>
      </c>
      <c r="C40075" t="s">
        <v>68</v>
      </c>
      <c r="D40075" t="s">
        <v>52</v>
      </c>
      <c r="E40075" t="s">
        <v>246</v>
      </c>
      <c r="F40075" s="2" t="str">
        <f>HYPERLINK("http://www.otzar.org/book.asp?166185","שבחו גאולים - 2 כר'")</f>
        <v>שבחו גאולים - 2 כר'</v>
      </c>
    </row>
    <row r="40076" spans="1:6" x14ac:dyDescent="0.2">
      <c r="A40076" t="s">
        <v>61242</v>
      </c>
      <c r="B40076" t="s">
        <v>4640</v>
      </c>
      <c r="C40076" t="s">
        <v>366</v>
      </c>
      <c r="D40076" t="s">
        <v>52</v>
      </c>
      <c r="E40076" t="s">
        <v>246</v>
      </c>
      <c r="F40076" s="2" t="str">
        <f>HYPERLINK("http://www.otzar.org/book.asp?609898","שבחו גאולים - חג הפסח וספירת העומר")</f>
        <v>שבחו גאולים - חג הפסח וספירת העומר</v>
      </c>
    </row>
    <row r="40077" spans="1:6" x14ac:dyDescent="0.2">
      <c r="A40077" t="s">
        <v>61243</v>
      </c>
      <c r="B40077" t="s">
        <v>61244</v>
      </c>
      <c r="C40077" t="s">
        <v>87</v>
      </c>
      <c r="D40077" t="s">
        <v>1180</v>
      </c>
      <c r="F40077" s="2" t="str">
        <f>HYPERLINK("http://www.otzar.org/book.asp?53880","שבחו של אהרן")</f>
        <v>שבחו של אהרן</v>
      </c>
    </row>
    <row r="40078" spans="1:6" x14ac:dyDescent="0.2">
      <c r="A40078" t="s">
        <v>61243</v>
      </c>
      <c r="B40078" t="s">
        <v>11063</v>
      </c>
      <c r="C40078" t="s">
        <v>553</v>
      </c>
      <c r="D40078" t="s">
        <v>2347</v>
      </c>
      <c r="E40078" t="s">
        <v>226</v>
      </c>
      <c r="F40078" s="2" t="str">
        <f>HYPERLINK("http://www.otzar.org/book.asp?22928","שבחו של אהרן")</f>
        <v>שבחו של אהרן</v>
      </c>
    </row>
    <row r="40079" spans="1:6" x14ac:dyDescent="0.2">
      <c r="A40079" t="s">
        <v>61243</v>
      </c>
      <c r="B40079" t="s">
        <v>206</v>
      </c>
      <c r="C40079" t="s">
        <v>313</v>
      </c>
      <c r="D40079" t="s">
        <v>14</v>
      </c>
      <c r="E40079" t="s">
        <v>226</v>
      </c>
      <c r="F40079" s="2" t="str">
        <f>HYPERLINK("http://www.otzar.org/book.asp?153841","שבחו של אהרן")</f>
        <v>שבחו של אהרן</v>
      </c>
    </row>
    <row r="40080" spans="1:6" x14ac:dyDescent="0.2">
      <c r="A40080" t="s">
        <v>61243</v>
      </c>
      <c r="B40080" t="s">
        <v>58256</v>
      </c>
      <c r="C40080" t="s">
        <v>51</v>
      </c>
      <c r="D40080" t="s">
        <v>52</v>
      </c>
      <c r="E40080" t="s">
        <v>119</v>
      </c>
      <c r="F40080" s="2" t="str">
        <f>HYPERLINK("http://www.otzar.org/book.asp?143884","שבחו של אהרן")</f>
        <v>שבחו של אהרן</v>
      </c>
    </row>
    <row r="40081" spans="1:6" x14ac:dyDescent="0.2">
      <c r="A40081" t="s">
        <v>61243</v>
      </c>
      <c r="B40081" t="s">
        <v>1005</v>
      </c>
      <c r="C40081" t="s">
        <v>422</v>
      </c>
      <c r="D40081" t="s">
        <v>90</v>
      </c>
      <c r="E40081" t="s">
        <v>202</v>
      </c>
      <c r="F40081" s="2" t="str">
        <f>HYPERLINK("http://www.otzar.org/book.asp?623833","שבחו של אהרן")</f>
        <v>שבחו של אהרן</v>
      </c>
    </row>
    <row r="40082" spans="1:6" x14ac:dyDescent="0.2">
      <c r="A40082" t="s">
        <v>61245</v>
      </c>
      <c r="B40082" t="s">
        <v>33759</v>
      </c>
      <c r="C40082" t="s">
        <v>13</v>
      </c>
      <c r="D40082" t="s">
        <v>14</v>
      </c>
      <c r="E40082" t="s">
        <v>104</v>
      </c>
      <c r="F40082" s="2" t="str">
        <f>HYPERLINK("http://www.otzar.org/book.asp?146453","שבחו של צדיק")</f>
        <v>שבחו של צדיק</v>
      </c>
    </row>
    <row r="40083" spans="1:6" x14ac:dyDescent="0.2">
      <c r="A40083" t="s">
        <v>61246</v>
      </c>
      <c r="B40083" t="s">
        <v>61247</v>
      </c>
      <c r="C40083" t="s">
        <v>748</v>
      </c>
      <c r="D40083" t="s">
        <v>27</v>
      </c>
      <c r="E40083" t="s">
        <v>219</v>
      </c>
      <c r="F40083" s="2" t="str">
        <f>HYPERLINK("http://www.otzar.org/book.asp?154667","שבחות לא-ל")</f>
        <v>שבחות לא-ל</v>
      </c>
    </row>
    <row r="40084" spans="1:6" x14ac:dyDescent="0.2">
      <c r="A40084" t="s">
        <v>61248</v>
      </c>
      <c r="B40084" t="s">
        <v>61249</v>
      </c>
      <c r="C40084" t="s">
        <v>940</v>
      </c>
      <c r="D40084" t="s">
        <v>14</v>
      </c>
      <c r="E40084" t="s">
        <v>158</v>
      </c>
      <c r="F40084" s="2" t="str">
        <f>HYPERLINK("http://www.otzar.org/book.asp?156009","שבחי אומר")</f>
        <v>שבחי אומר</v>
      </c>
    </row>
    <row r="40085" spans="1:6" x14ac:dyDescent="0.2">
      <c r="A40085" t="s">
        <v>61250</v>
      </c>
      <c r="B40085" t="s">
        <v>61251</v>
      </c>
      <c r="C40085" t="s">
        <v>1414</v>
      </c>
      <c r="D40085" t="s">
        <v>61252</v>
      </c>
      <c r="F40085" s="2" t="str">
        <f>HYPERLINK("http://www.otzar.org/book.asp?164785","שבחי אלהים &lt;דפו""ר&gt;")</f>
        <v>שבחי אלהים &lt;דפו"ר&gt;</v>
      </c>
    </row>
    <row r="40086" spans="1:6" x14ac:dyDescent="0.2">
      <c r="A40086" t="s">
        <v>61253</v>
      </c>
      <c r="B40086" t="s">
        <v>61251</v>
      </c>
      <c r="C40086" t="s">
        <v>1414</v>
      </c>
      <c r="D40086" t="s">
        <v>61252</v>
      </c>
      <c r="E40086" t="s">
        <v>219</v>
      </c>
      <c r="F40086" s="2" t="str">
        <f>HYPERLINK("http://www.otzar.org/book.asp?24965","שבחי אלהים")</f>
        <v>שבחי אלהים</v>
      </c>
    </row>
    <row r="40087" spans="1:6" x14ac:dyDescent="0.2">
      <c r="A40087" t="s">
        <v>61254</v>
      </c>
      <c r="B40087" t="s">
        <v>39136</v>
      </c>
      <c r="C40087" t="s">
        <v>635</v>
      </c>
      <c r="D40087" t="s">
        <v>56</v>
      </c>
      <c r="E40087" t="s">
        <v>104</v>
      </c>
      <c r="F40087" s="2" t="str">
        <f>HYPERLINK("http://www.otzar.org/book.asp?179078","שבחי ארץ החיים")</f>
        <v>שבחי ארץ החיים</v>
      </c>
    </row>
    <row r="40088" spans="1:6" x14ac:dyDescent="0.2">
      <c r="A40088" t="s">
        <v>61255</v>
      </c>
      <c r="B40088" t="s">
        <v>61256</v>
      </c>
      <c r="C40088" t="s">
        <v>61257</v>
      </c>
      <c r="D40088" t="s">
        <v>947</v>
      </c>
      <c r="E40088" t="s">
        <v>741</v>
      </c>
      <c r="F40088" s="2" t="str">
        <f>HYPERLINK("http://www.otzar.org/book.asp?148481","שבחי בעל שם טוב")</f>
        <v>שבחי בעל שם טוב</v>
      </c>
    </row>
    <row r="40089" spans="1:6" x14ac:dyDescent="0.2">
      <c r="A40089" t="s">
        <v>61258</v>
      </c>
      <c r="B40089" t="s">
        <v>61259</v>
      </c>
      <c r="C40089" t="s">
        <v>3957</v>
      </c>
      <c r="D40089" t="s">
        <v>544</v>
      </c>
      <c r="F40089" s="2" t="str">
        <f>HYPERLINK("http://www.otzar.org/book.asp?170251","שבחי האר""י &lt;דפו""ר&gt; - 2 כר'")</f>
        <v>שבחי האר"י &lt;דפו"ר&gt; - 2 כר'</v>
      </c>
    </row>
    <row r="40090" spans="1:6" x14ac:dyDescent="0.2">
      <c r="A40090" t="s">
        <v>61260</v>
      </c>
      <c r="B40090" t="s">
        <v>61261</v>
      </c>
      <c r="C40090" t="s">
        <v>4374</v>
      </c>
      <c r="D40090" t="s">
        <v>267</v>
      </c>
      <c r="E40090" t="s">
        <v>119</v>
      </c>
      <c r="F40090" s="2" t="str">
        <f>HYPERLINK("http://www.otzar.org/book.asp?181138","שבחי האר""י - 2 כר'")</f>
        <v>שבחי האר"י - 2 כר'</v>
      </c>
    </row>
    <row r="40091" spans="1:6" x14ac:dyDescent="0.2">
      <c r="A40091" t="s">
        <v>61262</v>
      </c>
      <c r="B40091" t="s">
        <v>61263</v>
      </c>
      <c r="C40091" t="s">
        <v>752</v>
      </c>
      <c r="D40091" t="s">
        <v>6608</v>
      </c>
      <c r="E40091" t="s">
        <v>119</v>
      </c>
      <c r="F40091" s="2" t="str">
        <f>HYPERLINK("http://www.otzar.org/book.asp?106473","שבחי האר""י")</f>
        <v>שבחי האר"י</v>
      </c>
    </row>
    <row r="40092" spans="1:6" x14ac:dyDescent="0.2">
      <c r="A40092" t="s">
        <v>61264</v>
      </c>
      <c r="B40092" t="s">
        <v>61265</v>
      </c>
      <c r="C40092" t="s">
        <v>189</v>
      </c>
      <c r="D40092" t="s">
        <v>14</v>
      </c>
      <c r="E40092" t="s">
        <v>140</v>
      </c>
      <c r="F40092" s="2" t="str">
        <f>HYPERLINK("http://www.otzar.org/book.asp?186151","שבחי הבעש""ט &lt;מהדורת רובינשטיין&gt;")</f>
        <v>שבחי הבעש"ט &lt;מהדורת רובינשטיין&gt;</v>
      </c>
    </row>
    <row r="40093" spans="1:6" x14ac:dyDescent="0.2">
      <c r="A40093" t="s">
        <v>61266</v>
      </c>
      <c r="B40093" t="s">
        <v>61267</v>
      </c>
      <c r="C40093" t="s">
        <v>61268</v>
      </c>
      <c r="D40093" t="s">
        <v>35756</v>
      </c>
      <c r="E40093" t="s">
        <v>140</v>
      </c>
      <c r="F40093" s="2" t="str">
        <f>HYPERLINK("http://www.otzar.org/book.asp?625622","שבחי הבעש""ט - 2 כר'")</f>
        <v>שבחי הבעש"ט - 2 כר'</v>
      </c>
    </row>
    <row r="40094" spans="1:6" x14ac:dyDescent="0.2">
      <c r="A40094" t="s">
        <v>61269</v>
      </c>
      <c r="B40094" t="s">
        <v>61270</v>
      </c>
      <c r="C40094" t="s">
        <v>649</v>
      </c>
      <c r="D40094" t="s">
        <v>280</v>
      </c>
      <c r="E40094" t="s">
        <v>226</v>
      </c>
      <c r="F40094" s="2" t="str">
        <f>HYPERLINK("http://www.otzar.org/book.asp?658","שבחי הבעש""ט")</f>
        <v>שבחי הבעש"ט</v>
      </c>
    </row>
    <row r="40095" spans="1:6" x14ac:dyDescent="0.2">
      <c r="A40095" t="s">
        <v>61271</v>
      </c>
      <c r="B40095" t="s">
        <v>15084</v>
      </c>
      <c r="C40095" t="s">
        <v>422</v>
      </c>
      <c r="D40095" t="s">
        <v>14</v>
      </c>
      <c r="E40095" t="s">
        <v>172</v>
      </c>
      <c r="F40095" s="2" t="str">
        <f>HYPERLINK("http://www.otzar.org/book.asp?62844","שבחי הלולים")</f>
        <v>שבחי הלולים</v>
      </c>
    </row>
    <row r="40096" spans="1:6" x14ac:dyDescent="0.2">
      <c r="A40096" t="s">
        <v>61272</v>
      </c>
      <c r="B40096" t="s">
        <v>26000</v>
      </c>
      <c r="C40096" t="s">
        <v>20</v>
      </c>
      <c r="D40096" t="s">
        <v>14</v>
      </c>
      <c r="E40096" t="s">
        <v>140</v>
      </c>
      <c r="F40096" s="2" t="str">
        <f>HYPERLINK("http://www.otzar.org/book.asp?165405","שבחי הר""ן &lt;המנוקד&gt;")</f>
        <v>שבחי הר"ן &lt;המנוקד&gt;</v>
      </c>
    </row>
    <row r="40097" spans="1:6" x14ac:dyDescent="0.2">
      <c r="A40097" t="s">
        <v>61273</v>
      </c>
      <c r="B40097" t="s">
        <v>26000</v>
      </c>
      <c r="C40097" t="s">
        <v>286</v>
      </c>
      <c r="D40097" t="s">
        <v>14</v>
      </c>
      <c r="F40097" s="2" t="str">
        <f>HYPERLINK("http://www.otzar.org/book.asp?618667","שבחי הר""ן - 2 כר'")</f>
        <v>שבחי הר"ן - 2 כר'</v>
      </c>
    </row>
    <row r="40098" spans="1:6" x14ac:dyDescent="0.2">
      <c r="A40098" t="s">
        <v>61274</v>
      </c>
      <c r="B40098" t="s">
        <v>26000</v>
      </c>
      <c r="C40098" t="s">
        <v>286</v>
      </c>
      <c r="D40098" t="s">
        <v>27</v>
      </c>
      <c r="E40098" t="s">
        <v>226</v>
      </c>
      <c r="F40098" s="2" t="str">
        <f>HYPERLINK("http://www.otzar.org/book.asp?11463","שבחי הר""נ")</f>
        <v>שבחי הר"נ</v>
      </c>
    </row>
    <row r="40099" spans="1:6" x14ac:dyDescent="0.2">
      <c r="A40099" t="s">
        <v>61275</v>
      </c>
      <c r="B40099" t="s">
        <v>61276</v>
      </c>
      <c r="C40099" t="s">
        <v>1844</v>
      </c>
      <c r="D40099" t="s">
        <v>1279</v>
      </c>
      <c r="E40099" t="s">
        <v>119</v>
      </c>
      <c r="F40099" s="2" t="str">
        <f>HYPERLINK("http://www.otzar.org/book.asp?52476","שבחי הרב - 4 כר'")</f>
        <v>שבחי הרב - 4 כר'</v>
      </c>
    </row>
    <row r="40100" spans="1:6" x14ac:dyDescent="0.2">
      <c r="A40100" t="s">
        <v>61277</v>
      </c>
      <c r="B40100" t="s">
        <v>4201</v>
      </c>
      <c r="C40100" t="s">
        <v>454</v>
      </c>
      <c r="D40100" t="s">
        <v>52</v>
      </c>
      <c r="E40100" t="s">
        <v>119</v>
      </c>
      <c r="F40100" s="2" t="str">
        <f>HYPERLINK("http://www.otzar.org/book.asp?144396","שבחי הרמ""ק")</f>
        <v>שבחי הרמ"ק</v>
      </c>
    </row>
    <row r="40101" spans="1:6" x14ac:dyDescent="0.2">
      <c r="A40101" t="s">
        <v>61278</v>
      </c>
      <c r="B40101" t="s">
        <v>61279</v>
      </c>
      <c r="C40101" t="s">
        <v>950</v>
      </c>
      <c r="D40101" t="s">
        <v>1279</v>
      </c>
      <c r="E40101" t="s">
        <v>104</v>
      </c>
      <c r="F40101" s="2" t="str">
        <f>HYPERLINK("http://www.otzar.org/book.asp?25392","שבחי ירושלים")</f>
        <v>שבחי ירושלים</v>
      </c>
    </row>
    <row r="40102" spans="1:6" x14ac:dyDescent="0.2">
      <c r="A40102" t="s">
        <v>61280</v>
      </c>
      <c r="B40102" t="s">
        <v>12720</v>
      </c>
      <c r="C40102" t="s">
        <v>3106</v>
      </c>
      <c r="D40102" t="s">
        <v>9</v>
      </c>
      <c r="E40102" t="s">
        <v>463</v>
      </c>
      <c r="F40102" s="2" t="str">
        <f>HYPERLINK("http://www.otzar.org/book.asp?174694","שבחי כהן כתר תורה")</f>
        <v>שבחי כהן כתר תורה</v>
      </c>
    </row>
    <row r="40103" spans="1:6" x14ac:dyDescent="0.2">
      <c r="A40103" t="s">
        <v>61281</v>
      </c>
      <c r="B40103" t="s">
        <v>5822</v>
      </c>
      <c r="C40103" t="s">
        <v>429</v>
      </c>
      <c r="D40103" t="s">
        <v>283</v>
      </c>
      <c r="E40103" t="s">
        <v>104</v>
      </c>
      <c r="F40103" s="2" t="str">
        <f>HYPERLINK("http://www.otzar.org/book.asp?166209","שבחי כנסת ישראל")</f>
        <v>שבחי כנסת ישראל</v>
      </c>
    </row>
    <row r="40104" spans="1:6" x14ac:dyDescent="0.2">
      <c r="A40104" t="s">
        <v>61282</v>
      </c>
      <c r="B40104" t="s">
        <v>61283</v>
      </c>
      <c r="C40104" t="s">
        <v>20</v>
      </c>
      <c r="D40104" t="s">
        <v>14</v>
      </c>
      <c r="F40104" s="2" t="str">
        <f>HYPERLINK("http://www.otzar.org/book.asp?169698","שבחי מארי שלום טביב")</f>
        <v>שבחי מארי שלום טביב</v>
      </c>
    </row>
    <row r="40105" spans="1:6" x14ac:dyDescent="0.2">
      <c r="A40105" t="s">
        <v>61284</v>
      </c>
      <c r="B40105" t="s">
        <v>61285</v>
      </c>
      <c r="C40105" t="s">
        <v>143</v>
      </c>
      <c r="D40105" t="s">
        <v>3939</v>
      </c>
      <c r="E40105" t="s">
        <v>246</v>
      </c>
      <c r="F40105" s="2" t="str">
        <f>HYPERLINK("http://www.otzar.org/book.asp?196784","שבחי מועדים")</f>
        <v>שבחי מועדים</v>
      </c>
    </row>
    <row r="40106" spans="1:6" x14ac:dyDescent="0.2">
      <c r="A40106" t="s">
        <v>61286</v>
      </c>
      <c r="B40106" t="s">
        <v>61287</v>
      </c>
      <c r="C40106" t="s">
        <v>160</v>
      </c>
      <c r="D40106" t="s">
        <v>1889</v>
      </c>
      <c r="E40106" t="s">
        <v>4731</v>
      </c>
      <c r="F40106" s="2" t="str">
        <f>HYPERLINK("http://www.otzar.org/book.asp?85845","שבחי פסח")</f>
        <v>שבחי פסח</v>
      </c>
    </row>
    <row r="40107" spans="1:6" x14ac:dyDescent="0.2">
      <c r="A40107" t="s">
        <v>61288</v>
      </c>
      <c r="B40107" t="s">
        <v>61289</v>
      </c>
      <c r="C40107" t="s">
        <v>445</v>
      </c>
      <c r="D40107" t="s">
        <v>283</v>
      </c>
      <c r="E40107" t="s">
        <v>104</v>
      </c>
      <c r="F40107" s="2" t="str">
        <f>HYPERLINK("http://www.otzar.org/book.asp?300551","שבחי צדיקים - 2 כר'")</f>
        <v>שבחי צדיקים - 2 כר'</v>
      </c>
    </row>
    <row r="40108" spans="1:6" x14ac:dyDescent="0.2">
      <c r="A40108" t="s">
        <v>61288</v>
      </c>
      <c r="B40108" t="s">
        <v>61290</v>
      </c>
      <c r="C40108" t="s">
        <v>61291</v>
      </c>
      <c r="D40108" t="s">
        <v>3208</v>
      </c>
      <c r="E40108" t="s">
        <v>104</v>
      </c>
      <c r="F40108" s="2" t="str">
        <f>HYPERLINK("http://www.otzar.org/book.asp?626340","שבחי צדיקים - 2 כר'")</f>
        <v>שבחי צדיקים - 2 כר'</v>
      </c>
    </row>
    <row r="40109" spans="1:6" x14ac:dyDescent="0.2">
      <c r="A40109" t="s">
        <v>61292</v>
      </c>
      <c r="B40109" t="s">
        <v>61293</v>
      </c>
      <c r="C40109" t="s">
        <v>146</v>
      </c>
      <c r="D40109" t="s">
        <v>52</v>
      </c>
      <c r="F40109" s="2" t="str">
        <f>HYPERLINK("http://www.otzar.org/book.asp?612021","שבחי קדושת לוי")</f>
        <v>שבחי קדושת לוי</v>
      </c>
    </row>
    <row r="40110" spans="1:6" x14ac:dyDescent="0.2">
      <c r="A40110" t="s">
        <v>61294</v>
      </c>
      <c r="B40110" t="s">
        <v>405</v>
      </c>
      <c r="C40110" t="s">
        <v>20</v>
      </c>
      <c r="D40110" t="s">
        <v>90</v>
      </c>
      <c r="E40110" t="s">
        <v>2075</v>
      </c>
      <c r="F40110" s="2" t="str">
        <f>HYPERLINK("http://www.otzar.org/book.asp?150932","שבחי ר' חיים וויטאל - 4 כר'")</f>
        <v>שבחי ר' חיים וויטאל - 4 כר'</v>
      </c>
    </row>
    <row r="40111" spans="1:6" x14ac:dyDescent="0.2">
      <c r="A40111" t="s">
        <v>61295</v>
      </c>
      <c r="B40111" t="s">
        <v>27142</v>
      </c>
      <c r="C40111" t="s">
        <v>79</v>
      </c>
      <c r="D40111" t="s">
        <v>14</v>
      </c>
      <c r="F40111" s="2" t="str">
        <f>HYPERLINK("http://www.otzar.org/book.asp?613323","שבחי ר' מאיר")</f>
        <v>שבחי ר' מאיר</v>
      </c>
    </row>
    <row r="40112" spans="1:6" x14ac:dyDescent="0.2">
      <c r="A40112" t="s">
        <v>61296</v>
      </c>
      <c r="B40112" t="s">
        <v>61297</v>
      </c>
      <c r="C40112" t="s">
        <v>63</v>
      </c>
      <c r="D40112" t="s">
        <v>14</v>
      </c>
      <c r="E40112" t="s">
        <v>733</v>
      </c>
      <c r="F40112" s="2" t="str">
        <f>HYPERLINK("http://www.otzar.org/book.asp?149166","שבחי רב ייב""י")</f>
        <v>שבחי רב ייב"י</v>
      </c>
    </row>
    <row r="40113" spans="1:6" x14ac:dyDescent="0.2">
      <c r="A40113" t="s">
        <v>61298</v>
      </c>
      <c r="B40113" t="s">
        <v>206</v>
      </c>
      <c r="C40113" t="s">
        <v>23</v>
      </c>
      <c r="D40113" t="s">
        <v>2798</v>
      </c>
      <c r="E40113" t="s">
        <v>119</v>
      </c>
      <c r="F40113" s="2" t="str">
        <f>HYPERLINK("http://www.otzar.org/book.asp?190713","שבחי רבינו השומר אמונים - ב")</f>
        <v>שבחי רבינו השומר אמונים - ב</v>
      </c>
    </row>
    <row r="40114" spans="1:6" x14ac:dyDescent="0.2">
      <c r="A40114" t="s">
        <v>61299</v>
      </c>
      <c r="B40114" t="s">
        <v>25451</v>
      </c>
      <c r="C40114" t="s">
        <v>106</v>
      </c>
      <c r="D40114" t="s">
        <v>14</v>
      </c>
      <c r="E40114" t="s">
        <v>226</v>
      </c>
      <c r="F40114" s="2" t="str">
        <f>HYPERLINK("http://www.otzar.org/book.asp?6439","שבחי רמ""ל")</f>
        <v>שבחי רמ"ל</v>
      </c>
    </row>
    <row r="40115" spans="1:6" x14ac:dyDescent="0.2">
      <c r="A40115" t="s">
        <v>61300</v>
      </c>
      <c r="B40115" t="s">
        <v>3462</v>
      </c>
      <c r="C40115" t="s">
        <v>51</v>
      </c>
      <c r="D40115" t="s">
        <v>52</v>
      </c>
      <c r="E40115" t="s">
        <v>2075</v>
      </c>
      <c r="F40115" s="2" t="str">
        <f>HYPERLINK("http://www.otzar.org/book.asp?61408","שבחי רשב""י &lt;בכתבי הרמ""ק&gt;")</f>
        <v>שבחי רשב"י &lt;בכתבי הרמ"ק&gt;</v>
      </c>
    </row>
    <row r="40116" spans="1:6" x14ac:dyDescent="0.2">
      <c r="A40116" t="s">
        <v>61301</v>
      </c>
      <c r="B40116" t="s">
        <v>61302</v>
      </c>
      <c r="C40116" t="s">
        <v>189</v>
      </c>
      <c r="D40116" t="s">
        <v>52</v>
      </c>
      <c r="F40116" s="2" t="str">
        <f>HYPERLINK("http://www.otzar.org/book.asp?190707","שבחי שלמה - 2 כר'")</f>
        <v>שבחי שלמה - 2 כר'</v>
      </c>
    </row>
    <row r="40117" spans="1:6" x14ac:dyDescent="0.2">
      <c r="A40117" t="s">
        <v>61303</v>
      </c>
      <c r="B40117" t="s">
        <v>61304</v>
      </c>
      <c r="C40117" t="s">
        <v>9995</v>
      </c>
      <c r="D40117" t="s">
        <v>212</v>
      </c>
      <c r="E40117" t="s">
        <v>219</v>
      </c>
      <c r="F40117" s="2" t="str">
        <f>HYPERLINK("http://www.otzar.org/book.asp?53582","שבחי תודה")</f>
        <v>שבחי תודה</v>
      </c>
    </row>
    <row r="40118" spans="1:6" x14ac:dyDescent="0.2">
      <c r="A40118" t="s">
        <v>61305</v>
      </c>
      <c r="B40118" t="s">
        <v>19311</v>
      </c>
      <c r="C40118" t="s">
        <v>20</v>
      </c>
      <c r="D40118" t="s">
        <v>152</v>
      </c>
      <c r="E40118" t="s">
        <v>104</v>
      </c>
      <c r="F40118" s="2" t="str">
        <f>HYPERLINK("http://www.otzar.org/book.asp?173261","שבחין אסדר")</f>
        <v>שבחין אסדר</v>
      </c>
    </row>
    <row r="40119" spans="1:6" x14ac:dyDescent="0.2">
      <c r="A40119" t="s">
        <v>61306</v>
      </c>
      <c r="B40119" t="s">
        <v>1809</v>
      </c>
      <c r="C40119" t="s">
        <v>63</v>
      </c>
      <c r="D40119" t="s">
        <v>14</v>
      </c>
      <c r="E40119" t="s">
        <v>1517</v>
      </c>
      <c r="F40119" s="2" t="str">
        <f>HYPERLINK("http://www.otzar.org/book.asp?103741","שבחין דרשב""י")</f>
        <v>שבחין דרשב"י</v>
      </c>
    </row>
    <row r="40120" spans="1:6" x14ac:dyDescent="0.2">
      <c r="A40120" t="s">
        <v>61307</v>
      </c>
      <c r="B40120" t="s">
        <v>61308</v>
      </c>
      <c r="C40120" t="s">
        <v>61309</v>
      </c>
      <c r="D40120" t="s">
        <v>1966</v>
      </c>
      <c r="E40120" t="s">
        <v>158</v>
      </c>
      <c r="F40120" s="2" t="str">
        <f>HYPERLINK("http://www.otzar.org/book.asp?155737","שבט אפרים - 2 כר'")</f>
        <v>שבט אפרים - 2 כר'</v>
      </c>
    </row>
    <row r="40121" spans="1:6" x14ac:dyDescent="0.2">
      <c r="A40121" t="s">
        <v>61310</v>
      </c>
      <c r="B40121" t="s">
        <v>61311</v>
      </c>
      <c r="C40121" t="s">
        <v>244</v>
      </c>
      <c r="D40121" t="s">
        <v>646</v>
      </c>
      <c r="F40121" s="2" t="str">
        <f>HYPERLINK("http://www.otzar.org/book.asp?622051","שבט אפרים - א")</f>
        <v>שבט אפרים - א</v>
      </c>
    </row>
    <row r="40122" spans="1:6" x14ac:dyDescent="0.2">
      <c r="A40122" t="s">
        <v>61312</v>
      </c>
      <c r="B40122" t="s">
        <v>61313</v>
      </c>
      <c r="C40122" t="s">
        <v>146</v>
      </c>
      <c r="D40122" t="s">
        <v>52</v>
      </c>
      <c r="E40122" t="s">
        <v>144</v>
      </c>
      <c r="F40122" s="2" t="str">
        <f>HYPERLINK("http://www.otzar.org/book.asp?148813","שבט אשר")</f>
        <v>שבט אשר</v>
      </c>
    </row>
    <row r="40123" spans="1:6" x14ac:dyDescent="0.2">
      <c r="A40123" t="s">
        <v>61314</v>
      </c>
      <c r="B40123" t="s">
        <v>6936</v>
      </c>
      <c r="C40123" t="s">
        <v>547</v>
      </c>
      <c r="D40123" t="s">
        <v>61315</v>
      </c>
      <c r="E40123" t="s">
        <v>508</v>
      </c>
      <c r="F40123" s="2" t="str">
        <f>HYPERLINK("http://www.otzar.org/book.asp?28529","שבט בנימין")</f>
        <v>שבט בנימין</v>
      </c>
    </row>
    <row r="40124" spans="1:6" x14ac:dyDescent="0.2">
      <c r="A40124" t="s">
        <v>61314</v>
      </c>
      <c r="B40124" t="s">
        <v>36217</v>
      </c>
      <c r="C40124" t="s">
        <v>129</v>
      </c>
      <c r="D40124" t="s">
        <v>14</v>
      </c>
      <c r="E40124" t="s">
        <v>130</v>
      </c>
      <c r="F40124" s="2" t="str">
        <f>HYPERLINK("http://www.otzar.org/book.asp?60115","שבט בנימין")</f>
        <v>שבט בנימין</v>
      </c>
    </row>
    <row r="40125" spans="1:6" x14ac:dyDescent="0.2">
      <c r="A40125" t="s">
        <v>61314</v>
      </c>
      <c r="B40125" t="s">
        <v>61316</v>
      </c>
      <c r="C40125" t="s">
        <v>61317</v>
      </c>
      <c r="D40125" t="s">
        <v>76</v>
      </c>
      <c r="E40125" t="s">
        <v>15</v>
      </c>
      <c r="F40125" s="2" t="str">
        <f>HYPERLINK("http://www.otzar.org/book.asp?101781","שבט בנימין")</f>
        <v>שבט בנימין</v>
      </c>
    </row>
    <row r="40126" spans="1:6" x14ac:dyDescent="0.2">
      <c r="A40126" t="s">
        <v>61318</v>
      </c>
      <c r="B40126" t="s">
        <v>4437</v>
      </c>
      <c r="C40126" t="s">
        <v>146</v>
      </c>
      <c r="D40126" t="s">
        <v>52</v>
      </c>
      <c r="E40126" t="s">
        <v>202</v>
      </c>
      <c r="F40126" s="2" t="str">
        <f>HYPERLINK("http://www.otzar.org/book.asp?25813","שבט הכהונה - 7 כר'")</f>
        <v>שבט הכהונה - 7 כר'</v>
      </c>
    </row>
    <row r="40127" spans="1:6" x14ac:dyDescent="0.2">
      <c r="A40127" t="s">
        <v>61319</v>
      </c>
      <c r="B40127" t="s">
        <v>16984</v>
      </c>
      <c r="C40127" t="s">
        <v>37</v>
      </c>
      <c r="D40127" t="s">
        <v>52</v>
      </c>
      <c r="E40127" t="s">
        <v>158</v>
      </c>
      <c r="F40127" s="2" t="str">
        <f>HYPERLINK("http://www.otzar.org/book.asp?605289","שבט הלוי  על התורה  - בראשית")</f>
        <v>שבט הלוי  על התורה  - בראשית</v>
      </c>
    </row>
    <row r="40128" spans="1:6" x14ac:dyDescent="0.2">
      <c r="A40128" t="s">
        <v>61320</v>
      </c>
      <c r="B40128" t="s">
        <v>16984</v>
      </c>
      <c r="C40128" t="s">
        <v>114</v>
      </c>
      <c r="D40128" t="s">
        <v>52</v>
      </c>
      <c r="E40128" t="s">
        <v>130</v>
      </c>
      <c r="F40128" s="2" t="str">
        <f>HYPERLINK("http://www.otzar.org/book.asp?605291","שבט הלוי על מועדים - חנוכה")</f>
        <v>שבט הלוי על מועדים - חנוכה</v>
      </c>
    </row>
    <row r="40129" spans="1:6" x14ac:dyDescent="0.2">
      <c r="A40129" t="s">
        <v>61321</v>
      </c>
      <c r="B40129" t="s">
        <v>11912</v>
      </c>
      <c r="C40129" t="s">
        <v>812</v>
      </c>
      <c r="D40129" t="s">
        <v>27</v>
      </c>
      <c r="E40129" t="s">
        <v>3387</v>
      </c>
      <c r="F40129" s="2" t="str">
        <f>HYPERLINK("http://www.otzar.org/book.asp?16538","שבט הלוי")</f>
        <v>שבט הלוי</v>
      </c>
    </row>
    <row r="40130" spans="1:6" x14ac:dyDescent="0.2">
      <c r="A40130" t="s">
        <v>61322</v>
      </c>
      <c r="B40130" t="s">
        <v>16984</v>
      </c>
      <c r="C40130" t="s">
        <v>51</v>
      </c>
      <c r="D40130" t="s">
        <v>52</v>
      </c>
      <c r="E40130" t="s">
        <v>154</v>
      </c>
      <c r="F40130" s="2" t="str">
        <f>HYPERLINK("http://www.otzar.org/book.asp?106848","שבט הלוי - 13 כר'")</f>
        <v>שבט הלוי - 13 כר'</v>
      </c>
    </row>
    <row r="40131" spans="1:6" x14ac:dyDescent="0.2">
      <c r="A40131" t="s">
        <v>61323</v>
      </c>
      <c r="B40131" t="s">
        <v>41602</v>
      </c>
      <c r="C40131" t="s">
        <v>775</v>
      </c>
      <c r="D40131" t="s">
        <v>14</v>
      </c>
      <c r="E40131" t="s">
        <v>154</v>
      </c>
      <c r="F40131" s="2" t="str">
        <f>HYPERLINK("http://www.otzar.org/book.asp?50920","שבט הקהתי - 6 כר'")</f>
        <v>שבט הקהתי - 6 כר'</v>
      </c>
    </row>
    <row r="40132" spans="1:6" x14ac:dyDescent="0.2">
      <c r="A40132" t="s">
        <v>61324</v>
      </c>
      <c r="B40132" t="s">
        <v>61325</v>
      </c>
      <c r="C40132" t="s">
        <v>19870</v>
      </c>
      <c r="D40132" t="s">
        <v>50803</v>
      </c>
      <c r="E40132" t="s">
        <v>119</v>
      </c>
      <c r="F40132" s="2" t="str">
        <f>HYPERLINK("http://www.otzar.org/book.asp?191400","שבט יהודא")</f>
        <v>שבט יהודא</v>
      </c>
    </row>
    <row r="40133" spans="1:6" x14ac:dyDescent="0.2">
      <c r="A40133" t="s">
        <v>61326</v>
      </c>
      <c r="B40133" t="s">
        <v>10154</v>
      </c>
      <c r="C40133" t="s">
        <v>624</v>
      </c>
      <c r="D40133" t="s">
        <v>14</v>
      </c>
      <c r="E40133" t="s">
        <v>49191</v>
      </c>
      <c r="F40133" s="2" t="str">
        <f>HYPERLINK("http://www.otzar.org/book.asp?143703","שבט יהודה &lt;מהדורה חדשה&gt;")</f>
        <v>שבט יהודה &lt;מהדורה חדשה&gt;</v>
      </c>
    </row>
    <row r="40134" spans="1:6" x14ac:dyDescent="0.2">
      <c r="A40134" t="s">
        <v>61327</v>
      </c>
      <c r="B40134" t="s">
        <v>61325</v>
      </c>
      <c r="C40134" t="s">
        <v>383</v>
      </c>
      <c r="D40134" t="s">
        <v>27</v>
      </c>
      <c r="E40134" t="s">
        <v>733</v>
      </c>
      <c r="F40134" s="2" t="str">
        <f>HYPERLINK("http://www.otzar.org/book.asp?143712","שבט יהודה - 5 כר'")</f>
        <v>שבט יהודה - 5 כר'</v>
      </c>
    </row>
    <row r="40135" spans="1:6" x14ac:dyDescent="0.2">
      <c r="A40135" t="s">
        <v>61328</v>
      </c>
      <c r="B40135" t="s">
        <v>61329</v>
      </c>
      <c r="C40135" t="s">
        <v>87</v>
      </c>
      <c r="D40135" t="s">
        <v>14</v>
      </c>
      <c r="E40135" t="s">
        <v>23215</v>
      </c>
      <c r="F40135" s="2" t="str">
        <f>HYPERLINK("http://www.otzar.org/book.asp?154501","שבט יהודה")</f>
        <v>שבט יהודה</v>
      </c>
    </row>
    <row r="40136" spans="1:6" x14ac:dyDescent="0.2">
      <c r="A40136" t="s">
        <v>61328</v>
      </c>
      <c r="B40136" t="s">
        <v>61330</v>
      </c>
      <c r="C40136" t="s">
        <v>466</v>
      </c>
      <c r="D40136" t="s">
        <v>14</v>
      </c>
      <c r="E40136" t="s">
        <v>5186</v>
      </c>
      <c r="F40136" s="2" t="str">
        <f>HYPERLINK("http://www.otzar.org/book.asp?159166","שבט יהודה")</f>
        <v>שבט יהודה</v>
      </c>
    </row>
    <row r="40137" spans="1:6" x14ac:dyDescent="0.2">
      <c r="A40137" t="s">
        <v>61328</v>
      </c>
      <c r="B40137" t="s">
        <v>61331</v>
      </c>
      <c r="C40137" t="s">
        <v>366</v>
      </c>
      <c r="D40137" t="s">
        <v>423</v>
      </c>
      <c r="F40137" s="2" t="str">
        <f>HYPERLINK("http://www.otzar.org/book.asp?616280","שבט יהודה")</f>
        <v>שבט יהודה</v>
      </c>
    </row>
    <row r="40138" spans="1:6" x14ac:dyDescent="0.2">
      <c r="A40138" t="s">
        <v>61328</v>
      </c>
      <c r="B40138" t="s">
        <v>61332</v>
      </c>
      <c r="C40138" t="s">
        <v>114</v>
      </c>
      <c r="D40138" t="s">
        <v>14</v>
      </c>
      <c r="E40138" t="s">
        <v>8469</v>
      </c>
      <c r="F40138" s="2" t="str">
        <f>HYPERLINK("http://www.otzar.org/book.asp?182470","שבט יהודה")</f>
        <v>שבט יהודה</v>
      </c>
    </row>
    <row r="40139" spans="1:6" x14ac:dyDescent="0.2">
      <c r="A40139" t="s">
        <v>61328</v>
      </c>
      <c r="B40139" t="s">
        <v>10154</v>
      </c>
      <c r="C40139" t="s">
        <v>2488</v>
      </c>
      <c r="D40139" t="s">
        <v>212</v>
      </c>
      <c r="E40139" t="s">
        <v>172</v>
      </c>
      <c r="F40139" s="2" t="str">
        <f>HYPERLINK("http://www.otzar.org/book.asp?150042","שבט יהודה")</f>
        <v>שבט יהודה</v>
      </c>
    </row>
    <row r="40140" spans="1:6" x14ac:dyDescent="0.2">
      <c r="A40140" t="s">
        <v>61333</v>
      </c>
      <c r="B40140" t="s">
        <v>61334</v>
      </c>
      <c r="C40140" t="s">
        <v>1904</v>
      </c>
      <c r="D40140" t="s">
        <v>100</v>
      </c>
      <c r="E40140" t="s">
        <v>119</v>
      </c>
      <c r="F40140" s="2" t="str">
        <f>HYPERLINK("http://www.otzar.org/book.asp?20742","שבט ישראל")</f>
        <v>שבט ישראל</v>
      </c>
    </row>
    <row r="40141" spans="1:6" x14ac:dyDescent="0.2">
      <c r="A40141" t="s">
        <v>61335</v>
      </c>
      <c r="B40141" t="s">
        <v>61336</v>
      </c>
      <c r="C40141" t="s">
        <v>20</v>
      </c>
      <c r="D40141" t="s">
        <v>1356</v>
      </c>
      <c r="F40141" s="2" t="str">
        <f>HYPERLINK("http://www.otzar.org/book.asp?199108","שבט יששכר")</f>
        <v>שבט יששכר</v>
      </c>
    </row>
    <row r="40142" spans="1:6" x14ac:dyDescent="0.2">
      <c r="A40142" t="s">
        <v>61337</v>
      </c>
      <c r="B40142" t="s">
        <v>3539</v>
      </c>
      <c r="C40142" t="s">
        <v>411</v>
      </c>
      <c r="D40142" t="s">
        <v>52</v>
      </c>
      <c r="E40142" t="s">
        <v>3567</v>
      </c>
      <c r="F40142" s="2" t="str">
        <f>HYPERLINK("http://www.otzar.org/book.asp?600578","שבט כהונה, שר השלום")</f>
        <v>שבט כהונה, שר השלום</v>
      </c>
    </row>
    <row r="40143" spans="1:6" x14ac:dyDescent="0.2">
      <c r="A40143" t="s">
        <v>61338</v>
      </c>
      <c r="B40143" t="s">
        <v>1112</v>
      </c>
      <c r="C40143" t="s">
        <v>20</v>
      </c>
      <c r="D40143" t="s">
        <v>14</v>
      </c>
      <c r="E40143" t="s">
        <v>241</v>
      </c>
      <c r="F40143" s="2" t="str">
        <f>HYPERLINK("http://www.otzar.org/book.asp?156095","שבט מוסר עם עברי דייטש")</f>
        <v>שבט מוסר עם עברי דייטש</v>
      </c>
    </row>
    <row r="40144" spans="1:6" x14ac:dyDescent="0.2">
      <c r="A40144" t="s">
        <v>61339</v>
      </c>
      <c r="B40144" t="s">
        <v>1112</v>
      </c>
      <c r="C40144" t="s">
        <v>61340</v>
      </c>
      <c r="D40144" t="s">
        <v>592</v>
      </c>
      <c r="F40144" s="2" t="str">
        <f>HYPERLINK("http://www.otzar.org/book.asp?618035","שבט מוסר")</f>
        <v>שבט מוסר</v>
      </c>
    </row>
    <row r="40145" spans="1:6" x14ac:dyDescent="0.2">
      <c r="A40145" t="s">
        <v>61341</v>
      </c>
      <c r="B40145" t="s">
        <v>4816</v>
      </c>
      <c r="C40145" t="s">
        <v>332</v>
      </c>
      <c r="D40145" t="s">
        <v>14</v>
      </c>
      <c r="E40145" t="s">
        <v>583</v>
      </c>
      <c r="F40145" s="2" t="str">
        <f>HYPERLINK("http://www.otzar.org/book.asp?507","שבט מוסר - 6 כר'")</f>
        <v>שבט מוסר - 6 כר'</v>
      </c>
    </row>
    <row r="40146" spans="1:6" x14ac:dyDescent="0.2">
      <c r="A40146" t="s">
        <v>61342</v>
      </c>
      <c r="B40146" t="s">
        <v>13599</v>
      </c>
      <c r="C40146" t="s">
        <v>767</v>
      </c>
      <c r="D40146" t="s">
        <v>52</v>
      </c>
      <c r="E40146" t="s">
        <v>15</v>
      </c>
      <c r="F40146" s="2" t="str">
        <f>HYPERLINK("http://www.otzar.org/book.asp?160295","שבט מיהודא - מקוואות")</f>
        <v>שבט מיהודא - מקוואות</v>
      </c>
    </row>
    <row r="40147" spans="1:6" x14ac:dyDescent="0.2">
      <c r="A40147" t="s">
        <v>61343</v>
      </c>
      <c r="B40147" t="s">
        <v>23580</v>
      </c>
      <c r="C40147" t="s">
        <v>189</v>
      </c>
      <c r="D40147" t="s">
        <v>412</v>
      </c>
      <c r="E40147" t="s">
        <v>61344</v>
      </c>
      <c r="F40147" s="2" t="str">
        <f>HYPERLINK("http://www.otzar.org/book.asp?160360","שבט מיהודה החדש")</f>
        <v>שבט מיהודה החדש</v>
      </c>
    </row>
    <row r="40148" spans="1:6" x14ac:dyDescent="0.2">
      <c r="A40148" t="s">
        <v>61345</v>
      </c>
      <c r="B40148" t="s">
        <v>27478</v>
      </c>
      <c r="C40148" t="s">
        <v>1246</v>
      </c>
      <c r="D40148" t="s">
        <v>27</v>
      </c>
      <c r="E40148" t="s">
        <v>803</v>
      </c>
      <c r="F40148" s="2" t="str">
        <f>HYPERLINK("http://www.otzar.org/book.asp?5874","שבט מיהודה - 4 כר'")</f>
        <v>שבט מיהודה - 4 כר'</v>
      </c>
    </row>
    <row r="40149" spans="1:6" x14ac:dyDescent="0.2">
      <c r="A40149" t="s">
        <v>61346</v>
      </c>
      <c r="B40149" t="s">
        <v>61347</v>
      </c>
      <c r="C40149" t="s">
        <v>51</v>
      </c>
      <c r="D40149" t="s">
        <v>52</v>
      </c>
      <c r="E40149" t="s">
        <v>2862</v>
      </c>
      <c r="F40149" s="2" t="str">
        <f>HYPERLINK("http://www.otzar.org/book.asp?107258","שבט מיהודה - 2 כר'")</f>
        <v>שבט מיהודה - 2 כר'</v>
      </c>
    </row>
    <row r="40150" spans="1:6" x14ac:dyDescent="0.2">
      <c r="A40150" t="s">
        <v>61348</v>
      </c>
      <c r="B40150" t="s">
        <v>19004</v>
      </c>
      <c r="C40150" t="s">
        <v>454</v>
      </c>
      <c r="D40150" t="s">
        <v>216</v>
      </c>
      <c r="E40150" t="s">
        <v>119</v>
      </c>
      <c r="F40150" s="2" t="str">
        <f>HYPERLINK("http://www.otzar.org/book.asp?143570","שבט מיהודה")</f>
        <v>שבט מיהודה</v>
      </c>
    </row>
    <row r="40151" spans="1:6" x14ac:dyDescent="0.2">
      <c r="A40151" t="s">
        <v>61348</v>
      </c>
      <c r="B40151" t="s">
        <v>259</v>
      </c>
      <c r="C40151" t="s">
        <v>20</v>
      </c>
      <c r="D40151" t="s">
        <v>260</v>
      </c>
      <c r="E40151" t="s">
        <v>104</v>
      </c>
      <c r="F40151" s="2" t="str">
        <f>HYPERLINK("http://www.otzar.org/book.asp?604054","שבט מיהודה")</f>
        <v>שבט מיהודה</v>
      </c>
    </row>
    <row r="40152" spans="1:6" x14ac:dyDescent="0.2">
      <c r="A40152" t="s">
        <v>61346</v>
      </c>
      <c r="B40152" t="s">
        <v>8863</v>
      </c>
      <c r="C40152" t="s">
        <v>151</v>
      </c>
      <c r="D40152" t="s">
        <v>14</v>
      </c>
      <c r="F40152" s="2" t="str">
        <f>HYPERLINK("http://www.otzar.org/book.asp?617625","שבט מיהודה - 2 כר'")</f>
        <v>שבט מיהודה - 2 כר'</v>
      </c>
    </row>
    <row r="40153" spans="1:6" x14ac:dyDescent="0.2">
      <c r="A40153" t="s">
        <v>61348</v>
      </c>
      <c r="B40153" t="s">
        <v>61349</v>
      </c>
      <c r="C40153" t="s">
        <v>5257</v>
      </c>
      <c r="D40153" t="s">
        <v>60</v>
      </c>
      <c r="E40153" t="s">
        <v>144</v>
      </c>
      <c r="F40153" s="2" t="str">
        <f>HYPERLINK("http://www.otzar.org/book.asp?6489","שבט מיהודה")</f>
        <v>שבט מיהודה</v>
      </c>
    </row>
    <row r="40154" spans="1:6" x14ac:dyDescent="0.2">
      <c r="A40154" t="s">
        <v>61346</v>
      </c>
      <c r="B40154" t="s">
        <v>23580</v>
      </c>
      <c r="C40154" t="s">
        <v>506</v>
      </c>
      <c r="D40154" t="s">
        <v>100</v>
      </c>
      <c r="E40154" t="s">
        <v>158</v>
      </c>
      <c r="F40154" s="2" t="str">
        <f>HYPERLINK("http://www.otzar.org/book.asp?7863","שבט מיהודה - 2 כר'")</f>
        <v>שבט מיהודה - 2 כר'</v>
      </c>
    </row>
    <row r="40155" spans="1:6" x14ac:dyDescent="0.2">
      <c r="A40155" t="s">
        <v>61350</v>
      </c>
      <c r="B40155" t="s">
        <v>42908</v>
      </c>
      <c r="C40155" t="s">
        <v>114</v>
      </c>
      <c r="D40155" t="s">
        <v>52</v>
      </c>
      <c r="E40155" t="s">
        <v>144</v>
      </c>
      <c r="F40155" s="2" t="str">
        <f>HYPERLINK("http://www.otzar.org/book.asp?161949","שבט מיהודה - ירושת הבכור")</f>
        <v>שבט מיהודה - ירושת הבכור</v>
      </c>
    </row>
    <row r="40156" spans="1:6" x14ac:dyDescent="0.2">
      <c r="A40156" t="s">
        <v>61351</v>
      </c>
      <c r="B40156" t="s">
        <v>6636</v>
      </c>
      <c r="C40156" t="s">
        <v>248</v>
      </c>
      <c r="D40156" t="s">
        <v>20821</v>
      </c>
      <c r="E40156" t="s">
        <v>241</v>
      </c>
      <c r="F40156" s="2" t="str">
        <f>HYPERLINK("http://www.otzar.org/book.asp?165836","שבט מישור")</f>
        <v>שבט מישור</v>
      </c>
    </row>
    <row r="40157" spans="1:6" x14ac:dyDescent="0.2">
      <c r="A40157" t="s">
        <v>61352</v>
      </c>
      <c r="B40157" t="s">
        <v>61353</v>
      </c>
      <c r="C40157" t="s">
        <v>785</v>
      </c>
      <c r="D40157" t="s">
        <v>412</v>
      </c>
      <c r="E40157" t="s">
        <v>2071</v>
      </c>
      <c r="F40157" s="2" t="str">
        <f>HYPERLINK("http://www.otzar.org/book.asp?174067","שבט מישור - 2 כר'")</f>
        <v>שבט מישור - 2 כר'</v>
      </c>
    </row>
    <row r="40158" spans="1:6" x14ac:dyDescent="0.2">
      <c r="A40158" t="s">
        <v>61351</v>
      </c>
      <c r="B40158" t="s">
        <v>61354</v>
      </c>
      <c r="C40158" t="s">
        <v>13</v>
      </c>
      <c r="D40158" t="s">
        <v>14</v>
      </c>
      <c r="E40158" t="s">
        <v>674</v>
      </c>
      <c r="F40158" s="2" t="str">
        <f>HYPERLINK("http://www.otzar.org/book.asp?189868","שבט מישור")</f>
        <v>שבט מישור</v>
      </c>
    </row>
    <row r="40159" spans="1:6" x14ac:dyDescent="0.2">
      <c r="A40159" t="s">
        <v>61355</v>
      </c>
      <c r="B40159" t="s">
        <v>1190</v>
      </c>
      <c r="C40159" t="s">
        <v>562</v>
      </c>
      <c r="D40159" t="s">
        <v>60</v>
      </c>
      <c r="E40159" t="s">
        <v>158</v>
      </c>
      <c r="F40159" s="2" t="str">
        <f>HYPERLINK("http://www.otzar.org/book.asp?101701","שבט מישראל - 3 כר'")</f>
        <v>שבט מישראל - 3 כר'</v>
      </c>
    </row>
    <row r="40160" spans="1:6" x14ac:dyDescent="0.2">
      <c r="A40160" t="s">
        <v>61355</v>
      </c>
      <c r="B40160" t="s">
        <v>61356</v>
      </c>
      <c r="C40160" t="s">
        <v>129</v>
      </c>
      <c r="D40160" t="s">
        <v>14</v>
      </c>
      <c r="F40160" s="2" t="str">
        <f>HYPERLINK("http://www.otzar.org/book.asp?199109","שבט מישראל - 3 כר'")</f>
        <v>שבט מישראל - 3 כר'</v>
      </c>
    </row>
    <row r="40161" spans="1:6" x14ac:dyDescent="0.2">
      <c r="A40161" t="s">
        <v>61357</v>
      </c>
      <c r="B40161" t="s">
        <v>13038</v>
      </c>
      <c r="C40161" t="s">
        <v>1885</v>
      </c>
      <c r="D40161" t="s">
        <v>280</v>
      </c>
      <c r="E40161" t="s">
        <v>154</v>
      </c>
      <c r="F40161" s="2" t="str">
        <f>HYPERLINK("http://www.otzar.org/book.asp?25395","שבט מנשה")</f>
        <v>שבט מנשה</v>
      </c>
    </row>
    <row r="40162" spans="1:6" x14ac:dyDescent="0.2">
      <c r="A40162" t="s">
        <v>61358</v>
      </c>
      <c r="B40162" t="s">
        <v>2372</v>
      </c>
      <c r="C40162" t="s">
        <v>812</v>
      </c>
      <c r="D40162" t="s">
        <v>8024</v>
      </c>
      <c r="E40162" t="s">
        <v>144</v>
      </c>
      <c r="F40162" s="2" t="str">
        <f>HYPERLINK("http://www.otzar.org/book.asp?8885","שבט סופר (חולין)")</f>
        <v>שבט סופר (חולין)</v>
      </c>
    </row>
    <row r="40163" spans="1:6" x14ac:dyDescent="0.2">
      <c r="A40163" t="s">
        <v>61359</v>
      </c>
      <c r="B40163" t="s">
        <v>2372</v>
      </c>
      <c r="C40163" t="s">
        <v>1954</v>
      </c>
      <c r="D40163" t="s">
        <v>27</v>
      </c>
      <c r="E40163" t="s">
        <v>920</v>
      </c>
      <c r="F40163" s="2" t="str">
        <f>HYPERLINK("http://www.otzar.org/book.asp?8882","שבט סופר (כתובות, גיטין)")</f>
        <v>שבט סופר (כתובות, גיטין)</v>
      </c>
    </row>
    <row r="40164" spans="1:6" x14ac:dyDescent="0.2">
      <c r="A40164" t="s">
        <v>61360</v>
      </c>
      <c r="B40164" t="s">
        <v>2372</v>
      </c>
      <c r="C40164" t="s">
        <v>496</v>
      </c>
      <c r="D40164" t="s">
        <v>61234</v>
      </c>
      <c r="E40164" t="s">
        <v>154</v>
      </c>
      <c r="F40164" s="2" t="str">
        <f>HYPERLINK("http://www.otzar.org/book.asp?9500","שבט סופר (שו""ת)")</f>
        <v>שבט סופר (שו"ת)</v>
      </c>
    </row>
    <row r="40165" spans="1:6" x14ac:dyDescent="0.2">
      <c r="A40165" t="s">
        <v>61361</v>
      </c>
      <c r="B40165" t="s">
        <v>61362</v>
      </c>
      <c r="C40165" t="s">
        <v>1706</v>
      </c>
      <c r="D40165" t="s">
        <v>283</v>
      </c>
      <c r="E40165" t="s">
        <v>213</v>
      </c>
      <c r="F40165" s="2" t="str">
        <f>HYPERLINK("http://www.otzar.org/book.asp?146814","שבט סופר השלם")</f>
        <v>שבט סופר השלם</v>
      </c>
    </row>
    <row r="40166" spans="1:6" x14ac:dyDescent="0.2">
      <c r="A40166" t="s">
        <v>61363</v>
      </c>
      <c r="B40166" t="s">
        <v>2372</v>
      </c>
      <c r="C40166" t="s">
        <v>146</v>
      </c>
      <c r="D40166" t="s">
        <v>14</v>
      </c>
      <c r="E40166" t="s">
        <v>158</v>
      </c>
      <c r="F40166" s="2" t="str">
        <f>HYPERLINK("http://www.otzar.org/book.asp?156430","שבט סופר על התורה ומועדים - 2 כר'")</f>
        <v>שבט סופר על התורה ומועדים - 2 כר'</v>
      </c>
    </row>
    <row r="40167" spans="1:6" x14ac:dyDescent="0.2">
      <c r="A40167" t="s">
        <v>61364</v>
      </c>
      <c r="B40167" t="s">
        <v>61365</v>
      </c>
      <c r="C40167" t="s">
        <v>812</v>
      </c>
      <c r="D40167" t="s">
        <v>8939</v>
      </c>
      <c r="E40167" t="s">
        <v>158</v>
      </c>
      <c r="F40167" s="2" t="str">
        <f>HYPERLINK("http://www.otzar.org/book.asp?7861","שבט סופר על חמשה חומשי תורה")</f>
        <v>שבט סופר על חמשה חומשי תורה</v>
      </c>
    </row>
    <row r="40168" spans="1:6" x14ac:dyDescent="0.2">
      <c r="A40168" t="s">
        <v>61366</v>
      </c>
      <c r="B40168" t="s">
        <v>61365</v>
      </c>
      <c r="C40168" t="s">
        <v>888</v>
      </c>
      <c r="D40168" t="s">
        <v>379</v>
      </c>
      <c r="E40168" t="s">
        <v>158</v>
      </c>
      <c r="F40168" s="2" t="str">
        <f>HYPERLINK("http://www.otzar.org/book.asp?64027","שבט סופר")</f>
        <v>שבט סופר</v>
      </c>
    </row>
    <row r="40169" spans="1:6" x14ac:dyDescent="0.2">
      <c r="A40169" t="s">
        <v>61367</v>
      </c>
      <c r="B40169" t="s">
        <v>4757</v>
      </c>
      <c r="C40169" t="s">
        <v>61368</v>
      </c>
      <c r="D40169" t="s">
        <v>535</v>
      </c>
      <c r="E40169" t="s">
        <v>148</v>
      </c>
      <c r="F40169" s="2" t="str">
        <f>HYPERLINK("http://www.otzar.org/book.asp?101868","שבט שמעון - 5 כר'")</f>
        <v>שבט שמעון - 5 כר'</v>
      </c>
    </row>
    <row r="40170" spans="1:6" x14ac:dyDescent="0.2">
      <c r="A40170" t="s">
        <v>61369</v>
      </c>
      <c r="B40170" t="s">
        <v>4211</v>
      </c>
      <c r="C40170" t="s">
        <v>523</v>
      </c>
      <c r="D40170" t="s">
        <v>14</v>
      </c>
      <c r="E40170" t="s">
        <v>158</v>
      </c>
      <c r="F40170" s="2" t="str">
        <f>HYPERLINK("http://www.otzar.org/book.asp?142851","שבטי יה")</f>
        <v>שבטי יה</v>
      </c>
    </row>
    <row r="40171" spans="1:6" x14ac:dyDescent="0.2">
      <c r="A40171" t="s">
        <v>61370</v>
      </c>
      <c r="B40171" t="s">
        <v>61371</v>
      </c>
      <c r="C40171" t="s">
        <v>553</v>
      </c>
      <c r="D40171" t="s">
        <v>14</v>
      </c>
      <c r="E40171" t="s">
        <v>517</v>
      </c>
      <c r="F40171" s="2" t="str">
        <f>HYPERLINK("http://www.otzar.org/book.asp?14838","שבטי ישראל האובדים והנדחים")</f>
        <v>שבטי ישראל האובדים והנדחים</v>
      </c>
    </row>
    <row r="40172" spans="1:6" x14ac:dyDescent="0.2">
      <c r="A40172" t="s">
        <v>61372</v>
      </c>
      <c r="B40172" t="s">
        <v>1918</v>
      </c>
      <c r="C40172" t="s">
        <v>146</v>
      </c>
      <c r="D40172" t="s">
        <v>14</v>
      </c>
      <c r="E40172" t="s">
        <v>104</v>
      </c>
      <c r="F40172" s="2" t="str">
        <f>HYPERLINK("http://www.otzar.org/book.asp?155895","שבטי נחלתך")</f>
        <v>שבטי נחלתך</v>
      </c>
    </row>
    <row r="40173" spans="1:6" x14ac:dyDescent="0.2">
      <c r="A40173" t="s">
        <v>61373</v>
      </c>
      <c r="B40173" t="s">
        <v>8815</v>
      </c>
      <c r="C40173" t="s">
        <v>20</v>
      </c>
      <c r="D40173" t="s">
        <v>52</v>
      </c>
      <c r="E40173" t="s">
        <v>583</v>
      </c>
      <c r="F40173" s="2" t="str">
        <f>HYPERLINK("http://www.otzar.org/book.asp?61862","שבטך ומשענתך - הרהורים ומחשבות אחרי השואה")</f>
        <v>שבטך ומשענתך - הרהורים ומחשבות אחרי השואה</v>
      </c>
    </row>
    <row r="40174" spans="1:6" x14ac:dyDescent="0.2">
      <c r="A40174" t="s">
        <v>61374</v>
      </c>
      <c r="B40174" t="s">
        <v>28738</v>
      </c>
      <c r="C40174" t="s">
        <v>908</v>
      </c>
      <c r="D40174" t="s">
        <v>18436</v>
      </c>
      <c r="E40174" t="s">
        <v>154</v>
      </c>
      <c r="F40174" s="2" t="str">
        <f>HYPERLINK("http://www.otzar.org/book.asp?102656","שבי בנימין")</f>
        <v>שבי בנימין</v>
      </c>
    </row>
    <row r="40175" spans="1:6" x14ac:dyDescent="0.2">
      <c r="A40175" t="s">
        <v>61375</v>
      </c>
      <c r="B40175" t="s">
        <v>546</v>
      </c>
      <c r="C40175" t="s">
        <v>168</v>
      </c>
      <c r="D40175" t="s">
        <v>14</v>
      </c>
      <c r="E40175" t="s">
        <v>7138</v>
      </c>
      <c r="F40175" s="2" t="str">
        <f>HYPERLINK("http://www.otzar.org/book.asp?102657","שבי ציון")</f>
        <v>שבי ציון</v>
      </c>
    </row>
    <row r="40176" spans="1:6" x14ac:dyDescent="0.2">
      <c r="A40176" t="s">
        <v>61376</v>
      </c>
      <c r="B40176" t="s">
        <v>61377</v>
      </c>
      <c r="C40176" t="s">
        <v>51</v>
      </c>
      <c r="D40176" t="s">
        <v>90</v>
      </c>
      <c r="E40176" t="s">
        <v>158</v>
      </c>
      <c r="F40176" s="2" t="str">
        <f>HYPERLINK("http://www.otzar.org/book.asp?193060","שבי תאר")</f>
        <v>שבי תאר</v>
      </c>
    </row>
    <row r="40177" spans="1:6" x14ac:dyDescent="0.2">
      <c r="A40177" t="s">
        <v>61378</v>
      </c>
      <c r="B40177" t="s">
        <v>61379</v>
      </c>
      <c r="C40177" t="s">
        <v>553</v>
      </c>
      <c r="D40177" t="s">
        <v>52</v>
      </c>
      <c r="F40177" s="2" t="str">
        <f>HYPERLINK("http://www.otzar.org/book.asp?618766","שבי""ל הפרד""ס - 1")</f>
        <v>שבי"ל הפרד"ס - 1</v>
      </c>
    </row>
    <row r="40178" spans="1:6" x14ac:dyDescent="0.2">
      <c r="A40178" t="s">
        <v>61380</v>
      </c>
      <c r="B40178" t="s">
        <v>61381</v>
      </c>
      <c r="C40178" t="s">
        <v>103</v>
      </c>
      <c r="D40178" t="s">
        <v>657</v>
      </c>
      <c r="E40178" t="s">
        <v>144</v>
      </c>
      <c r="F40178" s="2" t="str">
        <f>HYPERLINK("http://www.otzar.org/book.asp?142374","שביב אור - 4 כר'")</f>
        <v>שביב אור - 4 כר'</v>
      </c>
    </row>
    <row r="40179" spans="1:6" x14ac:dyDescent="0.2">
      <c r="A40179" t="s">
        <v>61382</v>
      </c>
      <c r="B40179" t="s">
        <v>61383</v>
      </c>
      <c r="C40179" t="s">
        <v>168</v>
      </c>
      <c r="D40179" t="s">
        <v>14</v>
      </c>
      <c r="E40179" t="s">
        <v>1211</v>
      </c>
      <c r="F40179" s="2" t="str">
        <f>HYPERLINK("http://www.otzar.org/book.asp?152447","שביבי אגדה")</f>
        <v>שביבי אגדה</v>
      </c>
    </row>
    <row r="40180" spans="1:6" x14ac:dyDescent="0.2">
      <c r="A40180" t="s">
        <v>61384</v>
      </c>
      <c r="B40180" t="s">
        <v>61385</v>
      </c>
      <c r="C40180" t="s">
        <v>114</v>
      </c>
      <c r="D40180" t="s">
        <v>14</v>
      </c>
      <c r="E40180" t="s">
        <v>241</v>
      </c>
      <c r="F40180" s="2" t="str">
        <f>HYPERLINK("http://www.otzar.org/book.asp?85819","שביבי אור - ליקוטים")</f>
        <v>שביבי אור - ליקוטים</v>
      </c>
    </row>
    <row r="40181" spans="1:6" x14ac:dyDescent="0.2">
      <c r="A40181" t="s">
        <v>61386</v>
      </c>
      <c r="B40181" t="s">
        <v>61387</v>
      </c>
      <c r="C40181" t="s">
        <v>63</v>
      </c>
      <c r="D40181" t="s">
        <v>52</v>
      </c>
      <c r="E40181" t="s">
        <v>1626</v>
      </c>
      <c r="F40181" s="2" t="str">
        <f>HYPERLINK("http://www.otzar.org/book.asp?23750","שביבי אור")</f>
        <v>שביבי אור</v>
      </c>
    </row>
    <row r="40182" spans="1:6" x14ac:dyDescent="0.2">
      <c r="A40182" t="s">
        <v>61388</v>
      </c>
      <c r="B40182" t="s">
        <v>55179</v>
      </c>
      <c r="C40182" t="s">
        <v>13</v>
      </c>
      <c r="D40182" t="s">
        <v>14</v>
      </c>
      <c r="F40182" s="2" t="str">
        <f>HYPERLINK("http://www.otzar.org/book.asp?619393","שביבי אור - ר""ה, סליחות")</f>
        <v>שביבי אור - ר"ה, סליחות</v>
      </c>
    </row>
    <row r="40183" spans="1:6" x14ac:dyDescent="0.2">
      <c r="A40183" t="s">
        <v>61386</v>
      </c>
      <c r="B40183" t="s">
        <v>5281</v>
      </c>
      <c r="C40183" t="s">
        <v>189</v>
      </c>
      <c r="D40183" t="s">
        <v>14</v>
      </c>
      <c r="E40183" t="s">
        <v>213</v>
      </c>
      <c r="F40183" s="2" t="str">
        <f>HYPERLINK("http://www.otzar.org/book.asp?149514","שביבי אור")</f>
        <v>שביבי אור</v>
      </c>
    </row>
    <row r="40184" spans="1:6" x14ac:dyDescent="0.2">
      <c r="A40184" t="s">
        <v>61389</v>
      </c>
      <c r="B40184" t="s">
        <v>13438</v>
      </c>
      <c r="C40184" t="s">
        <v>454</v>
      </c>
      <c r="D40184" t="s">
        <v>52</v>
      </c>
      <c r="E40184" t="s">
        <v>158</v>
      </c>
      <c r="F40184" s="2" t="str">
        <f>HYPERLINK("http://www.otzar.org/book.asp?146825","שביבי אש &lt;על התורה&gt; - 2 כר'")</f>
        <v>שביבי אש &lt;על התורה&gt; - 2 כר'</v>
      </c>
    </row>
    <row r="40185" spans="1:6" x14ac:dyDescent="0.2">
      <c r="A40185" t="s">
        <v>61390</v>
      </c>
      <c r="B40185" t="s">
        <v>13438</v>
      </c>
      <c r="C40185" t="s">
        <v>244</v>
      </c>
      <c r="D40185" t="s">
        <v>52</v>
      </c>
      <c r="F40185" s="2" t="str">
        <f>HYPERLINK("http://www.otzar.org/book.asp?601222","שביבי אש &lt;שו""ת&gt; - 4 כר'")</f>
        <v>שביבי אש &lt;שו"ת&gt; - 4 כר'</v>
      </c>
    </row>
    <row r="40186" spans="1:6" x14ac:dyDescent="0.2">
      <c r="A40186" t="s">
        <v>61391</v>
      </c>
      <c r="B40186" t="s">
        <v>61392</v>
      </c>
      <c r="C40186" t="s">
        <v>61393</v>
      </c>
      <c r="D40186" t="s">
        <v>27</v>
      </c>
      <c r="E40186" t="s">
        <v>10</v>
      </c>
      <c r="F40186" s="2" t="str">
        <f>HYPERLINK("http://www.otzar.org/book.asp?5192","שביבי אש (אה""ע)")</f>
        <v>שביבי אש (אה"ע)</v>
      </c>
    </row>
    <row r="40187" spans="1:6" x14ac:dyDescent="0.2">
      <c r="A40187" t="s">
        <v>61394</v>
      </c>
      <c r="B40187" t="s">
        <v>61395</v>
      </c>
      <c r="C40187" t="s">
        <v>68</v>
      </c>
      <c r="D40187" t="s">
        <v>14</v>
      </c>
      <c r="E40187" t="s">
        <v>2071</v>
      </c>
      <c r="F40187" s="2" t="str">
        <f>HYPERLINK("http://www.otzar.org/book.asp?170832","שביבי אש")</f>
        <v>שביבי אש</v>
      </c>
    </row>
    <row r="40188" spans="1:6" x14ac:dyDescent="0.2">
      <c r="A40188" t="s">
        <v>61394</v>
      </c>
      <c r="B40188" t="s">
        <v>3566</v>
      </c>
      <c r="C40188" t="s">
        <v>888</v>
      </c>
      <c r="D40188" t="s">
        <v>7999</v>
      </c>
      <c r="E40188" t="s">
        <v>4683</v>
      </c>
      <c r="F40188" s="2" t="str">
        <f>HYPERLINK("http://www.otzar.org/book.asp?25396","שביבי אש")</f>
        <v>שביבי אש</v>
      </c>
    </row>
    <row r="40189" spans="1:6" x14ac:dyDescent="0.2">
      <c r="A40189" t="s">
        <v>61394</v>
      </c>
      <c r="B40189" t="s">
        <v>61396</v>
      </c>
      <c r="C40189" t="s">
        <v>68</v>
      </c>
      <c r="D40189" t="s">
        <v>52</v>
      </c>
      <c r="E40189" t="s">
        <v>130</v>
      </c>
      <c r="F40189" s="2" t="str">
        <f>HYPERLINK("http://www.otzar.org/book.asp?158585","שביבי אש")</f>
        <v>שביבי אש</v>
      </c>
    </row>
    <row r="40190" spans="1:6" x14ac:dyDescent="0.2">
      <c r="A40190" t="s">
        <v>61397</v>
      </c>
      <c r="B40190" t="s">
        <v>489</v>
      </c>
      <c r="C40190" t="s">
        <v>146</v>
      </c>
      <c r="D40190" t="s">
        <v>152</v>
      </c>
      <c r="E40190" t="s">
        <v>186</v>
      </c>
      <c r="F40190" s="2" t="str">
        <f>HYPERLINK("http://www.otzar.org/book.asp?61874","שביבי אש - חולין")</f>
        <v>שביבי אש - חולין</v>
      </c>
    </row>
    <row r="40191" spans="1:6" x14ac:dyDescent="0.2">
      <c r="A40191" t="s">
        <v>61398</v>
      </c>
      <c r="B40191" t="s">
        <v>61392</v>
      </c>
      <c r="C40191" t="s">
        <v>61393</v>
      </c>
      <c r="D40191" t="s">
        <v>27</v>
      </c>
      <c r="E40191" t="s">
        <v>61399</v>
      </c>
      <c r="F40191" s="2" t="str">
        <f>HYPERLINK("http://www.otzar.org/book.asp?14009","שביבי אש - או""ח, חו""מ")</f>
        <v>שביבי אש - או"ח, חו"מ</v>
      </c>
    </row>
    <row r="40192" spans="1:6" x14ac:dyDescent="0.2">
      <c r="A40192" t="s">
        <v>61400</v>
      </c>
      <c r="B40192" t="s">
        <v>13438</v>
      </c>
      <c r="C40192" t="s">
        <v>71</v>
      </c>
      <c r="D40192" t="s">
        <v>52</v>
      </c>
      <c r="E40192" t="s">
        <v>15</v>
      </c>
      <c r="F40192" s="2" t="str">
        <f>HYPERLINK("http://www.otzar.org/book.asp?172014","שביבי אש - 5 כר'")</f>
        <v>שביבי אש - 5 כר'</v>
      </c>
    </row>
    <row r="40193" spans="1:6" x14ac:dyDescent="0.2">
      <c r="A40193" t="s">
        <v>61401</v>
      </c>
      <c r="B40193" t="s">
        <v>61402</v>
      </c>
      <c r="C40193" t="s">
        <v>37</v>
      </c>
      <c r="D40193" t="s">
        <v>657</v>
      </c>
      <c r="F40193" s="2" t="str">
        <f>HYPERLINK("http://www.otzar.org/book.asp?198654","שביבי הוד - 2 כר'")</f>
        <v>שביבי הוד - 2 כר'</v>
      </c>
    </row>
    <row r="40194" spans="1:6" x14ac:dyDescent="0.2">
      <c r="A40194" t="s">
        <v>61403</v>
      </c>
      <c r="B40194" t="s">
        <v>61404</v>
      </c>
      <c r="C40194" t="s">
        <v>23</v>
      </c>
      <c r="D40194" t="s">
        <v>52</v>
      </c>
      <c r="E40194" t="s">
        <v>674</v>
      </c>
      <c r="F40194" s="2" t="str">
        <f>HYPERLINK("http://www.otzar.org/book.asp?600800","שביבי הלוי")</f>
        <v>שביבי הלוי</v>
      </c>
    </row>
    <row r="40195" spans="1:6" x14ac:dyDescent="0.2">
      <c r="A40195" t="s">
        <v>61405</v>
      </c>
      <c r="B40195" t="s">
        <v>61406</v>
      </c>
      <c r="C40195" t="s">
        <v>20</v>
      </c>
      <c r="D40195" t="s">
        <v>90</v>
      </c>
      <c r="E40195" t="s">
        <v>130</v>
      </c>
      <c r="F40195" s="2" t="str">
        <f>HYPERLINK("http://www.otzar.org/book.asp?611186","שביבי המועדים")</f>
        <v>שביבי המועדים</v>
      </c>
    </row>
    <row r="40196" spans="1:6" x14ac:dyDescent="0.2">
      <c r="A40196" t="s">
        <v>61407</v>
      </c>
      <c r="B40196" t="s">
        <v>1064</v>
      </c>
      <c r="C40196" t="s">
        <v>244</v>
      </c>
      <c r="D40196" t="s">
        <v>52</v>
      </c>
      <c r="E40196" t="s">
        <v>12174</v>
      </c>
      <c r="F40196" s="2" t="str">
        <f>HYPERLINK("http://www.otzar.org/book.asp?612197","שביבי חוקי חיים")</f>
        <v>שביבי חוקי חיים</v>
      </c>
    </row>
    <row r="40197" spans="1:6" x14ac:dyDescent="0.2">
      <c r="A40197" t="s">
        <v>61408</v>
      </c>
      <c r="B40197" t="s">
        <v>13438</v>
      </c>
      <c r="C40197" t="s">
        <v>146</v>
      </c>
      <c r="D40197" t="s">
        <v>52</v>
      </c>
      <c r="E40197" t="s">
        <v>15</v>
      </c>
      <c r="F40197" s="2" t="str">
        <f>HYPERLINK("http://www.otzar.org/book.asp?63003","שביבי טהרה - קיצור הלכות נדה")</f>
        <v>שביבי טהרה - קיצור הלכות נדה</v>
      </c>
    </row>
    <row r="40198" spans="1:6" x14ac:dyDescent="0.2">
      <c r="A40198" t="s">
        <v>61409</v>
      </c>
      <c r="B40198" t="s">
        <v>61410</v>
      </c>
      <c r="C40198" t="s">
        <v>37</v>
      </c>
      <c r="D40198" t="s">
        <v>139</v>
      </c>
      <c r="E40198" t="s">
        <v>3567</v>
      </c>
      <c r="F40198" s="2" t="str">
        <f>HYPERLINK("http://www.otzar.org/book.asp?193523","שביבי טוהר")</f>
        <v>שביבי טוהר</v>
      </c>
    </row>
    <row r="40199" spans="1:6" x14ac:dyDescent="0.2">
      <c r="A40199" t="s">
        <v>61411</v>
      </c>
      <c r="B40199" t="s">
        <v>61412</v>
      </c>
      <c r="C40199" t="s">
        <v>366</v>
      </c>
      <c r="D40199" t="s">
        <v>52</v>
      </c>
      <c r="E40199" t="s">
        <v>144</v>
      </c>
      <c r="F40199" s="2" t="str">
        <f>HYPERLINK("http://www.otzar.org/book.asp?627491","שביבי - 7 כר'")</f>
        <v>שביבי - 7 כר'</v>
      </c>
    </row>
    <row r="40200" spans="1:6" x14ac:dyDescent="0.2">
      <c r="A40200" t="s">
        <v>61413</v>
      </c>
      <c r="B40200" t="s">
        <v>61414</v>
      </c>
      <c r="C40200" t="s">
        <v>23</v>
      </c>
      <c r="D40200" t="s">
        <v>14</v>
      </c>
      <c r="E40200" t="s">
        <v>202</v>
      </c>
      <c r="F40200" s="2" t="str">
        <f>HYPERLINK("http://www.otzar.org/book.asp?189018","שביבים מבית אבא")</f>
        <v>שביבים מבית אבא</v>
      </c>
    </row>
    <row r="40201" spans="1:6" x14ac:dyDescent="0.2">
      <c r="A40201" t="s">
        <v>61415</v>
      </c>
      <c r="B40201" t="s">
        <v>61416</v>
      </c>
      <c r="C40201" t="s">
        <v>888</v>
      </c>
      <c r="D40201" t="s">
        <v>9</v>
      </c>
      <c r="E40201" t="s">
        <v>4333</v>
      </c>
      <c r="F40201" s="2" t="str">
        <f>HYPERLINK("http://www.otzar.org/book.asp?100766","שביל הזהב (או""ח, חו""מ)")</f>
        <v>שביל הזהב (או"ח, חו"מ)</v>
      </c>
    </row>
    <row r="40202" spans="1:6" x14ac:dyDescent="0.2">
      <c r="A40202" t="s">
        <v>61417</v>
      </c>
      <c r="B40202" t="s">
        <v>61418</v>
      </c>
      <c r="C40202" t="s">
        <v>748</v>
      </c>
      <c r="D40202" t="s">
        <v>283</v>
      </c>
      <c r="E40202" t="s">
        <v>104</v>
      </c>
      <c r="F40202" s="2" t="str">
        <f>HYPERLINK("http://www.otzar.org/book.asp?21805","שביל הזהב")</f>
        <v>שביל הזהב</v>
      </c>
    </row>
    <row r="40203" spans="1:6" x14ac:dyDescent="0.2">
      <c r="A40203" t="s">
        <v>61417</v>
      </c>
      <c r="B40203" t="s">
        <v>6375</v>
      </c>
      <c r="C40203" t="s">
        <v>129</v>
      </c>
      <c r="D40203" t="s">
        <v>2285</v>
      </c>
      <c r="E40203" t="s">
        <v>241</v>
      </c>
      <c r="F40203" s="2" t="str">
        <f>HYPERLINK("http://www.otzar.org/book.asp?161694","שביל הזהב")</f>
        <v>שביל הזהב</v>
      </c>
    </row>
    <row r="40204" spans="1:6" x14ac:dyDescent="0.2">
      <c r="A40204" t="s">
        <v>61419</v>
      </c>
      <c r="B40204" t="s">
        <v>44978</v>
      </c>
      <c r="C40204" t="s">
        <v>15870</v>
      </c>
      <c r="D40204" t="s">
        <v>60</v>
      </c>
      <c r="E40204" t="s">
        <v>84</v>
      </c>
      <c r="F40204" s="2" t="str">
        <f>HYPERLINK("http://www.otzar.org/book.asp?151614","שביל הישר")</f>
        <v>שביל הישר</v>
      </c>
    </row>
    <row r="40205" spans="1:6" x14ac:dyDescent="0.2">
      <c r="A40205" t="s">
        <v>61420</v>
      </c>
      <c r="B40205" t="s">
        <v>61421</v>
      </c>
      <c r="C40205" t="s">
        <v>1228</v>
      </c>
      <c r="D40205" t="s">
        <v>225</v>
      </c>
      <c r="E40205" t="s">
        <v>64</v>
      </c>
      <c r="F40205" s="2" t="str">
        <f>HYPERLINK("http://www.otzar.org/book.asp?8762","שביל המדרש רבה")</f>
        <v>שביל המדרש רבה</v>
      </c>
    </row>
    <row r="40206" spans="1:6" x14ac:dyDescent="0.2">
      <c r="A40206" t="s">
        <v>61422</v>
      </c>
      <c r="B40206" t="s">
        <v>8129</v>
      </c>
      <c r="C40206" t="s">
        <v>286</v>
      </c>
      <c r="D40206" t="s">
        <v>563</v>
      </c>
      <c r="E40206" t="s">
        <v>230</v>
      </c>
      <c r="F40206" s="2" t="str">
        <f>HYPERLINK("http://www.otzar.org/book.asp?161192","שביל הצבי - 2 כר'")</f>
        <v>שביל הצבי - 2 כר'</v>
      </c>
    </row>
    <row r="40207" spans="1:6" x14ac:dyDescent="0.2">
      <c r="A40207" t="s">
        <v>61423</v>
      </c>
      <c r="B40207" t="s">
        <v>61424</v>
      </c>
      <c r="C40207" t="s">
        <v>1096</v>
      </c>
      <c r="D40207" t="s">
        <v>56</v>
      </c>
      <c r="E40207" t="s">
        <v>158</v>
      </c>
      <c r="F40207" s="2" t="str">
        <f>HYPERLINK("http://www.otzar.org/book.asp?63073","שביל טוב - 2 כר'")</f>
        <v>שביל טוב - 2 כר'</v>
      </c>
    </row>
    <row r="40208" spans="1:6" x14ac:dyDescent="0.2">
      <c r="A40208" t="s">
        <v>61425</v>
      </c>
      <c r="B40208" t="s">
        <v>61426</v>
      </c>
      <c r="C40208" t="s">
        <v>51</v>
      </c>
      <c r="D40208" t="s">
        <v>14</v>
      </c>
      <c r="E40208" t="s">
        <v>15</v>
      </c>
      <c r="F40208" s="2" t="str">
        <f>HYPERLINK("http://www.otzar.org/book.asp?158463","שבילי איסור והיתר - 2 כר'")</f>
        <v>שבילי איסור והיתר - 2 כר'</v>
      </c>
    </row>
    <row r="40209" spans="1:6" x14ac:dyDescent="0.2">
      <c r="A40209" t="s">
        <v>61427</v>
      </c>
      <c r="B40209" t="s">
        <v>61428</v>
      </c>
      <c r="C40209" t="s">
        <v>2550</v>
      </c>
      <c r="D40209" t="s">
        <v>283</v>
      </c>
      <c r="E40209" t="s">
        <v>104</v>
      </c>
      <c r="F40209" s="2" t="str">
        <f>HYPERLINK("http://www.otzar.org/book.asp?105864","שבילי אמונה - 2 כר'")</f>
        <v>שבילי אמונה - 2 כר'</v>
      </c>
    </row>
    <row r="40210" spans="1:6" x14ac:dyDescent="0.2">
      <c r="A40210" t="s">
        <v>61429</v>
      </c>
      <c r="B40210" t="s">
        <v>9549</v>
      </c>
      <c r="C40210" t="s">
        <v>3205</v>
      </c>
      <c r="D40210" t="s">
        <v>260</v>
      </c>
      <c r="E40210" t="s">
        <v>61430</v>
      </c>
      <c r="F40210" s="2" t="str">
        <f>HYPERLINK("http://www.otzar.org/book.asp?176844","שבילי אשר")</f>
        <v>שבילי אשר</v>
      </c>
    </row>
    <row r="40211" spans="1:6" x14ac:dyDescent="0.2">
      <c r="A40211" t="s">
        <v>61431</v>
      </c>
      <c r="B40211" t="s">
        <v>61432</v>
      </c>
      <c r="C40211" t="s">
        <v>523</v>
      </c>
      <c r="D40211" t="s">
        <v>14</v>
      </c>
      <c r="E40211" t="s">
        <v>202</v>
      </c>
      <c r="F40211" s="2" t="str">
        <f>HYPERLINK("http://www.otzar.org/book.asp?85634","שבילי דאורייתא - 3 כר'")</f>
        <v>שבילי דאורייתא - 3 כר'</v>
      </c>
    </row>
    <row r="40212" spans="1:6" x14ac:dyDescent="0.2">
      <c r="A40212" t="s">
        <v>61433</v>
      </c>
      <c r="B40212" t="s">
        <v>61434</v>
      </c>
      <c r="C40212" t="s">
        <v>75</v>
      </c>
      <c r="D40212" t="s">
        <v>27</v>
      </c>
      <c r="E40212" t="s">
        <v>172</v>
      </c>
      <c r="F40212" s="2" t="str">
        <f>HYPERLINK("http://www.otzar.org/book.asp?141959","שבילי דוד - 9 כר'")</f>
        <v>שבילי דוד - 9 כר'</v>
      </c>
    </row>
    <row r="40213" spans="1:6" x14ac:dyDescent="0.2">
      <c r="A40213" t="s">
        <v>61435</v>
      </c>
      <c r="B40213" t="s">
        <v>8880</v>
      </c>
      <c r="C40213" t="s">
        <v>37</v>
      </c>
      <c r="D40213" t="s">
        <v>14</v>
      </c>
      <c r="E40213" t="s">
        <v>144</v>
      </c>
      <c r="F40213" s="2" t="str">
        <f>HYPERLINK("http://www.otzar.org/book.asp?180456","שבילי דירחא")</f>
        <v>שבילי דירחא</v>
      </c>
    </row>
    <row r="40214" spans="1:6" x14ac:dyDescent="0.2">
      <c r="A40214" t="s">
        <v>61436</v>
      </c>
      <c r="B40214" t="s">
        <v>61437</v>
      </c>
      <c r="C40214" t="s">
        <v>2617</v>
      </c>
      <c r="D40214" t="s">
        <v>2968</v>
      </c>
      <c r="E40214" t="s">
        <v>674</v>
      </c>
      <c r="F40214" s="2" t="str">
        <f>HYPERLINK("http://www.otzar.org/book.asp?101863","שבילי דרקיע")</f>
        <v>שבילי דרקיע</v>
      </c>
    </row>
    <row r="40215" spans="1:6" x14ac:dyDescent="0.2">
      <c r="A40215" t="s">
        <v>61436</v>
      </c>
      <c r="B40215" t="s">
        <v>1872</v>
      </c>
      <c r="C40215" t="s">
        <v>1885</v>
      </c>
      <c r="D40215" t="s">
        <v>283</v>
      </c>
      <c r="E40215" t="s">
        <v>104</v>
      </c>
      <c r="F40215" s="2" t="str">
        <f>HYPERLINK("http://www.otzar.org/book.asp?21698","שבילי דרקיע")</f>
        <v>שבילי דרקיע</v>
      </c>
    </row>
    <row r="40216" spans="1:6" x14ac:dyDescent="0.2">
      <c r="A40216" t="s">
        <v>61438</v>
      </c>
      <c r="B40216" t="s">
        <v>3888</v>
      </c>
      <c r="C40216" t="s">
        <v>71</v>
      </c>
      <c r="D40216" t="s">
        <v>14</v>
      </c>
      <c r="E40216" t="s">
        <v>241</v>
      </c>
      <c r="F40216" s="2" t="str">
        <f>HYPERLINK("http://www.otzar.org/book.asp?156902","שבילי האמונה")</f>
        <v>שבילי האמונה</v>
      </c>
    </row>
    <row r="40217" spans="1:6" x14ac:dyDescent="0.2">
      <c r="A40217" t="s">
        <v>61439</v>
      </c>
      <c r="B40217" t="s">
        <v>6375</v>
      </c>
      <c r="C40217" t="s">
        <v>466</v>
      </c>
      <c r="D40217" t="s">
        <v>2285</v>
      </c>
      <c r="E40217" t="s">
        <v>104</v>
      </c>
      <c r="F40217" s="2" t="str">
        <f>HYPERLINK("http://www.otzar.org/book.asp?161697","שבילי הבית")</f>
        <v>שבילי הבית</v>
      </c>
    </row>
    <row r="40218" spans="1:6" x14ac:dyDescent="0.2">
      <c r="A40218" t="s">
        <v>61440</v>
      </c>
      <c r="B40218" t="s">
        <v>44932</v>
      </c>
      <c r="C40218" t="s">
        <v>466</v>
      </c>
      <c r="D40218" t="s">
        <v>721</v>
      </c>
      <c r="E40218" t="s">
        <v>10</v>
      </c>
      <c r="F40218" s="2" t="str">
        <f>HYPERLINK("http://www.otzar.org/book.asp?85906","שבילי הזבח")</f>
        <v>שבילי הזבח</v>
      </c>
    </row>
    <row r="40219" spans="1:6" x14ac:dyDescent="0.2">
      <c r="A40219" t="s">
        <v>61441</v>
      </c>
      <c r="B40219" t="s">
        <v>6375</v>
      </c>
      <c r="C40219" t="s">
        <v>17</v>
      </c>
      <c r="D40219" t="s">
        <v>2285</v>
      </c>
      <c r="E40219" t="s">
        <v>246</v>
      </c>
      <c r="F40219" s="2" t="str">
        <f>HYPERLINK("http://www.otzar.org/book.asp?161657","שבילי החודשים - 4 כר'")</f>
        <v>שבילי החודשים - 4 כר'</v>
      </c>
    </row>
    <row r="40220" spans="1:6" x14ac:dyDescent="0.2">
      <c r="A40220" t="s">
        <v>61442</v>
      </c>
      <c r="B40220" t="s">
        <v>6375</v>
      </c>
      <c r="C40220" t="s">
        <v>189</v>
      </c>
      <c r="D40220" t="s">
        <v>2285</v>
      </c>
      <c r="E40220" t="s">
        <v>1262</v>
      </c>
      <c r="F40220" s="2" t="str">
        <f>HYPERLINK("http://www.otzar.org/book.asp?161671","שבילי החיים")</f>
        <v>שבילי החיים</v>
      </c>
    </row>
    <row r="40221" spans="1:6" x14ac:dyDescent="0.2">
      <c r="A40221" t="s">
        <v>61443</v>
      </c>
      <c r="B40221" t="s">
        <v>9866</v>
      </c>
      <c r="C40221" t="s">
        <v>1208</v>
      </c>
      <c r="D40221" t="s">
        <v>27</v>
      </c>
      <c r="E40221" t="s">
        <v>43764</v>
      </c>
      <c r="F40221" s="2" t="str">
        <f>HYPERLINK("http://www.otzar.org/book.asp?84954","שבילי החיים - 2 כר'")</f>
        <v>שבילי החיים - 2 כר'</v>
      </c>
    </row>
    <row r="40222" spans="1:6" x14ac:dyDescent="0.2">
      <c r="A40222" t="s">
        <v>61444</v>
      </c>
      <c r="B40222" t="s">
        <v>6375</v>
      </c>
      <c r="C40222" t="s">
        <v>71</v>
      </c>
      <c r="D40222" t="s">
        <v>2285</v>
      </c>
      <c r="E40222" t="s">
        <v>104</v>
      </c>
      <c r="F40222" s="2" t="str">
        <f>HYPERLINK("http://www.otzar.org/book.asp?161695","שבילי החינוך - 4 כר'")</f>
        <v>שבילי החינוך - 4 כר'</v>
      </c>
    </row>
    <row r="40223" spans="1:6" x14ac:dyDescent="0.2">
      <c r="A40223" t="s">
        <v>61445</v>
      </c>
      <c r="B40223" t="s">
        <v>6987</v>
      </c>
      <c r="C40223" t="s">
        <v>313</v>
      </c>
      <c r="D40223" t="s">
        <v>90</v>
      </c>
      <c r="E40223" t="s">
        <v>15</v>
      </c>
      <c r="F40223" s="2" t="str">
        <f>HYPERLINK("http://www.otzar.org/book.asp?158478","שבילי הטהרה")</f>
        <v>שבילי הטהרה</v>
      </c>
    </row>
    <row r="40224" spans="1:6" x14ac:dyDescent="0.2">
      <c r="A40224" t="s">
        <v>61446</v>
      </c>
      <c r="B40224" t="s">
        <v>61447</v>
      </c>
      <c r="C40224" t="s">
        <v>888</v>
      </c>
      <c r="D40224" t="s">
        <v>31180</v>
      </c>
      <c r="F40224" s="2" t="str">
        <f>HYPERLINK("http://www.otzar.org/book.asp?182431","שבילי היהדות באנגליה")</f>
        <v>שבילי היהדות באנגליה</v>
      </c>
    </row>
    <row r="40225" spans="1:6" x14ac:dyDescent="0.2">
      <c r="A40225" t="s">
        <v>61448</v>
      </c>
      <c r="B40225" t="s">
        <v>6375</v>
      </c>
      <c r="C40225" t="s">
        <v>454</v>
      </c>
      <c r="D40225" t="s">
        <v>2285</v>
      </c>
      <c r="E40225" t="s">
        <v>213</v>
      </c>
      <c r="F40225" s="2" t="str">
        <f>HYPERLINK("http://www.otzar.org/book.asp?161665","שבילי המדות והערכים - 8 כר'")</f>
        <v>שבילי המדות והערכים - 8 כר'</v>
      </c>
    </row>
    <row r="40226" spans="1:6" x14ac:dyDescent="0.2">
      <c r="A40226" t="s">
        <v>61449</v>
      </c>
      <c r="B40226" t="s">
        <v>6375</v>
      </c>
      <c r="C40226" t="s">
        <v>129</v>
      </c>
      <c r="D40226" t="s">
        <v>2285</v>
      </c>
      <c r="E40226" t="s">
        <v>246</v>
      </c>
      <c r="F40226" s="2" t="str">
        <f>HYPERLINK("http://www.otzar.org/book.asp?161700","שבילי המועדים - 2 כר'")</f>
        <v>שבילי המועדים - 2 כר'</v>
      </c>
    </row>
    <row r="40227" spans="1:6" x14ac:dyDescent="0.2">
      <c r="A40227" t="s">
        <v>61450</v>
      </c>
      <c r="B40227" t="s">
        <v>61451</v>
      </c>
      <c r="C40227" t="s">
        <v>189</v>
      </c>
      <c r="D40227" t="s">
        <v>14</v>
      </c>
      <c r="E40227" t="s">
        <v>144</v>
      </c>
      <c r="F40227" s="2" t="str">
        <f>HYPERLINK("http://www.otzar.org/book.asp?24734","שבילי הספיקות")</f>
        <v>שבילי הספיקות</v>
      </c>
    </row>
    <row r="40228" spans="1:6" x14ac:dyDescent="0.2">
      <c r="A40228" t="s">
        <v>61450</v>
      </c>
      <c r="B40228" t="s">
        <v>39031</v>
      </c>
      <c r="C40228" t="s">
        <v>151</v>
      </c>
      <c r="D40228" t="s">
        <v>90</v>
      </c>
      <c r="E40228" t="s">
        <v>144</v>
      </c>
      <c r="F40228" s="2" t="str">
        <f>HYPERLINK("http://www.otzar.org/book.asp?625417","שבילי הספיקות")</f>
        <v>שבילי הספיקות</v>
      </c>
    </row>
    <row r="40229" spans="1:6" x14ac:dyDescent="0.2">
      <c r="A40229" t="s">
        <v>61452</v>
      </c>
      <c r="B40229" t="s">
        <v>44932</v>
      </c>
      <c r="C40229" t="s">
        <v>466</v>
      </c>
      <c r="D40229" t="s">
        <v>721</v>
      </c>
      <c r="E40229" t="s">
        <v>684</v>
      </c>
      <c r="F40229" s="2" t="str">
        <f>HYPERLINK("http://www.otzar.org/book.asp?174504","שבילי העזר")</f>
        <v>שבילי העזר</v>
      </c>
    </row>
    <row r="40230" spans="1:6" x14ac:dyDescent="0.2">
      <c r="A40230" t="s">
        <v>61453</v>
      </c>
      <c r="B40230" t="s">
        <v>6375</v>
      </c>
      <c r="C40230" t="s">
        <v>189</v>
      </c>
      <c r="D40230" t="s">
        <v>2285</v>
      </c>
      <c r="E40230" t="s">
        <v>246</v>
      </c>
      <c r="F40230" s="2" t="str">
        <f>HYPERLINK("http://www.otzar.org/book.asp?161669","שבילי השבת")</f>
        <v>שבילי השבת</v>
      </c>
    </row>
    <row r="40231" spans="1:6" x14ac:dyDescent="0.2">
      <c r="A40231" t="s">
        <v>61454</v>
      </c>
      <c r="B40231" t="s">
        <v>6375</v>
      </c>
      <c r="C40231" t="s">
        <v>129</v>
      </c>
      <c r="D40231" t="s">
        <v>2285</v>
      </c>
      <c r="E40231" t="s">
        <v>158</v>
      </c>
      <c r="F40231" s="2" t="str">
        <f>HYPERLINK("http://www.otzar.org/book.asp?161652","שבילי התורה - 5 כר'")</f>
        <v>שבילי התורה - 5 כר'</v>
      </c>
    </row>
    <row r="40232" spans="1:6" x14ac:dyDescent="0.2">
      <c r="A40232" t="s">
        <v>61455</v>
      </c>
      <c r="B40232" t="s">
        <v>61456</v>
      </c>
      <c r="C40232" t="s">
        <v>151</v>
      </c>
      <c r="D40232" t="s">
        <v>52</v>
      </c>
      <c r="F40232" s="2" t="str">
        <f>HYPERLINK("http://www.otzar.org/book.asp?623100","שבילי התלמוד")</f>
        <v>שבילי התלמוד</v>
      </c>
    </row>
    <row r="40233" spans="1:6" x14ac:dyDescent="0.2">
      <c r="A40233" t="s">
        <v>61457</v>
      </c>
      <c r="B40233" t="s">
        <v>46033</v>
      </c>
      <c r="C40233" t="s">
        <v>13</v>
      </c>
      <c r="D40233" t="s">
        <v>14</v>
      </c>
      <c r="E40233" t="s">
        <v>15</v>
      </c>
      <c r="F40233" s="2" t="str">
        <f>HYPERLINK("http://www.otzar.org/book.asp?152254","שבילי זרעים - 3 כר'")</f>
        <v>שבילי זרעים - 3 כר'</v>
      </c>
    </row>
    <row r="40234" spans="1:6" x14ac:dyDescent="0.2">
      <c r="A40234" t="s">
        <v>61458</v>
      </c>
      <c r="B40234" t="s">
        <v>6033</v>
      </c>
      <c r="C40234" t="s">
        <v>160</v>
      </c>
      <c r="D40234" t="s">
        <v>9</v>
      </c>
      <c r="E40234" t="s">
        <v>61459</v>
      </c>
      <c r="F40234" s="2" t="str">
        <f>HYPERLINK("http://www.otzar.org/book.asp?103766","שבילי חיים")</f>
        <v>שבילי חיים</v>
      </c>
    </row>
    <row r="40235" spans="1:6" x14ac:dyDescent="0.2">
      <c r="A40235" t="s">
        <v>61460</v>
      </c>
      <c r="B40235" t="s">
        <v>61461</v>
      </c>
      <c r="C40235" t="s">
        <v>114</v>
      </c>
      <c r="D40235" t="s">
        <v>152</v>
      </c>
      <c r="E40235" t="s">
        <v>15</v>
      </c>
      <c r="F40235" s="2" t="str">
        <f>HYPERLINK("http://www.otzar.org/book.asp?625438","שבילי טהרה")</f>
        <v>שבילי טהרה</v>
      </c>
    </row>
    <row r="40236" spans="1:6" x14ac:dyDescent="0.2">
      <c r="A40236" t="s">
        <v>61460</v>
      </c>
      <c r="B40236" t="s">
        <v>1091</v>
      </c>
      <c r="C40236" t="s">
        <v>87</v>
      </c>
      <c r="D40236" t="s">
        <v>14</v>
      </c>
      <c r="E40236" t="s">
        <v>10</v>
      </c>
      <c r="F40236" s="2" t="str">
        <f>HYPERLINK("http://www.otzar.org/book.asp?143344","שבילי טהרה")</f>
        <v>שבילי טהרה</v>
      </c>
    </row>
    <row r="40237" spans="1:6" x14ac:dyDescent="0.2">
      <c r="A40237" t="s">
        <v>61462</v>
      </c>
      <c r="B40237" t="s">
        <v>61463</v>
      </c>
      <c r="C40237" t="s">
        <v>20</v>
      </c>
      <c r="D40237" t="s">
        <v>90</v>
      </c>
      <c r="E40237" t="s">
        <v>144</v>
      </c>
      <c r="F40237" s="2" t="str">
        <f>HYPERLINK("http://www.otzar.org/book.asp?53067","שבילי יו""ט")</f>
        <v>שבילי יו"ט</v>
      </c>
    </row>
    <row r="40238" spans="1:6" x14ac:dyDescent="0.2">
      <c r="A40238" t="s">
        <v>61464</v>
      </c>
      <c r="B40238" t="s">
        <v>1091</v>
      </c>
      <c r="C40238" t="s">
        <v>956</v>
      </c>
      <c r="D40238" t="s">
        <v>14</v>
      </c>
      <c r="E40238" t="s">
        <v>803</v>
      </c>
      <c r="F40238" s="2" t="str">
        <f>HYPERLINK("http://www.otzar.org/book.asp?189181","שבילי ים")</f>
        <v>שבילי ים</v>
      </c>
    </row>
    <row r="40239" spans="1:6" x14ac:dyDescent="0.2">
      <c r="A40239" t="s">
        <v>61465</v>
      </c>
      <c r="B40239" t="s">
        <v>6375</v>
      </c>
      <c r="C40239" t="s">
        <v>129</v>
      </c>
      <c r="D40239" t="s">
        <v>2285</v>
      </c>
      <c r="E40239" t="s">
        <v>241</v>
      </c>
      <c r="F40239" s="2" t="str">
        <f>HYPERLINK("http://www.otzar.org/book.asp?161696","שבילי ישראל")</f>
        <v>שבילי ישראל</v>
      </c>
    </row>
    <row r="40240" spans="1:6" x14ac:dyDescent="0.2">
      <c r="A40240" t="s">
        <v>61466</v>
      </c>
      <c r="B40240" t="s">
        <v>44932</v>
      </c>
      <c r="C40240" t="s">
        <v>383</v>
      </c>
      <c r="D40240" t="s">
        <v>721</v>
      </c>
      <c r="E40240" t="s">
        <v>10</v>
      </c>
      <c r="F40240" s="2" t="str">
        <f>HYPERLINK("http://www.otzar.org/book.asp?174461","שבילי משפט")</f>
        <v>שבילי משפט</v>
      </c>
    </row>
    <row r="40241" spans="1:6" x14ac:dyDescent="0.2">
      <c r="A40241" t="s">
        <v>61467</v>
      </c>
      <c r="B40241" t="s">
        <v>61468</v>
      </c>
      <c r="C40241" t="s">
        <v>9914</v>
      </c>
      <c r="D40241" t="s">
        <v>4703</v>
      </c>
      <c r="E40241" t="s">
        <v>213</v>
      </c>
      <c r="F40241" s="2" t="str">
        <f>HYPERLINK("http://www.otzar.org/book.asp?146880","שבילי נהורא")</f>
        <v>שבילי נהורא</v>
      </c>
    </row>
    <row r="40242" spans="1:6" x14ac:dyDescent="0.2">
      <c r="A40242" t="s">
        <v>61469</v>
      </c>
      <c r="B40242" t="s">
        <v>61470</v>
      </c>
      <c r="C40242" t="s">
        <v>20</v>
      </c>
      <c r="D40242" t="s">
        <v>283</v>
      </c>
      <c r="E40242" t="s">
        <v>27260</v>
      </c>
      <c r="F40242" s="2" t="str">
        <f>HYPERLINK("http://www.otzar.org/book.asp?300513","שבילי עולם - 2 כר'")</f>
        <v>שבילי עולם - 2 כר'</v>
      </c>
    </row>
    <row r="40243" spans="1:6" x14ac:dyDescent="0.2">
      <c r="A40243" t="s">
        <v>61471</v>
      </c>
      <c r="B40243" t="s">
        <v>31582</v>
      </c>
      <c r="C40243" t="s">
        <v>422</v>
      </c>
      <c r="D40243" t="s">
        <v>229</v>
      </c>
      <c r="E40243" t="s">
        <v>144</v>
      </c>
      <c r="F40243" s="2" t="str">
        <f>HYPERLINK("http://www.otzar.org/book.asp?160055","שבילי ציון - 2 כר'")</f>
        <v>שבילי ציון - 2 כר'</v>
      </c>
    </row>
    <row r="40244" spans="1:6" x14ac:dyDescent="0.2">
      <c r="A40244" t="s">
        <v>61472</v>
      </c>
      <c r="B40244" t="s">
        <v>9425</v>
      </c>
      <c r="C40244" t="s">
        <v>37</v>
      </c>
      <c r="D40244" t="s">
        <v>9426</v>
      </c>
      <c r="F40244" s="2" t="str">
        <f>HYPERLINK("http://www.otzar.org/book.asp?183189","שבילי שביעית")</f>
        <v>שבילי שביעית</v>
      </c>
    </row>
    <row r="40245" spans="1:6" x14ac:dyDescent="0.2">
      <c r="A40245" t="s">
        <v>61473</v>
      </c>
      <c r="B40245" t="s">
        <v>61474</v>
      </c>
      <c r="C40245" t="s">
        <v>114</v>
      </c>
      <c r="D40245" t="s">
        <v>52</v>
      </c>
      <c r="F40245" s="2" t="str">
        <f>HYPERLINK("http://www.otzar.org/book.asp?163851","שבילי שדה - נדה")</f>
        <v>שבילי שדה - נדה</v>
      </c>
    </row>
    <row r="40246" spans="1:6" x14ac:dyDescent="0.2">
      <c r="A40246" t="s">
        <v>61475</v>
      </c>
      <c r="B40246" t="s">
        <v>61476</v>
      </c>
      <c r="C40246" t="s">
        <v>2269</v>
      </c>
      <c r="D40246" t="s">
        <v>283</v>
      </c>
      <c r="E40246" t="s">
        <v>15</v>
      </c>
      <c r="F40246" s="2" t="str">
        <f>HYPERLINK("http://www.otzar.org/book.asp?101869","שבילי תורה - 2 כר'")</f>
        <v>שבילי תורה - 2 כר'</v>
      </c>
    </row>
    <row r="40247" spans="1:6" x14ac:dyDescent="0.2">
      <c r="A40247" t="s">
        <v>61477</v>
      </c>
      <c r="B40247" t="s">
        <v>3716</v>
      </c>
      <c r="C40247" t="s">
        <v>332</v>
      </c>
      <c r="D40247" t="s">
        <v>14</v>
      </c>
      <c r="E40247" t="s">
        <v>140</v>
      </c>
      <c r="F40247" s="2" t="str">
        <f>HYPERLINK("http://www.otzar.org/book.asp?150192","שבילים במחשבת החסידות")</f>
        <v>שבילים במחשבת החסידות</v>
      </c>
    </row>
    <row r="40248" spans="1:6" x14ac:dyDescent="0.2">
      <c r="A40248" t="s">
        <v>61478</v>
      </c>
      <c r="B40248" t="s">
        <v>61479</v>
      </c>
      <c r="C40248" t="s">
        <v>438</v>
      </c>
      <c r="D40248" t="s">
        <v>216</v>
      </c>
      <c r="E40248" t="s">
        <v>202</v>
      </c>
      <c r="F40248" s="2" t="str">
        <f>HYPERLINK("http://www.otzar.org/book.asp?63268","שבילין - 11 כר'")</f>
        <v>שבילין - 11 כר'</v>
      </c>
    </row>
    <row r="40249" spans="1:6" x14ac:dyDescent="0.2">
      <c r="A40249" t="s">
        <v>61480</v>
      </c>
      <c r="B40249" t="s">
        <v>11462</v>
      </c>
      <c r="C40249" t="s">
        <v>313</v>
      </c>
      <c r="D40249" t="s">
        <v>52</v>
      </c>
      <c r="E40249" t="s">
        <v>15</v>
      </c>
      <c r="F40249" s="2" t="str">
        <f>HYPERLINK("http://www.otzar.org/book.asp?200685","שביעי קדש")</f>
        <v>שביעי קדש</v>
      </c>
    </row>
    <row r="40250" spans="1:6" x14ac:dyDescent="0.2">
      <c r="A40250" t="s">
        <v>61481</v>
      </c>
      <c r="B40250" t="s">
        <v>7313</v>
      </c>
      <c r="C40250" t="s">
        <v>466</v>
      </c>
      <c r="D40250" t="s">
        <v>1550</v>
      </c>
      <c r="E40250" t="s">
        <v>61482</v>
      </c>
      <c r="F40250" s="2" t="str">
        <f>HYPERLINK("http://www.otzar.org/book.asp?158789","שביעין חביבין - קושר תופר")</f>
        <v>שביעין חביבין - קושר תופר</v>
      </c>
    </row>
    <row r="40251" spans="1:6" x14ac:dyDescent="0.2">
      <c r="A40251" t="s">
        <v>61483</v>
      </c>
      <c r="B40251" t="s">
        <v>12079</v>
      </c>
      <c r="C40251" t="s">
        <v>37</v>
      </c>
      <c r="D40251" t="s">
        <v>14</v>
      </c>
      <c r="F40251" s="2" t="str">
        <f>HYPERLINK("http://www.otzar.org/book.asp?617140","שביעית אברך")</f>
        <v>שביעית אברך</v>
      </c>
    </row>
    <row r="40252" spans="1:6" x14ac:dyDescent="0.2">
      <c r="A40252" t="s">
        <v>61484</v>
      </c>
      <c r="B40252" t="s">
        <v>4829</v>
      </c>
      <c r="C40252" t="s">
        <v>523</v>
      </c>
      <c r="D40252" t="s">
        <v>14</v>
      </c>
      <c r="E40252" t="s">
        <v>15</v>
      </c>
      <c r="F40252" s="2" t="str">
        <f>HYPERLINK("http://www.otzar.org/book.asp?163281","שביעית בהלכה")</f>
        <v>שביעית בהלכה</v>
      </c>
    </row>
    <row r="40253" spans="1:6" x14ac:dyDescent="0.2">
      <c r="A40253" t="s">
        <v>61485</v>
      </c>
      <c r="B40253" t="s">
        <v>61486</v>
      </c>
      <c r="C40253" t="s">
        <v>1811</v>
      </c>
      <c r="D40253" t="s">
        <v>52</v>
      </c>
      <c r="E40253" t="s">
        <v>15</v>
      </c>
      <c r="F40253" s="2" t="str">
        <f>HYPERLINK("http://www.otzar.org/book.asp?11941","שביעית ושמינית למעשה - 2 כר'")</f>
        <v>שביעית ושמינית למעשה - 2 כר'</v>
      </c>
    </row>
    <row r="40254" spans="1:6" x14ac:dyDescent="0.2">
      <c r="A40254" t="s">
        <v>61487</v>
      </c>
      <c r="B40254" t="s">
        <v>4606</v>
      </c>
      <c r="C40254" t="s">
        <v>1811</v>
      </c>
      <c r="D40254" t="s">
        <v>14</v>
      </c>
      <c r="E40254" t="s">
        <v>15</v>
      </c>
      <c r="F40254" s="2" t="str">
        <f>HYPERLINK("http://www.otzar.org/book.asp?149174","שביעית כהלכתה")</f>
        <v>שביעית כהלכתה</v>
      </c>
    </row>
    <row r="40255" spans="1:6" x14ac:dyDescent="0.2">
      <c r="A40255" t="s">
        <v>61488</v>
      </c>
      <c r="B40255" t="s">
        <v>42412</v>
      </c>
      <c r="C40255" t="s">
        <v>553</v>
      </c>
      <c r="D40255" t="s">
        <v>14</v>
      </c>
      <c r="E40255" t="s">
        <v>15</v>
      </c>
      <c r="F40255" s="2" t="str">
        <f>HYPERLINK("http://www.otzar.org/book.asp?16526","שביעית להלכה ולמעשה")</f>
        <v>שביעית להלכה ולמעשה</v>
      </c>
    </row>
    <row r="40256" spans="1:6" x14ac:dyDescent="0.2">
      <c r="A40256" t="s">
        <v>61489</v>
      </c>
      <c r="B40256" t="s">
        <v>39700</v>
      </c>
      <c r="C40256" t="s">
        <v>523</v>
      </c>
      <c r="D40256" t="s">
        <v>260</v>
      </c>
      <c r="E40256" t="s">
        <v>15</v>
      </c>
      <c r="F40256" s="2" t="str">
        <f>HYPERLINK("http://www.otzar.org/book.asp?195477","שביעית למצוותיה")</f>
        <v>שביעית למצוותיה</v>
      </c>
    </row>
    <row r="40257" spans="1:6" x14ac:dyDescent="0.2">
      <c r="A40257" t="s">
        <v>61490</v>
      </c>
      <c r="B40257" t="s">
        <v>61491</v>
      </c>
      <c r="C40257" t="s">
        <v>103</v>
      </c>
      <c r="D40257" t="s">
        <v>412</v>
      </c>
      <c r="E40257" t="s">
        <v>144</v>
      </c>
      <c r="F40257" s="2" t="str">
        <f>HYPERLINK("http://www.otzar.org/book.asp?601163","שבית שבי")</f>
        <v>שבית שבי</v>
      </c>
    </row>
    <row r="40258" spans="1:6" x14ac:dyDescent="0.2">
      <c r="A40258" t="s">
        <v>61492</v>
      </c>
      <c r="B40258" t="s">
        <v>38435</v>
      </c>
      <c r="C40258" t="s">
        <v>133</v>
      </c>
      <c r="D40258" t="s">
        <v>52</v>
      </c>
      <c r="E40258" t="s">
        <v>130</v>
      </c>
      <c r="F40258" s="2" t="str">
        <f>HYPERLINK("http://www.otzar.org/book.asp?182802","שביתה הניכרת")</f>
        <v>שביתה הניכרת</v>
      </c>
    </row>
    <row r="40259" spans="1:6" x14ac:dyDescent="0.2">
      <c r="A40259" t="s">
        <v>61493</v>
      </c>
      <c r="B40259" t="s">
        <v>9275</v>
      </c>
      <c r="C40259" t="s">
        <v>151</v>
      </c>
      <c r="D40259" t="s">
        <v>152</v>
      </c>
      <c r="E40259" t="s">
        <v>144</v>
      </c>
      <c r="F40259" s="2" t="str">
        <f>HYPERLINK("http://www.otzar.org/book.asp?615979","שביתת אהבה - שבת")</f>
        <v>שביתת אהבה - שבת</v>
      </c>
    </row>
    <row r="40260" spans="1:6" x14ac:dyDescent="0.2">
      <c r="A40260" t="s">
        <v>61494</v>
      </c>
      <c r="B40260" t="s">
        <v>61495</v>
      </c>
      <c r="C40260" t="s">
        <v>129</v>
      </c>
      <c r="D40260" t="s">
        <v>9426</v>
      </c>
      <c r="E40260" t="s">
        <v>15</v>
      </c>
      <c r="F40260" s="2" t="str">
        <f>HYPERLINK("http://www.otzar.org/book.asp?60586","שביתת הארץ")</f>
        <v>שביתת הארץ</v>
      </c>
    </row>
    <row r="40261" spans="1:6" x14ac:dyDescent="0.2">
      <c r="A40261" t="s">
        <v>61494</v>
      </c>
      <c r="B40261" t="s">
        <v>61496</v>
      </c>
      <c r="C40261" t="s">
        <v>553</v>
      </c>
      <c r="D40261" t="s">
        <v>27</v>
      </c>
      <c r="E40261" t="s">
        <v>15</v>
      </c>
      <c r="F40261" s="2" t="str">
        <f>HYPERLINK("http://www.otzar.org/book.asp?618971","שביתת הארץ")</f>
        <v>שביתת הארץ</v>
      </c>
    </row>
    <row r="40262" spans="1:6" x14ac:dyDescent="0.2">
      <c r="A40262" t="s">
        <v>61497</v>
      </c>
      <c r="B40262" t="s">
        <v>14011</v>
      </c>
      <c r="C40262" t="s">
        <v>1246</v>
      </c>
      <c r="D40262" t="s">
        <v>27</v>
      </c>
      <c r="E40262" t="s">
        <v>15</v>
      </c>
      <c r="F40262" s="2" t="str">
        <f>HYPERLINK("http://www.otzar.org/book.asp?144248","שביתת הים")</f>
        <v>שביתת הים</v>
      </c>
    </row>
    <row r="40263" spans="1:6" x14ac:dyDescent="0.2">
      <c r="A40263" t="s">
        <v>61498</v>
      </c>
      <c r="B40263" t="s">
        <v>51233</v>
      </c>
      <c r="C40263" t="s">
        <v>13</v>
      </c>
      <c r="D40263" t="s">
        <v>14</v>
      </c>
      <c r="E40263" t="s">
        <v>803</v>
      </c>
      <c r="F40263" s="2" t="str">
        <f>HYPERLINK("http://www.otzar.org/book.asp?158182","שביתת השביעי")</f>
        <v>שביתת השביעי</v>
      </c>
    </row>
    <row r="40264" spans="1:6" x14ac:dyDescent="0.2">
      <c r="A40264" t="s">
        <v>61499</v>
      </c>
      <c r="B40264" t="s">
        <v>4936</v>
      </c>
      <c r="C40264" t="s">
        <v>17</v>
      </c>
      <c r="D40264" t="s">
        <v>52</v>
      </c>
      <c r="E40264" t="s">
        <v>803</v>
      </c>
      <c r="F40264" s="2" t="str">
        <f>HYPERLINK("http://www.otzar.org/book.asp?180244","שביתת השבת &lt;מהדורה חדשה&gt;")</f>
        <v>שביתת השבת &lt;מהדורה חדשה&gt;</v>
      </c>
    </row>
    <row r="40265" spans="1:6" x14ac:dyDescent="0.2">
      <c r="A40265" t="s">
        <v>61500</v>
      </c>
      <c r="B40265" t="s">
        <v>4936</v>
      </c>
      <c r="C40265" t="s">
        <v>42223</v>
      </c>
      <c r="D40265" t="s">
        <v>27</v>
      </c>
      <c r="E40265" t="s">
        <v>803</v>
      </c>
      <c r="F40265" s="2" t="str">
        <f>HYPERLINK("http://www.otzar.org/book.asp?7519","שביתת השבת - 2 כר'")</f>
        <v>שביתת השבת - 2 כר'</v>
      </c>
    </row>
    <row r="40266" spans="1:6" x14ac:dyDescent="0.2">
      <c r="A40266" t="s">
        <v>61501</v>
      </c>
      <c r="B40266" t="s">
        <v>9425</v>
      </c>
      <c r="C40266" t="s">
        <v>37</v>
      </c>
      <c r="D40266" t="s">
        <v>9426</v>
      </c>
      <c r="E40266" t="s">
        <v>15</v>
      </c>
      <c r="F40266" s="2" t="str">
        <f>HYPERLINK("http://www.otzar.org/book.asp?609907","שביתת השדה &lt;מהדורה חדשה&gt;")</f>
        <v>שביתת השדה &lt;מהדורה חדשה&gt;</v>
      </c>
    </row>
    <row r="40267" spans="1:6" x14ac:dyDescent="0.2">
      <c r="A40267" t="s">
        <v>61502</v>
      </c>
      <c r="B40267" t="s">
        <v>9425</v>
      </c>
      <c r="C40267" t="s">
        <v>313</v>
      </c>
      <c r="D40267" t="s">
        <v>9426</v>
      </c>
      <c r="E40267" t="s">
        <v>15</v>
      </c>
      <c r="F40267" s="2" t="str">
        <f>HYPERLINK("http://www.otzar.org/book.asp?60588","שביתת השדה")</f>
        <v>שביתת השדה</v>
      </c>
    </row>
    <row r="40268" spans="1:6" x14ac:dyDescent="0.2">
      <c r="A40268" t="s">
        <v>61503</v>
      </c>
      <c r="B40268" t="s">
        <v>61504</v>
      </c>
      <c r="C40268" t="s">
        <v>11298</v>
      </c>
      <c r="D40268" t="s">
        <v>76</v>
      </c>
      <c r="E40268" t="s">
        <v>19679</v>
      </c>
      <c r="F40268" s="2" t="str">
        <f>HYPERLINK("http://www.otzar.org/book.asp?101782","שביתת יום טוב")</f>
        <v>שביתת יום טוב</v>
      </c>
    </row>
    <row r="40269" spans="1:6" x14ac:dyDescent="0.2">
      <c r="A40269" t="s">
        <v>61503</v>
      </c>
      <c r="B40269" t="s">
        <v>60692</v>
      </c>
      <c r="C40269" t="s">
        <v>366</v>
      </c>
      <c r="D40269" t="s">
        <v>1273</v>
      </c>
      <c r="E40269" t="s">
        <v>148</v>
      </c>
      <c r="F40269" s="2" t="str">
        <f>HYPERLINK("http://www.otzar.org/book.asp?605540","שביתת יום טוב")</f>
        <v>שביתת יום טוב</v>
      </c>
    </row>
    <row r="40270" spans="1:6" x14ac:dyDescent="0.2">
      <c r="A40270" t="s">
        <v>61503</v>
      </c>
      <c r="B40270" t="s">
        <v>61505</v>
      </c>
      <c r="C40270" t="s">
        <v>366</v>
      </c>
      <c r="D40270" t="s">
        <v>21</v>
      </c>
      <c r="F40270" s="2" t="str">
        <f>HYPERLINK("http://www.otzar.org/book.asp?621842","שביתת יום טוב")</f>
        <v>שביתת יום טוב</v>
      </c>
    </row>
    <row r="40271" spans="1:6" x14ac:dyDescent="0.2">
      <c r="A40271" t="s">
        <v>61506</v>
      </c>
      <c r="B40271" t="s">
        <v>13135</v>
      </c>
      <c r="C40271" t="s">
        <v>419</v>
      </c>
      <c r="D40271" t="s">
        <v>52</v>
      </c>
      <c r="F40271" s="2" t="str">
        <f>HYPERLINK("http://www.otzar.org/book.asp?617938","שביתת יום טוב - משכן אליהו")</f>
        <v>שביתת יום טוב - משכן אליהו</v>
      </c>
    </row>
    <row r="40272" spans="1:6" x14ac:dyDescent="0.2">
      <c r="A40272" t="s">
        <v>61507</v>
      </c>
      <c r="B40272" t="s">
        <v>2396</v>
      </c>
      <c r="C40272" t="s">
        <v>71</v>
      </c>
      <c r="D40272" t="s">
        <v>1076</v>
      </c>
      <c r="E40272" t="s">
        <v>872</v>
      </c>
      <c r="F40272" s="2" t="str">
        <f>HYPERLINK("http://www.otzar.org/book.asp?148706","שביתת קדש")</f>
        <v>שביתת קדש</v>
      </c>
    </row>
    <row r="40273" spans="1:6" x14ac:dyDescent="0.2">
      <c r="A40273" t="s">
        <v>61508</v>
      </c>
      <c r="B40273" t="s">
        <v>18277</v>
      </c>
      <c r="C40273" t="s">
        <v>330</v>
      </c>
      <c r="D40273" t="s">
        <v>49</v>
      </c>
      <c r="E40273" t="s">
        <v>15</v>
      </c>
      <c r="F40273" s="2" t="str">
        <f>HYPERLINK("http://www.otzar.org/book.asp?53583","שבלי הלקט &lt;דפו""ר&gt; - 2 כר'")</f>
        <v>שבלי הלקט &lt;דפו"ר&gt; - 2 כר'</v>
      </c>
    </row>
    <row r="40274" spans="1:6" x14ac:dyDescent="0.2">
      <c r="A40274" t="s">
        <v>61509</v>
      </c>
      <c r="B40274" t="s">
        <v>18277</v>
      </c>
      <c r="C40274" t="s">
        <v>63</v>
      </c>
      <c r="D40274" t="s">
        <v>412</v>
      </c>
      <c r="E40274" t="s">
        <v>15</v>
      </c>
      <c r="F40274" s="2" t="str">
        <f>HYPERLINK("http://www.otzar.org/book.asp?170129","שבלי הלקט &lt;מהדורת מירסקי&gt;")</f>
        <v>שבלי הלקט &lt;מהדורת מירסקי&gt;</v>
      </c>
    </row>
    <row r="40275" spans="1:6" x14ac:dyDescent="0.2">
      <c r="A40275" t="s">
        <v>61510</v>
      </c>
      <c r="B40275" t="s">
        <v>18277</v>
      </c>
      <c r="C40275" t="s">
        <v>395</v>
      </c>
      <c r="D40275" t="s">
        <v>56</v>
      </c>
      <c r="E40275" t="s">
        <v>3567</v>
      </c>
      <c r="F40275" s="2" t="str">
        <f>HYPERLINK("http://www.otzar.org/book.asp?16406","שבלי הלקט השלם")</f>
        <v>שבלי הלקט השלם</v>
      </c>
    </row>
    <row r="40276" spans="1:6" x14ac:dyDescent="0.2">
      <c r="A40276" t="s">
        <v>61511</v>
      </c>
      <c r="B40276" t="s">
        <v>18277</v>
      </c>
      <c r="C40276" t="s">
        <v>908</v>
      </c>
      <c r="D40276" t="s">
        <v>14</v>
      </c>
      <c r="E40276" t="s">
        <v>3567</v>
      </c>
      <c r="F40276" s="2" t="str">
        <f>HYPERLINK("http://www.otzar.org/book.asp?8229","שבלי הלקט - 2 כר'")</f>
        <v>שבלי הלקט - 2 כר'</v>
      </c>
    </row>
    <row r="40277" spans="1:6" x14ac:dyDescent="0.2">
      <c r="A40277" t="s">
        <v>61512</v>
      </c>
      <c r="B40277" t="s">
        <v>4156</v>
      </c>
      <c r="C40277" t="s">
        <v>3246</v>
      </c>
      <c r="D40277" t="s">
        <v>27</v>
      </c>
      <c r="E40277" t="s">
        <v>202</v>
      </c>
      <c r="F40277" s="2" t="str">
        <f>HYPERLINK("http://www.otzar.org/book.asp?106380","שבלים בודדות")</f>
        <v>שבלים בודדות</v>
      </c>
    </row>
    <row r="40278" spans="1:6" x14ac:dyDescent="0.2">
      <c r="A40278" t="s">
        <v>61513</v>
      </c>
      <c r="B40278" t="s">
        <v>61514</v>
      </c>
      <c r="C40278" t="s">
        <v>114</v>
      </c>
      <c r="D40278" t="s">
        <v>1156</v>
      </c>
      <c r="E40278" t="s">
        <v>674</v>
      </c>
      <c r="F40278" s="2" t="str">
        <f>HYPERLINK("http://www.otzar.org/book.asp?163430","שבע ביום הללתיך")</f>
        <v>שבע ביום הללתיך</v>
      </c>
    </row>
    <row r="40279" spans="1:6" x14ac:dyDescent="0.2">
      <c r="A40279" t="s">
        <v>61515</v>
      </c>
      <c r="B40279" t="s">
        <v>3727</v>
      </c>
      <c r="C40279" t="s">
        <v>20</v>
      </c>
      <c r="D40279" t="s">
        <v>52</v>
      </c>
      <c r="E40279" t="s">
        <v>1776</v>
      </c>
      <c r="F40279" s="2" t="str">
        <f>HYPERLINK("http://www.otzar.org/book.asp?85660","שבע ברכות בהלכה ובאגדה")</f>
        <v>שבע ברכות בהלכה ובאגדה</v>
      </c>
    </row>
    <row r="40280" spans="1:6" x14ac:dyDescent="0.2">
      <c r="A40280" t="s">
        <v>61516</v>
      </c>
      <c r="B40280" t="s">
        <v>18298</v>
      </c>
      <c r="C40280" t="s">
        <v>411</v>
      </c>
      <c r="D40280" t="s">
        <v>14</v>
      </c>
      <c r="E40280" t="s">
        <v>219</v>
      </c>
      <c r="F40280" s="2" t="str">
        <f>HYPERLINK("http://www.otzar.org/book.asp?603958","שבע ברכות")</f>
        <v>שבע ברכות</v>
      </c>
    </row>
    <row r="40281" spans="1:6" x14ac:dyDescent="0.2">
      <c r="A40281" t="s">
        <v>61517</v>
      </c>
      <c r="B40281" t="s">
        <v>61518</v>
      </c>
      <c r="C40281" t="s">
        <v>133</v>
      </c>
      <c r="D40281" t="s">
        <v>21</v>
      </c>
      <c r="E40281" t="s">
        <v>172</v>
      </c>
      <c r="F40281" s="2" t="str">
        <f>HYPERLINK("http://www.otzar.org/book.asp?197204","שבע ברכות - ב (נדה ומקואות)")</f>
        <v>שבע ברכות - ב (נדה ומקואות)</v>
      </c>
    </row>
    <row r="40282" spans="1:6" x14ac:dyDescent="0.2">
      <c r="A40282" t="s">
        <v>61519</v>
      </c>
      <c r="B40282" t="s">
        <v>61520</v>
      </c>
      <c r="C40282" t="s">
        <v>133</v>
      </c>
      <c r="D40282" t="s">
        <v>90</v>
      </c>
      <c r="E40282" t="s">
        <v>15</v>
      </c>
      <c r="F40282" s="2" t="str">
        <f>HYPERLINK("http://www.otzar.org/book.asp?615628","שבע חופות")</f>
        <v>שבע חופות</v>
      </c>
    </row>
    <row r="40283" spans="1:6" x14ac:dyDescent="0.2">
      <c r="A40283" t="s">
        <v>61521</v>
      </c>
      <c r="B40283" t="s">
        <v>24304</v>
      </c>
      <c r="C40283" t="s">
        <v>1981</v>
      </c>
      <c r="D40283" t="s">
        <v>744</v>
      </c>
      <c r="E40283" t="s">
        <v>1517</v>
      </c>
      <c r="F40283" s="2" t="str">
        <f>HYPERLINK("http://www.otzar.org/book.asp?149767","שבע ימי פסח")</f>
        <v>שבע ימי פסח</v>
      </c>
    </row>
    <row r="40284" spans="1:6" x14ac:dyDescent="0.2">
      <c r="A40284" t="s">
        <v>61522</v>
      </c>
      <c r="B40284" t="s">
        <v>49599</v>
      </c>
      <c r="C40284" t="s">
        <v>189</v>
      </c>
      <c r="D40284" t="s">
        <v>14</v>
      </c>
      <c r="E40284" t="s">
        <v>241</v>
      </c>
      <c r="F40284" s="2" t="str">
        <f>HYPERLINK("http://www.otzar.org/book.asp?60300","שבע יפול צדיק")</f>
        <v>שבע יפול צדיק</v>
      </c>
    </row>
    <row r="40285" spans="1:6" x14ac:dyDescent="0.2">
      <c r="A40285" t="s">
        <v>61523</v>
      </c>
      <c r="B40285" t="s">
        <v>61524</v>
      </c>
      <c r="C40285" t="s">
        <v>270</v>
      </c>
      <c r="D40285" t="s">
        <v>322</v>
      </c>
      <c r="E40285" t="s">
        <v>43</v>
      </c>
      <c r="F40285" s="2" t="str">
        <f>HYPERLINK("http://www.otzar.org/book.asp?8751","שבע מסכתות קטנות ירושלמיות")</f>
        <v>שבע מסכתות קטנות ירושלמיות</v>
      </c>
    </row>
    <row r="40286" spans="1:6" x14ac:dyDescent="0.2">
      <c r="A40286" t="s">
        <v>61525</v>
      </c>
      <c r="B40286" t="s">
        <v>61526</v>
      </c>
      <c r="C40286" t="s">
        <v>547</v>
      </c>
      <c r="D40286" t="s">
        <v>9</v>
      </c>
      <c r="E40286" t="s">
        <v>43</v>
      </c>
      <c r="F40286" s="2" t="str">
        <f>HYPERLINK("http://www.otzar.org/book.asp?142390","שבע מסכתות קטנות")</f>
        <v>שבע מסכתות קטנות</v>
      </c>
    </row>
    <row r="40287" spans="1:6" x14ac:dyDescent="0.2">
      <c r="A40287" t="s">
        <v>61527</v>
      </c>
      <c r="B40287" t="s">
        <v>61528</v>
      </c>
      <c r="C40287" t="s">
        <v>68</v>
      </c>
      <c r="D40287" t="s">
        <v>52</v>
      </c>
      <c r="E40287" t="s">
        <v>144</v>
      </c>
      <c r="F40287" s="2" t="str">
        <f>HYPERLINK("http://www.otzar.org/book.asp?158187","שבע מצות בני נח - עיר הנדחת")</f>
        <v>שבע מצות בני נח - עיר הנדחת</v>
      </c>
    </row>
    <row r="40288" spans="1:6" x14ac:dyDescent="0.2">
      <c r="A40288" t="s">
        <v>61529</v>
      </c>
      <c r="B40288" t="s">
        <v>61530</v>
      </c>
      <c r="C40288" t="s">
        <v>576</v>
      </c>
      <c r="D40288" t="s">
        <v>61531</v>
      </c>
      <c r="E40288" t="s">
        <v>158</v>
      </c>
      <c r="F40288" s="2" t="str">
        <f>HYPERLINK("http://www.otzar.org/book.asp?197051","שבע רצון")</f>
        <v>שבע רצון</v>
      </c>
    </row>
    <row r="40289" spans="1:6" x14ac:dyDescent="0.2">
      <c r="A40289" t="s">
        <v>61529</v>
      </c>
      <c r="B40289" t="s">
        <v>23020</v>
      </c>
      <c r="C40289" t="s">
        <v>362</v>
      </c>
      <c r="D40289" t="s">
        <v>61532</v>
      </c>
      <c r="E40289" t="s">
        <v>741</v>
      </c>
      <c r="F40289" s="2" t="str">
        <f>HYPERLINK("http://www.otzar.org/book.asp?11417","שבע רצון")</f>
        <v>שבע רצון</v>
      </c>
    </row>
    <row r="40290" spans="1:6" x14ac:dyDescent="0.2">
      <c r="A40290" t="s">
        <v>61533</v>
      </c>
      <c r="B40290" t="s">
        <v>61534</v>
      </c>
      <c r="C40290" t="s">
        <v>20</v>
      </c>
      <c r="D40290" t="s">
        <v>90</v>
      </c>
      <c r="E40290" t="s">
        <v>1626</v>
      </c>
      <c r="F40290" s="2" t="str">
        <f>HYPERLINK("http://www.otzar.org/book.asp?64234","שבע שמחות &lt;ע""פ מנהג יהודי חבאן&gt;")</f>
        <v>שבע שמחות &lt;ע"פ מנהג יהודי חבאן&gt;</v>
      </c>
    </row>
    <row r="40291" spans="1:6" x14ac:dyDescent="0.2">
      <c r="A40291" t="s">
        <v>61535</v>
      </c>
      <c r="B40291" t="s">
        <v>49245</v>
      </c>
      <c r="C40291" t="s">
        <v>383</v>
      </c>
      <c r="D40291" t="s">
        <v>14</v>
      </c>
      <c r="E40291" t="s">
        <v>246</v>
      </c>
      <c r="F40291" s="2" t="str">
        <f>HYPERLINK("http://www.otzar.org/book.asp?178994","שבע שמחות - סוכות")</f>
        <v>שבע שמחות - סוכות</v>
      </c>
    </row>
    <row r="40292" spans="1:6" x14ac:dyDescent="0.2">
      <c r="A40292" t="s">
        <v>61536</v>
      </c>
      <c r="B40292" t="s">
        <v>632</v>
      </c>
      <c r="C40292" t="s">
        <v>8</v>
      </c>
      <c r="D40292" t="s">
        <v>283</v>
      </c>
      <c r="E40292" t="s">
        <v>714</v>
      </c>
      <c r="F40292" s="2" t="str">
        <f>HYPERLINK("http://www.otzar.org/book.asp?25399","שבעה כוכבי לכת")</f>
        <v>שבעה כוכבי לכת</v>
      </c>
    </row>
    <row r="40293" spans="1:6" x14ac:dyDescent="0.2">
      <c r="A40293" t="s">
        <v>61537</v>
      </c>
      <c r="B40293" t="s">
        <v>7854</v>
      </c>
      <c r="C40293" t="s">
        <v>114</v>
      </c>
      <c r="D40293" t="s">
        <v>14</v>
      </c>
      <c r="E40293" t="s">
        <v>230</v>
      </c>
      <c r="F40293" s="2" t="str">
        <f>HYPERLINK("http://www.otzar.org/book.asp?165083","שבעה משיבי טעם")</f>
        <v>שבעה משיבי טעם</v>
      </c>
    </row>
    <row r="40294" spans="1:6" x14ac:dyDescent="0.2">
      <c r="A40294" t="s">
        <v>61538</v>
      </c>
      <c r="B40294" t="s">
        <v>61539</v>
      </c>
      <c r="C40294" t="s">
        <v>7384</v>
      </c>
      <c r="D40294" t="s">
        <v>322</v>
      </c>
      <c r="E40294" t="s">
        <v>61540</v>
      </c>
      <c r="F40294" s="2" t="str">
        <f>HYPERLINK("http://www.otzar.org/book.asp?100757","שבעה משקין")</f>
        <v>שבעה משקין</v>
      </c>
    </row>
    <row r="40295" spans="1:6" x14ac:dyDescent="0.2">
      <c r="A40295" t="s">
        <v>61541</v>
      </c>
      <c r="B40295" t="s">
        <v>686</v>
      </c>
      <c r="C40295" t="s">
        <v>366</v>
      </c>
      <c r="D40295" t="s">
        <v>52</v>
      </c>
      <c r="E40295" t="s">
        <v>241</v>
      </c>
      <c r="F40295" s="2" t="str">
        <f>HYPERLINK("http://www.otzar.org/book.asp?608571","שבעה נרות")</f>
        <v>שבעה נרות</v>
      </c>
    </row>
    <row r="40296" spans="1:6" x14ac:dyDescent="0.2">
      <c r="A40296" t="s">
        <v>61542</v>
      </c>
      <c r="B40296" t="s">
        <v>61543</v>
      </c>
      <c r="C40296" t="s">
        <v>34019</v>
      </c>
      <c r="D40296" t="s">
        <v>1667</v>
      </c>
      <c r="E40296" t="s">
        <v>104</v>
      </c>
      <c r="F40296" s="2" t="str">
        <f>HYPERLINK("http://www.otzar.org/book.asp?63890","שבעה עינים")</f>
        <v>שבעה עינים</v>
      </c>
    </row>
    <row r="40297" spans="1:6" x14ac:dyDescent="0.2">
      <c r="A40297" t="s">
        <v>61544</v>
      </c>
      <c r="B40297" t="s">
        <v>6984</v>
      </c>
      <c r="C40297" t="s">
        <v>775</v>
      </c>
      <c r="D40297" t="s">
        <v>14</v>
      </c>
      <c r="E40297" t="s">
        <v>6688</v>
      </c>
      <c r="F40297" s="2" t="str">
        <f>HYPERLINK("http://www.otzar.org/book.asp?23074","שבעה עינים - 4 כר'")</f>
        <v>שבעה עינים - 4 כר'</v>
      </c>
    </row>
    <row r="40298" spans="1:6" x14ac:dyDescent="0.2">
      <c r="A40298" t="s">
        <v>61542</v>
      </c>
      <c r="B40298" t="s">
        <v>1552</v>
      </c>
      <c r="C40298" t="s">
        <v>4351</v>
      </c>
      <c r="D40298" t="s">
        <v>212</v>
      </c>
      <c r="E40298" t="s">
        <v>952</v>
      </c>
      <c r="F40298" s="2" t="str">
        <f>HYPERLINK("http://www.otzar.org/book.asp?101862","שבעה עינים")</f>
        <v>שבעה עינים</v>
      </c>
    </row>
    <row r="40299" spans="1:6" x14ac:dyDescent="0.2">
      <c r="A40299" t="s">
        <v>61542</v>
      </c>
      <c r="B40299" t="s">
        <v>305</v>
      </c>
      <c r="C40299" t="s">
        <v>1844</v>
      </c>
      <c r="D40299" t="s">
        <v>1279</v>
      </c>
      <c r="E40299" t="s">
        <v>154</v>
      </c>
      <c r="F40299" s="2" t="str">
        <f>HYPERLINK("http://www.otzar.org/book.asp?10807","שבעה עינים")</f>
        <v>שבעה עינים</v>
      </c>
    </row>
    <row r="40300" spans="1:6" x14ac:dyDescent="0.2">
      <c r="A40300" t="s">
        <v>61545</v>
      </c>
      <c r="B40300" t="s">
        <v>61546</v>
      </c>
      <c r="C40300" t="s">
        <v>17774</v>
      </c>
      <c r="D40300" t="s">
        <v>729</v>
      </c>
      <c r="E40300" t="s">
        <v>15</v>
      </c>
      <c r="F40300" s="2" t="str">
        <f>HYPERLINK("http://www.otzar.org/book.asp?61765","שבעה פתילות &lt;קיצור ספר מנורת המאור&gt;")</f>
        <v>שבעה פתילות &lt;קיצור ספר מנורת המאור&gt;</v>
      </c>
    </row>
    <row r="40301" spans="1:6" x14ac:dyDescent="0.2">
      <c r="A40301" t="s">
        <v>61547</v>
      </c>
      <c r="B40301" t="s">
        <v>31408</v>
      </c>
      <c r="C40301" t="s">
        <v>5823</v>
      </c>
      <c r="D40301" t="s">
        <v>4269</v>
      </c>
      <c r="E40301" t="s">
        <v>474</v>
      </c>
      <c r="F40301" s="2" t="str">
        <f>HYPERLINK("http://www.otzar.org/book.asp?100724","שבעה קני מנורה")</f>
        <v>שבעה קני מנורה</v>
      </c>
    </row>
    <row r="40302" spans="1:6" x14ac:dyDescent="0.2">
      <c r="A40302" t="s">
        <v>61548</v>
      </c>
      <c r="B40302" t="s">
        <v>59737</v>
      </c>
      <c r="C40302" t="s">
        <v>237</v>
      </c>
      <c r="D40302" t="s">
        <v>699</v>
      </c>
      <c r="E40302" t="s">
        <v>144</v>
      </c>
      <c r="F40302" s="2" t="str">
        <f>HYPERLINK("http://www.otzar.org/book.asp?14026","שבעה שבועות - א")</f>
        <v>שבעה שבועות - א</v>
      </c>
    </row>
    <row r="40303" spans="1:6" x14ac:dyDescent="0.2">
      <c r="A40303" t="s">
        <v>61549</v>
      </c>
      <c r="B40303" t="s">
        <v>24561</v>
      </c>
      <c r="C40303" t="s">
        <v>10538</v>
      </c>
      <c r="D40303" t="s">
        <v>1490</v>
      </c>
      <c r="E40303" t="s">
        <v>144</v>
      </c>
      <c r="F40303" s="2" t="str">
        <f>HYPERLINK("http://www.otzar.org/book.asp?103889","שבעה שיטות להרשב""א - 2 כר'")</f>
        <v>שבעה שיטות להרשב"א - 2 כר'</v>
      </c>
    </row>
    <row r="40304" spans="1:6" x14ac:dyDescent="0.2">
      <c r="A40304" t="s">
        <v>61550</v>
      </c>
      <c r="B40304" t="s">
        <v>61551</v>
      </c>
      <c r="C40304" t="s">
        <v>22961</v>
      </c>
      <c r="D40304" t="s">
        <v>42</v>
      </c>
      <c r="E40304" t="s">
        <v>213</v>
      </c>
      <c r="F40304" s="2" t="str">
        <f>HYPERLINK("http://www.otzar.org/book.asp?146885","שבעה שערים")</f>
        <v>שבעה שערים</v>
      </c>
    </row>
    <row r="40305" spans="1:6" x14ac:dyDescent="0.2">
      <c r="A40305" t="s">
        <v>61552</v>
      </c>
      <c r="B40305" t="s">
        <v>6040</v>
      </c>
      <c r="C40305" t="s">
        <v>1310</v>
      </c>
      <c r="D40305" t="s">
        <v>267</v>
      </c>
      <c r="E40305" t="s">
        <v>399</v>
      </c>
      <c r="F40305" s="2" t="str">
        <f>HYPERLINK("http://www.otzar.org/book.asp?145436","שבעים ושתים ידיעות")</f>
        <v>שבעים ושתים ידיעות</v>
      </c>
    </row>
    <row r="40306" spans="1:6" x14ac:dyDescent="0.2">
      <c r="A40306" t="s">
        <v>61553</v>
      </c>
      <c r="B40306" t="s">
        <v>3493</v>
      </c>
      <c r="C40306" t="s">
        <v>133</v>
      </c>
      <c r="D40306" t="s">
        <v>412</v>
      </c>
      <c r="E40306" t="s">
        <v>104</v>
      </c>
      <c r="F40306" s="2" t="str">
        <f>HYPERLINK("http://www.otzar.org/book.asp?183049","שבעים פנים לתורה &lt;מהדורה חדשה&gt;")</f>
        <v>שבעים פנים לתורה &lt;מהדורה חדשה&gt;</v>
      </c>
    </row>
    <row r="40307" spans="1:6" x14ac:dyDescent="0.2">
      <c r="A40307" t="s">
        <v>61554</v>
      </c>
      <c r="B40307" t="s">
        <v>10308</v>
      </c>
      <c r="C40307" t="s">
        <v>2870</v>
      </c>
      <c r="D40307" t="s">
        <v>15715</v>
      </c>
      <c r="E40307" t="s">
        <v>579</v>
      </c>
      <c r="F40307" s="2" t="str">
        <f>HYPERLINK("http://www.otzar.org/book.asp?197052","שבעים פנים לתורה")</f>
        <v>שבעים פנים לתורה</v>
      </c>
    </row>
    <row r="40308" spans="1:6" x14ac:dyDescent="0.2">
      <c r="A40308" t="s">
        <v>61555</v>
      </c>
      <c r="B40308" t="s">
        <v>259</v>
      </c>
      <c r="C40308" t="s">
        <v>523</v>
      </c>
      <c r="D40308" t="s">
        <v>216</v>
      </c>
      <c r="E40308" t="s">
        <v>119</v>
      </c>
      <c r="F40308" s="2" t="str">
        <f>HYPERLINK("http://www.otzar.org/book.asp?603800","שבעים פנים")</f>
        <v>שבעים פנים</v>
      </c>
    </row>
    <row r="40309" spans="1:6" x14ac:dyDescent="0.2">
      <c r="A40309" t="s">
        <v>61556</v>
      </c>
      <c r="B40309" t="s">
        <v>21210</v>
      </c>
      <c r="C40309" t="s">
        <v>1663</v>
      </c>
      <c r="D40309" t="s">
        <v>27</v>
      </c>
      <c r="F40309" s="2" t="str">
        <f>HYPERLINK("http://www.otzar.org/book.asp?162415","שבעים שנה בירושלים")</f>
        <v>שבעים שנה בירושלים</v>
      </c>
    </row>
    <row r="40310" spans="1:6" x14ac:dyDescent="0.2">
      <c r="A40310" t="s">
        <v>61557</v>
      </c>
      <c r="B40310" t="s">
        <v>61558</v>
      </c>
      <c r="C40310" t="s">
        <v>87</v>
      </c>
      <c r="D40310" t="s">
        <v>14</v>
      </c>
      <c r="F40310" s="2" t="str">
        <f>HYPERLINK("http://www.otzar.org/book.asp?617013","שבעים שנות תורה ומוסר")</f>
        <v>שבעים שנות תורה ומוסר</v>
      </c>
    </row>
    <row r="40311" spans="1:6" x14ac:dyDescent="0.2">
      <c r="A40311" t="s">
        <v>61559</v>
      </c>
      <c r="B40311" t="s">
        <v>686</v>
      </c>
      <c r="C40311" t="s">
        <v>189</v>
      </c>
      <c r="D40311" t="s">
        <v>52</v>
      </c>
      <c r="E40311" t="s">
        <v>158</v>
      </c>
      <c r="F40311" s="2" t="str">
        <f>HYPERLINK("http://www.otzar.org/book.asp?60735","שבעים תמרים")</f>
        <v>שבעים תמרים</v>
      </c>
    </row>
    <row r="40312" spans="1:6" x14ac:dyDescent="0.2">
      <c r="A40312" t="s">
        <v>61559</v>
      </c>
      <c r="B40312" t="s">
        <v>61560</v>
      </c>
      <c r="C40312" t="s">
        <v>22770</v>
      </c>
      <c r="D40312" t="s">
        <v>4934</v>
      </c>
      <c r="E40312" t="s">
        <v>158</v>
      </c>
      <c r="F40312" s="2" t="str">
        <f>HYPERLINK("http://www.otzar.org/book.asp?146607","שבעים תמרים")</f>
        <v>שבעים תמרים</v>
      </c>
    </row>
    <row r="40313" spans="1:6" x14ac:dyDescent="0.2">
      <c r="A40313" t="s">
        <v>61559</v>
      </c>
      <c r="B40313" t="s">
        <v>6044</v>
      </c>
      <c r="C40313" t="s">
        <v>492</v>
      </c>
      <c r="D40313" t="s">
        <v>283</v>
      </c>
      <c r="E40313" t="s">
        <v>61561</v>
      </c>
      <c r="F40313" s="2" t="str">
        <f>HYPERLINK("http://www.otzar.org/book.asp?12415","שבעים תמרים")</f>
        <v>שבעים תמרים</v>
      </c>
    </row>
    <row r="40314" spans="1:6" x14ac:dyDescent="0.2">
      <c r="A40314" t="s">
        <v>61562</v>
      </c>
      <c r="B40314" t="s">
        <v>16539</v>
      </c>
      <c r="C40314" t="s">
        <v>25392</v>
      </c>
      <c r="D40314" t="s">
        <v>1023</v>
      </c>
      <c r="E40314" t="s">
        <v>20320</v>
      </c>
      <c r="F40314" s="2" t="str">
        <f>HYPERLINK("http://www.otzar.org/book.asp?104414","שבעים תקוני הזהר &lt;חמדת צבי&gt;")</f>
        <v>שבעים תקוני הזהר &lt;חמדת צבי&gt;</v>
      </c>
    </row>
    <row r="40315" spans="1:6" x14ac:dyDescent="0.2">
      <c r="A40315" t="s">
        <v>61563</v>
      </c>
      <c r="B40315" t="s">
        <v>61564</v>
      </c>
      <c r="C40315" t="s">
        <v>129</v>
      </c>
      <c r="D40315" t="s">
        <v>52</v>
      </c>
      <c r="E40315" t="s">
        <v>140</v>
      </c>
      <c r="F40315" s="2" t="str">
        <f>HYPERLINK("http://www.otzar.org/book.asp?168669","שבעים תקונים על פתק הגאולה")</f>
        <v>שבעים תקונים על פתק הגאולה</v>
      </c>
    </row>
    <row r="40316" spans="1:6" x14ac:dyDescent="0.2">
      <c r="A40316" t="s">
        <v>61565</v>
      </c>
      <c r="B40316" t="s">
        <v>61566</v>
      </c>
      <c r="C40316" t="s">
        <v>454</v>
      </c>
      <c r="D40316" t="s">
        <v>115</v>
      </c>
      <c r="E40316" t="s">
        <v>246</v>
      </c>
      <c r="F40316" s="2" t="str">
        <f>HYPERLINK("http://www.otzar.org/book.asp?189765","שבעת האושפיזין")</f>
        <v>שבעת האושפיזין</v>
      </c>
    </row>
    <row r="40317" spans="1:6" x14ac:dyDescent="0.2">
      <c r="A40317" t="s">
        <v>61567</v>
      </c>
      <c r="B40317" t="s">
        <v>61567</v>
      </c>
      <c r="C40317" t="s">
        <v>1166</v>
      </c>
      <c r="D40317" t="s">
        <v>56</v>
      </c>
      <c r="E40317" t="s">
        <v>399</v>
      </c>
      <c r="F40317" s="2" t="str">
        <f>HYPERLINK("http://www.otzar.org/book.asp?100756","שבעת המאורות")</f>
        <v>שבעת המאורות</v>
      </c>
    </row>
    <row r="40318" spans="1:6" x14ac:dyDescent="0.2">
      <c r="A40318" t="s">
        <v>61568</v>
      </c>
      <c r="B40318" t="s">
        <v>61569</v>
      </c>
      <c r="C40318" t="s">
        <v>61570</v>
      </c>
      <c r="D40318" t="s">
        <v>52</v>
      </c>
      <c r="E40318" t="s">
        <v>140</v>
      </c>
      <c r="F40318" s="2" t="str">
        <f>HYPERLINK("http://www.otzar.org/book.asp?154611","שבעת הרועים")</f>
        <v>שבעת הרועים</v>
      </c>
    </row>
    <row r="40319" spans="1:6" x14ac:dyDescent="0.2">
      <c r="A40319" t="s">
        <v>61571</v>
      </c>
      <c r="B40319" t="s">
        <v>37628</v>
      </c>
      <c r="C40319" t="s">
        <v>1863</v>
      </c>
      <c r="D40319" t="s">
        <v>212</v>
      </c>
      <c r="F40319" s="2" t="str">
        <f>HYPERLINK("http://www.otzar.org/book.asp?148954","שבר במצרים")</f>
        <v>שבר במצרים</v>
      </c>
    </row>
    <row r="40320" spans="1:6" x14ac:dyDescent="0.2">
      <c r="A40320" t="s">
        <v>61572</v>
      </c>
      <c r="B40320" t="s">
        <v>1540</v>
      </c>
      <c r="C40320" t="s">
        <v>884</v>
      </c>
      <c r="D40320" t="s">
        <v>563</v>
      </c>
      <c r="E40320" t="s">
        <v>213</v>
      </c>
      <c r="F40320" s="2" t="str">
        <f>HYPERLINK("http://www.otzar.org/book.asp?12797","שבר פושעים - 3 כר'")</f>
        <v>שבר פושעים - 3 כר'</v>
      </c>
    </row>
    <row r="40321" spans="1:6" x14ac:dyDescent="0.2">
      <c r="A40321" t="s">
        <v>61573</v>
      </c>
      <c r="B40321" t="s">
        <v>61574</v>
      </c>
      <c r="C40321" t="s">
        <v>1166</v>
      </c>
      <c r="D40321" t="s">
        <v>3627</v>
      </c>
      <c r="E40321" t="s">
        <v>4779</v>
      </c>
      <c r="F40321" s="2" t="str">
        <f>HYPERLINK("http://www.otzar.org/book.asp?11135","שברי לוחות - 2 כר'")</f>
        <v>שברי לוחות - 2 כר'</v>
      </c>
    </row>
    <row r="40322" spans="1:6" x14ac:dyDescent="0.2">
      <c r="A40322" t="s">
        <v>61575</v>
      </c>
      <c r="B40322" t="s">
        <v>510</v>
      </c>
      <c r="C40322" t="s">
        <v>87</v>
      </c>
      <c r="D40322" t="s">
        <v>512</v>
      </c>
      <c r="E40322" t="s">
        <v>241</v>
      </c>
      <c r="F40322" s="2" t="str">
        <f>HYPERLINK("http://www.otzar.org/book.asp?53247","שבת אחים")</f>
        <v>שבת אחים</v>
      </c>
    </row>
    <row r="40323" spans="1:6" x14ac:dyDescent="0.2">
      <c r="A40323" t="s">
        <v>61575</v>
      </c>
      <c r="B40323" t="s">
        <v>61576</v>
      </c>
      <c r="C40323" t="s">
        <v>533</v>
      </c>
      <c r="D40323" t="s">
        <v>21</v>
      </c>
      <c r="E40323" t="s">
        <v>61577</v>
      </c>
      <c r="F40323" s="2" t="str">
        <f>HYPERLINK("http://www.otzar.org/book.asp?193071","שבת אחים")</f>
        <v>שבת אחים</v>
      </c>
    </row>
    <row r="40324" spans="1:6" x14ac:dyDescent="0.2">
      <c r="A40324" t="s">
        <v>61578</v>
      </c>
      <c r="B40324" t="s">
        <v>61575</v>
      </c>
      <c r="C40324" t="s">
        <v>594</v>
      </c>
      <c r="D40324" t="s">
        <v>5961</v>
      </c>
      <c r="E40324" t="s">
        <v>202</v>
      </c>
      <c r="F40324" s="2" t="str">
        <f>HYPERLINK("http://www.otzar.org/book.asp?176671","שבת אחים - 9 כר'")</f>
        <v>שבת אחים - 9 כר'</v>
      </c>
    </row>
    <row r="40325" spans="1:6" x14ac:dyDescent="0.2">
      <c r="A40325" t="s">
        <v>61575</v>
      </c>
      <c r="B40325" t="s">
        <v>30243</v>
      </c>
      <c r="C40325" t="s">
        <v>286</v>
      </c>
      <c r="D40325" t="s">
        <v>1889</v>
      </c>
      <c r="E40325" t="s">
        <v>15</v>
      </c>
      <c r="F40325" s="2" t="str">
        <f>HYPERLINK("http://www.otzar.org/book.asp?108232","שבת אחים")</f>
        <v>שבת אחים</v>
      </c>
    </row>
    <row r="40326" spans="1:6" x14ac:dyDescent="0.2">
      <c r="A40326" t="s">
        <v>61579</v>
      </c>
      <c r="B40326" t="s">
        <v>21578</v>
      </c>
      <c r="C40326" t="s">
        <v>20</v>
      </c>
      <c r="D40326" t="s">
        <v>1153</v>
      </c>
      <c r="E40326" t="s">
        <v>130</v>
      </c>
      <c r="F40326" s="2" t="str">
        <f>HYPERLINK("http://www.otzar.org/book.asp?624875","שבת בהלכה")</f>
        <v>שבת בהלכה</v>
      </c>
    </row>
    <row r="40327" spans="1:6" x14ac:dyDescent="0.2">
      <c r="A40327" t="s">
        <v>61580</v>
      </c>
      <c r="B40327" t="s">
        <v>9096</v>
      </c>
      <c r="C40327" t="s">
        <v>442</v>
      </c>
      <c r="D40327" t="s">
        <v>412</v>
      </c>
      <c r="E40327" t="s">
        <v>32419</v>
      </c>
      <c r="F40327" s="2" t="str">
        <f>HYPERLINK("http://www.otzar.org/book.asp?151250","שבת בראשית ושבת סיני")</f>
        <v>שבת בראשית ושבת סיני</v>
      </c>
    </row>
    <row r="40328" spans="1:6" x14ac:dyDescent="0.2">
      <c r="A40328" t="s">
        <v>61581</v>
      </c>
      <c r="B40328" t="s">
        <v>38220</v>
      </c>
      <c r="C40328" t="s">
        <v>533</v>
      </c>
      <c r="D40328" t="s">
        <v>2458</v>
      </c>
      <c r="E40328" t="s">
        <v>23176</v>
      </c>
      <c r="F40328" s="2" t="str">
        <f>HYPERLINK("http://www.otzar.org/book.asp?14961","שבת בראשית")</f>
        <v>שבת בראשית</v>
      </c>
    </row>
    <row r="40329" spans="1:6" x14ac:dyDescent="0.2">
      <c r="A40329" t="s">
        <v>61582</v>
      </c>
      <c r="B40329" t="s">
        <v>45814</v>
      </c>
      <c r="C40329" t="s">
        <v>37</v>
      </c>
      <c r="D40329" t="s">
        <v>1356</v>
      </c>
      <c r="F40329" s="2" t="str">
        <f>HYPERLINK("http://www.otzar.org/book.asp?198020","שבת בריילפט")</f>
        <v>שבת בריילפט</v>
      </c>
    </row>
    <row r="40330" spans="1:6" x14ac:dyDescent="0.2">
      <c r="A40330" t="s">
        <v>61583</v>
      </c>
      <c r="B40330" t="s">
        <v>61584</v>
      </c>
      <c r="C40330" t="s">
        <v>143</v>
      </c>
      <c r="D40330" t="s">
        <v>14</v>
      </c>
      <c r="E40330" t="s">
        <v>158</v>
      </c>
      <c r="F40330" s="2" t="str">
        <f>HYPERLINK("http://www.otzar.org/book.asp?156179","שבת בשבתו")</f>
        <v>שבת בשבתו</v>
      </c>
    </row>
    <row r="40331" spans="1:6" x14ac:dyDescent="0.2">
      <c r="A40331" t="s">
        <v>61585</v>
      </c>
      <c r="B40331" t="s">
        <v>11614</v>
      </c>
      <c r="C40331" t="s">
        <v>1811</v>
      </c>
      <c r="D40331" t="s">
        <v>90</v>
      </c>
      <c r="E40331" t="s">
        <v>202</v>
      </c>
      <c r="F40331" s="2" t="str">
        <f>HYPERLINK("http://www.otzar.org/book.asp?61894","שבת בשבתו - 6 כר'")</f>
        <v>שבת בשבתו - 6 כר'</v>
      </c>
    </row>
    <row r="40332" spans="1:6" x14ac:dyDescent="0.2">
      <c r="A40332" t="s">
        <v>61583</v>
      </c>
      <c r="B40332" t="s">
        <v>61586</v>
      </c>
      <c r="C40332" t="s">
        <v>20</v>
      </c>
      <c r="D40332" t="s">
        <v>90</v>
      </c>
      <c r="E40332" t="s">
        <v>158</v>
      </c>
      <c r="F40332" s="2" t="str">
        <f>HYPERLINK("http://www.otzar.org/book.asp?625829","שבת בשבתו")</f>
        <v>שבת בשבתו</v>
      </c>
    </row>
    <row r="40333" spans="1:6" x14ac:dyDescent="0.2">
      <c r="A40333" t="s">
        <v>61587</v>
      </c>
      <c r="B40333" t="s">
        <v>61588</v>
      </c>
      <c r="C40333" t="s">
        <v>20</v>
      </c>
      <c r="D40333" t="s">
        <v>260</v>
      </c>
      <c r="E40333" t="s">
        <v>158</v>
      </c>
      <c r="F40333" s="2" t="str">
        <f>HYPERLINK("http://www.otzar.org/book.asp?195035","שבת בשבתו - ב")</f>
        <v>שבת בשבתו - ב</v>
      </c>
    </row>
    <row r="40334" spans="1:6" x14ac:dyDescent="0.2">
      <c r="A40334" t="s">
        <v>61589</v>
      </c>
      <c r="B40334" t="s">
        <v>1469</v>
      </c>
      <c r="C40334" t="s">
        <v>313</v>
      </c>
      <c r="D40334" t="s">
        <v>108</v>
      </c>
      <c r="E40334" t="s">
        <v>15</v>
      </c>
      <c r="F40334" s="2" t="str">
        <f>HYPERLINK("http://www.otzar.org/book.asp?26121","שבת הארץ &lt;מכון התורה והארץ&gt; - 2 כר'")</f>
        <v>שבת הארץ &lt;מכון התורה והארץ&gt; - 2 כר'</v>
      </c>
    </row>
    <row r="40335" spans="1:6" x14ac:dyDescent="0.2">
      <c r="A40335" t="s">
        <v>61590</v>
      </c>
      <c r="B40335" t="s">
        <v>24134</v>
      </c>
      <c r="C40335" t="s">
        <v>17</v>
      </c>
      <c r="D40335" t="s">
        <v>9426</v>
      </c>
      <c r="E40335" t="s">
        <v>15</v>
      </c>
      <c r="F40335" s="2" t="str">
        <f>HYPERLINK("http://www.otzar.org/book.asp?141907","שבת הארץ")</f>
        <v>שבת הארץ</v>
      </c>
    </row>
    <row r="40336" spans="1:6" x14ac:dyDescent="0.2">
      <c r="A40336" t="s">
        <v>61590</v>
      </c>
      <c r="B40336" t="s">
        <v>43117</v>
      </c>
      <c r="C40336" t="s">
        <v>129</v>
      </c>
      <c r="D40336" t="s">
        <v>52</v>
      </c>
      <c r="E40336" t="s">
        <v>15</v>
      </c>
      <c r="F40336" s="2" t="str">
        <f>HYPERLINK("http://www.otzar.org/book.asp?168720","שבת הארץ")</f>
        <v>שבת הארץ</v>
      </c>
    </row>
    <row r="40337" spans="1:6" x14ac:dyDescent="0.2">
      <c r="A40337" t="s">
        <v>61591</v>
      </c>
      <c r="B40337" t="s">
        <v>61592</v>
      </c>
      <c r="C40337" t="s">
        <v>244</v>
      </c>
      <c r="D40337" t="s">
        <v>36725</v>
      </c>
      <c r="E40337" t="s">
        <v>130</v>
      </c>
      <c r="F40337" s="2" t="str">
        <f>HYPERLINK("http://www.otzar.org/book.asp?600746","שבת היום - 4 כר'")</f>
        <v>שבת היום - 4 כר'</v>
      </c>
    </row>
    <row r="40338" spans="1:6" x14ac:dyDescent="0.2">
      <c r="A40338" t="s">
        <v>61593</v>
      </c>
      <c r="B40338" t="s">
        <v>61594</v>
      </c>
      <c r="C40338" t="s">
        <v>411</v>
      </c>
      <c r="D40338" t="s">
        <v>2375</v>
      </c>
      <c r="E40338" t="s">
        <v>9356</v>
      </c>
      <c r="F40338" s="2" t="str">
        <f>HYPERLINK("http://www.otzar.org/book.asp?183441","שבת המלכה - א")</f>
        <v>שבת המלכה - א</v>
      </c>
    </row>
    <row r="40339" spans="1:6" x14ac:dyDescent="0.2">
      <c r="A40339" t="s">
        <v>61595</v>
      </c>
      <c r="B40339" t="s">
        <v>107</v>
      </c>
      <c r="C40339" t="s">
        <v>1268</v>
      </c>
      <c r="D40339" t="s">
        <v>14</v>
      </c>
      <c r="E40339" t="s">
        <v>246</v>
      </c>
      <c r="F40339" s="2" t="str">
        <f>HYPERLINK("http://www.otzar.org/book.asp?148237","שבת המלכה")</f>
        <v>שבת המלכה</v>
      </c>
    </row>
    <row r="40340" spans="1:6" x14ac:dyDescent="0.2">
      <c r="A40340" t="s">
        <v>61595</v>
      </c>
      <c r="B40340" t="s">
        <v>61596</v>
      </c>
      <c r="C40340" t="s">
        <v>61597</v>
      </c>
      <c r="D40340" t="s">
        <v>30173</v>
      </c>
      <c r="F40340" s="2" t="str">
        <f>HYPERLINK("http://www.otzar.org/book.asp?612906","שבת המלכה")</f>
        <v>שבת המלכה</v>
      </c>
    </row>
    <row r="40341" spans="1:6" x14ac:dyDescent="0.2">
      <c r="A40341" t="s">
        <v>61598</v>
      </c>
      <c r="B40341" t="s">
        <v>19004</v>
      </c>
      <c r="C40341" t="s">
        <v>785</v>
      </c>
      <c r="D40341" t="s">
        <v>216</v>
      </c>
      <c r="E40341" t="s">
        <v>474</v>
      </c>
      <c r="F40341" s="2" t="str">
        <f>HYPERLINK("http://www.otzar.org/book.asp?143528","שבת וחודש")</f>
        <v>שבת וחודש</v>
      </c>
    </row>
    <row r="40342" spans="1:6" x14ac:dyDescent="0.2">
      <c r="A40342" t="s">
        <v>61599</v>
      </c>
      <c r="B40342" t="s">
        <v>61600</v>
      </c>
      <c r="C40342" t="s">
        <v>37</v>
      </c>
      <c r="D40342" t="s">
        <v>152</v>
      </c>
      <c r="E40342" t="s">
        <v>15</v>
      </c>
      <c r="F40342" s="2" t="str">
        <f>HYPERLINK("http://www.otzar.org/book.asp?191919","שבת וינפש")</f>
        <v>שבת וינפש</v>
      </c>
    </row>
    <row r="40343" spans="1:6" x14ac:dyDescent="0.2">
      <c r="A40343" t="s">
        <v>61601</v>
      </c>
      <c r="B40343" t="s">
        <v>5427</v>
      </c>
      <c r="C40343" t="s">
        <v>68</v>
      </c>
      <c r="D40343" t="s">
        <v>14</v>
      </c>
      <c r="E40343" t="s">
        <v>119</v>
      </c>
      <c r="F40343" s="2" t="str">
        <f>HYPERLINK("http://www.otzar.org/book.asp?190836","שבת ומועד בחצרות צדיקים - א")</f>
        <v>שבת ומועד בחצרות צדיקים - א</v>
      </c>
    </row>
    <row r="40344" spans="1:6" x14ac:dyDescent="0.2">
      <c r="A40344" t="s">
        <v>61602</v>
      </c>
      <c r="B40344" t="s">
        <v>2031</v>
      </c>
      <c r="C40344" t="s">
        <v>419</v>
      </c>
      <c r="D40344" t="s">
        <v>14</v>
      </c>
      <c r="E40344" t="s">
        <v>130</v>
      </c>
      <c r="F40344" s="2" t="str">
        <f>HYPERLINK("http://www.otzar.org/book.asp?159290","שבת ומועד בצה""ל")</f>
        <v>שבת ומועד בצה"ל</v>
      </c>
    </row>
    <row r="40345" spans="1:6" x14ac:dyDescent="0.2">
      <c r="A40345" t="s">
        <v>61603</v>
      </c>
      <c r="B40345" t="s">
        <v>46400</v>
      </c>
      <c r="C40345" t="s">
        <v>313</v>
      </c>
      <c r="D40345" t="s">
        <v>14</v>
      </c>
      <c r="E40345" t="s">
        <v>15</v>
      </c>
      <c r="F40345" s="2" t="str">
        <f>HYPERLINK("http://www.otzar.org/book.asp?161919","שבת ומועד בשביעית - ב")</f>
        <v>שבת ומועד בשביעית - ב</v>
      </c>
    </row>
    <row r="40346" spans="1:6" x14ac:dyDescent="0.2">
      <c r="A40346" t="s">
        <v>61604</v>
      </c>
      <c r="B40346" t="s">
        <v>17027</v>
      </c>
      <c r="C40346" t="s">
        <v>114</v>
      </c>
      <c r="D40346" t="s">
        <v>14</v>
      </c>
      <c r="E40346" t="s">
        <v>246</v>
      </c>
      <c r="F40346" s="2" t="str">
        <f>HYPERLINK("http://www.otzar.org/book.asp?609875","שבת ומועד - 2 כר'")</f>
        <v>שבת ומועד - 2 כר'</v>
      </c>
    </row>
    <row r="40347" spans="1:6" x14ac:dyDescent="0.2">
      <c r="A40347" t="s">
        <v>61605</v>
      </c>
      <c r="B40347" t="s">
        <v>50069</v>
      </c>
      <c r="C40347" t="s">
        <v>59079</v>
      </c>
      <c r="D40347" t="s">
        <v>27</v>
      </c>
      <c r="E40347" t="s">
        <v>474</v>
      </c>
      <c r="F40347" s="2" t="str">
        <f>HYPERLINK("http://www.otzar.org/book.asp?103773","שבת ומועד - 3 כר'")</f>
        <v>שבת ומועד - 3 כר'</v>
      </c>
    </row>
    <row r="40348" spans="1:6" x14ac:dyDescent="0.2">
      <c r="A40348" t="s">
        <v>61606</v>
      </c>
      <c r="B40348" t="s">
        <v>61607</v>
      </c>
      <c r="C40348" t="s">
        <v>244</v>
      </c>
      <c r="D40348" t="s">
        <v>61608</v>
      </c>
      <c r="E40348" t="s">
        <v>246</v>
      </c>
      <c r="F40348" s="2" t="str">
        <f>HYPERLINK("http://www.otzar.org/book.asp?600563","שבת ומועדי קדשך - 2 כר'")</f>
        <v>שבת ומועדי קדשך - 2 כר'</v>
      </c>
    </row>
    <row r="40349" spans="1:6" x14ac:dyDescent="0.2">
      <c r="A40349" t="s">
        <v>61609</v>
      </c>
      <c r="B40349" t="s">
        <v>10761</v>
      </c>
      <c r="C40349" t="s">
        <v>114</v>
      </c>
      <c r="D40349" t="s">
        <v>14</v>
      </c>
      <c r="E40349" t="s">
        <v>158</v>
      </c>
      <c r="F40349" s="2" t="str">
        <f>HYPERLINK("http://www.otzar.org/book.asp?170394","שבת ומועדים - 5 כר'")</f>
        <v>שבת ומועדים - 5 כר'</v>
      </c>
    </row>
    <row r="40350" spans="1:6" x14ac:dyDescent="0.2">
      <c r="A40350" t="s">
        <v>61610</v>
      </c>
      <c r="B40350" t="s">
        <v>12807</v>
      </c>
      <c r="C40350" t="s">
        <v>13</v>
      </c>
      <c r="D40350" t="s">
        <v>20013</v>
      </c>
      <c r="E40350" t="s">
        <v>130</v>
      </c>
      <c r="F40350" s="2" t="str">
        <f>HYPERLINK("http://www.otzar.org/book.asp?195610","שבת כדת - 2 כר'")</f>
        <v>שבת כדת - 2 כר'</v>
      </c>
    </row>
    <row r="40351" spans="1:6" x14ac:dyDescent="0.2">
      <c r="A40351" t="s">
        <v>61611</v>
      </c>
      <c r="B40351" t="s">
        <v>257</v>
      </c>
      <c r="C40351" t="s">
        <v>1388</v>
      </c>
      <c r="D40351" t="s">
        <v>486</v>
      </c>
      <c r="E40351" t="s">
        <v>15</v>
      </c>
      <c r="F40351" s="2" t="str">
        <f>HYPERLINK("http://www.otzar.org/book.asp?53640","שבת כהלכה - 2 כר'")</f>
        <v>שבת כהלכה - 2 כר'</v>
      </c>
    </row>
    <row r="40352" spans="1:6" x14ac:dyDescent="0.2">
      <c r="A40352" t="s">
        <v>61612</v>
      </c>
      <c r="B40352" t="s">
        <v>21578</v>
      </c>
      <c r="C40352" t="s">
        <v>13</v>
      </c>
      <c r="D40352" t="s">
        <v>1153</v>
      </c>
      <c r="E40352" t="s">
        <v>130</v>
      </c>
      <c r="F40352" s="2" t="str">
        <f>HYPERLINK("http://www.otzar.org/book.asp?84666","שבת כהלכה")</f>
        <v>שבת כהלכה</v>
      </c>
    </row>
    <row r="40353" spans="1:6" x14ac:dyDescent="0.2">
      <c r="A40353" t="s">
        <v>61613</v>
      </c>
      <c r="B40353" t="s">
        <v>1681</v>
      </c>
      <c r="C40353" t="s">
        <v>411</v>
      </c>
      <c r="D40353" t="s">
        <v>52</v>
      </c>
      <c r="E40353" t="s">
        <v>130</v>
      </c>
      <c r="F40353" s="2" t="str">
        <f>HYPERLINK("http://www.otzar.org/book.asp?166059","שבת כלה מלכתא")</f>
        <v>שבת כלה מלכתא</v>
      </c>
    </row>
    <row r="40354" spans="1:6" x14ac:dyDescent="0.2">
      <c r="A40354" t="s">
        <v>61614</v>
      </c>
      <c r="B40354" t="s">
        <v>17283</v>
      </c>
      <c r="C40354" t="s">
        <v>13</v>
      </c>
      <c r="D40354" t="s">
        <v>14</v>
      </c>
      <c r="E40354" t="s">
        <v>15</v>
      </c>
      <c r="F40354" s="2" t="str">
        <f>HYPERLINK("http://www.otzar.org/book.asp?61185","שבת לה'")</f>
        <v>שבת לה'</v>
      </c>
    </row>
    <row r="40355" spans="1:6" x14ac:dyDescent="0.2">
      <c r="A40355" t="s">
        <v>61615</v>
      </c>
      <c r="B40355" t="s">
        <v>22487</v>
      </c>
      <c r="C40355" t="s">
        <v>129</v>
      </c>
      <c r="D40355" t="s">
        <v>52</v>
      </c>
      <c r="E40355" t="s">
        <v>15</v>
      </c>
      <c r="F40355" s="2" t="str">
        <f>HYPERLINK("http://www.otzar.org/book.asp?159397","שבת לה' - הלכות שביעית")</f>
        <v>שבת לה' - הלכות שביעית</v>
      </c>
    </row>
    <row r="40356" spans="1:6" x14ac:dyDescent="0.2">
      <c r="A40356" t="s">
        <v>61616</v>
      </c>
      <c r="B40356" t="s">
        <v>61617</v>
      </c>
      <c r="C40356" t="s">
        <v>17</v>
      </c>
      <c r="D40356" t="s">
        <v>486</v>
      </c>
      <c r="E40356" t="s">
        <v>202</v>
      </c>
      <c r="F40356" s="2" t="str">
        <f>HYPERLINK("http://www.otzar.org/book.asp?196454","שבת לישראל")</f>
        <v>שבת לישראל</v>
      </c>
    </row>
    <row r="40357" spans="1:6" x14ac:dyDescent="0.2">
      <c r="A40357" t="s">
        <v>61618</v>
      </c>
      <c r="B40357" t="s">
        <v>18539</v>
      </c>
      <c r="C40357" t="s">
        <v>454</v>
      </c>
      <c r="D40357" t="s">
        <v>14</v>
      </c>
      <c r="E40357" t="s">
        <v>3798</v>
      </c>
      <c r="F40357" s="2" t="str">
        <f>HYPERLINK("http://www.otzar.org/book.asp?50198","שבת למטרה")</f>
        <v>שבת למטרה</v>
      </c>
    </row>
    <row r="40358" spans="1:6" x14ac:dyDescent="0.2">
      <c r="A40358" t="s">
        <v>61619</v>
      </c>
      <c r="B40358" t="s">
        <v>61620</v>
      </c>
      <c r="C40358" t="s">
        <v>1169</v>
      </c>
      <c r="D40358" t="s">
        <v>14</v>
      </c>
      <c r="E40358" t="s">
        <v>1517</v>
      </c>
      <c r="F40358" s="2" t="str">
        <f>HYPERLINK("http://www.otzar.org/book.asp?13093","שבת מלכתא")</f>
        <v>שבת מלכתא</v>
      </c>
    </row>
    <row r="40359" spans="1:6" x14ac:dyDescent="0.2">
      <c r="A40359" t="s">
        <v>61619</v>
      </c>
      <c r="B40359" t="s">
        <v>12085</v>
      </c>
      <c r="C40359" t="s">
        <v>17</v>
      </c>
      <c r="D40359" t="s">
        <v>14</v>
      </c>
      <c r="E40359" t="s">
        <v>3798</v>
      </c>
      <c r="F40359" s="2" t="str">
        <f>HYPERLINK("http://www.otzar.org/book.asp?142352","שבת מלכתא")</f>
        <v>שבת מלכתא</v>
      </c>
    </row>
    <row r="40360" spans="1:6" x14ac:dyDescent="0.2">
      <c r="A40360" t="s">
        <v>61621</v>
      </c>
      <c r="B40360" t="s">
        <v>61622</v>
      </c>
      <c r="C40360" t="s">
        <v>68</v>
      </c>
      <c r="D40360" t="s">
        <v>52</v>
      </c>
      <c r="E40360" t="s">
        <v>9356</v>
      </c>
      <c r="F40360" s="2" t="str">
        <f>HYPERLINK("http://www.otzar.org/book.asp?159219","שבת מנוחה")</f>
        <v>שבת מנוחה</v>
      </c>
    </row>
    <row r="40361" spans="1:6" x14ac:dyDescent="0.2">
      <c r="A40361" t="s">
        <v>61623</v>
      </c>
      <c r="B40361" t="s">
        <v>61624</v>
      </c>
      <c r="C40361" t="s">
        <v>103</v>
      </c>
      <c r="D40361" t="s">
        <v>423</v>
      </c>
      <c r="E40361" t="s">
        <v>10</v>
      </c>
      <c r="F40361" s="2" t="str">
        <f>HYPERLINK("http://www.otzar.org/book.asp?53694","שבת ערוכה")</f>
        <v>שבת ערוכה</v>
      </c>
    </row>
    <row r="40362" spans="1:6" x14ac:dyDescent="0.2">
      <c r="A40362" t="s">
        <v>61625</v>
      </c>
      <c r="B40362" t="s">
        <v>3768</v>
      </c>
      <c r="C40362" t="s">
        <v>313</v>
      </c>
      <c r="D40362" t="s">
        <v>90</v>
      </c>
      <c r="E40362" t="s">
        <v>246</v>
      </c>
      <c r="F40362" s="2" t="str">
        <f>HYPERLINK("http://www.otzar.org/book.asp?144482","שבת קדש קדשים")</f>
        <v>שבת קדש קדשים</v>
      </c>
    </row>
    <row r="40363" spans="1:6" x14ac:dyDescent="0.2">
      <c r="A40363" t="s">
        <v>61626</v>
      </c>
      <c r="B40363" t="s">
        <v>61627</v>
      </c>
      <c r="C40363" t="s">
        <v>366</v>
      </c>
      <c r="D40363" t="s">
        <v>21</v>
      </c>
      <c r="F40363" s="2" t="str">
        <f>HYPERLINK("http://www.otzar.org/book.asp?609762","שבת קדש - יקר מפז")</f>
        <v>שבת קדש - יקר מפז</v>
      </c>
    </row>
    <row r="40364" spans="1:6" x14ac:dyDescent="0.2">
      <c r="A40364" t="s">
        <v>61628</v>
      </c>
      <c r="B40364" t="s">
        <v>17175</v>
      </c>
      <c r="C40364" t="s">
        <v>103</v>
      </c>
      <c r="D40364" t="s">
        <v>52</v>
      </c>
      <c r="E40364" t="s">
        <v>246</v>
      </c>
      <c r="F40364" s="2" t="str">
        <f>HYPERLINK("http://www.otzar.org/book.asp?24951","שבת קדש")</f>
        <v>שבת קדש</v>
      </c>
    </row>
    <row r="40365" spans="1:6" x14ac:dyDescent="0.2">
      <c r="A40365" t="s">
        <v>61629</v>
      </c>
      <c r="B40365" t="s">
        <v>1978</v>
      </c>
      <c r="C40365" t="s">
        <v>1570</v>
      </c>
      <c r="D40365" t="s">
        <v>14</v>
      </c>
      <c r="E40365" t="s">
        <v>467</v>
      </c>
      <c r="F40365" s="2" t="str">
        <f>HYPERLINK("http://www.otzar.org/book.asp?163123","שבת קודש")</f>
        <v>שבת קודש</v>
      </c>
    </row>
    <row r="40366" spans="1:6" x14ac:dyDescent="0.2">
      <c r="A40366" t="s">
        <v>61630</v>
      </c>
      <c r="B40366" t="s">
        <v>61631</v>
      </c>
      <c r="C40366" t="s">
        <v>237</v>
      </c>
      <c r="D40366" t="s">
        <v>27</v>
      </c>
      <c r="E40366" t="s">
        <v>2758</v>
      </c>
      <c r="F40366" s="2" t="str">
        <f>HYPERLINK("http://www.otzar.org/book.asp?167514","שבת שבנסתר")</f>
        <v>שבת שבנסתר</v>
      </c>
    </row>
    <row r="40367" spans="1:6" x14ac:dyDescent="0.2">
      <c r="A40367" t="s">
        <v>61632</v>
      </c>
      <c r="B40367" t="s">
        <v>20897</v>
      </c>
      <c r="C40367" t="s">
        <v>624</v>
      </c>
      <c r="D40367" t="s">
        <v>412</v>
      </c>
      <c r="E40367" t="s">
        <v>4486</v>
      </c>
      <c r="F40367" s="2" t="str">
        <f>HYPERLINK("http://www.otzar.org/book.asp?172283","שבת שבתון")</f>
        <v>שבת שבתון</v>
      </c>
    </row>
    <row r="40368" spans="1:6" x14ac:dyDescent="0.2">
      <c r="A40368" t="s">
        <v>61632</v>
      </c>
      <c r="B40368" t="s">
        <v>21861</v>
      </c>
      <c r="C40368" t="s">
        <v>71</v>
      </c>
      <c r="D40368" t="s">
        <v>52</v>
      </c>
      <c r="E40368" t="s">
        <v>15</v>
      </c>
      <c r="F40368" s="2" t="str">
        <f>HYPERLINK("http://www.otzar.org/book.asp?26365","שבת שבתון")</f>
        <v>שבת שבתון</v>
      </c>
    </row>
    <row r="40369" spans="1:6" x14ac:dyDescent="0.2">
      <c r="A40369" t="s">
        <v>61632</v>
      </c>
      <c r="B40369" t="s">
        <v>61633</v>
      </c>
      <c r="C40369" t="s">
        <v>2644</v>
      </c>
      <c r="D40369" t="s">
        <v>5558</v>
      </c>
      <c r="E40369" t="s">
        <v>246</v>
      </c>
      <c r="F40369" s="2" t="str">
        <f>HYPERLINK("http://www.otzar.org/book.asp?149581","שבת שבתון")</f>
        <v>שבת שבתון</v>
      </c>
    </row>
    <row r="40370" spans="1:6" x14ac:dyDescent="0.2">
      <c r="A40370" t="s">
        <v>61634</v>
      </c>
      <c r="B40370" t="s">
        <v>53709</v>
      </c>
      <c r="C40370" t="s">
        <v>624</v>
      </c>
      <c r="D40370" t="s">
        <v>14</v>
      </c>
      <c r="E40370" t="s">
        <v>202</v>
      </c>
      <c r="F40370" s="2" t="str">
        <f>HYPERLINK("http://www.otzar.org/book.asp?51174","שבת שכולה שבת")</f>
        <v>שבת שכולה שבת</v>
      </c>
    </row>
    <row r="40371" spans="1:6" x14ac:dyDescent="0.2">
      <c r="A40371" t="s">
        <v>61635</v>
      </c>
      <c r="B40371" t="s">
        <v>1363</v>
      </c>
      <c r="C40371" t="s">
        <v>237</v>
      </c>
      <c r="D40371" t="s">
        <v>27</v>
      </c>
      <c r="E40371" t="s">
        <v>246</v>
      </c>
      <c r="F40371" s="2" t="str">
        <f>HYPERLINK("http://www.otzar.org/book.asp?181262","שבת של ישראל")</f>
        <v>שבת של ישראל</v>
      </c>
    </row>
    <row r="40372" spans="1:6" x14ac:dyDescent="0.2">
      <c r="A40372" t="s">
        <v>61636</v>
      </c>
      <c r="B40372" t="s">
        <v>58076</v>
      </c>
      <c r="C40372" t="s">
        <v>244</v>
      </c>
      <c r="D40372" t="s">
        <v>90</v>
      </c>
      <c r="E40372" t="s">
        <v>158</v>
      </c>
      <c r="F40372" s="2" t="str">
        <f>HYPERLINK("http://www.otzar.org/book.asp?602965","שבת של מ""י")</f>
        <v>שבת של מ"י</v>
      </c>
    </row>
    <row r="40373" spans="1:6" x14ac:dyDescent="0.2">
      <c r="A40373" t="s">
        <v>61637</v>
      </c>
      <c r="B40373" t="s">
        <v>249</v>
      </c>
      <c r="C40373" t="s">
        <v>11821</v>
      </c>
      <c r="D40373" t="s">
        <v>212</v>
      </c>
      <c r="E40373" t="s">
        <v>144</v>
      </c>
      <c r="F40373" s="2" t="str">
        <f>HYPERLINK("http://www.otzar.org/book.asp?101784","שבת של מי - 3 כר'")</f>
        <v>שבת של מי - 3 כר'</v>
      </c>
    </row>
    <row r="40374" spans="1:6" x14ac:dyDescent="0.2">
      <c r="A40374" t="s">
        <v>61638</v>
      </c>
      <c r="B40374" t="s">
        <v>10224</v>
      </c>
      <c r="C40374" t="s">
        <v>20</v>
      </c>
      <c r="D40374" t="s">
        <v>90</v>
      </c>
      <c r="E40374" t="s">
        <v>130</v>
      </c>
      <c r="F40374" s="2" t="str">
        <f>HYPERLINK("http://www.otzar.org/book.asp?62062","שבת שלום ומבורך")</f>
        <v>שבת שלום ומבורך</v>
      </c>
    </row>
    <row r="40375" spans="1:6" x14ac:dyDescent="0.2">
      <c r="A40375" t="s">
        <v>61639</v>
      </c>
      <c r="B40375" t="s">
        <v>4294</v>
      </c>
      <c r="C40375" t="s">
        <v>366</v>
      </c>
      <c r="D40375" t="s">
        <v>14</v>
      </c>
      <c r="E40375" t="s">
        <v>158</v>
      </c>
      <c r="F40375" s="2" t="str">
        <f>HYPERLINK("http://www.otzar.org/book.asp?605682","שבת שלום ציון - קבלת שבת")</f>
        <v>שבת שלום ציון - קבלת שבת</v>
      </c>
    </row>
    <row r="40376" spans="1:6" x14ac:dyDescent="0.2">
      <c r="A40376" t="s">
        <v>61640</v>
      </c>
      <c r="B40376" t="s">
        <v>3579</v>
      </c>
      <c r="C40376" t="s">
        <v>114</v>
      </c>
      <c r="D40376" t="s">
        <v>20</v>
      </c>
      <c r="F40376" s="2" t="str">
        <f>HYPERLINK("http://www.otzar.org/book.asp?618734","שבת שלום")</f>
        <v>שבת שלום</v>
      </c>
    </row>
    <row r="40377" spans="1:6" x14ac:dyDescent="0.2">
      <c r="A40377" t="s">
        <v>61641</v>
      </c>
      <c r="B40377" t="s">
        <v>61642</v>
      </c>
      <c r="C40377" t="s">
        <v>133</v>
      </c>
      <c r="D40377" t="s">
        <v>13187</v>
      </c>
      <c r="E40377" t="s">
        <v>15</v>
      </c>
      <c r="F40377" s="2" t="str">
        <f>HYPERLINK("http://www.otzar.org/book.asp?173714","שבת שלמה")</f>
        <v>שבת שלמה</v>
      </c>
    </row>
    <row r="40378" spans="1:6" x14ac:dyDescent="0.2">
      <c r="A40378" t="s">
        <v>61643</v>
      </c>
      <c r="B40378" t="s">
        <v>16462</v>
      </c>
      <c r="C40378" t="s">
        <v>411</v>
      </c>
      <c r="D40378" t="s">
        <v>52</v>
      </c>
      <c r="E40378" t="s">
        <v>130</v>
      </c>
      <c r="F40378" s="2" t="str">
        <f>HYPERLINK("http://www.otzar.org/book.asp?199882","שבתא דינוקא")</f>
        <v>שבתא דינוקא</v>
      </c>
    </row>
    <row r="40379" spans="1:6" x14ac:dyDescent="0.2">
      <c r="A40379" t="s">
        <v>61644</v>
      </c>
      <c r="B40379" t="s">
        <v>16539</v>
      </c>
      <c r="C40379" t="s">
        <v>2024</v>
      </c>
      <c r="D40379" t="s">
        <v>2303</v>
      </c>
      <c r="E40379" t="s">
        <v>17007</v>
      </c>
      <c r="F40379" s="2" t="str">
        <f>HYPERLINK("http://www.otzar.org/book.asp?100754","שבתא דריגלא")</f>
        <v>שבתא דריגלא</v>
      </c>
    </row>
    <row r="40380" spans="1:6" x14ac:dyDescent="0.2">
      <c r="A40380" t="s">
        <v>61645</v>
      </c>
      <c r="B40380" t="s">
        <v>28715</v>
      </c>
      <c r="D40380" t="s">
        <v>14</v>
      </c>
      <c r="E40380" t="s">
        <v>202</v>
      </c>
      <c r="F40380" s="2" t="str">
        <f>HYPERLINK("http://www.otzar.org/book.asp?607205","שבתא טבא - מוקצה")</f>
        <v>שבתא טבא - מוקצה</v>
      </c>
    </row>
    <row r="40381" spans="1:6" x14ac:dyDescent="0.2">
      <c r="A40381" t="s">
        <v>61646</v>
      </c>
      <c r="B40381" t="s">
        <v>61647</v>
      </c>
      <c r="C40381" t="s">
        <v>151</v>
      </c>
      <c r="D40381" t="s">
        <v>90</v>
      </c>
      <c r="F40381" s="2" t="str">
        <f>HYPERLINK("http://www.otzar.org/book.asp?619310","שבתו יתן ורפא ירפא")</f>
        <v>שבתו יתן ורפא ירפא</v>
      </c>
    </row>
    <row r="40382" spans="1:6" x14ac:dyDescent="0.2">
      <c r="A40382" t="s">
        <v>61648</v>
      </c>
      <c r="B40382" t="s">
        <v>776</v>
      </c>
      <c r="C40382" t="s">
        <v>3106</v>
      </c>
      <c r="D40382" t="s">
        <v>27</v>
      </c>
      <c r="E40382" t="s">
        <v>104</v>
      </c>
      <c r="F40382" s="2" t="str">
        <f>HYPERLINK("http://www.otzar.org/book.asp?146804","שבתות חן")</f>
        <v>שבתות חן</v>
      </c>
    </row>
    <row r="40383" spans="1:6" x14ac:dyDescent="0.2">
      <c r="A40383" t="s">
        <v>61649</v>
      </c>
      <c r="B40383" t="s">
        <v>4469</v>
      </c>
      <c r="C40383" t="s">
        <v>87</v>
      </c>
      <c r="D40383" t="s">
        <v>52</v>
      </c>
      <c r="E40383" t="s">
        <v>15</v>
      </c>
      <c r="F40383" s="2" t="str">
        <f>HYPERLINK("http://www.otzar.org/book.asp?52548","שבתות שנים")</f>
        <v>שבתות שנים</v>
      </c>
    </row>
    <row r="40384" spans="1:6" x14ac:dyDescent="0.2">
      <c r="A40384" t="s">
        <v>61650</v>
      </c>
      <c r="B40384" t="s">
        <v>24696</v>
      </c>
      <c r="C40384" t="s">
        <v>313</v>
      </c>
      <c r="D40384" t="s">
        <v>14</v>
      </c>
      <c r="E40384" t="s">
        <v>130</v>
      </c>
      <c r="F40384" s="2" t="str">
        <f>HYPERLINK("http://www.otzar.org/book.asp?50728","שבתותי תשמורו - 2 כר'")</f>
        <v>שבתותי תשמורו - 2 כר'</v>
      </c>
    </row>
    <row r="40385" spans="1:6" x14ac:dyDescent="0.2">
      <c r="A40385" t="s">
        <v>61651</v>
      </c>
      <c r="B40385" t="s">
        <v>61652</v>
      </c>
      <c r="C40385" t="s">
        <v>20</v>
      </c>
      <c r="D40385" t="s">
        <v>1273</v>
      </c>
      <c r="E40385" t="s">
        <v>234</v>
      </c>
      <c r="F40385" s="2" t="str">
        <f>HYPERLINK("http://www.otzar.org/book.asp?603878","שבתי יצחק - 5 כר'")</f>
        <v>שבתי יצחק - 5 כר'</v>
      </c>
    </row>
    <row r="40386" spans="1:6" x14ac:dyDescent="0.2">
      <c r="A40386" t="s">
        <v>61653</v>
      </c>
      <c r="B40386" t="s">
        <v>61654</v>
      </c>
      <c r="C40386" t="s">
        <v>151</v>
      </c>
      <c r="D40386" t="s">
        <v>52</v>
      </c>
      <c r="F40386" s="2" t="str">
        <f>HYPERLINK("http://www.otzar.org/book.asp?619889","שגבנו נורא - תולדות הגה""צ המקובל רבי נסים פרץ")</f>
        <v>שגבנו נורא - תולדות הגה"צ המקובל רבי נסים פרץ</v>
      </c>
    </row>
    <row r="40387" spans="1:6" x14ac:dyDescent="0.2">
      <c r="A40387" t="s">
        <v>61655</v>
      </c>
      <c r="B40387" t="s">
        <v>61656</v>
      </c>
      <c r="C40387" t="s">
        <v>411</v>
      </c>
      <c r="D40387" t="s">
        <v>412</v>
      </c>
      <c r="F40387" s="2" t="str">
        <f>HYPERLINK("http://www.otzar.org/book.asp?619766","שגורה תפלתי")</f>
        <v>שגורה תפלתי</v>
      </c>
    </row>
    <row r="40388" spans="1:6" x14ac:dyDescent="0.2">
      <c r="A40388" t="s">
        <v>61657</v>
      </c>
      <c r="B40388" t="s">
        <v>33782</v>
      </c>
      <c r="C40388" t="s">
        <v>454</v>
      </c>
      <c r="D40388" t="s">
        <v>852</v>
      </c>
      <c r="E40388" t="s">
        <v>872</v>
      </c>
      <c r="F40388" s="2" t="str">
        <f>HYPERLINK("http://www.otzar.org/book.asp?50359","שדה אברהם - 3 כר'")</f>
        <v>שדה אברהם - 3 כר'</v>
      </c>
    </row>
    <row r="40389" spans="1:6" x14ac:dyDescent="0.2">
      <c r="A40389" t="s">
        <v>61658</v>
      </c>
      <c r="B40389" t="s">
        <v>5092</v>
      </c>
      <c r="C40389" t="s">
        <v>366</v>
      </c>
      <c r="D40389" t="s">
        <v>412</v>
      </c>
      <c r="F40389" s="2" t="str">
        <f>HYPERLINK("http://www.otzar.org/book.asp?605405","שדה אחוזה")</f>
        <v>שדה אחוזה</v>
      </c>
    </row>
    <row r="40390" spans="1:6" x14ac:dyDescent="0.2">
      <c r="A40390" t="s">
        <v>61659</v>
      </c>
      <c r="B40390" t="s">
        <v>6370</v>
      </c>
      <c r="C40390" t="s">
        <v>20</v>
      </c>
      <c r="D40390" t="s">
        <v>14</v>
      </c>
      <c r="E40390" t="s">
        <v>154</v>
      </c>
      <c r="F40390" s="2" t="str">
        <f>HYPERLINK("http://www.otzar.org/book.asp?161790","שדה אלחנן - 2 כר'")</f>
        <v>שדה אלחנן - 2 כר'</v>
      </c>
    </row>
    <row r="40391" spans="1:6" x14ac:dyDescent="0.2">
      <c r="A40391" t="s">
        <v>61660</v>
      </c>
      <c r="B40391" t="s">
        <v>61661</v>
      </c>
      <c r="C40391" t="s">
        <v>454</v>
      </c>
      <c r="D40391" t="s">
        <v>14</v>
      </c>
      <c r="E40391" t="s">
        <v>144</v>
      </c>
      <c r="F40391" s="2" t="str">
        <f>HYPERLINK("http://www.otzar.org/book.asp?105710","שדה אליהו - 19 כר'")</f>
        <v>שדה אליהו - 19 כר'</v>
      </c>
    </row>
    <row r="40392" spans="1:6" x14ac:dyDescent="0.2">
      <c r="A40392" t="s">
        <v>61662</v>
      </c>
      <c r="B40392" t="s">
        <v>61663</v>
      </c>
      <c r="C40392" t="s">
        <v>103</v>
      </c>
      <c r="D40392" t="s">
        <v>80</v>
      </c>
      <c r="E40392" t="s">
        <v>144</v>
      </c>
      <c r="F40392" s="2" t="str">
        <f>HYPERLINK("http://www.otzar.org/book.asp?191834","שדה אלימלך")</f>
        <v>שדה אלימלך</v>
      </c>
    </row>
    <row r="40393" spans="1:6" x14ac:dyDescent="0.2">
      <c r="A40393" t="s">
        <v>61664</v>
      </c>
      <c r="B40393" t="s">
        <v>61665</v>
      </c>
      <c r="C40393" t="s">
        <v>2617</v>
      </c>
      <c r="D40393" t="s">
        <v>27</v>
      </c>
      <c r="E40393" t="s">
        <v>2261</v>
      </c>
      <c r="F40393" s="2" t="str">
        <f>HYPERLINK("http://www.otzar.org/book.asp?100532","שדה בוכים")</f>
        <v>שדה בוכים</v>
      </c>
    </row>
    <row r="40394" spans="1:6" x14ac:dyDescent="0.2">
      <c r="A40394" t="s">
        <v>61664</v>
      </c>
      <c r="B40394" t="s">
        <v>29635</v>
      </c>
      <c r="C40394" t="s">
        <v>61666</v>
      </c>
      <c r="D40394" t="s">
        <v>1833</v>
      </c>
      <c r="E40394" t="s">
        <v>6975</v>
      </c>
      <c r="F40394" s="2" t="str">
        <f>HYPERLINK("http://www.otzar.org/book.asp?147258","שדה בוכים")</f>
        <v>שדה בוכים</v>
      </c>
    </row>
    <row r="40395" spans="1:6" x14ac:dyDescent="0.2">
      <c r="A40395" t="s">
        <v>61667</v>
      </c>
      <c r="B40395" t="s">
        <v>5092</v>
      </c>
      <c r="C40395" t="s">
        <v>523</v>
      </c>
      <c r="D40395" t="s">
        <v>412</v>
      </c>
      <c r="E40395" t="s">
        <v>144</v>
      </c>
      <c r="F40395" s="2" t="str">
        <f>HYPERLINK("http://www.otzar.org/book.asp?160361","שדה ברכה")</f>
        <v>שדה ברכה</v>
      </c>
    </row>
    <row r="40396" spans="1:6" x14ac:dyDescent="0.2">
      <c r="A40396" t="s">
        <v>61668</v>
      </c>
      <c r="B40396" t="s">
        <v>61669</v>
      </c>
      <c r="C40396" t="s">
        <v>61670</v>
      </c>
      <c r="D40396" t="s">
        <v>76</v>
      </c>
      <c r="E40396" t="s">
        <v>158</v>
      </c>
      <c r="F40396" s="2" t="str">
        <f>HYPERLINK("http://www.otzar.org/book.asp?16049","שדה הארץ - 3 כר'")</f>
        <v>שדה הארץ - 3 כר'</v>
      </c>
    </row>
    <row r="40397" spans="1:6" x14ac:dyDescent="0.2">
      <c r="A40397" t="s">
        <v>61671</v>
      </c>
      <c r="B40397" t="s">
        <v>10234</v>
      </c>
      <c r="C40397" t="s">
        <v>888</v>
      </c>
      <c r="D40397" t="s">
        <v>379</v>
      </c>
      <c r="E40397" t="s">
        <v>920</v>
      </c>
      <c r="F40397" s="2" t="str">
        <f>HYPERLINK("http://www.otzar.org/book.asp?8893","שדה העיר")</f>
        <v>שדה העיר</v>
      </c>
    </row>
    <row r="40398" spans="1:6" x14ac:dyDescent="0.2">
      <c r="A40398" t="s">
        <v>61672</v>
      </c>
      <c r="B40398" t="s">
        <v>41819</v>
      </c>
      <c r="C40398" t="s">
        <v>547</v>
      </c>
      <c r="D40398" t="s">
        <v>225</v>
      </c>
      <c r="E40398" t="s">
        <v>15</v>
      </c>
      <c r="F40398" s="2" t="str">
        <f>HYPERLINK("http://www.otzar.org/book.asp?21959","שדה חיים")</f>
        <v>שדה חיים</v>
      </c>
    </row>
    <row r="40399" spans="1:6" x14ac:dyDescent="0.2">
      <c r="A40399" t="s">
        <v>61672</v>
      </c>
      <c r="B40399" t="s">
        <v>61673</v>
      </c>
      <c r="C40399" t="s">
        <v>129</v>
      </c>
      <c r="D40399" t="s">
        <v>52</v>
      </c>
      <c r="E40399" t="s">
        <v>144</v>
      </c>
      <c r="F40399" s="2" t="str">
        <f>HYPERLINK("http://www.otzar.org/book.asp?60164","שדה חיים")</f>
        <v>שדה חיים</v>
      </c>
    </row>
    <row r="40400" spans="1:6" x14ac:dyDescent="0.2">
      <c r="A40400" t="s">
        <v>61674</v>
      </c>
      <c r="B40400" t="s">
        <v>31445</v>
      </c>
      <c r="C40400" t="s">
        <v>362</v>
      </c>
      <c r="D40400" t="s">
        <v>267</v>
      </c>
      <c r="E40400" t="s">
        <v>154</v>
      </c>
      <c r="F40400" s="2" t="str">
        <f>HYPERLINK("http://www.otzar.org/book.asp?9488","שדה יהושע")</f>
        <v>שדה יהושע</v>
      </c>
    </row>
    <row r="40401" spans="1:6" x14ac:dyDescent="0.2">
      <c r="A40401" t="s">
        <v>61674</v>
      </c>
      <c r="B40401" t="s">
        <v>61675</v>
      </c>
      <c r="C40401" t="s">
        <v>143</v>
      </c>
      <c r="D40401" t="s">
        <v>14</v>
      </c>
      <c r="E40401" t="s">
        <v>474</v>
      </c>
      <c r="F40401" s="2" t="str">
        <f>HYPERLINK("http://www.otzar.org/book.asp?166958","שדה יהושע")</f>
        <v>שדה יהושע</v>
      </c>
    </row>
    <row r="40402" spans="1:6" x14ac:dyDescent="0.2">
      <c r="A40402" t="s">
        <v>61676</v>
      </c>
      <c r="B40402" t="s">
        <v>30000</v>
      </c>
      <c r="C40402" t="s">
        <v>17</v>
      </c>
      <c r="D40402" t="s">
        <v>14</v>
      </c>
      <c r="E40402" t="s">
        <v>3489</v>
      </c>
      <c r="F40402" s="2" t="str">
        <f>HYPERLINK("http://www.otzar.org/book.asp?50458","שדה יחזקאל - 2 כר'")</f>
        <v>שדה יחזקאל - 2 כר'</v>
      </c>
    </row>
    <row r="40403" spans="1:6" x14ac:dyDescent="0.2">
      <c r="A40403" t="s">
        <v>61677</v>
      </c>
      <c r="B40403" t="s">
        <v>61678</v>
      </c>
      <c r="C40403" t="s">
        <v>111</v>
      </c>
      <c r="D40403" t="s">
        <v>423</v>
      </c>
      <c r="E40403" t="s">
        <v>11780</v>
      </c>
      <c r="F40403" s="2" t="str">
        <f>HYPERLINK("http://www.otzar.org/book.asp?629528","שדה יעקב")</f>
        <v>שדה יעקב</v>
      </c>
    </row>
    <row r="40404" spans="1:6" x14ac:dyDescent="0.2">
      <c r="A40404" t="s">
        <v>61679</v>
      </c>
      <c r="B40404" t="s">
        <v>10234</v>
      </c>
      <c r="C40404" t="s">
        <v>429</v>
      </c>
      <c r="D40404" t="s">
        <v>379</v>
      </c>
      <c r="E40404" t="s">
        <v>158</v>
      </c>
      <c r="F40404" s="2" t="str">
        <f>HYPERLINK("http://www.otzar.org/book.asp?25401","שדה יער")</f>
        <v>שדה יער</v>
      </c>
    </row>
    <row r="40405" spans="1:6" x14ac:dyDescent="0.2">
      <c r="A40405" t="s">
        <v>61680</v>
      </c>
      <c r="B40405" t="s">
        <v>61681</v>
      </c>
      <c r="C40405" t="s">
        <v>619</v>
      </c>
      <c r="D40405" t="s">
        <v>10393</v>
      </c>
      <c r="E40405" t="s">
        <v>508</v>
      </c>
      <c r="F40405" s="2" t="str">
        <f>HYPERLINK("http://www.otzar.org/book.asp?20720","שדה יצחק")</f>
        <v>שדה יצחק</v>
      </c>
    </row>
    <row r="40406" spans="1:6" x14ac:dyDescent="0.2">
      <c r="A40406" t="s">
        <v>61680</v>
      </c>
      <c r="B40406" t="s">
        <v>3188</v>
      </c>
      <c r="C40406" t="s">
        <v>1619</v>
      </c>
      <c r="D40406" t="s">
        <v>14</v>
      </c>
      <c r="E40406" t="s">
        <v>803</v>
      </c>
      <c r="F40406" s="2" t="str">
        <f>HYPERLINK("http://www.otzar.org/book.asp?173850","שדה יצחק")</f>
        <v>שדה יצחק</v>
      </c>
    </row>
    <row r="40407" spans="1:6" x14ac:dyDescent="0.2">
      <c r="A40407" t="s">
        <v>61682</v>
      </c>
      <c r="B40407" t="s">
        <v>18605</v>
      </c>
      <c r="C40407" t="s">
        <v>61683</v>
      </c>
      <c r="D40407" t="s">
        <v>27</v>
      </c>
      <c r="E40407" t="s">
        <v>154</v>
      </c>
      <c r="F40407" s="2" t="str">
        <f>HYPERLINK("http://www.otzar.org/book.asp?84980","שדה יצחק - 3 כר'")</f>
        <v>שדה יצחק - 3 כר'</v>
      </c>
    </row>
    <row r="40408" spans="1:6" x14ac:dyDescent="0.2">
      <c r="A40408" t="s">
        <v>61684</v>
      </c>
      <c r="B40408" t="s">
        <v>61685</v>
      </c>
      <c r="C40408" t="s">
        <v>445</v>
      </c>
      <c r="D40408" t="s">
        <v>5211</v>
      </c>
      <c r="E40408" t="s">
        <v>154</v>
      </c>
      <c r="F40408" s="2" t="str">
        <f>HYPERLINK("http://www.otzar.org/book.asp?14220","שדה יצחק - א")</f>
        <v>שדה יצחק - א</v>
      </c>
    </row>
    <row r="40409" spans="1:6" x14ac:dyDescent="0.2">
      <c r="A40409" t="s">
        <v>61680</v>
      </c>
      <c r="B40409" t="s">
        <v>52084</v>
      </c>
      <c r="C40409" t="s">
        <v>390</v>
      </c>
      <c r="D40409" t="s">
        <v>563</v>
      </c>
      <c r="E40409" t="s">
        <v>508</v>
      </c>
      <c r="F40409" s="2" t="str">
        <f>HYPERLINK("http://www.otzar.org/book.asp?13723","שדה יצחק")</f>
        <v>שדה יצחק</v>
      </c>
    </row>
    <row r="40410" spans="1:6" x14ac:dyDescent="0.2">
      <c r="A40410" t="s">
        <v>61686</v>
      </c>
      <c r="B40410" t="s">
        <v>61687</v>
      </c>
      <c r="C40410" t="s">
        <v>176</v>
      </c>
      <c r="D40410" t="s">
        <v>52</v>
      </c>
      <c r="E40410" t="s">
        <v>158</v>
      </c>
      <c r="F40410" s="2" t="str">
        <f>HYPERLINK("http://www.otzar.org/book.asp?161948","שדה יצחק - 2 כר'")</f>
        <v>שדה יצחק - 2 כר'</v>
      </c>
    </row>
    <row r="40411" spans="1:6" x14ac:dyDescent="0.2">
      <c r="A40411" t="s">
        <v>61688</v>
      </c>
      <c r="B40411" t="s">
        <v>55471</v>
      </c>
      <c r="C40411" t="s">
        <v>2644</v>
      </c>
      <c r="D40411" t="s">
        <v>27</v>
      </c>
      <c r="E40411" t="s">
        <v>158</v>
      </c>
      <c r="F40411" s="2" t="str">
        <f>HYPERLINK("http://www.otzar.org/book.asp?181134","שדה לבן - 3 כר'")</f>
        <v>שדה לבן - 3 כר'</v>
      </c>
    </row>
    <row r="40412" spans="1:6" x14ac:dyDescent="0.2">
      <c r="A40412" t="s">
        <v>61689</v>
      </c>
      <c r="B40412" t="s">
        <v>61690</v>
      </c>
      <c r="C40412" t="s">
        <v>767</v>
      </c>
      <c r="D40412" t="s">
        <v>14</v>
      </c>
      <c r="E40412" t="s">
        <v>3987</v>
      </c>
      <c r="F40412" s="2" t="str">
        <f>HYPERLINK("http://www.otzar.org/book.asp?61601","שדה מרגליות")</f>
        <v>שדה מרגליות</v>
      </c>
    </row>
    <row r="40413" spans="1:6" x14ac:dyDescent="0.2">
      <c r="A40413" t="s">
        <v>61691</v>
      </c>
      <c r="B40413" t="s">
        <v>61692</v>
      </c>
      <c r="C40413" t="s">
        <v>812</v>
      </c>
      <c r="D40413" t="s">
        <v>27</v>
      </c>
      <c r="E40413" t="s">
        <v>930</v>
      </c>
      <c r="F40413" s="2" t="str">
        <f>HYPERLINK("http://www.otzar.org/book.asp?7472","שדה נפתלי בהלכה")</f>
        <v>שדה נפתלי בהלכה</v>
      </c>
    </row>
    <row r="40414" spans="1:6" x14ac:dyDescent="0.2">
      <c r="A40414" t="s">
        <v>61693</v>
      </c>
      <c r="B40414" t="s">
        <v>5092</v>
      </c>
      <c r="C40414" t="s">
        <v>244</v>
      </c>
      <c r="D40414" t="s">
        <v>412</v>
      </c>
      <c r="F40414" s="2" t="str">
        <f>HYPERLINK("http://www.otzar.org/book.asp?198717","שדה צופים &lt;ירושלמי&gt; - 6 כר'")</f>
        <v>שדה צופים &lt;ירושלמי&gt; - 6 כר'</v>
      </c>
    </row>
    <row r="40415" spans="1:6" x14ac:dyDescent="0.2">
      <c r="A40415" t="s">
        <v>61694</v>
      </c>
      <c r="B40415" t="s">
        <v>5092</v>
      </c>
      <c r="C40415" t="s">
        <v>422</v>
      </c>
      <c r="D40415" t="s">
        <v>412</v>
      </c>
      <c r="E40415" t="s">
        <v>144</v>
      </c>
      <c r="F40415" s="2" t="str">
        <f>HYPERLINK("http://www.otzar.org/book.asp?85626","שדה צופים - 43 כר'")</f>
        <v>שדה צופים - 43 כר'</v>
      </c>
    </row>
    <row r="40416" spans="1:6" x14ac:dyDescent="0.2">
      <c r="A40416" t="s">
        <v>61695</v>
      </c>
      <c r="B40416" t="s">
        <v>18902</v>
      </c>
      <c r="C40416" t="s">
        <v>6052</v>
      </c>
      <c r="D40416" t="s">
        <v>744</v>
      </c>
      <c r="E40416" t="s">
        <v>144</v>
      </c>
      <c r="F40416" s="2" t="str">
        <f>HYPERLINK("http://www.otzar.org/book.asp?199508","שדה צופים - 3 כר'")</f>
        <v>שדה צופים - 3 כר'</v>
      </c>
    </row>
    <row r="40417" spans="1:6" x14ac:dyDescent="0.2">
      <c r="A40417" t="s">
        <v>61696</v>
      </c>
      <c r="B40417" t="s">
        <v>12407</v>
      </c>
      <c r="C40417" t="s">
        <v>17</v>
      </c>
      <c r="D40417" t="s">
        <v>14</v>
      </c>
      <c r="E40417" t="s">
        <v>144</v>
      </c>
      <c r="F40417" s="2" t="str">
        <f>HYPERLINK("http://www.otzar.org/book.asp?23286","שדה שמואל - 2 כר'")</f>
        <v>שדה שמואל - 2 כר'</v>
      </c>
    </row>
    <row r="40418" spans="1:6" x14ac:dyDescent="0.2">
      <c r="A40418" t="s">
        <v>61697</v>
      </c>
      <c r="B40418" t="s">
        <v>4095</v>
      </c>
      <c r="C40418" t="s">
        <v>23694</v>
      </c>
      <c r="D40418" t="s">
        <v>1566</v>
      </c>
      <c r="F40418" s="2" t="str">
        <f>HYPERLINK("http://www.otzar.org/book.asp?617423","שדי חמד &lt;מהדורה מקורית&gt; - 16 כר'")</f>
        <v>שדי חמד &lt;מהדורה מקורית&gt; - 16 כר'</v>
      </c>
    </row>
    <row r="40419" spans="1:6" x14ac:dyDescent="0.2">
      <c r="A40419" t="s">
        <v>61698</v>
      </c>
      <c r="B40419" t="s">
        <v>61699</v>
      </c>
      <c r="C40419" t="s">
        <v>752</v>
      </c>
      <c r="D40419" t="s">
        <v>27</v>
      </c>
      <c r="E40419" t="s">
        <v>104</v>
      </c>
      <c r="F40419" s="2" t="str">
        <f>HYPERLINK("http://www.otzar.org/book.asp?143768","שדים סופדים")</f>
        <v>שדים סופדים</v>
      </c>
    </row>
    <row r="40420" spans="1:6" x14ac:dyDescent="0.2">
      <c r="A40420" t="s">
        <v>61700</v>
      </c>
      <c r="B40420" t="s">
        <v>18985</v>
      </c>
      <c r="C40420" t="s">
        <v>698</v>
      </c>
      <c r="D40420" t="s">
        <v>27</v>
      </c>
      <c r="E40420" t="s">
        <v>84</v>
      </c>
      <c r="F40420" s="2" t="str">
        <f>HYPERLINK("http://www.otzar.org/book.asp?52018","שה לבית אבות")</f>
        <v>שה לבית אבות</v>
      </c>
    </row>
    <row r="40421" spans="1:6" x14ac:dyDescent="0.2">
      <c r="A40421" t="s">
        <v>61701</v>
      </c>
      <c r="B40421" t="s">
        <v>6986</v>
      </c>
      <c r="C40421" t="s">
        <v>133</v>
      </c>
      <c r="D40421" t="s">
        <v>646</v>
      </c>
      <c r="E40421" t="s">
        <v>158</v>
      </c>
      <c r="F40421" s="2" t="str">
        <f>HYPERLINK("http://www.otzar.org/book.asp?189454","שה לבית")</f>
        <v>שה לבית</v>
      </c>
    </row>
    <row r="40422" spans="1:6" x14ac:dyDescent="0.2">
      <c r="A40422" t="s">
        <v>61701</v>
      </c>
      <c r="B40422" t="s">
        <v>61702</v>
      </c>
      <c r="C40422" t="s">
        <v>23</v>
      </c>
      <c r="D40422" t="s">
        <v>14</v>
      </c>
      <c r="E40422" t="s">
        <v>144</v>
      </c>
      <c r="F40422" s="2" t="str">
        <f>HYPERLINK("http://www.otzar.org/book.asp?621810","שה לבית")</f>
        <v>שה לבית</v>
      </c>
    </row>
    <row r="40423" spans="1:6" x14ac:dyDescent="0.2">
      <c r="A40423" t="s">
        <v>61703</v>
      </c>
      <c r="B40423" t="s">
        <v>6986</v>
      </c>
      <c r="C40423" t="s">
        <v>68</v>
      </c>
      <c r="D40423" t="s">
        <v>646</v>
      </c>
      <c r="E40423" t="s">
        <v>61704</v>
      </c>
      <c r="F40423" s="2" t="str">
        <f>HYPERLINK("http://www.otzar.org/book.asp?171029","שה לבית, גשמי ברכה")</f>
        <v>שה לבית, גשמי ברכה</v>
      </c>
    </row>
    <row r="40424" spans="1:6" x14ac:dyDescent="0.2">
      <c r="A40424" t="s">
        <v>61705</v>
      </c>
      <c r="B40424" t="s">
        <v>61706</v>
      </c>
      <c r="C40424" t="s">
        <v>23</v>
      </c>
      <c r="D40424" t="s">
        <v>14</v>
      </c>
      <c r="E40424" t="s">
        <v>15</v>
      </c>
      <c r="F40424" s="2" t="str">
        <f>HYPERLINK("http://www.otzar.org/book.asp?606218","שהחיינו")</f>
        <v>שהחיינו</v>
      </c>
    </row>
    <row r="40425" spans="1:6" x14ac:dyDescent="0.2">
      <c r="A40425" t="s">
        <v>61707</v>
      </c>
      <c r="B40425" t="s">
        <v>11462</v>
      </c>
      <c r="C40425" t="s">
        <v>146</v>
      </c>
      <c r="D40425" t="s">
        <v>52</v>
      </c>
      <c r="E40425" t="s">
        <v>241</v>
      </c>
      <c r="F40425" s="2" t="str">
        <f>HYPERLINK("http://www.otzar.org/book.asp?61858","שהכל ברא לכבודו")</f>
        <v>שהכל ברא לכבודו</v>
      </c>
    </row>
    <row r="40426" spans="1:6" x14ac:dyDescent="0.2">
      <c r="A40426" t="s">
        <v>61707</v>
      </c>
      <c r="B40426" t="s">
        <v>9348</v>
      </c>
      <c r="C40426" t="s">
        <v>422</v>
      </c>
      <c r="D40426" t="s">
        <v>2468</v>
      </c>
      <c r="E40426" t="s">
        <v>104</v>
      </c>
      <c r="F40426" s="2" t="str">
        <f>HYPERLINK("http://www.otzar.org/book.asp?162852","שהכל ברא לכבודו")</f>
        <v>שהכל ברא לכבודו</v>
      </c>
    </row>
    <row r="40427" spans="1:6" x14ac:dyDescent="0.2">
      <c r="A40427" t="s">
        <v>61708</v>
      </c>
      <c r="B40427" t="s">
        <v>8465</v>
      </c>
      <c r="C40427" t="s">
        <v>4144</v>
      </c>
      <c r="D40427" t="s">
        <v>9</v>
      </c>
      <c r="E40427" t="s">
        <v>158</v>
      </c>
      <c r="F40427" s="2" t="str">
        <f>HYPERLINK("http://www.otzar.org/book.asp?52020","שהם מנחם")</f>
        <v>שהם מנחם</v>
      </c>
    </row>
    <row r="40428" spans="1:6" x14ac:dyDescent="0.2">
      <c r="A40428" t="s">
        <v>61709</v>
      </c>
      <c r="B40428" t="s">
        <v>42053</v>
      </c>
      <c r="C40428" t="s">
        <v>1535</v>
      </c>
      <c r="D40428" t="s">
        <v>9</v>
      </c>
      <c r="E40428" t="s">
        <v>508</v>
      </c>
      <c r="F40428" s="2" t="str">
        <f>HYPERLINK("http://www.otzar.org/book.asp?28528","שהם קברניט")</f>
        <v>שהם קברניט</v>
      </c>
    </row>
    <row r="40429" spans="1:6" x14ac:dyDescent="0.2">
      <c r="A40429" t="s">
        <v>61710</v>
      </c>
      <c r="B40429" t="s">
        <v>3727</v>
      </c>
      <c r="C40429" t="s">
        <v>411</v>
      </c>
      <c r="D40429" t="s">
        <v>52</v>
      </c>
      <c r="E40429" t="s">
        <v>674</v>
      </c>
      <c r="F40429" s="2" t="str">
        <f>HYPERLINK("http://www.otzar.org/book.asp?169035","שהשמחה במעונו - 2 כר'")</f>
        <v>שהשמחה במעונו - 2 כר'</v>
      </c>
    </row>
    <row r="40430" spans="1:6" x14ac:dyDescent="0.2">
      <c r="A40430" t="s">
        <v>61711</v>
      </c>
      <c r="B40430" t="s">
        <v>61712</v>
      </c>
      <c r="C40430" t="s">
        <v>466</v>
      </c>
      <c r="D40430" t="s">
        <v>52</v>
      </c>
      <c r="E40430" t="s">
        <v>1174</v>
      </c>
      <c r="F40430" s="2" t="str">
        <f>HYPERLINK("http://www.otzar.org/book.asp?612103","שהשמחה במעונו - ב")</f>
        <v>שהשמחה במעונו - ב</v>
      </c>
    </row>
    <row r="40431" spans="1:6" x14ac:dyDescent="0.2">
      <c r="A40431" t="s">
        <v>61713</v>
      </c>
      <c r="B40431" t="s">
        <v>61714</v>
      </c>
      <c r="C40431" t="s">
        <v>185</v>
      </c>
      <c r="D40431" t="s">
        <v>90</v>
      </c>
      <c r="E40431" t="s">
        <v>148</v>
      </c>
      <c r="F40431" s="2" t="str">
        <f>HYPERLINK("http://www.otzar.org/book.asp?630036","שהשמחה במעונו")</f>
        <v>שהשמחה במעונו</v>
      </c>
    </row>
    <row r="40432" spans="1:6" x14ac:dyDescent="0.2">
      <c r="A40432" t="s">
        <v>61715</v>
      </c>
      <c r="B40432" t="s">
        <v>17786</v>
      </c>
      <c r="C40432" t="s">
        <v>133</v>
      </c>
      <c r="D40432" t="s">
        <v>2867</v>
      </c>
      <c r="E40432" t="s">
        <v>154</v>
      </c>
      <c r="F40432" s="2" t="str">
        <f>HYPERLINK("http://www.otzar.org/book.asp?171664","שו""ת אבא ב""ם - 6 כר'")</f>
        <v>שו"ת אבא ב"ם - 6 כר'</v>
      </c>
    </row>
    <row r="40433" spans="1:6" x14ac:dyDescent="0.2">
      <c r="A40433" t="s">
        <v>61716</v>
      </c>
      <c r="B40433" t="s">
        <v>61717</v>
      </c>
      <c r="C40433" t="s">
        <v>133</v>
      </c>
      <c r="D40433" t="s">
        <v>412</v>
      </c>
      <c r="E40433" t="s">
        <v>154</v>
      </c>
      <c r="F40433" s="2" t="str">
        <f>HYPERLINK("http://www.otzar.org/book.asp?175920","שו""ת אבני חן")</f>
        <v>שו"ת אבני חן</v>
      </c>
    </row>
    <row r="40434" spans="1:6" x14ac:dyDescent="0.2">
      <c r="A40434" t="s">
        <v>61718</v>
      </c>
      <c r="B40434" t="s">
        <v>61191</v>
      </c>
      <c r="C40434" t="s">
        <v>366</v>
      </c>
      <c r="D40434" t="s">
        <v>52</v>
      </c>
      <c r="F40434" s="2" t="str">
        <f>HYPERLINK("http://www.otzar.org/book.asp?610633","שו""ת אגרות מלכים")</f>
        <v>שו"ת אגרות מלכים</v>
      </c>
    </row>
    <row r="40435" spans="1:6" x14ac:dyDescent="0.2">
      <c r="A40435" t="s">
        <v>61719</v>
      </c>
      <c r="B40435" t="s">
        <v>3880</v>
      </c>
      <c r="C40435" t="s">
        <v>411</v>
      </c>
      <c r="D40435" t="s">
        <v>14</v>
      </c>
      <c r="E40435" t="s">
        <v>154</v>
      </c>
      <c r="F40435" s="2" t="str">
        <f>HYPERLINK("http://www.otzar.org/book.asp?174284","שו""ת אור השנים")</f>
        <v>שו"ת אור השנים</v>
      </c>
    </row>
    <row r="40436" spans="1:6" x14ac:dyDescent="0.2">
      <c r="A40436" t="s">
        <v>61720</v>
      </c>
      <c r="B40436" t="s">
        <v>5293</v>
      </c>
      <c r="C40436" t="s">
        <v>1640</v>
      </c>
      <c r="D40436" t="s">
        <v>36211</v>
      </c>
      <c r="E40436" t="s">
        <v>154</v>
      </c>
      <c r="F40436" s="2" t="str">
        <f>HYPERLINK("http://www.otzar.org/book.asp?199722","שו""ת אור מציון")</f>
        <v>שו"ת אור מציון</v>
      </c>
    </row>
    <row r="40437" spans="1:6" x14ac:dyDescent="0.2">
      <c r="A40437" t="s">
        <v>61721</v>
      </c>
      <c r="B40437" t="s">
        <v>61722</v>
      </c>
      <c r="C40437" t="s">
        <v>151</v>
      </c>
      <c r="D40437" t="s">
        <v>152</v>
      </c>
      <c r="F40437" s="2" t="str">
        <f>HYPERLINK("http://www.otzar.org/book.asp?609231","שו""ת אילן אביגדור")</f>
        <v>שו"ת אילן אביגדור</v>
      </c>
    </row>
    <row r="40438" spans="1:6" x14ac:dyDescent="0.2">
      <c r="A40438" t="s">
        <v>61723</v>
      </c>
      <c r="B40438" t="s">
        <v>5458</v>
      </c>
      <c r="C40438" t="s">
        <v>114</v>
      </c>
      <c r="D40438" t="s">
        <v>14</v>
      </c>
      <c r="E40438" t="s">
        <v>154</v>
      </c>
      <c r="F40438" s="2" t="str">
        <f>HYPERLINK("http://www.otzar.org/book.asp?165222","שו""ת אך טוב לישראל - ב")</f>
        <v>שו"ת אך טוב לישראל - ב</v>
      </c>
    </row>
    <row r="40439" spans="1:6" x14ac:dyDescent="0.2">
      <c r="A40439" t="s">
        <v>61724</v>
      </c>
      <c r="B40439" t="s">
        <v>15186</v>
      </c>
      <c r="C40439" t="s">
        <v>9168</v>
      </c>
      <c r="D40439" t="s">
        <v>95</v>
      </c>
      <c r="F40439" s="2" t="str">
        <f>HYPERLINK("http://www.otzar.org/book.asp?170075","שו""ת אלשיך - 3 כר'")</f>
        <v>שו"ת אלשיך - 3 כר'</v>
      </c>
    </row>
    <row r="40440" spans="1:6" x14ac:dyDescent="0.2">
      <c r="A40440" t="s">
        <v>61725</v>
      </c>
      <c r="B40440" t="s">
        <v>6449</v>
      </c>
      <c r="C40440" t="s">
        <v>332</v>
      </c>
      <c r="D40440" t="s">
        <v>21</v>
      </c>
      <c r="E40440" t="s">
        <v>154</v>
      </c>
      <c r="F40440" s="2" t="str">
        <f>HYPERLINK("http://www.otzar.org/book.asp?197341","שו""ת ארחות יושר - 3 כר'")</f>
        <v>שו"ת ארחות יושר - 3 כר'</v>
      </c>
    </row>
    <row r="40441" spans="1:6" x14ac:dyDescent="0.2">
      <c r="A40441" t="s">
        <v>61726</v>
      </c>
      <c r="B40441" t="s">
        <v>60779</v>
      </c>
      <c r="C40441" t="s">
        <v>114</v>
      </c>
      <c r="D40441" t="s">
        <v>14</v>
      </c>
      <c r="E40441" t="s">
        <v>154</v>
      </c>
      <c r="F40441" s="2" t="str">
        <f>HYPERLINK("http://www.otzar.org/book.asp?166171","שו""ת אריאל - 2 כר'")</f>
        <v>שו"ת אריאל - 2 כר'</v>
      </c>
    </row>
    <row r="40442" spans="1:6" x14ac:dyDescent="0.2">
      <c r="A40442" t="s">
        <v>61727</v>
      </c>
      <c r="B40442" t="s">
        <v>17938</v>
      </c>
      <c r="C40442" t="s">
        <v>23</v>
      </c>
      <c r="D40442" t="s">
        <v>10790</v>
      </c>
      <c r="E40442" t="s">
        <v>2775</v>
      </c>
      <c r="F40442" s="2" t="str">
        <f>HYPERLINK("http://www.otzar.org/book.asp?608638","שו""ת ארץ ישראל")</f>
        <v>שו"ת ארץ ישראל</v>
      </c>
    </row>
    <row r="40443" spans="1:6" x14ac:dyDescent="0.2">
      <c r="A40443" t="s">
        <v>61728</v>
      </c>
      <c r="B40443" t="s">
        <v>8856</v>
      </c>
      <c r="C40443" t="s">
        <v>37</v>
      </c>
      <c r="D40443" t="s">
        <v>13657</v>
      </c>
      <c r="E40443" t="s">
        <v>154</v>
      </c>
      <c r="F40443" s="2" t="str">
        <f>HYPERLINK("http://www.otzar.org/book.asp?608342","שו""ת בדי הארון - 3 כר'")</f>
        <v>שו"ת בדי הארון - 3 כר'</v>
      </c>
    </row>
    <row r="40444" spans="1:6" x14ac:dyDescent="0.2">
      <c r="A40444" t="s">
        <v>61729</v>
      </c>
      <c r="B40444" t="s">
        <v>61730</v>
      </c>
      <c r="C40444" t="s">
        <v>585</v>
      </c>
      <c r="D40444" t="s">
        <v>14</v>
      </c>
      <c r="E40444" t="s">
        <v>10</v>
      </c>
      <c r="F40444" s="2" t="str">
        <f>HYPERLINK("http://www.otzar.org/book.asp?15473","שו""ת בהלכות איסור והיתר")</f>
        <v>שו"ת בהלכות איסור והיתר</v>
      </c>
    </row>
    <row r="40445" spans="1:6" x14ac:dyDescent="0.2">
      <c r="A40445" t="s">
        <v>61731</v>
      </c>
      <c r="B40445" t="s">
        <v>9328</v>
      </c>
      <c r="C40445" t="s">
        <v>20</v>
      </c>
      <c r="D40445" t="s">
        <v>52</v>
      </c>
      <c r="E40445" t="s">
        <v>154</v>
      </c>
      <c r="F40445" s="2" t="str">
        <f>HYPERLINK("http://www.otzar.org/book.asp?606279","שו""ת בהלכות נדה")</f>
        <v>שו"ת בהלכות נדה</v>
      </c>
    </row>
    <row r="40446" spans="1:6" x14ac:dyDescent="0.2">
      <c r="A40446" t="s">
        <v>61732</v>
      </c>
      <c r="B40446" t="s">
        <v>61733</v>
      </c>
      <c r="C40446" t="s">
        <v>366</v>
      </c>
      <c r="D40446" t="s">
        <v>14</v>
      </c>
      <c r="E40446" t="s">
        <v>154</v>
      </c>
      <c r="F40446" s="2" t="str">
        <f>HYPERLINK("http://www.otzar.org/book.asp?627040","שו""ת בית דינו של שמואל - 2 כר'")</f>
        <v>שו"ת בית דינו של שמואל - 2 כר'</v>
      </c>
    </row>
    <row r="40447" spans="1:6" x14ac:dyDescent="0.2">
      <c r="A40447" t="s">
        <v>61734</v>
      </c>
      <c r="B40447" t="s">
        <v>3386</v>
      </c>
      <c r="C40447" t="s">
        <v>1208</v>
      </c>
      <c r="D40447" t="s">
        <v>14</v>
      </c>
      <c r="E40447" t="s">
        <v>154</v>
      </c>
      <c r="F40447" s="2" t="str">
        <f>HYPERLINK("http://www.otzar.org/book.asp?144936","שו""ת בית חדש החדשות")</f>
        <v>שו"ת בית חדש החדשות</v>
      </c>
    </row>
    <row r="40448" spans="1:6" x14ac:dyDescent="0.2">
      <c r="A40448" t="s">
        <v>61735</v>
      </c>
      <c r="B40448" t="s">
        <v>3386</v>
      </c>
      <c r="C40448" t="s">
        <v>282</v>
      </c>
      <c r="D40448" t="s">
        <v>3817</v>
      </c>
      <c r="E40448" t="s">
        <v>154</v>
      </c>
      <c r="F40448" s="2" t="str">
        <f>HYPERLINK("http://www.otzar.org/book.asp?23358","שו""ת בית חדש הישנות")</f>
        <v>שו"ת בית חדש הישנות</v>
      </c>
    </row>
    <row r="40449" spans="1:6" x14ac:dyDescent="0.2">
      <c r="A40449" t="s">
        <v>61736</v>
      </c>
      <c r="B40449" t="s">
        <v>1035</v>
      </c>
      <c r="C40449" t="s">
        <v>7364</v>
      </c>
      <c r="D40449" t="s">
        <v>1411</v>
      </c>
      <c r="E40449" t="s">
        <v>154</v>
      </c>
      <c r="F40449" s="2" t="str">
        <f>HYPERLINK("http://www.otzar.org/book.asp?102689","שו""ת בית יוסף - 3 כר'")</f>
        <v>שו"ת בית יוסף - 3 כר'</v>
      </c>
    </row>
    <row r="40450" spans="1:6" x14ac:dyDescent="0.2">
      <c r="A40450" t="s">
        <v>61737</v>
      </c>
      <c r="B40450" t="s">
        <v>10957</v>
      </c>
      <c r="C40450" t="s">
        <v>313</v>
      </c>
      <c r="D40450" t="s">
        <v>152</v>
      </c>
      <c r="E40450" t="s">
        <v>154</v>
      </c>
      <c r="F40450" s="2" t="str">
        <f>HYPERLINK("http://www.otzar.org/book.asp?50610","שו""ת בן ימין")</f>
        <v>שו"ת בן ימין</v>
      </c>
    </row>
    <row r="40451" spans="1:6" x14ac:dyDescent="0.2">
      <c r="A40451" t="s">
        <v>61738</v>
      </c>
      <c r="B40451" t="s">
        <v>61739</v>
      </c>
      <c r="C40451" t="s">
        <v>422</v>
      </c>
      <c r="D40451" t="s">
        <v>14</v>
      </c>
      <c r="E40451" t="s">
        <v>154</v>
      </c>
      <c r="F40451" s="2" t="str">
        <f>HYPERLINK("http://www.otzar.org/book.asp?168220","שו""ת בענין דו""ד שבין מי שנדב מקום בחצירות")</f>
        <v>שו"ת בענין דו"ד שבין מי שנדב מקום בחצירות</v>
      </c>
    </row>
    <row r="40452" spans="1:6" x14ac:dyDescent="0.2">
      <c r="A40452" t="s">
        <v>61740</v>
      </c>
      <c r="B40452" t="s">
        <v>61741</v>
      </c>
      <c r="C40452" t="s">
        <v>111</v>
      </c>
      <c r="D40452" t="s">
        <v>852</v>
      </c>
      <c r="E40452" t="s">
        <v>154</v>
      </c>
      <c r="F40452" s="2" t="str">
        <f>HYPERLINK("http://www.otzar.org/book.asp?630900","שו""ת דבר יוסף")</f>
        <v>שו"ת דבר יוסף</v>
      </c>
    </row>
    <row r="40453" spans="1:6" x14ac:dyDescent="0.2">
      <c r="A40453" t="s">
        <v>61742</v>
      </c>
      <c r="B40453" t="s">
        <v>17865</v>
      </c>
      <c r="C40453" t="s">
        <v>103</v>
      </c>
      <c r="D40453" t="s">
        <v>14</v>
      </c>
      <c r="E40453" t="s">
        <v>154</v>
      </c>
      <c r="F40453" s="2" t="str">
        <f>HYPERLINK("http://www.otzar.org/book.asp?84844","שו""ת דברי סופר")</f>
        <v>שו"ת דברי סופר</v>
      </c>
    </row>
    <row r="40454" spans="1:6" x14ac:dyDescent="0.2">
      <c r="A40454" t="s">
        <v>61743</v>
      </c>
      <c r="B40454" t="s">
        <v>61744</v>
      </c>
      <c r="C40454" t="s">
        <v>356</v>
      </c>
      <c r="D40454" t="s">
        <v>14</v>
      </c>
      <c r="E40454" t="s">
        <v>154</v>
      </c>
      <c r="F40454" s="2" t="str">
        <f>HYPERLINK("http://www.otzar.org/book.asp?85123","שו""ת דור רביעי &lt;רסיסי טל&gt; - א")</f>
        <v>שו"ת דור רביעי &lt;רסיסי טל&gt; - א</v>
      </c>
    </row>
    <row r="40455" spans="1:6" x14ac:dyDescent="0.2">
      <c r="A40455" t="s">
        <v>61745</v>
      </c>
      <c r="B40455" t="s">
        <v>61744</v>
      </c>
      <c r="C40455" t="s">
        <v>533</v>
      </c>
      <c r="D40455" t="s">
        <v>14</v>
      </c>
      <c r="E40455" t="s">
        <v>154</v>
      </c>
      <c r="F40455" s="2" t="str">
        <f>HYPERLINK("http://www.otzar.org/book.asp?172728","שו""ת דור רביעי - ב")</f>
        <v>שו"ת דור רביעי - ב</v>
      </c>
    </row>
    <row r="40456" spans="1:6" x14ac:dyDescent="0.2">
      <c r="A40456" t="s">
        <v>61746</v>
      </c>
      <c r="B40456" t="s">
        <v>3386</v>
      </c>
      <c r="C40456" t="s">
        <v>16540</v>
      </c>
      <c r="D40456" t="s">
        <v>322</v>
      </c>
      <c r="E40456" t="s">
        <v>154</v>
      </c>
      <c r="F40456" s="2" t="str">
        <f>HYPERLINK("http://www.otzar.org/book.asp?5366","שו""ת הב""ח הישנות")</f>
        <v>שו"ת הב"ח הישנות</v>
      </c>
    </row>
    <row r="40457" spans="1:6" x14ac:dyDescent="0.2">
      <c r="A40457" t="s">
        <v>61747</v>
      </c>
      <c r="B40457" t="s">
        <v>60995</v>
      </c>
      <c r="C40457" t="s">
        <v>1718</v>
      </c>
      <c r="D40457" t="s">
        <v>56</v>
      </c>
      <c r="E40457" t="s">
        <v>154</v>
      </c>
      <c r="F40457" s="2" t="str">
        <f>HYPERLINK("http://www.otzar.org/book.asp?19166","שו""ת הגאונים (הקצרות) - 2 כר'")</f>
        <v>שו"ת הגאונים (הקצרות) - 2 כר'</v>
      </c>
    </row>
    <row r="40458" spans="1:6" x14ac:dyDescent="0.2">
      <c r="A40458" t="s">
        <v>61748</v>
      </c>
      <c r="B40458" t="s">
        <v>61749</v>
      </c>
      <c r="C40458" t="s">
        <v>1663</v>
      </c>
      <c r="D40458" t="s">
        <v>27</v>
      </c>
      <c r="E40458" t="s">
        <v>154</v>
      </c>
      <c r="F40458" s="2" t="str">
        <f>HYPERLINK("http://www.otzar.org/book.asp?10429","שו""ת הגאונים (הקצרות) - &lt;הערות ר""י אפשטיין&gt;")</f>
        <v>שו"ת הגאונים (הקצרות) - &lt;הערות ר"י אפשטיין&gt;</v>
      </c>
    </row>
    <row r="40459" spans="1:6" x14ac:dyDescent="0.2">
      <c r="A40459" t="s">
        <v>61750</v>
      </c>
      <c r="B40459" t="s">
        <v>61751</v>
      </c>
      <c r="C40459" t="s">
        <v>800</v>
      </c>
      <c r="D40459" t="s">
        <v>1538</v>
      </c>
      <c r="E40459" t="s">
        <v>154</v>
      </c>
      <c r="F40459" s="2" t="str">
        <f>HYPERLINK("http://www.otzar.org/book.asp?10671","שו""ת הגאונים בתראי - 4 כר'")</f>
        <v>שו"ת הגאונים בתראי - 4 כר'</v>
      </c>
    </row>
    <row r="40460" spans="1:6" x14ac:dyDescent="0.2">
      <c r="A40460" t="s">
        <v>61752</v>
      </c>
      <c r="B40460" t="s">
        <v>61753</v>
      </c>
      <c r="C40460" t="s">
        <v>5257</v>
      </c>
      <c r="D40460" t="s">
        <v>76</v>
      </c>
      <c r="E40460" t="s">
        <v>154</v>
      </c>
      <c r="F40460" s="2" t="str">
        <f>HYPERLINK("http://www.otzar.org/book.asp?9257","שו""ת הגאונים")</f>
        <v>שו"ת הגאונים</v>
      </c>
    </row>
    <row r="40461" spans="1:6" x14ac:dyDescent="0.2">
      <c r="A40461" t="s">
        <v>61752</v>
      </c>
      <c r="B40461" t="s">
        <v>60995</v>
      </c>
      <c r="C40461" t="s">
        <v>29803</v>
      </c>
      <c r="D40461" t="s">
        <v>744</v>
      </c>
      <c r="E40461" t="s">
        <v>154</v>
      </c>
      <c r="F40461" s="2" t="str">
        <f>HYPERLINK("http://www.otzar.org/book.asp?52028","שו""ת הגאונים")</f>
        <v>שו"ת הגאונים</v>
      </c>
    </row>
    <row r="40462" spans="1:6" x14ac:dyDescent="0.2">
      <c r="A40462" t="s">
        <v>61754</v>
      </c>
      <c r="B40462" t="s">
        <v>61755</v>
      </c>
      <c r="C40462" t="s">
        <v>23</v>
      </c>
      <c r="D40462" t="s">
        <v>54961</v>
      </c>
      <c r="E40462" t="s">
        <v>154</v>
      </c>
      <c r="F40462" s="2" t="str">
        <f>HYPERLINK("http://www.otzar.org/book.asp?608604","שו""ת הגראד""א")</f>
        <v>שו"ת הגראד"א</v>
      </c>
    </row>
    <row r="40463" spans="1:6" x14ac:dyDescent="0.2">
      <c r="A40463" t="s">
        <v>61756</v>
      </c>
      <c r="B40463" t="s">
        <v>61757</v>
      </c>
      <c r="C40463" t="s">
        <v>114</v>
      </c>
      <c r="D40463" t="s">
        <v>147</v>
      </c>
      <c r="E40463" t="s">
        <v>154</v>
      </c>
      <c r="F40463" s="2" t="str">
        <f>HYPERLINK("http://www.otzar.org/book.asp?163432","שו""ת הגרח""ק - א")</f>
        <v>שו"ת הגרח"ק - א</v>
      </c>
    </row>
    <row r="40464" spans="1:6" x14ac:dyDescent="0.2">
      <c r="A40464" t="s">
        <v>61758</v>
      </c>
      <c r="B40464" t="s">
        <v>18724</v>
      </c>
      <c r="C40464" t="s">
        <v>1706</v>
      </c>
      <c r="D40464" t="s">
        <v>267</v>
      </c>
      <c r="E40464" t="s">
        <v>930</v>
      </c>
      <c r="F40464" s="2" t="str">
        <f>HYPERLINK("http://www.otzar.org/book.asp?141162","שו""ת הד""ר - 2 כר'")</f>
        <v>שו"ת הד"ר - 2 כר'</v>
      </c>
    </row>
    <row r="40465" spans="1:6" x14ac:dyDescent="0.2">
      <c r="A40465" t="s">
        <v>61759</v>
      </c>
      <c r="B40465" t="s">
        <v>1308</v>
      </c>
      <c r="C40465" t="s">
        <v>390</v>
      </c>
      <c r="D40465" t="s">
        <v>14</v>
      </c>
      <c r="E40465" t="s">
        <v>154</v>
      </c>
      <c r="F40465" s="2" t="str">
        <f>HYPERLINK("http://www.otzar.org/book.asp?13159","שו""ת החיד""א")</f>
        <v>שו"ת החיד"א</v>
      </c>
    </row>
    <row r="40466" spans="1:6" x14ac:dyDescent="0.2">
      <c r="A40466" t="s">
        <v>61760</v>
      </c>
      <c r="B40466" t="s">
        <v>61761</v>
      </c>
      <c r="C40466" t="s">
        <v>1160</v>
      </c>
      <c r="D40466" t="s">
        <v>412</v>
      </c>
      <c r="E40466" t="s">
        <v>154</v>
      </c>
      <c r="F40466" s="2" t="str">
        <f>HYPERLINK("http://www.otzar.org/book.asp?144844","שו""ת המאור - 2 כר'")</f>
        <v>שו"ת המאור - 2 כר'</v>
      </c>
    </row>
    <row r="40467" spans="1:6" x14ac:dyDescent="0.2">
      <c r="A40467" t="s">
        <v>61762</v>
      </c>
      <c r="B40467" t="s">
        <v>1440</v>
      </c>
      <c r="C40467" t="s">
        <v>40144</v>
      </c>
      <c r="D40467" t="s">
        <v>49</v>
      </c>
      <c r="F40467" s="2" t="str">
        <f>HYPERLINK("http://www.otzar.org/book.asp?174658","שו""ת המבי""ט - 2 כר'")</f>
        <v>שו"ת המבי"ט - 2 כר'</v>
      </c>
    </row>
    <row r="40468" spans="1:6" x14ac:dyDescent="0.2">
      <c r="A40468" t="s">
        <v>61763</v>
      </c>
      <c r="B40468" t="s">
        <v>7330</v>
      </c>
      <c r="C40468" t="s">
        <v>1811</v>
      </c>
      <c r="D40468" t="s">
        <v>14</v>
      </c>
      <c r="E40468" t="s">
        <v>154</v>
      </c>
      <c r="F40468" s="2" t="str">
        <f>HYPERLINK("http://www.otzar.org/book.asp?815","שו""ת הסבא קדישא - 3 כר'")</f>
        <v>שו"ת הסבא קדישא - 3 כר'</v>
      </c>
    </row>
    <row r="40469" spans="1:6" x14ac:dyDescent="0.2">
      <c r="A40469" t="s">
        <v>61764</v>
      </c>
      <c r="B40469" t="s">
        <v>1361</v>
      </c>
      <c r="C40469" t="s">
        <v>224</v>
      </c>
      <c r="D40469" t="s">
        <v>23921</v>
      </c>
      <c r="E40469" t="s">
        <v>588</v>
      </c>
      <c r="F40469" s="2" t="str">
        <f>HYPERLINK("http://www.otzar.org/book.asp?838","שו""ת הפרי מגדים")</f>
        <v>שו"ת הפרי מגדים</v>
      </c>
    </row>
    <row r="40470" spans="1:6" x14ac:dyDescent="0.2">
      <c r="A40470" t="s">
        <v>61765</v>
      </c>
      <c r="B40470" t="s">
        <v>25406</v>
      </c>
      <c r="C40470" t="s">
        <v>411</v>
      </c>
      <c r="D40470" t="s">
        <v>14</v>
      </c>
      <c r="F40470" s="2" t="str">
        <f>HYPERLINK("http://www.otzar.org/book.asp?193577","שו""ת הר""י מיגאש &lt;מהדורת שמוש חכמים&gt;")</f>
        <v>שו"ת הר"י מיגאש &lt;מהדורת שמוש חכמים&gt;</v>
      </c>
    </row>
    <row r="40471" spans="1:6" x14ac:dyDescent="0.2">
      <c r="A40471" t="s">
        <v>61766</v>
      </c>
      <c r="B40471" t="s">
        <v>25406</v>
      </c>
      <c r="C40471" t="s">
        <v>1169</v>
      </c>
      <c r="D40471" t="s">
        <v>14</v>
      </c>
      <c r="E40471" t="s">
        <v>154</v>
      </c>
      <c r="F40471" s="2" t="str">
        <f>HYPERLINK("http://www.otzar.org/book.asp?148981","שו""ת הר""י מיגאש - 2 כר'")</f>
        <v>שו"ת הר"י מיגאש - 2 כר'</v>
      </c>
    </row>
    <row r="40472" spans="1:6" x14ac:dyDescent="0.2">
      <c r="A40472" t="s">
        <v>61767</v>
      </c>
      <c r="B40472" t="s">
        <v>16964</v>
      </c>
      <c r="C40472" t="s">
        <v>61768</v>
      </c>
      <c r="D40472" t="s">
        <v>20567</v>
      </c>
      <c r="F40472" s="2" t="str">
        <f>HYPERLINK("http://www.otzar.org/book.asp?619164","שו""ת הר""ן &lt;דפו""ר&gt; - 2 כר'")</f>
        <v>שו"ת הר"ן &lt;דפו"ר&gt; - 2 כר'</v>
      </c>
    </row>
    <row r="40473" spans="1:6" x14ac:dyDescent="0.2">
      <c r="A40473" t="s">
        <v>61769</v>
      </c>
      <c r="B40473" t="s">
        <v>16964</v>
      </c>
      <c r="C40473" t="s">
        <v>8923</v>
      </c>
      <c r="D40473" t="s">
        <v>1667</v>
      </c>
      <c r="F40473" s="2" t="str">
        <f>HYPERLINK("http://www.otzar.org/book.asp?170174","שו""ת הר""ן - 4 כר'")</f>
        <v>שו"ת הר"ן - 4 כר'</v>
      </c>
    </row>
    <row r="40474" spans="1:6" x14ac:dyDescent="0.2">
      <c r="A40474" t="s">
        <v>61770</v>
      </c>
      <c r="B40474" t="s">
        <v>4617</v>
      </c>
      <c r="C40474" t="s">
        <v>35468</v>
      </c>
      <c r="D40474" t="s">
        <v>1490</v>
      </c>
      <c r="F40474" s="2" t="str">
        <f>HYPERLINK("http://www.otzar.org/book.asp?164864","שו""ת הרא""ש &lt;דפו""ר&gt;")</f>
        <v>שו"ת הרא"ש &lt;דפו"ר&gt;</v>
      </c>
    </row>
    <row r="40475" spans="1:6" x14ac:dyDescent="0.2">
      <c r="A40475" t="s">
        <v>61771</v>
      </c>
      <c r="B40475" t="s">
        <v>61772</v>
      </c>
      <c r="C40475" t="s">
        <v>728</v>
      </c>
      <c r="D40475" t="s">
        <v>267</v>
      </c>
      <c r="E40475" t="s">
        <v>154</v>
      </c>
      <c r="F40475" s="2" t="str">
        <f>HYPERLINK("http://www.otzar.org/book.asp?17053","שו""ת הרא""ש &lt;מתוך קרני ראם&gt;")</f>
        <v>שו"ת הרא"ש &lt;מתוך קרני ראם&gt;</v>
      </c>
    </row>
    <row r="40476" spans="1:6" x14ac:dyDescent="0.2">
      <c r="A40476" t="s">
        <v>61773</v>
      </c>
      <c r="B40476" t="s">
        <v>4617</v>
      </c>
      <c r="C40476" t="s">
        <v>11127</v>
      </c>
      <c r="D40476" t="s">
        <v>60</v>
      </c>
      <c r="E40476" t="s">
        <v>154</v>
      </c>
      <c r="F40476" s="2" t="str">
        <f>HYPERLINK("http://www.otzar.org/book.asp?101460","שו""ת הרא""ש - 3 כר'")</f>
        <v>שו"ת הרא"ש - 3 כר'</v>
      </c>
    </row>
    <row r="40477" spans="1:6" x14ac:dyDescent="0.2">
      <c r="A40477" t="s">
        <v>61774</v>
      </c>
      <c r="B40477" t="s">
        <v>20370</v>
      </c>
      <c r="C40477" t="s">
        <v>12754</v>
      </c>
      <c r="D40477" t="s">
        <v>1490</v>
      </c>
      <c r="F40477" s="2" t="str">
        <f>HYPERLINK("http://www.otzar.org/book.asp?614527","שו""ת הראנ""ח - 6 כר'")</f>
        <v>שו"ת הראנ"ח - 6 כר'</v>
      </c>
    </row>
    <row r="40478" spans="1:6" x14ac:dyDescent="0.2">
      <c r="A40478" t="s">
        <v>61775</v>
      </c>
      <c r="B40478" t="s">
        <v>14827</v>
      </c>
      <c r="C40478" t="s">
        <v>422</v>
      </c>
      <c r="D40478" t="s">
        <v>14</v>
      </c>
      <c r="E40478" t="s">
        <v>154</v>
      </c>
      <c r="F40478" s="2" t="str">
        <f>HYPERLINK("http://www.otzar.org/book.asp?168477","שו""ת הרב הראשי - 2 כר'")</f>
        <v>שו"ת הרב הראשי - 2 כר'</v>
      </c>
    </row>
    <row r="40479" spans="1:6" x14ac:dyDescent="0.2">
      <c r="A40479" t="s">
        <v>61776</v>
      </c>
      <c r="B40479" t="s">
        <v>61777</v>
      </c>
      <c r="C40479" t="s">
        <v>61778</v>
      </c>
      <c r="D40479" t="s">
        <v>283</v>
      </c>
      <c r="E40479" t="s">
        <v>10711</v>
      </c>
      <c r="F40479" s="2" t="str">
        <f>HYPERLINK("http://www.otzar.org/book.asp?9432","שו""ת הרב""ז - 3 כר'")</f>
        <v>שו"ת הרב"ז - 3 כר'</v>
      </c>
    </row>
    <row r="40480" spans="1:6" x14ac:dyDescent="0.2">
      <c r="A40480" t="s">
        <v>61779</v>
      </c>
      <c r="B40480" t="s">
        <v>93</v>
      </c>
      <c r="C40480" t="s">
        <v>989</v>
      </c>
      <c r="D40480" t="s">
        <v>14</v>
      </c>
      <c r="E40480" t="s">
        <v>61780</v>
      </c>
      <c r="F40480" s="2" t="str">
        <f>HYPERLINK("http://www.otzar.org/book.asp?10884","שו""ת הרב""ך")</f>
        <v>שו"ת הרב"ך</v>
      </c>
    </row>
    <row r="40481" spans="1:6" x14ac:dyDescent="0.2">
      <c r="A40481" t="s">
        <v>61781</v>
      </c>
      <c r="B40481" t="s">
        <v>1926</v>
      </c>
      <c r="C40481" t="s">
        <v>888</v>
      </c>
      <c r="D40481" t="s">
        <v>225</v>
      </c>
      <c r="E40481" t="s">
        <v>154</v>
      </c>
      <c r="F40481" s="2" t="str">
        <f>HYPERLINK("http://www.otzar.org/book.asp?9465","שו""ת הרד""ד - 3 כר'")</f>
        <v>שו"ת הרד"ד - 3 כר'</v>
      </c>
    </row>
    <row r="40482" spans="1:6" x14ac:dyDescent="0.2">
      <c r="A40482" t="s">
        <v>61782</v>
      </c>
      <c r="B40482" t="s">
        <v>6277</v>
      </c>
      <c r="C40482" t="s">
        <v>61783</v>
      </c>
      <c r="D40482" t="s">
        <v>855</v>
      </c>
      <c r="E40482" t="s">
        <v>154</v>
      </c>
      <c r="F40482" s="2" t="str">
        <f>HYPERLINK("http://www.otzar.org/book.asp?108329","שו""ת הרד""ם")</f>
        <v>שו"ת הרד"ם</v>
      </c>
    </row>
    <row r="40483" spans="1:6" x14ac:dyDescent="0.2">
      <c r="A40483" t="s">
        <v>61784</v>
      </c>
      <c r="B40483" t="s">
        <v>4303</v>
      </c>
      <c r="C40483" t="s">
        <v>61785</v>
      </c>
      <c r="D40483" t="s">
        <v>95</v>
      </c>
      <c r="E40483" t="s">
        <v>154</v>
      </c>
      <c r="F40483" s="2" t="str">
        <f>HYPERLINK("http://www.otzar.org/book.asp?152907","שו""ת הרדב""ז - 12 כר'")</f>
        <v>שו"ת הרדב"ז - 12 כר'</v>
      </c>
    </row>
    <row r="40484" spans="1:6" x14ac:dyDescent="0.2">
      <c r="A40484" t="s">
        <v>61786</v>
      </c>
      <c r="B40484" t="s">
        <v>61787</v>
      </c>
      <c r="C40484" t="s">
        <v>114</v>
      </c>
      <c r="D40484" t="s">
        <v>14</v>
      </c>
      <c r="E40484" t="s">
        <v>154</v>
      </c>
      <c r="F40484" s="2" t="str">
        <f>HYPERLINK("http://www.otzar.org/book.asp?166151","שו""ת הרי""ח הטוב")</f>
        <v>שו"ת הרי"ח הטוב</v>
      </c>
    </row>
    <row r="40485" spans="1:6" x14ac:dyDescent="0.2">
      <c r="A40485" t="s">
        <v>61788</v>
      </c>
      <c r="B40485" t="s">
        <v>6322</v>
      </c>
      <c r="C40485" t="s">
        <v>1310</v>
      </c>
      <c r="D40485" t="s">
        <v>8579</v>
      </c>
      <c r="E40485" t="s">
        <v>508</v>
      </c>
      <c r="F40485" s="2" t="str">
        <f>HYPERLINK("http://www.otzar.org/book.asp?101768","שו""ת הרי""מ")</f>
        <v>שו"ת הרי"מ</v>
      </c>
    </row>
    <row r="40486" spans="1:6" x14ac:dyDescent="0.2">
      <c r="A40486" t="s">
        <v>61789</v>
      </c>
      <c r="B40486" t="s">
        <v>7913</v>
      </c>
      <c r="C40486" t="s">
        <v>224</v>
      </c>
      <c r="D40486" t="s">
        <v>691</v>
      </c>
      <c r="E40486" t="s">
        <v>396</v>
      </c>
      <c r="F40486" s="2" t="str">
        <f>HYPERLINK("http://www.otzar.org/book.asp?10861","שו""ת הרי""ף - 8 כר'")</f>
        <v>שו"ת הרי"ף - 8 כר'</v>
      </c>
    </row>
    <row r="40487" spans="1:6" x14ac:dyDescent="0.2">
      <c r="A40487" t="s">
        <v>61790</v>
      </c>
      <c r="B40487" t="s">
        <v>61791</v>
      </c>
      <c r="C40487" t="s">
        <v>649</v>
      </c>
      <c r="D40487" t="s">
        <v>1422</v>
      </c>
      <c r="F40487" s="2" t="str">
        <f>HYPERLINK("http://www.otzar.org/book.asp?174335","שו""ת הריב""ד")</f>
        <v>שו"ת הריב"ד</v>
      </c>
    </row>
    <row r="40488" spans="1:6" x14ac:dyDescent="0.2">
      <c r="A40488" t="s">
        <v>61792</v>
      </c>
      <c r="B40488" t="s">
        <v>713</v>
      </c>
      <c r="C40488" t="s">
        <v>462</v>
      </c>
      <c r="D40488" t="s">
        <v>379</v>
      </c>
      <c r="E40488" t="s">
        <v>154</v>
      </c>
      <c r="F40488" s="2" t="str">
        <f>HYPERLINK("http://www.otzar.org/book.asp?105249","שו""ת הריב""ם")</f>
        <v>שו"ת הריב"ם</v>
      </c>
    </row>
    <row r="40489" spans="1:6" x14ac:dyDescent="0.2">
      <c r="A40489" t="s">
        <v>61793</v>
      </c>
      <c r="B40489" t="s">
        <v>61794</v>
      </c>
      <c r="C40489" t="s">
        <v>1663</v>
      </c>
      <c r="D40489" t="s">
        <v>27</v>
      </c>
      <c r="E40489" t="s">
        <v>154</v>
      </c>
      <c r="F40489" s="2" t="str">
        <f>HYPERLINK("http://www.otzar.org/book.asp?10877","שו""ת הריב""ש החדשות - 2 כר'")</f>
        <v>שו"ת הריב"ש החדשות - 2 כר'</v>
      </c>
    </row>
    <row r="40490" spans="1:6" x14ac:dyDescent="0.2">
      <c r="A40490" t="s">
        <v>61795</v>
      </c>
      <c r="B40490" t="s">
        <v>61794</v>
      </c>
      <c r="C40490" t="s">
        <v>41107</v>
      </c>
      <c r="D40490" t="s">
        <v>13372</v>
      </c>
      <c r="F40490" s="2" t="str">
        <f>HYPERLINK("http://www.otzar.org/book.asp?170279","שו""ת הריב""ש - 3 כר'")</f>
        <v>שו"ת הריב"ש - 3 כר'</v>
      </c>
    </row>
    <row r="40491" spans="1:6" x14ac:dyDescent="0.2">
      <c r="A40491" t="s">
        <v>61796</v>
      </c>
      <c r="B40491" t="s">
        <v>16795</v>
      </c>
      <c r="C40491" t="s">
        <v>16450</v>
      </c>
      <c r="D40491" t="s">
        <v>283</v>
      </c>
      <c r="E40491" t="s">
        <v>154</v>
      </c>
      <c r="F40491" s="2" t="str">
        <f>HYPERLINK("http://www.otzar.org/book.asp?5372","שו""ת הרמ""א - 2 כר'")</f>
        <v>שו"ת הרמ"א - 2 כר'</v>
      </c>
    </row>
    <row r="40492" spans="1:6" x14ac:dyDescent="0.2">
      <c r="A40492" t="s">
        <v>61797</v>
      </c>
      <c r="B40492" t="s">
        <v>1314</v>
      </c>
      <c r="C40492" t="s">
        <v>17</v>
      </c>
      <c r="D40492" t="s">
        <v>21168</v>
      </c>
      <c r="E40492" t="s">
        <v>154</v>
      </c>
      <c r="F40492" s="2" t="str">
        <f>HYPERLINK("http://www.otzar.org/book.asp?143865","שו""ת הרמ""ז - 2 כר'")</f>
        <v>שו"ת הרמ"ז - 2 כר'</v>
      </c>
    </row>
    <row r="40493" spans="1:6" x14ac:dyDescent="0.2">
      <c r="A40493" t="s">
        <v>61798</v>
      </c>
      <c r="B40493" t="s">
        <v>6040</v>
      </c>
      <c r="C40493" t="s">
        <v>129</v>
      </c>
      <c r="D40493" t="s">
        <v>14</v>
      </c>
      <c r="E40493" t="s">
        <v>154</v>
      </c>
      <c r="F40493" s="2" t="str">
        <f>HYPERLINK("http://www.otzar.org/book.asp?64078","שו""ת הרמ""ע מפאנו השלם &lt;מהדורת ישמח לב&gt;")</f>
        <v>שו"ת הרמ"ע מפאנו השלם &lt;מהדורת ישמח לב&gt;</v>
      </c>
    </row>
    <row r="40494" spans="1:6" x14ac:dyDescent="0.2">
      <c r="A40494" t="s">
        <v>61799</v>
      </c>
      <c r="B40494" t="s">
        <v>6040</v>
      </c>
      <c r="C40494" t="s">
        <v>26</v>
      </c>
      <c r="D40494" t="s">
        <v>14</v>
      </c>
      <c r="E40494" t="s">
        <v>61800</v>
      </c>
      <c r="F40494" s="2" t="str">
        <f>HYPERLINK("http://www.otzar.org/book.asp?10842","שו""ת הרמ""ע מפאנו - 4 כר'")</f>
        <v>שו"ת הרמ"ע מפאנו - 4 כר'</v>
      </c>
    </row>
    <row r="40495" spans="1:6" x14ac:dyDescent="0.2">
      <c r="A40495" t="s">
        <v>61801</v>
      </c>
      <c r="B40495" t="s">
        <v>61802</v>
      </c>
      <c r="C40495" t="s">
        <v>1954</v>
      </c>
      <c r="D40495" t="s">
        <v>216</v>
      </c>
      <c r="E40495" t="s">
        <v>21705</v>
      </c>
      <c r="F40495" s="2" t="str">
        <f>HYPERLINK("http://www.otzar.org/book.asp?158154","שו""ת הרמב""ם ובנו רבנו אברהם")</f>
        <v>שו"ת הרמב"ם ובנו רבנו אברהם</v>
      </c>
    </row>
    <row r="40496" spans="1:6" x14ac:dyDescent="0.2">
      <c r="A40496" t="s">
        <v>61803</v>
      </c>
      <c r="B40496" t="s">
        <v>61804</v>
      </c>
      <c r="C40496" t="s">
        <v>87</v>
      </c>
      <c r="D40496" t="s">
        <v>118</v>
      </c>
      <c r="F40496" s="2" t="str">
        <f>HYPERLINK("http://www.otzar.org/book.asp?157479","שו""ת הרש""ז")</f>
        <v>שו"ת הרש"ז</v>
      </c>
    </row>
    <row r="40497" spans="1:6" x14ac:dyDescent="0.2">
      <c r="A40497" t="s">
        <v>61805</v>
      </c>
      <c r="B40497" t="s">
        <v>24561</v>
      </c>
      <c r="C40497" t="s">
        <v>11232</v>
      </c>
      <c r="D40497" t="s">
        <v>61806</v>
      </c>
      <c r="F40497" s="2" t="str">
        <f>HYPERLINK("http://www.otzar.org/book.asp?622195","שו""ת הרשב""א - 13 כר'")</f>
        <v>שו"ת הרשב"א - 13 כר'</v>
      </c>
    </row>
    <row r="40498" spans="1:6" x14ac:dyDescent="0.2">
      <c r="A40498" t="s">
        <v>61807</v>
      </c>
      <c r="B40498" t="s">
        <v>61808</v>
      </c>
      <c r="C40498" t="s">
        <v>286</v>
      </c>
      <c r="D40498" t="s">
        <v>56</v>
      </c>
      <c r="E40498" t="s">
        <v>154</v>
      </c>
      <c r="F40498" s="2" t="str">
        <f>HYPERLINK("http://www.otzar.org/book.asp?11679","שו""ת הרשב""א, קובץ הערות - 2 כר'")</f>
        <v>שו"ת הרשב"א, קובץ הערות - 2 כר'</v>
      </c>
    </row>
    <row r="40499" spans="1:6" x14ac:dyDescent="0.2">
      <c r="A40499" t="s">
        <v>61809</v>
      </c>
      <c r="B40499" t="s">
        <v>34564</v>
      </c>
      <c r="C40499" t="s">
        <v>1863</v>
      </c>
      <c r="D40499" t="s">
        <v>212</v>
      </c>
      <c r="E40499" t="s">
        <v>10</v>
      </c>
      <c r="F40499" s="2" t="str">
        <f>HYPERLINK("http://www.otzar.org/book.asp?51355","שו""ת הרשב""ש")</f>
        <v>שו"ת הרשב"ש</v>
      </c>
    </row>
    <row r="40500" spans="1:6" x14ac:dyDescent="0.2">
      <c r="A40500" t="s">
        <v>61810</v>
      </c>
      <c r="B40500" t="s">
        <v>61811</v>
      </c>
      <c r="C40500" t="s">
        <v>99</v>
      </c>
      <c r="D40500" t="s">
        <v>30</v>
      </c>
      <c r="E40500" t="s">
        <v>154</v>
      </c>
      <c r="F40500" s="2" t="str">
        <f>HYPERLINK("http://www.otzar.org/book.asp?21416","שו""ת הרשבי""ד")</f>
        <v>שו"ת הרשבי"ד</v>
      </c>
    </row>
    <row r="40501" spans="1:6" x14ac:dyDescent="0.2">
      <c r="A40501" t="s">
        <v>61812</v>
      </c>
      <c r="B40501" t="s">
        <v>255</v>
      </c>
      <c r="C40501" t="s">
        <v>189</v>
      </c>
      <c r="D40501" t="s">
        <v>14</v>
      </c>
      <c r="F40501" s="2" t="str">
        <f>HYPERLINK("http://www.otzar.org/book.asp?152677","שו""ת השבי""ט - 8 כר'")</f>
        <v>שו"ת השבי"ט - 8 כר'</v>
      </c>
    </row>
    <row r="40502" spans="1:6" x14ac:dyDescent="0.2">
      <c r="A40502" t="s">
        <v>61813</v>
      </c>
      <c r="B40502" t="s">
        <v>17938</v>
      </c>
      <c r="C40502" t="s">
        <v>244</v>
      </c>
      <c r="D40502" t="s">
        <v>61814</v>
      </c>
      <c r="F40502" s="2" t="str">
        <f>HYPERLINK("http://www.otzar.org/book.asp?198760","שו""ת השואל - 3 כר'")</f>
        <v>שו"ת השואל - 3 כר'</v>
      </c>
    </row>
    <row r="40503" spans="1:6" x14ac:dyDescent="0.2">
      <c r="A40503" t="s">
        <v>61815</v>
      </c>
      <c r="B40503" t="s">
        <v>24134</v>
      </c>
      <c r="C40503" t="s">
        <v>244</v>
      </c>
      <c r="D40503" t="s">
        <v>21</v>
      </c>
      <c r="F40503" s="2" t="str">
        <f>HYPERLINK("http://www.otzar.org/book.asp?615222","שו""ת התניא - 3 כר'")</f>
        <v>שו"ת התניא - 3 כר'</v>
      </c>
    </row>
    <row r="40504" spans="1:6" x14ac:dyDescent="0.2">
      <c r="A40504" t="s">
        <v>61816</v>
      </c>
      <c r="B40504" t="s">
        <v>61817</v>
      </c>
      <c r="C40504" t="s">
        <v>956</v>
      </c>
      <c r="D40504" t="s">
        <v>412</v>
      </c>
      <c r="E40504" t="s">
        <v>2572</v>
      </c>
      <c r="F40504" s="2" t="str">
        <f>HYPERLINK("http://www.otzar.org/book.asp?9498","שו""ת וחידושי מהר""י שטייף")</f>
        <v>שו"ת וחידושי מהר"י שטייף</v>
      </c>
    </row>
    <row r="40505" spans="1:6" x14ac:dyDescent="0.2">
      <c r="A40505" t="s">
        <v>61818</v>
      </c>
      <c r="B40505" t="s">
        <v>61819</v>
      </c>
      <c r="C40505" t="s">
        <v>576</v>
      </c>
      <c r="D40505" t="s">
        <v>535</v>
      </c>
      <c r="E40505" t="s">
        <v>154</v>
      </c>
      <c r="F40505" s="2" t="str">
        <f>HYPERLINK("http://www.otzar.org/book.asp?300208","שו""ת וחידושי מוהרא""ל")</f>
        <v>שו"ת וחידושי מוהרא"ל</v>
      </c>
    </row>
    <row r="40506" spans="1:6" x14ac:dyDescent="0.2">
      <c r="A40506" t="s">
        <v>61820</v>
      </c>
      <c r="B40506" t="s">
        <v>61821</v>
      </c>
      <c r="C40506" t="s">
        <v>68</v>
      </c>
      <c r="D40506" t="s">
        <v>14</v>
      </c>
      <c r="E40506" t="s">
        <v>154</v>
      </c>
      <c r="F40506" s="2" t="str">
        <f>HYPERLINK("http://www.otzar.org/book.asp?166921","שו""ת וחידושי רבי דוד צבאח ובית דינו")</f>
        <v>שו"ת וחידושי רבי דוד צבאח ובית דינו</v>
      </c>
    </row>
    <row r="40507" spans="1:6" x14ac:dyDescent="0.2">
      <c r="A40507" t="s">
        <v>61822</v>
      </c>
      <c r="B40507" t="s">
        <v>1385</v>
      </c>
      <c r="C40507" t="s">
        <v>160</v>
      </c>
      <c r="D40507" t="s">
        <v>14</v>
      </c>
      <c r="E40507" t="s">
        <v>154</v>
      </c>
      <c r="F40507" s="2" t="str">
        <f>HYPERLINK("http://www.otzar.org/book.asp?155403","שו""ת וחידושי רבי עקיבא איגר")</f>
        <v>שו"ת וחידושי רבי עקיבא איגר</v>
      </c>
    </row>
    <row r="40508" spans="1:6" x14ac:dyDescent="0.2">
      <c r="A40508" t="s">
        <v>61823</v>
      </c>
      <c r="B40508" t="s">
        <v>305</v>
      </c>
      <c r="C40508" t="s">
        <v>624</v>
      </c>
      <c r="D40508" t="s">
        <v>21</v>
      </c>
      <c r="E40508" t="s">
        <v>154</v>
      </c>
      <c r="F40508" s="2" t="str">
        <f>HYPERLINK("http://www.otzar.org/book.asp?198241","שו""ת וחידושי רבינו שלמה קלוגר")</f>
        <v>שו"ת וחידושי רבינו שלמה קלוגר</v>
      </c>
    </row>
    <row r="40509" spans="1:6" x14ac:dyDescent="0.2">
      <c r="A40509" t="s">
        <v>61824</v>
      </c>
      <c r="B40509" t="s">
        <v>17047</v>
      </c>
      <c r="C40509" t="s">
        <v>940</v>
      </c>
      <c r="D40509" t="s">
        <v>52</v>
      </c>
      <c r="E40509" t="s">
        <v>30979</v>
      </c>
      <c r="F40509" s="2" t="str">
        <f>HYPERLINK("http://www.otzar.org/book.asp?8775","שו""ת וחידושי רבנו יוסף נחמיה")</f>
        <v>שו"ת וחידושי רבנו יוסף נחמיה</v>
      </c>
    </row>
    <row r="40510" spans="1:6" x14ac:dyDescent="0.2">
      <c r="A40510" t="s">
        <v>61825</v>
      </c>
      <c r="B40510" t="s">
        <v>15746</v>
      </c>
      <c r="C40510" t="s">
        <v>244</v>
      </c>
      <c r="D40510" t="s">
        <v>52</v>
      </c>
      <c r="F40510" s="2" t="str">
        <f>HYPERLINK("http://www.otzar.org/book.asp?197972","שו""ת וילן בעמק - חו""מ א")</f>
        <v>שו"ת וילן בעמק - חו"מ א</v>
      </c>
    </row>
    <row r="40511" spans="1:6" x14ac:dyDescent="0.2">
      <c r="A40511" t="s">
        <v>61826</v>
      </c>
      <c r="B40511" t="s">
        <v>61827</v>
      </c>
      <c r="C40511" t="s">
        <v>68</v>
      </c>
      <c r="D40511" t="s">
        <v>1180</v>
      </c>
      <c r="E40511" t="s">
        <v>154</v>
      </c>
      <c r="F40511" s="2" t="str">
        <f>HYPERLINK("http://www.otzar.org/book.asp?627512","שו""ת ויען אברהם - יו""ד א")</f>
        <v>שו"ת ויען אברהם - יו"ד א</v>
      </c>
    </row>
    <row r="40512" spans="1:6" x14ac:dyDescent="0.2">
      <c r="A40512" t="s">
        <v>61828</v>
      </c>
      <c r="B40512" t="s">
        <v>25496</v>
      </c>
      <c r="C40512" t="s">
        <v>989</v>
      </c>
      <c r="D40512" t="s">
        <v>14</v>
      </c>
      <c r="E40512" t="s">
        <v>791</v>
      </c>
      <c r="F40512" s="2" t="str">
        <f>HYPERLINK("http://www.otzar.org/book.asp?10883","שו""ת ופסקי מהרי""ק החדשים - 2 כר'")</f>
        <v>שו"ת ופסקי מהרי"ק החדשים - 2 כר'</v>
      </c>
    </row>
    <row r="40513" spans="1:6" x14ac:dyDescent="0.2">
      <c r="A40513" t="s">
        <v>61829</v>
      </c>
      <c r="B40513" t="s">
        <v>10000</v>
      </c>
      <c r="C40513" t="s">
        <v>146</v>
      </c>
      <c r="D40513" t="s">
        <v>14</v>
      </c>
      <c r="E40513" t="s">
        <v>172</v>
      </c>
      <c r="F40513" s="2" t="str">
        <f>HYPERLINK("http://www.otzar.org/book.asp?182628","שו""ת ושננתם - 3 כר'")</f>
        <v>שו"ת ושננתם - 3 כר'</v>
      </c>
    </row>
    <row r="40514" spans="1:6" x14ac:dyDescent="0.2">
      <c r="A40514" t="s">
        <v>61830</v>
      </c>
      <c r="B40514" t="s">
        <v>61831</v>
      </c>
      <c r="C40514" t="s">
        <v>87</v>
      </c>
      <c r="D40514" t="s">
        <v>19689</v>
      </c>
      <c r="E40514" t="s">
        <v>10</v>
      </c>
      <c r="F40514" s="2" t="str">
        <f>HYPERLINK("http://www.otzar.org/book.asp?606716","שו""ת זכרון בספר")</f>
        <v>שו"ת זכרון בספר</v>
      </c>
    </row>
    <row r="40515" spans="1:6" x14ac:dyDescent="0.2">
      <c r="A40515" t="s">
        <v>61832</v>
      </c>
      <c r="B40515" t="s">
        <v>61833</v>
      </c>
      <c r="C40515" t="s">
        <v>68</v>
      </c>
      <c r="D40515" t="s">
        <v>412</v>
      </c>
      <c r="E40515" t="s">
        <v>154</v>
      </c>
      <c r="F40515" s="2" t="str">
        <f>HYPERLINK("http://www.otzar.org/book.asp?179250","שו""ת זרע יעקב - 2 כר'")</f>
        <v>שו"ת זרע יעקב - 2 כר'</v>
      </c>
    </row>
    <row r="40516" spans="1:6" x14ac:dyDescent="0.2">
      <c r="A40516" t="s">
        <v>61834</v>
      </c>
      <c r="B40516" t="s">
        <v>1385</v>
      </c>
      <c r="C40516" t="s">
        <v>812</v>
      </c>
      <c r="D40516" t="s">
        <v>974</v>
      </c>
      <c r="E40516" t="s">
        <v>508</v>
      </c>
      <c r="F40516" s="2" t="str">
        <f>HYPERLINK("http://www.otzar.org/book.asp?104806","שו""ת חדשות &lt;רעק""א&gt;")</f>
        <v>שו"ת חדשות &lt;רעק"א&gt;</v>
      </c>
    </row>
    <row r="40517" spans="1:6" x14ac:dyDescent="0.2">
      <c r="A40517" t="s">
        <v>61835</v>
      </c>
      <c r="B40517" t="s">
        <v>61836</v>
      </c>
      <c r="C40517" t="s">
        <v>103</v>
      </c>
      <c r="D40517" t="s">
        <v>412</v>
      </c>
      <c r="E40517" t="s">
        <v>345</v>
      </c>
      <c r="F40517" s="2" t="str">
        <f>HYPERLINK("http://www.otzar.org/book.asp?183041","שו""ת חיי אברהם - 2 כר'")</f>
        <v>שו"ת חיי אברהם - 2 כר'</v>
      </c>
    </row>
    <row r="40518" spans="1:6" x14ac:dyDescent="0.2">
      <c r="A40518" t="s">
        <v>61837</v>
      </c>
      <c r="B40518" t="s">
        <v>61838</v>
      </c>
      <c r="C40518" t="s">
        <v>4144</v>
      </c>
      <c r="D40518" t="s">
        <v>283</v>
      </c>
      <c r="E40518" t="s">
        <v>154</v>
      </c>
      <c r="F40518" s="2" t="str">
        <f>HYPERLINK("http://www.otzar.org/book.asp?18809","שו""ת חלקי י""מ - 2 כר'")</f>
        <v>שו"ת חלקי י"מ - 2 כר'</v>
      </c>
    </row>
    <row r="40519" spans="1:6" x14ac:dyDescent="0.2">
      <c r="A40519" t="s">
        <v>61839</v>
      </c>
      <c r="B40519" t="s">
        <v>20897</v>
      </c>
      <c r="C40519" t="s">
        <v>63</v>
      </c>
      <c r="D40519" t="s">
        <v>412</v>
      </c>
      <c r="E40519" t="s">
        <v>154</v>
      </c>
      <c r="F40519" s="2" t="str">
        <f>HYPERLINK("http://www.otzar.org/book.asp?24722","שו""ת חקל יצחק")</f>
        <v>שו"ת חקל יצחק</v>
      </c>
    </row>
    <row r="40520" spans="1:6" x14ac:dyDescent="0.2">
      <c r="A40520" t="s">
        <v>61840</v>
      </c>
      <c r="B40520" t="s">
        <v>9734</v>
      </c>
      <c r="C40520" t="s">
        <v>189</v>
      </c>
      <c r="D40520" t="s">
        <v>52</v>
      </c>
      <c r="E40520" t="s">
        <v>154</v>
      </c>
      <c r="F40520" s="2" t="str">
        <f>HYPERLINK("http://www.otzar.org/book.asp?26402","שו""ת יוסף דעת - א")</f>
        <v>שו"ת יוסף דעת - א</v>
      </c>
    </row>
    <row r="40521" spans="1:6" x14ac:dyDescent="0.2">
      <c r="A40521" t="s">
        <v>61841</v>
      </c>
      <c r="B40521" t="s">
        <v>61842</v>
      </c>
      <c r="C40521" t="s">
        <v>20</v>
      </c>
      <c r="D40521" t="s">
        <v>147</v>
      </c>
      <c r="E40521" t="s">
        <v>154</v>
      </c>
      <c r="F40521" s="2" t="str">
        <f>HYPERLINK("http://www.otzar.org/book.asp?172076","שו""ת יפתח ה' - 12 כר'")</f>
        <v>שו"ת יפתח ה' - 12 כר'</v>
      </c>
    </row>
    <row r="40522" spans="1:6" x14ac:dyDescent="0.2">
      <c r="A40522" t="s">
        <v>61843</v>
      </c>
      <c r="B40522" t="s">
        <v>11484</v>
      </c>
      <c r="C40522" t="s">
        <v>1778</v>
      </c>
      <c r="D40522" t="s">
        <v>1490</v>
      </c>
      <c r="E40522" t="s">
        <v>154</v>
      </c>
      <c r="F40522" s="2" t="str">
        <f>HYPERLINK("http://www.otzar.org/book.asp?101878","שו""ת כנסת הגדולה")</f>
        <v>שו"ת כנסת הגדולה</v>
      </c>
    </row>
    <row r="40523" spans="1:6" x14ac:dyDescent="0.2">
      <c r="A40523" t="s">
        <v>61844</v>
      </c>
      <c r="B40523" t="s">
        <v>31145</v>
      </c>
      <c r="C40523" t="s">
        <v>1640</v>
      </c>
      <c r="D40523" t="s">
        <v>14</v>
      </c>
      <c r="E40523" t="s">
        <v>154</v>
      </c>
      <c r="F40523" s="2" t="str">
        <f>HYPERLINK("http://www.otzar.org/book.asp?173344","שו""ת כנסת יהושע")</f>
        <v>שו"ת כנסת יהושע</v>
      </c>
    </row>
    <row r="40524" spans="1:6" x14ac:dyDescent="0.2">
      <c r="A40524" t="s">
        <v>61845</v>
      </c>
      <c r="B40524" t="s">
        <v>24561</v>
      </c>
      <c r="C40524" t="s">
        <v>250</v>
      </c>
      <c r="D40524" t="s">
        <v>267</v>
      </c>
      <c r="E40524" t="s">
        <v>154</v>
      </c>
      <c r="F40524" s="2" t="str">
        <f>HYPERLINK("http://www.otzar.org/book.asp?103922","שו""ת להרשב""א - 3 כר'")</f>
        <v>שו"ת להרשב"א - 3 כר'</v>
      </c>
    </row>
    <row r="40525" spans="1:6" x14ac:dyDescent="0.2">
      <c r="A40525" t="s">
        <v>61846</v>
      </c>
      <c r="B40525" t="s">
        <v>61847</v>
      </c>
      <c r="C40525" t="s">
        <v>360</v>
      </c>
      <c r="D40525" t="s">
        <v>947</v>
      </c>
      <c r="E40525" t="s">
        <v>154</v>
      </c>
      <c r="F40525" s="2" t="str">
        <f>HYPERLINK("http://www.otzar.org/book.asp?51521","שו""ת לחם מצה")</f>
        <v>שו"ת לחם מצה</v>
      </c>
    </row>
    <row r="40526" spans="1:6" x14ac:dyDescent="0.2">
      <c r="A40526" t="s">
        <v>61848</v>
      </c>
      <c r="B40526" t="s">
        <v>10819</v>
      </c>
      <c r="C40526" t="s">
        <v>103</v>
      </c>
      <c r="D40526" t="s">
        <v>14</v>
      </c>
      <c r="E40526" t="s">
        <v>10</v>
      </c>
      <c r="F40526" s="2" t="str">
        <f>HYPERLINK("http://www.otzar.org/book.asp?52929","שו""ת לחפץ בחיים")</f>
        <v>שו"ת לחפץ בחיים</v>
      </c>
    </row>
    <row r="40527" spans="1:6" x14ac:dyDescent="0.2">
      <c r="A40527" t="s">
        <v>61849</v>
      </c>
      <c r="B40527" t="s">
        <v>1440</v>
      </c>
      <c r="C40527" t="s">
        <v>568</v>
      </c>
      <c r="D40527" t="s">
        <v>267</v>
      </c>
      <c r="E40527" t="s">
        <v>154</v>
      </c>
      <c r="F40527" s="2" t="str">
        <f>HYPERLINK("http://www.otzar.org/book.asp?12127","שו""ת מבי""ט")</f>
        <v>שו"ת מבי"ט</v>
      </c>
    </row>
    <row r="40528" spans="1:6" x14ac:dyDescent="0.2">
      <c r="A40528" t="s">
        <v>61850</v>
      </c>
      <c r="B40528" t="s">
        <v>61851</v>
      </c>
      <c r="C40528" t="s">
        <v>129</v>
      </c>
      <c r="D40528" t="s">
        <v>657</v>
      </c>
      <c r="E40528" t="s">
        <v>684</v>
      </c>
      <c r="F40528" s="2" t="str">
        <f>HYPERLINK("http://www.otzar.org/book.asp?62857","שו""ת מבית ישראל")</f>
        <v>שו"ת מבית ישראל</v>
      </c>
    </row>
    <row r="40529" spans="1:6" x14ac:dyDescent="0.2">
      <c r="A40529" t="s">
        <v>61852</v>
      </c>
      <c r="B40529" t="s">
        <v>61853</v>
      </c>
      <c r="C40529" t="s">
        <v>133</v>
      </c>
      <c r="D40529" t="s">
        <v>412</v>
      </c>
      <c r="E40529" t="s">
        <v>154</v>
      </c>
      <c r="F40529" s="2" t="str">
        <f>HYPERLINK("http://www.otzar.org/book.asp?603432","שו""ת מגידות &lt;מגד יהודה&gt; - 2 כר'")</f>
        <v>שו"ת מגידות &lt;מגד יהודה&gt; - 2 כר'</v>
      </c>
    </row>
    <row r="40530" spans="1:6" x14ac:dyDescent="0.2">
      <c r="A40530" t="s">
        <v>61854</v>
      </c>
      <c r="B40530" t="s">
        <v>36002</v>
      </c>
      <c r="C40530" t="s">
        <v>20</v>
      </c>
      <c r="D40530" t="s">
        <v>21</v>
      </c>
      <c r="E40530" t="s">
        <v>154</v>
      </c>
      <c r="F40530" s="2" t="str">
        <f>HYPERLINK("http://www.otzar.org/book.asp?193698","שו""ת מה שתשיב")</f>
        <v>שו"ת מה שתשיב</v>
      </c>
    </row>
    <row r="40531" spans="1:6" x14ac:dyDescent="0.2">
      <c r="A40531" t="s">
        <v>61855</v>
      </c>
      <c r="B40531" t="s">
        <v>46367</v>
      </c>
      <c r="C40531" t="s">
        <v>800</v>
      </c>
      <c r="D40531" t="s">
        <v>1037</v>
      </c>
      <c r="E40531" t="s">
        <v>154</v>
      </c>
      <c r="F40531" s="2" t="str">
        <f>HYPERLINK("http://www.otzar.org/book.asp?6528","שו""ת מהר""ח אור זרוע")</f>
        <v>שו"ת מהר"ח אור זרוע</v>
      </c>
    </row>
    <row r="40532" spans="1:6" x14ac:dyDescent="0.2">
      <c r="A40532" t="s">
        <v>61856</v>
      </c>
      <c r="B40532" t="s">
        <v>6885</v>
      </c>
      <c r="C40532" t="s">
        <v>356</v>
      </c>
      <c r="D40532" t="s">
        <v>14</v>
      </c>
      <c r="E40532" t="s">
        <v>154</v>
      </c>
      <c r="F40532" s="2" t="str">
        <f>HYPERLINK("http://www.otzar.org/book.asp?10886","שו""ת מהר""י אלגאזי")</f>
        <v>שו"ת מהר"י אלגאזי</v>
      </c>
    </row>
    <row r="40533" spans="1:6" x14ac:dyDescent="0.2">
      <c r="A40533" t="s">
        <v>61857</v>
      </c>
      <c r="B40533" t="s">
        <v>61858</v>
      </c>
      <c r="C40533" t="s">
        <v>617</v>
      </c>
      <c r="D40533" t="s">
        <v>379</v>
      </c>
      <c r="E40533" t="s">
        <v>2509</v>
      </c>
      <c r="F40533" s="2" t="str">
        <f>HYPERLINK("http://www.otzar.org/book.asp?10004","שו""ת מהר""י אשכנזי")</f>
        <v>שו"ת מהר"י אשכנזי</v>
      </c>
    </row>
    <row r="40534" spans="1:6" x14ac:dyDescent="0.2">
      <c r="A40534" t="s">
        <v>61859</v>
      </c>
      <c r="B40534" t="s">
        <v>61860</v>
      </c>
      <c r="C40534" t="s">
        <v>146</v>
      </c>
      <c r="D40534" t="s">
        <v>14</v>
      </c>
      <c r="E40534" t="s">
        <v>154</v>
      </c>
      <c r="F40534" s="2" t="str">
        <f>HYPERLINK("http://www.otzar.org/book.asp?152296","שו""ת מהר""י באסן &lt;מכון הכתב&gt;")</f>
        <v>שו"ת מהר"י באסן &lt;מכון הכתב&gt;</v>
      </c>
    </row>
    <row r="40535" spans="1:6" x14ac:dyDescent="0.2">
      <c r="A40535" t="s">
        <v>61861</v>
      </c>
      <c r="B40535" t="s">
        <v>61862</v>
      </c>
      <c r="C40535" t="s">
        <v>2236</v>
      </c>
      <c r="D40535" t="s">
        <v>1490</v>
      </c>
      <c r="E40535" t="s">
        <v>154</v>
      </c>
      <c r="F40535" s="2" t="str">
        <f>HYPERLINK("http://www.otzar.org/book.asp?10871","שו""ת מהר""י באסן")</f>
        <v>שו"ת מהר"י באסן</v>
      </c>
    </row>
    <row r="40536" spans="1:6" x14ac:dyDescent="0.2">
      <c r="A40536" t="s">
        <v>61863</v>
      </c>
      <c r="B40536" t="s">
        <v>10199</v>
      </c>
      <c r="C40536" t="s">
        <v>1609</v>
      </c>
      <c r="D40536" t="s">
        <v>27</v>
      </c>
      <c r="E40536" t="s">
        <v>10711</v>
      </c>
      <c r="F40536" s="2" t="str">
        <f>HYPERLINK("http://www.otzar.org/book.asp?10890","שו""ת מהר""י בירב - 2 כר'")</f>
        <v>שו"ת מהר"י בירב - 2 כר'</v>
      </c>
    </row>
    <row r="40537" spans="1:6" x14ac:dyDescent="0.2">
      <c r="A40537" t="s">
        <v>61864</v>
      </c>
      <c r="B40537" t="s">
        <v>25357</v>
      </c>
      <c r="C40537" t="s">
        <v>1670</v>
      </c>
      <c r="D40537" t="s">
        <v>1667</v>
      </c>
      <c r="F40537" s="2" t="str">
        <f>HYPERLINK("http://www.otzar.org/book.asp?153124","שו""ת מהר""י בן לב &lt;דפו""ר&gt; - 4 כר'")</f>
        <v>שו"ת מהר"י בן לב &lt;דפו"ר&gt; - 4 כר'</v>
      </c>
    </row>
    <row r="40538" spans="1:6" x14ac:dyDescent="0.2">
      <c r="A40538" t="s">
        <v>61865</v>
      </c>
      <c r="B40538" t="s">
        <v>25357</v>
      </c>
      <c r="C40538" t="s">
        <v>1208</v>
      </c>
      <c r="D40538" t="s">
        <v>52</v>
      </c>
      <c r="E40538" t="s">
        <v>154</v>
      </c>
      <c r="F40538" s="2" t="str">
        <f>HYPERLINK("http://www.otzar.org/book.asp?144466","שו""ת מהר""י בן לב &lt;מהד""ח&gt; - 4 כר'")</f>
        <v>שו"ת מהר"י בן לב &lt;מהד"ח&gt; - 4 כר'</v>
      </c>
    </row>
    <row r="40539" spans="1:6" x14ac:dyDescent="0.2">
      <c r="A40539" t="s">
        <v>61866</v>
      </c>
      <c r="B40539" t="s">
        <v>25357</v>
      </c>
      <c r="C40539" t="s">
        <v>1679</v>
      </c>
      <c r="D40539" t="s">
        <v>1023</v>
      </c>
      <c r="E40539" t="s">
        <v>901</v>
      </c>
      <c r="F40539" s="2" t="str">
        <f>HYPERLINK("http://www.otzar.org/book.asp?101564","שו""ת מהר""י בן לב - 9 כר'")</f>
        <v>שו"ת מהר"י בן לב - 9 כר'</v>
      </c>
    </row>
    <row r="40540" spans="1:6" x14ac:dyDescent="0.2">
      <c r="A40540" t="s">
        <v>61867</v>
      </c>
      <c r="B40540" t="s">
        <v>25544</v>
      </c>
      <c r="C40540" t="s">
        <v>61868</v>
      </c>
      <c r="D40540" t="s">
        <v>267</v>
      </c>
      <c r="E40540" t="s">
        <v>508</v>
      </c>
      <c r="F40540" s="2" t="str">
        <f>HYPERLINK("http://www.otzar.org/book.asp?9447","שו""ת מהר""י הכהן - 2 כר'")</f>
        <v>שו"ת מהר"י הכהן - 2 כר'</v>
      </c>
    </row>
    <row r="40541" spans="1:6" x14ac:dyDescent="0.2">
      <c r="A40541" t="s">
        <v>61869</v>
      </c>
      <c r="B40541" t="s">
        <v>25390</v>
      </c>
      <c r="C40541" t="s">
        <v>22961</v>
      </c>
      <c r="D40541" t="s">
        <v>15839</v>
      </c>
      <c r="E40541" t="s">
        <v>154</v>
      </c>
      <c r="F40541" s="2" t="str">
        <f>HYPERLINK("http://www.otzar.org/book.asp?17517","שו""ת מהר""י הלוי - 2 כר'")</f>
        <v>שו"ת מהר"י הלוי - 2 כר'</v>
      </c>
    </row>
    <row r="40542" spans="1:6" x14ac:dyDescent="0.2">
      <c r="A40542" t="s">
        <v>61870</v>
      </c>
      <c r="B40542" t="s">
        <v>22791</v>
      </c>
      <c r="C40542" t="s">
        <v>1169</v>
      </c>
      <c r="D40542" t="s">
        <v>27</v>
      </c>
      <c r="E40542" t="s">
        <v>154</v>
      </c>
      <c r="F40542" s="2" t="str">
        <f>HYPERLINK("http://www.otzar.org/book.asp?52032","שו""ת מהר""י ווייל - 4 כר'")</f>
        <v>שו"ת מהר"י ווייל - 4 כר'</v>
      </c>
    </row>
    <row r="40543" spans="1:6" x14ac:dyDescent="0.2">
      <c r="A40543" t="s">
        <v>61871</v>
      </c>
      <c r="B40543" t="s">
        <v>13578</v>
      </c>
      <c r="C40543" t="s">
        <v>1811</v>
      </c>
      <c r="D40543" t="s">
        <v>14</v>
      </c>
      <c r="E40543" t="s">
        <v>791</v>
      </c>
      <c r="F40543" s="2" t="str">
        <f>HYPERLINK("http://www.otzar.org/book.asp?10881","שו""ת מהר""י מברונא - 2 כר'")</f>
        <v>שו"ת מהר"י מברונא - 2 כר'</v>
      </c>
    </row>
    <row r="40544" spans="1:6" x14ac:dyDescent="0.2">
      <c r="A40544" t="s">
        <v>61872</v>
      </c>
      <c r="B40544" t="s">
        <v>61873</v>
      </c>
      <c r="C40544" t="s">
        <v>5823</v>
      </c>
      <c r="D40544" t="s">
        <v>379</v>
      </c>
      <c r="E40544" t="s">
        <v>2509</v>
      </c>
      <c r="F40544" s="2" t="str">
        <f>HYPERLINK("http://www.otzar.org/book.asp?101879","שו""ת מהר""י מינץ &lt;ביאור מהרי""פ&gt;")</f>
        <v>שו"ת מהר"י מינץ &lt;ביאור מהרי"פ&gt;</v>
      </c>
    </row>
    <row r="40545" spans="1:6" x14ac:dyDescent="0.2">
      <c r="A40545" t="s">
        <v>61874</v>
      </c>
      <c r="B40545" t="s">
        <v>61873</v>
      </c>
      <c r="C40545" t="s">
        <v>4705</v>
      </c>
      <c r="D40545" t="s">
        <v>1117</v>
      </c>
      <c r="E40545" t="s">
        <v>10</v>
      </c>
      <c r="F40545" s="2" t="str">
        <f>HYPERLINK("http://www.otzar.org/book.asp?10891","שו""ת מהר""י מינץ ומהר""ם פדוואה &lt;כולל סדר הגט&gt;")</f>
        <v>שו"ת מהר"י מינץ ומהר"ם פדוואה &lt;כולל סדר הגט&gt;</v>
      </c>
    </row>
    <row r="40546" spans="1:6" x14ac:dyDescent="0.2">
      <c r="A40546" t="s">
        <v>61875</v>
      </c>
      <c r="B40546" t="s">
        <v>61873</v>
      </c>
      <c r="C40546" t="s">
        <v>61876</v>
      </c>
      <c r="D40546" t="s">
        <v>5662</v>
      </c>
      <c r="F40546" s="2" t="str">
        <f>HYPERLINK("http://www.otzar.org/book.asp?620676","שו""ת מהר""י מינץ")</f>
        <v>שו"ת מהר"י מינץ</v>
      </c>
    </row>
    <row r="40547" spans="1:6" x14ac:dyDescent="0.2">
      <c r="A40547" t="s">
        <v>61877</v>
      </c>
      <c r="B40547" t="s">
        <v>60021</v>
      </c>
      <c r="C40547" t="s">
        <v>22961</v>
      </c>
      <c r="D40547" t="s">
        <v>1490</v>
      </c>
      <c r="E40547" t="s">
        <v>154</v>
      </c>
      <c r="F40547" s="2" t="str">
        <f>HYPERLINK("http://www.otzar.org/book.asp?24397","שו""ת מהר""י קצבי")</f>
        <v>שו"ת מהר"י קצבי</v>
      </c>
    </row>
    <row r="40548" spans="1:6" x14ac:dyDescent="0.2">
      <c r="A40548" t="s">
        <v>61878</v>
      </c>
      <c r="B40548" t="s">
        <v>21245</v>
      </c>
      <c r="C40548" t="s">
        <v>1169</v>
      </c>
      <c r="D40548" t="s">
        <v>27</v>
      </c>
      <c r="E40548" t="s">
        <v>154</v>
      </c>
      <c r="F40548" s="2" t="str">
        <f>HYPERLINK("http://www.otzar.org/book.asp?144873","שו""ת מהר""ם אל אשקר")</f>
        <v>שו"ת מהר"ם אל אשקר</v>
      </c>
    </row>
    <row r="40549" spans="1:6" x14ac:dyDescent="0.2">
      <c r="A40549" t="s">
        <v>61879</v>
      </c>
      <c r="B40549" t="s">
        <v>61880</v>
      </c>
      <c r="C40549" t="s">
        <v>585</v>
      </c>
      <c r="D40549" t="s">
        <v>52</v>
      </c>
      <c r="E40549" t="s">
        <v>154</v>
      </c>
      <c r="F40549" s="2" t="str">
        <f>HYPERLINK("http://www.otzar.org/book.asp?60766","שו""ת מהר""ם אלשיך &lt;מהדורה חדשה&gt;")</f>
        <v>שו"ת מהר"ם אלשיך &lt;מהדורה חדשה&gt;</v>
      </c>
    </row>
    <row r="40550" spans="1:6" x14ac:dyDescent="0.2">
      <c r="A40550" t="s">
        <v>61881</v>
      </c>
      <c r="B40550" t="s">
        <v>61880</v>
      </c>
      <c r="C40550" t="s">
        <v>114</v>
      </c>
      <c r="D40550" t="s">
        <v>52</v>
      </c>
      <c r="F40550" s="2" t="str">
        <f>HYPERLINK("http://www.otzar.org/book.asp?600334","שו""ת מהר""ם אלשיך &lt;מהדורת מכון הכתב&gt;")</f>
        <v>שו"ת מהר"ם אלשיך &lt;מהדורת מכון הכתב&gt;</v>
      </c>
    </row>
    <row r="40551" spans="1:6" x14ac:dyDescent="0.2">
      <c r="A40551" t="s">
        <v>61882</v>
      </c>
      <c r="B40551" t="s">
        <v>15186</v>
      </c>
      <c r="C40551" t="s">
        <v>1047</v>
      </c>
      <c r="D40551" t="s">
        <v>267</v>
      </c>
      <c r="E40551" t="s">
        <v>154</v>
      </c>
      <c r="F40551" s="2" t="str">
        <f>HYPERLINK("http://www.otzar.org/book.asp?13803","שו""ת מהר""ם אלשיך")</f>
        <v>שו"ת מהר"ם אלשיך</v>
      </c>
    </row>
    <row r="40552" spans="1:6" x14ac:dyDescent="0.2">
      <c r="A40552" t="s">
        <v>61883</v>
      </c>
      <c r="B40552" t="s">
        <v>13411</v>
      </c>
      <c r="C40552" t="s">
        <v>8</v>
      </c>
      <c r="D40552" t="s">
        <v>14</v>
      </c>
      <c r="E40552" t="s">
        <v>154</v>
      </c>
      <c r="F40552" s="2" t="str">
        <f>HYPERLINK("http://www.otzar.org/book.asp?8332","שו""ת מהר""ם בן חביב")</f>
        <v>שו"ת מהר"ם בן חביב</v>
      </c>
    </row>
    <row r="40553" spans="1:6" x14ac:dyDescent="0.2">
      <c r="A40553" t="s">
        <v>61884</v>
      </c>
      <c r="B40553" t="s">
        <v>16269</v>
      </c>
      <c r="C40553" t="s">
        <v>61885</v>
      </c>
      <c r="D40553" t="s">
        <v>61886</v>
      </c>
      <c r="E40553" t="s">
        <v>154</v>
      </c>
      <c r="F40553" s="2" t="str">
        <f>HYPERLINK("http://www.otzar.org/book.asp?102684","שו""ת מהר""ם בריסק - 4 כר'")</f>
        <v>שו"ת מהר"ם בריסק - 4 כר'</v>
      </c>
    </row>
    <row r="40554" spans="1:6" x14ac:dyDescent="0.2">
      <c r="A40554" t="s">
        <v>61887</v>
      </c>
      <c r="B40554" t="s">
        <v>40552</v>
      </c>
      <c r="C40554" t="s">
        <v>1663</v>
      </c>
      <c r="D40554" t="s">
        <v>27</v>
      </c>
      <c r="E40554" t="s">
        <v>154</v>
      </c>
      <c r="F40554" s="2" t="str">
        <f>HYPERLINK("http://www.otzar.org/book.asp?12957","שו""ת מהר""ם גאלאנטי - 2 כר'")</f>
        <v>שו"ת מהר"ם גאלאנטי - 2 כר'</v>
      </c>
    </row>
    <row r="40555" spans="1:6" x14ac:dyDescent="0.2">
      <c r="A40555" t="s">
        <v>61888</v>
      </c>
      <c r="B40555" t="s">
        <v>61889</v>
      </c>
      <c r="C40555" t="s">
        <v>1208</v>
      </c>
      <c r="D40555" t="s">
        <v>14</v>
      </c>
      <c r="E40555" t="s">
        <v>154</v>
      </c>
      <c r="F40555" s="2" t="str">
        <f>HYPERLINK("http://www.otzar.org/book.asp?144877","שו""ת מהר""ם גלאנטי")</f>
        <v>שו"ת מהר"ם גלאנטי</v>
      </c>
    </row>
    <row r="40556" spans="1:6" x14ac:dyDescent="0.2">
      <c r="A40556" t="s">
        <v>61890</v>
      </c>
      <c r="B40556" t="s">
        <v>61891</v>
      </c>
      <c r="C40556" t="s">
        <v>26234</v>
      </c>
      <c r="D40556" t="s">
        <v>157</v>
      </c>
      <c r="E40556" t="s">
        <v>10711</v>
      </c>
      <c r="F40556" s="2" t="str">
        <f>HYPERLINK("http://www.otzar.org/book.asp?787","שו""ת מהר""ם די בוטון")</f>
        <v>שו"ת מהר"ם די בוטון</v>
      </c>
    </row>
    <row r="40557" spans="1:6" x14ac:dyDescent="0.2">
      <c r="A40557" t="s">
        <v>61892</v>
      </c>
      <c r="B40557" t="s">
        <v>61893</v>
      </c>
      <c r="C40557" t="s">
        <v>30737</v>
      </c>
      <c r="D40557" t="s">
        <v>4288</v>
      </c>
      <c r="E40557" t="s">
        <v>791</v>
      </c>
      <c r="F40557" s="2" t="str">
        <f>HYPERLINK("http://www.otzar.org/book.asp?339","שו""ת מהר""ם זיסקינד")</f>
        <v>שו"ת מהר"ם זיסקינד</v>
      </c>
    </row>
    <row r="40558" spans="1:6" x14ac:dyDescent="0.2">
      <c r="A40558" t="s">
        <v>61894</v>
      </c>
      <c r="B40558" t="s">
        <v>25556</v>
      </c>
      <c r="C40558" t="s">
        <v>553</v>
      </c>
      <c r="D40558" t="s">
        <v>14</v>
      </c>
      <c r="E40558" t="s">
        <v>154</v>
      </c>
      <c r="F40558" s="2" t="str">
        <f>HYPERLINK("http://www.otzar.org/book.asp?10843","שו""ת מהר""ם חלאווה")</f>
        <v>שו"ת מהר"ם חלאווה</v>
      </c>
    </row>
    <row r="40559" spans="1:6" x14ac:dyDescent="0.2">
      <c r="A40559" t="s">
        <v>61895</v>
      </c>
      <c r="B40559" t="s">
        <v>34356</v>
      </c>
      <c r="C40559" t="s">
        <v>7625</v>
      </c>
      <c r="D40559" t="s">
        <v>1516</v>
      </c>
      <c r="E40559" t="s">
        <v>154</v>
      </c>
      <c r="F40559" s="2" t="str">
        <f>HYPERLINK("http://www.otzar.org/book.asp?102686","שו""ת מהר""ם לובלין - 2 כר'")</f>
        <v>שו"ת מהר"ם לובלין - 2 כר'</v>
      </c>
    </row>
    <row r="40560" spans="1:6" x14ac:dyDescent="0.2">
      <c r="A40560" t="s">
        <v>61896</v>
      </c>
      <c r="B40560" t="s">
        <v>61897</v>
      </c>
      <c r="C40560" t="s">
        <v>13138</v>
      </c>
      <c r="D40560" t="s">
        <v>1719</v>
      </c>
      <c r="E40560" t="s">
        <v>154</v>
      </c>
      <c r="F40560" s="2" t="str">
        <f>HYPERLINK("http://www.otzar.org/book.asp?196844","שו""ת מהר""ם מינץ - 4 כר'")</f>
        <v>שו"ת מהר"ם מינץ - 4 כר'</v>
      </c>
    </row>
    <row r="40561" spans="1:6" x14ac:dyDescent="0.2">
      <c r="A40561" t="s">
        <v>61898</v>
      </c>
      <c r="B40561" t="s">
        <v>61899</v>
      </c>
      <c r="C40561" t="s">
        <v>802</v>
      </c>
      <c r="D40561" t="s">
        <v>1279</v>
      </c>
      <c r="E40561" t="s">
        <v>154</v>
      </c>
      <c r="F40561" s="2" t="str">
        <f>HYPERLINK("http://www.otzar.org/book.asp?101773","שו""ת מהר""ם מרוטנבורג האחרונים")</f>
        <v>שו"ת מהר"ם מרוטנבורג האחרונים</v>
      </c>
    </row>
    <row r="40562" spans="1:6" x14ac:dyDescent="0.2">
      <c r="A40562" t="s">
        <v>61900</v>
      </c>
      <c r="B40562" t="s">
        <v>19887</v>
      </c>
      <c r="C40562" t="s">
        <v>26847</v>
      </c>
      <c r="D40562" t="s">
        <v>280</v>
      </c>
      <c r="E40562" t="s">
        <v>154</v>
      </c>
      <c r="F40562" s="2" t="str">
        <f>HYPERLINK("http://www.otzar.org/book.asp?101876","שו""ת מהר""ם מרוטנבורג - 5 כר'")</f>
        <v>שו"ת מהר"ם מרוטנבורג - 5 כר'</v>
      </c>
    </row>
    <row r="40563" spans="1:6" x14ac:dyDescent="0.2">
      <c r="A40563" t="s">
        <v>61901</v>
      </c>
      <c r="B40563" t="s">
        <v>61880</v>
      </c>
      <c r="C40563" t="s">
        <v>282</v>
      </c>
      <c r="D40563" t="s">
        <v>9748</v>
      </c>
      <c r="E40563" t="s">
        <v>154</v>
      </c>
      <c r="F40563" s="2" t="str">
        <f>HYPERLINK("http://www.otzar.org/book.asp?101770","שו""ת מהר""מ אלשיך")</f>
        <v>שו"ת מהר"מ אלשיך</v>
      </c>
    </row>
    <row r="40564" spans="1:6" x14ac:dyDescent="0.2">
      <c r="A40564" t="s">
        <v>61902</v>
      </c>
      <c r="B40564" t="s">
        <v>21245</v>
      </c>
      <c r="C40564" t="s">
        <v>282</v>
      </c>
      <c r="D40564" t="s">
        <v>9748</v>
      </c>
      <c r="E40564" t="s">
        <v>14422</v>
      </c>
      <c r="F40564" s="2" t="str">
        <f>HYPERLINK("http://www.otzar.org/book.asp?101771","שו""ת מהר""מ אלשקר")</f>
        <v>שו"ת מהר"מ אלשקר</v>
      </c>
    </row>
    <row r="40565" spans="1:6" x14ac:dyDescent="0.2">
      <c r="A40565" t="s">
        <v>61903</v>
      </c>
      <c r="B40565" t="s">
        <v>61904</v>
      </c>
      <c r="C40565" t="s">
        <v>777</v>
      </c>
      <c r="D40565" t="s">
        <v>2009</v>
      </c>
      <c r="E40565" t="s">
        <v>154</v>
      </c>
      <c r="F40565" s="2" t="str">
        <f>HYPERLINK("http://www.otzar.org/book.asp?19036","שו""ת מהר""ף שוסבורג")</f>
        <v>שו"ת מהר"ף שוסבורג</v>
      </c>
    </row>
    <row r="40566" spans="1:6" x14ac:dyDescent="0.2">
      <c r="A40566" t="s">
        <v>61905</v>
      </c>
      <c r="B40566" t="s">
        <v>61906</v>
      </c>
      <c r="C40566" t="s">
        <v>4907</v>
      </c>
      <c r="D40566" t="s">
        <v>76</v>
      </c>
      <c r="E40566" t="s">
        <v>154</v>
      </c>
      <c r="F40566" s="2" t="str">
        <f>HYPERLINK("http://www.otzar.org/book.asp?10879","שו""ת מהר""ש הלוי - 2 כר'")</f>
        <v>שו"ת מהר"ש הלוי - 2 כר'</v>
      </c>
    </row>
    <row r="40567" spans="1:6" x14ac:dyDescent="0.2">
      <c r="A40567" t="s">
        <v>61907</v>
      </c>
      <c r="B40567" t="s">
        <v>9944</v>
      </c>
      <c r="C40567" t="s">
        <v>71</v>
      </c>
      <c r="D40567" t="s">
        <v>14</v>
      </c>
      <c r="E40567" t="s">
        <v>930</v>
      </c>
      <c r="F40567" s="2" t="str">
        <f>HYPERLINK("http://www.otzar.org/book.asp?144090","שו""ת מהר""ש לאנייאדו החדשות")</f>
        <v>שו"ת מהר"ש לאנייאדו החדשות</v>
      </c>
    </row>
    <row r="40568" spans="1:6" x14ac:dyDescent="0.2">
      <c r="A40568" t="s">
        <v>61908</v>
      </c>
      <c r="B40568" t="s">
        <v>25565</v>
      </c>
      <c r="C40568" t="s">
        <v>61909</v>
      </c>
      <c r="D40568" t="s">
        <v>6551</v>
      </c>
      <c r="E40568" t="s">
        <v>61910</v>
      </c>
      <c r="F40568" s="2" t="str">
        <f>HYPERLINK("http://www.otzar.org/book.asp?101814","שו""ת מהר""ש - 9 כר'")</f>
        <v>שו"ת מהר"ש - 9 כר'</v>
      </c>
    </row>
    <row r="40569" spans="1:6" x14ac:dyDescent="0.2">
      <c r="A40569" t="s">
        <v>61911</v>
      </c>
      <c r="B40569" t="s">
        <v>6545</v>
      </c>
      <c r="C40569" t="s">
        <v>61912</v>
      </c>
      <c r="D40569" t="s">
        <v>283</v>
      </c>
      <c r="E40569" t="s">
        <v>653</v>
      </c>
      <c r="F40569" s="2" t="str">
        <f>HYPERLINK("http://www.otzar.org/book.asp?9485","שו""ת מהרא""ב - 2 כר'")</f>
        <v>שו"ת מהרא"ב - 2 כר'</v>
      </c>
    </row>
    <row r="40570" spans="1:6" x14ac:dyDescent="0.2">
      <c r="A40570" t="s">
        <v>61913</v>
      </c>
      <c r="B40570" t="s">
        <v>61914</v>
      </c>
      <c r="C40570" t="s">
        <v>189</v>
      </c>
      <c r="D40570" t="s">
        <v>14</v>
      </c>
      <c r="E40570" t="s">
        <v>154</v>
      </c>
      <c r="F40570" s="2" t="str">
        <f>HYPERLINK("http://www.otzar.org/book.asp?63022","שו""ת מהרא""י מזינקוויץ")</f>
        <v>שו"ת מהרא"י מזינקוויץ</v>
      </c>
    </row>
    <row r="40571" spans="1:6" x14ac:dyDescent="0.2">
      <c r="A40571" t="s">
        <v>61915</v>
      </c>
      <c r="B40571" t="s">
        <v>5253</v>
      </c>
      <c r="C40571" t="s">
        <v>20</v>
      </c>
      <c r="D40571" t="s">
        <v>90</v>
      </c>
      <c r="E40571" t="s">
        <v>154</v>
      </c>
      <c r="F40571" s="2" t="str">
        <f>HYPERLINK("http://www.otzar.org/book.asp?85122","שו""ת מהרא""ל צינץ השלם")</f>
        <v>שו"ת מהרא"ל צינץ השלם</v>
      </c>
    </row>
    <row r="40572" spans="1:6" x14ac:dyDescent="0.2">
      <c r="A40572" t="s">
        <v>61916</v>
      </c>
      <c r="B40572" t="s">
        <v>5253</v>
      </c>
      <c r="C40572" t="s">
        <v>2132</v>
      </c>
      <c r="D40572" t="s">
        <v>1180</v>
      </c>
      <c r="E40572" t="s">
        <v>154</v>
      </c>
      <c r="F40572" s="2" t="str">
        <f>HYPERLINK("http://www.otzar.org/book.asp?153730","שו""ת מהרא""ל צינץ - קונטרס מספר ארץ החדשה")</f>
        <v>שו"ת מהרא"ל צינץ - קונטרס מספר ארץ החדשה</v>
      </c>
    </row>
    <row r="40573" spans="1:6" x14ac:dyDescent="0.2">
      <c r="A40573" t="s">
        <v>61917</v>
      </c>
      <c r="B40573" t="s">
        <v>5253</v>
      </c>
      <c r="C40573" t="s">
        <v>643</v>
      </c>
      <c r="D40573" t="s">
        <v>283</v>
      </c>
      <c r="E40573" t="s">
        <v>154</v>
      </c>
      <c r="F40573" s="2" t="str">
        <f>HYPERLINK("http://www.otzar.org/book.asp?10875","שו""ת מהרא""ל")</f>
        <v>שו"ת מהרא"ל</v>
      </c>
    </row>
    <row r="40574" spans="1:6" x14ac:dyDescent="0.2">
      <c r="A40574" t="s">
        <v>61918</v>
      </c>
      <c r="B40574" t="s">
        <v>2709</v>
      </c>
      <c r="C40574" t="s">
        <v>617</v>
      </c>
      <c r="D40574" t="s">
        <v>379</v>
      </c>
      <c r="E40574" t="s">
        <v>42755</v>
      </c>
      <c r="F40574" s="2" t="str">
        <f>HYPERLINK("http://www.otzar.org/book.asp?101557","שו""ת מהרא""פ וחלת אהרן")</f>
        <v>שו"ת מהרא"פ וחלת אהרן</v>
      </c>
    </row>
    <row r="40575" spans="1:6" x14ac:dyDescent="0.2">
      <c r="A40575" t="s">
        <v>61919</v>
      </c>
      <c r="B40575" t="s">
        <v>59880</v>
      </c>
      <c r="C40575" t="s">
        <v>68</v>
      </c>
      <c r="D40575" t="s">
        <v>14</v>
      </c>
      <c r="E40575" t="s">
        <v>154</v>
      </c>
      <c r="F40575" s="2" t="str">
        <f>HYPERLINK("http://www.otzar.org/book.asp?189806","שו""ת מהרא""ש &lt;מהדורה חדשה&gt;")</f>
        <v>שו"ת מהרא"ש &lt;מהדורה חדשה&gt;</v>
      </c>
    </row>
    <row r="40576" spans="1:6" x14ac:dyDescent="0.2">
      <c r="A40576" t="s">
        <v>61920</v>
      </c>
      <c r="B40576" t="s">
        <v>59880</v>
      </c>
      <c r="C40576" t="s">
        <v>1885</v>
      </c>
      <c r="D40576" t="s">
        <v>267</v>
      </c>
      <c r="E40576" t="s">
        <v>154</v>
      </c>
      <c r="F40576" s="2" t="str">
        <f>HYPERLINK("http://www.otzar.org/book.asp?101928","שו""ת מהרא""ש")</f>
        <v>שו"ת מהרא"ש</v>
      </c>
    </row>
    <row r="40577" spans="1:6" x14ac:dyDescent="0.2">
      <c r="A40577" t="s">
        <v>61921</v>
      </c>
      <c r="B40577" t="s">
        <v>42799</v>
      </c>
      <c r="C40577" t="s">
        <v>61922</v>
      </c>
      <c r="D40577" t="s">
        <v>61923</v>
      </c>
      <c r="E40577" t="s">
        <v>154</v>
      </c>
      <c r="F40577" s="2" t="str">
        <f>HYPERLINK("http://www.otzar.org/book.asp?170555","שו""ת מהרז""ך &lt;בגדי כהונה&gt;")</f>
        <v>שו"ת מהרז"ך &lt;בגדי כהונה&gt;</v>
      </c>
    </row>
    <row r="40578" spans="1:6" x14ac:dyDescent="0.2">
      <c r="A40578" t="s">
        <v>61924</v>
      </c>
      <c r="B40578" t="s">
        <v>42799</v>
      </c>
      <c r="C40578" t="s">
        <v>11821</v>
      </c>
      <c r="D40578" t="s">
        <v>2303</v>
      </c>
      <c r="E40578" t="s">
        <v>508</v>
      </c>
      <c r="F40578" s="2" t="str">
        <f>HYPERLINK("http://www.otzar.org/book.asp?100198","שו""ת מהרז""ך")</f>
        <v>שו"ת מהרז"ך</v>
      </c>
    </row>
    <row r="40579" spans="1:6" x14ac:dyDescent="0.2">
      <c r="A40579" t="s">
        <v>61925</v>
      </c>
      <c r="B40579" t="s">
        <v>36110</v>
      </c>
      <c r="C40579" t="s">
        <v>27916</v>
      </c>
      <c r="D40579" t="s">
        <v>76</v>
      </c>
      <c r="E40579" t="s">
        <v>154</v>
      </c>
      <c r="F40579" s="2" t="str">
        <f>HYPERLINK("http://www.otzar.org/book.asp?756","שו""ת מהרח""ש")</f>
        <v>שו"ת מהרח"ש</v>
      </c>
    </row>
    <row r="40580" spans="1:6" x14ac:dyDescent="0.2">
      <c r="A40580" t="s">
        <v>61926</v>
      </c>
      <c r="B40580" t="s">
        <v>61927</v>
      </c>
      <c r="C40580" t="s">
        <v>4705</v>
      </c>
      <c r="D40580" t="s">
        <v>267</v>
      </c>
      <c r="E40580" t="s">
        <v>13324</v>
      </c>
      <c r="F40580" s="2" t="str">
        <f>HYPERLINK("http://www.otzar.org/book.asp?9443","שו""ת מהרי""א ענזיל")</f>
        <v>שו"ת מהרי"א ענזיל</v>
      </c>
    </row>
    <row r="40581" spans="1:6" x14ac:dyDescent="0.2">
      <c r="A40581" t="s">
        <v>61928</v>
      </c>
      <c r="B40581" t="s">
        <v>25582</v>
      </c>
      <c r="C40581" t="s">
        <v>1169</v>
      </c>
      <c r="D40581" t="s">
        <v>260</v>
      </c>
      <c r="E40581" t="s">
        <v>154</v>
      </c>
      <c r="F40581" s="2" t="str">
        <f>HYPERLINK("http://www.otzar.org/book.asp?9490","שו""ת מהרי""ט - 4 כר'")</f>
        <v>שו"ת מהרי"ט - 4 כר'</v>
      </c>
    </row>
    <row r="40582" spans="1:6" x14ac:dyDescent="0.2">
      <c r="A40582" t="s">
        <v>61929</v>
      </c>
      <c r="B40582" t="s">
        <v>2571</v>
      </c>
      <c r="C40582" t="s">
        <v>111</v>
      </c>
      <c r="D40582" t="s">
        <v>27</v>
      </c>
      <c r="E40582" t="s">
        <v>154</v>
      </c>
      <c r="F40582" s="2" t="str">
        <f>HYPERLINK("http://www.otzar.org/book.asp?627050","שו""ת מהרי""ל דיסקין &lt;מהדורת קרן רא""ם&gt;")</f>
        <v>שו"ת מהרי"ל דיסקין &lt;מהדורת קרן רא"ם&gt;</v>
      </c>
    </row>
    <row r="40583" spans="1:6" x14ac:dyDescent="0.2">
      <c r="A40583" t="s">
        <v>61930</v>
      </c>
      <c r="B40583" t="s">
        <v>2571</v>
      </c>
      <c r="C40583" t="s">
        <v>360</v>
      </c>
      <c r="D40583" t="s">
        <v>27</v>
      </c>
      <c r="E40583" t="s">
        <v>61931</v>
      </c>
      <c r="F40583" s="2" t="str">
        <f>HYPERLINK("http://www.otzar.org/book.asp?10836","שו""ת מהרי""ל דיסקין")</f>
        <v>שו"ת מהרי"ל דיסקין</v>
      </c>
    </row>
    <row r="40584" spans="1:6" x14ac:dyDescent="0.2">
      <c r="A40584" t="s">
        <v>61932</v>
      </c>
      <c r="B40584" t="s">
        <v>61933</v>
      </c>
      <c r="C40584" t="s">
        <v>133</v>
      </c>
      <c r="D40584" t="s">
        <v>14</v>
      </c>
      <c r="E40584" t="s">
        <v>154</v>
      </c>
      <c r="F40584" s="2" t="str">
        <f>HYPERLINK("http://www.otzar.org/book.asp?173623","שו""ת מהרי""ף &lt;מהדורת טוב מצרים&gt; - 2 כר'")</f>
        <v>שו"ת מהרי"ף &lt;מהדורת טוב מצרים&gt; - 2 כר'</v>
      </c>
    </row>
    <row r="40585" spans="1:6" x14ac:dyDescent="0.2">
      <c r="A40585" t="s">
        <v>61934</v>
      </c>
      <c r="B40585" t="s">
        <v>61933</v>
      </c>
      <c r="C40585" t="s">
        <v>362</v>
      </c>
      <c r="D40585" t="s">
        <v>11013</v>
      </c>
      <c r="E40585" t="s">
        <v>154</v>
      </c>
      <c r="F40585" s="2" t="str">
        <f>HYPERLINK("http://www.otzar.org/book.asp?101776","שו""ת מהרי""ף")</f>
        <v>שו"ת מהרי"ף</v>
      </c>
    </row>
    <row r="40586" spans="1:6" x14ac:dyDescent="0.2">
      <c r="A40586" t="s">
        <v>61935</v>
      </c>
      <c r="B40586" t="s">
        <v>17018</v>
      </c>
      <c r="C40586" t="s">
        <v>1954</v>
      </c>
      <c r="D40586" t="s">
        <v>27</v>
      </c>
      <c r="E40586" t="s">
        <v>154</v>
      </c>
      <c r="F40586" s="2" t="str">
        <f>HYPERLINK("http://www.otzar.org/book.asp?878","שו""ת מהרי""ץ - 2 כר'")</f>
        <v>שו"ת מהרי"ץ - 2 כר'</v>
      </c>
    </row>
    <row r="40587" spans="1:6" x14ac:dyDescent="0.2">
      <c r="A40587" t="s">
        <v>61936</v>
      </c>
      <c r="B40587" t="s">
        <v>25496</v>
      </c>
      <c r="C40587" t="s">
        <v>1208</v>
      </c>
      <c r="D40587" t="s">
        <v>14</v>
      </c>
      <c r="E40587" t="s">
        <v>791</v>
      </c>
      <c r="F40587" s="2" t="str">
        <f>HYPERLINK("http://www.otzar.org/book.asp?103919","שו""ת מהרי""ק - 4 כר'")</f>
        <v>שו"ת מהרי"ק - 4 כר'</v>
      </c>
    </row>
    <row r="40588" spans="1:6" x14ac:dyDescent="0.2">
      <c r="A40588" t="s">
        <v>61937</v>
      </c>
      <c r="B40588" t="s">
        <v>52646</v>
      </c>
      <c r="C40588" t="s">
        <v>411</v>
      </c>
      <c r="D40588" t="s">
        <v>52</v>
      </c>
      <c r="E40588" t="s">
        <v>1880</v>
      </c>
      <c r="F40588" s="2" t="str">
        <f>HYPERLINK("http://www.otzar.org/book.asp?173604","שו""ת מהריא""ץ  &lt;מהדורה חדשה&gt; - 3 כר'")</f>
        <v>שו"ת מהריא"ץ  &lt;מהדורה חדשה&gt; - 3 כר'</v>
      </c>
    </row>
    <row r="40589" spans="1:6" x14ac:dyDescent="0.2">
      <c r="A40589" t="s">
        <v>61938</v>
      </c>
      <c r="B40589" t="s">
        <v>52646</v>
      </c>
      <c r="C40589" t="s">
        <v>1166</v>
      </c>
      <c r="D40589" t="s">
        <v>9224</v>
      </c>
      <c r="E40589" t="s">
        <v>154</v>
      </c>
      <c r="F40589" s="2" t="str">
        <f>HYPERLINK("http://www.otzar.org/book.asp?107344","שו""ת מהריא""ץ - א")</f>
        <v>שו"ת מהריא"ץ - א</v>
      </c>
    </row>
    <row r="40590" spans="1:6" x14ac:dyDescent="0.2">
      <c r="A40590" t="s">
        <v>61939</v>
      </c>
      <c r="B40590" t="s">
        <v>67</v>
      </c>
      <c r="C40590" t="s">
        <v>1832</v>
      </c>
      <c r="D40590" t="s">
        <v>95</v>
      </c>
      <c r="E40590" t="s">
        <v>508</v>
      </c>
      <c r="F40590" s="2" t="str">
        <f>HYPERLINK("http://www.otzar.org/book.asp?101798","שו""ת מהריט""ץ")</f>
        <v>שו"ת מהריט"ץ</v>
      </c>
    </row>
    <row r="40591" spans="1:6" x14ac:dyDescent="0.2">
      <c r="A40591" t="s">
        <v>61940</v>
      </c>
      <c r="B40591" t="s">
        <v>61941</v>
      </c>
      <c r="C40591" t="s">
        <v>266</v>
      </c>
      <c r="D40591" t="s">
        <v>27</v>
      </c>
      <c r="E40591" t="s">
        <v>154</v>
      </c>
      <c r="F40591" s="2" t="str">
        <f>HYPERLINK("http://www.otzar.org/book.asp?51632","שו""ת מהריל")</f>
        <v>שו"ת מהריל</v>
      </c>
    </row>
    <row r="40592" spans="1:6" x14ac:dyDescent="0.2">
      <c r="A40592" t="s">
        <v>61942</v>
      </c>
      <c r="B40592" t="s">
        <v>61943</v>
      </c>
      <c r="C40592" t="s">
        <v>4741</v>
      </c>
      <c r="D40592" t="s">
        <v>95</v>
      </c>
      <c r="F40592" s="2" t="str">
        <f>HYPERLINK("http://www.otzar.org/book.asp?614588","שו""ת מהרלב""ח &lt;דפו""ר&gt; - 2 כר'")</f>
        <v>שו"ת מהרלב"ח &lt;דפו"ר&gt; - 2 כר'</v>
      </c>
    </row>
    <row r="40593" spans="1:6" x14ac:dyDescent="0.2">
      <c r="A40593" t="s">
        <v>61944</v>
      </c>
      <c r="B40593" t="s">
        <v>61943</v>
      </c>
      <c r="C40593" t="s">
        <v>13</v>
      </c>
      <c r="D40593" t="s">
        <v>14</v>
      </c>
      <c r="E40593" t="s">
        <v>154</v>
      </c>
      <c r="F40593" s="2" t="str">
        <f>HYPERLINK("http://www.otzar.org/book.asp?166532","שו""ת מהרלב""ח &lt;מהדורה חדשה&gt;")</f>
        <v>שו"ת מהרלב"ח &lt;מהדורה חדשה&gt;</v>
      </c>
    </row>
    <row r="40594" spans="1:6" x14ac:dyDescent="0.2">
      <c r="A40594" t="s">
        <v>61945</v>
      </c>
      <c r="B40594" t="s">
        <v>61943</v>
      </c>
      <c r="C40594" t="s">
        <v>950</v>
      </c>
      <c r="D40594" t="s">
        <v>267</v>
      </c>
      <c r="E40594" t="s">
        <v>154</v>
      </c>
      <c r="F40594" s="2" t="str">
        <f>HYPERLINK("http://www.otzar.org/book.asp?9481","שו""ת מהרלב""ח")</f>
        <v>שו"ת מהרלב"ח</v>
      </c>
    </row>
    <row r="40595" spans="1:6" x14ac:dyDescent="0.2">
      <c r="A40595" t="s">
        <v>61946</v>
      </c>
      <c r="B40595" t="s">
        <v>61947</v>
      </c>
      <c r="C40595" t="s">
        <v>20</v>
      </c>
      <c r="D40595" t="s">
        <v>2468</v>
      </c>
      <c r="E40595" t="s">
        <v>154</v>
      </c>
      <c r="F40595" s="2" t="str">
        <f>HYPERLINK("http://www.otzar.org/book.asp?145298","שו""ת מהרנ""ש")</f>
        <v>שו"ת מהרנ"ש</v>
      </c>
    </row>
    <row r="40596" spans="1:6" x14ac:dyDescent="0.2">
      <c r="A40596" t="s">
        <v>61948</v>
      </c>
      <c r="B40596" t="s">
        <v>7330</v>
      </c>
      <c r="C40596" t="s">
        <v>619</v>
      </c>
      <c r="D40596" t="s">
        <v>27</v>
      </c>
      <c r="E40596" t="s">
        <v>154</v>
      </c>
      <c r="F40596" s="2" t="str">
        <f>HYPERLINK("http://www.otzar.org/book.asp?956","שו""ת מהרש""א - א")</f>
        <v>שו"ת מהרש"א - א</v>
      </c>
    </row>
    <row r="40597" spans="1:6" x14ac:dyDescent="0.2">
      <c r="A40597" t="s">
        <v>61949</v>
      </c>
      <c r="B40597" t="s">
        <v>22926</v>
      </c>
      <c r="C40597" t="s">
        <v>1570</v>
      </c>
      <c r="D40597" t="s">
        <v>14</v>
      </c>
      <c r="E40597" t="s">
        <v>154</v>
      </c>
      <c r="F40597" s="2" t="str">
        <f>HYPERLINK("http://www.otzar.org/book.asp?28527","שו""ת מהרש""ג - 3 כר'")</f>
        <v>שו"ת מהרש"ג - 3 כר'</v>
      </c>
    </row>
    <row r="40598" spans="1:6" x14ac:dyDescent="0.2">
      <c r="A40598" t="s">
        <v>61950</v>
      </c>
      <c r="B40598" t="s">
        <v>25604</v>
      </c>
      <c r="C40598" t="s">
        <v>61951</v>
      </c>
      <c r="D40598" t="s">
        <v>23031</v>
      </c>
      <c r="F40598" s="2" t="str">
        <f>HYPERLINK("http://www.otzar.org/book.asp?614595","שו""ת מהרש""ך (דפו""ר) - 3 כר'")</f>
        <v>שו"ת מהרש"ך (דפו"ר) - 3 כר'</v>
      </c>
    </row>
    <row r="40599" spans="1:6" x14ac:dyDescent="0.2">
      <c r="A40599" t="s">
        <v>61952</v>
      </c>
      <c r="B40599" t="s">
        <v>25604</v>
      </c>
      <c r="C40599" t="s">
        <v>390</v>
      </c>
      <c r="D40599" t="s">
        <v>14</v>
      </c>
      <c r="E40599" t="s">
        <v>901</v>
      </c>
      <c r="F40599" s="2" t="str">
        <f>HYPERLINK("http://www.otzar.org/book.asp?52481","שו""ת מהרש""ך - 4 כר'")</f>
        <v>שו"ת מהרש"ך - 4 כר'</v>
      </c>
    </row>
    <row r="40600" spans="1:6" x14ac:dyDescent="0.2">
      <c r="A40600" t="s">
        <v>61953</v>
      </c>
      <c r="B40600" t="s">
        <v>7354</v>
      </c>
      <c r="C40600" t="s">
        <v>61954</v>
      </c>
      <c r="D40600" t="s">
        <v>726</v>
      </c>
      <c r="E40600" t="s">
        <v>154</v>
      </c>
      <c r="F40600" s="2" t="str">
        <f>HYPERLINK("http://www.otzar.org/book.asp?146735","שו""ת מהרש""ל &lt;דפו""ר&gt;")</f>
        <v>שו"ת מהרש"ל &lt;דפו"ר&gt;</v>
      </c>
    </row>
    <row r="40601" spans="1:6" x14ac:dyDescent="0.2">
      <c r="A40601" t="s">
        <v>61955</v>
      </c>
      <c r="B40601" t="s">
        <v>59633</v>
      </c>
      <c r="C40601" t="s">
        <v>445</v>
      </c>
      <c r="D40601" t="s">
        <v>379</v>
      </c>
      <c r="E40601" t="s">
        <v>154</v>
      </c>
      <c r="F40601" s="2" t="str">
        <f>HYPERLINK("http://www.otzar.org/book.asp?52030","שו""ת מהרש""ל")</f>
        <v>שו"ת מהרש"ל</v>
      </c>
    </row>
    <row r="40602" spans="1:6" x14ac:dyDescent="0.2">
      <c r="A40602" t="s">
        <v>61956</v>
      </c>
      <c r="B40602" t="s">
        <v>7354</v>
      </c>
      <c r="C40602" t="s">
        <v>427</v>
      </c>
      <c r="D40602" t="s">
        <v>14</v>
      </c>
      <c r="E40602" t="s">
        <v>154</v>
      </c>
      <c r="F40602" s="2" t="str">
        <f>HYPERLINK("http://www.otzar.org/book.asp?154487","שו""ת מהרש""ל - 3 כר'")</f>
        <v>שו"ת מהרש"ל - 3 כר'</v>
      </c>
    </row>
    <row r="40603" spans="1:6" x14ac:dyDescent="0.2">
      <c r="A40603" t="s">
        <v>61957</v>
      </c>
      <c r="B40603" t="s">
        <v>13596</v>
      </c>
      <c r="C40603" t="s">
        <v>1811</v>
      </c>
      <c r="D40603" t="s">
        <v>14</v>
      </c>
      <c r="E40603" t="s">
        <v>154</v>
      </c>
      <c r="F40603" s="2" t="str">
        <f>HYPERLINK("http://www.otzar.org/book.asp?12051","שו""ת מהרש""ם - 10 כר'")</f>
        <v>שו"ת מהרש"ם - 10 כר'</v>
      </c>
    </row>
    <row r="40604" spans="1:6" x14ac:dyDescent="0.2">
      <c r="A40604" t="s">
        <v>61958</v>
      </c>
      <c r="B40604" t="s">
        <v>61959</v>
      </c>
      <c r="C40604" t="s">
        <v>1609</v>
      </c>
      <c r="D40604" t="s">
        <v>9</v>
      </c>
      <c r="E40604" t="s">
        <v>791</v>
      </c>
      <c r="F40604" s="2" t="str">
        <f>HYPERLINK("http://www.otzar.org/book.asp?678","שו""ת מהרשד""ה - א (או""ח, יו""ד)")</f>
        <v>שו"ת מהרשד"ה - א (או"ח, יו"ד)</v>
      </c>
    </row>
    <row r="40605" spans="1:6" x14ac:dyDescent="0.2">
      <c r="A40605" t="s">
        <v>61960</v>
      </c>
      <c r="B40605" t="s">
        <v>11017</v>
      </c>
      <c r="C40605" t="s">
        <v>61961</v>
      </c>
      <c r="D40605" t="s">
        <v>76</v>
      </c>
      <c r="E40605" t="s">
        <v>154</v>
      </c>
      <c r="F40605" s="2" t="str">
        <f>HYPERLINK("http://www.otzar.org/book.asp?104197","שו""ת מהרשד""ם - 5 כר'")</f>
        <v>שו"ת מהרשד"ם - 5 כר'</v>
      </c>
    </row>
    <row r="40606" spans="1:6" x14ac:dyDescent="0.2">
      <c r="A40606" t="s">
        <v>61962</v>
      </c>
      <c r="B40606" t="s">
        <v>50841</v>
      </c>
      <c r="C40606" t="s">
        <v>23</v>
      </c>
      <c r="D40606" t="s">
        <v>367</v>
      </c>
      <c r="F40606" s="2" t="str">
        <f>HYPERLINK("http://www.otzar.org/book.asp?601476","שו""ת מוהר""ד עראמה &lt;מהדורה חדשה&gt;")</f>
        <v>שו"ת מוהר"ד עראמה &lt;מהדורה חדשה&gt;</v>
      </c>
    </row>
    <row r="40607" spans="1:6" x14ac:dyDescent="0.2">
      <c r="A40607" t="s">
        <v>61963</v>
      </c>
      <c r="B40607" t="s">
        <v>50841</v>
      </c>
      <c r="C40607" t="s">
        <v>15030</v>
      </c>
      <c r="D40607" t="s">
        <v>1490</v>
      </c>
      <c r="E40607" t="s">
        <v>154</v>
      </c>
      <c r="F40607" s="2" t="str">
        <f>HYPERLINK("http://www.otzar.org/book.asp?52026","שו""ת מוהר""ד עראמה")</f>
        <v>שו"ת מוהר"ד עראמה</v>
      </c>
    </row>
    <row r="40608" spans="1:6" x14ac:dyDescent="0.2">
      <c r="A40608" t="s">
        <v>61964</v>
      </c>
      <c r="B40608" t="s">
        <v>1421</v>
      </c>
      <c r="C40608" t="s">
        <v>61965</v>
      </c>
      <c r="D40608" t="s">
        <v>60</v>
      </c>
      <c r="E40608" t="s">
        <v>61966</v>
      </c>
      <c r="F40608" s="2" t="str">
        <f>HYPERLINK("http://www.otzar.org/book.asp?101873","שו""ת מוהר""ץ")</f>
        <v>שו"ת מוהר"ץ</v>
      </c>
    </row>
    <row r="40609" spans="1:6" x14ac:dyDescent="0.2">
      <c r="A40609" t="s">
        <v>61967</v>
      </c>
      <c r="B40609" t="s">
        <v>61968</v>
      </c>
      <c r="C40609" t="s">
        <v>473</v>
      </c>
      <c r="D40609" t="s">
        <v>4352</v>
      </c>
      <c r="E40609" t="s">
        <v>154</v>
      </c>
      <c r="F40609" s="2" t="str">
        <f>HYPERLINK("http://www.otzar.org/book.asp?181783","שו""ת מלחמות אלהים")</f>
        <v>שו"ת מלחמות אלהים</v>
      </c>
    </row>
    <row r="40610" spans="1:6" x14ac:dyDescent="0.2">
      <c r="A40610" t="s">
        <v>61969</v>
      </c>
      <c r="B40610" t="s">
        <v>61970</v>
      </c>
      <c r="C40610" t="s">
        <v>609</v>
      </c>
      <c r="D40610" t="s">
        <v>1279</v>
      </c>
      <c r="E40610" t="s">
        <v>154</v>
      </c>
      <c r="F40610" s="2" t="str">
        <f>HYPERLINK("http://www.otzar.org/book.asp?104815","שו""ת מן השמים &lt;אור לשמים&gt;")</f>
        <v>שו"ת מן השמים &lt;אור לשמים&gt;</v>
      </c>
    </row>
    <row r="40611" spans="1:6" x14ac:dyDescent="0.2">
      <c r="A40611" t="s">
        <v>61971</v>
      </c>
      <c r="B40611" t="s">
        <v>61970</v>
      </c>
      <c r="C40611" t="s">
        <v>366</v>
      </c>
      <c r="D40611" t="s">
        <v>721</v>
      </c>
      <c r="F40611" s="2" t="str">
        <f>HYPERLINK("http://www.otzar.org/book.asp?609879","שו""ת מן השמים &lt;מהדורה חדשה ע""פ כת""י&gt;")</f>
        <v>שו"ת מן השמים &lt;מהדורה חדשה ע"פ כת"י&gt;</v>
      </c>
    </row>
    <row r="40612" spans="1:6" x14ac:dyDescent="0.2">
      <c r="A40612" t="s">
        <v>61972</v>
      </c>
      <c r="B40612" t="s">
        <v>61970</v>
      </c>
      <c r="C40612" t="s">
        <v>843</v>
      </c>
      <c r="D40612" t="s">
        <v>260</v>
      </c>
      <c r="E40612" t="s">
        <v>588</v>
      </c>
      <c r="F40612" s="2" t="str">
        <f>HYPERLINK("http://www.otzar.org/book.asp?12238","שו""ת מן השמים &lt;קסת הסופר&gt;")</f>
        <v>שו"ת מן השמים &lt;קסת הסופר&gt;</v>
      </c>
    </row>
    <row r="40613" spans="1:6" x14ac:dyDescent="0.2">
      <c r="A40613" t="s">
        <v>61973</v>
      </c>
      <c r="B40613" t="s">
        <v>61970</v>
      </c>
      <c r="C40613" t="s">
        <v>1885</v>
      </c>
      <c r="D40613" t="s">
        <v>379</v>
      </c>
      <c r="E40613" t="s">
        <v>154</v>
      </c>
      <c r="F40613" s="2" t="str">
        <f>HYPERLINK("http://www.otzar.org/book.asp?149600","שו""ת מן השמים - 4 כר'")</f>
        <v>שו"ת מן השמים - 4 כר'</v>
      </c>
    </row>
    <row r="40614" spans="1:6" x14ac:dyDescent="0.2">
      <c r="A40614" t="s">
        <v>61974</v>
      </c>
      <c r="B40614" t="s">
        <v>61975</v>
      </c>
      <c r="C40614" t="s">
        <v>366</v>
      </c>
      <c r="D40614" t="s">
        <v>14</v>
      </c>
      <c r="F40614" s="2" t="str">
        <f>HYPERLINK("http://www.otzar.org/book.asp?617611","שו""ת מעין אומר - 20 כר'")</f>
        <v>שו"ת מעין אומר - 20 כר'</v>
      </c>
    </row>
    <row r="40615" spans="1:6" x14ac:dyDescent="0.2">
      <c r="A40615" t="s">
        <v>61976</v>
      </c>
      <c r="B40615" t="s">
        <v>5753</v>
      </c>
      <c r="C40615" t="s">
        <v>168</v>
      </c>
      <c r="D40615" t="s">
        <v>14</v>
      </c>
      <c r="E40615" t="s">
        <v>588</v>
      </c>
      <c r="F40615" s="2" t="str">
        <f>HYPERLINK("http://www.otzar.org/book.asp?106136","שו""ת מעשה חושב - 9 כר'")</f>
        <v>שו"ת מעשה חושב - 9 כר'</v>
      </c>
    </row>
    <row r="40616" spans="1:6" x14ac:dyDescent="0.2">
      <c r="A40616" t="s">
        <v>61977</v>
      </c>
      <c r="B40616" t="s">
        <v>61978</v>
      </c>
      <c r="C40616" t="s">
        <v>533</v>
      </c>
      <c r="D40616" t="s">
        <v>216</v>
      </c>
      <c r="E40616" t="s">
        <v>154</v>
      </c>
      <c r="F40616" s="2" t="str">
        <f>HYPERLINK("http://www.otzar.org/book.asp?84100","שו""ת מתנות באדם")</f>
        <v>שו"ת מתנות באדם</v>
      </c>
    </row>
    <row r="40617" spans="1:6" x14ac:dyDescent="0.2">
      <c r="A40617" t="s">
        <v>61979</v>
      </c>
      <c r="B40617" t="s">
        <v>61980</v>
      </c>
      <c r="C40617" t="s">
        <v>37</v>
      </c>
      <c r="D40617" t="s">
        <v>14</v>
      </c>
      <c r="E40617" t="s">
        <v>154</v>
      </c>
      <c r="F40617" s="2" t="str">
        <f>HYPERLINK("http://www.otzar.org/book.asp?181019","שו""ת נחל אשכול")</f>
        <v>שו"ת נחל אשכול</v>
      </c>
    </row>
    <row r="40618" spans="1:6" x14ac:dyDescent="0.2">
      <c r="A40618" t="s">
        <v>61981</v>
      </c>
      <c r="B40618" t="s">
        <v>61982</v>
      </c>
      <c r="C40618" t="s">
        <v>244</v>
      </c>
      <c r="D40618" t="s">
        <v>14</v>
      </c>
      <c r="E40618" t="s">
        <v>154</v>
      </c>
      <c r="F40618" s="2" t="str">
        <f>HYPERLINK("http://www.otzar.org/book.asp?627460","שו""ת עומק הלכה - 2 כר'")</f>
        <v>שו"ת עומק הלכה - 2 כר'</v>
      </c>
    </row>
    <row r="40619" spans="1:6" x14ac:dyDescent="0.2">
      <c r="A40619" t="s">
        <v>61983</v>
      </c>
      <c r="B40619" t="s">
        <v>61984</v>
      </c>
      <c r="C40619" t="s">
        <v>23</v>
      </c>
      <c r="D40619" t="s">
        <v>14</v>
      </c>
      <c r="E40619" t="s">
        <v>158</v>
      </c>
      <c r="F40619" s="2" t="str">
        <f>HYPERLINK("http://www.otzar.org/book.asp?193594","שו""ת על הפרשה - 3 כר'")</f>
        <v>שו"ת על הפרשה - 3 כר'</v>
      </c>
    </row>
    <row r="40620" spans="1:6" x14ac:dyDescent="0.2">
      <c r="A40620" t="s">
        <v>61985</v>
      </c>
      <c r="B40620" t="s">
        <v>8496</v>
      </c>
      <c r="C40620" t="s">
        <v>71</v>
      </c>
      <c r="D40620" t="s">
        <v>52</v>
      </c>
      <c r="E40620" t="s">
        <v>154</v>
      </c>
      <c r="F40620" s="2" t="str">
        <f>HYPERLINK("http://www.otzar.org/book.asp?28153","שו""ת עשה משה")</f>
        <v>שו"ת עשה משה</v>
      </c>
    </row>
    <row r="40621" spans="1:6" x14ac:dyDescent="0.2">
      <c r="A40621" t="s">
        <v>61986</v>
      </c>
      <c r="B40621" t="s">
        <v>61987</v>
      </c>
      <c r="C40621" t="s">
        <v>114</v>
      </c>
      <c r="D40621" t="s">
        <v>21</v>
      </c>
      <c r="F40621" s="2" t="str">
        <f>HYPERLINK("http://www.otzar.org/book.asp?615227","שו""ת פלא יועץ")</f>
        <v>שו"ת פלא יועץ</v>
      </c>
    </row>
    <row r="40622" spans="1:6" x14ac:dyDescent="0.2">
      <c r="A40622" t="s">
        <v>61988</v>
      </c>
      <c r="B40622" t="s">
        <v>2593</v>
      </c>
      <c r="D40622" t="s">
        <v>35382</v>
      </c>
      <c r="F40622" s="2" t="str">
        <f>HYPERLINK("http://www.otzar.org/book.asp?198647","שו""ת פרי עץ הדר")</f>
        <v>שו"ת פרי עץ הדר</v>
      </c>
    </row>
    <row r="40623" spans="1:6" x14ac:dyDescent="0.2">
      <c r="A40623" t="s">
        <v>61989</v>
      </c>
      <c r="B40623" t="s">
        <v>61990</v>
      </c>
      <c r="C40623" t="s">
        <v>61991</v>
      </c>
      <c r="D40623" t="s">
        <v>1023</v>
      </c>
      <c r="E40623" t="s">
        <v>7868</v>
      </c>
      <c r="F40623" s="2" t="str">
        <f>HYPERLINK("http://www.otzar.org/book.asp?963","שו""ת פרי עץ חיים - 14 כר'")</f>
        <v>שו"ת פרי עץ חיים - 14 כר'</v>
      </c>
    </row>
    <row r="40624" spans="1:6" x14ac:dyDescent="0.2">
      <c r="A40624" t="s">
        <v>61992</v>
      </c>
      <c r="B40624" t="s">
        <v>61993</v>
      </c>
      <c r="C40624" t="s">
        <v>20</v>
      </c>
      <c r="D40624" t="s">
        <v>14</v>
      </c>
      <c r="E40624" t="s">
        <v>154</v>
      </c>
      <c r="F40624" s="2" t="str">
        <f>HYPERLINK("http://www.otzar.org/book.asp?607109","שו""ת צבי לצדיק  עם שופרא דישראל")</f>
        <v>שו"ת צבי לצדיק  עם שופרא דישראל</v>
      </c>
    </row>
    <row r="40625" spans="1:6" x14ac:dyDescent="0.2">
      <c r="A40625" t="s">
        <v>61994</v>
      </c>
      <c r="B40625" t="s">
        <v>5723</v>
      </c>
      <c r="C40625" t="s">
        <v>802</v>
      </c>
      <c r="D40625" t="s">
        <v>6742</v>
      </c>
      <c r="E40625" t="s">
        <v>154</v>
      </c>
      <c r="F40625" s="2" t="str">
        <f>HYPERLINK("http://www.otzar.org/book.asp?105614","שו""ת קאצינעללין בוגין")</f>
        <v>שו"ת קאצינעללין בוגין</v>
      </c>
    </row>
    <row r="40626" spans="1:6" x14ac:dyDescent="0.2">
      <c r="A40626" t="s">
        <v>61995</v>
      </c>
      <c r="B40626" t="s">
        <v>1843</v>
      </c>
      <c r="C40626" t="s">
        <v>767</v>
      </c>
      <c r="D40626" t="s">
        <v>14</v>
      </c>
      <c r="E40626" t="s">
        <v>154</v>
      </c>
      <c r="F40626" s="2" t="str">
        <f>HYPERLINK("http://www.otzar.org/book.asp?105258","שו""ת קול אליהו - 2 כר'")</f>
        <v>שו"ת קול אליהו - 2 כר'</v>
      </c>
    </row>
    <row r="40627" spans="1:6" x14ac:dyDescent="0.2">
      <c r="A40627" t="s">
        <v>61996</v>
      </c>
      <c r="B40627" t="s">
        <v>51475</v>
      </c>
      <c r="C40627" t="s">
        <v>133</v>
      </c>
      <c r="D40627" t="s">
        <v>14</v>
      </c>
      <c r="E40627" t="s">
        <v>154</v>
      </c>
      <c r="F40627" s="2" t="str">
        <f>HYPERLINK("http://www.otzar.org/book.asp?196720","שו""ת קול מנחם &lt;קאליב&gt; - 14 כר'")</f>
        <v>שו"ת קול מנחם &lt;קאליב&gt; - 14 כר'</v>
      </c>
    </row>
    <row r="40628" spans="1:6" x14ac:dyDescent="0.2">
      <c r="A40628" t="s">
        <v>61997</v>
      </c>
      <c r="B40628" t="s">
        <v>44431</v>
      </c>
      <c r="C40628" t="s">
        <v>20</v>
      </c>
      <c r="D40628" t="s">
        <v>9</v>
      </c>
      <c r="E40628" t="s">
        <v>154</v>
      </c>
      <c r="F40628" s="2" t="str">
        <f>HYPERLINK("http://www.otzar.org/book.asp?51719","שו""ת ר""ש אביגדור")</f>
        <v>שו"ת ר"ש אביגדור</v>
      </c>
    </row>
    <row r="40629" spans="1:6" x14ac:dyDescent="0.2">
      <c r="A40629" t="s">
        <v>61998</v>
      </c>
      <c r="B40629" t="s">
        <v>61999</v>
      </c>
      <c r="C40629" t="s">
        <v>11821</v>
      </c>
      <c r="D40629" t="s">
        <v>610</v>
      </c>
      <c r="E40629" t="s">
        <v>154</v>
      </c>
      <c r="F40629" s="2" t="str">
        <f>HYPERLINK("http://www.otzar.org/book.asp?101877","שו""ת ר' בצלאל")</f>
        <v>שו"ת ר' בצלאל</v>
      </c>
    </row>
    <row r="40630" spans="1:6" x14ac:dyDescent="0.2">
      <c r="A40630" t="s">
        <v>62000</v>
      </c>
      <c r="B40630" t="s">
        <v>25422</v>
      </c>
      <c r="C40630" t="s">
        <v>11715</v>
      </c>
      <c r="D40630" t="s">
        <v>76</v>
      </c>
      <c r="E40630" t="s">
        <v>154</v>
      </c>
      <c r="F40630" s="2" t="str">
        <f>HYPERLINK("http://www.otzar.org/book.asp?102682","שו""ת ר' ברוך אנג'יל")</f>
        <v>שו"ת ר' ברוך אנג'יל</v>
      </c>
    </row>
    <row r="40631" spans="1:6" x14ac:dyDescent="0.2">
      <c r="A40631" t="s">
        <v>62001</v>
      </c>
      <c r="B40631" t="s">
        <v>1763</v>
      </c>
      <c r="C40631" t="s">
        <v>533</v>
      </c>
      <c r="D40631" t="s">
        <v>14</v>
      </c>
      <c r="E40631" t="s">
        <v>154</v>
      </c>
      <c r="F40631" s="2" t="str">
        <f>HYPERLINK("http://www.otzar.org/book.asp?9440","שו""ת ר' ידידיה טיאה ווייל")</f>
        <v>שו"ת ר' ידידיה טיאה ווייל</v>
      </c>
    </row>
    <row r="40632" spans="1:6" x14ac:dyDescent="0.2">
      <c r="A40632" t="s">
        <v>62002</v>
      </c>
      <c r="B40632" t="s">
        <v>62003</v>
      </c>
      <c r="C40632" t="s">
        <v>785</v>
      </c>
      <c r="D40632" t="s">
        <v>14</v>
      </c>
      <c r="E40632" t="s">
        <v>791</v>
      </c>
      <c r="F40632" s="2" t="str">
        <f>HYPERLINK("http://www.otzar.org/book.asp?10859","שו""ת ר' יוסף בן עזרא")</f>
        <v>שו"ת ר' יוסף בן עזרא</v>
      </c>
    </row>
    <row r="40633" spans="1:6" x14ac:dyDescent="0.2">
      <c r="A40633" t="s">
        <v>62004</v>
      </c>
      <c r="B40633" t="s">
        <v>62005</v>
      </c>
      <c r="C40633" t="s">
        <v>800</v>
      </c>
      <c r="D40633" t="s">
        <v>535</v>
      </c>
      <c r="E40633" t="s">
        <v>154</v>
      </c>
      <c r="F40633" s="2" t="str">
        <f>HYPERLINK("http://www.otzar.org/book.asp?10906","שו""ת ר' יצחק בן עמנואל מלאטיש")</f>
        <v>שו"ת ר' יצחק בן עמנואל מלאטיש</v>
      </c>
    </row>
    <row r="40634" spans="1:6" x14ac:dyDescent="0.2">
      <c r="A40634" t="s">
        <v>62006</v>
      </c>
      <c r="B40634" t="s">
        <v>5088</v>
      </c>
      <c r="C40634" t="s">
        <v>1718</v>
      </c>
      <c r="D40634" t="s">
        <v>283</v>
      </c>
      <c r="E40634" t="s">
        <v>930</v>
      </c>
      <c r="F40634" s="2" t="str">
        <f>HYPERLINK("http://www.otzar.org/book.asp?9462","שו""ת ר' משולם איגרא")</f>
        <v>שו"ת ר' משולם איגרא</v>
      </c>
    </row>
    <row r="40635" spans="1:6" x14ac:dyDescent="0.2">
      <c r="A40635" t="s">
        <v>62007</v>
      </c>
      <c r="B40635" t="s">
        <v>62008</v>
      </c>
      <c r="C40635" t="s">
        <v>62009</v>
      </c>
      <c r="D40635" t="s">
        <v>216</v>
      </c>
      <c r="E40635" t="s">
        <v>2509</v>
      </c>
      <c r="F40635" s="2" t="str">
        <f>HYPERLINK("http://www.otzar.org/book.asp?10921","שו""ת ר' עזריאל ב""ר שלמה דאיינה - 2 כר'")</f>
        <v>שו"ת ר' עזריאל ב"ר שלמה דאיינה - 2 כר'</v>
      </c>
    </row>
    <row r="40636" spans="1:6" x14ac:dyDescent="0.2">
      <c r="A40636" t="s">
        <v>62010</v>
      </c>
      <c r="B40636" t="s">
        <v>25498</v>
      </c>
      <c r="C40636" t="s">
        <v>19275</v>
      </c>
      <c r="D40636" t="s">
        <v>1117</v>
      </c>
      <c r="E40636" t="s">
        <v>33343</v>
      </c>
      <c r="F40636" s="2" t="str">
        <f>HYPERLINK("http://www.otzar.org/book.asp?102819","שו""ת ר' צבי הלר")</f>
        <v>שו"ת ר' צבי הלר</v>
      </c>
    </row>
    <row r="40637" spans="1:6" x14ac:dyDescent="0.2">
      <c r="A40637" t="s">
        <v>62011</v>
      </c>
      <c r="B40637" t="s">
        <v>62012</v>
      </c>
      <c r="C40637" t="s">
        <v>5823</v>
      </c>
      <c r="D40637" t="s">
        <v>1023</v>
      </c>
      <c r="E40637" t="s">
        <v>154</v>
      </c>
      <c r="F40637" s="2" t="str">
        <f>HYPERLINK("http://www.otzar.org/book.asp?300202","שו""ת ר' שמואל עזריה רודלסהיים")</f>
        <v>שו"ת ר' שמואל עזריה רודלסהיים</v>
      </c>
    </row>
    <row r="40638" spans="1:6" x14ac:dyDescent="0.2">
      <c r="A40638" t="s">
        <v>62013</v>
      </c>
      <c r="B40638" t="s">
        <v>46745</v>
      </c>
      <c r="C40638" t="s">
        <v>438</v>
      </c>
      <c r="D40638" t="s">
        <v>14</v>
      </c>
      <c r="E40638" t="s">
        <v>791</v>
      </c>
      <c r="F40638" s="2" t="str">
        <f>HYPERLINK("http://www.otzar.org/book.asp?10900","שו""ת ראב""י אב""ד")</f>
        <v>שו"ת ראב"י אב"ד</v>
      </c>
    </row>
    <row r="40639" spans="1:6" x14ac:dyDescent="0.2">
      <c r="A40639" t="s">
        <v>62014</v>
      </c>
      <c r="B40639" t="s">
        <v>62015</v>
      </c>
      <c r="C40639" t="s">
        <v>422</v>
      </c>
      <c r="D40639" t="s">
        <v>52</v>
      </c>
      <c r="F40639" s="2" t="str">
        <f>HYPERLINK("http://www.otzar.org/book.asp?602116","שו""ת רבי בצלאל אשכנזי &lt;מהדורה מוערת&gt;- סימן כה")</f>
        <v>שו"ת רבי בצלאל אשכנזי &lt;מהדורה מוערת&gt;- סימן כה</v>
      </c>
    </row>
    <row r="40640" spans="1:6" x14ac:dyDescent="0.2">
      <c r="A40640" t="s">
        <v>62016</v>
      </c>
      <c r="B40640" t="s">
        <v>62017</v>
      </c>
      <c r="C40640" t="s">
        <v>62018</v>
      </c>
      <c r="D40640" t="s">
        <v>14</v>
      </c>
      <c r="E40640" t="s">
        <v>154</v>
      </c>
      <c r="F40640" s="2" t="str">
        <f>HYPERLINK("http://www.otzar.org/book.asp?152449","שו""ת רבי גבריאל אשכנזי - 2 כר'")</f>
        <v>שו"ת רבי גבריאל אשכנזי - 2 כר'</v>
      </c>
    </row>
    <row r="40641" spans="1:6" x14ac:dyDescent="0.2">
      <c r="A40641" t="s">
        <v>62019</v>
      </c>
      <c r="B40641" t="s">
        <v>62020</v>
      </c>
      <c r="C40641" t="s">
        <v>244</v>
      </c>
      <c r="F40641" s="2" t="str">
        <f>HYPERLINK("http://www.otzar.org/book.asp?622999","שו""ת רבי חיים דוד סירירו")</f>
        <v>שו"ת רבי חיים דוד סירירו</v>
      </c>
    </row>
    <row r="40642" spans="1:6" x14ac:dyDescent="0.2">
      <c r="A40642" t="s">
        <v>62021</v>
      </c>
      <c r="B40642" t="s">
        <v>62022</v>
      </c>
      <c r="C40642" t="s">
        <v>523</v>
      </c>
      <c r="D40642" t="s">
        <v>14</v>
      </c>
      <c r="E40642" t="s">
        <v>154</v>
      </c>
      <c r="F40642" s="2" t="str">
        <f>HYPERLINK("http://www.otzar.org/book.asp?147509","שו""ת רבי יהודה מילר - א")</f>
        <v>שו"ת רבי יהודה מילר - א</v>
      </c>
    </row>
    <row r="40643" spans="1:6" x14ac:dyDescent="0.2">
      <c r="A40643" t="s">
        <v>62023</v>
      </c>
      <c r="B40643" t="s">
        <v>62024</v>
      </c>
      <c r="C40643" t="s">
        <v>111</v>
      </c>
      <c r="D40643" t="s">
        <v>52</v>
      </c>
      <c r="E40643" t="s">
        <v>10</v>
      </c>
      <c r="F40643" s="2" t="str">
        <f>HYPERLINK("http://www.otzar.org/book.asp?622876","שו""ת רבי יהושע אשכנזי")</f>
        <v>שו"ת רבי יהושע אשכנזי</v>
      </c>
    </row>
    <row r="40644" spans="1:6" x14ac:dyDescent="0.2">
      <c r="A40644" t="s">
        <v>62025</v>
      </c>
      <c r="B40644" t="s">
        <v>41634</v>
      </c>
      <c r="C40644" t="s">
        <v>785</v>
      </c>
      <c r="D40644" t="s">
        <v>14</v>
      </c>
      <c r="E40644" t="s">
        <v>154</v>
      </c>
      <c r="F40644" s="2" t="str">
        <f>HYPERLINK("http://www.otzar.org/book.asp?152590","שו""ת רבי יוסף ן' עזרא")</f>
        <v>שו"ת רבי יוסף ן' עזרא</v>
      </c>
    </row>
    <row r="40645" spans="1:6" x14ac:dyDescent="0.2">
      <c r="A40645" t="s">
        <v>62026</v>
      </c>
      <c r="B40645" t="s">
        <v>62027</v>
      </c>
      <c r="C40645" t="s">
        <v>114</v>
      </c>
      <c r="D40645" t="s">
        <v>52</v>
      </c>
      <c r="E40645" t="s">
        <v>154</v>
      </c>
      <c r="F40645" s="2" t="str">
        <f>HYPERLINK("http://www.otzar.org/book.asp?611905","שו""ת רבי יעקב בטאן - חו""מ, יו""ד")</f>
        <v>שו"ת רבי יעקב בטאן - חו"מ, יו"ד</v>
      </c>
    </row>
    <row r="40646" spans="1:6" x14ac:dyDescent="0.2">
      <c r="A40646" t="s">
        <v>62028</v>
      </c>
      <c r="B40646" t="s">
        <v>52557</v>
      </c>
      <c r="C40646" t="s">
        <v>114</v>
      </c>
      <c r="D40646" t="s">
        <v>14</v>
      </c>
      <c r="E40646" t="s">
        <v>154</v>
      </c>
      <c r="F40646" s="2" t="str">
        <f>HYPERLINK("http://www.otzar.org/book.asp?174029","שו""ת רבי יצחק הלוי מקושטא")</f>
        <v>שו"ת רבי יצחק הלוי מקושטא</v>
      </c>
    </row>
    <row r="40647" spans="1:6" x14ac:dyDescent="0.2">
      <c r="A40647" t="s">
        <v>62029</v>
      </c>
      <c r="B40647" t="s">
        <v>1383</v>
      </c>
      <c r="C40647" t="s">
        <v>124</v>
      </c>
      <c r="D40647" t="s">
        <v>216</v>
      </c>
      <c r="E40647" t="s">
        <v>62030</v>
      </c>
      <c r="F40647" s="2" t="str">
        <f>HYPERLINK("http://www.otzar.org/book.asp?84640","שו""ת רבי עזריאל - 2 כר'")</f>
        <v>שו"ת רבי עזריאל - 2 כר'</v>
      </c>
    </row>
    <row r="40648" spans="1:6" x14ac:dyDescent="0.2">
      <c r="A40648" t="s">
        <v>62031</v>
      </c>
      <c r="B40648" t="s">
        <v>1385</v>
      </c>
      <c r="C40648" t="s">
        <v>114</v>
      </c>
      <c r="D40648" t="s">
        <v>14</v>
      </c>
      <c r="E40648" t="s">
        <v>154</v>
      </c>
      <c r="F40648" s="2" t="str">
        <f>HYPERLINK("http://www.otzar.org/book.asp?174667","שו""ת רבי עקיבא איגר &lt;ספרי אור החיים&gt; - 2 כר'")</f>
        <v>שו"ת רבי עקיבא איגר &lt;ספרי אור החיים&gt; - 2 כר'</v>
      </c>
    </row>
    <row r="40649" spans="1:6" x14ac:dyDescent="0.2">
      <c r="A40649" t="s">
        <v>62032</v>
      </c>
      <c r="B40649" t="s">
        <v>10164</v>
      </c>
      <c r="C40649" t="s">
        <v>422</v>
      </c>
      <c r="D40649" t="s">
        <v>27</v>
      </c>
      <c r="E40649" t="s">
        <v>154</v>
      </c>
      <c r="F40649" s="2" t="str">
        <f>HYPERLINK("http://www.otzar.org/book.asp?603943","שו""ת רבי עקיבא יוסף - 4 כר'")</f>
        <v>שו"ת רבי עקיבא יוסף - 4 כר'</v>
      </c>
    </row>
    <row r="40650" spans="1:6" x14ac:dyDescent="0.2">
      <c r="A40650" t="s">
        <v>62033</v>
      </c>
      <c r="B40650" t="s">
        <v>932</v>
      </c>
      <c r="C40650" t="s">
        <v>1169</v>
      </c>
      <c r="D40650" t="s">
        <v>260</v>
      </c>
      <c r="E40650" t="s">
        <v>154</v>
      </c>
      <c r="F40650" s="2" t="str">
        <f>HYPERLINK("http://www.otzar.org/book.asp?23430","שו""ת רבי שאול משה")</f>
        <v>שו"ת רבי שאול משה</v>
      </c>
    </row>
    <row r="40651" spans="1:6" x14ac:dyDescent="0.2">
      <c r="A40651" t="s">
        <v>62034</v>
      </c>
      <c r="B40651" t="s">
        <v>5658</v>
      </c>
      <c r="C40651" t="s">
        <v>812</v>
      </c>
      <c r="D40651" t="s">
        <v>27</v>
      </c>
      <c r="E40651" t="s">
        <v>154</v>
      </c>
      <c r="F40651" s="2" t="str">
        <f>HYPERLINK("http://www.otzar.org/book.asp?9420","שו""ת רבינו אליהו מזרחי (הרא""ם) - 2 כר'")</f>
        <v>שו"ת רבינו אליהו מזרחי (הרא"ם) - 2 כר'</v>
      </c>
    </row>
    <row r="40652" spans="1:6" x14ac:dyDescent="0.2">
      <c r="A40652" t="s">
        <v>62035</v>
      </c>
      <c r="B40652" t="s">
        <v>7150</v>
      </c>
      <c r="C40652" t="s">
        <v>282</v>
      </c>
      <c r="D40652" t="s">
        <v>9748</v>
      </c>
      <c r="E40652" t="s">
        <v>154</v>
      </c>
      <c r="F40652" s="2" t="str">
        <f>HYPERLINK("http://www.otzar.org/book.asp?101560","שו""ת רבינו בצלאל אשכנזי - 3 כר'")</f>
        <v>שו"ת רבינו בצלאל אשכנזי - 3 כר'</v>
      </c>
    </row>
    <row r="40653" spans="1:6" x14ac:dyDescent="0.2">
      <c r="A40653" t="s">
        <v>62036</v>
      </c>
      <c r="B40653" t="s">
        <v>23287</v>
      </c>
      <c r="C40653" t="s">
        <v>568</v>
      </c>
      <c r="D40653" t="s">
        <v>267</v>
      </c>
      <c r="E40653" t="s">
        <v>154</v>
      </c>
      <c r="F40653" s="2" t="str">
        <f>HYPERLINK("http://www.otzar.org/book.asp?102681","שו""ת רבינו חיים כהן - 2 כר'")</f>
        <v>שו"ת רבינו חיים כהן - 2 כר'</v>
      </c>
    </row>
    <row r="40654" spans="1:6" x14ac:dyDescent="0.2">
      <c r="A40654" t="s">
        <v>62037</v>
      </c>
      <c r="B40654" t="s">
        <v>6496</v>
      </c>
      <c r="C40654" t="s">
        <v>427</v>
      </c>
      <c r="D40654" t="s">
        <v>52</v>
      </c>
      <c r="E40654" t="s">
        <v>154</v>
      </c>
      <c r="F40654" s="2" t="str">
        <f>HYPERLINK("http://www.otzar.org/book.asp?174618","שו""ת רבינו יעקב מליסא")</f>
        <v>שו"ת רבינו יעקב מליסא</v>
      </c>
    </row>
    <row r="40655" spans="1:6" x14ac:dyDescent="0.2">
      <c r="A40655" t="s">
        <v>62038</v>
      </c>
      <c r="B40655" t="s">
        <v>62039</v>
      </c>
      <c r="C40655" t="s">
        <v>2644</v>
      </c>
      <c r="D40655" t="s">
        <v>225</v>
      </c>
      <c r="E40655" t="s">
        <v>154</v>
      </c>
      <c r="F40655" s="2" t="str">
        <f>HYPERLINK("http://www.otzar.org/book.asp?10880","שו""ת רבינו יעקב מסמילא")</f>
        <v>שו"ת רבינו יעקב מסמילא</v>
      </c>
    </row>
    <row r="40656" spans="1:6" x14ac:dyDescent="0.2">
      <c r="A40656" t="s">
        <v>62040</v>
      </c>
      <c r="B40656" t="s">
        <v>5088</v>
      </c>
      <c r="C40656" t="s">
        <v>473</v>
      </c>
      <c r="D40656" t="s">
        <v>379</v>
      </c>
      <c r="E40656" t="s">
        <v>901</v>
      </c>
      <c r="F40656" s="2" t="str">
        <f>HYPERLINK("http://www.otzar.org/book.asp?863","שו""ת רבינו משולם איגרא")</f>
        <v>שו"ת רבינו משולם איגרא</v>
      </c>
    </row>
    <row r="40657" spans="1:6" x14ac:dyDescent="0.2">
      <c r="A40657" t="s">
        <v>62041</v>
      </c>
      <c r="B40657" t="s">
        <v>62042</v>
      </c>
      <c r="C40657" t="s">
        <v>68</v>
      </c>
      <c r="D40657" t="s">
        <v>14</v>
      </c>
      <c r="E40657" t="s">
        <v>154</v>
      </c>
      <c r="F40657" s="2" t="str">
        <f>HYPERLINK("http://www.otzar.org/book.asp?166450","שו""ת רבני אירופה")</f>
        <v>שו"ת רבני אירופה</v>
      </c>
    </row>
    <row r="40658" spans="1:6" x14ac:dyDescent="0.2">
      <c r="A40658" t="s">
        <v>62043</v>
      </c>
      <c r="B40658" t="s">
        <v>1149</v>
      </c>
      <c r="C40658" t="s">
        <v>5823</v>
      </c>
      <c r="D40658" t="s">
        <v>27</v>
      </c>
      <c r="E40658" t="s">
        <v>791</v>
      </c>
      <c r="F40658" s="2" t="str">
        <f>HYPERLINK("http://www.otzar.org/book.asp?872","שו""ת רד""ל")</f>
        <v>שו"ת רד"ל</v>
      </c>
    </row>
    <row r="40659" spans="1:6" x14ac:dyDescent="0.2">
      <c r="A40659" t="s">
        <v>62044</v>
      </c>
      <c r="B40659" t="s">
        <v>31068</v>
      </c>
      <c r="C40659" t="s">
        <v>4907</v>
      </c>
      <c r="D40659" t="s">
        <v>22797</v>
      </c>
      <c r="F40659" s="2" t="str">
        <f>HYPERLINK("http://www.otzar.org/book.asp?191434","שו""ת רדב""ז")</f>
        <v>שו"ת רדב"ז</v>
      </c>
    </row>
    <row r="40660" spans="1:6" x14ac:dyDescent="0.2">
      <c r="A40660" t="s">
        <v>62045</v>
      </c>
      <c r="B40660" t="s">
        <v>16210</v>
      </c>
      <c r="C40660" t="s">
        <v>14870</v>
      </c>
      <c r="D40660" t="s">
        <v>889</v>
      </c>
      <c r="E40660" t="s">
        <v>684</v>
      </c>
      <c r="F40660" s="2" t="str">
        <f>HYPERLINK("http://www.otzar.org/book.asp?101555","שו""ת רחמים פשוטים")</f>
        <v>שו"ת רחמים פשוטים</v>
      </c>
    </row>
    <row r="40661" spans="1:6" x14ac:dyDescent="0.2">
      <c r="A40661" t="s">
        <v>62046</v>
      </c>
      <c r="B40661" t="s">
        <v>25135</v>
      </c>
      <c r="C40661" t="s">
        <v>1310</v>
      </c>
      <c r="D40661" t="s">
        <v>283</v>
      </c>
      <c r="E40661" t="s">
        <v>154</v>
      </c>
      <c r="F40661" s="2" t="str">
        <f>HYPERLINK("http://www.otzar.org/book.asp?52034","שו""ת ריב""ן")</f>
        <v>שו"ת ריב"ן</v>
      </c>
    </row>
    <row r="40662" spans="1:6" x14ac:dyDescent="0.2">
      <c r="A40662" t="s">
        <v>62047</v>
      </c>
      <c r="B40662" t="s">
        <v>10517</v>
      </c>
      <c r="C40662" t="s">
        <v>728</v>
      </c>
      <c r="D40662" t="s">
        <v>56</v>
      </c>
      <c r="E40662" t="s">
        <v>154</v>
      </c>
      <c r="F40662" s="2" t="str">
        <f>HYPERLINK("http://www.otzar.org/book.asp?52033","שו""ת רידב""ז")</f>
        <v>שו"ת רידב"ז</v>
      </c>
    </row>
    <row r="40663" spans="1:6" x14ac:dyDescent="0.2">
      <c r="A40663" t="s">
        <v>62048</v>
      </c>
      <c r="B40663" t="s">
        <v>16277</v>
      </c>
      <c r="C40663" t="s">
        <v>62049</v>
      </c>
      <c r="D40663" t="s">
        <v>855</v>
      </c>
      <c r="E40663" t="s">
        <v>154</v>
      </c>
      <c r="F40663" s="2" t="str">
        <f>HYPERLINK("http://www.otzar.org/book.asp?51423","שו""ת רמ""ץ - 2 כר'")</f>
        <v>שו"ת רמ"ץ - 2 כר'</v>
      </c>
    </row>
    <row r="40664" spans="1:6" x14ac:dyDescent="0.2">
      <c r="A40664" t="s">
        <v>62050</v>
      </c>
      <c r="B40664" t="s">
        <v>7354</v>
      </c>
      <c r="C40664" t="s">
        <v>6624</v>
      </c>
      <c r="D40664" t="s">
        <v>2303</v>
      </c>
      <c r="E40664" t="s">
        <v>154</v>
      </c>
      <c r="F40664" s="2" t="str">
        <f>HYPERLINK("http://www.otzar.org/book.asp?101815","שו""ת רש""ל")</f>
        <v>שו"ת רש"ל</v>
      </c>
    </row>
    <row r="40665" spans="1:6" x14ac:dyDescent="0.2">
      <c r="A40665" t="s">
        <v>62051</v>
      </c>
      <c r="B40665" t="s">
        <v>38174</v>
      </c>
      <c r="C40665" t="s">
        <v>10293</v>
      </c>
      <c r="D40665" t="s">
        <v>379</v>
      </c>
      <c r="E40665" t="s">
        <v>154</v>
      </c>
      <c r="F40665" s="2" t="str">
        <f>HYPERLINK("http://www.otzar.org/book.asp?28526","שו""ת רשב""ן - 2 כר'")</f>
        <v>שו"ת רשב"ן - 2 כר'</v>
      </c>
    </row>
    <row r="40666" spans="1:6" x14ac:dyDescent="0.2">
      <c r="A40666" t="s">
        <v>62052</v>
      </c>
      <c r="B40666" t="s">
        <v>61518</v>
      </c>
      <c r="C40666" t="s">
        <v>114</v>
      </c>
      <c r="D40666" t="s">
        <v>21</v>
      </c>
      <c r="F40666" s="2" t="str">
        <f>HYPERLINK("http://www.otzar.org/book.asp?197390","שו""ת שבע ברכות")</f>
        <v>שו"ת שבע ברכות</v>
      </c>
    </row>
    <row r="40667" spans="1:6" x14ac:dyDescent="0.2">
      <c r="A40667" t="s">
        <v>62053</v>
      </c>
      <c r="B40667" t="s">
        <v>62054</v>
      </c>
      <c r="C40667" t="s">
        <v>20</v>
      </c>
      <c r="D40667" t="s">
        <v>52</v>
      </c>
      <c r="E40667" t="s">
        <v>154</v>
      </c>
      <c r="F40667" s="2" t="str">
        <f>HYPERLINK("http://www.otzar.org/book.asp?608459","שו""ת שיח יצחק")</f>
        <v>שו"ת שיח יצחק</v>
      </c>
    </row>
    <row r="40668" spans="1:6" x14ac:dyDescent="0.2">
      <c r="A40668" t="s">
        <v>62055</v>
      </c>
      <c r="B40668" t="s">
        <v>62056</v>
      </c>
      <c r="C40668" t="s">
        <v>1335</v>
      </c>
      <c r="D40668" t="s">
        <v>212</v>
      </c>
      <c r="E40668" t="s">
        <v>154</v>
      </c>
      <c r="F40668" s="2" t="str">
        <f>HYPERLINK("http://www.otzar.org/book.asp?52035","שו""ת שער שלמה")</f>
        <v>שו"ת שער שלמה</v>
      </c>
    </row>
    <row r="40669" spans="1:6" x14ac:dyDescent="0.2">
      <c r="A40669" t="s">
        <v>62057</v>
      </c>
      <c r="B40669" t="s">
        <v>62058</v>
      </c>
      <c r="C40669" t="s">
        <v>1619</v>
      </c>
      <c r="D40669" t="s">
        <v>52</v>
      </c>
      <c r="E40669" t="s">
        <v>154</v>
      </c>
      <c r="F40669" s="2" t="str">
        <f>HYPERLINK("http://www.otzar.org/book.asp?9547","שו""ת שרגא המאיר - 6 כר'")</f>
        <v>שו"ת שרגא המאיר - 6 כר'</v>
      </c>
    </row>
    <row r="40670" spans="1:6" x14ac:dyDescent="0.2">
      <c r="A40670" t="s">
        <v>62059</v>
      </c>
      <c r="B40670" t="s">
        <v>8135</v>
      </c>
      <c r="C40670" t="s">
        <v>244</v>
      </c>
      <c r="D40670" t="s">
        <v>14</v>
      </c>
      <c r="E40670" t="s">
        <v>154</v>
      </c>
      <c r="F40670" s="2" t="str">
        <f>HYPERLINK("http://www.otzar.org/book.asp?600762","שו""ת שרידי אש &lt;מהדורה חדשה&gt; - 2 כר'")</f>
        <v>שו"ת שרידי אש &lt;מהדורה חדשה&gt; - 2 כר'</v>
      </c>
    </row>
    <row r="40671" spans="1:6" x14ac:dyDescent="0.2">
      <c r="A40671" t="s">
        <v>62060</v>
      </c>
      <c r="B40671" t="s">
        <v>62061</v>
      </c>
      <c r="C40671" t="s">
        <v>366</v>
      </c>
      <c r="D40671" t="s">
        <v>52</v>
      </c>
      <c r="F40671" s="2" t="str">
        <f>HYPERLINK("http://www.otzar.org/book.asp?609784","שו""ת תודיעני אורח חיים")</f>
        <v>שו"ת תודיעני אורח חיים</v>
      </c>
    </row>
    <row r="40672" spans="1:6" x14ac:dyDescent="0.2">
      <c r="A40672" t="s">
        <v>62062</v>
      </c>
      <c r="B40672" t="s">
        <v>57468</v>
      </c>
      <c r="C40672" t="s">
        <v>13</v>
      </c>
      <c r="D40672" t="s">
        <v>14</v>
      </c>
      <c r="F40672" s="2" t="str">
        <f>HYPERLINK("http://www.otzar.org/book.asp?199285","שו""ת תורת חיים - שבת")</f>
        <v>שו"ת תורת חיים - שבת</v>
      </c>
    </row>
    <row r="40673" spans="1:6" x14ac:dyDescent="0.2">
      <c r="A40673" t="s">
        <v>62063</v>
      </c>
      <c r="B40673" t="s">
        <v>62064</v>
      </c>
      <c r="C40673" t="s">
        <v>1832</v>
      </c>
      <c r="D40673" t="s">
        <v>49</v>
      </c>
      <c r="E40673" t="s">
        <v>219</v>
      </c>
      <c r="F40673" s="2" t="str">
        <f>HYPERLINK("http://www.otzar.org/book.asp?84654","שואה ומשואה &lt;קינה על מות רבי שמואל אבוהב&gt;")</f>
        <v>שואה ומשואה &lt;קינה על מות רבי שמואל אבוהב&gt;</v>
      </c>
    </row>
    <row r="40674" spans="1:6" x14ac:dyDescent="0.2">
      <c r="A40674" t="s">
        <v>62065</v>
      </c>
      <c r="B40674" t="s">
        <v>62066</v>
      </c>
      <c r="C40674" t="s">
        <v>503</v>
      </c>
      <c r="D40674" t="s">
        <v>56</v>
      </c>
      <c r="E40674" t="s">
        <v>144</v>
      </c>
      <c r="F40674" s="2" t="str">
        <f>HYPERLINK("http://www.otzar.org/book.asp?21409","שואל אמת")</f>
        <v>שואל אמת</v>
      </c>
    </row>
    <row r="40675" spans="1:6" x14ac:dyDescent="0.2">
      <c r="A40675" t="s">
        <v>62067</v>
      </c>
      <c r="B40675" t="s">
        <v>62068</v>
      </c>
      <c r="C40675" t="s">
        <v>146</v>
      </c>
      <c r="D40675" t="s">
        <v>216</v>
      </c>
      <c r="E40675" t="s">
        <v>1103</v>
      </c>
      <c r="F40675" s="2" t="str">
        <f>HYPERLINK("http://www.otzar.org/book.asp?151713","שואל ומשיב &lt;'ילקוט מדרשים'&gt;")</f>
        <v>שואל ומשיב &lt;'ילקוט מדרשים'&gt;</v>
      </c>
    </row>
    <row r="40676" spans="1:6" x14ac:dyDescent="0.2">
      <c r="A40676" t="s">
        <v>62069</v>
      </c>
      <c r="B40676" t="s">
        <v>27370</v>
      </c>
      <c r="C40676" t="s">
        <v>168</v>
      </c>
      <c r="D40676" t="s">
        <v>2375</v>
      </c>
      <c r="E40676" t="s">
        <v>154</v>
      </c>
      <c r="F40676" s="2" t="str">
        <f>HYPERLINK("http://www.otzar.org/book.asp?51066","שואל ומשיב")</f>
        <v>שואל ומשיב</v>
      </c>
    </row>
    <row r="40677" spans="1:6" x14ac:dyDescent="0.2">
      <c r="A40677" t="s">
        <v>62070</v>
      </c>
      <c r="B40677" t="s">
        <v>6073</v>
      </c>
      <c r="C40677" t="s">
        <v>62071</v>
      </c>
      <c r="D40677" t="s">
        <v>267</v>
      </c>
      <c r="F40677" s="2" t="str">
        <f>HYPERLINK("http://www.otzar.org/book.asp?625934","שואל ומשיב - 26 כר'")</f>
        <v>שואל ומשיב - 26 כר'</v>
      </c>
    </row>
    <row r="40678" spans="1:6" x14ac:dyDescent="0.2">
      <c r="A40678" t="s">
        <v>62072</v>
      </c>
      <c r="B40678" t="s">
        <v>1750</v>
      </c>
      <c r="C40678" t="s">
        <v>68</v>
      </c>
      <c r="D40678" t="s">
        <v>52</v>
      </c>
      <c r="F40678" s="2" t="str">
        <f>HYPERLINK("http://www.otzar.org/book.asp?156402","שואל ומשיב - 9 כר'")</f>
        <v>שואל ומשיב - 9 כר'</v>
      </c>
    </row>
    <row r="40679" spans="1:6" x14ac:dyDescent="0.2">
      <c r="A40679" t="s">
        <v>62073</v>
      </c>
      <c r="B40679" t="s">
        <v>11051</v>
      </c>
      <c r="C40679" t="s">
        <v>466</v>
      </c>
      <c r="D40679" t="s">
        <v>52</v>
      </c>
      <c r="E40679" t="s">
        <v>154</v>
      </c>
      <c r="F40679" s="2" t="str">
        <f>HYPERLINK("http://www.otzar.org/book.asp?51057","שואל ונשאל - 7 כר'")</f>
        <v>שואל ונשאל - 7 כר'</v>
      </c>
    </row>
    <row r="40680" spans="1:6" x14ac:dyDescent="0.2">
      <c r="A40680" t="s">
        <v>62074</v>
      </c>
      <c r="B40680" t="s">
        <v>51957</v>
      </c>
      <c r="C40680" t="s">
        <v>1437</v>
      </c>
      <c r="D40680" t="s">
        <v>27</v>
      </c>
      <c r="E40680" t="s">
        <v>154</v>
      </c>
      <c r="F40680" s="2" t="str">
        <f>HYPERLINK("http://www.otzar.org/book.asp?20718","שואל כענין")</f>
        <v>שואל כענין</v>
      </c>
    </row>
    <row r="40681" spans="1:6" x14ac:dyDescent="0.2">
      <c r="A40681" t="s">
        <v>62075</v>
      </c>
      <c r="B40681" t="s">
        <v>1281</v>
      </c>
      <c r="C40681" t="s">
        <v>20</v>
      </c>
      <c r="D40681" t="s">
        <v>14</v>
      </c>
      <c r="E40681" t="s">
        <v>154</v>
      </c>
      <c r="F40681" s="2" t="str">
        <f>HYPERLINK("http://www.otzar.org/book.asp?625116","שואלים בתשובה")</f>
        <v>שואלים בתשובה</v>
      </c>
    </row>
    <row r="40682" spans="1:6" x14ac:dyDescent="0.2">
      <c r="A40682" t="s">
        <v>62076</v>
      </c>
      <c r="E40682" t="s">
        <v>15</v>
      </c>
      <c r="F40682" s="2" t="str">
        <f>HYPERLINK("http://www.otzar.org/book.asp?630023","שואלים ודורשים בהלכות יום טוב")</f>
        <v>שואלים ודורשים בהלכות יום טוב</v>
      </c>
    </row>
    <row r="40683" spans="1:6" x14ac:dyDescent="0.2">
      <c r="A40683" t="s">
        <v>62077</v>
      </c>
      <c r="B40683" t="s">
        <v>11147</v>
      </c>
      <c r="C40683" t="s">
        <v>438</v>
      </c>
      <c r="D40683" t="s">
        <v>14</v>
      </c>
      <c r="E40683" t="s">
        <v>130</v>
      </c>
      <c r="F40683" s="2" t="str">
        <f>HYPERLINK("http://www.otzar.org/book.asp?160896","שואלין ודורשין בהלכות פסח")</f>
        <v>שואלין ודורשין בהלכות פסח</v>
      </c>
    </row>
    <row r="40684" spans="1:6" x14ac:dyDescent="0.2">
      <c r="A40684" t="s">
        <v>62078</v>
      </c>
      <c r="B40684" t="s">
        <v>60179</v>
      </c>
      <c r="C40684" t="s">
        <v>180</v>
      </c>
      <c r="D40684" t="s">
        <v>216</v>
      </c>
      <c r="E40684" t="s">
        <v>23401</v>
      </c>
      <c r="F40684" s="2" t="str">
        <f>HYPERLINK("http://www.otzar.org/book.asp?144842","שואלין ודורשין")</f>
        <v>שואלין ודורשין</v>
      </c>
    </row>
    <row r="40685" spans="1:6" x14ac:dyDescent="0.2">
      <c r="A40685" t="s">
        <v>62079</v>
      </c>
      <c r="B40685" t="s">
        <v>3727</v>
      </c>
      <c r="C40685" t="s">
        <v>151</v>
      </c>
      <c r="D40685" t="s">
        <v>52</v>
      </c>
      <c r="E40685" t="s">
        <v>130</v>
      </c>
      <c r="F40685" s="2" t="str">
        <f>HYPERLINK("http://www.otzar.org/book.asp?615082","שואלין ודורשין - פסח תשע""ח")</f>
        <v>שואלין ודורשין - פסח תשע"ח</v>
      </c>
    </row>
    <row r="40686" spans="1:6" x14ac:dyDescent="0.2">
      <c r="A40686" t="s">
        <v>62078</v>
      </c>
      <c r="B40686" t="s">
        <v>62080</v>
      </c>
      <c r="C40686" t="s">
        <v>533</v>
      </c>
      <c r="D40686" t="s">
        <v>412</v>
      </c>
      <c r="E40686" t="s">
        <v>15</v>
      </c>
      <c r="F40686" s="2" t="str">
        <f>HYPERLINK("http://www.otzar.org/book.asp?173866","שואלין ודורשין")</f>
        <v>שואלין ודורשין</v>
      </c>
    </row>
    <row r="40687" spans="1:6" x14ac:dyDescent="0.2">
      <c r="A40687" t="s">
        <v>62078</v>
      </c>
      <c r="B40687" t="s">
        <v>58576</v>
      </c>
      <c r="C40687" t="s">
        <v>313</v>
      </c>
      <c r="D40687" t="s">
        <v>14</v>
      </c>
      <c r="E40687" t="s">
        <v>130</v>
      </c>
      <c r="F40687" s="2" t="str">
        <f>HYPERLINK("http://www.otzar.org/book.asp?84828","שואלין ודורשין")</f>
        <v>שואלין ודורשין</v>
      </c>
    </row>
    <row r="40688" spans="1:6" x14ac:dyDescent="0.2">
      <c r="A40688" t="s">
        <v>62081</v>
      </c>
      <c r="B40688" t="s">
        <v>3111</v>
      </c>
      <c r="C40688" t="s">
        <v>71</v>
      </c>
      <c r="D40688" t="s">
        <v>14</v>
      </c>
      <c r="E40688" t="s">
        <v>154</v>
      </c>
      <c r="F40688" s="2" t="str">
        <f>HYPERLINK("http://www.otzar.org/book.asp?28238","שואלין ודורשין - 9 כר'")</f>
        <v>שואלין ודורשין - 9 כר'</v>
      </c>
    </row>
    <row r="40689" spans="1:6" x14ac:dyDescent="0.2">
      <c r="A40689" t="s">
        <v>62082</v>
      </c>
      <c r="B40689" t="s">
        <v>13942</v>
      </c>
      <c r="C40689" t="s">
        <v>767</v>
      </c>
      <c r="D40689" t="s">
        <v>14</v>
      </c>
      <c r="E40689" t="s">
        <v>583</v>
      </c>
      <c r="F40689" s="2" t="str">
        <f>HYPERLINK("http://www.otzar.org/book.asp?168721","שואת יהודי אירפה ופורענויות ישראל בזמננו")</f>
        <v>שואת יהודי אירפה ופורענויות ישראל בזמננו</v>
      </c>
    </row>
    <row r="40690" spans="1:6" x14ac:dyDescent="0.2">
      <c r="A40690" t="s">
        <v>62083</v>
      </c>
      <c r="B40690" t="s">
        <v>62084</v>
      </c>
      <c r="C40690" t="s">
        <v>189</v>
      </c>
      <c r="D40690" t="s">
        <v>147</v>
      </c>
      <c r="E40690" t="s">
        <v>154</v>
      </c>
      <c r="F40690" s="2" t="str">
        <f>HYPERLINK("http://www.otzar.org/book.asp?154912","שובה ישראל - 2 כר'")</f>
        <v>שובה ישראל - 2 כר'</v>
      </c>
    </row>
    <row r="40691" spans="1:6" x14ac:dyDescent="0.2">
      <c r="A40691" t="s">
        <v>62085</v>
      </c>
      <c r="B40691" t="s">
        <v>432</v>
      </c>
      <c r="C40691" t="s">
        <v>62086</v>
      </c>
      <c r="D40691" t="s">
        <v>9</v>
      </c>
      <c r="E40691" t="s">
        <v>241</v>
      </c>
      <c r="F40691" s="2" t="str">
        <f>HYPERLINK("http://www.otzar.org/book.asp?106478","שובה ישראל - ב")</f>
        <v>שובה ישראל - ב</v>
      </c>
    </row>
    <row r="40692" spans="1:6" x14ac:dyDescent="0.2">
      <c r="A40692" t="s">
        <v>62087</v>
      </c>
      <c r="B40692" t="s">
        <v>35740</v>
      </c>
      <c r="C40692" t="s">
        <v>1062</v>
      </c>
      <c r="D40692" t="s">
        <v>9</v>
      </c>
      <c r="E40692" t="s">
        <v>213</v>
      </c>
      <c r="F40692" s="2" t="str">
        <f>HYPERLINK("http://www.otzar.org/book.asp?52526","שובה ישראל")</f>
        <v>שובה ישראל</v>
      </c>
    </row>
    <row r="40693" spans="1:6" x14ac:dyDescent="0.2">
      <c r="A40693" t="s">
        <v>62087</v>
      </c>
      <c r="B40693" t="s">
        <v>62088</v>
      </c>
      <c r="C40693" t="s">
        <v>114</v>
      </c>
      <c r="D40693" t="s">
        <v>6853</v>
      </c>
      <c r="E40693" t="s">
        <v>234</v>
      </c>
      <c r="F40693" s="2" t="str">
        <f>HYPERLINK("http://www.otzar.org/book.asp?195164","שובה ישראל")</f>
        <v>שובה ישראל</v>
      </c>
    </row>
    <row r="40694" spans="1:6" x14ac:dyDescent="0.2">
      <c r="A40694" t="s">
        <v>62087</v>
      </c>
      <c r="B40694" t="s">
        <v>3292</v>
      </c>
      <c r="C40694" t="s">
        <v>99</v>
      </c>
      <c r="D40694" t="s">
        <v>3293</v>
      </c>
      <c r="E40694" t="s">
        <v>467</v>
      </c>
      <c r="F40694" s="2" t="str">
        <f>HYPERLINK("http://www.otzar.org/book.asp?52036","שובה ישראל")</f>
        <v>שובה ישראל</v>
      </c>
    </row>
    <row r="40695" spans="1:6" x14ac:dyDescent="0.2">
      <c r="A40695" t="s">
        <v>62087</v>
      </c>
      <c r="B40695" t="s">
        <v>6661</v>
      </c>
      <c r="C40695" t="s">
        <v>454</v>
      </c>
      <c r="D40695" t="s">
        <v>486</v>
      </c>
      <c r="E40695" t="s">
        <v>241</v>
      </c>
      <c r="F40695" s="2" t="str">
        <f>HYPERLINK("http://www.otzar.org/book.asp?50273","שובה ישראל")</f>
        <v>שובה ישראל</v>
      </c>
    </row>
    <row r="40696" spans="1:6" x14ac:dyDescent="0.2">
      <c r="A40696" t="s">
        <v>62089</v>
      </c>
      <c r="B40696" t="s">
        <v>14472</v>
      </c>
      <c r="C40696" t="s">
        <v>1535</v>
      </c>
      <c r="D40696" t="s">
        <v>27</v>
      </c>
      <c r="E40696" t="s">
        <v>564</v>
      </c>
      <c r="F40696" s="2" t="str">
        <f>HYPERLINK("http://www.otzar.org/book.asp?169796","שובו אל הבורא, דברי מנחם")</f>
        <v>שובו אל הבורא, דברי מנחם</v>
      </c>
    </row>
    <row r="40697" spans="1:6" x14ac:dyDescent="0.2">
      <c r="A40697" t="s">
        <v>62090</v>
      </c>
      <c r="B40697" t="s">
        <v>3367</v>
      </c>
      <c r="C40697" t="s">
        <v>411</v>
      </c>
      <c r="D40697" t="s">
        <v>52</v>
      </c>
      <c r="E40697" t="s">
        <v>241</v>
      </c>
      <c r="F40697" s="2" t="str">
        <f>HYPERLINK("http://www.otzar.org/book.asp?166492","שובו אלי")</f>
        <v>שובו אלי</v>
      </c>
    </row>
    <row r="40698" spans="1:6" x14ac:dyDescent="0.2">
      <c r="A40698" t="s">
        <v>62091</v>
      </c>
      <c r="B40698" t="s">
        <v>5564</v>
      </c>
      <c r="C40698" t="s">
        <v>71</v>
      </c>
      <c r="D40698" t="s">
        <v>14</v>
      </c>
      <c r="E40698" t="s">
        <v>104</v>
      </c>
      <c r="F40698" s="2" t="str">
        <f>HYPERLINK("http://www.otzar.org/book.asp?159342","שובו לכם לאהליכם")</f>
        <v>שובו לכם לאהליכם</v>
      </c>
    </row>
    <row r="40699" spans="1:6" x14ac:dyDescent="0.2">
      <c r="A40699" t="s">
        <v>62092</v>
      </c>
      <c r="B40699" t="s">
        <v>7485</v>
      </c>
      <c r="C40699" t="s">
        <v>176</v>
      </c>
      <c r="D40699" t="s">
        <v>14</v>
      </c>
      <c r="E40699" t="s">
        <v>241</v>
      </c>
      <c r="F40699" s="2" t="str">
        <f>HYPERLINK("http://www.otzar.org/book.asp?6559","שובו")</f>
        <v>שובו</v>
      </c>
    </row>
    <row r="40700" spans="1:6" x14ac:dyDescent="0.2">
      <c r="A40700" t="s">
        <v>62093</v>
      </c>
      <c r="B40700" t="s">
        <v>3166</v>
      </c>
      <c r="C40700" t="s">
        <v>129</v>
      </c>
      <c r="D40700" t="s">
        <v>14</v>
      </c>
      <c r="E40700" t="s">
        <v>1072</v>
      </c>
      <c r="F40700" s="2" t="str">
        <f>HYPERLINK("http://www.otzar.org/book.asp?142548","שובי השולמית - 10 כר'")</f>
        <v>שובי השולמית - 10 כר'</v>
      </c>
    </row>
    <row r="40701" spans="1:6" x14ac:dyDescent="0.2">
      <c r="A40701" t="s">
        <v>62094</v>
      </c>
      <c r="B40701" t="s">
        <v>1602</v>
      </c>
      <c r="C40701" t="s">
        <v>17</v>
      </c>
      <c r="D40701" t="s">
        <v>14</v>
      </c>
      <c r="E40701" t="s">
        <v>241</v>
      </c>
      <c r="F40701" s="2" t="str">
        <f>HYPERLINK("http://www.otzar.org/book.asp?191145","שובי נפשי")</f>
        <v>שובי נפשי</v>
      </c>
    </row>
    <row r="40702" spans="1:6" x14ac:dyDescent="0.2">
      <c r="A40702" t="s">
        <v>62094</v>
      </c>
      <c r="B40702" t="s">
        <v>1906</v>
      </c>
      <c r="C40702" t="s">
        <v>454</v>
      </c>
      <c r="D40702" t="s">
        <v>1907</v>
      </c>
      <c r="E40702" t="s">
        <v>241</v>
      </c>
      <c r="F40702" s="2" t="str">
        <f>HYPERLINK("http://www.otzar.org/book.asp?603427","שובי נפשי")</f>
        <v>שובי נפשי</v>
      </c>
    </row>
    <row r="40703" spans="1:6" x14ac:dyDescent="0.2">
      <c r="A40703" t="s">
        <v>62095</v>
      </c>
      <c r="B40703" t="s">
        <v>599</v>
      </c>
      <c r="C40703" t="s">
        <v>360</v>
      </c>
      <c r="D40703" t="s">
        <v>27</v>
      </c>
      <c r="E40703" t="s">
        <v>399</v>
      </c>
      <c r="F40703" s="2" t="str">
        <f>HYPERLINK("http://www.otzar.org/book.asp?100094","שובי שובי השולמית")</f>
        <v>שובי שובי השולמית</v>
      </c>
    </row>
    <row r="40704" spans="1:6" x14ac:dyDescent="0.2">
      <c r="A40704" t="s">
        <v>62095</v>
      </c>
      <c r="B40704" t="s">
        <v>62096</v>
      </c>
      <c r="C40704" t="s">
        <v>13</v>
      </c>
      <c r="D40704" t="s">
        <v>14</v>
      </c>
      <c r="E40704" t="s">
        <v>104</v>
      </c>
      <c r="F40704" s="2" t="str">
        <f>HYPERLINK("http://www.otzar.org/book.asp?157988","שובי שובי השולמית")</f>
        <v>שובי שובי השולמית</v>
      </c>
    </row>
    <row r="40705" spans="1:6" x14ac:dyDescent="0.2">
      <c r="A40705" t="s">
        <v>62097</v>
      </c>
      <c r="B40705" t="s">
        <v>62098</v>
      </c>
      <c r="C40705" t="s">
        <v>87</v>
      </c>
      <c r="D40705" t="s">
        <v>27</v>
      </c>
      <c r="E40705" t="s">
        <v>230</v>
      </c>
      <c r="F40705" s="2" t="str">
        <f>HYPERLINK("http://www.otzar.org/book.asp?179326","שובע שמחות &lt;מהדורה חדשה&gt;")</f>
        <v>שובע שמחות &lt;מהדורה חדשה&gt;</v>
      </c>
    </row>
    <row r="40706" spans="1:6" x14ac:dyDescent="0.2">
      <c r="A40706" t="s">
        <v>62099</v>
      </c>
      <c r="B40706" t="s">
        <v>32715</v>
      </c>
      <c r="C40706" t="s">
        <v>1166</v>
      </c>
      <c r="D40706" t="s">
        <v>27</v>
      </c>
      <c r="E40706" t="s">
        <v>234</v>
      </c>
      <c r="F40706" s="2" t="str">
        <f>HYPERLINK("http://www.otzar.org/book.asp?643","שובע שמחות")</f>
        <v>שובע שמחות</v>
      </c>
    </row>
    <row r="40707" spans="1:6" x14ac:dyDescent="0.2">
      <c r="A40707" t="s">
        <v>62099</v>
      </c>
      <c r="B40707" t="s">
        <v>9164</v>
      </c>
      <c r="C40707" t="s">
        <v>6624</v>
      </c>
      <c r="D40707" t="s">
        <v>1023</v>
      </c>
      <c r="E40707" t="s">
        <v>158</v>
      </c>
      <c r="F40707" s="2" t="str">
        <f>HYPERLINK("http://www.otzar.org/book.asp?150030","שובע שמחות")</f>
        <v>שובע שמחות</v>
      </c>
    </row>
    <row r="40708" spans="1:6" x14ac:dyDescent="0.2">
      <c r="A40708" t="s">
        <v>62099</v>
      </c>
      <c r="B40708" t="s">
        <v>3286</v>
      </c>
      <c r="C40708" t="s">
        <v>20</v>
      </c>
      <c r="D40708" t="s">
        <v>52</v>
      </c>
      <c r="E40708" t="s">
        <v>15</v>
      </c>
      <c r="F40708" s="2" t="str">
        <f>HYPERLINK("http://www.otzar.org/book.asp?550","שובע שמחות")</f>
        <v>שובע שמחות</v>
      </c>
    </row>
    <row r="40709" spans="1:6" x14ac:dyDescent="0.2">
      <c r="A40709" t="s">
        <v>62100</v>
      </c>
      <c r="B40709" t="s">
        <v>62098</v>
      </c>
      <c r="C40709" t="s">
        <v>224</v>
      </c>
      <c r="D40709" t="s">
        <v>10557</v>
      </c>
      <c r="E40709" t="s">
        <v>62101</v>
      </c>
      <c r="F40709" s="2" t="str">
        <f>HYPERLINK("http://www.otzar.org/book.asp?625946","שובע שמחות - 5 כר'")</f>
        <v>שובע שמחות - 5 כר'</v>
      </c>
    </row>
    <row r="40710" spans="1:6" x14ac:dyDescent="0.2">
      <c r="A40710" t="s">
        <v>62102</v>
      </c>
      <c r="B40710" t="s">
        <v>4402</v>
      </c>
      <c r="C40710" t="s">
        <v>176</v>
      </c>
      <c r="D40710" t="s">
        <v>14</v>
      </c>
      <c r="E40710" t="s">
        <v>246</v>
      </c>
      <c r="F40710" s="2" t="str">
        <f>HYPERLINK("http://www.otzar.org/book.asp?166984","שובע שמחות - ירח האיתנים")</f>
        <v>שובע שמחות - ירח האיתנים</v>
      </c>
    </row>
    <row r="40711" spans="1:6" x14ac:dyDescent="0.2">
      <c r="A40711" t="s">
        <v>62103</v>
      </c>
      <c r="B40711" t="s">
        <v>62104</v>
      </c>
      <c r="C40711" t="s">
        <v>143</v>
      </c>
      <c r="D40711" t="s">
        <v>2531</v>
      </c>
      <c r="F40711" s="2" t="str">
        <f>HYPERLINK("http://www.otzar.org/book.asp?198652","שודא דדייני")</f>
        <v>שודא דדייני</v>
      </c>
    </row>
    <row r="40712" spans="1:6" x14ac:dyDescent="0.2">
      <c r="A40712" t="s">
        <v>62105</v>
      </c>
      <c r="B40712" t="s">
        <v>16699</v>
      </c>
      <c r="C40712" t="s">
        <v>160</v>
      </c>
      <c r="D40712" t="s">
        <v>9</v>
      </c>
      <c r="E40712" t="s">
        <v>158</v>
      </c>
      <c r="F40712" s="2" t="str">
        <f>HYPERLINK("http://www.otzar.org/book.asp?181158","שווי המלים בתנ""ך")</f>
        <v>שווי המלים בתנ"ך</v>
      </c>
    </row>
    <row r="40713" spans="1:6" x14ac:dyDescent="0.2">
      <c r="A40713" t="s">
        <v>62106</v>
      </c>
      <c r="B40713" t="s">
        <v>14039</v>
      </c>
      <c r="C40713" t="s">
        <v>6054</v>
      </c>
      <c r="D40713" t="s">
        <v>19410</v>
      </c>
      <c r="F40713" s="2" t="str">
        <f>HYPERLINK("http://www.otzar.org/book.asp?620557","שויון הנשים")</f>
        <v>שויון הנשים</v>
      </c>
    </row>
    <row r="40714" spans="1:6" x14ac:dyDescent="0.2">
      <c r="A40714" t="s">
        <v>62107</v>
      </c>
      <c r="B40714" t="s">
        <v>142</v>
      </c>
      <c r="C40714" t="s">
        <v>244</v>
      </c>
      <c r="D40714" t="s">
        <v>14</v>
      </c>
      <c r="F40714" s="2" t="str">
        <f>HYPERLINK("http://www.otzar.org/book.asp?198659","שויתי עזר")</f>
        <v>שויתי עזר</v>
      </c>
    </row>
    <row r="40715" spans="1:6" x14ac:dyDescent="0.2">
      <c r="A40715" t="s">
        <v>62108</v>
      </c>
      <c r="B40715" t="s">
        <v>62109</v>
      </c>
      <c r="C40715" t="s">
        <v>20</v>
      </c>
      <c r="D40715" t="s">
        <v>147</v>
      </c>
      <c r="E40715" t="s">
        <v>104</v>
      </c>
      <c r="F40715" s="2" t="str">
        <f>HYPERLINK("http://www.otzar.org/book.asp?157439","שוכן לשבטיו")</f>
        <v>שוכן לשבטיו</v>
      </c>
    </row>
    <row r="40716" spans="1:6" x14ac:dyDescent="0.2">
      <c r="A40716" t="s">
        <v>62110</v>
      </c>
      <c r="B40716" t="s">
        <v>62111</v>
      </c>
      <c r="C40716" t="s">
        <v>151</v>
      </c>
      <c r="D40716" t="s">
        <v>152</v>
      </c>
      <c r="E40716" t="s">
        <v>148</v>
      </c>
      <c r="F40716" s="2" t="str">
        <f>HYPERLINK("http://www.otzar.org/book.asp?617497","שולחן הקצר")</f>
        <v>שולחן הקצר</v>
      </c>
    </row>
    <row r="40717" spans="1:6" x14ac:dyDescent="0.2">
      <c r="A40717" t="s">
        <v>62112</v>
      </c>
      <c r="B40717" t="s">
        <v>30841</v>
      </c>
      <c r="C40717" t="s">
        <v>20</v>
      </c>
      <c r="D40717" t="s">
        <v>367</v>
      </c>
      <c r="F40717" s="2" t="str">
        <f>HYPERLINK("http://www.otzar.org/book.asp?620132","שולחן השבת יחד עם הילדים")</f>
        <v>שולחן השבת יחד עם הילדים</v>
      </c>
    </row>
    <row r="40718" spans="1:6" x14ac:dyDescent="0.2">
      <c r="A40718" t="s">
        <v>62113</v>
      </c>
      <c r="B40718" t="s">
        <v>62114</v>
      </c>
      <c r="C40718" t="s">
        <v>244</v>
      </c>
      <c r="D40718" t="s">
        <v>2285</v>
      </c>
      <c r="F40718" s="2" t="str">
        <f>HYPERLINK("http://www.otzar.org/book.asp?198716","שולחן יוסף")</f>
        <v>שולחן יוסף</v>
      </c>
    </row>
    <row r="40719" spans="1:6" x14ac:dyDescent="0.2">
      <c r="A40719" t="s">
        <v>62115</v>
      </c>
      <c r="B40719" t="s">
        <v>489</v>
      </c>
      <c r="C40719" t="s">
        <v>383</v>
      </c>
      <c r="D40719" t="s">
        <v>21</v>
      </c>
      <c r="F40719" s="2" t="str">
        <f>HYPERLINK("http://www.otzar.org/book.asp?617636","שולחן מלכים - 4 כר'")</f>
        <v>שולחן מלכים - 4 כר'</v>
      </c>
    </row>
    <row r="40720" spans="1:6" x14ac:dyDescent="0.2">
      <c r="A40720" t="s">
        <v>62116</v>
      </c>
      <c r="B40720" t="s">
        <v>62117</v>
      </c>
      <c r="C40720" t="s">
        <v>366</v>
      </c>
      <c r="D40720" t="s">
        <v>412</v>
      </c>
      <c r="E40720" t="s">
        <v>8079</v>
      </c>
      <c r="F40720" s="2" t="str">
        <f>HYPERLINK("http://www.otzar.org/book.asp?606319","שולחן מסודר - מועדים")</f>
        <v>שולחן מסודר - מועדים</v>
      </c>
    </row>
    <row r="40721" spans="1:6" x14ac:dyDescent="0.2">
      <c r="A40721" t="s">
        <v>62118</v>
      </c>
      <c r="B40721" t="s">
        <v>1035</v>
      </c>
      <c r="C40721" t="s">
        <v>1036</v>
      </c>
      <c r="D40721" t="s">
        <v>9091</v>
      </c>
      <c r="F40721" s="2" t="str">
        <f>HYPERLINK("http://www.otzar.org/book.asp?620271","שולחן ערוך  &lt;קניגסברג - 2 כר'")</f>
        <v>שולחן ערוך  &lt;קניגסברג - 2 כר'</v>
      </c>
    </row>
    <row r="40722" spans="1:6" x14ac:dyDescent="0.2">
      <c r="A40722" t="s">
        <v>62119</v>
      </c>
      <c r="B40722" t="s">
        <v>14088</v>
      </c>
      <c r="C40722" t="s">
        <v>68</v>
      </c>
      <c r="D40722" t="s">
        <v>52</v>
      </c>
      <c r="E40722" t="s">
        <v>172</v>
      </c>
      <c r="F40722" s="2" t="str">
        <f>HYPERLINK("http://www.otzar.org/book.asp?159438","שולחן ערוך או""ח &lt;הלכה ומנהג&gt;")</f>
        <v>שולחן ערוך או"ח &lt;הלכה ומנהג&gt;</v>
      </c>
    </row>
    <row r="40723" spans="1:6" x14ac:dyDescent="0.2">
      <c r="A40723" t="s">
        <v>62120</v>
      </c>
      <c r="B40723" t="s">
        <v>30371</v>
      </c>
      <c r="C40723" t="s">
        <v>366</v>
      </c>
      <c r="D40723" t="s">
        <v>367</v>
      </c>
      <c r="F40723" s="2" t="str">
        <f>HYPERLINK("http://www.otzar.org/book.asp?622236","שולחן ערוך הרב &lt;רשימת י""ד&gt; - קנח-רטו")</f>
        <v>שולחן ערוך הרב &lt;רשימת י"ד&gt; - קנח-רטו</v>
      </c>
    </row>
    <row r="40724" spans="1:6" x14ac:dyDescent="0.2">
      <c r="A40724" t="s">
        <v>62121</v>
      </c>
      <c r="B40724" t="s">
        <v>17853</v>
      </c>
      <c r="C40724" t="s">
        <v>313</v>
      </c>
      <c r="D40724" t="s">
        <v>14</v>
      </c>
      <c r="E40724" t="s">
        <v>15</v>
      </c>
      <c r="F40724" s="2" t="str">
        <f>HYPERLINK("http://www.otzar.org/book.asp?630162","שולחן של תורה - 2 כר'")</f>
        <v>שולחן של תורה - 2 כר'</v>
      </c>
    </row>
    <row r="40725" spans="1:6" x14ac:dyDescent="0.2">
      <c r="A40725" t="s">
        <v>62122</v>
      </c>
      <c r="B40725" t="s">
        <v>62123</v>
      </c>
      <c r="C40725" t="s">
        <v>454</v>
      </c>
      <c r="D40725" t="s">
        <v>14</v>
      </c>
      <c r="E40725" t="s">
        <v>148</v>
      </c>
      <c r="F40725" s="2" t="str">
        <f>HYPERLINK("http://www.otzar.org/book.asp?183275","שולחן שלמה - 8 כר'")</f>
        <v>שולחן שלמה - 8 כר'</v>
      </c>
    </row>
    <row r="40726" spans="1:6" x14ac:dyDescent="0.2">
      <c r="A40726" t="s">
        <v>62124</v>
      </c>
      <c r="B40726" t="s">
        <v>62125</v>
      </c>
      <c r="C40726" t="s">
        <v>785</v>
      </c>
      <c r="D40726" t="s">
        <v>14</v>
      </c>
      <c r="F40726" s="2" t="str">
        <f>HYPERLINK("http://www.otzar.org/book.asp?169562","שולחן שלמה - 2 כר'")</f>
        <v>שולחן שלמה - 2 כר'</v>
      </c>
    </row>
    <row r="40727" spans="1:6" x14ac:dyDescent="0.2">
      <c r="A40727" t="s">
        <v>62126</v>
      </c>
      <c r="B40727" t="s">
        <v>62127</v>
      </c>
      <c r="C40727" t="s">
        <v>20</v>
      </c>
      <c r="D40727" t="s">
        <v>14</v>
      </c>
      <c r="E40727" t="s">
        <v>172</v>
      </c>
      <c r="F40727" s="2" t="str">
        <f>HYPERLINK("http://www.otzar.org/book.asp?630043","שולחן שמואל - 4 כר'")</f>
        <v>שולחן שמואל - 4 כר'</v>
      </c>
    </row>
    <row r="40728" spans="1:6" x14ac:dyDescent="0.2">
      <c r="A40728" t="s">
        <v>62128</v>
      </c>
      <c r="B40728" t="s">
        <v>62129</v>
      </c>
      <c r="C40728" t="s">
        <v>133</v>
      </c>
      <c r="D40728" t="s">
        <v>14</v>
      </c>
      <c r="E40728" t="s">
        <v>219</v>
      </c>
      <c r="F40728" s="2" t="str">
        <f>HYPERLINK("http://www.otzar.org/book.asp?608445","שולחנו של אדם")</f>
        <v>שולחנו של אדם</v>
      </c>
    </row>
    <row r="40729" spans="1:6" x14ac:dyDescent="0.2">
      <c r="A40729" t="s">
        <v>62130</v>
      </c>
      <c r="B40729" t="s">
        <v>62131</v>
      </c>
      <c r="C40729" t="s">
        <v>146</v>
      </c>
      <c r="D40729" t="s">
        <v>62132</v>
      </c>
      <c r="F40729" s="2" t="str">
        <f>HYPERLINK("http://www.otzar.org/book.asp?604779","שולחנו של מקום")</f>
        <v>שולחנו של מקום</v>
      </c>
    </row>
    <row r="40730" spans="1:6" x14ac:dyDescent="0.2">
      <c r="A40730" t="s">
        <v>62133</v>
      </c>
      <c r="B40730" t="s">
        <v>5634</v>
      </c>
      <c r="C40730" t="s">
        <v>13</v>
      </c>
      <c r="D40730" t="s">
        <v>52</v>
      </c>
      <c r="E40730" t="s">
        <v>104</v>
      </c>
      <c r="F40730" s="2" t="str">
        <f>HYPERLINK("http://www.otzar.org/book.asp?145310","שולחנך גדול משולחנם")</f>
        <v>שולחנך גדול משולחנם</v>
      </c>
    </row>
    <row r="40731" spans="1:6" x14ac:dyDescent="0.2">
      <c r="A40731" t="s">
        <v>62134</v>
      </c>
      <c r="B40731" t="s">
        <v>13752</v>
      </c>
      <c r="C40731" t="s">
        <v>1619</v>
      </c>
      <c r="D40731" t="s">
        <v>14</v>
      </c>
      <c r="E40731" t="s">
        <v>803</v>
      </c>
      <c r="F40731" s="2" t="str">
        <f>HYPERLINK("http://www.otzar.org/book.asp?106044","שולי האדרת - 2 כר'")</f>
        <v>שולי האדרת - 2 כר'</v>
      </c>
    </row>
    <row r="40732" spans="1:6" x14ac:dyDescent="0.2">
      <c r="A40732" t="s">
        <v>62135</v>
      </c>
      <c r="B40732" t="s">
        <v>2877</v>
      </c>
      <c r="C40732" t="s">
        <v>411</v>
      </c>
      <c r="D40732" t="s">
        <v>14</v>
      </c>
      <c r="E40732" t="s">
        <v>674</v>
      </c>
      <c r="F40732" s="2" t="str">
        <f>HYPERLINK("http://www.otzar.org/book.asp?170405","שולי הגליון - 5 כר'")</f>
        <v>שולי הגליון - 5 כר'</v>
      </c>
    </row>
    <row r="40733" spans="1:6" x14ac:dyDescent="0.2">
      <c r="A40733" t="s">
        <v>62136</v>
      </c>
      <c r="B40733" t="s">
        <v>32095</v>
      </c>
      <c r="C40733" t="s">
        <v>244</v>
      </c>
      <c r="D40733" t="s">
        <v>1273</v>
      </c>
      <c r="E40733" t="s">
        <v>144</v>
      </c>
      <c r="F40733" s="2" t="str">
        <f>HYPERLINK("http://www.otzar.org/book.asp?199715","שולי המעיל - נדרים")</f>
        <v>שולי המעיל - נדרים</v>
      </c>
    </row>
    <row r="40734" spans="1:6" x14ac:dyDescent="0.2">
      <c r="A40734" t="s">
        <v>62137</v>
      </c>
      <c r="B40734" t="s">
        <v>2483</v>
      </c>
      <c r="C40734" t="s">
        <v>411</v>
      </c>
      <c r="D40734" t="s">
        <v>52</v>
      </c>
      <c r="E40734" t="s">
        <v>144</v>
      </c>
      <c r="F40734" s="2" t="str">
        <f>HYPERLINK("http://www.otzar.org/book.asp?181930","שולי המעיל - 2 כר'")</f>
        <v>שולי המעיל - 2 כר'</v>
      </c>
    </row>
    <row r="40735" spans="1:6" x14ac:dyDescent="0.2">
      <c r="A40735" t="s">
        <v>62138</v>
      </c>
      <c r="B40735" t="s">
        <v>19390</v>
      </c>
      <c r="C40735" t="s">
        <v>390</v>
      </c>
      <c r="D40735" t="s">
        <v>5108</v>
      </c>
      <c r="F40735" s="2" t="str">
        <f>HYPERLINK("http://www.otzar.org/book.asp?196478","שולן אין פוילן")</f>
        <v>שולן אין פוילן</v>
      </c>
    </row>
    <row r="40736" spans="1:6" x14ac:dyDescent="0.2">
      <c r="A40736" t="s">
        <v>62139</v>
      </c>
      <c r="B40736" t="s">
        <v>12327</v>
      </c>
      <c r="C40736" t="s">
        <v>146</v>
      </c>
      <c r="D40736" t="s">
        <v>14</v>
      </c>
      <c r="F40736" s="2" t="str">
        <f>HYPERLINK("http://www.otzar.org/book.asp?147805","שומע ומשמיע")</f>
        <v>שומע ומשמיע</v>
      </c>
    </row>
    <row r="40737" spans="1:6" x14ac:dyDescent="0.2">
      <c r="A40737" t="s">
        <v>62140</v>
      </c>
      <c r="B40737" t="s">
        <v>41966</v>
      </c>
      <c r="C40737" t="s">
        <v>51</v>
      </c>
      <c r="D40737" t="s">
        <v>14</v>
      </c>
      <c r="E40737" t="s">
        <v>15</v>
      </c>
      <c r="F40737" s="2" t="str">
        <f>HYPERLINK("http://www.otzar.org/book.asp?156865","שומע כעונה - א")</f>
        <v>שומע כעונה - א</v>
      </c>
    </row>
    <row r="40738" spans="1:6" x14ac:dyDescent="0.2">
      <c r="A40738" t="s">
        <v>62141</v>
      </c>
      <c r="B40738" t="s">
        <v>1393</v>
      </c>
      <c r="C40738" t="s">
        <v>624</v>
      </c>
      <c r="D40738" t="s">
        <v>14</v>
      </c>
      <c r="E40738" t="s">
        <v>703</v>
      </c>
      <c r="F40738" s="2" t="str">
        <f>HYPERLINK("http://www.otzar.org/book.asp?159772","שומר אמונים המנוקד")</f>
        <v>שומר אמונים המנוקד</v>
      </c>
    </row>
    <row r="40739" spans="1:6" x14ac:dyDescent="0.2">
      <c r="A40739" t="s">
        <v>62142</v>
      </c>
      <c r="B40739" t="s">
        <v>14670</v>
      </c>
      <c r="C40739" t="s">
        <v>1640</v>
      </c>
      <c r="D40739" t="s">
        <v>14</v>
      </c>
      <c r="E40739" t="s">
        <v>399</v>
      </c>
      <c r="F40739" s="2" t="str">
        <f>HYPERLINK("http://www.otzar.org/book.asp?5967","שומר אמונים - 4 כר'")</f>
        <v>שומר אמונים - 4 כר'</v>
      </c>
    </row>
    <row r="40740" spans="1:6" x14ac:dyDescent="0.2">
      <c r="A40740" t="s">
        <v>62143</v>
      </c>
      <c r="B40740" t="s">
        <v>49039</v>
      </c>
      <c r="C40740" t="s">
        <v>25954</v>
      </c>
      <c r="D40740" t="s">
        <v>10557</v>
      </c>
      <c r="E40740" t="s">
        <v>15</v>
      </c>
      <c r="F40740" s="2" t="str">
        <f>HYPERLINK("http://www.otzar.org/book.asp?626440","שומר אמונים")</f>
        <v>שומר אמונים</v>
      </c>
    </row>
    <row r="40741" spans="1:6" x14ac:dyDescent="0.2">
      <c r="A40741" t="s">
        <v>62143</v>
      </c>
      <c r="B40741" t="s">
        <v>48987</v>
      </c>
      <c r="C40741" t="s">
        <v>24721</v>
      </c>
      <c r="D40741" t="s">
        <v>7163</v>
      </c>
      <c r="E40741" t="s">
        <v>158</v>
      </c>
      <c r="F40741" s="2" t="str">
        <f>HYPERLINK("http://www.otzar.org/book.asp?103615","שומר אמונים")</f>
        <v>שומר אמונים</v>
      </c>
    </row>
    <row r="40742" spans="1:6" x14ac:dyDescent="0.2">
      <c r="A40742" t="s">
        <v>62143</v>
      </c>
      <c r="B40742" t="s">
        <v>62144</v>
      </c>
      <c r="C40742" t="s">
        <v>14289</v>
      </c>
      <c r="D40742" t="s">
        <v>1100</v>
      </c>
      <c r="E40742" t="s">
        <v>241</v>
      </c>
      <c r="F40742" s="2" t="str">
        <f>HYPERLINK("http://www.otzar.org/book.asp?162261","שומר אמונים")</f>
        <v>שומר אמונים</v>
      </c>
    </row>
    <row r="40743" spans="1:6" x14ac:dyDescent="0.2">
      <c r="A40743" t="s">
        <v>62145</v>
      </c>
      <c r="B40743" t="s">
        <v>1393</v>
      </c>
      <c r="C40743" t="s">
        <v>180</v>
      </c>
      <c r="D40743" t="s">
        <v>14</v>
      </c>
      <c r="E40743" t="s">
        <v>703</v>
      </c>
      <c r="F40743" s="2" t="str">
        <f>HYPERLINK("http://www.otzar.org/book.asp?5461","שומר אמונים - 3 כר'")</f>
        <v>שומר אמונים - 3 כר'</v>
      </c>
    </row>
    <row r="40744" spans="1:6" x14ac:dyDescent="0.2">
      <c r="A40744" t="s">
        <v>62146</v>
      </c>
      <c r="B40744" t="s">
        <v>62147</v>
      </c>
      <c r="C40744" t="s">
        <v>3106</v>
      </c>
      <c r="D40744" t="s">
        <v>412</v>
      </c>
      <c r="E40744" t="s">
        <v>104</v>
      </c>
      <c r="F40744" s="2" t="str">
        <f>HYPERLINK("http://www.otzar.org/book.asp?163504","שומר אמנים")</f>
        <v>שומר אמנים</v>
      </c>
    </row>
    <row r="40745" spans="1:6" x14ac:dyDescent="0.2">
      <c r="A40745" t="s">
        <v>62148</v>
      </c>
      <c r="B40745" t="s">
        <v>8670</v>
      </c>
      <c r="C40745" t="s">
        <v>37</v>
      </c>
      <c r="D40745" t="s">
        <v>52</v>
      </c>
      <c r="F40745" s="2" t="str">
        <f>HYPERLINK("http://www.otzar.org/book.asp?193486","שומר אמת - 8 כר'")</f>
        <v>שומר אמת - 8 כר'</v>
      </c>
    </row>
    <row r="40746" spans="1:6" x14ac:dyDescent="0.2">
      <c r="A40746" t="s">
        <v>62149</v>
      </c>
      <c r="B40746" t="s">
        <v>4174</v>
      </c>
      <c r="C40746" t="s">
        <v>111</v>
      </c>
      <c r="D40746" t="s">
        <v>14</v>
      </c>
      <c r="F40746" s="2" t="str">
        <f>HYPERLINK("http://www.otzar.org/book.asp?622935","שומר דלתות ישראל - מזוזה")</f>
        <v>שומר דלתות ישראל - מזוזה</v>
      </c>
    </row>
    <row r="40747" spans="1:6" x14ac:dyDescent="0.2">
      <c r="A40747" t="s">
        <v>62150</v>
      </c>
      <c r="B40747" t="s">
        <v>62151</v>
      </c>
      <c r="C40747" t="s">
        <v>366</v>
      </c>
      <c r="D40747" t="s">
        <v>52</v>
      </c>
      <c r="F40747" s="2" t="str">
        <f>HYPERLINK("http://www.otzar.org/book.asp?617170","שומר דרך")</f>
        <v>שומר דרך</v>
      </c>
    </row>
    <row r="40748" spans="1:6" x14ac:dyDescent="0.2">
      <c r="A40748" t="s">
        <v>62152</v>
      </c>
      <c r="B40748" t="s">
        <v>62153</v>
      </c>
      <c r="C40748" t="s">
        <v>160</v>
      </c>
      <c r="D40748" t="s">
        <v>27</v>
      </c>
      <c r="E40748" t="s">
        <v>202</v>
      </c>
      <c r="F40748" s="2" t="str">
        <f>HYPERLINK("http://www.otzar.org/book.asp?19174","שומר החומות")</f>
        <v>שומר החומות</v>
      </c>
    </row>
    <row r="40749" spans="1:6" x14ac:dyDescent="0.2">
      <c r="A40749" t="s">
        <v>62154</v>
      </c>
      <c r="B40749" t="s">
        <v>62155</v>
      </c>
      <c r="C40749" t="s">
        <v>767</v>
      </c>
      <c r="D40749" t="s">
        <v>52</v>
      </c>
      <c r="E40749" t="s">
        <v>314</v>
      </c>
      <c r="F40749" s="2" t="str">
        <f>HYPERLINK("http://www.otzar.org/book.asp?144388","שומר הפרדס - 3 כר'")</f>
        <v>שומר הפרדס - 3 כר'</v>
      </c>
    </row>
    <row r="40750" spans="1:6" x14ac:dyDescent="0.2">
      <c r="A40750" t="s">
        <v>62156</v>
      </c>
      <c r="B40750" t="s">
        <v>26323</v>
      </c>
      <c r="C40750" t="s">
        <v>1619</v>
      </c>
      <c r="D40750" t="s">
        <v>412</v>
      </c>
      <c r="E40750" t="s">
        <v>172</v>
      </c>
      <c r="F40750" s="2" t="str">
        <f>HYPERLINK("http://www.otzar.org/book.asp?165830","שומר הפתח")</f>
        <v>שומר הפתח</v>
      </c>
    </row>
    <row r="40751" spans="1:6" x14ac:dyDescent="0.2">
      <c r="A40751" t="s">
        <v>62157</v>
      </c>
      <c r="B40751" t="s">
        <v>62158</v>
      </c>
      <c r="C40751" t="s">
        <v>843</v>
      </c>
      <c r="D40751" t="s">
        <v>27</v>
      </c>
      <c r="E40751" t="s">
        <v>3755</v>
      </c>
      <c r="F40751" s="2" t="str">
        <f>HYPERLINK("http://www.otzar.org/book.asp?929","שומר ישראל אחרון - 2 כר'")</f>
        <v>שומר ישראל אחרון - 2 כר'</v>
      </c>
    </row>
    <row r="40752" spans="1:6" x14ac:dyDescent="0.2">
      <c r="A40752" t="s">
        <v>62159</v>
      </c>
      <c r="B40752" t="s">
        <v>5732</v>
      </c>
      <c r="C40752" t="s">
        <v>581</v>
      </c>
      <c r="D40752" t="s">
        <v>2313</v>
      </c>
      <c r="E40752" t="s">
        <v>674</v>
      </c>
      <c r="F40752" s="2" t="str">
        <f>HYPERLINK("http://www.otzar.org/book.asp?152858","שומר ישראל")</f>
        <v>שומר ישראל</v>
      </c>
    </row>
    <row r="40753" spans="1:6" x14ac:dyDescent="0.2">
      <c r="A40753" t="s">
        <v>62160</v>
      </c>
      <c r="B40753" t="s">
        <v>1308</v>
      </c>
      <c r="C40753" t="s">
        <v>3709</v>
      </c>
      <c r="D40753" t="s">
        <v>1660</v>
      </c>
      <c r="F40753" s="2" t="str">
        <f>HYPERLINK("http://www.otzar.org/book.asp?169537","שומר ישראל - 2 כר'")</f>
        <v>שומר ישראל - 2 כר'</v>
      </c>
    </row>
    <row r="40754" spans="1:6" x14ac:dyDescent="0.2">
      <c r="A40754" t="s">
        <v>62161</v>
      </c>
      <c r="B40754" t="s">
        <v>62162</v>
      </c>
      <c r="C40754" t="s">
        <v>624</v>
      </c>
      <c r="D40754" t="s">
        <v>152</v>
      </c>
      <c r="E40754" t="s">
        <v>241</v>
      </c>
      <c r="F40754" s="2" t="str">
        <f>HYPERLINK("http://www.otzar.org/book.asp?50571","שומר מוסר")</f>
        <v>שומר מוסר</v>
      </c>
    </row>
    <row r="40755" spans="1:6" x14ac:dyDescent="0.2">
      <c r="A40755" t="s">
        <v>62163</v>
      </c>
      <c r="B40755" t="s">
        <v>3306</v>
      </c>
      <c r="C40755" t="s">
        <v>17</v>
      </c>
      <c r="D40755" t="s">
        <v>14</v>
      </c>
      <c r="E40755" t="s">
        <v>399</v>
      </c>
      <c r="F40755" s="2" t="str">
        <f>HYPERLINK("http://www.otzar.org/book.asp?148999","שומר מצוה")</f>
        <v>שומר מצוה</v>
      </c>
    </row>
    <row r="40756" spans="1:6" x14ac:dyDescent="0.2">
      <c r="A40756" t="s">
        <v>62163</v>
      </c>
      <c r="B40756" t="s">
        <v>62164</v>
      </c>
      <c r="C40756" t="s">
        <v>2644</v>
      </c>
      <c r="D40756" t="s">
        <v>1722</v>
      </c>
      <c r="E40756" t="s">
        <v>674</v>
      </c>
      <c r="F40756" s="2" t="str">
        <f>HYPERLINK("http://www.otzar.org/book.asp?197053","שומר מצוה")</f>
        <v>שומר מצוה</v>
      </c>
    </row>
    <row r="40757" spans="1:6" x14ac:dyDescent="0.2">
      <c r="A40757" t="s">
        <v>62165</v>
      </c>
      <c r="B40757" t="s">
        <v>26323</v>
      </c>
      <c r="C40757" t="s">
        <v>624</v>
      </c>
      <c r="D40757" t="s">
        <v>412</v>
      </c>
      <c r="E40757" t="s">
        <v>62166</v>
      </c>
      <c r="F40757" s="2" t="str">
        <f>HYPERLINK("http://www.otzar.org/book.asp?198298","שומר מצוה - מריש בבירה ב")</f>
        <v>שומר מצוה - מריש בבירה ב</v>
      </c>
    </row>
    <row r="40758" spans="1:6" x14ac:dyDescent="0.2">
      <c r="A40758" t="s">
        <v>62167</v>
      </c>
      <c r="B40758" t="s">
        <v>62168</v>
      </c>
      <c r="C40758" t="s">
        <v>62169</v>
      </c>
      <c r="D40758" t="s">
        <v>37908</v>
      </c>
      <c r="E40758" t="s">
        <v>202</v>
      </c>
      <c r="F40758" s="2" t="str">
        <f>HYPERLINK("http://www.otzar.org/book.asp?14374","שומר ציון הנאמן - 2 כר'")</f>
        <v>שומר ציון הנאמן - 2 כר'</v>
      </c>
    </row>
    <row r="40759" spans="1:6" x14ac:dyDescent="0.2">
      <c r="A40759" t="s">
        <v>62170</v>
      </c>
      <c r="B40759" t="s">
        <v>19060</v>
      </c>
      <c r="C40759" t="s">
        <v>553</v>
      </c>
      <c r="D40759" t="s">
        <v>14</v>
      </c>
      <c r="E40759" t="s">
        <v>15</v>
      </c>
      <c r="F40759" s="2" t="str">
        <f>HYPERLINK("http://www.otzar.org/book.asp?28182","שומר שבת כדת")</f>
        <v>שומר שבת כדת</v>
      </c>
    </row>
    <row r="40760" spans="1:6" x14ac:dyDescent="0.2">
      <c r="A40760" t="s">
        <v>62171</v>
      </c>
      <c r="B40760" t="s">
        <v>8602</v>
      </c>
      <c r="C40760" t="s">
        <v>1374</v>
      </c>
      <c r="D40760" t="s">
        <v>691</v>
      </c>
      <c r="E40760" t="s">
        <v>15</v>
      </c>
      <c r="F40760" s="2" t="str">
        <f>HYPERLINK("http://www.otzar.org/book.asp?14683","שומר שבת - 2 כר'")</f>
        <v>שומר שבת - 2 כר'</v>
      </c>
    </row>
    <row r="40761" spans="1:6" x14ac:dyDescent="0.2">
      <c r="A40761" t="s">
        <v>62172</v>
      </c>
      <c r="B40761" t="s">
        <v>4749</v>
      </c>
      <c r="C40761" t="s">
        <v>62173</v>
      </c>
      <c r="D40761" t="s">
        <v>22797</v>
      </c>
      <c r="F40761" s="2" t="str">
        <f>HYPERLINK("http://www.otzar.org/book.asp?614601","שומר שבת")</f>
        <v>שומר שבת</v>
      </c>
    </row>
    <row r="40762" spans="1:6" x14ac:dyDescent="0.2">
      <c r="A40762" t="s">
        <v>62171</v>
      </c>
      <c r="B40762" t="s">
        <v>57514</v>
      </c>
      <c r="C40762" t="s">
        <v>1448</v>
      </c>
      <c r="D40762" t="s">
        <v>14</v>
      </c>
      <c r="F40762" s="2" t="str">
        <f>HYPERLINK("http://www.otzar.org/book.asp?612232","שומר שבת - 2 כר'")</f>
        <v>שומר שבת - 2 כר'</v>
      </c>
    </row>
    <row r="40763" spans="1:6" x14ac:dyDescent="0.2">
      <c r="A40763" t="s">
        <v>62174</v>
      </c>
      <c r="B40763" t="s">
        <v>62175</v>
      </c>
      <c r="C40763" t="s">
        <v>20</v>
      </c>
      <c r="D40763" t="s">
        <v>52</v>
      </c>
      <c r="E40763" t="s">
        <v>158</v>
      </c>
      <c r="F40763" s="2" t="str">
        <f>HYPERLINK("http://www.otzar.org/book.asp?171339","שומר תורה אשרהו")</f>
        <v>שומר תורה אשרהו</v>
      </c>
    </row>
    <row r="40764" spans="1:6" x14ac:dyDescent="0.2">
      <c r="A40764" t="s">
        <v>62176</v>
      </c>
      <c r="B40764" t="s">
        <v>1750</v>
      </c>
      <c r="C40764" t="s">
        <v>63</v>
      </c>
      <c r="D40764" t="s">
        <v>14</v>
      </c>
      <c r="E40764" t="s">
        <v>199</v>
      </c>
      <c r="F40764" s="2" t="str">
        <f>HYPERLINK("http://www.otzar.org/book.asp?106346","שומרי הגחלת")</f>
        <v>שומרי הגחלת</v>
      </c>
    </row>
    <row r="40765" spans="1:6" x14ac:dyDescent="0.2">
      <c r="A40765" t="s">
        <v>62177</v>
      </c>
      <c r="B40765" t="s">
        <v>62178</v>
      </c>
      <c r="C40765" t="s">
        <v>151</v>
      </c>
      <c r="D40765" t="s">
        <v>90</v>
      </c>
      <c r="F40765" s="2" t="str">
        <f>HYPERLINK("http://www.otzar.org/book.asp?617921","שומרי החומות")</f>
        <v>שומרי החומות</v>
      </c>
    </row>
    <row r="40766" spans="1:6" x14ac:dyDescent="0.2">
      <c r="A40766" t="s">
        <v>62179</v>
      </c>
      <c r="B40766" t="s">
        <v>8766</v>
      </c>
      <c r="C40766" t="s">
        <v>366</v>
      </c>
      <c r="D40766" t="s">
        <v>14</v>
      </c>
      <c r="E40766" t="s">
        <v>803</v>
      </c>
      <c r="F40766" s="2" t="str">
        <f>HYPERLINK("http://www.otzar.org/book.asp?611828","שומרי מצוה")</f>
        <v>שומרי מצוה</v>
      </c>
    </row>
    <row r="40767" spans="1:6" x14ac:dyDescent="0.2">
      <c r="A40767" t="s">
        <v>62180</v>
      </c>
      <c r="B40767" t="s">
        <v>62181</v>
      </c>
      <c r="C40767" t="s">
        <v>68</v>
      </c>
      <c r="D40767" t="s">
        <v>14</v>
      </c>
      <c r="E40767" t="s">
        <v>119</v>
      </c>
      <c r="F40767" s="2" t="str">
        <f>HYPERLINK("http://www.otzar.org/book.asp?167114","שומרי משמרת הקודש - 2 כר'")</f>
        <v>שומרי משמרת הקודש - 2 כר'</v>
      </c>
    </row>
    <row r="40768" spans="1:6" x14ac:dyDescent="0.2">
      <c r="A40768" t="s">
        <v>62182</v>
      </c>
      <c r="B40768" t="s">
        <v>38435</v>
      </c>
      <c r="C40768" t="s">
        <v>624</v>
      </c>
      <c r="D40768" t="s">
        <v>52</v>
      </c>
      <c r="E40768" t="s">
        <v>148</v>
      </c>
      <c r="F40768" s="2" t="str">
        <f>HYPERLINK("http://www.otzar.org/book.asp?50021","שומרי משפט")</f>
        <v>שומרי משפט</v>
      </c>
    </row>
    <row r="40769" spans="1:6" x14ac:dyDescent="0.2">
      <c r="A40769" t="s">
        <v>62183</v>
      </c>
      <c r="B40769" t="s">
        <v>62184</v>
      </c>
      <c r="C40769" t="s">
        <v>785</v>
      </c>
      <c r="D40769" t="s">
        <v>14</v>
      </c>
      <c r="E40769" t="s">
        <v>2153</v>
      </c>
      <c r="F40769" s="2" t="str">
        <f>HYPERLINK("http://www.otzar.org/book.asp?85140","שומרי משפט - 2 כר'")</f>
        <v>שומרי משפט - 2 כר'</v>
      </c>
    </row>
    <row r="40770" spans="1:6" x14ac:dyDescent="0.2">
      <c r="A40770" t="s">
        <v>62185</v>
      </c>
      <c r="B40770" t="s">
        <v>4867</v>
      </c>
      <c r="C40770" t="s">
        <v>37</v>
      </c>
      <c r="D40770" t="s">
        <v>412</v>
      </c>
      <c r="E40770" t="s">
        <v>172</v>
      </c>
      <c r="F40770" s="2" t="str">
        <f>HYPERLINK("http://www.otzar.org/book.asp?195421","שומרי פקודיך - על ערוה""ש הל' פקדון")</f>
        <v>שומרי פקודיך - על ערוה"ש הל' פקדון</v>
      </c>
    </row>
    <row r="40771" spans="1:6" x14ac:dyDescent="0.2">
      <c r="A40771" t="s">
        <v>62186</v>
      </c>
      <c r="B40771" t="s">
        <v>22316</v>
      </c>
      <c r="C40771" t="s">
        <v>103</v>
      </c>
      <c r="D40771" t="s">
        <v>367</v>
      </c>
      <c r="E40771" t="s">
        <v>10</v>
      </c>
      <c r="F40771" s="2" t="str">
        <f>HYPERLINK("http://www.otzar.org/book.asp?24940","שומרי שבת - א")</f>
        <v>שומרי שבת - א</v>
      </c>
    </row>
    <row r="40772" spans="1:6" x14ac:dyDescent="0.2">
      <c r="A40772" t="s">
        <v>62187</v>
      </c>
      <c r="B40772" t="s">
        <v>5003</v>
      </c>
      <c r="C40772" t="s">
        <v>244</v>
      </c>
      <c r="D40772" t="s">
        <v>147</v>
      </c>
      <c r="E40772" t="s">
        <v>241</v>
      </c>
      <c r="F40772" s="2" t="str">
        <f>HYPERLINK("http://www.otzar.org/book.asp?625529","שומרים הפקד לעירך")</f>
        <v>שומרים הפקד לעירך</v>
      </c>
    </row>
    <row r="40773" spans="1:6" x14ac:dyDescent="0.2">
      <c r="A40773" t="s">
        <v>62188</v>
      </c>
      <c r="B40773" t="s">
        <v>36002</v>
      </c>
      <c r="C40773" t="s">
        <v>151</v>
      </c>
      <c r="D40773" t="s">
        <v>21</v>
      </c>
      <c r="F40773" s="2" t="str">
        <f>HYPERLINK("http://www.otzar.org/book.asp?621163","שומת נזיקין")</f>
        <v>שומת נזיקין</v>
      </c>
    </row>
    <row r="40774" spans="1:6" x14ac:dyDescent="0.2">
      <c r="A40774" t="s">
        <v>62189</v>
      </c>
      <c r="B40774" t="s">
        <v>62190</v>
      </c>
      <c r="C40774" t="s">
        <v>20</v>
      </c>
      <c r="D40774" t="s">
        <v>14</v>
      </c>
      <c r="E40774" t="s">
        <v>15</v>
      </c>
      <c r="F40774" s="2" t="str">
        <f>HYPERLINK("http://www.otzar.org/book.asp?629529","שונה הלכה - מצוות התלויות בארץ")</f>
        <v>שונה הלכה - מצוות התלויות בארץ</v>
      </c>
    </row>
    <row r="40775" spans="1:6" x14ac:dyDescent="0.2">
      <c r="A40775" t="s">
        <v>62191</v>
      </c>
      <c r="B40775" t="s">
        <v>62192</v>
      </c>
      <c r="C40775" t="s">
        <v>151</v>
      </c>
      <c r="D40775" t="s">
        <v>152</v>
      </c>
      <c r="E40775" t="s">
        <v>872</v>
      </c>
      <c r="F40775" s="2" t="str">
        <f>HYPERLINK("http://www.otzar.org/book.asp?620826","שונה הלכות &lt;תורת המועדים&gt; - 3 כר'")</f>
        <v>שונה הלכות &lt;תורת המועדים&gt; - 3 כר'</v>
      </c>
    </row>
    <row r="40776" spans="1:6" x14ac:dyDescent="0.2">
      <c r="A40776" t="s">
        <v>62193</v>
      </c>
      <c r="B40776" t="s">
        <v>62194</v>
      </c>
      <c r="C40776" t="s">
        <v>37</v>
      </c>
      <c r="D40776" t="s">
        <v>152</v>
      </c>
      <c r="F40776" s="2" t="str">
        <f>HYPERLINK("http://www.otzar.org/book.asp?197479","שונה הלכות המבואר - 3 כר'")</f>
        <v>שונה הלכות המבואר - 3 כר'</v>
      </c>
    </row>
    <row r="40777" spans="1:6" x14ac:dyDescent="0.2">
      <c r="A40777" t="s">
        <v>62195</v>
      </c>
      <c r="B40777" t="s">
        <v>62196</v>
      </c>
      <c r="C40777" t="s">
        <v>1592</v>
      </c>
      <c r="D40777" t="s">
        <v>1023</v>
      </c>
      <c r="E40777" t="s">
        <v>435</v>
      </c>
      <c r="F40777" s="2" t="str">
        <f>HYPERLINK("http://www.otzar.org/book.asp?100789","שונה הלכות")</f>
        <v>שונה הלכות</v>
      </c>
    </row>
    <row r="40778" spans="1:6" x14ac:dyDescent="0.2">
      <c r="A40778" t="s">
        <v>62197</v>
      </c>
      <c r="B40778" t="s">
        <v>7604</v>
      </c>
      <c r="C40778" t="s">
        <v>37</v>
      </c>
      <c r="D40778" t="s">
        <v>52</v>
      </c>
      <c r="F40778" s="2" t="str">
        <f>HYPERLINK("http://www.otzar.org/book.asp?631545","שונה הלכות - 3 כר'")</f>
        <v>שונה הלכות - 3 כר'</v>
      </c>
    </row>
    <row r="40779" spans="1:6" x14ac:dyDescent="0.2">
      <c r="A40779" t="s">
        <v>62198</v>
      </c>
      <c r="B40779" t="s">
        <v>62199</v>
      </c>
      <c r="C40779" t="s">
        <v>20</v>
      </c>
      <c r="D40779" t="s">
        <v>90</v>
      </c>
      <c r="E40779" t="s">
        <v>172</v>
      </c>
      <c r="F40779" s="2" t="str">
        <f>HYPERLINK("http://www.otzar.org/book.asp?622366","שונה המשפט")</f>
        <v>שונה המשפט</v>
      </c>
    </row>
    <row r="40780" spans="1:6" x14ac:dyDescent="0.2">
      <c r="A40780" t="s">
        <v>62200</v>
      </c>
      <c r="B40780" t="s">
        <v>62201</v>
      </c>
      <c r="C40780" t="s">
        <v>99</v>
      </c>
      <c r="D40780" t="s">
        <v>21</v>
      </c>
      <c r="F40780" s="2" t="str">
        <f>HYPERLINK("http://www.otzar.org/book.asp?197412","שועת הארי")</f>
        <v>שועת הארי</v>
      </c>
    </row>
    <row r="40781" spans="1:6" x14ac:dyDescent="0.2">
      <c r="A40781" t="s">
        <v>62202</v>
      </c>
      <c r="B40781" t="s">
        <v>10953</v>
      </c>
      <c r="C40781" t="s">
        <v>1284</v>
      </c>
      <c r="D40781" t="s">
        <v>225</v>
      </c>
      <c r="E40781" t="s">
        <v>1072</v>
      </c>
      <c r="F40781" s="2" t="str">
        <f>HYPERLINK("http://www.otzar.org/book.asp?25403","שועת צדיקים - 2 כר'")</f>
        <v>שועת צדיקים - 2 כר'</v>
      </c>
    </row>
    <row r="40782" spans="1:6" x14ac:dyDescent="0.2">
      <c r="A40782" t="s">
        <v>62203</v>
      </c>
      <c r="B40782" t="s">
        <v>62204</v>
      </c>
      <c r="C40782" t="s">
        <v>129</v>
      </c>
      <c r="D40782" t="s">
        <v>14</v>
      </c>
      <c r="F40782" s="2" t="str">
        <f>HYPERLINK("http://www.otzar.org/book.asp?157165","שועתי אליך")</f>
        <v>שועתי אליך</v>
      </c>
    </row>
    <row r="40783" spans="1:6" x14ac:dyDescent="0.2">
      <c r="A40783" t="s">
        <v>62205</v>
      </c>
      <c r="B40783" t="s">
        <v>686</v>
      </c>
      <c r="C40783" t="s">
        <v>422</v>
      </c>
      <c r="D40783" t="s">
        <v>52</v>
      </c>
      <c r="E40783" t="s">
        <v>2535</v>
      </c>
      <c r="F40783" s="2" t="str">
        <f>HYPERLINK("http://www.otzar.org/book.asp?63433","שועתנו קבל")</f>
        <v>שועתנו קבל</v>
      </c>
    </row>
    <row r="40784" spans="1:6" x14ac:dyDescent="0.2">
      <c r="A40784" t="s">
        <v>62206</v>
      </c>
      <c r="B40784" t="s">
        <v>7629</v>
      </c>
      <c r="C40784" t="s">
        <v>151</v>
      </c>
      <c r="D40784" t="s">
        <v>14</v>
      </c>
      <c r="F40784" s="2" t="str">
        <f>HYPERLINK("http://www.otzar.org/book.asp?616138","שופר בציון")</f>
        <v>שופר בציון</v>
      </c>
    </row>
    <row r="40785" spans="1:6" x14ac:dyDescent="0.2">
      <c r="A40785" t="s">
        <v>62207</v>
      </c>
      <c r="B40785" t="s">
        <v>31179</v>
      </c>
      <c r="C40785" t="s">
        <v>1535</v>
      </c>
      <c r="D40785" t="s">
        <v>10393</v>
      </c>
      <c r="E40785" t="s">
        <v>930</v>
      </c>
      <c r="F40785" s="2" t="str">
        <f>HYPERLINK("http://www.otzar.org/book.asp?5194","שופר ישראל")</f>
        <v>שופר ישראל</v>
      </c>
    </row>
    <row r="40786" spans="1:6" x14ac:dyDescent="0.2">
      <c r="A40786" t="s">
        <v>62208</v>
      </c>
      <c r="B40786" t="s">
        <v>4735</v>
      </c>
      <c r="C40786" t="s">
        <v>68</v>
      </c>
      <c r="D40786" t="s">
        <v>14</v>
      </c>
      <c r="E40786" t="s">
        <v>104</v>
      </c>
      <c r="F40786" s="2" t="str">
        <f>HYPERLINK("http://www.otzar.org/book.asp?159561","שופר של אותיות לשון הקודש")</f>
        <v>שופר של אותיות לשון הקודש</v>
      </c>
    </row>
    <row r="40787" spans="1:6" x14ac:dyDescent="0.2">
      <c r="A40787" t="s">
        <v>62209</v>
      </c>
      <c r="B40787" t="s">
        <v>19744</v>
      </c>
      <c r="C40787" t="s">
        <v>313</v>
      </c>
      <c r="D40787" t="s">
        <v>52</v>
      </c>
      <c r="E40787" t="s">
        <v>130</v>
      </c>
      <c r="F40787" s="2" t="str">
        <f>HYPERLINK("http://www.otzar.org/book.asp?85655","שופר תרועה")</f>
        <v>שופר תרועה</v>
      </c>
    </row>
    <row r="40788" spans="1:6" x14ac:dyDescent="0.2">
      <c r="A40788" t="s">
        <v>62209</v>
      </c>
      <c r="B40788" t="s">
        <v>2396</v>
      </c>
      <c r="C40788" t="s">
        <v>20</v>
      </c>
      <c r="D40788" t="s">
        <v>52</v>
      </c>
      <c r="E40788" t="s">
        <v>3516</v>
      </c>
      <c r="F40788" s="2" t="str">
        <f>HYPERLINK("http://www.otzar.org/book.asp?165249","שופר תרועה")</f>
        <v>שופר תרועה</v>
      </c>
    </row>
    <row r="40789" spans="1:6" x14ac:dyDescent="0.2">
      <c r="A40789" t="s">
        <v>62210</v>
      </c>
      <c r="B40789" t="s">
        <v>62211</v>
      </c>
      <c r="C40789" t="s">
        <v>114</v>
      </c>
      <c r="D40789" t="s">
        <v>14</v>
      </c>
      <c r="E40789" t="s">
        <v>3055</v>
      </c>
      <c r="F40789" s="2" t="str">
        <f>HYPERLINK("http://www.otzar.org/book.asp?163734","שופרא דחנוכה")</f>
        <v>שופרא דחנוכה</v>
      </c>
    </row>
    <row r="40790" spans="1:6" x14ac:dyDescent="0.2">
      <c r="A40790" t="s">
        <v>62212</v>
      </c>
      <c r="B40790" t="s">
        <v>62213</v>
      </c>
      <c r="C40790" t="s">
        <v>114</v>
      </c>
      <c r="D40790" t="s">
        <v>14</v>
      </c>
      <c r="E40790" t="s">
        <v>62214</v>
      </c>
      <c r="F40790" s="2" t="str">
        <f>HYPERLINK("http://www.otzar.org/book.asp?163735","שופרא דישראל - 2 כר'")</f>
        <v>שופרא דישראל - 2 כר'</v>
      </c>
    </row>
    <row r="40791" spans="1:6" x14ac:dyDescent="0.2">
      <c r="A40791" t="s">
        <v>62215</v>
      </c>
      <c r="B40791" t="s">
        <v>62216</v>
      </c>
      <c r="C40791" t="s">
        <v>1208</v>
      </c>
      <c r="D40791" t="s">
        <v>52</v>
      </c>
      <c r="E40791" t="s">
        <v>920</v>
      </c>
      <c r="F40791" s="2" t="str">
        <f>HYPERLINK("http://www.otzar.org/book.asp?9079","שופרא דמשה")</f>
        <v>שופרא דמשה</v>
      </c>
    </row>
    <row r="40792" spans="1:6" x14ac:dyDescent="0.2">
      <c r="A40792" t="s">
        <v>62217</v>
      </c>
      <c r="B40792" t="s">
        <v>62218</v>
      </c>
      <c r="C40792" t="s">
        <v>129</v>
      </c>
      <c r="D40792" t="s">
        <v>657</v>
      </c>
      <c r="E40792" t="s">
        <v>158</v>
      </c>
      <c r="F40792" s="2" t="str">
        <f>HYPERLINK("http://www.otzar.org/book.asp?63813","שופרא דפרשה - 2 כר'")</f>
        <v>שופרא דפרשה - 2 כר'</v>
      </c>
    </row>
    <row r="40793" spans="1:6" x14ac:dyDescent="0.2">
      <c r="A40793" t="s">
        <v>62219</v>
      </c>
      <c r="B40793" t="s">
        <v>228</v>
      </c>
      <c r="C40793" t="s">
        <v>585</v>
      </c>
      <c r="D40793" t="s">
        <v>229</v>
      </c>
      <c r="E40793" t="s">
        <v>144</v>
      </c>
      <c r="F40793" s="2" t="str">
        <f>HYPERLINK("http://www.otzar.org/book.asp?84885","שופרא דשטרא")</f>
        <v>שופרא דשטרא</v>
      </c>
    </row>
    <row r="40794" spans="1:6" x14ac:dyDescent="0.2">
      <c r="A40794" t="s">
        <v>62220</v>
      </c>
      <c r="B40794" t="s">
        <v>3168</v>
      </c>
      <c r="C40794" t="s">
        <v>17</v>
      </c>
      <c r="D40794" t="s">
        <v>14</v>
      </c>
      <c r="E40794" t="s">
        <v>226</v>
      </c>
      <c r="F40794" s="2" t="str">
        <f>HYPERLINK("http://www.otzar.org/book.asp?159646","שופריה דאברהם")</f>
        <v>שופריה דאברהם</v>
      </c>
    </row>
    <row r="40795" spans="1:6" x14ac:dyDescent="0.2">
      <c r="A40795" t="s">
        <v>62221</v>
      </c>
      <c r="B40795" t="s">
        <v>62222</v>
      </c>
      <c r="C40795" t="s">
        <v>748</v>
      </c>
      <c r="D40795" t="s">
        <v>13414</v>
      </c>
      <c r="E40795" t="s">
        <v>2071</v>
      </c>
      <c r="F40795" s="2" t="str">
        <f>HYPERLINK("http://www.otzar.org/book.asp?84097","שופריה דיוסף - 2 כר'")</f>
        <v>שופריה דיוסף - 2 כר'</v>
      </c>
    </row>
    <row r="40796" spans="1:6" x14ac:dyDescent="0.2">
      <c r="A40796" t="s">
        <v>62223</v>
      </c>
      <c r="B40796" t="s">
        <v>62224</v>
      </c>
      <c r="C40796" t="s">
        <v>1811</v>
      </c>
      <c r="D40796" t="s">
        <v>14</v>
      </c>
      <c r="E40796" t="s">
        <v>15</v>
      </c>
      <c r="F40796" s="2" t="str">
        <f>HYPERLINK("http://www.otzar.org/book.asp?154441","שופריה דיוסף")</f>
        <v>שופריה דיוסף</v>
      </c>
    </row>
    <row r="40797" spans="1:6" x14ac:dyDescent="0.2">
      <c r="A40797" t="s">
        <v>62223</v>
      </c>
      <c r="B40797" t="s">
        <v>14682</v>
      </c>
      <c r="C40797" t="s">
        <v>46</v>
      </c>
      <c r="D40797" t="s">
        <v>62225</v>
      </c>
      <c r="E40797" t="s">
        <v>158</v>
      </c>
      <c r="F40797" s="2" t="str">
        <f>HYPERLINK("http://www.otzar.org/book.asp?199584","שופריה דיוסף")</f>
        <v>שופריה דיוסף</v>
      </c>
    </row>
    <row r="40798" spans="1:6" x14ac:dyDescent="0.2">
      <c r="A40798" t="s">
        <v>62226</v>
      </c>
      <c r="B40798" t="s">
        <v>19915</v>
      </c>
      <c r="C40798" t="s">
        <v>313</v>
      </c>
      <c r="D40798" t="s">
        <v>1356</v>
      </c>
      <c r="E40798" t="s">
        <v>154</v>
      </c>
      <c r="F40798" s="2" t="str">
        <f>HYPERLINK("http://www.otzar.org/book.asp?177171","שופריה דיעקב &lt;מהדורה חדשה&gt;")</f>
        <v>שופריה דיעקב &lt;מהדורה חדשה&gt;</v>
      </c>
    </row>
    <row r="40799" spans="1:6" x14ac:dyDescent="0.2">
      <c r="A40799" t="s">
        <v>62226</v>
      </c>
      <c r="B40799" t="s">
        <v>2216</v>
      </c>
      <c r="C40799" t="s">
        <v>37</v>
      </c>
      <c r="D40799" t="s">
        <v>147</v>
      </c>
      <c r="E40799" t="s">
        <v>158</v>
      </c>
      <c r="F40799" s="2" t="str">
        <f>HYPERLINK("http://www.otzar.org/book.asp?180692","שופריה דיעקב &lt;מהדורה חדשה&gt;")</f>
        <v>שופריה דיעקב &lt;מהדורה חדשה&gt;</v>
      </c>
    </row>
    <row r="40800" spans="1:6" x14ac:dyDescent="0.2">
      <c r="A40800" t="s">
        <v>62227</v>
      </c>
      <c r="B40800" t="s">
        <v>19915</v>
      </c>
      <c r="C40800" t="s">
        <v>445</v>
      </c>
      <c r="D40800" t="s">
        <v>27</v>
      </c>
      <c r="E40800" t="s">
        <v>154</v>
      </c>
      <c r="F40800" s="2" t="str">
        <f>HYPERLINK("http://www.otzar.org/book.asp?101356","שופריה דיעקב")</f>
        <v>שופריה דיעקב</v>
      </c>
    </row>
    <row r="40801" spans="1:6" x14ac:dyDescent="0.2">
      <c r="A40801" t="s">
        <v>62227</v>
      </c>
      <c r="B40801" t="s">
        <v>2216</v>
      </c>
      <c r="C40801" t="s">
        <v>360</v>
      </c>
      <c r="D40801" t="s">
        <v>27</v>
      </c>
      <c r="E40801" t="s">
        <v>158</v>
      </c>
      <c r="F40801" s="2" t="str">
        <f>HYPERLINK("http://www.otzar.org/book.asp?152270","שופריה דיעקב")</f>
        <v>שופריה דיעקב</v>
      </c>
    </row>
    <row r="40802" spans="1:6" x14ac:dyDescent="0.2">
      <c r="A40802" t="s">
        <v>62227</v>
      </c>
      <c r="B40802" t="s">
        <v>62228</v>
      </c>
      <c r="C40802" t="s">
        <v>6062</v>
      </c>
      <c r="D40802" t="s">
        <v>212</v>
      </c>
      <c r="E40802" t="s">
        <v>144</v>
      </c>
      <c r="F40802" s="2" t="str">
        <f>HYPERLINK("http://www.otzar.org/book.asp?12894","שופריה דיעקב")</f>
        <v>שופריה דיעקב</v>
      </c>
    </row>
    <row r="40803" spans="1:6" x14ac:dyDescent="0.2">
      <c r="A40803" t="s">
        <v>62229</v>
      </c>
      <c r="B40803" t="s">
        <v>62230</v>
      </c>
      <c r="C40803" t="s">
        <v>151</v>
      </c>
      <c r="D40803" t="s">
        <v>62231</v>
      </c>
      <c r="E40803" t="s">
        <v>158</v>
      </c>
      <c r="F40803" s="2" t="str">
        <f>HYPERLINK("http://www.otzar.org/book.asp?629971","שופריה דמיכאל")</f>
        <v>שופריה דמיכאל</v>
      </c>
    </row>
    <row r="40804" spans="1:6" x14ac:dyDescent="0.2">
      <c r="A40804" t="s">
        <v>62232</v>
      </c>
      <c r="B40804" t="s">
        <v>552</v>
      </c>
      <c r="C40804" t="s">
        <v>767</v>
      </c>
      <c r="D40804" t="s">
        <v>52</v>
      </c>
      <c r="E40804" t="s">
        <v>202</v>
      </c>
      <c r="F40804" s="2" t="str">
        <f>HYPERLINK("http://www.otzar.org/book.asp?143462","שופריה דרבי אליעזר")</f>
        <v>שופריה דרבי אליעזר</v>
      </c>
    </row>
    <row r="40805" spans="1:6" x14ac:dyDescent="0.2">
      <c r="A40805" t="s">
        <v>62233</v>
      </c>
      <c r="B40805" t="s">
        <v>206</v>
      </c>
      <c r="C40805" t="s">
        <v>20</v>
      </c>
      <c r="D40805" t="s">
        <v>90</v>
      </c>
      <c r="F40805" s="2" t="str">
        <f>HYPERLINK("http://www.otzar.org/book.asp?616677","שוק ההון הלכה ומעשה")</f>
        <v>שוק ההון הלכה ומעשה</v>
      </c>
    </row>
    <row r="40806" spans="1:6" x14ac:dyDescent="0.2">
      <c r="A40806" t="s">
        <v>62234</v>
      </c>
      <c r="B40806" t="s">
        <v>62235</v>
      </c>
      <c r="C40806" t="s">
        <v>37</v>
      </c>
      <c r="D40806" t="s">
        <v>245</v>
      </c>
      <c r="F40806" s="2" t="str">
        <f>HYPERLINK("http://www.otzar.org/book.asp?198591","שורש וענף")</f>
        <v>שורש וענף</v>
      </c>
    </row>
    <row r="40807" spans="1:6" x14ac:dyDescent="0.2">
      <c r="A40807" t="s">
        <v>62236</v>
      </c>
      <c r="B40807" t="s">
        <v>62237</v>
      </c>
      <c r="C40807" t="s">
        <v>2024</v>
      </c>
      <c r="D40807" t="s">
        <v>6042</v>
      </c>
      <c r="E40807" t="s">
        <v>104</v>
      </c>
      <c r="F40807" s="2" t="str">
        <f>HYPERLINK("http://www.otzar.org/book.asp?151547","שורש יהודה")</f>
        <v>שורש יהודה</v>
      </c>
    </row>
    <row r="40808" spans="1:6" x14ac:dyDescent="0.2">
      <c r="A40808" t="s">
        <v>62238</v>
      </c>
      <c r="B40808" t="s">
        <v>62239</v>
      </c>
      <c r="C40808" t="s">
        <v>5156</v>
      </c>
      <c r="D40808" t="s">
        <v>1117</v>
      </c>
      <c r="E40808" t="s">
        <v>15</v>
      </c>
      <c r="F40808" s="2" t="str">
        <f>HYPERLINK("http://www.otzar.org/book.asp?63888","שורש יעקב")</f>
        <v>שורש יעקב</v>
      </c>
    </row>
    <row r="40809" spans="1:6" x14ac:dyDescent="0.2">
      <c r="A40809" t="s">
        <v>62240</v>
      </c>
      <c r="B40809" t="s">
        <v>5241</v>
      </c>
      <c r="C40809" t="s">
        <v>3690</v>
      </c>
      <c r="D40809" t="s">
        <v>756</v>
      </c>
      <c r="E40809" t="s">
        <v>957</v>
      </c>
      <c r="F40809" s="2" t="str">
        <f>HYPERLINK("http://www.otzar.org/book.asp?102600","שורש ישי")</f>
        <v>שורש ישי</v>
      </c>
    </row>
    <row r="40810" spans="1:6" x14ac:dyDescent="0.2">
      <c r="A40810" t="s">
        <v>62240</v>
      </c>
      <c r="B40810" t="s">
        <v>62241</v>
      </c>
      <c r="C40810" t="s">
        <v>12024</v>
      </c>
      <c r="D40810" t="s">
        <v>212</v>
      </c>
      <c r="E40810" t="s">
        <v>16913</v>
      </c>
      <c r="F40810" s="2" t="str">
        <f>HYPERLINK("http://www.otzar.org/book.asp?104853","שורש ישי")</f>
        <v>שורש ישי</v>
      </c>
    </row>
    <row r="40811" spans="1:6" x14ac:dyDescent="0.2">
      <c r="A40811" t="s">
        <v>62242</v>
      </c>
      <c r="B40811" t="s">
        <v>62243</v>
      </c>
      <c r="C40811" t="s">
        <v>62244</v>
      </c>
      <c r="D40811" t="s">
        <v>267</v>
      </c>
      <c r="E40811" t="s">
        <v>172</v>
      </c>
      <c r="F40811" s="2" t="str">
        <f>HYPERLINK("http://www.otzar.org/book.asp?147094","שורש מיעקב - 3 כר'")</f>
        <v>שורש מיעקב - 3 כר'</v>
      </c>
    </row>
    <row r="40812" spans="1:6" x14ac:dyDescent="0.2">
      <c r="A40812" t="s">
        <v>62245</v>
      </c>
      <c r="B40812" t="s">
        <v>62246</v>
      </c>
      <c r="C40812" t="s">
        <v>68</v>
      </c>
      <c r="D40812" t="s">
        <v>14</v>
      </c>
      <c r="E40812" t="s">
        <v>158</v>
      </c>
      <c r="F40812" s="2" t="str">
        <f>HYPERLINK("http://www.otzar.org/book.asp?607168","שורשי ישראל")</f>
        <v>שורשי ישראל</v>
      </c>
    </row>
    <row r="40813" spans="1:6" x14ac:dyDescent="0.2">
      <c r="A40813" t="s">
        <v>62247</v>
      </c>
      <c r="B40813" t="s">
        <v>62248</v>
      </c>
      <c r="C40813" t="s">
        <v>332</v>
      </c>
      <c r="D40813" t="s">
        <v>2798</v>
      </c>
      <c r="E40813" t="s">
        <v>119</v>
      </c>
      <c r="F40813" s="2" t="str">
        <f>HYPERLINK("http://www.otzar.org/book.asp?198432","שורשים ביהדות תוניסיה")</f>
        <v>שורשים ביהדות תוניסיה</v>
      </c>
    </row>
    <row r="40814" spans="1:6" x14ac:dyDescent="0.2">
      <c r="A40814" t="s">
        <v>62249</v>
      </c>
      <c r="B40814" t="s">
        <v>62250</v>
      </c>
      <c r="C40814" t="s">
        <v>87</v>
      </c>
      <c r="D40814" t="s">
        <v>14</v>
      </c>
      <c r="F40814" s="2" t="str">
        <f>HYPERLINK("http://www.otzar.org/book.asp?177178","שורת הדין - 17 כר'")</f>
        <v>שורת הדין - 17 כר'</v>
      </c>
    </row>
    <row r="40815" spans="1:6" x14ac:dyDescent="0.2">
      <c r="A40815" t="s">
        <v>62251</v>
      </c>
      <c r="B40815" t="s">
        <v>62252</v>
      </c>
      <c r="C40815" t="s">
        <v>146</v>
      </c>
      <c r="D40815" t="s">
        <v>14</v>
      </c>
      <c r="F40815" s="2" t="str">
        <f>HYPERLINK("http://www.otzar.org/book.asp?611322","שוש אשיש")</f>
        <v>שוש אשיש</v>
      </c>
    </row>
    <row r="40816" spans="1:6" x14ac:dyDescent="0.2">
      <c r="A40816" t="s">
        <v>62253</v>
      </c>
      <c r="B40816" t="s">
        <v>10056</v>
      </c>
      <c r="C40816" t="s">
        <v>13</v>
      </c>
      <c r="D40816" t="s">
        <v>90</v>
      </c>
      <c r="F40816" s="2" t="str">
        <f>HYPERLINK("http://www.otzar.org/book.asp?199117","שושילתא דדהבא")</f>
        <v>שושילתא דדהבא</v>
      </c>
    </row>
    <row r="40817" spans="1:6" x14ac:dyDescent="0.2">
      <c r="A40817" t="s">
        <v>62254</v>
      </c>
      <c r="B40817" t="s">
        <v>62255</v>
      </c>
      <c r="C40817" t="s">
        <v>68</v>
      </c>
      <c r="D40817" t="s">
        <v>14</v>
      </c>
      <c r="F40817" s="2" t="str">
        <f>HYPERLINK("http://www.otzar.org/book.asp?616033","שושילתא - 3 כר'")</f>
        <v>שושילתא - 3 כר'</v>
      </c>
    </row>
    <row r="40818" spans="1:6" x14ac:dyDescent="0.2">
      <c r="A40818" t="s">
        <v>62256</v>
      </c>
      <c r="B40818" t="s">
        <v>62257</v>
      </c>
      <c r="C40818" t="s">
        <v>87</v>
      </c>
      <c r="D40818" t="s">
        <v>14</v>
      </c>
      <c r="E40818" t="s">
        <v>226</v>
      </c>
      <c r="F40818" s="2" t="str">
        <f>HYPERLINK("http://www.otzar.org/book.asp?162671","שושלת בוסטון")</f>
        <v>שושלת בוסטון</v>
      </c>
    </row>
    <row r="40819" spans="1:6" x14ac:dyDescent="0.2">
      <c r="A40819" t="s">
        <v>62258</v>
      </c>
      <c r="B40819" t="s">
        <v>38280</v>
      </c>
      <c r="C40819" t="s">
        <v>956</v>
      </c>
      <c r="D40819" t="s">
        <v>216</v>
      </c>
      <c r="E40819" t="s">
        <v>119</v>
      </c>
      <c r="F40819" s="2" t="str">
        <f>HYPERLINK("http://www.otzar.org/book.asp?108256","שושלת הקודש")</f>
        <v>שושלת הקודש</v>
      </c>
    </row>
    <row r="40820" spans="1:6" x14ac:dyDescent="0.2">
      <c r="A40820" t="s">
        <v>62259</v>
      </c>
      <c r="B40820" t="s">
        <v>62260</v>
      </c>
      <c r="C40820" t="s">
        <v>133</v>
      </c>
      <c r="D40820" t="s">
        <v>90</v>
      </c>
      <c r="E40820" t="s">
        <v>119</v>
      </c>
      <c r="F40820" s="2" t="str">
        <f>HYPERLINK("http://www.otzar.org/book.asp?180656","שושלת חכמי משפחת דוראן")</f>
        <v>שושלת חכמי משפחת דוראן</v>
      </c>
    </row>
    <row r="40821" spans="1:6" x14ac:dyDescent="0.2">
      <c r="A40821" t="s">
        <v>62261</v>
      </c>
      <c r="B40821" t="s">
        <v>3554</v>
      </c>
      <c r="C40821" t="s">
        <v>775</v>
      </c>
      <c r="D40821" t="s">
        <v>52</v>
      </c>
      <c r="E40821" t="s">
        <v>226</v>
      </c>
      <c r="F40821" s="2" t="str">
        <f>HYPERLINK("http://www.otzar.org/book.asp?189192","שושלת ספינקא")</f>
        <v>שושלת ספינקא</v>
      </c>
    </row>
    <row r="40822" spans="1:6" x14ac:dyDescent="0.2">
      <c r="A40822" t="s">
        <v>62262</v>
      </c>
      <c r="B40822" t="s">
        <v>62263</v>
      </c>
      <c r="C40822" t="s">
        <v>1374</v>
      </c>
      <c r="D40822" t="s">
        <v>563</v>
      </c>
      <c r="E40822" t="s">
        <v>3363</v>
      </c>
      <c r="F40822" s="2" t="str">
        <f>HYPERLINK("http://www.otzar.org/book.asp?166880","שושן בצלאל")</f>
        <v>שושן בצלאל</v>
      </c>
    </row>
    <row r="40823" spans="1:6" x14ac:dyDescent="0.2">
      <c r="A40823" t="s">
        <v>62264</v>
      </c>
      <c r="B40823" t="s">
        <v>39795</v>
      </c>
      <c r="C40823" t="s">
        <v>1096</v>
      </c>
      <c r="D40823" t="s">
        <v>7226</v>
      </c>
      <c r="E40823" t="s">
        <v>104</v>
      </c>
      <c r="F40823" s="2" t="str">
        <f>HYPERLINK("http://www.otzar.org/book.asp?197054","שושן חוחים")</f>
        <v>שושן חוחים</v>
      </c>
    </row>
    <row r="40824" spans="1:6" x14ac:dyDescent="0.2">
      <c r="A40824" t="s">
        <v>62265</v>
      </c>
      <c r="B40824" t="s">
        <v>62266</v>
      </c>
      <c r="C40824" t="s">
        <v>5334</v>
      </c>
      <c r="D40824" t="s">
        <v>4364</v>
      </c>
      <c r="F40824" s="2" t="str">
        <f>HYPERLINK("http://www.otzar.org/book.asp?164875","שושן סודות - 2 כר'")</f>
        <v>שושן סודות - 2 כר'</v>
      </c>
    </row>
    <row r="40825" spans="1:6" x14ac:dyDescent="0.2">
      <c r="A40825" t="s">
        <v>62267</v>
      </c>
      <c r="B40825" t="s">
        <v>32274</v>
      </c>
      <c r="C40825" t="s">
        <v>15209</v>
      </c>
      <c r="D40825" t="s">
        <v>661</v>
      </c>
      <c r="E40825" t="s">
        <v>62268</v>
      </c>
      <c r="F40825" s="2" t="str">
        <f>HYPERLINK("http://www.otzar.org/book.asp?101786","שושן עדות")</f>
        <v>שושן עדות</v>
      </c>
    </row>
    <row r="40826" spans="1:6" x14ac:dyDescent="0.2">
      <c r="A40826" t="s">
        <v>62269</v>
      </c>
      <c r="B40826" t="s">
        <v>62270</v>
      </c>
      <c r="C40826" t="s">
        <v>2213</v>
      </c>
      <c r="D40826" t="s">
        <v>1023</v>
      </c>
      <c r="E40826" t="s">
        <v>158</v>
      </c>
      <c r="F40826" s="2" t="str">
        <f>HYPERLINK("http://www.otzar.org/book.asp?147324","שושן עדות, מכתם לדוד")</f>
        <v>שושן עדות, מכתם לדוד</v>
      </c>
    </row>
    <row r="40827" spans="1:6" x14ac:dyDescent="0.2">
      <c r="A40827" t="s">
        <v>62271</v>
      </c>
      <c r="B40827" t="s">
        <v>11003</v>
      </c>
      <c r="C40827" t="s">
        <v>506</v>
      </c>
      <c r="D40827" t="s">
        <v>62272</v>
      </c>
      <c r="E40827" t="s">
        <v>104</v>
      </c>
      <c r="F40827" s="2" t="str">
        <f>HYPERLINK("http://www.otzar.org/book.asp?197018","שושן עמק")</f>
        <v>שושן עמק</v>
      </c>
    </row>
    <row r="40828" spans="1:6" x14ac:dyDescent="0.2">
      <c r="A40828" t="s">
        <v>62273</v>
      </c>
      <c r="B40828" t="s">
        <v>62274</v>
      </c>
      <c r="C40828" t="s">
        <v>1169</v>
      </c>
      <c r="D40828" t="s">
        <v>27</v>
      </c>
      <c r="E40828" t="s">
        <v>2098</v>
      </c>
      <c r="F40828" s="2" t="str">
        <f>HYPERLINK("http://www.otzar.org/book.asp?173407","שושני יעקב")</f>
        <v>שושני יעקב</v>
      </c>
    </row>
    <row r="40829" spans="1:6" x14ac:dyDescent="0.2">
      <c r="A40829" t="s">
        <v>62275</v>
      </c>
      <c r="B40829" t="s">
        <v>37455</v>
      </c>
      <c r="C40829" t="s">
        <v>4705</v>
      </c>
      <c r="D40829" t="s">
        <v>283</v>
      </c>
      <c r="E40829" t="s">
        <v>579</v>
      </c>
      <c r="F40829" s="2" t="str">
        <f>HYPERLINK("http://www.otzar.org/book.asp?100650","שושני לקט")</f>
        <v>שושני לקט</v>
      </c>
    </row>
    <row r="40830" spans="1:6" x14ac:dyDescent="0.2">
      <c r="A40830" t="s">
        <v>62276</v>
      </c>
      <c r="B40830" t="s">
        <v>62277</v>
      </c>
      <c r="C40830" t="s">
        <v>12036</v>
      </c>
      <c r="D40830" t="s">
        <v>6214</v>
      </c>
      <c r="E40830" t="s">
        <v>234</v>
      </c>
      <c r="F40830" s="2" t="str">
        <f>HYPERLINK("http://www.otzar.org/book.asp?197395","שושנים לדוד")</f>
        <v>שושנים לדוד</v>
      </c>
    </row>
    <row r="40831" spans="1:6" x14ac:dyDescent="0.2">
      <c r="A40831" t="s">
        <v>62278</v>
      </c>
      <c r="B40831" t="s">
        <v>27038</v>
      </c>
      <c r="C40831" t="s">
        <v>4858</v>
      </c>
      <c r="D40831" t="s">
        <v>49</v>
      </c>
      <c r="E40831" t="s">
        <v>84</v>
      </c>
      <c r="F40831" s="2" t="str">
        <f>HYPERLINK("http://www.otzar.org/book.asp?9064","שושנים לדוד - 2 כר'")</f>
        <v>שושנים לדוד - 2 כר'</v>
      </c>
    </row>
    <row r="40832" spans="1:6" x14ac:dyDescent="0.2">
      <c r="A40832" t="s">
        <v>62276</v>
      </c>
      <c r="B40832" t="s">
        <v>62279</v>
      </c>
      <c r="C40832" t="s">
        <v>3017</v>
      </c>
      <c r="D40832" t="s">
        <v>6974</v>
      </c>
      <c r="E40832" t="s">
        <v>154</v>
      </c>
      <c r="F40832" s="2" t="str">
        <f>HYPERLINK("http://www.otzar.org/book.asp?20715","שושנים לדוד")</f>
        <v>שושנים לדוד</v>
      </c>
    </row>
    <row r="40833" spans="1:6" x14ac:dyDescent="0.2">
      <c r="A40833" t="s">
        <v>62280</v>
      </c>
      <c r="B40833" t="s">
        <v>62281</v>
      </c>
      <c r="C40833" t="s">
        <v>14979</v>
      </c>
      <c r="D40833" t="s">
        <v>6238</v>
      </c>
      <c r="E40833" t="s">
        <v>154</v>
      </c>
      <c r="F40833" s="2" t="str">
        <f>HYPERLINK("http://www.otzar.org/book.asp?20714","שושנים לדוד - 3 כר'")</f>
        <v>שושנים לדוד - 3 כר'</v>
      </c>
    </row>
    <row r="40834" spans="1:6" x14ac:dyDescent="0.2">
      <c r="A40834" t="s">
        <v>62282</v>
      </c>
      <c r="B40834" t="s">
        <v>20165</v>
      </c>
      <c r="C40834" t="s">
        <v>800</v>
      </c>
      <c r="D40834" t="s">
        <v>9091</v>
      </c>
      <c r="E40834" t="s">
        <v>579</v>
      </c>
      <c r="F40834" s="2" t="str">
        <f>HYPERLINK("http://www.otzar.org/book.asp?145406","שושנים לשר בן חיל העדלמי")</f>
        <v>שושנים לשר בן חיל העדלמי</v>
      </c>
    </row>
    <row r="40835" spans="1:6" x14ac:dyDescent="0.2">
      <c r="A40835" t="s">
        <v>62283</v>
      </c>
      <c r="B40835" t="s">
        <v>62284</v>
      </c>
      <c r="C40835" t="s">
        <v>4687</v>
      </c>
      <c r="D40835" t="s">
        <v>60</v>
      </c>
      <c r="E40835" t="s">
        <v>158</v>
      </c>
      <c r="F40835" s="2" t="str">
        <f>HYPERLINK("http://www.otzar.org/book.asp?83608","שושנים שושן יהדא")</f>
        <v>שושנים שושן יהדא</v>
      </c>
    </row>
    <row r="40836" spans="1:6" x14ac:dyDescent="0.2">
      <c r="A40836" t="s">
        <v>62285</v>
      </c>
      <c r="B40836" t="s">
        <v>9465</v>
      </c>
      <c r="C40836" t="s">
        <v>79</v>
      </c>
      <c r="D40836" t="s">
        <v>260</v>
      </c>
      <c r="E40836" t="s">
        <v>104</v>
      </c>
      <c r="F40836" s="2" t="str">
        <f>HYPERLINK("http://www.otzar.org/book.asp?176743","שושנים")</f>
        <v>שושנים</v>
      </c>
    </row>
    <row r="40837" spans="1:6" x14ac:dyDescent="0.2">
      <c r="A40837" t="s">
        <v>62286</v>
      </c>
      <c r="B40837" t="s">
        <v>10940</v>
      </c>
      <c r="C40837" t="s">
        <v>635</v>
      </c>
      <c r="D40837" t="s">
        <v>1422</v>
      </c>
      <c r="E40837" t="s">
        <v>158</v>
      </c>
      <c r="F40837" s="2" t="str">
        <f>HYPERLINK("http://www.otzar.org/book.asp?16078","שושנת אברהם")</f>
        <v>שושנת אברהם</v>
      </c>
    </row>
    <row r="40838" spans="1:6" x14ac:dyDescent="0.2">
      <c r="A40838" t="s">
        <v>62287</v>
      </c>
      <c r="B40838" t="s">
        <v>62288</v>
      </c>
      <c r="C40838" t="s">
        <v>550</v>
      </c>
      <c r="D40838" t="s">
        <v>14</v>
      </c>
      <c r="E40838" t="s">
        <v>182</v>
      </c>
      <c r="F40838" s="2" t="str">
        <f>HYPERLINK("http://www.otzar.org/book.asp?101857","שושנת המלך (צילום כת""י) - 2 כר'")</f>
        <v>שושנת המלך (צילום כת"י) - 2 כר'</v>
      </c>
    </row>
    <row r="40839" spans="1:6" x14ac:dyDescent="0.2">
      <c r="A40839" t="s">
        <v>62289</v>
      </c>
      <c r="B40839" t="s">
        <v>1361</v>
      </c>
      <c r="C40839" t="s">
        <v>87</v>
      </c>
      <c r="D40839" t="s">
        <v>21</v>
      </c>
      <c r="F40839" s="2" t="str">
        <f>HYPERLINK("http://www.otzar.org/book.asp?601233","שושנת העמקים &lt;מהדורה חדשה&gt;")</f>
        <v>שושנת העמקים &lt;מהדורה חדשה&gt;</v>
      </c>
    </row>
    <row r="40840" spans="1:6" x14ac:dyDescent="0.2">
      <c r="A40840" t="s">
        <v>62290</v>
      </c>
      <c r="B40840" t="s">
        <v>15186</v>
      </c>
      <c r="C40840" t="s">
        <v>6052</v>
      </c>
      <c r="D40840" t="s">
        <v>1566</v>
      </c>
      <c r="F40840" s="2" t="str">
        <f>HYPERLINK("http://www.otzar.org/book.asp?618655","שושנת העמקים - 2 כר'")</f>
        <v>שושנת העמקים - 2 כר'</v>
      </c>
    </row>
    <row r="40841" spans="1:6" x14ac:dyDescent="0.2">
      <c r="A40841" t="s">
        <v>62291</v>
      </c>
      <c r="B40841" t="s">
        <v>33304</v>
      </c>
      <c r="C40841" t="s">
        <v>13</v>
      </c>
      <c r="D40841" t="s">
        <v>14</v>
      </c>
      <c r="E40841" t="s">
        <v>144</v>
      </c>
      <c r="F40841" s="2" t="str">
        <f>HYPERLINK("http://www.otzar.org/book.asp?61744","שושנת העמקים - 4 כר'")</f>
        <v>שושנת העמקים - 4 כר'</v>
      </c>
    </row>
    <row r="40842" spans="1:6" x14ac:dyDescent="0.2">
      <c r="A40842" t="s">
        <v>62292</v>
      </c>
      <c r="B40842" t="s">
        <v>62293</v>
      </c>
      <c r="C40842" t="s">
        <v>915</v>
      </c>
      <c r="D40842" t="s">
        <v>4364</v>
      </c>
      <c r="E40842" t="s">
        <v>234</v>
      </c>
      <c r="F40842" s="2" t="str">
        <f>HYPERLINK("http://www.otzar.org/book.asp?101757","שושנת העמקים")</f>
        <v>שושנת העמקים</v>
      </c>
    </row>
    <row r="40843" spans="1:6" x14ac:dyDescent="0.2">
      <c r="A40843" t="s">
        <v>62294</v>
      </c>
      <c r="B40843" t="s">
        <v>56055</v>
      </c>
      <c r="C40843" t="s">
        <v>334</v>
      </c>
      <c r="D40843" t="s">
        <v>52</v>
      </c>
      <c r="E40843" t="s">
        <v>41132</v>
      </c>
      <c r="F40843" s="2" t="str">
        <f>HYPERLINK("http://www.otzar.org/book.asp?11889","שושנת העמקים - 5 כר'")</f>
        <v>שושנת העמקים - 5 כר'</v>
      </c>
    </row>
    <row r="40844" spans="1:6" x14ac:dyDescent="0.2">
      <c r="A40844" t="s">
        <v>62292</v>
      </c>
      <c r="B40844" t="s">
        <v>62295</v>
      </c>
      <c r="C40844" t="s">
        <v>503</v>
      </c>
      <c r="D40844" t="s">
        <v>726</v>
      </c>
      <c r="E40844" t="s">
        <v>7477</v>
      </c>
      <c r="F40844" s="2" t="str">
        <f>HYPERLINK("http://www.otzar.org/book.asp?100776","שושנת העמקים")</f>
        <v>שושנת העמקים</v>
      </c>
    </row>
    <row r="40845" spans="1:6" x14ac:dyDescent="0.2">
      <c r="A40845" t="s">
        <v>62290</v>
      </c>
      <c r="B40845" t="s">
        <v>62296</v>
      </c>
      <c r="C40845" t="s">
        <v>114</v>
      </c>
      <c r="D40845" t="s">
        <v>14</v>
      </c>
      <c r="E40845" t="s">
        <v>834</v>
      </c>
      <c r="F40845" s="2" t="str">
        <f>HYPERLINK("http://www.otzar.org/book.asp?175507","שושנת העמקים - 2 כר'")</f>
        <v>שושנת העמקים - 2 כר'</v>
      </c>
    </row>
    <row r="40846" spans="1:6" x14ac:dyDescent="0.2">
      <c r="A40846" t="s">
        <v>62297</v>
      </c>
      <c r="B40846" t="s">
        <v>338</v>
      </c>
      <c r="C40846" t="s">
        <v>51</v>
      </c>
      <c r="D40846" t="s">
        <v>14</v>
      </c>
      <c r="E40846" t="s">
        <v>130</v>
      </c>
      <c r="F40846" s="2" t="str">
        <f>HYPERLINK("http://www.otzar.org/book.asp?107264","שושנת העמקים - 3 כר'")</f>
        <v>שושנת העמקים - 3 כר'</v>
      </c>
    </row>
    <row r="40847" spans="1:6" x14ac:dyDescent="0.2">
      <c r="A40847" t="s">
        <v>62292</v>
      </c>
      <c r="B40847" t="s">
        <v>62298</v>
      </c>
      <c r="C40847" t="s">
        <v>466</v>
      </c>
      <c r="D40847" t="s">
        <v>52</v>
      </c>
      <c r="E40847" t="s">
        <v>674</v>
      </c>
      <c r="F40847" s="2" t="str">
        <f>HYPERLINK("http://www.otzar.org/book.asp?52325","שושנת העמקים")</f>
        <v>שושנת העמקים</v>
      </c>
    </row>
    <row r="40848" spans="1:6" x14ac:dyDescent="0.2">
      <c r="A40848" t="s">
        <v>62299</v>
      </c>
      <c r="B40848" t="s">
        <v>6496</v>
      </c>
      <c r="C40848" t="s">
        <v>248</v>
      </c>
      <c r="D40848" t="s">
        <v>283</v>
      </c>
      <c r="E40848" t="s">
        <v>158</v>
      </c>
      <c r="F40848" s="2" t="str">
        <f>HYPERLINK("http://www.otzar.org/book.asp?5638","שושנת העמקים - על מגילת אסתר")</f>
        <v>שושנת העמקים - על מגילת אסתר</v>
      </c>
    </row>
    <row r="40849" spans="1:6" x14ac:dyDescent="0.2">
      <c r="A40849" t="s">
        <v>62292</v>
      </c>
      <c r="B40849" t="s">
        <v>62300</v>
      </c>
      <c r="E40849" t="s">
        <v>803</v>
      </c>
      <c r="F40849" s="2" t="str">
        <f>HYPERLINK("http://www.otzar.org/book.asp?628027","שושנת העמקים")</f>
        <v>שושנת העמקים</v>
      </c>
    </row>
    <row r="40850" spans="1:6" x14ac:dyDescent="0.2">
      <c r="A40850" t="s">
        <v>62292</v>
      </c>
      <c r="B40850" t="s">
        <v>62301</v>
      </c>
      <c r="C40850" t="s">
        <v>553</v>
      </c>
      <c r="D40850" t="s">
        <v>80</v>
      </c>
      <c r="F40850" s="2" t="str">
        <f>HYPERLINK("http://www.otzar.org/book.asp?600063","שושנת העמקים")</f>
        <v>שושנת העמקים</v>
      </c>
    </row>
    <row r="40851" spans="1:6" x14ac:dyDescent="0.2">
      <c r="A40851" t="s">
        <v>62302</v>
      </c>
      <c r="B40851" t="s">
        <v>62303</v>
      </c>
      <c r="C40851" t="s">
        <v>20</v>
      </c>
      <c r="D40851" t="s">
        <v>52</v>
      </c>
      <c r="E40851" t="s">
        <v>84</v>
      </c>
      <c r="F40851" s="2" t="str">
        <f>HYPERLINK("http://www.otzar.org/book.asp?180597","שושנת העמקים - 6 כר'")</f>
        <v>שושנת העמקים - 6 כר'</v>
      </c>
    </row>
    <row r="40852" spans="1:6" x14ac:dyDescent="0.2">
      <c r="A40852" t="s">
        <v>62297</v>
      </c>
      <c r="B40852" t="s">
        <v>1361</v>
      </c>
      <c r="C40852" t="s">
        <v>496</v>
      </c>
      <c r="D40852" t="s">
        <v>283</v>
      </c>
      <c r="E40852" t="s">
        <v>144</v>
      </c>
      <c r="F40852" s="2" t="str">
        <f>HYPERLINK("http://www.otzar.org/book.asp?105688","שושנת העמקים - 3 כר'")</f>
        <v>שושנת העמקים - 3 כר'</v>
      </c>
    </row>
    <row r="40853" spans="1:6" x14ac:dyDescent="0.2">
      <c r="A40853" t="s">
        <v>62304</v>
      </c>
      <c r="B40853" t="s">
        <v>62305</v>
      </c>
      <c r="C40853" t="s">
        <v>4705</v>
      </c>
      <c r="D40853" t="s">
        <v>855</v>
      </c>
      <c r="E40853" t="s">
        <v>1211</v>
      </c>
      <c r="F40853" s="2" t="str">
        <f>HYPERLINK("http://www.otzar.org/book.asp?104302","שושנת יעקב על דינא דגרמי להרמב""ן")</f>
        <v>שושנת יעקב על דינא דגרמי להרמב"ן</v>
      </c>
    </row>
    <row r="40854" spans="1:6" x14ac:dyDescent="0.2">
      <c r="A40854" t="s">
        <v>62306</v>
      </c>
      <c r="B40854" t="s">
        <v>62307</v>
      </c>
      <c r="C40854" t="s">
        <v>129</v>
      </c>
      <c r="D40854" t="s">
        <v>52</v>
      </c>
      <c r="E40854" t="s">
        <v>144</v>
      </c>
      <c r="F40854" s="2" t="str">
        <f>HYPERLINK("http://www.otzar.org/book.asp?60486","שושנת יעקב - 5 כר'")</f>
        <v>שושנת יעקב - 5 כר'</v>
      </c>
    </row>
    <row r="40855" spans="1:6" x14ac:dyDescent="0.2">
      <c r="A40855" t="s">
        <v>62308</v>
      </c>
      <c r="B40855" t="s">
        <v>62309</v>
      </c>
      <c r="C40855" t="s">
        <v>62310</v>
      </c>
      <c r="D40855" t="s">
        <v>267</v>
      </c>
      <c r="E40855" t="s">
        <v>172</v>
      </c>
      <c r="F40855" s="2" t="str">
        <f>HYPERLINK("http://www.otzar.org/book.asp?14157","שושנת יעקב - 3 כר'")</f>
        <v>שושנת יעקב - 3 כר'</v>
      </c>
    </row>
    <row r="40856" spans="1:6" x14ac:dyDescent="0.2">
      <c r="A40856" t="s">
        <v>62311</v>
      </c>
      <c r="B40856" t="s">
        <v>62312</v>
      </c>
      <c r="C40856" t="s">
        <v>4266</v>
      </c>
      <c r="D40856" t="s">
        <v>212</v>
      </c>
      <c r="E40856" t="s">
        <v>104</v>
      </c>
      <c r="F40856" s="2" t="str">
        <f>HYPERLINK("http://www.otzar.org/book.asp?181150","שושנת יעקב - 2 כר'")</f>
        <v>שושנת יעקב - 2 כר'</v>
      </c>
    </row>
    <row r="40857" spans="1:6" x14ac:dyDescent="0.2">
      <c r="A40857" t="s">
        <v>62313</v>
      </c>
      <c r="B40857" t="s">
        <v>19818</v>
      </c>
      <c r="C40857" t="s">
        <v>854</v>
      </c>
      <c r="D40857" t="s">
        <v>4269</v>
      </c>
      <c r="E40857" t="s">
        <v>14086</v>
      </c>
      <c r="F40857" s="2" t="str">
        <f>HYPERLINK("http://www.otzar.org/book.asp?104848","שושנת יעקב")</f>
        <v>שושנת יעקב</v>
      </c>
    </row>
    <row r="40858" spans="1:6" x14ac:dyDescent="0.2">
      <c r="A40858" t="s">
        <v>62313</v>
      </c>
      <c r="B40858" t="s">
        <v>62314</v>
      </c>
      <c r="C40858" t="s">
        <v>143</v>
      </c>
      <c r="D40858" t="s">
        <v>14</v>
      </c>
      <c r="E40858" t="s">
        <v>15</v>
      </c>
      <c r="F40858" s="2" t="str">
        <f>HYPERLINK("http://www.otzar.org/book.asp?106131","שושנת יעקב")</f>
        <v>שושנת יעקב</v>
      </c>
    </row>
    <row r="40859" spans="1:6" x14ac:dyDescent="0.2">
      <c r="A40859" t="s">
        <v>62313</v>
      </c>
      <c r="B40859" t="s">
        <v>62315</v>
      </c>
      <c r="C40859" t="s">
        <v>23</v>
      </c>
      <c r="D40859" t="s">
        <v>229</v>
      </c>
      <c r="E40859" t="s">
        <v>15</v>
      </c>
      <c r="F40859" s="2" t="str">
        <f>HYPERLINK("http://www.otzar.org/book.asp?193694","שושנת יעקב")</f>
        <v>שושנת יעקב</v>
      </c>
    </row>
    <row r="40860" spans="1:6" x14ac:dyDescent="0.2">
      <c r="A40860" t="s">
        <v>62313</v>
      </c>
      <c r="B40860" t="s">
        <v>6859</v>
      </c>
      <c r="C40860" t="s">
        <v>8</v>
      </c>
      <c r="D40860" t="s">
        <v>9</v>
      </c>
      <c r="E40860" t="s">
        <v>158</v>
      </c>
      <c r="F40860" s="2" t="str">
        <f>HYPERLINK("http://www.otzar.org/book.asp?52021","שושנת יעקב")</f>
        <v>שושנת יעקב</v>
      </c>
    </row>
    <row r="40861" spans="1:6" x14ac:dyDescent="0.2">
      <c r="A40861" t="s">
        <v>62313</v>
      </c>
      <c r="B40861" t="s">
        <v>60966</v>
      </c>
      <c r="C40861" t="s">
        <v>8799</v>
      </c>
      <c r="D40861" t="s">
        <v>5665</v>
      </c>
      <c r="E40861" t="s">
        <v>144</v>
      </c>
      <c r="F40861" s="2" t="str">
        <f>HYPERLINK("http://www.otzar.org/book.asp?101859","שושנת יעקב")</f>
        <v>שושנת יעקב</v>
      </c>
    </row>
    <row r="40862" spans="1:6" x14ac:dyDescent="0.2">
      <c r="A40862" t="s">
        <v>62316</v>
      </c>
      <c r="B40862" t="s">
        <v>57593</v>
      </c>
      <c r="C40862" t="s">
        <v>68</v>
      </c>
      <c r="D40862" t="s">
        <v>13187</v>
      </c>
      <c r="E40862" t="s">
        <v>15</v>
      </c>
      <c r="F40862" s="2" t="str">
        <f>HYPERLINK("http://www.otzar.org/book.asp?155633","שושנת ישראל - 4 כר'")</f>
        <v>שושנת ישראל - 4 כר'</v>
      </c>
    </row>
    <row r="40863" spans="1:6" x14ac:dyDescent="0.2">
      <c r="A40863" t="s">
        <v>62317</v>
      </c>
      <c r="B40863" t="s">
        <v>62318</v>
      </c>
      <c r="C40863" t="s">
        <v>103</v>
      </c>
      <c r="D40863" t="s">
        <v>21</v>
      </c>
      <c r="E40863" t="s">
        <v>144</v>
      </c>
      <c r="F40863" s="2" t="str">
        <f>HYPERLINK("http://www.otzar.org/book.asp?196767","שושנת ציון")</f>
        <v>שושנת ציון</v>
      </c>
    </row>
    <row r="40864" spans="1:6" x14ac:dyDescent="0.2">
      <c r="A40864" t="s">
        <v>62319</v>
      </c>
      <c r="B40864" t="s">
        <v>62320</v>
      </c>
      <c r="C40864" t="s">
        <v>568</v>
      </c>
      <c r="D40864" t="s">
        <v>157</v>
      </c>
      <c r="E40864" t="s">
        <v>158</v>
      </c>
      <c r="F40864" s="2" t="str">
        <f>HYPERLINK("http://www.otzar.org/book.asp?151651","שותא דינוקא")</f>
        <v>שותא דינוקא</v>
      </c>
    </row>
    <row r="40865" spans="1:6" x14ac:dyDescent="0.2">
      <c r="A40865" t="s">
        <v>62321</v>
      </c>
      <c r="B40865" t="s">
        <v>62322</v>
      </c>
      <c r="C40865" t="s">
        <v>23</v>
      </c>
      <c r="D40865" t="s">
        <v>152</v>
      </c>
      <c r="F40865" s="2" t="str">
        <f>HYPERLINK("http://www.otzar.org/book.asp?197468","שותא דשמעתתא")</f>
        <v>שותא דשמעתתא</v>
      </c>
    </row>
    <row r="40866" spans="1:6" x14ac:dyDescent="0.2">
      <c r="A40866" t="s">
        <v>62323</v>
      </c>
      <c r="B40866" t="s">
        <v>62324</v>
      </c>
      <c r="C40866" t="s">
        <v>20</v>
      </c>
      <c r="D40866" t="s">
        <v>90</v>
      </c>
      <c r="E40866" t="s">
        <v>674</v>
      </c>
      <c r="F40866" s="2" t="str">
        <f>HYPERLINK("http://www.otzar.org/book.asp?190919","שותפות בשכר לימוד התורה")</f>
        <v>שותפות בשכר לימוד התורה</v>
      </c>
    </row>
    <row r="40867" spans="1:6" x14ac:dyDescent="0.2">
      <c r="A40867" t="s">
        <v>62325</v>
      </c>
      <c r="B40867" t="s">
        <v>7176</v>
      </c>
      <c r="C40867" t="s">
        <v>20</v>
      </c>
      <c r="D40867" t="s">
        <v>90</v>
      </c>
      <c r="E40867" t="s">
        <v>172</v>
      </c>
      <c r="F40867" s="2" t="str">
        <f>HYPERLINK("http://www.otzar.org/book.asp?630031","שותפות עם הנכרי")</f>
        <v>שותפות עם הנכרי</v>
      </c>
    </row>
    <row r="40868" spans="1:6" x14ac:dyDescent="0.2">
      <c r="A40868" t="s">
        <v>62326</v>
      </c>
      <c r="B40868" t="s">
        <v>13862</v>
      </c>
      <c r="C40868" t="s">
        <v>244</v>
      </c>
      <c r="D40868" t="s">
        <v>412</v>
      </c>
      <c r="F40868" s="2" t="str">
        <f>HYPERLINK("http://www.otzar.org/book.asp?198657","שותפים ושכנים")</f>
        <v>שותפים ושכנים</v>
      </c>
    </row>
    <row r="40869" spans="1:6" x14ac:dyDescent="0.2">
      <c r="A40869" t="s">
        <v>62327</v>
      </c>
      <c r="B40869" t="s">
        <v>4019</v>
      </c>
      <c r="C40869" t="s">
        <v>114</v>
      </c>
      <c r="D40869" t="s">
        <v>14</v>
      </c>
      <c r="E40869" t="s">
        <v>84</v>
      </c>
      <c r="F40869" s="2" t="str">
        <f>HYPERLINK("http://www.otzar.org/book.asp?168393","שחורות כעורב - זבים")</f>
        <v>שחורות כעורב - זבים</v>
      </c>
    </row>
    <row r="40870" spans="1:6" x14ac:dyDescent="0.2">
      <c r="A40870" t="s">
        <v>62328</v>
      </c>
      <c r="B40870" t="s">
        <v>62329</v>
      </c>
      <c r="C40870" t="s">
        <v>20</v>
      </c>
      <c r="D40870" t="s">
        <v>657</v>
      </c>
      <c r="E40870" t="s">
        <v>148</v>
      </c>
      <c r="F40870" s="2" t="str">
        <f>HYPERLINK("http://www.otzar.org/book.asp?165032","שחיטה ברורה - שחיטה וטריפות")</f>
        <v>שחיטה ברורה - שחיטה וטריפות</v>
      </c>
    </row>
    <row r="40871" spans="1:6" x14ac:dyDescent="0.2">
      <c r="A40871" t="s">
        <v>62330</v>
      </c>
      <c r="B40871" t="s">
        <v>62331</v>
      </c>
      <c r="C40871" t="s">
        <v>13</v>
      </c>
      <c r="D40871" t="s">
        <v>152</v>
      </c>
      <c r="E40871" t="s">
        <v>148</v>
      </c>
      <c r="F40871" s="2" t="str">
        <f>HYPERLINK("http://www.otzar.org/book.asp?83762","שחיטה כהלכתה")</f>
        <v>שחיטה כהלכתה</v>
      </c>
    </row>
    <row r="40872" spans="1:6" x14ac:dyDescent="0.2">
      <c r="A40872" t="s">
        <v>62332</v>
      </c>
      <c r="B40872" t="s">
        <v>62333</v>
      </c>
      <c r="C40872" t="s">
        <v>725</v>
      </c>
      <c r="D40872" t="s">
        <v>14037</v>
      </c>
      <c r="E40872" t="s">
        <v>15</v>
      </c>
      <c r="F40872" s="2" t="str">
        <f>HYPERLINK("http://www.otzar.org/book.asp?28525","שחיטות ובדיקות ותמונת ריאה")</f>
        <v>שחיטות ובדיקות ותמונת ריאה</v>
      </c>
    </row>
    <row r="40873" spans="1:6" x14ac:dyDescent="0.2">
      <c r="A40873" t="s">
        <v>62334</v>
      </c>
      <c r="B40873" t="s">
        <v>62335</v>
      </c>
      <c r="C40873" t="s">
        <v>4114</v>
      </c>
      <c r="D40873" t="s">
        <v>60</v>
      </c>
      <c r="E40873" t="s">
        <v>15</v>
      </c>
      <c r="F40873" s="2" t="str">
        <f>HYPERLINK("http://www.otzar.org/book.asp?147144","שחיטות ובדיקות עם הגהות אמרי טוב")</f>
        <v>שחיטות ובדיקות עם הגהות אמרי טוב</v>
      </c>
    </row>
    <row r="40874" spans="1:6" x14ac:dyDescent="0.2">
      <c r="A40874" t="s">
        <v>62336</v>
      </c>
      <c r="B40874" t="s">
        <v>62337</v>
      </c>
      <c r="C40874" t="s">
        <v>1494</v>
      </c>
      <c r="D40874" t="s">
        <v>744</v>
      </c>
      <c r="E40874" t="s">
        <v>15</v>
      </c>
      <c r="F40874" s="2" t="str">
        <f>HYPERLINK("http://www.otzar.org/book.asp?51323","שחיטות ובדיקות עם הגהות גבול בנימין")</f>
        <v>שחיטות ובדיקות עם הגהות גבול בנימין</v>
      </c>
    </row>
    <row r="40875" spans="1:6" x14ac:dyDescent="0.2">
      <c r="A40875" t="s">
        <v>62338</v>
      </c>
      <c r="B40875" t="s">
        <v>62339</v>
      </c>
      <c r="C40875" t="s">
        <v>3635</v>
      </c>
      <c r="D40875" t="s">
        <v>1023</v>
      </c>
      <c r="E40875" t="s">
        <v>15</v>
      </c>
      <c r="F40875" s="2" t="str">
        <f>HYPERLINK("http://www.otzar.org/book.asp?147140","שחיטות ובדיקות עם הגהות גבול ישראל")</f>
        <v>שחיטות ובדיקות עם הגהות גבול ישראל</v>
      </c>
    </row>
    <row r="40876" spans="1:6" x14ac:dyDescent="0.2">
      <c r="A40876" t="s">
        <v>62340</v>
      </c>
      <c r="B40876" t="s">
        <v>22791</v>
      </c>
      <c r="C40876" t="s">
        <v>5619</v>
      </c>
      <c r="D40876" t="s">
        <v>32637</v>
      </c>
      <c r="E40876" t="s">
        <v>15</v>
      </c>
      <c r="F40876" s="2" t="str">
        <f>HYPERLINK("http://www.otzar.org/book.asp?147283","שחיטות ובדיקות עם הגהות מהרר""ץ ומאכלת אברהם")</f>
        <v>שחיטות ובדיקות עם הגהות מהרר"ץ ומאכלת אברהם</v>
      </c>
    </row>
    <row r="40877" spans="1:6" x14ac:dyDescent="0.2">
      <c r="A40877" t="s">
        <v>62341</v>
      </c>
      <c r="B40877" t="s">
        <v>22791</v>
      </c>
      <c r="C40877" t="s">
        <v>6778</v>
      </c>
      <c r="D40877" t="s">
        <v>49</v>
      </c>
      <c r="E40877" t="s">
        <v>15</v>
      </c>
      <c r="F40877" s="2" t="str">
        <f>HYPERLINK("http://www.otzar.org/book.asp?151485","שחיטות ובדיקות עם הגהות מהרש""ל")</f>
        <v>שחיטות ובדיקות עם הגהות מהרש"ל</v>
      </c>
    </row>
    <row r="40878" spans="1:6" x14ac:dyDescent="0.2">
      <c r="A40878" t="s">
        <v>62342</v>
      </c>
      <c r="B40878" t="s">
        <v>22791</v>
      </c>
      <c r="C40878" t="s">
        <v>2289</v>
      </c>
      <c r="D40878" t="s">
        <v>60</v>
      </c>
      <c r="E40878" t="s">
        <v>15</v>
      </c>
      <c r="F40878" s="2" t="str">
        <f>HYPERLINK("http://www.otzar.org/book.asp?151484","שחיטות ובדיקות עם הגהות מכתב מאליהו")</f>
        <v>שחיטות ובדיקות עם הגהות מכתב מאליהו</v>
      </c>
    </row>
    <row r="40879" spans="1:6" x14ac:dyDescent="0.2">
      <c r="A40879" t="s">
        <v>62343</v>
      </c>
      <c r="B40879" t="s">
        <v>22791</v>
      </c>
      <c r="C40879" t="s">
        <v>1863</v>
      </c>
      <c r="D40879" t="s">
        <v>1833</v>
      </c>
      <c r="E40879" t="s">
        <v>15</v>
      </c>
      <c r="F40879" s="2" t="str">
        <f>HYPERLINK("http://www.otzar.org/book.asp?147282","שחיטות ובדיקות עם פירוש אהל ישראל")</f>
        <v>שחיטות ובדיקות עם פירוש אהל ישראל</v>
      </c>
    </row>
    <row r="40880" spans="1:6" x14ac:dyDescent="0.2">
      <c r="A40880" t="s">
        <v>62344</v>
      </c>
      <c r="B40880" t="s">
        <v>62345</v>
      </c>
      <c r="C40880" t="s">
        <v>1592</v>
      </c>
      <c r="D40880" t="s">
        <v>1023</v>
      </c>
      <c r="E40880" t="s">
        <v>15</v>
      </c>
      <c r="F40880" s="2" t="str">
        <f>HYPERLINK("http://www.otzar.org/book.asp?147141","שחיטות ובדיקות עם פירוש באר אברהם")</f>
        <v>שחיטות ובדיקות עם פירוש באר אברהם</v>
      </c>
    </row>
    <row r="40881" spans="1:6" x14ac:dyDescent="0.2">
      <c r="A40881" t="s">
        <v>62346</v>
      </c>
      <c r="B40881" t="s">
        <v>22791</v>
      </c>
      <c r="C40881" t="s">
        <v>6211</v>
      </c>
      <c r="D40881" t="s">
        <v>1396</v>
      </c>
      <c r="F40881" s="2" t="str">
        <f>HYPERLINK("http://www.otzar.org/book.asp?164936","שחיטות ובדיקות - 3 כר'")</f>
        <v>שחיטות ובדיקות - 3 כר'</v>
      </c>
    </row>
    <row r="40882" spans="1:6" x14ac:dyDescent="0.2">
      <c r="A40882" t="s">
        <v>62347</v>
      </c>
      <c r="B40882" t="s">
        <v>62348</v>
      </c>
      <c r="C40882" t="s">
        <v>36685</v>
      </c>
      <c r="D40882" t="s">
        <v>1490</v>
      </c>
      <c r="E40882" t="s">
        <v>15</v>
      </c>
      <c r="F40882" s="2" t="str">
        <f>HYPERLINK("http://www.otzar.org/book.asp?62148","שחיטות ובדיקות")</f>
        <v>שחיטות ובדיקות</v>
      </c>
    </row>
    <row r="40883" spans="1:6" x14ac:dyDescent="0.2">
      <c r="A40883" t="s">
        <v>62349</v>
      </c>
      <c r="B40883" t="s">
        <v>22791</v>
      </c>
      <c r="C40883" t="s">
        <v>14026</v>
      </c>
      <c r="D40883" t="s">
        <v>1411</v>
      </c>
      <c r="E40883" t="s">
        <v>15</v>
      </c>
      <c r="F40883" s="2" t="str">
        <f>HYPERLINK("http://www.otzar.org/book.asp?151483","שחיטות - 2 כר'")</f>
        <v>שחיטות - 2 כר'</v>
      </c>
    </row>
    <row r="40884" spans="1:6" x14ac:dyDescent="0.2">
      <c r="A40884" t="s">
        <v>62350</v>
      </c>
      <c r="B40884" t="s">
        <v>42565</v>
      </c>
      <c r="C40884" t="s">
        <v>17</v>
      </c>
      <c r="D40884" t="s">
        <v>52</v>
      </c>
      <c r="E40884" t="s">
        <v>144</v>
      </c>
      <c r="F40884" s="2" t="str">
        <f>HYPERLINK("http://www.otzar.org/book.asp?24731","שחיטת חולין - 2 כר'")</f>
        <v>שחיטת חולין - 2 כר'</v>
      </c>
    </row>
    <row r="40885" spans="1:6" x14ac:dyDescent="0.2">
      <c r="A40885" t="s">
        <v>62351</v>
      </c>
      <c r="B40885" t="s">
        <v>206</v>
      </c>
      <c r="C40885" t="s">
        <v>20</v>
      </c>
      <c r="D40885" t="s">
        <v>657</v>
      </c>
      <c r="E40885" t="s">
        <v>144</v>
      </c>
      <c r="F40885" s="2" t="str">
        <f>HYPERLINK("http://www.otzar.org/book.asp?165031","שחיטת קדשים - זבחים")</f>
        <v>שחיטת קדשים - זבחים</v>
      </c>
    </row>
    <row r="40886" spans="1:6" x14ac:dyDescent="0.2">
      <c r="A40886" t="s">
        <v>62352</v>
      </c>
      <c r="B40886" t="s">
        <v>6966</v>
      </c>
      <c r="C40886" t="s">
        <v>20</v>
      </c>
      <c r="D40886" t="s">
        <v>90</v>
      </c>
      <c r="F40886" s="2" t="str">
        <f>HYPERLINK("http://www.otzar.org/book.asp?616514","שחר אורך - א")</f>
        <v>שחר אורך - א</v>
      </c>
    </row>
    <row r="40887" spans="1:6" x14ac:dyDescent="0.2">
      <c r="A40887" t="s">
        <v>62353</v>
      </c>
      <c r="B40887" t="s">
        <v>62354</v>
      </c>
      <c r="C40887" t="s">
        <v>313</v>
      </c>
      <c r="D40887" t="s">
        <v>90</v>
      </c>
      <c r="E40887" t="s">
        <v>202</v>
      </c>
      <c r="F40887" s="2" t="str">
        <f>HYPERLINK("http://www.otzar.org/book.asp?199740","שחר אורך")</f>
        <v>שחר אורך</v>
      </c>
    </row>
    <row r="40888" spans="1:6" x14ac:dyDescent="0.2">
      <c r="A40888" t="s">
        <v>62355</v>
      </c>
      <c r="B40888" t="s">
        <v>8865</v>
      </c>
      <c r="C40888" t="s">
        <v>366</v>
      </c>
      <c r="D40888" t="s">
        <v>14</v>
      </c>
      <c r="F40888" s="2" t="str">
        <f>HYPERLINK("http://www.otzar.org/book.asp?615151","שטר הכתובה")</f>
        <v>שטר הכתובה</v>
      </c>
    </row>
    <row r="40889" spans="1:6" x14ac:dyDescent="0.2">
      <c r="A40889" t="s">
        <v>62356</v>
      </c>
      <c r="B40889" t="s">
        <v>62357</v>
      </c>
      <c r="C40889" t="s">
        <v>23</v>
      </c>
      <c r="D40889" t="s">
        <v>2285</v>
      </c>
      <c r="E40889" t="s">
        <v>15</v>
      </c>
      <c r="F40889" s="2" t="str">
        <f>HYPERLINK("http://www.otzar.org/book.asp?192309","שטר פרוזבול")</f>
        <v>שטר פרוזבול</v>
      </c>
    </row>
    <row r="40890" spans="1:6" x14ac:dyDescent="0.2">
      <c r="A40890" t="s">
        <v>62358</v>
      </c>
      <c r="B40890" t="s">
        <v>62359</v>
      </c>
      <c r="C40890" t="s">
        <v>244</v>
      </c>
      <c r="D40890" t="s">
        <v>2285</v>
      </c>
      <c r="E40890" t="s">
        <v>144</v>
      </c>
      <c r="F40890" s="2" t="str">
        <f>HYPERLINK("http://www.otzar.org/book.asp?600641","שטר קים ליה")</f>
        <v>שטר קים ליה</v>
      </c>
    </row>
    <row r="40891" spans="1:6" x14ac:dyDescent="0.2">
      <c r="A40891" t="s">
        <v>62360</v>
      </c>
      <c r="B40891" t="s">
        <v>62361</v>
      </c>
      <c r="C40891" t="s">
        <v>151</v>
      </c>
      <c r="D40891" t="s">
        <v>2285</v>
      </c>
      <c r="E40891" t="s">
        <v>144</v>
      </c>
      <c r="F40891" s="2" t="str">
        <f>HYPERLINK("http://www.otzar.org/book.asp?616842","שטר תפיסה - בבא מציעא פ""א")</f>
        <v>שטר תפיסה - בבא מציעא פ"א</v>
      </c>
    </row>
    <row r="40892" spans="1:6" x14ac:dyDescent="0.2">
      <c r="A40892" t="s">
        <v>62362</v>
      </c>
      <c r="B40892" t="s">
        <v>16577</v>
      </c>
      <c r="C40892" t="s">
        <v>244</v>
      </c>
      <c r="D40892" t="s">
        <v>152</v>
      </c>
      <c r="F40892" s="2" t="str">
        <f>HYPERLINK("http://www.otzar.org/book.asp?198183","שטרי בירורין")</f>
        <v>שטרי בירורין</v>
      </c>
    </row>
    <row r="40893" spans="1:6" x14ac:dyDescent="0.2">
      <c r="A40893" t="s">
        <v>62363</v>
      </c>
      <c r="B40893" t="s">
        <v>59011</v>
      </c>
      <c r="C40893" t="s">
        <v>151</v>
      </c>
      <c r="D40893" t="s">
        <v>4549</v>
      </c>
      <c r="E40893" t="s">
        <v>15</v>
      </c>
      <c r="F40893" s="2" t="str">
        <f>HYPERLINK("http://www.otzar.org/book.asp?623389","שטרי הדיוטות בשבת")</f>
        <v>שטרי הדיוטות בשבת</v>
      </c>
    </row>
    <row r="40894" spans="1:6" x14ac:dyDescent="0.2">
      <c r="A40894" t="s">
        <v>62364</v>
      </c>
      <c r="B40894" t="s">
        <v>19258</v>
      </c>
      <c r="C40894" t="s">
        <v>176</v>
      </c>
      <c r="D40894" t="s">
        <v>3161</v>
      </c>
      <c r="E40894" t="s">
        <v>733</v>
      </c>
      <c r="F40894" s="2" t="str">
        <f>HYPERLINK("http://www.otzar.org/book.asp?191584","שטרי קהילת אליסאנה")</f>
        <v>שטרי קהילת אליסאנה</v>
      </c>
    </row>
    <row r="40895" spans="1:6" x14ac:dyDescent="0.2">
      <c r="A40895" t="s">
        <v>62365</v>
      </c>
      <c r="B40895" t="s">
        <v>33398</v>
      </c>
      <c r="C40895" t="s">
        <v>433</v>
      </c>
      <c r="D40895" t="s">
        <v>27</v>
      </c>
      <c r="E40895" t="s">
        <v>104</v>
      </c>
      <c r="F40895" s="2" t="str">
        <f>HYPERLINK("http://www.otzar.org/book.asp?186745","שטת החנוך")</f>
        <v>שטת החנוך</v>
      </c>
    </row>
    <row r="40896" spans="1:6" x14ac:dyDescent="0.2">
      <c r="A40896" t="s">
        <v>62366</v>
      </c>
      <c r="B40896" t="s">
        <v>47124</v>
      </c>
      <c r="C40896" t="s">
        <v>1246</v>
      </c>
      <c r="D40896" t="s">
        <v>260</v>
      </c>
      <c r="E40896" t="s">
        <v>1262</v>
      </c>
      <c r="F40896" s="2" t="str">
        <f>HYPERLINK("http://www.otzar.org/book.asp?11380","שי לבר-מצוה")</f>
        <v>שי לבר-מצוה</v>
      </c>
    </row>
    <row r="40897" spans="1:6" x14ac:dyDescent="0.2">
      <c r="A40897" t="s">
        <v>62367</v>
      </c>
      <c r="B40897" t="s">
        <v>62368</v>
      </c>
      <c r="C40897" t="s">
        <v>114</v>
      </c>
      <c r="D40897" t="s">
        <v>14</v>
      </c>
      <c r="E40897" t="s">
        <v>144</v>
      </c>
      <c r="F40897" s="2" t="str">
        <f>HYPERLINK("http://www.otzar.org/book.asp?169284","שי ליהושע")</f>
        <v>שי ליהושע</v>
      </c>
    </row>
    <row r="40898" spans="1:6" x14ac:dyDescent="0.2">
      <c r="A40898" t="s">
        <v>62369</v>
      </c>
      <c r="B40898" t="s">
        <v>62370</v>
      </c>
      <c r="C40898" t="s">
        <v>985</v>
      </c>
      <c r="D40898" t="s">
        <v>27</v>
      </c>
      <c r="E40898" t="s">
        <v>246</v>
      </c>
      <c r="F40898" s="2" t="str">
        <f>HYPERLINK("http://www.otzar.org/book.asp?189877","שי לימי הפורים")</f>
        <v>שי לימי הפורים</v>
      </c>
    </row>
    <row r="40899" spans="1:6" x14ac:dyDescent="0.2">
      <c r="A40899" t="s">
        <v>62371</v>
      </c>
      <c r="B40899" t="s">
        <v>4393</v>
      </c>
      <c r="C40899" t="s">
        <v>23</v>
      </c>
      <c r="D40899" t="s">
        <v>52</v>
      </c>
      <c r="F40899" s="2" t="str">
        <f>HYPERLINK("http://www.otzar.org/book.asp?194834","שי למורא - ביאורי תפילות הימים הנוראים")</f>
        <v>שי למורא - ביאורי תפילות הימים הנוראים</v>
      </c>
    </row>
    <row r="40900" spans="1:6" x14ac:dyDescent="0.2">
      <c r="A40900" t="s">
        <v>62372</v>
      </c>
      <c r="B40900" t="s">
        <v>62373</v>
      </c>
      <c r="C40900" t="s">
        <v>1124</v>
      </c>
      <c r="D40900" t="s">
        <v>283</v>
      </c>
      <c r="E40900" t="s">
        <v>144</v>
      </c>
      <c r="F40900" s="2" t="str">
        <f>HYPERLINK("http://www.otzar.org/book.asp?154","שי למורא")</f>
        <v>שי למורא</v>
      </c>
    </row>
    <row r="40901" spans="1:6" x14ac:dyDescent="0.2">
      <c r="A40901" t="s">
        <v>62374</v>
      </c>
      <c r="B40901" t="s">
        <v>62375</v>
      </c>
      <c r="C40901" t="s">
        <v>151</v>
      </c>
      <c r="D40901" t="s">
        <v>52</v>
      </c>
      <c r="E40901" t="s">
        <v>144</v>
      </c>
      <c r="F40901" s="2" t="str">
        <f>HYPERLINK("http://www.otzar.org/book.asp?623286","שי למורא - שבת, עירובין")</f>
        <v>שי למורא - שבת, עירובין</v>
      </c>
    </row>
    <row r="40902" spans="1:6" x14ac:dyDescent="0.2">
      <c r="A40902" t="s">
        <v>62372</v>
      </c>
      <c r="B40902" t="s">
        <v>62376</v>
      </c>
      <c r="C40902" t="s">
        <v>558</v>
      </c>
      <c r="D40902" t="s">
        <v>225</v>
      </c>
      <c r="E40902" t="s">
        <v>791</v>
      </c>
      <c r="F40902" s="2" t="str">
        <f>HYPERLINK("http://www.otzar.org/book.asp?9545","שי למורא")</f>
        <v>שי למורא</v>
      </c>
    </row>
    <row r="40903" spans="1:6" x14ac:dyDescent="0.2">
      <c r="A40903" t="s">
        <v>62377</v>
      </c>
      <c r="B40903" t="s">
        <v>30102</v>
      </c>
      <c r="C40903" t="s">
        <v>68</v>
      </c>
      <c r="D40903" t="s">
        <v>21</v>
      </c>
      <c r="E40903" t="s">
        <v>219</v>
      </c>
      <c r="F40903" s="2" t="str">
        <f>HYPERLINK("http://www.otzar.org/book.asp?193121","שי למורא - תיקון הכללי")</f>
        <v>שי למורא - תיקון הכללי</v>
      </c>
    </row>
    <row r="40904" spans="1:6" x14ac:dyDescent="0.2">
      <c r="A40904" t="s">
        <v>62372</v>
      </c>
      <c r="B40904" t="s">
        <v>5092</v>
      </c>
      <c r="C40904" t="s">
        <v>129</v>
      </c>
      <c r="D40904" t="s">
        <v>412</v>
      </c>
      <c r="E40904" t="s">
        <v>15</v>
      </c>
      <c r="F40904" s="2" t="str">
        <f>HYPERLINK("http://www.otzar.org/book.asp?144751","שי למורא")</f>
        <v>שי למורא</v>
      </c>
    </row>
    <row r="40905" spans="1:6" x14ac:dyDescent="0.2">
      <c r="A40905" t="s">
        <v>62372</v>
      </c>
      <c r="B40905" t="s">
        <v>2396</v>
      </c>
      <c r="C40905" t="s">
        <v>20</v>
      </c>
      <c r="D40905" t="s">
        <v>1076</v>
      </c>
      <c r="E40905" t="s">
        <v>144</v>
      </c>
      <c r="F40905" s="2" t="str">
        <f>HYPERLINK("http://www.otzar.org/book.asp?85107","שי למורא")</f>
        <v>שי למורא</v>
      </c>
    </row>
    <row r="40906" spans="1:6" x14ac:dyDescent="0.2">
      <c r="A40906" t="s">
        <v>62372</v>
      </c>
      <c r="B40906" t="s">
        <v>62378</v>
      </c>
      <c r="C40906" t="s">
        <v>454</v>
      </c>
      <c r="D40906" t="s">
        <v>14</v>
      </c>
      <c r="E40906" t="s">
        <v>579</v>
      </c>
      <c r="F40906" s="2" t="str">
        <f>HYPERLINK("http://www.otzar.org/book.asp?50206","שי למורא")</f>
        <v>שי למורא</v>
      </c>
    </row>
    <row r="40907" spans="1:6" x14ac:dyDescent="0.2">
      <c r="A40907" t="s">
        <v>62372</v>
      </c>
      <c r="B40907" t="s">
        <v>62379</v>
      </c>
      <c r="C40907" t="s">
        <v>4699</v>
      </c>
      <c r="D40907" t="s">
        <v>76</v>
      </c>
      <c r="E40907" t="s">
        <v>345</v>
      </c>
      <c r="F40907" s="2" t="str">
        <f>HYPERLINK("http://www.otzar.org/book.asp?9493","שי למורא")</f>
        <v>שי למורא</v>
      </c>
    </row>
    <row r="40908" spans="1:6" x14ac:dyDescent="0.2">
      <c r="A40908" t="s">
        <v>62372</v>
      </c>
      <c r="B40908" t="s">
        <v>62380</v>
      </c>
      <c r="C40908" t="s">
        <v>176</v>
      </c>
      <c r="D40908" t="s">
        <v>1974</v>
      </c>
      <c r="E40908" t="s">
        <v>241</v>
      </c>
      <c r="F40908" s="2" t="str">
        <f>HYPERLINK("http://www.otzar.org/book.asp?25760","שי למורא")</f>
        <v>שי למורא</v>
      </c>
    </row>
    <row r="40909" spans="1:6" x14ac:dyDescent="0.2">
      <c r="A40909" t="s">
        <v>62381</v>
      </c>
      <c r="B40909" t="s">
        <v>62382</v>
      </c>
      <c r="C40909" t="s">
        <v>23</v>
      </c>
      <c r="D40909" t="s">
        <v>14</v>
      </c>
      <c r="E40909" t="s">
        <v>463</v>
      </c>
      <c r="F40909" s="2" t="str">
        <f>HYPERLINK("http://www.otzar.org/book.asp?603765","שי למורה - ביאור כלומר של רש""י")</f>
        <v>שי למורה - ביאור כלומר של רש"י</v>
      </c>
    </row>
    <row r="40910" spans="1:6" x14ac:dyDescent="0.2">
      <c r="A40910" t="s">
        <v>62383</v>
      </c>
      <c r="B40910" t="s">
        <v>8566</v>
      </c>
      <c r="C40910" t="s">
        <v>1208</v>
      </c>
      <c r="D40910" t="s">
        <v>14</v>
      </c>
      <c r="E40910" t="s">
        <v>393</v>
      </c>
      <c r="F40910" s="2" t="str">
        <f>HYPERLINK("http://www.otzar.org/book.asp?179661","שי למזכרת")</f>
        <v>שי למזכרת</v>
      </c>
    </row>
    <row r="40911" spans="1:6" x14ac:dyDescent="0.2">
      <c r="A40911" t="s">
        <v>62384</v>
      </c>
      <c r="B40911" t="s">
        <v>62385</v>
      </c>
      <c r="C40911" t="s">
        <v>26</v>
      </c>
      <c r="D40911" t="s">
        <v>14</v>
      </c>
      <c r="E40911" t="s">
        <v>144</v>
      </c>
      <c r="F40911" s="2" t="str">
        <f>HYPERLINK("http://www.otzar.org/book.asp?108399","שי למלך - 3 כר'")</f>
        <v>שי למלך - 3 כר'</v>
      </c>
    </row>
    <row r="40912" spans="1:6" x14ac:dyDescent="0.2">
      <c r="A40912" t="s">
        <v>62386</v>
      </c>
      <c r="B40912" t="s">
        <v>18210</v>
      </c>
      <c r="C40912" t="s">
        <v>143</v>
      </c>
      <c r="D40912" t="s">
        <v>14</v>
      </c>
      <c r="E40912" t="s">
        <v>230</v>
      </c>
      <c r="F40912" s="2" t="str">
        <f>HYPERLINK("http://www.otzar.org/book.asp?180648","שי לתורה - 4 כר'")</f>
        <v>שי לתורה - 4 כר'</v>
      </c>
    </row>
    <row r="40913" spans="1:6" x14ac:dyDescent="0.2">
      <c r="A40913" t="s">
        <v>62387</v>
      </c>
      <c r="B40913" t="s">
        <v>30102</v>
      </c>
      <c r="C40913" t="s">
        <v>23</v>
      </c>
      <c r="D40913" t="s">
        <v>21</v>
      </c>
      <c r="E40913" t="s">
        <v>158</v>
      </c>
      <c r="F40913" s="2" t="str">
        <f>HYPERLINK("http://www.otzar.org/book.asp?193123","שי עולמות")</f>
        <v>שי עולמות</v>
      </c>
    </row>
    <row r="40914" spans="1:6" x14ac:dyDescent="0.2">
      <c r="A40914" t="s">
        <v>62388</v>
      </c>
      <c r="B40914" t="s">
        <v>62389</v>
      </c>
      <c r="C40914" t="s">
        <v>68</v>
      </c>
      <c r="D40914" t="s">
        <v>21</v>
      </c>
      <c r="F40914" s="2" t="str">
        <f>HYPERLINK("http://www.otzar.org/book.asp?199793","שיבולים - 12 כר'")</f>
        <v>שיבולים - 12 כר'</v>
      </c>
    </row>
    <row r="40915" spans="1:6" x14ac:dyDescent="0.2">
      <c r="A40915" t="s">
        <v>62390</v>
      </c>
      <c r="B40915" t="s">
        <v>62391</v>
      </c>
      <c r="C40915" t="s">
        <v>151</v>
      </c>
      <c r="D40915" t="s">
        <v>52</v>
      </c>
      <c r="E40915" t="s">
        <v>230</v>
      </c>
      <c r="F40915" s="2" t="str">
        <f>HYPERLINK("http://www.otzar.org/book.asp?618906","שיבת ישורון")</f>
        <v>שיבת ישורון</v>
      </c>
    </row>
    <row r="40916" spans="1:6" x14ac:dyDescent="0.2">
      <c r="A40916" t="s">
        <v>62392</v>
      </c>
      <c r="B40916" t="s">
        <v>21700</v>
      </c>
      <c r="C40916" t="s">
        <v>151</v>
      </c>
      <c r="D40916" t="s">
        <v>216</v>
      </c>
      <c r="E40916" t="s">
        <v>158</v>
      </c>
      <c r="F40916" s="2" t="str">
        <f>HYPERLINK("http://www.otzar.org/book.asp?624759","שיבת ציון - איכה")</f>
        <v>שיבת ציון - איכה</v>
      </c>
    </row>
    <row r="40917" spans="1:6" x14ac:dyDescent="0.2">
      <c r="A40917" t="s">
        <v>62393</v>
      </c>
      <c r="B40917" t="s">
        <v>20092</v>
      </c>
      <c r="C40917" t="s">
        <v>189</v>
      </c>
      <c r="D40917" t="s">
        <v>52</v>
      </c>
      <c r="E40917" t="s">
        <v>154</v>
      </c>
      <c r="F40917" s="2" t="str">
        <f>HYPERLINK("http://www.otzar.org/book.asp?26816","שיבת ציון - 2 כר'")</f>
        <v>שיבת ציון - 2 כר'</v>
      </c>
    </row>
    <row r="40918" spans="1:6" x14ac:dyDescent="0.2">
      <c r="A40918" t="s">
        <v>62394</v>
      </c>
      <c r="B40918" t="s">
        <v>4802</v>
      </c>
      <c r="C40918" t="s">
        <v>114</v>
      </c>
      <c r="D40918" t="s">
        <v>412</v>
      </c>
      <c r="E40918" t="s">
        <v>21150</v>
      </c>
      <c r="F40918" s="2" t="str">
        <f>HYPERLINK("http://www.otzar.org/book.asp?180701","שיבת ציון")</f>
        <v>שיבת ציון</v>
      </c>
    </row>
    <row r="40919" spans="1:6" x14ac:dyDescent="0.2">
      <c r="A40919" t="s">
        <v>62394</v>
      </c>
      <c r="B40919" t="s">
        <v>206</v>
      </c>
      <c r="C40919" t="s">
        <v>129</v>
      </c>
      <c r="D40919" t="s">
        <v>90</v>
      </c>
      <c r="E40919" t="s">
        <v>10</v>
      </c>
      <c r="F40919" s="2" t="str">
        <f>HYPERLINK("http://www.otzar.org/book.asp?52945","שיבת ציון")</f>
        <v>שיבת ציון</v>
      </c>
    </row>
    <row r="40920" spans="1:6" x14ac:dyDescent="0.2">
      <c r="A40920" t="s">
        <v>62394</v>
      </c>
      <c r="B40920" t="s">
        <v>53109</v>
      </c>
      <c r="C40920" t="s">
        <v>2008</v>
      </c>
      <c r="D40920" t="s">
        <v>1889</v>
      </c>
      <c r="E40920" t="s">
        <v>154</v>
      </c>
      <c r="F40920" s="2" t="str">
        <f>HYPERLINK("http://www.otzar.org/book.asp?171247","שיבת ציון")</f>
        <v>שיבת ציון</v>
      </c>
    </row>
    <row r="40921" spans="1:6" x14ac:dyDescent="0.2">
      <c r="A40921" t="s">
        <v>62394</v>
      </c>
      <c r="B40921" t="s">
        <v>16222</v>
      </c>
      <c r="C40921" t="s">
        <v>728</v>
      </c>
      <c r="D40921" t="s">
        <v>283</v>
      </c>
      <c r="E40921" t="s">
        <v>154</v>
      </c>
      <c r="F40921" s="2" t="str">
        <f>HYPERLINK("http://www.otzar.org/book.asp?9252","שיבת ציון")</f>
        <v>שיבת ציון</v>
      </c>
    </row>
    <row r="40922" spans="1:6" x14ac:dyDescent="0.2">
      <c r="A40922" t="s">
        <v>62395</v>
      </c>
      <c r="B40922" t="s">
        <v>4294</v>
      </c>
      <c r="C40922" t="s">
        <v>37</v>
      </c>
      <c r="D40922" t="s">
        <v>14</v>
      </c>
      <c r="E40922" t="s">
        <v>104</v>
      </c>
      <c r="F40922" s="2" t="str">
        <f>HYPERLINK("http://www.otzar.org/book.asp?605672","שיבת ציון - 7 כר'")</f>
        <v>שיבת ציון - 7 כר'</v>
      </c>
    </row>
    <row r="40923" spans="1:6" x14ac:dyDescent="0.2">
      <c r="A40923" t="s">
        <v>62393</v>
      </c>
      <c r="B40923" t="s">
        <v>7629</v>
      </c>
      <c r="C40923" t="s">
        <v>189</v>
      </c>
      <c r="D40923" t="s">
        <v>14</v>
      </c>
      <c r="E40923" t="s">
        <v>130</v>
      </c>
      <c r="F40923" s="2" t="str">
        <f>HYPERLINK("http://www.otzar.org/book.asp?60624","שיבת ציון - 2 כר'")</f>
        <v>שיבת ציון - 2 כר'</v>
      </c>
    </row>
    <row r="40924" spans="1:6" x14ac:dyDescent="0.2">
      <c r="A40924" t="s">
        <v>62394</v>
      </c>
      <c r="B40924" t="s">
        <v>62396</v>
      </c>
      <c r="C40924" t="s">
        <v>160</v>
      </c>
      <c r="D40924" t="s">
        <v>412</v>
      </c>
      <c r="E40924" t="s">
        <v>241</v>
      </c>
      <c r="F40924" s="2" t="str">
        <f>HYPERLINK("http://www.otzar.org/book.asp?5708","שיבת ציון")</f>
        <v>שיבת ציון</v>
      </c>
    </row>
    <row r="40925" spans="1:6" x14ac:dyDescent="0.2">
      <c r="A40925" t="s">
        <v>62397</v>
      </c>
      <c r="B40925" t="s">
        <v>62394</v>
      </c>
      <c r="C40925" t="s">
        <v>168</v>
      </c>
      <c r="D40925" t="s">
        <v>14</v>
      </c>
      <c r="F40925" s="2" t="str">
        <f>HYPERLINK("http://www.otzar.org/book.asp?611679","שיבת ציון - 3 כר'")</f>
        <v>שיבת ציון - 3 כר'</v>
      </c>
    </row>
    <row r="40926" spans="1:6" x14ac:dyDescent="0.2">
      <c r="A40926" t="s">
        <v>62398</v>
      </c>
      <c r="B40926" t="s">
        <v>62399</v>
      </c>
      <c r="C40926" t="s">
        <v>422</v>
      </c>
      <c r="D40926" t="s">
        <v>14</v>
      </c>
      <c r="F40926" s="2" t="str">
        <f>HYPERLINK("http://www.otzar.org/book.asp?156120","שיג ושיח בנביאים - 4 כר'")</f>
        <v>שיג ושיח בנביאים - 4 כר'</v>
      </c>
    </row>
    <row r="40927" spans="1:6" x14ac:dyDescent="0.2">
      <c r="A40927" t="s">
        <v>62400</v>
      </c>
      <c r="B40927" t="s">
        <v>62399</v>
      </c>
      <c r="C40927" t="s">
        <v>129</v>
      </c>
      <c r="D40927" t="s">
        <v>14</v>
      </c>
      <c r="E40927" t="s">
        <v>104</v>
      </c>
      <c r="F40927" s="2" t="str">
        <f>HYPERLINK("http://www.otzar.org/book.asp?156104","שיג ושיח בנישואין")</f>
        <v>שיג ושיח בנישואין</v>
      </c>
    </row>
    <row r="40928" spans="1:6" x14ac:dyDescent="0.2">
      <c r="A40928" t="s">
        <v>62401</v>
      </c>
      <c r="B40928" t="s">
        <v>9348</v>
      </c>
      <c r="C40928" t="s">
        <v>411</v>
      </c>
      <c r="D40928" t="s">
        <v>2468</v>
      </c>
      <c r="F40928" s="2" t="str">
        <f>HYPERLINK("http://www.otzar.org/book.asp?164173","שיגרא דלישנא")</f>
        <v>שיגרא דלישנא</v>
      </c>
    </row>
    <row r="40929" spans="1:6" x14ac:dyDescent="0.2">
      <c r="A40929" t="s">
        <v>62402</v>
      </c>
      <c r="B40929" t="s">
        <v>1308</v>
      </c>
      <c r="C40929" t="s">
        <v>1019</v>
      </c>
      <c r="D40929" t="s">
        <v>76</v>
      </c>
      <c r="E40929" t="s">
        <v>172</v>
      </c>
      <c r="F40929" s="2" t="str">
        <f>HYPERLINK("http://www.otzar.org/book.asp?17345","שיורי ברכה")</f>
        <v>שיורי ברכה</v>
      </c>
    </row>
    <row r="40930" spans="1:6" x14ac:dyDescent="0.2">
      <c r="A40930" t="s">
        <v>62403</v>
      </c>
      <c r="B40930" t="s">
        <v>45882</v>
      </c>
      <c r="C40930" t="s">
        <v>6784</v>
      </c>
      <c r="D40930" t="s">
        <v>283</v>
      </c>
      <c r="E40930" t="s">
        <v>172</v>
      </c>
      <c r="F40930" s="2" t="str">
        <f>HYPERLINK("http://www.otzar.org/book.asp?9549","שיורי לקט")</f>
        <v>שיורי לקט</v>
      </c>
    </row>
    <row r="40931" spans="1:6" x14ac:dyDescent="0.2">
      <c r="A40931" t="s">
        <v>62404</v>
      </c>
      <c r="B40931" t="s">
        <v>4742</v>
      </c>
      <c r="C40931" t="s">
        <v>189</v>
      </c>
      <c r="D40931" t="s">
        <v>721</v>
      </c>
      <c r="E40931" t="s">
        <v>158</v>
      </c>
      <c r="F40931" s="2" t="str">
        <f>HYPERLINK("http://www.otzar.org/book.asp?174478","שיורי מצוה - 4 כר'")</f>
        <v>שיורי מצוה - 4 כר'</v>
      </c>
    </row>
    <row r="40932" spans="1:6" x14ac:dyDescent="0.2">
      <c r="A40932" t="s">
        <v>62405</v>
      </c>
      <c r="B40932" t="s">
        <v>9290</v>
      </c>
      <c r="C40932" t="s">
        <v>23</v>
      </c>
      <c r="D40932" t="s">
        <v>21</v>
      </c>
      <c r="F40932" s="2" t="str">
        <f>HYPERLINK("http://www.otzar.org/book.asp?193220","שיורי עירוב")</f>
        <v>שיורי עירוב</v>
      </c>
    </row>
    <row r="40933" spans="1:6" x14ac:dyDescent="0.2">
      <c r="A40933" t="s">
        <v>62406</v>
      </c>
      <c r="B40933" t="s">
        <v>5253</v>
      </c>
      <c r="C40933" t="s">
        <v>1202</v>
      </c>
      <c r="D40933" t="s">
        <v>100</v>
      </c>
      <c r="E40933" t="s">
        <v>2879</v>
      </c>
      <c r="F40933" s="2" t="str">
        <f>HYPERLINK("http://www.otzar.org/book.asp?5995","שיורי קומץ המנחה - 3 כר'")</f>
        <v>שיורי קומץ המנחה - 3 כר'</v>
      </c>
    </row>
    <row r="40934" spans="1:6" x14ac:dyDescent="0.2">
      <c r="A40934" t="s">
        <v>62407</v>
      </c>
      <c r="B40934" t="s">
        <v>62408</v>
      </c>
      <c r="C40934" t="s">
        <v>26</v>
      </c>
      <c r="D40934" t="s">
        <v>216</v>
      </c>
      <c r="E40934" t="s">
        <v>2862</v>
      </c>
      <c r="F40934" s="2" t="str">
        <f>HYPERLINK("http://www.otzar.org/book.asp?5150","שיח אבות")</f>
        <v>שיח אבות</v>
      </c>
    </row>
    <row r="40935" spans="1:6" x14ac:dyDescent="0.2">
      <c r="A40935" t="s">
        <v>62409</v>
      </c>
      <c r="B40935" t="s">
        <v>62410</v>
      </c>
      <c r="C40935" t="s">
        <v>189</v>
      </c>
      <c r="D40935" t="s">
        <v>52</v>
      </c>
      <c r="E40935" t="s">
        <v>144</v>
      </c>
      <c r="F40935" s="2" t="str">
        <f>HYPERLINK("http://www.otzar.org/book.asp?623295","שיח אברהם - 12 כר'")</f>
        <v>שיח אברהם - 12 כר'</v>
      </c>
    </row>
    <row r="40936" spans="1:6" x14ac:dyDescent="0.2">
      <c r="A40936" t="s">
        <v>62411</v>
      </c>
      <c r="B40936" t="s">
        <v>62412</v>
      </c>
      <c r="C40936" t="s">
        <v>129</v>
      </c>
      <c r="D40936" t="s">
        <v>147</v>
      </c>
      <c r="E40936" t="s">
        <v>186</v>
      </c>
      <c r="F40936" s="2" t="str">
        <f>HYPERLINK("http://www.otzar.org/book.asp?151139","שיח אברהם - 2 כר'")</f>
        <v>שיח אברהם - 2 כר'</v>
      </c>
    </row>
    <row r="40937" spans="1:6" x14ac:dyDescent="0.2">
      <c r="A40937" t="s">
        <v>62413</v>
      </c>
      <c r="B40937" t="s">
        <v>29687</v>
      </c>
      <c r="C40937" t="s">
        <v>143</v>
      </c>
      <c r="D40937" t="s">
        <v>14</v>
      </c>
      <c r="E40937" t="s">
        <v>148</v>
      </c>
      <c r="F40937" s="2" t="str">
        <f>HYPERLINK("http://www.otzar.org/book.asp?62629","שיח אהרן")</f>
        <v>שיח אהרן</v>
      </c>
    </row>
    <row r="40938" spans="1:6" x14ac:dyDescent="0.2">
      <c r="A40938" t="s">
        <v>62414</v>
      </c>
      <c r="B40938" t="s">
        <v>62415</v>
      </c>
      <c r="C40938" t="s">
        <v>23</v>
      </c>
      <c r="D40938" t="s">
        <v>21</v>
      </c>
      <c r="E40938" t="s">
        <v>435</v>
      </c>
      <c r="F40938" s="2" t="str">
        <f>HYPERLINK("http://www.otzar.org/book.asp?195419","שיח אליהו - 2 כר'")</f>
        <v>שיח אליהו - 2 כר'</v>
      </c>
    </row>
    <row r="40939" spans="1:6" x14ac:dyDescent="0.2">
      <c r="A40939" t="s">
        <v>62416</v>
      </c>
      <c r="B40939" t="s">
        <v>1838</v>
      </c>
      <c r="C40939" t="s">
        <v>20</v>
      </c>
      <c r="D40939" t="s">
        <v>14</v>
      </c>
      <c r="F40939" s="2" t="str">
        <f>HYPERLINK("http://www.otzar.org/book.asp?194314","שיח אליהו - 8 כר'")</f>
        <v>שיח אליהו - 8 כר'</v>
      </c>
    </row>
    <row r="40940" spans="1:6" x14ac:dyDescent="0.2">
      <c r="A40940" t="s">
        <v>62417</v>
      </c>
      <c r="B40940" t="s">
        <v>62418</v>
      </c>
      <c r="C40940" t="s">
        <v>244</v>
      </c>
      <c r="D40940" t="s">
        <v>21</v>
      </c>
      <c r="E40940" t="s">
        <v>158</v>
      </c>
      <c r="F40940" s="2" t="str">
        <f>HYPERLINK("http://www.otzar.org/book.asp?601078","שיח אליהו")</f>
        <v>שיח אליהו</v>
      </c>
    </row>
    <row r="40941" spans="1:6" x14ac:dyDescent="0.2">
      <c r="A40941" t="s">
        <v>62419</v>
      </c>
      <c r="B40941" t="s">
        <v>62420</v>
      </c>
      <c r="C40941" t="s">
        <v>37</v>
      </c>
      <c r="D40941" t="s">
        <v>1180</v>
      </c>
      <c r="F40941" s="2" t="str">
        <f>HYPERLINK("http://www.otzar.org/book.asp?620301","שיח אליעזר החדש &lt;מהדורה חדשה&gt;")</f>
        <v>שיח אליעזר החדש &lt;מהדורה חדשה&gt;</v>
      </c>
    </row>
    <row r="40942" spans="1:6" x14ac:dyDescent="0.2">
      <c r="A40942" t="s">
        <v>62421</v>
      </c>
      <c r="B40942" t="s">
        <v>62422</v>
      </c>
      <c r="C40942" t="s">
        <v>103</v>
      </c>
      <c r="D40942" t="s">
        <v>1180</v>
      </c>
      <c r="E40942" t="s">
        <v>158</v>
      </c>
      <c r="F40942" s="2" t="str">
        <f>HYPERLINK("http://www.otzar.org/book.asp?50316","שיח אליעזר החדש")</f>
        <v>שיח אליעזר החדש</v>
      </c>
    </row>
    <row r="40943" spans="1:6" x14ac:dyDescent="0.2">
      <c r="A40943" t="s">
        <v>62423</v>
      </c>
      <c r="B40943" t="s">
        <v>62424</v>
      </c>
      <c r="C40943" t="s">
        <v>466</v>
      </c>
      <c r="D40943" t="s">
        <v>52</v>
      </c>
      <c r="E40943" t="s">
        <v>4586</v>
      </c>
      <c r="F40943" s="2" t="str">
        <f>HYPERLINK("http://www.otzar.org/book.asp?63451","שיח אליעזר")</f>
        <v>שיח אליעזר</v>
      </c>
    </row>
    <row r="40944" spans="1:6" x14ac:dyDescent="0.2">
      <c r="A40944" t="s">
        <v>62425</v>
      </c>
      <c r="B40944" t="s">
        <v>29057</v>
      </c>
      <c r="C40944" t="s">
        <v>1202</v>
      </c>
      <c r="D40944" t="s">
        <v>56</v>
      </c>
      <c r="E40944" t="s">
        <v>234</v>
      </c>
      <c r="F40944" s="2" t="str">
        <f>HYPERLINK("http://www.otzar.org/book.asp?14271","שיח אליעזר - 2 כר'")</f>
        <v>שיח אליעזר - 2 כר'</v>
      </c>
    </row>
    <row r="40945" spans="1:6" x14ac:dyDescent="0.2">
      <c r="A40945" t="s">
        <v>62426</v>
      </c>
      <c r="B40945" t="s">
        <v>62427</v>
      </c>
      <c r="C40945" t="s">
        <v>176</v>
      </c>
      <c r="D40945" t="s">
        <v>11652</v>
      </c>
      <c r="E40945" t="s">
        <v>241</v>
      </c>
      <c r="F40945" s="2" t="str">
        <f>HYPERLINK("http://www.otzar.org/book.asp?154477","שיח אמונה")</f>
        <v>שיח אמונה</v>
      </c>
    </row>
    <row r="40946" spans="1:6" x14ac:dyDescent="0.2">
      <c r="A40946" t="s">
        <v>62428</v>
      </c>
      <c r="B40946" t="s">
        <v>46898</v>
      </c>
      <c r="C40946" t="s">
        <v>143</v>
      </c>
      <c r="D40946" t="s">
        <v>52</v>
      </c>
      <c r="E40946" t="s">
        <v>144</v>
      </c>
      <c r="F40946" s="2" t="str">
        <f>HYPERLINK("http://www.otzar.org/book.asp?169897","שיח אפרים")</f>
        <v>שיח אפרים</v>
      </c>
    </row>
    <row r="40947" spans="1:6" x14ac:dyDescent="0.2">
      <c r="A40947" t="s">
        <v>62429</v>
      </c>
      <c r="B40947" t="s">
        <v>686</v>
      </c>
      <c r="C40947" t="s">
        <v>103</v>
      </c>
      <c r="D40947" t="s">
        <v>52</v>
      </c>
      <c r="E40947" t="s">
        <v>104</v>
      </c>
      <c r="F40947" s="2" t="str">
        <f>HYPERLINK("http://www.otzar.org/book.asp?148221","שיח אש")</f>
        <v>שיח אש</v>
      </c>
    </row>
    <row r="40948" spans="1:6" x14ac:dyDescent="0.2">
      <c r="A40948" t="s">
        <v>62430</v>
      </c>
      <c r="B40948" t="s">
        <v>62431</v>
      </c>
      <c r="C40948" t="s">
        <v>422</v>
      </c>
      <c r="D40948" t="s">
        <v>52</v>
      </c>
      <c r="E40948" t="s">
        <v>467</v>
      </c>
      <c r="F40948" s="2" t="str">
        <f>HYPERLINK("http://www.otzar.org/book.asp?152656","שיח בחוקיך - 3 כר'")</f>
        <v>שיח בחוקיך - 3 כר'</v>
      </c>
    </row>
    <row r="40949" spans="1:6" x14ac:dyDescent="0.2">
      <c r="A40949" t="s">
        <v>62432</v>
      </c>
      <c r="B40949" t="s">
        <v>1750</v>
      </c>
      <c r="C40949" t="s">
        <v>103</v>
      </c>
      <c r="D40949" t="s">
        <v>90</v>
      </c>
      <c r="E40949" t="s">
        <v>202</v>
      </c>
      <c r="F40949" s="2" t="str">
        <f>HYPERLINK("http://www.otzar.org/book.asp?61322","שיח בני חיל")</f>
        <v>שיח בני חיל</v>
      </c>
    </row>
    <row r="40950" spans="1:6" x14ac:dyDescent="0.2">
      <c r="A40950" t="s">
        <v>62433</v>
      </c>
      <c r="B40950" t="s">
        <v>4794</v>
      </c>
      <c r="C40950" t="s">
        <v>114</v>
      </c>
      <c r="D40950" t="s">
        <v>14</v>
      </c>
      <c r="E40950" t="s">
        <v>1157</v>
      </c>
      <c r="F40950" s="2" t="str">
        <f>HYPERLINK("http://www.otzar.org/book.asp?162764","שיח בשדה - 2 כר'")</f>
        <v>שיח בשדה - 2 כר'</v>
      </c>
    </row>
    <row r="40951" spans="1:6" x14ac:dyDescent="0.2">
      <c r="A40951" t="s">
        <v>62434</v>
      </c>
      <c r="B40951" t="s">
        <v>59935</v>
      </c>
      <c r="C40951" t="s">
        <v>13</v>
      </c>
      <c r="D40951" t="s">
        <v>412</v>
      </c>
      <c r="F40951" s="2" t="str">
        <f>HYPERLINK("http://www.otzar.org/book.asp?163796","שיח בשמים - פורים")</f>
        <v>שיח בשמים - פורים</v>
      </c>
    </row>
    <row r="40952" spans="1:6" x14ac:dyDescent="0.2">
      <c r="A40952" t="s">
        <v>62435</v>
      </c>
      <c r="B40952" t="s">
        <v>62436</v>
      </c>
      <c r="C40952" t="s">
        <v>133</v>
      </c>
      <c r="D40952" t="s">
        <v>14</v>
      </c>
      <c r="E40952" t="s">
        <v>154</v>
      </c>
      <c r="F40952" s="2" t="str">
        <f>HYPERLINK("http://www.otzar.org/book.asp?180454","שיח דוד - 2 כר'")</f>
        <v>שיח דוד - 2 כר'</v>
      </c>
    </row>
    <row r="40953" spans="1:6" x14ac:dyDescent="0.2">
      <c r="A40953" t="s">
        <v>62437</v>
      </c>
      <c r="B40953" t="s">
        <v>9296</v>
      </c>
      <c r="C40953" t="s">
        <v>103</v>
      </c>
      <c r="D40953" t="s">
        <v>52</v>
      </c>
      <c r="E40953" t="s">
        <v>213</v>
      </c>
      <c r="F40953" s="2" t="str">
        <f>HYPERLINK("http://www.otzar.org/book.asp?53010","שיח דוד")</f>
        <v>שיח דוד</v>
      </c>
    </row>
    <row r="40954" spans="1:6" x14ac:dyDescent="0.2">
      <c r="A40954" t="s">
        <v>62437</v>
      </c>
      <c r="B40954" t="s">
        <v>62438</v>
      </c>
      <c r="C40954" t="s">
        <v>13</v>
      </c>
      <c r="D40954" t="s">
        <v>646</v>
      </c>
      <c r="E40954" t="s">
        <v>579</v>
      </c>
      <c r="F40954" s="2" t="str">
        <f>HYPERLINK("http://www.otzar.org/book.asp?154405","שיח דוד")</f>
        <v>שיח דוד</v>
      </c>
    </row>
    <row r="40955" spans="1:6" x14ac:dyDescent="0.2">
      <c r="A40955" t="s">
        <v>62437</v>
      </c>
      <c r="B40955" t="s">
        <v>7144</v>
      </c>
      <c r="C40955" t="s">
        <v>785</v>
      </c>
      <c r="D40955" t="s">
        <v>52</v>
      </c>
      <c r="E40955" t="s">
        <v>803</v>
      </c>
      <c r="F40955" s="2" t="str">
        <f>HYPERLINK("http://www.otzar.org/book.asp?148965","שיח דוד")</f>
        <v>שיח דוד</v>
      </c>
    </row>
    <row r="40956" spans="1:6" x14ac:dyDescent="0.2">
      <c r="A40956" t="s">
        <v>62435</v>
      </c>
      <c r="B40956" t="s">
        <v>62439</v>
      </c>
      <c r="C40956" t="s">
        <v>244</v>
      </c>
      <c r="D40956" t="s">
        <v>52</v>
      </c>
      <c r="E40956" t="s">
        <v>144</v>
      </c>
      <c r="F40956" s="2" t="str">
        <f>HYPERLINK("http://www.otzar.org/book.asp?601090","שיח דוד - 2 כר'")</f>
        <v>שיח דוד - 2 כר'</v>
      </c>
    </row>
    <row r="40957" spans="1:6" x14ac:dyDescent="0.2">
      <c r="A40957" t="s">
        <v>62440</v>
      </c>
      <c r="B40957" t="s">
        <v>11311</v>
      </c>
      <c r="C40957" t="s">
        <v>13</v>
      </c>
      <c r="D40957" t="s">
        <v>14</v>
      </c>
      <c r="E40957" t="s">
        <v>130</v>
      </c>
      <c r="F40957" s="2" t="str">
        <f>HYPERLINK("http://www.otzar.org/book.asp?61904","שיח האורים")</f>
        <v>שיח האורים</v>
      </c>
    </row>
    <row r="40958" spans="1:6" x14ac:dyDescent="0.2">
      <c r="A40958" t="s">
        <v>62441</v>
      </c>
      <c r="B40958" t="s">
        <v>12807</v>
      </c>
      <c r="C40958" t="s">
        <v>366</v>
      </c>
      <c r="D40958" t="s">
        <v>1156</v>
      </c>
      <c r="F40958" s="2" t="str">
        <f>HYPERLINK("http://www.otzar.org/book.asp?609767","שיח ההלכה")</f>
        <v>שיח ההלכה</v>
      </c>
    </row>
    <row r="40959" spans="1:6" x14ac:dyDescent="0.2">
      <c r="A40959" t="s">
        <v>62442</v>
      </c>
      <c r="B40959" t="s">
        <v>62443</v>
      </c>
      <c r="C40959" t="s">
        <v>17</v>
      </c>
      <c r="D40959" t="s">
        <v>852</v>
      </c>
      <c r="E40959" t="s">
        <v>241</v>
      </c>
      <c r="F40959" s="2" t="str">
        <f>HYPERLINK("http://www.otzar.org/book.asp?85508","שיח החיים")</f>
        <v>שיח החיים</v>
      </c>
    </row>
    <row r="40960" spans="1:6" x14ac:dyDescent="0.2">
      <c r="A40960" t="s">
        <v>62444</v>
      </c>
      <c r="B40960" t="s">
        <v>62445</v>
      </c>
      <c r="C40960" t="s">
        <v>20</v>
      </c>
      <c r="D40960" t="s">
        <v>216</v>
      </c>
      <c r="E40960" t="s">
        <v>219</v>
      </c>
      <c r="F40960" s="2" t="str">
        <f>HYPERLINK("http://www.otzar.org/book.asp?176516","שיח הכהן, ויעל יוסף")</f>
        <v>שיח הכהן, ויעל יוסף</v>
      </c>
    </row>
    <row r="40961" spans="1:6" x14ac:dyDescent="0.2">
      <c r="A40961" t="s">
        <v>62446</v>
      </c>
      <c r="B40961" t="s">
        <v>8927</v>
      </c>
      <c r="C40961" t="s">
        <v>366</v>
      </c>
      <c r="D40961" t="s">
        <v>14</v>
      </c>
      <c r="E40961" t="s">
        <v>144</v>
      </c>
      <c r="F40961" s="2" t="str">
        <f>HYPERLINK("http://www.otzar.org/book.asp?623562","שיח הלוי - 2 כר'")</f>
        <v>שיח הלוי - 2 כר'</v>
      </c>
    </row>
    <row r="40962" spans="1:6" x14ac:dyDescent="0.2">
      <c r="A40962" t="s">
        <v>62447</v>
      </c>
      <c r="B40962" t="s">
        <v>62448</v>
      </c>
      <c r="C40962" t="s">
        <v>87</v>
      </c>
      <c r="D40962" t="s">
        <v>14</v>
      </c>
      <c r="E40962" t="s">
        <v>837</v>
      </c>
      <c r="F40962" s="2" t="str">
        <f>HYPERLINK("http://www.otzar.org/book.asp?84639","שיח הלכה - 3 כר'")</f>
        <v>שיח הלכה - 3 כר'</v>
      </c>
    </row>
    <row r="40963" spans="1:6" x14ac:dyDescent="0.2">
      <c r="A40963" t="s">
        <v>62449</v>
      </c>
      <c r="B40963" t="s">
        <v>7604</v>
      </c>
      <c r="C40963" t="s">
        <v>244</v>
      </c>
      <c r="D40963" t="s">
        <v>52</v>
      </c>
      <c r="F40963" s="2" t="str">
        <f>HYPERLINK("http://www.otzar.org/book.asp?611109","שיח המנחה - מנחת חינוך")</f>
        <v>שיח המנחה - מנחת חינוך</v>
      </c>
    </row>
    <row r="40964" spans="1:6" x14ac:dyDescent="0.2">
      <c r="A40964" t="s">
        <v>62450</v>
      </c>
      <c r="B40964" t="s">
        <v>7604</v>
      </c>
      <c r="C40964" t="s">
        <v>133</v>
      </c>
      <c r="D40964" t="s">
        <v>52</v>
      </c>
      <c r="E40964" t="s">
        <v>246</v>
      </c>
      <c r="F40964" s="2" t="str">
        <f>HYPERLINK("http://www.otzar.org/book.asp?172789","שיח הפסח")</f>
        <v>שיח הפסח</v>
      </c>
    </row>
    <row r="40965" spans="1:6" x14ac:dyDescent="0.2">
      <c r="A40965" t="s">
        <v>62451</v>
      </c>
      <c r="B40965" t="s">
        <v>7787</v>
      </c>
      <c r="C40965" t="s">
        <v>111</v>
      </c>
      <c r="D40965" t="s">
        <v>52</v>
      </c>
      <c r="F40965" s="2" t="str">
        <f>HYPERLINK("http://www.otzar.org/book.asp?630257","שיח השדה &lt;מהדורה מחודשת&gt; - ב")</f>
        <v>שיח השדה &lt;מהדורה מחודשת&gt; - ב</v>
      </c>
    </row>
    <row r="40966" spans="1:6" x14ac:dyDescent="0.2">
      <c r="A40966" t="s">
        <v>62452</v>
      </c>
      <c r="B40966" t="s">
        <v>60554</v>
      </c>
      <c r="C40966" t="s">
        <v>6062</v>
      </c>
      <c r="D40966" t="s">
        <v>544</v>
      </c>
      <c r="E40966" t="s">
        <v>474</v>
      </c>
      <c r="F40966" s="2" t="str">
        <f>HYPERLINK("http://www.otzar.org/book.asp?104268","שיח השדה")</f>
        <v>שיח השדה</v>
      </c>
    </row>
    <row r="40967" spans="1:6" x14ac:dyDescent="0.2">
      <c r="A40967" t="s">
        <v>62452</v>
      </c>
      <c r="B40967" t="s">
        <v>62453</v>
      </c>
      <c r="C40967" t="s">
        <v>6050</v>
      </c>
      <c r="D40967" t="s">
        <v>1769</v>
      </c>
      <c r="E40967" t="s">
        <v>219</v>
      </c>
      <c r="F40967" s="2" t="str">
        <f>HYPERLINK("http://www.otzar.org/book.asp?146725","שיח השדה")</f>
        <v>שיח השדה</v>
      </c>
    </row>
    <row r="40968" spans="1:6" x14ac:dyDescent="0.2">
      <c r="A40968" t="s">
        <v>62452</v>
      </c>
      <c r="B40968" t="s">
        <v>15396</v>
      </c>
      <c r="C40968" t="s">
        <v>473</v>
      </c>
      <c r="D40968" t="s">
        <v>661</v>
      </c>
      <c r="E40968" t="s">
        <v>6635</v>
      </c>
      <c r="F40968" s="2" t="str">
        <f>HYPERLINK("http://www.otzar.org/book.asp?150016","שיח השדה")</f>
        <v>שיח השדה</v>
      </c>
    </row>
    <row r="40969" spans="1:6" x14ac:dyDescent="0.2">
      <c r="A40969" t="s">
        <v>62452</v>
      </c>
      <c r="B40969" t="s">
        <v>62454</v>
      </c>
      <c r="C40969" t="s">
        <v>2236</v>
      </c>
      <c r="D40969" t="s">
        <v>2303</v>
      </c>
      <c r="E40969" t="s">
        <v>24</v>
      </c>
      <c r="F40969" s="2" t="str">
        <f>HYPERLINK("http://www.otzar.org/book.asp?146861","שיח השדה")</f>
        <v>שיח השדה</v>
      </c>
    </row>
    <row r="40970" spans="1:6" x14ac:dyDescent="0.2">
      <c r="A40970" t="s">
        <v>62455</v>
      </c>
      <c r="B40970" t="s">
        <v>52030</v>
      </c>
      <c r="C40970" t="s">
        <v>390</v>
      </c>
      <c r="D40970" t="s">
        <v>14</v>
      </c>
      <c r="E40970" t="s">
        <v>3489</v>
      </c>
      <c r="F40970" s="2" t="str">
        <f>HYPERLINK("http://www.otzar.org/book.asp?13770","שיח השדה - 5 כר'")</f>
        <v>שיח השדה - 5 כר'</v>
      </c>
    </row>
    <row r="40971" spans="1:6" x14ac:dyDescent="0.2">
      <c r="A40971" t="s">
        <v>62452</v>
      </c>
      <c r="B40971" t="s">
        <v>7787</v>
      </c>
      <c r="C40971" t="s">
        <v>1166</v>
      </c>
      <c r="D40971" t="s">
        <v>225</v>
      </c>
      <c r="E40971" t="s">
        <v>803</v>
      </c>
      <c r="F40971" s="2" t="str">
        <f>HYPERLINK("http://www.otzar.org/book.asp?104881","שיח השדה")</f>
        <v>שיח השדה</v>
      </c>
    </row>
    <row r="40972" spans="1:6" x14ac:dyDescent="0.2">
      <c r="A40972" t="s">
        <v>62456</v>
      </c>
      <c r="B40972" t="s">
        <v>7604</v>
      </c>
      <c r="C40972" t="s">
        <v>356</v>
      </c>
      <c r="D40972" t="s">
        <v>52</v>
      </c>
      <c r="E40972" t="s">
        <v>3936</v>
      </c>
      <c r="F40972" s="2" t="str">
        <f>HYPERLINK("http://www.otzar.org/book.asp?105829","שיח השדה - 2 כר'")</f>
        <v>שיח השדה - 2 כר'</v>
      </c>
    </row>
    <row r="40973" spans="1:6" x14ac:dyDescent="0.2">
      <c r="A40973" t="s">
        <v>62457</v>
      </c>
      <c r="B40973" t="s">
        <v>5564</v>
      </c>
      <c r="C40973" t="s">
        <v>767</v>
      </c>
      <c r="D40973" t="s">
        <v>14</v>
      </c>
      <c r="E40973" t="s">
        <v>158</v>
      </c>
      <c r="F40973" s="2" t="str">
        <f>HYPERLINK("http://www.otzar.org/book.asp?159423","שיח השירה על שיר השירים - 3 כר'")</f>
        <v>שיח השירה על שיר השירים - 3 כר'</v>
      </c>
    </row>
    <row r="40974" spans="1:6" x14ac:dyDescent="0.2">
      <c r="A40974" t="s">
        <v>62458</v>
      </c>
      <c r="B40974" t="s">
        <v>62459</v>
      </c>
      <c r="C40974" t="s">
        <v>23</v>
      </c>
      <c r="D40974" t="s">
        <v>52</v>
      </c>
      <c r="E40974" t="s">
        <v>15</v>
      </c>
      <c r="F40974" s="2" t="str">
        <f>HYPERLINK("http://www.otzar.org/book.asp?183353","שיח השמיטה")</f>
        <v>שיח השמיטה</v>
      </c>
    </row>
    <row r="40975" spans="1:6" x14ac:dyDescent="0.2">
      <c r="A40975" t="s">
        <v>62460</v>
      </c>
      <c r="B40975" t="s">
        <v>6298</v>
      </c>
      <c r="C40975" t="s">
        <v>114</v>
      </c>
      <c r="D40975" t="s">
        <v>52</v>
      </c>
      <c r="E40975" t="s">
        <v>26883</v>
      </c>
      <c r="F40975" s="2" t="str">
        <f>HYPERLINK("http://www.otzar.org/book.asp?163201","שיח התורה")</f>
        <v>שיח התורה</v>
      </c>
    </row>
    <row r="40976" spans="1:6" x14ac:dyDescent="0.2">
      <c r="A40976" t="s">
        <v>62461</v>
      </c>
      <c r="B40976" t="s">
        <v>62462</v>
      </c>
      <c r="C40976" t="s">
        <v>129</v>
      </c>
      <c r="D40976" t="s">
        <v>52</v>
      </c>
      <c r="E40976" t="s">
        <v>62463</v>
      </c>
      <c r="F40976" s="2" t="str">
        <f>HYPERLINK("http://www.otzar.org/book.asp?83745","שיח התורה - 3 כר'")</f>
        <v>שיח התורה - 3 כר'</v>
      </c>
    </row>
    <row r="40977" spans="1:6" x14ac:dyDescent="0.2">
      <c r="A40977" t="s">
        <v>62464</v>
      </c>
      <c r="B40977" t="s">
        <v>8382</v>
      </c>
      <c r="C40977" t="s">
        <v>313</v>
      </c>
      <c r="D40977" t="s">
        <v>52</v>
      </c>
      <c r="E40977" t="s">
        <v>104</v>
      </c>
      <c r="F40977" s="2" t="str">
        <f>HYPERLINK("http://www.otzar.org/book.asp?170449","שיח התלמוד - 5 כר'")</f>
        <v>שיח התלמוד - 5 כר'</v>
      </c>
    </row>
    <row r="40978" spans="1:6" x14ac:dyDescent="0.2">
      <c r="A40978" t="s">
        <v>62465</v>
      </c>
      <c r="B40978" t="s">
        <v>62466</v>
      </c>
      <c r="C40978" t="s">
        <v>454</v>
      </c>
      <c r="D40978" t="s">
        <v>14</v>
      </c>
      <c r="E40978" t="s">
        <v>384</v>
      </c>
      <c r="F40978" s="2" t="str">
        <f>HYPERLINK("http://www.otzar.org/book.asp?151178","שיח זקנים")</f>
        <v>שיח זקנים</v>
      </c>
    </row>
    <row r="40979" spans="1:6" x14ac:dyDescent="0.2">
      <c r="A40979" t="s">
        <v>62467</v>
      </c>
      <c r="B40979" t="s">
        <v>62468</v>
      </c>
      <c r="C40979" t="s">
        <v>422</v>
      </c>
      <c r="D40979" t="s">
        <v>412</v>
      </c>
      <c r="E40979" t="s">
        <v>158</v>
      </c>
      <c r="F40979" s="2" t="str">
        <f>HYPERLINK("http://www.otzar.org/book.asp?166261","שיח חיים")</f>
        <v>שיח חיים</v>
      </c>
    </row>
    <row r="40980" spans="1:6" x14ac:dyDescent="0.2">
      <c r="A40980" t="s">
        <v>62469</v>
      </c>
      <c r="B40980" t="s">
        <v>62470</v>
      </c>
      <c r="C40980" t="s">
        <v>146</v>
      </c>
      <c r="D40980" t="s">
        <v>90</v>
      </c>
      <c r="E40980" t="s">
        <v>172</v>
      </c>
      <c r="F40980" s="2" t="str">
        <f>HYPERLINK("http://www.otzar.org/book.asp?53052","שיח חיים - 3 כר'")</f>
        <v>שיח חיים - 3 כר'</v>
      </c>
    </row>
    <row r="40981" spans="1:6" x14ac:dyDescent="0.2">
      <c r="A40981" t="s">
        <v>62471</v>
      </c>
      <c r="B40981" t="s">
        <v>60681</v>
      </c>
      <c r="C40981" t="s">
        <v>624</v>
      </c>
      <c r="D40981" t="s">
        <v>52</v>
      </c>
      <c r="E40981" t="s">
        <v>213</v>
      </c>
      <c r="F40981" s="2" t="str">
        <f>HYPERLINK("http://www.otzar.org/book.asp?195991","שיח חיל")</f>
        <v>שיח חיל</v>
      </c>
    </row>
    <row r="40982" spans="1:6" x14ac:dyDescent="0.2">
      <c r="A40982" t="s">
        <v>62472</v>
      </c>
      <c r="B40982" t="s">
        <v>128</v>
      </c>
      <c r="C40982" t="s">
        <v>71</v>
      </c>
      <c r="D40982" t="s">
        <v>52</v>
      </c>
      <c r="E40982" t="s">
        <v>144</v>
      </c>
      <c r="F40982" s="2" t="str">
        <f>HYPERLINK("http://www.otzar.org/book.asp?52708","שיח חכמה - 9 כר'")</f>
        <v>שיח חכמה - 9 כר'</v>
      </c>
    </row>
    <row r="40983" spans="1:6" x14ac:dyDescent="0.2">
      <c r="A40983" t="s">
        <v>62473</v>
      </c>
      <c r="B40983" t="s">
        <v>62474</v>
      </c>
      <c r="C40983" t="s">
        <v>180</v>
      </c>
      <c r="D40983" t="s">
        <v>260</v>
      </c>
      <c r="E40983" t="s">
        <v>230</v>
      </c>
      <c r="F40983" s="2" t="str">
        <f>HYPERLINK("http://www.otzar.org/book.asp?620625","שיח חן")</f>
        <v>שיח חן</v>
      </c>
    </row>
    <row r="40984" spans="1:6" x14ac:dyDescent="0.2">
      <c r="A40984" t="s">
        <v>62475</v>
      </c>
      <c r="B40984" t="s">
        <v>62476</v>
      </c>
      <c r="C40984" t="s">
        <v>366</v>
      </c>
      <c r="D40984" t="s">
        <v>412</v>
      </c>
      <c r="E40984" t="s">
        <v>140</v>
      </c>
      <c r="F40984" s="2" t="str">
        <f>HYPERLINK("http://www.otzar.org/book.asp?605345","שיח חסידים - אמשינוב - וורקי")</f>
        <v>שיח חסידים - אמשינוב - וורקי</v>
      </c>
    </row>
    <row r="40985" spans="1:6" x14ac:dyDescent="0.2">
      <c r="A40985" t="s">
        <v>62477</v>
      </c>
      <c r="B40985" t="s">
        <v>62478</v>
      </c>
      <c r="C40985" t="s">
        <v>133</v>
      </c>
      <c r="D40985" t="s">
        <v>14</v>
      </c>
      <c r="E40985" t="s">
        <v>241</v>
      </c>
      <c r="F40985" s="2" t="str">
        <f>HYPERLINK("http://www.otzar.org/book.asp?176609","שיח יהודה - 40 כר'")</f>
        <v>שיח יהודה - 40 כר'</v>
      </c>
    </row>
    <row r="40986" spans="1:6" x14ac:dyDescent="0.2">
      <c r="A40986" t="s">
        <v>62479</v>
      </c>
      <c r="B40986" t="s">
        <v>62480</v>
      </c>
      <c r="C40986" t="s">
        <v>20</v>
      </c>
      <c r="D40986" t="s">
        <v>118</v>
      </c>
      <c r="E40986" t="s">
        <v>158</v>
      </c>
      <c r="F40986" s="2" t="str">
        <f>HYPERLINK("http://www.otzar.org/book.asp?159520","שיח יהושע")</f>
        <v>שיח יהושע</v>
      </c>
    </row>
    <row r="40987" spans="1:6" x14ac:dyDescent="0.2">
      <c r="A40987" t="s">
        <v>62481</v>
      </c>
      <c r="B40987" t="s">
        <v>62482</v>
      </c>
      <c r="C40987" t="s">
        <v>133</v>
      </c>
      <c r="D40987" t="s">
        <v>412</v>
      </c>
      <c r="E40987" t="s">
        <v>158</v>
      </c>
      <c r="F40987" s="2" t="str">
        <f>HYPERLINK("http://www.otzar.org/book.asp?604545","שיח יום טוב - 2 כר'")</f>
        <v>שיח יום טוב - 2 כר'</v>
      </c>
    </row>
    <row r="40988" spans="1:6" x14ac:dyDescent="0.2">
      <c r="A40988" t="s">
        <v>62483</v>
      </c>
      <c r="B40988" t="s">
        <v>62484</v>
      </c>
      <c r="C40988" t="s">
        <v>129</v>
      </c>
      <c r="D40988" t="s">
        <v>52</v>
      </c>
      <c r="E40988" t="s">
        <v>960</v>
      </c>
      <c r="F40988" s="2" t="str">
        <f>HYPERLINK("http://www.otzar.org/book.asp?151046","שיח יום")</f>
        <v>שיח יום</v>
      </c>
    </row>
    <row r="40989" spans="1:6" x14ac:dyDescent="0.2">
      <c r="A40989" t="s">
        <v>62485</v>
      </c>
      <c r="B40989" t="s">
        <v>62486</v>
      </c>
      <c r="C40989" t="s">
        <v>114</v>
      </c>
      <c r="D40989" t="s">
        <v>2285</v>
      </c>
      <c r="E40989" t="s">
        <v>104</v>
      </c>
      <c r="F40989" s="2" t="str">
        <f>HYPERLINK("http://www.otzar.org/book.asp?175588","שיח יוסף - 2 כר'")</f>
        <v>שיח יוסף - 2 כר'</v>
      </c>
    </row>
    <row r="40990" spans="1:6" x14ac:dyDescent="0.2">
      <c r="A40990" t="s">
        <v>62487</v>
      </c>
      <c r="B40990" t="s">
        <v>62488</v>
      </c>
      <c r="C40990" t="s">
        <v>17</v>
      </c>
      <c r="D40990" t="s">
        <v>52</v>
      </c>
      <c r="E40990" t="s">
        <v>144</v>
      </c>
      <c r="F40990" s="2" t="str">
        <f>HYPERLINK("http://www.otzar.org/book.asp?151112","שיח יוסף - 8 כר'")</f>
        <v>שיח יוסף - 8 כר'</v>
      </c>
    </row>
    <row r="40991" spans="1:6" x14ac:dyDescent="0.2">
      <c r="A40991" t="s">
        <v>62489</v>
      </c>
      <c r="B40991" t="s">
        <v>62490</v>
      </c>
      <c r="C40991" t="s">
        <v>129</v>
      </c>
      <c r="D40991" t="s">
        <v>14</v>
      </c>
      <c r="E40991" t="s">
        <v>17896</v>
      </c>
      <c r="F40991" s="2" t="str">
        <f>HYPERLINK("http://www.otzar.org/book.asp?159184","שיח יחוננו")</f>
        <v>שיח יחוננו</v>
      </c>
    </row>
    <row r="40992" spans="1:6" x14ac:dyDescent="0.2">
      <c r="A40992" t="s">
        <v>62491</v>
      </c>
      <c r="B40992" t="s">
        <v>62492</v>
      </c>
      <c r="C40992" t="s">
        <v>37</v>
      </c>
      <c r="D40992" t="s">
        <v>52</v>
      </c>
      <c r="E40992" t="s">
        <v>8282</v>
      </c>
      <c r="F40992" s="2" t="str">
        <f>HYPERLINK("http://www.otzar.org/book.asp?177110","שיח יעקב יוסף")</f>
        <v>שיח יעקב יוסף</v>
      </c>
    </row>
    <row r="40993" spans="1:6" x14ac:dyDescent="0.2">
      <c r="A40993" t="s">
        <v>62493</v>
      </c>
      <c r="B40993" t="s">
        <v>62494</v>
      </c>
      <c r="C40993" t="s">
        <v>422</v>
      </c>
      <c r="D40993" t="s">
        <v>1550</v>
      </c>
      <c r="E40993" t="s">
        <v>158</v>
      </c>
      <c r="F40993" s="2" t="str">
        <f>HYPERLINK("http://www.otzar.org/book.asp?158813","שיח יעקב - 2 כר'")</f>
        <v>שיח יעקב - 2 כר'</v>
      </c>
    </row>
    <row r="40994" spans="1:6" x14ac:dyDescent="0.2">
      <c r="A40994" t="s">
        <v>62495</v>
      </c>
      <c r="B40994" t="s">
        <v>62496</v>
      </c>
      <c r="C40994" t="s">
        <v>411</v>
      </c>
      <c r="D40994" t="s">
        <v>486</v>
      </c>
      <c r="E40994" t="s">
        <v>674</v>
      </c>
      <c r="F40994" s="2" t="str">
        <f>HYPERLINK("http://www.otzar.org/book.asp?193132","שיח יעקב")</f>
        <v>שיח יעקב</v>
      </c>
    </row>
    <row r="40995" spans="1:6" x14ac:dyDescent="0.2">
      <c r="A40995" t="s">
        <v>62493</v>
      </c>
      <c r="B40995" t="s">
        <v>62497</v>
      </c>
      <c r="C40995" t="s">
        <v>17</v>
      </c>
      <c r="D40995" t="s">
        <v>115</v>
      </c>
      <c r="F40995" s="2" t="str">
        <f>HYPERLINK("http://www.otzar.org/book.asp?630267","שיח יעקב - 2 כר'")</f>
        <v>שיח יעקב - 2 כר'</v>
      </c>
    </row>
    <row r="40996" spans="1:6" x14ac:dyDescent="0.2">
      <c r="A40996" t="s">
        <v>62498</v>
      </c>
      <c r="B40996" t="s">
        <v>62499</v>
      </c>
      <c r="C40996" t="s">
        <v>422</v>
      </c>
      <c r="D40996" t="s">
        <v>2531</v>
      </c>
      <c r="E40996" t="s">
        <v>172</v>
      </c>
      <c r="F40996" s="2" t="str">
        <f>HYPERLINK("http://www.otzar.org/book.asp?179819","שיח יעקב - 6 כר'")</f>
        <v>שיח יעקב - 6 כר'</v>
      </c>
    </row>
    <row r="40997" spans="1:6" x14ac:dyDescent="0.2">
      <c r="A40997" t="s">
        <v>62500</v>
      </c>
      <c r="B40997" t="s">
        <v>3522</v>
      </c>
      <c r="C40997" t="s">
        <v>313</v>
      </c>
      <c r="D40997" t="s">
        <v>14</v>
      </c>
      <c r="E40997" t="s">
        <v>474</v>
      </c>
      <c r="F40997" s="2" t="str">
        <f>HYPERLINK("http://www.otzar.org/book.asp?160411","שיח יצחק &lt;מהדורה חדשה&gt;")</f>
        <v>שיח יצחק &lt;מהדורה חדשה&gt;</v>
      </c>
    </row>
    <row r="40998" spans="1:6" x14ac:dyDescent="0.2">
      <c r="A40998" t="s">
        <v>62500</v>
      </c>
      <c r="B40998" t="s">
        <v>50545</v>
      </c>
      <c r="C40998" t="s">
        <v>244</v>
      </c>
      <c r="D40998" t="s">
        <v>1356</v>
      </c>
      <c r="E40998" t="s">
        <v>467</v>
      </c>
      <c r="F40998" s="2" t="str">
        <f>HYPERLINK("http://www.otzar.org/book.asp?196697","שיח יצחק &lt;מהדורה חדשה&gt;")</f>
        <v>שיח יצחק &lt;מהדורה חדשה&gt;</v>
      </c>
    </row>
    <row r="40999" spans="1:6" x14ac:dyDescent="0.2">
      <c r="A40999" t="s">
        <v>62500</v>
      </c>
      <c r="B40999" t="s">
        <v>62501</v>
      </c>
      <c r="C40999" t="s">
        <v>176</v>
      </c>
      <c r="D40999" t="s">
        <v>1180</v>
      </c>
      <c r="E40999" t="s">
        <v>104</v>
      </c>
      <c r="F40999" s="2" t="str">
        <f>HYPERLINK("http://www.otzar.org/book.asp?615915","שיח יצחק &lt;מהדורה חדשה&gt;")</f>
        <v>שיח יצחק &lt;מהדורה חדשה&gt;</v>
      </c>
    </row>
    <row r="41000" spans="1:6" x14ac:dyDescent="0.2">
      <c r="A41000" t="s">
        <v>62502</v>
      </c>
      <c r="B41000" t="s">
        <v>43683</v>
      </c>
      <c r="C41000" t="s">
        <v>1570</v>
      </c>
      <c r="D41000" t="s">
        <v>1840</v>
      </c>
      <c r="E41000" t="s">
        <v>230</v>
      </c>
      <c r="F41000" s="2" t="str">
        <f>HYPERLINK("http://www.otzar.org/book.asp?172181","שיח יצחק באוש""ר")</f>
        <v>שיח יצחק באוש"ר</v>
      </c>
    </row>
    <row r="41001" spans="1:6" x14ac:dyDescent="0.2">
      <c r="A41001" t="s">
        <v>62503</v>
      </c>
      <c r="B41001" t="s">
        <v>42135</v>
      </c>
      <c r="C41001" t="s">
        <v>454</v>
      </c>
      <c r="D41001" t="s">
        <v>14</v>
      </c>
      <c r="E41001" t="s">
        <v>15</v>
      </c>
      <c r="F41001" s="2" t="str">
        <f>HYPERLINK("http://www.otzar.org/book.asp?157714","שיח יצחק וילקוט אליעזר - 4 כר'")</f>
        <v>שיח יצחק וילקוט אליעזר - 4 כר'</v>
      </c>
    </row>
    <row r="41002" spans="1:6" x14ac:dyDescent="0.2">
      <c r="A41002" t="s">
        <v>62504</v>
      </c>
      <c r="B41002" t="s">
        <v>4431</v>
      </c>
      <c r="C41002" t="s">
        <v>20</v>
      </c>
      <c r="D41002" t="s">
        <v>90</v>
      </c>
      <c r="E41002" t="s">
        <v>241</v>
      </c>
      <c r="F41002" s="2" t="str">
        <f>HYPERLINK("http://www.otzar.org/book.asp?191144","שיח יצחק פלא יועץ")</f>
        <v>שיח יצחק פלא יועץ</v>
      </c>
    </row>
    <row r="41003" spans="1:6" x14ac:dyDescent="0.2">
      <c r="A41003" t="s">
        <v>62505</v>
      </c>
      <c r="B41003" t="s">
        <v>6594</v>
      </c>
      <c r="C41003" t="s">
        <v>1268</v>
      </c>
      <c r="E41003" t="s">
        <v>154</v>
      </c>
      <c r="F41003" s="2" t="str">
        <f>HYPERLINK("http://www.otzar.org/book.asp?174509","שיח יצחק")</f>
        <v>שיח יצחק</v>
      </c>
    </row>
    <row r="41004" spans="1:6" x14ac:dyDescent="0.2">
      <c r="A41004" t="s">
        <v>62505</v>
      </c>
      <c r="B41004" t="s">
        <v>1949</v>
      </c>
      <c r="C41004" t="s">
        <v>1202</v>
      </c>
      <c r="D41004" t="s">
        <v>27</v>
      </c>
      <c r="E41004" t="s">
        <v>62506</v>
      </c>
      <c r="F41004" s="2" t="str">
        <f>HYPERLINK("http://www.otzar.org/book.asp?200133","שיח יצחק")</f>
        <v>שיח יצחק</v>
      </c>
    </row>
    <row r="41005" spans="1:6" x14ac:dyDescent="0.2">
      <c r="A41005" t="s">
        <v>62507</v>
      </c>
      <c r="B41005" t="s">
        <v>62508</v>
      </c>
      <c r="C41005" t="s">
        <v>106</v>
      </c>
      <c r="D41005" t="s">
        <v>14</v>
      </c>
      <c r="E41005" t="s">
        <v>684</v>
      </c>
      <c r="F41005" s="2" t="str">
        <f>HYPERLINK("http://www.otzar.org/book.asp?85286","שיח יצחק - 3 כר'")</f>
        <v>שיח יצחק - 3 כר'</v>
      </c>
    </row>
    <row r="41006" spans="1:6" x14ac:dyDescent="0.2">
      <c r="A41006" t="s">
        <v>62509</v>
      </c>
      <c r="B41006" t="s">
        <v>19486</v>
      </c>
      <c r="C41006" t="s">
        <v>68</v>
      </c>
      <c r="D41006" t="s">
        <v>14</v>
      </c>
      <c r="E41006" t="s">
        <v>467</v>
      </c>
      <c r="F41006" s="2" t="str">
        <f>HYPERLINK("http://www.otzar.org/book.asp?161752","שיח יצחק - 6 כר'")</f>
        <v>שיח יצחק - 6 כר'</v>
      </c>
    </row>
    <row r="41007" spans="1:6" x14ac:dyDescent="0.2">
      <c r="A41007" t="s">
        <v>62510</v>
      </c>
      <c r="B41007" t="s">
        <v>62511</v>
      </c>
      <c r="C41007" t="s">
        <v>129</v>
      </c>
      <c r="D41007" t="s">
        <v>14</v>
      </c>
      <c r="E41007" t="s">
        <v>158</v>
      </c>
      <c r="F41007" s="2" t="str">
        <f>HYPERLINK("http://www.otzar.org/book.asp?60219","שיח יצחק - א (בראשית)")</f>
        <v>שיח יצחק - א (בראשית)</v>
      </c>
    </row>
    <row r="41008" spans="1:6" x14ac:dyDescent="0.2">
      <c r="A41008" t="s">
        <v>62505</v>
      </c>
      <c r="B41008" t="s">
        <v>4728</v>
      </c>
      <c r="C41008" t="s">
        <v>103</v>
      </c>
      <c r="D41008" t="s">
        <v>14</v>
      </c>
      <c r="E41008" t="s">
        <v>399</v>
      </c>
      <c r="F41008" s="2" t="str">
        <f>HYPERLINK("http://www.otzar.org/book.asp?156587","שיח יצחק")</f>
        <v>שיח יצחק</v>
      </c>
    </row>
    <row r="41009" spans="1:6" x14ac:dyDescent="0.2">
      <c r="A41009" t="s">
        <v>62505</v>
      </c>
      <c r="B41009" t="s">
        <v>62512</v>
      </c>
      <c r="C41009" t="s">
        <v>3690</v>
      </c>
      <c r="D41009" t="s">
        <v>10557</v>
      </c>
      <c r="F41009" s="2" t="str">
        <f>HYPERLINK("http://www.otzar.org/book.asp?191407","שיח יצחק")</f>
        <v>שיח יצחק</v>
      </c>
    </row>
    <row r="41010" spans="1:6" x14ac:dyDescent="0.2">
      <c r="A41010" t="s">
        <v>62505</v>
      </c>
      <c r="B41010" t="s">
        <v>829</v>
      </c>
      <c r="C41010" t="s">
        <v>619</v>
      </c>
      <c r="D41010" t="s">
        <v>225</v>
      </c>
      <c r="E41010" t="s">
        <v>8035</v>
      </c>
      <c r="F41010" s="2" t="str">
        <f>HYPERLINK("http://www.otzar.org/book.asp?104565","שיח יצחק")</f>
        <v>שיח יצחק</v>
      </c>
    </row>
    <row r="41011" spans="1:6" x14ac:dyDescent="0.2">
      <c r="A41011" t="s">
        <v>62505</v>
      </c>
      <c r="B41011" t="s">
        <v>62513</v>
      </c>
      <c r="C41011" t="s">
        <v>506</v>
      </c>
      <c r="D41011" t="s">
        <v>283</v>
      </c>
      <c r="E41011" t="s">
        <v>1072</v>
      </c>
      <c r="F41011" s="2" t="str">
        <f>HYPERLINK("http://www.otzar.org/book.asp?20713","שיח יצחק")</f>
        <v>שיח יצחק</v>
      </c>
    </row>
    <row r="41012" spans="1:6" x14ac:dyDescent="0.2">
      <c r="A41012" t="s">
        <v>62505</v>
      </c>
      <c r="B41012" t="s">
        <v>62514</v>
      </c>
      <c r="C41012" t="s">
        <v>4705</v>
      </c>
      <c r="D41012" t="s">
        <v>267</v>
      </c>
      <c r="E41012" t="s">
        <v>957</v>
      </c>
      <c r="F41012" s="2" t="str">
        <f>HYPERLINK("http://www.otzar.org/book.asp?100773","שיח יצחק")</f>
        <v>שיח יצחק</v>
      </c>
    </row>
    <row r="41013" spans="1:6" x14ac:dyDescent="0.2">
      <c r="A41013" t="s">
        <v>62505</v>
      </c>
      <c r="B41013" t="s">
        <v>62515</v>
      </c>
      <c r="C41013" t="s">
        <v>99</v>
      </c>
      <c r="D41013" t="s">
        <v>9</v>
      </c>
      <c r="E41013" t="s">
        <v>4435</v>
      </c>
      <c r="F41013" s="2" t="str">
        <f>HYPERLINK("http://www.otzar.org/book.asp?11866","שיח יצחק")</f>
        <v>שיח יצחק</v>
      </c>
    </row>
    <row r="41014" spans="1:6" x14ac:dyDescent="0.2">
      <c r="A41014" t="s">
        <v>62516</v>
      </c>
      <c r="B41014" t="s">
        <v>62517</v>
      </c>
      <c r="C41014" t="s">
        <v>62518</v>
      </c>
      <c r="D41014" t="s">
        <v>4441</v>
      </c>
      <c r="E41014" t="s">
        <v>8341</v>
      </c>
      <c r="F41014" s="2" t="str">
        <f>HYPERLINK("http://www.otzar.org/book.asp?604265","שיח יצחק - 2 כר'")</f>
        <v>שיח יצחק - 2 כר'</v>
      </c>
    </row>
    <row r="41015" spans="1:6" x14ac:dyDescent="0.2">
      <c r="A41015" t="s">
        <v>62516</v>
      </c>
      <c r="B41015" t="s">
        <v>3522</v>
      </c>
      <c r="C41015" t="s">
        <v>725</v>
      </c>
      <c r="D41015" t="s">
        <v>10393</v>
      </c>
      <c r="E41015" t="s">
        <v>474</v>
      </c>
      <c r="F41015" s="2" t="str">
        <f>HYPERLINK("http://www.otzar.org/book.asp?151692","שיח יצחק - 2 כר'")</f>
        <v>שיח יצחק - 2 כר'</v>
      </c>
    </row>
    <row r="41016" spans="1:6" x14ac:dyDescent="0.2">
      <c r="A41016" t="s">
        <v>62516</v>
      </c>
      <c r="B41016" t="s">
        <v>59752</v>
      </c>
      <c r="C41016" t="s">
        <v>454</v>
      </c>
      <c r="D41016" t="s">
        <v>14</v>
      </c>
      <c r="E41016" t="s">
        <v>2572</v>
      </c>
      <c r="F41016" s="2" t="str">
        <f>HYPERLINK("http://www.otzar.org/book.asp?182871","שיח יצחק - 2 כר'")</f>
        <v>שיח יצחק - 2 כר'</v>
      </c>
    </row>
    <row r="41017" spans="1:6" x14ac:dyDescent="0.2">
      <c r="A41017" t="s">
        <v>62505</v>
      </c>
      <c r="B41017" t="s">
        <v>50545</v>
      </c>
      <c r="C41017" t="s">
        <v>1228</v>
      </c>
      <c r="D41017" t="s">
        <v>1279</v>
      </c>
      <c r="E41017" t="s">
        <v>246</v>
      </c>
      <c r="F41017" s="2" t="str">
        <f>HYPERLINK("http://www.otzar.org/book.asp?23871","שיח יצחק")</f>
        <v>שיח יצחק</v>
      </c>
    </row>
    <row r="41018" spans="1:6" x14ac:dyDescent="0.2">
      <c r="A41018" t="s">
        <v>62505</v>
      </c>
      <c r="B41018" t="s">
        <v>61685</v>
      </c>
      <c r="C41018" t="s">
        <v>492</v>
      </c>
      <c r="D41018" t="s">
        <v>352</v>
      </c>
      <c r="E41018" t="s">
        <v>144</v>
      </c>
      <c r="F41018" s="2" t="str">
        <f>HYPERLINK("http://www.otzar.org/book.asp?8056","שיח יצחק")</f>
        <v>שיח יצחק</v>
      </c>
    </row>
    <row r="41019" spans="1:6" x14ac:dyDescent="0.2">
      <c r="A41019" t="s">
        <v>62505</v>
      </c>
      <c r="B41019" t="s">
        <v>25993</v>
      </c>
      <c r="C41019" t="s">
        <v>506</v>
      </c>
      <c r="D41019" t="s">
        <v>283</v>
      </c>
      <c r="E41019" t="s">
        <v>786</v>
      </c>
      <c r="F41019" s="2" t="str">
        <f>HYPERLINK("http://www.otzar.org/book.asp?191413","שיח יצחק")</f>
        <v>שיח יצחק</v>
      </c>
    </row>
    <row r="41020" spans="1:6" x14ac:dyDescent="0.2">
      <c r="A41020" t="s">
        <v>62505</v>
      </c>
      <c r="B41020" t="s">
        <v>62519</v>
      </c>
      <c r="C41020" t="s">
        <v>1219</v>
      </c>
      <c r="D41020" t="s">
        <v>2303</v>
      </c>
      <c r="E41020" t="s">
        <v>38723</v>
      </c>
      <c r="F41020" s="2" t="str">
        <f>HYPERLINK("http://www.otzar.org/book.asp?21407","שיח יצחק")</f>
        <v>שיח יצחק</v>
      </c>
    </row>
    <row r="41021" spans="1:6" x14ac:dyDescent="0.2">
      <c r="A41021" t="s">
        <v>62516</v>
      </c>
      <c r="B41021" t="s">
        <v>62501</v>
      </c>
      <c r="C41021" t="s">
        <v>62520</v>
      </c>
      <c r="D41021" t="s">
        <v>1576</v>
      </c>
      <c r="F41021" s="2" t="str">
        <f>HYPERLINK("http://www.otzar.org/book.asp?611756","שיח יצחק - 2 כר'")</f>
        <v>שיח יצחק - 2 כר'</v>
      </c>
    </row>
    <row r="41022" spans="1:6" x14ac:dyDescent="0.2">
      <c r="A41022" t="s">
        <v>62521</v>
      </c>
      <c r="B41022" t="s">
        <v>62522</v>
      </c>
      <c r="C41022" t="s">
        <v>366</v>
      </c>
      <c r="D41022" t="s">
        <v>52</v>
      </c>
      <c r="E41022" t="s">
        <v>202</v>
      </c>
      <c r="F41022" s="2" t="str">
        <f>HYPERLINK("http://www.otzar.org/book.asp?626180","שיח יצחק - יבמות")</f>
        <v>שיח יצחק - יבמות</v>
      </c>
    </row>
    <row r="41023" spans="1:6" x14ac:dyDescent="0.2">
      <c r="A41023" t="s">
        <v>62516</v>
      </c>
      <c r="B41023" t="s">
        <v>19671</v>
      </c>
      <c r="C41023" t="s">
        <v>20</v>
      </c>
      <c r="D41023" t="s">
        <v>2458</v>
      </c>
      <c r="E41023" t="s">
        <v>714</v>
      </c>
      <c r="F41023" s="2" t="str">
        <f>HYPERLINK("http://www.otzar.org/book.asp?148904","שיח יצחק - 2 כר'")</f>
        <v>שיח יצחק - 2 כר'</v>
      </c>
    </row>
    <row r="41024" spans="1:6" x14ac:dyDescent="0.2">
      <c r="A41024" t="s">
        <v>62507</v>
      </c>
      <c r="B41024" t="s">
        <v>62523</v>
      </c>
      <c r="C41024" t="s">
        <v>62524</v>
      </c>
      <c r="D41024" t="s">
        <v>212</v>
      </c>
      <c r="E41024" t="s">
        <v>62525</v>
      </c>
      <c r="F41024" s="2" t="str">
        <f>HYPERLINK("http://www.otzar.org/book.asp?101787","שיח יצחק - 3 כר'")</f>
        <v>שיח יצחק - 3 כר'</v>
      </c>
    </row>
    <row r="41025" spans="1:6" x14ac:dyDescent="0.2">
      <c r="A41025" t="s">
        <v>62505</v>
      </c>
      <c r="B41025" t="s">
        <v>14044</v>
      </c>
      <c r="C41025" t="s">
        <v>1228</v>
      </c>
      <c r="D41025" t="s">
        <v>56</v>
      </c>
      <c r="E41025" t="s">
        <v>158</v>
      </c>
      <c r="F41025" s="2" t="str">
        <f>HYPERLINK("http://www.otzar.org/book.asp?24632","שיח יצחק")</f>
        <v>שיח יצחק</v>
      </c>
    </row>
    <row r="41026" spans="1:6" x14ac:dyDescent="0.2">
      <c r="A41026" t="s">
        <v>62505</v>
      </c>
      <c r="B41026" t="s">
        <v>62526</v>
      </c>
      <c r="C41026" t="s">
        <v>71</v>
      </c>
      <c r="D41026" t="s">
        <v>14</v>
      </c>
      <c r="E41026" t="s">
        <v>467</v>
      </c>
      <c r="F41026" s="2" t="str">
        <f>HYPERLINK("http://www.otzar.org/book.asp?152744","שיח יצחק")</f>
        <v>שיח יצחק</v>
      </c>
    </row>
    <row r="41027" spans="1:6" x14ac:dyDescent="0.2">
      <c r="A41027" t="s">
        <v>62505</v>
      </c>
      <c r="B41027" t="s">
        <v>12554</v>
      </c>
      <c r="C41027" t="s">
        <v>482</v>
      </c>
      <c r="D41027" t="s">
        <v>27</v>
      </c>
      <c r="F41027" s="2" t="str">
        <f>HYPERLINK("http://www.otzar.org/book.asp?610756","שיח יצחק")</f>
        <v>שיח יצחק</v>
      </c>
    </row>
    <row r="41028" spans="1:6" x14ac:dyDescent="0.2">
      <c r="A41028" t="s">
        <v>62527</v>
      </c>
      <c r="B41028" t="s">
        <v>24171</v>
      </c>
      <c r="C41028" t="s">
        <v>1706</v>
      </c>
      <c r="D41028" t="s">
        <v>27</v>
      </c>
      <c r="E41028" t="s">
        <v>219</v>
      </c>
      <c r="F41028" s="2" t="str">
        <f>HYPERLINK("http://www.otzar.org/book.asp?142387","שיח יצחק - כליל תפארת")</f>
        <v>שיח יצחק - כליל תפארת</v>
      </c>
    </row>
    <row r="41029" spans="1:6" x14ac:dyDescent="0.2">
      <c r="A41029" t="s">
        <v>62505</v>
      </c>
      <c r="B41029" t="s">
        <v>62528</v>
      </c>
      <c r="C41029" t="s">
        <v>1448</v>
      </c>
      <c r="D41029" t="s">
        <v>118</v>
      </c>
      <c r="E41029" t="s">
        <v>202</v>
      </c>
      <c r="F41029" s="2" t="str">
        <f>HYPERLINK("http://www.otzar.org/book.asp?83890","שיח יצחק")</f>
        <v>שיח יצחק</v>
      </c>
    </row>
    <row r="41030" spans="1:6" x14ac:dyDescent="0.2">
      <c r="A41030" t="s">
        <v>62507</v>
      </c>
      <c r="B41030" t="s">
        <v>62529</v>
      </c>
      <c r="C41030" t="s">
        <v>13</v>
      </c>
      <c r="D41030" t="s">
        <v>2285</v>
      </c>
      <c r="E41030" t="s">
        <v>15</v>
      </c>
      <c r="F41030" s="2" t="str">
        <f>HYPERLINK("http://www.otzar.org/book.asp?60050","שיח יצחק - 3 כר'")</f>
        <v>שיח יצחק - 3 כר'</v>
      </c>
    </row>
    <row r="41031" spans="1:6" x14ac:dyDescent="0.2">
      <c r="A41031" t="s">
        <v>62505</v>
      </c>
      <c r="B41031" t="s">
        <v>10255</v>
      </c>
      <c r="C41031" t="s">
        <v>62530</v>
      </c>
      <c r="D41031" t="s">
        <v>267</v>
      </c>
      <c r="E41031" t="s">
        <v>435</v>
      </c>
      <c r="F41031" s="2" t="str">
        <f>HYPERLINK("http://www.otzar.org/book.asp?103743","שיח יצחק")</f>
        <v>שיח יצחק</v>
      </c>
    </row>
    <row r="41032" spans="1:6" x14ac:dyDescent="0.2">
      <c r="A41032" t="s">
        <v>62531</v>
      </c>
      <c r="B41032" t="s">
        <v>62532</v>
      </c>
      <c r="C41032" t="s">
        <v>411</v>
      </c>
      <c r="D41032" t="s">
        <v>14</v>
      </c>
      <c r="E41032" t="s">
        <v>158</v>
      </c>
      <c r="F41032" s="2" t="str">
        <f>HYPERLINK("http://www.otzar.org/book.asp?167872","שיח ישראל")</f>
        <v>שיח ישראל</v>
      </c>
    </row>
    <row r="41033" spans="1:6" x14ac:dyDescent="0.2">
      <c r="A41033" t="s">
        <v>62533</v>
      </c>
      <c r="B41033" t="s">
        <v>24425</v>
      </c>
      <c r="C41033" t="s">
        <v>13</v>
      </c>
      <c r="D41033" t="s">
        <v>14</v>
      </c>
      <c r="E41033" t="s">
        <v>467</v>
      </c>
      <c r="F41033" s="2" t="str">
        <f>HYPERLINK("http://www.otzar.org/book.asp?147984","שיח ישראל - 2 כר'")</f>
        <v>שיח ישראל - 2 כר'</v>
      </c>
    </row>
    <row r="41034" spans="1:6" x14ac:dyDescent="0.2">
      <c r="A41034" t="s">
        <v>62534</v>
      </c>
      <c r="B41034" t="s">
        <v>16715</v>
      </c>
      <c r="C41034" t="s">
        <v>1811</v>
      </c>
      <c r="D41034" t="s">
        <v>52</v>
      </c>
      <c r="E41034" t="s">
        <v>154</v>
      </c>
      <c r="F41034" s="2" t="str">
        <f>HYPERLINK("http://www.otzar.org/book.asp?144822","שיח כהן - 3 כר'")</f>
        <v>שיח כהן - 3 כר'</v>
      </c>
    </row>
    <row r="41035" spans="1:6" x14ac:dyDescent="0.2">
      <c r="A41035" t="s">
        <v>62535</v>
      </c>
      <c r="B41035" t="s">
        <v>62536</v>
      </c>
      <c r="C41035" t="s">
        <v>129</v>
      </c>
      <c r="D41035" t="s">
        <v>52</v>
      </c>
      <c r="E41035" t="s">
        <v>144</v>
      </c>
      <c r="F41035" s="2" t="str">
        <f>HYPERLINK("http://www.otzar.org/book.asp?62944","שיח מנחם - 4 כר'")</f>
        <v>שיח מנחם - 4 כר'</v>
      </c>
    </row>
    <row r="41036" spans="1:6" x14ac:dyDescent="0.2">
      <c r="A41036" t="s">
        <v>62537</v>
      </c>
      <c r="B41036" t="s">
        <v>2914</v>
      </c>
      <c r="C41036" t="s">
        <v>767</v>
      </c>
      <c r="D41036" t="s">
        <v>14</v>
      </c>
      <c r="E41036" t="s">
        <v>28</v>
      </c>
      <c r="F41036" s="2" t="str">
        <f>HYPERLINK("http://www.otzar.org/book.asp?64280","שיח מנחמים")</f>
        <v>שיח מנחמים</v>
      </c>
    </row>
    <row r="41037" spans="1:6" x14ac:dyDescent="0.2">
      <c r="A41037" t="s">
        <v>62538</v>
      </c>
      <c r="B41037" t="s">
        <v>62539</v>
      </c>
      <c r="C41037" t="s">
        <v>767</v>
      </c>
      <c r="D41037" t="s">
        <v>52</v>
      </c>
      <c r="E41037" t="s">
        <v>10768</v>
      </c>
      <c r="F41037" s="2" t="str">
        <f>HYPERLINK("http://www.otzar.org/book.asp?154465","שיח מרדכי - קול יעקב")</f>
        <v>שיח מרדכי - קול יעקב</v>
      </c>
    </row>
    <row r="41038" spans="1:6" x14ac:dyDescent="0.2">
      <c r="A41038" t="s">
        <v>62540</v>
      </c>
      <c r="B41038" t="s">
        <v>62541</v>
      </c>
      <c r="C41038" t="s">
        <v>13</v>
      </c>
      <c r="D41038" t="s">
        <v>657</v>
      </c>
      <c r="E41038" t="s">
        <v>15</v>
      </c>
      <c r="F41038" s="2" t="str">
        <f>HYPERLINK("http://www.otzar.org/book.asp?85850","שיח מרדכי")</f>
        <v>שיח מרדכי</v>
      </c>
    </row>
    <row r="41039" spans="1:6" x14ac:dyDescent="0.2">
      <c r="A41039" t="s">
        <v>62542</v>
      </c>
      <c r="B41039" t="s">
        <v>62543</v>
      </c>
      <c r="C41039" t="s">
        <v>23</v>
      </c>
      <c r="D41039" t="s">
        <v>14</v>
      </c>
      <c r="E41039" t="s">
        <v>158</v>
      </c>
      <c r="F41039" s="2" t="str">
        <f>HYPERLINK("http://www.otzar.org/book.asp?610352","שיח מרדכי - 3 כר'")</f>
        <v>שיח מרדכי - 3 כר'</v>
      </c>
    </row>
    <row r="41040" spans="1:6" x14ac:dyDescent="0.2">
      <c r="A41040" t="s">
        <v>62544</v>
      </c>
      <c r="B41040" t="s">
        <v>62545</v>
      </c>
      <c r="C41040" t="s">
        <v>1570</v>
      </c>
      <c r="D41040" t="s">
        <v>14</v>
      </c>
      <c r="E41040" t="s">
        <v>62546</v>
      </c>
      <c r="F41040" s="2" t="str">
        <f>HYPERLINK("http://www.otzar.org/book.asp?9523","שיח משה")</f>
        <v>שיח משה</v>
      </c>
    </row>
    <row r="41041" spans="1:6" x14ac:dyDescent="0.2">
      <c r="A41041" t="s">
        <v>62547</v>
      </c>
      <c r="B41041" t="s">
        <v>62548</v>
      </c>
      <c r="C41041" t="s">
        <v>454</v>
      </c>
      <c r="D41041" t="s">
        <v>52</v>
      </c>
      <c r="E41041" t="s">
        <v>10</v>
      </c>
      <c r="F41041" s="2" t="str">
        <f>HYPERLINK("http://www.otzar.org/book.asp?159461","שיח משפט")</f>
        <v>שיח משפט</v>
      </c>
    </row>
    <row r="41042" spans="1:6" x14ac:dyDescent="0.2">
      <c r="A41042" t="s">
        <v>62549</v>
      </c>
      <c r="B41042" t="s">
        <v>41561</v>
      </c>
      <c r="C41042" t="s">
        <v>111</v>
      </c>
      <c r="D41042" t="s">
        <v>19282</v>
      </c>
      <c r="E41042" t="s">
        <v>140</v>
      </c>
      <c r="F41042" s="2" t="str">
        <f>HYPERLINK("http://www.otzar.org/book.asp?624891","שיח נחלים")</f>
        <v>שיח נחלים</v>
      </c>
    </row>
    <row r="41043" spans="1:6" x14ac:dyDescent="0.2">
      <c r="A41043" t="s">
        <v>62550</v>
      </c>
      <c r="B41043" t="s">
        <v>6795</v>
      </c>
      <c r="C41043" t="s">
        <v>1844</v>
      </c>
      <c r="D41043" t="s">
        <v>283</v>
      </c>
      <c r="E41043" t="s">
        <v>15</v>
      </c>
      <c r="F41043" s="2" t="str">
        <f>HYPERLINK("http://www.otzar.org/book.asp?22005","שיח סופר")</f>
        <v>שיח סופר</v>
      </c>
    </row>
    <row r="41044" spans="1:6" x14ac:dyDescent="0.2">
      <c r="A41044" t="s">
        <v>62551</v>
      </c>
      <c r="B41044" t="s">
        <v>27954</v>
      </c>
      <c r="E41044" t="s">
        <v>158</v>
      </c>
      <c r="F41044" s="2" t="str">
        <f>HYPERLINK("http://www.otzar.org/book.asp?625948","שיח ספונים - 5 כר'")</f>
        <v>שיח ספונים - 5 כר'</v>
      </c>
    </row>
    <row r="41045" spans="1:6" x14ac:dyDescent="0.2">
      <c r="A41045" t="s">
        <v>62552</v>
      </c>
      <c r="B41045" t="s">
        <v>62553</v>
      </c>
      <c r="C41045" t="s">
        <v>366</v>
      </c>
      <c r="D41045" t="s">
        <v>134</v>
      </c>
      <c r="F41045" s="2" t="str">
        <f>HYPERLINK("http://www.otzar.org/book.asp?613735","שיח ערב &lt;חידושי רבי שניאור&gt; - 7 כר'")</f>
        <v>שיח ערב &lt;חידושי רבי שניאור&gt; - 7 כר'</v>
      </c>
    </row>
    <row r="41046" spans="1:6" x14ac:dyDescent="0.2">
      <c r="A41046" t="s">
        <v>62554</v>
      </c>
      <c r="B41046" t="s">
        <v>62555</v>
      </c>
      <c r="C41046" t="s">
        <v>17</v>
      </c>
      <c r="D41046" t="s">
        <v>52</v>
      </c>
      <c r="E41046" t="s">
        <v>158</v>
      </c>
      <c r="F41046" s="2" t="str">
        <f>HYPERLINK("http://www.otzar.org/book.asp?159486","שיח פינו - 3 כר'")</f>
        <v>שיח פינו - 3 כר'</v>
      </c>
    </row>
    <row r="41047" spans="1:6" x14ac:dyDescent="0.2">
      <c r="A41047" t="s">
        <v>62556</v>
      </c>
      <c r="B41047" t="s">
        <v>62557</v>
      </c>
      <c r="C41047" t="s">
        <v>62558</v>
      </c>
      <c r="D41047" t="s">
        <v>62559</v>
      </c>
      <c r="E41047" t="s">
        <v>158</v>
      </c>
      <c r="F41047" s="2" t="str">
        <f>HYPERLINK("http://www.otzar.org/book.asp?191248","שיח פקדיך - בראשית")</f>
        <v>שיח פקדיך - בראשית</v>
      </c>
    </row>
    <row r="41048" spans="1:6" x14ac:dyDescent="0.2">
      <c r="A41048" t="s">
        <v>62560</v>
      </c>
      <c r="B41048" t="s">
        <v>39594</v>
      </c>
      <c r="C41048" t="s">
        <v>17</v>
      </c>
      <c r="D41048" t="s">
        <v>14</v>
      </c>
      <c r="E41048" t="s">
        <v>241</v>
      </c>
      <c r="F41048" s="2" t="str">
        <f>HYPERLINK("http://www.otzar.org/book.asp?171836","שיח פקודיך")</f>
        <v>שיח פקודיך</v>
      </c>
    </row>
    <row r="41049" spans="1:6" x14ac:dyDescent="0.2">
      <c r="A41049" t="s">
        <v>62561</v>
      </c>
      <c r="B41049" t="s">
        <v>8129</v>
      </c>
      <c r="C41049" t="s">
        <v>1246</v>
      </c>
      <c r="D41049" t="s">
        <v>563</v>
      </c>
      <c r="E41049" t="s">
        <v>18910</v>
      </c>
      <c r="F41049" s="2" t="str">
        <f>HYPERLINK("http://www.otzar.org/book.asp?12992","שיח צבי - 2 כר'")</f>
        <v>שיח צבי - 2 כר'</v>
      </c>
    </row>
    <row r="41050" spans="1:6" x14ac:dyDescent="0.2">
      <c r="A41050" t="s">
        <v>62562</v>
      </c>
      <c r="B41050" t="s">
        <v>26302</v>
      </c>
      <c r="C41050" t="s">
        <v>20</v>
      </c>
      <c r="D41050" t="s">
        <v>90</v>
      </c>
      <c r="E41050" t="s">
        <v>741</v>
      </c>
      <c r="F41050" s="2" t="str">
        <f>HYPERLINK("http://www.otzar.org/book.asp?158034","שיח צדיקים")</f>
        <v>שיח צדיקים</v>
      </c>
    </row>
    <row r="41051" spans="1:6" x14ac:dyDescent="0.2">
      <c r="A41051" t="s">
        <v>62563</v>
      </c>
      <c r="B41051" t="s">
        <v>62564</v>
      </c>
      <c r="C41051" t="s">
        <v>422</v>
      </c>
      <c r="D41051" t="s">
        <v>412</v>
      </c>
      <c r="E41051" t="s">
        <v>5144</v>
      </c>
      <c r="F41051" s="2" t="str">
        <f>HYPERLINK("http://www.otzar.org/book.asp?176048","שיח צדיקים - יומא דהלולא")</f>
        <v>שיח צדיקים - יומא דהלולא</v>
      </c>
    </row>
    <row r="41052" spans="1:6" x14ac:dyDescent="0.2">
      <c r="A41052" t="s">
        <v>62565</v>
      </c>
      <c r="B41052" t="s">
        <v>7870</v>
      </c>
      <c r="D41052" t="s">
        <v>412</v>
      </c>
      <c r="F41052" s="2" t="str">
        <f>HYPERLINK("http://www.otzar.org/book.asp?617951","שיח צדיקים - 11 כר'")</f>
        <v>שיח צדיקים - 11 כר'</v>
      </c>
    </row>
    <row r="41053" spans="1:6" x14ac:dyDescent="0.2">
      <c r="A41053" t="s">
        <v>62566</v>
      </c>
      <c r="B41053" t="s">
        <v>8609</v>
      </c>
      <c r="C41053" t="s">
        <v>37</v>
      </c>
      <c r="D41053" t="s">
        <v>14</v>
      </c>
      <c r="E41053" t="s">
        <v>104</v>
      </c>
      <c r="F41053" s="2" t="str">
        <f>HYPERLINK("http://www.otzar.org/book.asp?631242","שיח ציון")</f>
        <v>שיח ציון</v>
      </c>
    </row>
    <row r="41054" spans="1:6" x14ac:dyDescent="0.2">
      <c r="A41054" t="s">
        <v>62567</v>
      </c>
      <c r="B41054" t="s">
        <v>52474</v>
      </c>
      <c r="C41054" t="s">
        <v>71</v>
      </c>
      <c r="D41054" t="s">
        <v>14</v>
      </c>
      <c r="E41054" t="s">
        <v>104</v>
      </c>
      <c r="F41054" s="2" t="str">
        <f>HYPERLINK("http://www.otzar.org/book.asp?153671","שיח שבים")</f>
        <v>שיח שבים</v>
      </c>
    </row>
    <row r="41055" spans="1:6" x14ac:dyDescent="0.2">
      <c r="A41055" t="s">
        <v>62568</v>
      </c>
      <c r="B41055" t="s">
        <v>8270</v>
      </c>
      <c r="C41055" t="s">
        <v>624</v>
      </c>
      <c r="D41055" t="s">
        <v>14</v>
      </c>
      <c r="E41055" t="s">
        <v>474</v>
      </c>
      <c r="F41055" s="2" t="str">
        <f>HYPERLINK("http://www.otzar.org/book.asp?28236","שיח שדך")</f>
        <v>שיח שדך</v>
      </c>
    </row>
    <row r="41056" spans="1:6" x14ac:dyDescent="0.2">
      <c r="A41056" t="s">
        <v>62569</v>
      </c>
      <c r="B41056" t="s">
        <v>62570</v>
      </c>
      <c r="C41056" t="s">
        <v>87</v>
      </c>
      <c r="D41056" t="s">
        <v>14</v>
      </c>
      <c r="F41056" s="2" t="str">
        <f>HYPERLINK("http://www.otzar.org/book.asp?608920","שיח שולחן")</f>
        <v>שיח שולחן</v>
      </c>
    </row>
    <row r="41057" spans="1:6" x14ac:dyDescent="0.2">
      <c r="A41057" t="s">
        <v>62571</v>
      </c>
      <c r="B41057" t="s">
        <v>62572</v>
      </c>
      <c r="C41057" t="s">
        <v>383</v>
      </c>
      <c r="D41057" t="s">
        <v>14</v>
      </c>
      <c r="E41057" t="s">
        <v>202</v>
      </c>
      <c r="F41057" s="2" t="str">
        <f>HYPERLINK("http://www.otzar.org/book.asp?152239","שיח שושנים - 4 כר'")</f>
        <v>שיח שושנים - 4 כר'</v>
      </c>
    </row>
    <row r="41058" spans="1:6" x14ac:dyDescent="0.2">
      <c r="A41058" t="s">
        <v>62573</v>
      </c>
      <c r="B41058" t="s">
        <v>28093</v>
      </c>
      <c r="C41058" t="s">
        <v>13</v>
      </c>
      <c r="D41058" t="s">
        <v>14</v>
      </c>
      <c r="E41058" t="s">
        <v>15</v>
      </c>
      <c r="F41058" s="2" t="str">
        <f>HYPERLINK("http://www.otzar.org/book.asp?175878","שיח שישים - 2 כר'")</f>
        <v>שיח שישים - 2 כר'</v>
      </c>
    </row>
    <row r="41059" spans="1:6" x14ac:dyDescent="0.2">
      <c r="A41059" t="s">
        <v>62574</v>
      </c>
      <c r="B41059" t="s">
        <v>62575</v>
      </c>
      <c r="C41059" t="s">
        <v>151</v>
      </c>
      <c r="D41059" t="s">
        <v>90</v>
      </c>
      <c r="E41059" t="s">
        <v>246</v>
      </c>
      <c r="F41059" s="2" t="str">
        <f>HYPERLINK("http://www.otzar.org/book.asp?631119","שיח שלום - פורים")</f>
        <v>שיח שלום - פורים</v>
      </c>
    </row>
    <row r="41060" spans="1:6" x14ac:dyDescent="0.2">
      <c r="A41060" t="s">
        <v>62576</v>
      </c>
      <c r="B41060" t="s">
        <v>9253</v>
      </c>
      <c r="C41060" t="s">
        <v>146</v>
      </c>
      <c r="D41060" t="s">
        <v>14</v>
      </c>
      <c r="E41060" t="s">
        <v>158</v>
      </c>
      <c r="F41060" s="2" t="str">
        <f>HYPERLINK("http://www.otzar.org/book.asp?28177","שיח שלום")</f>
        <v>שיח שלום</v>
      </c>
    </row>
    <row r="41061" spans="1:6" x14ac:dyDescent="0.2">
      <c r="A41061" t="s">
        <v>62577</v>
      </c>
      <c r="B41061" t="s">
        <v>7360</v>
      </c>
      <c r="C41061" t="s">
        <v>133</v>
      </c>
      <c r="D41061" t="s">
        <v>412</v>
      </c>
      <c r="F41061" s="2" t="str">
        <f>HYPERLINK("http://www.otzar.org/book.asp?199168","שיח שלמה")</f>
        <v>שיח שלמה</v>
      </c>
    </row>
    <row r="41062" spans="1:6" x14ac:dyDescent="0.2">
      <c r="A41062" t="s">
        <v>62577</v>
      </c>
      <c r="B41062" t="s">
        <v>34179</v>
      </c>
      <c r="C41062" t="s">
        <v>37</v>
      </c>
      <c r="D41062" t="s">
        <v>14</v>
      </c>
      <c r="E41062" t="s">
        <v>15</v>
      </c>
      <c r="F41062" s="2" t="str">
        <f>HYPERLINK("http://www.otzar.org/book.asp?181777","שיח שלמה")</f>
        <v>שיח שלמה</v>
      </c>
    </row>
    <row r="41063" spans="1:6" x14ac:dyDescent="0.2">
      <c r="A41063" t="s">
        <v>62577</v>
      </c>
      <c r="B41063" t="s">
        <v>62578</v>
      </c>
      <c r="C41063" t="s">
        <v>2870</v>
      </c>
      <c r="D41063" t="s">
        <v>6785</v>
      </c>
      <c r="E41063" t="s">
        <v>234</v>
      </c>
      <c r="F41063" s="2" t="str">
        <f>HYPERLINK("http://www.otzar.org/book.asp?155772","שיח שלמה")</f>
        <v>שיח שלמה</v>
      </c>
    </row>
    <row r="41064" spans="1:6" x14ac:dyDescent="0.2">
      <c r="A41064" t="s">
        <v>62579</v>
      </c>
      <c r="B41064" t="s">
        <v>38053</v>
      </c>
      <c r="C41064" t="s">
        <v>37</v>
      </c>
      <c r="D41064" t="s">
        <v>52</v>
      </c>
      <c r="E41064" t="s">
        <v>144</v>
      </c>
      <c r="F41064" s="2" t="str">
        <f>HYPERLINK("http://www.otzar.org/book.asp?183388","שיח שלמה - על הש""ס")</f>
        <v>שיח שלמה - על הש"ס</v>
      </c>
    </row>
    <row r="41065" spans="1:6" x14ac:dyDescent="0.2">
      <c r="A41065" t="s">
        <v>62580</v>
      </c>
      <c r="B41065" t="s">
        <v>27854</v>
      </c>
      <c r="C41065" t="s">
        <v>454</v>
      </c>
      <c r="D41065" t="s">
        <v>3560</v>
      </c>
      <c r="E41065" t="s">
        <v>15</v>
      </c>
      <c r="F41065" s="2" t="str">
        <f>HYPERLINK("http://www.otzar.org/book.asp?157795","שיח שמואל - דיני שליח ציבור")</f>
        <v>שיח שמואל - דיני שליח ציבור</v>
      </c>
    </row>
    <row r="41066" spans="1:6" x14ac:dyDescent="0.2">
      <c r="A41066" t="s">
        <v>62581</v>
      </c>
      <c r="B41066" t="s">
        <v>20398</v>
      </c>
      <c r="C41066" t="s">
        <v>146</v>
      </c>
      <c r="D41066" t="s">
        <v>14</v>
      </c>
      <c r="E41066" t="s">
        <v>144</v>
      </c>
      <c r="F41066" s="2" t="str">
        <f>HYPERLINK("http://www.otzar.org/book.asp?161157","שיח שמואל - 2 כר'")</f>
        <v>שיח שמואל - 2 כר'</v>
      </c>
    </row>
    <row r="41067" spans="1:6" x14ac:dyDescent="0.2">
      <c r="A41067" t="s">
        <v>62582</v>
      </c>
      <c r="B41067" t="s">
        <v>20398</v>
      </c>
      <c r="C41067" t="s">
        <v>133</v>
      </c>
      <c r="D41067" t="s">
        <v>14</v>
      </c>
      <c r="E41067" t="s">
        <v>786</v>
      </c>
      <c r="F41067" s="2" t="str">
        <f>HYPERLINK("http://www.otzar.org/book.asp?626713","שיח שמועות")</f>
        <v>שיח שמועות</v>
      </c>
    </row>
    <row r="41068" spans="1:6" x14ac:dyDescent="0.2">
      <c r="A41068" t="s">
        <v>62583</v>
      </c>
      <c r="B41068" t="s">
        <v>62584</v>
      </c>
      <c r="C41068" t="s">
        <v>17</v>
      </c>
      <c r="D41068" t="s">
        <v>1156</v>
      </c>
      <c r="E41068" t="s">
        <v>714</v>
      </c>
      <c r="F41068" s="2" t="str">
        <f>HYPERLINK("http://www.otzar.org/book.asp?150488","שיח שפתותינו")</f>
        <v>שיח שפתותינו</v>
      </c>
    </row>
    <row r="41069" spans="1:6" x14ac:dyDescent="0.2">
      <c r="A41069" t="s">
        <v>62585</v>
      </c>
      <c r="B41069" t="s">
        <v>39772</v>
      </c>
      <c r="C41069" t="s">
        <v>87</v>
      </c>
      <c r="D41069" t="s">
        <v>14</v>
      </c>
      <c r="E41069" t="s">
        <v>140</v>
      </c>
      <c r="F41069" s="2" t="str">
        <f>HYPERLINK("http://www.otzar.org/book.asp?174250","שיח שרפי קודש &lt;ברסלב&gt; - 5 כר'")</f>
        <v>שיח שרפי קודש &lt;ברסלב&gt; - 5 כר'</v>
      </c>
    </row>
    <row r="41070" spans="1:6" x14ac:dyDescent="0.2">
      <c r="A41070" t="s">
        <v>62586</v>
      </c>
      <c r="B41070" t="s">
        <v>62587</v>
      </c>
      <c r="C41070" t="s">
        <v>31616</v>
      </c>
      <c r="D41070" t="s">
        <v>283</v>
      </c>
      <c r="E41070" t="s">
        <v>1185</v>
      </c>
      <c r="F41070" s="2" t="str">
        <f>HYPERLINK("http://www.otzar.org/book.asp?100772","שיח שרפי קודש - 8 כר'")</f>
        <v>שיח שרפי קודש - 8 כר'</v>
      </c>
    </row>
    <row r="41071" spans="1:6" x14ac:dyDescent="0.2">
      <c r="A41071" t="s">
        <v>62588</v>
      </c>
      <c r="B41071" t="s">
        <v>62589</v>
      </c>
      <c r="C41071" t="s">
        <v>419</v>
      </c>
      <c r="D41071" t="s">
        <v>52</v>
      </c>
      <c r="E41071" t="s">
        <v>186</v>
      </c>
      <c r="F41071" s="2" t="str">
        <f>HYPERLINK("http://www.otzar.org/book.asp?160039","שיח תורה - 2 כר'")</f>
        <v>שיח תורה - 2 כר'</v>
      </c>
    </row>
    <row r="41072" spans="1:6" x14ac:dyDescent="0.2">
      <c r="A41072" t="s">
        <v>62590</v>
      </c>
      <c r="B41072" t="s">
        <v>1549</v>
      </c>
      <c r="C41072" t="s">
        <v>111</v>
      </c>
      <c r="D41072" t="s">
        <v>14</v>
      </c>
      <c r="E41072" t="s">
        <v>15</v>
      </c>
      <c r="F41072" s="2" t="str">
        <f>HYPERLINK("http://www.otzar.org/book.asp?626997","שיח תפילה")</f>
        <v>שיח תפילה</v>
      </c>
    </row>
    <row r="41073" spans="1:6" x14ac:dyDescent="0.2">
      <c r="A41073" t="s">
        <v>62591</v>
      </c>
      <c r="B41073" t="s">
        <v>62592</v>
      </c>
      <c r="C41073" t="s">
        <v>20</v>
      </c>
      <c r="D41073" t="s">
        <v>90</v>
      </c>
      <c r="E41073" t="s">
        <v>24</v>
      </c>
      <c r="F41073" s="2" t="str">
        <f>HYPERLINK("http://www.otzar.org/book.asp?188494","שיח תפלה")</f>
        <v>שיח תפלה</v>
      </c>
    </row>
    <row r="41074" spans="1:6" x14ac:dyDescent="0.2">
      <c r="A41074" t="s">
        <v>62591</v>
      </c>
      <c r="B41074" t="s">
        <v>1750</v>
      </c>
      <c r="C41074" t="s">
        <v>466</v>
      </c>
      <c r="D41074" t="s">
        <v>14</v>
      </c>
      <c r="E41074" t="s">
        <v>15</v>
      </c>
      <c r="F41074" s="2" t="str">
        <f>HYPERLINK("http://www.otzar.org/book.asp?108638","שיח תפלה")</f>
        <v>שיח תפלה</v>
      </c>
    </row>
    <row r="41075" spans="1:6" x14ac:dyDescent="0.2">
      <c r="A41075" t="s">
        <v>62593</v>
      </c>
      <c r="B41075" t="s">
        <v>489</v>
      </c>
      <c r="C41075" t="s">
        <v>533</v>
      </c>
      <c r="D41075" t="s">
        <v>852</v>
      </c>
      <c r="E41075" t="s">
        <v>202</v>
      </c>
      <c r="F41075" s="2" t="str">
        <f>HYPERLINK("http://www.otzar.org/book.asp?602734","שיח - ב")</f>
        <v>שיח - ב</v>
      </c>
    </row>
    <row r="41076" spans="1:6" x14ac:dyDescent="0.2">
      <c r="A41076" t="s">
        <v>62594</v>
      </c>
      <c r="B41076" t="s">
        <v>49659</v>
      </c>
      <c r="C41076" t="s">
        <v>3635</v>
      </c>
      <c r="D41076" t="s">
        <v>744</v>
      </c>
      <c r="F41076" s="2" t="str">
        <f>HYPERLINK("http://www.otzar.org/book.asp?153071","שיחה בין שנת תק""ס ובין שנת תקס""א")</f>
        <v>שיחה בין שנת תק"ס ובין שנת תקס"א</v>
      </c>
    </row>
    <row r="41077" spans="1:6" x14ac:dyDescent="0.2">
      <c r="A41077" t="s">
        <v>62595</v>
      </c>
      <c r="B41077" t="s">
        <v>62596</v>
      </c>
      <c r="C41077" t="s">
        <v>37</v>
      </c>
      <c r="D41077" t="s">
        <v>14</v>
      </c>
      <c r="E41077" t="s">
        <v>474</v>
      </c>
      <c r="F41077" s="2" t="str">
        <f>HYPERLINK("http://www.otzar.org/book.asp?191303","שיחה נאה")</f>
        <v>שיחה נאה</v>
      </c>
    </row>
    <row r="41078" spans="1:6" x14ac:dyDescent="0.2">
      <c r="A41078" t="s">
        <v>62597</v>
      </c>
      <c r="B41078" t="s">
        <v>62598</v>
      </c>
      <c r="C41078" t="s">
        <v>888</v>
      </c>
      <c r="D41078" t="s">
        <v>379</v>
      </c>
      <c r="E41078" t="s">
        <v>104</v>
      </c>
      <c r="F41078" s="2" t="str">
        <f>HYPERLINK("http://www.otzar.org/book.asp?147018","שיחה תמימה")</f>
        <v>שיחה תמימה</v>
      </c>
    </row>
    <row r="41079" spans="1:6" x14ac:dyDescent="0.2">
      <c r="A41079" t="s">
        <v>62599</v>
      </c>
      <c r="B41079" t="s">
        <v>62600</v>
      </c>
      <c r="C41079" t="s">
        <v>366</v>
      </c>
      <c r="D41079" t="s">
        <v>14</v>
      </c>
      <c r="F41079" s="2" t="str">
        <f>HYPERLINK("http://www.otzar.org/book.asp?616170","שיחו לאמי - ר""ה והפיוטים")</f>
        <v>שיחו לאמי - ר"ה והפיוטים</v>
      </c>
    </row>
    <row r="41080" spans="1:6" x14ac:dyDescent="0.2">
      <c r="A41080" t="s">
        <v>62601</v>
      </c>
      <c r="B41080" t="s">
        <v>22152</v>
      </c>
      <c r="E41080" t="s">
        <v>104</v>
      </c>
      <c r="F41080" s="2" t="str">
        <f>HYPERLINK("http://www.otzar.org/book.asp?627908","שיחות בנושא שלום בית וחינוך - 2 כר'")</f>
        <v>שיחות בנושא שלום בית וחינוך - 2 כר'</v>
      </c>
    </row>
    <row r="41081" spans="1:6" x14ac:dyDescent="0.2">
      <c r="A41081" t="s">
        <v>62602</v>
      </c>
      <c r="B41081" t="s">
        <v>22152</v>
      </c>
      <c r="E41081" t="s">
        <v>104</v>
      </c>
      <c r="F41081" s="2" t="str">
        <f>HYPERLINK("http://www.otzar.org/book.asp?627911","שיחות בנושאי חינוך - 2 כר'")</f>
        <v>שיחות בנושאי חינוך - 2 כר'</v>
      </c>
    </row>
    <row r="41082" spans="1:6" x14ac:dyDescent="0.2">
      <c r="A41082" t="s">
        <v>62603</v>
      </c>
      <c r="B41082" t="s">
        <v>22053</v>
      </c>
      <c r="C41082" t="s">
        <v>20</v>
      </c>
      <c r="D41082" t="s">
        <v>90</v>
      </c>
      <c r="F41082" s="2" t="str">
        <f>HYPERLINK("http://www.otzar.org/book.asp?610280","שיחות הגר""ח קלופט - 6 כר'")</f>
        <v>שיחות הגר"ח קלופט - 6 כר'</v>
      </c>
    </row>
    <row r="41083" spans="1:6" x14ac:dyDescent="0.2">
      <c r="A41083" t="s">
        <v>62604</v>
      </c>
      <c r="B41083" t="s">
        <v>62605</v>
      </c>
      <c r="C41083" t="s">
        <v>244</v>
      </c>
      <c r="D41083" t="s">
        <v>52</v>
      </c>
      <c r="E41083" t="s">
        <v>104</v>
      </c>
      <c r="F41083" s="2" t="str">
        <f>HYPERLINK("http://www.otzar.org/book.asp?606527","שיחות הגר""ש ברעוודה - 11 כר'")</f>
        <v>שיחות הגר"ש ברעוודה - 11 כר'</v>
      </c>
    </row>
    <row r="41084" spans="1:6" x14ac:dyDescent="0.2">
      <c r="A41084" t="s">
        <v>62606</v>
      </c>
      <c r="B41084" t="s">
        <v>18040</v>
      </c>
      <c r="C41084" t="s">
        <v>482</v>
      </c>
      <c r="D41084" t="s">
        <v>52</v>
      </c>
      <c r="E41084" t="s">
        <v>104</v>
      </c>
      <c r="F41084" s="2" t="str">
        <f>HYPERLINK("http://www.otzar.org/book.asp?154623","שיחות הגרא""א דסלר - ב")</f>
        <v>שיחות הגרא"א דסלר - ב</v>
      </c>
    </row>
    <row r="41085" spans="1:6" x14ac:dyDescent="0.2">
      <c r="A41085" t="s">
        <v>62607</v>
      </c>
      <c r="B41085" t="s">
        <v>60369</v>
      </c>
      <c r="C41085" t="s">
        <v>151</v>
      </c>
      <c r="D41085" t="s">
        <v>14</v>
      </c>
      <c r="F41085" s="2" t="str">
        <f>HYPERLINK("http://www.otzar.org/book.asp?621804","שיחות הכנה לר""ה ויוה""כ")</f>
        <v>שיחות הכנה לר"ה ויוה"כ</v>
      </c>
    </row>
    <row r="41086" spans="1:6" x14ac:dyDescent="0.2">
      <c r="A41086" t="s">
        <v>62608</v>
      </c>
      <c r="B41086" t="s">
        <v>62609</v>
      </c>
      <c r="C41086" t="s">
        <v>146</v>
      </c>
      <c r="D41086" t="s">
        <v>52</v>
      </c>
      <c r="E41086" t="s">
        <v>104</v>
      </c>
      <c r="F41086" s="2" t="str">
        <f>HYPERLINK("http://www.otzar.org/book.asp?142985","שיחות המשגיח")</f>
        <v>שיחות המשגיח</v>
      </c>
    </row>
    <row r="41087" spans="1:6" x14ac:dyDescent="0.2">
      <c r="A41087" t="s">
        <v>62610</v>
      </c>
      <c r="B41087" t="s">
        <v>3849</v>
      </c>
      <c r="C41087" t="s">
        <v>68</v>
      </c>
      <c r="D41087" t="s">
        <v>14</v>
      </c>
      <c r="E41087" t="s">
        <v>104</v>
      </c>
      <c r="F41087" s="2" t="str">
        <f>HYPERLINK("http://www.otzar.org/book.asp?161066","שיחות הסבא מסלבודקה &lt;מהדורת הרב יקותיאל כהן&gt; - 2 כר'")</f>
        <v>שיחות הסבא מסלבודקה &lt;מהדורת הרב יקותיאל כהן&gt; - 2 כר'</v>
      </c>
    </row>
    <row r="41088" spans="1:6" x14ac:dyDescent="0.2">
      <c r="A41088" t="s">
        <v>62611</v>
      </c>
      <c r="B41088" t="s">
        <v>3849</v>
      </c>
      <c r="C41088" t="s">
        <v>1246</v>
      </c>
      <c r="D41088" t="s">
        <v>260</v>
      </c>
      <c r="E41088" t="s">
        <v>104</v>
      </c>
      <c r="F41088" s="2" t="str">
        <f>HYPERLINK("http://www.otzar.org/book.asp?149029","שיחות הסבא מסלבודקה")</f>
        <v>שיחות הסבא מסלבודקה</v>
      </c>
    </row>
    <row r="41089" spans="1:6" x14ac:dyDescent="0.2">
      <c r="A41089" t="s">
        <v>62612</v>
      </c>
      <c r="B41089" t="s">
        <v>26000</v>
      </c>
      <c r="C41089" t="s">
        <v>20</v>
      </c>
      <c r="D41089" t="s">
        <v>14</v>
      </c>
      <c r="E41089" t="s">
        <v>140</v>
      </c>
      <c r="F41089" s="2" t="str">
        <f>HYPERLINK("http://www.otzar.org/book.asp?165406","שיחות הר""ן &lt;המנוקד&gt;")</f>
        <v>שיחות הר"ן &lt;המנוקד&gt;</v>
      </c>
    </row>
    <row r="41090" spans="1:6" x14ac:dyDescent="0.2">
      <c r="A41090" t="s">
        <v>62613</v>
      </c>
      <c r="B41090" t="s">
        <v>26000</v>
      </c>
      <c r="C41090" t="s">
        <v>176</v>
      </c>
      <c r="D41090" t="s">
        <v>14</v>
      </c>
      <c r="E41090" t="s">
        <v>2010</v>
      </c>
      <c r="F41090" s="2" t="str">
        <f>HYPERLINK("http://www.otzar.org/book.asp?60846","שיחות הר""ן")</f>
        <v>שיחות הר"ן</v>
      </c>
    </row>
    <row r="41091" spans="1:6" x14ac:dyDescent="0.2">
      <c r="A41091" t="s">
        <v>62614</v>
      </c>
      <c r="B41091" t="s">
        <v>2396</v>
      </c>
      <c r="C41091" t="s">
        <v>189</v>
      </c>
      <c r="D41091" t="s">
        <v>1076</v>
      </c>
      <c r="E41091" t="s">
        <v>165</v>
      </c>
      <c r="F41091" s="2" t="str">
        <f>HYPERLINK("http://www.otzar.org/book.asp?165246","שיחות הרב דב קוק")</f>
        <v>שיחות הרב דב קוק</v>
      </c>
    </row>
    <row r="41092" spans="1:6" x14ac:dyDescent="0.2">
      <c r="A41092" t="s">
        <v>62615</v>
      </c>
      <c r="B41092" t="s">
        <v>3834</v>
      </c>
      <c r="C41092" t="s">
        <v>133</v>
      </c>
      <c r="D41092" t="s">
        <v>14</v>
      </c>
      <c r="E41092" t="s">
        <v>213</v>
      </c>
      <c r="F41092" s="2" t="str">
        <f>HYPERLINK("http://www.otzar.org/book.asp?600780","שיחות הרב זמיר כהן - האדם ועולמו")</f>
        <v>שיחות הרב זמיר כהן - האדם ועולמו</v>
      </c>
    </row>
    <row r="41093" spans="1:6" x14ac:dyDescent="0.2">
      <c r="A41093" t="s">
        <v>62616</v>
      </c>
      <c r="B41093" t="s">
        <v>62617</v>
      </c>
      <c r="C41093" t="s">
        <v>146</v>
      </c>
      <c r="D41093" t="s">
        <v>14</v>
      </c>
      <c r="E41093" t="s">
        <v>213</v>
      </c>
      <c r="F41093" s="2" t="str">
        <f>HYPERLINK("http://www.otzar.org/book.asp?62778","שיחות התחזקות  - דיון לכף זכות")</f>
        <v>שיחות התחזקות  - דיון לכף זכות</v>
      </c>
    </row>
    <row r="41094" spans="1:6" x14ac:dyDescent="0.2">
      <c r="A41094" t="s">
        <v>62618</v>
      </c>
      <c r="B41094" t="s">
        <v>27686</v>
      </c>
      <c r="C41094" t="s">
        <v>189</v>
      </c>
      <c r="D41094" t="s">
        <v>14</v>
      </c>
      <c r="F41094" s="2" t="str">
        <f>HYPERLINK("http://www.otzar.org/book.asp?612115","שיחות התעוררות - ימים נוראים")</f>
        <v>שיחות התעוררות - ימים נוראים</v>
      </c>
    </row>
    <row r="41095" spans="1:6" x14ac:dyDescent="0.2">
      <c r="A41095" t="s">
        <v>62619</v>
      </c>
      <c r="B41095" t="s">
        <v>28916</v>
      </c>
      <c r="C41095" t="s">
        <v>1570</v>
      </c>
      <c r="D41095" t="s">
        <v>14</v>
      </c>
      <c r="F41095" s="2" t="str">
        <f>HYPERLINK("http://www.otzar.org/book.asp?610774","שיחות והתעוררות")</f>
        <v>שיחות והתעוררות</v>
      </c>
    </row>
    <row r="41096" spans="1:6" x14ac:dyDescent="0.2">
      <c r="A41096" t="s">
        <v>62620</v>
      </c>
      <c r="B41096" t="s">
        <v>2861</v>
      </c>
      <c r="C41096" t="s">
        <v>71</v>
      </c>
      <c r="D41096" t="s">
        <v>52</v>
      </c>
      <c r="E41096" t="s">
        <v>3638</v>
      </c>
      <c r="F41096" s="2" t="str">
        <f>HYPERLINK("http://www.otzar.org/book.asp?144705","שיחות ומאמרי קודש - 2 כר'")</f>
        <v>שיחות ומאמרי קודש - 2 כר'</v>
      </c>
    </row>
    <row r="41097" spans="1:6" x14ac:dyDescent="0.2">
      <c r="A41097" t="s">
        <v>62621</v>
      </c>
      <c r="B41097" t="s">
        <v>18040</v>
      </c>
      <c r="C41097" t="s">
        <v>482</v>
      </c>
      <c r="D41097" t="s">
        <v>52</v>
      </c>
      <c r="E41097" t="s">
        <v>213</v>
      </c>
      <c r="F41097" s="2" t="str">
        <f>HYPERLINK("http://www.otzar.org/book.asp?7297","שיחות ומאמרים")</f>
        <v>שיחות ומאמרים</v>
      </c>
    </row>
    <row r="41098" spans="1:6" x14ac:dyDescent="0.2">
      <c r="A41098" t="s">
        <v>62622</v>
      </c>
      <c r="B41098" t="s">
        <v>2074</v>
      </c>
      <c r="C41098" t="s">
        <v>133</v>
      </c>
      <c r="D41098" t="s">
        <v>14</v>
      </c>
      <c r="E41098" t="s">
        <v>564</v>
      </c>
      <c r="F41098" s="2" t="str">
        <f>HYPERLINK("http://www.otzar.org/book.asp?170096","שיחות ומאמרים - 2 כר'")</f>
        <v>שיחות ומאמרים - 2 כר'</v>
      </c>
    </row>
    <row r="41099" spans="1:6" x14ac:dyDescent="0.2">
      <c r="A41099" t="s">
        <v>62623</v>
      </c>
      <c r="B41099" t="s">
        <v>3727</v>
      </c>
      <c r="C41099" t="s">
        <v>103</v>
      </c>
      <c r="D41099" t="s">
        <v>52</v>
      </c>
      <c r="F41099" s="2" t="str">
        <f>HYPERLINK("http://www.otzar.org/book.asp?613231","שיחות ושיעורי המשגיח - 6 כר'")</f>
        <v>שיחות ושיעורי המשגיח - 6 כר'</v>
      </c>
    </row>
    <row r="41100" spans="1:6" x14ac:dyDescent="0.2">
      <c r="A41100" t="s">
        <v>62624</v>
      </c>
      <c r="B41100" t="s">
        <v>62625</v>
      </c>
      <c r="C41100" t="s">
        <v>366</v>
      </c>
      <c r="D41100" t="s">
        <v>412</v>
      </c>
      <c r="E41100" t="s">
        <v>104</v>
      </c>
      <c r="F41100" s="2" t="str">
        <f>HYPERLINK("http://www.otzar.org/book.asp?607636","שיחות חביבין")</f>
        <v>שיחות חביבין</v>
      </c>
    </row>
    <row r="41101" spans="1:6" x14ac:dyDescent="0.2">
      <c r="A41101" t="s">
        <v>62626</v>
      </c>
      <c r="B41101" t="s">
        <v>3035</v>
      </c>
      <c r="C41101" t="s">
        <v>160</v>
      </c>
      <c r="D41101" t="s">
        <v>9224</v>
      </c>
      <c r="E41101" t="s">
        <v>3261</v>
      </c>
      <c r="F41101" s="2" t="str">
        <f>HYPERLINK("http://www.otzar.org/book.asp?11962","שיחות חולין של ת""ח החדש")</f>
        <v>שיחות חולין של ת"ח החדש</v>
      </c>
    </row>
    <row r="41102" spans="1:6" x14ac:dyDescent="0.2">
      <c r="A41102" t="s">
        <v>62627</v>
      </c>
      <c r="B41102" t="s">
        <v>7942</v>
      </c>
      <c r="C41102" t="s">
        <v>68</v>
      </c>
      <c r="D41102" t="s">
        <v>2798</v>
      </c>
      <c r="E41102" t="s">
        <v>158</v>
      </c>
      <c r="F41102" s="2" t="str">
        <f>HYPERLINK("http://www.otzar.org/book.asp?157427","שיחות חיזוק - 5 כר'")</f>
        <v>שיחות חיזוק - 5 כר'</v>
      </c>
    </row>
    <row r="41103" spans="1:6" x14ac:dyDescent="0.2">
      <c r="A41103" t="s">
        <v>62628</v>
      </c>
      <c r="B41103" t="s">
        <v>62629</v>
      </c>
      <c r="C41103" t="s">
        <v>366</v>
      </c>
      <c r="D41103" t="s">
        <v>14</v>
      </c>
      <c r="F41103" s="2" t="str">
        <f>HYPERLINK("http://www.otzar.org/book.asp?612406","שיחות חיזוק - אלול -תשרי")</f>
        <v>שיחות חיזוק - אלול -תשרי</v>
      </c>
    </row>
    <row r="41104" spans="1:6" x14ac:dyDescent="0.2">
      <c r="A41104" t="s">
        <v>62630</v>
      </c>
      <c r="B41104" t="s">
        <v>38907</v>
      </c>
      <c r="C41104" t="s">
        <v>129</v>
      </c>
      <c r="D41104" t="s">
        <v>52</v>
      </c>
      <c r="E41104" t="s">
        <v>104</v>
      </c>
      <c r="F41104" s="2" t="str">
        <f>HYPERLINK("http://www.otzar.org/book.asp?85143","שיחות חיים")</f>
        <v>שיחות חיים</v>
      </c>
    </row>
    <row r="41105" spans="1:6" x14ac:dyDescent="0.2">
      <c r="A41105" t="s">
        <v>62630</v>
      </c>
      <c r="B41105" t="s">
        <v>62631</v>
      </c>
      <c r="C41105" t="s">
        <v>473</v>
      </c>
      <c r="D41105" t="s">
        <v>225</v>
      </c>
      <c r="E41105" t="s">
        <v>140</v>
      </c>
      <c r="F41105" s="2" t="str">
        <f>HYPERLINK("http://www.otzar.org/book.asp?6438","שיחות חיים")</f>
        <v>שיחות חיים</v>
      </c>
    </row>
    <row r="41106" spans="1:6" x14ac:dyDescent="0.2">
      <c r="A41106" t="s">
        <v>62632</v>
      </c>
      <c r="B41106" t="s">
        <v>62633</v>
      </c>
      <c r="C41106" t="s">
        <v>624</v>
      </c>
      <c r="D41106" t="s">
        <v>14</v>
      </c>
      <c r="F41106" s="2" t="str">
        <f>HYPERLINK("http://www.otzar.org/book.asp?153323","שיחות חכמה ומוסר - 4 כר'")</f>
        <v>שיחות חכמה ומוסר - 4 כר'</v>
      </c>
    </row>
    <row r="41107" spans="1:6" x14ac:dyDescent="0.2">
      <c r="A41107" t="s">
        <v>62634</v>
      </c>
      <c r="B41107" t="s">
        <v>3759</v>
      </c>
      <c r="C41107" t="s">
        <v>812</v>
      </c>
      <c r="D41107" t="s">
        <v>260</v>
      </c>
      <c r="E41107" t="s">
        <v>104</v>
      </c>
      <c r="F41107" s="2" t="str">
        <f>HYPERLINK("http://www.otzar.org/book.asp?106371","שיחות חכמים - 2 כר'")</f>
        <v>שיחות חכמים - 2 כר'</v>
      </c>
    </row>
    <row r="41108" spans="1:6" x14ac:dyDescent="0.2">
      <c r="A41108" t="s">
        <v>62635</v>
      </c>
      <c r="B41108" t="s">
        <v>2516</v>
      </c>
      <c r="C41108" t="s">
        <v>99</v>
      </c>
      <c r="D41108" t="s">
        <v>1566</v>
      </c>
      <c r="F41108" s="2" t="str">
        <f>HYPERLINK("http://www.otzar.org/book.asp?608914","שיחות חכמים")</f>
        <v>שיחות חכמים</v>
      </c>
    </row>
    <row r="41109" spans="1:6" x14ac:dyDescent="0.2">
      <c r="A41109" t="s">
        <v>62636</v>
      </c>
      <c r="B41109" t="s">
        <v>62637</v>
      </c>
      <c r="C41109" t="s">
        <v>1904</v>
      </c>
      <c r="D41109" t="s">
        <v>1966</v>
      </c>
      <c r="E41109" t="s">
        <v>741</v>
      </c>
      <c r="F41109" s="2" t="str">
        <f>HYPERLINK("http://www.otzar.org/book.asp?20711","שיחות יקרים")</f>
        <v>שיחות יקרים</v>
      </c>
    </row>
    <row r="41110" spans="1:6" x14ac:dyDescent="0.2">
      <c r="A41110" t="s">
        <v>62638</v>
      </c>
      <c r="B41110" t="s">
        <v>62639</v>
      </c>
      <c r="C41110" t="s">
        <v>68</v>
      </c>
      <c r="D41110" t="s">
        <v>90</v>
      </c>
      <c r="E41110" t="s">
        <v>2071</v>
      </c>
      <c r="F41110" s="2" t="str">
        <f>HYPERLINK("http://www.otzar.org/book.asp?606346","שיחות לוי")</f>
        <v>שיחות לוי</v>
      </c>
    </row>
    <row r="41111" spans="1:6" x14ac:dyDescent="0.2">
      <c r="A41111" t="s">
        <v>62640</v>
      </c>
      <c r="B41111" t="s">
        <v>9598</v>
      </c>
      <c r="C41111" t="s">
        <v>785</v>
      </c>
      <c r="D41111" t="s">
        <v>118</v>
      </c>
      <c r="E41111" t="s">
        <v>573</v>
      </c>
      <c r="F41111" s="2" t="str">
        <f>HYPERLINK("http://www.otzar.org/book.asp?12860","שיחות לספר - 5 כר'")</f>
        <v>שיחות לספר - 5 כר'</v>
      </c>
    </row>
    <row r="41112" spans="1:6" x14ac:dyDescent="0.2">
      <c r="A41112" t="s">
        <v>62641</v>
      </c>
      <c r="B41112" t="s">
        <v>62642</v>
      </c>
      <c r="C41112" t="s">
        <v>37</v>
      </c>
      <c r="D41112" t="s">
        <v>14</v>
      </c>
      <c r="F41112" s="2" t="str">
        <f>HYPERLINK("http://www.otzar.org/book.asp?197071","שיחות מהרלוי""צ")</f>
        <v>שיחות מהרלוי"צ</v>
      </c>
    </row>
    <row r="41113" spans="1:6" x14ac:dyDescent="0.2">
      <c r="A41113" t="s">
        <v>62643</v>
      </c>
      <c r="B41113" t="s">
        <v>2885</v>
      </c>
      <c r="C41113" t="s">
        <v>143</v>
      </c>
      <c r="D41113" t="s">
        <v>14</v>
      </c>
      <c r="E41113" t="s">
        <v>741</v>
      </c>
      <c r="F41113" s="2" t="str">
        <f>HYPERLINK("http://www.otzar.org/book.asp?60813","שיחות מוהרא""ש - 15 כר'")</f>
        <v>שיחות מוהרא"ש - 15 כר'</v>
      </c>
    </row>
    <row r="41114" spans="1:6" x14ac:dyDescent="0.2">
      <c r="A41114" t="s">
        <v>62644</v>
      </c>
      <c r="B41114" t="s">
        <v>44877</v>
      </c>
      <c r="C41114" t="s">
        <v>17</v>
      </c>
      <c r="D41114" t="s">
        <v>486</v>
      </c>
      <c r="E41114" t="s">
        <v>213</v>
      </c>
      <c r="F41114" s="2" t="str">
        <f>HYPERLINK("http://www.otzar.org/book.asp?154508","שיחות מוסר דעת ותבונה")</f>
        <v>שיחות מוסר דעת ותבונה</v>
      </c>
    </row>
    <row r="41115" spans="1:6" x14ac:dyDescent="0.2">
      <c r="A41115" t="s">
        <v>62645</v>
      </c>
      <c r="B41115" t="s">
        <v>2802</v>
      </c>
      <c r="C41115" t="s">
        <v>71</v>
      </c>
      <c r="D41115" t="s">
        <v>14970</v>
      </c>
      <c r="F41115" s="2" t="str">
        <f>HYPERLINK("http://www.otzar.org/book.asp?618767","שיחות מוסר ומאמרים על הסה""ק לקו""מ מיוסדים - ב")</f>
        <v>שיחות מוסר ומאמרים על הסה"ק לקו"מ מיוסדים - ב</v>
      </c>
    </row>
    <row r="41116" spans="1:6" x14ac:dyDescent="0.2">
      <c r="A41116" t="s">
        <v>62646</v>
      </c>
      <c r="B41116" t="s">
        <v>2802</v>
      </c>
      <c r="C41116" t="s">
        <v>146</v>
      </c>
      <c r="D41116" t="s">
        <v>90</v>
      </c>
      <c r="E41116" t="s">
        <v>140</v>
      </c>
      <c r="F41116" s="2" t="str">
        <f>HYPERLINK("http://www.otzar.org/book.asp?51992","שיחות מוסר על לקו""מ")</f>
        <v>שיחות מוסר על לקו"מ</v>
      </c>
    </row>
    <row r="41117" spans="1:6" x14ac:dyDescent="0.2">
      <c r="A41117" t="s">
        <v>62647</v>
      </c>
      <c r="B41117" t="s">
        <v>62648</v>
      </c>
      <c r="C41117" t="s">
        <v>143</v>
      </c>
      <c r="D41117" t="s">
        <v>412</v>
      </c>
      <c r="E41117" t="s">
        <v>213</v>
      </c>
      <c r="F41117" s="2" t="str">
        <f>HYPERLINK("http://www.otzar.org/book.asp?602068","שיחות מוסר - 2 כר'")</f>
        <v>שיחות מוסר - 2 כר'</v>
      </c>
    </row>
    <row r="41118" spans="1:6" x14ac:dyDescent="0.2">
      <c r="A41118" t="s">
        <v>62649</v>
      </c>
      <c r="B41118" t="s">
        <v>54859</v>
      </c>
      <c r="C41118" t="s">
        <v>334</v>
      </c>
      <c r="D41118" t="s">
        <v>229</v>
      </c>
      <c r="E41118" t="s">
        <v>213</v>
      </c>
      <c r="F41118" s="2" t="str">
        <f>HYPERLINK("http://www.otzar.org/book.asp?601298","שיחות מוסר")</f>
        <v>שיחות מוסר</v>
      </c>
    </row>
    <row r="41119" spans="1:6" x14ac:dyDescent="0.2">
      <c r="A41119" t="s">
        <v>62649</v>
      </c>
      <c r="B41119" t="s">
        <v>62650</v>
      </c>
      <c r="C41119" t="s">
        <v>176</v>
      </c>
      <c r="D41119" t="s">
        <v>90</v>
      </c>
      <c r="F41119" s="2" t="str">
        <f>HYPERLINK("http://www.otzar.org/book.asp?612008","שיחות מוסר")</f>
        <v>שיחות מוסר</v>
      </c>
    </row>
    <row r="41120" spans="1:6" x14ac:dyDescent="0.2">
      <c r="A41120" t="s">
        <v>62651</v>
      </c>
      <c r="B41120" t="s">
        <v>14381</v>
      </c>
      <c r="C41120" t="s">
        <v>146</v>
      </c>
      <c r="D41120" t="s">
        <v>52</v>
      </c>
      <c r="E41120" t="s">
        <v>104</v>
      </c>
      <c r="F41120" s="2" t="str">
        <f>HYPERLINK("http://www.otzar.org/book.asp?173273","שיחות מלוה מלכה - 4 כר'")</f>
        <v>שיחות מלוה מלכה - 4 כר'</v>
      </c>
    </row>
    <row r="41121" spans="1:6" x14ac:dyDescent="0.2">
      <c r="A41121" t="s">
        <v>62652</v>
      </c>
      <c r="B41121" t="s">
        <v>62653</v>
      </c>
      <c r="C41121" t="s">
        <v>422</v>
      </c>
      <c r="D41121" t="s">
        <v>245</v>
      </c>
      <c r="E41121" t="s">
        <v>158</v>
      </c>
      <c r="F41121" s="2" t="str">
        <f>HYPERLINK("http://www.otzar.org/book.asp?63988","שיחות מרדכי")</f>
        <v>שיחות מרדכי</v>
      </c>
    </row>
    <row r="41122" spans="1:6" x14ac:dyDescent="0.2">
      <c r="A41122" t="s">
        <v>62654</v>
      </c>
      <c r="B41122" t="s">
        <v>41676</v>
      </c>
      <c r="C41122" t="s">
        <v>151</v>
      </c>
      <c r="D41122" t="s">
        <v>2504</v>
      </c>
      <c r="E41122" t="s">
        <v>158</v>
      </c>
      <c r="F41122" s="2" t="str">
        <f>HYPERLINK("http://www.otzar.org/book.asp?621905","שיחות עבודת לוי")</f>
        <v>שיחות עבודת לוי</v>
      </c>
    </row>
    <row r="41123" spans="1:6" x14ac:dyDescent="0.2">
      <c r="A41123" t="s">
        <v>62655</v>
      </c>
      <c r="B41123" t="s">
        <v>21460</v>
      </c>
      <c r="C41123" t="s">
        <v>87</v>
      </c>
      <c r="D41123" t="s">
        <v>5421</v>
      </c>
      <c r="E41123" t="s">
        <v>213</v>
      </c>
      <c r="F41123" s="2" t="str">
        <f>HYPERLINK("http://www.otzar.org/book.asp?150185","שיחות על אחדות ישראל")</f>
        <v>שיחות על אחדות ישראל</v>
      </c>
    </row>
    <row r="41124" spans="1:6" x14ac:dyDescent="0.2">
      <c r="A41124" t="s">
        <v>62656</v>
      </c>
      <c r="B41124" t="s">
        <v>22576</v>
      </c>
      <c r="C41124" t="s">
        <v>20</v>
      </c>
      <c r="D41124" t="s">
        <v>90</v>
      </c>
      <c r="E41124" t="s">
        <v>165</v>
      </c>
      <c r="F41124" s="2" t="str">
        <f>HYPERLINK("http://www.otzar.org/book.asp?168414","שיחות על פסח ויציאת מצרים")</f>
        <v>שיחות על פסח ויציאת מצרים</v>
      </c>
    </row>
    <row r="41125" spans="1:6" x14ac:dyDescent="0.2">
      <c r="A41125" t="s">
        <v>62657</v>
      </c>
      <c r="B41125" t="s">
        <v>62658</v>
      </c>
      <c r="C41125" t="s">
        <v>13</v>
      </c>
      <c r="D41125" t="s">
        <v>14</v>
      </c>
      <c r="E41125" t="s">
        <v>104</v>
      </c>
      <c r="F41125" s="2" t="str">
        <f>HYPERLINK("http://www.otzar.org/book.asp?160912","שיחות קודש ופרקי זכרון - ויזניץ")</f>
        <v>שיחות קודש ופרקי זכרון - ויזניץ</v>
      </c>
    </row>
    <row r="41126" spans="1:6" x14ac:dyDescent="0.2">
      <c r="A41126" t="s">
        <v>62659</v>
      </c>
      <c r="B41126" t="s">
        <v>1393</v>
      </c>
      <c r="C41126" t="s">
        <v>313</v>
      </c>
      <c r="D41126" t="s">
        <v>14</v>
      </c>
      <c r="E41126" t="s">
        <v>104</v>
      </c>
      <c r="F41126" s="2" t="str">
        <f>HYPERLINK("http://www.otzar.org/book.asp?167936","שיחות קודש")</f>
        <v>שיחות קודש</v>
      </c>
    </row>
    <row r="41127" spans="1:6" x14ac:dyDescent="0.2">
      <c r="A41127" t="s">
        <v>62660</v>
      </c>
      <c r="B41127" t="s">
        <v>62661</v>
      </c>
      <c r="C41127" t="s">
        <v>1663</v>
      </c>
      <c r="D41127" t="s">
        <v>260</v>
      </c>
      <c r="E41127" t="s">
        <v>158</v>
      </c>
      <c r="F41127" s="2" t="str">
        <f>HYPERLINK("http://www.otzar.org/book.asp?14260","שיחות רא""ם")</f>
        <v>שיחות רא"ם</v>
      </c>
    </row>
    <row r="41128" spans="1:6" x14ac:dyDescent="0.2">
      <c r="A41128" t="s">
        <v>62662</v>
      </c>
      <c r="B41128" t="s">
        <v>62663</v>
      </c>
      <c r="C41128" t="s">
        <v>151</v>
      </c>
      <c r="D41128" t="s">
        <v>14</v>
      </c>
      <c r="F41128" s="2" t="str">
        <f>HYPERLINK("http://www.otzar.org/book.asp?611116","שיחות רבי נתן צבי - 2 כר'")</f>
        <v>שיחות רבי נתן צבי - 2 כר'</v>
      </c>
    </row>
    <row r="41129" spans="1:6" x14ac:dyDescent="0.2">
      <c r="A41129" t="s">
        <v>62664</v>
      </c>
      <c r="B41129" t="s">
        <v>11486</v>
      </c>
      <c r="C41129" t="s">
        <v>129</v>
      </c>
      <c r="D41129" t="s">
        <v>2383</v>
      </c>
      <c r="E41129" t="s">
        <v>213</v>
      </c>
      <c r="F41129" s="2" t="str">
        <f>HYPERLINK("http://www.otzar.org/book.asp?61350","שיחות רבי ראובן")</f>
        <v>שיחות רבי ראובן</v>
      </c>
    </row>
    <row r="41130" spans="1:6" x14ac:dyDescent="0.2">
      <c r="A41130" t="s">
        <v>62665</v>
      </c>
      <c r="B41130" t="s">
        <v>12085</v>
      </c>
      <c r="C41130" t="s">
        <v>454</v>
      </c>
      <c r="D41130" t="s">
        <v>14</v>
      </c>
      <c r="E41130" t="s">
        <v>3798</v>
      </c>
      <c r="F41130" s="2" t="str">
        <f>HYPERLINK("http://www.otzar.org/book.asp?26285","שיחות רבי שמשון דוד פינקוס זצ""ל - 8 כר'")</f>
        <v>שיחות רבי שמשון דוד פינקוס זצ"ל - 8 כר'</v>
      </c>
    </row>
    <row r="41131" spans="1:6" x14ac:dyDescent="0.2">
      <c r="A41131" t="s">
        <v>62666</v>
      </c>
      <c r="B41131" t="s">
        <v>62667</v>
      </c>
      <c r="C41131" t="s">
        <v>37</v>
      </c>
      <c r="D41131" t="s">
        <v>44574</v>
      </c>
      <c r="F41131" s="2" t="str">
        <f>HYPERLINK("http://www.otzar.org/book.asp?611039","שיחות שובבי""ם")</f>
        <v>שיחות שובבי"ם</v>
      </c>
    </row>
    <row r="41132" spans="1:6" x14ac:dyDescent="0.2">
      <c r="A41132" t="s">
        <v>62668</v>
      </c>
      <c r="B41132" t="s">
        <v>10108</v>
      </c>
      <c r="C41132" t="s">
        <v>10459</v>
      </c>
      <c r="D41132" t="s">
        <v>260</v>
      </c>
      <c r="E41132" t="s">
        <v>13830</v>
      </c>
      <c r="F41132" s="2" t="str">
        <f>HYPERLINK("http://www.otzar.org/book.asp?20710","שיחות תלמידי חכמים - 4 כר'")</f>
        <v>שיחות תלמידי חכמים - 4 כר'</v>
      </c>
    </row>
    <row r="41133" spans="1:6" x14ac:dyDescent="0.2">
      <c r="A41133" t="s">
        <v>62669</v>
      </c>
      <c r="B41133" t="s">
        <v>62670</v>
      </c>
      <c r="C41133" t="s">
        <v>533</v>
      </c>
      <c r="D41133" t="s">
        <v>21</v>
      </c>
      <c r="E41133" t="s">
        <v>104</v>
      </c>
      <c r="F41133" s="2" t="str">
        <f>HYPERLINK("http://www.otzar.org/book.asp?605038","שיחות")</f>
        <v>שיחות</v>
      </c>
    </row>
    <row r="41134" spans="1:6" x14ac:dyDescent="0.2">
      <c r="A41134" t="s">
        <v>62671</v>
      </c>
      <c r="B41134" t="s">
        <v>2396</v>
      </c>
      <c r="C41134" t="s">
        <v>129</v>
      </c>
      <c r="D41134" t="s">
        <v>1076</v>
      </c>
      <c r="E41134" t="s">
        <v>165</v>
      </c>
      <c r="F41134" s="2" t="str">
        <f>HYPERLINK("http://www.otzar.org/book.asp?166357","שיחות - שבועות")</f>
        <v>שיחות - שבועות</v>
      </c>
    </row>
    <row r="41135" spans="1:6" x14ac:dyDescent="0.2">
      <c r="A41135" t="s">
        <v>62672</v>
      </c>
      <c r="B41135" t="s">
        <v>49632</v>
      </c>
      <c r="C41135" t="s">
        <v>244</v>
      </c>
      <c r="D41135" t="s">
        <v>80</v>
      </c>
      <c r="E41135" t="s">
        <v>84</v>
      </c>
      <c r="F41135" s="2" t="str">
        <f>HYPERLINK("http://www.otzar.org/book.asp?600300","שיחת אבות")</f>
        <v>שיחת אבות</v>
      </c>
    </row>
    <row r="41136" spans="1:6" x14ac:dyDescent="0.2">
      <c r="A41136" t="s">
        <v>62673</v>
      </c>
      <c r="B41136" t="s">
        <v>11585</v>
      </c>
      <c r="C41136" t="s">
        <v>366</v>
      </c>
      <c r="D41136" t="s">
        <v>52</v>
      </c>
      <c r="E41136" t="s">
        <v>158</v>
      </c>
      <c r="F41136" s="2" t="str">
        <f>HYPERLINK("http://www.otzar.org/book.asp?606576","שיחת בין השמשות")</f>
        <v>שיחת בין השמשות</v>
      </c>
    </row>
    <row r="41137" spans="1:6" x14ac:dyDescent="0.2">
      <c r="A41137" t="s">
        <v>62674</v>
      </c>
      <c r="B41137" t="s">
        <v>22547</v>
      </c>
      <c r="C41137" t="s">
        <v>23</v>
      </c>
      <c r="D41137" t="s">
        <v>52</v>
      </c>
      <c r="E41137" t="s">
        <v>474</v>
      </c>
      <c r="F41137" s="2" t="str">
        <f>HYPERLINK("http://www.otzar.org/book.asp?189277","שיחת דקלים")</f>
        <v>שיחת דקלים</v>
      </c>
    </row>
    <row r="41138" spans="1:6" x14ac:dyDescent="0.2">
      <c r="A41138" t="s">
        <v>62675</v>
      </c>
      <c r="B41138" t="s">
        <v>44672</v>
      </c>
      <c r="C41138" t="s">
        <v>20</v>
      </c>
      <c r="D41138" t="s">
        <v>14</v>
      </c>
      <c r="E41138" t="s">
        <v>703</v>
      </c>
      <c r="F41138" s="2" t="str">
        <f>HYPERLINK("http://www.otzar.org/book.asp?84585","שיחת הנפש")</f>
        <v>שיחת הנפש</v>
      </c>
    </row>
    <row r="41139" spans="1:6" x14ac:dyDescent="0.2">
      <c r="A41139" t="s">
        <v>62676</v>
      </c>
      <c r="B41139" t="s">
        <v>8045</v>
      </c>
      <c r="C41139" t="s">
        <v>37</v>
      </c>
      <c r="D41139" t="s">
        <v>14</v>
      </c>
      <c r="F41139" s="2" t="str">
        <f>HYPERLINK("http://www.otzar.org/book.asp?623050","שיחת הסופר")</f>
        <v>שיחת הסופר</v>
      </c>
    </row>
    <row r="41140" spans="1:6" x14ac:dyDescent="0.2">
      <c r="A41140" t="s">
        <v>62677</v>
      </c>
      <c r="B41140" t="s">
        <v>6686</v>
      </c>
      <c r="C41140" t="s">
        <v>496</v>
      </c>
      <c r="D41140" t="s">
        <v>379</v>
      </c>
      <c r="E41140" t="s">
        <v>3261</v>
      </c>
      <c r="F41140" s="2" t="str">
        <f>HYPERLINK("http://www.otzar.org/book.asp?100771","שיחת חולין של ת""ח החדש")</f>
        <v>שיחת חולין של ת"ח החדש</v>
      </c>
    </row>
    <row r="41141" spans="1:6" x14ac:dyDescent="0.2">
      <c r="A41141" t="s">
        <v>62678</v>
      </c>
      <c r="B41141" t="s">
        <v>11403</v>
      </c>
      <c r="C41141" t="s">
        <v>506</v>
      </c>
      <c r="D41141" t="s">
        <v>726</v>
      </c>
      <c r="F41141" s="2" t="str">
        <f>HYPERLINK("http://www.otzar.org/book.asp?619762","שיחת חולין של ת""ח")</f>
        <v>שיחת חולין של ת"ח</v>
      </c>
    </row>
    <row r="41142" spans="1:6" x14ac:dyDescent="0.2">
      <c r="A41142" t="s">
        <v>62679</v>
      </c>
      <c r="B41142" t="s">
        <v>44856</v>
      </c>
      <c r="C41142" t="s">
        <v>23</v>
      </c>
      <c r="D41142" t="s">
        <v>14</v>
      </c>
      <c r="F41142" s="2" t="str">
        <f>HYPERLINK("http://www.otzar.org/book.asp?198590","שיחת חולין")</f>
        <v>שיחת חולין</v>
      </c>
    </row>
    <row r="41143" spans="1:6" x14ac:dyDescent="0.2">
      <c r="A41143" t="s">
        <v>62679</v>
      </c>
      <c r="B41143" t="s">
        <v>62680</v>
      </c>
      <c r="C41143" t="s">
        <v>6203</v>
      </c>
      <c r="D41143" t="s">
        <v>1833</v>
      </c>
      <c r="E41143" t="s">
        <v>144</v>
      </c>
      <c r="F41143" s="2" t="str">
        <f>HYPERLINK("http://www.otzar.org/book.asp?149823","שיחת חולין")</f>
        <v>שיחת חולין</v>
      </c>
    </row>
    <row r="41144" spans="1:6" x14ac:dyDescent="0.2">
      <c r="A41144" t="s">
        <v>62681</v>
      </c>
      <c r="B41144" t="s">
        <v>62682</v>
      </c>
      <c r="C41144" t="s">
        <v>244</v>
      </c>
      <c r="D41144" t="s">
        <v>806</v>
      </c>
      <c r="E41144" t="s">
        <v>975</v>
      </c>
      <c r="F41144" s="2" t="str">
        <f>HYPERLINK("http://www.otzar.org/book.asp?600617","שיחת יצחק")</f>
        <v>שיחת יצחק</v>
      </c>
    </row>
    <row r="41145" spans="1:6" x14ac:dyDescent="0.2">
      <c r="A41145" t="s">
        <v>62683</v>
      </c>
      <c r="B41145" t="s">
        <v>2993</v>
      </c>
      <c r="C41145" t="s">
        <v>313</v>
      </c>
      <c r="D41145" t="s">
        <v>14919</v>
      </c>
      <c r="E41145" t="s">
        <v>44567</v>
      </c>
      <c r="F41145" s="2" t="str">
        <f>HYPERLINK("http://www.otzar.org/book.asp?84175","שיחת מלאכי השרת &lt;מהדורת הר ברכה&gt;")</f>
        <v>שיחת מלאכי השרת &lt;מהדורת הר ברכה&gt;</v>
      </c>
    </row>
    <row r="41146" spans="1:6" x14ac:dyDescent="0.2">
      <c r="A41146" t="s">
        <v>62684</v>
      </c>
      <c r="B41146" t="s">
        <v>2993</v>
      </c>
      <c r="C41146" t="s">
        <v>8</v>
      </c>
      <c r="D41146" t="s">
        <v>726</v>
      </c>
      <c r="E41146" t="s">
        <v>226</v>
      </c>
      <c r="F41146" s="2" t="str">
        <f>HYPERLINK("http://www.otzar.org/book.asp?5530","שיחת מלאכי השרת")</f>
        <v>שיחת מלאכי השרת</v>
      </c>
    </row>
    <row r="41147" spans="1:6" x14ac:dyDescent="0.2">
      <c r="A41147" t="s">
        <v>62685</v>
      </c>
      <c r="B41147" t="s">
        <v>59935</v>
      </c>
      <c r="C41147" t="s">
        <v>13</v>
      </c>
      <c r="D41147" t="s">
        <v>412</v>
      </c>
      <c r="F41147" s="2" t="str">
        <f>HYPERLINK("http://www.otzar.org/book.asp?163794","שיחת פה - פסח")</f>
        <v>שיחת פה - פסח</v>
      </c>
    </row>
    <row r="41148" spans="1:6" x14ac:dyDescent="0.2">
      <c r="A41148" t="s">
        <v>62686</v>
      </c>
      <c r="B41148" t="s">
        <v>62687</v>
      </c>
      <c r="C41148" t="s">
        <v>23</v>
      </c>
      <c r="D41148" t="s">
        <v>52</v>
      </c>
      <c r="E41148" t="s">
        <v>84</v>
      </c>
      <c r="F41148" s="2" t="str">
        <f>HYPERLINK("http://www.otzar.org/book.asp?186858","שיחת צבי - שביעית")</f>
        <v>שיחת צבי - שביעית</v>
      </c>
    </row>
    <row r="41149" spans="1:6" x14ac:dyDescent="0.2">
      <c r="A41149" t="s">
        <v>62688</v>
      </c>
      <c r="B41149" t="s">
        <v>45662</v>
      </c>
      <c r="C41149" t="s">
        <v>185</v>
      </c>
      <c r="D41149" t="s">
        <v>14</v>
      </c>
      <c r="E41149" t="s">
        <v>741</v>
      </c>
      <c r="F41149" s="2" t="str">
        <f>HYPERLINK("http://www.otzar.org/book.asp?630349","שיחת קודש לכותבי הדא""ח")</f>
        <v>שיחת קודש לכותבי הדא"ח</v>
      </c>
    </row>
    <row r="41150" spans="1:6" x14ac:dyDescent="0.2">
      <c r="A41150" t="s">
        <v>62689</v>
      </c>
      <c r="B41150" t="s">
        <v>6370</v>
      </c>
      <c r="C41150" t="s">
        <v>146</v>
      </c>
      <c r="D41150" t="s">
        <v>14</v>
      </c>
      <c r="E41150" t="s">
        <v>140</v>
      </c>
      <c r="F41150" s="2" t="str">
        <f>HYPERLINK("http://www.otzar.org/book.asp?161797","שיחתן של עבדי אבות - 2 כר'")</f>
        <v>שיחתן של עבדי אבות - 2 כר'</v>
      </c>
    </row>
    <row r="41151" spans="1:6" x14ac:dyDescent="0.2">
      <c r="A41151" t="s">
        <v>62690</v>
      </c>
      <c r="B41151" t="s">
        <v>62691</v>
      </c>
      <c r="C41151" t="s">
        <v>143</v>
      </c>
      <c r="D41151" t="s">
        <v>52</v>
      </c>
      <c r="E41151" t="s">
        <v>144</v>
      </c>
      <c r="F41151" s="2" t="str">
        <f>HYPERLINK("http://www.otzar.org/book.asp?154591","שיטה לא נודע למי - קידושין")</f>
        <v>שיטה לא נודע למי - קידושין</v>
      </c>
    </row>
    <row r="41152" spans="1:6" x14ac:dyDescent="0.2">
      <c r="A41152" t="s">
        <v>62690</v>
      </c>
      <c r="B41152" t="s">
        <v>62692</v>
      </c>
      <c r="C41152" t="s">
        <v>143</v>
      </c>
      <c r="D41152" t="s">
        <v>412</v>
      </c>
      <c r="E41152" t="s">
        <v>144</v>
      </c>
      <c r="F41152" s="2" t="str">
        <f>HYPERLINK("http://www.otzar.org/book.asp?177216","שיטה לא נודע למי - קידושין")</f>
        <v>שיטה לא נודע למי - קידושין</v>
      </c>
    </row>
    <row r="41153" spans="1:6" x14ac:dyDescent="0.2">
      <c r="A41153" t="s">
        <v>62693</v>
      </c>
      <c r="B41153" t="s">
        <v>62694</v>
      </c>
      <c r="C41153" t="s">
        <v>1388</v>
      </c>
      <c r="D41153" t="s">
        <v>14</v>
      </c>
      <c r="E41153" t="s">
        <v>144</v>
      </c>
      <c r="F41153" s="2" t="str">
        <f>HYPERLINK("http://www.otzar.org/book.asp?169289","שיטה לא נודע למי - קידושין &lt;מהדורת הרב זק""ש&gt;")</f>
        <v>שיטה לא נודע למי - קידושין &lt;מהדורת הרב זק"ש&gt;</v>
      </c>
    </row>
    <row r="41154" spans="1:6" x14ac:dyDescent="0.2">
      <c r="A41154" t="s">
        <v>62695</v>
      </c>
      <c r="B41154" t="s">
        <v>62696</v>
      </c>
      <c r="C41154" t="s">
        <v>20</v>
      </c>
      <c r="D41154" t="s">
        <v>216</v>
      </c>
      <c r="E41154" t="s">
        <v>144</v>
      </c>
      <c r="F41154" s="2" t="str">
        <f>HYPERLINK("http://www.otzar.org/book.asp?189037","שיטה לבעל הצרורות - תענית - תוספות רבינו פרץ ברכות")</f>
        <v>שיטה לבעל הצרורות - תענית - תוספות רבינו פרץ ברכות</v>
      </c>
    </row>
    <row r="41155" spans="1:6" x14ac:dyDescent="0.2">
      <c r="A41155" t="s">
        <v>62697</v>
      </c>
      <c r="B41155" t="s">
        <v>6987</v>
      </c>
      <c r="C41155" t="s">
        <v>1570</v>
      </c>
      <c r="D41155" t="s">
        <v>412</v>
      </c>
      <c r="E41155" t="s">
        <v>144</v>
      </c>
      <c r="F41155" s="2" t="str">
        <f>HYPERLINK("http://www.otzar.org/book.asp?62263","שיטה לחכמי איוורא - נזיר")</f>
        <v>שיטה לחכמי איוורא - נזיר</v>
      </c>
    </row>
    <row r="41156" spans="1:6" x14ac:dyDescent="0.2">
      <c r="A41156" t="s">
        <v>62698</v>
      </c>
      <c r="B41156" t="s">
        <v>16964</v>
      </c>
      <c r="C41156" t="s">
        <v>63</v>
      </c>
      <c r="D41156" t="s">
        <v>14</v>
      </c>
      <c r="E41156" t="s">
        <v>920</v>
      </c>
      <c r="F41156" s="2" t="str">
        <f>HYPERLINK("http://www.otzar.org/book.asp?11436","שיטה לר""ן")</f>
        <v>שיטה לר"ן</v>
      </c>
    </row>
    <row r="41157" spans="1:6" x14ac:dyDescent="0.2">
      <c r="A41157" t="s">
        <v>62699</v>
      </c>
      <c r="B41157" t="s">
        <v>7150</v>
      </c>
      <c r="C41157" t="s">
        <v>103</v>
      </c>
      <c r="D41157" t="s">
        <v>14</v>
      </c>
      <c r="E41157" t="s">
        <v>144</v>
      </c>
      <c r="F41157" s="2" t="str">
        <f>HYPERLINK("http://www.otzar.org/book.asp?21686","שיטה מקובצת &lt;החדש&gt; - 6 כר'")</f>
        <v>שיטה מקובצת &lt;החדש&gt; - 6 כר'</v>
      </c>
    </row>
    <row r="41158" spans="1:6" x14ac:dyDescent="0.2">
      <c r="A41158" t="s">
        <v>62700</v>
      </c>
      <c r="B41158" t="s">
        <v>7150</v>
      </c>
      <c r="C41158" t="s">
        <v>20</v>
      </c>
      <c r="D41158" t="s">
        <v>21</v>
      </c>
      <c r="E41158" t="s">
        <v>144</v>
      </c>
      <c r="F41158" s="2" t="str">
        <f>HYPERLINK("http://www.otzar.org/book.asp?196658","שיטה מקובצת &lt;מכון מירב&gt; - 12 כר'")</f>
        <v>שיטה מקובצת &lt;מכון מירב&gt; - 12 כר'</v>
      </c>
    </row>
    <row r="41159" spans="1:6" x14ac:dyDescent="0.2">
      <c r="A41159" t="s">
        <v>62701</v>
      </c>
      <c r="B41159" t="s">
        <v>7150</v>
      </c>
      <c r="C41159" t="s">
        <v>71</v>
      </c>
      <c r="D41159" t="s">
        <v>412</v>
      </c>
      <c r="E41159" t="s">
        <v>144</v>
      </c>
      <c r="F41159" s="2" t="str">
        <f>HYPERLINK("http://www.otzar.org/book.asp?5269","שיטה מקובצת &lt;עם הערות&gt; - כריתות")</f>
        <v>שיטה מקובצת &lt;עם הערות&gt; - כריתות</v>
      </c>
    </row>
    <row r="41160" spans="1:6" x14ac:dyDescent="0.2">
      <c r="A41160" t="s">
        <v>62702</v>
      </c>
      <c r="B41160" t="s">
        <v>62703</v>
      </c>
      <c r="C41160" t="s">
        <v>26778</v>
      </c>
      <c r="D41160" t="s">
        <v>9</v>
      </c>
      <c r="E41160" t="s">
        <v>84</v>
      </c>
      <c r="F41160" s="2" t="str">
        <f>HYPERLINK("http://www.otzar.org/book.asp?172259","שיטה מקובצת החדש - 2 כר'")</f>
        <v>שיטה מקובצת החדש - 2 כר'</v>
      </c>
    </row>
    <row r="41161" spans="1:6" x14ac:dyDescent="0.2">
      <c r="A41161" t="s">
        <v>62704</v>
      </c>
      <c r="B41161" t="s">
        <v>61817</v>
      </c>
      <c r="C41161" t="s">
        <v>63</v>
      </c>
      <c r="D41161" t="s">
        <v>412</v>
      </c>
      <c r="E41161" t="s">
        <v>144</v>
      </c>
      <c r="F41161" s="2" t="str">
        <f>HYPERLINK("http://www.otzar.org/book.asp?12104","שיטה מקובצת החדש - ברכות")</f>
        <v>שיטה מקובצת החדש - ברכות</v>
      </c>
    </row>
    <row r="41162" spans="1:6" x14ac:dyDescent="0.2">
      <c r="A41162" t="s">
        <v>62705</v>
      </c>
      <c r="B41162" t="s">
        <v>47208</v>
      </c>
      <c r="C41162" t="s">
        <v>1208</v>
      </c>
      <c r="D41162" t="s">
        <v>14</v>
      </c>
      <c r="E41162" t="s">
        <v>144</v>
      </c>
      <c r="F41162" s="2" t="str">
        <f>HYPERLINK("http://www.otzar.org/book.asp?161063","שיטה מקובצת הנר - בבא בתרא")</f>
        <v>שיטה מקובצת הנר - בבא בתרא</v>
      </c>
    </row>
    <row r="41163" spans="1:6" x14ac:dyDescent="0.2">
      <c r="A41163" t="s">
        <v>62706</v>
      </c>
      <c r="B41163" t="s">
        <v>24946</v>
      </c>
      <c r="C41163" t="s">
        <v>63</v>
      </c>
      <c r="D41163" t="s">
        <v>412</v>
      </c>
      <c r="E41163" t="s">
        <v>144</v>
      </c>
      <c r="F41163" s="2" t="str">
        <f>HYPERLINK("http://www.otzar.org/book.asp?168304","שיטה מקובצת לפסחים - 3 כר'")</f>
        <v>שיטה מקובצת לפסחים - 3 כר'</v>
      </c>
    </row>
    <row r="41164" spans="1:6" x14ac:dyDescent="0.2">
      <c r="A41164" t="s">
        <v>62707</v>
      </c>
      <c r="B41164" t="s">
        <v>62708</v>
      </c>
      <c r="C41164" t="s">
        <v>189</v>
      </c>
      <c r="D41164" t="s">
        <v>52</v>
      </c>
      <c r="E41164" t="s">
        <v>1097</v>
      </c>
      <c r="F41164" s="2" t="str">
        <f>HYPERLINK("http://www.otzar.org/book.asp?52230","שיטה מקובצת על כל תלמוד ירושלמי - 3 כר'")</f>
        <v>שיטה מקובצת על כל תלמוד ירושלמי - 3 כר'</v>
      </c>
    </row>
    <row r="41165" spans="1:6" x14ac:dyDescent="0.2">
      <c r="A41165" t="s">
        <v>62709</v>
      </c>
      <c r="B41165" t="s">
        <v>47208</v>
      </c>
      <c r="C41165" t="s">
        <v>68</v>
      </c>
      <c r="D41165" t="s">
        <v>14</v>
      </c>
      <c r="E41165" t="s">
        <v>144</v>
      </c>
      <c r="F41165" s="2" t="str">
        <f>HYPERLINK("http://www.otzar.org/book.asp?166854","שיטה מקובצת קדמון - ספר הנר")</f>
        <v>שיטה מקובצת קדמון - ספר הנר</v>
      </c>
    </row>
    <row r="41166" spans="1:6" x14ac:dyDescent="0.2">
      <c r="A41166" t="s">
        <v>62710</v>
      </c>
      <c r="B41166" t="s">
        <v>62711</v>
      </c>
      <c r="C41166" t="s">
        <v>106</v>
      </c>
      <c r="D41166" t="s">
        <v>52</v>
      </c>
      <c r="E41166" t="s">
        <v>144</v>
      </c>
      <c r="F41166" s="2" t="str">
        <f>HYPERLINK("http://www.otzar.org/book.asp?161806","שיטה מקובצת קדשים &lt;מהדורת הרב אילן&gt; - 9 כר'")</f>
        <v>שיטה מקובצת קדשים &lt;מהדורת הרב אילן&gt; - 9 כר'</v>
      </c>
    </row>
    <row r="41167" spans="1:6" x14ac:dyDescent="0.2">
      <c r="A41167" t="s">
        <v>62712</v>
      </c>
      <c r="B41167" t="s">
        <v>62713</v>
      </c>
      <c r="C41167" t="s">
        <v>103</v>
      </c>
      <c r="D41167" t="s">
        <v>52</v>
      </c>
      <c r="E41167" t="s">
        <v>144</v>
      </c>
      <c r="F41167" s="2" t="str">
        <f>HYPERLINK("http://www.otzar.org/book.asp?157861","שיטה מקובצת - כריתות")</f>
        <v>שיטה מקובצת - כריתות</v>
      </c>
    </row>
    <row r="41168" spans="1:6" x14ac:dyDescent="0.2">
      <c r="A41168" t="s">
        <v>62714</v>
      </c>
      <c r="B41168" t="s">
        <v>7150</v>
      </c>
      <c r="C41168" t="s">
        <v>1163</v>
      </c>
      <c r="D41168" t="s">
        <v>1163</v>
      </c>
      <c r="E41168" t="s">
        <v>144</v>
      </c>
      <c r="F41168" s="2" t="str">
        <f>HYPERLINK("http://www.otzar.org/book.asp?103926","שיטה מקובצת - 14 כר'")</f>
        <v>שיטה מקובצת - 14 כר'</v>
      </c>
    </row>
    <row r="41169" spans="1:6" x14ac:dyDescent="0.2">
      <c r="A41169" t="s">
        <v>62715</v>
      </c>
      <c r="B41169" t="s">
        <v>62716</v>
      </c>
      <c r="C41169" t="s">
        <v>482</v>
      </c>
      <c r="D41169" t="s">
        <v>412</v>
      </c>
      <c r="E41169" t="s">
        <v>144</v>
      </c>
      <c r="F41169" s="2" t="str">
        <f>HYPERLINK("http://www.otzar.org/book.asp?196071","שיטה מקובצת - ביצה &lt;ציונים וביאורים&gt;")</f>
        <v>שיטה מקובצת - ביצה &lt;ציונים וביאורים&gt;</v>
      </c>
    </row>
    <row r="41170" spans="1:6" x14ac:dyDescent="0.2">
      <c r="A41170" t="s">
        <v>62717</v>
      </c>
      <c r="B41170" t="s">
        <v>7152</v>
      </c>
      <c r="C41170" t="s">
        <v>2455</v>
      </c>
      <c r="D41170" t="s">
        <v>8370</v>
      </c>
      <c r="E41170" t="s">
        <v>803</v>
      </c>
      <c r="F41170" s="2" t="str">
        <f>HYPERLINK("http://www.otzar.org/book.asp?148543","שיטה מקובצת - ביצה")</f>
        <v>שיטה מקובצת - ביצה</v>
      </c>
    </row>
    <row r="41171" spans="1:6" x14ac:dyDescent="0.2">
      <c r="A41171" t="s">
        <v>62718</v>
      </c>
      <c r="B41171" t="s">
        <v>62719</v>
      </c>
      <c r="C41171" t="s">
        <v>1570</v>
      </c>
      <c r="D41171" t="s">
        <v>14</v>
      </c>
      <c r="E41171" t="s">
        <v>144</v>
      </c>
      <c r="F41171" s="2" t="str">
        <f>HYPERLINK("http://www.otzar.org/book.asp?170756","שיטה מקובצת - שבת (במה מדליקין)")</f>
        <v>שיטה מקובצת - שבת (במה מדליקין)</v>
      </c>
    </row>
    <row r="41172" spans="1:6" x14ac:dyDescent="0.2">
      <c r="A41172" t="s">
        <v>62720</v>
      </c>
      <c r="B41172" t="s">
        <v>27211</v>
      </c>
      <c r="C41172" t="s">
        <v>775</v>
      </c>
      <c r="D41172" t="s">
        <v>14</v>
      </c>
      <c r="E41172" t="s">
        <v>104</v>
      </c>
      <c r="F41172" s="2" t="str">
        <f>HYPERLINK("http://www.otzar.org/book.asp?22575","שיטה מקובצת - מנחת חינוך")</f>
        <v>שיטה מקובצת - מנחת חינוך</v>
      </c>
    </row>
    <row r="41173" spans="1:6" x14ac:dyDescent="0.2">
      <c r="A41173" t="s">
        <v>62721</v>
      </c>
      <c r="B41173" t="s">
        <v>62722</v>
      </c>
      <c r="C41173" t="s">
        <v>68</v>
      </c>
      <c r="D41173" t="s">
        <v>14</v>
      </c>
      <c r="E41173" t="s">
        <v>144</v>
      </c>
      <c r="F41173" s="2" t="str">
        <f>HYPERLINK("http://www.otzar.org/book.asp?189147","שיטה על מו""ק לתלמידו של ר""י מפריש")</f>
        <v>שיטה על מו"ק לתלמידו של ר"י מפריש</v>
      </c>
    </row>
    <row r="41174" spans="1:6" x14ac:dyDescent="0.2">
      <c r="A41174" t="s">
        <v>62723</v>
      </c>
      <c r="B41174" t="s">
        <v>62723</v>
      </c>
      <c r="C41174" t="s">
        <v>1619</v>
      </c>
      <c r="D41174" t="s">
        <v>52</v>
      </c>
      <c r="E41174" t="s">
        <v>144</v>
      </c>
      <c r="F41174" s="2" t="str">
        <f>HYPERLINK("http://www.otzar.org/book.asp?232","שיטה קדמונית על מסכת קידושין")</f>
        <v>שיטה קדמונית על מסכת קידושין</v>
      </c>
    </row>
    <row r="41175" spans="1:6" x14ac:dyDescent="0.2">
      <c r="A41175" t="s">
        <v>62724</v>
      </c>
      <c r="B41175" t="s">
        <v>8387</v>
      </c>
      <c r="C41175" t="s">
        <v>466</v>
      </c>
      <c r="D41175" t="s">
        <v>216</v>
      </c>
      <c r="E41175" t="s">
        <v>15</v>
      </c>
      <c r="F41175" s="2" t="str">
        <f>HYPERLINK("http://www.otzar.org/book.asp?107230","שיטות בהלכה - 3 כר'")</f>
        <v>שיטות בהלכה - 3 כר'</v>
      </c>
    </row>
    <row r="41176" spans="1:6" x14ac:dyDescent="0.2">
      <c r="A41176" t="s">
        <v>62725</v>
      </c>
      <c r="B41176" t="s">
        <v>107</v>
      </c>
      <c r="C41176" t="s">
        <v>313</v>
      </c>
      <c r="D41176" t="s">
        <v>14</v>
      </c>
      <c r="E41176" t="s">
        <v>15</v>
      </c>
      <c r="F41176" s="2" t="str">
        <f>HYPERLINK("http://www.otzar.org/book.asp?164067","שיטות הגידול החדשות המסייעות לשמירת השמיטה בימינו")</f>
        <v>שיטות הגידול החדשות המסייעות לשמירת השמיטה בימינו</v>
      </c>
    </row>
    <row r="41177" spans="1:6" x14ac:dyDescent="0.2">
      <c r="A41177" t="s">
        <v>62726</v>
      </c>
      <c r="B41177" t="s">
        <v>206</v>
      </c>
      <c r="E41177" t="s">
        <v>104</v>
      </c>
      <c r="F41177" s="2" t="str">
        <f>HYPERLINK("http://www.otzar.org/book.asp?626641","שיטות חדישות כן או לא")</f>
        <v>שיטות חדישות כן או לא</v>
      </c>
    </row>
    <row r="41178" spans="1:6" x14ac:dyDescent="0.2">
      <c r="A41178" t="s">
        <v>62727</v>
      </c>
      <c r="B41178" t="s">
        <v>2398</v>
      </c>
      <c r="C41178" t="s">
        <v>71</v>
      </c>
      <c r="D41178" t="s">
        <v>14</v>
      </c>
      <c r="E41178" t="s">
        <v>104</v>
      </c>
      <c r="F41178" s="2" t="str">
        <f>HYPERLINK("http://www.otzar.org/book.asp?106835","שיטות מיון לספריות תורניות")</f>
        <v>שיטות מיון לספריות תורניות</v>
      </c>
    </row>
    <row r="41179" spans="1:6" x14ac:dyDescent="0.2">
      <c r="A41179" t="s">
        <v>62728</v>
      </c>
      <c r="B41179" t="s">
        <v>38025</v>
      </c>
      <c r="C41179" t="s">
        <v>3106</v>
      </c>
      <c r="D41179" t="s">
        <v>260</v>
      </c>
      <c r="E41179" t="s">
        <v>104</v>
      </c>
      <c r="F41179" s="2" t="str">
        <f>HYPERLINK("http://www.otzar.org/book.asp?84164","שיטין")</f>
        <v>שיטין</v>
      </c>
    </row>
    <row r="41180" spans="1:6" x14ac:dyDescent="0.2">
      <c r="A41180" t="s">
        <v>62729</v>
      </c>
      <c r="B41180" t="s">
        <v>62730</v>
      </c>
      <c r="C41180" t="s">
        <v>433</v>
      </c>
      <c r="D41180" t="s">
        <v>14</v>
      </c>
      <c r="E41180" t="s">
        <v>104</v>
      </c>
      <c r="F41180" s="2" t="str">
        <f>HYPERLINK("http://www.otzar.org/book.asp?149674","שיטת החינוך")</f>
        <v>שיטת החינוך</v>
      </c>
    </row>
    <row r="41181" spans="1:6" x14ac:dyDescent="0.2">
      <c r="A41181" t="s">
        <v>62731</v>
      </c>
      <c r="B41181" t="s">
        <v>62732</v>
      </c>
      <c r="C41181" t="s">
        <v>1169</v>
      </c>
      <c r="D41181" t="s">
        <v>27</v>
      </c>
      <c r="E41181" t="s">
        <v>920</v>
      </c>
      <c r="F41181" s="2" t="str">
        <f>HYPERLINK("http://www.otzar.org/book.asp?9068","שיטת הקדמונים - ביצה, חידושי הרא""ה, ספר הישר, תוס' ר' ישעיה, ר""י אבוהב")</f>
        <v>שיטת הקדמונים - ביצה, חידושי הרא"ה, ספר הישר, תוס' ר' ישעיה, ר"י אבוהב</v>
      </c>
    </row>
    <row r="41182" spans="1:6" x14ac:dyDescent="0.2">
      <c r="A41182" t="s">
        <v>62733</v>
      </c>
      <c r="B41182" t="s">
        <v>62734</v>
      </c>
      <c r="C41182" t="s">
        <v>168</v>
      </c>
      <c r="D41182" t="s">
        <v>14</v>
      </c>
      <c r="E41182" t="s">
        <v>463</v>
      </c>
      <c r="F41182" s="2" t="str">
        <f>HYPERLINK("http://www.otzar.org/book.asp?14077","שיטת רש""י")</f>
        <v>שיטת רש"י</v>
      </c>
    </row>
    <row r="41183" spans="1:6" x14ac:dyDescent="0.2">
      <c r="A41183" t="s">
        <v>62735</v>
      </c>
      <c r="B41183" t="s">
        <v>7973</v>
      </c>
      <c r="C41183" t="s">
        <v>37</v>
      </c>
      <c r="D41183" t="s">
        <v>80</v>
      </c>
      <c r="E41183" t="s">
        <v>508</v>
      </c>
      <c r="F41183" s="2" t="str">
        <f>HYPERLINK("http://www.otzar.org/book.asp?190195","שיירי כהונה החדש")</f>
        <v>שיירי כהונה החדש</v>
      </c>
    </row>
    <row r="41184" spans="1:6" x14ac:dyDescent="0.2">
      <c r="A41184" t="s">
        <v>62736</v>
      </c>
      <c r="B41184" t="s">
        <v>7973</v>
      </c>
      <c r="C41184" t="s">
        <v>23</v>
      </c>
      <c r="D41184" t="s">
        <v>80</v>
      </c>
      <c r="E41184" t="s">
        <v>2915</v>
      </c>
      <c r="F41184" s="2" t="str">
        <f>HYPERLINK("http://www.otzar.org/book.asp?190188","שיירי מנחה החדש")</f>
        <v>שיירי מנחה החדש</v>
      </c>
    </row>
    <row r="41185" spans="1:6" x14ac:dyDescent="0.2">
      <c r="A41185" t="s">
        <v>62737</v>
      </c>
      <c r="B41185" t="s">
        <v>7973</v>
      </c>
      <c r="C41185" t="s">
        <v>1663</v>
      </c>
      <c r="D41185" t="s">
        <v>1889</v>
      </c>
      <c r="E41185" t="s">
        <v>158</v>
      </c>
      <c r="F41185" s="2" t="str">
        <f>HYPERLINK("http://www.otzar.org/book.asp?300545","שיירי מנחה")</f>
        <v>שיירי מנחה</v>
      </c>
    </row>
    <row r="41186" spans="1:6" x14ac:dyDescent="0.2">
      <c r="A41186" t="s">
        <v>62738</v>
      </c>
      <c r="B41186" t="s">
        <v>34951</v>
      </c>
      <c r="C41186" t="s">
        <v>20</v>
      </c>
      <c r="D41186" t="s">
        <v>216</v>
      </c>
      <c r="E41186" t="s">
        <v>104</v>
      </c>
      <c r="F41186" s="2" t="str">
        <f>HYPERLINK("http://www.otzar.org/book.asp?179768","שיירי מנחה - על מנחת חינוך")</f>
        <v>שיירי מנחה - על מנחת חינוך</v>
      </c>
    </row>
    <row r="41187" spans="1:6" x14ac:dyDescent="0.2">
      <c r="A41187" t="s">
        <v>62739</v>
      </c>
      <c r="B41187" t="s">
        <v>552</v>
      </c>
      <c r="C41187" t="s">
        <v>533</v>
      </c>
      <c r="D41187" t="s">
        <v>14</v>
      </c>
      <c r="E41187" t="s">
        <v>202</v>
      </c>
      <c r="F41187" s="2" t="str">
        <f>HYPERLINK("http://www.otzar.org/book.asp?13526","שילה [מדליה]")</f>
        <v>שילה [מדליה]</v>
      </c>
    </row>
    <row r="41188" spans="1:6" x14ac:dyDescent="0.2">
      <c r="A41188" t="s">
        <v>62132</v>
      </c>
      <c r="B41188" t="s">
        <v>1750</v>
      </c>
      <c r="C41188" t="s">
        <v>46</v>
      </c>
      <c r="D41188" t="s">
        <v>27</v>
      </c>
      <c r="E41188" t="s">
        <v>202</v>
      </c>
      <c r="F41188" s="2" t="str">
        <f>HYPERLINK("http://www.otzar.org/book.asp?106098","שילה")</f>
        <v>שילה</v>
      </c>
    </row>
    <row r="41189" spans="1:6" x14ac:dyDescent="0.2">
      <c r="A41189" t="s">
        <v>62740</v>
      </c>
      <c r="B41189" t="s">
        <v>3025</v>
      </c>
      <c r="C41189" t="s">
        <v>151</v>
      </c>
      <c r="D41189" t="s">
        <v>14</v>
      </c>
      <c r="E41189" t="s">
        <v>148</v>
      </c>
      <c r="F41189" s="2" t="str">
        <f>HYPERLINK("http://www.otzar.org/book.asp?615389","שילוח הקן כהלכה")</f>
        <v>שילוח הקן כהלכה</v>
      </c>
    </row>
    <row r="41190" spans="1:6" x14ac:dyDescent="0.2">
      <c r="A41190" t="s">
        <v>62741</v>
      </c>
      <c r="B41190" t="s">
        <v>62742</v>
      </c>
      <c r="C41190" t="s">
        <v>71</v>
      </c>
      <c r="D41190" t="s">
        <v>52</v>
      </c>
      <c r="E41190" t="s">
        <v>15</v>
      </c>
      <c r="F41190" s="2" t="str">
        <f>HYPERLINK("http://www.otzar.org/book.asp?23639","שילוח הקן")</f>
        <v>שילוח הקן</v>
      </c>
    </row>
    <row r="41191" spans="1:6" x14ac:dyDescent="0.2">
      <c r="A41191" t="s">
        <v>62741</v>
      </c>
      <c r="B41191" t="s">
        <v>7320</v>
      </c>
      <c r="C41191" t="s">
        <v>244</v>
      </c>
      <c r="D41191" t="s">
        <v>14</v>
      </c>
      <c r="E41191" t="s">
        <v>15</v>
      </c>
      <c r="F41191" s="2" t="str">
        <f>HYPERLINK("http://www.otzar.org/book.asp?630574","שילוח הקן")</f>
        <v>שילוח הקן</v>
      </c>
    </row>
    <row r="41192" spans="1:6" x14ac:dyDescent="0.2">
      <c r="A41192" t="s">
        <v>62741</v>
      </c>
      <c r="B41192" t="s">
        <v>15813</v>
      </c>
      <c r="C41192" t="s">
        <v>68</v>
      </c>
      <c r="D41192" t="s">
        <v>147</v>
      </c>
      <c r="E41192" t="s">
        <v>15</v>
      </c>
      <c r="F41192" s="2" t="str">
        <f>HYPERLINK("http://www.otzar.org/book.asp?156085","שילוח הקן")</f>
        <v>שילוח הקן</v>
      </c>
    </row>
    <row r="41193" spans="1:6" x14ac:dyDescent="0.2">
      <c r="A41193" t="s">
        <v>62743</v>
      </c>
      <c r="B41193" t="s">
        <v>62744</v>
      </c>
      <c r="C41193" t="s">
        <v>29649</v>
      </c>
      <c r="D41193" t="s">
        <v>37955</v>
      </c>
      <c r="E41193" t="s">
        <v>104</v>
      </c>
      <c r="F41193" s="2" t="str">
        <f>HYPERLINK("http://www.otzar.org/book.asp?141153","שילוש לשונות")</f>
        <v>שילוש לשונות</v>
      </c>
    </row>
    <row r="41194" spans="1:6" x14ac:dyDescent="0.2">
      <c r="A41194" t="s">
        <v>62745</v>
      </c>
      <c r="B41194" t="s">
        <v>62746</v>
      </c>
      <c r="C41194" t="s">
        <v>422</v>
      </c>
      <c r="D41194" t="s">
        <v>412</v>
      </c>
      <c r="E41194" t="s">
        <v>579</v>
      </c>
      <c r="F41194" s="2" t="str">
        <f>HYPERLINK("http://www.otzar.org/book.asp?85718","שים שלום")</f>
        <v>שים שלום</v>
      </c>
    </row>
    <row r="41195" spans="1:6" x14ac:dyDescent="0.2">
      <c r="A41195" t="s">
        <v>62747</v>
      </c>
      <c r="B41195" t="s">
        <v>62748</v>
      </c>
      <c r="C41195" t="s">
        <v>51</v>
      </c>
      <c r="D41195" t="s">
        <v>90</v>
      </c>
      <c r="E41195" t="s">
        <v>230</v>
      </c>
      <c r="F41195" s="2" t="str">
        <f>HYPERLINK("http://www.otzar.org/book.asp?150906","שים שלום - 3 כר'")</f>
        <v>שים שלום - 3 כר'</v>
      </c>
    </row>
    <row r="41196" spans="1:6" x14ac:dyDescent="0.2">
      <c r="A41196" t="s">
        <v>62749</v>
      </c>
      <c r="B41196" t="s">
        <v>2692</v>
      </c>
      <c r="C41196" t="s">
        <v>244</v>
      </c>
      <c r="D41196" t="s">
        <v>216</v>
      </c>
      <c r="E41196" t="s">
        <v>674</v>
      </c>
      <c r="F41196" s="2" t="str">
        <f>HYPERLINK("http://www.otzar.org/book.asp?625429","שים שלום - 2 כר'")</f>
        <v>שים שלום - 2 כר'</v>
      </c>
    </row>
    <row r="41197" spans="1:6" x14ac:dyDescent="0.2">
      <c r="A41197" t="s">
        <v>62750</v>
      </c>
      <c r="B41197" t="s">
        <v>686</v>
      </c>
      <c r="C41197" t="s">
        <v>13</v>
      </c>
      <c r="D41197" t="s">
        <v>52</v>
      </c>
      <c r="E41197" t="s">
        <v>104</v>
      </c>
      <c r="F41197" s="2" t="str">
        <f>HYPERLINK("http://www.otzar.org/book.asp?148224","שימה בפיהם")</f>
        <v>שימה בפיהם</v>
      </c>
    </row>
    <row r="41198" spans="1:6" x14ac:dyDescent="0.2">
      <c r="A41198" t="s">
        <v>62750</v>
      </c>
      <c r="B41198" t="s">
        <v>62751</v>
      </c>
      <c r="C41198" t="s">
        <v>411</v>
      </c>
      <c r="D41198" t="s">
        <v>80</v>
      </c>
      <c r="F41198" s="2" t="str">
        <f>HYPERLINK("http://www.otzar.org/book.asp?600330","שימה בפיהם")</f>
        <v>שימה בפיהם</v>
      </c>
    </row>
    <row r="41199" spans="1:6" x14ac:dyDescent="0.2">
      <c r="A41199" t="s">
        <v>62752</v>
      </c>
      <c r="B41199" t="s">
        <v>5753</v>
      </c>
      <c r="C41199" t="s">
        <v>989</v>
      </c>
      <c r="D41199" t="s">
        <v>14</v>
      </c>
      <c r="E41199" t="s">
        <v>2463</v>
      </c>
      <c r="F41199" s="2" t="str">
        <f>HYPERLINK("http://www.otzar.org/book.asp?104566","שימוש בבוילר בשבת")</f>
        <v>שימוש בבוילר בשבת</v>
      </c>
    </row>
    <row r="41200" spans="1:6" x14ac:dyDescent="0.2">
      <c r="A41200" t="s">
        <v>62753</v>
      </c>
      <c r="B41200" t="s">
        <v>36860</v>
      </c>
      <c r="C41200" t="s">
        <v>37</v>
      </c>
      <c r="D41200" t="s">
        <v>52</v>
      </c>
      <c r="E41200" t="s">
        <v>15</v>
      </c>
      <c r="F41200" s="2" t="str">
        <f>HYPERLINK("http://www.otzar.org/book.asp?623409","שימוש במקררים ומזגנים בשבת")</f>
        <v>שימוש במקררים ומזגנים בשבת</v>
      </c>
    </row>
    <row r="41201" spans="1:6" x14ac:dyDescent="0.2">
      <c r="A41201" t="s">
        <v>62754</v>
      </c>
      <c r="B41201" t="s">
        <v>42146</v>
      </c>
      <c r="C41201" t="s">
        <v>5826</v>
      </c>
      <c r="D41201" t="s">
        <v>4269</v>
      </c>
      <c r="F41201" s="2" t="str">
        <f>HYPERLINK("http://www.otzar.org/book.asp?151657","שימוש חכמים")</f>
        <v>שימוש חכמים</v>
      </c>
    </row>
    <row r="41202" spans="1:6" x14ac:dyDescent="0.2">
      <c r="A41202" t="s">
        <v>62755</v>
      </c>
      <c r="B41202" t="s">
        <v>62756</v>
      </c>
      <c r="C41202" t="s">
        <v>454</v>
      </c>
      <c r="D41202" t="s">
        <v>21</v>
      </c>
      <c r="E41202" t="s">
        <v>15</v>
      </c>
      <c r="F41202" s="2" t="str">
        <f>HYPERLINK("http://www.otzar.org/book.asp?625758","שימחת אברהם")</f>
        <v>שימחת אברהם</v>
      </c>
    </row>
    <row r="41203" spans="1:6" x14ac:dyDescent="0.2">
      <c r="A41203" t="s">
        <v>62757</v>
      </c>
      <c r="B41203" t="s">
        <v>5797</v>
      </c>
      <c r="C41203" t="s">
        <v>366</v>
      </c>
      <c r="D41203" t="s">
        <v>5798</v>
      </c>
      <c r="F41203" s="2" t="str">
        <f>HYPERLINK("http://www.otzar.org/book.asp?603607","שימני כחותם")</f>
        <v>שימני כחותם</v>
      </c>
    </row>
    <row r="41204" spans="1:6" x14ac:dyDescent="0.2">
      <c r="A41204" t="s">
        <v>62758</v>
      </c>
      <c r="B41204" t="s">
        <v>1320</v>
      </c>
      <c r="C41204" t="s">
        <v>351</v>
      </c>
      <c r="D41204" t="s">
        <v>322</v>
      </c>
      <c r="E41204" t="s">
        <v>15</v>
      </c>
      <c r="F41204" s="2" t="str">
        <f>HYPERLINK("http://www.otzar.org/book.asp?102025","שינויי נוסחאות וגרסאות")</f>
        <v>שינויי נוסחאות וגרסאות</v>
      </c>
    </row>
    <row r="41205" spans="1:6" x14ac:dyDescent="0.2">
      <c r="A41205" t="s">
        <v>62759</v>
      </c>
      <c r="B41205" t="s">
        <v>31410</v>
      </c>
      <c r="C41205" t="s">
        <v>146</v>
      </c>
      <c r="D41205" t="s">
        <v>14</v>
      </c>
      <c r="E41205" t="s">
        <v>172</v>
      </c>
      <c r="F41205" s="2" t="str">
        <f>HYPERLINK("http://www.otzar.org/book.asp?50450","שינון הלכה - 5 כר'")</f>
        <v>שינון הלכה - 5 כר'</v>
      </c>
    </row>
    <row r="41206" spans="1:6" x14ac:dyDescent="0.2">
      <c r="A41206" t="s">
        <v>62760</v>
      </c>
      <c r="B41206" t="s">
        <v>32752</v>
      </c>
      <c r="C41206" t="s">
        <v>17</v>
      </c>
      <c r="D41206" t="s">
        <v>14</v>
      </c>
      <c r="E41206" t="s">
        <v>172</v>
      </c>
      <c r="F41206" s="2" t="str">
        <f>HYPERLINK("http://www.otzar.org/book.asp?50467","שינון הלכות - יו""ד")</f>
        <v>שינון הלכות - יו"ד</v>
      </c>
    </row>
    <row r="41207" spans="1:6" x14ac:dyDescent="0.2">
      <c r="A41207" t="s">
        <v>62761</v>
      </c>
      <c r="B41207" t="s">
        <v>2083</v>
      </c>
      <c r="C41207" t="s">
        <v>111</v>
      </c>
      <c r="D41207" t="s">
        <v>52</v>
      </c>
      <c r="E41207" t="s">
        <v>43</v>
      </c>
      <c r="F41207" s="2" t="str">
        <f>HYPERLINK("http://www.otzar.org/book.asp?623256","שינון המדרש")</f>
        <v>שינון המדרש</v>
      </c>
    </row>
    <row r="41208" spans="1:6" x14ac:dyDescent="0.2">
      <c r="A41208" t="s">
        <v>62762</v>
      </c>
      <c r="B41208" t="s">
        <v>62763</v>
      </c>
      <c r="C41208" t="s">
        <v>68</v>
      </c>
      <c r="D41208" t="s">
        <v>52</v>
      </c>
      <c r="E41208" t="s">
        <v>674</v>
      </c>
      <c r="F41208" s="2" t="str">
        <f>HYPERLINK("http://www.otzar.org/book.asp?155899","שינון המנחה &lt;על מנחת חינוך&gt; - 2 כר'")</f>
        <v>שינון המנחה &lt;על מנחת חינוך&gt; - 2 כר'</v>
      </c>
    </row>
    <row r="41209" spans="1:6" x14ac:dyDescent="0.2">
      <c r="A41209" t="s">
        <v>62764</v>
      </c>
      <c r="B41209" t="s">
        <v>206</v>
      </c>
      <c r="C41209" t="s">
        <v>20</v>
      </c>
      <c r="D41209" t="s">
        <v>90</v>
      </c>
      <c r="F41209" s="2" t="str">
        <f>HYPERLINK("http://www.otzar.org/book.asp?616974","שינון המשנה")</f>
        <v>שינון המשנה</v>
      </c>
    </row>
    <row r="41210" spans="1:6" x14ac:dyDescent="0.2">
      <c r="A41210" t="s">
        <v>62765</v>
      </c>
      <c r="B41210" t="s">
        <v>2083</v>
      </c>
      <c r="C41210" t="s">
        <v>133</v>
      </c>
      <c r="D41210" t="s">
        <v>52</v>
      </c>
      <c r="E41210" t="s">
        <v>158</v>
      </c>
      <c r="F41210" s="2" t="str">
        <f>HYPERLINK("http://www.otzar.org/book.asp?175934","שינון הפרשה (תשע""ג)")</f>
        <v>שינון הפרשה (תשע"ג)</v>
      </c>
    </row>
    <row r="41211" spans="1:6" x14ac:dyDescent="0.2">
      <c r="A41211" t="s">
        <v>62766</v>
      </c>
      <c r="B41211" t="s">
        <v>2083</v>
      </c>
      <c r="C41211" t="s">
        <v>129</v>
      </c>
      <c r="D41211" t="s">
        <v>52</v>
      </c>
      <c r="E41211" t="s">
        <v>2336</v>
      </c>
      <c r="F41211" s="2" t="str">
        <f>HYPERLINK("http://www.otzar.org/book.asp?152433","שינון הפרשה")</f>
        <v>שינון הפרשה</v>
      </c>
    </row>
    <row r="41212" spans="1:6" x14ac:dyDescent="0.2">
      <c r="A41212" t="s">
        <v>62767</v>
      </c>
      <c r="B41212" t="s">
        <v>62763</v>
      </c>
      <c r="C41212" t="s">
        <v>51</v>
      </c>
      <c r="D41212" t="s">
        <v>52</v>
      </c>
      <c r="E41212" t="s">
        <v>144</v>
      </c>
      <c r="F41212" s="2" t="str">
        <f>HYPERLINK("http://www.otzar.org/book.asp?24452","שינון הש""ס - 11 כר'")</f>
        <v>שינון הש"ס - 11 כר'</v>
      </c>
    </row>
    <row r="41213" spans="1:6" x14ac:dyDescent="0.2">
      <c r="A41213" t="s">
        <v>62768</v>
      </c>
      <c r="B41213" t="s">
        <v>62769</v>
      </c>
      <c r="C41213" t="s">
        <v>13</v>
      </c>
      <c r="D41213" t="s">
        <v>3859</v>
      </c>
      <c r="E41213" t="s">
        <v>144</v>
      </c>
      <c r="F41213" s="2" t="str">
        <f>HYPERLINK("http://www.otzar.org/book.asp?61441","שינון התוספות - 4 כר'")</f>
        <v>שינון התוספות - 4 כר'</v>
      </c>
    </row>
    <row r="41214" spans="1:6" x14ac:dyDescent="0.2">
      <c r="A41214" t="s">
        <v>62770</v>
      </c>
      <c r="B41214" t="s">
        <v>62771</v>
      </c>
      <c r="C41214" t="s">
        <v>129</v>
      </c>
      <c r="D41214" t="s">
        <v>147</v>
      </c>
      <c r="E41214" t="s">
        <v>10</v>
      </c>
      <c r="F41214" s="2" t="str">
        <f>HYPERLINK("http://www.otzar.org/book.asp?60071","שינון יוסף")</f>
        <v>שינון יוסף</v>
      </c>
    </row>
    <row r="41215" spans="1:6" x14ac:dyDescent="0.2">
      <c r="A41215" t="s">
        <v>62772</v>
      </c>
      <c r="B41215" t="s">
        <v>42653</v>
      </c>
      <c r="C41215" t="s">
        <v>23</v>
      </c>
      <c r="D41215" t="s">
        <v>52</v>
      </c>
      <c r="E41215" t="s">
        <v>144</v>
      </c>
      <c r="F41215" s="2" t="str">
        <f>HYPERLINK("http://www.otzar.org/book.asp?630242","שינון עירובין")</f>
        <v>שינון עירובין</v>
      </c>
    </row>
    <row r="41216" spans="1:6" x14ac:dyDescent="0.2">
      <c r="A41216" t="s">
        <v>62773</v>
      </c>
      <c r="B41216" t="s">
        <v>62774</v>
      </c>
      <c r="C41216" t="s">
        <v>23</v>
      </c>
      <c r="F41216" s="2" t="str">
        <f>HYPERLINK("http://www.otzar.org/book.asp?621630","שינוני חול המועד")</f>
        <v>שינוני חול המועד</v>
      </c>
    </row>
    <row r="41217" spans="1:6" x14ac:dyDescent="0.2">
      <c r="A41217" t="s">
        <v>62775</v>
      </c>
      <c r="B41217" t="s">
        <v>107</v>
      </c>
      <c r="C41217" t="s">
        <v>20</v>
      </c>
      <c r="D41217" t="s">
        <v>14</v>
      </c>
      <c r="E41217" t="s">
        <v>119</v>
      </c>
      <c r="F41217" s="2" t="str">
        <f>HYPERLINK("http://www.otzar.org/book.asp?625777","שיעור בהיסטוריה מלחמת ששת הימים")</f>
        <v>שיעור בהיסטוריה מלחמת ששת הימים</v>
      </c>
    </row>
    <row r="41218" spans="1:6" x14ac:dyDescent="0.2">
      <c r="A41218" t="s">
        <v>62776</v>
      </c>
      <c r="B41218" t="s">
        <v>2107</v>
      </c>
      <c r="C41218" t="s">
        <v>20</v>
      </c>
      <c r="D41218" t="s">
        <v>80</v>
      </c>
      <c r="F41218" s="2" t="str">
        <f>HYPERLINK("http://www.otzar.org/book.asp?604884","שיעור בענין סימן טהרת הדגים")</f>
        <v>שיעור בענין סימן טהרת הדגים</v>
      </c>
    </row>
    <row r="41219" spans="1:6" x14ac:dyDescent="0.2">
      <c r="A41219" t="s">
        <v>62777</v>
      </c>
      <c r="B41219" t="s">
        <v>2107</v>
      </c>
      <c r="C41219" t="s">
        <v>366</v>
      </c>
      <c r="D41219" t="s">
        <v>52</v>
      </c>
      <c r="F41219" s="2" t="str">
        <f>HYPERLINK("http://www.otzar.org/book.asp?615437","שיעור בענין סימני טהרת הדגים")</f>
        <v>שיעור בענין סימני טהרת הדגים</v>
      </c>
    </row>
    <row r="41220" spans="1:6" x14ac:dyDescent="0.2">
      <c r="A41220" t="s">
        <v>62778</v>
      </c>
      <c r="B41220" t="s">
        <v>5355</v>
      </c>
      <c r="C41220" t="s">
        <v>168</v>
      </c>
      <c r="D41220" t="s">
        <v>52</v>
      </c>
      <c r="E41220" t="s">
        <v>15</v>
      </c>
      <c r="F41220" s="2" t="str">
        <f>HYPERLINK("http://www.otzar.org/book.asp?26010","שיעור הגר""י קנייבסקי בעניני חציצה")</f>
        <v>שיעור הגר"י קנייבסקי בעניני חציצה</v>
      </c>
    </row>
    <row r="41221" spans="1:6" x14ac:dyDescent="0.2">
      <c r="A41221" t="s">
        <v>62779</v>
      </c>
      <c r="B41221" t="s">
        <v>12596</v>
      </c>
      <c r="C41221" t="s">
        <v>313</v>
      </c>
      <c r="D41221" t="s">
        <v>14</v>
      </c>
      <c r="E41221" t="s">
        <v>104</v>
      </c>
      <c r="F41221" s="2" t="str">
        <f>HYPERLINK("http://www.otzar.org/book.asp?169098","שיעור כזית")</f>
        <v>שיעור כזית</v>
      </c>
    </row>
    <row r="41222" spans="1:6" x14ac:dyDescent="0.2">
      <c r="A41222" t="s">
        <v>62780</v>
      </c>
      <c r="B41222" t="s">
        <v>62781</v>
      </c>
      <c r="C41222" t="s">
        <v>129</v>
      </c>
      <c r="D41222" t="s">
        <v>52</v>
      </c>
      <c r="E41222" t="s">
        <v>674</v>
      </c>
      <c r="F41222" s="2" t="str">
        <f>HYPERLINK("http://www.otzar.org/book.asp?179979","שיעור ליום השבת - 4 כר'")</f>
        <v>שיעור ליום השבת - 4 כר'</v>
      </c>
    </row>
    <row r="41223" spans="1:6" x14ac:dyDescent="0.2">
      <c r="A41223" t="s">
        <v>62782</v>
      </c>
      <c r="B41223" t="s">
        <v>20652</v>
      </c>
      <c r="C41223" t="s">
        <v>3840</v>
      </c>
      <c r="D41223" t="s">
        <v>27</v>
      </c>
      <c r="E41223" t="s">
        <v>733</v>
      </c>
      <c r="F41223" s="2" t="str">
        <f>HYPERLINK("http://www.otzar.org/book.asp?8297","שיעור מקוה")</f>
        <v>שיעור מקוה</v>
      </c>
    </row>
    <row r="41224" spans="1:6" x14ac:dyDescent="0.2">
      <c r="A41224" t="s">
        <v>62783</v>
      </c>
      <c r="F41224" s="2" t="str">
        <f>HYPERLINK("http://www.otzar.org/book.asp?630376","שיעור מרן בעל החזון איש וג' שיעורי מרן בעל הקהילות יעקב עמ""ס קידושין")</f>
        <v>שיעור מרן בעל החזון איש וג' שיעורי מרן בעל הקהילות יעקב עמ"ס קידושין</v>
      </c>
    </row>
    <row r="41225" spans="1:6" x14ac:dyDescent="0.2">
      <c r="A41225" t="s">
        <v>62784</v>
      </c>
      <c r="B41225" t="s">
        <v>4201</v>
      </c>
      <c r="C41225" t="s">
        <v>1718</v>
      </c>
      <c r="D41225" t="s">
        <v>283</v>
      </c>
      <c r="E41225" t="s">
        <v>399</v>
      </c>
      <c r="F41225" s="2" t="str">
        <f>HYPERLINK("http://www.otzar.org/book.asp?12735","שיעור קומה")</f>
        <v>שיעור קומה</v>
      </c>
    </row>
    <row r="41226" spans="1:6" x14ac:dyDescent="0.2">
      <c r="A41226" t="s">
        <v>62784</v>
      </c>
      <c r="B41226" t="s">
        <v>3294</v>
      </c>
      <c r="C41226" t="s">
        <v>2140</v>
      </c>
      <c r="D41226" t="s">
        <v>212</v>
      </c>
      <c r="E41226" t="s">
        <v>3755</v>
      </c>
      <c r="F41226" s="2" t="str">
        <f>HYPERLINK("http://www.otzar.org/book.asp?25078","שיעור קומה")</f>
        <v>שיעור קומה</v>
      </c>
    </row>
    <row r="41227" spans="1:6" x14ac:dyDescent="0.2">
      <c r="A41227" t="s">
        <v>62785</v>
      </c>
      <c r="B41227" t="s">
        <v>57081</v>
      </c>
      <c r="C41227" t="s">
        <v>1448</v>
      </c>
      <c r="D41227" t="s">
        <v>412</v>
      </c>
      <c r="E41227" t="s">
        <v>22434</v>
      </c>
      <c r="F41227" s="2" t="str">
        <f>HYPERLINK("http://www.otzar.org/book.asp?198303","שיעורי אורח חיים בית אהרן")</f>
        <v>שיעורי אורח חיים בית אהרן</v>
      </c>
    </row>
    <row r="41228" spans="1:6" x14ac:dyDescent="0.2">
      <c r="A41228" t="s">
        <v>62786</v>
      </c>
      <c r="B41228" t="s">
        <v>62787</v>
      </c>
      <c r="C41228" t="s">
        <v>244</v>
      </c>
      <c r="D41228" t="s">
        <v>14</v>
      </c>
      <c r="E41228" t="s">
        <v>144</v>
      </c>
      <c r="F41228" s="2" t="str">
        <f>HYPERLINK("http://www.otzar.org/book.asp?605625","שיעורי אמת ליעקב - 10 כר'")</f>
        <v>שיעורי אמת ליעקב - 10 כר'</v>
      </c>
    </row>
    <row r="41229" spans="1:6" x14ac:dyDescent="0.2">
      <c r="A41229" t="s">
        <v>62788</v>
      </c>
      <c r="B41229" t="s">
        <v>62789</v>
      </c>
      <c r="C41229" t="s">
        <v>68</v>
      </c>
      <c r="D41229" t="s">
        <v>657</v>
      </c>
      <c r="E41229" t="s">
        <v>144</v>
      </c>
      <c r="F41229" s="2" t="str">
        <f>HYPERLINK("http://www.otzar.org/book.asp?600946","שיעורי בבא בתרא")</f>
        <v>שיעורי בבא בתרא</v>
      </c>
    </row>
    <row r="41230" spans="1:6" x14ac:dyDescent="0.2">
      <c r="A41230" t="s">
        <v>62790</v>
      </c>
      <c r="B41230" t="s">
        <v>4547</v>
      </c>
      <c r="C41230" t="s">
        <v>438</v>
      </c>
      <c r="D41230" t="s">
        <v>273</v>
      </c>
      <c r="E41230" t="s">
        <v>144</v>
      </c>
      <c r="F41230" s="2" t="str">
        <f>HYPERLINK("http://www.otzar.org/book.asp?13689","שיעורי בבא קמא")</f>
        <v>שיעורי בבא קמא</v>
      </c>
    </row>
    <row r="41231" spans="1:6" x14ac:dyDescent="0.2">
      <c r="A41231" t="s">
        <v>62791</v>
      </c>
      <c r="B41231" t="s">
        <v>62789</v>
      </c>
      <c r="C41231" t="s">
        <v>133</v>
      </c>
      <c r="D41231" t="s">
        <v>657</v>
      </c>
      <c r="E41231" t="s">
        <v>144</v>
      </c>
      <c r="F41231" s="2" t="str">
        <f>HYPERLINK("http://www.otzar.org/book.asp?600957","שיעורי בבא קמא - 2 כר'")</f>
        <v>שיעורי בבא קמא - 2 כר'</v>
      </c>
    </row>
    <row r="41232" spans="1:6" x14ac:dyDescent="0.2">
      <c r="A41232" t="s">
        <v>62792</v>
      </c>
      <c r="B41232" t="s">
        <v>40714</v>
      </c>
      <c r="C41232" t="s">
        <v>189</v>
      </c>
      <c r="D41232" t="s">
        <v>52</v>
      </c>
      <c r="E41232" t="s">
        <v>144</v>
      </c>
      <c r="F41232" s="2" t="str">
        <f>HYPERLINK("http://www.otzar.org/book.asp?167792","שיעורי בבא קמא, סנהדרין")</f>
        <v>שיעורי בבא קמא, סנהדרין</v>
      </c>
    </row>
    <row r="41233" spans="1:6" x14ac:dyDescent="0.2">
      <c r="A41233" t="s">
        <v>62793</v>
      </c>
      <c r="B41233" t="s">
        <v>8832</v>
      </c>
      <c r="C41233" t="s">
        <v>189</v>
      </c>
      <c r="D41233" t="s">
        <v>62794</v>
      </c>
      <c r="F41233" s="2" t="str">
        <f>HYPERLINK("http://www.otzar.org/book.asp?630746","שיעורי בד קודש - פסחים")</f>
        <v>שיעורי בד קודש - פסחים</v>
      </c>
    </row>
    <row r="41234" spans="1:6" x14ac:dyDescent="0.2">
      <c r="A41234" t="s">
        <v>62795</v>
      </c>
      <c r="B41234" t="s">
        <v>62796</v>
      </c>
      <c r="C41234" t="s">
        <v>411</v>
      </c>
      <c r="D41234" t="s">
        <v>14</v>
      </c>
      <c r="E41234" t="s">
        <v>144</v>
      </c>
      <c r="F41234" s="2" t="str">
        <f>HYPERLINK("http://www.otzar.org/book.asp?199871","שיעורי בקיאות - 9 כר'")</f>
        <v>שיעורי בקיאות - 9 כר'</v>
      </c>
    </row>
    <row r="41235" spans="1:6" x14ac:dyDescent="0.2">
      <c r="A41235" t="s">
        <v>62797</v>
      </c>
      <c r="B41235" t="s">
        <v>12570</v>
      </c>
      <c r="C41235" t="s">
        <v>411</v>
      </c>
      <c r="D41235" t="s">
        <v>14</v>
      </c>
      <c r="E41235" t="s">
        <v>144</v>
      </c>
      <c r="F41235" s="2" t="str">
        <f>HYPERLINK("http://www.otzar.org/book.asp?624898","שיעורי ברכת כהן - 2 כר'")</f>
        <v>שיעורי ברכת כהן - 2 כר'</v>
      </c>
    </row>
    <row r="41236" spans="1:6" x14ac:dyDescent="0.2">
      <c r="A41236" t="s">
        <v>62798</v>
      </c>
      <c r="B41236" t="s">
        <v>62781</v>
      </c>
      <c r="C41236" t="s">
        <v>37</v>
      </c>
      <c r="D41236" t="s">
        <v>52</v>
      </c>
      <c r="E41236" t="s">
        <v>15</v>
      </c>
      <c r="F41236" s="2" t="str">
        <f>HYPERLINK("http://www.otzar.org/book.asp?179976","שיעורי בשר בחלב")</f>
        <v>שיעורי בשר בחלב</v>
      </c>
    </row>
    <row r="41237" spans="1:6" x14ac:dyDescent="0.2">
      <c r="A41237" t="s">
        <v>62799</v>
      </c>
      <c r="B41237" t="s">
        <v>62789</v>
      </c>
      <c r="C41237" t="s">
        <v>411</v>
      </c>
      <c r="D41237" t="s">
        <v>657</v>
      </c>
      <c r="E41237" t="s">
        <v>144</v>
      </c>
      <c r="F41237" s="2" t="str">
        <f>HYPERLINK("http://www.otzar.org/book.asp?600949","שיעורי גיטין")</f>
        <v>שיעורי גיטין</v>
      </c>
    </row>
    <row r="41238" spans="1:6" x14ac:dyDescent="0.2">
      <c r="A41238" t="s">
        <v>62800</v>
      </c>
      <c r="B41238" t="s">
        <v>13983</v>
      </c>
      <c r="C41238" t="s">
        <v>68</v>
      </c>
      <c r="D41238" t="s">
        <v>52</v>
      </c>
      <c r="E41238" t="s">
        <v>144</v>
      </c>
      <c r="F41238" s="2" t="str">
        <f>HYPERLINK("http://www.otzar.org/book.asp?195491","שיעורי דביר הקודש - בבא בתרא")</f>
        <v>שיעורי דביר הקודש - בבא בתרא</v>
      </c>
    </row>
    <row r="41239" spans="1:6" x14ac:dyDescent="0.2">
      <c r="A41239" t="s">
        <v>62801</v>
      </c>
      <c r="B41239" t="s">
        <v>62802</v>
      </c>
      <c r="C41239" t="s">
        <v>17</v>
      </c>
      <c r="D41239" t="s">
        <v>14</v>
      </c>
      <c r="E41239" t="s">
        <v>104</v>
      </c>
      <c r="F41239" s="2" t="str">
        <f>HYPERLINK("http://www.otzar.org/book.asp?149703","שיעורי דעת")</f>
        <v>שיעורי דעת</v>
      </c>
    </row>
    <row r="41240" spans="1:6" x14ac:dyDescent="0.2">
      <c r="A41240" t="s">
        <v>62803</v>
      </c>
      <c r="B41240" t="s">
        <v>62804</v>
      </c>
      <c r="C41240" t="s">
        <v>411</v>
      </c>
      <c r="D41240" t="s">
        <v>118</v>
      </c>
      <c r="F41240" s="2" t="str">
        <f>HYPERLINK("http://www.otzar.org/book.asp?169643","שיעורי דרך חיים - 6 כר'")</f>
        <v>שיעורי דרך חיים - 6 כר'</v>
      </c>
    </row>
    <row r="41241" spans="1:6" x14ac:dyDescent="0.2">
      <c r="A41241" t="s">
        <v>62805</v>
      </c>
      <c r="B41241" t="s">
        <v>20737</v>
      </c>
      <c r="C41241" t="s">
        <v>103</v>
      </c>
      <c r="D41241" t="s">
        <v>14</v>
      </c>
      <c r="E41241" t="s">
        <v>144</v>
      </c>
      <c r="F41241" s="2" t="str">
        <f>HYPERLINK("http://www.otzar.org/book.asp?108453","שיעורי האדר - 3 כר'")</f>
        <v>שיעורי האדר - 3 כר'</v>
      </c>
    </row>
    <row r="41242" spans="1:6" x14ac:dyDescent="0.2">
      <c r="A41242" t="s">
        <v>62806</v>
      </c>
      <c r="B41242" t="s">
        <v>10085</v>
      </c>
      <c r="C41242" t="s">
        <v>114</v>
      </c>
      <c r="D41242" t="s">
        <v>14</v>
      </c>
      <c r="E41242" t="s">
        <v>144</v>
      </c>
      <c r="F41242" s="2" t="str">
        <f>HYPERLINK("http://www.otzar.org/book.asp?608435","שיעורי הגאון רבי דב שוורצמן - 8 כר'")</f>
        <v>שיעורי הגאון רבי דב שוורצמן - 8 כר'</v>
      </c>
    </row>
    <row r="41243" spans="1:6" x14ac:dyDescent="0.2">
      <c r="A41243" t="s">
        <v>62807</v>
      </c>
      <c r="B41243" t="s">
        <v>62808</v>
      </c>
      <c r="C41243" t="s">
        <v>146</v>
      </c>
      <c r="D41243" t="s">
        <v>52</v>
      </c>
      <c r="E41243" t="s">
        <v>144</v>
      </c>
      <c r="F41243" s="2" t="str">
        <f>HYPERLINK("http://www.otzar.org/book.asp?168324","שיעורי הגאון רבי חיים מן - גיטין")</f>
        <v>שיעורי הגאון רבי חיים מן - גיטין</v>
      </c>
    </row>
    <row r="41244" spans="1:6" x14ac:dyDescent="0.2">
      <c r="A41244" t="s">
        <v>62809</v>
      </c>
      <c r="B41244" t="s">
        <v>62810</v>
      </c>
      <c r="C41244" t="s">
        <v>151</v>
      </c>
      <c r="D41244" t="s">
        <v>14</v>
      </c>
      <c r="F41244" s="2" t="str">
        <f>HYPERLINK("http://www.otzar.org/book.asp?619331","שיעורי הגאון רבי יהודה צבי דייטש")</f>
        <v>שיעורי הגאון רבי יהודה צבי דייטש</v>
      </c>
    </row>
    <row r="41245" spans="1:6" x14ac:dyDescent="0.2">
      <c r="A41245" t="s">
        <v>62811</v>
      </c>
      <c r="B41245" t="s">
        <v>57081</v>
      </c>
      <c r="C41245" t="s">
        <v>334</v>
      </c>
      <c r="D41245" t="s">
        <v>412</v>
      </c>
      <c r="F41245" s="2" t="str">
        <f>HYPERLINK("http://www.otzar.org/book.asp?198288","שיעורי הגדה בית אהרן על הגדה של פסח")</f>
        <v>שיעורי הגדה בית אהרן על הגדה של פסח</v>
      </c>
    </row>
    <row r="41246" spans="1:6" x14ac:dyDescent="0.2">
      <c r="A41246" t="s">
        <v>62812</v>
      </c>
      <c r="B41246" t="s">
        <v>19486</v>
      </c>
      <c r="C41246" t="s">
        <v>466</v>
      </c>
      <c r="D41246" t="s">
        <v>14</v>
      </c>
      <c r="F41246" s="2" t="str">
        <f>HYPERLINK("http://www.otzar.org/book.asp?630766","שיעורי הגדה של פסח")</f>
        <v>שיעורי הגדה של פסח</v>
      </c>
    </row>
    <row r="41247" spans="1:6" x14ac:dyDescent="0.2">
      <c r="A41247" t="s">
        <v>62813</v>
      </c>
      <c r="B41247" t="s">
        <v>2697</v>
      </c>
      <c r="C41247" t="s">
        <v>51</v>
      </c>
      <c r="D41247" t="s">
        <v>52</v>
      </c>
      <c r="F41247" s="2" t="str">
        <f>HYPERLINK("http://www.otzar.org/book.asp?157173","שיעורי הגר""א וסרמן - חולין")</f>
        <v>שיעורי הגר"א וסרמן - חולין</v>
      </c>
    </row>
    <row r="41248" spans="1:6" x14ac:dyDescent="0.2">
      <c r="A41248" t="s">
        <v>62814</v>
      </c>
      <c r="B41248" t="s">
        <v>62815</v>
      </c>
      <c r="C41248" t="s">
        <v>20</v>
      </c>
      <c r="D41248" t="s">
        <v>90</v>
      </c>
      <c r="E41248" t="s">
        <v>144</v>
      </c>
      <c r="F41248" s="2" t="str">
        <f>HYPERLINK("http://www.otzar.org/book.asp?604976","שיעורי הגר""א קפלן - קידושין")</f>
        <v>שיעורי הגר"א קפלן - קידושין</v>
      </c>
    </row>
    <row r="41249" spans="1:6" x14ac:dyDescent="0.2">
      <c r="A41249" t="s">
        <v>62816</v>
      </c>
      <c r="C41249" t="s">
        <v>20</v>
      </c>
      <c r="D41249" t="s">
        <v>90</v>
      </c>
      <c r="F41249" s="2" t="str">
        <f>HYPERLINK("http://www.otzar.org/book.asp?605911","שיעורי הגר""ז - מכות")</f>
        <v>שיעורי הגר"ז - מכות</v>
      </c>
    </row>
    <row r="41250" spans="1:6" x14ac:dyDescent="0.2">
      <c r="A41250" t="s">
        <v>62817</v>
      </c>
      <c r="B41250" t="s">
        <v>33328</v>
      </c>
      <c r="C41250" t="s">
        <v>20</v>
      </c>
      <c r="D41250" t="s">
        <v>14</v>
      </c>
      <c r="E41250" t="s">
        <v>104</v>
      </c>
      <c r="F41250" s="2" t="str">
        <f>HYPERLINK("http://www.otzar.org/book.asp?172788","שיעורי הגר""מ שפירא - תשנ""ט")</f>
        <v>שיעורי הגר"מ שפירא - תשנ"ט</v>
      </c>
    </row>
    <row r="41251" spans="1:6" x14ac:dyDescent="0.2">
      <c r="A41251" t="s">
        <v>62818</v>
      </c>
      <c r="B41251" t="s">
        <v>62819</v>
      </c>
      <c r="C41251" t="s">
        <v>422</v>
      </c>
      <c r="D41251" t="s">
        <v>52</v>
      </c>
      <c r="E41251" t="s">
        <v>144</v>
      </c>
      <c r="F41251" s="2" t="str">
        <f>HYPERLINK("http://www.otzar.org/book.asp?158711","שיעורי הגר""ץ - חולין, פסחים")</f>
        <v>שיעורי הגר"ץ - חולין, פסחים</v>
      </c>
    </row>
    <row r="41252" spans="1:6" x14ac:dyDescent="0.2">
      <c r="A41252" t="s">
        <v>62820</v>
      </c>
      <c r="B41252" t="s">
        <v>41281</v>
      </c>
      <c r="C41252" t="s">
        <v>244</v>
      </c>
      <c r="D41252" t="s">
        <v>2201</v>
      </c>
      <c r="E41252" t="s">
        <v>144</v>
      </c>
      <c r="F41252" s="2" t="str">
        <f>HYPERLINK("http://www.otzar.org/book.asp?630298","שיעורי הגר""צ דרבקין - 21 כר'")</f>
        <v>שיעורי הגר"צ דרבקין - 21 כר'</v>
      </c>
    </row>
    <row r="41253" spans="1:6" x14ac:dyDescent="0.2">
      <c r="A41253" t="s">
        <v>62821</v>
      </c>
      <c r="B41253" t="s">
        <v>62822</v>
      </c>
      <c r="C41253" t="s">
        <v>151</v>
      </c>
      <c r="D41253" t="s">
        <v>90</v>
      </c>
      <c r="F41253" s="2" t="str">
        <f>HYPERLINK("http://www.otzar.org/book.asp?616482","שיעורי הגר""ש נויפלד - ב""מ")</f>
        <v>שיעורי הגר"ש נויפלד - ב"מ</v>
      </c>
    </row>
    <row r="41254" spans="1:6" x14ac:dyDescent="0.2">
      <c r="A41254" t="s">
        <v>62823</v>
      </c>
      <c r="B41254" t="s">
        <v>7176</v>
      </c>
      <c r="C41254" t="s">
        <v>129</v>
      </c>
      <c r="D41254" t="s">
        <v>367</v>
      </c>
      <c r="E41254" t="s">
        <v>144</v>
      </c>
      <c r="F41254" s="2" t="str">
        <f>HYPERLINK("http://www.otzar.org/book.asp?168322","שיעורי הגרא""ח - חזקת הבתים")</f>
        <v>שיעורי הגרא"ח - חזקת הבתים</v>
      </c>
    </row>
    <row r="41255" spans="1:6" x14ac:dyDescent="0.2">
      <c r="A41255" t="s">
        <v>62824</v>
      </c>
      <c r="B41255" t="s">
        <v>8832</v>
      </c>
      <c r="C41255" t="s">
        <v>313</v>
      </c>
      <c r="D41255" t="s">
        <v>52</v>
      </c>
      <c r="E41255" t="s">
        <v>144</v>
      </c>
      <c r="F41255" s="2" t="str">
        <f>HYPERLINK("http://www.otzar.org/book.asp?106416","שיעורי הגרב""ד פוברסקי - 11 כר'")</f>
        <v>שיעורי הגרב"ד פוברסקי - 11 כר'</v>
      </c>
    </row>
    <row r="41256" spans="1:6" x14ac:dyDescent="0.2">
      <c r="A41256" t="s">
        <v>62825</v>
      </c>
      <c r="B41256" t="s">
        <v>62826</v>
      </c>
      <c r="C41256" t="s">
        <v>151</v>
      </c>
      <c r="E41256" t="s">
        <v>1211</v>
      </c>
      <c r="F41256" s="2" t="str">
        <f>HYPERLINK("http://www.otzar.org/book.asp?622554","שיעורי הגרד""א - גיטין, מכות -שיחות מוסר")</f>
        <v>שיעורי הגרד"א - גיטין, מכות -שיחות מוסר</v>
      </c>
    </row>
    <row r="41257" spans="1:6" x14ac:dyDescent="0.2">
      <c r="A41257" t="s">
        <v>62827</v>
      </c>
      <c r="B41257" t="s">
        <v>9296</v>
      </c>
      <c r="C41257" t="s">
        <v>20</v>
      </c>
      <c r="D41257" t="s">
        <v>1205</v>
      </c>
      <c r="E41257" t="s">
        <v>144</v>
      </c>
      <c r="F41257" s="2" t="str">
        <f>HYPERLINK("http://www.otzar.org/book.asp?52287","שיעורי הגרח""ד - מכות")</f>
        <v>שיעורי הגרח"ד - מכות</v>
      </c>
    </row>
    <row r="41258" spans="1:6" x14ac:dyDescent="0.2">
      <c r="A41258" t="s">
        <v>62828</v>
      </c>
      <c r="B41258" t="s">
        <v>20608</v>
      </c>
      <c r="C41258" t="s">
        <v>411</v>
      </c>
      <c r="D41258" t="s">
        <v>52</v>
      </c>
      <c r="E41258" t="s">
        <v>144</v>
      </c>
      <c r="F41258" s="2" t="str">
        <f>HYPERLINK("http://www.otzar.org/book.asp?166233","שיעורי הגרי""ג - יבמות")</f>
        <v>שיעורי הגרי"ג - יבמות</v>
      </c>
    </row>
    <row r="41259" spans="1:6" x14ac:dyDescent="0.2">
      <c r="A41259" t="s">
        <v>62829</v>
      </c>
      <c r="B41259" t="s">
        <v>62830</v>
      </c>
      <c r="C41259" t="s">
        <v>146</v>
      </c>
      <c r="D41259" t="s">
        <v>14</v>
      </c>
      <c r="E41259" t="s">
        <v>15</v>
      </c>
      <c r="F41259" s="2" t="str">
        <f>HYPERLINK("http://www.otzar.org/book.asp?160959","שיעורי הגרי""ד סאלאווייציק - סת""ם וציצית")</f>
        <v>שיעורי הגרי"ד סאלאווייציק - סת"ם וציצית</v>
      </c>
    </row>
    <row r="41260" spans="1:6" x14ac:dyDescent="0.2">
      <c r="A41260" t="s">
        <v>62831</v>
      </c>
      <c r="B41260" t="s">
        <v>62832</v>
      </c>
      <c r="C41260" t="s">
        <v>775</v>
      </c>
      <c r="D41260" t="s">
        <v>52</v>
      </c>
      <c r="E41260" t="s">
        <v>144</v>
      </c>
      <c r="F41260" s="2" t="str">
        <f>HYPERLINK("http://www.otzar.org/book.asp?154238","שיעורי הגרי""ח קופשיץ")</f>
        <v>שיעורי הגרי"ח קופשיץ</v>
      </c>
    </row>
    <row r="41261" spans="1:6" x14ac:dyDescent="0.2">
      <c r="A41261" t="s">
        <v>62833</v>
      </c>
      <c r="B41261" t="s">
        <v>62834</v>
      </c>
      <c r="C41261" t="s">
        <v>20</v>
      </c>
      <c r="D41261" t="s">
        <v>3560</v>
      </c>
      <c r="F41261" s="2" t="str">
        <f>HYPERLINK("http://www.otzar.org/book.asp?609516","שיעורי הגרי""מ דרוק - 4 כר'")</f>
        <v>שיעורי הגרי"מ דרוק - 4 כר'</v>
      </c>
    </row>
    <row r="41262" spans="1:6" x14ac:dyDescent="0.2">
      <c r="A41262" t="s">
        <v>62835</v>
      </c>
      <c r="B41262" t="s">
        <v>62836</v>
      </c>
      <c r="C41262" t="s">
        <v>454</v>
      </c>
      <c r="D41262" t="s">
        <v>52</v>
      </c>
      <c r="E41262" t="s">
        <v>144</v>
      </c>
      <c r="F41262" s="2" t="str">
        <f>HYPERLINK("http://www.otzar.org/book.asp?157455","שיעורי הגרמ""מ - גיטין")</f>
        <v>שיעורי הגרמ"מ - גיטין</v>
      </c>
    </row>
    <row r="41263" spans="1:6" x14ac:dyDescent="0.2">
      <c r="A41263" t="s">
        <v>62837</v>
      </c>
      <c r="B41263" t="s">
        <v>25342</v>
      </c>
      <c r="C41263" t="s">
        <v>1954</v>
      </c>
      <c r="D41263" t="s">
        <v>14</v>
      </c>
      <c r="E41263" t="s">
        <v>144</v>
      </c>
      <c r="F41263" s="2" t="str">
        <f>HYPERLINK("http://www.otzar.org/book.asp?167974","שיעורי הגרנ""ט - נשים נזיקין")</f>
        <v>שיעורי הגרנ"ט - נשים נזיקין</v>
      </c>
    </row>
    <row r="41264" spans="1:6" x14ac:dyDescent="0.2">
      <c r="A41264" t="s">
        <v>62838</v>
      </c>
      <c r="B41264" t="s">
        <v>38214</v>
      </c>
      <c r="F41264" s="2" t="str">
        <f>HYPERLINK("http://www.otzar.org/book.asp?616209","שיעורי הגרש""ז כהנוביץ - נדה")</f>
        <v>שיעורי הגרש"ז כהנוביץ - נדה</v>
      </c>
    </row>
    <row r="41265" spans="1:6" x14ac:dyDescent="0.2">
      <c r="A41265" t="s">
        <v>62839</v>
      </c>
      <c r="B41265" t="s">
        <v>9444</v>
      </c>
      <c r="C41265" t="s">
        <v>51</v>
      </c>
      <c r="D41265" t="s">
        <v>14</v>
      </c>
      <c r="E41265" t="s">
        <v>144</v>
      </c>
      <c r="F41265" s="2" t="str">
        <f>HYPERLINK("http://www.otzar.org/book.asp?169240","שיעורי היום - 21 כר'")</f>
        <v>שיעורי היום - 21 כר'</v>
      </c>
    </row>
    <row r="41266" spans="1:6" x14ac:dyDescent="0.2">
      <c r="A41266" t="s">
        <v>62840</v>
      </c>
      <c r="B41266" t="s">
        <v>62841</v>
      </c>
      <c r="C41266" t="s">
        <v>244</v>
      </c>
      <c r="D41266" t="s">
        <v>367</v>
      </c>
      <c r="F41266" s="2" t="str">
        <f>HYPERLINK("http://www.otzar.org/book.asp?609775","שיעורי הישיבה - פסחים")</f>
        <v>שיעורי הישיבה - פסחים</v>
      </c>
    </row>
    <row r="41267" spans="1:6" x14ac:dyDescent="0.2">
      <c r="A41267" t="s">
        <v>2114</v>
      </c>
      <c r="B41267" t="s">
        <v>42794</v>
      </c>
      <c r="C41267" t="s">
        <v>176</v>
      </c>
      <c r="D41267" t="s">
        <v>52</v>
      </c>
      <c r="E41267" t="s">
        <v>803</v>
      </c>
      <c r="F41267" s="2" t="str">
        <f>HYPERLINK("http://www.otzar.org/book.asp?149917","שיעורי הלכה")</f>
        <v>שיעורי הלכה</v>
      </c>
    </row>
    <row r="41268" spans="1:6" x14ac:dyDescent="0.2">
      <c r="A41268" t="s">
        <v>2114</v>
      </c>
      <c r="B41268" t="s">
        <v>34191</v>
      </c>
      <c r="C41268" t="s">
        <v>133</v>
      </c>
      <c r="D41268" t="s">
        <v>1076</v>
      </c>
      <c r="F41268" s="2" t="str">
        <f>HYPERLINK("http://www.otzar.org/book.asp?613162","שיעורי הלכה")</f>
        <v>שיעורי הלכה</v>
      </c>
    </row>
    <row r="41269" spans="1:6" x14ac:dyDescent="0.2">
      <c r="A41269" t="s">
        <v>62842</v>
      </c>
      <c r="B41269" t="s">
        <v>14063</v>
      </c>
      <c r="C41269" t="s">
        <v>411</v>
      </c>
      <c r="D41269" t="s">
        <v>21</v>
      </c>
      <c r="F41269" s="2" t="str">
        <f>HYPERLINK("http://www.otzar.org/book.asp?196115","שיעורי הלכה - 2 כר'")</f>
        <v>שיעורי הלכה - 2 כר'</v>
      </c>
    </row>
    <row r="41270" spans="1:6" x14ac:dyDescent="0.2">
      <c r="A41270" t="s">
        <v>62843</v>
      </c>
      <c r="B41270" t="s">
        <v>62844</v>
      </c>
      <c r="C41270" t="s">
        <v>146</v>
      </c>
      <c r="D41270" t="s">
        <v>14</v>
      </c>
      <c r="E41270" t="s">
        <v>15</v>
      </c>
      <c r="F41270" s="2" t="str">
        <f>HYPERLINK("http://www.otzar.org/book.asp?142534","שיעורי הלכה - טבילת כלים")</f>
        <v>שיעורי הלכה - טבילת כלים</v>
      </c>
    </row>
    <row r="41271" spans="1:6" x14ac:dyDescent="0.2">
      <c r="A41271" t="s">
        <v>62845</v>
      </c>
      <c r="B41271" t="s">
        <v>1748</v>
      </c>
      <c r="C41271" t="s">
        <v>366</v>
      </c>
      <c r="D41271" t="s">
        <v>52</v>
      </c>
      <c r="E41271" t="s">
        <v>15</v>
      </c>
      <c r="F41271" s="2" t="str">
        <f>HYPERLINK("http://www.otzar.org/book.asp?607601","שיעורי הלכה - תורה ומועדים")</f>
        <v>שיעורי הלכה - תורה ומועדים</v>
      </c>
    </row>
    <row r="41272" spans="1:6" x14ac:dyDescent="0.2">
      <c r="A41272" t="s">
        <v>2114</v>
      </c>
      <c r="B41272" t="s">
        <v>4606</v>
      </c>
      <c r="C41272" t="s">
        <v>585</v>
      </c>
      <c r="D41272" t="s">
        <v>52</v>
      </c>
      <c r="E41272" t="s">
        <v>263</v>
      </c>
      <c r="F41272" s="2" t="str">
        <f>HYPERLINK("http://www.otzar.org/book.asp?144484","שיעורי הלכה")</f>
        <v>שיעורי הלכה</v>
      </c>
    </row>
    <row r="41273" spans="1:6" x14ac:dyDescent="0.2">
      <c r="A41273" t="s">
        <v>62846</v>
      </c>
      <c r="B41273" t="s">
        <v>51962</v>
      </c>
      <c r="C41273" t="s">
        <v>129</v>
      </c>
      <c r="D41273" t="s">
        <v>367</v>
      </c>
      <c r="E41273" t="s">
        <v>130</v>
      </c>
      <c r="F41273" s="2" t="str">
        <f>HYPERLINK("http://www.otzar.org/book.asp?193734","שיעורי הלכות חנוכה")</f>
        <v>שיעורי הלכות חנוכה</v>
      </c>
    </row>
    <row r="41274" spans="1:6" x14ac:dyDescent="0.2">
      <c r="A41274" t="s">
        <v>62847</v>
      </c>
      <c r="B41274" t="s">
        <v>62848</v>
      </c>
      <c r="C41274" t="s">
        <v>366</v>
      </c>
      <c r="D41274" t="s">
        <v>21</v>
      </c>
      <c r="F41274" s="2" t="str">
        <f>HYPERLINK("http://www.otzar.org/book.asp?622058","שיעורי המלאכות - 5 כר'")</f>
        <v>שיעורי המלאכות - 5 כר'</v>
      </c>
    </row>
    <row r="41275" spans="1:6" x14ac:dyDescent="0.2">
      <c r="A41275" t="s">
        <v>62849</v>
      </c>
      <c r="B41275" t="s">
        <v>12596</v>
      </c>
      <c r="C41275" t="s">
        <v>244</v>
      </c>
      <c r="D41275" t="s">
        <v>14</v>
      </c>
      <c r="E41275" t="s">
        <v>1157</v>
      </c>
      <c r="F41275" s="2" t="str">
        <f>HYPERLINK("http://www.otzar.org/book.asp?600745","שיעורי המצוות לליל הסדר")</f>
        <v>שיעורי המצוות לליל הסדר</v>
      </c>
    </row>
    <row r="41276" spans="1:6" x14ac:dyDescent="0.2">
      <c r="A41276" t="s">
        <v>62850</v>
      </c>
      <c r="B41276" t="s">
        <v>19019</v>
      </c>
      <c r="C41276" t="s">
        <v>111</v>
      </c>
      <c r="D41276" t="s">
        <v>14</v>
      </c>
      <c r="E41276" t="s">
        <v>15</v>
      </c>
      <c r="F41276" s="2" t="str">
        <f>HYPERLINK("http://www.otzar.org/book.asp?627744","שיעורי הפרשה לקראת שבת")</f>
        <v>שיעורי הפרשה לקראת שבת</v>
      </c>
    </row>
    <row r="41277" spans="1:6" x14ac:dyDescent="0.2">
      <c r="A41277" t="s">
        <v>62851</v>
      </c>
      <c r="B41277" t="s">
        <v>12821</v>
      </c>
      <c r="C41277" t="s">
        <v>51</v>
      </c>
      <c r="D41277" t="s">
        <v>14</v>
      </c>
      <c r="F41277" s="2" t="str">
        <f>HYPERLINK("http://www.otzar.org/book.asp?621504","שיעורי הרב הגאון רבי יוסף דב הלוי סולוביצ'יק - 5 כר'")</f>
        <v>שיעורי הרב הגאון רבי יוסף דב הלוי סולוביצ'יק - 5 כר'</v>
      </c>
    </row>
    <row r="41278" spans="1:6" x14ac:dyDescent="0.2">
      <c r="A41278" t="s">
        <v>62852</v>
      </c>
      <c r="B41278" t="s">
        <v>62853</v>
      </c>
      <c r="C41278" t="s">
        <v>411</v>
      </c>
      <c r="D41278" t="s">
        <v>90</v>
      </c>
      <c r="E41278" t="s">
        <v>15</v>
      </c>
      <c r="F41278" s="2" t="str">
        <f>HYPERLINK("http://www.otzar.org/book.asp?606113","שיעורי הרב יעקב אפרים הכהן")</f>
        <v>שיעורי הרב יעקב אפרים הכהן</v>
      </c>
    </row>
    <row r="41279" spans="1:6" x14ac:dyDescent="0.2">
      <c r="A41279" t="s">
        <v>62854</v>
      </c>
      <c r="B41279" t="s">
        <v>62855</v>
      </c>
      <c r="C41279" t="s">
        <v>23</v>
      </c>
      <c r="D41279" t="s">
        <v>90</v>
      </c>
      <c r="E41279" t="s">
        <v>1164</v>
      </c>
      <c r="F41279" s="2" t="str">
        <f>HYPERLINK("http://www.otzar.org/book.asp?193600","שיעורי הרב רוזנבלום - פסח")</f>
        <v>שיעורי הרב רוזנבלום - פסח</v>
      </c>
    </row>
    <row r="41280" spans="1:6" x14ac:dyDescent="0.2">
      <c r="A41280" t="s">
        <v>62856</v>
      </c>
      <c r="B41280" t="s">
        <v>36226</v>
      </c>
      <c r="C41280" t="s">
        <v>129</v>
      </c>
      <c r="D41280" t="s">
        <v>14</v>
      </c>
      <c r="E41280" t="s">
        <v>130</v>
      </c>
      <c r="F41280" s="2" t="str">
        <f>HYPERLINK("http://www.otzar.org/book.asp?143613","שיעורי הרב - 7 כר'")</f>
        <v>שיעורי הרב - 7 כר'</v>
      </c>
    </row>
    <row r="41281" spans="1:6" x14ac:dyDescent="0.2">
      <c r="A41281" t="s">
        <v>62857</v>
      </c>
      <c r="B41281" t="s">
        <v>14493</v>
      </c>
      <c r="C41281" t="s">
        <v>189</v>
      </c>
      <c r="D41281" t="s">
        <v>21</v>
      </c>
      <c r="F41281" s="2" t="str">
        <f>HYPERLINK("http://www.otzar.org/book.asp?604405","שיעורי הרה""ג ר' יוסף דב הלוי")</f>
        <v>שיעורי הרה"ג ר' יוסף דב הלוי</v>
      </c>
    </row>
    <row r="41282" spans="1:6" x14ac:dyDescent="0.2">
      <c r="A41282" t="s">
        <v>62858</v>
      </c>
      <c r="B41282" t="s">
        <v>23441</v>
      </c>
      <c r="C41282" t="s">
        <v>189</v>
      </c>
      <c r="D41282" t="s">
        <v>16390</v>
      </c>
      <c r="E41282" t="s">
        <v>213</v>
      </c>
      <c r="F41282" s="2" t="str">
        <f>HYPERLINK("http://www.otzar.org/book.asp?149714","שיעורי ופניני דעת")</f>
        <v>שיעורי ופניני דעת</v>
      </c>
    </row>
    <row r="41283" spans="1:6" x14ac:dyDescent="0.2">
      <c r="A41283" t="s">
        <v>62859</v>
      </c>
      <c r="B41283" t="s">
        <v>58479</v>
      </c>
      <c r="C41283" t="s">
        <v>422</v>
      </c>
      <c r="D41283" t="s">
        <v>657</v>
      </c>
      <c r="E41283" t="s">
        <v>158</v>
      </c>
      <c r="F41283" s="2" t="str">
        <f>HYPERLINK("http://www.otzar.org/book.asp?83717","שיעורי חומש רש""י")</f>
        <v>שיעורי חומש רש"י</v>
      </c>
    </row>
    <row r="41284" spans="1:6" x14ac:dyDescent="0.2">
      <c r="A41284" t="s">
        <v>62860</v>
      </c>
      <c r="B41284" t="s">
        <v>62861</v>
      </c>
      <c r="C41284" t="s">
        <v>68</v>
      </c>
      <c r="D41284" t="s">
        <v>14</v>
      </c>
      <c r="E41284" t="s">
        <v>158</v>
      </c>
      <c r="F41284" s="2" t="str">
        <f>HYPERLINK("http://www.otzar.org/book.asp?159677","שיעורי חומש - 2 כר'")</f>
        <v>שיעורי חומש - 2 כר'</v>
      </c>
    </row>
    <row r="41285" spans="1:6" x14ac:dyDescent="0.2">
      <c r="A41285" t="s">
        <v>62862</v>
      </c>
      <c r="B41285" t="s">
        <v>62815</v>
      </c>
      <c r="C41285" t="s">
        <v>20</v>
      </c>
      <c r="D41285" t="s">
        <v>14</v>
      </c>
      <c r="F41285" s="2" t="str">
        <f>HYPERLINK("http://www.otzar.org/book.asp?199286","שיעורי חרושת אבן - גיטין")</f>
        <v>שיעורי חרושת אבן - גיטין</v>
      </c>
    </row>
    <row r="41286" spans="1:6" x14ac:dyDescent="0.2">
      <c r="A41286" t="s">
        <v>62863</v>
      </c>
      <c r="B41286" t="s">
        <v>1681</v>
      </c>
      <c r="C41286" t="s">
        <v>13</v>
      </c>
      <c r="D41286" t="s">
        <v>657</v>
      </c>
      <c r="E41286" t="s">
        <v>15</v>
      </c>
      <c r="F41286" s="2" t="str">
        <f>HYPERLINK("http://www.otzar.org/book.asp?145355","שיעורי טהרה")</f>
        <v>שיעורי טהרה</v>
      </c>
    </row>
    <row r="41287" spans="1:6" x14ac:dyDescent="0.2">
      <c r="A41287" t="s">
        <v>62864</v>
      </c>
      <c r="B41287" t="s">
        <v>58289</v>
      </c>
      <c r="C41287" t="s">
        <v>20</v>
      </c>
      <c r="D41287" t="s">
        <v>14</v>
      </c>
      <c r="F41287" s="2" t="str">
        <f>HYPERLINK("http://www.otzar.org/book.asp?616066","שיעורי יבמות")</f>
        <v>שיעורי יבמות</v>
      </c>
    </row>
    <row r="41288" spans="1:6" x14ac:dyDescent="0.2">
      <c r="A41288" t="s">
        <v>62864</v>
      </c>
      <c r="B41288" t="s">
        <v>62789</v>
      </c>
      <c r="C41288" t="s">
        <v>133</v>
      </c>
      <c r="D41288" t="s">
        <v>657</v>
      </c>
      <c r="E41288" t="s">
        <v>144</v>
      </c>
      <c r="F41288" s="2" t="str">
        <f>HYPERLINK("http://www.otzar.org/book.asp?600954","שיעורי יבמות")</f>
        <v>שיעורי יבמות</v>
      </c>
    </row>
    <row r="41289" spans="1:6" x14ac:dyDescent="0.2">
      <c r="A41289" t="s">
        <v>62865</v>
      </c>
      <c r="B41289" t="s">
        <v>28250</v>
      </c>
      <c r="C41289" t="s">
        <v>133</v>
      </c>
      <c r="D41289" t="s">
        <v>14</v>
      </c>
      <c r="E41289" t="s">
        <v>144</v>
      </c>
      <c r="F41289" s="2" t="str">
        <f>HYPERLINK("http://www.otzar.org/book.asp?191113","שיעורי יד הלוי - 2 כר'")</f>
        <v>שיעורי יד הלוי - 2 כר'</v>
      </c>
    </row>
    <row r="41290" spans="1:6" x14ac:dyDescent="0.2">
      <c r="A41290" t="s">
        <v>62866</v>
      </c>
      <c r="B41290" t="s">
        <v>31516</v>
      </c>
      <c r="C41290" t="s">
        <v>114</v>
      </c>
      <c r="D41290" t="s">
        <v>646</v>
      </c>
      <c r="F41290" s="2" t="str">
        <f>HYPERLINK("http://www.otzar.org/book.asp?180183","שיעורי יומא")</f>
        <v>שיעורי יומא</v>
      </c>
    </row>
    <row r="41291" spans="1:6" x14ac:dyDescent="0.2">
      <c r="A41291" t="s">
        <v>62867</v>
      </c>
      <c r="B41291" t="s">
        <v>57081</v>
      </c>
      <c r="C41291" t="s">
        <v>124</v>
      </c>
      <c r="D41291" t="s">
        <v>412</v>
      </c>
      <c r="E41291" t="s">
        <v>325</v>
      </c>
      <c r="F41291" s="2" t="str">
        <f>HYPERLINK("http://www.otzar.org/book.asp?198307","שיעורי יורה דעה בית אהרן")</f>
        <v>שיעורי יורה דעה בית אהרן</v>
      </c>
    </row>
    <row r="41292" spans="1:6" x14ac:dyDescent="0.2">
      <c r="A41292" t="s">
        <v>62868</v>
      </c>
      <c r="B41292" t="s">
        <v>62869</v>
      </c>
      <c r="C41292" t="s">
        <v>366</v>
      </c>
      <c r="D41292" t="s">
        <v>52</v>
      </c>
      <c r="E41292" t="s">
        <v>144</v>
      </c>
      <c r="F41292" s="2" t="str">
        <f>HYPERLINK("http://www.otzar.org/book.asp?632127","שיעורי ישיבה קטנה - מכות")</f>
        <v>שיעורי ישיבה קטנה - מכות</v>
      </c>
    </row>
    <row r="41293" spans="1:6" x14ac:dyDescent="0.2">
      <c r="A41293" t="s">
        <v>62870</v>
      </c>
      <c r="B41293" t="s">
        <v>4547</v>
      </c>
      <c r="C41293" t="s">
        <v>313</v>
      </c>
      <c r="D41293" t="s">
        <v>14</v>
      </c>
      <c r="E41293" t="s">
        <v>144</v>
      </c>
      <c r="F41293" s="2" t="str">
        <f>HYPERLINK("http://www.otzar.org/book.asp?51608","שיעורי כתובות")</f>
        <v>שיעורי כתובות</v>
      </c>
    </row>
    <row r="41294" spans="1:6" x14ac:dyDescent="0.2">
      <c r="A41294" t="s">
        <v>62870</v>
      </c>
      <c r="B41294" t="s">
        <v>62871</v>
      </c>
      <c r="C41294" t="s">
        <v>62872</v>
      </c>
      <c r="D41294" t="s">
        <v>14</v>
      </c>
      <c r="E41294" t="s">
        <v>144</v>
      </c>
      <c r="F41294" s="2" t="str">
        <f>HYPERLINK("http://www.otzar.org/book.asp?625026","שיעורי כתובות")</f>
        <v>שיעורי כתובות</v>
      </c>
    </row>
    <row r="41295" spans="1:6" x14ac:dyDescent="0.2">
      <c r="A41295" t="s">
        <v>62873</v>
      </c>
      <c r="B41295" t="s">
        <v>11585</v>
      </c>
      <c r="C41295" t="s">
        <v>23</v>
      </c>
      <c r="D41295" t="s">
        <v>52</v>
      </c>
      <c r="F41295" s="2" t="str">
        <f>HYPERLINK("http://www.otzar.org/book.asp?194602","שיעורי ליל שבת")</f>
        <v>שיעורי ליל שבת</v>
      </c>
    </row>
    <row r="41296" spans="1:6" x14ac:dyDescent="0.2">
      <c r="A41296" t="s">
        <v>62874</v>
      </c>
      <c r="B41296" t="s">
        <v>62875</v>
      </c>
      <c r="C41296" t="s">
        <v>23</v>
      </c>
      <c r="D41296" t="s">
        <v>147</v>
      </c>
      <c r="E41296" t="s">
        <v>15</v>
      </c>
      <c r="F41296" s="2" t="str">
        <f>HYPERLINK("http://www.otzar.org/book.asp?192853","שיעורי ליל שבת - 2 כר'")</f>
        <v>שיעורי ליל שבת - 2 כר'</v>
      </c>
    </row>
    <row r="41297" spans="1:6" x14ac:dyDescent="0.2">
      <c r="A41297" t="s">
        <v>62876</v>
      </c>
      <c r="B41297" t="s">
        <v>58258</v>
      </c>
      <c r="C41297" t="s">
        <v>411</v>
      </c>
      <c r="D41297" t="s">
        <v>12936</v>
      </c>
      <c r="E41297" t="s">
        <v>230</v>
      </c>
      <c r="F41297" s="2" t="str">
        <f>HYPERLINK("http://www.otzar.org/book.asp?606773","שיעורי ליל שישי - 2 כר'")</f>
        <v>שיעורי ליל שישי - 2 כר'</v>
      </c>
    </row>
    <row r="41298" spans="1:6" x14ac:dyDescent="0.2">
      <c r="A41298" t="s">
        <v>62877</v>
      </c>
      <c r="B41298" t="s">
        <v>34888</v>
      </c>
      <c r="C41298" t="s">
        <v>244</v>
      </c>
      <c r="D41298" t="s">
        <v>14</v>
      </c>
      <c r="E41298" t="s">
        <v>144</v>
      </c>
      <c r="F41298" s="2" t="str">
        <f>HYPERLINK("http://www.otzar.org/book.asp?600079","שיעורי מבשר טוב - 22 כר'")</f>
        <v>שיעורי מבשר טוב - 22 כר'</v>
      </c>
    </row>
    <row r="41299" spans="1:6" x14ac:dyDescent="0.2">
      <c r="A41299" t="s">
        <v>62878</v>
      </c>
      <c r="B41299" t="s">
        <v>57081</v>
      </c>
      <c r="C41299" t="s">
        <v>1448</v>
      </c>
      <c r="D41299" t="s">
        <v>412</v>
      </c>
      <c r="E41299" t="s">
        <v>872</v>
      </c>
      <c r="F41299" s="2" t="str">
        <f>HYPERLINK("http://www.otzar.org/book.asp?198292","שיעורי מגילה בית אהרן")</f>
        <v>שיעורי מגילה בית אהרן</v>
      </c>
    </row>
    <row r="41300" spans="1:6" x14ac:dyDescent="0.2">
      <c r="A41300" t="s">
        <v>62879</v>
      </c>
      <c r="B41300" t="s">
        <v>62880</v>
      </c>
      <c r="C41300" t="s">
        <v>17</v>
      </c>
      <c r="D41300" t="s">
        <v>52</v>
      </c>
      <c r="E41300" t="s">
        <v>144</v>
      </c>
      <c r="F41300" s="2" t="str">
        <f>HYPERLINK("http://www.otzar.org/book.asp?179690","שיעורי מו""ר ראש הישיבה - בבא מציעא")</f>
        <v>שיעורי מו"ר ראש הישיבה - בבא מציעא</v>
      </c>
    </row>
    <row r="41301" spans="1:6" x14ac:dyDescent="0.2">
      <c r="A41301" t="s">
        <v>62881</v>
      </c>
      <c r="C41301" t="s">
        <v>20</v>
      </c>
      <c r="F41301" s="2" t="str">
        <f>HYPERLINK("http://www.otzar.org/book.asp?198190","שיעורי מורינו הגר""ש נוביק - יש נוחלין")</f>
        <v>שיעורי מורינו הגר"ש נוביק - יש נוחלין</v>
      </c>
    </row>
    <row r="41302" spans="1:6" x14ac:dyDescent="0.2">
      <c r="A41302" t="s">
        <v>62882</v>
      </c>
      <c r="B41302" t="s">
        <v>17431</v>
      </c>
      <c r="C41302" t="s">
        <v>20</v>
      </c>
      <c r="D41302" t="s">
        <v>90</v>
      </c>
      <c r="F41302" s="2" t="str">
        <f>HYPERLINK("http://www.otzar.org/book.asp?609711","שיעורי מורינו הגרמ""מ - 3 כר'")</f>
        <v>שיעורי מורינו הגרמ"מ - 3 כר'</v>
      </c>
    </row>
    <row r="41303" spans="1:6" x14ac:dyDescent="0.2">
      <c r="A41303" t="s">
        <v>62883</v>
      </c>
      <c r="B41303" t="s">
        <v>62884</v>
      </c>
      <c r="C41303" t="s">
        <v>20</v>
      </c>
      <c r="D41303" t="s">
        <v>14</v>
      </c>
      <c r="E41303" t="s">
        <v>144</v>
      </c>
      <c r="F41303" s="2" t="str">
        <f>HYPERLINK("http://www.otzar.org/book.asp?153207","שיעורי מורנו הגאון רבי אבא ברמן - גיטין")</f>
        <v>שיעורי מורנו הגאון רבי אבא ברמן - גיטין</v>
      </c>
    </row>
    <row r="41304" spans="1:6" x14ac:dyDescent="0.2">
      <c r="A41304" t="s">
        <v>62885</v>
      </c>
      <c r="B41304" t="s">
        <v>15770</v>
      </c>
      <c r="C41304" t="s">
        <v>189</v>
      </c>
      <c r="F41304" s="2" t="str">
        <f>HYPERLINK("http://www.otzar.org/book.asp?618461","שיעורי מורנו הגר""פ ברונפמן - 3 כר'")</f>
        <v>שיעורי מורנו הגר"פ ברונפמן - 3 כר'</v>
      </c>
    </row>
    <row r="41305" spans="1:6" x14ac:dyDescent="0.2">
      <c r="A41305" t="s">
        <v>62886</v>
      </c>
      <c r="B41305" t="s">
        <v>62887</v>
      </c>
      <c r="C41305" t="s">
        <v>20</v>
      </c>
      <c r="D41305" t="s">
        <v>52</v>
      </c>
      <c r="E41305" t="s">
        <v>144</v>
      </c>
      <c r="F41305" s="2" t="str">
        <f>HYPERLINK("http://www.otzar.org/book.asp?159882","שיעורי מורנו הגר""ש רוזובסקי - 2 כר'")</f>
        <v>שיעורי מורנו הגר"ש רוזובסקי - 2 כר'</v>
      </c>
    </row>
    <row r="41306" spans="1:6" x14ac:dyDescent="0.2">
      <c r="A41306" t="s">
        <v>62888</v>
      </c>
      <c r="B41306" t="s">
        <v>43968</v>
      </c>
      <c r="C41306" t="s">
        <v>624</v>
      </c>
      <c r="D41306" t="s">
        <v>1356</v>
      </c>
      <c r="E41306" t="s">
        <v>144</v>
      </c>
      <c r="F41306" s="2" t="str">
        <f>HYPERLINK("http://www.otzar.org/book.asp?146498","שיעורי מורנו ראש הישיבה שליט""א")</f>
        <v>שיעורי מורנו ראש הישיבה שליט"א</v>
      </c>
    </row>
    <row r="41307" spans="1:6" x14ac:dyDescent="0.2">
      <c r="A41307" t="s">
        <v>62889</v>
      </c>
      <c r="B41307" t="s">
        <v>8903</v>
      </c>
      <c r="C41307" t="s">
        <v>17</v>
      </c>
      <c r="D41307" t="s">
        <v>657</v>
      </c>
      <c r="E41307" t="s">
        <v>144</v>
      </c>
      <c r="F41307" s="2" t="str">
        <f>HYPERLINK("http://www.otzar.org/book.asp?163345","שיעורי מורנו ראש הישיבה - 2 כר'")</f>
        <v>שיעורי מורנו ראש הישיבה - 2 כר'</v>
      </c>
    </row>
    <row r="41308" spans="1:6" x14ac:dyDescent="0.2">
      <c r="A41308" t="s">
        <v>62890</v>
      </c>
      <c r="B41308" t="s">
        <v>62891</v>
      </c>
      <c r="C41308" t="s">
        <v>411</v>
      </c>
      <c r="D41308" t="s">
        <v>52</v>
      </c>
      <c r="F41308" s="2" t="str">
        <f>HYPERLINK("http://www.otzar.org/book.asp?613781","שיעורי מורנו רבי דוד - 3 כר'")</f>
        <v>שיעורי מורנו רבי דוד - 3 כר'</v>
      </c>
    </row>
    <row r="41309" spans="1:6" x14ac:dyDescent="0.2">
      <c r="A41309" t="s">
        <v>62892</v>
      </c>
      <c r="B41309" t="s">
        <v>36945</v>
      </c>
      <c r="C41309" t="s">
        <v>523</v>
      </c>
      <c r="D41309" t="s">
        <v>14</v>
      </c>
      <c r="E41309" t="s">
        <v>144</v>
      </c>
      <c r="F41309" s="2" t="str">
        <f>HYPERLINK("http://www.otzar.org/book.asp?179795","שיעורי מחצית השקל &lt;תקמ""ו - תקנ""א&gt; - חידושי מחצית השקל - פסחים, כתובות")</f>
        <v>שיעורי מחצית השקל &lt;תקמ"ו - תקנ"א&gt; - חידושי מחצית השקל - פסחים, כתובות</v>
      </c>
    </row>
    <row r="41310" spans="1:6" x14ac:dyDescent="0.2">
      <c r="A41310" t="s">
        <v>62893</v>
      </c>
      <c r="B41310" t="s">
        <v>36945</v>
      </c>
      <c r="C41310" t="s">
        <v>383</v>
      </c>
      <c r="D41310" t="s">
        <v>14</v>
      </c>
      <c r="E41310" t="s">
        <v>62894</v>
      </c>
      <c r="F41310" s="2" t="str">
        <f>HYPERLINK("http://www.otzar.org/book.asp?10071","שיעורי מחצית השקל - תקנ""א תקנ""ה")</f>
        <v>שיעורי מחצית השקל - תקנ"א תקנ"ה</v>
      </c>
    </row>
    <row r="41311" spans="1:6" x14ac:dyDescent="0.2">
      <c r="A41311" t="s">
        <v>62895</v>
      </c>
      <c r="B41311" t="s">
        <v>62789</v>
      </c>
      <c r="C41311" t="s">
        <v>114</v>
      </c>
      <c r="D41311" t="s">
        <v>657</v>
      </c>
      <c r="E41311" t="s">
        <v>144</v>
      </c>
      <c r="F41311" s="2" t="str">
        <f>HYPERLINK("http://www.otzar.org/book.asp?600955","שיעורי מכות")</f>
        <v>שיעורי מכות</v>
      </c>
    </row>
    <row r="41312" spans="1:6" x14ac:dyDescent="0.2">
      <c r="A41312" t="s">
        <v>62896</v>
      </c>
      <c r="B41312" t="s">
        <v>57700</v>
      </c>
      <c r="C41312" t="s">
        <v>454</v>
      </c>
      <c r="D41312" t="s">
        <v>52</v>
      </c>
      <c r="E41312" t="s">
        <v>144</v>
      </c>
      <c r="F41312" s="2" t="str">
        <f>HYPERLINK("http://www.otzar.org/book.asp?626281","שיעורי מנוחת אמת - קידושין")</f>
        <v>שיעורי מנוחת אמת - קידושין</v>
      </c>
    </row>
    <row r="41313" spans="1:6" x14ac:dyDescent="0.2">
      <c r="A41313" t="s">
        <v>62897</v>
      </c>
      <c r="B41313" t="s">
        <v>39004</v>
      </c>
      <c r="C41313" t="s">
        <v>129</v>
      </c>
      <c r="D41313" t="s">
        <v>412</v>
      </c>
      <c r="E41313" t="s">
        <v>144</v>
      </c>
      <c r="F41313" s="2" t="str">
        <f>HYPERLINK("http://www.otzar.org/book.asp?172110","שיעורי מנחת שאול - בבא מציעא")</f>
        <v>שיעורי מנחת שאול - בבא מציעא</v>
      </c>
    </row>
    <row r="41314" spans="1:6" x14ac:dyDescent="0.2">
      <c r="A41314" t="s">
        <v>62898</v>
      </c>
      <c r="B41314" t="s">
        <v>18804</v>
      </c>
      <c r="C41314" t="s">
        <v>68</v>
      </c>
      <c r="D41314" t="s">
        <v>52</v>
      </c>
      <c r="F41314" s="2" t="str">
        <f>HYPERLINK("http://www.otzar.org/book.asp?194612","שיעורי מצבת רחל - אהלות")</f>
        <v>שיעורי מצבת רחל - אהלות</v>
      </c>
    </row>
    <row r="41315" spans="1:6" x14ac:dyDescent="0.2">
      <c r="A41315" t="s">
        <v>62899</v>
      </c>
      <c r="B41315" t="s">
        <v>2812</v>
      </c>
      <c r="C41315" t="s">
        <v>156</v>
      </c>
      <c r="D41315" t="s">
        <v>1422</v>
      </c>
      <c r="E41315" t="s">
        <v>104</v>
      </c>
      <c r="F41315" s="2" t="str">
        <f>HYPERLINK("http://www.otzar.org/book.asp?102026","שיעורי מצות")</f>
        <v>שיעורי מצות</v>
      </c>
    </row>
    <row r="41316" spans="1:6" x14ac:dyDescent="0.2">
      <c r="A41316" t="s">
        <v>62900</v>
      </c>
      <c r="B41316" t="s">
        <v>40943</v>
      </c>
      <c r="C41316" t="s">
        <v>1208</v>
      </c>
      <c r="D41316" t="s">
        <v>52</v>
      </c>
      <c r="F41316" s="2" t="str">
        <f>HYPERLINK("http://www.otzar.org/book.asp?613291","שיעורי מקדש דוד")</f>
        <v>שיעורי מקדש דוד</v>
      </c>
    </row>
    <row r="41317" spans="1:6" x14ac:dyDescent="0.2">
      <c r="A41317" t="s">
        <v>62901</v>
      </c>
      <c r="B41317" t="s">
        <v>62902</v>
      </c>
      <c r="C41317" t="s">
        <v>143</v>
      </c>
      <c r="D41317" t="s">
        <v>14</v>
      </c>
      <c r="E41317" t="s">
        <v>144</v>
      </c>
      <c r="F41317" s="2" t="str">
        <f>HYPERLINK("http://www.otzar.org/book.asp?169134","שיעורי מרן הג""ר בנימין ביינוש פינקל - ב""מ")</f>
        <v>שיעורי מרן הג"ר בנימין ביינוש פינקל - ב"מ</v>
      </c>
    </row>
    <row r="41318" spans="1:6" x14ac:dyDescent="0.2">
      <c r="A41318" t="s">
        <v>62903</v>
      </c>
      <c r="B41318" t="s">
        <v>25706</v>
      </c>
      <c r="C41318" t="s">
        <v>20</v>
      </c>
      <c r="D41318" t="s">
        <v>14</v>
      </c>
      <c r="E41318" t="s">
        <v>144</v>
      </c>
      <c r="F41318" s="2" t="str">
        <f>HYPERLINK("http://www.otzar.org/book.asp?159891","שיעורי מרן הגאון ר' נחום פרצוביץ - 2 כר'")</f>
        <v>שיעורי מרן הגאון ר' נחום פרצוביץ - 2 כר'</v>
      </c>
    </row>
    <row r="41319" spans="1:6" x14ac:dyDescent="0.2">
      <c r="A41319" t="s">
        <v>62904</v>
      </c>
      <c r="B41319" t="s">
        <v>17792</v>
      </c>
      <c r="C41319" t="s">
        <v>1208</v>
      </c>
      <c r="D41319" t="s">
        <v>14</v>
      </c>
      <c r="E41319" t="s">
        <v>144</v>
      </c>
      <c r="F41319" s="2" t="str">
        <f>HYPERLINK("http://www.otzar.org/book.asp?61725","שיעורי מרן הגר""א שפירא - 6 כר'")</f>
        <v>שיעורי מרן הגר"א שפירא - 6 כר'</v>
      </c>
    </row>
    <row r="41320" spans="1:6" x14ac:dyDescent="0.2">
      <c r="A41320" t="s">
        <v>62905</v>
      </c>
      <c r="B41320" t="s">
        <v>51442</v>
      </c>
      <c r="C41320" t="s">
        <v>114</v>
      </c>
      <c r="D41320" t="s">
        <v>21</v>
      </c>
      <c r="F41320" s="2" t="str">
        <f>HYPERLINK("http://www.otzar.org/book.asp?191755","שיעורי מרן הגרי""ש אלישיב - ברכות")</f>
        <v>שיעורי מרן הגרי"ש אלישיב - ברכות</v>
      </c>
    </row>
    <row r="41321" spans="1:6" x14ac:dyDescent="0.2">
      <c r="A41321" t="s">
        <v>62906</v>
      </c>
      <c r="B41321" t="s">
        <v>62907</v>
      </c>
      <c r="C41321" t="s">
        <v>23</v>
      </c>
      <c r="D41321" t="s">
        <v>412</v>
      </c>
      <c r="E41321" t="s">
        <v>144</v>
      </c>
      <c r="F41321" s="2" t="str">
        <f>HYPERLINK("http://www.otzar.org/book.asp?194955","שיעורי מרן ר' פסח מקוברין &lt;מהדורה חדשה&gt;")</f>
        <v>שיעורי מרן ר' פסח מקוברין &lt;מהדורה חדשה&gt;</v>
      </c>
    </row>
    <row r="41322" spans="1:6" x14ac:dyDescent="0.2">
      <c r="A41322" t="s">
        <v>62908</v>
      </c>
      <c r="B41322" t="s">
        <v>62909</v>
      </c>
      <c r="C41322" t="s">
        <v>466</v>
      </c>
      <c r="D41322" t="s">
        <v>21</v>
      </c>
      <c r="E41322" t="s">
        <v>144</v>
      </c>
      <c r="F41322" s="2" t="str">
        <f>HYPERLINK("http://www.otzar.org/book.asp?197202","שיעורי מרן ראש הישיבה - קידושין")</f>
        <v>שיעורי מרן ראש הישיבה - קידושין</v>
      </c>
    </row>
    <row r="41323" spans="1:6" x14ac:dyDescent="0.2">
      <c r="A41323" t="s">
        <v>62910</v>
      </c>
      <c r="B41323" t="s">
        <v>1353</v>
      </c>
      <c r="C41323" t="s">
        <v>533</v>
      </c>
      <c r="D41323" t="s">
        <v>52</v>
      </c>
      <c r="E41323" t="s">
        <v>144</v>
      </c>
      <c r="F41323" s="2" t="str">
        <f>HYPERLINK("http://www.otzar.org/book.asp?176938","שיעורי מרן רה""י הגראי""ל שטינמן - יבמות")</f>
        <v>שיעורי מרן רה"י הגראי"ל שטינמן - יבמות</v>
      </c>
    </row>
    <row r="41324" spans="1:6" x14ac:dyDescent="0.2">
      <c r="A41324" t="s">
        <v>62911</v>
      </c>
      <c r="B41324" t="s">
        <v>62912</v>
      </c>
      <c r="C41324" t="s">
        <v>332</v>
      </c>
      <c r="D41324" t="s">
        <v>80</v>
      </c>
      <c r="E41324" t="s">
        <v>144</v>
      </c>
      <c r="F41324" s="2" t="str">
        <f>HYPERLINK("http://www.otzar.org/book.asp?604277","שיעורי מרנן ראשי הישיבה")</f>
        <v>שיעורי מרנן ראשי הישיבה</v>
      </c>
    </row>
    <row r="41325" spans="1:6" x14ac:dyDescent="0.2">
      <c r="A41325" t="s">
        <v>62913</v>
      </c>
      <c r="B41325" t="s">
        <v>31128</v>
      </c>
      <c r="C41325" t="s">
        <v>244</v>
      </c>
      <c r="D41325" t="s">
        <v>52</v>
      </c>
      <c r="E41325" t="s">
        <v>144</v>
      </c>
      <c r="F41325" s="2" t="str">
        <f>HYPERLINK("http://www.otzar.org/book.asp?199906","שיעורי משא יד - 15 כר'")</f>
        <v>שיעורי משא יד - 15 כר'</v>
      </c>
    </row>
    <row r="41326" spans="1:6" x14ac:dyDescent="0.2">
      <c r="A41326" t="s">
        <v>62914</v>
      </c>
      <c r="B41326" t="s">
        <v>5634</v>
      </c>
      <c r="C41326" t="s">
        <v>411</v>
      </c>
      <c r="D41326" t="s">
        <v>52</v>
      </c>
      <c r="E41326" t="s">
        <v>144</v>
      </c>
      <c r="F41326" s="2" t="str">
        <f>HYPERLINK("http://www.otzar.org/book.asp?165521","שיעורי משמר הלוי - 5 כר'")</f>
        <v>שיעורי משמר הלוי - 5 כר'</v>
      </c>
    </row>
    <row r="41327" spans="1:6" x14ac:dyDescent="0.2">
      <c r="A41327" t="s">
        <v>62915</v>
      </c>
      <c r="B41327" t="s">
        <v>62916</v>
      </c>
      <c r="C41327" t="s">
        <v>146</v>
      </c>
      <c r="D41327" t="s">
        <v>152</v>
      </c>
      <c r="E41327" t="s">
        <v>144</v>
      </c>
      <c r="F41327" s="2" t="str">
        <f>HYPERLINK("http://www.otzar.org/book.asp?61910","שיעורי משמר הלוי - זבחים")</f>
        <v>שיעורי משמר הלוי - זבחים</v>
      </c>
    </row>
    <row r="41328" spans="1:6" x14ac:dyDescent="0.2">
      <c r="A41328" t="s">
        <v>62917</v>
      </c>
      <c r="B41328" t="s">
        <v>62918</v>
      </c>
      <c r="C41328" t="s">
        <v>23</v>
      </c>
      <c r="D41328" t="s">
        <v>52</v>
      </c>
      <c r="E41328" t="s">
        <v>144</v>
      </c>
      <c r="F41328" s="2" t="str">
        <f>HYPERLINK("http://www.otzar.org/book.asp?193717","שיעורי משנת אב - זבחים")</f>
        <v>שיעורי משנת אב - זבחים</v>
      </c>
    </row>
    <row r="41329" spans="1:6" x14ac:dyDescent="0.2">
      <c r="A41329" t="s">
        <v>62919</v>
      </c>
      <c r="B41329" t="s">
        <v>9506</v>
      </c>
      <c r="C41329" t="s">
        <v>244</v>
      </c>
      <c r="D41329" t="s">
        <v>52</v>
      </c>
      <c r="F41329" s="2" t="str">
        <f>HYPERLINK("http://www.otzar.org/book.asp?621156","שיעורי נדה")</f>
        <v>שיעורי נדה</v>
      </c>
    </row>
    <row r="41330" spans="1:6" x14ac:dyDescent="0.2">
      <c r="A41330" t="s">
        <v>62919</v>
      </c>
      <c r="B41330" t="s">
        <v>62920</v>
      </c>
      <c r="C41330" t="s">
        <v>51</v>
      </c>
      <c r="D41330" t="s">
        <v>2375</v>
      </c>
      <c r="E41330" t="s">
        <v>325</v>
      </c>
      <c r="F41330" s="2" t="str">
        <f>HYPERLINK("http://www.otzar.org/book.asp?165465","שיעורי נדה")</f>
        <v>שיעורי נדה</v>
      </c>
    </row>
    <row r="41331" spans="1:6" x14ac:dyDescent="0.2">
      <c r="A41331" t="s">
        <v>62921</v>
      </c>
      <c r="B41331" t="s">
        <v>62789</v>
      </c>
      <c r="C41331" t="s">
        <v>244</v>
      </c>
      <c r="D41331" t="s">
        <v>657</v>
      </c>
      <c r="E41331" t="s">
        <v>144</v>
      </c>
      <c r="F41331" s="2" t="str">
        <f>HYPERLINK("http://www.otzar.org/book.asp?600956","שיעורי נדרים")</f>
        <v>שיעורי נדרים</v>
      </c>
    </row>
    <row r="41332" spans="1:6" x14ac:dyDescent="0.2">
      <c r="A41332" t="s">
        <v>62922</v>
      </c>
      <c r="B41332" t="s">
        <v>62923</v>
      </c>
      <c r="C41332" t="s">
        <v>20</v>
      </c>
      <c r="D41332" t="s">
        <v>21</v>
      </c>
      <c r="E41332" t="s">
        <v>144</v>
      </c>
      <c r="F41332" s="2" t="str">
        <f>HYPERLINK("http://www.otzar.org/book.asp?190946","שיעורי נזיר")</f>
        <v>שיעורי נזיר</v>
      </c>
    </row>
    <row r="41333" spans="1:6" x14ac:dyDescent="0.2">
      <c r="A41333" t="s">
        <v>62924</v>
      </c>
      <c r="B41333" t="s">
        <v>41181</v>
      </c>
      <c r="C41333" t="s">
        <v>20</v>
      </c>
      <c r="D41333" t="s">
        <v>14</v>
      </c>
      <c r="F41333" s="2" t="str">
        <f>HYPERLINK("http://www.otzar.org/book.asp?198711","שיעורי נתיב בינה - 8 כר'")</f>
        <v>שיעורי נתיב בינה - 8 כר'</v>
      </c>
    </row>
    <row r="41334" spans="1:6" x14ac:dyDescent="0.2">
      <c r="A41334" t="s">
        <v>62925</v>
      </c>
      <c r="B41334" t="s">
        <v>45030</v>
      </c>
      <c r="C41334" t="s">
        <v>151</v>
      </c>
      <c r="D41334" t="s">
        <v>14</v>
      </c>
      <c r="F41334" s="2" t="str">
        <f>HYPERLINK("http://www.otzar.org/book.asp?618609","שיעורי נתיבות אדם - בשר בחלב")</f>
        <v>שיעורי נתיבות אדם - בשר בחלב</v>
      </c>
    </row>
    <row r="41335" spans="1:6" x14ac:dyDescent="0.2">
      <c r="A41335" t="s">
        <v>62926</v>
      </c>
      <c r="B41335" t="s">
        <v>45038</v>
      </c>
      <c r="E41335" t="s">
        <v>144</v>
      </c>
      <c r="F41335" s="2" t="str">
        <f>HYPERLINK("http://www.otzar.org/book.asp?622607","שיעורי נתיבות אשר - 7 כר'")</f>
        <v>שיעורי נתיבות אשר - 7 כר'</v>
      </c>
    </row>
    <row r="41336" spans="1:6" x14ac:dyDescent="0.2">
      <c r="A41336" t="s">
        <v>62927</v>
      </c>
      <c r="B41336" t="s">
        <v>45181</v>
      </c>
      <c r="C41336" t="s">
        <v>133</v>
      </c>
      <c r="D41336" t="s">
        <v>14</v>
      </c>
      <c r="E41336" t="s">
        <v>144</v>
      </c>
      <c r="F41336" s="2" t="str">
        <f>HYPERLINK("http://www.otzar.org/book.asp?175527","שיעורי נתיבות שלום - 3 כר'")</f>
        <v>שיעורי נתיבות שלום - 3 כר'</v>
      </c>
    </row>
    <row r="41337" spans="1:6" x14ac:dyDescent="0.2">
      <c r="A41337" t="s">
        <v>62928</v>
      </c>
      <c r="B41337" t="s">
        <v>33328</v>
      </c>
      <c r="C41337" t="s">
        <v>111</v>
      </c>
      <c r="D41337" t="s">
        <v>14</v>
      </c>
      <c r="E41337" t="s">
        <v>144</v>
      </c>
      <c r="F41337" s="2" t="str">
        <f>HYPERLINK("http://www.otzar.org/book.asp?624850","שיעורי סבי דבי אתונא")</f>
        <v>שיעורי סבי דבי אתונא</v>
      </c>
    </row>
    <row r="41338" spans="1:6" x14ac:dyDescent="0.2">
      <c r="A41338" t="s">
        <v>62929</v>
      </c>
      <c r="B41338" t="s">
        <v>36930</v>
      </c>
      <c r="C41338" t="s">
        <v>68</v>
      </c>
      <c r="D41338" t="s">
        <v>245</v>
      </c>
      <c r="E41338" t="s">
        <v>144</v>
      </c>
      <c r="F41338" s="2" t="str">
        <f>HYPERLINK("http://www.otzar.org/book.asp?163231","שיעורי סוגיות אבן גבורים - 10 כר'")</f>
        <v>שיעורי סוגיות אבן גבורים - 10 כר'</v>
      </c>
    </row>
    <row r="41339" spans="1:6" x14ac:dyDescent="0.2">
      <c r="A41339" t="s">
        <v>62930</v>
      </c>
      <c r="B41339" t="s">
        <v>17068</v>
      </c>
      <c r="C41339" t="s">
        <v>454</v>
      </c>
      <c r="D41339" t="s">
        <v>14</v>
      </c>
      <c r="E41339" t="s">
        <v>658</v>
      </c>
      <c r="F41339" s="2" t="str">
        <f>HYPERLINK("http://www.otzar.org/book.asp?24882","שיעורי סוכה - ד' המינים")</f>
        <v>שיעורי סוכה - ד' המינים</v>
      </c>
    </row>
    <row r="41340" spans="1:6" x14ac:dyDescent="0.2">
      <c r="A41340" t="s">
        <v>62931</v>
      </c>
      <c r="B41340" t="s">
        <v>62789</v>
      </c>
      <c r="C41340" t="s">
        <v>411</v>
      </c>
      <c r="D41340" t="s">
        <v>657</v>
      </c>
      <c r="E41340" t="s">
        <v>144</v>
      </c>
      <c r="F41340" s="2" t="str">
        <f>HYPERLINK("http://www.otzar.org/book.asp?600958","שיעורי סנהדרין")</f>
        <v>שיעורי סנהדרין</v>
      </c>
    </row>
    <row r="41341" spans="1:6" x14ac:dyDescent="0.2">
      <c r="A41341" t="s">
        <v>62932</v>
      </c>
      <c r="B41341" t="s">
        <v>41676</v>
      </c>
      <c r="C41341" t="s">
        <v>244</v>
      </c>
      <c r="D41341" t="s">
        <v>2504</v>
      </c>
      <c r="F41341" s="2" t="str">
        <f>HYPERLINK("http://www.otzar.org/book.asp?615116","שיעורי עבודת לוי - 4 כר'")</f>
        <v>שיעורי עבודת לוי - 4 כר'</v>
      </c>
    </row>
    <row r="41342" spans="1:6" x14ac:dyDescent="0.2">
      <c r="A41342" t="s">
        <v>62933</v>
      </c>
      <c r="B41342" t="s">
        <v>62934</v>
      </c>
      <c r="C41342" t="s">
        <v>111</v>
      </c>
      <c r="D41342" t="s">
        <v>2201</v>
      </c>
      <c r="E41342" t="s">
        <v>144</v>
      </c>
      <c r="F41342" s="2" t="str">
        <f>HYPERLINK("http://www.otzar.org/book.asp?627033","שיעורי עטרת צבי - 2 כר'")</f>
        <v>שיעורי עטרת צבי - 2 כר'</v>
      </c>
    </row>
    <row r="41343" spans="1:6" x14ac:dyDescent="0.2">
      <c r="A41343" t="s">
        <v>62935</v>
      </c>
      <c r="B41343" t="s">
        <v>62884</v>
      </c>
      <c r="C41343" t="s">
        <v>20</v>
      </c>
      <c r="D41343" t="s">
        <v>657</v>
      </c>
      <c r="E41343" t="s">
        <v>144</v>
      </c>
      <c r="F41343" s="2" t="str">
        <f>HYPERLINK("http://www.otzar.org/book.asp?61798","שיעורי עיון התלמוד - 6 כר'")</f>
        <v>שיעורי עיון התלמוד - 6 כר'</v>
      </c>
    </row>
    <row r="41344" spans="1:6" x14ac:dyDescent="0.2">
      <c r="A41344" t="s">
        <v>62936</v>
      </c>
      <c r="B41344" t="s">
        <v>62937</v>
      </c>
      <c r="C41344" t="s">
        <v>129</v>
      </c>
      <c r="D41344" t="s">
        <v>52</v>
      </c>
      <c r="E41344" t="s">
        <v>144</v>
      </c>
      <c r="F41344" s="2" t="str">
        <f>HYPERLINK("http://www.otzar.org/book.asp?84714","שיעורי עיון - 4 כר'")</f>
        <v>שיעורי עיון - 4 כר'</v>
      </c>
    </row>
    <row r="41345" spans="1:6" x14ac:dyDescent="0.2">
      <c r="A41345" t="s">
        <v>62938</v>
      </c>
      <c r="B41345" t="s">
        <v>49632</v>
      </c>
      <c r="C41345" t="s">
        <v>37</v>
      </c>
      <c r="D41345" t="s">
        <v>52</v>
      </c>
      <c r="E41345" t="s">
        <v>158</v>
      </c>
      <c r="F41345" s="2" t="str">
        <f>HYPERLINK("http://www.otzar.org/book.asp?181936","שיעורי עמק התורה -א")</f>
        <v>שיעורי עמק התורה -א</v>
      </c>
    </row>
    <row r="41346" spans="1:6" x14ac:dyDescent="0.2">
      <c r="A41346" t="s">
        <v>62939</v>
      </c>
      <c r="B41346" t="s">
        <v>49889</v>
      </c>
      <c r="C41346" t="s">
        <v>422</v>
      </c>
      <c r="D41346" t="s">
        <v>14</v>
      </c>
      <c r="E41346" t="s">
        <v>144</v>
      </c>
      <c r="F41346" s="2" t="str">
        <f>HYPERLINK("http://www.otzar.org/book.asp?149776","שיעורי עץ ארז - 3 כר'")</f>
        <v>שיעורי עץ ארז - 3 כר'</v>
      </c>
    </row>
    <row r="41347" spans="1:6" x14ac:dyDescent="0.2">
      <c r="A41347" t="s">
        <v>62940</v>
      </c>
      <c r="B41347" t="s">
        <v>62789</v>
      </c>
      <c r="C41347" t="s">
        <v>20</v>
      </c>
      <c r="D41347" t="s">
        <v>657</v>
      </c>
      <c r="E41347" t="s">
        <v>144</v>
      </c>
      <c r="F41347" s="2" t="str">
        <f>HYPERLINK("http://www.otzar.org/book.asp?600959","שיעורי פסחים")</f>
        <v>שיעורי פסחים</v>
      </c>
    </row>
    <row r="41348" spans="1:6" x14ac:dyDescent="0.2">
      <c r="A41348" t="s">
        <v>62941</v>
      </c>
      <c r="B41348" t="s">
        <v>52819</v>
      </c>
      <c r="C41348" t="s">
        <v>114</v>
      </c>
      <c r="D41348" t="s">
        <v>52</v>
      </c>
      <c r="E41348" t="s">
        <v>144</v>
      </c>
      <c r="F41348" s="2" t="str">
        <f>HYPERLINK("http://www.otzar.org/book.asp?162730","שיעורי צבא הלוי - כתובות")</f>
        <v>שיעורי צבא הלוי - כתובות</v>
      </c>
    </row>
    <row r="41349" spans="1:6" x14ac:dyDescent="0.2">
      <c r="A41349" t="s">
        <v>62942</v>
      </c>
      <c r="B41349" t="s">
        <v>20652</v>
      </c>
      <c r="C41349" t="s">
        <v>237</v>
      </c>
      <c r="D41349" t="s">
        <v>27</v>
      </c>
      <c r="E41349" t="s">
        <v>104</v>
      </c>
      <c r="F41349" s="2" t="str">
        <f>HYPERLINK("http://www.otzar.org/book.asp?102027","שיעורי ציון")</f>
        <v>שיעורי ציון</v>
      </c>
    </row>
    <row r="41350" spans="1:6" x14ac:dyDescent="0.2">
      <c r="A41350" t="s">
        <v>62943</v>
      </c>
      <c r="B41350" t="s">
        <v>8609</v>
      </c>
      <c r="C41350" t="s">
        <v>366</v>
      </c>
      <c r="D41350" t="s">
        <v>14</v>
      </c>
      <c r="E41350" t="s">
        <v>144</v>
      </c>
      <c r="F41350" s="2" t="str">
        <f>HYPERLINK("http://www.otzar.org/book.asp?631247","שיעורי ציון - 6 כר'")</f>
        <v>שיעורי ציון - 6 כר'</v>
      </c>
    </row>
    <row r="41351" spans="1:6" x14ac:dyDescent="0.2">
      <c r="A41351" t="s">
        <v>62944</v>
      </c>
      <c r="B41351" t="s">
        <v>62945</v>
      </c>
      <c r="C41351" t="s">
        <v>20</v>
      </c>
      <c r="D41351" t="s">
        <v>10790</v>
      </c>
      <c r="E41351" t="s">
        <v>144</v>
      </c>
      <c r="F41351" s="2" t="str">
        <f>HYPERLINK("http://www.otzar.org/book.asp?199924","שיעורי קדשים")</f>
        <v>שיעורי קדשים</v>
      </c>
    </row>
    <row r="41352" spans="1:6" x14ac:dyDescent="0.2">
      <c r="A41352" t="s">
        <v>62946</v>
      </c>
      <c r="B41352" t="s">
        <v>6987</v>
      </c>
      <c r="C41352" t="s">
        <v>20</v>
      </c>
      <c r="D41352" t="s">
        <v>90</v>
      </c>
      <c r="E41352" t="s">
        <v>144</v>
      </c>
      <c r="F41352" s="2" t="str">
        <f>HYPERLINK("http://www.otzar.org/book.asp?604271","שיעורי קידושין")</f>
        <v>שיעורי קידושין</v>
      </c>
    </row>
    <row r="41353" spans="1:6" x14ac:dyDescent="0.2">
      <c r="A41353" t="s">
        <v>62947</v>
      </c>
      <c r="B41353" t="s">
        <v>36172</v>
      </c>
      <c r="C41353" t="s">
        <v>23</v>
      </c>
      <c r="D41353" t="s">
        <v>52</v>
      </c>
      <c r="E41353" t="s">
        <v>144</v>
      </c>
      <c r="F41353" s="2" t="str">
        <f>HYPERLINK("http://www.otzar.org/book.asp?608559","שיעורי ראש הישיבה רבי דוד פוברסקי - 31 כר'")</f>
        <v>שיעורי ראש הישיבה רבי דוד פוברסקי - 31 כר'</v>
      </c>
    </row>
    <row r="41354" spans="1:6" x14ac:dyDescent="0.2">
      <c r="A41354" t="s">
        <v>62948</v>
      </c>
      <c r="B41354" t="s">
        <v>62949</v>
      </c>
      <c r="C41354" t="s">
        <v>146</v>
      </c>
      <c r="D41354" t="s">
        <v>52</v>
      </c>
      <c r="E41354" t="s">
        <v>144</v>
      </c>
      <c r="F41354" s="2" t="str">
        <f>HYPERLINK("http://www.otzar.org/book.asp?168715","שיעורי ראש הישיבה רבי ישעיה קלאר - 3 כר'")</f>
        <v>שיעורי ראש הישיבה רבי ישעיה קלאר - 3 כר'</v>
      </c>
    </row>
    <row r="41355" spans="1:6" x14ac:dyDescent="0.2">
      <c r="A41355" t="s">
        <v>62950</v>
      </c>
      <c r="B41355" t="s">
        <v>11585</v>
      </c>
      <c r="C41355" t="s">
        <v>168</v>
      </c>
      <c r="D41355" t="s">
        <v>52</v>
      </c>
      <c r="E41355" t="s">
        <v>144</v>
      </c>
      <c r="F41355" s="2" t="str">
        <f>HYPERLINK("http://www.otzar.org/book.asp?195960","שיעורי ראש הישיבה - 3 כר'")</f>
        <v>שיעורי ראש הישיבה - 3 כר'</v>
      </c>
    </row>
    <row r="41356" spans="1:6" x14ac:dyDescent="0.2">
      <c r="A41356" t="s">
        <v>62951</v>
      </c>
      <c r="B41356" t="s">
        <v>49751</v>
      </c>
      <c r="C41356" t="s">
        <v>111</v>
      </c>
      <c r="D41356" t="s">
        <v>52</v>
      </c>
      <c r="F41356" s="2" t="str">
        <f>HYPERLINK("http://www.otzar.org/book.asp?632059","שיעורי ראש הישיבה - בבא בתרא (השותפין)")</f>
        <v>שיעורי ראש הישיבה - בבא בתרא (השותפין)</v>
      </c>
    </row>
    <row r="41357" spans="1:6" x14ac:dyDescent="0.2">
      <c r="A41357" t="s">
        <v>62952</v>
      </c>
      <c r="B41357" t="s">
        <v>6626</v>
      </c>
      <c r="C41357" t="s">
        <v>775</v>
      </c>
      <c r="D41357" t="s">
        <v>14</v>
      </c>
      <c r="E41357" t="s">
        <v>144</v>
      </c>
      <c r="F41357" s="2" t="str">
        <f>HYPERLINK("http://www.otzar.org/book.asp?8889","שיעורי ראש הישיבה - ב""ק, ב""מ")</f>
        <v>שיעורי ראש הישיבה - ב"ק, ב"מ</v>
      </c>
    </row>
    <row r="41358" spans="1:6" x14ac:dyDescent="0.2">
      <c r="A41358" t="s">
        <v>62953</v>
      </c>
      <c r="B41358" t="s">
        <v>30491</v>
      </c>
      <c r="C41358" t="s">
        <v>411</v>
      </c>
      <c r="D41358" t="s">
        <v>52</v>
      </c>
      <c r="F41358" s="2" t="str">
        <f>HYPERLINK("http://www.otzar.org/book.asp?616589","שיעורי רבי אברהם יצחק - 12 כר'")</f>
        <v>שיעורי רבי אברהם יצחק - 12 כר'</v>
      </c>
    </row>
    <row r="41359" spans="1:6" x14ac:dyDescent="0.2">
      <c r="A41359" t="s">
        <v>62954</v>
      </c>
      <c r="B41359" t="s">
        <v>62955</v>
      </c>
      <c r="C41359" t="s">
        <v>17</v>
      </c>
      <c r="D41359" t="s">
        <v>14</v>
      </c>
      <c r="E41359" t="s">
        <v>144</v>
      </c>
      <c r="F41359" s="2" t="str">
        <f>HYPERLINK("http://www.otzar.org/book.asp?164115","שיעורי רבי אהרן - יבמות")</f>
        <v>שיעורי רבי אהרן - יבמות</v>
      </c>
    </row>
    <row r="41360" spans="1:6" x14ac:dyDescent="0.2">
      <c r="A41360" t="s">
        <v>62956</v>
      </c>
      <c r="B41360" t="s">
        <v>7361</v>
      </c>
      <c r="C41360" t="s">
        <v>411</v>
      </c>
      <c r="D41360" t="s">
        <v>14</v>
      </c>
      <c r="E41360" t="s">
        <v>144</v>
      </c>
      <c r="F41360" s="2" t="str">
        <f>HYPERLINK("http://www.otzar.org/book.asp?629576","שיעורי רבי אליהו ברוך - 7 כר'")</f>
        <v>שיעורי רבי אליהו ברוך - 7 כר'</v>
      </c>
    </row>
    <row r="41361" spans="1:6" x14ac:dyDescent="0.2">
      <c r="A41361" t="s">
        <v>62957</v>
      </c>
      <c r="B41361" t="s">
        <v>23441</v>
      </c>
      <c r="C41361" t="s">
        <v>523</v>
      </c>
      <c r="D41361" t="s">
        <v>412</v>
      </c>
      <c r="E41361" t="s">
        <v>144</v>
      </c>
      <c r="F41361" s="2" t="str">
        <f>HYPERLINK("http://www.otzar.org/book.asp?9624","שיעורי רבי אליהו מאיר")</f>
        <v>שיעורי רבי אליהו מאיר</v>
      </c>
    </row>
    <row r="41362" spans="1:6" x14ac:dyDescent="0.2">
      <c r="A41362" t="s">
        <v>62958</v>
      </c>
      <c r="B41362" t="s">
        <v>25673</v>
      </c>
      <c r="C41362" t="s">
        <v>411</v>
      </c>
      <c r="D41362" t="s">
        <v>14998</v>
      </c>
      <c r="E41362" t="s">
        <v>144</v>
      </c>
      <c r="F41362" s="2" t="str">
        <f>HYPERLINK("http://www.otzar.org/book.asp?173038","שיעורי רבי אריה לייב מאלין")</f>
        <v>שיעורי רבי אריה לייב מאלין</v>
      </c>
    </row>
    <row r="41363" spans="1:6" x14ac:dyDescent="0.2">
      <c r="A41363" t="s">
        <v>62959</v>
      </c>
      <c r="B41363" t="s">
        <v>62902</v>
      </c>
      <c r="C41363" t="s">
        <v>71</v>
      </c>
      <c r="D41363" t="s">
        <v>14</v>
      </c>
      <c r="E41363" t="s">
        <v>144</v>
      </c>
      <c r="F41363" s="2" t="str">
        <f>HYPERLINK("http://www.otzar.org/book.asp?150489","שיעורי רבי בנימין ביינוש")</f>
        <v>שיעורי רבי בנימין ביינוש</v>
      </c>
    </row>
    <row r="41364" spans="1:6" x14ac:dyDescent="0.2">
      <c r="A41364" t="s">
        <v>62960</v>
      </c>
      <c r="B41364" t="s">
        <v>62961</v>
      </c>
      <c r="C41364" t="s">
        <v>20</v>
      </c>
      <c r="E41364" t="s">
        <v>144</v>
      </c>
      <c r="F41364" s="2" t="str">
        <f>HYPERLINK("http://www.otzar.org/book.asp?603874","שיעורי רבי בנימין - ב""ק")</f>
        <v>שיעורי רבי בנימין - ב"ק</v>
      </c>
    </row>
    <row r="41365" spans="1:6" x14ac:dyDescent="0.2">
      <c r="A41365" t="s">
        <v>62962</v>
      </c>
      <c r="B41365" t="s">
        <v>29695</v>
      </c>
      <c r="D41365" t="s">
        <v>52</v>
      </c>
      <c r="E41365" t="s">
        <v>144</v>
      </c>
      <c r="F41365" s="2" t="str">
        <f>HYPERLINK("http://www.otzar.org/book.asp?190860","שיעורי רבי גרשון &lt;מהדו""ק&gt; - 4 כר'")</f>
        <v>שיעורי רבי גרשון &lt;מהדו"ק&gt; - 4 כר'</v>
      </c>
    </row>
    <row r="41366" spans="1:6" x14ac:dyDescent="0.2">
      <c r="A41366" t="s">
        <v>62963</v>
      </c>
      <c r="B41366" t="s">
        <v>56448</v>
      </c>
      <c r="C41366" t="s">
        <v>189</v>
      </c>
      <c r="D41366" t="s">
        <v>52</v>
      </c>
      <c r="E41366" t="s">
        <v>144</v>
      </c>
      <c r="F41366" s="2" t="str">
        <f>HYPERLINK("http://www.otzar.org/book.asp?142099","שיעורי רבי גרשון - כתובות")</f>
        <v>שיעורי רבי גרשון - כתובות</v>
      </c>
    </row>
    <row r="41367" spans="1:6" x14ac:dyDescent="0.2">
      <c r="A41367" t="s">
        <v>62964</v>
      </c>
      <c r="B41367" t="s">
        <v>29695</v>
      </c>
      <c r="C41367" t="s">
        <v>411</v>
      </c>
      <c r="D41367" t="s">
        <v>52</v>
      </c>
      <c r="E41367" t="s">
        <v>144</v>
      </c>
      <c r="F41367" s="2" t="str">
        <f>HYPERLINK("http://www.otzar.org/book.asp?170959","שיעורי רבי גרשון - 16 כר'")</f>
        <v>שיעורי רבי גרשון - 16 כר'</v>
      </c>
    </row>
    <row r="41368" spans="1:6" x14ac:dyDescent="0.2">
      <c r="A41368" t="s">
        <v>62965</v>
      </c>
      <c r="B41368" t="s">
        <v>62966</v>
      </c>
      <c r="C41368" t="s">
        <v>20</v>
      </c>
      <c r="D41368" t="s">
        <v>90</v>
      </c>
      <c r="E41368" t="s">
        <v>144</v>
      </c>
      <c r="F41368" s="2" t="str">
        <f>HYPERLINK("http://www.otzar.org/book.asp?619332","שיעורי רבי דוד אוסטרן - 7 כר'")</f>
        <v>שיעורי רבי דוד אוסטרן - 7 כר'</v>
      </c>
    </row>
    <row r="41369" spans="1:6" x14ac:dyDescent="0.2">
      <c r="A41369" t="s">
        <v>62967</v>
      </c>
      <c r="B41369" t="s">
        <v>62968</v>
      </c>
      <c r="C41369" t="s">
        <v>176</v>
      </c>
      <c r="D41369" t="s">
        <v>412</v>
      </c>
      <c r="E41369" t="s">
        <v>144</v>
      </c>
      <c r="F41369" s="2" t="str">
        <f>HYPERLINK("http://www.otzar.org/book.asp?85403","שיעורי רבי דוד ליפשיץ - 2 כר'")</f>
        <v>שיעורי רבי דוד ליפשיץ - 2 כר'</v>
      </c>
    </row>
    <row r="41370" spans="1:6" x14ac:dyDescent="0.2">
      <c r="A41370" t="s">
        <v>62969</v>
      </c>
      <c r="B41370" t="s">
        <v>62970</v>
      </c>
      <c r="C41370" t="s">
        <v>366</v>
      </c>
      <c r="D41370" t="s">
        <v>115</v>
      </c>
      <c r="F41370" s="2" t="str">
        <f>HYPERLINK("http://www.otzar.org/book.asp?610164","שיעורי רבי יוסף - 5 כר'")</f>
        <v>שיעורי רבי יוסף - 5 כר'</v>
      </c>
    </row>
    <row r="41371" spans="1:6" x14ac:dyDescent="0.2">
      <c r="A41371" t="s">
        <v>62971</v>
      </c>
      <c r="B41371" t="s">
        <v>25339</v>
      </c>
      <c r="C41371" t="s">
        <v>103</v>
      </c>
      <c r="D41371" t="s">
        <v>27</v>
      </c>
      <c r="E41371" t="s">
        <v>144</v>
      </c>
      <c r="F41371" s="2" t="str">
        <f>HYPERLINK("http://www.otzar.org/book.asp?166207","שיעורי רבי יעקב יצחק רבינוביץ")</f>
        <v>שיעורי רבי יעקב יצחק רבינוביץ</v>
      </c>
    </row>
    <row r="41372" spans="1:6" x14ac:dyDescent="0.2">
      <c r="A41372" t="s">
        <v>62972</v>
      </c>
      <c r="B41372" t="s">
        <v>8070</v>
      </c>
      <c r="C41372" t="s">
        <v>129</v>
      </c>
      <c r="D41372" t="s">
        <v>245</v>
      </c>
      <c r="E41372" t="s">
        <v>144</v>
      </c>
      <c r="F41372" s="2" t="str">
        <f>HYPERLINK("http://www.otzar.org/book.asp?62689","שיעורי רבי יעקב משה שורקין - 3 כר'")</f>
        <v>שיעורי רבי יעקב משה שורקין - 3 כר'</v>
      </c>
    </row>
    <row r="41373" spans="1:6" x14ac:dyDescent="0.2">
      <c r="A41373" t="s">
        <v>62973</v>
      </c>
      <c r="B41373" t="s">
        <v>30129</v>
      </c>
      <c r="C41373" t="s">
        <v>133</v>
      </c>
      <c r="D41373" t="s">
        <v>52</v>
      </c>
      <c r="F41373" s="2" t="str">
        <f>HYPERLINK("http://www.otzar.org/book.asp?616648","שיעורי רבי ישראל - 3 כר'")</f>
        <v>שיעורי רבי ישראל - 3 כר'</v>
      </c>
    </row>
    <row r="41374" spans="1:6" x14ac:dyDescent="0.2">
      <c r="A41374" t="s">
        <v>62974</v>
      </c>
      <c r="B41374" t="s">
        <v>42679</v>
      </c>
      <c r="C41374" t="s">
        <v>366</v>
      </c>
      <c r="D41374" t="s">
        <v>1273</v>
      </c>
      <c r="E41374" t="s">
        <v>144</v>
      </c>
      <c r="F41374" s="2" t="str">
        <f>HYPERLINK("http://www.otzar.org/book.asp?603603","שיעורי רבי לוי - 3 כר'")</f>
        <v>שיעורי רבי לוי - 3 כר'</v>
      </c>
    </row>
    <row r="41375" spans="1:6" x14ac:dyDescent="0.2">
      <c r="A41375" t="s">
        <v>62975</v>
      </c>
      <c r="B41375" t="s">
        <v>62976</v>
      </c>
      <c r="C41375" t="s">
        <v>103</v>
      </c>
      <c r="D41375" t="s">
        <v>367</v>
      </c>
      <c r="E41375" t="s">
        <v>15</v>
      </c>
      <c r="F41375" s="2" t="str">
        <f>HYPERLINK("http://www.otzar.org/book.asp?166991","שיעורי רבי מרדכי גולדשטיין - ברכות, קידוש")</f>
        <v>שיעורי רבי מרדכי גולדשטיין - ברכות, קידוש</v>
      </c>
    </row>
    <row r="41376" spans="1:6" x14ac:dyDescent="0.2">
      <c r="A41376" t="s">
        <v>62977</v>
      </c>
      <c r="B41376" t="s">
        <v>25629</v>
      </c>
      <c r="C41376" t="s">
        <v>20</v>
      </c>
      <c r="D41376" t="s">
        <v>80</v>
      </c>
      <c r="E41376" t="s">
        <v>144</v>
      </c>
      <c r="F41376" s="2" t="str">
        <f>HYPERLINK("http://www.otzar.org/book.asp?197252","שיעורי רבי נחום - קידושין")</f>
        <v>שיעורי רבי נחום - קידושין</v>
      </c>
    </row>
    <row r="41377" spans="1:6" x14ac:dyDescent="0.2">
      <c r="A41377" t="s">
        <v>62978</v>
      </c>
      <c r="B41377" t="s">
        <v>25706</v>
      </c>
      <c r="C41377" t="s">
        <v>129</v>
      </c>
      <c r="D41377" t="s">
        <v>14</v>
      </c>
      <c r="E41377" t="s">
        <v>144</v>
      </c>
      <c r="F41377" s="2" t="str">
        <f>HYPERLINK("http://www.otzar.org/book.asp?60356","שיעורי רבי נחום - 3 כר'")</f>
        <v>שיעורי רבי נחום - 3 כר'</v>
      </c>
    </row>
    <row r="41378" spans="1:6" x14ac:dyDescent="0.2">
      <c r="A41378" t="s">
        <v>62979</v>
      </c>
      <c r="B41378" t="s">
        <v>13983</v>
      </c>
      <c r="C41378" t="s">
        <v>20</v>
      </c>
      <c r="D41378" t="s">
        <v>852</v>
      </c>
      <c r="E41378" t="s">
        <v>1211</v>
      </c>
      <c r="F41378" s="2" t="str">
        <f>HYPERLINK("http://www.otzar.org/book.asp?195539","שיעורי רבי נתן")</f>
        <v>שיעורי רבי נתן</v>
      </c>
    </row>
    <row r="41379" spans="1:6" x14ac:dyDescent="0.2">
      <c r="A41379" t="s">
        <v>62980</v>
      </c>
      <c r="B41379" t="s">
        <v>29924</v>
      </c>
      <c r="C41379" t="s">
        <v>244</v>
      </c>
      <c r="D41379" t="s">
        <v>14</v>
      </c>
      <c r="F41379" s="2" t="str">
        <f>HYPERLINK("http://www.otzar.org/book.asp?616067","שיעורי רבי עקיבא קיסטר - 3 כר'")</f>
        <v>שיעורי רבי עקיבא קיסטר - 3 כר'</v>
      </c>
    </row>
    <row r="41380" spans="1:6" x14ac:dyDescent="0.2">
      <c r="A41380" t="s">
        <v>62981</v>
      </c>
      <c r="B41380" t="s">
        <v>62982</v>
      </c>
      <c r="C41380" t="s">
        <v>366</v>
      </c>
      <c r="D41380" t="s">
        <v>52</v>
      </c>
      <c r="F41380" s="2" t="str">
        <f>HYPERLINK("http://www.otzar.org/book.asp?612757","שיעורי רבי צבי יהודה")</f>
        <v>שיעורי רבי צבי יהודה</v>
      </c>
    </row>
    <row r="41381" spans="1:6" x14ac:dyDescent="0.2">
      <c r="A41381" t="s">
        <v>62983</v>
      </c>
      <c r="B41381" t="s">
        <v>28654</v>
      </c>
      <c r="C41381" t="s">
        <v>20</v>
      </c>
      <c r="D41381" t="s">
        <v>14</v>
      </c>
      <c r="E41381" t="s">
        <v>144</v>
      </c>
      <c r="F41381" s="2" t="str">
        <f>HYPERLINK("http://www.otzar.org/book.asp?608289","שיעורי רבי צבי קצנלבוגן - יבמות")</f>
        <v>שיעורי רבי צבי קצנלבוגן - יבמות</v>
      </c>
    </row>
    <row r="41382" spans="1:6" x14ac:dyDescent="0.2">
      <c r="A41382" t="s">
        <v>62984</v>
      </c>
      <c r="B41382" t="s">
        <v>62985</v>
      </c>
      <c r="C41382" t="s">
        <v>313</v>
      </c>
      <c r="D41382" t="s">
        <v>52</v>
      </c>
      <c r="E41382" t="s">
        <v>144</v>
      </c>
      <c r="F41382" s="2" t="str">
        <f>HYPERLINK("http://www.otzar.org/book.asp?50349","שיעורי רבי ראובן יוסף - 5 כר'")</f>
        <v>שיעורי רבי ראובן יוסף - 5 כר'</v>
      </c>
    </row>
    <row r="41383" spans="1:6" x14ac:dyDescent="0.2">
      <c r="A41383" t="s">
        <v>62986</v>
      </c>
      <c r="B41383" t="s">
        <v>62987</v>
      </c>
      <c r="C41383" t="s">
        <v>23</v>
      </c>
      <c r="D41383" t="s">
        <v>147</v>
      </c>
      <c r="E41383" t="s">
        <v>144</v>
      </c>
      <c r="F41383" s="2" t="str">
        <f>HYPERLINK("http://www.otzar.org/book.asp?197783","שיעורי רבי רפאל - כתובות, בבא בתרא")</f>
        <v>שיעורי רבי רפאל - כתובות, בבא בתרא</v>
      </c>
    </row>
    <row r="41384" spans="1:6" x14ac:dyDescent="0.2">
      <c r="A41384" t="s">
        <v>62988</v>
      </c>
      <c r="B41384" t="s">
        <v>62989</v>
      </c>
      <c r="C41384" t="s">
        <v>366</v>
      </c>
      <c r="D41384" t="s">
        <v>14</v>
      </c>
      <c r="E41384" t="s">
        <v>144</v>
      </c>
      <c r="F41384" s="2" t="str">
        <f>HYPERLINK("http://www.otzar.org/book.asp?629754","שיעורי רבי רפאל - 3 כר'")</f>
        <v>שיעורי רבי רפאל - 3 כר'</v>
      </c>
    </row>
    <row r="41385" spans="1:6" x14ac:dyDescent="0.2">
      <c r="A41385" t="s">
        <v>62990</v>
      </c>
      <c r="B41385" t="s">
        <v>25721</v>
      </c>
      <c r="C41385" t="s">
        <v>366</v>
      </c>
      <c r="D41385" t="s">
        <v>1273</v>
      </c>
      <c r="E41385" t="s">
        <v>144</v>
      </c>
      <c r="F41385" s="2" t="str">
        <f>HYPERLINK("http://www.otzar.org/book.asp?603930","שיעורי רבי שלמה")</f>
        <v>שיעורי רבי שלמה</v>
      </c>
    </row>
    <row r="41386" spans="1:6" x14ac:dyDescent="0.2">
      <c r="A41386" t="s">
        <v>62991</v>
      </c>
      <c r="B41386" t="s">
        <v>23938</v>
      </c>
      <c r="C41386" t="s">
        <v>20</v>
      </c>
      <c r="D41386" t="s">
        <v>90</v>
      </c>
      <c r="E41386" t="s">
        <v>144</v>
      </c>
      <c r="F41386" s="2" t="str">
        <f>HYPERLINK("http://www.otzar.org/book.asp?146501","שיעורי רבי שמואל &lt;כת""י תלמיד&gt; - כתובות")</f>
        <v>שיעורי רבי שמואל &lt;כת"י תלמיד&gt; - כתובות</v>
      </c>
    </row>
    <row r="41387" spans="1:6" x14ac:dyDescent="0.2">
      <c r="A41387" t="s">
        <v>62992</v>
      </c>
      <c r="B41387" t="s">
        <v>23938</v>
      </c>
      <c r="C41387" t="s">
        <v>383</v>
      </c>
      <c r="D41387" t="s">
        <v>52</v>
      </c>
      <c r="E41387" t="s">
        <v>144</v>
      </c>
      <c r="F41387" s="2" t="str">
        <f>HYPERLINK("http://www.otzar.org/book.asp?21903","שיעורי רבי שמואל - 11 כר'")</f>
        <v>שיעורי רבי שמואל - 11 כר'</v>
      </c>
    </row>
    <row r="41388" spans="1:6" x14ac:dyDescent="0.2">
      <c r="A41388" t="s">
        <v>62993</v>
      </c>
      <c r="B41388" t="s">
        <v>62994</v>
      </c>
      <c r="C41388" t="s">
        <v>13</v>
      </c>
      <c r="D41388" t="s">
        <v>216</v>
      </c>
      <c r="E41388" t="s">
        <v>144</v>
      </c>
      <c r="F41388" s="2" t="str">
        <f>HYPERLINK("http://www.otzar.org/book.asp?63136","שיעורי רבי שמעון יהודה הכהן שקאפ על מסכת בבא מציעא &lt;עם ציוני חיים&gt;")</f>
        <v>שיעורי רבי שמעון יהודה הכהן שקאפ על מסכת בבא מציעא &lt;עם ציוני חיים&gt;</v>
      </c>
    </row>
    <row r="41389" spans="1:6" x14ac:dyDescent="0.2">
      <c r="A41389" t="s">
        <v>62995</v>
      </c>
      <c r="B41389" t="s">
        <v>33157</v>
      </c>
      <c r="C41389" t="s">
        <v>334</v>
      </c>
      <c r="D41389" t="s">
        <v>20</v>
      </c>
      <c r="F41389" s="2" t="str">
        <f>HYPERLINK("http://www.otzar.org/book.asp?620920","שיעורי רבינו הגאון הרב פסח שטיין שליט""א")</f>
        <v>שיעורי רבינו הגאון הרב פסח שטיין שליט"א</v>
      </c>
    </row>
    <row r="41390" spans="1:6" x14ac:dyDescent="0.2">
      <c r="A41390" t="s">
        <v>62996</v>
      </c>
      <c r="B41390" t="s">
        <v>62802</v>
      </c>
      <c r="C41390" t="s">
        <v>23</v>
      </c>
      <c r="D41390" t="s">
        <v>21</v>
      </c>
      <c r="E41390" t="s">
        <v>144</v>
      </c>
      <c r="F41390" s="2" t="str">
        <f>HYPERLINK("http://www.otzar.org/book.asp?194887","שיעורי רבינו הגרא""י מטעלז - 2 כר'")</f>
        <v>שיעורי רבינו הגרא"י מטעלז - 2 כר'</v>
      </c>
    </row>
    <row r="41391" spans="1:6" x14ac:dyDescent="0.2">
      <c r="A41391" t="s">
        <v>62997</v>
      </c>
      <c r="B41391" t="s">
        <v>62998</v>
      </c>
      <c r="C41391" t="s">
        <v>111</v>
      </c>
      <c r="D41391" t="s">
        <v>14</v>
      </c>
      <c r="E41391" t="s">
        <v>144</v>
      </c>
      <c r="F41391" s="2" t="str">
        <f>HYPERLINK("http://www.otzar.org/book.asp?626228","שיעורי רבינו יהושע העשיל - כתובות")</f>
        <v>שיעורי רבינו יהושע העשיל - כתובות</v>
      </c>
    </row>
    <row r="41392" spans="1:6" x14ac:dyDescent="0.2">
      <c r="A41392" t="s">
        <v>62999</v>
      </c>
      <c r="B41392" t="s">
        <v>63000</v>
      </c>
      <c r="C41392" t="s">
        <v>129</v>
      </c>
      <c r="D41392" t="s">
        <v>14</v>
      </c>
      <c r="E41392" t="s">
        <v>15</v>
      </c>
      <c r="F41392" s="2" t="str">
        <f>HYPERLINK("http://www.otzar.org/book.asp?145332","שיעורי רבית")</f>
        <v>שיעורי רבית</v>
      </c>
    </row>
    <row r="41393" spans="1:6" x14ac:dyDescent="0.2">
      <c r="A41393" t="s">
        <v>62999</v>
      </c>
      <c r="B41393" t="s">
        <v>63001</v>
      </c>
      <c r="C41393" t="s">
        <v>133</v>
      </c>
      <c r="D41393" t="s">
        <v>14</v>
      </c>
      <c r="E41393" t="s">
        <v>144</v>
      </c>
      <c r="F41393" s="2" t="str">
        <f>HYPERLINK("http://www.otzar.org/book.asp?175590","שיעורי רבית")</f>
        <v>שיעורי רבית</v>
      </c>
    </row>
    <row r="41394" spans="1:6" x14ac:dyDescent="0.2">
      <c r="A41394" t="s">
        <v>63002</v>
      </c>
      <c r="B41394" t="s">
        <v>25324</v>
      </c>
      <c r="C41394" t="s">
        <v>624</v>
      </c>
      <c r="D41394" t="s">
        <v>14</v>
      </c>
      <c r="E41394" t="s">
        <v>144</v>
      </c>
      <c r="F41394" s="2" t="str">
        <f>HYPERLINK("http://www.otzar.org/book.asp?60511","שיעורי רבנו חיים הלוי - ב""ק, ב""מ, ב""ב - תרמ""א")</f>
        <v>שיעורי רבנו חיים הלוי - ב"ק, ב"מ, ב"ב - תרמ"א</v>
      </c>
    </row>
    <row r="41395" spans="1:6" x14ac:dyDescent="0.2">
      <c r="A41395" t="s">
        <v>63003</v>
      </c>
      <c r="B41395" t="s">
        <v>25633</v>
      </c>
      <c r="C41395" t="s">
        <v>422</v>
      </c>
      <c r="D41395" t="s">
        <v>14</v>
      </c>
      <c r="E41395" t="s">
        <v>144</v>
      </c>
      <c r="F41395" s="2" t="str">
        <f>HYPERLINK("http://www.otzar.org/book.asp?148323","שיעורי רבנו יחיאל מיכל - 27 כר'")</f>
        <v>שיעורי רבנו יחיאל מיכל - 27 כר'</v>
      </c>
    </row>
    <row r="41396" spans="1:6" x14ac:dyDescent="0.2">
      <c r="A41396" t="s">
        <v>63004</v>
      </c>
      <c r="B41396" t="s">
        <v>58381</v>
      </c>
      <c r="C41396" t="s">
        <v>20</v>
      </c>
      <c r="D41396" t="s">
        <v>152</v>
      </c>
      <c r="F41396" s="2" t="str">
        <f>HYPERLINK("http://www.otzar.org/book.asp?197568","שיעורי ריבית")</f>
        <v>שיעורי ריבית</v>
      </c>
    </row>
    <row r="41397" spans="1:6" x14ac:dyDescent="0.2">
      <c r="A41397" t="s">
        <v>63005</v>
      </c>
      <c r="B41397" t="s">
        <v>16984</v>
      </c>
      <c r="C41397" t="s">
        <v>624</v>
      </c>
      <c r="D41397" t="s">
        <v>52</v>
      </c>
      <c r="E41397" t="s">
        <v>148</v>
      </c>
      <c r="F41397" s="2" t="str">
        <f>HYPERLINK("http://www.otzar.org/book.asp?50386","שיעורי שבט הלוי - 2 כר'")</f>
        <v>שיעורי שבט הלוי - 2 כר'</v>
      </c>
    </row>
    <row r="41398" spans="1:6" x14ac:dyDescent="0.2">
      <c r="A41398" t="s">
        <v>63006</v>
      </c>
      <c r="B41398" t="s">
        <v>11585</v>
      </c>
      <c r="C41398" t="s">
        <v>23</v>
      </c>
      <c r="D41398" t="s">
        <v>52</v>
      </c>
      <c r="F41398" s="2" t="str">
        <f>HYPERLINK("http://www.otzar.org/book.asp?198707","שיעורי שביעית")</f>
        <v>שיעורי שביעית</v>
      </c>
    </row>
    <row r="41399" spans="1:6" x14ac:dyDescent="0.2">
      <c r="A41399" t="s">
        <v>63006</v>
      </c>
      <c r="B41399" t="s">
        <v>1681</v>
      </c>
      <c r="C41399" t="s">
        <v>13</v>
      </c>
      <c r="D41399" t="s">
        <v>657</v>
      </c>
      <c r="E41399" t="s">
        <v>15</v>
      </c>
      <c r="F41399" s="2" t="str">
        <f>HYPERLINK("http://www.otzar.org/book.asp?145356","שיעורי שביעית")</f>
        <v>שיעורי שביעית</v>
      </c>
    </row>
    <row r="41400" spans="1:6" x14ac:dyDescent="0.2">
      <c r="A41400" t="s">
        <v>63007</v>
      </c>
      <c r="B41400" t="s">
        <v>63001</v>
      </c>
      <c r="C41400" t="s">
        <v>37</v>
      </c>
      <c r="D41400" t="s">
        <v>14</v>
      </c>
      <c r="F41400" s="2" t="str">
        <f>HYPERLINK("http://www.otzar.org/book.asp?182397","שיעורי שביעית - א")</f>
        <v>שיעורי שביעית - א</v>
      </c>
    </row>
    <row r="41401" spans="1:6" x14ac:dyDescent="0.2">
      <c r="A41401" t="s">
        <v>63008</v>
      </c>
      <c r="B41401" t="s">
        <v>11585</v>
      </c>
      <c r="C41401" t="s">
        <v>37</v>
      </c>
      <c r="D41401" t="s">
        <v>52</v>
      </c>
      <c r="F41401" s="2" t="str">
        <f>HYPERLINK("http://www.otzar.org/book.asp?198706","שיעורי שבת")</f>
        <v>שיעורי שבת</v>
      </c>
    </row>
    <row r="41402" spans="1:6" x14ac:dyDescent="0.2">
      <c r="A41402" t="s">
        <v>63008</v>
      </c>
      <c r="B41402" t="s">
        <v>63009</v>
      </c>
      <c r="C41402" t="s">
        <v>23</v>
      </c>
      <c r="D41402" t="s">
        <v>52</v>
      </c>
      <c r="E41402" t="s">
        <v>15</v>
      </c>
      <c r="F41402" s="2" t="str">
        <f>HYPERLINK("http://www.otzar.org/book.asp?623134","שיעורי שבת")</f>
        <v>שיעורי שבת</v>
      </c>
    </row>
    <row r="41403" spans="1:6" x14ac:dyDescent="0.2">
      <c r="A41403" t="s">
        <v>63008</v>
      </c>
      <c r="B41403" t="s">
        <v>4547</v>
      </c>
      <c r="C41403" t="s">
        <v>114</v>
      </c>
      <c r="D41403" t="s">
        <v>14</v>
      </c>
      <c r="E41403" t="s">
        <v>144</v>
      </c>
      <c r="F41403" s="2" t="str">
        <f>HYPERLINK("http://www.otzar.org/book.asp?161738","שיעורי שבת")</f>
        <v>שיעורי שבת</v>
      </c>
    </row>
    <row r="41404" spans="1:6" x14ac:dyDescent="0.2">
      <c r="A41404" t="s">
        <v>63010</v>
      </c>
      <c r="B41404" t="s">
        <v>63011</v>
      </c>
      <c r="C41404" t="s">
        <v>133</v>
      </c>
      <c r="D41404" t="s">
        <v>14</v>
      </c>
      <c r="E41404" t="s">
        <v>15</v>
      </c>
      <c r="F41404" s="2" t="str">
        <f>HYPERLINK("http://www.otzar.org/book.asp?175986","שיעורי שובבים")</f>
        <v>שיעורי שובבים</v>
      </c>
    </row>
    <row r="41405" spans="1:6" x14ac:dyDescent="0.2">
      <c r="A41405" t="s">
        <v>63012</v>
      </c>
      <c r="B41405" t="s">
        <v>36930</v>
      </c>
      <c r="C41405" t="s">
        <v>366</v>
      </c>
      <c r="D41405" t="s">
        <v>245</v>
      </c>
      <c r="F41405" s="2" t="str">
        <f>HYPERLINK("http://www.otzar.org/book.asp?610718","שיעורי שולחן ערוך - בית אליעזר")</f>
        <v>שיעורי שולחן ערוך - בית אליעזר</v>
      </c>
    </row>
    <row r="41406" spans="1:6" x14ac:dyDescent="0.2">
      <c r="A41406" t="s">
        <v>63013</v>
      </c>
      <c r="B41406" t="s">
        <v>41875</v>
      </c>
      <c r="C41406" t="s">
        <v>114</v>
      </c>
      <c r="D41406" t="s">
        <v>52</v>
      </c>
      <c r="E41406" t="s">
        <v>15</v>
      </c>
      <c r="F41406" s="2" t="str">
        <f>HYPERLINK("http://www.otzar.org/book.asp?629530","שיעורי שלמי תודה - 3 כר'")</f>
        <v>שיעורי שלמי תודה - 3 כר'</v>
      </c>
    </row>
    <row r="41407" spans="1:6" x14ac:dyDescent="0.2">
      <c r="A41407" t="s">
        <v>63014</v>
      </c>
      <c r="B41407" t="s">
        <v>63015</v>
      </c>
      <c r="C41407" t="s">
        <v>114</v>
      </c>
      <c r="D41407" t="s">
        <v>52</v>
      </c>
      <c r="E41407" t="s">
        <v>246</v>
      </c>
      <c r="F41407" s="2" t="str">
        <f>HYPERLINK("http://www.otzar.org/book.asp?166483","שיעורי שלמי תודה - 2 כר'")</f>
        <v>שיעורי שלמי תודה - 2 כר'</v>
      </c>
    </row>
    <row r="41408" spans="1:6" x14ac:dyDescent="0.2">
      <c r="A41408" t="s">
        <v>63016</v>
      </c>
      <c r="B41408" t="s">
        <v>63017</v>
      </c>
      <c r="C41408" t="s">
        <v>20</v>
      </c>
      <c r="D41408" t="s">
        <v>14</v>
      </c>
      <c r="E41408" t="s">
        <v>144</v>
      </c>
      <c r="F41408" s="2" t="str">
        <f>HYPERLINK("http://www.otzar.org/book.asp?608461","שיעורי שם אבותי - 2 כר'")</f>
        <v>שיעורי שם אבותי - 2 כר'</v>
      </c>
    </row>
    <row r="41409" spans="1:6" x14ac:dyDescent="0.2">
      <c r="A41409" t="s">
        <v>63018</v>
      </c>
      <c r="B41409" t="s">
        <v>44806</v>
      </c>
      <c r="C41409" t="s">
        <v>68</v>
      </c>
      <c r="D41409" t="s">
        <v>14</v>
      </c>
      <c r="E41409" t="s">
        <v>144</v>
      </c>
      <c r="F41409" s="2" t="str">
        <f>HYPERLINK("http://www.otzar.org/book.asp?85808","שיעורי שערי זבולון - 4 כר'")</f>
        <v>שיעורי שערי זבולון - 4 כר'</v>
      </c>
    </row>
    <row r="41410" spans="1:6" x14ac:dyDescent="0.2">
      <c r="A41410" t="s">
        <v>63019</v>
      </c>
      <c r="B41410" t="s">
        <v>21861</v>
      </c>
      <c r="C41410" t="s">
        <v>411</v>
      </c>
      <c r="D41410" t="s">
        <v>90</v>
      </c>
      <c r="F41410" s="2" t="str">
        <f>HYPERLINK("http://www.otzar.org/book.asp?85881","שיעורי תורה לרופאים - 5 כר'")</f>
        <v>שיעורי תורה לרופאים - 5 כר'</v>
      </c>
    </row>
    <row r="41411" spans="1:6" x14ac:dyDescent="0.2">
      <c r="A41411" t="s">
        <v>63020</v>
      </c>
      <c r="B41411" t="s">
        <v>20652</v>
      </c>
      <c r="C41411" t="s">
        <v>160</v>
      </c>
      <c r="D41411" t="s">
        <v>27</v>
      </c>
      <c r="E41411" t="s">
        <v>674</v>
      </c>
      <c r="F41411" s="2" t="str">
        <f>HYPERLINK("http://www.otzar.org/book.asp?149422","שיעורי תורה")</f>
        <v>שיעורי תורה</v>
      </c>
    </row>
    <row r="41412" spans="1:6" x14ac:dyDescent="0.2">
      <c r="A41412" t="s">
        <v>63020</v>
      </c>
      <c r="B41412" t="s">
        <v>63021</v>
      </c>
      <c r="C41412" t="s">
        <v>1169</v>
      </c>
      <c r="D41412" t="s">
        <v>14</v>
      </c>
      <c r="E41412" t="s">
        <v>144</v>
      </c>
      <c r="F41412" s="2" t="str">
        <f>HYPERLINK("http://www.otzar.org/book.asp?25480","שיעורי תורה")</f>
        <v>שיעורי תורה</v>
      </c>
    </row>
    <row r="41413" spans="1:6" x14ac:dyDescent="0.2">
      <c r="A41413" t="s">
        <v>63022</v>
      </c>
      <c r="B41413" t="s">
        <v>34594</v>
      </c>
      <c r="C41413" t="s">
        <v>114</v>
      </c>
      <c r="D41413" t="s">
        <v>52</v>
      </c>
      <c r="E41413" t="s">
        <v>144</v>
      </c>
      <c r="F41413" s="2" t="str">
        <f>HYPERLINK("http://www.otzar.org/book.asp?162907","שיעורי - 12 כר'")</f>
        <v>שיעורי - 12 כר'</v>
      </c>
    </row>
    <row r="41414" spans="1:6" x14ac:dyDescent="0.2">
      <c r="A41414" t="s">
        <v>63023</v>
      </c>
      <c r="B41414" t="s">
        <v>63024</v>
      </c>
      <c r="C41414" t="s">
        <v>624</v>
      </c>
      <c r="D41414" t="s">
        <v>6283</v>
      </c>
      <c r="E41414" t="s">
        <v>158</v>
      </c>
      <c r="F41414" s="2" t="str">
        <f>HYPERLINK("http://www.otzar.org/book.asp?176700","שיעורים באורייתא - 2 כר'")</f>
        <v>שיעורים באורייתא - 2 כר'</v>
      </c>
    </row>
    <row r="41415" spans="1:6" x14ac:dyDescent="0.2">
      <c r="A41415" t="s">
        <v>63025</v>
      </c>
      <c r="B41415" t="s">
        <v>63026</v>
      </c>
      <c r="C41415" t="s">
        <v>366</v>
      </c>
      <c r="D41415" t="s">
        <v>80</v>
      </c>
      <c r="E41415" t="s">
        <v>246</v>
      </c>
      <c r="F41415" s="2" t="str">
        <f>HYPERLINK("http://www.otzar.org/book.asp?606887","שיעורים בהגדה של פסח")</f>
        <v>שיעורים בהגדה של פסח</v>
      </c>
    </row>
    <row r="41416" spans="1:6" x14ac:dyDescent="0.2">
      <c r="A41416" t="s">
        <v>63027</v>
      </c>
      <c r="B41416" t="s">
        <v>107</v>
      </c>
      <c r="C41416" t="s">
        <v>366</v>
      </c>
      <c r="D41416" t="s">
        <v>14</v>
      </c>
      <c r="F41416" s="2" t="str">
        <f>HYPERLINK("http://www.otzar.org/book.asp?622149","שיעורים בהיסטוריה - 2 כר'")</f>
        <v>שיעורים בהיסטוריה - 2 כר'</v>
      </c>
    </row>
    <row r="41417" spans="1:6" x14ac:dyDescent="0.2">
      <c r="A41417" t="s">
        <v>63028</v>
      </c>
      <c r="B41417" t="s">
        <v>4146</v>
      </c>
      <c r="C41417" t="s">
        <v>1619</v>
      </c>
      <c r="D41417" t="s">
        <v>14</v>
      </c>
      <c r="E41417" t="s">
        <v>15</v>
      </c>
      <c r="F41417" s="2" t="str">
        <f>HYPERLINK("http://www.otzar.org/book.asp?148690","שיעורים בהלכה")</f>
        <v>שיעורים בהלכה</v>
      </c>
    </row>
    <row r="41418" spans="1:6" x14ac:dyDescent="0.2">
      <c r="A41418" t="s">
        <v>63029</v>
      </c>
      <c r="B41418" t="s">
        <v>2107</v>
      </c>
      <c r="C41418" t="s">
        <v>422</v>
      </c>
      <c r="D41418" t="s">
        <v>52</v>
      </c>
      <c r="E41418" t="s">
        <v>15</v>
      </c>
      <c r="F41418" s="2" t="str">
        <f>HYPERLINK("http://www.otzar.org/book.asp?160323","שיעורים בהלכה - 2 כר'")</f>
        <v>שיעורים בהלכה - 2 כר'</v>
      </c>
    </row>
    <row r="41419" spans="1:6" x14ac:dyDescent="0.2">
      <c r="A41419" t="s">
        <v>63030</v>
      </c>
      <c r="B41419" t="s">
        <v>63028</v>
      </c>
      <c r="C41419" t="s">
        <v>20</v>
      </c>
      <c r="D41419" t="s">
        <v>21</v>
      </c>
      <c r="E41419" t="s">
        <v>246</v>
      </c>
      <c r="F41419" s="2" t="str">
        <f>HYPERLINK("http://www.otzar.org/book.asp?607248","שיעורים בהלכה - הלכות חנוכה")</f>
        <v>שיעורים בהלכה - הלכות חנוכה</v>
      </c>
    </row>
    <row r="41420" spans="1:6" x14ac:dyDescent="0.2">
      <c r="A41420" t="s">
        <v>63031</v>
      </c>
      <c r="B41420" t="s">
        <v>63032</v>
      </c>
      <c r="C41420" t="s">
        <v>151</v>
      </c>
      <c r="D41420" t="s">
        <v>14</v>
      </c>
      <c r="E41420" t="s">
        <v>15</v>
      </c>
      <c r="F41420" s="2" t="str">
        <f>HYPERLINK("http://www.otzar.org/book.asp?615565","שיעורים בהלכות בשר וחלב")</f>
        <v>שיעורים בהלכות בשר וחלב</v>
      </c>
    </row>
    <row r="41421" spans="1:6" x14ac:dyDescent="0.2">
      <c r="A41421" t="s">
        <v>63033</v>
      </c>
      <c r="B41421" t="s">
        <v>19643</v>
      </c>
      <c r="C41421" t="s">
        <v>366</v>
      </c>
      <c r="D41421" t="s">
        <v>52</v>
      </c>
      <c r="F41421" s="2" t="str">
        <f>HYPERLINK("http://www.otzar.org/book.asp?609166","שיעורים בהלכות חול המועד")</f>
        <v>שיעורים בהלכות חול המועד</v>
      </c>
    </row>
    <row r="41422" spans="1:6" x14ac:dyDescent="0.2">
      <c r="A41422" t="s">
        <v>63034</v>
      </c>
      <c r="B41422" t="s">
        <v>63035</v>
      </c>
      <c r="C41422" t="s">
        <v>51</v>
      </c>
      <c r="D41422" t="s">
        <v>152</v>
      </c>
      <c r="E41422" t="s">
        <v>148</v>
      </c>
      <c r="F41422" s="2" t="str">
        <f>HYPERLINK("http://www.otzar.org/book.asp?163089","שיעורים בהלכות טהרה")</f>
        <v>שיעורים בהלכות טהרה</v>
      </c>
    </row>
    <row r="41423" spans="1:6" x14ac:dyDescent="0.2">
      <c r="A41423" t="s">
        <v>63036</v>
      </c>
      <c r="B41423" t="s">
        <v>63037</v>
      </c>
      <c r="C41423" t="s">
        <v>17</v>
      </c>
      <c r="D41423" t="s">
        <v>14</v>
      </c>
      <c r="E41423" t="s">
        <v>15</v>
      </c>
      <c r="F41423" s="2" t="str">
        <f>HYPERLINK("http://www.otzar.org/book.asp?627747","שיעורים בהלכות כיבוד אב ואם")</f>
        <v>שיעורים בהלכות כיבוד אב ואם</v>
      </c>
    </row>
    <row r="41424" spans="1:6" x14ac:dyDescent="0.2">
      <c r="A41424" t="s">
        <v>63038</v>
      </c>
      <c r="B41424" t="s">
        <v>7176</v>
      </c>
      <c r="C41424" t="s">
        <v>20</v>
      </c>
      <c r="D41424" t="s">
        <v>90</v>
      </c>
      <c r="F41424" s="2" t="str">
        <f>HYPERLINK("http://www.otzar.org/book.asp?181898","שיעורים בהלכות נדה")</f>
        <v>שיעורים בהלכות נדה</v>
      </c>
    </row>
    <row r="41425" spans="1:6" x14ac:dyDescent="0.2">
      <c r="A41425" t="s">
        <v>63039</v>
      </c>
      <c r="B41425" t="s">
        <v>14063</v>
      </c>
      <c r="C41425" t="s">
        <v>23</v>
      </c>
      <c r="D41425" t="s">
        <v>14</v>
      </c>
      <c r="F41425" s="2" t="str">
        <f>HYPERLINK("http://www.otzar.org/book.asp?192842","שיעורים בהלכות רבית")</f>
        <v>שיעורים בהלכות רבית</v>
      </c>
    </row>
    <row r="41426" spans="1:6" x14ac:dyDescent="0.2">
      <c r="A41426" t="s">
        <v>63040</v>
      </c>
      <c r="B41426" t="s">
        <v>22581</v>
      </c>
      <c r="C41426" t="s">
        <v>114</v>
      </c>
      <c r="D41426" t="s">
        <v>52</v>
      </c>
      <c r="E41426" t="s">
        <v>15</v>
      </c>
      <c r="F41426" s="2" t="str">
        <f>HYPERLINK("http://www.otzar.org/book.asp?162666","שיעורים ביסודי הלכות שבת")</f>
        <v>שיעורים ביסודי הלכות שבת</v>
      </c>
    </row>
    <row r="41427" spans="1:6" x14ac:dyDescent="0.2">
      <c r="A41427" t="s">
        <v>63041</v>
      </c>
      <c r="B41427" t="s">
        <v>63042</v>
      </c>
      <c r="C41427" t="s">
        <v>68</v>
      </c>
      <c r="D41427" t="s">
        <v>152</v>
      </c>
      <c r="E41427" t="s">
        <v>130</v>
      </c>
      <c r="F41427" s="2" t="str">
        <f>HYPERLINK("http://www.otzar.org/book.asp?179639","שיעורים במלאכות שבת")</f>
        <v>שיעורים במלאכות שבת</v>
      </c>
    </row>
    <row r="41428" spans="1:6" x14ac:dyDescent="0.2">
      <c r="A41428" t="s">
        <v>63043</v>
      </c>
      <c r="B41428" t="s">
        <v>63026</v>
      </c>
      <c r="C41428" t="s">
        <v>23</v>
      </c>
      <c r="D41428" t="s">
        <v>52</v>
      </c>
      <c r="F41428" s="2" t="str">
        <f>HYPERLINK("http://www.otzar.org/book.asp?616837","שיעורים במסילת ישרים")</f>
        <v>שיעורים במסילת ישרים</v>
      </c>
    </row>
    <row r="41429" spans="1:6" x14ac:dyDescent="0.2">
      <c r="A41429" t="s">
        <v>63044</v>
      </c>
      <c r="B41429" t="s">
        <v>60369</v>
      </c>
      <c r="C41429" t="s">
        <v>20</v>
      </c>
      <c r="D41429" t="s">
        <v>14</v>
      </c>
      <c r="F41429" s="2" t="str">
        <f>HYPERLINK("http://www.otzar.org/book.asp?621805","שיעורים במסכת ב""ק פרק מרובה")</f>
        <v>שיעורים במסכת ב"ק פרק מרובה</v>
      </c>
    </row>
    <row r="41430" spans="1:6" x14ac:dyDescent="0.2">
      <c r="A41430" t="s">
        <v>63045</v>
      </c>
      <c r="B41430" t="s">
        <v>63046</v>
      </c>
      <c r="C41430" t="s">
        <v>20</v>
      </c>
      <c r="D41430" t="s">
        <v>14</v>
      </c>
      <c r="E41430" t="s">
        <v>144</v>
      </c>
      <c r="F41430" s="2" t="str">
        <f>HYPERLINK("http://www.otzar.org/book.asp?194564","שיעורים במסכת ב""ק")</f>
        <v>שיעורים במסכת ב"ק</v>
      </c>
    </row>
    <row r="41431" spans="1:6" x14ac:dyDescent="0.2">
      <c r="A41431" t="s">
        <v>63047</v>
      </c>
      <c r="B41431" t="s">
        <v>62804</v>
      </c>
      <c r="C41431" t="s">
        <v>411</v>
      </c>
      <c r="D41431" t="s">
        <v>52</v>
      </c>
      <c r="F41431" s="2" t="str">
        <f>HYPERLINK("http://www.otzar.org/book.asp?619275","שיעורים במסכת בבא בתרא ב")</f>
        <v>שיעורים במסכת בבא בתרא ב</v>
      </c>
    </row>
    <row r="41432" spans="1:6" x14ac:dyDescent="0.2">
      <c r="A41432" t="s">
        <v>63048</v>
      </c>
      <c r="B41432" t="s">
        <v>42489</v>
      </c>
      <c r="C41432" t="s">
        <v>68</v>
      </c>
      <c r="D41432" t="s">
        <v>52</v>
      </c>
      <c r="E41432" t="s">
        <v>144</v>
      </c>
      <c r="F41432" s="2" t="str">
        <f>HYPERLINK("http://www.otzar.org/book.asp?630447","שיעורים במסכת בבא בתרא - 2 כר'")</f>
        <v>שיעורים במסכת בבא בתרא - 2 כר'</v>
      </c>
    </row>
    <row r="41433" spans="1:6" x14ac:dyDescent="0.2">
      <c r="A41433" t="s">
        <v>63049</v>
      </c>
      <c r="B41433" t="s">
        <v>42489</v>
      </c>
      <c r="C41433" t="s">
        <v>111</v>
      </c>
      <c r="D41433" t="s">
        <v>52</v>
      </c>
      <c r="E41433" t="s">
        <v>144</v>
      </c>
      <c r="F41433" s="2" t="str">
        <f>HYPERLINK("http://www.otzar.org/book.asp?630442","שיעורים במסכת בבא קמא - 2 כר'")</f>
        <v>שיעורים במסכת בבא קמא - 2 כר'</v>
      </c>
    </row>
    <row r="41434" spans="1:6" x14ac:dyDescent="0.2">
      <c r="A41434" t="s">
        <v>63050</v>
      </c>
      <c r="B41434" t="s">
        <v>42489</v>
      </c>
      <c r="C41434" t="s">
        <v>133</v>
      </c>
      <c r="D41434" t="s">
        <v>52</v>
      </c>
      <c r="E41434" t="s">
        <v>144</v>
      </c>
      <c r="F41434" s="2" t="str">
        <f>HYPERLINK("http://www.otzar.org/book.asp?192343","שיעורים במסכת גיטין")</f>
        <v>שיעורים במסכת גיטין</v>
      </c>
    </row>
    <row r="41435" spans="1:6" x14ac:dyDescent="0.2">
      <c r="A41435" t="s">
        <v>63051</v>
      </c>
      <c r="B41435" t="s">
        <v>42489</v>
      </c>
      <c r="C41435" t="s">
        <v>366</v>
      </c>
      <c r="D41435" t="s">
        <v>52</v>
      </c>
      <c r="E41435" t="s">
        <v>144</v>
      </c>
      <c r="F41435" s="2" t="str">
        <f>HYPERLINK("http://www.otzar.org/book.asp?630441","שיעורים במסכת הוריות")</f>
        <v>שיעורים במסכת הוריות</v>
      </c>
    </row>
    <row r="41436" spans="1:6" x14ac:dyDescent="0.2">
      <c r="A41436" t="s">
        <v>63052</v>
      </c>
      <c r="B41436" t="s">
        <v>4393</v>
      </c>
      <c r="C41436" t="s">
        <v>17</v>
      </c>
      <c r="D41436" t="s">
        <v>14</v>
      </c>
      <c r="E41436" t="s">
        <v>144</v>
      </c>
      <c r="F41436" s="2" t="str">
        <f>HYPERLINK("http://www.otzar.org/book.asp?61369","שיעורים במסכת יבמות")</f>
        <v>שיעורים במסכת יבמות</v>
      </c>
    </row>
    <row r="41437" spans="1:6" x14ac:dyDescent="0.2">
      <c r="A41437" t="s">
        <v>63052</v>
      </c>
      <c r="B41437" t="s">
        <v>42489</v>
      </c>
      <c r="C41437" t="s">
        <v>411</v>
      </c>
      <c r="D41437" t="s">
        <v>52</v>
      </c>
      <c r="E41437" t="s">
        <v>144</v>
      </c>
      <c r="F41437" s="2" t="str">
        <f>HYPERLINK("http://www.otzar.org/book.asp?192395","שיעורים במסכת יבמות")</f>
        <v>שיעורים במסכת יבמות</v>
      </c>
    </row>
    <row r="41438" spans="1:6" x14ac:dyDescent="0.2">
      <c r="A41438" t="s">
        <v>63053</v>
      </c>
      <c r="B41438" t="s">
        <v>42489</v>
      </c>
      <c r="C41438" t="s">
        <v>114</v>
      </c>
      <c r="D41438" t="s">
        <v>52</v>
      </c>
      <c r="E41438" t="s">
        <v>144</v>
      </c>
      <c r="F41438" s="2" t="str">
        <f>HYPERLINK("http://www.otzar.org/book.asp?192394","שיעורים במסכת מכות")</f>
        <v>שיעורים במסכת מכות</v>
      </c>
    </row>
    <row r="41439" spans="1:6" x14ac:dyDescent="0.2">
      <c r="A41439" t="s">
        <v>63054</v>
      </c>
      <c r="B41439" t="s">
        <v>63042</v>
      </c>
      <c r="C41439" t="s">
        <v>411</v>
      </c>
      <c r="D41439" t="s">
        <v>152</v>
      </c>
      <c r="E41439" t="s">
        <v>144</v>
      </c>
      <c r="F41439" s="2" t="str">
        <f>HYPERLINK("http://www.otzar.org/book.asp?179638","שיעורים במסכת סוכה וביצה")</f>
        <v>שיעורים במסכת סוכה וביצה</v>
      </c>
    </row>
    <row r="41440" spans="1:6" x14ac:dyDescent="0.2">
      <c r="A41440" t="s">
        <v>63055</v>
      </c>
      <c r="B41440" t="s">
        <v>42489</v>
      </c>
      <c r="C41440" t="s">
        <v>244</v>
      </c>
      <c r="D41440" t="s">
        <v>52</v>
      </c>
      <c r="E41440" t="s">
        <v>144</v>
      </c>
      <c r="F41440" s="2" t="str">
        <f>HYPERLINK("http://www.otzar.org/book.asp?630446","שיעורים במסכת סוכה")</f>
        <v>שיעורים במסכת סוכה</v>
      </c>
    </row>
    <row r="41441" spans="1:6" x14ac:dyDescent="0.2">
      <c r="A41441" t="s">
        <v>63056</v>
      </c>
      <c r="B41441" t="s">
        <v>42489</v>
      </c>
      <c r="C41441" t="s">
        <v>366</v>
      </c>
      <c r="D41441" t="s">
        <v>52</v>
      </c>
      <c r="E41441" t="s">
        <v>144</v>
      </c>
      <c r="F41441" s="2" t="str">
        <f>HYPERLINK("http://www.otzar.org/book.asp?630443","שיעורים במסכת עירובין")</f>
        <v>שיעורים במסכת עירובין</v>
      </c>
    </row>
    <row r="41442" spans="1:6" x14ac:dyDescent="0.2">
      <c r="A41442" t="s">
        <v>63057</v>
      </c>
      <c r="B41442" t="s">
        <v>63058</v>
      </c>
      <c r="C41442" t="s">
        <v>13</v>
      </c>
      <c r="D41442" t="s">
        <v>14</v>
      </c>
      <c r="E41442" t="s">
        <v>144</v>
      </c>
      <c r="F41442" s="2" t="str">
        <f>HYPERLINK("http://www.otzar.org/book.asp?60597","שיעורים במסכת עירובין - 2 כר'")</f>
        <v>שיעורים במסכת עירובין - 2 כר'</v>
      </c>
    </row>
    <row r="41443" spans="1:6" x14ac:dyDescent="0.2">
      <c r="A41443" t="s">
        <v>63059</v>
      </c>
      <c r="B41443" t="s">
        <v>63060</v>
      </c>
      <c r="C41443" t="s">
        <v>482</v>
      </c>
      <c r="D41443" t="s">
        <v>27</v>
      </c>
      <c r="E41443" t="s">
        <v>84</v>
      </c>
      <c r="F41443" s="2" t="str">
        <f>HYPERLINK("http://www.otzar.org/book.asp?154397","שיעורים במסכת פאה")</f>
        <v>שיעורים במסכת פאה</v>
      </c>
    </row>
    <row r="41444" spans="1:6" x14ac:dyDescent="0.2">
      <c r="A41444" t="s">
        <v>63061</v>
      </c>
      <c r="B41444" t="s">
        <v>63062</v>
      </c>
      <c r="C41444" t="s">
        <v>37</v>
      </c>
      <c r="D41444" t="s">
        <v>90</v>
      </c>
      <c r="E41444" t="s">
        <v>144</v>
      </c>
      <c r="F41444" s="2" t="str">
        <f>HYPERLINK("http://www.otzar.org/book.asp?181929","שיעורים במסכת פסחים")</f>
        <v>שיעורים במסכת פסחים</v>
      </c>
    </row>
    <row r="41445" spans="1:6" x14ac:dyDescent="0.2">
      <c r="A41445" t="s">
        <v>63063</v>
      </c>
      <c r="B41445" t="s">
        <v>4393</v>
      </c>
      <c r="C41445" t="s">
        <v>189</v>
      </c>
      <c r="D41445" t="s">
        <v>14</v>
      </c>
      <c r="E41445" t="s">
        <v>144</v>
      </c>
      <c r="F41445" s="2" t="str">
        <f>HYPERLINK("http://www.otzar.org/book.asp?605629","שיעורים במסכת - 5 כר'")</f>
        <v>שיעורים במסכת - 5 כר'</v>
      </c>
    </row>
    <row r="41446" spans="1:6" x14ac:dyDescent="0.2">
      <c r="A41446" t="s">
        <v>63064</v>
      </c>
      <c r="B41446" t="s">
        <v>63065</v>
      </c>
      <c r="C41446" t="s">
        <v>411</v>
      </c>
      <c r="D41446" t="s">
        <v>14</v>
      </c>
      <c r="E41446" t="s">
        <v>144</v>
      </c>
      <c r="F41446" s="2" t="str">
        <f>HYPERLINK("http://www.otzar.org/book.asp?172072","שיעורים במסכתות ראש השנה ותענית")</f>
        <v>שיעורים במסכתות ראש השנה ותענית</v>
      </c>
    </row>
    <row r="41447" spans="1:6" x14ac:dyDescent="0.2">
      <c r="A41447" t="s">
        <v>63066</v>
      </c>
      <c r="B41447" t="s">
        <v>63067</v>
      </c>
      <c r="C41447" t="s">
        <v>133</v>
      </c>
      <c r="D41447" t="s">
        <v>14</v>
      </c>
      <c r="E41447" t="s">
        <v>84</v>
      </c>
      <c r="F41447" s="2" t="str">
        <f>HYPERLINK("http://www.otzar.org/book.asp?172765","שיעורים במשניות - 6 כר'")</f>
        <v>שיעורים במשניות - 6 כר'</v>
      </c>
    </row>
    <row r="41448" spans="1:6" x14ac:dyDescent="0.2">
      <c r="A41448" t="s">
        <v>63068</v>
      </c>
      <c r="B41448" t="s">
        <v>4694</v>
      </c>
      <c r="C41448" t="s">
        <v>103</v>
      </c>
      <c r="D41448" t="s">
        <v>2201</v>
      </c>
      <c r="E41448" t="s">
        <v>186</v>
      </c>
      <c r="F41448" s="2" t="str">
        <f>HYPERLINK("http://www.otzar.org/book.asp?142891","שיעורים בסוגיא דמכירת שטרות")</f>
        <v>שיעורים בסוגיא דמכירת שטרות</v>
      </c>
    </row>
    <row r="41449" spans="1:6" x14ac:dyDescent="0.2">
      <c r="A41449" t="s">
        <v>63069</v>
      </c>
      <c r="B41449" t="s">
        <v>57700</v>
      </c>
      <c r="C41449" t="s">
        <v>17</v>
      </c>
      <c r="D41449" t="s">
        <v>367</v>
      </c>
      <c r="F41449" s="2" t="str">
        <f>HYPERLINK("http://www.otzar.org/book.asp?616191","שיעורים בסוגיות עגונות")</f>
        <v>שיעורים בסוגיות עגונות</v>
      </c>
    </row>
    <row r="41450" spans="1:6" x14ac:dyDescent="0.2">
      <c r="A41450" t="s">
        <v>63070</v>
      </c>
      <c r="B41450" t="s">
        <v>57700</v>
      </c>
      <c r="C41450" t="s">
        <v>63071</v>
      </c>
      <c r="D41450" t="s">
        <v>52</v>
      </c>
      <c r="F41450" s="2" t="str">
        <f>HYPERLINK("http://www.otzar.org/book.asp?616190","שיעורים בסוגיות עשה דוחה לא תעשה")</f>
        <v>שיעורים בסוגיות עשה דוחה לא תעשה</v>
      </c>
    </row>
    <row r="41451" spans="1:6" x14ac:dyDescent="0.2">
      <c r="A41451" t="s">
        <v>63072</v>
      </c>
      <c r="B41451" t="s">
        <v>45285</v>
      </c>
      <c r="C41451" t="s">
        <v>2284</v>
      </c>
      <c r="D41451" t="s">
        <v>52</v>
      </c>
      <c r="E41451" t="s">
        <v>144</v>
      </c>
      <c r="F41451" s="2" t="str">
        <f>HYPERLINK("http://www.otzar.org/book.asp?25799","שיעורים בסנהדרין")</f>
        <v>שיעורים בסנהדרין</v>
      </c>
    </row>
    <row r="41452" spans="1:6" x14ac:dyDescent="0.2">
      <c r="A41452" t="s">
        <v>63073</v>
      </c>
      <c r="B41452" t="s">
        <v>1728</v>
      </c>
      <c r="C41452" t="s">
        <v>63074</v>
      </c>
      <c r="D41452" t="s">
        <v>273</v>
      </c>
      <c r="E41452" t="s">
        <v>140</v>
      </c>
      <c r="F41452" s="2" t="str">
        <f>HYPERLINK("http://www.otzar.org/book.asp?626864","שיעורים בספר סוד ה' ליראיו - 4 כר'")</f>
        <v>שיעורים בספר סוד ה' ליראיו - 4 כר'</v>
      </c>
    </row>
    <row r="41453" spans="1:6" x14ac:dyDescent="0.2">
      <c r="A41453" t="s">
        <v>63075</v>
      </c>
      <c r="B41453" t="s">
        <v>63076</v>
      </c>
      <c r="C41453" t="s">
        <v>20</v>
      </c>
      <c r="D41453" t="s">
        <v>90</v>
      </c>
      <c r="F41453" s="2" t="str">
        <f>HYPERLINK("http://www.otzar.org/book.asp?622007","שיעורים בעניני תערובות ובב""ח")</f>
        <v>שיעורים בעניני תערובות ובב"ח</v>
      </c>
    </row>
    <row r="41454" spans="1:6" x14ac:dyDescent="0.2">
      <c r="A41454" t="s">
        <v>63077</v>
      </c>
      <c r="B41454" t="s">
        <v>63078</v>
      </c>
      <c r="C41454" t="s">
        <v>454</v>
      </c>
      <c r="D41454" t="s">
        <v>52</v>
      </c>
      <c r="E41454" t="s">
        <v>144</v>
      </c>
      <c r="F41454" s="2" t="str">
        <f>HYPERLINK("http://www.otzar.org/book.asp?613172","שיעורים בפרק איזהו נשך")</f>
        <v>שיעורים בפרק איזהו נשך</v>
      </c>
    </row>
    <row r="41455" spans="1:6" x14ac:dyDescent="0.2">
      <c r="A41455" t="s">
        <v>63077</v>
      </c>
      <c r="B41455" t="s">
        <v>7515</v>
      </c>
      <c r="C41455" t="s">
        <v>454</v>
      </c>
      <c r="D41455" t="s">
        <v>52</v>
      </c>
      <c r="E41455" t="s">
        <v>144</v>
      </c>
      <c r="F41455" s="2" t="str">
        <f>HYPERLINK("http://www.otzar.org/book.asp?625497","שיעורים בפרק איזהו נשך")</f>
        <v>שיעורים בפרק איזהו נשך</v>
      </c>
    </row>
    <row r="41456" spans="1:6" x14ac:dyDescent="0.2">
      <c r="A41456" t="s">
        <v>63079</v>
      </c>
      <c r="B41456" t="s">
        <v>206</v>
      </c>
      <c r="C41456" t="s">
        <v>151</v>
      </c>
      <c r="D41456" t="s">
        <v>52</v>
      </c>
      <c r="E41456" t="s">
        <v>144</v>
      </c>
      <c r="F41456" s="2" t="str">
        <f>HYPERLINK("http://www.otzar.org/book.asp?625848","שיעורים בפרק המפקיד")</f>
        <v>שיעורים בפרק המפקיד</v>
      </c>
    </row>
    <row r="41457" spans="1:6" x14ac:dyDescent="0.2">
      <c r="A41457" t="s">
        <v>63080</v>
      </c>
      <c r="B41457" t="s">
        <v>14063</v>
      </c>
      <c r="C41457" t="s">
        <v>17</v>
      </c>
      <c r="D41457" t="s">
        <v>14</v>
      </c>
      <c r="E41457" t="s">
        <v>803</v>
      </c>
      <c r="F41457" s="2" t="str">
        <f>HYPERLINK("http://www.otzar.org/book.asp?52678","שיעורים בשבת")</f>
        <v>שיעורים בשבת</v>
      </c>
    </row>
    <row r="41458" spans="1:6" x14ac:dyDescent="0.2">
      <c r="A41458" t="s">
        <v>63081</v>
      </c>
      <c r="B41458" t="s">
        <v>19409</v>
      </c>
      <c r="C41458" t="s">
        <v>63082</v>
      </c>
      <c r="D41458" t="s">
        <v>9</v>
      </c>
      <c r="E41458" t="s">
        <v>246</v>
      </c>
      <c r="F41458" s="2" t="str">
        <f>HYPERLINK("http://www.otzar.org/book.asp?52014","שיעורים בתורה - 2 כר'")</f>
        <v>שיעורים בתורה - 2 כר'</v>
      </c>
    </row>
    <row r="41459" spans="1:6" x14ac:dyDescent="0.2">
      <c r="A41459" t="s">
        <v>63083</v>
      </c>
      <c r="B41459" t="s">
        <v>20643</v>
      </c>
      <c r="C41459" t="s">
        <v>103</v>
      </c>
      <c r="D41459" t="s">
        <v>52</v>
      </c>
      <c r="E41459" t="s">
        <v>15</v>
      </c>
      <c r="F41459" s="2" t="str">
        <f>HYPERLINK("http://www.otzar.org/book.asp?171342","שיעורים דאורייתא - 3 כר'")</f>
        <v>שיעורים דאורייתא - 3 כר'</v>
      </c>
    </row>
    <row r="41460" spans="1:6" x14ac:dyDescent="0.2">
      <c r="A41460" t="s">
        <v>63084</v>
      </c>
      <c r="B41460" t="s">
        <v>1728</v>
      </c>
      <c r="C41460" t="s">
        <v>63085</v>
      </c>
      <c r="D41460" t="s">
        <v>273</v>
      </c>
      <c r="E41460" t="s">
        <v>140</v>
      </c>
      <c r="F41460" s="2" t="str">
        <f>HYPERLINK("http://www.otzar.org/book.asp?626873","שיעורים והתוועדויות - 14 כר'")</f>
        <v>שיעורים והתוועדויות - 14 כר'</v>
      </c>
    </row>
    <row r="41461" spans="1:6" x14ac:dyDescent="0.2">
      <c r="A41461" t="s">
        <v>63086</v>
      </c>
      <c r="B41461" t="s">
        <v>63087</v>
      </c>
      <c r="C41461" t="s">
        <v>189</v>
      </c>
      <c r="D41461" t="s">
        <v>52</v>
      </c>
      <c r="E41461" t="s">
        <v>144</v>
      </c>
      <c r="F41461" s="2" t="str">
        <f>HYPERLINK("http://www.otzar.org/book.asp?146467","שיעורים וחידו""ת בפרק נערה המאורסה")</f>
        <v>שיעורים וחידו"ת בפרק נערה המאורסה</v>
      </c>
    </row>
    <row r="41462" spans="1:6" x14ac:dyDescent="0.2">
      <c r="A41462" t="s">
        <v>63088</v>
      </c>
      <c r="B41462" t="s">
        <v>63089</v>
      </c>
      <c r="C41462" t="s">
        <v>111</v>
      </c>
      <c r="D41462" t="s">
        <v>90</v>
      </c>
      <c r="E41462" t="s">
        <v>84</v>
      </c>
      <c r="F41462" s="2" t="str">
        <f>HYPERLINK("http://www.otzar.org/book.asp?631383","שיעורים וכתבים, זרעים - 13 כר'")</f>
        <v>שיעורים וכתבים, זרעים - 13 כר'</v>
      </c>
    </row>
    <row r="41463" spans="1:6" x14ac:dyDescent="0.2">
      <c r="A41463" t="s">
        <v>63090</v>
      </c>
      <c r="B41463" t="s">
        <v>63089</v>
      </c>
      <c r="C41463" t="s">
        <v>20</v>
      </c>
      <c r="D41463" t="s">
        <v>52</v>
      </c>
      <c r="F41463" s="2" t="str">
        <f>HYPERLINK("http://www.otzar.org/book.asp?619053","שיעורים וכתבים, טהרות - 9 כר'")</f>
        <v>שיעורים וכתבים, טהרות - 9 כר'</v>
      </c>
    </row>
    <row r="41464" spans="1:6" x14ac:dyDescent="0.2">
      <c r="A41464" t="s">
        <v>63091</v>
      </c>
      <c r="B41464" t="s">
        <v>63089</v>
      </c>
      <c r="C41464" t="s">
        <v>20</v>
      </c>
      <c r="D41464" t="s">
        <v>90</v>
      </c>
      <c r="E41464" t="s">
        <v>15</v>
      </c>
      <c r="F41464" s="2" t="str">
        <f>HYPERLINK("http://www.otzar.org/book.asp?631348","שיעורים וכתבים, ליקוטים - 2 כר'")</f>
        <v>שיעורים וכתבים, ליקוטים - 2 כר'</v>
      </c>
    </row>
    <row r="41465" spans="1:6" x14ac:dyDescent="0.2">
      <c r="A41465" t="s">
        <v>63092</v>
      </c>
      <c r="B41465" t="s">
        <v>63089</v>
      </c>
      <c r="C41465" t="s">
        <v>20</v>
      </c>
      <c r="D41465" t="s">
        <v>90</v>
      </c>
      <c r="F41465" s="2" t="str">
        <f>HYPERLINK("http://www.otzar.org/book.asp?631621","שיעורים וכתבים, מוסר ואגדה - 25 כר'")</f>
        <v>שיעורים וכתבים, מוסר ואגדה - 25 כר'</v>
      </c>
    </row>
    <row r="41466" spans="1:6" x14ac:dyDescent="0.2">
      <c r="A41466" t="s">
        <v>63093</v>
      </c>
      <c r="B41466" t="s">
        <v>63089</v>
      </c>
      <c r="C41466" t="s">
        <v>20</v>
      </c>
      <c r="D41466" t="s">
        <v>52</v>
      </c>
      <c r="E41466" t="s">
        <v>144</v>
      </c>
      <c r="F41466" s="2" t="str">
        <f>HYPERLINK("http://www.otzar.org/book.asp?620700","שיעורים וכתבים, מועד - 16 כר'")</f>
        <v>שיעורים וכתבים, מועד - 16 כר'</v>
      </c>
    </row>
    <row r="41467" spans="1:6" x14ac:dyDescent="0.2">
      <c r="A41467" t="s">
        <v>63094</v>
      </c>
      <c r="B41467" t="s">
        <v>63089</v>
      </c>
      <c r="C41467" t="s">
        <v>20</v>
      </c>
      <c r="D41467" t="s">
        <v>90</v>
      </c>
      <c r="E41467" t="s">
        <v>144</v>
      </c>
      <c r="F41467" s="2" t="str">
        <f>HYPERLINK("http://www.otzar.org/book.asp?631364","שיעורים וכתבים, נזיקין - 12 כר'")</f>
        <v>שיעורים וכתבים, נזיקין - 12 כר'</v>
      </c>
    </row>
    <row r="41468" spans="1:6" x14ac:dyDescent="0.2">
      <c r="A41468" t="s">
        <v>63095</v>
      </c>
      <c r="B41468" t="s">
        <v>63089</v>
      </c>
      <c r="C41468" t="s">
        <v>20</v>
      </c>
      <c r="D41468" t="s">
        <v>90</v>
      </c>
      <c r="E41468" t="s">
        <v>144</v>
      </c>
      <c r="F41468" s="2" t="str">
        <f>HYPERLINK("http://www.otzar.org/book.asp?620699","שיעורים וכתבים, נשים - 6 כר'")</f>
        <v>שיעורים וכתבים, נשים - 6 כר'</v>
      </c>
    </row>
    <row r="41469" spans="1:6" x14ac:dyDescent="0.2">
      <c r="A41469" t="s">
        <v>63096</v>
      </c>
      <c r="B41469" t="s">
        <v>63089</v>
      </c>
      <c r="C41469" t="s">
        <v>20</v>
      </c>
      <c r="D41469" t="s">
        <v>52</v>
      </c>
      <c r="E41469" t="s">
        <v>144</v>
      </c>
      <c r="F41469" s="2" t="str">
        <f>HYPERLINK("http://www.otzar.org/book.asp?621087","שיעורים וכתבים, קדשים - 13 כר'")</f>
        <v>שיעורים וכתבים, קדשים - 13 כר'</v>
      </c>
    </row>
    <row r="41470" spans="1:6" x14ac:dyDescent="0.2">
      <c r="A41470" t="s">
        <v>63097</v>
      </c>
      <c r="B41470" t="s">
        <v>49608</v>
      </c>
      <c r="C41470" t="s">
        <v>20</v>
      </c>
      <c r="D41470" t="s">
        <v>90</v>
      </c>
      <c r="E41470" t="s">
        <v>172</v>
      </c>
      <c r="F41470" s="2" t="str">
        <f>HYPERLINK("http://www.otzar.org/book.asp?603757","שיעורים ומראה מקומות")</f>
        <v>שיעורים ומראה מקומות</v>
      </c>
    </row>
    <row r="41471" spans="1:6" x14ac:dyDescent="0.2">
      <c r="A41471" t="s">
        <v>63098</v>
      </c>
      <c r="B41471" t="s">
        <v>54498</v>
      </c>
      <c r="C41471" t="s">
        <v>366</v>
      </c>
      <c r="D41471" t="s">
        <v>90</v>
      </c>
      <c r="F41471" s="2" t="str">
        <f>HYPERLINK("http://www.otzar.org/book.asp?617817","שיעורים ומראי מקומות - 8 כר'")</f>
        <v>שיעורים ומראי מקומות - 8 כר'</v>
      </c>
    </row>
    <row r="41472" spans="1:6" x14ac:dyDescent="0.2">
      <c r="A41472" t="s">
        <v>63099</v>
      </c>
      <c r="B41472" t="s">
        <v>41809</v>
      </c>
      <c r="C41472" t="s">
        <v>146</v>
      </c>
      <c r="D41472" t="s">
        <v>21</v>
      </c>
      <c r="E41472" t="s">
        <v>246</v>
      </c>
      <c r="F41472" s="2" t="str">
        <f>HYPERLINK("http://www.otzar.org/book.asp?619460","שיעורים ושיחות - 3 כר'")</f>
        <v>שיעורים ושיחות - 3 כר'</v>
      </c>
    </row>
    <row r="41473" spans="1:6" x14ac:dyDescent="0.2">
      <c r="A41473" t="s">
        <v>63100</v>
      </c>
      <c r="B41473" t="s">
        <v>15736</v>
      </c>
      <c r="C41473" t="s">
        <v>129</v>
      </c>
      <c r="D41473" t="s">
        <v>52</v>
      </c>
      <c r="F41473" s="2" t="str">
        <f>HYPERLINK("http://www.otzar.org/book.asp?618878","שיעורים כלליים")</f>
        <v>שיעורים כלליים</v>
      </c>
    </row>
    <row r="41474" spans="1:6" x14ac:dyDescent="0.2">
      <c r="A41474" t="s">
        <v>63101</v>
      </c>
      <c r="B41474" t="s">
        <v>63102</v>
      </c>
      <c r="C41474" t="s">
        <v>37</v>
      </c>
      <c r="D41474" t="s">
        <v>14</v>
      </c>
      <c r="E41474" t="s">
        <v>144</v>
      </c>
      <c r="F41474" s="2" t="str">
        <f>HYPERLINK("http://www.otzar.org/book.asp?189910","שיעורים כלליים - ב""ב, מכות")</f>
        <v>שיעורים כלליים - ב"ב, מכות</v>
      </c>
    </row>
    <row r="41475" spans="1:6" x14ac:dyDescent="0.2">
      <c r="A41475" t="s">
        <v>63103</v>
      </c>
      <c r="B41475" t="s">
        <v>63104</v>
      </c>
      <c r="C41475" t="s">
        <v>189</v>
      </c>
      <c r="D41475" t="s">
        <v>52</v>
      </c>
      <c r="E41475" t="s">
        <v>144</v>
      </c>
      <c r="F41475" s="2" t="str">
        <f>HYPERLINK("http://www.otzar.org/book.asp?159484","שיעורים כללים - שניים אוחזין")</f>
        <v>שיעורים כללים - שניים אוחזין</v>
      </c>
    </row>
    <row r="41476" spans="1:6" x14ac:dyDescent="0.2">
      <c r="A41476" t="s">
        <v>63105</v>
      </c>
      <c r="B41476" t="s">
        <v>6307</v>
      </c>
      <c r="C41476" t="s">
        <v>23</v>
      </c>
      <c r="D41476" t="s">
        <v>147</v>
      </c>
      <c r="F41476" s="2" t="str">
        <f>HYPERLINK("http://www.otzar.org/book.asp?612023","שיעורים כללים - יבמות")</f>
        <v>שיעורים כללים - יבמות</v>
      </c>
    </row>
    <row r="41477" spans="1:6" x14ac:dyDescent="0.2">
      <c r="A41477" t="s">
        <v>63106</v>
      </c>
      <c r="B41477" t="s">
        <v>363</v>
      </c>
      <c r="C41477" t="s">
        <v>17</v>
      </c>
      <c r="D41477" t="s">
        <v>52</v>
      </c>
      <c r="E41477" t="s">
        <v>144</v>
      </c>
      <c r="F41477" s="2" t="str">
        <f>HYPERLINK("http://www.otzar.org/book.asp?63009","שיעורים כסדרן")</f>
        <v>שיעורים כסדרן</v>
      </c>
    </row>
    <row r="41478" spans="1:6" x14ac:dyDescent="0.2">
      <c r="A41478" t="s">
        <v>63107</v>
      </c>
      <c r="B41478" t="s">
        <v>13184</v>
      </c>
      <c r="C41478" t="s">
        <v>23</v>
      </c>
      <c r="D41478" t="s">
        <v>90</v>
      </c>
      <c r="E41478" t="s">
        <v>10</v>
      </c>
      <c r="F41478" s="2" t="str">
        <f>HYPERLINK("http://www.otzar.org/book.asp?189762","שיעורים מן הבאר")</f>
        <v>שיעורים מן הבאר</v>
      </c>
    </row>
    <row r="41479" spans="1:6" x14ac:dyDescent="0.2">
      <c r="A41479" t="s">
        <v>63108</v>
      </c>
      <c r="B41479" t="s">
        <v>7176</v>
      </c>
      <c r="C41479" t="s">
        <v>422</v>
      </c>
      <c r="D41479" t="s">
        <v>367</v>
      </c>
      <c r="E41479" t="s">
        <v>144</v>
      </c>
      <c r="F41479" s="2" t="str">
        <f>HYPERLINK("http://www.otzar.org/book.asp?168326","שיעורים על מסכת בבא מציעא")</f>
        <v>שיעורים על מסכת בבא מציעא</v>
      </c>
    </row>
    <row r="41480" spans="1:6" x14ac:dyDescent="0.2">
      <c r="A41480" t="s">
        <v>63109</v>
      </c>
      <c r="E41480" t="s">
        <v>144</v>
      </c>
      <c r="F41480" s="2" t="str">
        <f>HYPERLINK("http://www.otzar.org/book.asp?195217","שיעורים על מסכת יבמות")</f>
        <v>שיעורים על מסכת יבמות</v>
      </c>
    </row>
    <row r="41481" spans="1:6" x14ac:dyDescent="0.2">
      <c r="A41481" t="s">
        <v>63110</v>
      </c>
      <c r="B41481" t="s">
        <v>7176</v>
      </c>
      <c r="C41481" t="s">
        <v>422</v>
      </c>
      <c r="D41481" t="s">
        <v>367</v>
      </c>
      <c r="E41481" t="s">
        <v>144</v>
      </c>
      <c r="F41481" s="2" t="str">
        <f>HYPERLINK("http://www.otzar.org/book.asp?168325","שיעורים על מסכתות מכות וקדושין")</f>
        <v>שיעורים על מסכתות מכות וקדושין</v>
      </c>
    </row>
    <row r="41482" spans="1:6" x14ac:dyDescent="0.2">
      <c r="A41482" t="s">
        <v>63111</v>
      </c>
      <c r="B41482" t="s">
        <v>54498</v>
      </c>
      <c r="C41482" t="s">
        <v>37</v>
      </c>
      <c r="D41482" t="s">
        <v>90</v>
      </c>
      <c r="F41482" s="2" t="str">
        <f>HYPERLINK("http://www.otzar.org/book.asp?617818","שיעורים על סדר מסכת ביצה")</f>
        <v>שיעורים על סדר מסכת ביצה</v>
      </c>
    </row>
    <row r="41483" spans="1:6" x14ac:dyDescent="0.2">
      <c r="A41483" t="s">
        <v>63112</v>
      </c>
      <c r="B41483" t="s">
        <v>18804</v>
      </c>
      <c r="C41483" t="s">
        <v>103</v>
      </c>
      <c r="D41483" t="s">
        <v>52</v>
      </c>
      <c r="E41483" t="s">
        <v>144</v>
      </c>
      <c r="F41483" s="2" t="str">
        <f>HYPERLINK("http://www.otzar.org/book.asp?85738","שיעורים - 5 כר'")</f>
        <v>שיעורים - 5 כר'</v>
      </c>
    </row>
    <row r="41484" spans="1:6" x14ac:dyDescent="0.2">
      <c r="A41484" t="s">
        <v>63112</v>
      </c>
      <c r="B41484" t="s">
        <v>63113</v>
      </c>
      <c r="C41484" t="s">
        <v>13</v>
      </c>
      <c r="D41484" t="s">
        <v>52</v>
      </c>
      <c r="E41484" t="s">
        <v>144</v>
      </c>
      <c r="F41484" s="2" t="str">
        <f>HYPERLINK("http://www.otzar.org/book.asp?629478","שיעורים - 5 כר'")</f>
        <v>שיעורים - 5 כר'</v>
      </c>
    </row>
    <row r="41485" spans="1:6" x14ac:dyDescent="0.2">
      <c r="A41485" t="s">
        <v>63114</v>
      </c>
      <c r="B41485" t="s">
        <v>42489</v>
      </c>
      <c r="C41485" t="s">
        <v>68</v>
      </c>
      <c r="D41485" t="s">
        <v>52</v>
      </c>
      <c r="E41485" t="s">
        <v>144</v>
      </c>
      <c r="F41485" s="2" t="str">
        <f>HYPERLINK("http://www.otzar.org/book.asp?183421","שיעורים - 11 כר'")</f>
        <v>שיעורים - 11 כר'</v>
      </c>
    </row>
    <row r="41486" spans="1:6" x14ac:dyDescent="0.2">
      <c r="A41486" t="s">
        <v>63115</v>
      </c>
      <c r="B41486" t="s">
        <v>63116</v>
      </c>
      <c r="C41486" t="s">
        <v>20</v>
      </c>
      <c r="D41486" t="s">
        <v>90</v>
      </c>
      <c r="F41486" s="2" t="str">
        <f>HYPERLINK("http://www.otzar.org/book.asp?613625","שיעורים - 15 כר'")</f>
        <v>שיעורים - 15 כר'</v>
      </c>
    </row>
    <row r="41487" spans="1:6" x14ac:dyDescent="0.2">
      <c r="A41487" t="s">
        <v>63114</v>
      </c>
      <c r="B41487" t="s">
        <v>63117</v>
      </c>
      <c r="C41487" t="s">
        <v>20</v>
      </c>
      <c r="D41487" t="s">
        <v>4919</v>
      </c>
      <c r="F41487" s="2" t="str">
        <f>HYPERLINK("http://www.otzar.org/book.asp?609022","שיעורים - 11 כר'")</f>
        <v>שיעורים - 11 כר'</v>
      </c>
    </row>
    <row r="41488" spans="1:6" x14ac:dyDescent="0.2">
      <c r="A41488" t="s">
        <v>63118</v>
      </c>
      <c r="B41488" t="s">
        <v>5355</v>
      </c>
      <c r="C41488" t="s">
        <v>79</v>
      </c>
      <c r="D41488" t="s">
        <v>80</v>
      </c>
      <c r="E41488" t="s">
        <v>674</v>
      </c>
      <c r="F41488" s="2" t="str">
        <f>HYPERLINK("http://www.otzar.org/book.asp?156492","שיעורין דאורייתא")</f>
        <v>שיעורין דאורייתא</v>
      </c>
    </row>
    <row r="41489" spans="1:6" x14ac:dyDescent="0.2">
      <c r="A41489" t="s">
        <v>63119</v>
      </c>
      <c r="B41489" t="s">
        <v>5355</v>
      </c>
      <c r="C41489" t="s">
        <v>1954</v>
      </c>
      <c r="D41489" t="s">
        <v>27</v>
      </c>
      <c r="E41489" t="s">
        <v>104</v>
      </c>
      <c r="F41489" s="2" t="str">
        <f>HYPERLINK("http://www.otzar.org/book.asp?11842","שיעורין של תורה - 2 כר'")</f>
        <v>שיעורין של תורה - 2 כר'</v>
      </c>
    </row>
    <row r="41490" spans="1:6" x14ac:dyDescent="0.2">
      <c r="A41490" t="s">
        <v>63120</v>
      </c>
      <c r="B41490" t="s">
        <v>52947</v>
      </c>
      <c r="C41490" t="s">
        <v>23</v>
      </c>
      <c r="D41490" t="s">
        <v>33869</v>
      </c>
      <c r="E41490" t="s">
        <v>15</v>
      </c>
      <c r="F41490" s="2" t="str">
        <f>HYPERLINK("http://www.otzar.org/book.asp?601451","שיקדש עצמו")</f>
        <v>שיקדש עצמו</v>
      </c>
    </row>
    <row r="41491" spans="1:6" x14ac:dyDescent="0.2">
      <c r="A41491" t="s">
        <v>63121</v>
      </c>
      <c r="B41491" t="s">
        <v>20223</v>
      </c>
      <c r="C41491" t="s">
        <v>1940</v>
      </c>
      <c r="D41491" t="s">
        <v>27594</v>
      </c>
      <c r="E41491" t="s">
        <v>219</v>
      </c>
      <c r="F41491" s="2" t="str">
        <f>HYPERLINK("http://www.otzar.org/book.asp?174368","שיר אמונים")</f>
        <v>שיר אמונים</v>
      </c>
    </row>
    <row r="41492" spans="1:6" x14ac:dyDescent="0.2">
      <c r="A41492" t="s">
        <v>63122</v>
      </c>
      <c r="B41492" t="s">
        <v>7854</v>
      </c>
      <c r="C41492" t="s">
        <v>87</v>
      </c>
      <c r="D41492" t="s">
        <v>14</v>
      </c>
      <c r="E41492" t="s">
        <v>219</v>
      </c>
      <c r="F41492" s="2" t="str">
        <f>HYPERLINK("http://www.otzar.org/book.asp?168751","שיר בינה")</f>
        <v>שיר בינה</v>
      </c>
    </row>
    <row r="41493" spans="1:6" x14ac:dyDescent="0.2">
      <c r="A41493" t="s">
        <v>63123</v>
      </c>
      <c r="B41493" t="s">
        <v>63124</v>
      </c>
      <c r="C41493" t="s">
        <v>1208</v>
      </c>
      <c r="D41493" t="s">
        <v>14</v>
      </c>
      <c r="F41493" s="2" t="str">
        <f>HYPERLINK("http://www.otzar.org/book.asp?611078","שיר בן דוד &lt;מהדורה חדשה&gt;")</f>
        <v>שיר בן דוד &lt;מהדורה חדשה&gt;</v>
      </c>
    </row>
    <row r="41494" spans="1:6" x14ac:dyDescent="0.2">
      <c r="A41494" t="s">
        <v>63125</v>
      </c>
      <c r="B41494" t="s">
        <v>35427</v>
      </c>
      <c r="C41494" t="s">
        <v>603</v>
      </c>
      <c r="D41494" t="s">
        <v>56</v>
      </c>
      <c r="E41494" t="s">
        <v>43</v>
      </c>
      <c r="F41494" s="2" t="str">
        <f>HYPERLINK("http://www.otzar.org/book.asp?20709","שיר החיים - 2 כר'")</f>
        <v>שיר החיים - 2 כר'</v>
      </c>
    </row>
    <row r="41495" spans="1:6" x14ac:dyDescent="0.2">
      <c r="A41495" t="s">
        <v>63126</v>
      </c>
      <c r="B41495" t="s">
        <v>63127</v>
      </c>
      <c r="C41495" t="s">
        <v>1725</v>
      </c>
      <c r="D41495" t="s">
        <v>1726</v>
      </c>
      <c r="E41495" t="s">
        <v>5144</v>
      </c>
      <c r="F41495" s="2" t="str">
        <f>HYPERLINK("http://www.otzar.org/book.asp?12985","שיר היחוד")</f>
        <v>שיר היחוד</v>
      </c>
    </row>
    <row r="41496" spans="1:6" x14ac:dyDescent="0.2">
      <c r="A41496" t="s">
        <v>63128</v>
      </c>
      <c r="B41496" t="s">
        <v>8602</v>
      </c>
      <c r="C41496" t="s">
        <v>20680</v>
      </c>
      <c r="D41496" t="s">
        <v>1023</v>
      </c>
      <c r="E41496" t="s">
        <v>104</v>
      </c>
      <c r="F41496" s="2" t="str">
        <f>HYPERLINK("http://www.otzar.org/book.asp?102593","שיר הילולים")</f>
        <v>שיר הילולים</v>
      </c>
    </row>
    <row r="41497" spans="1:6" x14ac:dyDescent="0.2">
      <c r="A41497" t="s">
        <v>63129</v>
      </c>
      <c r="B41497" t="s">
        <v>31572</v>
      </c>
      <c r="C41497" t="s">
        <v>46734</v>
      </c>
      <c r="D41497" t="s">
        <v>1117</v>
      </c>
      <c r="E41497" t="s">
        <v>930</v>
      </c>
      <c r="F41497" s="2" t="str">
        <f>HYPERLINK("http://www.otzar.org/book.asp?108829","שיר המעלות לדוד")</f>
        <v>שיר המעלות לדוד</v>
      </c>
    </row>
    <row r="41498" spans="1:6" x14ac:dyDescent="0.2">
      <c r="A41498" t="s">
        <v>63130</v>
      </c>
      <c r="B41498" t="s">
        <v>47105</v>
      </c>
      <c r="C41498" t="s">
        <v>888</v>
      </c>
      <c r="D41498" t="s">
        <v>2181</v>
      </c>
      <c r="E41498" t="s">
        <v>1626</v>
      </c>
      <c r="F41498" s="2" t="str">
        <f>HYPERLINK("http://www.otzar.org/book.asp?107106","שיר העשירים")</f>
        <v>שיר העשירים</v>
      </c>
    </row>
    <row r="41499" spans="1:6" x14ac:dyDescent="0.2">
      <c r="A41499" t="s">
        <v>63131</v>
      </c>
      <c r="B41499" t="s">
        <v>46655</v>
      </c>
      <c r="C41499" t="s">
        <v>411</v>
      </c>
      <c r="D41499" t="s">
        <v>52</v>
      </c>
      <c r="E41499" t="s">
        <v>158</v>
      </c>
      <c r="F41499" s="2" t="str">
        <f>HYPERLINK("http://www.otzar.org/book.asp?189423","שיר השירים &lt;ועלי תשוקתו&gt;")</f>
        <v>שיר השירים &lt;ועלי תשוקתו&gt;</v>
      </c>
    </row>
    <row r="41500" spans="1:6" x14ac:dyDescent="0.2">
      <c r="A41500" t="s">
        <v>63132</v>
      </c>
      <c r="B41500" t="s">
        <v>16927</v>
      </c>
      <c r="C41500" t="s">
        <v>5169</v>
      </c>
      <c r="D41500" t="s">
        <v>10189</v>
      </c>
      <c r="E41500" t="s">
        <v>5166</v>
      </c>
      <c r="F41500" s="2" t="str">
        <f>HYPERLINK("http://www.otzar.org/book.asp?102587","שיר השירים &lt;ר""א מגרמיזא הרוקח&gt;")</f>
        <v>שיר השירים &lt;ר"א מגרמיזא הרוקח&gt;</v>
      </c>
    </row>
    <row r="41501" spans="1:6" x14ac:dyDescent="0.2">
      <c r="A41501" t="s">
        <v>63133</v>
      </c>
      <c r="B41501" t="s">
        <v>1303</v>
      </c>
      <c r="C41501" t="s">
        <v>13</v>
      </c>
      <c r="D41501" t="s">
        <v>14</v>
      </c>
      <c r="E41501" t="s">
        <v>158</v>
      </c>
      <c r="F41501" s="2" t="str">
        <f>HYPERLINK("http://www.otzar.org/book.asp?156704","שיר השירים &lt;רנה של תורה&gt; - 2 כר'")</f>
        <v>שיר השירים &lt;רנה של תורה&gt; - 2 כר'</v>
      </c>
    </row>
    <row r="41502" spans="1:6" x14ac:dyDescent="0.2">
      <c r="A41502" t="s">
        <v>63134</v>
      </c>
      <c r="B41502" t="s">
        <v>63135</v>
      </c>
      <c r="C41502" t="s">
        <v>1418</v>
      </c>
      <c r="D41502" t="s">
        <v>283</v>
      </c>
      <c r="E41502" t="s">
        <v>158</v>
      </c>
      <c r="F41502" s="2" t="str">
        <f>HYPERLINK("http://www.otzar.org/book.asp?104753","שיר השירים &lt;אמרי נועם&gt;")</f>
        <v>שיר השירים &lt;אמרי נועם&gt;</v>
      </c>
    </row>
    <row r="41503" spans="1:6" x14ac:dyDescent="0.2">
      <c r="A41503" t="s">
        <v>63136</v>
      </c>
      <c r="B41503" t="s">
        <v>17435</v>
      </c>
      <c r="C41503" t="s">
        <v>568</v>
      </c>
      <c r="D41503" t="s">
        <v>63137</v>
      </c>
      <c r="E41503" t="s">
        <v>158</v>
      </c>
      <c r="F41503" s="2" t="str">
        <f>HYPERLINK("http://www.otzar.org/book.asp?102583","שיר השירים &lt;עוטה אור&gt;")</f>
        <v>שיר השירים &lt;עוטה אור&gt;</v>
      </c>
    </row>
    <row r="41504" spans="1:6" x14ac:dyDescent="0.2">
      <c r="A41504" t="s">
        <v>63138</v>
      </c>
      <c r="B41504" t="s">
        <v>63139</v>
      </c>
      <c r="C41504" t="s">
        <v>1124</v>
      </c>
      <c r="D41504" t="s">
        <v>283</v>
      </c>
      <c r="E41504" t="s">
        <v>463</v>
      </c>
      <c r="F41504" s="2" t="str">
        <f>HYPERLINK("http://www.otzar.org/book.asp?102589","שיר השירים &lt;שירי זמרה&gt;")</f>
        <v>שיר השירים &lt;שירי זמרה&gt;</v>
      </c>
    </row>
    <row r="41505" spans="1:6" x14ac:dyDescent="0.2">
      <c r="A41505" t="s">
        <v>63140</v>
      </c>
      <c r="B41505" t="s">
        <v>63141</v>
      </c>
      <c r="C41505" t="s">
        <v>244</v>
      </c>
      <c r="D41505" t="s">
        <v>21</v>
      </c>
      <c r="E41505" t="s">
        <v>158</v>
      </c>
      <c r="F41505" s="2" t="str">
        <f>HYPERLINK("http://www.otzar.org/book.asp?601625","שיר השירים &lt;פירוש האר""י ז""ל&gt;")</f>
        <v>שיר השירים &lt;פירוש האר"י ז"ל&gt;</v>
      </c>
    </row>
    <row r="41506" spans="1:6" x14ac:dyDescent="0.2">
      <c r="A41506" t="s">
        <v>63142</v>
      </c>
      <c r="B41506" t="s">
        <v>4090</v>
      </c>
      <c r="C41506" t="s">
        <v>114</v>
      </c>
      <c r="D41506" t="s">
        <v>52</v>
      </c>
      <c r="E41506" t="s">
        <v>158</v>
      </c>
      <c r="F41506" s="2" t="str">
        <f>HYPERLINK("http://www.otzar.org/book.asp?168371","שיר השירים &lt;מנחת יהודה&gt;")</f>
        <v>שיר השירים &lt;מנחת יהודה&gt;</v>
      </c>
    </row>
    <row r="41507" spans="1:6" x14ac:dyDescent="0.2">
      <c r="A41507" t="s">
        <v>63143</v>
      </c>
      <c r="B41507" t="s">
        <v>63144</v>
      </c>
      <c r="C41507" t="s">
        <v>1437</v>
      </c>
      <c r="D41507" t="s">
        <v>56</v>
      </c>
      <c r="E41507" t="s">
        <v>463</v>
      </c>
      <c r="F41507" s="2" t="str">
        <f>HYPERLINK("http://www.otzar.org/book.asp?11741","שיר השירים &lt;דברי ידידיה&gt;")</f>
        <v>שיר השירים &lt;דברי ידידיה&gt;</v>
      </c>
    </row>
    <row r="41508" spans="1:6" x14ac:dyDescent="0.2">
      <c r="A41508" t="s">
        <v>63145</v>
      </c>
      <c r="B41508" t="s">
        <v>63146</v>
      </c>
      <c r="C41508" t="s">
        <v>360</v>
      </c>
      <c r="D41508" t="s">
        <v>63147</v>
      </c>
      <c r="E41508" t="s">
        <v>957</v>
      </c>
      <c r="F41508" s="2" t="str">
        <f>HYPERLINK("http://www.otzar.org/book.asp?102585","שיר השירים &lt;רמב""ן, רוקח&gt;")</f>
        <v>שיר השירים &lt;רמב"ן, רוקח&gt;</v>
      </c>
    </row>
    <row r="41509" spans="1:6" x14ac:dyDescent="0.2">
      <c r="A41509" t="s">
        <v>63148</v>
      </c>
      <c r="B41509" t="s">
        <v>63149</v>
      </c>
      <c r="C41509" t="s">
        <v>2543</v>
      </c>
      <c r="D41509" t="s">
        <v>9</v>
      </c>
      <c r="E41509" t="s">
        <v>158</v>
      </c>
      <c r="F41509" s="2" t="str">
        <f>HYPERLINK("http://www.otzar.org/book.asp?52008","שיר השירים &lt;מגדל דוד&gt;")</f>
        <v>שיר השירים &lt;מגדל דוד&gt;</v>
      </c>
    </row>
    <row r="41510" spans="1:6" x14ac:dyDescent="0.2">
      <c r="A41510" t="s">
        <v>63150</v>
      </c>
      <c r="B41510" t="s">
        <v>63151</v>
      </c>
      <c r="C41510" t="s">
        <v>1228</v>
      </c>
      <c r="D41510" t="s">
        <v>31723</v>
      </c>
      <c r="E41510" t="s">
        <v>158</v>
      </c>
      <c r="F41510" s="2" t="str">
        <f>HYPERLINK("http://www.otzar.org/book.asp?52009","שיר השירים &lt;חבצלת השרון&gt;")</f>
        <v>שיר השירים &lt;חבצלת השרון&gt;</v>
      </c>
    </row>
    <row r="41511" spans="1:6" x14ac:dyDescent="0.2">
      <c r="A41511" t="s">
        <v>63152</v>
      </c>
      <c r="B41511" t="s">
        <v>63153</v>
      </c>
      <c r="C41511" t="s">
        <v>581</v>
      </c>
      <c r="D41511" t="s">
        <v>27</v>
      </c>
      <c r="E41511" t="s">
        <v>573</v>
      </c>
      <c r="F41511" s="2" t="str">
        <f>HYPERLINK("http://www.otzar.org/book.asp?102581","שיר השירים &lt;מילתא בטעמא&gt;")</f>
        <v>שיר השירים &lt;מילתא בטעמא&gt;</v>
      </c>
    </row>
    <row r="41512" spans="1:6" x14ac:dyDescent="0.2">
      <c r="A41512" t="s">
        <v>63154</v>
      </c>
      <c r="B41512" t="s">
        <v>14744</v>
      </c>
      <c r="C41512" t="s">
        <v>7993</v>
      </c>
      <c r="D41512" t="s">
        <v>56</v>
      </c>
      <c r="E41512" t="s">
        <v>158</v>
      </c>
      <c r="F41512" s="2" t="str">
        <f>HYPERLINK("http://www.otzar.org/book.asp?106904","שיר השירים &lt;מרכבות עמי&gt;")</f>
        <v>שיר השירים &lt;מרכבות עמי&gt;</v>
      </c>
    </row>
    <row r="41513" spans="1:6" x14ac:dyDescent="0.2">
      <c r="A41513" t="s">
        <v>63155</v>
      </c>
      <c r="B41513" t="s">
        <v>63156</v>
      </c>
      <c r="C41513" t="s">
        <v>550</v>
      </c>
      <c r="D41513" t="s">
        <v>283</v>
      </c>
      <c r="E41513" t="s">
        <v>158</v>
      </c>
      <c r="F41513" s="2" t="str">
        <f>HYPERLINK("http://www.otzar.org/book.asp?102582","שיר השירים &lt;עבודת הגרשוני&gt;")</f>
        <v>שיר השירים &lt;עבודת הגרשוני&gt;</v>
      </c>
    </row>
    <row r="41514" spans="1:6" x14ac:dyDescent="0.2">
      <c r="A41514" t="s">
        <v>63157</v>
      </c>
      <c r="B41514" t="s">
        <v>63156</v>
      </c>
      <c r="C41514" t="s">
        <v>20</v>
      </c>
      <c r="D41514" t="s">
        <v>2798</v>
      </c>
      <c r="E41514" t="s">
        <v>158</v>
      </c>
      <c r="F41514" s="2" t="str">
        <f>HYPERLINK("http://www.otzar.org/book.asp?171095","שיר השירים &lt;עבודת הגרשוני&gt; &lt;מהדורה חדשה&gt;")</f>
        <v>שיר השירים &lt;עבודת הגרשוני&gt; &lt;מהדורה חדשה&gt;</v>
      </c>
    </row>
    <row r="41515" spans="1:6" x14ac:dyDescent="0.2">
      <c r="A41515" t="s">
        <v>63158</v>
      </c>
      <c r="B41515" t="s">
        <v>63159</v>
      </c>
      <c r="C41515" t="s">
        <v>609</v>
      </c>
      <c r="D41515" t="s">
        <v>14</v>
      </c>
      <c r="E41515" t="s">
        <v>158</v>
      </c>
      <c r="F41515" s="2" t="str">
        <f>HYPERLINK("http://www.otzar.org/book.asp?149578","שיר השירים אין קורצע מאמרים")</f>
        <v>שיר השירים אין קורצע מאמרים</v>
      </c>
    </row>
    <row r="41516" spans="1:6" x14ac:dyDescent="0.2">
      <c r="A41516" t="s">
        <v>63160</v>
      </c>
      <c r="B41516" t="s">
        <v>35318</v>
      </c>
      <c r="C41516" t="s">
        <v>767</v>
      </c>
      <c r="D41516" t="s">
        <v>14</v>
      </c>
      <c r="E41516" t="s">
        <v>158</v>
      </c>
      <c r="F41516" s="2" t="str">
        <f>HYPERLINK("http://www.otzar.org/book.asp?188499","שיר השירים המבואר &lt;שירת שלמה&gt;")</f>
        <v>שיר השירים המבואר &lt;שירת שלמה&gt;</v>
      </c>
    </row>
    <row r="41517" spans="1:6" x14ac:dyDescent="0.2">
      <c r="A41517" t="s">
        <v>63161</v>
      </c>
      <c r="B41517" t="s">
        <v>63162</v>
      </c>
      <c r="C41517" t="s">
        <v>51</v>
      </c>
      <c r="D41517" t="s">
        <v>52</v>
      </c>
      <c r="E41517" t="s">
        <v>158</v>
      </c>
      <c r="F41517" s="2" t="str">
        <f>HYPERLINK("http://www.otzar.org/book.asp?154506","שיר השירים וקהלת המבוארים &lt;ביכורי יצחק - תרגום דרב יוסף&gt;")</f>
        <v>שיר השירים וקהלת המבוארים &lt;ביכורי יצחק - תרגום דרב יוסף&gt;</v>
      </c>
    </row>
    <row r="41518" spans="1:6" x14ac:dyDescent="0.2">
      <c r="A41518" t="s">
        <v>63163</v>
      </c>
      <c r="B41518" t="s">
        <v>63164</v>
      </c>
      <c r="C41518" t="s">
        <v>1537</v>
      </c>
      <c r="D41518" t="s">
        <v>212</v>
      </c>
      <c r="E41518" t="s">
        <v>158</v>
      </c>
      <c r="F41518" s="2" t="str">
        <f>HYPERLINK("http://www.otzar.org/book.asp?148085","שיר השירים ותרגומו")</f>
        <v>שיר השירים ותרגומו</v>
      </c>
    </row>
    <row r="41519" spans="1:6" x14ac:dyDescent="0.2">
      <c r="A41519" t="s">
        <v>63165</v>
      </c>
      <c r="B41519" t="s">
        <v>3834</v>
      </c>
      <c r="C41519" t="s">
        <v>13</v>
      </c>
      <c r="D41519" t="s">
        <v>14</v>
      </c>
      <c r="E41519" t="s">
        <v>158</v>
      </c>
      <c r="F41519" s="2" t="str">
        <f>HYPERLINK("http://www.otzar.org/book.asp?600759","שיר השירים מבואר")</f>
        <v>שיר השירים מבואר</v>
      </c>
    </row>
    <row r="41520" spans="1:6" x14ac:dyDescent="0.2">
      <c r="A41520" t="s">
        <v>63166</v>
      </c>
      <c r="B41520" t="s">
        <v>1791</v>
      </c>
      <c r="C41520" t="s">
        <v>624</v>
      </c>
      <c r="D41520" t="s">
        <v>14</v>
      </c>
      <c r="E41520" t="s">
        <v>158</v>
      </c>
      <c r="F41520" s="2" t="str">
        <f>HYPERLINK("http://www.otzar.org/book.asp?106025","שיר השירים מגילת קהלת &lt;קדושת התורה ודקדוקה&gt;")</f>
        <v>שיר השירים מגילת קהלת &lt;קדושת התורה ודקדוקה&gt;</v>
      </c>
    </row>
    <row r="41521" spans="1:6" x14ac:dyDescent="0.2">
      <c r="A41521" t="s">
        <v>63167</v>
      </c>
      <c r="B41521" t="s">
        <v>63168</v>
      </c>
      <c r="C41521" t="s">
        <v>619</v>
      </c>
      <c r="D41521" t="s">
        <v>1566</v>
      </c>
      <c r="F41521" s="2" t="str">
        <f>HYPERLINK("http://www.otzar.org/book.asp?621004","שיר השירים מיט א פירוש")</f>
        <v>שיר השירים מיט א פירוש</v>
      </c>
    </row>
    <row r="41522" spans="1:6" x14ac:dyDescent="0.2">
      <c r="A41522" t="s">
        <v>63169</v>
      </c>
      <c r="B41522" t="s">
        <v>63170</v>
      </c>
      <c r="C41522" t="s">
        <v>725</v>
      </c>
      <c r="D41522" t="s">
        <v>27</v>
      </c>
      <c r="E41522" t="s">
        <v>573</v>
      </c>
      <c r="F41522" s="2" t="str">
        <f>HYPERLINK("http://www.otzar.org/book.asp?179581","שיר השירים ע""פ משיבת נפ""ש")</f>
        <v>שיר השירים ע"פ משיבת נפ"ש</v>
      </c>
    </row>
    <row r="41523" spans="1:6" x14ac:dyDescent="0.2">
      <c r="A41523" t="s">
        <v>63171</v>
      </c>
      <c r="B41523" t="s">
        <v>63172</v>
      </c>
      <c r="C41523" t="s">
        <v>1718</v>
      </c>
      <c r="D41523" t="s">
        <v>283</v>
      </c>
      <c r="F41523" s="2" t="str">
        <f>HYPERLINK("http://www.otzar.org/book.asp?620615","שיר השירים עם ביאור הבן יקיר")</f>
        <v>שיר השירים עם ביאור הבן יקיר</v>
      </c>
    </row>
    <row r="41524" spans="1:6" x14ac:dyDescent="0.2">
      <c r="A41524" t="s">
        <v>63173</v>
      </c>
      <c r="B41524" t="s">
        <v>686</v>
      </c>
      <c r="C41524" t="s">
        <v>23</v>
      </c>
      <c r="D41524" t="s">
        <v>52</v>
      </c>
      <c r="E41524" t="s">
        <v>158</v>
      </c>
      <c r="F41524" s="2" t="str">
        <f>HYPERLINK("http://www.otzar.org/book.asp?182745","שיר השירים עם פירוש אשירה לה'")</f>
        <v>שיר השירים עם פירוש אשירה לה'</v>
      </c>
    </row>
    <row r="41525" spans="1:6" x14ac:dyDescent="0.2">
      <c r="A41525" t="s">
        <v>63174</v>
      </c>
      <c r="B41525" t="s">
        <v>107</v>
      </c>
      <c r="C41525" t="s">
        <v>51</v>
      </c>
      <c r="D41525" t="s">
        <v>14</v>
      </c>
      <c r="E41525" t="s">
        <v>158</v>
      </c>
      <c r="F41525" s="2" t="str">
        <f>HYPERLINK("http://www.otzar.org/book.asp?148248","שיר השירים עם פירוש דבר ירושלים")</f>
        <v>שיר השירים עם פירוש דבר ירושלים</v>
      </c>
    </row>
    <row r="41526" spans="1:6" x14ac:dyDescent="0.2">
      <c r="A41526" t="s">
        <v>63175</v>
      </c>
      <c r="B41526" t="s">
        <v>1821</v>
      </c>
      <c r="C41526" t="s">
        <v>3709</v>
      </c>
      <c r="D41526" t="s">
        <v>283</v>
      </c>
      <c r="E41526" t="s">
        <v>158</v>
      </c>
      <c r="F41526" s="2" t="str">
        <f>HYPERLINK("http://www.otzar.org/book.asp?143611","שיר השירים עם פירוש הגר""א")</f>
        <v>שיר השירים עם פירוש הגר"א</v>
      </c>
    </row>
    <row r="41527" spans="1:6" x14ac:dyDescent="0.2">
      <c r="A41527" t="s">
        <v>63176</v>
      </c>
      <c r="B41527" t="s">
        <v>48288</v>
      </c>
      <c r="C41527" t="s">
        <v>1166</v>
      </c>
      <c r="D41527" t="s">
        <v>225</v>
      </c>
      <c r="E41527" t="s">
        <v>158</v>
      </c>
      <c r="F41527" s="2" t="str">
        <f>HYPERLINK("http://www.otzar.org/book.asp?149577","שיר השירים עם פירוש נר שבת")</f>
        <v>שיר השירים עם פירוש נר שבת</v>
      </c>
    </row>
    <row r="41528" spans="1:6" x14ac:dyDescent="0.2">
      <c r="A41528" t="s">
        <v>63177</v>
      </c>
      <c r="B41528" t="s">
        <v>15514</v>
      </c>
      <c r="C41528" t="s">
        <v>454</v>
      </c>
      <c r="D41528" t="s">
        <v>2319</v>
      </c>
      <c r="E41528" t="s">
        <v>158</v>
      </c>
      <c r="F41528" s="2" t="str">
        <f>HYPERLINK("http://www.otzar.org/book.asp?85609","שיר השירים עם פירוש עטרת שלמה")</f>
        <v>שיר השירים עם פירוש עטרת שלמה</v>
      </c>
    </row>
    <row r="41529" spans="1:6" x14ac:dyDescent="0.2">
      <c r="A41529" t="s">
        <v>63178</v>
      </c>
      <c r="B41529" t="s">
        <v>35329</v>
      </c>
      <c r="C41529" t="s">
        <v>23</v>
      </c>
      <c r="D41529" t="s">
        <v>10588</v>
      </c>
      <c r="E41529" t="s">
        <v>158</v>
      </c>
      <c r="F41529" s="2" t="str">
        <f>HYPERLINK("http://www.otzar.org/book.asp?601291","שיר השירים עם שמועות וביאורים")</f>
        <v>שיר השירים עם שמועות וביאורים</v>
      </c>
    </row>
    <row r="41530" spans="1:6" x14ac:dyDescent="0.2">
      <c r="A41530" t="s">
        <v>63179</v>
      </c>
      <c r="B41530" t="s">
        <v>35517</v>
      </c>
      <c r="C41530" t="s">
        <v>103</v>
      </c>
      <c r="D41530" t="s">
        <v>52</v>
      </c>
      <c r="E41530" t="s">
        <v>158</v>
      </c>
      <c r="F41530" s="2" t="str">
        <f>HYPERLINK("http://www.otzar.org/book.asp?85242","שיר השירים עם תרגום המיוחס ליונתן בן עוזיאל")</f>
        <v>שיר השירים עם תרגום המיוחס ליונתן בן עוזיאל</v>
      </c>
    </row>
    <row r="41531" spans="1:6" x14ac:dyDescent="0.2">
      <c r="A41531" t="s">
        <v>63180</v>
      </c>
      <c r="B41531" t="s">
        <v>63181</v>
      </c>
      <c r="C41531" t="s">
        <v>609</v>
      </c>
      <c r="D41531" t="s">
        <v>27</v>
      </c>
      <c r="E41531" t="s">
        <v>158</v>
      </c>
      <c r="F41531" s="2" t="str">
        <f>HYPERLINK("http://www.otzar.org/book.asp?102590","שיר השירים")</f>
        <v>שיר השירים</v>
      </c>
    </row>
    <row r="41532" spans="1:6" x14ac:dyDescent="0.2">
      <c r="A41532" t="s">
        <v>63180</v>
      </c>
      <c r="B41532" t="s">
        <v>63182</v>
      </c>
      <c r="C41532" t="s">
        <v>22770</v>
      </c>
      <c r="D41532" t="s">
        <v>4539</v>
      </c>
      <c r="E41532" t="s">
        <v>1626</v>
      </c>
      <c r="F41532" s="2" t="str">
        <f>HYPERLINK("http://www.otzar.org/book.asp?62161","שיר השירים")</f>
        <v>שיר השירים</v>
      </c>
    </row>
    <row r="41533" spans="1:6" x14ac:dyDescent="0.2">
      <c r="A41533" t="s">
        <v>63180</v>
      </c>
      <c r="B41533" t="s">
        <v>63183</v>
      </c>
      <c r="C41533" t="s">
        <v>5903</v>
      </c>
      <c r="D41533" t="s">
        <v>212</v>
      </c>
      <c r="E41533" t="s">
        <v>158</v>
      </c>
      <c r="F41533" s="2" t="str">
        <f>HYPERLINK("http://www.otzar.org/book.asp?172617","שיר השירים")</f>
        <v>שיר השירים</v>
      </c>
    </row>
    <row r="41534" spans="1:6" x14ac:dyDescent="0.2">
      <c r="A41534" t="s">
        <v>63184</v>
      </c>
      <c r="B41534" t="s">
        <v>63185</v>
      </c>
      <c r="C41534" t="s">
        <v>23</v>
      </c>
      <c r="D41534" t="s">
        <v>367</v>
      </c>
      <c r="F41534" s="2" t="str">
        <f>HYPERLINK("http://www.otzar.org/book.asp?616723","שיר השירים, רות &lt;ספורנו&gt;")</f>
        <v>שיר השירים, רות &lt;ספורנו&gt;</v>
      </c>
    </row>
    <row r="41535" spans="1:6" x14ac:dyDescent="0.2">
      <c r="A41535" t="s">
        <v>63186</v>
      </c>
      <c r="B41535" t="s">
        <v>14499</v>
      </c>
      <c r="C41535" t="s">
        <v>8032</v>
      </c>
      <c r="D41535" t="s">
        <v>1769</v>
      </c>
      <c r="E41535" t="s">
        <v>219</v>
      </c>
      <c r="F41535" s="2" t="str">
        <f>HYPERLINK("http://www.otzar.org/book.asp?147222","שיר וזמר נאה על אורך הגלות")</f>
        <v>שיר וזמר נאה על אורך הגלות</v>
      </c>
    </row>
    <row r="41536" spans="1:6" x14ac:dyDescent="0.2">
      <c r="A41536" t="s">
        <v>63187</v>
      </c>
      <c r="B41536" t="s">
        <v>60106</v>
      </c>
      <c r="C41536" t="s">
        <v>442</v>
      </c>
      <c r="D41536" t="s">
        <v>1654</v>
      </c>
      <c r="E41536" t="s">
        <v>219</v>
      </c>
      <c r="F41536" s="2" t="str">
        <f>HYPERLINK("http://www.otzar.org/book.asp?605091","שיר ופולמוס")</f>
        <v>שיר ופולמוס</v>
      </c>
    </row>
    <row r="41537" spans="1:6" x14ac:dyDescent="0.2">
      <c r="A41537" t="s">
        <v>63188</v>
      </c>
      <c r="B41537" t="s">
        <v>7220</v>
      </c>
      <c r="C41537" t="s">
        <v>624</v>
      </c>
      <c r="D41537" t="s">
        <v>52</v>
      </c>
      <c r="E41537" t="s">
        <v>246</v>
      </c>
      <c r="F41537" s="2" t="str">
        <f>HYPERLINK("http://www.otzar.org/book.asp?148277","שיר ורננים")</f>
        <v>שיר ורננים</v>
      </c>
    </row>
    <row r="41538" spans="1:6" x14ac:dyDescent="0.2">
      <c r="A41538" t="s">
        <v>63189</v>
      </c>
      <c r="B41538" t="s">
        <v>63190</v>
      </c>
      <c r="C41538" t="s">
        <v>366</v>
      </c>
      <c r="D41538" t="s">
        <v>276</v>
      </c>
      <c r="F41538" s="2" t="str">
        <f>HYPERLINK("http://www.otzar.org/book.asp?609962","שיר ושבחה")</f>
        <v>שיר ושבחה</v>
      </c>
    </row>
    <row r="41539" spans="1:6" x14ac:dyDescent="0.2">
      <c r="A41539" t="s">
        <v>63189</v>
      </c>
      <c r="B41539" t="s">
        <v>5218</v>
      </c>
      <c r="C41539" t="s">
        <v>63</v>
      </c>
      <c r="D41539" t="s">
        <v>1840</v>
      </c>
      <c r="E41539" t="s">
        <v>219</v>
      </c>
      <c r="F41539" s="2" t="str">
        <f>HYPERLINK("http://www.otzar.org/book.asp?53652","שיר ושבחה")</f>
        <v>שיר ושבחה</v>
      </c>
    </row>
    <row r="41540" spans="1:6" x14ac:dyDescent="0.2">
      <c r="A41540" t="s">
        <v>63189</v>
      </c>
      <c r="B41540" t="s">
        <v>63191</v>
      </c>
      <c r="C41540" t="s">
        <v>1650</v>
      </c>
      <c r="D41540" t="s">
        <v>27</v>
      </c>
      <c r="E41540" t="s">
        <v>219</v>
      </c>
      <c r="F41540" s="2" t="str">
        <f>HYPERLINK("http://www.otzar.org/book.asp?173070","שיר ושבחה")</f>
        <v>שיר ושבחה</v>
      </c>
    </row>
    <row r="41541" spans="1:6" x14ac:dyDescent="0.2">
      <c r="A41541" t="s">
        <v>63189</v>
      </c>
      <c r="B41541" t="s">
        <v>19994</v>
      </c>
      <c r="C41541" t="s">
        <v>189</v>
      </c>
      <c r="D41541" t="s">
        <v>14</v>
      </c>
      <c r="E41541" t="s">
        <v>219</v>
      </c>
      <c r="F41541" s="2" t="str">
        <f>HYPERLINK("http://www.otzar.org/book.asp?152337","שיר ושבחה")</f>
        <v>שיר ושבחה</v>
      </c>
    </row>
    <row r="41542" spans="1:6" x14ac:dyDescent="0.2">
      <c r="A41542" t="s">
        <v>63192</v>
      </c>
      <c r="B41542" t="s">
        <v>54187</v>
      </c>
      <c r="C41542" t="s">
        <v>189</v>
      </c>
      <c r="D41542" t="s">
        <v>6283</v>
      </c>
      <c r="E41542" t="s">
        <v>186</v>
      </c>
      <c r="F41542" s="2" t="str">
        <f>HYPERLINK("http://www.otzar.org/book.asp?148579","שיר חדש  &lt;קובץ&gt; - גיטין")</f>
        <v>שיר חדש  &lt;קובץ&gt; - גיטין</v>
      </c>
    </row>
    <row r="41543" spans="1:6" x14ac:dyDescent="0.2">
      <c r="A41543" t="s">
        <v>63193</v>
      </c>
      <c r="B41543" t="s">
        <v>7457</v>
      </c>
      <c r="C41543" t="s">
        <v>6054</v>
      </c>
      <c r="D41543" t="s">
        <v>27</v>
      </c>
      <c r="E41543" t="s">
        <v>219</v>
      </c>
      <c r="F41543" s="2" t="str">
        <f>HYPERLINK("http://www.otzar.org/book.asp?170999","שיר חדש וקול בוכים")</f>
        <v>שיר חדש וקול בוכים</v>
      </c>
    </row>
    <row r="41544" spans="1:6" x14ac:dyDescent="0.2">
      <c r="A41544" t="s">
        <v>63194</v>
      </c>
      <c r="B41544" t="s">
        <v>11925</v>
      </c>
      <c r="C41544" t="s">
        <v>114</v>
      </c>
      <c r="D41544" t="s">
        <v>52</v>
      </c>
      <c r="E41544" t="s">
        <v>144</v>
      </c>
      <c r="F41544" s="2" t="str">
        <f>HYPERLINK("http://www.otzar.org/book.asp?158516","שיר חדש - 3 כר'")</f>
        <v>שיר חדש - 3 כר'</v>
      </c>
    </row>
    <row r="41545" spans="1:6" x14ac:dyDescent="0.2">
      <c r="A41545" t="s">
        <v>63195</v>
      </c>
      <c r="B41545" t="s">
        <v>63196</v>
      </c>
      <c r="C41545" t="s">
        <v>2543</v>
      </c>
      <c r="D41545" t="s">
        <v>225</v>
      </c>
      <c r="E41545" t="s">
        <v>158</v>
      </c>
      <c r="F41545" s="2" t="str">
        <f>HYPERLINK("http://www.otzar.org/book.asp?25421","שיר חדש")</f>
        <v>שיר חדש</v>
      </c>
    </row>
    <row r="41546" spans="1:6" x14ac:dyDescent="0.2">
      <c r="A41546" t="s">
        <v>63195</v>
      </c>
      <c r="B41546" t="s">
        <v>3129</v>
      </c>
      <c r="C41546" t="s">
        <v>649</v>
      </c>
      <c r="D41546" t="s">
        <v>3293</v>
      </c>
      <c r="E41546" t="s">
        <v>158</v>
      </c>
      <c r="F41546" s="2" t="str">
        <f>HYPERLINK("http://www.otzar.org/book.asp?25423","שיר חדש")</f>
        <v>שיר חדש</v>
      </c>
    </row>
    <row r="41547" spans="1:6" x14ac:dyDescent="0.2">
      <c r="A41547" t="s">
        <v>63197</v>
      </c>
      <c r="B41547" t="s">
        <v>63198</v>
      </c>
      <c r="C41547" t="s">
        <v>189</v>
      </c>
      <c r="D41547" t="s">
        <v>14</v>
      </c>
      <c r="E41547" t="s">
        <v>144</v>
      </c>
      <c r="F41547" s="2" t="str">
        <f>HYPERLINK("http://www.otzar.org/book.asp?166203","שיר חדש - סוכה")</f>
        <v>שיר חדש - סוכה</v>
      </c>
    </row>
    <row r="41548" spans="1:6" x14ac:dyDescent="0.2">
      <c r="A41548" t="s">
        <v>63195</v>
      </c>
      <c r="B41548" t="s">
        <v>63199</v>
      </c>
      <c r="C41548" t="s">
        <v>427</v>
      </c>
      <c r="D41548" t="s">
        <v>52</v>
      </c>
      <c r="E41548" t="s">
        <v>158</v>
      </c>
      <c r="F41548" s="2" t="str">
        <f>HYPERLINK("http://www.otzar.org/book.asp?8044","שיר חדש")</f>
        <v>שיר חדש</v>
      </c>
    </row>
    <row r="41549" spans="1:6" x14ac:dyDescent="0.2">
      <c r="A41549" t="s">
        <v>63195</v>
      </c>
      <c r="B41549" t="s">
        <v>63200</v>
      </c>
      <c r="C41549" t="s">
        <v>63201</v>
      </c>
      <c r="D41549" t="s">
        <v>23712</v>
      </c>
      <c r="E41549" t="s">
        <v>158</v>
      </c>
      <c r="F41549" s="2" t="str">
        <f>HYPERLINK("http://www.otzar.org/book.asp?165162","שיר חדש")</f>
        <v>שיר חדש</v>
      </c>
    </row>
    <row r="41550" spans="1:6" x14ac:dyDescent="0.2">
      <c r="A41550" t="s">
        <v>63202</v>
      </c>
      <c r="B41550" t="s">
        <v>22471</v>
      </c>
      <c r="C41550" t="s">
        <v>2874</v>
      </c>
      <c r="D41550" t="s">
        <v>1889</v>
      </c>
      <c r="E41550" t="s">
        <v>219</v>
      </c>
      <c r="F41550" s="2" t="str">
        <f>HYPERLINK("http://www.otzar.org/book.asp?181168","שיר חדש - 2 כר'")</f>
        <v>שיר חדש - 2 כר'</v>
      </c>
    </row>
    <row r="41551" spans="1:6" x14ac:dyDescent="0.2">
      <c r="A41551" t="s">
        <v>63195</v>
      </c>
      <c r="B41551" t="s">
        <v>63203</v>
      </c>
      <c r="C41551" t="s">
        <v>2543</v>
      </c>
      <c r="D41551" t="s">
        <v>283</v>
      </c>
      <c r="E41551" t="s">
        <v>158</v>
      </c>
      <c r="F41551" s="2" t="str">
        <f>HYPERLINK("http://www.otzar.org/book.asp?25422","שיר חדש")</f>
        <v>שיר חדש</v>
      </c>
    </row>
    <row r="41552" spans="1:6" x14ac:dyDescent="0.2">
      <c r="A41552" t="s">
        <v>63195</v>
      </c>
      <c r="B41552" t="s">
        <v>2396</v>
      </c>
      <c r="C41552" t="s">
        <v>17</v>
      </c>
      <c r="D41552" t="s">
        <v>1076</v>
      </c>
      <c r="E41552" t="s">
        <v>579</v>
      </c>
      <c r="F41552" s="2" t="str">
        <f>HYPERLINK("http://www.otzar.org/book.asp?22913","שיר חדש")</f>
        <v>שיר חדש</v>
      </c>
    </row>
    <row r="41553" spans="1:6" x14ac:dyDescent="0.2">
      <c r="A41553" t="s">
        <v>63204</v>
      </c>
      <c r="B41553" t="s">
        <v>63205</v>
      </c>
      <c r="C41553" t="s">
        <v>111</v>
      </c>
      <c r="D41553" t="s">
        <v>152</v>
      </c>
      <c r="E41553" t="s">
        <v>144</v>
      </c>
      <c r="F41553" s="2" t="str">
        <f>HYPERLINK("http://www.otzar.org/book.asp?629848","שיר חדש - עירובין")</f>
        <v>שיר חדש - עירובין</v>
      </c>
    </row>
    <row r="41554" spans="1:6" x14ac:dyDescent="0.2">
      <c r="A41554" t="s">
        <v>63195</v>
      </c>
      <c r="B41554" t="s">
        <v>15019</v>
      </c>
      <c r="C41554" t="s">
        <v>619</v>
      </c>
      <c r="D41554" t="s">
        <v>9896</v>
      </c>
      <c r="E41554" t="s">
        <v>909</v>
      </c>
      <c r="F41554" s="2" t="str">
        <f>HYPERLINK("http://www.otzar.org/book.asp?189599","שיר חדש")</f>
        <v>שיר חדש</v>
      </c>
    </row>
    <row r="41555" spans="1:6" x14ac:dyDescent="0.2">
      <c r="A41555" t="s">
        <v>63195</v>
      </c>
      <c r="B41555" t="s">
        <v>63206</v>
      </c>
      <c r="C41555" t="s">
        <v>37</v>
      </c>
      <c r="D41555" t="s">
        <v>26629</v>
      </c>
      <c r="E41555" t="s">
        <v>144</v>
      </c>
      <c r="F41555" s="2" t="str">
        <f>HYPERLINK("http://www.otzar.org/book.asp?605688","שיר חדש")</f>
        <v>שיר חדש</v>
      </c>
    </row>
    <row r="41556" spans="1:6" x14ac:dyDescent="0.2">
      <c r="A41556" t="s">
        <v>63195</v>
      </c>
      <c r="B41556" t="s">
        <v>63207</v>
      </c>
      <c r="C41556" t="s">
        <v>313</v>
      </c>
      <c r="D41556" t="s">
        <v>14</v>
      </c>
      <c r="E41556" t="s">
        <v>158</v>
      </c>
      <c r="F41556" s="2" t="str">
        <f>HYPERLINK("http://www.otzar.org/book.asp?144096","שיר חדש")</f>
        <v>שיר חדש</v>
      </c>
    </row>
    <row r="41557" spans="1:6" x14ac:dyDescent="0.2">
      <c r="A41557" t="s">
        <v>63208</v>
      </c>
      <c r="B41557" t="s">
        <v>33791</v>
      </c>
      <c r="C41557" t="s">
        <v>1832</v>
      </c>
      <c r="D41557" t="s">
        <v>49</v>
      </c>
      <c r="E41557" t="s">
        <v>1517</v>
      </c>
      <c r="F41557" s="2" t="str">
        <f>HYPERLINK("http://www.otzar.org/book.asp?147134","שיר חנוכה")</f>
        <v>שיר חנוכה</v>
      </c>
    </row>
    <row r="41558" spans="1:6" x14ac:dyDescent="0.2">
      <c r="A41558" t="s">
        <v>63209</v>
      </c>
      <c r="B41558" t="s">
        <v>51143</v>
      </c>
      <c r="C41558" t="s">
        <v>111</v>
      </c>
      <c r="D41558" t="s">
        <v>52</v>
      </c>
      <c r="E41558" t="s">
        <v>1164</v>
      </c>
      <c r="F41558" s="2" t="str">
        <f>HYPERLINK("http://www.otzar.org/book.asp?629532","שיר חנוכת - בית האוצר")</f>
        <v>שיר חנוכת - בית האוצר</v>
      </c>
    </row>
    <row r="41559" spans="1:6" x14ac:dyDescent="0.2">
      <c r="A41559" t="s">
        <v>63210</v>
      </c>
      <c r="B41559" t="s">
        <v>45285</v>
      </c>
      <c r="C41559" t="s">
        <v>111</v>
      </c>
      <c r="D41559" t="s">
        <v>52</v>
      </c>
      <c r="E41559" t="s">
        <v>246</v>
      </c>
      <c r="F41559" s="2" t="str">
        <f>HYPERLINK("http://www.otzar.org/book.asp?623509","שיר חנוכת")</f>
        <v>שיר חנוכת</v>
      </c>
    </row>
    <row r="41560" spans="1:6" x14ac:dyDescent="0.2">
      <c r="A41560" t="s">
        <v>63211</v>
      </c>
      <c r="B41560" t="s">
        <v>63212</v>
      </c>
      <c r="C41560" t="s">
        <v>151</v>
      </c>
      <c r="D41560" t="s">
        <v>152</v>
      </c>
      <c r="E41560" t="s">
        <v>144</v>
      </c>
      <c r="F41560" s="2" t="str">
        <f>HYPERLINK("http://www.otzar.org/book.asp?613648","שיר ידידות - תחומין")</f>
        <v>שיר ידידות - תחומין</v>
      </c>
    </row>
    <row r="41561" spans="1:6" x14ac:dyDescent="0.2">
      <c r="A41561" t="s">
        <v>63213</v>
      </c>
      <c r="B41561" t="s">
        <v>23097</v>
      </c>
      <c r="C41561" t="s">
        <v>1335</v>
      </c>
      <c r="D41561" t="s">
        <v>56</v>
      </c>
      <c r="E41561" t="s">
        <v>158</v>
      </c>
      <c r="F41561" s="2" t="str">
        <f>HYPERLINK("http://www.otzar.org/book.asp?25425","שיר ידידות")</f>
        <v>שיר ידידות</v>
      </c>
    </row>
    <row r="41562" spans="1:6" x14ac:dyDescent="0.2">
      <c r="A41562" t="s">
        <v>63213</v>
      </c>
      <c r="B41562" t="s">
        <v>1951</v>
      </c>
      <c r="C41562" t="s">
        <v>35474</v>
      </c>
      <c r="D41562" t="s">
        <v>1117</v>
      </c>
      <c r="E41562" t="s">
        <v>474</v>
      </c>
      <c r="F41562" s="2" t="str">
        <f>HYPERLINK("http://www.otzar.org/book.asp?9297","שיר ידידות")</f>
        <v>שיר ידידות</v>
      </c>
    </row>
    <row r="41563" spans="1:6" x14ac:dyDescent="0.2">
      <c r="A41563" t="s">
        <v>63213</v>
      </c>
      <c r="B41563" t="s">
        <v>63214</v>
      </c>
      <c r="C41563" t="s">
        <v>2543</v>
      </c>
      <c r="D41563" t="s">
        <v>27</v>
      </c>
      <c r="E41563" t="s">
        <v>741</v>
      </c>
      <c r="F41563" s="2" t="str">
        <f>HYPERLINK("http://www.otzar.org/book.asp?8996","שיר ידידות")</f>
        <v>שיר ידידות</v>
      </c>
    </row>
    <row r="41564" spans="1:6" x14ac:dyDescent="0.2">
      <c r="A41564" t="s">
        <v>63213</v>
      </c>
      <c r="B41564" t="s">
        <v>15019</v>
      </c>
      <c r="C41564" t="s">
        <v>482</v>
      </c>
      <c r="D41564" t="s">
        <v>412</v>
      </c>
      <c r="E41564" t="s">
        <v>158</v>
      </c>
      <c r="F41564" s="2" t="str">
        <f>HYPERLINK("http://www.otzar.org/book.asp?63070","שיר ידידות")</f>
        <v>שיר ידידות</v>
      </c>
    </row>
    <row r="41565" spans="1:6" x14ac:dyDescent="0.2">
      <c r="A41565" t="s">
        <v>63215</v>
      </c>
      <c r="B41565" t="s">
        <v>47310</v>
      </c>
      <c r="C41565" t="s">
        <v>99</v>
      </c>
      <c r="D41565" t="s">
        <v>1889</v>
      </c>
      <c r="E41565" t="s">
        <v>1626</v>
      </c>
      <c r="F41565" s="2" t="str">
        <f>HYPERLINK("http://www.otzar.org/book.asp?143393","שיר ידידות - 2 כר'")</f>
        <v>שיר ידידות - 2 כר'</v>
      </c>
    </row>
    <row r="41566" spans="1:6" x14ac:dyDescent="0.2">
      <c r="A41566" t="s">
        <v>63216</v>
      </c>
      <c r="B41566" t="s">
        <v>9043</v>
      </c>
      <c r="C41566" t="s">
        <v>114</v>
      </c>
      <c r="D41566" t="s">
        <v>90</v>
      </c>
      <c r="E41566" t="s">
        <v>399</v>
      </c>
      <c r="F41566" s="2" t="str">
        <f>HYPERLINK("http://www.otzar.org/book.asp?160099","שיר לדוד")</f>
        <v>שיר לדוד</v>
      </c>
    </row>
    <row r="41567" spans="1:6" x14ac:dyDescent="0.2">
      <c r="A41567" t="s">
        <v>63217</v>
      </c>
      <c r="B41567" t="s">
        <v>63218</v>
      </c>
      <c r="C41567" t="s">
        <v>21680</v>
      </c>
      <c r="D41567" t="s">
        <v>6214</v>
      </c>
      <c r="F41567" s="2" t="str">
        <f>HYPERLINK("http://www.otzar.org/book.asp?615417","שיר לחסידים")</f>
        <v>שיר לחסידים</v>
      </c>
    </row>
    <row r="41568" spans="1:6" x14ac:dyDescent="0.2">
      <c r="A41568" t="s">
        <v>63219</v>
      </c>
      <c r="B41568" t="s">
        <v>30375</v>
      </c>
      <c r="C41568" t="s">
        <v>366</v>
      </c>
      <c r="D41568" t="s">
        <v>14</v>
      </c>
      <c r="E41568" t="s">
        <v>158</v>
      </c>
      <c r="F41568" s="2" t="str">
        <f>HYPERLINK("http://www.otzar.org/book.asp?609618","שיר לשלמה - בראשית")</f>
        <v>שיר לשלמה - בראשית</v>
      </c>
    </row>
    <row r="41569" spans="1:6" x14ac:dyDescent="0.2">
      <c r="A41569" t="s">
        <v>63220</v>
      </c>
      <c r="B41569" t="s">
        <v>63221</v>
      </c>
      <c r="C41569" t="s">
        <v>20</v>
      </c>
      <c r="D41569" t="s">
        <v>14</v>
      </c>
      <c r="F41569" s="2" t="str">
        <f>HYPERLINK("http://www.otzar.org/book.asp?611993","שיר לשלמה")</f>
        <v>שיר לשלמה</v>
      </c>
    </row>
    <row r="41570" spans="1:6" x14ac:dyDescent="0.2">
      <c r="A41570" t="s">
        <v>63220</v>
      </c>
      <c r="B41570" t="s">
        <v>63222</v>
      </c>
      <c r="C41570" t="s">
        <v>160</v>
      </c>
      <c r="D41570" t="s">
        <v>38303</v>
      </c>
      <c r="E41570" t="s">
        <v>158</v>
      </c>
      <c r="F41570" s="2" t="str">
        <f>HYPERLINK("http://www.otzar.org/book.asp?191390","שיר לשלמה")</f>
        <v>שיר לשלמה</v>
      </c>
    </row>
    <row r="41571" spans="1:6" x14ac:dyDescent="0.2">
      <c r="A41571" t="s">
        <v>63223</v>
      </c>
      <c r="B41571" t="s">
        <v>20246</v>
      </c>
      <c r="C41571" t="s">
        <v>617</v>
      </c>
      <c r="D41571" t="s">
        <v>283</v>
      </c>
      <c r="E41571" t="s">
        <v>81</v>
      </c>
      <c r="F41571" s="2" t="str">
        <f>HYPERLINK("http://www.otzar.org/book.asp?100564","שיר מוסר השכל")</f>
        <v>שיר מוסר השכל</v>
      </c>
    </row>
    <row r="41572" spans="1:6" x14ac:dyDescent="0.2">
      <c r="A41572" t="s">
        <v>63224</v>
      </c>
      <c r="B41572" t="s">
        <v>63225</v>
      </c>
      <c r="C41572" t="s">
        <v>12036</v>
      </c>
      <c r="D41572" t="s">
        <v>283</v>
      </c>
      <c r="E41572" t="s">
        <v>219</v>
      </c>
      <c r="F41572" s="2" t="str">
        <f>HYPERLINK("http://www.otzar.org/book.asp?169418","שיר מכתם")</f>
        <v>שיר מכתם</v>
      </c>
    </row>
    <row r="41573" spans="1:6" x14ac:dyDescent="0.2">
      <c r="A41573" t="s">
        <v>63226</v>
      </c>
      <c r="B41573" t="s">
        <v>8840</v>
      </c>
      <c r="C41573" t="s">
        <v>20</v>
      </c>
      <c r="D41573" t="s">
        <v>14</v>
      </c>
      <c r="E41573" t="s">
        <v>43</v>
      </c>
      <c r="F41573" s="2" t="str">
        <f>HYPERLINK("http://www.otzar.org/book.asp?176345","שיר פשוט")</f>
        <v>שיר פשוט</v>
      </c>
    </row>
    <row r="41574" spans="1:6" x14ac:dyDescent="0.2">
      <c r="A41574" t="s">
        <v>63227</v>
      </c>
      <c r="B41574" t="s">
        <v>63228</v>
      </c>
      <c r="C41574" t="s">
        <v>600</v>
      </c>
      <c r="D41574" t="s">
        <v>63229</v>
      </c>
      <c r="E41574" t="s">
        <v>733</v>
      </c>
      <c r="F41574" s="2" t="str">
        <f>HYPERLINK("http://www.otzar.org/book.asp?196226","שיר ציון")</f>
        <v>שיר ציון</v>
      </c>
    </row>
    <row r="41575" spans="1:6" x14ac:dyDescent="0.2">
      <c r="A41575" t="s">
        <v>63227</v>
      </c>
      <c r="B41575" t="s">
        <v>47310</v>
      </c>
      <c r="C41575" t="s">
        <v>99</v>
      </c>
      <c r="D41575" t="s">
        <v>27575</v>
      </c>
      <c r="E41575" t="s">
        <v>1517</v>
      </c>
      <c r="F41575" s="2" t="str">
        <f>HYPERLINK("http://www.otzar.org/book.asp?153552","שיר ציון")</f>
        <v>שיר ציון</v>
      </c>
    </row>
    <row r="41576" spans="1:6" x14ac:dyDescent="0.2">
      <c r="A41576" t="s">
        <v>63230</v>
      </c>
      <c r="B41576" t="s">
        <v>63231</v>
      </c>
      <c r="C41576" t="s">
        <v>438</v>
      </c>
      <c r="D41576" t="s">
        <v>14</v>
      </c>
      <c r="E41576" t="s">
        <v>1626</v>
      </c>
      <c r="F41576" s="2" t="str">
        <f>HYPERLINK("http://www.otzar.org/book.asp?13280","שיר של יום בעבודת התמיד")</f>
        <v>שיר של יום בעבודת התמיד</v>
      </c>
    </row>
    <row r="41577" spans="1:6" x14ac:dyDescent="0.2">
      <c r="A41577" t="s">
        <v>63232</v>
      </c>
      <c r="B41577" t="s">
        <v>63233</v>
      </c>
      <c r="C41577" t="s">
        <v>129</v>
      </c>
      <c r="D41577" t="s">
        <v>14</v>
      </c>
      <c r="E41577" t="s">
        <v>1211</v>
      </c>
      <c r="F41577" s="2" t="str">
        <f>HYPERLINK("http://www.otzar.org/book.asp?146778","שיר של יום")</f>
        <v>שיר של יום</v>
      </c>
    </row>
    <row r="41578" spans="1:6" x14ac:dyDescent="0.2">
      <c r="A41578" t="s">
        <v>63234</v>
      </c>
      <c r="B41578" t="s">
        <v>8741</v>
      </c>
      <c r="C41578" t="s">
        <v>20</v>
      </c>
      <c r="D41578" t="s">
        <v>33969</v>
      </c>
      <c r="E41578" t="s">
        <v>219</v>
      </c>
      <c r="F41578" s="2" t="str">
        <f>HYPERLINK("http://www.otzar.org/book.asp?143426","שיר תהלה לרבי שמואל הנגיד")</f>
        <v>שיר תהלה לרבי שמואל הנגיד</v>
      </c>
    </row>
    <row r="41579" spans="1:6" x14ac:dyDescent="0.2">
      <c r="A41579" t="s">
        <v>63235</v>
      </c>
      <c r="B41579" t="s">
        <v>63236</v>
      </c>
      <c r="C41579" t="s">
        <v>989</v>
      </c>
      <c r="D41579" t="s">
        <v>14</v>
      </c>
      <c r="F41579" s="2" t="str">
        <f>HYPERLINK("http://www.otzar.org/book.asp?616569","שירה ופיוט של יהודי בבל בדורות האחרונים")</f>
        <v>שירה ופיוט של יהודי בבל בדורות האחרונים</v>
      </c>
    </row>
    <row r="41580" spans="1:6" x14ac:dyDescent="0.2">
      <c r="A41580" t="s">
        <v>63237</v>
      </c>
      <c r="B41580" t="s">
        <v>63238</v>
      </c>
      <c r="C41580" t="s">
        <v>20</v>
      </c>
      <c r="D41580" t="s">
        <v>14</v>
      </c>
      <c r="E41580" t="s">
        <v>219</v>
      </c>
      <c r="F41580" s="2" t="str">
        <f>HYPERLINK("http://www.otzar.org/book.asp?174384","שירה ורנה")</f>
        <v>שירה ורנה</v>
      </c>
    </row>
    <row r="41581" spans="1:6" x14ac:dyDescent="0.2">
      <c r="A41581" t="s">
        <v>63239</v>
      </c>
      <c r="B41581" t="s">
        <v>63240</v>
      </c>
      <c r="C41581" t="s">
        <v>383</v>
      </c>
      <c r="D41581" t="s">
        <v>14</v>
      </c>
      <c r="E41581" t="s">
        <v>6253</v>
      </c>
      <c r="F41581" s="2" t="str">
        <f>HYPERLINK("http://www.otzar.org/book.asp?189243","שירה חדשה הללויה - 2 כר'")</f>
        <v>שירה חדשה הללויה - 2 כר'</v>
      </c>
    </row>
    <row r="41582" spans="1:6" x14ac:dyDescent="0.2">
      <c r="A41582" t="s">
        <v>63241</v>
      </c>
      <c r="B41582" t="s">
        <v>2413</v>
      </c>
      <c r="F41582" s="2" t="str">
        <f>HYPERLINK("http://www.otzar.org/book.asp?630752","שירה חדשה")</f>
        <v>שירה חדשה</v>
      </c>
    </row>
    <row r="41583" spans="1:6" x14ac:dyDescent="0.2">
      <c r="A41583" t="s">
        <v>63242</v>
      </c>
      <c r="B41583" t="s">
        <v>5092</v>
      </c>
      <c r="C41583" t="s">
        <v>133</v>
      </c>
      <c r="D41583" t="s">
        <v>412</v>
      </c>
      <c r="E41583" t="s">
        <v>15</v>
      </c>
      <c r="F41583" s="2" t="str">
        <f>HYPERLINK("http://www.otzar.org/book.asp?175719","שירה חדשה - 2 כר'")</f>
        <v>שירה חדשה - 2 כר'</v>
      </c>
    </row>
    <row r="41584" spans="1:6" x14ac:dyDescent="0.2">
      <c r="A41584" t="s">
        <v>63241</v>
      </c>
      <c r="B41584" t="s">
        <v>2396</v>
      </c>
      <c r="C41584" t="s">
        <v>103</v>
      </c>
      <c r="D41584" t="s">
        <v>1076</v>
      </c>
      <c r="E41584" t="s">
        <v>158</v>
      </c>
      <c r="F41584" s="2" t="str">
        <f>HYPERLINK("http://www.otzar.org/book.asp?22910","שירה חדשה")</f>
        <v>שירה חדשה</v>
      </c>
    </row>
    <row r="41585" spans="1:6" x14ac:dyDescent="0.2">
      <c r="A41585" t="s">
        <v>63241</v>
      </c>
      <c r="B41585" t="s">
        <v>15508</v>
      </c>
      <c r="C41585" t="s">
        <v>3106</v>
      </c>
      <c r="D41585" t="s">
        <v>9</v>
      </c>
      <c r="E41585" t="s">
        <v>219</v>
      </c>
      <c r="F41585" s="2" t="str">
        <f>HYPERLINK("http://www.otzar.org/book.asp?190358","שירה חדשה")</f>
        <v>שירה חדשה</v>
      </c>
    </row>
    <row r="41586" spans="1:6" x14ac:dyDescent="0.2">
      <c r="A41586" t="s">
        <v>63243</v>
      </c>
      <c r="B41586" t="s">
        <v>17331</v>
      </c>
      <c r="C41586" t="s">
        <v>133</v>
      </c>
      <c r="D41586" t="s">
        <v>52</v>
      </c>
      <c r="E41586" t="s">
        <v>674</v>
      </c>
      <c r="F41586" s="2" t="str">
        <f>HYPERLINK("http://www.otzar.org/book.asp?606106","שירה כשרה")</f>
        <v>שירה כשרה</v>
      </c>
    </row>
    <row r="41587" spans="1:6" x14ac:dyDescent="0.2">
      <c r="A41587" t="s">
        <v>63244</v>
      </c>
      <c r="B41587" t="s">
        <v>63245</v>
      </c>
      <c r="C41587" t="s">
        <v>1659</v>
      </c>
      <c r="D41587" t="s">
        <v>2041</v>
      </c>
      <c r="E41587" t="s">
        <v>158</v>
      </c>
      <c r="F41587" s="2" t="str">
        <f>HYPERLINK("http://www.otzar.org/book.asp?146738","שירה לדוד")</f>
        <v>שירה לדוד</v>
      </c>
    </row>
    <row r="41588" spans="1:6" x14ac:dyDescent="0.2">
      <c r="A41588" t="s">
        <v>63244</v>
      </c>
      <c r="B41588" t="s">
        <v>55232</v>
      </c>
      <c r="C41588" t="s">
        <v>1663</v>
      </c>
      <c r="D41588" t="s">
        <v>27</v>
      </c>
      <c r="E41588" t="s">
        <v>579</v>
      </c>
      <c r="F41588" s="2" t="str">
        <f>HYPERLINK("http://www.otzar.org/book.asp?195988","שירה לדוד")</f>
        <v>שירה לדוד</v>
      </c>
    </row>
    <row r="41589" spans="1:6" x14ac:dyDescent="0.2">
      <c r="A41589" t="s">
        <v>63246</v>
      </c>
      <c r="B41589" t="s">
        <v>206</v>
      </c>
      <c r="C41589" t="s">
        <v>37</v>
      </c>
      <c r="D41589" t="s">
        <v>14</v>
      </c>
      <c r="E41589" t="s">
        <v>104</v>
      </c>
      <c r="F41589" s="2" t="str">
        <f>HYPERLINK("http://www.otzar.org/book.asp?192326","שירה להשם - 5 כר'")</f>
        <v>שירה להשם - 5 כר'</v>
      </c>
    </row>
    <row r="41590" spans="1:6" x14ac:dyDescent="0.2">
      <c r="A41590" t="s">
        <v>63247</v>
      </c>
      <c r="B41590" t="s">
        <v>5687</v>
      </c>
      <c r="C41590" t="s">
        <v>1019</v>
      </c>
      <c r="D41590" t="s">
        <v>283</v>
      </c>
      <c r="E41590" t="s">
        <v>104</v>
      </c>
      <c r="F41590" s="2" t="str">
        <f>HYPERLINK("http://www.otzar.org/book.asp?6542","שירה לחיים")</f>
        <v>שירה לחיים</v>
      </c>
    </row>
    <row r="41591" spans="1:6" x14ac:dyDescent="0.2">
      <c r="A41591" t="s">
        <v>63248</v>
      </c>
      <c r="B41591" t="s">
        <v>63249</v>
      </c>
      <c r="C41591" t="s">
        <v>13</v>
      </c>
      <c r="D41591" t="s">
        <v>5798</v>
      </c>
      <c r="E41591" t="s">
        <v>202</v>
      </c>
      <c r="F41591" s="2" t="str">
        <f>HYPERLINK("http://www.otzar.org/book.asp?195745","שירה ליצחק")</f>
        <v>שירה ליצחק</v>
      </c>
    </row>
    <row r="41592" spans="1:6" x14ac:dyDescent="0.2">
      <c r="A41592" t="s">
        <v>63250</v>
      </c>
      <c r="B41592" t="s">
        <v>21302</v>
      </c>
      <c r="C41592" t="s">
        <v>1448</v>
      </c>
      <c r="D41592" t="s">
        <v>14</v>
      </c>
      <c r="F41592" s="2" t="str">
        <f>HYPERLINK("http://www.otzar.org/book.asp?612056","שירו לו זמרו לו")</f>
        <v>שירו לו זמרו לו</v>
      </c>
    </row>
    <row r="41593" spans="1:6" x14ac:dyDescent="0.2">
      <c r="A41593" t="s">
        <v>63251</v>
      </c>
      <c r="B41593" t="s">
        <v>5788</v>
      </c>
      <c r="C41593" t="s">
        <v>51</v>
      </c>
      <c r="D41593" t="s">
        <v>657</v>
      </c>
      <c r="E41593" t="s">
        <v>158</v>
      </c>
      <c r="F41593" s="2" t="str">
        <f>HYPERLINK("http://www.otzar.org/book.asp?160486","שירו למלך - שיר השירים")</f>
        <v>שירו למלך - שיר השירים</v>
      </c>
    </row>
    <row r="41594" spans="1:6" x14ac:dyDescent="0.2">
      <c r="A41594" t="s">
        <v>63252</v>
      </c>
      <c r="B41594" t="s">
        <v>713</v>
      </c>
      <c r="C41594" t="s">
        <v>1706</v>
      </c>
      <c r="D41594" t="s">
        <v>63253</v>
      </c>
      <c r="E41594" t="s">
        <v>158</v>
      </c>
      <c r="F41594" s="2" t="str">
        <f>HYPERLINK("http://www.otzar.org/book.asp?140986","שירות דודים")</f>
        <v>שירות דודים</v>
      </c>
    </row>
    <row r="41595" spans="1:6" x14ac:dyDescent="0.2">
      <c r="A41595" t="s">
        <v>63254</v>
      </c>
      <c r="B41595" t="s">
        <v>63254</v>
      </c>
      <c r="C41595" t="s">
        <v>427</v>
      </c>
      <c r="D41595" t="s">
        <v>14</v>
      </c>
      <c r="E41595" t="s">
        <v>219</v>
      </c>
      <c r="F41595" s="2" t="str">
        <f>HYPERLINK("http://www.otzar.org/book.asp?168084","שירי אברהם הברדשי ויצחק הגרני וחוגם")</f>
        <v>שירי אברהם הברדשי ויצחק הגרני וחוגם</v>
      </c>
    </row>
    <row r="41596" spans="1:6" x14ac:dyDescent="0.2">
      <c r="A41596" t="s">
        <v>63255</v>
      </c>
      <c r="B41596" t="s">
        <v>2800</v>
      </c>
      <c r="C41596" t="s">
        <v>332</v>
      </c>
      <c r="D41596" t="s">
        <v>14</v>
      </c>
      <c r="E41596" t="s">
        <v>219</v>
      </c>
      <c r="F41596" s="2" t="str">
        <f>HYPERLINK("http://www.otzar.org/book.asp?179518","שירי אמיתי")</f>
        <v>שירי אמיתי</v>
      </c>
    </row>
    <row r="41597" spans="1:6" x14ac:dyDescent="0.2">
      <c r="A41597" t="s">
        <v>63256</v>
      </c>
      <c r="B41597" t="s">
        <v>63257</v>
      </c>
      <c r="C41597" t="s">
        <v>1374</v>
      </c>
      <c r="D41597" t="s">
        <v>27</v>
      </c>
      <c r="E41597" t="s">
        <v>1517</v>
      </c>
      <c r="F41597" s="2" t="str">
        <f>HYPERLINK("http://www.otzar.org/book.asp?152890","שירי בר יוחאי")</f>
        <v>שירי בר יוחאי</v>
      </c>
    </row>
    <row r="41598" spans="1:6" x14ac:dyDescent="0.2">
      <c r="A41598" t="s">
        <v>63258</v>
      </c>
      <c r="B41598" t="s">
        <v>63259</v>
      </c>
      <c r="C41598" t="s">
        <v>176</v>
      </c>
      <c r="D41598" t="s">
        <v>14</v>
      </c>
      <c r="E41598" t="s">
        <v>219</v>
      </c>
      <c r="F41598" s="2" t="str">
        <f>HYPERLINK("http://www.otzar.org/book.asp?175991","שירי דוד")</f>
        <v>שירי דוד</v>
      </c>
    </row>
    <row r="41599" spans="1:6" x14ac:dyDescent="0.2">
      <c r="A41599" t="s">
        <v>63258</v>
      </c>
      <c r="B41599" t="s">
        <v>31905</v>
      </c>
      <c r="C41599" t="s">
        <v>748</v>
      </c>
      <c r="D41599" t="s">
        <v>27</v>
      </c>
      <c r="E41599" t="s">
        <v>10</v>
      </c>
      <c r="F41599" s="2" t="str">
        <f>HYPERLINK("http://www.otzar.org/book.asp?148990","שירי דוד")</f>
        <v>שירי דוד</v>
      </c>
    </row>
    <row r="41600" spans="1:6" x14ac:dyDescent="0.2">
      <c r="A41600" t="s">
        <v>63260</v>
      </c>
      <c r="B41600" t="s">
        <v>41728</v>
      </c>
      <c r="C41600" t="s">
        <v>533</v>
      </c>
      <c r="D41600" t="s">
        <v>1889</v>
      </c>
      <c r="F41600" s="2" t="str">
        <f>HYPERLINK("http://www.otzar.org/book.asp?617099","שירי דוד - 4 כר'")</f>
        <v>שירי דוד - 4 כר'</v>
      </c>
    </row>
    <row r="41601" spans="1:6" x14ac:dyDescent="0.2">
      <c r="A41601" t="s">
        <v>63258</v>
      </c>
      <c r="B41601" t="s">
        <v>59108</v>
      </c>
      <c r="C41601" t="s">
        <v>1535</v>
      </c>
      <c r="D41601" t="s">
        <v>27</v>
      </c>
      <c r="E41601" t="s">
        <v>219</v>
      </c>
      <c r="F41601" s="2" t="str">
        <f>HYPERLINK("http://www.otzar.org/book.asp?150024","שירי דוד")</f>
        <v>שירי דוד</v>
      </c>
    </row>
    <row r="41602" spans="1:6" x14ac:dyDescent="0.2">
      <c r="A41602" t="s">
        <v>63261</v>
      </c>
      <c r="B41602" t="s">
        <v>45394</v>
      </c>
      <c r="C41602" t="s">
        <v>114</v>
      </c>
      <c r="D41602" t="s">
        <v>14</v>
      </c>
      <c r="E41602" t="s">
        <v>219</v>
      </c>
      <c r="F41602" s="2" t="str">
        <f>HYPERLINK("http://www.otzar.org/book.asp?625281","שירי הבקשות לשבת קודש &lt;עם ביאורים&gt;")</f>
        <v>שירי הבקשות לשבת קודש &lt;עם ביאורים&gt;</v>
      </c>
    </row>
    <row r="41603" spans="1:6" x14ac:dyDescent="0.2">
      <c r="A41603" t="s">
        <v>63262</v>
      </c>
      <c r="B41603" t="s">
        <v>63263</v>
      </c>
      <c r="C41603" t="s">
        <v>366</v>
      </c>
      <c r="D41603" t="s">
        <v>63264</v>
      </c>
      <c r="E41603" t="s">
        <v>467</v>
      </c>
      <c r="F41603" s="2" t="str">
        <f>HYPERLINK("http://www.otzar.org/book.asp?627629","שירי הלוי - מועדים")</f>
        <v>שירי הלוי - מועדים</v>
      </c>
    </row>
    <row r="41604" spans="1:6" x14ac:dyDescent="0.2">
      <c r="A41604" t="s">
        <v>63265</v>
      </c>
      <c r="B41604" t="s">
        <v>59602</v>
      </c>
      <c r="C41604" t="s">
        <v>20</v>
      </c>
      <c r="D41604" t="s">
        <v>21</v>
      </c>
      <c r="E41604" t="s">
        <v>1626</v>
      </c>
      <c r="F41604" s="2" t="str">
        <f>HYPERLINK("http://www.otzar.org/book.asp?196435","שירי המנגינה הזאת")</f>
        <v>שירי המנגינה הזאת</v>
      </c>
    </row>
    <row r="41605" spans="1:6" x14ac:dyDescent="0.2">
      <c r="A41605" t="s">
        <v>63266</v>
      </c>
      <c r="B41605" t="s">
        <v>63267</v>
      </c>
      <c r="C41605" t="s">
        <v>168</v>
      </c>
      <c r="D41605" t="s">
        <v>1356</v>
      </c>
      <c r="E41605" t="s">
        <v>63268</v>
      </c>
      <c r="F41605" s="2" t="str">
        <f>HYPERLINK("http://www.otzar.org/book.asp?174052","שירי המנחה - 2 כר'")</f>
        <v>שירי המנחה - 2 כר'</v>
      </c>
    </row>
    <row r="41606" spans="1:6" x14ac:dyDescent="0.2">
      <c r="A41606" t="s">
        <v>63269</v>
      </c>
      <c r="B41606" t="s">
        <v>3057</v>
      </c>
      <c r="C41606" t="s">
        <v>802</v>
      </c>
      <c r="D41606" t="s">
        <v>164</v>
      </c>
      <c r="E41606" t="s">
        <v>158</v>
      </c>
      <c r="F41606" s="2" t="str">
        <f>HYPERLINK("http://www.otzar.org/book.asp?5624","שירי הנפש")</f>
        <v>שירי הנפש</v>
      </c>
    </row>
    <row r="41607" spans="1:6" x14ac:dyDescent="0.2">
      <c r="A41607" t="s">
        <v>63270</v>
      </c>
      <c r="B41607" t="s">
        <v>45525</v>
      </c>
      <c r="C41607" t="s">
        <v>585</v>
      </c>
      <c r="D41607" t="s">
        <v>45526</v>
      </c>
      <c r="F41607" s="2" t="str">
        <f>HYPERLINK("http://www.otzar.org/book.asp?623104","שירי הקודש ליהודי קשטוריה")</f>
        <v>שירי הקודש ליהודי קשטוריה</v>
      </c>
    </row>
    <row r="41608" spans="1:6" x14ac:dyDescent="0.2">
      <c r="A41608" t="s">
        <v>63271</v>
      </c>
      <c r="B41608" t="s">
        <v>63272</v>
      </c>
      <c r="C41608" t="s">
        <v>20653</v>
      </c>
      <c r="D41608" t="s">
        <v>27</v>
      </c>
      <c r="E41608" t="s">
        <v>219</v>
      </c>
      <c r="F41608" s="2" t="str">
        <f>HYPERLINK("http://www.otzar.org/book.asp?5310","שירי זמרה השלם")</f>
        <v>שירי זמרה השלם</v>
      </c>
    </row>
    <row r="41609" spans="1:6" x14ac:dyDescent="0.2">
      <c r="A41609" t="s">
        <v>63273</v>
      </c>
      <c r="B41609" t="s">
        <v>63274</v>
      </c>
      <c r="C41609" t="s">
        <v>752</v>
      </c>
      <c r="D41609" t="s">
        <v>212</v>
      </c>
      <c r="E41609" t="s">
        <v>219</v>
      </c>
      <c r="F41609" s="2" t="str">
        <f>HYPERLINK("http://www.otzar.org/book.asp?168018","שירי זמרה")</f>
        <v>שירי זמרה</v>
      </c>
    </row>
    <row r="41610" spans="1:6" x14ac:dyDescent="0.2">
      <c r="A41610" t="s">
        <v>63273</v>
      </c>
      <c r="B41610" t="s">
        <v>11725</v>
      </c>
      <c r="C41610" t="s">
        <v>3695</v>
      </c>
      <c r="D41610" t="s">
        <v>4269</v>
      </c>
      <c r="E41610" t="s">
        <v>219</v>
      </c>
      <c r="F41610" s="2" t="str">
        <f>HYPERLINK("http://www.otzar.org/book.asp?146585","שירי זמרה")</f>
        <v>שירי זמרה</v>
      </c>
    </row>
    <row r="41611" spans="1:6" x14ac:dyDescent="0.2">
      <c r="A41611" t="s">
        <v>63275</v>
      </c>
      <c r="B41611" t="s">
        <v>31643</v>
      </c>
      <c r="C41611" t="s">
        <v>356</v>
      </c>
      <c r="D41611" t="s">
        <v>216</v>
      </c>
      <c r="F41611" s="2" t="str">
        <f>HYPERLINK("http://www.otzar.org/book.asp?166731","שירי חופה חדשים לרמח""ל")</f>
        <v>שירי חופה חדשים לרמח"ל</v>
      </c>
    </row>
    <row r="41612" spans="1:6" x14ac:dyDescent="0.2">
      <c r="A41612" t="s">
        <v>63276</v>
      </c>
      <c r="B41612" t="s">
        <v>63277</v>
      </c>
      <c r="C41612" t="s">
        <v>908</v>
      </c>
      <c r="D41612" t="s">
        <v>9</v>
      </c>
      <c r="E41612" t="s">
        <v>104</v>
      </c>
      <c r="F41612" s="2" t="str">
        <f>HYPERLINK("http://www.otzar.org/book.asp?146975","שירי חיים וצדק")</f>
        <v>שירי חיים וצדק</v>
      </c>
    </row>
    <row r="41613" spans="1:6" x14ac:dyDescent="0.2">
      <c r="A41613" t="s">
        <v>63278</v>
      </c>
      <c r="B41613" t="s">
        <v>63279</v>
      </c>
      <c r="C41613" t="s">
        <v>129</v>
      </c>
      <c r="D41613" t="s">
        <v>3283</v>
      </c>
      <c r="F41613" s="2" t="str">
        <f>HYPERLINK("http://www.otzar.org/book.asp?169580","שירי טהרה - חידושי הרמ""ל")</f>
        <v>שירי טהרה - חידושי הרמ"ל</v>
      </c>
    </row>
    <row r="41614" spans="1:6" x14ac:dyDescent="0.2">
      <c r="A41614" t="s">
        <v>63280</v>
      </c>
      <c r="B41614" t="s">
        <v>63281</v>
      </c>
      <c r="C41614" t="s">
        <v>1208</v>
      </c>
      <c r="D41614" t="s">
        <v>721</v>
      </c>
      <c r="E41614" t="s">
        <v>13834</v>
      </c>
      <c r="F41614" s="2" t="str">
        <f>HYPERLINK("http://www.otzar.org/book.asp?165872","שירי יצחק בן שלמה אלחדאב")</f>
        <v>שירי יצחק בן שלמה אלחדאב</v>
      </c>
    </row>
    <row r="41615" spans="1:6" x14ac:dyDescent="0.2">
      <c r="A41615" t="s">
        <v>63282</v>
      </c>
      <c r="B41615" t="s">
        <v>20246</v>
      </c>
      <c r="C41615" t="s">
        <v>429</v>
      </c>
      <c r="D41615" t="s">
        <v>5209</v>
      </c>
      <c r="E41615" t="s">
        <v>104</v>
      </c>
      <c r="F41615" s="2" t="str">
        <f>HYPERLINK("http://www.otzar.org/book.asp?13445","שירי מוסר השכל - 2 כר'")</f>
        <v>שירי מוסר השכל - 2 כר'</v>
      </c>
    </row>
    <row r="41616" spans="1:6" x14ac:dyDescent="0.2">
      <c r="A41616" t="s">
        <v>63283</v>
      </c>
      <c r="B41616" t="s">
        <v>15595</v>
      </c>
      <c r="C41616" t="s">
        <v>26</v>
      </c>
      <c r="D41616" t="s">
        <v>118</v>
      </c>
      <c r="F41616" s="2" t="str">
        <f>HYPERLINK("http://www.otzar.org/book.asp?609595","שירי מלחמה")</f>
        <v>שירי מלחמה</v>
      </c>
    </row>
    <row r="41617" spans="1:6" x14ac:dyDescent="0.2">
      <c r="A41617" t="s">
        <v>63284</v>
      </c>
      <c r="B41617" t="s">
        <v>63285</v>
      </c>
      <c r="C41617" t="s">
        <v>1954</v>
      </c>
      <c r="D41617" t="s">
        <v>646</v>
      </c>
      <c r="E41617" t="s">
        <v>158</v>
      </c>
      <c r="F41617" s="2" t="str">
        <f>HYPERLINK("http://www.otzar.org/book.asp?163019","שירי מנחה")</f>
        <v>שירי מנחה</v>
      </c>
    </row>
    <row r="41618" spans="1:6" x14ac:dyDescent="0.2">
      <c r="A41618" t="s">
        <v>63284</v>
      </c>
      <c r="B41618" t="s">
        <v>34951</v>
      </c>
      <c r="C41618" t="s">
        <v>1169</v>
      </c>
      <c r="D41618" t="s">
        <v>27</v>
      </c>
      <c r="E41618" t="s">
        <v>104</v>
      </c>
      <c r="F41618" s="2" t="str">
        <f>HYPERLINK("http://www.otzar.org/book.asp?144863","שירי מנחה")</f>
        <v>שירי מנחה</v>
      </c>
    </row>
    <row r="41619" spans="1:6" x14ac:dyDescent="0.2">
      <c r="A41619" t="s">
        <v>63284</v>
      </c>
      <c r="B41619" t="s">
        <v>38935</v>
      </c>
      <c r="C41619" t="s">
        <v>75</v>
      </c>
      <c r="D41619" t="s">
        <v>1459</v>
      </c>
      <c r="E41619" t="s">
        <v>144</v>
      </c>
      <c r="F41619" s="2" t="str">
        <f>HYPERLINK("http://www.otzar.org/book.asp?11636","שירי מנחה")</f>
        <v>שירי מנחה</v>
      </c>
    </row>
    <row r="41620" spans="1:6" x14ac:dyDescent="0.2">
      <c r="A41620" t="s">
        <v>63286</v>
      </c>
      <c r="B41620" t="s">
        <v>1990</v>
      </c>
      <c r="C41620" t="s">
        <v>124</v>
      </c>
      <c r="D41620" t="s">
        <v>216</v>
      </c>
      <c r="E41620" t="s">
        <v>104</v>
      </c>
      <c r="F41620" s="2" t="str">
        <f>HYPERLINK("http://www.otzar.org/book.asp?13639","שירי מצות - 2 כר'")</f>
        <v>שירי מצות - 2 כר'</v>
      </c>
    </row>
    <row r="41621" spans="1:6" x14ac:dyDescent="0.2">
      <c r="A41621" t="s">
        <v>63287</v>
      </c>
      <c r="B41621" t="s">
        <v>63288</v>
      </c>
      <c r="C41621" t="s">
        <v>506</v>
      </c>
      <c r="D41621" t="s">
        <v>260</v>
      </c>
      <c r="F41621" s="2" t="str">
        <f>HYPERLINK("http://www.otzar.org/book.asp?613760","שירי משה בן יעקב אבן עזרא - שירי חול")</f>
        <v>שירי משה בן יעקב אבן עזרא - שירי חול</v>
      </c>
    </row>
    <row r="41622" spans="1:6" x14ac:dyDescent="0.2">
      <c r="A41622" t="s">
        <v>63289</v>
      </c>
      <c r="B41622" t="s">
        <v>63290</v>
      </c>
      <c r="C41622" t="s">
        <v>356</v>
      </c>
      <c r="D41622" t="s">
        <v>14</v>
      </c>
      <c r="E41622" t="s">
        <v>219</v>
      </c>
      <c r="F41622" s="2" t="str">
        <f>HYPERLINK("http://www.otzar.org/book.asp?168180","שירי ציון")</f>
        <v>שירי ציון</v>
      </c>
    </row>
    <row r="41623" spans="1:6" x14ac:dyDescent="0.2">
      <c r="A41623" t="s">
        <v>63289</v>
      </c>
      <c r="B41623" t="s">
        <v>30470</v>
      </c>
      <c r="C41623" t="s">
        <v>20</v>
      </c>
      <c r="D41623" t="s">
        <v>118</v>
      </c>
      <c r="E41623" t="s">
        <v>219</v>
      </c>
      <c r="F41623" s="2" t="str">
        <f>HYPERLINK("http://www.otzar.org/book.asp?198676","שירי ציון")</f>
        <v>שירי ציון</v>
      </c>
    </row>
    <row r="41624" spans="1:6" x14ac:dyDescent="0.2">
      <c r="A41624" t="s">
        <v>63289</v>
      </c>
      <c r="B41624" t="s">
        <v>11725</v>
      </c>
      <c r="C41624" t="s">
        <v>63291</v>
      </c>
      <c r="D41624" t="s">
        <v>1889</v>
      </c>
      <c r="E41624" t="s">
        <v>219</v>
      </c>
      <c r="F41624" s="2" t="str">
        <f>HYPERLINK("http://www.otzar.org/book.asp?158161","שירי ציון")</f>
        <v>שירי ציון</v>
      </c>
    </row>
    <row r="41625" spans="1:6" x14ac:dyDescent="0.2">
      <c r="A41625" t="s">
        <v>63292</v>
      </c>
      <c r="B41625" t="s">
        <v>63293</v>
      </c>
      <c r="C41625" t="s">
        <v>523</v>
      </c>
      <c r="D41625" t="s">
        <v>14</v>
      </c>
      <c r="E41625" t="s">
        <v>579</v>
      </c>
      <c r="F41625" s="2" t="str">
        <f>HYPERLINK("http://www.otzar.org/book.asp?51168","שירי קודש")</f>
        <v>שירי קודש</v>
      </c>
    </row>
    <row r="41626" spans="1:6" x14ac:dyDescent="0.2">
      <c r="A41626" t="s">
        <v>63294</v>
      </c>
      <c r="B41626" t="s">
        <v>63295</v>
      </c>
      <c r="C41626" t="s">
        <v>13</v>
      </c>
      <c r="D41626" t="s">
        <v>14</v>
      </c>
      <c r="F41626" s="2" t="str">
        <f>HYPERLINK("http://www.otzar.org/book.asp?182315","שירי ר' אהרן אלעמאני")</f>
        <v>שירי ר' אהרן אלעמאני</v>
      </c>
    </row>
    <row r="41627" spans="1:6" x14ac:dyDescent="0.2">
      <c r="A41627" t="s">
        <v>63296</v>
      </c>
      <c r="B41627" t="s">
        <v>3202</v>
      </c>
      <c r="C41627" t="s">
        <v>454</v>
      </c>
      <c r="D41627" t="s">
        <v>216</v>
      </c>
      <c r="E41627" t="s">
        <v>1626</v>
      </c>
      <c r="F41627" s="2" t="str">
        <f>HYPERLINK("http://www.otzar.org/book.asp?64250","שירי ר' שלם שבזי &lt;ביבליוגרפיה&gt;")</f>
        <v>שירי ר' שלם שבזי &lt;ביבליוגרפיה&gt;</v>
      </c>
    </row>
    <row r="41628" spans="1:6" x14ac:dyDescent="0.2">
      <c r="A41628" t="s">
        <v>63297</v>
      </c>
      <c r="B41628" t="s">
        <v>63228</v>
      </c>
      <c r="C41628" t="s">
        <v>576</v>
      </c>
      <c r="D41628" t="s">
        <v>27</v>
      </c>
      <c r="F41628" s="2" t="str">
        <f>HYPERLINK("http://www.otzar.org/book.asp?182407","שירי רבי יואל משה סלומון ז""ל")</f>
        <v>שירי רבי יואל משה סלומון ז"ל</v>
      </c>
    </row>
    <row r="41629" spans="1:6" x14ac:dyDescent="0.2">
      <c r="A41629" t="s">
        <v>63298</v>
      </c>
      <c r="B41629" t="s">
        <v>2800</v>
      </c>
      <c r="C41629" t="s">
        <v>168</v>
      </c>
      <c r="D41629" t="s">
        <v>216</v>
      </c>
      <c r="E41629" t="s">
        <v>219</v>
      </c>
      <c r="F41629" s="2" t="str">
        <f>HYPERLINK("http://www.otzar.org/book.asp?179517","שירי רבי יחיאל בן הרא""ש")</f>
        <v>שירי רבי יחיאל בן הרא"ש</v>
      </c>
    </row>
    <row r="41630" spans="1:6" x14ac:dyDescent="0.2">
      <c r="A41630" t="s">
        <v>63299</v>
      </c>
      <c r="B41630" t="s">
        <v>2800</v>
      </c>
      <c r="C41630" t="s">
        <v>1208</v>
      </c>
      <c r="D41630" t="s">
        <v>14</v>
      </c>
      <c r="E41630" t="s">
        <v>219</v>
      </c>
      <c r="F41630" s="2" t="str">
        <f>HYPERLINK("http://www.otzar.org/book.asp?179535","שירי רבי יצחק אבן גיאת")</f>
        <v>שירי רבי יצחק אבן גיאת</v>
      </c>
    </row>
    <row r="41631" spans="1:6" x14ac:dyDescent="0.2">
      <c r="A41631" t="s">
        <v>63300</v>
      </c>
      <c r="B41631" t="s">
        <v>3299</v>
      </c>
      <c r="C41631" t="s">
        <v>1663</v>
      </c>
      <c r="D41631" t="s">
        <v>9</v>
      </c>
      <c r="E41631" t="s">
        <v>63301</v>
      </c>
      <c r="F41631" s="2" t="str">
        <f>HYPERLINK("http://www.otzar.org/book.asp?14504","שירי שירים")</f>
        <v>שירי שירים</v>
      </c>
    </row>
    <row r="41632" spans="1:6" x14ac:dyDescent="0.2">
      <c r="A41632" t="s">
        <v>63302</v>
      </c>
      <c r="B41632" t="s">
        <v>4925</v>
      </c>
      <c r="C41632" t="s">
        <v>506</v>
      </c>
      <c r="D41632" t="s">
        <v>216</v>
      </c>
      <c r="F41632" s="2" t="str">
        <f>HYPERLINK("http://www.otzar.org/book.asp?613672","שירי שלמה בן יהודה אבן גבירול - 5 כר'")</f>
        <v>שירי שלמה בן יהודה אבן גבירול - 5 כר'</v>
      </c>
    </row>
    <row r="41633" spans="1:6" x14ac:dyDescent="0.2">
      <c r="A41633" t="s">
        <v>63303</v>
      </c>
      <c r="B41633" t="s">
        <v>4925</v>
      </c>
      <c r="C41633" t="s">
        <v>1278</v>
      </c>
      <c r="D41633" t="s">
        <v>5477</v>
      </c>
      <c r="E41633" t="s">
        <v>219</v>
      </c>
      <c r="F41633" s="2" t="str">
        <f>HYPERLINK("http://www.otzar.org/book.asp?168123","שירי שלמה")</f>
        <v>שירי שלמה</v>
      </c>
    </row>
    <row r="41634" spans="1:6" x14ac:dyDescent="0.2">
      <c r="A41634" t="s">
        <v>63304</v>
      </c>
      <c r="B41634" t="s">
        <v>47310</v>
      </c>
      <c r="C41634" t="s">
        <v>698</v>
      </c>
      <c r="D41634" t="s">
        <v>27</v>
      </c>
      <c r="E41634" t="s">
        <v>219</v>
      </c>
      <c r="F41634" s="2" t="str">
        <f>HYPERLINK("http://www.otzar.org/book.asp?158160","שירי שמחות")</f>
        <v>שירי שמחות</v>
      </c>
    </row>
    <row r="41635" spans="1:6" x14ac:dyDescent="0.2">
      <c r="A41635" t="s">
        <v>63305</v>
      </c>
      <c r="B41635" t="s">
        <v>63306</v>
      </c>
      <c r="C41635" t="s">
        <v>20</v>
      </c>
      <c r="D41635" t="s">
        <v>90</v>
      </c>
      <c r="E41635" t="s">
        <v>219</v>
      </c>
      <c r="F41635" s="2" t="str">
        <f>HYPERLINK("http://www.otzar.org/book.asp?191509","שירי תהילה - ליל שבת")</f>
        <v>שירי תהילה - ליל שבת</v>
      </c>
    </row>
    <row r="41636" spans="1:6" x14ac:dyDescent="0.2">
      <c r="A41636" t="s">
        <v>63307</v>
      </c>
      <c r="B41636" t="s">
        <v>63308</v>
      </c>
      <c r="C41636" t="s">
        <v>3635</v>
      </c>
      <c r="D41636" t="s">
        <v>2714</v>
      </c>
      <c r="E41636" t="s">
        <v>219</v>
      </c>
      <c r="F41636" s="2" t="str">
        <f>HYPERLINK("http://www.otzar.org/book.asp?168176","שירי תהלה")</f>
        <v>שירי תהלה</v>
      </c>
    </row>
    <row r="41637" spans="1:6" x14ac:dyDescent="0.2">
      <c r="A41637" t="s">
        <v>63309</v>
      </c>
      <c r="B41637" t="s">
        <v>3279</v>
      </c>
      <c r="C41637" t="s">
        <v>1535</v>
      </c>
      <c r="D41637" t="s">
        <v>63310</v>
      </c>
      <c r="E41637" t="s">
        <v>1626</v>
      </c>
      <c r="F41637" s="2" t="str">
        <f>HYPERLINK("http://www.otzar.org/book.asp?163470","שירי תימן")</f>
        <v>שירי תימן</v>
      </c>
    </row>
    <row r="41638" spans="1:6" x14ac:dyDescent="0.2">
      <c r="A41638" t="s">
        <v>63311</v>
      </c>
      <c r="B41638" t="s">
        <v>63312</v>
      </c>
      <c r="C41638" t="s">
        <v>17</v>
      </c>
      <c r="D41638" t="s">
        <v>14</v>
      </c>
      <c r="E41638" t="s">
        <v>219</v>
      </c>
      <c r="F41638" s="2" t="str">
        <f>HYPERLINK("http://www.otzar.org/book.asp?179519","שירים גנוזים - שירים חדשים מגניזת קהיר")</f>
        <v>שירים גנוזים - שירים חדשים מגניזת קהיר</v>
      </c>
    </row>
    <row r="41639" spans="1:6" x14ac:dyDescent="0.2">
      <c r="A41639" t="s">
        <v>63313</v>
      </c>
      <c r="B41639" t="s">
        <v>206</v>
      </c>
      <c r="C41639" t="s">
        <v>244</v>
      </c>
      <c r="D41639" t="s">
        <v>21</v>
      </c>
      <c r="E41639" t="s">
        <v>219</v>
      </c>
      <c r="F41639" s="2" t="str">
        <f>HYPERLINK("http://www.otzar.org/book.asp?628153","שירים וחיזוקים &lt;מהדורה חדשה&gt;")</f>
        <v>שירים וחיזוקים &lt;מהדורה חדשה&gt;</v>
      </c>
    </row>
    <row r="41640" spans="1:6" x14ac:dyDescent="0.2">
      <c r="A41640" t="s">
        <v>63314</v>
      </c>
      <c r="B41640" t="s">
        <v>206</v>
      </c>
      <c r="C41640" t="s">
        <v>244</v>
      </c>
      <c r="D41640" t="s">
        <v>21</v>
      </c>
      <c r="E41640" t="s">
        <v>241</v>
      </c>
      <c r="F41640" s="2" t="str">
        <f>HYPERLINK("http://www.otzar.org/book.asp?605093","שירים וחיזוקים")</f>
        <v>שירים וחיזוקים</v>
      </c>
    </row>
    <row r="41641" spans="1:6" x14ac:dyDescent="0.2">
      <c r="A41641" t="s">
        <v>63315</v>
      </c>
      <c r="B41641" t="s">
        <v>26625</v>
      </c>
      <c r="C41641" t="s">
        <v>124</v>
      </c>
      <c r="D41641" t="s">
        <v>14</v>
      </c>
      <c r="E41641" t="s">
        <v>1626</v>
      </c>
      <c r="F41641" s="2" t="str">
        <f>HYPERLINK("http://www.otzar.org/book.asp?172121","שירים חדשים לרבי שלום שבזי")</f>
        <v>שירים חדשים לרבי שלום שבזי</v>
      </c>
    </row>
    <row r="41642" spans="1:6" x14ac:dyDescent="0.2">
      <c r="A41642" t="s">
        <v>63316</v>
      </c>
      <c r="B41642" t="s">
        <v>31643</v>
      </c>
      <c r="C41642" t="s">
        <v>356</v>
      </c>
      <c r="D41642" t="s">
        <v>14</v>
      </c>
      <c r="E41642" t="s">
        <v>219</v>
      </c>
      <c r="F41642" s="2" t="str">
        <f>HYPERLINK("http://www.otzar.org/book.asp?158968","שירים ליום חתונתו של רמח""ל")</f>
        <v>שירים ליום חתונתו של רמח"ל</v>
      </c>
    </row>
    <row r="41643" spans="1:6" x14ac:dyDescent="0.2">
      <c r="A41643" t="s">
        <v>63317</v>
      </c>
      <c r="B41643" t="s">
        <v>63318</v>
      </c>
      <c r="C41643" t="s">
        <v>940</v>
      </c>
      <c r="D41643" t="s">
        <v>412</v>
      </c>
      <c r="E41643" t="s">
        <v>1517</v>
      </c>
      <c r="F41643" s="2" t="str">
        <f>HYPERLINK("http://www.otzar.org/book.asp?163350","שירים של שבת")</f>
        <v>שירים של שבת</v>
      </c>
    </row>
    <row r="41644" spans="1:6" x14ac:dyDescent="0.2">
      <c r="A41644" t="s">
        <v>63319</v>
      </c>
      <c r="B41644" t="s">
        <v>63320</v>
      </c>
      <c r="C41644" t="s">
        <v>433</v>
      </c>
      <c r="D41644" t="s">
        <v>14</v>
      </c>
      <c r="F41644" s="2" t="str">
        <f>HYPERLINK("http://www.otzar.org/book.asp?168152","שירים - אבן-עזרא, יצחק בן אברהם")</f>
        <v>שירים - אבן-עזרא, יצחק בן אברהם</v>
      </c>
    </row>
    <row r="41645" spans="1:6" x14ac:dyDescent="0.2">
      <c r="A41645" t="s">
        <v>63321</v>
      </c>
      <c r="B41645" t="s">
        <v>63322</v>
      </c>
      <c r="C41645" t="s">
        <v>3106</v>
      </c>
      <c r="D41645" t="s">
        <v>14</v>
      </c>
      <c r="E41645" t="s">
        <v>219</v>
      </c>
      <c r="F41645" s="2" t="str">
        <f>HYPERLINK("http://www.otzar.org/book.asp?181576","שירים - שבחות בקשות ופזמונים")</f>
        <v>שירים - שבחות בקשות ופזמונים</v>
      </c>
    </row>
    <row r="41646" spans="1:6" x14ac:dyDescent="0.2">
      <c r="A41646" t="s">
        <v>63323</v>
      </c>
      <c r="B41646" t="s">
        <v>8504</v>
      </c>
      <c r="C41646" t="s">
        <v>553</v>
      </c>
      <c r="D41646" t="s">
        <v>14</v>
      </c>
      <c r="E41646" t="s">
        <v>104</v>
      </c>
      <c r="F41646" s="2" t="str">
        <f>HYPERLINK("http://www.otzar.org/book.asp?63172","שירת אומה לארצה")</f>
        <v>שירת אומה לארצה</v>
      </c>
    </row>
    <row r="41647" spans="1:6" x14ac:dyDescent="0.2">
      <c r="A41647" t="s">
        <v>63324</v>
      </c>
      <c r="B41647" t="s">
        <v>27621</v>
      </c>
      <c r="C41647" t="s">
        <v>103</v>
      </c>
      <c r="D41647" t="s">
        <v>14</v>
      </c>
      <c r="E41647" t="s">
        <v>43</v>
      </c>
      <c r="F41647" s="2" t="str">
        <f>HYPERLINK("http://www.otzar.org/book.asp?174636","שירת אריאל")</f>
        <v>שירת אריאל</v>
      </c>
    </row>
    <row r="41648" spans="1:6" x14ac:dyDescent="0.2">
      <c r="A41648" t="s">
        <v>63325</v>
      </c>
      <c r="B41648" t="s">
        <v>1818</v>
      </c>
      <c r="C41648" t="s">
        <v>68</v>
      </c>
      <c r="D41648" t="s">
        <v>52</v>
      </c>
      <c r="E41648" t="s">
        <v>15</v>
      </c>
      <c r="F41648" s="2" t="str">
        <f>HYPERLINK("http://www.otzar.org/book.asp?156550","שירת בן הלוי - 2 כר'")</f>
        <v>שירת בן הלוי - 2 כר'</v>
      </c>
    </row>
    <row r="41649" spans="1:6" x14ac:dyDescent="0.2">
      <c r="A41649" t="s">
        <v>63326</v>
      </c>
      <c r="B41649" t="s">
        <v>63327</v>
      </c>
      <c r="C41649" t="s">
        <v>87</v>
      </c>
      <c r="D41649" t="s">
        <v>14</v>
      </c>
      <c r="E41649" t="s">
        <v>202</v>
      </c>
      <c r="F41649" s="2" t="str">
        <f>HYPERLINK("http://www.otzar.org/book.asp?158144","שירת דבורה")</f>
        <v>שירת דבורה</v>
      </c>
    </row>
    <row r="41650" spans="1:6" x14ac:dyDescent="0.2">
      <c r="A41650" t="s">
        <v>63328</v>
      </c>
      <c r="B41650" t="s">
        <v>42881</v>
      </c>
      <c r="C41650" t="s">
        <v>68</v>
      </c>
      <c r="D41650" t="s">
        <v>14</v>
      </c>
      <c r="E41650" t="s">
        <v>15</v>
      </c>
      <c r="F41650" s="2" t="str">
        <f>HYPERLINK("http://www.otzar.org/book.asp?166273","שירת דוד")</f>
        <v>שירת דוד</v>
      </c>
    </row>
    <row r="41651" spans="1:6" x14ac:dyDescent="0.2">
      <c r="A41651" t="s">
        <v>63328</v>
      </c>
      <c r="B41651" t="s">
        <v>63329</v>
      </c>
      <c r="C41651" t="s">
        <v>422</v>
      </c>
      <c r="D41651" t="s">
        <v>147</v>
      </c>
      <c r="E41651" t="s">
        <v>1880</v>
      </c>
      <c r="F41651" s="2" t="str">
        <f>HYPERLINK("http://www.otzar.org/book.asp?156088","שירת דוד")</f>
        <v>שירת דוד</v>
      </c>
    </row>
    <row r="41652" spans="1:6" x14ac:dyDescent="0.2">
      <c r="A41652" t="s">
        <v>63330</v>
      </c>
      <c r="B41652" t="s">
        <v>48058</v>
      </c>
      <c r="C41652" t="s">
        <v>87</v>
      </c>
      <c r="D41652" t="s">
        <v>16390</v>
      </c>
      <c r="E41652" t="s">
        <v>158</v>
      </c>
      <c r="F41652" s="2" t="str">
        <f>HYPERLINK("http://www.otzar.org/book.asp?63632","שירת דוד - 7 כר'")</f>
        <v>שירת דוד - 7 כר'</v>
      </c>
    </row>
    <row r="41653" spans="1:6" x14ac:dyDescent="0.2">
      <c r="A41653" t="s">
        <v>63330</v>
      </c>
      <c r="B41653" t="s">
        <v>15397</v>
      </c>
      <c r="C41653" t="s">
        <v>454</v>
      </c>
      <c r="D41653" t="s">
        <v>14</v>
      </c>
      <c r="E41653" t="s">
        <v>144</v>
      </c>
      <c r="F41653" s="2" t="str">
        <f>HYPERLINK("http://www.otzar.org/book.asp?26798","שירת דוד - 7 כר'")</f>
        <v>שירת דוד - 7 כר'</v>
      </c>
    </row>
    <row r="41654" spans="1:6" x14ac:dyDescent="0.2">
      <c r="A41654" t="s">
        <v>63328</v>
      </c>
      <c r="B41654" t="s">
        <v>63331</v>
      </c>
      <c r="C41654" t="s">
        <v>111</v>
      </c>
      <c r="D41654" t="s">
        <v>14</v>
      </c>
      <c r="E41654" t="s">
        <v>8079</v>
      </c>
      <c r="F41654" s="2" t="str">
        <f>HYPERLINK("http://www.otzar.org/book.asp?624754","שירת דוד")</f>
        <v>שירת דוד</v>
      </c>
    </row>
    <row r="41655" spans="1:6" x14ac:dyDescent="0.2">
      <c r="A41655" t="s">
        <v>63328</v>
      </c>
      <c r="B41655" t="s">
        <v>63332</v>
      </c>
      <c r="C41655" t="s">
        <v>17</v>
      </c>
      <c r="D41655" t="s">
        <v>14</v>
      </c>
      <c r="E41655" t="s">
        <v>144</v>
      </c>
      <c r="F41655" s="2" t="str">
        <f>HYPERLINK("http://www.otzar.org/book.asp?147932","שירת דוד")</f>
        <v>שירת דוד</v>
      </c>
    </row>
    <row r="41656" spans="1:6" x14ac:dyDescent="0.2">
      <c r="A41656" t="s">
        <v>63333</v>
      </c>
      <c r="B41656" t="s">
        <v>63334</v>
      </c>
      <c r="C41656" t="s">
        <v>454</v>
      </c>
      <c r="D41656" t="s">
        <v>14</v>
      </c>
      <c r="E41656" t="s">
        <v>158</v>
      </c>
      <c r="F41656" s="2" t="str">
        <f>HYPERLINK("http://www.otzar.org/book.asp?85345","שירת האזינו")</f>
        <v>שירת האזינו</v>
      </c>
    </row>
    <row r="41657" spans="1:6" x14ac:dyDescent="0.2">
      <c r="A41657" t="s">
        <v>63335</v>
      </c>
      <c r="B41657" t="s">
        <v>12568</v>
      </c>
      <c r="C41657" t="s">
        <v>133</v>
      </c>
      <c r="D41657" t="s">
        <v>21</v>
      </c>
      <c r="E41657" t="s">
        <v>18910</v>
      </c>
      <c r="F41657" s="2" t="str">
        <f>HYPERLINK("http://www.otzar.org/book.asp?199357","שירת האמונה במשעולי גאולה")</f>
        <v>שירת האמונה במשעולי גאולה</v>
      </c>
    </row>
    <row r="41658" spans="1:6" x14ac:dyDescent="0.2">
      <c r="A41658" t="s">
        <v>63336</v>
      </c>
      <c r="B41658" t="s">
        <v>1750</v>
      </c>
      <c r="C41658" t="s">
        <v>133</v>
      </c>
      <c r="D41658" t="s">
        <v>14</v>
      </c>
      <c r="E41658" t="s">
        <v>202</v>
      </c>
      <c r="F41658" s="2" t="str">
        <f>HYPERLINK("http://www.otzar.org/book.asp?172996","שירת האש - 3 כר'")</f>
        <v>שירת האש - 3 כר'</v>
      </c>
    </row>
    <row r="41659" spans="1:6" x14ac:dyDescent="0.2">
      <c r="A41659" t="s">
        <v>63337</v>
      </c>
      <c r="B41659" t="s">
        <v>63338</v>
      </c>
      <c r="C41659" t="s">
        <v>624</v>
      </c>
      <c r="D41659" t="s">
        <v>52</v>
      </c>
      <c r="E41659" t="s">
        <v>158</v>
      </c>
      <c r="F41659" s="2" t="str">
        <f>HYPERLINK("http://www.otzar.org/book.asp?157456","שירת הידידות")</f>
        <v>שירת הידידות</v>
      </c>
    </row>
    <row r="41660" spans="1:6" x14ac:dyDescent="0.2">
      <c r="A41660" t="s">
        <v>63339</v>
      </c>
      <c r="B41660" t="s">
        <v>63340</v>
      </c>
      <c r="C41660" t="s">
        <v>133</v>
      </c>
      <c r="D41660" t="s">
        <v>14</v>
      </c>
      <c r="E41660" t="s">
        <v>230</v>
      </c>
      <c r="F41660" s="2" t="str">
        <f>HYPERLINK("http://www.otzar.org/book.asp?180453","שירת הים")</f>
        <v>שירת הים</v>
      </c>
    </row>
    <row r="41661" spans="1:6" x14ac:dyDescent="0.2">
      <c r="A41661" t="s">
        <v>63341</v>
      </c>
      <c r="B41661" t="s">
        <v>3644</v>
      </c>
      <c r="C41661" t="s">
        <v>68</v>
      </c>
      <c r="D41661" t="s">
        <v>14</v>
      </c>
      <c r="E41661" t="s">
        <v>246</v>
      </c>
      <c r="F41661" s="2" t="str">
        <f>HYPERLINK("http://www.otzar.org/book.asp?159365","שירת הים - קריעת ים סוף ופרשת השירה")</f>
        <v>שירת הים - קריעת ים סוף ופרשת השירה</v>
      </c>
    </row>
    <row r="41662" spans="1:6" x14ac:dyDescent="0.2">
      <c r="A41662" t="s">
        <v>63342</v>
      </c>
      <c r="B41662" t="s">
        <v>58715</v>
      </c>
      <c r="C41662" t="s">
        <v>366</v>
      </c>
      <c r="D41662" t="s">
        <v>15682</v>
      </c>
      <c r="E41662" t="s">
        <v>15</v>
      </c>
      <c r="F41662" s="2" t="str">
        <f>HYPERLINK("http://www.otzar.org/book.asp?631183","שירת הים - 7 כר'")</f>
        <v>שירת הים - 7 כר'</v>
      </c>
    </row>
    <row r="41663" spans="1:6" x14ac:dyDescent="0.2">
      <c r="A41663" t="s">
        <v>63339</v>
      </c>
      <c r="B41663" t="s">
        <v>44971</v>
      </c>
      <c r="C41663" t="s">
        <v>13</v>
      </c>
      <c r="D41663" t="s">
        <v>9909</v>
      </c>
      <c r="E41663" t="s">
        <v>15</v>
      </c>
      <c r="F41663" s="2" t="str">
        <f>HYPERLINK("http://www.otzar.org/book.asp?159704","שירת הים")</f>
        <v>שירת הים</v>
      </c>
    </row>
    <row r="41664" spans="1:6" x14ac:dyDescent="0.2">
      <c r="A41664" t="s">
        <v>63343</v>
      </c>
      <c r="B41664" t="s">
        <v>11254</v>
      </c>
      <c r="C41664" t="s">
        <v>37</v>
      </c>
      <c r="D41664" t="s">
        <v>4665</v>
      </c>
      <c r="F41664" s="2" t="str">
        <f>HYPERLINK("http://www.otzar.org/book.asp?606147","שירת הכרם")</f>
        <v>שירת הכרם</v>
      </c>
    </row>
    <row r="41665" spans="1:6" x14ac:dyDescent="0.2">
      <c r="A41665" t="s">
        <v>63344</v>
      </c>
      <c r="B41665" t="s">
        <v>63345</v>
      </c>
      <c r="C41665" t="s">
        <v>114</v>
      </c>
      <c r="D41665" t="s">
        <v>4665</v>
      </c>
      <c r="F41665" s="2" t="str">
        <f>HYPERLINK("http://www.otzar.org/book.asp?163800","שירת הכרם - בבא קמא")</f>
        <v>שירת הכרם - בבא קמא</v>
      </c>
    </row>
    <row r="41666" spans="1:6" x14ac:dyDescent="0.2">
      <c r="A41666" t="s">
        <v>63346</v>
      </c>
      <c r="B41666" t="s">
        <v>12596</v>
      </c>
      <c r="C41666" t="s">
        <v>51</v>
      </c>
      <c r="D41666" t="s">
        <v>14</v>
      </c>
      <c r="E41666" t="s">
        <v>213</v>
      </c>
      <c r="F41666" s="2" t="str">
        <f>HYPERLINK("http://www.otzar.org/book.asp?61762","שירת הלב")</f>
        <v>שירת הלב</v>
      </c>
    </row>
    <row r="41667" spans="1:6" x14ac:dyDescent="0.2">
      <c r="A41667" t="s">
        <v>63347</v>
      </c>
      <c r="B41667" t="s">
        <v>63348</v>
      </c>
      <c r="C41667" t="s">
        <v>13</v>
      </c>
      <c r="D41667" t="s">
        <v>52</v>
      </c>
      <c r="E41667" t="s">
        <v>144</v>
      </c>
      <c r="F41667" s="2" t="str">
        <f>HYPERLINK("http://www.otzar.org/book.asp?143927","שירת הלווים - פסחים")</f>
        <v>שירת הלווים - פסחים</v>
      </c>
    </row>
    <row r="41668" spans="1:6" x14ac:dyDescent="0.2">
      <c r="A41668" t="s">
        <v>63349</v>
      </c>
      <c r="B41668" t="s">
        <v>63350</v>
      </c>
      <c r="C41668" t="s">
        <v>466</v>
      </c>
      <c r="D41668" t="s">
        <v>412</v>
      </c>
      <c r="E41668" t="s">
        <v>158</v>
      </c>
      <c r="F41668" s="2" t="str">
        <f>HYPERLINK("http://www.otzar.org/book.asp?155033","שירת הלוי - 3 כר'")</f>
        <v>שירת הלוי - 3 כר'</v>
      </c>
    </row>
    <row r="41669" spans="1:6" x14ac:dyDescent="0.2">
      <c r="A41669" t="s">
        <v>63351</v>
      </c>
      <c r="B41669" t="s">
        <v>63352</v>
      </c>
      <c r="C41669" t="s">
        <v>13204</v>
      </c>
      <c r="D41669" t="s">
        <v>21</v>
      </c>
      <c r="E41669" t="s">
        <v>219</v>
      </c>
      <c r="F41669" s="2" t="str">
        <f>HYPERLINK("http://www.otzar.org/book.asp?191849","שירת המאור - פיוטי רבי זרחיה הלוי")</f>
        <v>שירת המאור - פיוטי רבי זרחיה הלוי</v>
      </c>
    </row>
    <row r="41670" spans="1:6" x14ac:dyDescent="0.2">
      <c r="A41670" t="s">
        <v>63353</v>
      </c>
      <c r="B41670" t="s">
        <v>63353</v>
      </c>
      <c r="C41670" t="s">
        <v>422</v>
      </c>
      <c r="D41670" t="s">
        <v>14</v>
      </c>
      <c r="E41670" t="s">
        <v>230</v>
      </c>
      <c r="F41670" s="2" t="str">
        <f>HYPERLINK("http://www.otzar.org/book.asp?156710","שירת המועדות")</f>
        <v>שירת המועדות</v>
      </c>
    </row>
    <row r="41671" spans="1:6" x14ac:dyDescent="0.2">
      <c r="A41671" t="s">
        <v>63354</v>
      </c>
      <c r="B41671" t="s">
        <v>63355</v>
      </c>
      <c r="C41671" t="s">
        <v>17</v>
      </c>
      <c r="D41671" t="s">
        <v>14</v>
      </c>
      <c r="E41671" t="s">
        <v>219</v>
      </c>
      <c r="F41671" s="2" t="str">
        <f>HYPERLINK("http://www.otzar.org/book.asp?173959","שירת המצוות - אזהרות רבינו אליהו הזקן")</f>
        <v>שירת המצוות - אזהרות רבינו אליהו הזקן</v>
      </c>
    </row>
    <row r="41672" spans="1:6" x14ac:dyDescent="0.2">
      <c r="A41672" t="s">
        <v>63356</v>
      </c>
      <c r="B41672" t="s">
        <v>48514</v>
      </c>
      <c r="C41672" t="s">
        <v>17</v>
      </c>
      <c r="D41672" t="s">
        <v>14</v>
      </c>
      <c r="E41672" t="s">
        <v>219</v>
      </c>
      <c r="F41672" s="2" t="str">
        <f>HYPERLINK("http://www.otzar.org/book.asp?83675","שירת העומר")</f>
        <v>שירת העומר</v>
      </c>
    </row>
    <row r="41673" spans="1:6" x14ac:dyDescent="0.2">
      <c r="A41673" t="s">
        <v>63357</v>
      </c>
      <c r="B41673" t="s">
        <v>63358</v>
      </c>
      <c r="C41673" t="s">
        <v>422</v>
      </c>
      <c r="D41673" t="s">
        <v>721</v>
      </c>
      <c r="E41673" t="s">
        <v>1626</v>
      </c>
      <c r="F41673" s="2" t="str">
        <f>HYPERLINK("http://www.otzar.org/book.asp?174469","שירת הקודש של נשים מהאי ג'רבא שבתוניסיה")</f>
        <v>שירת הקודש של נשים מהאי ג'רבא שבתוניסיה</v>
      </c>
    </row>
    <row r="41674" spans="1:6" x14ac:dyDescent="0.2">
      <c r="A41674" t="s">
        <v>63359</v>
      </c>
      <c r="B41674" t="s">
        <v>63360</v>
      </c>
      <c r="C41674" t="s">
        <v>523</v>
      </c>
      <c r="D41674" t="s">
        <v>14</v>
      </c>
      <c r="E41674" t="s">
        <v>219</v>
      </c>
      <c r="F41674" s="2" t="str">
        <f>HYPERLINK("http://www.otzar.org/book.asp?174234","שירת הרוקח")</f>
        <v>שירת הרוקח</v>
      </c>
    </row>
    <row r="41675" spans="1:6" x14ac:dyDescent="0.2">
      <c r="A41675" t="s">
        <v>63361</v>
      </c>
      <c r="B41675" t="s">
        <v>5316</v>
      </c>
      <c r="C41675" t="s">
        <v>20</v>
      </c>
      <c r="D41675" t="s">
        <v>90</v>
      </c>
      <c r="E41675" t="s">
        <v>241</v>
      </c>
      <c r="F41675" s="2" t="str">
        <f>HYPERLINK("http://www.otzar.org/book.asp?606474","שירת התורה - א")</f>
        <v>שירת התורה - א</v>
      </c>
    </row>
    <row r="41676" spans="1:6" x14ac:dyDescent="0.2">
      <c r="A41676" t="s">
        <v>63362</v>
      </c>
      <c r="B41676" t="s">
        <v>63363</v>
      </c>
      <c r="C41676" t="s">
        <v>133</v>
      </c>
      <c r="D41676" t="s">
        <v>260</v>
      </c>
      <c r="E41676" t="s">
        <v>733</v>
      </c>
      <c r="F41676" s="2" t="str">
        <f>HYPERLINK("http://www.otzar.org/book.asp?196179","שירת חיי")</f>
        <v>שירת חיי</v>
      </c>
    </row>
    <row r="41677" spans="1:6" x14ac:dyDescent="0.2">
      <c r="A41677" t="s">
        <v>63364</v>
      </c>
      <c r="B41677" t="s">
        <v>45252</v>
      </c>
      <c r="C41677" t="s">
        <v>411</v>
      </c>
      <c r="D41677" t="s">
        <v>14</v>
      </c>
      <c r="F41677" s="2" t="str">
        <f>HYPERLINK("http://www.otzar.org/book.asp?170384","שירת יהודה")</f>
        <v>שירת יהודה</v>
      </c>
    </row>
    <row r="41678" spans="1:6" x14ac:dyDescent="0.2">
      <c r="A41678" t="s">
        <v>63365</v>
      </c>
      <c r="B41678" t="s">
        <v>63366</v>
      </c>
      <c r="C41678" t="s">
        <v>13</v>
      </c>
      <c r="D41678" t="s">
        <v>52</v>
      </c>
      <c r="E41678" t="s">
        <v>144</v>
      </c>
      <c r="F41678" s="2" t="str">
        <f>HYPERLINK("http://www.otzar.org/book.asp?83777","שירת יהודה - שירת הבאר")</f>
        <v>שירת יהודה - שירת הבאר</v>
      </c>
    </row>
    <row r="41679" spans="1:6" x14ac:dyDescent="0.2">
      <c r="A41679" t="s">
        <v>63367</v>
      </c>
      <c r="B41679" t="s">
        <v>552</v>
      </c>
      <c r="C41679" t="s">
        <v>68</v>
      </c>
      <c r="D41679" t="s">
        <v>14</v>
      </c>
      <c r="E41679" t="s">
        <v>2091</v>
      </c>
      <c r="F41679" s="2" t="str">
        <f>HYPERLINK("http://www.otzar.org/book.asp?153014","שירת יונה")</f>
        <v>שירת יונה</v>
      </c>
    </row>
    <row r="41680" spans="1:6" x14ac:dyDescent="0.2">
      <c r="A41680" t="s">
        <v>63368</v>
      </c>
      <c r="B41680" t="s">
        <v>59200</v>
      </c>
      <c r="C41680" t="s">
        <v>23</v>
      </c>
      <c r="D41680" t="s">
        <v>21</v>
      </c>
      <c r="F41680" s="2" t="str">
        <f>HYPERLINK("http://www.otzar.org/book.asp?194529","שירת יעקב - פיוטים וסליחות נוסח אשכנז ואלזס")</f>
        <v>שירת יעקב - פיוטים וסליחות נוסח אשכנז ואלזס</v>
      </c>
    </row>
    <row r="41681" spans="1:6" x14ac:dyDescent="0.2">
      <c r="A41681" t="s">
        <v>63369</v>
      </c>
      <c r="B41681" t="s">
        <v>26953</v>
      </c>
      <c r="C41681" t="s">
        <v>51</v>
      </c>
      <c r="D41681" t="s">
        <v>14</v>
      </c>
      <c r="E41681" t="s">
        <v>144</v>
      </c>
      <c r="F41681" s="2" t="str">
        <f>HYPERLINK("http://www.otzar.org/book.asp?158619","שירת יצחק")</f>
        <v>שירת יצחק</v>
      </c>
    </row>
    <row r="41682" spans="1:6" x14ac:dyDescent="0.2">
      <c r="A41682" t="s">
        <v>63370</v>
      </c>
      <c r="B41682" t="s">
        <v>45525</v>
      </c>
      <c r="C41682" t="s">
        <v>940</v>
      </c>
      <c r="D41682" t="s">
        <v>45526</v>
      </c>
      <c r="F41682" s="2" t="str">
        <f>HYPERLINK("http://www.otzar.org/book.asp?623103","שירת ישראל באי כרתים")</f>
        <v>שירת ישראל באי כרתים</v>
      </c>
    </row>
    <row r="41683" spans="1:6" x14ac:dyDescent="0.2">
      <c r="A41683" t="s">
        <v>63371</v>
      </c>
      <c r="B41683" t="s">
        <v>63372</v>
      </c>
      <c r="C41683" t="s">
        <v>466</v>
      </c>
      <c r="D41683" t="s">
        <v>5421</v>
      </c>
      <c r="E41683" t="s">
        <v>1626</v>
      </c>
      <c r="F41683" s="2" t="str">
        <f>HYPERLINK("http://www.otzar.org/book.asp?64141","שירת ישראל בתימן - 2 כר'")</f>
        <v>שירת ישראל בתימן - 2 כר'</v>
      </c>
    </row>
    <row r="41684" spans="1:6" x14ac:dyDescent="0.2">
      <c r="A41684" t="s">
        <v>63373</v>
      </c>
      <c r="B41684" t="s">
        <v>47229</v>
      </c>
      <c r="C41684" t="s">
        <v>581</v>
      </c>
      <c r="D41684" t="s">
        <v>1037</v>
      </c>
      <c r="E41684" t="s">
        <v>104</v>
      </c>
      <c r="F41684" s="2" t="str">
        <f>HYPERLINK("http://www.otzar.org/book.asp?10","שירת ישראל - 2 כר'")</f>
        <v>שירת ישראל - 2 כר'</v>
      </c>
    </row>
    <row r="41685" spans="1:6" x14ac:dyDescent="0.2">
      <c r="A41685" t="s">
        <v>63374</v>
      </c>
      <c r="B41685" t="s">
        <v>16538</v>
      </c>
      <c r="C41685" t="s">
        <v>146</v>
      </c>
      <c r="D41685" t="s">
        <v>52</v>
      </c>
      <c r="E41685" t="s">
        <v>144</v>
      </c>
      <c r="F41685" s="2" t="str">
        <f>HYPERLINK("http://www.otzar.org/book.asp?142422","שירת ישראל")</f>
        <v>שירת ישראל</v>
      </c>
    </row>
    <row r="41686" spans="1:6" x14ac:dyDescent="0.2">
      <c r="A41686" t="s">
        <v>63374</v>
      </c>
      <c r="B41686" t="s">
        <v>39816</v>
      </c>
      <c r="C41686" t="s">
        <v>748</v>
      </c>
      <c r="D41686" t="s">
        <v>27</v>
      </c>
      <c r="E41686" t="s">
        <v>158</v>
      </c>
      <c r="F41686" s="2" t="str">
        <f>HYPERLINK("http://www.otzar.org/book.asp?21408","שירת ישראל")</f>
        <v>שירת ישראל</v>
      </c>
    </row>
    <row r="41687" spans="1:6" x14ac:dyDescent="0.2">
      <c r="A41687" t="s">
        <v>63373</v>
      </c>
      <c r="B41687" t="s">
        <v>63375</v>
      </c>
      <c r="C41687" t="s">
        <v>133</v>
      </c>
      <c r="D41687" t="s">
        <v>14</v>
      </c>
      <c r="E41687" t="s">
        <v>219</v>
      </c>
      <c r="F41687" s="2" t="str">
        <f>HYPERLINK("http://www.otzar.org/book.asp?172522","שירת ישראל - 2 כר'")</f>
        <v>שירת ישראל - 2 כר'</v>
      </c>
    </row>
    <row r="41688" spans="1:6" x14ac:dyDescent="0.2">
      <c r="A41688" t="s">
        <v>63376</v>
      </c>
      <c r="B41688" t="s">
        <v>2919</v>
      </c>
      <c r="C41688" t="s">
        <v>20</v>
      </c>
      <c r="D41688" t="s">
        <v>90</v>
      </c>
      <c r="E41688" t="s">
        <v>104</v>
      </c>
      <c r="F41688" s="2" t="str">
        <f>HYPERLINK("http://www.otzar.org/book.asp?627649","שירת מרים")</f>
        <v>שירת מרים</v>
      </c>
    </row>
    <row r="41689" spans="1:6" x14ac:dyDescent="0.2">
      <c r="A41689" t="s">
        <v>63377</v>
      </c>
      <c r="B41689" t="s">
        <v>3299</v>
      </c>
      <c r="C41689" t="s">
        <v>356</v>
      </c>
      <c r="D41689" t="s">
        <v>52</v>
      </c>
      <c r="E41689" t="s">
        <v>219</v>
      </c>
      <c r="F41689" s="2" t="str">
        <f>HYPERLINK("http://www.otzar.org/book.asp?143635","שירת משה השלם")</f>
        <v>שירת משה השלם</v>
      </c>
    </row>
    <row r="41690" spans="1:6" x14ac:dyDescent="0.2">
      <c r="A41690" t="s">
        <v>63378</v>
      </c>
      <c r="B41690" t="s">
        <v>41966</v>
      </c>
      <c r="C41690" t="s">
        <v>624</v>
      </c>
      <c r="D41690" t="s">
        <v>52</v>
      </c>
      <c r="E41690" t="s">
        <v>104</v>
      </c>
      <c r="F41690" s="2" t="str">
        <f>HYPERLINK("http://www.otzar.org/book.asp?156866","שירת משה - 2 כר'")</f>
        <v>שירת משה - 2 כר'</v>
      </c>
    </row>
    <row r="41691" spans="1:6" x14ac:dyDescent="0.2">
      <c r="A41691" t="s">
        <v>63379</v>
      </c>
      <c r="B41691" t="s">
        <v>63380</v>
      </c>
      <c r="C41691" t="s">
        <v>63381</v>
      </c>
      <c r="D41691" t="s">
        <v>45743</v>
      </c>
      <c r="F41691" s="2" t="str">
        <f>HYPERLINK("http://www.otzar.org/book.asp?620553","שירת משה")</f>
        <v>שירת משה</v>
      </c>
    </row>
    <row r="41692" spans="1:6" x14ac:dyDescent="0.2">
      <c r="A41692" t="s">
        <v>63378</v>
      </c>
      <c r="B41692" t="s">
        <v>3299</v>
      </c>
      <c r="C41692" t="s">
        <v>1278</v>
      </c>
      <c r="D41692" t="s">
        <v>6785</v>
      </c>
      <c r="E41692" t="s">
        <v>219</v>
      </c>
      <c r="F41692" s="2" t="str">
        <f>HYPERLINK("http://www.otzar.org/book.asp?100770","שירת משה - 2 כר'")</f>
        <v>שירת משה - 2 כר'</v>
      </c>
    </row>
    <row r="41693" spans="1:6" x14ac:dyDescent="0.2">
      <c r="A41693" t="s">
        <v>63379</v>
      </c>
      <c r="B41693" t="s">
        <v>1005</v>
      </c>
      <c r="C41693" t="s">
        <v>13</v>
      </c>
      <c r="D41693" t="s">
        <v>14</v>
      </c>
      <c r="E41693" t="s">
        <v>202</v>
      </c>
      <c r="F41693" s="2" t="str">
        <f>HYPERLINK("http://www.otzar.org/book.asp?160918","שירת משה")</f>
        <v>שירת משה</v>
      </c>
    </row>
    <row r="41694" spans="1:6" x14ac:dyDescent="0.2">
      <c r="A41694" t="s">
        <v>63382</v>
      </c>
      <c r="B41694" t="s">
        <v>25643</v>
      </c>
      <c r="C41694" t="s">
        <v>20</v>
      </c>
      <c r="D41694" t="s">
        <v>1076</v>
      </c>
      <c r="E41694" t="s">
        <v>43</v>
      </c>
      <c r="F41694" s="2" t="str">
        <f>HYPERLINK("http://www.otzar.org/book.asp?600059","שירת משולם")</f>
        <v>שירת משולם</v>
      </c>
    </row>
    <row r="41695" spans="1:6" x14ac:dyDescent="0.2">
      <c r="A41695" t="s">
        <v>63383</v>
      </c>
      <c r="B41695" t="s">
        <v>63384</v>
      </c>
      <c r="C41695" t="s">
        <v>68</v>
      </c>
      <c r="D41695" t="s">
        <v>412</v>
      </c>
      <c r="E41695" t="s">
        <v>84</v>
      </c>
      <c r="F41695" s="2" t="str">
        <f>HYPERLINK("http://www.otzar.org/book.asp?156599","שירת נתן - 2 כר'")</f>
        <v>שירת נתן - 2 כר'</v>
      </c>
    </row>
    <row r="41696" spans="1:6" x14ac:dyDescent="0.2">
      <c r="A41696" t="s">
        <v>63383</v>
      </c>
      <c r="B41696" t="s">
        <v>56295</v>
      </c>
      <c r="C41696" t="s">
        <v>244</v>
      </c>
      <c r="D41696" t="s">
        <v>21</v>
      </c>
      <c r="E41696" t="s">
        <v>58532</v>
      </c>
      <c r="F41696" s="2" t="str">
        <f>HYPERLINK("http://www.otzar.org/book.asp?600229","שירת נתן - 2 כר'")</f>
        <v>שירת נתן - 2 כר'</v>
      </c>
    </row>
    <row r="41697" spans="1:6" x14ac:dyDescent="0.2">
      <c r="A41697" t="s">
        <v>63385</v>
      </c>
      <c r="B41697" t="s">
        <v>12568</v>
      </c>
      <c r="C41697" t="s">
        <v>133</v>
      </c>
      <c r="D41697" t="s">
        <v>21</v>
      </c>
      <c r="E41697" t="s">
        <v>104</v>
      </c>
      <c r="F41697" s="2" t="str">
        <f>HYPERLINK("http://www.otzar.org/book.asp?199356","שירת עדרי רחלים")</f>
        <v>שירת עדרי רחלים</v>
      </c>
    </row>
    <row r="41698" spans="1:6" x14ac:dyDescent="0.2">
      <c r="A41698" t="s">
        <v>63386</v>
      </c>
      <c r="B41698" t="s">
        <v>4294</v>
      </c>
      <c r="C41698" t="s">
        <v>366</v>
      </c>
      <c r="D41698" t="s">
        <v>14</v>
      </c>
      <c r="E41698" t="s">
        <v>104</v>
      </c>
      <c r="F41698" s="2" t="str">
        <f>HYPERLINK("http://www.otzar.org/book.asp?605683","שירת ציון - שירת הלוים")</f>
        <v>שירת ציון - שירת הלוים</v>
      </c>
    </row>
    <row r="41699" spans="1:6" x14ac:dyDescent="0.2">
      <c r="A41699" t="s">
        <v>63387</v>
      </c>
      <c r="B41699" t="s">
        <v>63388</v>
      </c>
      <c r="C41699" t="s">
        <v>411</v>
      </c>
      <c r="D41699" t="s">
        <v>14</v>
      </c>
      <c r="E41699" t="s">
        <v>104</v>
      </c>
      <c r="F41699" s="2" t="str">
        <f>HYPERLINK("http://www.otzar.org/book.asp?174022","שירת רבינו תם")</f>
        <v>שירת רבינו תם</v>
      </c>
    </row>
    <row r="41700" spans="1:6" x14ac:dyDescent="0.2">
      <c r="A41700" t="s">
        <v>63389</v>
      </c>
      <c r="B41700" t="s">
        <v>63390</v>
      </c>
      <c r="C41700" t="s">
        <v>114</v>
      </c>
      <c r="D41700" t="s">
        <v>14</v>
      </c>
      <c r="E41700" t="s">
        <v>144</v>
      </c>
      <c r="F41700" s="2" t="str">
        <f>HYPERLINK("http://www.otzar.org/book.asp?166913","שירת שלום")</f>
        <v>שירת שלום</v>
      </c>
    </row>
    <row r="41701" spans="1:6" x14ac:dyDescent="0.2">
      <c r="A41701" t="s">
        <v>63391</v>
      </c>
      <c r="B41701" t="s">
        <v>63392</v>
      </c>
      <c r="C41701" t="s">
        <v>422</v>
      </c>
      <c r="D41701" t="s">
        <v>14</v>
      </c>
      <c r="E41701" t="s">
        <v>246</v>
      </c>
      <c r="F41701" s="2" t="str">
        <f>HYPERLINK("http://www.otzar.org/book.asp?158490","שירת שלמה")</f>
        <v>שירת שלמה</v>
      </c>
    </row>
    <row r="41702" spans="1:6" x14ac:dyDescent="0.2">
      <c r="A41702" t="s">
        <v>63391</v>
      </c>
      <c r="B41702" t="s">
        <v>63393</v>
      </c>
      <c r="C41702" t="s">
        <v>129</v>
      </c>
      <c r="D41702" t="s">
        <v>52</v>
      </c>
      <c r="E41702" t="s">
        <v>15</v>
      </c>
      <c r="F41702" s="2" t="str">
        <f>HYPERLINK("http://www.otzar.org/book.asp?61455","שירת שלמה")</f>
        <v>שירת שלמה</v>
      </c>
    </row>
    <row r="41703" spans="1:6" x14ac:dyDescent="0.2">
      <c r="A41703" t="s">
        <v>63394</v>
      </c>
      <c r="B41703" t="s">
        <v>63395</v>
      </c>
      <c r="C41703" t="s">
        <v>454</v>
      </c>
      <c r="D41703" t="s">
        <v>52</v>
      </c>
      <c r="E41703" t="s">
        <v>15</v>
      </c>
      <c r="F41703" s="2" t="str">
        <f>HYPERLINK("http://www.otzar.org/book.asp?149718","שירת שמואל")</f>
        <v>שירת שמואל</v>
      </c>
    </row>
    <row r="41704" spans="1:6" x14ac:dyDescent="0.2">
      <c r="A41704" t="s">
        <v>63394</v>
      </c>
      <c r="B41704" t="s">
        <v>552</v>
      </c>
      <c r="C41704" t="s">
        <v>20</v>
      </c>
      <c r="D41704" t="s">
        <v>14</v>
      </c>
      <c r="E41704" t="s">
        <v>202</v>
      </c>
      <c r="F41704" s="2" t="str">
        <f>HYPERLINK("http://www.otzar.org/book.asp?143666","שירת שמואל")</f>
        <v>שירת שמואל</v>
      </c>
    </row>
    <row r="41705" spans="1:6" x14ac:dyDescent="0.2">
      <c r="A41705" t="s">
        <v>63394</v>
      </c>
      <c r="B41705" t="s">
        <v>63396</v>
      </c>
      <c r="C41705" t="s">
        <v>133</v>
      </c>
      <c r="D41705" t="s">
        <v>147</v>
      </c>
      <c r="E41705" t="s">
        <v>158</v>
      </c>
      <c r="F41705" s="2" t="str">
        <f>HYPERLINK("http://www.otzar.org/book.asp?170035","שירת שמואל")</f>
        <v>שירת שמואל</v>
      </c>
    </row>
    <row r="41706" spans="1:6" x14ac:dyDescent="0.2">
      <c r="A41706" t="s">
        <v>63397</v>
      </c>
      <c r="B41706" t="s">
        <v>552</v>
      </c>
      <c r="C41706" t="s">
        <v>13</v>
      </c>
      <c r="D41706" t="s">
        <v>16149</v>
      </c>
      <c r="F41706" s="2" t="str">
        <f>HYPERLINK("http://www.otzar.org/book.asp?163785","שירתא דפסחא")</f>
        <v>שירתא דפסחא</v>
      </c>
    </row>
    <row r="41707" spans="1:6" x14ac:dyDescent="0.2">
      <c r="A41707" t="s">
        <v>63398</v>
      </c>
      <c r="B41707" t="s">
        <v>63399</v>
      </c>
      <c r="C41707" t="s">
        <v>1208</v>
      </c>
      <c r="D41707" t="s">
        <v>412</v>
      </c>
      <c r="E41707" t="s">
        <v>674</v>
      </c>
      <c r="F41707" s="2" t="str">
        <f>HYPERLINK("http://www.otzar.org/book.asp?180710","שישו ושמחו - שמחת חתן")</f>
        <v>שישו ושמחו - שמחת חתן</v>
      </c>
    </row>
    <row r="41708" spans="1:6" x14ac:dyDescent="0.2">
      <c r="A41708" t="s">
        <v>63400</v>
      </c>
      <c r="B41708" t="s">
        <v>63401</v>
      </c>
      <c r="C41708" t="s">
        <v>20</v>
      </c>
      <c r="D41708" t="s">
        <v>90</v>
      </c>
      <c r="F41708" s="2" t="str">
        <f>HYPERLINK("http://www.otzar.org/book.asp?619790","שכ""ם אחד - תולדות רבי משה סופר")</f>
        <v>שכ"ם אחד - תולדות רבי משה סופר</v>
      </c>
    </row>
    <row r="41709" spans="1:6" x14ac:dyDescent="0.2">
      <c r="A41709" t="s">
        <v>63402</v>
      </c>
      <c r="B41709" t="s">
        <v>59788</v>
      </c>
      <c r="C41709" t="s">
        <v>129</v>
      </c>
      <c r="D41709" t="s">
        <v>486</v>
      </c>
      <c r="E41709" t="s">
        <v>15</v>
      </c>
      <c r="F41709" s="2" t="str">
        <f>HYPERLINK("http://www.otzar.org/book.asp?142132","שכב כארי")</f>
        <v>שכב כארי</v>
      </c>
    </row>
    <row r="41710" spans="1:6" x14ac:dyDescent="0.2">
      <c r="A41710" t="s">
        <v>63403</v>
      </c>
      <c r="B41710" t="s">
        <v>7046</v>
      </c>
      <c r="C41710" t="s">
        <v>1208</v>
      </c>
      <c r="D41710" t="s">
        <v>14</v>
      </c>
      <c r="E41710" t="s">
        <v>104</v>
      </c>
      <c r="F41710" s="2" t="str">
        <f>HYPERLINK("http://www.otzar.org/book.asp?155250","שכונות בירושלים - 2 כר'")</f>
        <v>שכונות בירושלים - 2 כר'</v>
      </c>
    </row>
    <row r="41711" spans="1:6" x14ac:dyDescent="0.2">
      <c r="A41711" t="s">
        <v>63404</v>
      </c>
      <c r="B41711" t="s">
        <v>107</v>
      </c>
      <c r="C41711" t="s">
        <v>624</v>
      </c>
      <c r="D41711" t="s">
        <v>14</v>
      </c>
      <c r="E41711" t="s">
        <v>104</v>
      </c>
      <c r="F41711" s="2" t="str">
        <f>HYPERLINK("http://www.otzar.org/book.asp?84029","שכונת הר חומה בירושלים")</f>
        <v>שכונת הר חומה בירושלים</v>
      </c>
    </row>
    <row r="41712" spans="1:6" x14ac:dyDescent="0.2">
      <c r="A41712" t="s">
        <v>63405</v>
      </c>
      <c r="B41712" t="s">
        <v>34936</v>
      </c>
      <c r="C41712" t="s">
        <v>422</v>
      </c>
      <c r="D41712" t="s">
        <v>14</v>
      </c>
      <c r="E41712" t="s">
        <v>1164</v>
      </c>
      <c r="F41712" s="2" t="str">
        <f>HYPERLINK("http://www.otzar.org/book.asp?161349","שכונת רמות ותחומה")</f>
        <v>שכונת רמות ותחומה</v>
      </c>
    </row>
    <row r="41713" spans="1:6" x14ac:dyDescent="0.2">
      <c r="A41713" t="s">
        <v>63406</v>
      </c>
      <c r="B41713" t="s">
        <v>63407</v>
      </c>
      <c r="C41713" t="s">
        <v>5151</v>
      </c>
      <c r="D41713" t="s">
        <v>1023</v>
      </c>
      <c r="E41713" t="s">
        <v>399</v>
      </c>
      <c r="F41713" s="2" t="str">
        <f>HYPERLINK("http://www.otzar.org/book.asp?25521","שכחת לקט - 3 כר'")</f>
        <v>שכחת לקט - 3 כר'</v>
      </c>
    </row>
    <row r="41714" spans="1:6" x14ac:dyDescent="0.2">
      <c r="A41714" t="s">
        <v>63408</v>
      </c>
      <c r="B41714" t="s">
        <v>63409</v>
      </c>
      <c r="C41714" t="s">
        <v>562</v>
      </c>
      <c r="D41714" t="s">
        <v>49</v>
      </c>
      <c r="E41714" t="s">
        <v>30570</v>
      </c>
      <c r="F41714" s="2" t="str">
        <f>HYPERLINK("http://www.otzar.org/book.asp?105889","שכיות החמדה")</f>
        <v>שכיות החמדה</v>
      </c>
    </row>
    <row r="41715" spans="1:6" x14ac:dyDescent="0.2">
      <c r="A41715" t="s">
        <v>63408</v>
      </c>
      <c r="B41715" t="s">
        <v>63410</v>
      </c>
      <c r="C41715" t="s">
        <v>250</v>
      </c>
      <c r="D41715" t="s">
        <v>76</v>
      </c>
      <c r="E41715" t="s">
        <v>4731</v>
      </c>
      <c r="F41715" s="2" t="str">
        <f>HYPERLINK("http://www.otzar.org/book.asp?166799","שכיות החמדה")</f>
        <v>שכיות החמדה</v>
      </c>
    </row>
    <row r="41716" spans="1:6" x14ac:dyDescent="0.2">
      <c r="A41716" t="s">
        <v>63408</v>
      </c>
      <c r="B41716" t="s">
        <v>63411</v>
      </c>
      <c r="C41716" t="s">
        <v>1721</v>
      </c>
      <c r="D41716" t="s">
        <v>23185</v>
      </c>
      <c r="E41716" t="s">
        <v>30570</v>
      </c>
      <c r="F41716" s="2" t="str">
        <f>HYPERLINK("http://www.otzar.org/book.asp?5047","שכיות החמדה")</f>
        <v>שכיות החמדה</v>
      </c>
    </row>
    <row r="41717" spans="1:6" x14ac:dyDescent="0.2">
      <c r="A41717" t="s">
        <v>63412</v>
      </c>
      <c r="B41717" t="s">
        <v>18542</v>
      </c>
      <c r="C41717" t="s">
        <v>20</v>
      </c>
      <c r="D41717" t="s">
        <v>18543</v>
      </c>
      <c r="F41717" s="2" t="str">
        <f>HYPERLINK("http://www.otzar.org/book.asp?169479","שכינה בינהם")</f>
        <v>שכינה בינהם</v>
      </c>
    </row>
    <row r="41718" spans="1:6" x14ac:dyDescent="0.2">
      <c r="A41718" t="s">
        <v>63412</v>
      </c>
      <c r="B41718" t="s">
        <v>13393</v>
      </c>
      <c r="C41718" t="s">
        <v>20</v>
      </c>
      <c r="D41718" t="s">
        <v>90</v>
      </c>
      <c r="F41718" s="2" t="str">
        <f>HYPERLINK("http://www.otzar.org/book.asp?622054","שכינה בינהם")</f>
        <v>שכינה בינהם</v>
      </c>
    </row>
    <row r="41719" spans="1:6" x14ac:dyDescent="0.2">
      <c r="A41719" t="s">
        <v>63413</v>
      </c>
      <c r="B41719" t="s">
        <v>1728</v>
      </c>
      <c r="C41719" t="s">
        <v>189</v>
      </c>
      <c r="D41719" t="s">
        <v>273</v>
      </c>
      <c r="E41719" t="s">
        <v>741</v>
      </c>
      <c r="F41719" s="2" t="str">
        <f>HYPERLINK("http://www.otzar.org/book.asp?628573","שכינה ביניהם")</f>
        <v>שכינה ביניהם</v>
      </c>
    </row>
    <row r="41720" spans="1:6" x14ac:dyDescent="0.2">
      <c r="A41720" t="s">
        <v>63414</v>
      </c>
      <c r="B41720" t="s">
        <v>63415</v>
      </c>
      <c r="C41720" t="s">
        <v>133</v>
      </c>
      <c r="E41720" t="s">
        <v>104</v>
      </c>
      <c r="F41720" s="2" t="str">
        <f>HYPERLINK("http://www.otzar.org/book.asp?197875","שכינה ביניהם - 2 כר'")</f>
        <v>שכינה ביניהם - 2 כר'</v>
      </c>
    </row>
    <row r="41721" spans="1:6" x14ac:dyDescent="0.2">
      <c r="A41721" t="s">
        <v>63416</v>
      </c>
      <c r="B41721" t="s">
        <v>52594</v>
      </c>
      <c r="C41721" t="s">
        <v>20</v>
      </c>
      <c r="D41721" t="s">
        <v>240</v>
      </c>
      <c r="F41721" s="2" t="str">
        <f>HYPERLINK("http://www.otzar.org/book.asp?604612","שכל טוב &lt;המבואר&gt; - 2 כר'")</f>
        <v>שכל טוב &lt;המבואר&gt; - 2 כר'</v>
      </c>
    </row>
    <row r="41722" spans="1:6" x14ac:dyDescent="0.2">
      <c r="A41722" t="s">
        <v>63417</v>
      </c>
      <c r="B41722" t="s">
        <v>52594</v>
      </c>
      <c r="C41722" t="s">
        <v>71</v>
      </c>
      <c r="D41722" t="s">
        <v>14</v>
      </c>
      <c r="E41722" t="s">
        <v>474</v>
      </c>
      <c r="F41722" s="2" t="str">
        <f>HYPERLINK("http://www.otzar.org/book.asp?165324","שכל טוב &lt;מהדורה חדשה&gt;")</f>
        <v>שכל טוב &lt;מהדורה חדשה&gt;</v>
      </c>
    </row>
    <row r="41723" spans="1:6" x14ac:dyDescent="0.2">
      <c r="A41723" t="s">
        <v>63418</v>
      </c>
      <c r="B41723" t="s">
        <v>63419</v>
      </c>
      <c r="C41723" t="s">
        <v>383</v>
      </c>
      <c r="D41723" t="s">
        <v>412</v>
      </c>
      <c r="E41723" t="s">
        <v>15</v>
      </c>
      <c r="F41723" s="2" t="str">
        <f>HYPERLINK("http://www.otzar.org/book.asp?61546","שכל טוב &lt;הלכה&gt;")</f>
        <v>שכל טוב &lt;הלכה&gt;</v>
      </c>
    </row>
    <row r="41724" spans="1:6" x14ac:dyDescent="0.2">
      <c r="A41724" t="s">
        <v>63420</v>
      </c>
      <c r="B41724" t="s">
        <v>52594</v>
      </c>
      <c r="C41724" t="s">
        <v>1202</v>
      </c>
      <c r="D41724" t="s">
        <v>27</v>
      </c>
      <c r="F41724" s="2" t="str">
        <f>HYPERLINK("http://www.otzar.org/book.asp?149648","שכל טוב")</f>
        <v>שכל טוב</v>
      </c>
    </row>
    <row r="41725" spans="1:6" x14ac:dyDescent="0.2">
      <c r="A41725" t="s">
        <v>63420</v>
      </c>
      <c r="B41725" t="s">
        <v>686</v>
      </c>
      <c r="C41725" t="s">
        <v>366</v>
      </c>
      <c r="D41725" t="s">
        <v>80</v>
      </c>
      <c r="E41725" t="s">
        <v>158</v>
      </c>
      <c r="F41725" s="2" t="str">
        <f>HYPERLINK("http://www.otzar.org/book.asp?606750","שכל טוב")</f>
        <v>שכל טוב</v>
      </c>
    </row>
    <row r="41726" spans="1:6" x14ac:dyDescent="0.2">
      <c r="A41726" t="s">
        <v>63420</v>
      </c>
      <c r="B41726" t="s">
        <v>12507</v>
      </c>
      <c r="C41726" t="s">
        <v>946</v>
      </c>
      <c r="D41726" t="s">
        <v>986</v>
      </c>
      <c r="E41726" t="s">
        <v>14892</v>
      </c>
      <c r="F41726" s="2" t="str">
        <f>HYPERLINK("http://www.otzar.org/book.asp?106603","שכל טוב")</f>
        <v>שכל טוב</v>
      </c>
    </row>
    <row r="41727" spans="1:6" x14ac:dyDescent="0.2">
      <c r="A41727" t="s">
        <v>63421</v>
      </c>
      <c r="B41727" t="s">
        <v>50107</v>
      </c>
      <c r="C41727" t="s">
        <v>1811</v>
      </c>
      <c r="D41727" t="s">
        <v>52</v>
      </c>
      <c r="F41727" s="2" t="str">
        <f>HYPERLINK("http://www.otzar.org/book.asp?600905","שכל טוב - 2 כר'")</f>
        <v>שכל טוב - 2 כר'</v>
      </c>
    </row>
    <row r="41728" spans="1:6" x14ac:dyDescent="0.2">
      <c r="A41728" t="s">
        <v>63421</v>
      </c>
      <c r="B41728" t="s">
        <v>63419</v>
      </c>
      <c r="C41728" t="s">
        <v>29573</v>
      </c>
      <c r="D41728" t="s">
        <v>280</v>
      </c>
      <c r="E41728" t="s">
        <v>4940</v>
      </c>
      <c r="F41728" s="2" t="str">
        <f>HYPERLINK("http://www.otzar.org/book.asp?7727","שכל טוב - 2 כר'")</f>
        <v>שכל טוב - 2 כר'</v>
      </c>
    </row>
    <row r="41729" spans="1:6" x14ac:dyDescent="0.2">
      <c r="A41729" t="s">
        <v>63420</v>
      </c>
      <c r="B41729" t="s">
        <v>63422</v>
      </c>
      <c r="C41729" t="s">
        <v>2236</v>
      </c>
      <c r="D41729" t="s">
        <v>60</v>
      </c>
      <c r="E41729" t="s">
        <v>230</v>
      </c>
      <c r="F41729" s="2" t="str">
        <f>HYPERLINK("http://www.otzar.org/book.asp?151668","שכל טוב")</f>
        <v>שכל טוב</v>
      </c>
    </row>
    <row r="41730" spans="1:6" x14ac:dyDescent="0.2">
      <c r="A41730" t="s">
        <v>63420</v>
      </c>
      <c r="B41730" t="s">
        <v>3172</v>
      </c>
      <c r="C41730" t="s">
        <v>87</v>
      </c>
      <c r="D41730" t="s">
        <v>52</v>
      </c>
      <c r="E41730" t="s">
        <v>15</v>
      </c>
      <c r="F41730" s="2" t="str">
        <f>HYPERLINK("http://www.otzar.org/book.asp?602742","שכל טוב")</f>
        <v>שכל טוב</v>
      </c>
    </row>
    <row r="41731" spans="1:6" x14ac:dyDescent="0.2">
      <c r="A41731" t="s">
        <v>63423</v>
      </c>
      <c r="B41731" t="s">
        <v>206</v>
      </c>
      <c r="C41731" t="s">
        <v>17</v>
      </c>
      <c r="D41731" t="s">
        <v>90</v>
      </c>
      <c r="E41731" t="s">
        <v>158</v>
      </c>
      <c r="F41731" s="2" t="str">
        <f>HYPERLINK("http://www.otzar.org/book.asp?63218","שכר ועונש - 6 כר'")</f>
        <v>שכר ועונש - 6 כר'</v>
      </c>
    </row>
    <row r="41732" spans="1:6" x14ac:dyDescent="0.2">
      <c r="A41732" t="s">
        <v>63424</v>
      </c>
      <c r="B41732" t="s">
        <v>63425</v>
      </c>
      <c r="C41732" t="s">
        <v>23</v>
      </c>
      <c r="D41732" t="s">
        <v>52</v>
      </c>
      <c r="E41732" t="s">
        <v>241</v>
      </c>
      <c r="F41732" s="2" t="str">
        <f>HYPERLINK("http://www.otzar.org/book.asp?627206","שכר ועונש")</f>
        <v>שכר ועונש</v>
      </c>
    </row>
    <row r="41733" spans="1:6" x14ac:dyDescent="0.2">
      <c r="A41733" t="s">
        <v>63426</v>
      </c>
      <c r="B41733" t="s">
        <v>50287</v>
      </c>
      <c r="C41733" t="s">
        <v>313</v>
      </c>
      <c r="D41733" t="s">
        <v>412</v>
      </c>
      <c r="E41733" t="s">
        <v>104</v>
      </c>
      <c r="F41733" s="2" t="str">
        <f>HYPERLINK("http://www.otzar.org/book.asp?163347","שכר מצוה")</f>
        <v>שכר מצוה</v>
      </c>
    </row>
    <row r="41734" spans="1:6" x14ac:dyDescent="0.2">
      <c r="A41734" t="s">
        <v>63427</v>
      </c>
      <c r="B41734" t="s">
        <v>107</v>
      </c>
      <c r="C41734" t="s">
        <v>17</v>
      </c>
      <c r="D41734" t="s">
        <v>14</v>
      </c>
      <c r="E41734" t="s">
        <v>714</v>
      </c>
      <c r="F41734" s="2" t="str">
        <f>HYPERLINK("http://www.otzar.org/book.asp?6357","שכר מצווה מצווה - טעמי המצוות")</f>
        <v>שכר מצווה מצווה - טעמי המצוות</v>
      </c>
    </row>
    <row r="41735" spans="1:6" x14ac:dyDescent="0.2">
      <c r="A41735" t="s">
        <v>63428</v>
      </c>
      <c r="B41735" t="s">
        <v>63429</v>
      </c>
      <c r="C41735" t="s">
        <v>383</v>
      </c>
      <c r="D41735" t="s">
        <v>2375</v>
      </c>
      <c r="E41735" t="s">
        <v>144</v>
      </c>
      <c r="F41735" s="2" t="str">
        <f>HYPERLINK("http://www.otzar.org/book.asp?62660","שכר שכיר - 6 כר'")</f>
        <v>שכר שכיר - 6 כר'</v>
      </c>
    </row>
    <row r="41736" spans="1:6" x14ac:dyDescent="0.2">
      <c r="A41736" t="s">
        <v>63430</v>
      </c>
      <c r="B41736" t="s">
        <v>5797</v>
      </c>
      <c r="C41736" t="s">
        <v>103</v>
      </c>
      <c r="D41736" t="s">
        <v>5798</v>
      </c>
      <c r="E41736" t="s">
        <v>15</v>
      </c>
      <c r="F41736" s="2" t="str">
        <f>HYPERLINK("http://www.otzar.org/book.asp?25648","שכרו אתו")</f>
        <v>שכרו אתו</v>
      </c>
    </row>
    <row r="41737" spans="1:6" x14ac:dyDescent="0.2">
      <c r="A41737" t="s">
        <v>63431</v>
      </c>
      <c r="B41737" t="s">
        <v>7077</v>
      </c>
      <c r="C41737" t="s">
        <v>411</v>
      </c>
      <c r="D41737" t="s">
        <v>21</v>
      </c>
      <c r="F41737" s="2" t="str">
        <f>HYPERLINK("http://www.otzar.org/book.asp?622755","שלבים בהקניית הקריאה")</f>
        <v>שלבים בהקניית הקריאה</v>
      </c>
    </row>
    <row r="41738" spans="1:6" x14ac:dyDescent="0.2">
      <c r="A41738" t="s">
        <v>63432</v>
      </c>
      <c r="B41738" t="s">
        <v>63433</v>
      </c>
      <c r="C41738" t="s">
        <v>114</v>
      </c>
      <c r="D41738" t="s">
        <v>14</v>
      </c>
      <c r="F41738" s="2" t="str">
        <f>HYPERLINK("http://www.otzar.org/book.asp?612276","שלהבת אש")</f>
        <v>שלהבת אש</v>
      </c>
    </row>
    <row r="41739" spans="1:6" x14ac:dyDescent="0.2">
      <c r="A41739" t="s">
        <v>63432</v>
      </c>
      <c r="B41739" t="s">
        <v>3292</v>
      </c>
      <c r="C41739" t="s">
        <v>8</v>
      </c>
      <c r="D41739" t="s">
        <v>3293</v>
      </c>
      <c r="E41739" t="s">
        <v>234</v>
      </c>
      <c r="F41739" s="2" t="str">
        <f>HYPERLINK("http://www.otzar.org/book.asp?51829","שלהבת אש")</f>
        <v>שלהבת אש</v>
      </c>
    </row>
    <row r="41740" spans="1:6" x14ac:dyDescent="0.2">
      <c r="A41740" t="s">
        <v>63434</v>
      </c>
      <c r="B41740" t="s">
        <v>7982</v>
      </c>
      <c r="C41740" t="s">
        <v>133</v>
      </c>
      <c r="D41740" t="s">
        <v>21</v>
      </c>
      <c r="F41740" s="2" t="str">
        <f>HYPERLINK("http://www.otzar.org/book.asp?610099","שלהבת יוסף חי")</f>
        <v>שלהבת יוסף חי</v>
      </c>
    </row>
    <row r="41741" spans="1:6" x14ac:dyDescent="0.2">
      <c r="A41741" t="s">
        <v>63435</v>
      </c>
      <c r="B41741" t="s">
        <v>63436</v>
      </c>
      <c r="C41741" t="s">
        <v>151</v>
      </c>
      <c r="D41741" t="s">
        <v>14</v>
      </c>
      <c r="E41741" t="s">
        <v>2418</v>
      </c>
      <c r="F41741" s="2" t="str">
        <f>HYPERLINK("http://www.otzar.org/book.asp?623200","שלהבת קודש - 2 כר'")</f>
        <v>שלהבת קודש - 2 כר'</v>
      </c>
    </row>
    <row r="41742" spans="1:6" x14ac:dyDescent="0.2">
      <c r="A41742" t="s">
        <v>63437</v>
      </c>
      <c r="B41742" t="s">
        <v>63438</v>
      </c>
      <c r="C41742" t="s">
        <v>146</v>
      </c>
      <c r="D41742" t="s">
        <v>412</v>
      </c>
      <c r="E41742" t="s">
        <v>104</v>
      </c>
      <c r="F41742" s="2" t="str">
        <f>HYPERLINK("http://www.otzar.org/book.asp?602668","שלהבת קודש")</f>
        <v>שלהבת קודש</v>
      </c>
    </row>
    <row r="41743" spans="1:6" x14ac:dyDescent="0.2">
      <c r="A41743" t="s">
        <v>63439</v>
      </c>
      <c r="B41743" t="s">
        <v>63440</v>
      </c>
      <c r="C41743" t="s">
        <v>114</v>
      </c>
      <c r="D41743" t="s">
        <v>52</v>
      </c>
      <c r="E41743" t="s">
        <v>202</v>
      </c>
      <c r="F41743" s="2" t="str">
        <f>HYPERLINK("http://www.otzar.org/book.asp?172834","שלהבת שמואל - 4 כר'")</f>
        <v>שלהבת שמואל - 4 כר'</v>
      </c>
    </row>
    <row r="41744" spans="1:6" x14ac:dyDescent="0.2">
      <c r="A41744" t="s">
        <v>63441</v>
      </c>
      <c r="B41744" t="s">
        <v>63442</v>
      </c>
      <c r="C41744" t="s">
        <v>427</v>
      </c>
      <c r="D41744" t="s">
        <v>21</v>
      </c>
      <c r="F41744" s="2" t="str">
        <f>HYPERLINK("http://www.otzar.org/book.asp?600375","שלהבת - 4 כר'")</f>
        <v>שלהבת - 4 כר'</v>
      </c>
    </row>
    <row r="41745" spans="1:6" x14ac:dyDescent="0.2">
      <c r="A41745" t="s">
        <v>63443</v>
      </c>
      <c r="B41745" t="s">
        <v>14157</v>
      </c>
      <c r="C41745" t="s">
        <v>17</v>
      </c>
      <c r="D41745" t="s">
        <v>52</v>
      </c>
      <c r="E41745" t="s">
        <v>213</v>
      </c>
      <c r="F41745" s="2" t="str">
        <f>HYPERLINK("http://www.otzar.org/book.asp?142644","שלהי דקייטא")</f>
        <v>שלהי דקייטא</v>
      </c>
    </row>
    <row r="41746" spans="1:6" x14ac:dyDescent="0.2">
      <c r="A41746" t="s">
        <v>63444</v>
      </c>
      <c r="B41746" t="s">
        <v>43064</v>
      </c>
      <c r="C41746" t="s">
        <v>13</v>
      </c>
      <c r="D41746" t="s">
        <v>147</v>
      </c>
      <c r="E41746" t="s">
        <v>104</v>
      </c>
      <c r="F41746" s="2" t="str">
        <f>HYPERLINK("http://www.otzar.org/book.asp?157841","שלווה בארמנותינו")</f>
        <v>שלווה בארמנותינו</v>
      </c>
    </row>
    <row r="41747" spans="1:6" x14ac:dyDescent="0.2">
      <c r="A41747" t="s">
        <v>63445</v>
      </c>
      <c r="B41747" t="s">
        <v>3554</v>
      </c>
      <c r="C41747" t="s">
        <v>143</v>
      </c>
      <c r="D41747" t="s">
        <v>72</v>
      </c>
      <c r="E41747" t="s">
        <v>119</v>
      </c>
      <c r="F41747" s="2" t="str">
        <f>HYPERLINK("http://www.otzar.org/book.asp?171321","שלוחא דרחמנא")</f>
        <v>שלוחא דרחמנא</v>
      </c>
    </row>
    <row r="41748" spans="1:6" x14ac:dyDescent="0.2">
      <c r="A41748" t="s">
        <v>63446</v>
      </c>
      <c r="B41748" t="s">
        <v>8183</v>
      </c>
      <c r="C41748" t="s">
        <v>433</v>
      </c>
      <c r="D41748" t="s">
        <v>14</v>
      </c>
      <c r="E41748" t="s">
        <v>733</v>
      </c>
      <c r="F41748" s="2" t="str">
        <f>HYPERLINK("http://www.otzar.org/book.asp?143415","שלוחי ארץ ישראל בתירייא")</f>
        <v>שלוחי ארץ ישראל בתירייא</v>
      </c>
    </row>
    <row r="41749" spans="1:6" x14ac:dyDescent="0.2">
      <c r="A41749" t="s">
        <v>63447</v>
      </c>
      <c r="B41749" t="s">
        <v>8183</v>
      </c>
      <c r="C41749" t="s">
        <v>3840</v>
      </c>
      <c r="D41749" t="s">
        <v>27</v>
      </c>
      <c r="E41749" t="s">
        <v>517</v>
      </c>
      <c r="F41749" s="2" t="str">
        <f>HYPERLINK("http://www.otzar.org/book.asp?15127","שלוחי ארץ ישראל")</f>
        <v>שלוחי ארץ ישראל</v>
      </c>
    </row>
    <row r="41750" spans="1:6" x14ac:dyDescent="0.2">
      <c r="A41750" t="s">
        <v>63448</v>
      </c>
      <c r="B41750" t="s">
        <v>63449</v>
      </c>
      <c r="C41750" t="s">
        <v>568</v>
      </c>
      <c r="D41750" t="s">
        <v>1459</v>
      </c>
      <c r="E41750" t="s">
        <v>29952</v>
      </c>
      <c r="F41750" s="2" t="str">
        <f>HYPERLINK("http://www.otzar.org/book.asp?175754","שלוים מן הים")</f>
        <v>שלוים מן הים</v>
      </c>
    </row>
    <row r="41751" spans="1:6" x14ac:dyDescent="0.2">
      <c r="A41751" t="s">
        <v>63450</v>
      </c>
      <c r="B41751" t="s">
        <v>17694</v>
      </c>
      <c r="C41751" t="s">
        <v>624</v>
      </c>
      <c r="D41751" t="s">
        <v>486</v>
      </c>
      <c r="E41751" t="s">
        <v>714</v>
      </c>
      <c r="F41751" s="2" t="str">
        <f>HYPERLINK("http://www.otzar.org/book.asp?25953","שלום אהלך")</f>
        <v>שלום אהלך</v>
      </c>
    </row>
    <row r="41752" spans="1:6" x14ac:dyDescent="0.2">
      <c r="A41752" t="s">
        <v>63451</v>
      </c>
      <c r="B41752" t="s">
        <v>63452</v>
      </c>
      <c r="C41752" t="s">
        <v>63453</v>
      </c>
      <c r="D41752" t="s">
        <v>1490</v>
      </c>
      <c r="F41752" s="2" t="str">
        <f>HYPERLINK("http://www.otzar.org/book.asp?619198","שלום אסתר - 2 כר'")</f>
        <v>שלום אסתר - 2 כר'</v>
      </c>
    </row>
    <row r="41753" spans="1:6" x14ac:dyDescent="0.2">
      <c r="A41753" t="s">
        <v>63454</v>
      </c>
      <c r="B41753" t="s">
        <v>63455</v>
      </c>
      <c r="C41753" t="s">
        <v>422</v>
      </c>
      <c r="E41753" t="s">
        <v>104</v>
      </c>
      <c r="F41753" s="2" t="str">
        <f>HYPERLINK("http://www.otzar.org/book.asp?624876","שלום באהליך")</f>
        <v>שלום באהליך</v>
      </c>
    </row>
    <row r="41754" spans="1:6" x14ac:dyDescent="0.2">
      <c r="A41754" t="s">
        <v>63456</v>
      </c>
      <c r="B41754" t="s">
        <v>63457</v>
      </c>
      <c r="C41754" t="s">
        <v>189</v>
      </c>
      <c r="D41754" t="s">
        <v>14</v>
      </c>
      <c r="E41754" t="s">
        <v>213</v>
      </c>
      <c r="F41754" s="2" t="str">
        <f>HYPERLINK("http://www.otzar.org/book.asp?144532","שלום באהלך")</f>
        <v>שלום באהלך</v>
      </c>
    </row>
    <row r="41755" spans="1:6" x14ac:dyDescent="0.2">
      <c r="A41755" t="s">
        <v>63458</v>
      </c>
      <c r="B41755" t="s">
        <v>22617</v>
      </c>
      <c r="C41755" t="s">
        <v>129</v>
      </c>
      <c r="D41755" t="s">
        <v>11098</v>
      </c>
      <c r="E41755" t="s">
        <v>104</v>
      </c>
      <c r="F41755" s="2" t="str">
        <f>HYPERLINK("http://www.otzar.org/book.asp?197382","שלום באהלך, בני יוסף")</f>
        <v>שלום באהלך, בני יוסף</v>
      </c>
    </row>
    <row r="41756" spans="1:6" x14ac:dyDescent="0.2">
      <c r="A41756" t="s">
        <v>63459</v>
      </c>
      <c r="B41756" t="s">
        <v>206</v>
      </c>
      <c r="C41756" t="s">
        <v>20</v>
      </c>
      <c r="D41756" t="s">
        <v>52</v>
      </c>
      <c r="E41756" t="s">
        <v>130</v>
      </c>
      <c r="F41756" s="2" t="str">
        <f>HYPERLINK("http://www.otzar.org/book.asp?176337","שלום בארץ")</f>
        <v>שלום בארץ</v>
      </c>
    </row>
    <row r="41757" spans="1:6" x14ac:dyDescent="0.2">
      <c r="A41757" t="s">
        <v>63460</v>
      </c>
      <c r="B41757" t="s">
        <v>847</v>
      </c>
      <c r="C41757" t="s">
        <v>63461</v>
      </c>
      <c r="D41757" t="s">
        <v>52</v>
      </c>
      <c r="E41757" t="s">
        <v>144</v>
      </c>
      <c r="F41757" s="2" t="str">
        <f>HYPERLINK("http://www.otzar.org/book.asp?626211","שלום בוניך")</f>
        <v>שלום בוניך</v>
      </c>
    </row>
    <row r="41758" spans="1:6" x14ac:dyDescent="0.2">
      <c r="A41758" t="s">
        <v>63462</v>
      </c>
      <c r="B41758" t="s">
        <v>63463</v>
      </c>
      <c r="C41758" t="s">
        <v>189</v>
      </c>
      <c r="D41758" t="s">
        <v>152</v>
      </c>
      <c r="E41758" t="s">
        <v>2091</v>
      </c>
      <c r="F41758" s="2" t="str">
        <f>HYPERLINK("http://www.otzar.org/book.asp?150580","שלום בית ה'")</f>
        <v>שלום בית ה'</v>
      </c>
    </row>
    <row r="41759" spans="1:6" x14ac:dyDescent="0.2">
      <c r="A41759" t="s">
        <v>63464</v>
      </c>
      <c r="B41759" t="s">
        <v>3384</v>
      </c>
      <c r="C41759" t="s">
        <v>143</v>
      </c>
      <c r="D41759" t="s">
        <v>14</v>
      </c>
      <c r="E41759" t="s">
        <v>213</v>
      </c>
      <c r="F41759" s="2" t="str">
        <f>HYPERLINK("http://www.otzar.org/book.asp?60521","שלום בית")</f>
        <v>שלום בית</v>
      </c>
    </row>
    <row r="41760" spans="1:6" x14ac:dyDescent="0.2">
      <c r="A41760" t="s">
        <v>63465</v>
      </c>
      <c r="B41760" t="s">
        <v>63466</v>
      </c>
      <c r="C41760" t="s">
        <v>2550</v>
      </c>
      <c r="D41760" t="s">
        <v>9</v>
      </c>
      <c r="E41760" t="s">
        <v>144</v>
      </c>
      <c r="F41760" s="2" t="str">
        <f>HYPERLINK("http://www.otzar.org/book.asp?103676","שלום במרומיו")</f>
        <v>שלום במרומיו</v>
      </c>
    </row>
    <row r="41761" spans="1:6" x14ac:dyDescent="0.2">
      <c r="A41761" t="s">
        <v>63467</v>
      </c>
      <c r="B41761" t="s">
        <v>253</v>
      </c>
      <c r="C41761" t="s">
        <v>1619</v>
      </c>
      <c r="D41761" t="s">
        <v>118</v>
      </c>
      <c r="E41761" t="s">
        <v>384</v>
      </c>
      <c r="F41761" s="2" t="str">
        <f>HYPERLINK("http://www.otzar.org/book.asp?157594","שלום בן יוסף שבזי")</f>
        <v>שלום בן יוסף שבזי</v>
      </c>
    </row>
    <row r="41762" spans="1:6" x14ac:dyDescent="0.2">
      <c r="A41762" t="s">
        <v>63468</v>
      </c>
      <c r="B41762" t="s">
        <v>1005</v>
      </c>
      <c r="C41762" t="s">
        <v>20</v>
      </c>
      <c r="D41762" t="s">
        <v>90</v>
      </c>
      <c r="E41762" t="s">
        <v>4022</v>
      </c>
      <c r="F41762" s="2" t="str">
        <f>HYPERLINK("http://www.otzar.org/book.asp?175883","שלום בנייך")</f>
        <v>שלום בנייך</v>
      </c>
    </row>
    <row r="41763" spans="1:6" x14ac:dyDescent="0.2">
      <c r="A41763" t="s">
        <v>63469</v>
      </c>
      <c r="B41763" t="s">
        <v>63470</v>
      </c>
      <c r="C41763" t="s">
        <v>411</v>
      </c>
      <c r="E41763" t="s">
        <v>202</v>
      </c>
      <c r="F41763" s="2" t="str">
        <f>HYPERLINK("http://www.otzar.org/book.asp?623611","שלום בניך")</f>
        <v>שלום בניך</v>
      </c>
    </row>
    <row r="41764" spans="1:6" x14ac:dyDescent="0.2">
      <c r="A41764" t="s">
        <v>63471</v>
      </c>
      <c r="B41764" t="s">
        <v>20737</v>
      </c>
      <c r="C41764" t="s">
        <v>71</v>
      </c>
      <c r="E41764" t="s">
        <v>213</v>
      </c>
      <c r="F41764" s="2" t="str">
        <f>HYPERLINK("http://www.otzar.org/book.asp?52976","שלום בניך - 5 כר'")</f>
        <v>שלום בניך - 5 כר'</v>
      </c>
    </row>
    <row r="41765" spans="1:6" x14ac:dyDescent="0.2">
      <c r="A41765" t="s">
        <v>63472</v>
      </c>
      <c r="B41765" t="s">
        <v>41728</v>
      </c>
      <c r="C41765" t="s">
        <v>63473</v>
      </c>
      <c r="D41765" t="s">
        <v>889</v>
      </c>
      <c r="E41765" t="s">
        <v>11780</v>
      </c>
      <c r="F41765" s="2" t="str">
        <f>HYPERLINK("http://www.otzar.org/book.asp?143435","שלום דוד - 2 כר'")</f>
        <v>שלום דוד - 2 כר'</v>
      </c>
    </row>
    <row r="41766" spans="1:6" x14ac:dyDescent="0.2">
      <c r="A41766" t="s">
        <v>63474</v>
      </c>
      <c r="B41766" t="s">
        <v>18985</v>
      </c>
      <c r="C41766" t="s">
        <v>79</v>
      </c>
      <c r="D41766" t="s">
        <v>14</v>
      </c>
      <c r="E41766" t="s">
        <v>17007</v>
      </c>
      <c r="F41766" s="2" t="str">
        <f>HYPERLINK("http://www.otzar.org/book.asp?13755","שלום וצדק")</f>
        <v>שלום וצדק</v>
      </c>
    </row>
    <row r="41767" spans="1:6" x14ac:dyDescent="0.2">
      <c r="A41767" t="s">
        <v>63475</v>
      </c>
      <c r="B41767" t="s">
        <v>22152</v>
      </c>
      <c r="E41767" t="s">
        <v>104</v>
      </c>
      <c r="F41767" s="2" t="str">
        <f>HYPERLINK("http://www.otzar.org/book.asp?627849","שלום ורעות")</f>
        <v>שלום ורעות</v>
      </c>
    </row>
    <row r="41768" spans="1:6" x14ac:dyDescent="0.2">
      <c r="A41768" t="s">
        <v>63475</v>
      </c>
      <c r="B41768" t="s">
        <v>63476</v>
      </c>
      <c r="C41768" t="s">
        <v>523</v>
      </c>
      <c r="D41768" t="s">
        <v>52</v>
      </c>
      <c r="E41768" t="s">
        <v>104</v>
      </c>
      <c r="F41768" s="2" t="str">
        <f>HYPERLINK("http://www.otzar.org/book.asp?193039","שלום ורעות")</f>
        <v>שלום ורעות</v>
      </c>
    </row>
    <row r="41769" spans="1:6" x14ac:dyDescent="0.2">
      <c r="A41769" t="s">
        <v>63477</v>
      </c>
      <c r="B41769" t="s">
        <v>7816</v>
      </c>
      <c r="C41769" t="s">
        <v>20</v>
      </c>
      <c r="D41769" t="s">
        <v>412</v>
      </c>
      <c r="E41769" t="s">
        <v>246</v>
      </c>
      <c r="F41769" s="2" t="str">
        <f>HYPERLINK("http://www.otzar.org/book.asp?606304","שלום ושלוה - 5 כר'")</f>
        <v>שלום ושלוה - 5 כר'</v>
      </c>
    </row>
    <row r="41770" spans="1:6" x14ac:dyDescent="0.2">
      <c r="A41770" t="s">
        <v>63478</v>
      </c>
      <c r="B41770" t="s">
        <v>63479</v>
      </c>
      <c r="C41770" t="s">
        <v>438</v>
      </c>
      <c r="D41770" t="s">
        <v>14</v>
      </c>
      <c r="E41770" t="s">
        <v>508</v>
      </c>
      <c r="F41770" s="2" t="str">
        <f>HYPERLINK("http://www.otzar.org/book.asp?13712","שלום יהודה - 3 כר'")</f>
        <v>שלום יהודה - 3 כר'</v>
      </c>
    </row>
    <row r="41771" spans="1:6" x14ac:dyDescent="0.2">
      <c r="A41771" t="s">
        <v>63480</v>
      </c>
      <c r="B41771" t="s">
        <v>2396</v>
      </c>
      <c r="C41771" t="s">
        <v>133</v>
      </c>
      <c r="D41771" t="s">
        <v>1076</v>
      </c>
      <c r="E41771" t="s">
        <v>158</v>
      </c>
      <c r="F41771" s="2" t="str">
        <f>HYPERLINK("http://www.otzar.org/book.asp?617282","שלום יוסף - בפסוקי התורה")</f>
        <v>שלום יוסף - בפסוקי התורה</v>
      </c>
    </row>
    <row r="41772" spans="1:6" x14ac:dyDescent="0.2">
      <c r="A41772" t="s">
        <v>63481</v>
      </c>
      <c r="B41772" t="s">
        <v>3166</v>
      </c>
      <c r="C41772" t="s">
        <v>466</v>
      </c>
      <c r="D41772" t="s">
        <v>14</v>
      </c>
      <c r="E41772" t="s">
        <v>424</v>
      </c>
      <c r="F41772" s="2" t="str">
        <f>HYPERLINK("http://www.otzar.org/book.asp?200369","שלום יעקב")</f>
        <v>שלום יעקב</v>
      </c>
    </row>
    <row r="41773" spans="1:6" x14ac:dyDescent="0.2">
      <c r="A41773" t="s">
        <v>63482</v>
      </c>
      <c r="B41773" t="s">
        <v>63483</v>
      </c>
      <c r="C41773" t="s">
        <v>422</v>
      </c>
      <c r="D41773" t="s">
        <v>14</v>
      </c>
      <c r="F41773" s="2" t="str">
        <f>HYPERLINK("http://www.otzar.org/book.asp?622142","שלום יצחק")</f>
        <v>שלום יצחק</v>
      </c>
    </row>
    <row r="41774" spans="1:6" x14ac:dyDescent="0.2">
      <c r="A41774" t="s">
        <v>63484</v>
      </c>
      <c r="B41774" t="s">
        <v>61128</v>
      </c>
      <c r="C41774" t="s">
        <v>146</v>
      </c>
      <c r="D41774" t="s">
        <v>1356</v>
      </c>
      <c r="E41774" t="s">
        <v>104</v>
      </c>
      <c r="F41774" s="2" t="str">
        <f>HYPERLINK("http://www.otzar.org/book.asp?625882","שלום ירושלים &lt;מהדורה חדשה&gt;")</f>
        <v>שלום ירושלים &lt;מהדורה חדשה&gt;</v>
      </c>
    </row>
    <row r="41775" spans="1:6" x14ac:dyDescent="0.2">
      <c r="A41775" t="s">
        <v>63485</v>
      </c>
      <c r="B41775" t="s">
        <v>63486</v>
      </c>
      <c r="C41775" t="s">
        <v>71</v>
      </c>
      <c r="D41775" t="s">
        <v>14</v>
      </c>
      <c r="F41775" s="2" t="str">
        <f>HYPERLINK("http://www.otzar.org/book.asp?609615","שלום ירושלים - 2 כר'")</f>
        <v>שלום ירושלים - 2 כר'</v>
      </c>
    </row>
    <row r="41776" spans="1:6" x14ac:dyDescent="0.2">
      <c r="A41776" t="s">
        <v>63487</v>
      </c>
      <c r="B41776" t="s">
        <v>61128</v>
      </c>
      <c r="C41776" t="s">
        <v>946</v>
      </c>
      <c r="D41776" t="s">
        <v>225</v>
      </c>
      <c r="E41776" t="s">
        <v>1262</v>
      </c>
      <c r="F41776" s="2" t="str">
        <f>HYPERLINK("http://www.otzar.org/book.asp?20706","שלום ירושלים")</f>
        <v>שלום ירושלים</v>
      </c>
    </row>
    <row r="41777" spans="1:6" x14ac:dyDescent="0.2">
      <c r="A41777" t="s">
        <v>63487</v>
      </c>
      <c r="B41777" t="s">
        <v>11831</v>
      </c>
      <c r="C41777" t="s">
        <v>1160</v>
      </c>
      <c r="D41777" t="s">
        <v>216</v>
      </c>
      <c r="E41777" t="s">
        <v>2463</v>
      </c>
      <c r="F41777" s="2" t="str">
        <f>HYPERLINK("http://www.otzar.org/book.asp?722","שלום ירושלים")</f>
        <v>שלום ירושלים</v>
      </c>
    </row>
    <row r="41778" spans="1:6" x14ac:dyDescent="0.2">
      <c r="A41778" t="s">
        <v>63488</v>
      </c>
      <c r="B41778" t="s">
        <v>63489</v>
      </c>
      <c r="C41778" t="s">
        <v>20</v>
      </c>
      <c r="D41778" t="s">
        <v>14</v>
      </c>
      <c r="E41778" t="s">
        <v>144</v>
      </c>
      <c r="F41778" s="2" t="str">
        <f>HYPERLINK("http://www.otzar.org/book.asp?600324","שלום ירושלים - יומא ה")</f>
        <v>שלום ירושלים - יומא ה</v>
      </c>
    </row>
    <row r="41779" spans="1:6" x14ac:dyDescent="0.2">
      <c r="A41779" t="s">
        <v>63490</v>
      </c>
      <c r="B41779" t="s">
        <v>49204</v>
      </c>
      <c r="C41779" t="s">
        <v>1437</v>
      </c>
      <c r="D41779" t="s">
        <v>27</v>
      </c>
      <c r="E41779" t="s">
        <v>15</v>
      </c>
      <c r="F41779" s="2" t="str">
        <f>HYPERLINK("http://www.otzar.org/book.asp?899","שלום ירושלם")</f>
        <v>שלום ירושלם</v>
      </c>
    </row>
    <row r="41780" spans="1:6" x14ac:dyDescent="0.2">
      <c r="A41780" t="s">
        <v>63491</v>
      </c>
      <c r="B41780" t="s">
        <v>18985</v>
      </c>
      <c r="C41780" t="s">
        <v>103</v>
      </c>
      <c r="D41780" t="s">
        <v>14</v>
      </c>
      <c r="E41780" t="s">
        <v>104</v>
      </c>
      <c r="F41780" s="2" t="str">
        <f>HYPERLINK("http://www.otzar.org/book.asp?154232","שלום לעם - 2 כר'")</f>
        <v>שלום לעם - 2 כר'</v>
      </c>
    </row>
    <row r="41781" spans="1:6" x14ac:dyDescent="0.2">
      <c r="A41781" t="s">
        <v>63492</v>
      </c>
      <c r="B41781" t="s">
        <v>63493</v>
      </c>
      <c r="C41781" t="s">
        <v>585</v>
      </c>
      <c r="D41781" t="s">
        <v>14</v>
      </c>
      <c r="E41781" t="s">
        <v>241</v>
      </c>
      <c r="F41781" s="2" t="str">
        <f>HYPERLINK("http://www.otzar.org/book.asp?154805","שלום לעם")</f>
        <v>שלום לעם</v>
      </c>
    </row>
    <row r="41782" spans="1:6" x14ac:dyDescent="0.2">
      <c r="A41782" t="s">
        <v>63494</v>
      </c>
      <c r="B41782" t="s">
        <v>63495</v>
      </c>
      <c r="C41782" t="s">
        <v>20</v>
      </c>
      <c r="D41782" t="s">
        <v>90</v>
      </c>
      <c r="F41782" s="2" t="str">
        <f>HYPERLINK("http://www.otzar.org/book.asp?611124","שלום עבדו - תולדות רבי שלמה דרמר")</f>
        <v>שלום עבדו - תולדות רבי שלמה דרמר</v>
      </c>
    </row>
    <row r="41783" spans="1:6" x14ac:dyDescent="0.2">
      <c r="A41783" t="s">
        <v>63496</v>
      </c>
      <c r="B41783" t="s">
        <v>63497</v>
      </c>
      <c r="C41783" t="s">
        <v>775</v>
      </c>
      <c r="D41783" t="s">
        <v>14</v>
      </c>
      <c r="E41783" t="s">
        <v>158</v>
      </c>
      <c r="F41783" s="2" t="str">
        <f>HYPERLINK("http://www.otzar.org/book.asp?149640","שלום רב")</f>
        <v>שלום רב</v>
      </c>
    </row>
    <row r="41784" spans="1:6" x14ac:dyDescent="0.2">
      <c r="A41784" t="s">
        <v>63496</v>
      </c>
      <c r="B41784" t="s">
        <v>20766</v>
      </c>
      <c r="C41784" t="s">
        <v>13</v>
      </c>
      <c r="D41784" t="s">
        <v>14</v>
      </c>
      <c r="E41784" t="s">
        <v>714</v>
      </c>
      <c r="F41784" s="2" t="str">
        <f>HYPERLINK("http://www.otzar.org/book.asp?153500","שלום רב")</f>
        <v>שלום רב</v>
      </c>
    </row>
    <row r="41785" spans="1:6" x14ac:dyDescent="0.2">
      <c r="A41785" t="s">
        <v>63496</v>
      </c>
      <c r="B41785" t="s">
        <v>3625</v>
      </c>
      <c r="C41785" t="s">
        <v>725</v>
      </c>
      <c r="D41785" t="s">
        <v>7196</v>
      </c>
      <c r="E41785" t="s">
        <v>579</v>
      </c>
      <c r="F41785" s="2" t="str">
        <f>HYPERLINK("http://www.otzar.org/book.asp?11382","שלום רב")</f>
        <v>שלום רב</v>
      </c>
    </row>
    <row r="41786" spans="1:6" x14ac:dyDescent="0.2">
      <c r="A41786" t="s">
        <v>63498</v>
      </c>
      <c r="B41786" t="s">
        <v>63499</v>
      </c>
      <c r="C41786" t="s">
        <v>63500</v>
      </c>
      <c r="D41786" t="s">
        <v>225</v>
      </c>
      <c r="E41786" t="s">
        <v>920</v>
      </c>
      <c r="F41786" s="2" t="str">
        <f>HYPERLINK("http://www.otzar.org/book.asp?364","שלום רב - 3 כר'")</f>
        <v>שלום רב - 3 כר'</v>
      </c>
    </row>
    <row r="41787" spans="1:6" x14ac:dyDescent="0.2">
      <c r="A41787" t="s">
        <v>63501</v>
      </c>
      <c r="B41787" t="s">
        <v>107</v>
      </c>
      <c r="C41787" t="s">
        <v>176</v>
      </c>
      <c r="D41787" t="s">
        <v>14</v>
      </c>
      <c r="E41787" t="s">
        <v>733</v>
      </c>
      <c r="F41787" s="2" t="str">
        <f>HYPERLINK("http://www.otzar.org/book.asp?84028","שלום שלום ואין שלום")</f>
        <v>שלום שלום ואין שלום</v>
      </c>
    </row>
    <row r="41788" spans="1:6" x14ac:dyDescent="0.2">
      <c r="A41788" t="s">
        <v>63502</v>
      </c>
      <c r="B41788" t="s">
        <v>9358</v>
      </c>
      <c r="C41788" t="s">
        <v>1619</v>
      </c>
      <c r="D41788" t="s">
        <v>216</v>
      </c>
      <c r="F41788" s="2" t="str">
        <f>HYPERLINK("http://www.otzar.org/book.asp?614676","שלוניקי - 2 כר'")</f>
        <v>שלוניקי - 2 כר'</v>
      </c>
    </row>
    <row r="41789" spans="1:6" x14ac:dyDescent="0.2">
      <c r="A41789" t="s">
        <v>63503</v>
      </c>
      <c r="B41789" t="s">
        <v>11573</v>
      </c>
      <c r="C41789" t="s">
        <v>585</v>
      </c>
      <c r="D41789" t="s">
        <v>14</v>
      </c>
      <c r="E41789" t="s">
        <v>119</v>
      </c>
      <c r="F41789" s="2" t="str">
        <f>HYPERLINK("http://www.otzar.org/book.asp?615106","שלוש הבטחות של הרמ""ע מפאנו")</f>
        <v>שלוש הבטחות של הרמ"ע מפאנו</v>
      </c>
    </row>
    <row r="41790" spans="1:6" x14ac:dyDescent="0.2">
      <c r="A41790" t="s">
        <v>63504</v>
      </c>
      <c r="B41790" t="s">
        <v>63505</v>
      </c>
      <c r="C41790" t="s">
        <v>419</v>
      </c>
      <c r="D41790" t="s">
        <v>14</v>
      </c>
      <c r="E41790" t="s">
        <v>579</v>
      </c>
      <c r="F41790" s="2" t="str">
        <f>HYPERLINK("http://www.otzar.org/book.asp?64302","שלוש מגילות ותהלים &lt;ע""פ רש""ג ותפסיר רס""ג, כת""י&gt;")</f>
        <v>שלוש מגילות ותהלים &lt;ע"פ רש"ג ותפסיר רס"ג, כת"י&gt;</v>
      </c>
    </row>
    <row r="41791" spans="1:6" x14ac:dyDescent="0.2">
      <c r="A41791" t="s">
        <v>63506</v>
      </c>
      <c r="B41791" t="s">
        <v>63507</v>
      </c>
      <c r="C41791" t="s">
        <v>427</v>
      </c>
      <c r="D41791" t="s">
        <v>52</v>
      </c>
      <c r="E41791" t="s">
        <v>119</v>
      </c>
      <c r="F41791" s="2" t="str">
        <f>HYPERLINK("http://www.otzar.org/book.asp?144246","שלוש קדושות")</f>
        <v>שלוש קדושות</v>
      </c>
    </row>
    <row r="41792" spans="1:6" x14ac:dyDescent="0.2">
      <c r="A41792" t="s">
        <v>63508</v>
      </c>
      <c r="B41792" t="s">
        <v>4977</v>
      </c>
      <c r="C41792" t="s">
        <v>20</v>
      </c>
      <c r="D41792" t="s">
        <v>14</v>
      </c>
      <c r="E41792" t="s">
        <v>393</v>
      </c>
      <c r="F41792" s="2" t="str">
        <f>HYPERLINK("http://www.otzar.org/book.asp?153424","שלוש שעות הושענא")</f>
        <v>שלוש שעות הושענא</v>
      </c>
    </row>
    <row r="41793" spans="1:6" x14ac:dyDescent="0.2">
      <c r="A41793" t="s">
        <v>63509</v>
      </c>
      <c r="B41793" t="s">
        <v>63510</v>
      </c>
      <c r="C41793" t="s">
        <v>20</v>
      </c>
      <c r="D41793" t="s">
        <v>14</v>
      </c>
      <c r="E41793" t="s">
        <v>119</v>
      </c>
      <c r="F41793" s="2" t="str">
        <f>HYPERLINK("http://www.otzar.org/book.asp?143189","שלושה כרוזים")</f>
        <v>שלושה כרוזים</v>
      </c>
    </row>
    <row r="41794" spans="1:6" x14ac:dyDescent="0.2">
      <c r="A41794" t="s">
        <v>63511</v>
      </c>
      <c r="B41794" t="s">
        <v>19859</v>
      </c>
      <c r="C41794" t="s">
        <v>411</v>
      </c>
      <c r="D41794" t="s">
        <v>1273</v>
      </c>
      <c r="E41794" t="s">
        <v>130</v>
      </c>
      <c r="F41794" s="2" t="str">
        <f>HYPERLINK("http://www.otzar.org/book.asp?605326","שלושים יום קודם החג - 2 כר'")</f>
        <v>שלושים יום קודם החג - 2 כר'</v>
      </c>
    </row>
    <row r="41795" spans="1:6" x14ac:dyDescent="0.2">
      <c r="A41795" t="s">
        <v>63512</v>
      </c>
      <c r="B41795" t="s">
        <v>63513</v>
      </c>
      <c r="C41795" t="s">
        <v>13</v>
      </c>
      <c r="D41795" t="s">
        <v>14</v>
      </c>
      <c r="E41795" t="s">
        <v>15</v>
      </c>
      <c r="F41795" s="2" t="str">
        <f>HYPERLINK("http://www.otzar.org/book.asp?148508","שלח תשלח - 2 כר'")</f>
        <v>שלח תשלח - 2 כר'</v>
      </c>
    </row>
    <row r="41796" spans="1:6" x14ac:dyDescent="0.2">
      <c r="A41796" t="s">
        <v>63514</v>
      </c>
      <c r="B41796" t="s">
        <v>13899</v>
      </c>
      <c r="C41796" t="s">
        <v>2008</v>
      </c>
      <c r="D41796" t="s">
        <v>63515</v>
      </c>
      <c r="F41796" s="2" t="str">
        <f>HYPERLINK("http://www.otzar.org/book.asp?169542","שלחן א""ש")</f>
        <v>שלחן א"ש</v>
      </c>
    </row>
    <row r="41797" spans="1:6" x14ac:dyDescent="0.2">
      <c r="A41797" t="s">
        <v>63516</v>
      </c>
      <c r="B41797" t="s">
        <v>21733</v>
      </c>
      <c r="C41797" t="s">
        <v>51</v>
      </c>
      <c r="D41797" t="s">
        <v>216</v>
      </c>
      <c r="E41797" t="s">
        <v>674</v>
      </c>
      <c r="F41797" s="2" t="str">
        <f>HYPERLINK("http://www.otzar.org/book.asp?625414","שלחן אליהו")</f>
        <v>שלחן אליהו</v>
      </c>
    </row>
    <row r="41798" spans="1:6" x14ac:dyDescent="0.2">
      <c r="A41798" t="s">
        <v>63517</v>
      </c>
      <c r="B41798" t="s">
        <v>9164</v>
      </c>
      <c r="C41798" t="s">
        <v>2488</v>
      </c>
      <c r="D41798" t="s">
        <v>744</v>
      </c>
      <c r="E41798" t="s">
        <v>15</v>
      </c>
      <c r="F41798" s="2" t="str">
        <f>HYPERLINK("http://www.otzar.org/book.asp?168091","שלחן ארבע - 3 כר'")</f>
        <v>שלחן ארבע - 3 כר'</v>
      </c>
    </row>
    <row r="41799" spans="1:6" x14ac:dyDescent="0.2">
      <c r="A41799" t="s">
        <v>63518</v>
      </c>
      <c r="B41799" t="s">
        <v>63519</v>
      </c>
      <c r="C41799" t="s">
        <v>454</v>
      </c>
      <c r="D41799" t="s">
        <v>152</v>
      </c>
      <c r="E41799" t="s">
        <v>144</v>
      </c>
      <c r="F41799" s="2" t="str">
        <f>HYPERLINK("http://www.otzar.org/book.asp?170243","שלחן ארזים")</f>
        <v>שלחן ארזים</v>
      </c>
    </row>
    <row r="41800" spans="1:6" x14ac:dyDescent="0.2">
      <c r="A41800" t="s">
        <v>63520</v>
      </c>
      <c r="B41800" t="s">
        <v>2188</v>
      </c>
      <c r="C41800" t="s">
        <v>383</v>
      </c>
      <c r="D41800" t="s">
        <v>14</v>
      </c>
      <c r="E41800" t="s">
        <v>172</v>
      </c>
      <c r="F41800" s="2" t="str">
        <f>HYPERLINK("http://www.otzar.org/book.asp?173774","שלחן גבוה &lt;מהדורת אור ודרך&gt; - 7 כר'")</f>
        <v>שלחן גבוה &lt;מהדורת אור ודרך&gt; - 7 כר'</v>
      </c>
    </row>
    <row r="41801" spans="1:6" x14ac:dyDescent="0.2">
      <c r="A41801" t="s">
        <v>63521</v>
      </c>
      <c r="B41801" t="s">
        <v>2188</v>
      </c>
      <c r="C41801" t="s">
        <v>2213</v>
      </c>
      <c r="D41801" t="s">
        <v>76</v>
      </c>
      <c r="E41801" t="s">
        <v>5328</v>
      </c>
      <c r="F41801" s="2" t="str">
        <f>HYPERLINK("http://www.otzar.org/book.asp?15444","שלחן גבוה - 5 כר'")</f>
        <v>שלחן גבוה - 5 כר'</v>
      </c>
    </row>
    <row r="41802" spans="1:6" x14ac:dyDescent="0.2">
      <c r="A41802" t="s">
        <v>63522</v>
      </c>
      <c r="B41802" t="s">
        <v>63523</v>
      </c>
      <c r="C41802" t="s">
        <v>888</v>
      </c>
      <c r="D41802" t="s">
        <v>13414</v>
      </c>
      <c r="E41802" t="s">
        <v>158</v>
      </c>
      <c r="F41802" s="2" t="str">
        <f>HYPERLINK("http://www.otzar.org/book.asp?83624","שלחן הזהב")</f>
        <v>שלחן הזהב</v>
      </c>
    </row>
    <row r="41803" spans="1:6" x14ac:dyDescent="0.2">
      <c r="A41803" t="s">
        <v>63524</v>
      </c>
      <c r="B41803" t="s">
        <v>63525</v>
      </c>
      <c r="C41803" t="s">
        <v>156</v>
      </c>
      <c r="D41803" t="s">
        <v>56</v>
      </c>
      <c r="E41803" t="s">
        <v>148</v>
      </c>
      <c r="F41803" s="2" t="str">
        <f>HYPERLINK("http://www.otzar.org/book.asp?150015","שלחן הטהור המזוקק")</f>
        <v>שלחן הטהור המזוקק</v>
      </c>
    </row>
    <row r="41804" spans="1:6" x14ac:dyDescent="0.2">
      <c r="A41804" t="s">
        <v>63526</v>
      </c>
      <c r="B41804" t="s">
        <v>63527</v>
      </c>
      <c r="C41804" t="s">
        <v>1278</v>
      </c>
      <c r="D41804" t="s">
        <v>1279</v>
      </c>
      <c r="E41804" t="s">
        <v>674</v>
      </c>
      <c r="F41804" s="2" t="str">
        <f>HYPERLINK("http://www.otzar.org/book.asp?19370","שלחן הטהור - 3 כר'")</f>
        <v>שלחן הטהור - 3 כר'</v>
      </c>
    </row>
    <row r="41805" spans="1:6" x14ac:dyDescent="0.2">
      <c r="A41805" t="s">
        <v>63528</v>
      </c>
      <c r="B41805" t="s">
        <v>63529</v>
      </c>
      <c r="C41805" t="s">
        <v>1166</v>
      </c>
      <c r="D41805" t="s">
        <v>1422</v>
      </c>
      <c r="E41805" t="s">
        <v>15</v>
      </c>
      <c r="F41805" s="2" t="str">
        <f>HYPERLINK("http://www.otzar.org/book.asp?169439","שלחן הטהור")</f>
        <v>שלחן הטהור</v>
      </c>
    </row>
    <row r="41806" spans="1:6" x14ac:dyDescent="0.2">
      <c r="A41806" t="s">
        <v>63528</v>
      </c>
      <c r="B41806" t="s">
        <v>63523</v>
      </c>
      <c r="C41806" t="s">
        <v>896</v>
      </c>
      <c r="D41806" t="s">
        <v>27</v>
      </c>
      <c r="E41806" t="s">
        <v>234</v>
      </c>
      <c r="F41806" s="2" t="str">
        <f>HYPERLINK("http://www.otzar.org/book.asp?149936","שלחן הטהור")</f>
        <v>שלחן הטהור</v>
      </c>
    </row>
    <row r="41807" spans="1:6" x14ac:dyDescent="0.2">
      <c r="A41807" t="s">
        <v>63528</v>
      </c>
      <c r="B41807" t="s">
        <v>63530</v>
      </c>
      <c r="C41807" t="s">
        <v>4374</v>
      </c>
      <c r="D41807" t="s">
        <v>1279</v>
      </c>
      <c r="E41807" t="s">
        <v>15</v>
      </c>
      <c r="F41807" s="2" t="str">
        <f>HYPERLINK("http://www.otzar.org/book.asp?151337","שלחן הטהור")</f>
        <v>שלחן הטהור</v>
      </c>
    </row>
    <row r="41808" spans="1:6" x14ac:dyDescent="0.2">
      <c r="A41808" t="s">
        <v>63531</v>
      </c>
      <c r="B41808" t="s">
        <v>1720</v>
      </c>
      <c r="C41808" t="s">
        <v>26</v>
      </c>
      <c r="D41808" t="s">
        <v>216</v>
      </c>
      <c r="E41808" t="s">
        <v>32932</v>
      </c>
      <c r="F41808" s="2" t="str">
        <f>HYPERLINK("http://www.otzar.org/book.asp?21452","שלחן הטהור - 2 כר'")</f>
        <v>שלחן הטהור - 2 כר'</v>
      </c>
    </row>
    <row r="41809" spans="1:6" x14ac:dyDescent="0.2">
      <c r="A41809" t="s">
        <v>63528</v>
      </c>
      <c r="B41809" t="s">
        <v>63525</v>
      </c>
      <c r="C41809" t="s">
        <v>1663</v>
      </c>
      <c r="D41809" t="s">
        <v>14</v>
      </c>
      <c r="E41809" t="s">
        <v>148</v>
      </c>
      <c r="F41809" s="2" t="str">
        <f>HYPERLINK("http://www.otzar.org/book.asp?159228","שלחן הטהור")</f>
        <v>שלחן הטהור</v>
      </c>
    </row>
    <row r="41810" spans="1:6" x14ac:dyDescent="0.2">
      <c r="A41810" t="s">
        <v>63528</v>
      </c>
      <c r="B41810" t="s">
        <v>1393</v>
      </c>
      <c r="C41810" t="s">
        <v>313</v>
      </c>
      <c r="D41810" t="s">
        <v>52</v>
      </c>
      <c r="E41810" t="s">
        <v>703</v>
      </c>
      <c r="F41810" s="2" t="str">
        <f>HYPERLINK("http://www.otzar.org/book.asp?153832","שלחן הטהור")</f>
        <v>שלחן הטהור</v>
      </c>
    </row>
    <row r="41811" spans="1:6" x14ac:dyDescent="0.2">
      <c r="A41811" t="s">
        <v>63532</v>
      </c>
      <c r="B41811" t="s">
        <v>12008</v>
      </c>
      <c r="C41811" t="s">
        <v>366</v>
      </c>
      <c r="D41811" t="s">
        <v>21</v>
      </c>
      <c r="E41811" t="s">
        <v>241</v>
      </c>
      <c r="F41811" s="2" t="str">
        <f>HYPERLINK("http://www.otzar.org/book.asp?605297","שלחן הלבבות")</f>
        <v>שלחן הלבבות</v>
      </c>
    </row>
    <row r="41812" spans="1:6" x14ac:dyDescent="0.2">
      <c r="A41812" t="s">
        <v>63533</v>
      </c>
      <c r="B41812" t="s">
        <v>63534</v>
      </c>
      <c r="C41812" t="s">
        <v>114</v>
      </c>
      <c r="D41812" t="s">
        <v>152</v>
      </c>
      <c r="E41812" t="s">
        <v>154</v>
      </c>
      <c r="F41812" s="2" t="str">
        <f>HYPERLINK("http://www.otzar.org/book.asp?160747","שלחן הלוי - א")</f>
        <v>שלחן הלוי - א</v>
      </c>
    </row>
    <row r="41813" spans="1:6" x14ac:dyDescent="0.2">
      <c r="A41813" t="s">
        <v>63535</v>
      </c>
      <c r="B41813" t="s">
        <v>63536</v>
      </c>
      <c r="C41813" t="s">
        <v>103</v>
      </c>
      <c r="D41813" t="s">
        <v>1356</v>
      </c>
      <c r="E41813" t="s">
        <v>148</v>
      </c>
      <c r="F41813" s="2" t="str">
        <f>HYPERLINK("http://www.otzar.org/book.asp?63810","שלחן המבואר - 3 כר'")</f>
        <v>שלחן המבואר - 3 כר'</v>
      </c>
    </row>
    <row r="41814" spans="1:6" x14ac:dyDescent="0.2">
      <c r="A41814" t="s">
        <v>63537</v>
      </c>
      <c r="B41814" t="s">
        <v>1361</v>
      </c>
      <c r="C41814" t="s">
        <v>492</v>
      </c>
      <c r="D41814" t="s">
        <v>27</v>
      </c>
      <c r="E41814" t="s">
        <v>172</v>
      </c>
      <c r="F41814" s="2" t="str">
        <f>HYPERLINK("http://www.otzar.org/book.asp?85148","שלחן המגדים")</f>
        <v>שלחן המגדים</v>
      </c>
    </row>
    <row r="41815" spans="1:6" x14ac:dyDescent="0.2">
      <c r="A41815" t="s">
        <v>63538</v>
      </c>
      <c r="B41815" t="s">
        <v>63539</v>
      </c>
      <c r="C41815" t="s">
        <v>1844</v>
      </c>
      <c r="D41815" t="s">
        <v>157</v>
      </c>
      <c r="E41815" t="s">
        <v>2840</v>
      </c>
      <c r="F41815" s="2" t="str">
        <f>HYPERLINK("http://www.otzar.org/book.asp?104567","שלחן המלך")</f>
        <v>שלחן המלך</v>
      </c>
    </row>
    <row r="41816" spans="1:6" x14ac:dyDescent="0.2">
      <c r="A41816" t="s">
        <v>63540</v>
      </c>
      <c r="B41816" t="s">
        <v>63541</v>
      </c>
      <c r="C41816" t="s">
        <v>146</v>
      </c>
      <c r="D41816" t="s">
        <v>14</v>
      </c>
      <c r="E41816" t="s">
        <v>148</v>
      </c>
      <c r="F41816" s="2" t="str">
        <f>HYPERLINK("http://www.otzar.org/book.asp?152305","שלחן המלך - 2 כר'")</f>
        <v>שלחן המלך - 2 כר'</v>
      </c>
    </row>
    <row r="41817" spans="1:6" x14ac:dyDescent="0.2">
      <c r="A41817" t="s">
        <v>63542</v>
      </c>
      <c r="B41817" t="s">
        <v>17763</v>
      </c>
      <c r="C41817" t="s">
        <v>503</v>
      </c>
      <c r="D41817" t="s">
        <v>2295</v>
      </c>
      <c r="E41817" t="s">
        <v>148</v>
      </c>
      <c r="F41817" s="2" t="str">
        <f>HYPERLINK("http://www.otzar.org/book.asp?148156","שלחן המערכה - 2 כר'")</f>
        <v>שלחן המערכה - 2 כר'</v>
      </c>
    </row>
    <row r="41818" spans="1:6" x14ac:dyDescent="0.2">
      <c r="A41818" t="s">
        <v>63543</v>
      </c>
      <c r="B41818" t="s">
        <v>1791</v>
      </c>
      <c r="C41818" t="s">
        <v>2932</v>
      </c>
      <c r="D41818" t="s">
        <v>14</v>
      </c>
      <c r="E41818" t="s">
        <v>399</v>
      </c>
      <c r="F41818" s="2" t="str">
        <f>HYPERLINK("http://www.otzar.org/book.asp?106011","שלחן המערכות בסתרי החכמה - 3 כר'")</f>
        <v>שלחן המערכות בסתרי החכמה - 3 כר'</v>
      </c>
    </row>
    <row r="41819" spans="1:6" x14ac:dyDescent="0.2">
      <c r="A41819" t="s">
        <v>63544</v>
      </c>
      <c r="B41819" t="s">
        <v>1600</v>
      </c>
      <c r="C41819" t="s">
        <v>68</v>
      </c>
      <c r="D41819" t="s">
        <v>14</v>
      </c>
      <c r="E41819" t="s">
        <v>674</v>
      </c>
      <c r="F41819" s="2" t="str">
        <f>HYPERLINK("http://www.otzar.org/book.asp?173736","שלחן המערכת - 2 כר'")</f>
        <v>שלחן המערכת - 2 כר'</v>
      </c>
    </row>
    <row r="41820" spans="1:6" x14ac:dyDescent="0.2">
      <c r="A41820" t="s">
        <v>63545</v>
      </c>
      <c r="B41820" t="s">
        <v>63546</v>
      </c>
      <c r="C41820" t="s">
        <v>1124</v>
      </c>
      <c r="D41820" t="s">
        <v>283</v>
      </c>
      <c r="E41820" t="s">
        <v>15</v>
      </c>
      <c r="F41820" s="2" t="str">
        <f>HYPERLINK("http://www.otzar.org/book.asp?104568","שלחן המערכת")</f>
        <v>שלחן המערכת</v>
      </c>
    </row>
    <row r="41821" spans="1:6" x14ac:dyDescent="0.2">
      <c r="A41821" t="s">
        <v>63547</v>
      </c>
      <c r="B41821" t="s">
        <v>1973</v>
      </c>
      <c r="C41821" t="s">
        <v>466</v>
      </c>
      <c r="D41821" t="s">
        <v>1974</v>
      </c>
      <c r="E41821" t="s">
        <v>15</v>
      </c>
      <c r="F41821" s="2" t="str">
        <f>HYPERLINK("http://www.otzar.org/book.asp?23643","שלחן המפורש")</f>
        <v>שלחן המפורש</v>
      </c>
    </row>
    <row r="41822" spans="1:6" x14ac:dyDescent="0.2">
      <c r="A41822" t="s">
        <v>63548</v>
      </c>
      <c r="B41822" t="s">
        <v>15397</v>
      </c>
      <c r="C41822" t="s">
        <v>466</v>
      </c>
      <c r="D41822" t="s">
        <v>14</v>
      </c>
      <c r="E41822" t="s">
        <v>130</v>
      </c>
      <c r="F41822" s="2" t="str">
        <f>HYPERLINK("http://www.otzar.org/book.asp?53045","שלחן הסדר")</f>
        <v>שלחן הסדר</v>
      </c>
    </row>
    <row r="41823" spans="1:6" x14ac:dyDescent="0.2">
      <c r="A41823" t="s">
        <v>63549</v>
      </c>
      <c r="B41823" t="s">
        <v>44602</v>
      </c>
      <c r="C41823" t="s">
        <v>38389</v>
      </c>
      <c r="D41823" t="s">
        <v>7999</v>
      </c>
      <c r="E41823" t="s">
        <v>172</v>
      </c>
      <c r="F41823" s="2" t="str">
        <f>HYPERLINK("http://www.otzar.org/book.asp?25458","שלחן העזר - 2 כר'")</f>
        <v>שלחן העזר - 2 כר'</v>
      </c>
    </row>
    <row r="41824" spans="1:6" x14ac:dyDescent="0.2">
      <c r="A41824" t="s">
        <v>63550</v>
      </c>
      <c r="B41824" t="s">
        <v>46323</v>
      </c>
      <c r="C41824" t="s">
        <v>151</v>
      </c>
      <c r="D41824" t="s">
        <v>152</v>
      </c>
      <c r="F41824" s="2" t="str">
        <f>HYPERLINK("http://www.otzar.org/book.asp?622381","שלחן הקצר - חול המועד")</f>
        <v>שלחן הקצר - חול המועד</v>
      </c>
    </row>
    <row r="41825" spans="1:6" x14ac:dyDescent="0.2">
      <c r="A41825" t="s">
        <v>63551</v>
      </c>
      <c r="B41825" t="s">
        <v>31845</v>
      </c>
      <c r="C41825" t="s">
        <v>4705</v>
      </c>
      <c r="D41825" t="s">
        <v>38238</v>
      </c>
      <c r="E41825" t="s">
        <v>15</v>
      </c>
      <c r="F41825" s="2" t="str">
        <f>HYPERLINK("http://www.otzar.org/book.asp?197056","שלחן הקריאה - 2 כר'")</f>
        <v>שלחן הקריאה - 2 כר'</v>
      </c>
    </row>
    <row r="41826" spans="1:6" x14ac:dyDescent="0.2">
      <c r="A41826" t="s">
        <v>63552</v>
      </c>
      <c r="B41826" t="s">
        <v>49589</v>
      </c>
      <c r="C41826" t="s">
        <v>13</v>
      </c>
      <c r="D41826" t="s">
        <v>412</v>
      </c>
      <c r="E41826" t="s">
        <v>172</v>
      </c>
      <c r="F41826" s="2" t="str">
        <f>HYPERLINK("http://www.otzar.org/book.asp?193802","שלחן השלם - 3 כר'")</f>
        <v>שלחן השלם - 3 כר'</v>
      </c>
    </row>
    <row r="41827" spans="1:6" x14ac:dyDescent="0.2">
      <c r="A41827" t="s">
        <v>63553</v>
      </c>
      <c r="B41827" t="s">
        <v>38395</v>
      </c>
      <c r="C41827" t="s">
        <v>244</v>
      </c>
      <c r="D41827" t="s">
        <v>21</v>
      </c>
      <c r="F41827" s="2" t="str">
        <f>HYPERLINK("http://www.otzar.org/book.asp?622945","שלחן זהב - פסח")</f>
        <v>שלחן זהב - פסח</v>
      </c>
    </row>
    <row r="41828" spans="1:6" x14ac:dyDescent="0.2">
      <c r="A41828" t="s">
        <v>63554</v>
      </c>
      <c r="B41828" t="s">
        <v>63555</v>
      </c>
      <c r="C41828" t="s">
        <v>1374</v>
      </c>
      <c r="D41828" t="s">
        <v>726</v>
      </c>
      <c r="E41828" t="s">
        <v>674</v>
      </c>
      <c r="F41828" s="2" t="str">
        <f>HYPERLINK("http://www.otzar.org/book.asp?64032","שלחן חי - 2 כר'")</f>
        <v>שלחן חי - 2 כר'</v>
      </c>
    </row>
    <row r="41829" spans="1:6" x14ac:dyDescent="0.2">
      <c r="A41829" t="s">
        <v>63556</v>
      </c>
      <c r="B41829" t="s">
        <v>4485</v>
      </c>
      <c r="C41829" t="s">
        <v>23</v>
      </c>
      <c r="D41829" t="s">
        <v>52</v>
      </c>
      <c r="F41829" s="2" t="str">
        <f>HYPERLINK("http://www.otzar.org/book.asp?617207","שלחן חיים - שבת קודש")</f>
        <v>שלחן חיים - שבת קודש</v>
      </c>
    </row>
    <row r="41830" spans="1:6" x14ac:dyDescent="0.2">
      <c r="A41830" t="s">
        <v>63557</v>
      </c>
      <c r="B41830" t="s">
        <v>7019</v>
      </c>
      <c r="C41830" t="s">
        <v>624</v>
      </c>
      <c r="D41830" t="s">
        <v>21</v>
      </c>
      <c r="E41830" t="s">
        <v>15</v>
      </c>
      <c r="F41830" s="2" t="str">
        <f>HYPERLINK("http://www.otzar.org/book.asp?628722","שלחן טהור")</f>
        <v>שלחן טהור</v>
      </c>
    </row>
    <row r="41831" spans="1:6" x14ac:dyDescent="0.2">
      <c r="A41831" t="s">
        <v>63557</v>
      </c>
      <c r="B41831" t="s">
        <v>63558</v>
      </c>
      <c r="C41831" t="s">
        <v>581</v>
      </c>
      <c r="D41831" t="s">
        <v>8555</v>
      </c>
      <c r="E41831" t="s">
        <v>15</v>
      </c>
      <c r="F41831" s="2" t="str">
        <f>HYPERLINK("http://www.otzar.org/book.asp?149249","שלחן טהור")</f>
        <v>שלחן טהור</v>
      </c>
    </row>
    <row r="41832" spans="1:6" x14ac:dyDescent="0.2">
      <c r="A41832" t="s">
        <v>63559</v>
      </c>
      <c r="B41832" t="s">
        <v>63560</v>
      </c>
      <c r="E41832" t="s">
        <v>148</v>
      </c>
      <c r="F41832" s="2" t="str">
        <f>HYPERLINK("http://www.otzar.org/book.asp?628669","שלחן טהרה - זהב טהור")</f>
        <v>שלחן טהרה - זהב טהור</v>
      </c>
    </row>
    <row r="41833" spans="1:6" x14ac:dyDescent="0.2">
      <c r="A41833" t="s">
        <v>63561</v>
      </c>
      <c r="B41833" t="s">
        <v>13135</v>
      </c>
      <c r="C41833" t="s">
        <v>71</v>
      </c>
      <c r="D41833" t="s">
        <v>52</v>
      </c>
      <c r="E41833" t="s">
        <v>172</v>
      </c>
      <c r="F41833" s="2" t="str">
        <f>HYPERLINK("http://www.otzar.org/book.asp?143694","שלחן יוסף - 2 כר'")</f>
        <v>שלחן יוסף - 2 כר'</v>
      </c>
    </row>
    <row r="41834" spans="1:6" x14ac:dyDescent="0.2">
      <c r="A41834" t="s">
        <v>63562</v>
      </c>
      <c r="B41834" t="s">
        <v>9506</v>
      </c>
      <c r="C41834" t="s">
        <v>366</v>
      </c>
      <c r="D41834" t="s">
        <v>52</v>
      </c>
      <c r="F41834" s="2" t="str">
        <f>HYPERLINK("http://www.otzar.org/book.asp?621155","שלחן ישראל")</f>
        <v>שלחן ישראל</v>
      </c>
    </row>
    <row r="41835" spans="1:6" x14ac:dyDescent="0.2">
      <c r="A41835" t="s">
        <v>63562</v>
      </c>
      <c r="B41835" t="s">
        <v>28091</v>
      </c>
      <c r="C41835" t="s">
        <v>111</v>
      </c>
      <c r="D41835" t="s">
        <v>90</v>
      </c>
      <c r="E41835" t="s">
        <v>15</v>
      </c>
      <c r="F41835" s="2" t="str">
        <f>HYPERLINK("http://www.otzar.org/book.asp?629283","שלחן ישראל")</f>
        <v>שלחן ישראל</v>
      </c>
    </row>
    <row r="41836" spans="1:6" x14ac:dyDescent="0.2">
      <c r="A41836" t="s">
        <v>63563</v>
      </c>
      <c r="B41836" t="s">
        <v>4581</v>
      </c>
      <c r="C41836" t="s">
        <v>151</v>
      </c>
      <c r="D41836" t="s">
        <v>14</v>
      </c>
      <c r="F41836" s="2" t="str">
        <f>HYPERLINK("http://www.otzar.org/book.asp?616446","שלחן לחם הפנים - 2 כר'")</f>
        <v>שלחן לחם הפנים - 2 כר'</v>
      </c>
    </row>
    <row r="41837" spans="1:6" x14ac:dyDescent="0.2">
      <c r="A41837" t="s">
        <v>63564</v>
      </c>
      <c r="B41837" t="s">
        <v>63565</v>
      </c>
      <c r="C41837" t="s">
        <v>68</v>
      </c>
      <c r="D41837" t="s">
        <v>52</v>
      </c>
      <c r="E41837" t="s">
        <v>15</v>
      </c>
      <c r="F41837" s="2" t="str">
        <f>HYPERLINK("http://www.otzar.org/book.asp?180940","שלחן מלכים - 2 כר'")</f>
        <v>שלחן מלכים - 2 כר'</v>
      </c>
    </row>
    <row r="41838" spans="1:6" x14ac:dyDescent="0.2">
      <c r="A41838" t="s">
        <v>63566</v>
      </c>
      <c r="B41838" t="s">
        <v>30566</v>
      </c>
      <c r="C41838" t="s">
        <v>1535</v>
      </c>
      <c r="D41838" t="s">
        <v>4772</v>
      </c>
      <c r="E41838" t="s">
        <v>15</v>
      </c>
      <c r="F41838" s="2" t="str">
        <f>HYPERLINK("http://www.otzar.org/book.asp?144818","שלחן מלכים")</f>
        <v>שלחן מלכים</v>
      </c>
    </row>
    <row r="41839" spans="1:6" x14ac:dyDescent="0.2">
      <c r="A41839" t="s">
        <v>63567</v>
      </c>
      <c r="B41839" t="s">
        <v>63568</v>
      </c>
      <c r="C41839" t="s">
        <v>523</v>
      </c>
      <c r="D41839" t="s">
        <v>52</v>
      </c>
      <c r="E41839" t="s">
        <v>158</v>
      </c>
      <c r="F41839" s="2" t="str">
        <f>HYPERLINK("http://www.otzar.org/book.asp?145262","שלחן מלכים - 3 כר'")</f>
        <v>שלחן מלכים - 3 כר'</v>
      </c>
    </row>
    <row r="41840" spans="1:6" x14ac:dyDescent="0.2">
      <c r="A41840" t="s">
        <v>63569</v>
      </c>
      <c r="B41840" t="s">
        <v>19621</v>
      </c>
      <c r="C41840" t="s">
        <v>23</v>
      </c>
      <c r="D41840" t="s">
        <v>147</v>
      </c>
      <c r="E41840" t="s">
        <v>579</v>
      </c>
      <c r="F41840" s="2" t="str">
        <f>HYPERLINK("http://www.otzar.org/book.asp?602945","שלחן מלכים - 5 כר'")</f>
        <v>שלחן מלכים - 5 כר'</v>
      </c>
    </row>
    <row r="41841" spans="1:6" x14ac:dyDescent="0.2">
      <c r="A41841" t="s">
        <v>63570</v>
      </c>
      <c r="B41841" t="s">
        <v>63571</v>
      </c>
      <c r="C41841" t="s">
        <v>20</v>
      </c>
      <c r="D41841" t="s">
        <v>14</v>
      </c>
      <c r="E41841" t="s">
        <v>104</v>
      </c>
      <c r="F41841" s="2" t="str">
        <f>HYPERLINK("http://www.otzar.org/book.asp?148615","שלחן מנחם")</f>
        <v>שלחן מנחם</v>
      </c>
    </row>
    <row r="41842" spans="1:6" x14ac:dyDescent="0.2">
      <c r="A41842" t="s">
        <v>63572</v>
      </c>
      <c r="B41842" t="s">
        <v>63573</v>
      </c>
      <c r="C41842" t="s">
        <v>411</v>
      </c>
      <c r="D41842" t="s">
        <v>52</v>
      </c>
      <c r="F41842" s="2" t="str">
        <f>HYPERLINK("http://www.otzar.org/book.asp?618492","שלחן מרדכי")</f>
        <v>שלחן מרדכי</v>
      </c>
    </row>
    <row r="41843" spans="1:6" x14ac:dyDescent="0.2">
      <c r="A41843" t="s">
        <v>63574</v>
      </c>
      <c r="B41843" t="s">
        <v>63575</v>
      </c>
      <c r="C41843" t="s">
        <v>133</v>
      </c>
      <c r="D41843" t="s">
        <v>1156</v>
      </c>
      <c r="E41843" t="s">
        <v>15</v>
      </c>
      <c r="F41843" s="2" t="str">
        <f>HYPERLINK("http://www.otzar.org/book.asp?171954","שלחן משה")</f>
        <v>שלחן משה</v>
      </c>
    </row>
    <row r="41844" spans="1:6" x14ac:dyDescent="0.2">
      <c r="A41844" t="s">
        <v>63576</v>
      </c>
      <c r="B41844" t="s">
        <v>22093</v>
      </c>
      <c r="C41844" t="s">
        <v>51</v>
      </c>
      <c r="D41844" t="s">
        <v>52</v>
      </c>
      <c r="E41844" t="s">
        <v>172</v>
      </c>
      <c r="F41844" s="2" t="str">
        <f>HYPERLINK("http://www.otzar.org/book.asp?61250","שלחן משה - 2 כר'")</f>
        <v>שלחן משה - 2 כר'</v>
      </c>
    </row>
    <row r="41845" spans="1:6" x14ac:dyDescent="0.2">
      <c r="A41845" t="s">
        <v>63577</v>
      </c>
      <c r="B41845" t="s">
        <v>13499</v>
      </c>
      <c r="C41845" t="s">
        <v>619</v>
      </c>
      <c r="D41845" t="s">
        <v>379</v>
      </c>
      <c r="E41845" t="s">
        <v>104</v>
      </c>
      <c r="F41845" s="2" t="str">
        <f>HYPERLINK("http://www.otzar.org/book.asp?165158","שלחן נגד צוררי")</f>
        <v>שלחן נגד צוררי</v>
      </c>
    </row>
    <row r="41846" spans="1:6" x14ac:dyDescent="0.2">
      <c r="A41846" t="s">
        <v>63578</v>
      </c>
      <c r="B41846" t="s">
        <v>14310</v>
      </c>
      <c r="C41846" t="s">
        <v>20</v>
      </c>
      <c r="D41846" t="s">
        <v>1076</v>
      </c>
      <c r="E41846" t="s">
        <v>172</v>
      </c>
      <c r="F41846" s="2" t="str">
        <f>HYPERLINK("http://www.otzar.org/book.asp?171963","שלחן עורך - פריה ורביה")</f>
        <v>שלחן עורך - פריה ורביה</v>
      </c>
    </row>
    <row r="41847" spans="1:6" x14ac:dyDescent="0.2">
      <c r="A41847" t="s">
        <v>63579</v>
      </c>
      <c r="B41847" t="s">
        <v>63580</v>
      </c>
      <c r="C41847" t="s">
        <v>23</v>
      </c>
      <c r="D41847" t="s">
        <v>21</v>
      </c>
      <c r="F41847" s="2" t="str">
        <f>HYPERLINK("http://www.otzar.org/book.asp?601646","שלחן עורך - 3 כר'")</f>
        <v>שלחן עורך - 3 כר'</v>
      </c>
    </row>
    <row r="41848" spans="1:6" x14ac:dyDescent="0.2">
      <c r="A41848" t="s">
        <v>63581</v>
      </c>
      <c r="B41848" t="s">
        <v>63582</v>
      </c>
      <c r="C41848" t="s">
        <v>133</v>
      </c>
      <c r="D41848" t="s">
        <v>1273</v>
      </c>
      <c r="E41848" t="s">
        <v>15</v>
      </c>
      <c r="F41848" s="2" t="str">
        <f>HYPERLINK("http://www.otzar.org/book.asp?199817","שלחן עצי שטים &lt;מהדורה חדשה&gt; - אמרי חיים")</f>
        <v>שלחן עצי שטים &lt;מהדורה חדשה&gt; - אמרי חיים</v>
      </c>
    </row>
    <row r="41849" spans="1:6" x14ac:dyDescent="0.2">
      <c r="A41849" t="s">
        <v>63583</v>
      </c>
      <c r="B41849" t="s">
        <v>24709</v>
      </c>
      <c r="C41849" t="s">
        <v>1592</v>
      </c>
      <c r="D41849" t="s">
        <v>280</v>
      </c>
      <c r="E41849" t="s">
        <v>15</v>
      </c>
      <c r="F41849" s="2" t="str">
        <f>HYPERLINK("http://www.otzar.org/book.asp?8217","שלחן עצי שטים")</f>
        <v>שלחן עצי שטים</v>
      </c>
    </row>
    <row r="41850" spans="1:6" x14ac:dyDescent="0.2">
      <c r="A41850" t="s">
        <v>63584</v>
      </c>
      <c r="B41850" t="s">
        <v>63585</v>
      </c>
      <c r="C41850" t="s">
        <v>6784</v>
      </c>
      <c r="D41850" t="s">
        <v>2295</v>
      </c>
      <c r="E41850" t="s">
        <v>14086</v>
      </c>
      <c r="F41850" s="2" t="str">
        <f>HYPERLINK("http://www.otzar.org/book.asp?14653","שלחן ערוך &lt;פתחי תשובה, נחלת צבי&gt; - 2 כר'")</f>
        <v>שלחן ערוך &lt;פתחי תשובה, נחלת צבי&gt; - 2 כר'</v>
      </c>
    </row>
    <row r="41851" spans="1:6" x14ac:dyDescent="0.2">
      <c r="A41851" t="s">
        <v>63586</v>
      </c>
      <c r="B41851" t="s">
        <v>338</v>
      </c>
      <c r="C41851" t="s">
        <v>23</v>
      </c>
      <c r="D41851" t="s">
        <v>14</v>
      </c>
      <c r="E41851" t="s">
        <v>172</v>
      </c>
      <c r="F41851" s="2" t="str">
        <f>HYPERLINK("http://www.otzar.org/book.asp?608667","שלחן ערוך &lt;נותן טעם&gt; - בשר בחלב, תערובות")</f>
        <v>שלחן ערוך &lt;נותן טעם&gt; - בשר בחלב, תערובות</v>
      </c>
    </row>
    <row r="41852" spans="1:6" x14ac:dyDescent="0.2">
      <c r="A41852" t="s">
        <v>63587</v>
      </c>
      <c r="B41852" t="s">
        <v>338</v>
      </c>
      <c r="C41852" t="s">
        <v>133</v>
      </c>
      <c r="D41852" t="s">
        <v>14</v>
      </c>
      <c r="E41852" t="s">
        <v>172</v>
      </c>
      <c r="F41852" s="2" t="str">
        <f>HYPERLINK("http://www.otzar.org/book.asp?182471","שלחן ערוך &lt;תרגומא דקרא&gt; - חלה ומעשרות")</f>
        <v>שלחן ערוך &lt;תרגומא דקרא&gt; - חלה ומעשרות</v>
      </c>
    </row>
    <row r="41853" spans="1:6" x14ac:dyDescent="0.2">
      <c r="A41853" t="s">
        <v>63588</v>
      </c>
      <c r="B41853" t="s">
        <v>63589</v>
      </c>
      <c r="C41853" t="s">
        <v>103</v>
      </c>
      <c r="D41853" t="s">
        <v>14</v>
      </c>
      <c r="E41853" t="s">
        <v>172</v>
      </c>
      <c r="F41853" s="2" t="str">
        <f>HYPERLINK("http://www.otzar.org/book.asp?170090","שלחן ערוך &lt;פרי עץ חיים&gt; - שחיטה וטריפות")</f>
        <v>שלחן ערוך &lt;פרי עץ חיים&gt; - שחיטה וטריפות</v>
      </c>
    </row>
    <row r="41854" spans="1:6" x14ac:dyDescent="0.2">
      <c r="A41854" t="s">
        <v>63590</v>
      </c>
      <c r="B41854" t="s">
        <v>63591</v>
      </c>
      <c r="C41854" t="s">
        <v>114</v>
      </c>
      <c r="D41854" t="s">
        <v>1356</v>
      </c>
      <c r="E41854" t="s">
        <v>172</v>
      </c>
      <c r="F41854" s="2" t="str">
        <f>HYPERLINK("http://www.otzar.org/book.asp?165005","שלחן ערוך &lt;דרך השולחן&gt; - הלכות הרחקות")</f>
        <v>שלחן ערוך &lt;דרך השולחן&gt; - הלכות הרחקות</v>
      </c>
    </row>
    <row r="41855" spans="1:6" x14ac:dyDescent="0.2">
      <c r="A41855" t="s">
        <v>63592</v>
      </c>
      <c r="B41855" t="s">
        <v>63593</v>
      </c>
      <c r="C41855" t="s">
        <v>360</v>
      </c>
      <c r="D41855" t="s">
        <v>56</v>
      </c>
      <c r="E41855" t="s">
        <v>172</v>
      </c>
      <c r="F41855" s="2" t="str">
        <f>HYPERLINK("http://www.otzar.org/book.asp?85189","שלחן ערוך &lt;מקוצר ונערך ומבואר&gt;")</f>
        <v>שלחן ערוך &lt;מקוצר ונערך ומבואר&gt;</v>
      </c>
    </row>
    <row r="41856" spans="1:6" x14ac:dyDescent="0.2">
      <c r="A41856" t="s">
        <v>63594</v>
      </c>
      <c r="B41856" t="s">
        <v>24828</v>
      </c>
      <c r="C41856" t="s">
        <v>11298</v>
      </c>
      <c r="D41856" t="s">
        <v>267</v>
      </c>
      <c r="F41856" s="2" t="str">
        <f>HYPERLINK("http://www.otzar.org/book.asp?170256","שלחן ערוך &lt;האר""י&gt;")</f>
        <v>שלחן ערוך &lt;האר"י&gt;</v>
      </c>
    </row>
    <row r="41857" spans="1:6" x14ac:dyDescent="0.2">
      <c r="A41857" t="s">
        <v>63595</v>
      </c>
      <c r="B41857" t="s">
        <v>63596</v>
      </c>
      <c r="C41857" t="s">
        <v>27010</v>
      </c>
      <c r="D41857" t="s">
        <v>280</v>
      </c>
      <c r="F41857" s="2" t="str">
        <f>HYPERLINK("http://www.otzar.org/book.asp?174333","שלחן ערוך &lt;באר רחובות&gt; - 3 כר'")</f>
        <v>שלחן ערוך &lt;באר רחובות&gt; - 3 כר'</v>
      </c>
    </row>
    <row r="41858" spans="1:6" x14ac:dyDescent="0.2">
      <c r="A41858" t="s">
        <v>63597</v>
      </c>
      <c r="B41858" t="s">
        <v>19508</v>
      </c>
      <c r="E41858" t="s">
        <v>172</v>
      </c>
      <c r="F41858" s="2" t="str">
        <f>HYPERLINK("http://www.otzar.org/book.asp?155692","שלחן ערוך &lt;ליקוטים טובים&gt; - או""ח")</f>
        <v>שלחן ערוך &lt;ליקוטים טובים&gt; - או"ח</v>
      </c>
    </row>
    <row r="41859" spans="1:6" x14ac:dyDescent="0.2">
      <c r="A41859" t="s">
        <v>63598</v>
      </c>
      <c r="B41859" t="s">
        <v>1035</v>
      </c>
      <c r="C41859" t="s">
        <v>63599</v>
      </c>
      <c r="D41859" t="s">
        <v>267</v>
      </c>
      <c r="E41859" t="s">
        <v>172</v>
      </c>
      <c r="F41859" s="2" t="str">
        <f>HYPERLINK("http://www.otzar.org/book.asp?200300","שלחן ערוך &lt;הרגיל&gt; - 10 כר'")</f>
        <v>שלחן ערוך &lt;הרגיל&gt; - 10 כר'</v>
      </c>
    </row>
    <row r="41860" spans="1:6" x14ac:dyDescent="0.2">
      <c r="A41860" t="s">
        <v>63600</v>
      </c>
      <c r="B41860" t="s">
        <v>1035</v>
      </c>
      <c r="C41860" t="s">
        <v>1177</v>
      </c>
      <c r="D41860" t="s">
        <v>307</v>
      </c>
      <c r="E41860" t="s">
        <v>172</v>
      </c>
      <c r="F41860" s="2" t="str">
        <f>HYPERLINK("http://www.otzar.org/book.asp?176727","שלחן ערוך &lt;וורשא&gt; - 3 כר'")</f>
        <v>שלחן ערוך &lt;וורשא&gt; - 3 כר'</v>
      </c>
    </row>
    <row r="41861" spans="1:6" x14ac:dyDescent="0.2">
      <c r="A41861" t="s">
        <v>63601</v>
      </c>
      <c r="B41861" t="s">
        <v>1035</v>
      </c>
      <c r="C41861" t="s">
        <v>63602</v>
      </c>
      <c r="D41861" t="s">
        <v>49</v>
      </c>
      <c r="E41861" t="s">
        <v>172</v>
      </c>
      <c r="F41861" s="2" t="str">
        <f>HYPERLINK("http://www.otzar.org/book.asp?105176","שלחן ערוך &lt;ונציה&gt; - 4 כר'")</f>
        <v>שלחן ערוך &lt;ונציה&gt; - 4 כר'</v>
      </c>
    </row>
    <row r="41862" spans="1:6" x14ac:dyDescent="0.2">
      <c r="A41862" t="s">
        <v>63603</v>
      </c>
      <c r="B41862" t="s">
        <v>1035</v>
      </c>
      <c r="C41862" t="s">
        <v>129</v>
      </c>
      <c r="D41862" t="s">
        <v>14</v>
      </c>
      <c r="E41862" t="s">
        <v>172</v>
      </c>
      <c r="F41862" s="2" t="str">
        <f>HYPERLINK("http://www.otzar.org/book.asp?50001","שלחן ערוך &lt;טקסט&gt;")</f>
        <v>שלחן ערוך &lt;טקסט&gt;</v>
      </c>
    </row>
    <row r="41863" spans="1:6" x14ac:dyDescent="0.2">
      <c r="A41863" t="s">
        <v>63604</v>
      </c>
      <c r="B41863" t="s">
        <v>1035</v>
      </c>
      <c r="C41863" t="s">
        <v>63605</v>
      </c>
      <c r="D41863" t="s">
        <v>1411</v>
      </c>
      <c r="E41863" t="s">
        <v>172</v>
      </c>
      <c r="F41863" s="2" t="str">
        <f>HYPERLINK("http://www.otzar.org/book.asp?101800","שלחן ערוך &lt;מנטובה&gt; - 4 כר'")</f>
        <v>שלחן ערוך &lt;מנטובה&gt; - 4 כר'</v>
      </c>
    </row>
    <row r="41864" spans="1:6" x14ac:dyDescent="0.2">
      <c r="A41864" t="s">
        <v>63606</v>
      </c>
      <c r="B41864" t="s">
        <v>1035</v>
      </c>
      <c r="C41864" t="s">
        <v>63607</v>
      </c>
      <c r="D41864" t="s">
        <v>1117</v>
      </c>
      <c r="E41864" t="s">
        <v>14086</v>
      </c>
      <c r="F41864" s="2" t="str">
        <f>HYPERLINK("http://www.otzar.org/book.asp?1030","שלחן ערוך &lt;קראקא&gt; - 3 כר'")</f>
        <v>שלחן ערוך &lt;קראקא&gt; - 3 כר'</v>
      </c>
    </row>
    <row r="41865" spans="1:6" x14ac:dyDescent="0.2">
      <c r="A41865" t="s">
        <v>63608</v>
      </c>
      <c r="B41865" t="s">
        <v>1035</v>
      </c>
      <c r="C41865" t="s">
        <v>63609</v>
      </c>
      <c r="D41865" t="s">
        <v>1117</v>
      </c>
      <c r="E41865" t="s">
        <v>172</v>
      </c>
      <c r="F41865" s="2" t="str">
        <f>HYPERLINK("http://www.otzar.org/book.asp?188554","שלחן ערוך (קרקוב שע""ו) - או""ח")</f>
        <v>שלחן ערוך (קרקוב שע"ו) - או"ח</v>
      </c>
    </row>
    <row r="41866" spans="1:6" x14ac:dyDescent="0.2">
      <c r="A41866" t="s">
        <v>63610</v>
      </c>
      <c r="B41866" t="s">
        <v>1035</v>
      </c>
      <c r="C41866" t="s">
        <v>6784</v>
      </c>
      <c r="D41866" t="s">
        <v>60</v>
      </c>
      <c r="E41866" t="s">
        <v>172</v>
      </c>
      <c r="F41866" s="2" t="str">
        <f>HYPERLINK("http://www.otzar.org/book.asp?163513","שלחן ערוך אבן העזר &lt;זאלקווה ת""ר&gt;")</f>
        <v>שלחן ערוך אבן העזר &lt;זאלקווה ת"ר&gt;</v>
      </c>
    </row>
    <row r="41867" spans="1:6" x14ac:dyDescent="0.2">
      <c r="A41867" t="s">
        <v>63611</v>
      </c>
      <c r="B41867" t="s">
        <v>19765</v>
      </c>
      <c r="C41867" t="s">
        <v>8462</v>
      </c>
      <c r="D41867" t="s">
        <v>4269</v>
      </c>
      <c r="E41867" t="s">
        <v>172</v>
      </c>
      <c r="F41867" s="2" t="str">
        <f>HYPERLINK("http://www.otzar.org/book.asp?147114","שלחן ערוך אבן העזר עם מטעמים ומעדנים - 2 כר'")</f>
        <v>שלחן ערוך אבן העזר עם מטעמים ומעדנים - 2 כר'</v>
      </c>
    </row>
    <row r="41868" spans="1:6" x14ac:dyDescent="0.2">
      <c r="A41868" t="s">
        <v>63612</v>
      </c>
      <c r="B41868" t="s">
        <v>19508</v>
      </c>
      <c r="C41868" t="s">
        <v>362</v>
      </c>
      <c r="D41868" t="s">
        <v>56</v>
      </c>
      <c r="E41868" t="s">
        <v>172</v>
      </c>
      <c r="F41868" s="2" t="str">
        <f>HYPERLINK("http://www.otzar.org/book.asp?108344","שלחן ערוך או""ח &lt;פתחי עולם, מטעמי השלחן&gt; - 2 כר'")</f>
        <v>שלחן ערוך או"ח &lt;פתחי עולם, מטעמי השלחן&gt; - 2 כר'</v>
      </c>
    </row>
    <row r="41869" spans="1:6" x14ac:dyDescent="0.2">
      <c r="A41869" t="s">
        <v>63613</v>
      </c>
      <c r="B41869" t="s">
        <v>16731</v>
      </c>
      <c r="C41869" t="s">
        <v>3138</v>
      </c>
      <c r="D41869" t="s">
        <v>379</v>
      </c>
      <c r="E41869" t="s">
        <v>172</v>
      </c>
      <c r="F41869" s="2" t="str">
        <f>HYPERLINK("http://www.otzar.org/book.asp?7888","שלחן ערוך אורח חיים &lt;מאסף לכל המחנות&gt; - 2 כר'")</f>
        <v>שלחן ערוך אורח חיים &lt;מאסף לכל המחנות&gt; - 2 כר'</v>
      </c>
    </row>
    <row r="41870" spans="1:6" x14ac:dyDescent="0.2">
      <c r="A41870" t="s">
        <v>63614</v>
      </c>
      <c r="B41870" t="s">
        <v>53160</v>
      </c>
      <c r="C41870" t="s">
        <v>946</v>
      </c>
      <c r="D41870" t="s">
        <v>29937</v>
      </c>
      <c r="E41870" t="s">
        <v>872</v>
      </c>
      <c r="F41870" s="2" t="str">
        <f>HYPERLINK("http://www.otzar.org/book.asp?8347","שלחן ערוך אורח חיים &lt;מלבושי שבת&gt;")</f>
        <v>שלחן ערוך אורח חיים &lt;מלבושי שבת&gt;</v>
      </c>
    </row>
    <row r="41871" spans="1:6" x14ac:dyDescent="0.2">
      <c r="A41871" t="s">
        <v>63615</v>
      </c>
      <c r="B41871" t="s">
        <v>1035</v>
      </c>
      <c r="C41871" t="s">
        <v>63616</v>
      </c>
      <c r="D41871" t="s">
        <v>10668</v>
      </c>
      <c r="E41871" t="s">
        <v>172</v>
      </c>
      <c r="F41871" s="2" t="str">
        <f>HYPERLINK("http://www.otzar.org/book.asp?51754","שלחן ערוך אורח חיים &lt;טעם מגדים, ליקוטי מגדים, בדי השלחן&gt; - א")</f>
        <v>שלחן ערוך אורח חיים &lt;טעם מגדים, ליקוטי מגדים, בדי השלחן&gt; - א</v>
      </c>
    </row>
    <row r="41872" spans="1:6" x14ac:dyDescent="0.2">
      <c r="A41872" t="s">
        <v>63617</v>
      </c>
      <c r="B41872" t="s">
        <v>63618</v>
      </c>
      <c r="C41872" t="s">
        <v>1663</v>
      </c>
      <c r="D41872" t="s">
        <v>9</v>
      </c>
      <c r="E41872" t="s">
        <v>172</v>
      </c>
      <c r="F41872" s="2" t="str">
        <f>HYPERLINK("http://www.otzar.org/book.asp?13834","שלחן ערוך אורח חיים &lt;באר יעקב&gt; - 5 כר'")</f>
        <v>שלחן ערוך אורח חיים &lt;באר יעקב&gt; - 5 כר'</v>
      </c>
    </row>
    <row r="41873" spans="1:6" x14ac:dyDescent="0.2">
      <c r="A41873" t="s">
        <v>63619</v>
      </c>
      <c r="B41873" t="s">
        <v>24828</v>
      </c>
      <c r="C41873" t="s">
        <v>26234</v>
      </c>
      <c r="D41873" t="s">
        <v>1117</v>
      </c>
      <c r="E41873" t="s">
        <v>8854</v>
      </c>
      <c r="F41873" s="2" t="str">
        <f>HYPERLINK("http://www.otzar.org/book.asp?146693","שלחן ערוך האר""י ז""ל &lt;דפו""ר&gt;")</f>
        <v>שלחן ערוך האר"י ז"ל &lt;דפו"ר&gt;</v>
      </c>
    </row>
    <row r="41874" spans="1:6" x14ac:dyDescent="0.2">
      <c r="A41874" t="s">
        <v>63620</v>
      </c>
      <c r="B41874" t="s">
        <v>24828</v>
      </c>
      <c r="C41874" t="s">
        <v>728</v>
      </c>
      <c r="D41874" t="s">
        <v>283</v>
      </c>
      <c r="E41874" t="s">
        <v>399</v>
      </c>
      <c r="F41874" s="2" t="str">
        <f>HYPERLINK("http://www.otzar.org/book.asp?102001","שלחן ערוך האר""י ז""ל")</f>
        <v>שלחן ערוך האר"י ז"ל</v>
      </c>
    </row>
    <row r="41875" spans="1:6" x14ac:dyDescent="0.2">
      <c r="A41875" t="s">
        <v>63621</v>
      </c>
      <c r="B41875" t="s">
        <v>24828</v>
      </c>
      <c r="C41875" t="s">
        <v>4374</v>
      </c>
      <c r="D41875" t="s">
        <v>267</v>
      </c>
      <c r="E41875" t="s">
        <v>399</v>
      </c>
      <c r="F41875" s="2" t="str">
        <f>HYPERLINK("http://www.otzar.org/book.asp?181139","שלחן ערוך האר""י")</f>
        <v>שלחן ערוך האר"י</v>
      </c>
    </row>
    <row r="41876" spans="1:6" x14ac:dyDescent="0.2">
      <c r="A41876" t="s">
        <v>63622</v>
      </c>
      <c r="B41876" t="s">
        <v>63623</v>
      </c>
      <c r="C41876" t="s">
        <v>68</v>
      </c>
      <c r="D41876" t="s">
        <v>14</v>
      </c>
      <c r="E41876" t="s">
        <v>63624</v>
      </c>
      <c r="F41876" s="2" t="str">
        <f>HYPERLINK("http://www.otzar.org/book.asp?155797","שלחן ערוך האריז""ל המדויק &lt;שלחן אריאל&gt;")</f>
        <v>שלחן ערוך האריז"ל המדויק &lt;שלחן אריאל&gt;</v>
      </c>
    </row>
    <row r="41877" spans="1:6" x14ac:dyDescent="0.2">
      <c r="A41877" t="s">
        <v>63625</v>
      </c>
      <c r="B41877" t="s">
        <v>63626</v>
      </c>
      <c r="C41877" t="s">
        <v>63627</v>
      </c>
      <c r="D41877" t="s">
        <v>14</v>
      </c>
      <c r="E41877" t="s">
        <v>399</v>
      </c>
      <c r="F41877" s="2" t="str">
        <f>HYPERLINK("http://www.otzar.org/book.asp?107175","שלחן ערוך הזהר - 28 כר'")</f>
        <v>שלחן ערוך הזהר - 28 כר'</v>
      </c>
    </row>
    <row r="41878" spans="1:6" x14ac:dyDescent="0.2">
      <c r="A41878" t="s">
        <v>63628</v>
      </c>
      <c r="B41878" t="s">
        <v>43976</v>
      </c>
      <c r="C41878" t="s">
        <v>13</v>
      </c>
      <c r="D41878" t="s">
        <v>14</v>
      </c>
      <c r="E41878" t="s">
        <v>241</v>
      </c>
      <c r="F41878" s="2" t="str">
        <f>HYPERLINK("http://www.otzar.org/book.asp?628161","שלחן ערוך המדות - 3 כר'")</f>
        <v>שלחן ערוך המדות - 3 כר'</v>
      </c>
    </row>
    <row r="41879" spans="1:6" x14ac:dyDescent="0.2">
      <c r="A41879" t="s">
        <v>63629</v>
      </c>
      <c r="B41879" t="s">
        <v>17331</v>
      </c>
      <c r="C41879" t="s">
        <v>17</v>
      </c>
      <c r="D41879" t="s">
        <v>52</v>
      </c>
      <c r="E41879" t="s">
        <v>837</v>
      </c>
      <c r="F41879" s="2" t="str">
        <f>HYPERLINK("http://www.otzar.org/book.asp?108263","שלחן ערוך המקוצר - 8 כר'")</f>
        <v>שלחן ערוך המקוצר - 8 כר'</v>
      </c>
    </row>
    <row r="41880" spans="1:6" x14ac:dyDescent="0.2">
      <c r="A41880" t="s">
        <v>63630</v>
      </c>
      <c r="B41880" t="s">
        <v>63631</v>
      </c>
      <c r="C41880" t="s">
        <v>114</v>
      </c>
      <c r="D41880" t="s">
        <v>412</v>
      </c>
      <c r="E41880" t="s">
        <v>148</v>
      </c>
      <c r="F41880" s="2" t="str">
        <f>HYPERLINK("http://www.otzar.org/book.asp?192860","שלחן ערוך הרב &lt;מעשה חושב&gt;, מסילות שבת")</f>
        <v>שלחן ערוך הרב &lt;מעשה חושב&gt;, מסילות שבת</v>
      </c>
    </row>
    <row r="41881" spans="1:6" x14ac:dyDescent="0.2">
      <c r="A41881" t="s">
        <v>63632</v>
      </c>
      <c r="B41881" t="s">
        <v>44241</v>
      </c>
      <c r="C41881" t="s">
        <v>133</v>
      </c>
      <c r="D41881" t="s">
        <v>52</v>
      </c>
      <c r="E41881" t="s">
        <v>130</v>
      </c>
      <c r="F41881" s="2" t="str">
        <f>HYPERLINK("http://www.otzar.org/book.asp?625891","שלחן ערוך הרב הל' שבת עם ביאור נימוקי שבת")</f>
        <v>שלחן ערוך הרב הל' שבת עם ביאור נימוקי שבת</v>
      </c>
    </row>
    <row r="41882" spans="1:6" x14ac:dyDescent="0.2">
      <c r="A41882" t="s">
        <v>63633</v>
      </c>
      <c r="B41882" t="s">
        <v>63634</v>
      </c>
      <c r="C41882" t="s">
        <v>146</v>
      </c>
      <c r="D41882" t="s">
        <v>14</v>
      </c>
      <c r="E41882" t="s">
        <v>148</v>
      </c>
      <c r="F41882" s="2" t="str">
        <f>HYPERLINK("http://www.otzar.org/book.asp?159945","שלחן ערוך הרב עם עיונים וביאורים")</f>
        <v>שלחן ערוך הרב עם עיונים וביאורים</v>
      </c>
    </row>
    <row r="41883" spans="1:6" x14ac:dyDescent="0.2">
      <c r="A41883" t="s">
        <v>63635</v>
      </c>
      <c r="B41883" t="s">
        <v>63636</v>
      </c>
      <c r="C41883" t="s">
        <v>111</v>
      </c>
      <c r="D41883" t="s">
        <v>21</v>
      </c>
      <c r="F41883" s="2" t="str">
        <f>HYPERLINK("http://www.otzar.org/book.asp?621774","שלחן ערוך הרב עם ציונים והערות - הלכות רבית")</f>
        <v>שלחן ערוך הרב עם ציונים והערות - הלכות רבית</v>
      </c>
    </row>
    <row r="41884" spans="1:6" x14ac:dyDescent="0.2">
      <c r="A41884" t="s">
        <v>63637</v>
      </c>
      <c r="B41884" t="s">
        <v>10831</v>
      </c>
      <c r="C41884" t="s">
        <v>151</v>
      </c>
      <c r="D41884" t="s">
        <v>147</v>
      </c>
      <c r="F41884" s="2" t="str">
        <f>HYPERLINK("http://www.otzar.org/book.asp?621089","שלחן ערוך הרב - הלכות ריבית &lt;במשנת הרב&gt;")</f>
        <v>שלחן ערוך הרב - הלכות ריבית &lt;במשנת הרב&gt;</v>
      </c>
    </row>
    <row r="41885" spans="1:6" x14ac:dyDescent="0.2">
      <c r="A41885" t="s">
        <v>63638</v>
      </c>
      <c r="B41885" t="s">
        <v>1536</v>
      </c>
      <c r="C41885" t="s">
        <v>1458</v>
      </c>
      <c r="D41885" t="s">
        <v>8579</v>
      </c>
      <c r="E41885" t="s">
        <v>15</v>
      </c>
      <c r="F41885" s="2" t="str">
        <f>HYPERLINK("http://www.otzar.org/book.asp?25620","שלחן ערוך הרב - 14 כר'")</f>
        <v>שלחן ערוך הרב - 14 כר'</v>
      </c>
    </row>
    <row r="41886" spans="1:6" x14ac:dyDescent="0.2">
      <c r="A41886" t="s">
        <v>63639</v>
      </c>
      <c r="B41886" t="s">
        <v>1035</v>
      </c>
      <c r="C41886" t="s">
        <v>1721</v>
      </c>
      <c r="D41886" t="s">
        <v>22864</v>
      </c>
      <c r="E41886" t="s">
        <v>172</v>
      </c>
      <c r="F41886" s="2" t="str">
        <f>HYPERLINK("http://www.otzar.org/book.asp?162523","שלחן ערוך חושן משפט &lt;הגהות רעק""א בסופו&gt; - 2 כר'")</f>
        <v>שלחן ערוך חושן משפט &lt;הגהות רעק"א בסופו&gt; - 2 כר'</v>
      </c>
    </row>
    <row r="41887" spans="1:6" x14ac:dyDescent="0.2">
      <c r="A41887" t="s">
        <v>63640</v>
      </c>
      <c r="B41887" t="s">
        <v>27192</v>
      </c>
      <c r="C41887" t="s">
        <v>5140</v>
      </c>
      <c r="D41887" t="s">
        <v>9748</v>
      </c>
      <c r="E41887" t="s">
        <v>172</v>
      </c>
      <c r="F41887" s="2" t="str">
        <f>HYPERLINK("http://www.otzar.org/book.asp?51040","שלחן ערוך חקי חיים")</f>
        <v>שלחן ערוך חקי חיים</v>
      </c>
    </row>
    <row r="41888" spans="1:6" x14ac:dyDescent="0.2">
      <c r="A41888" t="s">
        <v>63641</v>
      </c>
      <c r="B41888" t="s">
        <v>9476</v>
      </c>
      <c r="E41888" t="s">
        <v>172</v>
      </c>
      <c r="F41888" s="2" t="str">
        <f>HYPERLINK("http://www.otzar.org/book.asp?603439","שלחן ערוך יורה דעה &lt;לעמברג&gt; - קובץ מפרשים")</f>
        <v>שלחן ערוך יורה דעה &lt;לעמברג&gt; - קובץ מפרשים</v>
      </c>
    </row>
    <row r="41889" spans="1:6" x14ac:dyDescent="0.2">
      <c r="A41889" t="s">
        <v>63642</v>
      </c>
      <c r="B41889" t="s">
        <v>11570</v>
      </c>
      <c r="C41889" t="s">
        <v>37</v>
      </c>
      <c r="D41889" t="s">
        <v>11571</v>
      </c>
      <c r="E41889" t="s">
        <v>172</v>
      </c>
      <c r="F41889" s="2" t="str">
        <f>HYPERLINK("http://www.otzar.org/book.asp?606609","שלחן ערוך כפשוטו - 5 כר'")</f>
        <v>שלחן ערוך כפשוטו - 5 כר'</v>
      </c>
    </row>
    <row r="41890" spans="1:6" x14ac:dyDescent="0.2">
      <c r="A41890" t="s">
        <v>63643</v>
      </c>
      <c r="B41890" t="s">
        <v>37787</v>
      </c>
      <c r="C41890" t="s">
        <v>63644</v>
      </c>
      <c r="D41890" t="s">
        <v>986</v>
      </c>
      <c r="E41890" t="s">
        <v>877</v>
      </c>
      <c r="F41890" s="2" t="str">
        <f>HYPERLINK("http://www.otzar.org/book.asp?107013","שלחן ערוך לבני הנעורים")</f>
        <v>שלחן ערוך לבני הנעורים</v>
      </c>
    </row>
    <row r="41891" spans="1:6" x14ac:dyDescent="0.2">
      <c r="A41891" t="s">
        <v>63645</v>
      </c>
      <c r="B41891" t="s">
        <v>63646</v>
      </c>
      <c r="C41891" t="s">
        <v>454</v>
      </c>
      <c r="D41891" t="s">
        <v>14</v>
      </c>
      <c r="F41891" s="2" t="str">
        <f>HYPERLINK("http://www.otzar.org/book.asp?618098","שלחן ערוך מחולק ומסודר ללימוד יום יום כדי לסיימו בשנה אחת - 2 כר'")</f>
        <v>שלחן ערוך מחולק ומסודר ללימוד יום יום כדי לסיימו בשנה אחת - 2 כר'</v>
      </c>
    </row>
    <row r="41892" spans="1:6" x14ac:dyDescent="0.2">
      <c r="A41892" t="s">
        <v>63647</v>
      </c>
      <c r="B41892" t="s">
        <v>1035</v>
      </c>
      <c r="C41892" t="s">
        <v>63648</v>
      </c>
      <c r="D41892" t="s">
        <v>292</v>
      </c>
      <c r="E41892" t="s">
        <v>172</v>
      </c>
      <c r="F41892" s="2" t="str">
        <f>HYPERLINK("http://www.otzar.org/book.asp?179878","שלחן ערוך מטור אבן העזר &lt;פתחי תשובה&gt;")</f>
        <v>שלחן ערוך מטור אבן העזר &lt;פתחי תשובה&gt;</v>
      </c>
    </row>
    <row r="41893" spans="1:6" x14ac:dyDescent="0.2">
      <c r="A41893" t="s">
        <v>63649</v>
      </c>
      <c r="B41893" t="s">
        <v>1035</v>
      </c>
      <c r="C41893" t="s">
        <v>4462</v>
      </c>
      <c r="D41893" t="s">
        <v>1023</v>
      </c>
      <c r="E41893" t="s">
        <v>172</v>
      </c>
      <c r="F41893" s="2" t="str">
        <f>HYPERLINK("http://www.otzar.org/book.asp?105878","שלחן ערוך מטור אבן העזר - 3 כר'")</f>
        <v>שלחן ערוך מטור אבן העזר - 3 כר'</v>
      </c>
    </row>
    <row r="41894" spans="1:6" x14ac:dyDescent="0.2">
      <c r="A41894" t="s">
        <v>63650</v>
      </c>
      <c r="B41894" t="s">
        <v>1035</v>
      </c>
      <c r="C41894" t="s">
        <v>63651</v>
      </c>
      <c r="D41894" t="s">
        <v>27</v>
      </c>
      <c r="E41894" t="s">
        <v>63652</v>
      </c>
      <c r="F41894" s="2" t="str">
        <f>HYPERLINK("http://www.otzar.org/book.asp?104577","שלחן ערוך מטור אורח חיים &lt;שתילי זיתים&gt; - 2 כר'")</f>
        <v>שלחן ערוך מטור אורח חיים &lt;שתילי זיתים&gt; - 2 כר'</v>
      </c>
    </row>
    <row r="41895" spans="1:6" x14ac:dyDescent="0.2">
      <c r="A41895" t="s">
        <v>63653</v>
      </c>
      <c r="B41895" t="s">
        <v>63654</v>
      </c>
      <c r="C41895" t="s">
        <v>528</v>
      </c>
      <c r="D41895" t="s">
        <v>1023</v>
      </c>
      <c r="E41895" t="s">
        <v>172</v>
      </c>
      <c r="F41895" s="2" t="str">
        <f>HYPERLINK("http://www.otzar.org/book.asp?104365","שלחן ערוך מטור יורה דעה &lt;לקט הקמח, פנים חדשות&gt;")</f>
        <v>שלחן ערוך מטור יורה דעה &lt;לקט הקמח, פנים חדשות&gt;</v>
      </c>
    </row>
    <row r="41896" spans="1:6" x14ac:dyDescent="0.2">
      <c r="A41896" t="s">
        <v>63655</v>
      </c>
      <c r="B41896" t="s">
        <v>63656</v>
      </c>
      <c r="C41896" t="s">
        <v>37</v>
      </c>
      <c r="D41896" t="s">
        <v>21</v>
      </c>
      <c r="E41896" t="s">
        <v>172</v>
      </c>
      <c r="F41896" s="2" t="str">
        <f>HYPERLINK("http://www.otzar.org/book.asp?190233","שלחן ערוך עם ביאור מנחת אליהו - 3 כר'")</f>
        <v>שלחן ערוך עם ביאור מנחת אליהו - 3 כר'</v>
      </c>
    </row>
    <row r="41897" spans="1:6" x14ac:dyDescent="0.2">
      <c r="A41897" t="s">
        <v>63657</v>
      </c>
      <c r="B41897" t="s">
        <v>16823</v>
      </c>
      <c r="C41897" t="s">
        <v>6684</v>
      </c>
      <c r="D41897" t="s">
        <v>5477</v>
      </c>
      <c r="E41897" t="s">
        <v>148</v>
      </c>
      <c r="F41897" s="2" t="str">
        <f>HYPERLINK("http://www.otzar.org/book.asp?155610","שלחן ערוך קטן")</f>
        <v>שלחן ערוך קטן</v>
      </c>
    </row>
    <row r="41898" spans="1:6" x14ac:dyDescent="0.2">
      <c r="A41898" t="s">
        <v>63657</v>
      </c>
      <c r="B41898" t="s">
        <v>9772</v>
      </c>
      <c r="C41898" t="s">
        <v>20</v>
      </c>
      <c r="D41898" t="s">
        <v>14</v>
      </c>
      <c r="E41898" t="s">
        <v>148</v>
      </c>
      <c r="F41898" s="2" t="str">
        <f>HYPERLINK("http://www.otzar.org/book.asp?51170","שלחן ערוך קטן")</f>
        <v>שלחן ערוך קטן</v>
      </c>
    </row>
    <row r="41899" spans="1:6" x14ac:dyDescent="0.2">
      <c r="A41899" t="s">
        <v>63658</v>
      </c>
      <c r="B41899" t="s">
        <v>63659</v>
      </c>
      <c r="C41899" t="s">
        <v>16540</v>
      </c>
      <c r="D41899" t="s">
        <v>2303</v>
      </c>
      <c r="E41899" t="s">
        <v>15</v>
      </c>
      <c r="F41899" s="2" t="str">
        <f>HYPERLINK("http://www.otzar.org/book.asp?145430","שלחן ערוך של מהור""ר אליעזר הקטן - 2 כר'")</f>
        <v>שלחן ערוך של מהור"ר אליעזר הקטן - 2 כר'</v>
      </c>
    </row>
    <row r="41900" spans="1:6" x14ac:dyDescent="0.2">
      <c r="A41900" t="s">
        <v>63660</v>
      </c>
      <c r="B41900" t="s">
        <v>24828</v>
      </c>
      <c r="C41900" t="s">
        <v>1470</v>
      </c>
      <c r="D41900" t="s">
        <v>379</v>
      </c>
      <c r="E41900" t="s">
        <v>399</v>
      </c>
      <c r="F41900" s="2" t="str">
        <f>HYPERLINK("http://www.otzar.org/book.asp?15293","שלחן ערוך של רבינו יצחק לוריא זלל""ה")</f>
        <v>שלחן ערוך של רבינו יצחק לוריא זלל"ה</v>
      </c>
    </row>
    <row r="41901" spans="1:6" x14ac:dyDescent="0.2">
      <c r="A41901" t="s">
        <v>63661</v>
      </c>
      <c r="B41901" t="s">
        <v>63425</v>
      </c>
      <c r="C41901" t="s">
        <v>411</v>
      </c>
      <c r="D41901" t="s">
        <v>52</v>
      </c>
      <c r="F41901" s="2" t="str">
        <f>HYPERLINK("http://www.otzar.org/book.asp?616479","שלחן ערוך - הלכות מלאכות שבת")</f>
        <v>שלחן ערוך - הלכות מלאכות שבת</v>
      </c>
    </row>
    <row r="41902" spans="1:6" x14ac:dyDescent="0.2">
      <c r="A41902" t="s">
        <v>63662</v>
      </c>
      <c r="B41902" t="s">
        <v>44017</v>
      </c>
      <c r="C41902" t="s">
        <v>63663</v>
      </c>
      <c r="D41902" t="s">
        <v>1117</v>
      </c>
      <c r="E41902" t="s">
        <v>172</v>
      </c>
      <c r="F41902" s="2" t="str">
        <f>HYPERLINK("http://www.otzar.org/book.asp?20331","שלחן ערוך - עטרת צבי - נחלת צבי")</f>
        <v>שלחן ערוך - עטרת צבי - נחלת צבי</v>
      </c>
    </row>
    <row r="41903" spans="1:6" x14ac:dyDescent="0.2">
      <c r="A41903" t="s">
        <v>63664</v>
      </c>
      <c r="B41903" t="s">
        <v>40466</v>
      </c>
      <c r="C41903" t="s">
        <v>411</v>
      </c>
      <c r="D41903" t="s">
        <v>52</v>
      </c>
      <c r="F41903" s="2" t="str">
        <f>HYPERLINK("http://www.otzar.org/book.asp?616480","שלחן ערוך - הלכות תפילה")</f>
        <v>שלחן ערוך - הלכות תפילה</v>
      </c>
    </row>
    <row r="41904" spans="1:6" x14ac:dyDescent="0.2">
      <c r="A41904" t="s">
        <v>63665</v>
      </c>
      <c r="B41904" t="s">
        <v>1035</v>
      </c>
      <c r="C41904" t="s">
        <v>1481</v>
      </c>
      <c r="D41904" t="s">
        <v>535</v>
      </c>
      <c r="E41904" t="s">
        <v>172</v>
      </c>
      <c r="F41904" s="2" t="str">
        <f>HYPERLINK("http://www.otzar.org/book.asp?150085","שלחן ערוך - 3 כר'")</f>
        <v>שלחן ערוך - 3 כר'</v>
      </c>
    </row>
    <row r="41905" spans="1:6" x14ac:dyDescent="0.2">
      <c r="A41905" t="s">
        <v>63666</v>
      </c>
      <c r="B41905" t="s">
        <v>63667</v>
      </c>
      <c r="C41905" t="s">
        <v>146</v>
      </c>
      <c r="D41905" t="s">
        <v>412</v>
      </c>
      <c r="E41905" t="s">
        <v>44107</v>
      </c>
      <c r="F41905" s="2" t="str">
        <f>HYPERLINK("http://www.otzar.org/book.asp?176662","שלחן רבותינו - או""ח")</f>
        <v>שלחן רבותינו - או"ח</v>
      </c>
    </row>
    <row r="41906" spans="1:6" x14ac:dyDescent="0.2">
      <c r="A41906" t="s">
        <v>63668</v>
      </c>
      <c r="B41906" t="s">
        <v>35238</v>
      </c>
      <c r="C41906" t="s">
        <v>133</v>
      </c>
      <c r="D41906" t="s">
        <v>412</v>
      </c>
      <c r="E41906" t="s">
        <v>172</v>
      </c>
      <c r="F41906" s="2" t="str">
        <f>HYPERLINK("http://www.otzar.org/book.asp?176499","שלחן רמ""א - שכירות וקבלנות")</f>
        <v>שלחן רמ"א - שכירות וקבלנות</v>
      </c>
    </row>
    <row r="41907" spans="1:6" x14ac:dyDescent="0.2">
      <c r="A41907" t="s">
        <v>63669</v>
      </c>
      <c r="B41907" t="s">
        <v>63670</v>
      </c>
      <c r="C41907" t="s">
        <v>103</v>
      </c>
      <c r="D41907" t="s">
        <v>423</v>
      </c>
      <c r="E41907" t="s">
        <v>130</v>
      </c>
      <c r="F41907" s="2" t="str">
        <f>HYPERLINK("http://www.otzar.org/book.asp?171595","שלחן שבת &lt;מהדורה חדשה&gt;")</f>
        <v>שלחן שבת &lt;מהדורה חדשה&gt;</v>
      </c>
    </row>
    <row r="41908" spans="1:6" x14ac:dyDescent="0.2">
      <c r="A41908" t="s">
        <v>63671</v>
      </c>
      <c r="B41908" t="s">
        <v>63670</v>
      </c>
      <c r="C41908" t="s">
        <v>360</v>
      </c>
      <c r="D41908" t="s">
        <v>691</v>
      </c>
      <c r="E41908" t="s">
        <v>63672</v>
      </c>
      <c r="F41908" s="2" t="str">
        <f>HYPERLINK("http://www.otzar.org/book.asp?10609","שלחן שבת")</f>
        <v>שלחן שבת</v>
      </c>
    </row>
    <row r="41909" spans="1:6" x14ac:dyDescent="0.2">
      <c r="A41909" t="s">
        <v>63671</v>
      </c>
      <c r="B41909" t="s">
        <v>63673</v>
      </c>
      <c r="C41909" t="s">
        <v>151</v>
      </c>
      <c r="D41909" t="s">
        <v>14</v>
      </c>
      <c r="E41909" t="s">
        <v>172</v>
      </c>
      <c r="F41909" s="2" t="str">
        <f>HYPERLINK("http://www.otzar.org/book.asp?622063","שלחן שבת")</f>
        <v>שלחן שבת</v>
      </c>
    </row>
    <row r="41910" spans="1:6" x14ac:dyDescent="0.2">
      <c r="A41910" t="s">
        <v>63674</v>
      </c>
      <c r="B41910" t="s">
        <v>63675</v>
      </c>
      <c r="C41910" t="s">
        <v>725</v>
      </c>
      <c r="D41910" t="s">
        <v>8939</v>
      </c>
      <c r="E41910" t="s">
        <v>15</v>
      </c>
      <c r="F41910" s="2" t="str">
        <f>HYPERLINK("http://www.otzar.org/book.asp?13647","שלחן של ארבע &lt;שתי ידות&gt;")</f>
        <v>שלחן של ארבע &lt;שתי ידות&gt;</v>
      </c>
    </row>
    <row r="41911" spans="1:6" x14ac:dyDescent="0.2">
      <c r="A41911" t="s">
        <v>63676</v>
      </c>
      <c r="B41911" t="s">
        <v>9164</v>
      </c>
      <c r="C41911" t="s">
        <v>38383</v>
      </c>
      <c r="D41911" t="s">
        <v>5528</v>
      </c>
      <c r="F41911" s="2" t="str">
        <f>HYPERLINK("http://www.otzar.org/book.asp?152816","שלחן של ארבע - 4 כר'")</f>
        <v>שלחן של ארבע - 4 כר'</v>
      </c>
    </row>
    <row r="41912" spans="1:6" x14ac:dyDescent="0.2">
      <c r="A41912" t="s">
        <v>63677</v>
      </c>
      <c r="B41912" t="s">
        <v>5592</v>
      </c>
      <c r="C41912" t="s">
        <v>103</v>
      </c>
      <c r="D41912" t="s">
        <v>14</v>
      </c>
      <c r="E41912" t="s">
        <v>148</v>
      </c>
      <c r="F41912" s="2" t="str">
        <f>HYPERLINK("http://www.otzar.org/book.asp?149554","שלחן שלמה &lt;מהדורה חדשה&gt;")</f>
        <v>שלחן שלמה &lt;מהדורה חדשה&gt;</v>
      </c>
    </row>
    <row r="41913" spans="1:6" x14ac:dyDescent="0.2">
      <c r="A41913" t="s">
        <v>63678</v>
      </c>
      <c r="B41913" t="s">
        <v>2528</v>
      </c>
      <c r="C41913" t="s">
        <v>496</v>
      </c>
      <c r="D41913" t="s">
        <v>283</v>
      </c>
      <c r="E41913" t="s">
        <v>172</v>
      </c>
      <c r="F41913" s="2" t="str">
        <f>HYPERLINK("http://www.otzar.org/book.asp?155611","שלחן שלמה (קצש""ע בתרגום יידיש)")</f>
        <v>שלחן שלמה (קצש"ע בתרגום יידיש)</v>
      </c>
    </row>
    <row r="41914" spans="1:6" x14ac:dyDescent="0.2">
      <c r="A41914" t="s">
        <v>63679</v>
      </c>
      <c r="B41914" t="s">
        <v>63680</v>
      </c>
      <c r="C41914" t="s">
        <v>7158</v>
      </c>
      <c r="D41914" t="s">
        <v>1023</v>
      </c>
      <c r="E41914" t="s">
        <v>154</v>
      </c>
      <c r="F41914" s="2" t="str">
        <f>HYPERLINK("http://www.otzar.org/book.asp?145460","שלחן שלמה")</f>
        <v>שלחן שלמה</v>
      </c>
    </row>
    <row r="41915" spans="1:6" x14ac:dyDescent="0.2">
      <c r="A41915" t="s">
        <v>63679</v>
      </c>
      <c r="B41915" t="s">
        <v>5592</v>
      </c>
      <c r="C41915" t="s">
        <v>1335</v>
      </c>
      <c r="D41915" t="s">
        <v>283</v>
      </c>
      <c r="E41915" t="s">
        <v>172</v>
      </c>
      <c r="F41915" s="2" t="str">
        <f>HYPERLINK("http://www.otzar.org/book.asp?104947","שלחן שלמה")</f>
        <v>שלחן שלמה</v>
      </c>
    </row>
    <row r="41916" spans="1:6" x14ac:dyDescent="0.2">
      <c r="A41916" t="s">
        <v>63679</v>
      </c>
      <c r="B41916" t="s">
        <v>62125</v>
      </c>
      <c r="C41916" t="s">
        <v>940</v>
      </c>
      <c r="D41916" t="s">
        <v>14</v>
      </c>
      <c r="F41916" s="2" t="str">
        <f>HYPERLINK("http://www.otzar.org/book.asp?169653","שלחן שלמה")</f>
        <v>שלחן שלמה</v>
      </c>
    </row>
    <row r="41917" spans="1:6" x14ac:dyDescent="0.2">
      <c r="A41917" t="s">
        <v>63681</v>
      </c>
      <c r="B41917" t="s">
        <v>39722</v>
      </c>
      <c r="C41917" t="s">
        <v>244</v>
      </c>
      <c r="D41917" t="s">
        <v>21</v>
      </c>
      <c r="F41917" s="2" t="str">
        <f>HYPERLINK("http://www.otzar.org/book.asp?601429","שלחן שמואל - 13 כר'")</f>
        <v>שלחן שמואל - 13 כר'</v>
      </c>
    </row>
    <row r="41918" spans="1:6" x14ac:dyDescent="0.2">
      <c r="A41918" t="s">
        <v>63682</v>
      </c>
      <c r="B41918" t="s">
        <v>31313</v>
      </c>
      <c r="C41918" t="s">
        <v>950</v>
      </c>
      <c r="D41918" t="s">
        <v>212</v>
      </c>
      <c r="E41918" t="s">
        <v>172</v>
      </c>
      <c r="F41918" s="2" t="str">
        <f>HYPERLINK("http://www.otzar.org/book.asp?101846","שלחנו של אברהם")</f>
        <v>שלחנו של אברהם</v>
      </c>
    </row>
    <row r="41919" spans="1:6" x14ac:dyDescent="0.2">
      <c r="A41919" t="s">
        <v>63683</v>
      </c>
      <c r="B41919" t="s">
        <v>63684</v>
      </c>
      <c r="C41919" t="s">
        <v>39697</v>
      </c>
      <c r="D41919" t="s">
        <v>1411</v>
      </c>
      <c r="E41919" t="s">
        <v>182</v>
      </c>
      <c r="F41919" s="2" t="str">
        <f>HYPERLINK("http://www.otzar.org/book.asp?7286","שלטי הגבורים")</f>
        <v>שלטי הגבורים</v>
      </c>
    </row>
    <row r="41920" spans="1:6" x14ac:dyDescent="0.2">
      <c r="A41920" t="s">
        <v>63685</v>
      </c>
      <c r="B41920" t="s">
        <v>61108</v>
      </c>
      <c r="C41920" t="s">
        <v>362</v>
      </c>
      <c r="D41920" t="s">
        <v>27</v>
      </c>
      <c r="E41920" t="s">
        <v>148</v>
      </c>
      <c r="F41920" s="2" t="str">
        <f>HYPERLINK("http://www.otzar.org/book.asp?21402","שלטי הזהב")</f>
        <v>שלטי הזהב</v>
      </c>
    </row>
    <row r="41921" spans="1:6" x14ac:dyDescent="0.2">
      <c r="A41921" t="s">
        <v>63686</v>
      </c>
      <c r="B41921" t="s">
        <v>63687</v>
      </c>
      <c r="C41921" t="s">
        <v>466</v>
      </c>
      <c r="D41921" t="s">
        <v>52</v>
      </c>
      <c r="E41921" t="s">
        <v>202</v>
      </c>
      <c r="F41921" s="2" t="str">
        <f>HYPERLINK("http://www.otzar.org/book.asp?156861","שליח ציבור - 2 כר'")</f>
        <v>שליח ציבור - 2 כר'</v>
      </c>
    </row>
    <row r="41922" spans="1:6" x14ac:dyDescent="0.2">
      <c r="A41922" t="s">
        <v>63688</v>
      </c>
      <c r="B41922" t="s">
        <v>63689</v>
      </c>
      <c r="C41922" t="s">
        <v>4404</v>
      </c>
      <c r="D41922" t="s">
        <v>2290</v>
      </c>
      <c r="E41922" t="s">
        <v>474</v>
      </c>
      <c r="F41922" s="2" t="str">
        <f>HYPERLINK("http://www.otzar.org/book.asp?100769","שליחות אליהו")</f>
        <v>שליחות אליהו</v>
      </c>
    </row>
    <row r="41923" spans="1:6" x14ac:dyDescent="0.2">
      <c r="A41923" t="s">
        <v>63690</v>
      </c>
      <c r="B41923" t="s">
        <v>56131</v>
      </c>
      <c r="C41923" t="s">
        <v>366</v>
      </c>
      <c r="D41923" t="s">
        <v>412</v>
      </c>
      <c r="E41923" t="s">
        <v>15</v>
      </c>
      <c r="F41923" s="2" t="str">
        <f>HYPERLINK("http://www.otzar.org/book.asp?627255","שלילת גידול בלורית")</f>
        <v>שלילת גידול בלורית</v>
      </c>
    </row>
    <row r="41924" spans="1:6" x14ac:dyDescent="0.2">
      <c r="A41924" t="s">
        <v>63691</v>
      </c>
      <c r="B41924" t="s">
        <v>1750</v>
      </c>
      <c r="C41924" t="s">
        <v>146</v>
      </c>
      <c r="D41924" t="s">
        <v>52</v>
      </c>
      <c r="E41924" t="s">
        <v>384</v>
      </c>
      <c r="F41924" s="2" t="str">
        <f>HYPERLINK("http://www.otzar.org/book.asp?159900","שלימות והשתלמות")</f>
        <v>שלימות והשתלמות</v>
      </c>
    </row>
    <row r="41925" spans="1:6" x14ac:dyDescent="0.2">
      <c r="A41925" t="s">
        <v>63692</v>
      </c>
      <c r="B41925" t="s">
        <v>58076</v>
      </c>
      <c r="C41925" t="s">
        <v>133</v>
      </c>
      <c r="D41925" t="s">
        <v>90</v>
      </c>
      <c r="E41925" t="s">
        <v>144</v>
      </c>
      <c r="F41925" s="2" t="str">
        <f>HYPERLINK("http://www.otzar.org/book.asp?602979","שלל שמים")</f>
        <v>שלל שמים</v>
      </c>
    </row>
    <row r="41926" spans="1:6" x14ac:dyDescent="0.2">
      <c r="A41926" t="s">
        <v>63693</v>
      </c>
      <c r="B41926" t="s">
        <v>63694</v>
      </c>
      <c r="C41926" t="s">
        <v>23</v>
      </c>
      <c r="D41926" t="s">
        <v>2531</v>
      </c>
      <c r="E41926" t="s">
        <v>172</v>
      </c>
      <c r="F41926" s="2" t="str">
        <f>HYPERLINK("http://www.otzar.org/book.asp?193634","שלמא בעלמא")</f>
        <v>שלמא בעלמא</v>
      </c>
    </row>
    <row r="41927" spans="1:6" x14ac:dyDescent="0.2">
      <c r="A41927" t="s">
        <v>63695</v>
      </c>
      <c r="B41927" t="s">
        <v>63696</v>
      </c>
      <c r="C41927" t="s">
        <v>244</v>
      </c>
      <c r="D41927" t="s">
        <v>412</v>
      </c>
      <c r="E41927" t="s">
        <v>3987</v>
      </c>
      <c r="F41927" s="2" t="str">
        <f>HYPERLINK("http://www.otzar.org/book.asp?601217","שלמא דרבי מאיר")</f>
        <v>שלמא דרבי מאיר</v>
      </c>
    </row>
    <row r="41928" spans="1:6" x14ac:dyDescent="0.2">
      <c r="A41928" t="s">
        <v>63697</v>
      </c>
      <c r="B41928" t="s">
        <v>63698</v>
      </c>
      <c r="C41928" t="s">
        <v>26</v>
      </c>
      <c r="D41928" t="s">
        <v>90</v>
      </c>
      <c r="E41928" t="s">
        <v>119</v>
      </c>
      <c r="F41928" s="2" t="str">
        <f>HYPERLINK("http://www.otzar.org/book.asp?169116","שלמה בן יוסף הי""ד")</f>
        <v>שלמה בן יוסף הי"ד</v>
      </c>
    </row>
    <row r="41929" spans="1:6" x14ac:dyDescent="0.2">
      <c r="A41929" t="s">
        <v>63699</v>
      </c>
      <c r="B41929" t="s">
        <v>55195</v>
      </c>
      <c r="C41929" t="s">
        <v>79</v>
      </c>
      <c r="D41929" t="s">
        <v>27</v>
      </c>
      <c r="E41929" t="s">
        <v>6937</v>
      </c>
      <c r="F41929" s="2" t="str">
        <f>HYPERLINK("http://www.otzar.org/book.asp?10257","שלמה חדשה - 3 כר'")</f>
        <v>שלמה חדשה - 3 כר'</v>
      </c>
    </row>
    <row r="41930" spans="1:6" x14ac:dyDescent="0.2">
      <c r="A41930" t="s">
        <v>63700</v>
      </c>
      <c r="B41930" t="s">
        <v>63701</v>
      </c>
      <c r="C41930" t="s">
        <v>383</v>
      </c>
      <c r="D41930" t="s">
        <v>14</v>
      </c>
      <c r="E41930" t="s">
        <v>172</v>
      </c>
      <c r="F41930" s="2" t="str">
        <f>HYPERLINK("http://www.otzar.org/book.asp?104569","שלמה לאברהם")</f>
        <v>שלמה לאברהם</v>
      </c>
    </row>
    <row r="41931" spans="1:6" x14ac:dyDescent="0.2">
      <c r="A41931" t="s">
        <v>63702</v>
      </c>
      <c r="B41931" t="s">
        <v>63703</v>
      </c>
      <c r="C41931" t="s">
        <v>343</v>
      </c>
      <c r="D41931" t="s">
        <v>744</v>
      </c>
      <c r="E41931" t="s">
        <v>241</v>
      </c>
      <c r="F41931" s="2" t="str">
        <f>HYPERLINK("http://www.otzar.org/book.asp?103747","שלמה מול אדר")</f>
        <v>שלמה מול אדר</v>
      </c>
    </row>
    <row r="41932" spans="1:6" x14ac:dyDescent="0.2">
      <c r="A41932" t="s">
        <v>63704</v>
      </c>
      <c r="B41932" t="s">
        <v>63705</v>
      </c>
      <c r="C41932" t="s">
        <v>244</v>
      </c>
      <c r="D41932" t="s">
        <v>152</v>
      </c>
      <c r="F41932" s="2" t="str">
        <f>HYPERLINK("http://www.otzar.org/book.asp?197529","שלמה משנתו")</f>
        <v>שלמה משנתו</v>
      </c>
    </row>
    <row r="41933" spans="1:6" x14ac:dyDescent="0.2">
      <c r="A41933" t="s">
        <v>63704</v>
      </c>
      <c r="B41933" t="s">
        <v>63706</v>
      </c>
      <c r="C41933" t="s">
        <v>1437</v>
      </c>
      <c r="D41933" t="s">
        <v>283</v>
      </c>
      <c r="E41933" t="s">
        <v>144</v>
      </c>
      <c r="F41933" s="2" t="str">
        <f>HYPERLINK("http://www.otzar.org/book.asp?28450","שלמה משנתו")</f>
        <v>שלמה משנתו</v>
      </c>
    </row>
    <row r="41934" spans="1:6" x14ac:dyDescent="0.2">
      <c r="A41934" t="s">
        <v>63707</v>
      </c>
      <c r="B41934" t="s">
        <v>63708</v>
      </c>
      <c r="C41934" t="s">
        <v>785</v>
      </c>
      <c r="D41934" t="s">
        <v>52</v>
      </c>
      <c r="E41934" t="s">
        <v>733</v>
      </c>
      <c r="F41934" s="2" t="str">
        <f>HYPERLINK("http://www.otzar.org/book.asp?84607","שלמות הבית")</f>
        <v>שלמות הבית</v>
      </c>
    </row>
    <row r="41935" spans="1:6" x14ac:dyDescent="0.2">
      <c r="A41935" t="s">
        <v>63707</v>
      </c>
      <c r="B41935" t="s">
        <v>63709</v>
      </c>
      <c r="C41935" t="s">
        <v>146</v>
      </c>
      <c r="D41935" t="s">
        <v>14</v>
      </c>
      <c r="E41935" t="s">
        <v>104</v>
      </c>
      <c r="F41935" s="2" t="str">
        <f>HYPERLINK("http://www.otzar.org/book.asp?157559","שלמות הבית")</f>
        <v>שלמות הבית</v>
      </c>
    </row>
    <row r="41936" spans="1:6" x14ac:dyDescent="0.2">
      <c r="A41936" t="s">
        <v>63710</v>
      </c>
      <c r="B41936" t="s">
        <v>53068</v>
      </c>
      <c r="C41936" t="s">
        <v>111</v>
      </c>
      <c r="D41936" t="s">
        <v>52</v>
      </c>
      <c r="F41936" s="2" t="str">
        <f>HYPERLINK("http://www.otzar.org/book.asp?623096","שלמי אברהם - 2 כר'")</f>
        <v>שלמי אברהם - 2 כר'</v>
      </c>
    </row>
    <row r="41937" spans="1:6" x14ac:dyDescent="0.2">
      <c r="A41937" t="s">
        <v>63711</v>
      </c>
      <c r="B41937" t="s">
        <v>63712</v>
      </c>
      <c r="C41937" t="s">
        <v>151</v>
      </c>
      <c r="D41937" t="s">
        <v>63713</v>
      </c>
      <c r="E41937" t="s">
        <v>4160</v>
      </c>
      <c r="F41937" s="2" t="str">
        <f>HYPERLINK("http://www.otzar.org/book.asp?631117","שלמי אהבה")</f>
        <v>שלמי אהבה</v>
      </c>
    </row>
    <row r="41938" spans="1:6" x14ac:dyDescent="0.2">
      <c r="A41938" t="s">
        <v>63714</v>
      </c>
      <c r="B41938" t="s">
        <v>63715</v>
      </c>
      <c r="C41938" t="s">
        <v>114</v>
      </c>
      <c r="D41938" t="s">
        <v>216</v>
      </c>
      <c r="E41938" t="s">
        <v>202</v>
      </c>
      <c r="F41938" s="2" t="str">
        <f>HYPERLINK("http://www.otzar.org/book.asp?628682","שלמי בכורים - ב")</f>
        <v>שלמי בכורים - ב</v>
      </c>
    </row>
    <row r="41939" spans="1:6" x14ac:dyDescent="0.2">
      <c r="A41939" t="s">
        <v>63716</v>
      </c>
      <c r="B41939" t="s">
        <v>63717</v>
      </c>
      <c r="C41939" t="s">
        <v>151</v>
      </c>
      <c r="D41939" t="s">
        <v>52</v>
      </c>
      <c r="E41939" t="s">
        <v>144</v>
      </c>
      <c r="F41939" s="2" t="str">
        <f>HYPERLINK("http://www.otzar.org/book.asp?623207","שלמי בנימין - 3 כר'")</f>
        <v>שלמי בנימין - 3 כר'</v>
      </c>
    </row>
    <row r="41940" spans="1:6" x14ac:dyDescent="0.2">
      <c r="A41940" t="s">
        <v>63718</v>
      </c>
      <c r="B41940" t="s">
        <v>63719</v>
      </c>
      <c r="C41940" t="s">
        <v>151</v>
      </c>
      <c r="D41940" t="s">
        <v>152</v>
      </c>
      <c r="F41940" s="2" t="str">
        <f>HYPERLINK("http://www.otzar.org/book.asp?609683","שלמי ברוך - 2 כר'")</f>
        <v>שלמי ברוך - 2 כר'</v>
      </c>
    </row>
    <row r="41941" spans="1:6" x14ac:dyDescent="0.2">
      <c r="A41941" t="s">
        <v>63720</v>
      </c>
      <c r="B41941" t="s">
        <v>34594</v>
      </c>
      <c r="C41941" t="s">
        <v>133</v>
      </c>
      <c r="D41941" t="s">
        <v>52</v>
      </c>
      <c r="E41941" t="s">
        <v>15</v>
      </c>
      <c r="F41941" s="2" t="str">
        <f>HYPERLINK("http://www.otzar.org/book.asp?175560","שלמי דבורה - 3 כר'")</f>
        <v>שלמי דבורה - 3 כר'</v>
      </c>
    </row>
    <row r="41942" spans="1:6" x14ac:dyDescent="0.2">
      <c r="A41942" t="s">
        <v>63721</v>
      </c>
      <c r="B41942" t="s">
        <v>63722</v>
      </c>
      <c r="C41942" t="s">
        <v>68</v>
      </c>
      <c r="D41942" t="s">
        <v>52</v>
      </c>
      <c r="E41942" t="s">
        <v>144</v>
      </c>
      <c r="F41942" s="2" t="str">
        <f>HYPERLINK("http://www.otzar.org/book.asp?165452","שלמי דוד")</f>
        <v>שלמי דוד</v>
      </c>
    </row>
    <row r="41943" spans="1:6" x14ac:dyDescent="0.2">
      <c r="A41943" t="s">
        <v>63723</v>
      </c>
      <c r="B41943" t="s">
        <v>63724</v>
      </c>
      <c r="C41943" t="s">
        <v>129</v>
      </c>
      <c r="D41943" t="s">
        <v>14</v>
      </c>
      <c r="E41943" t="s">
        <v>12306</v>
      </c>
      <c r="F41943" s="2" t="str">
        <f>HYPERLINK("http://www.otzar.org/book.asp?52345","שלמי דעה - טהרות")</f>
        <v>שלמי דעה - טהרות</v>
      </c>
    </row>
    <row r="41944" spans="1:6" x14ac:dyDescent="0.2">
      <c r="A41944" t="s">
        <v>63725</v>
      </c>
      <c r="B41944" t="s">
        <v>63726</v>
      </c>
      <c r="C41944" t="s">
        <v>151</v>
      </c>
      <c r="D41944" t="s">
        <v>367</v>
      </c>
      <c r="F41944" s="2" t="str">
        <f>HYPERLINK("http://www.otzar.org/book.asp?612405","שלמי דעה - 2 כר'")</f>
        <v>שלמי דעה - 2 כר'</v>
      </c>
    </row>
    <row r="41945" spans="1:6" x14ac:dyDescent="0.2">
      <c r="A41945" t="s">
        <v>63727</v>
      </c>
      <c r="B41945" t="s">
        <v>53251</v>
      </c>
      <c r="C41945" t="s">
        <v>151</v>
      </c>
      <c r="D41945" t="s">
        <v>412</v>
      </c>
      <c r="F41945" s="2" t="str">
        <f>HYPERLINK("http://www.otzar.org/book.asp?616903","שלמי הלוי")</f>
        <v>שלמי הלוי</v>
      </c>
    </row>
    <row r="41946" spans="1:6" x14ac:dyDescent="0.2">
      <c r="A41946" t="s">
        <v>63728</v>
      </c>
      <c r="B41946" t="s">
        <v>63729</v>
      </c>
      <c r="C41946" t="s">
        <v>366</v>
      </c>
      <c r="D41946" t="s">
        <v>21</v>
      </c>
      <c r="F41946" s="2" t="str">
        <f>HYPERLINK("http://www.otzar.org/book.asp?610206","שלמי המועדים")</f>
        <v>שלמי המועדים</v>
      </c>
    </row>
    <row r="41947" spans="1:6" x14ac:dyDescent="0.2">
      <c r="A41947" t="s">
        <v>63730</v>
      </c>
      <c r="B41947" t="s">
        <v>63731</v>
      </c>
      <c r="C41947" t="s">
        <v>20</v>
      </c>
      <c r="D41947" t="s">
        <v>14</v>
      </c>
      <c r="F41947" s="2" t="str">
        <f>HYPERLINK("http://www.otzar.org/book.asp?198700","שלמי זאב")</f>
        <v>שלמי זאב</v>
      </c>
    </row>
    <row r="41948" spans="1:6" x14ac:dyDescent="0.2">
      <c r="A41948" t="s">
        <v>63732</v>
      </c>
      <c r="B41948" t="s">
        <v>6885</v>
      </c>
      <c r="C41948" t="s">
        <v>2040</v>
      </c>
      <c r="D41948" t="s">
        <v>76</v>
      </c>
      <c r="E41948" t="s">
        <v>31</v>
      </c>
      <c r="F41948" s="2" t="str">
        <f>HYPERLINK("http://www.otzar.org/book.asp?8306","שלמי חגיגה")</f>
        <v>שלמי חגיגה</v>
      </c>
    </row>
    <row r="41949" spans="1:6" x14ac:dyDescent="0.2">
      <c r="A41949" t="s">
        <v>63733</v>
      </c>
      <c r="B41949" t="s">
        <v>16199</v>
      </c>
      <c r="C41949" t="s">
        <v>422</v>
      </c>
      <c r="D41949" t="s">
        <v>52</v>
      </c>
      <c r="E41949" t="s">
        <v>144</v>
      </c>
      <c r="F41949" s="2" t="str">
        <f>HYPERLINK("http://www.otzar.org/book.asp?155681","שלמי חגיגה - 2 כר'")</f>
        <v>שלמי חגיגה - 2 כר'</v>
      </c>
    </row>
    <row r="41950" spans="1:6" x14ac:dyDescent="0.2">
      <c r="A41950" t="s">
        <v>63732</v>
      </c>
      <c r="B41950" t="s">
        <v>63734</v>
      </c>
      <c r="C41950" t="s">
        <v>1448</v>
      </c>
      <c r="D41950" t="s">
        <v>412</v>
      </c>
      <c r="E41950" t="s">
        <v>144</v>
      </c>
      <c r="F41950" s="2" t="str">
        <f>HYPERLINK("http://www.otzar.org/book.asp?84823","שלמי חגיגה")</f>
        <v>שלמי חגיגה</v>
      </c>
    </row>
    <row r="41951" spans="1:6" x14ac:dyDescent="0.2">
      <c r="A41951" t="s">
        <v>63735</v>
      </c>
      <c r="B41951" t="s">
        <v>63734</v>
      </c>
      <c r="C41951" t="s">
        <v>189</v>
      </c>
      <c r="D41951" t="s">
        <v>31723</v>
      </c>
      <c r="E41951" t="s">
        <v>154</v>
      </c>
      <c r="F41951" s="2" t="str">
        <f>HYPERLINK("http://www.otzar.org/book.asp?195006","שלמי חובה - יורה דעה")</f>
        <v>שלמי חובה - יורה דעה</v>
      </c>
    </row>
    <row r="41952" spans="1:6" x14ac:dyDescent="0.2">
      <c r="A41952" t="s">
        <v>63736</v>
      </c>
      <c r="B41952" t="s">
        <v>63737</v>
      </c>
      <c r="C41952" t="s">
        <v>366</v>
      </c>
      <c r="D41952" t="s">
        <v>1273</v>
      </c>
      <c r="E41952" t="s">
        <v>5392</v>
      </c>
      <c r="F41952" s="2" t="str">
        <f>HYPERLINK("http://www.otzar.org/book.asp?603590","שלמי חיים &lt;מעדני הפרשה&gt;")</f>
        <v>שלמי חיים &lt;מעדני הפרשה&gt;</v>
      </c>
    </row>
    <row r="41953" spans="1:6" x14ac:dyDescent="0.2">
      <c r="A41953" t="s">
        <v>63738</v>
      </c>
      <c r="B41953" t="s">
        <v>63739</v>
      </c>
      <c r="C41953" t="s">
        <v>20</v>
      </c>
      <c r="D41953" t="s">
        <v>52</v>
      </c>
      <c r="E41953" t="s">
        <v>144</v>
      </c>
      <c r="F41953" s="2" t="str">
        <f>HYPERLINK("http://www.otzar.org/book.asp?183122","שלמי חיים - 10 כר'")</f>
        <v>שלמי חיים - 10 כר'</v>
      </c>
    </row>
    <row r="41954" spans="1:6" x14ac:dyDescent="0.2">
      <c r="A41954" t="s">
        <v>63740</v>
      </c>
      <c r="B41954" t="s">
        <v>58737</v>
      </c>
      <c r="C41954" t="s">
        <v>151</v>
      </c>
      <c r="D41954" t="s">
        <v>152</v>
      </c>
      <c r="F41954" s="2" t="str">
        <f>HYPERLINK("http://www.otzar.org/book.asp?619937","שלמי חיים")</f>
        <v>שלמי חיים</v>
      </c>
    </row>
    <row r="41955" spans="1:6" x14ac:dyDescent="0.2">
      <c r="A41955" t="s">
        <v>63741</v>
      </c>
      <c r="B41955" t="s">
        <v>63742</v>
      </c>
      <c r="C41955" t="s">
        <v>411</v>
      </c>
      <c r="D41955" t="s">
        <v>27</v>
      </c>
      <c r="E41955" t="s">
        <v>144</v>
      </c>
      <c r="F41955" s="2" t="str">
        <f>HYPERLINK("http://www.otzar.org/book.asp?183369","שלמי חנוך - 2 כר'")</f>
        <v>שלמי חנוך - 2 כר'</v>
      </c>
    </row>
    <row r="41956" spans="1:6" x14ac:dyDescent="0.2">
      <c r="A41956" t="s">
        <v>63743</v>
      </c>
      <c r="B41956" t="s">
        <v>56297</v>
      </c>
      <c r="C41956" t="s">
        <v>151</v>
      </c>
      <c r="E41956" t="s">
        <v>172</v>
      </c>
      <c r="F41956" s="2" t="str">
        <f>HYPERLINK("http://www.otzar.org/book.asp?622686","שלמי טוהר")</f>
        <v>שלמי טוהר</v>
      </c>
    </row>
    <row r="41957" spans="1:6" x14ac:dyDescent="0.2">
      <c r="A41957" t="s">
        <v>63744</v>
      </c>
      <c r="B41957" t="s">
        <v>63745</v>
      </c>
      <c r="C41957" t="s">
        <v>133</v>
      </c>
      <c r="D41957" t="s">
        <v>14</v>
      </c>
      <c r="E41957" t="s">
        <v>130</v>
      </c>
      <c r="F41957" s="2" t="str">
        <f>HYPERLINK("http://www.otzar.org/book.asp?178968","שלמי יהודה - מוקצה")</f>
        <v>שלמי יהודה - מוקצה</v>
      </c>
    </row>
    <row r="41958" spans="1:6" x14ac:dyDescent="0.2">
      <c r="A41958" t="s">
        <v>63746</v>
      </c>
      <c r="B41958" t="s">
        <v>32471</v>
      </c>
      <c r="C41958" t="s">
        <v>13</v>
      </c>
      <c r="D41958" t="s">
        <v>14</v>
      </c>
      <c r="E41958" t="s">
        <v>872</v>
      </c>
      <c r="F41958" s="2" t="str">
        <f>HYPERLINK("http://www.otzar.org/book.asp?85650","שלמי יהונתן - 14 כר'")</f>
        <v>שלמי יהונתן - 14 כר'</v>
      </c>
    </row>
    <row r="41959" spans="1:6" x14ac:dyDescent="0.2">
      <c r="A41959" t="s">
        <v>63747</v>
      </c>
      <c r="B41959" t="s">
        <v>63748</v>
      </c>
      <c r="C41959" t="s">
        <v>176</v>
      </c>
      <c r="D41959" t="s">
        <v>412</v>
      </c>
      <c r="E41959" t="s">
        <v>158</v>
      </c>
      <c r="F41959" s="2" t="str">
        <f>HYPERLINK("http://www.otzar.org/book.asp?610356","שלמי יום טוב - א")</f>
        <v>שלמי יום טוב - א</v>
      </c>
    </row>
    <row r="41960" spans="1:6" x14ac:dyDescent="0.2">
      <c r="A41960" t="s">
        <v>63749</v>
      </c>
      <c r="B41960" t="s">
        <v>43195</v>
      </c>
      <c r="C41960" t="s">
        <v>51</v>
      </c>
      <c r="D41960" t="s">
        <v>52</v>
      </c>
      <c r="E41960" t="s">
        <v>1211</v>
      </c>
      <c r="F41960" s="2" t="str">
        <f>HYPERLINK("http://www.otzar.org/book.asp?52262","שלמי יוסף - 25 כר'")</f>
        <v>שלמי יוסף - 25 כר'</v>
      </c>
    </row>
    <row r="41961" spans="1:6" x14ac:dyDescent="0.2">
      <c r="A41961" t="s">
        <v>63750</v>
      </c>
      <c r="B41961" t="s">
        <v>57097</v>
      </c>
      <c r="C41961" t="s">
        <v>87</v>
      </c>
      <c r="D41961" t="s">
        <v>14</v>
      </c>
      <c r="E41961" t="s">
        <v>15</v>
      </c>
      <c r="F41961" s="2" t="str">
        <f>HYPERLINK("http://www.otzar.org/book.asp?153485","שלמי יוסף")</f>
        <v>שלמי יוסף</v>
      </c>
    </row>
    <row r="41962" spans="1:6" x14ac:dyDescent="0.2">
      <c r="A41962" t="s">
        <v>63751</v>
      </c>
      <c r="B41962" t="s">
        <v>56928</v>
      </c>
      <c r="C41962" t="s">
        <v>422</v>
      </c>
      <c r="D41962" t="s">
        <v>14</v>
      </c>
      <c r="E41962" t="s">
        <v>15</v>
      </c>
      <c r="F41962" s="2" t="str">
        <f>HYPERLINK("http://www.otzar.org/book.asp?155330","שלמי יוסף - 2 כר'")</f>
        <v>שלמי יוסף - 2 כר'</v>
      </c>
    </row>
    <row r="41963" spans="1:6" x14ac:dyDescent="0.2">
      <c r="A41963" t="s">
        <v>63750</v>
      </c>
      <c r="B41963" t="s">
        <v>63752</v>
      </c>
      <c r="C41963" t="s">
        <v>454</v>
      </c>
      <c r="D41963" t="s">
        <v>52</v>
      </c>
      <c r="E41963" t="s">
        <v>508</v>
      </c>
      <c r="F41963" s="2" t="str">
        <f>HYPERLINK("http://www.otzar.org/book.asp?161931","שלמי יוסף")</f>
        <v>שלמי יוסף</v>
      </c>
    </row>
    <row r="41964" spans="1:6" x14ac:dyDescent="0.2">
      <c r="A41964" t="s">
        <v>63753</v>
      </c>
      <c r="B41964" t="s">
        <v>63754</v>
      </c>
      <c r="C41964" t="s">
        <v>168</v>
      </c>
      <c r="D41964" t="s">
        <v>21</v>
      </c>
      <c r="E41964" t="s">
        <v>993</v>
      </c>
      <c r="F41964" s="2" t="str">
        <f>HYPERLINK("http://www.otzar.org/book.asp?601247","שלמי יחזקאל")</f>
        <v>שלמי יחזקאל</v>
      </c>
    </row>
    <row r="41965" spans="1:6" x14ac:dyDescent="0.2">
      <c r="A41965" t="s">
        <v>63755</v>
      </c>
      <c r="B41965" t="s">
        <v>63756</v>
      </c>
      <c r="C41965" t="s">
        <v>111</v>
      </c>
      <c r="D41965" t="s">
        <v>14</v>
      </c>
      <c r="E41965" t="s">
        <v>130</v>
      </c>
      <c r="F41965" s="2" t="str">
        <f>HYPERLINK("http://www.otzar.org/book.asp?630017","שלמי יחזקאל - 2 כר'")</f>
        <v>שלמי יחזקאל - 2 כר'</v>
      </c>
    </row>
    <row r="41966" spans="1:6" x14ac:dyDescent="0.2">
      <c r="A41966" t="s">
        <v>63757</v>
      </c>
      <c r="B41966" t="s">
        <v>63758</v>
      </c>
      <c r="C41966" t="s">
        <v>411</v>
      </c>
      <c r="D41966" t="s">
        <v>134</v>
      </c>
      <c r="F41966" s="2" t="str">
        <f>HYPERLINK("http://www.otzar.org/book.asp?603653","שלמי יחזקאל - מועדים")</f>
        <v>שלמי יחזקאל - מועדים</v>
      </c>
    </row>
    <row r="41967" spans="1:6" x14ac:dyDescent="0.2">
      <c r="A41967" t="s">
        <v>63759</v>
      </c>
      <c r="B41967" t="s">
        <v>63760</v>
      </c>
      <c r="C41967" t="s">
        <v>114</v>
      </c>
      <c r="D41967" t="s">
        <v>14</v>
      </c>
      <c r="E41967" t="s">
        <v>130</v>
      </c>
      <c r="F41967" s="2" t="str">
        <f>HYPERLINK("http://www.otzar.org/book.asp?193583","שלמי יעקב")</f>
        <v>שלמי יעקב</v>
      </c>
    </row>
    <row r="41968" spans="1:6" x14ac:dyDescent="0.2">
      <c r="A41968" t="s">
        <v>63759</v>
      </c>
      <c r="B41968" t="s">
        <v>63761</v>
      </c>
      <c r="C41968" t="s">
        <v>180</v>
      </c>
      <c r="D41968" t="s">
        <v>14</v>
      </c>
      <c r="E41968" t="s">
        <v>920</v>
      </c>
      <c r="F41968" s="2" t="str">
        <f>HYPERLINK("http://www.otzar.org/book.asp?9078","שלמי יעקב")</f>
        <v>שלמי יעקב</v>
      </c>
    </row>
    <row r="41969" spans="1:6" x14ac:dyDescent="0.2">
      <c r="A41969" t="s">
        <v>63762</v>
      </c>
      <c r="B41969" t="s">
        <v>4737</v>
      </c>
      <c r="C41969" t="s">
        <v>698</v>
      </c>
      <c r="D41969" t="s">
        <v>27</v>
      </c>
      <c r="E41969" t="s">
        <v>10</v>
      </c>
      <c r="F41969" s="2" t="str">
        <f>HYPERLINK("http://www.otzar.org/book.asp?104570","שלמי ירוחם")</f>
        <v>שלמי ירוחם</v>
      </c>
    </row>
    <row r="41970" spans="1:6" x14ac:dyDescent="0.2">
      <c r="A41970" t="s">
        <v>63763</v>
      </c>
      <c r="B41970" t="s">
        <v>63764</v>
      </c>
      <c r="C41970" t="s">
        <v>366</v>
      </c>
      <c r="D41970" t="s">
        <v>14</v>
      </c>
      <c r="E41970" t="s">
        <v>144</v>
      </c>
      <c r="F41970" s="2" t="str">
        <f>HYPERLINK("http://www.otzar.org/book.asp?618954","שלמי כהן - 11 כר'")</f>
        <v>שלמי כהן - 11 כר'</v>
      </c>
    </row>
    <row r="41971" spans="1:6" x14ac:dyDescent="0.2">
      <c r="A41971" t="s">
        <v>63765</v>
      </c>
      <c r="B41971" t="s">
        <v>63766</v>
      </c>
      <c r="C41971" t="s">
        <v>68</v>
      </c>
      <c r="D41971" t="s">
        <v>152</v>
      </c>
      <c r="E41971" t="s">
        <v>158</v>
      </c>
      <c r="F41971" s="2" t="str">
        <f>HYPERLINK("http://www.otzar.org/book.asp?157721","שלמי לוי")</f>
        <v>שלמי לוי</v>
      </c>
    </row>
    <row r="41972" spans="1:6" x14ac:dyDescent="0.2">
      <c r="A41972" t="s">
        <v>63767</v>
      </c>
      <c r="B41972" t="s">
        <v>63768</v>
      </c>
      <c r="C41972" t="s">
        <v>63</v>
      </c>
      <c r="D41972" t="s">
        <v>216</v>
      </c>
      <c r="E41972" t="s">
        <v>786</v>
      </c>
      <c r="F41972" s="2" t="str">
        <f>HYPERLINK("http://www.otzar.org/book.asp?8915","שלמי מאיר - 2 כר'")</f>
        <v>שלמי מאיר - 2 כר'</v>
      </c>
    </row>
    <row r="41973" spans="1:6" x14ac:dyDescent="0.2">
      <c r="A41973" t="s">
        <v>63769</v>
      </c>
      <c r="B41973" t="s">
        <v>63770</v>
      </c>
      <c r="C41973" t="s">
        <v>366</v>
      </c>
      <c r="D41973" t="s">
        <v>147</v>
      </c>
      <c r="E41973" t="s">
        <v>325</v>
      </c>
      <c r="F41973" s="2" t="str">
        <f>HYPERLINK("http://www.otzar.org/book.asp?607506","שלמי מלך - היזק ראיה, הרחקת נזיקין")</f>
        <v>שלמי מלך - היזק ראיה, הרחקת נזיקין</v>
      </c>
    </row>
    <row r="41974" spans="1:6" x14ac:dyDescent="0.2">
      <c r="A41974" t="s">
        <v>63771</v>
      </c>
      <c r="B41974" t="s">
        <v>55653</v>
      </c>
      <c r="C41974" t="s">
        <v>37</v>
      </c>
      <c r="D41974" t="s">
        <v>21</v>
      </c>
      <c r="E41974" t="s">
        <v>15</v>
      </c>
      <c r="F41974" s="2" t="str">
        <f>HYPERLINK("http://www.otzar.org/book.asp?194205","שלמי מנחם - 7 כר'")</f>
        <v>שלמי מנחם - 7 כר'</v>
      </c>
    </row>
    <row r="41975" spans="1:6" x14ac:dyDescent="0.2">
      <c r="A41975" t="s">
        <v>63772</v>
      </c>
      <c r="B41975" t="s">
        <v>63773</v>
      </c>
      <c r="C41975" t="s">
        <v>244</v>
      </c>
      <c r="D41975" t="s">
        <v>52</v>
      </c>
      <c r="E41975" t="s">
        <v>144</v>
      </c>
      <c r="F41975" s="2" t="str">
        <f>HYPERLINK("http://www.otzar.org/book.asp?629534","שלמי מרדכי - 4 כר'")</f>
        <v>שלמי מרדכי - 4 כר'</v>
      </c>
    </row>
    <row r="41976" spans="1:6" x14ac:dyDescent="0.2">
      <c r="A41976" t="s">
        <v>63774</v>
      </c>
      <c r="B41976" t="s">
        <v>63775</v>
      </c>
      <c r="C41976" t="s">
        <v>1811</v>
      </c>
      <c r="D41976" t="s">
        <v>14</v>
      </c>
      <c r="E41976" t="s">
        <v>15</v>
      </c>
      <c r="F41976" s="2" t="str">
        <f>HYPERLINK("http://www.otzar.org/book.asp?15466","שלמי מרדכי - 2 כר'")</f>
        <v>שלמי מרדכי - 2 כר'</v>
      </c>
    </row>
    <row r="41977" spans="1:6" x14ac:dyDescent="0.2">
      <c r="A41977" t="s">
        <v>63776</v>
      </c>
      <c r="B41977" t="s">
        <v>63777</v>
      </c>
      <c r="C41977" t="s">
        <v>13</v>
      </c>
      <c r="D41977" t="s">
        <v>80</v>
      </c>
      <c r="E41977" t="s">
        <v>202</v>
      </c>
      <c r="F41977" s="2" t="str">
        <f>HYPERLINK("http://www.otzar.org/book.asp?196793","שלמי משה")</f>
        <v>שלמי משה</v>
      </c>
    </row>
    <row r="41978" spans="1:6" x14ac:dyDescent="0.2">
      <c r="A41978" t="s">
        <v>63778</v>
      </c>
      <c r="B41978" t="s">
        <v>63779</v>
      </c>
      <c r="C41978" t="s">
        <v>189</v>
      </c>
      <c r="D41978" t="s">
        <v>14</v>
      </c>
      <c r="E41978" t="s">
        <v>84</v>
      </c>
      <c r="F41978" s="2" t="str">
        <f>HYPERLINK("http://www.otzar.org/book.asp?156373","שלמי משה - 3 כר'")</f>
        <v>שלמי משה - 3 כר'</v>
      </c>
    </row>
    <row r="41979" spans="1:6" x14ac:dyDescent="0.2">
      <c r="A41979" t="s">
        <v>63780</v>
      </c>
      <c r="B41979" t="s">
        <v>63781</v>
      </c>
      <c r="C41979" t="s">
        <v>244</v>
      </c>
      <c r="D41979" t="s">
        <v>90</v>
      </c>
      <c r="E41979" t="s">
        <v>144</v>
      </c>
      <c r="F41979" s="2" t="str">
        <f>HYPERLINK("http://www.otzar.org/book.asp?615228","שלמי משה - 2 כר'")</f>
        <v>שלמי משה - 2 כר'</v>
      </c>
    </row>
    <row r="41980" spans="1:6" x14ac:dyDescent="0.2">
      <c r="A41980" t="s">
        <v>63782</v>
      </c>
      <c r="B41980" t="s">
        <v>63783</v>
      </c>
      <c r="C41980" t="s">
        <v>411</v>
      </c>
      <c r="D41980" t="s">
        <v>52</v>
      </c>
      <c r="E41980" t="s">
        <v>104</v>
      </c>
      <c r="F41980" s="2" t="str">
        <f>HYPERLINK("http://www.otzar.org/book.asp?171083","שלמי נדבה - 2 כר'")</f>
        <v>שלמי נדבה - 2 כר'</v>
      </c>
    </row>
    <row r="41981" spans="1:6" x14ac:dyDescent="0.2">
      <c r="A41981" t="s">
        <v>63782</v>
      </c>
      <c r="B41981" t="s">
        <v>63784</v>
      </c>
      <c r="C41981" t="s">
        <v>63785</v>
      </c>
      <c r="D41981" t="s">
        <v>1422</v>
      </c>
      <c r="E41981" t="s">
        <v>2088</v>
      </c>
      <c r="F41981" s="2" t="str">
        <f>HYPERLINK("http://www.otzar.org/book.asp?166847","שלמי נדבה - 2 כר'")</f>
        <v>שלמי נדבה - 2 כר'</v>
      </c>
    </row>
    <row r="41982" spans="1:6" x14ac:dyDescent="0.2">
      <c r="A41982" t="s">
        <v>63786</v>
      </c>
      <c r="B41982" t="s">
        <v>63787</v>
      </c>
      <c r="C41982" t="s">
        <v>383</v>
      </c>
      <c r="D41982" t="s">
        <v>14</v>
      </c>
      <c r="E41982" t="s">
        <v>144</v>
      </c>
      <c r="F41982" s="2" t="str">
        <f>HYPERLINK("http://www.otzar.org/book.asp?53241","שלמי נדרים &lt;מהדורה חדשה&gt;")</f>
        <v>שלמי נדרים &lt;מהדורה חדשה&gt;</v>
      </c>
    </row>
    <row r="41983" spans="1:6" x14ac:dyDescent="0.2">
      <c r="A41983" t="s">
        <v>63788</v>
      </c>
      <c r="B41983" t="s">
        <v>63787</v>
      </c>
      <c r="C41983" t="s">
        <v>728</v>
      </c>
      <c r="D41983" t="s">
        <v>56</v>
      </c>
      <c r="E41983" t="s">
        <v>144</v>
      </c>
      <c r="F41983" s="2" t="str">
        <f>HYPERLINK("http://www.otzar.org/book.asp?9178","שלמי נדרים")</f>
        <v>שלמי נדרים</v>
      </c>
    </row>
    <row r="41984" spans="1:6" x14ac:dyDescent="0.2">
      <c r="A41984" t="s">
        <v>63789</v>
      </c>
      <c r="B41984" t="s">
        <v>63790</v>
      </c>
      <c r="C41984" t="s">
        <v>13</v>
      </c>
      <c r="D41984" t="s">
        <v>14</v>
      </c>
      <c r="E41984" t="s">
        <v>15</v>
      </c>
      <c r="F41984" s="2" t="str">
        <f>HYPERLINK("http://www.otzar.org/book.asp?145369","שלמי נזיר")</f>
        <v>שלמי נזיר</v>
      </c>
    </row>
    <row r="41985" spans="1:6" x14ac:dyDescent="0.2">
      <c r="A41985" t="s">
        <v>63789</v>
      </c>
      <c r="B41985" t="s">
        <v>63791</v>
      </c>
      <c r="C41985" t="s">
        <v>2455</v>
      </c>
      <c r="D41985" t="s">
        <v>1117</v>
      </c>
      <c r="E41985" t="s">
        <v>144</v>
      </c>
      <c r="F41985" s="2" t="str">
        <f>HYPERLINK("http://www.otzar.org/book.asp?142628","שלמי נזיר")</f>
        <v>שלמי נזיר</v>
      </c>
    </row>
    <row r="41986" spans="1:6" x14ac:dyDescent="0.2">
      <c r="A41986" t="s">
        <v>63792</v>
      </c>
      <c r="B41986" t="s">
        <v>63793</v>
      </c>
      <c r="C41986" t="s">
        <v>189</v>
      </c>
      <c r="D41986" t="s">
        <v>14</v>
      </c>
      <c r="E41986" t="s">
        <v>2071</v>
      </c>
      <c r="F41986" s="2" t="str">
        <f>HYPERLINK("http://www.otzar.org/book.asp?152486","שלמי נחום")</f>
        <v>שלמי נחום</v>
      </c>
    </row>
    <row r="41987" spans="1:6" x14ac:dyDescent="0.2">
      <c r="A41987" t="s">
        <v>63794</v>
      </c>
      <c r="B41987" t="s">
        <v>12473</v>
      </c>
      <c r="C41987" t="s">
        <v>17</v>
      </c>
      <c r="D41987" t="s">
        <v>14</v>
      </c>
      <c r="E41987" t="s">
        <v>144</v>
      </c>
      <c r="F41987" s="2" t="str">
        <f>HYPERLINK("http://www.otzar.org/book.asp?24461","שלמי ניסן - 4 כר'")</f>
        <v>שלמי ניסן - 4 כר'</v>
      </c>
    </row>
    <row r="41988" spans="1:6" x14ac:dyDescent="0.2">
      <c r="A41988" t="s">
        <v>63795</v>
      </c>
      <c r="B41988" t="s">
        <v>63796</v>
      </c>
      <c r="C41988" t="s">
        <v>133</v>
      </c>
      <c r="D41988" t="s">
        <v>2531</v>
      </c>
      <c r="E41988" t="s">
        <v>872</v>
      </c>
      <c r="F41988" s="2" t="str">
        <f>HYPERLINK("http://www.otzar.org/book.asp?601182","שלמי נתנאל")</f>
        <v>שלמי נתנאל</v>
      </c>
    </row>
    <row r="41989" spans="1:6" x14ac:dyDescent="0.2">
      <c r="A41989" t="s">
        <v>63797</v>
      </c>
      <c r="B41989" t="s">
        <v>63798</v>
      </c>
      <c r="C41989" t="s">
        <v>624</v>
      </c>
      <c r="D41989" t="s">
        <v>14</v>
      </c>
      <c r="E41989" t="s">
        <v>144</v>
      </c>
      <c r="F41989" s="2" t="str">
        <f>HYPERLINK("http://www.otzar.org/book.asp?142049","שלמי פינחס - 2 כר'")</f>
        <v>שלמי פינחס - 2 כר'</v>
      </c>
    </row>
    <row r="41990" spans="1:6" x14ac:dyDescent="0.2">
      <c r="A41990" t="s">
        <v>63799</v>
      </c>
      <c r="B41990" t="s">
        <v>6885</v>
      </c>
      <c r="C41990" t="s">
        <v>2040</v>
      </c>
      <c r="D41990" t="s">
        <v>76</v>
      </c>
      <c r="E41990" t="s">
        <v>15</v>
      </c>
      <c r="F41990" s="2" t="str">
        <f>HYPERLINK("http://www.otzar.org/book.asp?12160","שלמי צבור")</f>
        <v>שלמי צבור</v>
      </c>
    </row>
    <row r="41991" spans="1:6" x14ac:dyDescent="0.2">
      <c r="A41991" t="s">
        <v>63800</v>
      </c>
      <c r="B41991" t="s">
        <v>8704</v>
      </c>
      <c r="C41991" t="s">
        <v>411</v>
      </c>
      <c r="D41991" t="s">
        <v>118</v>
      </c>
      <c r="E41991" t="s">
        <v>10</v>
      </c>
      <c r="F41991" s="2" t="str">
        <f>HYPERLINK("http://www.otzar.org/book.asp?170729","שלמי צדק")</f>
        <v>שלמי צדק</v>
      </c>
    </row>
    <row r="41992" spans="1:6" x14ac:dyDescent="0.2">
      <c r="A41992" t="s">
        <v>63801</v>
      </c>
      <c r="B41992" t="s">
        <v>63802</v>
      </c>
      <c r="C41992" t="s">
        <v>785</v>
      </c>
      <c r="D41992" t="s">
        <v>52</v>
      </c>
      <c r="E41992" t="s">
        <v>246</v>
      </c>
      <c r="F41992" s="2" t="str">
        <f>HYPERLINK("http://www.otzar.org/book.asp?154027","שלמי קרבן תודה - 2 כר'")</f>
        <v>שלמי קרבן תודה - 2 כר'</v>
      </c>
    </row>
    <row r="41993" spans="1:6" x14ac:dyDescent="0.2">
      <c r="A41993" t="s">
        <v>63803</v>
      </c>
      <c r="B41993" t="s">
        <v>59633</v>
      </c>
      <c r="C41993" t="s">
        <v>2644</v>
      </c>
      <c r="D41993" t="s">
        <v>2313</v>
      </c>
      <c r="E41993" t="s">
        <v>144</v>
      </c>
      <c r="F41993" s="2" t="str">
        <f>HYPERLINK("http://www.otzar.org/book.asp?25562","שלמי רגלים")</f>
        <v>שלמי רגלים</v>
      </c>
    </row>
    <row r="41994" spans="1:6" x14ac:dyDescent="0.2">
      <c r="A41994" t="s">
        <v>63804</v>
      </c>
      <c r="B41994" t="s">
        <v>29800</v>
      </c>
      <c r="C41994" t="s">
        <v>189</v>
      </c>
      <c r="D41994" t="s">
        <v>52</v>
      </c>
      <c r="E41994" t="s">
        <v>144</v>
      </c>
      <c r="F41994" s="2" t="str">
        <f>HYPERLINK("http://www.otzar.org/book.asp?157941","שלמי רעק""א - מעילה")</f>
        <v>שלמי רעק"א - מעילה</v>
      </c>
    </row>
    <row r="41995" spans="1:6" x14ac:dyDescent="0.2">
      <c r="A41995" t="s">
        <v>63805</v>
      </c>
      <c r="B41995" t="s">
        <v>63806</v>
      </c>
      <c r="C41995" t="s">
        <v>151</v>
      </c>
      <c r="D41995" t="s">
        <v>152</v>
      </c>
      <c r="F41995" s="2" t="str">
        <f>HYPERLINK("http://www.otzar.org/book.asp?622730","שלמי רש""י - 3 כר'")</f>
        <v>שלמי רש"י - 3 כר'</v>
      </c>
    </row>
    <row r="41996" spans="1:6" x14ac:dyDescent="0.2">
      <c r="A41996" t="s">
        <v>63807</v>
      </c>
      <c r="B41996" t="s">
        <v>63808</v>
      </c>
      <c r="C41996" t="s">
        <v>37</v>
      </c>
      <c r="D41996" t="s">
        <v>21</v>
      </c>
      <c r="E41996" t="s">
        <v>144</v>
      </c>
      <c r="F41996" s="2" t="str">
        <f>HYPERLINK("http://www.otzar.org/book.asp?195946","שלמי שלמה - נדרים")</f>
        <v>שלמי שלמה - נדרים</v>
      </c>
    </row>
    <row r="41997" spans="1:6" x14ac:dyDescent="0.2">
      <c r="A41997" t="s">
        <v>63809</v>
      </c>
      <c r="B41997" t="s">
        <v>39051</v>
      </c>
      <c r="C41997" t="s">
        <v>956</v>
      </c>
      <c r="D41997" t="s">
        <v>216</v>
      </c>
      <c r="E41997" t="s">
        <v>63810</v>
      </c>
      <c r="F41997" s="2" t="str">
        <f>HYPERLINK("http://www.otzar.org/book.asp?10898","שלמי שמואל")</f>
        <v>שלמי שמואל</v>
      </c>
    </row>
    <row r="41998" spans="1:6" x14ac:dyDescent="0.2">
      <c r="A41998" t="s">
        <v>63811</v>
      </c>
      <c r="B41998" t="s">
        <v>63812</v>
      </c>
      <c r="C41998" t="s">
        <v>133</v>
      </c>
      <c r="D41998" t="s">
        <v>14</v>
      </c>
      <c r="E41998" t="s">
        <v>158</v>
      </c>
      <c r="F41998" s="2" t="str">
        <f>HYPERLINK("http://www.otzar.org/book.asp?179316","שלמי שמואל - 2 כר'")</f>
        <v>שלמי שמואל - 2 כר'</v>
      </c>
    </row>
    <row r="41999" spans="1:6" x14ac:dyDescent="0.2">
      <c r="A41999" t="s">
        <v>63813</v>
      </c>
      <c r="B41999" t="s">
        <v>552</v>
      </c>
      <c r="C41999" t="s">
        <v>1268</v>
      </c>
      <c r="D41999" t="s">
        <v>14</v>
      </c>
      <c r="E41999" t="s">
        <v>202</v>
      </c>
      <c r="F41999" s="2" t="str">
        <f>HYPERLINK("http://www.otzar.org/book.asp?106336","שלמי שמחה [גרוס]")</f>
        <v>שלמי שמחה [גרוס]</v>
      </c>
    </row>
    <row r="42000" spans="1:6" x14ac:dyDescent="0.2">
      <c r="A42000" t="s">
        <v>63814</v>
      </c>
      <c r="B42000" t="s">
        <v>55464</v>
      </c>
      <c r="C42000" t="s">
        <v>63815</v>
      </c>
      <c r="D42000" t="s">
        <v>1966</v>
      </c>
      <c r="E42000" t="s">
        <v>10</v>
      </c>
      <c r="F42000" s="2" t="str">
        <f>HYPERLINK("http://www.otzar.org/book.asp?161109","שלמי שמחה ותודה")</f>
        <v>שלמי שמחה ותודה</v>
      </c>
    </row>
    <row r="42001" spans="1:6" x14ac:dyDescent="0.2">
      <c r="A42001" t="s">
        <v>63816</v>
      </c>
      <c r="B42001" t="s">
        <v>63817</v>
      </c>
      <c r="C42001" t="s">
        <v>2644</v>
      </c>
      <c r="D42001" t="s">
        <v>283</v>
      </c>
      <c r="E42001" t="s">
        <v>6635</v>
      </c>
      <c r="F42001" s="2" t="str">
        <f>HYPERLINK("http://www.otzar.org/book.asp?14255","שלמי שמחה")</f>
        <v>שלמי שמחה</v>
      </c>
    </row>
    <row r="42002" spans="1:6" x14ac:dyDescent="0.2">
      <c r="A42002" t="s">
        <v>63816</v>
      </c>
      <c r="B42002" t="s">
        <v>63818</v>
      </c>
      <c r="C42002" t="s">
        <v>366</v>
      </c>
      <c r="D42002" t="s">
        <v>486</v>
      </c>
      <c r="F42002" s="2" t="str">
        <f>HYPERLINK("http://www.otzar.org/book.asp?612540","שלמי שמחה")</f>
        <v>שלמי שמחה</v>
      </c>
    </row>
    <row r="42003" spans="1:6" x14ac:dyDescent="0.2">
      <c r="A42003" t="s">
        <v>63819</v>
      </c>
      <c r="B42003" t="s">
        <v>16199</v>
      </c>
      <c r="C42003" t="s">
        <v>176</v>
      </c>
      <c r="D42003" t="s">
        <v>52</v>
      </c>
      <c r="E42003" t="s">
        <v>158</v>
      </c>
      <c r="F42003" s="2" t="str">
        <f>HYPERLINK("http://www.otzar.org/book.asp?155677","שלמי שמחה - 2 כר'")</f>
        <v>שלמי שמחה - 2 כר'</v>
      </c>
    </row>
    <row r="42004" spans="1:6" x14ac:dyDescent="0.2">
      <c r="A42004" t="s">
        <v>63816</v>
      </c>
      <c r="B42004" t="s">
        <v>63820</v>
      </c>
      <c r="C42004" t="s">
        <v>1519</v>
      </c>
      <c r="D42004" t="s">
        <v>56</v>
      </c>
      <c r="E42004" t="s">
        <v>144</v>
      </c>
      <c r="F42004" s="2" t="str">
        <f>HYPERLINK("http://www.otzar.org/book.asp?102003","שלמי שמחה")</f>
        <v>שלמי שמחה</v>
      </c>
    </row>
    <row r="42005" spans="1:6" x14ac:dyDescent="0.2">
      <c r="A42005" t="s">
        <v>63816</v>
      </c>
      <c r="B42005" t="s">
        <v>63821</v>
      </c>
      <c r="C42005" t="s">
        <v>133</v>
      </c>
      <c r="D42005" t="s">
        <v>90</v>
      </c>
      <c r="E42005" t="s">
        <v>202</v>
      </c>
      <c r="F42005" s="2" t="str">
        <f>HYPERLINK("http://www.otzar.org/book.asp?175879","שלמי שמחה")</f>
        <v>שלמי שמחה</v>
      </c>
    </row>
    <row r="42006" spans="1:6" x14ac:dyDescent="0.2">
      <c r="A42006" t="s">
        <v>63822</v>
      </c>
      <c r="B42006" t="s">
        <v>21886</v>
      </c>
      <c r="C42006" t="s">
        <v>180</v>
      </c>
      <c r="D42006" t="s">
        <v>412</v>
      </c>
      <c r="E42006" t="s">
        <v>674</v>
      </c>
      <c r="F42006" s="2" t="str">
        <f>HYPERLINK("http://www.otzar.org/book.asp?5897","שלמי שמחה - 4 כר'")</f>
        <v>שלמי שמחה - 4 כר'</v>
      </c>
    </row>
    <row r="42007" spans="1:6" x14ac:dyDescent="0.2">
      <c r="A42007" t="s">
        <v>63819</v>
      </c>
      <c r="B42007" t="s">
        <v>63823</v>
      </c>
      <c r="C42007" t="s">
        <v>20</v>
      </c>
      <c r="D42007" t="s">
        <v>90</v>
      </c>
      <c r="E42007" t="s">
        <v>158</v>
      </c>
      <c r="F42007" s="2" t="str">
        <f>HYPERLINK("http://www.otzar.org/book.asp?600878","שלמי שמחה - 2 כר'")</f>
        <v>שלמי שמחה - 2 כר'</v>
      </c>
    </row>
    <row r="42008" spans="1:6" x14ac:dyDescent="0.2">
      <c r="A42008" t="s">
        <v>63816</v>
      </c>
      <c r="B42008" t="s">
        <v>1750</v>
      </c>
      <c r="C42008" t="s">
        <v>767</v>
      </c>
      <c r="D42008" t="s">
        <v>657</v>
      </c>
      <c r="E42008" t="s">
        <v>202</v>
      </c>
      <c r="F42008" s="2" t="str">
        <f>HYPERLINK("http://www.otzar.org/book.asp?61880","שלמי שמחה")</f>
        <v>שלמי שמחה</v>
      </c>
    </row>
    <row r="42009" spans="1:6" x14ac:dyDescent="0.2">
      <c r="A42009" t="s">
        <v>63822</v>
      </c>
      <c r="B42009" t="s">
        <v>63816</v>
      </c>
      <c r="C42009" t="s">
        <v>129</v>
      </c>
      <c r="D42009" t="s">
        <v>14</v>
      </c>
      <c r="F42009" s="2" t="str">
        <f>HYPERLINK("http://www.otzar.org/book.asp?182951","שלמי שמחה - 4 כר'")</f>
        <v>שלמי שמחה - 4 כר'</v>
      </c>
    </row>
    <row r="42010" spans="1:6" x14ac:dyDescent="0.2">
      <c r="A42010" t="s">
        <v>63816</v>
      </c>
      <c r="B42010" t="s">
        <v>63824</v>
      </c>
      <c r="C42010" t="s">
        <v>68</v>
      </c>
      <c r="D42010" t="s">
        <v>52</v>
      </c>
      <c r="E42010" t="s">
        <v>15</v>
      </c>
      <c r="F42010" s="2" t="str">
        <f>HYPERLINK("http://www.otzar.org/book.asp?156706","שלמי שמחה")</f>
        <v>שלמי שמחה</v>
      </c>
    </row>
    <row r="42011" spans="1:6" x14ac:dyDescent="0.2">
      <c r="A42011" t="s">
        <v>63825</v>
      </c>
      <c r="B42011" t="s">
        <v>4398</v>
      </c>
      <c r="C42011" t="s">
        <v>20</v>
      </c>
      <c r="D42011" t="s">
        <v>216</v>
      </c>
      <c r="E42011" t="s">
        <v>559</v>
      </c>
      <c r="F42011" s="2" t="str">
        <f>HYPERLINK("http://www.otzar.org/book.asp?63300","שלמי שמחה, שמח לבי")</f>
        <v>שלמי שמחה, שמח לבי</v>
      </c>
    </row>
    <row r="42012" spans="1:6" x14ac:dyDescent="0.2">
      <c r="A42012" t="s">
        <v>63826</v>
      </c>
      <c r="B42012" t="s">
        <v>6762</v>
      </c>
      <c r="C42012" t="s">
        <v>114</v>
      </c>
      <c r="D42012" t="s">
        <v>52</v>
      </c>
      <c r="E42012" t="s">
        <v>144</v>
      </c>
      <c r="F42012" s="2" t="str">
        <f>HYPERLINK("http://www.otzar.org/book.asp?162828","שלמי שמעון - 6 כר'")</f>
        <v>שלמי שמעון - 6 כר'</v>
      </c>
    </row>
    <row r="42013" spans="1:6" x14ac:dyDescent="0.2">
      <c r="A42013" t="s">
        <v>63827</v>
      </c>
      <c r="B42013" t="s">
        <v>5634</v>
      </c>
      <c r="C42013" t="s">
        <v>313</v>
      </c>
      <c r="D42013" t="s">
        <v>52</v>
      </c>
      <c r="E42013" t="s">
        <v>61105</v>
      </c>
      <c r="F42013" s="2" t="str">
        <f>HYPERLINK("http://www.otzar.org/book.asp?106748","שלמי שרה")</f>
        <v>שלמי שרה</v>
      </c>
    </row>
    <row r="42014" spans="1:6" x14ac:dyDescent="0.2">
      <c r="A42014" t="s">
        <v>63828</v>
      </c>
      <c r="B42014" t="s">
        <v>63829</v>
      </c>
      <c r="C42014" t="s">
        <v>313</v>
      </c>
      <c r="D42014" t="s">
        <v>486</v>
      </c>
      <c r="E42014" t="s">
        <v>186</v>
      </c>
      <c r="F42014" s="2" t="str">
        <f>HYPERLINK("http://www.otzar.org/book.asp?61480","שלמי תבונה")</f>
        <v>שלמי תבונה</v>
      </c>
    </row>
    <row r="42015" spans="1:6" x14ac:dyDescent="0.2">
      <c r="A42015" t="s">
        <v>63830</v>
      </c>
      <c r="B42015" t="s">
        <v>63831</v>
      </c>
      <c r="F42015" s="2" t="str">
        <f>HYPERLINK("http://www.otzar.org/book.asp?618760","שלמי תודה - 2 כר'")</f>
        <v>שלמי תודה - 2 כר'</v>
      </c>
    </row>
    <row r="42016" spans="1:6" x14ac:dyDescent="0.2">
      <c r="A42016" t="s">
        <v>63830</v>
      </c>
      <c r="B42016" t="s">
        <v>63832</v>
      </c>
      <c r="C42016" t="s">
        <v>366</v>
      </c>
      <c r="D42016" t="s">
        <v>21</v>
      </c>
      <c r="F42016" s="2" t="str">
        <f>HYPERLINK("http://www.otzar.org/book.asp?632011","שלמי תודה - 2 כר'")</f>
        <v>שלמי תודה - 2 כר'</v>
      </c>
    </row>
    <row r="42017" spans="1:6" x14ac:dyDescent="0.2">
      <c r="A42017" t="s">
        <v>63833</v>
      </c>
      <c r="B42017" t="s">
        <v>63834</v>
      </c>
      <c r="C42017" t="s">
        <v>2874</v>
      </c>
      <c r="D42017" t="s">
        <v>889</v>
      </c>
      <c r="E42017" t="s">
        <v>63835</v>
      </c>
      <c r="F42017" s="2" t="str">
        <f>HYPERLINK("http://www.otzar.org/book.asp?20699","שלמי תודה")</f>
        <v>שלמי תודה</v>
      </c>
    </row>
    <row r="42018" spans="1:6" x14ac:dyDescent="0.2">
      <c r="A42018" t="s">
        <v>63836</v>
      </c>
      <c r="B42018" t="s">
        <v>41875</v>
      </c>
      <c r="C42018" t="s">
        <v>411</v>
      </c>
      <c r="D42018" t="s">
        <v>52</v>
      </c>
      <c r="E42018" t="s">
        <v>158</v>
      </c>
      <c r="F42018" s="2" t="str">
        <f>HYPERLINK("http://www.otzar.org/book.asp?167912","שלמי תודה - על התורה")</f>
        <v>שלמי תודה - על התורה</v>
      </c>
    </row>
    <row r="42019" spans="1:6" x14ac:dyDescent="0.2">
      <c r="A42019" t="s">
        <v>63837</v>
      </c>
      <c r="B42019" t="s">
        <v>63015</v>
      </c>
      <c r="C42019" t="s">
        <v>313</v>
      </c>
      <c r="D42019" t="s">
        <v>52</v>
      </c>
      <c r="E42019" t="s">
        <v>130</v>
      </c>
      <c r="F42019" s="2" t="str">
        <f>HYPERLINK("http://www.otzar.org/book.asp?107260","שלמי תודה - 5 כר'")</f>
        <v>שלמי תודה - 5 כר'</v>
      </c>
    </row>
    <row r="42020" spans="1:6" x14ac:dyDescent="0.2">
      <c r="A42020" t="s">
        <v>63833</v>
      </c>
      <c r="B42020" t="s">
        <v>28187</v>
      </c>
      <c r="C42020" t="s">
        <v>1096</v>
      </c>
      <c r="D42020" t="s">
        <v>56</v>
      </c>
      <c r="E42020" t="s">
        <v>154</v>
      </c>
      <c r="F42020" s="2" t="str">
        <f>HYPERLINK("http://www.otzar.org/book.asp?21403","שלמי תודה")</f>
        <v>שלמי תודה</v>
      </c>
    </row>
    <row r="42021" spans="1:6" x14ac:dyDescent="0.2">
      <c r="A42021" t="s">
        <v>63838</v>
      </c>
      <c r="B42021" t="s">
        <v>63839</v>
      </c>
      <c r="C42021" t="s">
        <v>71</v>
      </c>
      <c r="D42021" t="s">
        <v>14</v>
      </c>
      <c r="E42021" t="s">
        <v>172</v>
      </c>
      <c r="F42021" s="2" t="str">
        <f>HYPERLINK("http://www.otzar.org/book.asp?60404","שלמת אליהו - 6 כר'")</f>
        <v>שלמת אליהו - 6 כר'</v>
      </c>
    </row>
    <row r="42022" spans="1:6" x14ac:dyDescent="0.2">
      <c r="A42022" t="s">
        <v>63840</v>
      </c>
      <c r="B42022" t="s">
        <v>63841</v>
      </c>
      <c r="C42022" t="s">
        <v>244</v>
      </c>
      <c r="D42022" t="s">
        <v>52</v>
      </c>
      <c r="F42022" s="2" t="str">
        <f>HYPERLINK("http://www.otzar.org/book.asp?198805","שלמת בנימין - 2 כר'")</f>
        <v>שלמת בנימין - 2 כר'</v>
      </c>
    </row>
    <row r="42023" spans="1:6" x14ac:dyDescent="0.2">
      <c r="A42023" t="s">
        <v>63842</v>
      </c>
      <c r="B42023" t="s">
        <v>63843</v>
      </c>
      <c r="C42023" t="s">
        <v>151</v>
      </c>
      <c r="D42023" t="s">
        <v>27</v>
      </c>
      <c r="F42023" s="2" t="str">
        <f>HYPERLINK("http://www.otzar.org/book.asp?621429","שלמת חיים &lt;מהדורה חדשה&gt;")</f>
        <v>שלמת חיים &lt;מהדורה חדשה&gt;</v>
      </c>
    </row>
    <row r="42024" spans="1:6" x14ac:dyDescent="0.2">
      <c r="A42024" t="s">
        <v>63844</v>
      </c>
      <c r="B42024" t="s">
        <v>63843</v>
      </c>
      <c r="C42024" t="s">
        <v>176</v>
      </c>
      <c r="D42024" t="s">
        <v>52</v>
      </c>
      <c r="E42024" t="s">
        <v>154</v>
      </c>
      <c r="F42024" s="2" t="str">
        <f>HYPERLINK("http://www.otzar.org/book.asp?170525","שלמת חיים - 4 כר'")</f>
        <v>שלמת חיים - 4 כר'</v>
      </c>
    </row>
    <row r="42025" spans="1:6" x14ac:dyDescent="0.2">
      <c r="A42025" t="s">
        <v>63845</v>
      </c>
      <c r="B42025" t="s">
        <v>63846</v>
      </c>
      <c r="C42025" t="s">
        <v>37</v>
      </c>
      <c r="D42025" t="s">
        <v>14</v>
      </c>
      <c r="E42025" t="s">
        <v>3516</v>
      </c>
      <c r="F42025" s="2" t="str">
        <f>HYPERLINK("http://www.otzar.org/book.asp?181770","שלמת יוסף")</f>
        <v>שלמת יוסף</v>
      </c>
    </row>
    <row r="42026" spans="1:6" x14ac:dyDescent="0.2">
      <c r="A42026" t="s">
        <v>63847</v>
      </c>
      <c r="B42026" t="s">
        <v>17980</v>
      </c>
      <c r="C42026" t="s">
        <v>79</v>
      </c>
      <c r="D42026" t="s">
        <v>27</v>
      </c>
      <c r="E42026" t="s">
        <v>154</v>
      </c>
      <c r="F42026" s="2" t="str">
        <f>HYPERLINK("http://www.otzar.org/book.asp?13152","שלמת יוסף - 2 כר'")</f>
        <v>שלמת יוסף - 2 כר'</v>
      </c>
    </row>
    <row r="42027" spans="1:6" x14ac:dyDescent="0.2">
      <c r="A42027" t="s">
        <v>63848</v>
      </c>
      <c r="B42027" t="s">
        <v>1320</v>
      </c>
      <c r="C42027" t="s">
        <v>20</v>
      </c>
      <c r="D42027" t="s">
        <v>14</v>
      </c>
      <c r="E42027" t="s">
        <v>241</v>
      </c>
      <c r="F42027" s="2" t="str">
        <f>HYPERLINK("http://www.otzar.org/book.asp?6560","שלש הקדמות להרמב""ם")</f>
        <v>שלש הקדמות להרמב"ם</v>
      </c>
    </row>
    <row r="42028" spans="1:6" x14ac:dyDescent="0.2">
      <c r="A42028" t="s">
        <v>63849</v>
      </c>
      <c r="B42028" t="s">
        <v>36115</v>
      </c>
      <c r="C42028" t="s">
        <v>896</v>
      </c>
      <c r="D42028" t="s">
        <v>8340</v>
      </c>
      <c r="E42028" t="s">
        <v>474</v>
      </c>
      <c r="F42028" s="2" t="str">
        <f>HYPERLINK("http://www.otzar.org/book.asp?145440","שלש יבבות")</f>
        <v>שלש יבבות</v>
      </c>
    </row>
    <row r="42029" spans="1:6" x14ac:dyDescent="0.2">
      <c r="A42029" t="s">
        <v>63850</v>
      </c>
      <c r="B42029" t="s">
        <v>686</v>
      </c>
      <c r="C42029" t="s">
        <v>244</v>
      </c>
      <c r="D42029" t="s">
        <v>52</v>
      </c>
      <c r="F42029" s="2" t="str">
        <f>HYPERLINK("http://www.otzar.org/book.asp?611232","שלש מאות כסף")</f>
        <v>שלש מאות כסף</v>
      </c>
    </row>
    <row r="42030" spans="1:6" x14ac:dyDescent="0.2">
      <c r="A42030" t="s">
        <v>63851</v>
      </c>
      <c r="B42030" t="s">
        <v>63852</v>
      </c>
      <c r="C42030" t="s">
        <v>3106</v>
      </c>
      <c r="D42030" t="s">
        <v>27</v>
      </c>
      <c r="E42030" t="s">
        <v>8785</v>
      </c>
      <c r="F42030" s="2" t="str">
        <f>HYPERLINK("http://www.otzar.org/book.asp?148542","שלש מגילות &lt;עם תפסיר הרס""ג וביאור המלות הקשות שבתרגום&gt;")</f>
        <v>שלש מגילות &lt;עם תפסיר הרס"ג וביאור המלות הקשות שבתרגום&gt;</v>
      </c>
    </row>
    <row r="42031" spans="1:6" x14ac:dyDescent="0.2">
      <c r="A42031" t="s">
        <v>63853</v>
      </c>
      <c r="B42031" t="s">
        <v>63854</v>
      </c>
      <c r="C42031" t="s">
        <v>1163</v>
      </c>
      <c r="D42031" t="s">
        <v>1163</v>
      </c>
      <c r="E42031" t="s">
        <v>579</v>
      </c>
      <c r="F42031" s="2" t="str">
        <f>HYPERLINK("http://www.otzar.org/book.asp?64179","שלש מגלות &lt;כת""י&gt;  ע""פ רש""י, רס""ג, ר""י דון יחיא")</f>
        <v>שלש מגלות &lt;כת"י&gt;  ע"פ רש"י, רס"ג, ר"י דון יחיא</v>
      </c>
    </row>
    <row r="42032" spans="1:6" x14ac:dyDescent="0.2">
      <c r="A42032" t="s">
        <v>63855</v>
      </c>
      <c r="B42032" t="s">
        <v>14338</v>
      </c>
      <c r="C42032" t="s">
        <v>422</v>
      </c>
      <c r="D42032" t="s">
        <v>14</v>
      </c>
      <c r="E42032" t="s">
        <v>144</v>
      </c>
      <c r="F42032" s="2" t="str">
        <f>HYPERLINK("http://www.otzar.org/book.asp?166100","שלש מצות הרגל")</f>
        <v>שלש מצות הרגל</v>
      </c>
    </row>
    <row r="42033" spans="1:6" x14ac:dyDescent="0.2">
      <c r="A42033" t="s">
        <v>63856</v>
      </c>
      <c r="B42033" t="s">
        <v>50334</v>
      </c>
      <c r="C42033" t="s">
        <v>189</v>
      </c>
      <c r="D42033" t="s">
        <v>412</v>
      </c>
      <c r="E42033" t="s">
        <v>104</v>
      </c>
      <c r="F42033" s="2" t="str">
        <f>HYPERLINK("http://www.otzar.org/book.asp?179256","שלש עשרה מידות")</f>
        <v>שלש עשרה מידות</v>
      </c>
    </row>
    <row r="42034" spans="1:6" x14ac:dyDescent="0.2">
      <c r="A42034" t="s">
        <v>63857</v>
      </c>
      <c r="B42034" t="s">
        <v>14662</v>
      </c>
      <c r="C42034" t="s">
        <v>3106</v>
      </c>
      <c r="D42034" t="s">
        <v>9</v>
      </c>
      <c r="E42034" t="s">
        <v>7754</v>
      </c>
      <c r="F42034" s="2" t="str">
        <f>HYPERLINK("http://www.otzar.org/book.asp?13781","שלש תשובות")</f>
        <v>שלש תשובות</v>
      </c>
    </row>
    <row r="42035" spans="1:6" x14ac:dyDescent="0.2">
      <c r="A42035" t="s">
        <v>63857</v>
      </c>
      <c r="B42035" t="s">
        <v>63858</v>
      </c>
      <c r="C42035" t="s">
        <v>462</v>
      </c>
      <c r="D42035" t="s">
        <v>14428</v>
      </c>
      <c r="E42035" t="s">
        <v>154</v>
      </c>
      <c r="F42035" s="2" t="str">
        <f>HYPERLINK("http://www.otzar.org/book.asp?626434","שלש תשובות")</f>
        <v>שלש תשובות</v>
      </c>
    </row>
    <row r="42036" spans="1:6" x14ac:dyDescent="0.2">
      <c r="A42036" t="s">
        <v>63857</v>
      </c>
      <c r="B42036" t="s">
        <v>15789</v>
      </c>
      <c r="C42036" t="s">
        <v>1811</v>
      </c>
      <c r="D42036" t="s">
        <v>14</v>
      </c>
      <c r="E42036" t="s">
        <v>154</v>
      </c>
      <c r="F42036" s="2" t="str">
        <f>HYPERLINK("http://www.otzar.org/book.asp?143121","שלש תשובות")</f>
        <v>שלש תשובות</v>
      </c>
    </row>
    <row r="42037" spans="1:6" x14ac:dyDescent="0.2">
      <c r="A42037" t="s">
        <v>63859</v>
      </c>
      <c r="B42037" t="s">
        <v>31908</v>
      </c>
      <c r="C42037" t="s">
        <v>87</v>
      </c>
      <c r="D42037" t="s">
        <v>52</v>
      </c>
      <c r="E42037" t="s">
        <v>38</v>
      </c>
      <c r="F42037" s="2" t="str">
        <f>HYPERLINK("http://www.otzar.org/book.asp?85259","שלשה גביעים")</f>
        <v>שלשה גביעים</v>
      </c>
    </row>
    <row r="42038" spans="1:6" x14ac:dyDescent="0.2">
      <c r="A42038" t="s">
        <v>63860</v>
      </c>
      <c r="B42038" t="s">
        <v>63861</v>
      </c>
      <c r="C42038" t="s">
        <v>332</v>
      </c>
      <c r="D42038" t="s">
        <v>14</v>
      </c>
      <c r="E42038" t="s">
        <v>63862</v>
      </c>
      <c r="F42038" s="2" t="str">
        <f>HYPERLINK("http://www.otzar.org/book.asp?106358","שלשה דורות בירושלים")</f>
        <v>שלשה דורות בירושלים</v>
      </c>
    </row>
    <row r="42039" spans="1:6" x14ac:dyDescent="0.2">
      <c r="A42039" t="s">
        <v>63863</v>
      </c>
      <c r="B42039" t="s">
        <v>63864</v>
      </c>
      <c r="C42039" t="s">
        <v>777</v>
      </c>
      <c r="D42039" t="s">
        <v>27</v>
      </c>
      <c r="E42039" t="s">
        <v>119</v>
      </c>
      <c r="F42039" s="2" t="str">
        <f>HYPERLINK("http://www.otzar.org/book.asp?167554","שלשה דורות בישוב")</f>
        <v>שלשה דורות בישוב</v>
      </c>
    </row>
    <row r="42040" spans="1:6" x14ac:dyDescent="0.2">
      <c r="A42040" t="s">
        <v>63865</v>
      </c>
      <c r="B42040" t="s">
        <v>63865</v>
      </c>
      <c r="C42040" t="s">
        <v>124</v>
      </c>
      <c r="D42040" t="s">
        <v>14</v>
      </c>
      <c r="E42040" t="s">
        <v>104</v>
      </c>
      <c r="F42040" s="2" t="str">
        <f>HYPERLINK("http://www.otzar.org/book.asp?28522","שלשה דורות")</f>
        <v>שלשה דורות</v>
      </c>
    </row>
    <row r="42041" spans="1:6" x14ac:dyDescent="0.2">
      <c r="A42041" t="s">
        <v>63866</v>
      </c>
      <c r="B42041" t="s">
        <v>63866</v>
      </c>
      <c r="C42041" t="s">
        <v>63867</v>
      </c>
      <c r="D42041" t="s">
        <v>756</v>
      </c>
      <c r="E42041" t="s">
        <v>733</v>
      </c>
      <c r="F42041" s="2" t="str">
        <f>HYPERLINK("http://www.otzar.org/book.asp?166814","שלשה טורי כסף")</f>
        <v>שלשה טורי כסף</v>
      </c>
    </row>
    <row r="42042" spans="1:6" x14ac:dyDescent="0.2">
      <c r="A42042" t="s">
        <v>63868</v>
      </c>
      <c r="B42042" t="s">
        <v>1728</v>
      </c>
      <c r="C42042" t="s">
        <v>68</v>
      </c>
      <c r="D42042" t="s">
        <v>273</v>
      </c>
      <c r="E42042" t="s">
        <v>357</v>
      </c>
      <c r="F42042" s="2" t="str">
        <f>HYPERLINK("http://www.otzar.org/book.asp?628574","שלשה כתרים")</f>
        <v>שלשה כתרים</v>
      </c>
    </row>
    <row r="42043" spans="1:6" x14ac:dyDescent="0.2">
      <c r="A42043" t="s">
        <v>63869</v>
      </c>
      <c r="B42043" t="s">
        <v>12062</v>
      </c>
      <c r="C42043" t="s">
        <v>433</v>
      </c>
      <c r="D42043" t="s">
        <v>24403</v>
      </c>
      <c r="E42043" t="s">
        <v>158</v>
      </c>
      <c r="F42043" s="2" t="str">
        <f>HYPERLINK("http://www.otzar.org/book.asp?14107","שלשה מאורות הגדולים")</f>
        <v>שלשה מאורות הגדולים</v>
      </c>
    </row>
    <row r="42044" spans="1:6" x14ac:dyDescent="0.2">
      <c r="A42044" t="s">
        <v>63870</v>
      </c>
      <c r="B42044" t="s">
        <v>63871</v>
      </c>
      <c r="C42044" t="s">
        <v>20</v>
      </c>
      <c r="D42044" t="s">
        <v>14</v>
      </c>
      <c r="E42044" t="s">
        <v>733</v>
      </c>
      <c r="F42044" s="2" t="str">
        <f>HYPERLINK("http://www.otzar.org/book.asp?154433","שלשה ממשפחה אחת")</f>
        <v>שלשה ממשפחה אחת</v>
      </c>
    </row>
    <row r="42045" spans="1:6" x14ac:dyDescent="0.2">
      <c r="A42045" t="s">
        <v>63872</v>
      </c>
      <c r="B42045" t="s">
        <v>4847</v>
      </c>
      <c r="C42045" t="s">
        <v>600</v>
      </c>
      <c r="D42045" t="s">
        <v>563</v>
      </c>
      <c r="E42045" t="s">
        <v>104</v>
      </c>
      <c r="F42045" s="2" t="str">
        <f>HYPERLINK("http://www.otzar.org/book.asp?108322","שלשה ספרי דקדוק")</f>
        <v>שלשה ספרי דקדוק</v>
      </c>
    </row>
    <row r="42046" spans="1:6" x14ac:dyDescent="0.2">
      <c r="A42046" t="s">
        <v>63873</v>
      </c>
      <c r="B42046" t="s">
        <v>15779</v>
      </c>
      <c r="C42046" t="s">
        <v>17</v>
      </c>
      <c r="D42046" t="s">
        <v>14</v>
      </c>
      <c r="E42046" t="s">
        <v>26855</v>
      </c>
      <c r="F42046" s="2" t="str">
        <f>HYPERLINK("http://www.otzar.org/book.asp?19110","שלשה ספרים נפתחים &lt;לתוספתא שביעית&gt;")</f>
        <v>שלשה ספרים נפתחים &lt;לתוספתא שביעית&gt;</v>
      </c>
    </row>
    <row r="42047" spans="1:6" x14ac:dyDescent="0.2">
      <c r="A42047" t="s">
        <v>63874</v>
      </c>
      <c r="B42047" t="s">
        <v>11725</v>
      </c>
      <c r="C42047" t="s">
        <v>445</v>
      </c>
      <c r="D42047" t="s">
        <v>225</v>
      </c>
      <c r="E42047" t="s">
        <v>219</v>
      </c>
      <c r="F42047" s="2" t="str">
        <f>HYPERLINK("http://www.otzar.org/book.asp?11461","שלשה ספרים נפתחים &lt;על זמירות שבת&gt; - 2 כר'")</f>
        <v>שלשה ספרים נפתחים &lt;על זמירות שבת&gt; - 2 כר'</v>
      </c>
    </row>
    <row r="42048" spans="1:6" x14ac:dyDescent="0.2">
      <c r="A42048" t="s">
        <v>63875</v>
      </c>
      <c r="B42048" t="s">
        <v>10164</v>
      </c>
      <c r="C42048" t="s">
        <v>143</v>
      </c>
      <c r="D42048" t="s">
        <v>14</v>
      </c>
      <c r="E42048" t="s">
        <v>213</v>
      </c>
      <c r="F42048" s="2" t="str">
        <f>HYPERLINK("http://www.otzar.org/book.asp?160163","שלשה ספרים נפתחים")</f>
        <v>שלשה ספרים נפתחים</v>
      </c>
    </row>
    <row r="42049" spans="1:6" x14ac:dyDescent="0.2">
      <c r="A42049" t="s">
        <v>63876</v>
      </c>
      <c r="B42049" t="s">
        <v>47007</v>
      </c>
      <c r="C42049" t="s">
        <v>5277</v>
      </c>
      <c r="D42049" t="s">
        <v>1117</v>
      </c>
      <c r="E42049" t="s">
        <v>241</v>
      </c>
      <c r="F42049" s="2" t="str">
        <f>HYPERLINK("http://www.otzar.org/book.asp?180741","שלשה ספרים - ספר היראה, אגרת המוסר, דת הנשים &lt;עם הגהות הר""מ ניגרין&gt;")</f>
        <v>שלשה ספרים - ספר היראה, אגרת המוסר, דת הנשים &lt;עם הגהות הר"מ ניגרין&gt;</v>
      </c>
    </row>
    <row r="42050" spans="1:6" x14ac:dyDescent="0.2">
      <c r="A42050" t="s">
        <v>63877</v>
      </c>
      <c r="B42050" t="s">
        <v>63878</v>
      </c>
      <c r="C42050" t="s">
        <v>1609</v>
      </c>
      <c r="D42050" t="s">
        <v>260</v>
      </c>
      <c r="E42050" t="s">
        <v>119</v>
      </c>
      <c r="F42050" s="2" t="str">
        <f>HYPERLINK("http://www.otzar.org/book.asp?144166","שלשה עדרי צאן")</f>
        <v>שלשה עדרי צאן</v>
      </c>
    </row>
    <row r="42051" spans="1:6" x14ac:dyDescent="0.2">
      <c r="A42051" t="s">
        <v>63879</v>
      </c>
      <c r="B42051" t="s">
        <v>63880</v>
      </c>
      <c r="C42051" t="s">
        <v>63881</v>
      </c>
      <c r="D42051" t="s">
        <v>27</v>
      </c>
      <c r="E42051" t="s">
        <v>119</v>
      </c>
      <c r="F42051" s="2" t="str">
        <f>HYPERLINK("http://www.otzar.org/book.asp?20698","שלשה עולמות - 3 כר'")</f>
        <v>שלשה עולמות - 3 כר'</v>
      </c>
    </row>
    <row r="42052" spans="1:6" x14ac:dyDescent="0.2">
      <c r="A42052" t="s">
        <v>63882</v>
      </c>
      <c r="B42052" t="s">
        <v>4840</v>
      </c>
      <c r="C42052" t="s">
        <v>5125</v>
      </c>
      <c r="D42052" t="s">
        <v>1490</v>
      </c>
      <c r="E42052" t="s">
        <v>158</v>
      </c>
      <c r="F42052" s="2" t="str">
        <f>HYPERLINK("http://www.otzar.org/book.asp?147226","שלשה פירושים על שיר השירים")</f>
        <v>שלשה פירושים על שיר השירים</v>
      </c>
    </row>
    <row r="42053" spans="1:6" x14ac:dyDescent="0.2">
      <c r="A42053" t="s">
        <v>63883</v>
      </c>
      <c r="B42053" t="s">
        <v>63883</v>
      </c>
      <c r="C42053" t="s">
        <v>20</v>
      </c>
      <c r="D42053" t="s">
        <v>14</v>
      </c>
      <c r="E42053" t="s">
        <v>241</v>
      </c>
      <c r="F42053" s="2" t="str">
        <f>HYPERLINK("http://www.otzar.org/book.asp?6056","שלשה פרקים מתוך ספר דרך אמונה")</f>
        <v>שלשה פרקים מתוך ספר דרך אמונה</v>
      </c>
    </row>
    <row r="42054" spans="1:6" x14ac:dyDescent="0.2">
      <c r="A42054" t="s">
        <v>63884</v>
      </c>
      <c r="B42054" t="s">
        <v>55994</v>
      </c>
      <c r="C42054" t="s">
        <v>20</v>
      </c>
      <c r="D42054" t="s">
        <v>52</v>
      </c>
      <c r="E42054" t="s">
        <v>435</v>
      </c>
      <c r="F42054" s="2" t="str">
        <f>HYPERLINK("http://www.otzar.org/book.asp?601662","שלשה קונטרסים נפתחים")</f>
        <v>שלשה קונטרסים נפתחים</v>
      </c>
    </row>
    <row r="42055" spans="1:6" x14ac:dyDescent="0.2">
      <c r="A42055" t="s">
        <v>63885</v>
      </c>
      <c r="B42055" t="s">
        <v>63886</v>
      </c>
      <c r="C42055" t="s">
        <v>1954</v>
      </c>
      <c r="D42055" t="s">
        <v>27</v>
      </c>
      <c r="E42055" t="s">
        <v>144</v>
      </c>
      <c r="F42055" s="2" t="str">
        <f>HYPERLINK("http://www.otzar.org/book.asp?11602","שלשה שיטות - סנהדרין פסחים ב""ב")</f>
        <v>שלשה שיטות - סנהדרין פסחים ב"ב</v>
      </c>
    </row>
    <row r="42056" spans="1:6" x14ac:dyDescent="0.2">
      <c r="A42056" t="s">
        <v>63887</v>
      </c>
      <c r="B42056" t="s">
        <v>12911</v>
      </c>
      <c r="C42056" t="s">
        <v>63888</v>
      </c>
      <c r="D42056" t="s">
        <v>29246</v>
      </c>
      <c r="F42056" s="2" t="str">
        <f>HYPERLINK("http://www.otzar.org/book.asp?620226","שלשה שירים בלתי-ידועים של ר' יהודה הלוי")</f>
        <v>שלשה שירים בלתי-ידועים של ר' יהודה הלוי</v>
      </c>
    </row>
    <row r="42057" spans="1:6" x14ac:dyDescent="0.2">
      <c r="A42057" t="s">
        <v>63889</v>
      </c>
      <c r="B42057" t="s">
        <v>63890</v>
      </c>
      <c r="F42057" s="2" t="str">
        <f>HYPERLINK("http://www.otzar.org/book.asp?622553","שלשה שריגים")</f>
        <v>שלשה שריגים</v>
      </c>
    </row>
    <row r="42058" spans="1:6" x14ac:dyDescent="0.2">
      <c r="A42058" t="s">
        <v>63889</v>
      </c>
      <c r="B42058" t="s">
        <v>63891</v>
      </c>
      <c r="C42058" t="s">
        <v>1470</v>
      </c>
      <c r="D42058" t="s">
        <v>12052</v>
      </c>
      <c r="E42058" t="s">
        <v>104</v>
      </c>
      <c r="F42058" s="2" t="str">
        <f>HYPERLINK("http://www.otzar.org/book.asp?188701","שלשה שריגים")</f>
        <v>שלשה שריגים</v>
      </c>
    </row>
    <row r="42059" spans="1:6" x14ac:dyDescent="0.2">
      <c r="A42059" t="s">
        <v>63892</v>
      </c>
      <c r="B42059" t="s">
        <v>7409</v>
      </c>
      <c r="C42059" t="s">
        <v>8002</v>
      </c>
      <c r="D42059" t="s">
        <v>49</v>
      </c>
      <c r="F42059" s="2" t="str">
        <f>HYPERLINK("http://www.otzar.org/book.asp?164863","שלשה שריגים - 2 כר'")</f>
        <v>שלשה שריגים - 2 כר'</v>
      </c>
    </row>
    <row r="42060" spans="1:6" x14ac:dyDescent="0.2">
      <c r="A42060" t="s">
        <v>63893</v>
      </c>
      <c r="B42060" t="s">
        <v>14039</v>
      </c>
      <c r="C42060" t="s">
        <v>547</v>
      </c>
      <c r="D42060" t="s">
        <v>9</v>
      </c>
      <c r="E42060" t="s">
        <v>234</v>
      </c>
      <c r="F42060" s="2" t="str">
        <f>HYPERLINK("http://www.otzar.org/book.asp?100768","שלשים הספדים")</f>
        <v>שלשים הספדים</v>
      </c>
    </row>
    <row r="42061" spans="1:6" x14ac:dyDescent="0.2">
      <c r="A42061" t="s">
        <v>63894</v>
      </c>
      <c r="B42061" t="s">
        <v>63895</v>
      </c>
      <c r="C42061" t="s">
        <v>454</v>
      </c>
      <c r="D42061" t="s">
        <v>118</v>
      </c>
      <c r="F42061" s="2" t="str">
        <f>HYPERLINK("http://www.otzar.org/book.asp?196686","שלשלת הזהב - משפחת בריזל ליפשיץ")</f>
        <v>שלשלת הזהב - משפחת בריזל ליפשיץ</v>
      </c>
    </row>
    <row r="42062" spans="1:6" x14ac:dyDescent="0.2">
      <c r="A42062" t="s">
        <v>63896</v>
      </c>
      <c r="B42062" t="s">
        <v>63897</v>
      </c>
      <c r="C42062" t="s">
        <v>13</v>
      </c>
      <c r="D42062" t="s">
        <v>118</v>
      </c>
      <c r="F42062" s="2" t="str">
        <f>HYPERLINK("http://www.otzar.org/book.asp?605559","שלשלת הזהב")</f>
        <v>שלשלת הזהב</v>
      </c>
    </row>
    <row r="42063" spans="1:6" x14ac:dyDescent="0.2">
      <c r="A42063" t="s">
        <v>63898</v>
      </c>
      <c r="B42063" t="s">
        <v>63899</v>
      </c>
      <c r="C42063" t="s">
        <v>462</v>
      </c>
      <c r="D42063" t="s">
        <v>1279</v>
      </c>
      <c r="E42063" t="s">
        <v>104</v>
      </c>
      <c r="F42063" s="2" t="str">
        <f>HYPERLINK("http://www.otzar.org/book.asp?149564","שלשלת היוחסין - 2 כר'")</f>
        <v>שלשלת היוחסין - 2 כר'</v>
      </c>
    </row>
    <row r="42064" spans="1:6" x14ac:dyDescent="0.2">
      <c r="A42064" t="s">
        <v>63900</v>
      </c>
      <c r="B42064" t="s">
        <v>39550</v>
      </c>
      <c r="C42064" t="s">
        <v>313</v>
      </c>
      <c r="D42064" t="s">
        <v>14</v>
      </c>
      <c r="E42064" t="s">
        <v>384</v>
      </c>
      <c r="F42064" s="2" t="str">
        <f>HYPERLINK("http://www.otzar.org/book.asp?51265","שלשלת היוחסין")</f>
        <v>שלשלת היוחסין</v>
      </c>
    </row>
    <row r="42065" spans="1:6" x14ac:dyDescent="0.2">
      <c r="A42065" t="s">
        <v>63901</v>
      </c>
      <c r="B42065" t="s">
        <v>63902</v>
      </c>
      <c r="C42065" t="s">
        <v>1535</v>
      </c>
      <c r="D42065" t="s">
        <v>307</v>
      </c>
      <c r="E42065" t="s">
        <v>733</v>
      </c>
      <c r="F42065" s="2" t="str">
        <f>HYPERLINK("http://www.otzar.org/book.asp?105696","שלשלת היחס של משפחת אורנשטיין - ברודא")</f>
        <v>שלשלת היחס של משפחת אורנשטיין - ברודא</v>
      </c>
    </row>
    <row r="42066" spans="1:6" x14ac:dyDescent="0.2">
      <c r="A42066" t="s">
        <v>63903</v>
      </c>
      <c r="B42066" t="s">
        <v>63904</v>
      </c>
      <c r="C42066" t="s">
        <v>16540</v>
      </c>
      <c r="D42066" t="s">
        <v>1023</v>
      </c>
      <c r="E42066" t="s">
        <v>119</v>
      </c>
      <c r="F42066" s="2" t="str">
        <f>HYPERLINK("http://www.otzar.org/book.asp?147180","שלשלת הקבלה - 5 כר'")</f>
        <v>שלשלת הקבלה - 5 כר'</v>
      </c>
    </row>
    <row r="42067" spans="1:6" x14ac:dyDescent="0.2">
      <c r="A42067" t="s">
        <v>63905</v>
      </c>
      <c r="B42067" t="s">
        <v>63906</v>
      </c>
      <c r="C42067" t="s">
        <v>1535</v>
      </c>
      <c r="D42067" t="s">
        <v>379</v>
      </c>
      <c r="F42067" s="2" t="str">
        <f>HYPERLINK("http://www.otzar.org/book.asp?611342","שלשלת זהב")</f>
        <v>שלשלת זהב</v>
      </c>
    </row>
    <row r="42068" spans="1:6" x14ac:dyDescent="0.2">
      <c r="A42068" t="s">
        <v>63907</v>
      </c>
      <c r="B42068" t="s">
        <v>19183</v>
      </c>
      <c r="C42068" t="s">
        <v>17</v>
      </c>
      <c r="D42068" t="s">
        <v>14</v>
      </c>
      <c r="E42068" t="s">
        <v>5398</v>
      </c>
      <c r="F42068" s="2" t="str">
        <f>HYPERLINK("http://www.otzar.org/book.asp?108168","שלשלת קאמארנא - אוצר סיפורים ומכתבים")</f>
        <v>שלשלת קאמארנא - אוצר סיפורים ומכתבים</v>
      </c>
    </row>
    <row r="42069" spans="1:6" x14ac:dyDescent="0.2">
      <c r="A42069" t="s">
        <v>63908</v>
      </c>
      <c r="B42069" t="s">
        <v>63909</v>
      </c>
      <c r="C42069" t="s">
        <v>111</v>
      </c>
      <c r="E42069" t="s">
        <v>144</v>
      </c>
      <c r="F42069" s="2" t="str">
        <f>HYPERLINK("http://www.otzar.org/book.asp?626015","שם אבותי - בבא קמא")</f>
        <v>שם אבותי - בבא קמא</v>
      </c>
    </row>
    <row r="42070" spans="1:6" x14ac:dyDescent="0.2">
      <c r="A42070" t="s">
        <v>63910</v>
      </c>
      <c r="B42070" t="s">
        <v>63017</v>
      </c>
      <c r="C42070" t="s">
        <v>313</v>
      </c>
      <c r="D42070" t="s">
        <v>52</v>
      </c>
      <c r="E42070" t="s">
        <v>130</v>
      </c>
      <c r="F42070" s="2" t="str">
        <f>HYPERLINK("http://www.otzar.org/book.asp?85511","שם אבותי - 6 כר'")</f>
        <v>שם אבותי - 6 כר'</v>
      </c>
    </row>
    <row r="42071" spans="1:6" x14ac:dyDescent="0.2">
      <c r="A42071" t="s">
        <v>63911</v>
      </c>
      <c r="B42071" t="s">
        <v>36890</v>
      </c>
      <c r="C42071" t="s">
        <v>8678</v>
      </c>
      <c r="D42071" t="s">
        <v>60</v>
      </c>
      <c r="E42071" t="s">
        <v>144</v>
      </c>
      <c r="F42071" s="2" t="str">
        <f>HYPERLINK("http://www.otzar.org/book.asp?21404","שם אהרן")</f>
        <v>שם אהרן</v>
      </c>
    </row>
    <row r="42072" spans="1:6" x14ac:dyDescent="0.2">
      <c r="A42072" t="s">
        <v>63911</v>
      </c>
      <c r="B42072" t="s">
        <v>15033</v>
      </c>
      <c r="C42072" t="s">
        <v>445</v>
      </c>
      <c r="D42072" t="s">
        <v>2295</v>
      </c>
      <c r="E42072" t="s">
        <v>104</v>
      </c>
      <c r="F42072" s="2" t="str">
        <f>HYPERLINK("http://www.otzar.org/book.asp?168037","שם אהרן")</f>
        <v>שם אהרן</v>
      </c>
    </row>
    <row r="42073" spans="1:6" x14ac:dyDescent="0.2">
      <c r="A42073" t="s">
        <v>63912</v>
      </c>
      <c r="B42073" t="s">
        <v>63913</v>
      </c>
      <c r="C42073" t="s">
        <v>919</v>
      </c>
      <c r="D42073" t="s">
        <v>412</v>
      </c>
      <c r="E42073" t="s">
        <v>158</v>
      </c>
      <c r="F42073" s="2" t="str">
        <f>HYPERLINK("http://www.otzar.org/book.asp?7876","שם אליהו")</f>
        <v>שם אליהו</v>
      </c>
    </row>
    <row r="42074" spans="1:6" x14ac:dyDescent="0.2">
      <c r="A42074" t="s">
        <v>63914</v>
      </c>
      <c r="B42074" t="s">
        <v>63915</v>
      </c>
      <c r="C42074" t="s">
        <v>482</v>
      </c>
      <c r="D42074" t="s">
        <v>9</v>
      </c>
      <c r="E42074" t="s">
        <v>63916</v>
      </c>
      <c r="F42074" s="2" t="str">
        <f>HYPERLINK("http://www.otzar.org/book.asp?14302","שם אליעזר - 2 כר'")</f>
        <v>שם אליעזר - 2 כר'</v>
      </c>
    </row>
    <row r="42075" spans="1:6" x14ac:dyDescent="0.2">
      <c r="A42075" t="s">
        <v>63917</v>
      </c>
      <c r="B42075" t="s">
        <v>51984</v>
      </c>
      <c r="C42075" t="s">
        <v>854</v>
      </c>
      <c r="D42075" t="s">
        <v>283</v>
      </c>
      <c r="E42075" t="s">
        <v>463</v>
      </c>
      <c r="F42075" s="2" t="str">
        <f>HYPERLINK("http://www.otzar.org/book.asp?103264","שם אנוש - 2 כר'")</f>
        <v>שם אנוש - 2 כר'</v>
      </c>
    </row>
    <row r="42076" spans="1:6" x14ac:dyDescent="0.2">
      <c r="A42076" t="s">
        <v>63918</v>
      </c>
      <c r="B42076" t="s">
        <v>63919</v>
      </c>
      <c r="C42076" t="s">
        <v>422</v>
      </c>
      <c r="D42076" t="s">
        <v>14</v>
      </c>
      <c r="E42076" t="s">
        <v>158</v>
      </c>
      <c r="F42076" s="2" t="str">
        <f>HYPERLINK("http://www.otzar.org/book.asp?152499","שם אפרים &lt;עם הגהות יד ושם&gt;")</f>
        <v>שם אפרים &lt;עם הגהות יד ושם&gt;</v>
      </c>
    </row>
    <row r="42077" spans="1:6" x14ac:dyDescent="0.2">
      <c r="A42077" t="s">
        <v>63920</v>
      </c>
      <c r="B42077" t="s">
        <v>1291</v>
      </c>
      <c r="C42077" t="s">
        <v>360</v>
      </c>
      <c r="D42077" t="s">
        <v>3627</v>
      </c>
      <c r="E42077" t="s">
        <v>158</v>
      </c>
      <c r="F42077" s="2" t="str">
        <f>HYPERLINK("http://www.otzar.org/book.asp?25795","שם אפרים - 3 כר'")</f>
        <v>שם אפרים - 3 כר'</v>
      </c>
    </row>
    <row r="42078" spans="1:6" x14ac:dyDescent="0.2">
      <c r="A42078" t="s">
        <v>63921</v>
      </c>
      <c r="B42078" t="s">
        <v>50113</v>
      </c>
      <c r="C42078" t="s">
        <v>32074</v>
      </c>
      <c r="D42078" t="s">
        <v>56</v>
      </c>
      <c r="E42078" t="s">
        <v>508</v>
      </c>
      <c r="F42078" s="2" t="str">
        <f>HYPERLINK("http://www.otzar.org/book.asp?9526","שם אריה - 4 כר'")</f>
        <v>שם אריה - 4 כר'</v>
      </c>
    </row>
    <row r="42079" spans="1:6" x14ac:dyDescent="0.2">
      <c r="A42079" t="s">
        <v>63922</v>
      </c>
      <c r="B42079" t="s">
        <v>42908</v>
      </c>
      <c r="C42079" t="s">
        <v>129</v>
      </c>
      <c r="D42079" t="s">
        <v>52</v>
      </c>
      <c r="E42079" t="s">
        <v>803</v>
      </c>
      <c r="F42079" s="2" t="str">
        <f>HYPERLINK("http://www.otzar.org/book.asp?156752","שם בישראל")</f>
        <v>שם בישראל</v>
      </c>
    </row>
    <row r="42080" spans="1:6" x14ac:dyDescent="0.2">
      <c r="A42080" t="s">
        <v>63923</v>
      </c>
      <c r="B42080" t="s">
        <v>32943</v>
      </c>
      <c r="C42080" t="s">
        <v>956</v>
      </c>
      <c r="D42080" t="s">
        <v>90</v>
      </c>
      <c r="F42080" s="2" t="str">
        <f>HYPERLINK("http://www.otzar.org/book.asp?617965","שם בן ארבע ב""ה וב""ש")</f>
        <v>שם בן ארבע ב"ה וב"ש</v>
      </c>
    </row>
    <row r="42081" spans="1:6" x14ac:dyDescent="0.2">
      <c r="A42081" t="s">
        <v>63924</v>
      </c>
      <c r="B42081" t="s">
        <v>3166</v>
      </c>
      <c r="C42081" t="s">
        <v>176</v>
      </c>
      <c r="D42081" t="s">
        <v>14</v>
      </c>
      <c r="E42081" t="s">
        <v>104</v>
      </c>
      <c r="F42081" s="2" t="str">
        <f>HYPERLINK("http://www.otzar.org/book.asp?200364","שם בצלאל")</f>
        <v>שם בצלאל</v>
      </c>
    </row>
    <row r="42082" spans="1:6" x14ac:dyDescent="0.2">
      <c r="A42082" t="s">
        <v>63925</v>
      </c>
      <c r="B42082" t="s">
        <v>7996</v>
      </c>
      <c r="C42082" t="s">
        <v>13</v>
      </c>
      <c r="D42082" t="s">
        <v>412</v>
      </c>
      <c r="E42082" t="s">
        <v>165</v>
      </c>
      <c r="F42082" s="2" t="str">
        <f>HYPERLINK("http://www.otzar.org/book.asp?165824","שם בשלשה")</f>
        <v>שם בשלשה</v>
      </c>
    </row>
    <row r="42083" spans="1:6" x14ac:dyDescent="0.2">
      <c r="A42083" t="s">
        <v>63926</v>
      </c>
      <c r="B42083" t="s">
        <v>63927</v>
      </c>
      <c r="C42083" t="s">
        <v>286</v>
      </c>
      <c r="D42083" t="s">
        <v>726</v>
      </c>
      <c r="E42083" t="s">
        <v>104</v>
      </c>
      <c r="F42083" s="2" t="str">
        <f>HYPERLINK("http://www.otzar.org/book.asp?20696","שם גדולי ישראל - א")</f>
        <v>שם גדולי ישראל - א</v>
      </c>
    </row>
    <row r="42084" spans="1:6" x14ac:dyDescent="0.2">
      <c r="A42084" t="s">
        <v>63928</v>
      </c>
      <c r="B42084" t="s">
        <v>28229</v>
      </c>
      <c r="C42084" t="s">
        <v>111</v>
      </c>
      <c r="D42084" t="s">
        <v>412</v>
      </c>
      <c r="E42084" t="s">
        <v>158</v>
      </c>
      <c r="F42084" s="2" t="str">
        <f>HYPERLINK("http://www.otzar.org/book.asp?620138","שם דוד - על התורה")</f>
        <v>שם דוד - על התורה</v>
      </c>
    </row>
    <row r="42085" spans="1:6" x14ac:dyDescent="0.2">
      <c r="A42085" t="s">
        <v>63929</v>
      </c>
      <c r="B42085" t="s">
        <v>1308</v>
      </c>
      <c r="C42085" t="s">
        <v>4404</v>
      </c>
      <c r="D42085" t="s">
        <v>212</v>
      </c>
      <c r="E42085" t="s">
        <v>119</v>
      </c>
      <c r="F42085" s="2" t="str">
        <f>HYPERLINK("http://www.otzar.org/book.asp?176983","שם הגדולים &lt;דפו""ר&gt; - ב")</f>
        <v>שם הגדולים &lt;דפו"ר&gt; - ב</v>
      </c>
    </row>
    <row r="42086" spans="1:6" x14ac:dyDescent="0.2">
      <c r="A42086" t="s">
        <v>63930</v>
      </c>
      <c r="B42086" t="s">
        <v>1308</v>
      </c>
      <c r="C42086" t="s">
        <v>6448</v>
      </c>
      <c r="D42086" t="s">
        <v>212</v>
      </c>
      <c r="E42086" t="s">
        <v>119</v>
      </c>
      <c r="F42086" s="2" t="str">
        <f>HYPERLINK("http://www.otzar.org/book.asp?181002","שם הגדולים &lt;מהדורה שניה&gt; - א")</f>
        <v>שם הגדולים &lt;מהדורה שניה&gt; - א</v>
      </c>
    </row>
    <row r="42087" spans="1:6" x14ac:dyDescent="0.2">
      <c r="A42087" t="s">
        <v>63931</v>
      </c>
      <c r="B42087" t="s">
        <v>63932</v>
      </c>
      <c r="C42087" t="s">
        <v>160</v>
      </c>
      <c r="D42087" t="s">
        <v>2009</v>
      </c>
      <c r="E42087" t="s">
        <v>119</v>
      </c>
      <c r="F42087" s="2" t="str">
        <f>HYPERLINK("http://www.otzar.org/book.asp?141180","שם הגדולים &lt;אקדמות מילין&gt;")</f>
        <v>שם הגדולים &lt;אקדמות מילין&gt;</v>
      </c>
    </row>
    <row r="42088" spans="1:6" x14ac:dyDescent="0.2">
      <c r="A42088" t="s">
        <v>63933</v>
      </c>
      <c r="B42088" t="s">
        <v>53706</v>
      </c>
      <c r="C42088" t="s">
        <v>63934</v>
      </c>
      <c r="D42088" t="s">
        <v>6214</v>
      </c>
      <c r="F42088" s="2" t="str">
        <f>HYPERLINK("http://www.otzar.org/book.asp?612660","שם הגדולים החדש - 3 כר'")</f>
        <v>שם הגדולים החדש - 3 כר'</v>
      </c>
    </row>
    <row r="42089" spans="1:6" x14ac:dyDescent="0.2">
      <c r="A42089" t="s">
        <v>63935</v>
      </c>
      <c r="B42089" t="s">
        <v>13716</v>
      </c>
      <c r="C42089" t="s">
        <v>224</v>
      </c>
      <c r="D42089" t="s">
        <v>27</v>
      </c>
      <c r="E42089" t="s">
        <v>2596</v>
      </c>
      <c r="F42089" s="2" t="str">
        <f>HYPERLINK("http://www.otzar.org/book.asp?581","שם הגדולים הירושלמי הכללי")</f>
        <v>שם הגדולים הירושלמי הכללי</v>
      </c>
    </row>
    <row r="42090" spans="1:6" x14ac:dyDescent="0.2">
      <c r="A42090" t="s">
        <v>63936</v>
      </c>
      <c r="B42090" t="s">
        <v>33583</v>
      </c>
      <c r="C42090" t="s">
        <v>445</v>
      </c>
      <c r="D42090" t="s">
        <v>56</v>
      </c>
      <c r="E42090" t="s">
        <v>119</v>
      </c>
      <c r="F42090" s="2" t="str">
        <f>HYPERLINK("http://www.otzar.org/book.asp?141087","שם הגדולים השלישי - א-ב")</f>
        <v>שם הגדולים השלישי - א-ב</v>
      </c>
    </row>
    <row r="42091" spans="1:6" x14ac:dyDescent="0.2">
      <c r="A42091" t="s">
        <v>63937</v>
      </c>
      <c r="B42091" t="s">
        <v>1308</v>
      </c>
      <c r="C42091" t="s">
        <v>383</v>
      </c>
      <c r="D42091" t="s">
        <v>14</v>
      </c>
      <c r="E42091" t="s">
        <v>27260</v>
      </c>
      <c r="F42091" s="2" t="str">
        <f>HYPERLINK("http://www.otzar.org/book.asp?11116","שם הגדולים השלם - 3 כר'")</f>
        <v>שם הגדולים השלם - 3 כר'</v>
      </c>
    </row>
    <row r="42092" spans="1:6" x14ac:dyDescent="0.2">
      <c r="A42092" t="s">
        <v>63938</v>
      </c>
      <c r="B42092" t="s">
        <v>28892</v>
      </c>
      <c r="C42092" t="s">
        <v>63939</v>
      </c>
      <c r="D42092" t="s">
        <v>661</v>
      </c>
      <c r="E42092" t="s">
        <v>733</v>
      </c>
      <c r="F42092" s="2" t="str">
        <f>HYPERLINK("http://www.otzar.org/book.asp?100591","שם הגדולים מארץ הגר - 2 כר'")</f>
        <v>שם הגדולים מארץ הגר - 2 כר'</v>
      </c>
    </row>
    <row r="42093" spans="1:6" x14ac:dyDescent="0.2">
      <c r="A42093" t="s">
        <v>63940</v>
      </c>
      <c r="B42093" t="s">
        <v>1308</v>
      </c>
      <c r="C42093" t="s">
        <v>6895</v>
      </c>
      <c r="D42093" t="s">
        <v>212</v>
      </c>
      <c r="E42093" t="s">
        <v>119</v>
      </c>
      <c r="F42093" s="2" t="str">
        <f>HYPERLINK("http://www.otzar.org/book.asp?189532","שם הגדולים - 5 כר'")</f>
        <v>שם הגדולים - 5 כר'</v>
      </c>
    </row>
    <row r="42094" spans="1:6" x14ac:dyDescent="0.2">
      <c r="A42094" t="s">
        <v>63941</v>
      </c>
      <c r="B42094" t="s">
        <v>36099</v>
      </c>
      <c r="C42094" t="s">
        <v>1062</v>
      </c>
      <c r="D42094" t="s">
        <v>27</v>
      </c>
      <c r="E42094" t="s">
        <v>791</v>
      </c>
      <c r="F42094" s="2" t="str">
        <f>HYPERLINK("http://www.otzar.org/book.asp?13782","שם הכהן")</f>
        <v>שם הכהן</v>
      </c>
    </row>
    <row r="42095" spans="1:6" x14ac:dyDescent="0.2">
      <c r="A42095" t="s">
        <v>63942</v>
      </c>
      <c r="B42095" t="s">
        <v>63943</v>
      </c>
      <c r="C42095" t="s">
        <v>146</v>
      </c>
      <c r="D42095" t="s">
        <v>14</v>
      </c>
      <c r="E42095" t="s">
        <v>104</v>
      </c>
      <c r="F42095" s="2" t="str">
        <f>HYPERLINK("http://www.otzar.org/book.asp?152236","שם ונשמה")</f>
        <v>שם ונשמה</v>
      </c>
    </row>
    <row r="42096" spans="1:6" x14ac:dyDescent="0.2">
      <c r="A42096" t="s">
        <v>63942</v>
      </c>
      <c r="B42096" t="s">
        <v>4735</v>
      </c>
      <c r="C42096" t="s">
        <v>87</v>
      </c>
      <c r="D42096" t="s">
        <v>14</v>
      </c>
      <c r="E42096" t="s">
        <v>15</v>
      </c>
      <c r="F42096" s="2" t="str">
        <f>HYPERLINK("http://www.otzar.org/book.asp?159061","שם ונשמה")</f>
        <v>שם ונשמה</v>
      </c>
    </row>
    <row r="42097" spans="1:6" x14ac:dyDescent="0.2">
      <c r="A42097" t="s">
        <v>63944</v>
      </c>
      <c r="B42097" t="s">
        <v>63945</v>
      </c>
      <c r="C42097" t="s">
        <v>919</v>
      </c>
      <c r="D42097" t="s">
        <v>412</v>
      </c>
      <c r="E42097" t="s">
        <v>154</v>
      </c>
      <c r="F42097" s="2" t="str">
        <f>HYPERLINK("http://www.otzar.org/book.asp?170670","שם ושארית ישראל")</f>
        <v>שם ושארית ישראל</v>
      </c>
    </row>
    <row r="42098" spans="1:6" x14ac:dyDescent="0.2">
      <c r="A42098" t="s">
        <v>63946</v>
      </c>
      <c r="B42098" t="s">
        <v>63947</v>
      </c>
      <c r="C42098" t="s">
        <v>390</v>
      </c>
      <c r="D42098" t="s">
        <v>14</v>
      </c>
      <c r="E42098" t="s">
        <v>61910</v>
      </c>
      <c r="F42098" s="2" t="str">
        <f>HYPERLINK("http://www.otzar.org/book.asp?10905","שם ושארית לנפש חיה")</f>
        <v>שם ושארית לנפש חיה</v>
      </c>
    </row>
    <row r="42099" spans="1:6" x14ac:dyDescent="0.2">
      <c r="A42099" t="s">
        <v>63948</v>
      </c>
      <c r="B42099" t="s">
        <v>63949</v>
      </c>
      <c r="C42099" t="s">
        <v>411</v>
      </c>
      <c r="D42099" t="s">
        <v>3436</v>
      </c>
      <c r="F42099" s="2" t="str">
        <f>HYPERLINK("http://www.otzar.org/book.asp?194703","שם ושארית")</f>
        <v>שם ושארית</v>
      </c>
    </row>
    <row r="42100" spans="1:6" x14ac:dyDescent="0.2">
      <c r="A42100" t="s">
        <v>63948</v>
      </c>
      <c r="B42100" t="s">
        <v>63950</v>
      </c>
      <c r="D42100" t="s">
        <v>3436</v>
      </c>
      <c r="F42100" s="2" t="str">
        <f>HYPERLINK("http://www.otzar.org/book.asp?194026","שם ושארית")</f>
        <v>שם ושארית</v>
      </c>
    </row>
    <row r="42101" spans="1:6" x14ac:dyDescent="0.2">
      <c r="A42101" t="s">
        <v>63948</v>
      </c>
      <c r="B42101" t="s">
        <v>63951</v>
      </c>
      <c r="C42101" t="s">
        <v>785</v>
      </c>
      <c r="D42101" t="s">
        <v>14</v>
      </c>
      <c r="E42101" t="s">
        <v>5398</v>
      </c>
      <c r="F42101" s="2" t="str">
        <f>HYPERLINK("http://www.otzar.org/book.asp?106434","שם ושארית")</f>
        <v>שם ושארית</v>
      </c>
    </row>
    <row r="42102" spans="1:6" x14ac:dyDescent="0.2">
      <c r="A42102" t="s">
        <v>63948</v>
      </c>
      <c r="B42102" t="s">
        <v>3943</v>
      </c>
      <c r="C42102" t="s">
        <v>1437</v>
      </c>
      <c r="D42102" t="s">
        <v>1117</v>
      </c>
      <c r="E42102" t="s">
        <v>119</v>
      </c>
      <c r="F42102" s="2" t="str">
        <f>HYPERLINK("http://www.otzar.org/book.asp?19098","שם ושארית")</f>
        <v>שם ושארית</v>
      </c>
    </row>
    <row r="42103" spans="1:6" x14ac:dyDescent="0.2">
      <c r="A42103" t="s">
        <v>63948</v>
      </c>
      <c r="B42103" t="s">
        <v>1005</v>
      </c>
      <c r="C42103" t="s">
        <v>106</v>
      </c>
      <c r="D42103" t="s">
        <v>52</v>
      </c>
      <c r="F42103" s="2" t="str">
        <f>HYPERLINK("http://www.otzar.org/book.asp?153406","שם ושארית")</f>
        <v>שם ושארית</v>
      </c>
    </row>
    <row r="42104" spans="1:6" x14ac:dyDescent="0.2">
      <c r="A42104" t="s">
        <v>63952</v>
      </c>
      <c r="B42104" t="s">
        <v>63953</v>
      </c>
      <c r="C42104" t="s">
        <v>306</v>
      </c>
      <c r="D42104" t="s">
        <v>27</v>
      </c>
      <c r="E42104" t="s">
        <v>674</v>
      </c>
      <c r="F42104" s="2" t="str">
        <f>HYPERLINK("http://www.otzar.org/book.asp?101850","שם חדש &lt;על ספר יראים&gt; - 2 כר'")</f>
        <v>שם חדש &lt;על ספר יראים&gt; - 2 כר'</v>
      </c>
    </row>
    <row r="42105" spans="1:6" x14ac:dyDescent="0.2">
      <c r="A42105" t="s">
        <v>63954</v>
      </c>
      <c r="B42105" t="s">
        <v>1656</v>
      </c>
      <c r="C42105" t="s">
        <v>2870</v>
      </c>
      <c r="D42105" t="s">
        <v>63955</v>
      </c>
      <c r="E42105" t="s">
        <v>15</v>
      </c>
      <c r="F42105" s="2" t="str">
        <f>HYPERLINK("http://www.otzar.org/book.asp?152237","שם חדש")</f>
        <v>שם חדש</v>
      </c>
    </row>
    <row r="42106" spans="1:6" x14ac:dyDescent="0.2">
      <c r="A42106" t="s">
        <v>63954</v>
      </c>
      <c r="B42106" t="s">
        <v>5253</v>
      </c>
      <c r="C42106" t="s">
        <v>180</v>
      </c>
      <c r="D42106" t="s">
        <v>52</v>
      </c>
      <c r="E42106" t="s">
        <v>15</v>
      </c>
      <c r="F42106" s="2" t="str">
        <f>HYPERLINK("http://www.otzar.org/book.asp?143539","שם חדש")</f>
        <v>שם חדש</v>
      </c>
    </row>
    <row r="42107" spans="1:6" x14ac:dyDescent="0.2">
      <c r="A42107" t="s">
        <v>63956</v>
      </c>
      <c r="B42107" t="s">
        <v>6945</v>
      </c>
      <c r="C42107" t="s">
        <v>1721</v>
      </c>
      <c r="D42107" t="s">
        <v>1538</v>
      </c>
      <c r="E42107" t="s">
        <v>399</v>
      </c>
      <c r="F42107" s="2" t="str">
        <f>HYPERLINK("http://www.otzar.org/book.asp?25432","שם טוב קטן - 4 כר'")</f>
        <v>שם טוב קטן - 4 כר'</v>
      </c>
    </row>
    <row r="42108" spans="1:6" x14ac:dyDescent="0.2">
      <c r="A42108" t="s">
        <v>63957</v>
      </c>
      <c r="B42108" t="s">
        <v>34490</v>
      </c>
      <c r="C42108" t="s">
        <v>1166</v>
      </c>
      <c r="D42108" t="s">
        <v>56</v>
      </c>
      <c r="E42108" t="s">
        <v>234</v>
      </c>
      <c r="F42108" s="2" t="str">
        <f>HYPERLINK("http://www.otzar.org/book.asp?149976","שם טוב")</f>
        <v>שם טוב</v>
      </c>
    </row>
    <row r="42109" spans="1:6" x14ac:dyDescent="0.2">
      <c r="A42109" t="s">
        <v>63957</v>
      </c>
      <c r="B42109" t="s">
        <v>686</v>
      </c>
      <c r="C42109" t="s">
        <v>366</v>
      </c>
      <c r="D42109" t="s">
        <v>80</v>
      </c>
      <c r="E42109" t="s">
        <v>3798</v>
      </c>
      <c r="F42109" s="2" t="str">
        <f>HYPERLINK("http://www.otzar.org/book.asp?606749","שם טוב")</f>
        <v>שם טוב</v>
      </c>
    </row>
    <row r="42110" spans="1:6" x14ac:dyDescent="0.2">
      <c r="A42110" t="s">
        <v>63957</v>
      </c>
      <c r="B42110" t="s">
        <v>63958</v>
      </c>
      <c r="C42110" t="s">
        <v>547</v>
      </c>
      <c r="D42110" t="s">
        <v>225</v>
      </c>
      <c r="E42110" t="s">
        <v>508</v>
      </c>
      <c r="F42110" s="2" t="str">
        <f>HYPERLINK("http://www.otzar.org/book.asp?20693","שם טוב")</f>
        <v>שם טוב</v>
      </c>
    </row>
    <row r="42111" spans="1:6" x14ac:dyDescent="0.2">
      <c r="A42111" t="s">
        <v>63959</v>
      </c>
      <c r="B42111" t="s">
        <v>63960</v>
      </c>
      <c r="C42111" t="s">
        <v>111</v>
      </c>
      <c r="D42111" t="s">
        <v>27</v>
      </c>
      <c r="E42111" t="s">
        <v>154</v>
      </c>
      <c r="F42111" s="2" t="str">
        <f>HYPERLINK("http://www.otzar.org/book.asp?628668","שם יוסף &lt;מהדורה חדשה&gt;")</f>
        <v>שם יוסף &lt;מהדורה חדשה&gt;</v>
      </c>
    </row>
    <row r="42112" spans="1:6" x14ac:dyDescent="0.2">
      <c r="A42112" t="s">
        <v>63961</v>
      </c>
      <c r="B42112" t="s">
        <v>63960</v>
      </c>
      <c r="C42112" t="s">
        <v>1177</v>
      </c>
      <c r="D42112" t="s">
        <v>27</v>
      </c>
      <c r="E42112" t="s">
        <v>10190</v>
      </c>
      <c r="F42112" s="2" t="str">
        <f>HYPERLINK("http://www.otzar.org/book.asp?101711","שם יוסף &lt;ש""ס, רמב""ם&gt;")</f>
        <v>שם יוסף &lt;ש"ס, רמב"ם&gt;</v>
      </c>
    </row>
    <row r="42113" spans="1:6" x14ac:dyDescent="0.2">
      <c r="A42113" t="s">
        <v>63962</v>
      </c>
      <c r="B42113" t="s">
        <v>63960</v>
      </c>
      <c r="C42113" t="s">
        <v>1177</v>
      </c>
      <c r="D42113" t="s">
        <v>27</v>
      </c>
      <c r="E42113" t="s">
        <v>172</v>
      </c>
      <c r="F42113" s="2" t="str">
        <f>HYPERLINK("http://www.otzar.org/book.asp?151625","שם יוסף &lt;שו""ע&gt;")</f>
        <v>שם יוסף &lt;שו"ע&gt;</v>
      </c>
    </row>
    <row r="42114" spans="1:6" x14ac:dyDescent="0.2">
      <c r="A42114" t="s">
        <v>63963</v>
      </c>
      <c r="B42114" t="s">
        <v>63964</v>
      </c>
      <c r="C42114" t="s">
        <v>7625</v>
      </c>
      <c r="D42114" t="s">
        <v>76</v>
      </c>
      <c r="E42114" t="s">
        <v>15</v>
      </c>
      <c r="F42114" s="2" t="str">
        <f>HYPERLINK("http://www.otzar.org/book.asp?104571","שם יוסף")</f>
        <v>שם יוסף</v>
      </c>
    </row>
    <row r="42115" spans="1:6" x14ac:dyDescent="0.2">
      <c r="A42115" t="s">
        <v>63963</v>
      </c>
      <c r="B42115" t="s">
        <v>63965</v>
      </c>
      <c r="C42115" t="s">
        <v>244</v>
      </c>
      <c r="D42115" t="s">
        <v>21</v>
      </c>
      <c r="E42115" t="s">
        <v>158</v>
      </c>
      <c r="F42115" s="2" t="str">
        <f>HYPERLINK("http://www.otzar.org/book.asp?601310","שם יוסף")</f>
        <v>שם יוסף</v>
      </c>
    </row>
    <row r="42116" spans="1:6" x14ac:dyDescent="0.2">
      <c r="A42116" t="s">
        <v>63966</v>
      </c>
      <c r="B42116" t="s">
        <v>63967</v>
      </c>
      <c r="C42116" t="s">
        <v>30737</v>
      </c>
      <c r="D42116" t="s">
        <v>1833</v>
      </c>
      <c r="E42116" t="s">
        <v>241</v>
      </c>
      <c r="F42116" s="2" t="str">
        <f>HYPERLINK("http://www.otzar.org/book.asp?21400","שם יעקב")</f>
        <v>שם יעקב</v>
      </c>
    </row>
    <row r="42117" spans="1:6" x14ac:dyDescent="0.2">
      <c r="A42117" t="s">
        <v>63968</v>
      </c>
      <c r="B42117" t="s">
        <v>7922</v>
      </c>
      <c r="C42117" t="s">
        <v>1036</v>
      </c>
      <c r="D42117" t="s">
        <v>56</v>
      </c>
      <c r="E42117" t="s">
        <v>84</v>
      </c>
      <c r="F42117" s="2" t="str">
        <f>HYPERLINK("http://www.otzar.org/book.asp?20692","שם ישראל")</f>
        <v>שם ישראל</v>
      </c>
    </row>
    <row r="42118" spans="1:6" x14ac:dyDescent="0.2">
      <c r="A42118" t="s">
        <v>63969</v>
      </c>
      <c r="B42118" t="s">
        <v>18174</v>
      </c>
      <c r="C42118" t="s">
        <v>146</v>
      </c>
      <c r="D42118" t="s">
        <v>14</v>
      </c>
      <c r="E42118" t="s">
        <v>63970</v>
      </c>
      <c r="F42118" s="2" t="str">
        <f>HYPERLINK("http://www.otzar.org/book.asp?63663","שם ישראל - 2 כר'")</f>
        <v>שם ישראל - 2 כר'</v>
      </c>
    </row>
    <row r="42119" spans="1:6" x14ac:dyDescent="0.2">
      <c r="A42119" t="s">
        <v>63971</v>
      </c>
      <c r="B42119" t="s">
        <v>206</v>
      </c>
      <c r="C42119" t="s">
        <v>71</v>
      </c>
      <c r="D42119" t="s">
        <v>14</v>
      </c>
      <c r="E42119" t="s">
        <v>144</v>
      </c>
      <c r="F42119" s="2" t="str">
        <f>HYPERLINK("http://www.otzar.org/book.asp?188998","שם ליוסף - 4 כר'")</f>
        <v>שם ליוסף - 4 כר'</v>
      </c>
    </row>
    <row r="42120" spans="1:6" x14ac:dyDescent="0.2">
      <c r="A42120" t="s">
        <v>63972</v>
      </c>
      <c r="B42120" t="s">
        <v>63973</v>
      </c>
      <c r="C42120" t="s">
        <v>87</v>
      </c>
      <c r="D42120" t="s">
        <v>52</v>
      </c>
      <c r="E42120" t="s">
        <v>144</v>
      </c>
      <c r="F42120" s="2" t="str">
        <f>HYPERLINK("http://www.otzar.org/book.asp?142160","שם לשמואל - 2 כר'")</f>
        <v>שם לשמואל - 2 כר'</v>
      </c>
    </row>
    <row r="42121" spans="1:6" x14ac:dyDescent="0.2">
      <c r="A42121" t="s">
        <v>63974</v>
      </c>
      <c r="B42121" t="s">
        <v>63975</v>
      </c>
      <c r="C42121" t="s">
        <v>103</v>
      </c>
      <c r="D42121" t="s">
        <v>14</v>
      </c>
      <c r="F42121" s="2" t="str">
        <f>HYPERLINK("http://www.otzar.org/book.asp?613322","שם מרדכי")</f>
        <v>שם מרדכי</v>
      </c>
    </row>
    <row r="42122" spans="1:6" x14ac:dyDescent="0.2">
      <c r="A42122" t="s">
        <v>63976</v>
      </c>
      <c r="B42122" t="s">
        <v>28394</v>
      </c>
      <c r="C42122" t="s">
        <v>189</v>
      </c>
      <c r="D42122" t="s">
        <v>90</v>
      </c>
      <c r="E42122" t="s">
        <v>154</v>
      </c>
      <c r="F42122" s="2" t="str">
        <f>HYPERLINK("http://www.otzar.org/book.asp?199464","שם משה - א ב")</f>
        <v>שם משה - א ב</v>
      </c>
    </row>
    <row r="42123" spans="1:6" x14ac:dyDescent="0.2">
      <c r="A42123" t="s">
        <v>63977</v>
      </c>
      <c r="B42123" t="s">
        <v>9322</v>
      </c>
      <c r="C42123" t="s">
        <v>1228</v>
      </c>
      <c r="D42123" t="s">
        <v>27</v>
      </c>
      <c r="E42123" t="s">
        <v>463</v>
      </c>
      <c r="F42123" s="2" t="str">
        <f>HYPERLINK("http://www.otzar.org/book.asp?162193","שם משה")</f>
        <v>שם משה</v>
      </c>
    </row>
    <row r="42124" spans="1:6" x14ac:dyDescent="0.2">
      <c r="A42124" t="s">
        <v>63978</v>
      </c>
      <c r="B42124" t="s">
        <v>63979</v>
      </c>
      <c r="C42124" t="s">
        <v>334</v>
      </c>
      <c r="D42124" t="s">
        <v>27</v>
      </c>
      <c r="E42124" t="s">
        <v>154</v>
      </c>
      <c r="F42124" s="2" t="str">
        <f>HYPERLINK("http://www.otzar.org/book.asp?175414","שם משמואל &lt;שו""ת&gt;, דברי אברהם")</f>
        <v>שם משמואל &lt;שו"ת&gt;, דברי אברהם</v>
      </c>
    </row>
    <row r="42125" spans="1:6" x14ac:dyDescent="0.2">
      <c r="A42125" t="s">
        <v>63980</v>
      </c>
      <c r="B42125" t="s">
        <v>25565</v>
      </c>
      <c r="C42125" t="s">
        <v>1619</v>
      </c>
      <c r="D42125" t="s">
        <v>14</v>
      </c>
      <c r="E42125" t="s">
        <v>119</v>
      </c>
      <c r="F42125" s="2" t="str">
        <f>HYPERLINK("http://www.otzar.org/book.asp?188940","שם משמואל &lt;מהדורה חדשה&gt;")</f>
        <v>שם משמואל &lt;מהדורה חדשה&gt;</v>
      </c>
    </row>
    <row r="42126" spans="1:6" x14ac:dyDescent="0.2">
      <c r="A42126" t="s">
        <v>63981</v>
      </c>
      <c r="B42126" t="s">
        <v>63982</v>
      </c>
      <c r="C42126" t="s">
        <v>411</v>
      </c>
      <c r="D42126" t="s">
        <v>4478</v>
      </c>
      <c r="E42126" t="s">
        <v>15</v>
      </c>
      <c r="F42126" s="2" t="str">
        <f>HYPERLINK("http://www.otzar.org/book.asp?167188","שם משמואל ושמות חיים")</f>
        <v>שם משמואל ושמות חיים</v>
      </c>
    </row>
    <row r="42127" spans="1:6" x14ac:dyDescent="0.2">
      <c r="A42127" t="s">
        <v>63983</v>
      </c>
      <c r="B42127" t="s">
        <v>63984</v>
      </c>
      <c r="C42127" t="s">
        <v>334</v>
      </c>
      <c r="D42127" t="s">
        <v>52</v>
      </c>
      <c r="E42127" t="s">
        <v>234</v>
      </c>
      <c r="F42127" s="2" t="str">
        <f>HYPERLINK("http://www.otzar.org/book.asp?172593","שם משמואל")</f>
        <v>שם משמואל</v>
      </c>
    </row>
    <row r="42128" spans="1:6" x14ac:dyDescent="0.2">
      <c r="A42128" t="s">
        <v>63985</v>
      </c>
      <c r="B42128" t="s">
        <v>50215</v>
      </c>
      <c r="C42128" t="s">
        <v>383</v>
      </c>
      <c r="D42128" t="s">
        <v>14</v>
      </c>
      <c r="E42128" t="s">
        <v>2071</v>
      </c>
      <c r="F42128" s="2" t="str">
        <f>HYPERLINK("http://www.otzar.org/book.asp?144212","שם משמואל - 7 כר'")</f>
        <v>שם משמואל - 7 כר'</v>
      </c>
    </row>
    <row r="42129" spans="1:6" x14ac:dyDescent="0.2">
      <c r="A42129" t="s">
        <v>63983</v>
      </c>
      <c r="B42129" t="s">
        <v>21503</v>
      </c>
      <c r="C42129" t="s">
        <v>427</v>
      </c>
      <c r="D42129" t="s">
        <v>216</v>
      </c>
      <c r="E42129" t="s">
        <v>148</v>
      </c>
      <c r="F42129" s="2" t="str">
        <f>HYPERLINK("http://www.otzar.org/book.asp?159536","שם משמואל")</f>
        <v>שם משמואל</v>
      </c>
    </row>
    <row r="42130" spans="1:6" x14ac:dyDescent="0.2">
      <c r="A42130" t="s">
        <v>63983</v>
      </c>
      <c r="B42130" t="s">
        <v>25565</v>
      </c>
      <c r="C42130" t="s">
        <v>1470</v>
      </c>
      <c r="D42130" t="s">
        <v>1081</v>
      </c>
      <c r="E42130" t="s">
        <v>5580</v>
      </c>
      <c r="F42130" s="2" t="str">
        <f>HYPERLINK("http://www.otzar.org/book.asp?148674","שם משמואל")</f>
        <v>שם משמואל</v>
      </c>
    </row>
    <row r="42131" spans="1:6" x14ac:dyDescent="0.2">
      <c r="A42131" t="s">
        <v>63986</v>
      </c>
      <c r="B42131" t="s">
        <v>63987</v>
      </c>
      <c r="C42131" t="s">
        <v>1515</v>
      </c>
      <c r="D42131" t="s">
        <v>267</v>
      </c>
      <c r="E42131" t="s">
        <v>463</v>
      </c>
      <c r="F42131" s="2" t="str">
        <f>HYPERLINK("http://www.otzar.org/book.asp?101710","שם משמואל - 4 כר'")</f>
        <v>שם משמואל - 4 כר'</v>
      </c>
    </row>
    <row r="42132" spans="1:6" x14ac:dyDescent="0.2">
      <c r="A42132" t="s">
        <v>63988</v>
      </c>
      <c r="B42132" t="s">
        <v>63989</v>
      </c>
      <c r="C42132" t="s">
        <v>17</v>
      </c>
      <c r="D42132" t="s">
        <v>10790</v>
      </c>
      <c r="E42132" t="s">
        <v>230</v>
      </c>
      <c r="F42132" s="2" t="str">
        <f>HYPERLINK("http://www.otzar.org/book.asp?164207","שם משמעון")</f>
        <v>שם משמעון</v>
      </c>
    </row>
    <row r="42133" spans="1:6" x14ac:dyDescent="0.2">
      <c r="A42133" t="s">
        <v>63988</v>
      </c>
      <c r="B42133" t="s">
        <v>63990</v>
      </c>
      <c r="C42133" t="s">
        <v>802</v>
      </c>
      <c r="D42133" t="s">
        <v>1422</v>
      </c>
      <c r="E42133" t="s">
        <v>144</v>
      </c>
      <c r="F42133" s="2" t="str">
        <f>HYPERLINK("http://www.otzar.org/book.asp?21401","שם משמעון")</f>
        <v>שם משמעון</v>
      </c>
    </row>
    <row r="42134" spans="1:6" x14ac:dyDescent="0.2">
      <c r="A42134" t="s">
        <v>63988</v>
      </c>
      <c r="B42134" t="s">
        <v>39046</v>
      </c>
      <c r="C42134" t="s">
        <v>103</v>
      </c>
      <c r="D42134" t="s">
        <v>1205</v>
      </c>
      <c r="E42134" t="s">
        <v>674</v>
      </c>
      <c r="F42134" s="2" t="str">
        <f>HYPERLINK("http://www.otzar.org/book.asp?159343","שם משמעון")</f>
        <v>שם משמעון</v>
      </c>
    </row>
    <row r="42135" spans="1:6" x14ac:dyDescent="0.2">
      <c r="A42135" t="s">
        <v>63988</v>
      </c>
      <c r="B42135" t="s">
        <v>34490</v>
      </c>
      <c r="C42135" t="s">
        <v>888</v>
      </c>
      <c r="D42135" t="s">
        <v>56</v>
      </c>
      <c r="E42135" t="s">
        <v>435</v>
      </c>
      <c r="F42135" s="2" t="str">
        <f>HYPERLINK("http://www.otzar.org/book.asp?163","שם משמעון")</f>
        <v>שם משמעון</v>
      </c>
    </row>
    <row r="42136" spans="1:6" x14ac:dyDescent="0.2">
      <c r="A42136" t="s">
        <v>63988</v>
      </c>
      <c r="B42136" t="s">
        <v>63991</v>
      </c>
      <c r="C42136" t="s">
        <v>1640</v>
      </c>
      <c r="D42136" t="s">
        <v>1855</v>
      </c>
      <c r="E42136" t="s">
        <v>202</v>
      </c>
      <c r="F42136" s="2" t="str">
        <f>HYPERLINK("http://www.otzar.org/book.asp?84827","שם משמעון")</f>
        <v>שם משמעון</v>
      </c>
    </row>
    <row r="42137" spans="1:6" x14ac:dyDescent="0.2">
      <c r="A42137" t="s">
        <v>63992</v>
      </c>
      <c r="B42137" t="s">
        <v>5807</v>
      </c>
      <c r="C42137" t="s">
        <v>23</v>
      </c>
      <c r="D42137" t="s">
        <v>52</v>
      </c>
      <c r="E42137" t="s">
        <v>144</v>
      </c>
      <c r="F42137" s="2" t="str">
        <f>HYPERLINK("http://www.otzar.org/book.asp?628045","שם משמעון - גיטין")</f>
        <v>שם משמעון - גיטין</v>
      </c>
    </row>
    <row r="42138" spans="1:6" x14ac:dyDescent="0.2">
      <c r="A42138" t="s">
        <v>63993</v>
      </c>
      <c r="B42138" t="s">
        <v>32095</v>
      </c>
      <c r="C42138" t="s">
        <v>785</v>
      </c>
      <c r="D42138" t="s">
        <v>1646</v>
      </c>
      <c r="E42138" t="s">
        <v>674</v>
      </c>
      <c r="F42138" s="2" t="str">
        <f>HYPERLINK("http://www.otzar.org/book.asp?189447","שם משמעון - ב")</f>
        <v>שם משמעון - ב</v>
      </c>
    </row>
    <row r="42139" spans="1:6" x14ac:dyDescent="0.2">
      <c r="A42139" t="s">
        <v>63988</v>
      </c>
      <c r="B42139" t="s">
        <v>63994</v>
      </c>
      <c r="C42139" t="s">
        <v>1284</v>
      </c>
      <c r="D42139" t="s">
        <v>27</v>
      </c>
      <c r="E42139" t="s">
        <v>930</v>
      </c>
      <c r="F42139" s="2" t="str">
        <f>HYPERLINK("http://www.otzar.org/book.asp?28521","שם משמעון")</f>
        <v>שם משמעון</v>
      </c>
    </row>
    <row r="42140" spans="1:6" x14ac:dyDescent="0.2">
      <c r="A42140" t="s">
        <v>63988</v>
      </c>
      <c r="B42140" t="s">
        <v>55266</v>
      </c>
      <c r="C42140" t="s">
        <v>619</v>
      </c>
      <c r="D42140" t="s">
        <v>100</v>
      </c>
      <c r="E42140" t="s">
        <v>154</v>
      </c>
      <c r="F42140" s="2" t="str">
        <f>HYPERLINK("http://www.otzar.org/book.asp?20688","שם משמעון")</f>
        <v>שם משמעון</v>
      </c>
    </row>
    <row r="42141" spans="1:6" x14ac:dyDescent="0.2">
      <c r="A42141" t="s">
        <v>63995</v>
      </c>
      <c r="B42141" t="s">
        <v>63996</v>
      </c>
      <c r="C42141" t="s">
        <v>1570</v>
      </c>
      <c r="D42141" t="s">
        <v>412</v>
      </c>
      <c r="E42141" t="s">
        <v>104</v>
      </c>
      <c r="F42141" s="2" t="str">
        <f>HYPERLINK("http://www.otzar.org/book.asp?190359","שם משמעון - 3 כר'")</f>
        <v>שם משמעון - 3 כר'</v>
      </c>
    </row>
    <row r="42142" spans="1:6" x14ac:dyDescent="0.2">
      <c r="A42142" t="s">
        <v>63988</v>
      </c>
      <c r="B42142" t="s">
        <v>1005</v>
      </c>
      <c r="C42142" t="s">
        <v>146</v>
      </c>
      <c r="E42142" t="s">
        <v>202</v>
      </c>
      <c r="F42142" s="2" t="str">
        <f>HYPERLINK("http://www.otzar.org/book.asp?166939","שם משמעון")</f>
        <v>שם משמעון</v>
      </c>
    </row>
    <row r="42143" spans="1:6" x14ac:dyDescent="0.2">
      <c r="A42143" t="s">
        <v>63995</v>
      </c>
      <c r="B42143" t="s">
        <v>489</v>
      </c>
      <c r="C42143" t="s">
        <v>20</v>
      </c>
      <c r="D42143" t="s">
        <v>21</v>
      </c>
      <c r="E42143" t="s">
        <v>202</v>
      </c>
      <c r="F42143" s="2" t="str">
        <f>HYPERLINK("http://www.otzar.org/book.asp?196750","שם משמעון - 3 כר'")</f>
        <v>שם משמעון - 3 כר'</v>
      </c>
    </row>
    <row r="42144" spans="1:6" x14ac:dyDescent="0.2">
      <c r="A42144" t="s">
        <v>63988</v>
      </c>
      <c r="B42144" t="s">
        <v>63997</v>
      </c>
      <c r="C42144" t="s">
        <v>600</v>
      </c>
      <c r="D42144" t="s">
        <v>267</v>
      </c>
      <c r="E42144" t="s">
        <v>508</v>
      </c>
      <c r="F42144" s="2" t="str">
        <f>HYPERLINK("http://www.otzar.org/book.asp?23845","שם משמעון")</f>
        <v>שם משמעון</v>
      </c>
    </row>
    <row r="42145" spans="1:6" x14ac:dyDescent="0.2">
      <c r="A42145" t="s">
        <v>63998</v>
      </c>
      <c r="B42145" t="s">
        <v>63988</v>
      </c>
      <c r="C42145" t="s">
        <v>60602</v>
      </c>
      <c r="D42145" t="s">
        <v>225</v>
      </c>
      <c r="E42145" t="s">
        <v>202</v>
      </c>
      <c r="F42145" s="2" t="str">
        <f>HYPERLINK("http://www.otzar.org/book.asp?167175","שם משמעון - 5 כר'")</f>
        <v>שם משמעון - 5 כר'</v>
      </c>
    </row>
    <row r="42146" spans="1:6" x14ac:dyDescent="0.2">
      <c r="A42146" t="s">
        <v>63988</v>
      </c>
      <c r="B42146" t="s">
        <v>10158</v>
      </c>
      <c r="C42146" t="s">
        <v>129</v>
      </c>
      <c r="D42146" t="s">
        <v>216</v>
      </c>
      <c r="E42146" t="s">
        <v>63999</v>
      </c>
      <c r="F42146" s="2" t="str">
        <f>HYPERLINK("http://www.otzar.org/book.asp?84267","שם משמעון")</f>
        <v>שם משמעון</v>
      </c>
    </row>
    <row r="42147" spans="1:6" x14ac:dyDescent="0.2">
      <c r="A42147" t="s">
        <v>64000</v>
      </c>
      <c r="B42147" t="s">
        <v>64001</v>
      </c>
      <c r="C42147" t="s">
        <v>956</v>
      </c>
      <c r="D42147" t="s">
        <v>14</v>
      </c>
      <c r="E42147" t="s">
        <v>144</v>
      </c>
      <c r="F42147" s="2" t="str">
        <f>HYPERLINK("http://www.otzar.org/book.asp?144189","שם משמריה")</f>
        <v>שם משמריה</v>
      </c>
    </row>
    <row r="42148" spans="1:6" x14ac:dyDescent="0.2">
      <c r="A42148" t="s">
        <v>64002</v>
      </c>
      <c r="B42148" t="s">
        <v>1978</v>
      </c>
      <c r="C42148" t="s">
        <v>146</v>
      </c>
      <c r="D42148" t="s">
        <v>14</v>
      </c>
      <c r="F42148" s="2" t="str">
        <f>HYPERLINK("http://www.otzar.org/book.asp?619683","שם עולם &lt;מקור עולם&gt;")</f>
        <v>שם עולם &lt;מקור עולם&gt;</v>
      </c>
    </row>
    <row r="42149" spans="1:6" x14ac:dyDescent="0.2">
      <c r="A42149" t="s">
        <v>64003</v>
      </c>
      <c r="B42149" t="s">
        <v>552</v>
      </c>
      <c r="C42149" t="s">
        <v>87</v>
      </c>
      <c r="D42149" t="s">
        <v>412</v>
      </c>
      <c r="E42149" t="s">
        <v>202</v>
      </c>
      <c r="F42149" s="2" t="str">
        <f>HYPERLINK("http://www.otzar.org/book.asp?106332","שם עולם &lt;זכרון לרבי מנחם מנדל אלבוים זצ""ל&gt;")</f>
        <v>שם עולם &lt;זכרון לרבי מנחם מנדל אלבוים זצ"ל&gt;</v>
      </c>
    </row>
    <row r="42150" spans="1:6" x14ac:dyDescent="0.2">
      <c r="A42150" t="s">
        <v>64004</v>
      </c>
      <c r="B42150" t="s">
        <v>552</v>
      </c>
      <c r="C42150" t="s">
        <v>356</v>
      </c>
      <c r="D42150" t="s">
        <v>18218</v>
      </c>
      <c r="E42150" t="s">
        <v>202</v>
      </c>
      <c r="F42150" s="2" t="str">
        <f>HYPERLINK("http://www.otzar.org/book.asp?15033","שם עולם &lt;זכרון לתלמידי ישיבת קרית ארבע&gt;")</f>
        <v>שם עולם &lt;זכרון לתלמידי ישיבת קרית ארבע&gt;</v>
      </c>
    </row>
    <row r="42151" spans="1:6" x14ac:dyDescent="0.2">
      <c r="A42151" t="s">
        <v>64005</v>
      </c>
      <c r="B42151" t="s">
        <v>552</v>
      </c>
      <c r="C42151" t="s">
        <v>168</v>
      </c>
      <c r="D42151" t="s">
        <v>736</v>
      </c>
      <c r="E42151" t="s">
        <v>202</v>
      </c>
      <c r="F42151" s="2" t="str">
        <f>HYPERLINK("http://www.otzar.org/book.asp?13018","שם עולם [שניידר]")</f>
        <v>שם עולם [שניידר]</v>
      </c>
    </row>
    <row r="42152" spans="1:6" x14ac:dyDescent="0.2">
      <c r="A42152" t="s">
        <v>64006</v>
      </c>
      <c r="B42152" t="s">
        <v>1990</v>
      </c>
      <c r="C42152" t="s">
        <v>3690</v>
      </c>
      <c r="D42152" t="s">
        <v>535</v>
      </c>
      <c r="E42152" t="s">
        <v>314</v>
      </c>
      <c r="F42152" s="2" t="str">
        <f>HYPERLINK("http://www.otzar.org/book.asp?20686","שם עולם")</f>
        <v>שם עולם</v>
      </c>
    </row>
    <row r="42153" spans="1:6" x14ac:dyDescent="0.2">
      <c r="A42153" t="s">
        <v>64006</v>
      </c>
      <c r="B42153" t="s">
        <v>931</v>
      </c>
      <c r="C42153" t="s">
        <v>180</v>
      </c>
      <c r="D42153" t="s">
        <v>216</v>
      </c>
      <c r="E42153" t="s">
        <v>234</v>
      </c>
      <c r="F42153" s="2" t="str">
        <f>HYPERLINK("http://www.otzar.org/book.asp?23755","שם עולם")</f>
        <v>שם עולם</v>
      </c>
    </row>
    <row r="42154" spans="1:6" x14ac:dyDescent="0.2">
      <c r="A42154" t="s">
        <v>64006</v>
      </c>
      <c r="B42154" t="s">
        <v>64007</v>
      </c>
      <c r="C42154" t="s">
        <v>321</v>
      </c>
      <c r="D42154" t="s">
        <v>1008</v>
      </c>
      <c r="E42154" t="s">
        <v>234</v>
      </c>
      <c r="F42154" s="2" t="str">
        <f>HYPERLINK("http://www.otzar.org/book.asp?200670","שם עולם")</f>
        <v>שם עולם</v>
      </c>
    </row>
    <row r="42155" spans="1:6" x14ac:dyDescent="0.2">
      <c r="A42155" t="s">
        <v>64008</v>
      </c>
      <c r="B42155" t="s">
        <v>64009</v>
      </c>
      <c r="C42155" t="s">
        <v>395</v>
      </c>
      <c r="D42155" t="s">
        <v>1538</v>
      </c>
      <c r="E42155" t="s">
        <v>15</v>
      </c>
      <c r="F42155" s="2" t="str">
        <f>HYPERLINK("http://www.otzar.org/book.asp?104572","שם עולם - טיב גיטין חדש")</f>
        <v>שם עולם - טיב גיטין חדש</v>
      </c>
    </row>
    <row r="42156" spans="1:6" x14ac:dyDescent="0.2">
      <c r="A42156" t="s">
        <v>64006</v>
      </c>
      <c r="B42156" t="s">
        <v>43182</v>
      </c>
      <c r="C42156" t="s">
        <v>609</v>
      </c>
      <c r="D42156" t="s">
        <v>10557</v>
      </c>
      <c r="E42156" t="s">
        <v>158</v>
      </c>
      <c r="F42156" s="2" t="str">
        <f>HYPERLINK("http://www.otzar.org/book.asp?199414","שם עולם")</f>
        <v>שם עולם</v>
      </c>
    </row>
    <row r="42157" spans="1:6" x14ac:dyDescent="0.2">
      <c r="A42157" t="s">
        <v>64010</v>
      </c>
      <c r="B42157" t="s">
        <v>1978</v>
      </c>
      <c r="C42157" t="s">
        <v>64011</v>
      </c>
      <c r="D42157" t="s">
        <v>283</v>
      </c>
      <c r="E42157" t="s">
        <v>241</v>
      </c>
      <c r="F42157" s="2" t="str">
        <f>HYPERLINK("http://www.otzar.org/book.asp?11138","שם עולם - 3 כר'")</f>
        <v>שם עולם - 3 כר'</v>
      </c>
    </row>
    <row r="42158" spans="1:6" x14ac:dyDescent="0.2">
      <c r="A42158" t="s">
        <v>64006</v>
      </c>
      <c r="B42158" t="s">
        <v>15304</v>
      </c>
      <c r="C42158" t="s">
        <v>351</v>
      </c>
      <c r="D42158" t="s">
        <v>1538</v>
      </c>
      <c r="E42158" t="s">
        <v>15</v>
      </c>
      <c r="F42158" s="2" t="str">
        <f>HYPERLINK("http://www.otzar.org/book.asp?25437","שם עולם")</f>
        <v>שם עולם</v>
      </c>
    </row>
    <row r="42159" spans="1:6" x14ac:dyDescent="0.2">
      <c r="A42159" t="s">
        <v>64012</v>
      </c>
      <c r="B42159" t="s">
        <v>64013</v>
      </c>
      <c r="C42159" t="s">
        <v>635</v>
      </c>
      <c r="D42159" t="s">
        <v>283</v>
      </c>
      <c r="E42159" t="s">
        <v>579</v>
      </c>
      <c r="F42159" s="2" t="str">
        <f>HYPERLINK("http://www.otzar.org/book.asp?16147","שם עולם - ויקרא")</f>
        <v>שם עולם - ויקרא</v>
      </c>
    </row>
    <row r="42160" spans="1:6" x14ac:dyDescent="0.2">
      <c r="A42160" t="s">
        <v>64006</v>
      </c>
      <c r="B42160" t="s">
        <v>13816</v>
      </c>
      <c r="C42160" t="s">
        <v>1228</v>
      </c>
      <c r="D42160" t="s">
        <v>56</v>
      </c>
      <c r="E42160" t="s">
        <v>8035</v>
      </c>
      <c r="F42160" s="2" t="str">
        <f>HYPERLINK("http://www.otzar.org/book.asp?100738","שם עולם")</f>
        <v>שם עולם</v>
      </c>
    </row>
    <row r="42161" spans="1:6" x14ac:dyDescent="0.2">
      <c r="A42161" t="s">
        <v>64006</v>
      </c>
      <c r="B42161" t="s">
        <v>16859</v>
      </c>
      <c r="C42161" t="s">
        <v>946</v>
      </c>
      <c r="D42161" t="s">
        <v>12052</v>
      </c>
      <c r="E42161" t="s">
        <v>952</v>
      </c>
      <c r="F42161" s="2" t="str">
        <f>HYPERLINK("http://www.otzar.org/book.asp?14166","שם עולם")</f>
        <v>שם עולם</v>
      </c>
    </row>
    <row r="42162" spans="1:6" x14ac:dyDescent="0.2">
      <c r="A42162" t="s">
        <v>64006</v>
      </c>
      <c r="B42162" t="s">
        <v>552</v>
      </c>
      <c r="C42162" t="s">
        <v>176</v>
      </c>
      <c r="D42162" t="s">
        <v>14</v>
      </c>
      <c r="E42162" t="s">
        <v>1697</v>
      </c>
      <c r="F42162" s="2" t="str">
        <f>HYPERLINK("http://www.otzar.org/book.asp?13515","שם עולם")</f>
        <v>שם עולם</v>
      </c>
    </row>
    <row r="42163" spans="1:6" x14ac:dyDescent="0.2">
      <c r="A42163" t="s">
        <v>64014</v>
      </c>
      <c r="B42163" t="s">
        <v>2396</v>
      </c>
      <c r="C42163" t="s">
        <v>133</v>
      </c>
      <c r="D42163" t="s">
        <v>1076</v>
      </c>
      <c r="E42163" t="s">
        <v>144</v>
      </c>
      <c r="F42163" s="2" t="str">
        <f>HYPERLINK("http://www.otzar.org/book.asp?617327","שם עולם - באגדות הש""ס")</f>
        <v>שם עולם - באגדות הש"ס</v>
      </c>
    </row>
    <row r="42164" spans="1:6" x14ac:dyDescent="0.2">
      <c r="A42164" t="s">
        <v>64015</v>
      </c>
      <c r="B42164" t="s">
        <v>8751</v>
      </c>
      <c r="C42164" t="s">
        <v>332</v>
      </c>
      <c r="D42164" t="s">
        <v>14</v>
      </c>
      <c r="E42164" t="s">
        <v>154</v>
      </c>
      <c r="F42164" s="2" t="str">
        <f>HYPERLINK("http://www.otzar.org/book.asp?162780","שם עולם - 2 כר'")</f>
        <v>שם עולם - 2 כר'</v>
      </c>
    </row>
    <row r="42165" spans="1:6" x14ac:dyDescent="0.2">
      <c r="A42165" t="s">
        <v>64016</v>
      </c>
      <c r="B42165" t="s">
        <v>2528</v>
      </c>
      <c r="C42165" t="s">
        <v>462</v>
      </c>
      <c r="D42165" t="s">
        <v>100</v>
      </c>
      <c r="E42165" t="s">
        <v>2088</v>
      </c>
      <c r="F42165" s="2" t="str">
        <f>HYPERLINK("http://www.otzar.org/book.asp?101848","שם שלמה")</f>
        <v>שם שלמה</v>
      </c>
    </row>
    <row r="42166" spans="1:6" x14ac:dyDescent="0.2">
      <c r="A42166" t="s">
        <v>64017</v>
      </c>
      <c r="B42166" t="s">
        <v>64018</v>
      </c>
      <c r="C42166" t="s">
        <v>1885</v>
      </c>
      <c r="D42166" t="s">
        <v>352</v>
      </c>
      <c r="E42166" t="s">
        <v>158</v>
      </c>
      <c r="F42166" s="2" t="str">
        <f>HYPERLINK("http://www.otzar.org/book.asp?19427","שם שמואל - 2 כר'")</f>
        <v>שם שמואל - 2 כר'</v>
      </c>
    </row>
    <row r="42167" spans="1:6" x14ac:dyDescent="0.2">
      <c r="A42167" t="s">
        <v>64019</v>
      </c>
      <c r="B42167" t="s">
        <v>10548</v>
      </c>
      <c r="C42167" t="s">
        <v>168</v>
      </c>
      <c r="D42167" t="s">
        <v>14</v>
      </c>
      <c r="E42167" t="s">
        <v>154</v>
      </c>
      <c r="F42167" s="2" t="str">
        <f>HYPERLINK("http://www.otzar.org/book.asp?62921","שמ""ש ומגן - 4 כר'")</f>
        <v>שמ"ש ומגן - 4 כר'</v>
      </c>
    </row>
    <row r="42168" spans="1:6" x14ac:dyDescent="0.2">
      <c r="A42168" t="s">
        <v>64020</v>
      </c>
      <c r="B42168" t="s">
        <v>1681</v>
      </c>
      <c r="C42168" t="s">
        <v>454</v>
      </c>
      <c r="D42168" t="s">
        <v>52</v>
      </c>
      <c r="E42168" t="s">
        <v>15</v>
      </c>
      <c r="F42168" s="2" t="str">
        <f>HYPERLINK("http://www.otzar.org/book.asp?159521","שמא גרים")</f>
        <v>שמא גרים</v>
      </c>
    </row>
    <row r="42169" spans="1:6" x14ac:dyDescent="0.2">
      <c r="A42169" t="s">
        <v>64021</v>
      </c>
      <c r="B42169" t="s">
        <v>64022</v>
      </c>
      <c r="C42169" t="s">
        <v>124</v>
      </c>
      <c r="D42169" t="s">
        <v>14</v>
      </c>
      <c r="E42169" t="s">
        <v>508</v>
      </c>
      <c r="F42169" s="2" t="str">
        <f>HYPERLINK("http://www.otzar.org/book.asp?162209","שמו אברהם - 2 כר'")</f>
        <v>שמו אברהם - 2 כר'</v>
      </c>
    </row>
    <row r="42170" spans="1:6" x14ac:dyDescent="0.2">
      <c r="A42170" t="s">
        <v>64021</v>
      </c>
      <c r="B42170" t="s">
        <v>1046</v>
      </c>
      <c r="C42170" t="s">
        <v>64023</v>
      </c>
      <c r="D42170" t="s">
        <v>76</v>
      </c>
      <c r="E42170" t="s">
        <v>213</v>
      </c>
      <c r="F42170" s="2" t="str">
        <f>HYPERLINK("http://www.otzar.org/book.asp?101709","שמו אברהם - 2 כר'")</f>
        <v>שמו אברהם - 2 כר'</v>
      </c>
    </row>
    <row r="42171" spans="1:6" x14ac:dyDescent="0.2">
      <c r="A42171" t="s">
        <v>64024</v>
      </c>
      <c r="B42171" t="s">
        <v>64025</v>
      </c>
      <c r="C42171" t="s">
        <v>124</v>
      </c>
      <c r="D42171" t="s">
        <v>27</v>
      </c>
      <c r="E42171" t="s">
        <v>64026</v>
      </c>
      <c r="F42171" s="2" t="str">
        <f>HYPERLINK("http://www.otzar.org/book.asp?181782","שמו יוסף - 2 כר'")</f>
        <v>שמו יוסף - 2 כר'</v>
      </c>
    </row>
    <row r="42172" spans="1:6" x14ac:dyDescent="0.2">
      <c r="A42172" t="s">
        <v>64027</v>
      </c>
      <c r="B42172" t="s">
        <v>18880</v>
      </c>
      <c r="C42172" t="s">
        <v>603</v>
      </c>
      <c r="D42172" t="s">
        <v>157</v>
      </c>
      <c r="E42172" t="s">
        <v>154</v>
      </c>
      <c r="F42172" s="2" t="str">
        <f>HYPERLINK("http://www.otzar.org/book.asp?101855","שמו משה")</f>
        <v>שמו משה</v>
      </c>
    </row>
    <row r="42173" spans="1:6" x14ac:dyDescent="0.2">
      <c r="A42173" t="s">
        <v>64028</v>
      </c>
      <c r="B42173" t="s">
        <v>64029</v>
      </c>
      <c r="C42173" t="s">
        <v>390</v>
      </c>
      <c r="D42173" t="s">
        <v>216</v>
      </c>
      <c r="E42173" t="s">
        <v>583</v>
      </c>
      <c r="F42173" s="2" t="str">
        <f>HYPERLINK("http://www.otzar.org/book.asp?624","שמואל בדורו")</f>
        <v>שמואל בדורו</v>
      </c>
    </row>
    <row r="42174" spans="1:6" x14ac:dyDescent="0.2">
      <c r="A42174" t="s">
        <v>64028</v>
      </c>
      <c r="B42174" t="s">
        <v>47770</v>
      </c>
      <c r="C42174" t="s">
        <v>168</v>
      </c>
      <c r="D42174" t="s">
        <v>14</v>
      </c>
      <c r="E42174" t="s">
        <v>119</v>
      </c>
      <c r="F42174" s="2" t="str">
        <f>HYPERLINK("http://www.otzar.org/book.asp?174071","שמואל בדורו")</f>
        <v>שמואל בדורו</v>
      </c>
    </row>
    <row r="42175" spans="1:6" x14ac:dyDescent="0.2">
      <c r="A42175" t="s">
        <v>64030</v>
      </c>
      <c r="B42175" t="s">
        <v>64031</v>
      </c>
      <c r="C42175" t="s">
        <v>244</v>
      </c>
      <c r="D42175" t="s">
        <v>90</v>
      </c>
      <c r="F42175" s="2" t="str">
        <f>HYPERLINK("http://www.otzar.org/book.asp?608199","שמואל בקוראי שמו")</f>
        <v>שמואל בקוראי שמו</v>
      </c>
    </row>
    <row r="42176" spans="1:6" x14ac:dyDescent="0.2">
      <c r="A42176" t="s">
        <v>64030</v>
      </c>
      <c r="B42176" t="s">
        <v>64032</v>
      </c>
      <c r="C42176" t="s">
        <v>366</v>
      </c>
      <c r="D42176" t="s">
        <v>14</v>
      </c>
      <c r="F42176" s="2" t="str">
        <f>HYPERLINK("http://www.otzar.org/book.asp?603677","שמואל בקוראי שמו")</f>
        <v>שמואל בקוראי שמו</v>
      </c>
    </row>
    <row r="42177" spans="1:6" x14ac:dyDescent="0.2">
      <c r="A42177" t="s">
        <v>64030</v>
      </c>
      <c r="B42177" t="s">
        <v>64033</v>
      </c>
      <c r="C42177" t="s">
        <v>133</v>
      </c>
      <c r="D42177" t="s">
        <v>5172</v>
      </c>
      <c r="E42177" t="s">
        <v>199</v>
      </c>
      <c r="F42177" s="2" t="str">
        <f>HYPERLINK("http://www.otzar.org/book.asp?172787","שמואל בקוראי שמו")</f>
        <v>שמואל בקוראי שמו</v>
      </c>
    </row>
    <row r="42178" spans="1:6" x14ac:dyDescent="0.2">
      <c r="A42178" t="s">
        <v>64034</v>
      </c>
      <c r="B42178" t="s">
        <v>6986</v>
      </c>
      <c r="C42178" t="s">
        <v>129</v>
      </c>
      <c r="D42178" t="s">
        <v>646</v>
      </c>
      <c r="E42178" t="s">
        <v>119</v>
      </c>
      <c r="F42178" s="2" t="str">
        <f>HYPERLINK("http://www.otzar.org/book.asp?615916","שמואל בקראי שמו")</f>
        <v>שמואל בקראי שמו</v>
      </c>
    </row>
    <row r="42179" spans="1:6" x14ac:dyDescent="0.2">
      <c r="A42179" t="s">
        <v>64035</v>
      </c>
      <c r="B42179" t="s">
        <v>64036</v>
      </c>
      <c r="C42179" t="s">
        <v>1208</v>
      </c>
      <c r="D42179" t="s">
        <v>14</v>
      </c>
      <c r="E42179" t="s">
        <v>435</v>
      </c>
      <c r="F42179" s="2" t="str">
        <f>HYPERLINK("http://www.otzar.org/book.asp?163032","שמואל ברמה")</f>
        <v>שמואל ברמה</v>
      </c>
    </row>
    <row r="42180" spans="1:6" x14ac:dyDescent="0.2">
      <c r="A42180" t="s">
        <v>64037</v>
      </c>
      <c r="B42180" t="s">
        <v>64038</v>
      </c>
      <c r="C42180" t="s">
        <v>20</v>
      </c>
      <c r="D42180" t="s">
        <v>2347</v>
      </c>
      <c r="E42180" t="s">
        <v>140</v>
      </c>
      <c r="F42180" s="2" t="str">
        <f>HYPERLINK("http://www.otzar.org/book.asp?10805","שמונה ספרים מגדולי תלמידי הבעש""ט")</f>
        <v>שמונה ספרים מגדולי תלמידי הבעש"ט</v>
      </c>
    </row>
    <row r="42181" spans="1:6" x14ac:dyDescent="0.2">
      <c r="A42181" t="s">
        <v>64039</v>
      </c>
      <c r="B42181" t="s">
        <v>16303</v>
      </c>
      <c r="C42181" t="s">
        <v>558</v>
      </c>
      <c r="D42181" t="s">
        <v>225</v>
      </c>
      <c r="E42181" t="s">
        <v>10</v>
      </c>
      <c r="F42181" s="2" t="str">
        <f>HYPERLINK("http://www.otzar.org/book.asp?25612","שמונה עשר דבר")</f>
        <v>שמונה עשר דבר</v>
      </c>
    </row>
    <row r="42182" spans="1:6" x14ac:dyDescent="0.2">
      <c r="A42182" t="s">
        <v>64040</v>
      </c>
      <c r="B42182" t="s">
        <v>12370</v>
      </c>
      <c r="C42182" t="s">
        <v>133</v>
      </c>
      <c r="D42182" t="s">
        <v>147</v>
      </c>
      <c r="E42182" t="s">
        <v>219</v>
      </c>
      <c r="F42182" s="2" t="str">
        <f>HYPERLINK("http://www.otzar.org/book.asp?174652","שמונה עשרה המבואר")</f>
        <v>שמונה עשרה המבואר</v>
      </c>
    </row>
    <row r="42183" spans="1:6" x14ac:dyDescent="0.2">
      <c r="A42183" t="s">
        <v>64041</v>
      </c>
      <c r="B42183" t="s">
        <v>4453</v>
      </c>
      <c r="C42183" t="s">
        <v>454</v>
      </c>
      <c r="D42183" t="s">
        <v>14</v>
      </c>
      <c r="E42183" t="s">
        <v>213</v>
      </c>
      <c r="F42183" s="2" t="str">
        <f>HYPERLINK("http://www.otzar.org/book.asp?25736","שמונה פרקים להרמב""ם עם ביאור ועיונים")</f>
        <v>שמונה פרקים להרמב"ם עם ביאור ועיונים</v>
      </c>
    </row>
    <row r="42184" spans="1:6" x14ac:dyDescent="0.2">
      <c r="A42184" t="s">
        <v>64042</v>
      </c>
      <c r="B42184" t="s">
        <v>1320</v>
      </c>
      <c r="C42184" t="s">
        <v>46</v>
      </c>
      <c r="D42184" t="s">
        <v>4207</v>
      </c>
      <c r="E42184" t="s">
        <v>241</v>
      </c>
      <c r="F42184" s="2" t="str">
        <f>HYPERLINK("http://www.otzar.org/book.asp?11721","שמונה פרקים")</f>
        <v>שמונה פרקים</v>
      </c>
    </row>
    <row r="42185" spans="1:6" x14ac:dyDescent="0.2">
      <c r="A42185" t="s">
        <v>64043</v>
      </c>
      <c r="B42185" t="s">
        <v>405</v>
      </c>
      <c r="C42185" t="s">
        <v>1418</v>
      </c>
      <c r="D42185" t="s">
        <v>14</v>
      </c>
      <c r="E42185" t="s">
        <v>399</v>
      </c>
      <c r="F42185" s="2" t="str">
        <f>HYPERLINK("http://www.otzar.org/book.asp?104349","שמונה שערים - ז")</f>
        <v>שמונה שערים - ז</v>
      </c>
    </row>
    <row r="42186" spans="1:6" x14ac:dyDescent="0.2">
      <c r="A42186" t="s">
        <v>64044</v>
      </c>
      <c r="B42186" t="s">
        <v>64045</v>
      </c>
      <c r="C42186" t="s">
        <v>114</v>
      </c>
      <c r="D42186" t="s">
        <v>152</v>
      </c>
      <c r="F42186" s="2" t="str">
        <f>HYPERLINK("http://www.otzar.org/book.asp?177131","שמונה שרצים האמורים בתורה")</f>
        <v>שמונה שרצים האמורים בתורה</v>
      </c>
    </row>
    <row r="42187" spans="1:6" x14ac:dyDescent="0.2">
      <c r="A42187" t="s">
        <v>64046</v>
      </c>
      <c r="B42187" t="s">
        <v>20815</v>
      </c>
      <c r="C42187" t="s">
        <v>244</v>
      </c>
      <c r="D42187" t="s">
        <v>5421</v>
      </c>
      <c r="F42187" s="2" t="str">
        <f>HYPERLINK("http://www.otzar.org/book.asp?623008","שמונת השרצים")</f>
        <v>שמונת השרצים</v>
      </c>
    </row>
    <row r="42188" spans="1:6" x14ac:dyDescent="0.2">
      <c r="A42188" t="s">
        <v>64047</v>
      </c>
      <c r="B42188" t="s">
        <v>64048</v>
      </c>
      <c r="C42188" t="s">
        <v>366</v>
      </c>
      <c r="D42188" t="s">
        <v>21</v>
      </c>
      <c r="F42188" s="2" t="str">
        <f>HYPERLINK("http://www.otzar.org/book.asp?621859","שמועה ברורה - פסחים, קידושין, יבמות")</f>
        <v>שמועה ברורה - פסחים, קידושין, יבמות</v>
      </c>
    </row>
    <row r="42189" spans="1:6" x14ac:dyDescent="0.2">
      <c r="A42189" t="s">
        <v>64049</v>
      </c>
      <c r="B42189" t="s">
        <v>20398</v>
      </c>
      <c r="C42189" t="s">
        <v>366</v>
      </c>
      <c r="D42189" t="s">
        <v>14</v>
      </c>
      <c r="E42189" t="s">
        <v>104</v>
      </c>
      <c r="F42189" s="2" t="str">
        <f>HYPERLINK("http://www.otzar.org/book.asp?629866","שמועה טובה תדשן עצם")</f>
        <v>שמועה טובה תדשן עצם</v>
      </c>
    </row>
    <row r="42190" spans="1:6" x14ac:dyDescent="0.2">
      <c r="A42190" t="s">
        <v>64050</v>
      </c>
      <c r="B42190" t="s">
        <v>28089</v>
      </c>
      <c r="C42190" t="s">
        <v>313</v>
      </c>
      <c r="D42190" t="s">
        <v>27</v>
      </c>
      <c r="E42190" t="s">
        <v>15</v>
      </c>
      <c r="F42190" s="2" t="str">
        <f>HYPERLINK("http://www.otzar.org/book.asp?161593","שמועה טובה")</f>
        <v>שמועה טובה</v>
      </c>
    </row>
    <row r="42191" spans="1:6" x14ac:dyDescent="0.2">
      <c r="A42191" t="s">
        <v>64051</v>
      </c>
      <c r="B42191" t="s">
        <v>64052</v>
      </c>
      <c r="C42191" t="s">
        <v>13</v>
      </c>
      <c r="D42191" t="s">
        <v>14</v>
      </c>
      <c r="E42191" t="s">
        <v>230</v>
      </c>
      <c r="F42191" s="2" t="str">
        <f>HYPERLINK("http://www.otzar.org/book.asp?62236","שמועה טובה - על התורה")</f>
        <v>שמועה טובה - על התורה</v>
      </c>
    </row>
    <row r="42192" spans="1:6" x14ac:dyDescent="0.2">
      <c r="A42192" t="s">
        <v>64050</v>
      </c>
      <c r="B42192" t="s">
        <v>3618</v>
      </c>
      <c r="C42192" t="s">
        <v>812</v>
      </c>
      <c r="D42192" t="s">
        <v>283</v>
      </c>
      <c r="E42192" t="s">
        <v>1185</v>
      </c>
      <c r="F42192" s="2" t="str">
        <f>HYPERLINK("http://www.otzar.org/book.asp?7963","שמועה טובה")</f>
        <v>שמועה טובה</v>
      </c>
    </row>
    <row r="42193" spans="1:6" x14ac:dyDescent="0.2">
      <c r="A42193" t="s">
        <v>64053</v>
      </c>
      <c r="B42193" t="s">
        <v>64054</v>
      </c>
      <c r="C42193" t="s">
        <v>13</v>
      </c>
      <c r="D42193" t="s">
        <v>52</v>
      </c>
      <c r="E42193" t="s">
        <v>658</v>
      </c>
      <c r="F42193" s="2" t="str">
        <f>HYPERLINK("http://www.otzar.org/book.asp?62912","שמועה טובה - 4 כר'")</f>
        <v>שמועה טובה - 4 כר'</v>
      </c>
    </row>
    <row r="42194" spans="1:6" x14ac:dyDescent="0.2">
      <c r="A42194" t="s">
        <v>64050</v>
      </c>
      <c r="B42194" t="s">
        <v>64055</v>
      </c>
      <c r="C42194" t="s">
        <v>176</v>
      </c>
      <c r="D42194" t="s">
        <v>14</v>
      </c>
      <c r="E42194" t="s">
        <v>213</v>
      </c>
      <c r="F42194" s="2" t="str">
        <f>HYPERLINK("http://www.otzar.org/book.asp?176759","שמועה טובה")</f>
        <v>שמועה טובה</v>
      </c>
    </row>
    <row r="42195" spans="1:6" x14ac:dyDescent="0.2">
      <c r="A42195" t="s">
        <v>64050</v>
      </c>
      <c r="B42195" t="s">
        <v>44690</v>
      </c>
      <c r="C42195" t="s">
        <v>422</v>
      </c>
      <c r="D42195" t="s">
        <v>52</v>
      </c>
      <c r="E42195" t="s">
        <v>15</v>
      </c>
      <c r="F42195" s="2" t="str">
        <f>HYPERLINK("http://www.otzar.org/book.asp?157364","שמועה טובה")</f>
        <v>שמועה טובה</v>
      </c>
    </row>
    <row r="42196" spans="1:6" x14ac:dyDescent="0.2">
      <c r="A42196" t="s">
        <v>64050</v>
      </c>
      <c r="B42196" t="s">
        <v>64056</v>
      </c>
      <c r="C42196" t="s">
        <v>2008</v>
      </c>
      <c r="D42196" t="s">
        <v>9</v>
      </c>
      <c r="E42196" t="s">
        <v>64057</v>
      </c>
      <c r="F42196" s="2" t="str">
        <f>HYPERLINK("http://www.otzar.org/book.asp?7233","שמועה טובה")</f>
        <v>שמועה טובה</v>
      </c>
    </row>
    <row r="42197" spans="1:6" x14ac:dyDescent="0.2">
      <c r="A42197" t="s">
        <v>64058</v>
      </c>
      <c r="B42197" t="s">
        <v>64059</v>
      </c>
      <c r="C42197" t="s">
        <v>422</v>
      </c>
      <c r="D42197" t="s">
        <v>52</v>
      </c>
      <c r="E42197" t="s">
        <v>158</v>
      </c>
      <c r="F42197" s="2" t="str">
        <f>HYPERLINK("http://www.otzar.org/book.asp?162831","שמועה טובה - ב")</f>
        <v>שמועה טובה - ב</v>
      </c>
    </row>
    <row r="42198" spans="1:6" x14ac:dyDescent="0.2">
      <c r="A42198" t="s">
        <v>64060</v>
      </c>
      <c r="B42198" t="s">
        <v>64061</v>
      </c>
      <c r="C42198" t="s">
        <v>23</v>
      </c>
      <c r="D42198" t="s">
        <v>412</v>
      </c>
      <c r="E42198" t="s">
        <v>158</v>
      </c>
      <c r="F42198" s="2" t="str">
        <f>HYPERLINK("http://www.otzar.org/book.asp?611639","שמועה יפה - בראשית, שמות, ויקרא, במדבר, דברים")</f>
        <v>שמועה יפה - בראשית, שמות, ויקרא, במדבר, דברים</v>
      </c>
    </row>
    <row r="42199" spans="1:6" x14ac:dyDescent="0.2">
      <c r="A42199" t="s">
        <v>64062</v>
      </c>
      <c r="B42199" t="s">
        <v>64063</v>
      </c>
      <c r="C42199" t="s">
        <v>466</v>
      </c>
      <c r="D42199" t="s">
        <v>14</v>
      </c>
      <c r="E42199" t="s">
        <v>144</v>
      </c>
      <c r="F42199" s="2" t="str">
        <f>HYPERLINK("http://www.otzar.org/book.asp?168735","שמועות בבא בתרא")</f>
        <v>שמועות בבא בתרא</v>
      </c>
    </row>
    <row r="42200" spans="1:6" x14ac:dyDescent="0.2">
      <c r="A42200" t="s">
        <v>64064</v>
      </c>
      <c r="B42200" t="s">
        <v>64063</v>
      </c>
      <c r="C42200" t="s">
        <v>454</v>
      </c>
      <c r="D42200" t="s">
        <v>14</v>
      </c>
      <c r="E42200" t="s">
        <v>144</v>
      </c>
      <c r="F42200" s="2" t="str">
        <f>HYPERLINK("http://www.otzar.org/book.asp?51980","שמועות גיטין - 2 כר'")</f>
        <v>שמועות גיטין - 2 כר'</v>
      </c>
    </row>
    <row r="42201" spans="1:6" x14ac:dyDescent="0.2">
      <c r="A42201" t="s">
        <v>64065</v>
      </c>
      <c r="B42201" t="s">
        <v>64066</v>
      </c>
      <c r="C42201" t="s">
        <v>585</v>
      </c>
      <c r="D42201" t="s">
        <v>14</v>
      </c>
      <c r="E42201" t="s">
        <v>64067</v>
      </c>
      <c r="F42201" s="2" t="str">
        <f>HYPERLINK("http://www.otzar.org/book.asp?164262","שמועות דוד")</f>
        <v>שמועות דוד</v>
      </c>
    </row>
    <row r="42202" spans="1:6" x14ac:dyDescent="0.2">
      <c r="A42202" t="s">
        <v>64068</v>
      </c>
      <c r="B42202" t="s">
        <v>776</v>
      </c>
      <c r="C42202" t="s">
        <v>237</v>
      </c>
      <c r="D42202" t="s">
        <v>27</v>
      </c>
      <c r="E42202" t="s">
        <v>241</v>
      </c>
      <c r="F42202" s="2" t="str">
        <f>HYPERLINK("http://www.otzar.org/book.asp?179229","שמועות חן")</f>
        <v>שמועות חן</v>
      </c>
    </row>
    <row r="42203" spans="1:6" x14ac:dyDescent="0.2">
      <c r="A42203" t="s">
        <v>64069</v>
      </c>
      <c r="B42203" t="s">
        <v>29918</v>
      </c>
      <c r="C42203" t="s">
        <v>351</v>
      </c>
      <c r="D42203" t="s">
        <v>283</v>
      </c>
      <c r="E42203" t="s">
        <v>140</v>
      </c>
      <c r="F42203" s="2" t="str">
        <f>HYPERLINK("http://www.otzar.org/book.asp?14740","שמועות טובות רזין דאורייתא")</f>
        <v>שמועות טובות רזין דאורייתא</v>
      </c>
    </row>
    <row r="42204" spans="1:6" x14ac:dyDescent="0.2">
      <c r="A42204" t="s">
        <v>64070</v>
      </c>
      <c r="B42204" t="s">
        <v>51001</v>
      </c>
      <c r="C42204" t="s">
        <v>13</v>
      </c>
      <c r="D42204" t="s">
        <v>14</v>
      </c>
      <c r="E42204" t="s">
        <v>467</v>
      </c>
      <c r="F42204" s="2" t="str">
        <f>HYPERLINK("http://www.otzar.org/book.asp?61095","שמועות טובות")</f>
        <v>שמועות טובות</v>
      </c>
    </row>
    <row r="42205" spans="1:6" x14ac:dyDescent="0.2">
      <c r="A42205" t="s">
        <v>64070</v>
      </c>
      <c r="B42205" t="s">
        <v>29918</v>
      </c>
      <c r="C42205" t="s">
        <v>1885</v>
      </c>
      <c r="D42205" t="s">
        <v>283</v>
      </c>
      <c r="E42205" t="s">
        <v>140</v>
      </c>
      <c r="F42205" s="2" t="str">
        <f>HYPERLINK("http://www.otzar.org/book.asp?6429","שמועות טובות")</f>
        <v>שמועות טובות</v>
      </c>
    </row>
    <row r="42206" spans="1:6" x14ac:dyDescent="0.2">
      <c r="A42206" t="s">
        <v>64071</v>
      </c>
      <c r="B42206" t="s">
        <v>6307</v>
      </c>
      <c r="C42206" t="s">
        <v>366</v>
      </c>
      <c r="D42206" t="s">
        <v>147</v>
      </c>
      <c r="E42206" t="s">
        <v>144</v>
      </c>
      <c r="F42206" s="2" t="str">
        <f>HYPERLINK("http://www.otzar.org/book.asp?607461","שמועות יעקב - 4 כר'")</f>
        <v>שמועות יעקב - 4 כר'</v>
      </c>
    </row>
    <row r="42207" spans="1:6" x14ac:dyDescent="0.2">
      <c r="A42207" t="s">
        <v>64072</v>
      </c>
      <c r="B42207" t="s">
        <v>64073</v>
      </c>
      <c r="C42207" t="s">
        <v>146</v>
      </c>
      <c r="D42207" t="s">
        <v>14</v>
      </c>
      <c r="E42207" t="s">
        <v>15</v>
      </c>
      <c r="F42207" s="2" t="str">
        <f>HYPERLINK("http://www.otzar.org/book.asp?62635","שמועות משה - 3 כר'")</f>
        <v>שמועות משה - 3 כר'</v>
      </c>
    </row>
    <row r="42208" spans="1:6" x14ac:dyDescent="0.2">
      <c r="A42208" t="s">
        <v>64074</v>
      </c>
      <c r="B42208" t="s">
        <v>64063</v>
      </c>
      <c r="C42208" t="s">
        <v>146</v>
      </c>
      <c r="D42208" t="s">
        <v>14</v>
      </c>
      <c r="E42208" t="s">
        <v>144</v>
      </c>
      <c r="F42208" s="2" t="str">
        <f>HYPERLINK("http://www.otzar.org/book.asp?50059","שמועות קידושין - 2 כר'")</f>
        <v>שמועות קידושין - 2 כר'</v>
      </c>
    </row>
    <row r="42209" spans="1:6" x14ac:dyDescent="0.2">
      <c r="A42209" t="s">
        <v>64075</v>
      </c>
      <c r="B42209" t="s">
        <v>27463</v>
      </c>
      <c r="C42209" t="s">
        <v>146</v>
      </c>
      <c r="D42209" t="s">
        <v>52</v>
      </c>
      <c r="E42209" t="s">
        <v>144</v>
      </c>
      <c r="F42209" s="2" t="str">
        <f>HYPERLINK("http://www.otzar.org/book.asp?50784","שמועת חיים - 5 כר'")</f>
        <v>שמועת חיים - 5 כר'</v>
      </c>
    </row>
    <row r="42210" spans="1:6" x14ac:dyDescent="0.2">
      <c r="A42210" t="s">
        <v>64076</v>
      </c>
      <c r="B42210" t="s">
        <v>6307</v>
      </c>
      <c r="C42210" t="s">
        <v>114</v>
      </c>
      <c r="D42210" t="s">
        <v>152</v>
      </c>
      <c r="E42210" t="s">
        <v>144</v>
      </c>
      <c r="F42210" s="2" t="str">
        <f>HYPERLINK("http://www.otzar.org/book.asp?167475","שמועת יעקב - 3 כר'")</f>
        <v>שמועת יעקב - 3 כר'</v>
      </c>
    </row>
    <row r="42211" spans="1:6" x14ac:dyDescent="0.2">
      <c r="A42211" t="s">
        <v>64077</v>
      </c>
      <c r="B42211" t="s">
        <v>64078</v>
      </c>
      <c r="C42211" t="s">
        <v>146</v>
      </c>
      <c r="D42211" t="s">
        <v>52</v>
      </c>
      <c r="E42211" t="s">
        <v>2071</v>
      </c>
      <c r="F42211" s="2" t="str">
        <f>HYPERLINK("http://www.otzar.org/book.asp?171589","שמועת יצחק")</f>
        <v>שמועת יצחק</v>
      </c>
    </row>
    <row r="42212" spans="1:6" x14ac:dyDescent="0.2">
      <c r="A42212" t="s">
        <v>64079</v>
      </c>
      <c r="B42212" t="s">
        <v>64080</v>
      </c>
      <c r="C42212" t="s">
        <v>23</v>
      </c>
      <c r="F42212" s="2" t="str">
        <f>HYPERLINK("http://www.otzar.org/book.asp?608938","שמועת מאיר")</f>
        <v>שמועת מאיר</v>
      </c>
    </row>
    <row r="42213" spans="1:6" x14ac:dyDescent="0.2">
      <c r="A42213" t="s">
        <v>64081</v>
      </c>
      <c r="B42213" t="s">
        <v>64082</v>
      </c>
      <c r="C42213" t="s">
        <v>20</v>
      </c>
      <c r="D42213" t="s">
        <v>14</v>
      </c>
      <c r="E42213" t="s">
        <v>144</v>
      </c>
      <c r="F42213" s="2" t="str">
        <f>HYPERLINK("http://www.otzar.org/book.asp?620809","שמועת ערכין")</f>
        <v>שמועת ערכין</v>
      </c>
    </row>
    <row r="42214" spans="1:6" x14ac:dyDescent="0.2">
      <c r="A42214" t="s">
        <v>64083</v>
      </c>
      <c r="B42214" t="s">
        <v>64084</v>
      </c>
      <c r="C42214" t="s">
        <v>20</v>
      </c>
      <c r="D42214" t="s">
        <v>14</v>
      </c>
      <c r="E42214" t="s">
        <v>144</v>
      </c>
      <c r="F42214" s="2" t="str">
        <f>HYPERLINK("http://www.otzar.org/book.asp?629977","שמועת שמואל - חזקות")</f>
        <v>שמועת שמואל - חזקות</v>
      </c>
    </row>
    <row r="42215" spans="1:6" x14ac:dyDescent="0.2">
      <c r="A42215" t="s">
        <v>64085</v>
      </c>
      <c r="B42215" t="s">
        <v>64086</v>
      </c>
      <c r="C42215" t="s">
        <v>313</v>
      </c>
      <c r="D42215" t="s">
        <v>216</v>
      </c>
      <c r="E42215" t="s">
        <v>9356</v>
      </c>
      <c r="F42215" s="2" t="str">
        <f>HYPERLINK("http://www.otzar.org/book.asp?149533","שמור וזכור")</f>
        <v>שמור וזכור</v>
      </c>
    </row>
    <row r="42216" spans="1:6" x14ac:dyDescent="0.2">
      <c r="A42216" t="s">
        <v>64087</v>
      </c>
      <c r="B42216" t="s">
        <v>64088</v>
      </c>
      <c r="C42216" t="s">
        <v>189</v>
      </c>
      <c r="D42216" t="s">
        <v>852</v>
      </c>
      <c r="E42216" t="s">
        <v>15</v>
      </c>
      <c r="F42216" s="2" t="str">
        <f>HYPERLINK("http://www.otzar.org/book.asp?23236","שמור וזכור - 2 כר'")</f>
        <v>שמור וזכור - 2 כר'</v>
      </c>
    </row>
    <row r="42217" spans="1:6" x14ac:dyDescent="0.2">
      <c r="A42217" t="s">
        <v>64089</v>
      </c>
      <c r="B42217" t="s">
        <v>64090</v>
      </c>
      <c r="C42217" t="s">
        <v>5242</v>
      </c>
      <c r="D42217" t="s">
        <v>19871</v>
      </c>
      <c r="E42217" t="s">
        <v>158</v>
      </c>
      <c r="F42217" s="2" t="str">
        <f>HYPERLINK("http://www.otzar.org/book.asp?148020","שמוש תהלים")</f>
        <v>שמוש תהלים</v>
      </c>
    </row>
    <row r="42218" spans="1:6" x14ac:dyDescent="0.2">
      <c r="A42218" t="s">
        <v>64089</v>
      </c>
      <c r="B42218" t="s">
        <v>64091</v>
      </c>
      <c r="C42218" t="s">
        <v>6050</v>
      </c>
      <c r="D42218" t="s">
        <v>1117</v>
      </c>
      <c r="E42218" t="s">
        <v>158</v>
      </c>
      <c r="F42218" s="2" t="str">
        <f>HYPERLINK("http://www.otzar.org/book.asp?62162","שמוש תהלים")</f>
        <v>שמוש תהלים</v>
      </c>
    </row>
    <row r="42219" spans="1:6" x14ac:dyDescent="0.2">
      <c r="A42219" t="s">
        <v>64089</v>
      </c>
      <c r="B42219" t="s">
        <v>64092</v>
      </c>
      <c r="C42219" t="s">
        <v>4198</v>
      </c>
      <c r="D42219" t="s">
        <v>1023</v>
      </c>
      <c r="F42219" s="2" t="str">
        <f>HYPERLINK("http://www.otzar.org/book.asp?170149","שמוש תהלים")</f>
        <v>שמוש תהלים</v>
      </c>
    </row>
    <row r="42220" spans="1:6" x14ac:dyDescent="0.2">
      <c r="A42220" t="s">
        <v>64093</v>
      </c>
      <c r="B42220" t="s">
        <v>64094</v>
      </c>
      <c r="C42220" t="s">
        <v>624</v>
      </c>
      <c r="D42220" t="s">
        <v>14</v>
      </c>
      <c r="E42220" t="s">
        <v>234</v>
      </c>
      <c r="F42220" s="2" t="str">
        <f>HYPERLINK("http://www.otzar.org/book.asp?154199","שמושה של דרשה")</f>
        <v>שמושה של דרשה</v>
      </c>
    </row>
    <row r="42221" spans="1:6" x14ac:dyDescent="0.2">
      <c r="A42221" t="s">
        <v>64095</v>
      </c>
      <c r="B42221" t="s">
        <v>64094</v>
      </c>
      <c r="C42221" t="s">
        <v>87</v>
      </c>
      <c r="D42221" t="s">
        <v>14</v>
      </c>
      <c r="E42221" t="s">
        <v>15</v>
      </c>
      <c r="F42221" s="2" t="str">
        <f>HYPERLINK("http://www.otzar.org/book.asp?85134","שמושה של הוראה")</f>
        <v>שמושה של הוראה</v>
      </c>
    </row>
    <row r="42222" spans="1:6" x14ac:dyDescent="0.2">
      <c r="A42222" t="s">
        <v>64096</v>
      </c>
      <c r="B42222" t="s">
        <v>64097</v>
      </c>
      <c r="C42222" t="s">
        <v>3840</v>
      </c>
      <c r="D42222" t="s">
        <v>563</v>
      </c>
      <c r="E42222" t="s">
        <v>148</v>
      </c>
      <c r="F42222" s="2" t="str">
        <f>HYPERLINK("http://www.otzar.org/book.asp?144180","שמושה של תורה")</f>
        <v>שמושה של תורה</v>
      </c>
    </row>
    <row r="42223" spans="1:6" x14ac:dyDescent="0.2">
      <c r="A42223" t="s">
        <v>64098</v>
      </c>
      <c r="B42223" t="s">
        <v>13411</v>
      </c>
      <c r="C42223" t="s">
        <v>64099</v>
      </c>
      <c r="D42223" t="s">
        <v>14</v>
      </c>
      <c r="E42223" t="s">
        <v>144</v>
      </c>
      <c r="F42223" s="2" t="str">
        <f>HYPERLINK("http://www.otzar.org/book.asp?159347","שמות בארץ &lt;מהדורה חדשה&gt;")</f>
        <v>שמות בארץ &lt;מהדורה חדשה&gt;</v>
      </c>
    </row>
    <row r="42224" spans="1:6" x14ac:dyDescent="0.2">
      <c r="A42224" t="s">
        <v>64100</v>
      </c>
      <c r="B42224" t="s">
        <v>45631</v>
      </c>
      <c r="C42224" t="s">
        <v>133</v>
      </c>
      <c r="D42224" t="s">
        <v>52</v>
      </c>
      <c r="E42224" t="s">
        <v>15</v>
      </c>
      <c r="F42224" s="2" t="str">
        <f>HYPERLINK("http://www.otzar.org/book.asp?171253","שמות בארץ")</f>
        <v>שמות בארץ</v>
      </c>
    </row>
    <row r="42225" spans="1:6" x14ac:dyDescent="0.2">
      <c r="A42225" t="s">
        <v>64101</v>
      </c>
      <c r="B42225" t="s">
        <v>13411</v>
      </c>
      <c r="C42225" t="s">
        <v>313</v>
      </c>
      <c r="D42225" t="s">
        <v>14</v>
      </c>
      <c r="E42225" t="s">
        <v>64102</v>
      </c>
      <c r="F42225" s="2" t="str">
        <f>HYPERLINK("http://www.otzar.org/book.asp?106057","שמות בארץ, כפות תמרים - 3 כר'")</f>
        <v>שמות בארץ, כפות תמרים - 3 כר'</v>
      </c>
    </row>
    <row r="42226" spans="1:6" x14ac:dyDescent="0.2">
      <c r="A42226" t="s">
        <v>64103</v>
      </c>
      <c r="B42226" t="s">
        <v>27568</v>
      </c>
      <c r="C42226" t="s">
        <v>64104</v>
      </c>
      <c r="D42226" t="s">
        <v>43101</v>
      </c>
      <c r="E42226" t="s">
        <v>104</v>
      </c>
      <c r="F42226" s="2" t="str">
        <f>HYPERLINK("http://www.otzar.org/book.asp?142466","שמות דברים")</f>
        <v>שמות דברים</v>
      </c>
    </row>
    <row r="42227" spans="1:6" x14ac:dyDescent="0.2">
      <c r="A42227" t="s">
        <v>64105</v>
      </c>
      <c r="B42227" t="s">
        <v>64106</v>
      </c>
      <c r="C42227" t="s">
        <v>1160</v>
      </c>
      <c r="D42227" t="s">
        <v>1356</v>
      </c>
      <c r="E42227" t="s">
        <v>104</v>
      </c>
      <c r="F42227" s="2" t="str">
        <f>HYPERLINK("http://www.otzar.org/book.asp?168134","שמות המשפחה בישראל")</f>
        <v>שמות המשפחה בישראל</v>
      </c>
    </row>
    <row r="42228" spans="1:6" x14ac:dyDescent="0.2">
      <c r="A42228" t="s">
        <v>64107</v>
      </c>
      <c r="B42228" t="s">
        <v>7031</v>
      </c>
      <c r="C42228" t="s">
        <v>37</v>
      </c>
      <c r="D42228" t="s">
        <v>52</v>
      </c>
      <c r="E42228" t="s">
        <v>733</v>
      </c>
      <c r="F42228" s="2" t="str">
        <f>HYPERLINK("http://www.otzar.org/book.asp?188831","שמות המשפחה של היהודים בתימן")</f>
        <v>שמות המשפחה של היהודים בתימן</v>
      </c>
    </row>
    <row r="42229" spans="1:6" x14ac:dyDescent="0.2">
      <c r="A42229" t="s">
        <v>64108</v>
      </c>
      <c r="B42229" t="s">
        <v>59949</v>
      </c>
      <c r="C42229" t="s">
        <v>64109</v>
      </c>
      <c r="D42229" t="s">
        <v>64110</v>
      </c>
      <c r="E42229" t="s">
        <v>104</v>
      </c>
      <c r="F42229" s="2" t="str">
        <f>HYPERLINK("http://www.otzar.org/book.asp?20656","שמות הספרים העברים")</f>
        <v>שמות הספרים העברים</v>
      </c>
    </row>
    <row r="42230" spans="1:6" x14ac:dyDescent="0.2">
      <c r="A42230" t="s">
        <v>64111</v>
      </c>
      <c r="B42230" t="s">
        <v>24140</v>
      </c>
      <c r="C42230" t="s">
        <v>33833</v>
      </c>
      <c r="D42230" t="s">
        <v>592</v>
      </c>
      <c r="E42230" t="s">
        <v>140</v>
      </c>
      <c r="F42230" s="2" t="str">
        <f>HYPERLINK("http://www.otzar.org/book.asp?623533","שמות הצדיקים")</f>
        <v>שמות הצדיקים</v>
      </c>
    </row>
    <row r="42231" spans="1:6" x14ac:dyDescent="0.2">
      <c r="A42231" t="s">
        <v>64112</v>
      </c>
      <c r="B42231" t="s">
        <v>3614</v>
      </c>
      <c r="C42231" t="s">
        <v>1609</v>
      </c>
      <c r="D42231" t="s">
        <v>27</v>
      </c>
      <c r="E42231" t="s">
        <v>226</v>
      </c>
      <c r="F42231" s="2" t="str">
        <f>HYPERLINK("http://www.otzar.org/book.asp?11522","שמות הצדיקים - 2 כר'")</f>
        <v>שמות הצדיקים - 2 כר'</v>
      </c>
    </row>
    <row r="42232" spans="1:6" x14ac:dyDescent="0.2">
      <c r="A42232" t="s">
        <v>64113</v>
      </c>
      <c r="B42232" t="s">
        <v>64114</v>
      </c>
      <c r="C42232" t="s">
        <v>422</v>
      </c>
      <c r="D42232" t="s">
        <v>52</v>
      </c>
      <c r="E42232" t="s">
        <v>119</v>
      </c>
      <c r="F42232" s="2" t="str">
        <f>HYPERLINK("http://www.otzar.org/book.asp?168641","שמות חכמים")</f>
        <v>שמות חכמים</v>
      </c>
    </row>
    <row r="42233" spans="1:6" x14ac:dyDescent="0.2">
      <c r="A42233" t="s">
        <v>64115</v>
      </c>
      <c r="B42233" t="s">
        <v>64116</v>
      </c>
      <c r="C42233" t="s">
        <v>360</v>
      </c>
      <c r="D42233" t="s">
        <v>52983</v>
      </c>
      <c r="E42233" t="s">
        <v>38</v>
      </c>
      <c r="F42233" s="2" t="str">
        <f>HYPERLINK("http://www.otzar.org/book.asp?13599","שמות שבמשניות")</f>
        <v>שמות שבמשניות</v>
      </c>
    </row>
    <row r="42234" spans="1:6" x14ac:dyDescent="0.2">
      <c r="A42234" t="s">
        <v>64117</v>
      </c>
      <c r="B42234" t="s">
        <v>4398</v>
      </c>
      <c r="C42234" t="s">
        <v>114</v>
      </c>
      <c r="D42234" t="s">
        <v>216</v>
      </c>
      <c r="E42234" t="s">
        <v>144</v>
      </c>
      <c r="F42234" s="2" t="str">
        <f>HYPERLINK("http://www.otzar.org/book.asp?176504","שמח בחור")</f>
        <v>שמח בחור</v>
      </c>
    </row>
    <row r="42235" spans="1:6" x14ac:dyDescent="0.2">
      <c r="A42235" t="s">
        <v>64118</v>
      </c>
      <c r="B42235" t="s">
        <v>206</v>
      </c>
      <c r="C42235" t="s">
        <v>20</v>
      </c>
      <c r="D42235" t="s">
        <v>90</v>
      </c>
      <c r="F42235" s="2" t="str">
        <f>HYPERLINK("http://www.otzar.org/book.asp?616513","שמח זבולון בצאתך")</f>
        <v>שמח זבולון בצאתך</v>
      </c>
    </row>
    <row r="42236" spans="1:6" x14ac:dyDescent="0.2">
      <c r="A42236" t="s">
        <v>64119</v>
      </c>
      <c r="B42236" t="s">
        <v>16291</v>
      </c>
      <c r="C42236" t="s">
        <v>1388</v>
      </c>
      <c r="D42236" t="s">
        <v>14</v>
      </c>
      <c r="E42236" t="s">
        <v>674</v>
      </c>
      <c r="F42236" s="2" t="str">
        <f>HYPERLINK("http://www.otzar.org/book.asp?19407","שמח זבולון - 2 כר'")</f>
        <v>שמח זבולון - 2 כר'</v>
      </c>
    </row>
    <row r="42237" spans="1:6" x14ac:dyDescent="0.2">
      <c r="A42237" t="s">
        <v>64120</v>
      </c>
      <c r="B42237" t="s">
        <v>64121</v>
      </c>
      <c r="C42237" t="s">
        <v>129</v>
      </c>
      <c r="D42237" t="s">
        <v>852</v>
      </c>
      <c r="E42237" t="s">
        <v>104</v>
      </c>
      <c r="F42237" s="2" t="str">
        <f>HYPERLINK("http://www.otzar.org/book.asp?151136","שמח זבולון")</f>
        <v>שמח זבולון</v>
      </c>
    </row>
    <row r="42238" spans="1:6" x14ac:dyDescent="0.2">
      <c r="A42238" t="s">
        <v>64122</v>
      </c>
      <c r="B42238" t="s">
        <v>30304</v>
      </c>
      <c r="C42238" t="s">
        <v>503</v>
      </c>
      <c r="D42238" t="s">
        <v>27</v>
      </c>
      <c r="E42238" t="s">
        <v>234</v>
      </c>
      <c r="F42238" s="2" t="str">
        <f>HYPERLINK("http://www.otzar.org/book.asp?100735","שמח לבי")</f>
        <v>שמח לבי</v>
      </c>
    </row>
    <row r="42239" spans="1:6" x14ac:dyDescent="0.2">
      <c r="A42239" t="s">
        <v>64123</v>
      </c>
      <c r="B42239" t="s">
        <v>4398</v>
      </c>
      <c r="C42239" t="s">
        <v>37</v>
      </c>
      <c r="D42239" t="s">
        <v>216</v>
      </c>
      <c r="F42239" s="2" t="str">
        <f>HYPERLINK("http://www.otzar.org/book.asp?616326","שמח לבנו")</f>
        <v>שמח לבנו</v>
      </c>
    </row>
    <row r="42240" spans="1:6" x14ac:dyDescent="0.2">
      <c r="A42240" t="s">
        <v>64124</v>
      </c>
      <c r="B42240" t="s">
        <v>30304</v>
      </c>
      <c r="C42240" t="s">
        <v>888</v>
      </c>
      <c r="D42240" t="s">
        <v>27</v>
      </c>
      <c r="E42240" t="s">
        <v>15</v>
      </c>
      <c r="F42240" s="2" t="str">
        <f>HYPERLINK("http://www.otzar.org/book.asp?8240","שמח נפש - 2 כר'")</f>
        <v>שמח נפש - 2 כר'</v>
      </c>
    </row>
    <row r="42241" spans="1:6" x14ac:dyDescent="0.2">
      <c r="A42241" t="s">
        <v>64125</v>
      </c>
      <c r="B42241" t="s">
        <v>4398</v>
      </c>
      <c r="C42241" t="s">
        <v>103</v>
      </c>
      <c r="D42241" t="s">
        <v>216</v>
      </c>
      <c r="E42241" t="s">
        <v>158</v>
      </c>
      <c r="F42241" s="2" t="str">
        <f>HYPERLINK("http://www.otzar.org/book.asp?148449","שמח שמחה - מגילת רות")</f>
        <v>שמח שמחה - מגילת רות</v>
      </c>
    </row>
    <row r="42242" spans="1:6" x14ac:dyDescent="0.2">
      <c r="A42242" t="s">
        <v>64126</v>
      </c>
      <c r="B42242" t="s">
        <v>4398</v>
      </c>
      <c r="C42242" t="s">
        <v>68</v>
      </c>
      <c r="D42242" t="s">
        <v>216</v>
      </c>
      <c r="E42242" t="s">
        <v>144</v>
      </c>
      <c r="F42242" s="2" t="str">
        <f>HYPERLINK("http://www.otzar.org/book.asp?176512","שמח תשמח - פסחים")</f>
        <v>שמח תשמח - פסחים</v>
      </c>
    </row>
    <row r="42243" spans="1:6" x14ac:dyDescent="0.2">
      <c r="A42243" t="s">
        <v>64127</v>
      </c>
      <c r="B42243" t="s">
        <v>59781</v>
      </c>
      <c r="D42243" t="s">
        <v>2468</v>
      </c>
      <c r="F42243" s="2" t="str">
        <f>HYPERLINK("http://www.otzar.org/book.asp?606577","שמח תשמח")</f>
        <v>שמח תשמח</v>
      </c>
    </row>
    <row r="42244" spans="1:6" x14ac:dyDescent="0.2">
      <c r="A42244" t="s">
        <v>64127</v>
      </c>
      <c r="B42244" t="s">
        <v>64128</v>
      </c>
      <c r="C42244" t="s">
        <v>146</v>
      </c>
      <c r="D42244" t="s">
        <v>14</v>
      </c>
      <c r="E42244" t="s">
        <v>1164</v>
      </c>
      <c r="F42244" s="2" t="str">
        <f>HYPERLINK("http://www.otzar.org/book.asp?145587","שמח תשמח")</f>
        <v>שמח תשמח</v>
      </c>
    </row>
    <row r="42245" spans="1:6" x14ac:dyDescent="0.2">
      <c r="A42245" t="s">
        <v>64129</v>
      </c>
      <c r="B42245" t="s">
        <v>4398</v>
      </c>
      <c r="C42245" t="s">
        <v>1208</v>
      </c>
      <c r="D42245" t="s">
        <v>216</v>
      </c>
      <c r="E42245" t="s">
        <v>158</v>
      </c>
      <c r="F42245" s="2" t="str">
        <f>HYPERLINK("http://www.otzar.org/book.asp?148448","שמחה בלבי - תהלים")</f>
        <v>שמחה בלבי - תהלים</v>
      </c>
    </row>
    <row r="42246" spans="1:6" x14ac:dyDescent="0.2">
      <c r="A42246" t="s">
        <v>64130</v>
      </c>
      <c r="B42246" t="s">
        <v>51469</v>
      </c>
      <c r="C42246" t="s">
        <v>767</v>
      </c>
      <c r="D42246" t="s">
        <v>14</v>
      </c>
      <c r="E42246" t="s">
        <v>8913</v>
      </c>
      <c r="F42246" s="2" t="str">
        <f>HYPERLINK("http://www.otzar.org/book.asp?163096","שמחה במעונו")</f>
        <v>שמחה במעונו</v>
      </c>
    </row>
    <row r="42247" spans="1:6" x14ac:dyDescent="0.2">
      <c r="A42247" t="s">
        <v>64130</v>
      </c>
      <c r="B42247" t="s">
        <v>64131</v>
      </c>
      <c r="C42247" t="s">
        <v>244</v>
      </c>
      <c r="D42247" t="s">
        <v>4665</v>
      </c>
      <c r="E42247" t="s">
        <v>104</v>
      </c>
      <c r="F42247" s="2" t="str">
        <f>HYPERLINK("http://www.otzar.org/book.asp?606184","שמחה במעונו")</f>
        <v>שמחה במעונו</v>
      </c>
    </row>
    <row r="42248" spans="1:6" x14ac:dyDescent="0.2">
      <c r="A42248" t="s">
        <v>64132</v>
      </c>
      <c r="B42248" t="s">
        <v>30280</v>
      </c>
      <c r="C42248" t="s">
        <v>13</v>
      </c>
      <c r="D42248" t="s">
        <v>134</v>
      </c>
      <c r="E42248" t="s">
        <v>24</v>
      </c>
      <c r="F42248" s="2" t="str">
        <f>HYPERLINK("http://www.otzar.org/book.asp?159075","שמחה והודאה")</f>
        <v>שמחה והודאה</v>
      </c>
    </row>
    <row r="42249" spans="1:6" x14ac:dyDescent="0.2">
      <c r="A42249" t="s">
        <v>64133</v>
      </c>
      <c r="B42249" t="s">
        <v>8751</v>
      </c>
      <c r="C42249" t="s">
        <v>17</v>
      </c>
      <c r="D42249" t="s">
        <v>52</v>
      </c>
      <c r="E42249" t="s">
        <v>803</v>
      </c>
      <c r="F42249" s="2" t="str">
        <f>HYPERLINK("http://www.otzar.org/book.asp?162787","שמחה ויום טוב")</f>
        <v>שמחה ויום טוב</v>
      </c>
    </row>
    <row r="42250" spans="1:6" x14ac:dyDescent="0.2">
      <c r="A42250" t="s">
        <v>64134</v>
      </c>
      <c r="B42250" t="s">
        <v>64135</v>
      </c>
      <c r="C42250" t="s">
        <v>725</v>
      </c>
      <c r="D42250" t="s">
        <v>16553</v>
      </c>
      <c r="E42250" t="s">
        <v>130</v>
      </c>
      <c r="F42250" s="2" t="str">
        <f>HYPERLINK("http://www.otzar.org/book.asp?85268","שמחה וששון")</f>
        <v>שמחה וששון</v>
      </c>
    </row>
    <row r="42251" spans="1:6" x14ac:dyDescent="0.2">
      <c r="A42251" t="s">
        <v>64136</v>
      </c>
      <c r="B42251" t="s">
        <v>5358</v>
      </c>
      <c r="C42251" t="s">
        <v>429</v>
      </c>
      <c r="D42251" t="s">
        <v>27</v>
      </c>
      <c r="E42251" t="s">
        <v>508</v>
      </c>
      <c r="F42251" s="2" t="str">
        <f>HYPERLINK("http://www.otzar.org/book.asp?854","שמחה לאי""ש")</f>
        <v>שמחה לאי"ש</v>
      </c>
    </row>
    <row r="42252" spans="1:6" x14ac:dyDescent="0.2">
      <c r="A42252" t="s">
        <v>64136</v>
      </c>
      <c r="B42252" t="s">
        <v>13089</v>
      </c>
      <c r="C42252" t="s">
        <v>68</v>
      </c>
      <c r="D42252" t="s">
        <v>1974</v>
      </c>
      <c r="E42252" t="s">
        <v>15</v>
      </c>
      <c r="F42252" s="2" t="str">
        <f>HYPERLINK("http://www.otzar.org/book.asp?193643","שמחה לאי""ש")</f>
        <v>שמחה לאי"ש</v>
      </c>
    </row>
    <row r="42253" spans="1:6" x14ac:dyDescent="0.2">
      <c r="A42253" t="s">
        <v>64137</v>
      </c>
      <c r="B42253" t="s">
        <v>64138</v>
      </c>
      <c r="C42253" t="s">
        <v>20</v>
      </c>
      <c r="D42253" t="s">
        <v>14</v>
      </c>
      <c r="E42253" t="s">
        <v>144</v>
      </c>
      <c r="F42253" s="2" t="str">
        <f>HYPERLINK("http://www.otzar.org/book.asp?156643","שמחה לאיש")</f>
        <v>שמחה לאיש</v>
      </c>
    </row>
    <row r="42254" spans="1:6" x14ac:dyDescent="0.2">
      <c r="A42254" t="s">
        <v>64137</v>
      </c>
      <c r="B42254" t="s">
        <v>40400</v>
      </c>
      <c r="C42254" t="s">
        <v>133</v>
      </c>
      <c r="D42254" t="s">
        <v>2798</v>
      </c>
      <c r="F42254" s="2" t="str">
        <f>HYPERLINK("http://www.otzar.org/book.asp?619795","שמחה לאיש")</f>
        <v>שמחה לאיש</v>
      </c>
    </row>
    <row r="42255" spans="1:6" x14ac:dyDescent="0.2">
      <c r="A42255" t="s">
        <v>64139</v>
      </c>
      <c r="B42255" t="s">
        <v>51075</v>
      </c>
      <c r="F42255" s="2" t="str">
        <f>HYPERLINK("http://www.otzar.org/book.asp?616086","שמחה לאיש - 2 כר'")</f>
        <v>שמחה לאיש - 2 כר'</v>
      </c>
    </row>
    <row r="42256" spans="1:6" x14ac:dyDescent="0.2">
      <c r="A42256" t="s">
        <v>64139</v>
      </c>
      <c r="B42256" t="s">
        <v>64140</v>
      </c>
      <c r="C42256" t="s">
        <v>64141</v>
      </c>
      <c r="D42256" t="s">
        <v>64142</v>
      </c>
      <c r="F42256" s="2" t="str">
        <f>HYPERLINK("http://www.otzar.org/book.asp?620578","שמחה לאיש - 2 כר'")</f>
        <v>שמחה לאיש - 2 כר'</v>
      </c>
    </row>
    <row r="42257" spans="1:6" x14ac:dyDescent="0.2">
      <c r="A42257" t="s">
        <v>64137</v>
      </c>
      <c r="B42257" t="s">
        <v>64143</v>
      </c>
      <c r="C42257" t="s">
        <v>64144</v>
      </c>
      <c r="D42257" t="s">
        <v>157</v>
      </c>
      <c r="E42257" t="s">
        <v>234</v>
      </c>
      <c r="F42257" s="2" t="str">
        <f>HYPERLINK("http://www.otzar.org/book.asp?63863","שמחה לאיש")</f>
        <v>שמחה לאיש</v>
      </c>
    </row>
    <row r="42258" spans="1:6" x14ac:dyDescent="0.2">
      <c r="A42258" t="s">
        <v>64145</v>
      </c>
      <c r="B42258" t="s">
        <v>64146</v>
      </c>
      <c r="C42258" t="s">
        <v>20</v>
      </c>
      <c r="D42258" t="s">
        <v>14</v>
      </c>
      <c r="F42258" s="2" t="str">
        <f>HYPERLINK("http://www.otzar.org/book.asp?609228","שמחה לארצך")</f>
        <v>שמחה לארצך</v>
      </c>
    </row>
    <row r="42259" spans="1:6" x14ac:dyDescent="0.2">
      <c r="A42259" t="s">
        <v>64147</v>
      </c>
      <c r="B42259" t="s">
        <v>20153</v>
      </c>
      <c r="C42259" t="s">
        <v>3106</v>
      </c>
      <c r="D42259" t="s">
        <v>20154</v>
      </c>
      <c r="F42259" s="2" t="str">
        <f>HYPERLINK("http://www.otzar.org/book.asp?612425","שמחה על פי דרך החסידות")</f>
        <v>שמחה על פי דרך החסידות</v>
      </c>
    </row>
    <row r="42260" spans="1:6" x14ac:dyDescent="0.2">
      <c r="A42260" t="s">
        <v>64148</v>
      </c>
      <c r="B42260" t="s">
        <v>64148</v>
      </c>
      <c r="C42260" t="s">
        <v>143</v>
      </c>
      <c r="D42260" t="s">
        <v>118</v>
      </c>
      <c r="E42260" t="s">
        <v>674</v>
      </c>
      <c r="F42260" s="2" t="str">
        <f>HYPERLINK("http://www.otzar.org/book.asp?19263","שמחה של מעלה")</f>
        <v>שמחה של מעלה</v>
      </c>
    </row>
    <row r="42261" spans="1:6" x14ac:dyDescent="0.2">
      <c r="A42261" t="s">
        <v>64149</v>
      </c>
      <c r="B42261" t="s">
        <v>686</v>
      </c>
      <c r="C42261" t="s">
        <v>366</v>
      </c>
      <c r="D42261" t="s">
        <v>80</v>
      </c>
      <c r="E42261" t="s">
        <v>241</v>
      </c>
      <c r="F42261" s="2" t="str">
        <f>HYPERLINK("http://www.otzar.org/book.asp?606752","שמחו בה'")</f>
        <v>שמחו בה'</v>
      </c>
    </row>
    <row r="42262" spans="1:6" x14ac:dyDescent="0.2">
      <c r="A42262" t="s">
        <v>64150</v>
      </c>
      <c r="B42262" t="s">
        <v>1750</v>
      </c>
      <c r="C42262" t="s">
        <v>133</v>
      </c>
      <c r="D42262" t="s">
        <v>52</v>
      </c>
      <c r="E42262" t="s">
        <v>202</v>
      </c>
      <c r="F42262" s="2" t="str">
        <f>HYPERLINK("http://www.otzar.org/book.asp?175876","שמחו בה' - 3 כר'")</f>
        <v>שמחו בה' - 3 כר'</v>
      </c>
    </row>
    <row r="42263" spans="1:6" x14ac:dyDescent="0.2">
      <c r="A42263" t="s">
        <v>64151</v>
      </c>
      <c r="B42263" t="s">
        <v>24057</v>
      </c>
      <c r="C42263" t="s">
        <v>422</v>
      </c>
      <c r="D42263" t="s">
        <v>423</v>
      </c>
      <c r="F42263" s="2" t="str">
        <f>HYPERLINK("http://www.otzar.org/book.asp?167338","שמחו צדיקים")</f>
        <v>שמחו צדיקים</v>
      </c>
    </row>
    <row r="42264" spans="1:6" x14ac:dyDescent="0.2">
      <c r="A42264" t="s">
        <v>64152</v>
      </c>
      <c r="B42264" t="s">
        <v>1750</v>
      </c>
      <c r="C42264" t="s">
        <v>133</v>
      </c>
      <c r="D42264" t="s">
        <v>423</v>
      </c>
      <c r="F42264" s="2" t="str">
        <f>HYPERLINK("http://www.otzar.org/book.asp?180139","שמחו צדיקים - טלית וציצית במשנת צאנז")</f>
        <v>שמחו צדיקים - טלית וציצית במשנת צאנז</v>
      </c>
    </row>
    <row r="42265" spans="1:6" x14ac:dyDescent="0.2">
      <c r="A42265" t="s">
        <v>64153</v>
      </c>
      <c r="B42265" t="s">
        <v>4398</v>
      </c>
      <c r="C42265" t="s">
        <v>143</v>
      </c>
      <c r="D42265" t="s">
        <v>216</v>
      </c>
      <c r="E42265" t="s">
        <v>246</v>
      </c>
      <c r="F42265" s="2" t="str">
        <f>HYPERLINK("http://www.otzar.org/book.asp?63296","שמחים בצאתם - הגדה של פסח")</f>
        <v>שמחים בצאתם - הגדה של פסח</v>
      </c>
    </row>
    <row r="42266" spans="1:6" x14ac:dyDescent="0.2">
      <c r="A42266" t="s">
        <v>64154</v>
      </c>
      <c r="B42266" t="s">
        <v>64155</v>
      </c>
      <c r="C42266" t="s">
        <v>68</v>
      </c>
      <c r="D42266" t="s">
        <v>412</v>
      </c>
      <c r="E42266" t="s">
        <v>15</v>
      </c>
      <c r="F42266" s="2" t="str">
        <f>HYPERLINK("http://www.otzar.org/book.asp?150983","שמחים לשמרו - 4 כר'")</f>
        <v>שמחים לשמרו - 4 כר'</v>
      </c>
    </row>
    <row r="42267" spans="1:6" x14ac:dyDescent="0.2">
      <c r="A42267" t="s">
        <v>64156</v>
      </c>
      <c r="B42267" t="s">
        <v>64157</v>
      </c>
      <c r="C42267" t="s">
        <v>422</v>
      </c>
      <c r="D42267" t="s">
        <v>52</v>
      </c>
      <c r="E42267" t="s">
        <v>104</v>
      </c>
      <c r="F42267" s="2" t="str">
        <f>HYPERLINK("http://www.otzar.org/book.asp?163996","שמחם בבנין שלם")</f>
        <v>שמחם בבנין שלם</v>
      </c>
    </row>
    <row r="42268" spans="1:6" x14ac:dyDescent="0.2">
      <c r="A42268" t="s">
        <v>64156</v>
      </c>
      <c r="B42268" t="s">
        <v>64158</v>
      </c>
      <c r="F42268" s="2" t="str">
        <f>HYPERLINK("http://www.otzar.org/book.asp?614450","שמחם בבנין שלם")</f>
        <v>שמחם בבנין שלם</v>
      </c>
    </row>
    <row r="42269" spans="1:6" x14ac:dyDescent="0.2">
      <c r="A42269" t="s">
        <v>64159</v>
      </c>
      <c r="B42269" t="s">
        <v>4398</v>
      </c>
      <c r="C42269" t="s">
        <v>114</v>
      </c>
      <c r="D42269" t="s">
        <v>216</v>
      </c>
      <c r="E42269" t="s">
        <v>158</v>
      </c>
      <c r="F42269" s="2" t="str">
        <f>HYPERLINK("http://www.otzar.org/book.asp?176519","שמחת אבא - שמות")</f>
        <v>שמחת אבא - שמות</v>
      </c>
    </row>
    <row r="42270" spans="1:6" x14ac:dyDescent="0.2">
      <c r="A42270" t="s">
        <v>64160</v>
      </c>
      <c r="B42270" t="s">
        <v>31871</v>
      </c>
      <c r="C42270" t="s">
        <v>2870</v>
      </c>
      <c r="D42270" t="s">
        <v>9</v>
      </c>
      <c r="E42270" t="s">
        <v>21910</v>
      </c>
      <c r="F42270" s="2" t="str">
        <f>HYPERLINK("http://www.otzar.org/book.asp?101913","שמחת אבות")</f>
        <v>שמחת אבות</v>
      </c>
    </row>
    <row r="42271" spans="1:6" x14ac:dyDescent="0.2">
      <c r="A42271" t="s">
        <v>64161</v>
      </c>
      <c r="B42271" t="s">
        <v>12077</v>
      </c>
      <c r="C42271" t="s">
        <v>146</v>
      </c>
      <c r="D42271" t="s">
        <v>14</v>
      </c>
      <c r="E42271" t="s">
        <v>234</v>
      </c>
      <c r="F42271" s="2" t="str">
        <f>HYPERLINK("http://www.otzar.org/book.asp?146427","שמחת אבי - 3 כר'")</f>
        <v>שמחת אבי - 3 כר'</v>
      </c>
    </row>
    <row r="42272" spans="1:6" x14ac:dyDescent="0.2">
      <c r="A42272" t="s">
        <v>64162</v>
      </c>
      <c r="B42272" t="s">
        <v>64163</v>
      </c>
      <c r="C42272" t="s">
        <v>111</v>
      </c>
      <c r="D42272" t="s">
        <v>52</v>
      </c>
      <c r="E42272" t="s">
        <v>803</v>
      </c>
      <c r="F42272" s="2" t="str">
        <f>HYPERLINK("http://www.otzar.org/book.asp?630086","שמחת אבי")</f>
        <v>שמחת אבי</v>
      </c>
    </row>
    <row r="42273" spans="1:6" x14ac:dyDescent="0.2">
      <c r="A42273" t="s">
        <v>64164</v>
      </c>
      <c r="B42273" t="s">
        <v>14285</v>
      </c>
      <c r="C42273" t="s">
        <v>1470</v>
      </c>
      <c r="D42273" t="s">
        <v>27</v>
      </c>
      <c r="E42273" t="s">
        <v>17822</v>
      </c>
      <c r="F42273" s="2" t="str">
        <f>HYPERLINK("http://www.otzar.org/book.asp?17067","שמחת אברהם")</f>
        <v>שמחת אברהם</v>
      </c>
    </row>
    <row r="42274" spans="1:6" x14ac:dyDescent="0.2">
      <c r="A42274" t="s">
        <v>64165</v>
      </c>
      <c r="B42274" t="s">
        <v>45252</v>
      </c>
      <c r="C42274" t="s">
        <v>411</v>
      </c>
      <c r="D42274" t="s">
        <v>14</v>
      </c>
      <c r="F42274" s="2" t="str">
        <f>HYPERLINK("http://www.otzar.org/book.asp?170383","שמחת אדם")</f>
        <v>שמחת אדם</v>
      </c>
    </row>
    <row r="42275" spans="1:6" x14ac:dyDescent="0.2">
      <c r="A42275" t="s">
        <v>64166</v>
      </c>
      <c r="B42275" t="s">
        <v>58758</v>
      </c>
      <c r="C42275" t="s">
        <v>13</v>
      </c>
      <c r="D42275" t="s">
        <v>52</v>
      </c>
      <c r="E42275" t="s">
        <v>1262</v>
      </c>
      <c r="F42275" s="2" t="str">
        <f>HYPERLINK("http://www.otzar.org/book.asp?159407","שמחת אליהו - 2 כר'")</f>
        <v>שמחת אליהו - 2 כר'</v>
      </c>
    </row>
    <row r="42276" spans="1:6" x14ac:dyDescent="0.2">
      <c r="A42276" t="s">
        <v>64167</v>
      </c>
      <c r="B42276" t="s">
        <v>6020</v>
      </c>
      <c r="C42276" t="s">
        <v>411</v>
      </c>
      <c r="D42276" t="s">
        <v>14</v>
      </c>
      <c r="E42276" t="s">
        <v>10</v>
      </c>
      <c r="F42276" s="2" t="str">
        <f>HYPERLINK("http://www.otzar.org/book.asp?171914","שמחת אליהו - א")</f>
        <v>שמחת אליהו - א</v>
      </c>
    </row>
    <row r="42277" spans="1:6" x14ac:dyDescent="0.2">
      <c r="A42277" t="s">
        <v>64168</v>
      </c>
      <c r="B42277" t="s">
        <v>58088</v>
      </c>
      <c r="C42277" t="s">
        <v>20</v>
      </c>
      <c r="D42277" t="s">
        <v>90</v>
      </c>
      <c r="F42277" s="2" t="str">
        <f>HYPERLINK("http://www.otzar.org/book.asp?621751","שמחת אליהו - ביאור לביאור הגר""א אהע""ז סימן סב")</f>
        <v>שמחת אליהו - ביאור לביאור הגר"א אהע"ז סימן סב</v>
      </c>
    </row>
    <row r="42278" spans="1:6" x14ac:dyDescent="0.2">
      <c r="A42278" t="s">
        <v>64169</v>
      </c>
      <c r="B42278" t="s">
        <v>64170</v>
      </c>
      <c r="C42278" t="s">
        <v>523</v>
      </c>
      <c r="D42278" t="s">
        <v>14</v>
      </c>
      <c r="E42278" t="s">
        <v>8049</v>
      </c>
      <c r="F42278" s="2" t="str">
        <f>HYPERLINK("http://www.otzar.org/book.asp?6545","שמחת אלעזר")</f>
        <v>שמחת אלעזר</v>
      </c>
    </row>
    <row r="42279" spans="1:6" x14ac:dyDescent="0.2">
      <c r="A42279" t="s">
        <v>64171</v>
      </c>
      <c r="B42279" t="s">
        <v>1750</v>
      </c>
      <c r="C42279" t="s">
        <v>151</v>
      </c>
      <c r="D42279" t="s">
        <v>52</v>
      </c>
      <c r="F42279" s="2" t="str">
        <f>HYPERLINK("http://www.otzar.org/book.asp?621724","שמחת אמונים")</f>
        <v>שמחת אמונים</v>
      </c>
    </row>
    <row r="42280" spans="1:6" x14ac:dyDescent="0.2">
      <c r="A42280" t="s">
        <v>64172</v>
      </c>
      <c r="B42280" t="s">
        <v>64173</v>
      </c>
      <c r="C42280" t="s">
        <v>13</v>
      </c>
      <c r="D42280" t="s">
        <v>1646</v>
      </c>
      <c r="E42280" t="s">
        <v>1262</v>
      </c>
      <c r="F42280" s="2" t="str">
        <f>HYPERLINK("http://www.otzar.org/book.asp?161237","שמחת אמרי נועם - נישואין")</f>
        <v>שמחת אמרי נועם - נישואין</v>
      </c>
    </row>
    <row r="42281" spans="1:6" x14ac:dyDescent="0.2">
      <c r="A42281" t="s">
        <v>64174</v>
      </c>
      <c r="B42281" t="s">
        <v>4730</v>
      </c>
      <c r="C42281" t="s">
        <v>111</v>
      </c>
      <c r="D42281" t="s">
        <v>115</v>
      </c>
      <c r="E42281" t="s">
        <v>148</v>
      </c>
      <c r="F42281" s="2" t="str">
        <f>HYPERLINK("http://www.otzar.org/book.asp?627637","שמחת אפרים - א")</f>
        <v>שמחת אפרים - א</v>
      </c>
    </row>
    <row r="42282" spans="1:6" x14ac:dyDescent="0.2">
      <c r="A42282" t="s">
        <v>64175</v>
      </c>
      <c r="B42282" t="s">
        <v>21351</v>
      </c>
      <c r="C42282" t="s">
        <v>146</v>
      </c>
      <c r="D42282" t="s">
        <v>52</v>
      </c>
      <c r="E42282" t="s">
        <v>64176</v>
      </c>
      <c r="F42282" s="2" t="str">
        <f>HYPERLINK("http://www.otzar.org/book.asp?62938","שמחת בנים")</f>
        <v>שמחת בנים</v>
      </c>
    </row>
    <row r="42283" spans="1:6" x14ac:dyDescent="0.2">
      <c r="A42283" t="s">
        <v>64177</v>
      </c>
      <c r="B42283" t="s">
        <v>2124</v>
      </c>
      <c r="C42283" t="s">
        <v>17</v>
      </c>
      <c r="D42283" t="s">
        <v>2125</v>
      </c>
      <c r="E42283" t="s">
        <v>186</v>
      </c>
      <c r="F42283" s="2" t="str">
        <f>HYPERLINK("http://www.otzar.org/book.asp?53731","שמחת בנימין - כתובות")</f>
        <v>שמחת בנימין - כתובות</v>
      </c>
    </row>
    <row r="42284" spans="1:6" x14ac:dyDescent="0.2">
      <c r="A42284" t="s">
        <v>64178</v>
      </c>
      <c r="B42284" t="s">
        <v>64179</v>
      </c>
      <c r="C42284" t="s">
        <v>37</v>
      </c>
      <c r="D42284" t="s">
        <v>152</v>
      </c>
      <c r="E42284" t="s">
        <v>246</v>
      </c>
      <c r="F42284" s="2" t="str">
        <f>HYPERLINK("http://www.otzar.org/book.asp?179323","שמחת גד - פורים")</f>
        <v>שמחת גד - פורים</v>
      </c>
    </row>
    <row r="42285" spans="1:6" x14ac:dyDescent="0.2">
      <c r="A42285" t="s">
        <v>64180</v>
      </c>
      <c r="B42285" t="s">
        <v>64181</v>
      </c>
      <c r="E42285" t="s">
        <v>158</v>
      </c>
      <c r="F42285" s="2" t="str">
        <f>HYPERLINK("http://www.otzar.org/book.asp?628672","שמחת דן - 2 כר'")</f>
        <v>שמחת דן - 2 כר'</v>
      </c>
    </row>
    <row r="42286" spans="1:6" x14ac:dyDescent="0.2">
      <c r="A42286" t="s">
        <v>64182</v>
      </c>
      <c r="B42286" t="s">
        <v>4398</v>
      </c>
      <c r="C42286" t="s">
        <v>20</v>
      </c>
      <c r="D42286" t="s">
        <v>216</v>
      </c>
      <c r="E42286" t="s">
        <v>158</v>
      </c>
      <c r="F42286" s="2" t="str">
        <f>HYPERLINK("http://www.otzar.org/book.asp?176506","שמחת האמא")</f>
        <v>שמחת האמא</v>
      </c>
    </row>
    <row r="42287" spans="1:6" x14ac:dyDescent="0.2">
      <c r="A42287" t="s">
        <v>64183</v>
      </c>
      <c r="B42287" t="s">
        <v>31871</v>
      </c>
      <c r="C42287" t="s">
        <v>649</v>
      </c>
      <c r="D42287" t="s">
        <v>27</v>
      </c>
      <c r="E42287" t="s">
        <v>474</v>
      </c>
      <c r="F42287" s="2" t="str">
        <f>HYPERLINK("http://www.otzar.org/book.asp?256","שמחת הגיון - 3 כר'")</f>
        <v>שמחת הגיון - 3 כר'</v>
      </c>
    </row>
    <row r="42288" spans="1:6" x14ac:dyDescent="0.2">
      <c r="A42288" t="s">
        <v>64184</v>
      </c>
      <c r="B42288" t="s">
        <v>64185</v>
      </c>
      <c r="C42288" t="s">
        <v>5903</v>
      </c>
      <c r="D42288" t="s">
        <v>855</v>
      </c>
      <c r="E42288" t="s">
        <v>246</v>
      </c>
      <c r="F42288" s="2" t="str">
        <f>HYPERLINK("http://www.otzar.org/book.asp?60360","שמחת הח""ג - &lt;לשון למודים - סמיכה לחיים&gt;")</f>
        <v>שמחת הח"ג - &lt;לשון למודים - סמיכה לחיים&gt;</v>
      </c>
    </row>
    <row r="42289" spans="1:6" x14ac:dyDescent="0.2">
      <c r="A42289" t="s">
        <v>64186</v>
      </c>
      <c r="B42289" t="s">
        <v>37282</v>
      </c>
      <c r="C42289" t="s">
        <v>576</v>
      </c>
      <c r="D42289" t="s">
        <v>691</v>
      </c>
      <c r="E42289" t="s">
        <v>803</v>
      </c>
      <c r="F42289" s="2" t="str">
        <f>HYPERLINK("http://www.otzar.org/book.asp?14162","שמחת החג")</f>
        <v>שמחת החג</v>
      </c>
    </row>
    <row r="42290" spans="1:6" x14ac:dyDescent="0.2">
      <c r="A42290" t="s">
        <v>64187</v>
      </c>
      <c r="B42290" t="s">
        <v>21351</v>
      </c>
      <c r="C42290" t="s">
        <v>103</v>
      </c>
      <c r="D42290" t="s">
        <v>52</v>
      </c>
      <c r="E42290" t="s">
        <v>674</v>
      </c>
      <c r="F42290" s="2" t="str">
        <f>HYPERLINK("http://www.otzar.org/book.asp?62937","שמחת החתן")</f>
        <v>שמחת החתן</v>
      </c>
    </row>
    <row r="42291" spans="1:6" x14ac:dyDescent="0.2">
      <c r="A42291" t="s">
        <v>64188</v>
      </c>
      <c r="B42291" t="s">
        <v>4398</v>
      </c>
      <c r="C42291" t="s">
        <v>68</v>
      </c>
      <c r="D42291" t="s">
        <v>216</v>
      </c>
      <c r="E42291" t="s">
        <v>144</v>
      </c>
      <c r="F42291" s="2" t="str">
        <f>HYPERLINK("http://www.otzar.org/book.asp?176513","שמחת הלבבות - פסחים")</f>
        <v>שמחת הלבבות - פסחים</v>
      </c>
    </row>
    <row r="42292" spans="1:6" x14ac:dyDescent="0.2">
      <c r="A42292" t="s">
        <v>64189</v>
      </c>
      <c r="B42292" t="s">
        <v>9457</v>
      </c>
      <c r="C42292" t="s">
        <v>133</v>
      </c>
      <c r="D42292" t="s">
        <v>6283</v>
      </c>
      <c r="E42292" t="s">
        <v>15</v>
      </c>
      <c r="F42292" s="2" t="str">
        <f>HYPERLINK("http://www.otzar.org/book.asp?199380","שמחת הלוי")</f>
        <v>שמחת הלוי</v>
      </c>
    </row>
    <row r="42293" spans="1:6" x14ac:dyDescent="0.2">
      <c r="A42293" t="s">
        <v>64189</v>
      </c>
      <c r="B42293" t="s">
        <v>64190</v>
      </c>
      <c r="C42293" t="s">
        <v>1160</v>
      </c>
      <c r="D42293" t="s">
        <v>2468</v>
      </c>
      <c r="E42293" t="s">
        <v>1211</v>
      </c>
      <c r="F42293" s="2" t="str">
        <f>HYPERLINK("http://www.otzar.org/book.asp?104879","שמחת הלוי")</f>
        <v>שמחת הלוי</v>
      </c>
    </row>
    <row r="42294" spans="1:6" x14ac:dyDescent="0.2">
      <c r="A42294" t="s">
        <v>64191</v>
      </c>
      <c r="B42294" t="s">
        <v>5634</v>
      </c>
      <c r="C42294" t="s">
        <v>103</v>
      </c>
      <c r="D42294" t="s">
        <v>52</v>
      </c>
      <c r="E42294" t="s">
        <v>241</v>
      </c>
      <c r="F42294" s="2" t="str">
        <f>HYPERLINK("http://www.otzar.org/book.asp?160946","שמחת הלוי - 4 כר'")</f>
        <v>שמחת הלוי - 4 כר'</v>
      </c>
    </row>
    <row r="42295" spans="1:6" x14ac:dyDescent="0.2">
      <c r="A42295" t="s">
        <v>64192</v>
      </c>
      <c r="B42295" t="s">
        <v>18364</v>
      </c>
      <c r="C42295" t="s">
        <v>103</v>
      </c>
      <c r="D42295" t="s">
        <v>14</v>
      </c>
      <c r="E42295" t="s">
        <v>15</v>
      </c>
      <c r="F42295" s="2" t="str">
        <f>HYPERLINK("http://www.otzar.org/book.asp?51862","שמחת הלויים")</f>
        <v>שמחת הלויים</v>
      </c>
    </row>
    <row r="42296" spans="1:6" x14ac:dyDescent="0.2">
      <c r="A42296" t="s">
        <v>64193</v>
      </c>
      <c r="B42296" t="s">
        <v>64194</v>
      </c>
      <c r="C42296" t="s">
        <v>37</v>
      </c>
      <c r="D42296" t="s">
        <v>152</v>
      </c>
      <c r="F42296" s="2" t="str">
        <f>HYPERLINK("http://www.otzar.org/book.asp?197303","שמחת המועדים")</f>
        <v>שמחת המועדים</v>
      </c>
    </row>
    <row r="42297" spans="1:6" x14ac:dyDescent="0.2">
      <c r="A42297" t="s">
        <v>64195</v>
      </c>
      <c r="B42297" t="s">
        <v>64196</v>
      </c>
      <c r="C42297" t="s">
        <v>624</v>
      </c>
      <c r="D42297" t="s">
        <v>1356</v>
      </c>
      <c r="E42297" t="s">
        <v>1174</v>
      </c>
      <c r="F42297" s="2" t="str">
        <f>HYPERLINK("http://www.otzar.org/book.asp?162100","שמחת המלכות")</f>
        <v>שמחת המלכות</v>
      </c>
    </row>
    <row r="42298" spans="1:6" x14ac:dyDescent="0.2">
      <c r="A42298" t="s">
        <v>64197</v>
      </c>
      <c r="B42298" t="s">
        <v>4398</v>
      </c>
      <c r="C42298" t="s">
        <v>114</v>
      </c>
      <c r="D42298" t="s">
        <v>216</v>
      </c>
      <c r="E42298" t="s">
        <v>84</v>
      </c>
      <c r="F42298" s="2" t="str">
        <f>HYPERLINK("http://www.otzar.org/book.asp?176518","שמחת המשנה")</f>
        <v>שמחת המשנה</v>
      </c>
    </row>
    <row r="42299" spans="1:6" x14ac:dyDescent="0.2">
      <c r="A42299" t="s">
        <v>64198</v>
      </c>
      <c r="B42299" t="s">
        <v>18298</v>
      </c>
      <c r="C42299" t="s">
        <v>411</v>
      </c>
      <c r="D42299" t="s">
        <v>14</v>
      </c>
      <c r="E42299" t="s">
        <v>104</v>
      </c>
      <c r="F42299" s="2" t="str">
        <f>HYPERLINK("http://www.otzar.org/book.asp?603957","שמחת הנישואין")</f>
        <v>שמחת הנישואין</v>
      </c>
    </row>
    <row r="42300" spans="1:6" x14ac:dyDescent="0.2">
      <c r="A42300" t="s">
        <v>64199</v>
      </c>
      <c r="B42300" t="s">
        <v>64200</v>
      </c>
      <c r="C42300" t="s">
        <v>20</v>
      </c>
      <c r="D42300" t="s">
        <v>14</v>
      </c>
      <c r="E42300" t="s">
        <v>104</v>
      </c>
      <c r="F42300" s="2" t="str">
        <f>HYPERLINK("http://www.otzar.org/book.asp?167867","שמחת הנפש")</f>
        <v>שמחת הנפש</v>
      </c>
    </row>
    <row r="42301" spans="1:6" x14ac:dyDescent="0.2">
      <c r="A42301" t="s">
        <v>64199</v>
      </c>
      <c r="B42301" t="s">
        <v>4619</v>
      </c>
      <c r="C42301" t="s">
        <v>1096</v>
      </c>
      <c r="D42301" t="s">
        <v>5558</v>
      </c>
      <c r="E42301" t="s">
        <v>104</v>
      </c>
      <c r="F42301" s="2" t="str">
        <f>HYPERLINK("http://www.otzar.org/book.asp?178882","שמחת הנפש")</f>
        <v>שמחת הנפש</v>
      </c>
    </row>
    <row r="42302" spans="1:6" x14ac:dyDescent="0.2">
      <c r="A42302" t="s">
        <v>64201</v>
      </c>
      <c r="B42302" t="s">
        <v>64202</v>
      </c>
      <c r="C42302" t="s">
        <v>59</v>
      </c>
      <c r="D42302" t="s">
        <v>6537</v>
      </c>
      <c r="F42302" s="2" t="str">
        <f>HYPERLINK("http://www.otzar.org/book.asp?152758","שמחת הנפש - 2 כר'")</f>
        <v>שמחת הנפש - 2 כר'</v>
      </c>
    </row>
    <row r="42303" spans="1:6" x14ac:dyDescent="0.2">
      <c r="A42303" t="s">
        <v>64203</v>
      </c>
      <c r="B42303" t="s">
        <v>35437</v>
      </c>
      <c r="C42303" t="s">
        <v>1096</v>
      </c>
      <c r="D42303" t="s">
        <v>5558</v>
      </c>
      <c r="F42303" s="2" t="str">
        <f>HYPERLINK("http://www.otzar.org/book.asp?191259","שמחת הנפש - ב")</f>
        <v>שמחת הנפש - ב</v>
      </c>
    </row>
    <row r="42304" spans="1:6" x14ac:dyDescent="0.2">
      <c r="A42304" t="s">
        <v>64204</v>
      </c>
      <c r="B42304" t="s">
        <v>4398</v>
      </c>
      <c r="C42304" t="s">
        <v>37</v>
      </c>
      <c r="D42304" t="s">
        <v>216</v>
      </c>
      <c r="E42304" t="s">
        <v>158</v>
      </c>
      <c r="F42304" s="2" t="str">
        <f>HYPERLINK("http://www.otzar.org/book.asp?176505","שמחת הנשמה - במדבר")</f>
        <v>שמחת הנשמה - במדבר</v>
      </c>
    </row>
    <row r="42305" spans="1:6" x14ac:dyDescent="0.2">
      <c r="A42305" t="s">
        <v>64205</v>
      </c>
      <c r="B42305" t="s">
        <v>1308</v>
      </c>
      <c r="C42305" t="s">
        <v>1191</v>
      </c>
      <c r="D42305" t="s">
        <v>212</v>
      </c>
      <c r="E42305" t="s">
        <v>64206</v>
      </c>
      <c r="F42305" s="2" t="str">
        <f>HYPERLINK("http://www.otzar.org/book.asp?104502","שמחת הרגל - 3 כר'")</f>
        <v>שמחת הרגל - 3 כר'</v>
      </c>
    </row>
    <row r="42306" spans="1:6" x14ac:dyDescent="0.2">
      <c r="A42306" t="s">
        <v>64207</v>
      </c>
      <c r="B42306" t="s">
        <v>18778</v>
      </c>
      <c r="C42306" t="s">
        <v>896</v>
      </c>
      <c r="D42306" t="s">
        <v>855</v>
      </c>
      <c r="E42306" t="s">
        <v>230</v>
      </c>
      <c r="F42306" s="2" t="str">
        <f>HYPERLINK("http://www.otzar.org/book.asp?161252","שמחת הרגל")</f>
        <v>שמחת הרגל</v>
      </c>
    </row>
    <row r="42307" spans="1:6" x14ac:dyDescent="0.2">
      <c r="A42307" t="s">
        <v>64208</v>
      </c>
      <c r="B42307" t="s">
        <v>64209</v>
      </c>
      <c r="C42307" t="s">
        <v>454</v>
      </c>
      <c r="D42307" t="s">
        <v>90</v>
      </c>
      <c r="E42307" t="s">
        <v>15</v>
      </c>
      <c r="F42307" s="2" t="str">
        <f>HYPERLINK("http://www.otzar.org/book.asp?63682","שמחת השבת - מלבן")</f>
        <v>שמחת השבת - מלבן</v>
      </c>
    </row>
    <row r="42308" spans="1:6" x14ac:dyDescent="0.2">
      <c r="A42308" t="s">
        <v>64210</v>
      </c>
      <c r="B42308" t="s">
        <v>40426</v>
      </c>
      <c r="C42308" t="s">
        <v>146</v>
      </c>
      <c r="D42308" t="s">
        <v>14</v>
      </c>
      <c r="E42308" t="s">
        <v>219</v>
      </c>
      <c r="F42308" s="2" t="str">
        <f>HYPERLINK("http://www.otzar.org/book.asp?152718","שמחת התורה")</f>
        <v>שמחת התורה</v>
      </c>
    </row>
    <row r="42309" spans="1:6" x14ac:dyDescent="0.2">
      <c r="A42309" t="s">
        <v>64211</v>
      </c>
      <c r="B42309" t="s">
        <v>4398</v>
      </c>
      <c r="C42309" t="s">
        <v>68</v>
      </c>
      <c r="D42309" t="s">
        <v>216</v>
      </c>
      <c r="E42309" t="s">
        <v>158</v>
      </c>
      <c r="F42309" s="2" t="str">
        <f>HYPERLINK("http://www.otzar.org/book.asp?176510","שמחת התורה - בראשית")</f>
        <v>שמחת התורה - בראשית</v>
      </c>
    </row>
    <row r="42310" spans="1:6" x14ac:dyDescent="0.2">
      <c r="A42310" t="s">
        <v>64210</v>
      </c>
      <c r="B42310" t="s">
        <v>64212</v>
      </c>
      <c r="C42310" t="s">
        <v>103</v>
      </c>
      <c r="D42310" t="s">
        <v>52</v>
      </c>
      <c r="E42310" t="s">
        <v>213</v>
      </c>
      <c r="F42310" s="2" t="str">
        <f>HYPERLINK("http://www.otzar.org/book.asp?63593","שמחת התורה")</f>
        <v>שמחת התורה</v>
      </c>
    </row>
    <row r="42311" spans="1:6" x14ac:dyDescent="0.2">
      <c r="A42311" t="s">
        <v>64213</v>
      </c>
      <c r="B42311" t="s">
        <v>23787</v>
      </c>
      <c r="C42311" t="s">
        <v>129</v>
      </c>
      <c r="D42311" t="s">
        <v>14</v>
      </c>
      <c r="E42311" t="s">
        <v>213</v>
      </c>
      <c r="F42311" s="2" t="str">
        <f>HYPERLINK("http://www.otzar.org/book.asp?146348","שמחת חיים וקונטריס שערי תפילות")</f>
        <v>שמחת חיים וקונטריס שערי תפילות</v>
      </c>
    </row>
    <row r="42312" spans="1:6" x14ac:dyDescent="0.2">
      <c r="A42312" t="s">
        <v>64214</v>
      </c>
      <c r="B42312" t="s">
        <v>32055</v>
      </c>
      <c r="C42312" t="s">
        <v>143</v>
      </c>
      <c r="D42312" t="s">
        <v>52</v>
      </c>
      <c r="E42312" t="s">
        <v>140</v>
      </c>
      <c r="F42312" s="2" t="str">
        <f>HYPERLINK("http://www.otzar.org/book.asp?171582","שמחת חיים - 3 כר'")</f>
        <v>שמחת חיים - 3 כר'</v>
      </c>
    </row>
    <row r="42313" spans="1:6" x14ac:dyDescent="0.2">
      <c r="A42313" t="s">
        <v>64215</v>
      </c>
      <c r="B42313" t="s">
        <v>18093</v>
      </c>
      <c r="C42313" t="s">
        <v>103</v>
      </c>
      <c r="D42313" t="s">
        <v>14</v>
      </c>
      <c r="E42313" t="s">
        <v>674</v>
      </c>
      <c r="F42313" s="2" t="str">
        <f>HYPERLINK("http://www.otzar.org/book.asp?62909","שמחת חיים")</f>
        <v>שמחת חיים</v>
      </c>
    </row>
    <row r="42314" spans="1:6" x14ac:dyDescent="0.2">
      <c r="A42314" t="s">
        <v>64216</v>
      </c>
      <c r="B42314" t="s">
        <v>4398</v>
      </c>
      <c r="C42314" t="s">
        <v>411</v>
      </c>
      <c r="D42314" t="s">
        <v>216</v>
      </c>
      <c r="E42314" t="s">
        <v>144</v>
      </c>
      <c r="F42314" s="2" t="str">
        <f>HYPERLINK("http://www.otzar.org/book.asp?176517","שמחת חיים - ר""ה")</f>
        <v>שמחת חיים - ר"ה</v>
      </c>
    </row>
    <row r="42315" spans="1:6" x14ac:dyDescent="0.2">
      <c r="A42315" t="s">
        <v>64215</v>
      </c>
      <c r="B42315" t="s">
        <v>25141</v>
      </c>
      <c r="C42315" t="s">
        <v>64217</v>
      </c>
      <c r="D42315" t="s">
        <v>12052</v>
      </c>
      <c r="E42315" t="s">
        <v>474</v>
      </c>
      <c r="F42315" s="2" t="str">
        <f>HYPERLINK("http://www.otzar.org/book.asp?188610","שמחת חיים")</f>
        <v>שמחת חיים</v>
      </c>
    </row>
    <row r="42316" spans="1:6" x14ac:dyDescent="0.2">
      <c r="A42316" t="s">
        <v>64215</v>
      </c>
      <c r="B42316" t="s">
        <v>64218</v>
      </c>
      <c r="C42316" t="s">
        <v>23</v>
      </c>
      <c r="D42316" t="s">
        <v>52</v>
      </c>
      <c r="E42316" t="s">
        <v>219</v>
      </c>
      <c r="F42316" s="2" t="str">
        <f>HYPERLINK("http://www.otzar.org/book.asp?606596","שמחת חיים")</f>
        <v>שמחת חיים</v>
      </c>
    </row>
    <row r="42317" spans="1:6" x14ac:dyDescent="0.2">
      <c r="A42317" t="s">
        <v>64215</v>
      </c>
      <c r="B42317" t="s">
        <v>36261</v>
      </c>
      <c r="C42317" t="s">
        <v>13</v>
      </c>
      <c r="D42317" t="s">
        <v>14</v>
      </c>
      <c r="E42317" t="s">
        <v>384</v>
      </c>
      <c r="F42317" s="2" t="str">
        <f>HYPERLINK("http://www.otzar.org/book.asp?158822","שמחת חיים")</f>
        <v>שמחת חיים</v>
      </c>
    </row>
    <row r="42318" spans="1:6" x14ac:dyDescent="0.2">
      <c r="A42318" t="s">
        <v>64219</v>
      </c>
      <c r="B42318" t="s">
        <v>1750</v>
      </c>
      <c r="C42318" t="s">
        <v>51</v>
      </c>
      <c r="D42318" t="s">
        <v>486</v>
      </c>
      <c r="E42318" t="s">
        <v>674</v>
      </c>
      <c r="F42318" s="2" t="str">
        <f>HYPERLINK("http://www.otzar.org/book.asp?167098","שמחת חיים - נישואין")</f>
        <v>שמחת חיים - נישואין</v>
      </c>
    </row>
    <row r="42319" spans="1:6" x14ac:dyDescent="0.2">
      <c r="A42319" t="s">
        <v>64220</v>
      </c>
      <c r="B42319" t="s">
        <v>3282</v>
      </c>
      <c r="C42319" t="s">
        <v>185</v>
      </c>
      <c r="D42319" t="s">
        <v>14591</v>
      </c>
      <c r="E42319" t="s">
        <v>158</v>
      </c>
      <c r="F42319" s="2" t="str">
        <f>HYPERLINK("http://www.otzar.org/book.asp?631395","שמחת חכמים - קהלת")</f>
        <v>שמחת חכמים - קהלת</v>
      </c>
    </row>
    <row r="42320" spans="1:6" x14ac:dyDescent="0.2">
      <c r="A42320" t="s">
        <v>64221</v>
      </c>
      <c r="B42320" t="s">
        <v>64222</v>
      </c>
      <c r="C42320" t="s">
        <v>2269</v>
      </c>
      <c r="D42320" t="s">
        <v>76</v>
      </c>
      <c r="E42320" t="s">
        <v>930</v>
      </c>
      <c r="F42320" s="2" t="str">
        <f>HYPERLINK("http://www.otzar.org/book.asp?149945","שמחת יאודה - 2 כר'")</f>
        <v>שמחת יאודה - 2 כר'</v>
      </c>
    </row>
    <row r="42321" spans="1:6" x14ac:dyDescent="0.2">
      <c r="A42321" t="s">
        <v>64223</v>
      </c>
      <c r="B42321" t="s">
        <v>36210</v>
      </c>
      <c r="C42321" t="s">
        <v>244</v>
      </c>
      <c r="D42321" t="s">
        <v>36211</v>
      </c>
      <c r="E42321" t="s">
        <v>154</v>
      </c>
      <c r="F42321" s="2" t="str">
        <f>HYPERLINK("http://www.otzar.org/book.asp?600270","שמחת יהודה - 2 כר'")</f>
        <v>שמחת יהודה - 2 כר'</v>
      </c>
    </row>
    <row r="42322" spans="1:6" x14ac:dyDescent="0.2">
      <c r="A42322" t="s">
        <v>64223</v>
      </c>
      <c r="B42322" t="s">
        <v>12481</v>
      </c>
      <c r="C42322" t="s">
        <v>103</v>
      </c>
      <c r="D42322" t="s">
        <v>14</v>
      </c>
      <c r="E42322" t="s">
        <v>4494</v>
      </c>
      <c r="F42322" s="2" t="str">
        <f>HYPERLINK("http://www.otzar.org/book.asp?50614","שמחת יהודה - 2 כר'")</f>
        <v>שמחת יהודה - 2 כר'</v>
      </c>
    </row>
    <row r="42323" spans="1:6" x14ac:dyDescent="0.2">
      <c r="A42323" t="s">
        <v>64223</v>
      </c>
      <c r="B42323" t="s">
        <v>2464</v>
      </c>
      <c r="C42323" t="s">
        <v>5826</v>
      </c>
      <c r="D42323" t="s">
        <v>251</v>
      </c>
      <c r="E42323" t="s">
        <v>43</v>
      </c>
      <c r="F42323" s="2" t="str">
        <f>HYPERLINK("http://www.otzar.org/book.asp?149232","שמחת יהודה - 2 כר'")</f>
        <v>שמחת יהודה - 2 כר'</v>
      </c>
    </row>
    <row r="42324" spans="1:6" x14ac:dyDescent="0.2">
      <c r="A42324" t="s">
        <v>64224</v>
      </c>
      <c r="B42324" t="s">
        <v>64225</v>
      </c>
      <c r="C42324" t="s">
        <v>366</v>
      </c>
      <c r="D42324" t="s">
        <v>90</v>
      </c>
      <c r="F42324" s="2" t="str">
        <f>HYPERLINK("http://www.otzar.org/book.asp?614382","שמחת יהודה")</f>
        <v>שמחת יהודה</v>
      </c>
    </row>
    <row r="42325" spans="1:6" x14ac:dyDescent="0.2">
      <c r="A42325" t="s">
        <v>64226</v>
      </c>
      <c r="B42325" t="s">
        <v>2464</v>
      </c>
      <c r="C42325" t="s">
        <v>411</v>
      </c>
      <c r="D42325" t="s">
        <v>14</v>
      </c>
      <c r="E42325" t="s">
        <v>3736</v>
      </c>
      <c r="F42325" s="2" t="str">
        <f>HYPERLINK("http://www.otzar.org/book.asp?168417","שמחת יהודה, חגי יהודה &lt;מהדורה חדשה&gt;")</f>
        <v>שמחת יהודה, חגי יהודה &lt;מהדורה חדשה&gt;</v>
      </c>
    </row>
    <row r="42326" spans="1:6" x14ac:dyDescent="0.2">
      <c r="A42326" t="s">
        <v>64227</v>
      </c>
      <c r="B42326" t="s">
        <v>14129</v>
      </c>
      <c r="C42326" t="s">
        <v>454</v>
      </c>
      <c r="D42326" t="s">
        <v>52</v>
      </c>
      <c r="E42326" t="s">
        <v>15</v>
      </c>
      <c r="F42326" s="2" t="str">
        <f>HYPERLINK("http://www.otzar.org/book.asp?25733","שמחת יהושע")</f>
        <v>שמחת יהושע</v>
      </c>
    </row>
    <row r="42327" spans="1:6" x14ac:dyDescent="0.2">
      <c r="A42327" t="s">
        <v>64228</v>
      </c>
      <c r="B42327" t="s">
        <v>53602</v>
      </c>
      <c r="C42327" t="s">
        <v>129</v>
      </c>
      <c r="D42327" t="s">
        <v>245</v>
      </c>
      <c r="F42327" s="2" t="str">
        <f>HYPERLINK("http://www.otzar.org/book.asp?169602","שמחת יום טוב  &lt;מכון משנת ר""א&gt;")</f>
        <v>שמחת יום טוב  &lt;מכון משנת ר"א&gt;</v>
      </c>
    </row>
    <row r="42328" spans="1:6" x14ac:dyDescent="0.2">
      <c r="A42328" t="s">
        <v>64229</v>
      </c>
      <c r="B42328" t="s">
        <v>53602</v>
      </c>
      <c r="C42328" t="s">
        <v>64230</v>
      </c>
      <c r="D42328" t="s">
        <v>76</v>
      </c>
      <c r="E42328" t="s">
        <v>154</v>
      </c>
      <c r="F42328" s="2" t="str">
        <f>HYPERLINK("http://www.otzar.org/book.asp?10810","שמחת יום טוב - 2 כר'")</f>
        <v>שמחת יום טוב - 2 כר'</v>
      </c>
    </row>
    <row r="42329" spans="1:6" x14ac:dyDescent="0.2">
      <c r="A42329" t="s">
        <v>64229</v>
      </c>
      <c r="B42329" t="s">
        <v>64231</v>
      </c>
      <c r="C42329" t="s">
        <v>99</v>
      </c>
      <c r="D42329" t="s">
        <v>27</v>
      </c>
      <c r="E42329" t="s">
        <v>399</v>
      </c>
      <c r="F42329" s="2" t="str">
        <f>HYPERLINK("http://www.otzar.org/book.asp?5989","שמחת יום טוב - 2 כר'")</f>
        <v>שמחת יום טוב - 2 כר'</v>
      </c>
    </row>
    <row r="42330" spans="1:6" x14ac:dyDescent="0.2">
      <c r="A42330" t="s">
        <v>64232</v>
      </c>
      <c r="B42330" t="s">
        <v>5253</v>
      </c>
      <c r="C42330" t="s">
        <v>64233</v>
      </c>
      <c r="D42330" t="s">
        <v>30657</v>
      </c>
      <c r="E42330" t="s">
        <v>144</v>
      </c>
      <c r="F42330" s="2" t="str">
        <f>HYPERLINK("http://www.otzar.org/book.asp?624673","שמחת יום טוב - 3 כר'")</f>
        <v>שמחת יום טוב - 3 כר'</v>
      </c>
    </row>
    <row r="42331" spans="1:6" x14ac:dyDescent="0.2">
      <c r="A42331" t="s">
        <v>64234</v>
      </c>
      <c r="B42331" t="s">
        <v>64235</v>
      </c>
      <c r="C42331" t="s">
        <v>422</v>
      </c>
      <c r="D42331" t="s">
        <v>25504</v>
      </c>
      <c r="E42331" t="s">
        <v>144</v>
      </c>
      <c r="F42331" s="2" t="str">
        <f>HYPERLINK("http://www.otzar.org/book.asp?155298","שמחת יוסף - איזהו נשך")</f>
        <v>שמחת יוסף - איזהו נשך</v>
      </c>
    </row>
    <row r="42332" spans="1:6" x14ac:dyDescent="0.2">
      <c r="A42332" t="s">
        <v>64236</v>
      </c>
      <c r="B42332" t="s">
        <v>19853</v>
      </c>
      <c r="C42332" t="s">
        <v>454</v>
      </c>
      <c r="D42332" t="s">
        <v>152</v>
      </c>
      <c r="E42332" t="s">
        <v>148</v>
      </c>
      <c r="F42332" s="2" t="str">
        <f>HYPERLINK("http://www.otzar.org/book.asp?159989","שמחת יוסף - 4 כר'")</f>
        <v>שמחת יוסף - 4 כר'</v>
      </c>
    </row>
    <row r="42333" spans="1:6" x14ac:dyDescent="0.2">
      <c r="A42333" t="s">
        <v>64237</v>
      </c>
      <c r="B42333" t="s">
        <v>489</v>
      </c>
      <c r="C42333" t="s">
        <v>17</v>
      </c>
      <c r="D42333" t="s">
        <v>2125</v>
      </c>
      <c r="E42333" t="s">
        <v>186</v>
      </c>
      <c r="F42333" s="2" t="str">
        <f>HYPERLINK("http://www.otzar.org/book.asp?53733","שמחת יחיאל - קידושין")</f>
        <v>שמחת יחיאל - קידושין</v>
      </c>
    </row>
    <row r="42334" spans="1:6" x14ac:dyDescent="0.2">
      <c r="A42334" t="s">
        <v>64238</v>
      </c>
      <c r="B42334" t="s">
        <v>1066</v>
      </c>
      <c r="C42334" t="s">
        <v>313</v>
      </c>
      <c r="D42334" t="s">
        <v>412</v>
      </c>
      <c r="E42334" t="s">
        <v>246</v>
      </c>
      <c r="F42334" s="2" t="str">
        <f>HYPERLINK("http://www.otzar.org/book.asp?85581","שמחת יעבץ - הגדה של פסח")</f>
        <v>שמחת יעבץ - הגדה של פסח</v>
      </c>
    </row>
    <row r="42335" spans="1:6" x14ac:dyDescent="0.2">
      <c r="A42335" t="s">
        <v>64239</v>
      </c>
      <c r="B42335" t="s">
        <v>64240</v>
      </c>
      <c r="C42335" t="s">
        <v>553</v>
      </c>
      <c r="D42335" t="s">
        <v>52</v>
      </c>
      <c r="E42335" t="s">
        <v>64241</v>
      </c>
      <c r="F42335" s="2" t="str">
        <f>HYPERLINK("http://www.otzar.org/book.asp?25956","שמחת יעקב")</f>
        <v>שמחת יעקב</v>
      </c>
    </row>
    <row r="42336" spans="1:6" x14ac:dyDescent="0.2">
      <c r="A42336" t="s">
        <v>64239</v>
      </c>
      <c r="B42336" t="s">
        <v>43163</v>
      </c>
      <c r="C42336" t="s">
        <v>23</v>
      </c>
      <c r="D42336" t="s">
        <v>147</v>
      </c>
      <c r="E42336" t="s">
        <v>144</v>
      </c>
      <c r="F42336" s="2" t="str">
        <f>HYPERLINK("http://www.otzar.org/book.asp?193042","שמחת יעקב")</f>
        <v>שמחת יעקב</v>
      </c>
    </row>
    <row r="42337" spans="1:6" x14ac:dyDescent="0.2">
      <c r="A42337" t="s">
        <v>64242</v>
      </c>
      <c r="B42337" t="s">
        <v>64243</v>
      </c>
      <c r="C42337" t="s">
        <v>1470</v>
      </c>
      <c r="D42337" t="s">
        <v>13632</v>
      </c>
      <c r="E42337" t="s">
        <v>4940</v>
      </c>
      <c r="F42337" s="2" t="str">
        <f>HYPERLINK("http://www.otzar.org/book.asp?103750","שמחת יצחק")</f>
        <v>שמחת יצחק</v>
      </c>
    </row>
    <row r="42338" spans="1:6" x14ac:dyDescent="0.2">
      <c r="A42338" t="s">
        <v>64244</v>
      </c>
      <c r="B42338" t="s">
        <v>489</v>
      </c>
      <c r="C42338" t="s">
        <v>624</v>
      </c>
      <c r="D42338" t="s">
        <v>1156</v>
      </c>
      <c r="E42338" t="s">
        <v>202</v>
      </c>
      <c r="F42338" s="2" t="str">
        <f>HYPERLINK("http://www.otzar.org/book.asp?181677","שמחת יצחק - 2 כר'")</f>
        <v>שמחת יצחק - 2 כר'</v>
      </c>
    </row>
    <row r="42339" spans="1:6" x14ac:dyDescent="0.2">
      <c r="A42339" t="s">
        <v>64245</v>
      </c>
      <c r="B42339" t="s">
        <v>64243</v>
      </c>
      <c r="C42339" t="s">
        <v>1609</v>
      </c>
      <c r="D42339" t="s">
        <v>27</v>
      </c>
      <c r="E42339" t="s">
        <v>140</v>
      </c>
      <c r="F42339" s="2" t="str">
        <f>HYPERLINK("http://www.otzar.org/book.asp?16529","שמחת ישראל")</f>
        <v>שמחת ישראל</v>
      </c>
    </row>
    <row r="42340" spans="1:6" x14ac:dyDescent="0.2">
      <c r="A42340" t="s">
        <v>64245</v>
      </c>
      <c r="B42340" t="s">
        <v>23233</v>
      </c>
      <c r="C42340" t="s">
        <v>1269</v>
      </c>
      <c r="D42340" t="s">
        <v>225</v>
      </c>
      <c r="E42340" t="s">
        <v>140</v>
      </c>
      <c r="F42340" s="2" t="str">
        <f>HYPERLINK("http://www.otzar.org/book.asp?100732","שמחת ישראל")</f>
        <v>שמחת ישראל</v>
      </c>
    </row>
    <row r="42341" spans="1:6" x14ac:dyDescent="0.2">
      <c r="A42341" t="s">
        <v>64246</v>
      </c>
      <c r="B42341" t="s">
        <v>64247</v>
      </c>
      <c r="C42341" t="s">
        <v>13</v>
      </c>
      <c r="D42341" t="s">
        <v>152</v>
      </c>
      <c r="E42341" t="s">
        <v>130</v>
      </c>
      <c r="F42341" s="2" t="str">
        <f>HYPERLINK("http://www.otzar.org/book.asp?152577","שמחת ישראל - 2 כר'")</f>
        <v>שמחת ישראל - 2 כר'</v>
      </c>
    </row>
    <row r="42342" spans="1:6" x14ac:dyDescent="0.2">
      <c r="A42342" t="s">
        <v>64248</v>
      </c>
      <c r="B42342" t="s">
        <v>10973</v>
      </c>
      <c r="C42342" t="s">
        <v>1650</v>
      </c>
      <c r="D42342" t="s">
        <v>27</v>
      </c>
      <c r="E42342" t="s">
        <v>15899</v>
      </c>
      <c r="F42342" s="2" t="str">
        <f>HYPERLINK("http://www.otzar.org/book.asp?962","שמחת כהן - 2 כר'")</f>
        <v>שמחת כהן - 2 כר'</v>
      </c>
    </row>
    <row r="42343" spans="1:6" x14ac:dyDescent="0.2">
      <c r="A42343" t="s">
        <v>64249</v>
      </c>
      <c r="B42343" t="s">
        <v>64250</v>
      </c>
      <c r="C42343" t="s">
        <v>106</v>
      </c>
      <c r="D42343" t="s">
        <v>14</v>
      </c>
      <c r="E42343" t="s">
        <v>786</v>
      </c>
      <c r="F42343" s="2" t="str">
        <f>HYPERLINK("http://www.otzar.org/book.asp?149199","שמחת כהן")</f>
        <v>שמחת כהן</v>
      </c>
    </row>
    <row r="42344" spans="1:6" x14ac:dyDescent="0.2">
      <c r="A42344" t="s">
        <v>64248</v>
      </c>
      <c r="B42344" t="s">
        <v>7973</v>
      </c>
      <c r="C42344" t="s">
        <v>767</v>
      </c>
      <c r="D42344" t="s">
        <v>7974</v>
      </c>
      <c r="E42344" t="s">
        <v>154</v>
      </c>
      <c r="F42344" s="2" t="str">
        <f>HYPERLINK("http://www.otzar.org/book.asp?190201","שמחת כהן - 2 כר'")</f>
        <v>שמחת כהן - 2 כר'</v>
      </c>
    </row>
    <row r="42345" spans="1:6" x14ac:dyDescent="0.2">
      <c r="A42345" t="s">
        <v>64249</v>
      </c>
      <c r="B42345" t="s">
        <v>64251</v>
      </c>
      <c r="C42345" t="s">
        <v>1418</v>
      </c>
      <c r="D42345" t="s">
        <v>212</v>
      </c>
      <c r="E42345" t="s">
        <v>606</v>
      </c>
      <c r="F42345" s="2" t="str">
        <f>HYPERLINK("http://www.otzar.org/book.asp?101620","שמחת כהן")</f>
        <v>שמחת כהן</v>
      </c>
    </row>
    <row r="42346" spans="1:6" x14ac:dyDescent="0.2">
      <c r="A42346" t="s">
        <v>64252</v>
      </c>
      <c r="B42346" t="s">
        <v>64253</v>
      </c>
      <c r="C42346" t="s">
        <v>129</v>
      </c>
      <c r="D42346" t="s">
        <v>52</v>
      </c>
      <c r="E42346" t="s">
        <v>186</v>
      </c>
      <c r="F42346" s="2" t="str">
        <f>HYPERLINK("http://www.otzar.org/book.asp?50040","שמחת לב - 3 כר'")</f>
        <v>שמחת לב - 3 כר'</v>
      </c>
    </row>
    <row r="42347" spans="1:6" x14ac:dyDescent="0.2">
      <c r="A42347" t="s">
        <v>64254</v>
      </c>
      <c r="B42347" t="s">
        <v>64255</v>
      </c>
      <c r="C42347" t="s">
        <v>11127</v>
      </c>
      <c r="D42347" t="s">
        <v>544</v>
      </c>
      <c r="E42347" t="s">
        <v>241</v>
      </c>
      <c r="F42347" s="2" t="str">
        <f>HYPERLINK("http://www.otzar.org/book.asp?146736","שמחת לבב")</f>
        <v>שמחת לבב</v>
      </c>
    </row>
    <row r="42348" spans="1:6" x14ac:dyDescent="0.2">
      <c r="A42348" t="s">
        <v>64256</v>
      </c>
      <c r="B42348" t="s">
        <v>64257</v>
      </c>
      <c r="C42348" t="s">
        <v>114</v>
      </c>
      <c r="D42348" t="s">
        <v>657</v>
      </c>
      <c r="E42348" t="s">
        <v>144</v>
      </c>
      <c r="F42348" s="2" t="str">
        <f>HYPERLINK("http://www.otzar.org/book.asp?159505","שמחת לבב - 2 כר'")</f>
        <v>שמחת לבב - 2 כר'</v>
      </c>
    </row>
    <row r="42349" spans="1:6" x14ac:dyDescent="0.2">
      <c r="A42349" t="s">
        <v>64258</v>
      </c>
      <c r="B42349" t="s">
        <v>64259</v>
      </c>
      <c r="C42349" t="s">
        <v>68</v>
      </c>
      <c r="D42349" t="s">
        <v>90</v>
      </c>
      <c r="E42349" t="s">
        <v>202</v>
      </c>
      <c r="F42349" s="2" t="str">
        <f>HYPERLINK("http://www.otzar.org/book.asp?159142","שמחת מועדיך")</f>
        <v>שמחת מועדיך</v>
      </c>
    </row>
    <row r="42350" spans="1:6" x14ac:dyDescent="0.2">
      <c r="A42350" t="s">
        <v>64260</v>
      </c>
      <c r="B42350" t="s">
        <v>64261</v>
      </c>
      <c r="C42350" t="s">
        <v>17</v>
      </c>
      <c r="D42350" t="s">
        <v>52</v>
      </c>
      <c r="E42350" t="s">
        <v>144</v>
      </c>
      <c r="F42350" s="2" t="str">
        <f>HYPERLINK("http://www.otzar.org/book.asp?156091","שמחת מיכאל - 4 כר'")</f>
        <v>שמחת מיכאל - 4 כר'</v>
      </c>
    </row>
    <row r="42351" spans="1:6" x14ac:dyDescent="0.2">
      <c r="A42351" t="s">
        <v>64262</v>
      </c>
      <c r="B42351" t="s">
        <v>7596</v>
      </c>
      <c r="C42351" t="s">
        <v>146</v>
      </c>
      <c r="D42351" t="s">
        <v>90</v>
      </c>
      <c r="E42351" t="s">
        <v>104</v>
      </c>
      <c r="F42351" s="2" t="str">
        <f>HYPERLINK("http://www.otzar.org/book.asp?602673","שמחת משה")</f>
        <v>שמחת משה</v>
      </c>
    </row>
    <row r="42352" spans="1:6" x14ac:dyDescent="0.2">
      <c r="A42352" t="s">
        <v>64262</v>
      </c>
      <c r="B42352" t="s">
        <v>4373</v>
      </c>
      <c r="C42352" t="s">
        <v>1418</v>
      </c>
      <c r="D42352" t="s">
        <v>212</v>
      </c>
      <c r="E42352" t="s">
        <v>15</v>
      </c>
      <c r="F42352" s="2" t="str">
        <f>HYPERLINK("http://www.otzar.org/book.asp?101621","שמחת משה")</f>
        <v>שמחת משה</v>
      </c>
    </row>
    <row r="42353" spans="1:6" x14ac:dyDescent="0.2">
      <c r="A42353" t="s">
        <v>64263</v>
      </c>
      <c r="B42353" t="s">
        <v>22348</v>
      </c>
      <c r="C42353" t="s">
        <v>87</v>
      </c>
      <c r="D42353" t="s">
        <v>1356</v>
      </c>
      <c r="F42353" s="2" t="str">
        <f>HYPERLINK("http://www.otzar.org/book.asp?619621","שמחת משה - 6 כר'")</f>
        <v>שמחת משה - 6 כר'</v>
      </c>
    </row>
    <row r="42354" spans="1:6" x14ac:dyDescent="0.2">
      <c r="A42354" t="s">
        <v>64264</v>
      </c>
      <c r="B42354" t="s">
        <v>52862</v>
      </c>
      <c r="C42354" t="s">
        <v>68</v>
      </c>
      <c r="D42354" t="s">
        <v>423</v>
      </c>
      <c r="E42354" t="s">
        <v>140</v>
      </c>
      <c r="F42354" s="2" t="str">
        <f>HYPERLINK("http://www.otzar.org/book.asp?172339","שמחת עולם")</f>
        <v>שמחת עולם</v>
      </c>
    </row>
    <row r="42355" spans="1:6" x14ac:dyDescent="0.2">
      <c r="A42355" t="s">
        <v>64264</v>
      </c>
      <c r="B42355" t="s">
        <v>3935</v>
      </c>
      <c r="C42355" t="s">
        <v>1246</v>
      </c>
      <c r="D42355" t="s">
        <v>9</v>
      </c>
      <c r="E42355" t="s">
        <v>234</v>
      </c>
      <c r="F42355" s="2" t="str">
        <f>HYPERLINK("http://www.otzar.org/book.asp?100731","שמחת עולם")</f>
        <v>שמחת עולם</v>
      </c>
    </row>
    <row r="42356" spans="1:6" x14ac:dyDescent="0.2">
      <c r="A42356" t="s">
        <v>64265</v>
      </c>
      <c r="B42356" t="s">
        <v>64266</v>
      </c>
      <c r="C42356" t="s">
        <v>383</v>
      </c>
      <c r="D42356" t="s">
        <v>14</v>
      </c>
      <c r="E42356" t="s">
        <v>933</v>
      </c>
      <c r="F42356" s="2" t="str">
        <f>HYPERLINK("http://www.otzar.org/book.asp?157556","שמחת עולם - 3 כר'")</f>
        <v>שמחת עולם - 3 כר'</v>
      </c>
    </row>
    <row r="42357" spans="1:6" x14ac:dyDescent="0.2">
      <c r="A42357" t="s">
        <v>64267</v>
      </c>
      <c r="B42357" t="s">
        <v>29301</v>
      </c>
      <c r="F42357" s="2" t="str">
        <f>HYPERLINK("http://www.otzar.org/book.asp?614689","שמחת עולם - עניני נישואין בהלכה ובאגדה")</f>
        <v>שמחת עולם - עניני נישואין בהלכה ובאגדה</v>
      </c>
    </row>
    <row r="42358" spans="1:6" x14ac:dyDescent="0.2">
      <c r="A42358" t="s">
        <v>64264</v>
      </c>
      <c r="B42358" t="s">
        <v>64268</v>
      </c>
      <c r="C42358" t="s">
        <v>2243</v>
      </c>
      <c r="D42358" t="s">
        <v>76</v>
      </c>
      <c r="E42358" t="s">
        <v>64269</v>
      </c>
      <c r="F42358" s="2" t="str">
        <f>HYPERLINK("http://www.otzar.org/book.asp?104573","שמחת עולם")</f>
        <v>שמחת עולם</v>
      </c>
    </row>
    <row r="42359" spans="1:6" x14ac:dyDescent="0.2">
      <c r="A42359" t="s">
        <v>64270</v>
      </c>
      <c r="B42359" t="s">
        <v>23369</v>
      </c>
      <c r="C42359" t="s">
        <v>1625</v>
      </c>
      <c r="D42359" t="s">
        <v>1023</v>
      </c>
      <c r="E42359" t="s">
        <v>1164</v>
      </c>
      <c r="F42359" s="2" t="str">
        <f>HYPERLINK("http://www.otzar.org/book.asp?147333","שמחת פורים")</f>
        <v>שמחת פורים</v>
      </c>
    </row>
    <row r="42360" spans="1:6" x14ac:dyDescent="0.2">
      <c r="A42360" t="s">
        <v>64271</v>
      </c>
      <c r="B42360" t="s">
        <v>12648</v>
      </c>
      <c r="C42360" t="s">
        <v>151</v>
      </c>
      <c r="D42360" t="s">
        <v>14</v>
      </c>
      <c r="F42360" s="2" t="str">
        <f>HYPERLINK("http://www.otzar.org/book.asp?611449","שמחת פינחס")</f>
        <v>שמחת פינחס</v>
      </c>
    </row>
    <row r="42361" spans="1:6" x14ac:dyDescent="0.2">
      <c r="A42361" t="s">
        <v>64272</v>
      </c>
      <c r="B42361" t="s">
        <v>24073</v>
      </c>
      <c r="C42361" t="s">
        <v>422</v>
      </c>
      <c r="D42361" t="s">
        <v>21</v>
      </c>
      <c r="E42361" t="s">
        <v>144</v>
      </c>
      <c r="F42361" s="2" t="str">
        <f>HYPERLINK("http://www.otzar.org/book.asp?196617","שמחת צבי")</f>
        <v>שמחת צבי</v>
      </c>
    </row>
    <row r="42362" spans="1:6" x14ac:dyDescent="0.2">
      <c r="A42362" t="s">
        <v>64273</v>
      </c>
      <c r="B42362" t="s">
        <v>7859</v>
      </c>
      <c r="C42362" t="s">
        <v>37</v>
      </c>
      <c r="D42362" t="s">
        <v>52</v>
      </c>
      <c r="E42362" t="s">
        <v>144</v>
      </c>
      <c r="F42362" s="2" t="str">
        <f>HYPERLINK("http://www.otzar.org/book.asp?181885","שמחת שמואל - ביצה")</f>
        <v>שמחת שמואל - ביצה</v>
      </c>
    </row>
    <row r="42363" spans="1:6" x14ac:dyDescent="0.2">
      <c r="A42363" t="s">
        <v>64274</v>
      </c>
      <c r="B42363" t="s">
        <v>26953</v>
      </c>
      <c r="C42363" t="s">
        <v>68</v>
      </c>
      <c r="D42363" t="s">
        <v>14</v>
      </c>
      <c r="E42363" t="s">
        <v>15</v>
      </c>
      <c r="F42363" s="2" t="str">
        <f>HYPERLINK("http://www.otzar.org/book.asp?158512","שמחת שמואל")</f>
        <v>שמחת שמואל</v>
      </c>
    </row>
    <row r="42364" spans="1:6" x14ac:dyDescent="0.2">
      <c r="A42364" t="s">
        <v>64274</v>
      </c>
      <c r="B42364" t="s">
        <v>64275</v>
      </c>
      <c r="C42364" t="s">
        <v>51</v>
      </c>
      <c r="D42364" t="s">
        <v>90</v>
      </c>
      <c r="E42364" t="s">
        <v>165</v>
      </c>
      <c r="F42364" s="2" t="str">
        <f>HYPERLINK("http://www.otzar.org/book.asp?166456","שמחת שמואל")</f>
        <v>שמחת שמואל</v>
      </c>
    </row>
    <row r="42365" spans="1:6" x14ac:dyDescent="0.2">
      <c r="A42365" t="s">
        <v>64276</v>
      </c>
      <c r="B42365" t="s">
        <v>64276</v>
      </c>
      <c r="C42365" t="s">
        <v>2274</v>
      </c>
      <c r="D42365" t="s">
        <v>4539</v>
      </c>
      <c r="E42365" t="s">
        <v>219</v>
      </c>
      <c r="F42365" s="2" t="str">
        <f>HYPERLINK("http://www.otzar.org/book.asp?146839","שמחת תורה ליד")</f>
        <v>שמחת תורה ליד</v>
      </c>
    </row>
    <row r="42366" spans="1:6" x14ac:dyDescent="0.2">
      <c r="A42366" t="s">
        <v>64277</v>
      </c>
      <c r="B42366" t="s">
        <v>64278</v>
      </c>
      <c r="C42366" t="s">
        <v>13</v>
      </c>
      <c r="D42366" t="s">
        <v>52</v>
      </c>
      <c r="E42366" t="s">
        <v>130</v>
      </c>
      <c r="F42366" s="2" t="str">
        <f>HYPERLINK("http://www.otzar.org/book.asp?162560","שמחת תורה")</f>
        <v>שמחת תורה</v>
      </c>
    </row>
    <row r="42367" spans="1:6" x14ac:dyDescent="0.2">
      <c r="A42367" t="s">
        <v>64279</v>
      </c>
      <c r="B42367" t="s">
        <v>64280</v>
      </c>
      <c r="C42367" t="s">
        <v>422</v>
      </c>
      <c r="D42367" t="s">
        <v>14</v>
      </c>
      <c r="E42367" t="s">
        <v>84</v>
      </c>
      <c r="F42367" s="2" t="str">
        <f>HYPERLINK("http://www.otzar.org/book.asp?605770","שמחת תורה - 7 כר'")</f>
        <v>שמחת תורה - 7 כר'</v>
      </c>
    </row>
    <row r="42368" spans="1:6" x14ac:dyDescent="0.2">
      <c r="A42368" t="s">
        <v>64277</v>
      </c>
      <c r="B42368" t="s">
        <v>64281</v>
      </c>
      <c r="C42368" t="s">
        <v>6054</v>
      </c>
      <c r="D42368" t="s">
        <v>64282</v>
      </c>
      <c r="E42368" t="s">
        <v>1517</v>
      </c>
      <c r="F42368" s="2" t="str">
        <f>HYPERLINK("http://www.otzar.org/book.asp?196334","שמחת תורה")</f>
        <v>שמחת תורה</v>
      </c>
    </row>
    <row r="42369" spans="1:6" x14ac:dyDescent="0.2">
      <c r="A42369" t="s">
        <v>64283</v>
      </c>
      <c r="B42369" t="s">
        <v>20636</v>
      </c>
      <c r="C42369" t="s">
        <v>129</v>
      </c>
      <c r="D42369" t="s">
        <v>147</v>
      </c>
      <c r="E42369" t="s">
        <v>15</v>
      </c>
      <c r="F42369" s="2" t="str">
        <f>HYPERLINK("http://www.otzar.org/book.asp?150909","שמחתי באומרים לי")</f>
        <v>שמחתי באומרים לי</v>
      </c>
    </row>
    <row r="42370" spans="1:6" x14ac:dyDescent="0.2">
      <c r="A42370" t="s">
        <v>64284</v>
      </c>
      <c r="B42370" t="s">
        <v>12613</v>
      </c>
      <c r="C42370" t="s">
        <v>37</v>
      </c>
      <c r="D42370" t="s">
        <v>5421</v>
      </c>
      <c r="F42370" s="2" t="str">
        <f>HYPERLINK("http://www.otzar.org/book.asp?619051","שמטת משה")</f>
        <v>שמטת משה</v>
      </c>
    </row>
    <row r="42371" spans="1:6" x14ac:dyDescent="0.2">
      <c r="A42371" t="s">
        <v>64285</v>
      </c>
      <c r="B42371" t="s">
        <v>64286</v>
      </c>
      <c r="C42371" t="s">
        <v>129</v>
      </c>
      <c r="D42371" t="s">
        <v>14</v>
      </c>
      <c r="F42371" s="2" t="str">
        <f>HYPERLINK("http://www.otzar.org/book.asp?181082","שמיטה ברורה")</f>
        <v>שמיטה ברורה</v>
      </c>
    </row>
    <row r="42372" spans="1:6" x14ac:dyDescent="0.2">
      <c r="A42372" t="s">
        <v>64287</v>
      </c>
      <c r="B42372" t="s">
        <v>64288</v>
      </c>
      <c r="C42372" t="s">
        <v>37</v>
      </c>
      <c r="D42372" t="s">
        <v>108</v>
      </c>
      <c r="F42372" s="2" t="str">
        <f>HYPERLINK("http://www.otzar.org/book.asp?198255","שמיטה יום יום")</f>
        <v>שמיטה יום יום</v>
      </c>
    </row>
    <row r="42373" spans="1:6" x14ac:dyDescent="0.2">
      <c r="A42373" t="s">
        <v>64289</v>
      </c>
      <c r="B42373" t="s">
        <v>64290</v>
      </c>
      <c r="C42373" t="s">
        <v>23</v>
      </c>
      <c r="D42373" t="s">
        <v>4352</v>
      </c>
      <c r="E42373" t="s">
        <v>15</v>
      </c>
      <c r="F42373" s="2" t="str">
        <f>HYPERLINK("http://www.otzar.org/book.asp?193137","שמיטה כהלכתה לבני חו""ל")</f>
        <v>שמיטה כהלכתה לבני חו"ל</v>
      </c>
    </row>
    <row r="42374" spans="1:6" x14ac:dyDescent="0.2">
      <c r="A42374" t="s">
        <v>64291</v>
      </c>
      <c r="B42374" t="s">
        <v>4606</v>
      </c>
      <c r="C42374" t="s">
        <v>334</v>
      </c>
      <c r="D42374" t="s">
        <v>52</v>
      </c>
      <c r="E42374" t="s">
        <v>3567</v>
      </c>
      <c r="F42374" s="2" t="str">
        <f>HYPERLINK("http://www.otzar.org/book.asp?5008","שמיטה כהלכתה")</f>
        <v>שמיטה כהלכתה</v>
      </c>
    </row>
    <row r="42375" spans="1:6" x14ac:dyDescent="0.2">
      <c r="A42375" t="s">
        <v>64292</v>
      </c>
      <c r="B42375" t="s">
        <v>206</v>
      </c>
      <c r="C42375" t="s">
        <v>129</v>
      </c>
      <c r="D42375" t="s">
        <v>367</v>
      </c>
      <c r="E42375" t="s">
        <v>15</v>
      </c>
      <c r="F42375" s="2" t="str">
        <f>HYPERLINK("http://www.otzar.org/book.asp?60552","שמיטה כמצותה - 2 כר'")</f>
        <v>שמיטה כמצותה - 2 כר'</v>
      </c>
    </row>
    <row r="42376" spans="1:6" x14ac:dyDescent="0.2">
      <c r="A42376" t="s">
        <v>64293</v>
      </c>
      <c r="B42376" t="s">
        <v>13135</v>
      </c>
      <c r="C42376" t="s">
        <v>313</v>
      </c>
      <c r="D42376" t="s">
        <v>52</v>
      </c>
      <c r="E42376" t="s">
        <v>3489</v>
      </c>
      <c r="F42376" s="2" t="str">
        <f>HYPERLINK("http://www.otzar.org/book.asp?84710","שמיטה להשם")</f>
        <v>שמיטה להשם</v>
      </c>
    </row>
    <row r="42377" spans="1:6" x14ac:dyDescent="0.2">
      <c r="A42377" t="s">
        <v>64294</v>
      </c>
      <c r="B42377" t="s">
        <v>64295</v>
      </c>
      <c r="C42377" t="s">
        <v>17</v>
      </c>
      <c r="D42377" t="s">
        <v>14</v>
      </c>
      <c r="E42377" t="s">
        <v>15</v>
      </c>
      <c r="F42377" s="2" t="str">
        <f>HYPERLINK("http://www.otzar.org/book.asp?608093","שמיטה תדריך למודי")</f>
        <v>שמיטה תדריך למודי</v>
      </c>
    </row>
    <row r="42378" spans="1:6" x14ac:dyDescent="0.2">
      <c r="A42378" t="s">
        <v>64296</v>
      </c>
      <c r="B42378" t="s">
        <v>64296</v>
      </c>
      <c r="C42378" t="s">
        <v>1609</v>
      </c>
      <c r="D42378" t="s">
        <v>27</v>
      </c>
      <c r="E42378" t="s">
        <v>15</v>
      </c>
      <c r="F42378" s="2" t="str">
        <f>HYPERLINK("http://www.otzar.org/book.asp?181060","שמיטה")</f>
        <v>שמיטה</v>
      </c>
    </row>
    <row r="42379" spans="1:6" x14ac:dyDescent="0.2">
      <c r="A42379" t="s">
        <v>64297</v>
      </c>
      <c r="B42379" t="s">
        <v>13438</v>
      </c>
      <c r="C42379" t="s">
        <v>13</v>
      </c>
      <c r="D42379" t="s">
        <v>52</v>
      </c>
      <c r="E42379" t="s">
        <v>15</v>
      </c>
      <c r="F42379" s="2" t="str">
        <f>HYPERLINK("http://www.otzar.org/book.asp?62994","שמיטת כספים כהלכתה")</f>
        <v>שמיטת כספים כהלכתה</v>
      </c>
    </row>
    <row r="42380" spans="1:6" x14ac:dyDescent="0.2">
      <c r="A42380" t="s">
        <v>64298</v>
      </c>
      <c r="B42380" t="s">
        <v>8947</v>
      </c>
      <c r="C42380" t="s">
        <v>767</v>
      </c>
      <c r="D42380" t="s">
        <v>14</v>
      </c>
      <c r="E42380" t="s">
        <v>241</v>
      </c>
      <c r="F42380" s="2" t="str">
        <f>HYPERLINK("http://www.otzar.org/book.asp?62633","שמים וארץ קנין אחד")</f>
        <v>שמים וארץ קנין אחד</v>
      </c>
    </row>
    <row r="42381" spans="1:6" x14ac:dyDescent="0.2">
      <c r="A42381" t="s">
        <v>64299</v>
      </c>
      <c r="B42381" t="s">
        <v>17467</v>
      </c>
      <c r="C42381" t="s">
        <v>1921</v>
      </c>
      <c r="D42381" t="s">
        <v>6801</v>
      </c>
      <c r="E42381" t="s">
        <v>241</v>
      </c>
      <c r="F42381" s="2" t="str">
        <f>HYPERLINK("http://www.otzar.org/book.asp?12211","שמים חדשים")</f>
        <v>שמים חדשים</v>
      </c>
    </row>
    <row r="42382" spans="1:6" x14ac:dyDescent="0.2">
      <c r="A42382" t="s">
        <v>64300</v>
      </c>
      <c r="B42382" t="s">
        <v>64301</v>
      </c>
      <c r="C42382" t="s">
        <v>946</v>
      </c>
      <c r="D42382" t="s">
        <v>9</v>
      </c>
      <c r="E42382" t="s">
        <v>15</v>
      </c>
      <c r="F42382" s="2" t="str">
        <f>HYPERLINK("http://www.otzar.org/book.asp?63238","שמירה טובה")</f>
        <v>שמירה טובה</v>
      </c>
    </row>
    <row r="42383" spans="1:6" x14ac:dyDescent="0.2">
      <c r="A42383" t="s">
        <v>64302</v>
      </c>
      <c r="B42383" t="s">
        <v>3384</v>
      </c>
      <c r="C42383" t="s">
        <v>383</v>
      </c>
      <c r="D42383" t="s">
        <v>14</v>
      </c>
      <c r="E42383" t="s">
        <v>1626</v>
      </c>
      <c r="F42383" s="2" t="str">
        <f>HYPERLINK("http://www.otzar.org/book.asp?60645","שמירה לחייל")</f>
        <v>שמירה לחייל</v>
      </c>
    </row>
    <row r="42384" spans="1:6" x14ac:dyDescent="0.2">
      <c r="A42384" t="s">
        <v>64303</v>
      </c>
      <c r="B42384" t="s">
        <v>1800</v>
      </c>
      <c r="C42384" t="s">
        <v>989</v>
      </c>
      <c r="D42384" t="s">
        <v>14</v>
      </c>
      <c r="E42384" t="s">
        <v>1626</v>
      </c>
      <c r="F42384" s="2" t="str">
        <f>HYPERLINK("http://www.otzar.org/book.asp?174385","שמירה לחיים")</f>
        <v>שמירה לחיים</v>
      </c>
    </row>
    <row r="42385" spans="1:6" x14ac:dyDescent="0.2">
      <c r="A42385" t="s">
        <v>64304</v>
      </c>
      <c r="B42385" t="s">
        <v>64305</v>
      </c>
      <c r="C42385" t="s">
        <v>1937</v>
      </c>
      <c r="D42385" t="s">
        <v>56</v>
      </c>
      <c r="E42385" t="s">
        <v>674</v>
      </c>
      <c r="F42385" s="2" t="str">
        <f>HYPERLINK("http://www.otzar.org/book.asp?147306","שמירות המצות")</f>
        <v>שמירות המצות</v>
      </c>
    </row>
    <row r="42386" spans="1:6" x14ac:dyDescent="0.2">
      <c r="A42386" t="s">
        <v>64306</v>
      </c>
      <c r="B42386" t="s">
        <v>1298</v>
      </c>
      <c r="C42386" t="s">
        <v>1166</v>
      </c>
      <c r="D42386" t="s">
        <v>2295</v>
      </c>
      <c r="E42386" t="s">
        <v>1626</v>
      </c>
      <c r="F42386" s="2" t="str">
        <f>HYPERLINK("http://www.otzar.org/book.asp?52003","שמירות וסגולות נפלאות")</f>
        <v>שמירות וסגולות נפלאות</v>
      </c>
    </row>
    <row r="42387" spans="1:6" x14ac:dyDescent="0.2">
      <c r="A42387" t="s">
        <v>64307</v>
      </c>
      <c r="B42387" t="s">
        <v>64308</v>
      </c>
      <c r="C42387" t="s">
        <v>23</v>
      </c>
      <c r="D42387" t="s">
        <v>90</v>
      </c>
      <c r="F42387" s="2" t="str">
        <f>HYPERLINK("http://www.otzar.org/book.asp?616740","שמירת דעת")</f>
        <v>שמירת דעת</v>
      </c>
    </row>
    <row r="42388" spans="1:6" x14ac:dyDescent="0.2">
      <c r="A42388" t="s">
        <v>64309</v>
      </c>
      <c r="B42388" t="s">
        <v>64310</v>
      </c>
      <c r="C42388" t="s">
        <v>17</v>
      </c>
      <c r="D42388" t="s">
        <v>39080</v>
      </c>
      <c r="E42388" t="s">
        <v>674</v>
      </c>
      <c r="F42388" s="2" t="str">
        <f>HYPERLINK("http://www.otzar.org/book.asp?196189","שמירת הבריאות לרמב""ם - פירוש רבי יעקב צהלון הרופא")</f>
        <v>שמירת הבריאות לרמב"ם - פירוש רבי יעקב צהלון הרופא</v>
      </c>
    </row>
    <row r="42389" spans="1:6" x14ac:dyDescent="0.2">
      <c r="A42389" t="s">
        <v>64311</v>
      </c>
      <c r="B42389" t="s">
        <v>26000</v>
      </c>
      <c r="C42389" t="s">
        <v>775</v>
      </c>
      <c r="D42389" t="s">
        <v>14</v>
      </c>
      <c r="E42389" t="s">
        <v>140</v>
      </c>
      <c r="F42389" s="2" t="str">
        <f>HYPERLINK("http://www.otzar.org/book.asp?60820","שמירת הברית - 2 כר'")</f>
        <v>שמירת הברית - 2 כר'</v>
      </c>
    </row>
    <row r="42390" spans="1:6" x14ac:dyDescent="0.2">
      <c r="A42390" t="s">
        <v>64312</v>
      </c>
      <c r="B42390" t="s">
        <v>2885</v>
      </c>
      <c r="C42390" t="s">
        <v>176</v>
      </c>
      <c r="D42390" t="s">
        <v>14</v>
      </c>
      <c r="E42390" t="s">
        <v>703</v>
      </c>
      <c r="F42390" s="2" t="str">
        <f>HYPERLINK("http://www.otzar.org/book.asp?60821","שמירת הזמן")</f>
        <v>שמירת הזמן</v>
      </c>
    </row>
    <row r="42391" spans="1:6" x14ac:dyDescent="0.2">
      <c r="A42391" t="s">
        <v>64313</v>
      </c>
      <c r="B42391" t="s">
        <v>64314</v>
      </c>
      <c r="C42391" t="s">
        <v>17</v>
      </c>
      <c r="D42391" t="s">
        <v>657</v>
      </c>
      <c r="E42391" t="s">
        <v>11851</v>
      </c>
      <c r="F42391" s="2" t="str">
        <f>HYPERLINK("http://www.otzar.org/book.asp?152263","שמירת החיים")</f>
        <v>שמירת החיים</v>
      </c>
    </row>
    <row r="42392" spans="1:6" x14ac:dyDescent="0.2">
      <c r="A42392" t="s">
        <v>64315</v>
      </c>
      <c r="B42392" t="s">
        <v>1978</v>
      </c>
      <c r="C42392" t="s">
        <v>1954</v>
      </c>
      <c r="D42392" t="s">
        <v>27</v>
      </c>
      <c r="E42392" t="s">
        <v>15</v>
      </c>
      <c r="F42392" s="2" t="str">
        <f>HYPERLINK("http://www.otzar.org/book.asp?23676","שמירת הלשון")</f>
        <v>שמירת הלשון</v>
      </c>
    </row>
    <row r="42393" spans="1:6" x14ac:dyDescent="0.2">
      <c r="A42393" t="s">
        <v>64316</v>
      </c>
      <c r="B42393" t="s">
        <v>64317</v>
      </c>
      <c r="C42393" t="s">
        <v>133</v>
      </c>
      <c r="D42393" t="s">
        <v>118</v>
      </c>
      <c r="E42393" t="s">
        <v>15</v>
      </c>
      <c r="F42393" s="2" t="str">
        <f>HYPERLINK("http://www.otzar.org/book.asp?176346","שמירת המועד כהלכתו")</f>
        <v>שמירת המועד כהלכתו</v>
      </c>
    </row>
    <row r="42394" spans="1:6" x14ac:dyDescent="0.2">
      <c r="A42394" t="s">
        <v>64318</v>
      </c>
      <c r="B42394" t="s">
        <v>64319</v>
      </c>
      <c r="C42394" t="s">
        <v>422</v>
      </c>
      <c r="D42394" t="s">
        <v>273</v>
      </c>
      <c r="E42394" t="s">
        <v>64320</v>
      </c>
      <c r="F42394" s="2" t="str">
        <f>HYPERLINK("http://www.otzar.org/book.asp?150931","שמירת המועדים")</f>
        <v>שמירת המועדים</v>
      </c>
    </row>
    <row r="42395" spans="1:6" x14ac:dyDescent="0.2">
      <c r="A42395" t="s">
        <v>64321</v>
      </c>
      <c r="B42395" t="s">
        <v>36306</v>
      </c>
      <c r="C42395" t="s">
        <v>411</v>
      </c>
      <c r="D42395" t="s">
        <v>21</v>
      </c>
      <c r="E42395" t="s">
        <v>104</v>
      </c>
      <c r="F42395" s="2" t="str">
        <f>HYPERLINK("http://www.otzar.org/book.asp?600683","שמירת המקדש")</f>
        <v>שמירת המקדש</v>
      </c>
    </row>
    <row r="42396" spans="1:6" x14ac:dyDescent="0.2">
      <c r="A42396" t="s">
        <v>64322</v>
      </c>
      <c r="B42396" t="s">
        <v>64323</v>
      </c>
      <c r="C42396" t="s">
        <v>366</v>
      </c>
      <c r="D42396" t="s">
        <v>14</v>
      </c>
      <c r="E42396" t="s">
        <v>15</v>
      </c>
      <c r="F42396" s="2" t="str">
        <f>HYPERLINK("http://www.otzar.org/book.asp?606390","שמירת הנפש כהלכתה")</f>
        <v>שמירת הנפש כהלכתה</v>
      </c>
    </row>
    <row r="42397" spans="1:6" x14ac:dyDescent="0.2">
      <c r="A42397" t="s">
        <v>64324</v>
      </c>
      <c r="B42397" t="s">
        <v>5732</v>
      </c>
      <c r="C42397" t="s">
        <v>506</v>
      </c>
      <c r="D42397" t="s">
        <v>10540</v>
      </c>
      <c r="E42397" t="s">
        <v>15</v>
      </c>
      <c r="F42397" s="2" t="str">
        <f>HYPERLINK("http://www.otzar.org/book.asp?149185","שמירת הנפש עם הגהות שמירה מעליא")</f>
        <v>שמירת הנפש עם הגהות שמירה מעליא</v>
      </c>
    </row>
    <row r="42398" spans="1:6" x14ac:dyDescent="0.2">
      <c r="A42398" t="s">
        <v>64325</v>
      </c>
      <c r="B42398" t="s">
        <v>5732</v>
      </c>
      <c r="C42398" t="s">
        <v>1609</v>
      </c>
      <c r="D42398" t="s">
        <v>27</v>
      </c>
      <c r="E42398" t="s">
        <v>104</v>
      </c>
      <c r="F42398" s="2" t="str">
        <f>HYPERLINK("http://www.otzar.org/book.asp?21984","שמירת הנפש - 2 כר'")</f>
        <v>שמירת הנפש - 2 כר'</v>
      </c>
    </row>
    <row r="42399" spans="1:6" x14ac:dyDescent="0.2">
      <c r="A42399" t="s">
        <v>64326</v>
      </c>
      <c r="B42399" t="s">
        <v>1956</v>
      </c>
      <c r="C42399" t="s">
        <v>576</v>
      </c>
      <c r="D42399" t="s">
        <v>412</v>
      </c>
      <c r="E42399" t="s">
        <v>241</v>
      </c>
      <c r="F42399" s="2" t="str">
        <f>HYPERLINK("http://www.otzar.org/book.asp?100730","שמירת הנפשות")</f>
        <v>שמירת הנפשות</v>
      </c>
    </row>
    <row r="42400" spans="1:6" x14ac:dyDescent="0.2">
      <c r="A42400" t="s">
        <v>64327</v>
      </c>
      <c r="B42400" t="s">
        <v>13135</v>
      </c>
      <c r="C42400" t="s">
        <v>1208</v>
      </c>
      <c r="D42400" t="s">
        <v>52</v>
      </c>
      <c r="E42400" t="s">
        <v>15</v>
      </c>
      <c r="F42400" s="2" t="str">
        <f>HYPERLINK("http://www.otzar.org/book.asp?61779","שמירת השבת")</f>
        <v>שמירת השבת</v>
      </c>
    </row>
    <row r="42401" spans="1:6" x14ac:dyDescent="0.2">
      <c r="A42401" t="s">
        <v>64328</v>
      </c>
      <c r="B42401" t="s">
        <v>42923</v>
      </c>
      <c r="C42401" t="s">
        <v>422</v>
      </c>
      <c r="D42401" t="s">
        <v>1156</v>
      </c>
      <c r="E42401" t="s">
        <v>148</v>
      </c>
      <c r="F42401" s="2" t="str">
        <f>HYPERLINK("http://www.otzar.org/book.asp?85463","שמירת יו""ט כהלכתו")</f>
        <v>שמירת יו"ט כהלכתו</v>
      </c>
    </row>
    <row r="42402" spans="1:6" x14ac:dyDescent="0.2">
      <c r="A42402" t="s">
        <v>64329</v>
      </c>
      <c r="B42402" t="s">
        <v>10058</v>
      </c>
      <c r="C42402" t="s">
        <v>523</v>
      </c>
      <c r="D42402" t="s">
        <v>486</v>
      </c>
      <c r="E42402" t="s">
        <v>15</v>
      </c>
      <c r="F42402" s="2" t="str">
        <f>HYPERLINK("http://www.otzar.org/book.asp?157196","שמירת נזיקין")</f>
        <v>שמירת נזיקין</v>
      </c>
    </row>
    <row r="42403" spans="1:6" x14ac:dyDescent="0.2">
      <c r="A42403" t="s">
        <v>64330</v>
      </c>
      <c r="B42403" t="s">
        <v>48174</v>
      </c>
      <c r="C42403" t="s">
        <v>17</v>
      </c>
      <c r="D42403" t="s">
        <v>52</v>
      </c>
      <c r="E42403" t="s">
        <v>15</v>
      </c>
      <c r="F42403" s="2" t="str">
        <f>HYPERLINK("http://www.otzar.org/book.asp?52847","שמירת נפש")</f>
        <v>שמירת נפש</v>
      </c>
    </row>
    <row r="42404" spans="1:6" x14ac:dyDescent="0.2">
      <c r="A42404" t="s">
        <v>64331</v>
      </c>
      <c r="B42404" t="s">
        <v>21578</v>
      </c>
      <c r="C42404" t="s">
        <v>151</v>
      </c>
      <c r="D42404" t="s">
        <v>1153</v>
      </c>
      <c r="E42404" t="s">
        <v>15</v>
      </c>
      <c r="F42404" s="2" t="str">
        <f>HYPERLINK("http://www.otzar.org/book.asp?623724","שמירת עינים כהלכה")</f>
        <v>שמירת עינים כהלכה</v>
      </c>
    </row>
    <row r="42405" spans="1:6" x14ac:dyDescent="0.2">
      <c r="A42405" t="s">
        <v>64332</v>
      </c>
      <c r="B42405" t="s">
        <v>26204</v>
      </c>
      <c r="C42405" t="s">
        <v>68</v>
      </c>
      <c r="D42405" t="s">
        <v>14</v>
      </c>
      <c r="F42405" s="2" t="str">
        <f>HYPERLINK("http://www.otzar.org/book.asp?164201","שמירת שבת כהלכתה - 3 כר'")</f>
        <v>שמירת שבת כהלכתה - 3 כר'</v>
      </c>
    </row>
    <row r="42406" spans="1:6" x14ac:dyDescent="0.2">
      <c r="A42406" t="s">
        <v>64333</v>
      </c>
      <c r="B42406" t="s">
        <v>12210</v>
      </c>
      <c r="C42406" t="s">
        <v>37</v>
      </c>
      <c r="D42406" t="s">
        <v>21</v>
      </c>
      <c r="F42406" s="2" t="str">
        <f>HYPERLINK("http://www.otzar.org/book.asp?197809","שמירת שבת - הלכה סדורה")</f>
        <v>שמירת שבת - הלכה סדורה</v>
      </c>
    </row>
    <row r="42407" spans="1:6" x14ac:dyDescent="0.2">
      <c r="A42407" t="s">
        <v>64334</v>
      </c>
      <c r="B42407" t="s">
        <v>4733</v>
      </c>
      <c r="C42407" t="s">
        <v>160</v>
      </c>
      <c r="D42407" t="s">
        <v>9</v>
      </c>
      <c r="E42407" t="s">
        <v>246</v>
      </c>
      <c r="F42407" s="2" t="str">
        <f>HYPERLINK("http://www.otzar.org/book.asp?103755","שמירת שבת")</f>
        <v>שמירת שבת</v>
      </c>
    </row>
    <row r="42408" spans="1:6" x14ac:dyDescent="0.2">
      <c r="A42408" t="s">
        <v>64335</v>
      </c>
      <c r="B42408" t="s">
        <v>64336</v>
      </c>
      <c r="C42408" t="s">
        <v>37</v>
      </c>
      <c r="D42408" t="s">
        <v>21</v>
      </c>
      <c r="E42408" t="s">
        <v>148</v>
      </c>
      <c r="F42408" s="2" t="str">
        <f>HYPERLINK("http://www.otzar.org/book.asp?197254","שמך אברהם")</f>
        <v>שמך אברהם</v>
      </c>
    </row>
    <row r="42409" spans="1:6" x14ac:dyDescent="0.2">
      <c r="A42409" t="s">
        <v>64337</v>
      </c>
      <c r="B42409" t="s">
        <v>136</v>
      </c>
      <c r="C42409" t="s">
        <v>422</v>
      </c>
      <c r="D42409" t="s">
        <v>14</v>
      </c>
      <c r="F42409" s="2" t="str">
        <f>HYPERLINK("http://www.otzar.org/book.asp?190036","שמך לא שכחנו - 2 כר'")</f>
        <v>שמך לא שכחנו - 2 כר'</v>
      </c>
    </row>
    <row r="42410" spans="1:6" x14ac:dyDescent="0.2">
      <c r="A42410" t="s">
        <v>64338</v>
      </c>
      <c r="B42410" t="s">
        <v>10640</v>
      </c>
      <c r="C42410" t="s">
        <v>20</v>
      </c>
      <c r="D42410" t="s">
        <v>14</v>
      </c>
      <c r="E42410" t="s">
        <v>15</v>
      </c>
      <c r="F42410" s="2" t="str">
        <f>HYPERLINK("http://www.otzar.org/book.asp?173607","שמלה חדשה ותבואות שור &lt;המבואר&gt; - 2 כר'")</f>
        <v>שמלה חדשה ותבואות שור &lt;המבואר&gt; - 2 כר'</v>
      </c>
    </row>
    <row r="42411" spans="1:6" x14ac:dyDescent="0.2">
      <c r="A42411" t="s">
        <v>64339</v>
      </c>
      <c r="B42411" t="s">
        <v>64340</v>
      </c>
      <c r="C42411" t="s">
        <v>26</v>
      </c>
      <c r="D42411" t="s">
        <v>14</v>
      </c>
      <c r="E42411" t="s">
        <v>15</v>
      </c>
      <c r="F42411" s="2" t="str">
        <f>HYPERLINK("http://www.otzar.org/book.asp?172185","שמלה חדשה עם לוטה בשמלה")</f>
        <v>שמלה חדשה עם לוטה בשמלה</v>
      </c>
    </row>
    <row r="42412" spans="1:6" x14ac:dyDescent="0.2">
      <c r="A42412" t="s">
        <v>64341</v>
      </c>
      <c r="B42412" t="s">
        <v>64342</v>
      </c>
      <c r="C42412" t="s">
        <v>1208</v>
      </c>
      <c r="D42412" t="s">
        <v>14</v>
      </c>
      <c r="E42412" t="s">
        <v>15</v>
      </c>
      <c r="F42412" s="2" t="str">
        <f>HYPERLINK("http://www.otzar.org/book.asp?168100","שמלה חדשה עם מטה אשר &lt;מהדורה חדשה&gt;")</f>
        <v>שמלה חדשה עם מטה אשר &lt;מהדורה חדשה&gt;</v>
      </c>
    </row>
    <row r="42413" spans="1:6" x14ac:dyDescent="0.2">
      <c r="A42413" t="s">
        <v>64343</v>
      </c>
      <c r="B42413" t="s">
        <v>64342</v>
      </c>
      <c r="C42413" t="s">
        <v>8</v>
      </c>
      <c r="D42413" t="s">
        <v>929</v>
      </c>
      <c r="E42413" t="s">
        <v>803</v>
      </c>
      <c r="F42413" s="2" t="str">
        <f>HYPERLINK("http://www.otzar.org/book.asp?9048","שמלה חדשה עם מטה אשר")</f>
        <v>שמלה חדשה עם מטה אשר</v>
      </c>
    </row>
    <row r="42414" spans="1:6" x14ac:dyDescent="0.2">
      <c r="A42414" t="s">
        <v>64344</v>
      </c>
      <c r="B42414" t="s">
        <v>10640</v>
      </c>
      <c r="C42414" t="s">
        <v>64345</v>
      </c>
      <c r="D42414" t="s">
        <v>60</v>
      </c>
      <c r="E42414" t="s">
        <v>15</v>
      </c>
      <c r="F42414" s="2" t="str">
        <f>HYPERLINK("http://www.otzar.org/book.asp?168763","שמלה חדשה - 3 כר'")</f>
        <v>שמלה חדשה - 3 כר'</v>
      </c>
    </row>
    <row r="42415" spans="1:6" x14ac:dyDescent="0.2">
      <c r="A42415" t="s">
        <v>64346</v>
      </c>
      <c r="B42415" t="s">
        <v>64347</v>
      </c>
      <c r="C42415" t="s">
        <v>51</v>
      </c>
      <c r="D42415" t="s">
        <v>90</v>
      </c>
      <c r="E42415" t="s">
        <v>104</v>
      </c>
      <c r="F42415" s="2" t="str">
        <f>HYPERLINK("http://www.otzar.org/book.asp?166375","שמלה למשה")</f>
        <v>שמלה למשה</v>
      </c>
    </row>
    <row r="42416" spans="1:6" x14ac:dyDescent="0.2">
      <c r="A42416" t="s">
        <v>64348</v>
      </c>
      <c r="B42416" t="s">
        <v>42135</v>
      </c>
      <c r="C42416" t="s">
        <v>129</v>
      </c>
      <c r="D42416" t="s">
        <v>14</v>
      </c>
      <c r="E42416" t="s">
        <v>158</v>
      </c>
      <c r="F42416" s="2" t="str">
        <f>HYPERLINK("http://www.otzar.org/book.asp?157744","שמלת אליעזר - 2 כר'")</f>
        <v>שמלת אליעזר - 2 כר'</v>
      </c>
    </row>
    <row r="42417" spans="1:6" x14ac:dyDescent="0.2">
      <c r="A42417" t="s">
        <v>64349</v>
      </c>
      <c r="B42417" t="s">
        <v>5616</v>
      </c>
      <c r="C42417" t="s">
        <v>48813</v>
      </c>
      <c r="D42417" t="s">
        <v>2303</v>
      </c>
      <c r="E42417" t="s">
        <v>8786</v>
      </c>
      <c r="F42417" s="2" t="str">
        <f>HYPERLINK("http://www.otzar.org/book.asp?840","שמלת בנימין &lt;נחלת בנימין&gt;")</f>
        <v>שמלת בנימין &lt;נחלת בנימין&gt;</v>
      </c>
    </row>
    <row r="42418" spans="1:6" x14ac:dyDescent="0.2">
      <c r="A42418" t="s">
        <v>64350</v>
      </c>
      <c r="B42418" t="s">
        <v>45058</v>
      </c>
      <c r="C42418" t="s">
        <v>11298</v>
      </c>
      <c r="D42418" t="s">
        <v>403</v>
      </c>
      <c r="E42418" t="s">
        <v>148</v>
      </c>
      <c r="F42418" s="2" t="str">
        <f>HYPERLINK("http://www.otzar.org/book.asp?101854","שמלת בנימין - 2 כר'")</f>
        <v>שמלת בנימין - 2 כר'</v>
      </c>
    </row>
    <row r="42419" spans="1:6" x14ac:dyDescent="0.2">
      <c r="A42419" t="s">
        <v>64351</v>
      </c>
      <c r="B42419" t="s">
        <v>64352</v>
      </c>
      <c r="C42419" t="s">
        <v>37</v>
      </c>
      <c r="D42419" t="s">
        <v>21</v>
      </c>
      <c r="E42419" t="s">
        <v>104</v>
      </c>
      <c r="F42419" s="2" t="str">
        <f>HYPERLINK("http://www.otzar.org/book.asp?191294","שמם אדם")</f>
        <v>שמם אדם</v>
      </c>
    </row>
    <row r="42420" spans="1:6" x14ac:dyDescent="0.2">
      <c r="A42420" t="s">
        <v>64353</v>
      </c>
      <c r="B42420" t="s">
        <v>24983</v>
      </c>
      <c r="C42420" t="s">
        <v>151</v>
      </c>
      <c r="D42420" t="s">
        <v>5172</v>
      </c>
      <c r="F42420" s="2" t="str">
        <f>HYPERLINK("http://www.otzar.org/book.asp?621836","שמן אהרן - א")</f>
        <v>שמן אהרן - א</v>
      </c>
    </row>
    <row r="42421" spans="1:6" x14ac:dyDescent="0.2">
      <c r="A42421" t="s">
        <v>64354</v>
      </c>
      <c r="B42421" t="s">
        <v>43440</v>
      </c>
      <c r="C42421" t="s">
        <v>68</v>
      </c>
      <c r="D42421" t="s">
        <v>14</v>
      </c>
      <c r="E42421" t="s">
        <v>158</v>
      </c>
      <c r="F42421" s="2" t="str">
        <f>HYPERLINK("http://www.otzar.org/book.asp?159388","שמן אפרסמון &lt;מהדורה חדשה&gt; - 2 כר'")</f>
        <v>שמן אפרסמון &lt;מהדורה חדשה&gt; - 2 כר'</v>
      </c>
    </row>
    <row r="42422" spans="1:6" x14ac:dyDescent="0.2">
      <c r="A42422" t="s">
        <v>64355</v>
      </c>
      <c r="B42422" t="s">
        <v>20402</v>
      </c>
      <c r="C42422" t="s">
        <v>523</v>
      </c>
      <c r="D42422" t="s">
        <v>14</v>
      </c>
      <c r="E42422" t="s">
        <v>154</v>
      </c>
      <c r="F42422" s="2" t="str">
        <f>HYPERLINK("http://www.otzar.org/book.asp?145076","שמן אפרסמון - 2 כר'")</f>
        <v>שמן אפרסמון - 2 כר'</v>
      </c>
    </row>
    <row r="42423" spans="1:6" x14ac:dyDescent="0.2">
      <c r="A42423" t="s">
        <v>64356</v>
      </c>
      <c r="B42423" t="s">
        <v>43440</v>
      </c>
      <c r="C42423" t="s">
        <v>1096</v>
      </c>
      <c r="D42423" t="s">
        <v>379</v>
      </c>
      <c r="E42423" t="s">
        <v>158</v>
      </c>
      <c r="F42423" s="2" t="str">
        <f>HYPERLINK("http://www.otzar.org/book.asp?17410","שמן אפרסמון")</f>
        <v>שמן אפרסמון</v>
      </c>
    </row>
    <row r="42424" spans="1:6" x14ac:dyDescent="0.2">
      <c r="A42424" t="s">
        <v>64356</v>
      </c>
      <c r="B42424" t="s">
        <v>3454</v>
      </c>
      <c r="C42424" t="s">
        <v>244</v>
      </c>
      <c r="D42424" t="s">
        <v>21</v>
      </c>
      <c r="E42424" t="s">
        <v>234</v>
      </c>
      <c r="F42424" s="2" t="str">
        <f>HYPERLINK("http://www.otzar.org/book.asp?601125","שמן אפרסמון")</f>
        <v>שמן אפרסמון</v>
      </c>
    </row>
    <row r="42425" spans="1:6" x14ac:dyDescent="0.2">
      <c r="A42425" t="s">
        <v>64357</v>
      </c>
      <c r="B42425" t="s">
        <v>64358</v>
      </c>
      <c r="C42425" t="s">
        <v>411</v>
      </c>
      <c r="D42425" t="s">
        <v>1511</v>
      </c>
      <c r="E42425" t="s">
        <v>15</v>
      </c>
      <c r="F42425" s="2" t="str">
        <f>HYPERLINK("http://www.otzar.org/book.asp?171916","שמן ברכה")</f>
        <v>שמן ברכה</v>
      </c>
    </row>
    <row r="42426" spans="1:6" x14ac:dyDescent="0.2">
      <c r="A42426" t="s">
        <v>64359</v>
      </c>
      <c r="B42426" t="s">
        <v>2975</v>
      </c>
      <c r="C42426" t="s">
        <v>313</v>
      </c>
      <c r="D42426" t="s">
        <v>52</v>
      </c>
      <c r="E42426" t="s">
        <v>84</v>
      </c>
      <c r="F42426" s="2" t="str">
        <f>HYPERLINK("http://www.otzar.org/book.asp?161722","שמן הטוב - 5 כר'")</f>
        <v>שמן הטוב - 5 כר'</v>
      </c>
    </row>
    <row r="42427" spans="1:6" x14ac:dyDescent="0.2">
      <c r="A42427" t="s">
        <v>64360</v>
      </c>
      <c r="B42427" t="s">
        <v>64361</v>
      </c>
      <c r="C42427" t="s">
        <v>366</v>
      </c>
      <c r="D42427" t="s">
        <v>14</v>
      </c>
      <c r="E42427" t="s">
        <v>3516</v>
      </c>
      <c r="F42427" s="2" t="str">
        <f>HYPERLINK("http://www.otzar.org/book.asp?626615","שמן הטוב - 2 כר'")</f>
        <v>שמן הטוב - 2 כר'</v>
      </c>
    </row>
    <row r="42428" spans="1:6" x14ac:dyDescent="0.2">
      <c r="A42428" t="s">
        <v>64362</v>
      </c>
      <c r="B42428" t="s">
        <v>63200</v>
      </c>
      <c r="C42428" t="s">
        <v>5721</v>
      </c>
      <c r="D42428" t="s">
        <v>1490</v>
      </c>
      <c r="E42428" t="s">
        <v>435</v>
      </c>
      <c r="F42428" s="2" t="str">
        <f>HYPERLINK("http://www.otzar.org/book.asp?5568","שמן הטוב")</f>
        <v>שמן הטוב</v>
      </c>
    </row>
    <row r="42429" spans="1:6" x14ac:dyDescent="0.2">
      <c r="A42429" t="s">
        <v>64362</v>
      </c>
      <c r="B42429" t="s">
        <v>2108</v>
      </c>
      <c r="C42429" t="s">
        <v>1228</v>
      </c>
      <c r="D42429" t="s">
        <v>225</v>
      </c>
      <c r="E42429" t="s">
        <v>12174</v>
      </c>
      <c r="F42429" s="2" t="str">
        <f>HYPERLINK("http://www.otzar.org/book.asp?100729","שמן הטוב")</f>
        <v>שמן הטוב</v>
      </c>
    </row>
    <row r="42430" spans="1:6" x14ac:dyDescent="0.2">
      <c r="A42430" t="s">
        <v>64362</v>
      </c>
      <c r="B42430" t="s">
        <v>552</v>
      </c>
      <c r="C42430" t="s">
        <v>454</v>
      </c>
      <c r="D42430" t="s">
        <v>14</v>
      </c>
      <c r="E42430" t="s">
        <v>64363</v>
      </c>
      <c r="F42430" s="2" t="str">
        <f>HYPERLINK("http://www.otzar.org/book.asp?25819","שמן הטוב")</f>
        <v>שמן הטוב</v>
      </c>
    </row>
    <row r="42431" spans="1:6" x14ac:dyDescent="0.2">
      <c r="A42431" t="s">
        <v>64364</v>
      </c>
      <c r="B42431" t="s">
        <v>64365</v>
      </c>
      <c r="C42431" t="s">
        <v>4057</v>
      </c>
      <c r="D42431" t="s">
        <v>49</v>
      </c>
      <c r="E42431" t="s">
        <v>64366</v>
      </c>
      <c r="F42431" s="2" t="str">
        <f>HYPERLINK("http://www.otzar.org/book.asp?103177","שמן הטוב, זקן אהרן")</f>
        <v>שמן הטוב, זקן אהרן</v>
      </c>
    </row>
    <row r="42432" spans="1:6" x14ac:dyDescent="0.2">
      <c r="A42432" t="s">
        <v>64367</v>
      </c>
      <c r="B42432" t="s">
        <v>64368</v>
      </c>
      <c r="C42432" t="s">
        <v>366</v>
      </c>
      <c r="D42432" t="s">
        <v>1840</v>
      </c>
      <c r="F42432" s="2" t="str">
        <f>HYPERLINK("http://www.otzar.org/book.asp?608367","שמן המאור &lt;מהדו""ח&gt; - 7 כר'")</f>
        <v>שמן המאור &lt;מהדו"ח&gt; - 7 כר'</v>
      </c>
    </row>
    <row r="42433" spans="1:6" x14ac:dyDescent="0.2">
      <c r="A42433" t="s">
        <v>64369</v>
      </c>
      <c r="B42433" t="s">
        <v>64370</v>
      </c>
      <c r="C42433" t="s">
        <v>20</v>
      </c>
      <c r="D42433" t="s">
        <v>152</v>
      </c>
      <c r="F42433" s="2" t="str">
        <f>HYPERLINK("http://www.otzar.org/book.asp?197567","שמן המאור - סוגיות")</f>
        <v>שמן המאור - סוגיות</v>
      </c>
    </row>
    <row r="42434" spans="1:6" x14ac:dyDescent="0.2">
      <c r="A42434" t="s">
        <v>64371</v>
      </c>
      <c r="B42434" t="s">
        <v>64368</v>
      </c>
      <c r="C42434" t="s">
        <v>313</v>
      </c>
      <c r="D42434" t="s">
        <v>52</v>
      </c>
      <c r="E42434" t="s">
        <v>158</v>
      </c>
      <c r="F42434" s="2" t="str">
        <f>HYPERLINK("http://www.otzar.org/book.asp?24456","שמן המאור - 2 כר'")</f>
        <v>שמן המאור - 2 כר'</v>
      </c>
    </row>
    <row r="42435" spans="1:6" x14ac:dyDescent="0.2">
      <c r="A42435" t="s">
        <v>64372</v>
      </c>
      <c r="B42435" t="s">
        <v>40536</v>
      </c>
      <c r="C42435" t="s">
        <v>594</v>
      </c>
      <c r="D42435" t="s">
        <v>1279</v>
      </c>
      <c r="E42435" t="s">
        <v>2569</v>
      </c>
      <c r="F42435" s="2" t="str">
        <f>HYPERLINK("http://www.otzar.org/book.asp?7314","שמן המאור")</f>
        <v>שמן המאור</v>
      </c>
    </row>
    <row r="42436" spans="1:6" x14ac:dyDescent="0.2">
      <c r="A42436" t="s">
        <v>64372</v>
      </c>
      <c r="B42436" t="s">
        <v>64373</v>
      </c>
      <c r="C42436" t="s">
        <v>1663</v>
      </c>
      <c r="D42436" t="s">
        <v>9</v>
      </c>
      <c r="E42436" t="s">
        <v>22829</v>
      </c>
      <c r="F42436" s="2" t="str">
        <f>HYPERLINK("http://www.otzar.org/book.asp?9527","שמן המאור")</f>
        <v>שמן המאור</v>
      </c>
    </row>
    <row r="42437" spans="1:6" x14ac:dyDescent="0.2">
      <c r="A42437" t="s">
        <v>64374</v>
      </c>
      <c r="B42437" t="s">
        <v>64375</v>
      </c>
      <c r="C42437" t="s">
        <v>13</v>
      </c>
      <c r="D42437" t="s">
        <v>14</v>
      </c>
      <c r="E42437" t="s">
        <v>158</v>
      </c>
      <c r="F42437" s="2" t="str">
        <f>HYPERLINK("http://www.otzar.org/book.asp?148343","שמן המאור - 5 כר'")</f>
        <v>שמן המאור - 5 כר'</v>
      </c>
    </row>
    <row r="42438" spans="1:6" x14ac:dyDescent="0.2">
      <c r="A42438" t="s">
        <v>64372</v>
      </c>
      <c r="B42438" t="s">
        <v>14788</v>
      </c>
      <c r="C42438" t="s">
        <v>5826</v>
      </c>
      <c r="D42438" t="s">
        <v>744</v>
      </c>
      <c r="E42438" t="s">
        <v>148</v>
      </c>
      <c r="F42438" s="2" t="str">
        <f>HYPERLINK("http://www.otzar.org/book.asp?10868","שמן המאור")</f>
        <v>שמן המאור</v>
      </c>
    </row>
    <row r="42439" spans="1:6" x14ac:dyDescent="0.2">
      <c r="A42439" t="s">
        <v>64376</v>
      </c>
      <c r="B42439" t="s">
        <v>281</v>
      </c>
      <c r="C42439" t="s">
        <v>21881</v>
      </c>
      <c r="D42439" t="s">
        <v>283</v>
      </c>
      <c r="E42439" t="s">
        <v>241</v>
      </c>
      <c r="F42439" s="2" t="str">
        <f>HYPERLINK("http://www.otzar.org/book.asp?11141","שמן המור - 2 כר'")</f>
        <v>שמן המור - 2 כר'</v>
      </c>
    </row>
    <row r="42440" spans="1:6" x14ac:dyDescent="0.2">
      <c r="A42440" t="s">
        <v>64377</v>
      </c>
      <c r="B42440" t="s">
        <v>63973</v>
      </c>
      <c r="C42440" t="s">
        <v>185</v>
      </c>
      <c r="D42440" t="s">
        <v>52</v>
      </c>
      <c r="E42440" t="s">
        <v>104</v>
      </c>
      <c r="F42440" s="2" t="str">
        <f>HYPERLINK("http://www.otzar.org/book.asp?631171","שמן המנחה - 5 כר'")</f>
        <v>שמן המנחה - 5 כר'</v>
      </c>
    </row>
    <row r="42441" spans="1:6" x14ac:dyDescent="0.2">
      <c r="A42441" t="s">
        <v>64378</v>
      </c>
      <c r="B42441" t="s">
        <v>64379</v>
      </c>
      <c r="C42441" t="s">
        <v>1940</v>
      </c>
      <c r="D42441" t="s">
        <v>212</v>
      </c>
      <c r="E42441" t="s">
        <v>930</v>
      </c>
      <c r="F42441" s="2" t="str">
        <f>HYPERLINK("http://www.otzar.org/book.asp?101852","שמן המר")</f>
        <v>שמן המר</v>
      </c>
    </row>
    <row r="42442" spans="1:6" x14ac:dyDescent="0.2">
      <c r="A42442" t="s">
        <v>64380</v>
      </c>
      <c r="B42442" t="s">
        <v>64381</v>
      </c>
      <c r="C42442" t="s">
        <v>176</v>
      </c>
      <c r="D42442" t="s">
        <v>52</v>
      </c>
      <c r="E42442" t="s">
        <v>148</v>
      </c>
      <c r="F42442" s="2" t="str">
        <f>HYPERLINK("http://www.otzar.org/book.asp?142858","שמן המשחה - 4 כר'")</f>
        <v>שמן המשחה - 4 כר'</v>
      </c>
    </row>
    <row r="42443" spans="1:6" x14ac:dyDescent="0.2">
      <c r="A42443" t="s">
        <v>64382</v>
      </c>
      <c r="B42443" t="s">
        <v>64383</v>
      </c>
      <c r="C42443" t="s">
        <v>48813</v>
      </c>
      <c r="D42443" t="s">
        <v>1490</v>
      </c>
      <c r="E42443" t="s">
        <v>15</v>
      </c>
      <c r="F42443" s="2" t="str">
        <f>HYPERLINK("http://www.otzar.org/book.asp?101929","שמן המשחה")</f>
        <v>שמן המשחה</v>
      </c>
    </row>
    <row r="42444" spans="1:6" x14ac:dyDescent="0.2">
      <c r="A42444" t="s">
        <v>64384</v>
      </c>
      <c r="B42444" t="s">
        <v>64385</v>
      </c>
      <c r="C42444" t="s">
        <v>26</v>
      </c>
      <c r="D42444" t="s">
        <v>412</v>
      </c>
      <c r="F42444" s="2" t="str">
        <f>HYPERLINK("http://www.otzar.org/book.asp?169320","שמן הקודש")</f>
        <v>שמן הקודש</v>
      </c>
    </row>
    <row r="42445" spans="1:6" x14ac:dyDescent="0.2">
      <c r="A42445" t="s">
        <v>64386</v>
      </c>
      <c r="B42445" t="s">
        <v>10840</v>
      </c>
      <c r="C42445" t="s">
        <v>1592</v>
      </c>
      <c r="D42445" t="s">
        <v>42</v>
      </c>
      <c r="E42445" t="s">
        <v>463</v>
      </c>
      <c r="F42445" s="2" t="str">
        <f>HYPERLINK("http://www.otzar.org/book.asp?200074","שמן הקיק")</f>
        <v>שמן הקיק</v>
      </c>
    </row>
    <row r="42446" spans="1:6" x14ac:dyDescent="0.2">
      <c r="A42446" t="s">
        <v>64387</v>
      </c>
      <c r="B42446" t="s">
        <v>64388</v>
      </c>
      <c r="C42446" t="s">
        <v>1374</v>
      </c>
      <c r="D42446" t="s">
        <v>13230</v>
      </c>
      <c r="E42446" t="s">
        <v>1880</v>
      </c>
      <c r="F42446" s="2" t="str">
        <f>HYPERLINK("http://www.otzar.org/book.asp?20652","שמן הראש")</f>
        <v>שמן הראש</v>
      </c>
    </row>
    <row r="42447" spans="1:6" x14ac:dyDescent="0.2">
      <c r="A42447" t="s">
        <v>64389</v>
      </c>
      <c r="B42447" t="s">
        <v>64390</v>
      </c>
      <c r="C42447" t="s">
        <v>624</v>
      </c>
      <c r="D42447" t="s">
        <v>646</v>
      </c>
      <c r="E42447" t="s">
        <v>588</v>
      </c>
      <c r="F42447" s="2" t="str">
        <f>HYPERLINK("http://www.otzar.org/book.asp?159639","שמן ורד")</f>
        <v>שמן ורד</v>
      </c>
    </row>
    <row r="42448" spans="1:6" x14ac:dyDescent="0.2">
      <c r="A42448" t="s">
        <v>64391</v>
      </c>
      <c r="B42448" t="s">
        <v>21698</v>
      </c>
      <c r="C42448" t="s">
        <v>51</v>
      </c>
      <c r="D42448" t="s">
        <v>646</v>
      </c>
      <c r="F42448" s="2" t="str">
        <f>HYPERLINK("http://www.otzar.org/book.asp?153229","שמן ורד - קובץ הוספות")</f>
        <v>שמן ורד - קובץ הוספות</v>
      </c>
    </row>
    <row r="42449" spans="1:6" x14ac:dyDescent="0.2">
      <c r="A42449" t="s">
        <v>64392</v>
      </c>
      <c r="B42449" t="s">
        <v>686</v>
      </c>
      <c r="C42449" t="s">
        <v>466</v>
      </c>
      <c r="D42449" t="s">
        <v>52</v>
      </c>
      <c r="E42449" t="s">
        <v>104</v>
      </c>
      <c r="F42449" s="2" t="str">
        <f>HYPERLINK("http://www.otzar.org/book.asp?189266","שמן זית זך")</f>
        <v>שמן זית זך</v>
      </c>
    </row>
    <row r="42450" spans="1:6" x14ac:dyDescent="0.2">
      <c r="A42450" t="s">
        <v>64392</v>
      </c>
      <c r="B42450" t="s">
        <v>64393</v>
      </c>
      <c r="C42450" t="s">
        <v>6203</v>
      </c>
      <c r="D42450" t="s">
        <v>76</v>
      </c>
      <c r="E42450" t="s">
        <v>399</v>
      </c>
      <c r="F42450" s="2" t="str">
        <f>HYPERLINK("http://www.otzar.org/book.asp?104490","שמן זית זך")</f>
        <v>שמן זית זך</v>
      </c>
    </row>
    <row r="42451" spans="1:6" x14ac:dyDescent="0.2">
      <c r="A42451" t="s">
        <v>64394</v>
      </c>
      <c r="B42451" t="s">
        <v>5265</v>
      </c>
      <c r="C42451" t="s">
        <v>46</v>
      </c>
      <c r="D42451" t="s">
        <v>3592</v>
      </c>
      <c r="E42451" t="s">
        <v>144</v>
      </c>
      <c r="F42451" s="2" t="str">
        <f>HYPERLINK("http://www.otzar.org/book.asp?172713","שמן טוב")</f>
        <v>שמן טוב</v>
      </c>
    </row>
    <row r="42452" spans="1:6" x14ac:dyDescent="0.2">
      <c r="A42452" t="s">
        <v>64395</v>
      </c>
      <c r="B42452" t="s">
        <v>64396</v>
      </c>
      <c r="C42452" t="s">
        <v>176</v>
      </c>
      <c r="D42452" t="s">
        <v>14</v>
      </c>
      <c r="E42452" t="s">
        <v>144</v>
      </c>
      <c r="F42452" s="2" t="str">
        <f>HYPERLINK("http://www.otzar.org/book.asp?9668","שמן לאשר - 2 כר'")</f>
        <v>שמן לאשר - 2 כר'</v>
      </c>
    </row>
    <row r="42453" spans="1:6" x14ac:dyDescent="0.2">
      <c r="A42453" t="s">
        <v>64397</v>
      </c>
      <c r="B42453" t="s">
        <v>29372</v>
      </c>
      <c r="C42453" t="s">
        <v>114</v>
      </c>
      <c r="D42453" t="s">
        <v>14</v>
      </c>
      <c r="E42453" t="s">
        <v>202</v>
      </c>
      <c r="F42453" s="2" t="str">
        <f>HYPERLINK("http://www.otzar.org/book.asp?158627","שמן למאור סופרי המלך - 6 כר'")</f>
        <v>שמן למאור סופרי המלך - 6 כר'</v>
      </c>
    </row>
    <row r="42454" spans="1:6" x14ac:dyDescent="0.2">
      <c r="A42454" t="s">
        <v>64398</v>
      </c>
      <c r="B42454" t="s">
        <v>64399</v>
      </c>
      <c r="C42454" t="s">
        <v>13</v>
      </c>
      <c r="D42454" t="s">
        <v>14</v>
      </c>
      <c r="E42454" t="s">
        <v>15</v>
      </c>
      <c r="F42454" s="2" t="str">
        <f>HYPERLINK("http://www.otzar.org/book.asp?62704","שמן למאור")</f>
        <v>שמן למאור</v>
      </c>
    </row>
    <row r="42455" spans="1:6" x14ac:dyDescent="0.2">
      <c r="A42455" t="s">
        <v>64400</v>
      </c>
      <c r="B42455" t="s">
        <v>16199</v>
      </c>
      <c r="C42455" t="s">
        <v>624</v>
      </c>
      <c r="D42455" t="s">
        <v>52</v>
      </c>
      <c r="E42455" t="s">
        <v>158</v>
      </c>
      <c r="F42455" s="2" t="str">
        <f>HYPERLINK("http://www.otzar.org/book.asp?155679","שמן למאור - 2 כר'")</f>
        <v>שמן למאור - 2 כר'</v>
      </c>
    </row>
    <row r="42456" spans="1:6" x14ac:dyDescent="0.2">
      <c r="A42456" t="s">
        <v>64398</v>
      </c>
      <c r="B42456" t="s">
        <v>64401</v>
      </c>
      <c r="C42456" t="s">
        <v>2543</v>
      </c>
      <c r="D42456" t="s">
        <v>56</v>
      </c>
      <c r="E42456" t="s">
        <v>172</v>
      </c>
      <c r="F42456" s="2" t="str">
        <f>HYPERLINK("http://www.otzar.org/book.asp?16628","שמן למאור")</f>
        <v>שמן למאור</v>
      </c>
    </row>
    <row r="42457" spans="1:6" x14ac:dyDescent="0.2">
      <c r="A42457" t="s">
        <v>64398</v>
      </c>
      <c r="B42457" t="s">
        <v>51988</v>
      </c>
      <c r="C42457" t="s">
        <v>594</v>
      </c>
      <c r="D42457" t="s">
        <v>1419</v>
      </c>
      <c r="E42457" t="s">
        <v>15</v>
      </c>
      <c r="F42457" s="2" t="str">
        <f>HYPERLINK("http://www.otzar.org/book.asp?20650","שמן למאור")</f>
        <v>שמן למאור</v>
      </c>
    </row>
    <row r="42458" spans="1:6" x14ac:dyDescent="0.2">
      <c r="A42458" t="s">
        <v>64398</v>
      </c>
      <c r="B42458" t="s">
        <v>14497</v>
      </c>
      <c r="C42458" t="s">
        <v>8678</v>
      </c>
      <c r="D42458" t="s">
        <v>1490</v>
      </c>
      <c r="E42458" t="s">
        <v>22155</v>
      </c>
      <c r="F42458" s="2" t="str">
        <f>HYPERLINK("http://www.otzar.org/book.asp?101853","שמן למאור")</f>
        <v>שמן למאור</v>
      </c>
    </row>
    <row r="42459" spans="1:6" x14ac:dyDescent="0.2">
      <c r="A42459" t="s">
        <v>64398</v>
      </c>
      <c r="B42459" t="s">
        <v>64402</v>
      </c>
      <c r="C42459" t="s">
        <v>129</v>
      </c>
      <c r="D42459" t="s">
        <v>1840</v>
      </c>
      <c r="E42459" t="s">
        <v>2088</v>
      </c>
      <c r="F42459" s="2" t="str">
        <f>HYPERLINK("http://www.otzar.org/book.asp?62854","שמן למאור")</f>
        <v>שמן למאור</v>
      </c>
    </row>
    <row r="42460" spans="1:6" x14ac:dyDescent="0.2">
      <c r="A42460" t="s">
        <v>64398</v>
      </c>
      <c r="B42460" t="s">
        <v>64403</v>
      </c>
      <c r="C42460" t="s">
        <v>37</v>
      </c>
      <c r="D42460" t="s">
        <v>2285</v>
      </c>
      <c r="E42460" t="s">
        <v>230</v>
      </c>
      <c r="F42460" s="2" t="str">
        <f>HYPERLINK("http://www.otzar.org/book.asp?600616","שמן למאור")</f>
        <v>שמן למאור</v>
      </c>
    </row>
    <row r="42461" spans="1:6" x14ac:dyDescent="0.2">
      <c r="A42461" t="s">
        <v>64398</v>
      </c>
      <c r="B42461" t="s">
        <v>2396</v>
      </c>
      <c r="C42461" t="s">
        <v>313</v>
      </c>
      <c r="D42461" t="s">
        <v>1076</v>
      </c>
      <c r="E42461" t="s">
        <v>1211</v>
      </c>
      <c r="F42461" s="2" t="str">
        <f>HYPERLINK("http://www.otzar.org/book.asp?22908","שמן למאור")</f>
        <v>שמן למאור</v>
      </c>
    </row>
    <row r="42462" spans="1:6" x14ac:dyDescent="0.2">
      <c r="A42462" t="s">
        <v>64398</v>
      </c>
      <c r="B42462" t="s">
        <v>17331</v>
      </c>
      <c r="C42462" t="s">
        <v>585</v>
      </c>
      <c r="D42462" t="s">
        <v>52</v>
      </c>
      <c r="F42462" s="2" t="str">
        <f>HYPERLINK("http://www.otzar.org/book.asp?613296","שמן למאור")</f>
        <v>שמן למאור</v>
      </c>
    </row>
    <row r="42463" spans="1:6" x14ac:dyDescent="0.2">
      <c r="A42463" t="s">
        <v>64400</v>
      </c>
      <c r="B42463" t="s">
        <v>64404</v>
      </c>
      <c r="C42463" t="s">
        <v>180</v>
      </c>
      <c r="D42463" t="s">
        <v>412</v>
      </c>
      <c r="E42463" t="s">
        <v>158</v>
      </c>
      <c r="F42463" s="2" t="str">
        <f>HYPERLINK("http://www.otzar.org/book.asp?28282","שמן למאור - 2 כר'")</f>
        <v>שמן למאור - 2 כר'</v>
      </c>
    </row>
    <row r="42464" spans="1:6" x14ac:dyDescent="0.2">
      <c r="A42464" t="s">
        <v>64405</v>
      </c>
      <c r="B42464" t="s">
        <v>64406</v>
      </c>
      <c r="C42464" t="s">
        <v>151</v>
      </c>
      <c r="D42464" t="s">
        <v>90</v>
      </c>
      <c r="F42464" s="2" t="str">
        <f>HYPERLINK("http://www.otzar.org/book.asp?618080","שמן למאר")</f>
        <v>שמן למאר</v>
      </c>
    </row>
    <row r="42465" spans="1:6" x14ac:dyDescent="0.2">
      <c r="A42465" t="s">
        <v>64407</v>
      </c>
      <c r="B42465" t="s">
        <v>64408</v>
      </c>
      <c r="C42465" t="s">
        <v>775</v>
      </c>
      <c r="D42465" t="s">
        <v>118</v>
      </c>
      <c r="E42465" t="s">
        <v>230</v>
      </c>
      <c r="F42465" s="2" t="str">
        <f>HYPERLINK("http://www.otzar.org/book.asp?148536","שמן למנחה - 3 כר'")</f>
        <v>שמן למנחה - 3 כר'</v>
      </c>
    </row>
    <row r="42466" spans="1:6" x14ac:dyDescent="0.2">
      <c r="A42466" t="s">
        <v>64409</v>
      </c>
      <c r="B42466" t="s">
        <v>64410</v>
      </c>
      <c r="C42466" t="s">
        <v>1663</v>
      </c>
      <c r="D42466" t="s">
        <v>412</v>
      </c>
      <c r="E42466" t="s">
        <v>104</v>
      </c>
      <c r="F42466" s="2" t="str">
        <f>HYPERLINK("http://www.otzar.org/book.asp?149626","שמן לנר")</f>
        <v>שמן לנר</v>
      </c>
    </row>
    <row r="42467" spans="1:6" x14ac:dyDescent="0.2">
      <c r="A42467" t="s">
        <v>64411</v>
      </c>
      <c r="B42467" t="s">
        <v>64393</v>
      </c>
      <c r="C42467" t="s">
        <v>6203</v>
      </c>
      <c r="D42467" t="s">
        <v>76</v>
      </c>
      <c r="E42467" t="s">
        <v>399</v>
      </c>
      <c r="F42467" s="2" t="str">
        <f>HYPERLINK("http://www.otzar.org/book.asp?104471","שמן משחת קדש")</f>
        <v>שמן משחת קדש</v>
      </c>
    </row>
    <row r="42468" spans="1:6" x14ac:dyDescent="0.2">
      <c r="A42468" t="s">
        <v>64412</v>
      </c>
      <c r="B42468" t="s">
        <v>64413</v>
      </c>
      <c r="C42468" t="s">
        <v>888</v>
      </c>
      <c r="D42468" t="s">
        <v>379</v>
      </c>
      <c r="E42468" t="s">
        <v>930</v>
      </c>
      <c r="F42468" s="2" t="str">
        <f>HYPERLINK("http://www.otzar.org/book.asp?101707","שמן ראש")</f>
        <v>שמן ראש</v>
      </c>
    </row>
    <row r="42469" spans="1:6" x14ac:dyDescent="0.2">
      <c r="A42469" t="s">
        <v>64414</v>
      </c>
      <c r="B42469" t="s">
        <v>3076</v>
      </c>
      <c r="C42469" t="s">
        <v>17</v>
      </c>
      <c r="D42469" t="s">
        <v>412</v>
      </c>
      <c r="E42469" t="s">
        <v>230</v>
      </c>
      <c r="F42469" s="2" t="str">
        <f>HYPERLINK("http://www.otzar.org/book.asp?618935","שמן ראש - 29 כר'")</f>
        <v>שמן ראש - 29 כר'</v>
      </c>
    </row>
    <row r="42470" spans="1:6" x14ac:dyDescent="0.2">
      <c r="A42470" t="s">
        <v>64412</v>
      </c>
      <c r="B42470" t="s">
        <v>64415</v>
      </c>
      <c r="C42470" t="s">
        <v>160</v>
      </c>
      <c r="D42470" t="s">
        <v>64416</v>
      </c>
      <c r="F42470" s="2" t="str">
        <f>HYPERLINK("http://www.otzar.org/book.asp?198399","שמן ראש")</f>
        <v>שמן ראש</v>
      </c>
    </row>
    <row r="42471" spans="1:6" x14ac:dyDescent="0.2">
      <c r="A42471" t="s">
        <v>64412</v>
      </c>
      <c r="B42471" t="s">
        <v>64417</v>
      </c>
      <c r="C42471" t="s">
        <v>6052</v>
      </c>
      <c r="D42471" t="s">
        <v>1490</v>
      </c>
      <c r="E42471" t="s">
        <v>234</v>
      </c>
      <c r="F42471" s="2" t="str">
        <f>HYPERLINK("http://www.otzar.org/book.asp?21399","שמן ראש")</f>
        <v>שמן ראש</v>
      </c>
    </row>
    <row r="42472" spans="1:6" x14ac:dyDescent="0.2">
      <c r="A42472" t="s">
        <v>64418</v>
      </c>
      <c r="B42472" t="s">
        <v>64419</v>
      </c>
      <c r="C42472" t="s">
        <v>1650</v>
      </c>
      <c r="D42472" t="s">
        <v>8830</v>
      </c>
      <c r="E42472" t="s">
        <v>158</v>
      </c>
      <c r="F42472" s="2" t="str">
        <f>HYPERLINK("http://www.otzar.org/book.asp?460","שמן רוקח")</f>
        <v>שמן רוקח</v>
      </c>
    </row>
    <row r="42473" spans="1:6" x14ac:dyDescent="0.2">
      <c r="A42473" t="s">
        <v>64418</v>
      </c>
      <c r="B42473" t="s">
        <v>34490</v>
      </c>
      <c r="C42473" t="s">
        <v>558</v>
      </c>
      <c r="D42473" t="s">
        <v>56</v>
      </c>
      <c r="E42473" t="s">
        <v>144</v>
      </c>
      <c r="F42473" s="2" t="str">
        <f>HYPERLINK("http://www.otzar.org/book.asp?155","שמן רוקח")</f>
        <v>שמן רוקח</v>
      </c>
    </row>
    <row r="42474" spans="1:6" x14ac:dyDescent="0.2">
      <c r="A42474" t="s">
        <v>64420</v>
      </c>
      <c r="B42474" t="s">
        <v>23424</v>
      </c>
      <c r="C42474" t="s">
        <v>111</v>
      </c>
      <c r="D42474" t="s">
        <v>152</v>
      </c>
      <c r="E42474" t="s">
        <v>144</v>
      </c>
      <c r="F42474" s="2" t="str">
        <f>HYPERLINK("http://www.otzar.org/book.asp?623262","שמן רוקח - 2 כר'")</f>
        <v>שמן רוקח - 2 כר'</v>
      </c>
    </row>
    <row r="42475" spans="1:6" x14ac:dyDescent="0.2">
      <c r="A42475" t="s">
        <v>64418</v>
      </c>
      <c r="B42475" t="s">
        <v>64421</v>
      </c>
      <c r="C42475" t="s">
        <v>3840</v>
      </c>
      <c r="D42475" t="s">
        <v>9</v>
      </c>
      <c r="E42475" t="s">
        <v>144</v>
      </c>
      <c r="F42475" s="2" t="str">
        <f>HYPERLINK("http://www.otzar.org/book.asp?102005","שמן רוקח")</f>
        <v>שמן רוקח</v>
      </c>
    </row>
    <row r="42476" spans="1:6" x14ac:dyDescent="0.2">
      <c r="A42476" t="s">
        <v>64422</v>
      </c>
      <c r="B42476" t="s">
        <v>17786</v>
      </c>
      <c r="C42476" t="s">
        <v>68</v>
      </c>
      <c r="D42476" t="s">
        <v>2867</v>
      </c>
      <c r="F42476" s="2" t="str">
        <f>HYPERLINK("http://www.otzar.org/book.asp?603678","שמן רק לא למאור")</f>
        <v>שמן רק לא למאור</v>
      </c>
    </row>
    <row r="42477" spans="1:6" x14ac:dyDescent="0.2">
      <c r="A42477" t="s">
        <v>64423</v>
      </c>
      <c r="B42477" t="s">
        <v>23424</v>
      </c>
      <c r="C42477" t="s">
        <v>854</v>
      </c>
      <c r="D42477" t="s">
        <v>1117</v>
      </c>
      <c r="E42477" t="s">
        <v>791</v>
      </c>
      <c r="F42477" s="2" t="str">
        <f>HYPERLINK("http://www.otzar.org/book.asp?839","שמן רקח החדשות - תליתאי")</f>
        <v>שמן רקח החדשות - תליתאי</v>
      </c>
    </row>
    <row r="42478" spans="1:6" x14ac:dyDescent="0.2">
      <c r="A42478" t="s">
        <v>64424</v>
      </c>
      <c r="B42478" t="s">
        <v>23424</v>
      </c>
      <c r="C42478" t="s">
        <v>496</v>
      </c>
      <c r="D42478" t="s">
        <v>100</v>
      </c>
      <c r="E42478" t="s">
        <v>930</v>
      </c>
      <c r="F42478" s="2" t="str">
        <f>HYPERLINK("http://www.otzar.org/book.asp?101705","שמן רקח - 4 כר'")</f>
        <v>שמן רקח - 4 כר'</v>
      </c>
    </row>
    <row r="42479" spans="1:6" x14ac:dyDescent="0.2">
      <c r="A42479" t="s">
        <v>64425</v>
      </c>
      <c r="B42479" t="s">
        <v>64426</v>
      </c>
      <c r="C42479" t="s">
        <v>133</v>
      </c>
      <c r="D42479" t="s">
        <v>27</v>
      </c>
      <c r="E42479" t="s">
        <v>399</v>
      </c>
      <c r="F42479" s="2" t="str">
        <f>HYPERLINK("http://www.otzar.org/book.asp?198133","שמן ששון &lt;מהדורת מדרש ששון&gt; - 3 כר'")</f>
        <v>שמן ששון &lt;מהדורת מדרש ששון&gt; - 3 כר'</v>
      </c>
    </row>
    <row r="42480" spans="1:6" x14ac:dyDescent="0.2">
      <c r="A42480" t="s">
        <v>64427</v>
      </c>
      <c r="B42480" t="s">
        <v>64426</v>
      </c>
      <c r="C42480" t="s">
        <v>23</v>
      </c>
      <c r="D42480" t="s">
        <v>27</v>
      </c>
      <c r="E42480" t="s">
        <v>154</v>
      </c>
      <c r="F42480" s="2" t="str">
        <f>HYPERLINK("http://www.otzar.org/book.asp?198136","שמן ששון &lt;מכת""י&gt;- חלק השו""ת")</f>
        <v>שמן ששון &lt;מכת"י&gt;- חלק השו"ת</v>
      </c>
    </row>
    <row r="42481" spans="1:6" x14ac:dyDescent="0.2">
      <c r="A42481" t="s">
        <v>64428</v>
      </c>
      <c r="B42481" t="s">
        <v>23125</v>
      </c>
      <c r="C42481" t="s">
        <v>362</v>
      </c>
      <c r="D42481" t="s">
        <v>352</v>
      </c>
      <c r="E42481" t="s">
        <v>1103</v>
      </c>
      <c r="F42481" s="2" t="str">
        <f>HYPERLINK("http://www.otzar.org/book.asp?7875","שמן ששון - 2 כר'")</f>
        <v>שמן ששון - 2 כר'</v>
      </c>
    </row>
    <row r="42482" spans="1:6" x14ac:dyDescent="0.2">
      <c r="A42482" t="s">
        <v>64429</v>
      </c>
      <c r="B42482" t="s">
        <v>6615</v>
      </c>
      <c r="C42482" t="s">
        <v>1228</v>
      </c>
      <c r="D42482" t="s">
        <v>283</v>
      </c>
      <c r="E42482" t="s">
        <v>952</v>
      </c>
      <c r="F42482" s="2" t="str">
        <f>HYPERLINK("http://www.otzar.org/book.asp?102667","שמן ששון")</f>
        <v>שמן ששון</v>
      </c>
    </row>
    <row r="42483" spans="1:6" x14ac:dyDescent="0.2">
      <c r="A42483" t="s">
        <v>64430</v>
      </c>
      <c r="B42483" t="s">
        <v>64426</v>
      </c>
      <c r="C42483" t="s">
        <v>64431</v>
      </c>
      <c r="D42483" t="s">
        <v>27</v>
      </c>
      <c r="E42483" t="s">
        <v>399</v>
      </c>
      <c r="F42483" s="2" t="str">
        <f>HYPERLINK("http://www.otzar.org/book.asp?16062","שמן ששון - 6 כר'")</f>
        <v>שמן ששון - 6 כר'</v>
      </c>
    </row>
    <row r="42484" spans="1:6" x14ac:dyDescent="0.2">
      <c r="A42484" t="s">
        <v>64432</v>
      </c>
      <c r="B42484" t="s">
        <v>5718</v>
      </c>
      <c r="C42484" t="s">
        <v>4144</v>
      </c>
      <c r="D42484" t="s">
        <v>1855</v>
      </c>
      <c r="E42484" t="s">
        <v>1262</v>
      </c>
      <c r="F42484" s="2" t="str">
        <f>HYPERLINK("http://www.otzar.org/book.asp?103756","שמן תורק")</f>
        <v>שמן תורק</v>
      </c>
    </row>
    <row r="42485" spans="1:6" x14ac:dyDescent="0.2">
      <c r="A42485" t="s">
        <v>64433</v>
      </c>
      <c r="B42485" t="s">
        <v>64434</v>
      </c>
      <c r="C42485" t="s">
        <v>454</v>
      </c>
      <c r="D42485" t="s">
        <v>486</v>
      </c>
      <c r="E42485" t="s">
        <v>158</v>
      </c>
      <c r="F42485" s="2" t="str">
        <f>HYPERLINK("http://www.otzar.org/book.asp?165068","שמן תורק - 4 כר'")</f>
        <v>שמן תורק - 4 כר'</v>
      </c>
    </row>
    <row r="42486" spans="1:6" x14ac:dyDescent="0.2">
      <c r="A42486" t="s">
        <v>64435</v>
      </c>
      <c r="B42486" t="s">
        <v>64436</v>
      </c>
      <c r="C42486" t="s">
        <v>748</v>
      </c>
      <c r="D42486" t="s">
        <v>64437</v>
      </c>
      <c r="E42486" t="s">
        <v>234</v>
      </c>
      <c r="F42486" s="2" t="str">
        <f>HYPERLINK("http://www.otzar.org/book.asp?193663","שמנה לחמו - 2 כר'")</f>
        <v>שמנה לחמו - 2 כר'</v>
      </c>
    </row>
    <row r="42487" spans="1:6" x14ac:dyDescent="0.2">
      <c r="A42487" t="s">
        <v>64438</v>
      </c>
      <c r="B42487" t="s">
        <v>64439</v>
      </c>
      <c r="C42487" t="s">
        <v>503</v>
      </c>
      <c r="D42487" t="s">
        <v>1279</v>
      </c>
      <c r="F42487" s="2" t="str">
        <f>HYPERLINK("http://www.otzar.org/book.asp?151524","שמנה לחמו")</f>
        <v>שמנה לחמו</v>
      </c>
    </row>
    <row r="42488" spans="1:6" x14ac:dyDescent="0.2">
      <c r="A42488" t="s">
        <v>64438</v>
      </c>
      <c r="B42488" t="s">
        <v>686</v>
      </c>
      <c r="C42488" t="s">
        <v>151</v>
      </c>
      <c r="D42488" t="s">
        <v>52</v>
      </c>
      <c r="F42488" s="2" t="str">
        <f>HYPERLINK("http://www.otzar.org/book.asp?613837","שמנה לחמו")</f>
        <v>שמנה לחמו</v>
      </c>
    </row>
    <row r="42489" spans="1:6" x14ac:dyDescent="0.2">
      <c r="A42489" t="s">
        <v>64440</v>
      </c>
      <c r="B42489" t="s">
        <v>64441</v>
      </c>
      <c r="C42489" t="s">
        <v>1844</v>
      </c>
      <c r="D42489" t="s">
        <v>307</v>
      </c>
      <c r="E42489" t="s">
        <v>583</v>
      </c>
      <c r="F42489" s="2" t="str">
        <f>HYPERLINK("http://www.otzar.org/book.asp?9937","שמנה פרקים להרמב""ם")</f>
        <v>שמנה פרקים להרמב"ם</v>
      </c>
    </row>
    <row r="42490" spans="1:6" x14ac:dyDescent="0.2">
      <c r="A42490" t="s">
        <v>64440</v>
      </c>
      <c r="B42490" t="s">
        <v>1320</v>
      </c>
      <c r="C42490" t="s">
        <v>985</v>
      </c>
      <c r="D42490" t="s">
        <v>13419</v>
      </c>
      <c r="E42490" t="s">
        <v>241</v>
      </c>
      <c r="F42490" s="2" t="str">
        <f>HYPERLINK("http://www.otzar.org/book.asp?13617","שמנה פרקים להרמב""ם")</f>
        <v>שמנה פרקים להרמב"ם</v>
      </c>
    </row>
    <row r="42491" spans="1:6" x14ac:dyDescent="0.2">
      <c r="A42491" t="s">
        <v>64442</v>
      </c>
      <c r="B42491" t="s">
        <v>4918</v>
      </c>
      <c r="C42491" t="s">
        <v>51</v>
      </c>
      <c r="D42491" t="s">
        <v>4919</v>
      </c>
      <c r="E42491" t="s">
        <v>15</v>
      </c>
      <c r="F42491" s="2" t="str">
        <f>HYPERLINK("http://www.otzar.org/book.asp?63953","שמע אברהם")</f>
        <v>שמע אברהם</v>
      </c>
    </row>
    <row r="42492" spans="1:6" x14ac:dyDescent="0.2">
      <c r="A42492" t="s">
        <v>64443</v>
      </c>
      <c r="B42492" t="s">
        <v>1046</v>
      </c>
      <c r="C42492" t="s">
        <v>4758</v>
      </c>
      <c r="D42492" t="s">
        <v>76</v>
      </c>
      <c r="E42492" t="s">
        <v>154</v>
      </c>
      <c r="F42492" s="2" t="str">
        <f>HYPERLINK("http://www.otzar.org/book.asp?5079","שמע אברהם - 2 כר'")</f>
        <v>שמע אברהם - 2 כר'</v>
      </c>
    </row>
    <row r="42493" spans="1:6" x14ac:dyDescent="0.2">
      <c r="A42493" t="s">
        <v>64444</v>
      </c>
      <c r="B42493" t="s">
        <v>5058</v>
      </c>
      <c r="C42493" t="s">
        <v>454</v>
      </c>
      <c r="D42493" t="s">
        <v>14</v>
      </c>
      <c r="E42493" t="s">
        <v>4738</v>
      </c>
      <c r="F42493" s="2" t="str">
        <f>HYPERLINK("http://www.otzar.org/book.asp?151264","שמע אליהו &lt;עובר אורח&gt;")</f>
        <v>שמע אליהו &lt;עובר אורח&gt;</v>
      </c>
    </row>
    <row r="42494" spans="1:6" x14ac:dyDescent="0.2">
      <c r="A42494" t="s">
        <v>64445</v>
      </c>
      <c r="B42494" t="s">
        <v>64446</v>
      </c>
      <c r="C42494" t="s">
        <v>366</v>
      </c>
      <c r="E42494" t="s">
        <v>119</v>
      </c>
      <c r="F42494" s="2" t="str">
        <f>HYPERLINK("http://www.otzar.org/book.asp?606564","שמע בני מוסר אביך")</f>
        <v>שמע בני מוסר אביך</v>
      </c>
    </row>
    <row r="42495" spans="1:6" x14ac:dyDescent="0.2">
      <c r="A42495" t="s">
        <v>64447</v>
      </c>
      <c r="B42495" t="s">
        <v>37912</v>
      </c>
      <c r="C42495" t="s">
        <v>133</v>
      </c>
      <c r="D42495" t="s">
        <v>367</v>
      </c>
      <c r="E42495" t="s">
        <v>474</v>
      </c>
      <c r="F42495" s="2" t="str">
        <f>HYPERLINK("http://www.otzar.org/book.asp?190718","שמע בני")</f>
        <v>שמע בני</v>
      </c>
    </row>
    <row r="42496" spans="1:6" x14ac:dyDescent="0.2">
      <c r="A42496" t="s">
        <v>64448</v>
      </c>
      <c r="B42496" t="s">
        <v>64449</v>
      </c>
      <c r="C42496" t="s">
        <v>23</v>
      </c>
      <c r="D42496" t="s">
        <v>14</v>
      </c>
      <c r="F42496" s="2" t="str">
        <f>HYPERLINK("http://www.otzar.org/book.asp?616511","שמע בני - 2 כר'")</f>
        <v>שמע בני - 2 כר'</v>
      </c>
    </row>
    <row r="42497" spans="1:6" x14ac:dyDescent="0.2">
      <c r="A42497" t="s">
        <v>64450</v>
      </c>
      <c r="B42497" t="s">
        <v>64451</v>
      </c>
      <c r="C42497" t="s">
        <v>71</v>
      </c>
      <c r="D42497" t="s">
        <v>14</v>
      </c>
      <c r="E42497" t="s">
        <v>975</v>
      </c>
      <c r="F42497" s="2" t="str">
        <f>HYPERLINK("http://www.otzar.org/book.asp?107370","שמע יהודה")</f>
        <v>שמע יהודה</v>
      </c>
    </row>
    <row r="42498" spans="1:6" x14ac:dyDescent="0.2">
      <c r="A42498" t="s">
        <v>64452</v>
      </c>
      <c r="B42498" t="s">
        <v>64453</v>
      </c>
      <c r="C42498" t="s">
        <v>2543</v>
      </c>
      <c r="D42498" t="s">
        <v>27</v>
      </c>
      <c r="E42498" t="s">
        <v>219</v>
      </c>
      <c r="F42498" s="2" t="str">
        <f>HYPERLINK("http://www.otzar.org/book.asp?103757","שמע יוסף")</f>
        <v>שמע יוסף</v>
      </c>
    </row>
    <row r="42499" spans="1:6" x14ac:dyDescent="0.2">
      <c r="A42499" t="s">
        <v>64454</v>
      </c>
      <c r="B42499" t="s">
        <v>6885</v>
      </c>
      <c r="C42499" t="s">
        <v>5334</v>
      </c>
      <c r="D42499" t="s">
        <v>212</v>
      </c>
      <c r="E42499" t="s">
        <v>957</v>
      </c>
      <c r="F42499" s="2" t="str">
        <f>HYPERLINK("http://www.otzar.org/book.asp?7308","שמע יעקב")</f>
        <v>שמע יעקב</v>
      </c>
    </row>
    <row r="42500" spans="1:6" x14ac:dyDescent="0.2">
      <c r="A42500" t="s">
        <v>64454</v>
      </c>
      <c r="B42500" t="s">
        <v>64455</v>
      </c>
      <c r="C42500" t="s">
        <v>1537</v>
      </c>
      <c r="D42500" t="s">
        <v>516</v>
      </c>
      <c r="E42500" t="s">
        <v>5712</v>
      </c>
      <c r="F42500" s="2" t="str">
        <f>HYPERLINK("http://www.otzar.org/book.asp?148135","שמע יעקב")</f>
        <v>שמע יעקב</v>
      </c>
    </row>
    <row r="42501" spans="1:6" x14ac:dyDescent="0.2">
      <c r="A42501" t="s">
        <v>64454</v>
      </c>
      <c r="B42501" t="s">
        <v>6821</v>
      </c>
      <c r="C42501" t="s">
        <v>362</v>
      </c>
      <c r="D42501" t="s">
        <v>225</v>
      </c>
      <c r="E42501" t="s">
        <v>64456</v>
      </c>
      <c r="F42501" s="2" t="str">
        <f>HYPERLINK("http://www.otzar.org/book.asp?14268","שמע יעקב")</f>
        <v>שמע יעקב</v>
      </c>
    </row>
    <row r="42502" spans="1:6" x14ac:dyDescent="0.2">
      <c r="A42502" t="s">
        <v>64457</v>
      </c>
      <c r="B42502" t="s">
        <v>64458</v>
      </c>
      <c r="C42502" t="s">
        <v>37</v>
      </c>
      <c r="D42502" t="s">
        <v>21</v>
      </c>
      <c r="E42502" t="s">
        <v>140</v>
      </c>
      <c r="F42502" s="2" t="str">
        <f>HYPERLINK("http://www.otzar.org/book.asp?606982","שמע ישראל")</f>
        <v>שמע ישראל</v>
      </c>
    </row>
    <row r="42503" spans="1:6" x14ac:dyDescent="0.2">
      <c r="A42503" t="s">
        <v>64459</v>
      </c>
      <c r="B42503" t="s">
        <v>9096</v>
      </c>
      <c r="C42503" t="s">
        <v>1448</v>
      </c>
      <c r="D42503" t="s">
        <v>14</v>
      </c>
      <c r="E42503" t="s">
        <v>104</v>
      </c>
      <c r="F42503" s="2" t="str">
        <f>HYPERLINK("http://www.otzar.org/book.asp?150127","שמע ישראל - 2 כר'")</f>
        <v>שמע ישראל - 2 כר'</v>
      </c>
    </row>
    <row r="42504" spans="1:6" x14ac:dyDescent="0.2">
      <c r="A42504" t="s">
        <v>64457</v>
      </c>
      <c r="B42504" t="s">
        <v>64460</v>
      </c>
      <c r="C42504" t="s">
        <v>1169</v>
      </c>
      <c r="D42504" t="s">
        <v>9</v>
      </c>
      <c r="E42504" t="s">
        <v>1256</v>
      </c>
      <c r="F42504" s="2" t="str">
        <f>HYPERLINK("http://www.otzar.org/book.asp?5732","שמע ישראל")</f>
        <v>שמע ישראל</v>
      </c>
    </row>
    <row r="42505" spans="1:6" x14ac:dyDescent="0.2">
      <c r="A42505" t="s">
        <v>64457</v>
      </c>
      <c r="B42505" t="s">
        <v>7012</v>
      </c>
      <c r="C42505" t="s">
        <v>383</v>
      </c>
      <c r="D42505" t="s">
        <v>14</v>
      </c>
      <c r="F42505" s="2" t="str">
        <f>HYPERLINK("http://www.otzar.org/book.asp?610918","שמע ישראל")</f>
        <v>שמע ישראל</v>
      </c>
    </row>
    <row r="42506" spans="1:6" x14ac:dyDescent="0.2">
      <c r="A42506" t="s">
        <v>64461</v>
      </c>
      <c r="B42506" t="s">
        <v>64462</v>
      </c>
      <c r="C42506" t="s">
        <v>129</v>
      </c>
      <c r="D42506" t="s">
        <v>367</v>
      </c>
      <c r="E42506" t="s">
        <v>15</v>
      </c>
      <c r="F42506" s="2" t="str">
        <f>HYPERLINK("http://www.otzar.org/book.asp?179327","שמע מרדכי")</f>
        <v>שמע מרדכי</v>
      </c>
    </row>
    <row r="42507" spans="1:6" x14ac:dyDescent="0.2">
      <c r="A42507" t="s">
        <v>64463</v>
      </c>
      <c r="B42507" t="s">
        <v>16921</v>
      </c>
      <c r="C42507" t="s">
        <v>553</v>
      </c>
      <c r="D42507" t="s">
        <v>21</v>
      </c>
      <c r="E42507" t="s">
        <v>975</v>
      </c>
      <c r="F42507" s="2" t="str">
        <f>HYPERLINK("http://www.otzar.org/book.asp?604986","שמע שלמה השלם")</f>
        <v>שמע שלמה השלם</v>
      </c>
    </row>
    <row r="42508" spans="1:6" x14ac:dyDescent="0.2">
      <c r="A42508" t="s">
        <v>64464</v>
      </c>
      <c r="B42508" t="s">
        <v>2023</v>
      </c>
      <c r="C42508" t="s">
        <v>41056</v>
      </c>
      <c r="D42508" t="s">
        <v>157</v>
      </c>
      <c r="F42508" s="2" t="str">
        <f>HYPERLINK("http://www.otzar.org/book.asp?164746","שמע שלמה - 3 כר'")</f>
        <v>שמע שלמה - 3 כר'</v>
      </c>
    </row>
    <row r="42509" spans="1:6" x14ac:dyDescent="0.2">
      <c r="A42509" t="s">
        <v>64465</v>
      </c>
      <c r="B42509" t="s">
        <v>12242</v>
      </c>
      <c r="C42509" t="s">
        <v>383</v>
      </c>
      <c r="D42509" t="s">
        <v>52</v>
      </c>
      <c r="E42509" t="s">
        <v>154</v>
      </c>
      <c r="F42509" s="2" t="str">
        <f>HYPERLINK("http://www.otzar.org/book.asp?28626","שמע שלמה - 8 כר'")</f>
        <v>שמע שלמה - 8 כר'</v>
      </c>
    </row>
    <row r="42510" spans="1:6" x14ac:dyDescent="0.2">
      <c r="A42510" t="s">
        <v>64466</v>
      </c>
      <c r="B42510" t="s">
        <v>16921</v>
      </c>
      <c r="C42510" t="s">
        <v>506</v>
      </c>
      <c r="D42510" t="s">
        <v>225</v>
      </c>
      <c r="E42510" t="s">
        <v>2363</v>
      </c>
      <c r="F42510" s="2" t="str">
        <f>HYPERLINK("http://www.otzar.org/book.asp?150019","שמע שלמה - 2 כר'")</f>
        <v>שמע שלמה - 2 כר'</v>
      </c>
    </row>
    <row r="42511" spans="1:6" x14ac:dyDescent="0.2">
      <c r="A42511" t="s">
        <v>64467</v>
      </c>
      <c r="B42511" t="s">
        <v>7604</v>
      </c>
      <c r="C42511" t="s">
        <v>13</v>
      </c>
      <c r="D42511" t="s">
        <v>52</v>
      </c>
      <c r="E42511" t="s">
        <v>219</v>
      </c>
      <c r="F42511" s="2" t="str">
        <f>HYPERLINK("http://www.otzar.org/book.asp?62235","שמעה תפילתי")</f>
        <v>שמעה תפילתי</v>
      </c>
    </row>
    <row r="42512" spans="1:6" x14ac:dyDescent="0.2">
      <c r="A42512" t="s">
        <v>64468</v>
      </c>
      <c r="B42512" t="s">
        <v>64469</v>
      </c>
      <c r="C42512" t="s">
        <v>180</v>
      </c>
      <c r="D42512" t="s">
        <v>646</v>
      </c>
      <c r="E42512" t="s">
        <v>64470</v>
      </c>
      <c r="F42512" s="2" t="str">
        <f>HYPERLINK("http://www.otzar.org/book.asp?176837","שמעו אמירה")</f>
        <v>שמעו אמירה</v>
      </c>
    </row>
    <row r="42513" spans="1:6" x14ac:dyDescent="0.2">
      <c r="A42513" t="s">
        <v>64471</v>
      </c>
      <c r="B42513" t="s">
        <v>206</v>
      </c>
      <c r="C42513" t="s">
        <v>146</v>
      </c>
      <c r="D42513" t="s">
        <v>90</v>
      </c>
      <c r="E42513" t="s">
        <v>241</v>
      </c>
      <c r="F42513" s="2" t="str">
        <f>HYPERLINK("http://www.otzar.org/book.asp?50421","שמעו דבר ד'")</f>
        <v>שמעו דבר ד'</v>
      </c>
    </row>
    <row r="42514" spans="1:6" x14ac:dyDescent="0.2">
      <c r="A42514" t="s">
        <v>64472</v>
      </c>
      <c r="B42514" t="s">
        <v>64473</v>
      </c>
      <c r="C42514" t="s">
        <v>1244</v>
      </c>
      <c r="D42514" t="s">
        <v>60</v>
      </c>
      <c r="E42514" t="s">
        <v>2758</v>
      </c>
      <c r="F42514" s="2" t="str">
        <f>HYPERLINK("http://www.otzar.org/book.asp?21397","שמעון ולוי")</f>
        <v>שמעון ולוי</v>
      </c>
    </row>
    <row r="42515" spans="1:6" x14ac:dyDescent="0.2">
      <c r="A42515" t="s">
        <v>64474</v>
      </c>
      <c r="B42515" t="s">
        <v>64475</v>
      </c>
      <c r="C42515" t="s">
        <v>20</v>
      </c>
      <c r="D42515" t="s">
        <v>90</v>
      </c>
      <c r="E42515" t="s">
        <v>158</v>
      </c>
      <c r="F42515" s="2" t="str">
        <f>HYPERLINK("http://www.otzar.org/book.asp?618135","שמעוני באר יעקב - בראשית")</f>
        <v>שמעוני באר יעקב - בראשית</v>
      </c>
    </row>
    <row r="42516" spans="1:6" x14ac:dyDescent="0.2">
      <c r="A42516" t="s">
        <v>64476</v>
      </c>
      <c r="B42516" t="s">
        <v>64477</v>
      </c>
      <c r="C42516" t="s">
        <v>68</v>
      </c>
      <c r="D42516" t="s">
        <v>14</v>
      </c>
      <c r="E42516" t="s">
        <v>15</v>
      </c>
      <c r="F42516" s="2" t="str">
        <f>HYPERLINK("http://www.otzar.org/book.asp?158659","שמעי בת וראי")</f>
        <v>שמעי בת וראי</v>
      </c>
    </row>
    <row r="42517" spans="1:6" x14ac:dyDescent="0.2">
      <c r="A42517" t="s">
        <v>64478</v>
      </c>
      <c r="B42517" t="s">
        <v>64479</v>
      </c>
      <c r="C42517" t="s">
        <v>366</v>
      </c>
      <c r="D42517" t="s">
        <v>1356</v>
      </c>
      <c r="E42517" t="s">
        <v>84</v>
      </c>
      <c r="F42517" s="2" t="str">
        <f>HYPERLINK("http://www.otzar.org/book.asp?606783","שמענו אבותינו - א")</f>
        <v>שמענו אבותינו - א</v>
      </c>
    </row>
    <row r="42518" spans="1:6" x14ac:dyDescent="0.2">
      <c r="A42518" t="s">
        <v>64480</v>
      </c>
      <c r="B42518" t="s">
        <v>64481</v>
      </c>
      <c r="C42518" t="s">
        <v>111</v>
      </c>
      <c r="F42518" s="2" t="str">
        <f>HYPERLINK("http://www.otzar.org/book.asp?622737","שמעתא דחיי עד")</f>
        <v>שמעתא דחיי עד</v>
      </c>
    </row>
    <row r="42519" spans="1:6" x14ac:dyDescent="0.2">
      <c r="A42519" t="s">
        <v>64482</v>
      </c>
      <c r="B42519" t="s">
        <v>64483</v>
      </c>
      <c r="C42519" t="s">
        <v>87</v>
      </c>
      <c r="D42519" t="s">
        <v>14</v>
      </c>
      <c r="E42519" t="s">
        <v>144</v>
      </c>
      <c r="F42519" s="2" t="str">
        <f>HYPERLINK("http://www.otzar.org/book.asp?24741","שמעתא דישראל")</f>
        <v>שמעתא דישראל</v>
      </c>
    </row>
    <row r="42520" spans="1:6" x14ac:dyDescent="0.2">
      <c r="A42520" t="s">
        <v>64484</v>
      </c>
      <c r="B42520" t="s">
        <v>60369</v>
      </c>
      <c r="D42520" t="s">
        <v>14</v>
      </c>
      <c r="E42520" t="s">
        <v>144</v>
      </c>
      <c r="F42520" s="2" t="str">
        <f>HYPERLINK("http://www.otzar.org/book.asp?622520","שמעתא דשטרות")</f>
        <v>שמעתא דשטרות</v>
      </c>
    </row>
    <row r="42521" spans="1:6" x14ac:dyDescent="0.2">
      <c r="A42521" t="s">
        <v>64485</v>
      </c>
      <c r="B42521" t="s">
        <v>64486</v>
      </c>
      <c r="C42521" t="s">
        <v>68</v>
      </c>
      <c r="D42521" t="s">
        <v>21</v>
      </c>
      <c r="E42521" t="s">
        <v>1211</v>
      </c>
      <c r="F42521" s="2" t="str">
        <f>HYPERLINK("http://www.otzar.org/book.asp?606938","שמעתא חדתא - א")</f>
        <v>שמעתא חדתא - א</v>
      </c>
    </row>
    <row r="42522" spans="1:6" x14ac:dyDescent="0.2">
      <c r="A42522" t="s">
        <v>64487</v>
      </c>
      <c r="B42522" t="s">
        <v>8005</v>
      </c>
      <c r="C42522" t="s">
        <v>2236</v>
      </c>
      <c r="D42522" t="s">
        <v>1833</v>
      </c>
      <c r="E42522" t="s">
        <v>144</v>
      </c>
      <c r="F42522" s="2" t="str">
        <f>HYPERLINK("http://www.otzar.org/book.asp?182076","שמעתא חדתא - 2 כר'")</f>
        <v>שמעתא חדתא - 2 כר'</v>
      </c>
    </row>
    <row r="42523" spans="1:6" x14ac:dyDescent="0.2">
      <c r="A42523" t="s">
        <v>64488</v>
      </c>
      <c r="B42523" t="s">
        <v>64489</v>
      </c>
      <c r="C42523" t="s">
        <v>20</v>
      </c>
      <c r="D42523" t="s">
        <v>14</v>
      </c>
      <c r="E42523" t="s">
        <v>202</v>
      </c>
      <c r="F42523" s="2" t="str">
        <f>HYPERLINK("http://www.otzar.org/book.asp?625516","שמעתא עמיקתא - 2 כר'")</f>
        <v>שמעתא עמיקתא - 2 כר'</v>
      </c>
    </row>
    <row r="42524" spans="1:6" x14ac:dyDescent="0.2">
      <c r="A42524" t="s">
        <v>64490</v>
      </c>
      <c r="B42524" t="s">
        <v>64491</v>
      </c>
      <c r="C42524" t="s">
        <v>1640</v>
      </c>
      <c r="D42524" t="s">
        <v>52</v>
      </c>
      <c r="E42524" t="s">
        <v>202</v>
      </c>
      <c r="F42524" s="2" t="str">
        <f>HYPERLINK("http://www.otzar.org/book.asp?159538","שמעתין - 105 כר'")</f>
        <v>שמעתין - 105 כר'</v>
      </c>
    </row>
    <row r="42525" spans="1:6" x14ac:dyDescent="0.2">
      <c r="A42525" t="s">
        <v>64492</v>
      </c>
      <c r="B42525" t="s">
        <v>64493</v>
      </c>
      <c r="C42525" t="s">
        <v>466</v>
      </c>
      <c r="D42525" t="s">
        <v>52</v>
      </c>
      <c r="E42525" t="s">
        <v>144</v>
      </c>
      <c r="F42525" s="2" t="str">
        <f>HYPERLINK("http://www.otzar.org/book.asp?151132","שמעתתא אליבא דהילכתא - פרק כיצד מברכין")</f>
        <v>שמעתתא אליבא דהילכתא - פרק כיצד מברכין</v>
      </c>
    </row>
    <row r="42526" spans="1:6" x14ac:dyDescent="0.2">
      <c r="A42526" t="s">
        <v>64494</v>
      </c>
      <c r="B42526" t="s">
        <v>23102</v>
      </c>
      <c r="C42526" t="s">
        <v>37</v>
      </c>
      <c r="D42526" t="s">
        <v>14</v>
      </c>
      <c r="E42526" t="s">
        <v>144</v>
      </c>
      <c r="F42526" s="2" t="str">
        <f>HYPERLINK("http://www.otzar.org/book.asp?189272","שמעתתא אליבא - 2 כר'")</f>
        <v>שמעתתא אליבא - 2 כר'</v>
      </c>
    </row>
    <row r="42527" spans="1:6" x14ac:dyDescent="0.2">
      <c r="A42527" t="s">
        <v>64495</v>
      </c>
      <c r="B42527" t="s">
        <v>64496</v>
      </c>
      <c r="C42527" t="s">
        <v>129</v>
      </c>
      <c r="D42527" t="s">
        <v>367</v>
      </c>
      <c r="E42527" t="s">
        <v>202</v>
      </c>
      <c r="F42527" s="2" t="str">
        <f>HYPERLINK("http://www.otzar.org/book.asp?144334","שמעתתא דבי מדרשא - 3 כר'")</f>
        <v>שמעתתא דבי מדרשא - 3 כר'</v>
      </c>
    </row>
    <row r="42528" spans="1:6" x14ac:dyDescent="0.2">
      <c r="A42528" t="s">
        <v>64497</v>
      </c>
      <c r="B42528" t="s">
        <v>64498</v>
      </c>
      <c r="C42528" t="s">
        <v>87</v>
      </c>
      <c r="D42528" t="s">
        <v>14</v>
      </c>
      <c r="E42528" t="s">
        <v>144</v>
      </c>
      <c r="F42528" s="2" t="str">
        <f>HYPERLINK("http://www.otzar.org/book.asp?50355","שמעתתא דבן פקועה")</f>
        <v>שמעתתא דבן פקועה</v>
      </c>
    </row>
    <row r="42529" spans="1:6" x14ac:dyDescent="0.2">
      <c r="A42529" t="s">
        <v>64499</v>
      </c>
      <c r="B42529" t="s">
        <v>64500</v>
      </c>
      <c r="C42529" t="s">
        <v>20</v>
      </c>
      <c r="D42529" t="s">
        <v>14</v>
      </c>
      <c r="F42529" s="2" t="str">
        <f>HYPERLINK("http://www.otzar.org/book.asp?85879","שמעתתא דברירה")</f>
        <v>שמעתתא דברירה</v>
      </c>
    </row>
    <row r="42530" spans="1:6" x14ac:dyDescent="0.2">
      <c r="A42530" t="s">
        <v>64501</v>
      </c>
      <c r="B42530" t="s">
        <v>15623</v>
      </c>
      <c r="C42530" t="s">
        <v>20</v>
      </c>
      <c r="D42530" t="s">
        <v>52</v>
      </c>
      <c r="E42530" t="s">
        <v>144</v>
      </c>
      <c r="F42530" s="2" t="str">
        <f>HYPERLINK("http://www.otzar.org/book.asp?188928","שמעתתא דברכות - כיצד מברכין")</f>
        <v>שמעתתא דברכות - כיצד מברכין</v>
      </c>
    </row>
    <row r="42531" spans="1:6" x14ac:dyDescent="0.2">
      <c r="A42531" t="s">
        <v>64502</v>
      </c>
      <c r="B42531" t="s">
        <v>44229</v>
      </c>
      <c r="C42531" t="s">
        <v>151</v>
      </c>
      <c r="D42531" t="s">
        <v>21</v>
      </c>
      <c r="F42531" s="2" t="str">
        <f>HYPERLINK("http://www.otzar.org/book.asp?621487","שמעתתא דברכת הנהנין")</f>
        <v>שמעתתא דברכת הנהנין</v>
      </c>
    </row>
    <row r="42532" spans="1:6" x14ac:dyDescent="0.2">
      <c r="A42532" t="s">
        <v>64503</v>
      </c>
      <c r="B42532" t="s">
        <v>31854</v>
      </c>
      <c r="C42532" t="s">
        <v>13</v>
      </c>
      <c r="D42532" t="s">
        <v>1550</v>
      </c>
      <c r="E42532" t="s">
        <v>172</v>
      </c>
      <c r="F42532" s="2" t="str">
        <f>HYPERLINK("http://www.otzar.org/book.asp?158803","שמעתתא דהלכתא - נדה")</f>
        <v>שמעתתא דהלכתא - נדה</v>
      </c>
    </row>
    <row r="42533" spans="1:6" x14ac:dyDescent="0.2">
      <c r="A42533" t="s">
        <v>64504</v>
      </c>
      <c r="B42533" t="s">
        <v>64505</v>
      </c>
      <c r="C42533" t="s">
        <v>411</v>
      </c>
      <c r="D42533" t="s">
        <v>152</v>
      </c>
      <c r="E42533" t="s">
        <v>148</v>
      </c>
      <c r="F42533" s="2" t="str">
        <f>HYPERLINK("http://www.otzar.org/book.asp?630037","שמעתתא דהלכתא - בשר בחלב")</f>
        <v>שמעתתא דהלכתא - בשר בחלב</v>
      </c>
    </row>
    <row r="42534" spans="1:6" x14ac:dyDescent="0.2">
      <c r="A42534" t="s">
        <v>64506</v>
      </c>
      <c r="B42534" t="s">
        <v>64507</v>
      </c>
      <c r="C42534" t="s">
        <v>146</v>
      </c>
      <c r="D42534" t="s">
        <v>14</v>
      </c>
      <c r="E42534" t="s">
        <v>144</v>
      </c>
      <c r="F42534" s="2" t="str">
        <f>HYPERLINK("http://www.otzar.org/book.asp?179264","שמעתתא דחזקתא")</f>
        <v>שמעתתא דחזקתא</v>
      </c>
    </row>
    <row r="42535" spans="1:6" x14ac:dyDescent="0.2">
      <c r="A42535" t="s">
        <v>64508</v>
      </c>
      <c r="B42535" t="s">
        <v>42908</v>
      </c>
      <c r="C42535" t="s">
        <v>68</v>
      </c>
      <c r="D42535" t="s">
        <v>52</v>
      </c>
      <c r="F42535" s="2" t="str">
        <f>HYPERLINK("http://www.otzar.org/book.asp?157193","שמעתתא דחרדל")</f>
        <v>שמעתתא דחרדל</v>
      </c>
    </row>
    <row r="42536" spans="1:6" x14ac:dyDescent="0.2">
      <c r="A42536" t="s">
        <v>64509</v>
      </c>
      <c r="B42536" t="s">
        <v>64510</v>
      </c>
      <c r="C42536" t="s">
        <v>422</v>
      </c>
      <c r="D42536" t="s">
        <v>21</v>
      </c>
      <c r="E42536" t="s">
        <v>144</v>
      </c>
      <c r="F42536" s="2" t="str">
        <f>HYPERLINK("http://www.otzar.org/book.asp?601186","שמעתתא דיבמות")</f>
        <v>שמעתתא דיבמות</v>
      </c>
    </row>
    <row r="42537" spans="1:6" x14ac:dyDescent="0.2">
      <c r="A42537" t="s">
        <v>64511</v>
      </c>
      <c r="B42537" t="s">
        <v>49004</v>
      </c>
      <c r="C42537" t="s">
        <v>51</v>
      </c>
      <c r="D42537" t="s">
        <v>52</v>
      </c>
      <c r="E42537" t="s">
        <v>144</v>
      </c>
      <c r="F42537" s="2" t="str">
        <f>HYPERLINK("http://www.otzar.org/book.asp?61009","שמעתתא דיוחסין")</f>
        <v>שמעתתא דיוחסין</v>
      </c>
    </row>
    <row r="42538" spans="1:6" x14ac:dyDescent="0.2">
      <c r="A42538" t="s">
        <v>64512</v>
      </c>
      <c r="B42538" t="s">
        <v>64513</v>
      </c>
      <c r="C42538" t="s">
        <v>20</v>
      </c>
      <c r="D42538" t="s">
        <v>90</v>
      </c>
      <c r="E42538" t="s">
        <v>144</v>
      </c>
      <c r="F42538" s="2" t="str">
        <f>HYPERLINK("http://www.otzar.org/book.asp?191555","שמעתתא דמוקצה")</f>
        <v>שמעתתא דמוקצה</v>
      </c>
    </row>
    <row r="42539" spans="1:6" x14ac:dyDescent="0.2">
      <c r="A42539" t="s">
        <v>64512</v>
      </c>
      <c r="B42539" t="s">
        <v>64514</v>
      </c>
      <c r="C42539" t="s">
        <v>176</v>
      </c>
      <c r="D42539" t="s">
        <v>17847</v>
      </c>
      <c r="E42539" t="s">
        <v>15</v>
      </c>
      <c r="F42539" s="2" t="str">
        <f>HYPERLINK("http://www.otzar.org/book.asp?629681","שמעתתא דמוקצה")</f>
        <v>שמעתתא דמוקצה</v>
      </c>
    </row>
    <row r="42540" spans="1:6" x14ac:dyDescent="0.2">
      <c r="A42540" t="s">
        <v>64515</v>
      </c>
      <c r="B42540" t="s">
        <v>51097</v>
      </c>
      <c r="C42540" t="s">
        <v>20</v>
      </c>
      <c r="D42540" t="s">
        <v>14</v>
      </c>
      <c r="E42540" t="s">
        <v>144</v>
      </c>
      <c r="F42540" s="2" t="str">
        <f>HYPERLINK("http://www.otzar.org/book.asp?84323","שמעתתא דמיגו - חזקת הבתים")</f>
        <v>שמעתתא דמיגו - חזקת הבתים</v>
      </c>
    </row>
    <row r="42541" spans="1:6" x14ac:dyDescent="0.2">
      <c r="A42541" t="s">
        <v>64516</v>
      </c>
      <c r="B42541" t="s">
        <v>43176</v>
      </c>
      <c r="C42541" t="s">
        <v>23</v>
      </c>
      <c r="D42541" t="s">
        <v>14</v>
      </c>
      <c r="F42541" s="2" t="str">
        <f>HYPERLINK("http://www.otzar.org/book.asp?616546","שמעתתא דמשכנתא")</f>
        <v>שמעתתא דמשכנתא</v>
      </c>
    </row>
    <row r="42542" spans="1:6" x14ac:dyDescent="0.2">
      <c r="A42542" t="s">
        <v>64517</v>
      </c>
      <c r="B42542" t="s">
        <v>64518</v>
      </c>
      <c r="C42542" t="s">
        <v>411</v>
      </c>
      <c r="D42542" t="s">
        <v>52</v>
      </c>
      <c r="E42542" t="s">
        <v>2248</v>
      </c>
      <c r="F42542" s="2" t="str">
        <f>HYPERLINK("http://www.otzar.org/book.asp?183363","שמעתתא דמתיבתא - שבת")</f>
        <v>שמעתתא דמתיבתא - שבת</v>
      </c>
    </row>
    <row r="42543" spans="1:6" x14ac:dyDescent="0.2">
      <c r="A42543" t="s">
        <v>64519</v>
      </c>
      <c r="B42543" t="s">
        <v>64520</v>
      </c>
      <c r="C42543" t="s">
        <v>244</v>
      </c>
      <c r="D42543" t="s">
        <v>14</v>
      </c>
      <c r="F42543" s="2" t="str">
        <f>HYPERLINK("http://www.otzar.org/book.asp?609023","שמעתתא דקבוע")</f>
        <v>שמעתתא דקבוע</v>
      </c>
    </row>
    <row r="42544" spans="1:6" x14ac:dyDescent="0.2">
      <c r="A42544" t="s">
        <v>64521</v>
      </c>
      <c r="B42544" t="s">
        <v>25091</v>
      </c>
      <c r="C42544" t="s">
        <v>87</v>
      </c>
      <c r="D42544" t="s">
        <v>14</v>
      </c>
      <c r="E42544" t="s">
        <v>246</v>
      </c>
      <c r="F42544" s="2" t="str">
        <f>HYPERLINK("http://www.otzar.org/book.asp?160649","שמעתתא דקבלת התורה")</f>
        <v>שמעתתא דקבלת התורה</v>
      </c>
    </row>
    <row r="42545" spans="1:6" x14ac:dyDescent="0.2">
      <c r="A42545" t="s">
        <v>64522</v>
      </c>
      <c r="B42545" t="s">
        <v>64523</v>
      </c>
      <c r="C42545" t="s">
        <v>189</v>
      </c>
      <c r="D42545" t="s">
        <v>14</v>
      </c>
      <c r="F42545" s="2" t="str">
        <f>HYPERLINK("http://www.otzar.org/book.asp?611212","שמעתתא דקידושין - א")</f>
        <v>שמעתתא דקידושין - א</v>
      </c>
    </row>
    <row r="42546" spans="1:6" x14ac:dyDescent="0.2">
      <c r="A42546" t="s">
        <v>64524</v>
      </c>
      <c r="B42546" t="s">
        <v>44229</v>
      </c>
      <c r="C42546" t="s">
        <v>366</v>
      </c>
      <c r="D42546" t="s">
        <v>21</v>
      </c>
      <c r="F42546" s="2" t="str">
        <f>HYPERLINK("http://www.otzar.org/book.asp?610203","שמעתתא דקידושין")</f>
        <v>שמעתתא דקידושין</v>
      </c>
    </row>
    <row r="42547" spans="1:6" x14ac:dyDescent="0.2">
      <c r="A42547" t="s">
        <v>64525</v>
      </c>
      <c r="B42547" t="s">
        <v>35571</v>
      </c>
      <c r="C42547" t="s">
        <v>454</v>
      </c>
      <c r="D42547" t="s">
        <v>14</v>
      </c>
      <c r="E42547" t="s">
        <v>144</v>
      </c>
      <c r="F42547" s="2" t="str">
        <f>HYPERLINK("http://www.otzar.org/book.asp?85207","שמעתתא דראוי ומוחזק")</f>
        <v>שמעתתא דראוי ומוחזק</v>
      </c>
    </row>
    <row r="42548" spans="1:6" x14ac:dyDescent="0.2">
      <c r="A42548" t="s">
        <v>64526</v>
      </c>
      <c r="B42548" t="s">
        <v>64527</v>
      </c>
      <c r="C42548" t="s">
        <v>28082</v>
      </c>
      <c r="D42548" t="s">
        <v>27</v>
      </c>
      <c r="E42548" t="s">
        <v>154</v>
      </c>
      <c r="F42548" s="2" t="str">
        <f>HYPERLINK("http://www.otzar.org/book.asp?102668","שמעתתא דרב""א - 2 כר'")</f>
        <v>שמעתתא דרב"א - 2 כר'</v>
      </c>
    </row>
    <row r="42549" spans="1:6" x14ac:dyDescent="0.2">
      <c r="A42549" t="s">
        <v>64528</v>
      </c>
      <c r="B42549" t="s">
        <v>64529</v>
      </c>
      <c r="C42549" t="s">
        <v>12351</v>
      </c>
      <c r="D42549" t="s">
        <v>56</v>
      </c>
      <c r="E42549" t="s">
        <v>144</v>
      </c>
      <c r="F42549" s="2" t="str">
        <f>HYPERLINK("http://www.otzar.org/book.asp?106912","שמעתתא דרב")</f>
        <v>שמעתתא דרב</v>
      </c>
    </row>
    <row r="42550" spans="1:6" x14ac:dyDescent="0.2">
      <c r="A42550" t="s">
        <v>64530</v>
      </c>
      <c r="B42550" t="s">
        <v>44229</v>
      </c>
      <c r="C42550" t="s">
        <v>366</v>
      </c>
      <c r="D42550" t="s">
        <v>21</v>
      </c>
      <c r="F42550" s="2" t="str">
        <f>HYPERLINK("http://www.otzar.org/book.asp?610202","שמעתתא דרבית")</f>
        <v>שמעתתא דרבית</v>
      </c>
    </row>
    <row r="42551" spans="1:6" x14ac:dyDescent="0.2">
      <c r="A42551" t="s">
        <v>64531</v>
      </c>
      <c r="B42551" t="s">
        <v>2443</v>
      </c>
      <c r="C42551" t="s">
        <v>422</v>
      </c>
      <c r="D42551" t="s">
        <v>52</v>
      </c>
      <c r="E42551" t="s">
        <v>104</v>
      </c>
      <c r="F42551" s="2" t="str">
        <f>HYPERLINK("http://www.otzar.org/book.asp?600665","שמעתתא דרבנן - 3 כר'")</f>
        <v>שמעתתא דרבנן - 3 כר'</v>
      </c>
    </row>
    <row r="42552" spans="1:6" x14ac:dyDescent="0.2">
      <c r="A42552" t="s">
        <v>64532</v>
      </c>
      <c r="B42552" t="s">
        <v>4019</v>
      </c>
      <c r="C42552" t="s">
        <v>366</v>
      </c>
      <c r="D42552" t="s">
        <v>14</v>
      </c>
      <c r="F42552" s="2" t="str">
        <f>HYPERLINK("http://www.otzar.org/book.asp?611092","שמעתתא דריבית")</f>
        <v>שמעתתא דריבית</v>
      </c>
    </row>
    <row r="42553" spans="1:6" x14ac:dyDescent="0.2">
      <c r="A42553" t="s">
        <v>64533</v>
      </c>
      <c r="B42553" t="s">
        <v>48894</v>
      </c>
      <c r="C42553" t="s">
        <v>133</v>
      </c>
      <c r="D42553" t="s">
        <v>152</v>
      </c>
      <c r="E42553" t="s">
        <v>186</v>
      </c>
      <c r="F42553" s="2" t="str">
        <f>HYPERLINK("http://www.otzar.org/book.asp?173141","שמעתתא דשבת - 2 כר'")</f>
        <v>שמעתתא דשבת - 2 כר'</v>
      </c>
    </row>
    <row r="42554" spans="1:6" x14ac:dyDescent="0.2">
      <c r="A42554" t="s">
        <v>64534</v>
      </c>
      <c r="B42554" t="s">
        <v>64498</v>
      </c>
      <c r="C42554" t="s">
        <v>51</v>
      </c>
      <c r="D42554" t="s">
        <v>14</v>
      </c>
      <c r="E42554" t="s">
        <v>144</v>
      </c>
      <c r="F42554" s="2" t="str">
        <f>HYPERLINK("http://www.otzar.org/book.asp?50357","שמעתתא דשגגות")</f>
        <v>שמעתתא דשגגות</v>
      </c>
    </row>
    <row r="42555" spans="1:6" x14ac:dyDescent="0.2">
      <c r="A42555" t="s">
        <v>64535</v>
      </c>
      <c r="B42555" t="s">
        <v>49004</v>
      </c>
      <c r="C42555" t="s">
        <v>13</v>
      </c>
      <c r="D42555" t="s">
        <v>52</v>
      </c>
      <c r="E42555" t="s">
        <v>144</v>
      </c>
      <c r="F42555" s="2" t="str">
        <f>HYPERLINK("http://www.otzar.org/book.asp?61003","שמעתתא דשומרים")</f>
        <v>שמעתתא דשומרים</v>
      </c>
    </row>
    <row r="42556" spans="1:6" x14ac:dyDescent="0.2">
      <c r="A42556" t="s">
        <v>64536</v>
      </c>
      <c r="B42556" t="s">
        <v>64510</v>
      </c>
      <c r="C42556" t="s">
        <v>23</v>
      </c>
      <c r="D42556" t="s">
        <v>21</v>
      </c>
      <c r="E42556" t="s">
        <v>144</v>
      </c>
      <c r="F42556" s="2" t="str">
        <f>HYPERLINK("http://www.otzar.org/book.asp?601185","שמעתתא דתערובות")</f>
        <v>שמעתתא דתערובות</v>
      </c>
    </row>
    <row r="42557" spans="1:6" x14ac:dyDescent="0.2">
      <c r="A42557" t="s">
        <v>64537</v>
      </c>
      <c r="B42557" t="s">
        <v>6178</v>
      </c>
      <c r="C42557" t="s">
        <v>103</v>
      </c>
      <c r="D42557" t="s">
        <v>21</v>
      </c>
      <c r="E42557" t="s">
        <v>15</v>
      </c>
      <c r="F42557" s="2" t="str">
        <f>HYPERLINK("http://www.otzar.org/book.asp?600281","שמעתתא דתפילין")</f>
        <v>שמעתתא דתפילין</v>
      </c>
    </row>
    <row r="42558" spans="1:6" x14ac:dyDescent="0.2">
      <c r="A42558" t="s">
        <v>64538</v>
      </c>
      <c r="B42558" t="s">
        <v>64539</v>
      </c>
      <c r="C42558" t="s">
        <v>244</v>
      </c>
      <c r="D42558" t="s">
        <v>10790</v>
      </c>
      <c r="E42558" t="s">
        <v>186</v>
      </c>
      <c r="F42558" s="2" t="str">
        <f>HYPERLINK("http://www.otzar.org/book.asp?199806","שמעתתא מפומייהו דרבנן - 3 כר'")</f>
        <v>שמעתתא מפומייהו דרבנן - 3 כר'</v>
      </c>
    </row>
    <row r="42559" spans="1:6" x14ac:dyDescent="0.2">
      <c r="A42559" t="s">
        <v>64540</v>
      </c>
      <c r="B42559" t="s">
        <v>64541</v>
      </c>
      <c r="C42559" t="s">
        <v>68</v>
      </c>
      <c r="D42559" t="s">
        <v>14</v>
      </c>
      <c r="E42559" t="s">
        <v>144</v>
      </c>
      <c r="F42559" s="2" t="str">
        <f>HYPERLINK("http://www.otzar.org/book.asp?169510","שמעתתא - 3 כר'")</f>
        <v>שמעתתא - 3 כר'</v>
      </c>
    </row>
    <row r="42560" spans="1:6" x14ac:dyDescent="0.2">
      <c r="A42560" t="s">
        <v>64542</v>
      </c>
      <c r="B42560" t="s">
        <v>44229</v>
      </c>
      <c r="C42560" t="s">
        <v>20</v>
      </c>
      <c r="D42560" t="s">
        <v>21</v>
      </c>
      <c r="E42560" t="s">
        <v>144</v>
      </c>
      <c r="F42560" s="2" t="str">
        <f>HYPERLINK("http://www.otzar.org/book.asp?190263","שמעתתא - 7 כר'")</f>
        <v>שמעתתא - 7 כר'</v>
      </c>
    </row>
    <row r="42561" spans="1:6" x14ac:dyDescent="0.2">
      <c r="A42561" t="s">
        <v>64543</v>
      </c>
      <c r="B42561" t="s">
        <v>64544</v>
      </c>
      <c r="C42561" t="s">
        <v>1208</v>
      </c>
      <c r="D42561" t="s">
        <v>52</v>
      </c>
      <c r="F42561" s="2" t="str">
        <f>HYPERLINK("http://www.otzar.org/book.asp?193125","שמעתתא - א")</f>
        <v>שמעתתא - א</v>
      </c>
    </row>
    <row r="42562" spans="1:6" x14ac:dyDescent="0.2">
      <c r="A42562" t="s">
        <v>64545</v>
      </c>
      <c r="B42562" t="s">
        <v>489</v>
      </c>
      <c r="C42562" t="s">
        <v>64546</v>
      </c>
      <c r="D42562" t="s">
        <v>5209</v>
      </c>
      <c r="E42562" t="s">
        <v>1211</v>
      </c>
      <c r="F42562" s="2" t="str">
        <f>HYPERLINK("http://www.otzar.org/book.asp?167271","שמעתתי דרבנן - 2 כר'")</f>
        <v>שמעתתי דרבנן - 2 כר'</v>
      </c>
    </row>
    <row r="42563" spans="1:6" x14ac:dyDescent="0.2">
      <c r="A42563" t="s">
        <v>64547</v>
      </c>
      <c r="B42563" t="s">
        <v>64548</v>
      </c>
      <c r="C42563" t="s">
        <v>1535</v>
      </c>
      <c r="D42563" t="s">
        <v>14</v>
      </c>
      <c r="E42563" t="s">
        <v>219</v>
      </c>
      <c r="F42563" s="2" t="str">
        <f>HYPERLINK("http://www.otzar.org/book.asp?11691","שמר הסף")</f>
        <v>שמר הסף</v>
      </c>
    </row>
    <row r="42564" spans="1:6" x14ac:dyDescent="0.2">
      <c r="A42564" t="s">
        <v>64549</v>
      </c>
      <c r="B42564" t="s">
        <v>2396</v>
      </c>
      <c r="C42564" t="s">
        <v>411</v>
      </c>
      <c r="D42564" t="s">
        <v>1076</v>
      </c>
      <c r="E42564" t="s">
        <v>158</v>
      </c>
      <c r="F42564" s="2" t="str">
        <f>HYPERLINK("http://www.otzar.org/book.asp?617278","שמרה זאת לעולם - בפסוקי התורה")</f>
        <v>שמרה זאת לעולם - בפסוקי התורה</v>
      </c>
    </row>
    <row r="42565" spans="1:6" x14ac:dyDescent="0.2">
      <c r="A42565" t="s">
        <v>64550</v>
      </c>
      <c r="B42565" t="s">
        <v>31095</v>
      </c>
      <c r="C42565" t="s">
        <v>888</v>
      </c>
      <c r="D42565" t="s">
        <v>27</v>
      </c>
      <c r="F42565" s="2" t="str">
        <f>HYPERLINK("http://www.otzar.org/book.asp?189641","שמרו משפט ועשו צדקה")</f>
        <v>שמרו משפט ועשו צדקה</v>
      </c>
    </row>
    <row r="42566" spans="1:6" x14ac:dyDescent="0.2">
      <c r="A42566" t="s">
        <v>64551</v>
      </c>
      <c r="B42566" t="s">
        <v>22172</v>
      </c>
      <c r="C42566" t="s">
        <v>103</v>
      </c>
      <c r="D42566" t="s">
        <v>14</v>
      </c>
      <c r="E42566" t="s">
        <v>154</v>
      </c>
      <c r="F42566" s="2" t="str">
        <f>HYPERLINK("http://www.otzar.org/book.asp?23301","שמרו משפט - 4 כר'")</f>
        <v>שמרו משפט - 4 כר'</v>
      </c>
    </row>
    <row r="42567" spans="1:6" x14ac:dyDescent="0.2">
      <c r="A42567" t="s">
        <v>64552</v>
      </c>
      <c r="B42567" t="s">
        <v>10164</v>
      </c>
      <c r="C42567" t="s">
        <v>492</v>
      </c>
      <c r="D42567" t="s">
        <v>27</v>
      </c>
      <c r="E42567" t="s">
        <v>81</v>
      </c>
      <c r="F42567" s="2" t="str">
        <f>HYPERLINK("http://www.otzar.org/book.asp?17440","שמרו משפט - 2 כר'")</f>
        <v>שמרו משפט - 2 כר'</v>
      </c>
    </row>
    <row r="42568" spans="1:6" x14ac:dyDescent="0.2">
      <c r="A42568" t="s">
        <v>64553</v>
      </c>
      <c r="B42568" t="s">
        <v>64554</v>
      </c>
      <c r="C42568" t="s">
        <v>3106</v>
      </c>
      <c r="D42568" t="s">
        <v>216</v>
      </c>
      <c r="E42568" t="s">
        <v>2633</v>
      </c>
      <c r="F42568" s="2" t="str">
        <f>HYPERLINK("http://www.otzar.org/book.asp?158911","שמש ומגן זכרון מנחם")</f>
        <v>שמש ומגן זכרון מנחם</v>
      </c>
    </row>
    <row r="42569" spans="1:6" x14ac:dyDescent="0.2">
      <c r="A42569" t="s">
        <v>64555</v>
      </c>
      <c r="B42569" t="s">
        <v>26871</v>
      </c>
      <c r="C42569" t="s">
        <v>617</v>
      </c>
      <c r="D42569" t="s">
        <v>27</v>
      </c>
      <c r="E42569" t="s">
        <v>474</v>
      </c>
      <c r="F42569" s="2" t="str">
        <f>HYPERLINK("http://www.otzar.org/book.asp?21398","שמש ומגן ירושלמי")</f>
        <v>שמש ומגן ירושלמי</v>
      </c>
    </row>
    <row r="42570" spans="1:6" x14ac:dyDescent="0.2">
      <c r="A42570" t="s">
        <v>64556</v>
      </c>
      <c r="B42570" t="s">
        <v>31512</v>
      </c>
      <c r="C42570" t="s">
        <v>3690</v>
      </c>
      <c r="D42570" t="s">
        <v>27</v>
      </c>
      <c r="E42570" t="s">
        <v>2758</v>
      </c>
      <c r="F42570" s="2" t="str">
        <f>HYPERLINK("http://www.otzar.org/book.asp?28479","שמש ומגן")</f>
        <v>שמש ומגן</v>
      </c>
    </row>
    <row r="42571" spans="1:6" x14ac:dyDescent="0.2">
      <c r="A42571" t="s">
        <v>64557</v>
      </c>
      <c r="B42571" t="s">
        <v>24363</v>
      </c>
      <c r="C42571" t="s">
        <v>919</v>
      </c>
      <c r="D42571" t="s">
        <v>14</v>
      </c>
      <c r="E42571" t="s">
        <v>435</v>
      </c>
      <c r="F42571" s="2" t="str">
        <f>HYPERLINK("http://www.otzar.org/book.asp?11708","שמש ומגן - פסחים")</f>
        <v>שמש ומגן - פסחים</v>
      </c>
    </row>
    <row r="42572" spans="1:6" x14ac:dyDescent="0.2">
      <c r="A42572" t="s">
        <v>64558</v>
      </c>
      <c r="B42572" t="s">
        <v>9976</v>
      </c>
      <c r="C42572" t="s">
        <v>189</v>
      </c>
      <c r="D42572" t="s">
        <v>2798</v>
      </c>
      <c r="F42572" s="2" t="str">
        <f>HYPERLINK("http://www.otzar.org/book.asp?616960","שמש ינון")</f>
        <v>שמש ינון</v>
      </c>
    </row>
    <row r="42573" spans="1:6" x14ac:dyDescent="0.2">
      <c r="A42573" t="s">
        <v>64558</v>
      </c>
      <c r="B42573" t="s">
        <v>64559</v>
      </c>
      <c r="C42573" t="s">
        <v>422</v>
      </c>
      <c r="D42573" t="s">
        <v>7249</v>
      </c>
      <c r="E42573" t="s">
        <v>920</v>
      </c>
      <c r="F42573" s="2" t="str">
        <f>HYPERLINK("http://www.otzar.org/book.asp?166324","שמש ינון")</f>
        <v>שמש ינון</v>
      </c>
    </row>
    <row r="42574" spans="1:6" x14ac:dyDescent="0.2">
      <c r="A42574" t="s">
        <v>64560</v>
      </c>
      <c r="B42574" t="s">
        <v>1363</v>
      </c>
      <c r="C42574" t="s">
        <v>3840</v>
      </c>
      <c r="D42574" t="s">
        <v>9</v>
      </c>
      <c r="E42574" t="s">
        <v>158</v>
      </c>
      <c r="F42574" s="2" t="str">
        <f>HYPERLINK("http://www.otzar.org/book.asp?149623","שמש מרפא")</f>
        <v>שמש מרפא</v>
      </c>
    </row>
    <row r="42575" spans="1:6" x14ac:dyDescent="0.2">
      <c r="A42575" t="s">
        <v>64561</v>
      </c>
      <c r="B42575" t="s">
        <v>1417</v>
      </c>
      <c r="C42575" t="s">
        <v>176</v>
      </c>
      <c r="D42575" t="s">
        <v>412</v>
      </c>
      <c r="F42575" s="2" t="str">
        <f>HYPERLINK("http://www.otzar.org/book.asp?630385","שמש צדקה &lt;מהדורה חדשה&gt;")</f>
        <v>שמש צדקה &lt;מהדורה חדשה&gt;</v>
      </c>
    </row>
    <row r="42576" spans="1:6" x14ac:dyDescent="0.2">
      <c r="A42576" t="s">
        <v>64562</v>
      </c>
      <c r="B42576" t="s">
        <v>49897</v>
      </c>
      <c r="C42576" t="s">
        <v>1778</v>
      </c>
      <c r="D42576" t="s">
        <v>49</v>
      </c>
      <c r="E42576" t="s">
        <v>154</v>
      </c>
      <c r="F42576" s="2" t="str">
        <f>HYPERLINK("http://www.otzar.org/book.asp?102669","שמש צדקה - 2 כר'")</f>
        <v>שמש צדקה - 2 כר'</v>
      </c>
    </row>
    <row r="42577" spans="1:6" x14ac:dyDescent="0.2">
      <c r="A42577" t="s">
        <v>64563</v>
      </c>
      <c r="B42577" t="s">
        <v>1417</v>
      </c>
      <c r="C42577" t="s">
        <v>9995</v>
      </c>
      <c r="D42577" t="s">
        <v>42</v>
      </c>
      <c r="E42577" t="s">
        <v>144</v>
      </c>
      <c r="F42577" s="2" t="str">
        <f>HYPERLINK("http://www.otzar.org/book.asp?151531","שמש צדקה")</f>
        <v>שמש צדקה</v>
      </c>
    </row>
    <row r="42578" spans="1:6" x14ac:dyDescent="0.2">
      <c r="A42578" t="s">
        <v>64564</v>
      </c>
      <c r="B42578" t="s">
        <v>64565</v>
      </c>
      <c r="C42578" t="s">
        <v>45279</v>
      </c>
      <c r="D42578" t="s">
        <v>283</v>
      </c>
      <c r="E42578" t="s">
        <v>474</v>
      </c>
      <c r="F42578" s="2" t="str">
        <f>HYPERLINK("http://www.otzar.org/book.asp?17080","שמשא דשמואל")</f>
        <v>שמשא דשמואל</v>
      </c>
    </row>
    <row r="42579" spans="1:6" x14ac:dyDescent="0.2">
      <c r="A42579" t="s">
        <v>64566</v>
      </c>
      <c r="B42579" t="s">
        <v>64567</v>
      </c>
      <c r="C42579" t="s">
        <v>888</v>
      </c>
      <c r="D42579" t="s">
        <v>582</v>
      </c>
      <c r="F42579" s="2" t="str">
        <f>HYPERLINK("http://www.otzar.org/book.asp?193844","שנאת חינם")</f>
        <v>שנאת חינם</v>
      </c>
    </row>
    <row r="42580" spans="1:6" x14ac:dyDescent="0.2">
      <c r="A42580" t="s">
        <v>64568</v>
      </c>
      <c r="B42580" t="s">
        <v>107</v>
      </c>
      <c r="C42580" t="s">
        <v>51</v>
      </c>
      <c r="D42580" t="s">
        <v>14</v>
      </c>
      <c r="E42580" t="s">
        <v>119</v>
      </c>
      <c r="F42580" s="2" t="str">
        <f>HYPERLINK("http://www.otzar.org/book.asp?84027","שנאת עולם לעם עולם")</f>
        <v>שנאת עולם לעם עולם</v>
      </c>
    </row>
    <row r="42581" spans="1:6" x14ac:dyDescent="0.2">
      <c r="A42581" t="s">
        <v>64569</v>
      </c>
      <c r="B42581" t="s">
        <v>64570</v>
      </c>
      <c r="C42581" t="s">
        <v>767</v>
      </c>
      <c r="D42581" t="s">
        <v>14</v>
      </c>
      <c r="E42581" t="s">
        <v>15</v>
      </c>
      <c r="F42581" s="2" t="str">
        <f>HYPERLINK("http://www.otzar.org/book.asp?188454","שנה בשנה - 3 כר'")</f>
        <v>שנה בשנה - 3 כר'</v>
      </c>
    </row>
    <row r="42582" spans="1:6" x14ac:dyDescent="0.2">
      <c r="A42582" t="s">
        <v>64571</v>
      </c>
      <c r="B42582" t="s">
        <v>2688</v>
      </c>
      <c r="C42582" t="s">
        <v>87</v>
      </c>
      <c r="D42582" t="s">
        <v>412</v>
      </c>
      <c r="E42582" t="s">
        <v>213</v>
      </c>
      <c r="F42582" s="2" t="str">
        <f>HYPERLINK("http://www.otzar.org/book.asp?21749","שנו חכמים בלשון המשנה")</f>
        <v>שנו חכמים בלשון המשנה</v>
      </c>
    </row>
    <row r="42583" spans="1:6" x14ac:dyDescent="0.2">
      <c r="A42583" t="s">
        <v>64572</v>
      </c>
      <c r="B42583" t="s">
        <v>34788</v>
      </c>
      <c r="C42583" t="s">
        <v>1535</v>
      </c>
      <c r="D42583" t="s">
        <v>3208</v>
      </c>
      <c r="F42583" s="2" t="str">
        <f>HYPERLINK("http://www.otzar.org/book.asp?620606","שנוי הלוח")</f>
        <v>שנוי הלוח</v>
      </c>
    </row>
    <row r="42584" spans="1:6" x14ac:dyDescent="0.2">
      <c r="A42584" t="s">
        <v>64573</v>
      </c>
      <c r="B42584" t="s">
        <v>1821</v>
      </c>
      <c r="C42584" t="s">
        <v>1537</v>
      </c>
      <c r="D42584" t="s">
        <v>283</v>
      </c>
      <c r="E42584" t="s">
        <v>84</v>
      </c>
      <c r="F42584" s="2" t="str">
        <f>HYPERLINK("http://www.otzar.org/book.asp?182170","שנות אליהו - 3 כר'")</f>
        <v>שנות אליהו - 3 כר'</v>
      </c>
    </row>
    <row r="42585" spans="1:6" x14ac:dyDescent="0.2">
      <c r="A42585" t="s">
        <v>64574</v>
      </c>
      <c r="B42585" t="s">
        <v>2853</v>
      </c>
      <c r="C42585" t="s">
        <v>20</v>
      </c>
      <c r="D42585" t="s">
        <v>260</v>
      </c>
      <c r="E42585" t="s">
        <v>246</v>
      </c>
      <c r="F42585" s="2" t="str">
        <f>HYPERLINK("http://www.otzar.org/book.asp?195675","שנות ביכורים - 4 כר'")</f>
        <v>שנות ביכורים - 4 כר'</v>
      </c>
    </row>
    <row r="42586" spans="1:6" x14ac:dyDescent="0.2">
      <c r="A42586" t="s">
        <v>64575</v>
      </c>
      <c r="B42586" t="s">
        <v>64576</v>
      </c>
      <c r="C42586" t="s">
        <v>313</v>
      </c>
      <c r="D42586" t="s">
        <v>14</v>
      </c>
      <c r="E42586" t="s">
        <v>384</v>
      </c>
      <c r="F42586" s="2" t="str">
        <f>HYPERLINK("http://www.otzar.org/book.asp?50453","שנות דור ודור - 5 כר'")</f>
        <v>שנות דור ודור - 5 כר'</v>
      </c>
    </row>
    <row r="42587" spans="1:6" x14ac:dyDescent="0.2">
      <c r="A42587" t="s">
        <v>64577</v>
      </c>
      <c r="B42587" t="s">
        <v>37910</v>
      </c>
      <c r="C42587" t="s">
        <v>1448</v>
      </c>
      <c r="D42587" t="s">
        <v>412</v>
      </c>
      <c r="E42587" t="s">
        <v>119</v>
      </c>
      <c r="F42587" s="2" t="str">
        <f>HYPERLINK("http://www.otzar.org/book.asp?173047","שנות דור ודור")</f>
        <v>שנות דור ודור</v>
      </c>
    </row>
    <row r="42588" spans="1:6" x14ac:dyDescent="0.2">
      <c r="A42588" t="s">
        <v>64578</v>
      </c>
      <c r="B42588" t="s">
        <v>64579</v>
      </c>
      <c r="C42588" t="s">
        <v>462</v>
      </c>
      <c r="D42588" t="s">
        <v>283</v>
      </c>
      <c r="E42588" t="s">
        <v>786</v>
      </c>
      <c r="F42588" s="2" t="str">
        <f>HYPERLINK("http://www.otzar.org/book.asp?102004","שנות החיים")</f>
        <v>שנות החיים</v>
      </c>
    </row>
    <row r="42589" spans="1:6" x14ac:dyDescent="0.2">
      <c r="A42589" t="s">
        <v>64580</v>
      </c>
      <c r="B42589" t="s">
        <v>64581</v>
      </c>
      <c r="C42589" t="s">
        <v>422</v>
      </c>
      <c r="D42589" t="s">
        <v>216</v>
      </c>
      <c r="E42589" t="s">
        <v>15</v>
      </c>
      <c r="F42589" s="2" t="str">
        <f>HYPERLINK("http://www.otzar.org/book.asp?148187","שנות חיים - 4 כר'")</f>
        <v>שנות חיים - 4 כר'</v>
      </c>
    </row>
    <row r="42590" spans="1:6" x14ac:dyDescent="0.2">
      <c r="A42590" t="s">
        <v>64582</v>
      </c>
      <c r="B42590" t="s">
        <v>36250</v>
      </c>
      <c r="C42590" t="s">
        <v>151</v>
      </c>
      <c r="D42590" t="s">
        <v>21</v>
      </c>
      <c r="F42590" s="2" t="str">
        <f>HYPERLINK("http://www.otzar.org/book.asp?622056","שנות חיים - 3 כר'")</f>
        <v>שנות חיים - 3 כר'</v>
      </c>
    </row>
    <row r="42591" spans="1:6" x14ac:dyDescent="0.2">
      <c r="A42591" t="s">
        <v>64583</v>
      </c>
      <c r="B42591" t="s">
        <v>206</v>
      </c>
      <c r="C42591" t="s">
        <v>244</v>
      </c>
      <c r="D42591" t="s">
        <v>90</v>
      </c>
      <c r="E42591" t="s">
        <v>241</v>
      </c>
      <c r="F42591" s="2" t="str">
        <f>HYPERLINK("http://www.otzar.org/book.asp?603006","שנות חיים")</f>
        <v>שנות חיים</v>
      </c>
    </row>
    <row r="42592" spans="1:6" x14ac:dyDescent="0.2">
      <c r="A42592" t="s">
        <v>64584</v>
      </c>
      <c r="B42592" t="s">
        <v>64585</v>
      </c>
      <c r="C42592" t="s">
        <v>29573</v>
      </c>
      <c r="D42592" t="s">
        <v>267</v>
      </c>
      <c r="E42592" t="s">
        <v>158</v>
      </c>
      <c r="F42592" s="2" t="str">
        <f>HYPERLINK("http://www.otzar.org/book.asp?20623","שנות חיים - 2 כר'")</f>
        <v>שנות חיים - 2 כר'</v>
      </c>
    </row>
    <row r="42593" spans="1:6" x14ac:dyDescent="0.2">
      <c r="A42593" t="s">
        <v>64583</v>
      </c>
      <c r="B42593" t="s">
        <v>64586</v>
      </c>
      <c r="C42593" t="s">
        <v>270</v>
      </c>
      <c r="D42593" t="s">
        <v>3817</v>
      </c>
      <c r="E42593" t="s">
        <v>148</v>
      </c>
      <c r="F42593" s="2" t="str">
        <f>HYPERLINK("http://www.otzar.org/book.asp?83598","שנות חיים")</f>
        <v>שנות חיים</v>
      </c>
    </row>
    <row r="42594" spans="1:6" x14ac:dyDescent="0.2">
      <c r="A42594" t="s">
        <v>64583</v>
      </c>
      <c r="B42594" t="s">
        <v>2074</v>
      </c>
      <c r="C42594" t="s">
        <v>23</v>
      </c>
      <c r="D42594" t="s">
        <v>14</v>
      </c>
      <c r="F42594" s="2" t="str">
        <f>HYPERLINK("http://www.otzar.org/book.asp?188201","שנות חיים")</f>
        <v>שנות חיים</v>
      </c>
    </row>
    <row r="42595" spans="1:6" x14ac:dyDescent="0.2">
      <c r="A42595" t="s">
        <v>64582</v>
      </c>
      <c r="B42595" t="s">
        <v>64587</v>
      </c>
      <c r="C42595" t="s">
        <v>956</v>
      </c>
      <c r="D42595" t="s">
        <v>118</v>
      </c>
      <c r="E42595" t="s">
        <v>463</v>
      </c>
      <c r="F42595" s="2" t="str">
        <f>HYPERLINK("http://www.otzar.org/book.asp?10410","שנות חיים - 3 כר'")</f>
        <v>שנות חיים - 3 כר'</v>
      </c>
    </row>
    <row r="42596" spans="1:6" x14ac:dyDescent="0.2">
      <c r="A42596" t="s">
        <v>64583</v>
      </c>
      <c r="B42596" t="s">
        <v>64588</v>
      </c>
      <c r="C42596" t="s">
        <v>64589</v>
      </c>
      <c r="D42596" t="s">
        <v>49</v>
      </c>
      <c r="E42596" t="s">
        <v>158</v>
      </c>
      <c r="F42596" s="2" t="str">
        <f>HYPERLINK("http://www.otzar.org/book.asp?20624","שנות חיים")</f>
        <v>שנות חיים</v>
      </c>
    </row>
    <row r="42597" spans="1:6" x14ac:dyDescent="0.2">
      <c r="A42597" t="s">
        <v>64583</v>
      </c>
      <c r="B42597" t="s">
        <v>64590</v>
      </c>
      <c r="C42597" t="s">
        <v>4087</v>
      </c>
      <c r="D42597" t="s">
        <v>1023</v>
      </c>
      <c r="E42597" t="s">
        <v>158</v>
      </c>
      <c r="F42597" s="2" t="str">
        <f>HYPERLINK("http://www.otzar.org/book.asp?102563","שנות חיים")</f>
        <v>שנות חיים</v>
      </c>
    </row>
    <row r="42598" spans="1:6" x14ac:dyDescent="0.2">
      <c r="A42598" t="s">
        <v>64591</v>
      </c>
      <c r="B42598" t="s">
        <v>64592</v>
      </c>
      <c r="C42598" t="s">
        <v>26</v>
      </c>
      <c r="D42598" t="s">
        <v>14</v>
      </c>
      <c r="E42598" t="s">
        <v>144</v>
      </c>
      <c r="F42598" s="2" t="str">
        <f>HYPERLINK("http://www.otzar.org/book.asp?14849","שנות חיים - א")</f>
        <v>שנות חיים - א</v>
      </c>
    </row>
    <row r="42599" spans="1:6" x14ac:dyDescent="0.2">
      <c r="A42599" t="s">
        <v>64583</v>
      </c>
      <c r="B42599" t="s">
        <v>20652</v>
      </c>
      <c r="C42599" t="s">
        <v>1650</v>
      </c>
      <c r="D42599" t="s">
        <v>27</v>
      </c>
      <c r="E42599" t="s">
        <v>15</v>
      </c>
      <c r="F42599" s="2" t="str">
        <f>HYPERLINK("http://www.otzar.org/book.asp?149155","שנות חיים")</f>
        <v>שנות חיים</v>
      </c>
    </row>
    <row r="42600" spans="1:6" x14ac:dyDescent="0.2">
      <c r="A42600" t="s">
        <v>64583</v>
      </c>
      <c r="B42600" t="s">
        <v>305</v>
      </c>
      <c r="C42600" t="s">
        <v>1414</v>
      </c>
      <c r="D42600" t="s">
        <v>1279</v>
      </c>
      <c r="E42600" t="s">
        <v>508</v>
      </c>
      <c r="F42600" s="2" t="str">
        <f>HYPERLINK("http://www.otzar.org/book.asp?881","שנות חיים")</f>
        <v>שנות חיים</v>
      </c>
    </row>
    <row r="42601" spans="1:6" x14ac:dyDescent="0.2">
      <c r="A42601" t="s">
        <v>64584</v>
      </c>
      <c r="B42601" t="s">
        <v>64593</v>
      </c>
      <c r="C42601" t="s">
        <v>775</v>
      </c>
      <c r="D42601" t="s">
        <v>52</v>
      </c>
      <c r="E42601" t="s">
        <v>144</v>
      </c>
      <c r="F42601" s="2" t="str">
        <f>HYPERLINK("http://www.otzar.org/book.asp?151193","שנות חיים - 2 כר'")</f>
        <v>שנות חיים - 2 כר'</v>
      </c>
    </row>
    <row r="42602" spans="1:6" x14ac:dyDescent="0.2">
      <c r="A42602" t="s">
        <v>64584</v>
      </c>
      <c r="B42602" t="s">
        <v>64594</v>
      </c>
      <c r="C42602" t="s">
        <v>37</v>
      </c>
      <c r="D42602" t="s">
        <v>115</v>
      </c>
      <c r="E42602" t="s">
        <v>202</v>
      </c>
      <c r="F42602" s="2" t="str">
        <f>HYPERLINK("http://www.otzar.org/book.asp?198680","שנות חיים - 2 כר'")</f>
        <v>שנות חיים - 2 כר'</v>
      </c>
    </row>
    <row r="42603" spans="1:6" x14ac:dyDescent="0.2">
      <c r="A42603" t="s">
        <v>64595</v>
      </c>
      <c r="B42603" t="s">
        <v>28314</v>
      </c>
      <c r="C42603" t="s">
        <v>64596</v>
      </c>
      <c r="D42603" t="s">
        <v>157</v>
      </c>
      <c r="E42603" t="s">
        <v>234</v>
      </c>
      <c r="F42603" s="2" t="str">
        <f>HYPERLINK("http://www.otzar.org/book.asp?103239","שנות ימין - 2 כר'")</f>
        <v>שנות ימין - 2 כר'</v>
      </c>
    </row>
    <row r="42604" spans="1:6" x14ac:dyDescent="0.2">
      <c r="A42604" t="s">
        <v>64597</v>
      </c>
      <c r="B42604" t="s">
        <v>64598</v>
      </c>
      <c r="C42604" t="s">
        <v>20</v>
      </c>
      <c r="D42604" t="s">
        <v>3436</v>
      </c>
      <c r="E42604" t="s">
        <v>119</v>
      </c>
      <c r="F42604" s="2" t="str">
        <f>HYPERLINK("http://www.otzar.org/book.asp?193676","שנות משה")</f>
        <v>שנות משה</v>
      </c>
    </row>
    <row r="42605" spans="1:6" x14ac:dyDescent="0.2">
      <c r="A42605" t="s">
        <v>64599</v>
      </c>
      <c r="B42605" t="s">
        <v>7235</v>
      </c>
      <c r="C42605" t="s">
        <v>111</v>
      </c>
      <c r="D42605" t="s">
        <v>52</v>
      </c>
      <c r="E42605" t="s">
        <v>1164</v>
      </c>
      <c r="F42605" s="2" t="str">
        <f>HYPERLINK("http://www.otzar.org/book.asp?623801","שני אדנים")</f>
        <v>שני אדנים</v>
      </c>
    </row>
    <row r="42606" spans="1:6" x14ac:dyDescent="0.2">
      <c r="A42606" t="s">
        <v>64600</v>
      </c>
      <c r="B42606" t="s">
        <v>599</v>
      </c>
      <c r="C42606" t="s">
        <v>10877</v>
      </c>
      <c r="D42606" t="s">
        <v>27</v>
      </c>
      <c r="E42606" t="s">
        <v>234</v>
      </c>
      <c r="F42606" s="2" t="str">
        <f>HYPERLINK("http://www.otzar.org/book.asp?9795","שני אליהו")</f>
        <v>שני אליהו</v>
      </c>
    </row>
    <row r="42607" spans="1:6" x14ac:dyDescent="0.2">
      <c r="A42607" t="s">
        <v>64600</v>
      </c>
      <c r="B42607" t="s">
        <v>1845</v>
      </c>
      <c r="C42607" t="s">
        <v>1519</v>
      </c>
      <c r="D42607" t="s">
        <v>212</v>
      </c>
      <c r="E42607" t="s">
        <v>435</v>
      </c>
      <c r="F42607" s="2" t="str">
        <f>HYPERLINK("http://www.otzar.org/book.asp?16042","שני אליהו")</f>
        <v>שני אליהו</v>
      </c>
    </row>
    <row r="42608" spans="1:6" x14ac:dyDescent="0.2">
      <c r="A42608" t="s">
        <v>64601</v>
      </c>
      <c r="B42608" t="s">
        <v>732</v>
      </c>
      <c r="C42608" t="s">
        <v>619</v>
      </c>
      <c r="D42608" t="s">
        <v>27</v>
      </c>
      <c r="E42608" t="s">
        <v>119</v>
      </c>
      <c r="F42608" s="2" t="str">
        <f>HYPERLINK("http://www.otzar.org/book.asp?188670","שני בתי אבות בישראל")</f>
        <v>שני בתי אבות בישראל</v>
      </c>
    </row>
    <row r="42609" spans="1:6" x14ac:dyDescent="0.2">
      <c r="A42609" t="s">
        <v>64602</v>
      </c>
      <c r="B42609" t="s">
        <v>64603</v>
      </c>
      <c r="C42609" t="s">
        <v>13</v>
      </c>
      <c r="D42609" t="s">
        <v>14</v>
      </c>
      <c r="E42609" t="s">
        <v>2071</v>
      </c>
      <c r="F42609" s="2" t="str">
        <f>HYPERLINK("http://www.otzar.org/book.asp?170766","שני המאורות &lt;מהדורה חדשה&gt;")</f>
        <v>שני המאורות &lt;מהדורה חדשה&gt;</v>
      </c>
    </row>
    <row r="42610" spans="1:6" x14ac:dyDescent="0.2">
      <c r="A42610" t="s">
        <v>64604</v>
      </c>
      <c r="B42610" t="s">
        <v>64605</v>
      </c>
      <c r="C42610" t="s">
        <v>10572</v>
      </c>
      <c r="D42610" t="s">
        <v>1490</v>
      </c>
      <c r="E42610" t="s">
        <v>154</v>
      </c>
      <c r="F42610" s="2" t="str">
        <f>HYPERLINK("http://www.otzar.org/book.asp?101930","שני המאורות הגדולים &lt;אדרת אליהו, פני יהושע&gt;")</f>
        <v>שני המאורות הגדולים &lt;אדרת אליהו, פני יהושע&gt;</v>
      </c>
    </row>
    <row r="42611" spans="1:6" x14ac:dyDescent="0.2">
      <c r="A42611" t="s">
        <v>64606</v>
      </c>
      <c r="B42611" t="s">
        <v>64607</v>
      </c>
      <c r="C42611" t="s">
        <v>908</v>
      </c>
      <c r="D42611" t="s">
        <v>10393</v>
      </c>
      <c r="E42611" t="s">
        <v>241</v>
      </c>
      <c r="F42611" s="2" t="str">
        <f>HYPERLINK("http://www.otzar.org/book.asp?149033","שני המאורות הגדולים")</f>
        <v>שני המאורות הגדולים</v>
      </c>
    </row>
    <row r="42612" spans="1:6" x14ac:dyDescent="0.2">
      <c r="A42612" t="s">
        <v>64608</v>
      </c>
      <c r="B42612" t="s">
        <v>42822</v>
      </c>
      <c r="C42612" t="s">
        <v>553</v>
      </c>
      <c r="D42612" t="s">
        <v>216</v>
      </c>
      <c r="F42612" s="2" t="str">
        <f>HYPERLINK("http://www.otzar.org/book.asp?620369","שני המאורות - 2 כר'")</f>
        <v>שני המאורות - 2 כר'</v>
      </c>
    </row>
    <row r="42613" spans="1:6" x14ac:dyDescent="0.2">
      <c r="A42613" t="s">
        <v>64609</v>
      </c>
      <c r="B42613" t="s">
        <v>1029</v>
      </c>
      <c r="C42613" t="s">
        <v>20</v>
      </c>
      <c r="D42613" t="s">
        <v>14591</v>
      </c>
      <c r="E42613" t="s">
        <v>119</v>
      </c>
      <c r="F42613" s="2" t="str">
        <f>HYPERLINK("http://www.otzar.org/book.asp?604212","שני המאורות")</f>
        <v>שני המאורות</v>
      </c>
    </row>
    <row r="42614" spans="1:6" x14ac:dyDescent="0.2">
      <c r="A42614" t="s">
        <v>64609</v>
      </c>
      <c r="B42614" t="s">
        <v>1320</v>
      </c>
      <c r="C42614" t="s">
        <v>15405</v>
      </c>
      <c r="D42614" t="s">
        <v>280</v>
      </c>
      <c r="E42614" t="s">
        <v>213</v>
      </c>
      <c r="F42614" s="2" t="str">
        <f>HYPERLINK("http://www.otzar.org/book.asp?12416","שני המאורות")</f>
        <v>שני המאורות</v>
      </c>
    </row>
    <row r="42615" spans="1:6" x14ac:dyDescent="0.2">
      <c r="A42615" t="s">
        <v>64609</v>
      </c>
      <c r="B42615" t="s">
        <v>64603</v>
      </c>
      <c r="C42615" t="s">
        <v>1885</v>
      </c>
      <c r="D42615" t="s">
        <v>18421</v>
      </c>
      <c r="E42615" t="s">
        <v>158</v>
      </c>
      <c r="F42615" s="2" t="str">
        <f>HYPERLINK("http://www.otzar.org/book.asp?10174","שני המאורות")</f>
        <v>שני המאורות</v>
      </c>
    </row>
    <row r="42616" spans="1:6" x14ac:dyDescent="0.2">
      <c r="A42616" t="s">
        <v>64610</v>
      </c>
      <c r="B42616" t="s">
        <v>64611</v>
      </c>
      <c r="C42616" t="s">
        <v>503</v>
      </c>
      <c r="D42616" t="s">
        <v>535</v>
      </c>
      <c r="E42616" t="s">
        <v>172</v>
      </c>
      <c r="F42616" s="2" t="str">
        <f>HYPERLINK("http://www.otzar.org/book.asp?181463","שני המטות - הלכות כיבוד אב ואם")</f>
        <v>שני המטות - הלכות כיבוד אב ואם</v>
      </c>
    </row>
    <row r="42617" spans="1:6" x14ac:dyDescent="0.2">
      <c r="A42617" t="s">
        <v>64612</v>
      </c>
      <c r="B42617" t="s">
        <v>25176</v>
      </c>
      <c r="C42617" t="s">
        <v>146</v>
      </c>
      <c r="D42617" t="s">
        <v>147</v>
      </c>
      <c r="E42617" t="s">
        <v>399</v>
      </c>
      <c r="F42617" s="2" t="str">
        <f>HYPERLINK("http://www.otzar.org/book.asp?52979","שני חיי - 3 כר'")</f>
        <v>שני חיי - 3 כר'</v>
      </c>
    </row>
    <row r="42618" spans="1:6" x14ac:dyDescent="0.2">
      <c r="A42618" t="s">
        <v>64613</v>
      </c>
      <c r="B42618" t="s">
        <v>64614</v>
      </c>
      <c r="C42618" t="s">
        <v>313</v>
      </c>
      <c r="D42618" t="s">
        <v>14</v>
      </c>
      <c r="E42618" t="s">
        <v>119</v>
      </c>
      <c r="F42618" s="2" t="str">
        <f>HYPERLINK("http://www.otzar.org/book.asp?172352","שני כרובים - תולדות התוספות יום טוב וקצות החושן")</f>
        <v>שני כרובים - תולדות התוספות יום טוב וקצות החושן</v>
      </c>
    </row>
    <row r="42619" spans="1:6" x14ac:dyDescent="0.2">
      <c r="A42619" t="s">
        <v>64615</v>
      </c>
      <c r="B42619" t="s">
        <v>78</v>
      </c>
      <c r="C42619" t="s">
        <v>237</v>
      </c>
      <c r="D42619" t="s">
        <v>80</v>
      </c>
      <c r="E42619" t="s">
        <v>241</v>
      </c>
      <c r="F42619" s="2" t="str">
        <f>HYPERLINK("http://www.otzar.org/book.asp?11477","שני כתרים")</f>
        <v>שני כתרים</v>
      </c>
    </row>
    <row r="42620" spans="1:6" x14ac:dyDescent="0.2">
      <c r="A42620" t="s">
        <v>64616</v>
      </c>
      <c r="B42620" t="s">
        <v>3443</v>
      </c>
      <c r="C42620" t="s">
        <v>64617</v>
      </c>
      <c r="D42620" t="s">
        <v>1023</v>
      </c>
      <c r="F42620" s="2" t="str">
        <f>HYPERLINK("http://www.otzar.org/book.asp?53590","שני לוחות הברית &lt;דפו""ר&gt; - 3 כר'")</f>
        <v>שני לוחות הברית &lt;דפו"ר&gt; - 3 כר'</v>
      </c>
    </row>
    <row r="42621" spans="1:6" x14ac:dyDescent="0.2">
      <c r="A42621" t="s">
        <v>64618</v>
      </c>
      <c r="B42621" t="s">
        <v>3443</v>
      </c>
      <c r="C42621" t="s">
        <v>151</v>
      </c>
      <c r="D42621" t="s">
        <v>1356</v>
      </c>
      <c r="F42621" s="2" t="str">
        <f>HYPERLINK("http://www.otzar.org/book.asp?616401","שני לוחות הברית &lt;המנוקד והמפואר&gt; - 4 כר'")</f>
        <v>שני לוחות הברית &lt;המנוקד והמפואר&gt; - 4 כר'</v>
      </c>
    </row>
    <row r="42622" spans="1:6" x14ac:dyDescent="0.2">
      <c r="A42622" t="s">
        <v>64619</v>
      </c>
      <c r="B42622" t="s">
        <v>3443</v>
      </c>
      <c r="C42622" t="s">
        <v>71</v>
      </c>
      <c r="D42622" t="s">
        <v>1356</v>
      </c>
      <c r="E42622" t="s">
        <v>64620</v>
      </c>
      <c r="F42622" s="2" t="str">
        <f>HYPERLINK("http://www.otzar.org/book.asp?50544","שני לוחות הברית השלם - 4 כר'")</f>
        <v>שני לוחות הברית השלם - 4 כר'</v>
      </c>
    </row>
    <row r="42623" spans="1:6" x14ac:dyDescent="0.2">
      <c r="A42623" t="s">
        <v>64621</v>
      </c>
      <c r="B42623" t="s">
        <v>3443</v>
      </c>
      <c r="C42623" t="s">
        <v>6041</v>
      </c>
      <c r="D42623" t="s">
        <v>1023</v>
      </c>
      <c r="E42623" t="s">
        <v>64622</v>
      </c>
      <c r="F42623" s="2" t="str">
        <f>HYPERLINK("http://www.otzar.org/book.asp?104190","שני לוחות הברית - 7 כר'")</f>
        <v>שני לוחות הברית - 7 כר'</v>
      </c>
    </row>
    <row r="42624" spans="1:6" x14ac:dyDescent="0.2">
      <c r="A42624" t="s">
        <v>64623</v>
      </c>
      <c r="B42624" t="s">
        <v>64624</v>
      </c>
      <c r="C42624" t="s">
        <v>4144</v>
      </c>
      <c r="D42624" t="s">
        <v>592</v>
      </c>
      <c r="F42624" s="2" t="str">
        <f>HYPERLINK("http://www.otzar.org/book.asp?620041","שני מאמרים")</f>
        <v>שני מאמרים</v>
      </c>
    </row>
    <row r="42625" spans="1:6" x14ac:dyDescent="0.2">
      <c r="A42625" t="s">
        <v>64625</v>
      </c>
      <c r="B42625" t="s">
        <v>64626</v>
      </c>
      <c r="C42625" t="s">
        <v>2271</v>
      </c>
      <c r="D42625" t="s">
        <v>1992</v>
      </c>
      <c r="E42625" t="s">
        <v>3798</v>
      </c>
      <c r="F42625" s="2" t="str">
        <f>HYPERLINK("http://www.otzar.org/book.asp?26078","שני עפרים")</f>
        <v>שני עפרים</v>
      </c>
    </row>
    <row r="42626" spans="1:6" x14ac:dyDescent="0.2">
      <c r="A42626" t="s">
        <v>64627</v>
      </c>
      <c r="B42626" t="s">
        <v>64628</v>
      </c>
      <c r="C42626" t="s">
        <v>63</v>
      </c>
      <c r="D42626" t="s">
        <v>14</v>
      </c>
      <c r="E42626" t="s">
        <v>144</v>
      </c>
      <c r="F42626" s="2" t="str">
        <f>HYPERLINK("http://www.otzar.org/book.asp?5241","שני פירושים קדמונים - מעילה")</f>
        <v>שני פירושים קדמונים - מעילה</v>
      </c>
    </row>
    <row r="42627" spans="1:6" x14ac:dyDescent="0.2">
      <c r="A42627" t="s">
        <v>64629</v>
      </c>
      <c r="B42627" t="s">
        <v>64630</v>
      </c>
      <c r="C42627" t="s">
        <v>12036</v>
      </c>
      <c r="D42627" t="s">
        <v>855</v>
      </c>
      <c r="F42627" s="2" t="str">
        <f>HYPERLINK("http://www.otzar.org/book.asp?615722","שני צמידים")</f>
        <v>שני צמידים</v>
      </c>
    </row>
    <row r="42628" spans="1:6" x14ac:dyDescent="0.2">
      <c r="A42628" t="s">
        <v>64631</v>
      </c>
      <c r="B42628" t="s">
        <v>32742</v>
      </c>
      <c r="C42628" t="s">
        <v>581</v>
      </c>
      <c r="D42628" t="s">
        <v>280</v>
      </c>
      <c r="E42628" t="s">
        <v>1097</v>
      </c>
      <c r="F42628" s="2" t="str">
        <f>HYPERLINK("http://www.otzar.org/book.asp?153332","שני קונטרסים")</f>
        <v>שני קונטרסים</v>
      </c>
    </row>
    <row r="42629" spans="1:6" x14ac:dyDescent="0.2">
      <c r="A42629" t="s">
        <v>64632</v>
      </c>
      <c r="B42629" t="s">
        <v>47239</v>
      </c>
      <c r="C42629" t="s">
        <v>46</v>
      </c>
      <c r="D42629" t="s">
        <v>4207</v>
      </c>
      <c r="F42629" s="2" t="str">
        <f>HYPERLINK("http://www.otzar.org/book.asp?169553","שני קטעים להשלמת ספר העתים")</f>
        <v>שני קטעים להשלמת ספר העתים</v>
      </c>
    </row>
    <row r="42630" spans="1:6" x14ac:dyDescent="0.2">
      <c r="A42630" t="s">
        <v>64633</v>
      </c>
      <c r="B42630" t="s">
        <v>59777</v>
      </c>
      <c r="C42630" t="s">
        <v>20</v>
      </c>
      <c r="D42630" t="s">
        <v>90</v>
      </c>
      <c r="E42630" t="s">
        <v>241</v>
      </c>
      <c r="F42630" s="2" t="str">
        <f>HYPERLINK("http://www.otzar.org/book.asp?167561","שני קטעים נגד קראים")</f>
        <v>שני קטעים נגד קראים</v>
      </c>
    </row>
    <row r="42631" spans="1:6" x14ac:dyDescent="0.2">
      <c r="A42631" t="s">
        <v>64634</v>
      </c>
      <c r="B42631" t="s">
        <v>64635</v>
      </c>
      <c r="C42631" t="s">
        <v>103</v>
      </c>
      <c r="D42631" t="s">
        <v>14</v>
      </c>
      <c r="E42631" t="s">
        <v>144</v>
      </c>
      <c r="F42631" s="2" t="str">
        <f>HYPERLINK("http://www.otzar.org/book.asp?165904","שני שבילין")</f>
        <v>שני שבילין</v>
      </c>
    </row>
    <row r="42632" spans="1:6" x14ac:dyDescent="0.2">
      <c r="A42632" t="s">
        <v>64636</v>
      </c>
      <c r="B42632" t="s">
        <v>8741</v>
      </c>
      <c r="C42632" t="s">
        <v>438</v>
      </c>
      <c r="D42632" t="s">
        <v>412</v>
      </c>
      <c r="E42632" t="s">
        <v>219</v>
      </c>
      <c r="F42632" s="2" t="str">
        <f>HYPERLINK("http://www.otzar.org/book.asp?143422","שני שירי תהילה חדשים לרבי משה בן עזרא")</f>
        <v>שני שירי תהילה חדשים לרבי משה בן עזרא</v>
      </c>
    </row>
    <row r="42633" spans="1:6" x14ac:dyDescent="0.2">
      <c r="A42633" t="s">
        <v>64637</v>
      </c>
      <c r="B42633" t="s">
        <v>11505</v>
      </c>
      <c r="C42633" t="s">
        <v>547</v>
      </c>
      <c r="D42633" t="s">
        <v>9</v>
      </c>
      <c r="E42633" t="s">
        <v>399</v>
      </c>
      <c r="F42633" s="2" t="str">
        <f>HYPERLINK("http://www.otzar.org/book.asp?52019","שנים אוחזין בטלית")</f>
        <v>שנים אוחזין בטלית</v>
      </c>
    </row>
    <row r="42634" spans="1:6" x14ac:dyDescent="0.2">
      <c r="A42634" t="s">
        <v>64638</v>
      </c>
      <c r="B42634" t="s">
        <v>5797</v>
      </c>
      <c r="C42634" t="s">
        <v>189</v>
      </c>
      <c r="D42634" t="s">
        <v>5798</v>
      </c>
      <c r="E42634" t="s">
        <v>15</v>
      </c>
      <c r="F42634" s="2" t="str">
        <f>HYPERLINK("http://www.otzar.org/book.asp?145363","שנים יחדיו")</f>
        <v>שנים יחדיו</v>
      </c>
    </row>
    <row r="42635" spans="1:6" x14ac:dyDescent="0.2">
      <c r="A42635" t="s">
        <v>64639</v>
      </c>
      <c r="B42635" t="s">
        <v>12971</v>
      </c>
      <c r="C42635" t="s">
        <v>20</v>
      </c>
      <c r="D42635" t="s">
        <v>14</v>
      </c>
      <c r="F42635" s="2" t="str">
        <f>HYPERLINK("http://www.otzar.org/book.asp?612215","שנים מקר""א")</f>
        <v>שנים מקר"א</v>
      </c>
    </row>
    <row r="42636" spans="1:6" x14ac:dyDescent="0.2">
      <c r="A42636" t="s">
        <v>64640</v>
      </c>
      <c r="B42636" t="s">
        <v>17004</v>
      </c>
      <c r="C42636" t="s">
        <v>1124</v>
      </c>
      <c r="D42636" t="s">
        <v>283</v>
      </c>
      <c r="E42636" t="s">
        <v>474</v>
      </c>
      <c r="F42636" s="2" t="str">
        <f>HYPERLINK("http://www.otzar.org/book.asp?84747","שנים עשר דרושים &lt;דרשות מהר""י מינץ&gt; - 2 כר'")</f>
        <v>שנים עשר דרושים &lt;דרשות מהר"י מינץ&gt; - 2 כר'</v>
      </c>
    </row>
    <row r="42637" spans="1:6" x14ac:dyDescent="0.2">
      <c r="A42637" t="s">
        <v>64641</v>
      </c>
      <c r="B42637" t="s">
        <v>1791</v>
      </c>
      <c r="C42637" t="s">
        <v>1954</v>
      </c>
      <c r="D42637" t="s">
        <v>27</v>
      </c>
      <c r="E42637" t="s">
        <v>104</v>
      </c>
      <c r="F42637" s="2" t="str">
        <f>HYPERLINK("http://www.otzar.org/book.asp?106016","שנים עשר שבטי ישראל")</f>
        <v>שנים עשר שבטי ישראל</v>
      </c>
    </row>
    <row r="42638" spans="1:6" x14ac:dyDescent="0.2">
      <c r="A42638" t="s">
        <v>64642</v>
      </c>
      <c r="B42638" t="s">
        <v>206</v>
      </c>
      <c r="C42638" t="s">
        <v>748</v>
      </c>
      <c r="D42638" t="s">
        <v>64643</v>
      </c>
      <c r="E42638" t="s">
        <v>714</v>
      </c>
      <c r="F42638" s="2" t="str">
        <f>HYPERLINK("http://www.otzar.org/book.asp?149599","שנת הגאולה")</f>
        <v>שנת הגאולה</v>
      </c>
    </row>
    <row r="42639" spans="1:6" x14ac:dyDescent="0.2">
      <c r="A42639" t="s">
        <v>64644</v>
      </c>
      <c r="B42639" t="s">
        <v>13344</v>
      </c>
      <c r="C42639" t="s">
        <v>1570</v>
      </c>
      <c r="D42639" t="s">
        <v>52</v>
      </c>
      <c r="E42639" t="s">
        <v>4940</v>
      </c>
      <c r="F42639" s="2" t="str">
        <f>HYPERLINK("http://www.otzar.org/book.asp?11437","שנת המבול אלף תרנ""ח לבריאת העולם")</f>
        <v>שנת המבול אלף תרנ"ח לבריאת העולם</v>
      </c>
    </row>
    <row r="42640" spans="1:6" x14ac:dyDescent="0.2">
      <c r="A42640" t="s">
        <v>64645</v>
      </c>
      <c r="B42640" t="s">
        <v>64646</v>
      </c>
      <c r="C42640" t="s">
        <v>13</v>
      </c>
      <c r="D42640" t="s">
        <v>486</v>
      </c>
      <c r="E42640" t="s">
        <v>15</v>
      </c>
      <c r="F42640" s="2" t="str">
        <f>HYPERLINK("http://www.otzar.org/book.asp?143834","שנת העיבור והלכותיה")</f>
        <v>שנת העיבור והלכותיה</v>
      </c>
    </row>
    <row r="42641" spans="1:6" x14ac:dyDescent="0.2">
      <c r="A42641" t="s">
        <v>64647</v>
      </c>
      <c r="B42641" t="s">
        <v>18745</v>
      </c>
      <c r="C42641" t="s">
        <v>176</v>
      </c>
      <c r="D42641" t="s">
        <v>14</v>
      </c>
      <c r="E42641" t="s">
        <v>104</v>
      </c>
      <c r="F42641" s="2" t="str">
        <f>HYPERLINK("http://www.otzar.org/book.asp?12825","שנת העיבור")</f>
        <v>שנת העיבור</v>
      </c>
    </row>
    <row r="42642" spans="1:6" x14ac:dyDescent="0.2">
      <c r="A42642" t="s">
        <v>64648</v>
      </c>
      <c r="B42642" t="s">
        <v>19756</v>
      </c>
      <c r="C42642" t="s">
        <v>1811</v>
      </c>
      <c r="D42642" t="s">
        <v>260</v>
      </c>
      <c r="E42642" t="s">
        <v>15</v>
      </c>
      <c r="F42642" s="2" t="str">
        <f>HYPERLINK("http://www.otzar.org/book.asp?143560","שנת השבע")</f>
        <v>שנת השבע</v>
      </c>
    </row>
    <row r="42643" spans="1:6" x14ac:dyDescent="0.2">
      <c r="A42643" t="s">
        <v>64648</v>
      </c>
      <c r="B42643" t="s">
        <v>7757</v>
      </c>
      <c r="C42643" t="s">
        <v>728</v>
      </c>
      <c r="D42643" t="s">
        <v>27</v>
      </c>
      <c r="E42643" t="s">
        <v>13950</v>
      </c>
      <c r="F42643" s="2" t="str">
        <f>HYPERLINK("http://www.otzar.org/book.asp?12400","שנת השבע")</f>
        <v>שנת השבע</v>
      </c>
    </row>
    <row r="42644" spans="1:6" x14ac:dyDescent="0.2">
      <c r="A42644" t="s">
        <v>64649</v>
      </c>
      <c r="B42644" t="s">
        <v>107</v>
      </c>
      <c r="C42644" t="s">
        <v>466</v>
      </c>
      <c r="D42644" t="s">
        <v>14</v>
      </c>
      <c r="E42644" t="s">
        <v>241</v>
      </c>
      <c r="F42644" s="2" t="str">
        <f>HYPERLINK("http://www.otzar.org/book.asp?158668","שנת תש""ס רמזי הזמן והתקופה")</f>
        <v>שנת תש"ס רמזי הזמן והתקופה</v>
      </c>
    </row>
    <row r="42645" spans="1:6" x14ac:dyDescent="0.2">
      <c r="A42645" t="s">
        <v>64650</v>
      </c>
      <c r="B42645" t="s">
        <v>3286</v>
      </c>
      <c r="C42645" t="s">
        <v>1448</v>
      </c>
      <c r="D42645" t="s">
        <v>52</v>
      </c>
      <c r="E42645" t="s">
        <v>15</v>
      </c>
      <c r="F42645" s="2" t="str">
        <f>HYPERLINK("http://www.otzar.org/book.asp?142603","שנת תשמ""א למנהגיה")</f>
        <v>שנת תשמ"א למנהגיה</v>
      </c>
    </row>
    <row r="42646" spans="1:6" x14ac:dyDescent="0.2">
      <c r="A42646" t="s">
        <v>64651</v>
      </c>
      <c r="B42646" t="s">
        <v>107</v>
      </c>
      <c r="C42646" t="s">
        <v>17</v>
      </c>
      <c r="D42646" t="s">
        <v>14</v>
      </c>
      <c r="E42646" t="s">
        <v>119</v>
      </c>
      <c r="F42646" s="2" t="str">
        <f>HYPERLINK("http://www.otzar.org/book.asp?164072","שנת תשס""א")</f>
        <v>שנת תשס"א</v>
      </c>
    </row>
    <row r="42647" spans="1:6" x14ac:dyDescent="0.2">
      <c r="A42647" t="s">
        <v>64652</v>
      </c>
      <c r="B42647" t="s">
        <v>52</v>
      </c>
      <c r="C42647" t="s">
        <v>989</v>
      </c>
      <c r="D42647" t="s">
        <v>52</v>
      </c>
      <c r="E42647" t="s">
        <v>202</v>
      </c>
      <c r="F42647" s="2" t="str">
        <f>HYPERLINK("http://www.otzar.org/book.asp?180536","שנתים למורשת אבות")</f>
        <v>שנתים למורשת אבות</v>
      </c>
    </row>
    <row r="42648" spans="1:6" x14ac:dyDescent="0.2">
      <c r="A42648" t="s">
        <v>64653</v>
      </c>
      <c r="B42648" t="s">
        <v>3625</v>
      </c>
      <c r="C42648" t="s">
        <v>286</v>
      </c>
      <c r="D42648" t="s">
        <v>5108</v>
      </c>
      <c r="E42648" t="s">
        <v>84</v>
      </c>
      <c r="F42648" s="2" t="str">
        <f>HYPERLINK("http://www.otzar.org/book.asp?162279","שעה ניבי")</f>
        <v>שעה ניבי</v>
      </c>
    </row>
    <row r="42649" spans="1:6" x14ac:dyDescent="0.2">
      <c r="A42649" t="s">
        <v>64654</v>
      </c>
      <c r="B42649" t="s">
        <v>4547</v>
      </c>
      <c r="C42649" t="s">
        <v>176</v>
      </c>
      <c r="D42649" t="s">
        <v>14</v>
      </c>
      <c r="E42649" t="s">
        <v>144</v>
      </c>
      <c r="F42649" s="2" t="str">
        <f>HYPERLINK("http://www.otzar.org/book.asp?51606","שעורי בבא בתרא")</f>
        <v>שעורי בבא בתרא</v>
      </c>
    </row>
    <row r="42650" spans="1:6" x14ac:dyDescent="0.2">
      <c r="A42650" t="s">
        <v>64655</v>
      </c>
      <c r="B42650" t="s">
        <v>4547</v>
      </c>
      <c r="C42650" t="s">
        <v>383</v>
      </c>
      <c r="D42650" t="s">
        <v>14</v>
      </c>
      <c r="E42650" t="s">
        <v>144</v>
      </c>
      <c r="F42650" s="2" t="str">
        <f>HYPERLINK("http://www.otzar.org/book.asp?51607","שעורי בבא מציעא")</f>
        <v>שעורי בבא מציעא</v>
      </c>
    </row>
    <row r="42651" spans="1:6" x14ac:dyDescent="0.2">
      <c r="A42651" t="s">
        <v>64656</v>
      </c>
      <c r="B42651" t="s">
        <v>4547</v>
      </c>
      <c r="C42651" t="s">
        <v>313</v>
      </c>
      <c r="D42651" t="s">
        <v>14</v>
      </c>
      <c r="E42651" t="s">
        <v>144</v>
      </c>
      <c r="F42651" s="2" t="str">
        <f>HYPERLINK("http://www.otzar.org/book.asp?51609","שעורי גיטין")</f>
        <v>שעורי גיטין</v>
      </c>
    </row>
    <row r="42652" spans="1:6" x14ac:dyDescent="0.2">
      <c r="A42652" t="s">
        <v>64657</v>
      </c>
      <c r="B42652" t="s">
        <v>64658</v>
      </c>
      <c r="C42652" t="s">
        <v>68</v>
      </c>
      <c r="D42652" t="s">
        <v>21</v>
      </c>
      <c r="F42652" s="2" t="str">
        <f>HYPERLINK("http://www.otzar.org/book.asp?194893","שעורי דעת &lt;מהדורה חדשה&gt;")</f>
        <v>שעורי דעת &lt;מהדורה חדשה&gt;</v>
      </c>
    </row>
    <row r="42653" spans="1:6" x14ac:dyDescent="0.2">
      <c r="A42653" t="s">
        <v>64659</v>
      </c>
      <c r="B42653" t="s">
        <v>42794</v>
      </c>
      <c r="C42653" t="s">
        <v>68</v>
      </c>
      <c r="D42653" t="s">
        <v>21</v>
      </c>
      <c r="F42653" s="2" t="str">
        <f>HYPERLINK("http://www.otzar.org/book.asp?194891","שעורי דעת &lt;מהדורה חדשה&gt; - 2 כר'")</f>
        <v>שעורי דעת &lt;מהדורה חדשה&gt; - 2 כר'</v>
      </c>
    </row>
    <row r="42654" spans="1:6" x14ac:dyDescent="0.2">
      <c r="A42654" t="s">
        <v>64660</v>
      </c>
      <c r="B42654" t="s">
        <v>42794</v>
      </c>
      <c r="C42654" t="s">
        <v>64661</v>
      </c>
      <c r="D42654" t="s">
        <v>260</v>
      </c>
      <c r="E42654" t="s">
        <v>213</v>
      </c>
      <c r="F42654" s="2" t="str">
        <f>HYPERLINK("http://www.otzar.org/book.asp?103760","שעורי דעת - 3 כר'")</f>
        <v>שעורי דעת - 3 כר'</v>
      </c>
    </row>
    <row r="42655" spans="1:6" x14ac:dyDescent="0.2">
      <c r="A42655" t="s">
        <v>64662</v>
      </c>
      <c r="B42655" t="s">
        <v>62871</v>
      </c>
      <c r="C42655" t="s">
        <v>1811</v>
      </c>
      <c r="D42655" t="s">
        <v>14</v>
      </c>
      <c r="E42655" t="s">
        <v>144</v>
      </c>
      <c r="F42655" s="2" t="str">
        <f>HYPERLINK("http://www.otzar.org/book.asp?171859","שעורי הגר""ח שמואלביץ (סטנסיל) - פסחים")</f>
        <v>שעורי הגר"ח שמואלביץ (סטנסיל) - פסחים</v>
      </c>
    </row>
    <row r="42656" spans="1:6" x14ac:dyDescent="0.2">
      <c r="A42656" t="s">
        <v>64663</v>
      </c>
      <c r="B42656" t="s">
        <v>25324</v>
      </c>
      <c r="C42656" t="s">
        <v>1246</v>
      </c>
      <c r="D42656" t="s">
        <v>14</v>
      </c>
      <c r="E42656" t="s">
        <v>144</v>
      </c>
      <c r="F42656" s="2" t="str">
        <f>HYPERLINK("http://www.otzar.org/book.asp?13513","שעורי הגר""ח")</f>
        <v>שעורי הגר"ח</v>
      </c>
    </row>
    <row r="42657" spans="1:6" x14ac:dyDescent="0.2">
      <c r="A42657" t="s">
        <v>64664</v>
      </c>
      <c r="B42657" t="s">
        <v>24754</v>
      </c>
      <c r="C42657" t="s">
        <v>785</v>
      </c>
      <c r="D42657" t="s">
        <v>52</v>
      </c>
      <c r="E42657" t="s">
        <v>15</v>
      </c>
      <c r="F42657" s="2" t="str">
        <f>HYPERLINK("http://www.otzar.org/book.asp?22591","שעורי הגר""נ קרליץ שליט""א")</f>
        <v>שעורי הגר"נ קרליץ שליט"א</v>
      </c>
    </row>
    <row r="42658" spans="1:6" x14ac:dyDescent="0.2">
      <c r="A42658" t="s">
        <v>64665</v>
      </c>
      <c r="B42658" t="s">
        <v>7503</v>
      </c>
      <c r="C42658" t="s">
        <v>63</v>
      </c>
      <c r="D42658" t="s">
        <v>14605</v>
      </c>
      <c r="E42658" t="s">
        <v>144</v>
      </c>
      <c r="F42658" s="2" t="str">
        <f>HYPERLINK("http://www.otzar.org/book.asp?179301","שעורי הגרא""ז - 3 כר'")</f>
        <v>שעורי הגרא"ז - 3 כר'</v>
      </c>
    </row>
    <row r="42659" spans="1:6" x14ac:dyDescent="0.2">
      <c r="A42659" t="s">
        <v>64666</v>
      </c>
      <c r="B42659" t="s">
        <v>64667</v>
      </c>
      <c r="C42659" t="s">
        <v>146</v>
      </c>
      <c r="D42659" t="s">
        <v>52</v>
      </c>
      <c r="E42659" t="s">
        <v>144</v>
      </c>
      <c r="F42659" s="2" t="str">
        <f>HYPERLINK("http://www.otzar.org/book.asp?146497","שעורי הגרז""ר זלזניק שליט""א")</f>
        <v>שעורי הגרז"ר זלזניק שליט"א</v>
      </c>
    </row>
    <row r="42660" spans="1:6" x14ac:dyDescent="0.2">
      <c r="A42660" t="s">
        <v>64668</v>
      </c>
      <c r="B42660" t="s">
        <v>64669</v>
      </c>
      <c r="C42660" t="s">
        <v>17</v>
      </c>
      <c r="D42660" t="s">
        <v>52</v>
      </c>
      <c r="E42660" t="s">
        <v>144</v>
      </c>
      <c r="F42660" s="2" t="str">
        <f>HYPERLINK("http://www.otzar.org/book.asp?50346","שעורי הדף - 6 כר'")</f>
        <v>שעורי הדף - 6 כר'</v>
      </c>
    </row>
    <row r="42661" spans="1:6" x14ac:dyDescent="0.2">
      <c r="A42661" t="s">
        <v>64670</v>
      </c>
      <c r="B42661" t="s">
        <v>64671</v>
      </c>
      <c r="C42661" t="s">
        <v>20</v>
      </c>
      <c r="D42661" t="s">
        <v>52</v>
      </c>
      <c r="F42661" s="2" t="str">
        <f>HYPERLINK("http://www.otzar.org/book.asp?629223","שעורי הרה""ג ר' ברוך בער לייבאוויץ - 2 כר'")</f>
        <v>שעורי הרה"ג ר' ברוך בער לייבאוויץ - 2 כר'</v>
      </c>
    </row>
    <row r="42662" spans="1:6" x14ac:dyDescent="0.2">
      <c r="A42662" t="s">
        <v>64672</v>
      </c>
      <c r="B42662" t="s">
        <v>9385</v>
      </c>
      <c r="C42662" t="s">
        <v>103</v>
      </c>
      <c r="D42662" t="s">
        <v>14</v>
      </c>
      <c r="E42662" t="s">
        <v>144</v>
      </c>
      <c r="F42662" s="2" t="str">
        <f>HYPERLINK("http://www.otzar.org/book.asp?153795","שעורי הרמי""ם - יש נוחלין")</f>
        <v>שעורי הרמי"ם - יש נוחלין</v>
      </c>
    </row>
    <row r="42663" spans="1:6" x14ac:dyDescent="0.2">
      <c r="A42663" t="s">
        <v>64673</v>
      </c>
      <c r="B42663" t="s">
        <v>17964</v>
      </c>
      <c r="C42663" t="s">
        <v>64674</v>
      </c>
      <c r="D42663" t="s">
        <v>52</v>
      </c>
      <c r="E42663" t="s">
        <v>144</v>
      </c>
      <c r="F42663" s="2" t="str">
        <f>HYPERLINK("http://www.otzar.org/book.asp?623629","שעורי הרמי""ם - 10 כר'")</f>
        <v>שעורי הרמי"ם - 10 כר'</v>
      </c>
    </row>
    <row r="42664" spans="1:6" x14ac:dyDescent="0.2">
      <c r="A42664" t="s">
        <v>64675</v>
      </c>
      <c r="B42664" t="s">
        <v>64676</v>
      </c>
      <c r="C42664" t="s">
        <v>533</v>
      </c>
      <c r="D42664" t="s">
        <v>14</v>
      </c>
      <c r="E42664" t="s">
        <v>144</v>
      </c>
      <c r="F42664" s="2" t="str">
        <f>HYPERLINK("http://www.otzar.org/book.asp?156097","שעורי חן - 3 כר'")</f>
        <v>שעורי חן - 3 כר'</v>
      </c>
    </row>
    <row r="42665" spans="1:6" x14ac:dyDescent="0.2">
      <c r="A42665" t="s">
        <v>64677</v>
      </c>
      <c r="B42665" t="s">
        <v>23938</v>
      </c>
      <c r="D42665" t="s">
        <v>52</v>
      </c>
      <c r="E42665" t="s">
        <v>144</v>
      </c>
      <c r="F42665" s="2" t="str">
        <f>HYPERLINK("http://www.otzar.org/book.asp?623646","שעורי מורנו הגר""ש רוזובסקי - 7 כר'")</f>
        <v>שעורי מורנו הגר"ש רוזובסקי - 7 כר'</v>
      </c>
    </row>
    <row r="42666" spans="1:6" x14ac:dyDescent="0.2">
      <c r="A42666" t="s">
        <v>64678</v>
      </c>
      <c r="B42666" t="s">
        <v>64679</v>
      </c>
      <c r="C42666" t="s">
        <v>13</v>
      </c>
      <c r="D42666" t="s">
        <v>657</v>
      </c>
      <c r="E42666" t="s">
        <v>144</v>
      </c>
      <c r="F42666" s="2" t="str">
        <f>HYPERLINK("http://www.otzar.org/book.asp?84380","שעורי מורנו ראש הישיבה שליט""א - ב""ב, חזקת הבתים, יש נוחלין")</f>
        <v>שעורי מורנו ראש הישיבה שליט"א - ב"ב, חזקת הבתים, יש נוחלין</v>
      </c>
    </row>
    <row r="42667" spans="1:6" x14ac:dyDescent="0.2">
      <c r="A42667" t="s">
        <v>64680</v>
      </c>
      <c r="B42667" t="s">
        <v>64681</v>
      </c>
      <c r="C42667" t="s">
        <v>114</v>
      </c>
      <c r="D42667" t="s">
        <v>21</v>
      </c>
      <c r="E42667" t="s">
        <v>144</v>
      </c>
      <c r="F42667" s="2" t="str">
        <f>HYPERLINK("http://www.otzar.org/book.asp?603510","שעורי מורנו ראש הישיבה - 5 כר'")</f>
        <v>שעורי מורנו ראש הישיבה - 5 כר'</v>
      </c>
    </row>
    <row r="42668" spans="1:6" x14ac:dyDescent="0.2">
      <c r="A42668" t="s">
        <v>64682</v>
      </c>
      <c r="B42668" t="s">
        <v>64683</v>
      </c>
      <c r="C42668" t="s">
        <v>103</v>
      </c>
      <c r="D42668" t="s">
        <v>14</v>
      </c>
      <c r="E42668" t="s">
        <v>144</v>
      </c>
      <c r="F42668" s="2" t="str">
        <f>HYPERLINK("http://www.otzar.org/book.asp?161065","שעורי מקדש דוד - פסחים, חולין")</f>
        <v>שעורי מקדש דוד - פסחים, חולין</v>
      </c>
    </row>
    <row r="42669" spans="1:6" x14ac:dyDescent="0.2">
      <c r="A42669" t="s">
        <v>64684</v>
      </c>
      <c r="B42669" t="s">
        <v>62907</v>
      </c>
      <c r="C42669" t="s">
        <v>427</v>
      </c>
      <c r="D42669" t="s">
        <v>216</v>
      </c>
      <c r="E42669" t="s">
        <v>64685</v>
      </c>
      <c r="F42669" s="2" t="str">
        <f>HYPERLINK("http://www.otzar.org/book.asp?8884","שעורי מרן ר' פסח מקוברין - 2 כר'")</f>
        <v>שעורי מרן ר' פסח מקוברין - 2 כר'</v>
      </c>
    </row>
    <row r="42670" spans="1:6" x14ac:dyDescent="0.2">
      <c r="A42670" t="s">
        <v>64686</v>
      </c>
      <c r="B42670" t="s">
        <v>4547</v>
      </c>
      <c r="C42670" t="s">
        <v>422</v>
      </c>
      <c r="D42670" t="s">
        <v>14</v>
      </c>
      <c r="E42670" t="s">
        <v>144</v>
      </c>
      <c r="F42670" s="2" t="str">
        <f>HYPERLINK("http://www.otzar.org/book.asp?151220","שעורי נדרים")</f>
        <v>שעורי נדרים</v>
      </c>
    </row>
    <row r="42671" spans="1:6" x14ac:dyDescent="0.2">
      <c r="A42671" t="s">
        <v>64686</v>
      </c>
      <c r="B42671" t="s">
        <v>62871</v>
      </c>
      <c r="C42671" t="s">
        <v>919</v>
      </c>
      <c r="D42671" t="s">
        <v>14</v>
      </c>
      <c r="E42671" t="s">
        <v>144</v>
      </c>
      <c r="F42671" s="2" t="str">
        <f>HYPERLINK("http://www.otzar.org/book.asp?159899","שעורי נדרים")</f>
        <v>שעורי נדרים</v>
      </c>
    </row>
    <row r="42672" spans="1:6" x14ac:dyDescent="0.2">
      <c r="A42672" t="s">
        <v>64687</v>
      </c>
      <c r="B42672" t="s">
        <v>4547</v>
      </c>
      <c r="C42672" t="s">
        <v>422</v>
      </c>
      <c r="D42672" t="s">
        <v>14</v>
      </c>
      <c r="E42672" t="s">
        <v>144</v>
      </c>
      <c r="F42672" s="2" t="str">
        <f>HYPERLINK("http://www.otzar.org/book.asp?151221","שעורי סנהדרין")</f>
        <v>שעורי סנהדרין</v>
      </c>
    </row>
    <row r="42673" spans="1:6" x14ac:dyDescent="0.2">
      <c r="A42673" t="s">
        <v>64688</v>
      </c>
      <c r="B42673" t="s">
        <v>17068</v>
      </c>
      <c r="C42673" t="s">
        <v>466</v>
      </c>
      <c r="D42673" t="s">
        <v>14</v>
      </c>
      <c r="E42673" t="s">
        <v>144</v>
      </c>
      <c r="F42673" s="2" t="str">
        <f>HYPERLINK("http://www.otzar.org/book.asp?23254","שעורי פסחים")</f>
        <v>שעורי פסחים</v>
      </c>
    </row>
    <row r="42674" spans="1:6" x14ac:dyDescent="0.2">
      <c r="A42674" t="s">
        <v>64689</v>
      </c>
      <c r="B42674" t="s">
        <v>4547</v>
      </c>
      <c r="C42674" t="s">
        <v>1268</v>
      </c>
      <c r="D42674" t="s">
        <v>14</v>
      </c>
      <c r="E42674" t="s">
        <v>144</v>
      </c>
      <c r="F42674" s="2" t="str">
        <f>HYPERLINK("http://www.otzar.org/book.asp?51610","שעורי קדושין")</f>
        <v>שעורי קדושין</v>
      </c>
    </row>
    <row r="42675" spans="1:6" x14ac:dyDescent="0.2">
      <c r="A42675" t="s">
        <v>64690</v>
      </c>
      <c r="B42675" t="s">
        <v>64691</v>
      </c>
      <c r="C42675" t="s">
        <v>1246</v>
      </c>
      <c r="D42675" t="s">
        <v>5678</v>
      </c>
      <c r="E42675" t="s">
        <v>144</v>
      </c>
      <c r="F42675" s="2" t="str">
        <f>HYPERLINK("http://www.otzar.org/book.asp?166306","שעורי רבותינו - 6 כר'")</f>
        <v>שעורי רבותינו - 6 כר'</v>
      </c>
    </row>
    <row r="42676" spans="1:6" x14ac:dyDescent="0.2">
      <c r="A42676" t="s">
        <v>64692</v>
      </c>
      <c r="B42676" t="s">
        <v>64693</v>
      </c>
      <c r="C42676" t="s">
        <v>133</v>
      </c>
      <c r="D42676" t="s">
        <v>152</v>
      </c>
      <c r="E42676" t="s">
        <v>144</v>
      </c>
      <c r="F42676" s="2" t="str">
        <f>HYPERLINK("http://www.otzar.org/book.asp?175945","שעורי רבותינו - גיטין, ב""ק")</f>
        <v>שעורי רבותינו - גיטין, ב"ק</v>
      </c>
    </row>
    <row r="42677" spans="1:6" x14ac:dyDescent="0.2">
      <c r="A42677" t="s">
        <v>64694</v>
      </c>
      <c r="B42677" t="s">
        <v>64695</v>
      </c>
      <c r="C42677" t="s">
        <v>244</v>
      </c>
      <c r="D42677" t="s">
        <v>90</v>
      </c>
      <c r="F42677" s="2" t="str">
        <f>HYPERLINK("http://www.otzar.org/book.asp?632063","שעורי רבי צבי יהודה - כתובת")</f>
        <v>שעורי רבי צבי יהודה - כתובת</v>
      </c>
    </row>
    <row r="42678" spans="1:6" x14ac:dyDescent="0.2">
      <c r="A42678" t="s">
        <v>64696</v>
      </c>
      <c r="B42678" t="s">
        <v>64658</v>
      </c>
      <c r="C42678" t="s">
        <v>3840</v>
      </c>
      <c r="D42678" t="s">
        <v>13632</v>
      </c>
      <c r="E42678" t="s">
        <v>144</v>
      </c>
      <c r="F42678" s="2" t="str">
        <f>HYPERLINK("http://www.otzar.org/book.asp?101931","שעורי רבינו הגרא""י מטלז")</f>
        <v>שעורי רבינו הגרא"י מטלז</v>
      </c>
    </row>
    <row r="42679" spans="1:6" x14ac:dyDescent="0.2">
      <c r="A42679" t="s">
        <v>64697</v>
      </c>
      <c r="B42679" t="s">
        <v>64698</v>
      </c>
      <c r="C42679" t="s">
        <v>133</v>
      </c>
      <c r="D42679" t="s">
        <v>14</v>
      </c>
      <c r="E42679" t="s">
        <v>144</v>
      </c>
      <c r="F42679" s="2" t="str">
        <f>HYPERLINK("http://www.otzar.org/book.asp?176792","שעורי רבנו משולם דוד הלוי - 19 כר'")</f>
        <v>שעורי רבנו משולם דוד הלוי - 19 כר'</v>
      </c>
    </row>
    <row r="42680" spans="1:6" x14ac:dyDescent="0.2">
      <c r="A42680" t="s">
        <v>64699</v>
      </c>
      <c r="B42680" t="s">
        <v>552</v>
      </c>
      <c r="C42680" t="s">
        <v>1388</v>
      </c>
      <c r="D42680" t="s">
        <v>52</v>
      </c>
      <c r="E42680" t="s">
        <v>186</v>
      </c>
      <c r="F42680" s="2" t="str">
        <f>HYPERLINK("http://www.otzar.org/book.asp?13028","שעורי תורה [לנגבורט]")</f>
        <v>שעורי תורה [לנגבורט]</v>
      </c>
    </row>
    <row r="42681" spans="1:6" x14ac:dyDescent="0.2">
      <c r="A42681" t="s">
        <v>64700</v>
      </c>
      <c r="B42681" t="s">
        <v>9187</v>
      </c>
      <c r="C42681" t="s">
        <v>87</v>
      </c>
      <c r="D42681" t="s">
        <v>52</v>
      </c>
      <c r="E42681" t="s">
        <v>84</v>
      </c>
      <c r="F42681" s="2" t="str">
        <f>HYPERLINK("http://www.otzar.org/book.asp?50312","שעורי תורה - שביעית")</f>
        <v>שעורי תורה - שביעית</v>
      </c>
    </row>
    <row r="42682" spans="1:6" x14ac:dyDescent="0.2">
      <c r="A42682" t="s">
        <v>64701</v>
      </c>
      <c r="B42682" t="s">
        <v>25725</v>
      </c>
      <c r="C42682" t="s">
        <v>46</v>
      </c>
      <c r="D42682" t="s">
        <v>27</v>
      </c>
      <c r="E42682" t="s">
        <v>144</v>
      </c>
      <c r="F42682" s="2" t="str">
        <f>HYPERLINK("http://www.otzar.org/book.asp?9077","שעורי תורה - נדרים")</f>
        <v>שעורי תורה - נדרים</v>
      </c>
    </row>
    <row r="42683" spans="1:6" x14ac:dyDescent="0.2">
      <c r="A42683" t="s">
        <v>64702</v>
      </c>
      <c r="B42683" t="s">
        <v>12327</v>
      </c>
      <c r="C42683" t="s">
        <v>20</v>
      </c>
      <c r="D42683" t="s">
        <v>14</v>
      </c>
      <c r="E42683" t="s">
        <v>144</v>
      </c>
      <c r="F42683" s="2" t="str">
        <f>HYPERLINK("http://www.otzar.org/book.asp?28427","שעורי - 27 כר'")</f>
        <v>שעורי - 27 כר'</v>
      </c>
    </row>
    <row r="42684" spans="1:6" x14ac:dyDescent="0.2">
      <c r="A42684" t="s">
        <v>64703</v>
      </c>
      <c r="B42684" t="s">
        <v>45285</v>
      </c>
      <c r="C42684" t="s">
        <v>20</v>
      </c>
      <c r="D42684" t="s">
        <v>52</v>
      </c>
      <c r="E42684" t="s">
        <v>144</v>
      </c>
      <c r="F42684" s="2" t="str">
        <f>HYPERLINK("http://www.otzar.org/book.asp?25798","שעורים בגיטין")</f>
        <v>שעורים בגיטין</v>
      </c>
    </row>
    <row r="42685" spans="1:6" x14ac:dyDescent="0.2">
      <c r="A42685" t="s">
        <v>64704</v>
      </c>
      <c r="B42685" t="s">
        <v>2107</v>
      </c>
      <c r="C42685" t="s">
        <v>129</v>
      </c>
      <c r="D42685" t="s">
        <v>17048</v>
      </c>
      <c r="E42685" t="s">
        <v>15</v>
      </c>
      <c r="F42685" s="2" t="str">
        <f>HYPERLINK("http://www.otzar.org/book.asp?172161","שעורים בהלכות שבת")</f>
        <v>שעורים בהלכות שבת</v>
      </c>
    </row>
    <row r="42686" spans="1:6" x14ac:dyDescent="0.2">
      <c r="A42686" t="s">
        <v>64705</v>
      </c>
      <c r="B42686" t="s">
        <v>14491</v>
      </c>
      <c r="C42686" t="s">
        <v>20</v>
      </c>
      <c r="D42686" t="s">
        <v>90</v>
      </c>
      <c r="F42686" s="2" t="str">
        <f>HYPERLINK("http://www.otzar.org/book.asp?608031","שעורים וחדושי תורה")</f>
        <v>שעורים וחדושי תורה</v>
      </c>
    </row>
    <row r="42687" spans="1:6" x14ac:dyDescent="0.2">
      <c r="A42687" t="s">
        <v>64706</v>
      </c>
      <c r="B42687" t="s">
        <v>32008</v>
      </c>
      <c r="C42687" t="s">
        <v>13</v>
      </c>
      <c r="D42687" t="s">
        <v>52</v>
      </c>
      <c r="E42687" t="s">
        <v>15</v>
      </c>
      <c r="F42687" s="2" t="str">
        <f>HYPERLINK("http://www.otzar.org/book.asp?63099","שעורים על הרמב""ם עם פירוש תורת אביגדור - הלכות דעות")</f>
        <v>שעורים על הרמב"ם עם פירוש תורת אביגדור - הלכות דעות</v>
      </c>
    </row>
    <row r="42688" spans="1:6" x14ac:dyDescent="0.2">
      <c r="A42688" t="s">
        <v>64707</v>
      </c>
      <c r="B42688" t="s">
        <v>686</v>
      </c>
      <c r="C42688" t="s">
        <v>785</v>
      </c>
      <c r="D42688" t="s">
        <v>52</v>
      </c>
      <c r="F42688" s="2" t="str">
        <f>HYPERLINK("http://www.otzar.org/book.asp?618480","שעושועי נפשי")</f>
        <v>שעושועי נפשי</v>
      </c>
    </row>
    <row r="42689" spans="1:6" x14ac:dyDescent="0.2">
      <c r="A42689" t="s">
        <v>64708</v>
      </c>
      <c r="B42689" t="s">
        <v>18896</v>
      </c>
      <c r="C42689" t="s">
        <v>1921</v>
      </c>
      <c r="D42689" t="s">
        <v>1490</v>
      </c>
      <c r="E42689" t="s">
        <v>930</v>
      </c>
      <c r="F42689" s="2" t="str">
        <f>HYPERLINK("http://www.otzar.org/book.asp?101932","שעות דרבנן")</f>
        <v>שעות דרבנן</v>
      </c>
    </row>
    <row r="42690" spans="1:6" x14ac:dyDescent="0.2">
      <c r="A42690" t="s">
        <v>64709</v>
      </c>
      <c r="B42690" t="s">
        <v>62408</v>
      </c>
      <c r="C42690" t="s">
        <v>20</v>
      </c>
      <c r="D42690" t="s">
        <v>14</v>
      </c>
      <c r="E42690" t="s">
        <v>15</v>
      </c>
      <c r="F42690" s="2" t="str">
        <f>HYPERLINK("http://www.otzar.org/book.asp?180671","שעטנז")</f>
        <v>שעטנז</v>
      </c>
    </row>
    <row r="42691" spans="1:6" x14ac:dyDescent="0.2">
      <c r="A42691" t="s">
        <v>64710</v>
      </c>
      <c r="B42691" t="s">
        <v>39691</v>
      </c>
      <c r="C42691" t="s">
        <v>1619</v>
      </c>
      <c r="D42691" t="s">
        <v>2319</v>
      </c>
      <c r="F42691" s="2" t="str">
        <f>HYPERLINK("http://www.otzar.org/book.asp?189984","שעלי דעת - 8 כר'")</f>
        <v>שעלי דעת - 8 כר'</v>
      </c>
    </row>
    <row r="42692" spans="1:6" x14ac:dyDescent="0.2">
      <c r="A42692" t="s">
        <v>64711</v>
      </c>
      <c r="B42692" t="s">
        <v>64712</v>
      </c>
      <c r="C42692" t="s">
        <v>37</v>
      </c>
      <c r="D42692" t="s">
        <v>52</v>
      </c>
      <c r="E42692" t="s">
        <v>148</v>
      </c>
      <c r="F42692" s="2" t="str">
        <f>HYPERLINK("http://www.otzar.org/book.asp?195010","שער אברהם")</f>
        <v>שער אברהם</v>
      </c>
    </row>
    <row r="42693" spans="1:6" x14ac:dyDescent="0.2">
      <c r="A42693" t="s">
        <v>64713</v>
      </c>
      <c r="B42693" t="s">
        <v>62844</v>
      </c>
      <c r="C42693" t="s">
        <v>37</v>
      </c>
      <c r="D42693" t="s">
        <v>14</v>
      </c>
      <c r="F42693" s="2" t="str">
        <f>HYPERLINK("http://www.otzar.org/book.asp?611184","שער אברהם - 3 כר'")</f>
        <v>שער אברהם - 3 כר'</v>
      </c>
    </row>
    <row r="42694" spans="1:6" x14ac:dyDescent="0.2">
      <c r="A42694" t="s">
        <v>64714</v>
      </c>
      <c r="B42694" t="s">
        <v>13868</v>
      </c>
      <c r="C42694" t="s">
        <v>2302</v>
      </c>
      <c r="D42694" t="s">
        <v>60</v>
      </c>
      <c r="E42694" t="s">
        <v>399</v>
      </c>
      <c r="F42694" s="2" t="str">
        <f>HYPERLINK("http://www.otzar.org/book.asp?6010","שער אורה")</f>
        <v>שער אורה</v>
      </c>
    </row>
    <row r="42695" spans="1:6" x14ac:dyDescent="0.2">
      <c r="A42695" t="s">
        <v>64715</v>
      </c>
      <c r="B42695" t="s">
        <v>64716</v>
      </c>
      <c r="C42695" t="s">
        <v>366</v>
      </c>
      <c r="D42695" t="s">
        <v>245</v>
      </c>
      <c r="F42695" s="2" t="str">
        <f>HYPERLINK("http://www.otzar.org/book.asp?613925","שער אלחנן קובץ מאמרים &lt;עסק השער&gt; - 2 כר'")</f>
        <v>שער אלחנן קובץ מאמרים &lt;עסק השער&gt; - 2 כר'</v>
      </c>
    </row>
    <row r="42696" spans="1:6" x14ac:dyDescent="0.2">
      <c r="A42696" t="s">
        <v>64717</v>
      </c>
      <c r="B42696" t="s">
        <v>64718</v>
      </c>
      <c r="C42696" t="s">
        <v>68</v>
      </c>
      <c r="D42696" t="s">
        <v>486</v>
      </c>
      <c r="E42696" t="s">
        <v>154</v>
      </c>
      <c r="F42696" s="2" t="str">
        <f>HYPERLINK("http://www.otzar.org/book.asp?172114","שער אפרים &lt;מהדורה חדשה&gt;")</f>
        <v>שער אפרים &lt;מהדורה חדשה&gt;</v>
      </c>
    </row>
    <row r="42697" spans="1:6" x14ac:dyDescent="0.2">
      <c r="A42697" t="s">
        <v>64719</v>
      </c>
      <c r="B42697" t="s">
        <v>64718</v>
      </c>
      <c r="C42697" t="s">
        <v>395</v>
      </c>
      <c r="D42697" t="s">
        <v>267</v>
      </c>
      <c r="E42697" t="s">
        <v>154</v>
      </c>
      <c r="F42697" s="2" t="str">
        <f>HYPERLINK("http://www.otzar.org/book.asp?101700","שער אפרים - 2 כר'")</f>
        <v>שער אפרים - 2 כר'</v>
      </c>
    </row>
    <row r="42698" spans="1:6" x14ac:dyDescent="0.2">
      <c r="A42698" t="s">
        <v>64720</v>
      </c>
      <c r="B42698" t="s">
        <v>1291</v>
      </c>
      <c r="C42698" t="s">
        <v>75</v>
      </c>
      <c r="D42698" t="s">
        <v>5258</v>
      </c>
      <c r="E42698" t="s">
        <v>15</v>
      </c>
      <c r="F42698" s="2" t="str">
        <f>HYPERLINK("http://www.otzar.org/book.asp?150026","שער אפרים")</f>
        <v>שער אפרים</v>
      </c>
    </row>
    <row r="42699" spans="1:6" x14ac:dyDescent="0.2">
      <c r="A42699" t="s">
        <v>64720</v>
      </c>
      <c r="B42699" t="s">
        <v>64721</v>
      </c>
      <c r="C42699" t="s">
        <v>41</v>
      </c>
      <c r="D42699" t="s">
        <v>2303</v>
      </c>
      <c r="E42699" t="s">
        <v>158</v>
      </c>
      <c r="F42699" s="2" t="str">
        <f>HYPERLINK("http://www.otzar.org/book.asp?63860","שער אפרים")</f>
        <v>שער אפרים</v>
      </c>
    </row>
    <row r="42700" spans="1:6" x14ac:dyDescent="0.2">
      <c r="A42700" t="s">
        <v>64722</v>
      </c>
      <c r="B42700" t="s">
        <v>64723</v>
      </c>
      <c r="C42700" t="s">
        <v>41095</v>
      </c>
      <c r="D42700" t="s">
        <v>76</v>
      </c>
      <c r="E42700" t="s">
        <v>154</v>
      </c>
      <c r="F42700" s="2" t="str">
        <f>HYPERLINK("http://www.otzar.org/book.asp?152307","שער אשר - 3 כר'")</f>
        <v>שער אשר - 3 כר'</v>
      </c>
    </row>
    <row r="42701" spans="1:6" x14ac:dyDescent="0.2">
      <c r="A42701" t="s">
        <v>64724</v>
      </c>
      <c r="B42701" t="s">
        <v>64725</v>
      </c>
      <c r="C42701" t="s">
        <v>1166</v>
      </c>
      <c r="D42701" t="s">
        <v>947</v>
      </c>
      <c r="E42701" t="s">
        <v>158</v>
      </c>
      <c r="F42701" s="2" t="str">
        <f>HYPERLINK("http://www.otzar.org/book.asp?16084","שער בנימין")</f>
        <v>שער בנימין</v>
      </c>
    </row>
    <row r="42702" spans="1:6" x14ac:dyDescent="0.2">
      <c r="A42702" t="s">
        <v>64724</v>
      </c>
      <c r="B42702" t="s">
        <v>64726</v>
      </c>
      <c r="E42702" t="s">
        <v>474</v>
      </c>
      <c r="F42702" s="2" t="str">
        <f>HYPERLINK("http://www.otzar.org/book.asp?619787","שער בנימין")</f>
        <v>שער בנימין</v>
      </c>
    </row>
    <row r="42703" spans="1:6" x14ac:dyDescent="0.2">
      <c r="A42703" t="s">
        <v>64724</v>
      </c>
      <c r="B42703" t="s">
        <v>26722</v>
      </c>
      <c r="C42703" t="s">
        <v>129</v>
      </c>
      <c r="D42703" t="s">
        <v>216</v>
      </c>
      <c r="E42703" t="s">
        <v>8035</v>
      </c>
      <c r="F42703" s="2" t="str">
        <f>HYPERLINK("http://www.otzar.org/book.asp?144333","שער בנימין")</f>
        <v>שער בנימין</v>
      </c>
    </row>
    <row r="42704" spans="1:6" x14ac:dyDescent="0.2">
      <c r="A42704" t="s">
        <v>64727</v>
      </c>
      <c r="B42704" t="s">
        <v>776</v>
      </c>
      <c r="C42704" t="s">
        <v>1374</v>
      </c>
      <c r="D42704" t="s">
        <v>27</v>
      </c>
      <c r="E42704" t="s">
        <v>158</v>
      </c>
      <c r="F42704" s="2" t="str">
        <f>HYPERLINK("http://www.otzar.org/book.asp?64310","שער בעז")</f>
        <v>שער בעז</v>
      </c>
    </row>
    <row r="42705" spans="1:6" x14ac:dyDescent="0.2">
      <c r="A42705" t="s">
        <v>64728</v>
      </c>
      <c r="B42705" t="s">
        <v>6885</v>
      </c>
      <c r="C42705" t="s">
        <v>356</v>
      </c>
      <c r="D42705" t="s">
        <v>14</v>
      </c>
      <c r="E42705" t="s">
        <v>144</v>
      </c>
      <c r="F42705" s="2" t="str">
        <f>HYPERLINK("http://www.otzar.org/book.asp?10887","שער בת רבים")</f>
        <v>שער בת רבים</v>
      </c>
    </row>
    <row r="42706" spans="1:6" x14ac:dyDescent="0.2">
      <c r="A42706" t="s">
        <v>64729</v>
      </c>
      <c r="B42706" t="s">
        <v>382</v>
      </c>
      <c r="C42706" t="s">
        <v>649</v>
      </c>
      <c r="D42706" t="s">
        <v>307</v>
      </c>
      <c r="E42706" t="s">
        <v>202</v>
      </c>
      <c r="F42706" s="2" t="str">
        <f>HYPERLINK("http://www.otzar.org/book.asp?142516","שער בת רבים - א")</f>
        <v>שער בת רבים - א</v>
      </c>
    </row>
    <row r="42707" spans="1:6" x14ac:dyDescent="0.2">
      <c r="A42707" t="s">
        <v>64730</v>
      </c>
      <c r="B42707" t="s">
        <v>64731</v>
      </c>
      <c r="C42707" t="s">
        <v>64732</v>
      </c>
      <c r="D42707" t="s">
        <v>283</v>
      </c>
      <c r="E42707" t="s">
        <v>158</v>
      </c>
      <c r="F42707" s="2" t="str">
        <f>HYPERLINK("http://www.otzar.org/book.asp?5345","שער בת רבים - 7 כר'")</f>
        <v>שער בת רבים - 7 כר'</v>
      </c>
    </row>
    <row r="42708" spans="1:6" x14ac:dyDescent="0.2">
      <c r="A42708" t="s">
        <v>64733</v>
      </c>
      <c r="B42708" t="s">
        <v>10378</v>
      </c>
      <c r="C42708" t="s">
        <v>2644</v>
      </c>
      <c r="D42708" t="s">
        <v>225</v>
      </c>
      <c r="E42708" t="s">
        <v>158</v>
      </c>
      <c r="F42708" s="2" t="str">
        <f>HYPERLINK("http://www.otzar.org/book.asp?100723","שער בת רבים - ז (הפטרות)")</f>
        <v>שער בת רבים - ז (הפטרות)</v>
      </c>
    </row>
    <row r="42709" spans="1:6" x14ac:dyDescent="0.2">
      <c r="A42709" t="s">
        <v>64734</v>
      </c>
      <c r="B42709" t="s">
        <v>64735</v>
      </c>
      <c r="C42709" t="s">
        <v>617</v>
      </c>
      <c r="D42709" t="s">
        <v>17609</v>
      </c>
      <c r="E42709" t="s">
        <v>241</v>
      </c>
      <c r="F42709" s="2" t="str">
        <f>HYPERLINK("http://www.otzar.org/book.asp?188611","שער גמילות חסדים עם רביד הזהב")</f>
        <v>שער גמילות חסדים עם רביד הזהב</v>
      </c>
    </row>
    <row r="42710" spans="1:6" x14ac:dyDescent="0.2">
      <c r="A42710" t="s">
        <v>64736</v>
      </c>
      <c r="B42710" t="s">
        <v>46099</v>
      </c>
      <c r="C42710" t="s">
        <v>156</v>
      </c>
      <c r="D42710" t="s">
        <v>1117</v>
      </c>
      <c r="E42710" t="s">
        <v>399</v>
      </c>
      <c r="F42710" s="2" t="str">
        <f>HYPERLINK("http://www.otzar.org/book.asp?28420","שער גן עדן - 2 כר'")</f>
        <v>שער גן עדן - 2 כר'</v>
      </c>
    </row>
    <row r="42711" spans="1:6" x14ac:dyDescent="0.2">
      <c r="A42711" t="s">
        <v>64737</v>
      </c>
      <c r="B42711" t="s">
        <v>693</v>
      </c>
      <c r="C42711" t="s">
        <v>506</v>
      </c>
      <c r="D42711" t="s">
        <v>27</v>
      </c>
      <c r="E42711" t="s">
        <v>674</v>
      </c>
      <c r="F42711" s="2" t="str">
        <f>HYPERLINK("http://www.otzar.org/book.asp?28580","שער דלתי הלבנון")</f>
        <v>שער דלתי הלבנון</v>
      </c>
    </row>
    <row r="42712" spans="1:6" x14ac:dyDescent="0.2">
      <c r="A42712" t="s">
        <v>64738</v>
      </c>
      <c r="B42712" t="s">
        <v>34666</v>
      </c>
      <c r="C42712" t="s">
        <v>64739</v>
      </c>
      <c r="D42712" t="s">
        <v>1490</v>
      </c>
      <c r="E42712" t="s">
        <v>241</v>
      </c>
      <c r="F42712" s="2" t="str">
        <f>HYPERLINK("http://www.otzar.org/book.asp?147136","שער ה' החדש")</f>
        <v>שער ה' החדש</v>
      </c>
    </row>
    <row r="42713" spans="1:6" x14ac:dyDescent="0.2">
      <c r="A42713" t="s">
        <v>64740</v>
      </c>
      <c r="B42713" t="s">
        <v>64741</v>
      </c>
      <c r="C42713" t="s">
        <v>13</v>
      </c>
      <c r="D42713" t="s">
        <v>14</v>
      </c>
      <c r="E42713" t="s">
        <v>872</v>
      </c>
      <c r="F42713" s="2" t="str">
        <f>HYPERLINK("http://www.otzar.org/book.asp?147944","שער האורה")</f>
        <v>שער האורה</v>
      </c>
    </row>
    <row r="42714" spans="1:6" x14ac:dyDescent="0.2">
      <c r="A42714" t="s">
        <v>64742</v>
      </c>
      <c r="B42714" t="s">
        <v>51075</v>
      </c>
      <c r="C42714" t="s">
        <v>151</v>
      </c>
      <c r="D42714" t="s">
        <v>486</v>
      </c>
      <c r="F42714" s="2" t="str">
        <f>HYPERLINK("http://www.otzar.org/book.asp?616088","שער האיתן - ר""ה בהלכה ובאגדה")</f>
        <v>שער האיתן - ר"ה בהלכה ובאגדה</v>
      </c>
    </row>
    <row r="42715" spans="1:6" x14ac:dyDescent="0.2">
      <c r="A42715" t="s">
        <v>64743</v>
      </c>
      <c r="B42715" t="s">
        <v>12916</v>
      </c>
      <c r="C42715" t="s">
        <v>68</v>
      </c>
      <c r="D42715" t="s">
        <v>14</v>
      </c>
      <c r="E42715" t="s">
        <v>241</v>
      </c>
      <c r="F42715" s="2" t="str">
        <f>HYPERLINK("http://www.otzar.org/book.asp?154315","שער הבטחון - עם ביאור בתורתו יהגה")</f>
        <v>שער הבטחון - עם ביאור בתורתו יהגה</v>
      </c>
    </row>
    <row r="42716" spans="1:6" x14ac:dyDescent="0.2">
      <c r="A42716" t="s">
        <v>64744</v>
      </c>
      <c r="B42716" t="s">
        <v>64745</v>
      </c>
      <c r="C42716" t="s">
        <v>114</v>
      </c>
      <c r="D42716" t="s">
        <v>14</v>
      </c>
      <c r="E42716" t="s">
        <v>241</v>
      </c>
      <c r="F42716" s="2" t="str">
        <f>HYPERLINK("http://www.otzar.org/book.asp?172364","שער הבטחון")</f>
        <v>שער הבטחון</v>
      </c>
    </row>
    <row r="42717" spans="1:6" x14ac:dyDescent="0.2">
      <c r="A42717" t="s">
        <v>64744</v>
      </c>
      <c r="B42717" t="s">
        <v>1393</v>
      </c>
      <c r="C42717" t="s">
        <v>313</v>
      </c>
      <c r="D42717" t="s">
        <v>14</v>
      </c>
      <c r="F42717" s="2" t="str">
        <f>HYPERLINK("http://www.otzar.org/book.asp?167935","שער הבטחון")</f>
        <v>שער הבטחון</v>
      </c>
    </row>
    <row r="42718" spans="1:6" x14ac:dyDescent="0.2">
      <c r="A42718" t="s">
        <v>64746</v>
      </c>
      <c r="B42718" t="s">
        <v>14662</v>
      </c>
      <c r="C42718" t="s">
        <v>114</v>
      </c>
      <c r="D42718" t="s">
        <v>412</v>
      </c>
      <c r="E42718" t="s">
        <v>144</v>
      </c>
      <c r="F42718" s="2" t="str">
        <f>HYPERLINK("http://www.otzar.org/book.asp?606112","שער הבכורות")</f>
        <v>שער הבכורות</v>
      </c>
    </row>
    <row r="42719" spans="1:6" x14ac:dyDescent="0.2">
      <c r="A42719" t="s">
        <v>64747</v>
      </c>
      <c r="B42719" t="s">
        <v>405</v>
      </c>
      <c r="C42719" t="s">
        <v>1458</v>
      </c>
      <c r="D42719" t="s">
        <v>855</v>
      </c>
      <c r="F42719" s="2" t="str">
        <f>HYPERLINK("http://www.otzar.org/book.asp?612187","שער הגלגולים &lt;ספר הגלגולים מעורב עם שאר ספרים&gt;")</f>
        <v>שער הגלגולים &lt;ספר הגלגולים מעורב עם שאר ספרים&gt;</v>
      </c>
    </row>
    <row r="42720" spans="1:6" x14ac:dyDescent="0.2">
      <c r="A42720" t="s">
        <v>64748</v>
      </c>
      <c r="B42720" t="s">
        <v>405</v>
      </c>
      <c r="C42720" t="s">
        <v>75</v>
      </c>
      <c r="D42720" t="s">
        <v>27</v>
      </c>
      <c r="E42720" t="s">
        <v>399</v>
      </c>
      <c r="F42720" s="2" t="str">
        <f>HYPERLINK("http://www.otzar.org/book.asp?163185","שער הגלגולים עם הגהות הרב יהודה פתייא")</f>
        <v>שער הגלגולים עם הגהות הרב יהודה פתייא</v>
      </c>
    </row>
    <row r="42721" spans="1:6" x14ac:dyDescent="0.2">
      <c r="A42721" t="s">
        <v>64749</v>
      </c>
      <c r="B42721" t="s">
        <v>405</v>
      </c>
      <c r="C42721" t="s">
        <v>422</v>
      </c>
      <c r="D42721" t="s">
        <v>27</v>
      </c>
      <c r="E42721" t="s">
        <v>399</v>
      </c>
      <c r="F42721" s="2" t="str">
        <f>HYPERLINK("http://www.otzar.org/book.asp?198215","שער הגלגולים עם הגהות הרב שמן ששון")</f>
        <v>שער הגלגולים עם הגהות הרב שמן ששון</v>
      </c>
    </row>
    <row r="42722" spans="1:6" x14ac:dyDescent="0.2">
      <c r="A42722" t="s">
        <v>64750</v>
      </c>
      <c r="B42722" t="s">
        <v>405</v>
      </c>
      <c r="C42722" t="s">
        <v>888</v>
      </c>
      <c r="D42722" t="s">
        <v>27</v>
      </c>
      <c r="E42722" t="s">
        <v>399</v>
      </c>
      <c r="F42722" s="2" t="str">
        <f>HYPERLINK("http://www.otzar.org/book.asp?5977","שער הגלגולים - 3 כר'")</f>
        <v>שער הגלגולים - 3 כר'</v>
      </c>
    </row>
    <row r="42723" spans="1:6" x14ac:dyDescent="0.2">
      <c r="A42723" t="s">
        <v>64751</v>
      </c>
      <c r="B42723" t="s">
        <v>64752</v>
      </c>
      <c r="C42723" t="s">
        <v>427</v>
      </c>
      <c r="D42723" t="s">
        <v>52</v>
      </c>
      <c r="E42723" t="s">
        <v>6305</v>
      </c>
      <c r="F42723" s="2" t="str">
        <f>HYPERLINK("http://www.otzar.org/book.asp?10228","שער הגמול &lt;ויש תקוה&gt;")</f>
        <v>שער הגמול &lt;ויש תקוה&gt;</v>
      </c>
    </row>
    <row r="42724" spans="1:6" x14ac:dyDescent="0.2">
      <c r="A42724" t="s">
        <v>64753</v>
      </c>
      <c r="B42724" t="s">
        <v>1552</v>
      </c>
      <c r="C42724" t="s">
        <v>33</v>
      </c>
      <c r="D42724" t="s">
        <v>340</v>
      </c>
      <c r="E42724" t="s">
        <v>241</v>
      </c>
      <c r="F42724" s="2" t="str">
        <f>HYPERLINK("http://www.otzar.org/book.asp?53591","שער הגמול &lt;דפו""ר&gt;")</f>
        <v>שער הגמול &lt;דפו"ר&gt;</v>
      </c>
    </row>
    <row r="42725" spans="1:6" x14ac:dyDescent="0.2">
      <c r="A42725" t="s">
        <v>64754</v>
      </c>
      <c r="B42725" t="s">
        <v>1552</v>
      </c>
      <c r="C42725" t="s">
        <v>1163</v>
      </c>
      <c r="D42725" t="s">
        <v>1163</v>
      </c>
      <c r="E42725" t="s">
        <v>241</v>
      </c>
      <c r="F42725" s="2" t="str">
        <f>HYPERLINK("http://www.otzar.org/book.asp?169581","שער הגמול &lt;כתב יד&gt;")</f>
        <v>שער הגמול &lt;כתב יד&gt;</v>
      </c>
    </row>
    <row r="42726" spans="1:6" x14ac:dyDescent="0.2">
      <c r="A42726" t="s">
        <v>64755</v>
      </c>
      <c r="B42726" t="s">
        <v>64756</v>
      </c>
      <c r="C42726" t="s">
        <v>313</v>
      </c>
      <c r="D42726" t="s">
        <v>14</v>
      </c>
      <c r="E42726" t="s">
        <v>213</v>
      </c>
      <c r="F42726" s="2" t="str">
        <f>HYPERLINK("http://www.otzar.org/book.asp?108237","שער הגמול &lt;מהדורת סופר&gt; - 2 כר'")</f>
        <v>שער הגמול &lt;מהדורת סופר&gt; - 2 כר'</v>
      </c>
    </row>
    <row r="42727" spans="1:6" x14ac:dyDescent="0.2">
      <c r="A42727" t="s">
        <v>64757</v>
      </c>
      <c r="B42727" t="s">
        <v>17062</v>
      </c>
      <c r="C42727" t="s">
        <v>244</v>
      </c>
      <c r="D42727" t="s">
        <v>14</v>
      </c>
      <c r="E42727" t="s">
        <v>241</v>
      </c>
      <c r="F42727" s="2" t="str">
        <f>HYPERLINK("http://www.otzar.org/book.asp?606710","שער הגמול עם פירוש חזון יואל")</f>
        <v>שער הגמול עם פירוש חזון יואל</v>
      </c>
    </row>
    <row r="42728" spans="1:6" x14ac:dyDescent="0.2">
      <c r="A42728" t="s">
        <v>64758</v>
      </c>
      <c r="B42728" t="s">
        <v>64759</v>
      </c>
      <c r="C42728" t="s">
        <v>146</v>
      </c>
      <c r="D42728" t="s">
        <v>14</v>
      </c>
      <c r="E42728" t="s">
        <v>241</v>
      </c>
      <c r="F42728" s="2" t="str">
        <f>HYPERLINK("http://www.otzar.org/book.asp?62021","שער הגמול - שערי העבודה")</f>
        <v>שער הגמול - שערי העבודה</v>
      </c>
    </row>
    <row r="42729" spans="1:6" x14ac:dyDescent="0.2">
      <c r="A42729" t="s">
        <v>64760</v>
      </c>
      <c r="B42729" t="s">
        <v>1552</v>
      </c>
      <c r="C42729" t="s">
        <v>20</v>
      </c>
      <c r="D42729" t="s">
        <v>2347</v>
      </c>
      <c r="E42729" t="s">
        <v>241</v>
      </c>
      <c r="F42729" s="2" t="str">
        <f>HYPERLINK("http://www.otzar.org/book.asp?6126","שער הגמול - 3 כר'")</f>
        <v>שער הגמול - 3 כר'</v>
      </c>
    </row>
    <row r="42730" spans="1:6" x14ac:dyDescent="0.2">
      <c r="A42730" t="s">
        <v>64761</v>
      </c>
      <c r="B42730" t="s">
        <v>64762</v>
      </c>
      <c r="C42730" t="s">
        <v>11821</v>
      </c>
      <c r="D42730" t="s">
        <v>2041</v>
      </c>
      <c r="E42730" t="s">
        <v>474</v>
      </c>
      <c r="F42730" s="2" t="str">
        <f>HYPERLINK("http://www.otzar.org/book.asp?141040","שער הדרושים")</f>
        <v>שער הדרושים</v>
      </c>
    </row>
    <row r="42731" spans="1:6" x14ac:dyDescent="0.2">
      <c r="A42731" t="s">
        <v>64763</v>
      </c>
      <c r="B42731" t="s">
        <v>46539</v>
      </c>
      <c r="C42731" t="s">
        <v>64764</v>
      </c>
      <c r="D42731" t="s">
        <v>64765</v>
      </c>
      <c r="E42731" t="s">
        <v>104</v>
      </c>
      <c r="F42731" s="2" t="str">
        <f>HYPERLINK("http://www.otzar.org/book.asp?600312","שער ההכנה וצוואות נפלאות")</f>
        <v>שער ההכנה וצוואות נפלאות</v>
      </c>
    </row>
    <row r="42732" spans="1:6" x14ac:dyDescent="0.2">
      <c r="A42732" t="s">
        <v>64766</v>
      </c>
      <c r="B42732" t="s">
        <v>46539</v>
      </c>
      <c r="C42732" t="s">
        <v>9914</v>
      </c>
      <c r="D42732" t="s">
        <v>1490</v>
      </c>
      <c r="F42732" s="2" t="str">
        <f>HYPERLINK("http://www.otzar.org/book.asp?170078","שער ההכנה")</f>
        <v>שער ההכנה</v>
      </c>
    </row>
    <row r="42733" spans="1:6" x14ac:dyDescent="0.2">
      <c r="A42733" t="s">
        <v>64767</v>
      </c>
      <c r="B42733" t="s">
        <v>405</v>
      </c>
      <c r="C42733" t="s">
        <v>64768</v>
      </c>
      <c r="D42733" t="s">
        <v>14</v>
      </c>
      <c r="F42733" s="2" t="str">
        <f>HYPERLINK("http://www.otzar.org/book.asp?619586","שער ההקדמות עם הגהות הרב יהודה פתייא ז""ל")</f>
        <v>שער ההקדמות עם הגהות הרב יהודה פתייא ז"ל</v>
      </c>
    </row>
    <row r="42734" spans="1:6" x14ac:dyDescent="0.2">
      <c r="A42734" t="s">
        <v>64769</v>
      </c>
      <c r="B42734" t="s">
        <v>405</v>
      </c>
      <c r="C42734" t="s">
        <v>950</v>
      </c>
      <c r="D42734" t="s">
        <v>27</v>
      </c>
      <c r="E42734" t="s">
        <v>399</v>
      </c>
      <c r="F42734" s="2" t="str">
        <f>HYPERLINK("http://www.otzar.org/book.asp?105821","שער ההקדמות - 3 כר'")</f>
        <v>שער ההקדמות - 3 כר'</v>
      </c>
    </row>
    <row r="42735" spans="1:6" x14ac:dyDescent="0.2">
      <c r="A42735" t="s">
        <v>64770</v>
      </c>
      <c r="B42735" t="s">
        <v>5616</v>
      </c>
      <c r="C42735" t="s">
        <v>2605</v>
      </c>
      <c r="D42735" t="s">
        <v>5665</v>
      </c>
      <c r="E42735" t="s">
        <v>930</v>
      </c>
      <c r="F42735" s="2" t="str">
        <f>HYPERLINK("http://www.otzar.org/book.asp?101804","שער הזקנים - 2 כר'")</f>
        <v>שער הזקנים - 2 כר'</v>
      </c>
    </row>
    <row r="42736" spans="1:6" x14ac:dyDescent="0.2">
      <c r="A42736" t="s">
        <v>64771</v>
      </c>
      <c r="B42736" t="s">
        <v>64772</v>
      </c>
      <c r="C42736" t="s">
        <v>68</v>
      </c>
      <c r="D42736" t="s">
        <v>14</v>
      </c>
      <c r="F42736" s="2" t="str">
        <f>HYPERLINK("http://www.otzar.org/book.asp?617178","שער החיים - 3 כר'")</f>
        <v>שער החיים - 3 כר'</v>
      </c>
    </row>
    <row r="42737" spans="1:6" x14ac:dyDescent="0.2">
      <c r="A42737" t="s">
        <v>64773</v>
      </c>
      <c r="B42737" t="s">
        <v>64774</v>
      </c>
      <c r="C42737" t="s">
        <v>843</v>
      </c>
      <c r="D42737" t="s">
        <v>260</v>
      </c>
      <c r="E42737" t="s">
        <v>140</v>
      </c>
      <c r="F42737" s="2" t="str">
        <f>HYPERLINK("http://www.otzar.org/book.asp?190167","שער החסידות")</f>
        <v>שער החסידות</v>
      </c>
    </row>
    <row r="42738" spans="1:6" x14ac:dyDescent="0.2">
      <c r="A42738" t="s">
        <v>64775</v>
      </c>
      <c r="B42738" t="s">
        <v>64776</v>
      </c>
      <c r="C42738" t="s">
        <v>411</v>
      </c>
      <c r="D42738" t="s">
        <v>1840</v>
      </c>
      <c r="E42738" t="s">
        <v>104</v>
      </c>
      <c r="F42738" s="2" t="str">
        <f>HYPERLINK("http://www.otzar.org/book.asp?172236","שער החצר &lt;מהדורה חדשה&gt; - 2 כר'")</f>
        <v>שער החצר &lt;מהדורה חדשה&gt; - 2 כר'</v>
      </c>
    </row>
    <row r="42739" spans="1:6" x14ac:dyDescent="0.2">
      <c r="A42739" t="s">
        <v>64777</v>
      </c>
      <c r="B42739" t="s">
        <v>64778</v>
      </c>
      <c r="C42739" t="s">
        <v>1121</v>
      </c>
      <c r="D42739" t="s">
        <v>212</v>
      </c>
      <c r="F42739" s="2" t="str">
        <f>HYPERLINK("http://www.otzar.org/book.asp?152757","שער החשק - 2 כר'")</f>
        <v>שער החשק - 2 כר'</v>
      </c>
    </row>
    <row r="42740" spans="1:6" x14ac:dyDescent="0.2">
      <c r="A42740" t="s">
        <v>64779</v>
      </c>
      <c r="B42740" t="s">
        <v>15969</v>
      </c>
      <c r="C42740" t="s">
        <v>13</v>
      </c>
      <c r="D42740" t="s">
        <v>14</v>
      </c>
      <c r="E42740" t="s">
        <v>148</v>
      </c>
      <c r="F42740" s="2" t="str">
        <f>HYPERLINK("http://www.otzar.org/book.asp?153030","שער היחוד")</f>
        <v>שער היחוד</v>
      </c>
    </row>
    <row r="42741" spans="1:6" x14ac:dyDescent="0.2">
      <c r="A42741" t="s">
        <v>64780</v>
      </c>
      <c r="B42741" t="s">
        <v>64781</v>
      </c>
      <c r="C42741" t="s">
        <v>68</v>
      </c>
      <c r="D42741" t="s">
        <v>412</v>
      </c>
      <c r="E42741" t="s">
        <v>399</v>
      </c>
      <c r="F42741" s="2" t="str">
        <f>HYPERLINK("http://www.otzar.org/book.asp?179529","שער היחודים &lt;הטוב והישר&gt;")</f>
        <v>שער היחודים &lt;הטוב והישר&gt;</v>
      </c>
    </row>
    <row r="42742" spans="1:6" x14ac:dyDescent="0.2">
      <c r="A42742" t="s">
        <v>64782</v>
      </c>
      <c r="B42742" t="s">
        <v>405</v>
      </c>
      <c r="C42742" t="s">
        <v>2488</v>
      </c>
      <c r="D42742" t="s">
        <v>4364</v>
      </c>
      <c r="E42742" t="s">
        <v>399</v>
      </c>
      <c r="F42742" s="2" t="str">
        <f>HYPERLINK("http://www.otzar.org/book.asp?152769","שער היחודים ותיקון עונות")</f>
        <v>שער היחודים ותיקון עונות</v>
      </c>
    </row>
    <row r="42743" spans="1:6" x14ac:dyDescent="0.2">
      <c r="A42743" t="s">
        <v>64783</v>
      </c>
      <c r="B42743" t="s">
        <v>405</v>
      </c>
      <c r="C42743" t="s">
        <v>1721</v>
      </c>
      <c r="D42743" t="s">
        <v>1279</v>
      </c>
      <c r="E42743" t="s">
        <v>399</v>
      </c>
      <c r="F42743" s="2" t="str">
        <f>HYPERLINK("http://www.otzar.org/book.asp?163182","שער היחודים עם הגהות הרב יהודה פתייא ז""ל")</f>
        <v>שער היחודים עם הגהות הרב יהודה פתייא ז"ל</v>
      </c>
    </row>
    <row r="42744" spans="1:6" x14ac:dyDescent="0.2">
      <c r="A42744" t="s">
        <v>64784</v>
      </c>
      <c r="B42744" t="s">
        <v>405</v>
      </c>
      <c r="C42744" t="s">
        <v>1721</v>
      </c>
      <c r="D42744" t="s">
        <v>1279</v>
      </c>
      <c r="E42744" t="s">
        <v>3755</v>
      </c>
      <c r="F42744" s="2" t="str">
        <f>HYPERLINK("http://www.otzar.org/book.asp?100753","שער היחודים")</f>
        <v>שער היחודים</v>
      </c>
    </row>
    <row r="42745" spans="1:6" x14ac:dyDescent="0.2">
      <c r="A42745" t="s">
        <v>64785</v>
      </c>
      <c r="B42745" t="s">
        <v>64786</v>
      </c>
      <c r="C42745" t="s">
        <v>146</v>
      </c>
      <c r="D42745" t="s">
        <v>412</v>
      </c>
      <c r="E42745" t="s">
        <v>399</v>
      </c>
      <c r="F42745" s="2" t="str">
        <f>HYPERLINK("http://www.otzar.org/book.asp?154652","שער הכונות &lt;ע""פ דברי חיים דב&gt; - 2 כר'")</f>
        <v>שער הכונות &lt;ע"פ דברי חיים דב&gt; - 2 כר'</v>
      </c>
    </row>
    <row r="42746" spans="1:6" x14ac:dyDescent="0.2">
      <c r="A42746" t="s">
        <v>64787</v>
      </c>
      <c r="B42746" t="s">
        <v>405</v>
      </c>
      <c r="C42746" t="s">
        <v>854</v>
      </c>
      <c r="D42746" t="s">
        <v>27</v>
      </c>
      <c r="E42746" t="s">
        <v>399</v>
      </c>
      <c r="F42746" s="2" t="str">
        <f>HYPERLINK("http://www.otzar.org/book.asp?84741","שער הכונות &lt;הגהות השד""ה - הלשם, צדק ושלום, יפה שעה&gt;")</f>
        <v>שער הכונות &lt;הגהות השד"ה - הלשם, צדק ושלום, יפה שעה&gt;</v>
      </c>
    </row>
    <row r="42747" spans="1:6" x14ac:dyDescent="0.2">
      <c r="A42747" t="s">
        <v>64788</v>
      </c>
      <c r="B42747" t="s">
        <v>405</v>
      </c>
      <c r="C42747" t="s">
        <v>854</v>
      </c>
      <c r="D42747" t="s">
        <v>27</v>
      </c>
      <c r="E42747" t="s">
        <v>399</v>
      </c>
      <c r="F42747" s="2" t="str">
        <f>HYPERLINK("http://www.otzar.org/book.asp?105211","שער הכונות &lt;יפה שעה&gt; - 2 כר'")</f>
        <v>שער הכונות &lt;יפה שעה&gt; - 2 כר'</v>
      </c>
    </row>
    <row r="42748" spans="1:6" x14ac:dyDescent="0.2">
      <c r="A42748" t="s">
        <v>64789</v>
      </c>
      <c r="B42748" t="s">
        <v>405</v>
      </c>
      <c r="C42748" t="s">
        <v>189</v>
      </c>
      <c r="D42748" t="s">
        <v>14</v>
      </c>
      <c r="E42748" t="s">
        <v>399</v>
      </c>
      <c r="F42748" s="2" t="str">
        <f>HYPERLINK("http://www.otzar.org/book.asp?154640","שער הכונות &lt;מהדורה חדשה&gt; - ג")</f>
        <v>שער הכונות &lt;מהדורה חדשה&gt; - ג</v>
      </c>
    </row>
    <row r="42749" spans="1:6" x14ac:dyDescent="0.2">
      <c r="A42749" t="s">
        <v>64790</v>
      </c>
      <c r="B42749" t="s">
        <v>405</v>
      </c>
      <c r="C42749" t="s">
        <v>244</v>
      </c>
      <c r="D42749" t="s">
        <v>14</v>
      </c>
      <c r="F42749" s="2" t="str">
        <f>HYPERLINK("http://www.otzar.org/book.asp?199097","שער הכונות &lt;מכון דעה להשכיל&gt; - 2 כר'")</f>
        <v>שער הכונות &lt;מכון דעה להשכיל&gt; - 2 כר'</v>
      </c>
    </row>
    <row r="42750" spans="1:6" x14ac:dyDescent="0.2">
      <c r="A42750" t="s">
        <v>64791</v>
      </c>
      <c r="B42750" t="s">
        <v>405</v>
      </c>
      <c r="C42750" t="s">
        <v>31324</v>
      </c>
      <c r="D42750" t="s">
        <v>27</v>
      </c>
      <c r="E42750" t="s">
        <v>399</v>
      </c>
      <c r="F42750" s="2" t="str">
        <f>HYPERLINK("http://www.otzar.org/book.asp?198214","שער הכונות &lt;עימוד חדש בתבנית ישנה&gt;")</f>
        <v>שער הכונות &lt;עימוד חדש בתבנית ישנה&gt;</v>
      </c>
    </row>
    <row r="42751" spans="1:6" x14ac:dyDescent="0.2">
      <c r="A42751" t="s">
        <v>64792</v>
      </c>
      <c r="B42751" t="s">
        <v>27686</v>
      </c>
      <c r="C42751" t="s">
        <v>767</v>
      </c>
      <c r="D42751" t="s">
        <v>14</v>
      </c>
      <c r="E42751" t="s">
        <v>399</v>
      </c>
      <c r="F42751" s="2" t="str">
        <f>HYPERLINK("http://www.otzar.org/book.asp?28099","שער הכונות &lt;עם ספר טיב הכונות&gt;")</f>
        <v>שער הכונות &lt;עם ספר טיב הכונות&gt;</v>
      </c>
    </row>
    <row r="42752" spans="1:6" x14ac:dyDescent="0.2">
      <c r="A42752" t="s">
        <v>64793</v>
      </c>
      <c r="B42752" t="s">
        <v>405</v>
      </c>
      <c r="C42752" t="s">
        <v>266</v>
      </c>
      <c r="D42752" t="s">
        <v>27</v>
      </c>
      <c r="E42752" t="s">
        <v>399</v>
      </c>
      <c r="F42752" s="2" t="str">
        <f>HYPERLINK("http://www.otzar.org/book.asp?163183","שער הכונות עם הגהות הרב יהודה פתייא")</f>
        <v>שער הכונות עם הגהות הרב יהודה פתייא</v>
      </c>
    </row>
    <row r="42753" spans="1:6" x14ac:dyDescent="0.2">
      <c r="A42753" t="s">
        <v>64794</v>
      </c>
      <c r="B42753" t="s">
        <v>405</v>
      </c>
      <c r="C42753" t="s">
        <v>1150</v>
      </c>
      <c r="D42753" t="s">
        <v>76</v>
      </c>
      <c r="E42753" t="s">
        <v>399</v>
      </c>
      <c r="F42753" s="2" t="str">
        <f>HYPERLINK("http://www.otzar.org/book.asp?105848","שער הכונות")</f>
        <v>שער הכונות</v>
      </c>
    </row>
    <row r="42754" spans="1:6" x14ac:dyDescent="0.2">
      <c r="A42754" t="s">
        <v>64795</v>
      </c>
      <c r="B42754" t="s">
        <v>52741</v>
      </c>
      <c r="C42754" t="s">
        <v>64796</v>
      </c>
      <c r="D42754" t="s">
        <v>403</v>
      </c>
      <c r="E42754" t="s">
        <v>920</v>
      </c>
      <c r="F42754" s="2" t="str">
        <f>HYPERLINK("http://www.otzar.org/book.asp?101733","שער הלקוטות &lt;פתחי שערים&gt; - א ב")</f>
        <v>שער הלקוטות &lt;פתחי שערים&gt; - א ב</v>
      </c>
    </row>
    <row r="42755" spans="1:6" x14ac:dyDescent="0.2">
      <c r="A42755" t="s">
        <v>64797</v>
      </c>
      <c r="B42755" t="s">
        <v>5658</v>
      </c>
      <c r="C42755" t="s">
        <v>1940</v>
      </c>
      <c r="D42755" t="s">
        <v>744</v>
      </c>
      <c r="E42755" t="s">
        <v>158</v>
      </c>
      <c r="F42755" s="2" t="str">
        <f>HYPERLINK("http://www.otzar.org/book.asp?102407","שער המזרח")</f>
        <v>שער המזרח</v>
      </c>
    </row>
    <row r="42756" spans="1:6" x14ac:dyDescent="0.2">
      <c r="A42756" t="s">
        <v>64798</v>
      </c>
      <c r="B42756" t="s">
        <v>24561</v>
      </c>
      <c r="C42756" t="s">
        <v>438</v>
      </c>
      <c r="D42756" t="s">
        <v>216</v>
      </c>
      <c r="E42756" t="s">
        <v>3567</v>
      </c>
      <c r="F42756" s="2" t="str">
        <f>HYPERLINK("http://www.otzar.org/book.asp?12112","שער המים - 2 כר'")</f>
        <v>שער המים - 2 כר'</v>
      </c>
    </row>
    <row r="42757" spans="1:6" x14ac:dyDescent="0.2">
      <c r="A42757" t="s">
        <v>64799</v>
      </c>
      <c r="B42757" t="s">
        <v>12119</v>
      </c>
      <c r="C42757" t="s">
        <v>6624</v>
      </c>
      <c r="D42757" t="s">
        <v>76</v>
      </c>
      <c r="E42757" t="s">
        <v>2572</v>
      </c>
      <c r="F42757" s="2" t="str">
        <f>HYPERLINK("http://www.otzar.org/book.asp?101696","שער המים")</f>
        <v>שער המים</v>
      </c>
    </row>
    <row r="42758" spans="1:6" x14ac:dyDescent="0.2">
      <c r="A42758" t="s">
        <v>64799</v>
      </c>
      <c r="B42758" t="s">
        <v>64800</v>
      </c>
      <c r="C42758" t="s">
        <v>603</v>
      </c>
      <c r="D42758" t="s">
        <v>1419</v>
      </c>
      <c r="E42758" t="s">
        <v>104</v>
      </c>
      <c r="F42758" s="2" t="str">
        <f>HYPERLINK("http://www.otzar.org/book.asp?168912","שער המים")</f>
        <v>שער המים</v>
      </c>
    </row>
    <row r="42759" spans="1:6" x14ac:dyDescent="0.2">
      <c r="A42759" t="s">
        <v>64801</v>
      </c>
      <c r="B42759" t="s">
        <v>7056</v>
      </c>
      <c r="C42759" t="s">
        <v>68</v>
      </c>
      <c r="D42759" t="s">
        <v>367</v>
      </c>
      <c r="E42759" t="s">
        <v>1438</v>
      </c>
      <c r="F42759" s="2" t="str">
        <f>HYPERLINK("http://www.otzar.org/book.asp?608252","שער המכתבים")</f>
        <v>שער המכתבים</v>
      </c>
    </row>
    <row r="42760" spans="1:6" x14ac:dyDescent="0.2">
      <c r="A42760" t="s">
        <v>64802</v>
      </c>
      <c r="B42760" t="s">
        <v>3935</v>
      </c>
      <c r="C42760" t="s">
        <v>1160</v>
      </c>
      <c r="D42760" t="s">
        <v>412</v>
      </c>
      <c r="E42760" t="s">
        <v>158</v>
      </c>
      <c r="F42760" s="2" t="str">
        <f>HYPERLINK("http://www.otzar.org/book.asp?144258","שער המלך על תהלים - 3 כר'")</f>
        <v>שער המלך על תהלים - 3 כר'</v>
      </c>
    </row>
    <row r="42761" spans="1:6" x14ac:dyDescent="0.2">
      <c r="A42761" t="s">
        <v>64803</v>
      </c>
      <c r="B42761" t="s">
        <v>13777</v>
      </c>
      <c r="C42761" t="s">
        <v>51</v>
      </c>
      <c r="D42761" t="s">
        <v>486</v>
      </c>
      <c r="E42761" t="s">
        <v>104</v>
      </c>
      <c r="F42761" s="2" t="str">
        <f>HYPERLINK("http://www.otzar.org/book.asp?163662","שער המלך")</f>
        <v>שער המלך</v>
      </c>
    </row>
    <row r="42762" spans="1:6" x14ac:dyDescent="0.2">
      <c r="A42762" t="s">
        <v>64804</v>
      </c>
      <c r="B42762" t="s">
        <v>64805</v>
      </c>
      <c r="C42762" t="s">
        <v>5826</v>
      </c>
      <c r="D42762" t="s">
        <v>2041</v>
      </c>
      <c r="E42762" t="s">
        <v>564</v>
      </c>
      <c r="F42762" s="2" t="str">
        <f>HYPERLINK("http://www.otzar.org/book.asp?100751","שער המלך - א ב")</f>
        <v>שער המלך - א ב</v>
      </c>
    </row>
    <row r="42763" spans="1:6" x14ac:dyDescent="0.2">
      <c r="A42763" t="s">
        <v>64806</v>
      </c>
      <c r="B42763" t="s">
        <v>64807</v>
      </c>
      <c r="C42763" t="s">
        <v>445</v>
      </c>
      <c r="D42763" t="s">
        <v>267</v>
      </c>
      <c r="E42763" t="s">
        <v>15</v>
      </c>
      <c r="F42763" s="2" t="str">
        <f>HYPERLINK("http://www.otzar.org/book.asp?8944","שער המלך - 3 כר'")</f>
        <v>שער המלך - 3 כר'</v>
      </c>
    </row>
    <row r="42764" spans="1:6" x14ac:dyDescent="0.2">
      <c r="A42764" t="s">
        <v>64803</v>
      </c>
      <c r="B42764" t="s">
        <v>11436</v>
      </c>
      <c r="C42764" t="s">
        <v>189</v>
      </c>
      <c r="D42764" t="s">
        <v>11437</v>
      </c>
      <c r="F42764" s="2" t="str">
        <f>HYPERLINK("http://www.otzar.org/book.asp?188898","שער המלך")</f>
        <v>שער המלך</v>
      </c>
    </row>
    <row r="42765" spans="1:6" x14ac:dyDescent="0.2">
      <c r="A42765" t="s">
        <v>64808</v>
      </c>
      <c r="B42765" t="s">
        <v>34705</v>
      </c>
      <c r="C42765" t="s">
        <v>600</v>
      </c>
      <c r="D42765" t="s">
        <v>56</v>
      </c>
      <c r="E42765" t="s">
        <v>158</v>
      </c>
      <c r="F42765" s="2" t="str">
        <f>HYPERLINK("http://www.otzar.org/book.asp?103765","שער המסרה")</f>
        <v>שער המסרה</v>
      </c>
    </row>
    <row r="42766" spans="1:6" x14ac:dyDescent="0.2">
      <c r="A42766" t="s">
        <v>64809</v>
      </c>
      <c r="B42766" t="s">
        <v>64810</v>
      </c>
      <c r="C42766" t="s">
        <v>176</v>
      </c>
      <c r="D42766" t="s">
        <v>14</v>
      </c>
      <c r="E42766" t="s">
        <v>241</v>
      </c>
      <c r="F42766" s="2" t="str">
        <f>HYPERLINK("http://www.otzar.org/book.asp?16492","שער המעלות")</f>
        <v>שער המעלות</v>
      </c>
    </row>
    <row r="42767" spans="1:6" x14ac:dyDescent="0.2">
      <c r="A42767" t="s">
        <v>64811</v>
      </c>
      <c r="B42767" t="s">
        <v>12884</v>
      </c>
      <c r="C42767" t="s">
        <v>2105</v>
      </c>
      <c r="D42767" t="s">
        <v>14</v>
      </c>
      <c r="E42767" t="s">
        <v>15</v>
      </c>
      <c r="F42767" s="2" t="str">
        <f>HYPERLINK("http://www.otzar.org/book.asp?60019","שער המפקד - 3 כר'")</f>
        <v>שער המפקד - 3 כר'</v>
      </c>
    </row>
    <row r="42768" spans="1:6" x14ac:dyDescent="0.2">
      <c r="A42768" t="s">
        <v>64812</v>
      </c>
      <c r="B42768" t="s">
        <v>405</v>
      </c>
      <c r="C42768" t="s">
        <v>146</v>
      </c>
      <c r="D42768" t="s">
        <v>139</v>
      </c>
      <c r="E42768" t="s">
        <v>399</v>
      </c>
      <c r="F42768" s="2" t="str">
        <f>HYPERLINK("http://www.otzar.org/book.asp?180267","שער המצות &lt;שמן ששון, דברי שלום, מעיל אליהו - כת""י מהרח""ו&gt;")</f>
        <v>שער המצות &lt;שמן ששון, דברי שלום, מעיל אליהו - כת"י מהרח"ו&gt;</v>
      </c>
    </row>
    <row r="42769" spans="1:6" x14ac:dyDescent="0.2">
      <c r="A42769" t="s">
        <v>64813</v>
      </c>
      <c r="B42769" t="s">
        <v>405</v>
      </c>
      <c r="C42769" t="s">
        <v>64814</v>
      </c>
      <c r="D42769" t="s">
        <v>27</v>
      </c>
      <c r="E42769" t="s">
        <v>399</v>
      </c>
      <c r="F42769" s="2" t="str">
        <f>HYPERLINK("http://www.otzar.org/book.asp?163174","שער המצות עם הגהות רבי יהודה פתייא ז""ל")</f>
        <v>שער המצות עם הגהות רבי יהודה פתייא ז"ל</v>
      </c>
    </row>
    <row r="42770" spans="1:6" x14ac:dyDescent="0.2">
      <c r="A42770" t="s">
        <v>64815</v>
      </c>
      <c r="B42770" t="s">
        <v>405</v>
      </c>
      <c r="C42770" t="s">
        <v>1228</v>
      </c>
      <c r="D42770" t="s">
        <v>27</v>
      </c>
      <c r="E42770" t="s">
        <v>399</v>
      </c>
      <c r="F42770" s="2" t="str">
        <f>HYPERLINK("http://www.otzar.org/book.asp?6011","שער המצות - 2 כר'")</f>
        <v>שער המצות - 2 כר'</v>
      </c>
    </row>
    <row r="42771" spans="1:6" x14ac:dyDescent="0.2">
      <c r="A42771" t="s">
        <v>64816</v>
      </c>
      <c r="B42771" t="s">
        <v>46036</v>
      </c>
      <c r="C42771" t="s">
        <v>71</v>
      </c>
      <c r="D42771" t="s">
        <v>52</v>
      </c>
      <c r="E42771" t="s">
        <v>64817</v>
      </c>
      <c r="F42771" s="2" t="str">
        <f>HYPERLINK("http://www.otzar.org/book.asp?151135","שער המשולש - 3 כר'")</f>
        <v>שער המשולש - 3 כר'</v>
      </c>
    </row>
    <row r="42772" spans="1:6" x14ac:dyDescent="0.2">
      <c r="A42772" t="s">
        <v>64818</v>
      </c>
      <c r="B42772" t="s">
        <v>64819</v>
      </c>
      <c r="C42772" t="s">
        <v>13</v>
      </c>
      <c r="D42772" t="s">
        <v>152</v>
      </c>
      <c r="E42772" t="s">
        <v>15</v>
      </c>
      <c r="F42772" s="2" t="str">
        <f>HYPERLINK("http://www.otzar.org/book.asp?161255","שער העין")</f>
        <v>שער העין</v>
      </c>
    </row>
    <row r="42773" spans="1:6" x14ac:dyDescent="0.2">
      <c r="A42773" t="s">
        <v>64820</v>
      </c>
      <c r="B42773" t="s">
        <v>64821</v>
      </c>
      <c r="C42773" t="s">
        <v>51</v>
      </c>
      <c r="D42773" t="s">
        <v>52</v>
      </c>
      <c r="E42773" t="s">
        <v>3798</v>
      </c>
      <c r="F42773" s="2" t="str">
        <f>HYPERLINK("http://www.otzar.org/book.asp?624903","שער הפנימי")</f>
        <v>שער הפנימי</v>
      </c>
    </row>
    <row r="42774" spans="1:6" x14ac:dyDescent="0.2">
      <c r="A42774" t="s">
        <v>64822</v>
      </c>
      <c r="B42774" t="s">
        <v>405</v>
      </c>
      <c r="C42774" t="s">
        <v>2617</v>
      </c>
      <c r="D42774" t="s">
        <v>27</v>
      </c>
      <c r="E42774" t="s">
        <v>399</v>
      </c>
      <c r="F42774" s="2" t="str">
        <f>HYPERLINK("http://www.otzar.org/book.asp?163189","שער הפסוקים עם הגהות הרב יהודה פתייא ז""ל")</f>
        <v>שער הפסוקים עם הגהות הרב יהודה פתייא ז"ל</v>
      </c>
    </row>
    <row r="42775" spans="1:6" x14ac:dyDescent="0.2">
      <c r="A42775" t="s">
        <v>64823</v>
      </c>
      <c r="B42775" t="s">
        <v>405</v>
      </c>
      <c r="C42775" t="s">
        <v>558</v>
      </c>
      <c r="D42775" t="s">
        <v>27</v>
      </c>
      <c r="E42775" t="s">
        <v>399</v>
      </c>
      <c r="F42775" s="2" t="str">
        <f>HYPERLINK("http://www.otzar.org/book.asp?154814","שער הפסוקים - 3 כר'")</f>
        <v>שער הפסוקים - 3 כר'</v>
      </c>
    </row>
    <row r="42776" spans="1:6" x14ac:dyDescent="0.2">
      <c r="A42776" t="s">
        <v>64824</v>
      </c>
      <c r="B42776" t="s">
        <v>64825</v>
      </c>
      <c r="C42776" t="s">
        <v>635</v>
      </c>
      <c r="D42776" t="s">
        <v>56</v>
      </c>
      <c r="E42776" t="s">
        <v>1211</v>
      </c>
      <c r="F42776" s="2" t="str">
        <f>HYPERLINK("http://www.otzar.org/book.asp?25591","שער הציון")</f>
        <v>שער הציון</v>
      </c>
    </row>
    <row r="42777" spans="1:6" x14ac:dyDescent="0.2">
      <c r="A42777" t="s">
        <v>64826</v>
      </c>
      <c r="B42777" t="s">
        <v>6252</v>
      </c>
      <c r="C42777" t="s">
        <v>422</v>
      </c>
      <c r="D42777" t="s">
        <v>52</v>
      </c>
      <c r="F42777" s="2" t="str">
        <f>HYPERLINK("http://www.otzar.org/book.asp?609977","שער הצלחה &lt;מהדורה חדשה&gt;")</f>
        <v>שער הצלחה &lt;מהדורה חדשה&gt;</v>
      </c>
    </row>
    <row r="42778" spans="1:6" x14ac:dyDescent="0.2">
      <c r="A42778" t="s">
        <v>64827</v>
      </c>
      <c r="B42778" t="s">
        <v>6252</v>
      </c>
      <c r="C42778" t="s">
        <v>356</v>
      </c>
      <c r="D42778" t="s">
        <v>52</v>
      </c>
      <c r="E42778" t="s">
        <v>104</v>
      </c>
      <c r="F42778" s="2" t="str">
        <f>HYPERLINK("http://www.otzar.org/book.asp?606020","שער הצלחה")</f>
        <v>שער הצלחה</v>
      </c>
    </row>
    <row r="42779" spans="1:6" x14ac:dyDescent="0.2">
      <c r="A42779" t="s">
        <v>64828</v>
      </c>
      <c r="B42779" t="s">
        <v>64829</v>
      </c>
      <c r="C42779" t="s">
        <v>68</v>
      </c>
      <c r="D42779" t="s">
        <v>152</v>
      </c>
      <c r="E42779" t="s">
        <v>64830</v>
      </c>
      <c r="F42779" s="2" t="str">
        <f>HYPERLINK("http://www.otzar.org/book.asp?158100","שער הקדושה - ליקוט מדברי הרמב""ם - אגרת הקודש")</f>
        <v>שער הקדושה - ליקוט מדברי הרמב"ם - אגרת הקודש</v>
      </c>
    </row>
    <row r="42780" spans="1:6" x14ac:dyDescent="0.2">
      <c r="A42780" t="s">
        <v>64831</v>
      </c>
      <c r="B42780" t="s">
        <v>11012</v>
      </c>
      <c r="C42780" t="s">
        <v>1437</v>
      </c>
      <c r="D42780" t="s">
        <v>13414</v>
      </c>
      <c r="E42780" t="s">
        <v>104</v>
      </c>
      <c r="F42780" s="2" t="str">
        <f>HYPERLINK("http://www.otzar.org/book.asp?152271","שער הקדים")</f>
        <v>שער הקדים</v>
      </c>
    </row>
    <row r="42781" spans="1:6" x14ac:dyDescent="0.2">
      <c r="A42781" t="s">
        <v>64831</v>
      </c>
      <c r="B42781" t="s">
        <v>64832</v>
      </c>
      <c r="C42781" t="s">
        <v>20</v>
      </c>
      <c r="D42781" t="s">
        <v>260</v>
      </c>
      <c r="E42781" t="s">
        <v>154</v>
      </c>
      <c r="F42781" s="2" t="str">
        <f>HYPERLINK("http://www.otzar.org/book.asp?196639","שער הקדים")</f>
        <v>שער הקדים</v>
      </c>
    </row>
    <row r="42782" spans="1:6" x14ac:dyDescent="0.2">
      <c r="A42782" t="s">
        <v>64833</v>
      </c>
      <c r="B42782" t="s">
        <v>2872</v>
      </c>
      <c r="C42782" t="s">
        <v>244</v>
      </c>
      <c r="D42782" t="s">
        <v>52</v>
      </c>
      <c r="F42782" s="2" t="str">
        <f>HYPERLINK("http://www.otzar.org/book.asp?602099","שער הקרבן - 2 כר'")</f>
        <v>שער הקרבן - 2 כר'</v>
      </c>
    </row>
    <row r="42783" spans="1:6" x14ac:dyDescent="0.2">
      <c r="A42783" t="s">
        <v>64834</v>
      </c>
      <c r="B42783" t="s">
        <v>2967</v>
      </c>
      <c r="C42783" t="s">
        <v>940</v>
      </c>
      <c r="D42783" t="s">
        <v>52</v>
      </c>
      <c r="F42783" s="2" t="str">
        <f>HYPERLINK("http://www.otzar.org/book.asp?190730","שער הרזים &lt;חיים למוצאיהם&gt;")</f>
        <v>שער הרזים &lt;חיים למוצאיהם&gt;</v>
      </c>
    </row>
    <row r="42784" spans="1:6" x14ac:dyDescent="0.2">
      <c r="A42784" t="s">
        <v>64835</v>
      </c>
      <c r="B42784" t="s">
        <v>64836</v>
      </c>
      <c r="C42784" t="s">
        <v>224</v>
      </c>
      <c r="D42784" t="s">
        <v>212</v>
      </c>
      <c r="E42784" t="s">
        <v>219</v>
      </c>
      <c r="F42784" s="2" t="str">
        <f>HYPERLINK("http://www.otzar.org/book.asp?145220","שער הרחמים")</f>
        <v>שער הרחמים</v>
      </c>
    </row>
    <row r="42785" spans="1:6" x14ac:dyDescent="0.2">
      <c r="A42785" t="s">
        <v>64837</v>
      </c>
      <c r="B42785" t="s">
        <v>64838</v>
      </c>
      <c r="C42785" t="s">
        <v>351</v>
      </c>
      <c r="D42785" t="s">
        <v>283</v>
      </c>
      <c r="E42785" t="s">
        <v>1517</v>
      </c>
      <c r="F42785" s="2" t="str">
        <f>HYPERLINK("http://www.otzar.org/book.asp?100748","שער השירים")</f>
        <v>שער השירים</v>
      </c>
    </row>
    <row r="42786" spans="1:6" x14ac:dyDescent="0.2">
      <c r="A42786" t="s">
        <v>64839</v>
      </c>
      <c r="B42786" t="s">
        <v>9855</v>
      </c>
      <c r="C42786" t="s">
        <v>950</v>
      </c>
      <c r="D42786" t="s">
        <v>283</v>
      </c>
      <c r="E42786" t="s">
        <v>314</v>
      </c>
      <c r="F42786" s="2" t="str">
        <f>HYPERLINK("http://www.otzar.org/book.asp?100747","שער השמים")</f>
        <v>שער השמים</v>
      </c>
    </row>
    <row r="42787" spans="1:6" x14ac:dyDescent="0.2">
      <c r="A42787" t="s">
        <v>64840</v>
      </c>
      <c r="B42787" t="s">
        <v>47682</v>
      </c>
      <c r="C42787" t="s">
        <v>26830</v>
      </c>
      <c r="D42787" t="s">
        <v>49</v>
      </c>
      <c r="F42787" s="2" t="str">
        <f>HYPERLINK("http://www.otzar.org/book.asp?619195","שער השמים - 3 כר'")</f>
        <v>שער השמים - 3 כר'</v>
      </c>
    </row>
    <row r="42788" spans="1:6" x14ac:dyDescent="0.2">
      <c r="A42788" t="s">
        <v>64839</v>
      </c>
      <c r="B42788" t="s">
        <v>13777</v>
      </c>
      <c r="C42788" t="s">
        <v>13</v>
      </c>
      <c r="D42788" t="s">
        <v>486</v>
      </c>
      <c r="E42788" t="s">
        <v>158</v>
      </c>
      <c r="F42788" s="2" t="str">
        <f>HYPERLINK("http://www.otzar.org/book.asp?163661","שער השמים")</f>
        <v>שער השמים</v>
      </c>
    </row>
    <row r="42789" spans="1:6" x14ac:dyDescent="0.2">
      <c r="A42789" t="s">
        <v>64841</v>
      </c>
      <c r="B42789" t="s">
        <v>64842</v>
      </c>
      <c r="C42789" t="s">
        <v>37</v>
      </c>
      <c r="D42789" t="s">
        <v>3436</v>
      </c>
      <c r="E42789" t="s">
        <v>202</v>
      </c>
      <c r="F42789" s="2" t="str">
        <f>HYPERLINK("http://www.otzar.org/book.asp?605694","שער התורה - ב""ק, ב""מ")</f>
        <v>שער התורה - ב"ק, ב"מ</v>
      </c>
    </row>
    <row r="42790" spans="1:6" x14ac:dyDescent="0.2">
      <c r="A42790" t="s">
        <v>64843</v>
      </c>
      <c r="B42790" t="s">
        <v>61627</v>
      </c>
      <c r="C42790" t="s">
        <v>151</v>
      </c>
      <c r="D42790" t="s">
        <v>21</v>
      </c>
      <c r="E42790" t="s">
        <v>43</v>
      </c>
      <c r="F42790" s="2" t="str">
        <f>HYPERLINK("http://www.otzar.org/book.asp?625964","שער התורה - מדרש תנחומא פרשת נח - יקר מפז")</f>
        <v>שער התורה - מדרש תנחומא פרשת נח - יקר מפז</v>
      </c>
    </row>
    <row r="42791" spans="1:6" x14ac:dyDescent="0.2">
      <c r="A42791" t="s">
        <v>64844</v>
      </c>
      <c r="B42791" t="s">
        <v>7723</v>
      </c>
      <c r="C42791" t="s">
        <v>785</v>
      </c>
      <c r="D42791" t="s">
        <v>14</v>
      </c>
      <c r="E42791" t="s">
        <v>241</v>
      </c>
      <c r="F42791" s="2" t="str">
        <f>HYPERLINK("http://www.otzar.org/book.asp?157650","שער התפלה &lt;מהדורה חדשה&gt;")</f>
        <v>שער התפלה &lt;מהדורה חדשה&gt;</v>
      </c>
    </row>
    <row r="42792" spans="1:6" x14ac:dyDescent="0.2">
      <c r="A42792" t="s">
        <v>64845</v>
      </c>
      <c r="B42792" t="s">
        <v>7723</v>
      </c>
      <c r="C42792" t="s">
        <v>603</v>
      </c>
      <c r="D42792" t="s">
        <v>283</v>
      </c>
      <c r="E42792" t="s">
        <v>703</v>
      </c>
      <c r="F42792" s="2" t="str">
        <f>HYPERLINK("http://www.otzar.org/book.asp?156993","שער התפלה - 4 כר'")</f>
        <v>שער התפלה - 4 כר'</v>
      </c>
    </row>
    <row r="42793" spans="1:6" x14ac:dyDescent="0.2">
      <c r="A42793" t="s">
        <v>64846</v>
      </c>
      <c r="B42793" t="s">
        <v>42273</v>
      </c>
      <c r="C42793" t="s">
        <v>366</v>
      </c>
      <c r="D42793" t="s">
        <v>21</v>
      </c>
      <c r="F42793" s="2" t="str">
        <f>HYPERLINK("http://www.otzar.org/book.asp?611200","שער התשובה מספר ארחות צדיקים ע""פ תשובת דוד")</f>
        <v>שער התשובה מספר ארחות צדיקים ע"פ תשובת דוד</v>
      </c>
    </row>
    <row r="42794" spans="1:6" x14ac:dyDescent="0.2">
      <c r="A42794" t="s">
        <v>64847</v>
      </c>
      <c r="B42794" t="s">
        <v>19508</v>
      </c>
      <c r="C42794" t="s">
        <v>5823</v>
      </c>
      <c r="D42794" t="s">
        <v>56</v>
      </c>
      <c r="E42794" t="s">
        <v>15</v>
      </c>
      <c r="F42794" s="2" t="str">
        <f>HYPERLINK("http://www.otzar.org/book.asp?154090","שער טהרה")</f>
        <v>שער טהרה</v>
      </c>
    </row>
    <row r="42795" spans="1:6" x14ac:dyDescent="0.2">
      <c r="A42795" t="s">
        <v>64848</v>
      </c>
      <c r="B42795" t="s">
        <v>64849</v>
      </c>
      <c r="C42795" t="s">
        <v>2269</v>
      </c>
      <c r="D42795" t="s">
        <v>45613</v>
      </c>
      <c r="E42795" t="s">
        <v>6134</v>
      </c>
      <c r="F42795" s="2" t="str">
        <f>HYPERLINK("http://www.otzar.org/book.asp?101936","שער יאודה")</f>
        <v>שער יאודה</v>
      </c>
    </row>
    <row r="42796" spans="1:6" x14ac:dyDescent="0.2">
      <c r="A42796" t="s">
        <v>64850</v>
      </c>
      <c r="B42796" t="s">
        <v>64851</v>
      </c>
      <c r="C42796" t="s">
        <v>635</v>
      </c>
      <c r="D42796" t="s">
        <v>756</v>
      </c>
      <c r="E42796" t="s">
        <v>508</v>
      </c>
      <c r="F42796" s="2" t="str">
        <f>HYPERLINK("http://www.otzar.org/book.asp?101697","שער יהודה")</f>
        <v>שער יהודה</v>
      </c>
    </row>
    <row r="42797" spans="1:6" x14ac:dyDescent="0.2">
      <c r="A42797" t="s">
        <v>64852</v>
      </c>
      <c r="B42797" t="s">
        <v>2127</v>
      </c>
      <c r="C42797" t="s">
        <v>224</v>
      </c>
      <c r="D42797" t="s">
        <v>283</v>
      </c>
      <c r="E42797" t="s">
        <v>154</v>
      </c>
      <c r="F42797" s="2" t="str">
        <f>HYPERLINK("http://www.otzar.org/book.asp?171499","שער יהונתן - 2 כר'")</f>
        <v>שער יהונתן - 2 כר'</v>
      </c>
    </row>
    <row r="42798" spans="1:6" x14ac:dyDescent="0.2">
      <c r="A42798" t="s">
        <v>64853</v>
      </c>
      <c r="B42798" t="s">
        <v>4961</v>
      </c>
      <c r="C42798" t="s">
        <v>2644</v>
      </c>
      <c r="D42798" t="s">
        <v>6459</v>
      </c>
      <c r="E42798" t="s">
        <v>154</v>
      </c>
      <c r="F42798" s="2" t="str">
        <f>HYPERLINK("http://www.otzar.org/book.asp?100917","שער יהושע - 3 כר'")</f>
        <v>שער יהושע - 3 כר'</v>
      </c>
    </row>
    <row r="42799" spans="1:6" x14ac:dyDescent="0.2">
      <c r="A42799" t="s">
        <v>64854</v>
      </c>
      <c r="B42799" t="s">
        <v>49719</v>
      </c>
      <c r="C42799" t="s">
        <v>114</v>
      </c>
      <c r="D42799" t="s">
        <v>14</v>
      </c>
      <c r="F42799" s="2" t="str">
        <f>HYPERLINK("http://www.otzar.org/book.asp?85854","שער יהושע")</f>
        <v>שער יהושע</v>
      </c>
    </row>
    <row r="42800" spans="1:6" x14ac:dyDescent="0.2">
      <c r="A42800" t="s">
        <v>64854</v>
      </c>
      <c r="B42800" t="s">
        <v>32097</v>
      </c>
      <c r="C42800" t="s">
        <v>64855</v>
      </c>
      <c r="D42800" t="s">
        <v>32565</v>
      </c>
      <c r="E42800" t="s">
        <v>84</v>
      </c>
      <c r="F42800" s="2" t="str">
        <f>HYPERLINK("http://www.otzar.org/book.asp?167195","שער יהושע")</f>
        <v>שער יהושע</v>
      </c>
    </row>
    <row r="42801" spans="1:6" x14ac:dyDescent="0.2">
      <c r="A42801" t="s">
        <v>64856</v>
      </c>
      <c r="B42801" t="s">
        <v>1308</v>
      </c>
      <c r="C42801" t="s">
        <v>4538</v>
      </c>
      <c r="D42801" t="s">
        <v>212</v>
      </c>
      <c r="E42801" t="s">
        <v>144</v>
      </c>
      <c r="F42801" s="2" t="str">
        <f>HYPERLINK("http://www.otzar.org/book.asp?101937","שער יוסף - 4 כר'")</f>
        <v>שער יוסף - 4 כר'</v>
      </c>
    </row>
    <row r="42802" spans="1:6" x14ac:dyDescent="0.2">
      <c r="A42802" t="s">
        <v>28578</v>
      </c>
      <c r="B42802" t="s">
        <v>31346</v>
      </c>
      <c r="C42802" t="s">
        <v>1150</v>
      </c>
      <c r="D42802" t="s">
        <v>35335</v>
      </c>
      <c r="E42802" t="s">
        <v>234</v>
      </c>
      <c r="F42802" s="2" t="str">
        <f>HYPERLINK("http://www.otzar.org/book.asp?14272","שער יוסף")</f>
        <v>שער יוסף</v>
      </c>
    </row>
    <row r="42803" spans="1:6" x14ac:dyDescent="0.2">
      <c r="A42803" t="s">
        <v>64857</v>
      </c>
      <c r="B42803" t="s">
        <v>40821</v>
      </c>
      <c r="C42803" t="s">
        <v>533</v>
      </c>
      <c r="D42803" t="s">
        <v>14</v>
      </c>
      <c r="E42803" t="s">
        <v>104</v>
      </c>
      <c r="F42803" s="2" t="str">
        <f>HYPERLINK("http://www.otzar.org/book.asp?199990","שער יכניה")</f>
        <v>שער יכניה</v>
      </c>
    </row>
    <row r="42804" spans="1:6" x14ac:dyDescent="0.2">
      <c r="A42804" t="s">
        <v>64858</v>
      </c>
      <c r="B42804" t="s">
        <v>14726</v>
      </c>
      <c r="C42804" t="s">
        <v>649</v>
      </c>
      <c r="D42804" t="s">
        <v>225</v>
      </c>
      <c r="E42804" t="s">
        <v>154</v>
      </c>
      <c r="F42804" s="2" t="str">
        <f>HYPERLINK("http://www.otzar.org/book.asp?28519","שער יעקב")</f>
        <v>שער יעקב</v>
      </c>
    </row>
    <row r="42805" spans="1:6" x14ac:dyDescent="0.2">
      <c r="A42805" t="s">
        <v>64859</v>
      </c>
      <c r="B42805" t="s">
        <v>14031</v>
      </c>
      <c r="C42805" t="s">
        <v>1047</v>
      </c>
      <c r="D42805" t="s">
        <v>27</v>
      </c>
      <c r="E42805" t="s">
        <v>234</v>
      </c>
      <c r="F42805" s="2" t="str">
        <f>HYPERLINK("http://www.otzar.org/book.asp?167590","שער יקרא דחיים")</f>
        <v>שער יקרא דחיים</v>
      </c>
    </row>
    <row r="42806" spans="1:6" x14ac:dyDescent="0.2">
      <c r="A42806" t="s">
        <v>64860</v>
      </c>
      <c r="B42806" t="s">
        <v>14446</v>
      </c>
      <c r="C42806" t="s">
        <v>64861</v>
      </c>
      <c r="D42806" t="s">
        <v>16414</v>
      </c>
      <c r="F42806" s="2" t="str">
        <f>HYPERLINK("http://www.otzar.org/book.asp?616579","שער יששכר - 3 כר'")</f>
        <v>שער יששכר - 3 כר'</v>
      </c>
    </row>
    <row r="42807" spans="1:6" x14ac:dyDescent="0.2">
      <c r="A42807" t="s">
        <v>64862</v>
      </c>
      <c r="B42807" t="s">
        <v>64863</v>
      </c>
      <c r="C42807" t="s">
        <v>454</v>
      </c>
      <c r="D42807" t="s">
        <v>14</v>
      </c>
      <c r="E42807" t="s">
        <v>573</v>
      </c>
      <c r="F42807" s="2" t="str">
        <f>HYPERLINK("http://www.otzar.org/book.asp?175993","שער כבוד ה' - 2 כר'")</f>
        <v>שער כבוד ה' - 2 כר'</v>
      </c>
    </row>
    <row r="42808" spans="1:6" x14ac:dyDescent="0.2">
      <c r="A42808" t="s">
        <v>64864</v>
      </c>
      <c r="B42808" t="s">
        <v>50748</v>
      </c>
      <c r="C42808" t="s">
        <v>854</v>
      </c>
      <c r="D42808" t="s">
        <v>889</v>
      </c>
      <c r="E42808" t="s">
        <v>583</v>
      </c>
      <c r="F42808" s="2" t="str">
        <f>HYPERLINK("http://www.otzar.org/book.asp?6454","שער כבוד ה'")</f>
        <v>שער כבוד ה'</v>
      </c>
    </row>
    <row r="42809" spans="1:6" x14ac:dyDescent="0.2">
      <c r="A42809" t="s">
        <v>64865</v>
      </c>
      <c r="B42809" t="s">
        <v>64866</v>
      </c>
      <c r="C42809" t="s">
        <v>151</v>
      </c>
      <c r="D42809" t="s">
        <v>115</v>
      </c>
      <c r="F42809" s="2" t="str">
        <f>HYPERLINK("http://www.otzar.org/book.asp?616827","שער לה'")</f>
        <v>שער לה'</v>
      </c>
    </row>
    <row r="42810" spans="1:6" x14ac:dyDescent="0.2">
      <c r="A42810" t="s">
        <v>64867</v>
      </c>
      <c r="B42810" t="s">
        <v>6858</v>
      </c>
      <c r="C42810" t="s">
        <v>1166</v>
      </c>
      <c r="D42810" t="s">
        <v>225</v>
      </c>
      <c r="E42810" t="s">
        <v>104</v>
      </c>
      <c r="F42810" s="2" t="str">
        <f>HYPERLINK("http://www.otzar.org/book.asp?21396","שער לוי")</f>
        <v>שער לוי</v>
      </c>
    </row>
    <row r="42811" spans="1:6" x14ac:dyDescent="0.2">
      <c r="A42811" t="s">
        <v>64868</v>
      </c>
      <c r="B42811" t="s">
        <v>24129</v>
      </c>
      <c r="C42811" t="s">
        <v>23</v>
      </c>
      <c r="D42811" t="s">
        <v>1156</v>
      </c>
      <c r="F42811" s="2" t="str">
        <f>HYPERLINK("http://www.otzar.org/book.asp?611003","שער לחסידות")</f>
        <v>שער לחסידות</v>
      </c>
    </row>
    <row r="42812" spans="1:6" x14ac:dyDescent="0.2">
      <c r="A42812" t="s">
        <v>64869</v>
      </c>
      <c r="B42812" t="s">
        <v>405</v>
      </c>
      <c r="C42812" t="s">
        <v>366</v>
      </c>
      <c r="D42812" t="s">
        <v>27</v>
      </c>
      <c r="F42812" s="2" t="str">
        <f>HYPERLINK("http://www.otzar.org/book.asp?610304","שער מאמרי רשב""י ומאמרי רז""ל &lt;עימוד חדש בתבנית ישנה&gt;")</f>
        <v>שער מאמרי רשב"י ומאמרי רז"ל &lt;עימוד חדש בתבנית ישנה&gt;</v>
      </c>
    </row>
    <row r="42813" spans="1:6" x14ac:dyDescent="0.2">
      <c r="A42813" t="s">
        <v>64870</v>
      </c>
      <c r="B42813" t="s">
        <v>405</v>
      </c>
      <c r="C42813" t="s">
        <v>5823</v>
      </c>
      <c r="D42813" t="s">
        <v>4207</v>
      </c>
      <c r="E42813" t="s">
        <v>399</v>
      </c>
      <c r="F42813" s="2" t="str">
        <f>HYPERLINK("http://www.otzar.org/book.asp?163188","שער מאמרי רשב""י ומאמרי רז""ל עם הגהות הרב יהודה פתייא ז""ל")</f>
        <v>שער מאמרי רשב"י ומאמרי רז"ל עם הגהות הרב יהודה פתייא ז"ל</v>
      </c>
    </row>
    <row r="42814" spans="1:6" x14ac:dyDescent="0.2">
      <c r="A42814" t="s">
        <v>64871</v>
      </c>
      <c r="B42814" t="s">
        <v>405</v>
      </c>
      <c r="C42814" t="s">
        <v>5823</v>
      </c>
      <c r="D42814" t="s">
        <v>27</v>
      </c>
      <c r="E42814" t="s">
        <v>399</v>
      </c>
      <c r="F42814" s="2" t="str">
        <f>HYPERLINK("http://www.otzar.org/book.asp?84740","שער מאמרי רשב""י ומאמרי רז""ל")</f>
        <v>שער מאמרי רשב"י ומאמרי רז"ל</v>
      </c>
    </row>
    <row r="42815" spans="1:6" x14ac:dyDescent="0.2">
      <c r="A42815" t="s">
        <v>64872</v>
      </c>
      <c r="B42815" t="s">
        <v>405</v>
      </c>
      <c r="C42815" t="s">
        <v>1169</v>
      </c>
      <c r="D42815" t="s">
        <v>14</v>
      </c>
      <c r="E42815" t="s">
        <v>399</v>
      </c>
      <c r="F42815" s="2" t="str">
        <f>HYPERLINK("http://www.otzar.org/book.asp?60371","שער מאמרי רשב""י - 3 כר'")</f>
        <v>שער מאמרי רשב"י - 3 כר'</v>
      </c>
    </row>
    <row r="42816" spans="1:6" x14ac:dyDescent="0.2">
      <c r="A42816" t="s">
        <v>64873</v>
      </c>
      <c r="B42816" t="s">
        <v>6486</v>
      </c>
      <c r="C42816" t="s">
        <v>785</v>
      </c>
      <c r="D42816" t="s">
        <v>412</v>
      </c>
      <c r="E42816" t="s">
        <v>1185</v>
      </c>
      <c r="F42816" s="2" t="str">
        <f>HYPERLINK("http://www.otzar.org/book.asp?157969","שער מזרח אחד")</f>
        <v>שער מזרח אחד</v>
      </c>
    </row>
    <row r="42817" spans="1:6" x14ac:dyDescent="0.2">
      <c r="A42817" t="s">
        <v>64874</v>
      </c>
      <c r="B42817" t="s">
        <v>64875</v>
      </c>
      <c r="C42817" t="s">
        <v>143</v>
      </c>
      <c r="D42817" t="s">
        <v>14</v>
      </c>
      <c r="E42817" t="s">
        <v>34947</v>
      </c>
      <c r="F42817" s="2" t="str">
        <f>HYPERLINK("http://www.otzar.org/book.asp?161234","שער מרדכי")</f>
        <v>שער מרדכי</v>
      </c>
    </row>
    <row r="42818" spans="1:6" x14ac:dyDescent="0.2">
      <c r="A42818" t="s">
        <v>64876</v>
      </c>
      <c r="B42818" t="s">
        <v>16309</v>
      </c>
      <c r="C42818" t="s">
        <v>189</v>
      </c>
      <c r="D42818" t="s">
        <v>14</v>
      </c>
      <c r="E42818" t="s">
        <v>172</v>
      </c>
      <c r="F42818" s="2" t="str">
        <f>HYPERLINK("http://www.otzar.org/book.asp?188895","שער משפט &lt;מהדורה חדשה&gt; - 2 כר'")</f>
        <v>שער משפט &lt;מהדורה חדשה&gt; - 2 כר'</v>
      </c>
    </row>
    <row r="42819" spans="1:6" x14ac:dyDescent="0.2">
      <c r="A42819" t="s">
        <v>64877</v>
      </c>
      <c r="B42819" t="s">
        <v>16309</v>
      </c>
      <c r="C42819" t="s">
        <v>800</v>
      </c>
      <c r="D42819" t="s">
        <v>164</v>
      </c>
      <c r="E42819" t="s">
        <v>172</v>
      </c>
      <c r="F42819" s="2" t="str">
        <f>HYPERLINK("http://www.otzar.org/book.asp?8583","שער משפט")</f>
        <v>שער משפט</v>
      </c>
    </row>
    <row r="42820" spans="1:6" x14ac:dyDescent="0.2">
      <c r="A42820" t="s">
        <v>64878</v>
      </c>
      <c r="B42820" t="s">
        <v>46539</v>
      </c>
      <c r="C42820" t="s">
        <v>427</v>
      </c>
      <c r="D42820" t="s">
        <v>14</v>
      </c>
      <c r="E42820" t="s">
        <v>674</v>
      </c>
      <c r="F42820" s="2" t="str">
        <f>HYPERLINK("http://www.otzar.org/book.asp?148285","שער נפתלי ורפואת הנפש")</f>
        <v>שער נפתלי ורפואת הנפש</v>
      </c>
    </row>
    <row r="42821" spans="1:6" x14ac:dyDescent="0.2">
      <c r="A42821" t="s">
        <v>64879</v>
      </c>
      <c r="B42821" t="s">
        <v>46539</v>
      </c>
      <c r="C42821" t="s">
        <v>748</v>
      </c>
      <c r="D42821" t="s">
        <v>379</v>
      </c>
      <c r="E42821" t="s">
        <v>219</v>
      </c>
      <c r="F42821" s="2" t="str">
        <f>HYPERLINK("http://www.otzar.org/book.asp?100749","שער נפתלי - 2 כר'")</f>
        <v>שער נפתלי - 2 כר'</v>
      </c>
    </row>
    <row r="42822" spans="1:6" x14ac:dyDescent="0.2">
      <c r="A42822" t="s">
        <v>64880</v>
      </c>
      <c r="B42822" t="s">
        <v>9881</v>
      </c>
      <c r="C42822" t="s">
        <v>1310</v>
      </c>
      <c r="D42822" t="s">
        <v>1422</v>
      </c>
      <c r="E42822" t="s">
        <v>234</v>
      </c>
      <c r="F42822" s="2" t="str">
        <f>HYPERLINK("http://www.otzar.org/book.asp?11130","שער נפתלי")</f>
        <v>שער נפתלי</v>
      </c>
    </row>
    <row r="42823" spans="1:6" x14ac:dyDescent="0.2">
      <c r="A42823" t="s">
        <v>64880</v>
      </c>
      <c r="B42823" t="s">
        <v>64881</v>
      </c>
      <c r="C42823" t="s">
        <v>6448</v>
      </c>
      <c r="D42823" t="s">
        <v>2290</v>
      </c>
      <c r="E42823" t="s">
        <v>154</v>
      </c>
      <c r="F42823" s="2" t="str">
        <f>HYPERLINK("http://www.otzar.org/book.asp?101938","שער נפתלי")</f>
        <v>שער נפתלי</v>
      </c>
    </row>
    <row r="42824" spans="1:6" x14ac:dyDescent="0.2">
      <c r="A42824" t="s">
        <v>64880</v>
      </c>
      <c r="B42824" t="s">
        <v>8405</v>
      </c>
      <c r="C42824" t="s">
        <v>649</v>
      </c>
      <c r="D42824" t="s">
        <v>1538</v>
      </c>
      <c r="E42824" t="s">
        <v>158</v>
      </c>
      <c r="F42824" s="2" t="str">
        <f>HYPERLINK("http://www.otzar.org/book.asp?147982","שער נפתלי")</f>
        <v>שער נפתלי</v>
      </c>
    </row>
    <row r="42825" spans="1:6" x14ac:dyDescent="0.2">
      <c r="A42825" t="s">
        <v>64880</v>
      </c>
      <c r="B42825" t="s">
        <v>285</v>
      </c>
      <c r="C42825" t="s">
        <v>888</v>
      </c>
      <c r="D42825" t="s">
        <v>661</v>
      </c>
      <c r="E42825" t="s">
        <v>7754</v>
      </c>
      <c r="F42825" s="2" t="str">
        <f>HYPERLINK("http://www.otzar.org/book.asp?11662","שער נפתלי")</f>
        <v>שער נפתלי</v>
      </c>
    </row>
    <row r="42826" spans="1:6" x14ac:dyDescent="0.2">
      <c r="A42826" t="s">
        <v>64882</v>
      </c>
      <c r="B42826" t="s">
        <v>7415</v>
      </c>
      <c r="C42826" t="s">
        <v>99</v>
      </c>
      <c r="D42826" t="s">
        <v>1432</v>
      </c>
      <c r="E42826" t="s">
        <v>3755</v>
      </c>
      <c r="F42826" s="2" t="str">
        <f>HYPERLINK("http://www.otzar.org/book.asp?20621","שער פתח הגן")</f>
        <v>שער פתח הגן</v>
      </c>
    </row>
    <row r="42827" spans="1:6" x14ac:dyDescent="0.2">
      <c r="A42827" t="s">
        <v>64883</v>
      </c>
      <c r="B42827" t="s">
        <v>64884</v>
      </c>
      <c r="C42827" t="s">
        <v>4462</v>
      </c>
      <c r="D42827" t="s">
        <v>1660</v>
      </c>
      <c r="E42827" t="s">
        <v>1438</v>
      </c>
      <c r="F42827" s="2" t="str">
        <f>HYPERLINK("http://www.otzar.org/book.asp?147169","שער פתחי לבנון")</f>
        <v>שער פתחי לבנון</v>
      </c>
    </row>
    <row r="42828" spans="1:6" x14ac:dyDescent="0.2">
      <c r="A42828" t="s">
        <v>64885</v>
      </c>
      <c r="B42828" t="s">
        <v>1393</v>
      </c>
      <c r="C42828" t="s">
        <v>237</v>
      </c>
      <c r="D42828" t="s">
        <v>412</v>
      </c>
      <c r="E42828" t="s">
        <v>104</v>
      </c>
      <c r="F42828" s="2" t="str">
        <f>HYPERLINK("http://www.otzar.org/book.asp?107020","שער צדקה והכנסת אורחים")</f>
        <v>שער צדקה והכנסת אורחים</v>
      </c>
    </row>
    <row r="42829" spans="1:6" x14ac:dyDescent="0.2">
      <c r="A42829" t="s">
        <v>64886</v>
      </c>
      <c r="B42829" t="s">
        <v>19508</v>
      </c>
      <c r="C42829" t="s">
        <v>1246</v>
      </c>
      <c r="D42829" t="s">
        <v>260</v>
      </c>
      <c r="E42829" t="s">
        <v>15</v>
      </c>
      <c r="F42829" s="2" t="str">
        <f>HYPERLINK("http://www.otzar.org/book.asp?149589","שער קריאת התורה")</f>
        <v>שער קריאת התורה</v>
      </c>
    </row>
    <row r="42830" spans="1:6" x14ac:dyDescent="0.2">
      <c r="A42830" t="s">
        <v>64887</v>
      </c>
      <c r="B42830" t="s">
        <v>15313</v>
      </c>
      <c r="C42830" t="s">
        <v>1062</v>
      </c>
      <c r="D42830" t="s">
        <v>27</v>
      </c>
      <c r="E42830" t="s">
        <v>28782</v>
      </c>
      <c r="F42830" s="2" t="str">
        <f>HYPERLINK("http://www.otzar.org/book.asp?15100","שער ראובן")</f>
        <v>שער ראובן</v>
      </c>
    </row>
    <row r="42831" spans="1:6" x14ac:dyDescent="0.2">
      <c r="A42831" t="s">
        <v>64888</v>
      </c>
      <c r="B42831" t="s">
        <v>64889</v>
      </c>
      <c r="C42831" t="s">
        <v>146</v>
      </c>
      <c r="D42831" t="s">
        <v>14</v>
      </c>
      <c r="E42831" t="s">
        <v>15</v>
      </c>
      <c r="F42831" s="2" t="str">
        <f>HYPERLINK("http://www.otzar.org/book.asp?50608","שער ראובן - 2 כר'")</f>
        <v>שער ראובן - 2 כר'</v>
      </c>
    </row>
    <row r="42832" spans="1:6" x14ac:dyDescent="0.2">
      <c r="A42832" t="s">
        <v>64890</v>
      </c>
      <c r="B42832" t="s">
        <v>64891</v>
      </c>
      <c r="C42832" t="s">
        <v>68</v>
      </c>
      <c r="D42832" t="s">
        <v>27</v>
      </c>
      <c r="F42832" s="2" t="str">
        <f>HYPERLINK("http://www.otzar.org/book.asp?617025","שער רוח הקודש &lt;שערי חיים&gt; - 3 כר'")</f>
        <v>שער רוח הקודש &lt;שערי חיים&gt; - 3 כר'</v>
      </c>
    </row>
    <row r="42833" spans="1:6" x14ac:dyDescent="0.2">
      <c r="A42833" t="s">
        <v>64892</v>
      </c>
      <c r="B42833" t="s">
        <v>405</v>
      </c>
      <c r="C42833" t="s">
        <v>603</v>
      </c>
      <c r="D42833" t="s">
        <v>27</v>
      </c>
      <c r="E42833" t="s">
        <v>3755</v>
      </c>
      <c r="F42833" s="2" t="str">
        <f>HYPERLINK("http://www.otzar.org/book.asp?6182","שער רוח הקודש &lt;ע""פ יראת ה' - מלחמת ה'&gt;")</f>
        <v>שער רוח הקודש &lt;ע"פ יראת ה' - מלחמת ה'&gt;</v>
      </c>
    </row>
    <row r="42834" spans="1:6" x14ac:dyDescent="0.2">
      <c r="A42834" t="s">
        <v>64893</v>
      </c>
      <c r="B42834" t="s">
        <v>405</v>
      </c>
      <c r="C42834" t="s">
        <v>558</v>
      </c>
      <c r="D42834" t="s">
        <v>27</v>
      </c>
      <c r="E42834" t="s">
        <v>399</v>
      </c>
      <c r="F42834" s="2" t="str">
        <f>HYPERLINK("http://www.otzar.org/book.asp?163181","שער רוח הקודש עם הגהות הרב יהודה פתייא ז""ל")</f>
        <v>שער רוח הקודש עם הגהות הרב יהודה פתייא ז"ל</v>
      </c>
    </row>
    <row r="42835" spans="1:6" x14ac:dyDescent="0.2">
      <c r="A42835" t="s">
        <v>64894</v>
      </c>
      <c r="B42835" t="s">
        <v>405</v>
      </c>
      <c r="C42835" t="s">
        <v>2617</v>
      </c>
      <c r="D42835" t="s">
        <v>27</v>
      </c>
      <c r="F42835" s="2" t="str">
        <f>HYPERLINK("http://www.otzar.org/book.asp?164955","שער רוח הקודש שער הגלגולים")</f>
        <v>שער רוח הקודש שער הגלגולים</v>
      </c>
    </row>
    <row r="42836" spans="1:6" x14ac:dyDescent="0.2">
      <c r="A42836" t="s">
        <v>64895</v>
      </c>
      <c r="B42836" t="s">
        <v>405</v>
      </c>
      <c r="C42836" t="s">
        <v>1208</v>
      </c>
      <c r="D42836" t="s">
        <v>27</v>
      </c>
      <c r="E42836" t="s">
        <v>399</v>
      </c>
      <c r="F42836" s="2" t="str">
        <f>HYPERLINK("http://www.otzar.org/book.asp?153458","שער רוח הקודש")</f>
        <v>שער רוח הקודש</v>
      </c>
    </row>
    <row r="42837" spans="1:6" x14ac:dyDescent="0.2">
      <c r="A42837" t="s">
        <v>64896</v>
      </c>
      <c r="B42837" t="s">
        <v>40391</v>
      </c>
      <c r="C42837" t="s">
        <v>1208</v>
      </c>
      <c r="D42837" t="s">
        <v>90</v>
      </c>
      <c r="F42837" s="2" t="str">
        <f>HYPERLINK("http://www.otzar.org/book.asp?617135","שער שושן - שפתי שושן")</f>
        <v>שער שושן - שפתי שושן</v>
      </c>
    </row>
    <row r="42838" spans="1:6" x14ac:dyDescent="0.2">
      <c r="A42838" t="s">
        <v>64897</v>
      </c>
      <c r="B42838" t="s">
        <v>693</v>
      </c>
      <c r="C42838" t="s">
        <v>1202</v>
      </c>
      <c r="D42838" t="s">
        <v>726</v>
      </c>
      <c r="F42838" s="2" t="str">
        <f>HYPERLINK("http://www.otzar.org/book.asp?169436","שער שלום ירושלים")</f>
        <v>שער שלום ירושלים</v>
      </c>
    </row>
    <row r="42839" spans="1:6" x14ac:dyDescent="0.2">
      <c r="A42839" t="s">
        <v>64898</v>
      </c>
      <c r="B42839" t="s">
        <v>4398</v>
      </c>
      <c r="C42839" t="s">
        <v>114</v>
      </c>
      <c r="D42839" t="s">
        <v>216</v>
      </c>
      <c r="E42839" t="s">
        <v>154</v>
      </c>
      <c r="F42839" s="2" t="str">
        <f>HYPERLINK("http://www.otzar.org/book.asp?176544","שער שמעון אחד - 5 כר'")</f>
        <v>שער שמעון אחד - 5 כר'</v>
      </c>
    </row>
    <row r="42840" spans="1:6" x14ac:dyDescent="0.2">
      <c r="A42840" t="s">
        <v>64899</v>
      </c>
      <c r="B42840" t="s">
        <v>12051</v>
      </c>
      <c r="C42840" t="s">
        <v>854</v>
      </c>
      <c r="D42840" t="s">
        <v>56</v>
      </c>
      <c r="E42840" t="s">
        <v>564</v>
      </c>
      <c r="F42840" s="2" t="str">
        <f>HYPERLINK("http://www.otzar.org/book.asp?196233","שער שמעון")</f>
        <v>שער שמעון</v>
      </c>
    </row>
    <row r="42841" spans="1:6" x14ac:dyDescent="0.2">
      <c r="A42841" t="s">
        <v>64899</v>
      </c>
      <c r="B42841" t="s">
        <v>64900</v>
      </c>
      <c r="C42841" t="s">
        <v>1718</v>
      </c>
      <c r="D42841" t="s">
        <v>283</v>
      </c>
      <c r="E42841" t="s">
        <v>10687</v>
      </c>
      <c r="F42841" s="2" t="str">
        <f>HYPERLINK("http://www.otzar.org/book.asp?8886","שער שמעון")</f>
        <v>שער שמעון</v>
      </c>
    </row>
    <row r="42842" spans="1:6" x14ac:dyDescent="0.2">
      <c r="A42842" t="s">
        <v>64899</v>
      </c>
      <c r="B42842" t="s">
        <v>1988</v>
      </c>
      <c r="C42842" t="s">
        <v>1278</v>
      </c>
      <c r="D42842" t="s">
        <v>1023</v>
      </c>
      <c r="E42842" t="s">
        <v>219</v>
      </c>
      <c r="F42842" s="2" t="str">
        <f>HYPERLINK("http://www.otzar.org/book.asp?169720","שער שמעון")</f>
        <v>שער שמעון</v>
      </c>
    </row>
    <row r="42843" spans="1:6" x14ac:dyDescent="0.2">
      <c r="A42843" t="s">
        <v>64901</v>
      </c>
      <c r="B42843" t="s">
        <v>12962</v>
      </c>
      <c r="C42843" t="s">
        <v>13</v>
      </c>
      <c r="D42843" t="s">
        <v>412</v>
      </c>
      <c r="E42843" t="s">
        <v>15</v>
      </c>
      <c r="F42843" s="2" t="str">
        <f>HYPERLINK("http://www.otzar.org/book.asp?63243","שערוריית הקלף")</f>
        <v>שערוריית הקלף</v>
      </c>
    </row>
    <row r="42844" spans="1:6" x14ac:dyDescent="0.2">
      <c r="A42844" t="s">
        <v>64902</v>
      </c>
      <c r="B42844" t="s">
        <v>64903</v>
      </c>
      <c r="C42844" t="s">
        <v>785</v>
      </c>
      <c r="D42844" t="s">
        <v>14</v>
      </c>
      <c r="E42844" t="s">
        <v>3567</v>
      </c>
      <c r="F42844" s="2" t="str">
        <f>HYPERLINK("http://www.otzar.org/book.asp?12402","שערורית הגיורים המזויפים")</f>
        <v>שערורית הגיורים המזויפים</v>
      </c>
    </row>
    <row r="42845" spans="1:6" x14ac:dyDescent="0.2">
      <c r="A42845" t="s">
        <v>64904</v>
      </c>
      <c r="B42845" t="s">
        <v>58572</v>
      </c>
      <c r="C42845" t="s">
        <v>454</v>
      </c>
      <c r="D42845" t="s">
        <v>412</v>
      </c>
      <c r="E42845" t="s">
        <v>15</v>
      </c>
      <c r="F42845" s="2" t="str">
        <f>HYPERLINK("http://www.otzar.org/book.asp?196650","שערורית סת""ם בהדפסת משי")</f>
        <v>שערורית סת"ם בהדפסת משי</v>
      </c>
    </row>
    <row r="42846" spans="1:6" x14ac:dyDescent="0.2">
      <c r="A42846" t="s">
        <v>64905</v>
      </c>
      <c r="B42846" t="s">
        <v>64906</v>
      </c>
      <c r="C42846" t="s">
        <v>176</v>
      </c>
      <c r="D42846" t="s">
        <v>52</v>
      </c>
      <c r="E42846" t="s">
        <v>144</v>
      </c>
      <c r="F42846" s="2" t="str">
        <f>HYPERLINK("http://www.otzar.org/book.asp?63769","שערי אבי - 2 כר'")</f>
        <v>שערי אבי - 2 כר'</v>
      </c>
    </row>
    <row r="42847" spans="1:6" x14ac:dyDescent="0.2">
      <c r="A42847" t="s">
        <v>64907</v>
      </c>
      <c r="B42847" t="s">
        <v>64908</v>
      </c>
      <c r="C42847" t="s">
        <v>37</v>
      </c>
      <c r="D42847" t="s">
        <v>52</v>
      </c>
      <c r="F42847" s="2" t="str">
        <f>HYPERLINK("http://www.otzar.org/book.asp?610880","שערי אברהם")</f>
        <v>שערי אברהם</v>
      </c>
    </row>
    <row r="42848" spans="1:6" x14ac:dyDescent="0.2">
      <c r="A42848" t="s">
        <v>64907</v>
      </c>
      <c r="B42848" t="s">
        <v>64909</v>
      </c>
      <c r="C42848" t="s">
        <v>286</v>
      </c>
      <c r="D42848" t="s">
        <v>9896</v>
      </c>
      <c r="E42848" t="s">
        <v>104</v>
      </c>
      <c r="F42848" s="2" t="str">
        <f>HYPERLINK("http://www.otzar.org/book.asp?83981","שערי אברהם")</f>
        <v>שערי אברהם</v>
      </c>
    </row>
    <row r="42849" spans="1:6" x14ac:dyDescent="0.2">
      <c r="A42849" t="s">
        <v>64910</v>
      </c>
      <c r="B42849" t="s">
        <v>489</v>
      </c>
      <c r="C42849" t="s">
        <v>124</v>
      </c>
      <c r="D42849" t="s">
        <v>80</v>
      </c>
      <c r="F42849" s="2" t="str">
        <f>HYPERLINK("http://www.otzar.org/book.asp?610439","שערי אברהם - בבא בתרא")</f>
        <v>שערי אברהם - בבא בתרא</v>
      </c>
    </row>
    <row r="42850" spans="1:6" x14ac:dyDescent="0.2">
      <c r="A42850" t="s">
        <v>64911</v>
      </c>
      <c r="B42850" t="s">
        <v>1728</v>
      </c>
      <c r="C42850" t="s">
        <v>767</v>
      </c>
      <c r="D42850" t="s">
        <v>273</v>
      </c>
      <c r="E42850" t="s">
        <v>741</v>
      </c>
      <c r="F42850" s="2" t="str">
        <f>HYPERLINK("http://www.otzar.org/book.asp?628575","שערי אהבה ורצון")</f>
        <v>שערי אהבה ורצון</v>
      </c>
    </row>
    <row r="42851" spans="1:6" x14ac:dyDescent="0.2">
      <c r="A42851" t="s">
        <v>64912</v>
      </c>
      <c r="B42851" t="s">
        <v>51079</v>
      </c>
      <c r="C42851" t="s">
        <v>151</v>
      </c>
      <c r="D42851" t="s">
        <v>14</v>
      </c>
      <c r="F42851" s="2" t="str">
        <f>HYPERLINK("http://www.otzar.org/book.asp?609744","שערי אהבה - א")</f>
        <v>שערי אהבה - א</v>
      </c>
    </row>
    <row r="42852" spans="1:6" x14ac:dyDescent="0.2">
      <c r="A42852" t="s">
        <v>64913</v>
      </c>
      <c r="B42852" t="s">
        <v>18533</v>
      </c>
      <c r="C42852" t="s">
        <v>189</v>
      </c>
      <c r="D42852" t="s">
        <v>14</v>
      </c>
      <c r="E42852" t="s">
        <v>714</v>
      </c>
      <c r="F42852" s="2" t="str">
        <f>HYPERLINK("http://www.otzar.org/book.asp?171036","שערי אונאה - משפט צדק - ישראל הקדושים")</f>
        <v>שערי אונאה - משפט צדק - ישראל הקדושים</v>
      </c>
    </row>
    <row r="42853" spans="1:6" x14ac:dyDescent="0.2">
      <c r="A42853" t="s">
        <v>64914</v>
      </c>
      <c r="B42853" t="s">
        <v>7887</v>
      </c>
      <c r="C42853" t="s">
        <v>146</v>
      </c>
      <c r="D42853" t="s">
        <v>90</v>
      </c>
      <c r="E42853" t="s">
        <v>15</v>
      </c>
      <c r="F42853" s="2" t="str">
        <f>HYPERLINK("http://www.otzar.org/book.asp?603873","שערי אונאה")</f>
        <v>שערי אונאה</v>
      </c>
    </row>
    <row r="42854" spans="1:6" x14ac:dyDescent="0.2">
      <c r="A42854" t="s">
        <v>64915</v>
      </c>
      <c r="B42854" t="s">
        <v>64916</v>
      </c>
      <c r="C42854" t="s">
        <v>785</v>
      </c>
      <c r="D42854" t="s">
        <v>14</v>
      </c>
      <c r="E42854" t="s">
        <v>144</v>
      </c>
      <c r="F42854" s="2" t="str">
        <f>HYPERLINK("http://www.otzar.org/book.asp?85852","שערי אור - 2 כר'")</f>
        <v>שערי אור - 2 כר'</v>
      </c>
    </row>
    <row r="42855" spans="1:6" x14ac:dyDescent="0.2">
      <c r="A42855" t="s">
        <v>64917</v>
      </c>
      <c r="B42855" t="s">
        <v>64918</v>
      </c>
      <c r="C42855" t="s">
        <v>23</v>
      </c>
      <c r="D42855" t="s">
        <v>12936</v>
      </c>
      <c r="E42855" t="s">
        <v>393</v>
      </c>
      <c r="F42855" s="2" t="str">
        <f>HYPERLINK("http://www.otzar.org/book.asp?606670","שערי אור")</f>
        <v>שערי אור</v>
      </c>
    </row>
    <row r="42856" spans="1:6" x14ac:dyDescent="0.2">
      <c r="A42856" t="s">
        <v>64919</v>
      </c>
      <c r="B42856" t="s">
        <v>13868</v>
      </c>
      <c r="C42856" t="s">
        <v>411</v>
      </c>
      <c r="D42856" t="s">
        <v>52</v>
      </c>
      <c r="E42856" t="s">
        <v>399</v>
      </c>
      <c r="F42856" s="2" t="str">
        <f>HYPERLINK("http://www.otzar.org/book.asp?608456","שערי אורה &lt;עם ביאור ידית השער&gt;")</f>
        <v>שערי אורה &lt;עם ביאור ידית השער&gt;</v>
      </c>
    </row>
    <row r="42857" spans="1:6" x14ac:dyDescent="0.2">
      <c r="A42857" t="s">
        <v>64920</v>
      </c>
      <c r="B42857" t="s">
        <v>64921</v>
      </c>
      <c r="C42857" t="s">
        <v>411</v>
      </c>
      <c r="D42857" t="s">
        <v>21</v>
      </c>
      <c r="E42857" t="s">
        <v>803</v>
      </c>
      <c r="F42857" s="2" t="str">
        <f>HYPERLINK("http://www.otzar.org/book.asp?195953","שערי אורה - 2 כר'")</f>
        <v>שערי אורה - 2 כר'</v>
      </c>
    </row>
    <row r="42858" spans="1:6" x14ac:dyDescent="0.2">
      <c r="A42858" t="s">
        <v>64922</v>
      </c>
      <c r="B42858" t="s">
        <v>34752</v>
      </c>
      <c r="C42858" t="s">
        <v>17</v>
      </c>
      <c r="D42858" t="s">
        <v>14</v>
      </c>
      <c r="E42858" t="s">
        <v>230</v>
      </c>
      <c r="F42858" s="2" t="str">
        <f>HYPERLINK("http://www.otzar.org/book.asp?143134","שערי אורה - 3 כר'")</f>
        <v>שערי אורה - 3 כר'</v>
      </c>
    </row>
    <row r="42859" spans="1:6" x14ac:dyDescent="0.2">
      <c r="A42859" t="s">
        <v>64923</v>
      </c>
      <c r="B42859" t="s">
        <v>13868</v>
      </c>
      <c r="C42859" t="s">
        <v>2672</v>
      </c>
      <c r="D42859" t="s">
        <v>64924</v>
      </c>
      <c r="E42859" t="s">
        <v>399</v>
      </c>
      <c r="F42859" s="2" t="str">
        <f>HYPERLINK("http://www.otzar.org/book.asp?100741","שערי אורה - 4 כר'")</f>
        <v>שערי אורה - 4 כר'</v>
      </c>
    </row>
    <row r="42860" spans="1:6" x14ac:dyDescent="0.2">
      <c r="A42860" t="s">
        <v>64925</v>
      </c>
      <c r="B42860" t="s">
        <v>64926</v>
      </c>
      <c r="C42860" t="s">
        <v>313</v>
      </c>
      <c r="D42860" t="s">
        <v>14</v>
      </c>
      <c r="E42860" t="s">
        <v>144</v>
      </c>
      <c r="F42860" s="2" t="str">
        <f>HYPERLINK("http://www.otzar.org/book.asp?52915","שערי אורה - כתובות")</f>
        <v>שערי אורה - כתובות</v>
      </c>
    </row>
    <row r="42861" spans="1:6" x14ac:dyDescent="0.2">
      <c r="A42861" t="s">
        <v>64927</v>
      </c>
      <c r="B42861" t="s">
        <v>22701</v>
      </c>
      <c r="C42861" t="s">
        <v>37</v>
      </c>
      <c r="D42861" t="s">
        <v>21</v>
      </c>
      <c r="E42861" t="s">
        <v>15</v>
      </c>
      <c r="F42861" s="2" t="str">
        <f>HYPERLINK("http://www.otzar.org/book.asp?192375","שערי אורה - הלכות נדה")</f>
        <v>שערי אורה - הלכות נדה</v>
      </c>
    </row>
    <row r="42862" spans="1:6" x14ac:dyDescent="0.2">
      <c r="A42862" t="s">
        <v>64920</v>
      </c>
      <c r="B42862" t="s">
        <v>32008</v>
      </c>
      <c r="C42862" t="s">
        <v>454</v>
      </c>
      <c r="D42862" t="s">
        <v>412</v>
      </c>
      <c r="E42862" t="s">
        <v>213</v>
      </c>
      <c r="F42862" s="2" t="str">
        <f>HYPERLINK("http://www.otzar.org/book.asp?148877","שערי אורה - 2 כר'")</f>
        <v>שערי אורה - 2 כר'</v>
      </c>
    </row>
    <row r="42863" spans="1:6" x14ac:dyDescent="0.2">
      <c r="A42863" t="s">
        <v>64920</v>
      </c>
      <c r="B42863" t="s">
        <v>64928</v>
      </c>
      <c r="C42863" t="s">
        <v>6054</v>
      </c>
      <c r="D42863" t="s">
        <v>64929</v>
      </c>
      <c r="E42863" t="s">
        <v>202</v>
      </c>
      <c r="F42863" s="2" t="str">
        <f>HYPERLINK("http://www.otzar.org/book.asp?84992","שערי אורה - 2 כר'")</f>
        <v>שערי אורה - 2 כר'</v>
      </c>
    </row>
    <row r="42864" spans="1:6" x14ac:dyDescent="0.2">
      <c r="A42864" t="s">
        <v>64920</v>
      </c>
      <c r="B42864" t="s">
        <v>64930</v>
      </c>
      <c r="C42864" t="s">
        <v>111</v>
      </c>
      <c r="D42864" t="s">
        <v>14</v>
      </c>
      <c r="E42864" t="s">
        <v>144</v>
      </c>
      <c r="F42864" s="2" t="str">
        <f>HYPERLINK("http://www.otzar.org/book.asp?629890","שערי אורה - 2 כר'")</f>
        <v>שערי אורה - 2 כר'</v>
      </c>
    </row>
    <row r="42865" spans="1:6" x14ac:dyDescent="0.2">
      <c r="A42865" t="s">
        <v>64931</v>
      </c>
      <c r="B42865" t="s">
        <v>43657</v>
      </c>
      <c r="C42865" t="s">
        <v>133</v>
      </c>
      <c r="D42865" t="s">
        <v>14</v>
      </c>
      <c r="E42865" t="s">
        <v>172</v>
      </c>
      <c r="F42865" s="2" t="str">
        <f>HYPERLINK("http://www.otzar.org/book.asp?173453","שערי אושר - 7 כר'")</f>
        <v>שערי אושר - 7 כר'</v>
      </c>
    </row>
    <row r="42866" spans="1:6" x14ac:dyDescent="0.2">
      <c r="A42866" t="s">
        <v>64932</v>
      </c>
      <c r="B42866" t="s">
        <v>33812</v>
      </c>
      <c r="C42866" t="s">
        <v>553</v>
      </c>
      <c r="D42866" t="s">
        <v>412</v>
      </c>
      <c r="E42866" t="s">
        <v>15</v>
      </c>
      <c r="F42866" s="2" t="str">
        <f>HYPERLINK("http://www.otzar.org/book.asp?160469","שערי איסור והיתר")</f>
        <v>שערי איסור והיתר</v>
      </c>
    </row>
    <row r="42867" spans="1:6" x14ac:dyDescent="0.2">
      <c r="A42867" t="s">
        <v>64932</v>
      </c>
      <c r="B42867" t="s">
        <v>56922</v>
      </c>
      <c r="C42867" t="s">
        <v>151</v>
      </c>
      <c r="D42867" t="s">
        <v>52</v>
      </c>
      <c r="F42867" s="2" t="str">
        <f>HYPERLINK("http://www.otzar.org/book.asp?619356","שערי איסור והיתר")</f>
        <v>שערי איסור והיתר</v>
      </c>
    </row>
    <row r="42868" spans="1:6" x14ac:dyDescent="0.2">
      <c r="A42868" t="s">
        <v>64932</v>
      </c>
      <c r="B42868" t="s">
        <v>64933</v>
      </c>
      <c r="C42868" t="s">
        <v>146</v>
      </c>
      <c r="D42868" t="s">
        <v>90</v>
      </c>
      <c r="E42868" t="s">
        <v>15</v>
      </c>
      <c r="F42868" s="2" t="str">
        <f>HYPERLINK("http://www.otzar.org/book.asp?153517","שערי איסור והיתר")</f>
        <v>שערי איסור והיתר</v>
      </c>
    </row>
    <row r="42869" spans="1:6" x14ac:dyDescent="0.2">
      <c r="A42869" t="s">
        <v>64934</v>
      </c>
      <c r="B42869" t="s">
        <v>64935</v>
      </c>
      <c r="C42869" t="s">
        <v>68</v>
      </c>
      <c r="D42869" t="s">
        <v>412</v>
      </c>
      <c r="E42869" t="s">
        <v>154</v>
      </c>
      <c r="F42869" s="2" t="str">
        <f>HYPERLINK("http://www.otzar.org/book.asp?179259","שערי איש")</f>
        <v>שערי איש</v>
      </c>
    </row>
    <row r="42870" spans="1:6" x14ac:dyDescent="0.2">
      <c r="A42870" t="s">
        <v>64936</v>
      </c>
      <c r="B42870" t="s">
        <v>19426</v>
      </c>
      <c r="C42870" t="s">
        <v>313</v>
      </c>
      <c r="D42870" t="s">
        <v>14</v>
      </c>
      <c r="E42870" t="s">
        <v>148</v>
      </c>
      <c r="F42870" s="2" t="str">
        <f>HYPERLINK("http://www.otzar.org/book.asp?155004","שערי אליהו")</f>
        <v>שערי אליהו</v>
      </c>
    </row>
    <row r="42871" spans="1:6" x14ac:dyDescent="0.2">
      <c r="A42871" t="s">
        <v>64937</v>
      </c>
      <c r="B42871" t="s">
        <v>6824</v>
      </c>
      <c r="C42871" t="s">
        <v>313</v>
      </c>
      <c r="D42871" t="s">
        <v>52</v>
      </c>
      <c r="E42871" t="s">
        <v>144</v>
      </c>
      <c r="F42871" s="2" t="str">
        <f>HYPERLINK("http://www.otzar.org/book.asp?142320","שערי אליהו - שבת")</f>
        <v>שערי אליהו - שבת</v>
      </c>
    </row>
    <row r="42872" spans="1:6" x14ac:dyDescent="0.2">
      <c r="A42872" t="s">
        <v>64938</v>
      </c>
      <c r="B42872" t="s">
        <v>6154</v>
      </c>
      <c r="C42872" t="s">
        <v>1374</v>
      </c>
      <c r="D42872" t="s">
        <v>27</v>
      </c>
      <c r="E42872" t="s">
        <v>144</v>
      </c>
      <c r="F42872" s="2" t="str">
        <f>HYPERLINK("http://www.otzar.org/book.asp?7557","שערי אלימלך")</f>
        <v>שערי אלימלך</v>
      </c>
    </row>
    <row r="42873" spans="1:6" x14ac:dyDescent="0.2">
      <c r="A42873" t="s">
        <v>64939</v>
      </c>
      <c r="B42873" t="s">
        <v>5297</v>
      </c>
      <c r="C42873" t="s">
        <v>68</v>
      </c>
      <c r="D42873" t="s">
        <v>52</v>
      </c>
      <c r="F42873" s="2" t="str">
        <f>HYPERLINK("http://www.otzar.org/book.asp?622514","שערי אמונה ובטחון - 4 כר'")</f>
        <v>שערי אמונה ובטחון - 4 כר'</v>
      </c>
    </row>
    <row r="42874" spans="1:6" x14ac:dyDescent="0.2">
      <c r="A42874" t="s">
        <v>64940</v>
      </c>
      <c r="B42874" t="s">
        <v>7604</v>
      </c>
      <c r="C42874" t="s">
        <v>51</v>
      </c>
      <c r="D42874" t="s">
        <v>52</v>
      </c>
      <c r="E42874" t="s">
        <v>84</v>
      </c>
      <c r="F42874" s="2" t="str">
        <f>HYPERLINK("http://www.otzar.org/book.asp?106412","שערי אמונה - 3 כר'")</f>
        <v>שערי אמונה - 3 כר'</v>
      </c>
    </row>
    <row r="42875" spans="1:6" x14ac:dyDescent="0.2">
      <c r="A42875" t="s">
        <v>64941</v>
      </c>
      <c r="B42875" t="s">
        <v>64942</v>
      </c>
      <c r="C42875" t="s">
        <v>224</v>
      </c>
      <c r="D42875" t="s">
        <v>27</v>
      </c>
      <c r="E42875" t="s">
        <v>2248</v>
      </c>
      <c r="F42875" s="2" t="str">
        <f>HYPERLINK("http://www.otzar.org/book.asp?5457","שערי אמונה - א")</f>
        <v>שערי אמונה - א</v>
      </c>
    </row>
    <row r="42876" spans="1:6" x14ac:dyDescent="0.2">
      <c r="A42876" t="s">
        <v>64943</v>
      </c>
      <c r="B42876" t="s">
        <v>6022</v>
      </c>
      <c r="C42876" t="s">
        <v>1177</v>
      </c>
      <c r="D42876" t="s">
        <v>1722</v>
      </c>
      <c r="E42876" t="s">
        <v>15</v>
      </c>
      <c r="F42876" s="2" t="str">
        <f>HYPERLINK("http://www.otzar.org/book.asp?105054","שערי אמת - 3 כר'")</f>
        <v>שערי אמת - 3 כר'</v>
      </c>
    </row>
    <row r="42877" spans="1:6" x14ac:dyDescent="0.2">
      <c r="A42877" t="s">
        <v>64944</v>
      </c>
      <c r="B42877" t="s">
        <v>1291</v>
      </c>
      <c r="C42877" t="s">
        <v>445</v>
      </c>
      <c r="D42877" t="s">
        <v>267</v>
      </c>
      <c r="E42877" t="s">
        <v>15</v>
      </c>
      <c r="F42877" s="2" t="str">
        <f>HYPERLINK("http://www.otzar.org/book.asp?7558","שערי אפרים - 3 כר'")</f>
        <v>שערי אפרים - 3 כר'</v>
      </c>
    </row>
    <row r="42878" spans="1:6" x14ac:dyDescent="0.2">
      <c r="A42878" t="s">
        <v>64945</v>
      </c>
      <c r="B42878" t="s">
        <v>239</v>
      </c>
      <c r="C42878" t="s">
        <v>20</v>
      </c>
      <c r="D42878" t="s">
        <v>240</v>
      </c>
      <c r="F42878" s="2" t="str">
        <f>HYPERLINK("http://www.otzar.org/book.asp?604601","שערי ארוכה &lt;המבואר&gt;")</f>
        <v>שערי ארוכה &lt;המבואר&gt;</v>
      </c>
    </row>
    <row r="42879" spans="1:6" x14ac:dyDescent="0.2">
      <c r="A42879" t="s">
        <v>64946</v>
      </c>
      <c r="B42879" t="s">
        <v>239</v>
      </c>
      <c r="C42879" t="s">
        <v>411</v>
      </c>
      <c r="D42879" t="s">
        <v>14</v>
      </c>
      <c r="E42879" t="s">
        <v>241</v>
      </c>
      <c r="F42879" s="2" t="str">
        <f>HYPERLINK("http://www.otzar.org/book.asp?173999","שערי ארוכה - 4 כר'")</f>
        <v>שערי ארוכה - 4 כר'</v>
      </c>
    </row>
    <row r="42880" spans="1:6" x14ac:dyDescent="0.2">
      <c r="A42880" t="s">
        <v>64947</v>
      </c>
      <c r="B42880" t="s">
        <v>23246</v>
      </c>
      <c r="C42880" t="s">
        <v>1609</v>
      </c>
      <c r="D42880" t="s">
        <v>27</v>
      </c>
      <c r="E42880" t="s">
        <v>64948</v>
      </c>
      <c r="F42880" s="2" t="str">
        <f>HYPERLINK("http://www.otzar.org/book.asp?155754","שערי אריה")</f>
        <v>שערי אריה</v>
      </c>
    </row>
    <row r="42881" spans="1:6" x14ac:dyDescent="0.2">
      <c r="A42881" t="s">
        <v>64949</v>
      </c>
      <c r="B42881" t="s">
        <v>60048</v>
      </c>
      <c r="C42881" t="s">
        <v>189</v>
      </c>
      <c r="D42881" t="s">
        <v>14</v>
      </c>
      <c r="E42881" t="s">
        <v>144</v>
      </c>
      <c r="F42881" s="2" t="str">
        <f>HYPERLINK("http://www.otzar.org/book.asp?60004","שערי בבא קמא")</f>
        <v>שערי בבא קמא</v>
      </c>
    </row>
    <row r="42882" spans="1:6" x14ac:dyDescent="0.2">
      <c r="A42882" t="s">
        <v>64950</v>
      </c>
      <c r="B42882" t="s">
        <v>33554</v>
      </c>
      <c r="C42882" t="s">
        <v>313</v>
      </c>
      <c r="D42882" t="s">
        <v>14</v>
      </c>
      <c r="E42882" t="s">
        <v>158</v>
      </c>
      <c r="F42882" s="2" t="str">
        <f>HYPERLINK("http://www.otzar.org/book.asp?50106","שערי בינה")</f>
        <v>שערי בינה</v>
      </c>
    </row>
    <row r="42883" spans="1:6" x14ac:dyDescent="0.2">
      <c r="A42883" t="s">
        <v>64950</v>
      </c>
      <c r="B42883" t="s">
        <v>16927</v>
      </c>
      <c r="C42883" t="s">
        <v>1448</v>
      </c>
      <c r="D42883" t="s">
        <v>412</v>
      </c>
      <c r="E42883" t="s">
        <v>158</v>
      </c>
      <c r="F42883" s="2" t="str">
        <f>HYPERLINK("http://www.otzar.org/book.asp?15362","שערי בינה")</f>
        <v>שערי בינה</v>
      </c>
    </row>
    <row r="42884" spans="1:6" x14ac:dyDescent="0.2">
      <c r="A42884" t="s">
        <v>64950</v>
      </c>
      <c r="B42884" t="s">
        <v>64951</v>
      </c>
      <c r="C42884" t="s">
        <v>624</v>
      </c>
      <c r="D42884" t="s">
        <v>52</v>
      </c>
      <c r="E42884" t="s">
        <v>3516</v>
      </c>
      <c r="F42884" s="2" t="str">
        <f>HYPERLINK("http://www.otzar.org/book.asp?63750","שערי בינה")</f>
        <v>שערי בינה</v>
      </c>
    </row>
    <row r="42885" spans="1:6" x14ac:dyDescent="0.2">
      <c r="A42885" t="s">
        <v>64950</v>
      </c>
      <c r="B42885" t="s">
        <v>48267</v>
      </c>
      <c r="C42885" t="s">
        <v>75</v>
      </c>
      <c r="D42885" t="s">
        <v>535</v>
      </c>
      <c r="E42885" t="s">
        <v>104</v>
      </c>
      <c r="F42885" s="2" t="str">
        <f>HYPERLINK("http://www.otzar.org/book.asp?169833","שערי בינה")</f>
        <v>שערי בינה</v>
      </c>
    </row>
    <row r="42886" spans="1:6" x14ac:dyDescent="0.2">
      <c r="A42886" t="s">
        <v>64950</v>
      </c>
      <c r="B42886" t="s">
        <v>64952</v>
      </c>
      <c r="C42886" t="s">
        <v>64953</v>
      </c>
      <c r="D42886" t="s">
        <v>283</v>
      </c>
      <c r="E42886" t="s">
        <v>43</v>
      </c>
      <c r="F42886" s="2" t="str">
        <f>HYPERLINK("http://www.otzar.org/book.asp?28413","שערי בינה")</f>
        <v>שערי בינה</v>
      </c>
    </row>
    <row r="42887" spans="1:6" x14ac:dyDescent="0.2">
      <c r="A42887" t="s">
        <v>64954</v>
      </c>
      <c r="B42887" t="s">
        <v>4185</v>
      </c>
      <c r="C42887" t="s">
        <v>422</v>
      </c>
      <c r="D42887" t="s">
        <v>52</v>
      </c>
      <c r="E42887" t="s">
        <v>144</v>
      </c>
      <c r="F42887" s="2" t="str">
        <f>HYPERLINK("http://www.otzar.org/book.asp?158519","שערי בינה - 2 כר'")</f>
        <v>שערי בינה - 2 כר'</v>
      </c>
    </row>
    <row r="42888" spans="1:6" x14ac:dyDescent="0.2">
      <c r="A42888" t="s">
        <v>64950</v>
      </c>
      <c r="B42888" t="s">
        <v>6417</v>
      </c>
      <c r="C42888" t="s">
        <v>4266</v>
      </c>
      <c r="D42888" t="s">
        <v>535</v>
      </c>
      <c r="E42888" t="s">
        <v>730</v>
      </c>
      <c r="F42888" s="2" t="str">
        <f>HYPERLINK("http://www.otzar.org/book.asp?9710","שערי בינה")</f>
        <v>שערי בינה</v>
      </c>
    </row>
    <row r="42889" spans="1:6" x14ac:dyDescent="0.2">
      <c r="A42889" t="s">
        <v>64955</v>
      </c>
      <c r="B42889" t="s">
        <v>48328</v>
      </c>
      <c r="C42889" t="s">
        <v>411</v>
      </c>
      <c r="D42889" t="s">
        <v>52</v>
      </c>
      <c r="E42889" t="s">
        <v>144</v>
      </c>
      <c r="F42889" s="2" t="str">
        <f>HYPERLINK("http://www.otzar.org/book.asp?182991","שערי בינה -שגגות, כריתות")</f>
        <v>שערי בינה -שגגות, כריתות</v>
      </c>
    </row>
    <row r="42890" spans="1:6" x14ac:dyDescent="0.2">
      <c r="A42890" t="s">
        <v>64950</v>
      </c>
      <c r="B42890" t="s">
        <v>26966</v>
      </c>
      <c r="C42890" t="s">
        <v>12351</v>
      </c>
      <c r="D42890" t="s">
        <v>76</v>
      </c>
      <c r="E42890" t="s">
        <v>2075</v>
      </c>
      <c r="F42890" s="2" t="str">
        <f>HYPERLINK("http://www.otzar.org/book.asp?5936","שערי בינה")</f>
        <v>שערי בינה</v>
      </c>
    </row>
    <row r="42891" spans="1:6" x14ac:dyDescent="0.2">
      <c r="A42891" t="s">
        <v>64950</v>
      </c>
      <c r="B42891" t="s">
        <v>24073</v>
      </c>
      <c r="C42891" t="s">
        <v>411</v>
      </c>
      <c r="D42891" t="s">
        <v>21</v>
      </c>
      <c r="E42891" t="s">
        <v>10</v>
      </c>
      <c r="F42891" s="2" t="str">
        <f>HYPERLINK("http://www.otzar.org/book.asp?627216","שערי בינה")</f>
        <v>שערי בינה</v>
      </c>
    </row>
    <row r="42892" spans="1:6" x14ac:dyDescent="0.2">
      <c r="A42892" t="s">
        <v>64950</v>
      </c>
      <c r="B42892" t="s">
        <v>64956</v>
      </c>
      <c r="C42892" t="s">
        <v>2543</v>
      </c>
      <c r="D42892" t="s">
        <v>283</v>
      </c>
      <c r="E42892" t="s">
        <v>399</v>
      </c>
      <c r="F42892" s="2" t="str">
        <f>HYPERLINK("http://www.otzar.org/book.asp?28475","שערי בינה")</f>
        <v>שערי בינה</v>
      </c>
    </row>
    <row r="42893" spans="1:6" x14ac:dyDescent="0.2">
      <c r="A42893" t="s">
        <v>64950</v>
      </c>
      <c r="B42893" t="s">
        <v>64957</v>
      </c>
      <c r="C42893" t="s">
        <v>454</v>
      </c>
      <c r="D42893" t="s">
        <v>90</v>
      </c>
      <c r="E42893" t="s">
        <v>144</v>
      </c>
      <c r="F42893" s="2" t="str">
        <f>HYPERLINK("http://www.otzar.org/book.asp?159588","שערי בינה")</f>
        <v>שערי בינה</v>
      </c>
    </row>
    <row r="42894" spans="1:6" x14ac:dyDescent="0.2">
      <c r="A42894" t="s">
        <v>64950</v>
      </c>
      <c r="B42894" t="s">
        <v>64958</v>
      </c>
      <c r="C42894" t="s">
        <v>17</v>
      </c>
      <c r="D42894" t="s">
        <v>14</v>
      </c>
      <c r="E42894" t="s">
        <v>15</v>
      </c>
      <c r="F42894" s="2" t="str">
        <f>HYPERLINK("http://www.otzar.org/book.asp?22705","שערי בינה")</f>
        <v>שערי בינה</v>
      </c>
    </row>
    <row r="42895" spans="1:6" x14ac:dyDescent="0.2">
      <c r="A42895" t="s">
        <v>64959</v>
      </c>
      <c r="B42895" t="s">
        <v>64960</v>
      </c>
      <c r="C42895" t="s">
        <v>1062</v>
      </c>
      <c r="D42895" t="s">
        <v>27</v>
      </c>
      <c r="E42895" t="s">
        <v>241</v>
      </c>
      <c r="F42895" s="2" t="str">
        <f>HYPERLINK("http://www.otzar.org/book.asp?11409","שערי בירור")</f>
        <v>שערי בירור</v>
      </c>
    </row>
    <row r="42896" spans="1:6" x14ac:dyDescent="0.2">
      <c r="A42896" t="s">
        <v>64961</v>
      </c>
      <c r="B42896" t="s">
        <v>64962</v>
      </c>
      <c r="C42896" t="s">
        <v>17</v>
      </c>
      <c r="D42896" t="s">
        <v>14</v>
      </c>
      <c r="E42896" t="s">
        <v>733</v>
      </c>
      <c r="F42896" s="2" t="str">
        <f>HYPERLINK("http://www.otzar.org/book.asp?163008","שערי בית ה'")</f>
        <v>שערי בית ה'</v>
      </c>
    </row>
    <row r="42897" spans="1:6" x14ac:dyDescent="0.2">
      <c r="A42897" t="s">
        <v>64963</v>
      </c>
      <c r="B42897" t="s">
        <v>8156</v>
      </c>
      <c r="C42897" t="s">
        <v>422</v>
      </c>
      <c r="D42897" t="s">
        <v>14</v>
      </c>
      <c r="E42897" t="s">
        <v>219</v>
      </c>
      <c r="F42897" s="2" t="str">
        <f>HYPERLINK("http://www.otzar.org/book.asp?158485","שערי בית המדרש")</f>
        <v>שערי בית המדרש</v>
      </c>
    </row>
    <row r="42898" spans="1:6" x14ac:dyDescent="0.2">
      <c r="A42898" t="s">
        <v>64964</v>
      </c>
      <c r="B42898" t="s">
        <v>37517</v>
      </c>
      <c r="C42898" t="s">
        <v>133</v>
      </c>
      <c r="D42898" t="s">
        <v>21</v>
      </c>
      <c r="E42898" t="s">
        <v>202</v>
      </c>
      <c r="F42898" s="2" t="str">
        <f>HYPERLINK("http://www.otzar.org/book.asp?193094","שערי בית המדרש - ה")</f>
        <v>שערי בית המדרש - ה</v>
      </c>
    </row>
    <row r="42899" spans="1:6" x14ac:dyDescent="0.2">
      <c r="A42899" t="s">
        <v>64965</v>
      </c>
      <c r="B42899" t="s">
        <v>4768</v>
      </c>
      <c r="C42899" t="s">
        <v>1374</v>
      </c>
      <c r="D42899" t="s">
        <v>974</v>
      </c>
      <c r="E42899" t="s">
        <v>154</v>
      </c>
      <c r="F42899" s="2" t="str">
        <f>HYPERLINK("http://www.otzar.org/book.asp?101939","שערי בנימין")</f>
        <v>שערי בנימין</v>
      </c>
    </row>
    <row r="42900" spans="1:6" x14ac:dyDescent="0.2">
      <c r="A42900" t="s">
        <v>64966</v>
      </c>
      <c r="B42900" t="s">
        <v>64967</v>
      </c>
      <c r="C42900" t="s">
        <v>129</v>
      </c>
      <c r="D42900" t="s">
        <v>52</v>
      </c>
      <c r="E42900" t="s">
        <v>84</v>
      </c>
      <c r="F42900" s="2" t="str">
        <f>HYPERLINK("http://www.otzar.org/book.asp?142433","שערי בנימין - 26 כר'")</f>
        <v>שערי בנימין - 26 כר'</v>
      </c>
    </row>
    <row r="42901" spans="1:6" x14ac:dyDescent="0.2">
      <c r="A42901" t="s">
        <v>64968</v>
      </c>
      <c r="B42901" t="s">
        <v>10858</v>
      </c>
      <c r="C42901" t="s">
        <v>4858</v>
      </c>
      <c r="D42901" t="s">
        <v>60</v>
      </c>
      <c r="E42901" t="s">
        <v>104</v>
      </c>
      <c r="F42901" s="2" t="str">
        <f>HYPERLINK("http://www.otzar.org/book.asp?172696","שערי בנימן")</f>
        <v>שערי בנימן</v>
      </c>
    </row>
    <row r="42902" spans="1:6" x14ac:dyDescent="0.2">
      <c r="A42902" t="s">
        <v>64969</v>
      </c>
      <c r="B42902" t="s">
        <v>39050</v>
      </c>
      <c r="C42902" t="s">
        <v>360</v>
      </c>
      <c r="D42902" t="s">
        <v>225</v>
      </c>
      <c r="E42902" t="s">
        <v>144</v>
      </c>
      <c r="F42902" s="2" t="str">
        <f>HYPERLINK("http://www.otzar.org/book.asp?101088","שערי ברירה")</f>
        <v>שערי ברירה</v>
      </c>
    </row>
    <row r="42903" spans="1:6" x14ac:dyDescent="0.2">
      <c r="A42903" t="s">
        <v>64970</v>
      </c>
      <c r="B42903" t="s">
        <v>52826</v>
      </c>
      <c r="C42903" t="s">
        <v>17</v>
      </c>
      <c r="D42903" t="s">
        <v>14</v>
      </c>
      <c r="E42903" t="s">
        <v>674</v>
      </c>
      <c r="F42903" s="2" t="str">
        <f>HYPERLINK("http://www.otzar.org/book.asp?25816","שערי ברכה &lt;על ספר בן איש חי&gt;")</f>
        <v>שערי ברכה &lt;על ספר בן איש חי&gt;</v>
      </c>
    </row>
    <row r="42904" spans="1:6" x14ac:dyDescent="0.2">
      <c r="A42904" t="s">
        <v>64971</v>
      </c>
      <c r="B42904" t="s">
        <v>64972</v>
      </c>
      <c r="C42904" t="s">
        <v>17</v>
      </c>
      <c r="D42904" t="s">
        <v>14</v>
      </c>
      <c r="F42904" s="2" t="str">
        <f>HYPERLINK("http://www.otzar.org/book.asp?154111","שערי ברכה - כיצד מברכין")</f>
        <v>שערי ברכה - כיצד מברכין</v>
      </c>
    </row>
    <row r="42905" spans="1:6" x14ac:dyDescent="0.2">
      <c r="A42905" t="s">
        <v>64973</v>
      </c>
      <c r="B42905" t="s">
        <v>12689</v>
      </c>
      <c r="C42905" t="s">
        <v>454</v>
      </c>
      <c r="D42905" t="s">
        <v>412</v>
      </c>
      <c r="E42905" t="s">
        <v>144</v>
      </c>
      <c r="F42905" s="2" t="str">
        <f>HYPERLINK("http://www.otzar.org/book.asp?161458","שערי ברכה - שבת")</f>
        <v>שערי ברכה - שבת</v>
      </c>
    </row>
    <row r="42906" spans="1:6" x14ac:dyDescent="0.2">
      <c r="A42906" t="s">
        <v>64974</v>
      </c>
      <c r="B42906" t="s">
        <v>13135</v>
      </c>
      <c r="C42906" t="s">
        <v>383</v>
      </c>
      <c r="D42906" t="s">
        <v>52</v>
      </c>
      <c r="F42906" s="2" t="str">
        <f>HYPERLINK("http://www.otzar.org/book.asp?619796","שערי ברכה")</f>
        <v>שערי ברכה</v>
      </c>
    </row>
    <row r="42907" spans="1:6" x14ac:dyDescent="0.2">
      <c r="A42907" t="s">
        <v>64975</v>
      </c>
      <c r="B42907" t="s">
        <v>64976</v>
      </c>
      <c r="C42907" t="s">
        <v>189</v>
      </c>
      <c r="D42907" t="s">
        <v>14</v>
      </c>
      <c r="E42907" t="s">
        <v>144</v>
      </c>
      <c r="F42907" s="2" t="str">
        <f>HYPERLINK("http://www.otzar.org/book.asp?159377","שערי ברכות")</f>
        <v>שערי ברכות</v>
      </c>
    </row>
    <row r="42908" spans="1:6" x14ac:dyDescent="0.2">
      <c r="A42908" t="s">
        <v>64977</v>
      </c>
      <c r="B42908" t="s">
        <v>47118</v>
      </c>
      <c r="C42908" t="s">
        <v>1885</v>
      </c>
      <c r="D42908" t="s">
        <v>35081</v>
      </c>
      <c r="E42908" t="s">
        <v>246</v>
      </c>
      <c r="F42908" s="2" t="str">
        <f>HYPERLINK("http://www.otzar.org/book.asp?51818","שערי גאולה - הגדה של פסח ע""פ תוס' רי""ד")</f>
        <v>שערי גאולה - הגדה של פסח ע"פ תוס' רי"ד</v>
      </c>
    </row>
    <row r="42909" spans="1:6" x14ac:dyDescent="0.2">
      <c r="A42909" t="s">
        <v>64978</v>
      </c>
      <c r="B42909" t="s">
        <v>1918</v>
      </c>
      <c r="C42909" t="s">
        <v>366</v>
      </c>
      <c r="D42909" t="s">
        <v>14</v>
      </c>
      <c r="F42909" s="2" t="str">
        <f>HYPERLINK("http://www.otzar.org/book.asp?609857","שערי גדולה (קיצור)")</f>
        <v>שערי גדולה (קיצור)</v>
      </c>
    </row>
    <row r="42910" spans="1:6" x14ac:dyDescent="0.2">
      <c r="A42910" t="s">
        <v>64979</v>
      </c>
      <c r="B42910" t="s">
        <v>1918</v>
      </c>
      <c r="C42910" t="s">
        <v>189</v>
      </c>
      <c r="D42910" t="s">
        <v>14</v>
      </c>
      <c r="F42910" s="2" t="str">
        <f>HYPERLINK("http://www.otzar.org/book.asp?157568","שערי גדולה")</f>
        <v>שערי גדולה</v>
      </c>
    </row>
    <row r="42911" spans="1:6" x14ac:dyDescent="0.2">
      <c r="A42911" t="s">
        <v>64980</v>
      </c>
      <c r="B42911" t="s">
        <v>64981</v>
      </c>
      <c r="C42911" t="s">
        <v>16493</v>
      </c>
      <c r="D42911" t="s">
        <v>49</v>
      </c>
      <c r="F42911" s="2" t="str">
        <f>HYPERLINK("http://www.otzar.org/book.asp?170077","שערי גן עדן - 4 כר'")</f>
        <v>שערי גן עדן - 4 כר'</v>
      </c>
    </row>
    <row r="42912" spans="1:6" x14ac:dyDescent="0.2">
      <c r="A42912" t="s">
        <v>64982</v>
      </c>
      <c r="B42912" t="s">
        <v>64983</v>
      </c>
      <c r="C42912" t="s">
        <v>111</v>
      </c>
      <c r="D42912" t="s">
        <v>52</v>
      </c>
      <c r="F42912" s="2" t="str">
        <f>HYPERLINK("http://www.otzar.org/book.asp?622468","שערי דבר")</f>
        <v>שערי דבר</v>
      </c>
    </row>
    <row r="42913" spans="1:6" x14ac:dyDescent="0.2">
      <c r="A42913" t="s">
        <v>64984</v>
      </c>
      <c r="B42913" t="s">
        <v>64985</v>
      </c>
      <c r="C42913" t="s">
        <v>383</v>
      </c>
      <c r="D42913" t="s">
        <v>52</v>
      </c>
      <c r="E42913" t="s">
        <v>148</v>
      </c>
      <c r="F42913" s="2" t="str">
        <f>HYPERLINK("http://www.otzar.org/book.asp?61027","שערי דוד - בשר וחלב, ותערובות")</f>
        <v>שערי דוד - בשר וחלב, ותערובות</v>
      </c>
    </row>
    <row r="42914" spans="1:6" x14ac:dyDescent="0.2">
      <c r="A42914" t="s">
        <v>64986</v>
      </c>
      <c r="B42914" t="s">
        <v>15755</v>
      </c>
      <c r="C42914" t="s">
        <v>20</v>
      </c>
      <c r="D42914" t="s">
        <v>152</v>
      </c>
      <c r="E42914" t="s">
        <v>15</v>
      </c>
      <c r="F42914" s="2" t="str">
        <f>HYPERLINK("http://www.otzar.org/book.asp?626730","שערי דוד - נדה")</f>
        <v>שערי דוד - נדה</v>
      </c>
    </row>
    <row r="42915" spans="1:6" x14ac:dyDescent="0.2">
      <c r="A42915" t="s">
        <v>64987</v>
      </c>
      <c r="B42915" t="s">
        <v>37494</v>
      </c>
      <c r="C42915" t="s">
        <v>422</v>
      </c>
      <c r="D42915" t="s">
        <v>14</v>
      </c>
      <c r="E42915" t="s">
        <v>144</v>
      </c>
      <c r="F42915" s="2" t="str">
        <f>HYPERLINK("http://www.otzar.org/book.asp?154447","שערי דוד - 8 כר'")</f>
        <v>שערי דוד - 8 כר'</v>
      </c>
    </row>
    <row r="42916" spans="1:6" x14ac:dyDescent="0.2">
      <c r="A42916" t="s">
        <v>64988</v>
      </c>
      <c r="B42916" t="s">
        <v>64989</v>
      </c>
      <c r="C42916" t="s">
        <v>244</v>
      </c>
      <c r="D42916" t="s">
        <v>52</v>
      </c>
      <c r="E42916" t="s">
        <v>15</v>
      </c>
      <c r="F42916" s="2" t="str">
        <f>HYPERLINK("http://www.otzar.org/book.asp?194669","שערי דורא &lt;מהדורת דבליצקי&gt; - 2 כר'")</f>
        <v>שערי דורא &lt;מהדורת דבליצקי&gt; - 2 כר'</v>
      </c>
    </row>
    <row r="42917" spans="1:6" x14ac:dyDescent="0.2">
      <c r="A42917" t="s">
        <v>64990</v>
      </c>
      <c r="B42917" t="s">
        <v>38288</v>
      </c>
      <c r="C42917" t="s">
        <v>1470</v>
      </c>
      <c r="D42917" t="s">
        <v>18654</v>
      </c>
      <c r="E42917" t="s">
        <v>15</v>
      </c>
      <c r="F42917" s="2" t="str">
        <f>HYPERLINK("http://www.otzar.org/book.asp?161056","שערי דורא השלם &lt;מהדורת הרב פרייליך&gt; - א-ב")</f>
        <v>שערי דורא השלם &lt;מהדורת הרב פרייליך&gt; - א-ב</v>
      </c>
    </row>
    <row r="42918" spans="1:6" x14ac:dyDescent="0.2">
      <c r="A42918" t="s">
        <v>64991</v>
      </c>
      <c r="B42918" t="s">
        <v>38288</v>
      </c>
      <c r="C42918" t="s">
        <v>1470</v>
      </c>
      <c r="D42918" t="s">
        <v>18654</v>
      </c>
      <c r="E42918" t="s">
        <v>15</v>
      </c>
      <c r="F42918" s="2" t="str">
        <f>HYPERLINK("http://www.otzar.org/book.asp?8822","שערי דורא השלם")</f>
        <v>שערי דורא השלם</v>
      </c>
    </row>
    <row r="42919" spans="1:6" x14ac:dyDescent="0.2">
      <c r="A42919" t="s">
        <v>64992</v>
      </c>
      <c r="B42919" t="s">
        <v>38288</v>
      </c>
      <c r="C42919" t="s">
        <v>8923</v>
      </c>
      <c r="D42919" t="s">
        <v>49</v>
      </c>
      <c r="E42919" t="s">
        <v>15</v>
      </c>
      <c r="F42919" s="2" t="str">
        <f>HYPERLINK("http://www.otzar.org/book.asp?188711","שערי דורא - 9 כר'")</f>
        <v>שערי דורא - 9 כר'</v>
      </c>
    </row>
    <row r="42920" spans="1:6" x14ac:dyDescent="0.2">
      <c r="A42920" t="s">
        <v>64993</v>
      </c>
      <c r="B42920" t="s">
        <v>64994</v>
      </c>
      <c r="C42920" t="s">
        <v>57898</v>
      </c>
      <c r="D42920" t="s">
        <v>14</v>
      </c>
      <c r="E42920" t="s">
        <v>202</v>
      </c>
      <c r="F42920" s="2" t="str">
        <f>HYPERLINK("http://www.otzar.org/book.asp?151979","שערי דיצה")</f>
        <v>שערי דיצה</v>
      </c>
    </row>
    <row r="42921" spans="1:6" x14ac:dyDescent="0.2">
      <c r="A42921" t="s">
        <v>64995</v>
      </c>
      <c r="B42921" t="s">
        <v>64996</v>
      </c>
      <c r="C42921" t="s">
        <v>366</v>
      </c>
      <c r="D42921" t="s">
        <v>412</v>
      </c>
      <c r="F42921" s="2" t="str">
        <f>HYPERLINK("http://www.otzar.org/book.asp?610007","שערי דיצה - 2 כר'")</f>
        <v>שערי דיצה - 2 כר'</v>
      </c>
    </row>
    <row r="42922" spans="1:6" x14ac:dyDescent="0.2">
      <c r="A42922" t="s">
        <v>64997</v>
      </c>
      <c r="B42922" t="s">
        <v>39044</v>
      </c>
      <c r="C42922" t="s">
        <v>5823</v>
      </c>
      <c r="D42922" t="s">
        <v>27</v>
      </c>
      <c r="E42922" t="s">
        <v>24</v>
      </c>
      <c r="F42922" s="2" t="str">
        <f>HYPERLINK("http://www.otzar.org/book.asp?172712","שערי דמעה השלם - 2 כר'")</f>
        <v>שערי דמעה השלם - 2 כר'</v>
      </c>
    </row>
    <row r="42923" spans="1:6" x14ac:dyDescent="0.2">
      <c r="A42923" t="s">
        <v>64998</v>
      </c>
      <c r="B42923" t="s">
        <v>16914</v>
      </c>
      <c r="C42923" t="s">
        <v>25088</v>
      </c>
      <c r="D42923" t="s">
        <v>49</v>
      </c>
      <c r="E42923" t="s">
        <v>241</v>
      </c>
      <c r="F42923" s="2" t="str">
        <f>HYPERLINK("http://www.otzar.org/book.asp?104245","שערי דמעה")</f>
        <v>שערי דמעה</v>
      </c>
    </row>
    <row r="42924" spans="1:6" x14ac:dyDescent="0.2">
      <c r="A42924" t="s">
        <v>64999</v>
      </c>
      <c r="B42924" t="s">
        <v>45961</v>
      </c>
      <c r="C42924" t="s">
        <v>244</v>
      </c>
      <c r="D42924" t="s">
        <v>20</v>
      </c>
      <c r="E42924" t="s">
        <v>213</v>
      </c>
      <c r="F42924" s="2" t="str">
        <f>HYPERLINK("http://www.otzar.org/book.asp?608506","שערי דמעה - א")</f>
        <v>שערי דמעה - א</v>
      </c>
    </row>
    <row r="42925" spans="1:6" x14ac:dyDescent="0.2">
      <c r="A42925" t="s">
        <v>64998</v>
      </c>
      <c r="B42925" t="s">
        <v>39044</v>
      </c>
      <c r="C42925" t="s">
        <v>5721</v>
      </c>
      <c r="D42925" t="s">
        <v>27</v>
      </c>
      <c r="F42925" s="2" t="str">
        <f>HYPERLINK("http://www.otzar.org/book.asp?170173","שערי דמעה")</f>
        <v>שערי דמעה</v>
      </c>
    </row>
    <row r="42926" spans="1:6" x14ac:dyDescent="0.2">
      <c r="A42926" t="s">
        <v>65000</v>
      </c>
      <c r="B42926" t="s">
        <v>65001</v>
      </c>
      <c r="C42926" t="s">
        <v>68</v>
      </c>
      <c r="D42926" t="s">
        <v>412</v>
      </c>
      <c r="E42926" t="s">
        <v>5186</v>
      </c>
      <c r="F42926" s="2" t="str">
        <f>HYPERLINK("http://www.otzar.org/book.asp?160394","שערי דמעות")</f>
        <v>שערי דמעות</v>
      </c>
    </row>
    <row r="42927" spans="1:6" x14ac:dyDescent="0.2">
      <c r="A42927" t="s">
        <v>65002</v>
      </c>
      <c r="B42927" t="s">
        <v>65003</v>
      </c>
      <c r="C42927" t="s">
        <v>411</v>
      </c>
      <c r="D42927" t="s">
        <v>273</v>
      </c>
      <c r="E42927" t="s">
        <v>154</v>
      </c>
      <c r="F42927" s="2" t="str">
        <f>HYPERLINK("http://www.otzar.org/book.asp?173836","שערי דעה &lt;מהדורה חדשה&gt;")</f>
        <v>שערי דעה &lt;מהדורה חדשה&gt;</v>
      </c>
    </row>
    <row r="42928" spans="1:6" x14ac:dyDescent="0.2">
      <c r="A42928" t="s">
        <v>65004</v>
      </c>
      <c r="B42928" t="s">
        <v>16352</v>
      </c>
      <c r="C42928" t="s">
        <v>176</v>
      </c>
      <c r="D42928" t="s">
        <v>14</v>
      </c>
      <c r="E42928" t="s">
        <v>148</v>
      </c>
      <c r="F42928" s="2" t="str">
        <f>HYPERLINK("http://www.otzar.org/book.asp?50231","שערי דעה - א")</f>
        <v>שערי דעה - א</v>
      </c>
    </row>
    <row r="42929" spans="1:6" x14ac:dyDescent="0.2">
      <c r="A42929" t="s">
        <v>65005</v>
      </c>
      <c r="B42929" t="s">
        <v>23424</v>
      </c>
      <c r="C42929" t="s">
        <v>65006</v>
      </c>
      <c r="D42929" t="s">
        <v>535</v>
      </c>
      <c r="E42929" t="s">
        <v>172</v>
      </c>
      <c r="F42929" s="2" t="str">
        <f>HYPERLINK("http://www.otzar.org/book.asp?101832","שערי דעה - 2 כר'")</f>
        <v>שערי דעה - 2 כר'</v>
      </c>
    </row>
    <row r="42930" spans="1:6" x14ac:dyDescent="0.2">
      <c r="A42930" t="s">
        <v>65007</v>
      </c>
      <c r="B42930" t="s">
        <v>3445</v>
      </c>
      <c r="C42930" t="s">
        <v>454</v>
      </c>
      <c r="D42930" t="s">
        <v>52</v>
      </c>
      <c r="E42930" t="s">
        <v>837</v>
      </c>
      <c r="F42930" s="2" t="str">
        <f>HYPERLINK("http://www.otzar.org/book.asp?107449","שערי דעה - טבלאות בענייני יורה דעה")</f>
        <v>שערי דעה - טבלאות בענייני יורה דעה</v>
      </c>
    </row>
    <row r="42931" spans="1:6" x14ac:dyDescent="0.2">
      <c r="A42931" t="s">
        <v>65008</v>
      </c>
      <c r="B42931" t="s">
        <v>65009</v>
      </c>
      <c r="C42931" t="s">
        <v>129</v>
      </c>
      <c r="D42931" t="s">
        <v>52</v>
      </c>
      <c r="E42931" t="s">
        <v>148</v>
      </c>
      <c r="F42931" s="2" t="str">
        <f>HYPERLINK("http://www.otzar.org/book.asp?53148","שערי דעה")</f>
        <v>שערי דעה</v>
      </c>
    </row>
    <row r="42932" spans="1:6" x14ac:dyDescent="0.2">
      <c r="A42932" t="s">
        <v>65005</v>
      </c>
      <c r="B42932" t="s">
        <v>65003</v>
      </c>
      <c r="C42932" t="s">
        <v>1335</v>
      </c>
      <c r="D42932" t="s">
        <v>267</v>
      </c>
      <c r="E42932" t="s">
        <v>154</v>
      </c>
      <c r="F42932" s="2" t="str">
        <f>HYPERLINK("http://www.otzar.org/book.asp?9532","שערי דעה - 2 כר'")</f>
        <v>שערי דעה - 2 כר'</v>
      </c>
    </row>
    <row r="42933" spans="1:6" x14ac:dyDescent="0.2">
      <c r="A42933" t="s">
        <v>65008</v>
      </c>
      <c r="B42933" t="s">
        <v>1750</v>
      </c>
      <c r="C42933" t="s">
        <v>51</v>
      </c>
      <c r="D42933" t="s">
        <v>14</v>
      </c>
      <c r="E42933" t="s">
        <v>186</v>
      </c>
      <c r="F42933" s="2" t="str">
        <f>HYPERLINK("http://www.otzar.org/book.asp?50054","שערי דעה")</f>
        <v>שערי דעה</v>
      </c>
    </row>
    <row r="42934" spans="1:6" x14ac:dyDescent="0.2">
      <c r="A42934" t="s">
        <v>65005</v>
      </c>
      <c r="B42934" t="s">
        <v>65010</v>
      </c>
      <c r="C42934" t="s">
        <v>68</v>
      </c>
      <c r="D42934" t="s">
        <v>14</v>
      </c>
      <c r="E42934" t="s">
        <v>84</v>
      </c>
      <c r="F42934" s="2" t="str">
        <f>HYPERLINK("http://www.otzar.org/book.asp?172616","שערי דעה - 2 כר'")</f>
        <v>שערי דעה - 2 כר'</v>
      </c>
    </row>
    <row r="42935" spans="1:6" x14ac:dyDescent="0.2">
      <c r="A42935" t="s">
        <v>65011</v>
      </c>
      <c r="B42935" t="s">
        <v>8146</v>
      </c>
      <c r="C42935" t="s">
        <v>454</v>
      </c>
      <c r="D42935" t="s">
        <v>52</v>
      </c>
      <c r="E42935" t="s">
        <v>148</v>
      </c>
      <c r="F42935" s="2" t="str">
        <f>HYPERLINK("http://www.otzar.org/book.asp?150890","שערי דעת - 2 כר'")</f>
        <v>שערי דעת - 2 כר'</v>
      </c>
    </row>
    <row r="42936" spans="1:6" x14ac:dyDescent="0.2">
      <c r="A42936" t="s">
        <v>65012</v>
      </c>
      <c r="B42936" t="s">
        <v>65013</v>
      </c>
      <c r="C42936" t="s">
        <v>189</v>
      </c>
      <c r="D42936" t="s">
        <v>14</v>
      </c>
      <c r="E42936" t="s">
        <v>933</v>
      </c>
      <c r="F42936" s="2" t="str">
        <f>HYPERLINK("http://www.otzar.org/book.asp?50134","שערי דעת - 12 כר'")</f>
        <v>שערי דעת - 12 כר'</v>
      </c>
    </row>
    <row r="42937" spans="1:6" x14ac:dyDescent="0.2">
      <c r="A42937" t="s">
        <v>65014</v>
      </c>
      <c r="B42937" t="s">
        <v>495</v>
      </c>
      <c r="C42937" t="s">
        <v>1650</v>
      </c>
      <c r="D42937" t="s">
        <v>27</v>
      </c>
      <c r="E42937" t="s">
        <v>148</v>
      </c>
      <c r="F42937" s="2" t="str">
        <f>HYPERLINK("http://www.otzar.org/book.asp?102010","שערי דעת")</f>
        <v>שערי דעת</v>
      </c>
    </row>
    <row r="42938" spans="1:6" x14ac:dyDescent="0.2">
      <c r="A42938" t="s">
        <v>65014</v>
      </c>
      <c r="B42938" t="s">
        <v>65015</v>
      </c>
      <c r="C42938" t="s">
        <v>244</v>
      </c>
      <c r="D42938" t="s">
        <v>1076</v>
      </c>
      <c r="F42938" s="2" t="str">
        <f>HYPERLINK("http://www.otzar.org/book.asp?615062","שערי דעת")</f>
        <v>שערי דעת</v>
      </c>
    </row>
    <row r="42939" spans="1:6" x14ac:dyDescent="0.2">
      <c r="A42939" t="s">
        <v>65011</v>
      </c>
      <c r="B42939" t="s">
        <v>16130</v>
      </c>
      <c r="C42939" t="s">
        <v>13</v>
      </c>
      <c r="D42939" t="s">
        <v>14</v>
      </c>
      <c r="E42939" t="s">
        <v>144</v>
      </c>
      <c r="F42939" s="2" t="str">
        <f>HYPERLINK("http://www.otzar.org/book.asp?159030","שערי דעת - 2 כר'")</f>
        <v>שערי דעת - 2 כר'</v>
      </c>
    </row>
    <row r="42940" spans="1:6" x14ac:dyDescent="0.2">
      <c r="A42940" t="s">
        <v>65016</v>
      </c>
      <c r="B42940" t="s">
        <v>65017</v>
      </c>
      <c r="C42940" t="s">
        <v>1535</v>
      </c>
      <c r="D42940" t="s">
        <v>27</v>
      </c>
      <c r="E42940" t="s">
        <v>399</v>
      </c>
      <c r="F42940" s="2" t="str">
        <f>HYPERLINK("http://www.otzar.org/book.asp?105978","שערי דרך החיים")</f>
        <v>שערי דרך החיים</v>
      </c>
    </row>
    <row r="42941" spans="1:6" x14ac:dyDescent="0.2">
      <c r="A42941" t="s">
        <v>65018</v>
      </c>
      <c r="B42941" t="s">
        <v>65019</v>
      </c>
      <c r="C42941" t="s">
        <v>114</v>
      </c>
      <c r="D42941" t="s">
        <v>14</v>
      </c>
      <c r="E42941" t="s">
        <v>230</v>
      </c>
      <c r="F42941" s="2" t="str">
        <f>HYPERLINK("http://www.otzar.org/book.asp?157418","שערי דרך - 2 כר'")</f>
        <v>שערי דרך - 2 כר'</v>
      </c>
    </row>
    <row r="42942" spans="1:6" x14ac:dyDescent="0.2">
      <c r="A42942" t="s">
        <v>65020</v>
      </c>
      <c r="B42942" t="s">
        <v>65021</v>
      </c>
      <c r="C42942" t="s">
        <v>114</v>
      </c>
      <c r="D42942" t="s">
        <v>14</v>
      </c>
      <c r="E42942" t="s">
        <v>15</v>
      </c>
      <c r="F42942" s="2" t="str">
        <f>HYPERLINK("http://www.otzar.org/book.asp?157419","שערי דרכים - 2 כר'")</f>
        <v>שערי דרכים - 2 כר'</v>
      </c>
    </row>
    <row r="42943" spans="1:6" x14ac:dyDescent="0.2">
      <c r="A42943" t="s">
        <v>65022</v>
      </c>
      <c r="B42943" t="s">
        <v>8981</v>
      </c>
      <c r="C42943" t="s">
        <v>362</v>
      </c>
      <c r="D42943" t="s">
        <v>283</v>
      </c>
      <c r="E42943" t="s">
        <v>140</v>
      </c>
      <c r="F42943" s="2" t="str">
        <f>HYPERLINK("http://www.otzar.org/book.asp?5502","שערי האמונה")</f>
        <v>שערי האמונה</v>
      </c>
    </row>
    <row r="42944" spans="1:6" x14ac:dyDescent="0.2">
      <c r="A42944" t="s">
        <v>65023</v>
      </c>
      <c r="B42944" t="s">
        <v>15697</v>
      </c>
      <c r="C42944" t="s">
        <v>111</v>
      </c>
      <c r="D42944" t="s">
        <v>14</v>
      </c>
      <c r="E42944" t="s">
        <v>15</v>
      </c>
      <c r="F42944" s="2" t="str">
        <f>HYPERLINK("http://www.otzar.org/book.asp?629639","שערי האמונה - אבלות")</f>
        <v>שערי האמונה - אבלות</v>
      </c>
    </row>
    <row r="42945" spans="1:6" x14ac:dyDescent="0.2">
      <c r="A42945" t="s">
        <v>65024</v>
      </c>
      <c r="B42945" t="s">
        <v>12388</v>
      </c>
      <c r="C42945" t="s">
        <v>37</v>
      </c>
      <c r="D42945" t="s">
        <v>367</v>
      </c>
      <c r="F42945" s="2" t="str">
        <f>HYPERLINK("http://www.otzar.org/book.asp?179598","שערי הברכה &lt;מהדורה חדשה&gt;")</f>
        <v>שערי הברכה &lt;מהדורה חדשה&gt;</v>
      </c>
    </row>
    <row r="42946" spans="1:6" x14ac:dyDescent="0.2">
      <c r="A42946" t="s">
        <v>65025</v>
      </c>
      <c r="B42946" t="s">
        <v>12388</v>
      </c>
      <c r="C42946" t="s">
        <v>454</v>
      </c>
      <c r="D42946" t="s">
        <v>367</v>
      </c>
      <c r="E42946" t="s">
        <v>15</v>
      </c>
      <c r="F42946" s="2" t="str">
        <f>HYPERLINK("http://www.otzar.org/book.asp?144866","שערי הברכה")</f>
        <v>שערי הברכה</v>
      </c>
    </row>
    <row r="42947" spans="1:6" x14ac:dyDescent="0.2">
      <c r="A42947" t="s">
        <v>65026</v>
      </c>
      <c r="B42947" t="s">
        <v>13681</v>
      </c>
      <c r="C42947" t="s">
        <v>23</v>
      </c>
      <c r="D42947" t="s">
        <v>21</v>
      </c>
      <c r="E42947" t="s">
        <v>144</v>
      </c>
      <c r="F42947" s="2" t="str">
        <f>HYPERLINK("http://www.otzar.org/book.asp?195481","שערי הגן - שבת, פסחים, מגילה, מו""ק")</f>
        <v>שערי הגן - שבת, פסחים, מגילה, מו"ק</v>
      </c>
    </row>
    <row r="42948" spans="1:6" x14ac:dyDescent="0.2">
      <c r="A42948" t="s">
        <v>65027</v>
      </c>
      <c r="B42948" t="s">
        <v>12388</v>
      </c>
      <c r="C42948" t="s">
        <v>20</v>
      </c>
      <c r="D42948" t="s">
        <v>367</v>
      </c>
      <c r="F42948" s="2" t="str">
        <f>HYPERLINK("http://www.otzar.org/book.asp?179599","שערי ההגדה")</f>
        <v>שערי ההגדה</v>
      </c>
    </row>
    <row r="42949" spans="1:6" x14ac:dyDescent="0.2">
      <c r="A42949" t="s">
        <v>65028</v>
      </c>
      <c r="B42949" t="s">
        <v>9298</v>
      </c>
      <c r="C42949" t="s">
        <v>989</v>
      </c>
      <c r="D42949" t="s">
        <v>412</v>
      </c>
      <c r="E42949" t="s">
        <v>15</v>
      </c>
      <c r="F42949" s="2" t="str">
        <f>HYPERLINK("http://www.otzar.org/book.asp?24382","שערי ההלכה - 6 כר'")</f>
        <v>שערי ההלכה - 6 כר'</v>
      </c>
    </row>
    <row r="42950" spans="1:6" x14ac:dyDescent="0.2">
      <c r="A42950" t="s">
        <v>65029</v>
      </c>
      <c r="B42950" t="s">
        <v>51079</v>
      </c>
      <c r="C42950" t="s">
        <v>366</v>
      </c>
      <c r="D42950" t="s">
        <v>90</v>
      </c>
      <c r="F42950" s="2" t="str">
        <f>HYPERLINK("http://www.otzar.org/book.asp?612306","שערי הודיה")</f>
        <v>שערי הודיה</v>
      </c>
    </row>
    <row r="42951" spans="1:6" x14ac:dyDescent="0.2">
      <c r="A42951" t="s">
        <v>65030</v>
      </c>
      <c r="B42951" t="s">
        <v>65031</v>
      </c>
      <c r="C42951" t="s">
        <v>1374</v>
      </c>
      <c r="D42951" t="s">
        <v>995</v>
      </c>
      <c r="E42951" t="s">
        <v>653</v>
      </c>
      <c r="F42951" s="2" t="str">
        <f>HYPERLINK("http://www.otzar.org/book.asp?102011","שערי הוראה")</f>
        <v>שערי הוראה</v>
      </c>
    </row>
    <row r="42952" spans="1:6" x14ac:dyDescent="0.2">
      <c r="A42952" t="s">
        <v>65032</v>
      </c>
      <c r="B42952" t="s">
        <v>65033</v>
      </c>
      <c r="C42952" t="s">
        <v>454</v>
      </c>
      <c r="D42952" t="s">
        <v>52</v>
      </c>
      <c r="E42952" t="s">
        <v>202</v>
      </c>
      <c r="F42952" s="2" t="str">
        <f>HYPERLINK("http://www.otzar.org/book.asp?60375","שערי הוראה - 22 כר'")</f>
        <v>שערי הוראה - 22 כר'</v>
      </c>
    </row>
    <row r="42953" spans="1:6" x14ac:dyDescent="0.2">
      <c r="A42953" t="s">
        <v>65030</v>
      </c>
      <c r="B42953" t="s">
        <v>65034</v>
      </c>
      <c r="C42953" t="s">
        <v>454</v>
      </c>
      <c r="D42953" t="s">
        <v>52</v>
      </c>
      <c r="E42953" t="s">
        <v>144</v>
      </c>
      <c r="F42953" s="2" t="str">
        <f>HYPERLINK("http://www.otzar.org/book.asp?61242","שערי הוראה")</f>
        <v>שערי הוראה</v>
      </c>
    </row>
    <row r="42954" spans="1:6" x14ac:dyDescent="0.2">
      <c r="A42954" t="s">
        <v>65035</v>
      </c>
      <c r="B42954" t="s">
        <v>65036</v>
      </c>
      <c r="C42954" t="s">
        <v>151</v>
      </c>
      <c r="D42954" t="s">
        <v>52</v>
      </c>
      <c r="E42954" t="s">
        <v>144</v>
      </c>
      <c r="F42954" s="2" t="str">
        <f>HYPERLINK("http://www.otzar.org/book.asp?626176","שערי הזבח")</f>
        <v>שערי הזבח</v>
      </c>
    </row>
    <row r="42955" spans="1:6" x14ac:dyDescent="0.2">
      <c r="A42955" t="s">
        <v>65037</v>
      </c>
      <c r="B42955" t="s">
        <v>65038</v>
      </c>
      <c r="C42955" t="s">
        <v>133</v>
      </c>
      <c r="D42955" t="s">
        <v>152</v>
      </c>
      <c r="E42955" t="s">
        <v>219</v>
      </c>
      <c r="F42955" s="2" t="str">
        <f>HYPERLINK("http://www.otzar.org/book.asp?600327","שערי הזכירות")</f>
        <v>שערי הזכירות</v>
      </c>
    </row>
    <row r="42956" spans="1:6" x14ac:dyDescent="0.2">
      <c r="A42956" t="s">
        <v>65039</v>
      </c>
      <c r="B42956" t="s">
        <v>18040</v>
      </c>
      <c r="C42956" t="s">
        <v>23</v>
      </c>
      <c r="D42956" t="s">
        <v>52</v>
      </c>
      <c r="E42956" t="s">
        <v>246</v>
      </c>
      <c r="F42956" s="2" t="str">
        <f>HYPERLINK("http://www.otzar.org/book.asp?195418","שערי הזמנים - 2 כר'")</f>
        <v>שערי הזמנים - 2 כר'</v>
      </c>
    </row>
    <row r="42957" spans="1:6" x14ac:dyDescent="0.2">
      <c r="A42957" t="s">
        <v>65040</v>
      </c>
      <c r="B42957" t="s">
        <v>3716</v>
      </c>
      <c r="C42957" t="s">
        <v>1268</v>
      </c>
      <c r="D42957" t="s">
        <v>14</v>
      </c>
      <c r="E42957" t="s">
        <v>140</v>
      </c>
      <c r="F42957" s="2" t="str">
        <f>HYPERLINK("http://www.otzar.org/book.asp?150188","שערי החסידות")</f>
        <v>שערי החסידות</v>
      </c>
    </row>
    <row r="42958" spans="1:6" x14ac:dyDescent="0.2">
      <c r="A42958" t="s">
        <v>65041</v>
      </c>
      <c r="B42958" t="s">
        <v>65042</v>
      </c>
      <c r="C42958" t="s">
        <v>114</v>
      </c>
      <c r="D42958" t="s">
        <v>21</v>
      </c>
      <c r="E42958" t="s">
        <v>144</v>
      </c>
      <c r="F42958" s="2" t="str">
        <f>HYPERLINK("http://www.otzar.org/book.asp?192331","שערי היכל - 3 כר'")</f>
        <v>שערי היכל - 3 כר'</v>
      </c>
    </row>
    <row r="42959" spans="1:6" x14ac:dyDescent="0.2">
      <c r="A42959" t="s">
        <v>65043</v>
      </c>
      <c r="B42959" t="s">
        <v>65044</v>
      </c>
      <c r="C42959" t="s">
        <v>133</v>
      </c>
      <c r="D42959" t="s">
        <v>21</v>
      </c>
      <c r="E42959" t="s">
        <v>144</v>
      </c>
      <c r="F42959" s="2" t="str">
        <f>HYPERLINK("http://www.otzar.org/book.asp?192334","שערי היכל - 2 כר'")</f>
        <v>שערי היכל - 2 כר'</v>
      </c>
    </row>
    <row r="42960" spans="1:6" x14ac:dyDescent="0.2">
      <c r="A42960" t="s">
        <v>65045</v>
      </c>
      <c r="B42960" t="s">
        <v>1549</v>
      </c>
      <c r="C42960" t="s">
        <v>114</v>
      </c>
      <c r="D42960" t="s">
        <v>1550</v>
      </c>
      <c r="E42960" t="s">
        <v>246</v>
      </c>
      <c r="F42960" s="2" t="str">
        <f>HYPERLINK("http://www.otzar.org/book.asp?189212","שערי הימים הנוראים")</f>
        <v>שערי הימים הנוראים</v>
      </c>
    </row>
    <row r="42961" spans="1:6" x14ac:dyDescent="0.2">
      <c r="A42961" t="s">
        <v>65046</v>
      </c>
      <c r="B42961" t="s">
        <v>40107</v>
      </c>
      <c r="C42961" t="s">
        <v>1160</v>
      </c>
      <c r="D42961" t="s">
        <v>14</v>
      </c>
      <c r="E42961" t="s">
        <v>15</v>
      </c>
      <c r="F42961" s="2" t="str">
        <f>HYPERLINK("http://www.otzar.org/book.asp?144610","שערי הלכה")</f>
        <v>שערי הלכה</v>
      </c>
    </row>
    <row r="42962" spans="1:6" x14ac:dyDescent="0.2">
      <c r="A42962" t="s">
        <v>65047</v>
      </c>
      <c r="B42962" t="s">
        <v>14799</v>
      </c>
      <c r="C42962" t="s">
        <v>71</v>
      </c>
      <c r="D42962" t="s">
        <v>14</v>
      </c>
      <c r="E42962" t="s">
        <v>803</v>
      </c>
      <c r="F42962" s="2" t="str">
        <f>HYPERLINK("http://www.otzar.org/book.asp?22114","שערי הלכה - 2 כר'")</f>
        <v>שערי הלכה - 2 כר'</v>
      </c>
    </row>
    <row r="42963" spans="1:6" x14ac:dyDescent="0.2">
      <c r="A42963" t="s">
        <v>65048</v>
      </c>
      <c r="B42963" t="s">
        <v>4756</v>
      </c>
      <c r="C42963" t="s">
        <v>533</v>
      </c>
      <c r="D42963" t="s">
        <v>14</v>
      </c>
      <c r="E42963" t="s">
        <v>24</v>
      </c>
      <c r="F42963" s="2" t="str">
        <f>HYPERLINK("http://www.otzar.org/book.asp?6556","שערי הלכה - 4 כר'")</f>
        <v>שערי הלכה - 4 כר'</v>
      </c>
    </row>
    <row r="42964" spans="1:6" x14ac:dyDescent="0.2">
      <c r="A42964" t="s">
        <v>65046</v>
      </c>
      <c r="B42964" t="s">
        <v>40968</v>
      </c>
      <c r="C42964" t="s">
        <v>454</v>
      </c>
      <c r="D42964" t="s">
        <v>14</v>
      </c>
      <c r="E42964" t="s">
        <v>10</v>
      </c>
      <c r="F42964" s="2" t="str">
        <f>HYPERLINK("http://www.otzar.org/book.asp?149476","שערי הלכה")</f>
        <v>שערי הלכה</v>
      </c>
    </row>
    <row r="42965" spans="1:6" x14ac:dyDescent="0.2">
      <c r="A42965" t="s">
        <v>65047</v>
      </c>
      <c r="B42965" t="s">
        <v>65049</v>
      </c>
      <c r="C42965" t="s">
        <v>2644</v>
      </c>
      <c r="D42965" t="s">
        <v>307</v>
      </c>
      <c r="E42965" t="s">
        <v>172</v>
      </c>
      <c r="F42965" s="2" t="str">
        <f>HYPERLINK("http://www.otzar.org/book.asp?24494","שערי הלכה - 2 כר'")</f>
        <v>שערי הלכה - 2 כר'</v>
      </c>
    </row>
    <row r="42966" spans="1:6" x14ac:dyDescent="0.2">
      <c r="A42966" t="s">
        <v>65046</v>
      </c>
      <c r="B42966" t="s">
        <v>65050</v>
      </c>
      <c r="C42966" t="s">
        <v>334</v>
      </c>
      <c r="D42966" t="s">
        <v>14</v>
      </c>
      <c r="E42966" t="s">
        <v>154</v>
      </c>
      <c r="F42966" s="2" t="str">
        <f>HYPERLINK("http://www.otzar.org/book.asp?158094","שערי הלכה")</f>
        <v>שערי הלכה</v>
      </c>
    </row>
    <row r="42967" spans="1:6" x14ac:dyDescent="0.2">
      <c r="A42967" t="s">
        <v>65051</v>
      </c>
      <c r="B42967" t="s">
        <v>65052</v>
      </c>
      <c r="C42967" t="s">
        <v>523</v>
      </c>
      <c r="D42967" t="s">
        <v>52</v>
      </c>
      <c r="E42967" t="s">
        <v>15</v>
      </c>
      <c r="F42967" s="2" t="str">
        <f>HYPERLINK("http://www.otzar.org/book.asp?161882","שערי הלכה - רבית")</f>
        <v>שערי הלכה - רבית</v>
      </c>
    </row>
    <row r="42968" spans="1:6" x14ac:dyDescent="0.2">
      <c r="A42968" t="s">
        <v>65053</v>
      </c>
      <c r="B42968" t="s">
        <v>65054</v>
      </c>
      <c r="C42968" t="s">
        <v>13</v>
      </c>
      <c r="D42968" t="s">
        <v>14</v>
      </c>
      <c r="E42968" t="s">
        <v>202</v>
      </c>
      <c r="F42968" s="2" t="str">
        <f>HYPERLINK("http://www.otzar.org/book.asp?142514","שערי הלכות &lt;טקסט&gt;")</f>
        <v>שערי הלכות &lt;טקסט&gt;</v>
      </c>
    </row>
    <row r="42969" spans="1:6" x14ac:dyDescent="0.2">
      <c r="A42969" t="s">
        <v>65055</v>
      </c>
      <c r="B42969" t="s">
        <v>65054</v>
      </c>
      <c r="C42969" t="s">
        <v>65056</v>
      </c>
      <c r="D42969" t="s">
        <v>412</v>
      </c>
      <c r="E42969" t="s">
        <v>202</v>
      </c>
      <c r="F42969" s="2" t="str">
        <f>HYPERLINK("http://www.otzar.org/book.asp?21718","שערי הלכות - 29 כר'")</f>
        <v>שערי הלכות - 29 כר'</v>
      </c>
    </row>
    <row r="42970" spans="1:6" x14ac:dyDescent="0.2">
      <c r="A42970" t="s">
        <v>65057</v>
      </c>
      <c r="B42970" t="s">
        <v>65058</v>
      </c>
      <c r="C42970" t="s">
        <v>785</v>
      </c>
      <c r="D42970" t="s">
        <v>21</v>
      </c>
      <c r="F42970" s="2" t="str">
        <f>HYPERLINK("http://www.otzar.org/book.asp?190899","שערי הלכות - א")</f>
        <v>שערי הלכות - א</v>
      </c>
    </row>
    <row r="42971" spans="1:6" x14ac:dyDescent="0.2">
      <c r="A42971" t="s">
        <v>65059</v>
      </c>
      <c r="B42971" t="s">
        <v>65060</v>
      </c>
      <c r="C42971" t="s">
        <v>843</v>
      </c>
      <c r="D42971" t="s">
        <v>1180</v>
      </c>
      <c r="E42971" t="s">
        <v>1211</v>
      </c>
      <c r="F42971" s="2" t="str">
        <f>HYPERLINK("http://www.otzar.org/book.asp?10504","שערי המדות")</f>
        <v>שערי המדות</v>
      </c>
    </row>
    <row r="42972" spans="1:6" x14ac:dyDescent="0.2">
      <c r="A42972" t="s">
        <v>65061</v>
      </c>
      <c r="B42972" t="s">
        <v>34594</v>
      </c>
      <c r="C42972" t="s">
        <v>20</v>
      </c>
      <c r="D42972" t="s">
        <v>52</v>
      </c>
      <c r="E42972" t="s">
        <v>246</v>
      </c>
      <c r="F42972" s="2" t="str">
        <f>HYPERLINK("http://www.otzar.org/book.asp?602990","שערי המועדים - 2 כר'")</f>
        <v>שערי המועדים - 2 כר'</v>
      </c>
    </row>
    <row r="42973" spans="1:6" x14ac:dyDescent="0.2">
      <c r="A42973" t="s">
        <v>65062</v>
      </c>
      <c r="B42973" t="s">
        <v>35551</v>
      </c>
      <c r="C42973" t="s">
        <v>17</v>
      </c>
      <c r="D42973" t="s">
        <v>21</v>
      </c>
      <c r="E42973" t="s">
        <v>219</v>
      </c>
      <c r="F42973" s="2" t="str">
        <f>HYPERLINK("http://www.otzar.org/book.asp?196742","שערי המוריה - 2 כר'")</f>
        <v>שערי המוריה - 2 כר'</v>
      </c>
    </row>
    <row r="42974" spans="1:6" x14ac:dyDescent="0.2">
      <c r="A42974" t="s">
        <v>65063</v>
      </c>
      <c r="B42974" t="s">
        <v>12388</v>
      </c>
      <c r="C42974" t="s">
        <v>20</v>
      </c>
      <c r="D42974" t="s">
        <v>367</v>
      </c>
      <c r="F42974" s="2" t="str">
        <f>HYPERLINK("http://www.otzar.org/book.asp?179597","שערי המזוזה")</f>
        <v>שערי המזוזה</v>
      </c>
    </row>
    <row r="42975" spans="1:6" x14ac:dyDescent="0.2">
      <c r="A42975" t="s">
        <v>65064</v>
      </c>
      <c r="B42975" t="s">
        <v>65065</v>
      </c>
      <c r="C42975" t="s">
        <v>462</v>
      </c>
      <c r="D42975" t="s">
        <v>16978</v>
      </c>
      <c r="E42975" t="s">
        <v>144</v>
      </c>
      <c r="F42975" s="2" t="str">
        <f>HYPERLINK("http://www.otzar.org/book.asp?170647","שערי המעלות")</f>
        <v>שערי המעלות</v>
      </c>
    </row>
    <row r="42976" spans="1:6" x14ac:dyDescent="0.2">
      <c r="A42976" t="s">
        <v>65066</v>
      </c>
      <c r="B42976" t="s">
        <v>1549</v>
      </c>
      <c r="C42976" t="s">
        <v>411</v>
      </c>
      <c r="D42976" t="s">
        <v>1550</v>
      </c>
      <c r="E42976" t="s">
        <v>104</v>
      </c>
      <c r="F42976" s="2" t="str">
        <f>HYPERLINK("http://www.otzar.org/book.asp?189217","שערי המצוות התמידיות")</f>
        <v>שערי המצוות התמידיות</v>
      </c>
    </row>
    <row r="42977" spans="1:6" x14ac:dyDescent="0.2">
      <c r="A42977" t="s">
        <v>65067</v>
      </c>
      <c r="B42977" t="s">
        <v>65068</v>
      </c>
      <c r="C42977" t="s">
        <v>482</v>
      </c>
      <c r="D42977" t="s">
        <v>646</v>
      </c>
      <c r="E42977" t="s">
        <v>104</v>
      </c>
      <c r="F42977" s="2" t="str">
        <f>HYPERLINK("http://www.otzar.org/book.asp?180629","שערי המצות")</f>
        <v>שערי המצות</v>
      </c>
    </row>
    <row r="42978" spans="1:6" x14ac:dyDescent="0.2">
      <c r="A42978" t="s">
        <v>65069</v>
      </c>
      <c r="B42978" t="s">
        <v>2688</v>
      </c>
      <c r="C42978" t="s">
        <v>124</v>
      </c>
      <c r="D42978" t="s">
        <v>412</v>
      </c>
      <c r="E42978" t="s">
        <v>81</v>
      </c>
      <c r="F42978" s="2" t="str">
        <f>HYPERLINK("http://www.otzar.org/book.asp?21748","שערי המשנה")</f>
        <v>שערי המשנה</v>
      </c>
    </row>
    <row r="42979" spans="1:6" x14ac:dyDescent="0.2">
      <c r="A42979" t="s">
        <v>65070</v>
      </c>
      <c r="B42979" t="s">
        <v>65071</v>
      </c>
      <c r="C42979" t="s">
        <v>146</v>
      </c>
      <c r="D42979" t="s">
        <v>423</v>
      </c>
      <c r="E42979" t="s">
        <v>15</v>
      </c>
      <c r="F42979" s="2" t="str">
        <f>HYPERLINK("http://www.otzar.org/book.asp?51562","שערי המשפט")</f>
        <v>שערי המשפט</v>
      </c>
    </row>
    <row r="42980" spans="1:6" x14ac:dyDescent="0.2">
      <c r="A42980" t="s">
        <v>65072</v>
      </c>
      <c r="B42980" t="s">
        <v>12388</v>
      </c>
      <c r="C42980" t="s">
        <v>20</v>
      </c>
      <c r="D42980" t="s">
        <v>367</v>
      </c>
      <c r="E42980" t="s">
        <v>15</v>
      </c>
      <c r="F42980" s="2" t="str">
        <f>HYPERLINK("http://www.otzar.org/book.asp?623261","שערי הנישואין")</f>
        <v>שערי הנישואין</v>
      </c>
    </row>
    <row r="42981" spans="1:6" x14ac:dyDescent="0.2">
      <c r="A42981" t="s">
        <v>65073</v>
      </c>
      <c r="B42981" t="s">
        <v>28550</v>
      </c>
      <c r="C42981" t="s">
        <v>51</v>
      </c>
      <c r="D42981" t="s">
        <v>657</v>
      </c>
      <c r="E42981" t="s">
        <v>144</v>
      </c>
      <c r="F42981" s="2" t="str">
        <f>HYPERLINK("http://www.otzar.org/book.asp?61884","שערי הספיקות")</f>
        <v>שערי הספיקות</v>
      </c>
    </row>
    <row r="42982" spans="1:6" x14ac:dyDescent="0.2">
      <c r="A42982" t="s">
        <v>65074</v>
      </c>
      <c r="B42982" t="s">
        <v>65075</v>
      </c>
      <c r="C42982" t="s">
        <v>23</v>
      </c>
      <c r="D42982" t="s">
        <v>152</v>
      </c>
      <c r="E42982" t="s">
        <v>241</v>
      </c>
      <c r="F42982" s="2" t="str">
        <f>HYPERLINK("http://www.otzar.org/book.asp?189209","שערי העבודה &lt;שערי חיים&gt; - אורחות חיים &lt;דרכי חיים&gt;")</f>
        <v>שערי העבודה &lt;שערי חיים&gt; - אורחות חיים &lt;דרכי חיים&gt;</v>
      </c>
    </row>
    <row r="42983" spans="1:6" x14ac:dyDescent="0.2">
      <c r="A42983" t="s">
        <v>65076</v>
      </c>
      <c r="B42983" t="s">
        <v>29619</v>
      </c>
      <c r="C42983" t="s">
        <v>68</v>
      </c>
      <c r="D42983" t="s">
        <v>16390</v>
      </c>
      <c r="E42983" t="s">
        <v>241</v>
      </c>
      <c r="F42983" s="2" t="str">
        <f>HYPERLINK("http://www.otzar.org/book.asp?180700","שערי העבודה &lt;אותו תעבוד&gt;")</f>
        <v>שערי העבודה &lt;אותו תעבוד&gt;</v>
      </c>
    </row>
    <row r="42984" spans="1:6" x14ac:dyDescent="0.2">
      <c r="A42984" t="s">
        <v>65077</v>
      </c>
      <c r="B42984" t="s">
        <v>1574</v>
      </c>
      <c r="C42984" t="s">
        <v>989</v>
      </c>
      <c r="D42984" t="s">
        <v>52</v>
      </c>
      <c r="E42984" t="s">
        <v>241</v>
      </c>
      <c r="F42984" s="2" t="str">
        <f>HYPERLINK("http://www.otzar.org/book.asp?10224","שערי העבודה")</f>
        <v>שערי העבודה</v>
      </c>
    </row>
    <row r="42985" spans="1:6" x14ac:dyDescent="0.2">
      <c r="A42985" t="s">
        <v>65078</v>
      </c>
      <c r="B42985" t="s">
        <v>405</v>
      </c>
      <c r="C42985" t="s">
        <v>65079</v>
      </c>
      <c r="D42985" t="s">
        <v>6214</v>
      </c>
      <c r="F42985" s="2" t="str">
        <f>HYPERLINK("http://www.otzar.org/book.asp?620078","שערי הקדושה")</f>
        <v>שערי הקדושה</v>
      </c>
    </row>
    <row r="42986" spans="1:6" x14ac:dyDescent="0.2">
      <c r="A42986" t="s">
        <v>65080</v>
      </c>
      <c r="B42986" t="s">
        <v>65081</v>
      </c>
      <c r="C42986" t="s">
        <v>698</v>
      </c>
      <c r="D42986" t="s">
        <v>27</v>
      </c>
      <c r="E42986" t="s">
        <v>104</v>
      </c>
      <c r="F42986" s="2" t="str">
        <f>HYPERLINK("http://www.otzar.org/book.asp?13307","שערי הר הבית")</f>
        <v>שערי הר הבית</v>
      </c>
    </row>
    <row r="42987" spans="1:6" x14ac:dyDescent="0.2">
      <c r="A42987" t="s">
        <v>65082</v>
      </c>
      <c r="B42987" t="s">
        <v>3462</v>
      </c>
      <c r="C42987" t="s">
        <v>767</v>
      </c>
      <c r="D42987" t="s">
        <v>52</v>
      </c>
      <c r="E42987" t="s">
        <v>399</v>
      </c>
      <c r="F42987" s="2" t="str">
        <f>HYPERLINK("http://www.otzar.org/book.asp?61332","שערי השגה")</f>
        <v>שערי השגה</v>
      </c>
    </row>
    <row r="42988" spans="1:6" x14ac:dyDescent="0.2">
      <c r="A42988" t="s">
        <v>65083</v>
      </c>
      <c r="B42988" t="s">
        <v>65084</v>
      </c>
      <c r="C42988" t="s">
        <v>68</v>
      </c>
      <c r="D42988" t="s">
        <v>2373</v>
      </c>
      <c r="E42988" t="s">
        <v>1211</v>
      </c>
      <c r="F42988" s="2" t="str">
        <f>HYPERLINK("http://www.otzar.org/book.asp?176172","שערי התלמוד")</f>
        <v>שערי התלמוד</v>
      </c>
    </row>
    <row r="42989" spans="1:6" x14ac:dyDescent="0.2">
      <c r="A42989" t="s">
        <v>65083</v>
      </c>
      <c r="B42989" t="s">
        <v>65085</v>
      </c>
      <c r="C42989" t="s">
        <v>151</v>
      </c>
      <c r="D42989" t="s">
        <v>147</v>
      </c>
      <c r="F42989" s="2" t="str">
        <f>HYPERLINK("http://www.otzar.org/book.asp?616907","שערי התלמוד")</f>
        <v>שערי התלמוד</v>
      </c>
    </row>
    <row r="42990" spans="1:6" x14ac:dyDescent="0.2">
      <c r="A42990" t="s">
        <v>65086</v>
      </c>
      <c r="B42990" t="s">
        <v>65087</v>
      </c>
      <c r="C42990" t="s">
        <v>71</v>
      </c>
      <c r="D42990" t="s">
        <v>14</v>
      </c>
      <c r="E42990" t="s">
        <v>202</v>
      </c>
      <c r="F42990" s="2" t="str">
        <f>HYPERLINK("http://www.otzar.org/book.asp?151980","שערי ועד טוב - 8 כר'")</f>
        <v>שערי ועד טוב - 8 כר'</v>
      </c>
    </row>
    <row r="42991" spans="1:6" x14ac:dyDescent="0.2">
      <c r="A42991" t="s">
        <v>65088</v>
      </c>
      <c r="B42991" t="s">
        <v>65089</v>
      </c>
      <c r="C42991" t="s">
        <v>919</v>
      </c>
      <c r="D42991" t="s">
        <v>14</v>
      </c>
      <c r="E42991" t="s">
        <v>144</v>
      </c>
      <c r="F42991" s="2" t="str">
        <f>HYPERLINK("http://www.otzar.org/book.asp?166330","שערי זבול - 16 כר'")</f>
        <v>שערי זבול - 16 כר'</v>
      </c>
    </row>
    <row r="42992" spans="1:6" x14ac:dyDescent="0.2">
      <c r="A42992" t="s">
        <v>65090</v>
      </c>
      <c r="B42992" t="s">
        <v>1750</v>
      </c>
      <c r="C42992" t="s">
        <v>454</v>
      </c>
      <c r="D42992" t="s">
        <v>14</v>
      </c>
      <c r="E42992" t="s">
        <v>2091</v>
      </c>
      <c r="F42992" s="2" t="str">
        <f>HYPERLINK("http://www.otzar.org/book.asp?26418","שערי זבול - 4 כר'")</f>
        <v>שערי זבול - 4 כר'</v>
      </c>
    </row>
    <row r="42993" spans="1:6" x14ac:dyDescent="0.2">
      <c r="A42993" t="s">
        <v>65091</v>
      </c>
      <c r="B42993" t="s">
        <v>44806</v>
      </c>
      <c r="C42993" t="s">
        <v>51</v>
      </c>
      <c r="D42993" t="s">
        <v>14</v>
      </c>
      <c r="E42993" t="s">
        <v>148</v>
      </c>
      <c r="F42993" s="2" t="str">
        <f>HYPERLINK("http://www.otzar.org/book.asp?22780","שערי זבולון - 21 כר'")</f>
        <v>שערי זבולון - 21 כר'</v>
      </c>
    </row>
    <row r="42994" spans="1:6" x14ac:dyDescent="0.2">
      <c r="A42994" t="s">
        <v>65092</v>
      </c>
      <c r="B42994" t="s">
        <v>14823</v>
      </c>
      <c r="C42994" t="s">
        <v>1166</v>
      </c>
      <c r="D42994" t="s">
        <v>14</v>
      </c>
      <c r="E42994" t="s">
        <v>15</v>
      </c>
      <c r="F42994" s="2" t="str">
        <f>HYPERLINK("http://www.otzar.org/book.asp?171884","שערי זבח")</f>
        <v>שערי זבח</v>
      </c>
    </row>
    <row r="42995" spans="1:6" x14ac:dyDescent="0.2">
      <c r="A42995" t="s">
        <v>65093</v>
      </c>
      <c r="B42995" t="s">
        <v>5667</v>
      </c>
      <c r="C42995" t="s">
        <v>1284</v>
      </c>
      <c r="D42995" t="s">
        <v>283</v>
      </c>
      <c r="E42995" t="s">
        <v>399</v>
      </c>
      <c r="F42995" s="2" t="str">
        <f>HYPERLINK("http://www.otzar.org/book.asp?103175","שערי זהר תורה")</f>
        <v>שערי זהר תורה</v>
      </c>
    </row>
    <row r="42996" spans="1:6" x14ac:dyDescent="0.2">
      <c r="A42996" t="s">
        <v>65094</v>
      </c>
      <c r="B42996" t="s">
        <v>14514</v>
      </c>
      <c r="C42996" t="s">
        <v>103</v>
      </c>
      <c r="D42996" t="s">
        <v>14</v>
      </c>
      <c r="E42996" t="s">
        <v>154</v>
      </c>
      <c r="F42996" s="2" t="str">
        <f>HYPERLINK("http://www.otzar.org/book.asp?23277","שערי זיו - 6 כר'")</f>
        <v>שערי זיו - 6 כר'</v>
      </c>
    </row>
    <row r="42997" spans="1:6" x14ac:dyDescent="0.2">
      <c r="A42997" t="s">
        <v>65095</v>
      </c>
      <c r="B42997" t="s">
        <v>65096</v>
      </c>
      <c r="C42997" t="s">
        <v>13</v>
      </c>
      <c r="D42997" t="s">
        <v>4996</v>
      </c>
      <c r="F42997" s="2" t="str">
        <f>HYPERLINK("http://www.otzar.org/book.asp?602989","שערי זמנים")</f>
        <v>שערי זמנים</v>
      </c>
    </row>
    <row r="42998" spans="1:6" x14ac:dyDescent="0.2">
      <c r="A42998" t="s">
        <v>65097</v>
      </c>
      <c r="B42998" t="s">
        <v>11375</v>
      </c>
      <c r="C42998" t="s">
        <v>1519</v>
      </c>
      <c r="D42998" t="s">
        <v>610</v>
      </c>
      <c r="E42998" t="s">
        <v>104</v>
      </c>
      <c r="F42998" s="2" t="str">
        <f>HYPERLINK("http://www.otzar.org/book.asp?13094","שערי זמרה הארוך")</f>
        <v>שערי זמרה הארוך</v>
      </c>
    </row>
    <row r="42999" spans="1:6" x14ac:dyDescent="0.2">
      <c r="A42999" t="s">
        <v>65098</v>
      </c>
      <c r="B42999" t="s">
        <v>16462</v>
      </c>
      <c r="C42999" t="s">
        <v>37</v>
      </c>
      <c r="D42999" t="s">
        <v>52</v>
      </c>
      <c r="E42999" t="s">
        <v>84</v>
      </c>
      <c r="F42999" s="2" t="str">
        <f>HYPERLINK("http://www.otzar.org/book.asp?199878","שערי זרעים - חלה")</f>
        <v>שערי זרעים - חלה</v>
      </c>
    </row>
    <row r="43000" spans="1:6" x14ac:dyDescent="0.2">
      <c r="A43000" t="s">
        <v>65099</v>
      </c>
      <c r="B43000" t="s">
        <v>64976</v>
      </c>
      <c r="C43000" t="s">
        <v>129</v>
      </c>
      <c r="D43000" t="s">
        <v>14</v>
      </c>
      <c r="E43000" t="s">
        <v>84</v>
      </c>
      <c r="F43000" s="2" t="str">
        <f>HYPERLINK("http://www.otzar.org/book.asp?157746","שערי זרעים - שביעית")</f>
        <v>שערי זרעים - שביעית</v>
      </c>
    </row>
    <row r="43001" spans="1:6" x14ac:dyDescent="0.2">
      <c r="A43001" t="s">
        <v>65100</v>
      </c>
      <c r="B43001" t="s">
        <v>1549</v>
      </c>
      <c r="C43001" t="s">
        <v>411</v>
      </c>
      <c r="D43001" t="s">
        <v>1550</v>
      </c>
      <c r="E43001" t="s">
        <v>246</v>
      </c>
      <c r="F43001" s="2" t="str">
        <f>HYPERLINK("http://www.otzar.org/book.asp?189214","שערי חג הסוכות")</f>
        <v>שערי חג הסוכות</v>
      </c>
    </row>
    <row r="43002" spans="1:6" x14ac:dyDescent="0.2">
      <c r="A43002" t="s">
        <v>65101</v>
      </c>
      <c r="B43002" t="s">
        <v>1750</v>
      </c>
      <c r="C43002" t="s">
        <v>313</v>
      </c>
      <c r="D43002" t="s">
        <v>14</v>
      </c>
      <c r="E43002" t="s">
        <v>144</v>
      </c>
      <c r="F43002" s="2" t="str">
        <f>HYPERLINK("http://www.otzar.org/book.asp?52753","שערי חגיגה - 2 כר'")</f>
        <v>שערי חגיגה - 2 כר'</v>
      </c>
    </row>
    <row r="43003" spans="1:6" x14ac:dyDescent="0.2">
      <c r="A43003" t="s">
        <v>65102</v>
      </c>
      <c r="B43003" t="s">
        <v>57440</v>
      </c>
      <c r="C43003" t="s">
        <v>20</v>
      </c>
      <c r="D43003" t="s">
        <v>14</v>
      </c>
      <c r="E43003" t="s">
        <v>246</v>
      </c>
      <c r="F43003" s="2" t="str">
        <f>HYPERLINK("http://www.otzar.org/book.asp?166271","שערי חדוה - 2 כר'")</f>
        <v>שערי חדוה - 2 כר'</v>
      </c>
    </row>
    <row r="43004" spans="1:6" x14ac:dyDescent="0.2">
      <c r="A43004" t="s">
        <v>65103</v>
      </c>
      <c r="B43004" t="s">
        <v>9506</v>
      </c>
      <c r="C43004" t="s">
        <v>114</v>
      </c>
      <c r="D43004" t="s">
        <v>52</v>
      </c>
      <c r="E43004" t="s">
        <v>144</v>
      </c>
      <c r="F43004" s="2" t="str">
        <f>HYPERLINK("http://www.otzar.org/book.asp?162550","שערי חולין")</f>
        <v>שערי חולין</v>
      </c>
    </row>
    <row r="43005" spans="1:6" x14ac:dyDescent="0.2">
      <c r="A43005" t="s">
        <v>65104</v>
      </c>
      <c r="B43005" t="s">
        <v>65105</v>
      </c>
      <c r="C43005" t="s">
        <v>151</v>
      </c>
      <c r="D43005" t="s">
        <v>2125</v>
      </c>
      <c r="E43005" t="s">
        <v>144</v>
      </c>
      <c r="F43005" s="2" t="str">
        <f>HYPERLINK("http://www.otzar.org/book.asp?630250","שערי חזקה")</f>
        <v>שערי חזקה</v>
      </c>
    </row>
    <row r="43006" spans="1:6" x14ac:dyDescent="0.2">
      <c r="A43006" t="s">
        <v>65106</v>
      </c>
      <c r="B43006" t="s">
        <v>65107</v>
      </c>
      <c r="C43006" t="s">
        <v>20</v>
      </c>
      <c r="D43006" t="s">
        <v>14</v>
      </c>
      <c r="E43006" t="s">
        <v>952</v>
      </c>
      <c r="F43006" s="2" t="str">
        <f>HYPERLINK("http://www.otzar.org/book.asp?11037","שערי חיים")</f>
        <v>שערי חיים</v>
      </c>
    </row>
    <row r="43007" spans="1:6" x14ac:dyDescent="0.2">
      <c r="A43007" t="s">
        <v>65106</v>
      </c>
      <c r="B43007" t="s">
        <v>65108</v>
      </c>
      <c r="C43007" t="s">
        <v>11821</v>
      </c>
      <c r="D43007" t="s">
        <v>76</v>
      </c>
      <c r="E43007" t="s">
        <v>15</v>
      </c>
      <c r="F43007" s="2" t="str">
        <f>HYPERLINK("http://www.otzar.org/book.asp?101940","שערי חיים")</f>
        <v>שערי חיים</v>
      </c>
    </row>
    <row r="43008" spans="1:6" x14ac:dyDescent="0.2">
      <c r="A43008" t="s">
        <v>65106</v>
      </c>
      <c r="B43008" t="s">
        <v>65109</v>
      </c>
      <c r="C43008" t="s">
        <v>1019</v>
      </c>
      <c r="D43008" t="s">
        <v>76</v>
      </c>
      <c r="E43008" t="s">
        <v>144</v>
      </c>
      <c r="F43008" s="2" t="str">
        <f>HYPERLINK("http://www.otzar.org/book.asp?97","שערי חיים")</f>
        <v>שערי חיים</v>
      </c>
    </row>
    <row r="43009" spans="1:6" x14ac:dyDescent="0.2">
      <c r="A43009" t="s">
        <v>65110</v>
      </c>
      <c r="B43009" t="s">
        <v>65111</v>
      </c>
      <c r="C43009" t="s">
        <v>558</v>
      </c>
      <c r="D43009" t="s">
        <v>379</v>
      </c>
      <c r="E43009" t="s">
        <v>15</v>
      </c>
      <c r="F43009" s="2" t="str">
        <f>HYPERLINK("http://www.otzar.org/book.asp?149997","שערי חיים - א")</f>
        <v>שערי חיים - א</v>
      </c>
    </row>
    <row r="43010" spans="1:6" x14ac:dyDescent="0.2">
      <c r="A43010" t="s">
        <v>65112</v>
      </c>
      <c r="B43010" t="s">
        <v>50301</v>
      </c>
      <c r="C43010" t="s">
        <v>523</v>
      </c>
      <c r="D43010" t="s">
        <v>646</v>
      </c>
      <c r="E43010" t="s">
        <v>15</v>
      </c>
      <c r="F43010" s="2" t="str">
        <f>HYPERLINK("http://www.otzar.org/book.asp?180152","שערי חיים - 4 כר'")</f>
        <v>שערי חיים - 4 כר'</v>
      </c>
    </row>
    <row r="43011" spans="1:6" x14ac:dyDescent="0.2">
      <c r="A43011" t="s">
        <v>65106</v>
      </c>
      <c r="B43011" t="s">
        <v>65113</v>
      </c>
      <c r="C43011" t="s">
        <v>1036</v>
      </c>
      <c r="D43011" t="s">
        <v>1422</v>
      </c>
      <c r="E43011" t="s">
        <v>508</v>
      </c>
      <c r="F43011" s="2" t="str">
        <f>HYPERLINK("http://www.otzar.org/book.asp?141086","שערי חיים")</f>
        <v>שערי חיים</v>
      </c>
    </row>
    <row r="43012" spans="1:6" x14ac:dyDescent="0.2">
      <c r="A43012" t="s">
        <v>65106</v>
      </c>
      <c r="B43012" t="s">
        <v>17755</v>
      </c>
      <c r="C43012" t="s">
        <v>103</v>
      </c>
      <c r="D43012" t="s">
        <v>52</v>
      </c>
      <c r="E43012" t="s">
        <v>144</v>
      </c>
      <c r="F43012" s="2" t="str">
        <f>HYPERLINK("http://www.otzar.org/book.asp?157838","שערי חיים")</f>
        <v>שערי חיים</v>
      </c>
    </row>
    <row r="43013" spans="1:6" x14ac:dyDescent="0.2">
      <c r="A43013" t="s">
        <v>65106</v>
      </c>
      <c r="B43013" t="s">
        <v>17383</v>
      </c>
      <c r="C43013" t="s">
        <v>619</v>
      </c>
      <c r="D43013" t="s">
        <v>27</v>
      </c>
      <c r="E43013" t="s">
        <v>144</v>
      </c>
      <c r="F43013" s="2" t="str">
        <f>HYPERLINK("http://www.otzar.org/book.asp?20615","שערי חיים")</f>
        <v>שערי חיים</v>
      </c>
    </row>
    <row r="43014" spans="1:6" x14ac:dyDescent="0.2">
      <c r="A43014" t="s">
        <v>65114</v>
      </c>
      <c r="B43014" t="s">
        <v>65115</v>
      </c>
      <c r="C43014" t="s">
        <v>17</v>
      </c>
      <c r="D43014" t="s">
        <v>14</v>
      </c>
      <c r="E43014" t="s">
        <v>172</v>
      </c>
      <c r="F43014" s="2" t="str">
        <f>HYPERLINK("http://www.otzar.org/book.asp?156578","שערי חיים - 3 כר'")</f>
        <v>שערי חיים - 3 כר'</v>
      </c>
    </row>
    <row r="43015" spans="1:6" x14ac:dyDescent="0.2">
      <c r="A43015" t="s">
        <v>65116</v>
      </c>
      <c r="B43015" t="s">
        <v>7980</v>
      </c>
      <c r="C43015" t="s">
        <v>1058</v>
      </c>
      <c r="D43015" t="s">
        <v>1635</v>
      </c>
      <c r="E43015" t="s">
        <v>714</v>
      </c>
      <c r="F43015" s="2" t="str">
        <f>HYPERLINK("http://www.otzar.org/book.asp?150028","שערי חיים - 2 כר'")</f>
        <v>שערי חיים - 2 כר'</v>
      </c>
    </row>
    <row r="43016" spans="1:6" x14ac:dyDescent="0.2">
      <c r="A43016" t="s">
        <v>65112</v>
      </c>
      <c r="B43016" t="s">
        <v>5003</v>
      </c>
      <c r="C43016" t="s">
        <v>129</v>
      </c>
      <c r="D43016" t="s">
        <v>147</v>
      </c>
      <c r="E43016" t="s">
        <v>154</v>
      </c>
      <c r="F43016" s="2" t="str">
        <f>HYPERLINK("http://www.otzar.org/book.asp?616937","שערי חיים - 4 כר'")</f>
        <v>שערי חיים - 4 כר'</v>
      </c>
    </row>
    <row r="43017" spans="1:6" x14ac:dyDescent="0.2">
      <c r="A43017" t="s">
        <v>65117</v>
      </c>
      <c r="B43017" t="s">
        <v>62871</v>
      </c>
      <c r="C43017" t="s">
        <v>244</v>
      </c>
      <c r="D43017" t="s">
        <v>14</v>
      </c>
      <c r="E43017" t="s">
        <v>144</v>
      </c>
      <c r="F43017" s="2" t="str">
        <f>HYPERLINK("http://www.otzar.org/book.asp?627700","שערי חיים - 5 כר'")</f>
        <v>שערי חיים - 5 כר'</v>
      </c>
    </row>
    <row r="43018" spans="1:6" x14ac:dyDescent="0.2">
      <c r="A43018" t="s">
        <v>65118</v>
      </c>
      <c r="B43018" t="s">
        <v>23424</v>
      </c>
      <c r="C43018" t="s">
        <v>11821</v>
      </c>
      <c r="D43018" t="s">
        <v>744</v>
      </c>
      <c r="E43018" t="s">
        <v>424</v>
      </c>
      <c r="F43018" s="2" t="str">
        <f>HYPERLINK("http://www.otzar.org/book.asp?101828","שערי חכמה (שב שמעתתא)")</f>
        <v>שערי חכמה (שב שמעתתא)</v>
      </c>
    </row>
    <row r="43019" spans="1:6" x14ac:dyDescent="0.2">
      <c r="A43019" t="s">
        <v>65119</v>
      </c>
      <c r="B43019" t="s">
        <v>65120</v>
      </c>
      <c r="C43019" t="s">
        <v>160</v>
      </c>
      <c r="D43019" t="s">
        <v>27</v>
      </c>
      <c r="E43019" t="s">
        <v>219</v>
      </c>
      <c r="F43019" s="2" t="str">
        <f>HYPERLINK("http://www.otzar.org/book.asp?144765","שערי חפץ")</f>
        <v>שערי חפץ</v>
      </c>
    </row>
    <row r="43020" spans="1:6" x14ac:dyDescent="0.2">
      <c r="A43020" t="s">
        <v>65121</v>
      </c>
      <c r="B43020" t="s">
        <v>1091</v>
      </c>
      <c r="C43020" t="s">
        <v>87</v>
      </c>
      <c r="D43020" t="s">
        <v>14</v>
      </c>
      <c r="E43020" t="s">
        <v>15</v>
      </c>
      <c r="F43020" s="2" t="str">
        <f>HYPERLINK("http://www.otzar.org/book.asp?143343","שערי טבילה")</f>
        <v>שערי טבילה</v>
      </c>
    </row>
    <row r="43021" spans="1:6" x14ac:dyDescent="0.2">
      <c r="A43021" t="s">
        <v>65122</v>
      </c>
      <c r="B43021" t="s">
        <v>10617</v>
      </c>
      <c r="C43021" t="s">
        <v>114</v>
      </c>
      <c r="D43021" t="s">
        <v>2285</v>
      </c>
      <c r="E43021" t="s">
        <v>15</v>
      </c>
      <c r="F43021" s="2" t="str">
        <f>HYPERLINK("http://www.otzar.org/book.asp?602787","שערי טהר")</f>
        <v>שערי טהר</v>
      </c>
    </row>
    <row r="43022" spans="1:6" x14ac:dyDescent="0.2">
      <c r="A43022" t="s">
        <v>65123</v>
      </c>
      <c r="B43022" t="s">
        <v>65124</v>
      </c>
      <c r="C43022" t="s">
        <v>1169</v>
      </c>
      <c r="D43022" t="s">
        <v>9</v>
      </c>
      <c r="E43022" t="s">
        <v>15</v>
      </c>
      <c r="F43022" s="2" t="str">
        <f>HYPERLINK("http://www.otzar.org/book.asp?200214","שערי טהר - 8 כר'")</f>
        <v>שערי טהר - 8 כר'</v>
      </c>
    </row>
    <row r="43023" spans="1:6" x14ac:dyDescent="0.2">
      <c r="A43023" t="s">
        <v>65125</v>
      </c>
      <c r="B43023" t="s">
        <v>33812</v>
      </c>
      <c r="C43023" t="s">
        <v>17</v>
      </c>
      <c r="D43023" t="s">
        <v>412</v>
      </c>
      <c r="E43023" t="s">
        <v>15</v>
      </c>
      <c r="F43023" s="2" t="str">
        <f>HYPERLINK("http://www.otzar.org/book.asp?160467","שערי טהרה")</f>
        <v>שערי טהרה</v>
      </c>
    </row>
    <row r="43024" spans="1:6" x14ac:dyDescent="0.2">
      <c r="A43024" t="s">
        <v>65125</v>
      </c>
      <c r="B43024" t="s">
        <v>43649</v>
      </c>
      <c r="C43024" t="s">
        <v>1470</v>
      </c>
      <c r="D43024" t="s">
        <v>27</v>
      </c>
      <c r="E43024" t="s">
        <v>84</v>
      </c>
      <c r="F43024" s="2" t="str">
        <f>HYPERLINK("http://www.otzar.org/book.asp?14028","שערי טהרה")</f>
        <v>שערי טהרה</v>
      </c>
    </row>
    <row r="43025" spans="1:6" x14ac:dyDescent="0.2">
      <c r="A43025" t="s">
        <v>65126</v>
      </c>
      <c r="B43025" t="s">
        <v>57872</v>
      </c>
      <c r="C43025" t="s">
        <v>366</v>
      </c>
      <c r="D43025" t="s">
        <v>216</v>
      </c>
      <c r="F43025" s="2" t="str">
        <f>HYPERLINK("http://www.otzar.org/book.asp?622176","שערי טהרה - נדה, מקואות")</f>
        <v>שערי טהרה - נדה, מקואות</v>
      </c>
    </row>
    <row r="43026" spans="1:6" x14ac:dyDescent="0.2">
      <c r="A43026" t="s">
        <v>65127</v>
      </c>
      <c r="B43026" t="s">
        <v>1091</v>
      </c>
      <c r="C43026" t="s">
        <v>87</v>
      </c>
      <c r="D43026" t="s">
        <v>14</v>
      </c>
      <c r="E43026" t="s">
        <v>15</v>
      </c>
      <c r="F43026" s="2" t="str">
        <f>HYPERLINK("http://www.otzar.org/book.asp?143342","שערי טהרה - 2 כר'")</f>
        <v>שערי טהרה - 2 כר'</v>
      </c>
    </row>
    <row r="43027" spans="1:6" x14ac:dyDescent="0.2">
      <c r="A43027" t="s">
        <v>65125</v>
      </c>
      <c r="B43027" t="s">
        <v>13135</v>
      </c>
      <c r="C43027" t="s">
        <v>422</v>
      </c>
      <c r="D43027" t="s">
        <v>52</v>
      </c>
      <c r="E43027" t="s">
        <v>15</v>
      </c>
      <c r="F43027" s="2" t="str">
        <f>HYPERLINK("http://www.otzar.org/book.asp?159408","שערי טהרה")</f>
        <v>שערי טהרה</v>
      </c>
    </row>
    <row r="43028" spans="1:6" x14ac:dyDescent="0.2">
      <c r="A43028" t="s">
        <v>65128</v>
      </c>
      <c r="B43028" t="s">
        <v>12318</v>
      </c>
      <c r="C43028" t="s">
        <v>362</v>
      </c>
      <c r="D43028" t="s">
        <v>756</v>
      </c>
      <c r="E43028" t="s">
        <v>15</v>
      </c>
      <c r="F43028" s="2" t="str">
        <f>HYPERLINK("http://www.otzar.org/book.asp?104576","שערי טוהר &lt;שערי דעת&gt;")</f>
        <v>שערי טוהר &lt;שערי דעת&gt;</v>
      </c>
    </row>
    <row r="43029" spans="1:6" x14ac:dyDescent="0.2">
      <c r="A43029" t="s">
        <v>65129</v>
      </c>
      <c r="B43029" t="s">
        <v>64976</v>
      </c>
      <c r="C43029" t="s">
        <v>143</v>
      </c>
      <c r="D43029" t="s">
        <v>14</v>
      </c>
      <c r="E43029" t="s">
        <v>3489</v>
      </c>
      <c r="F43029" s="2" t="str">
        <f>HYPERLINK("http://www.otzar.org/book.asp?157781","שערי טוהר - מקואות")</f>
        <v>שערי טוהר - מקואות</v>
      </c>
    </row>
    <row r="43030" spans="1:6" x14ac:dyDescent="0.2">
      <c r="A43030" t="s">
        <v>65130</v>
      </c>
      <c r="B43030" t="s">
        <v>65017</v>
      </c>
      <c r="C43030" t="s">
        <v>1374</v>
      </c>
      <c r="D43030" t="s">
        <v>27</v>
      </c>
      <c r="E43030" t="s">
        <v>674</v>
      </c>
      <c r="F43030" s="2" t="str">
        <f>HYPERLINK("http://www.otzar.org/book.asp?200126","שערי טעמי המצות")</f>
        <v>שערי טעמי המצות</v>
      </c>
    </row>
    <row r="43031" spans="1:6" x14ac:dyDescent="0.2">
      <c r="A43031" t="s">
        <v>65131</v>
      </c>
      <c r="B43031" t="s">
        <v>60048</v>
      </c>
      <c r="C43031" t="s">
        <v>189</v>
      </c>
      <c r="D43031" t="s">
        <v>14</v>
      </c>
      <c r="E43031" t="s">
        <v>144</v>
      </c>
      <c r="F43031" s="2" t="str">
        <f>HYPERLINK("http://www.otzar.org/book.asp?60002","שערי יבמות - א")</f>
        <v>שערי יבמות - א</v>
      </c>
    </row>
    <row r="43032" spans="1:6" x14ac:dyDescent="0.2">
      <c r="A43032" t="s">
        <v>65131</v>
      </c>
      <c r="B43032" t="s">
        <v>58364</v>
      </c>
      <c r="C43032" t="s">
        <v>151</v>
      </c>
      <c r="D43032" t="s">
        <v>21</v>
      </c>
      <c r="F43032" s="2" t="str">
        <f>HYPERLINK("http://www.otzar.org/book.asp?610266","שערי יבמות - א")</f>
        <v>שערי יבמות - א</v>
      </c>
    </row>
    <row r="43033" spans="1:6" x14ac:dyDescent="0.2">
      <c r="A43033" t="s">
        <v>65132</v>
      </c>
      <c r="B43033" t="s">
        <v>65133</v>
      </c>
      <c r="C43033" t="s">
        <v>313</v>
      </c>
      <c r="D43033" t="s">
        <v>152</v>
      </c>
      <c r="E43033" t="s">
        <v>144</v>
      </c>
      <c r="F43033" s="2" t="str">
        <f>HYPERLINK("http://www.otzar.org/book.asp?51589","שערי יהודה - 6 כר'")</f>
        <v>שערי יהודה - 6 כר'</v>
      </c>
    </row>
    <row r="43034" spans="1:6" x14ac:dyDescent="0.2">
      <c r="A43034" t="s">
        <v>65134</v>
      </c>
      <c r="B43034" t="s">
        <v>11810</v>
      </c>
      <c r="C43034" t="s">
        <v>422</v>
      </c>
      <c r="D43034" t="s">
        <v>14</v>
      </c>
      <c r="E43034" t="s">
        <v>144</v>
      </c>
      <c r="F43034" s="2" t="str">
        <f>HYPERLINK("http://www.otzar.org/book.asp?165013","שערי יהודה - 12 כר'")</f>
        <v>שערי יהודה - 12 כר'</v>
      </c>
    </row>
    <row r="43035" spans="1:6" x14ac:dyDescent="0.2">
      <c r="A43035" t="s">
        <v>65135</v>
      </c>
      <c r="B43035" t="s">
        <v>57285</v>
      </c>
      <c r="C43035" t="s">
        <v>366</v>
      </c>
      <c r="D43035" t="s">
        <v>21</v>
      </c>
      <c r="E43035" t="s">
        <v>15</v>
      </c>
      <c r="F43035" s="2" t="str">
        <f>HYPERLINK("http://www.otzar.org/book.asp?601434","שערי יום טוב - יסודות הלכות יו""ט")</f>
        <v>שערי יום טוב - יסודות הלכות יו"ט</v>
      </c>
    </row>
    <row r="43036" spans="1:6" x14ac:dyDescent="0.2">
      <c r="A43036" t="s">
        <v>65136</v>
      </c>
      <c r="B43036" t="s">
        <v>65137</v>
      </c>
      <c r="C43036" t="s">
        <v>146</v>
      </c>
      <c r="D43036" t="s">
        <v>412</v>
      </c>
      <c r="E43036" t="s">
        <v>5712</v>
      </c>
      <c r="F43036" s="2" t="str">
        <f>HYPERLINK("http://www.otzar.org/book.asp?180912","שערי יום טוב")</f>
        <v>שערי יום טוב</v>
      </c>
    </row>
    <row r="43037" spans="1:6" x14ac:dyDescent="0.2">
      <c r="A43037" t="s">
        <v>65138</v>
      </c>
      <c r="B43037" t="s">
        <v>65139</v>
      </c>
      <c r="C43037" t="s">
        <v>466</v>
      </c>
      <c r="D43037" t="s">
        <v>14</v>
      </c>
      <c r="E43037" t="s">
        <v>144</v>
      </c>
      <c r="F43037" s="2" t="str">
        <f>HYPERLINK("http://www.otzar.org/book.asp?60382","שערי יומא - 2 כר'")</f>
        <v>שערי יומא - 2 כר'</v>
      </c>
    </row>
    <row r="43038" spans="1:6" x14ac:dyDescent="0.2">
      <c r="A43038" t="s">
        <v>65140</v>
      </c>
      <c r="B43038" t="s">
        <v>13135</v>
      </c>
      <c r="C43038" t="s">
        <v>151</v>
      </c>
      <c r="D43038" t="s">
        <v>52</v>
      </c>
      <c r="F43038" s="2" t="str">
        <f>HYPERLINK("http://www.otzar.org/book.asp?622654","שערי יוסף על ספר בן איש חי - 2 כר'")</f>
        <v>שערי יוסף על ספר בן איש חי - 2 כר'</v>
      </c>
    </row>
    <row r="43039" spans="1:6" x14ac:dyDescent="0.2">
      <c r="A43039" t="s">
        <v>65141</v>
      </c>
      <c r="B43039" t="s">
        <v>7122</v>
      </c>
      <c r="C43039" t="s">
        <v>523</v>
      </c>
      <c r="D43039" t="s">
        <v>52</v>
      </c>
      <c r="F43039" s="2" t="str">
        <f>HYPERLINK("http://www.otzar.org/book.asp?194520","שערי יוסף - איזהו נשך")</f>
        <v>שערי יוסף - איזהו נשך</v>
      </c>
    </row>
    <row r="43040" spans="1:6" x14ac:dyDescent="0.2">
      <c r="A43040" t="s">
        <v>65142</v>
      </c>
      <c r="B43040" t="s">
        <v>65143</v>
      </c>
      <c r="C43040" t="s">
        <v>51</v>
      </c>
      <c r="D43040" t="s">
        <v>273</v>
      </c>
      <c r="E43040" t="s">
        <v>148</v>
      </c>
      <c r="F43040" s="2" t="str">
        <f>HYPERLINK("http://www.otzar.org/book.asp?150692","שערי יורה דעה - 2 כר'")</f>
        <v>שערי יורה דעה - 2 כר'</v>
      </c>
    </row>
    <row r="43041" spans="1:6" x14ac:dyDescent="0.2">
      <c r="A43041" t="s">
        <v>65144</v>
      </c>
      <c r="B43041" t="s">
        <v>65145</v>
      </c>
      <c r="C43041" t="s">
        <v>624</v>
      </c>
      <c r="D43041" t="s">
        <v>14</v>
      </c>
      <c r="E43041" t="s">
        <v>154</v>
      </c>
      <c r="F43041" s="2" t="str">
        <f>HYPERLINK("http://www.otzar.org/book.asp?22722","שערי יושר &lt;שו""ת&gt; - 5 כר'")</f>
        <v>שערי יושר &lt;שו"ת&gt; - 5 כר'</v>
      </c>
    </row>
    <row r="43042" spans="1:6" x14ac:dyDescent="0.2">
      <c r="A43042" t="s">
        <v>65146</v>
      </c>
      <c r="B43042" t="s">
        <v>65145</v>
      </c>
      <c r="C43042" t="s">
        <v>151</v>
      </c>
      <c r="D43042" t="s">
        <v>14</v>
      </c>
      <c r="F43042" s="2" t="str">
        <f>HYPERLINK("http://www.otzar.org/book.asp?612028","שערי יושר - 2 כר'")</f>
        <v>שערי יושר - 2 כר'</v>
      </c>
    </row>
    <row r="43043" spans="1:6" x14ac:dyDescent="0.2">
      <c r="A43043" t="s">
        <v>65147</v>
      </c>
      <c r="B43043" t="s">
        <v>1549</v>
      </c>
      <c r="C43043" t="s">
        <v>37</v>
      </c>
      <c r="D43043" t="s">
        <v>1550</v>
      </c>
      <c r="E43043" t="s">
        <v>246</v>
      </c>
      <c r="F43043" s="2" t="str">
        <f>HYPERLINK("http://www.otzar.org/book.asp?189215","שערי ימי החנוכה")</f>
        <v>שערי ימי החנוכה</v>
      </c>
    </row>
    <row r="43044" spans="1:6" x14ac:dyDescent="0.2">
      <c r="A43044" t="s">
        <v>65148</v>
      </c>
      <c r="B43044" t="s">
        <v>1549</v>
      </c>
      <c r="C43044" t="s">
        <v>129</v>
      </c>
      <c r="D43044" t="s">
        <v>1550</v>
      </c>
      <c r="E43044" t="s">
        <v>130</v>
      </c>
      <c r="F43044" s="2" t="str">
        <f>HYPERLINK("http://www.otzar.org/book.asp?53028","שערי ימי הפורים")</f>
        <v>שערי ימי הפורים</v>
      </c>
    </row>
    <row r="43045" spans="1:6" x14ac:dyDescent="0.2">
      <c r="A43045" t="s">
        <v>65149</v>
      </c>
      <c r="B43045" t="s">
        <v>1549</v>
      </c>
      <c r="C43045" t="s">
        <v>13</v>
      </c>
      <c r="D43045" t="s">
        <v>1550</v>
      </c>
      <c r="E43045" t="s">
        <v>130</v>
      </c>
      <c r="F43045" s="2" t="str">
        <f>HYPERLINK("http://www.otzar.org/book.asp?61728","שערי ימי הפסח")</f>
        <v>שערי ימי הפסח</v>
      </c>
    </row>
    <row r="43046" spans="1:6" x14ac:dyDescent="0.2">
      <c r="A43046" t="s">
        <v>65150</v>
      </c>
      <c r="B43046" t="s">
        <v>65151</v>
      </c>
      <c r="C43046" t="s">
        <v>51</v>
      </c>
      <c r="D43046" t="s">
        <v>14</v>
      </c>
      <c r="E43046" t="s">
        <v>148</v>
      </c>
      <c r="F43046" s="2" t="str">
        <f>HYPERLINK("http://www.otzar.org/book.asp?50131","שערי יעקב - 4 כר'")</f>
        <v>שערי יעקב - 4 כר'</v>
      </c>
    </row>
    <row r="43047" spans="1:6" x14ac:dyDescent="0.2">
      <c r="A43047" t="s">
        <v>65152</v>
      </c>
      <c r="B43047" t="s">
        <v>65153</v>
      </c>
      <c r="C43047" t="s">
        <v>37</v>
      </c>
      <c r="D43047" t="s">
        <v>21</v>
      </c>
      <c r="E43047" t="s">
        <v>399</v>
      </c>
      <c r="F43047" s="2" t="str">
        <f>HYPERLINK("http://www.otzar.org/book.asp?196626","שערי יעקב")</f>
        <v>שערי יעקב</v>
      </c>
    </row>
    <row r="43048" spans="1:6" x14ac:dyDescent="0.2">
      <c r="A43048" t="s">
        <v>65154</v>
      </c>
      <c r="B43048" t="s">
        <v>65155</v>
      </c>
      <c r="C43048" t="s">
        <v>129</v>
      </c>
      <c r="D43048" t="s">
        <v>52</v>
      </c>
      <c r="E43048" t="s">
        <v>144</v>
      </c>
      <c r="F43048" s="2" t="str">
        <f>HYPERLINK("http://www.otzar.org/book.asp?63448","שערי יעקב - 2 כר'")</f>
        <v>שערי יעקב - 2 כר'</v>
      </c>
    </row>
    <row r="43049" spans="1:6" x14ac:dyDescent="0.2">
      <c r="A43049" t="s">
        <v>65156</v>
      </c>
      <c r="B43049" t="s">
        <v>65157</v>
      </c>
      <c r="C43049" t="s">
        <v>5823</v>
      </c>
      <c r="D43049" t="s">
        <v>283</v>
      </c>
      <c r="E43049" t="s">
        <v>5935</v>
      </c>
      <c r="F43049" s="2" t="str">
        <f>HYPERLINK("http://www.otzar.org/book.asp?16316","שערי יצחק")</f>
        <v>שערי יצחק</v>
      </c>
    </row>
    <row r="43050" spans="1:6" x14ac:dyDescent="0.2">
      <c r="A43050" t="s">
        <v>65156</v>
      </c>
      <c r="B43050" t="s">
        <v>65158</v>
      </c>
      <c r="C43050" t="s">
        <v>2105</v>
      </c>
      <c r="D43050" t="s">
        <v>48212</v>
      </c>
      <c r="E43050" t="s">
        <v>674</v>
      </c>
      <c r="F43050" s="2" t="str">
        <f>HYPERLINK("http://www.otzar.org/book.asp?193666","שערי יצחק")</f>
        <v>שערי יצחק</v>
      </c>
    </row>
    <row r="43051" spans="1:6" x14ac:dyDescent="0.2">
      <c r="A43051" t="s">
        <v>65159</v>
      </c>
      <c r="B43051" t="s">
        <v>65160</v>
      </c>
      <c r="C43051" t="s">
        <v>843</v>
      </c>
      <c r="D43051" t="s">
        <v>27</v>
      </c>
      <c r="E43051" t="s">
        <v>803</v>
      </c>
      <c r="F43051" s="2" t="str">
        <f>HYPERLINK("http://www.otzar.org/book.asp?60367","שערי יצחק - 14 כר'")</f>
        <v>שערי יצחק - 14 כר'</v>
      </c>
    </row>
    <row r="43052" spans="1:6" x14ac:dyDescent="0.2">
      <c r="A43052" t="s">
        <v>65161</v>
      </c>
      <c r="B43052" t="s">
        <v>17331</v>
      </c>
      <c r="C43052" t="s">
        <v>411</v>
      </c>
      <c r="D43052" t="s">
        <v>52</v>
      </c>
      <c r="E43052" t="s">
        <v>15</v>
      </c>
      <c r="F43052" s="2" t="str">
        <f>HYPERLINK("http://www.otzar.org/book.asp?628814","שערי יצחק - 181 כר'")</f>
        <v>שערי יצחק - 181 כר'</v>
      </c>
    </row>
    <row r="43053" spans="1:6" x14ac:dyDescent="0.2">
      <c r="A43053" t="s">
        <v>65162</v>
      </c>
      <c r="B43053" t="s">
        <v>65163</v>
      </c>
      <c r="C43053" t="s">
        <v>594</v>
      </c>
      <c r="D43053" t="s">
        <v>1279</v>
      </c>
      <c r="E43053" t="s">
        <v>104</v>
      </c>
      <c r="F43053" s="2" t="str">
        <f>HYPERLINK("http://www.otzar.org/book.asp?200660","שערי ירושלים - 2 כר'")</f>
        <v>שערי ירושלים - 2 כר'</v>
      </c>
    </row>
    <row r="43054" spans="1:6" x14ac:dyDescent="0.2">
      <c r="A43054" t="s">
        <v>65164</v>
      </c>
      <c r="B43054" t="s">
        <v>65165</v>
      </c>
      <c r="C43054" t="s">
        <v>17</v>
      </c>
      <c r="D43054" t="s">
        <v>412</v>
      </c>
      <c r="E43054" t="s">
        <v>15</v>
      </c>
      <c r="F43054" s="2" t="str">
        <f>HYPERLINK("http://www.otzar.org/book.asp?83678","שערי ירושלם")</f>
        <v>שערי ירושלם</v>
      </c>
    </row>
    <row r="43055" spans="1:6" x14ac:dyDescent="0.2">
      <c r="A43055" t="s">
        <v>65166</v>
      </c>
      <c r="B43055" t="s">
        <v>43456</v>
      </c>
      <c r="C43055" t="s">
        <v>550</v>
      </c>
      <c r="D43055" t="s">
        <v>283</v>
      </c>
      <c r="E43055" t="s">
        <v>1097</v>
      </c>
      <c r="F43055" s="2" t="str">
        <f>HYPERLINK("http://www.otzar.org/book.asp?101827","שערי ירושלמי")</f>
        <v>שערי ירושלמי</v>
      </c>
    </row>
    <row r="43056" spans="1:6" x14ac:dyDescent="0.2">
      <c r="A43056" t="s">
        <v>65167</v>
      </c>
      <c r="B43056" t="s">
        <v>31883</v>
      </c>
      <c r="C43056" t="s">
        <v>2008</v>
      </c>
      <c r="D43056" t="s">
        <v>40443</v>
      </c>
      <c r="E43056" t="s">
        <v>140</v>
      </c>
      <c r="F43056" s="2" t="str">
        <f>HYPERLINK("http://www.otzar.org/book.asp?51832","שערי ישועה כתבי סגולה מהבעש""ט")</f>
        <v>שערי ישועה כתבי סגולה מהבעש"ט</v>
      </c>
    </row>
    <row r="43057" spans="1:6" x14ac:dyDescent="0.2">
      <c r="A43057" t="s">
        <v>65168</v>
      </c>
      <c r="B43057" t="s">
        <v>65169</v>
      </c>
      <c r="C43057" t="s">
        <v>619</v>
      </c>
      <c r="D43057" t="s">
        <v>379</v>
      </c>
      <c r="E43057" t="s">
        <v>219</v>
      </c>
      <c r="F43057" s="2" t="str">
        <f>HYPERLINK("http://www.otzar.org/book.asp?28487","שערי ישועה")</f>
        <v>שערי ישועה</v>
      </c>
    </row>
    <row r="43058" spans="1:6" x14ac:dyDescent="0.2">
      <c r="A43058" t="s">
        <v>65168</v>
      </c>
      <c r="B43058" t="s">
        <v>65170</v>
      </c>
      <c r="C43058" t="s">
        <v>13</v>
      </c>
      <c r="D43058" t="s">
        <v>14</v>
      </c>
      <c r="E43058" t="s">
        <v>65171</v>
      </c>
      <c r="F43058" s="2" t="str">
        <f>HYPERLINK("http://www.otzar.org/book.asp?606633","שערי ישועה")</f>
        <v>שערי ישועה</v>
      </c>
    </row>
    <row r="43059" spans="1:6" x14ac:dyDescent="0.2">
      <c r="A43059" t="s">
        <v>65168</v>
      </c>
      <c r="B43059" t="s">
        <v>65172</v>
      </c>
      <c r="C43059" t="s">
        <v>411</v>
      </c>
      <c r="D43059" t="s">
        <v>21</v>
      </c>
      <c r="E43059" t="s">
        <v>154</v>
      </c>
      <c r="F43059" s="2" t="str">
        <f>HYPERLINK("http://www.otzar.org/book.asp?623726","שערי ישועה")</f>
        <v>שערי ישועה</v>
      </c>
    </row>
    <row r="43060" spans="1:6" x14ac:dyDescent="0.2">
      <c r="A43060" t="s">
        <v>65173</v>
      </c>
      <c r="B43060" t="s">
        <v>65174</v>
      </c>
      <c r="C43060" t="s">
        <v>366</v>
      </c>
      <c r="D43060" t="s">
        <v>21</v>
      </c>
      <c r="E43060" t="s">
        <v>144</v>
      </c>
      <c r="F43060" s="2" t="str">
        <f>HYPERLINK("http://www.otzar.org/book.asp?603251","שערי ישר &lt;עם ליקוט קובץ מילואים&gt; - שער הקבוע")</f>
        <v>שערי ישר &lt;עם ליקוט קובץ מילואים&gt; - שער הקבוע</v>
      </c>
    </row>
    <row r="43061" spans="1:6" x14ac:dyDescent="0.2">
      <c r="A43061" t="s">
        <v>65175</v>
      </c>
      <c r="B43061" t="s">
        <v>25725</v>
      </c>
      <c r="C43061" t="s">
        <v>68</v>
      </c>
      <c r="D43061" t="s">
        <v>14</v>
      </c>
      <c r="E43061" t="s">
        <v>144</v>
      </c>
      <c r="F43061" s="2" t="str">
        <f>HYPERLINK("http://www.otzar.org/book.asp?175801","שערי ישר &lt;מהדורה חדשה&gt; - 4 כר'")</f>
        <v>שערי ישר &lt;מהדורה חדשה&gt; - 4 כר'</v>
      </c>
    </row>
    <row r="43062" spans="1:6" x14ac:dyDescent="0.2">
      <c r="A43062" t="s">
        <v>65176</v>
      </c>
      <c r="B43062" t="s">
        <v>65177</v>
      </c>
      <c r="C43062" t="s">
        <v>111</v>
      </c>
      <c r="D43062" t="s">
        <v>52</v>
      </c>
      <c r="F43062" s="2" t="str">
        <f>HYPERLINK("http://www.otzar.org/book.asp?631988","שערי ישר מבואר - 3 כר'")</f>
        <v>שערי ישר מבואר - 3 כר'</v>
      </c>
    </row>
    <row r="43063" spans="1:6" x14ac:dyDescent="0.2">
      <c r="A43063" t="s">
        <v>65178</v>
      </c>
      <c r="B43063" t="s">
        <v>25725</v>
      </c>
      <c r="C43063" t="s">
        <v>3228</v>
      </c>
      <c r="D43063" t="s">
        <v>9</v>
      </c>
      <c r="E43063" t="s">
        <v>144</v>
      </c>
      <c r="F43063" s="2" t="str">
        <f>HYPERLINK("http://www.otzar.org/book.asp?26876","שערי ישר - 2 כר'")</f>
        <v>שערי ישר - 2 כר'</v>
      </c>
    </row>
    <row r="43064" spans="1:6" x14ac:dyDescent="0.2">
      <c r="A43064" t="s">
        <v>65179</v>
      </c>
      <c r="B43064" t="s">
        <v>63943</v>
      </c>
      <c r="C43064" t="s">
        <v>146</v>
      </c>
      <c r="D43064" t="s">
        <v>14</v>
      </c>
      <c r="E43064" t="s">
        <v>2509</v>
      </c>
      <c r="F43064" s="2" t="str">
        <f>HYPERLINK("http://www.otzar.org/book.asp?152211","שערי כנסת הגדולה")</f>
        <v>שערי כנסת הגדולה</v>
      </c>
    </row>
    <row r="43065" spans="1:6" x14ac:dyDescent="0.2">
      <c r="A43065" t="s">
        <v>65180</v>
      </c>
      <c r="B43065" t="s">
        <v>60048</v>
      </c>
      <c r="C43065" t="s">
        <v>71</v>
      </c>
      <c r="D43065" t="s">
        <v>14</v>
      </c>
      <c r="E43065" t="s">
        <v>144</v>
      </c>
      <c r="F43065" s="2" t="str">
        <f>HYPERLINK("http://www.otzar.org/book.asp?173867","שערי כתובות")</f>
        <v>שערי כתובות</v>
      </c>
    </row>
    <row r="43066" spans="1:6" x14ac:dyDescent="0.2">
      <c r="A43066" t="s">
        <v>65180</v>
      </c>
      <c r="B43066" t="s">
        <v>54342</v>
      </c>
      <c r="C43066" t="s">
        <v>129</v>
      </c>
      <c r="D43066" t="s">
        <v>14</v>
      </c>
      <c r="E43066" t="s">
        <v>144</v>
      </c>
      <c r="F43066" s="2" t="str">
        <f>HYPERLINK("http://www.otzar.org/book.asp?610808","שערי כתובות")</f>
        <v>שערי כתובות</v>
      </c>
    </row>
    <row r="43067" spans="1:6" x14ac:dyDescent="0.2">
      <c r="A43067" t="s">
        <v>65181</v>
      </c>
      <c r="B43067" t="s">
        <v>45949</v>
      </c>
      <c r="C43067" t="s">
        <v>133</v>
      </c>
      <c r="D43067" t="s">
        <v>152</v>
      </c>
      <c r="E43067" t="s">
        <v>246</v>
      </c>
      <c r="F43067" s="2" t="str">
        <f>HYPERLINK("http://www.otzar.org/book.asp?172470","שערי ליל הסדר")</f>
        <v>שערי ליל הסדר</v>
      </c>
    </row>
    <row r="43068" spans="1:6" x14ac:dyDescent="0.2">
      <c r="A43068" t="s">
        <v>65182</v>
      </c>
      <c r="B43068" t="s">
        <v>65183</v>
      </c>
      <c r="C43068" t="s">
        <v>313</v>
      </c>
      <c r="D43068" t="s">
        <v>14</v>
      </c>
      <c r="E43068" t="s">
        <v>144</v>
      </c>
      <c r="F43068" s="2" t="str">
        <f>HYPERLINK("http://www.otzar.org/book.asp?176802","שערי לימוד")</f>
        <v>שערי לימוד</v>
      </c>
    </row>
    <row r="43069" spans="1:6" x14ac:dyDescent="0.2">
      <c r="A43069" t="s">
        <v>65182</v>
      </c>
      <c r="B43069" t="s">
        <v>3035</v>
      </c>
      <c r="C43069" t="s">
        <v>777</v>
      </c>
      <c r="D43069" t="s">
        <v>65184</v>
      </c>
      <c r="E43069" t="s">
        <v>714</v>
      </c>
      <c r="F43069" s="2" t="str">
        <f>HYPERLINK("http://www.otzar.org/book.asp?197019","שערי לימוד")</f>
        <v>שערי לימוד</v>
      </c>
    </row>
    <row r="43070" spans="1:6" x14ac:dyDescent="0.2">
      <c r="A43070" t="s">
        <v>65185</v>
      </c>
      <c r="B43070" t="s">
        <v>65186</v>
      </c>
      <c r="C43070" t="s">
        <v>129</v>
      </c>
      <c r="D43070" t="s">
        <v>52</v>
      </c>
      <c r="E43070" t="s">
        <v>144</v>
      </c>
      <c r="F43070" s="2" t="str">
        <f>HYPERLINK("http://www.otzar.org/book.asp?52874","שערי לימוד - 3 כר'")</f>
        <v>שערי לימוד - 3 כר'</v>
      </c>
    </row>
    <row r="43071" spans="1:6" x14ac:dyDescent="0.2">
      <c r="A43071" t="s">
        <v>65187</v>
      </c>
      <c r="B43071" t="s">
        <v>43770</v>
      </c>
      <c r="C43071" t="s">
        <v>533</v>
      </c>
      <c r="D43071" t="s">
        <v>19282</v>
      </c>
      <c r="F43071" s="2" t="str">
        <f>HYPERLINK("http://www.otzar.org/book.asp?610464","שערי למוד")</f>
        <v>שערי למוד</v>
      </c>
    </row>
    <row r="43072" spans="1:6" x14ac:dyDescent="0.2">
      <c r="A43072" t="s">
        <v>65187</v>
      </c>
      <c r="B43072" t="s">
        <v>27897</v>
      </c>
      <c r="C43072" t="s">
        <v>189</v>
      </c>
      <c r="D43072" t="s">
        <v>52</v>
      </c>
      <c r="E43072" t="s">
        <v>104</v>
      </c>
      <c r="F43072" s="2" t="str">
        <f>HYPERLINK("http://www.otzar.org/book.asp?85492","שערי למוד")</f>
        <v>שערי למוד</v>
      </c>
    </row>
    <row r="43073" spans="1:6" x14ac:dyDescent="0.2">
      <c r="A43073" t="s">
        <v>65187</v>
      </c>
      <c r="B43073" t="s">
        <v>1025</v>
      </c>
      <c r="C43073" t="s">
        <v>180</v>
      </c>
      <c r="D43073" t="s">
        <v>14</v>
      </c>
      <c r="E43073" t="s">
        <v>144</v>
      </c>
      <c r="F43073" s="2" t="str">
        <f>HYPERLINK("http://www.otzar.org/book.asp?158108","שערי למוד")</f>
        <v>שערי למוד</v>
      </c>
    </row>
    <row r="43074" spans="1:6" x14ac:dyDescent="0.2">
      <c r="A43074" t="s">
        <v>65187</v>
      </c>
      <c r="B43074" t="s">
        <v>65188</v>
      </c>
      <c r="C43074" t="s">
        <v>20</v>
      </c>
      <c r="D43074" t="s">
        <v>14</v>
      </c>
      <c r="E43074" t="s">
        <v>16725</v>
      </c>
      <c r="F43074" s="2" t="str">
        <f>HYPERLINK("http://www.otzar.org/book.asp?6098","שערי למוד")</f>
        <v>שערי למוד</v>
      </c>
    </row>
    <row r="43075" spans="1:6" x14ac:dyDescent="0.2">
      <c r="A43075" t="s">
        <v>65189</v>
      </c>
      <c r="B43075" t="s">
        <v>14786</v>
      </c>
      <c r="C43075" t="s">
        <v>332</v>
      </c>
      <c r="D43075" t="s">
        <v>14</v>
      </c>
      <c r="E43075" t="s">
        <v>933</v>
      </c>
      <c r="F43075" s="2" t="str">
        <f>HYPERLINK("http://www.otzar.org/book.asp?153565","שערי מאיר - 3 כר'")</f>
        <v>שערי מאיר - 3 כר'</v>
      </c>
    </row>
    <row r="43076" spans="1:6" x14ac:dyDescent="0.2">
      <c r="A43076" t="s">
        <v>65190</v>
      </c>
      <c r="B43076" t="s">
        <v>20246</v>
      </c>
      <c r="C43076" t="s">
        <v>558</v>
      </c>
      <c r="D43076" t="s">
        <v>27</v>
      </c>
      <c r="E43076" t="s">
        <v>241</v>
      </c>
      <c r="F43076" s="2" t="str">
        <f>HYPERLINK("http://www.otzar.org/book.asp?153708","שערי מוסר השכל")</f>
        <v>שערי מוסר השכל</v>
      </c>
    </row>
    <row r="43077" spans="1:6" x14ac:dyDescent="0.2">
      <c r="A43077" t="s">
        <v>65191</v>
      </c>
      <c r="B43077" t="s">
        <v>65192</v>
      </c>
      <c r="C43077" t="s">
        <v>785</v>
      </c>
      <c r="D43077" t="s">
        <v>412</v>
      </c>
      <c r="E43077" t="s">
        <v>241</v>
      </c>
      <c r="F43077" s="2" t="str">
        <f>HYPERLINK("http://www.otzar.org/book.asp?62247","שערי מוסר - 2 כר'")</f>
        <v>שערי מוסר - 2 כר'</v>
      </c>
    </row>
    <row r="43078" spans="1:6" x14ac:dyDescent="0.2">
      <c r="A43078" t="s">
        <v>65193</v>
      </c>
      <c r="B43078" t="s">
        <v>64976</v>
      </c>
      <c r="C43078" t="s">
        <v>111</v>
      </c>
      <c r="D43078" t="s">
        <v>14</v>
      </c>
      <c r="E43078" t="s">
        <v>246</v>
      </c>
      <c r="F43078" s="2" t="str">
        <f>HYPERLINK("http://www.otzar.org/book.asp?629740","שערי מועד - 2 כר'")</f>
        <v>שערי מועד - 2 כר'</v>
      </c>
    </row>
    <row r="43079" spans="1:6" x14ac:dyDescent="0.2">
      <c r="A43079" t="s">
        <v>65194</v>
      </c>
      <c r="B43079" t="s">
        <v>13135</v>
      </c>
      <c r="C43079" t="s">
        <v>1208</v>
      </c>
      <c r="D43079" t="s">
        <v>52</v>
      </c>
      <c r="F43079" s="2" t="str">
        <f>HYPERLINK("http://www.otzar.org/book.asp?617863","שערי מועד")</f>
        <v>שערי מועד</v>
      </c>
    </row>
    <row r="43080" spans="1:6" x14ac:dyDescent="0.2">
      <c r="A43080" t="s">
        <v>65195</v>
      </c>
      <c r="B43080" t="s">
        <v>52713</v>
      </c>
      <c r="C43080" t="s">
        <v>411</v>
      </c>
      <c r="D43080" t="s">
        <v>2196</v>
      </c>
      <c r="E43080" t="s">
        <v>15</v>
      </c>
      <c r="F43080" s="2" t="str">
        <f>HYPERLINK("http://www.otzar.org/book.asp?172798","שערי מוקצה")</f>
        <v>שערי מוקצה</v>
      </c>
    </row>
    <row r="43081" spans="1:6" x14ac:dyDescent="0.2">
      <c r="A43081" t="s">
        <v>65196</v>
      </c>
      <c r="B43081" t="s">
        <v>65197</v>
      </c>
      <c r="C43081" t="s">
        <v>146</v>
      </c>
      <c r="D43081" t="s">
        <v>14</v>
      </c>
      <c r="E43081" t="s">
        <v>636</v>
      </c>
      <c r="F43081" s="2" t="str">
        <f>HYPERLINK("http://www.otzar.org/book.asp?50468","שערי מחילה - 3 כר'")</f>
        <v>שערי מחילה - 3 כר'</v>
      </c>
    </row>
    <row r="43082" spans="1:6" x14ac:dyDescent="0.2">
      <c r="A43082" t="s">
        <v>65198</v>
      </c>
      <c r="B43082" t="s">
        <v>65199</v>
      </c>
      <c r="C43082" t="s">
        <v>87</v>
      </c>
      <c r="D43082" t="s">
        <v>52</v>
      </c>
      <c r="E43082" t="s">
        <v>154</v>
      </c>
      <c r="F43082" s="2" t="str">
        <f>HYPERLINK("http://www.otzar.org/book.asp?25845","שערי מישור - 3 כר'")</f>
        <v>שערי מישור - 3 כר'</v>
      </c>
    </row>
    <row r="43083" spans="1:6" x14ac:dyDescent="0.2">
      <c r="A43083" t="s">
        <v>65200</v>
      </c>
      <c r="B43083" t="s">
        <v>65201</v>
      </c>
      <c r="C43083" t="s">
        <v>51</v>
      </c>
      <c r="D43083" t="s">
        <v>52</v>
      </c>
      <c r="E43083" t="s">
        <v>10</v>
      </c>
      <c r="F43083" s="2" t="str">
        <f>HYPERLINK("http://www.otzar.org/book.asp?53747","שערי מישור")</f>
        <v>שערי מישור</v>
      </c>
    </row>
    <row r="43084" spans="1:6" x14ac:dyDescent="0.2">
      <c r="A43084" t="s">
        <v>65202</v>
      </c>
      <c r="B43084" t="s">
        <v>65203</v>
      </c>
      <c r="C43084" t="s">
        <v>411</v>
      </c>
      <c r="D43084" t="s">
        <v>14</v>
      </c>
      <c r="F43084" s="2" t="str">
        <f>HYPERLINK("http://www.otzar.org/book.asp?181925","שערי מעשר שני")</f>
        <v>שערי מעשר שני</v>
      </c>
    </row>
    <row r="43085" spans="1:6" x14ac:dyDescent="0.2">
      <c r="A43085" t="s">
        <v>65204</v>
      </c>
      <c r="B43085" t="s">
        <v>15230</v>
      </c>
      <c r="C43085" t="s">
        <v>151</v>
      </c>
      <c r="D43085" t="s">
        <v>1156</v>
      </c>
      <c r="F43085" s="2" t="str">
        <f>HYPERLINK("http://www.otzar.org/book.asp?611788","שערי מקואות")</f>
        <v>שערי מקואות</v>
      </c>
    </row>
    <row r="43086" spans="1:6" x14ac:dyDescent="0.2">
      <c r="A43086" t="s">
        <v>65205</v>
      </c>
      <c r="B43086" t="s">
        <v>32133</v>
      </c>
      <c r="C43086" t="s">
        <v>51</v>
      </c>
      <c r="D43086" t="s">
        <v>52</v>
      </c>
      <c r="E43086" t="s">
        <v>2071</v>
      </c>
      <c r="F43086" s="2" t="str">
        <f>HYPERLINK("http://www.otzar.org/book.asp?151222","שערי משה - 2 כר'")</f>
        <v>שערי משה - 2 כר'</v>
      </c>
    </row>
    <row r="43087" spans="1:6" x14ac:dyDescent="0.2">
      <c r="A43087" t="s">
        <v>65206</v>
      </c>
      <c r="B43087" t="s">
        <v>9322</v>
      </c>
      <c r="C43087" t="s">
        <v>1166</v>
      </c>
      <c r="D43087" t="s">
        <v>1889</v>
      </c>
      <c r="E43087" t="s">
        <v>172</v>
      </c>
      <c r="F43087" s="2" t="str">
        <f>HYPERLINK("http://www.otzar.org/book.asp?21394","שערי משה")</f>
        <v>שערי משה</v>
      </c>
    </row>
    <row r="43088" spans="1:6" x14ac:dyDescent="0.2">
      <c r="A43088" t="s">
        <v>65206</v>
      </c>
      <c r="B43088" t="s">
        <v>65207</v>
      </c>
      <c r="C43088" t="s">
        <v>114</v>
      </c>
      <c r="D43088" t="s">
        <v>14</v>
      </c>
      <c r="E43088" t="s">
        <v>10711</v>
      </c>
      <c r="F43088" s="2" t="str">
        <f>HYPERLINK("http://www.otzar.org/book.asp?183351","שערי משה")</f>
        <v>שערי משה</v>
      </c>
    </row>
    <row r="43089" spans="1:6" x14ac:dyDescent="0.2">
      <c r="A43089" t="s">
        <v>65208</v>
      </c>
      <c r="B43089" t="s">
        <v>13919</v>
      </c>
      <c r="C43089" t="s">
        <v>20</v>
      </c>
      <c r="D43089" t="s">
        <v>90</v>
      </c>
      <c r="E43089" t="s">
        <v>148</v>
      </c>
      <c r="F43089" s="2" t="str">
        <f>HYPERLINK("http://www.otzar.org/book.asp?196168","שערי משה - הלכות בית הכנסת")</f>
        <v>שערי משה - הלכות בית הכנסת</v>
      </c>
    </row>
    <row r="43090" spans="1:6" x14ac:dyDescent="0.2">
      <c r="A43090" t="s">
        <v>65209</v>
      </c>
      <c r="B43090" t="s">
        <v>16806</v>
      </c>
      <c r="C43090" t="s">
        <v>313</v>
      </c>
      <c r="D43090" t="s">
        <v>14</v>
      </c>
      <c r="E43090" t="s">
        <v>15</v>
      </c>
      <c r="F43090" s="2" t="str">
        <f>HYPERLINK("http://www.otzar.org/book.asp?22689","שערי משפט")</f>
        <v>שערי משפט</v>
      </c>
    </row>
    <row r="43091" spans="1:6" x14ac:dyDescent="0.2">
      <c r="A43091" t="s">
        <v>65209</v>
      </c>
      <c r="B43091" t="s">
        <v>11265</v>
      </c>
      <c r="C43091" t="s">
        <v>146</v>
      </c>
      <c r="D43091" t="s">
        <v>14</v>
      </c>
      <c r="E43091" t="s">
        <v>148</v>
      </c>
      <c r="F43091" s="2" t="str">
        <f>HYPERLINK("http://www.otzar.org/book.asp?151281","שערי משפט")</f>
        <v>שערי משפט</v>
      </c>
    </row>
    <row r="43092" spans="1:6" x14ac:dyDescent="0.2">
      <c r="A43092" t="s">
        <v>65210</v>
      </c>
      <c r="B43092" t="s">
        <v>36524</v>
      </c>
      <c r="C43092" t="s">
        <v>111</v>
      </c>
      <c r="D43092" t="s">
        <v>52</v>
      </c>
      <c r="E43092" t="s">
        <v>15</v>
      </c>
      <c r="F43092" s="2" t="str">
        <f>HYPERLINK("http://www.otzar.org/book.asp?628760","שערי נדה")</f>
        <v>שערי נדה</v>
      </c>
    </row>
    <row r="43093" spans="1:6" x14ac:dyDescent="0.2">
      <c r="A43093" t="s">
        <v>65211</v>
      </c>
      <c r="B43093" t="s">
        <v>1549</v>
      </c>
      <c r="C43093" t="s">
        <v>37</v>
      </c>
      <c r="D43093" t="s">
        <v>1550</v>
      </c>
      <c r="E43093" t="s">
        <v>130</v>
      </c>
      <c r="F43093" s="2" t="str">
        <f>HYPERLINK("http://www.otzar.org/book.asp?189216","שערי נחמה")</f>
        <v>שערי נחמה</v>
      </c>
    </row>
    <row r="43094" spans="1:6" x14ac:dyDescent="0.2">
      <c r="A43094" t="s">
        <v>65211</v>
      </c>
      <c r="B43094" t="s">
        <v>8442</v>
      </c>
      <c r="C43094" t="s">
        <v>114</v>
      </c>
      <c r="D43094" t="s">
        <v>52</v>
      </c>
      <c r="E43094" t="s">
        <v>564</v>
      </c>
      <c r="F43094" s="2" t="str">
        <f>HYPERLINK("http://www.otzar.org/book.asp?189742","שערי נחמה")</f>
        <v>שערי נחמה</v>
      </c>
    </row>
    <row r="43095" spans="1:6" x14ac:dyDescent="0.2">
      <c r="A43095" t="s">
        <v>65212</v>
      </c>
      <c r="B43095" t="s">
        <v>65213</v>
      </c>
      <c r="C43095" t="s">
        <v>133</v>
      </c>
      <c r="D43095" t="s">
        <v>14</v>
      </c>
      <c r="E43095" t="s">
        <v>158</v>
      </c>
      <c r="F43095" s="2" t="str">
        <f>HYPERLINK("http://www.otzar.org/book.asp?175724","שערי ניסים - 5 כר'")</f>
        <v>שערי ניסים - 5 כר'</v>
      </c>
    </row>
    <row r="43096" spans="1:6" x14ac:dyDescent="0.2">
      <c r="A43096" t="s">
        <v>65214</v>
      </c>
      <c r="B43096" t="s">
        <v>1549</v>
      </c>
      <c r="C43096" t="s">
        <v>422</v>
      </c>
      <c r="D43096" t="s">
        <v>1550</v>
      </c>
      <c r="F43096" s="2" t="str">
        <f>HYPERLINK("http://www.otzar.org/book.asp?617551","שערי נישואין")</f>
        <v>שערי נישואין</v>
      </c>
    </row>
    <row r="43097" spans="1:6" x14ac:dyDescent="0.2">
      <c r="A43097" t="s">
        <v>65214</v>
      </c>
      <c r="B43097" t="s">
        <v>36524</v>
      </c>
      <c r="C43097" t="s">
        <v>466</v>
      </c>
      <c r="D43097" t="s">
        <v>52</v>
      </c>
      <c r="E43097" t="s">
        <v>15</v>
      </c>
      <c r="F43097" s="2" t="str">
        <f>HYPERLINK("http://www.otzar.org/book.asp?167608","שערי נישואין")</f>
        <v>שערי נישואין</v>
      </c>
    </row>
    <row r="43098" spans="1:6" x14ac:dyDescent="0.2">
      <c r="A43098" t="s">
        <v>65215</v>
      </c>
      <c r="B43098" t="s">
        <v>65216</v>
      </c>
      <c r="C43098" t="s">
        <v>23</v>
      </c>
      <c r="D43098" t="s">
        <v>14</v>
      </c>
      <c r="E43098" t="s">
        <v>104</v>
      </c>
      <c r="F43098" s="2" t="str">
        <f>HYPERLINK("http://www.otzar.org/book.asp?189019","שערי נסים - 4 כר'")</f>
        <v>שערי נסים - 4 כר'</v>
      </c>
    </row>
    <row r="43099" spans="1:6" x14ac:dyDescent="0.2">
      <c r="A43099" t="s">
        <v>65217</v>
      </c>
      <c r="B43099" t="s">
        <v>1750</v>
      </c>
      <c r="C43099" t="s">
        <v>103</v>
      </c>
      <c r="D43099" t="s">
        <v>14</v>
      </c>
      <c r="E43099" t="s">
        <v>202</v>
      </c>
      <c r="F43099" s="2" t="str">
        <f>HYPERLINK("http://www.otzar.org/book.asp?170893","שערי נסים")</f>
        <v>שערי נסים</v>
      </c>
    </row>
    <row r="43100" spans="1:6" x14ac:dyDescent="0.2">
      <c r="A43100" t="s">
        <v>65218</v>
      </c>
      <c r="B43100" t="s">
        <v>24709</v>
      </c>
      <c r="C43100" t="s">
        <v>6995</v>
      </c>
      <c r="D43100" t="s">
        <v>2290</v>
      </c>
      <c r="E43100" t="s">
        <v>579</v>
      </c>
      <c r="F43100" s="2" t="str">
        <f>HYPERLINK("http://www.otzar.org/book.asp?100589","שערי נעימה")</f>
        <v>שערי נעימה</v>
      </c>
    </row>
    <row r="43101" spans="1:6" x14ac:dyDescent="0.2">
      <c r="A43101" t="s">
        <v>65219</v>
      </c>
      <c r="B43101" t="s">
        <v>65220</v>
      </c>
      <c r="C43101" t="s">
        <v>20</v>
      </c>
      <c r="D43101" t="s">
        <v>14</v>
      </c>
      <c r="E43101" t="s">
        <v>144</v>
      </c>
      <c r="F43101" s="2" t="str">
        <f>HYPERLINK("http://www.otzar.org/book.asp?52795","שערי סוטה - 2 כר'")</f>
        <v>שערי סוטה - 2 כר'</v>
      </c>
    </row>
    <row r="43102" spans="1:6" x14ac:dyDescent="0.2">
      <c r="A43102" t="s">
        <v>65221</v>
      </c>
      <c r="B43102" t="s">
        <v>53040</v>
      </c>
      <c r="C43102" t="s">
        <v>427</v>
      </c>
      <c r="D43102" t="s">
        <v>14</v>
      </c>
      <c r="E43102" t="s">
        <v>791</v>
      </c>
      <c r="F43102" s="2" t="str">
        <f>HYPERLINK("http://www.otzar.org/book.asp?13139","שערי סופר")</f>
        <v>שערי סופר</v>
      </c>
    </row>
    <row r="43103" spans="1:6" x14ac:dyDescent="0.2">
      <c r="A43103" t="s">
        <v>65222</v>
      </c>
      <c r="B43103" t="s">
        <v>65223</v>
      </c>
      <c r="C43103" t="s">
        <v>411</v>
      </c>
      <c r="D43103" t="s">
        <v>14</v>
      </c>
      <c r="E43103" t="s">
        <v>15</v>
      </c>
      <c r="F43103" s="2" t="str">
        <f>HYPERLINK("http://www.otzar.org/book.asp?176006","שערי סופרים")</f>
        <v>שערי סופרים</v>
      </c>
    </row>
    <row r="43104" spans="1:6" x14ac:dyDescent="0.2">
      <c r="A43104" t="s">
        <v>65224</v>
      </c>
      <c r="B43104" t="s">
        <v>65225</v>
      </c>
      <c r="C43104" t="s">
        <v>777</v>
      </c>
      <c r="D43104" t="s">
        <v>5659</v>
      </c>
      <c r="E43104" t="s">
        <v>241</v>
      </c>
      <c r="F43104" s="2" t="str">
        <f>HYPERLINK("http://www.otzar.org/book.asp?161162","שערי סיעתא דשמיא")</f>
        <v>שערי סיעתא דשמיא</v>
      </c>
    </row>
    <row r="43105" spans="1:6" x14ac:dyDescent="0.2">
      <c r="A43105" t="s">
        <v>65226</v>
      </c>
      <c r="B43105" t="s">
        <v>52683</v>
      </c>
      <c r="C43105" t="s">
        <v>103</v>
      </c>
      <c r="D43105" t="s">
        <v>412</v>
      </c>
      <c r="E43105" t="s">
        <v>241</v>
      </c>
      <c r="F43105" s="2" t="str">
        <f>HYPERLINK("http://www.otzar.org/book.asp?172128","שערי עבודה")</f>
        <v>שערי עבודה</v>
      </c>
    </row>
    <row r="43106" spans="1:6" x14ac:dyDescent="0.2">
      <c r="A43106" t="s">
        <v>65227</v>
      </c>
      <c r="B43106" t="s">
        <v>65228</v>
      </c>
      <c r="C43106" t="s">
        <v>20</v>
      </c>
      <c r="D43106" t="s">
        <v>52</v>
      </c>
      <c r="E43106" t="s">
        <v>144</v>
      </c>
      <c r="F43106" s="2" t="str">
        <f>HYPERLINK("http://www.otzar.org/book.asp?183138","שערי עגונות")</f>
        <v>שערי עגונות</v>
      </c>
    </row>
    <row r="43107" spans="1:6" x14ac:dyDescent="0.2">
      <c r="A43107" t="s">
        <v>65229</v>
      </c>
      <c r="B43107" t="s">
        <v>65230</v>
      </c>
      <c r="C43107" t="s">
        <v>843</v>
      </c>
      <c r="D43107" t="s">
        <v>412</v>
      </c>
      <c r="E43107" t="s">
        <v>213</v>
      </c>
      <c r="F43107" s="2" t="str">
        <f>HYPERLINK("http://www.otzar.org/book.asp?172961","שערי עולם")</f>
        <v>שערי עולם</v>
      </c>
    </row>
    <row r="43108" spans="1:6" x14ac:dyDescent="0.2">
      <c r="A43108" t="s">
        <v>65231</v>
      </c>
      <c r="B43108" t="s">
        <v>17027</v>
      </c>
      <c r="C43108" t="s">
        <v>34160</v>
      </c>
      <c r="D43108" t="s">
        <v>27</v>
      </c>
      <c r="E43108" t="s">
        <v>15</v>
      </c>
      <c r="F43108" s="2" t="str">
        <f>HYPERLINK("http://www.otzar.org/book.asp?105587","שערי עזיאל - 4 כר'")</f>
        <v>שערי עזיאל - 4 כר'</v>
      </c>
    </row>
    <row r="43109" spans="1:6" x14ac:dyDescent="0.2">
      <c r="A43109" t="s">
        <v>65232</v>
      </c>
      <c r="B43109" t="s">
        <v>65233</v>
      </c>
      <c r="C43109" t="s">
        <v>37</v>
      </c>
      <c r="D43109" t="s">
        <v>14</v>
      </c>
      <c r="E43109" t="s">
        <v>65234</v>
      </c>
      <c r="F43109" s="2" t="str">
        <f>HYPERLINK("http://www.otzar.org/book.asp?192840","שערי עזרא &lt;מהדורה חדשה&gt;")</f>
        <v>שערי עזרא &lt;מהדורה חדשה&gt;</v>
      </c>
    </row>
    <row r="43110" spans="1:6" x14ac:dyDescent="0.2">
      <c r="A43110" t="s">
        <v>65235</v>
      </c>
      <c r="B43110" t="s">
        <v>15664</v>
      </c>
      <c r="C43110" t="s">
        <v>332</v>
      </c>
      <c r="D43110" t="s">
        <v>14</v>
      </c>
      <c r="E43110" t="s">
        <v>154</v>
      </c>
      <c r="F43110" s="2" t="str">
        <f>HYPERLINK("http://www.otzar.org/book.asp?85597","שערי עזרא - 2 כר'")</f>
        <v>שערי עזרא - 2 כר'</v>
      </c>
    </row>
    <row r="43111" spans="1:6" x14ac:dyDescent="0.2">
      <c r="A43111" t="s">
        <v>65236</v>
      </c>
      <c r="B43111" t="s">
        <v>65233</v>
      </c>
      <c r="C43111" t="s">
        <v>438</v>
      </c>
      <c r="D43111" t="s">
        <v>14</v>
      </c>
      <c r="E43111" t="s">
        <v>65237</v>
      </c>
      <c r="F43111" s="2" t="str">
        <f>HYPERLINK("http://www.otzar.org/book.asp?172613","שערי עזרא")</f>
        <v>שערי עזרא</v>
      </c>
    </row>
    <row r="43112" spans="1:6" x14ac:dyDescent="0.2">
      <c r="A43112" t="s">
        <v>65238</v>
      </c>
      <c r="B43112" t="s">
        <v>22027</v>
      </c>
      <c r="C43112" t="s">
        <v>133</v>
      </c>
      <c r="D43112" t="s">
        <v>90</v>
      </c>
      <c r="F43112" s="2" t="str">
        <f>HYPERLINK("http://www.otzar.org/book.asp?198266","שערי עזרה &lt;מהדורה חדשה&gt; - 2 כר'")</f>
        <v>שערי עזרה &lt;מהדורה חדשה&gt; - 2 כר'</v>
      </c>
    </row>
    <row r="43113" spans="1:6" x14ac:dyDescent="0.2">
      <c r="A43113" t="s">
        <v>65239</v>
      </c>
      <c r="B43113" t="s">
        <v>22027</v>
      </c>
      <c r="C43113" t="s">
        <v>1284</v>
      </c>
      <c r="D43113" t="s">
        <v>27</v>
      </c>
      <c r="E43113" t="s">
        <v>154</v>
      </c>
      <c r="F43113" s="2" t="str">
        <f>HYPERLINK("http://www.otzar.org/book.asp?20538","שערי עזרה")</f>
        <v>שערי עזרה</v>
      </c>
    </row>
    <row r="43114" spans="1:6" x14ac:dyDescent="0.2">
      <c r="A43114" t="s">
        <v>65239</v>
      </c>
      <c r="B43114" t="s">
        <v>65240</v>
      </c>
      <c r="C43114" t="s">
        <v>550</v>
      </c>
      <c r="D43114" t="s">
        <v>1279</v>
      </c>
      <c r="E43114" t="s">
        <v>684</v>
      </c>
      <c r="F43114" s="2" t="str">
        <f>HYPERLINK("http://www.otzar.org/book.asp?102012","שערי עזרה")</f>
        <v>שערי עזרה</v>
      </c>
    </row>
    <row r="43115" spans="1:6" x14ac:dyDescent="0.2">
      <c r="A43115" t="s">
        <v>65241</v>
      </c>
      <c r="B43115" t="s">
        <v>65242</v>
      </c>
      <c r="C43115" t="s">
        <v>37</v>
      </c>
      <c r="D43115" t="s">
        <v>14</v>
      </c>
      <c r="E43115" t="s">
        <v>144</v>
      </c>
      <c r="F43115" s="2" t="str">
        <f>HYPERLINK("http://www.otzar.org/book.asp?606671","שערי עיון - 7 כר'")</f>
        <v>שערי עיון - 7 כר'</v>
      </c>
    </row>
    <row r="43116" spans="1:6" x14ac:dyDescent="0.2">
      <c r="A43116" t="s">
        <v>65243</v>
      </c>
      <c r="B43116" t="s">
        <v>36524</v>
      </c>
      <c r="C43116" t="s">
        <v>176</v>
      </c>
      <c r="D43116" t="s">
        <v>52</v>
      </c>
      <c r="E43116" t="s">
        <v>144</v>
      </c>
      <c r="F43116" s="2" t="str">
        <f>HYPERLINK("http://www.otzar.org/book.asp?167609","שערי עירובין")</f>
        <v>שערי עירובין</v>
      </c>
    </row>
    <row r="43117" spans="1:6" x14ac:dyDescent="0.2">
      <c r="A43117" t="s">
        <v>65244</v>
      </c>
      <c r="B43117" t="s">
        <v>1750</v>
      </c>
      <c r="C43117" t="s">
        <v>146</v>
      </c>
      <c r="D43117" t="s">
        <v>657</v>
      </c>
      <c r="E43117" t="s">
        <v>2091</v>
      </c>
      <c r="F43117" s="2" t="str">
        <f>HYPERLINK("http://www.otzar.org/book.asp?26856","שערי עץ חיים")</f>
        <v>שערי עץ חיים</v>
      </c>
    </row>
    <row r="43118" spans="1:6" x14ac:dyDescent="0.2">
      <c r="A43118" t="s">
        <v>65245</v>
      </c>
      <c r="B43118" t="s">
        <v>65246</v>
      </c>
      <c r="C43118" t="s">
        <v>411</v>
      </c>
      <c r="D43118" t="s">
        <v>52</v>
      </c>
      <c r="E43118" t="s">
        <v>144</v>
      </c>
      <c r="F43118" s="2" t="str">
        <f>HYPERLINK("http://www.otzar.org/book.asp?165562","שערי ערכין &lt;מהד""א&gt;")</f>
        <v>שערי ערכין &lt;מהד"א&gt;</v>
      </c>
    </row>
    <row r="43119" spans="1:6" x14ac:dyDescent="0.2">
      <c r="A43119" t="s">
        <v>65247</v>
      </c>
      <c r="B43119" t="s">
        <v>65246</v>
      </c>
      <c r="C43119" t="s">
        <v>111</v>
      </c>
      <c r="D43119" t="s">
        <v>52</v>
      </c>
      <c r="E43119" t="s">
        <v>144</v>
      </c>
      <c r="F43119" s="2" t="str">
        <f>HYPERLINK("http://www.otzar.org/book.asp?627167","שערי ערכין &lt;מהד""ב&gt;")</f>
        <v>שערי ערכין &lt;מהד"ב&gt;</v>
      </c>
    </row>
    <row r="43120" spans="1:6" x14ac:dyDescent="0.2">
      <c r="A43120" t="s">
        <v>65248</v>
      </c>
      <c r="B43120" t="s">
        <v>17327</v>
      </c>
      <c r="C43120" t="s">
        <v>854</v>
      </c>
      <c r="D43120" t="s">
        <v>379</v>
      </c>
      <c r="E43120" t="s">
        <v>15</v>
      </c>
      <c r="F43120" s="2" t="str">
        <f>HYPERLINK("http://www.otzar.org/book.asp?20537","שערי פדות")</f>
        <v>שערי פדות</v>
      </c>
    </row>
    <row r="43121" spans="1:6" x14ac:dyDescent="0.2">
      <c r="A43121" t="s">
        <v>65249</v>
      </c>
      <c r="B43121" t="s">
        <v>9447</v>
      </c>
      <c r="C43121" t="s">
        <v>129</v>
      </c>
      <c r="D43121" t="s">
        <v>14</v>
      </c>
      <c r="F43121" s="2" t="str">
        <f>HYPERLINK("http://www.otzar.org/book.asp?198021","שערי פרנסה")</f>
        <v>שערי פרנסה</v>
      </c>
    </row>
    <row r="43122" spans="1:6" x14ac:dyDescent="0.2">
      <c r="A43122" t="s">
        <v>65250</v>
      </c>
      <c r="B43122" t="s">
        <v>44662</v>
      </c>
      <c r="C43122" t="s">
        <v>68</v>
      </c>
      <c r="D43122" t="s">
        <v>486</v>
      </c>
      <c r="F43122" s="2" t="str">
        <f>HYPERLINK("http://www.otzar.org/book.asp?198005","שערי פשט - 4 כר'")</f>
        <v>שערי פשט - 4 כר'</v>
      </c>
    </row>
    <row r="43123" spans="1:6" x14ac:dyDescent="0.2">
      <c r="A43123" t="s">
        <v>65251</v>
      </c>
      <c r="B43123" t="s">
        <v>65252</v>
      </c>
      <c r="C43123" t="s">
        <v>189</v>
      </c>
      <c r="D43123" t="s">
        <v>152</v>
      </c>
      <c r="E43123" t="s">
        <v>144</v>
      </c>
      <c r="F43123" s="2" t="str">
        <f>HYPERLINK("http://www.otzar.org/book.asp?60321","שערי צבי - 4 כר'")</f>
        <v>שערי צבי - 4 כר'</v>
      </c>
    </row>
    <row r="43124" spans="1:6" x14ac:dyDescent="0.2">
      <c r="A43124" t="s">
        <v>65253</v>
      </c>
      <c r="B43124" t="s">
        <v>26015</v>
      </c>
      <c r="C43124" t="s">
        <v>411</v>
      </c>
      <c r="D43124" t="s">
        <v>139</v>
      </c>
      <c r="F43124" s="2" t="str">
        <f>HYPERLINK("http://www.otzar.org/book.asp?623057","שערי צדיק - 10 כר'")</f>
        <v>שערי צדיק - 10 כר'</v>
      </c>
    </row>
    <row r="43125" spans="1:6" x14ac:dyDescent="0.2">
      <c r="A43125" t="s">
        <v>65254</v>
      </c>
      <c r="B43125" t="s">
        <v>64776</v>
      </c>
      <c r="C43125" t="s">
        <v>75</v>
      </c>
      <c r="D43125" t="s">
        <v>27</v>
      </c>
      <c r="E43125" t="s">
        <v>674</v>
      </c>
      <c r="F43125" s="2" t="str">
        <f>HYPERLINK("http://www.otzar.org/book.asp?6184","שערי צדק &lt;שער החצר&gt;")</f>
        <v>שערי צדק &lt;שער החצר&gt;</v>
      </c>
    </row>
    <row r="43126" spans="1:6" x14ac:dyDescent="0.2">
      <c r="A43126" t="s">
        <v>65255</v>
      </c>
      <c r="B43126" t="s">
        <v>65256</v>
      </c>
      <c r="C43126" t="s">
        <v>4266</v>
      </c>
      <c r="D43126" t="s">
        <v>76</v>
      </c>
      <c r="E43126" t="s">
        <v>10</v>
      </c>
      <c r="F43126" s="2" t="str">
        <f>HYPERLINK("http://www.otzar.org/book.asp?102013","שערי צדק &lt;תשובות הגאונים&gt;")</f>
        <v>שערי צדק &lt;תשובות הגאונים&gt;</v>
      </c>
    </row>
    <row r="43127" spans="1:6" x14ac:dyDescent="0.2">
      <c r="A43127" t="s">
        <v>65255</v>
      </c>
      <c r="B43127" t="s">
        <v>65257</v>
      </c>
      <c r="C43127" t="s">
        <v>63</v>
      </c>
      <c r="D43127" t="s">
        <v>14</v>
      </c>
      <c r="E43127" t="s">
        <v>10</v>
      </c>
      <c r="F43127" s="2" t="str">
        <f>HYPERLINK("http://www.otzar.org/book.asp?105839","שערי צדק &lt;תשובות הגאונים&gt;")</f>
        <v>שערי צדק &lt;תשובות הגאונים&gt;</v>
      </c>
    </row>
    <row r="43128" spans="1:6" x14ac:dyDescent="0.2">
      <c r="A43128" t="s">
        <v>65258</v>
      </c>
      <c r="B43128" t="s">
        <v>65259</v>
      </c>
      <c r="C43128" t="s">
        <v>313</v>
      </c>
      <c r="D43128" t="s">
        <v>14</v>
      </c>
      <c r="E43128" t="s">
        <v>144</v>
      </c>
      <c r="F43128" s="2" t="str">
        <f>HYPERLINK("http://www.otzar.org/book.asp?159172","שערי צדק")</f>
        <v>שערי צדק</v>
      </c>
    </row>
    <row r="43129" spans="1:6" x14ac:dyDescent="0.2">
      <c r="A43129" t="s">
        <v>65260</v>
      </c>
      <c r="B43129" t="s">
        <v>13868</v>
      </c>
      <c r="C43129" t="s">
        <v>28919</v>
      </c>
      <c r="D43129" t="s">
        <v>13372</v>
      </c>
      <c r="F43129" s="2" t="str">
        <f>HYPERLINK("http://www.otzar.org/book.asp?152752","שערי צדק - 5 כר'")</f>
        <v>שערי צדק - 5 כר'</v>
      </c>
    </row>
    <row r="43130" spans="1:6" x14ac:dyDescent="0.2">
      <c r="A43130" t="s">
        <v>65258</v>
      </c>
      <c r="B43130" t="s">
        <v>24946</v>
      </c>
      <c r="C43130" t="s">
        <v>176</v>
      </c>
      <c r="D43130" t="s">
        <v>14</v>
      </c>
      <c r="E43130" t="s">
        <v>230</v>
      </c>
      <c r="F43130" s="2" t="str">
        <f>HYPERLINK("http://www.otzar.org/book.asp?168791","שערי צדק")</f>
        <v>שערי צדק</v>
      </c>
    </row>
    <row r="43131" spans="1:6" x14ac:dyDescent="0.2">
      <c r="A43131" t="s">
        <v>65261</v>
      </c>
      <c r="B43131" t="s">
        <v>9751</v>
      </c>
      <c r="C43131" t="s">
        <v>146</v>
      </c>
      <c r="D43131" t="s">
        <v>152</v>
      </c>
      <c r="E43131" t="s">
        <v>15</v>
      </c>
      <c r="F43131" s="2" t="str">
        <f>HYPERLINK("http://www.otzar.org/book.asp?142118","שערי צדק - 4 כר'")</f>
        <v>שערי צדק - 4 כר'</v>
      </c>
    </row>
    <row r="43132" spans="1:6" x14ac:dyDescent="0.2">
      <c r="A43132" t="s">
        <v>65262</v>
      </c>
      <c r="B43132" t="s">
        <v>686</v>
      </c>
      <c r="C43132" t="s">
        <v>411</v>
      </c>
      <c r="D43132" t="s">
        <v>52</v>
      </c>
      <c r="E43132" t="s">
        <v>213</v>
      </c>
      <c r="F43132" s="2" t="str">
        <f>HYPERLINK("http://www.otzar.org/book.asp?189246","שערי צדק - קצה הארץ")</f>
        <v>שערי צדק - קצה הארץ</v>
      </c>
    </row>
    <row r="43133" spans="1:6" x14ac:dyDescent="0.2">
      <c r="A43133" t="s">
        <v>65258</v>
      </c>
      <c r="B43133" t="s">
        <v>4398</v>
      </c>
      <c r="C43133" t="s">
        <v>585</v>
      </c>
      <c r="D43133" t="s">
        <v>216</v>
      </c>
      <c r="E43133" t="s">
        <v>154</v>
      </c>
      <c r="F43133" s="2" t="str">
        <f>HYPERLINK("http://www.otzar.org/book.asp?63298","שערי צדק")</f>
        <v>שערי צדק</v>
      </c>
    </row>
    <row r="43134" spans="1:6" x14ac:dyDescent="0.2">
      <c r="A43134" t="s">
        <v>65258</v>
      </c>
      <c r="B43134" t="s">
        <v>65263</v>
      </c>
      <c r="C43134" t="s">
        <v>503</v>
      </c>
      <c r="D43134" t="s">
        <v>27</v>
      </c>
      <c r="E43134" t="s">
        <v>45757</v>
      </c>
      <c r="F43134" s="2" t="str">
        <f>HYPERLINK("http://www.otzar.org/book.asp?104281","שערי צדק")</f>
        <v>שערי צדק</v>
      </c>
    </row>
    <row r="43135" spans="1:6" x14ac:dyDescent="0.2">
      <c r="A43135" t="s">
        <v>65264</v>
      </c>
      <c r="B43135" t="s">
        <v>12657</v>
      </c>
      <c r="C43135" t="s">
        <v>20</v>
      </c>
      <c r="D43135" t="s">
        <v>52</v>
      </c>
      <c r="E43135" t="s">
        <v>144</v>
      </c>
      <c r="F43135" s="2" t="str">
        <f>HYPERLINK("http://www.otzar.org/book.asp?629793","שערי צדק - חצר, דעת בקניינים")</f>
        <v>שערי צדק - חצר, דעת בקניינים</v>
      </c>
    </row>
    <row r="43136" spans="1:6" x14ac:dyDescent="0.2">
      <c r="A43136" t="s">
        <v>65265</v>
      </c>
      <c r="B43136" t="s">
        <v>65266</v>
      </c>
      <c r="C43136" t="s">
        <v>13</v>
      </c>
      <c r="D43136" t="s">
        <v>90</v>
      </c>
      <c r="E43136" t="s">
        <v>43</v>
      </c>
      <c r="F43136" s="2" t="str">
        <f>HYPERLINK("http://www.otzar.org/book.asp?183402","שערי צדק - סולם העליה")</f>
        <v>שערי צדק - סולם העליה</v>
      </c>
    </row>
    <row r="43137" spans="1:6" x14ac:dyDescent="0.2">
      <c r="A43137" t="s">
        <v>65258</v>
      </c>
      <c r="B43137" t="s">
        <v>46656</v>
      </c>
      <c r="C43137" t="s">
        <v>1268</v>
      </c>
      <c r="D43137" t="s">
        <v>1356</v>
      </c>
      <c r="E43137" t="s">
        <v>154</v>
      </c>
      <c r="F43137" s="2" t="str">
        <f>HYPERLINK("http://www.otzar.org/book.asp?601137","שערי צדק")</f>
        <v>שערי צדק</v>
      </c>
    </row>
    <row r="43138" spans="1:6" x14ac:dyDescent="0.2">
      <c r="A43138" t="s">
        <v>65261</v>
      </c>
      <c r="B43138" t="s">
        <v>895</v>
      </c>
      <c r="C43138" t="s">
        <v>38371</v>
      </c>
      <c r="D43138" t="s">
        <v>379</v>
      </c>
      <c r="E43138" t="s">
        <v>508</v>
      </c>
      <c r="F43138" s="2" t="str">
        <f>HYPERLINK("http://www.otzar.org/book.asp?150078","שערי צדק - 4 כר'")</f>
        <v>שערי צדק - 4 כר'</v>
      </c>
    </row>
    <row r="43139" spans="1:6" x14ac:dyDescent="0.2">
      <c r="A43139" t="s">
        <v>65258</v>
      </c>
      <c r="B43139" t="s">
        <v>23978</v>
      </c>
      <c r="C43139" t="s">
        <v>1062</v>
      </c>
      <c r="D43139" t="s">
        <v>27</v>
      </c>
      <c r="E43139" t="s">
        <v>119</v>
      </c>
      <c r="F43139" s="2" t="str">
        <f>HYPERLINK("http://www.otzar.org/book.asp?143017","שערי צדק")</f>
        <v>שערי צדק</v>
      </c>
    </row>
    <row r="43140" spans="1:6" x14ac:dyDescent="0.2">
      <c r="A43140" t="s">
        <v>65267</v>
      </c>
      <c r="B43140" t="s">
        <v>65268</v>
      </c>
      <c r="C43140" t="s">
        <v>313</v>
      </c>
      <c r="D43140" t="s">
        <v>5421</v>
      </c>
      <c r="E43140" t="s">
        <v>15</v>
      </c>
      <c r="F43140" s="2" t="str">
        <f>HYPERLINK("http://www.otzar.org/book.asp?149911","שערי צדק - 18 כר'")</f>
        <v>שערי צדק - 18 כר'</v>
      </c>
    </row>
    <row r="43141" spans="1:6" x14ac:dyDescent="0.2">
      <c r="A43141" t="s">
        <v>65258</v>
      </c>
      <c r="B43141" t="s">
        <v>65256</v>
      </c>
      <c r="C43141" t="s">
        <v>4266</v>
      </c>
      <c r="D43141" t="s">
        <v>76</v>
      </c>
      <c r="F43141" s="2" t="str">
        <f>HYPERLINK("http://www.otzar.org/book.asp?164735","שערי צדק")</f>
        <v>שערי צדק</v>
      </c>
    </row>
    <row r="43142" spans="1:6" x14ac:dyDescent="0.2">
      <c r="A43142" t="s">
        <v>65269</v>
      </c>
      <c r="B43142" t="s">
        <v>27949</v>
      </c>
      <c r="C43142" t="s">
        <v>10017</v>
      </c>
      <c r="D43142" t="s">
        <v>7059</v>
      </c>
      <c r="E43142" t="s">
        <v>219</v>
      </c>
      <c r="F43142" s="2" t="str">
        <f>HYPERLINK("http://www.otzar.org/book.asp?151493","שערי ציון &lt;ליקוטים&gt;")</f>
        <v>שערי ציון &lt;ליקוטים&gt;</v>
      </c>
    </row>
    <row r="43143" spans="1:6" x14ac:dyDescent="0.2">
      <c r="A43143" t="s">
        <v>65270</v>
      </c>
      <c r="B43143" t="s">
        <v>27949</v>
      </c>
      <c r="C43143" t="s">
        <v>422</v>
      </c>
      <c r="D43143" t="s">
        <v>14</v>
      </c>
      <c r="E43143" t="s">
        <v>219</v>
      </c>
      <c r="F43143" s="2" t="str">
        <f>HYPERLINK("http://www.otzar.org/book.asp?178955","שערי ציון &lt;מהדורת מכון פירות גינוסר&gt;")</f>
        <v>שערי ציון &lt;מהדורת מכון פירות גינוסר&gt;</v>
      </c>
    </row>
    <row r="43144" spans="1:6" x14ac:dyDescent="0.2">
      <c r="A43144" t="s">
        <v>65271</v>
      </c>
      <c r="B43144" t="s">
        <v>45278</v>
      </c>
      <c r="C43144" t="s">
        <v>946</v>
      </c>
      <c r="D43144" t="s">
        <v>10404</v>
      </c>
      <c r="E43144" t="s">
        <v>158</v>
      </c>
      <c r="F43144" s="2" t="str">
        <f>HYPERLINK("http://www.otzar.org/book.asp?161090","שערי ציון למשה")</f>
        <v>שערי ציון למשה</v>
      </c>
    </row>
    <row r="43145" spans="1:6" x14ac:dyDescent="0.2">
      <c r="A43145" t="s">
        <v>65272</v>
      </c>
      <c r="B43145" t="s">
        <v>35104</v>
      </c>
      <c r="C43145" t="s">
        <v>23</v>
      </c>
      <c r="D43145" t="s">
        <v>14</v>
      </c>
      <c r="E43145" t="s">
        <v>130</v>
      </c>
      <c r="F43145" s="2" t="str">
        <f>HYPERLINK("http://www.otzar.org/book.asp?623402","שערי ציון - 2 כר'")</f>
        <v>שערי ציון - 2 כר'</v>
      </c>
    </row>
    <row r="43146" spans="1:6" x14ac:dyDescent="0.2">
      <c r="A43146" t="s">
        <v>65273</v>
      </c>
      <c r="B43146" t="s">
        <v>11947</v>
      </c>
      <c r="C43146" t="s">
        <v>2874</v>
      </c>
      <c r="D43146" t="s">
        <v>3007</v>
      </c>
      <c r="E43146" t="s">
        <v>65274</v>
      </c>
      <c r="F43146" s="2" t="str">
        <f>HYPERLINK("http://www.otzar.org/book.asp?101253","שערי ציון")</f>
        <v>שערי ציון</v>
      </c>
    </row>
    <row r="43147" spans="1:6" x14ac:dyDescent="0.2">
      <c r="A43147" t="s">
        <v>65275</v>
      </c>
      <c r="B43147" t="s">
        <v>42167</v>
      </c>
      <c r="C43147" t="s">
        <v>51</v>
      </c>
      <c r="D43147" t="s">
        <v>14</v>
      </c>
      <c r="E43147" t="s">
        <v>684</v>
      </c>
      <c r="F43147" s="2" t="str">
        <f>HYPERLINK("http://www.otzar.org/book.asp?52560","שערי ציון - 3 כר'")</f>
        <v>שערי ציון - 3 כר'</v>
      </c>
    </row>
    <row r="43148" spans="1:6" x14ac:dyDescent="0.2">
      <c r="A43148" t="s">
        <v>65276</v>
      </c>
      <c r="B43148" t="s">
        <v>39122</v>
      </c>
      <c r="C43148" t="s">
        <v>390</v>
      </c>
      <c r="D43148" t="s">
        <v>1180</v>
      </c>
      <c r="E43148" t="s">
        <v>241</v>
      </c>
      <c r="F43148" s="2" t="str">
        <f>HYPERLINK("http://www.otzar.org/book.asp?21395","שערי ציון - 4 כר'")</f>
        <v>שערי ציון - 4 כר'</v>
      </c>
    </row>
    <row r="43149" spans="1:6" x14ac:dyDescent="0.2">
      <c r="A43149" t="s">
        <v>65273</v>
      </c>
      <c r="B43149" t="s">
        <v>65277</v>
      </c>
      <c r="C43149" t="s">
        <v>1718</v>
      </c>
      <c r="D43149" t="s">
        <v>6551</v>
      </c>
      <c r="E43149" t="s">
        <v>119</v>
      </c>
      <c r="F43149" s="2" t="str">
        <f>HYPERLINK("http://www.otzar.org/book.asp?83954","שערי ציון")</f>
        <v>שערי ציון</v>
      </c>
    </row>
    <row r="43150" spans="1:6" x14ac:dyDescent="0.2">
      <c r="A43150" t="s">
        <v>65276</v>
      </c>
      <c r="B43150" t="s">
        <v>27949</v>
      </c>
      <c r="C43150" t="s">
        <v>65278</v>
      </c>
      <c r="D43150" t="s">
        <v>1023</v>
      </c>
      <c r="E43150" t="s">
        <v>3755</v>
      </c>
      <c r="F43150" s="2" t="str">
        <f>HYPERLINK("http://www.otzar.org/book.asp?53595","שערי ציון - 4 כר'")</f>
        <v>שערי ציון - 4 כר'</v>
      </c>
    </row>
    <row r="43151" spans="1:6" x14ac:dyDescent="0.2">
      <c r="A43151" t="s">
        <v>65273</v>
      </c>
      <c r="B43151" t="s">
        <v>30468</v>
      </c>
      <c r="C43151" t="s">
        <v>1388</v>
      </c>
      <c r="D43151" t="s">
        <v>1840</v>
      </c>
      <c r="E43151" t="s">
        <v>684</v>
      </c>
      <c r="F43151" s="2" t="str">
        <f>HYPERLINK("http://www.otzar.org/book.asp?156410","שערי ציון")</f>
        <v>שערי ציון</v>
      </c>
    </row>
    <row r="43152" spans="1:6" x14ac:dyDescent="0.2">
      <c r="A43152" t="s">
        <v>65279</v>
      </c>
      <c r="B43152" t="s">
        <v>7891</v>
      </c>
      <c r="C43152" t="s">
        <v>189</v>
      </c>
      <c r="D43152" t="s">
        <v>1076</v>
      </c>
      <c r="E43152" t="s">
        <v>144</v>
      </c>
      <c r="F43152" s="2" t="str">
        <f>HYPERLINK("http://www.otzar.org/book.asp?165220","שערי ציון - ברכות")</f>
        <v>שערי ציון - ברכות</v>
      </c>
    </row>
    <row r="43153" spans="1:6" x14ac:dyDescent="0.2">
      <c r="A43153" t="s">
        <v>65272</v>
      </c>
      <c r="B43153" t="s">
        <v>65280</v>
      </c>
      <c r="C43153" t="s">
        <v>812</v>
      </c>
      <c r="D43153" t="s">
        <v>20626</v>
      </c>
      <c r="E43153" t="s">
        <v>144</v>
      </c>
      <c r="F43153" s="2" t="str">
        <f>HYPERLINK("http://www.otzar.org/book.asp?148149","שערי ציון - 2 כר'")</f>
        <v>שערי ציון - 2 כר'</v>
      </c>
    </row>
    <row r="43154" spans="1:6" x14ac:dyDescent="0.2">
      <c r="A43154" t="s">
        <v>65273</v>
      </c>
      <c r="B43154" t="s">
        <v>62318</v>
      </c>
      <c r="C43154" t="s">
        <v>411</v>
      </c>
      <c r="D43154" t="s">
        <v>21</v>
      </c>
      <c r="E43154" t="s">
        <v>158</v>
      </c>
      <c r="F43154" s="2" t="str">
        <f>HYPERLINK("http://www.otzar.org/book.asp?197798","שערי ציון")</f>
        <v>שערי ציון</v>
      </c>
    </row>
    <row r="43155" spans="1:6" x14ac:dyDescent="0.2">
      <c r="A43155" t="s">
        <v>65273</v>
      </c>
      <c r="B43155" t="s">
        <v>53109</v>
      </c>
      <c r="C43155" t="s">
        <v>619</v>
      </c>
      <c r="D43155" t="s">
        <v>1889</v>
      </c>
      <c r="E43155" t="s">
        <v>786</v>
      </c>
      <c r="F43155" s="2" t="str">
        <f>HYPERLINK("http://www.otzar.org/book.asp?24611","שערי ציון")</f>
        <v>שערי ציון</v>
      </c>
    </row>
    <row r="43156" spans="1:6" x14ac:dyDescent="0.2">
      <c r="A43156" t="s">
        <v>65273</v>
      </c>
      <c r="B43156" t="s">
        <v>65281</v>
      </c>
      <c r="C43156" t="s">
        <v>383</v>
      </c>
      <c r="D43156" t="s">
        <v>5798</v>
      </c>
      <c r="E43156" t="s">
        <v>202</v>
      </c>
      <c r="F43156" s="2" t="str">
        <f>HYPERLINK("http://www.otzar.org/book.asp?190893","שערי ציון")</f>
        <v>שערי ציון</v>
      </c>
    </row>
    <row r="43157" spans="1:6" x14ac:dyDescent="0.2">
      <c r="A43157" t="s">
        <v>65272</v>
      </c>
      <c r="B43157" t="s">
        <v>65282</v>
      </c>
      <c r="C43157" t="s">
        <v>1208</v>
      </c>
      <c r="D43157" t="s">
        <v>14</v>
      </c>
      <c r="E43157" t="s">
        <v>202</v>
      </c>
      <c r="F43157" s="2" t="str">
        <f>HYPERLINK("http://www.otzar.org/book.asp?172754","שערי ציון - 2 כר'")</f>
        <v>שערי ציון - 2 כר'</v>
      </c>
    </row>
    <row r="43158" spans="1:6" x14ac:dyDescent="0.2">
      <c r="A43158" t="s">
        <v>65283</v>
      </c>
      <c r="B43158" t="s">
        <v>54498</v>
      </c>
      <c r="C43158" t="s">
        <v>13</v>
      </c>
      <c r="D43158" t="s">
        <v>52</v>
      </c>
      <c r="F43158" s="2" t="str">
        <f>HYPERLINK("http://www.otzar.org/book.asp?616849","שערי ציון - שבת")</f>
        <v>שערי ציון - שבת</v>
      </c>
    </row>
    <row r="43159" spans="1:6" x14ac:dyDescent="0.2">
      <c r="A43159" t="s">
        <v>65284</v>
      </c>
      <c r="B43159" t="s">
        <v>65285</v>
      </c>
      <c r="C43159" t="s">
        <v>767</v>
      </c>
      <c r="D43159" t="s">
        <v>14</v>
      </c>
      <c r="E43159" t="s">
        <v>202</v>
      </c>
      <c r="F43159" s="2" t="str">
        <f>HYPERLINK("http://www.otzar.org/book.asp?169143","שערי ציון - א")</f>
        <v>שערי ציון - א</v>
      </c>
    </row>
    <row r="43160" spans="1:6" x14ac:dyDescent="0.2">
      <c r="A43160" t="s">
        <v>65273</v>
      </c>
      <c r="B43160" t="s">
        <v>382</v>
      </c>
      <c r="C43160" t="s">
        <v>908</v>
      </c>
      <c r="D43160" t="s">
        <v>307</v>
      </c>
      <c r="E43160" t="s">
        <v>202</v>
      </c>
      <c r="F43160" s="2" t="str">
        <f>HYPERLINK("http://www.otzar.org/book.asp?151633","שערי ציון")</f>
        <v>שערי ציון</v>
      </c>
    </row>
    <row r="43161" spans="1:6" x14ac:dyDescent="0.2">
      <c r="A43161" t="s">
        <v>65273</v>
      </c>
      <c r="B43161" t="s">
        <v>20824</v>
      </c>
      <c r="C43161" t="s">
        <v>65286</v>
      </c>
      <c r="D43161" t="s">
        <v>65287</v>
      </c>
      <c r="F43161" s="2" t="str">
        <f>HYPERLINK("http://www.otzar.org/book.asp?620054","שערי ציון")</f>
        <v>שערי ציון</v>
      </c>
    </row>
    <row r="43162" spans="1:6" x14ac:dyDescent="0.2">
      <c r="A43162" t="s">
        <v>65273</v>
      </c>
      <c r="B43162" t="s">
        <v>14175</v>
      </c>
      <c r="C43162" t="s">
        <v>466</v>
      </c>
      <c r="D43162" t="s">
        <v>52</v>
      </c>
      <c r="E43162" t="s">
        <v>15</v>
      </c>
      <c r="F43162" s="2" t="str">
        <f>HYPERLINK("http://www.otzar.org/book.asp?62098","שערי ציון")</f>
        <v>שערי ציון</v>
      </c>
    </row>
    <row r="43163" spans="1:6" x14ac:dyDescent="0.2">
      <c r="A43163" t="s">
        <v>65275</v>
      </c>
      <c r="B43163" t="s">
        <v>8609</v>
      </c>
      <c r="C43163" t="s">
        <v>553</v>
      </c>
      <c r="D43163" t="s">
        <v>14</v>
      </c>
      <c r="E43163" t="s">
        <v>803</v>
      </c>
      <c r="F43163" s="2" t="str">
        <f>HYPERLINK("http://www.otzar.org/book.asp?105753","שערי ציון - 3 כר'")</f>
        <v>שערי ציון - 3 כר'</v>
      </c>
    </row>
    <row r="43164" spans="1:6" x14ac:dyDescent="0.2">
      <c r="A43164" t="s">
        <v>65273</v>
      </c>
      <c r="B43164" t="s">
        <v>8611</v>
      </c>
      <c r="C43164" t="s">
        <v>1663</v>
      </c>
      <c r="D43164" t="s">
        <v>9</v>
      </c>
      <c r="E43164" t="s">
        <v>43433</v>
      </c>
      <c r="F43164" s="2" t="str">
        <f>HYPERLINK("http://www.otzar.org/book.asp?103240","שערי ציון")</f>
        <v>שערי ציון</v>
      </c>
    </row>
    <row r="43165" spans="1:6" x14ac:dyDescent="0.2">
      <c r="A43165" t="s">
        <v>65288</v>
      </c>
      <c r="B43165" t="s">
        <v>1750</v>
      </c>
      <c r="C43165" t="s">
        <v>1650</v>
      </c>
      <c r="D43165" t="s">
        <v>14</v>
      </c>
      <c r="E43165" t="s">
        <v>202</v>
      </c>
      <c r="F43165" s="2" t="str">
        <f>HYPERLINK("http://www.otzar.org/book.asp?61657","שערי ציון - 24 כר'")</f>
        <v>שערי ציון - 24 כר'</v>
      </c>
    </row>
    <row r="43166" spans="1:6" x14ac:dyDescent="0.2">
      <c r="A43166" t="s">
        <v>65272</v>
      </c>
      <c r="B43166" t="s">
        <v>65289</v>
      </c>
      <c r="C43166" t="s">
        <v>146</v>
      </c>
      <c r="D43166" t="s">
        <v>14</v>
      </c>
      <c r="F43166" s="2" t="str">
        <f>HYPERLINK("http://www.otzar.org/book.asp?181909","שערי ציון - 2 כר'")</f>
        <v>שערי ציון - 2 כר'</v>
      </c>
    </row>
    <row r="43167" spans="1:6" x14ac:dyDescent="0.2">
      <c r="A43167" t="s">
        <v>65290</v>
      </c>
      <c r="B43167" t="s">
        <v>65291</v>
      </c>
      <c r="C43167" t="s">
        <v>334</v>
      </c>
      <c r="D43167" t="s">
        <v>21</v>
      </c>
      <c r="E43167" t="s">
        <v>202</v>
      </c>
      <c r="F43167" s="2" t="str">
        <f>HYPERLINK("http://www.otzar.org/book.asp?600115","שערי ציון - אדר תשל""ט")</f>
        <v>שערי ציון - אדר תשל"ט</v>
      </c>
    </row>
    <row r="43168" spans="1:6" x14ac:dyDescent="0.2">
      <c r="A43168" t="s">
        <v>65275</v>
      </c>
      <c r="B43168" t="s">
        <v>65292</v>
      </c>
      <c r="C43168" t="s">
        <v>26</v>
      </c>
      <c r="D43168" t="s">
        <v>4400</v>
      </c>
      <c r="E43168" t="s">
        <v>202</v>
      </c>
      <c r="F43168" s="2" t="str">
        <f>HYPERLINK("http://www.otzar.org/book.asp?181259","שערי ציון - 3 כר'")</f>
        <v>שערי ציון - 3 כר'</v>
      </c>
    </row>
    <row r="43169" spans="1:6" x14ac:dyDescent="0.2">
      <c r="A43169" t="s">
        <v>65276</v>
      </c>
      <c r="B43169" t="s">
        <v>65293</v>
      </c>
      <c r="C43169" t="s">
        <v>360</v>
      </c>
      <c r="D43169" t="s">
        <v>691</v>
      </c>
      <c r="E43169" t="s">
        <v>5935</v>
      </c>
      <c r="F43169" s="2" t="str">
        <f>HYPERLINK("http://www.otzar.org/book.asp?17017","שערי ציון - 4 כר'")</f>
        <v>שערי ציון - 4 כר'</v>
      </c>
    </row>
    <row r="43170" spans="1:6" x14ac:dyDescent="0.2">
      <c r="A43170" t="s">
        <v>65294</v>
      </c>
      <c r="B43170" t="s">
        <v>65295</v>
      </c>
      <c r="C43170" t="s">
        <v>133</v>
      </c>
      <c r="D43170" t="s">
        <v>52</v>
      </c>
      <c r="E43170" t="s">
        <v>241</v>
      </c>
      <c r="F43170" s="2" t="str">
        <f>HYPERLINK("http://www.otzar.org/book.asp?173367","שערי קדושה &lt;יבי""ע אומר&gt;")</f>
        <v>שערי קדושה &lt;יבי"ע אומר&gt;</v>
      </c>
    </row>
    <row r="43171" spans="1:6" x14ac:dyDescent="0.2">
      <c r="A43171" t="s">
        <v>65296</v>
      </c>
      <c r="B43171" t="s">
        <v>405</v>
      </c>
      <c r="C43171" t="s">
        <v>189</v>
      </c>
      <c r="D43171" t="s">
        <v>52</v>
      </c>
      <c r="E43171" t="s">
        <v>314</v>
      </c>
      <c r="F43171" s="2" t="str">
        <f>HYPERLINK("http://www.otzar.org/book.asp?60716","שערי קדושה &lt;הוצאת מישור&gt;")</f>
        <v>שערי קדושה &lt;הוצאת מישור&gt;</v>
      </c>
    </row>
    <row r="43172" spans="1:6" x14ac:dyDescent="0.2">
      <c r="A43172" t="s">
        <v>65297</v>
      </c>
      <c r="B43172" t="s">
        <v>405</v>
      </c>
      <c r="C43172" t="s">
        <v>20</v>
      </c>
      <c r="D43172" t="s">
        <v>14</v>
      </c>
      <c r="E43172" t="s">
        <v>399</v>
      </c>
      <c r="F43172" s="2" t="str">
        <f>HYPERLINK("http://www.otzar.org/book.asp?169300","שערי קדושה &lt;עם הוספות&gt;")</f>
        <v>שערי קדושה &lt;עם הוספות&gt;</v>
      </c>
    </row>
    <row r="43173" spans="1:6" x14ac:dyDescent="0.2">
      <c r="A43173" t="s">
        <v>65298</v>
      </c>
      <c r="B43173" t="s">
        <v>65299</v>
      </c>
      <c r="C43173" t="s">
        <v>1163</v>
      </c>
      <c r="D43173" t="s">
        <v>1167</v>
      </c>
      <c r="E43173" t="s">
        <v>674</v>
      </c>
      <c r="F43173" s="2" t="str">
        <f>HYPERLINK("http://www.otzar.org/book.asp?157497","שערי קדושה (כת""י) - לחם תודה")</f>
        <v>שערי קדושה (כת"י) - לחם תודה</v>
      </c>
    </row>
    <row r="43174" spans="1:6" x14ac:dyDescent="0.2">
      <c r="A43174" t="s">
        <v>65300</v>
      </c>
      <c r="B43174" t="s">
        <v>65301</v>
      </c>
      <c r="C43174" t="s">
        <v>1163</v>
      </c>
      <c r="D43174" t="s">
        <v>1167</v>
      </c>
      <c r="E43174" t="s">
        <v>674</v>
      </c>
      <c r="F43174" s="2" t="str">
        <f>HYPERLINK("http://www.otzar.org/book.asp?157506","שערי קדושה (כת""י) - לקח טוב")</f>
        <v>שערי קדושה (כת"י) - לקח טוב</v>
      </c>
    </row>
    <row r="43175" spans="1:6" x14ac:dyDescent="0.2">
      <c r="A43175" t="s">
        <v>65302</v>
      </c>
      <c r="B43175" t="s">
        <v>22804</v>
      </c>
      <c r="C43175" t="s">
        <v>1163</v>
      </c>
      <c r="D43175" t="s">
        <v>1167</v>
      </c>
      <c r="E43175" t="s">
        <v>15</v>
      </c>
      <c r="F43175" s="2" t="str">
        <f>HYPERLINK("http://www.otzar.org/book.asp?143623","שערי קדושה (כת""י) - 2 כר'")</f>
        <v>שערי קדושה (כת"י) - 2 כר'</v>
      </c>
    </row>
    <row r="43176" spans="1:6" x14ac:dyDescent="0.2">
      <c r="A43176" t="s">
        <v>65303</v>
      </c>
      <c r="B43176" t="s">
        <v>405</v>
      </c>
      <c r="C43176" t="s">
        <v>550</v>
      </c>
      <c r="D43176" t="s">
        <v>6608</v>
      </c>
      <c r="E43176" t="s">
        <v>241</v>
      </c>
      <c r="F43176" s="2" t="str">
        <f>HYPERLINK("http://www.otzar.org/book.asp?173084","שערי קדושה - 11 כר'")</f>
        <v>שערי קדושה - 11 כר'</v>
      </c>
    </row>
    <row r="43177" spans="1:6" x14ac:dyDescent="0.2">
      <c r="A43177" t="s">
        <v>65304</v>
      </c>
      <c r="B43177" t="s">
        <v>3460</v>
      </c>
      <c r="C43177" t="s">
        <v>1160</v>
      </c>
      <c r="D43177" t="s">
        <v>52</v>
      </c>
      <c r="E43177" t="s">
        <v>399</v>
      </c>
      <c r="F43177" s="2" t="str">
        <f>HYPERLINK("http://www.otzar.org/book.asp?189994","שערי קדושה")</f>
        <v>שערי קדושה</v>
      </c>
    </row>
    <row r="43178" spans="1:6" x14ac:dyDescent="0.2">
      <c r="A43178" t="s">
        <v>65304</v>
      </c>
      <c r="B43178" t="s">
        <v>22804</v>
      </c>
      <c r="C43178" t="s">
        <v>20</v>
      </c>
      <c r="D43178" t="s">
        <v>90</v>
      </c>
      <c r="E43178" t="s">
        <v>674</v>
      </c>
      <c r="F43178" s="2" t="str">
        <f>HYPERLINK("http://www.otzar.org/book.asp?64115","שערי קדושה")</f>
        <v>שערי קדושה</v>
      </c>
    </row>
    <row r="43179" spans="1:6" x14ac:dyDescent="0.2">
      <c r="A43179" t="s">
        <v>65305</v>
      </c>
      <c r="B43179" t="s">
        <v>65306</v>
      </c>
      <c r="C43179" t="s">
        <v>20</v>
      </c>
      <c r="D43179" t="s">
        <v>52</v>
      </c>
      <c r="E43179" t="s">
        <v>144</v>
      </c>
      <c r="F43179" s="2" t="str">
        <f>HYPERLINK("http://www.otzar.org/book.asp?629299","שערי קדשים")</f>
        <v>שערי קדשים</v>
      </c>
    </row>
    <row r="43180" spans="1:6" x14ac:dyDescent="0.2">
      <c r="A43180" t="s">
        <v>65307</v>
      </c>
      <c r="B43180" t="s">
        <v>6022</v>
      </c>
      <c r="C43180" t="s">
        <v>752</v>
      </c>
      <c r="D43180" t="s">
        <v>1422</v>
      </c>
      <c r="E43180" t="s">
        <v>172</v>
      </c>
      <c r="F43180" s="2" t="str">
        <f>HYPERLINK("http://www.otzar.org/book.asp?20458","שערי קודש וספר תואר משה")</f>
        <v>שערי קודש וספר תואר משה</v>
      </c>
    </row>
    <row r="43181" spans="1:6" x14ac:dyDescent="0.2">
      <c r="A43181" t="s">
        <v>65308</v>
      </c>
      <c r="B43181" t="s">
        <v>65309</v>
      </c>
      <c r="C43181" t="s">
        <v>356</v>
      </c>
      <c r="D43181" t="s">
        <v>14</v>
      </c>
      <c r="E43181" t="s">
        <v>154</v>
      </c>
      <c r="F43181" s="2" t="str">
        <f>HYPERLINK("http://www.otzar.org/book.asp?154612","שערי קודש - 6 כר'")</f>
        <v>שערי קודש - 6 כר'</v>
      </c>
    </row>
    <row r="43182" spans="1:6" x14ac:dyDescent="0.2">
      <c r="A43182" t="s">
        <v>65310</v>
      </c>
      <c r="B43182" t="s">
        <v>65311</v>
      </c>
      <c r="C43182" t="s">
        <v>143</v>
      </c>
      <c r="D43182" t="s">
        <v>14</v>
      </c>
      <c r="E43182" t="s">
        <v>15</v>
      </c>
      <c r="F43182" s="2" t="str">
        <f>HYPERLINK("http://www.otzar.org/book.asp?155975","שערי קידוש השם")</f>
        <v>שערי קידוש השם</v>
      </c>
    </row>
    <row r="43183" spans="1:6" x14ac:dyDescent="0.2">
      <c r="A43183" t="s">
        <v>65312</v>
      </c>
      <c r="B43183" t="s">
        <v>65312</v>
      </c>
      <c r="C43183" t="s">
        <v>466</v>
      </c>
      <c r="D43183" t="s">
        <v>14</v>
      </c>
      <c r="E43183" t="s">
        <v>144</v>
      </c>
      <c r="F43183" s="2" t="str">
        <f>HYPERLINK("http://www.otzar.org/book.asp?52655","שערי ראש השנה")</f>
        <v>שערי ראש השנה</v>
      </c>
    </row>
    <row r="43184" spans="1:6" x14ac:dyDescent="0.2">
      <c r="A43184" t="s">
        <v>65313</v>
      </c>
      <c r="B43184" t="s">
        <v>46748</v>
      </c>
      <c r="C43184" t="s">
        <v>8</v>
      </c>
      <c r="D43184" t="s">
        <v>260</v>
      </c>
      <c r="E43184" t="s">
        <v>15</v>
      </c>
      <c r="F43184" s="2" t="str">
        <f>HYPERLINK("http://www.otzar.org/book.asp?171880","שערי רב שמואל בן חפני")</f>
        <v>שערי רב שמואל בן חפני</v>
      </c>
    </row>
    <row r="43185" spans="1:6" x14ac:dyDescent="0.2">
      <c r="A43185" t="s">
        <v>65314</v>
      </c>
      <c r="B43185" t="s">
        <v>65009</v>
      </c>
      <c r="C43185" t="s">
        <v>767</v>
      </c>
      <c r="D43185" t="s">
        <v>52</v>
      </c>
      <c r="E43185" t="s">
        <v>933</v>
      </c>
      <c r="F43185" s="2" t="str">
        <f>HYPERLINK("http://www.otzar.org/book.asp?159690","שערי רבית")</f>
        <v>שערי רבית</v>
      </c>
    </row>
    <row r="43186" spans="1:6" x14ac:dyDescent="0.2">
      <c r="A43186" t="s">
        <v>65314</v>
      </c>
      <c r="B43186" t="s">
        <v>10757</v>
      </c>
      <c r="C43186" t="s">
        <v>20</v>
      </c>
      <c r="D43186" t="s">
        <v>152</v>
      </c>
      <c r="E43186" t="s">
        <v>2091</v>
      </c>
      <c r="F43186" s="2" t="str">
        <f>HYPERLINK("http://www.otzar.org/book.asp?601192","שערי רבית")</f>
        <v>שערי רבית</v>
      </c>
    </row>
    <row r="43187" spans="1:6" x14ac:dyDescent="0.2">
      <c r="A43187" t="s">
        <v>65315</v>
      </c>
      <c r="B43187" t="s">
        <v>65316</v>
      </c>
      <c r="C43187" t="s">
        <v>68</v>
      </c>
      <c r="D43187" t="s">
        <v>27</v>
      </c>
      <c r="E43187" t="s">
        <v>154</v>
      </c>
      <c r="F43187" s="2" t="str">
        <f>HYPERLINK("http://www.otzar.org/book.asp?152448","שערי רחמים &lt;מכון הכתב&gt; - 2 כר'")</f>
        <v>שערי רחמים &lt;מכון הכתב&gt; - 2 כר'</v>
      </c>
    </row>
    <row r="43188" spans="1:6" x14ac:dyDescent="0.2">
      <c r="A43188" t="s">
        <v>65317</v>
      </c>
      <c r="B43188" t="s">
        <v>65318</v>
      </c>
      <c r="C43188" t="s">
        <v>422</v>
      </c>
      <c r="D43188" t="s">
        <v>412</v>
      </c>
      <c r="E43188" t="s">
        <v>104</v>
      </c>
      <c r="F43188" s="2" t="str">
        <f>HYPERLINK("http://www.otzar.org/book.asp?154325","שערי רחמים")</f>
        <v>שערי רחמים</v>
      </c>
    </row>
    <row r="43189" spans="1:6" x14ac:dyDescent="0.2">
      <c r="A43189" t="s">
        <v>65319</v>
      </c>
      <c r="B43189" t="s">
        <v>65320</v>
      </c>
      <c r="C43189" t="s">
        <v>51</v>
      </c>
      <c r="D43189" t="s">
        <v>90</v>
      </c>
      <c r="E43189" t="s">
        <v>144</v>
      </c>
      <c r="F43189" s="2" t="str">
        <f>HYPERLINK("http://www.otzar.org/book.asp?106129","שערי רחמים - 2 כר'")</f>
        <v>שערי רחמים - 2 כר'</v>
      </c>
    </row>
    <row r="43190" spans="1:6" x14ac:dyDescent="0.2">
      <c r="A43190" t="s">
        <v>65317</v>
      </c>
      <c r="B43190" t="s">
        <v>65321</v>
      </c>
      <c r="C43190" t="s">
        <v>133</v>
      </c>
      <c r="D43190" t="s">
        <v>52</v>
      </c>
      <c r="F43190" s="2" t="str">
        <f>HYPERLINK("http://www.otzar.org/book.asp?616244","שערי רחמים")</f>
        <v>שערי רחמים</v>
      </c>
    </row>
    <row r="43191" spans="1:6" x14ac:dyDescent="0.2">
      <c r="A43191" t="s">
        <v>65319</v>
      </c>
      <c r="B43191" t="s">
        <v>65316</v>
      </c>
      <c r="C43191" t="s">
        <v>65322</v>
      </c>
      <c r="D43191" t="s">
        <v>27</v>
      </c>
      <c r="E43191" t="s">
        <v>154</v>
      </c>
      <c r="F43191" s="2" t="str">
        <f>HYPERLINK("http://www.otzar.org/book.asp?1007","שערי רחמים - 2 כר'")</f>
        <v>שערי רחמים - 2 כר'</v>
      </c>
    </row>
    <row r="43192" spans="1:6" x14ac:dyDescent="0.2">
      <c r="A43192" t="s">
        <v>65317</v>
      </c>
      <c r="B43192" t="s">
        <v>48183</v>
      </c>
      <c r="C43192" t="s">
        <v>16450</v>
      </c>
      <c r="D43192" t="s">
        <v>49</v>
      </c>
      <c r="F43192" s="2" t="str">
        <f>HYPERLINK("http://www.otzar.org/book.asp?152753","שערי רחמים")</f>
        <v>שערי רחמים</v>
      </c>
    </row>
    <row r="43193" spans="1:6" x14ac:dyDescent="0.2">
      <c r="A43193" t="s">
        <v>65317</v>
      </c>
      <c r="B43193" t="s">
        <v>65323</v>
      </c>
      <c r="C43193" t="s">
        <v>594</v>
      </c>
      <c r="D43193" t="s">
        <v>56</v>
      </c>
      <c r="E43193" t="s">
        <v>714</v>
      </c>
      <c r="F43193" s="2" t="str">
        <f>HYPERLINK("http://www.otzar.org/book.asp?5735","שערי רחמים")</f>
        <v>שערי רחמים</v>
      </c>
    </row>
    <row r="43194" spans="1:6" x14ac:dyDescent="0.2">
      <c r="A43194" t="s">
        <v>65319</v>
      </c>
      <c r="B43194" t="s">
        <v>65017</v>
      </c>
      <c r="C43194" t="s">
        <v>2328</v>
      </c>
      <c r="D43194" t="s">
        <v>27</v>
      </c>
      <c r="E43194" t="s">
        <v>399</v>
      </c>
      <c r="F43194" s="2" t="str">
        <f>HYPERLINK("http://www.otzar.org/book.asp?105976","שערי רחמים - 2 כר'")</f>
        <v>שערי רחמים - 2 כר'</v>
      </c>
    </row>
    <row r="43195" spans="1:6" x14ac:dyDescent="0.2">
      <c r="A43195" t="s">
        <v>65317</v>
      </c>
      <c r="B43195" t="s">
        <v>7058</v>
      </c>
      <c r="C43195" t="s">
        <v>1160</v>
      </c>
      <c r="D43195" t="s">
        <v>14</v>
      </c>
      <c r="E43195" t="s">
        <v>219</v>
      </c>
      <c r="F43195" s="2" t="str">
        <f>HYPERLINK("http://www.otzar.org/book.asp?5335","שערי רחמים")</f>
        <v>שערי רחמים</v>
      </c>
    </row>
    <row r="43196" spans="1:6" x14ac:dyDescent="0.2">
      <c r="A43196" t="s">
        <v>65324</v>
      </c>
      <c r="B43196" t="s">
        <v>65325</v>
      </c>
      <c r="C43196" t="s">
        <v>3573</v>
      </c>
      <c r="D43196" t="s">
        <v>76</v>
      </c>
      <c r="E43196" t="s">
        <v>219</v>
      </c>
      <c r="F43196" s="2" t="str">
        <f>HYPERLINK("http://www.otzar.org/book.asp?63916","שערי רחמים - שערי רצון")</f>
        <v>שערי רחמים - שערי רצון</v>
      </c>
    </row>
    <row r="43197" spans="1:6" x14ac:dyDescent="0.2">
      <c r="A43197" t="s">
        <v>65326</v>
      </c>
      <c r="B43197" t="s">
        <v>33812</v>
      </c>
      <c r="C43197" t="s">
        <v>523</v>
      </c>
      <c r="D43197" t="s">
        <v>412</v>
      </c>
      <c r="E43197" t="s">
        <v>15</v>
      </c>
      <c r="F43197" s="2" t="str">
        <f>HYPERLINK("http://www.otzar.org/book.asp?160468","שערי ריבית")</f>
        <v>שערי ריבית</v>
      </c>
    </row>
    <row r="43198" spans="1:6" x14ac:dyDescent="0.2">
      <c r="A43198" t="s">
        <v>65326</v>
      </c>
      <c r="B43198" t="s">
        <v>24278</v>
      </c>
      <c r="C43198" t="s">
        <v>114</v>
      </c>
      <c r="D43198" t="s">
        <v>14</v>
      </c>
      <c r="F43198" s="2" t="str">
        <f>HYPERLINK("http://www.otzar.org/book.asp?183146","שערי ריבית")</f>
        <v>שערי ריבית</v>
      </c>
    </row>
    <row r="43199" spans="1:6" x14ac:dyDescent="0.2">
      <c r="A43199" t="s">
        <v>65327</v>
      </c>
      <c r="B43199" t="s">
        <v>1390</v>
      </c>
      <c r="C43199" t="s">
        <v>785</v>
      </c>
      <c r="D43199" t="s">
        <v>52</v>
      </c>
      <c r="E43199" t="s">
        <v>399</v>
      </c>
      <c r="F43199" s="2" t="str">
        <f>HYPERLINK("http://www.otzar.org/book.asp?22938","שערי רמח""ל")</f>
        <v>שערי רמח"ל</v>
      </c>
    </row>
    <row r="43200" spans="1:6" x14ac:dyDescent="0.2">
      <c r="A43200" t="s">
        <v>65328</v>
      </c>
      <c r="B43200" t="s">
        <v>14823</v>
      </c>
      <c r="C43200" t="s">
        <v>1535</v>
      </c>
      <c r="D43200" t="s">
        <v>9</v>
      </c>
      <c r="E43200" t="s">
        <v>241</v>
      </c>
      <c r="F43200" s="2" t="str">
        <f>HYPERLINK("http://www.otzar.org/book.asp?51830","שערי רצון - 2 כר'")</f>
        <v>שערי רצון - 2 כר'</v>
      </c>
    </row>
    <row r="43201" spans="1:6" x14ac:dyDescent="0.2">
      <c r="A43201" t="s">
        <v>65329</v>
      </c>
      <c r="B43201" t="s">
        <v>65325</v>
      </c>
      <c r="C43201" t="s">
        <v>3573</v>
      </c>
      <c r="D43201" t="s">
        <v>76</v>
      </c>
      <c r="F43201" s="2" t="str">
        <f>HYPERLINK("http://www.otzar.org/book.asp?619046","שערי רצון")</f>
        <v>שערי רצון</v>
      </c>
    </row>
    <row r="43202" spans="1:6" x14ac:dyDescent="0.2">
      <c r="A43202" t="s">
        <v>65330</v>
      </c>
      <c r="B43202" t="s">
        <v>65331</v>
      </c>
      <c r="C43202" t="s">
        <v>37</v>
      </c>
      <c r="D43202" t="s">
        <v>14</v>
      </c>
      <c r="F43202" s="2" t="str">
        <f>HYPERLINK("http://www.otzar.org/book.asp?612127","שערי שבועות &lt;פתח השער&gt;")</f>
        <v>שערי שבועות &lt;פתח השער&gt;</v>
      </c>
    </row>
    <row r="43203" spans="1:6" x14ac:dyDescent="0.2">
      <c r="A43203" t="s">
        <v>65332</v>
      </c>
      <c r="B43203" t="s">
        <v>65333</v>
      </c>
      <c r="C43203" t="s">
        <v>411</v>
      </c>
      <c r="D43203" t="s">
        <v>52</v>
      </c>
      <c r="F43203" s="2" t="str">
        <f>HYPERLINK("http://www.otzar.org/book.asp?620426","שערי שבועות &lt;פתחי שערים&gt;")</f>
        <v>שערי שבועות &lt;פתחי שערים&gt;</v>
      </c>
    </row>
    <row r="43204" spans="1:6" x14ac:dyDescent="0.2">
      <c r="A43204" t="s">
        <v>65334</v>
      </c>
      <c r="B43204" t="s">
        <v>65009</v>
      </c>
      <c r="C43204" t="s">
        <v>151</v>
      </c>
      <c r="D43204" t="s">
        <v>52</v>
      </c>
      <c r="F43204" s="2" t="str">
        <f>HYPERLINK("http://www.otzar.org/book.asp?613167","שערי שבת")</f>
        <v>שערי שבת</v>
      </c>
    </row>
    <row r="43205" spans="1:6" x14ac:dyDescent="0.2">
      <c r="A43205" t="s">
        <v>65334</v>
      </c>
      <c r="B43205" t="s">
        <v>62781</v>
      </c>
      <c r="C43205" t="s">
        <v>111</v>
      </c>
      <c r="D43205" t="s">
        <v>52</v>
      </c>
      <c r="E43205" t="s">
        <v>130</v>
      </c>
      <c r="F43205" s="2" t="str">
        <f>HYPERLINK("http://www.otzar.org/book.asp?624878","שערי שבת")</f>
        <v>שערי שבת</v>
      </c>
    </row>
    <row r="43206" spans="1:6" x14ac:dyDescent="0.2">
      <c r="A43206" t="s">
        <v>65335</v>
      </c>
      <c r="B43206" t="s">
        <v>13546</v>
      </c>
      <c r="C43206" t="s">
        <v>422</v>
      </c>
      <c r="D43206" t="s">
        <v>21</v>
      </c>
      <c r="E43206" t="s">
        <v>158</v>
      </c>
      <c r="F43206" s="2" t="str">
        <f>HYPERLINK("http://www.otzar.org/book.asp?196671","שערי שיש - יהושע")</f>
        <v>שערי שיש - יהושע</v>
      </c>
    </row>
    <row r="43207" spans="1:6" x14ac:dyDescent="0.2">
      <c r="A43207" t="s">
        <v>65336</v>
      </c>
      <c r="B43207" t="s">
        <v>18568</v>
      </c>
      <c r="C43207" t="s">
        <v>1470</v>
      </c>
      <c r="D43207" t="s">
        <v>65337</v>
      </c>
      <c r="E43207" t="s">
        <v>241</v>
      </c>
      <c r="F43207" s="2" t="str">
        <f>HYPERLINK("http://www.otzar.org/book.asp?161163","שערי שלום וברכה")</f>
        <v>שערי שלום וברכה</v>
      </c>
    </row>
    <row r="43208" spans="1:6" x14ac:dyDescent="0.2">
      <c r="A43208" t="s">
        <v>65338</v>
      </c>
      <c r="B43208" t="s">
        <v>65339</v>
      </c>
      <c r="C43208" t="s">
        <v>466</v>
      </c>
      <c r="D43208" t="s">
        <v>14</v>
      </c>
      <c r="E43208" t="s">
        <v>674</v>
      </c>
      <c r="F43208" s="2" t="str">
        <f>HYPERLINK("http://www.otzar.org/book.asp?52687","שערי שלום")</f>
        <v>שערי שלום</v>
      </c>
    </row>
    <row r="43209" spans="1:6" x14ac:dyDescent="0.2">
      <c r="A43209" t="s">
        <v>65338</v>
      </c>
      <c r="B43209" t="s">
        <v>11996</v>
      </c>
      <c r="C43209" t="s">
        <v>454</v>
      </c>
      <c r="D43209" t="s">
        <v>486</v>
      </c>
      <c r="E43209" t="s">
        <v>241</v>
      </c>
      <c r="F43209" s="2" t="str">
        <f>HYPERLINK("http://www.otzar.org/book.asp?155691","שערי שלום")</f>
        <v>שערי שלום</v>
      </c>
    </row>
    <row r="43210" spans="1:6" x14ac:dyDescent="0.2">
      <c r="A43210" t="s">
        <v>65340</v>
      </c>
      <c r="B43210" t="s">
        <v>65341</v>
      </c>
      <c r="C43210" t="s">
        <v>466</v>
      </c>
      <c r="D43210" t="s">
        <v>14</v>
      </c>
      <c r="E43210" t="s">
        <v>975</v>
      </c>
      <c r="F43210" s="2" t="str">
        <f>HYPERLINK("http://www.otzar.org/book.asp?85778","שערי שלום - 3 כר'")</f>
        <v>שערי שלום - 3 כר'</v>
      </c>
    </row>
    <row r="43211" spans="1:6" x14ac:dyDescent="0.2">
      <c r="A43211" t="s">
        <v>65338</v>
      </c>
      <c r="B43211" t="s">
        <v>65342</v>
      </c>
      <c r="C43211" t="s">
        <v>581</v>
      </c>
      <c r="D43211" t="s">
        <v>30</v>
      </c>
      <c r="E43211" t="s">
        <v>588</v>
      </c>
      <c r="F43211" s="2" t="str">
        <f>HYPERLINK("http://www.otzar.org/book.asp?20456","שערי שלום")</f>
        <v>שערי שלום</v>
      </c>
    </row>
    <row r="43212" spans="1:6" x14ac:dyDescent="0.2">
      <c r="A43212" t="s">
        <v>65338</v>
      </c>
      <c r="B43212" t="s">
        <v>65343</v>
      </c>
      <c r="C43212" t="s">
        <v>908</v>
      </c>
      <c r="D43212" t="s">
        <v>65344</v>
      </c>
      <c r="E43212" t="s">
        <v>219</v>
      </c>
      <c r="F43212" s="2" t="str">
        <f>HYPERLINK("http://www.otzar.org/book.asp?197733","שערי שלום")</f>
        <v>שערי שלום</v>
      </c>
    </row>
    <row r="43213" spans="1:6" x14ac:dyDescent="0.2">
      <c r="A43213" t="s">
        <v>65345</v>
      </c>
      <c r="B43213" t="s">
        <v>19710</v>
      </c>
      <c r="C43213" t="s">
        <v>68</v>
      </c>
      <c r="D43213" t="s">
        <v>147</v>
      </c>
      <c r="F43213" s="2" t="str">
        <f>HYPERLINK("http://www.otzar.org/book.asp?611118","שערי שלמה - 3 כר'")</f>
        <v>שערי שלמה - 3 כר'</v>
      </c>
    </row>
    <row r="43214" spans="1:6" x14ac:dyDescent="0.2">
      <c r="A43214" t="s">
        <v>65346</v>
      </c>
      <c r="B43214" t="s">
        <v>65347</v>
      </c>
      <c r="C43214" t="s">
        <v>189</v>
      </c>
      <c r="D43214" t="s">
        <v>90</v>
      </c>
      <c r="E43214" t="s">
        <v>3665</v>
      </c>
      <c r="F43214" s="2" t="str">
        <f>HYPERLINK("http://www.otzar.org/book.asp?50469","שערי שלמה")</f>
        <v>שערי שלמה</v>
      </c>
    </row>
    <row r="43215" spans="1:6" x14ac:dyDescent="0.2">
      <c r="A43215" t="s">
        <v>65345</v>
      </c>
      <c r="B43215" t="s">
        <v>53677</v>
      </c>
      <c r="C43215" t="s">
        <v>767</v>
      </c>
      <c r="D43215" t="s">
        <v>14</v>
      </c>
      <c r="E43215" t="s">
        <v>230</v>
      </c>
      <c r="F43215" s="2" t="str">
        <f>HYPERLINK("http://www.otzar.org/book.asp?173282","שערי שלמה - 3 כר'")</f>
        <v>שערי שלמה - 3 כר'</v>
      </c>
    </row>
    <row r="43216" spans="1:6" x14ac:dyDescent="0.2">
      <c r="A43216" t="s">
        <v>65348</v>
      </c>
      <c r="B43216" t="s">
        <v>14155</v>
      </c>
      <c r="C43216" t="s">
        <v>785</v>
      </c>
      <c r="D43216" t="s">
        <v>423</v>
      </c>
      <c r="E43216" t="s">
        <v>144</v>
      </c>
      <c r="F43216" s="2" t="str">
        <f>HYPERLINK("http://www.otzar.org/book.asp?60568","שערי שמואל")</f>
        <v>שערי שמואל</v>
      </c>
    </row>
    <row r="43217" spans="1:6" x14ac:dyDescent="0.2">
      <c r="A43217" t="s">
        <v>65349</v>
      </c>
      <c r="B43217" t="s">
        <v>65350</v>
      </c>
      <c r="C43217" t="s">
        <v>114</v>
      </c>
      <c r="D43217" t="s">
        <v>412</v>
      </c>
      <c r="E43217" t="s">
        <v>15</v>
      </c>
      <c r="F43217" s="2" t="str">
        <f>HYPERLINK("http://www.otzar.org/book.asp?177249","שערי שמות גיטין")</f>
        <v>שערי שמות גיטין</v>
      </c>
    </row>
    <row r="43218" spans="1:6" x14ac:dyDescent="0.2">
      <c r="A43218" t="s">
        <v>65351</v>
      </c>
      <c r="B43218" t="s">
        <v>16296</v>
      </c>
      <c r="C43218" t="s">
        <v>360</v>
      </c>
      <c r="D43218" t="s">
        <v>691</v>
      </c>
      <c r="E43218" t="s">
        <v>154</v>
      </c>
      <c r="F43218" s="2" t="str">
        <f>HYPERLINK("http://www.otzar.org/book.asp?101825","שערי שמחה מהדורא תנינא")</f>
        <v>שערי שמחה מהדורא תנינא</v>
      </c>
    </row>
    <row r="43219" spans="1:6" x14ac:dyDescent="0.2">
      <c r="A43219" t="s">
        <v>65352</v>
      </c>
      <c r="B43219" t="s">
        <v>19826</v>
      </c>
      <c r="C43219" t="s">
        <v>624</v>
      </c>
      <c r="D43219" t="s">
        <v>14</v>
      </c>
      <c r="E43219" t="s">
        <v>15</v>
      </c>
      <c r="F43219" s="2" t="str">
        <f>HYPERLINK("http://www.otzar.org/book.asp?26060","שערי שמחה - 4 כר'")</f>
        <v>שערי שמחה - 4 כר'</v>
      </c>
    </row>
    <row r="43220" spans="1:6" x14ac:dyDescent="0.2">
      <c r="A43220" t="s">
        <v>65353</v>
      </c>
      <c r="B43220" t="s">
        <v>65354</v>
      </c>
      <c r="C43220" t="s">
        <v>1160</v>
      </c>
      <c r="D43220" t="s">
        <v>412</v>
      </c>
      <c r="E43220" t="s">
        <v>384</v>
      </c>
      <c r="F43220" s="2" t="str">
        <f>HYPERLINK("http://www.otzar.org/book.asp?15554","שערי שמחה - מאמרים ומחקרים תורניים וספרותיים")</f>
        <v>שערי שמחה - מאמרים ומחקרים תורניים וספרותיים</v>
      </c>
    </row>
    <row r="43221" spans="1:6" x14ac:dyDescent="0.2">
      <c r="A43221" t="s">
        <v>65355</v>
      </c>
      <c r="B43221" t="s">
        <v>3842</v>
      </c>
      <c r="C43221" t="s">
        <v>1448</v>
      </c>
      <c r="D43221" t="s">
        <v>21</v>
      </c>
      <c r="E43221" t="s">
        <v>241</v>
      </c>
      <c r="F43221" s="2" t="str">
        <f>HYPERLINK("http://www.otzar.org/book.asp?195525","שערי שמחה")</f>
        <v>שערי שמחה</v>
      </c>
    </row>
    <row r="43222" spans="1:6" x14ac:dyDescent="0.2">
      <c r="A43222" t="s">
        <v>65355</v>
      </c>
      <c r="B43222" t="s">
        <v>25815</v>
      </c>
      <c r="C43222" t="s">
        <v>129</v>
      </c>
      <c r="D43222" t="s">
        <v>412</v>
      </c>
      <c r="E43222" t="s">
        <v>1262</v>
      </c>
      <c r="F43222" s="2" t="str">
        <f>HYPERLINK("http://www.otzar.org/book.asp?84497","שערי שמחה")</f>
        <v>שערי שמחה</v>
      </c>
    </row>
    <row r="43223" spans="1:6" x14ac:dyDescent="0.2">
      <c r="A43223" t="s">
        <v>65355</v>
      </c>
      <c r="B43223" t="s">
        <v>9734</v>
      </c>
      <c r="C43223" t="s">
        <v>37</v>
      </c>
      <c r="D43223" t="s">
        <v>52</v>
      </c>
      <c r="F43223" s="2" t="str">
        <f>HYPERLINK("http://www.otzar.org/book.asp?617915","שערי שמחה")</f>
        <v>שערי שמחה</v>
      </c>
    </row>
    <row r="43224" spans="1:6" x14ac:dyDescent="0.2">
      <c r="A43224" t="s">
        <v>65355</v>
      </c>
      <c r="B43224" t="s">
        <v>65356</v>
      </c>
      <c r="C43224" t="s">
        <v>146</v>
      </c>
      <c r="D43224" t="s">
        <v>423</v>
      </c>
      <c r="E43224" t="s">
        <v>1174</v>
      </c>
      <c r="F43224" s="2" t="str">
        <f>HYPERLINK("http://www.otzar.org/book.asp?191009","שערי שמחה")</f>
        <v>שערי שמחה</v>
      </c>
    </row>
    <row r="43225" spans="1:6" x14ac:dyDescent="0.2">
      <c r="A43225" t="s">
        <v>65357</v>
      </c>
      <c r="B43225" t="s">
        <v>2372</v>
      </c>
      <c r="C43225" t="s">
        <v>1202</v>
      </c>
      <c r="D43225" t="s">
        <v>535</v>
      </c>
      <c r="E43225" t="s">
        <v>957</v>
      </c>
      <c r="F43225" s="2" t="str">
        <f>HYPERLINK("http://www.otzar.org/book.asp?473","שערי שמחה - 3 כר'")</f>
        <v>שערי שמחה - 3 כר'</v>
      </c>
    </row>
    <row r="43226" spans="1:6" x14ac:dyDescent="0.2">
      <c r="A43226" t="s">
        <v>65355</v>
      </c>
      <c r="B43226" t="s">
        <v>16296</v>
      </c>
      <c r="C43226" t="s">
        <v>1335</v>
      </c>
      <c r="D43226" t="s">
        <v>283</v>
      </c>
      <c r="E43226" t="s">
        <v>730</v>
      </c>
      <c r="F43226" s="2" t="str">
        <f>HYPERLINK("http://www.otzar.org/book.asp?101823","שערי שמחה")</f>
        <v>שערי שמחה</v>
      </c>
    </row>
    <row r="43227" spans="1:6" x14ac:dyDescent="0.2">
      <c r="A43227" t="s">
        <v>65358</v>
      </c>
      <c r="B43227" t="s">
        <v>65359</v>
      </c>
      <c r="C43227" t="s">
        <v>23</v>
      </c>
      <c r="D43227" t="s">
        <v>21</v>
      </c>
      <c r="E43227" t="s">
        <v>144</v>
      </c>
      <c r="F43227" s="2" t="str">
        <f>HYPERLINK("http://www.otzar.org/book.asp?191606","שערי שמחה - בבא בתרא")</f>
        <v>שערי שמחה - בבא בתרא</v>
      </c>
    </row>
    <row r="43228" spans="1:6" x14ac:dyDescent="0.2">
      <c r="A43228" t="s">
        <v>65360</v>
      </c>
      <c r="B43228" t="s">
        <v>1549</v>
      </c>
      <c r="C43228" t="s">
        <v>37</v>
      </c>
      <c r="D43228" t="s">
        <v>1550</v>
      </c>
      <c r="E43228" t="s">
        <v>15</v>
      </c>
      <c r="F43228" s="2" t="str">
        <f>HYPERLINK("http://www.otzar.org/book.asp?189213","שערי שמיטה")</f>
        <v>שערי שמיטה</v>
      </c>
    </row>
    <row r="43229" spans="1:6" x14ac:dyDescent="0.2">
      <c r="A43229" t="s">
        <v>65361</v>
      </c>
      <c r="B43229" t="s">
        <v>65362</v>
      </c>
      <c r="C43229" t="s">
        <v>7193</v>
      </c>
      <c r="D43229" t="s">
        <v>744</v>
      </c>
      <c r="E43229" t="s">
        <v>234</v>
      </c>
      <c r="F43229" s="2" t="str">
        <f>HYPERLINK("http://www.otzar.org/book.asp?20454","שערי שמים")</f>
        <v>שערי שמים</v>
      </c>
    </row>
    <row r="43230" spans="1:6" x14ac:dyDescent="0.2">
      <c r="A43230" t="s">
        <v>65363</v>
      </c>
      <c r="B43230" t="s">
        <v>14823</v>
      </c>
      <c r="C43230" t="s">
        <v>576</v>
      </c>
      <c r="D43230" t="s">
        <v>9</v>
      </c>
      <c r="E43230" t="s">
        <v>154</v>
      </c>
      <c r="F43230" s="2" t="str">
        <f>HYPERLINK("http://www.otzar.org/book.asp?20455","שערי שמים - 5 כר'")</f>
        <v>שערי שמים - 5 כר'</v>
      </c>
    </row>
    <row r="43231" spans="1:6" x14ac:dyDescent="0.2">
      <c r="A43231" t="s">
        <v>65364</v>
      </c>
      <c r="B43231" t="s">
        <v>65365</v>
      </c>
      <c r="C43231" t="s">
        <v>1208</v>
      </c>
      <c r="D43231" t="s">
        <v>134</v>
      </c>
      <c r="E43231" t="s">
        <v>15</v>
      </c>
      <c r="F43231" s="2" t="str">
        <f>HYPERLINK("http://www.otzar.org/book.asp?181087","שערי שמיעה")</f>
        <v>שערי שמיעה</v>
      </c>
    </row>
    <row r="43232" spans="1:6" x14ac:dyDescent="0.2">
      <c r="A43232" t="s">
        <v>65366</v>
      </c>
      <c r="B43232" t="s">
        <v>1750</v>
      </c>
      <c r="C43232" t="s">
        <v>189</v>
      </c>
      <c r="D43232" t="s">
        <v>52</v>
      </c>
      <c r="E43232" t="s">
        <v>186</v>
      </c>
      <c r="F43232" s="2" t="str">
        <f>HYPERLINK("http://www.otzar.org/book.asp?52268","שערי שמעון - 4 כר'")</f>
        <v>שערי שמעון - 4 כר'</v>
      </c>
    </row>
    <row r="43233" spans="1:6" x14ac:dyDescent="0.2">
      <c r="A43233" t="s">
        <v>65367</v>
      </c>
      <c r="B43233" t="s">
        <v>65368</v>
      </c>
      <c r="C43233" t="s">
        <v>114</v>
      </c>
      <c r="D43233" t="s">
        <v>14</v>
      </c>
      <c r="E43233" t="s">
        <v>104</v>
      </c>
      <c r="F43233" s="2" t="str">
        <f>HYPERLINK("http://www.otzar.org/book.asp?167948","שערי שמעתתא - 2 כר'")</f>
        <v>שערי שמעתתא - 2 כר'</v>
      </c>
    </row>
    <row r="43234" spans="1:6" x14ac:dyDescent="0.2">
      <c r="A43234" t="s">
        <v>65369</v>
      </c>
      <c r="B43234" t="s">
        <v>5355</v>
      </c>
      <c r="C43234" t="s">
        <v>946</v>
      </c>
      <c r="D43234" t="s">
        <v>18723</v>
      </c>
      <c r="E43234" t="s">
        <v>803</v>
      </c>
      <c r="F43234" s="2" t="str">
        <f>HYPERLINK("http://www.otzar.org/book.asp?156491","שערי תבונה")</f>
        <v>שערי תבונה</v>
      </c>
    </row>
    <row r="43235" spans="1:6" x14ac:dyDescent="0.2">
      <c r="A43235" t="s">
        <v>65370</v>
      </c>
      <c r="B43235" t="s">
        <v>52907</v>
      </c>
      <c r="C43235" t="s">
        <v>65371</v>
      </c>
      <c r="D43235" t="s">
        <v>56</v>
      </c>
      <c r="E43235" t="s">
        <v>22155</v>
      </c>
      <c r="F43235" s="2" t="str">
        <f>HYPERLINK("http://www.otzar.org/book.asp?20453","שערי תודה - 2 כר'")</f>
        <v>שערי תודה - 2 כר'</v>
      </c>
    </row>
    <row r="43236" spans="1:6" x14ac:dyDescent="0.2">
      <c r="A43236" t="s">
        <v>65372</v>
      </c>
      <c r="B43236" t="s">
        <v>1750</v>
      </c>
      <c r="C43236" t="s">
        <v>15343</v>
      </c>
      <c r="D43236" t="s">
        <v>80</v>
      </c>
      <c r="E43236" t="s">
        <v>202</v>
      </c>
      <c r="F43236" s="2" t="str">
        <f>HYPERLINK("http://www.otzar.org/book.asp?19252","שערי תורה &lt;בני ברק&gt; - 6 כר'")</f>
        <v>שערי תורה &lt;בני ברק&gt; - 6 כר'</v>
      </c>
    </row>
    <row r="43237" spans="1:6" x14ac:dyDescent="0.2">
      <c r="A43237" t="s">
        <v>65373</v>
      </c>
      <c r="B43237" t="s">
        <v>1750</v>
      </c>
      <c r="C43237" t="s">
        <v>45437</v>
      </c>
      <c r="D43237" t="s">
        <v>307</v>
      </c>
      <c r="E43237" t="s">
        <v>202</v>
      </c>
      <c r="F43237" s="2" t="str">
        <f>HYPERLINK("http://www.otzar.org/book.asp?14369","שערי תורה &lt;ורשא&gt; - 9 כר'")</f>
        <v>שערי תורה &lt;ורשא&gt; - 9 כר'</v>
      </c>
    </row>
    <row r="43238" spans="1:6" x14ac:dyDescent="0.2">
      <c r="A43238" t="s">
        <v>65374</v>
      </c>
      <c r="B43238" t="s">
        <v>65375</v>
      </c>
      <c r="C43238" t="s">
        <v>2644</v>
      </c>
      <c r="D43238" t="s">
        <v>4934</v>
      </c>
      <c r="E43238" t="s">
        <v>7138</v>
      </c>
      <c r="F43238" s="2" t="str">
        <f>HYPERLINK("http://www.otzar.org/book.asp?300025","שערי תורה &lt;קראקא&gt;")</f>
        <v>שערי תורה &lt;קראקא&gt;</v>
      </c>
    </row>
    <row r="43239" spans="1:6" x14ac:dyDescent="0.2">
      <c r="A43239" t="s">
        <v>65376</v>
      </c>
      <c r="B43239" t="s">
        <v>65377</v>
      </c>
      <c r="C43239" t="s">
        <v>189</v>
      </c>
      <c r="D43239" t="s">
        <v>14</v>
      </c>
      <c r="E43239" t="s">
        <v>154</v>
      </c>
      <c r="F43239" s="2" t="str">
        <f>HYPERLINK("http://www.otzar.org/book.asp?144080","שערי תורה החדשות")</f>
        <v>שערי תורה החדשות</v>
      </c>
    </row>
    <row r="43240" spans="1:6" x14ac:dyDescent="0.2">
      <c r="A43240" t="s">
        <v>65375</v>
      </c>
      <c r="B43240" t="s">
        <v>65378</v>
      </c>
      <c r="C43240" t="s">
        <v>156</v>
      </c>
      <c r="D43240" t="s">
        <v>27</v>
      </c>
      <c r="E43240" t="s">
        <v>241</v>
      </c>
      <c r="F43240" s="2" t="str">
        <f>HYPERLINK("http://www.otzar.org/book.asp?171293","שערי תורה")</f>
        <v>שערי תורה</v>
      </c>
    </row>
    <row r="43241" spans="1:6" x14ac:dyDescent="0.2">
      <c r="A43241" t="s">
        <v>65375</v>
      </c>
      <c r="B43241" t="s">
        <v>11375</v>
      </c>
      <c r="C43241" t="s">
        <v>65379</v>
      </c>
      <c r="D43241" t="s">
        <v>65380</v>
      </c>
      <c r="F43241" s="2" t="str">
        <f>HYPERLINK("http://www.otzar.org/book.asp?617056","שערי תורה")</f>
        <v>שערי תורה</v>
      </c>
    </row>
    <row r="43242" spans="1:6" x14ac:dyDescent="0.2">
      <c r="A43242" t="s">
        <v>65381</v>
      </c>
      <c r="B43242" t="s">
        <v>22856</v>
      </c>
      <c r="C43242" t="s">
        <v>767</v>
      </c>
      <c r="D43242" t="s">
        <v>14</v>
      </c>
      <c r="E43242" t="s">
        <v>144</v>
      </c>
      <c r="F43242" s="2" t="str">
        <f>HYPERLINK("http://www.otzar.org/book.asp?154601","שערי תורה - 3 כר'")</f>
        <v>שערי תורה - 3 כר'</v>
      </c>
    </row>
    <row r="43243" spans="1:6" x14ac:dyDescent="0.2">
      <c r="A43243" t="s">
        <v>65375</v>
      </c>
      <c r="B43243" t="s">
        <v>65382</v>
      </c>
      <c r="C43243" t="s">
        <v>46</v>
      </c>
      <c r="D43243" t="s">
        <v>27</v>
      </c>
      <c r="E43243" t="s">
        <v>202</v>
      </c>
      <c r="F43243" s="2" t="str">
        <f>HYPERLINK("http://www.otzar.org/book.asp?106090","שערי תורה")</f>
        <v>שערי תורה</v>
      </c>
    </row>
    <row r="43244" spans="1:6" x14ac:dyDescent="0.2">
      <c r="A43244" t="s">
        <v>65383</v>
      </c>
      <c r="B43244" t="s">
        <v>65377</v>
      </c>
      <c r="C43244" t="s">
        <v>65384</v>
      </c>
      <c r="D43244" t="s">
        <v>535</v>
      </c>
      <c r="E43244" t="s">
        <v>144</v>
      </c>
      <c r="F43244" s="2" t="str">
        <f>HYPERLINK("http://www.otzar.org/book.asp?101839","שערי תורה - 6 כר'")</f>
        <v>שערי תורה - 6 כר'</v>
      </c>
    </row>
    <row r="43245" spans="1:6" x14ac:dyDescent="0.2">
      <c r="A43245" t="s">
        <v>65375</v>
      </c>
      <c r="B43245" t="s">
        <v>58103</v>
      </c>
      <c r="C43245" t="s">
        <v>71</v>
      </c>
      <c r="D43245" t="s">
        <v>14</v>
      </c>
      <c r="E43245" t="s">
        <v>241</v>
      </c>
      <c r="F43245" s="2" t="str">
        <f>HYPERLINK("http://www.otzar.org/book.asp?168779","שערי תורה")</f>
        <v>שערי תורה</v>
      </c>
    </row>
    <row r="43246" spans="1:6" x14ac:dyDescent="0.2">
      <c r="A43246" t="s">
        <v>65375</v>
      </c>
      <c r="B43246" t="s">
        <v>9322</v>
      </c>
      <c r="C43246" t="s">
        <v>1166</v>
      </c>
      <c r="D43246" t="s">
        <v>1889</v>
      </c>
      <c r="E43246" t="s">
        <v>65385</v>
      </c>
      <c r="F43246" s="2" t="str">
        <f>HYPERLINK("http://www.otzar.org/book.asp?104886","שערי תורה")</f>
        <v>שערי תורה</v>
      </c>
    </row>
    <row r="43247" spans="1:6" x14ac:dyDescent="0.2">
      <c r="A43247" t="s">
        <v>65381</v>
      </c>
      <c r="B43247" t="s">
        <v>34594</v>
      </c>
      <c r="C43247" t="s">
        <v>20</v>
      </c>
      <c r="D43247" t="s">
        <v>52</v>
      </c>
      <c r="E43247" t="s">
        <v>158</v>
      </c>
      <c r="F43247" s="2" t="str">
        <f>HYPERLINK("http://www.otzar.org/book.asp?602984","שערי תורה - 3 כר'")</f>
        <v>שערי תורה - 3 כר'</v>
      </c>
    </row>
    <row r="43248" spans="1:6" x14ac:dyDescent="0.2">
      <c r="A43248" t="s">
        <v>65386</v>
      </c>
      <c r="B43248" t="s">
        <v>65387</v>
      </c>
      <c r="C43248" t="s">
        <v>65388</v>
      </c>
      <c r="D43248" t="s">
        <v>52</v>
      </c>
      <c r="E43248" t="s">
        <v>186</v>
      </c>
      <c r="F43248" s="2" t="str">
        <f>HYPERLINK("http://www.otzar.org/book.asp?145079","שערי תורה - ב""מ, שבועות, מכות")</f>
        <v>שערי תורה - ב"מ, שבועות, מכות</v>
      </c>
    </row>
    <row r="43249" spans="1:6" x14ac:dyDescent="0.2">
      <c r="A43249" t="s">
        <v>65389</v>
      </c>
      <c r="B43249" t="s">
        <v>1750</v>
      </c>
      <c r="C43249" t="s">
        <v>59162</v>
      </c>
      <c r="D43249" t="s">
        <v>1117</v>
      </c>
      <c r="E43249" t="s">
        <v>39988</v>
      </c>
      <c r="F43249" s="2" t="str">
        <f>HYPERLINK("http://www.otzar.org/book.asp?52418","שערי תורה - תרפ""ה - תרפ""ט")</f>
        <v>שערי תורה - תרפ"ה - תרפ"ט</v>
      </c>
    </row>
    <row r="43250" spans="1:6" x14ac:dyDescent="0.2">
      <c r="A43250" t="s">
        <v>65390</v>
      </c>
      <c r="B43250" t="s">
        <v>65391</v>
      </c>
      <c r="C43250" t="s">
        <v>1470</v>
      </c>
      <c r="D43250" t="s">
        <v>14</v>
      </c>
      <c r="E43250" t="s">
        <v>1097</v>
      </c>
      <c r="F43250" s="2" t="str">
        <f>HYPERLINK("http://www.otzar.org/book.asp?83793","שערי תורת ארץ ישראל")</f>
        <v>שערי תורת ארץ ישראל</v>
      </c>
    </row>
    <row r="43251" spans="1:6" x14ac:dyDescent="0.2">
      <c r="A43251" t="s">
        <v>65392</v>
      </c>
      <c r="B43251" t="s">
        <v>65391</v>
      </c>
      <c r="C43251" t="s">
        <v>390</v>
      </c>
      <c r="D43251" t="s">
        <v>14</v>
      </c>
      <c r="E43251" t="s">
        <v>18691</v>
      </c>
      <c r="F43251" s="2" t="str">
        <f>HYPERLINK("http://www.otzar.org/book.asp?62596","שערי תורת בבל")</f>
        <v>שערי תורת בבל</v>
      </c>
    </row>
    <row r="43252" spans="1:6" x14ac:dyDescent="0.2">
      <c r="A43252" t="s">
        <v>65393</v>
      </c>
      <c r="B43252" t="s">
        <v>1549</v>
      </c>
      <c r="C43252" t="s">
        <v>103</v>
      </c>
      <c r="D43252" t="s">
        <v>1550</v>
      </c>
      <c r="E43252" t="s">
        <v>15</v>
      </c>
      <c r="F43252" s="2" t="str">
        <f>HYPERLINK("http://www.otzar.org/book.asp?28061","שערי תורת הבית - 2 כר'")</f>
        <v>שערי תורת הבית - 2 כר'</v>
      </c>
    </row>
    <row r="43253" spans="1:6" x14ac:dyDescent="0.2">
      <c r="A43253" t="s">
        <v>65394</v>
      </c>
      <c r="B43253" t="s">
        <v>65065</v>
      </c>
      <c r="C43253" t="s">
        <v>65395</v>
      </c>
      <c r="D43253" t="s">
        <v>535</v>
      </c>
      <c r="E43253" t="s">
        <v>15</v>
      </c>
      <c r="F43253" s="2" t="str">
        <f>HYPERLINK("http://www.otzar.org/book.asp?16655","שערי תורת התקנות - 6 כר'")</f>
        <v>שערי תורת התקנות - 6 כר'</v>
      </c>
    </row>
    <row r="43254" spans="1:6" x14ac:dyDescent="0.2">
      <c r="A43254" t="s">
        <v>65396</v>
      </c>
      <c r="B43254" t="s">
        <v>4547</v>
      </c>
      <c r="C43254" t="s">
        <v>51</v>
      </c>
      <c r="D43254" t="s">
        <v>14</v>
      </c>
      <c r="E43254" t="s">
        <v>104</v>
      </c>
      <c r="F43254" s="2" t="str">
        <f>HYPERLINK("http://www.otzar.org/book.asp?191045","שערי תירוצין")</f>
        <v>שערי תירוצין</v>
      </c>
    </row>
    <row r="43255" spans="1:6" x14ac:dyDescent="0.2">
      <c r="A43255" t="s">
        <v>65397</v>
      </c>
      <c r="B43255" t="s">
        <v>11896</v>
      </c>
      <c r="C43255" t="s">
        <v>129</v>
      </c>
      <c r="D43255" t="s">
        <v>152</v>
      </c>
      <c r="E43255" t="s">
        <v>803</v>
      </c>
      <c r="F43255" s="2" t="str">
        <f>HYPERLINK("http://www.otzar.org/book.asp?52848","שערי תערובת")</f>
        <v>שערי תערובת</v>
      </c>
    </row>
    <row r="43256" spans="1:6" x14ac:dyDescent="0.2">
      <c r="A43256" t="s">
        <v>65398</v>
      </c>
      <c r="B43256" t="s">
        <v>40968</v>
      </c>
      <c r="C43256" t="s">
        <v>244</v>
      </c>
      <c r="D43256" t="s">
        <v>14</v>
      </c>
      <c r="E43256" t="s">
        <v>241</v>
      </c>
      <c r="F43256" s="2" t="str">
        <f>HYPERLINK("http://www.otzar.org/book.asp?605638","שערי תפילה")</f>
        <v>שערי תפילה</v>
      </c>
    </row>
    <row r="43257" spans="1:6" x14ac:dyDescent="0.2">
      <c r="A43257" t="s">
        <v>65398</v>
      </c>
      <c r="B43257" t="s">
        <v>65399</v>
      </c>
      <c r="C43257" t="s">
        <v>777</v>
      </c>
      <c r="D43257" t="s">
        <v>1889</v>
      </c>
      <c r="E43257" t="s">
        <v>15</v>
      </c>
      <c r="F43257" s="2" t="str">
        <f>HYPERLINK("http://www.otzar.org/book.asp?300521","שערי תפילה")</f>
        <v>שערי תפילה</v>
      </c>
    </row>
    <row r="43258" spans="1:6" x14ac:dyDescent="0.2">
      <c r="A43258" t="s">
        <v>65400</v>
      </c>
      <c r="B43258" t="s">
        <v>16462</v>
      </c>
      <c r="C43258" t="s">
        <v>68</v>
      </c>
      <c r="D43258" t="s">
        <v>52</v>
      </c>
      <c r="E43258" t="s">
        <v>2135</v>
      </c>
      <c r="F43258" s="2" t="str">
        <f>HYPERLINK("http://www.otzar.org/book.asp?199883","שערי תפילה, חובת התפילה")</f>
        <v>שערי תפילה, חובת התפילה</v>
      </c>
    </row>
    <row r="43259" spans="1:6" x14ac:dyDescent="0.2">
      <c r="A43259" t="s">
        <v>65401</v>
      </c>
      <c r="B43259" t="s">
        <v>35938</v>
      </c>
      <c r="C43259" t="s">
        <v>777</v>
      </c>
      <c r="D43259" t="s">
        <v>1889</v>
      </c>
      <c r="E43259" t="s">
        <v>439</v>
      </c>
      <c r="F43259" s="2" t="str">
        <f>HYPERLINK("http://www.otzar.org/book.asp?19290","שערי תפלה &lt;פרוכת המסך&gt;")</f>
        <v>שערי תפלה &lt;פרוכת המסך&gt;</v>
      </c>
    </row>
    <row r="43260" spans="1:6" x14ac:dyDescent="0.2">
      <c r="A43260" t="s">
        <v>65402</v>
      </c>
      <c r="B43260" t="s">
        <v>40968</v>
      </c>
      <c r="C43260" t="s">
        <v>454</v>
      </c>
      <c r="D43260" t="s">
        <v>14</v>
      </c>
      <c r="E43260" t="s">
        <v>15</v>
      </c>
      <c r="F43260" s="2" t="str">
        <f>HYPERLINK("http://www.otzar.org/book.asp?149477","שערי תפלה")</f>
        <v>שערי תפלה</v>
      </c>
    </row>
    <row r="43261" spans="1:6" x14ac:dyDescent="0.2">
      <c r="A43261" t="s">
        <v>65403</v>
      </c>
      <c r="B43261" t="s">
        <v>11375</v>
      </c>
      <c r="C43261" t="s">
        <v>7158</v>
      </c>
      <c r="D43261" t="s">
        <v>2461</v>
      </c>
      <c r="E43261" t="s">
        <v>1626</v>
      </c>
      <c r="F43261" s="2" t="str">
        <f>HYPERLINK("http://www.otzar.org/book.asp?13091","שערי תפלה - 2 כר'")</f>
        <v>שערי תפלה - 2 כר'</v>
      </c>
    </row>
    <row r="43262" spans="1:6" x14ac:dyDescent="0.2">
      <c r="A43262" t="s">
        <v>65402</v>
      </c>
      <c r="B43262" t="s">
        <v>27949</v>
      </c>
      <c r="C43262" t="s">
        <v>248</v>
      </c>
      <c r="D43262" t="s">
        <v>1279</v>
      </c>
      <c r="E43262" t="s">
        <v>219</v>
      </c>
      <c r="F43262" s="2" t="str">
        <f>HYPERLINK("http://www.otzar.org/book.asp?172719","שערי תפלה")</f>
        <v>שערי תפלה</v>
      </c>
    </row>
    <row r="43263" spans="1:6" x14ac:dyDescent="0.2">
      <c r="A43263" t="s">
        <v>65402</v>
      </c>
      <c r="B43263" t="s">
        <v>4581</v>
      </c>
      <c r="C43263" t="s">
        <v>600</v>
      </c>
      <c r="D43263" t="s">
        <v>212</v>
      </c>
      <c r="E43263" t="s">
        <v>15</v>
      </c>
      <c r="F43263" s="2" t="str">
        <f>HYPERLINK("http://www.otzar.org/book.asp?913","שערי תפלה")</f>
        <v>שערי תפלה</v>
      </c>
    </row>
    <row r="43264" spans="1:6" x14ac:dyDescent="0.2">
      <c r="A43264" t="s">
        <v>65404</v>
      </c>
      <c r="B43264" t="s">
        <v>65405</v>
      </c>
      <c r="C43264" t="s">
        <v>189</v>
      </c>
      <c r="D43264" t="s">
        <v>520</v>
      </c>
      <c r="E43264" t="s">
        <v>345</v>
      </c>
      <c r="F43264" s="2" t="str">
        <f>HYPERLINK("http://www.otzar.org/book.asp?156490","שערי תרומות ומעשרות")</f>
        <v>שערי תרומות ומעשרות</v>
      </c>
    </row>
    <row r="43265" spans="1:6" x14ac:dyDescent="0.2">
      <c r="A43265" t="s">
        <v>65406</v>
      </c>
      <c r="B43265" t="s">
        <v>239</v>
      </c>
      <c r="C43265" t="s">
        <v>20</v>
      </c>
      <c r="D43265" t="s">
        <v>240</v>
      </c>
      <c r="F43265" s="2" t="str">
        <f>HYPERLINK("http://www.otzar.org/book.asp?604600","שערי תשובה &lt;המבואר&gt;")</f>
        <v>שערי תשובה &lt;המבואר&gt;</v>
      </c>
    </row>
    <row r="43266" spans="1:6" x14ac:dyDescent="0.2">
      <c r="A43266" t="s">
        <v>65407</v>
      </c>
      <c r="B43266" t="s">
        <v>65408</v>
      </c>
      <c r="C43266" t="s">
        <v>68</v>
      </c>
      <c r="D43266" t="s">
        <v>14</v>
      </c>
      <c r="E43266" t="s">
        <v>241</v>
      </c>
      <c r="F43266" s="2" t="str">
        <f>HYPERLINK("http://www.otzar.org/book.asp?603235","שערי תשובה &lt;בינת השער&gt; - 2 כר'")</f>
        <v>שערי תשובה &lt;בינת השער&gt; - 2 כר'</v>
      </c>
    </row>
    <row r="43267" spans="1:6" x14ac:dyDescent="0.2">
      <c r="A43267" t="s">
        <v>65409</v>
      </c>
      <c r="B43267" t="s">
        <v>65410</v>
      </c>
      <c r="C43267" t="s">
        <v>37</v>
      </c>
      <c r="D43267" t="s">
        <v>14</v>
      </c>
      <c r="E43267" t="s">
        <v>241</v>
      </c>
      <c r="F43267" s="2" t="str">
        <f>HYPERLINK("http://www.otzar.org/book.asp?605623","שערי תשובה &lt;פי כהן&gt;")</f>
        <v>שערי תשובה &lt;פי כהן&gt;</v>
      </c>
    </row>
    <row r="43268" spans="1:6" x14ac:dyDescent="0.2">
      <c r="A43268" t="s">
        <v>65411</v>
      </c>
      <c r="B43268" t="s">
        <v>65412</v>
      </c>
      <c r="C43268" t="s">
        <v>313</v>
      </c>
      <c r="D43268" t="s">
        <v>14</v>
      </c>
      <c r="F43268" s="2" t="str">
        <f>HYPERLINK("http://www.otzar.org/book.asp?161517","שערי תשובה &lt;פירוש וביאור מרי""ד&gt;")</f>
        <v>שערי תשובה &lt;פירוש וביאור מרי"ד&gt;</v>
      </c>
    </row>
    <row r="43269" spans="1:6" x14ac:dyDescent="0.2">
      <c r="A43269" t="s">
        <v>65413</v>
      </c>
      <c r="B43269" t="s">
        <v>65414</v>
      </c>
      <c r="C43269" t="s">
        <v>68</v>
      </c>
      <c r="D43269" t="s">
        <v>152</v>
      </c>
      <c r="E43269" t="s">
        <v>241</v>
      </c>
      <c r="F43269" s="2" t="str">
        <f>HYPERLINK("http://www.otzar.org/book.asp?157992","שערי תשובה &lt;דלתי תשובה&gt;")</f>
        <v>שערי תשובה &lt;דלתי תשובה&gt;</v>
      </c>
    </row>
    <row r="43270" spans="1:6" x14ac:dyDescent="0.2">
      <c r="A43270" t="s">
        <v>65415</v>
      </c>
      <c r="B43270" t="s">
        <v>65416</v>
      </c>
      <c r="C43270" t="s">
        <v>454</v>
      </c>
      <c r="D43270" t="s">
        <v>657</v>
      </c>
      <c r="E43270" t="s">
        <v>241</v>
      </c>
      <c r="F43270" s="2" t="str">
        <f>HYPERLINK("http://www.otzar.org/book.asp?26859","שערי תשובה &lt;עם ביאור דלתי תשובה&gt;")</f>
        <v>שערי תשובה &lt;עם ביאור דלתי תשובה&gt;</v>
      </c>
    </row>
    <row r="43271" spans="1:6" x14ac:dyDescent="0.2">
      <c r="A43271" t="s">
        <v>65417</v>
      </c>
      <c r="B43271" t="s">
        <v>29619</v>
      </c>
      <c r="C43271" t="s">
        <v>422</v>
      </c>
      <c r="D43271" t="s">
        <v>16390</v>
      </c>
      <c r="E43271" t="s">
        <v>241</v>
      </c>
      <c r="F43271" s="2" t="str">
        <f>HYPERLINK("http://www.otzar.org/book.asp?180703","שערי תשובה &lt;משיבת נפש&gt;")</f>
        <v>שערי תשובה &lt;משיבת נפש&gt;</v>
      </c>
    </row>
    <row r="43272" spans="1:6" x14ac:dyDescent="0.2">
      <c r="A43272" t="s">
        <v>65418</v>
      </c>
      <c r="B43272" t="s">
        <v>65419</v>
      </c>
      <c r="C43272" t="s">
        <v>23</v>
      </c>
      <c r="D43272" t="s">
        <v>52</v>
      </c>
      <c r="E43272" t="s">
        <v>241</v>
      </c>
      <c r="F43272" s="2" t="str">
        <f>HYPERLINK("http://www.otzar.org/book.asp?630188","שערי תשובה &lt;פתחי תשובה&gt;")</f>
        <v>שערי תשובה &lt;פתחי תשובה&gt;</v>
      </c>
    </row>
    <row r="43273" spans="1:6" x14ac:dyDescent="0.2">
      <c r="A43273" t="s">
        <v>65420</v>
      </c>
      <c r="B43273" t="s">
        <v>65421</v>
      </c>
      <c r="C43273" t="s">
        <v>68</v>
      </c>
      <c r="D43273" t="s">
        <v>14</v>
      </c>
      <c r="F43273" s="2" t="str">
        <f>HYPERLINK("http://www.otzar.org/book.asp?603150","שערי תשובה &lt;שערי מאור&gt;")</f>
        <v>שערי תשובה &lt;שערי מאור&gt;</v>
      </c>
    </row>
    <row r="43274" spans="1:6" x14ac:dyDescent="0.2">
      <c r="A43274" t="s">
        <v>65422</v>
      </c>
      <c r="B43274" t="s">
        <v>65423</v>
      </c>
      <c r="C43274" t="s">
        <v>940</v>
      </c>
      <c r="D43274" t="s">
        <v>14</v>
      </c>
      <c r="E43274" t="s">
        <v>241</v>
      </c>
      <c r="F43274" s="2" t="str">
        <f>HYPERLINK("http://www.otzar.org/book.asp?625370","שערי תשובה &lt;דרך תשובה&gt;")</f>
        <v>שערי תשובה &lt;דרך תשובה&gt;</v>
      </c>
    </row>
    <row r="43275" spans="1:6" x14ac:dyDescent="0.2">
      <c r="A43275" t="s">
        <v>65424</v>
      </c>
      <c r="B43275" t="s">
        <v>65425</v>
      </c>
      <c r="C43275" t="s">
        <v>244</v>
      </c>
      <c r="D43275" t="s">
        <v>3208</v>
      </c>
      <c r="F43275" s="2" t="str">
        <f>HYPERLINK("http://www.otzar.org/book.asp?619284","שערי תשובה &lt;ביאורים והערות&gt;")</f>
        <v>שערי תשובה &lt;ביאורים והערות&gt;</v>
      </c>
    </row>
    <row r="43276" spans="1:6" x14ac:dyDescent="0.2">
      <c r="A43276" t="s">
        <v>65426</v>
      </c>
      <c r="B43276" t="s">
        <v>65427</v>
      </c>
      <c r="C43276" t="s">
        <v>767</v>
      </c>
      <c r="D43276" t="s">
        <v>52</v>
      </c>
      <c r="E43276" t="s">
        <v>241</v>
      </c>
      <c r="F43276" s="2" t="str">
        <f>HYPERLINK("http://www.otzar.org/book.asp?23162","שערי תשובה &lt;הרוצה בתשובה&gt;")</f>
        <v>שערי תשובה &lt;הרוצה בתשובה&gt;</v>
      </c>
    </row>
    <row r="43277" spans="1:6" x14ac:dyDescent="0.2">
      <c r="A43277" t="s">
        <v>65428</v>
      </c>
      <c r="B43277" t="s">
        <v>1574</v>
      </c>
      <c r="C43277" t="s">
        <v>506</v>
      </c>
      <c r="D43277" t="s">
        <v>56</v>
      </c>
      <c r="E43277" t="s">
        <v>241</v>
      </c>
      <c r="F43277" s="2" t="str">
        <f>HYPERLINK("http://www.otzar.org/book.asp?5356","שערי תשובה &lt;אור חדש&gt;")</f>
        <v>שערי תשובה &lt;אור חדש&gt;</v>
      </c>
    </row>
    <row r="43278" spans="1:6" x14ac:dyDescent="0.2">
      <c r="A43278" t="s">
        <v>65429</v>
      </c>
      <c r="B43278" t="s">
        <v>1574</v>
      </c>
      <c r="C43278" t="s">
        <v>366</v>
      </c>
      <c r="D43278" t="s">
        <v>52</v>
      </c>
      <c r="F43278" s="2" t="str">
        <f>HYPERLINK("http://www.otzar.org/book.asp?611365","שערי תשובה &lt;ביאורים ועיונים&gt;")</f>
        <v>שערי תשובה &lt;ביאורים ועיונים&gt;</v>
      </c>
    </row>
    <row r="43279" spans="1:6" x14ac:dyDescent="0.2">
      <c r="A43279" t="s">
        <v>65430</v>
      </c>
      <c r="B43279" t="s">
        <v>1574</v>
      </c>
      <c r="C43279" t="s">
        <v>33894</v>
      </c>
      <c r="D43279" t="s">
        <v>47293</v>
      </c>
      <c r="F43279" s="2" t="str">
        <f>HYPERLINK("http://www.otzar.org/book.asp?170316","שערי תשובה &lt;דפו""ר&gt; - 2 כר'")</f>
        <v>שערי תשובה &lt;דפו"ר&gt; - 2 כר'</v>
      </c>
    </row>
    <row r="43280" spans="1:6" x14ac:dyDescent="0.2">
      <c r="A43280" t="s">
        <v>65431</v>
      </c>
      <c r="B43280" t="s">
        <v>1574</v>
      </c>
      <c r="C43280" t="s">
        <v>1663</v>
      </c>
      <c r="D43280" t="s">
        <v>27</v>
      </c>
      <c r="E43280" t="s">
        <v>241</v>
      </c>
      <c r="F43280" s="2" t="str">
        <f>HYPERLINK("http://www.otzar.org/book.asp?6425","שערי תשובה &lt;זה השער&gt;")</f>
        <v>שערי תשובה &lt;זה השער&gt;</v>
      </c>
    </row>
    <row r="43281" spans="1:6" x14ac:dyDescent="0.2">
      <c r="A43281" t="s">
        <v>65432</v>
      </c>
      <c r="B43281" t="s">
        <v>1574</v>
      </c>
      <c r="C43281" t="s">
        <v>503</v>
      </c>
      <c r="D43281" t="s">
        <v>56</v>
      </c>
      <c r="E43281" t="s">
        <v>241</v>
      </c>
      <c r="F43281" s="2" t="str">
        <f>HYPERLINK("http://www.otzar.org/book.asp?104283","שערי תשובה &lt;כנפי יונה&gt;")</f>
        <v>שערי תשובה &lt;כנפי יונה&gt;</v>
      </c>
    </row>
    <row r="43282" spans="1:6" x14ac:dyDescent="0.2">
      <c r="A43282" t="s">
        <v>65433</v>
      </c>
      <c r="B43282" t="s">
        <v>1574</v>
      </c>
      <c r="C43282" t="s">
        <v>23</v>
      </c>
      <c r="D43282" t="s">
        <v>14</v>
      </c>
      <c r="F43282" s="2" t="str">
        <f>HYPERLINK("http://www.otzar.org/book.asp?198778","שערי תשובה &lt;ליקוטי שערי תשובה&gt;")</f>
        <v>שערי תשובה &lt;ליקוטי שערי תשובה&gt;</v>
      </c>
    </row>
    <row r="43283" spans="1:6" x14ac:dyDescent="0.2">
      <c r="A43283" t="s">
        <v>65434</v>
      </c>
      <c r="B43283" t="s">
        <v>1574</v>
      </c>
      <c r="C43283" t="s">
        <v>454</v>
      </c>
      <c r="D43283" t="s">
        <v>52</v>
      </c>
      <c r="E43283" t="s">
        <v>213</v>
      </c>
      <c r="F43283" s="2" t="str">
        <f>HYPERLINK("http://www.otzar.org/book.asp?50694","שערי תשובה &lt;ע""פ כת""י ודפו""ר עם מ""מ ציונים והשלמות&gt;")</f>
        <v>שערי תשובה &lt;ע"פ כת"י ודפו"ר עם מ"מ ציונים והשלמות&gt;</v>
      </c>
    </row>
    <row r="43284" spans="1:6" x14ac:dyDescent="0.2">
      <c r="A43284" t="s">
        <v>65435</v>
      </c>
      <c r="B43284" t="s">
        <v>1574</v>
      </c>
      <c r="C43284" t="s">
        <v>8</v>
      </c>
      <c r="D43284" t="s">
        <v>1862</v>
      </c>
      <c r="E43284" t="s">
        <v>241</v>
      </c>
      <c r="F43284" s="2" t="str">
        <f>HYPERLINK("http://www.otzar.org/book.asp?28337","שערי תשובה &lt;עם הערות טובות ומועילות&gt;")</f>
        <v>שערי תשובה &lt;עם הערות טובות ומועילות&gt;</v>
      </c>
    </row>
    <row r="43285" spans="1:6" x14ac:dyDescent="0.2">
      <c r="A43285" t="s">
        <v>65436</v>
      </c>
      <c r="B43285" t="s">
        <v>65437</v>
      </c>
      <c r="C43285" t="s">
        <v>133</v>
      </c>
      <c r="D43285" t="s">
        <v>14</v>
      </c>
      <c r="E43285" t="s">
        <v>241</v>
      </c>
      <c r="F43285" s="2" t="str">
        <f>HYPERLINK("http://www.otzar.org/book.asp?605942","שערי תשובה &lt;ביקור חולים&gt; - א")</f>
        <v>שערי תשובה &lt;ביקור חולים&gt; - א</v>
      </c>
    </row>
    <row r="43286" spans="1:6" x14ac:dyDescent="0.2">
      <c r="A43286" t="s">
        <v>65438</v>
      </c>
      <c r="B43286" t="s">
        <v>65439</v>
      </c>
      <c r="C43286" t="s">
        <v>244</v>
      </c>
      <c r="D43286" t="s">
        <v>152</v>
      </c>
      <c r="E43286" t="s">
        <v>241</v>
      </c>
      <c r="F43286" s="2" t="str">
        <f>HYPERLINK("http://www.otzar.org/book.asp?629741","שערי תשובה המפורש והמבואר - 2 כר'")</f>
        <v>שערי תשובה המפורש והמבואר - 2 כר'</v>
      </c>
    </row>
    <row r="43287" spans="1:6" x14ac:dyDescent="0.2">
      <c r="A43287" t="s">
        <v>65440</v>
      </c>
      <c r="B43287" t="s">
        <v>65441</v>
      </c>
      <c r="C43287" t="s">
        <v>1640</v>
      </c>
      <c r="D43287" t="s">
        <v>1117</v>
      </c>
      <c r="F43287" s="2" t="str">
        <f>HYPERLINK("http://www.otzar.org/book.asp?620368","שערי תשובה ע""פ שערי חיים")</f>
        <v>שערי תשובה ע"פ שערי חיים</v>
      </c>
    </row>
    <row r="43288" spans="1:6" x14ac:dyDescent="0.2">
      <c r="A43288" t="s">
        <v>65442</v>
      </c>
      <c r="B43288" t="s">
        <v>65443</v>
      </c>
      <c r="C43288" t="s">
        <v>133</v>
      </c>
      <c r="D43288" t="s">
        <v>14</v>
      </c>
      <c r="F43288" s="2" t="str">
        <f>HYPERLINK("http://www.otzar.org/book.asp?616162","שערי תשובה עם פירוש בקור חולים")</f>
        <v>שערי תשובה עם פירוש בקור חולים</v>
      </c>
    </row>
    <row r="43289" spans="1:6" x14ac:dyDescent="0.2">
      <c r="A43289" t="s">
        <v>65444</v>
      </c>
      <c r="B43289" t="s">
        <v>239</v>
      </c>
      <c r="C43289" t="s">
        <v>13</v>
      </c>
      <c r="D43289" t="s">
        <v>2375</v>
      </c>
      <c r="E43289" t="s">
        <v>241</v>
      </c>
      <c r="F43289" s="2" t="str">
        <f>HYPERLINK("http://www.otzar.org/book.asp?61538","שערי תשובה")</f>
        <v>שערי תשובה</v>
      </c>
    </row>
    <row r="43290" spans="1:6" x14ac:dyDescent="0.2">
      <c r="A43290" t="s">
        <v>65445</v>
      </c>
      <c r="B43290" t="s">
        <v>1574</v>
      </c>
      <c r="C43290" t="s">
        <v>30690</v>
      </c>
      <c r="D43290" t="s">
        <v>1117</v>
      </c>
      <c r="E43290" t="s">
        <v>241</v>
      </c>
      <c r="F43290" s="2" t="str">
        <f>HYPERLINK("http://www.otzar.org/book.asp?146615","שערי תשובה - 6 כר'")</f>
        <v>שערי תשובה - 6 כר'</v>
      </c>
    </row>
    <row r="43291" spans="1:6" x14ac:dyDescent="0.2">
      <c r="A43291" t="s">
        <v>65446</v>
      </c>
      <c r="B43291" t="s">
        <v>65447</v>
      </c>
      <c r="C43291" t="s">
        <v>146</v>
      </c>
      <c r="D43291" t="s">
        <v>152</v>
      </c>
      <c r="E43291" t="s">
        <v>202</v>
      </c>
      <c r="F43291" s="2" t="str">
        <f>HYPERLINK("http://www.otzar.org/book.asp?63006","שעריו בתודה")</f>
        <v>שעריו בתודה</v>
      </c>
    </row>
    <row r="43292" spans="1:6" x14ac:dyDescent="0.2">
      <c r="A43292" t="s">
        <v>65448</v>
      </c>
      <c r="B43292" t="s">
        <v>65449</v>
      </c>
      <c r="C43292" t="s">
        <v>411</v>
      </c>
      <c r="D43292" t="s">
        <v>52</v>
      </c>
      <c r="E43292" t="s">
        <v>399</v>
      </c>
      <c r="F43292" s="2" t="str">
        <f>HYPERLINK("http://www.otzar.org/book.asp?181602","שערים אל הפנימיות")</f>
        <v>שערים אל הפנימיות</v>
      </c>
    </row>
    <row r="43293" spans="1:6" x14ac:dyDescent="0.2">
      <c r="A43293" t="s">
        <v>65450</v>
      </c>
      <c r="B43293" t="s">
        <v>7903</v>
      </c>
      <c r="C43293" t="s">
        <v>1388</v>
      </c>
      <c r="D43293" t="s">
        <v>216</v>
      </c>
      <c r="E43293" t="s">
        <v>674</v>
      </c>
      <c r="F43293" s="2" t="str">
        <f>HYPERLINK("http://www.otzar.org/book.asp?144908","שערים בהלכה")</f>
        <v>שערים בהלכה</v>
      </c>
    </row>
    <row r="43294" spans="1:6" x14ac:dyDescent="0.2">
      <c r="A43294" t="s">
        <v>65450</v>
      </c>
      <c r="B43294" t="s">
        <v>18343</v>
      </c>
      <c r="C43294" t="s">
        <v>533</v>
      </c>
      <c r="D43294" t="s">
        <v>14</v>
      </c>
      <c r="E43294" t="s">
        <v>15</v>
      </c>
      <c r="F43294" s="2" t="str">
        <f>HYPERLINK("http://www.otzar.org/book.asp?162023","שערים בהלכה")</f>
        <v>שערים בהלכה</v>
      </c>
    </row>
    <row r="43295" spans="1:6" x14ac:dyDescent="0.2">
      <c r="A43295" t="s">
        <v>65451</v>
      </c>
      <c r="B43295" t="s">
        <v>65452</v>
      </c>
      <c r="C43295" t="s">
        <v>37</v>
      </c>
      <c r="D43295" t="s">
        <v>21</v>
      </c>
      <c r="F43295" s="2" t="str">
        <f>HYPERLINK("http://www.otzar.org/book.asp?603325","שערים במשפט - 2 כר'")</f>
        <v>שערים במשפט - 2 כר'</v>
      </c>
    </row>
    <row r="43296" spans="1:6" x14ac:dyDescent="0.2">
      <c r="A43296" t="s">
        <v>65453</v>
      </c>
      <c r="B43296" t="s">
        <v>65454</v>
      </c>
      <c r="C43296" t="s">
        <v>185</v>
      </c>
      <c r="D43296" t="s">
        <v>152</v>
      </c>
      <c r="E43296" t="s">
        <v>241</v>
      </c>
      <c r="F43296" s="2" t="str">
        <f>HYPERLINK("http://www.otzar.org/book.asp?630626","שערים בעבודה")</f>
        <v>שערים בעבודה</v>
      </c>
    </row>
    <row r="43297" spans="1:6" x14ac:dyDescent="0.2">
      <c r="A43297" t="s">
        <v>65455</v>
      </c>
      <c r="B43297" t="s">
        <v>13143</v>
      </c>
      <c r="C43297" t="s">
        <v>151</v>
      </c>
      <c r="D43297" t="s">
        <v>52</v>
      </c>
      <c r="E43297" t="s">
        <v>144</v>
      </c>
      <c r="F43297" s="2" t="str">
        <f>HYPERLINK("http://www.otzar.org/book.asp?615387","שערים בעירובין")</f>
        <v>שערים בעירובין</v>
      </c>
    </row>
    <row r="43298" spans="1:6" x14ac:dyDescent="0.2">
      <c r="A43298" t="s">
        <v>65456</v>
      </c>
      <c r="B43298" t="s">
        <v>8194</v>
      </c>
      <c r="C43298" t="s">
        <v>151</v>
      </c>
      <c r="D43298" t="s">
        <v>367</v>
      </c>
      <c r="E43298" t="s">
        <v>213</v>
      </c>
      <c r="F43298" s="2" t="str">
        <f>HYPERLINK("http://www.otzar.org/book.asp?627301","שערים בצניעות")</f>
        <v>שערים בצניעות</v>
      </c>
    </row>
    <row r="43299" spans="1:6" x14ac:dyDescent="0.2">
      <c r="A43299" t="s">
        <v>65457</v>
      </c>
      <c r="B43299" t="s">
        <v>65458</v>
      </c>
      <c r="C43299" t="s">
        <v>454</v>
      </c>
      <c r="D43299" t="s">
        <v>14</v>
      </c>
      <c r="E43299" t="s">
        <v>674</v>
      </c>
      <c r="F43299" s="2" t="str">
        <f>HYPERLINK("http://www.otzar.org/book.asp?50752","שערים בקבוע")</f>
        <v>שערים בקבוע</v>
      </c>
    </row>
    <row r="43300" spans="1:6" x14ac:dyDescent="0.2">
      <c r="A43300" t="s">
        <v>65459</v>
      </c>
      <c r="B43300" t="s">
        <v>65452</v>
      </c>
      <c r="C43300" t="s">
        <v>37</v>
      </c>
      <c r="D43300" t="s">
        <v>21</v>
      </c>
      <c r="F43300" s="2" t="str">
        <f>HYPERLINK("http://www.otzar.org/book.asp?603324","שערים ברבית")</f>
        <v>שערים ברבית</v>
      </c>
    </row>
    <row r="43301" spans="1:6" x14ac:dyDescent="0.2">
      <c r="A43301" t="s">
        <v>65460</v>
      </c>
      <c r="B43301" t="s">
        <v>12085</v>
      </c>
      <c r="C43301" t="s">
        <v>17</v>
      </c>
      <c r="D43301" t="s">
        <v>14</v>
      </c>
      <c r="E43301" t="s">
        <v>960</v>
      </c>
      <c r="F43301" s="2" t="str">
        <f>HYPERLINK("http://www.otzar.org/book.asp?26335","שערים בתפלה")</f>
        <v>שערים בתפלה</v>
      </c>
    </row>
    <row r="43302" spans="1:6" x14ac:dyDescent="0.2">
      <c r="A43302" t="s">
        <v>65461</v>
      </c>
      <c r="B43302" t="s">
        <v>65462</v>
      </c>
      <c r="C43302" t="s">
        <v>624</v>
      </c>
      <c r="D43302" t="s">
        <v>14</v>
      </c>
      <c r="E43302" t="s">
        <v>144</v>
      </c>
      <c r="F43302" s="2" t="str">
        <f>HYPERLINK("http://www.otzar.org/book.asp?163992","שערים המצויינים")</f>
        <v>שערים המצויינים</v>
      </c>
    </row>
    <row r="43303" spans="1:6" x14ac:dyDescent="0.2">
      <c r="A43303" t="s">
        <v>65463</v>
      </c>
      <c r="B43303" t="s">
        <v>65464</v>
      </c>
      <c r="C43303" t="s">
        <v>129</v>
      </c>
      <c r="D43303" t="s">
        <v>152</v>
      </c>
      <c r="E43303" t="s">
        <v>186</v>
      </c>
      <c r="F43303" s="2" t="str">
        <f>HYPERLINK("http://www.otzar.org/book.asp?142367","שערים המצויינים - 2 כר'")</f>
        <v>שערים המצויינים - 2 כר'</v>
      </c>
    </row>
    <row r="43304" spans="1:6" x14ac:dyDescent="0.2">
      <c r="A43304" t="s">
        <v>65465</v>
      </c>
      <c r="B43304" t="s">
        <v>65466</v>
      </c>
      <c r="C43304" t="s">
        <v>3840</v>
      </c>
      <c r="D43304" t="s">
        <v>9</v>
      </c>
      <c r="E43304" t="s">
        <v>172</v>
      </c>
      <c r="F43304" s="2" t="str">
        <f>HYPERLINK("http://www.otzar.org/book.asp?52010","שערים מצויינים בהלכה (על הקצש""ע) - 4 כר'")</f>
        <v>שערים מצויינים בהלכה (על הקצש"ע) - 4 כר'</v>
      </c>
    </row>
    <row r="43305" spans="1:6" x14ac:dyDescent="0.2">
      <c r="A43305" t="s">
        <v>65467</v>
      </c>
      <c r="B43305" t="s">
        <v>65468</v>
      </c>
      <c r="C43305" t="s">
        <v>68</v>
      </c>
      <c r="D43305" t="s">
        <v>14</v>
      </c>
      <c r="E43305" t="s">
        <v>158</v>
      </c>
      <c r="F43305" s="2" t="str">
        <f>HYPERLINK("http://www.otzar.org/book.asp?153031","שערים מצויינים - 2 כר'")</f>
        <v>שערים מצויינים - 2 כר'</v>
      </c>
    </row>
    <row r="43306" spans="1:6" x14ac:dyDescent="0.2">
      <c r="A43306" t="s">
        <v>65469</v>
      </c>
      <c r="B43306" t="s">
        <v>65470</v>
      </c>
      <c r="C43306" t="s">
        <v>1246</v>
      </c>
      <c r="D43306" t="s">
        <v>260</v>
      </c>
      <c r="E43306" t="s">
        <v>202</v>
      </c>
      <c r="F43306" s="2" t="str">
        <f>HYPERLINK("http://www.otzar.org/book.asp?195941","שערים")</f>
        <v>שערים</v>
      </c>
    </row>
    <row r="43307" spans="1:6" x14ac:dyDescent="0.2">
      <c r="A43307" t="s">
        <v>65469</v>
      </c>
      <c r="B43307" t="s">
        <v>65471</v>
      </c>
      <c r="C43307" t="s">
        <v>79</v>
      </c>
      <c r="D43307" t="s">
        <v>27</v>
      </c>
      <c r="E43307" t="s">
        <v>81</v>
      </c>
      <c r="F43307" s="2" t="str">
        <f>HYPERLINK("http://www.otzar.org/book.asp?15604","שערים")</f>
        <v>שערים</v>
      </c>
    </row>
    <row r="43308" spans="1:6" x14ac:dyDescent="0.2">
      <c r="A43308" t="s">
        <v>65469</v>
      </c>
      <c r="B43308" t="s">
        <v>65472</v>
      </c>
      <c r="C43308" t="s">
        <v>13</v>
      </c>
      <c r="D43308" t="s">
        <v>14</v>
      </c>
      <c r="E43308" t="s">
        <v>119</v>
      </c>
      <c r="F43308" s="2" t="str">
        <f>HYPERLINK("http://www.otzar.org/book.asp?84611","שערים")</f>
        <v>שערים</v>
      </c>
    </row>
    <row r="43309" spans="1:6" x14ac:dyDescent="0.2">
      <c r="A43309" t="s">
        <v>65473</v>
      </c>
      <c r="B43309" t="s">
        <v>5213</v>
      </c>
      <c r="C43309" t="s">
        <v>114</v>
      </c>
      <c r="D43309" t="s">
        <v>14</v>
      </c>
      <c r="E43309" t="s">
        <v>246</v>
      </c>
      <c r="F43309" s="2" t="str">
        <f>HYPERLINK("http://www.otzar.org/book.asp?172454","שעשה ניסים")</f>
        <v>שעשה ניסים</v>
      </c>
    </row>
    <row r="43310" spans="1:6" x14ac:dyDescent="0.2">
      <c r="A43310" t="s">
        <v>65474</v>
      </c>
      <c r="B43310" t="s">
        <v>65475</v>
      </c>
      <c r="C43310" t="s">
        <v>366</v>
      </c>
      <c r="D43310" t="s">
        <v>147</v>
      </c>
      <c r="F43310" s="2" t="str">
        <f>HYPERLINK("http://www.otzar.org/book.asp?607152","שעשוע אפרים - 7 כר'")</f>
        <v>שעשוע אפרים - 7 כר'</v>
      </c>
    </row>
    <row r="43311" spans="1:6" x14ac:dyDescent="0.2">
      <c r="A43311" t="s">
        <v>65476</v>
      </c>
      <c r="B43311" t="s">
        <v>7475</v>
      </c>
      <c r="C43311" t="s">
        <v>1659</v>
      </c>
      <c r="D43311" t="s">
        <v>76</v>
      </c>
      <c r="E43311" t="s">
        <v>15</v>
      </c>
      <c r="F43311" s="2" t="str">
        <f>HYPERLINK("http://www.otzar.org/book.asp?101942","שעשוע התלמידים")</f>
        <v>שעשוע התלמידים</v>
      </c>
    </row>
    <row r="43312" spans="1:6" x14ac:dyDescent="0.2">
      <c r="A43312" t="s">
        <v>65477</v>
      </c>
      <c r="B43312" t="s">
        <v>65478</v>
      </c>
      <c r="C43312" t="s">
        <v>728</v>
      </c>
      <c r="D43312" t="s">
        <v>212</v>
      </c>
      <c r="E43312" t="s">
        <v>104</v>
      </c>
      <c r="F43312" s="2" t="str">
        <f>HYPERLINK("http://www.otzar.org/book.asp?142382","שעשוע מצוה - 2 כר'")</f>
        <v>שעשוע מצוה - 2 כר'</v>
      </c>
    </row>
    <row r="43313" spans="1:6" x14ac:dyDescent="0.2">
      <c r="A43313" t="s">
        <v>65479</v>
      </c>
      <c r="B43313" t="s">
        <v>65480</v>
      </c>
      <c r="C43313" t="s">
        <v>411</v>
      </c>
      <c r="D43313" t="s">
        <v>14</v>
      </c>
      <c r="E43313" t="s">
        <v>3516</v>
      </c>
      <c r="F43313" s="2" t="str">
        <f>HYPERLINK("http://www.otzar.org/book.asp?166568","שעשועי אהרן")</f>
        <v>שעשועי אהרן</v>
      </c>
    </row>
    <row r="43314" spans="1:6" x14ac:dyDescent="0.2">
      <c r="A43314" t="s">
        <v>65481</v>
      </c>
      <c r="B43314" t="s">
        <v>25890</v>
      </c>
      <c r="C43314" t="s">
        <v>940</v>
      </c>
      <c r="D43314" t="s">
        <v>14</v>
      </c>
      <c r="F43314" s="2" t="str">
        <f>HYPERLINK("http://www.otzar.org/book.asp?189982","שעשועי אמונה - 2 כר'")</f>
        <v>שעשועי אמונה - 2 כר'</v>
      </c>
    </row>
    <row r="43315" spans="1:6" x14ac:dyDescent="0.2">
      <c r="A43315" t="s">
        <v>65482</v>
      </c>
      <c r="B43315" t="s">
        <v>65483</v>
      </c>
      <c r="C43315" t="s">
        <v>176</v>
      </c>
      <c r="D43315" t="s">
        <v>14</v>
      </c>
      <c r="E43315" t="s">
        <v>144</v>
      </c>
      <c r="F43315" s="2" t="str">
        <f>HYPERLINK("http://www.otzar.org/book.asp?174076","שעשועי אפרים")</f>
        <v>שעשועי אפרים</v>
      </c>
    </row>
    <row r="43316" spans="1:6" x14ac:dyDescent="0.2">
      <c r="A43316" t="s">
        <v>65482</v>
      </c>
      <c r="B43316" t="s">
        <v>4730</v>
      </c>
      <c r="C43316" t="s">
        <v>68</v>
      </c>
      <c r="D43316" t="s">
        <v>115</v>
      </c>
      <c r="F43316" s="2" t="str">
        <f>HYPERLINK("http://www.otzar.org/book.asp?157121","שעשועי אפרים")</f>
        <v>שעשועי אפרים</v>
      </c>
    </row>
    <row r="43317" spans="1:6" x14ac:dyDescent="0.2">
      <c r="A43317" t="s">
        <v>65484</v>
      </c>
      <c r="B43317" t="s">
        <v>65485</v>
      </c>
      <c r="C43317" t="s">
        <v>114</v>
      </c>
      <c r="D43317" t="s">
        <v>14</v>
      </c>
      <c r="E43317" t="s">
        <v>2071</v>
      </c>
      <c r="F43317" s="2" t="str">
        <f>HYPERLINK("http://www.otzar.org/book.asp?171034","שעשועי אפרים - 3 כר'")</f>
        <v>שעשועי אפרים - 3 כר'</v>
      </c>
    </row>
    <row r="43318" spans="1:6" x14ac:dyDescent="0.2">
      <c r="A43318" t="s">
        <v>65486</v>
      </c>
      <c r="B43318" t="s">
        <v>38454</v>
      </c>
      <c r="C43318" t="s">
        <v>20</v>
      </c>
      <c r="D43318" t="s">
        <v>27</v>
      </c>
      <c r="E43318" t="s">
        <v>1072</v>
      </c>
      <c r="F43318" s="2" t="str">
        <f>HYPERLINK("http://www.otzar.org/book.asp?170658","שעשועי בני אדם")</f>
        <v>שעשועי בני אדם</v>
      </c>
    </row>
    <row r="43319" spans="1:6" x14ac:dyDescent="0.2">
      <c r="A43319" t="s">
        <v>65487</v>
      </c>
      <c r="B43319" t="s">
        <v>65488</v>
      </c>
      <c r="C43319" t="s">
        <v>111</v>
      </c>
      <c r="D43319" t="s">
        <v>21</v>
      </c>
      <c r="F43319" s="2" t="str">
        <f>HYPERLINK("http://www.otzar.org/book.asp?621956","שעשועי דאורייתא - א")</f>
        <v>שעשועי דאורייתא - א</v>
      </c>
    </row>
    <row r="43320" spans="1:6" x14ac:dyDescent="0.2">
      <c r="A43320" t="s">
        <v>65489</v>
      </c>
      <c r="B43320" t="s">
        <v>25890</v>
      </c>
      <c r="C43320" t="s">
        <v>17</v>
      </c>
      <c r="D43320" t="s">
        <v>14</v>
      </c>
      <c r="F43320" s="2" t="str">
        <f>HYPERLINK("http://www.otzar.org/book.asp?617370","שעשועי היהדות")</f>
        <v>שעשועי היהדות</v>
      </c>
    </row>
    <row r="43321" spans="1:6" x14ac:dyDescent="0.2">
      <c r="A43321" t="s">
        <v>65490</v>
      </c>
      <c r="B43321" t="s">
        <v>65491</v>
      </c>
      <c r="C43321" t="s">
        <v>427</v>
      </c>
      <c r="D43321" t="s">
        <v>216</v>
      </c>
      <c r="F43321" s="2" t="str">
        <f>HYPERLINK("http://www.otzar.org/book.asp?620370","שעשועי חנוכה")</f>
        <v>שעשועי חנוכה</v>
      </c>
    </row>
    <row r="43322" spans="1:6" x14ac:dyDescent="0.2">
      <c r="A43322" t="s">
        <v>65492</v>
      </c>
      <c r="B43322" t="s">
        <v>65493</v>
      </c>
      <c r="C43322" t="s">
        <v>151</v>
      </c>
      <c r="D43322" t="s">
        <v>4549</v>
      </c>
      <c r="E43322" t="s">
        <v>158</v>
      </c>
      <c r="F43322" s="2" t="str">
        <f>HYPERLINK("http://www.otzar.org/book.asp?621304","שעשועי יעקב - 2 כר'")</f>
        <v>שעשועי יעקב - 2 כר'</v>
      </c>
    </row>
    <row r="43323" spans="1:6" x14ac:dyDescent="0.2">
      <c r="A43323" t="s">
        <v>65494</v>
      </c>
      <c r="B43323" t="s">
        <v>65495</v>
      </c>
      <c r="C43323" t="s">
        <v>454</v>
      </c>
      <c r="D43323" t="s">
        <v>14</v>
      </c>
      <c r="E43323" t="s">
        <v>144</v>
      </c>
      <c r="F43323" s="2" t="str">
        <f>HYPERLINK("http://www.otzar.org/book.asp?106929","שעשועי לוי")</f>
        <v>שעשועי לוי</v>
      </c>
    </row>
    <row r="43324" spans="1:6" x14ac:dyDescent="0.2">
      <c r="A43324" t="s">
        <v>65496</v>
      </c>
      <c r="B43324" t="s">
        <v>65497</v>
      </c>
      <c r="C43324" t="s">
        <v>176</v>
      </c>
      <c r="D43324" t="s">
        <v>14</v>
      </c>
      <c r="E43324" t="s">
        <v>104</v>
      </c>
      <c r="F43324" s="2" t="str">
        <f>HYPERLINK("http://www.otzar.org/book.asp?179714","שעשועי לשון ירושלים")</f>
        <v>שעשועי לשון ירושלים</v>
      </c>
    </row>
    <row r="43325" spans="1:6" x14ac:dyDescent="0.2">
      <c r="A43325" t="s">
        <v>65498</v>
      </c>
      <c r="B43325" t="s">
        <v>65497</v>
      </c>
      <c r="C43325" t="s">
        <v>383</v>
      </c>
      <c r="D43325" t="s">
        <v>14</v>
      </c>
      <c r="E43325" t="s">
        <v>84</v>
      </c>
      <c r="F43325" s="2" t="str">
        <f>HYPERLINK("http://www.otzar.org/book.asp?602735","שעשועי לשון מסכת אבות")</f>
        <v>שעשועי לשון מסכת אבות</v>
      </c>
    </row>
    <row r="43326" spans="1:6" x14ac:dyDescent="0.2">
      <c r="A43326" t="s">
        <v>65499</v>
      </c>
      <c r="B43326" t="s">
        <v>65497</v>
      </c>
      <c r="C43326" t="s">
        <v>51</v>
      </c>
      <c r="D43326" t="s">
        <v>14</v>
      </c>
      <c r="E43326" t="s">
        <v>158</v>
      </c>
      <c r="F43326" s="2" t="str">
        <f>HYPERLINK("http://www.otzar.org/book.asp?623279","שעשועי לשון - בראשית")</f>
        <v>שעשועי לשון - בראשית</v>
      </c>
    </row>
    <row r="43327" spans="1:6" x14ac:dyDescent="0.2">
      <c r="A43327" t="s">
        <v>65500</v>
      </c>
      <c r="B43327" t="s">
        <v>65501</v>
      </c>
      <c r="C43327" t="s">
        <v>111</v>
      </c>
      <c r="D43327" t="s">
        <v>412</v>
      </c>
      <c r="F43327" s="2" t="str">
        <f>HYPERLINK("http://www.otzar.org/book.asp?617738","שעשועי מועד")</f>
        <v>שעשועי מועד</v>
      </c>
    </row>
    <row r="43328" spans="1:6" x14ac:dyDescent="0.2">
      <c r="A43328" t="s">
        <v>65502</v>
      </c>
      <c r="B43328" t="s">
        <v>6572</v>
      </c>
      <c r="C43328" t="s">
        <v>244</v>
      </c>
      <c r="D43328" t="s">
        <v>3283</v>
      </c>
      <c r="F43328" s="2" t="str">
        <f>HYPERLINK("http://www.otzar.org/book.asp?198790","שעשועי מרדכי - ברכות א")</f>
        <v>שעשועי מרדכי - ברכות א</v>
      </c>
    </row>
    <row r="43329" spans="1:6" x14ac:dyDescent="0.2">
      <c r="A43329" t="s">
        <v>65503</v>
      </c>
      <c r="B43329" t="s">
        <v>25890</v>
      </c>
      <c r="C43329" t="s">
        <v>1160</v>
      </c>
      <c r="D43329" t="s">
        <v>14</v>
      </c>
      <c r="E43329" t="s">
        <v>172</v>
      </c>
      <c r="F43329" s="2" t="str">
        <f>HYPERLINK("http://www.otzar.org/book.asp?8905","שעשועי צבי - א")</f>
        <v>שעשועי צבי - א</v>
      </c>
    </row>
    <row r="43330" spans="1:6" x14ac:dyDescent="0.2">
      <c r="A43330" t="s">
        <v>65504</v>
      </c>
      <c r="B43330" t="s">
        <v>25236</v>
      </c>
      <c r="C43330" t="s">
        <v>1640</v>
      </c>
      <c r="D43330" t="s">
        <v>216</v>
      </c>
      <c r="E43330" t="s">
        <v>2098</v>
      </c>
      <c r="F43330" s="2" t="str">
        <f>HYPERLINK("http://www.otzar.org/book.asp?612387","שעשועי תורה")</f>
        <v>שעשועי תורה</v>
      </c>
    </row>
    <row r="43331" spans="1:6" x14ac:dyDescent="0.2">
      <c r="A43331" t="s">
        <v>65505</v>
      </c>
      <c r="B43331" t="s">
        <v>65506</v>
      </c>
      <c r="C43331" t="s">
        <v>411</v>
      </c>
      <c r="D43331" t="s">
        <v>14</v>
      </c>
      <c r="E43331" t="s">
        <v>186</v>
      </c>
      <c r="F43331" s="2" t="str">
        <f>HYPERLINK("http://www.otzar.org/book.asp?173406","שעשועי תורה - גיטין")</f>
        <v>שעשועי תורה - גיטין</v>
      </c>
    </row>
    <row r="43332" spans="1:6" x14ac:dyDescent="0.2">
      <c r="A43332" t="s">
        <v>65507</v>
      </c>
      <c r="B43332" t="s">
        <v>65508</v>
      </c>
      <c r="C43332" t="s">
        <v>146</v>
      </c>
      <c r="D43332" t="s">
        <v>2196</v>
      </c>
      <c r="E43332" t="s">
        <v>144</v>
      </c>
      <c r="F43332" s="2" t="str">
        <f>HYPERLINK("http://www.otzar.org/book.asp?161922","שעשועי תורה - 9 כר'")</f>
        <v>שעשועי תורה - 9 כר'</v>
      </c>
    </row>
    <row r="43333" spans="1:6" x14ac:dyDescent="0.2">
      <c r="A43333" t="s">
        <v>65504</v>
      </c>
      <c r="B43333" t="s">
        <v>9179</v>
      </c>
      <c r="C43333" t="s">
        <v>20</v>
      </c>
      <c r="D43333" t="s">
        <v>52</v>
      </c>
      <c r="F43333" s="2" t="str">
        <f>HYPERLINK("http://www.otzar.org/book.asp?620423","שעשועי תורה")</f>
        <v>שעשועי תורה</v>
      </c>
    </row>
    <row r="43334" spans="1:6" x14ac:dyDescent="0.2">
      <c r="A43334" t="s">
        <v>65509</v>
      </c>
      <c r="B43334" t="s">
        <v>1728</v>
      </c>
      <c r="C43334" t="s">
        <v>244</v>
      </c>
      <c r="D43334" t="s">
        <v>273</v>
      </c>
      <c r="E43334" t="s">
        <v>158</v>
      </c>
      <c r="F43334" s="2" t="str">
        <f>HYPERLINK("http://www.otzar.org/book.asp?626903","שעשועים יום יום - 3 כר'")</f>
        <v>שעשועים יום יום - 3 כר'</v>
      </c>
    </row>
    <row r="43335" spans="1:6" x14ac:dyDescent="0.2">
      <c r="A43335" t="s">
        <v>65510</v>
      </c>
      <c r="B43335" t="s">
        <v>18896</v>
      </c>
      <c r="C43335" t="s">
        <v>915</v>
      </c>
      <c r="D43335" t="s">
        <v>76</v>
      </c>
      <c r="E43335" t="s">
        <v>474</v>
      </c>
      <c r="F43335" s="2" t="str">
        <f>HYPERLINK("http://www.otzar.org/book.asp?16047","שעת הכושר")</f>
        <v>שעת הכושר</v>
      </c>
    </row>
    <row r="43336" spans="1:6" x14ac:dyDescent="0.2">
      <c r="A43336" t="s">
        <v>65511</v>
      </c>
      <c r="B43336" t="s">
        <v>65512</v>
      </c>
      <c r="C43336" t="s">
        <v>103</v>
      </c>
      <c r="D43336" t="s">
        <v>52</v>
      </c>
      <c r="E43336" t="s">
        <v>435</v>
      </c>
      <c r="F43336" s="2" t="str">
        <f>HYPERLINK("http://www.otzar.org/book.asp?61487","שעת הרחמים")</f>
        <v>שעת הרחמים</v>
      </c>
    </row>
    <row r="43337" spans="1:6" x14ac:dyDescent="0.2">
      <c r="A43337" t="s">
        <v>65513</v>
      </c>
      <c r="B43337" t="s">
        <v>18892</v>
      </c>
      <c r="C43337" t="s">
        <v>146</v>
      </c>
      <c r="D43337" t="s">
        <v>139</v>
      </c>
      <c r="E43337" t="s">
        <v>158</v>
      </c>
      <c r="F43337" s="2" t="str">
        <f>HYPERLINK("http://www.otzar.org/book.asp?180248","שעת רצון &lt;מהדורת עלי עין&gt;")</f>
        <v>שעת רצון &lt;מהדורת עלי עין&gt;</v>
      </c>
    </row>
    <row r="43338" spans="1:6" x14ac:dyDescent="0.2">
      <c r="A43338" t="s">
        <v>65514</v>
      </c>
      <c r="B43338" t="s">
        <v>18892</v>
      </c>
      <c r="C43338" t="s">
        <v>5169</v>
      </c>
      <c r="D43338" t="s">
        <v>76</v>
      </c>
      <c r="E43338" t="s">
        <v>399</v>
      </c>
      <c r="F43338" s="2" t="str">
        <f>HYPERLINK("http://www.otzar.org/book.asp?104373","שעת רצון")</f>
        <v>שעת רצון</v>
      </c>
    </row>
    <row r="43339" spans="1:6" x14ac:dyDescent="0.2">
      <c r="A43339" t="s">
        <v>65515</v>
      </c>
      <c r="B43339" t="s">
        <v>65516</v>
      </c>
      <c r="C43339" t="s">
        <v>41056</v>
      </c>
      <c r="D43339" t="s">
        <v>49</v>
      </c>
      <c r="F43339" s="2" t="str">
        <f>HYPERLINK("http://www.otzar.org/book.asp?152771","שפ""ר התיקונים")</f>
        <v>שפ"ר התיקונים</v>
      </c>
    </row>
    <row r="43340" spans="1:6" x14ac:dyDescent="0.2">
      <c r="A43340" t="s">
        <v>65517</v>
      </c>
      <c r="B43340" t="s">
        <v>65518</v>
      </c>
      <c r="C43340" t="s">
        <v>1832</v>
      </c>
      <c r="D43340" t="s">
        <v>49</v>
      </c>
      <c r="E43340" t="s">
        <v>219</v>
      </c>
      <c r="F43340" s="2" t="str">
        <f>HYPERLINK("http://www.otzar.org/book.asp?84652","שפה אחת ודברים אחדים &lt;קינה על מות רבי שמואל אבוהב&gt;")</f>
        <v>שפה אחת ודברים אחדים &lt;קינה על מות רבי שמואל אבוהב&gt;</v>
      </c>
    </row>
    <row r="43341" spans="1:6" x14ac:dyDescent="0.2">
      <c r="A43341" t="s">
        <v>65519</v>
      </c>
      <c r="B43341" t="s">
        <v>65520</v>
      </c>
      <c r="C43341" t="s">
        <v>4144</v>
      </c>
      <c r="D43341" t="s">
        <v>283</v>
      </c>
      <c r="E43341" t="s">
        <v>579</v>
      </c>
      <c r="F43341" s="2" t="str">
        <f>HYPERLINK("http://www.otzar.org/book.asp?6069","שפה ברורה &lt;הלכה ברורה&gt;")</f>
        <v>שפה ברורה &lt;הלכה ברורה&gt;</v>
      </c>
    </row>
    <row r="43342" spans="1:6" x14ac:dyDescent="0.2">
      <c r="A43342" t="s">
        <v>65521</v>
      </c>
      <c r="B43342" t="s">
        <v>531</v>
      </c>
      <c r="C43342" t="s">
        <v>65522</v>
      </c>
      <c r="D43342" t="s">
        <v>65523</v>
      </c>
      <c r="F43342" s="2" t="str">
        <f>HYPERLINK("http://www.otzar.org/book.asp?627351","שפה ברורה - 3 כר'")</f>
        <v>שפה ברורה - 3 כר'</v>
      </c>
    </row>
    <row r="43343" spans="1:6" x14ac:dyDescent="0.2">
      <c r="A43343" t="s">
        <v>65524</v>
      </c>
      <c r="B43343" t="s">
        <v>65525</v>
      </c>
      <c r="E43343" t="s">
        <v>104</v>
      </c>
      <c r="F43343" s="2" t="str">
        <f>HYPERLINK("http://www.otzar.org/book.asp?623979","שפה ברורה")</f>
        <v>שפה ברורה</v>
      </c>
    </row>
    <row r="43344" spans="1:6" x14ac:dyDescent="0.2">
      <c r="A43344" t="s">
        <v>65524</v>
      </c>
      <c r="B43344" t="s">
        <v>65526</v>
      </c>
      <c r="C43344" t="s">
        <v>528</v>
      </c>
      <c r="D43344" t="s">
        <v>65527</v>
      </c>
      <c r="E43344" t="s">
        <v>21569</v>
      </c>
      <c r="F43344" s="2" t="str">
        <f>HYPERLINK("http://www.otzar.org/book.asp?147148","שפה ברורה")</f>
        <v>שפה ברורה</v>
      </c>
    </row>
    <row r="43345" spans="1:6" x14ac:dyDescent="0.2">
      <c r="A43345" t="s">
        <v>65524</v>
      </c>
      <c r="B43345" t="s">
        <v>65528</v>
      </c>
      <c r="C43345" t="s">
        <v>51</v>
      </c>
      <c r="D43345" t="s">
        <v>486</v>
      </c>
      <c r="E43345" t="s">
        <v>158</v>
      </c>
      <c r="F43345" s="2" t="str">
        <f>HYPERLINK("http://www.otzar.org/book.asp?149217","שפה ברורה")</f>
        <v>שפה ברורה</v>
      </c>
    </row>
    <row r="43346" spans="1:6" x14ac:dyDescent="0.2">
      <c r="A43346" t="s">
        <v>65529</v>
      </c>
      <c r="B43346" t="s">
        <v>11798</v>
      </c>
      <c r="C43346" t="s">
        <v>617</v>
      </c>
      <c r="D43346" t="s">
        <v>283</v>
      </c>
      <c r="E43346" t="s">
        <v>104</v>
      </c>
      <c r="F43346" s="2" t="str">
        <f>HYPERLINK("http://www.otzar.org/book.asp?51819","שפה לנאמנים")</f>
        <v>שפה לנאמנים</v>
      </c>
    </row>
    <row r="43347" spans="1:6" x14ac:dyDescent="0.2">
      <c r="A43347" t="s">
        <v>65530</v>
      </c>
      <c r="B43347" t="s">
        <v>5139</v>
      </c>
      <c r="C43347" t="s">
        <v>17</v>
      </c>
      <c r="D43347" t="s">
        <v>14</v>
      </c>
      <c r="E43347" t="s">
        <v>104</v>
      </c>
      <c r="F43347" s="2" t="str">
        <f>HYPERLINK("http://www.otzar.org/book.asp?20451","שפה לנאמנים - 2 כר'")</f>
        <v>שפה לנאמנים - 2 כר'</v>
      </c>
    </row>
    <row r="43348" spans="1:6" x14ac:dyDescent="0.2">
      <c r="A43348" t="s">
        <v>65531</v>
      </c>
      <c r="B43348" t="s">
        <v>65532</v>
      </c>
      <c r="C43348" t="s">
        <v>919</v>
      </c>
      <c r="D43348" t="s">
        <v>216</v>
      </c>
      <c r="E43348" t="s">
        <v>241</v>
      </c>
      <c r="F43348" s="2" t="str">
        <f>HYPERLINK("http://www.otzar.org/book.asp?167552","שפוך חמתך")</f>
        <v>שפוך חמתך</v>
      </c>
    </row>
    <row r="43349" spans="1:6" x14ac:dyDescent="0.2">
      <c r="A43349" t="s">
        <v>65533</v>
      </c>
      <c r="B43349" t="s">
        <v>15789</v>
      </c>
      <c r="C43349" t="s">
        <v>1062</v>
      </c>
      <c r="D43349" t="s">
        <v>9</v>
      </c>
      <c r="E43349" t="s">
        <v>140</v>
      </c>
      <c r="F43349" s="2" t="str">
        <f>HYPERLINK("http://www.otzar.org/book.asp?12229","שפוני טמוני חול &lt;מפי השמועה&gt;")</f>
        <v>שפוני טמוני חול &lt;מפי השמועה&gt;</v>
      </c>
    </row>
    <row r="43350" spans="1:6" x14ac:dyDescent="0.2">
      <c r="A43350" t="s">
        <v>65534</v>
      </c>
      <c r="B43350" t="s">
        <v>15789</v>
      </c>
      <c r="C43350" t="s">
        <v>2644</v>
      </c>
      <c r="D43350" t="s">
        <v>726</v>
      </c>
      <c r="E43350" t="s">
        <v>104</v>
      </c>
      <c r="F43350" s="2" t="str">
        <f>HYPERLINK("http://www.otzar.org/book.asp?101642","שפוני טמוני חול - 3 כר'")</f>
        <v>שפוני טמוני חול - 3 כר'</v>
      </c>
    </row>
    <row r="43351" spans="1:6" x14ac:dyDescent="0.2">
      <c r="A43351" t="s">
        <v>65535</v>
      </c>
      <c r="B43351" t="s">
        <v>10919</v>
      </c>
      <c r="C43351" t="s">
        <v>87</v>
      </c>
      <c r="D43351" t="s">
        <v>21</v>
      </c>
      <c r="E43351" t="s">
        <v>733</v>
      </c>
      <c r="F43351" s="2" t="str">
        <f>HYPERLINK("http://www.otzar.org/book.asp?191359","שפירי ירושלים")</f>
        <v>שפירי ירושלים</v>
      </c>
    </row>
    <row r="43352" spans="1:6" x14ac:dyDescent="0.2">
      <c r="A43352" t="s">
        <v>65536</v>
      </c>
      <c r="B43352" t="s">
        <v>65537</v>
      </c>
      <c r="C43352" t="s">
        <v>427</v>
      </c>
      <c r="D43352" t="s">
        <v>412</v>
      </c>
      <c r="E43352" t="s">
        <v>219</v>
      </c>
      <c r="F43352" s="2" t="str">
        <f>HYPERLINK("http://www.otzar.org/book.asp?159913","שפך שיח")</f>
        <v>שפך שיח</v>
      </c>
    </row>
    <row r="43353" spans="1:6" x14ac:dyDescent="0.2">
      <c r="A43353" t="s">
        <v>65538</v>
      </c>
      <c r="B43353" t="s">
        <v>5092</v>
      </c>
      <c r="C43353" t="s">
        <v>244</v>
      </c>
      <c r="D43353" t="s">
        <v>412</v>
      </c>
      <c r="E43353" t="s">
        <v>219</v>
      </c>
      <c r="F43353" s="2" t="str">
        <f>HYPERLINK("http://www.otzar.org/book.asp?606570","שפכי כמים - תפילות תחינות ובקשות")</f>
        <v>שפכי כמים - תפילות תחינות ובקשות</v>
      </c>
    </row>
    <row r="43354" spans="1:6" x14ac:dyDescent="0.2">
      <c r="A43354" t="s">
        <v>65539</v>
      </c>
      <c r="B43354" t="s">
        <v>3374</v>
      </c>
      <c r="C43354" t="s">
        <v>13</v>
      </c>
      <c r="D43354" t="s">
        <v>423</v>
      </c>
      <c r="E43354" t="s">
        <v>2010</v>
      </c>
      <c r="F43354" s="2" t="str">
        <f>HYPERLINK("http://www.otzar.org/book.asp?62132","שפע חיים &lt;מכתבי תורה&gt; - 6 כר'")</f>
        <v>שפע חיים &lt;מכתבי תורה&gt; - 6 כר'</v>
      </c>
    </row>
    <row r="43355" spans="1:6" x14ac:dyDescent="0.2">
      <c r="A43355" t="s">
        <v>65540</v>
      </c>
      <c r="B43355" t="s">
        <v>3374</v>
      </c>
      <c r="C43355" t="s">
        <v>146</v>
      </c>
      <c r="D43355" t="s">
        <v>412</v>
      </c>
      <c r="E43355" t="s">
        <v>158</v>
      </c>
      <c r="F43355" s="2" t="str">
        <f>HYPERLINK("http://www.otzar.org/book.asp?601062","שפע חיים &lt;תורה ומועדים&gt; - 23 כר'")</f>
        <v>שפע חיים &lt;תורה ומועדים&gt; - 23 כר'</v>
      </c>
    </row>
    <row r="43356" spans="1:6" x14ac:dyDescent="0.2">
      <c r="A43356" t="s">
        <v>65541</v>
      </c>
      <c r="B43356" t="s">
        <v>3374</v>
      </c>
      <c r="C43356" t="s">
        <v>422</v>
      </c>
      <c r="D43356" t="s">
        <v>423</v>
      </c>
      <c r="E43356" t="s">
        <v>1185</v>
      </c>
      <c r="F43356" s="2" t="str">
        <f>HYPERLINK("http://www.otzar.org/book.asp?152651","שפע חיים (רעוא דרעוין) - בראשית-תולדות")</f>
        <v>שפע חיים (רעוא דרעוין) - בראשית-תולדות</v>
      </c>
    </row>
    <row r="43357" spans="1:6" x14ac:dyDescent="0.2">
      <c r="A43357" t="s">
        <v>65542</v>
      </c>
      <c r="B43357" t="s">
        <v>3374</v>
      </c>
      <c r="C43357" t="s">
        <v>1448</v>
      </c>
      <c r="D43357" t="s">
        <v>412</v>
      </c>
      <c r="E43357" t="s">
        <v>104</v>
      </c>
      <c r="F43357" s="2" t="str">
        <f>HYPERLINK("http://www.otzar.org/book.asp?105589","שפע חיים - 21 כר'")</f>
        <v>שפע חיים - 21 כר'</v>
      </c>
    </row>
    <row r="43358" spans="1:6" x14ac:dyDescent="0.2">
      <c r="A43358" t="s">
        <v>65543</v>
      </c>
      <c r="B43358" t="s">
        <v>3374</v>
      </c>
      <c r="C43358" t="s">
        <v>189</v>
      </c>
      <c r="D43358" t="s">
        <v>16149</v>
      </c>
      <c r="E43358" t="s">
        <v>148</v>
      </c>
      <c r="F43358" s="2" t="str">
        <f>HYPERLINK("http://www.otzar.org/book.asp?157706","שפע טהרה")</f>
        <v>שפע טהרה</v>
      </c>
    </row>
    <row r="43359" spans="1:6" x14ac:dyDescent="0.2">
      <c r="A43359" t="s">
        <v>65544</v>
      </c>
      <c r="B43359" t="s">
        <v>44955</v>
      </c>
      <c r="C43359" t="s">
        <v>5277</v>
      </c>
      <c r="D43359" t="s">
        <v>32637</v>
      </c>
      <c r="E43359" t="s">
        <v>399</v>
      </c>
      <c r="F43359" s="2" t="str">
        <f>HYPERLINK("http://www.otzar.org/book.asp?53597","שפע טל &lt;דפו""ר&gt;")</f>
        <v>שפע טל &lt;דפו"ר&gt;</v>
      </c>
    </row>
    <row r="43360" spans="1:6" x14ac:dyDescent="0.2">
      <c r="A43360" t="s">
        <v>65545</v>
      </c>
      <c r="B43360" t="s">
        <v>44955</v>
      </c>
      <c r="C43360" t="s">
        <v>1036</v>
      </c>
      <c r="D43360" t="s">
        <v>1279</v>
      </c>
      <c r="E43360" t="s">
        <v>399</v>
      </c>
      <c r="F43360" s="2" t="str">
        <f>HYPERLINK("http://www.otzar.org/book.asp?23776","שפע טל - 3 כר'")</f>
        <v>שפע טל - 3 כר'</v>
      </c>
    </row>
    <row r="43361" spans="1:6" x14ac:dyDescent="0.2">
      <c r="A43361" t="s">
        <v>65546</v>
      </c>
      <c r="B43361" t="s">
        <v>65547</v>
      </c>
      <c r="C43361" t="s">
        <v>37</v>
      </c>
      <c r="D43361" t="s">
        <v>1356</v>
      </c>
      <c r="E43361" t="s">
        <v>230</v>
      </c>
      <c r="F43361" s="2" t="str">
        <f>HYPERLINK("http://www.otzar.org/book.asp?602974","שפע ימים")</f>
        <v>שפע ימים</v>
      </c>
    </row>
    <row r="43362" spans="1:6" x14ac:dyDescent="0.2">
      <c r="A43362" t="s">
        <v>65546</v>
      </c>
      <c r="B43362" t="s">
        <v>686</v>
      </c>
      <c r="C43362" t="s">
        <v>111</v>
      </c>
      <c r="D43362" t="s">
        <v>52</v>
      </c>
      <c r="E43362" t="s">
        <v>158</v>
      </c>
      <c r="F43362" s="2" t="str">
        <f>HYPERLINK("http://www.otzar.org/book.asp?621704","שפע ימים")</f>
        <v>שפע ימים</v>
      </c>
    </row>
    <row r="43363" spans="1:6" x14ac:dyDescent="0.2">
      <c r="A43363" t="s">
        <v>65548</v>
      </c>
      <c r="B43363" t="s">
        <v>43008</v>
      </c>
      <c r="C43363" t="s">
        <v>725</v>
      </c>
      <c r="D43363" t="s">
        <v>10393</v>
      </c>
      <c r="E43363" t="s">
        <v>144</v>
      </c>
      <c r="F43363" s="2" t="str">
        <f>HYPERLINK("http://www.otzar.org/book.asp?20450","שפע ימים - 2 כר'")</f>
        <v>שפע ימים - 2 כר'</v>
      </c>
    </row>
    <row r="43364" spans="1:6" x14ac:dyDescent="0.2">
      <c r="A43364" t="s">
        <v>65549</v>
      </c>
      <c r="B43364" t="s">
        <v>3341</v>
      </c>
      <c r="C43364" t="s">
        <v>454</v>
      </c>
      <c r="D43364" t="s">
        <v>52</v>
      </c>
      <c r="E43364" t="s">
        <v>15</v>
      </c>
      <c r="F43364" s="2" t="str">
        <f>HYPERLINK("http://www.otzar.org/book.asp?162320","שפע מצות תפילין")</f>
        <v>שפע מצות תפילין</v>
      </c>
    </row>
    <row r="43365" spans="1:6" x14ac:dyDescent="0.2">
      <c r="A43365" t="s">
        <v>65550</v>
      </c>
      <c r="B43365" t="s">
        <v>65551</v>
      </c>
      <c r="C43365" t="s">
        <v>649</v>
      </c>
      <c r="D43365" t="s">
        <v>2313</v>
      </c>
      <c r="F43365" s="2" t="str">
        <f>HYPERLINK("http://www.otzar.org/book.asp?85155","שפע מצות - 2 כר'")</f>
        <v>שפע מצות - 2 כר'</v>
      </c>
    </row>
    <row r="43366" spans="1:6" x14ac:dyDescent="0.2">
      <c r="A43366" t="s">
        <v>65552</v>
      </c>
      <c r="B43366" t="s">
        <v>30810</v>
      </c>
      <c r="C43366" t="s">
        <v>366</v>
      </c>
      <c r="D43366" t="s">
        <v>90</v>
      </c>
      <c r="E43366" t="s">
        <v>246</v>
      </c>
      <c r="F43366" s="2" t="str">
        <f>HYPERLINK("http://www.otzar.org/book.asp?626747","שפע רב")</f>
        <v>שפע רב</v>
      </c>
    </row>
    <row r="43367" spans="1:6" x14ac:dyDescent="0.2">
      <c r="A43367" t="s">
        <v>65553</v>
      </c>
      <c r="B43367" t="s">
        <v>27038</v>
      </c>
      <c r="C43367" t="s">
        <v>1940</v>
      </c>
      <c r="D43367" t="s">
        <v>212</v>
      </c>
      <c r="E43367" t="s">
        <v>219</v>
      </c>
      <c r="F43367" s="2" t="str">
        <f>HYPERLINK("http://www.otzar.org/book.asp?100709","שפעת רביבים")</f>
        <v>שפעת רביבים</v>
      </c>
    </row>
    <row r="43368" spans="1:6" x14ac:dyDescent="0.2">
      <c r="A43368" t="s">
        <v>65554</v>
      </c>
      <c r="B43368" t="s">
        <v>65555</v>
      </c>
      <c r="C43368" t="s">
        <v>1058</v>
      </c>
      <c r="D43368" t="s">
        <v>2373</v>
      </c>
      <c r="E43368" t="s">
        <v>1517</v>
      </c>
      <c r="F43368" s="2" t="str">
        <f>HYPERLINK("http://www.otzar.org/book.asp?105893","שפר התיקונים")</f>
        <v>שפר התיקונים</v>
      </c>
    </row>
    <row r="43369" spans="1:6" x14ac:dyDescent="0.2">
      <c r="A43369" t="s">
        <v>65556</v>
      </c>
      <c r="B43369" t="s">
        <v>19201</v>
      </c>
      <c r="C43369" t="s">
        <v>427</v>
      </c>
      <c r="D43369" t="s">
        <v>14</v>
      </c>
      <c r="E43369" t="s">
        <v>158</v>
      </c>
      <c r="F43369" s="2" t="str">
        <f>HYPERLINK("http://www.otzar.org/book.asp?156165","שפריר צדק")</f>
        <v>שפריר צדק</v>
      </c>
    </row>
    <row r="43370" spans="1:6" x14ac:dyDescent="0.2">
      <c r="A43370" t="s">
        <v>65557</v>
      </c>
      <c r="B43370" t="s">
        <v>33181</v>
      </c>
      <c r="C43370" t="s">
        <v>454</v>
      </c>
      <c r="D43370" t="s">
        <v>27</v>
      </c>
      <c r="E43370" t="s">
        <v>158</v>
      </c>
      <c r="F43370" s="2" t="str">
        <f>HYPERLINK("http://www.otzar.org/book.asp?610705","שפת אמת &lt;בני בינה&gt; - 14 כר'")</f>
        <v>שפת אמת &lt;בני בינה&gt; - 14 כר'</v>
      </c>
    </row>
    <row r="43371" spans="1:6" x14ac:dyDescent="0.2">
      <c r="A43371" t="s">
        <v>65558</v>
      </c>
      <c r="B43371" t="s">
        <v>33181</v>
      </c>
      <c r="C43371" t="s">
        <v>313</v>
      </c>
      <c r="D43371" t="s">
        <v>4478</v>
      </c>
      <c r="E43371" t="s">
        <v>158</v>
      </c>
      <c r="F43371" s="2" t="str">
        <f>HYPERLINK("http://www.otzar.org/book.asp?63118","שפת אמת &lt;מהדורת אור עציון&gt; - 12 כר'")</f>
        <v>שפת אמת &lt;מהדורת אור עציון&gt; - 12 כר'</v>
      </c>
    </row>
    <row r="43372" spans="1:6" x14ac:dyDescent="0.2">
      <c r="A43372" t="s">
        <v>65559</v>
      </c>
      <c r="B43372" t="s">
        <v>33181</v>
      </c>
      <c r="C43372" t="s">
        <v>59634</v>
      </c>
      <c r="D43372" t="s">
        <v>283</v>
      </c>
      <c r="E43372" t="s">
        <v>144</v>
      </c>
      <c r="F43372" s="2" t="str">
        <f>HYPERLINK("http://www.otzar.org/book.asp?6735","שפת אמת &lt;ש""ס&gt; - 4 כר'")</f>
        <v>שפת אמת &lt;ש"ס&gt; - 4 כר'</v>
      </c>
    </row>
    <row r="43373" spans="1:6" x14ac:dyDescent="0.2">
      <c r="A43373" t="s">
        <v>65560</v>
      </c>
      <c r="B43373" t="s">
        <v>31559</v>
      </c>
      <c r="C43373" t="s">
        <v>13</v>
      </c>
      <c r="D43373" t="s">
        <v>14</v>
      </c>
      <c r="E43373" t="s">
        <v>474</v>
      </c>
      <c r="F43373" s="2" t="str">
        <f>HYPERLINK("http://www.otzar.org/book.asp?159144","שפת אמת &lt;מהדורה חדשה&gt; - 3 כר'")</f>
        <v>שפת אמת &lt;מהדורה חדשה&gt; - 3 כר'</v>
      </c>
    </row>
    <row r="43374" spans="1:6" x14ac:dyDescent="0.2">
      <c r="A43374" t="s">
        <v>65561</v>
      </c>
      <c r="B43374" t="s">
        <v>1540</v>
      </c>
      <c r="C43374" t="s">
        <v>553</v>
      </c>
      <c r="D43374" t="s">
        <v>14</v>
      </c>
      <c r="E43374" t="s">
        <v>104</v>
      </c>
      <c r="F43374" s="2" t="str">
        <f>HYPERLINK("http://www.otzar.org/book.asp?144095","שפת אמת &lt;פרשת אלה מסעי&gt;")</f>
        <v>שפת אמת &lt;פרשת אלה מסעי&gt;</v>
      </c>
    </row>
    <row r="43375" spans="1:6" x14ac:dyDescent="0.2">
      <c r="A43375" t="s">
        <v>65562</v>
      </c>
      <c r="B43375" t="s">
        <v>1417</v>
      </c>
      <c r="C43375" t="s">
        <v>635</v>
      </c>
      <c r="D43375" t="s">
        <v>267</v>
      </c>
      <c r="E43375" t="s">
        <v>733</v>
      </c>
      <c r="F43375" s="2" t="str">
        <f>HYPERLINK("http://www.otzar.org/book.asp?100593","שפת אמת ולשון זהורית - 2 כר'")</f>
        <v>שפת אמת ולשון זהורית - 2 כר'</v>
      </c>
    </row>
    <row r="43376" spans="1:6" x14ac:dyDescent="0.2">
      <c r="A43376" t="s">
        <v>65563</v>
      </c>
      <c r="B43376" t="s">
        <v>33181</v>
      </c>
      <c r="C43376" t="s">
        <v>843</v>
      </c>
      <c r="D43376" t="s">
        <v>9</v>
      </c>
      <c r="E43376" t="s">
        <v>158</v>
      </c>
      <c r="F43376" s="2" t="str">
        <f>HYPERLINK("http://www.otzar.org/book.asp?154331","שפת אמת ליקוטים - 2 כר'")</f>
        <v>שפת אמת ליקוטים - 2 כר'</v>
      </c>
    </row>
    <row r="43377" spans="1:6" x14ac:dyDescent="0.2">
      <c r="A43377" t="s">
        <v>65564</v>
      </c>
      <c r="B43377" t="s">
        <v>33181</v>
      </c>
      <c r="C43377" t="s">
        <v>129</v>
      </c>
      <c r="D43377" t="s">
        <v>14</v>
      </c>
      <c r="E43377" t="s">
        <v>219</v>
      </c>
      <c r="F43377" s="2" t="str">
        <f>HYPERLINK("http://www.otzar.org/book.asp?146463","שפת אמת על סדר התפילה - 2 כר'")</f>
        <v>שפת אמת על סדר התפילה - 2 כר'</v>
      </c>
    </row>
    <row r="43378" spans="1:6" x14ac:dyDescent="0.2">
      <c r="A43378" t="s">
        <v>65565</v>
      </c>
      <c r="B43378" t="s">
        <v>33181</v>
      </c>
      <c r="C43378" t="s">
        <v>725</v>
      </c>
      <c r="D43378" t="s">
        <v>283</v>
      </c>
      <c r="E43378" t="s">
        <v>6688</v>
      </c>
      <c r="F43378" s="2" t="str">
        <f>HYPERLINK("http://www.otzar.org/book.asp?51823","שפת אמת על תיקוני הזהר")</f>
        <v>שפת אמת על תיקוני הזהר</v>
      </c>
    </row>
    <row r="43379" spans="1:6" x14ac:dyDescent="0.2">
      <c r="A43379" t="s">
        <v>65566</v>
      </c>
      <c r="B43379" t="s">
        <v>33181</v>
      </c>
      <c r="C43379" t="s">
        <v>422</v>
      </c>
      <c r="D43379" t="s">
        <v>646</v>
      </c>
      <c r="E43379" t="s">
        <v>144</v>
      </c>
      <c r="F43379" s="2" t="str">
        <f>HYPERLINK("http://www.otzar.org/book.asp?177244","שפת אמת תיכון לעד - יומא &lt;מכת""י&gt;")</f>
        <v>שפת אמת תיכון לעד - יומא &lt;מכת"י&gt;</v>
      </c>
    </row>
    <row r="43380" spans="1:6" x14ac:dyDescent="0.2">
      <c r="A43380" t="s">
        <v>65567</v>
      </c>
      <c r="B43380" t="s">
        <v>65568</v>
      </c>
      <c r="C43380" t="s">
        <v>20</v>
      </c>
      <c r="D43380" t="s">
        <v>90</v>
      </c>
      <c r="F43380" s="2" t="str">
        <f>HYPERLINK("http://www.otzar.org/book.asp?610357","שפת אמת תיכון לעד - 2 כר'")</f>
        <v>שפת אמת תיכון לעד - 2 כר'</v>
      </c>
    </row>
    <row r="43381" spans="1:6" x14ac:dyDescent="0.2">
      <c r="A43381" t="s">
        <v>65569</v>
      </c>
      <c r="B43381" t="s">
        <v>5293</v>
      </c>
      <c r="C43381" t="s">
        <v>244</v>
      </c>
      <c r="D43381" t="s">
        <v>14</v>
      </c>
      <c r="F43381" s="2" t="str">
        <f>HYPERLINK("http://www.otzar.org/book.asp?614839","שפת אמת תכון לעד")</f>
        <v>שפת אמת תכון לעד</v>
      </c>
    </row>
    <row r="43382" spans="1:6" x14ac:dyDescent="0.2">
      <c r="A43382" t="s">
        <v>65570</v>
      </c>
      <c r="B43382" t="s">
        <v>32977</v>
      </c>
      <c r="C43382" t="s">
        <v>940</v>
      </c>
      <c r="D43382" t="s">
        <v>14</v>
      </c>
      <c r="E43382" t="s">
        <v>219</v>
      </c>
      <c r="F43382" s="2" t="str">
        <f>HYPERLINK("http://www.otzar.org/book.asp?172187","שפת אמת - ליקוטי יהודה - סידור תפילה")</f>
        <v>שפת אמת - ליקוטי יהודה - סידור תפילה</v>
      </c>
    </row>
    <row r="43383" spans="1:6" x14ac:dyDescent="0.2">
      <c r="A43383" t="s">
        <v>65571</v>
      </c>
      <c r="B43383" t="s">
        <v>33181</v>
      </c>
      <c r="C43383" t="s">
        <v>65572</v>
      </c>
      <c r="D43383" t="s">
        <v>225</v>
      </c>
      <c r="E43383" t="s">
        <v>2071</v>
      </c>
      <c r="F43383" s="2" t="str">
        <f>HYPERLINK("http://www.otzar.org/book.asp?310","שפת אמת - 15 כר'")</f>
        <v>שפת אמת - 15 כר'</v>
      </c>
    </row>
    <row r="43384" spans="1:6" x14ac:dyDescent="0.2">
      <c r="A43384" t="s">
        <v>65573</v>
      </c>
      <c r="B43384" t="s">
        <v>65574</v>
      </c>
      <c r="C43384" t="s">
        <v>106</v>
      </c>
      <c r="D43384" t="s">
        <v>14</v>
      </c>
      <c r="E43384" t="s">
        <v>2418</v>
      </c>
      <c r="F43384" s="2" t="str">
        <f>HYPERLINK("http://www.otzar.org/book.asp?11716","שפת אמת - ספר רות, שבועות")</f>
        <v>שפת אמת - ספר רות, שבועות</v>
      </c>
    </row>
    <row r="43385" spans="1:6" x14ac:dyDescent="0.2">
      <c r="A43385" t="s">
        <v>65575</v>
      </c>
      <c r="B43385" t="s">
        <v>61880</v>
      </c>
      <c r="C43385" t="s">
        <v>163</v>
      </c>
      <c r="D43385" t="s">
        <v>212</v>
      </c>
      <c r="E43385" t="s">
        <v>158</v>
      </c>
      <c r="F43385" s="2" t="str">
        <f>HYPERLINK("http://www.otzar.org/book.asp?16130","שפת אמת - 5 כר'")</f>
        <v>שפת אמת - 5 כר'</v>
      </c>
    </row>
    <row r="43386" spans="1:6" x14ac:dyDescent="0.2">
      <c r="A43386" t="s">
        <v>65576</v>
      </c>
      <c r="B43386" t="s">
        <v>31559</v>
      </c>
      <c r="C43386" t="s">
        <v>111</v>
      </c>
      <c r="D43386" t="s">
        <v>14</v>
      </c>
      <c r="E43386" t="s">
        <v>230</v>
      </c>
      <c r="F43386" s="2" t="str">
        <f>HYPERLINK("http://www.otzar.org/book.asp?627924","שפת אמת - ירח האיתנים")</f>
        <v>שפת אמת - ירח האיתנים</v>
      </c>
    </row>
    <row r="43387" spans="1:6" x14ac:dyDescent="0.2">
      <c r="A43387" t="s">
        <v>65577</v>
      </c>
      <c r="B43387" t="s">
        <v>65578</v>
      </c>
      <c r="C43387" t="s">
        <v>244</v>
      </c>
      <c r="D43387" t="s">
        <v>14</v>
      </c>
      <c r="F43387" s="2" t="str">
        <f>HYPERLINK("http://www.otzar.org/book.asp?198697","שפת אמת")</f>
        <v>שפת אמת</v>
      </c>
    </row>
    <row r="43388" spans="1:6" x14ac:dyDescent="0.2">
      <c r="A43388" t="s">
        <v>65579</v>
      </c>
      <c r="B43388" t="s">
        <v>1540</v>
      </c>
      <c r="C43388" t="s">
        <v>4707</v>
      </c>
      <c r="D43388" t="s">
        <v>1023</v>
      </c>
      <c r="F43388" s="2" t="str">
        <f>HYPERLINK("http://www.otzar.org/book.asp?153107","שפת אמת - 2 כר'")</f>
        <v>שפת אמת - 2 כר'</v>
      </c>
    </row>
    <row r="43389" spans="1:6" x14ac:dyDescent="0.2">
      <c r="A43389" t="s">
        <v>65577</v>
      </c>
      <c r="B43389" t="s">
        <v>35529</v>
      </c>
      <c r="C43389" t="s">
        <v>65580</v>
      </c>
      <c r="D43389" t="s">
        <v>212</v>
      </c>
      <c r="E43389" t="s">
        <v>2441</v>
      </c>
      <c r="F43389" s="2" t="str">
        <f>HYPERLINK("http://www.otzar.org/book.asp?102015","שפת אמת")</f>
        <v>שפת אמת</v>
      </c>
    </row>
    <row r="43390" spans="1:6" x14ac:dyDescent="0.2">
      <c r="A43390" t="s">
        <v>65579</v>
      </c>
      <c r="B43390" t="s">
        <v>1190</v>
      </c>
      <c r="C43390" t="s">
        <v>11298</v>
      </c>
      <c r="D43390" t="s">
        <v>267</v>
      </c>
      <c r="E43390" t="s">
        <v>158</v>
      </c>
      <c r="F43390" s="2" t="str">
        <f>HYPERLINK("http://www.otzar.org/book.asp?102564","שפת אמת - 2 כר'")</f>
        <v>שפת אמת - 2 כר'</v>
      </c>
    </row>
    <row r="43391" spans="1:6" x14ac:dyDescent="0.2">
      <c r="A43391" t="s">
        <v>65577</v>
      </c>
      <c r="B43391" t="s">
        <v>25223</v>
      </c>
      <c r="C43391" t="s">
        <v>568</v>
      </c>
      <c r="D43391" t="s">
        <v>1279</v>
      </c>
      <c r="E43391" t="s">
        <v>158</v>
      </c>
      <c r="F43391" s="2" t="str">
        <f>HYPERLINK("http://www.otzar.org/book.asp?83771","שפת אמת")</f>
        <v>שפת אמת</v>
      </c>
    </row>
    <row r="43392" spans="1:6" x14ac:dyDescent="0.2">
      <c r="A43392" t="s">
        <v>65577</v>
      </c>
      <c r="B43392" t="s">
        <v>65581</v>
      </c>
      <c r="C43392" t="s">
        <v>553</v>
      </c>
      <c r="D43392" t="s">
        <v>14</v>
      </c>
      <c r="F43392" s="2" t="str">
        <f>HYPERLINK("http://www.otzar.org/book.asp?157089","שפת אמת")</f>
        <v>שפת אמת</v>
      </c>
    </row>
    <row r="43393" spans="1:6" x14ac:dyDescent="0.2">
      <c r="A43393" t="s">
        <v>65577</v>
      </c>
      <c r="B43393" t="s">
        <v>24253</v>
      </c>
      <c r="C43393" t="s">
        <v>2227</v>
      </c>
      <c r="D43393" t="s">
        <v>212</v>
      </c>
      <c r="E43393" t="s">
        <v>158</v>
      </c>
      <c r="F43393" s="2" t="str">
        <f>HYPERLINK("http://www.otzar.org/book.asp?5916","שפת אמת")</f>
        <v>שפת אמת</v>
      </c>
    </row>
    <row r="43394" spans="1:6" x14ac:dyDescent="0.2">
      <c r="A43394" t="s">
        <v>65577</v>
      </c>
      <c r="B43394" t="s">
        <v>65582</v>
      </c>
      <c r="C43394" t="s">
        <v>609</v>
      </c>
      <c r="D43394" t="s">
        <v>1966</v>
      </c>
      <c r="E43394" t="s">
        <v>154</v>
      </c>
      <c r="F43394" s="2" t="str">
        <f>HYPERLINK("http://www.otzar.org/book.asp?20448","שפת אמת")</f>
        <v>שפת אמת</v>
      </c>
    </row>
    <row r="43395" spans="1:6" x14ac:dyDescent="0.2">
      <c r="A43395" t="s">
        <v>65577</v>
      </c>
      <c r="B43395" t="s">
        <v>65583</v>
      </c>
      <c r="C43395" t="s">
        <v>854</v>
      </c>
      <c r="D43395" t="s">
        <v>1365</v>
      </c>
      <c r="E43395" t="s">
        <v>213</v>
      </c>
      <c r="F43395" s="2" t="str">
        <f>HYPERLINK("http://www.otzar.org/book.asp?193937","שפת אמת")</f>
        <v>שפת אמת</v>
      </c>
    </row>
    <row r="43396" spans="1:6" x14ac:dyDescent="0.2">
      <c r="A43396" t="s">
        <v>65577</v>
      </c>
      <c r="B43396" t="s">
        <v>6040</v>
      </c>
      <c r="C43396" t="s">
        <v>1096</v>
      </c>
      <c r="D43396" t="s">
        <v>65584</v>
      </c>
      <c r="E43396" t="s">
        <v>399</v>
      </c>
      <c r="F43396" s="2" t="str">
        <f>HYPERLINK("http://www.otzar.org/book.asp?100708","שפת אמת")</f>
        <v>שפת אמת</v>
      </c>
    </row>
    <row r="43397" spans="1:6" x14ac:dyDescent="0.2">
      <c r="A43397" t="s">
        <v>65577</v>
      </c>
      <c r="B43397" t="s">
        <v>5730</v>
      </c>
      <c r="C43397" t="s">
        <v>5823</v>
      </c>
      <c r="D43397" t="s">
        <v>283</v>
      </c>
      <c r="E43397" t="s">
        <v>10</v>
      </c>
      <c r="F43397" s="2" t="str">
        <f>HYPERLINK("http://www.otzar.org/book.asp?28315","שפת אמת")</f>
        <v>שפת אמת</v>
      </c>
    </row>
    <row r="43398" spans="1:6" x14ac:dyDescent="0.2">
      <c r="A43398" t="s">
        <v>65577</v>
      </c>
      <c r="B43398" t="s">
        <v>2654</v>
      </c>
      <c r="C43398" t="s">
        <v>617</v>
      </c>
      <c r="D43398" t="s">
        <v>6238</v>
      </c>
      <c r="E43398" t="s">
        <v>674</v>
      </c>
      <c r="F43398" s="2" t="str">
        <f>HYPERLINK("http://www.otzar.org/book.asp?21392","שפת אמת")</f>
        <v>שפת אמת</v>
      </c>
    </row>
    <row r="43399" spans="1:6" x14ac:dyDescent="0.2">
      <c r="A43399" t="s">
        <v>65577</v>
      </c>
      <c r="B43399" t="s">
        <v>65585</v>
      </c>
      <c r="C43399" t="s">
        <v>2227</v>
      </c>
      <c r="D43399" t="s">
        <v>8830</v>
      </c>
      <c r="F43399" s="2" t="str">
        <f>HYPERLINK("http://www.otzar.org/book.asp?164868","שפת אמת")</f>
        <v>שפת אמת</v>
      </c>
    </row>
    <row r="43400" spans="1:6" x14ac:dyDescent="0.2">
      <c r="A43400" t="s">
        <v>65586</v>
      </c>
      <c r="B43400" t="s">
        <v>65587</v>
      </c>
      <c r="C43400" t="s">
        <v>20</v>
      </c>
      <c r="D43400" t="s">
        <v>2319</v>
      </c>
      <c r="E43400" t="s">
        <v>158</v>
      </c>
      <c r="F43400" s="2" t="str">
        <f>HYPERLINK("http://www.otzar.org/book.asp?180223","שפת הג""ן")</f>
        <v>שפת הג"ן</v>
      </c>
    </row>
    <row r="43401" spans="1:6" x14ac:dyDescent="0.2">
      <c r="A43401" t="s">
        <v>65588</v>
      </c>
      <c r="B43401" t="s">
        <v>418</v>
      </c>
      <c r="C43401" t="s">
        <v>103</v>
      </c>
      <c r="D43401" t="s">
        <v>14</v>
      </c>
      <c r="E43401" t="s">
        <v>172</v>
      </c>
      <c r="F43401" s="2" t="str">
        <f>HYPERLINK("http://www.otzar.org/book.asp?22666","שפת החושן - 3 כר'")</f>
        <v>שפת החושן - 3 כר'</v>
      </c>
    </row>
    <row r="43402" spans="1:6" x14ac:dyDescent="0.2">
      <c r="A43402" t="s">
        <v>65589</v>
      </c>
      <c r="B43402" t="s">
        <v>542</v>
      </c>
      <c r="C43402" t="s">
        <v>543</v>
      </c>
      <c r="D43402" t="s">
        <v>544</v>
      </c>
      <c r="E43402" t="s">
        <v>246</v>
      </c>
      <c r="F43402" s="2" t="str">
        <f>HYPERLINK("http://www.otzar.org/book.asp?189471","שפת הים &lt;על הגדה של פסח&gt;")</f>
        <v>שפת הים &lt;על הגדה של פסח&gt;</v>
      </c>
    </row>
    <row r="43403" spans="1:6" x14ac:dyDescent="0.2">
      <c r="A43403" t="s">
        <v>65590</v>
      </c>
      <c r="B43403" t="s">
        <v>65591</v>
      </c>
      <c r="C43403" t="s">
        <v>37</v>
      </c>
      <c r="D43403" t="s">
        <v>14</v>
      </c>
      <c r="F43403" s="2" t="str">
        <f>HYPERLINK("http://www.otzar.org/book.asp?193624","שפת הים &lt;מהדורה חדשה&gt;")</f>
        <v>שפת הים &lt;מהדורה חדשה&gt;</v>
      </c>
    </row>
    <row r="43404" spans="1:6" x14ac:dyDescent="0.2">
      <c r="A43404" t="s">
        <v>65592</v>
      </c>
      <c r="B43404" t="s">
        <v>542</v>
      </c>
      <c r="C43404" t="s">
        <v>915</v>
      </c>
      <c r="D43404" t="s">
        <v>1008</v>
      </c>
      <c r="E43404" t="s">
        <v>246</v>
      </c>
      <c r="F43404" s="2" t="str">
        <f>HYPERLINK("http://www.otzar.org/book.asp?189542","שפת הים - 3 כר'")</f>
        <v>שפת הים - 3 כר'</v>
      </c>
    </row>
    <row r="43405" spans="1:6" x14ac:dyDescent="0.2">
      <c r="A43405" t="s">
        <v>65592</v>
      </c>
      <c r="B43405" t="s">
        <v>65591</v>
      </c>
      <c r="C43405" t="s">
        <v>603</v>
      </c>
      <c r="D43405" t="s">
        <v>1279</v>
      </c>
      <c r="E43405" t="s">
        <v>11780</v>
      </c>
      <c r="F43405" s="2" t="str">
        <f>HYPERLINK("http://www.otzar.org/book.asp?6563","שפת הים - 3 כר'")</f>
        <v>שפת הים - 3 כר'</v>
      </c>
    </row>
    <row r="43406" spans="1:6" x14ac:dyDescent="0.2">
      <c r="A43406" t="s">
        <v>65593</v>
      </c>
      <c r="B43406" t="s">
        <v>2074</v>
      </c>
      <c r="C43406" t="s">
        <v>313</v>
      </c>
      <c r="D43406" t="s">
        <v>14</v>
      </c>
      <c r="E43406" t="s">
        <v>22920</v>
      </c>
      <c r="F43406" s="2" t="str">
        <f>HYPERLINK("http://www.otzar.org/book.asp?150810","שפת הים - 5 כר'")</f>
        <v>שפת הים - 5 כר'</v>
      </c>
    </row>
    <row r="43407" spans="1:6" x14ac:dyDescent="0.2">
      <c r="A43407" t="s">
        <v>65592</v>
      </c>
      <c r="B43407" t="s">
        <v>65594</v>
      </c>
      <c r="C43407" t="s">
        <v>65595</v>
      </c>
      <c r="D43407" t="s">
        <v>56</v>
      </c>
      <c r="E43407" t="s">
        <v>154</v>
      </c>
      <c r="F43407" s="2" t="str">
        <f>HYPERLINK("http://www.otzar.org/book.asp?1013","שפת הים - 3 כר'")</f>
        <v>שפת הים - 3 כר'</v>
      </c>
    </row>
    <row r="43408" spans="1:6" x14ac:dyDescent="0.2">
      <c r="A43408" t="s">
        <v>65596</v>
      </c>
      <c r="B43408" t="s">
        <v>23317</v>
      </c>
      <c r="C43408" t="s">
        <v>454</v>
      </c>
      <c r="D43408" t="s">
        <v>52</v>
      </c>
      <c r="E43408" t="s">
        <v>130</v>
      </c>
      <c r="F43408" s="2" t="str">
        <f>HYPERLINK("http://www.otzar.org/book.asp?52327","שפת הים")</f>
        <v>שפת הים</v>
      </c>
    </row>
    <row r="43409" spans="1:6" x14ac:dyDescent="0.2">
      <c r="A43409" t="s">
        <v>65596</v>
      </c>
      <c r="B43409" t="s">
        <v>50432</v>
      </c>
      <c r="C43409" t="s">
        <v>343</v>
      </c>
      <c r="D43409" t="s">
        <v>76</v>
      </c>
      <c r="E43409" t="s">
        <v>154</v>
      </c>
      <c r="F43409" s="2" t="str">
        <f>HYPERLINK("http://www.otzar.org/book.asp?101915","שפת הים")</f>
        <v>שפת הים</v>
      </c>
    </row>
    <row r="43410" spans="1:6" x14ac:dyDescent="0.2">
      <c r="A43410" t="s">
        <v>65597</v>
      </c>
      <c r="B43410" t="s">
        <v>65598</v>
      </c>
      <c r="C43410" t="s">
        <v>1663</v>
      </c>
      <c r="D43410" t="s">
        <v>27</v>
      </c>
      <c r="E43410" t="s">
        <v>158</v>
      </c>
      <c r="F43410" s="2" t="str">
        <f>HYPERLINK("http://www.otzar.org/book.asp?163953","שפת הים - 2 כר'")</f>
        <v>שפת הים - 2 כר'</v>
      </c>
    </row>
    <row r="43411" spans="1:6" x14ac:dyDescent="0.2">
      <c r="A43411" t="s">
        <v>65599</v>
      </c>
      <c r="B43411" t="s">
        <v>41723</v>
      </c>
      <c r="C43411" t="s">
        <v>3840</v>
      </c>
      <c r="D43411" t="s">
        <v>52</v>
      </c>
      <c r="E43411" t="s">
        <v>674</v>
      </c>
      <c r="F43411" s="2" t="str">
        <f>HYPERLINK("http://www.otzar.org/book.asp?144723","שפת המעיל - 2 כר'")</f>
        <v>שפת המעיל - 2 כר'</v>
      </c>
    </row>
    <row r="43412" spans="1:6" x14ac:dyDescent="0.2">
      <c r="A43412" t="s">
        <v>65600</v>
      </c>
      <c r="B43412" t="s">
        <v>65601</v>
      </c>
      <c r="C43412" t="s">
        <v>1811</v>
      </c>
      <c r="D43412" t="s">
        <v>52</v>
      </c>
      <c r="F43412" s="2" t="str">
        <f>HYPERLINK("http://www.otzar.org/book.asp?193075","שפת הנחל")</f>
        <v>שפת הנחל</v>
      </c>
    </row>
    <row r="43413" spans="1:6" x14ac:dyDescent="0.2">
      <c r="A43413" t="s">
        <v>65600</v>
      </c>
      <c r="B43413" t="s">
        <v>162</v>
      </c>
      <c r="C43413" t="s">
        <v>802</v>
      </c>
      <c r="D43413" t="s">
        <v>164</v>
      </c>
      <c r="E43413" t="s">
        <v>234</v>
      </c>
      <c r="F43413" s="2" t="str">
        <f>HYPERLINK("http://www.otzar.org/book.asp?7305","שפת הנחל")</f>
        <v>שפת הנחל</v>
      </c>
    </row>
    <row r="43414" spans="1:6" x14ac:dyDescent="0.2">
      <c r="A43414" t="s">
        <v>65602</v>
      </c>
      <c r="B43414" t="s">
        <v>65603</v>
      </c>
      <c r="C43414" t="s">
        <v>419</v>
      </c>
      <c r="D43414" t="s">
        <v>14</v>
      </c>
      <c r="E43414" t="s">
        <v>172</v>
      </c>
      <c r="F43414" s="2" t="str">
        <f>HYPERLINK("http://www.otzar.org/book.asp?615802","שפת השולחן - 2 כר'")</f>
        <v>שפת השולחן - 2 כר'</v>
      </c>
    </row>
    <row r="43415" spans="1:6" x14ac:dyDescent="0.2">
      <c r="A43415" t="s">
        <v>65604</v>
      </c>
      <c r="B43415" t="s">
        <v>9655</v>
      </c>
      <c r="C43415" t="s">
        <v>151</v>
      </c>
      <c r="D43415" t="s">
        <v>52</v>
      </c>
      <c r="F43415" s="2" t="str">
        <f>HYPERLINK("http://www.otzar.org/book.asp?622728","שפת השלחן - 2 כר'")</f>
        <v>שפת השלחן - 2 כר'</v>
      </c>
    </row>
    <row r="43416" spans="1:6" x14ac:dyDescent="0.2">
      <c r="A43416" t="s">
        <v>65605</v>
      </c>
      <c r="B43416" t="s">
        <v>17572</v>
      </c>
      <c r="C43416" t="s">
        <v>133</v>
      </c>
      <c r="D43416" t="s">
        <v>14</v>
      </c>
      <c r="E43416" t="s">
        <v>213</v>
      </c>
      <c r="F43416" s="2" t="str">
        <f>HYPERLINK("http://www.otzar.org/book.asp?604685","שפת חיים - 13 כר'")</f>
        <v>שפת חיים - 13 כר'</v>
      </c>
    </row>
    <row r="43417" spans="1:6" x14ac:dyDescent="0.2">
      <c r="A43417" t="s">
        <v>65606</v>
      </c>
      <c r="B43417" t="s">
        <v>531</v>
      </c>
      <c r="C43417" t="s">
        <v>248</v>
      </c>
      <c r="D43417" t="s">
        <v>1422</v>
      </c>
      <c r="E43417" t="s">
        <v>104</v>
      </c>
      <c r="F43417" s="2" t="str">
        <f>HYPERLINK("http://www.otzar.org/book.asp?38","שפת יתר")</f>
        <v>שפת יתר</v>
      </c>
    </row>
    <row r="43418" spans="1:6" x14ac:dyDescent="0.2">
      <c r="A43418" t="s">
        <v>65607</v>
      </c>
      <c r="B43418" t="s">
        <v>65608</v>
      </c>
      <c r="C43418" t="s">
        <v>411</v>
      </c>
      <c r="E43418" t="s">
        <v>144</v>
      </c>
      <c r="F43418" s="2" t="str">
        <f>HYPERLINK("http://www.otzar.org/book.asp?629475","שפת שלום - 4 כר'")</f>
        <v>שפת שלום - 4 כר'</v>
      </c>
    </row>
    <row r="43419" spans="1:6" x14ac:dyDescent="0.2">
      <c r="A43419" t="s">
        <v>65609</v>
      </c>
      <c r="B43419" t="s">
        <v>65610</v>
      </c>
      <c r="C43419" t="s">
        <v>13</v>
      </c>
      <c r="D43419" t="s">
        <v>412</v>
      </c>
      <c r="E43419" t="s">
        <v>144</v>
      </c>
      <c r="F43419" s="2" t="str">
        <f>HYPERLINK("http://www.otzar.org/book.asp?158200","שפת שלמה - 2 כר'")</f>
        <v>שפת שלמה - 2 כר'</v>
      </c>
    </row>
    <row r="43420" spans="1:6" x14ac:dyDescent="0.2">
      <c r="A43420" t="s">
        <v>65611</v>
      </c>
      <c r="B43420" t="s">
        <v>65612</v>
      </c>
      <c r="C43420" t="s">
        <v>17</v>
      </c>
      <c r="D43420" t="s">
        <v>152</v>
      </c>
      <c r="E43420" t="s">
        <v>84</v>
      </c>
      <c r="F43420" s="2" t="str">
        <f>HYPERLINK("http://www.otzar.org/book.asp?186742","שפת שלמה - טהרות")</f>
        <v>שפת שלמה - טהרות</v>
      </c>
    </row>
    <row r="43421" spans="1:6" x14ac:dyDescent="0.2">
      <c r="A43421" t="s">
        <v>65613</v>
      </c>
      <c r="B43421" t="s">
        <v>1978</v>
      </c>
      <c r="C43421" t="s">
        <v>68</v>
      </c>
      <c r="D43421" t="s">
        <v>14</v>
      </c>
      <c r="E43421" t="s">
        <v>714</v>
      </c>
      <c r="F43421" s="2" t="str">
        <f>HYPERLINK("http://www.otzar.org/book.asp?152393","שפת תמים - 2 כר'")</f>
        <v>שפת תמים - 2 כר'</v>
      </c>
    </row>
    <row r="43422" spans="1:6" x14ac:dyDescent="0.2">
      <c r="A43422" t="s">
        <v>65614</v>
      </c>
      <c r="B43422" t="s">
        <v>65615</v>
      </c>
      <c r="C43422" t="s">
        <v>23</v>
      </c>
      <c r="D43422" t="s">
        <v>14</v>
      </c>
      <c r="F43422" s="2" t="str">
        <f>HYPERLINK("http://www.otzar.org/book.asp?612114","שפתותיהם דובבות - בראשית")</f>
        <v>שפתותיהם דובבות - בראשית</v>
      </c>
    </row>
    <row r="43423" spans="1:6" x14ac:dyDescent="0.2">
      <c r="A43423" t="s">
        <v>65616</v>
      </c>
      <c r="B43423" t="s">
        <v>65617</v>
      </c>
      <c r="C43423" t="s">
        <v>224</v>
      </c>
      <c r="D43423" t="s">
        <v>283</v>
      </c>
      <c r="E43423" t="s">
        <v>930</v>
      </c>
      <c r="F43423" s="2" t="str">
        <f>HYPERLINK("http://www.otzar.org/book.asp?101836","שפתי אברהם")</f>
        <v>שפתי אברהם</v>
      </c>
    </row>
    <row r="43424" spans="1:6" x14ac:dyDescent="0.2">
      <c r="A43424" t="s">
        <v>65618</v>
      </c>
      <c r="B43424" t="s">
        <v>65619</v>
      </c>
      <c r="C43424" t="s">
        <v>411</v>
      </c>
      <c r="D43424" t="s">
        <v>147</v>
      </c>
      <c r="F43424" s="2" t="str">
        <f>HYPERLINK("http://www.otzar.org/book.asp?198374","שפתי אהרן - 5 כר'")</f>
        <v>שפתי אהרן - 5 כר'</v>
      </c>
    </row>
    <row r="43425" spans="1:6" x14ac:dyDescent="0.2">
      <c r="A43425" t="s">
        <v>65620</v>
      </c>
      <c r="B43425" t="s">
        <v>65621</v>
      </c>
      <c r="C43425" t="s">
        <v>547</v>
      </c>
      <c r="D43425" t="s">
        <v>379</v>
      </c>
      <c r="E43425" t="s">
        <v>84</v>
      </c>
      <c r="F43425" s="2" t="str">
        <f>HYPERLINK("http://www.otzar.org/book.asp?7470","שפתי אהרן")</f>
        <v>שפתי אהרן</v>
      </c>
    </row>
    <row r="43426" spans="1:6" x14ac:dyDescent="0.2">
      <c r="A43426" t="s">
        <v>65622</v>
      </c>
      <c r="B43426" t="s">
        <v>49854</v>
      </c>
      <c r="C43426" t="s">
        <v>111</v>
      </c>
      <c r="D43426" t="s">
        <v>1550</v>
      </c>
      <c r="F43426" s="2" t="str">
        <f>HYPERLINK("http://www.otzar.org/book.asp?619939","שפתי איל")</f>
        <v>שפתי איל</v>
      </c>
    </row>
    <row r="43427" spans="1:6" x14ac:dyDescent="0.2">
      <c r="A43427" t="s">
        <v>65623</v>
      </c>
      <c r="B43427" t="s">
        <v>23452</v>
      </c>
      <c r="C43427" t="s">
        <v>785</v>
      </c>
      <c r="D43427" t="s">
        <v>412</v>
      </c>
      <c r="E43427" t="s">
        <v>144</v>
      </c>
      <c r="F43427" s="2" t="str">
        <f>HYPERLINK("http://www.otzar.org/book.asp?159282","שפתי אליעזר")</f>
        <v>שפתי אליעזר</v>
      </c>
    </row>
    <row r="43428" spans="1:6" x14ac:dyDescent="0.2">
      <c r="A43428" t="s">
        <v>65624</v>
      </c>
      <c r="B43428" t="s">
        <v>65625</v>
      </c>
      <c r="C43428" t="s">
        <v>1570</v>
      </c>
      <c r="D43428" t="s">
        <v>52</v>
      </c>
      <c r="E43428" t="s">
        <v>12174</v>
      </c>
      <c r="F43428" s="2" t="str">
        <f>HYPERLINK("http://www.otzar.org/book.asp?166181","שפתי אשר")</f>
        <v>שפתי אשר</v>
      </c>
    </row>
    <row r="43429" spans="1:6" x14ac:dyDescent="0.2">
      <c r="A43429" t="s">
        <v>65626</v>
      </c>
      <c r="B43429" t="s">
        <v>65627</v>
      </c>
      <c r="C43429" t="s">
        <v>1062</v>
      </c>
      <c r="D43429" t="s">
        <v>563</v>
      </c>
      <c r="E43429" t="s">
        <v>579</v>
      </c>
      <c r="F43429" s="2" t="str">
        <f>HYPERLINK("http://www.otzar.org/book.asp?8039","שפתי בינה")</f>
        <v>שפתי בינה</v>
      </c>
    </row>
    <row r="43430" spans="1:6" x14ac:dyDescent="0.2">
      <c r="A43430" t="s">
        <v>65628</v>
      </c>
      <c r="B43430" t="s">
        <v>65629</v>
      </c>
      <c r="C43430" t="s">
        <v>103</v>
      </c>
      <c r="D43430" t="s">
        <v>90</v>
      </c>
      <c r="E43430" t="s">
        <v>144</v>
      </c>
      <c r="F43430" s="2" t="str">
        <f>HYPERLINK("http://www.otzar.org/book.asp?171123","שפתי בנימין")</f>
        <v>שפתי בנימין</v>
      </c>
    </row>
    <row r="43431" spans="1:6" x14ac:dyDescent="0.2">
      <c r="A43431" t="s">
        <v>65630</v>
      </c>
      <c r="B43431" t="s">
        <v>65631</v>
      </c>
      <c r="C43431" t="s">
        <v>26</v>
      </c>
      <c r="D43431" t="s">
        <v>2468</v>
      </c>
      <c r="E43431" t="s">
        <v>474</v>
      </c>
      <c r="F43431" s="2" t="str">
        <f>HYPERLINK("http://www.otzar.org/book.asp?7317","שפתי גבריאל")</f>
        <v>שפתי גבריאל</v>
      </c>
    </row>
    <row r="43432" spans="1:6" x14ac:dyDescent="0.2">
      <c r="A43432" t="s">
        <v>65632</v>
      </c>
      <c r="B43432" t="s">
        <v>65633</v>
      </c>
      <c r="C43432" t="s">
        <v>189</v>
      </c>
      <c r="D43432" t="s">
        <v>3331</v>
      </c>
      <c r="E43432" t="s">
        <v>154</v>
      </c>
      <c r="F43432" s="2" t="str">
        <f>HYPERLINK("http://www.otzar.org/book.asp?50236","שפתי דעת &lt;שו""ת&gt; - 2 כר'")</f>
        <v>שפתי דעת &lt;שו"ת&gt; - 2 כר'</v>
      </c>
    </row>
    <row r="43433" spans="1:6" x14ac:dyDescent="0.2">
      <c r="A43433" t="s">
        <v>65634</v>
      </c>
      <c r="B43433" t="s">
        <v>4556</v>
      </c>
      <c r="C43433" t="s">
        <v>23</v>
      </c>
      <c r="D43433" t="s">
        <v>14</v>
      </c>
      <c r="E43433" t="s">
        <v>119</v>
      </c>
      <c r="F43433" s="2" t="str">
        <f>HYPERLINK("http://www.otzar.org/book.asp?199888","שפתי דעת &lt;מהדורה חדשה&gt; - 2 כר'")</f>
        <v>שפתי דעת &lt;מהדורה חדשה&gt; - 2 כר'</v>
      </c>
    </row>
    <row r="43434" spans="1:6" x14ac:dyDescent="0.2">
      <c r="A43434" t="s">
        <v>65635</v>
      </c>
      <c r="B43434" t="s">
        <v>65636</v>
      </c>
      <c r="C43434" t="s">
        <v>411</v>
      </c>
      <c r="D43434" t="s">
        <v>1205</v>
      </c>
      <c r="E43434" t="s">
        <v>241</v>
      </c>
      <c r="F43434" s="2" t="str">
        <f>HYPERLINK("http://www.otzar.org/book.asp?199899","שפתי דעת - מועדים")</f>
        <v>שפתי דעת - מועדים</v>
      </c>
    </row>
    <row r="43435" spans="1:6" x14ac:dyDescent="0.2">
      <c r="A43435" t="s">
        <v>65637</v>
      </c>
      <c r="B43435" t="s">
        <v>65633</v>
      </c>
      <c r="C43435" t="s">
        <v>129</v>
      </c>
      <c r="D43435" t="s">
        <v>3331</v>
      </c>
      <c r="E43435" t="s">
        <v>158</v>
      </c>
      <c r="F43435" s="2" t="str">
        <f>HYPERLINK("http://www.otzar.org/book.asp?193003","שפתי דעת - על שיר השירים")</f>
        <v>שפתי דעת - על שיר השירים</v>
      </c>
    </row>
    <row r="43436" spans="1:6" x14ac:dyDescent="0.2">
      <c r="A43436" t="s">
        <v>65638</v>
      </c>
      <c r="B43436" t="s">
        <v>4556</v>
      </c>
      <c r="C43436" t="s">
        <v>4705</v>
      </c>
      <c r="D43436" t="s">
        <v>283</v>
      </c>
      <c r="E43436" t="s">
        <v>158</v>
      </c>
      <c r="F43436" s="2" t="str">
        <f>HYPERLINK("http://www.otzar.org/book.asp?100722","שפתי דעת - 2 כר'")</f>
        <v>שפתי דעת - 2 כר'</v>
      </c>
    </row>
    <row r="43437" spans="1:6" x14ac:dyDescent="0.2">
      <c r="A43437" t="s">
        <v>65639</v>
      </c>
      <c r="B43437" t="s">
        <v>1724</v>
      </c>
      <c r="C43437" t="s">
        <v>10859</v>
      </c>
      <c r="D43437" t="s">
        <v>60</v>
      </c>
      <c r="E43437" t="s">
        <v>474</v>
      </c>
      <c r="F43437" s="2" t="str">
        <f>HYPERLINK("http://www.otzar.org/book.asp?21393","שפתי דעת")</f>
        <v>שפתי דעת</v>
      </c>
    </row>
    <row r="43438" spans="1:6" x14ac:dyDescent="0.2">
      <c r="A43438" t="s">
        <v>65640</v>
      </c>
      <c r="B43438" t="s">
        <v>17346</v>
      </c>
      <c r="C43438" t="s">
        <v>422</v>
      </c>
      <c r="D43438" t="s">
        <v>52</v>
      </c>
      <c r="E43438" t="s">
        <v>158</v>
      </c>
      <c r="F43438" s="2" t="str">
        <f>HYPERLINK("http://www.otzar.org/book.asp?153009","שפתי חיים &lt;על התורה&gt; - 3 כר'")</f>
        <v>שפתי חיים &lt;על התורה&gt; - 3 כר'</v>
      </c>
    </row>
    <row r="43439" spans="1:6" x14ac:dyDescent="0.2">
      <c r="A43439" t="s">
        <v>65641</v>
      </c>
      <c r="B43439" t="s">
        <v>43682</v>
      </c>
      <c r="C43439" t="s">
        <v>23</v>
      </c>
      <c r="D43439" t="s">
        <v>273</v>
      </c>
      <c r="F43439" s="2" t="str">
        <f>HYPERLINK("http://www.otzar.org/book.asp?604469","שפתי חיים")</f>
        <v>שפתי חיים</v>
      </c>
    </row>
    <row r="43440" spans="1:6" x14ac:dyDescent="0.2">
      <c r="A43440" t="s">
        <v>65641</v>
      </c>
      <c r="B43440" t="s">
        <v>65642</v>
      </c>
      <c r="C43440" t="s">
        <v>313</v>
      </c>
      <c r="D43440" t="s">
        <v>486</v>
      </c>
      <c r="E43440" t="s">
        <v>104</v>
      </c>
      <c r="F43440" s="2" t="str">
        <f>HYPERLINK("http://www.otzar.org/book.asp?173799","שפתי חיים")</f>
        <v>שפתי חיים</v>
      </c>
    </row>
    <row r="43441" spans="1:6" x14ac:dyDescent="0.2">
      <c r="A43441" t="s">
        <v>65643</v>
      </c>
      <c r="B43441" t="s">
        <v>17346</v>
      </c>
      <c r="C43441" t="s">
        <v>466</v>
      </c>
      <c r="D43441" t="s">
        <v>52</v>
      </c>
      <c r="E43441" t="s">
        <v>241</v>
      </c>
      <c r="F43441" s="2" t="str">
        <f>HYPERLINK("http://www.otzar.org/book.asp?22891","שפתי חיים - 10 כר'")</f>
        <v>שפתי חיים - 10 כר'</v>
      </c>
    </row>
    <row r="43442" spans="1:6" x14ac:dyDescent="0.2">
      <c r="A43442" t="s">
        <v>65644</v>
      </c>
      <c r="B43442" t="s">
        <v>65645</v>
      </c>
      <c r="C43442" t="s">
        <v>103</v>
      </c>
      <c r="D43442" t="s">
        <v>14</v>
      </c>
      <c r="E43442" t="s">
        <v>186</v>
      </c>
      <c r="F43442" s="2" t="str">
        <f>HYPERLINK("http://www.otzar.org/book.asp?60093","שפתי חכמה - יבמות")</f>
        <v>שפתי חכמה - יבמות</v>
      </c>
    </row>
    <row r="43443" spans="1:6" x14ac:dyDescent="0.2">
      <c r="A43443" t="s">
        <v>65646</v>
      </c>
      <c r="B43443" t="s">
        <v>39433</v>
      </c>
      <c r="C43443" t="s">
        <v>5619</v>
      </c>
      <c r="D43443" t="s">
        <v>6042</v>
      </c>
      <c r="E43443" t="s">
        <v>158</v>
      </c>
      <c r="F43443" s="2" t="str">
        <f>HYPERLINK("http://www.otzar.org/book.asp?150022","שפתי חכמים")</f>
        <v>שפתי חכמים</v>
      </c>
    </row>
    <row r="43444" spans="1:6" x14ac:dyDescent="0.2">
      <c r="A43444" t="s">
        <v>65647</v>
      </c>
      <c r="B43444" t="s">
        <v>17710</v>
      </c>
      <c r="C43444" t="s">
        <v>775</v>
      </c>
      <c r="D43444" t="s">
        <v>52</v>
      </c>
      <c r="E43444" t="s">
        <v>144</v>
      </c>
      <c r="F43444" s="2" t="str">
        <f>HYPERLINK("http://www.otzar.org/book.asp?144928","שפתי חכמים - 6 כר'")</f>
        <v>שפתי חכמים - 6 כר'</v>
      </c>
    </row>
    <row r="43445" spans="1:6" x14ac:dyDescent="0.2">
      <c r="A43445" t="s">
        <v>65646</v>
      </c>
      <c r="B43445" t="s">
        <v>65648</v>
      </c>
      <c r="C43445" t="s">
        <v>619</v>
      </c>
      <c r="D43445" t="s">
        <v>1966</v>
      </c>
      <c r="F43445" s="2" t="str">
        <f>HYPERLINK("http://www.otzar.org/book.asp?22227","שפתי חכמים")</f>
        <v>שפתי חכמים</v>
      </c>
    </row>
    <row r="43446" spans="1:6" x14ac:dyDescent="0.2">
      <c r="A43446" t="s">
        <v>65649</v>
      </c>
      <c r="B43446" t="s">
        <v>65650</v>
      </c>
      <c r="C43446" t="s">
        <v>1448</v>
      </c>
      <c r="D43446" t="s">
        <v>14</v>
      </c>
      <c r="E43446" t="s">
        <v>202</v>
      </c>
      <c r="F43446" s="2" t="str">
        <f>HYPERLINK("http://www.otzar.org/book.asp?145157","שפתי חכמים - 3 כר'")</f>
        <v>שפתי חכמים - 3 כר'</v>
      </c>
    </row>
    <row r="43447" spans="1:6" x14ac:dyDescent="0.2">
      <c r="A43447" t="s">
        <v>65651</v>
      </c>
      <c r="B43447" t="s">
        <v>65652</v>
      </c>
      <c r="C43447" t="s">
        <v>2105</v>
      </c>
      <c r="D43447" t="s">
        <v>9</v>
      </c>
      <c r="E43447" t="s">
        <v>234</v>
      </c>
      <c r="F43447" s="2" t="str">
        <f>HYPERLINK("http://www.otzar.org/book.asp?52038","שפתי חן")</f>
        <v>שפתי חן</v>
      </c>
    </row>
    <row r="43448" spans="1:6" x14ac:dyDescent="0.2">
      <c r="A43448" t="s">
        <v>65651</v>
      </c>
      <c r="B43448" t="s">
        <v>14587</v>
      </c>
      <c r="C43448" t="s">
        <v>492</v>
      </c>
      <c r="D43448" t="s">
        <v>56</v>
      </c>
      <c r="F43448" s="2" t="str">
        <f>HYPERLINK("http://www.otzar.org/book.asp?84130","שפתי חן")</f>
        <v>שפתי חן</v>
      </c>
    </row>
    <row r="43449" spans="1:6" x14ac:dyDescent="0.2">
      <c r="A43449" t="s">
        <v>65651</v>
      </c>
      <c r="B43449" t="s">
        <v>65653</v>
      </c>
      <c r="C43449" t="s">
        <v>129</v>
      </c>
      <c r="D43449" t="s">
        <v>1632</v>
      </c>
      <c r="E43449" t="s">
        <v>140</v>
      </c>
      <c r="F43449" s="2" t="str">
        <f>HYPERLINK("http://www.otzar.org/book.asp?168508","שפתי חן")</f>
        <v>שפתי חן</v>
      </c>
    </row>
    <row r="43450" spans="1:6" x14ac:dyDescent="0.2">
      <c r="A43450" t="s">
        <v>65654</v>
      </c>
      <c r="B43450" t="s">
        <v>65655</v>
      </c>
      <c r="C43450" t="s">
        <v>1284</v>
      </c>
      <c r="D43450" t="s">
        <v>56</v>
      </c>
      <c r="E43450" t="s">
        <v>15056</v>
      </c>
      <c r="F43450" s="2" t="str">
        <f>HYPERLINK("http://www.otzar.org/book.asp?149643","שפתי יעקב")</f>
        <v>שפתי יעקב</v>
      </c>
    </row>
    <row r="43451" spans="1:6" x14ac:dyDescent="0.2">
      <c r="A43451" t="s">
        <v>65656</v>
      </c>
      <c r="B43451" t="s">
        <v>45888</v>
      </c>
      <c r="C43451" t="s">
        <v>103</v>
      </c>
      <c r="D43451" t="s">
        <v>657</v>
      </c>
      <c r="E43451" t="s">
        <v>144</v>
      </c>
      <c r="F43451" s="2" t="str">
        <f>HYPERLINK("http://www.otzar.org/book.asp?85052","שפתי יצחק - 6 כר'")</f>
        <v>שפתי יצחק - 6 כר'</v>
      </c>
    </row>
    <row r="43452" spans="1:6" x14ac:dyDescent="0.2">
      <c r="A43452" t="s">
        <v>65657</v>
      </c>
      <c r="B43452" t="s">
        <v>65658</v>
      </c>
      <c r="C43452" t="s">
        <v>23</v>
      </c>
      <c r="D43452" t="s">
        <v>21</v>
      </c>
      <c r="F43452" s="2" t="str">
        <f>HYPERLINK("http://www.otzar.org/book.asp?192882","שפתי יצחק - רות, תורה")</f>
        <v>שפתי יצחק - רות, תורה</v>
      </c>
    </row>
    <row r="43453" spans="1:6" x14ac:dyDescent="0.2">
      <c r="A43453" t="s">
        <v>65659</v>
      </c>
      <c r="B43453" t="s">
        <v>39433</v>
      </c>
      <c r="C43453" t="s">
        <v>23875</v>
      </c>
      <c r="D43453" t="s">
        <v>1023</v>
      </c>
      <c r="F43453" s="2" t="str">
        <f>HYPERLINK("http://www.otzar.org/book.asp?619167","שפתי ישינים - 4 כר'")</f>
        <v>שפתי ישינים - 4 כר'</v>
      </c>
    </row>
    <row r="43454" spans="1:6" x14ac:dyDescent="0.2">
      <c r="A43454" t="s">
        <v>65660</v>
      </c>
      <c r="B43454" t="s">
        <v>65661</v>
      </c>
      <c r="C43454" t="s">
        <v>356</v>
      </c>
      <c r="D43454" t="s">
        <v>412</v>
      </c>
      <c r="E43454" t="s">
        <v>202</v>
      </c>
      <c r="F43454" s="2" t="str">
        <f>HYPERLINK("http://www.otzar.org/book.asp?624545","שפתי ישנים - ב")</f>
        <v>שפתי ישנים - ב</v>
      </c>
    </row>
    <row r="43455" spans="1:6" x14ac:dyDescent="0.2">
      <c r="A43455" t="s">
        <v>65662</v>
      </c>
      <c r="B43455" t="s">
        <v>4369</v>
      </c>
      <c r="C43455" t="s">
        <v>356</v>
      </c>
      <c r="D43455" t="s">
        <v>118</v>
      </c>
      <c r="E43455" t="s">
        <v>202</v>
      </c>
      <c r="F43455" s="2" t="str">
        <f>HYPERLINK("http://www.otzar.org/book.asp?171039","שפתי ישנים")</f>
        <v>שפתי ישנים</v>
      </c>
    </row>
    <row r="43456" spans="1:6" x14ac:dyDescent="0.2">
      <c r="A43456" t="s">
        <v>65662</v>
      </c>
      <c r="B43456" t="s">
        <v>65663</v>
      </c>
      <c r="C43456" t="s">
        <v>956</v>
      </c>
      <c r="D43456" t="s">
        <v>14</v>
      </c>
      <c r="E43456" t="s">
        <v>104</v>
      </c>
      <c r="F43456" s="2" t="str">
        <f>HYPERLINK("http://www.otzar.org/book.asp?143176","שפתי ישנים")</f>
        <v>שפתי ישנים</v>
      </c>
    </row>
    <row r="43457" spans="1:6" x14ac:dyDescent="0.2">
      <c r="A43457" t="s">
        <v>65664</v>
      </c>
      <c r="B43457" t="s">
        <v>65665</v>
      </c>
      <c r="C43457" t="s">
        <v>47655</v>
      </c>
      <c r="D43457" t="s">
        <v>283</v>
      </c>
      <c r="E43457" t="s">
        <v>158</v>
      </c>
      <c r="F43457" s="2" t="str">
        <f>HYPERLINK("http://www.otzar.org/book.asp?173072","שפתי ישנים - 2 כר'")</f>
        <v>שפתי ישנים - 2 כר'</v>
      </c>
    </row>
    <row r="43458" spans="1:6" x14ac:dyDescent="0.2">
      <c r="A43458" t="s">
        <v>65662</v>
      </c>
      <c r="B43458" t="s">
        <v>65662</v>
      </c>
      <c r="C43458" t="s">
        <v>888</v>
      </c>
      <c r="D43458" t="s">
        <v>27</v>
      </c>
      <c r="E43458" t="s">
        <v>144</v>
      </c>
      <c r="F43458" s="2" t="str">
        <f>HYPERLINK("http://www.otzar.org/book.asp?102441","שפתי ישנים")</f>
        <v>שפתי ישנים</v>
      </c>
    </row>
    <row r="43459" spans="1:6" x14ac:dyDescent="0.2">
      <c r="A43459" t="s">
        <v>65666</v>
      </c>
      <c r="B43459" t="s">
        <v>65667</v>
      </c>
      <c r="C43459" t="s">
        <v>244</v>
      </c>
      <c r="D43459" t="s">
        <v>52</v>
      </c>
      <c r="E43459" t="s">
        <v>158</v>
      </c>
      <c r="F43459" s="2" t="str">
        <f>HYPERLINK("http://www.otzar.org/book.asp?603296","שפתי ישרים")</f>
        <v>שפתי ישרים</v>
      </c>
    </row>
    <row r="43460" spans="1:6" x14ac:dyDescent="0.2">
      <c r="A43460" t="s">
        <v>65668</v>
      </c>
      <c r="B43460" t="s">
        <v>65669</v>
      </c>
      <c r="C43460" t="s">
        <v>189</v>
      </c>
      <c r="D43460" t="s">
        <v>21</v>
      </c>
      <c r="E43460" t="s">
        <v>158</v>
      </c>
      <c r="F43460" s="2" t="str">
        <f>HYPERLINK("http://www.otzar.org/book.asp?600656","שפתי כהן &lt;מהדורה חדשה&gt; - 2 כר'")</f>
        <v>שפתי כהן &lt;מהדורה חדשה&gt; - 2 כר'</v>
      </c>
    </row>
    <row r="43461" spans="1:6" x14ac:dyDescent="0.2">
      <c r="A43461" t="s">
        <v>65670</v>
      </c>
      <c r="B43461" t="s">
        <v>56807</v>
      </c>
      <c r="C43461" t="s">
        <v>785</v>
      </c>
      <c r="D43461" t="s">
        <v>52</v>
      </c>
      <c r="E43461" t="s">
        <v>144</v>
      </c>
      <c r="F43461" s="2" t="str">
        <f>HYPERLINK("http://www.otzar.org/book.asp?51567","שפתי כהן - א")</f>
        <v>שפתי כהן - א</v>
      </c>
    </row>
    <row r="43462" spans="1:6" x14ac:dyDescent="0.2">
      <c r="A43462" t="s">
        <v>65671</v>
      </c>
      <c r="B43462" t="s">
        <v>13091</v>
      </c>
      <c r="C43462" t="s">
        <v>65672</v>
      </c>
      <c r="D43462" t="s">
        <v>1023</v>
      </c>
      <c r="F43462" s="2" t="str">
        <f>HYPERLINK("http://www.otzar.org/book.asp?619147","שפתי כהן - 3 כר'")</f>
        <v>שפתי כהן - 3 כר'</v>
      </c>
    </row>
    <row r="43463" spans="1:6" x14ac:dyDescent="0.2">
      <c r="A43463" t="s">
        <v>65673</v>
      </c>
      <c r="B43463" t="s">
        <v>65581</v>
      </c>
      <c r="C43463" t="s">
        <v>553</v>
      </c>
      <c r="D43463" t="s">
        <v>14</v>
      </c>
      <c r="F43463" s="2" t="str">
        <f>HYPERLINK("http://www.otzar.org/book.asp?157090","שפתי כהן")</f>
        <v>שפתי כהן</v>
      </c>
    </row>
    <row r="43464" spans="1:6" x14ac:dyDescent="0.2">
      <c r="A43464" t="s">
        <v>65673</v>
      </c>
      <c r="B43464" t="s">
        <v>11051</v>
      </c>
      <c r="C43464" t="s">
        <v>1062</v>
      </c>
      <c r="D43464" t="s">
        <v>2705</v>
      </c>
      <c r="F43464" s="2" t="str">
        <f>HYPERLINK("http://www.otzar.org/book.asp?619378","שפתי כהן")</f>
        <v>שפתי כהן</v>
      </c>
    </row>
    <row r="43465" spans="1:6" x14ac:dyDescent="0.2">
      <c r="A43465" t="s">
        <v>65674</v>
      </c>
      <c r="B43465" t="s">
        <v>65669</v>
      </c>
      <c r="C43465" t="s">
        <v>4287</v>
      </c>
      <c r="D43465" t="s">
        <v>4288</v>
      </c>
      <c r="E43465" t="s">
        <v>158</v>
      </c>
      <c r="F43465" s="2" t="str">
        <f>HYPERLINK("http://www.otzar.org/book.asp?9300","שפתי כהן - 8 כר'")</f>
        <v>שפתי כהן - 8 כר'</v>
      </c>
    </row>
    <row r="43466" spans="1:6" x14ac:dyDescent="0.2">
      <c r="A43466" t="s">
        <v>65673</v>
      </c>
      <c r="B43466" t="s">
        <v>40714</v>
      </c>
      <c r="C43466" t="s">
        <v>13</v>
      </c>
      <c r="D43466" t="s">
        <v>52</v>
      </c>
      <c r="E43466" t="s">
        <v>508</v>
      </c>
      <c r="F43466" s="2" t="str">
        <f>HYPERLINK("http://www.otzar.org/book.asp?167790","שפתי כהן")</f>
        <v>שפתי כהן</v>
      </c>
    </row>
    <row r="43467" spans="1:6" x14ac:dyDescent="0.2">
      <c r="A43467" t="s">
        <v>65675</v>
      </c>
      <c r="B43467" t="s">
        <v>6353</v>
      </c>
      <c r="C43467" t="s">
        <v>68</v>
      </c>
      <c r="D43467" t="s">
        <v>14</v>
      </c>
      <c r="E43467" t="s">
        <v>165</v>
      </c>
      <c r="F43467" s="2" t="str">
        <f>HYPERLINK("http://www.otzar.org/book.asp?159678","שפתי כהן - שבועות")</f>
        <v>שפתי כהן - שבועות</v>
      </c>
    </row>
    <row r="43468" spans="1:6" x14ac:dyDescent="0.2">
      <c r="A43468" t="s">
        <v>65676</v>
      </c>
      <c r="B43468" t="s">
        <v>65677</v>
      </c>
      <c r="C43468" t="s">
        <v>286</v>
      </c>
      <c r="D43468" t="s">
        <v>691</v>
      </c>
      <c r="E43468" t="s">
        <v>930</v>
      </c>
      <c r="F43468" s="2" t="str">
        <f>HYPERLINK("http://www.otzar.org/book.asp?52039","שפתי כהנים")</f>
        <v>שפתי כהנים</v>
      </c>
    </row>
    <row r="43469" spans="1:6" x14ac:dyDescent="0.2">
      <c r="A43469" t="s">
        <v>65678</v>
      </c>
      <c r="B43469" t="s">
        <v>25565</v>
      </c>
      <c r="C43469" t="s">
        <v>37</v>
      </c>
      <c r="D43469" t="s">
        <v>16149</v>
      </c>
      <c r="E43469" t="s">
        <v>2071</v>
      </c>
      <c r="F43469" s="2" t="str">
        <f>HYPERLINK("http://www.otzar.org/book.asp?180015","שפתי מהר""ש &lt;מהדורה חדשה&gt; - 2 כר'")</f>
        <v>שפתי מהר"ש &lt;מהדורה חדשה&gt; - 2 כר'</v>
      </c>
    </row>
    <row r="43470" spans="1:6" x14ac:dyDescent="0.2">
      <c r="A43470" t="s">
        <v>65679</v>
      </c>
      <c r="B43470" t="s">
        <v>25565</v>
      </c>
      <c r="C43470" t="s">
        <v>523</v>
      </c>
      <c r="D43470" t="s">
        <v>412</v>
      </c>
      <c r="E43470" t="s">
        <v>2071</v>
      </c>
      <c r="F43470" s="2" t="str">
        <f>HYPERLINK("http://www.otzar.org/book.asp?159147","שפתי מהר""ש השלם")</f>
        <v>שפתי מהר"ש השלם</v>
      </c>
    </row>
    <row r="43471" spans="1:6" x14ac:dyDescent="0.2">
      <c r="A43471" t="s">
        <v>65680</v>
      </c>
      <c r="B43471" t="s">
        <v>25565</v>
      </c>
      <c r="C43471" t="s">
        <v>576</v>
      </c>
      <c r="D43471" t="s">
        <v>2313</v>
      </c>
      <c r="E43471" t="s">
        <v>158</v>
      </c>
      <c r="F43471" s="2" t="str">
        <f>HYPERLINK("http://www.otzar.org/book.asp?11067","שפתי מהר""ש")</f>
        <v>שפתי מהר"ש</v>
      </c>
    </row>
    <row r="43472" spans="1:6" x14ac:dyDescent="0.2">
      <c r="A43472" t="s">
        <v>65681</v>
      </c>
      <c r="B43472" t="s">
        <v>15161</v>
      </c>
      <c r="C43472" t="s">
        <v>189</v>
      </c>
      <c r="D43472" t="s">
        <v>52</v>
      </c>
      <c r="E43472" t="s">
        <v>241</v>
      </c>
      <c r="F43472" s="2" t="str">
        <f>HYPERLINK("http://www.otzar.org/book.asp?63294","שפתי מלך - 4 כר'")</f>
        <v>שפתי מלך - 4 כר'</v>
      </c>
    </row>
    <row r="43473" spans="1:6" x14ac:dyDescent="0.2">
      <c r="A43473" t="s">
        <v>65682</v>
      </c>
      <c r="B43473" t="s">
        <v>45276</v>
      </c>
      <c r="C43473" t="s">
        <v>13</v>
      </c>
      <c r="D43473" t="s">
        <v>14</v>
      </c>
      <c r="E43473" t="s">
        <v>15</v>
      </c>
      <c r="F43473" s="2" t="str">
        <f>HYPERLINK("http://www.otzar.org/book.asp?152853","שפתי מלך")</f>
        <v>שפתי מלך</v>
      </c>
    </row>
    <row r="43474" spans="1:6" x14ac:dyDescent="0.2">
      <c r="A43474" t="s">
        <v>65683</v>
      </c>
      <c r="B43474" t="s">
        <v>30618</v>
      </c>
      <c r="C43474" t="s">
        <v>13</v>
      </c>
      <c r="D43474" t="s">
        <v>27605</v>
      </c>
      <c r="E43474" t="s">
        <v>234</v>
      </c>
      <c r="F43474" s="2" t="str">
        <f>HYPERLINK("http://www.otzar.org/book.asp?619868","שפתי מנחם - 3 כר'")</f>
        <v>שפתי מנחם - 3 כר'</v>
      </c>
    </row>
    <row r="43475" spans="1:6" x14ac:dyDescent="0.2">
      <c r="A43475" t="s">
        <v>65684</v>
      </c>
      <c r="B43475" t="s">
        <v>14837</v>
      </c>
      <c r="C43475" t="s">
        <v>1177</v>
      </c>
      <c r="D43475" t="s">
        <v>535</v>
      </c>
      <c r="F43475" s="2" t="str">
        <f>HYPERLINK("http://www.otzar.org/book.asp?182341","שפתי מרדכי")</f>
        <v>שפתי מרדכי</v>
      </c>
    </row>
    <row r="43476" spans="1:6" x14ac:dyDescent="0.2">
      <c r="A43476" t="s">
        <v>65684</v>
      </c>
      <c r="B43476" t="s">
        <v>65685</v>
      </c>
      <c r="C43476" t="s">
        <v>20</v>
      </c>
      <c r="D43476" t="s">
        <v>52</v>
      </c>
      <c r="E43476" t="s">
        <v>140</v>
      </c>
      <c r="F43476" s="2" t="str">
        <f>HYPERLINK("http://www.otzar.org/book.asp?8696","שפתי מרדכי")</f>
        <v>שפתי מרדכי</v>
      </c>
    </row>
    <row r="43477" spans="1:6" x14ac:dyDescent="0.2">
      <c r="A43477" t="s">
        <v>65686</v>
      </c>
      <c r="B43477" t="s">
        <v>65687</v>
      </c>
      <c r="C43477" t="s">
        <v>466</v>
      </c>
      <c r="D43477" t="s">
        <v>21</v>
      </c>
      <c r="F43477" s="2" t="str">
        <f>HYPERLINK("http://www.otzar.org/book.asp?621486","שפתי משה")</f>
        <v>שפתי משה</v>
      </c>
    </row>
    <row r="43478" spans="1:6" x14ac:dyDescent="0.2">
      <c r="A43478" t="s">
        <v>65686</v>
      </c>
      <c r="B43478" t="s">
        <v>65688</v>
      </c>
      <c r="C43478" t="s">
        <v>129</v>
      </c>
      <c r="D43478" t="s">
        <v>52</v>
      </c>
      <c r="E43478" t="s">
        <v>144</v>
      </c>
      <c r="F43478" s="2" t="str">
        <f>HYPERLINK("http://www.otzar.org/book.asp?61875","שפתי משה")</f>
        <v>שפתי משה</v>
      </c>
    </row>
    <row r="43479" spans="1:6" x14ac:dyDescent="0.2">
      <c r="A43479" t="s">
        <v>65689</v>
      </c>
      <c r="B43479" t="s">
        <v>8597</v>
      </c>
      <c r="C43479" t="s">
        <v>133</v>
      </c>
      <c r="D43479" t="s">
        <v>412</v>
      </c>
      <c r="E43479" t="s">
        <v>154</v>
      </c>
      <c r="F43479" s="2" t="str">
        <f>HYPERLINK("http://www.otzar.org/book.asp?170843","שפתי נבונים - אורח חיים")</f>
        <v>שפתי נבונים - אורח חיים</v>
      </c>
    </row>
    <row r="43480" spans="1:6" x14ac:dyDescent="0.2">
      <c r="A43480" t="s">
        <v>65690</v>
      </c>
      <c r="B43480" t="s">
        <v>30618</v>
      </c>
      <c r="C43480" t="s">
        <v>313</v>
      </c>
      <c r="D43480" t="s">
        <v>14</v>
      </c>
      <c r="E43480" t="s">
        <v>84</v>
      </c>
      <c r="F43480" s="2" t="str">
        <f>HYPERLINK("http://www.otzar.org/book.asp?615608","שפתי עני - 8 כר'")</f>
        <v>שפתי עני - 8 כר'</v>
      </c>
    </row>
    <row r="43481" spans="1:6" x14ac:dyDescent="0.2">
      <c r="A43481" t="s">
        <v>65691</v>
      </c>
      <c r="B43481" t="s">
        <v>65692</v>
      </c>
      <c r="C43481" t="s">
        <v>1885</v>
      </c>
      <c r="D43481" t="s">
        <v>6238</v>
      </c>
      <c r="E43481" t="s">
        <v>8761</v>
      </c>
      <c r="F43481" s="2" t="str">
        <f>HYPERLINK("http://www.otzar.org/book.asp?300088","שפתי צדיק")</f>
        <v>שפתי צדיק</v>
      </c>
    </row>
    <row r="43482" spans="1:6" x14ac:dyDescent="0.2">
      <c r="A43482" t="s">
        <v>65691</v>
      </c>
      <c r="B43482" t="s">
        <v>65693</v>
      </c>
      <c r="C43482" t="s">
        <v>111</v>
      </c>
      <c r="D43482" t="s">
        <v>52</v>
      </c>
      <c r="E43482" t="s">
        <v>2071</v>
      </c>
      <c r="F43482" s="2" t="str">
        <f>HYPERLINK("http://www.otzar.org/book.asp?627587","שפתי צדיק")</f>
        <v>שפתי צדיק</v>
      </c>
    </row>
    <row r="43483" spans="1:6" x14ac:dyDescent="0.2">
      <c r="A43483" t="s">
        <v>65694</v>
      </c>
      <c r="B43483" t="s">
        <v>18648</v>
      </c>
      <c r="C43483" t="s">
        <v>1954</v>
      </c>
      <c r="D43483" t="s">
        <v>27</v>
      </c>
      <c r="E43483" t="s">
        <v>579</v>
      </c>
      <c r="F43483" s="2" t="str">
        <f>HYPERLINK("http://www.otzar.org/book.asp?7891","שפתי צדיק - 6 כר'")</f>
        <v>שפתי צדיק - 6 כר'</v>
      </c>
    </row>
    <row r="43484" spans="1:6" x14ac:dyDescent="0.2">
      <c r="A43484" t="s">
        <v>65691</v>
      </c>
      <c r="B43484" t="s">
        <v>2516</v>
      </c>
      <c r="C43484" t="s">
        <v>2517</v>
      </c>
      <c r="D43484" t="s">
        <v>2518</v>
      </c>
      <c r="F43484" s="2" t="str">
        <f>HYPERLINK("http://www.otzar.org/book.asp?608915","שפתי צדיק")</f>
        <v>שפתי צדיק</v>
      </c>
    </row>
    <row r="43485" spans="1:6" x14ac:dyDescent="0.2">
      <c r="A43485" t="s">
        <v>65695</v>
      </c>
      <c r="B43485" t="s">
        <v>65696</v>
      </c>
      <c r="C43485" t="s">
        <v>313</v>
      </c>
      <c r="D43485" t="s">
        <v>52</v>
      </c>
      <c r="E43485" t="s">
        <v>20073</v>
      </c>
      <c r="F43485" s="2" t="str">
        <f>HYPERLINK("http://www.otzar.org/book.asp?60756","שפתי צדיקים &lt;מישור&gt;")</f>
        <v>שפתי צדיקים &lt;מישור&gt;</v>
      </c>
    </row>
    <row r="43486" spans="1:6" x14ac:dyDescent="0.2">
      <c r="A43486" t="s">
        <v>65697</v>
      </c>
      <c r="B43486" t="s">
        <v>65698</v>
      </c>
      <c r="C43486" t="s">
        <v>68</v>
      </c>
      <c r="D43486" t="s">
        <v>14</v>
      </c>
      <c r="E43486" t="s">
        <v>1185</v>
      </c>
      <c r="F43486" s="2" t="str">
        <f>HYPERLINK("http://www.otzar.org/book.asp?170543","שפתי צדיקים &lt;מהדורה חדשה&gt;")</f>
        <v>שפתי צדיקים &lt;מהדורה חדשה&gt;</v>
      </c>
    </row>
    <row r="43487" spans="1:6" x14ac:dyDescent="0.2">
      <c r="A43487" t="s">
        <v>65699</v>
      </c>
      <c r="B43487" t="s">
        <v>26660</v>
      </c>
      <c r="C43487" t="s">
        <v>624</v>
      </c>
      <c r="D43487" t="s">
        <v>27</v>
      </c>
      <c r="E43487" t="s">
        <v>140</v>
      </c>
      <c r="F43487" s="2" t="str">
        <f>HYPERLINK("http://www.otzar.org/book.asp?179241","שפתי צדיקים")</f>
        <v>שפתי צדיקים</v>
      </c>
    </row>
    <row r="43488" spans="1:6" x14ac:dyDescent="0.2">
      <c r="A43488" t="s">
        <v>65699</v>
      </c>
      <c r="B43488" t="s">
        <v>65696</v>
      </c>
      <c r="C43488" t="s">
        <v>2076</v>
      </c>
      <c r="D43488" t="s">
        <v>855</v>
      </c>
      <c r="F43488" s="2" t="str">
        <f>HYPERLINK("http://www.otzar.org/book.asp?24891","שפתי צדיקים")</f>
        <v>שפתי צדיקים</v>
      </c>
    </row>
    <row r="43489" spans="1:6" x14ac:dyDescent="0.2">
      <c r="A43489" t="s">
        <v>65699</v>
      </c>
      <c r="B43489" t="s">
        <v>65700</v>
      </c>
      <c r="C43489" t="s">
        <v>473</v>
      </c>
      <c r="D43489" t="s">
        <v>225</v>
      </c>
      <c r="E43489" t="s">
        <v>140</v>
      </c>
      <c r="F43489" s="2" t="str">
        <f>HYPERLINK("http://www.otzar.org/book.asp?52041","שפתי צדיקים")</f>
        <v>שפתי צדיקים</v>
      </c>
    </row>
    <row r="43490" spans="1:6" x14ac:dyDescent="0.2">
      <c r="A43490" t="s">
        <v>65701</v>
      </c>
      <c r="B43490" t="s">
        <v>65698</v>
      </c>
      <c r="C43490" t="s">
        <v>1047</v>
      </c>
      <c r="D43490" t="s">
        <v>8579</v>
      </c>
      <c r="E43490" t="s">
        <v>957</v>
      </c>
      <c r="F43490" s="2" t="str">
        <f>HYPERLINK("http://www.otzar.org/book.asp?102203","שפתי צדיקים - 2 כר'")</f>
        <v>שפתי צדיקים - 2 כר'</v>
      </c>
    </row>
    <row r="43491" spans="1:6" x14ac:dyDescent="0.2">
      <c r="A43491" t="s">
        <v>65699</v>
      </c>
      <c r="B43491" t="s">
        <v>65702</v>
      </c>
      <c r="C43491" t="s">
        <v>1268</v>
      </c>
      <c r="D43491" t="s">
        <v>8952</v>
      </c>
      <c r="E43491" t="s">
        <v>1626</v>
      </c>
      <c r="F43491" s="2" t="str">
        <f>HYPERLINK("http://www.otzar.org/book.asp?540","שפתי צדיקים")</f>
        <v>שפתי צדיקים</v>
      </c>
    </row>
    <row r="43492" spans="1:6" x14ac:dyDescent="0.2">
      <c r="A43492" t="s">
        <v>65703</v>
      </c>
      <c r="B43492" t="s">
        <v>65704</v>
      </c>
      <c r="C43492" t="s">
        <v>1047</v>
      </c>
      <c r="D43492" t="s">
        <v>56</v>
      </c>
      <c r="E43492" t="s">
        <v>2332</v>
      </c>
      <c r="F43492" s="2" t="str">
        <f>HYPERLINK("http://www.otzar.org/book.asp?14493","שפתי צדק")</f>
        <v>שפתי צדק</v>
      </c>
    </row>
    <row r="43493" spans="1:6" x14ac:dyDescent="0.2">
      <c r="A43493" t="s">
        <v>65705</v>
      </c>
      <c r="B43493" t="s">
        <v>65706</v>
      </c>
      <c r="C43493" t="s">
        <v>1268</v>
      </c>
      <c r="D43493" t="s">
        <v>14</v>
      </c>
      <c r="E43493" t="s">
        <v>202</v>
      </c>
      <c r="F43493" s="2" t="str">
        <f>HYPERLINK("http://www.otzar.org/book.asp?626422","שפתי צדק - 2 כר'")</f>
        <v>שפתי צדק - 2 כר'</v>
      </c>
    </row>
    <row r="43494" spans="1:6" x14ac:dyDescent="0.2">
      <c r="A43494" t="s">
        <v>65707</v>
      </c>
      <c r="B43494" t="s">
        <v>5716</v>
      </c>
      <c r="C43494" t="s">
        <v>26</v>
      </c>
      <c r="D43494" t="s">
        <v>15715</v>
      </c>
      <c r="F43494" s="2" t="str">
        <f>HYPERLINK("http://www.otzar.org/book.asp?612045","שפתי קדושים - 3 כר'")</f>
        <v>שפתי קדושים - 3 כר'</v>
      </c>
    </row>
    <row r="43495" spans="1:6" x14ac:dyDescent="0.2">
      <c r="A43495" t="s">
        <v>65708</v>
      </c>
      <c r="B43495" t="s">
        <v>62587</v>
      </c>
      <c r="C43495" t="s">
        <v>609</v>
      </c>
      <c r="D43495" t="s">
        <v>947</v>
      </c>
      <c r="E43495" t="s">
        <v>1185</v>
      </c>
      <c r="F43495" s="2" t="str">
        <f>HYPERLINK("http://www.otzar.org/book.asp?100721","שפתי קודש")</f>
        <v>שפתי קודש</v>
      </c>
    </row>
    <row r="43496" spans="1:6" x14ac:dyDescent="0.2">
      <c r="A43496" t="s">
        <v>65709</v>
      </c>
      <c r="B43496" t="s">
        <v>1956</v>
      </c>
      <c r="C43496" t="s">
        <v>286</v>
      </c>
      <c r="D43496" t="s">
        <v>9</v>
      </c>
      <c r="E43496" t="s">
        <v>144</v>
      </c>
      <c r="F43496" s="2" t="str">
        <f>HYPERLINK("http://www.otzar.org/book.asp?102016","שפתי רא""ם")</f>
        <v>שפתי רא"ם</v>
      </c>
    </row>
    <row r="43497" spans="1:6" x14ac:dyDescent="0.2">
      <c r="A43497" t="s">
        <v>65710</v>
      </c>
      <c r="B43497" t="s">
        <v>65711</v>
      </c>
      <c r="C43497" t="s">
        <v>244</v>
      </c>
      <c r="D43497" t="s">
        <v>27921</v>
      </c>
      <c r="E43497" t="s">
        <v>246</v>
      </c>
      <c r="F43497" s="2" t="str">
        <f>HYPERLINK("http://www.otzar.org/book.asp?605061","שפתי ראם - 2 כר'")</f>
        <v>שפתי ראם - 2 כר'</v>
      </c>
    </row>
    <row r="43498" spans="1:6" x14ac:dyDescent="0.2">
      <c r="A43498" t="s">
        <v>65712</v>
      </c>
      <c r="B43498" t="s">
        <v>65021</v>
      </c>
      <c r="C43498" t="s">
        <v>23</v>
      </c>
      <c r="D43498" t="s">
        <v>367</v>
      </c>
      <c r="E43498" t="s">
        <v>15</v>
      </c>
      <c r="F43498" s="2" t="str">
        <f>HYPERLINK("http://www.otzar.org/book.asp?195702","שפתי רננה")</f>
        <v>שפתי רננה</v>
      </c>
    </row>
    <row r="43499" spans="1:6" x14ac:dyDescent="0.2">
      <c r="A43499" t="s">
        <v>65713</v>
      </c>
      <c r="B43499" t="s">
        <v>65714</v>
      </c>
      <c r="C43499" t="s">
        <v>75</v>
      </c>
      <c r="D43499" t="s">
        <v>157</v>
      </c>
      <c r="E43499" t="s">
        <v>234</v>
      </c>
      <c r="F43499" s="2" t="str">
        <f>HYPERLINK("http://www.otzar.org/book.asp?147025","שפתי רננות")</f>
        <v>שפתי רננות</v>
      </c>
    </row>
    <row r="43500" spans="1:6" x14ac:dyDescent="0.2">
      <c r="A43500" t="s">
        <v>65713</v>
      </c>
      <c r="B43500" t="s">
        <v>29959</v>
      </c>
      <c r="C43500" t="s">
        <v>466</v>
      </c>
      <c r="D43500" t="s">
        <v>134</v>
      </c>
      <c r="E43500" t="s">
        <v>241</v>
      </c>
      <c r="F43500" s="2" t="str">
        <f>HYPERLINK("http://www.otzar.org/book.asp?28895","שפתי רננות")</f>
        <v>שפתי רננות</v>
      </c>
    </row>
    <row r="43501" spans="1:6" x14ac:dyDescent="0.2">
      <c r="A43501" t="s">
        <v>65713</v>
      </c>
      <c r="B43501" t="s">
        <v>1248</v>
      </c>
      <c r="C43501" t="s">
        <v>111</v>
      </c>
      <c r="D43501" t="s">
        <v>52</v>
      </c>
      <c r="E43501" t="s">
        <v>144</v>
      </c>
      <c r="F43501" s="2" t="str">
        <f>HYPERLINK("http://www.otzar.org/book.asp?631113","שפתי רננות")</f>
        <v>שפתי רננות</v>
      </c>
    </row>
    <row r="43502" spans="1:6" x14ac:dyDescent="0.2">
      <c r="A43502" t="s">
        <v>65713</v>
      </c>
      <c r="B43502" t="s">
        <v>32456</v>
      </c>
      <c r="C43502" t="s">
        <v>68</v>
      </c>
      <c r="D43502" t="s">
        <v>3406</v>
      </c>
      <c r="E43502" t="s">
        <v>1517</v>
      </c>
      <c r="F43502" s="2" t="str">
        <f>HYPERLINK("http://www.otzar.org/book.asp?165505","שפתי רננות")</f>
        <v>שפתי רננות</v>
      </c>
    </row>
    <row r="43503" spans="1:6" x14ac:dyDescent="0.2">
      <c r="A43503" t="s">
        <v>65715</v>
      </c>
      <c r="B43503" t="s">
        <v>65716</v>
      </c>
      <c r="C43503" t="s">
        <v>160</v>
      </c>
      <c r="D43503" t="s">
        <v>11104</v>
      </c>
      <c r="F43503" s="2" t="str">
        <f>HYPERLINK("http://www.otzar.org/book.asp?616998","שפתי רננות - 2 כר'")</f>
        <v>שפתי רננות - 2 כר'</v>
      </c>
    </row>
    <row r="43504" spans="1:6" x14ac:dyDescent="0.2">
      <c r="A43504" t="s">
        <v>65717</v>
      </c>
      <c r="B43504" t="s">
        <v>489</v>
      </c>
      <c r="C43504" t="s">
        <v>20</v>
      </c>
      <c r="D43504" t="s">
        <v>1205</v>
      </c>
      <c r="E43504" t="s">
        <v>202</v>
      </c>
      <c r="F43504" s="2" t="str">
        <f>HYPERLINK("http://www.otzar.org/book.asp?600680","שפתי רננות - 4 כר'")</f>
        <v>שפתי רננות - 4 כר'</v>
      </c>
    </row>
    <row r="43505" spans="1:6" x14ac:dyDescent="0.2">
      <c r="A43505" t="s">
        <v>65713</v>
      </c>
      <c r="B43505" t="s">
        <v>65718</v>
      </c>
      <c r="C43505" t="s">
        <v>291</v>
      </c>
      <c r="D43505" t="s">
        <v>6042</v>
      </c>
      <c r="E43505" t="s">
        <v>219</v>
      </c>
      <c r="F43505" s="2" t="str">
        <f>HYPERLINK("http://www.otzar.org/book.asp?107086","שפתי רננות")</f>
        <v>שפתי רננות</v>
      </c>
    </row>
    <row r="43506" spans="1:6" x14ac:dyDescent="0.2">
      <c r="A43506" t="s">
        <v>65713</v>
      </c>
      <c r="B43506" t="s">
        <v>65719</v>
      </c>
      <c r="C43506" t="s">
        <v>11974</v>
      </c>
      <c r="D43506" t="s">
        <v>22983</v>
      </c>
      <c r="E43506" t="s">
        <v>219</v>
      </c>
      <c r="F43506" s="2" t="str">
        <f>HYPERLINK("http://www.otzar.org/book.asp?163371","שפתי רננות")</f>
        <v>שפתי רננות</v>
      </c>
    </row>
    <row r="43507" spans="1:6" x14ac:dyDescent="0.2">
      <c r="A43507" t="s">
        <v>65713</v>
      </c>
      <c r="B43507" t="s">
        <v>65720</v>
      </c>
      <c r="C43507" t="s">
        <v>5912</v>
      </c>
      <c r="D43507" t="s">
        <v>212</v>
      </c>
      <c r="E43507" t="s">
        <v>219</v>
      </c>
      <c r="F43507" s="2" t="str">
        <f>HYPERLINK("http://www.otzar.org/book.asp?182088","שפתי רננות")</f>
        <v>שפתי רננות</v>
      </c>
    </row>
    <row r="43508" spans="1:6" x14ac:dyDescent="0.2">
      <c r="A43508" t="s">
        <v>65721</v>
      </c>
      <c r="B43508" t="s">
        <v>33304</v>
      </c>
      <c r="C43508" t="s">
        <v>466</v>
      </c>
      <c r="D43508" t="s">
        <v>14</v>
      </c>
      <c r="E43508" t="s">
        <v>15</v>
      </c>
      <c r="F43508" s="2" t="str">
        <f>HYPERLINK("http://www.otzar.org/book.asp?108349","שפתי שושנים")</f>
        <v>שפתי שושנים</v>
      </c>
    </row>
    <row r="43509" spans="1:6" x14ac:dyDescent="0.2">
      <c r="A43509" t="s">
        <v>65721</v>
      </c>
      <c r="B43509" t="s">
        <v>8561</v>
      </c>
      <c r="C43509" t="s">
        <v>13</v>
      </c>
      <c r="D43509" t="s">
        <v>52</v>
      </c>
      <c r="E43509" t="s">
        <v>158</v>
      </c>
      <c r="F43509" s="2" t="str">
        <f>HYPERLINK("http://www.otzar.org/book.asp?85676","שפתי שושנים")</f>
        <v>שפתי שושנים</v>
      </c>
    </row>
    <row r="43510" spans="1:6" x14ac:dyDescent="0.2">
      <c r="A43510" t="s">
        <v>65721</v>
      </c>
      <c r="B43510" t="s">
        <v>65722</v>
      </c>
      <c r="C43510" t="s">
        <v>286</v>
      </c>
      <c r="D43510" t="s">
        <v>691</v>
      </c>
      <c r="E43510" t="s">
        <v>172</v>
      </c>
      <c r="F43510" s="2" t="str">
        <f>HYPERLINK("http://www.otzar.org/book.asp?52040","שפתי שושנים")</f>
        <v>שפתי שושנים</v>
      </c>
    </row>
    <row r="43511" spans="1:6" x14ac:dyDescent="0.2">
      <c r="A43511" t="s">
        <v>65723</v>
      </c>
      <c r="B43511" t="s">
        <v>65724</v>
      </c>
      <c r="C43511" t="s">
        <v>13</v>
      </c>
      <c r="D43511" t="s">
        <v>115</v>
      </c>
      <c r="F43511" s="2" t="str">
        <f>HYPERLINK("http://www.otzar.org/book.asp?163791","שפתי שלמה")</f>
        <v>שפתי שלמה</v>
      </c>
    </row>
    <row r="43512" spans="1:6" x14ac:dyDescent="0.2">
      <c r="A43512" t="s">
        <v>65723</v>
      </c>
      <c r="B43512" t="s">
        <v>65725</v>
      </c>
      <c r="C43512" t="s">
        <v>422</v>
      </c>
      <c r="D43512" t="s">
        <v>52</v>
      </c>
      <c r="E43512" t="s">
        <v>230</v>
      </c>
      <c r="F43512" s="2" t="str">
        <f>HYPERLINK("http://www.otzar.org/book.asp?189667","שפתי שלמה")</f>
        <v>שפתי שלמה</v>
      </c>
    </row>
    <row r="43513" spans="1:6" x14ac:dyDescent="0.2">
      <c r="A43513" t="s">
        <v>65726</v>
      </c>
      <c r="B43513" t="s">
        <v>65727</v>
      </c>
      <c r="C43513" t="s">
        <v>68</v>
      </c>
      <c r="D43513" t="s">
        <v>646</v>
      </c>
      <c r="E43513" t="s">
        <v>158</v>
      </c>
      <c r="F43513" s="2" t="str">
        <f>HYPERLINK("http://www.otzar.org/book.asp?600753","שפתי שלמה - 2 כר'")</f>
        <v>שפתי שלמה - 2 כר'</v>
      </c>
    </row>
    <row r="43514" spans="1:6" x14ac:dyDescent="0.2">
      <c r="A43514" t="s">
        <v>65728</v>
      </c>
      <c r="B43514" t="s">
        <v>65729</v>
      </c>
      <c r="C43514" t="s">
        <v>13</v>
      </c>
      <c r="D43514" t="s">
        <v>14</v>
      </c>
      <c r="E43514" t="s">
        <v>1211</v>
      </c>
      <c r="F43514" s="2" t="str">
        <f>HYPERLINK("http://www.otzar.org/book.asp?61976","שפתי שמואל")</f>
        <v>שפתי שמואל</v>
      </c>
    </row>
    <row r="43515" spans="1:6" x14ac:dyDescent="0.2">
      <c r="A43515" t="s">
        <v>65730</v>
      </c>
      <c r="B43515" t="s">
        <v>65731</v>
      </c>
      <c r="C43515" t="s">
        <v>176</v>
      </c>
      <c r="D43515" t="s">
        <v>412</v>
      </c>
      <c r="E43515" t="s">
        <v>1211</v>
      </c>
      <c r="F43515" s="2" t="str">
        <f>HYPERLINK("http://www.otzar.org/book.asp?172595","שפתי שמעון")</f>
        <v>שפתי שמעון</v>
      </c>
    </row>
    <row r="43516" spans="1:6" x14ac:dyDescent="0.2">
      <c r="A43516" t="s">
        <v>65732</v>
      </c>
      <c r="B43516" t="s">
        <v>65733</v>
      </c>
      <c r="C43516" t="s">
        <v>20</v>
      </c>
      <c r="D43516" t="s">
        <v>90</v>
      </c>
      <c r="F43516" s="2" t="str">
        <f>HYPERLINK("http://www.otzar.org/book.asp?618145","שפתי תפתח")</f>
        <v>שפתי תפתח</v>
      </c>
    </row>
    <row r="43517" spans="1:6" x14ac:dyDescent="0.2">
      <c r="A43517" t="s">
        <v>65734</v>
      </c>
      <c r="B43517" t="s">
        <v>65735</v>
      </c>
      <c r="C43517" t="s">
        <v>20</v>
      </c>
      <c r="D43517" t="s">
        <v>90</v>
      </c>
      <c r="F43517" s="2" t="str">
        <f>HYPERLINK("http://www.otzar.org/book.asp?609572","שפתיו דובבות")</f>
        <v>שפתיו דובבות</v>
      </c>
    </row>
    <row r="43518" spans="1:6" x14ac:dyDescent="0.2">
      <c r="A43518" t="s">
        <v>65736</v>
      </c>
      <c r="B43518" t="s">
        <v>4785</v>
      </c>
      <c r="C43518" t="s">
        <v>151</v>
      </c>
      <c r="D43518" t="s">
        <v>52</v>
      </c>
      <c r="E43518" t="s">
        <v>579</v>
      </c>
      <c r="F43518" s="2" t="str">
        <f>HYPERLINK("http://www.otzar.org/book.asp?615956","שפתים ישק")</f>
        <v>שפתים ישק</v>
      </c>
    </row>
    <row r="43519" spans="1:6" x14ac:dyDescent="0.2">
      <c r="A43519" t="s">
        <v>65737</v>
      </c>
      <c r="B43519" t="s">
        <v>9358</v>
      </c>
      <c r="C43519" t="s">
        <v>1609</v>
      </c>
      <c r="D43519" t="s">
        <v>260</v>
      </c>
      <c r="E43519" t="s">
        <v>119</v>
      </c>
      <c r="F43519" s="2" t="str">
        <f>HYPERLINK("http://www.otzar.org/book.asp?106794","שקוד - קהילת שקוד")</f>
        <v>שקוד - קהילת שקוד</v>
      </c>
    </row>
    <row r="43520" spans="1:6" x14ac:dyDescent="0.2">
      <c r="A43520" t="s">
        <v>65738</v>
      </c>
      <c r="B43520" t="s">
        <v>49234</v>
      </c>
      <c r="C43520" t="s">
        <v>989</v>
      </c>
      <c r="D43520" t="s">
        <v>14</v>
      </c>
      <c r="E43520" t="s">
        <v>213</v>
      </c>
      <c r="F43520" s="2" t="str">
        <f>HYPERLINK("http://www.otzar.org/book.asp?625446","שקיעין - מדרשי תימן")</f>
        <v>שקיעין - מדרשי תימן</v>
      </c>
    </row>
    <row r="43521" spans="1:6" x14ac:dyDescent="0.2">
      <c r="A43521" t="s">
        <v>65739</v>
      </c>
      <c r="B43521" t="s">
        <v>65740</v>
      </c>
      <c r="C43521" t="s">
        <v>1437</v>
      </c>
      <c r="D43521" t="s">
        <v>56</v>
      </c>
      <c r="E43521" t="s">
        <v>1097</v>
      </c>
      <c r="F43521" s="2" t="str">
        <f>HYPERLINK("http://www.otzar.org/book.asp?20442","שקל הקדש")</f>
        <v>שקל הקדש</v>
      </c>
    </row>
    <row r="43522" spans="1:6" x14ac:dyDescent="0.2">
      <c r="A43522" t="s">
        <v>65739</v>
      </c>
      <c r="B43522" t="s">
        <v>20400</v>
      </c>
      <c r="C43522" t="s">
        <v>360</v>
      </c>
      <c r="D43522" t="s">
        <v>1589</v>
      </c>
      <c r="F43522" s="2" t="str">
        <f>HYPERLINK("http://www.otzar.org/book.asp?610972","שקל הקדש")</f>
        <v>שקל הקדש</v>
      </c>
    </row>
    <row r="43523" spans="1:6" x14ac:dyDescent="0.2">
      <c r="A43523" t="s">
        <v>65741</v>
      </c>
      <c r="B43523" t="s">
        <v>47375</v>
      </c>
      <c r="C43523" t="s">
        <v>2105</v>
      </c>
      <c r="D43523" t="s">
        <v>563</v>
      </c>
      <c r="E43523" t="s">
        <v>241</v>
      </c>
      <c r="F43523" s="2" t="str">
        <f>HYPERLINK("http://www.otzar.org/book.asp?83958","שקל הקדש - יסוד היראה")</f>
        <v>שקל הקדש - יסוד היראה</v>
      </c>
    </row>
    <row r="43524" spans="1:6" x14ac:dyDescent="0.2">
      <c r="A43524" t="s">
        <v>65739</v>
      </c>
      <c r="B43524" t="s">
        <v>7604</v>
      </c>
      <c r="C43524" t="s">
        <v>71</v>
      </c>
      <c r="D43524" t="s">
        <v>52</v>
      </c>
      <c r="E43524" t="s">
        <v>674</v>
      </c>
      <c r="F43524" s="2" t="str">
        <f>HYPERLINK("http://www.otzar.org/book.asp?105932","שקל הקדש")</f>
        <v>שקל הקדש</v>
      </c>
    </row>
    <row r="43525" spans="1:6" x14ac:dyDescent="0.2">
      <c r="A43525" t="s">
        <v>65739</v>
      </c>
      <c r="B43525" t="s">
        <v>65742</v>
      </c>
      <c r="C43525" t="s">
        <v>87</v>
      </c>
      <c r="D43525" t="s">
        <v>14</v>
      </c>
      <c r="E43525" t="s">
        <v>230</v>
      </c>
      <c r="F43525" s="2" t="str">
        <f>HYPERLINK("http://www.otzar.org/book.asp?620252","שקל הקדש")</f>
        <v>שקל הקדש</v>
      </c>
    </row>
    <row r="43526" spans="1:6" x14ac:dyDescent="0.2">
      <c r="A43526" t="s">
        <v>65743</v>
      </c>
      <c r="B43526" t="s">
        <v>255</v>
      </c>
      <c r="C43526" t="s">
        <v>189</v>
      </c>
      <c r="D43526" t="s">
        <v>14</v>
      </c>
      <c r="E43526" t="s">
        <v>1097</v>
      </c>
      <c r="F43526" s="2" t="str">
        <f>HYPERLINK("http://www.otzar.org/book.asp?152674","שקל הקודש")</f>
        <v>שקל הקודש</v>
      </c>
    </row>
    <row r="43527" spans="1:6" x14ac:dyDescent="0.2">
      <c r="A43527" t="s">
        <v>65744</v>
      </c>
      <c r="B43527" t="s">
        <v>65745</v>
      </c>
      <c r="C43527" t="s">
        <v>313</v>
      </c>
      <c r="D43527" t="s">
        <v>52</v>
      </c>
      <c r="E43527" t="s">
        <v>84</v>
      </c>
      <c r="F43527" s="2" t="str">
        <f>HYPERLINK("http://www.otzar.org/book.asp?153855","שקלא וטריא - חלה")</f>
        <v>שקלא וטריא - חלה</v>
      </c>
    </row>
    <row r="43528" spans="1:6" x14ac:dyDescent="0.2">
      <c r="A43528" t="s">
        <v>65746</v>
      </c>
      <c r="B43528" t="s">
        <v>65747</v>
      </c>
      <c r="C43528" t="s">
        <v>146</v>
      </c>
      <c r="D43528" t="s">
        <v>52</v>
      </c>
      <c r="E43528" t="s">
        <v>144</v>
      </c>
      <c r="F43528" s="2" t="str">
        <f>HYPERLINK("http://www.otzar.org/book.asp?60113","שקלא וטריא - 6 כר'")</f>
        <v>שקלא וטריא - 6 כר'</v>
      </c>
    </row>
    <row r="43529" spans="1:6" x14ac:dyDescent="0.2">
      <c r="A43529" t="s">
        <v>65748</v>
      </c>
      <c r="B43529" t="s">
        <v>25230</v>
      </c>
      <c r="C43529" t="s">
        <v>5823</v>
      </c>
      <c r="D43529" t="s">
        <v>267</v>
      </c>
      <c r="E43529" t="s">
        <v>19164</v>
      </c>
      <c r="F43529" s="2" t="str">
        <f>HYPERLINK("http://www.otzar.org/book.asp?19367","שקלי גולה")</f>
        <v>שקלי גולה</v>
      </c>
    </row>
    <row r="43530" spans="1:6" x14ac:dyDescent="0.2">
      <c r="A43530" t="s">
        <v>65749</v>
      </c>
      <c r="B43530" t="s">
        <v>12028</v>
      </c>
      <c r="C43530" t="s">
        <v>940</v>
      </c>
      <c r="D43530" t="s">
        <v>52</v>
      </c>
      <c r="E43530" t="s">
        <v>4940</v>
      </c>
      <c r="F43530" s="2" t="str">
        <f>HYPERLINK("http://www.otzar.org/book.asp?14103","שקתות המים")</f>
        <v>שקתות המים</v>
      </c>
    </row>
    <row r="43531" spans="1:6" x14ac:dyDescent="0.2">
      <c r="A43531" t="s">
        <v>65750</v>
      </c>
      <c r="B43531" t="s">
        <v>17278</v>
      </c>
      <c r="C43531" t="s">
        <v>1388</v>
      </c>
      <c r="D43531" t="s">
        <v>21</v>
      </c>
      <c r="F43531" s="2" t="str">
        <f>HYPERLINK("http://www.otzar.org/book.asp?619089","שר היהודים בוינה")</f>
        <v>שר היהודים בוינה</v>
      </c>
    </row>
    <row r="43532" spans="1:6" x14ac:dyDescent="0.2">
      <c r="A43532" t="s">
        <v>65751</v>
      </c>
      <c r="B43532" t="s">
        <v>65752</v>
      </c>
      <c r="C43532" t="s">
        <v>111</v>
      </c>
      <c r="D43532" t="s">
        <v>52</v>
      </c>
      <c r="E43532" t="s">
        <v>3567</v>
      </c>
      <c r="F43532" s="2" t="str">
        <f>HYPERLINK("http://www.otzar.org/book.asp?628806","שר הלשון")</f>
        <v>שר הלשון</v>
      </c>
    </row>
    <row r="43533" spans="1:6" x14ac:dyDescent="0.2">
      <c r="A43533" t="s">
        <v>65753</v>
      </c>
      <c r="B43533" t="s">
        <v>65754</v>
      </c>
      <c r="C43533" t="s">
        <v>624</v>
      </c>
      <c r="D43533" t="s">
        <v>412</v>
      </c>
      <c r="E43533" t="s">
        <v>2071</v>
      </c>
      <c r="F43533" s="2" t="str">
        <f>HYPERLINK("http://www.otzar.org/book.asp?160911","שר המאיר")</f>
        <v>שר המאיר</v>
      </c>
    </row>
    <row r="43534" spans="1:6" x14ac:dyDescent="0.2">
      <c r="A43534" t="s">
        <v>65755</v>
      </c>
      <c r="B43534" t="s">
        <v>65756</v>
      </c>
      <c r="C43534" t="s">
        <v>775</v>
      </c>
      <c r="D43534" t="s">
        <v>52</v>
      </c>
      <c r="E43534" t="s">
        <v>119</v>
      </c>
      <c r="F43534" s="2" t="str">
        <f>HYPERLINK("http://www.otzar.org/book.asp?179236","שר התורה מסוכצ'וב")</f>
        <v>שר התורה מסוכצ'וב</v>
      </c>
    </row>
    <row r="43535" spans="1:6" x14ac:dyDescent="0.2">
      <c r="A43535" t="s">
        <v>65757</v>
      </c>
      <c r="B43535" t="s">
        <v>65758</v>
      </c>
      <c r="C43535" t="s">
        <v>785</v>
      </c>
      <c r="D43535" t="s">
        <v>52</v>
      </c>
      <c r="E43535" t="s">
        <v>733</v>
      </c>
      <c r="F43535" s="2" t="str">
        <f>HYPERLINK("http://www.otzar.org/book.asp?179237","שר התפארת שלמה מרדומסק")</f>
        <v>שר התפארת שלמה מרדומסק</v>
      </c>
    </row>
    <row r="43536" spans="1:6" x14ac:dyDescent="0.2">
      <c r="A43536" t="s">
        <v>65759</v>
      </c>
      <c r="B43536" t="s">
        <v>12257</v>
      </c>
      <c r="C43536" t="s">
        <v>37</v>
      </c>
      <c r="D43536" t="s">
        <v>21</v>
      </c>
      <c r="F43536" s="2" t="str">
        <f>HYPERLINK("http://www.otzar.org/book.asp?603170","שר וגדול")</f>
        <v>שר וגדול</v>
      </c>
    </row>
    <row r="43537" spans="1:6" x14ac:dyDescent="0.2">
      <c r="A43537" t="s">
        <v>65760</v>
      </c>
      <c r="B43537" t="s">
        <v>65761</v>
      </c>
      <c r="C43537" t="s">
        <v>12392</v>
      </c>
      <c r="D43537" t="s">
        <v>8830</v>
      </c>
      <c r="E43537" t="s">
        <v>158</v>
      </c>
      <c r="F43537" s="2" t="str">
        <f>HYPERLINK("http://www.otzar.org/book.asp?20439","שר שלום")</f>
        <v>שר שלום</v>
      </c>
    </row>
    <row r="43538" spans="1:6" x14ac:dyDescent="0.2">
      <c r="A43538" t="s">
        <v>65760</v>
      </c>
      <c r="B43538" t="s">
        <v>65762</v>
      </c>
      <c r="C43538" t="s">
        <v>4230</v>
      </c>
      <c r="D43538" t="s">
        <v>65763</v>
      </c>
      <c r="E43538" t="s">
        <v>241</v>
      </c>
      <c r="F43538" s="2" t="str">
        <f>HYPERLINK("http://www.otzar.org/book.asp?63925","שר שלום")</f>
        <v>שר שלום</v>
      </c>
    </row>
    <row r="43539" spans="1:6" x14ac:dyDescent="0.2">
      <c r="A43539" t="s">
        <v>65760</v>
      </c>
      <c r="B43539" t="s">
        <v>6876</v>
      </c>
      <c r="C43539" t="s">
        <v>558</v>
      </c>
      <c r="D43539" t="s">
        <v>27</v>
      </c>
      <c r="E43539" t="s">
        <v>30570</v>
      </c>
      <c r="F43539" s="2" t="str">
        <f>HYPERLINK("http://www.otzar.org/book.asp?20440","שר שלום")</f>
        <v>שר שלום</v>
      </c>
    </row>
    <row r="43540" spans="1:6" x14ac:dyDescent="0.2">
      <c r="A43540" t="s">
        <v>65764</v>
      </c>
      <c r="B43540" t="s">
        <v>37330</v>
      </c>
      <c r="C43540" t="s">
        <v>37</v>
      </c>
      <c r="D43540" t="s">
        <v>14</v>
      </c>
      <c r="E43540" t="s">
        <v>144</v>
      </c>
      <c r="F43540" s="2" t="str">
        <f>HYPERLINK("http://www.otzar.org/book.asp?620255","שרביט הזהב &lt;מהדורה חדשה&gt; - 2 כר'")</f>
        <v>שרביט הזהב &lt;מהדורה חדשה&gt; - 2 כר'</v>
      </c>
    </row>
    <row r="43541" spans="1:6" x14ac:dyDescent="0.2">
      <c r="A43541" t="s">
        <v>65765</v>
      </c>
      <c r="B43541" t="s">
        <v>17327</v>
      </c>
      <c r="C43541" t="s">
        <v>473</v>
      </c>
      <c r="D43541" t="s">
        <v>379</v>
      </c>
      <c r="E43541" t="s">
        <v>15</v>
      </c>
      <c r="F43541" s="2" t="str">
        <f>HYPERLINK("http://www.otzar.org/book.asp?17356","שרביט הזהב החדש &lt;ברית אבות&gt;")</f>
        <v>שרביט הזהב החדש &lt;ברית אבות&gt;</v>
      </c>
    </row>
    <row r="43542" spans="1:6" x14ac:dyDescent="0.2">
      <c r="A43542" t="s">
        <v>65766</v>
      </c>
      <c r="B43542" t="s">
        <v>18220</v>
      </c>
      <c r="C43542" t="s">
        <v>411</v>
      </c>
      <c r="D43542" t="s">
        <v>52</v>
      </c>
      <c r="F43542" s="2" t="str">
        <f>HYPERLINK("http://www.otzar.org/book.asp?192838","שרביט הזהב")</f>
        <v>שרביט הזהב</v>
      </c>
    </row>
    <row r="43543" spans="1:6" x14ac:dyDescent="0.2">
      <c r="A43543" t="s">
        <v>65767</v>
      </c>
      <c r="B43543" t="s">
        <v>37330</v>
      </c>
      <c r="C43543" t="s">
        <v>106</v>
      </c>
      <c r="D43543" t="s">
        <v>14</v>
      </c>
      <c r="E43543" t="s">
        <v>144</v>
      </c>
      <c r="F43543" s="2" t="str">
        <f>HYPERLINK("http://www.otzar.org/book.asp?177159","שרביט הזהב - 2 כר'")</f>
        <v>שרביט הזהב - 2 כר'</v>
      </c>
    </row>
    <row r="43544" spans="1:6" x14ac:dyDescent="0.2">
      <c r="A43544" t="s">
        <v>65766</v>
      </c>
      <c r="B43544" t="s">
        <v>60697</v>
      </c>
      <c r="C43544" t="s">
        <v>812</v>
      </c>
      <c r="D43544" t="s">
        <v>6974</v>
      </c>
      <c r="E43544" t="s">
        <v>213</v>
      </c>
      <c r="F43544" s="2" t="str">
        <f>HYPERLINK("http://www.otzar.org/book.asp?158355","שרביט הזהב")</f>
        <v>שרביט הזהב</v>
      </c>
    </row>
    <row r="43545" spans="1:6" x14ac:dyDescent="0.2">
      <c r="A43545" t="s">
        <v>65768</v>
      </c>
      <c r="B43545" t="s">
        <v>64952</v>
      </c>
      <c r="C43545" t="s">
        <v>65769</v>
      </c>
      <c r="D43545" t="s">
        <v>56</v>
      </c>
      <c r="E43545" t="s">
        <v>158</v>
      </c>
      <c r="F43545" s="2" t="str">
        <f>HYPERLINK("http://www.otzar.org/book.asp?28455","שרביט הזהב - 3 כר'")</f>
        <v>שרביט הזהב - 3 כר'</v>
      </c>
    </row>
    <row r="43546" spans="1:6" x14ac:dyDescent="0.2">
      <c r="A43546" t="s">
        <v>65770</v>
      </c>
      <c r="B43546" t="s">
        <v>4854</v>
      </c>
      <c r="C43546" t="s">
        <v>20</v>
      </c>
      <c r="D43546" t="s">
        <v>367</v>
      </c>
      <c r="E43546" t="s">
        <v>246</v>
      </c>
      <c r="F43546" s="2" t="str">
        <f>HYPERLINK("http://www.otzar.org/book.asp?605464","שרביט הזהב  - פורים")</f>
        <v>שרביט הזהב  - פורים</v>
      </c>
    </row>
    <row r="43547" spans="1:6" x14ac:dyDescent="0.2">
      <c r="A43547" t="s">
        <v>65771</v>
      </c>
      <c r="B43547" t="s">
        <v>59886</v>
      </c>
      <c r="C43547" t="s">
        <v>411</v>
      </c>
      <c r="D43547" t="s">
        <v>52</v>
      </c>
      <c r="E43547" t="s">
        <v>148</v>
      </c>
      <c r="F43547" s="2" t="str">
        <f>HYPERLINK("http://www.otzar.org/book.asp?180655","שרביט השולחן - שבת א")</f>
        <v>שרביט השולחן - שבת א</v>
      </c>
    </row>
    <row r="43548" spans="1:6" x14ac:dyDescent="0.2">
      <c r="A43548" t="s">
        <v>65772</v>
      </c>
      <c r="B43548" t="s">
        <v>65773</v>
      </c>
      <c r="C43548" t="s">
        <v>176</v>
      </c>
      <c r="D43548" t="s">
        <v>412</v>
      </c>
      <c r="E43548" t="s">
        <v>154</v>
      </c>
      <c r="F43548" s="2" t="str">
        <f>HYPERLINK("http://www.otzar.org/book.asp?160357","שרגא בטהרה")</f>
        <v>שרגא בטהרה</v>
      </c>
    </row>
    <row r="43549" spans="1:6" x14ac:dyDescent="0.2">
      <c r="A43549" t="s">
        <v>65774</v>
      </c>
      <c r="B43549" t="s">
        <v>65775</v>
      </c>
      <c r="C43549" t="s">
        <v>454</v>
      </c>
      <c r="D43549" t="s">
        <v>646</v>
      </c>
      <c r="E43549" t="s">
        <v>158</v>
      </c>
      <c r="F43549" s="2" t="str">
        <f>HYPERLINK("http://www.otzar.org/book.asp?615679","שרגא המאיר &lt;על התורה&gt;")</f>
        <v>שרגא המאיר &lt;על התורה&gt;</v>
      </c>
    </row>
    <row r="43550" spans="1:6" x14ac:dyDescent="0.2">
      <c r="A43550" t="s">
        <v>65776</v>
      </c>
      <c r="B43550" t="s">
        <v>65777</v>
      </c>
      <c r="C43550" t="s">
        <v>422</v>
      </c>
      <c r="D43550" t="s">
        <v>52</v>
      </c>
      <c r="E43550" t="s">
        <v>119</v>
      </c>
      <c r="F43550" s="2" t="str">
        <f>HYPERLINK("http://www.otzar.org/book.asp?157784","שרגא ליחזקאל")</f>
        <v>שרגא ליחזקאל</v>
      </c>
    </row>
    <row r="43551" spans="1:6" x14ac:dyDescent="0.2">
      <c r="A43551" t="s">
        <v>65778</v>
      </c>
      <c r="B43551" t="s">
        <v>5608</v>
      </c>
      <c r="C43551" t="s">
        <v>1202</v>
      </c>
      <c r="D43551" t="s">
        <v>56</v>
      </c>
      <c r="E43551" t="s">
        <v>43</v>
      </c>
      <c r="F43551" s="2" t="str">
        <f>HYPERLINK("http://www.otzar.org/book.asp?100718","שרגי טובא")</f>
        <v>שרגי טובא</v>
      </c>
    </row>
    <row r="43552" spans="1:6" x14ac:dyDescent="0.2">
      <c r="A43552" t="s">
        <v>65779</v>
      </c>
      <c r="B43552" t="s">
        <v>5608</v>
      </c>
      <c r="C43552" t="s">
        <v>8</v>
      </c>
      <c r="D43552" t="s">
        <v>22980</v>
      </c>
      <c r="E43552" t="s">
        <v>234</v>
      </c>
      <c r="F43552" s="2" t="str">
        <f>HYPERLINK("http://www.otzar.org/book.asp?25474","שרגי נהורא")</f>
        <v>שרגי נהורא</v>
      </c>
    </row>
    <row r="43553" spans="1:6" x14ac:dyDescent="0.2">
      <c r="A43553" t="s">
        <v>65780</v>
      </c>
      <c r="B43553" t="s">
        <v>5608</v>
      </c>
      <c r="C43553" t="s">
        <v>1202</v>
      </c>
      <c r="D43553" t="s">
        <v>56</v>
      </c>
      <c r="E43553" t="s">
        <v>2875</v>
      </c>
      <c r="F43553" s="2" t="str">
        <f>HYPERLINK("http://www.otzar.org/book.asp?100717","שרגי נפישי")</f>
        <v>שרגי נפישי</v>
      </c>
    </row>
    <row r="43554" spans="1:6" x14ac:dyDescent="0.2">
      <c r="A43554" t="s">
        <v>65781</v>
      </c>
      <c r="B43554" t="s">
        <v>65782</v>
      </c>
      <c r="C43554" t="s">
        <v>106</v>
      </c>
      <c r="D43554" t="s">
        <v>14</v>
      </c>
      <c r="E43554" t="s">
        <v>202</v>
      </c>
      <c r="F43554" s="2" t="str">
        <f>HYPERLINK("http://www.otzar.org/book.asp?106498","שרה שנירר &lt;עצרת זכרון במלאת ארבעים לפטירתה&gt;")</f>
        <v>שרה שנירר &lt;עצרת זכרון במלאת ארבעים לפטירתה&gt;</v>
      </c>
    </row>
    <row r="43555" spans="1:6" x14ac:dyDescent="0.2">
      <c r="A43555" t="s">
        <v>65783</v>
      </c>
      <c r="B43555" t="s">
        <v>31972</v>
      </c>
      <c r="C43555" t="s">
        <v>106</v>
      </c>
      <c r="D43555" t="s">
        <v>14</v>
      </c>
      <c r="E43555" t="s">
        <v>733</v>
      </c>
      <c r="F43555" s="2" t="str">
        <f>HYPERLINK("http://www.otzar.org/book.asp?163075","שרה שנירר אם בישראל")</f>
        <v>שרה שנירר אם בישראל</v>
      </c>
    </row>
    <row r="43556" spans="1:6" x14ac:dyDescent="0.2">
      <c r="A43556" t="s">
        <v>65784</v>
      </c>
      <c r="B43556" t="s">
        <v>5034</v>
      </c>
      <c r="C43556" t="s">
        <v>20</v>
      </c>
      <c r="D43556" t="s">
        <v>35415</v>
      </c>
      <c r="E43556" t="s">
        <v>104</v>
      </c>
      <c r="F43556" s="2" t="str">
        <f>HYPERLINK("http://www.otzar.org/book.asp?194998","שרה שנירר")</f>
        <v>שרה שנירר</v>
      </c>
    </row>
    <row r="43557" spans="1:6" x14ac:dyDescent="0.2">
      <c r="A43557" t="s">
        <v>65785</v>
      </c>
      <c r="B43557" t="s">
        <v>65786</v>
      </c>
      <c r="C43557" t="s">
        <v>13</v>
      </c>
      <c r="D43557" t="s">
        <v>52</v>
      </c>
      <c r="F43557" s="2" t="str">
        <f>HYPERLINK("http://www.otzar.org/book.asp?614699","שרופי הכבשן מאשימים &lt;מהדורה מורחבת&gt;")</f>
        <v>שרופי הכבשן מאשימים &lt;מהדורה מורחבת&gt;</v>
      </c>
    </row>
    <row r="43558" spans="1:6" x14ac:dyDescent="0.2">
      <c r="A43558" t="s">
        <v>65787</v>
      </c>
      <c r="B43558" t="s">
        <v>9465</v>
      </c>
      <c r="C43558" t="s">
        <v>124</v>
      </c>
      <c r="D43558" t="s">
        <v>52</v>
      </c>
      <c r="E43558" t="s">
        <v>119</v>
      </c>
      <c r="F43558" s="2" t="str">
        <f>HYPERLINK("http://www.otzar.org/book.asp?169141","שרופי הכבשן מאשימים")</f>
        <v>שרופי הכבשן מאשימים</v>
      </c>
    </row>
    <row r="43559" spans="1:6" x14ac:dyDescent="0.2">
      <c r="A43559" t="s">
        <v>65788</v>
      </c>
      <c r="B43559" t="s">
        <v>60898</v>
      </c>
      <c r="C43559" t="s">
        <v>445</v>
      </c>
      <c r="D43559" t="s">
        <v>14</v>
      </c>
      <c r="E43559" t="s">
        <v>230</v>
      </c>
      <c r="F43559" s="2" t="str">
        <f>HYPERLINK("http://www.otzar.org/book.asp?156651","שרח שאהין - פורים נאמה")</f>
        <v>שרח שאהין - פורים נאמה</v>
      </c>
    </row>
    <row r="43560" spans="1:6" x14ac:dyDescent="0.2">
      <c r="A43560" t="s">
        <v>65789</v>
      </c>
      <c r="B43560" t="s">
        <v>9096</v>
      </c>
      <c r="C43560" t="s">
        <v>334</v>
      </c>
      <c r="D43560" t="s">
        <v>14</v>
      </c>
      <c r="F43560" s="2" t="str">
        <f>HYPERLINK("http://www.otzar.org/book.asp?150143","שרי האלף - 2 כר'")</f>
        <v>שרי האלף - 2 כר'</v>
      </c>
    </row>
    <row r="43561" spans="1:6" x14ac:dyDescent="0.2">
      <c r="A43561" t="s">
        <v>65790</v>
      </c>
      <c r="B43561" t="s">
        <v>65791</v>
      </c>
      <c r="C43561" t="s">
        <v>2458</v>
      </c>
      <c r="D43561" t="s">
        <v>90</v>
      </c>
      <c r="F43561" s="2" t="str">
        <f>HYPERLINK("http://www.otzar.org/book.asp?150144","שרי האלף - הוספות")</f>
        <v>שרי האלף - הוספות</v>
      </c>
    </row>
    <row r="43562" spans="1:6" x14ac:dyDescent="0.2">
      <c r="A43562" t="s">
        <v>65792</v>
      </c>
      <c r="B43562" t="s">
        <v>65793</v>
      </c>
      <c r="C43562" t="s">
        <v>1885</v>
      </c>
      <c r="D43562" t="s">
        <v>212</v>
      </c>
      <c r="E43562" t="s">
        <v>104</v>
      </c>
      <c r="F43562" s="2" t="str">
        <f>HYPERLINK("http://www.otzar.org/book.asp?193939","שרי מאות")</f>
        <v>שרי מאות</v>
      </c>
    </row>
    <row r="43563" spans="1:6" x14ac:dyDescent="0.2">
      <c r="A43563" t="s">
        <v>65794</v>
      </c>
      <c r="B43563" t="s">
        <v>20447</v>
      </c>
      <c r="C43563" t="s">
        <v>129</v>
      </c>
      <c r="D43563" t="s">
        <v>14</v>
      </c>
      <c r="E43563" t="s">
        <v>803</v>
      </c>
      <c r="F43563" s="2" t="str">
        <f>HYPERLINK("http://www.otzar.org/book.asp?161206","שרי נפתלי - וסתות")</f>
        <v>שרי נפתלי - וסתות</v>
      </c>
    </row>
    <row r="43564" spans="1:6" x14ac:dyDescent="0.2">
      <c r="A43564" t="s">
        <v>65795</v>
      </c>
      <c r="B43564" t="s">
        <v>65796</v>
      </c>
      <c r="C43564" t="s">
        <v>1832</v>
      </c>
      <c r="D43564" t="s">
        <v>49</v>
      </c>
      <c r="E43564" t="s">
        <v>733</v>
      </c>
      <c r="F43564" s="2" t="str">
        <f>HYPERLINK("http://www.otzar.org/book.asp?147341","שרי צבאות ישראל")</f>
        <v>שרי צבאות ישראל</v>
      </c>
    </row>
    <row r="43565" spans="1:6" x14ac:dyDescent="0.2">
      <c r="A43565" t="s">
        <v>65797</v>
      </c>
      <c r="B43565" t="s">
        <v>65798</v>
      </c>
      <c r="C43565" t="s">
        <v>6624</v>
      </c>
      <c r="D43565" t="s">
        <v>1023</v>
      </c>
      <c r="E43565" t="s">
        <v>234</v>
      </c>
      <c r="F43565" s="2" t="str">
        <f>HYPERLINK("http://www.otzar.org/book.asp?146591","שרי צבי")</f>
        <v>שרי צבי</v>
      </c>
    </row>
    <row r="43566" spans="1:6" x14ac:dyDescent="0.2">
      <c r="A43566" t="s">
        <v>65799</v>
      </c>
      <c r="B43566" t="s">
        <v>65800</v>
      </c>
      <c r="C43566" t="s">
        <v>151</v>
      </c>
      <c r="D43566" t="s">
        <v>52</v>
      </c>
      <c r="F43566" s="2" t="str">
        <f>HYPERLINK("http://www.otzar.org/book.asp?618867","שריגי הגפן - גיטין פרק השולח")</f>
        <v>שריגי הגפן - גיטין פרק השולח</v>
      </c>
    </row>
    <row r="43567" spans="1:6" x14ac:dyDescent="0.2">
      <c r="A43567" t="s">
        <v>65801</v>
      </c>
      <c r="B43567" t="s">
        <v>65802</v>
      </c>
      <c r="C43567" t="s">
        <v>1844</v>
      </c>
      <c r="D43567" t="s">
        <v>280</v>
      </c>
      <c r="E43567" t="s">
        <v>1211</v>
      </c>
      <c r="F43567" s="2" t="str">
        <f>HYPERLINK("http://www.otzar.org/book.asp?7272","שריד בערכין")</f>
        <v>שריד בערכין</v>
      </c>
    </row>
    <row r="43568" spans="1:6" x14ac:dyDescent="0.2">
      <c r="A43568" t="s">
        <v>65803</v>
      </c>
      <c r="B43568" t="s">
        <v>2851</v>
      </c>
      <c r="C43568" t="s">
        <v>46</v>
      </c>
      <c r="D43568" t="s">
        <v>260</v>
      </c>
      <c r="E43568" t="s">
        <v>733</v>
      </c>
      <c r="F43568" s="2" t="str">
        <f>HYPERLINK("http://www.otzar.org/book.asp?143197","שריד ופליט")</f>
        <v>שריד ופליט</v>
      </c>
    </row>
    <row r="43569" spans="1:6" x14ac:dyDescent="0.2">
      <c r="A43569" t="s">
        <v>65804</v>
      </c>
      <c r="B43569" t="s">
        <v>8557</v>
      </c>
      <c r="C43569" t="s">
        <v>20</v>
      </c>
      <c r="D43569" t="s">
        <v>90</v>
      </c>
      <c r="E43569" t="s">
        <v>119</v>
      </c>
      <c r="F43569" s="2" t="str">
        <f>HYPERLINK("http://www.otzar.org/book.asp?199644","שריד לדור דעה")</f>
        <v>שריד לדור דעה</v>
      </c>
    </row>
    <row r="43570" spans="1:6" x14ac:dyDescent="0.2">
      <c r="A43570" t="s">
        <v>65805</v>
      </c>
      <c r="B43570" t="s">
        <v>11656</v>
      </c>
      <c r="C43570" t="s">
        <v>427</v>
      </c>
      <c r="D43570" t="s">
        <v>21</v>
      </c>
      <c r="E43570" t="s">
        <v>104</v>
      </c>
      <c r="F43570" s="2" t="str">
        <f>HYPERLINK("http://www.otzar.org/book.asp?197555","שריד מקדשנו")</f>
        <v>שריד מקדשנו</v>
      </c>
    </row>
    <row r="43571" spans="1:6" x14ac:dyDescent="0.2">
      <c r="A43571" t="s">
        <v>65806</v>
      </c>
      <c r="B43571" t="s">
        <v>8135</v>
      </c>
      <c r="C43571" t="s">
        <v>411</v>
      </c>
      <c r="D43571" t="s">
        <v>14</v>
      </c>
      <c r="E43571" t="s">
        <v>144</v>
      </c>
      <c r="F43571" s="2" t="str">
        <f>HYPERLINK("http://www.otzar.org/book.asp?199698","שרידי אש &lt;גחלי אש&gt; - 3 כר'")</f>
        <v>שרידי אש &lt;גחלי אש&gt; - 3 כר'</v>
      </c>
    </row>
    <row r="43572" spans="1:6" x14ac:dyDescent="0.2">
      <c r="A43572" t="s">
        <v>65807</v>
      </c>
      <c r="B43572" t="s">
        <v>8135</v>
      </c>
      <c r="C43572" t="s">
        <v>411</v>
      </c>
      <c r="D43572" t="s">
        <v>14</v>
      </c>
      <c r="E43572" t="s">
        <v>154</v>
      </c>
      <c r="F43572" s="2" t="str">
        <f>HYPERLINK("http://www.otzar.org/book.asp?199900","שרידי אש &lt;שו""ת&gt; - 2 כר'")</f>
        <v>שרידי אש &lt;שו"ת&gt; - 2 כר'</v>
      </c>
    </row>
    <row r="43573" spans="1:6" x14ac:dyDescent="0.2">
      <c r="A43573" t="s">
        <v>65808</v>
      </c>
      <c r="B43573" t="s">
        <v>8135</v>
      </c>
      <c r="C43573" t="s">
        <v>390</v>
      </c>
      <c r="D43573" t="s">
        <v>14</v>
      </c>
      <c r="F43573" s="2" t="str">
        <f>HYPERLINK("http://www.otzar.org/book.asp?174340","שרידי אש - 4 כר'")</f>
        <v>שרידי אש - 4 כר'</v>
      </c>
    </row>
    <row r="43574" spans="1:6" x14ac:dyDescent="0.2">
      <c r="A43574" t="s">
        <v>65809</v>
      </c>
      <c r="B43574" t="s">
        <v>65810</v>
      </c>
      <c r="C43574" t="s">
        <v>334</v>
      </c>
      <c r="D43574" t="s">
        <v>412</v>
      </c>
      <c r="E43574" t="s">
        <v>144</v>
      </c>
      <c r="F43574" s="2" t="str">
        <f>HYPERLINK("http://www.otzar.org/book.asp?600733","שרידי בבלי - 2 כר'")</f>
        <v>שרידי בבלי - 2 כר'</v>
      </c>
    </row>
    <row r="43575" spans="1:6" x14ac:dyDescent="0.2">
      <c r="A43575" t="s">
        <v>65811</v>
      </c>
      <c r="B43575" t="s">
        <v>65812</v>
      </c>
      <c r="C43575" t="s">
        <v>496</v>
      </c>
      <c r="D43575" t="s">
        <v>9</v>
      </c>
      <c r="F43575" s="2" t="str">
        <f>HYPERLINK("http://www.otzar.org/book.asp?601371","שרידי הירושלמי")</f>
        <v>שרידי הירושלמי</v>
      </c>
    </row>
    <row r="43576" spans="1:6" x14ac:dyDescent="0.2">
      <c r="A43576" t="s">
        <v>65813</v>
      </c>
      <c r="B43576" t="s">
        <v>18994</v>
      </c>
      <c r="C43576" t="s">
        <v>1663</v>
      </c>
      <c r="D43576" t="s">
        <v>14</v>
      </c>
      <c r="E43576" t="s">
        <v>20993</v>
      </c>
      <c r="F43576" s="2" t="str">
        <f>HYPERLINK("http://www.otzar.org/book.asp?8763","שרידי ויקרא רבה מגניזת מצרים")</f>
        <v>שרידי ויקרא רבה מגניזת מצרים</v>
      </c>
    </row>
    <row r="43577" spans="1:6" x14ac:dyDescent="0.2">
      <c r="A43577" t="s">
        <v>65814</v>
      </c>
      <c r="B43577" t="s">
        <v>13033</v>
      </c>
      <c r="C43577" t="s">
        <v>5991</v>
      </c>
      <c r="D43577" t="s">
        <v>76</v>
      </c>
      <c r="F43577" s="2" t="str">
        <f>HYPERLINK("http://www.otzar.org/book.asp?83992","שרידי יאודה")</f>
        <v>שרידי יאודה</v>
      </c>
    </row>
    <row r="43578" spans="1:6" x14ac:dyDescent="0.2">
      <c r="A43578" t="s">
        <v>65815</v>
      </c>
      <c r="B43578" t="s">
        <v>65816</v>
      </c>
      <c r="C43578" t="s">
        <v>438</v>
      </c>
      <c r="D43578" t="s">
        <v>412</v>
      </c>
      <c r="E43578" t="s">
        <v>158</v>
      </c>
      <c r="F43578" s="2" t="str">
        <f>HYPERLINK("http://www.otzar.org/book.asp?28254","שרידים בכתבי יד מפירושו של ר' שמואל בן חפני על התורה")</f>
        <v>שרידים בכתבי יד מפירושו של ר' שמואל בן חפני על התורה</v>
      </c>
    </row>
    <row r="43579" spans="1:6" x14ac:dyDescent="0.2">
      <c r="A43579" t="s">
        <v>65817</v>
      </c>
      <c r="B43579" t="s">
        <v>11501</v>
      </c>
      <c r="C43579" t="s">
        <v>189</v>
      </c>
      <c r="D43579" t="s">
        <v>7468</v>
      </c>
      <c r="E43579" t="s">
        <v>144</v>
      </c>
      <c r="F43579" s="2" t="str">
        <f>HYPERLINK("http://www.otzar.org/book.asp?605342","שרידים מפירוש הראב""ד למסכת בבא בתרא")</f>
        <v>שרידים מפירוש הראב"ד למסכת בבא בתרא</v>
      </c>
    </row>
    <row r="43580" spans="1:6" x14ac:dyDescent="0.2">
      <c r="A43580" t="s">
        <v>65818</v>
      </c>
      <c r="B43580" t="s">
        <v>65819</v>
      </c>
      <c r="C43580" t="s">
        <v>1208</v>
      </c>
      <c r="D43580" t="s">
        <v>412</v>
      </c>
      <c r="E43580" t="s">
        <v>65820</v>
      </c>
      <c r="F43580" s="2" t="str">
        <f>HYPERLINK("http://www.otzar.org/book.asp?10030","שרידים מפרושי הראשונים - שבת")</f>
        <v>שרידים מפרושי הראשונים - שבת</v>
      </c>
    </row>
    <row r="43581" spans="1:6" x14ac:dyDescent="0.2">
      <c r="A43581" t="s">
        <v>65821</v>
      </c>
      <c r="B43581" t="s">
        <v>4814</v>
      </c>
      <c r="C43581" t="s">
        <v>383</v>
      </c>
      <c r="D43581" t="s">
        <v>14</v>
      </c>
      <c r="E43581" t="s">
        <v>219</v>
      </c>
      <c r="F43581" s="2" t="str">
        <f>HYPERLINK("http://www.otzar.org/book.asp?182817","שרידים נוספים של תקיעתות בנוסח יוסי בן יוסי (תדפיס)")</f>
        <v>שרידים נוספים של תקיעתות בנוסח יוסי בן יוסי (תדפיס)</v>
      </c>
    </row>
    <row r="43582" spans="1:6" x14ac:dyDescent="0.2">
      <c r="A43582" t="s">
        <v>65822</v>
      </c>
      <c r="B43582" t="s">
        <v>65823</v>
      </c>
      <c r="C43582" t="s">
        <v>585</v>
      </c>
      <c r="D43582" t="s">
        <v>90</v>
      </c>
      <c r="E43582" t="s">
        <v>202</v>
      </c>
      <c r="F43582" s="2" t="str">
        <f>HYPERLINK("http://www.otzar.org/book.asp?175771","שרידים - 26 כר'")</f>
        <v>שרידים - 26 כר'</v>
      </c>
    </row>
    <row r="43583" spans="1:6" x14ac:dyDescent="0.2">
      <c r="A43583" t="s">
        <v>65824</v>
      </c>
      <c r="B43583" t="s">
        <v>4197</v>
      </c>
      <c r="C43583" t="s">
        <v>576</v>
      </c>
      <c r="D43583" t="s">
        <v>27</v>
      </c>
      <c r="E43583" t="s">
        <v>65825</v>
      </c>
      <c r="F43583" s="2" t="str">
        <f>HYPERLINK("http://www.otzar.org/book.asp?100716","שרידים")</f>
        <v>שרידים</v>
      </c>
    </row>
    <row r="43584" spans="1:6" x14ac:dyDescent="0.2">
      <c r="A43584" t="s">
        <v>65826</v>
      </c>
      <c r="B43584" t="s">
        <v>65827</v>
      </c>
      <c r="C43584" t="s">
        <v>244</v>
      </c>
      <c r="D43584" t="s">
        <v>21</v>
      </c>
      <c r="E43584" t="s">
        <v>2840</v>
      </c>
      <c r="F43584" s="2" t="str">
        <f>HYPERLINK("http://www.otzar.org/book.asp?196704","שרים ושופטי אר""ץ")</f>
        <v>שרים ושופטי אר"ץ</v>
      </c>
    </row>
    <row r="43585" spans="1:6" x14ac:dyDescent="0.2">
      <c r="A43585" t="s">
        <v>65828</v>
      </c>
      <c r="B43585" t="s">
        <v>8183</v>
      </c>
      <c r="C43585" t="s">
        <v>482</v>
      </c>
      <c r="D43585" t="s">
        <v>260</v>
      </c>
      <c r="E43585" t="s">
        <v>119</v>
      </c>
      <c r="F43585" s="2" t="str">
        <f>HYPERLINK("http://www.otzar.org/book.asp?151592","שריפת התלמוד באיטליה")</f>
        <v>שריפת התלמוד באיטליה</v>
      </c>
    </row>
    <row r="43586" spans="1:6" x14ac:dyDescent="0.2">
      <c r="A43586" t="s">
        <v>65829</v>
      </c>
      <c r="B43586" t="s">
        <v>6730</v>
      </c>
      <c r="C43586" t="s">
        <v>550</v>
      </c>
      <c r="D43586" t="s">
        <v>1538</v>
      </c>
      <c r="E43586" t="s">
        <v>6688</v>
      </c>
      <c r="F43586" s="2" t="str">
        <f>HYPERLINK("http://www.otzar.org/book.asp?6171","שרף פרי עץ חיים")</f>
        <v>שרף פרי עץ חיים</v>
      </c>
    </row>
    <row r="43587" spans="1:6" x14ac:dyDescent="0.2">
      <c r="A43587" t="s">
        <v>65830</v>
      </c>
      <c r="B43587" t="s">
        <v>65831</v>
      </c>
      <c r="C43587" t="s">
        <v>13</v>
      </c>
      <c r="D43587" t="s">
        <v>52</v>
      </c>
      <c r="E43587" t="s">
        <v>140</v>
      </c>
      <c r="F43587" s="2" t="str">
        <f>HYPERLINK("http://www.otzar.org/book.asp?84314","שרפי קודש - 2 כר'")</f>
        <v>שרפי קודש - 2 כר'</v>
      </c>
    </row>
    <row r="43588" spans="1:6" x14ac:dyDescent="0.2">
      <c r="A43588" t="s">
        <v>65832</v>
      </c>
      <c r="B43588" t="s">
        <v>27155</v>
      </c>
      <c r="C43588" t="s">
        <v>7364</v>
      </c>
      <c r="D43588" t="s">
        <v>1023</v>
      </c>
      <c r="E43588" t="s">
        <v>920</v>
      </c>
      <c r="F43588" s="2" t="str">
        <f>HYPERLINK("http://www.otzar.org/book.asp?5400","שרש יוסף")</f>
        <v>שרש יוסף</v>
      </c>
    </row>
    <row r="43589" spans="1:6" x14ac:dyDescent="0.2">
      <c r="A43589" t="s">
        <v>65833</v>
      </c>
      <c r="B43589" t="s">
        <v>5241</v>
      </c>
      <c r="C43589" t="s">
        <v>383</v>
      </c>
      <c r="D43589" t="s">
        <v>14</v>
      </c>
      <c r="E43589" t="s">
        <v>5186</v>
      </c>
      <c r="F43589" s="2" t="str">
        <f>HYPERLINK("http://www.otzar.org/book.asp?178966","שרש ישי &lt;מהדורה חדשה&gt;")</f>
        <v>שרש ישי &lt;מהדורה חדשה&gt;</v>
      </c>
    </row>
    <row r="43590" spans="1:6" x14ac:dyDescent="0.2">
      <c r="A43590" t="s">
        <v>65834</v>
      </c>
      <c r="B43590" t="s">
        <v>5241</v>
      </c>
      <c r="C43590" t="s">
        <v>1666</v>
      </c>
      <c r="D43590" t="s">
        <v>726</v>
      </c>
      <c r="E43590" t="s">
        <v>158</v>
      </c>
      <c r="F43590" s="2" t="str">
        <f>HYPERLINK("http://www.otzar.org/book.asp?146619","שרש ישי")</f>
        <v>שרש ישי</v>
      </c>
    </row>
    <row r="43591" spans="1:6" x14ac:dyDescent="0.2">
      <c r="A43591" t="s">
        <v>65834</v>
      </c>
      <c r="B43591" t="s">
        <v>65835</v>
      </c>
      <c r="C43591" t="s">
        <v>111</v>
      </c>
      <c r="D43591" t="s">
        <v>14</v>
      </c>
      <c r="F43591" s="2" t="str">
        <f>HYPERLINK("http://www.otzar.org/book.asp?620765","שרש ישי")</f>
        <v>שרש ישי</v>
      </c>
    </row>
    <row r="43592" spans="1:6" x14ac:dyDescent="0.2">
      <c r="A43592" t="s">
        <v>65834</v>
      </c>
      <c r="B43592" t="s">
        <v>65836</v>
      </c>
      <c r="C43592" t="s">
        <v>506</v>
      </c>
      <c r="D43592" t="s">
        <v>56</v>
      </c>
      <c r="E43592" t="s">
        <v>84</v>
      </c>
      <c r="F43592" s="2" t="str">
        <f>HYPERLINK("http://www.otzar.org/book.asp?84534","שרש ישי")</f>
        <v>שרש ישי</v>
      </c>
    </row>
    <row r="43593" spans="1:6" x14ac:dyDescent="0.2">
      <c r="A43593" t="s">
        <v>65834</v>
      </c>
      <c r="B43593" t="s">
        <v>65837</v>
      </c>
      <c r="C43593" t="s">
        <v>28919</v>
      </c>
      <c r="D43593" t="s">
        <v>1490</v>
      </c>
      <c r="F43593" s="2" t="str">
        <f>HYPERLINK("http://www.otzar.org/book.asp?164836","שרש ישי")</f>
        <v>שרש ישי</v>
      </c>
    </row>
    <row r="43594" spans="1:6" x14ac:dyDescent="0.2">
      <c r="A43594" t="s">
        <v>65838</v>
      </c>
      <c r="B43594" t="s">
        <v>65839</v>
      </c>
      <c r="C43594" t="s">
        <v>6624</v>
      </c>
      <c r="D43594" t="s">
        <v>2290</v>
      </c>
      <c r="E43594" t="s">
        <v>104</v>
      </c>
      <c r="F43594" s="2" t="str">
        <f>HYPERLINK("http://www.otzar.org/book.asp?16065","שרש ישע - 2 כר'")</f>
        <v>שרש ישע - 2 כר'</v>
      </c>
    </row>
    <row r="43595" spans="1:6" x14ac:dyDescent="0.2">
      <c r="A43595" t="s">
        <v>65840</v>
      </c>
      <c r="B43595" t="s">
        <v>65841</v>
      </c>
      <c r="C43595" t="s">
        <v>17</v>
      </c>
      <c r="D43595" t="s">
        <v>260</v>
      </c>
      <c r="F43595" s="2" t="str">
        <f>HYPERLINK("http://www.otzar.org/book.asp?195873","שרשי האילן")</f>
        <v>שרשי האילן</v>
      </c>
    </row>
    <row r="43596" spans="1:6" x14ac:dyDescent="0.2">
      <c r="A43596" t="s">
        <v>65842</v>
      </c>
      <c r="B43596" t="s">
        <v>50432</v>
      </c>
      <c r="C43596" t="s">
        <v>23</v>
      </c>
      <c r="D43596" t="s">
        <v>21</v>
      </c>
      <c r="E43596" t="s">
        <v>15</v>
      </c>
      <c r="F43596" s="2" t="str">
        <f>HYPERLINK("http://www.otzar.org/book.asp?192777","שרשי הי""ם &lt;מהדורה חדשה&gt; - 3 כר'")</f>
        <v>שרשי הי"ם &lt;מהדורה חדשה&gt; - 3 כר'</v>
      </c>
    </row>
    <row r="43597" spans="1:6" x14ac:dyDescent="0.2">
      <c r="A43597" t="s">
        <v>65843</v>
      </c>
      <c r="B43597" t="s">
        <v>50432</v>
      </c>
      <c r="C43597" t="s">
        <v>23</v>
      </c>
      <c r="D43597" t="s">
        <v>14</v>
      </c>
      <c r="E43597" t="s">
        <v>15</v>
      </c>
      <c r="F43597" s="2" t="str">
        <f>HYPERLINK("http://www.otzar.org/book.asp?8917","שרשי הי""ם - 4 כר'")</f>
        <v>שרשי הי"ם - 4 כר'</v>
      </c>
    </row>
    <row r="43598" spans="1:6" x14ac:dyDescent="0.2">
      <c r="A43598" t="s">
        <v>65844</v>
      </c>
      <c r="B43598" t="s">
        <v>2074</v>
      </c>
      <c r="C43598" t="s">
        <v>785</v>
      </c>
      <c r="D43598" t="s">
        <v>14</v>
      </c>
      <c r="E43598" t="s">
        <v>399</v>
      </c>
      <c r="F43598" s="2" t="str">
        <f>HYPERLINK("http://www.otzar.org/book.asp?150432","שרשי הים - 6 כר'")</f>
        <v>שרשי הים - 6 כר'</v>
      </c>
    </row>
    <row r="43599" spans="1:6" x14ac:dyDescent="0.2">
      <c r="A43599" t="s">
        <v>65845</v>
      </c>
      <c r="B43599" t="s">
        <v>65846</v>
      </c>
      <c r="C43599" t="s">
        <v>496</v>
      </c>
      <c r="D43599" t="s">
        <v>27</v>
      </c>
      <c r="E43599" t="s">
        <v>104</v>
      </c>
      <c r="F43599" s="2" t="str">
        <f>HYPERLINK("http://www.otzar.org/book.asp?108494","שרשי המצות")</f>
        <v>שרשי המצות</v>
      </c>
    </row>
    <row r="43600" spans="1:6" x14ac:dyDescent="0.2">
      <c r="A43600" t="s">
        <v>65845</v>
      </c>
      <c r="B43600" t="s">
        <v>1390</v>
      </c>
      <c r="C43600" t="s">
        <v>185</v>
      </c>
      <c r="D43600" t="s">
        <v>14</v>
      </c>
      <c r="F43600" s="2" t="str">
        <f>HYPERLINK("http://www.otzar.org/book.asp?632630","שרשי המצות")</f>
        <v>שרשי המצות</v>
      </c>
    </row>
    <row r="43601" spans="1:6" x14ac:dyDescent="0.2">
      <c r="A43601" t="s">
        <v>65847</v>
      </c>
      <c r="B43601" t="s">
        <v>65848</v>
      </c>
      <c r="C43601" t="s">
        <v>13</v>
      </c>
      <c r="D43601" t="s">
        <v>14</v>
      </c>
      <c r="E43601" t="s">
        <v>2088</v>
      </c>
      <c r="F43601" s="2" t="str">
        <f>HYPERLINK("http://www.otzar.org/book.asp?61524","שרשי ים")</f>
        <v>שרשי ים</v>
      </c>
    </row>
    <row r="43602" spans="1:6" x14ac:dyDescent="0.2">
      <c r="A43602" t="s">
        <v>65849</v>
      </c>
      <c r="B43602" t="s">
        <v>65850</v>
      </c>
      <c r="C43602" t="s">
        <v>5823</v>
      </c>
      <c r="D43602" t="s">
        <v>283</v>
      </c>
      <c r="E43602" t="s">
        <v>104</v>
      </c>
      <c r="F43602" s="2" t="str">
        <f>HYPERLINK("http://www.otzar.org/book.asp?300092","שרשי לשון הקדש")</f>
        <v>שרשי לשון הקדש</v>
      </c>
    </row>
    <row r="43603" spans="1:6" x14ac:dyDescent="0.2">
      <c r="A43603" t="s">
        <v>65851</v>
      </c>
      <c r="B43603" t="s">
        <v>13786</v>
      </c>
      <c r="C43603" t="s">
        <v>37</v>
      </c>
      <c r="D43603" t="s">
        <v>412</v>
      </c>
      <c r="E43603" t="s">
        <v>144</v>
      </c>
      <c r="F43603" s="2" t="str">
        <f>HYPERLINK("http://www.otzar.org/book.asp?177074","שרשי מיגו והפה שאסר")</f>
        <v>שרשי מיגו והפה שאסר</v>
      </c>
    </row>
    <row r="43604" spans="1:6" x14ac:dyDescent="0.2">
      <c r="A43604" t="s">
        <v>65852</v>
      </c>
      <c r="B43604" t="s">
        <v>65853</v>
      </c>
      <c r="C43604" t="s">
        <v>146</v>
      </c>
      <c r="D43604" t="s">
        <v>10022</v>
      </c>
      <c r="E43604" t="s">
        <v>119</v>
      </c>
      <c r="F43604" s="2" t="str">
        <f>HYPERLINK("http://www.otzar.org/book.asp?28633","שרשי משפחת פיקהולץ")</f>
        <v>שרשי משפחת פיקהולץ</v>
      </c>
    </row>
    <row r="43605" spans="1:6" x14ac:dyDescent="0.2">
      <c r="A43605" t="s">
        <v>65854</v>
      </c>
      <c r="B43605" t="s">
        <v>65853</v>
      </c>
      <c r="C43605" t="s">
        <v>146</v>
      </c>
      <c r="D43605" t="s">
        <v>10022</v>
      </c>
      <c r="E43605" t="s">
        <v>119</v>
      </c>
      <c r="F43605" s="2" t="str">
        <f>HYPERLINK("http://www.otzar.org/book.asp?28632","שרשי משפחת שניידר")</f>
        <v>שרשי משפחת שניידר</v>
      </c>
    </row>
    <row r="43606" spans="1:6" x14ac:dyDescent="0.2">
      <c r="A43606" t="s">
        <v>65855</v>
      </c>
      <c r="B43606" t="s">
        <v>31541</v>
      </c>
      <c r="C43606" t="s">
        <v>20</v>
      </c>
      <c r="D43606" t="s">
        <v>90</v>
      </c>
      <c r="E43606" t="s">
        <v>393</v>
      </c>
      <c r="F43606" s="2" t="str">
        <f>HYPERLINK("http://www.otzar.org/book.asp?141419","שרשים בהלכה")</f>
        <v>שרשים בהלכה</v>
      </c>
    </row>
    <row r="43607" spans="1:6" x14ac:dyDescent="0.2">
      <c r="A43607" t="s">
        <v>65856</v>
      </c>
      <c r="B43607" t="s">
        <v>65857</v>
      </c>
      <c r="C43607" t="s">
        <v>3840</v>
      </c>
      <c r="D43607" t="s">
        <v>3208</v>
      </c>
      <c r="E43607" t="s">
        <v>119</v>
      </c>
      <c r="F43607" s="2" t="str">
        <f>HYPERLINK("http://www.otzar.org/book.asp?612988","שרשים במולדת")</f>
        <v>שרשים במולדת</v>
      </c>
    </row>
    <row r="43608" spans="1:6" x14ac:dyDescent="0.2">
      <c r="A43608" t="s">
        <v>65858</v>
      </c>
      <c r="B43608" t="s">
        <v>62096</v>
      </c>
      <c r="C43608" t="s">
        <v>17</v>
      </c>
      <c r="D43608" t="s">
        <v>14</v>
      </c>
      <c r="E43608" t="s">
        <v>246</v>
      </c>
      <c r="F43608" s="2" t="str">
        <f>HYPERLINK("http://www.otzar.org/book.asp?156982","שרשים במועדות")</f>
        <v>שרשים במועדות</v>
      </c>
    </row>
    <row r="43609" spans="1:6" x14ac:dyDescent="0.2">
      <c r="A43609" t="s">
        <v>65859</v>
      </c>
      <c r="B43609" t="s">
        <v>62096</v>
      </c>
      <c r="C43609" t="s">
        <v>454</v>
      </c>
      <c r="D43609" t="s">
        <v>14</v>
      </c>
      <c r="E43609" t="s">
        <v>144</v>
      </c>
      <c r="F43609" s="2" t="str">
        <f>HYPERLINK("http://www.otzar.org/book.asp?156983","שרשים במסכת ברכות")</f>
        <v>שרשים במסכת ברכות</v>
      </c>
    </row>
    <row r="43610" spans="1:6" x14ac:dyDescent="0.2">
      <c r="A43610" t="s">
        <v>65860</v>
      </c>
      <c r="B43610" t="s">
        <v>62096</v>
      </c>
      <c r="C43610" t="s">
        <v>1448</v>
      </c>
      <c r="D43610" t="s">
        <v>14</v>
      </c>
      <c r="E43610" t="s">
        <v>15</v>
      </c>
      <c r="F43610" s="2" t="str">
        <f>HYPERLINK("http://www.otzar.org/book.asp?156981","שרשים בשמחות")</f>
        <v>שרשים בשמחות</v>
      </c>
    </row>
    <row r="43611" spans="1:6" x14ac:dyDescent="0.2">
      <c r="A43611" t="s">
        <v>65861</v>
      </c>
      <c r="B43611" t="s">
        <v>7191</v>
      </c>
      <c r="C43611" t="s">
        <v>940</v>
      </c>
      <c r="D43611" t="s">
        <v>721</v>
      </c>
      <c r="E43611" t="s">
        <v>119</v>
      </c>
      <c r="F43611" s="2" t="str">
        <f>HYPERLINK("http://www.otzar.org/book.asp?165879","שרשים ומסורת ביהדות תונסיה")</f>
        <v>שרשים ומסורת ביהדות תונסיה</v>
      </c>
    </row>
    <row r="43612" spans="1:6" x14ac:dyDescent="0.2">
      <c r="A43612" t="s">
        <v>65862</v>
      </c>
      <c r="B43612" t="s">
        <v>5498</v>
      </c>
      <c r="C43612" t="s">
        <v>20</v>
      </c>
      <c r="D43612" t="s">
        <v>52</v>
      </c>
      <c r="E43612" t="s">
        <v>241</v>
      </c>
      <c r="F43612" s="2" t="str">
        <f>HYPERLINK("http://www.otzar.org/book.asp?158637","שרשים - להכרת היהדות")</f>
        <v>שרשים - להכרת היהדות</v>
      </c>
    </row>
    <row r="43613" spans="1:6" x14ac:dyDescent="0.2">
      <c r="A43613" t="s">
        <v>65863</v>
      </c>
      <c r="B43613" t="s">
        <v>1120</v>
      </c>
      <c r="C43613" t="s">
        <v>5257</v>
      </c>
      <c r="D43613" t="s">
        <v>1008</v>
      </c>
      <c r="E43613" t="s">
        <v>104</v>
      </c>
      <c r="F43613" s="2" t="str">
        <f>HYPERLINK("http://www.otzar.org/book.asp?108319","שרשים")</f>
        <v>שרשים</v>
      </c>
    </row>
    <row r="43614" spans="1:6" x14ac:dyDescent="0.2">
      <c r="A43614" t="s">
        <v>65864</v>
      </c>
      <c r="B43614" t="s">
        <v>3510</v>
      </c>
      <c r="C43614" t="s">
        <v>17</v>
      </c>
      <c r="D43614" t="s">
        <v>14</v>
      </c>
      <c r="E43614" t="s">
        <v>119</v>
      </c>
      <c r="F43614" s="2" t="str">
        <f>HYPERLINK("http://www.otzar.org/book.asp?61234","שרשרת הדורות בתקופות הסוערות - 6 כר'")</f>
        <v>שרשרת הדורות בתקופות הסוערות - 6 כר'</v>
      </c>
    </row>
    <row r="43615" spans="1:6" x14ac:dyDescent="0.2">
      <c r="A43615" t="s">
        <v>65865</v>
      </c>
      <c r="B43615" t="s">
        <v>11373</v>
      </c>
      <c r="C43615" t="s">
        <v>433</v>
      </c>
      <c r="D43615" t="s">
        <v>260</v>
      </c>
      <c r="E43615" t="s">
        <v>140</v>
      </c>
      <c r="F43615" s="2" t="str">
        <f>HYPERLINK("http://www.otzar.org/book.asp?7197","שרשרת זהב")</f>
        <v>שרשרת זהב</v>
      </c>
    </row>
    <row r="43616" spans="1:6" x14ac:dyDescent="0.2">
      <c r="A43616" t="s">
        <v>65866</v>
      </c>
      <c r="B43616" t="s">
        <v>65867</v>
      </c>
      <c r="C43616" t="s">
        <v>31012</v>
      </c>
      <c r="D43616" t="s">
        <v>1023</v>
      </c>
      <c r="E43616" t="s">
        <v>104</v>
      </c>
      <c r="F43616" s="2" t="str">
        <f>HYPERLINK("http://www.otzar.org/book.asp?168035","שרשת גבלת")</f>
        <v>שרשת גבלת</v>
      </c>
    </row>
    <row r="43617" spans="1:6" x14ac:dyDescent="0.2">
      <c r="A43617" t="s">
        <v>65868</v>
      </c>
      <c r="B43617" t="s">
        <v>53093</v>
      </c>
      <c r="C43617" t="s">
        <v>129</v>
      </c>
      <c r="D43617" t="s">
        <v>2468</v>
      </c>
      <c r="E43617" t="s">
        <v>2071</v>
      </c>
      <c r="F43617" s="2" t="str">
        <f>HYPERLINK("http://www.otzar.org/book.asp?153591","שרתי")</f>
        <v>שרתי</v>
      </c>
    </row>
    <row r="43618" spans="1:6" x14ac:dyDescent="0.2">
      <c r="A43618" t="s">
        <v>65869</v>
      </c>
      <c r="B43618" t="s">
        <v>65870</v>
      </c>
      <c r="C43618" t="s">
        <v>20</v>
      </c>
      <c r="D43618" t="s">
        <v>52</v>
      </c>
      <c r="F43618" s="2" t="str">
        <f>HYPERLINK("http://www.otzar.org/book.asp?616467","שש אנוכי")</f>
        <v>שש אנוכי</v>
      </c>
    </row>
    <row r="43619" spans="1:6" x14ac:dyDescent="0.2">
      <c r="A43619" t="s">
        <v>65871</v>
      </c>
      <c r="B43619" t="s">
        <v>65872</v>
      </c>
      <c r="C43619" t="s">
        <v>576</v>
      </c>
      <c r="D43619" t="s">
        <v>6974</v>
      </c>
      <c r="E43619" t="s">
        <v>65873</v>
      </c>
      <c r="F43619" s="2" t="str">
        <f>HYPERLINK("http://www.otzar.org/book.asp?145222","שש אנכי - רך וטוב")</f>
        <v>שש אנכי - רך וטוב</v>
      </c>
    </row>
    <row r="43620" spans="1:6" x14ac:dyDescent="0.2">
      <c r="A43620" t="s">
        <v>65874</v>
      </c>
      <c r="B43620" t="s">
        <v>34382</v>
      </c>
      <c r="C43620" t="s">
        <v>454</v>
      </c>
      <c r="D43620" t="s">
        <v>1550</v>
      </c>
      <c r="E43620" t="s">
        <v>144</v>
      </c>
      <c r="F43620" s="2" t="str">
        <f>HYPERLINK("http://www.otzar.org/book.asp?158770","שש אנכי - 2 כר'")</f>
        <v>שש אנכי - 2 כר'</v>
      </c>
    </row>
    <row r="43621" spans="1:6" x14ac:dyDescent="0.2">
      <c r="A43621" t="s">
        <v>65875</v>
      </c>
      <c r="B43621" t="s">
        <v>3951</v>
      </c>
      <c r="C43621" t="s">
        <v>366</v>
      </c>
      <c r="D43621" t="s">
        <v>52</v>
      </c>
      <c r="E43621" t="s">
        <v>104</v>
      </c>
      <c r="F43621" s="2" t="str">
        <f>HYPERLINK("http://www.otzar.org/book.asp?626327","שש אנכי")</f>
        <v>שש אנכי</v>
      </c>
    </row>
    <row r="43622" spans="1:6" x14ac:dyDescent="0.2">
      <c r="A43622" t="s">
        <v>65875</v>
      </c>
      <c r="B43622" t="s">
        <v>28394</v>
      </c>
      <c r="C43622" t="s">
        <v>422</v>
      </c>
      <c r="D43622" t="s">
        <v>90</v>
      </c>
      <c r="E43622" t="s">
        <v>144</v>
      </c>
      <c r="F43622" s="2" t="str">
        <f>HYPERLINK("http://www.otzar.org/book.asp?199465","שש אנכי")</f>
        <v>שש אנכי</v>
      </c>
    </row>
    <row r="43623" spans="1:6" x14ac:dyDescent="0.2">
      <c r="A43623" t="s">
        <v>65876</v>
      </c>
      <c r="B43623" t="s">
        <v>65870</v>
      </c>
      <c r="C43623" t="s">
        <v>90</v>
      </c>
      <c r="D43623" t="s">
        <v>52</v>
      </c>
      <c r="E43623" t="s">
        <v>144</v>
      </c>
      <c r="F43623" s="2" t="str">
        <f>HYPERLINK("http://www.otzar.org/book.asp?628804","שש אנכי - שבת, עירובין")</f>
        <v>שש אנכי - שבת, עירובין</v>
      </c>
    </row>
    <row r="43624" spans="1:6" x14ac:dyDescent="0.2">
      <c r="A43624" t="s">
        <v>65875</v>
      </c>
      <c r="B43624" t="s">
        <v>65875</v>
      </c>
      <c r="C43624" t="s">
        <v>87</v>
      </c>
      <c r="D43624" t="s">
        <v>20</v>
      </c>
      <c r="E43624" t="s">
        <v>246</v>
      </c>
      <c r="F43624" s="2" t="str">
        <f>HYPERLINK("http://www.otzar.org/book.asp?25825","שש אנכי")</f>
        <v>שש אנכי</v>
      </c>
    </row>
    <row r="43625" spans="1:6" x14ac:dyDescent="0.2">
      <c r="A43625" t="s">
        <v>65877</v>
      </c>
      <c r="B43625" t="s">
        <v>65878</v>
      </c>
      <c r="C43625" t="s">
        <v>65879</v>
      </c>
      <c r="D43625" t="s">
        <v>1422</v>
      </c>
      <c r="E43625" t="s">
        <v>84</v>
      </c>
      <c r="F43625" s="2" t="str">
        <f>HYPERLINK("http://www.otzar.org/book.asp?141139","שש המערכת - 4 כר'")</f>
        <v>שש המערכת - 4 כר'</v>
      </c>
    </row>
    <row r="43626" spans="1:6" x14ac:dyDescent="0.2">
      <c r="A43626" t="s">
        <v>65880</v>
      </c>
      <c r="B43626" t="s">
        <v>33611</v>
      </c>
      <c r="C43626" t="s">
        <v>189</v>
      </c>
      <c r="D43626" t="s">
        <v>52</v>
      </c>
      <c r="E43626" t="s">
        <v>714</v>
      </c>
      <c r="F43626" s="2" t="str">
        <f>HYPERLINK("http://www.otzar.org/book.asp?50411","שש זכירות")</f>
        <v>שש זכירות</v>
      </c>
    </row>
    <row r="43627" spans="1:6" x14ac:dyDescent="0.2">
      <c r="A43627" t="s">
        <v>65881</v>
      </c>
      <c r="B43627" t="s">
        <v>5084</v>
      </c>
      <c r="C43627" t="s">
        <v>244</v>
      </c>
      <c r="D43627" t="s">
        <v>14</v>
      </c>
      <c r="F43627" s="2" t="str">
        <f>HYPERLINK("http://www.otzar.org/book.asp?608933","שש מצות תמידיות")</f>
        <v>שש מצות תמידיות</v>
      </c>
    </row>
    <row r="43628" spans="1:6" x14ac:dyDescent="0.2">
      <c r="A43628" t="s">
        <v>65882</v>
      </c>
      <c r="B43628" t="s">
        <v>62235</v>
      </c>
      <c r="C43628" t="s">
        <v>68</v>
      </c>
      <c r="D43628" t="s">
        <v>245</v>
      </c>
      <c r="F43628" s="2" t="str">
        <f>HYPERLINK("http://www.otzar.org/book.asp?198592","שש משזר")</f>
        <v>שש משזר</v>
      </c>
    </row>
    <row r="43629" spans="1:6" x14ac:dyDescent="0.2">
      <c r="A43629" t="s">
        <v>65883</v>
      </c>
      <c r="B43629" t="s">
        <v>9425</v>
      </c>
      <c r="C43629" t="s">
        <v>114</v>
      </c>
      <c r="D43629" t="s">
        <v>9426</v>
      </c>
      <c r="E43629" t="s">
        <v>154</v>
      </c>
      <c r="F43629" s="2" t="str">
        <f>HYPERLINK("http://www.otzar.org/book.asp?179827","שש משזר - 2 כר'")</f>
        <v>שש משזר - 2 כר'</v>
      </c>
    </row>
    <row r="43630" spans="1:6" x14ac:dyDescent="0.2">
      <c r="A43630" t="s">
        <v>65884</v>
      </c>
      <c r="B43630" t="s">
        <v>8100</v>
      </c>
      <c r="C43630" t="s">
        <v>133</v>
      </c>
      <c r="D43630" t="s">
        <v>90</v>
      </c>
      <c r="E43630" t="s">
        <v>393</v>
      </c>
      <c r="F43630" s="2" t="str">
        <f>HYPERLINK("http://www.otzar.org/book.asp?176095","שש על אמרתך - 5 כר'")</f>
        <v>שש על אמרתך - 5 כר'</v>
      </c>
    </row>
    <row r="43631" spans="1:6" x14ac:dyDescent="0.2">
      <c r="A43631" t="s">
        <v>65885</v>
      </c>
      <c r="B43631" t="s">
        <v>27582</v>
      </c>
      <c r="C43631" t="s">
        <v>37</v>
      </c>
      <c r="D43631" t="s">
        <v>1156</v>
      </c>
      <c r="E43631" t="s">
        <v>399</v>
      </c>
      <c r="F43631" s="2" t="str">
        <f>HYPERLINK("http://www.otzar.org/book.asp?182539","שש שיחות על הספירות")</f>
        <v>שש שיחות על הספירות</v>
      </c>
    </row>
    <row r="43632" spans="1:6" x14ac:dyDescent="0.2">
      <c r="A43632" t="s">
        <v>65886</v>
      </c>
      <c r="B43632" t="s">
        <v>65887</v>
      </c>
      <c r="C43632" t="s">
        <v>445</v>
      </c>
      <c r="D43632" t="s">
        <v>3627</v>
      </c>
      <c r="E43632" t="s">
        <v>144</v>
      </c>
      <c r="F43632" s="2" t="str">
        <f>HYPERLINK("http://www.otzar.org/book.asp?8468","ששה זרעוני ערוגה")</f>
        <v>ששה זרעוני ערוגה</v>
      </c>
    </row>
    <row r="43633" spans="1:6" x14ac:dyDescent="0.2">
      <c r="A43633" t="s">
        <v>65888</v>
      </c>
      <c r="B43633" t="s">
        <v>33841</v>
      </c>
      <c r="C43633" t="s">
        <v>1169</v>
      </c>
      <c r="D43633" t="s">
        <v>2201</v>
      </c>
      <c r="E43633" t="s">
        <v>241</v>
      </c>
      <c r="F43633" s="2" t="str">
        <f>HYPERLINK("http://www.otzar.org/book.asp?624942","ששה מאמרים")</f>
        <v>ששה מאמרים</v>
      </c>
    </row>
    <row r="43634" spans="1:6" x14ac:dyDescent="0.2">
      <c r="A43634" t="s">
        <v>65889</v>
      </c>
      <c r="B43634" t="s">
        <v>42245</v>
      </c>
      <c r="C43634" t="s">
        <v>1163</v>
      </c>
      <c r="D43634" t="s">
        <v>1163</v>
      </c>
      <c r="E43634" t="s">
        <v>84</v>
      </c>
      <c r="F43634" s="2" t="str">
        <f>HYPERLINK("http://www.otzar.org/book.asp?191304","ששה סדרי משנה &lt;כת""י פארמה  דה רוססי 138&gt;")</f>
        <v>ששה סדרי משנה &lt;כת"י פארמה  דה רוססי 138&gt;</v>
      </c>
    </row>
    <row r="43635" spans="1:6" x14ac:dyDescent="0.2">
      <c r="A43635" t="s">
        <v>65890</v>
      </c>
      <c r="B43635" t="s">
        <v>65891</v>
      </c>
      <c r="C43635" t="s">
        <v>111</v>
      </c>
      <c r="D43635" t="s">
        <v>14</v>
      </c>
      <c r="E43635" t="s">
        <v>84</v>
      </c>
      <c r="F43635" s="2" t="str">
        <f>HYPERLINK("http://www.otzar.org/book.asp?627931","ששה סדרי משנה &lt;עטרת שלמה&gt; - 16 כר'")</f>
        <v>ששה סדרי משנה &lt;עטרת שלמה&gt; - 16 כר'</v>
      </c>
    </row>
    <row r="43636" spans="1:6" x14ac:dyDescent="0.2">
      <c r="A43636" t="s">
        <v>65892</v>
      </c>
      <c r="B43636" t="s">
        <v>42386</v>
      </c>
      <c r="C43636" t="s">
        <v>129</v>
      </c>
      <c r="D43636" t="s">
        <v>14</v>
      </c>
      <c r="E43636" t="s">
        <v>1914</v>
      </c>
      <c r="F43636" s="2" t="str">
        <f>HYPERLINK("http://www.otzar.org/book.asp?50009","ששה סדרי משנה &lt;טקסט&gt;")</f>
        <v>ששה סדרי משנה &lt;טקסט&gt;</v>
      </c>
    </row>
    <row r="43637" spans="1:6" x14ac:dyDescent="0.2">
      <c r="A43637" t="s">
        <v>65893</v>
      </c>
      <c r="B43637" t="s">
        <v>65894</v>
      </c>
      <c r="C43637" t="s">
        <v>133</v>
      </c>
      <c r="D43637" t="s">
        <v>52</v>
      </c>
      <c r="E43637" t="s">
        <v>84</v>
      </c>
      <c r="F43637" s="2" t="str">
        <f>HYPERLINK("http://www.otzar.org/book.asp?180059","ששה סדרי משנה מנוקדים ע""פ מסורת תימן - 6 כר'")</f>
        <v>ששה סדרי משנה מנוקדים ע"פ מסורת תימן - 6 כר'</v>
      </c>
    </row>
    <row r="43638" spans="1:6" x14ac:dyDescent="0.2">
      <c r="A43638" t="s">
        <v>65895</v>
      </c>
      <c r="B43638" t="s">
        <v>65896</v>
      </c>
      <c r="C43638" t="s">
        <v>37</v>
      </c>
      <c r="D43638" t="s">
        <v>14</v>
      </c>
      <c r="E43638" t="s">
        <v>399</v>
      </c>
      <c r="F43638" s="2" t="str">
        <f>HYPERLINK("http://www.otzar.org/book.asp?179905","ששה ספרים נפתחים")</f>
        <v>ששה ספרים נפתחים</v>
      </c>
    </row>
    <row r="43639" spans="1:6" x14ac:dyDescent="0.2">
      <c r="A43639" t="s">
        <v>65897</v>
      </c>
      <c r="B43639" t="s">
        <v>65898</v>
      </c>
      <c r="C43639" t="s">
        <v>332</v>
      </c>
      <c r="D43639" t="s">
        <v>14</v>
      </c>
      <c r="E43639" t="s">
        <v>213</v>
      </c>
      <c r="F43639" s="2" t="str">
        <f>HYPERLINK("http://www.otzar.org/book.asp?158834","ששה פרקים לבן דורנו")</f>
        <v>ששה פרקים לבן דורנו</v>
      </c>
    </row>
    <row r="43640" spans="1:6" x14ac:dyDescent="0.2">
      <c r="A43640" t="s">
        <v>65899</v>
      </c>
      <c r="B43640" t="s">
        <v>65900</v>
      </c>
      <c r="C43640" t="s">
        <v>785</v>
      </c>
      <c r="D43640" t="s">
        <v>412</v>
      </c>
      <c r="E43640" t="s">
        <v>1847</v>
      </c>
      <c r="F43640" s="2" t="str">
        <f>HYPERLINK("http://www.otzar.org/book.asp?154610","ששון ושמחה - דברי חיים דב - ג")</f>
        <v>ששון ושמחה - דברי חיים דב - ג</v>
      </c>
    </row>
    <row r="43641" spans="1:6" x14ac:dyDescent="0.2">
      <c r="A43641" t="s">
        <v>65901</v>
      </c>
      <c r="B43641" t="s">
        <v>65902</v>
      </c>
      <c r="C43641" t="s">
        <v>3690</v>
      </c>
      <c r="D43641" t="s">
        <v>24211</v>
      </c>
      <c r="E43641" t="s">
        <v>158</v>
      </c>
      <c r="F43641" s="2" t="str">
        <f>HYPERLINK("http://www.otzar.org/book.asp?197036","ששים אלף")</f>
        <v>ששים אלף</v>
      </c>
    </row>
    <row r="43642" spans="1:6" x14ac:dyDescent="0.2">
      <c r="A43642" t="s">
        <v>65903</v>
      </c>
      <c r="B43642" t="s">
        <v>686</v>
      </c>
      <c r="C43642" t="s">
        <v>103</v>
      </c>
      <c r="D43642" t="s">
        <v>52</v>
      </c>
      <c r="E43642" t="s">
        <v>8580</v>
      </c>
      <c r="F43642" s="2" t="str">
        <f>HYPERLINK("http://www.otzar.org/book.asp?50416","ששים המה מלכות")</f>
        <v>ששים המה מלכות</v>
      </c>
    </row>
    <row r="43643" spans="1:6" x14ac:dyDescent="0.2">
      <c r="A43643" t="s">
        <v>65904</v>
      </c>
      <c r="B43643" t="s">
        <v>65905</v>
      </c>
      <c r="C43643" t="s">
        <v>482</v>
      </c>
      <c r="D43643" t="s">
        <v>27</v>
      </c>
      <c r="E43643" t="s">
        <v>119</v>
      </c>
      <c r="F43643" s="2" t="str">
        <f>HYPERLINK("http://www.otzar.org/book.asp?15204","ששים ושלש שנה בירושלים")</f>
        <v>ששים ושלש שנה בירושלים</v>
      </c>
    </row>
    <row r="43644" spans="1:6" x14ac:dyDescent="0.2">
      <c r="A43644" t="s">
        <v>65906</v>
      </c>
      <c r="B43644" t="s">
        <v>65907</v>
      </c>
      <c r="C43644" t="s">
        <v>1619</v>
      </c>
      <c r="D43644" t="s">
        <v>21</v>
      </c>
      <c r="E43644" t="s">
        <v>119</v>
      </c>
      <c r="F43644" s="2" t="str">
        <f>HYPERLINK("http://www.otzar.org/book.asp?604408","ששים שנה לאגודת ישראל")</f>
        <v>ששים שנה לאגודת ישראל</v>
      </c>
    </row>
    <row r="43645" spans="1:6" x14ac:dyDescent="0.2">
      <c r="A43645" t="s">
        <v>65908</v>
      </c>
      <c r="B43645" t="s">
        <v>5293</v>
      </c>
      <c r="C43645" t="s">
        <v>422</v>
      </c>
      <c r="D43645" t="s">
        <v>14</v>
      </c>
      <c r="F43645" s="2" t="str">
        <f>HYPERLINK("http://www.otzar.org/book.asp?614868","שתהיו עמלים בתורה")</f>
        <v>שתהיו עמלים בתורה</v>
      </c>
    </row>
    <row r="43646" spans="1:6" x14ac:dyDescent="0.2">
      <c r="A43646" t="s">
        <v>65909</v>
      </c>
      <c r="B43646" t="s">
        <v>65910</v>
      </c>
      <c r="C43646" t="s">
        <v>37</v>
      </c>
      <c r="D43646" t="s">
        <v>21</v>
      </c>
      <c r="F43646" s="2" t="str">
        <f>HYPERLINK("http://www.otzar.org/book.asp?604887","שתולים בבית השם")</f>
        <v>שתולים בבית השם</v>
      </c>
    </row>
    <row r="43647" spans="1:6" x14ac:dyDescent="0.2">
      <c r="A43647" t="s">
        <v>65911</v>
      </c>
      <c r="B43647" t="s">
        <v>65912</v>
      </c>
      <c r="C43647" t="s">
        <v>543</v>
      </c>
      <c r="D43647" t="s">
        <v>744</v>
      </c>
      <c r="E43647" t="s">
        <v>158</v>
      </c>
      <c r="F43647" s="2" t="str">
        <f>HYPERLINK("http://www.otzar.org/book.asp?28267","שתי גלת הכתרת")</f>
        <v>שתי גלת הכתרת</v>
      </c>
    </row>
    <row r="43648" spans="1:6" x14ac:dyDescent="0.2">
      <c r="A43648" t="s">
        <v>65913</v>
      </c>
      <c r="B43648" t="s">
        <v>1540</v>
      </c>
      <c r="C43648" t="s">
        <v>366</v>
      </c>
      <c r="D43648" t="s">
        <v>14</v>
      </c>
      <c r="F43648" s="2" t="str">
        <f>HYPERLINK("http://www.otzar.org/book.asp?608853","שתי הלחם &lt;מהדורה חדשה&gt;")</f>
        <v>שתי הלחם &lt;מהדורה חדשה&gt;</v>
      </c>
    </row>
    <row r="43649" spans="1:6" x14ac:dyDescent="0.2">
      <c r="A43649" t="s">
        <v>65914</v>
      </c>
      <c r="B43649" t="s">
        <v>1540</v>
      </c>
      <c r="C43649" t="s">
        <v>402</v>
      </c>
      <c r="D43649" t="s">
        <v>12235</v>
      </c>
      <c r="E43649" t="s">
        <v>144</v>
      </c>
      <c r="F43649" s="2" t="str">
        <f>HYPERLINK("http://www.otzar.org/book.asp?19366","שתי הלחם - 2 כר'")</f>
        <v>שתי הלחם - 2 כר'</v>
      </c>
    </row>
    <row r="43650" spans="1:6" x14ac:dyDescent="0.2">
      <c r="A43650" t="s">
        <v>65914</v>
      </c>
      <c r="B43650" t="s">
        <v>4007</v>
      </c>
      <c r="C43650" t="s">
        <v>351</v>
      </c>
      <c r="D43650" t="s">
        <v>56</v>
      </c>
      <c r="E43650" t="s">
        <v>148</v>
      </c>
      <c r="F43650" s="2" t="str">
        <f>HYPERLINK("http://www.otzar.org/book.asp?20436","שתי הלחם - 2 כר'")</f>
        <v>שתי הלחם - 2 כר'</v>
      </c>
    </row>
    <row r="43651" spans="1:6" x14ac:dyDescent="0.2">
      <c r="A43651" t="s">
        <v>65915</v>
      </c>
      <c r="B43651" t="s">
        <v>12059</v>
      </c>
      <c r="C43651" t="s">
        <v>558</v>
      </c>
      <c r="D43651" t="s">
        <v>691</v>
      </c>
      <c r="E43651" t="s">
        <v>158</v>
      </c>
      <c r="F43651" s="2" t="str">
        <f>HYPERLINK("http://www.otzar.org/book.asp?20435","שתי המערכות - 2 כר'")</f>
        <v>שתי המערכות - 2 כר'</v>
      </c>
    </row>
    <row r="43652" spans="1:6" x14ac:dyDescent="0.2">
      <c r="A43652" t="s">
        <v>65916</v>
      </c>
      <c r="B43652" t="s">
        <v>4347</v>
      </c>
      <c r="C43652" t="s">
        <v>12976</v>
      </c>
      <c r="D43652" t="s">
        <v>49</v>
      </c>
      <c r="E43652" t="s">
        <v>42030</v>
      </c>
      <c r="F43652" s="2" t="str">
        <f>HYPERLINK("http://www.otzar.org/book.asp?11136","שתי ידות - 2 כר'")</f>
        <v>שתי ידות - 2 כר'</v>
      </c>
    </row>
    <row r="43653" spans="1:6" x14ac:dyDescent="0.2">
      <c r="A43653" t="s">
        <v>65917</v>
      </c>
      <c r="B43653" t="s">
        <v>22734</v>
      </c>
      <c r="C43653" t="s">
        <v>1679</v>
      </c>
      <c r="D43653" t="s">
        <v>1023</v>
      </c>
      <c r="E43653" t="s">
        <v>158</v>
      </c>
      <c r="F43653" s="2" t="str">
        <f>HYPERLINK("http://www.otzar.org/book.asp?16072","שתי ידות")</f>
        <v>שתי ידות</v>
      </c>
    </row>
    <row r="43654" spans="1:6" x14ac:dyDescent="0.2">
      <c r="A43654" t="s">
        <v>65917</v>
      </c>
      <c r="B43654" t="s">
        <v>65918</v>
      </c>
      <c r="C43654" t="s">
        <v>65919</v>
      </c>
      <c r="D43654" t="s">
        <v>1889</v>
      </c>
      <c r="E43654" t="s">
        <v>65920</v>
      </c>
      <c r="F43654" s="2" t="str">
        <f>HYPERLINK("http://www.otzar.org/book.asp?171002","שתי ידות")</f>
        <v>שתי ידות</v>
      </c>
    </row>
    <row r="43655" spans="1:6" x14ac:dyDescent="0.2">
      <c r="A43655" t="s">
        <v>65921</v>
      </c>
      <c r="B43655" t="s">
        <v>65922</v>
      </c>
      <c r="C43655" t="s">
        <v>20</v>
      </c>
      <c r="D43655" t="s">
        <v>90</v>
      </c>
      <c r="E43655" t="s">
        <v>104</v>
      </c>
      <c r="F43655" s="2" t="str">
        <f>HYPERLINK("http://www.otzar.org/book.asp?627005","שתי מורות משוחחות")</f>
        <v>שתי מורות משוחחות</v>
      </c>
    </row>
    <row r="43656" spans="1:6" x14ac:dyDescent="0.2">
      <c r="A43656" t="s">
        <v>65923</v>
      </c>
      <c r="B43656" t="s">
        <v>35903</v>
      </c>
      <c r="C43656" t="s">
        <v>1124</v>
      </c>
      <c r="D43656" t="s">
        <v>283</v>
      </c>
      <c r="E43656" t="s">
        <v>43</v>
      </c>
      <c r="F43656" s="2" t="str">
        <f>HYPERLINK("http://www.otzar.org/book.asp?102325","שתי מרגליות")</f>
        <v>שתי מרגליות</v>
      </c>
    </row>
    <row r="43657" spans="1:6" x14ac:dyDescent="0.2">
      <c r="A43657" t="s">
        <v>65924</v>
      </c>
      <c r="B43657" t="s">
        <v>20310</v>
      </c>
      <c r="C43657" t="s">
        <v>133</v>
      </c>
      <c r="D43657" t="s">
        <v>486</v>
      </c>
      <c r="E43657" t="s">
        <v>241</v>
      </c>
      <c r="F43657" s="2" t="str">
        <f>HYPERLINK("http://www.otzar.org/book.asp?603988","שתי צפרים בכריכה אחת")</f>
        <v>שתי צפרים בכריכה אחת</v>
      </c>
    </row>
    <row r="43658" spans="1:6" x14ac:dyDescent="0.2">
      <c r="A43658" t="s">
        <v>65925</v>
      </c>
      <c r="B43658" t="s">
        <v>8183</v>
      </c>
      <c r="C43658" t="s">
        <v>237</v>
      </c>
      <c r="D43658" t="s">
        <v>14</v>
      </c>
      <c r="E43658" t="s">
        <v>119</v>
      </c>
      <c r="F43658" s="2" t="str">
        <f>HYPERLINK("http://www.otzar.org/book.asp?143414","שתי תעודות לתולדות הישוב בחברון")</f>
        <v>שתי תעודות לתולדות הישוב בחברון</v>
      </c>
    </row>
    <row r="43659" spans="1:6" x14ac:dyDescent="0.2">
      <c r="A43659" t="s">
        <v>65926</v>
      </c>
      <c r="B43659" t="s">
        <v>65927</v>
      </c>
      <c r="C43659" t="s">
        <v>585</v>
      </c>
      <c r="D43659" t="s">
        <v>21070</v>
      </c>
      <c r="E43659" t="s">
        <v>674</v>
      </c>
      <c r="F43659" s="2" t="str">
        <f>HYPERLINK("http://www.otzar.org/book.asp?63613","שתיה ושכרות בהלכה - 2 כר'")</f>
        <v>שתיה ושכרות בהלכה - 2 כר'</v>
      </c>
    </row>
    <row r="43660" spans="1:6" x14ac:dyDescent="0.2">
      <c r="A43660" t="s">
        <v>65928</v>
      </c>
      <c r="B43660" t="s">
        <v>3663</v>
      </c>
      <c r="C43660" t="s">
        <v>23</v>
      </c>
      <c r="D43660" t="s">
        <v>2285</v>
      </c>
      <c r="E43660" t="s">
        <v>104</v>
      </c>
      <c r="F43660" s="2" t="str">
        <f>HYPERLINK("http://www.otzar.org/book.asp?191862","שתילי זיתים")</f>
        <v>שתילי זיתים</v>
      </c>
    </row>
    <row r="43661" spans="1:6" x14ac:dyDescent="0.2">
      <c r="A43661" t="s">
        <v>65929</v>
      </c>
      <c r="B43661" t="s">
        <v>65930</v>
      </c>
      <c r="C43661" t="s">
        <v>103</v>
      </c>
      <c r="D43661" t="s">
        <v>115</v>
      </c>
      <c r="E43661" t="s">
        <v>172</v>
      </c>
      <c r="F43661" s="2" t="str">
        <f>HYPERLINK("http://www.otzar.org/book.asp?63202","שתילי זתים השלם &lt;זית רענן - 10 כר'")</f>
        <v>שתילי זתים השלם &lt;זית רענן - 10 כר'</v>
      </c>
    </row>
    <row r="43662" spans="1:6" x14ac:dyDescent="0.2">
      <c r="A43662" t="s">
        <v>65931</v>
      </c>
      <c r="B43662" t="s">
        <v>65932</v>
      </c>
      <c r="C43662" t="s">
        <v>180</v>
      </c>
      <c r="D43662" t="s">
        <v>646</v>
      </c>
      <c r="E43662" t="s">
        <v>29456</v>
      </c>
      <c r="F43662" s="2" t="str">
        <f>HYPERLINK("http://www.otzar.org/book.asp?84958","שתלי זיתים")</f>
        <v>שתלי זיתים</v>
      </c>
    </row>
    <row r="43663" spans="1:6" x14ac:dyDescent="0.2">
      <c r="A43663" t="s">
        <v>65933</v>
      </c>
      <c r="B43663" t="s">
        <v>4640</v>
      </c>
      <c r="C43663" t="s">
        <v>133</v>
      </c>
      <c r="D43663" t="s">
        <v>52</v>
      </c>
      <c r="F43663" s="2" t="str">
        <f>HYPERLINK("http://www.otzar.org/book.asp?617593","שתרגילנו בתורתך")</f>
        <v>שתרגילנו בתורתך</v>
      </c>
    </row>
    <row r="43664" spans="1:6" x14ac:dyDescent="0.2">
      <c r="A43664" t="s">
        <v>65934</v>
      </c>
      <c r="B43664" t="s">
        <v>60761</v>
      </c>
      <c r="C43664" t="s">
        <v>1844</v>
      </c>
      <c r="D43664" t="s">
        <v>1008</v>
      </c>
      <c r="E43664" t="s">
        <v>84</v>
      </c>
      <c r="F43664" s="2" t="str">
        <f>HYPERLINK("http://www.otzar.org/book.asp?102017","תא הרצים")</f>
        <v>תא הרצים</v>
      </c>
    </row>
    <row r="43665" spans="1:6" x14ac:dyDescent="0.2">
      <c r="A43665" t="s">
        <v>65935</v>
      </c>
      <c r="B43665" t="s">
        <v>5084</v>
      </c>
      <c r="C43665" t="s">
        <v>68</v>
      </c>
      <c r="D43665" t="s">
        <v>14</v>
      </c>
      <c r="E43665" t="s">
        <v>104</v>
      </c>
      <c r="F43665" s="2" t="str">
        <f>HYPERLINK("http://www.otzar.org/book.asp?181053","תא שמע")</f>
        <v>תא שמע</v>
      </c>
    </row>
    <row r="43666" spans="1:6" x14ac:dyDescent="0.2">
      <c r="A43666" t="s">
        <v>65936</v>
      </c>
      <c r="B43666" t="s">
        <v>65937</v>
      </c>
      <c r="C43666" t="s">
        <v>103</v>
      </c>
      <c r="D43666" t="s">
        <v>118</v>
      </c>
      <c r="E43666" t="s">
        <v>579</v>
      </c>
      <c r="F43666" s="2" t="str">
        <f>HYPERLINK("http://www.otzar.org/book.asp?180025","תאג' &lt;וזאת התורה&gt; - 2 כר'")</f>
        <v>תאג' &lt;וזאת התורה&gt; - 2 כר'</v>
      </c>
    </row>
    <row r="43667" spans="1:6" x14ac:dyDescent="0.2">
      <c r="A43667" t="s">
        <v>65938</v>
      </c>
      <c r="B43667" t="s">
        <v>65939</v>
      </c>
      <c r="C43667" t="s">
        <v>143</v>
      </c>
      <c r="D43667" t="s">
        <v>14</v>
      </c>
      <c r="E43667" t="s">
        <v>579</v>
      </c>
      <c r="F43667" s="2" t="str">
        <f>HYPERLINK("http://www.otzar.org/book.asp?64186","תאג' &lt;אבקת רוכל&gt; - 2 כר'")</f>
        <v>תאג' &lt;אבקת רוכל&gt; - 2 כר'</v>
      </c>
    </row>
    <row r="43668" spans="1:6" x14ac:dyDescent="0.2">
      <c r="A43668" t="s">
        <v>65940</v>
      </c>
      <c r="B43668" t="s">
        <v>65941</v>
      </c>
      <c r="C43668" t="s">
        <v>624</v>
      </c>
      <c r="D43668" t="s">
        <v>52</v>
      </c>
      <c r="E43668" t="s">
        <v>579</v>
      </c>
      <c r="F43668" s="2" t="str">
        <f>HYPERLINK("http://www.otzar.org/book.asp?180068","תאג' &lt;תורת אבות&gt; - 2 כר'")</f>
        <v>תאג' &lt;תורת אבות&gt; - 2 כר'</v>
      </c>
    </row>
    <row r="43669" spans="1:6" x14ac:dyDescent="0.2">
      <c r="A43669" t="s">
        <v>65942</v>
      </c>
      <c r="B43669" t="s">
        <v>65943</v>
      </c>
      <c r="C43669" t="s">
        <v>133</v>
      </c>
      <c r="D43669" t="s">
        <v>118</v>
      </c>
      <c r="E43669" t="s">
        <v>579</v>
      </c>
      <c r="F43669" s="2" t="str">
        <f>HYPERLINK("http://www.otzar.org/book.asp?180048","תאג' &lt;כתר תימן&gt; - 2 כר'")</f>
        <v>תאג' &lt;כתר תימן&gt; - 2 כר'</v>
      </c>
    </row>
    <row r="43670" spans="1:6" x14ac:dyDescent="0.2">
      <c r="A43670" t="s">
        <v>65944</v>
      </c>
      <c r="B43670" t="s">
        <v>65945</v>
      </c>
      <c r="C43670" t="s">
        <v>466</v>
      </c>
      <c r="D43670" t="s">
        <v>43610</v>
      </c>
      <c r="F43670" s="2" t="str">
        <f>HYPERLINK("http://www.otzar.org/book.asp?621337","תאג' כתר ישראל - 2 כר'")</f>
        <v>תאג' כתר ישראל - 2 כר'</v>
      </c>
    </row>
    <row r="43671" spans="1:6" x14ac:dyDescent="0.2">
      <c r="A43671" t="s">
        <v>65946</v>
      </c>
      <c r="B43671" t="s">
        <v>65945</v>
      </c>
      <c r="C43671" t="s">
        <v>411</v>
      </c>
      <c r="D43671" t="s">
        <v>14</v>
      </c>
      <c r="F43671" s="2" t="str">
        <f>HYPERLINK("http://www.otzar.org/book.asp?621338","תאג' כתר שלום - 2 כר'")</f>
        <v>תאג' כתר שלום - 2 כר'</v>
      </c>
    </row>
    <row r="43672" spans="1:6" x14ac:dyDescent="0.2">
      <c r="A43672" t="s">
        <v>65947</v>
      </c>
      <c r="B43672" t="s">
        <v>2023</v>
      </c>
      <c r="C43672" t="s">
        <v>4910</v>
      </c>
      <c r="D43672" t="s">
        <v>76</v>
      </c>
      <c r="F43672" s="2" t="str">
        <f>HYPERLINK("http://www.otzar.org/book.asp?152755","תאוה לעינים - 2 כר'")</f>
        <v>תאוה לעינים - 2 כר'</v>
      </c>
    </row>
    <row r="43673" spans="1:6" x14ac:dyDescent="0.2">
      <c r="A43673" t="s">
        <v>65948</v>
      </c>
      <c r="B43673" t="s">
        <v>11403</v>
      </c>
      <c r="C43673" t="s">
        <v>266</v>
      </c>
      <c r="D43673" t="s">
        <v>27</v>
      </c>
      <c r="E43673" t="s">
        <v>10</v>
      </c>
      <c r="F43673" s="2" t="str">
        <f>HYPERLINK("http://www.otzar.org/book.asp?170646","תאומי צביה")</f>
        <v>תאומי צביה</v>
      </c>
    </row>
    <row r="43674" spans="1:6" x14ac:dyDescent="0.2">
      <c r="A43674" t="s">
        <v>65949</v>
      </c>
      <c r="B43674" t="s">
        <v>65950</v>
      </c>
      <c r="F43674" s="2" t="str">
        <f>HYPERLINK("http://www.otzar.org/book.asp?618056","תאומים הלכה ומנהג לבר מצוה")</f>
        <v>תאומים הלכה ומנהג לבר מצוה</v>
      </c>
    </row>
    <row r="43675" spans="1:6" x14ac:dyDescent="0.2">
      <c r="A43675" t="s">
        <v>65951</v>
      </c>
      <c r="B43675" t="s">
        <v>65952</v>
      </c>
      <c r="C43675" t="s">
        <v>1437</v>
      </c>
      <c r="D43675" t="s">
        <v>76</v>
      </c>
      <c r="E43675" t="s">
        <v>15</v>
      </c>
      <c r="F43675" s="2" t="str">
        <f>HYPERLINK("http://www.otzar.org/book.asp?20433","תאות דוד")</f>
        <v>תאות דוד</v>
      </c>
    </row>
    <row r="43676" spans="1:6" x14ac:dyDescent="0.2">
      <c r="A43676" t="s">
        <v>65953</v>
      </c>
      <c r="B43676" t="s">
        <v>48348</v>
      </c>
      <c r="C43676" t="s">
        <v>6448</v>
      </c>
      <c r="D43676" t="s">
        <v>1566</v>
      </c>
      <c r="E43676" t="s">
        <v>241</v>
      </c>
      <c r="F43676" s="2" t="str">
        <f>HYPERLINK("http://www.otzar.org/book.asp?63889","תאות צדיקים - מדות חסידות")</f>
        <v>תאות צדיקים - מדות חסידות</v>
      </c>
    </row>
    <row r="43677" spans="1:6" x14ac:dyDescent="0.2">
      <c r="A43677" t="s">
        <v>65954</v>
      </c>
      <c r="B43677" t="s">
        <v>65955</v>
      </c>
      <c r="C43677" t="s">
        <v>1169</v>
      </c>
      <c r="D43677" t="s">
        <v>5050</v>
      </c>
      <c r="E43677" t="s">
        <v>11851</v>
      </c>
      <c r="F43677" s="2" t="str">
        <f>HYPERLINK("http://www.otzar.org/book.asp?14275","תאיר נרי")</f>
        <v>תאיר נרי</v>
      </c>
    </row>
    <row r="43678" spans="1:6" x14ac:dyDescent="0.2">
      <c r="A43678" t="s">
        <v>65954</v>
      </c>
      <c r="B43678" t="s">
        <v>60669</v>
      </c>
      <c r="C43678" t="s">
        <v>1458</v>
      </c>
      <c r="D43678" t="s">
        <v>157</v>
      </c>
      <c r="E43678" t="s">
        <v>508</v>
      </c>
      <c r="F43678" s="2" t="str">
        <f>HYPERLINK("http://www.otzar.org/book.asp?102670","תאיר נרי")</f>
        <v>תאיר נרי</v>
      </c>
    </row>
    <row r="43679" spans="1:6" x14ac:dyDescent="0.2">
      <c r="A43679" t="s">
        <v>65956</v>
      </c>
      <c r="B43679" t="s">
        <v>35839</v>
      </c>
      <c r="C43679" t="s">
        <v>3690</v>
      </c>
      <c r="D43679" t="s">
        <v>65957</v>
      </c>
      <c r="E43679" t="s">
        <v>3736</v>
      </c>
      <c r="F43679" s="2" t="str">
        <f>HYPERLINK("http://www.otzar.org/book.asp?193940","תאמי צביה")</f>
        <v>תאמי צביה</v>
      </c>
    </row>
    <row r="43680" spans="1:6" x14ac:dyDescent="0.2">
      <c r="A43680" t="s">
        <v>65956</v>
      </c>
      <c r="B43680" t="s">
        <v>65958</v>
      </c>
      <c r="C43680" t="s">
        <v>568</v>
      </c>
      <c r="D43680" t="s">
        <v>164</v>
      </c>
      <c r="E43680" t="s">
        <v>564</v>
      </c>
      <c r="F43680" s="2" t="str">
        <f>HYPERLINK("http://www.otzar.org/book.asp?100715","תאמי צביה")</f>
        <v>תאמי צביה</v>
      </c>
    </row>
    <row r="43681" spans="1:6" x14ac:dyDescent="0.2">
      <c r="A43681" t="s">
        <v>65956</v>
      </c>
      <c r="B43681" t="s">
        <v>65959</v>
      </c>
      <c r="C43681" t="s">
        <v>224</v>
      </c>
      <c r="D43681" t="s">
        <v>225</v>
      </c>
      <c r="E43681" t="s">
        <v>10395</v>
      </c>
      <c r="F43681" s="2" t="str">
        <f>HYPERLINK("http://www.otzar.org/book.asp?20432","תאמי צביה")</f>
        <v>תאמי צביה</v>
      </c>
    </row>
    <row r="43682" spans="1:6" x14ac:dyDescent="0.2">
      <c r="A43682" t="s">
        <v>65960</v>
      </c>
      <c r="B43682" t="s">
        <v>18229</v>
      </c>
      <c r="C43682" t="s">
        <v>23</v>
      </c>
      <c r="D43682" t="s">
        <v>721</v>
      </c>
      <c r="F43682" s="2" t="str">
        <f>HYPERLINK("http://www.otzar.org/book.asp?609882","תאמרו ליוסף")</f>
        <v>תאמרו ליוסף</v>
      </c>
    </row>
    <row r="43683" spans="1:6" x14ac:dyDescent="0.2">
      <c r="A43683" t="s">
        <v>65961</v>
      </c>
      <c r="B43683" t="s">
        <v>11216</v>
      </c>
      <c r="C43683" t="s">
        <v>395</v>
      </c>
      <c r="D43683" t="s">
        <v>379</v>
      </c>
      <c r="E43683" t="s">
        <v>467</v>
      </c>
      <c r="F43683" s="2" t="str">
        <f>HYPERLINK("http://www.otzar.org/book.asp?300352","תאניה ואניה")</f>
        <v>תאניה ואניה</v>
      </c>
    </row>
    <row r="43684" spans="1:6" x14ac:dyDescent="0.2">
      <c r="A43684" t="s">
        <v>65961</v>
      </c>
      <c r="B43684" t="s">
        <v>65962</v>
      </c>
      <c r="C43684" t="s">
        <v>411</v>
      </c>
      <c r="D43684" t="s">
        <v>90</v>
      </c>
      <c r="E43684" t="s">
        <v>234</v>
      </c>
      <c r="F43684" s="2" t="str">
        <f>HYPERLINK("http://www.otzar.org/book.asp?170799","תאניה ואניה")</f>
        <v>תאניה ואניה</v>
      </c>
    </row>
    <row r="43685" spans="1:6" x14ac:dyDescent="0.2">
      <c r="A43685" t="s">
        <v>65963</v>
      </c>
      <c r="B43685" t="s">
        <v>4548</v>
      </c>
      <c r="C43685" t="s">
        <v>13</v>
      </c>
      <c r="D43685" t="s">
        <v>4549</v>
      </c>
      <c r="E43685" t="s">
        <v>104</v>
      </c>
      <c r="F43685" s="2" t="str">
        <f>HYPERLINK("http://www.otzar.org/book.asp?84716","תאריך ישראל")</f>
        <v>תאריך ישראל</v>
      </c>
    </row>
    <row r="43686" spans="1:6" x14ac:dyDescent="0.2">
      <c r="A43686" t="s">
        <v>65964</v>
      </c>
      <c r="B43686" t="s">
        <v>65965</v>
      </c>
      <c r="C43686" t="s">
        <v>151</v>
      </c>
      <c r="D43686" t="s">
        <v>14</v>
      </c>
      <c r="F43686" s="2" t="str">
        <f>HYPERLINK("http://www.otzar.org/book.asp?621301","תבאמו ותטעמו")</f>
        <v>תבאמו ותטעמו</v>
      </c>
    </row>
    <row r="43687" spans="1:6" x14ac:dyDescent="0.2">
      <c r="A43687" t="s">
        <v>65966</v>
      </c>
      <c r="B43687" t="s">
        <v>44786</v>
      </c>
      <c r="C43687" t="s">
        <v>506</v>
      </c>
      <c r="D43687" t="s">
        <v>225</v>
      </c>
      <c r="E43687" t="s">
        <v>158</v>
      </c>
      <c r="F43687" s="2" t="str">
        <f>HYPERLINK("http://www.otzar.org/book.asp?28277","תבואות אדמה - 5 כר'")</f>
        <v>תבואות אדמה - 5 כר'</v>
      </c>
    </row>
    <row r="43688" spans="1:6" x14ac:dyDescent="0.2">
      <c r="A43688" t="s">
        <v>65967</v>
      </c>
      <c r="B43688" t="s">
        <v>12853</v>
      </c>
      <c r="C43688" t="s">
        <v>492</v>
      </c>
      <c r="D43688" t="s">
        <v>27</v>
      </c>
      <c r="E43688" t="s">
        <v>733</v>
      </c>
      <c r="F43688" s="2" t="str">
        <f>HYPERLINK("http://www.otzar.org/book.asp?100586","תבואות הארץ")</f>
        <v>תבואות הארץ</v>
      </c>
    </row>
    <row r="43689" spans="1:6" x14ac:dyDescent="0.2">
      <c r="A43689" t="s">
        <v>65968</v>
      </c>
      <c r="B43689" t="s">
        <v>15396</v>
      </c>
      <c r="C43689" t="s">
        <v>65969</v>
      </c>
      <c r="D43689" t="s">
        <v>267</v>
      </c>
      <c r="E43689" t="s">
        <v>144</v>
      </c>
      <c r="F43689" s="2" t="str">
        <f>HYPERLINK("http://www.otzar.org/book.asp?8875","תבואות השדה - 7 כר'")</f>
        <v>תבואות השדה - 7 כר'</v>
      </c>
    </row>
    <row r="43690" spans="1:6" x14ac:dyDescent="0.2">
      <c r="A43690" t="s">
        <v>65970</v>
      </c>
      <c r="B43690" t="s">
        <v>65971</v>
      </c>
      <c r="C43690" t="s">
        <v>1418</v>
      </c>
      <c r="D43690" t="s">
        <v>1419</v>
      </c>
      <c r="E43690" t="s">
        <v>19801</v>
      </c>
      <c r="F43690" s="2" t="str">
        <f>HYPERLINK("http://www.otzar.org/book.asp?19280","תבואות שור, שמלה חדשה, בכור שור &lt;אוריין תליתאי&gt;")</f>
        <v>תבואות שור, שמלה חדשה, בכור שור &lt;אוריין תליתאי&gt;</v>
      </c>
    </row>
    <row r="43691" spans="1:6" x14ac:dyDescent="0.2">
      <c r="A43691" t="s">
        <v>65972</v>
      </c>
      <c r="B43691" t="s">
        <v>29969</v>
      </c>
      <c r="C43691" t="s">
        <v>114</v>
      </c>
      <c r="D43691" t="s">
        <v>14</v>
      </c>
      <c r="E43691" t="s">
        <v>399</v>
      </c>
      <c r="F43691" s="2" t="str">
        <f>HYPERLINK("http://www.otzar.org/book.asp?173308","תבואות שמ""ש - א")</f>
        <v>תבואות שמ"ש - א</v>
      </c>
    </row>
    <row r="43692" spans="1:6" x14ac:dyDescent="0.2">
      <c r="A43692" t="s">
        <v>65973</v>
      </c>
      <c r="B43692" t="s">
        <v>10548</v>
      </c>
      <c r="C43692" t="s">
        <v>334</v>
      </c>
      <c r="D43692" t="s">
        <v>14</v>
      </c>
      <c r="E43692" t="s">
        <v>14422</v>
      </c>
      <c r="F43692" s="2" t="str">
        <f>HYPERLINK("http://www.otzar.org/book.asp?62935","תבואות שמ""ש - 4 כר'")</f>
        <v>תבואות שמ"ש - 4 כר'</v>
      </c>
    </row>
    <row r="43693" spans="1:6" x14ac:dyDescent="0.2">
      <c r="A43693" t="s">
        <v>65974</v>
      </c>
      <c r="B43693" t="s">
        <v>65975</v>
      </c>
      <c r="C43693" t="s">
        <v>189</v>
      </c>
      <c r="D43693" t="s">
        <v>367</v>
      </c>
      <c r="E43693" t="s">
        <v>202</v>
      </c>
      <c r="F43693" s="2" t="str">
        <f>HYPERLINK("http://www.otzar.org/book.asp?83940","תבואות שמש")</f>
        <v>תבואות שמש</v>
      </c>
    </row>
    <row r="43694" spans="1:6" x14ac:dyDescent="0.2">
      <c r="A43694" t="s">
        <v>65974</v>
      </c>
      <c r="B43694" t="s">
        <v>17290</v>
      </c>
      <c r="C43694" t="s">
        <v>609</v>
      </c>
      <c r="D43694" t="s">
        <v>10393</v>
      </c>
      <c r="F43694" s="2" t="str">
        <f>HYPERLINK("http://www.otzar.org/book.asp?169420","תבואות שמש")</f>
        <v>תבואות שמש</v>
      </c>
    </row>
    <row r="43695" spans="1:6" x14ac:dyDescent="0.2">
      <c r="A43695" t="s">
        <v>65976</v>
      </c>
      <c r="B43695" t="s">
        <v>9425</v>
      </c>
      <c r="C43695" t="s">
        <v>366</v>
      </c>
      <c r="D43695" t="s">
        <v>147</v>
      </c>
      <c r="F43695" s="2" t="str">
        <f>HYPERLINK("http://www.otzar.org/book.asp?609906","תבואת השדה &lt;מהדורה חדשה&gt;")</f>
        <v>תבואת השדה &lt;מהדורה חדשה&gt;</v>
      </c>
    </row>
    <row r="43696" spans="1:6" x14ac:dyDescent="0.2">
      <c r="A43696" t="s">
        <v>65977</v>
      </c>
      <c r="B43696" t="s">
        <v>9425</v>
      </c>
      <c r="C43696" t="s">
        <v>466</v>
      </c>
      <c r="D43696" t="s">
        <v>9426</v>
      </c>
      <c r="E43696" t="s">
        <v>15</v>
      </c>
      <c r="F43696" s="2" t="str">
        <f>HYPERLINK("http://www.otzar.org/book.asp?191640","תבואת השדה")</f>
        <v>תבואת השדה</v>
      </c>
    </row>
    <row r="43697" spans="1:6" x14ac:dyDescent="0.2">
      <c r="A43697" t="s">
        <v>65978</v>
      </c>
      <c r="B43697" t="s">
        <v>65979</v>
      </c>
      <c r="C43697" t="s">
        <v>767</v>
      </c>
      <c r="D43697" t="s">
        <v>14</v>
      </c>
      <c r="E43697" t="s">
        <v>674</v>
      </c>
      <c r="F43697" s="2" t="str">
        <f>HYPERLINK("http://www.otzar.org/book.asp?52658","תבואת יוסף")</f>
        <v>תבואת יוסף</v>
      </c>
    </row>
    <row r="43698" spans="1:6" x14ac:dyDescent="0.2">
      <c r="A43698" t="s">
        <v>65980</v>
      </c>
      <c r="B43698" t="s">
        <v>5066</v>
      </c>
      <c r="C43698" t="s">
        <v>5169</v>
      </c>
      <c r="D43698" t="s">
        <v>212</v>
      </c>
      <c r="E43698" t="s">
        <v>65981</v>
      </c>
      <c r="F43698" s="2" t="str">
        <f>HYPERLINK("http://www.otzar.org/book.asp?103241","תבואת יקב")</f>
        <v>תבואת יקב</v>
      </c>
    </row>
    <row r="43699" spans="1:6" x14ac:dyDescent="0.2">
      <c r="A43699" t="s">
        <v>65980</v>
      </c>
      <c r="B43699" t="s">
        <v>65982</v>
      </c>
      <c r="C43699" t="s">
        <v>777</v>
      </c>
      <c r="D43699" t="s">
        <v>1100</v>
      </c>
      <c r="E43699" t="s">
        <v>463</v>
      </c>
      <c r="F43699" s="2" t="str">
        <f>HYPERLINK("http://www.otzar.org/book.asp?28358","תבואת יקב")</f>
        <v>תבואת יקב</v>
      </c>
    </row>
    <row r="43700" spans="1:6" x14ac:dyDescent="0.2">
      <c r="A43700" t="s">
        <v>65980</v>
      </c>
      <c r="B43700" t="s">
        <v>29885</v>
      </c>
      <c r="C43700" t="s">
        <v>1954</v>
      </c>
      <c r="D43700" t="s">
        <v>260</v>
      </c>
      <c r="E43700" t="s">
        <v>435</v>
      </c>
      <c r="F43700" s="2" t="str">
        <f>HYPERLINK("http://www.otzar.org/book.asp?104885","תבואת יקב")</f>
        <v>תבואת יקב</v>
      </c>
    </row>
    <row r="43701" spans="1:6" x14ac:dyDescent="0.2">
      <c r="A43701" t="s">
        <v>65983</v>
      </c>
      <c r="B43701" t="s">
        <v>65984</v>
      </c>
      <c r="C43701" t="s">
        <v>8222</v>
      </c>
      <c r="D43701" t="s">
        <v>726</v>
      </c>
      <c r="E43701" t="s">
        <v>15</v>
      </c>
      <c r="F43701" s="2" t="str">
        <f>HYPERLINK("http://www.otzar.org/book.asp?146753","תבואת שור - 4 כר'")</f>
        <v>תבואת שור - 4 כר'</v>
      </c>
    </row>
    <row r="43702" spans="1:6" x14ac:dyDescent="0.2">
      <c r="A43702" t="s">
        <v>65985</v>
      </c>
      <c r="B43702" t="s">
        <v>65986</v>
      </c>
      <c r="C43702" t="s">
        <v>114</v>
      </c>
      <c r="D43702" t="s">
        <v>147</v>
      </c>
      <c r="E43702" t="s">
        <v>230</v>
      </c>
      <c r="F43702" s="2" t="str">
        <f>HYPERLINK("http://www.otzar.org/book.asp?173306","תבואת שלמה")</f>
        <v>תבואת שלמה</v>
      </c>
    </row>
    <row r="43703" spans="1:6" x14ac:dyDescent="0.2">
      <c r="A43703" t="s">
        <v>65987</v>
      </c>
      <c r="B43703" t="s">
        <v>65988</v>
      </c>
      <c r="C43703" t="s">
        <v>6062</v>
      </c>
      <c r="D43703" t="s">
        <v>280</v>
      </c>
      <c r="E43703" t="s">
        <v>15</v>
      </c>
      <c r="F43703" s="2" t="str">
        <f>HYPERLINK("http://www.otzar.org/book.asp?101570","תבואת שמש")</f>
        <v>תבואת שמש</v>
      </c>
    </row>
    <row r="43704" spans="1:6" x14ac:dyDescent="0.2">
      <c r="A43704" t="s">
        <v>65989</v>
      </c>
      <c r="B43704" t="s">
        <v>65990</v>
      </c>
      <c r="C43704" t="s">
        <v>698</v>
      </c>
      <c r="D43704" t="s">
        <v>14</v>
      </c>
      <c r="E43704" t="s">
        <v>202</v>
      </c>
      <c r="F43704" s="2" t="str">
        <f>HYPERLINK("http://www.otzar.org/book.asp?26080","תבונה - 19 כר'")</f>
        <v>תבונה - 19 כר'</v>
      </c>
    </row>
    <row r="43705" spans="1:6" x14ac:dyDescent="0.2">
      <c r="A43705" t="s">
        <v>65991</v>
      </c>
      <c r="B43705" t="s">
        <v>65992</v>
      </c>
      <c r="C43705" t="s">
        <v>99</v>
      </c>
      <c r="D43705" t="s">
        <v>11404</v>
      </c>
      <c r="E43705" t="s">
        <v>15</v>
      </c>
      <c r="F43705" s="2" t="str">
        <f>HYPERLINK("http://www.otzar.org/book.asp?19167","תבונה - 2 כר'")</f>
        <v>תבונה - 2 כר'</v>
      </c>
    </row>
    <row r="43706" spans="1:6" x14ac:dyDescent="0.2">
      <c r="A43706" t="s">
        <v>65993</v>
      </c>
      <c r="B43706" t="s">
        <v>65993</v>
      </c>
      <c r="C43706" t="s">
        <v>36198</v>
      </c>
      <c r="D43706" t="s">
        <v>63137</v>
      </c>
      <c r="E43706" t="s">
        <v>202</v>
      </c>
      <c r="F43706" s="2" t="str">
        <f>HYPERLINK("http://www.otzar.org/book.asp?394","תבונה")</f>
        <v>תבונה</v>
      </c>
    </row>
    <row r="43707" spans="1:6" x14ac:dyDescent="0.2">
      <c r="A43707" t="s">
        <v>65994</v>
      </c>
      <c r="B43707" t="s">
        <v>1750</v>
      </c>
      <c r="C43707" t="s">
        <v>466</v>
      </c>
      <c r="D43707" t="s">
        <v>14</v>
      </c>
      <c r="E43707" t="s">
        <v>154</v>
      </c>
      <c r="F43707" s="2" t="str">
        <f>HYPERLINK("http://www.otzar.org/book.asp?168319","תבונות ארי - 2 כר'")</f>
        <v>תבונות ארי - 2 כר'</v>
      </c>
    </row>
    <row r="43708" spans="1:6" x14ac:dyDescent="0.2">
      <c r="A43708" t="s">
        <v>65995</v>
      </c>
      <c r="B43708" t="s">
        <v>24380</v>
      </c>
      <c r="C43708" t="s">
        <v>411</v>
      </c>
      <c r="D43708" t="s">
        <v>152</v>
      </c>
      <c r="E43708" t="s">
        <v>144</v>
      </c>
      <c r="F43708" s="2" t="str">
        <f>HYPERLINK("http://www.otzar.org/book.asp?169556","תבונות חיים - 2 כר'")</f>
        <v>תבונות חיים - 2 כר'</v>
      </c>
    </row>
    <row r="43709" spans="1:6" x14ac:dyDescent="0.2">
      <c r="A43709" t="s">
        <v>65996</v>
      </c>
      <c r="B43709" t="s">
        <v>37118</v>
      </c>
      <c r="C43709" t="s">
        <v>366</v>
      </c>
      <c r="D43709" t="s">
        <v>1156</v>
      </c>
      <c r="E43709" t="s">
        <v>579</v>
      </c>
      <c r="F43709" s="2" t="str">
        <f>HYPERLINK("http://www.otzar.org/book.asp?619680","תבונות כפיו - 3 כר'")</f>
        <v>תבונות כפיו - 3 כר'</v>
      </c>
    </row>
    <row r="43710" spans="1:6" x14ac:dyDescent="0.2">
      <c r="A43710" t="s">
        <v>65997</v>
      </c>
      <c r="B43710" t="s">
        <v>37118</v>
      </c>
      <c r="C43710" t="s">
        <v>366</v>
      </c>
      <c r="D43710" t="s">
        <v>1156</v>
      </c>
      <c r="F43710" s="2" t="str">
        <f>HYPERLINK("http://www.otzar.org/book.asp?609753","תבונות מועד - 3 כר'")</f>
        <v>תבונות מועד - 3 כר'</v>
      </c>
    </row>
    <row r="43711" spans="1:6" x14ac:dyDescent="0.2">
      <c r="A43711" t="s">
        <v>65998</v>
      </c>
      <c r="B43711" t="s">
        <v>37118</v>
      </c>
      <c r="C43711" t="s">
        <v>111</v>
      </c>
      <c r="D43711" t="s">
        <v>1156</v>
      </c>
      <c r="E43711" t="s">
        <v>158</v>
      </c>
      <c r="F43711" s="2" t="str">
        <f>HYPERLINK("http://www.otzar.org/book.asp?623209","תבונות שבת בשבתו ב")</f>
        <v>תבונות שבת בשבתו ב</v>
      </c>
    </row>
    <row r="43712" spans="1:6" x14ac:dyDescent="0.2">
      <c r="A43712" t="s">
        <v>65999</v>
      </c>
      <c r="B43712" t="s">
        <v>37118</v>
      </c>
      <c r="C43712" t="s">
        <v>151</v>
      </c>
      <c r="D43712" t="s">
        <v>1156</v>
      </c>
      <c r="E43712" t="s">
        <v>158</v>
      </c>
      <c r="F43712" s="2" t="str">
        <f>HYPERLINK("http://www.otzar.org/book.asp?615385","תבונות שבת בשבתו")</f>
        <v>תבונות שבת בשבתו</v>
      </c>
    </row>
    <row r="43713" spans="1:6" x14ac:dyDescent="0.2">
      <c r="A43713" t="s">
        <v>66000</v>
      </c>
      <c r="B43713" t="s">
        <v>382</v>
      </c>
      <c r="C43713" t="s">
        <v>20</v>
      </c>
      <c r="D43713" t="s">
        <v>147</v>
      </c>
      <c r="E43713" t="s">
        <v>202</v>
      </c>
      <c r="F43713" s="2" t="str">
        <f>HYPERLINK("http://www.otzar.org/book.asp?158181","תבונות - 2 כר'")</f>
        <v>תבונות - 2 כר'</v>
      </c>
    </row>
    <row r="43714" spans="1:6" x14ac:dyDescent="0.2">
      <c r="A43714" t="s">
        <v>66001</v>
      </c>
      <c r="B43714" t="s">
        <v>489</v>
      </c>
      <c r="C43714" t="s">
        <v>366</v>
      </c>
      <c r="D43714" t="s">
        <v>90</v>
      </c>
      <c r="E43714" t="s">
        <v>202</v>
      </c>
      <c r="F43714" s="2" t="str">
        <f>HYPERLINK("http://www.otzar.org/book.asp?604529","תבונות - 3 כר'")</f>
        <v>תבונות - 3 כר'</v>
      </c>
    </row>
    <row r="43715" spans="1:6" x14ac:dyDescent="0.2">
      <c r="A43715" t="s">
        <v>66002</v>
      </c>
      <c r="B43715" t="s">
        <v>66003</v>
      </c>
      <c r="C43715" t="s">
        <v>151</v>
      </c>
      <c r="D43715" t="s">
        <v>21</v>
      </c>
      <c r="F43715" s="2" t="str">
        <f>HYPERLINK("http://www.otzar.org/book.asp?621299","תבורך מנשים")</f>
        <v>תבורך מנשים</v>
      </c>
    </row>
    <row r="43716" spans="1:6" x14ac:dyDescent="0.2">
      <c r="A43716" t="s">
        <v>66004</v>
      </c>
      <c r="B43716" t="s">
        <v>66005</v>
      </c>
      <c r="C43716" t="s">
        <v>466</v>
      </c>
      <c r="D43716" t="s">
        <v>14</v>
      </c>
      <c r="E43716" t="s">
        <v>241</v>
      </c>
      <c r="F43716" s="2" t="str">
        <f>HYPERLINK("http://www.otzar.org/book.asp?149699","תבל בצדק")</f>
        <v>תבל בצדק</v>
      </c>
    </row>
    <row r="43717" spans="1:6" x14ac:dyDescent="0.2">
      <c r="A43717" t="s">
        <v>66006</v>
      </c>
      <c r="B43717" t="s">
        <v>26785</v>
      </c>
      <c r="C43717" t="s">
        <v>454</v>
      </c>
      <c r="D43717" t="s">
        <v>646</v>
      </c>
      <c r="E43717" t="s">
        <v>84</v>
      </c>
      <c r="F43717" s="2" t="str">
        <f>HYPERLINK("http://www.otzar.org/book.asp?181315","תבנית אהלות")</f>
        <v>תבנית אהלות</v>
      </c>
    </row>
    <row r="43718" spans="1:6" x14ac:dyDescent="0.2">
      <c r="A43718" t="s">
        <v>66007</v>
      </c>
      <c r="B43718" t="s">
        <v>66008</v>
      </c>
      <c r="C43718" t="s">
        <v>4858</v>
      </c>
      <c r="D43718" t="s">
        <v>2290</v>
      </c>
      <c r="E43718" t="s">
        <v>144</v>
      </c>
      <c r="F43718" s="2" t="str">
        <f>HYPERLINK("http://www.otzar.org/book.asp?101920","תבנית אות יוסף")</f>
        <v>תבנית אות יוסף</v>
      </c>
    </row>
    <row r="43719" spans="1:6" x14ac:dyDescent="0.2">
      <c r="A43719" t="s">
        <v>66009</v>
      </c>
      <c r="B43719" t="s">
        <v>7899</v>
      </c>
      <c r="C43719" t="s">
        <v>63</v>
      </c>
      <c r="D43719" t="s">
        <v>14</v>
      </c>
      <c r="E43719" t="s">
        <v>11780</v>
      </c>
      <c r="F43719" s="2" t="str">
        <f>HYPERLINK("http://www.otzar.org/book.asp?158106","תבנית בנין בית המקדש")</f>
        <v>תבנית בנין בית המקדש</v>
      </c>
    </row>
    <row r="43720" spans="1:6" x14ac:dyDescent="0.2">
      <c r="A43720" t="s">
        <v>66010</v>
      </c>
      <c r="B43720" t="s">
        <v>66011</v>
      </c>
      <c r="C43720" t="s">
        <v>66012</v>
      </c>
      <c r="D43720" t="s">
        <v>1833</v>
      </c>
      <c r="E43720" t="s">
        <v>104</v>
      </c>
      <c r="F43720" s="2" t="str">
        <f>HYPERLINK("http://www.otzar.org/book.asp?61767","תבנית הבית - 2 כר'")</f>
        <v>תבנית הבית - 2 כר'</v>
      </c>
    </row>
    <row r="43721" spans="1:6" x14ac:dyDescent="0.2">
      <c r="A43721" t="s">
        <v>66013</v>
      </c>
      <c r="B43721" t="s">
        <v>66014</v>
      </c>
      <c r="C43721" t="s">
        <v>568</v>
      </c>
      <c r="D43721" t="s">
        <v>283</v>
      </c>
      <c r="E43721" t="s">
        <v>3261</v>
      </c>
      <c r="F43721" s="2" t="str">
        <f>HYPERLINK("http://www.otzar.org/book.asp?15729","תבנית היכל - 3 כר'")</f>
        <v>תבנית היכל - 3 כר'</v>
      </c>
    </row>
    <row r="43722" spans="1:6" x14ac:dyDescent="0.2">
      <c r="A43722" t="s">
        <v>66015</v>
      </c>
      <c r="B43722" t="s">
        <v>11505</v>
      </c>
      <c r="C43722" t="s">
        <v>725</v>
      </c>
      <c r="D43722" t="s">
        <v>9</v>
      </c>
      <c r="E43722" t="s">
        <v>399</v>
      </c>
      <c r="F43722" s="2" t="str">
        <f>HYPERLINK("http://www.otzar.org/book.asp?52059","תבנית המשכן")</f>
        <v>תבנית המשכן</v>
      </c>
    </row>
    <row r="43723" spans="1:6" x14ac:dyDescent="0.2">
      <c r="A43723" t="s">
        <v>66016</v>
      </c>
      <c r="B43723" t="s">
        <v>5182</v>
      </c>
      <c r="C43723" t="s">
        <v>466</v>
      </c>
      <c r="D43723" t="s">
        <v>66017</v>
      </c>
      <c r="E43723" t="s">
        <v>148</v>
      </c>
      <c r="F43723" s="2" t="str">
        <f>HYPERLINK("http://www.otzar.org/book.asp?23434","תבנית השלחן - מבשל")</f>
        <v>תבנית השלחן - מבשל</v>
      </c>
    </row>
    <row r="43724" spans="1:6" x14ac:dyDescent="0.2">
      <c r="A43724" t="s">
        <v>66018</v>
      </c>
      <c r="B43724" t="s">
        <v>66019</v>
      </c>
      <c r="C43724" t="s">
        <v>366</v>
      </c>
      <c r="D43724" t="s">
        <v>14</v>
      </c>
      <c r="F43724" s="2" t="str">
        <f>HYPERLINK("http://www.otzar.org/book.asp?609641","תבנית חלה עמ""ס חלה - תודה ותהילה עמ""ס ביכורים")</f>
        <v>תבנית חלה עמ"ס חלה - תודה ותהילה עמ"ס ביכורים</v>
      </c>
    </row>
    <row r="43725" spans="1:6" x14ac:dyDescent="0.2">
      <c r="A43725" t="s">
        <v>66020</v>
      </c>
      <c r="B43725" t="s">
        <v>26785</v>
      </c>
      <c r="C43725" t="s">
        <v>454</v>
      </c>
      <c r="D43725" t="s">
        <v>646</v>
      </c>
      <c r="E43725" t="s">
        <v>84</v>
      </c>
      <c r="F43725" s="2" t="str">
        <f>HYPERLINK("http://www.otzar.org/book.asp?181314","תבנית כלים")</f>
        <v>תבנית כלים</v>
      </c>
    </row>
    <row r="43726" spans="1:6" x14ac:dyDescent="0.2">
      <c r="A43726" t="s">
        <v>66021</v>
      </c>
      <c r="B43726" t="s">
        <v>7056</v>
      </c>
      <c r="C43726" t="s">
        <v>68</v>
      </c>
      <c r="D43726" t="s">
        <v>367</v>
      </c>
      <c r="E43726" t="s">
        <v>399</v>
      </c>
      <c r="F43726" s="2" t="str">
        <f>HYPERLINK("http://www.otzar.org/book.asp?608256","תבת נח")</f>
        <v>תבת נח</v>
      </c>
    </row>
    <row r="43727" spans="1:6" x14ac:dyDescent="0.2">
      <c r="A43727" t="s">
        <v>66022</v>
      </c>
      <c r="B43727" t="s">
        <v>66023</v>
      </c>
      <c r="C43727" t="s">
        <v>698</v>
      </c>
      <c r="D43727" t="s">
        <v>412</v>
      </c>
      <c r="E43727" t="s">
        <v>474</v>
      </c>
      <c r="F43727" s="2" t="str">
        <f>HYPERLINK("http://www.otzar.org/book.asp?52391","תבת נח - 4 כר'")</f>
        <v>תבת נח - 4 כר'</v>
      </c>
    </row>
    <row r="43728" spans="1:6" x14ac:dyDescent="0.2">
      <c r="A43728" t="s">
        <v>66024</v>
      </c>
      <c r="B43728" t="s">
        <v>42400</v>
      </c>
      <c r="C43728" t="s">
        <v>20</v>
      </c>
      <c r="D43728" t="s">
        <v>90</v>
      </c>
      <c r="E43728" t="s">
        <v>241</v>
      </c>
      <c r="F43728" s="2" t="str">
        <f>HYPERLINK("http://www.otzar.org/book.asp?604155","תגיד לי למה")</f>
        <v>תגיד לי למה</v>
      </c>
    </row>
    <row r="43729" spans="1:6" x14ac:dyDescent="0.2">
      <c r="A43729" t="s">
        <v>66025</v>
      </c>
      <c r="B43729" t="s">
        <v>1750</v>
      </c>
      <c r="C43729" t="s">
        <v>427</v>
      </c>
      <c r="D43729" t="s">
        <v>52</v>
      </c>
      <c r="E43729" t="s">
        <v>384</v>
      </c>
      <c r="F43729" s="2" t="str">
        <f>HYPERLINK("http://www.otzar.org/book.asp?16681","תגים - 4 כר'")</f>
        <v>תגים - 4 כר'</v>
      </c>
    </row>
    <row r="43730" spans="1:6" x14ac:dyDescent="0.2">
      <c r="A43730" t="s">
        <v>66026</v>
      </c>
      <c r="B43730" t="s">
        <v>14177</v>
      </c>
      <c r="C43730" t="s">
        <v>176</v>
      </c>
      <c r="D43730" t="s">
        <v>14</v>
      </c>
      <c r="E43730" t="s">
        <v>104</v>
      </c>
      <c r="F43730" s="2" t="str">
        <f>HYPERLINK("http://www.otzar.org/book.asp?173145","תגל ערבה")</f>
        <v>תגל ערבה</v>
      </c>
    </row>
    <row r="43731" spans="1:6" x14ac:dyDescent="0.2">
      <c r="A43731" t="s">
        <v>66027</v>
      </c>
      <c r="B43731" t="s">
        <v>66028</v>
      </c>
      <c r="C43731" t="s">
        <v>603</v>
      </c>
      <c r="D43731" t="s">
        <v>516</v>
      </c>
      <c r="E43731" t="s">
        <v>583</v>
      </c>
      <c r="F43731" s="2" t="str">
        <f>HYPERLINK("http://www.otzar.org/book.asp?109","תגמולי הנפש")</f>
        <v>תגמולי הנפש</v>
      </c>
    </row>
    <row r="43732" spans="1:6" x14ac:dyDescent="0.2">
      <c r="A43732" t="s">
        <v>66029</v>
      </c>
      <c r="B43732" t="s">
        <v>20826</v>
      </c>
      <c r="C43732" t="s">
        <v>133</v>
      </c>
      <c r="D43732" t="s">
        <v>1550</v>
      </c>
      <c r="E43732" t="s">
        <v>104</v>
      </c>
      <c r="F43732" s="2" t="str">
        <f>HYPERLINK("http://www.otzar.org/book.asp?181880","תדיר קודם")</f>
        <v>תדיר קודם</v>
      </c>
    </row>
    <row r="43733" spans="1:6" x14ac:dyDescent="0.2">
      <c r="A43733" t="s">
        <v>66030</v>
      </c>
      <c r="B43733" t="s">
        <v>4814</v>
      </c>
      <c r="C43733" t="s">
        <v>168</v>
      </c>
      <c r="D43733" t="s">
        <v>14</v>
      </c>
      <c r="E43733" t="s">
        <v>219</v>
      </c>
      <c r="F43733" s="2" t="str">
        <f>HYPERLINK("http://www.otzar.org/book.asp?182829","תדפיס אאדרה ארוממה - קדושתת חידה ספק קלירית")</f>
        <v>תדפיס אאדרה ארוממה - קדושתת חידה ספק קלירית</v>
      </c>
    </row>
    <row r="43734" spans="1:6" x14ac:dyDescent="0.2">
      <c r="A43734" t="s">
        <v>66031</v>
      </c>
      <c r="B43734" t="s">
        <v>66032</v>
      </c>
      <c r="C43734" t="s">
        <v>624</v>
      </c>
      <c r="D43734" t="s">
        <v>52</v>
      </c>
      <c r="E43734" t="s">
        <v>15</v>
      </c>
      <c r="F43734" s="2" t="str">
        <f>HYPERLINK("http://www.otzar.org/book.asp?603237","תדפיס מתוך ספר האטר בהלכה")</f>
        <v>תדפיס מתוך ספר האטר בהלכה</v>
      </c>
    </row>
    <row r="43735" spans="1:6" x14ac:dyDescent="0.2">
      <c r="A43735" t="s">
        <v>66033</v>
      </c>
      <c r="B43735" t="s">
        <v>5293</v>
      </c>
      <c r="C43735" t="s">
        <v>1388</v>
      </c>
      <c r="D43735" t="s">
        <v>1356</v>
      </c>
      <c r="E43735" t="s">
        <v>158</v>
      </c>
      <c r="F43735" s="2" t="str">
        <f>HYPERLINK("http://www.otzar.org/book.asp?197816","תדריך להוראת פרשת השבוע")</f>
        <v>תדריך להוראת פרשת השבוע</v>
      </c>
    </row>
    <row r="43736" spans="1:6" x14ac:dyDescent="0.2">
      <c r="A43736" t="s">
        <v>66034</v>
      </c>
      <c r="B43736" t="s">
        <v>66035</v>
      </c>
      <c r="C43736" t="s">
        <v>143</v>
      </c>
      <c r="D43736" t="s">
        <v>21</v>
      </c>
      <c r="E43736" t="s">
        <v>202</v>
      </c>
      <c r="F43736" s="2" t="str">
        <f>HYPERLINK("http://www.otzar.org/book.asp?604039","תדריך לכשרות השלם - תשנ""א")</f>
        <v>תדריך לכשרות השלם - תשנ"א</v>
      </c>
    </row>
    <row r="43737" spans="1:6" x14ac:dyDescent="0.2">
      <c r="A43737" t="s">
        <v>66036</v>
      </c>
      <c r="B43737" t="s">
        <v>66037</v>
      </c>
      <c r="C43737" t="s">
        <v>624</v>
      </c>
      <c r="D43737" t="s">
        <v>14</v>
      </c>
      <c r="E43737" t="s">
        <v>399</v>
      </c>
      <c r="F43737" s="2" t="str">
        <f>HYPERLINK("http://www.otzar.org/book.asp?50107","תדשן אדמה")</f>
        <v>תדשן אדמה</v>
      </c>
    </row>
    <row r="43738" spans="1:6" x14ac:dyDescent="0.2">
      <c r="A43738" t="s">
        <v>66038</v>
      </c>
      <c r="B43738" t="s">
        <v>206</v>
      </c>
      <c r="C43738" t="s">
        <v>37</v>
      </c>
      <c r="D43738" t="s">
        <v>14</v>
      </c>
      <c r="F43738" s="2" t="str">
        <f>HYPERLINK("http://www.otzar.org/book.asp?193741","תהיה רצויה מעשי - 62 כר'")</f>
        <v>תהיה רצויה מעשי - 62 כר'</v>
      </c>
    </row>
    <row r="43739" spans="1:6" x14ac:dyDescent="0.2">
      <c r="A43739" t="s">
        <v>66039</v>
      </c>
      <c r="B43739" t="s">
        <v>20683</v>
      </c>
      <c r="C43739" t="s">
        <v>151</v>
      </c>
      <c r="D43739" t="s">
        <v>52</v>
      </c>
      <c r="E43739" t="s">
        <v>714</v>
      </c>
      <c r="F43739" s="2" t="str">
        <f>HYPERLINK("http://www.otzar.org/book.asp?630820","תהיין לראש יוסף")</f>
        <v>תהיין לראש יוסף</v>
      </c>
    </row>
    <row r="43740" spans="1:6" x14ac:dyDescent="0.2">
      <c r="A43740" t="s">
        <v>66040</v>
      </c>
      <c r="B43740" t="s">
        <v>66041</v>
      </c>
      <c r="C43740" t="s">
        <v>185</v>
      </c>
      <c r="D43740" t="s">
        <v>115</v>
      </c>
      <c r="E43740" t="s">
        <v>158</v>
      </c>
      <c r="F43740" s="2" t="str">
        <f>HYPERLINK("http://www.otzar.org/book.asp?629904","תהילה לאברהם")</f>
        <v>תהילה לאברהם</v>
      </c>
    </row>
    <row r="43741" spans="1:6" x14ac:dyDescent="0.2">
      <c r="A43741" t="s">
        <v>66042</v>
      </c>
      <c r="B43741" t="s">
        <v>66043</v>
      </c>
      <c r="C43741" t="s">
        <v>411</v>
      </c>
      <c r="D43741" t="s">
        <v>273</v>
      </c>
      <c r="E43741" t="s">
        <v>579</v>
      </c>
      <c r="F43741" s="2" t="str">
        <f>HYPERLINK("http://www.otzar.org/book.asp?189299","תהילות יוסף יצחק")</f>
        <v>תהילות יוסף יצחק</v>
      </c>
    </row>
    <row r="43742" spans="1:6" x14ac:dyDescent="0.2">
      <c r="A43742" t="s">
        <v>66044</v>
      </c>
      <c r="B43742" t="s">
        <v>66045</v>
      </c>
      <c r="C43742" t="s">
        <v>51</v>
      </c>
      <c r="D43742" t="s">
        <v>14</v>
      </c>
      <c r="E43742" t="s">
        <v>1262</v>
      </c>
      <c r="F43742" s="2" t="str">
        <f>HYPERLINK("http://www.otzar.org/book.asp?189445","תהילות יוסף")</f>
        <v>תהילות יוסף</v>
      </c>
    </row>
    <row r="43743" spans="1:6" x14ac:dyDescent="0.2">
      <c r="A43743" t="s">
        <v>66046</v>
      </c>
      <c r="B43743" t="s">
        <v>8070</v>
      </c>
      <c r="C43743" t="s">
        <v>454</v>
      </c>
      <c r="D43743" t="s">
        <v>14</v>
      </c>
      <c r="F43743" s="2" t="str">
        <f>HYPERLINK("http://www.otzar.org/book.asp?148467","תהילות ישראל")</f>
        <v>תהילות ישראל</v>
      </c>
    </row>
    <row r="43744" spans="1:6" x14ac:dyDescent="0.2">
      <c r="A43744" t="s">
        <v>66047</v>
      </c>
      <c r="B43744" t="s">
        <v>66048</v>
      </c>
      <c r="C43744" t="s">
        <v>20</v>
      </c>
      <c r="D43744" t="s">
        <v>152</v>
      </c>
      <c r="E43744" t="s">
        <v>158</v>
      </c>
      <c r="F43744" s="2" t="str">
        <f>HYPERLINK("http://www.otzar.org/book.asp?630302","תהילים &lt;ותשר דבורה&gt;")</f>
        <v>תהילים &lt;ותשר דבורה&gt;</v>
      </c>
    </row>
    <row r="43745" spans="1:6" x14ac:dyDescent="0.2">
      <c r="A43745" t="s">
        <v>66049</v>
      </c>
      <c r="B43745" t="s">
        <v>6361</v>
      </c>
      <c r="C43745" t="s">
        <v>71</v>
      </c>
      <c r="D43745" t="s">
        <v>14</v>
      </c>
      <c r="F43745" s="2" t="str">
        <f>HYPERLINK("http://www.otzar.org/book.asp?613991","תהילים &lt;חמדת הלבבות&gt;")</f>
        <v>תהילים &lt;חמדת הלבבות&gt;</v>
      </c>
    </row>
    <row r="43746" spans="1:6" x14ac:dyDescent="0.2">
      <c r="A43746" t="s">
        <v>66050</v>
      </c>
      <c r="B43746" t="s">
        <v>66051</v>
      </c>
      <c r="C43746" t="s">
        <v>114</v>
      </c>
      <c r="D43746" t="s">
        <v>14</v>
      </c>
      <c r="E43746" t="s">
        <v>158</v>
      </c>
      <c r="F43746" s="2" t="str">
        <f>HYPERLINK("http://www.otzar.org/book.asp?630788","תהילים &lt;תהלות אהרן&gt;")</f>
        <v>תהילים &lt;תהלות אהרן&gt;</v>
      </c>
    </row>
    <row r="43747" spans="1:6" x14ac:dyDescent="0.2">
      <c r="A43747" t="s">
        <v>66052</v>
      </c>
      <c r="B43747" t="s">
        <v>66053</v>
      </c>
      <c r="C43747" t="s">
        <v>111</v>
      </c>
      <c r="D43747" t="s">
        <v>423</v>
      </c>
      <c r="E43747" t="s">
        <v>158</v>
      </c>
      <c r="F43747" s="2" t="str">
        <f>HYPERLINK("http://www.otzar.org/book.asp?627547","תהילים שדה יעקב - רחשי יוסף")</f>
        <v>תהילים שדה יעקב - רחשי יוסף</v>
      </c>
    </row>
    <row r="43748" spans="1:6" x14ac:dyDescent="0.2">
      <c r="A43748" t="s">
        <v>66054</v>
      </c>
      <c r="B43748" t="s">
        <v>66055</v>
      </c>
      <c r="C43748" t="s">
        <v>68</v>
      </c>
      <c r="D43748" t="s">
        <v>486</v>
      </c>
      <c r="E43748" t="s">
        <v>158</v>
      </c>
      <c r="F43748" s="2" t="str">
        <f>HYPERLINK("http://www.otzar.org/book.asp?165084","תהילת אהרן")</f>
        <v>תהילת אהרן</v>
      </c>
    </row>
    <row r="43749" spans="1:6" x14ac:dyDescent="0.2">
      <c r="A43749" t="s">
        <v>66054</v>
      </c>
      <c r="B43749" t="s">
        <v>66056</v>
      </c>
      <c r="C43749" t="s">
        <v>111</v>
      </c>
      <c r="D43749" t="s">
        <v>90</v>
      </c>
      <c r="E43749" t="s">
        <v>508</v>
      </c>
      <c r="F43749" s="2" t="str">
        <f>HYPERLINK("http://www.otzar.org/book.asp?627465","תהילת אהרן")</f>
        <v>תהילת אהרן</v>
      </c>
    </row>
    <row r="43750" spans="1:6" x14ac:dyDescent="0.2">
      <c r="A43750" t="s">
        <v>66057</v>
      </c>
      <c r="B43750" t="s">
        <v>66058</v>
      </c>
      <c r="C43750" t="s">
        <v>111</v>
      </c>
      <c r="D43750" t="s">
        <v>90</v>
      </c>
      <c r="E43750" t="s">
        <v>144</v>
      </c>
      <c r="F43750" s="2" t="str">
        <f>HYPERLINK("http://www.otzar.org/book.asp?626940","תהילת יצחק על הש""ס")</f>
        <v>תהילת יצחק על הש"ס</v>
      </c>
    </row>
    <row r="43751" spans="1:6" x14ac:dyDescent="0.2">
      <c r="A43751" t="s">
        <v>66059</v>
      </c>
      <c r="B43751" t="s">
        <v>66058</v>
      </c>
      <c r="C43751" t="s">
        <v>111</v>
      </c>
      <c r="D43751" t="s">
        <v>90</v>
      </c>
      <c r="E43751" t="s">
        <v>158</v>
      </c>
      <c r="F43751" s="2" t="str">
        <f>HYPERLINK("http://www.otzar.org/book.asp?626941","תהילת יצחק על התורה - 2 כר'")</f>
        <v>תהילת יצחק על התורה - 2 כר'</v>
      </c>
    </row>
    <row r="43752" spans="1:6" x14ac:dyDescent="0.2">
      <c r="A43752" t="s">
        <v>66060</v>
      </c>
      <c r="B43752" t="s">
        <v>49599</v>
      </c>
      <c r="C43752" t="s">
        <v>111</v>
      </c>
      <c r="D43752" t="s">
        <v>14</v>
      </c>
      <c r="F43752" s="2" t="str">
        <f>HYPERLINK("http://www.otzar.org/book.asp?622119","תהילת יצחק")</f>
        <v>תהילת יצחק</v>
      </c>
    </row>
    <row r="43753" spans="1:6" x14ac:dyDescent="0.2">
      <c r="A43753" t="s">
        <v>66061</v>
      </c>
      <c r="B43753" t="s">
        <v>12106</v>
      </c>
      <c r="C43753" t="s">
        <v>68</v>
      </c>
      <c r="D43753" t="s">
        <v>14</v>
      </c>
      <c r="E43753" t="s">
        <v>66062</v>
      </c>
      <c r="F43753" s="2" t="str">
        <f>HYPERLINK("http://www.otzar.org/book.asp?154311","תהילת פנחס")</f>
        <v>תהילת פנחס</v>
      </c>
    </row>
    <row r="43754" spans="1:6" x14ac:dyDescent="0.2">
      <c r="A43754" t="s">
        <v>66063</v>
      </c>
      <c r="B43754" t="s">
        <v>66064</v>
      </c>
      <c r="C43754" t="s">
        <v>23</v>
      </c>
      <c r="D43754" t="s">
        <v>90</v>
      </c>
      <c r="E43754" t="s">
        <v>219</v>
      </c>
      <c r="F43754" s="2" t="str">
        <f>HYPERLINK("http://www.otzar.org/book.asp?191109","תהילת שלמה")</f>
        <v>תהילת שלמה</v>
      </c>
    </row>
    <row r="43755" spans="1:6" x14ac:dyDescent="0.2">
      <c r="A43755" t="s">
        <v>66065</v>
      </c>
      <c r="B43755" t="s">
        <v>50120</v>
      </c>
      <c r="C43755" t="s">
        <v>473</v>
      </c>
      <c r="D43755" t="s">
        <v>27</v>
      </c>
      <c r="E43755" t="s">
        <v>158</v>
      </c>
      <c r="F43755" s="2" t="str">
        <f>HYPERLINK("http://www.otzar.org/book.asp?149258","תהלה ותפארת")</f>
        <v>תהלה ותפארת</v>
      </c>
    </row>
    <row r="43756" spans="1:6" x14ac:dyDescent="0.2">
      <c r="A43756" t="s">
        <v>66065</v>
      </c>
      <c r="B43756" t="s">
        <v>964</v>
      </c>
      <c r="C43756" t="s">
        <v>950</v>
      </c>
      <c r="D43756" t="s">
        <v>56</v>
      </c>
      <c r="E43756" t="s">
        <v>219</v>
      </c>
      <c r="F43756" s="2" t="str">
        <f>HYPERLINK("http://www.otzar.org/book.asp?20431","תהלה ותפארת")</f>
        <v>תהלה ותפארת</v>
      </c>
    </row>
    <row r="43757" spans="1:6" x14ac:dyDescent="0.2">
      <c r="A43757" t="s">
        <v>66066</v>
      </c>
      <c r="B43757" t="s">
        <v>15391</v>
      </c>
      <c r="C43757" t="s">
        <v>1208</v>
      </c>
      <c r="D43757" t="s">
        <v>21</v>
      </c>
      <c r="E43757" t="s">
        <v>158</v>
      </c>
      <c r="F43757" s="2" t="str">
        <f>HYPERLINK("http://www.otzar.org/book.asp?191323","תהלה ותפילה")</f>
        <v>תהלה ותפילה</v>
      </c>
    </row>
    <row r="43758" spans="1:6" x14ac:dyDescent="0.2">
      <c r="A43758" t="s">
        <v>66067</v>
      </c>
      <c r="B43758" t="s">
        <v>66068</v>
      </c>
      <c r="C43758" t="s">
        <v>2644</v>
      </c>
      <c r="D43758" t="s">
        <v>17609</v>
      </c>
      <c r="E43758" t="s">
        <v>15</v>
      </c>
      <c r="F43758" s="2" t="str">
        <f>HYPERLINK("http://www.otzar.org/book.asp?160751","תהלה לדוד &lt;שהם וישפה&gt;")</f>
        <v>תהלה לדוד &lt;שהם וישפה&gt;</v>
      </c>
    </row>
    <row r="43759" spans="1:6" x14ac:dyDescent="0.2">
      <c r="A43759" t="s">
        <v>66069</v>
      </c>
      <c r="B43759" t="s">
        <v>66070</v>
      </c>
      <c r="C43759" t="s">
        <v>466</v>
      </c>
      <c r="D43759" t="s">
        <v>721</v>
      </c>
      <c r="E43759" t="s">
        <v>219</v>
      </c>
      <c r="F43759" s="2" t="str">
        <f>HYPERLINK("http://www.otzar.org/book.asp?174477","תהלה לדוד &lt;מהדורה חדשה&gt;")</f>
        <v>תהלה לדוד &lt;מהדורה חדשה&gt;</v>
      </c>
    </row>
    <row r="43760" spans="1:6" x14ac:dyDescent="0.2">
      <c r="A43760" t="s">
        <v>66071</v>
      </c>
      <c r="B43760" t="s">
        <v>552</v>
      </c>
      <c r="C43760" t="s">
        <v>383</v>
      </c>
      <c r="D43760" t="s">
        <v>14</v>
      </c>
      <c r="E43760" t="s">
        <v>202</v>
      </c>
      <c r="F43760" s="2" t="str">
        <f>HYPERLINK("http://www.otzar.org/book.asp?14585","תהלה לדוד [סויסה]")</f>
        <v>תהלה לדוד [סויסה]</v>
      </c>
    </row>
    <row r="43761" spans="1:6" x14ac:dyDescent="0.2">
      <c r="A43761" t="s">
        <v>66072</v>
      </c>
      <c r="B43761" t="s">
        <v>55471</v>
      </c>
      <c r="C43761" t="s">
        <v>989</v>
      </c>
      <c r="D43761" t="s">
        <v>216</v>
      </c>
      <c r="E43761" t="s">
        <v>158</v>
      </c>
      <c r="F43761" s="2" t="str">
        <f>HYPERLINK("http://www.otzar.org/book.asp?157164","תהלה לדוד ושדה לבן")</f>
        <v>תהלה לדוד ושדה לבן</v>
      </c>
    </row>
    <row r="43762" spans="1:6" x14ac:dyDescent="0.2">
      <c r="A43762" t="s">
        <v>66073</v>
      </c>
      <c r="B43762" t="s">
        <v>66068</v>
      </c>
      <c r="C43762" t="s">
        <v>237</v>
      </c>
      <c r="D43762" t="s">
        <v>27</v>
      </c>
      <c r="E43762" t="s">
        <v>172</v>
      </c>
      <c r="F43762" s="2" t="str">
        <f>HYPERLINK("http://www.otzar.org/book.asp?6859","תהלה לדוד - 3 כר'")</f>
        <v>תהלה לדוד - 3 כר'</v>
      </c>
    </row>
    <row r="43763" spans="1:6" x14ac:dyDescent="0.2">
      <c r="A43763" t="s">
        <v>66074</v>
      </c>
      <c r="B43763" t="s">
        <v>49115</v>
      </c>
      <c r="C43763" t="s">
        <v>66075</v>
      </c>
      <c r="D43763" t="s">
        <v>76</v>
      </c>
      <c r="E43763" t="s">
        <v>234</v>
      </c>
      <c r="F43763" s="2" t="str">
        <f>HYPERLINK("http://www.otzar.org/book.asp?147091","תהלה לדוד - 2 כר'")</f>
        <v>תהלה לדוד - 2 כר'</v>
      </c>
    </row>
    <row r="43764" spans="1:6" x14ac:dyDescent="0.2">
      <c r="A43764" t="s">
        <v>66074</v>
      </c>
      <c r="B43764" t="s">
        <v>66070</v>
      </c>
      <c r="C43764" t="s">
        <v>11821</v>
      </c>
      <c r="D43764" t="s">
        <v>21010</v>
      </c>
      <c r="E43764" t="s">
        <v>219</v>
      </c>
      <c r="F43764" s="2" t="str">
        <f>HYPERLINK("http://www.otzar.org/book.asp?196847","תהלה לדוד - 2 כר'")</f>
        <v>תהלה לדוד - 2 כר'</v>
      </c>
    </row>
    <row r="43765" spans="1:6" x14ac:dyDescent="0.2">
      <c r="A43765" t="s">
        <v>66076</v>
      </c>
      <c r="B43765" t="s">
        <v>66077</v>
      </c>
      <c r="C43765" t="s">
        <v>5125</v>
      </c>
      <c r="D43765" t="s">
        <v>1490</v>
      </c>
      <c r="E43765" t="s">
        <v>158</v>
      </c>
      <c r="F43765" s="2" t="str">
        <f>HYPERLINK("http://www.otzar.org/book.asp?84158","תהלה לדוד")</f>
        <v>תהלה לדוד</v>
      </c>
    </row>
    <row r="43766" spans="1:6" x14ac:dyDescent="0.2">
      <c r="A43766" t="s">
        <v>66076</v>
      </c>
      <c r="B43766" t="s">
        <v>4785</v>
      </c>
      <c r="C43766" t="s">
        <v>111</v>
      </c>
      <c r="D43766" t="s">
        <v>52</v>
      </c>
      <c r="F43766" s="2" t="str">
        <f>HYPERLINK("http://www.otzar.org/book.asp?632028","תהלה לדוד")</f>
        <v>תהלה לדוד</v>
      </c>
    </row>
    <row r="43767" spans="1:6" x14ac:dyDescent="0.2">
      <c r="A43767" t="s">
        <v>66076</v>
      </c>
      <c r="B43767" t="s">
        <v>66078</v>
      </c>
      <c r="C43767" t="s">
        <v>422</v>
      </c>
      <c r="D43767" t="s">
        <v>14</v>
      </c>
      <c r="E43767" t="s">
        <v>325</v>
      </c>
      <c r="F43767" s="2" t="str">
        <f>HYPERLINK("http://www.otzar.org/book.asp?159028","תהלה לדוד")</f>
        <v>תהלה לדוד</v>
      </c>
    </row>
    <row r="43768" spans="1:6" x14ac:dyDescent="0.2">
      <c r="A43768" t="s">
        <v>66076</v>
      </c>
      <c r="B43768" t="s">
        <v>62968</v>
      </c>
      <c r="C43768" t="s">
        <v>87</v>
      </c>
      <c r="D43768" t="s">
        <v>412</v>
      </c>
      <c r="E43768" t="s">
        <v>1262</v>
      </c>
      <c r="F43768" s="2" t="str">
        <f>HYPERLINK("http://www.otzar.org/book.asp?149706","תהלה לדוד")</f>
        <v>תהלה לדוד</v>
      </c>
    </row>
    <row r="43769" spans="1:6" x14ac:dyDescent="0.2">
      <c r="A43769" t="s">
        <v>66073</v>
      </c>
      <c r="B43769" t="s">
        <v>8563</v>
      </c>
      <c r="C43769" t="s">
        <v>103</v>
      </c>
      <c r="D43769" t="s">
        <v>8564</v>
      </c>
      <c r="E43769" t="s">
        <v>172</v>
      </c>
      <c r="F43769" s="2" t="str">
        <f>HYPERLINK("http://www.otzar.org/book.asp?22185","תהלה לדוד - 3 כר'")</f>
        <v>תהלה לדוד - 3 כר'</v>
      </c>
    </row>
    <row r="43770" spans="1:6" x14ac:dyDescent="0.2">
      <c r="A43770" t="s">
        <v>66073</v>
      </c>
      <c r="B43770" t="s">
        <v>6486</v>
      </c>
      <c r="C43770" t="s">
        <v>454</v>
      </c>
      <c r="D43770" t="s">
        <v>1180</v>
      </c>
      <c r="E43770" t="s">
        <v>158</v>
      </c>
      <c r="F43770" s="2" t="str">
        <f>HYPERLINK("http://www.otzar.org/book.asp?51453","תהלה לדוד - 3 כר'")</f>
        <v>תהלה לדוד - 3 כר'</v>
      </c>
    </row>
    <row r="43771" spans="1:6" x14ac:dyDescent="0.2">
      <c r="A43771" t="s">
        <v>66076</v>
      </c>
      <c r="B43771" t="s">
        <v>66079</v>
      </c>
      <c r="C43771" t="s">
        <v>752</v>
      </c>
      <c r="D43771" t="s">
        <v>379</v>
      </c>
      <c r="F43771" s="2" t="str">
        <f>HYPERLINK("http://www.otzar.org/book.asp?21750","תהלה לדוד")</f>
        <v>תהלה לדוד</v>
      </c>
    </row>
    <row r="43772" spans="1:6" x14ac:dyDescent="0.2">
      <c r="A43772" t="s">
        <v>66076</v>
      </c>
      <c r="B43772" t="s">
        <v>55471</v>
      </c>
      <c r="C43772" t="s">
        <v>989</v>
      </c>
      <c r="D43772" t="s">
        <v>216</v>
      </c>
      <c r="E43772" t="s">
        <v>957</v>
      </c>
      <c r="F43772" s="2" t="str">
        <f>HYPERLINK("http://www.otzar.org/book.asp?8049","תהלה לדוד")</f>
        <v>תהלה לדוד</v>
      </c>
    </row>
    <row r="43773" spans="1:6" x14ac:dyDescent="0.2">
      <c r="A43773" t="s">
        <v>66080</v>
      </c>
      <c r="B43773" t="s">
        <v>26129</v>
      </c>
      <c r="C43773" t="s">
        <v>1310</v>
      </c>
      <c r="D43773" t="s">
        <v>66081</v>
      </c>
      <c r="E43773" t="s">
        <v>158</v>
      </c>
      <c r="F43773" s="2" t="str">
        <f>HYPERLINK("http://www.otzar.org/book.asp?63914","תהלה לדויד")</f>
        <v>תהלה לדויד</v>
      </c>
    </row>
    <row r="43774" spans="1:6" x14ac:dyDescent="0.2">
      <c r="A43774" t="s">
        <v>66082</v>
      </c>
      <c r="B43774" t="s">
        <v>20231</v>
      </c>
      <c r="C43774" t="s">
        <v>37</v>
      </c>
      <c r="D43774" t="s">
        <v>245</v>
      </c>
      <c r="E43774" t="s">
        <v>144</v>
      </c>
      <c r="F43774" s="2" t="str">
        <f>HYPERLINK("http://www.otzar.org/book.asp?193505","תהלה ליונה - 3 כר'")</f>
        <v>תהלה ליונה - 3 כר'</v>
      </c>
    </row>
    <row r="43775" spans="1:6" x14ac:dyDescent="0.2">
      <c r="A43775" t="s">
        <v>66083</v>
      </c>
      <c r="B43775" t="s">
        <v>17842</v>
      </c>
      <c r="C43775" t="s">
        <v>23</v>
      </c>
      <c r="D43775" t="s">
        <v>52</v>
      </c>
      <c r="F43775" s="2" t="str">
        <f>HYPERLINK("http://www.otzar.org/book.asp?617859","תהלה ליראיך - עובדות והנהגות קודש - אלול תשרי")</f>
        <v>תהלה ליראיך - עובדות והנהגות קודש - אלול תשרי</v>
      </c>
    </row>
    <row r="43776" spans="1:6" x14ac:dyDescent="0.2">
      <c r="A43776" t="s">
        <v>66084</v>
      </c>
      <c r="B43776" t="s">
        <v>38220</v>
      </c>
      <c r="C43776" t="s">
        <v>1885</v>
      </c>
      <c r="D43776" t="s">
        <v>3214</v>
      </c>
      <c r="E43776" t="s">
        <v>202</v>
      </c>
      <c r="F43776" s="2" t="str">
        <f>HYPERLINK("http://www.otzar.org/book.asp?604386","תהלה למשה &lt;ספר היובל לשטיינשניידר&gt; - חלק הלועזי")</f>
        <v>תהלה למשה &lt;ספר היובל לשטיינשניידר&gt; - חלק הלועזי</v>
      </c>
    </row>
    <row r="43777" spans="1:6" x14ac:dyDescent="0.2">
      <c r="A43777" t="s">
        <v>66085</v>
      </c>
      <c r="B43777" t="s">
        <v>47776</v>
      </c>
      <c r="C43777" t="s">
        <v>1885</v>
      </c>
      <c r="D43777" t="s">
        <v>1037</v>
      </c>
      <c r="E43777" t="s">
        <v>18929</v>
      </c>
      <c r="F43777" s="2" t="str">
        <f>HYPERLINK("http://www.otzar.org/book.asp?14816","תהלה למשה &lt;ספר היובל לשטיינשניידר&gt; - חלק העברי")</f>
        <v>תהלה למשה &lt;ספר היובל לשטיינשניידר&gt; - חלק העברי</v>
      </c>
    </row>
    <row r="43778" spans="1:6" x14ac:dyDescent="0.2">
      <c r="A43778" t="s">
        <v>66086</v>
      </c>
      <c r="B43778" t="s">
        <v>66087</v>
      </c>
      <c r="C43778" t="s">
        <v>1619</v>
      </c>
      <c r="D43778" t="s">
        <v>412</v>
      </c>
      <c r="E43778" t="s">
        <v>119</v>
      </c>
      <c r="F43778" s="2" t="str">
        <f>HYPERLINK("http://www.otzar.org/book.asp?163150","תהלה למשה")</f>
        <v>תהלה למשה</v>
      </c>
    </row>
    <row r="43779" spans="1:6" x14ac:dyDescent="0.2">
      <c r="A43779" t="s">
        <v>66088</v>
      </c>
      <c r="B43779" t="s">
        <v>9127</v>
      </c>
      <c r="C43779" t="s">
        <v>23297</v>
      </c>
      <c r="D43779" t="s">
        <v>283</v>
      </c>
      <c r="E43779" t="s">
        <v>39492</v>
      </c>
      <c r="F43779" s="2" t="str">
        <f>HYPERLINK("http://www.otzar.org/book.asp?16431","תהלוכות האגדות")</f>
        <v>תהלוכות האגדות</v>
      </c>
    </row>
    <row r="43780" spans="1:6" x14ac:dyDescent="0.2">
      <c r="A43780" t="s">
        <v>66089</v>
      </c>
      <c r="B43780" t="s">
        <v>66090</v>
      </c>
      <c r="C43780" t="s">
        <v>1058</v>
      </c>
      <c r="D43780" t="s">
        <v>2295</v>
      </c>
      <c r="E43780" t="s">
        <v>13193</v>
      </c>
      <c r="F43780" s="2" t="str">
        <f>HYPERLINK("http://www.otzar.org/book.asp?20430","תהלוכות היבשה")</f>
        <v>תהלוכות היבשה</v>
      </c>
    </row>
    <row r="43781" spans="1:6" x14ac:dyDescent="0.2">
      <c r="A43781" t="s">
        <v>66091</v>
      </c>
      <c r="B43781" t="s">
        <v>66090</v>
      </c>
      <c r="C43781" t="s">
        <v>2617</v>
      </c>
      <c r="D43781" t="s">
        <v>283</v>
      </c>
      <c r="E43781" t="s">
        <v>24</v>
      </c>
      <c r="F43781" s="2" t="str">
        <f>HYPERLINK("http://www.otzar.org/book.asp?19131","תהלוכות המים")</f>
        <v>תהלוכות המים</v>
      </c>
    </row>
    <row r="43782" spans="1:6" x14ac:dyDescent="0.2">
      <c r="A43782" t="s">
        <v>66092</v>
      </c>
      <c r="B43782" t="s">
        <v>14285</v>
      </c>
      <c r="C43782" t="s">
        <v>66093</v>
      </c>
      <c r="D43782" t="s">
        <v>14</v>
      </c>
      <c r="E43782" t="s">
        <v>158</v>
      </c>
      <c r="F43782" s="2" t="str">
        <f>HYPERLINK("http://www.otzar.org/book.asp?179571","תהלות אברהם")</f>
        <v>תהלות אברהם</v>
      </c>
    </row>
    <row r="43783" spans="1:6" x14ac:dyDescent="0.2">
      <c r="A43783" t="s">
        <v>66094</v>
      </c>
      <c r="B43783" t="s">
        <v>1112</v>
      </c>
      <c r="C43783" t="s">
        <v>6052</v>
      </c>
      <c r="D43783" t="s">
        <v>76</v>
      </c>
      <c r="E43783" t="s">
        <v>579</v>
      </c>
      <c r="F43783" s="2" t="str">
        <f>HYPERLINK("http://www.otzar.org/book.asp?16043","תהלות ה'")</f>
        <v>תהלות ה'</v>
      </c>
    </row>
    <row r="43784" spans="1:6" x14ac:dyDescent="0.2">
      <c r="A43784" t="s">
        <v>66095</v>
      </c>
      <c r="B43784" t="s">
        <v>66096</v>
      </c>
      <c r="C43784" t="s">
        <v>854</v>
      </c>
      <c r="D43784" t="s">
        <v>283</v>
      </c>
      <c r="E43784" t="s">
        <v>158</v>
      </c>
      <c r="F43784" s="2" t="str">
        <f>HYPERLINK("http://www.otzar.org/book.asp?172722","תהלות חיים על תהלים")</f>
        <v>תהלות חיים על תהלים</v>
      </c>
    </row>
    <row r="43785" spans="1:6" x14ac:dyDescent="0.2">
      <c r="A43785" t="s">
        <v>66097</v>
      </c>
      <c r="B43785" t="s">
        <v>10192</v>
      </c>
      <c r="C43785" t="s">
        <v>5334</v>
      </c>
      <c r="D43785" t="s">
        <v>4288</v>
      </c>
      <c r="E43785" t="s">
        <v>158</v>
      </c>
      <c r="F43785" s="2" t="str">
        <f>HYPERLINK("http://www.otzar.org/book.asp?16075","תהלות יעקב &lt;ביאור תהלים&gt;")</f>
        <v>תהלות יעקב &lt;ביאור תהלים&gt;</v>
      </c>
    </row>
    <row r="43786" spans="1:6" x14ac:dyDescent="0.2">
      <c r="A43786" t="s">
        <v>66098</v>
      </c>
      <c r="B43786" t="s">
        <v>4049</v>
      </c>
      <c r="C43786" t="s">
        <v>1096</v>
      </c>
      <c r="D43786" t="s">
        <v>379</v>
      </c>
      <c r="E43786" t="s">
        <v>158</v>
      </c>
      <c r="F43786" s="2" t="str">
        <f>HYPERLINK("http://www.otzar.org/book.asp?105883","תהלות ישראל")</f>
        <v>תהלות ישראל</v>
      </c>
    </row>
    <row r="43787" spans="1:6" x14ac:dyDescent="0.2">
      <c r="A43787" t="s">
        <v>66099</v>
      </c>
      <c r="B43787" t="s">
        <v>66100</v>
      </c>
      <c r="C43787" t="s">
        <v>133</v>
      </c>
      <c r="D43787" t="s">
        <v>90</v>
      </c>
      <c r="E43787" t="s">
        <v>144</v>
      </c>
      <c r="F43787" s="2" t="str">
        <f>HYPERLINK("http://www.otzar.org/book.asp?191127","תהלות ישראל - שבת")</f>
        <v>תהלות ישראל - שבת</v>
      </c>
    </row>
    <row r="43788" spans="1:6" x14ac:dyDescent="0.2">
      <c r="A43788" t="s">
        <v>66101</v>
      </c>
      <c r="B43788" t="s">
        <v>66102</v>
      </c>
      <c r="C43788" t="s">
        <v>523</v>
      </c>
      <c r="D43788" t="s">
        <v>14</v>
      </c>
      <c r="E43788" t="s">
        <v>158</v>
      </c>
      <c r="F43788" s="2" t="str">
        <f>HYPERLINK("http://www.otzar.org/book.asp?630164","תהלות ישראל - פרקי תהלים לפי עניינים")</f>
        <v>תהלות ישראל - פרקי תהלים לפי עניינים</v>
      </c>
    </row>
    <row r="43789" spans="1:6" x14ac:dyDescent="0.2">
      <c r="A43789" t="s">
        <v>66098</v>
      </c>
      <c r="B43789" t="s">
        <v>66103</v>
      </c>
      <c r="C43789" t="s">
        <v>286</v>
      </c>
      <c r="D43789" t="s">
        <v>36267</v>
      </c>
      <c r="F43789" s="2" t="str">
        <f>HYPERLINK("http://www.otzar.org/book.asp?615642","תהלות ישראל")</f>
        <v>תהלות ישראל</v>
      </c>
    </row>
    <row r="43790" spans="1:6" x14ac:dyDescent="0.2">
      <c r="A43790" t="s">
        <v>66104</v>
      </c>
      <c r="B43790" t="s">
        <v>453</v>
      </c>
      <c r="C43790" t="s">
        <v>37</v>
      </c>
      <c r="D43790" t="s">
        <v>52</v>
      </c>
      <c r="F43790" s="2" t="str">
        <f>HYPERLINK("http://www.otzar.org/book.asp?617041","תהלות ישראל - א")</f>
        <v>תהלות ישראל - א</v>
      </c>
    </row>
    <row r="43791" spans="1:6" x14ac:dyDescent="0.2">
      <c r="A43791" t="s">
        <v>66105</v>
      </c>
      <c r="B43791" t="s">
        <v>66045</v>
      </c>
      <c r="C43791" t="s">
        <v>51</v>
      </c>
      <c r="D43791" t="s">
        <v>21</v>
      </c>
      <c r="E43791" t="s">
        <v>2915</v>
      </c>
      <c r="F43791" s="2" t="str">
        <f>HYPERLINK("http://www.otzar.org/book.asp?197198","תהלות ליוסף")</f>
        <v>תהלות ליוסף</v>
      </c>
    </row>
    <row r="43792" spans="1:6" x14ac:dyDescent="0.2">
      <c r="A43792" t="s">
        <v>66106</v>
      </c>
      <c r="B43792" t="s">
        <v>22149</v>
      </c>
      <c r="C43792" t="s">
        <v>356</v>
      </c>
      <c r="D43792" t="s">
        <v>14</v>
      </c>
      <c r="E43792" t="s">
        <v>158</v>
      </c>
      <c r="F43792" s="2" t="str">
        <f>HYPERLINK("http://www.otzar.org/book.asp?188532","תהלות למשה")</f>
        <v>תהלות למשה</v>
      </c>
    </row>
    <row r="43793" spans="1:6" x14ac:dyDescent="0.2">
      <c r="A43793" t="s">
        <v>66107</v>
      </c>
      <c r="B43793" t="s">
        <v>27211</v>
      </c>
      <c r="C43793" t="s">
        <v>146</v>
      </c>
      <c r="D43793" t="s">
        <v>14</v>
      </c>
      <c r="E43793" t="s">
        <v>158</v>
      </c>
      <c r="F43793" s="2" t="str">
        <f>HYPERLINK("http://www.otzar.org/book.asp?153515","תהלות שמואל")</f>
        <v>תהלות שמואל</v>
      </c>
    </row>
    <row r="43794" spans="1:6" x14ac:dyDescent="0.2">
      <c r="A43794" t="s">
        <v>66108</v>
      </c>
      <c r="B43794" t="s">
        <v>239</v>
      </c>
      <c r="C43794" t="s">
        <v>56256</v>
      </c>
      <c r="D43794" t="s">
        <v>240</v>
      </c>
      <c r="E43794" t="s">
        <v>158</v>
      </c>
      <c r="F43794" s="2" t="str">
        <f>HYPERLINK("http://www.otzar.org/book.asp?625733","תהלים &lt;אביר יעקב&gt;")</f>
        <v>תהלים &lt;אביר יעקב&gt;</v>
      </c>
    </row>
    <row r="43795" spans="1:6" x14ac:dyDescent="0.2">
      <c r="A43795" t="s">
        <v>66109</v>
      </c>
      <c r="B43795" t="s">
        <v>1340</v>
      </c>
      <c r="C43795" t="s">
        <v>1388</v>
      </c>
      <c r="D43795" t="s">
        <v>14</v>
      </c>
      <c r="E43795" t="s">
        <v>158</v>
      </c>
      <c r="F43795" s="2" t="str">
        <f>HYPERLINK("http://www.otzar.org/book.asp?60614","תהלים &lt;אור החיים&gt;")</f>
        <v>תהלים &lt;אור החיים&gt;</v>
      </c>
    </row>
    <row r="43796" spans="1:6" x14ac:dyDescent="0.2">
      <c r="A43796" t="s">
        <v>66110</v>
      </c>
      <c r="B43796" t="s">
        <v>46585</v>
      </c>
      <c r="C43796" t="s">
        <v>395</v>
      </c>
      <c r="D43796" t="s">
        <v>283</v>
      </c>
      <c r="E43796" t="s">
        <v>5186</v>
      </c>
      <c r="F43796" s="2" t="str">
        <f>HYPERLINK("http://www.otzar.org/book.asp?102518","תהלים &lt;באר אברהם&gt; - 2 כר'")</f>
        <v>תהלים &lt;באר אברהם&gt; - 2 כר'</v>
      </c>
    </row>
    <row r="43797" spans="1:6" x14ac:dyDescent="0.2">
      <c r="A43797" t="s">
        <v>66111</v>
      </c>
      <c r="B43797" t="s">
        <v>66112</v>
      </c>
      <c r="C43797" t="s">
        <v>124</v>
      </c>
      <c r="D43797" t="s">
        <v>412</v>
      </c>
      <c r="E43797" t="s">
        <v>158</v>
      </c>
      <c r="F43797" s="2" t="str">
        <f>HYPERLINK("http://www.otzar.org/book.asp?603806","תהלים &lt;בני שלשים&gt;")</f>
        <v>תהלים &lt;בני שלשים&gt;</v>
      </c>
    </row>
    <row r="43798" spans="1:6" x14ac:dyDescent="0.2">
      <c r="A43798" t="s">
        <v>66113</v>
      </c>
      <c r="B43798" t="s">
        <v>1308</v>
      </c>
      <c r="C43798" t="s">
        <v>1036</v>
      </c>
      <c r="D43798" t="s">
        <v>1459</v>
      </c>
      <c r="E43798" t="s">
        <v>4940</v>
      </c>
      <c r="F43798" s="2" t="str">
        <f>HYPERLINK("http://www.otzar.org/book.asp?13286","תהלים &lt;יוסף תהלות&gt;")</f>
        <v>תהלים &lt;יוסף תהלות&gt;</v>
      </c>
    </row>
    <row r="43799" spans="1:6" x14ac:dyDescent="0.2">
      <c r="A43799" t="s">
        <v>66114</v>
      </c>
      <c r="B43799" t="s">
        <v>46655</v>
      </c>
      <c r="C43799" t="s">
        <v>68</v>
      </c>
      <c r="D43799" t="s">
        <v>52</v>
      </c>
      <c r="E43799" t="s">
        <v>158</v>
      </c>
      <c r="F43799" s="2" t="str">
        <f>HYPERLINK("http://www.otzar.org/book.asp?191908","תהלים &lt;מנחת עני&gt;")</f>
        <v>תהלים &lt;מנחת עני&gt;</v>
      </c>
    </row>
    <row r="43800" spans="1:6" x14ac:dyDescent="0.2">
      <c r="A43800" t="s">
        <v>66115</v>
      </c>
      <c r="B43800" t="s">
        <v>66116</v>
      </c>
      <c r="C43800" t="s">
        <v>99</v>
      </c>
      <c r="D43800" t="s">
        <v>18723</v>
      </c>
      <c r="E43800" t="s">
        <v>957</v>
      </c>
      <c r="F43800" s="2" t="str">
        <f>HYPERLINK("http://www.otzar.org/book.asp?102538","תהלים &lt;עץ הדעת טוב, שפת אמת&gt;")</f>
        <v>תהלים &lt;עץ הדעת טוב, שפת אמת&gt;</v>
      </c>
    </row>
    <row r="43801" spans="1:6" x14ac:dyDescent="0.2">
      <c r="A43801" t="s">
        <v>66117</v>
      </c>
      <c r="B43801" t="s">
        <v>66118</v>
      </c>
      <c r="C43801" t="s">
        <v>5140</v>
      </c>
      <c r="D43801" t="s">
        <v>27174</v>
      </c>
      <c r="E43801" t="s">
        <v>957</v>
      </c>
      <c r="F43801" s="2" t="str">
        <f>HYPERLINK("http://www.otzar.org/book.asp?13277","תהלים &lt;מצודת דוד, מצודת ציון&gt;")</f>
        <v>תהלים &lt;מצודת דוד, מצודת ציון&gt;</v>
      </c>
    </row>
    <row r="43802" spans="1:6" x14ac:dyDescent="0.2">
      <c r="A43802" t="s">
        <v>66119</v>
      </c>
      <c r="B43802" t="s">
        <v>15186</v>
      </c>
      <c r="C43802" t="s">
        <v>896</v>
      </c>
      <c r="D43802" t="s">
        <v>726</v>
      </c>
      <c r="E43802" t="s">
        <v>158</v>
      </c>
      <c r="F43802" s="2" t="str">
        <f>HYPERLINK("http://www.otzar.org/book.asp?102536","תהלים &lt;עיקר אלשיך&gt;")</f>
        <v>תהלים &lt;עיקר אלשיך&gt;</v>
      </c>
    </row>
    <row r="43803" spans="1:6" x14ac:dyDescent="0.2">
      <c r="A43803" t="s">
        <v>66120</v>
      </c>
      <c r="B43803" t="s">
        <v>66121</v>
      </c>
      <c r="D43803" t="s">
        <v>52</v>
      </c>
      <c r="E43803" t="s">
        <v>158</v>
      </c>
      <c r="F43803" s="2" t="str">
        <f>HYPERLINK("http://www.otzar.org/book.asp?190151","תהלים &lt;תהלות דוד&gt;")</f>
        <v>תהלים &lt;תהלות דוד&gt;</v>
      </c>
    </row>
    <row r="43804" spans="1:6" x14ac:dyDescent="0.2">
      <c r="A43804" t="s">
        <v>66122</v>
      </c>
      <c r="B43804" t="s">
        <v>66123</v>
      </c>
      <c r="C43804" t="s">
        <v>617</v>
      </c>
      <c r="D43804" t="s">
        <v>283</v>
      </c>
      <c r="E43804" t="s">
        <v>158</v>
      </c>
      <c r="F43804" s="2" t="str">
        <f>HYPERLINK("http://www.otzar.org/book.asp?23878","תהלים &lt;אסיפת אמרים&gt;")</f>
        <v>תהלים &lt;אסיפת אמרים&gt;</v>
      </c>
    </row>
    <row r="43805" spans="1:6" x14ac:dyDescent="0.2">
      <c r="A43805" t="s">
        <v>66124</v>
      </c>
      <c r="B43805" t="s">
        <v>6168</v>
      </c>
      <c r="C43805" t="s">
        <v>2076</v>
      </c>
      <c r="D43805" t="s">
        <v>283</v>
      </c>
      <c r="E43805" t="s">
        <v>1847</v>
      </c>
      <c r="F43805" s="2" t="str">
        <f>HYPERLINK("http://www.otzar.org/book.asp?102539","תהלים &lt;ציון, ירושלים&gt;")</f>
        <v>תהלים &lt;ציון, ירושלים&gt;</v>
      </c>
    </row>
    <row r="43806" spans="1:6" x14ac:dyDescent="0.2">
      <c r="A43806" t="s">
        <v>66125</v>
      </c>
      <c r="B43806" t="s">
        <v>66126</v>
      </c>
      <c r="C43806" t="s">
        <v>99</v>
      </c>
      <c r="D43806" t="s">
        <v>2295</v>
      </c>
      <c r="E43806" t="s">
        <v>158</v>
      </c>
      <c r="F43806" s="2" t="str">
        <f>HYPERLINK("http://www.otzar.org/book.asp?52064","תהלים &lt;תהלות ישראל&gt;")</f>
        <v>תהלים &lt;תהלות ישראל&gt;</v>
      </c>
    </row>
    <row r="43807" spans="1:6" x14ac:dyDescent="0.2">
      <c r="A43807" t="s">
        <v>66127</v>
      </c>
      <c r="B43807" t="s">
        <v>66128</v>
      </c>
      <c r="C43807" t="s">
        <v>99</v>
      </c>
      <c r="D43807" t="s">
        <v>27</v>
      </c>
      <c r="E43807" t="s">
        <v>37765</v>
      </c>
      <c r="F43807" s="2" t="str">
        <f>HYPERLINK("http://www.otzar.org/book.asp?5452","תהלים &lt;עדות ביהוסף&gt;")</f>
        <v>תהלים &lt;עדות ביהוסף&gt;</v>
      </c>
    </row>
    <row r="43808" spans="1:6" x14ac:dyDescent="0.2">
      <c r="A43808" t="s">
        <v>66129</v>
      </c>
      <c r="B43808" t="s">
        <v>17018</v>
      </c>
      <c r="C43808" t="s">
        <v>1811</v>
      </c>
      <c r="D43808" t="s">
        <v>14</v>
      </c>
      <c r="E43808" t="s">
        <v>158</v>
      </c>
      <c r="F43808" s="2" t="str">
        <f>HYPERLINK("http://www.otzar.org/book.asp?149606","תהלים &lt;תהלות מהרי""ץ&gt;")</f>
        <v>תהלים &lt;תהלות מהרי"ץ&gt;</v>
      </c>
    </row>
    <row r="43809" spans="1:6" x14ac:dyDescent="0.2">
      <c r="A43809" t="s">
        <v>66130</v>
      </c>
      <c r="B43809" t="s">
        <v>66131</v>
      </c>
      <c r="C43809" t="s">
        <v>775</v>
      </c>
      <c r="D43809" t="s">
        <v>14</v>
      </c>
      <c r="E43809" t="s">
        <v>158</v>
      </c>
      <c r="F43809" s="2" t="str">
        <f>HYPERLINK("http://www.otzar.org/book.asp?166182","תהלים &lt;ע""פ אז ידבר יהושע&gt;")</f>
        <v>תהלים &lt;ע"פ אז ידבר יהושע&gt;</v>
      </c>
    </row>
    <row r="43810" spans="1:6" x14ac:dyDescent="0.2">
      <c r="A43810" t="s">
        <v>66132</v>
      </c>
      <c r="B43810" t="s">
        <v>61678</v>
      </c>
      <c r="C43810" t="s">
        <v>111</v>
      </c>
      <c r="D43810" t="s">
        <v>423</v>
      </c>
      <c r="E43810" t="s">
        <v>158</v>
      </c>
      <c r="F43810" s="2" t="str">
        <f>HYPERLINK("http://www.otzar.org/book.asp?629541","תהלים &lt;שדה יעקב - רחשי יוסף&gt;")</f>
        <v>תהלים &lt;שדה יעקב - רחשי יוסף&gt;</v>
      </c>
    </row>
    <row r="43811" spans="1:6" x14ac:dyDescent="0.2">
      <c r="A43811" t="s">
        <v>66133</v>
      </c>
      <c r="B43811" t="s">
        <v>15848</v>
      </c>
      <c r="C43811" t="s">
        <v>1609</v>
      </c>
      <c r="D43811" t="s">
        <v>80</v>
      </c>
      <c r="E43811" t="s">
        <v>66134</v>
      </c>
      <c r="F43811" s="2" t="str">
        <f>HYPERLINK("http://www.otzar.org/book.asp?8079","תהלים &lt;דמשק אליעזר&gt; - 2 כר'")</f>
        <v>תהלים &lt;דמשק אליעזר&gt; - 2 כר'</v>
      </c>
    </row>
    <row r="43812" spans="1:6" x14ac:dyDescent="0.2">
      <c r="A43812" t="s">
        <v>66135</v>
      </c>
      <c r="B43812" t="s">
        <v>12440</v>
      </c>
      <c r="C43812" t="s">
        <v>492</v>
      </c>
      <c r="D43812" t="s">
        <v>726</v>
      </c>
      <c r="E43812" t="s">
        <v>6136</v>
      </c>
      <c r="F43812" s="2" t="str">
        <f>HYPERLINK("http://www.otzar.org/book.asp?10264","תהלים &lt;תוספת חיים&gt;")</f>
        <v>תהלים &lt;תוספת חיים&gt;</v>
      </c>
    </row>
    <row r="43813" spans="1:6" x14ac:dyDescent="0.2">
      <c r="A43813" t="s">
        <v>66136</v>
      </c>
      <c r="B43813" t="s">
        <v>4485</v>
      </c>
      <c r="C43813" t="s">
        <v>523</v>
      </c>
      <c r="D43813" t="s">
        <v>52</v>
      </c>
      <c r="E43813" t="s">
        <v>158</v>
      </c>
      <c r="F43813" s="2" t="str">
        <f>HYPERLINK("http://www.otzar.org/book.asp?10365","תהלים &lt;תהלת חיים&gt;")</f>
        <v>תהלים &lt;תהלת חיים&gt;</v>
      </c>
    </row>
    <row r="43814" spans="1:6" x14ac:dyDescent="0.2">
      <c r="A43814" t="s">
        <v>66137</v>
      </c>
      <c r="B43814" t="s">
        <v>66138</v>
      </c>
      <c r="C43814" t="s">
        <v>11715</v>
      </c>
      <c r="D43814" t="s">
        <v>1023</v>
      </c>
      <c r="E43814" t="s">
        <v>6253</v>
      </c>
      <c r="F43814" s="2" t="str">
        <f>HYPERLINK("http://www.otzar.org/book.asp?102515","תהלים &lt;עם שני פירושים&gt;")</f>
        <v>תהלים &lt;עם שני פירושים&gt;</v>
      </c>
    </row>
    <row r="43815" spans="1:6" x14ac:dyDescent="0.2">
      <c r="A43815" t="s">
        <v>66139</v>
      </c>
      <c r="B43815" t="s">
        <v>6051</v>
      </c>
      <c r="C43815" t="s">
        <v>492</v>
      </c>
      <c r="D43815" t="s">
        <v>756</v>
      </c>
      <c r="E43815" t="s">
        <v>158</v>
      </c>
      <c r="F43815" s="2" t="str">
        <f>HYPERLINK("http://www.otzar.org/book.asp?60634","תהלים &lt;אמרות טהורות&gt;")</f>
        <v>תהלים &lt;אמרות טהורות&gt;</v>
      </c>
    </row>
    <row r="43816" spans="1:6" x14ac:dyDescent="0.2">
      <c r="A43816" t="s">
        <v>66140</v>
      </c>
      <c r="B43816" t="s">
        <v>1363</v>
      </c>
      <c r="C43816" t="s">
        <v>581</v>
      </c>
      <c r="D43816" t="s">
        <v>6742</v>
      </c>
      <c r="E43816" t="s">
        <v>3107</v>
      </c>
      <c r="F43816" s="2" t="str">
        <f>HYPERLINK("http://www.otzar.org/book.asp?11912","תהלים &lt;רש""ר הירש&gt; - 3 כר'")</f>
        <v>תהלים &lt;רש"ר הירש&gt; - 3 כר'</v>
      </c>
    </row>
    <row r="43817" spans="1:6" x14ac:dyDescent="0.2">
      <c r="A43817" t="s">
        <v>66141</v>
      </c>
      <c r="B43817" t="s">
        <v>66142</v>
      </c>
      <c r="C43817" t="s">
        <v>1202</v>
      </c>
      <c r="D43817" t="s">
        <v>9</v>
      </c>
      <c r="E43817" t="s">
        <v>158</v>
      </c>
      <c r="F43817" s="2" t="str">
        <f>HYPERLINK("http://www.otzar.org/book.asp?52063","תהלים &lt;תהלים בחרוזים&gt;")</f>
        <v>תהלים &lt;תהלים בחרוזים&gt;</v>
      </c>
    </row>
    <row r="43818" spans="1:6" x14ac:dyDescent="0.2">
      <c r="A43818" t="s">
        <v>66143</v>
      </c>
      <c r="B43818" t="s">
        <v>53706</v>
      </c>
      <c r="C43818" t="s">
        <v>15856</v>
      </c>
      <c r="D43818" t="s">
        <v>283</v>
      </c>
      <c r="E43818" t="s">
        <v>158</v>
      </c>
      <c r="F43818" s="2" t="str">
        <f>HYPERLINK("http://www.otzar.org/book.asp?100470","תהלים &lt;מקדש מעט&gt; - 5 כר'")</f>
        <v>תהלים &lt;מקדש מעט&gt; - 5 כר'</v>
      </c>
    </row>
    <row r="43819" spans="1:6" x14ac:dyDescent="0.2">
      <c r="A43819" t="s">
        <v>66144</v>
      </c>
      <c r="B43819" t="s">
        <v>6053</v>
      </c>
      <c r="C43819" t="s">
        <v>752</v>
      </c>
      <c r="D43819" t="s">
        <v>267</v>
      </c>
      <c r="E43819" t="s">
        <v>158</v>
      </c>
      <c r="F43819" s="2" t="str">
        <f>HYPERLINK("http://www.otzar.org/book.asp?102547","תהלים &lt;תהלה לדוד&gt;")</f>
        <v>תהלים &lt;תהלה לדוד&gt;</v>
      </c>
    </row>
    <row r="43820" spans="1:6" x14ac:dyDescent="0.2">
      <c r="A43820" t="s">
        <v>66145</v>
      </c>
      <c r="B43820" t="s">
        <v>432</v>
      </c>
      <c r="C43820" t="s">
        <v>1388</v>
      </c>
      <c r="D43820" t="s">
        <v>412</v>
      </c>
      <c r="E43820" t="s">
        <v>158</v>
      </c>
      <c r="F43820" s="2" t="str">
        <f>HYPERLINK("http://www.otzar.org/book.asp?143932","תהלים &lt;לב אברהם&gt;")</f>
        <v>תהלים &lt;לב אברהם&gt;</v>
      </c>
    </row>
    <row r="43821" spans="1:6" x14ac:dyDescent="0.2">
      <c r="A43821" t="s">
        <v>66146</v>
      </c>
      <c r="B43821" t="s">
        <v>26603</v>
      </c>
      <c r="C43821" t="s">
        <v>2543</v>
      </c>
      <c r="D43821" t="s">
        <v>283</v>
      </c>
      <c r="E43821" t="s">
        <v>579</v>
      </c>
      <c r="F43821" s="2" t="str">
        <f>HYPERLINK("http://www.otzar.org/book.asp?141137","תהלים &lt;עטרת יהושע&gt;")</f>
        <v>תהלים &lt;עטרת יהושע&gt;</v>
      </c>
    </row>
    <row r="43822" spans="1:6" x14ac:dyDescent="0.2">
      <c r="A43822" t="s">
        <v>66147</v>
      </c>
      <c r="B43822" t="s">
        <v>12106</v>
      </c>
      <c r="C43822" t="s">
        <v>146</v>
      </c>
      <c r="D43822" t="s">
        <v>14</v>
      </c>
      <c r="E43822" t="s">
        <v>158</v>
      </c>
      <c r="F43822" s="2" t="str">
        <f>HYPERLINK("http://www.otzar.org/book.asp?52195","תהלים &lt;עטרת פז&gt;")</f>
        <v>תהלים &lt;עטרת פז&gt;</v>
      </c>
    </row>
    <row r="43823" spans="1:6" x14ac:dyDescent="0.2">
      <c r="A43823" t="s">
        <v>66148</v>
      </c>
      <c r="B43823" t="s">
        <v>24314</v>
      </c>
      <c r="C43823" t="s">
        <v>160</v>
      </c>
      <c r="D43823" t="s">
        <v>14</v>
      </c>
      <c r="E43823" t="s">
        <v>158</v>
      </c>
      <c r="F43823" s="2" t="str">
        <f>HYPERLINK("http://www.otzar.org/book.asp?83968","תהלים &lt;ע""פ רבי יצחק חיות&gt;")</f>
        <v>תהלים &lt;ע"פ רבי יצחק חיות&gt;</v>
      </c>
    </row>
    <row r="43824" spans="1:6" x14ac:dyDescent="0.2">
      <c r="A43824" t="s">
        <v>66149</v>
      </c>
      <c r="B43824" t="s">
        <v>38455</v>
      </c>
      <c r="C43824" t="s">
        <v>1150</v>
      </c>
      <c r="D43824" t="s">
        <v>1023</v>
      </c>
      <c r="E43824" t="s">
        <v>158</v>
      </c>
      <c r="F43824" s="2" t="str">
        <f>HYPERLINK("http://www.otzar.org/book.asp?8067","תהלים &lt;תהלת ה'&gt;")</f>
        <v>תהלים &lt;תהלת ה'&gt;</v>
      </c>
    </row>
    <row r="43825" spans="1:6" x14ac:dyDescent="0.2">
      <c r="A43825" t="s">
        <v>66150</v>
      </c>
      <c r="B43825" t="s">
        <v>66151</v>
      </c>
      <c r="C43825" t="s">
        <v>1202</v>
      </c>
      <c r="D43825" t="s">
        <v>726</v>
      </c>
      <c r="E43825" t="s">
        <v>357</v>
      </c>
      <c r="F43825" s="2" t="str">
        <f>HYPERLINK("http://www.otzar.org/book.asp?102520","תהלים &lt;דברי העם&gt;")</f>
        <v>תהלים &lt;דברי העם&gt;</v>
      </c>
    </row>
    <row r="43826" spans="1:6" x14ac:dyDescent="0.2">
      <c r="A43826" t="s">
        <v>66152</v>
      </c>
      <c r="B43826" t="s">
        <v>14662</v>
      </c>
      <c r="C43826" t="s">
        <v>1570</v>
      </c>
      <c r="D43826" t="s">
        <v>412</v>
      </c>
      <c r="E43826" t="s">
        <v>158</v>
      </c>
      <c r="F43826" s="2" t="str">
        <f>HYPERLINK("http://www.otzar.org/book.asp?188469","תהלים &lt;תהלות יואל&gt;")</f>
        <v>תהלים &lt;תהלות יואל&gt;</v>
      </c>
    </row>
    <row r="43827" spans="1:6" x14ac:dyDescent="0.2">
      <c r="A43827" t="s">
        <v>66153</v>
      </c>
      <c r="B43827" t="s">
        <v>21278</v>
      </c>
      <c r="C43827" t="s">
        <v>2543</v>
      </c>
      <c r="D43827" t="s">
        <v>49190</v>
      </c>
      <c r="E43827" t="s">
        <v>8000</v>
      </c>
      <c r="F43827" s="2" t="str">
        <f>HYPERLINK("http://www.otzar.org/book.asp?5630","תהלים &lt;תפלה למשה&gt; - 2 כר'")</f>
        <v>תהלים &lt;תפלה למשה&gt; - 2 כר'</v>
      </c>
    </row>
    <row r="43828" spans="1:6" x14ac:dyDescent="0.2">
      <c r="A43828" t="s">
        <v>66154</v>
      </c>
      <c r="B43828" t="s">
        <v>63200</v>
      </c>
      <c r="C43828" t="s">
        <v>5163</v>
      </c>
      <c r="D43828" t="s">
        <v>27</v>
      </c>
      <c r="E43828" t="s">
        <v>158</v>
      </c>
      <c r="F43828" s="2" t="str">
        <f>HYPERLINK("http://www.otzar.org/book.asp?104505","תהלים &lt;נאוה תהלה&gt;")</f>
        <v>תהלים &lt;נאוה תהלה&gt;</v>
      </c>
    </row>
    <row r="43829" spans="1:6" x14ac:dyDescent="0.2">
      <c r="A43829" t="s">
        <v>66155</v>
      </c>
      <c r="B43829" t="s">
        <v>41432</v>
      </c>
      <c r="C43829" t="s">
        <v>55</v>
      </c>
      <c r="D43829" t="s">
        <v>8830</v>
      </c>
      <c r="E43829" t="s">
        <v>66156</v>
      </c>
      <c r="F43829" s="2" t="str">
        <f>HYPERLINK("http://www.otzar.org/book.asp?13278","תהלים &lt;באורי זהר ,מצודת ציון&gt;")</f>
        <v>תהלים &lt;באורי זהר ,מצודת ציון&gt;</v>
      </c>
    </row>
    <row r="43830" spans="1:6" x14ac:dyDescent="0.2">
      <c r="A43830" t="s">
        <v>66157</v>
      </c>
      <c r="B43830" t="s">
        <v>66158</v>
      </c>
      <c r="C43830" t="s">
        <v>66159</v>
      </c>
      <c r="D43830" t="s">
        <v>225</v>
      </c>
      <c r="E43830" t="s">
        <v>957</v>
      </c>
      <c r="F43830" s="2" t="str">
        <f>HYPERLINK("http://www.otzar.org/book.asp?102544","תהלים &lt;שמן למאור&gt; - 3 כר'")</f>
        <v>תהלים &lt;שמן למאור&gt; - 3 כר'</v>
      </c>
    </row>
    <row r="43831" spans="1:6" x14ac:dyDescent="0.2">
      <c r="A43831" t="s">
        <v>66160</v>
      </c>
      <c r="B43831" t="s">
        <v>27927</v>
      </c>
      <c r="C43831" t="s">
        <v>1096</v>
      </c>
      <c r="D43831" t="s">
        <v>225</v>
      </c>
      <c r="E43831" t="s">
        <v>23067</v>
      </c>
      <c r="F43831" s="2" t="str">
        <f>HYPERLINK("http://www.otzar.org/book.asp?16614","תהלים &lt;דגלי הודיה והמצוה, ממתקי יהודה&gt;")</f>
        <v>תהלים &lt;דגלי הודיה והמצוה, ממתקי יהודה&gt;</v>
      </c>
    </row>
    <row r="43832" spans="1:6" x14ac:dyDescent="0.2">
      <c r="A43832" t="s">
        <v>66161</v>
      </c>
      <c r="B43832" t="s">
        <v>15380</v>
      </c>
      <c r="C43832" t="s">
        <v>8</v>
      </c>
      <c r="D43832" t="s">
        <v>27</v>
      </c>
      <c r="E43832" t="s">
        <v>579</v>
      </c>
      <c r="F43832" s="2" t="str">
        <f>HYPERLINK("http://www.otzar.org/book.asp?14706","תהלים &lt;מטע לשם&gt;")</f>
        <v>תהלים &lt;מטע לשם&gt;</v>
      </c>
    </row>
    <row r="43833" spans="1:6" x14ac:dyDescent="0.2">
      <c r="A43833" t="s">
        <v>66162</v>
      </c>
      <c r="B43833" t="s">
        <v>4090</v>
      </c>
      <c r="C43833" t="s">
        <v>103</v>
      </c>
      <c r="D43833" t="s">
        <v>52</v>
      </c>
      <c r="E43833" t="s">
        <v>158</v>
      </c>
      <c r="F43833" s="2" t="str">
        <f>HYPERLINK("http://www.otzar.org/book.asp?63711","תהלים &lt;מנחת יהודה&gt;")</f>
        <v>תהלים &lt;מנחת יהודה&gt;</v>
      </c>
    </row>
    <row r="43834" spans="1:6" x14ac:dyDescent="0.2">
      <c r="A43834" t="s">
        <v>66163</v>
      </c>
      <c r="B43834" t="s">
        <v>66164</v>
      </c>
      <c r="C43834" t="s">
        <v>244</v>
      </c>
      <c r="D43834" t="s">
        <v>412</v>
      </c>
      <c r="E43834" t="s">
        <v>158</v>
      </c>
      <c r="F43834" s="2" t="str">
        <f>HYPERLINK("http://www.otzar.org/book.asp?600749","תהלים &lt;דברי משה&gt;")</f>
        <v>תהלים &lt;דברי משה&gt;</v>
      </c>
    </row>
    <row r="43835" spans="1:6" x14ac:dyDescent="0.2">
      <c r="A43835" t="s">
        <v>66165</v>
      </c>
      <c r="B43835" t="s">
        <v>31408</v>
      </c>
      <c r="C43835" t="s">
        <v>1374</v>
      </c>
      <c r="D43835" t="s">
        <v>3293</v>
      </c>
      <c r="E43835" t="s">
        <v>158</v>
      </c>
      <c r="F43835" s="2" t="str">
        <f>HYPERLINK("http://www.otzar.org/book.asp?102535","תהלים &lt;נחלת בנימין&gt;")</f>
        <v>תהלים &lt;נחלת בנימין&gt;</v>
      </c>
    </row>
    <row r="43836" spans="1:6" x14ac:dyDescent="0.2">
      <c r="A43836" t="s">
        <v>66166</v>
      </c>
      <c r="B43836" t="s">
        <v>18117</v>
      </c>
      <c r="C43836" t="s">
        <v>533</v>
      </c>
      <c r="D43836" t="s">
        <v>14</v>
      </c>
      <c r="E43836" t="s">
        <v>158</v>
      </c>
      <c r="F43836" s="2" t="str">
        <f>HYPERLINK("http://www.otzar.org/book.asp?25548","תהלים &lt;לדוד ברוך&gt; - 7 כר'")</f>
        <v>תהלים &lt;לדוד ברוך&gt; - 7 כר'</v>
      </c>
    </row>
    <row r="43837" spans="1:6" x14ac:dyDescent="0.2">
      <c r="A43837" t="s">
        <v>66167</v>
      </c>
      <c r="B43837" t="s">
        <v>42940</v>
      </c>
      <c r="C43837" t="s">
        <v>2617</v>
      </c>
      <c r="D43837" t="s">
        <v>1459</v>
      </c>
      <c r="E43837" t="s">
        <v>158</v>
      </c>
      <c r="F43837" s="2" t="str">
        <f>HYPERLINK("http://www.otzar.org/book.asp?106036","תהלים &lt;משפט צדק&gt;")</f>
        <v>תהלים &lt;משפט צדק&gt;</v>
      </c>
    </row>
    <row r="43838" spans="1:6" x14ac:dyDescent="0.2">
      <c r="A43838" t="s">
        <v>66168</v>
      </c>
      <c r="B43838" t="s">
        <v>42940</v>
      </c>
      <c r="C43838" t="s">
        <v>609</v>
      </c>
      <c r="D43838" t="s">
        <v>1862</v>
      </c>
      <c r="E43838" t="s">
        <v>158</v>
      </c>
      <c r="F43838" s="2" t="str">
        <f>HYPERLINK("http://www.otzar.org/book.asp?21606","תהלים &lt;של""ה, משפט צדק&gt;")</f>
        <v>תהלים &lt;של"ה, משפט צדק&gt;</v>
      </c>
    </row>
    <row r="43839" spans="1:6" x14ac:dyDescent="0.2">
      <c r="A43839" t="s">
        <v>66169</v>
      </c>
      <c r="B43839" t="s">
        <v>15834</v>
      </c>
      <c r="C43839" t="s">
        <v>334</v>
      </c>
      <c r="D43839" t="s">
        <v>14</v>
      </c>
      <c r="E43839" t="s">
        <v>579</v>
      </c>
      <c r="F43839" s="2" t="str">
        <f>HYPERLINK("http://www.otzar.org/book.asp?10215","תהלים &lt;ילקוט אליעזר&gt;")</f>
        <v>תהלים &lt;ילקוט אליעזר&gt;</v>
      </c>
    </row>
    <row r="43840" spans="1:6" x14ac:dyDescent="0.2">
      <c r="A43840" t="s">
        <v>66170</v>
      </c>
      <c r="B43840" t="s">
        <v>7980</v>
      </c>
      <c r="C43840" t="s">
        <v>748</v>
      </c>
      <c r="D43840" t="s">
        <v>66171</v>
      </c>
      <c r="E43840" t="s">
        <v>158</v>
      </c>
      <c r="F43840" s="2" t="str">
        <f>HYPERLINK("http://www.otzar.org/book.asp?149682","תהלים &lt;שערי חיים&gt; - 2 כר'")</f>
        <v>תהלים &lt;שערי חיים&gt; - 2 כר'</v>
      </c>
    </row>
    <row r="43841" spans="1:6" x14ac:dyDescent="0.2">
      <c r="A43841" t="s">
        <v>66172</v>
      </c>
      <c r="B43841" t="s">
        <v>3292</v>
      </c>
      <c r="C43841" t="s">
        <v>224</v>
      </c>
      <c r="D43841" t="s">
        <v>9</v>
      </c>
      <c r="E43841" t="s">
        <v>158</v>
      </c>
      <c r="F43841" s="2" t="str">
        <f>HYPERLINK("http://www.otzar.org/book.asp?5135","תהלים &lt;קרבן תודה&gt;")</f>
        <v>תהלים &lt;קרבן תודה&gt;</v>
      </c>
    </row>
    <row r="43842" spans="1:6" x14ac:dyDescent="0.2">
      <c r="A43842" t="s">
        <v>66173</v>
      </c>
      <c r="B43842" t="s">
        <v>4840</v>
      </c>
      <c r="C43842" t="s">
        <v>63</v>
      </c>
      <c r="D43842" t="s">
        <v>14</v>
      </c>
      <c r="E43842" t="s">
        <v>5166</v>
      </c>
      <c r="F43842" s="2" t="str">
        <f>HYPERLINK("http://www.otzar.org/book.asp?8066","תהלים &lt;רס""ג&gt;")</f>
        <v>תהלים &lt;רס"ג&gt;</v>
      </c>
    </row>
    <row r="43843" spans="1:6" x14ac:dyDescent="0.2">
      <c r="A43843" t="s">
        <v>66174</v>
      </c>
      <c r="B43843" t="s">
        <v>4246</v>
      </c>
      <c r="C43843" t="s">
        <v>75</v>
      </c>
      <c r="D43843" t="s">
        <v>283</v>
      </c>
      <c r="E43843" t="s">
        <v>158</v>
      </c>
      <c r="F43843" s="2" t="str">
        <f>HYPERLINK("http://www.otzar.org/book.asp?6555","תהלים &lt;ספורנו&gt;")</f>
        <v>תהלים &lt;ספורנו&gt;</v>
      </c>
    </row>
    <row r="43844" spans="1:6" x14ac:dyDescent="0.2">
      <c r="A43844" t="s">
        <v>66175</v>
      </c>
      <c r="B43844" t="s">
        <v>4236</v>
      </c>
      <c r="C43844" t="s">
        <v>8</v>
      </c>
      <c r="D43844" t="s">
        <v>929</v>
      </c>
      <c r="E43844" t="s">
        <v>6253</v>
      </c>
      <c r="F43844" s="2" t="str">
        <f>HYPERLINK("http://www.otzar.org/book.asp?5284","תהלים &lt;בן ביתי&gt;")</f>
        <v>תהלים &lt;בן ביתי&gt;</v>
      </c>
    </row>
    <row r="43845" spans="1:6" x14ac:dyDescent="0.2">
      <c r="A43845" t="s">
        <v>66176</v>
      </c>
      <c r="B43845" t="s">
        <v>26890</v>
      </c>
      <c r="C43845" t="s">
        <v>438</v>
      </c>
      <c r="D43845" t="s">
        <v>27</v>
      </c>
      <c r="E43845" t="s">
        <v>158</v>
      </c>
      <c r="F43845" s="2" t="str">
        <f>HYPERLINK("http://www.otzar.org/book.asp?154131","תהלים &lt;נעים זמירות&gt;")</f>
        <v>תהלים &lt;נעים זמירות&gt;</v>
      </c>
    </row>
    <row r="43846" spans="1:6" x14ac:dyDescent="0.2">
      <c r="A43846" t="s">
        <v>66177</v>
      </c>
      <c r="B43846" t="s">
        <v>47703</v>
      </c>
      <c r="C43846" t="s">
        <v>47704</v>
      </c>
      <c r="D43846" t="s">
        <v>49</v>
      </c>
      <c r="E43846" t="s">
        <v>158</v>
      </c>
      <c r="F43846" s="2" t="str">
        <f>HYPERLINK("http://www.otzar.org/book.asp?104189","תהלים &lt;שלמה עטיה&gt;")</f>
        <v>תהלים &lt;שלמה עטיה&gt;</v>
      </c>
    </row>
    <row r="43847" spans="1:6" x14ac:dyDescent="0.2">
      <c r="A43847" t="s">
        <v>66178</v>
      </c>
      <c r="B43847" t="s">
        <v>66179</v>
      </c>
      <c r="C43847" t="s">
        <v>581</v>
      </c>
      <c r="D43847" t="s">
        <v>18723</v>
      </c>
      <c r="E43847" t="s">
        <v>158</v>
      </c>
      <c r="F43847" s="2" t="str">
        <f>HYPERLINK("http://www.otzar.org/book.asp?13275","תהלים &lt;ליקוטי אורות, פנים יפות&gt;")</f>
        <v>תהלים &lt;ליקוטי אורות, פנים יפות&gt;</v>
      </c>
    </row>
    <row r="43848" spans="1:6" x14ac:dyDescent="0.2">
      <c r="A43848" t="s">
        <v>66180</v>
      </c>
      <c r="B43848" t="s">
        <v>66181</v>
      </c>
      <c r="C43848" t="s">
        <v>12024</v>
      </c>
      <c r="D43848" t="s">
        <v>66182</v>
      </c>
      <c r="E43848" t="s">
        <v>158</v>
      </c>
      <c r="F43848" s="2" t="str">
        <f>HYPERLINK("http://www.otzar.org/book.asp?151642","תהלים &lt;מדרש חכמים&gt;")</f>
        <v>תהלים &lt;מדרש חכמים&gt;</v>
      </c>
    </row>
    <row r="43849" spans="1:6" x14ac:dyDescent="0.2">
      <c r="A43849" t="s">
        <v>66183</v>
      </c>
      <c r="B43849" t="s">
        <v>66184</v>
      </c>
      <c r="C43849" t="s">
        <v>66185</v>
      </c>
      <c r="D43849" t="s">
        <v>66186</v>
      </c>
      <c r="E43849" t="s">
        <v>158</v>
      </c>
      <c r="F43849" s="2" t="str">
        <f>HYPERLINK("http://www.otzar.org/book.asp?623427","תהלים &lt;מקדש שלמה&gt; - 2 כר'")</f>
        <v>תהלים &lt;מקדש שלמה&gt; - 2 כר'</v>
      </c>
    </row>
    <row r="43850" spans="1:6" x14ac:dyDescent="0.2">
      <c r="A43850" t="s">
        <v>66187</v>
      </c>
      <c r="B43850" t="s">
        <v>66188</v>
      </c>
      <c r="C43850" t="s">
        <v>189</v>
      </c>
      <c r="D43850" t="s">
        <v>90</v>
      </c>
      <c r="E43850" t="s">
        <v>579</v>
      </c>
      <c r="F43850" s="2" t="str">
        <f>HYPERLINK("http://www.otzar.org/book.asp?64281","תהלים &lt;מבחר מדרשי חז""ל&gt;")</f>
        <v>תהלים &lt;מבחר מדרשי חז"ל&gt;</v>
      </c>
    </row>
    <row r="43851" spans="1:6" x14ac:dyDescent="0.2">
      <c r="A43851" t="s">
        <v>66189</v>
      </c>
      <c r="B43851" t="s">
        <v>66190</v>
      </c>
      <c r="C43851" t="s">
        <v>71</v>
      </c>
      <c r="D43851" t="s">
        <v>118</v>
      </c>
      <c r="E43851" t="s">
        <v>158</v>
      </c>
      <c r="F43851" s="2" t="str">
        <f>HYPERLINK("http://www.otzar.org/book.asp?157492","תהלים &lt;מסורת מדוייקת - אוצרות מלכים&gt;")</f>
        <v>תהלים &lt;מסורת מדוייקת - אוצרות מלכים&gt;</v>
      </c>
    </row>
    <row r="43852" spans="1:6" x14ac:dyDescent="0.2">
      <c r="A43852" t="s">
        <v>66191</v>
      </c>
      <c r="B43852" t="s">
        <v>5253</v>
      </c>
      <c r="C43852" t="s">
        <v>114</v>
      </c>
      <c r="D43852" t="s">
        <v>486</v>
      </c>
      <c r="E43852" t="s">
        <v>158</v>
      </c>
      <c r="F43852" s="2" t="str">
        <f>HYPERLINK("http://www.otzar.org/book.asp?166584","תהלים &lt;פניני מהרא""ל&gt;")</f>
        <v>תהלים &lt;פניני מהרא"ל&gt;</v>
      </c>
    </row>
    <row r="43853" spans="1:6" x14ac:dyDescent="0.2">
      <c r="A43853" t="s">
        <v>66192</v>
      </c>
      <c r="B43853" t="s">
        <v>66193</v>
      </c>
      <c r="C43853" t="s">
        <v>2617</v>
      </c>
      <c r="D43853" t="s">
        <v>8370</v>
      </c>
      <c r="E43853" t="s">
        <v>24180</v>
      </c>
      <c r="F43853" s="2" t="str">
        <f>HYPERLINK("http://www.otzar.org/book.asp?102546","תהלים &lt;תרועת מלך, חבל נעים, פי' מהרש""א&gt;")</f>
        <v>תהלים &lt;תרועת מלך, חבל נעים, פי' מהרש"א&gt;</v>
      </c>
    </row>
    <row r="43854" spans="1:6" x14ac:dyDescent="0.2">
      <c r="A43854" t="s">
        <v>66194</v>
      </c>
      <c r="B43854" t="s">
        <v>66195</v>
      </c>
      <c r="C43854" t="s">
        <v>550</v>
      </c>
      <c r="D43854" t="s">
        <v>212</v>
      </c>
      <c r="E43854" t="s">
        <v>158</v>
      </c>
      <c r="F43854" s="2" t="str">
        <f>HYPERLINK("http://www.otzar.org/book.asp?624679","תהלים &lt;עם ביאור לתלמידים&gt; - 2 כר'")</f>
        <v>תהלים &lt;עם ביאור לתלמידים&gt; - 2 כר'</v>
      </c>
    </row>
    <row r="43855" spans="1:6" x14ac:dyDescent="0.2">
      <c r="A43855" t="s">
        <v>66196</v>
      </c>
      <c r="B43855" t="s">
        <v>30378</v>
      </c>
      <c r="C43855" t="s">
        <v>43307</v>
      </c>
      <c r="D43855" t="s">
        <v>66197</v>
      </c>
      <c r="F43855" s="2" t="str">
        <f>HYPERLINK("http://www.otzar.org/book.asp?153106","תהלים &lt;רד""ק&gt; - 2 כר'")</f>
        <v>תהלים &lt;רד"ק&gt; - 2 כר'</v>
      </c>
    </row>
    <row r="43856" spans="1:6" x14ac:dyDescent="0.2">
      <c r="A43856" t="s">
        <v>66198</v>
      </c>
      <c r="B43856" t="s">
        <v>4289</v>
      </c>
      <c r="C43856" t="s">
        <v>20</v>
      </c>
      <c r="E43856" t="s">
        <v>158</v>
      </c>
      <c r="F43856" s="2" t="str">
        <f>HYPERLINK("http://www.otzar.org/book.asp?195031","תהלים &lt;נועם ורצון&gt;")</f>
        <v>תהלים &lt;נועם ורצון&gt;</v>
      </c>
    </row>
    <row r="43857" spans="1:6" x14ac:dyDescent="0.2">
      <c r="A43857" t="s">
        <v>66199</v>
      </c>
      <c r="B43857" t="s">
        <v>17976</v>
      </c>
      <c r="C43857" t="s">
        <v>17</v>
      </c>
      <c r="D43857" t="s">
        <v>216</v>
      </c>
      <c r="E43857" t="s">
        <v>158</v>
      </c>
      <c r="F43857" s="2" t="str">
        <f>HYPERLINK("http://www.otzar.org/book.asp?163461","תהלים &lt;תהלה למלך&gt;")</f>
        <v>תהלים &lt;תהלה למלך&gt;</v>
      </c>
    </row>
    <row r="43858" spans="1:6" x14ac:dyDescent="0.2">
      <c r="A43858" t="s">
        <v>66200</v>
      </c>
      <c r="B43858" t="s">
        <v>66201</v>
      </c>
      <c r="C43858" t="s">
        <v>800</v>
      </c>
      <c r="D43858" t="s">
        <v>164</v>
      </c>
      <c r="E43858" t="s">
        <v>158</v>
      </c>
      <c r="F43858" s="2" t="str">
        <f>HYPERLINK("http://www.otzar.org/book.asp?5621","תהלים &lt;ערוגות הבשם ובאר מים&gt;")</f>
        <v>תהלים &lt;ערוגות הבשם ובאר מים&gt;</v>
      </c>
    </row>
    <row r="43859" spans="1:6" x14ac:dyDescent="0.2">
      <c r="A43859" t="s">
        <v>66202</v>
      </c>
      <c r="B43859" t="s">
        <v>10819</v>
      </c>
      <c r="C43859" t="s">
        <v>23</v>
      </c>
      <c r="D43859" t="s">
        <v>14</v>
      </c>
      <c r="E43859" t="s">
        <v>158</v>
      </c>
      <c r="F43859" s="2" t="str">
        <f>HYPERLINK("http://www.otzar.org/book.asp?629540","תהלים &lt;נדבות פי&gt;")</f>
        <v>תהלים &lt;נדבות פי&gt;</v>
      </c>
    </row>
    <row r="43860" spans="1:6" x14ac:dyDescent="0.2">
      <c r="A43860" t="s">
        <v>66203</v>
      </c>
      <c r="B43860" t="s">
        <v>10107</v>
      </c>
      <c r="C43860" t="s">
        <v>1047</v>
      </c>
      <c r="D43860" t="s">
        <v>756</v>
      </c>
      <c r="E43860" t="s">
        <v>158</v>
      </c>
      <c r="F43860" s="2" t="str">
        <f>HYPERLINK("http://www.otzar.org/book.asp?106006","תהלים &lt;שערי פרנסה טובה&gt;")</f>
        <v>תהלים &lt;שערי פרנסה טובה&gt;</v>
      </c>
    </row>
    <row r="43861" spans="1:6" x14ac:dyDescent="0.2">
      <c r="A43861" t="s">
        <v>66204</v>
      </c>
      <c r="B43861" t="s">
        <v>17989</v>
      </c>
      <c r="C43861" t="s">
        <v>13</v>
      </c>
      <c r="D43861" t="s">
        <v>412</v>
      </c>
      <c r="E43861" t="s">
        <v>158</v>
      </c>
      <c r="F43861" s="2" t="str">
        <f>HYPERLINK("http://www.otzar.org/book.asp?177039","תהלים &lt;קול אריה&gt;")</f>
        <v>תהלים &lt;קול אריה&gt;</v>
      </c>
    </row>
    <row r="43862" spans="1:6" x14ac:dyDescent="0.2">
      <c r="A43862" t="s">
        <v>66205</v>
      </c>
      <c r="B43862" t="s">
        <v>18196</v>
      </c>
      <c r="C43862" t="s">
        <v>533</v>
      </c>
      <c r="D43862" t="s">
        <v>412</v>
      </c>
      <c r="F43862" s="2" t="str">
        <f>HYPERLINK("http://www.otzar.org/book.asp?613424","תהלים &lt;מאשר שמנה&gt;")</f>
        <v>תהלים &lt;מאשר שמנה&gt;</v>
      </c>
    </row>
    <row r="43863" spans="1:6" x14ac:dyDescent="0.2">
      <c r="A43863" t="s">
        <v>66206</v>
      </c>
      <c r="B43863" t="s">
        <v>66207</v>
      </c>
      <c r="C43863" t="s">
        <v>266</v>
      </c>
      <c r="D43863" t="s">
        <v>17784</v>
      </c>
      <c r="E43863" t="s">
        <v>158</v>
      </c>
      <c r="F43863" s="2" t="str">
        <f>HYPERLINK("http://www.otzar.org/book.asp?102523","תהלים &lt;זמרת יה&gt;")</f>
        <v>תהלים &lt;זמרת יה&gt;</v>
      </c>
    </row>
    <row r="43864" spans="1:6" x14ac:dyDescent="0.2">
      <c r="A43864" t="s">
        <v>66208</v>
      </c>
      <c r="B43864" t="s">
        <v>3949</v>
      </c>
      <c r="C43864" t="s">
        <v>454</v>
      </c>
      <c r="D43864" t="s">
        <v>423</v>
      </c>
      <c r="E43864" t="s">
        <v>158</v>
      </c>
      <c r="F43864" s="2" t="str">
        <f>HYPERLINK("http://www.otzar.org/book.asp?191271","תהלים &lt;מכתם לדוד&gt;")</f>
        <v>תהלים &lt;מכתם לדוד&gt;</v>
      </c>
    </row>
    <row r="43865" spans="1:6" x14ac:dyDescent="0.2">
      <c r="A43865" t="s">
        <v>66209</v>
      </c>
      <c r="B43865" t="s">
        <v>66210</v>
      </c>
      <c r="C43865" t="s">
        <v>5826</v>
      </c>
      <c r="D43865" t="s">
        <v>535</v>
      </c>
      <c r="E43865" t="s">
        <v>158</v>
      </c>
      <c r="F43865" s="2" t="str">
        <f>HYPERLINK("http://www.otzar.org/book.asp?102541","תהלים &lt;רשב""ם&gt; - מזויף")</f>
        <v>תהלים &lt;רשב"ם&gt; - מזויף</v>
      </c>
    </row>
    <row r="43866" spans="1:6" x14ac:dyDescent="0.2">
      <c r="A43866" t="s">
        <v>66211</v>
      </c>
      <c r="B43866" t="s">
        <v>14446</v>
      </c>
      <c r="C43866" t="s">
        <v>1570</v>
      </c>
      <c r="D43866" t="s">
        <v>52</v>
      </c>
      <c r="E43866" t="s">
        <v>158</v>
      </c>
      <c r="F43866" s="2" t="str">
        <f>HYPERLINK("http://www.otzar.org/book.asp?154365","תהלים &lt;תפלות חיים ושלום&gt;")</f>
        <v>תהלים &lt;תפלות חיים ושלום&gt;</v>
      </c>
    </row>
    <row r="43867" spans="1:6" x14ac:dyDescent="0.2">
      <c r="A43867" t="s">
        <v>66212</v>
      </c>
      <c r="B43867" t="s">
        <v>1264</v>
      </c>
      <c r="C43867" t="s">
        <v>553</v>
      </c>
      <c r="D43867" t="s">
        <v>412</v>
      </c>
      <c r="E43867" t="s">
        <v>158</v>
      </c>
      <c r="F43867" s="2" t="str">
        <f>HYPERLINK("http://www.otzar.org/book.asp?172750","תהלים &lt;אגרא דהלולי&gt;")</f>
        <v>תהלים &lt;אגרא דהלולי&gt;</v>
      </c>
    </row>
    <row r="43868" spans="1:6" x14ac:dyDescent="0.2">
      <c r="A43868" t="s">
        <v>66213</v>
      </c>
      <c r="B43868" t="s">
        <v>66214</v>
      </c>
      <c r="C43868" t="s">
        <v>25088</v>
      </c>
      <c r="D43868" t="s">
        <v>4288</v>
      </c>
      <c r="E43868" t="s">
        <v>158</v>
      </c>
      <c r="F43868" s="2" t="str">
        <f>HYPERLINK("http://www.otzar.org/book.asp?104201","תהלים &lt;עם אותיות הכינויים חלולות&gt;")</f>
        <v>תהלים &lt;עם אותיות הכינויים חלולות&gt;</v>
      </c>
    </row>
    <row r="43869" spans="1:6" x14ac:dyDescent="0.2">
      <c r="A43869" t="s">
        <v>66215</v>
      </c>
      <c r="B43869" t="s">
        <v>66216</v>
      </c>
      <c r="C43869" t="s">
        <v>26828</v>
      </c>
      <c r="D43869" t="s">
        <v>26817</v>
      </c>
      <c r="F43869" s="2" t="str">
        <f>HYPERLINK("http://www.otzar.org/book.asp?170328","תהלים איוב משלי")</f>
        <v>תהלים איוב משלי</v>
      </c>
    </row>
    <row r="43870" spans="1:6" x14ac:dyDescent="0.2">
      <c r="A43870" t="s">
        <v>66217</v>
      </c>
      <c r="B43870" t="s">
        <v>66218</v>
      </c>
      <c r="C43870" t="s">
        <v>366</v>
      </c>
      <c r="D43870" t="s">
        <v>14</v>
      </c>
      <c r="F43870" s="2" t="str">
        <f>HYPERLINK("http://www.otzar.org/book.asp?618865","תהלים באתי לגני,  עם צירופי ע""ב שמות")</f>
        <v>תהלים באתי לגני,  עם צירופי ע"ב שמות</v>
      </c>
    </row>
    <row r="43871" spans="1:6" x14ac:dyDescent="0.2">
      <c r="A43871" t="s">
        <v>66219</v>
      </c>
      <c r="B43871" t="s">
        <v>66220</v>
      </c>
      <c r="C43871" t="s">
        <v>68</v>
      </c>
      <c r="D43871" t="s">
        <v>147</v>
      </c>
      <c r="F43871" s="2" t="str">
        <f>HYPERLINK("http://www.otzar.org/book.asp?169166","תהלים המבואר אברכך בחיי, פירוש החרדים")</f>
        <v>תהלים המבואר אברכך בחיי, פירוש החרדים</v>
      </c>
    </row>
    <row r="43872" spans="1:6" x14ac:dyDescent="0.2">
      <c r="A43872" t="s">
        <v>66221</v>
      </c>
      <c r="B43872" t="s">
        <v>2500</v>
      </c>
      <c r="C43872" t="s">
        <v>17</v>
      </c>
      <c r="D43872" t="s">
        <v>52</v>
      </c>
      <c r="E43872" t="s">
        <v>158</v>
      </c>
      <c r="F43872" s="2" t="str">
        <f>HYPERLINK("http://www.otzar.org/book.asp?63239","תהלים המבואר עם פירוש תהלות שלום")</f>
        <v>תהלים המבואר עם פירוש תהלות שלום</v>
      </c>
    </row>
    <row r="43873" spans="1:6" x14ac:dyDescent="0.2">
      <c r="A43873" t="s">
        <v>66222</v>
      </c>
      <c r="B43873" t="s">
        <v>48762</v>
      </c>
      <c r="C43873" t="s">
        <v>454</v>
      </c>
      <c r="D43873" t="s">
        <v>152</v>
      </c>
      <c r="F43873" s="2" t="str">
        <f>HYPERLINK("http://www.otzar.org/book.asp?615589","תהלים המפואר &lt;עטרת תהלים&gt;")</f>
        <v>תהלים המפואר &lt;עטרת תהלים&gt;</v>
      </c>
    </row>
    <row r="43874" spans="1:6" x14ac:dyDescent="0.2">
      <c r="A43874" t="s">
        <v>66223</v>
      </c>
      <c r="B43874" t="s">
        <v>66224</v>
      </c>
      <c r="C43874" t="s">
        <v>383</v>
      </c>
      <c r="D43874" t="s">
        <v>52</v>
      </c>
      <c r="E43874" t="s">
        <v>158</v>
      </c>
      <c r="F43874" s="2" t="str">
        <f>HYPERLINK("http://www.otzar.org/book.asp?143476","תהלים המפורש")</f>
        <v>תהלים המפורש</v>
      </c>
    </row>
    <row r="43875" spans="1:6" x14ac:dyDescent="0.2">
      <c r="A43875" t="s">
        <v>66225</v>
      </c>
      <c r="B43875" t="s">
        <v>51075</v>
      </c>
      <c r="C43875" t="s">
        <v>103</v>
      </c>
      <c r="D43875" t="s">
        <v>486</v>
      </c>
      <c r="E43875" t="s">
        <v>158</v>
      </c>
      <c r="F43875" s="2" t="str">
        <f>HYPERLINK("http://www.otzar.org/book.asp?162495","תהלים המפורש - נפש חיה")</f>
        <v>תהלים המפורש - נפש חיה</v>
      </c>
    </row>
    <row r="43876" spans="1:6" x14ac:dyDescent="0.2">
      <c r="A43876" t="s">
        <v>66226</v>
      </c>
      <c r="B43876" t="s">
        <v>30280</v>
      </c>
      <c r="C43876" t="s">
        <v>37</v>
      </c>
      <c r="D43876" t="s">
        <v>134</v>
      </c>
      <c r="E43876" t="s">
        <v>158</v>
      </c>
      <c r="F43876" s="2" t="str">
        <f>HYPERLINK("http://www.otzar.org/book.asp?198732","תהלים הערוך")</f>
        <v>תהלים הערוך</v>
      </c>
    </row>
    <row r="43877" spans="1:6" x14ac:dyDescent="0.2">
      <c r="A43877" t="s">
        <v>66227</v>
      </c>
      <c r="B43877" t="s">
        <v>66228</v>
      </c>
      <c r="C43877" t="s">
        <v>5823</v>
      </c>
      <c r="D43877" t="s">
        <v>76</v>
      </c>
      <c r="E43877" t="s">
        <v>158</v>
      </c>
      <c r="F43877" s="2" t="str">
        <f>HYPERLINK("http://www.otzar.org/book.asp?153049","תהלים לשון אי לאדינו")</f>
        <v>תהלים לשון אי לאדינו</v>
      </c>
    </row>
    <row r="43878" spans="1:6" x14ac:dyDescent="0.2">
      <c r="A43878" t="s">
        <v>66229</v>
      </c>
      <c r="B43878" t="s">
        <v>6594</v>
      </c>
      <c r="C43878" t="s">
        <v>244</v>
      </c>
      <c r="D43878" t="s">
        <v>147</v>
      </c>
      <c r="E43878" t="s">
        <v>579</v>
      </c>
      <c r="F43878" s="2" t="str">
        <f>HYPERLINK("http://www.otzar.org/book.asp?195462","תהלים מפורש")</f>
        <v>תהלים מפורש</v>
      </c>
    </row>
    <row r="43879" spans="1:6" x14ac:dyDescent="0.2">
      <c r="A43879" t="s">
        <v>66230</v>
      </c>
      <c r="B43879" t="s">
        <v>66231</v>
      </c>
      <c r="C43879" t="s">
        <v>411</v>
      </c>
      <c r="D43879" t="s">
        <v>14</v>
      </c>
      <c r="F43879" s="2" t="str">
        <f>HYPERLINK("http://www.otzar.org/book.asp?617555","תהלים מתוק מדבש")</f>
        <v>תהלים מתוק מדבש</v>
      </c>
    </row>
    <row r="43880" spans="1:6" x14ac:dyDescent="0.2">
      <c r="A43880" t="s">
        <v>66232</v>
      </c>
      <c r="B43880" t="s">
        <v>1363</v>
      </c>
      <c r="C43880" t="s">
        <v>581</v>
      </c>
      <c r="D43880" t="s">
        <v>18380</v>
      </c>
      <c r="E43880" t="s">
        <v>158</v>
      </c>
      <c r="F43880" s="2" t="str">
        <f>HYPERLINK("http://www.otzar.org/book.asp?197688","תהלים מתורגם ומבואר (רש""ר הירש) - בגרמנית")</f>
        <v>תהלים מתורגם ומבואר (רש"ר הירש) - בגרמנית</v>
      </c>
    </row>
    <row r="43881" spans="1:6" x14ac:dyDescent="0.2">
      <c r="A43881" t="s">
        <v>66233</v>
      </c>
      <c r="B43881" t="s">
        <v>4579</v>
      </c>
      <c r="C43881" t="s">
        <v>189</v>
      </c>
      <c r="D43881" t="s">
        <v>52</v>
      </c>
      <c r="E43881" t="s">
        <v>5186</v>
      </c>
      <c r="F43881" s="2" t="str">
        <f>HYPERLINK("http://www.otzar.org/book.asp?144491","תהלים נאוה תהלה - 2 כר'")</f>
        <v>תהלים נאוה תהלה - 2 כר'</v>
      </c>
    </row>
    <row r="43882" spans="1:6" x14ac:dyDescent="0.2">
      <c r="A43882" t="s">
        <v>66234</v>
      </c>
      <c r="B43882" t="s">
        <v>66235</v>
      </c>
      <c r="C43882" t="s">
        <v>20</v>
      </c>
      <c r="D43882" t="s">
        <v>36734</v>
      </c>
      <c r="E43882" t="s">
        <v>158</v>
      </c>
      <c r="F43882" s="2" t="str">
        <f>HYPERLINK("http://www.otzar.org/book.asp?605430","תהלים נכח פני ה'")</f>
        <v>תהלים נכח פני ה'</v>
      </c>
    </row>
    <row r="43883" spans="1:6" x14ac:dyDescent="0.2">
      <c r="A43883" t="s">
        <v>66236</v>
      </c>
      <c r="B43883" t="s">
        <v>66237</v>
      </c>
      <c r="C43883" t="s">
        <v>133</v>
      </c>
      <c r="D43883" t="s">
        <v>3508</v>
      </c>
      <c r="E43883" t="s">
        <v>158</v>
      </c>
      <c r="F43883" s="2" t="str">
        <f>HYPERLINK("http://www.otzar.org/book.asp?180045","תהלים נפש זכריה &lt;שימוש תהלים הקדמון&gt;")</f>
        <v>תהלים נפש זכריה &lt;שימוש תהלים הקדמון&gt;</v>
      </c>
    </row>
    <row r="43884" spans="1:6" x14ac:dyDescent="0.2">
      <c r="A43884" t="s">
        <v>66238</v>
      </c>
      <c r="B43884" t="s">
        <v>66239</v>
      </c>
      <c r="C43884" t="s">
        <v>168</v>
      </c>
      <c r="D43884" t="s">
        <v>24835</v>
      </c>
      <c r="E43884" t="s">
        <v>158</v>
      </c>
      <c r="F43884" s="2" t="str">
        <f>HYPERLINK("http://www.otzar.org/book.asp?606023","תהלים ע""פ אדמור""י רדומסק")</f>
        <v>תהלים ע"פ אדמור"י רדומסק</v>
      </c>
    </row>
    <row r="43885" spans="1:6" x14ac:dyDescent="0.2">
      <c r="A43885" t="s">
        <v>66240</v>
      </c>
      <c r="B43885" t="s">
        <v>31913</v>
      </c>
      <c r="C43885" t="s">
        <v>23</v>
      </c>
      <c r="D43885" t="s">
        <v>27</v>
      </c>
      <c r="E43885" t="s">
        <v>158</v>
      </c>
      <c r="F43885" s="2" t="str">
        <f>HYPERLINK("http://www.otzar.org/book.asp?199825","תהלים ע""פ מדרש חכמים")</f>
        <v>תהלים ע"פ מדרש חכמים</v>
      </c>
    </row>
    <row r="43886" spans="1:6" x14ac:dyDescent="0.2">
      <c r="A43886" t="s">
        <v>66241</v>
      </c>
      <c r="B43886" t="s">
        <v>16897</v>
      </c>
      <c r="C43886" t="s">
        <v>146</v>
      </c>
      <c r="D43886" t="s">
        <v>14</v>
      </c>
      <c r="E43886" t="s">
        <v>158</v>
      </c>
      <c r="F43886" s="2" t="str">
        <f>HYPERLINK("http://www.otzar.org/book.asp?178979","תהלים ע""פ נאה להודות")</f>
        <v>תהלים ע"פ נאה להודות</v>
      </c>
    </row>
    <row r="43887" spans="1:6" x14ac:dyDescent="0.2">
      <c r="A43887" t="s">
        <v>66242</v>
      </c>
      <c r="B43887" t="s">
        <v>66243</v>
      </c>
      <c r="C43887" t="s">
        <v>146</v>
      </c>
      <c r="D43887" t="s">
        <v>14</v>
      </c>
      <c r="E43887" t="s">
        <v>219</v>
      </c>
      <c r="F43887" s="2" t="str">
        <f>HYPERLINK("http://www.otzar.org/book.asp?154268","תהלים עטרת פז לרבינו החיד""א &lt;ליקוטי תהלים&gt;")</f>
        <v>תהלים עטרת פז לרבינו החיד"א &lt;ליקוטי תהלים&gt;</v>
      </c>
    </row>
    <row r="43888" spans="1:6" x14ac:dyDescent="0.2">
      <c r="A43888" t="s">
        <v>66244</v>
      </c>
      <c r="B43888" t="s">
        <v>66245</v>
      </c>
      <c r="C43888" t="s">
        <v>3106</v>
      </c>
      <c r="D43888" t="s">
        <v>9</v>
      </c>
      <c r="E43888" t="s">
        <v>158</v>
      </c>
      <c r="F43888" s="2" t="str">
        <f>HYPERLINK("http://www.otzar.org/book.asp?181581","תהלים עם באור יהושע")</f>
        <v>תהלים עם באור יהושע</v>
      </c>
    </row>
    <row r="43889" spans="1:6" x14ac:dyDescent="0.2">
      <c r="A43889" t="s">
        <v>66246</v>
      </c>
      <c r="B43889" t="s">
        <v>686</v>
      </c>
      <c r="C43889" t="s">
        <v>71</v>
      </c>
      <c r="D43889" t="s">
        <v>52</v>
      </c>
      <c r="F43889" s="2" t="str">
        <f>HYPERLINK("http://www.otzar.org/book.asp?618481","תהלים עם ביאור שי מלכים")</f>
        <v>תהלים עם ביאור שי מלכים</v>
      </c>
    </row>
    <row r="43890" spans="1:6" x14ac:dyDescent="0.2">
      <c r="A43890" t="s">
        <v>66247</v>
      </c>
      <c r="B43890" t="s">
        <v>66248</v>
      </c>
      <c r="C43890" t="s">
        <v>17</v>
      </c>
      <c r="D43890" t="s">
        <v>14</v>
      </c>
      <c r="E43890" t="s">
        <v>158</v>
      </c>
      <c r="F43890" s="2" t="str">
        <f>HYPERLINK("http://www.otzar.org/book.asp?152364","תהלים עם הספר קנה המדה &lt;מכון הכתב&gt;")</f>
        <v>תהלים עם הספר קנה המדה &lt;מכון הכתב&gt;</v>
      </c>
    </row>
    <row r="43891" spans="1:6" x14ac:dyDescent="0.2">
      <c r="A43891" t="s">
        <v>66249</v>
      </c>
      <c r="B43891" t="s">
        <v>66250</v>
      </c>
      <c r="C43891" t="s">
        <v>427</v>
      </c>
      <c r="D43891" t="s">
        <v>21</v>
      </c>
      <c r="E43891" t="s">
        <v>158</v>
      </c>
      <c r="F43891" s="2" t="str">
        <f>HYPERLINK("http://www.otzar.org/book.asp?604352","תהלים עם ילקוט לענקים")</f>
        <v>תהלים עם ילקוט לענקים</v>
      </c>
    </row>
    <row r="43892" spans="1:6" x14ac:dyDescent="0.2">
      <c r="A43892" t="s">
        <v>66251</v>
      </c>
      <c r="B43892" t="s">
        <v>66252</v>
      </c>
      <c r="C43892" t="s">
        <v>1640</v>
      </c>
      <c r="D43892" t="s">
        <v>412</v>
      </c>
      <c r="F43892" s="2" t="str">
        <f>HYPERLINK("http://www.otzar.org/book.asp?157609","תהלים עם ליקוטי קודש")</f>
        <v>תהלים עם ליקוטי קודש</v>
      </c>
    </row>
    <row r="43893" spans="1:6" x14ac:dyDescent="0.2">
      <c r="A43893" t="s">
        <v>66253</v>
      </c>
      <c r="B43893" t="s">
        <v>3854</v>
      </c>
      <c r="C43893" t="s">
        <v>411</v>
      </c>
      <c r="D43893" t="s">
        <v>14</v>
      </c>
      <c r="F43893" s="2" t="str">
        <f>HYPERLINK("http://www.otzar.org/book.asp?618456","תהלים עם ע""ב שמות הקודש &lt;מטע לשם - לקט דוד- שימוש תהלים&gt;")</f>
        <v>תהלים עם ע"ב שמות הקודש &lt;מטע לשם - לקט דוד- שימוש תהלים&gt;</v>
      </c>
    </row>
    <row r="43894" spans="1:6" x14ac:dyDescent="0.2">
      <c r="A43894" t="s">
        <v>66254</v>
      </c>
      <c r="B43894" t="s">
        <v>7686</v>
      </c>
      <c r="C43894" t="s">
        <v>313</v>
      </c>
      <c r="D43894" t="s">
        <v>52</v>
      </c>
      <c r="E43894" t="s">
        <v>579</v>
      </c>
      <c r="F43894" s="2" t="str">
        <f>HYPERLINK("http://www.otzar.org/book.asp?51106","תהלים עם פירוש אמת קנה")</f>
        <v>תהלים עם פירוש אמת קנה</v>
      </c>
    </row>
    <row r="43895" spans="1:6" x14ac:dyDescent="0.2">
      <c r="A43895" t="s">
        <v>66255</v>
      </c>
      <c r="B43895" t="s">
        <v>32675</v>
      </c>
      <c r="C43895" t="s">
        <v>433</v>
      </c>
      <c r="D43895" t="s">
        <v>1889</v>
      </c>
      <c r="E43895" t="s">
        <v>6253</v>
      </c>
      <c r="F43895" s="2" t="str">
        <f>HYPERLINK("http://www.otzar.org/book.asp?300609","תהלים עם פירוש ברכה ותהלה")</f>
        <v>תהלים עם פירוש ברכה ותהלה</v>
      </c>
    </row>
    <row r="43896" spans="1:6" x14ac:dyDescent="0.2">
      <c r="A43896" t="s">
        <v>66256</v>
      </c>
      <c r="B43896" t="s">
        <v>654</v>
      </c>
      <c r="C43896" t="s">
        <v>87</v>
      </c>
      <c r="D43896" t="s">
        <v>52</v>
      </c>
      <c r="E43896" t="s">
        <v>158</v>
      </c>
      <c r="F43896" s="2" t="str">
        <f>HYPERLINK("http://www.otzar.org/book.asp?84615","תהלים עם פירוש זמירות ישראל")</f>
        <v>תהלים עם פירוש זמירות ישראל</v>
      </c>
    </row>
    <row r="43897" spans="1:6" x14ac:dyDescent="0.2">
      <c r="A43897" t="s">
        <v>66257</v>
      </c>
      <c r="B43897" t="s">
        <v>15161</v>
      </c>
      <c r="C43897" t="s">
        <v>454</v>
      </c>
      <c r="D43897" t="s">
        <v>52</v>
      </c>
      <c r="E43897" t="s">
        <v>158</v>
      </c>
      <c r="F43897" s="2" t="str">
        <f>HYPERLINK("http://www.otzar.org/book.asp?144516","תהלים עם פירוש חיי ברכה")</f>
        <v>תהלים עם פירוש חיי ברכה</v>
      </c>
    </row>
    <row r="43898" spans="1:6" x14ac:dyDescent="0.2">
      <c r="A43898" t="s">
        <v>66258</v>
      </c>
      <c r="B43898" t="s">
        <v>66259</v>
      </c>
      <c r="C43898" t="s">
        <v>20</v>
      </c>
      <c r="D43898" t="s">
        <v>14</v>
      </c>
      <c r="E43898" t="s">
        <v>158</v>
      </c>
      <c r="F43898" s="2" t="str">
        <f>HYPERLINK("http://www.otzar.org/book.asp?154185","תהלים עם פירוש מקור חיים")</f>
        <v>תהלים עם פירוש מקור חיים</v>
      </c>
    </row>
    <row r="43899" spans="1:6" x14ac:dyDescent="0.2">
      <c r="A43899" t="s">
        <v>66260</v>
      </c>
      <c r="B43899" t="s">
        <v>66261</v>
      </c>
      <c r="C43899" t="s">
        <v>8</v>
      </c>
      <c r="D43899" t="s">
        <v>1966</v>
      </c>
      <c r="E43899" t="s">
        <v>158</v>
      </c>
      <c r="F43899" s="2" t="str">
        <f>HYPERLINK("http://www.otzar.org/book.asp?149252","תהלים עם פירוש עוללות יהודה")</f>
        <v>תהלים עם פירוש עוללות יהודה</v>
      </c>
    </row>
    <row r="43900" spans="1:6" x14ac:dyDescent="0.2">
      <c r="A43900" t="s">
        <v>66262</v>
      </c>
      <c r="B43900" t="s">
        <v>66263</v>
      </c>
      <c r="C43900" t="s">
        <v>71</v>
      </c>
      <c r="D43900" t="s">
        <v>657</v>
      </c>
      <c r="E43900" t="s">
        <v>158</v>
      </c>
      <c r="F43900" s="2" t="str">
        <f>HYPERLINK("http://www.otzar.org/book.asp?26831","תהלים עם פירוש רבינו יונה החסיד מגירונדי זצ""ל")</f>
        <v>תהלים עם פירוש רבינו יונה החסיד מגירונדי זצ"ל</v>
      </c>
    </row>
    <row r="43901" spans="1:6" x14ac:dyDescent="0.2">
      <c r="A43901" t="s">
        <v>66264</v>
      </c>
      <c r="B43901" t="s">
        <v>30378</v>
      </c>
      <c r="C43901" t="s">
        <v>9115</v>
      </c>
      <c r="D43901" t="s">
        <v>4248</v>
      </c>
      <c r="E43901" t="s">
        <v>158</v>
      </c>
      <c r="F43901" s="2" t="str">
        <f>HYPERLINK("http://www.otzar.org/book.asp?151797","תהלים עם פירוש רד""ק")</f>
        <v>תהלים עם פירוש רד"ק</v>
      </c>
    </row>
    <row r="43902" spans="1:6" x14ac:dyDescent="0.2">
      <c r="A43902" t="s">
        <v>66265</v>
      </c>
      <c r="B43902" t="s">
        <v>6900</v>
      </c>
      <c r="C43902" t="s">
        <v>356</v>
      </c>
      <c r="D43902" t="s">
        <v>14</v>
      </c>
      <c r="E43902" t="s">
        <v>7411</v>
      </c>
      <c r="F43902" s="2" t="str">
        <f>HYPERLINK("http://www.otzar.org/book.asp?8068","תהלים עם פירוש שמן ששון")</f>
        <v>תהלים עם פירוש שמן ששון</v>
      </c>
    </row>
    <row r="43903" spans="1:6" x14ac:dyDescent="0.2">
      <c r="A43903" t="s">
        <v>66266</v>
      </c>
      <c r="B43903" t="s">
        <v>66267</v>
      </c>
      <c r="C43903" t="s">
        <v>908</v>
      </c>
      <c r="D43903" t="s">
        <v>20460</v>
      </c>
      <c r="F43903" s="2" t="str">
        <f>HYPERLINK("http://www.otzar.org/book.asp?615330","תהלים עם פירוש שערי הישר")</f>
        <v>תהלים עם פירוש שערי הישר</v>
      </c>
    </row>
    <row r="43904" spans="1:6" x14ac:dyDescent="0.2">
      <c r="A43904" t="s">
        <v>66268</v>
      </c>
      <c r="B43904" t="s">
        <v>1393</v>
      </c>
      <c r="C43904" t="s">
        <v>13</v>
      </c>
      <c r="D43904" t="s">
        <v>14</v>
      </c>
      <c r="E43904" t="s">
        <v>158</v>
      </c>
      <c r="F43904" s="2" t="str">
        <f>HYPERLINK("http://www.otzar.org/book.asp?159633","תהלים עם פירוש תהלות אהרן")</f>
        <v>תהלים עם פירוש תהלות אהרן</v>
      </c>
    </row>
    <row r="43905" spans="1:6" x14ac:dyDescent="0.2">
      <c r="A43905" t="s">
        <v>66269</v>
      </c>
      <c r="B43905" t="s">
        <v>66270</v>
      </c>
      <c r="C43905" t="s">
        <v>1169</v>
      </c>
      <c r="D43905" t="s">
        <v>80</v>
      </c>
      <c r="E43905" t="s">
        <v>158</v>
      </c>
      <c r="F43905" s="2" t="str">
        <f>HYPERLINK("http://www.otzar.org/book.asp?144195","תהלים עם פירושים מרבה""ק מאלכסנדר")</f>
        <v>תהלים עם פירושים מרבה"ק מאלכסנדר</v>
      </c>
    </row>
    <row r="43906" spans="1:6" x14ac:dyDescent="0.2">
      <c r="A43906" t="s">
        <v>66271</v>
      </c>
      <c r="B43906" t="s">
        <v>66272</v>
      </c>
      <c r="C43906" t="s">
        <v>2076</v>
      </c>
      <c r="D43906" t="s">
        <v>2373</v>
      </c>
      <c r="E43906" t="s">
        <v>158</v>
      </c>
      <c r="F43906" s="2" t="str">
        <f>HYPERLINK("http://www.otzar.org/book.asp?158626","תהלים עם תרגום פרסי")</f>
        <v>תהלים עם תרגום פרסי</v>
      </c>
    </row>
    <row r="43907" spans="1:6" x14ac:dyDescent="0.2">
      <c r="A43907" t="s">
        <v>66273</v>
      </c>
      <c r="B43907" t="s">
        <v>19621</v>
      </c>
      <c r="C43907" t="s">
        <v>111</v>
      </c>
      <c r="D43907" t="s">
        <v>147</v>
      </c>
      <c r="E43907" t="s">
        <v>158</v>
      </c>
      <c r="F43907" s="2" t="str">
        <f>HYPERLINK("http://www.otzar.org/book.asp?629280","תהלים רצון מלכים - אוצרות חכמי תימן")</f>
        <v>תהלים רצון מלכים - אוצרות חכמי תימן</v>
      </c>
    </row>
    <row r="43908" spans="1:6" x14ac:dyDescent="0.2">
      <c r="A43908" t="s">
        <v>66274</v>
      </c>
      <c r="B43908" t="s">
        <v>239</v>
      </c>
      <c r="C43908" t="s">
        <v>143</v>
      </c>
      <c r="D43908" t="s">
        <v>520</v>
      </c>
      <c r="E43908" t="s">
        <v>158</v>
      </c>
      <c r="F43908" s="2" t="str">
        <f>HYPERLINK("http://www.otzar.org/book.asp?165105","תהלים - תפארת יעקב")</f>
        <v>תהלים - תפארת יעקב</v>
      </c>
    </row>
    <row r="43909" spans="1:6" x14ac:dyDescent="0.2">
      <c r="A43909" t="s">
        <v>66275</v>
      </c>
      <c r="B43909" t="s">
        <v>66276</v>
      </c>
      <c r="C43909" t="s">
        <v>1177</v>
      </c>
      <c r="D43909" t="s">
        <v>1722</v>
      </c>
      <c r="E43909" t="s">
        <v>158</v>
      </c>
      <c r="F43909" s="2" t="str">
        <f>HYPERLINK("http://www.otzar.org/book.asp?618952","תהלים - דרש משה")</f>
        <v>תהלים - דרש משה</v>
      </c>
    </row>
    <row r="43910" spans="1:6" x14ac:dyDescent="0.2">
      <c r="A43910" t="s">
        <v>66277</v>
      </c>
      <c r="B43910" t="s">
        <v>66278</v>
      </c>
      <c r="C43910" t="s">
        <v>20</v>
      </c>
      <c r="D43910" t="s">
        <v>52</v>
      </c>
      <c r="E43910" t="s">
        <v>158</v>
      </c>
      <c r="F43910" s="2" t="str">
        <f>HYPERLINK("http://www.otzar.org/book.asp?618949","תהלים - חתם סופר")</f>
        <v>תהלים - חתם סופר</v>
      </c>
    </row>
    <row r="43911" spans="1:6" x14ac:dyDescent="0.2">
      <c r="A43911" t="s">
        <v>66279</v>
      </c>
      <c r="B43911" t="s">
        <v>42440</v>
      </c>
      <c r="C43911" t="s">
        <v>1166</v>
      </c>
      <c r="D43911" t="s">
        <v>66280</v>
      </c>
      <c r="E43911" t="s">
        <v>158</v>
      </c>
      <c r="F43911" s="2" t="str">
        <f>HYPERLINK("http://www.otzar.org/book.asp?623341","תהלים  - ליקוטי דוד, תפלות דוד")</f>
        <v>תהלים  - ליקוטי דוד, תפלות דוד</v>
      </c>
    </row>
    <row r="43912" spans="1:6" x14ac:dyDescent="0.2">
      <c r="A43912" t="s">
        <v>66281</v>
      </c>
      <c r="B43912" t="s">
        <v>21684</v>
      </c>
      <c r="C43912" t="s">
        <v>114</v>
      </c>
      <c r="D43912" t="s">
        <v>52</v>
      </c>
      <c r="E43912" t="s">
        <v>219</v>
      </c>
      <c r="F43912" s="2" t="str">
        <f>HYPERLINK("http://www.otzar.org/book.asp?626043","תהלים - תפילת השבים")</f>
        <v>תהלים - תפילת השבים</v>
      </c>
    </row>
    <row r="43913" spans="1:6" x14ac:dyDescent="0.2">
      <c r="A43913" t="s">
        <v>66282</v>
      </c>
      <c r="B43913" t="s">
        <v>57778</v>
      </c>
      <c r="C43913" t="s">
        <v>176</v>
      </c>
      <c r="D43913" t="s">
        <v>52</v>
      </c>
      <c r="E43913" t="s">
        <v>140</v>
      </c>
      <c r="F43913" s="2" t="str">
        <f>HYPERLINK("http://www.otzar.org/book.asp?171022","תהלת חיים - 2 כר'")</f>
        <v>תהלת חיים - 2 כר'</v>
      </c>
    </row>
    <row r="43914" spans="1:6" x14ac:dyDescent="0.2">
      <c r="A43914" t="s">
        <v>66283</v>
      </c>
      <c r="B43914" t="s">
        <v>30470</v>
      </c>
      <c r="C43914" t="s">
        <v>176</v>
      </c>
      <c r="D43914" t="s">
        <v>1840</v>
      </c>
      <c r="E43914" t="s">
        <v>158</v>
      </c>
      <c r="F43914" s="2" t="str">
        <f>HYPERLINK("http://www.otzar.org/book.asp?198669","תהלת ציון - תהלים")</f>
        <v>תהלת ציון - תהלים</v>
      </c>
    </row>
    <row r="43915" spans="1:6" x14ac:dyDescent="0.2">
      <c r="A43915" t="s">
        <v>66284</v>
      </c>
      <c r="B43915" t="s">
        <v>66285</v>
      </c>
      <c r="C43915" t="s">
        <v>422</v>
      </c>
      <c r="D43915" t="s">
        <v>14</v>
      </c>
      <c r="E43915" t="s">
        <v>66286</v>
      </c>
      <c r="F43915" s="2" t="str">
        <f>HYPERLINK("http://www.otzar.org/book.asp?152606","תהלתו בפי")</f>
        <v>תהלתו בפי</v>
      </c>
    </row>
    <row r="43916" spans="1:6" x14ac:dyDescent="0.2">
      <c r="A43916" t="s">
        <v>66287</v>
      </c>
      <c r="B43916" t="s">
        <v>66288</v>
      </c>
      <c r="C43916" t="s">
        <v>506</v>
      </c>
      <c r="D43916" t="s">
        <v>412</v>
      </c>
      <c r="E43916" t="s">
        <v>674</v>
      </c>
      <c r="F43916" s="2" t="str">
        <f>HYPERLINK("http://www.otzar.org/book.asp?20427","תו חיים")</f>
        <v>תו חיים</v>
      </c>
    </row>
    <row r="43917" spans="1:6" x14ac:dyDescent="0.2">
      <c r="A43917" t="s">
        <v>66289</v>
      </c>
      <c r="B43917" t="s">
        <v>24734</v>
      </c>
      <c r="C43917" t="s">
        <v>1437</v>
      </c>
      <c r="D43917" t="s">
        <v>283</v>
      </c>
      <c r="E43917" t="s">
        <v>714</v>
      </c>
      <c r="F43917" s="2" t="str">
        <f>HYPERLINK("http://www.otzar.org/book.asp?902","תו יהושע - 2 כר'")</f>
        <v>תו יהושע - 2 כר'</v>
      </c>
    </row>
    <row r="43918" spans="1:6" x14ac:dyDescent="0.2">
      <c r="A43918" t="s">
        <v>66290</v>
      </c>
      <c r="B43918" t="s">
        <v>66291</v>
      </c>
      <c r="C43918" t="s">
        <v>600</v>
      </c>
      <c r="D43918" t="s">
        <v>327</v>
      </c>
      <c r="E43918" t="s">
        <v>119</v>
      </c>
      <c r="F43918" s="2" t="str">
        <f>HYPERLINK("http://www.otzar.org/book.asp?20426","תואר פני שלמה")</f>
        <v>תואר פני שלמה</v>
      </c>
    </row>
    <row r="43919" spans="1:6" x14ac:dyDescent="0.2">
      <c r="A43919" t="s">
        <v>66292</v>
      </c>
      <c r="B43919" t="s">
        <v>19837</v>
      </c>
      <c r="C43919" t="s">
        <v>23</v>
      </c>
      <c r="D43919" t="s">
        <v>14</v>
      </c>
      <c r="E43919" t="s">
        <v>130</v>
      </c>
      <c r="F43919" s="2" t="str">
        <f>HYPERLINK("http://www.otzar.org/book.asp?628206","תודיעיני אורח חיים - 2 כר'")</f>
        <v>תודיעיני אורח חיים - 2 כר'</v>
      </c>
    </row>
    <row r="43920" spans="1:6" x14ac:dyDescent="0.2">
      <c r="A43920" t="s">
        <v>66293</v>
      </c>
      <c r="B43920" t="s">
        <v>16352</v>
      </c>
      <c r="C43920" t="s">
        <v>624</v>
      </c>
      <c r="D43920" t="s">
        <v>14</v>
      </c>
      <c r="E43920" t="s">
        <v>130</v>
      </c>
      <c r="F43920" s="2" t="str">
        <f>HYPERLINK("http://www.otzar.org/book.asp?151141","תודיעני ארח חיים - 2 כר'")</f>
        <v>תודיעני ארח חיים - 2 כר'</v>
      </c>
    </row>
    <row r="43921" spans="1:6" x14ac:dyDescent="0.2">
      <c r="A43921" t="s">
        <v>66294</v>
      </c>
      <c r="B43921" t="s">
        <v>66295</v>
      </c>
      <c r="C43921" t="s">
        <v>146</v>
      </c>
      <c r="D43921" t="s">
        <v>14</v>
      </c>
      <c r="E43921" t="s">
        <v>2091</v>
      </c>
      <c r="F43921" s="2" t="str">
        <f>HYPERLINK("http://www.otzar.org/book.asp?50224","תודיעני ארח חיים - 6 כר'")</f>
        <v>תודיעני ארח חיים - 6 כר'</v>
      </c>
    </row>
    <row r="43922" spans="1:6" x14ac:dyDescent="0.2">
      <c r="A43922" t="s">
        <v>66296</v>
      </c>
      <c r="B43922" t="s">
        <v>66297</v>
      </c>
      <c r="C43922" t="s">
        <v>23</v>
      </c>
      <c r="D43922" t="s">
        <v>21</v>
      </c>
      <c r="E43922" t="s">
        <v>10</v>
      </c>
      <c r="F43922" s="2" t="str">
        <f>HYPERLINK("http://www.otzar.org/book.asp?191106","תודיעני חיים - 2 כר'")</f>
        <v>תודיעני חיים - 2 כר'</v>
      </c>
    </row>
    <row r="43923" spans="1:6" x14ac:dyDescent="0.2">
      <c r="A43923" t="s">
        <v>66298</v>
      </c>
      <c r="B43923" t="s">
        <v>66299</v>
      </c>
      <c r="C43923" t="s">
        <v>61570</v>
      </c>
      <c r="D43923" t="s">
        <v>14</v>
      </c>
      <c r="E43923" t="s">
        <v>158</v>
      </c>
      <c r="F43923" s="2" t="str">
        <f>HYPERLINK("http://www.otzar.org/book.asp?179176","תודעה - 6 כר'")</f>
        <v>תודעה - 6 כר'</v>
      </c>
    </row>
    <row r="43924" spans="1:6" x14ac:dyDescent="0.2">
      <c r="A43924" t="s">
        <v>66300</v>
      </c>
      <c r="B43924" t="s">
        <v>66301</v>
      </c>
      <c r="C43924" t="s">
        <v>87</v>
      </c>
      <c r="F43924" s="2" t="str">
        <f>HYPERLINK("http://www.otzar.org/book.asp?608937","תודעת השמיטה")</f>
        <v>תודעת השמיטה</v>
      </c>
    </row>
    <row r="43925" spans="1:6" x14ac:dyDescent="0.2">
      <c r="A43925" t="s">
        <v>66302</v>
      </c>
      <c r="B43925" t="s">
        <v>50158</v>
      </c>
      <c r="C43925" t="s">
        <v>129</v>
      </c>
      <c r="D43925" t="s">
        <v>52</v>
      </c>
      <c r="E43925" t="s">
        <v>2533</v>
      </c>
      <c r="F43925" s="2" t="str">
        <f>HYPERLINK("http://www.otzar.org/book.asp?142299","תודת חגיגה")</f>
        <v>תודת חגיגה</v>
      </c>
    </row>
    <row r="43926" spans="1:6" x14ac:dyDescent="0.2">
      <c r="A43926" t="s">
        <v>66303</v>
      </c>
      <c r="B43926" t="s">
        <v>206</v>
      </c>
      <c r="C43926" t="s">
        <v>244</v>
      </c>
      <c r="D43926" t="s">
        <v>80</v>
      </c>
      <c r="E43926" t="s">
        <v>15</v>
      </c>
      <c r="F43926" s="2" t="str">
        <f>HYPERLINK("http://www.otzar.org/book.asp?195601","תודת חיים")</f>
        <v>תודת חיים</v>
      </c>
    </row>
    <row r="43927" spans="1:6" x14ac:dyDescent="0.2">
      <c r="A43927" t="s">
        <v>66303</v>
      </c>
      <c r="B43927" t="s">
        <v>12636</v>
      </c>
      <c r="C43927" t="s">
        <v>189</v>
      </c>
      <c r="D43927" t="s">
        <v>52</v>
      </c>
      <c r="E43927" t="s">
        <v>15</v>
      </c>
      <c r="F43927" s="2" t="str">
        <f>HYPERLINK("http://www.otzar.org/book.asp?50954","תודת חיים")</f>
        <v>תודת חיים</v>
      </c>
    </row>
    <row r="43928" spans="1:6" x14ac:dyDescent="0.2">
      <c r="A43928" t="s">
        <v>66304</v>
      </c>
      <c r="B43928" t="s">
        <v>24844</v>
      </c>
      <c r="C43928" t="s">
        <v>624</v>
      </c>
      <c r="D43928" t="s">
        <v>412</v>
      </c>
      <c r="F43928" s="2" t="str">
        <f>HYPERLINK("http://www.otzar.org/book.asp?198594","תודת משה")</f>
        <v>תודת משה</v>
      </c>
    </row>
    <row r="43929" spans="1:6" x14ac:dyDescent="0.2">
      <c r="A43929" t="s">
        <v>66305</v>
      </c>
      <c r="B43929" t="s">
        <v>3145</v>
      </c>
      <c r="C43929" t="s">
        <v>466</v>
      </c>
      <c r="D43929" t="s">
        <v>52</v>
      </c>
      <c r="F43929" s="2" t="str">
        <f>HYPERLINK("http://www.otzar.org/book.asp?147818","תודת שלמה - 6 כר'")</f>
        <v>תודת שלמה - 6 כר'</v>
      </c>
    </row>
    <row r="43930" spans="1:6" x14ac:dyDescent="0.2">
      <c r="A43930" t="s">
        <v>66306</v>
      </c>
      <c r="B43930" t="s">
        <v>66306</v>
      </c>
      <c r="C43930" t="s">
        <v>3573</v>
      </c>
      <c r="D43930" t="s">
        <v>49</v>
      </c>
      <c r="E43930" t="s">
        <v>22155</v>
      </c>
      <c r="F43930" s="2" t="str">
        <f>HYPERLINK("http://www.otzar.org/book.asp?102020","תודת שלמים")</f>
        <v>תודת שלמים</v>
      </c>
    </row>
    <row r="43931" spans="1:6" x14ac:dyDescent="0.2">
      <c r="A43931" t="s">
        <v>66307</v>
      </c>
      <c r="B43931" t="s">
        <v>776</v>
      </c>
      <c r="C43931" t="s">
        <v>3106</v>
      </c>
      <c r="D43931" t="s">
        <v>27</v>
      </c>
      <c r="E43931" t="s">
        <v>104</v>
      </c>
      <c r="F43931" s="2" t="str">
        <f>HYPERLINK("http://www.otzar.org/book.asp?146805","תוי חן")</f>
        <v>תוי חן</v>
      </c>
    </row>
    <row r="43932" spans="1:6" x14ac:dyDescent="0.2">
      <c r="A43932" t="s">
        <v>66308</v>
      </c>
      <c r="B43932" t="s">
        <v>2885</v>
      </c>
      <c r="C43932" t="s">
        <v>383</v>
      </c>
      <c r="D43932" t="s">
        <v>14</v>
      </c>
      <c r="E43932" t="s">
        <v>1185</v>
      </c>
      <c r="F43932" s="2" t="str">
        <f>HYPERLINK("http://www.otzar.org/book.asp?60805","תוך הנחל - 8 כר'")</f>
        <v>תוך הנחל - 8 כר'</v>
      </c>
    </row>
    <row r="43933" spans="1:6" x14ac:dyDescent="0.2">
      <c r="A43933" t="s">
        <v>66309</v>
      </c>
      <c r="B43933" t="s">
        <v>66310</v>
      </c>
      <c r="C43933" t="s">
        <v>66311</v>
      </c>
      <c r="D43933" t="s">
        <v>66312</v>
      </c>
      <c r="E43933" t="s">
        <v>1517</v>
      </c>
      <c r="F43933" s="2" t="str">
        <f>HYPERLINK("http://www.otzar.org/book.asp?179715","תוכחה לה""ר משה ן' עזרא")</f>
        <v>תוכחה לה"ר משה ן' עזרא</v>
      </c>
    </row>
    <row r="43934" spans="1:6" x14ac:dyDescent="0.2">
      <c r="A43934" t="s">
        <v>66313</v>
      </c>
      <c r="B43934" t="s">
        <v>66314</v>
      </c>
      <c r="C43934" t="s">
        <v>594</v>
      </c>
      <c r="D43934" t="s">
        <v>212</v>
      </c>
      <c r="E43934" t="s">
        <v>573</v>
      </c>
      <c r="F43934" s="2" t="str">
        <f>HYPERLINK("http://www.otzar.org/book.asp?21389","תוכחות מוסר")</f>
        <v>תוכחות מוסר</v>
      </c>
    </row>
    <row r="43935" spans="1:6" x14ac:dyDescent="0.2">
      <c r="A43935" t="s">
        <v>66313</v>
      </c>
      <c r="B43935" t="s">
        <v>45159</v>
      </c>
      <c r="C43935" t="s">
        <v>8450</v>
      </c>
      <c r="D43935" t="s">
        <v>1490</v>
      </c>
      <c r="E43935" t="s">
        <v>241</v>
      </c>
      <c r="F43935" s="2" t="str">
        <f>HYPERLINK("http://www.otzar.org/book.asp?23524","תוכחות מוסר")</f>
        <v>תוכחות מוסר</v>
      </c>
    </row>
    <row r="43936" spans="1:6" x14ac:dyDescent="0.2">
      <c r="A43936" t="s">
        <v>66313</v>
      </c>
      <c r="B43936" t="s">
        <v>1281</v>
      </c>
      <c r="C43936" t="s">
        <v>244</v>
      </c>
      <c r="D43936" t="s">
        <v>66315</v>
      </c>
      <c r="F43936" s="2" t="str">
        <f>HYPERLINK("http://www.otzar.org/book.asp?611304","תוכחות מוסר")</f>
        <v>תוכחות מוסר</v>
      </c>
    </row>
    <row r="43937" spans="1:6" x14ac:dyDescent="0.2">
      <c r="A43937" t="s">
        <v>66316</v>
      </c>
      <c r="B43937" t="s">
        <v>155</v>
      </c>
      <c r="C43937" t="s">
        <v>332</v>
      </c>
      <c r="D43937" t="s">
        <v>14</v>
      </c>
      <c r="E43937" t="s">
        <v>158</v>
      </c>
      <c r="F43937" s="2" t="str">
        <f>HYPERLINK("http://www.otzar.org/book.asp?170763","תוכחת חיים &lt;מהדורה חדשה&gt; - 3 כר'")</f>
        <v>תוכחת חיים &lt;מהדורה חדשה&gt; - 3 כר'</v>
      </c>
    </row>
    <row r="43938" spans="1:6" x14ac:dyDescent="0.2">
      <c r="A43938" t="s">
        <v>66317</v>
      </c>
      <c r="B43938" t="s">
        <v>30276</v>
      </c>
      <c r="C43938" t="s">
        <v>8</v>
      </c>
      <c r="D43938" t="s">
        <v>27</v>
      </c>
      <c r="E43938" t="s">
        <v>1072</v>
      </c>
      <c r="F43938" s="2" t="str">
        <f>HYPERLINK("http://www.otzar.org/book.asp?16402","תוכחת חיים")</f>
        <v>תוכחת חיים</v>
      </c>
    </row>
    <row r="43939" spans="1:6" x14ac:dyDescent="0.2">
      <c r="A43939" t="s">
        <v>66317</v>
      </c>
      <c r="B43939" t="s">
        <v>206</v>
      </c>
      <c r="C43939" t="s">
        <v>71</v>
      </c>
      <c r="D43939" t="s">
        <v>52</v>
      </c>
      <c r="E43939" t="s">
        <v>803</v>
      </c>
      <c r="F43939" s="2" t="str">
        <f>HYPERLINK("http://www.otzar.org/book.asp?160334","תוכחת חיים")</f>
        <v>תוכחת חיים</v>
      </c>
    </row>
    <row r="43940" spans="1:6" x14ac:dyDescent="0.2">
      <c r="A43940" t="s">
        <v>66317</v>
      </c>
      <c r="B43940" t="s">
        <v>66318</v>
      </c>
      <c r="C43940" t="s">
        <v>748</v>
      </c>
      <c r="D43940" t="s">
        <v>56</v>
      </c>
      <c r="E43940" t="s">
        <v>241</v>
      </c>
      <c r="F43940" s="2" t="str">
        <f>HYPERLINK("http://www.otzar.org/book.asp?100714","תוכחת חיים")</f>
        <v>תוכחת חיים</v>
      </c>
    </row>
    <row r="43941" spans="1:6" x14ac:dyDescent="0.2">
      <c r="A43941" t="s">
        <v>66317</v>
      </c>
      <c r="B43941" t="s">
        <v>66319</v>
      </c>
      <c r="C43941" t="s">
        <v>585</v>
      </c>
      <c r="D43941" t="s">
        <v>21</v>
      </c>
      <c r="E43941" t="s">
        <v>234</v>
      </c>
      <c r="F43941" s="2" t="str">
        <f>HYPERLINK("http://www.otzar.org/book.asp?601256","תוכחת חיים")</f>
        <v>תוכחת חיים</v>
      </c>
    </row>
    <row r="43942" spans="1:6" x14ac:dyDescent="0.2">
      <c r="A43942" t="s">
        <v>66317</v>
      </c>
      <c r="B43942" t="s">
        <v>3292</v>
      </c>
      <c r="C43942" t="s">
        <v>581</v>
      </c>
      <c r="D43942" t="s">
        <v>14202</v>
      </c>
      <c r="E43942" t="s">
        <v>234</v>
      </c>
      <c r="F43942" s="2" t="str">
        <f>HYPERLINK("http://www.otzar.org/book.asp?108217","תוכחת חיים")</f>
        <v>תוכחת חיים</v>
      </c>
    </row>
    <row r="43943" spans="1:6" x14ac:dyDescent="0.2">
      <c r="A43943" t="s">
        <v>66320</v>
      </c>
      <c r="B43943" t="s">
        <v>155</v>
      </c>
      <c r="C43943" t="s">
        <v>66321</v>
      </c>
      <c r="D43943" t="s">
        <v>76</v>
      </c>
      <c r="E43943" t="s">
        <v>158</v>
      </c>
      <c r="F43943" s="2" t="str">
        <f>HYPERLINK("http://www.otzar.org/book.asp?7966","תוכחת חיים - 3 כר'")</f>
        <v>תוכחת חיים - 3 כר'</v>
      </c>
    </row>
    <row r="43944" spans="1:6" x14ac:dyDescent="0.2">
      <c r="A43944" t="s">
        <v>66322</v>
      </c>
      <c r="B43944" t="s">
        <v>1029</v>
      </c>
      <c r="C43944" t="s">
        <v>351</v>
      </c>
      <c r="D43944" t="s">
        <v>6238</v>
      </c>
      <c r="E43944" t="s">
        <v>3567</v>
      </c>
      <c r="F43944" s="2" t="str">
        <f>HYPERLINK("http://www.otzar.org/book.asp?149177","תוכחת מגולה")</f>
        <v>תוכחת מגולה</v>
      </c>
    </row>
    <row r="43945" spans="1:6" x14ac:dyDescent="0.2">
      <c r="A43945" t="s">
        <v>66322</v>
      </c>
      <c r="B43945" t="s">
        <v>66323</v>
      </c>
      <c r="C43945" t="s">
        <v>1124</v>
      </c>
      <c r="D43945" t="s">
        <v>1674</v>
      </c>
      <c r="F43945" s="2" t="str">
        <f>HYPERLINK("http://www.otzar.org/book.asp?169526","תוכחת מגולה")</f>
        <v>תוכחת מגולה</v>
      </c>
    </row>
    <row r="43946" spans="1:6" x14ac:dyDescent="0.2">
      <c r="A43946" t="s">
        <v>66324</v>
      </c>
      <c r="B43946" t="s">
        <v>14670</v>
      </c>
      <c r="C43946" t="s">
        <v>151</v>
      </c>
      <c r="D43946" t="s">
        <v>367</v>
      </c>
      <c r="F43946" s="2" t="str">
        <f>HYPERLINK("http://www.otzar.org/book.asp?620366","תוכחת מגולה, הצד נחש &lt;מהדורה חדשה&gt;")</f>
        <v>תוכחת מגולה, הצד נחש &lt;מהדורה חדשה&gt;</v>
      </c>
    </row>
    <row r="43947" spans="1:6" x14ac:dyDescent="0.2">
      <c r="A43947" t="s">
        <v>66325</v>
      </c>
      <c r="B43947" t="s">
        <v>14670</v>
      </c>
      <c r="C43947" t="s">
        <v>2672</v>
      </c>
      <c r="D43947" t="s">
        <v>563</v>
      </c>
      <c r="F43947" s="2" t="str">
        <f>HYPERLINK("http://www.otzar.org/book.asp?53802","תוכחת מגולה, הצד נחש")</f>
        <v>תוכחת מגולה, הצד נחש</v>
      </c>
    </row>
    <row r="43948" spans="1:6" x14ac:dyDescent="0.2">
      <c r="A43948" t="s">
        <v>66326</v>
      </c>
      <c r="B43948" t="s">
        <v>34445</v>
      </c>
      <c r="C43948" t="s">
        <v>5334</v>
      </c>
      <c r="D43948" t="s">
        <v>45752</v>
      </c>
      <c r="E43948" t="s">
        <v>158</v>
      </c>
      <c r="F43948" s="2" t="str">
        <f>HYPERLINK("http://www.otzar.org/book.asp?20424","תוכחת מגילה")</f>
        <v>תוכחת מגילה</v>
      </c>
    </row>
    <row r="43949" spans="1:6" x14ac:dyDescent="0.2">
      <c r="A43949" t="s">
        <v>66327</v>
      </c>
      <c r="B43949" t="s">
        <v>39607</v>
      </c>
      <c r="C43949" t="s">
        <v>1619</v>
      </c>
      <c r="D43949" t="s">
        <v>14</v>
      </c>
      <c r="E43949" t="s">
        <v>241</v>
      </c>
      <c r="F43949" s="2" t="str">
        <f>HYPERLINK("http://www.otzar.org/book.asp?84477","תוכחת מוסר למהרש""א")</f>
        <v>תוכחת מוסר למהרש"א</v>
      </c>
    </row>
    <row r="43950" spans="1:6" x14ac:dyDescent="0.2">
      <c r="A43950" t="s">
        <v>66328</v>
      </c>
      <c r="B43950" t="s">
        <v>59063</v>
      </c>
      <c r="C43950" t="s">
        <v>51</v>
      </c>
      <c r="D43950" t="s">
        <v>412</v>
      </c>
      <c r="E43950" t="s">
        <v>241</v>
      </c>
      <c r="F43950" s="2" t="str">
        <f>HYPERLINK("http://www.otzar.org/book.asp?170860","תוכחת מוסר ע""פ יד אליעזר")</f>
        <v>תוכחת מוסר ע"פ יד אליעזר</v>
      </c>
    </row>
    <row r="43951" spans="1:6" x14ac:dyDescent="0.2">
      <c r="A43951" t="s">
        <v>66329</v>
      </c>
      <c r="B43951" t="s">
        <v>66330</v>
      </c>
      <c r="C43951" t="s">
        <v>51</v>
      </c>
      <c r="D43951" t="s">
        <v>412</v>
      </c>
      <c r="F43951" s="2" t="str">
        <f>HYPERLINK("http://www.otzar.org/book.asp?157091","תוכחת מוסר עם פירוש יד אליעזר")</f>
        <v>תוכחת מוסר עם פירוש יד אליעזר</v>
      </c>
    </row>
    <row r="43952" spans="1:6" x14ac:dyDescent="0.2">
      <c r="A43952" t="s">
        <v>66331</v>
      </c>
      <c r="B43952" t="s">
        <v>27336</v>
      </c>
      <c r="C43952" t="s">
        <v>427</v>
      </c>
      <c r="D43952" t="s">
        <v>14</v>
      </c>
      <c r="E43952" t="s">
        <v>2071</v>
      </c>
      <c r="F43952" s="2" t="str">
        <f>HYPERLINK("http://www.otzar.org/book.asp?144409","תוכחת מוסר")</f>
        <v>תוכחת מוסר</v>
      </c>
    </row>
    <row r="43953" spans="1:6" x14ac:dyDescent="0.2">
      <c r="A43953" t="s">
        <v>66331</v>
      </c>
      <c r="B43953" t="s">
        <v>66332</v>
      </c>
      <c r="C43953" t="s">
        <v>4374</v>
      </c>
      <c r="D43953" t="s">
        <v>1722</v>
      </c>
      <c r="E43953" t="s">
        <v>241</v>
      </c>
      <c r="F43953" s="2" t="str">
        <f>HYPERLINK("http://www.otzar.org/book.asp?193941","תוכחת מוסר")</f>
        <v>תוכחת מוסר</v>
      </c>
    </row>
    <row r="43954" spans="1:6" x14ac:dyDescent="0.2">
      <c r="A43954" t="s">
        <v>66333</v>
      </c>
      <c r="B43954" t="s">
        <v>2275</v>
      </c>
      <c r="C43954" t="s">
        <v>752</v>
      </c>
      <c r="D43954" t="s">
        <v>535</v>
      </c>
      <c r="E43954" t="s">
        <v>119</v>
      </c>
      <c r="F43954" s="2" t="str">
        <f>HYPERLINK("http://www.otzar.org/book.asp?20423","תולדות אבי משפחת רפאפורט")</f>
        <v>תולדות אבי משפחת רפאפורט</v>
      </c>
    </row>
    <row r="43955" spans="1:6" x14ac:dyDescent="0.2">
      <c r="A43955" t="s">
        <v>66334</v>
      </c>
      <c r="B43955" t="s">
        <v>66335</v>
      </c>
      <c r="C43955" t="s">
        <v>812</v>
      </c>
      <c r="D43955" t="s">
        <v>23921</v>
      </c>
      <c r="E43955" t="s">
        <v>474</v>
      </c>
      <c r="F43955" s="2" t="str">
        <f>HYPERLINK("http://www.otzar.org/book.asp?14130","תולדות אברהם יצחק")</f>
        <v>תולדות אברהם יצחק</v>
      </c>
    </row>
    <row r="43956" spans="1:6" x14ac:dyDescent="0.2">
      <c r="A43956" t="s">
        <v>66336</v>
      </c>
      <c r="B43956" t="s">
        <v>66337</v>
      </c>
      <c r="C43956" t="s">
        <v>1448</v>
      </c>
      <c r="D43956" t="s">
        <v>14</v>
      </c>
      <c r="E43956" t="s">
        <v>474</v>
      </c>
      <c r="F43956" s="2" t="str">
        <f>HYPERLINK("http://www.otzar.org/book.asp?151890","תולדות אברהם")</f>
        <v>תולדות אברהם</v>
      </c>
    </row>
    <row r="43957" spans="1:6" x14ac:dyDescent="0.2">
      <c r="A43957" t="s">
        <v>66336</v>
      </c>
      <c r="B43957" t="s">
        <v>24306</v>
      </c>
      <c r="C43957" t="s">
        <v>4705</v>
      </c>
      <c r="D43957" t="s">
        <v>855</v>
      </c>
      <c r="E43957" t="s">
        <v>144</v>
      </c>
      <c r="F43957" s="2" t="str">
        <f>HYPERLINK("http://www.otzar.org/book.asp?8874","תולדות אברהם")</f>
        <v>תולדות אברהם</v>
      </c>
    </row>
    <row r="43958" spans="1:6" x14ac:dyDescent="0.2">
      <c r="A43958" t="s">
        <v>66338</v>
      </c>
      <c r="B43958" t="s">
        <v>66339</v>
      </c>
      <c r="C43958" t="s">
        <v>411</v>
      </c>
      <c r="D43958" t="s">
        <v>147</v>
      </c>
      <c r="F43958" s="2" t="str">
        <f>HYPERLINK("http://www.otzar.org/book.asp?616851","תולדות אברהם - 2 כר'")</f>
        <v>תולדות אברהם - 2 כר'</v>
      </c>
    </row>
    <row r="43959" spans="1:6" x14ac:dyDescent="0.2">
      <c r="A43959" t="s">
        <v>66338</v>
      </c>
      <c r="B43959" t="s">
        <v>8005</v>
      </c>
      <c r="C43959" t="s">
        <v>7625</v>
      </c>
      <c r="D43959" t="s">
        <v>2303</v>
      </c>
      <c r="E43959" t="s">
        <v>16867</v>
      </c>
      <c r="F43959" s="2" t="str">
        <f>HYPERLINK("http://www.otzar.org/book.asp?9024","תולדות אברהם - 2 כר'")</f>
        <v>תולדות אברהם - 2 כר'</v>
      </c>
    </row>
    <row r="43960" spans="1:6" x14ac:dyDescent="0.2">
      <c r="A43960" t="s">
        <v>66336</v>
      </c>
      <c r="B43960" t="s">
        <v>5272</v>
      </c>
      <c r="C43960" t="s">
        <v>1458</v>
      </c>
      <c r="D43960" t="s">
        <v>283</v>
      </c>
      <c r="E43960" t="s">
        <v>104</v>
      </c>
      <c r="F43960" s="2" t="str">
        <f>HYPERLINK("http://www.otzar.org/book.asp?188564","תולדות אברהם")</f>
        <v>תולדות אברהם</v>
      </c>
    </row>
    <row r="43961" spans="1:6" x14ac:dyDescent="0.2">
      <c r="A43961" t="s">
        <v>66340</v>
      </c>
      <c r="B43961" t="s">
        <v>66341</v>
      </c>
      <c r="C43961" t="s">
        <v>594</v>
      </c>
      <c r="D43961" t="s">
        <v>1279</v>
      </c>
      <c r="E43961" t="s">
        <v>621</v>
      </c>
      <c r="F43961" s="2" t="str">
        <f>HYPERLINK("http://www.otzar.org/book.asp?24895","תולדות אדם וחוה &lt;שנות חיים&gt;")</f>
        <v>תולדות אדם וחוה &lt;שנות חיים&gt;</v>
      </c>
    </row>
    <row r="43962" spans="1:6" x14ac:dyDescent="0.2">
      <c r="A43962" t="s">
        <v>66342</v>
      </c>
      <c r="B43962" t="s">
        <v>66343</v>
      </c>
      <c r="C43962" t="s">
        <v>47541</v>
      </c>
      <c r="D43962" t="s">
        <v>1490</v>
      </c>
      <c r="E43962" t="s">
        <v>15</v>
      </c>
      <c r="F43962" s="2" t="str">
        <f>HYPERLINK("http://www.otzar.org/book.asp?108141","תולדות אדם וחוה &lt;דפו""ר&gt;")</f>
        <v>תולדות אדם וחוה &lt;דפו"ר&gt;</v>
      </c>
    </row>
    <row r="43963" spans="1:6" x14ac:dyDescent="0.2">
      <c r="A43963" t="s">
        <v>66344</v>
      </c>
      <c r="B43963" t="s">
        <v>66343</v>
      </c>
      <c r="C43963" t="s">
        <v>2970</v>
      </c>
      <c r="D43963" t="s">
        <v>19789</v>
      </c>
      <c r="E43963" t="s">
        <v>15</v>
      </c>
      <c r="F43963" s="2" t="str">
        <f>HYPERLINK("http://www.otzar.org/book.asp?101833","תולדות אדם וחוה - 4 כר'")</f>
        <v>תולדות אדם וחוה - 4 כר'</v>
      </c>
    </row>
    <row r="43964" spans="1:6" x14ac:dyDescent="0.2">
      <c r="A43964" t="s">
        <v>66345</v>
      </c>
      <c r="B43964" t="s">
        <v>66346</v>
      </c>
      <c r="C43964" t="s">
        <v>442</v>
      </c>
      <c r="D43964" t="s">
        <v>27</v>
      </c>
      <c r="E43964" t="s">
        <v>119</v>
      </c>
      <c r="F43964" s="2" t="str">
        <f>HYPERLINK("http://www.otzar.org/book.asp?20422","תולדות אדם")</f>
        <v>תולדות אדם</v>
      </c>
    </row>
    <row r="43965" spans="1:6" x14ac:dyDescent="0.2">
      <c r="A43965" t="s">
        <v>66345</v>
      </c>
      <c r="B43965" t="s">
        <v>8620</v>
      </c>
      <c r="C43965" t="s">
        <v>5163</v>
      </c>
      <c r="D43965" t="s">
        <v>27</v>
      </c>
      <c r="F43965" s="2" t="str">
        <f>HYPERLINK("http://www.otzar.org/book.asp?170247","תולדות אדם")</f>
        <v>תולדות אדם</v>
      </c>
    </row>
    <row r="43966" spans="1:6" x14ac:dyDescent="0.2">
      <c r="A43966" t="s">
        <v>66345</v>
      </c>
      <c r="B43966" t="s">
        <v>14571</v>
      </c>
      <c r="C43966" t="s">
        <v>20</v>
      </c>
      <c r="D43966" t="s">
        <v>729</v>
      </c>
      <c r="F43966" s="2" t="str">
        <f>HYPERLINK("http://www.otzar.org/book.asp?164718","תולדות אדם")</f>
        <v>תולדות אדם</v>
      </c>
    </row>
    <row r="43967" spans="1:6" x14ac:dyDescent="0.2">
      <c r="A43967" t="s">
        <v>66345</v>
      </c>
      <c r="B43967" t="s">
        <v>3759</v>
      </c>
      <c r="C43967" t="s">
        <v>558</v>
      </c>
      <c r="D43967" t="s">
        <v>267</v>
      </c>
      <c r="E43967" t="s">
        <v>119</v>
      </c>
      <c r="F43967" s="2" t="str">
        <f>HYPERLINK("http://www.otzar.org/book.asp?105807","תולדות אדם")</f>
        <v>תולדות אדם</v>
      </c>
    </row>
    <row r="43968" spans="1:6" x14ac:dyDescent="0.2">
      <c r="A43968" t="s">
        <v>66345</v>
      </c>
      <c r="B43968" t="s">
        <v>1552</v>
      </c>
      <c r="C43968" t="s">
        <v>5160</v>
      </c>
      <c r="D43968" t="s">
        <v>4349</v>
      </c>
      <c r="E43968" t="s">
        <v>144</v>
      </c>
      <c r="F43968" s="2" t="str">
        <f>HYPERLINK("http://www.otzar.org/book.asp?172687","תולדות אדם")</f>
        <v>תולדות אדם</v>
      </c>
    </row>
    <row r="43969" spans="1:6" x14ac:dyDescent="0.2">
      <c r="A43969" t="s">
        <v>66347</v>
      </c>
      <c r="B43969" t="s">
        <v>265</v>
      </c>
      <c r="C43969" t="s">
        <v>266</v>
      </c>
      <c r="D43969" t="s">
        <v>60</v>
      </c>
      <c r="E43969" t="s">
        <v>15</v>
      </c>
      <c r="F43969" s="2" t="str">
        <f>HYPERLINK("http://www.otzar.org/book.asp?143621","תולדות אדם - 2 כר'")</f>
        <v>תולדות אדם - 2 כר'</v>
      </c>
    </row>
    <row r="43970" spans="1:6" x14ac:dyDescent="0.2">
      <c r="A43970" t="s">
        <v>66345</v>
      </c>
      <c r="B43970" t="s">
        <v>66348</v>
      </c>
      <c r="C43970" t="s">
        <v>19846</v>
      </c>
      <c r="D43970" t="s">
        <v>60</v>
      </c>
      <c r="F43970" s="2" t="str">
        <f>HYPERLINK("http://www.otzar.org/book.asp?170344","תולדות אדם")</f>
        <v>תולדות אדם</v>
      </c>
    </row>
    <row r="43971" spans="1:6" x14ac:dyDescent="0.2">
      <c r="A43971" t="s">
        <v>66345</v>
      </c>
      <c r="B43971" t="s">
        <v>66349</v>
      </c>
      <c r="C43971" t="s">
        <v>22961</v>
      </c>
      <c r="D43971" t="s">
        <v>6042</v>
      </c>
      <c r="E43971" t="s">
        <v>104</v>
      </c>
      <c r="F43971" s="2" t="str">
        <f>HYPERLINK("http://www.otzar.org/book.asp?181167","תולדות אדם")</f>
        <v>תולדות אדם</v>
      </c>
    </row>
    <row r="43972" spans="1:6" x14ac:dyDescent="0.2">
      <c r="A43972" t="s">
        <v>66345</v>
      </c>
      <c r="B43972" t="s">
        <v>66350</v>
      </c>
      <c r="C43972" t="s">
        <v>752</v>
      </c>
      <c r="D43972" t="s">
        <v>1279</v>
      </c>
      <c r="E43972" t="s">
        <v>1438</v>
      </c>
      <c r="F43972" s="2" t="str">
        <f>HYPERLINK("http://www.otzar.org/book.asp?9911","תולדות אדם")</f>
        <v>תולדות אדם</v>
      </c>
    </row>
    <row r="43973" spans="1:6" x14ac:dyDescent="0.2">
      <c r="A43973" t="s">
        <v>66351</v>
      </c>
      <c r="B43973" t="s">
        <v>7334</v>
      </c>
      <c r="C43973" t="s">
        <v>13</v>
      </c>
      <c r="D43973" t="s">
        <v>139</v>
      </c>
      <c r="E43973" t="s">
        <v>399</v>
      </c>
      <c r="F43973" s="2" t="str">
        <f>HYPERLINK("http://www.otzar.org/book.asp?180265","תולדות אהרן ומשה &lt;מהדורת עלי עין&gt;")</f>
        <v>תולדות אהרן ומשה &lt;מהדורת עלי עין&gt;</v>
      </c>
    </row>
    <row r="43974" spans="1:6" x14ac:dyDescent="0.2">
      <c r="A43974" t="s">
        <v>66352</v>
      </c>
      <c r="B43974" t="s">
        <v>7334</v>
      </c>
      <c r="C43974" t="s">
        <v>600</v>
      </c>
      <c r="D43974" t="s">
        <v>27</v>
      </c>
      <c r="E43974" t="s">
        <v>399</v>
      </c>
      <c r="F43974" s="2" t="str">
        <f>HYPERLINK("http://www.otzar.org/book.asp?24888","תולדות אהרן ומשה")</f>
        <v>תולדות אהרן ומשה</v>
      </c>
    </row>
    <row r="43975" spans="1:6" x14ac:dyDescent="0.2">
      <c r="A43975" t="s">
        <v>66353</v>
      </c>
      <c r="B43975" t="s">
        <v>66354</v>
      </c>
      <c r="C43975" t="s">
        <v>313</v>
      </c>
      <c r="D43975" t="s">
        <v>14</v>
      </c>
      <c r="E43975" t="s">
        <v>2862</v>
      </c>
      <c r="F43975" s="2" t="str">
        <f>HYPERLINK("http://www.otzar.org/book.asp?108336","תולדות אהרן משה")</f>
        <v>תולדות אהרן משה</v>
      </c>
    </row>
    <row r="43976" spans="1:6" x14ac:dyDescent="0.2">
      <c r="A43976" t="s">
        <v>66355</v>
      </c>
      <c r="B43976" t="s">
        <v>66356</v>
      </c>
      <c r="C43976" t="s">
        <v>1515</v>
      </c>
      <c r="D43976" t="s">
        <v>4269</v>
      </c>
      <c r="E43976" t="s">
        <v>1185</v>
      </c>
      <c r="F43976" s="2" t="str">
        <f>HYPERLINK("http://www.otzar.org/book.asp?105833","תולדות אהרן - 2 כר'")</f>
        <v>תולדות אהרן - 2 כר'</v>
      </c>
    </row>
    <row r="43977" spans="1:6" x14ac:dyDescent="0.2">
      <c r="A43977" t="s">
        <v>66355</v>
      </c>
      <c r="B43977" t="s">
        <v>3168</v>
      </c>
      <c r="C43977" t="s">
        <v>383</v>
      </c>
      <c r="D43977" t="s">
        <v>14</v>
      </c>
      <c r="E43977" t="s">
        <v>119</v>
      </c>
      <c r="F43977" s="2" t="str">
        <f>HYPERLINK("http://www.otzar.org/book.asp?159574","תולדות אהרן - 2 כר'")</f>
        <v>תולדות אהרן - 2 כר'</v>
      </c>
    </row>
    <row r="43978" spans="1:6" x14ac:dyDescent="0.2">
      <c r="A43978" t="s">
        <v>66357</v>
      </c>
      <c r="B43978" t="s">
        <v>66358</v>
      </c>
      <c r="C43978" t="s">
        <v>5823</v>
      </c>
      <c r="D43978" t="s">
        <v>27</v>
      </c>
      <c r="E43978" t="s">
        <v>84</v>
      </c>
      <c r="F43978" s="2" t="str">
        <f>HYPERLINK("http://www.otzar.org/book.asp?161018","תולדות אהרן")</f>
        <v>תולדות אהרן</v>
      </c>
    </row>
    <row r="43979" spans="1:6" x14ac:dyDescent="0.2">
      <c r="A43979" t="s">
        <v>66359</v>
      </c>
      <c r="B43979" t="s">
        <v>66360</v>
      </c>
      <c r="C43979" t="s">
        <v>133</v>
      </c>
      <c r="D43979" t="s">
        <v>14</v>
      </c>
      <c r="E43979" t="s">
        <v>3055</v>
      </c>
      <c r="F43979" s="2" t="str">
        <f>HYPERLINK("http://www.otzar.org/book.asp?189224","תולדות אהרן - מועדים וזמנים")</f>
        <v>תולדות אהרן - מועדים וזמנים</v>
      </c>
    </row>
    <row r="43980" spans="1:6" x14ac:dyDescent="0.2">
      <c r="A43980" t="s">
        <v>66361</v>
      </c>
      <c r="B43980" t="s">
        <v>1312</v>
      </c>
      <c r="C43980" t="s">
        <v>133</v>
      </c>
      <c r="D43980" t="s">
        <v>14</v>
      </c>
      <c r="E43980" t="s">
        <v>226</v>
      </c>
      <c r="F43980" s="2" t="str">
        <f>HYPERLINK("http://www.otzar.org/book.asp?188770","תולדות אהרן - תולדות אדמו""ר מבויאן טשערנוביץ")</f>
        <v>תולדות אהרן - תולדות אדמו"ר מבויאן טשערנוביץ</v>
      </c>
    </row>
    <row r="43981" spans="1:6" x14ac:dyDescent="0.2">
      <c r="A43981" t="s">
        <v>66362</v>
      </c>
      <c r="B43981" t="s">
        <v>39607</v>
      </c>
      <c r="C43981" t="s">
        <v>106</v>
      </c>
      <c r="D43981" t="s">
        <v>14</v>
      </c>
      <c r="E43981" t="s">
        <v>119</v>
      </c>
      <c r="F43981" s="2" t="str">
        <f>HYPERLINK("http://www.otzar.org/book.asp?142872","תולדות אור החיים")</f>
        <v>תולדות אור החיים</v>
      </c>
    </row>
    <row r="43982" spans="1:6" x14ac:dyDescent="0.2">
      <c r="A43982" t="s">
        <v>66363</v>
      </c>
      <c r="B43982" t="s">
        <v>602</v>
      </c>
      <c r="C43982" t="s">
        <v>23</v>
      </c>
      <c r="D43982" t="s">
        <v>14</v>
      </c>
      <c r="F43982" s="2" t="str">
        <f>HYPERLINK("http://www.otzar.org/book.asp?603680","תולדות אליהו &lt;מהדורה חדשה&gt;")</f>
        <v>תולדות אליהו &lt;מהדורה חדשה&gt;</v>
      </c>
    </row>
    <row r="43983" spans="1:6" x14ac:dyDescent="0.2">
      <c r="A43983" t="s">
        <v>66364</v>
      </c>
      <c r="B43983" t="s">
        <v>7075</v>
      </c>
      <c r="C43983" t="s">
        <v>1414</v>
      </c>
      <c r="D43983" t="s">
        <v>1037</v>
      </c>
      <c r="F43983" s="2" t="str">
        <f>HYPERLINK("http://www.otzar.org/book.asp?157184","תולדות אליהו התשבי")</f>
        <v>תולדות אליהו התשבי</v>
      </c>
    </row>
    <row r="43984" spans="1:6" x14ac:dyDescent="0.2">
      <c r="A43984" t="s">
        <v>66365</v>
      </c>
      <c r="B43984" t="s">
        <v>29206</v>
      </c>
      <c r="C43984" t="s">
        <v>1374</v>
      </c>
      <c r="D43984" t="s">
        <v>27</v>
      </c>
      <c r="E43984" t="s">
        <v>119</v>
      </c>
      <c r="F43984" s="2" t="str">
        <f>HYPERLINK("http://www.otzar.org/book.asp?53688","תולדות אליהו")</f>
        <v>תולדות אליהו</v>
      </c>
    </row>
    <row r="43985" spans="1:6" x14ac:dyDescent="0.2">
      <c r="A43985" t="s">
        <v>66366</v>
      </c>
      <c r="B43985" t="s">
        <v>602</v>
      </c>
      <c r="C43985" t="s">
        <v>492</v>
      </c>
      <c r="D43985" t="s">
        <v>56</v>
      </c>
      <c r="E43985" t="s">
        <v>119</v>
      </c>
      <c r="F43985" s="2" t="str">
        <f>HYPERLINK("http://www.otzar.org/book.asp?6287","תולדות אליהו - 2 כר'")</f>
        <v>תולדות אליהו - 2 כר'</v>
      </c>
    </row>
    <row r="43986" spans="1:6" x14ac:dyDescent="0.2">
      <c r="A43986" t="s">
        <v>66367</v>
      </c>
      <c r="B43986" t="s">
        <v>66368</v>
      </c>
      <c r="C43986" t="s">
        <v>68</v>
      </c>
      <c r="D43986" t="s">
        <v>14</v>
      </c>
      <c r="E43986" t="s">
        <v>202</v>
      </c>
      <c r="F43986" s="2" t="str">
        <f>HYPERLINK("http://www.otzar.org/book.asp?607054","תולדות אלעזר - א")</f>
        <v>תולדות אלעזר - א</v>
      </c>
    </row>
    <row r="43987" spans="1:6" x14ac:dyDescent="0.2">
      <c r="A43987" t="s">
        <v>66369</v>
      </c>
      <c r="B43987" t="s">
        <v>12047</v>
      </c>
      <c r="C43987" t="s">
        <v>442</v>
      </c>
      <c r="D43987" t="s">
        <v>2009</v>
      </c>
      <c r="E43987" t="s">
        <v>66370</v>
      </c>
      <c r="F43987" s="2" t="str">
        <f>HYPERLINK("http://www.otzar.org/book.asp?20420","תולדות אנשי מופת")</f>
        <v>תולדות אנשי מופת</v>
      </c>
    </row>
    <row r="43988" spans="1:6" x14ac:dyDescent="0.2">
      <c r="A43988" t="s">
        <v>66371</v>
      </c>
      <c r="B43988" t="s">
        <v>28227</v>
      </c>
      <c r="C43988" t="s">
        <v>1458</v>
      </c>
      <c r="D43988" t="s">
        <v>283</v>
      </c>
      <c r="E43988" t="s">
        <v>119</v>
      </c>
      <c r="F43988" s="2" t="str">
        <f>HYPERLINK("http://www.otzar.org/book.asp?21792","תולדות אנשי שם")</f>
        <v>תולדות אנשי שם</v>
      </c>
    </row>
    <row r="43989" spans="1:6" x14ac:dyDescent="0.2">
      <c r="A43989" t="s">
        <v>66371</v>
      </c>
      <c r="B43989" t="s">
        <v>66372</v>
      </c>
      <c r="C43989" t="s">
        <v>433</v>
      </c>
      <c r="D43989" t="s">
        <v>9</v>
      </c>
      <c r="E43989" t="s">
        <v>733</v>
      </c>
      <c r="F43989" s="2" t="str">
        <f>HYPERLINK("http://www.otzar.org/book.asp?583","תולדות אנשי שם")</f>
        <v>תולדות אנשי שם</v>
      </c>
    </row>
    <row r="43990" spans="1:6" x14ac:dyDescent="0.2">
      <c r="A43990" t="s">
        <v>66373</v>
      </c>
      <c r="B43990" t="s">
        <v>6184</v>
      </c>
      <c r="C43990" t="s">
        <v>23</v>
      </c>
      <c r="D43990" t="s">
        <v>412</v>
      </c>
      <c r="E43990" t="s">
        <v>230</v>
      </c>
      <c r="F43990" s="2" t="str">
        <f>HYPERLINK("http://www.otzar.org/book.asp?609984","תולדות אש")</f>
        <v>תולדות אש</v>
      </c>
    </row>
    <row r="43991" spans="1:6" x14ac:dyDescent="0.2">
      <c r="A43991" t="s">
        <v>66374</v>
      </c>
      <c r="B43991" t="s">
        <v>66375</v>
      </c>
      <c r="C43991" t="s">
        <v>17</v>
      </c>
      <c r="D43991" t="s">
        <v>14</v>
      </c>
      <c r="E43991" t="s">
        <v>119</v>
      </c>
      <c r="F43991" s="2" t="str">
        <f>HYPERLINK("http://www.otzar.org/book.asp?144962","תולדות בית ה' בוואלאז'ין - א-ב")</f>
        <v>תולדות בית ה' בוואלאז'ין - א-ב</v>
      </c>
    </row>
    <row r="43992" spans="1:6" x14ac:dyDescent="0.2">
      <c r="A43992" t="s">
        <v>66376</v>
      </c>
      <c r="B43992" t="s">
        <v>12062</v>
      </c>
      <c r="C43992" t="s">
        <v>39741</v>
      </c>
      <c r="D43992" t="s">
        <v>24403</v>
      </c>
      <c r="E43992" t="s">
        <v>158</v>
      </c>
      <c r="F43992" s="2" t="str">
        <f>HYPERLINK("http://www.otzar.org/book.asp?103243","תולדות בית יוסף - 2 כר'")</f>
        <v>תולדות בית יוסף - 2 כר'</v>
      </c>
    </row>
    <row r="43993" spans="1:6" x14ac:dyDescent="0.2">
      <c r="A43993" t="s">
        <v>66377</v>
      </c>
      <c r="B43993" t="s">
        <v>66378</v>
      </c>
      <c r="C43993" t="s">
        <v>71</v>
      </c>
      <c r="D43993" t="s">
        <v>412</v>
      </c>
      <c r="E43993" t="s">
        <v>226</v>
      </c>
      <c r="F43993" s="2" t="str">
        <f>HYPERLINK("http://www.otzar.org/book.asp?199991","תולדות בית נפתלי")</f>
        <v>תולדות בית נפתלי</v>
      </c>
    </row>
    <row r="43994" spans="1:6" x14ac:dyDescent="0.2">
      <c r="A43994" t="s">
        <v>66379</v>
      </c>
      <c r="B43994" t="s">
        <v>66379</v>
      </c>
      <c r="C43994" t="s">
        <v>492</v>
      </c>
      <c r="D43994" t="s">
        <v>352</v>
      </c>
      <c r="E43994" t="s">
        <v>119</v>
      </c>
      <c r="F43994" s="2" t="str">
        <f>HYPERLINK("http://www.otzar.org/book.asp?107126","תולדות בני יהונתן")</f>
        <v>תולדות בני יהונתן</v>
      </c>
    </row>
    <row r="43995" spans="1:6" x14ac:dyDescent="0.2">
      <c r="A43995" t="s">
        <v>66380</v>
      </c>
      <c r="B43995" t="s">
        <v>66381</v>
      </c>
      <c r="C43995" t="s">
        <v>362</v>
      </c>
      <c r="D43995" t="s">
        <v>1117</v>
      </c>
      <c r="E43995" t="s">
        <v>119</v>
      </c>
      <c r="F43995" s="2" t="str">
        <f>HYPERLINK("http://www.otzar.org/book.asp?188731","תולדות בני ישראל (באיטליה)")</f>
        <v>תולדות בני ישראל (באיטליה)</v>
      </c>
    </row>
    <row r="43996" spans="1:6" x14ac:dyDescent="0.2">
      <c r="A43996" t="s">
        <v>66382</v>
      </c>
      <c r="B43996" t="s">
        <v>66383</v>
      </c>
      <c r="C43996" t="s">
        <v>547</v>
      </c>
      <c r="D43996" t="s">
        <v>379</v>
      </c>
      <c r="E43996" t="s">
        <v>119</v>
      </c>
      <c r="F43996" s="2" t="str">
        <f>HYPERLINK("http://www.otzar.org/book.asp?144625","תולדות בנימין")</f>
        <v>תולדות בנימין</v>
      </c>
    </row>
    <row r="43997" spans="1:6" x14ac:dyDescent="0.2">
      <c r="A43997" t="s">
        <v>66384</v>
      </c>
      <c r="B43997" t="s">
        <v>3554</v>
      </c>
      <c r="C43997" t="s">
        <v>767</v>
      </c>
      <c r="D43997" t="s">
        <v>14</v>
      </c>
      <c r="E43997" t="s">
        <v>119</v>
      </c>
      <c r="F43997" s="2" t="str">
        <f>HYPERLINK("http://www.otzar.org/book.asp?170664","תולדות בעל ויחי יוסף מפאפא - 2 כר'")</f>
        <v>תולדות בעל ויחי יוסף מפאפא - 2 כר'</v>
      </c>
    </row>
    <row r="43998" spans="1:6" x14ac:dyDescent="0.2">
      <c r="A43998" t="s">
        <v>66385</v>
      </c>
      <c r="B43998" t="s">
        <v>66386</v>
      </c>
      <c r="C43998" t="s">
        <v>1706</v>
      </c>
      <c r="D43998" t="s">
        <v>5209</v>
      </c>
      <c r="E43998" t="s">
        <v>4333</v>
      </c>
      <c r="F43998" s="2" t="str">
        <f>HYPERLINK("http://www.otzar.org/book.asp?143531","תולדות בצלאל")</f>
        <v>תולדות בצלאל</v>
      </c>
    </row>
    <row r="43999" spans="1:6" x14ac:dyDescent="0.2">
      <c r="A43999" t="s">
        <v>66387</v>
      </c>
      <c r="B43999" t="s">
        <v>51236</v>
      </c>
      <c r="C43999" t="s">
        <v>360</v>
      </c>
      <c r="D43999" t="s">
        <v>8463</v>
      </c>
      <c r="E43999" t="s">
        <v>119</v>
      </c>
      <c r="F43999" s="2" t="str">
        <f>HYPERLINK("http://www.otzar.org/book.asp?23758","תולדות גאוני הגר")</f>
        <v>תולדות גאוני הגר</v>
      </c>
    </row>
    <row r="44000" spans="1:6" x14ac:dyDescent="0.2">
      <c r="A44000" t="s">
        <v>66388</v>
      </c>
      <c r="B44000" t="s">
        <v>4975</v>
      </c>
      <c r="C44000" t="s">
        <v>462</v>
      </c>
      <c r="D44000" t="s">
        <v>756</v>
      </c>
      <c r="E44000" t="s">
        <v>119</v>
      </c>
      <c r="F44000" s="2" t="str">
        <f>HYPERLINK("http://www.otzar.org/book.asp?142479","תולדות גדולי הדור &lt;בית יהונתן&gt;")</f>
        <v>תולדות גדולי הדור &lt;בית יהונתן&gt;</v>
      </c>
    </row>
    <row r="44001" spans="1:6" x14ac:dyDescent="0.2">
      <c r="A44001" t="s">
        <v>66389</v>
      </c>
      <c r="B44001" t="s">
        <v>13922</v>
      </c>
      <c r="C44001" t="s">
        <v>533</v>
      </c>
      <c r="D44001" t="s">
        <v>14</v>
      </c>
      <c r="E44001" t="s">
        <v>119</v>
      </c>
      <c r="F44001" s="2" t="str">
        <f>HYPERLINK("http://www.otzar.org/book.asp?105765","תולדות גדולי הוראה - 2 כר'")</f>
        <v>תולדות גדולי הוראה - 2 כר'</v>
      </c>
    </row>
    <row r="44002" spans="1:6" x14ac:dyDescent="0.2">
      <c r="A44002" t="s">
        <v>66390</v>
      </c>
      <c r="B44002" t="s">
        <v>66391</v>
      </c>
      <c r="C44002" t="s">
        <v>843</v>
      </c>
      <c r="D44002" t="s">
        <v>66392</v>
      </c>
      <c r="F44002" s="2" t="str">
        <f>HYPERLINK("http://www.otzar.org/book.asp?620112","תולדות גדולי ירושלים - 2 כר'")</f>
        <v>תולדות גדולי ירושלים - 2 כר'</v>
      </c>
    </row>
    <row r="44003" spans="1:6" x14ac:dyDescent="0.2">
      <c r="A44003" t="s">
        <v>66393</v>
      </c>
      <c r="B44003" t="s">
        <v>12047</v>
      </c>
      <c r="C44003" t="s">
        <v>2008</v>
      </c>
      <c r="D44003" t="s">
        <v>9224</v>
      </c>
      <c r="E44003" t="s">
        <v>119</v>
      </c>
      <c r="F44003" s="2" t="str">
        <f>HYPERLINK("http://www.otzar.org/book.asp?141089","תולדות גדולי ישראל אנשי ש""ם")</f>
        <v>תולדות גדולי ישראל אנשי ש"ם</v>
      </c>
    </row>
    <row r="44004" spans="1:6" x14ac:dyDescent="0.2">
      <c r="A44004" t="s">
        <v>66394</v>
      </c>
      <c r="B44004" t="s">
        <v>66395</v>
      </c>
      <c r="C44004" t="s">
        <v>3246</v>
      </c>
      <c r="D44004" t="s">
        <v>322</v>
      </c>
      <c r="E44004" t="s">
        <v>733</v>
      </c>
      <c r="F44004" s="2" t="str">
        <f>HYPERLINK("http://www.otzar.org/book.asp?105185","תולדות גדולי ישראל באיטליה - מפתח וקטלוג")</f>
        <v>תולדות גדולי ישראל באיטליה - מפתח וקטלוג</v>
      </c>
    </row>
    <row r="44005" spans="1:6" x14ac:dyDescent="0.2">
      <c r="A44005" t="s">
        <v>66396</v>
      </c>
      <c r="B44005" t="s">
        <v>66397</v>
      </c>
      <c r="C44005" t="s">
        <v>291</v>
      </c>
      <c r="D44005" t="s">
        <v>66398</v>
      </c>
      <c r="E44005" t="s">
        <v>119</v>
      </c>
      <c r="F44005" s="2" t="str">
        <f>HYPERLINK("http://www.otzar.org/book.asp?26428","תולדות גדולי ישראל וגאוני איטליאה")</f>
        <v>תולדות גדולי ישראל וגאוני איטליאה</v>
      </c>
    </row>
    <row r="44006" spans="1:6" x14ac:dyDescent="0.2">
      <c r="A44006" t="s">
        <v>66399</v>
      </c>
      <c r="B44006" t="s">
        <v>66400</v>
      </c>
      <c r="C44006" t="s">
        <v>2644</v>
      </c>
      <c r="D44006" t="s">
        <v>379</v>
      </c>
      <c r="E44006" t="s">
        <v>119</v>
      </c>
      <c r="F44006" s="2" t="str">
        <f>HYPERLINK("http://www.otzar.org/book.asp?151860","תולדות גדולי ישראל")</f>
        <v>תולדות גדולי ישראל</v>
      </c>
    </row>
    <row r="44007" spans="1:6" x14ac:dyDescent="0.2">
      <c r="A44007" t="s">
        <v>66399</v>
      </c>
      <c r="B44007" t="s">
        <v>34915</v>
      </c>
      <c r="C44007" t="s">
        <v>1737</v>
      </c>
      <c r="D44007" t="s">
        <v>1516</v>
      </c>
      <c r="E44007" t="s">
        <v>119</v>
      </c>
      <c r="F44007" s="2" t="str">
        <f>HYPERLINK("http://www.otzar.org/book.asp?20418","תולדות גדולי ישראל")</f>
        <v>תולדות גדולי ישראל</v>
      </c>
    </row>
    <row r="44008" spans="1:6" x14ac:dyDescent="0.2">
      <c r="A44008" t="s">
        <v>66401</v>
      </c>
      <c r="B44008" t="s">
        <v>1733</v>
      </c>
      <c r="C44008" t="s">
        <v>956</v>
      </c>
      <c r="D44008" t="s">
        <v>14</v>
      </c>
      <c r="E44008" t="s">
        <v>119</v>
      </c>
      <c r="F44008" s="2" t="str">
        <f>HYPERLINK("http://www.otzar.org/book.asp?163122","תולדות גדולי ישראל - 2 כר'")</f>
        <v>תולדות גדולי ישראל - 2 כר'</v>
      </c>
    </row>
    <row r="44009" spans="1:6" x14ac:dyDescent="0.2">
      <c r="A44009" t="s">
        <v>66399</v>
      </c>
      <c r="B44009" t="s">
        <v>66402</v>
      </c>
      <c r="C44009" t="s">
        <v>985</v>
      </c>
      <c r="D44009" t="s">
        <v>27</v>
      </c>
      <c r="E44009" t="s">
        <v>119</v>
      </c>
      <c r="F44009" s="2" t="str">
        <f>HYPERLINK("http://www.otzar.org/book.asp?108410","תולדות גדולי ישראל")</f>
        <v>תולדות גדולי ישראל</v>
      </c>
    </row>
    <row r="44010" spans="1:6" x14ac:dyDescent="0.2">
      <c r="A44010" t="s">
        <v>66403</v>
      </c>
      <c r="B44010" t="s">
        <v>107</v>
      </c>
      <c r="C44010" t="s">
        <v>313</v>
      </c>
      <c r="D44010" t="s">
        <v>14</v>
      </c>
      <c r="E44010" t="s">
        <v>119</v>
      </c>
      <c r="F44010" s="2" t="str">
        <f>HYPERLINK("http://www.otzar.org/book.asp?84489","תולדות האדם")</f>
        <v>תולדות האדם</v>
      </c>
    </row>
    <row r="44011" spans="1:6" x14ac:dyDescent="0.2">
      <c r="A44011" t="s">
        <v>66404</v>
      </c>
      <c r="B44011" t="s">
        <v>66405</v>
      </c>
      <c r="C44011" t="s">
        <v>1062</v>
      </c>
      <c r="D44011" t="s">
        <v>216</v>
      </c>
      <c r="F44011" s="2" t="str">
        <f>HYPERLINK("http://www.otzar.org/book.asp?608994","תולדות האנוסים")</f>
        <v>תולדות האנוסים</v>
      </c>
    </row>
    <row r="44012" spans="1:6" x14ac:dyDescent="0.2">
      <c r="A44012" t="s">
        <v>66406</v>
      </c>
      <c r="B44012" t="s">
        <v>66407</v>
      </c>
      <c r="C44012" t="s">
        <v>1570</v>
      </c>
      <c r="D44012" t="s">
        <v>14</v>
      </c>
      <c r="E44012" t="s">
        <v>119</v>
      </c>
      <c r="F44012" s="2" t="str">
        <f>HYPERLINK("http://www.otzar.org/book.asp?151972","תולדות האר""י הקדוש")</f>
        <v>תולדות האר"י הקדוש</v>
      </c>
    </row>
    <row r="44013" spans="1:6" x14ac:dyDescent="0.2">
      <c r="A44013" t="s">
        <v>66408</v>
      </c>
      <c r="B44013" t="s">
        <v>20118</v>
      </c>
      <c r="C44013" t="s">
        <v>66409</v>
      </c>
      <c r="D44013" t="s">
        <v>283</v>
      </c>
      <c r="E44013" t="s">
        <v>104</v>
      </c>
      <c r="F44013" s="2" t="str">
        <f>HYPERLINK("http://www.otzar.org/book.asp?168775","תולדות הארץ - 3 כר'")</f>
        <v>תולדות הארץ - 3 כר'</v>
      </c>
    </row>
    <row r="44014" spans="1:6" x14ac:dyDescent="0.2">
      <c r="A44014" t="s">
        <v>66410</v>
      </c>
      <c r="B44014" t="s">
        <v>552</v>
      </c>
      <c r="C44014" t="s">
        <v>146</v>
      </c>
      <c r="D44014" t="s">
        <v>14</v>
      </c>
      <c r="E44014" t="s">
        <v>186</v>
      </c>
      <c r="F44014" s="2" t="str">
        <f>HYPERLINK("http://www.otzar.org/book.asp?52916","תולדות האש")</f>
        <v>תולדות האש</v>
      </c>
    </row>
    <row r="44015" spans="1:6" x14ac:dyDescent="0.2">
      <c r="A44015" t="s">
        <v>66411</v>
      </c>
      <c r="B44015" t="s">
        <v>60199</v>
      </c>
      <c r="C44015" t="s">
        <v>492</v>
      </c>
      <c r="D44015" t="s">
        <v>2181</v>
      </c>
      <c r="E44015" t="s">
        <v>119</v>
      </c>
      <c r="F44015" s="2" t="str">
        <f>HYPERLINK("http://www.otzar.org/book.asp?28347","תולדות הג' ר' יהודה מוסקאטו")</f>
        <v>תולדות הג' ר' יהודה מוסקאטו</v>
      </c>
    </row>
    <row r="44016" spans="1:6" x14ac:dyDescent="0.2">
      <c r="A44016" t="s">
        <v>66412</v>
      </c>
      <c r="B44016" t="s">
        <v>66413</v>
      </c>
      <c r="C44016" t="s">
        <v>2870</v>
      </c>
      <c r="D44016" t="s">
        <v>1913</v>
      </c>
      <c r="E44016" t="s">
        <v>119</v>
      </c>
      <c r="F44016" s="2" t="str">
        <f>HYPERLINK("http://www.otzar.org/book.asp?188746","תולדות הגאון הצדיק מרן ר' מרדכי וויצעל")</f>
        <v>תולדות הגאון הצדיק מרן ר' מרדכי וויצעל</v>
      </c>
    </row>
    <row r="44017" spans="1:6" x14ac:dyDescent="0.2">
      <c r="A44017" t="s">
        <v>66414</v>
      </c>
      <c r="B44017" t="s">
        <v>66415</v>
      </c>
      <c r="C44017" t="s">
        <v>649</v>
      </c>
      <c r="D44017" t="s">
        <v>974</v>
      </c>
      <c r="E44017" t="s">
        <v>119</v>
      </c>
      <c r="F44017" s="2" t="str">
        <f>HYPERLINK("http://www.otzar.org/book.asp?188753","תולדות הגאון ר' דוד אופנהיימער זצ""ל")</f>
        <v>תולדות הגאון ר' דוד אופנהיימער זצ"ל</v>
      </c>
    </row>
    <row r="44018" spans="1:6" x14ac:dyDescent="0.2">
      <c r="A44018" t="s">
        <v>66416</v>
      </c>
      <c r="B44018" t="s">
        <v>66417</v>
      </c>
      <c r="C44018" t="s">
        <v>812</v>
      </c>
      <c r="D44018" t="s">
        <v>1008</v>
      </c>
      <c r="E44018" t="s">
        <v>119</v>
      </c>
      <c r="F44018" s="2" t="str">
        <f>HYPERLINK("http://www.otzar.org/book.asp?188572","תולדות הגאון ר' דוד לידא זללה""ה")</f>
        <v>תולדות הגאון ר' דוד לידא זללה"ה</v>
      </c>
    </row>
    <row r="44019" spans="1:6" x14ac:dyDescent="0.2">
      <c r="A44019" t="s">
        <v>66418</v>
      </c>
      <c r="B44019" t="s">
        <v>39674</v>
      </c>
      <c r="C44019" t="s">
        <v>854</v>
      </c>
      <c r="D44019" t="s">
        <v>283</v>
      </c>
      <c r="E44019" t="s">
        <v>226</v>
      </c>
      <c r="F44019" s="2" t="str">
        <f>HYPERLINK("http://www.otzar.org/book.asp?167517","תולדות הגאון ר' חיים יהודה ליב")</f>
        <v>תולדות הגאון ר' חיים יהודה ליב</v>
      </c>
    </row>
    <row r="44020" spans="1:6" x14ac:dyDescent="0.2">
      <c r="A44020" t="s">
        <v>66419</v>
      </c>
      <c r="B44020" t="s">
        <v>7077</v>
      </c>
      <c r="C44020" t="s">
        <v>466</v>
      </c>
      <c r="D44020" t="s">
        <v>21</v>
      </c>
      <c r="F44020" s="2" t="str">
        <f>HYPERLINK("http://www.otzar.org/book.asp?622590","תולדות הגדול בדורו")</f>
        <v>תולדות הגדול בדורו</v>
      </c>
    </row>
    <row r="44021" spans="1:6" x14ac:dyDescent="0.2">
      <c r="A44021" t="s">
        <v>66420</v>
      </c>
      <c r="B44021" t="s">
        <v>107</v>
      </c>
      <c r="C44021" t="s">
        <v>313</v>
      </c>
      <c r="D44021" t="s">
        <v>14</v>
      </c>
      <c r="E44021" t="s">
        <v>119</v>
      </c>
      <c r="F44021" s="2" t="str">
        <f>HYPERLINK("http://www.otzar.org/book.asp?6371","תולדות הגה""צ ר' שמשון רפאל הירש זצ""ל")</f>
        <v>תולדות הגה"צ ר' שמשון רפאל הירש זצ"ל</v>
      </c>
    </row>
    <row r="44022" spans="1:6" x14ac:dyDescent="0.2">
      <c r="A44022" t="s">
        <v>66421</v>
      </c>
      <c r="B44022" t="s">
        <v>12124</v>
      </c>
      <c r="C44022" t="s">
        <v>438</v>
      </c>
      <c r="D44022" t="s">
        <v>139</v>
      </c>
      <c r="E44022" t="s">
        <v>119</v>
      </c>
      <c r="F44022" s="2" t="str">
        <f>HYPERLINK("http://www.otzar.org/book.asp?143429","תולדות הדפוס בצפת")</f>
        <v>תולדות הדפוס בצפת</v>
      </c>
    </row>
    <row r="44023" spans="1:6" x14ac:dyDescent="0.2">
      <c r="A44023" t="s">
        <v>66422</v>
      </c>
      <c r="B44023" t="s">
        <v>10458</v>
      </c>
      <c r="C44023" t="s">
        <v>224</v>
      </c>
      <c r="D44023" t="s">
        <v>66423</v>
      </c>
      <c r="E44023" t="s">
        <v>119</v>
      </c>
      <c r="F44023" s="2" t="str">
        <f>HYPERLINK("http://www.otzar.org/book.asp?175411","תולדות הדפוס העברי באירופה א")</f>
        <v>תולדות הדפוס העברי באירופה א</v>
      </c>
    </row>
    <row r="44024" spans="1:6" x14ac:dyDescent="0.2">
      <c r="A44024" t="s">
        <v>66424</v>
      </c>
      <c r="B44024" t="s">
        <v>10458</v>
      </c>
      <c r="C44024" t="s">
        <v>576</v>
      </c>
      <c r="D44024" t="s">
        <v>66423</v>
      </c>
      <c r="E44024" t="s">
        <v>119</v>
      </c>
      <c r="F44024" s="2" t="str">
        <f>HYPERLINK("http://www.otzar.org/book.asp?175410","תולדות הדפוס העברי באירופה ב")</f>
        <v>תולדות הדפוס העברי באירופה ב</v>
      </c>
    </row>
    <row r="44025" spans="1:6" x14ac:dyDescent="0.2">
      <c r="A44025" t="s">
        <v>66425</v>
      </c>
      <c r="B44025" t="s">
        <v>10458</v>
      </c>
      <c r="C44025" t="s">
        <v>1954</v>
      </c>
      <c r="D44025" t="s">
        <v>260</v>
      </c>
      <c r="E44025" t="s">
        <v>733</v>
      </c>
      <c r="F44025" s="2" t="str">
        <f>HYPERLINK("http://www.otzar.org/book.asp?20415","תולדות הדפוס העברי במדינות איטליה")</f>
        <v>תולדות הדפוס העברי במדינות איטליה</v>
      </c>
    </row>
    <row r="44026" spans="1:6" x14ac:dyDescent="0.2">
      <c r="A44026" t="s">
        <v>66426</v>
      </c>
      <c r="B44026" t="s">
        <v>10458</v>
      </c>
      <c r="C44026" t="s">
        <v>433</v>
      </c>
      <c r="D44026" t="s">
        <v>260</v>
      </c>
      <c r="E44026" t="s">
        <v>733</v>
      </c>
      <c r="F44026" s="2" t="str">
        <f>HYPERLINK("http://www.otzar.org/book.asp?20416","תולדות הדפוס העברי בפולניה")</f>
        <v>תולדות הדפוס העברי בפולניה</v>
      </c>
    </row>
    <row r="44027" spans="1:6" x14ac:dyDescent="0.2">
      <c r="A44027" t="s">
        <v>66427</v>
      </c>
      <c r="B44027" t="s">
        <v>66428</v>
      </c>
      <c r="C44027" t="s">
        <v>466</v>
      </c>
      <c r="D44027" t="s">
        <v>14</v>
      </c>
      <c r="E44027" t="s">
        <v>119</v>
      </c>
      <c r="F44027" s="2" t="str">
        <f>HYPERLINK("http://www.otzar.org/book.asp?83808","תולדות החבי""ף &lt;רבי חיים פאלאג'י&gt;")</f>
        <v>תולדות החבי"ף &lt;רבי חיים פאלאג'י&gt;</v>
      </c>
    </row>
    <row r="44028" spans="1:6" x14ac:dyDescent="0.2">
      <c r="A44028" t="s">
        <v>66429</v>
      </c>
      <c r="B44028" t="s">
        <v>3554</v>
      </c>
      <c r="C44028" t="s">
        <v>1160</v>
      </c>
      <c r="D44028" t="s">
        <v>52</v>
      </c>
      <c r="E44028" t="s">
        <v>119</v>
      </c>
      <c r="F44028" s="2" t="str">
        <f>HYPERLINK("http://www.otzar.org/book.asp?143521","תולדות החינוך התורתי")</f>
        <v>תולדות החינוך התורתי</v>
      </c>
    </row>
    <row r="44029" spans="1:6" x14ac:dyDescent="0.2">
      <c r="A44029" t="s">
        <v>66430</v>
      </c>
      <c r="B44029" t="s">
        <v>66431</v>
      </c>
      <c r="C44029" t="s">
        <v>362</v>
      </c>
      <c r="D44029" t="s">
        <v>283</v>
      </c>
      <c r="E44029" t="s">
        <v>119</v>
      </c>
      <c r="F44029" s="2" t="str">
        <f>HYPERLINK("http://www.otzar.org/book.asp?166810","תולדות החכם השלם ר' שאול הלוי מורטירא")</f>
        <v>תולדות החכם השלם ר' שאול הלוי מורטירא</v>
      </c>
    </row>
    <row r="44030" spans="1:6" x14ac:dyDescent="0.2">
      <c r="A44030" t="s">
        <v>66432</v>
      </c>
      <c r="B44030" t="s">
        <v>15767</v>
      </c>
      <c r="C44030" t="s">
        <v>433</v>
      </c>
      <c r="D44030" t="s">
        <v>216</v>
      </c>
      <c r="E44030" t="s">
        <v>140</v>
      </c>
      <c r="F44030" s="2" t="str">
        <f>HYPERLINK("http://www.otzar.org/book.asp?148168","תולדות החסידות ותורתה - א")</f>
        <v>תולדות החסידות ותורתה - א</v>
      </c>
    </row>
    <row r="44031" spans="1:6" x14ac:dyDescent="0.2">
      <c r="A44031" t="s">
        <v>66433</v>
      </c>
      <c r="B44031" t="s">
        <v>20432</v>
      </c>
      <c r="C44031" t="s">
        <v>66434</v>
      </c>
      <c r="D44031" t="s">
        <v>1654</v>
      </c>
      <c r="F44031" s="2" t="str">
        <f>HYPERLINK("http://www.otzar.org/book.asp?612628","תולדות החסידות")</f>
        <v>תולדות החסידות</v>
      </c>
    </row>
    <row r="44032" spans="1:6" x14ac:dyDescent="0.2">
      <c r="A44032" t="s">
        <v>66435</v>
      </c>
      <c r="B44032" t="s">
        <v>66436</v>
      </c>
      <c r="C44032" t="s">
        <v>3690</v>
      </c>
      <c r="D44032" t="s">
        <v>1117</v>
      </c>
      <c r="E44032" t="s">
        <v>119</v>
      </c>
      <c r="F44032" s="2" t="str">
        <f>HYPERLINK("http://www.otzar.org/book.asp?188747","תולדות החסידים &lt;צוואת רבי יהודה החסיד עם פירוש דמשק אליעזר&gt;")</f>
        <v>תולדות החסידים &lt;צוואת רבי יהודה החסיד עם פירוש דמשק אליעזר&gt;</v>
      </c>
    </row>
    <row r="44033" spans="1:6" x14ac:dyDescent="0.2">
      <c r="A44033" t="s">
        <v>66437</v>
      </c>
      <c r="B44033" t="s">
        <v>107</v>
      </c>
      <c r="C44033" t="s">
        <v>466</v>
      </c>
      <c r="D44033" t="s">
        <v>14</v>
      </c>
      <c r="E44033" t="s">
        <v>119</v>
      </c>
      <c r="F44033" s="2" t="str">
        <f>HYPERLINK("http://www.otzar.org/book.asp?6295","תולדות החתם סופר ותקופתו")</f>
        <v>תולדות החתם סופר ותקופתו</v>
      </c>
    </row>
    <row r="44034" spans="1:6" x14ac:dyDescent="0.2">
      <c r="A44034" t="s">
        <v>66438</v>
      </c>
      <c r="B44034" t="s">
        <v>66439</v>
      </c>
      <c r="C44034" t="s">
        <v>854</v>
      </c>
      <c r="D44034" t="s">
        <v>283</v>
      </c>
      <c r="E44034" t="s">
        <v>119</v>
      </c>
      <c r="F44034" s="2" t="str">
        <f>HYPERLINK("http://www.otzar.org/book.asp?15178","תולדות היהודים באמיריקה")</f>
        <v>תולדות היהודים באמיריקה</v>
      </c>
    </row>
    <row r="44035" spans="1:6" x14ac:dyDescent="0.2">
      <c r="A44035" t="s">
        <v>66440</v>
      </c>
      <c r="B44035" t="s">
        <v>60181</v>
      </c>
      <c r="C44035" t="s">
        <v>1650</v>
      </c>
      <c r="D44035" t="s">
        <v>5050</v>
      </c>
      <c r="E44035" t="s">
        <v>733</v>
      </c>
      <c r="F44035" s="2" t="str">
        <f>HYPERLINK("http://www.otzar.org/book.asp?604","תולדות היהודים בארץ ישראל")</f>
        <v>תולדות היהודים בארץ ישראל</v>
      </c>
    </row>
    <row r="44036" spans="1:6" x14ac:dyDescent="0.2">
      <c r="A44036" t="s">
        <v>66441</v>
      </c>
      <c r="B44036" t="s">
        <v>66442</v>
      </c>
      <c r="C44036" t="s">
        <v>66443</v>
      </c>
      <c r="D44036" t="s">
        <v>27</v>
      </c>
      <c r="E44036" t="s">
        <v>733</v>
      </c>
      <c r="F44036" s="2" t="str">
        <f>HYPERLINK("http://www.otzar.org/book.asp?15593","תולדות היהודים במצרים וסוריה - 2 כר'")</f>
        <v>תולדות היהודים במצרים וסוריה - 2 כר'</v>
      </c>
    </row>
    <row r="44037" spans="1:6" x14ac:dyDescent="0.2">
      <c r="A44037" t="s">
        <v>66444</v>
      </c>
      <c r="B44037" t="s">
        <v>66445</v>
      </c>
      <c r="C44037" t="s">
        <v>46602</v>
      </c>
      <c r="D44037" t="s">
        <v>56</v>
      </c>
      <c r="E44037" t="s">
        <v>199</v>
      </c>
      <c r="F44037" s="2" t="str">
        <f>HYPERLINK("http://www.otzar.org/book.asp?19090","תולדות הימים")</f>
        <v>תולדות הימים</v>
      </c>
    </row>
    <row r="44038" spans="1:6" x14ac:dyDescent="0.2">
      <c r="A44038" t="s">
        <v>66446</v>
      </c>
      <c r="B44038" t="s">
        <v>66447</v>
      </c>
      <c r="C44038" t="s">
        <v>224</v>
      </c>
      <c r="D44038" t="s">
        <v>260</v>
      </c>
      <c r="E44038" t="s">
        <v>733</v>
      </c>
      <c r="F44038" s="2" t="str">
        <f>HYPERLINK("http://www.otzar.org/book.asp?15159","תולדות הישוב היהודי בארץ-ישראל")</f>
        <v>תולדות הישוב היהודי בארץ-ישראל</v>
      </c>
    </row>
    <row r="44039" spans="1:6" x14ac:dyDescent="0.2">
      <c r="A44039" t="s">
        <v>66448</v>
      </c>
      <c r="B44039" t="s">
        <v>66449</v>
      </c>
      <c r="C44039" t="s">
        <v>103</v>
      </c>
      <c r="D44039" t="s">
        <v>52</v>
      </c>
      <c r="E44039" t="s">
        <v>119</v>
      </c>
      <c r="F44039" s="2" t="str">
        <f>HYPERLINK("http://www.otzar.org/book.asp?144948","תולדות הישמח ישראל - 2 כר'")</f>
        <v>תולדות הישמח ישראל - 2 כר'</v>
      </c>
    </row>
    <row r="44040" spans="1:6" x14ac:dyDescent="0.2">
      <c r="A44040" t="s">
        <v>66450</v>
      </c>
      <c r="B44040" t="s">
        <v>66451</v>
      </c>
      <c r="C44040" t="s">
        <v>581</v>
      </c>
      <c r="D44040" t="s">
        <v>726</v>
      </c>
      <c r="E44040" t="s">
        <v>119</v>
      </c>
      <c r="F44040" s="2" t="str">
        <f>HYPERLINK("http://www.otzar.org/book.asp?143206","תולדות הכהן")</f>
        <v>תולדות הכהן</v>
      </c>
    </row>
    <row r="44041" spans="1:6" x14ac:dyDescent="0.2">
      <c r="A44041" t="s">
        <v>66452</v>
      </c>
      <c r="B44041" t="s">
        <v>4975</v>
      </c>
      <c r="C44041" t="s">
        <v>1374</v>
      </c>
      <c r="D44041" t="s">
        <v>9</v>
      </c>
      <c r="E44041" t="s">
        <v>27260</v>
      </c>
      <c r="F44041" s="2" t="str">
        <f>HYPERLINK("http://www.otzar.org/book.asp?15404","תולדות הכהנים הגדולים")</f>
        <v>תולדות הכהנים הגדולים</v>
      </c>
    </row>
    <row r="44042" spans="1:6" x14ac:dyDescent="0.2">
      <c r="A44042" t="s">
        <v>66453</v>
      </c>
      <c r="B44042" t="s">
        <v>66454</v>
      </c>
      <c r="C44042" t="s">
        <v>482</v>
      </c>
      <c r="D44042" t="s">
        <v>9</v>
      </c>
      <c r="E44042" t="s">
        <v>15</v>
      </c>
      <c r="F44042" s="2" t="str">
        <f>HYPERLINK("http://www.otzar.org/book.asp?52087","תולדות הכתובה בישראל")</f>
        <v>תולדות הכתובה בישראל</v>
      </c>
    </row>
    <row r="44043" spans="1:6" x14ac:dyDescent="0.2">
      <c r="A44043" t="s">
        <v>66455</v>
      </c>
      <c r="B44043" t="s">
        <v>66456</v>
      </c>
      <c r="C44043" t="s">
        <v>189</v>
      </c>
      <c r="D44043" t="s">
        <v>412</v>
      </c>
      <c r="E44043" t="s">
        <v>10</v>
      </c>
      <c r="F44043" s="2" t="str">
        <f>HYPERLINK("http://www.otzar.org/book.asp?158738","תולדות הלל")</f>
        <v>תולדות הלל</v>
      </c>
    </row>
    <row r="44044" spans="1:6" x14ac:dyDescent="0.2">
      <c r="A44044" t="s">
        <v>66457</v>
      </c>
      <c r="B44044" t="s">
        <v>66458</v>
      </c>
      <c r="C44044" t="s">
        <v>129</v>
      </c>
      <c r="D44044" t="s">
        <v>14</v>
      </c>
      <c r="E44044" t="s">
        <v>119</v>
      </c>
      <c r="F44044" s="2" t="str">
        <f>HYPERLINK("http://www.otzar.org/book.asp?171806","תולדות המבי""ט וספריו")</f>
        <v>תולדות המבי"ט וספריו</v>
      </c>
    </row>
    <row r="44045" spans="1:6" x14ac:dyDescent="0.2">
      <c r="A44045" t="s">
        <v>66459</v>
      </c>
      <c r="B44045" t="s">
        <v>66460</v>
      </c>
      <c r="C44045" t="s">
        <v>63</v>
      </c>
      <c r="D44045" t="s">
        <v>52</v>
      </c>
      <c r="E44045" t="s">
        <v>226</v>
      </c>
      <c r="F44045" s="2" t="str">
        <f>HYPERLINK("http://www.otzar.org/book.asp?6786","תולדות המגיד מקאזניץ")</f>
        <v>תולדות המגיד מקאזניץ</v>
      </c>
    </row>
    <row r="44046" spans="1:6" x14ac:dyDescent="0.2">
      <c r="A44046" t="s">
        <v>66461</v>
      </c>
      <c r="B44046" t="s">
        <v>39607</v>
      </c>
      <c r="C44046" t="s">
        <v>1811</v>
      </c>
      <c r="D44046" t="s">
        <v>14</v>
      </c>
      <c r="E44046" t="s">
        <v>119</v>
      </c>
      <c r="F44046" s="2" t="str">
        <f>HYPERLINK("http://www.otzar.org/book.asp?84474","תולדות המהרש""א")</f>
        <v>תולדות המהרש"א</v>
      </c>
    </row>
    <row r="44047" spans="1:6" x14ac:dyDescent="0.2">
      <c r="A44047" t="s">
        <v>66462</v>
      </c>
      <c r="B44047" t="s">
        <v>66463</v>
      </c>
      <c r="C44047" t="s">
        <v>2550</v>
      </c>
      <c r="D44047" t="s">
        <v>1188</v>
      </c>
      <c r="E44047" t="s">
        <v>733</v>
      </c>
      <c r="F44047" s="2" t="str">
        <f>HYPERLINK("http://www.otzar.org/book.asp?13404","תולדות המשכן ובתי המקדש בירושלים")</f>
        <v>תולדות המשכן ובתי המקדש בירושלים</v>
      </c>
    </row>
    <row r="44048" spans="1:6" x14ac:dyDescent="0.2">
      <c r="A44048" t="s">
        <v>66464</v>
      </c>
      <c r="B44048" t="s">
        <v>53252</v>
      </c>
      <c r="C44048" t="s">
        <v>1096</v>
      </c>
      <c r="D44048" t="s">
        <v>283</v>
      </c>
      <c r="E44048" t="s">
        <v>104</v>
      </c>
      <c r="F44048" s="2" t="str">
        <f>HYPERLINK("http://www.otzar.org/book.asp?23688","תולדות הנפלאות")</f>
        <v>תולדות הנפלאות</v>
      </c>
    </row>
    <row r="44049" spans="1:6" x14ac:dyDescent="0.2">
      <c r="A44049" t="s">
        <v>66465</v>
      </c>
      <c r="B44049" t="s">
        <v>66466</v>
      </c>
      <c r="C44049" t="s">
        <v>649</v>
      </c>
      <c r="D44049" t="s">
        <v>283</v>
      </c>
      <c r="E44049" t="s">
        <v>733</v>
      </c>
      <c r="F44049" s="2" t="str">
        <f>HYPERLINK("http://www.otzar.org/book.asp?15139","תולדות הפוסקים")</f>
        <v>תולדות הפוסקים</v>
      </c>
    </row>
    <row r="44050" spans="1:6" x14ac:dyDescent="0.2">
      <c r="A44050" t="s">
        <v>66467</v>
      </c>
      <c r="B44050" t="s">
        <v>12124</v>
      </c>
      <c r="C44050" t="s">
        <v>989</v>
      </c>
      <c r="D44050" t="s">
        <v>2458</v>
      </c>
      <c r="E44050" t="s">
        <v>1626</v>
      </c>
      <c r="F44050" s="2" t="str">
        <f>HYPERLINK("http://www.otzar.org/book.asp?14675","תולדות הפיוט והשירה")</f>
        <v>תולדות הפיוט והשירה</v>
      </c>
    </row>
    <row r="44051" spans="1:6" x14ac:dyDescent="0.2">
      <c r="A44051" t="s">
        <v>66468</v>
      </c>
      <c r="B44051" t="s">
        <v>66469</v>
      </c>
      <c r="C44051" t="s">
        <v>812</v>
      </c>
      <c r="D44051" t="s">
        <v>56</v>
      </c>
      <c r="E44051" t="s">
        <v>119</v>
      </c>
      <c r="F44051" s="2" t="str">
        <f>HYPERLINK("http://www.otzar.org/book.asp?105186","תולדות הקהלה העברית בוילנה")</f>
        <v>תולדות הקהלה העברית בוילנה</v>
      </c>
    </row>
    <row r="44052" spans="1:6" x14ac:dyDescent="0.2">
      <c r="A44052" t="s">
        <v>66470</v>
      </c>
      <c r="B44052" t="s">
        <v>36411</v>
      </c>
      <c r="C44052" t="s">
        <v>124</v>
      </c>
      <c r="D44052" t="s">
        <v>1205</v>
      </c>
      <c r="F44052" s="2" t="str">
        <f>HYPERLINK("http://www.otzar.org/book.asp?612672","תולדות הקהלות בטרנסילבניה")</f>
        <v>תולדות הקהלות בטרנסילבניה</v>
      </c>
    </row>
    <row r="44053" spans="1:6" x14ac:dyDescent="0.2">
      <c r="A44053" t="s">
        <v>66471</v>
      </c>
      <c r="B44053" t="s">
        <v>66472</v>
      </c>
      <c r="C44053" t="s">
        <v>1364</v>
      </c>
      <c r="D44053" t="s">
        <v>267</v>
      </c>
      <c r="E44053" t="s">
        <v>119</v>
      </c>
      <c r="F44053" s="2" t="str">
        <f>HYPERLINK("http://www.otzar.org/book.asp?188573","תולדות הראב""ד")</f>
        <v>תולדות הראב"ד</v>
      </c>
    </row>
    <row r="44054" spans="1:6" x14ac:dyDescent="0.2">
      <c r="A44054" t="s">
        <v>66473</v>
      </c>
      <c r="B44054" t="s">
        <v>66474</v>
      </c>
      <c r="C44054" t="s">
        <v>594</v>
      </c>
      <c r="D44054" t="s">
        <v>15591</v>
      </c>
      <c r="E44054" t="s">
        <v>119</v>
      </c>
      <c r="F44054" s="2" t="str">
        <f>HYPERLINK("http://www.otzar.org/book.asp?106365","תולדות הרב הגדול יצחק לאמפרונטי")</f>
        <v>תולדות הרב הגדול יצחק לאמפרונטי</v>
      </c>
    </row>
    <row r="44055" spans="1:6" x14ac:dyDescent="0.2">
      <c r="A44055" t="s">
        <v>66475</v>
      </c>
      <c r="B44055" t="s">
        <v>66476</v>
      </c>
      <c r="C44055" t="s">
        <v>237</v>
      </c>
      <c r="D44055" t="s">
        <v>27</v>
      </c>
      <c r="E44055" t="s">
        <v>119</v>
      </c>
      <c r="F44055" s="2" t="str">
        <f>HYPERLINK("http://www.otzar.org/book.asp?145015","תולדות הרב עבדאללה סומך")</f>
        <v>תולדות הרב עבדאללה סומך</v>
      </c>
    </row>
    <row r="44056" spans="1:6" x14ac:dyDescent="0.2">
      <c r="A44056" t="s">
        <v>66477</v>
      </c>
      <c r="B44056" t="s">
        <v>66478</v>
      </c>
      <c r="C44056" t="s">
        <v>1811</v>
      </c>
      <c r="D44056" t="s">
        <v>14</v>
      </c>
      <c r="E44056" t="s">
        <v>733</v>
      </c>
      <c r="F44056" s="2" t="str">
        <f>HYPERLINK("http://www.otzar.org/book.asp?64256","תולדות הרב שלום שבזי - 2 כר'")</f>
        <v>תולדות הרב שלום שבזי - 2 כר'</v>
      </c>
    </row>
    <row r="44057" spans="1:6" x14ac:dyDescent="0.2">
      <c r="A44057" t="s">
        <v>66479</v>
      </c>
      <c r="B44057" t="s">
        <v>66480</v>
      </c>
      <c r="C44057" t="s">
        <v>37</v>
      </c>
      <c r="D44057" t="s">
        <v>14</v>
      </c>
      <c r="E44057" t="s">
        <v>119</v>
      </c>
      <c r="F44057" s="2" t="str">
        <f>HYPERLINK("http://www.otzar.org/book.asp?191143","תולדות הרבנים דברשווילי")</f>
        <v>תולדות הרבנים דברשווילי</v>
      </c>
    </row>
    <row r="44058" spans="1:6" x14ac:dyDescent="0.2">
      <c r="A44058" t="s">
        <v>66481</v>
      </c>
      <c r="B44058" t="s">
        <v>66482</v>
      </c>
      <c r="C44058" t="s">
        <v>224</v>
      </c>
      <c r="D44058" t="s">
        <v>14</v>
      </c>
      <c r="E44058" t="s">
        <v>119</v>
      </c>
      <c r="F44058" s="2" t="str">
        <f>HYPERLINK("http://www.otzar.org/book.asp?143370","תולדות הרבנים למשפחת ישראל מרודוס")</f>
        <v>תולדות הרבנים למשפחת ישראל מרודוס</v>
      </c>
    </row>
    <row r="44059" spans="1:6" x14ac:dyDescent="0.2">
      <c r="A44059" t="s">
        <v>66483</v>
      </c>
      <c r="B44059" t="s">
        <v>66484</v>
      </c>
      <c r="C44059" t="s">
        <v>114</v>
      </c>
      <c r="D44059" t="s">
        <v>14</v>
      </c>
      <c r="E44059" t="s">
        <v>226</v>
      </c>
      <c r="F44059" s="2" t="str">
        <f>HYPERLINK("http://www.otzar.org/book.asp?189199","תולדות הרה""ק בעל פרי הארץ וממשיכי דרכו")</f>
        <v>תולדות הרה"ק בעל פרי הארץ וממשיכי דרכו</v>
      </c>
    </row>
    <row r="44060" spans="1:6" x14ac:dyDescent="0.2">
      <c r="A44060" t="s">
        <v>66485</v>
      </c>
      <c r="B44060" t="s">
        <v>30553</v>
      </c>
      <c r="C44060" t="s">
        <v>1169</v>
      </c>
      <c r="D44060" t="s">
        <v>27</v>
      </c>
      <c r="E44060" t="s">
        <v>119</v>
      </c>
      <c r="F44060" s="2" t="str">
        <f>HYPERLINK("http://www.otzar.org/book.asp?179583","תולדות התניא")</f>
        <v>תולדות התניא</v>
      </c>
    </row>
    <row r="44061" spans="1:6" x14ac:dyDescent="0.2">
      <c r="A44061" t="s">
        <v>66486</v>
      </c>
      <c r="B44061" t="s">
        <v>20792</v>
      </c>
      <c r="C44061" t="s">
        <v>533</v>
      </c>
      <c r="D44061" t="s">
        <v>14</v>
      </c>
      <c r="E44061" t="s">
        <v>119</v>
      </c>
      <c r="F44061" s="2" t="str">
        <f>HYPERLINK("http://www.otzar.org/book.asp?161784","תולדות ודרכים")</f>
        <v>תולדות ודרכים</v>
      </c>
    </row>
    <row r="44062" spans="1:6" x14ac:dyDescent="0.2">
      <c r="A44062" t="s">
        <v>66487</v>
      </c>
      <c r="B44062" t="s">
        <v>66488</v>
      </c>
      <c r="C44062" t="s">
        <v>1535</v>
      </c>
      <c r="D44062" t="s">
        <v>1966</v>
      </c>
      <c r="E44062" t="s">
        <v>119</v>
      </c>
      <c r="F44062" s="2" t="str">
        <f>HYPERLINK("http://www.otzar.org/book.asp?19138","תולדות וזכרונות")</f>
        <v>תולדות וזכרונות</v>
      </c>
    </row>
    <row r="44063" spans="1:6" x14ac:dyDescent="0.2">
      <c r="A44063" t="s">
        <v>66489</v>
      </c>
      <c r="B44063" t="s">
        <v>66490</v>
      </c>
      <c r="C44063" t="s">
        <v>775</v>
      </c>
      <c r="D44063" t="s">
        <v>52</v>
      </c>
      <c r="E44063" t="s">
        <v>119</v>
      </c>
      <c r="F44063" s="2" t="str">
        <f>HYPERLINK("http://www.otzar.org/book.asp?23768","תולדות וחידושי רבי מנחם כץ פרוסטיץ - 3 כר'")</f>
        <v>תולדות וחידושי רבי מנחם כץ פרוסטיץ - 3 כר'</v>
      </c>
    </row>
    <row r="44064" spans="1:6" x14ac:dyDescent="0.2">
      <c r="A44064" t="s">
        <v>66491</v>
      </c>
      <c r="B44064" t="s">
        <v>11168</v>
      </c>
      <c r="C44064" t="s">
        <v>1470</v>
      </c>
      <c r="D44064" t="s">
        <v>1889</v>
      </c>
      <c r="E44064" t="s">
        <v>119</v>
      </c>
      <c r="F44064" s="2" t="str">
        <f>HYPERLINK("http://www.otzar.org/book.asp?10056","תולדות ומדות")</f>
        <v>תולדות ומדות</v>
      </c>
    </row>
    <row r="44065" spans="1:6" x14ac:dyDescent="0.2">
      <c r="A44065" t="s">
        <v>66492</v>
      </c>
      <c r="B44065" t="s">
        <v>66493</v>
      </c>
      <c r="C44065" t="s">
        <v>66494</v>
      </c>
      <c r="D44065" t="s">
        <v>27</v>
      </c>
      <c r="E44065" t="s">
        <v>66495</v>
      </c>
      <c r="F44065" s="2" t="str">
        <f>HYPERLINK("http://www.otzar.org/book.asp?24634","תולדות זאב")</f>
        <v>תולדות זאב</v>
      </c>
    </row>
    <row r="44066" spans="1:6" x14ac:dyDescent="0.2">
      <c r="A44066" t="s">
        <v>66496</v>
      </c>
      <c r="B44066" t="s">
        <v>66497</v>
      </c>
      <c r="C44066" t="s">
        <v>1208</v>
      </c>
      <c r="D44066" t="s">
        <v>118</v>
      </c>
      <c r="E44066" t="s">
        <v>144</v>
      </c>
      <c r="F44066" s="2" t="str">
        <f>HYPERLINK("http://www.otzar.org/book.asp?9601","תולדות זאב - 3 כר'")</f>
        <v>תולדות זאב - 3 כר'</v>
      </c>
    </row>
    <row r="44067" spans="1:6" x14ac:dyDescent="0.2">
      <c r="A44067" t="s">
        <v>66498</v>
      </c>
      <c r="B44067" t="s">
        <v>66499</v>
      </c>
      <c r="C44067" t="s">
        <v>189</v>
      </c>
      <c r="D44067" t="s">
        <v>90</v>
      </c>
      <c r="E44067" t="s">
        <v>733</v>
      </c>
      <c r="F44067" s="2" t="str">
        <f>HYPERLINK("http://www.otzar.org/book.asp?64246","תולדות חייו וקורותיו של מהרי""ץ")</f>
        <v>תולדות חייו וקורותיו של מהרי"ץ</v>
      </c>
    </row>
    <row r="44068" spans="1:6" x14ac:dyDescent="0.2">
      <c r="A44068" t="s">
        <v>66500</v>
      </c>
      <c r="B44068" t="s">
        <v>66501</v>
      </c>
      <c r="C44068" t="s">
        <v>20</v>
      </c>
      <c r="D44068" t="s">
        <v>52</v>
      </c>
      <c r="E44068" t="s">
        <v>119</v>
      </c>
      <c r="F44068" s="2" t="str">
        <f>HYPERLINK("http://www.otzar.org/book.asp?189028","תולדות חייו של הצדיק הרב משה אזגורי")</f>
        <v>תולדות חייו של הצדיק הרב משה אזגורי</v>
      </c>
    </row>
    <row r="44069" spans="1:6" x14ac:dyDescent="0.2">
      <c r="A44069" t="s">
        <v>66502</v>
      </c>
      <c r="B44069" t="s">
        <v>66503</v>
      </c>
      <c r="C44069" t="s">
        <v>26</v>
      </c>
      <c r="D44069" t="s">
        <v>14</v>
      </c>
      <c r="E44069" t="s">
        <v>66504</v>
      </c>
      <c r="F44069" s="2" t="str">
        <f>HYPERLINK("http://www.otzar.org/book.asp?14401","תולדות חיים")</f>
        <v>תולדות חיים</v>
      </c>
    </row>
    <row r="44070" spans="1:6" x14ac:dyDescent="0.2">
      <c r="A44070" t="s">
        <v>66505</v>
      </c>
      <c r="B44070" t="s">
        <v>1791</v>
      </c>
      <c r="C44070" t="s">
        <v>176</v>
      </c>
      <c r="D44070" t="s">
        <v>14</v>
      </c>
      <c r="E44070" t="s">
        <v>119</v>
      </c>
      <c r="F44070" s="2" t="str">
        <f>HYPERLINK("http://www.otzar.org/book.asp?106018","תולדות חכמי הדורות")</f>
        <v>תולדות חכמי הדורות</v>
      </c>
    </row>
    <row r="44071" spans="1:6" x14ac:dyDescent="0.2">
      <c r="A44071" t="s">
        <v>66506</v>
      </c>
      <c r="B44071" t="s">
        <v>602</v>
      </c>
      <c r="C44071" t="s">
        <v>13416</v>
      </c>
      <c r="D44071" t="s">
        <v>27</v>
      </c>
      <c r="E44071" t="s">
        <v>119</v>
      </c>
      <c r="F44071" s="2" t="str">
        <f>HYPERLINK("http://www.otzar.org/book.asp?26438","תולדות חכמי ירושלם - 3 כר'")</f>
        <v>תולדות חכמי ירושלם - 3 כר'</v>
      </c>
    </row>
    <row r="44072" spans="1:6" x14ac:dyDescent="0.2">
      <c r="A44072" t="s">
        <v>66507</v>
      </c>
      <c r="B44072" t="s">
        <v>4975</v>
      </c>
      <c r="C44072" t="s">
        <v>581</v>
      </c>
      <c r="D44072" t="s">
        <v>30</v>
      </c>
      <c r="E44072" t="s">
        <v>119</v>
      </c>
      <c r="F44072" s="2" t="str">
        <f>HYPERLINK("http://www.otzar.org/book.asp?100659","תולדות חכמי ישראל")</f>
        <v>תולדות חכמי ישראל</v>
      </c>
    </row>
    <row r="44073" spans="1:6" x14ac:dyDescent="0.2">
      <c r="A44073" t="s">
        <v>66508</v>
      </c>
      <c r="B44073" t="s">
        <v>66509</v>
      </c>
      <c r="C44073" t="s">
        <v>1208</v>
      </c>
      <c r="D44073" t="s">
        <v>14</v>
      </c>
      <c r="E44073" t="s">
        <v>119</v>
      </c>
      <c r="F44073" s="2" t="str">
        <f>HYPERLINK("http://www.otzar.org/book.asp?165301","תולדות חכמי תונס - אנשי שש, תרשיש ואיים")</f>
        <v>תולדות חכמי תונס - אנשי שש, תרשיש ואיים</v>
      </c>
    </row>
    <row r="44074" spans="1:6" x14ac:dyDescent="0.2">
      <c r="A44074" t="s">
        <v>66510</v>
      </c>
      <c r="B44074" t="s">
        <v>14595</v>
      </c>
      <c r="C44074" t="s">
        <v>1096</v>
      </c>
      <c r="D44074" t="s">
        <v>283</v>
      </c>
      <c r="E44074" t="s">
        <v>230</v>
      </c>
      <c r="F44074" s="2" t="str">
        <f>HYPERLINK("http://www.otzar.org/book.asp?28334","תולדות חנוך - 3 כר'")</f>
        <v>תולדות חנוך - 3 כר'</v>
      </c>
    </row>
    <row r="44075" spans="1:6" x14ac:dyDescent="0.2">
      <c r="A44075" t="s">
        <v>66511</v>
      </c>
      <c r="B44075" t="s">
        <v>66512</v>
      </c>
      <c r="C44075" t="s">
        <v>3106</v>
      </c>
      <c r="D44075" t="s">
        <v>9</v>
      </c>
      <c r="E44075" t="s">
        <v>119</v>
      </c>
      <c r="F44075" s="2" t="str">
        <f>HYPERLINK("http://www.otzar.org/book.asp?106433","תולדות חת""ם סופר")</f>
        <v>תולדות חת"ם סופר</v>
      </c>
    </row>
    <row r="44076" spans="1:6" x14ac:dyDescent="0.2">
      <c r="A44076" t="s">
        <v>66513</v>
      </c>
      <c r="B44076" t="s">
        <v>66514</v>
      </c>
      <c r="C44076" t="s">
        <v>37</v>
      </c>
      <c r="D44076" t="s">
        <v>90</v>
      </c>
      <c r="E44076" t="s">
        <v>119</v>
      </c>
      <c r="F44076" s="2" t="str">
        <f>HYPERLINK("http://www.otzar.org/book.asp?603041","תולדות טהרת יום טוב")</f>
        <v>תולדות טהרת יום טוב</v>
      </c>
    </row>
    <row r="44077" spans="1:6" x14ac:dyDescent="0.2">
      <c r="A44077" t="s">
        <v>66515</v>
      </c>
      <c r="B44077" t="s">
        <v>2320</v>
      </c>
      <c r="C44077" t="s">
        <v>20</v>
      </c>
      <c r="D44077" t="s">
        <v>2321</v>
      </c>
      <c r="E44077" t="s">
        <v>2336</v>
      </c>
      <c r="F44077" s="2" t="str">
        <f>HYPERLINK("http://www.otzar.org/book.asp?197037","תולדות יהודא")</f>
        <v>תולדות יהודא</v>
      </c>
    </row>
    <row r="44078" spans="1:6" x14ac:dyDescent="0.2">
      <c r="A44078" t="s">
        <v>66516</v>
      </c>
      <c r="B44078" t="s">
        <v>66517</v>
      </c>
      <c r="C44078" t="s">
        <v>1570</v>
      </c>
      <c r="D44078" t="s">
        <v>1974</v>
      </c>
      <c r="E44078" t="s">
        <v>119</v>
      </c>
      <c r="F44078" s="2" t="str">
        <f>HYPERLINK("http://www.otzar.org/book.asp?62804","תולדות יהודי אל מגרב")</f>
        <v>תולדות יהודי אל מגרב</v>
      </c>
    </row>
    <row r="44079" spans="1:6" x14ac:dyDescent="0.2">
      <c r="A44079" t="s">
        <v>66518</v>
      </c>
      <c r="B44079" t="s">
        <v>66519</v>
      </c>
      <c r="C44079" t="s">
        <v>454</v>
      </c>
      <c r="D44079" t="s">
        <v>21</v>
      </c>
      <c r="E44079" t="s">
        <v>119</v>
      </c>
      <c r="F44079" s="2" t="str">
        <f>HYPERLINK("http://www.otzar.org/book.asp?191327","תולדות יהודי טרנסילבניה")</f>
        <v>תולדות יהודי טרנסילבניה</v>
      </c>
    </row>
    <row r="44080" spans="1:6" x14ac:dyDescent="0.2">
      <c r="A44080" t="s">
        <v>66520</v>
      </c>
      <c r="B44080" t="s">
        <v>61588</v>
      </c>
      <c r="C44080" t="s">
        <v>334</v>
      </c>
      <c r="D44080" t="s">
        <v>14</v>
      </c>
      <c r="E44080" t="s">
        <v>733</v>
      </c>
      <c r="F44080" s="2" t="str">
        <f>HYPERLINK("http://www.otzar.org/book.asp?5837","תולדות יהודי מרוקו")</f>
        <v>תולדות יהודי מרוקו</v>
      </c>
    </row>
    <row r="44081" spans="1:6" x14ac:dyDescent="0.2">
      <c r="A44081" t="s">
        <v>66521</v>
      </c>
      <c r="B44081" t="s">
        <v>66522</v>
      </c>
      <c r="C44081" t="s">
        <v>63</v>
      </c>
      <c r="D44081" t="s">
        <v>21</v>
      </c>
      <c r="E44081" t="s">
        <v>119</v>
      </c>
      <c r="F44081" s="2" t="str">
        <f>HYPERLINK("http://www.otzar.org/book.asp?191306","תולדות יהודי פרס ומשורריהם")</f>
        <v>תולדות יהודי פרס ומשורריהם</v>
      </c>
    </row>
    <row r="44082" spans="1:6" x14ac:dyDescent="0.2">
      <c r="A44082" t="s">
        <v>66523</v>
      </c>
      <c r="B44082" t="s">
        <v>60219</v>
      </c>
      <c r="C44082" t="s">
        <v>390</v>
      </c>
      <c r="D44082" t="s">
        <v>216</v>
      </c>
      <c r="E44082" t="s">
        <v>119</v>
      </c>
      <c r="F44082" s="2" t="str">
        <f>HYPERLINK("http://www.otzar.org/book.asp?15586","תולדות יהודי קאליש")</f>
        <v>תולדות יהודי קאליש</v>
      </c>
    </row>
    <row r="44083" spans="1:6" x14ac:dyDescent="0.2">
      <c r="A44083" t="s">
        <v>66524</v>
      </c>
      <c r="B44083" t="s">
        <v>66525</v>
      </c>
      <c r="C44083" t="s">
        <v>13915</v>
      </c>
      <c r="D44083" t="s">
        <v>14</v>
      </c>
      <c r="E44083" t="s">
        <v>104</v>
      </c>
      <c r="F44083" s="2" t="str">
        <f>HYPERLINK("http://www.otzar.org/book.asp?157495","תולדות יהודי תימן - מכתביהם")</f>
        <v>תולדות יהודי תימן - מכתביהם</v>
      </c>
    </row>
    <row r="44084" spans="1:6" x14ac:dyDescent="0.2">
      <c r="A44084" t="s">
        <v>66526</v>
      </c>
      <c r="B44084" t="s">
        <v>2184</v>
      </c>
      <c r="C44084" t="s">
        <v>550</v>
      </c>
      <c r="D44084" t="s">
        <v>56</v>
      </c>
      <c r="E44084" t="s">
        <v>84</v>
      </c>
      <c r="F44084" s="2" t="str">
        <f>HYPERLINK("http://www.otzar.org/book.asp?13563","תולדות יהושע - 4 כר'")</f>
        <v>תולדות יהושע - 4 כר'</v>
      </c>
    </row>
    <row r="44085" spans="1:6" x14ac:dyDescent="0.2">
      <c r="A44085" t="s">
        <v>66527</v>
      </c>
      <c r="B44085" t="s">
        <v>66528</v>
      </c>
      <c r="C44085" t="s">
        <v>313</v>
      </c>
      <c r="D44085" t="s">
        <v>14</v>
      </c>
      <c r="E44085" t="s">
        <v>20725</v>
      </c>
      <c r="F44085" s="2" t="str">
        <f>HYPERLINK("http://www.otzar.org/book.asp?153763","תולדות יוסף צבי")</f>
        <v>תולדות יוסף צבי</v>
      </c>
    </row>
    <row r="44086" spans="1:6" x14ac:dyDescent="0.2">
      <c r="A44086" t="s">
        <v>66529</v>
      </c>
      <c r="B44086" t="s">
        <v>48728</v>
      </c>
      <c r="C44086" t="s">
        <v>1659</v>
      </c>
      <c r="D44086" t="s">
        <v>544</v>
      </c>
      <c r="E44086" t="s">
        <v>957</v>
      </c>
      <c r="F44086" s="2" t="str">
        <f>HYPERLINK("http://www.otzar.org/book.asp?16056","תולדות יוסף - 2 כר'")</f>
        <v>תולדות יוסף - 2 כר'</v>
      </c>
    </row>
    <row r="44087" spans="1:6" x14ac:dyDescent="0.2">
      <c r="A44087" t="s">
        <v>66529</v>
      </c>
      <c r="B44087" t="s">
        <v>66530</v>
      </c>
      <c r="C44087" t="s">
        <v>462</v>
      </c>
      <c r="D44087" t="s">
        <v>4269</v>
      </c>
      <c r="E44087" t="s">
        <v>119</v>
      </c>
      <c r="F44087" s="2" t="str">
        <f>HYPERLINK("http://www.otzar.org/book.asp?21385","תולדות יוסף - 2 כר'")</f>
        <v>תולדות יוסף - 2 כר'</v>
      </c>
    </row>
    <row r="44088" spans="1:6" x14ac:dyDescent="0.2">
      <c r="A44088" t="s">
        <v>66531</v>
      </c>
      <c r="B44088" t="s">
        <v>66532</v>
      </c>
      <c r="C44088" t="s">
        <v>1169</v>
      </c>
      <c r="D44088" t="s">
        <v>27</v>
      </c>
      <c r="E44088" t="s">
        <v>920</v>
      </c>
      <c r="F44088" s="2" t="str">
        <f>HYPERLINK("http://www.otzar.org/book.asp?5230","תולדות יוסף")</f>
        <v>תולדות יוסף</v>
      </c>
    </row>
    <row r="44089" spans="1:6" x14ac:dyDescent="0.2">
      <c r="A44089" t="s">
        <v>66531</v>
      </c>
      <c r="B44089" t="s">
        <v>66533</v>
      </c>
      <c r="C44089" t="s">
        <v>87</v>
      </c>
      <c r="D44089" t="s">
        <v>14</v>
      </c>
      <c r="E44089" t="s">
        <v>144</v>
      </c>
      <c r="F44089" s="2" t="str">
        <f>HYPERLINK("http://www.otzar.org/book.asp?85487","תולדות יוסף")</f>
        <v>תולדות יוסף</v>
      </c>
    </row>
    <row r="44090" spans="1:6" x14ac:dyDescent="0.2">
      <c r="A44090" t="s">
        <v>66534</v>
      </c>
      <c r="B44090" t="s">
        <v>66535</v>
      </c>
      <c r="C44090" t="s">
        <v>1058</v>
      </c>
      <c r="D44090" t="s">
        <v>1023</v>
      </c>
      <c r="E44090" t="s">
        <v>733</v>
      </c>
      <c r="F44090" s="2" t="str">
        <f>HYPERLINK("http://www.otzar.org/book.asp?100657","תולדות יעב""ץ - 2 כר'")</f>
        <v>תולדות יעב"ץ - 2 כר'</v>
      </c>
    </row>
    <row r="44091" spans="1:6" x14ac:dyDescent="0.2">
      <c r="A44091" t="s">
        <v>66536</v>
      </c>
      <c r="B44091" t="s">
        <v>66537</v>
      </c>
      <c r="C44091" t="s">
        <v>454</v>
      </c>
      <c r="D44091" t="s">
        <v>134</v>
      </c>
      <c r="E44091" t="s">
        <v>144</v>
      </c>
      <c r="F44091" s="2" t="str">
        <f>HYPERLINK("http://www.otzar.org/book.asp?153319","תולדות יעקב &lt;עם רשימות בעקב&gt; - 2 כר'")</f>
        <v>תולדות יעקב &lt;עם רשימות בעקב&gt; - 2 כר'</v>
      </c>
    </row>
    <row r="44092" spans="1:6" x14ac:dyDescent="0.2">
      <c r="A44092" t="s">
        <v>66538</v>
      </c>
      <c r="B44092" t="s">
        <v>10989</v>
      </c>
      <c r="C44092" t="s">
        <v>1317</v>
      </c>
      <c r="D44092" t="s">
        <v>4364</v>
      </c>
      <c r="E44092" t="s">
        <v>158</v>
      </c>
      <c r="F44092" s="2" t="str">
        <f>HYPERLINK("http://www.otzar.org/book.asp?53601","תולדות יעקב יוסף &lt;דפו""ר&gt;")</f>
        <v>תולדות יעקב יוסף &lt;דפו"ר&gt;</v>
      </c>
    </row>
    <row r="44093" spans="1:6" x14ac:dyDescent="0.2">
      <c r="A44093" t="s">
        <v>66539</v>
      </c>
      <c r="B44093" t="s">
        <v>10989</v>
      </c>
      <c r="C44093" t="s">
        <v>68</v>
      </c>
      <c r="D44093" t="s">
        <v>14</v>
      </c>
      <c r="E44093" t="s">
        <v>158</v>
      </c>
      <c r="F44093" s="2" t="str">
        <f>HYPERLINK("http://www.otzar.org/book.asp?157658","תולדות יעקב יוסף &lt;מהדורה חדשה&gt; - 2 כר'")</f>
        <v>תולדות יעקב יוסף &lt;מהדורה חדשה&gt; - 2 כר'</v>
      </c>
    </row>
    <row r="44094" spans="1:6" x14ac:dyDescent="0.2">
      <c r="A44094" t="s">
        <v>66540</v>
      </c>
      <c r="B44094" t="s">
        <v>10989</v>
      </c>
      <c r="C44094" t="s">
        <v>114</v>
      </c>
      <c r="D44094" t="s">
        <v>21</v>
      </c>
      <c r="E44094" t="s">
        <v>158</v>
      </c>
      <c r="F44094" s="2" t="str">
        <f>HYPERLINK("http://www.otzar.org/book.asp?191883","תולדות יעקב יוסף &lt;מהדורת אייכן&gt; - 3 כר'")</f>
        <v>תולדות יעקב יוסף &lt;מהדורת אייכן&gt; - 3 כר'</v>
      </c>
    </row>
    <row r="44095" spans="1:6" x14ac:dyDescent="0.2">
      <c r="A44095" t="s">
        <v>66541</v>
      </c>
      <c r="B44095" t="s">
        <v>10989</v>
      </c>
      <c r="C44095" t="s">
        <v>51</v>
      </c>
      <c r="D44095" t="s">
        <v>52</v>
      </c>
      <c r="E44095" t="s">
        <v>158</v>
      </c>
      <c r="F44095" s="2" t="str">
        <f>HYPERLINK("http://www.otzar.org/book.asp?179749","תולדות יעקב יוסף &lt;מהדורת נחלת צבי&gt; - 2 כר'")</f>
        <v>תולדות יעקב יוסף &lt;מהדורת נחלת צבי&gt; - 2 כר'</v>
      </c>
    </row>
    <row r="44096" spans="1:6" x14ac:dyDescent="0.2">
      <c r="A44096" t="s">
        <v>66542</v>
      </c>
      <c r="B44096" t="s">
        <v>66543</v>
      </c>
      <c r="C44096" t="s">
        <v>1418</v>
      </c>
      <c r="D44096" t="s">
        <v>56</v>
      </c>
      <c r="E44096" t="s">
        <v>2088</v>
      </c>
      <c r="F44096" s="2" t="str">
        <f>HYPERLINK("http://www.otzar.org/book.asp?188702","תולדות יעקב יוסף - 2 כר'")</f>
        <v>תולדות יעקב יוסף - 2 כר'</v>
      </c>
    </row>
    <row r="44097" spans="1:6" x14ac:dyDescent="0.2">
      <c r="A44097" t="s">
        <v>66542</v>
      </c>
      <c r="B44097" t="s">
        <v>10989</v>
      </c>
      <c r="C44097" t="s">
        <v>1515</v>
      </c>
      <c r="D44097" t="s">
        <v>27674</v>
      </c>
      <c r="E44097" t="s">
        <v>158</v>
      </c>
      <c r="F44097" s="2" t="str">
        <f>HYPERLINK("http://www.otzar.org/book.asp?105806","תולדות יעקב יוסף - 2 כר'")</f>
        <v>תולדות יעקב יוסף - 2 כר'</v>
      </c>
    </row>
    <row r="44098" spans="1:6" x14ac:dyDescent="0.2">
      <c r="A44098" t="s">
        <v>66544</v>
      </c>
      <c r="B44098" t="s">
        <v>12872</v>
      </c>
      <c r="C44098" t="s">
        <v>1679</v>
      </c>
      <c r="D44098" t="s">
        <v>2303</v>
      </c>
      <c r="E44098" t="s">
        <v>158</v>
      </c>
      <c r="F44098" s="2" t="str">
        <f>HYPERLINK("http://www.otzar.org/book.asp?28411","תולדות יעקב")</f>
        <v>תולדות יעקב</v>
      </c>
    </row>
    <row r="44099" spans="1:6" x14ac:dyDescent="0.2">
      <c r="A44099" t="s">
        <v>66544</v>
      </c>
      <c r="B44099" t="s">
        <v>359</v>
      </c>
      <c r="C44099" t="s">
        <v>5903</v>
      </c>
      <c r="D44099" t="s">
        <v>283</v>
      </c>
      <c r="E44099" t="s">
        <v>6134</v>
      </c>
      <c r="F44099" s="2" t="str">
        <f>HYPERLINK("http://www.otzar.org/book.asp?150003","תולדות יעקב")</f>
        <v>תולדות יעקב</v>
      </c>
    </row>
    <row r="44100" spans="1:6" x14ac:dyDescent="0.2">
      <c r="A44100" t="s">
        <v>66545</v>
      </c>
      <c r="B44100" t="s">
        <v>6014</v>
      </c>
      <c r="C44100" t="s">
        <v>111</v>
      </c>
      <c r="D44100" t="s">
        <v>115</v>
      </c>
      <c r="E44100" t="s">
        <v>226</v>
      </c>
      <c r="F44100" s="2" t="str">
        <f>HYPERLINK("http://www.otzar.org/book.asp?629317","תולדות יעקב - אדמור""י הוסיאטין")</f>
        <v>תולדות יעקב - אדמור"י הוסיאטין</v>
      </c>
    </row>
    <row r="44101" spans="1:6" x14ac:dyDescent="0.2">
      <c r="A44101" t="s">
        <v>66544</v>
      </c>
      <c r="B44101" t="s">
        <v>66546</v>
      </c>
      <c r="C44101" t="s">
        <v>2874</v>
      </c>
      <c r="D44101" t="s">
        <v>563</v>
      </c>
      <c r="E44101" t="s">
        <v>119</v>
      </c>
      <c r="F44101" s="2" t="str">
        <f>HYPERLINK("http://www.otzar.org/book.asp?191395","תולדות יעקב")</f>
        <v>תולדות יעקב</v>
      </c>
    </row>
    <row r="44102" spans="1:6" x14ac:dyDescent="0.2">
      <c r="A44102" t="s">
        <v>66547</v>
      </c>
      <c r="B44102" t="s">
        <v>66548</v>
      </c>
      <c r="C44102" t="s">
        <v>8820</v>
      </c>
      <c r="D44102" t="s">
        <v>49</v>
      </c>
      <c r="E44102" t="s">
        <v>158</v>
      </c>
      <c r="F44102" s="2" t="str">
        <f>HYPERLINK("http://www.otzar.org/book.asp?28377","תולדות יעקב - 2 כר'")</f>
        <v>תולדות יעקב - 2 כר'</v>
      </c>
    </row>
    <row r="44103" spans="1:6" x14ac:dyDescent="0.2">
      <c r="A44103" t="s">
        <v>66544</v>
      </c>
      <c r="B44103" t="s">
        <v>28138</v>
      </c>
      <c r="C44103" t="s">
        <v>1592</v>
      </c>
      <c r="D44103" t="s">
        <v>76</v>
      </c>
      <c r="E44103" t="s">
        <v>463</v>
      </c>
      <c r="F44103" s="2" t="str">
        <f>HYPERLINK("http://www.otzar.org/book.asp?21386","תולדות יעקב")</f>
        <v>תולדות יעקב</v>
      </c>
    </row>
    <row r="44104" spans="1:6" x14ac:dyDescent="0.2">
      <c r="A44104" t="s">
        <v>66544</v>
      </c>
      <c r="B44104" t="s">
        <v>66549</v>
      </c>
      <c r="C44104" t="s">
        <v>75</v>
      </c>
      <c r="D44104" t="s">
        <v>267</v>
      </c>
      <c r="E44104" t="s">
        <v>15</v>
      </c>
      <c r="F44104" s="2" t="str">
        <f>HYPERLINK("http://www.otzar.org/book.asp?21387","תולדות יעקב")</f>
        <v>תולדות יעקב</v>
      </c>
    </row>
    <row r="44105" spans="1:6" x14ac:dyDescent="0.2">
      <c r="A44105" t="s">
        <v>66544</v>
      </c>
      <c r="B44105" t="s">
        <v>61104</v>
      </c>
      <c r="C44105" t="s">
        <v>2543</v>
      </c>
      <c r="D44105" t="s">
        <v>56</v>
      </c>
      <c r="E44105" t="s">
        <v>154</v>
      </c>
      <c r="F44105" s="2" t="str">
        <f>HYPERLINK("http://www.otzar.org/book.asp?20411","תולדות יעקב")</f>
        <v>תולדות יעקב</v>
      </c>
    </row>
    <row r="44106" spans="1:6" x14ac:dyDescent="0.2">
      <c r="A44106" t="s">
        <v>66544</v>
      </c>
      <c r="B44106" t="s">
        <v>2487</v>
      </c>
      <c r="C44106" t="s">
        <v>950</v>
      </c>
      <c r="D44106" t="s">
        <v>27</v>
      </c>
      <c r="E44106" t="s">
        <v>144</v>
      </c>
      <c r="F44106" s="2" t="str">
        <f>HYPERLINK("http://www.otzar.org/book.asp?9015","תולדות יעקב")</f>
        <v>תולדות יעקב</v>
      </c>
    </row>
    <row r="44107" spans="1:6" x14ac:dyDescent="0.2">
      <c r="A44107" t="s">
        <v>66544</v>
      </c>
      <c r="B44107" t="s">
        <v>66550</v>
      </c>
      <c r="C44107" t="s">
        <v>176</v>
      </c>
      <c r="D44107" t="s">
        <v>52</v>
      </c>
      <c r="E44107" t="s">
        <v>119</v>
      </c>
      <c r="F44107" s="2" t="str">
        <f>HYPERLINK("http://www.otzar.org/book.asp?164298","תולדות יעקב")</f>
        <v>תולדות יעקב</v>
      </c>
    </row>
    <row r="44108" spans="1:6" x14ac:dyDescent="0.2">
      <c r="A44108" t="s">
        <v>66544</v>
      </c>
      <c r="B44108" t="s">
        <v>66551</v>
      </c>
      <c r="C44108" t="s">
        <v>462</v>
      </c>
      <c r="D44108" t="s">
        <v>379</v>
      </c>
      <c r="E44108" t="s">
        <v>158</v>
      </c>
      <c r="F44108" s="2" t="str">
        <f>HYPERLINK("http://www.otzar.org/book.asp?160276","תולדות יעקב")</f>
        <v>תולדות יעקב</v>
      </c>
    </row>
    <row r="44109" spans="1:6" x14ac:dyDescent="0.2">
      <c r="A44109" t="s">
        <v>66552</v>
      </c>
      <c r="B44109" t="s">
        <v>66553</v>
      </c>
      <c r="C44109" t="s">
        <v>111</v>
      </c>
      <c r="D44109" t="s">
        <v>21</v>
      </c>
      <c r="E44109" t="s">
        <v>2418</v>
      </c>
      <c r="F44109" s="2" t="str">
        <f>HYPERLINK("http://www.otzar.org/book.asp?623195","תולדות יצחק &lt;מהדורה חדשה&gt;")</f>
        <v>תולדות יצחק &lt;מהדורה חדשה&gt;</v>
      </c>
    </row>
    <row r="44110" spans="1:6" x14ac:dyDescent="0.2">
      <c r="A44110" t="s">
        <v>66554</v>
      </c>
      <c r="B44110" t="s">
        <v>47511</v>
      </c>
      <c r="C44110" t="s">
        <v>23255</v>
      </c>
      <c r="D44110" t="s">
        <v>27</v>
      </c>
      <c r="E44110" t="s">
        <v>399</v>
      </c>
      <c r="F44110" s="2" t="str">
        <f>HYPERLINK("http://www.otzar.org/book.asp?102221","תולדות יצחק א -ב")</f>
        <v>תולדות יצחק א -ב</v>
      </c>
    </row>
    <row r="44111" spans="1:6" x14ac:dyDescent="0.2">
      <c r="A44111" t="s">
        <v>66555</v>
      </c>
      <c r="B44111" t="s">
        <v>66556</v>
      </c>
      <c r="C44111" t="s">
        <v>1202</v>
      </c>
      <c r="D44111" t="s">
        <v>225</v>
      </c>
      <c r="E44111" t="s">
        <v>1103</v>
      </c>
      <c r="F44111" s="2" t="str">
        <f>HYPERLINK("http://www.otzar.org/book.asp?103782","תולדות יצחק אחרון")</f>
        <v>תולדות יצחק אחרון</v>
      </c>
    </row>
    <row r="44112" spans="1:6" x14ac:dyDescent="0.2">
      <c r="A44112" t="s">
        <v>66557</v>
      </c>
      <c r="B44112" t="s">
        <v>66558</v>
      </c>
      <c r="C44112" t="s">
        <v>767</v>
      </c>
      <c r="D44112" t="s">
        <v>423</v>
      </c>
      <c r="E44112" t="s">
        <v>158</v>
      </c>
      <c r="F44112" s="2" t="str">
        <f>HYPERLINK("http://www.otzar.org/book.asp?159295","תולדות יצחק בן אברהם &lt;מהדורה חדשה&gt;")</f>
        <v>תולדות יצחק בן אברהם &lt;מהדורה חדשה&gt;</v>
      </c>
    </row>
    <row r="44113" spans="1:6" x14ac:dyDescent="0.2">
      <c r="A44113" t="s">
        <v>66559</v>
      </c>
      <c r="B44113" t="s">
        <v>66558</v>
      </c>
      <c r="C44113" t="s">
        <v>9998</v>
      </c>
      <c r="D44113" t="s">
        <v>2290</v>
      </c>
      <c r="E44113" t="s">
        <v>12983</v>
      </c>
      <c r="F44113" s="2" t="str">
        <f>HYPERLINK("http://www.otzar.org/book.asp?100667","תולדות יצחק בן אברהם")</f>
        <v>תולדות יצחק בן אברהם</v>
      </c>
    </row>
    <row r="44114" spans="1:6" x14ac:dyDescent="0.2">
      <c r="A44114" t="s">
        <v>66560</v>
      </c>
      <c r="B44114" t="s">
        <v>66561</v>
      </c>
      <c r="C44114" t="s">
        <v>63</v>
      </c>
      <c r="D44114" t="s">
        <v>14</v>
      </c>
      <c r="E44114" t="s">
        <v>6253</v>
      </c>
      <c r="F44114" s="2" t="str">
        <f>HYPERLINK("http://www.otzar.org/book.asp?9930","תולדות יצחק")</f>
        <v>תולדות יצחק</v>
      </c>
    </row>
    <row r="44115" spans="1:6" x14ac:dyDescent="0.2">
      <c r="A44115" t="s">
        <v>66560</v>
      </c>
      <c r="B44115" t="s">
        <v>15284</v>
      </c>
      <c r="C44115" t="s">
        <v>1388</v>
      </c>
      <c r="D44115" t="s">
        <v>646</v>
      </c>
      <c r="E44115" t="s">
        <v>901</v>
      </c>
      <c r="F44115" s="2" t="str">
        <f>HYPERLINK("http://www.otzar.org/book.asp?615804","תולדות יצחק")</f>
        <v>תולדות יצחק</v>
      </c>
    </row>
    <row r="44116" spans="1:6" x14ac:dyDescent="0.2">
      <c r="A44116" t="s">
        <v>66560</v>
      </c>
      <c r="B44116" t="s">
        <v>66562</v>
      </c>
      <c r="C44116" t="s">
        <v>313</v>
      </c>
      <c r="D44116" t="s">
        <v>14</v>
      </c>
      <c r="E44116" t="s">
        <v>2075</v>
      </c>
      <c r="F44116" s="2" t="str">
        <f>HYPERLINK("http://www.otzar.org/book.asp?158894","תולדות יצחק")</f>
        <v>תולדות יצחק</v>
      </c>
    </row>
    <row r="44117" spans="1:6" x14ac:dyDescent="0.2">
      <c r="A44117" t="s">
        <v>66563</v>
      </c>
      <c r="B44117" t="s">
        <v>3900</v>
      </c>
      <c r="C44117" t="s">
        <v>785</v>
      </c>
      <c r="D44117" t="s">
        <v>52</v>
      </c>
      <c r="E44117" t="s">
        <v>10</v>
      </c>
      <c r="F44117" s="2" t="str">
        <f>HYPERLINK("http://www.otzar.org/book.asp?26849","תולדות יצחק - 2 כר'")</f>
        <v>תולדות יצחק - 2 כר'</v>
      </c>
    </row>
    <row r="44118" spans="1:6" x14ac:dyDescent="0.2">
      <c r="A44118" t="s">
        <v>66560</v>
      </c>
      <c r="B44118" t="s">
        <v>34011</v>
      </c>
      <c r="C44118" t="s">
        <v>550</v>
      </c>
      <c r="D44118" t="s">
        <v>267</v>
      </c>
      <c r="E44118" t="s">
        <v>154</v>
      </c>
      <c r="F44118" s="2" t="str">
        <f>HYPERLINK("http://www.otzar.org/book.asp?102021","תולדות יצחק")</f>
        <v>תולדות יצחק</v>
      </c>
    </row>
    <row r="44119" spans="1:6" x14ac:dyDescent="0.2">
      <c r="A44119" t="s">
        <v>66564</v>
      </c>
      <c r="B44119" t="s">
        <v>10240</v>
      </c>
      <c r="C44119" t="s">
        <v>767</v>
      </c>
      <c r="D44119" t="s">
        <v>52</v>
      </c>
      <c r="E44119" t="s">
        <v>2569</v>
      </c>
      <c r="F44119" s="2" t="str">
        <f>HYPERLINK("http://www.otzar.org/book.asp?21842","תולדות יצחק  - דברי יצחק")</f>
        <v>תולדות יצחק  - דברי יצחק</v>
      </c>
    </row>
    <row r="44120" spans="1:6" x14ac:dyDescent="0.2">
      <c r="A44120" t="s">
        <v>66565</v>
      </c>
      <c r="B44120" t="s">
        <v>66566</v>
      </c>
      <c r="C44120" t="s">
        <v>133</v>
      </c>
      <c r="D44120" t="s">
        <v>2798</v>
      </c>
      <c r="F44120" s="2" t="str">
        <f>HYPERLINK("http://www.otzar.org/book.asp?198696","תולדות יצחק - 4 כר'")</f>
        <v>תולדות יצחק - 4 כר'</v>
      </c>
    </row>
    <row r="44121" spans="1:6" x14ac:dyDescent="0.2">
      <c r="A44121" t="s">
        <v>66560</v>
      </c>
      <c r="B44121" t="s">
        <v>8185</v>
      </c>
      <c r="C44121" t="s">
        <v>87</v>
      </c>
      <c r="D44121" t="s">
        <v>14</v>
      </c>
      <c r="F44121" s="2" t="str">
        <f>HYPERLINK("http://www.otzar.org/book.asp?621796","תולדות יצחק")</f>
        <v>תולדות יצחק</v>
      </c>
    </row>
    <row r="44122" spans="1:6" x14ac:dyDescent="0.2">
      <c r="A44122" t="s">
        <v>66567</v>
      </c>
      <c r="B44122" t="s">
        <v>59752</v>
      </c>
      <c r="C44122" t="s">
        <v>1592</v>
      </c>
      <c r="D44122" t="s">
        <v>212</v>
      </c>
      <c r="E44122" t="s">
        <v>144</v>
      </c>
      <c r="F44122" s="2" t="str">
        <f>HYPERLINK("http://www.otzar.org/book.asp?20410","תולדות יצחק - 3 כר'")</f>
        <v>תולדות יצחק - 3 כר'</v>
      </c>
    </row>
    <row r="44123" spans="1:6" x14ac:dyDescent="0.2">
      <c r="A44123" t="s">
        <v>66568</v>
      </c>
      <c r="B44123" t="s">
        <v>66569</v>
      </c>
      <c r="C44123" t="s">
        <v>129</v>
      </c>
      <c r="D44123" t="s">
        <v>52</v>
      </c>
      <c r="E44123" t="s">
        <v>8341</v>
      </c>
      <c r="F44123" s="2" t="str">
        <f>HYPERLINK("http://www.otzar.org/book.asp?63604","תולדות יצחק - א")</f>
        <v>תולדות יצחק - א</v>
      </c>
    </row>
    <row r="44124" spans="1:6" x14ac:dyDescent="0.2">
      <c r="A44124" t="s">
        <v>66570</v>
      </c>
      <c r="B44124" t="s">
        <v>66553</v>
      </c>
      <c r="C44124" t="s">
        <v>17</v>
      </c>
      <c r="D44124" t="s">
        <v>21</v>
      </c>
      <c r="E44124" t="s">
        <v>158</v>
      </c>
      <c r="F44124" s="2" t="str">
        <f>HYPERLINK("http://www.otzar.org/book.asp?196637","תולדות יצחק - תהלים")</f>
        <v>תולדות יצחק - תהלים</v>
      </c>
    </row>
    <row r="44125" spans="1:6" x14ac:dyDescent="0.2">
      <c r="A44125" t="s">
        <v>66560</v>
      </c>
      <c r="B44125" t="s">
        <v>66571</v>
      </c>
      <c r="C44125" t="s">
        <v>496</v>
      </c>
      <c r="D44125" t="s">
        <v>691</v>
      </c>
      <c r="E44125" t="s">
        <v>158</v>
      </c>
      <c r="F44125" s="2" t="str">
        <f>HYPERLINK("http://www.otzar.org/book.asp?52094","תולדות יצחק")</f>
        <v>תולדות יצחק</v>
      </c>
    </row>
    <row r="44126" spans="1:6" x14ac:dyDescent="0.2">
      <c r="A44126" t="s">
        <v>66567</v>
      </c>
      <c r="B44126" t="s">
        <v>66572</v>
      </c>
      <c r="C44126" t="s">
        <v>189</v>
      </c>
      <c r="D44126" t="s">
        <v>52</v>
      </c>
      <c r="E44126" t="s">
        <v>202</v>
      </c>
      <c r="F44126" s="2" t="str">
        <f>HYPERLINK("http://www.otzar.org/book.asp?165380","תולדות יצחק - 3 כר'")</f>
        <v>תולדות יצחק - 3 כר'</v>
      </c>
    </row>
    <row r="44127" spans="1:6" x14ac:dyDescent="0.2">
      <c r="A44127" t="s">
        <v>66560</v>
      </c>
      <c r="B44127" t="s">
        <v>15045</v>
      </c>
      <c r="C44127" t="s">
        <v>748</v>
      </c>
      <c r="D44127" t="s">
        <v>283</v>
      </c>
      <c r="E44127" t="s">
        <v>733</v>
      </c>
      <c r="F44127" s="2" t="str">
        <f>HYPERLINK("http://www.otzar.org/book.asp?17058","תולדות יצחק")</f>
        <v>תולדות יצחק</v>
      </c>
    </row>
    <row r="44128" spans="1:6" x14ac:dyDescent="0.2">
      <c r="A44128" t="s">
        <v>66563</v>
      </c>
      <c r="B44128" t="s">
        <v>66573</v>
      </c>
      <c r="C44128" t="s">
        <v>946</v>
      </c>
      <c r="D44128" t="s">
        <v>9</v>
      </c>
      <c r="E44128" t="s">
        <v>234</v>
      </c>
      <c r="F44128" s="2" t="str">
        <f>HYPERLINK("http://www.otzar.org/book.asp?11392","תולדות יצחק - 2 כר'")</f>
        <v>תולדות יצחק - 2 כר'</v>
      </c>
    </row>
    <row r="44129" spans="1:6" x14ac:dyDescent="0.2">
      <c r="A44129" t="s">
        <v>66567</v>
      </c>
      <c r="B44129" t="s">
        <v>66574</v>
      </c>
      <c r="C44129" t="s">
        <v>523</v>
      </c>
      <c r="D44129" t="s">
        <v>14</v>
      </c>
      <c r="E44129" t="s">
        <v>15</v>
      </c>
      <c r="F44129" s="2" t="str">
        <f>HYPERLINK("http://www.otzar.org/book.asp?28144","תולדות יצחק - 3 כר'")</f>
        <v>תולדות יצחק - 3 כר'</v>
      </c>
    </row>
    <row r="44130" spans="1:6" x14ac:dyDescent="0.2">
      <c r="A44130" t="s">
        <v>66560</v>
      </c>
      <c r="B44130" t="s">
        <v>66575</v>
      </c>
      <c r="C44130" t="s">
        <v>576</v>
      </c>
      <c r="D44130" t="s">
        <v>10393</v>
      </c>
      <c r="E44130" t="s">
        <v>144</v>
      </c>
      <c r="F44130" s="2" t="str">
        <f>HYPERLINK("http://www.otzar.org/book.asp?28477","תולדות יצחק")</f>
        <v>תולדות יצחק</v>
      </c>
    </row>
    <row r="44131" spans="1:6" x14ac:dyDescent="0.2">
      <c r="A44131" t="s">
        <v>66567</v>
      </c>
      <c r="B44131" t="s">
        <v>66576</v>
      </c>
      <c r="C44131" t="s">
        <v>66577</v>
      </c>
      <c r="D44131" t="s">
        <v>1411</v>
      </c>
      <c r="F44131" s="2" t="str">
        <f>HYPERLINK("http://www.otzar.org/book.asp?619151","תולדות יצחק - 3 כר'")</f>
        <v>תולדות יצחק - 3 כר'</v>
      </c>
    </row>
    <row r="44132" spans="1:6" x14ac:dyDescent="0.2">
      <c r="A44132" t="s">
        <v>66560</v>
      </c>
      <c r="B44132" t="s">
        <v>6486</v>
      </c>
      <c r="C44132" t="s">
        <v>1169</v>
      </c>
      <c r="D44132" t="s">
        <v>986</v>
      </c>
      <c r="E44132" t="s">
        <v>2088</v>
      </c>
      <c r="F44132" s="2" t="str">
        <f>HYPERLINK("http://www.otzar.org/book.asp?14023","תולדות יצחק")</f>
        <v>תולדות יצחק</v>
      </c>
    </row>
    <row r="44133" spans="1:6" x14ac:dyDescent="0.2">
      <c r="A44133" t="s">
        <v>66560</v>
      </c>
      <c r="B44133" t="s">
        <v>17331</v>
      </c>
      <c r="C44133" t="s">
        <v>106</v>
      </c>
      <c r="D44133" t="s">
        <v>52</v>
      </c>
      <c r="E44133" t="s">
        <v>144</v>
      </c>
      <c r="F44133" s="2" t="str">
        <f>HYPERLINK("http://www.otzar.org/book.asp?148625","תולדות יצחק")</f>
        <v>תולדות יצחק</v>
      </c>
    </row>
    <row r="44134" spans="1:6" x14ac:dyDescent="0.2">
      <c r="A44134" t="s">
        <v>66560</v>
      </c>
      <c r="B44134" t="s">
        <v>66578</v>
      </c>
      <c r="C44134" t="s">
        <v>20</v>
      </c>
      <c r="D44134" t="s">
        <v>21</v>
      </c>
      <c r="E44134" t="s">
        <v>230</v>
      </c>
      <c r="F44134" s="2" t="str">
        <f>HYPERLINK("http://www.otzar.org/book.asp?606689","תולדות יצחק")</f>
        <v>תולדות יצחק</v>
      </c>
    </row>
    <row r="44135" spans="1:6" x14ac:dyDescent="0.2">
      <c r="A44135" t="s">
        <v>66560</v>
      </c>
      <c r="B44135" t="s">
        <v>66579</v>
      </c>
      <c r="C44135" t="s">
        <v>189</v>
      </c>
      <c r="D44135" t="s">
        <v>14</v>
      </c>
      <c r="E44135" t="s">
        <v>834</v>
      </c>
      <c r="F44135" s="2" t="str">
        <f>HYPERLINK("http://www.otzar.org/book.asp?61835","תולדות יצחק")</f>
        <v>תולדות יצחק</v>
      </c>
    </row>
    <row r="44136" spans="1:6" x14ac:dyDescent="0.2">
      <c r="A44136" t="s">
        <v>66580</v>
      </c>
      <c r="B44136" t="s">
        <v>66581</v>
      </c>
      <c r="C44136" t="s">
        <v>133</v>
      </c>
      <c r="D44136" t="s">
        <v>14</v>
      </c>
      <c r="E44136" t="s">
        <v>202</v>
      </c>
      <c r="F44136" s="2" t="str">
        <f>HYPERLINK("http://www.otzar.org/book.asp?179803","תולדות ישורון")</f>
        <v>תולדות ישורון</v>
      </c>
    </row>
    <row r="44137" spans="1:6" x14ac:dyDescent="0.2">
      <c r="A44137" t="s">
        <v>66582</v>
      </c>
      <c r="B44137" t="s">
        <v>66583</v>
      </c>
      <c r="C44137" t="s">
        <v>5903</v>
      </c>
      <c r="D44137" t="s">
        <v>1117</v>
      </c>
      <c r="E44137" t="s">
        <v>733</v>
      </c>
      <c r="F44137" s="2" t="str">
        <f>HYPERLINK("http://www.otzar.org/book.asp?188748","תולדות ישחק")</f>
        <v>תולדות ישחק</v>
      </c>
    </row>
    <row r="44138" spans="1:6" x14ac:dyDescent="0.2">
      <c r="A44138" t="s">
        <v>66584</v>
      </c>
      <c r="B44138" t="s">
        <v>18713</v>
      </c>
      <c r="C44138" t="s">
        <v>462</v>
      </c>
      <c r="D44138" t="s">
        <v>225</v>
      </c>
      <c r="E44138" t="s">
        <v>119</v>
      </c>
      <c r="F44138" s="2" t="str">
        <f>HYPERLINK("http://www.otzar.org/book.asp?188732","תולדות ישיבת היהודים בקורלאנד")</f>
        <v>תולדות ישיבת היהודים בקורלאנד</v>
      </c>
    </row>
    <row r="44139" spans="1:6" x14ac:dyDescent="0.2">
      <c r="A44139" t="s">
        <v>66585</v>
      </c>
      <c r="B44139" t="s">
        <v>66586</v>
      </c>
      <c r="C44139" t="s">
        <v>411</v>
      </c>
      <c r="D44139" t="s">
        <v>412</v>
      </c>
      <c r="E44139" t="s">
        <v>21762</v>
      </c>
      <c r="F44139" s="2" t="str">
        <f>HYPERLINK("http://www.otzar.org/book.asp?180922","תולדות ישראל &lt;מהדרוה חדשה&gt;")</f>
        <v>תולדות ישראל &lt;מהדרוה חדשה&gt;</v>
      </c>
    </row>
    <row r="44140" spans="1:6" x14ac:dyDescent="0.2">
      <c r="A44140" t="s">
        <v>66587</v>
      </c>
      <c r="B44140" t="s">
        <v>18584</v>
      </c>
      <c r="C44140" t="s">
        <v>160</v>
      </c>
      <c r="D44140" t="s">
        <v>27</v>
      </c>
      <c r="E44140" t="s">
        <v>14466</v>
      </c>
      <c r="F44140" s="2" t="str">
        <f>HYPERLINK("http://www.otzar.org/book.asp?154052","תולדות ישראל ימות עולם")</f>
        <v>תולדות ישראל ימות עולם</v>
      </c>
    </row>
    <row r="44141" spans="1:6" x14ac:dyDescent="0.2">
      <c r="A44141" t="s">
        <v>66588</v>
      </c>
      <c r="B44141" t="s">
        <v>14039</v>
      </c>
      <c r="C44141" t="s">
        <v>286</v>
      </c>
      <c r="D44141" t="s">
        <v>9</v>
      </c>
      <c r="E44141" t="s">
        <v>5860</v>
      </c>
      <c r="F44141" s="2" t="str">
        <f>HYPERLINK("http://www.otzar.org/book.asp?100655","תולדות ישראל רוקח")</f>
        <v>תולדות ישראל רוקח</v>
      </c>
    </row>
    <row r="44142" spans="1:6" x14ac:dyDescent="0.2">
      <c r="A44142" t="s">
        <v>66589</v>
      </c>
      <c r="B44142" t="s">
        <v>2004</v>
      </c>
      <c r="C44142" t="s">
        <v>106</v>
      </c>
      <c r="D44142" t="s">
        <v>216</v>
      </c>
      <c r="E44142" t="s">
        <v>84</v>
      </c>
      <c r="F44142" s="2" t="str">
        <f>HYPERLINK("http://www.otzar.org/book.asp?154364","תולדות ישראל")</f>
        <v>תולדות ישראל</v>
      </c>
    </row>
    <row r="44143" spans="1:6" x14ac:dyDescent="0.2">
      <c r="A44143" t="s">
        <v>66590</v>
      </c>
      <c r="B44143" t="s">
        <v>66586</v>
      </c>
      <c r="C44143" t="s">
        <v>63</v>
      </c>
      <c r="D44143" t="s">
        <v>412</v>
      </c>
      <c r="E44143" t="s">
        <v>9557</v>
      </c>
      <c r="F44143" s="2" t="str">
        <f>HYPERLINK("http://www.otzar.org/book.asp?144805","תולדות ישראל - 2 כר'")</f>
        <v>תולדות ישראל - 2 כר'</v>
      </c>
    </row>
    <row r="44144" spans="1:6" x14ac:dyDescent="0.2">
      <c r="A44144" t="s">
        <v>66591</v>
      </c>
      <c r="B44144" t="s">
        <v>41066</v>
      </c>
      <c r="C44144" t="s">
        <v>66592</v>
      </c>
      <c r="D44144" t="s">
        <v>260</v>
      </c>
      <c r="E44144" t="s">
        <v>119</v>
      </c>
      <c r="F44144" s="2" t="str">
        <f>HYPERLINK("http://www.otzar.org/book.asp?15094","תולדות ישראל - ח")</f>
        <v>תולדות ישראל - ח</v>
      </c>
    </row>
    <row r="44145" spans="1:6" x14ac:dyDescent="0.2">
      <c r="A44145" t="s">
        <v>66593</v>
      </c>
      <c r="B44145" t="s">
        <v>37787</v>
      </c>
      <c r="C44145" t="s">
        <v>5903</v>
      </c>
      <c r="D44145" t="s">
        <v>9</v>
      </c>
      <c r="E44145" t="s">
        <v>119</v>
      </c>
      <c r="F44145" s="2" t="str">
        <f>HYPERLINK("http://www.otzar.org/book.asp?52092","תולדות ישרון")</f>
        <v>תולדות ישרון</v>
      </c>
    </row>
    <row r="44146" spans="1:6" x14ac:dyDescent="0.2">
      <c r="A44146" t="s">
        <v>66594</v>
      </c>
      <c r="B44146" t="s">
        <v>66595</v>
      </c>
      <c r="C44146" t="s">
        <v>244</v>
      </c>
      <c r="D44146" t="s">
        <v>412</v>
      </c>
      <c r="E44146" t="s">
        <v>119</v>
      </c>
      <c r="F44146" s="2" t="str">
        <f>HYPERLINK("http://www.otzar.org/book.asp?601491","תולדות לבושי מרדכי")</f>
        <v>תולדות לבושי מרדכי</v>
      </c>
    </row>
    <row r="44147" spans="1:6" x14ac:dyDescent="0.2">
      <c r="A44147" t="s">
        <v>66596</v>
      </c>
      <c r="B44147" t="s">
        <v>46619</v>
      </c>
      <c r="C44147" t="s">
        <v>351</v>
      </c>
      <c r="D44147" t="s">
        <v>1913</v>
      </c>
      <c r="E44147" t="s">
        <v>119</v>
      </c>
      <c r="F44147" s="2" t="str">
        <f>HYPERLINK("http://www.otzar.org/book.asp?188749","תולדות מאנטעפיורי")</f>
        <v>תולדות מאנטעפיורי</v>
      </c>
    </row>
    <row r="44148" spans="1:6" x14ac:dyDescent="0.2">
      <c r="A44148" t="s">
        <v>66597</v>
      </c>
      <c r="B44148" t="s">
        <v>19004</v>
      </c>
      <c r="C44148" t="s">
        <v>129</v>
      </c>
      <c r="D44148" t="s">
        <v>216</v>
      </c>
      <c r="E44148" t="s">
        <v>119</v>
      </c>
      <c r="F44148" s="2" t="str">
        <f>HYPERLINK("http://www.otzar.org/book.asp?143457","תולדות מהרא""ל צינץ")</f>
        <v>תולדות מהרא"ל צינץ</v>
      </c>
    </row>
    <row r="44149" spans="1:6" x14ac:dyDescent="0.2">
      <c r="A44149" t="s">
        <v>66598</v>
      </c>
      <c r="B44149" t="s">
        <v>33571</v>
      </c>
      <c r="C44149" t="s">
        <v>617</v>
      </c>
      <c r="D44149" t="s">
        <v>1117</v>
      </c>
      <c r="E44149" t="s">
        <v>119</v>
      </c>
      <c r="F44149" s="2" t="str">
        <f>HYPERLINK("http://www.otzar.org/book.asp?188750","תולדות מהרח""ן")</f>
        <v>תולדות מהרח"ן</v>
      </c>
    </row>
    <row r="44150" spans="1:6" x14ac:dyDescent="0.2">
      <c r="A44150" t="s">
        <v>66599</v>
      </c>
      <c r="B44150" t="s">
        <v>66600</v>
      </c>
      <c r="C44150" t="s">
        <v>224</v>
      </c>
      <c r="D44150" t="s">
        <v>14</v>
      </c>
      <c r="E44150" t="s">
        <v>119</v>
      </c>
      <c r="F44150" s="2" t="str">
        <f>HYPERLINK("http://www.otzar.org/book.asp?142875","תולדות מחבר ספרי לשם שבו ואחלמה ר' שלמה אליאשאוו זצוק""ל")</f>
        <v>תולדות מחבר ספרי לשם שבו ואחלמה ר' שלמה אליאשאוו זצוק"ל</v>
      </c>
    </row>
    <row r="44151" spans="1:6" x14ac:dyDescent="0.2">
      <c r="A44151" t="s">
        <v>66601</v>
      </c>
      <c r="B44151" t="s">
        <v>18900</v>
      </c>
      <c r="C44151" t="s">
        <v>17339</v>
      </c>
      <c r="D44151" t="s">
        <v>283</v>
      </c>
      <c r="E44151" t="s">
        <v>119</v>
      </c>
      <c r="F44151" s="2" t="str">
        <f>HYPERLINK("http://www.otzar.org/book.asp?14640","תולדות מלחמת היהודים עם הרומאים &lt;כתבי יוסף בן מתתיהו&gt; - 2 כר'")</f>
        <v>תולדות מלחמת היהודים עם הרומאים &lt;כתבי יוסף בן מתתיהו&gt; - 2 כר'</v>
      </c>
    </row>
    <row r="44152" spans="1:6" x14ac:dyDescent="0.2">
      <c r="A44152" t="s">
        <v>66602</v>
      </c>
      <c r="B44152" t="s">
        <v>17839</v>
      </c>
      <c r="C44152" t="s">
        <v>433</v>
      </c>
      <c r="D44152" t="s">
        <v>27</v>
      </c>
      <c r="E44152" t="s">
        <v>119</v>
      </c>
      <c r="F44152" s="2" t="str">
        <f>HYPERLINK("http://www.otzar.org/book.asp?106469","תולדות מנחם - 2 כר'")</f>
        <v>תולדות מנחם - 2 כר'</v>
      </c>
    </row>
    <row r="44153" spans="1:6" x14ac:dyDescent="0.2">
      <c r="A44153" t="s">
        <v>66603</v>
      </c>
      <c r="B44153" t="s">
        <v>66604</v>
      </c>
      <c r="C44153" t="s">
        <v>1096</v>
      </c>
      <c r="D44153" t="s">
        <v>283</v>
      </c>
      <c r="E44153" t="s">
        <v>119</v>
      </c>
      <c r="F44153" s="2" t="str">
        <f>HYPERLINK("http://www.otzar.org/book.asp?106992","תולדות מסעי הצלב")</f>
        <v>תולדות מסעי הצלב</v>
      </c>
    </row>
    <row r="44154" spans="1:6" x14ac:dyDescent="0.2">
      <c r="A44154" t="s">
        <v>66605</v>
      </c>
      <c r="B44154" t="s">
        <v>66606</v>
      </c>
      <c r="C44154" t="s">
        <v>20</v>
      </c>
      <c r="D44154" t="s">
        <v>90</v>
      </c>
      <c r="E44154" t="s">
        <v>119</v>
      </c>
      <c r="F44154" s="2" t="str">
        <f>HYPERLINK("http://www.otzar.org/book.asp?155629","תולדות מרן רבינו גאב""ד נוה אחיעזר")</f>
        <v>תולדות מרן רבינו גאב"ד נוה אחיעזר</v>
      </c>
    </row>
    <row r="44155" spans="1:6" x14ac:dyDescent="0.2">
      <c r="A44155" t="s">
        <v>66607</v>
      </c>
      <c r="B44155" t="s">
        <v>39918</v>
      </c>
      <c r="C44155" t="s">
        <v>1177</v>
      </c>
      <c r="D44155" t="s">
        <v>1279</v>
      </c>
      <c r="E44155" t="s">
        <v>2075</v>
      </c>
      <c r="F44155" s="2" t="str">
        <f>HYPERLINK("http://www.otzar.org/book.asp?12084","תולדות משה חיים לוצאטו")</f>
        <v>תולדות משה חיים לוצאטו</v>
      </c>
    </row>
    <row r="44156" spans="1:6" x14ac:dyDescent="0.2">
      <c r="A44156" t="s">
        <v>66608</v>
      </c>
      <c r="B44156" t="s">
        <v>6592</v>
      </c>
      <c r="C44156" t="s">
        <v>1047</v>
      </c>
      <c r="D44156" t="s">
        <v>283</v>
      </c>
      <c r="E44156" t="s">
        <v>246</v>
      </c>
      <c r="F44156" s="2" t="str">
        <f>HYPERLINK("http://www.otzar.org/book.asp?52088","תולדות משה")</f>
        <v>תולדות משה</v>
      </c>
    </row>
    <row r="44157" spans="1:6" x14ac:dyDescent="0.2">
      <c r="A44157" t="s">
        <v>66609</v>
      </c>
      <c r="B44157" t="s">
        <v>31621</v>
      </c>
      <c r="C44157" t="s">
        <v>1904</v>
      </c>
      <c r="D44157" t="s">
        <v>35081</v>
      </c>
      <c r="E44157" t="s">
        <v>119</v>
      </c>
      <c r="F44157" s="2" t="str">
        <f>HYPERLINK("http://www.otzar.org/book.asp?144167","תולדות משפחת הורוויץ")</f>
        <v>תולדות משפחת הורוויץ</v>
      </c>
    </row>
    <row r="44158" spans="1:6" x14ac:dyDescent="0.2">
      <c r="A44158" t="s">
        <v>66609</v>
      </c>
      <c r="B44158" t="s">
        <v>10458</v>
      </c>
      <c r="C44158" t="s">
        <v>360</v>
      </c>
      <c r="D44158" t="s">
        <v>322</v>
      </c>
      <c r="E44158" t="s">
        <v>119</v>
      </c>
      <c r="F44158" s="2" t="str">
        <f>HYPERLINK("http://www.otzar.org/book.asp?188574","תולדות משפחת הורוויץ")</f>
        <v>תולדות משפחת הורוויץ</v>
      </c>
    </row>
    <row r="44159" spans="1:6" x14ac:dyDescent="0.2">
      <c r="A44159" t="s">
        <v>66610</v>
      </c>
      <c r="B44159" t="s">
        <v>66611</v>
      </c>
      <c r="C44159" t="s">
        <v>168</v>
      </c>
      <c r="D44159" t="s">
        <v>14</v>
      </c>
      <c r="E44159" t="s">
        <v>119</v>
      </c>
      <c r="F44159" s="2" t="str">
        <f>HYPERLINK("http://www.otzar.org/book.asp?180137","תולדות משפחת מונק")</f>
        <v>תולדות משפחת מונק</v>
      </c>
    </row>
    <row r="44160" spans="1:6" x14ac:dyDescent="0.2">
      <c r="A44160" t="s">
        <v>66612</v>
      </c>
      <c r="B44160" t="s">
        <v>66613</v>
      </c>
      <c r="C44160" t="s">
        <v>313</v>
      </c>
      <c r="D44160" t="s">
        <v>14</v>
      </c>
      <c r="E44160" t="s">
        <v>119</v>
      </c>
      <c r="F44160" s="2" t="str">
        <f>HYPERLINK("http://www.otzar.org/book.asp?25964","תולדות משפחת קרלינסקי לדורותיה")</f>
        <v>תולדות משפחת קרלינסקי לדורותיה</v>
      </c>
    </row>
    <row r="44161" spans="1:6" x14ac:dyDescent="0.2">
      <c r="A44161" t="s">
        <v>66614</v>
      </c>
      <c r="B44161" t="s">
        <v>4975</v>
      </c>
      <c r="C44161" t="s">
        <v>2550</v>
      </c>
      <c r="D44161" t="s">
        <v>974</v>
      </c>
      <c r="E44161" t="s">
        <v>2633</v>
      </c>
      <c r="F44161" s="2" t="str">
        <f>HYPERLINK("http://www.otzar.org/book.asp?141008","תולדות משפחת ראזענטהאל")</f>
        <v>תולדות משפחת ראזענטהאל</v>
      </c>
    </row>
    <row r="44162" spans="1:6" x14ac:dyDescent="0.2">
      <c r="A44162" t="s">
        <v>66615</v>
      </c>
      <c r="B44162" t="s">
        <v>10458</v>
      </c>
      <c r="C44162" t="s">
        <v>66616</v>
      </c>
      <c r="D44162" t="s">
        <v>66617</v>
      </c>
      <c r="E44162" t="s">
        <v>119</v>
      </c>
      <c r="F44162" s="2" t="str">
        <f>HYPERLINK("http://www.otzar.org/book.asp?61580","תולדות משפחת שור")</f>
        <v>תולדות משפחת שור</v>
      </c>
    </row>
    <row r="44163" spans="1:6" x14ac:dyDescent="0.2">
      <c r="A44163" t="s">
        <v>66618</v>
      </c>
      <c r="B44163" t="s">
        <v>66619</v>
      </c>
      <c r="C44163" t="s">
        <v>775</v>
      </c>
      <c r="D44163" t="s">
        <v>52</v>
      </c>
      <c r="E44163" t="s">
        <v>24232</v>
      </c>
      <c r="F44163" s="2" t="str">
        <f>HYPERLINK("http://www.otzar.org/book.asp?153787","תולדות נ""ח - 2 כר'")</f>
        <v>תולדות נ"ח - 2 כר'</v>
      </c>
    </row>
    <row r="44164" spans="1:6" x14ac:dyDescent="0.2">
      <c r="A44164" t="s">
        <v>66620</v>
      </c>
      <c r="B44164" t="s">
        <v>206</v>
      </c>
      <c r="C44164" t="s">
        <v>956</v>
      </c>
      <c r="D44164" t="s">
        <v>52</v>
      </c>
      <c r="F44164" s="2" t="str">
        <f>HYPERLINK("http://www.otzar.org/book.asp?611696","תולדות נודע ביהודה")</f>
        <v>תולדות נודע ביהודה</v>
      </c>
    </row>
    <row r="44165" spans="1:6" x14ac:dyDescent="0.2">
      <c r="A44165" t="s">
        <v>66621</v>
      </c>
      <c r="B44165" t="s">
        <v>42520</v>
      </c>
      <c r="C44165" t="s">
        <v>411</v>
      </c>
      <c r="D44165" t="s">
        <v>14</v>
      </c>
      <c r="E44165" t="s">
        <v>104</v>
      </c>
      <c r="F44165" s="2" t="str">
        <f>HYPERLINK("http://www.otzar.org/book.asp?167834","תולדות נח - מצוות ודיני בן נח")</f>
        <v>תולדות נח - מצוות ודיני בן נח</v>
      </c>
    </row>
    <row r="44166" spans="1:6" x14ac:dyDescent="0.2">
      <c r="A44166" t="s">
        <v>66622</v>
      </c>
      <c r="B44166" t="s">
        <v>66623</v>
      </c>
      <c r="C44166" t="s">
        <v>20</v>
      </c>
      <c r="D44166" t="s">
        <v>90</v>
      </c>
      <c r="F44166" s="2" t="str">
        <f>HYPERLINK("http://www.otzar.org/book.asp?616839","תולדות נח - 4 כר'")</f>
        <v>תולדות נח - 4 כר'</v>
      </c>
    </row>
    <row r="44167" spans="1:6" x14ac:dyDescent="0.2">
      <c r="A44167" t="s">
        <v>66624</v>
      </c>
      <c r="B44167" t="s">
        <v>66625</v>
      </c>
      <c r="C44167" t="s">
        <v>18502</v>
      </c>
      <c r="D44167" t="s">
        <v>1117</v>
      </c>
      <c r="E44167" t="s">
        <v>1103</v>
      </c>
      <c r="F44167" s="2" t="str">
        <f>HYPERLINK("http://www.otzar.org/book.asp?21384","תולדות נח")</f>
        <v>תולדות נח</v>
      </c>
    </row>
    <row r="44168" spans="1:6" x14ac:dyDescent="0.2">
      <c r="A44168" t="s">
        <v>66624</v>
      </c>
      <c r="B44168" t="s">
        <v>66626</v>
      </c>
      <c r="C44168" t="s">
        <v>2605</v>
      </c>
      <c r="D44168" t="s">
        <v>283</v>
      </c>
      <c r="E44168" t="s">
        <v>1262</v>
      </c>
      <c r="F44168" s="2" t="str">
        <f>HYPERLINK("http://www.otzar.org/book.asp?100668","תולדות נח")</f>
        <v>תולדות נח</v>
      </c>
    </row>
    <row r="44169" spans="1:6" x14ac:dyDescent="0.2">
      <c r="A44169" t="s">
        <v>66622</v>
      </c>
      <c r="B44169" t="s">
        <v>37353</v>
      </c>
      <c r="C44169" t="s">
        <v>66627</v>
      </c>
      <c r="D44169" t="s">
        <v>56</v>
      </c>
      <c r="E44169" t="s">
        <v>234</v>
      </c>
      <c r="F44169" s="2" t="str">
        <f>HYPERLINK("http://www.otzar.org/book.asp?181306","תולדות נח - 4 כר'")</f>
        <v>תולדות נח - 4 כר'</v>
      </c>
    </row>
    <row r="44170" spans="1:6" x14ac:dyDescent="0.2">
      <c r="A44170" t="s">
        <v>66628</v>
      </c>
      <c r="B44170" t="s">
        <v>66629</v>
      </c>
      <c r="C44170" t="s">
        <v>26</v>
      </c>
      <c r="D44170" t="s">
        <v>646</v>
      </c>
      <c r="E44170" t="s">
        <v>733</v>
      </c>
      <c r="F44170" s="2" t="str">
        <f>HYPERLINK("http://www.otzar.org/book.asp?106785","תולדות סופרים")</f>
        <v>תולדות סופרים</v>
      </c>
    </row>
    <row r="44171" spans="1:6" x14ac:dyDescent="0.2">
      <c r="A44171" t="s">
        <v>66630</v>
      </c>
      <c r="B44171" t="s">
        <v>23961</v>
      </c>
      <c r="C44171" t="s">
        <v>989</v>
      </c>
      <c r="D44171" t="s">
        <v>14</v>
      </c>
      <c r="E44171" t="s">
        <v>119</v>
      </c>
      <c r="F44171" s="2" t="str">
        <f>HYPERLINK("http://www.otzar.org/book.asp?179736","תולדות עם ישראל - 4 כר'")</f>
        <v>תולדות עם ישראל - 4 כר'</v>
      </c>
    </row>
    <row r="44172" spans="1:6" x14ac:dyDescent="0.2">
      <c r="A44172" t="s">
        <v>66631</v>
      </c>
      <c r="B44172" t="s">
        <v>11621</v>
      </c>
      <c r="C44172" t="s">
        <v>17</v>
      </c>
      <c r="D44172" t="s">
        <v>14</v>
      </c>
      <c r="E44172" t="s">
        <v>119</v>
      </c>
      <c r="F44172" s="2" t="str">
        <f>HYPERLINK("http://www.otzar.org/book.asp?188918","תולדות עם עולם - 8 כר'")</f>
        <v>תולדות עם עולם - 8 כר'</v>
      </c>
    </row>
    <row r="44173" spans="1:6" x14ac:dyDescent="0.2">
      <c r="A44173" t="s">
        <v>66632</v>
      </c>
      <c r="B44173" t="s">
        <v>61276</v>
      </c>
      <c r="C44173" t="s">
        <v>1124</v>
      </c>
      <c r="D44173" t="s">
        <v>47249</v>
      </c>
      <c r="E44173" t="s">
        <v>226</v>
      </c>
      <c r="F44173" s="2" t="str">
        <f>HYPERLINK("http://www.otzar.org/book.asp?188720","תולדות עמודי החב""ד")</f>
        <v>תולדות עמודי החב"ד</v>
      </c>
    </row>
    <row r="44174" spans="1:6" x14ac:dyDescent="0.2">
      <c r="A44174" t="s">
        <v>66633</v>
      </c>
      <c r="B44174" t="s">
        <v>22462</v>
      </c>
      <c r="C44174" t="s">
        <v>334</v>
      </c>
      <c r="D44174" t="s">
        <v>412</v>
      </c>
      <c r="E44174" t="s">
        <v>119</v>
      </c>
      <c r="F44174" s="2" t="str">
        <f>HYPERLINK("http://www.otzar.org/book.asp?162377","תולדות ערוגת הבשם - 2 כר'")</f>
        <v>תולדות ערוגת הבשם - 2 כר'</v>
      </c>
    </row>
    <row r="44175" spans="1:6" x14ac:dyDescent="0.2">
      <c r="A44175" t="s">
        <v>66634</v>
      </c>
      <c r="B44175" t="s">
        <v>66635</v>
      </c>
      <c r="C44175" t="s">
        <v>17</v>
      </c>
      <c r="D44175" t="s">
        <v>66636</v>
      </c>
      <c r="E44175" t="s">
        <v>144</v>
      </c>
      <c r="F44175" s="2" t="str">
        <f>HYPERLINK("http://www.otzar.org/book.asp?51130","תולדות פרץ - 4 כר'")</f>
        <v>תולדות פרץ - 4 כר'</v>
      </c>
    </row>
    <row r="44176" spans="1:6" x14ac:dyDescent="0.2">
      <c r="A44176" t="s">
        <v>66637</v>
      </c>
      <c r="B44176" t="s">
        <v>66638</v>
      </c>
      <c r="C44176" t="s">
        <v>51</v>
      </c>
      <c r="D44176" t="s">
        <v>412</v>
      </c>
      <c r="E44176" t="s">
        <v>579</v>
      </c>
      <c r="F44176" s="2" t="str">
        <f>HYPERLINK("http://www.otzar.org/book.asp?172115","תולדות צבי - א")</f>
        <v>תולדות צבי - א</v>
      </c>
    </row>
    <row r="44177" spans="1:6" x14ac:dyDescent="0.2">
      <c r="A44177" t="s">
        <v>66639</v>
      </c>
      <c r="B44177" t="s">
        <v>30553</v>
      </c>
      <c r="C44177" t="s">
        <v>843</v>
      </c>
      <c r="D44177" t="s">
        <v>27</v>
      </c>
      <c r="E44177" t="s">
        <v>24513</v>
      </c>
      <c r="F44177" s="2" t="str">
        <f>HYPERLINK("http://www.otzar.org/book.asp?103779","תולדות קדושת לוי")</f>
        <v>תולדות קדושת לוי</v>
      </c>
    </row>
    <row r="44178" spans="1:6" x14ac:dyDescent="0.2">
      <c r="A44178" t="s">
        <v>66640</v>
      </c>
      <c r="B44178" t="s">
        <v>66641</v>
      </c>
      <c r="C44178" t="s">
        <v>2227</v>
      </c>
      <c r="D44178" t="s">
        <v>66642</v>
      </c>
      <c r="E44178" t="s">
        <v>119</v>
      </c>
      <c r="F44178" s="2" t="str">
        <f>HYPERLINK("http://www.otzar.org/book.asp?166817","תולדות ר' מרדכי בנעט זצללה""ה - 2 כר'")</f>
        <v>תולדות ר' מרדכי בנעט זצללה"ה - 2 כר'</v>
      </c>
    </row>
    <row r="44179" spans="1:6" x14ac:dyDescent="0.2">
      <c r="A44179" t="s">
        <v>66643</v>
      </c>
      <c r="B44179" t="s">
        <v>39918</v>
      </c>
      <c r="C44179" t="s">
        <v>1177</v>
      </c>
      <c r="D44179" t="s">
        <v>1279</v>
      </c>
      <c r="E44179" t="s">
        <v>119</v>
      </c>
      <c r="F44179" s="2" t="str">
        <f>HYPERLINK("http://www.otzar.org/book.asp?167520","תולדות ר' משה חיים לוצאטו")</f>
        <v>תולדות ר' משה חיים לוצאטו</v>
      </c>
    </row>
    <row r="44180" spans="1:6" x14ac:dyDescent="0.2">
      <c r="A44180" t="s">
        <v>66644</v>
      </c>
      <c r="B44180" t="s">
        <v>66645</v>
      </c>
      <c r="C44180" t="s">
        <v>411</v>
      </c>
      <c r="D44180" t="s">
        <v>14</v>
      </c>
      <c r="E44180" t="s">
        <v>119</v>
      </c>
      <c r="F44180" s="2" t="str">
        <f>HYPERLINK("http://www.otzar.org/book.asp?168579","תולדות רבי אברהם גרינבורג מקז'מארוק זצ""ל")</f>
        <v>תולדות רבי אברהם גרינבורג מקז'מארוק זצ"ל</v>
      </c>
    </row>
    <row r="44181" spans="1:6" x14ac:dyDescent="0.2">
      <c r="A44181" t="s">
        <v>66646</v>
      </c>
      <c r="B44181" t="s">
        <v>23494</v>
      </c>
      <c r="C44181" t="s">
        <v>63</v>
      </c>
      <c r="D44181" t="s">
        <v>14</v>
      </c>
      <c r="E44181" t="s">
        <v>119</v>
      </c>
      <c r="F44181" s="2" t="str">
        <f>HYPERLINK("http://www.otzar.org/book.asp?144658","תולדות רבי זוסמן סופר")</f>
        <v>תולדות רבי זוסמן סופר</v>
      </c>
    </row>
    <row r="44182" spans="1:6" x14ac:dyDescent="0.2">
      <c r="A44182" t="s">
        <v>66647</v>
      </c>
      <c r="B44182" t="s">
        <v>2834</v>
      </c>
      <c r="C44182" t="s">
        <v>3106</v>
      </c>
      <c r="D44182" t="s">
        <v>27</v>
      </c>
      <c r="E44182" t="s">
        <v>733</v>
      </c>
      <c r="F44182" s="2" t="str">
        <f>HYPERLINK("http://www.otzar.org/book.asp?149418","תולדות רבי חייא ובניו")</f>
        <v>תולדות רבי חייא ובניו</v>
      </c>
    </row>
    <row r="44183" spans="1:6" x14ac:dyDescent="0.2">
      <c r="A44183" t="s">
        <v>66648</v>
      </c>
      <c r="B44183" t="s">
        <v>60219</v>
      </c>
      <c r="C44183" t="s">
        <v>433</v>
      </c>
      <c r="D44183" t="s">
        <v>260</v>
      </c>
      <c r="E44183" t="s">
        <v>119</v>
      </c>
      <c r="F44183" s="2" t="str">
        <f>HYPERLINK("http://www.otzar.org/book.asp?26033","תולדות רבי חיים אלעזר וואקס")</f>
        <v>תולדות רבי חיים אלעזר וואקס</v>
      </c>
    </row>
    <row r="44184" spans="1:6" x14ac:dyDescent="0.2">
      <c r="A44184" t="s">
        <v>66649</v>
      </c>
      <c r="B44184" t="s">
        <v>5810</v>
      </c>
      <c r="C44184" t="s">
        <v>609</v>
      </c>
      <c r="D44184" t="s">
        <v>379</v>
      </c>
      <c r="E44184" t="s">
        <v>733</v>
      </c>
      <c r="F44184" s="2" t="str">
        <f>HYPERLINK("http://www.otzar.org/book.asp?100658","תולדות רבי יהודה החסיד")</f>
        <v>תולדות רבי יהודה החסיד</v>
      </c>
    </row>
    <row r="44185" spans="1:6" x14ac:dyDescent="0.2">
      <c r="A44185" t="s">
        <v>66650</v>
      </c>
      <c r="B44185" t="s">
        <v>66651</v>
      </c>
      <c r="C44185" t="s">
        <v>594</v>
      </c>
      <c r="D44185" t="s">
        <v>267</v>
      </c>
      <c r="E44185" t="s">
        <v>119</v>
      </c>
      <c r="F44185" s="2" t="str">
        <f>HYPERLINK("http://www.otzar.org/book.asp?182589","תולדות רבי עקיבא")</f>
        <v>תולדות רבי עקיבא</v>
      </c>
    </row>
    <row r="44186" spans="1:6" x14ac:dyDescent="0.2">
      <c r="A44186" t="s">
        <v>66652</v>
      </c>
      <c r="B44186" t="s">
        <v>10529</v>
      </c>
      <c r="C44186" t="s">
        <v>812</v>
      </c>
      <c r="D44186" t="s">
        <v>379</v>
      </c>
      <c r="E44186" t="s">
        <v>119</v>
      </c>
      <c r="F44186" s="2" t="str">
        <f>HYPERLINK("http://www.otzar.org/book.asp?23745","תולדות רבינו &lt;רח""א שפירא ממונקאטש&gt;")</f>
        <v>תולדות רבינו &lt;רח"א שפירא ממונקאטש&gt;</v>
      </c>
    </row>
    <row r="44187" spans="1:6" x14ac:dyDescent="0.2">
      <c r="A44187" t="s">
        <v>66653</v>
      </c>
      <c r="B44187" t="s">
        <v>66654</v>
      </c>
      <c r="C44187" t="s">
        <v>609</v>
      </c>
      <c r="D44187" t="s">
        <v>27</v>
      </c>
      <c r="E44187" t="s">
        <v>119</v>
      </c>
      <c r="F44187" s="2" t="str">
        <f>HYPERLINK("http://www.otzar.org/book.asp?20404","תולדות רבינו חזקיה די סילוה זצ""ל")</f>
        <v>תולדות רבינו חזקיה די סילוה זצ"ל</v>
      </c>
    </row>
    <row r="44188" spans="1:6" x14ac:dyDescent="0.2">
      <c r="A44188" t="s">
        <v>66655</v>
      </c>
      <c r="B44188" t="s">
        <v>3759</v>
      </c>
      <c r="C44188" t="s">
        <v>946</v>
      </c>
      <c r="D44188" t="s">
        <v>1279</v>
      </c>
      <c r="E44188" t="s">
        <v>119</v>
      </c>
      <c r="F44188" s="2" t="str">
        <f>HYPERLINK("http://www.otzar.org/book.asp?52090","תולדות רבינו חיים ן' עטר")</f>
        <v>תולדות רבינו חיים ן' עטר</v>
      </c>
    </row>
    <row r="44189" spans="1:6" x14ac:dyDescent="0.2">
      <c r="A44189" t="s">
        <v>66656</v>
      </c>
      <c r="B44189" t="s">
        <v>60219</v>
      </c>
      <c r="C44189" t="s">
        <v>482</v>
      </c>
      <c r="D44189" t="s">
        <v>260</v>
      </c>
      <c r="E44189" t="s">
        <v>119</v>
      </c>
      <c r="F44189" s="2" t="str">
        <f>HYPERLINK("http://www.otzar.org/book.asp?166808","תולדות רבינו יום-טוב ליפמן העלר")</f>
        <v>תולדות רבינו יום-טוב ליפמן העלר</v>
      </c>
    </row>
    <row r="44190" spans="1:6" x14ac:dyDescent="0.2">
      <c r="A44190" t="s">
        <v>66657</v>
      </c>
      <c r="B44190" t="s">
        <v>3035</v>
      </c>
      <c r="C44190" t="s">
        <v>3106</v>
      </c>
      <c r="D44190" t="s">
        <v>14</v>
      </c>
      <c r="E44190" t="s">
        <v>119</v>
      </c>
      <c r="F44190" s="2" t="str">
        <f>HYPERLINK("http://www.otzar.org/book.asp?156877","תולדות רבינו יחזקאל הלוי לנדא")</f>
        <v>תולדות רבינו יחזקאל הלוי לנדא</v>
      </c>
    </row>
    <row r="44191" spans="1:6" x14ac:dyDescent="0.2">
      <c r="A44191" t="s">
        <v>66658</v>
      </c>
      <c r="B44191" t="s">
        <v>21905</v>
      </c>
      <c r="C44191" t="s">
        <v>2644</v>
      </c>
      <c r="D44191" t="s">
        <v>225</v>
      </c>
      <c r="E44191" t="s">
        <v>119</v>
      </c>
      <c r="F44191" s="2" t="str">
        <f>HYPERLINK("http://www.otzar.org/book.asp?100654","תולדות רבינו מנחם עזריה מפאנו")</f>
        <v>תולדות רבינו מנחם עזריה מפאנו</v>
      </c>
    </row>
    <row r="44192" spans="1:6" x14ac:dyDescent="0.2">
      <c r="A44192" t="s">
        <v>66659</v>
      </c>
      <c r="B44192" t="s">
        <v>66660</v>
      </c>
      <c r="C44192" t="s">
        <v>1458</v>
      </c>
      <c r="D44192" t="s">
        <v>283</v>
      </c>
      <c r="E44192" t="s">
        <v>119</v>
      </c>
      <c r="F44192" s="2" t="str">
        <f>HYPERLINK("http://www.otzar.org/book.asp?151964","תולדות רבינו עקיבא איגר")</f>
        <v>תולדות רבינו עקיבא איגר</v>
      </c>
    </row>
    <row r="44193" spans="1:6" x14ac:dyDescent="0.2">
      <c r="A44193" t="s">
        <v>66661</v>
      </c>
      <c r="B44193" t="s">
        <v>66661</v>
      </c>
      <c r="C44193" t="s">
        <v>143</v>
      </c>
      <c r="D44193" t="s">
        <v>14</v>
      </c>
      <c r="E44193" t="s">
        <v>119</v>
      </c>
      <c r="F44193" s="2" t="str">
        <f>HYPERLINK("http://www.otzar.org/book.asp?17441","תולדות רבינו עקיבא יוסף שלזינגר")</f>
        <v>תולדות רבינו עקיבא יוסף שלזינגר</v>
      </c>
    </row>
    <row r="44194" spans="1:6" x14ac:dyDescent="0.2">
      <c r="A44194" t="s">
        <v>66662</v>
      </c>
      <c r="B44194" t="s">
        <v>3759</v>
      </c>
      <c r="C44194" t="s">
        <v>547</v>
      </c>
      <c r="D44194" t="s">
        <v>1279</v>
      </c>
      <c r="E44194" t="s">
        <v>66663</v>
      </c>
      <c r="F44194" s="2" t="str">
        <f>HYPERLINK("http://www.otzar.org/book.asp?574","תולדות רבנו אברהם מיימוני")</f>
        <v>תולדות רבנו אברהם מיימוני</v>
      </c>
    </row>
    <row r="44195" spans="1:6" x14ac:dyDescent="0.2">
      <c r="A44195" t="s">
        <v>66664</v>
      </c>
      <c r="B44195" t="s">
        <v>66664</v>
      </c>
      <c r="C44195" t="s">
        <v>2605</v>
      </c>
      <c r="D44195" t="s">
        <v>90</v>
      </c>
      <c r="E44195" t="s">
        <v>119</v>
      </c>
      <c r="F44195" s="2" t="str">
        <f>HYPERLINK("http://www.otzar.org/book.asp?197621","תולדות רבנו האי גאון")</f>
        <v>תולדות רבנו האי גאון</v>
      </c>
    </row>
    <row r="44196" spans="1:6" x14ac:dyDescent="0.2">
      <c r="A44196" t="s">
        <v>66665</v>
      </c>
      <c r="B44196" t="s">
        <v>2275</v>
      </c>
      <c r="C44196" t="s">
        <v>291</v>
      </c>
      <c r="D44196" t="s">
        <v>744</v>
      </c>
      <c r="E44196" t="s">
        <v>119</v>
      </c>
      <c r="F44196" s="2" t="str">
        <f>HYPERLINK("http://www.otzar.org/book.asp?148312","תולדות רבנו זרחיה הלוי")</f>
        <v>תולדות רבנו זרחיה הלוי</v>
      </c>
    </row>
    <row r="44197" spans="1:6" x14ac:dyDescent="0.2">
      <c r="A44197" t="s">
        <v>66666</v>
      </c>
      <c r="B44197" t="s">
        <v>66667</v>
      </c>
      <c r="C44197" t="s">
        <v>533</v>
      </c>
      <c r="D44197" t="s">
        <v>1076</v>
      </c>
      <c r="F44197" s="2" t="str">
        <f>HYPERLINK("http://www.otzar.org/book.asp?610770","תולדות רבנו חיים בן עטר")</f>
        <v>תולדות רבנו חיים בן עטר</v>
      </c>
    </row>
    <row r="44198" spans="1:6" x14ac:dyDescent="0.2">
      <c r="A44198" t="s">
        <v>66668</v>
      </c>
      <c r="B44198" t="s">
        <v>66669</v>
      </c>
      <c r="C44198" t="s">
        <v>20</v>
      </c>
      <c r="D44198" t="s">
        <v>90</v>
      </c>
      <c r="E44198" t="s">
        <v>119</v>
      </c>
      <c r="F44198" s="2" t="str">
        <f>HYPERLINK("http://www.otzar.org/book.asp?179933","תולדות רבנו חיים מוואלוז'ין - 2 כר'")</f>
        <v>תולדות רבנו חיים מוואלוז'ין - 2 כר'</v>
      </c>
    </row>
    <row r="44199" spans="1:6" x14ac:dyDescent="0.2">
      <c r="A44199" t="s">
        <v>66670</v>
      </c>
      <c r="B44199" t="s">
        <v>66671</v>
      </c>
      <c r="C44199" t="s">
        <v>496</v>
      </c>
      <c r="D44199" t="s">
        <v>1365</v>
      </c>
      <c r="E44199" t="s">
        <v>119</v>
      </c>
      <c r="F44199" s="2" t="str">
        <f>HYPERLINK("http://www.otzar.org/book.asp?626951","תולדות רבנו חיים מוואלוזין")</f>
        <v>תולדות רבנו חיים מוואלוזין</v>
      </c>
    </row>
    <row r="44200" spans="1:6" x14ac:dyDescent="0.2">
      <c r="A44200" t="s">
        <v>66672</v>
      </c>
      <c r="B44200" t="s">
        <v>107</v>
      </c>
      <c r="C44200" t="s">
        <v>466</v>
      </c>
      <c r="D44200" t="s">
        <v>14</v>
      </c>
      <c r="E44200" t="s">
        <v>119</v>
      </c>
      <c r="F44200" s="2" t="str">
        <f>HYPERLINK("http://www.otzar.org/book.asp?6254","תולדות רבנו משה בן מימון")</f>
        <v>תולדות רבנו משה בן מימון</v>
      </c>
    </row>
    <row r="44201" spans="1:6" x14ac:dyDescent="0.2">
      <c r="A44201" t="s">
        <v>66673</v>
      </c>
      <c r="B44201" t="s">
        <v>1417</v>
      </c>
      <c r="C44201" t="s">
        <v>3106</v>
      </c>
      <c r="D44201" t="s">
        <v>27</v>
      </c>
      <c r="E44201" t="s">
        <v>119</v>
      </c>
      <c r="F44201" s="2" t="str">
        <f>HYPERLINK("http://www.otzar.org/book.asp?106766","תולדות רבנו צבי הירש אשכנזי")</f>
        <v>תולדות רבנו צבי הירש אשכנזי</v>
      </c>
    </row>
    <row r="44202" spans="1:6" x14ac:dyDescent="0.2">
      <c r="A44202" t="s">
        <v>66674</v>
      </c>
      <c r="B44202" t="s">
        <v>66675</v>
      </c>
      <c r="C44202" t="s">
        <v>442</v>
      </c>
      <c r="D44202" t="s">
        <v>66676</v>
      </c>
      <c r="F44202" s="2" t="str">
        <f>HYPERLINK("http://www.otzar.org/book.asp?620218","תולדות רמב""ה ורשב""י")</f>
        <v>תולדות רמב"ה ורשב"י</v>
      </c>
    </row>
    <row r="44203" spans="1:6" x14ac:dyDescent="0.2">
      <c r="A44203" t="s">
        <v>66677</v>
      </c>
      <c r="B44203" t="s">
        <v>66678</v>
      </c>
      <c r="C44203" t="s">
        <v>2543</v>
      </c>
      <c r="D44203" t="s">
        <v>56</v>
      </c>
      <c r="E44203" t="s">
        <v>463</v>
      </c>
      <c r="F44203" s="2" t="str">
        <f>HYPERLINK("http://www.otzar.org/book.asp?168858","תולדות ש""ם")</f>
        <v>תולדות ש"ם</v>
      </c>
    </row>
    <row r="44204" spans="1:6" x14ac:dyDescent="0.2">
      <c r="A44204" t="s">
        <v>66679</v>
      </c>
      <c r="C44204" t="s">
        <v>20</v>
      </c>
      <c r="D44204" t="s">
        <v>9658</v>
      </c>
      <c r="E44204" t="s">
        <v>119</v>
      </c>
      <c r="F44204" s="2" t="str">
        <f>HYPERLINK("http://www.otzar.org/book.asp?613402","תולדות שולשלת רבינו יעקב אביחצירא")</f>
        <v>תולדות שולשלת רבינו יעקב אביחצירא</v>
      </c>
    </row>
    <row r="44205" spans="1:6" x14ac:dyDescent="0.2">
      <c r="A44205" t="s">
        <v>66680</v>
      </c>
      <c r="B44205" t="s">
        <v>66681</v>
      </c>
      <c r="C44205" t="s">
        <v>189</v>
      </c>
      <c r="D44205" t="s">
        <v>14</v>
      </c>
      <c r="F44205" s="2" t="str">
        <f>HYPERLINK("http://www.otzar.org/book.asp?611317","תולדות שלמה - 2 כר'")</f>
        <v>תולדות שלמה - 2 כר'</v>
      </c>
    </row>
    <row r="44206" spans="1:6" x14ac:dyDescent="0.2">
      <c r="A44206" t="s">
        <v>66682</v>
      </c>
      <c r="B44206" t="s">
        <v>23920</v>
      </c>
      <c r="C44206" t="s">
        <v>812</v>
      </c>
      <c r="D44206" t="s">
        <v>1100</v>
      </c>
      <c r="E44206" t="s">
        <v>1185</v>
      </c>
      <c r="F44206" s="2" t="str">
        <f>HYPERLINK("http://www.otzar.org/book.asp?20401","תולדות שלמה")</f>
        <v>תולדות שלמה</v>
      </c>
    </row>
    <row r="44207" spans="1:6" x14ac:dyDescent="0.2">
      <c r="A44207" t="s">
        <v>66683</v>
      </c>
      <c r="B44207" t="s">
        <v>66684</v>
      </c>
      <c r="C44207" t="s">
        <v>286</v>
      </c>
      <c r="D44207" t="s">
        <v>379</v>
      </c>
      <c r="E44207" t="s">
        <v>119</v>
      </c>
      <c r="F44207" s="2" t="str">
        <f>HYPERLINK("http://www.otzar.org/book.asp?144620","תולדות שמואל")</f>
        <v>תולדות שמואל</v>
      </c>
    </row>
    <row r="44208" spans="1:6" x14ac:dyDescent="0.2">
      <c r="A44208" t="s">
        <v>66683</v>
      </c>
      <c r="B44208" t="s">
        <v>66685</v>
      </c>
      <c r="C44208" t="s">
        <v>20</v>
      </c>
      <c r="D44208" t="s">
        <v>139</v>
      </c>
      <c r="E44208" t="s">
        <v>226</v>
      </c>
      <c r="F44208" s="2" t="str">
        <f>HYPERLINK("http://www.otzar.org/book.asp?193024","תולדות שמואל")</f>
        <v>תולדות שמואל</v>
      </c>
    </row>
    <row r="44209" spans="1:6" x14ac:dyDescent="0.2">
      <c r="A44209" t="s">
        <v>66686</v>
      </c>
      <c r="B44209" t="s">
        <v>11816</v>
      </c>
      <c r="C44209" t="s">
        <v>10667</v>
      </c>
      <c r="D44209" t="s">
        <v>2710</v>
      </c>
      <c r="E44209" t="s">
        <v>579</v>
      </c>
      <c r="F44209" s="2" t="str">
        <f>HYPERLINK("http://www.otzar.org/book.asp?19219","תולדות שמואל - 3 כר'")</f>
        <v>תולדות שמואל - 3 כר'</v>
      </c>
    </row>
    <row r="44210" spans="1:6" x14ac:dyDescent="0.2">
      <c r="A44210" t="s">
        <v>66687</v>
      </c>
      <c r="B44210" t="s">
        <v>502</v>
      </c>
      <c r="C44210" t="s">
        <v>503</v>
      </c>
      <c r="D44210" t="s">
        <v>283</v>
      </c>
      <c r="E44210" t="s">
        <v>158</v>
      </c>
      <c r="F44210" s="2" t="str">
        <f>HYPERLINK("http://www.otzar.org/book.asp?20400","תולדות שמים וארץ")</f>
        <v>תולדות שמים וארץ</v>
      </c>
    </row>
    <row r="44211" spans="1:6" x14ac:dyDescent="0.2">
      <c r="A44211" t="s">
        <v>66688</v>
      </c>
      <c r="B44211" t="s">
        <v>13591</v>
      </c>
      <c r="C44211" t="s">
        <v>6995</v>
      </c>
      <c r="D44211" t="s">
        <v>1660</v>
      </c>
      <c r="E44211" t="s">
        <v>84</v>
      </c>
      <c r="F44211" s="2" t="str">
        <f>HYPERLINK("http://www.otzar.org/book.asp?10613","תולדות שמשון")</f>
        <v>תולדות שמשון</v>
      </c>
    </row>
    <row r="44212" spans="1:6" x14ac:dyDescent="0.2">
      <c r="A44212" t="s">
        <v>66689</v>
      </c>
      <c r="B44212" t="s">
        <v>107</v>
      </c>
      <c r="C44212" t="s">
        <v>20</v>
      </c>
      <c r="D44212" t="s">
        <v>14</v>
      </c>
      <c r="E44212" t="s">
        <v>119</v>
      </c>
      <c r="F44212" s="2" t="str">
        <f>HYPERLINK("http://www.otzar.org/book.asp?6262","תולדות תלמידי רבי עקיבא רבי מאיר ורבי שמעון בן יוחאי")</f>
        <v>תולדות תלמידי רבי עקיבא רבי מאיר ורבי שמעון בן יוחאי</v>
      </c>
    </row>
    <row r="44213" spans="1:6" x14ac:dyDescent="0.2">
      <c r="A44213" t="s">
        <v>66690</v>
      </c>
      <c r="B44213" t="s">
        <v>2857</v>
      </c>
      <c r="C44213" t="s">
        <v>180</v>
      </c>
      <c r="D44213" t="s">
        <v>14</v>
      </c>
      <c r="E44213" t="s">
        <v>119</v>
      </c>
      <c r="F44213" s="2" t="str">
        <f>HYPERLINK("http://www.otzar.org/book.asp?179313","תולדות תנאים ואמוראים - 3 כר'")</f>
        <v>תולדות תנאים ואמוראים - 3 כר'</v>
      </c>
    </row>
    <row r="44214" spans="1:6" x14ac:dyDescent="0.2">
      <c r="A44214" t="s">
        <v>66691</v>
      </c>
      <c r="B44214" t="s">
        <v>66692</v>
      </c>
      <c r="C44214" t="s">
        <v>129</v>
      </c>
      <c r="D44214" t="s">
        <v>412</v>
      </c>
      <c r="E44214" t="s">
        <v>119</v>
      </c>
      <c r="F44214" s="2" t="str">
        <f>HYPERLINK("http://www.otzar.org/book.asp?150884","תולדותיהם של צדיקים")</f>
        <v>תולדותיהם של צדיקים</v>
      </c>
    </row>
    <row r="44215" spans="1:6" x14ac:dyDescent="0.2">
      <c r="A44215" t="s">
        <v>66693</v>
      </c>
      <c r="B44215" t="s">
        <v>9496</v>
      </c>
      <c r="C44215" t="s">
        <v>334</v>
      </c>
      <c r="D44215" t="s">
        <v>21</v>
      </c>
      <c r="E44215" t="s">
        <v>104</v>
      </c>
      <c r="F44215" s="2" t="str">
        <f>HYPERLINK("http://www.otzar.org/book.asp?603720","תולדותיו ומפעלו הספרותי של הרב עזיאל")</f>
        <v>תולדותיו ומפעלו הספרותי של הרב עזיאל</v>
      </c>
    </row>
    <row r="44216" spans="1:6" x14ac:dyDescent="0.2">
      <c r="A44216" t="s">
        <v>66694</v>
      </c>
      <c r="B44216" t="s">
        <v>1066</v>
      </c>
      <c r="C44216" t="s">
        <v>13</v>
      </c>
      <c r="D44216" t="s">
        <v>412</v>
      </c>
      <c r="E44216" t="s">
        <v>84</v>
      </c>
      <c r="F44216" s="2" t="str">
        <f>HYPERLINK("http://www.otzar.org/book.asp?85582","תולדותן של אבות - מסכת אבות")</f>
        <v>תולדותן של אבות - מסכת אבות</v>
      </c>
    </row>
    <row r="44217" spans="1:6" x14ac:dyDescent="0.2">
      <c r="A44217" t="s">
        <v>66695</v>
      </c>
      <c r="B44217" t="s">
        <v>24561</v>
      </c>
      <c r="C44217" t="s">
        <v>4057</v>
      </c>
      <c r="D44217" t="s">
        <v>212</v>
      </c>
      <c r="F44217" s="2" t="str">
        <f>HYPERLINK("http://www.otzar.org/book.asp?164794","תולדת אדם - 2 כר'")</f>
        <v>תולדת אדם - 2 כר'</v>
      </c>
    </row>
    <row r="44218" spans="1:6" x14ac:dyDescent="0.2">
      <c r="A44218" t="s">
        <v>66696</v>
      </c>
      <c r="B44218" t="s">
        <v>66697</v>
      </c>
      <c r="C44218" t="s">
        <v>1458</v>
      </c>
      <c r="D44218" t="s">
        <v>8579</v>
      </c>
      <c r="E44218" t="s">
        <v>2614</v>
      </c>
      <c r="F44218" s="2" t="str">
        <f>HYPERLINK("http://www.otzar.org/book.asp?100713","תולדת אדם")</f>
        <v>תולדת אדם</v>
      </c>
    </row>
    <row r="44219" spans="1:6" x14ac:dyDescent="0.2">
      <c r="A44219" t="s">
        <v>66698</v>
      </c>
      <c r="B44219" t="s">
        <v>66699</v>
      </c>
      <c r="C44219" t="s">
        <v>163</v>
      </c>
      <c r="D44219" t="s">
        <v>283</v>
      </c>
      <c r="E44219" t="s">
        <v>119</v>
      </c>
      <c r="F44219" s="2" t="str">
        <f>HYPERLINK("http://www.otzar.org/book.asp?148204","תולדת אדם - 5 כר'")</f>
        <v>תולדת אדם - 5 כר'</v>
      </c>
    </row>
    <row r="44220" spans="1:6" x14ac:dyDescent="0.2">
      <c r="A44220" t="s">
        <v>66700</v>
      </c>
      <c r="B44220" t="s">
        <v>66701</v>
      </c>
      <c r="C44220" t="s">
        <v>66702</v>
      </c>
      <c r="D44220" t="s">
        <v>18068</v>
      </c>
      <c r="F44220" s="2" t="str">
        <f>HYPERLINK("http://www.otzar.org/book.asp?628041","תולדת אהרן - 2 כר'")</f>
        <v>תולדת אהרן - 2 כר'</v>
      </c>
    </row>
    <row r="44221" spans="1:6" x14ac:dyDescent="0.2">
      <c r="A44221" t="s">
        <v>66703</v>
      </c>
      <c r="B44221" t="s">
        <v>66704</v>
      </c>
      <c r="C44221" t="s">
        <v>4059</v>
      </c>
      <c r="D44221" t="s">
        <v>563</v>
      </c>
      <c r="F44221" s="2" t="str">
        <f>HYPERLINK("http://www.otzar.org/book.asp?174530","תולדת יעקב")</f>
        <v>תולדת יעקב</v>
      </c>
    </row>
    <row r="44222" spans="1:6" x14ac:dyDescent="0.2">
      <c r="A44222" t="s">
        <v>66703</v>
      </c>
      <c r="B44222" t="s">
        <v>66705</v>
      </c>
      <c r="C44222" t="s">
        <v>1519</v>
      </c>
      <c r="D44222" t="s">
        <v>610</v>
      </c>
      <c r="E44222" t="s">
        <v>14523</v>
      </c>
      <c r="F44222" s="2" t="str">
        <f>HYPERLINK("http://www.otzar.org/book.asp?101462","תולדת יעקב")</f>
        <v>תולדת יעקב</v>
      </c>
    </row>
    <row r="44223" spans="1:6" x14ac:dyDescent="0.2">
      <c r="A44223" t="s">
        <v>66706</v>
      </c>
      <c r="B44223" t="s">
        <v>21205</v>
      </c>
      <c r="C44223" t="s">
        <v>946</v>
      </c>
      <c r="D44223" t="s">
        <v>225</v>
      </c>
      <c r="E44223" t="s">
        <v>241</v>
      </c>
      <c r="F44223" s="2" t="str">
        <f>HYPERLINK("http://www.otzar.org/book.asp?52093","תולדת יצחק")</f>
        <v>תולדת יצחק</v>
      </c>
    </row>
    <row r="44224" spans="1:6" x14ac:dyDescent="0.2">
      <c r="A44224" t="s">
        <v>66707</v>
      </c>
      <c r="B44224" t="s">
        <v>10240</v>
      </c>
      <c r="C44224" t="s">
        <v>31123</v>
      </c>
      <c r="D44224" t="s">
        <v>379</v>
      </c>
      <c r="E44224" t="s">
        <v>474</v>
      </c>
      <c r="F44224" s="2" t="str">
        <f>HYPERLINK("http://www.otzar.org/book.asp?154082","תולדת יצחק - 2 כר'")</f>
        <v>תולדת יצחק - 2 כר'</v>
      </c>
    </row>
    <row r="44225" spans="1:6" x14ac:dyDescent="0.2">
      <c r="A44225" t="s">
        <v>66707</v>
      </c>
      <c r="B44225" t="s">
        <v>66708</v>
      </c>
      <c r="C44225" t="s">
        <v>1418</v>
      </c>
      <c r="D44225" t="s">
        <v>283</v>
      </c>
      <c r="E44225" t="s">
        <v>5712</v>
      </c>
      <c r="F44225" s="2" t="str">
        <f>HYPERLINK("http://www.otzar.org/book.asp?104412","תולדת יצחק - 2 כר'")</f>
        <v>תולדת יצחק - 2 כר'</v>
      </c>
    </row>
    <row r="44226" spans="1:6" x14ac:dyDescent="0.2">
      <c r="A44226" t="s">
        <v>66709</v>
      </c>
      <c r="B44226" t="s">
        <v>66710</v>
      </c>
      <c r="C44226" t="s">
        <v>3816</v>
      </c>
      <c r="D44226" t="s">
        <v>1992</v>
      </c>
      <c r="E44226" t="s">
        <v>4586</v>
      </c>
      <c r="F44226" s="2" t="str">
        <f>HYPERLINK("http://www.otzar.org/book.asp?148986","תולדת עוזר")</f>
        <v>תולדת עוזר</v>
      </c>
    </row>
    <row r="44227" spans="1:6" x14ac:dyDescent="0.2">
      <c r="A44227" t="s">
        <v>66711</v>
      </c>
      <c r="B44227" t="s">
        <v>66660</v>
      </c>
      <c r="C44227" t="s">
        <v>75</v>
      </c>
      <c r="D44227" t="s">
        <v>280</v>
      </c>
      <c r="E44227" t="s">
        <v>119</v>
      </c>
      <c r="F44227" s="2" t="str">
        <f>HYPERLINK("http://www.otzar.org/book.asp?11040","תולדת רבינו עקיבא איגר")</f>
        <v>תולדת רבינו עקיבא איגר</v>
      </c>
    </row>
    <row r="44228" spans="1:6" x14ac:dyDescent="0.2">
      <c r="A44228" t="s">
        <v>66712</v>
      </c>
      <c r="B44228" t="s">
        <v>66713</v>
      </c>
      <c r="C44228" t="s">
        <v>767</v>
      </c>
      <c r="D44228" t="s">
        <v>66714</v>
      </c>
      <c r="E44228" t="s">
        <v>104</v>
      </c>
      <c r="F44228" s="2" t="str">
        <f>HYPERLINK("http://www.otzar.org/book.asp?64236","תולעת השני - כרמיז וכרמיל")</f>
        <v>תולעת השני - כרמיז וכרמיל</v>
      </c>
    </row>
    <row r="44229" spans="1:6" x14ac:dyDescent="0.2">
      <c r="A44229" t="s">
        <v>66715</v>
      </c>
      <c r="B44229" t="s">
        <v>16343</v>
      </c>
      <c r="C44229" t="s">
        <v>351</v>
      </c>
      <c r="D44229" t="s">
        <v>283</v>
      </c>
      <c r="E44229" t="s">
        <v>66716</v>
      </c>
      <c r="F44229" s="2" t="str">
        <f>HYPERLINK("http://www.otzar.org/book.asp?10567","תולעת יעקב - 3 כר'")</f>
        <v>תולעת יעקב - 3 כר'</v>
      </c>
    </row>
    <row r="44230" spans="1:6" x14ac:dyDescent="0.2">
      <c r="A44230" t="s">
        <v>66715</v>
      </c>
      <c r="B44230" t="s">
        <v>16345</v>
      </c>
      <c r="C44230" t="s">
        <v>4230</v>
      </c>
      <c r="D44230" t="s">
        <v>1490</v>
      </c>
      <c r="F44230" s="2" t="str">
        <f>HYPERLINK("http://www.otzar.org/book.asp?170255","תולעת יעקב - 3 כר'")</f>
        <v>תולעת יעקב - 3 כר'</v>
      </c>
    </row>
    <row r="44231" spans="1:6" x14ac:dyDescent="0.2">
      <c r="A44231" t="s">
        <v>66717</v>
      </c>
      <c r="B44231" t="s">
        <v>36248</v>
      </c>
      <c r="C44231" t="s">
        <v>244</v>
      </c>
      <c r="D44231" t="s">
        <v>152</v>
      </c>
      <c r="F44231" s="2" t="str">
        <f>HYPERLINK("http://www.otzar.org/book.asp?610269","תולעת יעקב - א'")</f>
        <v>תולעת יעקב - א'</v>
      </c>
    </row>
    <row r="44232" spans="1:6" x14ac:dyDescent="0.2">
      <c r="A44232" t="s">
        <v>66718</v>
      </c>
      <c r="B44232" t="s">
        <v>7266</v>
      </c>
      <c r="C44232" t="s">
        <v>2269</v>
      </c>
      <c r="D44232" t="s">
        <v>76</v>
      </c>
      <c r="E44232" t="s">
        <v>158</v>
      </c>
      <c r="F44232" s="2" t="str">
        <f>HYPERLINK("http://www.otzar.org/book.asp?21383","תולעת שני")</f>
        <v>תולעת שני</v>
      </c>
    </row>
    <row r="44233" spans="1:6" x14ac:dyDescent="0.2">
      <c r="A44233" t="s">
        <v>66719</v>
      </c>
      <c r="B44233" t="s">
        <v>9425</v>
      </c>
      <c r="C44233" t="s">
        <v>129</v>
      </c>
      <c r="D44233" t="s">
        <v>9426</v>
      </c>
      <c r="E44233" t="s">
        <v>15</v>
      </c>
      <c r="F44233" s="2" t="str">
        <f>HYPERLINK("http://www.otzar.org/book.asp?60584","תולעת שני - 4 כר'")</f>
        <v>תולעת שני - 4 כר'</v>
      </c>
    </row>
    <row r="44234" spans="1:6" x14ac:dyDescent="0.2">
      <c r="A44234" t="s">
        <v>66720</v>
      </c>
      <c r="B44234" t="s">
        <v>1728</v>
      </c>
      <c r="C44234" t="s">
        <v>103</v>
      </c>
      <c r="D44234" t="s">
        <v>273</v>
      </c>
      <c r="E44234" t="s">
        <v>6981</v>
      </c>
      <c r="F44234" s="2" t="str">
        <f>HYPERLINK("http://www.otzar.org/book.asp?628576","תום ודעת")</f>
        <v>תום ודעת</v>
      </c>
    </row>
    <row r="44235" spans="1:6" x14ac:dyDescent="0.2">
      <c r="A44235" t="s">
        <v>66721</v>
      </c>
      <c r="B44235" t="s">
        <v>66722</v>
      </c>
      <c r="C44235" t="s">
        <v>411</v>
      </c>
      <c r="D44235" t="s">
        <v>2798</v>
      </c>
      <c r="E44235" t="s">
        <v>144</v>
      </c>
      <c r="F44235" s="2" t="str">
        <f>HYPERLINK("http://www.otzar.org/book.asp?608570","תום לבבי")</f>
        <v>תום לבבי</v>
      </c>
    </row>
    <row r="44236" spans="1:6" x14ac:dyDescent="0.2">
      <c r="A44236" t="s">
        <v>66723</v>
      </c>
      <c r="B44236" t="s">
        <v>4201</v>
      </c>
      <c r="C44236" t="s">
        <v>16493</v>
      </c>
      <c r="D44236" t="s">
        <v>49</v>
      </c>
      <c r="F44236" s="2" t="str">
        <f>HYPERLINK("http://www.otzar.org/book.asp?164904","תומר דבורה &lt;דפוס ראשון&gt;")</f>
        <v>תומר דבורה &lt;דפוס ראשון&gt;</v>
      </c>
    </row>
    <row r="44237" spans="1:6" x14ac:dyDescent="0.2">
      <c r="A44237" t="s">
        <v>66724</v>
      </c>
      <c r="B44237" t="s">
        <v>4201</v>
      </c>
      <c r="C44237" t="s">
        <v>1208</v>
      </c>
      <c r="D44237" t="s">
        <v>14</v>
      </c>
      <c r="E44237" t="s">
        <v>241</v>
      </c>
      <c r="F44237" s="2" t="str">
        <f>HYPERLINK("http://www.otzar.org/book.asp?169299","תומר דבורה &lt;עם הוספות&gt;")</f>
        <v>תומר דבורה &lt;עם הוספות&gt;</v>
      </c>
    </row>
    <row r="44238" spans="1:6" x14ac:dyDescent="0.2">
      <c r="A44238" t="s">
        <v>66725</v>
      </c>
      <c r="B44238" t="s">
        <v>66726</v>
      </c>
      <c r="C44238" t="s">
        <v>146</v>
      </c>
      <c r="D44238" t="s">
        <v>1301</v>
      </c>
      <c r="E44238" t="s">
        <v>241</v>
      </c>
      <c r="F44238" s="2" t="str">
        <f>HYPERLINK("http://www.otzar.org/book.asp?148180","תומר דבורה &lt;והלכת בדרכיו&gt;")</f>
        <v>תומר דבורה &lt;והלכת בדרכיו&gt;</v>
      </c>
    </row>
    <row r="44239" spans="1:6" x14ac:dyDescent="0.2">
      <c r="A44239" t="s">
        <v>66727</v>
      </c>
      <c r="B44239" t="s">
        <v>4201</v>
      </c>
      <c r="C44239" t="s">
        <v>133</v>
      </c>
      <c r="D44239" t="s">
        <v>14</v>
      </c>
      <c r="E44239" t="s">
        <v>241</v>
      </c>
      <c r="F44239" s="2" t="str">
        <f>HYPERLINK("http://www.otzar.org/book.asp?175961","תומר דבורה עם ביאור הקדמות ושערים")</f>
        <v>תומר דבורה עם ביאור הקדמות ושערים</v>
      </c>
    </row>
    <row r="44240" spans="1:6" x14ac:dyDescent="0.2">
      <c r="A44240" t="s">
        <v>66728</v>
      </c>
      <c r="B44240" t="s">
        <v>4106</v>
      </c>
      <c r="C44240" t="s">
        <v>454</v>
      </c>
      <c r="D44240" t="s">
        <v>52</v>
      </c>
      <c r="E44240" t="s">
        <v>241</v>
      </c>
      <c r="F44240" s="2" t="str">
        <f>HYPERLINK("http://www.otzar.org/book.asp?144395","תומר דבורה עם ביאור שומר הפרדס")</f>
        <v>תומר דבורה עם ביאור שומר הפרדס</v>
      </c>
    </row>
    <row r="44241" spans="1:6" x14ac:dyDescent="0.2">
      <c r="A44241" t="s">
        <v>66729</v>
      </c>
      <c r="B44241" t="s">
        <v>21503</v>
      </c>
      <c r="C44241" t="s">
        <v>168</v>
      </c>
      <c r="D44241" t="s">
        <v>90</v>
      </c>
      <c r="E44241" t="s">
        <v>7935</v>
      </c>
      <c r="F44241" s="2" t="str">
        <f>HYPERLINK("http://www.otzar.org/book.asp?61436","תומר דבורה")</f>
        <v>תומר דבורה</v>
      </c>
    </row>
    <row r="44242" spans="1:6" x14ac:dyDescent="0.2">
      <c r="A44242" t="s">
        <v>66730</v>
      </c>
      <c r="B44242" t="s">
        <v>66731</v>
      </c>
      <c r="C44242" t="s">
        <v>46</v>
      </c>
      <c r="D44242" t="s">
        <v>27</v>
      </c>
      <c r="E44242" t="s">
        <v>241</v>
      </c>
      <c r="F44242" s="2" t="str">
        <f>HYPERLINK("http://www.otzar.org/book.asp?179075","תומר דבורה - ארחות חיים - אור ישראל")</f>
        <v>תומר דבורה - ארחות חיים - אור ישראל</v>
      </c>
    </row>
    <row r="44243" spans="1:6" x14ac:dyDescent="0.2">
      <c r="A44243" t="s">
        <v>66732</v>
      </c>
      <c r="B44243" t="s">
        <v>66733</v>
      </c>
      <c r="C44243" t="s">
        <v>360</v>
      </c>
      <c r="D44243" t="s">
        <v>582</v>
      </c>
      <c r="E44243" t="s">
        <v>241</v>
      </c>
      <c r="F44243" s="2" t="str">
        <f>HYPERLINK("http://www.otzar.org/book.asp?626505","תומר דבורה - קנאת האמת")</f>
        <v>תומר דבורה - קנאת האמת</v>
      </c>
    </row>
    <row r="44244" spans="1:6" x14ac:dyDescent="0.2">
      <c r="A44244" t="s">
        <v>66734</v>
      </c>
      <c r="B44244" t="s">
        <v>4201</v>
      </c>
      <c r="C44244" t="s">
        <v>114</v>
      </c>
      <c r="D44244" t="s">
        <v>14</v>
      </c>
      <c r="E44244" t="s">
        <v>241</v>
      </c>
      <c r="F44244" s="2" t="str">
        <f>HYPERLINK("http://www.otzar.org/book.asp?175349","תומר דבורה - 11 כר'")</f>
        <v>תומר דבורה - 11 כר'</v>
      </c>
    </row>
    <row r="44245" spans="1:6" x14ac:dyDescent="0.2">
      <c r="A44245" t="s">
        <v>66735</v>
      </c>
      <c r="B44245" t="s">
        <v>66736</v>
      </c>
      <c r="C44245" t="s">
        <v>785</v>
      </c>
      <c r="D44245" t="s">
        <v>14</v>
      </c>
      <c r="E44245" t="s">
        <v>4940</v>
      </c>
      <c r="F44245" s="2" t="str">
        <f>HYPERLINK("http://www.otzar.org/book.asp?7991","תומת ישרים")</f>
        <v>תומת ישרים</v>
      </c>
    </row>
    <row r="44246" spans="1:6" x14ac:dyDescent="0.2">
      <c r="A44246" t="s">
        <v>66735</v>
      </c>
      <c r="B44246" t="s">
        <v>66737</v>
      </c>
      <c r="C44246" t="s">
        <v>1166</v>
      </c>
      <c r="D44246" t="s">
        <v>27</v>
      </c>
      <c r="E44246" t="s">
        <v>246</v>
      </c>
      <c r="F44246" s="2" t="str">
        <f>HYPERLINK("http://www.otzar.org/book.asp?169737","תומת ישרים")</f>
        <v>תומת ישרים</v>
      </c>
    </row>
    <row r="44247" spans="1:6" x14ac:dyDescent="0.2">
      <c r="A44247" t="s">
        <v>66735</v>
      </c>
      <c r="B44247" t="s">
        <v>66738</v>
      </c>
      <c r="C44247" t="s">
        <v>2617</v>
      </c>
      <c r="D44247" t="s">
        <v>56</v>
      </c>
      <c r="E44247" t="s">
        <v>213</v>
      </c>
      <c r="F44247" s="2" t="str">
        <f>HYPERLINK("http://www.otzar.org/book.asp?103783","תומת ישרים")</f>
        <v>תומת ישרים</v>
      </c>
    </row>
    <row r="44248" spans="1:6" x14ac:dyDescent="0.2">
      <c r="A44248" t="s">
        <v>66739</v>
      </c>
      <c r="B44248" t="s">
        <v>66740</v>
      </c>
      <c r="C44248" t="s">
        <v>1278</v>
      </c>
      <c r="D44248" t="s">
        <v>164</v>
      </c>
      <c r="E44248" t="s">
        <v>435</v>
      </c>
      <c r="F44248" s="2" t="str">
        <f>HYPERLINK("http://www.otzar.org/book.asp?9014","תוספות אהרן")</f>
        <v>תוספות אהרן</v>
      </c>
    </row>
    <row r="44249" spans="1:6" x14ac:dyDescent="0.2">
      <c r="A44249" t="s">
        <v>66739</v>
      </c>
      <c r="B44249" t="s">
        <v>66741</v>
      </c>
      <c r="C44249" t="s">
        <v>1811</v>
      </c>
      <c r="D44249" t="s">
        <v>52</v>
      </c>
      <c r="E44249" t="s">
        <v>144</v>
      </c>
      <c r="F44249" s="2" t="str">
        <f>HYPERLINK("http://www.otzar.org/book.asp?84891","תוספות אהרן")</f>
        <v>תוספות אהרן</v>
      </c>
    </row>
    <row r="44250" spans="1:6" x14ac:dyDescent="0.2">
      <c r="A44250" t="s">
        <v>66742</v>
      </c>
      <c r="B44250" t="s">
        <v>66743</v>
      </c>
      <c r="C44250" t="s">
        <v>427</v>
      </c>
      <c r="D44250" t="s">
        <v>14</v>
      </c>
      <c r="E44250" t="s">
        <v>3387</v>
      </c>
      <c r="F44250" s="2" t="str">
        <f>HYPERLINK("http://www.otzar.org/book.asp?9094","תוספות איוורא - 2 כר'")</f>
        <v>תוספות איוורא - 2 כר'</v>
      </c>
    </row>
    <row r="44251" spans="1:6" x14ac:dyDescent="0.2">
      <c r="A44251" t="s">
        <v>66744</v>
      </c>
      <c r="B44251" t="s">
        <v>66745</v>
      </c>
      <c r="C44251" t="s">
        <v>12024</v>
      </c>
      <c r="D44251" t="s">
        <v>544</v>
      </c>
      <c r="E44251" t="s">
        <v>43</v>
      </c>
      <c r="F44251" s="2" t="str">
        <f>HYPERLINK("http://www.otzar.org/book.asp?151613","תוספות בכורים")</f>
        <v>תוספות בכורים</v>
      </c>
    </row>
    <row r="44252" spans="1:6" x14ac:dyDescent="0.2">
      <c r="A44252" t="s">
        <v>66746</v>
      </c>
      <c r="E44252" t="s">
        <v>144</v>
      </c>
      <c r="F44252" s="2" t="str">
        <f>HYPERLINK("http://www.otzar.org/book.asp?605316","תוספות גורניש  - יבמות")</f>
        <v>תוספות גורניש  - יבמות</v>
      </c>
    </row>
    <row r="44253" spans="1:6" x14ac:dyDescent="0.2">
      <c r="A44253" t="s">
        <v>66747</v>
      </c>
      <c r="B44253" t="s">
        <v>4617</v>
      </c>
      <c r="C44253" t="s">
        <v>13</v>
      </c>
      <c r="D44253" t="s">
        <v>14</v>
      </c>
      <c r="E44253" t="s">
        <v>144</v>
      </c>
      <c r="F44253" s="2" t="str">
        <f>HYPERLINK("http://www.otzar.org/book.asp?62482","תוספות הרא""ש &lt;עוז והדר&gt; - 20 כר'")</f>
        <v>תוספות הרא"ש &lt;עוז והדר&gt; - 20 כר'</v>
      </c>
    </row>
    <row r="44254" spans="1:6" x14ac:dyDescent="0.2">
      <c r="A44254" t="s">
        <v>66748</v>
      </c>
      <c r="B44254" t="s">
        <v>4617</v>
      </c>
      <c r="C44254" t="s">
        <v>1524</v>
      </c>
      <c r="D44254" t="s">
        <v>212</v>
      </c>
      <c r="E44254" t="s">
        <v>144</v>
      </c>
      <c r="F44254" s="2" t="str">
        <f>HYPERLINK("http://www.otzar.org/book.asp?72","תוספות הרא""ש &lt;שם עולם&gt; - מגילה, שבועות")</f>
        <v>תוספות הרא"ש &lt;שם עולם&gt; - מגילה, שבועות</v>
      </c>
    </row>
    <row r="44255" spans="1:6" x14ac:dyDescent="0.2">
      <c r="A44255" t="s">
        <v>66749</v>
      </c>
      <c r="B44255" t="s">
        <v>66750</v>
      </c>
      <c r="C44255" t="s">
        <v>37</v>
      </c>
      <c r="D44255" t="s">
        <v>152</v>
      </c>
      <c r="E44255" t="s">
        <v>144</v>
      </c>
      <c r="F44255" s="2" t="str">
        <f>HYPERLINK("http://www.otzar.org/book.asp?181907","תוספות הרא""ש - מגילה")</f>
        <v>תוספות הרא"ש - מגילה</v>
      </c>
    </row>
    <row r="44256" spans="1:6" x14ac:dyDescent="0.2">
      <c r="A44256" t="s">
        <v>66751</v>
      </c>
      <c r="B44256" t="s">
        <v>4617</v>
      </c>
      <c r="C44256" t="s">
        <v>1663</v>
      </c>
      <c r="D44256" t="s">
        <v>9</v>
      </c>
      <c r="E44256" t="s">
        <v>1211</v>
      </c>
      <c r="F44256" s="2" t="str">
        <f>HYPERLINK("http://www.otzar.org/book.asp?11242","תוספות הרא""ש - 17 כר'")</f>
        <v>תוספות הרא"ש - 17 כר'</v>
      </c>
    </row>
    <row r="44257" spans="1:6" x14ac:dyDescent="0.2">
      <c r="A44257" t="s">
        <v>66752</v>
      </c>
      <c r="B44257" t="s">
        <v>25803</v>
      </c>
      <c r="C44257" t="s">
        <v>171</v>
      </c>
      <c r="D44257" t="s">
        <v>27</v>
      </c>
      <c r="E44257" t="s">
        <v>3387</v>
      </c>
      <c r="F44257" s="2" t="str">
        <f>HYPERLINK("http://www.otzar.org/book.asp?11200","תוספות הרשב""א משאנץ - פסחים")</f>
        <v>תוספות הרשב"א משאנץ - פסחים</v>
      </c>
    </row>
    <row r="44258" spans="1:6" x14ac:dyDescent="0.2">
      <c r="A44258" t="s">
        <v>66753</v>
      </c>
      <c r="B44258" t="s">
        <v>25803</v>
      </c>
      <c r="C44258" t="s">
        <v>1811</v>
      </c>
      <c r="D44258" t="s">
        <v>14</v>
      </c>
      <c r="E44258" t="s">
        <v>1211</v>
      </c>
      <c r="F44258" s="2" t="str">
        <f>HYPERLINK("http://www.otzar.org/book.asp?11647","תוספות הרשב""א משנץ - כתובות")</f>
        <v>תוספות הרשב"א משנץ - כתובות</v>
      </c>
    </row>
    <row r="44259" spans="1:6" x14ac:dyDescent="0.2">
      <c r="A44259" t="s">
        <v>66754</v>
      </c>
      <c r="B44259" t="s">
        <v>7046</v>
      </c>
      <c r="C44259" t="s">
        <v>585</v>
      </c>
      <c r="D44259" t="s">
        <v>14</v>
      </c>
      <c r="E44259" t="s">
        <v>158</v>
      </c>
      <c r="F44259" s="2" t="str">
        <f>HYPERLINK("http://www.otzar.org/book.asp?14425","תוספות השלם - 19 כר'")</f>
        <v>תוספות השלם - 19 כר'</v>
      </c>
    </row>
    <row r="44260" spans="1:6" x14ac:dyDescent="0.2">
      <c r="A44260" t="s">
        <v>66755</v>
      </c>
      <c r="B44260" t="s">
        <v>66756</v>
      </c>
      <c r="C44260" t="s">
        <v>5823</v>
      </c>
      <c r="D44260" t="s">
        <v>280</v>
      </c>
      <c r="E44260" t="s">
        <v>158</v>
      </c>
      <c r="F44260" s="2" t="str">
        <f>HYPERLINK("http://www.otzar.org/book.asp?14047","תוספות וחילופין תרגום ירושלמי לתורה")</f>
        <v>תוספות וחילופין תרגום ירושלמי לתורה</v>
      </c>
    </row>
    <row r="44261" spans="1:6" x14ac:dyDescent="0.2">
      <c r="A44261" t="s">
        <v>66757</v>
      </c>
      <c r="B44261" t="s">
        <v>1821</v>
      </c>
      <c r="C44261" t="s">
        <v>473</v>
      </c>
      <c r="D44261" t="s">
        <v>726</v>
      </c>
      <c r="E44261" t="s">
        <v>84</v>
      </c>
      <c r="F44261" s="2" t="str">
        <f>HYPERLINK("http://www.otzar.org/book.asp?106172","תוספות חיים")</f>
        <v>תוספות חיים</v>
      </c>
    </row>
    <row r="44262" spans="1:6" x14ac:dyDescent="0.2">
      <c r="A44262" t="s">
        <v>66758</v>
      </c>
      <c r="B44262" t="s">
        <v>66759</v>
      </c>
      <c r="C44262" t="s">
        <v>20</v>
      </c>
      <c r="D44262" t="s">
        <v>14</v>
      </c>
      <c r="E44262" t="s">
        <v>2071</v>
      </c>
      <c r="F44262" s="2" t="str">
        <f>HYPERLINK("http://www.otzar.org/book.asp?165131","תוספות חיים - 4 כר'")</f>
        <v>תוספות חיים - 4 כר'</v>
      </c>
    </row>
    <row r="44263" spans="1:6" x14ac:dyDescent="0.2">
      <c r="A44263" t="s">
        <v>66760</v>
      </c>
      <c r="B44263" t="s">
        <v>66761</v>
      </c>
      <c r="C44263" t="s">
        <v>66762</v>
      </c>
      <c r="D44263" t="s">
        <v>56</v>
      </c>
      <c r="E44263" t="s">
        <v>172</v>
      </c>
      <c r="F44263" s="2" t="str">
        <f>HYPERLINK("http://www.otzar.org/book.asp?104579","תוספות חיים - 2 כר'")</f>
        <v>תוספות חיים - 2 כר'</v>
      </c>
    </row>
    <row r="44264" spans="1:6" x14ac:dyDescent="0.2">
      <c r="A44264" t="s">
        <v>66757</v>
      </c>
      <c r="B44264" t="s">
        <v>6252</v>
      </c>
      <c r="C44264" t="s">
        <v>649</v>
      </c>
      <c r="D44264" t="s">
        <v>535</v>
      </c>
      <c r="E44264" t="s">
        <v>158</v>
      </c>
      <c r="F44264" s="2" t="str">
        <f>HYPERLINK("http://www.otzar.org/book.asp?153863","תוספות חיים")</f>
        <v>תוספות חיים</v>
      </c>
    </row>
    <row r="44265" spans="1:6" x14ac:dyDescent="0.2">
      <c r="A44265" t="s">
        <v>66763</v>
      </c>
      <c r="B44265" t="s">
        <v>66764</v>
      </c>
      <c r="C44265" t="s">
        <v>1160</v>
      </c>
      <c r="D44265" t="s">
        <v>412</v>
      </c>
      <c r="E44265" t="s">
        <v>144</v>
      </c>
      <c r="F44265" s="2" t="str">
        <f>HYPERLINK("http://www.otzar.org/book.asp?144960","תוספות חיים - 6 כר'")</f>
        <v>תוספות חיים - 6 כר'</v>
      </c>
    </row>
    <row r="44266" spans="1:6" x14ac:dyDescent="0.2">
      <c r="A44266" t="s">
        <v>66765</v>
      </c>
      <c r="B44266" t="s">
        <v>66766</v>
      </c>
      <c r="C44266" t="s">
        <v>989</v>
      </c>
      <c r="D44266" t="s">
        <v>14</v>
      </c>
      <c r="E44266" t="s">
        <v>2088</v>
      </c>
      <c r="F44266" s="2" t="str">
        <f>HYPERLINK("http://www.otzar.org/book.asp?9013","תוספות חכמי אנגליה - 8 כר'")</f>
        <v>תוספות חכמי אנגליה - 8 כר'</v>
      </c>
    </row>
    <row r="44267" spans="1:6" x14ac:dyDescent="0.2">
      <c r="A44267" t="s">
        <v>66767</v>
      </c>
      <c r="B44267" t="s">
        <v>66768</v>
      </c>
      <c r="C44267" t="s">
        <v>63</v>
      </c>
      <c r="D44267" t="s">
        <v>646</v>
      </c>
      <c r="E44267" t="s">
        <v>920</v>
      </c>
      <c r="F44267" s="2" t="str">
        <f>HYPERLINK("http://www.otzar.org/book.asp?9007","תוספות ישנים - 2 כר'")</f>
        <v>תוספות ישנים - 2 כר'</v>
      </c>
    </row>
    <row r="44268" spans="1:6" x14ac:dyDescent="0.2">
      <c r="A44268" t="s">
        <v>66769</v>
      </c>
      <c r="B44268" t="s">
        <v>37414</v>
      </c>
      <c r="C44268" t="s">
        <v>71</v>
      </c>
      <c r="D44268" t="s">
        <v>14</v>
      </c>
      <c r="E44268" t="s">
        <v>144</v>
      </c>
      <c r="F44268" s="2" t="str">
        <f>HYPERLINK("http://www.otzar.org/book.asp?166313","תוספות ישנים - בבא בתרא")</f>
        <v>תוספות ישנים - בבא בתרא</v>
      </c>
    </row>
    <row r="44269" spans="1:6" x14ac:dyDescent="0.2">
      <c r="A44269" t="s">
        <v>66770</v>
      </c>
      <c r="B44269" t="s">
        <v>19887</v>
      </c>
      <c r="C44269" t="s">
        <v>940</v>
      </c>
      <c r="D44269" t="s">
        <v>412</v>
      </c>
      <c r="E44269" t="s">
        <v>144</v>
      </c>
      <c r="F44269" s="2" t="str">
        <f>HYPERLINK("http://www.otzar.org/book.asp?62255","תוספות מהר""ם מרוטנבורג - יבמות")</f>
        <v>תוספות מהר"ם מרוטנבורג - יבמות</v>
      </c>
    </row>
    <row r="44270" spans="1:6" x14ac:dyDescent="0.2">
      <c r="A44270" t="s">
        <v>66771</v>
      </c>
      <c r="B44270" t="s">
        <v>66772</v>
      </c>
      <c r="C44270" t="s">
        <v>176</v>
      </c>
      <c r="D44270" t="s">
        <v>14</v>
      </c>
      <c r="E44270" t="s">
        <v>2088</v>
      </c>
      <c r="F44270" s="2" t="str">
        <f>HYPERLINK("http://www.otzar.org/book.asp?19270","תוספות נזיר עם פירוש ארזי הלבנון")</f>
        <v>תוספות נזיר עם פירוש ארזי הלבנון</v>
      </c>
    </row>
    <row r="44271" spans="1:6" x14ac:dyDescent="0.2">
      <c r="A44271" t="s">
        <v>66773</v>
      </c>
      <c r="B44271" t="s">
        <v>26393</v>
      </c>
      <c r="C44271" t="s">
        <v>1706</v>
      </c>
      <c r="D44271" t="s">
        <v>267</v>
      </c>
      <c r="E44271" t="s">
        <v>104</v>
      </c>
      <c r="F44271" s="2" t="str">
        <f>HYPERLINK("http://www.otzar.org/book.asp?19457","תוספות עזרא &lt;כלל גדול&gt;")</f>
        <v>תוספות עזרא &lt;כלל גדול&gt;</v>
      </c>
    </row>
    <row r="44272" spans="1:6" x14ac:dyDescent="0.2">
      <c r="A44272" t="s">
        <v>66774</v>
      </c>
      <c r="B44272" t="s">
        <v>66775</v>
      </c>
      <c r="C44272" t="s">
        <v>13</v>
      </c>
      <c r="D44272" t="s">
        <v>14</v>
      </c>
      <c r="E44272" t="s">
        <v>144</v>
      </c>
      <c r="F44272" s="2" t="str">
        <f>HYPERLINK("http://www.otzar.org/book.asp?142498","תוספות על הש""ס &lt;טקסט&gt;")</f>
        <v>תוספות על הש"ס &lt;טקסט&gt;</v>
      </c>
    </row>
    <row r="44273" spans="1:6" x14ac:dyDescent="0.2">
      <c r="A44273" t="s">
        <v>66776</v>
      </c>
      <c r="B44273" t="s">
        <v>66777</v>
      </c>
      <c r="C44273" t="s">
        <v>1954</v>
      </c>
      <c r="D44273" t="s">
        <v>27</v>
      </c>
      <c r="E44273" t="s">
        <v>3387</v>
      </c>
      <c r="F44273" s="2" t="str">
        <f>HYPERLINK("http://www.otzar.org/book.asp?58","תוספות ר""י הלבן - יומא")</f>
        <v>תוספות ר"י הלבן - יומא</v>
      </c>
    </row>
    <row r="44274" spans="1:6" x14ac:dyDescent="0.2">
      <c r="A44274" t="s">
        <v>66776</v>
      </c>
      <c r="B44274" t="s">
        <v>66778</v>
      </c>
      <c r="C44274" t="s">
        <v>1663</v>
      </c>
      <c r="D44274" t="s">
        <v>27</v>
      </c>
      <c r="E44274" t="s">
        <v>3387</v>
      </c>
      <c r="F44274" s="2" t="str">
        <f>HYPERLINK("http://www.otzar.org/book.asp?104285","תוספות ר""י הלבן - יומא")</f>
        <v>תוספות ר"י הלבן - יומא</v>
      </c>
    </row>
    <row r="44275" spans="1:6" x14ac:dyDescent="0.2">
      <c r="A44275" t="s">
        <v>66779</v>
      </c>
      <c r="B44275" t="s">
        <v>66780</v>
      </c>
      <c r="C44275" t="s">
        <v>482</v>
      </c>
      <c r="D44275" t="s">
        <v>563</v>
      </c>
      <c r="E44275" t="s">
        <v>1211</v>
      </c>
      <c r="F44275" s="2" t="str">
        <f>HYPERLINK("http://www.otzar.org/book.asp?11245","תוספות ר""י הלבן - כתובות")</f>
        <v>תוספות ר"י הלבן - כתובות</v>
      </c>
    </row>
    <row r="44276" spans="1:6" x14ac:dyDescent="0.2">
      <c r="A44276" t="s">
        <v>66781</v>
      </c>
      <c r="B44276" t="s">
        <v>66782</v>
      </c>
      <c r="C44276" t="s">
        <v>63</v>
      </c>
      <c r="D44276" t="s">
        <v>21</v>
      </c>
      <c r="E44276" t="s">
        <v>144</v>
      </c>
      <c r="F44276" s="2" t="str">
        <f>HYPERLINK("http://www.otzar.org/book.asp?195693","תוספות רא""ם - מוסיף דבר")</f>
        <v>תוספות רא"ם - מוסיף דבר</v>
      </c>
    </row>
    <row r="44277" spans="1:6" x14ac:dyDescent="0.2">
      <c r="A44277" t="s">
        <v>66783</v>
      </c>
      <c r="B44277" t="s">
        <v>66784</v>
      </c>
      <c r="C44277" t="s">
        <v>454</v>
      </c>
      <c r="D44277" t="s">
        <v>52</v>
      </c>
      <c r="F44277" s="2" t="str">
        <f>HYPERLINK("http://www.otzar.org/book.asp?622456","תוספות רבינו אלחנן &lt;מהדורה חדשה&gt; - ע""ז")</f>
        <v>תוספות רבינו אלחנן &lt;מהדורה חדשה&gt; - ע"ז</v>
      </c>
    </row>
    <row r="44278" spans="1:6" x14ac:dyDescent="0.2">
      <c r="A44278" t="s">
        <v>66785</v>
      </c>
      <c r="B44278" t="s">
        <v>66784</v>
      </c>
      <c r="C44278" t="s">
        <v>362</v>
      </c>
      <c r="D44278" t="s">
        <v>379</v>
      </c>
      <c r="E44278" t="s">
        <v>144</v>
      </c>
      <c r="F44278" s="2" t="str">
        <f>HYPERLINK("http://www.otzar.org/book.asp?9008","תוספות רבינו אלחנן - ע""ז")</f>
        <v>תוספות רבינו אלחנן - ע"ז</v>
      </c>
    </row>
    <row r="44279" spans="1:6" x14ac:dyDescent="0.2">
      <c r="A44279" t="s">
        <v>66786</v>
      </c>
      <c r="B44279" t="s">
        <v>66787</v>
      </c>
      <c r="C44279" t="s">
        <v>1619</v>
      </c>
      <c r="D44279" t="s">
        <v>412</v>
      </c>
      <c r="E44279" t="s">
        <v>144</v>
      </c>
      <c r="F44279" s="2" t="str">
        <f>HYPERLINK("http://www.otzar.org/book.asp?61542","תוספות רבינו טודרוס - נזיר")</f>
        <v>תוספות רבינו טודרוס - נזיר</v>
      </c>
    </row>
    <row r="44280" spans="1:6" x14ac:dyDescent="0.2">
      <c r="A44280" t="s">
        <v>66788</v>
      </c>
      <c r="B44280" t="s">
        <v>66789</v>
      </c>
      <c r="C44280" t="s">
        <v>427</v>
      </c>
      <c r="D44280" t="s">
        <v>412</v>
      </c>
      <c r="E44280" t="s">
        <v>144</v>
      </c>
      <c r="F44280" s="2" t="str">
        <f>HYPERLINK("http://www.otzar.org/book.asp?62264","תוספות רבינו יהודה ב""ר יצחק מבירינא - ע""ז")</f>
        <v>תוספות רבינו יהודה ב"ר יצחק מבירינא - ע"ז</v>
      </c>
    </row>
    <row r="44281" spans="1:6" x14ac:dyDescent="0.2">
      <c r="A44281" t="s">
        <v>66790</v>
      </c>
      <c r="B44281" t="s">
        <v>66791</v>
      </c>
      <c r="C44281" t="s">
        <v>133</v>
      </c>
      <c r="D44281" t="s">
        <v>52</v>
      </c>
      <c r="F44281" s="2" t="str">
        <f>HYPERLINK("http://www.otzar.org/book.asp?622457","תוספות רבינו יהודה מבירניא - תוספות ר""י הזקן - ע""ז")</f>
        <v>תוספות רבינו יהודה מבירניא - תוספות ר"י הזקן - ע"ז</v>
      </c>
    </row>
    <row r="44282" spans="1:6" x14ac:dyDescent="0.2">
      <c r="A44282" t="s">
        <v>66792</v>
      </c>
      <c r="B44282" t="s">
        <v>66793</v>
      </c>
      <c r="C44282" t="s">
        <v>427</v>
      </c>
      <c r="D44282" t="s">
        <v>412</v>
      </c>
      <c r="E44282" t="s">
        <v>144</v>
      </c>
      <c r="F44282" s="2" t="str">
        <f>HYPERLINK("http://www.otzar.org/book.asp?62253","תוספות רבינו יהודה משירלאון - ע""ז")</f>
        <v>תוספות רבינו יהודה משירלאון - ע"ז</v>
      </c>
    </row>
    <row r="44283" spans="1:6" x14ac:dyDescent="0.2">
      <c r="A44283" t="s">
        <v>66794</v>
      </c>
      <c r="B44283" t="s">
        <v>66793</v>
      </c>
      <c r="C44283" t="s">
        <v>427</v>
      </c>
      <c r="D44283" t="s">
        <v>14</v>
      </c>
      <c r="E44283" t="s">
        <v>144</v>
      </c>
      <c r="F44283" s="2" t="str">
        <f>HYPERLINK("http://www.otzar.org/book.asp?193","תוספות רבינו יהודה שירלאון - 2 כר'")</f>
        <v>תוספות רבינו יהודה שירלאון - 2 כר'</v>
      </c>
    </row>
    <row r="44284" spans="1:6" x14ac:dyDescent="0.2">
      <c r="A44284" t="s">
        <v>66795</v>
      </c>
      <c r="B44284" t="s">
        <v>66796</v>
      </c>
      <c r="C44284" t="s">
        <v>334</v>
      </c>
      <c r="D44284" t="s">
        <v>412</v>
      </c>
      <c r="E44284" t="s">
        <v>144</v>
      </c>
      <c r="F44284" s="2" t="str">
        <f>HYPERLINK("http://www.otzar.org/book.asp?61668","תוספות רבינו יהודה שירלאון - פסחים")</f>
        <v>תוספות רבינו יהודה שירלאון - פסחים</v>
      </c>
    </row>
    <row r="44285" spans="1:6" x14ac:dyDescent="0.2">
      <c r="A44285" t="s">
        <v>66797</v>
      </c>
      <c r="B44285" t="s">
        <v>66798</v>
      </c>
      <c r="C44285" t="s">
        <v>533</v>
      </c>
      <c r="D44285" t="s">
        <v>412</v>
      </c>
      <c r="E44285" t="s">
        <v>144</v>
      </c>
      <c r="F44285" s="2" t="str">
        <f>HYPERLINK("http://www.otzar.org/book.asp?188862","תוספות רבינו ישעיה - בבא קמא")</f>
        <v>תוספות רבינו ישעיה - בבא קמא</v>
      </c>
    </row>
    <row r="44286" spans="1:6" x14ac:dyDescent="0.2">
      <c r="A44286" t="s">
        <v>66799</v>
      </c>
      <c r="B44286" t="s">
        <v>66800</v>
      </c>
      <c r="C44286" t="s">
        <v>13</v>
      </c>
      <c r="D44286" t="s">
        <v>14</v>
      </c>
      <c r="E44286" t="s">
        <v>144</v>
      </c>
      <c r="F44286" s="2" t="str">
        <f>HYPERLINK("http://www.otzar.org/book.asp?62501","תוספות רבינו פרץ &lt;עוז והדר&gt; - 8 כר'")</f>
        <v>תוספות רבינו פרץ &lt;עוז והדר&gt; - 8 כר'</v>
      </c>
    </row>
    <row r="44287" spans="1:6" x14ac:dyDescent="0.2">
      <c r="A44287" t="s">
        <v>66801</v>
      </c>
      <c r="B44287" t="s">
        <v>66802</v>
      </c>
      <c r="C44287" t="s">
        <v>919</v>
      </c>
      <c r="D44287" t="s">
        <v>14</v>
      </c>
      <c r="E44287" t="s">
        <v>2088</v>
      </c>
      <c r="F44287" s="2" t="str">
        <f>HYPERLINK("http://www.otzar.org/book.asp?11424","תוספות רבינו פרץ - סוכה")</f>
        <v>תוספות רבינו פרץ - סוכה</v>
      </c>
    </row>
    <row r="44288" spans="1:6" x14ac:dyDescent="0.2">
      <c r="A44288" t="s">
        <v>66803</v>
      </c>
      <c r="B44288" t="s">
        <v>66800</v>
      </c>
      <c r="C44288" t="s">
        <v>989</v>
      </c>
      <c r="D44288" t="s">
        <v>14</v>
      </c>
      <c r="E44288" t="s">
        <v>144</v>
      </c>
      <c r="F44288" s="2" t="str">
        <f>HYPERLINK("http://www.otzar.org/book.asp?602831","תוספות רבינו פרץ - 9 כר'")</f>
        <v>תוספות רבינו פרץ - 9 כר'</v>
      </c>
    </row>
    <row r="44289" spans="1:6" x14ac:dyDescent="0.2">
      <c r="A44289" t="s">
        <v>66804</v>
      </c>
      <c r="B44289" t="s">
        <v>37414</v>
      </c>
      <c r="C44289" t="s">
        <v>1619</v>
      </c>
      <c r="D44289" t="s">
        <v>14</v>
      </c>
      <c r="E44289" t="s">
        <v>144</v>
      </c>
      <c r="F44289" s="2" t="str">
        <f>HYPERLINK("http://www.otzar.org/book.asp?104287","תוספות רבינו פרץ - &lt;תוספות ישנים ושאנץ&gt; - מכות")</f>
        <v>תוספות רבינו פרץ - &lt;תוספות ישנים ושאנץ&gt; - מכות</v>
      </c>
    </row>
    <row r="44290" spans="1:6" x14ac:dyDescent="0.2">
      <c r="A44290" t="s">
        <v>66805</v>
      </c>
      <c r="B44290" t="s">
        <v>66806</v>
      </c>
      <c r="C44290" t="s">
        <v>143</v>
      </c>
      <c r="D44290" t="s">
        <v>14</v>
      </c>
      <c r="E44290" t="s">
        <v>1211</v>
      </c>
      <c r="F44290" s="2" t="str">
        <f>HYPERLINK("http://www.otzar.org/book.asp?9086","תוספות רבינו פרץ - &lt;תוספות מהר""ם ורבינו פרץ&gt; - יבמות")</f>
        <v>תוספות רבינו פרץ - &lt;תוספות מהר"ם ורבינו פרץ&gt; - יבמות</v>
      </c>
    </row>
    <row r="44291" spans="1:6" x14ac:dyDescent="0.2">
      <c r="A44291" t="s">
        <v>66807</v>
      </c>
      <c r="B44291" t="s">
        <v>66808</v>
      </c>
      <c r="C44291" t="s">
        <v>989</v>
      </c>
      <c r="D44291" t="s">
        <v>412</v>
      </c>
      <c r="E44291" t="s">
        <v>144</v>
      </c>
      <c r="F44291" s="2" t="str">
        <f>HYPERLINK("http://www.otzar.org/book.asp?62254","תוספות רבינו שמואל ב""ר יצחק - קדושין")</f>
        <v>תוספות רבינו שמואל ב"ר יצחק - קדושין</v>
      </c>
    </row>
    <row r="44292" spans="1:6" x14ac:dyDescent="0.2">
      <c r="A44292" t="s">
        <v>66809</v>
      </c>
      <c r="B44292" t="s">
        <v>47118</v>
      </c>
      <c r="C44292" t="s">
        <v>35705</v>
      </c>
      <c r="D44292" t="s">
        <v>27</v>
      </c>
      <c r="E44292" t="s">
        <v>144</v>
      </c>
      <c r="F44292" s="2" t="str">
        <f>HYPERLINK("http://www.otzar.org/book.asp?153561","תוספות רי""ד &lt;מהדורת הר""נ זק""ש&gt; - 7 כר'")</f>
        <v>תוספות רי"ד &lt;מהדורת הר"נ זק"ש&gt; - 7 כר'</v>
      </c>
    </row>
    <row r="44293" spans="1:6" x14ac:dyDescent="0.2">
      <c r="A44293" t="s">
        <v>66810</v>
      </c>
      <c r="B44293" t="s">
        <v>47118</v>
      </c>
      <c r="C44293" t="s">
        <v>13</v>
      </c>
      <c r="D44293" t="s">
        <v>14</v>
      </c>
      <c r="E44293" t="s">
        <v>144</v>
      </c>
      <c r="F44293" s="2" t="str">
        <f>HYPERLINK("http://www.otzar.org/book.asp?62489","תוספות רי""ד &lt;עוז והדר&gt; - 5 כר'")</f>
        <v>תוספות רי"ד &lt;עוז והדר&gt; - 5 כר'</v>
      </c>
    </row>
    <row r="44294" spans="1:6" x14ac:dyDescent="0.2">
      <c r="A44294" t="s">
        <v>66811</v>
      </c>
      <c r="B44294" t="s">
        <v>47118</v>
      </c>
      <c r="C44294" t="s">
        <v>35705</v>
      </c>
      <c r="D44294" t="s">
        <v>27</v>
      </c>
      <c r="E44294" t="s">
        <v>144</v>
      </c>
      <c r="F44294" s="2" t="str">
        <f>HYPERLINK("http://www.otzar.org/book.asp?153555","תוספות רי""ד - 7 כר'")</f>
        <v>תוספות רי"ד - 7 כר'</v>
      </c>
    </row>
    <row r="44295" spans="1:6" x14ac:dyDescent="0.2">
      <c r="A44295" t="s">
        <v>66812</v>
      </c>
      <c r="B44295" t="s">
        <v>66813</v>
      </c>
      <c r="C44295" t="s">
        <v>71</v>
      </c>
      <c r="D44295" t="s">
        <v>52</v>
      </c>
      <c r="E44295" t="s">
        <v>144</v>
      </c>
      <c r="F44295" s="2" t="str">
        <f>HYPERLINK("http://www.otzar.org/book.asp?106541","תוספות שאנץ - 2 כר'")</f>
        <v>תוספות שאנץ - 2 כר'</v>
      </c>
    </row>
    <row r="44296" spans="1:6" x14ac:dyDescent="0.2">
      <c r="A44296" t="s">
        <v>66814</v>
      </c>
      <c r="B44296" t="s">
        <v>66815</v>
      </c>
      <c r="C44296" t="s">
        <v>356</v>
      </c>
      <c r="D44296" t="s">
        <v>412</v>
      </c>
      <c r="E44296" t="s">
        <v>144</v>
      </c>
      <c r="F44296" s="2" t="str">
        <f>HYPERLINK("http://www.otzar.org/book.asp?62364","תוספות תלמיד ר""י הזקן ותשובות רבי משה חלאוה - ב""ק")</f>
        <v>תוספות תלמיד ר"י הזקן ותשובות רבי משה חלאוה - ב"ק</v>
      </c>
    </row>
    <row r="44297" spans="1:6" x14ac:dyDescent="0.2">
      <c r="A44297" t="s">
        <v>66816</v>
      </c>
      <c r="B44297" t="s">
        <v>66817</v>
      </c>
      <c r="C44297" t="s">
        <v>356</v>
      </c>
      <c r="D44297" t="s">
        <v>412</v>
      </c>
      <c r="E44297" t="s">
        <v>144</v>
      </c>
      <c r="F44297" s="2" t="str">
        <f>HYPERLINK("http://www.otzar.org/book.asp?62367","תוספות תלמיד רבינו תם ורבינו אליעזר")</f>
        <v>תוספות תלמיד רבינו תם ורבינו אליעזר</v>
      </c>
    </row>
    <row r="44298" spans="1:6" x14ac:dyDescent="0.2">
      <c r="A44298" t="s">
        <v>66818</v>
      </c>
      <c r="B44298" t="s">
        <v>66819</v>
      </c>
      <c r="C44298" t="s">
        <v>146</v>
      </c>
      <c r="D44298" t="s">
        <v>14</v>
      </c>
      <c r="E44298" t="s">
        <v>144</v>
      </c>
      <c r="F44298" s="2" t="str">
        <f>HYPERLINK("http://www.otzar.org/book.asp?186720","תוספי הרא""ש - כתובות, גיטין, קידושין &lt;הערות וביאורים הגרמ""ש שפירא&gt;")</f>
        <v>תוספי הרא"ש - כתובות, גיטין, קידושין &lt;הערות וביאורים הגרמ"ש שפירא&gt;</v>
      </c>
    </row>
    <row r="44299" spans="1:6" x14ac:dyDescent="0.2">
      <c r="A44299" t="s">
        <v>66820</v>
      </c>
      <c r="B44299" t="s">
        <v>66821</v>
      </c>
      <c r="C44299" t="s">
        <v>103</v>
      </c>
      <c r="D44299" t="s">
        <v>657</v>
      </c>
      <c r="F44299" s="2" t="str">
        <f>HYPERLINK("http://www.otzar.org/book.asp?170379","תוספי הרא""ש - מגילה")</f>
        <v>תוספי הרא"ש - מגילה</v>
      </c>
    </row>
    <row r="44300" spans="1:6" x14ac:dyDescent="0.2">
      <c r="A44300" t="s">
        <v>66822</v>
      </c>
      <c r="B44300" t="s">
        <v>66823</v>
      </c>
      <c r="C44300" t="s">
        <v>244</v>
      </c>
      <c r="D44300" t="s">
        <v>2504</v>
      </c>
      <c r="E44300" t="s">
        <v>15</v>
      </c>
      <c r="F44300" s="2" t="str">
        <f>HYPERLINK("http://www.otzar.org/book.asp?603755","תוספי יריעות הסופר")</f>
        <v>תוספי יריעות הסופר</v>
      </c>
    </row>
    <row r="44301" spans="1:6" x14ac:dyDescent="0.2">
      <c r="A44301" t="s">
        <v>66824</v>
      </c>
      <c r="B44301" t="s">
        <v>4617</v>
      </c>
      <c r="C44301" t="s">
        <v>1169</v>
      </c>
      <c r="D44301" t="s">
        <v>9</v>
      </c>
      <c r="E44301" t="s">
        <v>144</v>
      </c>
      <c r="F44301" s="2" t="str">
        <f>HYPERLINK("http://www.otzar.org/book.asp?149636","תוספי רבינו אשר וחי' רבינו טודרוס על מס' מגילה")</f>
        <v>תוספי רבינו אשר וחי' רבינו טודרוס על מס' מגילה</v>
      </c>
    </row>
    <row r="44302" spans="1:6" x14ac:dyDescent="0.2">
      <c r="A44302" t="s">
        <v>66825</v>
      </c>
      <c r="B44302" t="s">
        <v>2526</v>
      </c>
      <c r="C44302" t="s">
        <v>13</v>
      </c>
      <c r="D44302" t="s">
        <v>66826</v>
      </c>
      <c r="E44302" t="s">
        <v>148</v>
      </c>
      <c r="F44302" s="2" t="str">
        <f>HYPERLINK("http://www.otzar.org/book.asp?145377","תוספת אהל - 3 כר'")</f>
        <v>תוספת אהל - 3 כר'</v>
      </c>
    </row>
    <row r="44303" spans="1:6" x14ac:dyDescent="0.2">
      <c r="A44303" t="s">
        <v>66827</v>
      </c>
      <c r="B44303" t="s">
        <v>66828</v>
      </c>
      <c r="C44303" t="s">
        <v>411</v>
      </c>
      <c r="D44303" t="s">
        <v>152</v>
      </c>
      <c r="E44303" t="s">
        <v>144</v>
      </c>
      <c r="F44303" s="2" t="str">
        <f>HYPERLINK("http://www.otzar.org/book.asp?601571","תוספת אורה - 2 כר'")</f>
        <v>תוספת אורה - 2 כר'</v>
      </c>
    </row>
    <row r="44304" spans="1:6" x14ac:dyDescent="0.2">
      <c r="A44304" t="s">
        <v>66829</v>
      </c>
      <c r="B44304" t="s">
        <v>66830</v>
      </c>
      <c r="C44304" t="s">
        <v>146</v>
      </c>
      <c r="D44304" t="s">
        <v>14</v>
      </c>
      <c r="E44304" t="s">
        <v>130</v>
      </c>
      <c r="F44304" s="2" t="str">
        <f>HYPERLINK("http://www.otzar.org/book.asp?157438","תוספת אורה")</f>
        <v>תוספת אורה</v>
      </c>
    </row>
    <row r="44305" spans="1:6" x14ac:dyDescent="0.2">
      <c r="A44305" t="s">
        <v>66831</v>
      </c>
      <c r="B44305" t="s">
        <v>28526</v>
      </c>
      <c r="C44305" t="s">
        <v>244</v>
      </c>
      <c r="D44305" t="s">
        <v>52</v>
      </c>
      <c r="E44305" t="s">
        <v>144</v>
      </c>
      <c r="F44305" s="2" t="str">
        <f>HYPERLINK("http://www.otzar.org/book.asp?199675","תוספת אורה - בבא מציעא")</f>
        <v>תוספת אורה - בבא מציעא</v>
      </c>
    </row>
    <row r="44306" spans="1:6" x14ac:dyDescent="0.2">
      <c r="A44306" t="s">
        <v>66832</v>
      </c>
      <c r="B44306" t="s">
        <v>48979</v>
      </c>
      <c r="C44306" t="s">
        <v>2672</v>
      </c>
      <c r="D44306" t="s">
        <v>49</v>
      </c>
      <c r="E44306" t="s">
        <v>15</v>
      </c>
      <c r="F44306" s="2" t="str">
        <f>HYPERLINK("http://www.otzar.org/book.asp?52111","תוספת בכורי קציר")</f>
        <v>תוספת בכורי קציר</v>
      </c>
    </row>
    <row r="44307" spans="1:6" x14ac:dyDescent="0.2">
      <c r="A44307" t="s">
        <v>66833</v>
      </c>
      <c r="B44307" t="s">
        <v>11798</v>
      </c>
      <c r="C44307" t="s">
        <v>466</v>
      </c>
      <c r="D44307" t="s">
        <v>216</v>
      </c>
      <c r="E44307" t="s">
        <v>158</v>
      </c>
      <c r="F44307" s="2" t="str">
        <f>HYPERLINK("http://www.otzar.org/book.asp?143915","תוספת ברכה - 5 כר'")</f>
        <v>תוספת ברכה - 5 כר'</v>
      </c>
    </row>
    <row r="44308" spans="1:6" x14ac:dyDescent="0.2">
      <c r="A44308" t="s">
        <v>66834</v>
      </c>
      <c r="B44308" t="s">
        <v>66835</v>
      </c>
      <c r="C44308" t="s">
        <v>111</v>
      </c>
      <c r="D44308" t="s">
        <v>152</v>
      </c>
      <c r="E44308" t="s">
        <v>144</v>
      </c>
      <c r="F44308" s="2" t="str">
        <f>HYPERLINK("http://www.otzar.org/book.asp?629849","תוספת דברים - עירובין")</f>
        <v>תוספת דברים - עירובין</v>
      </c>
    </row>
    <row r="44309" spans="1:6" x14ac:dyDescent="0.2">
      <c r="A44309" t="s">
        <v>66836</v>
      </c>
      <c r="B44309" t="s">
        <v>66837</v>
      </c>
      <c r="C44309" t="s">
        <v>51</v>
      </c>
      <c r="D44309" t="s">
        <v>52</v>
      </c>
      <c r="E44309" t="s">
        <v>674</v>
      </c>
      <c r="F44309" s="2" t="str">
        <f>HYPERLINK("http://www.otzar.org/book.asp?161545","תוספת חיים בדרך האבות")</f>
        <v>תוספת חיים בדרך האבות</v>
      </c>
    </row>
    <row r="44310" spans="1:6" x14ac:dyDescent="0.2">
      <c r="A44310" t="s">
        <v>66836</v>
      </c>
      <c r="B44310" t="s">
        <v>6333</v>
      </c>
      <c r="C44310" t="s">
        <v>51</v>
      </c>
      <c r="D44310" t="s">
        <v>52</v>
      </c>
      <c r="E44310" t="s">
        <v>15</v>
      </c>
      <c r="F44310" s="2" t="str">
        <f>HYPERLINK("http://www.otzar.org/book.asp?191724","תוספת חיים בדרך האבות")</f>
        <v>תוספת חיים בדרך האבות</v>
      </c>
    </row>
    <row r="44311" spans="1:6" x14ac:dyDescent="0.2">
      <c r="A44311" t="s">
        <v>66838</v>
      </c>
      <c r="B44311" t="s">
        <v>66839</v>
      </c>
      <c r="C44311" t="s">
        <v>176</v>
      </c>
      <c r="D44311" t="s">
        <v>52</v>
      </c>
      <c r="E44311" t="s">
        <v>684</v>
      </c>
      <c r="F44311" s="2" t="str">
        <f>HYPERLINK("http://www.otzar.org/book.asp?153771","תוספת חיים")</f>
        <v>תוספת חיים</v>
      </c>
    </row>
    <row r="44312" spans="1:6" x14ac:dyDescent="0.2">
      <c r="A44312" t="s">
        <v>66838</v>
      </c>
      <c r="B44312" t="s">
        <v>27032</v>
      </c>
      <c r="C44312" t="s">
        <v>1718</v>
      </c>
      <c r="D44312" t="s">
        <v>267</v>
      </c>
      <c r="E44312" t="s">
        <v>1880</v>
      </c>
      <c r="F44312" s="2" t="str">
        <f>HYPERLINK("http://www.otzar.org/book.asp?20398","תוספת חיים")</f>
        <v>תוספת חיים</v>
      </c>
    </row>
    <row r="44313" spans="1:6" x14ac:dyDescent="0.2">
      <c r="A44313" t="s">
        <v>66840</v>
      </c>
      <c r="B44313" t="s">
        <v>2396</v>
      </c>
      <c r="C44313" t="s">
        <v>20</v>
      </c>
      <c r="D44313" t="s">
        <v>52</v>
      </c>
      <c r="E44313" t="s">
        <v>144</v>
      </c>
      <c r="F44313" s="2" t="str">
        <f>HYPERLINK("http://www.otzar.org/book.asp?165252","תוספת יום טוב - ביצה")</f>
        <v>תוספת יום טוב - ביצה</v>
      </c>
    </row>
    <row r="44314" spans="1:6" x14ac:dyDescent="0.2">
      <c r="A44314" t="s">
        <v>66841</v>
      </c>
      <c r="B44314" t="s">
        <v>7922</v>
      </c>
      <c r="C44314" t="s">
        <v>594</v>
      </c>
      <c r="D44314" t="s">
        <v>56</v>
      </c>
      <c r="E44314" t="s">
        <v>66842</v>
      </c>
      <c r="F44314" s="2" t="str">
        <f>HYPERLINK("http://www.otzar.org/book.asp?8981","תוספת ירושלים")</f>
        <v>תוספת ירושלים</v>
      </c>
    </row>
    <row r="44315" spans="1:6" x14ac:dyDescent="0.2">
      <c r="A44315" t="s">
        <v>66843</v>
      </c>
      <c r="B44315" t="s">
        <v>16577</v>
      </c>
      <c r="C44315" t="s">
        <v>23</v>
      </c>
      <c r="D44315" t="s">
        <v>152</v>
      </c>
      <c r="F44315" s="2" t="str">
        <f>HYPERLINK("http://www.otzar.org/book.asp?198188","תוספת כתובה")</f>
        <v>תוספת כתובה</v>
      </c>
    </row>
    <row r="44316" spans="1:6" x14ac:dyDescent="0.2">
      <c r="A44316" t="s">
        <v>66843</v>
      </c>
      <c r="B44316" t="s">
        <v>66844</v>
      </c>
      <c r="C44316" t="s">
        <v>775</v>
      </c>
      <c r="D44316" t="s">
        <v>14</v>
      </c>
      <c r="E44316" t="s">
        <v>15</v>
      </c>
      <c r="F44316" s="2" t="str">
        <f>HYPERLINK("http://www.otzar.org/book.asp?8307","תוספת כתובה")</f>
        <v>תוספת כתובה</v>
      </c>
    </row>
    <row r="44317" spans="1:6" x14ac:dyDescent="0.2">
      <c r="A44317" t="s">
        <v>66845</v>
      </c>
      <c r="B44317" t="s">
        <v>49946</v>
      </c>
      <c r="C44317" t="s">
        <v>1096</v>
      </c>
      <c r="D44317" t="s">
        <v>56</v>
      </c>
      <c r="E44317" t="s">
        <v>158</v>
      </c>
      <c r="F44317" s="2" t="str">
        <f>HYPERLINK("http://www.otzar.org/book.asp?23564","תוספת מלואים")</f>
        <v>תוספת מלואים</v>
      </c>
    </row>
    <row r="44318" spans="1:6" x14ac:dyDescent="0.2">
      <c r="A44318" t="s">
        <v>66846</v>
      </c>
      <c r="B44318" t="s">
        <v>66847</v>
      </c>
      <c r="C44318" t="s">
        <v>20</v>
      </c>
      <c r="D44318" t="s">
        <v>27</v>
      </c>
      <c r="E44318" t="s">
        <v>15</v>
      </c>
      <c r="F44318" s="2" t="str">
        <f>HYPERLINK("http://www.otzar.org/book.asp?179185","תוספת מעשה רב - 2 כר'")</f>
        <v>תוספת מעשה רב - 2 כר'</v>
      </c>
    </row>
    <row r="44319" spans="1:6" x14ac:dyDescent="0.2">
      <c r="A44319" t="s">
        <v>66848</v>
      </c>
      <c r="B44319" t="s">
        <v>8751</v>
      </c>
      <c r="C44319" t="s">
        <v>767</v>
      </c>
      <c r="D44319" t="s">
        <v>14</v>
      </c>
      <c r="E44319" t="s">
        <v>463</v>
      </c>
      <c r="F44319" s="2" t="str">
        <f>HYPERLINK("http://www.otzar.org/book.asp?608147","תוספת עיני שמואל")</f>
        <v>תוספת עיני שמואל</v>
      </c>
    </row>
    <row r="44320" spans="1:6" x14ac:dyDescent="0.2">
      <c r="A44320" t="s">
        <v>66849</v>
      </c>
      <c r="B44320" t="s">
        <v>66850</v>
      </c>
      <c r="C44320" t="s">
        <v>266</v>
      </c>
      <c r="D44320" t="s">
        <v>7342</v>
      </c>
      <c r="E44320" t="s">
        <v>2088</v>
      </c>
      <c r="F44320" s="2" t="str">
        <f>HYPERLINK("http://www.otzar.org/book.asp?141124","תוספת קדושה")</f>
        <v>תוספת קדושה</v>
      </c>
    </row>
    <row r="44321" spans="1:6" x14ac:dyDescent="0.2">
      <c r="A44321" t="s">
        <v>66851</v>
      </c>
      <c r="B44321" t="s">
        <v>9675</v>
      </c>
      <c r="C44321" t="s">
        <v>919</v>
      </c>
      <c r="D44321" t="s">
        <v>14</v>
      </c>
      <c r="E44321" t="s">
        <v>158</v>
      </c>
      <c r="F44321" s="2" t="str">
        <f>HYPERLINK("http://www.otzar.org/book.asp?14070","תוספת רש""י - בראשית")</f>
        <v>תוספת רש"י - בראשית</v>
      </c>
    </row>
    <row r="44322" spans="1:6" x14ac:dyDescent="0.2">
      <c r="A44322" t="s">
        <v>66852</v>
      </c>
      <c r="B44322" t="s">
        <v>49204</v>
      </c>
      <c r="C44322" t="s">
        <v>1885</v>
      </c>
      <c r="D44322" t="s">
        <v>27</v>
      </c>
      <c r="E44322" t="s">
        <v>15</v>
      </c>
      <c r="F44322" s="2" t="str">
        <f>HYPERLINK("http://www.otzar.org/book.asp?169437","תוספת שביעית")</f>
        <v>תוספת שביעית</v>
      </c>
    </row>
    <row r="44323" spans="1:6" x14ac:dyDescent="0.2">
      <c r="A44323" t="s">
        <v>66853</v>
      </c>
      <c r="B44323" t="s">
        <v>47002</v>
      </c>
      <c r="C44323" t="s">
        <v>466</v>
      </c>
      <c r="D44323" t="s">
        <v>412</v>
      </c>
      <c r="E44323" t="s">
        <v>872</v>
      </c>
      <c r="F44323" s="2" t="str">
        <f>HYPERLINK("http://www.otzar.org/book.asp?63032","תוספת שבת &lt;עם ביאורים וציונים&gt; - 2 כר'")</f>
        <v>תוספת שבת &lt;עם ביאורים וציונים&gt; - 2 כר'</v>
      </c>
    </row>
    <row r="44324" spans="1:6" x14ac:dyDescent="0.2">
      <c r="A44324" t="s">
        <v>66854</v>
      </c>
      <c r="B44324" t="s">
        <v>66855</v>
      </c>
      <c r="C44324" t="s">
        <v>896</v>
      </c>
      <c r="D44324" t="s">
        <v>283</v>
      </c>
      <c r="E44324" t="s">
        <v>529</v>
      </c>
      <c r="F44324" s="2" t="str">
        <f>HYPERLINK("http://www.otzar.org/book.asp?28345","תוספת שבת")</f>
        <v>תוספת שבת</v>
      </c>
    </row>
    <row r="44325" spans="1:6" x14ac:dyDescent="0.2">
      <c r="A44325" t="s">
        <v>66856</v>
      </c>
      <c r="B44325" t="s">
        <v>47002</v>
      </c>
      <c r="C44325" t="s">
        <v>1519</v>
      </c>
      <c r="D44325" t="s">
        <v>60</v>
      </c>
      <c r="E44325" t="s">
        <v>172</v>
      </c>
      <c r="F44325" s="2" t="str">
        <f>HYPERLINK("http://www.otzar.org/book.asp?211","תוספת שבת - 2 כר'")</f>
        <v>תוספת שבת - 2 כר'</v>
      </c>
    </row>
    <row r="44326" spans="1:6" x14ac:dyDescent="0.2">
      <c r="A44326" t="s">
        <v>66854</v>
      </c>
      <c r="B44326" t="s">
        <v>1750</v>
      </c>
      <c r="C44326" t="s">
        <v>533</v>
      </c>
      <c r="D44326" t="s">
        <v>52</v>
      </c>
      <c r="E44326" t="s">
        <v>186</v>
      </c>
      <c r="F44326" s="2" t="str">
        <f>HYPERLINK("http://www.otzar.org/book.asp?50678","תוספת שבת")</f>
        <v>תוספת שבת</v>
      </c>
    </row>
    <row r="44327" spans="1:6" x14ac:dyDescent="0.2">
      <c r="A44327" t="s">
        <v>66857</v>
      </c>
      <c r="B44327" t="s">
        <v>10759</v>
      </c>
      <c r="C44327" t="s">
        <v>553</v>
      </c>
      <c r="D44327" t="s">
        <v>14</v>
      </c>
      <c r="E44327" t="s">
        <v>15</v>
      </c>
      <c r="F44327" s="2" t="str">
        <f>HYPERLINK("http://www.otzar.org/book.asp?153781","תוספת שנת השבע")</f>
        <v>תוספת שנת השבע</v>
      </c>
    </row>
    <row r="44328" spans="1:6" x14ac:dyDescent="0.2">
      <c r="A44328" t="s">
        <v>66858</v>
      </c>
      <c r="B44328" t="s">
        <v>66859</v>
      </c>
      <c r="C44328" t="s">
        <v>1619</v>
      </c>
      <c r="D44328" t="s">
        <v>52</v>
      </c>
      <c r="E44328" t="s">
        <v>66860</v>
      </c>
      <c r="F44328" s="2" t="str">
        <f>HYPERLINK("http://www.otzar.org/book.asp?11995","תוספת תיקון, משנת סופרים, אוסף תמונות תפילין ואם למקרא")</f>
        <v>תוספת תיקון, משנת סופרים, אוסף תמונות תפילין ואם למקרא</v>
      </c>
    </row>
    <row r="44329" spans="1:6" x14ac:dyDescent="0.2">
      <c r="A44329" t="s">
        <v>66861</v>
      </c>
      <c r="B44329" t="s">
        <v>47265</v>
      </c>
      <c r="C44329" t="s">
        <v>1096</v>
      </c>
      <c r="D44329" t="s">
        <v>283</v>
      </c>
      <c r="E44329" t="s">
        <v>21174</v>
      </c>
      <c r="F44329" s="2" t="str">
        <f>HYPERLINK("http://www.otzar.org/book.asp?10497","תוספתא &lt;החילוקים שבין אר""י ובבל - עם עזרת יהודה&gt;")</f>
        <v>תוספתא &lt;החילוקים שבין אר"י ובבל - עם עזרת יהודה&gt;</v>
      </c>
    </row>
    <row r="44330" spans="1:6" x14ac:dyDescent="0.2">
      <c r="A44330" t="s">
        <v>66862</v>
      </c>
      <c r="B44330" t="s">
        <v>66863</v>
      </c>
      <c r="C44330" t="s">
        <v>114</v>
      </c>
      <c r="D44330" t="s">
        <v>52</v>
      </c>
      <c r="E44330" t="s">
        <v>43</v>
      </c>
      <c r="F44330" s="2" t="str">
        <f>HYPERLINK("http://www.otzar.org/book.asp?172167","תוספתא &lt;כת""י ווינה&gt; - 4 כר'")</f>
        <v>תוספתא &lt;כת"י ווינה&gt; - 4 כר'</v>
      </c>
    </row>
    <row r="44331" spans="1:6" x14ac:dyDescent="0.2">
      <c r="A44331" t="s">
        <v>66864</v>
      </c>
      <c r="B44331" t="s">
        <v>66865</v>
      </c>
      <c r="C44331" t="s">
        <v>989</v>
      </c>
      <c r="D44331" t="s">
        <v>27</v>
      </c>
      <c r="F44331" s="2" t="str">
        <f>HYPERLINK("http://www.otzar.org/book.asp?611640","תוספתא &lt;צוקרמנדל&gt;")</f>
        <v>תוספתא &lt;צוקרמנדל&gt;</v>
      </c>
    </row>
    <row r="44332" spans="1:6" x14ac:dyDescent="0.2">
      <c r="A44332" t="s">
        <v>66866</v>
      </c>
      <c r="B44332" t="s">
        <v>66867</v>
      </c>
      <c r="C44332" t="s">
        <v>14870</v>
      </c>
      <c r="D44332" t="s">
        <v>27</v>
      </c>
      <c r="E44332" t="s">
        <v>43</v>
      </c>
      <c r="F44332" s="2" t="str">
        <f>HYPERLINK("http://www.otzar.org/book.asp?101463","תוספתא &lt;מנחת יצחק&gt; - 4 כר'")</f>
        <v>תוספתא &lt;מנחת יצחק&gt; - 4 כר'</v>
      </c>
    </row>
    <row r="44333" spans="1:6" x14ac:dyDescent="0.2">
      <c r="A44333" t="s">
        <v>66868</v>
      </c>
      <c r="B44333" t="s">
        <v>18025</v>
      </c>
      <c r="C44333" t="s">
        <v>66869</v>
      </c>
      <c r="D44333" t="s">
        <v>56</v>
      </c>
      <c r="E44333" t="s">
        <v>43</v>
      </c>
      <c r="F44333" s="2" t="str">
        <f>HYPERLINK("http://www.otzar.org/book.asp?20372","תוספתא &lt;תנא תוספאה&gt; - 2 כר'")</f>
        <v>תוספתא &lt;תנא תוספאה&gt; - 2 כר'</v>
      </c>
    </row>
    <row r="44334" spans="1:6" x14ac:dyDescent="0.2">
      <c r="A44334" t="s">
        <v>66870</v>
      </c>
      <c r="B44334" t="s">
        <v>66871</v>
      </c>
      <c r="C44334" t="s">
        <v>17</v>
      </c>
      <c r="D44334" t="s">
        <v>14</v>
      </c>
      <c r="E44334" t="s">
        <v>43</v>
      </c>
      <c r="F44334" s="2" t="str">
        <f>HYPERLINK("http://www.otzar.org/book.asp?173596","תוספתא &lt;ליברמן&gt; - 5 כר'")</f>
        <v>תוספתא &lt;ליברמן&gt; - 5 כר'</v>
      </c>
    </row>
    <row r="44335" spans="1:6" x14ac:dyDescent="0.2">
      <c r="A44335" t="s">
        <v>66872</v>
      </c>
      <c r="B44335" t="s">
        <v>30031</v>
      </c>
      <c r="C44335" t="s">
        <v>1448</v>
      </c>
      <c r="D44335" t="s">
        <v>14</v>
      </c>
      <c r="E44335" t="s">
        <v>43</v>
      </c>
      <c r="F44335" s="2" t="str">
        <f>HYPERLINK("http://www.otzar.org/book.asp?8742","תוספתא זרעים עם עינים למשפט")</f>
        <v>תוספתא זרעים עם עינים למשפט</v>
      </c>
    </row>
    <row r="44336" spans="1:6" x14ac:dyDescent="0.2">
      <c r="A44336" t="s">
        <v>66873</v>
      </c>
      <c r="B44336" t="s">
        <v>66874</v>
      </c>
      <c r="C44336" t="s">
        <v>51</v>
      </c>
      <c r="D44336" t="s">
        <v>14</v>
      </c>
      <c r="E44336" t="s">
        <v>43</v>
      </c>
      <c r="F44336" s="2" t="str">
        <f>HYPERLINK("http://www.otzar.org/book.asp?173585","תוספתא כפשוטה - 7 כר'")</f>
        <v>תוספתא כפשוטה - 7 כר'</v>
      </c>
    </row>
    <row r="44337" spans="1:6" x14ac:dyDescent="0.2">
      <c r="A44337" t="s">
        <v>66875</v>
      </c>
      <c r="B44337" t="s">
        <v>6671</v>
      </c>
      <c r="C44337" t="s">
        <v>1885</v>
      </c>
      <c r="D44337" t="s">
        <v>267</v>
      </c>
      <c r="E44337" t="s">
        <v>140</v>
      </c>
      <c r="F44337" s="2" t="str">
        <f>HYPERLINK("http://www.otzar.org/book.asp?10550","תוספתא למדרש פנחס")</f>
        <v>תוספתא למדרש פנחס</v>
      </c>
    </row>
    <row r="44338" spans="1:6" x14ac:dyDescent="0.2">
      <c r="A44338" t="s">
        <v>66876</v>
      </c>
      <c r="B44338" t="s">
        <v>39550</v>
      </c>
      <c r="C44338" t="s">
        <v>940</v>
      </c>
      <c r="D44338" t="s">
        <v>14</v>
      </c>
      <c r="E44338" t="s">
        <v>43</v>
      </c>
      <c r="F44338" s="2" t="str">
        <f>HYPERLINK("http://www.otzar.org/book.asp?141698","תוספתא מסכת שביעית &lt;משנת יוסף&gt;")</f>
        <v>תוספתא מסכת שביעית &lt;משנת יוסף&gt;</v>
      </c>
    </row>
    <row r="44339" spans="1:6" x14ac:dyDescent="0.2">
      <c r="A44339" t="s">
        <v>66877</v>
      </c>
      <c r="B44339" t="s">
        <v>10435</v>
      </c>
      <c r="C44339" t="s">
        <v>643</v>
      </c>
      <c r="D44339" t="s">
        <v>322</v>
      </c>
      <c r="E44339" t="s">
        <v>66878</v>
      </c>
      <c r="F44339" s="2" t="str">
        <f>HYPERLINK("http://www.otzar.org/book.asp?441","תוספתא עתיקתא")</f>
        <v>תוספתא עתיקתא</v>
      </c>
    </row>
    <row r="44340" spans="1:6" x14ac:dyDescent="0.2">
      <c r="A44340" t="s">
        <v>66879</v>
      </c>
      <c r="B44340" t="s">
        <v>5588</v>
      </c>
      <c r="C44340" t="s">
        <v>812</v>
      </c>
      <c r="D44340" t="s">
        <v>260</v>
      </c>
      <c r="E44340" t="s">
        <v>9780</v>
      </c>
      <c r="F44340" s="2" t="str">
        <f>HYPERLINK("http://www.otzar.org/book.asp?103474","תוספתא שלימה")</f>
        <v>תוספתא שלימה</v>
      </c>
    </row>
    <row r="44341" spans="1:6" x14ac:dyDescent="0.2">
      <c r="A44341" t="s">
        <v>66880</v>
      </c>
      <c r="B44341" t="s">
        <v>66881</v>
      </c>
      <c r="C44341" t="s">
        <v>2280</v>
      </c>
      <c r="D44341" t="s">
        <v>661</v>
      </c>
      <c r="E44341" t="s">
        <v>43</v>
      </c>
      <c r="F44341" s="2" t="str">
        <f>HYPERLINK("http://www.otzar.org/book.asp?102022","תוספתות סדר מועד ע""פ תכלת מרדכי - 3 כר'")</f>
        <v>תוספתות סדר מועד ע"פ תכלת מרדכי - 3 כר'</v>
      </c>
    </row>
    <row r="44342" spans="1:6" x14ac:dyDescent="0.2">
      <c r="A44342" t="s">
        <v>66882</v>
      </c>
      <c r="B44342" t="s">
        <v>9114</v>
      </c>
      <c r="C44342" t="s">
        <v>146</v>
      </c>
      <c r="D44342" t="s">
        <v>646</v>
      </c>
      <c r="E44342" t="s">
        <v>158</v>
      </c>
      <c r="F44342" s="2" t="str">
        <f>HYPERLINK("http://www.otzar.org/book.asp?171393","תועליות הרלב""ג &lt;מהדורה חדשה&gt;")</f>
        <v>תועליות הרלב"ג &lt;מהדורה חדשה&gt;</v>
      </c>
    </row>
    <row r="44343" spans="1:6" x14ac:dyDescent="0.2">
      <c r="A44343" t="s">
        <v>66883</v>
      </c>
      <c r="B44343" t="s">
        <v>9114</v>
      </c>
      <c r="C44343" t="s">
        <v>1166</v>
      </c>
      <c r="D44343" t="s">
        <v>726</v>
      </c>
      <c r="E44343" t="s">
        <v>3107</v>
      </c>
      <c r="F44343" s="2" t="str">
        <f>HYPERLINK("http://www.otzar.org/book.asp?470","תועליות הרלב""ג - 3 כר'")</f>
        <v>תועליות הרלב"ג - 3 כר'</v>
      </c>
    </row>
    <row r="44344" spans="1:6" x14ac:dyDescent="0.2">
      <c r="A44344" t="s">
        <v>66884</v>
      </c>
      <c r="B44344" t="s">
        <v>66885</v>
      </c>
      <c r="C44344" t="s">
        <v>412</v>
      </c>
      <c r="D44344" t="s">
        <v>332</v>
      </c>
      <c r="E44344" t="s">
        <v>2071</v>
      </c>
      <c r="F44344" s="2" t="str">
        <f>HYPERLINK("http://www.otzar.org/book.asp?194941","תועפות הרי""ם")</f>
        <v>תועפות הרי"ם</v>
      </c>
    </row>
    <row r="44345" spans="1:6" x14ac:dyDescent="0.2">
      <c r="A44345" t="s">
        <v>66886</v>
      </c>
      <c r="B44345" t="s">
        <v>37674</v>
      </c>
      <c r="C44345" t="s">
        <v>66887</v>
      </c>
      <c r="D44345" t="s">
        <v>212</v>
      </c>
      <c r="E44345" t="s">
        <v>16913</v>
      </c>
      <c r="F44345" s="2" t="str">
        <f>HYPERLINK("http://www.otzar.org/book.asp?16104","תועפות ראם &lt;ספר הזכרונות וחיי יצחק&gt;")</f>
        <v>תועפות ראם &lt;ספר הזכרונות וחיי יצחק&gt;</v>
      </c>
    </row>
    <row r="44346" spans="1:6" x14ac:dyDescent="0.2">
      <c r="A44346" t="s">
        <v>66888</v>
      </c>
      <c r="B44346" t="s">
        <v>66889</v>
      </c>
      <c r="C44346" t="s">
        <v>2140</v>
      </c>
      <c r="D44346" t="s">
        <v>212</v>
      </c>
      <c r="E44346" t="s">
        <v>158</v>
      </c>
      <c r="F44346" s="2" t="str">
        <f>HYPERLINK("http://www.otzar.org/book.asp?14114","תועפות ראם")</f>
        <v>תועפות ראם</v>
      </c>
    </row>
    <row r="44347" spans="1:6" x14ac:dyDescent="0.2">
      <c r="A44347" t="s">
        <v>66888</v>
      </c>
      <c r="B44347" t="s">
        <v>51753</v>
      </c>
      <c r="C44347" t="s">
        <v>547</v>
      </c>
      <c r="D44347" t="s">
        <v>6974</v>
      </c>
      <c r="E44347" t="s">
        <v>791</v>
      </c>
      <c r="F44347" s="2" t="str">
        <f>HYPERLINK("http://www.otzar.org/book.asp?5402","תועפות ראם")</f>
        <v>תועפות ראם</v>
      </c>
    </row>
    <row r="44348" spans="1:6" x14ac:dyDescent="0.2">
      <c r="A44348" t="s">
        <v>66890</v>
      </c>
      <c r="B44348" t="s">
        <v>66891</v>
      </c>
      <c r="C44348" t="s">
        <v>68</v>
      </c>
      <c r="D44348" t="s">
        <v>14</v>
      </c>
      <c r="E44348" t="s">
        <v>246</v>
      </c>
      <c r="F44348" s="2" t="str">
        <f>HYPERLINK("http://www.otzar.org/book.asp?165423","תועפות ראם - 3 כר'")</f>
        <v>תועפות ראם - 3 כר'</v>
      </c>
    </row>
    <row r="44349" spans="1:6" x14ac:dyDescent="0.2">
      <c r="A44349" t="s">
        <v>66888</v>
      </c>
      <c r="B44349" t="s">
        <v>21163</v>
      </c>
      <c r="C44349" t="s">
        <v>1721</v>
      </c>
      <c r="D44349" t="s">
        <v>5258</v>
      </c>
      <c r="E44349" t="s">
        <v>154</v>
      </c>
      <c r="F44349" s="2" t="str">
        <f>HYPERLINK("http://www.otzar.org/book.asp?102671","תועפות ראם")</f>
        <v>תועפות ראם</v>
      </c>
    </row>
    <row r="44350" spans="1:6" x14ac:dyDescent="0.2">
      <c r="A44350" t="s">
        <v>66892</v>
      </c>
      <c r="B44350" t="s">
        <v>11920</v>
      </c>
      <c r="C44350" t="s">
        <v>51</v>
      </c>
      <c r="D44350" t="s">
        <v>486</v>
      </c>
      <c r="E44350" t="s">
        <v>15</v>
      </c>
      <c r="F44350" s="2" t="str">
        <f>HYPERLINK("http://www.otzar.org/book.asp?53258","תועפות ראם - 2 כר'")</f>
        <v>תועפות ראם - 2 כר'</v>
      </c>
    </row>
    <row r="44351" spans="1:6" x14ac:dyDescent="0.2">
      <c r="A44351" t="s">
        <v>66893</v>
      </c>
      <c r="B44351" t="s">
        <v>66894</v>
      </c>
      <c r="C44351" t="s">
        <v>146</v>
      </c>
      <c r="D44351" t="s">
        <v>14</v>
      </c>
      <c r="E44351" t="s">
        <v>119</v>
      </c>
      <c r="F44351" s="2" t="str">
        <f>HYPERLINK("http://www.otzar.org/book.asp?154463","תועפות ראם - תולדות רבי אליהו ראם")</f>
        <v>תועפות ראם - תולדות רבי אליהו ראם</v>
      </c>
    </row>
    <row r="44352" spans="1:6" x14ac:dyDescent="0.2">
      <c r="A44352" t="s">
        <v>66888</v>
      </c>
      <c r="B44352" t="s">
        <v>66895</v>
      </c>
      <c r="C44352" t="s">
        <v>250</v>
      </c>
      <c r="D44352" t="s">
        <v>76</v>
      </c>
      <c r="E44352" t="s">
        <v>2135</v>
      </c>
      <c r="F44352" s="2" t="str">
        <f>HYPERLINK("http://www.otzar.org/book.asp?101465","תועפות ראם")</f>
        <v>תועפות ראם</v>
      </c>
    </row>
    <row r="44353" spans="1:6" x14ac:dyDescent="0.2">
      <c r="A44353" t="s">
        <v>66888</v>
      </c>
      <c r="B44353" t="s">
        <v>37674</v>
      </c>
      <c r="C44353" t="s">
        <v>66887</v>
      </c>
      <c r="D44353" t="s">
        <v>212</v>
      </c>
      <c r="E44353" t="s">
        <v>158</v>
      </c>
      <c r="F44353" s="2" t="str">
        <f>HYPERLINK("http://www.otzar.org/book.asp?16067","תועפות ראם")</f>
        <v>תועפות ראם</v>
      </c>
    </row>
    <row r="44354" spans="1:6" x14ac:dyDescent="0.2">
      <c r="A44354" t="s">
        <v>66896</v>
      </c>
      <c r="B44354" t="s">
        <v>1218</v>
      </c>
      <c r="C44354" t="s">
        <v>1592</v>
      </c>
      <c r="D44354" t="s">
        <v>157</v>
      </c>
      <c r="E44354" t="s">
        <v>158</v>
      </c>
      <c r="F44354" s="2" t="str">
        <f>HYPERLINK("http://www.otzar.org/book.asp?16071","תועפת ראם")</f>
        <v>תועפת ראם</v>
      </c>
    </row>
    <row r="44355" spans="1:6" x14ac:dyDescent="0.2">
      <c r="A44355" t="s">
        <v>66897</v>
      </c>
      <c r="B44355" t="s">
        <v>66898</v>
      </c>
      <c r="C44355" t="s">
        <v>66899</v>
      </c>
      <c r="D44355" t="s">
        <v>283</v>
      </c>
      <c r="E44355" t="s">
        <v>564</v>
      </c>
      <c r="F44355" s="2" t="str">
        <f>HYPERLINK("http://www.otzar.org/book.asp?105535","תועפת ראם - 4 כר'")</f>
        <v>תועפת ראם - 4 כר'</v>
      </c>
    </row>
    <row r="44356" spans="1:6" x14ac:dyDescent="0.2">
      <c r="A44356" t="s">
        <v>66896</v>
      </c>
      <c r="B44356" t="s">
        <v>6022</v>
      </c>
      <c r="C44356" t="s">
        <v>103</v>
      </c>
      <c r="D44356" t="s">
        <v>14</v>
      </c>
      <c r="E44356" t="s">
        <v>583</v>
      </c>
      <c r="F44356" s="2" t="str">
        <f>HYPERLINK("http://www.otzar.org/book.asp?107209","תועפת ראם")</f>
        <v>תועפת ראם</v>
      </c>
    </row>
    <row r="44357" spans="1:6" x14ac:dyDescent="0.2">
      <c r="A44357" t="s">
        <v>66900</v>
      </c>
      <c r="B44357" t="s">
        <v>66901</v>
      </c>
      <c r="C44357" t="s">
        <v>2543</v>
      </c>
      <c r="D44357" t="s">
        <v>13814</v>
      </c>
      <c r="E44357" t="s">
        <v>104</v>
      </c>
      <c r="F44357" s="2" t="str">
        <f>HYPERLINK("http://www.otzar.org/book.asp?12418","תוצאות ודוגמאות מספר שרשות כסף")</f>
        <v>תוצאות ודוגמאות מספר שרשות כסף</v>
      </c>
    </row>
    <row r="44358" spans="1:6" x14ac:dyDescent="0.2">
      <c r="A44358" t="s">
        <v>66902</v>
      </c>
      <c r="B44358" t="s">
        <v>3038</v>
      </c>
      <c r="C44358" t="s">
        <v>20</v>
      </c>
      <c r="D44358" t="s">
        <v>21</v>
      </c>
      <c r="E44358" t="s">
        <v>508</v>
      </c>
      <c r="F44358" s="2" t="str">
        <f>HYPERLINK("http://www.otzar.org/book.asp?190712","תוצאות חיים &lt;עם הוספות&gt;")</f>
        <v>תוצאות חיים &lt;עם הוספות&gt;</v>
      </c>
    </row>
    <row r="44359" spans="1:6" x14ac:dyDescent="0.2">
      <c r="A44359" t="s">
        <v>66903</v>
      </c>
      <c r="B44359" t="s">
        <v>66904</v>
      </c>
      <c r="C44359" t="s">
        <v>462</v>
      </c>
      <c r="D44359" t="s">
        <v>756</v>
      </c>
      <c r="E44359" t="s">
        <v>424</v>
      </c>
      <c r="F44359" s="2" t="str">
        <f>HYPERLINK("http://www.otzar.org/book.asp?104889","תוצאות חיים")</f>
        <v>תוצאות חיים</v>
      </c>
    </row>
    <row r="44360" spans="1:6" x14ac:dyDescent="0.2">
      <c r="A44360" t="s">
        <v>66903</v>
      </c>
      <c r="B44360" t="s">
        <v>66905</v>
      </c>
      <c r="C44360" t="s">
        <v>767</v>
      </c>
      <c r="D44360" t="s">
        <v>1180</v>
      </c>
      <c r="E44360" t="s">
        <v>158</v>
      </c>
      <c r="F44360" s="2" t="str">
        <f>HYPERLINK("http://www.otzar.org/book.asp?171482","תוצאות חיים")</f>
        <v>תוצאות חיים</v>
      </c>
    </row>
    <row r="44361" spans="1:6" x14ac:dyDescent="0.2">
      <c r="A44361" t="s">
        <v>66906</v>
      </c>
      <c r="B44361" t="s">
        <v>59975</v>
      </c>
      <c r="C44361" t="s">
        <v>1335</v>
      </c>
      <c r="D44361" t="s">
        <v>283</v>
      </c>
      <c r="E44361" t="s">
        <v>241</v>
      </c>
      <c r="F44361" s="2" t="str">
        <f>HYPERLINK("http://www.otzar.org/book.asp?52112","תוצאות חיים - 5 כר'")</f>
        <v>תוצאות חיים - 5 כר'</v>
      </c>
    </row>
    <row r="44362" spans="1:6" x14ac:dyDescent="0.2">
      <c r="A44362" t="s">
        <v>66907</v>
      </c>
      <c r="B44362" t="s">
        <v>26156</v>
      </c>
      <c r="C44362" t="s">
        <v>313</v>
      </c>
      <c r="D44362" t="s">
        <v>14</v>
      </c>
      <c r="E44362" t="s">
        <v>158</v>
      </c>
      <c r="F44362" s="2" t="str">
        <f>HYPERLINK("http://www.otzar.org/book.asp?155402","תוצאות חיים - חיים שנים ישלם")</f>
        <v>תוצאות חיים - חיים שנים ישלם</v>
      </c>
    </row>
    <row r="44363" spans="1:6" x14ac:dyDescent="0.2">
      <c r="A44363" t="s">
        <v>66903</v>
      </c>
      <c r="B44363" t="s">
        <v>3038</v>
      </c>
      <c r="C44363" t="s">
        <v>1650</v>
      </c>
      <c r="D44363" t="s">
        <v>283</v>
      </c>
      <c r="E44363" t="s">
        <v>144</v>
      </c>
      <c r="F44363" s="2" t="str">
        <f>HYPERLINK("http://www.otzar.org/book.asp?106028","תוצאות חיים")</f>
        <v>תוצאות חיים</v>
      </c>
    </row>
    <row r="44364" spans="1:6" x14ac:dyDescent="0.2">
      <c r="A44364" t="s">
        <v>66903</v>
      </c>
      <c r="B44364" t="s">
        <v>66908</v>
      </c>
      <c r="C44364" t="s">
        <v>282</v>
      </c>
      <c r="D44364" t="s">
        <v>6785</v>
      </c>
      <c r="E44364" t="s">
        <v>148</v>
      </c>
      <c r="F44364" s="2" t="str">
        <f>HYPERLINK("http://www.otzar.org/book.asp?83617","תוצאות חיים")</f>
        <v>תוצאות חיים</v>
      </c>
    </row>
    <row r="44365" spans="1:6" x14ac:dyDescent="0.2">
      <c r="A44365" t="s">
        <v>66903</v>
      </c>
      <c r="B44365" t="s">
        <v>1968</v>
      </c>
      <c r="C44365" t="s">
        <v>1246</v>
      </c>
      <c r="D44365" t="s">
        <v>27</v>
      </c>
      <c r="E44365" t="s">
        <v>213</v>
      </c>
      <c r="F44365" s="2" t="str">
        <f>HYPERLINK("http://www.otzar.org/book.asp?144859","תוצאות חיים")</f>
        <v>תוצאות חיים</v>
      </c>
    </row>
    <row r="44366" spans="1:6" x14ac:dyDescent="0.2">
      <c r="A44366" t="s">
        <v>66903</v>
      </c>
      <c r="B44366" t="s">
        <v>66909</v>
      </c>
      <c r="C44366" t="s">
        <v>45437</v>
      </c>
      <c r="D44366" t="s">
        <v>6459</v>
      </c>
      <c r="E44366" t="s">
        <v>213</v>
      </c>
      <c r="F44366" s="2" t="str">
        <f>HYPERLINK("http://www.otzar.org/book.asp?13623","תוצאות חיים")</f>
        <v>תוצאות חיים</v>
      </c>
    </row>
    <row r="44367" spans="1:6" x14ac:dyDescent="0.2">
      <c r="A44367" t="s">
        <v>66903</v>
      </c>
      <c r="B44367" t="s">
        <v>1988</v>
      </c>
      <c r="C44367" t="s">
        <v>4705</v>
      </c>
      <c r="D44367" t="s">
        <v>6801</v>
      </c>
      <c r="E44367" t="s">
        <v>24</v>
      </c>
      <c r="F44367" s="2" t="str">
        <f>HYPERLINK("http://www.otzar.org/book.asp?105098","תוצאות חיים")</f>
        <v>תוצאות חיים</v>
      </c>
    </row>
    <row r="44368" spans="1:6" x14ac:dyDescent="0.2">
      <c r="A44368" t="s">
        <v>66910</v>
      </c>
      <c r="B44368" t="s">
        <v>66911</v>
      </c>
      <c r="C44368" t="s">
        <v>17</v>
      </c>
      <c r="D44368" t="s">
        <v>14</v>
      </c>
      <c r="E44368" t="s">
        <v>144</v>
      </c>
      <c r="F44368" s="2" t="str">
        <f>HYPERLINK("http://www.otzar.org/book.asp?60573","תוצאות ים")</f>
        <v>תוצאות ים</v>
      </c>
    </row>
    <row r="44369" spans="1:6" x14ac:dyDescent="0.2">
      <c r="A44369" t="s">
        <v>66912</v>
      </c>
      <c r="B44369" t="s">
        <v>66913</v>
      </c>
      <c r="C44369" t="s">
        <v>1659</v>
      </c>
      <c r="D44369" t="s">
        <v>267</v>
      </c>
      <c r="E44369" t="s">
        <v>158</v>
      </c>
      <c r="F44369" s="2" t="str">
        <f>HYPERLINK("http://www.otzar.org/book.asp?146872","תוקף הנס")</f>
        <v>תוקף הנס</v>
      </c>
    </row>
    <row r="44370" spans="1:6" x14ac:dyDescent="0.2">
      <c r="A44370" t="s">
        <v>66914</v>
      </c>
      <c r="B44370" t="s">
        <v>28845</v>
      </c>
      <c r="C44370" t="s">
        <v>244</v>
      </c>
      <c r="D44370" t="s">
        <v>152</v>
      </c>
      <c r="F44370" s="2" t="str">
        <f>HYPERLINK("http://www.otzar.org/book.asp?197326","תוקף השטר")</f>
        <v>תוקף השטר</v>
      </c>
    </row>
    <row r="44371" spans="1:6" x14ac:dyDescent="0.2">
      <c r="A44371" t="s">
        <v>66915</v>
      </c>
      <c r="B44371" t="s">
        <v>9928</v>
      </c>
      <c r="C44371" t="s">
        <v>5721</v>
      </c>
      <c r="D44371" t="s">
        <v>15825</v>
      </c>
      <c r="E44371" t="s">
        <v>66916</v>
      </c>
      <c r="F44371" s="2" t="str">
        <f>HYPERLINK("http://www.otzar.org/book.asp?100651","תוקף התלמוד")</f>
        <v>תוקף התלמוד</v>
      </c>
    </row>
    <row r="44372" spans="1:6" x14ac:dyDescent="0.2">
      <c r="A44372" t="s">
        <v>66917</v>
      </c>
      <c r="B44372" t="s">
        <v>8185</v>
      </c>
      <c r="C44372" t="s">
        <v>383</v>
      </c>
      <c r="D44372" t="s">
        <v>14</v>
      </c>
      <c r="F44372" s="2" t="str">
        <f>HYPERLINK("http://www.otzar.org/book.asp?622005","תור הזהב בספרד")</f>
        <v>תור הזהב בספרד</v>
      </c>
    </row>
    <row r="44373" spans="1:6" x14ac:dyDescent="0.2">
      <c r="A44373" t="s">
        <v>66918</v>
      </c>
      <c r="B44373" t="s">
        <v>5078</v>
      </c>
      <c r="C44373" t="s">
        <v>383</v>
      </c>
      <c r="D44373" t="s">
        <v>52</v>
      </c>
      <c r="E44373" t="s">
        <v>119</v>
      </c>
      <c r="F44373" s="2" t="str">
        <f>HYPERLINK("http://www.otzar.org/book.asp?143458","תור הזהב והשמד")</f>
        <v>תור הזהב והשמד</v>
      </c>
    </row>
    <row r="44374" spans="1:6" x14ac:dyDescent="0.2">
      <c r="A44374" t="s">
        <v>66919</v>
      </c>
      <c r="B44374" t="s">
        <v>66920</v>
      </c>
      <c r="C44374">
        <v>1933</v>
      </c>
      <c r="D44374" t="s">
        <v>412</v>
      </c>
      <c r="E44374" t="s">
        <v>158</v>
      </c>
      <c r="F44374" s="2" t="str">
        <f>HYPERLINK("http://www.otzar.org/book.asp?626513","תורה און לעבען - 2 כר'")</f>
        <v>תורה און לעבען - 2 כר'</v>
      </c>
    </row>
    <row r="44375" spans="1:6" x14ac:dyDescent="0.2">
      <c r="A44375" t="s">
        <v>66921</v>
      </c>
      <c r="B44375" t="s">
        <v>66922</v>
      </c>
      <c r="C44375" t="s">
        <v>20</v>
      </c>
      <c r="D44375" t="s">
        <v>412</v>
      </c>
      <c r="F44375" s="2" t="str">
        <f>HYPERLINK("http://www.otzar.org/book.asp?615777","תורה און רעליגיאן")</f>
        <v>תורה און רעליגיאן</v>
      </c>
    </row>
    <row r="44376" spans="1:6" x14ac:dyDescent="0.2">
      <c r="A44376" t="s">
        <v>66923</v>
      </c>
      <c r="B44376" t="s">
        <v>66924</v>
      </c>
      <c r="C44376" t="s">
        <v>38847</v>
      </c>
      <c r="D44376" t="s">
        <v>49</v>
      </c>
      <c r="E44376" t="s">
        <v>158</v>
      </c>
      <c r="F44376" s="2" t="str">
        <f>HYPERLINK("http://www.otzar.org/book.asp?84190","תורה אור &lt;מנחת כהן ב&gt;")</f>
        <v>תורה אור &lt;מנחת כהן ב&gt;</v>
      </c>
    </row>
    <row r="44377" spans="1:6" x14ac:dyDescent="0.2">
      <c r="A44377" t="s">
        <v>66925</v>
      </c>
      <c r="B44377" t="s">
        <v>66926</v>
      </c>
      <c r="C44377" t="s">
        <v>99</v>
      </c>
      <c r="D44377" t="s">
        <v>212</v>
      </c>
      <c r="E44377" t="s">
        <v>158</v>
      </c>
      <c r="F44377" s="2" t="str">
        <f>HYPERLINK("http://www.otzar.org/book.asp?61995","תורה אור &lt;עיר מקלט, נחל קדומים&gt;")</f>
        <v>תורה אור &lt;עיר מקלט, נחל קדומים&gt;</v>
      </c>
    </row>
    <row r="44378" spans="1:6" x14ac:dyDescent="0.2">
      <c r="A44378" t="s">
        <v>66927</v>
      </c>
      <c r="B44378" t="s">
        <v>66928</v>
      </c>
      <c r="C44378" t="s">
        <v>20</v>
      </c>
      <c r="D44378" t="s">
        <v>90</v>
      </c>
      <c r="E44378" t="s">
        <v>158</v>
      </c>
      <c r="F44378" s="2" t="str">
        <f>HYPERLINK("http://www.otzar.org/book.asp?143096","תורה אור &lt;על התורה&gt;")</f>
        <v>תורה אור &lt;על התורה&gt;</v>
      </c>
    </row>
    <row r="44379" spans="1:6" x14ac:dyDescent="0.2">
      <c r="A44379" t="s">
        <v>66929</v>
      </c>
      <c r="B44379" t="s">
        <v>24282</v>
      </c>
      <c r="C44379" t="s">
        <v>2465</v>
      </c>
      <c r="D44379" t="s">
        <v>2041</v>
      </c>
      <c r="E44379" t="s">
        <v>172</v>
      </c>
      <c r="F44379" s="2" t="str">
        <f>HYPERLINK("http://www.otzar.org/book.asp?172729","תורה אור ודרך חיים")</f>
        <v>תורה אור ודרך חיים</v>
      </c>
    </row>
    <row r="44380" spans="1:6" x14ac:dyDescent="0.2">
      <c r="A44380" t="s">
        <v>66930</v>
      </c>
      <c r="B44380" t="s">
        <v>4735</v>
      </c>
      <c r="C44380" t="s">
        <v>189</v>
      </c>
      <c r="D44380" t="s">
        <v>14</v>
      </c>
      <c r="E44380" t="s">
        <v>104</v>
      </c>
      <c r="F44380" s="2" t="str">
        <f>HYPERLINK("http://www.otzar.org/book.asp?63997","תורה אור ומזור")</f>
        <v>תורה אור ומזור</v>
      </c>
    </row>
    <row r="44381" spans="1:6" x14ac:dyDescent="0.2">
      <c r="A44381" t="s">
        <v>66931</v>
      </c>
      <c r="B44381" t="s">
        <v>50756</v>
      </c>
      <c r="C44381" t="s">
        <v>47454</v>
      </c>
      <c r="D44381" t="s">
        <v>4248</v>
      </c>
      <c r="E44381" t="s">
        <v>314</v>
      </c>
      <c r="F44381" s="2" t="str">
        <f>HYPERLINK("http://www.otzar.org/book.asp?21381","תורה אור - 3 כר'")</f>
        <v>תורה אור - 3 כר'</v>
      </c>
    </row>
    <row r="44382" spans="1:6" x14ac:dyDescent="0.2">
      <c r="A44382" t="s">
        <v>66928</v>
      </c>
      <c r="B44382" t="s">
        <v>24495</v>
      </c>
      <c r="C44382" t="s">
        <v>244</v>
      </c>
      <c r="D44382" t="s">
        <v>52</v>
      </c>
      <c r="F44382" s="2" t="str">
        <f>HYPERLINK("http://www.otzar.org/book.asp?606230","תורה אור")</f>
        <v>תורה אור</v>
      </c>
    </row>
    <row r="44383" spans="1:6" x14ac:dyDescent="0.2">
      <c r="A44383" t="s">
        <v>66928</v>
      </c>
      <c r="B44383" t="s">
        <v>66932</v>
      </c>
      <c r="C44383" t="s">
        <v>4351</v>
      </c>
      <c r="D44383" t="s">
        <v>280</v>
      </c>
      <c r="E44383" t="s">
        <v>674</v>
      </c>
      <c r="F44383" s="2" t="str">
        <f>HYPERLINK("http://www.otzar.org/book.asp?101980","תורה אור")</f>
        <v>תורה אור</v>
      </c>
    </row>
    <row r="44384" spans="1:6" x14ac:dyDescent="0.2">
      <c r="A44384" t="s">
        <v>66933</v>
      </c>
      <c r="B44384" t="s">
        <v>66934</v>
      </c>
      <c r="C44384" t="s">
        <v>919</v>
      </c>
      <c r="D44384" t="s">
        <v>14</v>
      </c>
      <c r="E44384" t="s">
        <v>246</v>
      </c>
      <c r="F44384" s="2" t="str">
        <f>HYPERLINK("http://www.otzar.org/book.asp?160677","תורה אור - קונטרס נס פך השמן")</f>
        <v>תורה אור - קונטרס נס פך השמן</v>
      </c>
    </row>
    <row r="44385" spans="1:6" x14ac:dyDescent="0.2">
      <c r="A44385" t="s">
        <v>66928</v>
      </c>
      <c r="B44385" t="s">
        <v>1363</v>
      </c>
      <c r="C44385" t="s">
        <v>5823</v>
      </c>
      <c r="D44385" t="s">
        <v>56</v>
      </c>
      <c r="E44385" t="s">
        <v>957</v>
      </c>
      <c r="F44385" s="2" t="str">
        <f>HYPERLINK("http://www.otzar.org/book.asp?102507","תורה אור")</f>
        <v>תורה אור</v>
      </c>
    </row>
    <row r="44386" spans="1:6" x14ac:dyDescent="0.2">
      <c r="A44386" t="s">
        <v>66935</v>
      </c>
      <c r="B44386" t="s">
        <v>66936</v>
      </c>
      <c r="C44386" t="s">
        <v>66937</v>
      </c>
      <c r="D44386" t="s">
        <v>27</v>
      </c>
      <c r="E44386" t="s">
        <v>202</v>
      </c>
      <c r="F44386" s="2" t="str">
        <f>HYPERLINK("http://www.otzar.org/book.asp?20395","תורה אור - א-ב")</f>
        <v>תורה אור - א-ב</v>
      </c>
    </row>
    <row r="44387" spans="1:6" x14ac:dyDescent="0.2">
      <c r="A44387" t="s">
        <v>66938</v>
      </c>
      <c r="B44387" t="s">
        <v>1978</v>
      </c>
      <c r="C44387" t="s">
        <v>492</v>
      </c>
      <c r="D44387" t="s">
        <v>283</v>
      </c>
      <c r="E44387" t="s">
        <v>241</v>
      </c>
      <c r="F44387" s="2" t="str">
        <f>HYPERLINK("http://www.otzar.org/book.asp?23680","תורה אור - 2 כר'")</f>
        <v>תורה אור - 2 כר'</v>
      </c>
    </row>
    <row r="44388" spans="1:6" x14ac:dyDescent="0.2">
      <c r="A44388" t="s">
        <v>66939</v>
      </c>
      <c r="B44388" t="s">
        <v>66940</v>
      </c>
      <c r="C44388" t="s">
        <v>785</v>
      </c>
      <c r="D44388" t="s">
        <v>1356</v>
      </c>
      <c r="E44388" t="s">
        <v>140</v>
      </c>
      <c r="F44388" s="2" t="str">
        <f>HYPERLINK("http://www.otzar.org/book.asp?192169","תורה אור - 32 כר'")</f>
        <v>תורה אור - 32 כר'</v>
      </c>
    </row>
    <row r="44389" spans="1:6" x14ac:dyDescent="0.2">
      <c r="A44389" t="s">
        <v>66928</v>
      </c>
      <c r="B44389" t="s">
        <v>66941</v>
      </c>
      <c r="C44389" t="s">
        <v>1885</v>
      </c>
      <c r="D44389" t="s">
        <v>9</v>
      </c>
      <c r="E44389" t="s">
        <v>66942</v>
      </c>
      <c r="F44389" s="2" t="str">
        <f>HYPERLINK("http://www.otzar.org/book.asp?52096","תורה אור")</f>
        <v>תורה אור</v>
      </c>
    </row>
    <row r="44390" spans="1:6" x14ac:dyDescent="0.2">
      <c r="A44390" t="s">
        <v>66943</v>
      </c>
      <c r="B44390" t="s">
        <v>66944</v>
      </c>
      <c r="C44390" t="s">
        <v>411</v>
      </c>
      <c r="D44390" t="s">
        <v>14</v>
      </c>
      <c r="E44390" t="s">
        <v>579</v>
      </c>
      <c r="F44390" s="2" t="str">
        <f>HYPERLINK("http://www.otzar.org/book.asp?180987","תורה אור - אור ציון")</f>
        <v>תורה אור - אור ציון</v>
      </c>
    </row>
    <row r="44391" spans="1:6" x14ac:dyDescent="0.2">
      <c r="A44391" t="s">
        <v>66945</v>
      </c>
      <c r="B44391" t="s">
        <v>66946</v>
      </c>
      <c r="C44391" t="s">
        <v>129</v>
      </c>
      <c r="D44391" t="s">
        <v>1643</v>
      </c>
      <c r="E44391" t="s">
        <v>5186</v>
      </c>
      <c r="F44391" s="2" t="str">
        <f>HYPERLINK("http://www.otzar.org/book.asp?157977","תורה אור - (על חידושי מרן רי""ז הלוי עה""ת)")</f>
        <v>תורה אור - (על חידושי מרן רי"ז הלוי עה"ת)</v>
      </c>
    </row>
    <row r="44392" spans="1:6" x14ac:dyDescent="0.2">
      <c r="A44392" t="s">
        <v>66947</v>
      </c>
      <c r="B44392" t="s">
        <v>1750</v>
      </c>
      <c r="C44392" t="s">
        <v>985</v>
      </c>
      <c r="D44392" t="s">
        <v>34161</v>
      </c>
      <c r="E44392" t="s">
        <v>202</v>
      </c>
      <c r="F44392" s="2" t="str">
        <f>HYPERLINK("http://www.otzar.org/book.asp?106876","תורה אור - 4 כר'")</f>
        <v>תורה אור - 4 כר'</v>
      </c>
    </row>
    <row r="44393" spans="1:6" x14ac:dyDescent="0.2">
      <c r="A44393" t="s">
        <v>66928</v>
      </c>
      <c r="B44393" t="s">
        <v>2396</v>
      </c>
      <c r="C44393" t="s">
        <v>20</v>
      </c>
      <c r="D44393" t="s">
        <v>90</v>
      </c>
      <c r="E44393" t="s">
        <v>158</v>
      </c>
      <c r="F44393" s="2" t="str">
        <f>HYPERLINK("http://www.otzar.org/book.asp?153805","תורה אור")</f>
        <v>תורה אור</v>
      </c>
    </row>
    <row r="44394" spans="1:6" x14ac:dyDescent="0.2">
      <c r="A44394" t="s">
        <v>66928</v>
      </c>
      <c r="B44394" t="s">
        <v>16921</v>
      </c>
      <c r="C44394" t="s">
        <v>946</v>
      </c>
      <c r="D44394" t="s">
        <v>225</v>
      </c>
      <c r="E44394" t="s">
        <v>158</v>
      </c>
      <c r="F44394" s="2" t="str">
        <f>HYPERLINK("http://www.otzar.org/book.asp?21382","תורה אור")</f>
        <v>תורה אור</v>
      </c>
    </row>
    <row r="44395" spans="1:6" x14ac:dyDescent="0.2">
      <c r="A44395" t="s">
        <v>66947</v>
      </c>
      <c r="B44395" t="s">
        <v>66928</v>
      </c>
      <c r="C44395" t="s">
        <v>1609</v>
      </c>
      <c r="D44395" t="s">
        <v>27</v>
      </c>
      <c r="E44395" t="s">
        <v>202</v>
      </c>
      <c r="F44395" s="2" t="str">
        <f>HYPERLINK("http://www.otzar.org/book.asp?171567","תורה אור - 4 כר'")</f>
        <v>תורה אור - 4 כר'</v>
      </c>
    </row>
    <row r="44396" spans="1:6" x14ac:dyDescent="0.2">
      <c r="A44396" t="s">
        <v>66928</v>
      </c>
      <c r="B44396" t="s">
        <v>3294</v>
      </c>
      <c r="C44396" t="s">
        <v>802</v>
      </c>
      <c r="D44396" t="s">
        <v>1023</v>
      </c>
      <c r="E44396" t="s">
        <v>1517</v>
      </c>
      <c r="F44396" s="2" t="str">
        <f>HYPERLINK("http://www.otzar.org/book.asp?173069","תורה אור")</f>
        <v>תורה אור</v>
      </c>
    </row>
    <row r="44397" spans="1:6" x14ac:dyDescent="0.2">
      <c r="A44397" t="s">
        <v>66948</v>
      </c>
      <c r="B44397" t="s">
        <v>66949</v>
      </c>
      <c r="C44397" t="s">
        <v>37</v>
      </c>
      <c r="D44397" t="s">
        <v>367</v>
      </c>
      <c r="F44397" s="2" t="str">
        <f>HYPERLINK("http://www.otzar.org/book.asp?197083","תורה אחת")</f>
        <v>תורה אחת</v>
      </c>
    </row>
    <row r="44398" spans="1:6" x14ac:dyDescent="0.2">
      <c r="A44398" t="s">
        <v>66950</v>
      </c>
      <c r="B44398" t="s">
        <v>7629</v>
      </c>
      <c r="C44398" t="s">
        <v>366</v>
      </c>
      <c r="D44398" t="s">
        <v>14</v>
      </c>
      <c r="F44398" s="2" t="str">
        <f>HYPERLINK("http://www.otzar.org/book.asp?616139","תורה בציון")</f>
        <v>תורה בציון</v>
      </c>
    </row>
    <row r="44399" spans="1:6" x14ac:dyDescent="0.2">
      <c r="A44399" t="s">
        <v>66951</v>
      </c>
      <c r="B44399" t="s">
        <v>66952</v>
      </c>
      <c r="E44399" t="s">
        <v>144</v>
      </c>
      <c r="F44399" s="2" t="str">
        <f>HYPERLINK("http://www.otzar.org/book.asp?618768","תורה דיליה - כתובות")</f>
        <v>תורה דיליה - כתובות</v>
      </c>
    </row>
    <row r="44400" spans="1:6" x14ac:dyDescent="0.2">
      <c r="A44400" t="s">
        <v>66953</v>
      </c>
      <c r="B44400" t="s">
        <v>5512</v>
      </c>
      <c r="C44400" t="s">
        <v>244</v>
      </c>
      <c r="D44400" t="s">
        <v>90</v>
      </c>
      <c r="F44400" s="2" t="str">
        <f>HYPERLINK("http://www.otzar.org/book.asp?197674","תורה דיליה - 2 כר'")</f>
        <v>תורה דיליה - 2 כר'</v>
      </c>
    </row>
    <row r="44401" spans="1:6" x14ac:dyDescent="0.2">
      <c r="A44401" t="s">
        <v>66954</v>
      </c>
      <c r="B44401" t="s">
        <v>66955</v>
      </c>
      <c r="E44401" t="s">
        <v>144</v>
      </c>
      <c r="F44401" s="2" t="str">
        <f>HYPERLINK("http://www.otzar.org/book.asp?618769","תורה דיליה - יבמות")</f>
        <v>תורה דיליה - יבמות</v>
      </c>
    </row>
    <row r="44402" spans="1:6" x14ac:dyDescent="0.2">
      <c r="A44402" t="s">
        <v>66956</v>
      </c>
      <c r="B44402" t="s">
        <v>2857</v>
      </c>
      <c r="C44402" t="s">
        <v>66957</v>
      </c>
      <c r="D44402" t="s">
        <v>260</v>
      </c>
      <c r="E44402" t="s">
        <v>579</v>
      </c>
      <c r="F44402" s="2" t="str">
        <f>HYPERLINK("http://www.otzar.org/book.asp?8446","תורה הכתובה והמסורה - 7 כר'")</f>
        <v>תורה הכתובה והמסורה - 7 כר'</v>
      </c>
    </row>
    <row r="44403" spans="1:6" x14ac:dyDescent="0.2">
      <c r="A44403" t="s">
        <v>66958</v>
      </c>
      <c r="B44403" t="s">
        <v>66959</v>
      </c>
      <c r="C44403" t="s">
        <v>51</v>
      </c>
      <c r="D44403" t="s">
        <v>14</v>
      </c>
      <c r="F44403" s="2" t="str">
        <f>HYPERLINK("http://www.otzar.org/book.asp?611135","תורה ואמונה - אדמו""ר בעל תולדות אהרן")</f>
        <v>תורה ואמונה - אדמו"ר בעל תולדות אהרן</v>
      </c>
    </row>
    <row r="44404" spans="1:6" x14ac:dyDescent="0.2">
      <c r="A44404" t="s">
        <v>66960</v>
      </c>
      <c r="B44404" t="s">
        <v>66961</v>
      </c>
      <c r="C44404" t="s">
        <v>286</v>
      </c>
      <c r="D44404" t="s">
        <v>12052</v>
      </c>
      <c r="E44404" t="s">
        <v>158</v>
      </c>
      <c r="F44404" s="2" t="str">
        <f>HYPERLINK("http://www.otzar.org/book.asp?188613","תורה ודעת")</f>
        <v>תורה ודעת</v>
      </c>
    </row>
    <row r="44405" spans="1:6" x14ac:dyDescent="0.2">
      <c r="A44405" t="s">
        <v>66960</v>
      </c>
      <c r="B44405" t="s">
        <v>40968</v>
      </c>
      <c r="C44405" t="s">
        <v>454</v>
      </c>
      <c r="D44405" t="s">
        <v>14</v>
      </c>
      <c r="E44405" t="s">
        <v>15</v>
      </c>
      <c r="F44405" s="2" t="str">
        <f>HYPERLINK("http://www.otzar.org/book.asp?149469","תורה ודעת")</f>
        <v>תורה ודעת</v>
      </c>
    </row>
    <row r="44406" spans="1:6" x14ac:dyDescent="0.2">
      <c r="A44406" t="s">
        <v>66962</v>
      </c>
      <c r="B44406" t="s">
        <v>66963</v>
      </c>
      <c r="C44406" t="s">
        <v>129</v>
      </c>
      <c r="D44406" t="s">
        <v>14</v>
      </c>
      <c r="F44406" s="2" t="str">
        <f>HYPERLINK("http://www.otzar.org/book.asp?601555","תורה ודעת - 6 כר'")</f>
        <v>תורה ודעת - 6 כר'</v>
      </c>
    </row>
    <row r="44407" spans="1:6" x14ac:dyDescent="0.2">
      <c r="A44407" t="s">
        <v>66964</v>
      </c>
      <c r="B44407" t="s">
        <v>19004</v>
      </c>
      <c r="C44407" t="s">
        <v>146</v>
      </c>
      <c r="D44407" t="s">
        <v>14</v>
      </c>
      <c r="E44407" t="s">
        <v>12983</v>
      </c>
      <c r="F44407" s="2" t="str">
        <f>HYPERLINK("http://www.otzar.org/book.asp?143515","תורה והלכה")</f>
        <v>תורה והלכה</v>
      </c>
    </row>
    <row r="44408" spans="1:6" x14ac:dyDescent="0.2">
      <c r="A44408" t="s">
        <v>66964</v>
      </c>
      <c r="B44408" t="s">
        <v>44471</v>
      </c>
      <c r="C44408" t="s">
        <v>812</v>
      </c>
      <c r="D44408" t="s">
        <v>27</v>
      </c>
      <c r="E44408" t="s">
        <v>158</v>
      </c>
      <c r="F44408" s="2" t="str">
        <f>HYPERLINK("http://www.otzar.org/book.asp?101921","תורה והלכה")</f>
        <v>תורה והלכה</v>
      </c>
    </row>
    <row r="44409" spans="1:6" x14ac:dyDescent="0.2">
      <c r="A44409" t="s">
        <v>66965</v>
      </c>
      <c r="B44409" t="s">
        <v>3057</v>
      </c>
      <c r="C44409" t="s">
        <v>1160</v>
      </c>
      <c r="D44409" t="s">
        <v>14</v>
      </c>
      <c r="E44409" t="s">
        <v>1103</v>
      </c>
      <c r="F44409" s="2" t="str">
        <f>HYPERLINK("http://www.otzar.org/book.asp?105627","תורה והמצוה והחינוך - 3 כר'")</f>
        <v>תורה והמצוה והחינוך - 3 כר'</v>
      </c>
    </row>
    <row r="44410" spans="1:6" x14ac:dyDescent="0.2">
      <c r="A44410" t="s">
        <v>66966</v>
      </c>
      <c r="B44410" t="s">
        <v>66967</v>
      </c>
      <c r="C44410" t="s">
        <v>1619</v>
      </c>
      <c r="D44410" t="s">
        <v>14</v>
      </c>
      <c r="E44410" t="s">
        <v>66968</v>
      </c>
      <c r="F44410" s="2" t="str">
        <f>HYPERLINK("http://www.otzar.org/book.asp?148680","תורה וחיים &lt;מהדורה חדשה&gt; - 3 כר'")</f>
        <v>תורה וחיים &lt;מהדורה חדשה&gt; - 3 כר'</v>
      </c>
    </row>
    <row r="44411" spans="1:6" x14ac:dyDescent="0.2">
      <c r="A44411" t="s">
        <v>66969</v>
      </c>
      <c r="B44411" t="s">
        <v>66970</v>
      </c>
      <c r="C44411" t="s">
        <v>180</v>
      </c>
      <c r="D44411" t="s">
        <v>7894</v>
      </c>
      <c r="E44411" t="s">
        <v>15</v>
      </c>
      <c r="F44411" s="2" t="str">
        <f>HYPERLINK("http://www.otzar.org/book.asp?162194","תורה וחיים")</f>
        <v>תורה וחיים</v>
      </c>
    </row>
    <row r="44412" spans="1:6" x14ac:dyDescent="0.2">
      <c r="A44412" t="s">
        <v>66969</v>
      </c>
      <c r="B44412" t="s">
        <v>66967</v>
      </c>
      <c r="C44412" t="s">
        <v>1062</v>
      </c>
      <c r="D44412" t="s">
        <v>7894</v>
      </c>
      <c r="E44412" t="s">
        <v>66971</v>
      </c>
      <c r="F44412" s="2" t="str">
        <f>HYPERLINK("http://www.otzar.org/book.asp?170992","תורה וחיים")</f>
        <v>תורה וחיים</v>
      </c>
    </row>
    <row r="44413" spans="1:6" x14ac:dyDescent="0.2">
      <c r="A44413" t="s">
        <v>66969</v>
      </c>
      <c r="B44413" t="s">
        <v>155</v>
      </c>
      <c r="C44413" t="s">
        <v>321</v>
      </c>
      <c r="D44413" t="s">
        <v>76</v>
      </c>
      <c r="E44413" t="s">
        <v>1438</v>
      </c>
      <c r="F44413" s="2" t="str">
        <f>HYPERLINK("http://www.otzar.org/book.asp?100670","תורה וחיים")</f>
        <v>תורה וחיים</v>
      </c>
    </row>
    <row r="44414" spans="1:6" x14ac:dyDescent="0.2">
      <c r="A44414" t="s">
        <v>66972</v>
      </c>
      <c r="B44414" t="s">
        <v>19016</v>
      </c>
      <c r="C44414" t="s">
        <v>79</v>
      </c>
      <c r="D44414" t="s">
        <v>27</v>
      </c>
      <c r="E44414" t="s">
        <v>104</v>
      </c>
      <c r="F44414" s="2" t="str">
        <f>HYPERLINK("http://www.otzar.org/book.asp?11868","תורה ומדע")</f>
        <v>תורה ומדע</v>
      </c>
    </row>
    <row r="44415" spans="1:6" x14ac:dyDescent="0.2">
      <c r="A44415" t="s">
        <v>66973</v>
      </c>
      <c r="B44415" t="s">
        <v>1750</v>
      </c>
      <c r="C44415" t="s">
        <v>1619</v>
      </c>
      <c r="D44415" t="s">
        <v>2458</v>
      </c>
      <c r="F44415" s="2" t="str">
        <f>HYPERLINK("http://www.otzar.org/book.asp?620035","תורה ומדע - 13 כר'")</f>
        <v>תורה ומדע - 13 כר'</v>
      </c>
    </row>
    <row r="44416" spans="1:6" x14ac:dyDescent="0.2">
      <c r="A44416" t="s">
        <v>66974</v>
      </c>
      <c r="B44416" t="s">
        <v>27259</v>
      </c>
      <c r="C44416" t="s">
        <v>390</v>
      </c>
      <c r="D44416" t="s">
        <v>66975</v>
      </c>
      <c r="F44416" s="2" t="str">
        <f>HYPERLINK("http://www.otzar.org/book.asp?157023","תורה ומלוכה")</f>
        <v>תורה ומלוכה</v>
      </c>
    </row>
    <row r="44417" spans="1:6" x14ac:dyDescent="0.2">
      <c r="A44417" t="s">
        <v>66976</v>
      </c>
      <c r="B44417" t="s">
        <v>2808</v>
      </c>
      <c r="C44417" t="s">
        <v>919</v>
      </c>
      <c r="D44417" t="s">
        <v>14</v>
      </c>
      <c r="E44417" t="s">
        <v>1185</v>
      </c>
      <c r="F44417" s="2" t="str">
        <f>HYPERLINK("http://www.otzar.org/book.asp?177048","תורה ומעשים טובים")</f>
        <v>תורה ומעשים טובים</v>
      </c>
    </row>
    <row r="44418" spans="1:6" x14ac:dyDescent="0.2">
      <c r="A44418" t="s">
        <v>66977</v>
      </c>
      <c r="B44418" t="s">
        <v>12436</v>
      </c>
      <c r="C44418" t="s">
        <v>411</v>
      </c>
      <c r="D44418" t="s">
        <v>14</v>
      </c>
      <c r="E44418" t="s">
        <v>15</v>
      </c>
      <c r="F44418" s="2" t="str">
        <f>HYPERLINK("http://www.otzar.org/book.asp?175978","תורה ומצוה")</f>
        <v>תורה ומצוה</v>
      </c>
    </row>
    <row r="44419" spans="1:6" x14ac:dyDescent="0.2">
      <c r="A44419" t="s">
        <v>66978</v>
      </c>
      <c r="B44419" t="s">
        <v>10446</v>
      </c>
      <c r="C44419" t="s">
        <v>1570</v>
      </c>
      <c r="D44419" t="s">
        <v>27</v>
      </c>
      <c r="E44419" t="s">
        <v>140</v>
      </c>
      <c r="F44419" s="2" t="str">
        <f>HYPERLINK("http://www.otzar.org/book.asp?160487","תורה ועבודה &lt;חסידים מספרים&gt;")</f>
        <v>תורה ועבודה &lt;חסידים מספרים&gt;</v>
      </c>
    </row>
    <row r="44420" spans="1:6" x14ac:dyDescent="0.2">
      <c r="A44420" t="s">
        <v>66979</v>
      </c>
      <c r="B44420" t="s">
        <v>66980</v>
      </c>
      <c r="C44420" t="s">
        <v>146</v>
      </c>
      <c r="D44420" t="s">
        <v>486</v>
      </c>
      <c r="E44420" t="s">
        <v>230</v>
      </c>
      <c r="F44420" s="2" t="str">
        <f>HYPERLINK("http://www.otzar.org/book.asp?53641","תורה ושבת")</f>
        <v>תורה ושבת</v>
      </c>
    </row>
    <row r="44421" spans="1:6" x14ac:dyDescent="0.2">
      <c r="A44421" t="s">
        <v>66981</v>
      </c>
      <c r="B44421" t="s">
        <v>66982</v>
      </c>
      <c r="C44421" t="s">
        <v>785</v>
      </c>
      <c r="D44421" t="s">
        <v>412</v>
      </c>
      <c r="E44421" t="s">
        <v>158</v>
      </c>
      <c r="F44421" s="2" t="str">
        <f>HYPERLINK("http://www.otzar.org/book.asp?625365","תורה לדעת - ה")</f>
        <v>תורה לדעת - ה</v>
      </c>
    </row>
    <row r="44422" spans="1:6" x14ac:dyDescent="0.2">
      <c r="A44422" t="s">
        <v>66983</v>
      </c>
      <c r="B44422" t="s">
        <v>206</v>
      </c>
      <c r="C44422" t="s">
        <v>37</v>
      </c>
      <c r="D44422" t="s">
        <v>1156</v>
      </c>
      <c r="F44422" s="2" t="str">
        <f>HYPERLINK("http://www.otzar.org/book.asp?609557","תורה לשמה - 4 כר'")</f>
        <v>תורה לשמה - 4 כר'</v>
      </c>
    </row>
    <row r="44423" spans="1:6" x14ac:dyDescent="0.2">
      <c r="A44423" t="s">
        <v>66984</v>
      </c>
      <c r="B44423" t="s">
        <v>599</v>
      </c>
      <c r="C44423" t="s">
        <v>1811</v>
      </c>
      <c r="D44423" t="s">
        <v>14</v>
      </c>
      <c r="E44423" t="s">
        <v>66985</v>
      </c>
      <c r="F44423" s="2" t="str">
        <f>HYPERLINK("http://www.otzar.org/book.asp?104964","תורה לשמה")</f>
        <v>תורה לשמה</v>
      </c>
    </row>
    <row r="44424" spans="1:6" x14ac:dyDescent="0.2">
      <c r="A44424" t="s">
        <v>66986</v>
      </c>
      <c r="B44424" t="s">
        <v>66987</v>
      </c>
      <c r="C44424" t="s">
        <v>956</v>
      </c>
      <c r="D44424" t="s">
        <v>216</v>
      </c>
      <c r="E44424" t="s">
        <v>15</v>
      </c>
      <c r="F44424" s="2" t="str">
        <f>HYPERLINK("http://www.otzar.org/book.asp?85177","תורה לשמה - ב")</f>
        <v>תורה לשמה - ב</v>
      </c>
    </row>
    <row r="44425" spans="1:6" x14ac:dyDescent="0.2">
      <c r="A44425" t="s">
        <v>66988</v>
      </c>
      <c r="B44425" t="s">
        <v>55280</v>
      </c>
      <c r="C44425" t="s">
        <v>20</v>
      </c>
      <c r="D44425" t="s">
        <v>14</v>
      </c>
      <c r="E44425" t="s">
        <v>186</v>
      </c>
      <c r="F44425" s="2" t="str">
        <f>HYPERLINK("http://www.otzar.org/book.asp?153018","תורה מהיכל - 2 כר'")</f>
        <v>תורה מהיכל - 2 כר'</v>
      </c>
    </row>
    <row r="44426" spans="1:6" x14ac:dyDescent="0.2">
      <c r="A44426" t="s">
        <v>66989</v>
      </c>
      <c r="B44426" t="s">
        <v>3834</v>
      </c>
      <c r="C44426" t="s">
        <v>71</v>
      </c>
      <c r="D44426" t="s">
        <v>14</v>
      </c>
      <c r="E44426" t="s">
        <v>241</v>
      </c>
      <c r="F44426" s="2" t="str">
        <f>HYPERLINK("http://www.otzar.org/book.asp?169117","תורה מן השמים - 4 כר'")</f>
        <v>תורה מן השמים - 4 כר'</v>
      </c>
    </row>
    <row r="44427" spans="1:6" x14ac:dyDescent="0.2">
      <c r="A44427" t="s">
        <v>66990</v>
      </c>
      <c r="B44427" t="s">
        <v>29301</v>
      </c>
      <c r="C44427" t="s">
        <v>411</v>
      </c>
      <c r="D44427" t="s">
        <v>14</v>
      </c>
      <c r="F44427" s="2" t="str">
        <f>HYPERLINK("http://www.otzar.org/book.asp?614690","תורה מסיני - מאמרי חז""ל על סדר הש""ס בעניני התורה")</f>
        <v>תורה מסיני - מאמרי חז"ל על סדר הש"ס בעניני התורה</v>
      </c>
    </row>
    <row r="44428" spans="1:6" x14ac:dyDescent="0.2">
      <c r="A44428" t="s">
        <v>66991</v>
      </c>
      <c r="B44428" t="s">
        <v>31907</v>
      </c>
      <c r="C44428" t="s">
        <v>13</v>
      </c>
      <c r="D44428" t="s">
        <v>52</v>
      </c>
      <c r="E44428" t="s">
        <v>158</v>
      </c>
      <c r="F44428" s="2" t="str">
        <f>HYPERLINK("http://www.otzar.org/book.asp?156404","תורה מסיני - 5 כר'")</f>
        <v>תורה מסיני - 5 כר'</v>
      </c>
    </row>
    <row r="44429" spans="1:6" x14ac:dyDescent="0.2">
      <c r="A44429" t="s">
        <v>66992</v>
      </c>
      <c r="B44429" t="s">
        <v>40868</v>
      </c>
      <c r="C44429" t="s">
        <v>133</v>
      </c>
      <c r="D44429" t="s">
        <v>3560</v>
      </c>
      <c r="E44429" t="s">
        <v>144</v>
      </c>
      <c r="F44429" s="2" t="str">
        <f>HYPERLINK("http://www.otzar.org/book.asp?172194","תורה מציון - 2 כר'")</f>
        <v>תורה מציון - 2 כר'</v>
      </c>
    </row>
    <row r="44430" spans="1:6" x14ac:dyDescent="0.2">
      <c r="A44430" t="s">
        <v>66992</v>
      </c>
      <c r="B44430" t="s">
        <v>66993</v>
      </c>
      <c r="C44430" t="s">
        <v>66994</v>
      </c>
      <c r="D44430" t="s">
        <v>21</v>
      </c>
      <c r="E44430" t="s">
        <v>202</v>
      </c>
      <c r="F44430" s="2" t="str">
        <f>HYPERLINK("http://www.otzar.org/book.asp?195004","תורה מציון - 2 כר'")</f>
        <v>תורה מציון - 2 כר'</v>
      </c>
    </row>
    <row r="44431" spans="1:6" x14ac:dyDescent="0.2">
      <c r="A44431" t="s">
        <v>66995</v>
      </c>
      <c r="B44431" t="s">
        <v>66996</v>
      </c>
      <c r="C44431" t="s">
        <v>224</v>
      </c>
      <c r="D44431" t="s">
        <v>27</v>
      </c>
      <c r="E44431" t="s">
        <v>202</v>
      </c>
      <c r="F44431" s="2" t="str">
        <f>HYPERLINK("http://www.otzar.org/book.asp?145144","תורה מציון")</f>
        <v>תורה מציון</v>
      </c>
    </row>
    <row r="44432" spans="1:6" x14ac:dyDescent="0.2">
      <c r="A44432" t="s">
        <v>66995</v>
      </c>
      <c r="B44432" t="s">
        <v>66997</v>
      </c>
      <c r="C44432" t="s">
        <v>609</v>
      </c>
      <c r="D44432" t="s">
        <v>225</v>
      </c>
      <c r="E44432" t="s">
        <v>44822</v>
      </c>
      <c r="F44432" s="2" t="str">
        <f>HYPERLINK("http://www.otzar.org/book.asp?20392","תורה מציון")</f>
        <v>תורה מציון</v>
      </c>
    </row>
    <row r="44433" spans="1:6" x14ac:dyDescent="0.2">
      <c r="A44433" t="s">
        <v>66998</v>
      </c>
      <c r="B44433" t="s">
        <v>30470</v>
      </c>
      <c r="C44433" t="s">
        <v>775</v>
      </c>
      <c r="D44433" t="s">
        <v>1840</v>
      </c>
      <c r="E44433" t="s">
        <v>158</v>
      </c>
      <c r="F44433" s="2" t="str">
        <f>HYPERLINK("http://www.otzar.org/book.asp?198666","תורה מציון - 3 כר'")</f>
        <v>תורה מציון - 3 כר'</v>
      </c>
    </row>
    <row r="44434" spans="1:6" x14ac:dyDescent="0.2">
      <c r="A44434" t="s">
        <v>66995</v>
      </c>
      <c r="B44434" t="s">
        <v>66999</v>
      </c>
      <c r="C44434" t="s">
        <v>20</v>
      </c>
      <c r="D44434" t="s">
        <v>21</v>
      </c>
      <c r="E44434" t="s">
        <v>202</v>
      </c>
      <c r="F44434" s="2" t="str">
        <f>HYPERLINK("http://www.otzar.org/book.asp?197716","תורה מציון")</f>
        <v>תורה מציון</v>
      </c>
    </row>
    <row r="44435" spans="1:6" x14ac:dyDescent="0.2">
      <c r="A44435" t="s">
        <v>67000</v>
      </c>
      <c r="B44435" t="s">
        <v>489</v>
      </c>
      <c r="C44435" t="s">
        <v>427</v>
      </c>
      <c r="D44435" t="s">
        <v>14</v>
      </c>
      <c r="E44435" t="s">
        <v>202</v>
      </c>
      <c r="F44435" s="2" t="str">
        <f>HYPERLINK("http://www.otzar.org/book.asp?142880","תורה מציון - א")</f>
        <v>תורה מציון - א</v>
      </c>
    </row>
    <row r="44436" spans="1:6" x14ac:dyDescent="0.2">
      <c r="A44436" t="s">
        <v>67001</v>
      </c>
      <c r="B44436" t="s">
        <v>66995</v>
      </c>
      <c r="C44436" t="s">
        <v>67002</v>
      </c>
      <c r="D44436" t="s">
        <v>27</v>
      </c>
      <c r="E44436" t="s">
        <v>202</v>
      </c>
      <c r="F44436" s="2" t="str">
        <f>HYPERLINK("http://www.otzar.org/book.asp?14559","תורה מציון - 5 כר'")</f>
        <v>תורה מציון - 5 כר'</v>
      </c>
    </row>
    <row r="44437" spans="1:6" x14ac:dyDescent="0.2">
      <c r="A44437" t="s">
        <v>67003</v>
      </c>
      <c r="B44437" t="s">
        <v>67004</v>
      </c>
      <c r="C44437" t="s">
        <v>99</v>
      </c>
      <c r="D44437" t="s">
        <v>563</v>
      </c>
      <c r="E44437" t="s">
        <v>158</v>
      </c>
      <c r="F44437" s="2" t="str">
        <f>HYPERLINK("http://www.otzar.org/book.asp?197495","תורה נביאים וכתובים &lt;גינצבורג&gt; - 5 כר'")</f>
        <v>תורה נביאים וכתובים &lt;גינצבורג&gt; - 5 כר'</v>
      </c>
    </row>
    <row r="44438" spans="1:6" x14ac:dyDescent="0.2">
      <c r="A44438" t="s">
        <v>67005</v>
      </c>
      <c r="B44438" t="s">
        <v>67006</v>
      </c>
      <c r="C44438" t="s">
        <v>10917</v>
      </c>
      <c r="D44438" t="s">
        <v>49</v>
      </c>
      <c r="E44438" t="s">
        <v>158</v>
      </c>
      <c r="F44438" s="2" t="str">
        <f>HYPERLINK("http://www.otzar.org/book.asp?53615","תורה נביאים וכתובים &lt;ארבעה ועשרים&gt; - 3 כר'")</f>
        <v>תורה נביאים וכתובים &lt;ארבעה ועשרים&gt; - 3 כר'</v>
      </c>
    </row>
    <row r="44439" spans="1:6" x14ac:dyDescent="0.2">
      <c r="A44439" t="s">
        <v>67007</v>
      </c>
      <c r="B44439" t="s">
        <v>67008</v>
      </c>
      <c r="C44439" t="s">
        <v>67009</v>
      </c>
      <c r="D44439" t="s">
        <v>49</v>
      </c>
      <c r="E44439" t="s">
        <v>158</v>
      </c>
      <c r="F44439" s="2" t="str">
        <f>HYPERLINK("http://www.otzar.org/book.asp?53603","תורה נביאים וכתובים &lt;ונציה רפ""ה&gt; - 4 כר'")</f>
        <v>תורה נביאים וכתובים &lt;ונציה רפ"ה&gt; - 4 כר'</v>
      </c>
    </row>
    <row r="44440" spans="1:6" x14ac:dyDescent="0.2">
      <c r="A44440" t="s">
        <v>67010</v>
      </c>
      <c r="B44440" t="s">
        <v>67011</v>
      </c>
      <c r="C44440" t="s">
        <v>1058</v>
      </c>
      <c r="D44440" t="s">
        <v>67012</v>
      </c>
      <c r="E44440" t="s">
        <v>158</v>
      </c>
      <c r="F44440" s="2" t="str">
        <f>HYPERLINK("http://www.otzar.org/book.asp?106861","תורה נביאים וכתובים &lt;ספר ישעיה&gt;")</f>
        <v>תורה נביאים וכתובים &lt;ספר ישעיה&gt;</v>
      </c>
    </row>
    <row r="44441" spans="1:6" x14ac:dyDescent="0.2">
      <c r="A44441" t="s">
        <v>67013</v>
      </c>
      <c r="B44441" t="s">
        <v>67014</v>
      </c>
      <c r="C44441" t="s">
        <v>2740</v>
      </c>
      <c r="D44441" t="s">
        <v>2740</v>
      </c>
      <c r="E44441" t="s">
        <v>158</v>
      </c>
      <c r="F44441" s="2" t="str">
        <f>HYPERLINK("http://www.otzar.org/book.asp?191370","תורה נביאים וכתובים - 3 כר'")</f>
        <v>תורה נביאים וכתובים - 3 כר'</v>
      </c>
    </row>
    <row r="44442" spans="1:6" x14ac:dyDescent="0.2">
      <c r="A44442" t="s">
        <v>67015</v>
      </c>
      <c r="B44442" t="s">
        <v>67016</v>
      </c>
      <c r="C44442" t="s">
        <v>26828</v>
      </c>
      <c r="D44442" t="s">
        <v>340</v>
      </c>
      <c r="F44442" s="2" t="str">
        <f>HYPERLINK("http://www.otzar.org/book.asp?53873","תורה נביאים וכתובים - תהלים משלי איוב")</f>
        <v>תורה נביאים וכתובים - תהלים משלי איוב</v>
      </c>
    </row>
    <row r="44443" spans="1:6" x14ac:dyDescent="0.2">
      <c r="A44443" t="s">
        <v>67017</v>
      </c>
      <c r="B44443" t="s">
        <v>67008</v>
      </c>
      <c r="C44443" t="s">
        <v>67009</v>
      </c>
      <c r="D44443" t="s">
        <v>49</v>
      </c>
      <c r="E44443" t="s">
        <v>957</v>
      </c>
      <c r="F44443" s="2" t="str">
        <f>HYPERLINK("http://www.otzar.org/book.asp?14087","תורה נביאים וכתובים - 4 כר'")</f>
        <v>תורה נביאים וכתובים - 4 כר'</v>
      </c>
    </row>
    <row r="44444" spans="1:6" x14ac:dyDescent="0.2">
      <c r="A44444" t="s">
        <v>67018</v>
      </c>
      <c r="B44444" t="s">
        <v>3057</v>
      </c>
      <c r="C44444" t="s">
        <v>313</v>
      </c>
      <c r="D44444" t="s">
        <v>52</v>
      </c>
      <c r="E44444" t="s">
        <v>158</v>
      </c>
      <c r="F44444" s="2" t="str">
        <f>HYPERLINK("http://www.otzar.org/book.asp?189974","תורה ע""פ מלבי""ם &lt;הוצאה חדשה&gt; - 6 כר'")</f>
        <v>תורה ע"פ מלבי"ם &lt;הוצאה חדשה&gt; - 6 כר'</v>
      </c>
    </row>
    <row r="44445" spans="1:6" x14ac:dyDescent="0.2">
      <c r="A44445" t="s">
        <v>67019</v>
      </c>
      <c r="B44445" t="s">
        <v>67020</v>
      </c>
      <c r="C44445" t="s">
        <v>115</v>
      </c>
      <c r="D44445" t="s">
        <v>87</v>
      </c>
      <c r="F44445" s="2" t="str">
        <f>HYPERLINK("http://www.otzar.org/book.asp?621812","תורה עם דרך ארץ")</f>
        <v>תורה עם דרך ארץ</v>
      </c>
    </row>
    <row r="44446" spans="1:6" x14ac:dyDescent="0.2">
      <c r="A44446" t="s">
        <v>67021</v>
      </c>
      <c r="B44446" t="s">
        <v>67022</v>
      </c>
      <c r="C44446" t="s">
        <v>20305</v>
      </c>
      <c r="D44446" t="s">
        <v>67023</v>
      </c>
      <c r="F44446" s="2" t="str">
        <f>HYPERLINK("http://www.otzar.org/book.asp?53607","תורה עם מגילות והפטרות")</f>
        <v>תורה עם מגילות והפטרות</v>
      </c>
    </row>
    <row r="44447" spans="1:6" x14ac:dyDescent="0.2">
      <c r="A44447" t="s">
        <v>67024</v>
      </c>
      <c r="B44447" t="s">
        <v>67025</v>
      </c>
      <c r="C44447" t="s">
        <v>129</v>
      </c>
      <c r="D44447" t="s">
        <v>2458</v>
      </c>
      <c r="E44447" t="s">
        <v>104</v>
      </c>
      <c r="F44447" s="2" t="str">
        <f>HYPERLINK("http://www.otzar.org/book.asp?64269","תורה צוה")</f>
        <v>תורה צוה</v>
      </c>
    </row>
    <row r="44448" spans="1:6" x14ac:dyDescent="0.2">
      <c r="A44448" t="s">
        <v>67026</v>
      </c>
      <c r="B44448" t="s">
        <v>36453</v>
      </c>
      <c r="C44448" t="s">
        <v>244</v>
      </c>
      <c r="D44448" t="s">
        <v>21</v>
      </c>
      <c r="E44448" t="s">
        <v>148</v>
      </c>
      <c r="F44448" s="2" t="str">
        <f>HYPERLINK("http://www.otzar.org/book.asp?600679","תורה שבכתב")</f>
        <v>תורה שבכתב</v>
      </c>
    </row>
    <row r="44449" spans="1:6" x14ac:dyDescent="0.2">
      <c r="A44449" t="s">
        <v>67027</v>
      </c>
      <c r="B44449" t="s">
        <v>9096</v>
      </c>
      <c r="C44449" t="s">
        <v>67028</v>
      </c>
      <c r="D44449" t="s">
        <v>1188</v>
      </c>
      <c r="E44449" t="s">
        <v>158</v>
      </c>
      <c r="F44449" s="2" t="str">
        <f>HYPERLINK("http://www.otzar.org/book.asp?149296","תורה שלמה - 46 כר'")</f>
        <v>תורה שלמה - 46 כר'</v>
      </c>
    </row>
    <row r="44450" spans="1:6" x14ac:dyDescent="0.2">
      <c r="A44450" t="s">
        <v>67029</v>
      </c>
      <c r="B44450" t="s">
        <v>38174</v>
      </c>
      <c r="C44450" t="s">
        <v>8462</v>
      </c>
      <c r="D44450" t="s">
        <v>1966</v>
      </c>
      <c r="E44450" t="s">
        <v>42030</v>
      </c>
      <c r="F44450" s="2" t="str">
        <f>HYPERLINK("http://www.otzar.org/book.asp?103247","תורה שלמה")</f>
        <v>תורה שלמה</v>
      </c>
    </row>
    <row r="44451" spans="1:6" x14ac:dyDescent="0.2">
      <c r="A44451" t="s">
        <v>67030</v>
      </c>
      <c r="B44451" t="s">
        <v>11798</v>
      </c>
      <c r="C44451" t="s">
        <v>133</v>
      </c>
      <c r="D44451" t="s">
        <v>14</v>
      </c>
      <c r="E44451" t="s">
        <v>158</v>
      </c>
      <c r="F44451" s="2" t="str">
        <f>HYPERLINK("http://www.otzar.org/book.asp?176479","תורה תמימה &lt;מהדורה חדשה&gt; - 5 כר'")</f>
        <v>תורה תמימה &lt;מהדורה חדשה&gt; - 5 כר'</v>
      </c>
    </row>
    <row r="44452" spans="1:6" x14ac:dyDescent="0.2">
      <c r="A44452" t="s">
        <v>67031</v>
      </c>
      <c r="B44452" t="s">
        <v>11798</v>
      </c>
      <c r="C44452" t="s">
        <v>2644</v>
      </c>
      <c r="D44452" t="s">
        <v>1862</v>
      </c>
      <c r="E44452" t="s">
        <v>957</v>
      </c>
      <c r="F44452" s="2" t="str">
        <f>HYPERLINK("http://www.otzar.org/book.asp?8812","תורה תמימה - 5 כר'")</f>
        <v>תורה תמימה - 5 כר'</v>
      </c>
    </row>
    <row r="44453" spans="1:6" x14ac:dyDescent="0.2">
      <c r="A44453" t="s">
        <v>67032</v>
      </c>
      <c r="B44453" t="s">
        <v>37330</v>
      </c>
      <c r="C44453" t="s">
        <v>725</v>
      </c>
      <c r="D44453" t="s">
        <v>14830</v>
      </c>
      <c r="E44453" t="s">
        <v>172</v>
      </c>
      <c r="F44453" s="2" t="str">
        <f>HYPERLINK("http://www.otzar.org/book.asp?26536","תורות אמת")</f>
        <v>תורות אמת</v>
      </c>
    </row>
    <row r="44454" spans="1:6" x14ac:dyDescent="0.2">
      <c r="A44454" t="s">
        <v>67033</v>
      </c>
      <c r="B44454" t="s">
        <v>67034</v>
      </c>
      <c r="C44454" t="s">
        <v>1885</v>
      </c>
      <c r="D44454" t="s">
        <v>1731</v>
      </c>
      <c r="E44454" t="s">
        <v>583</v>
      </c>
      <c r="F44454" s="2" t="str">
        <f>HYPERLINK("http://www.otzar.org/book.asp?12184","תורות הנפש")</f>
        <v>תורות הנפש</v>
      </c>
    </row>
    <row r="44455" spans="1:6" x14ac:dyDescent="0.2">
      <c r="A44455" t="s">
        <v>67035</v>
      </c>
      <c r="B44455" t="s">
        <v>51789</v>
      </c>
      <c r="C44455" t="s">
        <v>244</v>
      </c>
      <c r="D44455" t="s">
        <v>412</v>
      </c>
      <c r="E44455" t="s">
        <v>2418</v>
      </c>
      <c r="F44455" s="2" t="str">
        <f>HYPERLINK("http://www.otzar.org/book.asp?600754","תורות ועובדות מבית רבותינו")</f>
        <v>תורות ועובדות מבית רבותינו</v>
      </c>
    </row>
    <row r="44456" spans="1:6" x14ac:dyDescent="0.2">
      <c r="A44456" t="s">
        <v>67036</v>
      </c>
      <c r="B44456" t="s">
        <v>51789</v>
      </c>
      <c r="C44456" t="s">
        <v>111</v>
      </c>
      <c r="D44456" t="s">
        <v>412</v>
      </c>
      <c r="E44456" t="s">
        <v>2418</v>
      </c>
      <c r="F44456" s="2" t="str">
        <f>HYPERLINK("http://www.otzar.org/book.asp?630553","תורות ושיחות מבית רבותינו")</f>
        <v>תורות ושיחות מבית רבותינו</v>
      </c>
    </row>
    <row r="44457" spans="1:6" x14ac:dyDescent="0.2">
      <c r="A44457" t="s">
        <v>67037</v>
      </c>
      <c r="B44457" t="s">
        <v>3614</v>
      </c>
      <c r="C44457" t="s">
        <v>3106</v>
      </c>
      <c r="D44457" t="s">
        <v>27</v>
      </c>
      <c r="E44457" t="s">
        <v>140</v>
      </c>
      <c r="F44457" s="2" t="str">
        <f>HYPERLINK("http://www.otzar.org/book.asp?171060","תורות ותפלות")</f>
        <v>תורות ותפלות</v>
      </c>
    </row>
    <row r="44458" spans="1:6" x14ac:dyDescent="0.2">
      <c r="A44458" t="s">
        <v>67038</v>
      </c>
      <c r="B44458" t="s">
        <v>1939</v>
      </c>
      <c r="C44458" t="s">
        <v>785</v>
      </c>
      <c r="D44458" t="s">
        <v>14</v>
      </c>
      <c r="E44458" t="s">
        <v>158</v>
      </c>
      <c r="F44458" s="2" t="str">
        <f>HYPERLINK("http://www.otzar.org/book.asp?154476","תורי זהב &lt;מהדורה חדשה&gt;")</f>
        <v>תורי זהב &lt;מהדורה חדשה&gt;</v>
      </c>
    </row>
    <row r="44459" spans="1:6" x14ac:dyDescent="0.2">
      <c r="A44459" t="s">
        <v>67039</v>
      </c>
      <c r="B44459" t="s">
        <v>44431</v>
      </c>
      <c r="C44459" t="s">
        <v>99</v>
      </c>
      <c r="D44459" t="s">
        <v>9</v>
      </c>
      <c r="E44459" t="s">
        <v>15</v>
      </c>
      <c r="F44459" s="2" t="str">
        <f>HYPERLINK("http://www.otzar.org/book.asp?52108","תורי זהב")</f>
        <v>תורי זהב</v>
      </c>
    </row>
    <row r="44460" spans="1:6" x14ac:dyDescent="0.2">
      <c r="A44460" t="s">
        <v>67040</v>
      </c>
      <c r="B44460" t="s">
        <v>1939</v>
      </c>
      <c r="C44460" t="s">
        <v>133</v>
      </c>
      <c r="D44460" t="s">
        <v>14</v>
      </c>
      <c r="E44460" t="s">
        <v>2071</v>
      </c>
      <c r="F44460" s="2" t="str">
        <f>HYPERLINK("http://www.otzar.org/book.asp?176008","תורי זהב - 2 כר'")</f>
        <v>תורי זהב - 2 כר'</v>
      </c>
    </row>
    <row r="44461" spans="1:6" x14ac:dyDescent="0.2">
      <c r="A44461" t="s">
        <v>67041</v>
      </c>
      <c r="B44461" t="s">
        <v>6956</v>
      </c>
      <c r="C44461" t="s">
        <v>767</v>
      </c>
      <c r="D44461" t="s">
        <v>14</v>
      </c>
      <c r="E44461" t="s">
        <v>158</v>
      </c>
      <c r="F44461" s="2" t="str">
        <f>HYPERLINK("http://www.otzar.org/book.asp?154679","תורי זהב - מגילת רות")</f>
        <v>תורי זהב - מגילת רות</v>
      </c>
    </row>
    <row r="44462" spans="1:6" x14ac:dyDescent="0.2">
      <c r="A44462" t="s">
        <v>67039</v>
      </c>
      <c r="B44462" t="s">
        <v>25217</v>
      </c>
      <c r="C44462" t="s">
        <v>286</v>
      </c>
      <c r="D44462" t="s">
        <v>27</v>
      </c>
      <c r="E44462" t="s">
        <v>28293</v>
      </c>
      <c r="F44462" s="2" t="str">
        <f>HYPERLINK("http://www.otzar.org/book.asp?8984","תורי זהב")</f>
        <v>תורי זהב</v>
      </c>
    </row>
    <row r="44463" spans="1:6" x14ac:dyDescent="0.2">
      <c r="A44463" t="s">
        <v>67042</v>
      </c>
      <c r="B44463" t="s">
        <v>67043</v>
      </c>
      <c r="C44463" t="s">
        <v>114</v>
      </c>
      <c r="D44463" t="s">
        <v>54268</v>
      </c>
      <c r="E44463" t="s">
        <v>674</v>
      </c>
      <c r="F44463" s="2" t="str">
        <f>HYPERLINK("http://www.otzar.org/book.asp?166927","תורי זהב - ביאור הכתובה ומקורותיה")</f>
        <v>תורי זהב - ביאור הכתובה ומקורותיה</v>
      </c>
    </row>
    <row r="44464" spans="1:6" x14ac:dyDescent="0.2">
      <c r="A44464" t="s">
        <v>67039</v>
      </c>
      <c r="B44464" t="s">
        <v>67044</v>
      </c>
      <c r="C44464" t="s">
        <v>1458</v>
      </c>
      <c r="D44464" t="s">
        <v>8340</v>
      </c>
      <c r="E44464" t="s">
        <v>67045</v>
      </c>
      <c r="F44464" s="2" t="str">
        <f>HYPERLINK("http://www.otzar.org/book.asp?103791","תורי זהב")</f>
        <v>תורי זהב</v>
      </c>
    </row>
    <row r="44465" spans="1:6" x14ac:dyDescent="0.2">
      <c r="A44465" t="s">
        <v>67046</v>
      </c>
      <c r="B44465" t="s">
        <v>67047</v>
      </c>
      <c r="C44465" t="s">
        <v>989</v>
      </c>
      <c r="D44465" t="s">
        <v>1180</v>
      </c>
      <c r="E44465" t="s">
        <v>741</v>
      </c>
      <c r="F44465" s="2" t="str">
        <f>HYPERLINK("http://www.otzar.org/book.asp?9882","תורת א' (אלף) - 4 כר'")</f>
        <v>תורת א' (אלף) - 4 כר'</v>
      </c>
    </row>
    <row r="44466" spans="1:6" x14ac:dyDescent="0.2">
      <c r="A44466" t="s">
        <v>67048</v>
      </c>
      <c r="B44466" t="s">
        <v>67049</v>
      </c>
      <c r="C44466" t="s">
        <v>313</v>
      </c>
      <c r="D44466" t="s">
        <v>14</v>
      </c>
      <c r="E44466" t="s">
        <v>148</v>
      </c>
      <c r="F44466" s="2" t="str">
        <f>HYPERLINK("http://www.otzar.org/book.asp?60501","תורת אב - נדה מקוואות")</f>
        <v>תורת אב - נדה מקוואות</v>
      </c>
    </row>
    <row r="44467" spans="1:6" x14ac:dyDescent="0.2">
      <c r="A44467" t="s">
        <v>67050</v>
      </c>
      <c r="B44467" t="s">
        <v>4918</v>
      </c>
      <c r="C44467" t="s">
        <v>1448</v>
      </c>
      <c r="D44467" t="s">
        <v>216</v>
      </c>
      <c r="E44467" t="s">
        <v>84</v>
      </c>
      <c r="F44467" s="2" t="str">
        <f>HYPERLINK("http://www.otzar.org/book.asp?151258","תורת אבות")</f>
        <v>תורת אבות</v>
      </c>
    </row>
    <row r="44468" spans="1:6" x14ac:dyDescent="0.2">
      <c r="A44468" t="s">
        <v>67051</v>
      </c>
      <c r="B44468" t="s">
        <v>67052</v>
      </c>
      <c r="C44468" t="s">
        <v>558</v>
      </c>
      <c r="D44468" t="s">
        <v>1722</v>
      </c>
      <c r="F44468" s="2" t="str">
        <f>HYPERLINK("http://www.otzar.org/book.asp?84191","תורת אבות - 3 כר'")</f>
        <v>תורת אבות - 3 כר'</v>
      </c>
    </row>
    <row r="44469" spans="1:6" x14ac:dyDescent="0.2">
      <c r="A44469" t="s">
        <v>67050</v>
      </c>
      <c r="B44469" t="s">
        <v>67053</v>
      </c>
      <c r="C44469" t="s">
        <v>419</v>
      </c>
      <c r="D44469" t="s">
        <v>1180</v>
      </c>
      <c r="E44469" t="s">
        <v>22155</v>
      </c>
      <c r="F44469" s="2" t="str">
        <f>HYPERLINK("http://www.otzar.org/book.asp?195042","תורת אבות")</f>
        <v>תורת אבות</v>
      </c>
    </row>
    <row r="44470" spans="1:6" x14ac:dyDescent="0.2">
      <c r="A44470" t="s">
        <v>67050</v>
      </c>
      <c r="B44470" t="s">
        <v>1750</v>
      </c>
      <c r="C44470" t="s">
        <v>189</v>
      </c>
      <c r="D44470" t="s">
        <v>412</v>
      </c>
      <c r="E44470" t="s">
        <v>202</v>
      </c>
      <c r="F44470" s="2" t="str">
        <f>HYPERLINK("http://www.otzar.org/book.asp?147939","תורת אבות")</f>
        <v>תורת אבות</v>
      </c>
    </row>
    <row r="44471" spans="1:6" x14ac:dyDescent="0.2">
      <c r="A44471" t="s">
        <v>67054</v>
      </c>
      <c r="B44471" t="s">
        <v>67055</v>
      </c>
      <c r="C44471" t="s">
        <v>23</v>
      </c>
      <c r="D44471" t="s">
        <v>486</v>
      </c>
      <c r="E44471" t="s">
        <v>148</v>
      </c>
      <c r="F44471" s="2" t="str">
        <f>HYPERLINK("http://www.otzar.org/book.asp?622095","תורת אבי")</f>
        <v>תורת אבי</v>
      </c>
    </row>
    <row r="44472" spans="1:6" x14ac:dyDescent="0.2">
      <c r="A44472" t="s">
        <v>67056</v>
      </c>
      <c r="B44472" t="s">
        <v>49768</v>
      </c>
      <c r="C44472" t="s">
        <v>594</v>
      </c>
      <c r="D44472" t="s">
        <v>56</v>
      </c>
      <c r="E44472" t="s">
        <v>684</v>
      </c>
      <c r="F44472" s="2" t="str">
        <f>HYPERLINK("http://www.otzar.org/book.asp?101922","תורת אביגדור")</f>
        <v>תורת אביגדור</v>
      </c>
    </row>
    <row r="44473" spans="1:6" x14ac:dyDescent="0.2">
      <c r="A44473" t="s">
        <v>67057</v>
      </c>
      <c r="B44473" t="s">
        <v>32008</v>
      </c>
      <c r="C44473" t="s">
        <v>51</v>
      </c>
      <c r="D44473" t="s">
        <v>52</v>
      </c>
      <c r="E44473" t="s">
        <v>4333</v>
      </c>
      <c r="F44473" s="2" t="str">
        <f>HYPERLINK("http://www.otzar.org/book.asp?63004","תורת אביגדור - 3 כר'")</f>
        <v>תורת אביגדור - 3 כר'</v>
      </c>
    </row>
    <row r="44474" spans="1:6" x14ac:dyDescent="0.2">
      <c r="A44474" t="s">
        <v>67058</v>
      </c>
      <c r="B44474" t="s">
        <v>67059</v>
      </c>
      <c r="C44474" t="s">
        <v>17</v>
      </c>
      <c r="D44474" t="s">
        <v>52</v>
      </c>
      <c r="E44474" t="s">
        <v>144</v>
      </c>
      <c r="F44474" s="2" t="str">
        <f>HYPERLINK("http://www.otzar.org/book.asp?23404","תורת אבירים - 6 כר'")</f>
        <v>תורת אבירים - 6 כר'</v>
      </c>
    </row>
    <row r="44475" spans="1:6" x14ac:dyDescent="0.2">
      <c r="A44475" t="s">
        <v>67060</v>
      </c>
      <c r="B44475" t="s">
        <v>26342</v>
      </c>
      <c r="C44475" t="s">
        <v>26</v>
      </c>
      <c r="D44475" t="s">
        <v>14</v>
      </c>
      <c r="E44475" t="s">
        <v>583</v>
      </c>
      <c r="F44475" s="2" t="str">
        <f>HYPERLINK("http://www.otzar.org/book.asp?103789","תורת אברהם")</f>
        <v>תורת אברהם</v>
      </c>
    </row>
    <row r="44476" spans="1:6" x14ac:dyDescent="0.2">
      <c r="A44476" t="s">
        <v>67060</v>
      </c>
      <c r="B44476" t="s">
        <v>67061</v>
      </c>
      <c r="C44476" t="s">
        <v>143</v>
      </c>
      <c r="D44476" t="s">
        <v>52</v>
      </c>
      <c r="F44476" s="2" t="str">
        <f>HYPERLINK("http://www.otzar.org/book.asp?617522","תורת אברהם")</f>
        <v>תורת אברהם</v>
      </c>
    </row>
    <row r="44477" spans="1:6" x14ac:dyDescent="0.2">
      <c r="A44477" t="s">
        <v>67060</v>
      </c>
      <c r="B44477" t="s">
        <v>2082</v>
      </c>
      <c r="C44477" t="s">
        <v>146</v>
      </c>
      <c r="D44477" t="s">
        <v>14</v>
      </c>
      <c r="E44477" t="s">
        <v>399</v>
      </c>
      <c r="F44477" s="2" t="str">
        <f>HYPERLINK("http://www.otzar.org/book.asp?26737","תורת אברהם")</f>
        <v>תורת אברהם</v>
      </c>
    </row>
    <row r="44478" spans="1:6" x14ac:dyDescent="0.2">
      <c r="A44478" t="s">
        <v>67062</v>
      </c>
      <c r="B44478" t="s">
        <v>2663</v>
      </c>
      <c r="C44478" t="s">
        <v>356</v>
      </c>
      <c r="F44478" s="2" t="str">
        <f>HYPERLINK("http://www.otzar.org/book.asp?614407","תורת אברהם - 3 כר'")</f>
        <v>תורת אברהם - 3 כר'</v>
      </c>
    </row>
    <row r="44479" spans="1:6" x14ac:dyDescent="0.2">
      <c r="A44479" t="s">
        <v>67060</v>
      </c>
      <c r="B44479" t="s">
        <v>67063</v>
      </c>
      <c r="C44479" t="s">
        <v>20</v>
      </c>
      <c r="D44479" t="s">
        <v>90</v>
      </c>
      <c r="E44479" t="s">
        <v>384</v>
      </c>
      <c r="F44479" s="2" t="str">
        <f>HYPERLINK("http://www.otzar.org/book.asp?628801","תורת אברהם")</f>
        <v>תורת אברהם</v>
      </c>
    </row>
    <row r="44480" spans="1:6" x14ac:dyDescent="0.2">
      <c r="A44480" t="s">
        <v>67064</v>
      </c>
      <c r="B44480" t="s">
        <v>67065</v>
      </c>
      <c r="C44480" t="s">
        <v>1811</v>
      </c>
      <c r="D44480" t="s">
        <v>1356</v>
      </c>
      <c r="E44480" t="s">
        <v>144</v>
      </c>
      <c r="F44480" s="2" t="str">
        <f>HYPERLINK("http://www.otzar.org/book.asp?625602","תורת אדם")</f>
        <v>תורת אדם</v>
      </c>
    </row>
    <row r="44481" spans="1:6" x14ac:dyDescent="0.2">
      <c r="A44481" t="s">
        <v>67066</v>
      </c>
      <c r="B44481" t="s">
        <v>2571</v>
      </c>
      <c r="C44481" t="s">
        <v>854</v>
      </c>
      <c r="D44481" t="s">
        <v>27</v>
      </c>
      <c r="E44481" t="s">
        <v>28642</v>
      </c>
      <c r="F44481" s="2" t="str">
        <f>HYPERLINK("http://www.otzar.org/book.asp?9029","תורת אהל משה")</f>
        <v>תורת אהל משה</v>
      </c>
    </row>
    <row r="44482" spans="1:6" x14ac:dyDescent="0.2">
      <c r="A44482" t="s">
        <v>67067</v>
      </c>
      <c r="B44482" t="s">
        <v>2526</v>
      </c>
      <c r="C44482" t="s">
        <v>129</v>
      </c>
      <c r="D44482" t="s">
        <v>66826</v>
      </c>
      <c r="E44482" t="s">
        <v>158</v>
      </c>
      <c r="F44482" s="2" t="str">
        <f>HYPERLINK("http://www.otzar.org/book.asp?145375","תורת אהל - 3 כר'")</f>
        <v>תורת אהל - 3 כר'</v>
      </c>
    </row>
    <row r="44483" spans="1:6" x14ac:dyDescent="0.2">
      <c r="A44483" t="s">
        <v>67068</v>
      </c>
      <c r="B44483" t="s">
        <v>67069</v>
      </c>
      <c r="C44483" t="s">
        <v>1570</v>
      </c>
      <c r="D44483" t="s">
        <v>14</v>
      </c>
      <c r="E44483" t="s">
        <v>154</v>
      </c>
      <c r="F44483" s="2" t="str">
        <f>HYPERLINK("http://www.otzar.org/book.asp?85350","תורת אהרן - א")</f>
        <v>תורת אהרן - א</v>
      </c>
    </row>
    <row r="44484" spans="1:6" x14ac:dyDescent="0.2">
      <c r="A44484" t="s">
        <v>67070</v>
      </c>
      <c r="B44484" t="s">
        <v>67071</v>
      </c>
      <c r="C44484" t="s">
        <v>422</v>
      </c>
      <c r="D44484" t="s">
        <v>52</v>
      </c>
      <c r="E44484" t="s">
        <v>158</v>
      </c>
      <c r="F44484" s="2" t="str">
        <f>HYPERLINK("http://www.otzar.org/book.asp?156909","תורת אהרן")</f>
        <v>תורת אהרן</v>
      </c>
    </row>
    <row r="44485" spans="1:6" x14ac:dyDescent="0.2">
      <c r="A44485" t="s">
        <v>67070</v>
      </c>
      <c r="B44485" t="s">
        <v>67072</v>
      </c>
      <c r="C44485" t="s">
        <v>581</v>
      </c>
      <c r="D44485" t="s">
        <v>225</v>
      </c>
      <c r="E44485" t="s">
        <v>67073</v>
      </c>
      <c r="F44485" s="2" t="str">
        <f>HYPERLINK("http://www.otzar.org/book.asp?7989","תורת אהרן")</f>
        <v>תורת אהרן</v>
      </c>
    </row>
    <row r="44486" spans="1:6" x14ac:dyDescent="0.2">
      <c r="A44486" t="s">
        <v>67074</v>
      </c>
      <c r="B44486" t="s">
        <v>58513</v>
      </c>
      <c r="C44486" t="s">
        <v>366</v>
      </c>
      <c r="D44486" t="s">
        <v>14</v>
      </c>
      <c r="F44486" s="2" t="str">
        <f>HYPERLINK("http://www.otzar.org/book.asp?617977","תורת איש לוי - 2 כר'")</f>
        <v>תורת איש לוי - 2 כר'</v>
      </c>
    </row>
    <row r="44487" spans="1:6" x14ac:dyDescent="0.2">
      <c r="A44487" t="s">
        <v>67075</v>
      </c>
      <c r="B44487" t="s">
        <v>67076</v>
      </c>
      <c r="C44487" t="s">
        <v>129</v>
      </c>
      <c r="D44487" t="s">
        <v>52</v>
      </c>
      <c r="E44487" t="s">
        <v>834</v>
      </c>
      <c r="F44487" s="2" t="str">
        <f>HYPERLINK("http://www.otzar.org/book.asp?154011","תורת איש - 3 כר'")</f>
        <v>תורת איש - 3 כר'</v>
      </c>
    </row>
    <row r="44488" spans="1:6" x14ac:dyDescent="0.2">
      <c r="A44488" t="s">
        <v>67077</v>
      </c>
      <c r="B44488" t="s">
        <v>67078</v>
      </c>
      <c r="C44488" t="s">
        <v>129</v>
      </c>
      <c r="D44488" t="s">
        <v>52</v>
      </c>
      <c r="E44488" t="s">
        <v>144</v>
      </c>
      <c r="F44488" s="2" t="str">
        <f>HYPERLINK("http://www.otzar.org/book.asp?160169","תורת איש - מועד קטן")</f>
        <v>תורת איש - מועד קטן</v>
      </c>
    </row>
    <row r="44489" spans="1:6" x14ac:dyDescent="0.2">
      <c r="A44489" t="s">
        <v>67079</v>
      </c>
      <c r="B44489" t="s">
        <v>5618</v>
      </c>
      <c r="C44489" t="s">
        <v>133</v>
      </c>
      <c r="D44489" t="s">
        <v>1840</v>
      </c>
      <c r="E44489" t="s">
        <v>234</v>
      </c>
      <c r="F44489" s="2" t="str">
        <f>HYPERLINK("http://www.otzar.org/book.asp?189733","תורת איש - הספדים על ר' שמעון אבני זצ""ל")</f>
        <v>תורת איש - הספדים על ר' שמעון אבני זצ"ל</v>
      </c>
    </row>
    <row r="44490" spans="1:6" x14ac:dyDescent="0.2">
      <c r="A44490" t="s">
        <v>67080</v>
      </c>
      <c r="B44490" t="s">
        <v>67081</v>
      </c>
      <c r="C44490" t="s">
        <v>603</v>
      </c>
      <c r="D44490" t="s">
        <v>56</v>
      </c>
      <c r="E44490" t="s">
        <v>158</v>
      </c>
      <c r="F44490" s="2" t="str">
        <f>HYPERLINK("http://www.otzar.org/book.asp?21477","תורת אלהים &lt;נתינה לגר&gt; - 5 כר'")</f>
        <v>תורת אלהים &lt;נתינה לגר&gt; - 5 כר'</v>
      </c>
    </row>
    <row r="44491" spans="1:6" x14ac:dyDescent="0.2">
      <c r="A44491" t="s">
        <v>67082</v>
      </c>
      <c r="B44491" t="s">
        <v>67083</v>
      </c>
      <c r="C44491" t="s">
        <v>67084</v>
      </c>
      <c r="D44491" t="s">
        <v>28816</v>
      </c>
      <c r="F44491" s="2" t="str">
        <f>HYPERLINK("http://www.otzar.org/book.asp?618113","תורת אלהים &lt;הולנדית&gt; - סדר התפילות עם הפיוטים והקרובות - ויקרא")</f>
        <v>תורת אלהים &lt;הולנדית&gt; - סדר התפילות עם הפיוטים והקרובות - ויקרא</v>
      </c>
    </row>
    <row r="44492" spans="1:6" x14ac:dyDescent="0.2">
      <c r="A44492" t="s">
        <v>67085</v>
      </c>
      <c r="B44492" t="s">
        <v>67086</v>
      </c>
      <c r="C44492" t="s">
        <v>482</v>
      </c>
      <c r="D44492" t="s">
        <v>986</v>
      </c>
      <c r="E44492" t="s">
        <v>158</v>
      </c>
      <c r="F44492" s="2" t="str">
        <f>HYPERLINK("http://www.otzar.org/book.asp?61139","תורת אלחנן")</f>
        <v>תורת אלחנן</v>
      </c>
    </row>
    <row r="44493" spans="1:6" x14ac:dyDescent="0.2">
      <c r="A44493" t="s">
        <v>67087</v>
      </c>
      <c r="B44493" t="s">
        <v>67088</v>
      </c>
      <c r="C44493" t="s">
        <v>558</v>
      </c>
      <c r="D44493" t="s">
        <v>379</v>
      </c>
      <c r="E44493" t="s">
        <v>158</v>
      </c>
      <c r="F44493" s="2" t="str">
        <f>HYPERLINK("http://www.otzar.org/book.asp?21380","תורת אלי'")</f>
        <v>תורת אלי'</v>
      </c>
    </row>
    <row r="44494" spans="1:6" x14ac:dyDescent="0.2">
      <c r="A44494" t="s">
        <v>67089</v>
      </c>
      <c r="B44494" t="s">
        <v>67090</v>
      </c>
      <c r="C44494" t="s">
        <v>466</v>
      </c>
      <c r="D44494" t="s">
        <v>412</v>
      </c>
      <c r="E44494" t="s">
        <v>2071</v>
      </c>
      <c r="F44494" s="2" t="str">
        <f>HYPERLINK("http://www.otzar.org/book.asp?60351","תורת אליהו - על התורה ומועדים")</f>
        <v>תורת אליהו - על התורה ומועדים</v>
      </c>
    </row>
    <row r="44495" spans="1:6" x14ac:dyDescent="0.2">
      <c r="A44495" t="s">
        <v>67091</v>
      </c>
      <c r="B44495" t="s">
        <v>67092</v>
      </c>
      <c r="C44495" t="s">
        <v>617</v>
      </c>
      <c r="D44495" t="s">
        <v>1117</v>
      </c>
      <c r="E44495" t="s">
        <v>3518</v>
      </c>
      <c r="F44495" s="2" t="str">
        <f>HYPERLINK("http://www.otzar.org/book.asp?11005","תורת אליהו")</f>
        <v>תורת אליהו</v>
      </c>
    </row>
    <row r="44496" spans="1:6" x14ac:dyDescent="0.2">
      <c r="A44496" t="s">
        <v>67093</v>
      </c>
      <c r="B44496" t="s">
        <v>27456</v>
      </c>
      <c r="C44496" t="s">
        <v>68</v>
      </c>
      <c r="D44496" t="s">
        <v>412</v>
      </c>
      <c r="E44496" t="s">
        <v>104</v>
      </c>
      <c r="F44496" s="2" t="str">
        <f>HYPERLINK("http://www.otzar.org/book.asp?183062","תורת אליעזר")</f>
        <v>תורת אליעזר</v>
      </c>
    </row>
    <row r="44497" spans="1:6" x14ac:dyDescent="0.2">
      <c r="A44497" t="s">
        <v>67093</v>
      </c>
      <c r="B44497" t="s">
        <v>14327</v>
      </c>
      <c r="C44497" t="s">
        <v>946</v>
      </c>
      <c r="D44497" t="s">
        <v>56</v>
      </c>
      <c r="E44497" t="s">
        <v>172</v>
      </c>
      <c r="F44497" s="2" t="str">
        <f>HYPERLINK("http://www.otzar.org/book.asp?104582","תורת אליעזר")</f>
        <v>תורת אליעזר</v>
      </c>
    </row>
    <row r="44498" spans="1:6" x14ac:dyDescent="0.2">
      <c r="A44498" t="s">
        <v>67094</v>
      </c>
      <c r="B44498" t="s">
        <v>1750</v>
      </c>
      <c r="C44498" t="s">
        <v>20</v>
      </c>
      <c r="D44498" t="s">
        <v>14</v>
      </c>
      <c r="E44498" t="s">
        <v>202</v>
      </c>
      <c r="F44498" s="2" t="str">
        <f>HYPERLINK("http://www.otzar.org/book.asp?172434","תורת אלישע - א")</f>
        <v>תורת אלישע - א</v>
      </c>
    </row>
    <row r="44499" spans="1:6" x14ac:dyDescent="0.2">
      <c r="A44499" t="s">
        <v>67095</v>
      </c>
      <c r="B44499" t="s">
        <v>67096</v>
      </c>
      <c r="C44499" t="s">
        <v>366</v>
      </c>
      <c r="D44499" t="s">
        <v>14</v>
      </c>
      <c r="E44499" t="s">
        <v>2071</v>
      </c>
      <c r="F44499" s="2" t="str">
        <f>HYPERLINK("http://www.otzar.org/book.asp?606540","תורת אם")</f>
        <v>תורת אם</v>
      </c>
    </row>
    <row r="44500" spans="1:6" x14ac:dyDescent="0.2">
      <c r="A44500" t="s">
        <v>67097</v>
      </c>
      <c r="B44500" t="s">
        <v>32095</v>
      </c>
      <c r="C44500" t="s">
        <v>1811</v>
      </c>
      <c r="D44500" t="s">
        <v>14</v>
      </c>
      <c r="F44500" s="2" t="str">
        <f>HYPERLINK("http://www.otzar.org/book.asp?617565","תורת אמי")</f>
        <v>תורת אמי</v>
      </c>
    </row>
    <row r="44501" spans="1:6" x14ac:dyDescent="0.2">
      <c r="A44501" t="s">
        <v>67098</v>
      </c>
      <c r="B44501" t="s">
        <v>206</v>
      </c>
      <c r="C44501" t="s">
        <v>523</v>
      </c>
      <c r="D44501" t="s">
        <v>412</v>
      </c>
      <c r="E44501" t="s">
        <v>15</v>
      </c>
      <c r="F44501" s="2" t="str">
        <f>HYPERLINK("http://www.otzar.org/book.asp?161208","תורת אמך - 2 כר'")</f>
        <v>תורת אמך - 2 כר'</v>
      </c>
    </row>
    <row r="44502" spans="1:6" x14ac:dyDescent="0.2">
      <c r="A44502" t="s">
        <v>67099</v>
      </c>
      <c r="B44502" t="s">
        <v>35286</v>
      </c>
      <c r="C44502" t="s">
        <v>767</v>
      </c>
      <c r="D44502" t="s">
        <v>412</v>
      </c>
      <c r="E44502" t="s">
        <v>15</v>
      </c>
      <c r="F44502" s="2" t="str">
        <f>HYPERLINK("http://www.otzar.org/book.asp?626446","תורת אמך - ב")</f>
        <v>תורת אמך - ב</v>
      </c>
    </row>
    <row r="44503" spans="1:6" x14ac:dyDescent="0.2">
      <c r="A44503" t="s">
        <v>67100</v>
      </c>
      <c r="B44503" t="s">
        <v>8636</v>
      </c>
      <c r="C44503" t="s">
        <v>20</v>
      </c>
      <c r="D44503" t="s">
        <v>14</v>
      </c>
      <c r="E44503" t="s">
        <v>202</v>
      </c>
      <c r="F44503" s="2" t="str">
        <f>HYPERLINK("http://www.otzar.org/book.asp?631469","תורת אמך")</f>
        <v>תורת אמך</v>
      </c>
    </row>
    <row r="44504" spans="1:6" x14ac:dyDescent="0.2">
      <c r="A44504" t="s">
        <v>67098</v>
      </c>
      <c r="B44504" t="s">
        <v>67101</v>
      </c>
      <c r="C44504" t="s">
        <v>68</v>
      </c>
      <c r="D44504" t="s">
        <v>14</v>
      </c>
      <c r="F44504" s="2" t="str">
        <f>HYPERLINK("http://www.otzar.org/book.asp?164136","תורת אמך - 2 כר'")</f>
        <v>תורת אמך - 2 כר'</v>
      </c>
    </row>
    <row r="44505" spans="1:6" x14ac:dyDescent="0.2">
      <c r="A44505" t="s">
        <v>67100</v>
      </c>
      <c r="B44505" t="s">
        <v>1005</v>
      </c>
      <c r="C44505" t="s">
        <v>20</v>
      </c>
      <c r="D44505" t="s">
        <v>90</v>
      </c>
      <c r="F44505" s="2" t="str">
        <f>HYPERLINK("http://www.otzar.org/book.asp?614387","תורת אמך")</f>
        <v>תורת אמך</v>
      </c>
    </row>
    <row r="44506" spans="1:6" x14ac:dyDescent="0.2">
      <c r="A44506" t="s">
        <v>67102</v>
      </c>
      <c r="B44506" t="s">
        <v>67103</v>
      </c>
      <c r="C44506" t="s">
        <v>114</v>
      </c>
      <c r="D44506" t="s">
        <v>14</v>
      </c>
      <c r="E44506" t="s">
        <v>144</v>
      </c>
      <c r="F44506" s="2" t="str">
        <f>HYPERLINK("http://www.otzar.org/book.asp?176769","תורת אמך - חולין")</f>
        <v>תורת אמך - חולין</v>
      </c>
    </row>
    <row r="44507" spans="1:6" x14ac:dyDescent="0.2">
      <c r="A44507" t="s">
        <v>67104</v>
      </c>
      <c r="B44507" t="s">
        <v>1298</v>
      </c>
      <c r="C44507" t="s">
        <v>17</v>
      </c>
      <c r="D44507" t="s">
        <v>52</v>
      </c>
      <c r="E44507" t="s">
        <v>158</v>
      </c>
      <c r="F44507" s="2" t="str">
        <f>HYPERLINK("http://www.otzar.org/book.asp?60726","תורת אמת &lt;מישור&gt;")</f>
        <v>תורת אמת &lt;מישור&gt;</v>
      </c>
    </row>
    <row r="44508" spans="1:6" x14ac:dyDescent="0.2">
      <c r="A44508" t="s">
        <v>67105</v>
      </c>
      <c r="B44508" t="s">
        <v>67106</v>
      </c>
      <c r="C44508" t="s">
        <v>13</v>
      </c>
      <c r="D44508" t="s">
        <v>90</v>
      </c>
      <c r="E44508" t="s">
        <v>579</v>
      </c>
      <c r="F44508" s="2" t="str">
        <f>HYPERLINK("http://www.otzar.org/book.asp?64170","תורת אמת &lt;תאג'&gt; - 5 כר'")</f>
        <v>תורת אמת &lt;תאג'&gt; - 5 כר'</v>
      </c>
    </row>
    <row r="44509" spans="1:6" x14ac:dyDescent="0.2">
      <c r="A44509" t="s">
        <v>67107</v>
      </c>
      <c r="B44509" t="s">
        <v>1298</v>
      </c>
      <c r="C44509" t="s">
        <v>17</v>
      </c>
      <c r="D44509" t="s">
        <v>52</v>
      </c>
      <c r="E44509" t="s">
        <v>2071</v>
      </c>
      <c r="F44509" s="2" t="str">
        <f>HYPERLINK("http://www.otzar.org/book.asp?154577","תורת אמת ליקוטי מהרי""ל &lt;מהדורה חדשה&gt;")</f>
        <v>תורת אמת ליקוטי מהרי"ל &lt;מהדורה חדשה&gt;</v>
      </c>
    </row>
    <row r="44510" spans="1:6" x14ac:dyDescent="0.2">
      <c r="A44510" t="s">
        <v>67108</v>
      </c>
      <c r="B44510" t="s">
        <v>1298</v>
      </c>
      <c r="C44510" t="s">
        <v>163</v>
      </c>
      <c r="D44510" t="s">
        <v>1279</v>
      </c>
      <c r="E44510" t="s">
        <v>6239</v>
      </c>
      <c r="F44510" s="2" t="str">
        <f>HYPERLINK("http://www.otzar.org/book.asp?103156","תורת אמת - 2 כר'")</f>
        <v>תורת אמת - 2 כר'</v>
      </c>
    </row>
    <row r="44511" spans="1:6" x14ac:dyDescent="0.2">
      <c r="A44511" t="s">
        <v>67109</v>
      </c>
      <c r="B44511" t="s">
        <v>6162</v>
      </c>
      <c r="C44511" t="s">
        <v>643</v>
      </c>
      <c r="D44511" t="s">
        <v>726</v>
      </c>
      <c r="E44511" t="s">
        <v>67110</v>
      </c>
      <c r="F44511" s="2" t="str">
        <f>HYPERLINK("http://www.otzar.org/book.asp?8076","תורת אמת - 3 כר'")</f>
        <v>תורת אמת - 3 כר'</v>
      </c>
    </row>
    <row r="44512" spans="1:6" x14ac:dyDescent="0.2">
      <c r="A44512" t="s">
        <v>67111</v>
      </c>
      <c r="B44512" t="s">
        <v>22823</v>
      </c>
      <c r="C44512" t="s">
        <v>291</v>
      </c>
      <c r="D44512" t="s">
        <v>6801</v>
      </c>
      <c r="E44512" t="s">
        <v>579</v>
      </c>
      <c r="F44512" s="2" t="str">
        <f>HYPERLINK("http://www.otzar.org/book.asp?13597","תורת אמת")</f>
        <v>תורת אמת</v>
      </c>
    </row>
    <row r="44513" spans="1:6" x14ac:dyDescent="0.2">
      <c r="A44513" t="s">
        <v>67108</v>
      </c>
      <c r="B44513" t="s">
        <v>67112</v>
      </c>
      <c r="C44513" t="s">
        <v>411</v>
      </c>
      <c r="D44513" t="s">
        <v>52</v>
      </c>
      <c r="E44513" t="s">
        <v>202</v>
      </c>
      <c r="F44513" s="2" t="str">
        <f>HYPERLINK("http://www.otzar.org/book.asp?169302","תורת אמת - 2 כר'")</f>
        <v>תורת אמת - 2 כר'</v>
      </c>
    </row>
    <row r="44514" spans="1:6" x14ac:dyDescent="0.2">
      <c r="A44514" t="s">
        <v>67111</v>
      </c>
      <c r="B44514" t="s">
        <v>67113</v>
      </c>
      <c r="C44514" t="s">
        <v>67114</v>
      </c>
      <c r="D44514" t="s">
        <v>76</v>
      </c>
      <c r="E44514" t="s">
        <v>399</v>
      </c>
      <c r="F44514" s="2" t="str">
        <f>HYPERLINK("http://www.otzar.org/book.asp?147197","תורת אמת")</f>
        <v>תורת אמת</v>
      </c>
    </row>
    <row r="44515" spans="1:6" x14ac:dyDescent="0.2">
      <c r="A44515" t="s">
        <v>67111</v>
      </c>
      <c r="B44515" t="s">
        <v>67115</v>
      </c>
      <c r="C44515" t="s">
        <v>22770</v>
      </c>
      <c r="D44515" t="s">
        <v>49</v>
      </c>
      <c r="E44515" t="s">
        <v>154</v>
      </c>
      <c r="F44515" s="2" t="str">
        <f>HYPERLINK("http://www.otzar.org/book.asp?10849","תורת אמת")</f>
        <v>תורת אמת</v>
      </c>
    </row>
    <row r="44516" spans="1:6" x14ac:dyDescent="0.2">
      <c r="A44516" t="s">
        <v>67116</v>
      </c>
      <c r="B44516" t="s">
        <v>67117</v>
      </c>
      <c r="C44516" t="s">
        <v>133</v>
      </c>
      <c r="D44516" t="s">
        <v>52</v>
      </c>
      <c r="E44516" t="s">
        <v>144</v>
      </c>
      <c r="F44516" s="2" t="str">
        <f>HYPERLINK("http://www.otzar.org/book.asp?192834","תורת אריה")</f>
        <v>תורת אריה</v>
      </c>
    </row>
    <row r="44517" spans="1:6" x14ac:dyDescent="0.2">
      <c r="A44517" t="s">
        <v>67116</v>
      </c>
      <c r="B44517" t="s">
        <v>1750</v>
      </c>
      <c r="C44517" t="s">
        <v>129</v>
      </c>
      <c r="D44517" t="s">
        <v>14</v>
      </c>
      <c r="E44517" t="s">
        <v>202</v>
      </c>
      <c r="F44517" s="2" t="str">
        <f>HYPERLINK("http://www.otzar.org/book.asp?142151","תורת אריה")</f>
        <v>תורת אריה</v>
      </c>
    </row>
    <row r="44518" spans="1:6" x14ac:dyDescent="0.2">
      <c r="A44518" t="s">
        <v>67118</v>
      </c>
      <c r="B44518" t="s">
        <v>67119</v>
      </c>
      <c r="C44518" t="s">
        <v>812</v>
      </c>
      <c r="D44518" t="s">
        <v>27</v>
      </c>
      <c r="E44518" t="s">
        <v>37700</v>
      </c>
      <c r="F44518" s="2" t="str">
        <f>HYPERLINK("http://www.otzar.org/book.asp?11973","תורת ארץ ישראל &lt;כלכלת שביעית&gt;")</f>
        <v>תורת ארץ ישראל &lt;כלכלת שביעית&gt;</v>
      </c>
    </row>
    <row r="44519" spans="1:6" x14ac:dyDescent="0.2">
      <c r="A44519" t="s">
        <v>67120</v>
      </c>
      <c r="B44519" t="s">
        <v>1750</v>
      </c>
      <c r="C44519" t="s">
        <v>1535</v>
      </c>
      <c r="D44519" t="s">
        <v>14</v>
      </c>
      <c r="E44519" t="s">
        <v>202</v>
      </c>
      <c r="F44519" s="2" t="str">
        <f>HYPERLINK("http://www.otzar.org/book.asp?172370","תורת ארץ ישראל - 43 כר'")</f>
        <v>תורת ארץ ישראל - 43 כר'</v>
      </c>
    </row>
    <row r="44520" spans="1:6" x14ac:dyDescent="0.2">
      <c r="A44520" t="s">
        <v>67121</v>
      </c>
      <c r="B44520" t="s">
        <v>32102</v>
      </c>
      <c r="C44520" t="s">
        <v>427</v>
      </c>
      <c r="D44520" t="s">
        <v>412</v>
      </c>
      <c r="E44520" t="s">
        <v>2495</v>
      </c>
      <c r="F44520" s="2" t="str">
        <f>HYPERLINK("http://www.otzar.org/book.asp?8870","תורת ארץ צבי")</f>
        <v>תורת ארץ צבי</v>
      </c>
    </row>
    <row r="44521" spans="1:6" x14ac:dyDescent="0.2">
      <c r="A44521" t="s">
        <v>67122</v>
      </c>
      <c r="B44521" t="s">
        <v>67123</v>
      </c>
      <c r="C44521" t="s">
        <v>20</v>
      </c>
      <c r="D44521" t="s">
        <v>14</v>
      </c>
      <c r="E44521" t="s">
        <v>15</v>
      </c>
      <c r="F44521" s="2" t="str">
        <f>HYPERLINK("http://www.otzar.org/book.asp?605200","תורת אש - 8 כר'")</f>
        <v>תורת אש - 8 כר'</v>
      </c>
    </row>
    <row r="44522" spans="1:6" x14ac:dyDescent="0.2">
      <c r="A44522" t="s">
        <v>67124</v>
      </c>
      <c r="B44522" t="s">
        <v>67125</v>
      </c>
      <c r="C44522" t="s">
        <v>366</v>
      </c>
      <c r="D44522" t="s">
        <v>14</v>
      </c>
      <c r="E44522" t="s">
        <v>144</v>
      </c>
      <c r="F44522" s="2" t="str">
        <f>HYPERLINK("http://www.otzar.org/book.asp?628005","תורת אש - נדה")</f>
        <v>תורת אש - נדה</v>
      </c>
    </row>
    <row r="44523" spans="1:6" x14ac:dyDescent="0.2">
      <c r="A44523" t="s">
        <v>67126</v>
      </c>
      <c r="B44523" t="s">
        <v>1750</v>
      </c>
      <c r="C44523" t="s">
        <v>17</v>
      </c>
      <c r="D44523" t="s">
        <v>14</v>
      </c>
      <c r="E44523" t="s">
        <v>144</v>
      </c>
      <c r="F44523" s="2" t="str">
        <f>HYPERLINK("http://www.otzar.org/book.asp?189248","תורת בית המדרש - 2 כר'")</f>
        <v>תורת בית המדרש - 2 כר'</v>
      </c>
    </row>
    <row r="44524" spans="1:6" x14ac:dyDescent="0.2">
      <c r="A44524" t="s">
        <v>67127</v>
      </c>
      <c r="B44524" t="s">
        <v>9179</v>
      </c>
      <c r="C44524" t="s">
        <v>146</v>
      </c>
      <c r="D44524" t="s">
        <v>52</v>
      </c>
      <c r="F44524" s="2" t="str">
        <f>HYPERLINK("http://www.otzar.org/book.asp?620424","תורת בל תאחר")</f>
        <v>תורת בל תאחר</v>
      </c>
    </row>
    <row r="44525" spans="1:6" x14ac:dyDescent="0.2">
      <c r="A44525" t="s">
        <v>67128</v>
      </c>
      <c r="B44525" t="s">
        <v>28201</v>
      </c>
      <c r="C44525" t="s">
        <v>146</v>
      </c>
      <c r="D44525" t="s">
        <v>14</v>
      </c>
      <c r="E44525" t="s">
        <v>15</v>
      </c>
      <c r="F44525" s="2" t="str">
        <f>HYPERLINK("http://www.otzar.org/book.asp?188528","תורת בן נח")</f>
        <v>תורת בן נח</v>
      </c>
    </row>
    <row r="44526" spans="1:6" x14ac:dyDescent="0.2">
      <c r="A44526" t="s">
        <v>67129</v>
      </c>
      <c r="B44526" t="s">
        <v>67130</v>
      </c>
      <c r="C44526" t="s">
        <v>68</v>
      </c>
      <c r="D44526" t="s">
        <v>52</v>
      </c>
      <c r="E44526" t="s">
        <v>15</v>
      </c>
      <c r="F44526" s="2" t="str">
        <f>HYPERLINK("http://www.otzar.org/book.asp?163679","תורת בנימין")</f>
        <v>תורת בנימין</v>
      </c>
    </row>
    <row r="44527" spans="1:6" x14ac:dyDescent="0.2">
      <c r="A44527" t="s">
        <v>67129</v>
      </c>
      <c r="B44527" t="s">
        <v>67131</v>
      </c>
      <c r="C44527" t="s">
        <v>366</v>
      </c>
      <c r="D44527" t="s">
        <v>14</v>
      </c>
      <c r="E44527" t="s">
        <v>2054</v>
      </c>
      <c r="F44527" s="2" t="str">
        <f>HYPERLINK("http://www.otzar.org/book.asp?607619","תורת בנימין")</f>
        <v>תורת בנימין</v>
      </c>
    </row>
    <row r="44528" spans="1:6" x14ac:dyDescent="0.2">
      <c r="A44528" t="s">
        <v>67132</v>
      </c>
      <c r="B44528" t="s">
        <v>38377</v>
      </c>
      <c r="C44528" t="s">
        <v>2644</v>
      </c>
      <c r="D44528" t="s">
        <v>67133</v>
      </c>
      <c r="E44528" t="s">
        <v>2071</v>
      </c>
      <c r="F44528" s="2" t="str">
        <f>HYPERLINK("http://www.otzar.org/book.asp?162264","תורת בצלאל &lt;מנורת בצלאל&gt;")</f>
        <v>תורת בצלאל &lt;מנורת בצלאל&gt;</v>
      </c>
    </row>
    <row r="44529" spans="1:6" x14ac:dyDescent="0.2">
      <c r="A44529" t="s">
        <v>67134</v>
      </c>
      <c r="B44529" t="s">
        <v>38377</v>
      </c>
      <c r="C44529" t="s">
        <v>103</v>
      </c>
      <c r="D44529" t="s">
        <v>14</v>
      </c>
      <c r="E44529" t="s">
        <v>7731</v>
      </c>
      <c r="F44529" s="2" t="str">
        <f>HYPERLINK("http://www.otzar.org/book.asp?63170","תורת בצלאל")</f>
        <v>תורת בצלאל</v>
      </c>
    </row>
    <row r="44530" spans="1:6" x14ac:dyDescent="0.2">
      <c r="A44530" t="s">
        <v>67135</v>
      </c>
      <c r="B44530" t="s">
        <v>67136</v>
      </c>
      <c r="C44530" t="s">
        <v>23</v>
      </c>
      <c r="D44530" t="s">
        <v>80</v>
      </c>
      <c r="E44530" t="s">
        <v>158</v>
      </c>
      <c r="F44530" s="2" t="str">
        <f>HYPERLINK("http://www.otzar.org/book.asp?605581","תורת בר נש &lt;מהדורת לייכטר&gt; - 2 כר'")</f>
        <v>תורת בר נש &lt;מהדורת לייכטר&gt; - 2 כר'</v>
      </c>
    </row>
    <row r="44531" spans="1:6" x14ac:dyDescent="0.2">
      <c r="A44531" t="s">
        <v>67137</v>
      </c>
      <c r="B44531" t="s">
        <v>67136</v>
      </c>
      <c r="C44531" t="s">
        <v>2644</v>
      </c>
      <c r="D44531" t="s">
        <v>661</v>
      </c>
      <c r="E44531" t="s">
        <v>67138</v>
      </c>
      <c r="F44531" s="2" t="str">
        <f>HYPERLINK("http://www.otzar.org/book.asp?353","תורת בר נש")</f>
        <v>תורת בר נש</v>
      </c>
    </row>
    <row r="44532" spans="1:6" x14ac:dyDescent="0.2">
      <c r="A44532" t="s">
        <v>67139</v>
      </c>
      <c r="B44532" t="s">
        <v>13358</v>
      </c>
      <c r="C44532" t="s">
        <v>473</v>
      </c>
      <c r="D44532" t="s">
        <v>9</v>
      </c>
      <c r="F44532" s="2" t="str">
        <f>HYPERLINK("http://www.otzar.org/book.asp?179310","תורת גדליהו")</f>
        <v>תורת גדליהו</v>
      </c>
    </row>
    <row r="44533" spans="1:6" x14ac:dyDescent="0.2">
      <c r="A44533" t="s">
        <v>67140</v>
      </c>
      <c r="B44533" t="s">
        <v>6496</v>
      </c>
      <c r="C44533" t="s">
        <v>12351</v>
      </c>
      <c r="D44533" t="s">
        <v>2290</v>
      </c>
      <c r="E44533" t="s">
        <v>933</v>
      </c>
      <c r="F44533" s="2" t="str">
        <f>HYPERLINK("http://www.otzar.org/book.asp?101982","תורת גיטין - 4 כר'")</f>
        <v>תורת גיטין - 4 כר'</v>
      </c>
    </row>
    <row r="44534" spans="1:6" x14ac:dyDescent="0.2">
      <c r="A44534" t="s">
        <v>67141</v>
      </c>
      <c r="B44534" t="s">
        <v>4485</v>
      </c>
      <c r="C44534" t="s">
        <v>189</v>
      </c>
      <c r="D44534" t="s">
        <v>52</v>
      </c>
      <c r="F44534" s="2" t="str">
        <f>HYPERLINK("http://www.otzar.org/book.asp?617520","תורת דברי חיים - פורים")</f>
        <v>תורת דברי חיים - פורים</v>
      </c>
    </row>
    <row r="44535" spans="1:6" x14ac:dyDescent="0.2">
      <c r="A44535" t="s">
        <v>67142</v>
      </c>
      <c r="B44535" t="s">
        <v>40400</v>
      </c>
      <c r="C44535" t="s">
        <v>244</v>
      </c>
      <c r="D44535" t="s">
        <v>2375</v>
      </c>
      <c r="E44535" t="s">
        <v>230</v>
      </c>
      <c r="F44535" s="2" t="str">
        <f>HYPERLINK("http://www.otzar.org/book.asp?621599","תורת דוד - 4 כר'")</f>
        <v>תורת דוד - 4 כר'</v>
      </c>
    </row>
    <row r="44536" spans="1:6" x14ac:dyDescent="0.2">
      <c r="A44536" t="s">
        <v>67143</v>
      </c>
      <c r="B44536" t="s">
        <v>67144</v>
      </c>
      <c r="C44536" t="s">
        <v>224</v>
      </c>
      <c r="D44536" t="s">
        <v>260</v>
      </c>
      <c r="E44536" t="s">
        <v>325</v>
      </c>
      <c r="F44536" s="2" t="str">
        <f>HYPERLINK("http://www.otzar.org/book.asp?145288","תורת דניאל")</f>
        <v>תורת דניאל</v>
      </c>
    </row>
    <row r="44537" spans="1:6" x14ac:dyDescent="0.2">
      <c r="A44537" t="s">
        <v>67145</v>
      </c>
      <c r="B44537" t="s">
        <v>50732</v>
      </c>
      <c r="C44537" t="s">
        <v>146</v>
      </c>
      <c r="D44537" t="s">
        <v>14</v>
      </c>
      <c r="E44537" t="s">
        <v>241</v>
      </c>
      <c r="F44537" s="2" t="str">
        <f>HYPERLINK("http://www.otzar.org/book.asp?28106","תורת ה' תמימה &lt;בית היין&gt;")</f>
        <v>תורת ה' תמימה &lt;בית היין&gt;</v>
      </c>
    </row>
    <row r="44538" spans="1:6" x14ac:dyDescent="0.2">
      <c r="A44538" t="s">
        <v>67146</v>
      </c>
      <c r="B44538" t="s">
        <v>1552</v>
      </c>
      <c r="C44538" t="s">
        <v>422</v>
      </c>
      <c r="D44538" t="s">
        <v>14</v>
      </c>
      <c r="E44538" t="s">
        <v>241</v>
      </c>
      <c r="F44538" s="2" t="str">
        <f>HYPERLINK("http://www.otzar.org/book.asp?85727","תורת ה' תמימה &lt;חזון יואל&gt;")</f>
        <v>תורת ה' תמימה &lt;חזון יואל&gt;</v>
      </c>
    </row>
    <row r="44539" spans="1:6" x14ac:dyDescent="0.2">
      <c r="A44539" t="s">
        <v>67147</v>
      </c>
      <c r="B44539" t="s">
        <v>5402</v>
      </c>
      <c r="C44539" t="s">
        <v>67148</v>
      </c>
      <c r="D44539" t="s">
        <v>90</v>
      </c>
      <c r="F44539" s="2" t="str">
        <f>HYPERLINK("http://www.otzar.org/book.asp?613221","תורת ה' תמימה")</f>
        <v>תורת ה' תמימה</v>
      </c>
    </row>
    <row r="44540" spans="1:6" x14ac:dyDescent="0.2">
      <c r="A44540" t="s">
        <v>67147</v>
      </c>
      <c r="B44540" t="s">
        <v>1552</v>
      </c>
      <c r="C44540" t="s">
        <v>291</v>
      </c>
      <c r="D44540" t="s">
        <v>1459</v>
      </c>
      <c r="E44540" t="s">
        <v>1262</v>
      </c>
      <c r="F44540" s="2" t="str">
        <f>HYPERLINK("http://www.otzar.org/book.asp?12206","תורת ה' תמימה")</f>
        <v>תורת ה' תמימה</v>
      </c>
    </row>
    <row r="44541" spans="1:6" x14ac:dyDescent="0.2">
      <c r="A44541" t="s">
        <v>67147</v>
      </c>
      <c r="B44541" t="s">
        <v>107</v>
      </c>
      <c r="C44541" t="s">
        <v>129</v>
      </c>
      <c r="D44541" t="s">
        <v>14</v>
      </c>
      <c r="E44541" t="s">
        <v>119</v>
      </c>
      <c r="F44541" s="2" t="str">
        <f>HYPERLINK("http://www.otzar.org/book.asp?164058","תורת ה' תמימה")</f>
        <v>תורת ה' תמימה</v>
      </c>
    </row>
    <row r="44542" spans="1:6" x14ac:dyDescent="0.2">
      <c r="A44542" t="s">
        <v>67149</v>
      </c>
      <c r="B44542" t="s">
        <v>67150</v>
      </c>
      <c r="C44542" t="s">
        <v>20</v>
      </c>
      <c r="D44542" t="s">
        <v>90</v>
      </c>
      <c r="E44542" t="s">
        <v>463</v>
      </c>
      <c r="F44542" s="2" t="str">
        <f>HYPERLINK("http://www.otzar.org/book.asp?51163","תורת ה'")</f>
        <v>תורת ה'</v>
      </c>
    </row>
    <row r="44543" spans="1:6" x14ac:dyDescent="0.2">
      <c r="A44543" t="s">
        <v>67151</v>
      </c>
      <c r="B44543" t="s">
        <v>17175</v>
      </c>
      <c r="C44543" t="s">
        <v>151</v>
      </c>
      <c r="D44543" t="s">
        <v>52</v>
      </c>
      <c r="F44543" s="2" t="str">
        <f>HYPERLINK("http://www.otzar.org/book.asp?619102","תורת האבות")</f>
        <v>תורת האבות</v>
      </c>
    </row>
    <row r="44544" spans="1:6" x14ac:dyDescent="0.2">
      <c r="A44544" t="s">
        <v>67152</v>
      </c>
      <c r="B44544" t="s">
        <v>16808</v>
      </c>
      <c r="C44544" t="s">
        <v>466</v>
      </c>
      <c r="D44544" t="s">
        <v>52</v>
      </c>
      <c r="E44544" t="s">
        <v>15</v>
      </c>
      <c r="F44544" s="2" t="str">
        <f>HYPERLINK("http://www.otzar.org/book.asp?152428","תורת האבידה")</f>
        <v>תורת האבידה</v>
      </c>
    </row>
    <row r="44545" spans="1:6" x14ac:dyDescent="0.2">
      <c r="A44545" t="s">
        <v>67152</v>
      </c>
      <c r="B44545" t="s">
        <v>17175</v>
      </c>
      <c r="C44545" t="s">
        <v>244</v>
      </c>
      <c r="D44545" t="s">
        <v>52</v>
      </c>
      <c r="E44545" t="s">
        <v>15</v>
      </c>
      <c r="F44545" s="2" t="str">
        <f>HYPERLINK("http://www.otzar.org/book.asp?607122","תורת האבידה")</f>
        <v>תורת האבידה</v>
      </c>
    </row>
    <row r="44546" spans="1:6" x14ac:dyDescent="0.2">
      <c r="A44546" t="s">
        <v>67152</v>
      </c>
      <c r="B44546" t="s">
        <v>3426</v>
      </c>
      <c r="C44546" t="s">
        <v>129</v>
      </c>
      <c r="D44546" t="s">
        <v>646</v>
      </c>
      <c r="E44546" t="s">
        <v>15</v>
      </c>
      <c r="F44546" s="2" t="str">
        <f>HYPERLINK("http://www.otzar.org/book.asp?165041","תורת האבידה")</f>
        <v>תורת האבידה</v>
      </c>
    </row>
    <row r="44547" spans="1:6" x14ac:dyDescent="0.2">
      <c r="A44547" t="s">
        <v>67153</v>
      </c>
      <c r="B44547" t="s">
        <v>6539</v>
      </c>
      <c r="C44547" t="s">
        <v>1246</v>
      </c>
      <c r="D44547" t="s">
        <v>563</v>
      </c>
      <c r="E44547" t="s">
        <v>213</v>
      </c>
      <c r="F44547" s="2" t="str">
        <f>HYPERLINK("http://www.otzar.org/book.asp?152821","תורת האגדה")</f>
        <v>תורת האגדה</v>
      </c>
    </row>
    <row r="44548" spans="1:6" x14ac:dyDescent="0.2">
      <c r="A44548" t="s">
        <v>67154</v>
      </c>
      <c r="B44548" t="s">
        <v>17175</v>
      </c>
      <c r="C44548" t="s">
        <v>23</v>
      </c>
      <c r="D44548" t="s">
        <v>52</v>
      </c>
      <c r="E44548" t="s">
        <v>144</v>
      </c>
      <c r="F44548" s="2" t="str">
        <f>HYPERLINK("http://www.otzar.org/book.asp?607116","תורת האגדה - 6 כר'")</f>
        <v>תורת האגדה - 6 כר'</v>
      </c>
    </row>
    <row r="44549" spans="1:6" x14ac:dyDescent="0.2">
      <c r="A44549" t="s">
        <v>67155</v>
      </c>
      <c r="B44549" t="s">
        <v>1552</v>
      </c>
      <c r="C44549" t="s">
        <v>9310</v>
      </c>
      <c r="D44549" t="s">
        <v>1490</v>
      </c>
      <c r="F44549" s="2" t="str">
        <f>HYPERLINK("http://www.otzar.org/book.asp?153127","תורת האדם &lt;דפו""ר&gt;")</f>
        <v>תורת האדם &lt;דפו"ר&gt;</v>
      </c>
    </row>
    <row r="44550" spans="1:6" x14ac:dyDescent="0.2">
      <c r="A44550" t="s">
        <v>67156</v>
      </c>
      <c r="B44550" t="s">
        <v>1552</v>
      </c>
      <c r="C44550" t="s">
        <v>1124</v>
      </c>
      <c r="D44550" t="s">
        <v>283</v>
      </c>
      <c r="E44550" t="s">
        <v>15</v>
      </c>
      <c r="F44550" s="2" t="str">
        <f>HYPERLINK("http://www.otzar.org/book.asp?11511","תורת האדם (ורשא תרל""ו) - 2 כר'")</f>
        <v>תורת האדם (ורשא תרל"ו) - 2 כר'</v>
      </c>
    </row>
    <row r="44551" spans="1:6" x14ac:dyDescent="0.2">
      <c r="A44551" t="s">
        <v>67157</v>
      </c>
      <c r="B44551" t="s">
        <v>67158</v>
      </c>
      <c r="C44551" t="s">
        <v>71</v>
      </c>
      <c r="D44551" t="s">
        <v>139</v>
      </c>
      <c r="E44551" t="s">
        <v>3790</v>
      </c>
      <c r="F44551" s="2" t="str">
        <f>HYPERLINK("http://www.otzar.org/book.asp?23000","תורת האדם לאדם - 6 כר'")</f>
        <v>תורת האדם לאדם - 6 כר'</v>
      </c>
    </row>
    <row r="44552" spans="1:6" x14ac:dyDescent="0.2">
      <c r="A44552" t="s">
        <v>67159</v>
      </c>
      <c r="B44552" t="s">
        <v>22745</v>
      </c>
      <c r="C44552" t="s">
        <v>609</v>
      </c>
      <c r="D44552" t="s">
        <v>1117</v>
      </c>
      <c r="E44552" t="s">
        <v>213</v>
      </c>
      <c r="F44552" s="2" t="str">
        <f>HYPERLINK("http://www.otzar.org/book.asp?149691","תורת האדם")</f>
        <v>תורת האדם</v>
      </c>
    </row>
    <row r="44553" spans="1:6" x14ac:dyDescent="0.2">
      <c r="A44553" t="s">
        <v>67159</v>
      </c>
      <c r="B44553" t="s">
        <v>31585</v>
      </c>
      <c r="C44553" t="s">
        <v>67160</v>
      </c>
      <c r="D44553" t="s">
        <v>67161</v>
      </c>
      <c r="E44553" t="s">
        <v>213</v>
      </c>
      <c r="F44553" s="2" t="str">
        <f>HYPERLINK("http://www.otzar.org/book.asp?26554","תורת האדם")</f>
        <v>תורת האדם</v>
      </c>
    </row>
    <row r="44554" spans="1:6" x14ac:dyDescent="0.2">
      <c r="A44554" t="s">
        <v>67162</v>
      </c>
      <c r="B44554" t="s">
        <v>2883</v>
      </c>
      <c r="C44554" t="s">
        <v>356</v>
      </c>
      <c r="D44554" t="s">
        <v>412</v>
      </c>
      <c r="E44554" t="s">
        <v>241</v>
      </c>
      <c r="F44554" s="2" t="str">
        <f>HYPERLINK("http://www.otzar.org/book.asp?171061","תורת האדם - 2 כר'")</f>
        <v>תורת האדם - 2 כר'</v>
      </c>
    </row>
    <row r="44555" spans="1:6" x14ac:dyDescent="0.2">
      <c r="A44555" t="s">
        <v>67163</v>
      </c>
      <c r="B44555" t="s">
        <v>43392</v>
      </c>
      <c r="C44555" t="s">
        <v>1166</v>
      </c>
      <c r="D44555" t="s">
        <v>379</v>
      </c>
      <c r="E44555" t="s">
        <v>241</v>
      </c>
      <c r="F44555" s="2" t="str">
        <f>HYPERLINK("http://www.otzar.org/book.asp?150172","תורת האדם - 4 כר'")</f>
        <v>תורת האדם - 4 כר'</v>
      </c>
    </row>
    <row r="44556" spans="1:6" x14ac:dyDescent="0.2">
      <c r="A44556" t="s">
        <v>67164</v>
      </c>
      <c r="B44556" t="s">
        <v>1552</v>
      </c>
      <c r="C44556" t="s">
        <v>1246</v>
      </c>
      <c r="D44556" t="s">
        <v>27</v>
      </c>
      <c r="E44556" t="s">
        <v>674</v>
      </c>
      <c r="F44556" s="2" t="str">
        <f>HYPERLINK("http://www.otzar.org/book.asp?12183","תורת האדם - 3 כר'")</f>
        <v>תורת האדם - 3 כר'</v>
      </c>
    </row>
    <row r="44557" spans="1:6" x14ac:dyDescent="0.2">
      <c r="A44557" t="s">
        <v>67165</v>
      </c>
      <c r="B44557" t="s">
        <v>67166</v>
      </c>
      <c r="C44557" t="s">
        <v>146</v>
      </c>
      <c r="D44557" t="s">
        <v>14</v>
      </c>
      <c r="E44557" t="s">
        <v>1157</v>
      </c>
      <c r="F44557" s="2" t="str">
        <f>HYPERLINK("http://www.otzar.org/book.asp?52355","תורת האדם - שער המיחוש")</f>
        <v>תורת האדם - שער המיחוש</v>
      </c>
    </row>
    <row r="44558" spans="1:6" x14ac:dyDescent="0.2">
      <c r="A44558" t="s">
        <v>67167</v>
      </c>
      <c r="B44558" t="s">
        <v>2571</v>
      </c>
      <c r="C44558" t="s">
        <v>1335</v>
      </c>
      <c r="D44558" t="s">
        <v>27</v>
      </c>
      <c r="E44558" t="s">
        <v>186</v>
      </c>
      <c r="F44558" s="2" t="str">
        <f>HYPERLINK("http://www.otzar.org/book.asp?107346","תורת האהל")</f>
        <v>תורת האהל</v>
      </c>
    </row>
    <row r="44559" spans="1:6" x14ac:dyDescent="0.2">
      <c r="A44559" t="s">
        <v>67167</v>
      </c>
      <c r="B44559" t="s">
        <v>19181</v>
      </c>
      <c r="C44559" t="s">
        <v>79</v>
      </c>
      <c r="D44559" t="s">
        <v>27</v>
      </c>
      <c r="E44559" t="s">
        <v>15</v>
      </c>
      <c r="F44559" s="2" t="str">
        <f>HYPERLINK("http://www.otzar.org/book.asp?104581","תורת האהל")</f>
        <v>תורת האהל</v>
      </c>
    </row>
    <row r="44560" spans="1:6" x14ac:dyDescent="0.2">
      <c r="A44560" t="s">
        <v>67168</v>
      </c>
      <c r="B44560" t="s">
        <v>67169</v>
      </c>
      <c r="C44560" t="s">
        <v>23</v>
      </c>
      <c r="D44560" t="s">
        <v>21</v>
      </c>
      <c r="E44560" t="s">
        <v>144</v>
      </c>
      <c r="F44560" s="2" t="str">
        <f>HYPERLINK("http://www.otzar.org/book.asp?601216","תורת האומנין")</f>
        <v>תורת האומנין</v>
      </c>
    </row>
    <row r="44561" spans="1:6" x14ac:dyDescent="0.2">
      <c r="A44561" t="s">
        <v>67170</v>
      </c>
      <c r="B44561" t="s">
        <v>22073</v>
      </c>
      <c r="C44561" t="s">
        <v>143</v>
      </c>
      <c r="D44561" t="s">
        <v>14</v>
      </c>
      <c r="E44561" t="s">
        <v>15</v>
      </c>
      <c r="F44561" s="2" t="str">
        <f>HYPERLINK("http://www.otzar.org/book.asp?189436","תורת האורח")</f>
        <v>תורת האורח</v>
      </c>
    </row>
    <row r="44562" spans="1:6" x14ac:dyDescent="0.2">
      <c r="A44562" t="s">
        <v>67171</v>
      </c>
      <c r="B44562" t="s">
        <v>36105</v>
      </c>
      <c r="C44562" t="s">
        <v>1659</v>
      </c>
      <c r="D44562" t="s">
        <v>7163</v>
      </c>
      <c r="E44562" t="s">
        <v>26626</v>
      </c>
      <c r="F44562" s="2" t="str">
        <f>HYPERLINK("http://www.otzar.org/book.asp?16152","תורת האלהים - 2 כר'")</f>
        <v>תורת האלהים - 2 כר'</v>
      </c>
    </row>
    <row r="44563" spans="1:6" x14ac:dyDescent="0.2">
      <c r="A44563" t="s">
        <v>67172</v>
      </c>
      <c r="B44563" t="s">
        <v>107</v>
      </c>
      <c r="C44563" t="s">
        <v>366</v>
      </c>
      <c r="D44563" t="s">
        <v>14</v>
      </c>
      <c r="E44563" t="s">
        <v>241</v>
      </c>
      <c r="F44563" s="2" t="str">
        <f>HYPERLINK("http://www.otzar.org/book.asp?623487","תורת האנושות")</f>
        <v>תורת האנושות</v>
      </c>
    </row>
    <row r="44564" spans="1:6" x14ac:dyDescent="0.2">
      <c r="A44564" t="s">
        <v>67173</v>
      </c>
      <c r="B44564" t="s">
        <v>67174</v>
      </c>
      <c r="C44564" t="s">
        <v>37</v>
      </c>
      <c r="D44564" t="s">
        <v>108</v>
      </c>
      <c r="F44564" s="2" t="str">
        <f>HYPERLINK("http://www.otzar.org/book.asp?198256","תורת הארץ והסביבה")</f>
        <v>תורת הארץ והסביבה</v>
      </c>
    </row>
    <row r="44565" spans="1:6" x14ac:dyDescent="0.2">
      <c r="A44565" t="s">
        <v>67175</v>
      </c>
      <c r="B44565" t="s">
        <v>23216</v>
      </c>
      <c r="C44565" t="s">
        <v>67176</v>
      </c>
      <c r="D44565" t="s">
        <v>27</v>
      </c>
      <c r="E44565" t="s">
        <v>803</v>
      </c>
      <c r="F44565" s="2" t="str">
        <f>HYPERLINK("http://www.otzar.org/book.asp?8986","תורת הארץ - 5 כר'")</f>
        <v>תורת הארץ - 5 כר'</v>
      </c>
    </row>
    <row r="44566" spans="1:6" x14ac:dyDescent="0.2">
      <c r="A44566" t="s">
        <v>67177</v>
      </c>
      <c r="B44566" t="s">
        <v>67178</v>
      </c>
      <c r="C44566" t="s">
        <v>67179</v>
      </c>
      <c r="D44566" t="s">
        <v>22980</v>
      </c>
      <c r="E44566" t="s">
        <v>202</v>
      </c>
      <c r="F44566" s="2" t="str">
        <f>HYPERLINK("http://www.otzar.org/book.asp?105546","תורת הארץ - 6 כר'")</f>
        <v>תורת הארץ - 6 כר'</v>
      </c>
    </row>
    <row r="44567" spans="1:6" x14ac:dyDescent="0.2">
      <c r="A44567" t="s">
        <v>67180</v>
      </c>
      <c r="B44567" t="s">
        <v>5737</v>
      </c>
      <c r="C44567" t="s">
        <v>103</v>
      </c>
      <c r="D44567" t="s">
        <v>14</v>
      </c>
      <c r="E44567" t="s">
        <v>803</v>
      </c>
      <c r="F44567" s="2" t="str">
        <f>HYPERLINK("http://www.otzar.org/book.asp?159511","תורת האשם &lt;מהדורה חדשה&gt; - שבט מנשה")</f>
        <v>תורת האשם &lt;מהדורה חדשה&gt; - שבט מנשה</v>
      </c>
    </row>
    <row r="44568" spans="1:6" x14ac:dyDescent="0.2">
      <c r="A44568" t="s">
        <v>67181</v>
      </c>
      <c r="B44568" t="s">
        <v>5737</v>
      </c>
      <c r="C44568" t="s">
        <v>1228</v>
      </c>
      <c r="D44568" t="s">
        <v>352</v>
      </c>
      <c r="E44568" t="s">
        <v>144</v>
      </c>
      <c r="F44568" s="2" t="str">
        <f>HYPERLINK("http://www.otzar.org/book.asp?151689","תורת האשם - 2 כר'")</f>
        <v>תורת האשם - 2 כר'</v>
      </c>
    </row>
    <row r="44569" spans="1:6" x14ac:dyDescent="0.2">
      <c r="A44569" t="s">
        <v>67182</v>
      </c>
      <c r="B44569" t="s">
        <v>62408</v>
      </c>
      <c r="C44569" t="s">
        <v>143</v>
      </c>
      <c r="D44569" t="s">
        <v>14</v>
      </c>
      <c r="E44569" t="s">
        <v>15</v>
      </c>
      <c r="F44569" s="2" t="str">
        <f>HYPERLINK("http://www.otzar.org/book.asp?6075","תורת הבגד")</f>
        <v>תורת הבגד</v>
      </c>
    </row>
    <row r="44570" spans="1:6" x14ac:dyDescent="0.2">
      <c r="A44570" t="s">
        <v>67183</v>
      </c>
      <c r="B44570" t="s">
        <v>17175</v>
      </c>
      <c r="C44570" t="s">
        <v>151</v>
      </c>
      <c r="D44570" t="s">
        <v>52</v>
      </c>
      <c r="F44570" s="2" t="str">
        <f>HYPERLINK("http://www.otzar.org/book.asp?619010","תורת הבורר")</f>
        <v>תורת הבורר</v>
      </c>
    </row>
    <row r="44571" spans="1:6" x14ac:dyDescent="0.2">
      <c r="A44571" t="s">
        <v>67184</v>
      </c>
      <c r="B44571" t="s">
        <v>9616</v>
      </c>
      <c r="C44571" t="s">
        <v>411</v>
      </c>
      <c r="D44571" t="s">
        <v>152</v>
      </c>
      <c r="E44571" t="s">
        <v>144</v>
      </c>
      <c r="F44571" s="2" t="str">
        <f>HYPERLINK("http://www.otzar.org/book.asp?170440","תורת הבירור")</f>
        <v>תורת הבירור</v>
      </c>
    </row>
    <row r="44572" spans="1:6" x14ac:dyDescent="0.2">
      <c r="A44572" t="s">
        <v>67185</v>
      </c>
      <c r="B44572" t="s">
        <v>67186</v>
      </c>
      <c r="C44572" t="s">
        <v>411</v>
      </c>
      <c r="D44572" t="s">
        <v>21</v>
      </c>
      <c r="E44572" t="s">
        <v>15</v>
      </c>
      <c r="F44572" s="2" t="str">
        <f>HYPERLINK("http://www.otzar.org/book.asp?605654","תורת הבית &lt;מראה הבית - 5 כר'")</f>
        <v>תורת הבית &lt;מראה הבית - 5 כר'</v>
      </c>
    </row>
    <row r="44573" spans="1:6" x14ac:dyDescent="0.2">
      <c r="A44573" t="s">
        <v>67187</v>
      </c>
      <c r="B44573" t="s">
        <v>24561</v>
      </c>
      <c r="C44573" t="s">
        <v>332</v>
      </c>
      <c r="D44573" t="s">
        <v>412</v>
      </c>
      <c r="E44573" t="s">
        <v>15</v>
      </c>
      <c r="F44573" s="2" t="str">
        <f>HYPERLINK("http://www.otzar.org/book.asp?174084","תורת הבית &lt;חלוני הבית&gt; - שחיטה")</f>
        <v>תורת הבית &lt;חלוני הבית&gt; - שחיטה</v>
      </c>
    </row>
    <row r="44574" spans="1:6" x14ac:dyDescent="0.2">
      <c r="A44574" t="s">
        <v>67188</v>
      </c>
      <c r="B44574" t="s">
        <v>24561</v>
      </c>
      <c r="C44574" t="s">
        <v>1619</v>
      </c>
      <c r="D44574" t="s">
        <v>14</v>
      </c>
      <c r="E44574" t="s">
        <v>15</v>
      </c>
      <c r="F44574" s="2" t="str">
        <f>HYPERLINK("http://www.otzar.org/book.asp?106959","תורת הבית הארוך והקצר וספר איסור משהו &lt;שולי האדרת&gt;")</f>
        <v>תורת הבית הארוך והקצר וספר איסור משהו &lt;שולי האדרת&gt;</v>
      </c>
    </row>
    <row r="44575" spans="1:6" x14ac:dyDescent="0.2">
      <c r="A44575" t="s">
        <v>67189</v>
      </c>
      <c r="B44575" t="s">
        <v>24561</v>
      </c>
      <c r="C44575" t="s">
        <v>250</v>
      </c>
      <c r="D44575" t="s">
        <v>535</v>
      </c>
      <c r="E44575" t="s">
        <v>606</v>
      </c>
      <c r="F44575" s="2" t="str">
        <f>HYPERLINK("http://www.otzar.org/book.asp?104031","תורת הבית הארוך - 3 כר'")</f>
        <v>תורת הבית הארוך - 3 כר'</v>
      </c>
    </row>
    <row r="44576" spans="1:6" x14ac:dyDescent="0.2">
      <c r="A44576" t="s">
        <v>67190</v>
      </c>
      <c r="B44576" t="s">
        <v>24561</v>
      </c>
      <c r="C44576" t="s">
        <v>1494</v>
      </c>
      <c r="D44576" t="s">
        <v>76</v>
      </c>
      <c r="E44576" t="s">
        <v>15</v>
      </c>
      <c r="F44576" s="2" t="str">
        <f>HYPERLINK("http://www.otzar.org/book.asp?104294","תורת הבית - 3 כר'")</f>
        <v>תורת הבית - 3 כר'</v>
      </c>
    </row>
    <row r="44577" spans="1:6" x14ac:dyDescent="0.2">
      <c r="A44577" t="s">
        <v>67191</v>
      </c>
      <c r="B44577" t="s">
        <v>1978</v>
      </c>
      <c r="C44577" t="s">
        <v>2543</v>
      </c>
      <c r="D44577" t="s">
        <v>225</v>
      </c>
      <c r="E44577" t="s">
        <v>213</v>
      </c>
      <c r="F44577" s="2" t="str">
        <f>HYPERLINK("http://www.otzar.org/book.asp?11153","תורת הבית")</f>
        <v>תורת הבית</v>
      </c>
    </row>
    <row r="44578" spans="1:6" x14ac:dyDescent="0.2">
      <c r="A44578" t="s">
        <v>67191</v>
      </c>
      <c r="B44578" t="s">
        <v>67192</v>
      </c>
      <c r="C44578" t="s">
        <v>13</v>
      </c>
      <c r="D44578" t="s">
        <v>646</v>
      </c>
      <c r="E44578" t="s">
        <v>202</v>
      </c>
      <c r="F44578" s="2" t="str">
        <f>HYPERLINK("http://www.otzar.org/book.asp?182945","תורת הבית")</f>
        <v>תורת הבית</v>
      </c>
    </row>
    <row r="44579" spans="1:6" x14ac:dyDescent="0.2">
      <c r="A44579" t="s">
        <v>67193</v>
      </c>
      <c r="B44579" t="s">
        <v>67194</v>
      </c>
      <c r="C44579" t="s">
        <v>146</v>
      </c>
      <c r="D44579" t="s">
        <v>14</v>
      </c>
      <c r="E44579" t="s">
        <v>1211</v>
      </c>
      <c r="F44579" s="2" t="str">
        <f>HYPERLINK("http://www.otzar.org/book.asp?62294","תורת הבמה")</f>
        <v>תורת הבמה</v>
      </c>
    </row>
    <row r="44580" spans="1:6" x14ac:dyDescent="0.2">
      <c r="A44580" t="s">
        <v>67195</v>
      </c>
      <c r="B44580" t="s">
        <v>36288</v>
      </c>
      <c r="C44580" t="s">
        <v>23</v>
      </c>
      <c r="D44580" t="s">
        <v>276</v>
      </c>
      <c r="E44580" t="s">
        <v>15</v>
      </c>
      <c r="F44580" s="2" t="str">
        <f>HYPERLINK("http://www.otzar.org/book.asp?601375","תורת הבסיס")</f>
        <v>תורת הבסיס</v>
      </c>
    </row>
    <row r="44581" spans="1:6" x14ac:dyDescent="0.2">
      <c r="A44581" t="s">
        <v>67196</v>
      </c>
      <c r="B44581" t="s">
        <v>48793</v>
      </c>
      <c r="C44581" t="s">
        <v>286</v>
      </c>
      <c r="D44581" t="s">
        <v>27</v>
      </c>
      <c r="E44581" t="s">
        <v>714</v>
      </c>
      <c r="F44581" s="2" t="str">
        <f>HYPERLINK("http://www.otzar.org/book.asp?12202","תורת הברית")</f>
        <v>תורת הברית</v>
      </c>
    </row>
    <row r="44582" spans="1:6" x14ac:dyDescent="0.2">
      <c r="A44582" t="s">
        <v>67196</v>
      </c>
      <c r="B44582" t="s">
        <v>48937</v>
      </c>
      <c r="C44582" t="s">
        <v>422</v>
      </c>
      <c r="D44582" t="s">
        <v>52</v>
      </c>
      <c r="E44582" t="s">
        <v>148</v>
      </c>
      <c r="F44582" s="2" t="str">
        <f>HYPERLINK("http://www.otzar.org/book.asp?147996","תורת הברית")</f>
        <v>תורת הברית</v>
      </c>
    </row>
    <row r="44583" spans="1:6" x14ac:dyDescent="0.2">
      <c r="A44583" t="s">
        <v>67196</v>
      </c>
      <c r="B44583" t="s">
        <v>67197</v>
      </c>
      <c r="C44583" t="s">
        <v>366</v>
      </c>
      <c r="D44583" t="s">
        <v>21</v>
      </c>
      <c r="E44583" t="s">
        <v>15</v>
      </c>
      <c r="F44583" s="2" t="str">
        <f>HYPERLINK("http://www.otzar.org/book.asp?603950","תורת הברית")</f>
        <v>תורת הברית</v>
      </c>
    </row>
    <row r="44584" spans="1:6" x14ac:dyDescent="0.2">
      <c r="A44584" t="s">
        <v>67198</v>
      </c>
      <c r="B44584" t="s">
        <v>18273</v>
      </c>
      <c r="C44584" t="s">
        <v>454</v>
      </c>
      <c r="D44584" t="s">
        <v>52</v>
      </c>
      <c r="E44584" t="s">
        <v>10</v>
      </c>
      <c r="F44584" s="2" t="str">
        <f>HYPERLINK("http://www.otzar.org/book.asp?24927","תורת הברכות - 2 כר'")</f>
        <v>תורת הברכות - 2 כר'</v>
      </c>
    </row>
    <row r="44585" spans="1:6" x14ac:dyDescent="0.2">
      <c r="A44585" t="s">
        <v>67199</v>
      </c>
      <c r="B44585" t="s">
        <v>8909</v>
      </c>
      <c r="C44585" t="s">
        <v>20</v>
      </c>
      <c r="D44585" t="s">
        <v>14</v>
      </c>
      <c r="F44585" s="2" t="str">
        <f>HYPERLINK("http://www.otzar.org/book.asp?617989","תורת הברכות")</f>
        <v>תורת הברכות</v>
      </c>
    </row>
    <row r="44586" spans="1:6" x14ac:dyDescent="0.2">
      <c r="A44586" t="s">
        <v>67200</v>
      </c>
      <c r="B44586" t="s">
        <v>67201</v>
      </c>
      <c r="C44586" t="s">
        <v>13</v>
      </c>
      <c r="D44586" t="s">
        <v>52</v>
      </c>
      <c r="E44586" t="s">
        <v>803</v>
      </c>
      <c r="F44586" s="2" t="str">
        <f>HYPERLINK("http://www.otzar.org/book.asp?61909","תורת הבשר - הלכות דם מליחה וצליה")</f>
        <v>תורת הבשר - הלכות דם מליחה וצליה</v>
      </c>
    </row>
    <row r="44587" spans="1:6" x14ac:dyDescent="0.2">
      <c r="A44587" t="s">
        <v>67202</v>
      </c>
      <c r="B44587" t="s">
        <v>67203</v>
      </c>
      <c r="C44587" t="s">
        <v>143</v>
      </c>
      <c r="D44587" t="s">
        <v>14</v>
      </c>
      <c r="F44587" s="2" t="str">
        <f>HYPERLINK("http://www.otzar.org/book.asp?618129","תורת הגאולה")</f>
        <v>תורת הגאולה</v>
      </c>
    </row>
    <row r="44588" spans="1:6" x14ac:dyDescent="0.2">
      <c r="A44588" t="s">
        <v>67204</v>
      </c>
      <c r="B44588" t="s">
        <v>67205</v>
      </c>
      <c r="C44588" t="s">
        <v>146</v>
      </c>
      <c r="D44588" t="s">
        <v>2125</v>
      </c>
      <c r="E44588" t="s">
        <v>13324</v>
      </c>
      <c r="F44588" s="2" t="str">
        <f>HYPERLINK("http://www.otzar.org/book.asp?150871","תורת הגאון רבי אלכסנדר משה - 2 כר'")</f>
        <v>תורת הגאון רבי אלכסנדר משה - 2 כר'</v>
      </c>
    </row>
    <row r="44589" spans="1:6" x14ac:dyDescent="0.2">
      <c r="A44589" t="s">
        <v>67206</v>
      </c>
      <c r="B44589" t="s">
        <v>11994</v>
      </c>
      <c r="C44589" t="s">
        <v>244</v>
      </c>
      <c r="D44589" t="s">
        <v>21</v>
      </c>
      <c r="E44589" t="s">
        <v>15</v>
      </c>
      <c r="F44589" s="2" t="str">
        <f>HYPERLINK("http://www.otzar.org/book.asp?604493","תורת הגט")</f>
        <v>תורת הגט</v>
      </c>
    </row>
    <row r="44590" spans="1:6" x14ac:dyDescent="0.2">
      <c r="A44590" t="s">
        <v>67207</v>
      </c>
      <c r="C44590" t="s">
        <v>68</v>
      </c>
      <c r="D44590" t="s">
        <v>90</v>
      </c>
      <c r="F44590" s="2" t="str">
        <f>HYPERLINK("http://www.otzar.org/book.asp?620870","תורת הגלות")</f>
        <v>תורת הגלות</v>
      </c>
    </row>
    <row r="44591" spans="1:6" x14ac:dyDescent="0.2">
      <c r="A44591" t="s">
        <v>67208</v>
      </c>
      <c r="B44591" t="s">
        <v>67209</v>
      </c>
      <c r="C44591" t="s">
        <v>482</v>
      </c>
      <c r="D44591" t="s">
        <v>1651</v>
      </c>
      <c r="E44591" t="s">
        <v>21174</v>
      </c>
      <c r="F44591" s="2" t="str">
        <f>HYPERLINK("http://www.otzar.org/book.asp?200013","תורת הגר")</f>
        <v>תורת הגר</v>
      </c>
    </row>
    <row r="44592" spans="1:6" x14ac:dyDescent="0.2">
      <c r="A44592" t="s">
        <v>67210</v>
      </c>
      <c r="B44592" t="s">
        <v>1681</v>
      </c>
      <c r="C44592" t="s">
        <v>466</v>
      </c>
      <c r="D44592" t="s">
        <v>52</v>
      </c>
      <c r="E44592" t="s">
        <v>15</v>
      </c>
      <c r="F44592" s="2" t="str">
        <f>HYPERLINK("http://www.otzar.org/book.asp?148584","תורת הדרך")</f>
        <v>תורת הדרך</v>
      </c>
    </row>
    <row r="44593" spans="1:6" x14ac:dyDescent="0.2">
      <c r="A44593" t="s">
        <v>67211</v>
      </c>
      <c r="B44593" t="s">
        <v>36416</v>
      </c>
      <c r="C44593" t="s">
        <v>79</v>
      </c>
      <c r="D44593" t="s">
        <v>260</v>
      </c>
      <c r="E44593" t="s">
        <v>1262</v>
      </c>
      <c r="F44593" s="2" t="str">
        <f>HYPERLINK("http://www.otzar.org/book.asp?103763","תורת הדרשה")</f>
        <v>תורת הדרשה</v>
      </c>
    </row>
    <row r="44594" spans="1:6" x14ac:dyDescent="0.2">
      <c r="A44594" t="s">
        <v>67212</v>
      </c>
      <c r="B44594" t="s">
        <v>17175</v>
      </c>
      <c r="C44594" t="s">
        <v>366</v>
      </c>
      <c r="D44594" t="s">
        <v>52</v>
      </c>
      <c r="E44594" t="s">
        <v>144</v>
      </c>
      <c r="F44594" s="2" t="str">
        <f>HYPERLINK("http://www.otzar.org/book.asp?607121","תורת ההלכה - פסחים, סוכה")</f>
        <v>תורת ההלכה - פסחים, סוכה</v>
      </c>
    </row>
    <row r="44595" spans="1:6" x14ac:dyDescent="0.2">
      <c r="A44595" t="s">
        <v>67213</v>
      </c>
      <c r="B44595" t="s">
        <v>67214</v>
      </c>
      <c r="C44595" t="s">
        <v>13</v>
      </c>
      <c r="D44595" t="s">
        <v>52</v>
      </c>
      <c r="E44595" t="s">
        <v>714</v>
      </c>
      <c r="F44595" s="2" t="str">
        <f>HYPERLINK("http://www.otzar.org/book.asp?61905","תורת ההרהור")</f>
        <v>תורת ההרהור</v>
      </c>
    </row>
    <row r="44596" spans="1:6" x14ac:dyDescent="0.2">
      <c r="A44596" t="s">
        <v>67215</v>
      </c>
      <c r="B44596" t="s">
        <v>67216</v>
      </c>
      <c r="C44596" t="s">
        <v>390</v>
      </c>
      <c r="D44596" t="s">
        <v>14</v>
      </c>
      <c r="F44596" s="2" t="str">
        <f>HYPERLINK("http://www.otzar.org/book.asp?614636","תורת ההשגחה והבטחון")</f>
        <v>תורת ההשגחה והבטחון</v>
      </c>
    </row>
    <row r="44597" spans="1:6" x14ac:dyDescent="0.2">
      <c r="A44597" t="s">
        <v>67217</v>
      </c>
      <c r="B44597" t="s">
        <v>67169</v>
      </c>
      <c r="C44597" t="s">
        <v>133</v>
      </c>
      <c r="D44597" t="s">
        <v>21</v>
      </c>
      <c r="E44597" t="s">
        <v>186</v>
      </c>
      <c r="F44597" s="2" t="str">
        <f>HYPERLINK("http://www.otzar.org/book.asp?601215","תורת הוסתות")</f>
        <v>תורת הוסתות</v>
      </c>
    </row>
    <row r="44598" spans="1:6" x14ac:dyDescent="0.2">
      <c r="A44598" t="s">
        <v>67218</v>
      </c>
      <c r="B44598" t="s">
        <v>43237</v>
      </c>
      <c r="C44598" t="s">
        <v>332</v>
      </c>
      <c r="D44598" t="s">
        <v>14</v>
      </c>
      <c r="E44598" t="s">
        <v>15</v>
      </c>
      <c r="F44598" s="2" t="str">
        <f>HYPERLINK("http://www.otzar.org/book.asp?144824","תורת הזבח")</f>
        <v>תורת הזבח</v>
      </c>
    </row>
    <row r="44599" spans="1:6" x14ac:dyDescent="0.2">
      <c r="A44599" t="s">
        <v>67219</v>
      </c>
      <c r="B44599" t="s">
        <v>67169</v>
      </c>
      <c r="C44599" t="s">
        <v>244</v>
      </c>
      <c r="D44599" t="s">
        <v>21</v>
      </c>
      <c r="E44599" t="s">
        <v>186</v>
      </c>
      <c r="F44599" s="2" t="str">
        <f>HYPERLINK("http://www.otzar.org/book.asp?601432","תורת הזבחים - 2 כר'")</f>
        <v>תורת הזבחים - 2 כר'</v>
      </c>
    </row>
    <row r="44600" spans="1:6" x14ac:dyDescent="0.2">
      <c r="A44600" t="s">
        <v>67220</v>
      </c>
      <c r="B44600" t="s">
        <v>4019</v>
      </c>
      <c r="C44600" t="s">
        <v>244</v>
      </c>
      <c r="D44600" t="s">
        <v>14</v>
      </c>
      <c r="E44600" t="s">
        <v>144</v>
      </c>
      <c r="F44600" s="2" t="str">
        <f>HYPERLINK("http://www.otzar.org/book.asp?600830","תורת הזבחים")</f>
        <v>תורת הזבחים</v>
      </c>
    </row>
    <row r="44601" spans="1:6" x14ac:dyDescent="0.2">
      <c r="A44601" t="s">
        <v>67221</v>
      </c>
      <c r="B44601" t="s">
        <v>4019</v>
      </c>
      <c r="C44601" t="s">
        <v>411</v>
      </c>
      <c r="D44601" t="s">
        <v>14</v>
      </c>
      <c r="E44601" t="s">
        <v>144</v>
      </c>
      <c r="F44601" s="2" t="str">
        <f>HYPERLINK("http://www.otzar.org/book.asp?181923","תורת הזביחה")</f>
        <v>תורת הזביחה</v>
      </c>
    </row>
    <row r="44602" spans="1:6" x14ac:dyDescent="0.2">
      <c r="A44602" t="s">
        <v>67222</v>
      </c>
      <c r="B44602" t="s">
        <v>67223</v>
      </c>
      <c r="C44602" t="s">
        <v>313</v>
      </c>
      <c r="D44602" t="s">
        <v>52</v>
      </c>
      <c r="E44602" t="s">
        <v>529</v>
      </c>
      <c r="F44602" s="2" t="str">
        <f>HYPERLINK("http://www.otzar.org/book.asp?50979","תורת הזימון")</f>
        <v>תורת הזימון</v>
      </c>
    </row>
    <row r="44603" spans="1:6" x14ac:dyDescent="0.2">
      <c r="A44603" t="s">
        <v>67224</v>
      </c>
      <c r="B44603" t="s">
        <v>37282</v>
      </c>
      <c r="C44603" t="s">
        <v>114</v>
      </c>
      <c r="D44603" t="s">
        <v>52</v>
      </c>
      <c r="E44603" t="s">
        <v>2071</v>
      </c>
      <c r="F44603" s="2" t="str">
        <f>HYPERLINK("http://www.otzar.org/book.asp?189152","תורת הח""ג - אגדה")</f>
        <v>תורת הח"ג - אגדה</v>
      </c>
    </row>
    <row r="44604" spans="1:6" x14ac:dyDescent="0.2">
      <c r="A44604" t="s">
        <v>67225</v>
      </c>
      <c r="B44604" t="s">
        <v>67226</v>
      </c>
      <c r="C44604" t="s">
        <v>111</v>
      </c>
      <c r="D44604" t="s">
        <v>21</v>
      </c>
      <c r="F44604" s="2" t="str">
        <f>HYPERLINK("http://www.otzar.org/book.asp?621821","תורת החוב")</f>
        <v>תורת החוב</v>
      </c>
    </row>
    <row r="44605" spans="1:6" x14ac:dyDescent="0.2">
      <c r="A44605" t="s">
        <v>67227</v>
      </c>
      <c r="B44605" t="s">
        <v>67228</v>
      </c>
      <c r="C44605" t="s">
        <v>366</v>
      </c>
      <c r="D44605" t="s">
        <v>21</v>
      </c>
      <c r="E44605" t="s">
        <v>186</v>
      </c>
      <c r="F44605" s="2" t="str">
        <f>HYPERLINK("http://www.otzar.org/book.asp?605510","תורת החזקה")</f>
        <v>תורת החזקה</v>
      </c>
    </row>
    <row r="44606" spans="1:6" x14ac:dyDescent="0.2">
      <c r="A44606" t="s">
        <v>67229</v>
      </c>
      <c r="B44606" t="s">
        <v>67169</v>
      </c>
      <c r="C44606" t="s">
        <v>20</v>
      </c>
      <c r="D44606" t="s">
        <v>21</v>
      </c>
      <c r="F44606" s="2" t="str">
        <f>HYPERLINK("http://www.otzar.org/book.asp?603515","תורת החזקות - נדה")</f>
        <v>תורת החזקות - נדה</v>
      </c>
    </row>
    <row r="44607" spans="1:6" x14ac:dyDescent="0.2">
      <c r="A44607" t="s">
        <v>67230</v>
      </c>
      <c r="B44607" t="s">
        <v>16795</v>
      </c>
      <c r="C44607" t="s">
        <v>5125</v>
      </c>
      <c r="D44607" t="s">
        <v>2038</v>
      </c>
      <c r="F44607" s="2" t="str">
        <f>HYPERLINK("http://www.otzar.org/book.asp?611737","תורת החטאת")</f>
        <v>תורת החטאת</v>
      </c>
    </row>
    <row r="44608" spans="1:6" x14ac:dyDescent="0.2">
      <c r="A44608" t="s">
        <v>67231</v>
      </c>
      <c r="B44608" t="s">
        <v>55110</v>
      </c>
      <c r="C44608" t="s">
        <v>23</v>
      </c>
      <c r="D44608" t="s">
        <v>15682</v>
      </c>
      <c r="E44608" t="s">
        <v>15</v>
      </c>
      <c r="F44608" s="2" t="str">
        <f>HYPERLINK("http://www.otzar.org/book.asp?606277","תורת החיים - חול המועד")</f>
        <v>תורת החיים - חול המועד</v>
      </c>
    </row>
    <row r="44609" spans="1:6" x14ac:dyDescent="0.2">
      <c r="A44609" t="s">
        <v>67232</v>
      </c>
      <c r="B44609" t="s">
        <v>67233</v>
      </c>
      <c r="C44609" t="s">
        <v>156</v>
      </c>
      <c r="D44609" t="s">
        <v>535</v>
      </c>
      <c r="E44609" t="s">
        <v>67234</v>
      </c>
      <c r="F44609" s="2" t="str">
        <f>HYPERLINK("http://www.otzar.org/book.asp?300505","תורת החיים - א")</f>
        <v>תורת החיים - א</v>
      </c>
    </row>
    <row r="44610" spans="1:6" x14ac:dyDescent="0.2">
      <c r="A44610" t="s">
        <v>67235</v>
      </c>
      <c r="B44610" t="s">
        <v>15765</v>
      </c>
      <c r="C44610" t="s">
        <v>37</v>
      </c>
      <c r="D44610" t="s">
        <v>14</v>
      </c>
      <c r="E44610" t="s">
        <v>15</v>
      </c>
      <c r="F44610" s="2" t="str">
        <f>HYPERLINK("http://www.otzar.org/book.asp?616125","תורת החיים")</f>
        <v>תורת החיים</v>
      </c>
    </row>
    <row r="44611" spans="1:6" x14ac:dyDescent="0.2">
      <c r="A44611" t="s">
        <v>67236</v>
      </c>
      <c r="B44611" t="s">
        <v>67237</v>
      </c>
      <c r="C44611" t="s">
        <v>244</v>
      </c>
      <c r="D44611" t="s">
        <v>14</v>
      </c>
      <c r="F44611" s="2" t="str">
        <f>HYPERLINK("http://www.otzar.org/book.asp?616037","תורת החינוך")</f>
        <v>תורת החינוך</v>
      </c>
    </row>
    <row r="44612" spans="1:6" x14ac:dyDescent="0.2">
      <c r="A44612" t="s">
        <v>67238</v>
      </c>
      <c r="B44612" t="s">
        <v>67239</v>
      </c>
      <c r="C44612" t="s">
        <v>1609</v>
      </c>
      <c r="D44612" t="s">
        <v>27</v>
      </c>
      <c r="E44612" t="s">
        <v>104</v>
      </c>
      <c r="F44612" s="2" t="str">
        <f>HYPERLINK("http://www.otzar.org/book.asp?14936","תורת החנוך")</f>
        <v>תורת החנוך</v>
      </c>
    </row>
    <row r="44613" spans="1:6" x14ac:dyDescent="0.2">
      <c r="A44613" t="s">
        <v>67238</v>
      </c>
      <c r="B44613" t="s">
        <v>45042</v>
      </c>
      <c r="C44613" t="s">
        <v>985</v>
      </c>
      <c r="D44613" t="s">
        <v>260</v>
      </c>
      <c r="E44613" t="s">
        <v>104</v>
      </c>
      <c r="F44613" s="2" t="str">
        <f>HYPERLINK("http://www.otzar.org/book.asp?103793","תורת החנוך")</f>
        <v>תורת החנוך</v>
      </c>
    </row>
    <row r="44614" spans="1:6" x14ac:dyDescent="0.2">
      <c r="A44614" t="s">
        <v>67240</v>
      </c>
      <c r="B44614" t="s">
        <v>11296</v>
      </c>
      <c r="C44614" t="s">
        <v>547</v>
      </c>
      <c r="D44614" t="s">
        <v>27</v>
      </c>
      <c r="E44614" t="s">
        <v>714</v>
      </c>
      <c r="F44614" s="2" t="str">
        <f>HYPERLINK("http://www.otzar.org/book.asp?14306","תורת החסידים הראשונים")</f>
        <v>תורת החסידים הראשונים</v>
      </c>
    </row>
    <row r="44615" spans="1:6" x14ac:dyDescent="0.2">
      <c r="A44615" t="s">
        <v>67241</v>
      </c>
      <c r="B44615" t="s">
        <v>52488</v>
      </c>
      <c r="C44615" t="s">
        <v>1208</v>
      </c>
      <c r="D44615" t="s">
        <v>52</v>
      </c>
      <c r="E44615" t="s">
        <v>67242</v>
      </c>
      <c r="F44615" s="2" t="str">
        <f>HYPERLINK("http://www.otzar.org/book.asp?179750","תורת החסידים הראשונים  - לקוטי מהר""ם השלם, תפארת בנים אבותם")</f>
        <v>תורת החסידים הראשונים  - לקוטי מהר"ם השלם, תפארת בנים אבותם</v>
      </c>
    </row>
    <row r="44616" spans="1:6" x14ac:dyDescent="0.2">
      <c r="A44616" t="s">
        <v>67243</v>
      </c>
      <c r="B44616" t="s">
        <v>15664</v>
      </c>
      <c r="C44616" t="s">
        <v>1268</v>
      </c>
      <c r="D44616" t="s">
        <v>14</v>
      </c>
      <c r="E44616" t="s">
        <v>15</v>
      </c>
      <c r="F44616" s="2" t="str">
        <f>HYPERLINK("http://www.otzar.org/book.asp?149841","תורת הטהרה &lt;מכון הכתב&gt;")</f>
        <v>תורת הטהרה &lt;מכון הכתב&gt;</v>
      </c>
    </row>
    <row r="44617" spans="1:6" x14ac:dyDescent="0.2">
      <c r="A44617" t="s">
        <v>67244</v>
      </c>
      <c r="B44617" t="s">
        <v>3488</v>
      </c>
      <c r="C44617" t="s">
        <v>176</v>
      </c>
      <c r="D44617" t="s">
        <v>21</v>
      </c>
      <c r="E44617" t="s">
        <v>15</v>
      </c>
      <c r="F44617" s="2" t="str">
        <f>HYPERLINK("http://www.otzar.org/book.asp?623923","תורת הטהרה")</f>
        <v>תורת הטהרה</v>
      </c>
    </row>
    <row r="44618" spans="1:6" x14ac:dyDescent="0.2">
      <c r="A44618" t="s">
        <v>67245</v>
      </c>
      <c r="B44618" t="s">
        <v>67246</v>
      </c>
      <c r="C44618" t="s">
        <v>366</v>
      </c>
      <c r="D44618" t="s">
        <v>52</v>
      </c>
      <c r="E44618" t="s">
        <v>15</v>
      </c>
      <c r="F44618" s="2" t="str">
        <f>HYPERLINK("http://www.otzar.org/book.asp?607125","תורת הטהרה - הרחקות")</f>
        <v>תורת הטהרה - הרחקות</v>
      </c>
    </row>
    <row r="44619" spans="1:6" x14ac:dyDescent="0.2">
      <c r="A44619" t="s">
        <v>67244</v>
      </c>
      <c r="B44619" t="s">
        <v>17175</v>
      </c>
      <c r="C44619" t="s">
        <v>244</v>
      </c>
      <c r="D44619" t="s">
        <v>52</v>
      </c>
      <c r="E44619" t="s">
        <v>172</v>
      </c>
      <c r="F44619" s="2" t="str">
        <f>HYPERLINK("http://www.otzar.org/book.asp?607124","תורת הטהרה")</f>
        <v>תורת הטהרה</v>
      </c>
    </row>
    <row r="44620" spans="1:6" x14ac:dyDescent="0.2">
      <c r="A44620" t="s">
        <v>67244</v>
      </c>
      <c r="B44620" t="s">
        <v>63221</v>
      </c>
      <c r="C44620" t="s">
        <v>20</v>
      </c>
      <c r="D44620" t="s">
        <v>14</v>
      </c>
      <c r="F44620" s="2" t="str">
        <f>HYPERLINK("http://www.otzar.org/book.asp?611994","תורת הטהרה")</f>
        <v>תורת הטהרה</v>
      </c>
    </row>
    <row r="44621" spans="1:6" x14ac:dyDescent="0.2">
      <c r="A44621" t="s">
        <v>67247</v>
      </c>
      <c r="B44621" t="s">
        <v>13919</v>
      </c>
      <c r="C44621" t="s">
        <v>1169</v>
      </c>
      <c r="D44621" t="s">
        <v>260</v>
      </c>
      <c r="F44621" s="2" t="str">
        <f>HYPERLINK("http://www.otzar.org/book.asp?153984","תורת הטור")</f>
        <v>תורת הטור</v>
      </c>
    </row>
    <row r="44622" spans="1:6" x14ac:dyDescent="0.2">
      <c r="A44622" t="s">
        <v>67248</v>
      </c>
      <c r="B44622" t="s">
        <v>25352</v>
      </c>
      <c r="C44622" t="s">
        <v>20</v>
      </c>
      <c r="D44622" t="s">
        <v>90</v>
      </c>
      <c r="E44622" t="s">
        <v>2088</v>
      </c>
      <c r="F44622" s="2" t="str">
        <f>HYPERLINK("http://www.otzar.org/book.asp?165133","תורת היהודי הקדוש - ב")</f>
        <v>תורת היהודי הקדוש - ב</v>
      </c>
    </row>
    <row r="44623" spans="1:6" x14ac:dyDescent="0.2">
      <c r="A44623" t="s">
        <v>67249</v>
      </c>
      <c r="B44623" t="s">
        <v>25352</v>
      </c>
      <c r="C44623" t="s">
        <v>360</v>
      </c>
      <c r="D44623" t="s">
        <v>691</v>
      </c>
      <c r="E44623" t="s">
        <v>20725</v>
      </c>
      <c r="F44623" s="2" t="str">
        <f>HYPERLINK("http://www.otzar.org/book.asp?100671","תורת היהודי")</f>
        <v>תורת היהודי</v>
      </c>
    </row>
    <row r="44624" spans="1:6" x14ac:dyDescent="0.2">
      <c r="A44624" t="s">
        <v>67250</v>
      </c>
      <c r="B44624" t="s">
        <v>1750</v>
      </c>
      <c r="C44624" t="s">
        <v>68</v>
      </c>
      <c r="D44624" t="s">
        <v>14</v>
      </c>
      <c r="F44624" s="2" t="str">
        <f>HYPERLINK("http://www.otzar.org/book.asp?85864","תורת היובל")</f>
        <v>תורת היובל</v>
      </c>
    </row>
    <row r="44625" spans="1:6" x14ac:dyDescent="0.2">
      <c r="A44625" t="s">
        <v>67251</v>
      </c>
      <c r="B44625" t="s">
        <v>67252</v>
      </c>
      <c r="C44625" t="s">
        <v>533</v>
      </c>
      <c r="D44625" t="s">
        <v>52</v>
      </c>
      <c r="E44625" t="s">
        <v>15</v>
      </c>
      <c r="F44625" s="2" t="str">
        <f>HYPERLINK("http://www.otzar.org/book.asp?108209","תורת היולדת")</f>
        <v>תורת היולדת</v>
      </c>
    </row>
    <row r="44626" spans="1:6" x14ac:dyDescent="0.2">
      <c r="A44626" t="s">
        <v>67253</v>
      </c>
      <c r="B44626" t="s">
        <v>4886</v>
      </c>
      <c r="C44626" t="s">
        <v>482</v>
      </c>
      <c r="D44626" t="s">
        <v>27</v>
      </c>
      <c r="E44626" t="s">
        <v>241</v>
      </c>
      <c r="F44626" s="2" t="str">
        <f>HYPERLINK("http://www.otzar.org/book.asp?23650","תורת היראה")</f>
        <v>תורת היראה</v>
      </c>
    </row>
    <row r="44627" spans="1:6" x14ac:dyDescent="0.2">
      <c r="A44627" t="s">
        <v>67253</v>
      </c>
      <c r="B44627" t="s">
        <v>21473</v>
      </c>
      <c r="C44627" t="s">
        <v>1160</v>
      </c>
      <c r="D44627" t="s">
        <v>52</v>
      </c>
      <c r="E44627" t="s">
        <v>81</v>
      </c>
      <c r="F44627" s="2" t="str">
        <f>HYPERLINK("http://www.otzar.org/book.asp?11150","תורת היראה")</f>
        <v>תורת היראה</v>
      </c>
    </row>
    <row r="44628" spans="1:6" x14ac:dyDescent="0.2">
      <c r="A44628" t="s">
        <v>67254</v>
      </c>
      <c r="B44628" t="s">
        <v>15765</v>
      </c>
      <c r="C44628" t="s">
        <v>146</v>
      </c>
      <c r="D44628" t="s">
        <v>14</v>
      </c>
      <c r="F44628" s="2" t="str">
        <f>HYPERLINK("http://www.otzar.org/book.asp?144787","תורת הישיבה")</f>
        <v>תורת הישיבה</v>
      </c>
    </row>
    <row r="44629" spans="1:6" x14ac:dyDescent="0.2">
      <c r="A44629" t="s">
        <v>67255</v>
      </c>
      <c r="B44629" t="s">
        <v>9479</v>
      </c>
      <c r="C44629" t="s">
        <v>1160</v>
      </c>
      <c r="D44629" t="s">
        <v>14</v>
      </c>
      <c r="E44629" t="s">
        <v>15</v>
      </c>
      <c r="F44629" s="2" t="str">
        <f>HYPERLINK("http://www.otzar.org/book.asp?142993","תורת הכהן והלוי בימינו")</f>
        <v>תורת הכהן והלוי בימינו</v>
      </c>
    </row>
    <row r="44630" spans="1:6" x14ac:dyDescent="0.2">
      <c r="A44630" t="s">
        <v>67256</v>
      </c>
      <c r="B44630" t="s">
        <v>14823</v>
      </c>
      <c r="C44630" t="s">
        <v>79</v>
      </c>
      <c r="D44630" t="s">
        <v>9</v>
      </c>
      <c r="E44630" t="s">
        <v>588</v>
      </c>
      <c r="F44630" s="2" t="str">
        <f>HYPERLINK("http://www.otzar.org/book.asp?104584","תורת הכהנים")</f>
        <v>תורת הכהנים</v>
      </c>
    </row>
    <row r="44631" spans="1:6" x14ac:dyDescent="0.2">
      <c r="A44631" t="s">
        <v>67257</v>
      </c>
      <c r="B44631" t="s">
        <v>67258</v>
      </c>
      <c r="C44631" t="s">
        <v>23</v>
      </c>
      <c r="D44631" t="s">
        <v>152</v>
      </c>
      <c r="E44631" t="s">
        <v>15</v>
      </c>
      <c r="F44631" s="2" t="str">
        <f>HYPERLINK("http://www.otzar.org/book.asp?190085","תורת הכיבוד")</f>
        <v>תורת הכיבוד</v>
      </c>
    </row>
    <row r="44632" spans="1:6" x14ac:dyDescent="0.2">
      <c r="A44632" t="s">
        <v>67259</v>
      </c>
      <c r="B44632" t="s">
        <v>8895</v>
      </c>
      <c r="C44632" t="s">
        <v>20</v>
      </c>
      <c r="D44632" t="s">
        <v>90</v>
      </c>
      <c r="E44632" t="s">
        <v>104</v>
      </c>
      <c r="F44632" s="2" t="str">
        <f>HYPERLINK("http://www.otzar.org/book.asp?627004","תורת הכיסוי")</f>
        <v>תורת הכיסוי</v>
      </c>
    </row>
    <row r="44633" spans="1:6" x14ac:dyDescent="0.2">
      <c r="A44633" t="s">
        <v>67260</v>
      </c>
      <c r="B44633" t="s">
        <v>67261</v>
      </c>
      <c r="C44633" t="s">
        <v>111</v>
      </c>
      <c r="D44633" t="s">
        <v>14</v>
      </c>
      <c r="E44633" t="s">
        <v>803</v>
      </c>
      <c r="F44633" s="2" t="str">
        <f>HYPERLINK("http://www.otzar.org/book.asp?627411","תורת הכלי")</f>
        <v>תורת הכלי</v>
      </c>
    </row>
    <row r="44634" spans="1:6" x14ac:dyDescent="0.2">
      <c r="A44634" t="s">
        <v>67262</v>
      </c>
      <c r="B44634" t="s">
        <v>19377</v>
      </c>
      <c r="C44634" t="s">
        <v>775</v>
      </c>
      <c r="D44634" t="s">
        <v>14</v>
      </c>
      <c r="E44634" t="s">
        <v>213</v>
      </c>
      <c r="F44634" s="2" t="str">
        <f>HYPERLINK("http://www.otzar.org/book.asp?145402","תורת הכתב והקבלה - 6 כר'")</f>
        <v>תורת הכתב והקבלה - 6 כר'</v>
      </c>
    </row>
    <row r="44635" spans="1:6" x14ac:dyDescent="0.2">
      <c r="A44635" t="s">
        <v>67263</v>
      </c>
      <c r="B44635" t="s">
        <v>67169</v>
      </c>
      <c r="C44635" t="s">
        <v>133</v>
      </c>
      <c r="D44635" t="s">
        <v>21</v>
      </c>
      <c r="E44635" t="s">
        <v>186</v>
      </c>
      <c r="F44635" s="2" t="str">
        <f>HYPERLINK("http://www.otzar.org/book.asp?601454","תורת הכתמים")</f>
        <v>תורת הכתמים</v>
      </c>
    </row>
    <row r="44636" spans="1:6" x14ac:dyDescent="0.2">
      <c r="A44636" t="s">
        <v>67264</v>
      </c>
      <c r="B44636" t="s">
        <v>16984</v>
      </c>
      <c r="C44636" t="s">
        <v>13</v>
      </c>
      <c r="D44636" t="s">
        <v>52</v>
      </c>
      <c r="E44636" t="s">
        <v>15</v>
      </c>
      <c r="F44636" s="2" t="str">
        <f>HYPERLINK("http://www.otzar.org/book.asp?63002","תורת הלוי - 2 כר'")</f>
        <v>תורת הלוי - 2 כר'</v>
      </c>
    </row>
    <row r="44637" spans="1:6" x14ac:dyDescent="0.2">
      <c r="A44637" t="s">
        <v>67265</v>
      </c>
      <c r="B44637" t="s">
        <v>67266</v>
      </c>
      <c r="C44637" t="s">
        <v>1062</v>
      </c>
      <c r="D44637" t="s">
        <v>27</v>
      </c>
      <c r="E44637" t="s">
        <v>674</v>
      </c>
      <c r="F44637" s="2" t="str">
        <f>HYPERLINK("http://www.otzar.org/book.asp?23782","תורת הלוי")</f>
        <v>תורת הלוי</v>
      </c>
    </row>
    <row r="44638" spans="1:6" x14ac:dyDescent="0.2">
      <c r="A44638" t="s">
        <v>67267</v>
      </c>
      <c r="B44638" t="s">
        <v>67268</v>
      </c>
      <c r="C44638" t="s">
        <v>366</v>
      </c>
      <c r="D44638" t="s">
        <v>367</v>
      </c>
      <c r="F44638" s="2" t="str">
        <f>HYPERLINK("http://www.otzar.org/book.asp?605991","תורת הלוים א-ב &lt;מהדורה חדשה&gt;")</f>
        <v>תורת הלוים א-ב &lt;מהדורה חדשה&gt;</v>
      </c>
    </row>
    <row r="44639" spans="1:6" x14ac:dyDescent="0.2">
      <c r="A44639" t="s">
        <v>67269</v>
      </c>
      <c r="B44639" t="s">
        <v>52071</v>
      </c>
      <c r="C44639" t="s">
        <v>362</v>
      </c>
      <c r="D44639" t="s">
        <v>56</v>
      </c>
      <c r="E44639" t="s">
        <v>674</v>
      </c>
      <c r="F44639" s="2" t="str">
        <f>HYPERLINK("http://www.otzar.org/book.asp?181806","תורת הלוים - 2 כר'")</f>
        <v>תורת הלוים - 2 כר'</v>
      </c>
    </row>
    <row r="44640" spans="1:6" x14ac:dyDescent="0.2">
      <c r="A44640" t="s">
        <v>67270</v>
      </c>
      <c r="B44640" t="s">
        <v>67271</v>
      </c>
      <c r="C44640" t="s">
        <v>133</v>
      </c>
      <c r="D44640" t="s">
        <v>1180</v>
      </c>
      <c r="E44640" t="s">
        <v>15</v>
      </c>
      <c r="F44640" s="2" t="str">
        <f>HYPERLINK("http://www.otzar.org/book.asp?606058","תורת הלחם")</f>
        <v>תורת הלחם</v>
      </c>
    </row>
    <row r="44641" spans="1:6" x14ac:dyDescent="0.2">
      <c r="A44641" t="s">
        <v>67272</v>
      </c>
      <c r="B44641" t="s">
        <v>1750</v>
      </c>
      <c r="C44641" t="s">
        <v>624</v>
      </c>
      <c r="D44641" t="s">
        <v>14</v>
      </c>
      <c r="E44641" t="s">
        <v>15</v>
      </c>
      <c r="F44641" s="2" t="str">
        <f>HYPERLINK("http://www.otzar.org/book.asp?169033","תורת הלשון - ג")</f>
        <v>תורת הלשון - ג</v>
      </c>
    </row>
    <row r="44642" spans="1:6" x14ac:dyDescent="0.2">
      <c r="A44642" t="s">
        <v>67273</v>
      </c>
      <c r="B44642" t="s">
        <v>67273</v>
      </c>
      <c r="C44642" t="s">
        <v>20</v>
      </c>
      <c r="D44642" t="s">
        <v>14</v>
      </c>
      <c r="E44642" t="s">
        <v>5935</v>
      </c>
      <c r="F44642" s="2" t="str">
        <f>HYPERLINK("http://www.otzar.org/book.asp?6204","תורת הלשון")</f>
        <v>תורת הלשון</v>
      </c>
    </row>
    <row r="44643" spans="1:6" x14ac:dyDescent="0.2">
      <c r="A44643" t="s">
        <v>67274</v>
      </c>
      <c r="B44643" t="s">
        <v>67275</v>
      </c>
      <c r="C44643" t="s">
        <v>103</v>
      </c>
      <c r="D44643" t="s">
        <v>14</v>
      </c>
      <c r="E44643" t="s">
        <v>186</v>
      </c>
      <c r="F44643" s="2" t="str">
        <f>HYPERLINK("http://www.otzar.org/book.asp?143006","תורת המאור - 3 כר'")</f>
        <v>תורת המאור - 3 כר'</v>
      </c>
    </row>
    <row r="44644" spans="1:6" x14ac:dyDescent="0.2">
      <c r="A44644" t="s">
        <v>67276</v>
      </c>
      <c r="B44644" t="s">
        <v>42539</v>
      </c>
      <c r="C44644" t="s">
        <v>466</v>
      </c>
      <c r="D44644" t="s">
        <v>14</v>
      </c>
      <c r="E44644" t="s">
        <v>67277</v>
      </c>
      <c r="F44644" s="2" t="str">
        <f>HYPERLINK("http://www.otzar.org/book.asp?61826","תורת המגיד מזלאטשוב")</f>
        <v>תורת המגיד מזלאטשוב</v>
      </c>
    </row>
    <row r="44645" spans="1:6" x14ac:dyDescent="0.2">
      <c r="A44645" t="s">
        <v>67278</v>
      </c>
      <c r="B44645" t="s">
        <v>31482</v>
      </c>
      <c r="C44645" t="s">
        <v>1202</v>
      </c>
      <c r="D44645" t="s">
        <v>280</v>
      </c>
      <c r="E44645" t="s">
        <v>3773</v>
      </c>
      <c r="F44645" s="2" t="str">
        <f>HYPERLINK("http://www.otzar.org/book.asp?103796","תורת המגיד ממזריטש ושיחותיו")</f>
        <v>תורת המגיד ממזריטש ושיחותיו</v>
      </c>
    </row>
    <row r="44646" spans="1:6" x14ac:dyDescent="0.2">
      <c r="A44646" t="s">
        <v>67279</v>
      </c>
      <c r="B44646" t="s">
        <v>67280</v>
      </c>
      <c r="C44646" t="s">
        <v>124</v>
      </c>
      <c r="D44646" t="s">
        <v>52</v>
      </c>
      <c r="E44646" t="s">
        <v>158</v>
      </c>
      <c r="F44646" s="2" t="str">
        <f>HYPERLINK("http://www.otzar.org/book.asp?60713","תורת המגיד - 2 כר'")</f>
        <v>תורת המגיד - 2 כר'</v>
      </c>
    </row>
    <row r="44647" spans="1:6" x14ac:dyDescent="0.2">
      <c r="A44647" t="s">
        <v>67281</v>
      </c>
      <c r="B44647" t="s">
        <v>67282</v>
      </c>
      <c r="C44647" t="s">
        <v>67283</v>
      </c>
      <c r="D44647" t="s">
        <v>27</v>
      </c>
      <c r="E44647" t="s">
        <v>241</v>
      </c>
      <c r="F44647" s="2" t="str">
        <f>HYPERLINK("http://www.otzar.org/book.asp?23324","תורת המדות - 5 כר'")</f>
        <v>תורת המדות - 5 כר'</v>
      </c>
    </row>
    <row r="44648" spans="1:6" x14ac:dyDescent="0.2">
      <c r="A44648" t="s">
        <v>67284</v>
      </c>
      <c r="B44648" t="s">
        <v>3273</v>
      </c>
      <c r="C44648" t="s">
        <v>1169</v>
      </c>
      <c r="D44648" t="s">
        <v>260</v>
      </c>
      <c r="E44648" t="s">
        <v>583</v>
      </c>
      <c r="F44648" s="2" t="str">
        <f>HYPERLINK("http://www.otzar.org/book.asp?12167","תורת המוסר")</f>
        <v>תורת המוסר</v>
      </c>
    </row>
    <row r="44649" spans="1:6" x14ac:dyDescent="0.2">
      <c r="A44649" t="s">
        <v>67285</v>
      </c>
      <c r="B44649" t="s">
        <v>48937</v>
      </c>
      <c r="C44649" t="s">
        <v>13</v>
      </c>
      <c r="D44649" t="s">
        <v>52</v>
      </c>
      <c r="E44649" t="s">
        <v>15</v>
      </c>
      <c r="F44649" s="2" t="str">
        <f>HYPERLINK("http://www.otzar.org/book.asp?147998","תורת המועד - 3 כר'")</f>
        <v>תורת המועד - 3 כר'</v>
      </c>
    </row>
    <row r="44650" spans="1:6" x14ac:dyDescent="0.2">
      <c r="A44650" t="s">
        <v>67286</v>
      </c>
      <c r="B44650" t="s">
        <v>3488</v>
      </c>
      <c r="C44650" t="s">
        <v>553</v>
      </c>
      <c r="D44650" t="s">
        <v>52</v>
      </c>
      <c r="E44650" t="s">
        <v>19097</v>
      </c>
      <c r="F44650" s="2" t="str">
        <f>HYPERLINK("http://www.otzar.org/book.asp?63725","תורת המועדים - 5 כר'")</f>
        <v>תורת המועדים - 5 כר'</v>
      </c>
    </row>
    <row r="44651" spans="1:6" x14ac:dyDescent="0.2">
      <c r="A44651" t="s">
        <v>67287</v>
      </c>
      <c r="B44651" t="s">
        <v>18273</v>
      </c>
      <c r="C44651" t="s">
        <v>176</v>
      </c>
      <c r="D44651" t="s">
        <v>52</v>
      </c>
      <c r="E44651" t="s">
        <v>130</v>
      </c>
      <c r="F44651" s="2" t="str">
        <f>HYPERLINK("http://www.otzar.org/book.asp?24922","תורת המועדים - 2 כר'")</f>
        <v>תורת המועדים - 2 כר'</v>
      </c>
    </row>
    <row r="44652" spans="1:6" x14ac:dyDescent="0.2">
      <c r="A44652" t="s">
        <v>67288</v>
      </c>
      <c r="B44652" t="s">
        <v>67289</v>
      </c>
      <c r="C44652" t="s">
        <v>103</v>
      </c>
      <c r="D44652" t="s">
        <v>52</v>
      </c>
      <c r="E44652" t="s">
        <v>130</v>
      </c>
      <c r="F44652" s="2" t="str">
        <f>HYPERLINK("http://www.otzar.org/book.asp?603483","תורת המועדים - הלכות בין המצרים")</f>
        <v>תורת המועדים - הלכות בין המצרים</v>
      </c>
    </row>
    <row r="44653" spans="1:6" x14ac:dyDescent="0.2">
      <c r="A44653" t="s">
        <v>67290</v>
      </c>
      <c r="B44653" t="s">
        <v>67291</v>
      </c>
      <c r="C44653" t="s">
        <v>411</v>
      </c>
      <c r="D44653" t="s">
        <v>412</v>
      </c>
      <c r="E44653" t="s">
        <v>15</v>
      </c>
      <c r="F44653" s="2" t="str">
        <f>HYPERLINK("http://www.otzar.org/book.asp?177038","תורת המוקצה")</f>
        <v>תורת המוקצה</v>
      </c>
    </row>
    <row r="44654" spans="1:6" x14ac:dyDescent="0.2">
      <c r="A44654" t="s">
        <v>67290</v>
      </c>
      <c r="B44654" t="s">
        <v>1091</v>
      </c>
      <c r="C44654" t="s">
        <v>189</v>
      </c>
      <c r="D44654" t="s">
        <v>14</v>
      </c>
      <c r="E44654" t="s">
        <v>130</v>
      </c>
      <c r="F44654" s="2" t="str">
        <f>HYPERLINK("http://www.otzar.org/book.asp?165214","תורת המוקצה")</f>
        <v>תורת המוקצה</v>
      </c>
    </row>
    <row r="44655" spans="1:6" x14ac:dyDescent="0.2">
      <c r="A44655" t="s">
        <v>67292</v>
      </c>
      <c r="B44655" t="s">
        <v>55114</v>
      </c>
      <c r="C44655" t="s">
        <v>151</v>
      </c>
      <c r="D44655" t="s">
        <v>90</v>
      </c>
      <c r="E44655" t="s">
        <v>1211</v>
      </c>
      <c r="F44655" s="2" t="str">
        <f>HYPERLINK("http://www.otzar.org/book.asp?613224","תורת המיגו")</f>
        <v>תורת המיגו</v>
      </c>
    </row>
    <row r="44656" spans="1:6" x14ac:dyDescent="0.2">
      <c r="A44656" t="s">
        <v>67293</v>
      </c>
      <c r="B44656" t="s">
        <v>67294</v>
      </c>
      <c r="C44656" t="s">
        <v>13</v>
      </c>
      <c r="D44656" t="s">
        <v>14</v>
      </c>
      <c r="E44656" t="s">
        <v>158</v>
      </c>
      <c r="F44656" s="2" t="str">
        <f>HYPERLINK("http://www.otzar.org/book.asp?156709","תורת המידות בפירוש המשך חכמה")</f>
        <v>תורת המידות בפירוש המשך חכמה</v>
      </c>
    </row>
    <row r="44657" spans="1:6" x14ac:dyDescent="0.2">
      <c r="A44657" t="s">
        <v>67295</v>
      </c>
      <c r="B44657" t="s">
        <v>67296</v>
      </c>
      <c r="C44657" t="s">
        <v>146</v>
      </c>
      <c r="D44657" t="s">
        <v>412</v>
      </c>
      <c r="E44657" t="s">
        <v>172</v>
      </c>
      <c r="F44657" s="2" t="str">
        <f>HYPERLINK("http://www.otzar.org/book.asp?28451","תורת המילואים")</f>
        <v>תורת המילואים</v>
      </c>
    </row>
    <row r="44658" spans="1:6" x14ac:dyDescent="0.2">
      <c r="A44658" t="s">
        <v>67297</v>
      </c>
      <c r="B44658" t="s">
        <v>9988</v>
      </c>
      <c r="C44658" t="s">
        <v>114</v>
      </c>
      <c r="D44658" t="s">
        <v>52</v>
      </c>
      <c r="E44658" t="s">
        <v>84</v>
      </c>
      <c r="F44658" s="2" t="str">
        <f>HYPERLINK("http://www.otzar.org/book.asp?165008","תורת המים &lt;תניינא&gt; - מקוואות")</f>
        <v>תורת המים &lt;תניינא&gt; - מקוואות</v>
      </c>
    </row>
    <row r="44659" spans="1:6" x14ac:dyDescent="0.2">
      <c r="A44659" t="s">
        <v>67298</v>
      </c>
      <c r="B44659" t="s">
        <v>9988</v>
      </c>
      <c r="C44659" t="s">
        <v>87</v>
      </c>
      <c r="D44659" t="s">
        <v>52</v>
      </c>
      <c r="E44659" t="s">
        <v>84</v>
      </c>
      <c r="F44659" s="2" t="str">
        <f>HYPERLINK("http://www.otzar.org/book.asp?52265","תורת המים - מקוואות")</f>
        <v>תורת המים - מקוואות</v>
      </c>
    </row>
    <row r="44660" spans="1:6" x14ac:dyDescent="0.2">
      <c r="A44660" t="s">
        <v>67299</v>
      </c>
      <c r="B44660" t="s">
        <v>67300</v>
      </c>
      <c r="C44660" t="s">
        <v>624</v>
      </c>
      <c r="D44660" t="s">
        <v>14</v>
      </c>
      <c r="E44660" t="s">
        <v>15</v>
      </c>
      <c r="F44660" s="2" t="str">
        <f>HYPERLINK("http://www.otzar.org/book.asp?108690","תורת המלאכות - 6 כר'")</f>
        <v>תורת המלאכות - 6 כר'</v>
      </c>
    </row>
    <row r="44661" spans="1:6" x14ac:dyDescent="0.2">
      <c r="A44661" t="s">
        <v>67301</v>
      </c>
      <c r="B44661" t="s">
        <v>48981</v>
      </c>
      <c r="C44661" t="s">
        <v>1609</v>
      </c>
      <c r="D44661" t="s">
        <v>27</v>
      </c>
      <c r="E44661" t="s">
        <v>15</v>
      </c>
      <c r="F44661" s="2" t="str">
        <f>HYPERLINK("http://www.otzar.org/book.asp?10455","תורת המלך")</f>
        <v>תורת המלך</v>
      </c>
    </row>
    <row r="44662" spans="1:6" x14ac:dyDescent="0.2">
      <c r="A44662" t="s">
        <v>67301</v>
      </c>
      <c r="B44662" t="s">
        <v>67302</v>
      </c>
      <c r="C44662" t="s">
        <v>422</v>
      </c>
      <c r="D44662" t="s">
        <v>52</v>
      </c>
      <c r="E44662" t="s">
        <v>15</v>
      </c>
      <c r="F44662" s="2" t="str">
        <f>HYPERLINK("http://www.otzar.org/book.asp?159341","תורת המלך")</f>
        <v>תורת המלך</v>
      </c>
    </row>
    <row r="44663" spans="1:6" x14ac:dyDescent="0.2">
      <c r="A44663" t="s">
        <v>67303</v>
      </c>
      <c r="B44663" t="s">
        <v>67304</v>
      </c>
      <c r="C44663" t="s">
        <v>71</v>
      </c>
      <c r="D44663" t="s">
        <v>52</v>
      </c>
      <c r="E44663" t="s">
        <v>104</v>
      </c>
      <c r="F44663" s="2" t="str">
        <f>HYPERLINK("http://www.otzar.org/book.asp?161220","תורת המנחה - על מנחת חינוך")</f>
        <v>תורת המנחה - על מנחת חינוך</v>
      </c>
    </row>
    <row r="44664" spans="1:6" x14ac:dyDescent="0.2">
      <c r="A44664" t="s">
        <v>67305</v>
      </c>
      <c r="B44664" t="s">
        <v>67306</v>
      </c>
      <c r="C44664" t="s">
        <v>17</v>
      </c>
      <c r="D44664" t="s">
        <v>646</v>
      </c>
      <c r="E44664" t="s">
        <v>2248</v>
      </c>
      <c r="F44664" s="2" t="str">
        <f>HYPERLINK("http://www.otzar.org/book.asp?84824","תורת המנחה")</f>
        <v>תורת המנחה</v>
      </c>
    </row>
    <row r="44665" spans="1:6" x14ac:dyDescent="0.2">
      <c r="A44665" t="s">
        <v>67307</v>
      </c>
      <c r="B44665" t="s">
        <v>67308</v>
      </c>
      <c r="C44665" t="s">
        <v>143</v>
      </c>
      <c r="D44665" t="s">
        <v>139</v>
      </c>
      <c r="E44665" t="s">
        <v>24849</v>
      </c>
      <c r="F44665" s="2" t="str">
        <f>HYPERLINK("http://www.otzar.org/book.asp?14518","תורת המנחה - 2 כר'")</f>
        <v>תורת המנחה - 2 כר'</v>
      </c>
    </row>
    <row r="44666" spans="1:6" x14ac:dyDescent="0.2">
      <c r="A44666" t="s">
        <v>67305</v>
      </c>
      <c r="B44666" t="s">
        <v>67309</v>
      </c>
      <c r="C44666" t="s">
        <v>133</v>
      </c>
      <c r="D44666" t="s">
        <v>14</v>
      </c>
      <c r="E44666" t="s">
        <v>15</v>
      </c>
      <c r="F44666" s="2" t="str">
        <f>HYPERLINK("http://www.otzar.org/book.asp?176666","תורת המנחה")</f>
        <v>תורת המנחה</v>
      </c>
    </row>
    <row r="44667" spans="1:6" x14ac:dyDescent="0.2">
      <c r="A44667" t="s">
        <v>67310</v>
      </c>
      <c r="B44667" t="s">
        <v>67194</v>
      </c>
      <c r="C44667" t="s">
        <v>366</v>
      </c>
      <c r="D44667" t="s">
        <v>14</v>
      </c>
      <c r="E44667" t="s">
        <v>144</v>
      </c>
      <c r="F44667" s="2" t="str">
        <f>HYPERLINK("http://www.otzar.org/book.asp?625950","תורת המעילה")</f>
        <v>תורת המעילה</v>
      </c>
    </row>
    <row r="44668" spans="1:6" x14ac:dyDescent="0.2">
      <c r="A44668" t="s">
        <v>67311</v>
      </c>
      <c r="B44668" t="s">
        <v>23685</v>
      </c>
      <c r="C44668" t="s">
        <v>462</v>
      </c>
      <c r="D44668" t="s">
        <v>283</v>
      </c>
      <c r="E44668" t="s">
        <v>144</v>
      </c>
      <c r="F44668" s="2" t="str">
        <f>HYPERLINK("http://www.otzar.org/book.asp?28482","תורת המצוה")</f>
        <v>תורת המצוה</v>
      </c>
    </row>
    <row r="44669" spans="1:6" x14ac:dyDescent="0.2">
      <c r="A44669" t="s">
        <v>67312</v>
      </c>
      <c r="B44669" t="s">
        <v>67313</v>
      </c>
      <c r="C44669" t="s">
        <v>419</v>
      </c>
      <c r="D44669" t="s">
        <v>21</v>
      </c>
      <c r="E44669" t="s">
        <v>15</v>
      </c>
      <c r="F44669" s="2" t="str">
        <f>HYPERLINK("http://www.otzar.org/book.asp?191563","תורת המצוות באמונת ישראל")</f>
        <v>תורת המצוות באמונת ישראל</v>
      </c>
    </row>
    <row r="44670" spans="1:6" x14ac:dyDescent="0.2">
      <c r="A44670" t="s">
        <v>67314</v>
      </c>
      <c r="B44670" t="s">
        <v>56738</v>
      </c>
      <c r="C44670" t="s">
        <v>103</v>
      </c>
      <c r="D44670" t="s">
        <v>1731</v>
      </c>
      <c r="E44670" t="s">
        <v>15</v>
      </c>
      <c r="F44670" s="2" t="str">
        <f>HYPERLINK("http://www.otzar.org/book.asp?22015","תורת המציאה, תורת ההונאה, תורת הפועלים")</f>
        <v>תורת המציאה, תורת ההונאה, תורת הפועלים</v>
      </c>
    </row>
    <row r="44671" spans="1:6" x14ac:dyDescent="0.2">
      <c r="A44671" t="s">
        <v>67315</v>
      </c>
      <c r="B44671" t="s">
        <v>67316</v>
      </c>
      <c r="C44671" t="s">
        <v>785</v>
      </c>
      <c r="D44671" t="s">
        <v>412</v>
      </c>
      <c r="E44671" t="s">
        <v>67317</v>
      </c>
      <c r="F44671" s="2" t="str">
        <f>HYPERLINK("http://www.otzar.org/book.asp?166300","תורת המצרף")</f>
        <v>תורת המצרף</v>
      </c>
    </row>
    <row r="44672" spans="1:6" x14ac:dyDescent="0.2">
      <c r="A44672" t="s">
        <v>67318</v>
      </c>
      <c r="B44672" t="s">
        <v>34723</v>
      </c>
      <c r="C44672" t="s">
        <v>151</v>
      </c>
      <c r="D44672" t="s">
        <v>21</v>
      </c>
      <c r="F44672" s="2" t="str">
        <f>HYPERLINK("http://www.otzar.org/book.asp?620110","תורת המשך חכמה")</f>
        <v>תורת המשך חכמה</v>
      </c>
    </row>
    <row r="44673" spans="1:6" x14ac:dyDescent="0.2">
      <c r="A44673" t="s">
        <v>67319</v>
      </c>
      <c r="B44673" t="s">
        <v>4606</v>
      </c>
      <c r="C44673" t="s">
        <v>956</v>
      </c>
      <c r="D44673" t="s">
        <v>14</v>
      </c>
      <c r="E44673" t="s">
        <v>2463</v>
      </c>
      <c r="F44673" s="2" t="str">
        <f>HYPERLINK("http://www.otzar.org/book.asp?859","תורת המשפחה")</f>
        <v>תורת המשפחה</v>
      </c>
    </row>
    <row r="44674" spans="1:6" x14ac:dyDescent="0.2">
      <c r="A44674" t="s">
        <v>67320</v>
      </c>
      <c r="B44674" t="s">
        <v>15670</v>
      </c>
      <c r="C44674" t="s">
        <v>624</v>
      </c>
      <c r="D44674" t="s">
        <v>18218</v>
      </c>
      <c r="E44674" t="s">
        <v>10</v>
      </c>
      <c r="F44674" s="2" t="str">
        <f>HYPERLINK("http://www.otzar.org/book.asp?177020","תורת המשפט")</f>
        <v>תורת המשפט</v>
      </c>
    </row>
    <row r="44675" spans="1:6" x14ac:dyDescent="0.2">
      <c r="A44675" t="s">
        <v>67320</v>
      </c>
      <c r="B44675" t="s">
        <v>67321</v>
      </c>
      <c r="C44675" t="s">
        <v>23</v>
      </c>
      <c r="D44675" t="s">
        <v>152</v>
      </c>
      <c r="E44675" t="s">
        <v>172</v>
      </c>
      <c r="F44675" s="2" t="str">
        <f>HYPERLINK("http://www.otzar.org/book.asp?192833","תורת המשפט")</f>
        <v>תורת המשפט</v>
      </c>
    </row>
    <row r="44676" spans="1:6" x14ac:dyDescent="0.2">
      <c r="A44676" t="s">
        <v>67322</v>
      </c>
      <c r="B44676" t="s">
        <v>67323</v>
      </c>
      <c r="C44676" t="s">
        <v>1202</v>
      </c>
      <c r="D44676" t="s">
        <v>303</v>
      </c>
      <c r="E44676" t="s">
        <v>104</v>
      </c>
      <c r="F44676" s="2" t="str">
        <f>HYPERLINK("http://www.otzar.org/book.asp?103799","תורת הנבואה הטהורה")</f>
        <v>תורת הנבואה הטהורה</v>
      </c>
    </row>
    <row r="44677" spans="1:6" x14ac:dyDescent="0.2">
      <c r="A44677" t="s">
        <v>67324</v>
      </c>
      <c r="B44677" t="s">
        <v>15154</v>
      </c>
      <c r="C44677" t="s">
        <v>619</v>
      </c>
      <c r="D44677" t="s">
        <v>995</v>
      </c>
      <c r="E44677" t="s">
        <v>15</v>
      </c>
      <c r="F44677" s="2" t="str">
        <f>HYPERLINK("http://www.otzar.org/book.asp?16479","תורת הנזיר")</f>
        <v>תורת הנזיר</v>
      </c>
    </row>
    <row r="44678" spans="1:6" x14ac:dyDescent="0.2">
      <c r="A44678" t="s">
        <v>67325</v>
      </c>
      <c r="B44678" t="s">
        <v>67326</v>
      </c>
      <c r="C44678" t="s">
        <v>422</v>
      </c>
      <c r="D44678" t="s">
        <v>2909</v>
      </c>
      <c r="E44678" t="s">
        <v>144</v>
      </c>
      <c r="F44678" s="2" t="str">
        <f>HYPERLINK("http://www.otzar.org/book.asp?157920","תורת הנחלות")</f>
        <v>תורת הנחלות</v>
      </c>
    </row>
    <row r="44679" spans="1:6" x14ac:dyDescent="0.2">
      <c r="A44679" t="s">
        <v>67327</v>
      </c>
      <c r="B44679" t="s">
        <v>13044</v>
      </c>
      <c r="C44679" t="s">
        <v>2008</v>
      </c>
      <c r="D44679" t="s">
        <v>27</v>
      </c>
      <c r="E44679" t="s">
        <v>15</v>
      </c>
      <c r="F44679" s="2" t="str">
        <f>HYPERLINK("http://www.otzar.org/book.asp?25596","תורת הניקור הירושלמי")</f>
        <v>תורת הניקור הירושלמי</v>
      </c>
    </row>
    <row r="44680" spans="1:6" x14ac:dyDescent="0.2">
      <c r="A44680" t="s">
        <v>67328</v>
      </c>
      <c r="B44680" t="s">
        <v>1091</v>
      </c>
      <c r="C44680" t="s">
        <v>454</v>
      </c>
      <c r="D44680" t="s">
        <v>14</v>
      </c>
      <c r="F44680" s="2" t="str">
        <f>HYPERLINK("http://www.otzar.org/book.asp?622004","תורת הנסתר")</f>
        <v>תורת הנסתר</v>
      </c>
    </row>
    <row r="44681" spans="1:6" x14ac:dyDescent="0.2">
      <c r="A44681" t="s">
        <v>67329</v>
      </c>
      <c r="B44681" t="s">
        <v>5402</v>
      </c>
      <c r="C44681" t="s">
        <v>20</v>
      </c>
      <c r="D44681" t="s">
        <v>14</v>
      </c>
      <c r="E44681" t="s">
        <v>1391</v>
      </c>
      <c r="F44681" s="2" t="str">
        <f>HYPERLINK("http://www.otzar.org/book.asp?50517","תורת הנפש")</f>
        <v>תורת הנפש</v>
      </c>
    </row>
    <row r="44682" spans="1:6" x14ac:dyDescent="0.2">
      <c r="A44682" t="s">
        <v>67329</v>
      </c>
      <c r="B44682" t="s">
        <v>19016</v>
      </c>
      <c r="C44682" t="s">
        <v>919</v>
      </c>
      <c r="D44682" t="s">
        <v>52</v>
      </c>
      <c r="E44682" t="s">
        <v>733</v>
      </c>
      <c r="F44682" s="2" t="str">
        <f>HYPERLINK("http://www.otzar.org/book.asp?11151","תורת הנפש")</f>
        <v>תורת הנפש</v>
      </c>
    </row>
    <row r="44683" spans="1:6" x14ac:dyDescent="0.2">
      <c r="A44683" t="s">
        <v>67329</v>
      </c>
      <c r="B44683" t="s">
        <v>3820</v>
      </c>
      <c r="C44683" t="s">
        <v>1954</v>
      </c>
      <c r="D44683" t="s">
        <v>9</v>
      </c>
      <c r="E44683" t="s">
        <v>158</v>
      </c>
      <c r="F44683" s="2" t="str">
        <f>HYPERLINK("http://www.otzar.org/book.asp?103798","תורת הנפש")</f>
        <v>תורת הנפש</v>
      </c>
    </row>
    <row r="44684" spans="1:6" x14ac:dyDescent="0.2">
      <c r="A44684" t="s">
        <v>67330</v>
      </c>
      <c r="B44684" t="s">
        <v>11464</v>
      </c>
      <c r="C44684" t="s">
        <v>422</v>
      </c>
      <c r="D44684" t="s">
        <v>21</v>
      </c>
      <c r="E44684" t="s">
        <v>241</v>
      </c>
      <c r="F44684" s="2" t="str">
        <f>HYPERLINK("http://www.otzar.org/book.asp?191689","תורת הנצי""ב")</f>
        <v>תורת הנצי"ב</v>
      </c>
    </row>
    <row r="44685" spans="1:6" x14ac:dyDescent="0.2">
      <c r="A44685" t="s">
        <v>67331</v>
      </c>
      <c r="B44685" t="s">
        <v>4334</v>
      </c>
      <c r="C44685" t="s">
        <v>99</v>
      </c>
      <c r="D44685" t="s">
        <v>33863</v>
      </c>
      <c r="E44685" t="s">
        <v>803</v>
      </c>
      <c r="F44685" s="2" t="str">
        <f>HYPERLINK("http://www.otzar.org/book.asp?300571","תורת הנקור השלם &lt;עם אור שמחה&gt;")</f>
        <v>תורת הנקור השלם &lt;עם אור שמחה&gt;</v>
      </c>
    </row>
    <row r="44686" spans="1:6" x14ac:dyDescent="0.2">
      <c r="A44686" t="s">
        <v>67332</v>
      </c>
      <c r="B44686" t="s">
        <v>9655</v>
      </c>
      <c r="F44686" s="2" t="str">
        <f>HYPERLINK("http://www.otzar.org/book.asp?622722","תורת הסוטה")</f>
        <v>תורת הסוטה</v>
      </c>
    </row>
    <row r="44687" spans="1:6" x14ac:dyDescent="0.2">
      <c r="A44687" t="s">
        <v>67333</v>
      </c>
      <c r="B44687" t="s">
        <v>51770</v>
      </c>
      <c r="C44687" t="s">
        <v>146</v>
      </c>
      <c r="D44687" t="s">
        <v>152</v>
      </c>
      <c r="E44687" t="s">
        <v>803</v>
      </c>
      <c r="F44687" s="2" t="str">
        <f>HYPERLINK("http://www.otzar.org/book.asp?50290","תורת הסוכה")</f>
        <v>תורת הסוכה</v>
      </c>
    </row>
    <row r="44688" spans="1:6" x14ac:dyDescent="0.2">
      <c r="A44688" t="s">
        <v>67334</v>
      </c>
      <c r="B44688" t="s">
        <v>16808</v>
      </c>
      <c r="C44688" t="s">
        <v>176</v>
      </c>
      <c r="D44688" t="s">
        <v>52</v>
      </c>
      <c r="E44688" t="s">
        <v>393</v>
      </c>
      <c r="F44688" s="2" t="str">
        <f>HYPERLINK("http://www.otzar.org/book.asp?28151","תורת הסופר")</f>
        <v>תורת הסופר</v>
      </c>
    </row>
    <row r="44689" spans="1:6" x14ac:dyDescent="0.2">
      <c r="A44689" t="s">
        <v>67335</v>
      </c>
      <c r="B44689" t="s">
        <v>477</v>
      </c>
      <c r="C44689" t="s">
        <v>71</v>
      </c>
      <c r="D44689" t="s">
        <v>14</v>
      </c>
      <c r="F44689" s="2" t="str">
        <f>HYPERLINK("http://www.otzar.org/book.asp?615702","תורת הספקות - א")</f>
        <v>תורת הספקות - א</v>
      </c>
    </row>
    <row r="44690" spans="1:6" x14ac:dyDescent="0.2">
      <c r="A44690" t="s">
        <v>67336</v>
      </c>
      <c r="B44690" t="s">
        <v>18792</v>
      </c>
      <c r="C44690" t="s">
        <v>313</v>
      </c>
      <c r="D44690" t="s">
        <v>52</v>
      </c>
      <c r="E44690" t="s">
        <v>19097</v>
      </c>
      <c r="F44690" s="2" t="str">
        <f>HYPERLINK("http://www.otzar.org/book.asp?62730","תורת העבודה והתשובה - 6 כר'")</f>
        <v>תורת העבודה והתשובה - 6 כר'</v>
      </c>
    </row>
    <row r="44691" spans="1:6" x14ac:dyDescent="0.2">
      <c r="A44691" t="s">
        <v>67337</v>
      </c>
      <c r="B44691" t="s">
        <v>67338</v>
      </c>
      <c r="C44691" t="s">
        <v>366</v>
      </c>
      <c r="D44691" t="s">
        <v>14</v>
      </c>
      <c r="E44691" t="s">
        <v>15</v>
      </c>
      <c r="F44691" s="2" t="str">
        <f>HYPERLINK("http://www.otzar.org/book.asp?606359","תורת העובר")</f>
        <v>תורת העובר</v>
      </c>
    </row>
    <row r="44692" spans="1:6" x14ac:dyDescent="0.2">
      <c r="A44692" t="s">
        <v>67339</v>
      </c>
      <c r="B44692" t="s">
        <v>16795</v>
      </c>
      <c r="C44692" t="s">
        <v>67340</v>
      </c>
      <c r="D44692" t="s">
        <v>744</v>
      </c>
      <c r="F44692" s="2" t="str">
        <f>HYPERLINK("http://www.otzar.org/book.asp?164837","תורת העולה - 8 כר'")</f>
        <v>תורת העולה - 8 כר'</v>
      </c>
    </row>
    <row r="44693" spans="1:6" x14ac:dyDescent="0.2">
      <c r="A44693" t="s">
        <v>67341</v>
      </c>
      <c r="B44693" t="s">
        <v>67342</v>
      </c>
      <c r="C44693" t="s">
        <v>785</v>
      </c>
      <c r="D44693" t="s">
        <v>412</v>
      </c>
      <c r="E44693" t="s">
        <v>144</v>
      </c>
      <c r="F44693" s="2" t="str">
        <f>HYPERLINK("http://www.otzar.org/book.asp?162813","תורת העולות")</f>
        <v>תורת העולות</v>
      </c>
    </row>
    <row r="44694" spans="1:6" x14ac:dyDescent="0.2">
      <c r="A44694" t="s">
        <v>67343</v>
      </c>
      <c r="B44694" t="s">
        <v>67271</v>
      </c>
      <c r="C44694" t="s">
        <v>244</v>
      </c>
      <c r="D44694" t="s">
        <v>1180</v>
      </c>
      <c r="E44694" t="s">
        <v>15</v>
      </c>
      <c r="F44694" s="2" t="str">
        <f>HYPERLINK("http://www.otzar.org/book.asp?606059","תורת העוף")</f>
        <v>תורת העוף</v>
      </c>
    </row>
    <row r="44695" spans="1:6" x14ac:dyDescent="0.2">
      <c r="A44695" t="s">
        <v>67343</v>
      </c>
      <c r="B44695" t="s">
        <v>27350</v>
      </c>
      <c r="C44695" t="s">
        <v>244</v>
      </c>
      <c r="D44695" t="s">
        <v>90</v>
      </c>
      <c r="F44695" s="2" t="str">
        <f>HYPERLINK("http://www.otzar.org/book.asp?605925","תורת העוף")</f>
        <v>תורת העוף</v>
      </c>
    </row>
    <row r="44696" spans="1:6" x14ac:dyDescent="0.2">
      <c r="A44696" t="s">
        <v>67343</v>
      </c>
      <c r="B44696" t="s">
        <v>52756</v>
      </c>
      <c r="C44696" t="s">
        <v>68</v>
      </c>
      <c r="D44696" t="s">
        <v>367</v>
      </c>
      <c r="E44696" t="s">
        <v>15</v>
      </c>
      <c r="F44696" s="2" t="str">
        <f>HYPERLINK("http://www.otzar.org/book.asp?85823","תורת העוף")</f>
        <v>תורת העוף</v>
      </c>
    </row>
    <row r="44697" spans="1:6" x14ac:dyDescent="0.2">
      <c r="A44697" t="s">
        <v>67344</v>
      </c>
      <c r="B44697" t="s">
        <v>67237</v>
      </c>
      <c r="C44697" t="s">
        <v>366</v>
      </c>
      <c r="D44697" t="s">
        <v>14</v>
      </c>
      <c r="F44697" s="2" t="str">
        <f>HYPERLINK("http://www.otzar.org/book.asp?616036","תורת העיון")</f>
        <v>תורת העיון</v>
      </c>
    </row>
    <row r="44698" spans="1:6" x14ac:dyDescent="0.2">
      <c r="A44698" t="s">
        <v>67345</v>
      </c>
      <c r="B44698" t="s">
        <v>382</v>
      </c>
      <c r="C44698" t="s">
        <v>466</v>
      </c>
      <c r="D44698" t="s">
        <v>14</v>
      </c>
      <c r="E44698" t="s">
        <v>202</v>
      </c>
      <c r="F44698" s="2" t="str">
        <f>HYPERLINK("http://www.otzar.org/book.asp?167019","תורת העמק - 7 כר'")</f>
        <v>תורת העמק - 7 כר'</v>
      </c>
    </row>
    <row r="44699" spans="1:6" x14ac:dyDescent="0.2">
      <c r="A44699" t="s">
        <v>67346</v>
      </c>
      <c r="B44699" t="s">
        <v>3384</v>
      </c>
      <c r="C44699" t="s">
        <v>71</v>
      </c>
      <c r="D44699" t="s">
        <v>14</v>
      </c>
      <c r="E44699" t="s">
        <v>158</v>
      </c>
      <c r="F44699" s="2" t="str">
        <f>HYPERLINK("http://www.otzar.org/book.asp?60427","תורת הפרשה - 6 כר'")</f>
        <v>תורת הפרשה - 6 כר'</v>
      </c>
    </row>
    <row r="44700" spans="1:6" x14ac:dyDescent="0.2">
      <c r="A44700" t="s">
        <v>67347</v>
      </c>
      <c r="B44700" t="s">
        <v>64607</v>
      </c>
      <c r="C44700" t="s">
        <v>482</v>
      </c>
      <c r="D44700" t="s">
        <v>27</v>
      </c>
      <c r="E44700" t="s">
        <v>529</v>
      </c>
      <c r="F44700" s="2" t="str">
        <f>HYPERLINK("http://www.otzar.org/book.asp?6864","תורת הקדשים")</f>
        <v>תורת הקדשים</v>
      </c>
    </row>
    <row r="44701" spans="1:6" x14ac:dyDescent="0.2">
      <c r="A44701" t="s">
        <v>67348</v>
      </c>
      <c r="B44701" t="s">
        <v>31130</v>
      </c>
      <c r="C44701" t="s">
        <v>585</v>
      </c>
      <c r="D44701" t="s">
        <v>52</v>
      </c>
      <c r="E44701" t="s">
        <v>15</v>
      </c>
      <c r="F44701" s="2" t="str">
        <f>HYPERLINK("http://www.otzar.org/book.asp?106538","תורת הקודש &lt;מהדו' תניינא&gt; - א")</f>
        <v>תורת הקודש &lt;מהדו' תניינא&gt; - א</v>
      </c>
    </row>
    <row r="44702" spans="1:6" x14ac:dyDescent="0.2">
      <c r="A44702" t="s">
        <v>67349</v>
      </c>
      <c r="B44702" t="s">
        <v>31130</v>
      </c>
      <c r="C44702" t="s">
        <v>146</v>
      </c>
      <c r="D44702" t="s">
        <v>27</v>
      </c>
      <c r="E44702" t="s">
        <v>144</v>
      </c>
      <c r="F44702" s="2" t="str">
        <f>HYPERLINK("http://www.otzar.org/book.asp?180050","תורת הקודש &lt;מהדורה חדשה&gt; - 3 כר'")</f>
        <v>תורת הקודש &lt;מהדורה חדשה&gt; - 3 כר'</v>
      </c>
    </row>
    <row r="44703" spans="1:6" x14ac:dyDescent="0.2">
      <c r="A44703" t="s">
        <v>67350</v>
      </c>
      <c r="B44703" t="s">
        <v>26209</v>
      </c>
      <c r="C44703" t="s">
        <v>68</v>
      </c>
      <c r="D44703" t="s">
        <v>367</v>
      </c>
      <c r="F44703" s="2" t="str">
        <f>HYPERLINK("http://www.otzar.org/book.asp?619219","תורת הקטן א-ב")</f>
        <v>תורת הקטן א-ב</v>
      </c>
    </row>
    <row r="44704" spans="1:6" x14ac:dyDescent="0.2">
      <c r="A44704" t="s">
        <v>67351</v>
      </c>
      <c r="B44704" t="s">
        <v>1417</v>
      </c>
      <c r="C44704" t="s">
        <v>23</v>
      </c>
      <c r="D44704" t="s">
        <v>21</v>
      </c>
      <c r="E44704" t="s">
        <v>213</v>
      </c>
      <c r="F44704" s="2" t="str">
        <f>HYPERLINK("http://www.otzar.org/book.asp?199375","תורת הקנאות &lt;מהדורת הרב בומבך&gt;")</f>
        <v>תורת הקנאות &lt;מהדורת הרב בומבך&gt;</v>
      </c>
    </row>
    <row r="44705" spans="1:6" x14ac:dyDescent="0.2">
      <c r="A44705" t="s">
        <v>67352</v>
      </c>
      <c r="B44705" t="s">
        <v>30642</v>
      </c>
      <c r="C44705" t="s">
        <v>1096</v>
      </c>
      <c r="D44705" t="s">
        <v>283</v>
      </c>
      <c r="E44705" t="s">
        <v>144</v>
      </c>
      <c r="F44705" s="2" t="str">
        <f>HYPERLINK("http://www.otzar.org/book.asp?228","תורת הקנאות")</f>
        <v>תורת הקנאות</v>
      </c>
    </row>
    <row r="44706" spans="1:6" x14ac:dyDescent="0.2">
      <c r="A44706" t="s">
        <v>67353</v>
      </c>
      <c r="B44706" t="s">
        <v>1417</v>
      </c>
      <c r="C44706" t="s">
        <v>4858</v>
      </c>
      <c r="D44706" t="s">
        <v>42</v>
      </c>
      <c r="E44706" t="s">
        <v>213</v>
      </c>
      <c r="F44706" s="2" t="str">
        <f>HYPERLINK("http://www.otzar.org/book.asp?12699","תורת הקנאות - 2 כר'")</f>
        <v>תורת הקנאות - 2 כר'</v>
      </c>
    </row>
    <row r="44707" spans="1:6" x14ac:dyDescent="0.2">
      <c r="A44707" t="s">
        <v>67352</v>
      </c>
      <c r="B44707" t="s">
        <v>27211</v>
      </c>
      <c r="C44707" t="s">
        <v>775</v>
      </c>
      <c r="D44707" t="s">
        <v>412</v>
      </c>
      <c r="F44707" s="2" t="str">
        <f>HYPERLINK("http://www.otzar.org/book.asp?153514","תורת הקנאות")</f>
        <v>תורת הקנאות</v>
      </c>
    </row>
    <row r="44708" spans="1:6" x14ac:dyDescent="0.2">
      <c r="A44708" t="s">
        <v>67352</v>
      </c>
      <c r="B44708" t="s">
        <v>67354</v>
      </c>
      <c r="C44708" t="s">
        <v>5163</v>
      </c>
      <c r="D44708" t="s">
        <v>1023</v>
      </c>
      <c r="E44708" t="s">
        <v>241</v>
      </c>
      <c r="F44708" s="2" t="str">
        <f>HYPERLINK("http://www.otzar.org/book.asp?107292","תורת הקנאות")</f>
        <v>תורת הקנאות</v>
      </c>
    </row>
    <row r="44709" spans="1:6" x14ac:dyDescent="0.2">
      <c r="A44709" t="s">
        <v>67355</v>
      </c>
      <c r="B44709" t="s">
        <v>67356</v>
      </c>
      <c r="C44709" t="s">
        <v>383</v>
      </c>
      <c r="D44709" t="s">
        <v>14</v>
      </c>
      <c r="E44709" t="s">
        <v>15</v>
      </c>
      <c r="F44709" s="2" t="str">
        <f>HYPERLINK("http://www.otzar.org/book.asp?25909","תורת הקנינים - 3 כר'")</f>
        <v>תורת הקנינים - 3 כר'</v>
      </c>
    </row>
    <row r="44710" spans="1:6" x14ac:dyDescent="0.2">
      <c r="A44710" t="s">
        <v>67357</v>
      </c>
      <c r="B44710" t="s">
        <v>5967</v>
      </c>
      <c r="C44710" t="s">
        <v>1169</v>
      </c>
      <c r="D44710" t="s">
        <v>260</v>
      </c>
      <c r="E44710" t="s">
        <v>674</v>
      </c>
      <c r="F44710" s="2" t="str">
        <f>HYPERLINK("http://www.otzar.org/book.asp?104586","תורת הקרבנות")</f>
        <v>תורת הקרבנות</v>
      </c>
    </row>
    <row r="44711" spans="1:6" x14ac:dyDescent="0.2">
      <c r="A44711" t="s">
        <v>67358</v>
      </c>
      <c r="B44711" t="s">
        <v>58193</v>
      </c>
      <c r="C44711" t="s">
        <v>71</v>
      </c>
      <c r="D44711" t="s">
        <v>14</v>
      </c>
      <c r="E44711" t="s">
        <v>158</v>
      </c>
      <c r="F44711" s="2" t="str">
        <f>HYPERLINK("http://www.otzar.org/book.asp?52555","תורת הרא""ם - 2 כר'")</f>
        <v>תורת הרא"ם - 2 כר'</v>
      </c>
    </row>
    <row r="44712" spans="1:6" x14ac:dyDescent="0.2">
      <c r="A44712" t="s">
        <v>67359</v>
      </c>
      <c r="B44712" t="s">
        <v>67360</v>
      </c>
      <c r="C44712" t="s">
        <v>10408</v>
      </c>
      <c r="D44712" t="s">
        <v>267</v>
      </c>
      <c r="E44712" t="s">
        <v>67361</v>
      </c>
      <c r="F44712" s="2" t="str">
        <f>HYPERLINK("http://www.otzar.org/book.asp?100676","תורת הרא""ם")</f>
        <v>תורת הרא"ם</v>
      </c>
    </row>
    <row r="44713" spans="1:6" x14ac:dyDescent="0.2">
      <c r="A44713" t="s">
        <v>67362</v>
      </c>
      <c r="B44713" t="s">
        <v>27877</v>
      </c>
      <c r="C44713" t="s">
        <v>189</v>
      </c>
      <c r="D44713" t="s">
        <v>52</v>
      </c>
      <c r="E44713" t="s">
        <v>84</v>
      </c>
      <c r="F44713" s="2" t="str">
        <f>HYPERLINK("http://www.otzar.org/book.asp?623132","תורת הראשונים - 2 כר'")</f>
        <v>תורת הראשונים - 2 כר'</v>
      </c>
    </row>
    <row r="44714" spans="1:6" x14ac:dyDescent="0.2">
      <c r="A44714" t="s">
        <v>67363</v>
      </c>
      <c r="B44714" t="s">
        <v>31562</v>
      </c>
      <c r="C44714" t="s">
        <v>67364</v>
      </c>
      <c r="D44714" t="s">
        <v>283</v>
      </c>
      <c r="E44714" t="s">
        <v>3387</v>
      </c>
      <c r="F44714" s="2" t="str">
        <f>HYPERLINK("http://www.otzar.org/book.asp?140","תורת הראשונים - א")</f>
        <v>תורת הראשונים - א</v>
      </c>
    </row>
    <row r="44715" spans="1:6" x14ac:dyDescent="0.2">
      <c r="A44715" t="s">
        <v>67365</v>
      </c>
      <c r="B44715" t="s">
        <v>12124</v>
      </c>
      <c r="C44715" t="s">
        <v>20</v>
      </c>
      <c r="D44715" t="s">
        <v>90</v>
      </c>
      <c r="E44715" t="s">
        <v>104</v>
      </c>
      <c r="F44715" s="2" t="str">
        <f>HYPERLINK("http://www.otzar.org/book.asp?143401","תורת הרב")</f>
        <v>תורת הרב</v>
      </c>
    </row>
    <row r="44716" spans="1:6" x14ac:dyDescent="0.2">
      <c r="A44716" t="s">
        <v>67366</v>
      </c>
      <c r="B44716" t="s">
        <v>67367</v>
      </c>
      <c r="C44716" t="s">
        <v>133</v>
      </c>
      <c r="D44716" t="s">
        <v>14</v>
      </c>
      <c r="E44716" t="s">
        <v>4940</v>
      </c>
      <c r="F44716" s="2" t="str">
        <f>HYPERLINK("http://www.otzar.org/book.asp?176534","תורת הרה""ק מלענטשנא")</f>
        <v>תורת הרה"ק מלענטשנא</v>
      </c>
    </row>
    <row r="44717" spans="1:6" x14ac:dyDescent="0.2">
      <c r="A44717" t="s">
        <v>67368</v>
      </c>
      <c r="B44717" t="s">
        <v>67169</v>
      </c>
      <c r="C44717" t="s">
        <v>37</v>
      </c>
      <c r="D44717" t="s">
        <v>21</v>
      </c>
      <c r="E44717" t="s">
        <v>186</v>
      </c>
      <c r="F44717" s="2" t="str">
        <f>HYPERLINK("http://www.otzar.org/book.asp?601211","תורת הריבית - 3 כר'")</f>
        <v>תורת הריבית - 3 כר'</v>
      </c>
    </row>
    <row r="44718" spans="1:6" x14ac:dyDescent="0.2">
      <c r="A44718" t="s">
        <v>67369</v>
      </c>
      <c r="B44718" t="s">
        <v>67370</v>
      </c>
      <c r="C44718" t="s">
        <v>67371</v>
      </c>
      <c r="D44718" t="s">
        <v>267</v>
      </c>
      <c r="E44718" t="s">
        <v>158</v>
      </c>
      <c r="F44718" s="2" t="str">
        <f>HYPERLINK("http://www.otzar.org/book.asp?28302","תורת הרמ""ז")</f>
        <v>תורת הרמ"ז</v>
      </c>
    </row>
    <row r="44719" spans="1:6" x14ac:dyDescent="0.2">
      <c r="A44719" t="s">
        <v>67369</v>
      </c>
      <c r="B44719" t="s">
        <v>67372</v>
      </c>
      <c r="C44719" t="s">
        <v>244</v>
      </c>
      <c r="D44719" t="s">
        <v>21</v>
      </c>
      <c r="E44719" t="s">
        <v>140</v>
      </c>
      <c r="F44719" s="2" t="str">
        <f>HYPERLINK("http://www.otzar.org/book.asp?600167","תורת הרמ""ז")</f>
        <v>תורת הרמ"ז</v>
      </c>
    </row>
    <row r="44720" spans="1:6" x14ac:dyDescent="0.2">
      <c r="A44720" t="s">
        <v>67373</v>
      </c>
      <c r="B44720" t="s">
        <v>25451</v>
      </c>
      <c r="C44720" t="s">
        <v>888</v>
      </c>
      <c r="D44720" t="s">
        <v>756</v>
      </c>
      <c r="E44720" t="s">
        <v>1185</v>
      </c>
      <c r="F44720" s="2" t="str">
        <f>HYPERLINK("http://www.otzar.org/book.asp?23754","תורת הרמ""ל השלם")</f>
        <v>תורת הרמ"ל השלם</v>
      </c>
    </row>
    <row r="44721" spans="1:6" x14ac:dyDescent="0.2">
      <c r="A44721" t="s">
        <v>67374</v>
      </c>
      <c r="B44721" t="s">
        <v>67375</v>
      </c>
      <c r="C44721" t="s">
        <v>1208</v>
      </c>
      <c r="D44721" t="s">
        <v>14</v>
      </c>
      <c r="E44721" t="s">
        <v>158</v>
      </c>
      <c r="F44721" s="2" t="str">
        <f>HYPERLINK("http://www.otzar.org/book.asp?14068","תורת הרמב""ם - 5 כר'")</f>
        <v>תורת הרמב"ם - 5 כר'</v>
      </c>
    </row>
    <row r="44722" spans="1:6" x14ac:dyDescent="0.2">
      <c r="A44722" t="s">
        <v>67376</v>
      </c>
      <c r="B44722" t="s">
        <v>25449</v>
      </c>
      <c r="C44722" t="s">
        <v>321</v>
      </c>
      <c r="D44722" t="s">
        <v>1279</v>
      </c>
      <c r="E44722" t="s">
        <v>1211</v>
      </c>
      <c r="F44722" s="2" t="str">
        <f>HYPERLINK("http://www.otzar.org/book.asp?17046","תורת הרמה")</f>
        <v>תורת הרמה</v>
      </c>
    </row>
    <row r="44723" spans="1:6" x14ac:dyDescent="0.2">
      <c r="A44723" t="s">
        <v>67377</v>
      </c>
      <c r="B44723" t="s">
        <v>9510</v>
      </c>
      <c r="C44723" t="s">
        <v>23</v>
      </c>
      <c r="D44723" t="s">
        <v>152</v>
      </c>
      <c r="E44723" t="s">
        <v>15</v>
      </c>
      <c r="F44723" s="2" t="str">
        <f>HYPERLINK("http://www.otzar.org/book.asp?605201","תורת השביעית")</f>
        <v>תורת השביעית</v>
      </c>
    </row>
    <row r="44724" spans="1:6" x14ac:dyDescent="0.2">
      <c r="A44724" t="s">
        <v>67377</v>
      </c>
      <c r="B44724" t="s">
        <v>5967</v>
      </c>
      <c r="C44724" t="s">
        <v>985</v>
      </c>
      <c r="D44724" t="s">
        <v>27</v>
      </c>
      <c r="E44724" t="s">
        <v>15</v>
      </c>
      <c r="F44724" s="2" t="str">
        <f>HYPERLINK("http://www.otzar.org/book.asp?11668","תורת השביעית")</f>
        <v>תורת השביעית</v>
      </c>
    </row>
    <row r="44725" spans="1:6" x14ac:dyDescent="0.2">
      <c r="A44725" t="s">
        <v>67377</v>
      </c>
      <c r="B44725" t="s">
        <v>23502</v>
      </c>
      <c r="C44725" t="s">
        <v>1246</v>
      </c>
      <c r="D44725" t="s">
        <v>9</v>
      </c>
      <c r="E44725" t="s">
        <v>15</v>
      </c>
      <c r="F44725" s="2" t="str">
        <f>HYPERLINK("http://www.otzar.org/book.asp?13857","תורת השביעית")</f>
        <v>תורת השביעית</v>
      </c>
    </row>
    <row r="44726" spans="1:6" x14ac:dyDescent="0.2">
      <c r="A44726" t="s">
        <v>67378</v>
      </c>
      <c r="B44726" t="s">
        <v>61412</v>
      </c>
      <c r="C44726" t="s">
        <v>68</v>
      </c>
      <c r="D44726" t="s">
        <v>52</v>
      </c>
      <c r="E44726" t="s">
        <v>144</v>
      </c>
      <c r="F44726" s="2" t="str">
        <f>HYPERLINK("http://www.otzar.org/book.asp?154120","תורת השבת")</f>
        <v>תורת השבת</v>
      </c>
    </row>
    <row r="44727" spans="1:6" x14ac:dyDescent="0.2">
      <c r="A44727" t="s">
        <v>67378</v>
      </c>
      <c r="B44727" t="s">
        <v>9479</v>
      </c>
      <c r="C44727" t="s">
        <v>1246</v>
      </c>
      <c r="D44727" t="s">
        <v>260</v>
      </c>
      <c r="E44727" t="s">
        <v>130</v>
      </c>
      <c r="F44727" s="2" t="str">
        <f>HYPERLINK("http://www.otzar.org/book.asp?145100","תורת השבת")</f>
        <v>תורת השבת</v>
      </c>
    </row>
    <row r="44728" spans="1:6" x14ac:dyDescent="0.2">
      <c r="A44728" t="s">
        <v>67378</v>
      </c>
      <c r="B44728" t="s">
        <v>67379</v>
      </c>
      <c r="C44728" t="s">
        <v>146</v>
      </c>
      <c r="D44728" t="s">
        <v>118</v>
      </c>
      <c r="E44728" t="s">
        <v>130</v>
      </c>
      <c r="F44728" s="2" t="str">
        <f>HYPERLINK("http://www.otzar.org/book.asp?84250","תורת השבת")</f>
        <v>תורת השבת</v>
      </c>
    </row>
    <row r="44729" spans="1:6" x14ac:dyDescent="0.2">
      <c r="A44729" t="s">
        <v>67378</v>
      </c>
      <c r="B44729" t="s">
        <v>3614</v>
      </c>
      <c r="C44729" t="s">
        <v>1570</v>
      </c>
      <c r="D44729" t="s">
        <v>14</v>
      </c>
      <c r="E44729" t="s">
        <v>3055</v>
      </c>
      <c r="F44729" s="2" t="str">
        <f>HYPERLINK("http://www.otzar.org/book.asp?154519","תורת השבת")</f>
        <v>תורת השבת</v>
      </c>
    </row>
    <row r="44730" spans="1:6" x14ac:dyDescent="0.2">
      <c r="A44730" t="s">
        <v>67380</v>
      </c>
      <c r="B44730" t="s">
        <v>18273</v>
      </c>
      <c r="C44730" t="s">
        <v>466</v>
      </c>
      <c r="D44730" t="s">
        <v>52</v>
      </c>
      <c r="E44730" t="s">
        <v>15</v>
      </c>
      <c r="F44730" s="2" t="str">
        <f>HYPERLINK("http://www.otzar.org/book.asp?24925","תורת השבת - 2 כר'")</f>
        <v>תורת השבת - 2 כר'</v>
      </c>
    </row>
    <row r="44731" spans="1:6" x14ac:dyDescent="0.2">
      <c r="A44731" t="s">
        <v>67378</v>
      </c>
      <c r="B44731" t="s">
        <v>2663</v>
      </c>
      <c r="C44731" t="s">
        <v>20</v>
      </c>
      <c r="D44731" t="s">
        <v>14</v>
      </c>
      <c r="E44731" t="s">
        <v>202</v>
      </c>
      <c r="F44731" s="2" t="str">
        <f>HYPERLINK("http://www.otzar.org/book.asp?168843","תורת השבת")</f>
        <v>תורת השבת</v>
      </c>
    </row>
    <row r="44732" spans="1:6" x14ac:dyDescent="0.2">
      <c r="A44732" t="s">
        <v>67381</v>
      </c>
      <c r="B44732" t="s">
        <v>67382</v>
      </c>
      <c r="C44732" t="s">
        <v>244</v>
      </c>
      <c r="D44732" t="s">
        <v>21</v>
      </c>
      <c r="F44732" s="2" t="str">
        <f>HYPERLINK("http://www.otzar.org/book.asp?610334","תורת השומרים")</f>
        <v>תורת השומרים</v>
      </c>
    </row>
    <row r="44733" spans="1:6" x14ac:dyDescent="0.2">
      <c r="A44733" t="s">
        <v>67383</v>
      </c>
      <c r="B44733" t="s">
        <v>4334</v>
      </c>
      <c r="C44733" t="s">
        <v>224</v>
      </c>
      <c r="D44733" t="s">
        <v>610</v>
      </c>
      <c r="E44733" t="s">
        <v>15</v>
      </c>
      <c r="F44733" s="2" t="str">
        <f>HYPERLINK("http://www.otzar.org/book.asp?188617","תורת השחיטה והבדיקה")</f>
        <v>תורת השחיטה והבדיקה</v>
      </c>
    </row>
    <row r="44734" spans="1:6" x14ac:dyDescent="0.2">
      <c r="A44734" t="s">
        <v>67384</v>
      </c>
      <c r="B44734" t="s">
        <v>67385</v>
      </c>
      <c r="C44734" t="s">
        <v>143</v>
      </c>
      <c r="D44734" t="s">
        <v>14</v>
      </c>
      <c r="E44734" t="s">
        <v>15</v>
      </c>
      <c r="F44734" s="2" t="str">
        <f>HYPERLINK("http://www.otzar.org/book.asp?168108","תורת השחיטה")</f>
        <v>תורת השחיטה</v>
      </c>
    </row>
    <row r="44735" spans="1:6" x14ac:dyDescent="0.2">
      <c r="A44735" t="s">
        <v>67386</v>
      </c>
      <c r="B44735" t="s">
        <v>4019</v>
      </c>
      <c r="C44735" t="s">
        <v>366</v>
      </c>
      <c r="D44735" t="s">
        <v>14</v>
      </c>
      <c r="F44735" s="2" t="str">
        <f>HYPERLINK("http://www.otzar.org/book.asp?611091","תורת השטר")</f>
        <v>תורת השטר</v>
      </c>
    </row>
    <row r="44736" spans="1:6" x14ac:dyDescent="0.2">
      <c r="A44736" t="s">
        <v>67387</v>
      </c>
      <c r="B44736" t="s">
        <v>67289</v>
      </c>
      <c r="C44736" t="s">
        <v>129</v>
      </c>
      <c r="D44736" t="s">
        <v>52</v>
      </c>
      <c r="E44736" t="s">
        <v>104</v>
      </c>
      <c r="F44736" s="2" t="str">
        <f>HYPERLINK("http://www.otzar.org/book.asp?189836","תורת השידוך")</f>
        <v>תורת השידוך</v>
      </c>
    </row>
    <row r="44737" spans="1:6" x14ac:dyDescent="0.2">
      <c r="A44737" t="s">
        <v>67388</v>
      </c>
      <c r="B44737" t="s">
        <v>67389</v>
      </c>
      <c r="C44737" t="s">
        <v>114</v>
      </c>
      <c r="D44737" t="s">
        <v>1511</v>
      </c>
      <c r="E44737" t="s">
        <v>1211</v>
      </c>
      <c r="F44737" s="2" t="str">
        <f>HYPERLINK("http://www.otzar.org/book.asp?173539","תורת השלמים")</f>
        <v>תורת השלמים</v>
      </c>
    </row>
    <row r="44738" spans="1:6" x14ac:dyDescent="0.2">
      <c r="A44738" t="s">
        <v>67388</v>
      </c>
      <c r="B44738" t="s">
        <v>27157</v>
      </c>
      <c r="C44738" t="s">
        <v>2644</v>
      </c>
      <c r="D44738" t="s">
        <v>6201</v>
      </c>
      <c r="F44738" s="2" t="str">
        <f>HYPERLINK("http://www.otzar.org/book.asp?174180","תורת השלמים")</f>
        <v>תורת השלמים</v>
      </c>
    </row>
    <row r="44739" spans="1:6" x14ac:dyDescent="0.2">
      <c r="A44739" t="s">
        <v>67390</v>
      </c>
      <c r="B44739" t="s">
        <v>67391</v>
      </c>
      <c r="C44739" t="s">
        <v>129</v>
      </c>
      <c r="D44739" t="s">
        <v>90</v>
      </c>
      <c r="E44739" t="s">
        <v>158</v>
      </c>
      <c r="F44739" s="2" t="str">
        <f>HYPERLINK("http://www.otzar.org/book.asp?156746","תורת השם")</f>
        <v>תורת השם</v>
      </c>
    </row>
    <row r="44740" spans="1:6" x14ac:dyDescent="0.2">
      <c r="A44740" t="s">
        <v>67392</v>
      </c>
      <c r="B44740" t="s">
        <v>998</v>
      </c>
      <c r="C44740" t="s">
        <v>129</v>
      </c>
      <c r="D44740" t="s">
        <v>14</v>
      </c>
      <c r="E44740" t="s">
        <v>241</v>
      </c>
      <c r="F44740" s="2" t="str">
        <f>HYPERLINK("http://www.otzar.org/book.asp?60329","תורת השמחה")</f>
        <v>תורת השמחה</v>
      </c>
    </row>
    <row r="44741" spans="1:6" x14ac:dyDescent="0.2">
      <c r="A44741" t="s">
        <v>67393</v>
      </c>
      <c r="B44741" t="s">
        <v>67394</v>
      </c>
      <c r="C44741" t="s">
        <v>129</v>
      </c>
      <c r="D44741" t="s">
        <v>14</v>
      </c>
      <c r="E44741" t="s">
        <v>15</v>
      </c>
      <c r="F44741" s="2" t="str">
        <f>HYPERLINK("http://www.otzar.org/book.asp?189151","תורת השמיטה &lt;מהדורה שניה&gt;")</f>
        <v>תורת השמיטה &lt;מהדורה שניה&gt;</v>
      </c>
    </row>
    <row r="44742" spans="1:6" x14ac:dyDescent="0.2">
      <c r="A44742" t="s">
        <v>67395</v>
      </c>
      <c r="B44742" t="s">
        <v>67394</v>
      </c>
      <c r="C44742" t="s">
        <v>313</v>
      </c>
      <c r="D44742" t="s">
        <v>14</v>
      </c>
      <c r="E44742" t="s">
        <v>15</v>
      </c>
      <c r="F44742" s="2" t="str">
        <f>HYPERLINK("http://www.otzar.org/book.asp?25981","תורת השמיטה")</f>
        <v>תורת השמיטה</v>
      </c>
    </row>
    <row r="44743" spans="1:6" x14ac:dyDescent="0.2">
      <c r="A44743" t="s">
        <v>67396</v>
      </c>
      <c r="B44743" t="s">
        <v>1504</v>
      </c>
      <c r="C44743" t="s">
        <v>1169</v>
      </c>
      <c r="D44743" t="s">
        <v>592</v>
      </c>
      <c r="E44743" t="s">
        <v>15</v>
      </c>
      <c r="F44743" s="2" t="str">
        <f>HYPERLINK("http://www.otzar.org/book.asp?623524","תורת השמיטה - 3 כר'")</f>
        <v>תורת השמיטה - 3 כר'</v>
      </c>
    </row>
    <row r="44744" spans="1:6" x14ac:dyDescent="0.2">
      <c r="A44744" t="s">
        <v>67397</v>
      </c>
      <c r="B44744" t="s">
        <v>67398</v>
      </c>
      <c r="C44744" t="s">
        <v>411</v>
      </c>
      <c r="D44744" t="s">
        <v>423</v>
      </c>
      <c r="E44744" t="s">
        <v>67399</v>
      </c>
      <c r="F44744" s="2" t="str">
        <f>HYPERLINK("http://www.otzar.org/book.asp?170531","תורת השרף ממאגלניצא")</f>
        <v>תורת השרף ממאגלניצא</v>
      </c>
    </row>
    <row r="44745" spans="1:6" x14ac:dyDescent="0.2">
      <c r="A44745" t="s">
        <v>67400</v>
      </c>
      <c r="B44745" t="s">
        <v>20398</v>
      </c>
      <c r="C44745" t="s">
        <v>23</v>
      </c>
      <c r="D44745" t="s">
        <v>21</v>
      </c>
      <c r="E44745" t="s">
        <v>15</v>
      </c>
      <c r="F44745" s="2" t="str">
        <f>HYPERLINK("http://www.otzar.org/book.asp?600166","תורת התור")</f>
        <v>תורת התור</v>
      </c>
    </row>
    <row r="44746" spans="1:6" x14ac:dyDescent="0.2">
      <c r="A44746" t="s">
        <v>67401</v>
      </c>
      <c r="B44746" t="s">
        <v>67402</v>
      </c>
      <c r="C44746" t="s">
        <v>111</v>
      </c>
      <c r="D44746" t="s">
        <v>852</v>
      </c>
      <c r="E44746" t="s">
        <v>15</v>
      </c>
      <c r="F44746" s="2" t="str">
        <f>HYPERLINK("http://www.otzar.org/book.asp?630247","תורת התלמוד עם מצא חן - א")</f>
        <v>תורת התלמוד עם מצא חן - א</v>
      </c>
    </row>
    <row r="44747" spans="1:6" x14ac:dyDescent="0.2">
      <c r="A44747" t="s">
        <v>67403</v>
      </c>
      <c r="B44747" t="s">
        <v>255</v>
      </c>
      <c r="C44747" t="s">
        <v>189</v>
      </c>
      <c r="D44747" t="s">
        <v>14</v>
      </c>
      <c r="E44747" t="s">
        <v>144</v>
      </c>
      <c r="F44747" s="2" t="str">
        <f>HYPERLINK("http://www.otzar.org/book.asp?152693","תורת התמורה - תמורה")</f>
        <v>תורת התמורה - תמורה</v>
      </c>
    </row>
    <row r="44748" spans="1:6" x14ac:dyDescent="0.2">
      <c r="A44748" t="s">
        <v>67404</v>
      </c>
      <c r="B44748" t="s">
        <v>67405</v>
      </c>
      <c r="C44748" t="s">
        <v>422</v>
      </c>
      <c r="D44748" t="s">
        <v>412</v>
      </c>
      <c r="E44748" t="s">
        <v>230</v>
      </c>
      <c r="F44748" s="2" t="str">
        <f>HYPERLINK("http://www.otzar.org/book.asp?630552","תורת התמרים")</f>
        <v>תורת התמרים</v>
      </c>
    </row>
    <row r="44749" spans="1:6" x14ac:dyDescent="0.2">
      <c r="A44749" t="s">
        <v>67406</v>
      </c>
      <c r="B44749" t="s">
        <v>67407</v>
      </c>
      <c r="C44749" t="s">
        <v>111</v>
      </c>
      <c r="D44749" t="s">
        <v>14</v>
      </c>
      <c r="E44749" t="s">
        <v>15</v>
      </c>
      <c r="F44749" s="2" t="str">
        <f>HYPERLINK("http://www.otzar.org/book.asp?627136","תורת התערובות")</f>
        <v>תורת התערובות</v>
      </c>
    </row>
    <row r="44750" spans="1:6" x14ac:dyDescent="0.2">
      <c r="A44750" t="s">
        <v>67408</v>
      </c>
      <c r="B44750" t="s">
        <v>3389</v>
      </c>
      <c r="C44750" t="s">
        <v>151</v>
      </c>
      <c r="D44750" t="s">
        <v>14</v>
      </c>
      <c r="E44750" t="s">
        <v>241</v>
      </c>
      <c r="F44750" s="2" t="str">
        <f>HYPERLINK("http://www.otzar.org/book.asp?622586","תורת התפלה")</f>
        <v>תורת התפלה</v>
      </c>
    </row>
    <row r="44751" spans="1:6" x14ac:dyDescent="0.2">
      <c r="A44751" t="s">
        <v>67408</v>
      </c>
      <c r="B44751" t="s">
        <v>20697</v>
      </c>
      <c r="C44751" t="s">
        <v>438</v>
      </c>
      <c r="D44751" t="s">
        <v>216</v>
      </c>
      <c r="E44751" t="s">
        <v>24</v>
      </c>
      <c r="F44751" s="2" t="str">
        <f>HYPERLINK("http://www.otzar.org/book.asp?9907","תורת התפלה")</f>
        <v>תורת התפלה</v>
      </c>
    </row>
    <row r="44752" spans="1:6" x14ac:dyDescent="0.2">
      <c r="A44752" t="s">
        <v>67409</v>
      </c>
      <c r="B44752" t="s">
        <v>9510</v>
      </c>
      <c r="C44752" t="s">
        <v>244</v>
      </c>
      <c r="D44752" t="s">
        <v>152</v>
      </c>
      <c r="F44752" s="2" t="str">
        <f>HYPERLINK("http://www.otzar.org/book.asp?605202","תורת התרומה")</f>
        <v>תורת התרומה</v>
      </c>
    </row>
    <row r="44753" spans="1:6" x14ac:dyDescent="0.2">
      <c r="A44753" t="s">
        <v>67410</v>
      </c>
      <c r="B44753" t="s">
        <v>67411</v>
      </c>
      <c r="C44753" t="s">
        <v>1268</v>
      </c>
      <c r="D44753" t="s">
        <v>52</v>
      </c>
      <c r="E44753" t="s">
        <v>144</v>
      </c>
      <c r="F44753" s="2" t="str">
        <f>HYPERLINK("http://www.otzar.org/book.asp?153656","תורת זאב - 3 כר'")</f>
        <v>תורת זאב - 3 כר'</v>
      </c>
    </row>
    <row r="44754" spans="1:6" x14ac:dyDescent="0.2">
      <c r="A44754" t="s">
        <v>67412</v>
      </c>
      <c r="B44754" t="s">
        <v>67413</v>
      </c>
      <c r="C44754" t="s">
        <v>422</v>
      </c>
      <c r="D44754" t="s">
        <v>14</v>
      </c>
      <c r="E44754" t="s">
        <v>84</v>
      </c>
      <c r="F44754" s="2" t="str">
        <f>HYPERLINK("http://www.otzar.org/book.asp?193488","תורת זאב - 5 כר'")</f>
        <v>תורת זאב - 5 כר'</v>
      </c>
    </row>
    <row r="44755" spans="1:6" x14ac:dyDescent="0.2">
      <c r="A44755" t="s">
        <v>67414</v>
      </c>
      <c r="B44755" t="s">
        <v>489</v>
      </c>
      <c r="C44755" t="s">
        <v>244</v>
      </c>
      <c r="D44755" t="s">
        <v>14</v>
      </c>
      <c r="F44755" s="2" t="str">
        <f>HYPERLINK("http://www.otzar.org/book.asp?603482","תורת זאב - המורה לצדקה")</f>
        <v>תורת זאב - המורה לצדקה</v>
      </c>
    </row>
    <row r="44756" spans="1:6" x14ac:dyDescent="0.2">
      <c r="A44756" t="s">
        <v>67415</v>
      </c>
      <c r="B44756" t="s">
        <v>2528</v>
      </c>
      <c r="C44756" t="s">
        <v>1058</v>
      </c>
      <c r="D44756" t="s">
        <v>929</v>
      </c>
      <c r="E44756" t="s">
        <v>15</v>
      </c>
      <c r="F44756" s="2" t="str">
        <f>HYPERLINK("http://www.otzar.org/book.asp?28384","תורת זבח - 4 כר'")</f>
        <v>תורת זבח - 4 כר'</v>
      </c>
    </row>
    <row r="44757" spans="1:6" x14ac:dyDescent="0.2">
      <c r="A44757" t="s">
        <v>67416</v>
      </c>
      <c r="B44757" t="s">
        <v>28970</v>
      </c>
      <c r="C44757" t="s">
        <v>503</v>
      </c>
      <c r="D44757" t="s">
        <v>27</v>
      </c>
      <c r="E44757" t="s">
        <v>15</v>
      </c>
      <c r="F44757" s="2" t="str">
        <f>HYPERLINK("http://www.otzar.org/book.asp?1005","תורת זבח")</f>
        <v>תורת זבח</v>
      </c>
    </row>
    <row r="44758" spans="1:6" x14ac:dyDescent="0.2">
      <c r="A44758" t="s">
        <v>67417</v>
      </c>
      <c r="B44758" t="s">
        <v>28548</v>
      </c>
      <c r="C44758" t="s">
        <v>356</v>
      </c>
      <c r="D44758" t="s">
        <v>216</v>
      </c>
      <c r="E44758" t="s">
        <v>84</v>
      </c>
      <c r="F44758" s="2" t="str">
        <f>HYPERLINK("http://www.otzar.org/book.asp?155406","תורת זרעים")</f>
        <v>תורת זרעים</v>
      </c>
    </row>
    <row r="44759" spans="1:6" x14ac:dyDescent="0.2">
      <c r="A44759" t="s">
        <v>67418</v>
      </c>
      <c r="B44759" t="s">
        <v>67419</v>
      </c>
      <c r="C44759" t="s">
        <v>366</v>
      </c>
      <c r="D44759" t="s">
        <v>646</v>
      </c>
      <c r="F44759" s="2" t="str">
        <f>HYPERLINK("http://www.otzar.org/book.asp?611144","תורת חובות הלבבות &lt;אוצר דברי המפרשים -רחש לבי-דבר טוב&gt; -שער חשבון הנפש")</f>
        <v>תורת חובות הלבבות &lt;אוצר דברי המפרשים -רחש לבי-דבר טוב&gt; -שער חשבון הנפש</v>
      </c>
    </row>
    <row r="44760" spans="1:6" x14ac:dyDescent="0.2">
      <c r="A44760" t="s">
        <v>67420</v>
      </c>
      <c r="B44760" t="s">
        <v>67421</v>
      </c>
      <c r="C44760" t="s">
        <v>111</v>
      </c>
      <c r="D44760" t="s">
        <v>14</v>
      </c>
      <c r="E44760" t="s">
        <v>241</v>
      </c>
      <c r="F44760" s="2" t="str">
        <f>HYPERLINK("http://www.otzar.org/book.asp?627403","תורת חובות הלבבות &lt;עם ביאור עומק הלב&gt; - שער עבודת האלקים")</f>
        <v>תורת חובות הלבבות &lt;עם ביאור עומק הלב&gt; - שער עבודת האלקים</v>
      </c>
    </row>
    <row r="44761" spans="1:6" x14ac:dyDescent="0.2">
      <c r="A44761" t="s">
        <v>67422</v>
      </c>
      <c r="B44761" t="s">
        <v>24635</v>
      </c>
      <c r="C44761" t="s">
        <v>67423</v>
      </c>
      <c r="D44761" t="s">
        <v>9</v>
      </c>
      <c r="E44761" t="s">
        <v>241</v>
      </c>
      <c r="F44761" s="2" t="str">
        <f>HYPERLINK("http://www.otzar.org/book.asp?52100","תורת חובות הלבבות &lt;עם תרגום אנגלית&gt; - ב")</f>
        <v>תורת חובות הלבבות &lt;עם תרגום אנגלית&gt; - ב</v>
      </c>
    </row>
    <row r="44762" spans="1:6" x14ac:dyDescent="0.2">
      <c r="A44762" t="s">
        <v>67424</v>
      </c>
      <c r="B44762" t="s">
        <v>24635</v>
      </c>
      <c r="C44762" t="s">
        <v>1811</v>
      </c>
      <c r="D44762" t="s">
        <v>14</v>
      </c>
      <c r="E44762" t="s">
        <v>16263</v>
      </c>
      <c r="F44762" s="2" t="str">
        <f>HYPERLINK("http://www.otzar.org/book.asp?14197","תורת חובות הלבבות &lt;קאפח&gt;")</f>
        <v>תורת חובות הלבבות &lt;קאפח&gt;</v>
      </c>
    </row>
    <row r="44763" spans="1:6" x14ac:dyDescent="0.2">
      <c r="A44763" t="s">
        <v>67425</v>
      </c>
      <c r="B44763" t="s">
        <v>67426</v>
      </c>
      <c r="C44763" t="s">
        <v>609</v>
      </c>
      <c r="D44763" t="s">
        <v>412</v>
      </c>
      <c r="E44763" t="s">
        <v>241</v>
      </c>
      <c r="F44763" s="2" t="str">
        <f>HYPERLINK("http://www.otzar.org/book.asp?153943","תורת חובות הלבבות - עם עברי דייטש  (ליקוטים)")</f>
        <v>תורת חובות הלבבות - עם עברי דייטש  (ליקוטים)</v>
      </c>
    </row>
    <row r="44764" spans="1:6" x14ac:dyDescent="0.2">
      <c r="A44764" t="s">
        <v>67427</v>
      </c>
      <c r="B44764" t="s">
        <v>24635</v>
      </c>
      <c r="C44764" t="s">
        <v>1619</v>
      </c>
      <c r="D44764" t="s">
        <v>14</v>
      </c>
      <c r="E44764" t="s">
        <v>241</v>
      </c>
      <c r="F44764" s="2" t="str">
        <f>HYPERLINK("http://www.otzar.org/book.asp?301","תורת חובות הלבבות")</f>
        <v>תורת חובות הלבבות</v>
      </c>
    </row>
    <row r="44765" spans="1:6" x14ac:dyDescent="0.2">
      <c r="A44765" t="s">
        <v>67428</v>
      </c>
      <c r="B44765" t="s">
        <v>24635</v>
      </c>
      <c r="C44765" t="s">
        <v>2040</v>
      </c>
      <c r="D44765" t="s">
        <v>2041</v>
      </c>
      <c r="F44765" s="2" t="str">
        <f>HYPERLINK("http://www.otzar.org/book.asp?53608","תורת חובת הלבבות &lt;נאדר בקודש&gt;")</f>
        <v>תורת חובת הלבבות &lt;נאדר בקודש&gt;</v>
      </c>
    </row>
    <row r="44766" spans="1:6" x14ac:dyDescent="0.2">
      <c r="A44766" t="s">
        <v>67429</v>
      </c>
      <c r="B44766" t="s">
        <v>67430</v>
      </c>
      <c r="C44766" t="s">
        <v>37</v>
      </c>
      <c r="D44766" t="s">
        <v>90</v>
      </c>
      <c r="F44766" s="2" t="str">
        <f>HYPERLINK("http://www.otzar.org/book.asp?612495","תורת חובת הלבבות - &lt;שער חשבון הנפש עם ליקוט אראנו בישע&gt;")</f>
        <v>תורת חובת הלבבות - &lt;שער חשבון הנפש עם ליקוט אראנו בישע&gt;</v>
      </c>
    </row>
    <row r="44767" spans="1:6" x14ac:dyDescent="0.2">
      <c r="A44767" t="s">
        <v>67431</v>
      </c>
      <c r="B44767" t="s">
        <v>24635</v>
      </c>
      <c r="C44767" t="s">
        <v>1458</v>
      </c>
      <c r="D44767" t="s">
        <v>283</v>
      </c>
      <c r="E44767" t="s">
        <v>241</v>
      </c>
      <c r="F44767" s="2" t="str">
        <f>HYPERLINK("http://www.otzar.org/book.asp?6627","תורת חובת הלבבות - 2 כר'")</f>
        <v>תורת חובת הלבבות - 2 כר'</v>
      </c>
    </row>
    <row r="44768" spans="1:6" x14ac:dyDescent="0.2">
      <c r="A44768" t="s">
        <v>67432</v>
      </c>
      <c r="B44768" t="s">
        <v>24895</v>
      </c>
      <c r="C44768" t="s">
        <v>168</v>
      </c>
      <c r="D44768" t="s">
        <v>9</v>
      </c>
      <c r="E44768" t="s">
        <v>202</v>
      </c>
      <c r="F44768" s="2" t="str">
        <f>HYPERLINK("http://www.otzar.org/book.asp?602060","תורת חוף הימים")</f>
        <v>תורת חוף הימים</v>
      </c>
    </row>
    <row r="44769" spans="1:6" x14ac:dyDescent="0.2">
      <c r="A44769" t="s">
        <v>67433</v>
      </c>
      <c r="B44769" t="s">
        <v>16795</v>
      </c>
      <c r="C44769" t="s">
        <v>2644</v>
      </c>
      <c r="D44769" t="s">
        <v>283</v>
      </c>
      <c r="E44769" t="s">
        <v>10</v>
      </c>
      <c r="F44769" s="2" t="str">
        <f>HYPERLINK("http://www.otzar.org/book.asp?169548","תורת חטאת &lt;מנחת יעקב&gt; - 2 כר'")</f>
        <v>תורת חטאת &lt;מנחת יעקב&gt; - 2 כר'</v>
      </c>
    </row>
    <row r="44770" spans="1:6" x14ac:dyDescent="0.2">
      <c r="A44770" t="s">
        <v>67434</v>
      </c>
      <c r="B44770" t="s">
        <v>16795</v>
      </c>
      <c r="C44770" t="s">
        <v>2644</v>
      </c>
      <c r="D44770" t="s">
        <v>225</v>
      </c>
      <c r="E44770" t="s">
        <v>15</v>
      </c>
      <c r="F44770" s="2" t="str">
        <f>HYPERLINK("http://www.otzar.org/book.asp?161615","תורת חטאת &lt;תורת השלמים&gt;")</f>
        <v>תורת חטאת &lt;תורת השלמים&gt;</v>
      </c>
    </row>
    <row r="44771" spans="1:6" x14ac:dyDescent="0.2">
      <c r="A44771" t="s">
        <v>67435</v>
      </c>
      <c r="B44771" t="s">
        <v>6322</v>
      </c>
      <c r="C44771" t="s">
        <v>433</v>
      </c>
      <c r="D44771" t="s">
        <v>27</v>
      </c>
      <c r="E44771" t="s">
        <v>158</v>
      </c>
      <c r="F44771" s="2" t="str">
        <f>HYPERLINK("http://www.otzar.org/book.asp?159237","תורת חידושי הרי""ם")</f>
        <v>תורת חידושי הרי"ם</v>
      </c>
    </row>
    <row r="44772" spans="1:6" x14ac:dyDescent="0.2">
      <c r="A44772" t="s">
        <v>67436</v>
      </c>
      <c r="B44772" t="s">
        <v>67437</v>
      </c>
      <c r="C44772" t="s">
        <v>20</v>
      </c>
      <c r="D44772" t="s">
        <v>1356</v>
      </c>
      <c r="E44772" t="s">
        <v>1185</v>
      </c>
      <c r="F44772" s="2" t="str">
        <f>HYPERLINK("http://www.otzar.org/book.asp?64387","תורת חיים &lt;מהדורת מרמורשטיין&gt;")</f>
        <v>תורת חיים &lt;מהדורת מרמורשטיין&gt;</v>
      </c>
    </row>
    <row r="44773" spans="1:6" x14ac:dyDescent="0.2">
      <c r="A44773" t="s">
        <v>67438</v>
      </c>
      <c r="B44773" t="s">
        <v>67439</v>
      </c>
      <c r="C44773" t="s">
        <v>422</v>
      </c>
      <c r="D44773" t="s">
        <v>245</v>
      </c>
      <c r="E44773" t="s">
        <v>144</v>
      </c>
      <c r="F44773" s="2" t="str">
        <f>HYPERLINK("http://www.otzar.org/book.asp?183282","תורת חיים &lt;מהדורה חדשה&gt;")</f>
        <v>תורת חיים &lt;מהדורה חדשה&gt;</v>
      </c>
    </row>
    <row r="44774" spans="1:6" x14ac:dyDescent="0.2">
      <c r="A44774" t="s">
        <v>67440</v>
      </c>
      <c r="B44774" t="s">
        <v>52812</v>
      </c>
      <c r="C44774" t="s">
        <v>8032</v>
      </c>
      <c r="D44774" t="s">
        <v>726</v>
      </c>
      <c r="E44774" t="s">
        <v>144</v>
      </c>
      <c r="F44774" s="2" t="str">
        <f>HYPERLINK("http://www.otzar.org/book.asp?188734","תורת חיים &lt;דפו""ר&gt;")</f>
        <v>תורת חיים &lt;דפו"ר&gt;</v>
      </c>
    </row>
    <row r="44775" spans="1:6" x14ac:dyDescent="0.2">
      <c r="A44775" t="s">
        <v>67441</v>
      </c>
      <c r="B44775" t="s">
        <v>67442</v>
      </c>
      <c r="C44775" t="s">
        <v>67443</v>
      </c>
      <c r="D44775" t="s">
        <v>280</v>
      </c>
      <c r="E44775" t="s">
        <v>15</v>
      </c>
      <c r="F44775" s="2" t="str">
        <f>HYPERLINK("http://www.otzar.org/book.asp?64025","תורת חיים ואהבת חסד")</f>
        <v>תורת חיים ואהבת חסד</v>
      </c>
    </row>
    <row r="44776" spans="1:6" x14ac:dyDescent="0.2">
      <c r="A44776" t="s">
        <v>67444</v>
      </c>
      <c r="B44776" t="s">
        <v>128</v>
      </c>
      <c r="C44776" t="s">
        <v>13</v>
      </c>
      <c r="D44776" t="s">
        <v>52</v>
      </c>
      <c r="E44776" t="s">
        <v>154</v>
      </c>
      <c r="F44776" s="2" t="str">
        <f>HYPERLINK("http://www.otzar.org/book.asp?60484","תורת חיים וחסד - 4 כר'")</f>
        <v>תורת חיים וחסד - 4 כר'</v>
      </c>
    </row>
    <row r="44777" spans="1:6" x14ac:dyDescent="0.2">
      <c r="A44777" t="s">
        <v>67445</v>
      </c>
      <c r="B44777" t="s">
        <v>28374</v>
      </c>
      <c r="C44777" t="s">
        <v>4266</v>
      </c>
      <c r="D44777" t="s">
        <v>563</v>
      </c>
      <c r="E44777" t="s">
        <v>219</v>
      </c>
      <c r="F44777" s="2" t="str">
        <f>HYPERLINK("http://www.otzar.org/book.asp?188671","תורת חיים")</f>
        <v>תורת חיים</v>
      </c>
    </row>
    <row r="44778" spans="1:6" x14ac:dyDescent="0.2">
      <c r="A44778" t="s">
        <v>67445</v>
      </c>
      <c r="B44778" t="s">
        <v>67446</v>
      </c>
      <c r="C44778" t="s">
        <v>20</v>
      </c>
      <c r="D44778" t="s">
        <v>216</v>
      </c>
      <c r="F44778" s="2" t="str">
        <f>HYPERLINK("http://www.otzar.org/book.asp?606022","תורת חיים")</f>
        <v>תורת חיים</v>
      </c>
    </row>
    <row r="44779" spans="1:6" x14ac:dyDescent="0.2">
      <c r="A44779" t="s">
        <v>67447</v>
      </c>
      <c r="B44779" t="s">
        <v>3935</v>
      </c>
      <c r="C44779" t="s">
        <v>3840</v>
      </c>
      <c r="D44779" t="s">
        <v>9</v>
      </c>
      <c r="E44779" t="s">
        <v>474</v>
      </c>
      <c r="F44779" s="2" t="str">
        <f>HYPERLINK("http://www.otzar.org/book.asp?14240","תורת חיים - 2 כר'")</f>
        <v>תורת חיים - 2 כר'</v>
      </c>
    </row>
    <row r="44780" spans="1:6" x14ac:dyDescent="0.2">
      <c r="A44780" t="s">
        <v>67445</v>
      </c>
      <c r="B44780" t="s">
        <v>49934</v>
      </c>
      <c r="C44780" t="s">
        <v>99</v>
      </c>
      <c r="D44780" t="s">
        <v>27</v>
      </c>
      <c r="E44780" t="s">
        <v>474</v>
      </c>
      <c r="F44780" s="2" t="str">
        <f>HYPERLINK("http://www.otzar.org/book.asp?20387","תורת חיים")</f>
        <v>תורת חיים</v>
      </c>
    </row>
    <row r="44781" spans="1:6" x14ac:dyDescent="0.2">
      <c r="A44781" t="s">
        <v>67448</v>
      </c>
      <c r="B44781" t="s">
        <v>9496</v>
      </c>
      <c r="C44781" t="s">
        <v>383</v>
      </c>
      <c r="D44781" t="s">
        <v>216</v>
      </c>
      <c r="E44781" t="s">
        <v>158</v>
      </c>
      <c r="F44781" s="2" t="str">
        <f>HYPERLINK("http://www.otzar.org/book.asp?145255","תורת חיים - 4 כר'")</f>
        <v>תורת חיים - 4 כר'</v>
      </c>
    </row>
    <row r="44782" spans="1:6" x14ac:dyDescent="0.2">
      <c r="A44782" t="s">
        <v>67447</v>
      </c>
      <c r="B44782" t="s">
        <v>63843</v>
      </c>
      <c r="C44782" t="s">
        <v>422</v>
      </c>
      <c r="D44782" t="s">
        <v>14</v>
      </c>
      <c r="E44782" t="s">
        <v>154</v>
      </c>
      <c r="F44782" s="2" t="str">
        <f>HYPERLINK("http://www.otzar.org/book.asp?163563","תורת חיים - 2 כר'")</f>
        <v>תורת חיים - 2 כר'</v>
      </c>
    </row>
    <row r="44783" spans="1:6" x14ac:dyDescent="0.2">
      <c r="A44783" t="s">
        <v>67445</v>
      </c>
      <c r="B44783" t="s">
        <v>67449</v>
      </c>
      <c r="C44783" t="s">
        <v>6448</v>
      </c>
      <c r="D44783" t="s">
        <v>283</v>
      </c>
      <c r="E44783" t="s">
        <v>144</v>
      </c>
      <c r="F44783" s="2" t="str">
        <f>HYPERLINK("http://www.otzar.org/book.asp?146874","תורת חיים")</f>
        <v>תורת חיים</v>
      </c>
    </row>
    <row r="44784" spans="1:6" x14ac:dyDescent="0.2">
      <c r="A44784" t="s">
        <v>67445</v>
      </c>
      <c r="B44784" t="s">
        <v>67450</v>
      </c>
      <c r="C44784" t="s">
        <v>24721</v>
      </c>
      <c r="D44784" t="s">
        <v>41864</v>
      </c>
      <c r="E44784" t="s">
        <v>144</v>
      </c>
      <c r="F44784" s="2" t="str">
        <f>HYPERLINK("http://www.otzar.org/book.asp?188565","תורת חיים")</f>
        <v>תורת חיים</v>
      </c>
    </row>
    <row r="44785" spans="1:6" x14ac:dyDescent="0.2">
      <c r="A44785" t="s">
        <v>67451</v>
      </c>
      <c r="B44785" t="s">
        <v>67437</v>
      </c>
      <c r="C44785" t="s">
        <v>1414</v>
      </c>
      <c r="D44785" t="s">
        <v>267</v>
      </c>
      <c r="E44785" t="s">
        <v>993</v>
      </c>
      <c r="F44785" s="2" t="str">
        <f>HYPERLINK("http://www.otzar.org/book.asp?153040","תורת חיים - 5 כר'")</f>
        <v>תורת חיים - 5 כר'</v>
      </c>
    </row>
    <row r="44786" spans="1:6" x14ac:dyDescent="0.2">
      <c r="A44786" t="s">
        <v>67445</v>
      </c>
      <c r="B44786" t="s">
        <v>67452</v>
      </c>
      <c r="C44786" t="s">
        <v>111</v>
      </c>
      <c r="D44786" t="s">
        <v>1646</v>
      </c>
      <c r="E44786" t="s">
        <v>104</v>
      </c>
      <c r="F44786" s="2" t="str">
        <f>HYPERLINK("http://www.otzar.org/book.asp?629846","תורת חיים")</f>
        <v>תורת חיים</v>
      </c>
    </row>
    <row r="44787" spans="1:6" x14ac:dyDescent="0.2">
      <c r="A44787" t="s">
        <v>67453</v>
      </c>
      <c r="B44787" t="s">
        <v>9479</v>
      </c>
      <c r="C44787" t="s">
        <v>1169</v>
      </c>
      <c r="D44787" t="s">
        <v>27</v>
      </c>
      <c r="E44787" t="s">
        <v>15</v>
      </c>
      <c r="F44787" s="2" t="str">
        <f>HYPERLINK("http://www.otzar.org/book.asp?610948","תורת חיים - 3 כר'")</f>
        <v>תורת חיים - 3 כר'</v>
      </c>
    </row>
    <row r="44788" spans="1:6" x14ac:dyDescent="0.2">
      <c r="A44788" t="s">
        <v>67453</v>
      </c>
      <c r="B44788" t="s">
        <v>5611</v>
      </c>
      <c r="C44788" t="s">
        <v>1169</v>
      </c>
      <c r="D44788" t="s">
        <v>14</v>
      </c>
      <c r="E44788" t="s">
        <v>158</v>
      </c>
      <c r="F44788" s="2" t="str">
        <f>HYPERLINK("http://www.otzar.org/book.asp?144820","תורת חיים - 3 כר'")</f>
        <v>תורת חיים - 3 כר'</v>
      </c>
    </row>
    <row r="44789" spans="1:6" x14ac:dyDescent="0.2">
      <c r="A44789" t="s">
        <v>67445</v>
      </c>
      <c r="B44789" t="s">
        <v>67439</v>
      </c>
      <c r="C44789" t="s">
        <v>725</v>
      </c>
      <c r="D44789" t="s">
        <v>56</v>
      </c>
      <c r="E44789" t="s">
        <v>144</v>
      </c>
      <c r="F44789" s="2" t="str">
        <f>HYPERLINK("http://www.otzar.org/book.asp?9032","תורת חיים")</f>
        <v>תורת חיים</v>
      </c>
    </row>
    <row r="44790" spans="1:6" x14ac:dyDescent="0.2">
      <c r="A44790" t="s">
        <v>67445</v>
      </c>
      <c r="B44790" t="s">
        <v>67454</v>
      </c>
      <c r="C44790" t="s">
        <v>1954</v>
      </c>
      <c r="D44790" t="s">
        <v>9</v>
      </c>
      <c r="E44790" t="s">
        <v>15</v>
      </c>
      <c r="F44790" s="2" t="str">
        <f>HYPERLINK("http://www.otzar.org/book.asp?52098","תורת חיים")</f>
        <v>תורת חיים</v>
      </c>
    </row>
    <row r="44791" spans="1:6" x14ac:dyDescent="0.2">
      <c r="A44791" t="s">
        <v>67445</v>
      </c>
      <c r="B44791" t="s">
        <v>11539</v>
      </c>
      <c r="C44791" t="s">
        <v>23</v>
      </c>
      <c r="D44791" t="s">
        <v>14</v>
      </c>
      <c r="F44791" s="2" t="str">
        <f>HYPERLINK("http://www.otzar.org/book.asp?614433","תורת חיים")</f>
        <v>תורת חיים</v>
      </c>
    </row>
    <row r="44792" spans="1:6" x14ac:dyDescent="0.2">
      <c r="A44792" t="s">
        <v>67455</v>
      </c>
      <c r="B44792" t="s">
        <v>30147</v>
      </c>
      <c r="C44792" t="s">
        <v>51</v>
      </c>
      <c r="D44792" t="s">
        <v>412</v>
      </c>
      <c r="E44792" t="s">
        <v>172</v>
      </c>
      <c r="F44792" s="2" t="str">
        <f>HYPERLINK("http://www.otzar.org/book.asp?161484","תורת חיים - 7 כר'")</f>
        <v>תורת חיים - 7 כר'</v>
      </c>
    </row>
    <row r="44793" spans="1:6" x14ac:dyDescent="0.2">
      <c r="A44793" t="s">
        <v>67445</v>
      </c>
      <c r="B44793" t="s">
        <v>67456</v>
      </c>
      <c r="C44793" t="s">
        <v>20</v>
      </c>
      <c r="D44793" t="s">
        <v>90</v>
      </c>
      <c r="E44793" t="s">
        <v>241</v>
      </c>
      <c r="F44793" s="2" t="str">
        <f>HYPERLINK("http://www.otzar.org/book.asp?194153","תורת חיים")</f>
        <v>תורת חיים</v>
      </c>
    </row>
    <row r="44794" spans="1:6" x14ac:dyDescent="0.2">
      <c r="A44794" t="s">
        <v>67445</v>
      </c>
      <c r="B44794" t="s">
        <v>67457</v>
      </c>
      <c r="C44794" t="s">
        <v>67458</v>
      </c>
      <c r="D44794" t="s">
        <v>67459</v>
      </c>
      <c r="F44794" s="2" t="str">
        <f>HYPERLINK("http://www.otzar.org/book.asp?169639","תורת חיים")</f>
        <v>תורת חיים</v>
      </c>
    </row>
    <row r="44795" spans="1:6" x14ac:dyDescent="0.2">
      <c r="A44795" t="s">
        <v>67447</v>
      </c>
      <c r="B44795" t="s">
        <v>67460</v>
      </c>
      <c r="C44795" t="s">
        <v>366</v>
      </c>
      <c r="D44795" t="s">
        <v>80</v>
      </c>
      <c r="F44795" s="2" t="str">
        <f>HYPERLINK("http://www.otzar.org/book.asp?610087","תורת חיים - 2 כר'")</f>
        <v>תורת חיים - 2 כר'</v>
      </c>
    </row>
    <row r="44796" spans="1:6" x14ac:dyDescent="0.2">
      <c r="A44796" t="s">
        <v>67445</v>
      </c>
      <c r="B44796" t="s">
        <v>1750</v>
      </c>
      <c r="C44796" t="s">
        <v>68</v>
      </c>
      <c r="D44796" t="s">
        <v>52</v>
      </c>
      <c r="E44796" t="s">
        <v>202</v>
      </c>
      <c r="F44796" s="2" t="str">
        <f>HYPERLINK("http://www.otzar.org/book.asp?156398","תורת חיים")</f>
        <v>תורת חיים</v>
      </c>
    </row>
    <row r="44797" spans="1:6" x14ac:dyDescent="0.2">
      <c r="A44797" t="s">
        <v>67445</v>
      </c>
      <c r="B44797" t="s">
        <v>67461</v>
      </c>
      <c r="C44797" t="s">
        <v>854</v>
      </c>
      <c r="D44797" t="s">
        <v>6742</v>
      </c>
      <c r="E44797" t="s">
        <v>219</v>
      </c>
      <c r="F44797" s="2" t="str">
        <f>HYPERLINK("http://www.otzar.org/book.asp?188683","תורת חיים")</f>
        <v>תורת חיים</v>
      </c>
    </row>
    <row r="44798" spans="1:6" x14ac:dyDescent="0.2">
      <c r="A44798" t="s">
        <v>67455</v>
      </c>
      <c r="B44798" t="s">
        <v>36110</v>
      </c>
      <c r="C44798" t="s">
        <v>67462</v>
      </c>
      <c r="D44798" t="s">
        <v>76</v>
      </c>
      <c r="E44798" t="s">
        <v>154</v>
      </c>
      <c r="F44798" s="2" t="str">
        <f>HYPERLINK("http://www.otzar.org/book.asp?101468","תורת חיים - 7 כר'")</f>
        <v>תורת חיים - 7 כר'</v>
      </c>
    </row>
    <row r="44799" spans="1:6" x14ac:dyDescent="0.2">
      <c r="A44799" t="s">
        <v>67463</v>
      </c>
      <c r="B44799" t="s">
        <v>67464</v>
      </c>
      <c r="C44799" t="s">
        <v>129</v>
      </c>
      <c r="D44799" t="s">
        <v>245</v>
      </c>
      <c r="E44799" t="s">
        <v>463</v>
      </c>
      <c r="F44799" s="2" t="str">
        <f>HYPERLINK("http://www.otzar.org/book.asp?171137","תורת חיים - על התורה ונ""ך")</f>
        <v>תורת חיים - על התורה ונ"ך</v>
      </c>
    </row>
    <row r="44800" spans="1:6" x14ac:dyDescent="0.2">
      <c r="A44800" t="s">
        <v>67451</v>
      </c>
      <c r="B44800" t="s">
        <v>52812</v>
      </c>
      <c r="C44800" t="s">
        <v>1335</v>
      </c>
      <c r="D44800" t="s">
        <v>283</v>
      </c>
      <c r="E44800" t="s">
        <v>144</v>
      </c>
      <c r="F44800" s="2" t="str">
        <f>HYPERLINK("http://www.otzar.org/book.asp?625953","תורת חיים - 5 כר'")</f>
        <v>תורת חיים - 5 כר'</v>
      </c>
    </row>
    <row r="44801" spans="1:6" x14ac:dyDescent="0.2">
      <c r="A44801" t="s">
        <v>67445</v>
      </c>
      <c r="B44801" t="s">
        <v>67465</v>
      </c>
      <c r="C44801" t="s">
        <v>698</v>
      </c>
      <c r="D44801" t="s">
        <v>412</v>
      </c>
      <c r="E44801" t="s">
        <v>234</v>
      </c>
      <c r="F44801" s="2" t="str">
        <f>HYPERLINK("http://www.otzar.org/book.asp?188618","תורת חיים")</f>
        <v>תורת חיים</v>
      </c>
    </row>
    <row r="44802" spans="1:6" x14ac:dyDescent="0.2">
      <c r="A44802" t="s">
        <v>67466</v>
      </c>
      <c r="B44802" t="s">
        <v>67467</v>
      </c>
      <c r="C44802" t="s">
        <v>20</v>
      </c>
      <c r="D44802" t="s">
        <v>14</v>
      </c>
      <c r="E44802" t="s">
        <v>202</v>
      </c>
      <c r="F44802" s="2" t="str">
        <f>HYPERLINK("http://www.otzar.org/book.asp?160008","תורת חיים, זכרון יהודא")</f>
        <v>תורת חיים, זכרון יהודא</v>
      </c>
    </row>
    <row r="44803" spans="1:6" x14ac:dyDescent="0.2">
      <c r="A44803" t="s">
        <v>67468</v>
      </c>
      <c r="B44803" t="s">
        <v>21942</v>
      </c>
      <c r="C44803" t="s">
        <v>114</v>
      </c>
      <c r="D44803" t="s">
        <v>14</v>
      </c>
      <c r="E44803" t="s">
        <v>172</v>
      </c>
      <c r="F44803" s="2" t="str">
        <f>HYPERLINK("http://www.otzar.org/book.asp?157607","תורת חיל - חושן משפט")</f>
        <v>תורת חיל - חושן משפט</v>
      </c>
    </row>
    <row r="44804" spans="1:6" x14ac:dyDescent="0.2">
      <c r="A44804" t="s">
        <v>67469</v>
      </c>
      <c r="B44804" t="s">
        <v>67470</v>
      </c>
      <c r="C44804" t="s">
        <v>189</v>
      </c>
      <c r="D44804" t="s">
        <v>14</v>
      </c>
      <c r="F44804" s="2" t="str">
        <f>HYPERLINK("http://www.otzar.org/book.asp?603649","תורת חכם &lt;מהדורה חדשה&gt;")</f>
        <v>תורת חכם &lt;מהדורה חדשה&gt;</v>
      </c>
    </row>
    <row r="44805" spans="1:6" x14ac:dyDescent="0.2">
      <c r="A44805" t="s">
        <v>67471</v>
      </c>
      <c r="B44805" t="s">
        <v>67472</v>
      </c>
      <c r="C44805" t="s">
        <v>23</v>
      </c>
      <c r="D44805" t="s">
        <v>4549</v>
      </c>
      <c r="E44805" t="s">
        <v>172</v>
      </c>
      <c r="F44805" s="2" t="str">
        <f>HYPERLINK("http://www.otzar.org/book.asp?629742","תורת חכם ברוך - 2 כר'")</f>
        <v>תורת חכם ברוך - 2 כר'</v>
      </c>
    </row>
    <row r="44806" spans="1:6" x14ac:dyDescent="0.2">
      <c r="A44806" t="s">
        <v>67473</v>
      </c>
      <c r="B44806" t="s">
        <v>5634</v>
      </c>
      <c r="C44806" t="s">
        <v>103</v>
      </c>
      <c r="D44806" t="s">
        <v>52</v>
      </c>
      <c r="E44806" t="s">
        <v>104</v>
      </c>
      <c r="F44806" s="2" t="str">
        <f>HYPERLINK("http://www.otzar.org/book.asp?145361","תורת חכם מקור חיים")</f>
        <v>תורת חכם מקור חיים</v>
      </c>
    </row>
    <row r="44807" spans="1:6" x14ac:dyDescent="0.2">
      <c r="A44807" t="s">
        <v>67474</v>
      </c>
      <c r="B44807" t="s">
        <v>24958</v>
      </c>
      <c r="C44807" t="s">
        <v>411</v>
      </c>
      <c r="D44807" t="s">
        <v>14</v>
      </c>
      <c r="E44807" t="s">
        <v>674</v>
      </c>
      <c r="F44807" s="2" t="str">
        <f>HYPERLINK("http://www.otzar.org/book.asp?176145","תורת חכם - 2 כר'")</f>
        <v>תורת חכם - 2 כר'</v>
      </c>
    </row>
    <row r="44808" spans="1:6" x14ac:dyDescent="0.2">
      <c r="A44808" t="s">
        <v>67475</v>
      </c>
      <c r="B44808" t="s">
        <v>67470</v>
      </c>
      <c r="C44808" t="s">
        <v>943</v>
      </c>
      <c r="D44808" t="s">
        <v>76</v>
      </c>
      <c r="E44808" t="s">
        <v>399</v>
      </c>
      <c r="F44808" s="2" t="str">
        <f>HYPERLINK("http://www.otzar.org/book.asp?100672","תורת חכם")</f>
        <v>תורת חכם</v>
      </c>
    </row>
    <row r="44809" spans="1:6" x14ac:dyDescent="0.2">
      <c r="A44809" t="s">
        <v>67475</v>
      </c>
      <c r="B44809" t="s">
        <v>31716</v>
      </c>
      <c r="C44809" t="s">
        <v>67476</v>
      </c>
      <c r="D44809" t="s">
        <v>49</v>
      </c>
      <c r="E44809" t="s">
        <v>2071</v>
      </c>
      <c r="F44809" s="2" t="str">
        <f>HYPERLINK("http://www.otzar.org/book.asp?104332","תורת חכם")</f>
        <v>תורת חכם</v>
      </c>
    </row>
    <row r="44810" spans="1:6" x14ac:dyDescent="0.2">
      <c r="A44810" t="s">
        <v>67475</v>
      </c>
      <c r="B44810" t="s">
        <v>12508</v>
      </c>
      <c r="C44810" t="s">
        <v>360</v>
      </c>
      <c r="D44810" t="s">
        <v>27</v>
      </c>
      <c r="E44810" t="s">
        <v>15</v>
      </c>
      <c r="F44810" s="2" t="str">
        <f>HYPERLINK("http://www.otzar.org/book.asp?20385","תורת חכם")</f>
        <v>תורת חכם</v>
      </c>
    </row>
    <row r="44811" spans="1:6" x14ac:dyDescent="0.2">
      <c r="A44811" t="s">
        <v>67477</v>
      </c>
      <c r="B44811" t="s">
        <v>29969</v>
      </c>
      <c r="C44811" t="s">
        <v>20</v>
      </c>
      <c r="D44811" t="s">
        <v>90</v>
      </c>
      <c r="E44811" t="s">
        <v>2758</v>
      </c>
      <c r="F44811" s="2" t="str">
        <f>HYPERLINK("http://www.otzar.org/book.asp?611771","תורת חכם - 8 כר'")</f>
        <v>תורת חכם - 8 כר'</v>
      </c>
    </row>
    <row r="44812" spans="1:6" x14ac:dyDescent="0.2">
      <c r="A44812" t="s">
        <v>67478</v>
      </c>
      <c r="B44812" t="s">
        <v>7519</v>
      </c>
      <c r="C44812" t="s">
        <v>146</v>
      </c>
      <c r="D44812" t="s">
        <v>7520</v>
      </c>
      <c r="E44812" t="s">
        <v>579</v>
      </c>
      <c r="F44812" s="2" t="str">
        <f>HYPERLINK("http://www.otzar.org/book.asp?64212","תורת חכם - נביאים וכתובים")</f>
        <v>תורת חכם - נביאים וכתובים</v>
      </c>
    </row>
    <row r="44813" spans="1:6" x14ac:dyDescent="0.2">
      <c r="A44813" t="s">
        <v>67479</v>
      </c>
      <c r="B44813" t="s">
        <v>67480</v>
      </c>
      <c r="C44813" t="s">
        <v>133</v>
      </c>
      <c r="D44813" t="s">
        <v>14</v>
      </c>
      <c r="E44813" t="s">
        <v>67481</v>
      </c>
      <c r="F44813" s="2" t="str">
        <f>HYPERLINK("http://www.otzar.org/book.asp?179899","תורת חכמי מיץ")</f>
        <v>תורת חכמי מיץ</v>
      </c>
    </row>
    <row r="44814" spans="1:6" x14ac:dyDescent="0.2">
      <c r="A44814" t="s">
        <v>67482</v>
      </c>
      <c r="B44814" t="s">
        <v>67483</v>
      </c>
      <c r="C44814" t="s">
        <v>466</v>
      </c>
      <c r="D44814" t="s">
        <v>90</v>
      </c>
      <c r="E44814" t="s">
        <v>186</v>
      </c>
      <c r="F44814" s="2" t="str">
        <f>HYPERLINK("http://www.otzar.org/book.asp?63778","תורת חמד")</f>
        <v>תורת חמד</v>
      </c>
    </row>
    <row r="44815" spans="1:6" x14ac:dyDescent="0.2">
      <c r="A44815" t="s">
        <v>67482</v>
      </c>
      <c r="B44815" t="s">
        <v>51829</v>
      </c>
      <c r="C44815" t="s">
        <v>843</v>
      </c>
      <c r="D44815" t="s">
        <v>646</v>
      </c>
      <c r="E44815" t="s">
        <v>1211</v>
      </c>
      <c r="F44815" s="2" t="str">
        <f>HYPERLINK("http://www.otzar.org/book.asp?630991","תורת חמד")</f>
        <v>תורת חמד</v>
      </c>
    </row>
    <row r="44816" spans="1:6" x14ac:dyDescent="0.2">
      <c r="A44816" t="s">
        <v>67484</v>
      </c>
      <c r="B44816" t="s">
        <v>31000</v>
      </c>
      <c r="C44816" t="s">
        <v>1885</v>
      </c>
      <c r="D44816" t="s">
        <v>1117</v>
      </c>
      <c r="E44816" t="s">
        <v>144</v>
      </c>
      <c r="F44816" s="2" t="str">
        <f>HYPERLINK("http://www.otzar.org/book.asp?52099","תורת חן &lt;דברי חן&gt;")</f>
        <v>תורת חן &lt;דברי חן&gt;</v>
      </c>
    </row>
    <row r="44817" spans="1:6" x14ac:dyDescent="0.2">
      <c r="A44817" t="s">
        <v>67485</v>
      </c>
      <c r="B44817" t="s">
        <v>27326</v>
      </c>
      <c r="C44817" t="s">
        <v>176</v>
      </c>
      <c r="D44817" t="s">
        <v>14</v>
      </c>
      <c r="E44817" t="s">
        <v>67486</v>
      </c>
      <c r="F44817" s="2" t="str">
        <f>HYPERLINK("http://www.otzar.org/book.asp?161376","תורת חנוך - דברי חכם")</f>
        <v>תורת חנוך - דברי חכם</v>
      </c>
    </row>
    <row r="44818" spans="1:6" x14ac:dyDescent="0.2">
      <c r="A44818" t="s">
        <v>67487</v>
      </c>
      <c r="B44818" t="s">
        <v>67488</v>
      </c>
      <c r="C44818" t="s">
        <v>244</v>
      </c>
      <c r="D44818" t="s">
        <v>90</v>
      </c>
      <c r="E44818" t="s">
        <v>960</v>
      </c>
      <c r="F44818" s="2" t="str">
        <f>HYPERLINK("http://www.otzar.org/book.asp?623350","תורת חסד &lt;מהדורה חדשה&gt;")</f>
        <v>תורת חסד &lt;מהדורה חדשה&gt;</v>
      </c>
    </row>
    <row r="44819" spans="1:6" x14ac:dyDescent="0.2">
      <c r="A44819" t="s">
        <v>67489</v>
      </c>
      <c r="B44819" t="s">
        <v>67490</v>
      </c>
      <c r="C44819" t="s">
        <v>13</v>
      </c>
      <c r="D44819" t="s">
        <v>14</v>
      </c>
      <c r="E44819" t="s">
        <v>230</v>
      </c>
      <c r="F44819" s="2" t="str">
        <f>HYPERLINK("http://www.otzar.org/book.asp?158707","תורת חסד לאברהם")</f>
        <v>תורת חסד לאברהם</v>
      </c>
    </row>
    <row r="44820" spans="1:6" x14ac:dyDescent="0.2">
      <c r="A44820" t="s">
        <v>67491</v>
      </c>
      <c r="B44820" t="s">
        <v>15090</v>
      </c>
      <c r="C44820" t="s">
        <v>812</v>
      </c>
      <c r="D44820" t="s">
        <v>691</v>
      </c>
      <c r="E44820" t="s">
        <v>1211</v>
      </c>
      <c r="F44820" s="2" t="str">
        <f>HYPERLINK("http://www.otzar.org/book.asp?142178","תורת חסד עם קונטרס דברי שלמה וספר אמרי צבי")</f>
        <v>תורת חסד עם קונטרס דברי שלמה וספר אמרי צבי</v>
      </c>
    </row>
    <row r="44821" spans="1:6" x14ac:dyDescent="0.2">
      <c r="A44821" t="s">
        <v>67492</v>
      </c>
      <c r="B44821" t="s">
        <v>67488</v>
      </c>
      <c r="C44821" t="s">
        <v>550</v>
      </c>
      <c r="D44821" t="s">
        <v>283</v>
      </c>
      <c r="E44821" t="s">
        <v>8785</v>
      </c>
      <c r="F44821" s="2" t="str">
        <f>HYPERLINK("http://www.otzar.org/book.asp?104375","תורת חסד")</f>
        <v>תורת חסד</v>
      </c>
    </row>
    <row r="44822" spans="1:6" x14ac:dyDescent="0.2">
      <c r="A44822" t="s">
        <v>67492</v>
      </c>
      <c r="B44822" t="s">
        <v>67493</v>
      </c>
      <c r="C44822" t="s">
        <v>1096</v>
      </c>
      <c r="D44822" t="s">
        <v>27</v>
      </c>
      <c r="E44822" t="s">
        <v>474</v>
      </c>
      <c r="F44822" s="2" t="str">
        <f>HYPERLINK("http://www.otzar.org/book.asp?188684","תורת חסד")</f>
        <v>תורת חסד</v>
      </c>
    </row>
    <row r="44823" spans="1:6" x14ac:dyDescent="0.2">
      <c r="A44823" t="s">
        <v>67494</v>
      </c>
      <c r="B44823" t="s">
        <v>67495</v>
      </c>
      <c r="C44823" t="s">
        <v>37</v>
      </c>
      <c r="D44823" t="s">
        <v>52</v>
      </c>
      <c r="E44823" t="s">
        <v>158</v>
      </c>
      <c r="F44823" s="2" t="str">
        <f>HYPERLINK("http://www.otzar.org/book.asp?190881","תורת חסד - 2 כר'")</f>
        <v>תורת חסד - 2 כר'</v>
      </c>
    </row>
    <row r="44824" spans="1:6" x14ac:dyDescent="0.2">
      <c r="A44824" t="s">
        <v>67492</v>
      </c>
      <c r="B44824" t="s">
        <v>27029</v>
      </c>
      <c r="C44824" t="s">
        <v>22368</v>
      </c>
      <c r="D44824" t="s">
        <v>67496</v>
      </c>
      <c r="E44824" t="s">
        <v>158</v>
      </c>
      <c r="F44824" s="2" t="str">
        <f>HYPERLINK("http://www.otzar.org/book.asp?146589","תורת חסד")</f>
        <v>תורת חסד</v>
      </c>
    </row>
    <row r="44825" spans="1:6" x14ac:dyDescent="0.2">
      <c r="A44825" t="s">
        <v>67492</v>
      </c>
      <c r="B44825" t="s">
        <v>67497</v>
      </c>
      <c r="C44825" t="s">
        <v>313</v>
      </c>
      <c r="D44825" t="s">
        <v>14</v>
      </c>
      <c r="E44825" t="s">
        <v>186</v>
      </c>
      <c r="F44825" s="2" t="str">
        <f>HYPERLINK("http://www.otzar.org/book.asp?84704","תורת חסד")</f>
        <v>תורת חסד</v>
      </c>
    </row>
    <row r="44826" spans="1:6" x14ac:dyDescent="0.2">
      <c r="A44826" t="s">
        <v>67494</v>
      </c>
      <c r="B44826" t="s">
        <v>67498</v>
      </c>
      <c r="C44826" t="s">
        <v>1388</v>
      </c>
      <c r="D44826" t="s">
        <v>52</v>
      </c>
      <c r="E44826" t="s">
        <v>186</v>
      </c>
      <c r="F44826" s="2" t="str">
        <f>HYPERLINK("http://www.otzar.org/book.asp?84766","תורת חסד - 2 כר'")</f>
        <v>תורת חסד - 2 כר'</v>
      </c>
    </row>
    <row r="44827" spans="1:6" x14ac:dyDescent="0.2">
      <c r="A44827" t="s">
        <v>67494</v>
      </c>
      <c r="B44827" t="s">
        <v>67499</v>
      </c>
      <c r="C44827" t="s">
        <v>422</v>
      </c>
      <c r="D44827" t="s">
        <v>852</v>
      </c>
      <c r="E44827" t="s">
        <v>158</v>
      </c>
      <c r="F44827" s="2" t="str">
        <f>HYPERLINK("http://www.otzar.org/book.asp?606588","תורת חסד - 2 כר'")</f>
        <v>תורת חסד - 2 כר'</v>
      </c>
    </row>
    <row r="44828" spans="1:6" x14ac:dyDescent="0.2">
      <c r="A44828" t="s">
        <v>67492</v>
      </c>
      <c r="B44828" t="s">
        <v>23424</v>
      </c>
      <c r="C44828" t="s">
        <v>3635</v>
      </c>
      <c r="D44828" t="s">
        <v>535</v>
      </c>
      <c r="E44828" t="s">
        <v>3387</v>
      </c>
      <c r="F44828" s="2" t="str">
        <f>HYPERLINK("http://www.otzar.org/book.asp?11080","תורת חסד")</f>
        <v>תורת חסד</v>
      </c>
    </row>
    <row r="44829" spans="1:6" x14ac:dyDescent="0.2">
      <c r="A44829" t="s">
        <v>67494</v>
      </c>
      <c r="B44829" t="s">
        <v>67500</v>
      </c>
      <c r="C44829" t="s">
        <v>2076</v>
      </c>
      <c r="D44829" t="s">
        <v>283</v>
      </c>
      <c r="E44829" t="s">
        <v>154</v>
      </c>
      <c r="F44829" s="2" t="str">
        <f>HYPERLINK("http://www.otzar.org/book.asp?12101","תורת חסד - 2 כר'")</f>
        <v>תורת חסד - 2 כר'</v>
      </c>
    </row>
    <row r="44830" spans="1:6" x14ac:dyDescent="0.2">
      <c r="A44830" t="s">
        <v>67492</v>
      </c>
      <c r="B44830" t="s">
        <v>67501</v>
      </c>
      <c r="C44830" t="s">
        <v>59</v>
      </c>
      <c r="D44830" t="s">
        <v>76</v>
      </c>
      <c r="E44830" t="s">
        <v>154</v>
      </c>
      <c r="F44830" s="2" t="str">
        <f>HYPERLINK("http://www.otzar.org/book.asp?101470","תורת חסד")</f>
        <v>תורת חסד</v>
      </c>
    </row>
    <row r="44831" spans="1:6" x14ac:dyDescent="0.2">
      <c r="A44831" t="s">
        <v>67492</v>
      </c>
      <c r="B44831" t="s">
        <v>10107</v>
      </c>
      <c r="C44831" t="s">
        <v>748</v>
      </c>
      <c r="D44831" t="s">
        <v>379</v>
      </c>
      <c r="E44831" t="s">
        <v>158</v>
      </c>
      <c r="F44831" s="2" t="str">
        <f>HYPERLINK("http://www.otzar.org/book.asp?154081","תורת חסד")</f>
        <v>תורת חסד</v>
      </c>
    </row>
    <row r="44832" spans="1:6" x14ac:dyDescent="0.2">
      <c r="A44832" t="s">
        <v>67492</v>
      </c>
      <c r="B44832" t="s">
        <v>31397</v>
      </c>
      <c r="C44832" t="s">
        <v>619</v>
      </c>
      <c r="D44832" t="s">
        <v>225</v>
      </c>
      <c r="F44832" s="2" t="str">
        <f>HYPERLINK("http://www.otzar.org/book.asp?28422","תורת חסד")</f>
        <v>תורת חסד</v>
      </c>
    </row>
    <row r="44833" spans="1:6" x14ac:dyDescent="0.2">
      <c r="A44833" t="s">
        <v>67502</v>
      </c>
      <c r="B44833" t="s">
        <v>14931</v>
      </c>
      <c r="C44833" t="s">
        <v>57558</v>
      </c>
      <c r="D44833" t="s">
        <v>260</v>
      </c>
      <c r="E44833" t="s">
        <v>172</v>
      </c>
      <c r="F44833" s="2" t="str">
        <f>HYPERLINK("http://www.otzar.org/book.asp?8253","תורת חשן המשפט - 3 כר'")</f>
        <v>תורת חשן המשפט - 3 כר'</v>
      </c>
    </row>
    <row r="44834" spans="1:6" x14ac:dyDescent="0.2">
      <c r="A44834" t="s">
        <v>67503</v>
      </c>
      <c r="B44834" t="s">
        <v>51667</v>
      </c>
      <c r="C44834" t="s">
        <v>422</v>
      </c>
      <c r="D44834" t="s">
        <v>646</v>
      </c>
      <c r="E44834" t="s">
        <v>144</v>
      </c>
      <c r="F44834" s="2" t="str">
        <f>HYPERLINK("http://www.otzar.org/book.asp?155872","תורת חתם סופר - 2 כר'")</f>
        <v>תורת חתם סופר - 2 כר'</v>
      </c>
    </row>
    <row r="44835" spans="1:6" x14ac:dyDescent="0.2">
      <c r="A44835" t="s">
        <v>67504</v>
      </c>
      <c r="B44835" t="s">
        <v>67505</v>
      </c>
      <c r="C44835" t="s">
        <v>114</v>
      </c>
      <c r="D44835" t="s">
        <v>412</v>
      </c>
      <c r="E44835" t="s">
        <v>5340</v>
      </c>
      <c r="F44835" s="2" t="str">
        <f>HYPERLINK("http://www.otzar.org/book.asp?163159","תורת טבלין")</f>
        <v>תורת טבלין</v>
      </c>
    </row>
    <row r="44836" spans="1:6" x14ac:dyDescent="0.2">
      <c r="A44836" t="s">
        <v>67506</v>
      </c>
      <c r="B44836" t="s">
        <v>48143</v>
      </c>
      <c r="C44836" t="s">
        <v>129</v>
      </c>
      <c r="D44836" t="s">
        <v>412</v>
      </c>
      <c r="F44836" s="2" t="str">
        <f>HYPERLINK("http://www.otzar.org/book.asp?610004","תורת טהרה - 2 כר'")</f>
        <v>תורת טהרה - 2 כר'</v>
      </c>
    </row>
    <row r="44837" spans="1:6" x14ac:dyDescent="0.2">
      <c r="A44837" t="s">
        <v>67507</v>
      </c>
      <c r="B44837" t="s">
        <v>6661</v>
      </c>
      <c r="D44837" t="s">
        <v>486</v>
      </c>
      <c r="F44837" s="2" t="str">
        <f>HYPERLINK("http://www.otzar.org/book.asp?616039","תורת יאשיהו - 2 כר'")</f>
        <v>תורת יאשיהו - 2 כר'</v>
      </c>
    </row>
    <row r="44838" spans="1:6" x14ac:dyDescent="0.2">
      <c r="A44838" t="s">
        <v>67508</v>
      </c>
      <c r="B44838" t="s">
        <v>12481</v>
      </c>
      <c r="C44838" t="s">
        <v>68</v>
      </c>
      <c r="D44838" t="s">
        <v>14</v>
      </c>
      <c r="F44838" s="2" t="str">
        <f>HYPERLINK("http://www.otzar.org/book.asp?198728","תורת יהודה - 2 כר'")</f>
        <v>תורת יהודה - 2 כר'</v>
      </c>
    </row>
    <row r="44839" spans="1:6" x14ac:dyDescent="0.2">
      <c r="A44839" t="s">
        <v>67509</v>
      </c>
      <c r="B44839" t="s">
        <v>23588</v>
      </c>
      <c r="C44839" t="s">
        <v>129</v>
      </c>
      <c r="D44839" t="s">
        <v>14</v>
      </c>
      <c r="E44839" t="s">
        <v>15</v>
      </c>
      <c r="F44839" s="2" t="str">
        <f>HYPERLINK("http://www.otzar.org/book.asp?142068","תורת יהונתן - 2 כר'")</f>
        <v>תורת יהונתן - 2 כר'</v>
      </c>
    </row>
    <row r="44840" spans="1:6" x14ac:dyDescent="0.2">
      <c r="A44840" t="s">
        <v>67510</v>
      </c>
      <c r="B44840" t="s">
        <v>67511</v>
      </c>
      <c r="C44840" t="s">
        <v>13</v>
      </c>
      <c r="E44840" t="s">
        <v>202</v>
      </c>
      <c r="F44840" s="2" t="str">
        <f>HYPERLINK("http://www.otzar.org/book.asp?173441","תורת יודא צבי - 10 כר'")</f>
        <v>תורת יודא צבי - 10 כר'</v>
      </c>
    </row>
    <row r="44841" spans="1:6" x14ac:dyDescent="0.2">
      <c r="A44841" t="s">
        <v>67512</v>
      </c>
      <c r="B44841" t="s">
        <v>56153</v>
      </c>
      <c r="C44841" t="s">
        <v>411</v>
      </c>
      <c r="D44841" t="s">
        <v>52</v>
      </c>
      <c r="E44841" t="s">
        <v>104</v>
      </c>
      <c r="F44841" s="2" t="str">
        <f>HYPERLINK("http://www.otzar.org/book.asp?190260","תורת יום ולילה")</f>
        <v>תורת יום ולילה</v>
      </c>
    </row>
    <row r="44842" spans="1:6" x14ac:dyDescent="0.2">
      <c r="A44842" t="s">
        <v>67513</v>
      </c>
      <c r="B44842" t="s">
        <v>67514</v>
      </c>
      <c r="C44842" t="s">
        <v>37</v>
      </c>
      <c r="D44842" t="s">
        <v>245</v>
      </c>
      <c r="E44842" t="s">
        <v>144</v>
      </c>
      <c r="F44842" s="2" t="str">
        <f>HYPERLINK("http://www.otzar.org/book.asp?632631","תורת יומא - א")</f>
        <v>תורת יומא - א</v>
      </c>
    </row>
    <row r="44843" spans="1:6" x14ac:dyDescent="0.2">
      <c r="A44843" t="s">
        <v>67515</v>
      </c>
      <c r="B44843" t="s">
        <v>67516</v>
      </c>
      <c r="C44843" t="s">
        <v>7158</v>
      </c>
      <c r="D44843" t="s">
        <v>8167</v>
      </c>
      <c r="E44843" t="s">
        <v>957</v>
      </c>
      <c r="F44843" s="2" t="str">
        <f>HYPERLINK("http://www.otzar.org/book.asp?16060","תורת יוסף")</f>
        <v>תורת יוסף</v>
      </c>
    </row>
    <row r="44844" spans="1:6" x14ac:dyDescent="0.2">
      <c r="A44844" t="s">
        <v>67515</v>
      </c>
      <c r="B44844" t="s">
        <v>67517</v>
      </c>
      <c r="C44844" t="s">
        <v>20</v>
      </c>
      <c r="D44844" t="s">
        <v>52</v>
      </c>
      <c r="E44844" t="s">
        <v>920</v>
      </c>
      <c r="F44844" s="2" t="str">
        <f>HYPERLINK("http://www.otzar.org/book.asp?628082","תורת יוסף")</f>
        <v>תורת יוסף</v>
      </c>
    </row>
    <row r="44845" spans="1:6" x14ac:dyDescent="0.2">
      <c r="A44845" t="s">
        <v>67518</v>
      </c>
      <c r="B44845" t="s">
        <v>67519</v>
      </c>
      <c r="C44845" t="s">
        <v>37</v>
      </c>
      <c r="D44845" t="s">
        <v>52</v>
      </c>
      <c r="E44845" t="s">
        <v>2091</v>
      </c>
      <c r="F44845" s="2" t="str">
        <f>HYPERLINK("http://www.otzar.org/book.asp?189414","תורת יוסף - ז")</f>
        <v>תורת יוסף - ז</v>
      </c>
    </row>
    <row r="44846" spans="1:6" x14ac:dyDescent="0.2">
      <c r="A44846" t="s">
        <v>67520</v>
      </c>
      <c r="B44846" t="s">
        <v>67521</v>
      </c>
      <c r="C44846" t="s">
        <v>151</v>
      </c>
      <c r="D44846" t="s">
        <v>14</v>
      </c>
      <c r="E44846" t="s">
        <v>144</v>
      </c>
      <c r="F44846" s="2" t="str">
        <f>HYPERLINK("http://www.otzar.org/book.asp?620823","תורת יחזקאל &lt;מהדורה חדשה&gt; - 2 כר'")</f>
        <v>תורת יחזקאל &lt;מהדורה חדשה&gt; - 2 כר'</v>
      </c>
    </row>
    <row r="44847" spans="1:6" x14ac:dyDescent="0.2">
      <c r="A44847" t="s">
        <v>67522</v>
      </c>
      <c r="B44847" t="s">
        <v>44066</v>
      </c>
      <c r="C44847" t="s">
        <v>1811</v>
      </c>
      <c r="D44847" t="s">
        <v>14</v>
      </c>
      <c r="E44847" t="s">
        <v>67523</v>
      </c>
      <c r="F44847" s="2" t="str">
        <f>HYPERLINK("http://www.otzar.org/book.asp?156694","תורת יחזקאל")</f>
        <v>תורת יחזקאל</v>
      </c>
    </row>
    <row r="44848" spans="1:6" x14ac:dyDescent="0.2">
      <c r="A44848" t="s">
        <v>67522</v>
      </c>
      <c r="B44848" t="s">
        <v>67521</v>
      </c>
      <c r="C44848" t="s">
        <v>1096</v>
      </c>
      <c r="D44848" t="s">
        <v>661</v>
      </c>
      <c r="E44848" t="s">
        <v>144</v>
      </c>
      <c r="F44848" s="2" t="str">
        <f>HYPERLINK("http://www.otzar.org/book.asp?28369","תורת יחזקאל")</f>
        <v>תורת יחזקאל</v>
      </c>
    </row>
    <row r="44849" spans="1:6" x14ac:dyDescent="0.2">
      <c r="A44849" t="s">
        <v>67522</v>
      </c>
      <c r="B44849" t="s">
        <v>67524</v>
      </c>
      <c r="C44849" t="s">
        <v>87</v>
      </c>
      <c r="D44849" t="s">
        <v>52</v>
      </c>
      <c r="E44849" t="s">
        <v>2091</v>
      </c>
      <c r="F44849" s="2" t="str">
        <f>HYPERLINK("http://www.otzar.org/book.asp?61278","תורת יחזקאל")</f>
        <v>תורת יחזקאל</v>
      </c>
    </row>
    <row r="44850" spans="1:6" x14ac:dyDescent="0.2">
      <c r="A44850" t="s">
        <v>67525</v>
      </c>
      <c r="B44850" t="s">
        <v>67526</v>
      </c>
      <c r="C44850" t="s">
        <v>67527</v>
      </c>
      <c r="D44850" t="s">
        <v>8555</v>
      </c>
      <c r="E44850" t="s">
        <v>474</v>
      </c>
      <c r="F44850" s="2" t="str">
        <f>HYPERLINK("http://www.otzar.org/book.asp?188685","תורת יחזקאל - 2 כר'")</f>
        <v>תורת יחזקאל - 2 כר'</v>
      </c>
    </row>
    <row r="44851" spans="1:6" x14ac:dyDescent="0.2">
      <c r="A44851" t="s">
        <v>67528</v>
      </c>
      <c r="B44851" t="s">
        <v>10164</v>
      </c>
      <c r="C44851" t="s">
        <v>854</v>
      </c>
      <c r="D44851" t="s">
        <v>27</v>
      </c>
      <c r="E44851" t="s">
        <v>158</v>
      </c>
      <c r="F44851" s="2" t="str">
        <f>HYPERLINK("http://www.otzar.org/book.asp?188687","תורת יחיאל (ישן) - בראשית")</f>
        <v>תורת יחיאל (ישן) - בראשית</v>
      </c>
    </row>
    <row r="44852" spans="1:6" x14ac:dyDescent="0.2">
      <c r="A44852" t="s">
        <v>67529</v>
      </c>
      <c r="B44852" t="s">
        <v>37795</v>
      </c>
      <c r="C44852" t="s">
        <v>17</v>
      </c>
      <c r="D44852" t="s">
        <v>14</v>
      </c>
      <c r="E44852" t="s">
        <v>14802</v>
      </c>
      <c r="F44852" s="2" t="str">
        <f>HYPERLINK("http://www.otzar.org/book.asp?158141","תורת יחיאל")</f>
        <v>תורת יחיאל</v>
      </c>
    </row>
    <row r="44853" spans="1:6" x14ac:dyDescent="0.2">
      <c r="A44853" t="s">
        <v>67529</v>
      </c>
      <c r="B44853" t="s">
        <v>67530</v>
      </c>
      <c r="C44853" t="s">
        <v>454</v>
      </c>
      <c r="D44853" t="s">
        <v>14</v>
      </c>
      <c r="E44853" t="s">
        <v>144</v>
      </c>
      <c r="F44853" s="2" t="str">
        <f>HYPERLINK("http://www.otzar.org/book.asp?143780","תורת יחיאל")</f>
        <v>תורת יחיאל</v>
      </c>
    </row>
    <row r="44854" spans="1:6" x14ac:dyDescent="0.2">
      <c r="A44854" t="s">
        <v>67531</v>
      </c>
      <c r="B44854" t="s">
        <v>10164</v>
      </c>
      <c r="C44854" t="s">
        <v>919</v>
      </c>
      <c r="D44854" t="s">
        <v>27</v>
      </c>
      <c r="E44854" t="s">
        <v>158</v>
      </c>
      <c r="F44854" s="2" t="str">
        <f>HYPERLINK("http://www.otzar.org/book.asp?603615","תורת יחיאל - 5 כר'")</f>
        <v>תורת יחיאל - 5 כר'</v>
      </c>
    </row>
    <row r="44855" spans="1:6" x14ac:dyDescent="0.2">
      <c r="A44855" t="s">
        <v>67532</v>
      </c>
      <c r="B44855" t="s">
        <v>67533</v>
      </c>
      <c r="C44855" t="s">
        <v>330</v>
      </c>
      <c r="D44855" t="s">
        <v>1490</v>
      </c>
      <c r="F44855" s="2" t="str">
        <f>HYPERLINK("http://www.otzar.org/book.asp?164731","תורת יי' תמימה")</f>
        <v>תורת יי' תמימה</v>
      </c>
    </row>
    <row r="44856" spans="1:6" x14ac:dyDescent="0.2">
      <c r="A44856" t="s">
        <v>67534</v>
      </c>
      <c r="B44856" t="s">
        <v>1417</v>
      </c>
      <c r="C44856" t="s">
        <v>143</v>
      </c>
      <c r="D44856" t="s">
        <v>4223</v>
      </c>
      <c r="E44856" t="s">
        <v>158</v>
      </c>
      <c r="F44856" s="2" t="str">
        <f>HYPERLINK("http://www.otzar.org/book.asp?14551","תורת יעב""ץ - בשלח")</f>
        <v>תורת יעב"ץ - בשלח</v>
      </c>
    </row>
    <row r="44857" spans="1:6" x14ac:dyDescent="0.2">
      <c r="A44857" t="s">
        <v>67535</v>
      </c>
      <c r="B44857" t="s">
        <v>2216</v>
      </c>
      <c r="C44857" t="s">
        <v>23</v>
      </c>
      <c r="D44857" t="s">
        <v>147</v>
      </c>
      <c r="F44857" s="2" t="str">
        <f>HYPERLINK("http://www.otzar.org/book.asp?615109","תורת יעקב")</f>
        <v>תורת יעקב</v>
      </c>
    </row>
    <row r="44858" spans="1:6" x14ac:dyDescent="0.2">
      <c r="A44858" t="s">
        <v>67536</v>
      </c>
      <c r="B44858" t="s">
        <v>2948</v>
      </c>
      <c r="C44858" t="s">
        <v>17</v>
      </c>
      <c r="D44858" t="s">
        <v>14</v>
      </c>
      <c r="E44858" t="s">
        <v>186</v>
      </c>
      <c r="F44858" s="2" t="str">
        <f>HYPERLINK("http://www.otzar.org/book.asp?105802","תורת יעקב - 2 כר'")</f>
        <v>תורת יעקב - 2 כר'</v>
      </c>
    </row>
    <row r="44859" spans="1:6" x14ac:dyDescent="0.2">
      <c r="A44859" t="s">
        <v>67537</v>
      </c>
      <c r="B44859" t="s">
        <v>3166</v>
      </c>
      <c r="C44859" t="s">
        <v>189</v>
      </c>
      <c r="D44859" t="s">
        <v>14</v>
      </c>
      <c r="E44859" t="s">
        <v>158</v>
      </c>
      <c r="F44859" s="2" t="str">
        <f>HYPERLINK("http://www.otzar.org/book.asp?29230","תורת יעקב - 3 כר'")</f>
        <v>תורת יעקב - 3 כר'</v>
      </c>
    </row>
    <row r="44860" spans="1:6" x14ac:dyDescent="0.2">
      <c r="A44860" t="s">
        <v>67536</v>
      </c>
      <c r="B44860" t="s">
        <v>60923</v>
      </c>
      <c r="C44860" t="s">
        <v>785</v>
      </c>
      <c r="D44860" t="s">
        <v>14</v>
      </c>
      <c r="E44860" t="s">
        <v>2098</v>
      </c>
      <c r="F44860" s="2" t="str">
        <f>HYPERLINK("http://www.otzar.org/book.asp?143978","תורת יעקב - 2 כר'")</f>
        <v>תורת יעקב - 2 כר'</v>
      </c>
    </row>
    <row r="44861" spans="1:6" x14ac:dyDescent="0.2">
      <c r="A44861" t="s">
        <v>67538</v>
      </c>
      <c r="B44861" t="s">
        <v>67539</v>
      </c>
      <c r="C44861" t="s">
        <v>17</v>
      </c>
      <c r="D44861" t="s">
        <v>14</v>
      </c>
      <c r="E44861" t="s">
        <v>186</v>
      </c>
      <c r="F44861" s="2" t="str">
        <f>HYPERLINK("http://www.otzar.org/book.asp?160906","תורת יעקב - ב")</f>
        <v>תורת יעקב - ב</v>
      </c>
    </row>
    <row r="44862" spans="1:6" x14ac:dyDescent="0.2">
      <c r="A44862" t="s">
        <v>67540</v>
      </c>
      <c r="B44862" t="s">
        <v>67541</v>
      </c>
      <c r="C44862" t="s">
        <v>466</v>
      </c>
      <c r="D44862" t="s">
        <v>43854</v>
      </c>
      <c r="E44862" t="s">
        <v>202</v>
      </c>
      <c r="F44862" s="2" t="str">
        <f>HYPERLINK("http://www.otzar.org/book.asp?176950","תורת יערים - 2 כר'")</f>
        <v>תורת יערים - 2 כר'</v>
      </c>
    </row>
    <row r="44863" spans="1:6" x14ac:dyDescent="0.2">
      <c r="A44863" t="s">
        <v>67542</v>
      </c>
      <c r="B44863" t="s">
        <v>67543</v>
      </c>
      <c r="C44863" t="s">
        <v>67544</v>
      </c>
      <c r="D44863" t="s">
        <v>1100</v>
      </c>
      <c r="E44863" t="s">
        <v>2071</v>
      </c>
      <c r="F44863" s="2" t="str">
        <f>HYPERLINK("http://www.otzar.org/book.asp?182161","תורת יפה")</f>
        <v>תורת יפה</v>
      </c>
    </row>
    <row r="44864" spans="1:6" x14ac:dyDescent="0.2">
      <c r="A44864" t="s">
        <v>67545</v>
      </c>
      <c r="B44864" t="s">
        <v>67546</v>
      </c>
      <c r="C44864" t="s">
        <v>1388</v>
      </c>
      <c r="D44864" t="s">
        <v>14</v>
      </c>
      <c r="E44864" t="s">
        <v>158</v>
      </c>
      <c r="F44864" s="2" t="str">
        <f>HYPERLINK("http://www.otzar.org/book.asp?155854","תורת יצחק")</f>
        <v>תורת יצחק</v>
      </c>
    </row>
    <row r="44865" spans="1:6" x14ac:dyDescent="0.2">
      <c r="A44865" t="s">
        <v>67545</v>
      </c>
      <c r="B44865" t="s">
        <v>67547</v>
      </c>
      <c r="C44865" t="s">
        <v>1570</v>
      </c>
      <c r="D44865" t="s">
        <v>52</v>
      </c>
      <c r="E44865" t="s">
        <v>2071</v>
      </c>
      <c r="F44865" s="2" t="str">
        <f>HYPERLINK("http://www.otzar.org/book.asp?166323","תורת יצחק")</f>
        <v>תורת יצחק</v>
      </c>
    </row>
    <row r="44866" spans="1:6" x14ac:dyDescent="0.2">
      <c r="A44866" t="s">
        <v>67545</v>
      </c>
      <c r="B44866" t="s">
        <v>67548</v>
      </c>
      <c r="C44866" t="s">
        <v>362</v>
      </c>
      <c r="D44866" t="s">
        <v>283</v>
      </c>
      <c r="E44866" t="s">
        <v>474</v>
      </c>
      <c r="F44866" s="2" t="str">
        <f>HYPERLINK("http://www.otzar.org/book.asp?20384","תורת יצחק")</f>
        <v>תורת יצחק</v>
      </c>
    </row>
    <row r="44867" spans="1:6" x14ac:dyDescent="0.2">
      <c r="A44867" t="s">
        <v>67549</v>
      </c>
      <c r="B44867" t="s">
        <v>67550</v>
      </c>
      <c r="C44867" t="s">
        <v>1268</v>
      </c>
      <c r="D44867" t="s">
        <v>412</v>
      </c>
      <c r="E44867" t="s">
        <v>67551</v>
      </c>
      <c r="F44867" s="2" t="str">
        <f>HYPERLINK("http://www.otzar.org/book.asp?196153","תורת יצחק, באר יצחק, לבוש יצחק")</f>
        <v>תורת יצחק, באר יצחק, לבוש יצחק</v>
      </c>
    </row>
    <row r="44868" spans="1:6" x14ac:dyDescent="0.2">
      <c r="A44868" t="s">
        <v>67552</v>
      </c>
      <c r="B44868" t="s">
        <v>16107</v>
      </c>
      <c r="C44868" t="s">
        <v>767</v>
      </c>
      <c r="D44868" t="s">
        <v>14</v>
      </c>
      <c r="E44868" t="s">
        <v>172</v>
      </c>
      <c r="F44868" s="2" t="str">
        <f>HYPERLINK("http://www.otzar.org/book.asp?176364","תורת יקותיאל &lt;מהדורה חדשה&gt; - 2 כר'")</f>
        <v>תורת יקותיאל &lt;מהדורה חדשה&gt; - 2 כר'</v>
      </c>
    </row>
    <row r="44869" spans="1:6" x14ac:dyDescent="0.2">
      <c r="A44869" t="s">
        <v>67553</v>
      </c>
      <c r="B44869" t="s">
        <v>67554</v>
      </c>
      <c r="C44869" t="s">
        <v>1448</v>
      </c>
      <c r="D44869" t="s">
        <v>14</v>
      </c>
      <c r="E44869" t="s">
        <v>154</v>
      </c>
      <c r="F44869" s="2" t="str">
        <f>HYPERLINK("http://www.otzar.org/book.asp?172314","תורת יקותיאל &lt;מהדו""ת&gt;")</f>
        <v>תורת יקותיאל &lt;מהדו"ת&gt;</v>
      </c>
    </row>
    <row r="44870" spans="1:6" x14ac:dyDescent="0.2">
      <c r="A44870" t="s">
        <v>67555</v>
      </c>
      <c r="B44870" t="s">
        <v>16107</v>
      </c>
      <c r="C44870" t="s">
        <v>562</v>
      </c>
      <c r="D44870" t="s">
        <v>280</v>
      </c>
      <c r="E44870" t="s">
        <v>684</v>
      </c>
      <c r="F44870" s="2" t="str">
        <f>HYPERLINK("http://www.otzar.org/book.asp?8953","תורת יקותיאל")</f>
        <v>תורת יקותיאל</v>
      </c>
    </row>
    <row r="44871" spans="1:6" x14ac:dyDescent="0.2">
      <c r="A44871" t="s">
        <v>67556</v>
      </c>
      <c r="B44871" t="s">
        <v>67554</v>
      </c>
      <c r="C44871" t="s">
        <v>533</v>
      </c>
      <c r="D44871" t="s">
        <v>412</v>
      </c>
      <c r="E44871" t="s">
        <v>559</v>
      </c>
      <c r="F44871" s="2" t="str">
        <f>HYPERLINK("http://www.otzar.org/book.asp?155013","תורת יקותיאל - 2 כר'")</f>
        <v>תורת יקותיאל - 2 כר'</v>
      </c>
    </row>
    <row r="44872" spans="1:6" x14ac:dyDescent="0.2">
      <c r="A44872" t="s">
        <v>67557</v>
      </c>
      <c r="B44872" t="s">
        <v>18476</v>
      </c>
      <c r="C44872" t="s">
        <v>67558</v>
      </c>
      <c r="D44872" t="s">
        <v>986</v>
      </c>
      <c r="E44872" t="s">
        <v>144</v>
      </c>
      <c r="F44872" s="2" t="str">
        <f>HYPERLINK("http://www.otzar.org/book.asp?297","תורת ירוחם - 3 כר'")</f>
        <v>תורת ירוחם - 3 כר'</v>
      </c>
    </row>
    <row r="44873" spans="1:6" x14ac:dyDescent="0.2">
      <c r="A44873" t="s">
        <v>67559</v>
      </c>
      <c r="B44873" t="s">
        <v>67560</v>
      </c>
      <c r="C44873" t="s">
        <v>146</v>
      </c>
      <c r="D44873" t="s">
        <v>14</v>
      </c>
      <c r="E44873" t="s">
        <v>172</v>
      </c>
      <c r="F44873" s="2" t="str">
        <f>HYPERLINK("http://www.otzar.org/book.asp?606031","תורת ישי")</f>
        <v>תורת ישי</v>
      </c>
    </row>
    <row r="44874" spans="1:6" x14ac:dyDescent="0.2">
      <c r="A44874" t="s">
        <v>67561</v>
      </c>
      <c r="B44874" t="s">
        <v>10804</v>
      </c>
      <c r="C44874" t="s">
        <v>133</v>
      </c>
      <c r="D44874" t="s">
        <v>14</v>
      </c>
      <c r="E44874" t="s">
        <v>158</v>
      </c>
      <c r="F44874" s="2" t="str">
        <f>HYPERLINK("http://www.otzar.org/book.asp?172638","תורת ישר - 2 כר'")</f>
        <v>תורת ישר - 2 כר'</v>
      </c>
    </row>
    <row r="44875" spans="1:6" x14ac:dyDescent="0.2">
      <c r="A44875" t="s">
        <v>67562</v>
      </c>
      <c r="B44875" t="s">
        <v>67563</v>
      </c>
      <c r="C44875" t="s">
        <v>422</v>
      </c>
      <c r="D44875" t="s">
        <v>412</v>
      </c>
      <c r="E44875" t="s">
        <v>144</v>
      </c>
      <c r="F44875" s="2" t="str">
        <f>HYPERLINK("http://www.otzar.org/book.asp?180908","תורת ישראל א")</f>
        <v>תורת ישראל א</v>
      </c>
    </row>
    <row r="44876" spans="1:6" x14ac:dyDescent="0.2">
      <c r="A44876" t="s">
        <v>67564</v>
      </c>
      <c r="B44876" t="s">
        <v>18416</v>
      </c>
      <c r="C44876" t="s">
        <v>812</v>
      </c>
      <c r="D44876" t="s">
        <v>9</v>
      </c>
      <c r="E44876" t="s">
        <v>573</v>
      </c>
      <c r="F44876" s="2" t="str">
        <f>HYPERLINK("http://www.otzar.org/book.asp?103795","תורת ישראל וארצו")</f>
        <v>תורת ישראל וארצו</v>
      </c>
    </row>
    <row r="44877" spans="1:6" x14ac:dyDescent="0.2">
      <c r="A44877" t="s">
        <v>67565</v>
      </c>
      <c r="B44877" t="s">
        <v>67566</v>
      </c>
      <c r="C44877" t="s">
        <v>1096</v>
      </c>
      <c r="D44877" t="s">
        <v>592</v>
      </c>
      <c r="E44877" t="s">
        <v>474</v>
      </c>
      <c r="F44877" s="2" t="str">
        <f>HYPERLINK("http://www.otzar.org/book.asp?197021","תורת ישראל תנינא")</f>
        <v>תורת ישראל תנינא</v>
      </c>
    </row>
    <row r="44878" spans="1:6" x14ac:dyDescent="0.2">
      <c r="A44878" t="s">
        <v>67567</v>
      </c>
      <c r="B44878" t="s">
        <v>67568</v>
      </c>
      <c r="C44878" t="s">
        <v>37</v>
      </c>
      <c r="D44878" t="s">
        <v>1076</v>
      </c>
      <c r="E44878" t="s">
        <v>674</v>
      </c>
      <c r="F44878" s="2" t="str">
        <f>HYPERLINK("http://www.otzar.org/book.asp?181034","תורת ישראל")</f>
        <v>תורת ישראל</v>
      </c>
    </row>
    <row r="44879" spans="1:6" x14ac:dyDescent="0.2">
      <c r="A44879" t="s">
        <v>67569</v>
      </c>
      <c r="B44879" t="s">
        <v>67563</v>
      </c>
      <c r="C44879" t="s">
        <v>20</v>
      </c>
      <c r="D44879" t="s">
        <v>412</v>
      </c>
      <c r="E44879" t="s">
        <v>144</v>
      </c>
      <c r="F44879" s="2" t="str">
        <f>HYPERLINK("http://www.otzar.org/book.asp?180909","תורת ישראל - ב")</f>
        <v>תורת ישראל - ב</v>
      </c>
    </row>
    <row r="44880" spans="1:6" x14ac:dyDescent="0.2">
      <c r="A44880" t="s">
        <v>67567</v>
      </c>
      <c r="B44880" t="s">
        <v>67570</v>
      </c>
      <c r="C44880" t="s">
        <v>8</v>
      </c>
      <c r="D44880" t="s">
        <v>35401</v>
      </c>
      <c r="E44880" t="s">
        <v>2840</v>
      </c>
      <c r="F44880" s="2" t="str">
        <f>HYPERLINK("http://www.otzar.org/book.asp?196061","תורת ישראל")</f>
        <v>תורת ישראל</v>
      </c>
    </row>
    <row r="44881" spans="1:6" x14ac:dyDescent="0.2">
      <c r="A44881" t="s">
        <v>67567</v>
      </c>
      <c r="B44881" t="s">
        <v>67571</v>
      </c>
      <c r="C44881" t="s">
        <v>151</v>
      </c>
      <c r="D44881" t="s">
        <v>3939</v>
      </c>
      <c r="F44881" s="2" t="str">
        <f>HYPERLINK("http://www.otzar.org/book.asp?614468","תורת ישראל")</f>
        <v>תורת ישראל</v>
      </c>
    </row>
    <row r="44882" spans="1:6" x14ac:dyDescent="0.2">
      <c r="A44882" t="s">
        <v>67567</v>
      </c>
      <c r="B44882" t="s">
        <v>67572</v>
      </c>
      <c r="C44882" t="s">
        <v>71</v>
      </c>
      <c r="D44882" t="s">
        <v>14</v>
      </c>
      <c r="E44882" t="s">
        <v>325</v>
      </c>
      <c r="F44882" s="2" t="str">
        <f>HYPERLINK("http://www.otzar.org/book.asp?176908","תורת ישראל")</f>
        <v>תורת ישראל</v>
      </c>
    </row>
    <row r="44883" spans="1:6" x14ac:dyDescent="0.2">
      <c r="A44883" t="s">
        <v>67567</v>
      </c>
      <c r="B44883" t="s">
        <v>67566</v>
      </c>
      <c r="C44883" t="s">
        <v>1885</v>
      </c>
      <c r="D44883" t="s">
        <v>2038</v>
      </c>
      <c r="E44883" t="s">
        <v>474</v>
      </c>
      <c r="F44883" s="2" t="str">
        <f>HYPERLINK("http://www.otzar.org/book.asp?197020","תורת ישראל")</f>
        <v>תורת ישראל</v>
      </c>
    </row>
    <row r="44884" spans="1:6" x14ac:dyDescent="0.2">
      <c r="A44884" t="s">
        <v>67567</v>
      </c>
      <c r="B44884" t="s">
        <v>9667</v>
      </c>
      <c r="C44884" t="s">
        <v>111</v>
      </c>
      <c r="D44884" t="s">
        <v>14</v>
      </c>
      <c r="E44884" t="s">
        <v>158</v>
      </c>
      <c r="F44884" s="2" t="str">
        <f>HYPERLINK("http://www.otzar.org/book.asp?624833","תורת ישראל")</f>
        <v>תורת ישראל</v>
      </c>
    </row>
    <row r="44885" spans="1:6" x14ac:dyDescent="0.2">
      <c r="A44885" t="s">
        <v>67573</v>
      </c>
      <c r="B44885" t="s">
        <v>29915</v>
      </c>
      <c r="C44885" t="s">
        <v>366</v>
      </c>
      <c r="D44885" t="s">
        <v>14</v>
      </c>
      <c r="F44885" s="2" t="str">
        <f>HYPERLINK("http://www.otzar.org/book.asp?610715","תורת כהן &lt;מהדו""ח&gt; - 2 כר'")</f>
        <v>תורת כהן &lt;מהדו"ח&gt; - 2 כר'</v>
      </c>
    </row>
    <row r="44886" spans="1:6" x14ac:dyDescent="0.2">
      <c r="A44886" t="s">
        <v>67574</v>
      </c>
      <c r="B44886" t="s">
        <v>29915</v>
      </c>
      <c r="C44886" t="s">
        <v>725</v>
      </c>
      <c r="D44886" t="s">
        <v>283</v>
      </c>
      <c r="E44886" t="s">
        <v>67575</v>
      </c>
      <c r="F44886" s="2" t="str">
        <f>HYPERLINK("http://www.otzar.org/book.asp?22612","תורת כהן")</f>
        <v>תורת כהן</v>
      </c>
    </row>
    <row r="44887" spans="1:6" x14ac:dyDescent="0.2">
      <c r="A44887" t="s">
        <v>67576</v>
      </c>
      <c r="B44887" t="s">
        <v>11501</v>
      </c>
      <c r="C44887" t="s">
        <v>75</v>
      </c>
      <c r="D44887" t="s">
        <v>535</v>
      </c>
      <c r="E44887" t="s">
        <v>64</v>
      </c>
      <c r="F44887" s="2" t="str">
        <f>HYPERLINK("http://www.otzar.org/book.asp?101442","תורת כהנים &lt;ראב""ד&gt;")</f>
        <v>תורת כהנים &lt;ראב"ד&gt;</v>
      </c>
    </row>
    <row r="44888" spans="1:6" x14ac:dyDescent="0.2">
      <c r="A44888" t="s">
        <v>67577</v>
      </c>
      <c r="B44888" t="s">
        <v>1978</v>
      </c>
      <c r="C44888" t="s">
        <v>506</v>
      </c>
      <c r="D44888" t="s">
        <v>2295</v>
      </c>
      <c r="E44888" t="s">
        <v>64</v>
      </c>
      <c r="F44888" s="2" t="str">
        <f>HYPERLINK("http://www.otzar.org/book.asp?365","תורת כהנים &lt;חפץ חיים&gt;")</f>
        <v>תורת כהנים &lt;חפץ חיים&gt;</v>
      </c>
    </row>
    <row r="44889" spans="1:6" x14ac:dyDescent="0.2">
      <c r="A44889" t="s">
        <v>67578</v>
      </c>
      <c r="B44889" t="s">
        <v>67579</v>
      </c>
      <c r="C44889" t="s">
        <v>843</v>
      </c>
      <c r="D44889" t="s">
        <v>9</v>
      </c>
      <c r="E44889" t="s">
        <v>43</v>
      </c>
      <c r="F44889" s="2" t="str">
        <f>HYPERLINK("http://www.otzar.org/book.asp?601372","תורת כהנים &lt;כתב יד רומי&gt;")</f>
        <v>תורת כהנים &lt;כתב יד רומי&gt;</v>
      </c>
    </row>
    <row r="44890" spans="1:6" x14ac:dyDescent="0.2">
      <c r="A44890" t="s">
        <v>67580</v>
      </c>
      <c r="B44890" t="s">
        <v>1720</v>
      </c>
      <c r="C44890" t="s">
        <v>5721</v>
      </c>
      <c r="D44890" t="s">
        <v>267</v>
      </c>
      <c r="E44890" t="s">
        <v>67581</v>
      </c>
      <c r="F44890" s="2" t="str">
        <f>HYPERLINK("http://www.otzar.org/book.asp?15313","תורת כהנים &lt;עשירית האיפה&gt;")</f>
        <v>תורת כהנים &lt;עשירית האיפה&gt;</v>
      </c>
    </row>
    <row r="44891" spans="1:6" x14ac:dyDescent="0.2">
      <c r="A44891" t="s">
        <v>67582</v>
      </c>
      <c r="B44891" t="s">
        <v>67583</v>
      </c>
      <c r="C44891" t="s">
        <v>462</v>
      </c>
      <c r="D44891" t="s">
        <v>6459</v>
      </c>
      <c r="E44891" t="s">
        <v>34721</v>
      </c>
      <c r="F44891" s="2" t="str">
        <f>HYPERLINK("http://www.otzar.org/book.asp?8062","תורת כהנים &lt;דרך הקודש&gt; - 2 כר'")</f>
        <v>תורת כהנים &lt;דרך הקודש&gt; - 2 כר'</v>
      </c>
    </row>
    <row r="44892" spans="1:6" x14ac:dyDescent="0.2">
      <c r="A44892" t="s">
        <v>67584</v>
      </c>
      <c r="B44892" t="s">
        <v>67585</v>
      </c>
      <c r="C44892" t="s">
        <v>67586</v>
      </c>
      <c r="D44892" t="s">
        <v>56</v>
      </c>
      <c r="E44892" t="s">
        <v>64</v>
      </c>
      <c r="F44892" s="2" t="str">
        <f>HYPERLINK("http://www.otzar.org/book.asp?23465","תורת כהנים &lt;עזרת כהנים&gt; - 3 כר'")</f>
        <v>תורת כהנים &lt;עזרת כהנים&gt; - 3 כר'</v>
      </c>
    </row>
    <row r="44893" spans="1:6" x14ac:dyDescent="0.2">
      <c r="A44893" t="s">
        <v>67587</v>
      </c>
      <c r="B44893" t="s">
        <v>47848</v>
      </c>
      <c r="C44893" t="s">
        <v>103</v>
      </c>
      <c r="D44893" t="s">
        <v>14</v>
      </c>
      <c r="E44893" t="s">
        <v>43</v>
      </c>
      <c r="F44893" s="2" t="str">
        <f>HYPERLINK("http://www.otzar.org/book.asp?173116","תורת כהנים - 2 כר'")</f>
        <v>תורת כהנים - 2 כר'</v>
      </c>
    </row>
    <row r="44894" spans="1:6" x14ac:dyDescent="0.2">
      <c r="A44894" t="s">
        <v>47755</v>
      </c>
      <c r="B44894" t="s">
        <v>7593</v>
      </c>
      <c r="C44894" t="s">
        <v>383</v>
      </c>
      <c r="D44894" t="s">
        <v>21</v>
      </c>
      <c r="F44894" s="2" t="str">
        <f>HYPERLINK("http://www.otzar.org/book.asp?617050","תורת כהנים")</f>
        <v>תורת כהנים</v>
      </c>
    </row>
    <row r="44895" spans="1:6" x14ac:dyDescent="0.2">
      <c r="A44895" t="s">
        <v>67588</v>
      </c>
      <c r="B44895" t="s">
        <v>1720</v>
      </c>
      <c r="C44895" t="s">
        <v>411</v>
      </c>
      <c r="D44895" t="s">
        <v>14</v>
      </c>
      <c r="E44895" t="s">
        <v>43</v>
      </c>
      <c r="F44895" s="2" t="str">
        <f>HYPERLINK("http://www.otzar.org/book.asp?173611","תורת כהנים - עשירת האיפה &lt;מהדורה חדשה&gt;")</f>
        <v>תורת כהנים - עשירת האיפה &lt;מהדורה חדשה&gt;</v>
      </c>
    </row>
    <row r="44896" spans="1:6" x14ac:dyDescent="0.2">
      <c r="A44896" t="s">
        <v>67589</v>
      </c>
      <c r="B44896" t="s">
        <v>67590</v>
      </c>
      <c r="C44896" t="s">
        <v>20</v>
      </c>
      <c r="D44896" t="s">
        <v>14</v>
      </c>
      <c r="F44896" s="2" t="str">
        <f>HYPERLINK("http://www.otzar.org/book.asp?197955","תורת כוחות הנפש")</f>
        <v>תורת כוחות הנפש</v>
      </c>
    </row>
    <row r="44897" spans="1:6" x14ac:dyDescent="0.2">
      <c r="A44897" t="s">
        <v>67591</v>
      </c>
      <c r="B44897" t="s">
        <v>1565</v>
      </c>
      <c r="C44897" t="s">
        <v>67592</v>
      </c>
      <c r="D44897" t="s">
        <v>283</v>
      </c>
      <c r="E44897" t="s">
        <v>67593</v>
      </c>
      <c r="F44897" s="2" t="str">
        <f>HYPERLINK("http://www.otzar.org/book.asp?14711","תורת כנסת ישראל")</f>
        <v>תורת כנסת ישראל</v>
      </c>
    </row>
    <row r="44898" spans="1:6" x14ac:dyDescent="0.2">
      <c r="A44898" t="s">
        <v>67594</v>
      </c>
      <c r="B44898" t="s">
        <v>25061</v>
      </c>
      <c r="C44898" t="s">
        <v>67595</v>
      </c>
      <c r="D44898" t="s">
        <v>9</v>
      </c>
      <c r="E44898" t="s">
        <v>15</v>
      </c>
      <c r="F44898" s="2" t="str">
        <f>HYPERLINK("http://www.otzar.org/book.asp?8938","תורת לוים - 4 כר'")</f>
        <v>תורת לוים - 4 כר'</v>
      </c>
    </row>
    <row r="44899" spans="1:6" x14ac:dyDescent="0.2">
      <c r="A44899" t="s">
        <v>67596</v>
      </c>
      <c r="B44899" t="s">
        <v>43107</v>
      </c>
      <c r="C44899" t="s">
        <v>1208</v>
      </c>
      <c r="D44899" t="s">
        <v>90</v>
      </c>
      <c r="E44899" t="s">
        <v>130</v>
      </c>
      <c r="F44899" s="2" t="str">
        <f>HYPERLINK("http://www.otzar.org/book.asp?191281","תורת ליל החג")</f>
        <v>תורת ליל החג</v>
      </c>
    </row>
    <row r="44900" spans="1:6" x14ac:dyDescent="0.2">
      <c r="A44900" t="s">
        <v>67597</v>
      </c>
      <c r="B44900" t="s">
        <v>13413</v>
      </c>
      <c r="C44900" t="s">
        <v>7193</v>
      </c>
      <c r="D44900" t="s">
        <v>1023</v>
      </c>
      <c r="F44900" s="2" t="str">
        <f>HYPERLINK("http://www.otzar.org/book.asp?164946","תורת לקח טוב")</f>
        <v>תורת לקח טוב</v>
      </c>
    </row>
    <row r="44901" spans="1:6" x14ac:dyDescent="0.2">
      <c r="A44901" t="s">
        <v>67598</v>
      </c>
      <c r="B44901" t="s">
        <v>12589</v>
      </c>
      <c r="C44901" t="s">
        <v>71</v>
      </c>
      <c r="D44901" t="s">
        <v>14</v>
      </c>
      <c r="E44901" t="s">
        <v>2071</v>
      </c>
      <c r="F44901" s="2" t="str">
        <f>HYPERLINK("http://www.otzar.org/book.asp?165188","תורת מאיר - ב")</f>
        <v>תורת מאיר - ב</v>
      </c>
    </row>
    <row r="44902" spans="1:6" x14ac:dyDescent="0.2">
      <c r="A44902" t="s">
        <v>67599</v>
      </c>
      <c r="B44902" t="s">
        <v>15765</v>
      </c>
      <c r="C44902" t="s">
        <v>151</v>
      </c>
      <c r="D44902" t="s">
        <v>14</v>
      </c>
      <c r="F44902" s="2" t="str">
        <f>HYPERLINK("http://www.otzar.org/book.asp?622091","תורת מאיר")</f>
        <v>תורת מאיר</v>
      </c>
    </row>
    <row r="44903" spans="1:6" x14ac:dyDescent="0.2">
      <c r="A44903" t="s">
        <v>67600</v>
      </c>
      <c r="B44903" t="s">
        <v>28356</v>
      </c>
      <c r="C44903" t="s">
        <v>37220</v>
      </c>
      <c r="D44903" t="s">
        <v>9</v>
      </c>
      <c r="E44903" t="s">
        <v>144</v>
      </c>
      <c r="F44903" s="2" t="str">
        <f>HYPERLINK("http://www.otzar.org/book.asp?52106","תורת מאיר - 2 כר'")</f>
        <v>תורת מאיר - 2 כר'</v>
      </c>
    </row>
    <row r="44904" spans="1:6" x14ac:dyDescent="0.2">
      <c r="A44904" t="s">
        <v>67601</v>
      </c>
      <c r="B44904" t="s">
        <v>5253</v>
      </c>
      <c r="C44904" t="s">
        <v>146</v>
      </c>
      <c r="D44904" t="s">
        <v>486</v>
      </c>
      <c r="E44904" t="s">
        <v>84</v>
      </c>
      <c r="F44904" s="2" t="str">
        <f>HYPERLINK("http://www.otzar.org/book.asp?142038","תורת מהרא""ל ופניני מהרא""ל (על מסכת אבות)")</f>
        <v>תורת מהרא"ל ופניני מהרא"ל (על מסכת אבות)</v>
      </c>
    </row>
    <row r="44905" spans="1:6" x14ac:dyDescent="0.2">
      <c r="A44905" t="s">
        <v>67602</v>
      </c>
      <c r="B44905" t="s">
        <v>67603</v>
      </c>
      <c r="C44905" t="s">
        <v>422</v>
      </c>
      <c r="D44905" t="s">
        <v>14</v>
      </c>
      <c r="E44905" t="s">
        <v>158</v>
      </c>
      <c r="F44905" s="2" t="str">
        <f>HYPERLINK("http://www.otzar.org/book.asp?151782","תורת מהרי""ם - 4 כר'")</f>
        <v>תורת מהרי"ם - 4 כר'</v>
      </c>
    </row>
    <row r="44906" spans="1:6" x14ac:dyDescent="0.2">
      <c r="A44906" t="s">
        <v>67604</v>
      </c>
      <c r="B44906" t="s">
        <v>17018</v>
      </c>
      <c r="C44906" t="s">
        <v>14927</v>
      </c>
      <c r="D44906" t="s">
        <v>27</v>
      </c>
      <c r="E44906" t="s">
        <v>158</v>
      </c>
      <c r="F44906" s="2" t="str">
        <f>HYPERLINK("http://www.otzar.org/book.asp?144869","תורת מהרי""ץ - 5 כר'")</f>
        <v>תורת מהרי"ץ - 5 כר'</v>
      </c>
    </row>
    <row r="44907" spans="1:6" x14ac:dyDescent="0.2">
      <c r="A44907" t="s">
        <v>67605</v>
      </c>
      <c r="B44907" t="s">
        <v>67367</v>
      </c>
      <c r="C44907" t="s">
        <v>129</v>
      </c>
      <c r="D44907" t="s">
        <v>367</v>
      </c>
      <c r="E44907" t="s">
        <v>67486</v>
      </c>
      <c r="F44907" s="2" t="str">
        <f>HYPERLINK("http://www.otzar.org/book.asp?161284","תורת מהרש""ל")</f>
        <v>תורת מהרש"ל</v>
      </c>
    </row>
    <row r="44908" spans="1:6" x14ac:dyDescent="0.2">
      <c r="A44908" t="s">
        <v>67606</v>
      </c>
      <c r="B44908" t="s">
        <v>25894</v>
      </c>
      <c r="C44908" t="s">
        <v>114</v>
      </c>
      <c r="D44908" t="s">
        <v>72</v>
      </c>
      <c r="E44908" t="s">
        <v>579</v>
      </c>
      <c r="F44908" s="2" t="str">
        <f>HYPERLINK("http://www.otzar.org/book.asp?196589","תורת מונח")</f>
        <v>תורת מונח</v>
      </c>
    </row>
    <row r="44909" spans="1:6" x14ac:dyDescent="0.2">
      <c r="A44909" t="s">
        <v>67607</v>
      </c>
      <c r="B44909" t="s">
        <v>67608</v>
      </c>
      <c r="C44909" t="s">
        <v>366</v>
      </c>
      <c r="D44909" t="s">
        <v>14</v>
      </c>
      <c r="E44909" t="s">
        <v>144</v>
      </c>
      <c r="F44909" s="2" t="str">
        <f>HYPERLINK("http://www.otzar.org/book.asp?606558","תורת מועד - ביצה")</f>
        <v>תורת מועד - ביצה</v>
      </c>
    </row>
    <row r="44910" spans="1:6" x14ac:dyDescent="0.2">
      <c r="A44910" t="s">
        <v>67609</v>
      </c>
      <c r="B44910" t="s">
        <v>67610</v>
      </c>
      <c r="C44910" t="s">
        <v>1160</v>
      </c>
      <c r="D44910" t="s">
        <v>14</v>
      </c>
      <c r="E44910" t="s">
        <v>15025</v>
      </c>
      <c r="F44910" s="2" t="str">
        <f>HYPERLINK("http://www.otzar.org/book.asp?101471","תורת מיכאל")</f>
        <v>תורת מיכאל</v>
      </c>
    </row>
    <row r="44911" spans="1:6" x14ac:dyDescent="0.2">
      <c r="A44911" t="s">
        <v>67611</v>
      </c>
      <c r="B44911" t="s">
        <v>67612</v>
      </c>
      <c r="C44911" t="s">
        <v>68</v>
      </c>
      <c r="D44911" t="s">
        <v>14</v>
      </c>
      <c r="E44911" t="s">
        <v>15</v>
      </c>
      <c r="F44911" s="2" t="str">
        <f>HYPERLINK("http://www.otzar.org/book.asp?175998","תורת מלאכת המבשל")</f>
        <v>תורת מלאכת המבשל</v>
      </c>
    </row>
    <row r="44912" spans="1:6" x14ac:dyDescent="0.2">
      <c r="A44912" t="s">
        <v>67613</v>
      </c>
      <c r="B44912" t="s">
        <v>67614</v>
      </c>
      <c r="C44912" t="s">
        <v>2543</v>
      </c>
      <c r="D44912" t="s">
        <v>283</v>
      </c>
      <c r="E44912" t="s">
        <v>144</v>
      </c>
      <c r="F44912" s="2" t="str">
        <f>HYPERLINK("http://www.otzar.org/book.asp?20383","תורת מנחם")</f>
        <v>תורת מנחם</v>
      </c>
    </row>
    <row r="44913" spans="1:6" x14ac:dyDescent="0.2">
      <c r="A44913" t="s">
        <v>67613</v>
      </c>
      <c r="B44913" t="s">
        <v>67615</v>
      </c>
      <c r="C44913" t="s">
        <v>888</v>
      </c>
      <c r="D44913" t="s">
        <v>379</v>
      </c>
      <c r="E44913" t="s">
        <v>803</v>
      </c>
      <c r="F44913" s="2" t="str">
        <f>HYPERLINK("http://www.otzar.org/book.asp?20382","תורת מנחם")</f>
        <v>תורת מנחם</v>
      </c>
    </row>
    <row r="44914" spans="1:6" x14ac:dyDescent="0.2">
      <c r="A44914" t="s">
        <v>67616</v>
      </c>
      <c r="B44914" t="s">
        <v>67617</v>
      </c>
      <c r="C44914" t="s">
        <v>151</v>
      </c>
      <c r="D44914" t="s">
        <v>1076</v>
      </c>
      <c r="F44914" s="2" t="str">
        <f>HYPERLINK("http://www.otzar.org/book.asp?615221","תורת מרדכי - 2 כר'")</f>
        <v>תורת מרדכי - 2 כר'</v>
      </c>
    </row>
    <row r="44915" spans="1:6" x14ac:dyDescent="0.2">
      <c r="A44915" t="s">
        <v>67618</v>
      </c>
      <c r="B44915" t="s">
        <v>6720</v>
      </c>
      <c r="C44915" t="s">
        <v>496</v>
      </c>
      <c r="D44915" t="s">
        <v>691</v>
      </c>
      <c r="E44915" t="s">
        <v>67619</v>
      </c>
      <c r="F44915" s="2" t="str">
        <f>HYPERLINK("http://www.otzar.org/book.asp?10806","תורת מרדכי")</f>
        <v>תורת מרדכי</v>
      </c>
    </row>
    <row r="44916" spans="1:6" x14ac:dyDescent="0.2">
      <c r="A44916" t="s">
        <v>67620</v>
      </c>
      <c r="B44916" t="s">
        <v>15186</v>
      </c>
      <c r="C44916" t="s">
        <v>67621</v>
      </c>
      <c r="D44916" t="s">
        <v>67622</v>
      </c>
      <c r="F44916" s="2" t="str">
        <f>HYPERLINK("http://www.otzar.org/book.asp?611733","תורת משה &lt;דפו""ר&gt; - בראשית")</f>
        <v>תורת משה &lt;דפו"ר&gt; - בראשית</v>
      </c>
    </row>
    <row r="44917" spans="1:6" x14ac:dyDescent="0.2">
      <c r="A44917" t="s">
        <v>67623</v>
      </c>
      <c r="B44917" t="s">
        <v>15186</v>
      </c>
      <c r="C44917" t="s">
        <v>775</v>
      </c>
      <c r="D44917" t="s">
        <v>14</v>
      </c>
      <c r="E44917" t="s">
        <v>119</v>
      </c>
      <c r="F44917" s="2" t="str">
        <f>HYPERLINK("http://www.otzar.org/book.asp?105269","תורת משה (אלשיך) &lt;מהד' וגשל&gt; - 5 כר'")</f>
        <v>תורת משה (אלשיך) &lt;מהד' וגשל&gt; - 5 כר'</v>
      </c>
    </row>
    <row r="44918" spans="1:6" x14ac:dyDescent="0.2">
      <c r="A44918" t="s">
        <v>67624</v>
      </c>
      <c r="B44918" t="s">
        <v>15186</v>
      </c>
      <c r="C44918" t="s">
        <v>1177</v>
      </c>
      <c r="D44918" t="s">
        <v>283</v>
      </c>
      <c r="E44918" t="s">
        <v>158</v>
      </c>
      <c r="F44918" s="2" t="str">
        <f>HYPERLINK("http://www.otzar.org/book.asp?14182","תורת משה (אלשיך) - 3 כר'")</f>
        <v>תורת משה (אלשיך) - 3 כר'</v>
      </c>
    </row>
    <row r="44919" spans="1:6" x14ac:dyDescent="0.2">
      <c r="A44919" t="s">
        <v>67625</v>
      </c>
      <c r="B44919" t="s">
        <v>67626</v>
      </c>
      <c r="C44919" t="s">
        <v>919</v>
      </c>
      <c r="D44919" t="s">
        <v>14</v>
      </c>
      <c r="E44919" t="s">
        <v>26678</v>
      </c>
      <c r="F44919" s="2" t="str">
        <f>HYPERLINK("http://www.otzar.org/book.asp?9023","תורת משה אהרן")</f>
        <v>תורת משה אהרן</v>
      </c>
    </row>
    <row r="44920" spans="1:6" x14ac:dyDescent="0.2">
      <c r="A44920" t="s">
        <v>67627</v>
      </c>
      <c r="B44920" t="s">
        <v>13135</v>
      </c>
      <c r="C44920" t="s">
        <v>37</v>
      </c>
      <c r="D44920" t="s">
        <v>52</v>
      </c>
      <c r="E44920" t="s">
        <v>2071</v>
      </c>
      <c r="F44920" s="2" t="str">
        <f>HYPERLINK("http://www.otzar.org/book.asp?189426","תורת משה אמת")</f>
        <v>תורת משה אמת</v>
      </c>
    </row>
    <row r="44921" spans="1:6" x14ac:dyDescent="0.2">
      <c r="A44921" t="s">
        <v>67628</v>
      </c>
      <c r="B44921" t="s">
        <v>32247</v>
      </c>
      <c r="C44921" t="s">
        <v>313</v>
      </c>
      <c r="D44921" t="s">
        <v>14</v>
      </c>
      <c r="E44921" t="s">
        <v>15</v>
      </c>
      <c r="F44921" s="2" t="str">
        <f>HYPERLINK("http://www.otzar.org/book.asp?51010","תורת משה הקצר")</f>
        <v>תורת משה הקצר</v>
      </c>
    </row>
    <row r="44922" spans="1:6" x14ac:dyDescent="0.2">
      <c r="A44922" t="s">
        <v>67629</v>
      </c>
      <c r="B44922" t="s">
        <v>3299</v>
      </c>
      <c r="C44922" t="s">
        <v>103</v>
      </c>
      <c r="D44922" t="s">
        <v>14</v>
      </c>
      <c r="E44922" t="s">
        <v>158</v>
      </c>
      <c r="F44922" s="2" t="str">
        <f>HYPERLINK("http://www.otzar.org/book.asp?53127","תורת משה השלם - 5 כר'")</f>
        <v>תורת משה השלם - 5 כר'</v>
      </c>
    </row>
    <row r="44923" spans="1:6" x14ac:dyDescent="0.2">
      <c r="A44923" t="s">
        <v>67630</v>
      </c>
      <c r="B44923" t="s">
        <v>38356</v>
      </c>
      <c r="C44923" t="s">
        <v>1202</v>
      </c>
      <c r="D44923" t="s">
        <v>974</v>
      </c>
      <c r="E44923" t="s">
        <v>15301</v>
      </c>
      <c r="F44923" s="2" t="str">
        <f>HYPERLINK("http://www.otzar.org/book.asp?100678","תורת משה נתן - 2 כר'")</f>
        <v>תורת משה נתן - 2 כר'</v>
      </c>
    </row>
    <row r="44924" spans="1:6" x14ac:dyDescent="0.2">
      <c r="A44924" t="s">
        <v>67631</v>
      </c>
      <c r="B44924" t="s">
        <v>39281</v>
      </c>
      <c r="C44924" t="s">
        <v>812</v>
      </c>
      <c r="D44924" t="s">
        <v>27049</v>
      </c>
      <c r="E44924" t="s">
        <v>463</v>
      </c>
      <c r="F44924" s="2" t="str">
        <f>HYPERLINK("http://www.otzar.org/book.asp?189369","תורת משה")</f>
        <v>תורת משה</v>
      </c>
    </row>
    <row r="44925" spans="1:6" x14ac:dyDescent="0.2">
      <c r="A44925" t="s">
        <v>67631</v>
      </c>
      <c r="B44925" t="s">
        <v>39095</v>
      </c>
      <c r="C44925" t="s">
        <v>129</v>
      </c>
      <c r="D44925" t="s">
        <v>90</v>
      </c>
      <c r="E44925" t="s">
        <v>508</v>
      </c>
      <c r="F44925" s="2" t="str">
        <f>HYPERLINK("http://www.otzar.org/book.asp?62000","תורת משה")</f>
        <v>תורת משה</v>
      </c>
    </row>
    <row r="44926" spans="1:6" x14ac:dyDescent="0.2">
      <c r="A44926" t="s">
        <v>67632</v>
      </c>
      <c r="B44926" t="s">
        <v>3299</v>
      </c>
      <c r="C44926" t="s">
        <v>189</v>
      </c>
      <c r="D44926" t="s">
        <v>14</v>
      </c>
      <c r="E44926" t="s">
        <v>158</v>
      </c>
      <c r="F44926" s="2" t="str">
        <f>HYPERLINK("http://www.otzar.org/book.asp?53191","תורת משה - 6 כר'")</f>
        <v>תורת משה - 6 כר'</v>
      </c>
    </row>
    <row r="44927" spans="1:6" x14ac:dyDescent="0.2">
      <c r="A44927" t="s">
        <v>67633</v>
      </c>
      <c r="B44927" t="s">
        <v>65478</v>
      </c>
      <c r="C44927" t="s">
        <v>87</v>
      </c>
      <c r="D44927" t="s">
        <v>1889</v>
      </c>
      <c r="E44927" t="s">
        <v>158</v>
      </c>
      <c r="F44927" s="2" t="str">
        <f>HYPERLINK("http://www.otzar.org/book.asp?603700","תורת משה - 2 כר'")</f>
        <v>תורת משה - 2 כר'</v>
      </c>
    </row>
    <row r="44928" spans="1:6" x14ac:dyDescent="0.2">
      <c r="A44928" t="s">
        <v>67631</v>
      </c>
      <c r="B44928" t="s">
        <v>32247</v>
      </c>
      <c r="C44928" t="s">
        <v>313</v>
      </c>
      <c r="D44928" t="s">
        <v>14</v>
      </c>
      <c r="E44928" t="s">
        <v>67634</v>
      </c>
      <c r="F44928" s="2" t="str">
        <f>HYPERLINK("http://www.otzar.org/book.asp?50939","תורת משה")</f>
        <v>תורת משה</v>
      </c>
    </row>
    <row r="44929" spans="1:6" x14ac:dyDescent="0.2">
      <c r="A44929" t="s">
        <v>67635</v>
      </c>
      <c r="B44929" t="s">
        <v>67636</v>
      </c>
      <c r="C44929" t="s">
        <v>411</v>
      </c>
      <c r="D44929" t="s">
        <v>21</v>
      </c>
      <c r="E44929" t="s">
        <v>2091</v>
      </c>
      <c r="F44929" s="2" t="str">
        <f>HYPERLINK("http://www.otzar.org/book.asp?197203","תורת משה - מאכלי עכו""ם")</f>
        <v>תורת משה - מאכלי עכו"ם</v>
      </c>
    </row>
    <row r="44930" spans="1:6" x14ac:dyDescent="0.2">
      <c r="A44930" t="s">
        <v>67631</v>
      </c>
      <c r="B44930" t="s">
        <v>1750</v>
      </c>
      <c r="C44930" t="s">
        <v>1208</v>
      </c>
      <c r="D44930" t="s">
        <v>52</v>
      </c>
      <c r="E44930" t="s">
        <v>202</v>
      </c>
      <c r="F44930" s="2" t="str">
        <f>HYPERLINK("http://www.otzar.org/book.asp?61843","תורת משה")</f>
        <v>תורת משה</v>
      </c>
    </row>
    <row r="44931" spans="1:6" x14ac:dyDescent="0.2">
      <c r="A44931" t="s">
        <v>67631</v>
      </c>
      <c r="B44931" t="s">
        <v>12629</v>
      </c>
      <c r="C44931" t="s">
        <v>4404</v>
      </c>
      <c r="D44931" t="s">
        <v>1495</v>
      </c>
      <c r="E44931" t="s">
        <v>234</v>
      </c>
      <c r="F44931" s="2" t="str">
        <f>HYPERLINK("http://www.otzar.org/book.asp?100679","תורת משה")</f>
        <v>תורת משה</v>
      </c>
    </row>
    <row r="44932" spans="1:6" x14ac:dyDescent="0.2">
      <c r="A44932" t="s">
        <v>67631</v>
      </c>
      <c r="B44932" t="s">
        <v>67637</v>
      </c>
      <c r="C44932" t="s">
        <v>1659</v>
      </c>
      <c r="D44932" t="s">
        <v>76</v>
      </c>
      <c r="E44932" t="s">
        <v>508</v>
      </c>
      <c r="F44932" s="2" t="str">
        <f>HYPERLINK("http://www.otzar.org/book.asp?9256","תורת משה")</f>
        <v>תורת משה</v>
      </c>
    </row>
    <row r="44933" spans="1:6" x14ac:dyDescent="0.2">
      <c r="A44933" t="s">
        <v>67638</v>
      </c>
      <c r="B44933" t="s">
        <v>1421</v>
      </c>
      <c r="C44933" t="s">
        <v>8375</v>
      </c>
      <c r="D44933" t="s">
        <v>60</v>
      </c>
      <c r="E44933" t="s">
        <v>104</v>
      </c>
      <c r="F44933" s="2" t="str">
        <f>HYPERLINK("http://www.otzar.org/book.asp?104477","תורת נביאים")</f>
        <v>תורת נביאים</v>
      </c>
    </row>
    <row r="44934" spans="1:6" x14ac:dyDescent="0.2">
      <c r="A44934" t="s">
        <v>67639</v>
      </c>
      <c r="B44934" t="s">
        <v>12305</v>
      </c>
      <c r="C44934" t="s">
        <v>454</v>
      </c>
      <c r="D44934" t="s">
        <v>52</v>
      </c>
      <c r="E44934" t="s">
        <v>38</v>
      </c>
      <c r="F44934" s="2" t="str">
        <f>HYPERLINK("http://www.otzar.org/book.asp?52272","תורת נגעים")</f>
        <v>תורת נגעים</v>
      </c>
    </row>
    <row r="44935" spans="1:6" x14ac:dyDescent="0.2">
      <c r="A44935" t="s">
        <v>67640</v>
      </c>
      <c r="B44935" t="s">
        <v>56738</v>
      </c>
      <c r="C44935" t="s">
        <v>454</v>
      </c>
      <c r="D44935" t="s">
        <v>1731</v>
      </c>
      <c r="E44935" t="s">
        <v>803</v>
      </c>
      <c r="F44935" s="2" t="str">
        <f>HYPERLINK("http://www.otzar.org/book.asp?21999","תורת נזיקין")</f>
        <v>תורת נזיקין</v>
      </c>
    </row>
    <row r="44936" spans="1:6" x14ac:dyDescent="0.2">
      <c r="A44936" t="s">
        <v>67640</v>
      </c>
      <c r="B44936" t="s">
        <v>67641</v>
      </c>
      <c r="C44936" t="s">
        <v>422</v>
      </c>
      <c r="D44936" t="s">
        <v>52</v>
      </c>
      <c r="E44936" t="s">
        <v>144</v>
      </c>
      <c r="F44936" s="2" t="str">
        <f>HYPERLINK("http://www.otzar.org/book.asp?168712","תורת נזיקין")</f>
        <v>תורת נזיקין</v>
      </c>
    </row>
    <row r="44937" spans="1:6" x14ac:dyDescent="0.2">
      <c r="A44937" t="s">
        <v>67642</v>
      </c>
      <c r="B44937" t="s">
        <v>24038</v>
      </c>
      <c r="C44937" t="s">
        <v>313</v>
      </c>
      <c r="D44937" t="s">
        <v>14</v>
      </c>
      <c r="E44937" t="s">
        <v>144</v>
      </c>
      <c r="F44937" s="2" t="str">
        <f>HYPERLINK("http://www.otzar.org/book.asp?25994","תורת נזיר - 3 כר'")</f>
        <v>תורת נזיר - 3 כר'</v>
      </c>
    </row>
    <row r="44938" spans="1:6" x14ac:dyDescent="0.2">
      <c r="A44938" t="s">
        <v>67643</v>
      </c>
      <c r="B44938" t="s">
        <v>67644</v>
      </c>
      <c r="C44938" t="s">
        <v>2455</v>
      </c>
      <c r="D44938" t="s">
        <v>76</v>
      </c>
      <c r="E44938" t="s">
        <v>803</v>
      </c>
      <c r="F44938" s="2" t="str">
        <f>HYPERLINK("http://www.otzar.org/book.asp?101923","תורת נזיר")</f>
        <v>תורת נזיר</v>
      </c>
    </row>
    <row r="44939" spans="1:6" x14ac:dyDescent="0.2">
      <c r="A44939" t="s">
        <v>67645</v>
      </c>
      <c r="B44939" t="s">
        <v>67646</v>
      </c>
      <c r="C44939" t="s">
        <v>37</v>
      </c>
      <c r="D44939" t="s">
        <v>1643</v>
      </c>
      <c r="E44939" t="s">
        <v>186</v>
      </c>
      <c r="F44939" s="2" t="str">
        <f>HYPERLINK("http://www.otzar.org/book.asp?604989","תורת נחום - 2 כר'")</f>
        <v>תורת נחום - 2 כר'</v>
      </c>
    </row>
    <row r="44940" spans="1:6" x14ac:dyDescent="0.2">
      <c r="A44940" t="s">
        <v>67647</v>
      </c>
      <c r="B44940" t="s">
        <v>4289</v>
      </c>
      <c r="C44940" t="s">
        <v>1268</v>
      </c>
      <c r="D44940" t="s">
        <v>52</v>
      </c>
      <c r="E44940" t="s">
        <v>144</v>
      </c>
      <c r="F44940" s="2" t="str">
        <f>HYPERLINK("http://www.otzar.org/book.asp?615634","תורת נתן - 31 כר'")</f>
        <v>תורת נתן - 31 כר'</v>
      </c>
    </row>
    <row r="44941" spans="1:6" x14ac:dyDescent="0.2">
      <c r="A44941" t="s">
        <v>67648</v>
      </c>
      <c r="B44941" t="s">
        <v>25805</v>
      </c>
      <c r="C44941" t="s">
        <v>180</v>
      </c>
      <c r="D44941" t="s">
        <v>14</v>
      </c>
      <c r="E44941" t="s">
        <v>674</v>
      </c>
      <c r="F44941" s="2" t="str">
        <f>HYPERLINK("http://www.otzar.org/book.asp?160709","תורת נתן - 2 כר'")</f>
        <v>תורת נתן - 2 כר'</v>
      </c>
    </row>
    <row r="44942" spans="1:6" x14ac:dyDescent="0.2">
      <c r="A44942" t="s">
        <v>67648</v>
      </c>
      <c r="B44942" t="s">
        <v>27551</v>
      </c>
      <c r="C44942" t="s">
        <v>1706</v>
      </c>
      <c r="D44942" t="s">
        <v>283</v>
      </c>
      <c r="E44942" t="s">
        <v>1847</v>
      </c>
      <c r="F44942" s="2" t="str">
        <f>HYPERLINK("http://www.otzar.org/book.asp?100677","תורת נתן - 2 כר'")</f>
        <v>תורת נתן - 2 כר'</v>
      </c>
    </row>
    <row r="44943" spans="1:6" x14ac:dyDescent="0.2">
      <c r="A44943" t="s">
        <v>67649</v>
      </c>
      <c r="B44943" t="s">
        <v>38911</v>
      </c>
      <c r="C44943" t="s">
        <v>68</v>
      </c>
      <c r="D44943" t="s">
        <v>90</v>
      </c>
      <c r="E44943" t="s">
        <v>154</v>
      </c>
      <c r="F44943" s="2" t="str">
        <f>HYPERLINK("http://www.otzar.org/book.asp?155918","תורת נתנאל - 4 כר'")</f>
        <v>תורת נתנאל - 4 כר'</v>
      </c>
    </row>
    <row r="44944" spans="1:6" x14ac:dyDescent="0.2">
      <c r="A44944" t="s">
        <v>67650</v>
      </c>
      <c r="B44944" t="s">
        <v>67651</v>
      </c>
      <c r="C44944" t="s">
        <v>133</v>
      </c>
      <c r="D44944" t="s">
        <v>115</v>
      </c>
      <c r="E44944" t="s">
        <v>144</v>
      </c>
      <c r="F44944" s="2" t="str">
        <f>HYPERLINK("http://www.otzar.org/book.asp?194194","תורת סוכה")</f>
        <v>תורת סוכה</v>
      </c>
    </row>
    <row r="44945" spans="1:6" x14ac:dyDescent="0.2">
      <c r="A44945" t="s">
        <v>67652</v>
      </c>
      <c r="B44945" t="s">
        <v>27661</v>
      </c>
      <c r="C44945" t="s">
        <v>129</v>
      </c>
      <c r="D44945" t="s">
        <v>52</v>
      </c>
      <c r="E44945" t="s">
        <v>119</v>
      </c>
      <c r="F44945" s="2" t="str">
        <f>HYPERLINK("http://www.otzar.org/book.asp?147949","תורת עזרא - תולדות עזרא")</f>
        <v>תורת עזרא - תולדות עזרא</v>
      </c>
    </row>
    <row r="44946" spans="1:6" x14ac:dyDescent="0.2">
      <c r="A44946" t="s">
        <v>67653</v>
      </c>
      <c r="B44946" t="s">
        <v>15232</v>
      </c>
      <c r="C44946" t="s">
        <v>5903</v>
      </c>
      <c r="D44946" t="s">
        <v>1117</v>
      </c>
      <c r="E44946" t="s">
        <v>10</v>
      </c>
      <c r="F44946" s="2" t="str">
        <f>HYPERLINK("http://www.otzar.org/book.asp?52101","תורת עירובין")</f>
        <v>תורת עירובין</v>
      </c>
    </row>
    <row r="44947" spans="1:6" x14ac:dyDescent="0.2">
      <c r="A44947" t="s">
        <v>67654</v>
      </c>
      <c r="B44947" t="s">
        <v>19621</v>
      </c>
      <c r="C44947" t="s">
        <v>114</v>
      </c>
      <c r="D44947" t="s">
        <v>9426</v>
      </c>
      <c r="E44947" t="s">
        <v>148</v>
      </c>
      <c r="F44947" s="2" t="str">
        <f>HYPERLINK("http://www.otzar.org/book.asp?179825","תורת ערלה")</f>
        <v>תורת ערלה</v>
      </c>
    </row>
    <row r="44948" spans="1:6" x14ac:dyDescent="0.2">
      <c r="A44948" t="s">
        <v>67655</v>
      </c>
      <c r="B44948" t="s">
        <v>56738</v>
      </c>
      <c r="C44948" t="s">
        <v>103</v>
      </c>
      <c r="D44948" t="s">
        <v>1731</v>
      </c>
      <c r="E44948" t="s">
        <v>15</v>
      </c>
      <c r="F44948" s="2" t="str">
        <f>HYPERLINK("http://www.otzar.org/book.asp?22109","תורת פדיון שבויים")</f>
        <v>תורת פדיון שבויים</v>
      </c>
    </row>
    <row r="44949" spans="1:6" x14ac:dyDescent="0.2">
      <c r="A44949" t="s">
        <v>67656</v>
      </c>
      <c r="B44949" t="s">
        <v>67657</v>
      </c>
      <c r="C44949" t="s">
        <v>1268</v>
      </c>
      <c r="D44949" t="s">
        <v>260</v>
      </c>
      <c r="E44949" t="s">
        <v>104</v>
      </c>
      <c r="F44949" s="2" t="str">
        <f>HYPERLINK("http://www.otzar.org/book.asp?602074","תורת צבי")</f>
        <v>תורת צבי</v>
      </c>
    </row>
    <row r="44950" spans="1:6" x14ac:dyDescent="0.2">
      <c r="A44950" t="s">
        <v>67656</v>
      </c>
      <c r="B44950" t="s">
        <v>67658</v>
      </c>
      <c r="C44950" t="s">
        <v>506</v>
      </c>
      <c r="D44950" t="s">
        <v>48795</v>
      </c>
      <c r="E44950" t="s">
        <v>5712</v>
      </c>
      <c r="F44950" s="2" t="str">
        <f>HYPERLINK("http://www.otzar.org/book.asp?20381","תורת צבי")</f>
        <v>תורת צבי</v>
      </c>
    </row>
    <row r="44951" spans="1:6" x14ac:dyDescent="0.2">
      <c r="A44951" t="s">
        <v>67659</v>
      </c>
      <c r="B44951" t="s">
        <v>24073</v>
      </c>
      <c r="C44951" t="s">
        <v>151</v>
      </c>
      <c r="D44951" t="s">
        <v>21</v>
      </c>
      <c r="E44951" t="s">
        <v>144</v>
      </c>
      <c r="F44951" s="2" t="str">
        <f>HYPERLINK("http://www.otzar.org/book.asp?626922","תורת צבי - 8 כר'")</f>
        <v>תורת צבי - 8 כר'</v>
      </c>
    </row>
    <row r="44952" spans="1:6" x14ac:dyDescent="0.2">
      <c r="A44952" t="s">
        <v>67660</v>
      </c>
      <c r="B44952" t="s">
        <v>206</v>
      </c>
      <c r="C44952" t="s">
        <v>4705</v>
      </c>
      <c r="D44952" t="s">
        <v>15474</v>
      </c>
      <c r="F44952" s="2" t="str">
        <f>HYPERLINK("http://www.otzar.org/book.asp?196446","תורת צדיקים")</f>
        <v>תורת צדיקים</v>
      </c>
    </row>
    <row r="44953" spans="1:6" x14ac:dyDescent="0.2">
      <c r="A44953" t="s">
        <v>67661</v>
      </c>
      <c r="B44953" t="s">
        <v>67662</v>
      </c>
      <c r="C44953" t="s">
        <v>624</v>
      </c>
      <c r="D44953" t="s">
        <v>21</v>
      </c>
      <c r="E44953" t="s">
        <v>4435</v>
      </c>
      <c r="F44953" s="2" t="str">
        <f>HYPERLINK("http://www.otzar.org/book.asp?195680","תורת ציון - אבן שלמה - מנחם ציון")</f>
        <v>תורת ציון - אבן שלמה - מנחם ציון</v>
      </c>
    </row>
    <row r="44954" spans="1:6" x14ac:dyDescent="0.2">
      <c r="A44954" t="s">
        <v>67663</v>
      </c>
      <c r="B44954" t="s">
        <v>57990</v>
      </c>
      <c r="C44954" t="s">
        <v>133</v>
      </c>
      <c r="D44954" t="s">
        <v>52</v>
      </c>
      <c r="E44954" t="s">
        <v>104</v>
      </c>
      <c r="F44954" s="2" t="str">
        <f>HYPERLINK("http://www.otzar.org/book.asp?616704","תורת קדשים")</f>
        <v>תורת קדשים</v>
      </c>
    </row>
    <row r="44955" spans="1:6" x14ac:dyDescent="0.2">
      <c r="A44955" t="s">
        <v>67664</v>
      </c>
      <c r="B44955" t="s">
        <v>5911</v>
      </c>
      <c r="C44955" t="s">
        <v>4087</v>
      </c>
      <c r="D44955" t="s">
        <v>1023</v>
      </c>
      <c r="E44955" t="s">
        <v>674</v>
      </c>
      <c r="F44955" s="2" t="str">
        <f>HYPERLINK("http://www.otzar.org/book.asp?181173","תורת קטן")</f>
        <v>תורת קטן</v>
      </c>
    </row>
    <row r="44956" spans="1:6" x14ac:dyDescent="0.2">
      <c r="A44956" t="s">
        <v>67665</v>
      </c>
      <c r="B44956" t="s">
        <v>67666</v>
      </c>
      <c r="C44956" t="s">
        <v>422</v>
      </c>
      <c r="D44956" t="s">
        <v>14</v>
      </c>
      <c r="E44956" t="s">
        <v>144</v>
      </c>
      <c r="F44956" s="2" t="str">
        <f>HYPERLINK("http://www.otzar.org/book.asp?153094","תורת ראובן - 2 כר'")</f>
        <v>תורת ראובן - 2 כר'</v>
      </c>
    </row>
    <row r="44957" spans="1:6" x14ac:dyDescent="0.2">
      <c r="A44957" t="s">
        <v>67667</v>
      </c>
      <c r="B44957" t="s">
        <v>67668</v>
      </c>
      <c r="C44957" t="s">
        <v>23</v>
      </c>
      <c r="D44957" t="s">
        <v>20</v>
      </c>
      <c r="E44957" t="s">
        <v>144</v>
      </c>
      <c r="F44957" s="2" t="str">
        <f>HYPERLINK("http://www.otzar.org/book.asp?189110","תורת ראשי הישיבות - 14 כר'")</f>
        <v>תורת ראשי הישיבות - 14 כר'</v>
      </c>
    </row>
    <row r="44958" spans="1:6" x14ac:dyDescent="0.2">
      <c r="A44958" t="s">
        <v>67669</v>
      </c>
      <c r="B44958" t="s">
        <v>21473</v>
      </c>
      <c r="C44958" t="s">
        <v>18459</v>
      </c>
      <c r="D44958" t="s">
        <v>260</v>
      </c>
      <c r="E44958" t="s">
        <v>583</v>
      </c>
      <c r="F44958" s="2" t="str">
        <f>HYPERLINK("http://www.otzar.org/book.asp?107125","תורת רבי ישראל מסלנט - ב")</f>
        <v>תורת רבי ישראל מסלנט - ב</v>
      </c>
    </row>
    <row r="44959" spans="1:6" x14ac:dyDescent="0.2">
      <c r="A44959" t="s">
        <v>67670</v>
      </c>
      <c r="B44959" t="s">
        <v>31482</v>
      </c>
      <c r="C44959" t="s">
        <v>1202</v>
      </c>
      <c r="D44959" t="s">
        <v>280</v>
      </c>
      <c r="E44959" t="s">
        <v>140</v>
      </c>
      <c r="F44959" s="2" t="str">
        <f>HYPERLINK("http://www.otzar.org/book.asp?100653","תורת רבי נחמן מברצלב ושיחותיו")</f>
        <v>תורת רבי נחמן מברצלב ושיחותיו</v>
      </c>
    </row>
    <row r="44960" spans="1:6" x14ac:dyDescent="0.2">
      <c r="A44960" t="s">
        <v>67671</v>
      </c>
      <c r="B44960" t="s">
        <v>38057</v>
      </c>
      <c r="C44960" t="s">
        <v>356</v>
      </c>
      <c r="D44960" t="s">
        <v>14</v>
      </c>
      <c r="E44960" t="s">
        <v>81</v>
      </c>
      <c r="F44960" s="2" t="str">
        <f>HYPERLINK("http://www.otzar.org/book.asp?14763","תורת רבי עמרם - א")</f>
        <v>תורת רבי עמרם - א</v>
      </c>
    </row>
    <row r="44961" spans="1:6" x14ac:dyDescent="0.2">
      <c r="A44961" t="s">
        <v>67672</v>
      </c>
      <c r="B44961" t="s">
        <v>67673</v>
      </c>
      <c r="C44961" t="s">
        <v>624</v>
      </c>
      <c r="D44961" t="s">
        <v>14</v>
      </c>
      <c r="E44961" t="s">
        <v>154</v>
      </c>
      <c r="F44961" s="2" t="str">
        <f>HYPERLINK("http://www.otzar.org/book.asp?61604","תורת רבינו שמואל סלאנט זצ""ל - 3 כר'")</f>
        <v>תורת רבינו שמואל סלאנט זצ"ל - 3 כר'</v>
      </c>
    </row>
    <row r="44962" spans="1:6" x14ac:dyDescent="0.2">
      <c r="A44962" t="s">
        <v>67674</v>
      </c>
      <c r="B44962" t="s">
        <v>67675</v>
      </c>
      <c r="C44962" t="s">
        <v>151</v>
      </c>
      <c r="D44962" t="s">
        <v>14</v>
      </c>
      <c r="E44962" t="s">
        <v>15</v>
      </c>
      <c r="F44962" s="2" t="str">
        <f>HYPERLINK("http://www.otzar.org/book.asp?629744","תורת רבית")</f>
        <v>תורת רבית</v>
      </c>
    </row>
    <row r="44963" spans="1:6" x14ac:dyDescent="0.2">
      <c r="A44963" t="s">
        <v>67676</v>
      </c>
      <c r="B44963" t="s">
        <v>56738</v>
      </c>
      <c r="C44963" t="s">
        <v>51</v>
      </c>
      <c r="D44963" t="s">
        <v>1731</v>
      </c>
      <c r="E44963" t="s">
        <v>15</v>
      </c>
      <c r="F44963" s="2" t="str">
        <f>HYPERLINK("http://www.otzar.org/book.asp?22000","תורת רבית, תורת הקנינים")</f>
        <v>תורת רבית, תורת הקנינים</v>
      </c>
    </row>
    <row r="44964" spans="1:6" x14ac:dyDescent="0.2">
      <c r="A44964" t="s">
        <v>67677</v>
      </c>
      <c r="B44964" t="s">
        <v>67678</v>
      </c>
      <c r="C44964" t="s">
        <v>151</v>
      </c>
      <c r="D44964" t="s">
        <v>852</v>
      </c>
      <c r="E44964" t="s">
        <v>172</v>
      </c>
      <c r="F44964" s="2" t="str">
        <f>HYPERLINK("http://www.otzar.org/book.asp?626685","תורת רחובות - 4 כר'")</f>
        <v>תורת רחובות - 4 כר'</v>
      </c>
    </row>
    <row r="44965" spans="1:6" x14ac:dyDescent="0.2">
      <c r="A44965" t="s">
        <v>67679</v>
      </c>
      <c r="B44965" t="s">
        <v>18220</v>
      </c>
      <c r="C44965" t="s">
        <v>37</v>
      </c>
      <c r="D44965" t="s">
        <v>52</v>
      </c>
      <c r="E44965" t="s">
        <v>158</v>
      </c>
      <c r="F44965" s="2" t="str">
        <f>HYPERLINK("http://www.otzar.org/book.asp?192831","תורת רפאל - 2 כר'")</f>
        <v>תורת רפאל - 2 כר'</v>
      </c>
    </row>
    <row r="44966" spans="1:6" x14ac:dyDescent="0.2">
      <c r="A44966" t="s">
        <v>67680</v>
      </c>
      <c r="B44966" t="s">
        <v>67681</v>
      </c>
      <c r="C44966" t="s">
        <v>71</v>
      </c>
      <c r="D44966" t="s">
        <v>52</v>
      </c>
      <c r="E44966" t="s">
        <v>67682</v>
      </c>
      <c r="F44966" s="2" t="str">
        <f>HYPERLINK("http://www.otzar.org/book.asp?164977","תורת רפאל")</f>
        <v>תורת רפאל</v>
      </c>
    </row>
    <row r="44967" spans="1:6" x14ac:dyDescent="0.2">
      <c r="A44967" t="s">
        <v>67680</v>
      </c>
      <c r="B44967" t="s">
        <v>67683</v>
      </c>
      <c r="C44967" t="s">
        <v>13</v>
      </c>
      <c r="D44967" t="s">
        <v>14</v>
      </c>
      <c r="E44967" t="s">
        <v>2135</v>
      </c>
      <c r="F44967" s="2" t="str">
        <f>HYPERLINK("http://www.otzar.org/book.asp?605211","תורת רפאל")</f>
        <v>תורת רפאל</v>
      </c>
    </row>
    <row r="44968" spans="1:6" x14ac:dyDescent="0.2">
      <c r="A44968" t="s">
        <v>67679</v>
      </c>
      <c r="B44968" t="s">
        <v>67684</v>
      </c>
      <c r="C44968" t="s">
        <v>2008</v>
      </c>
      <c r="D44968" t="s">
        <v>27</v>
      </c>
      <c r="E44968" t="s">
        <v>803</v>
      </c>
      <c r="F44968" s="2" t="str">
        <f>HYPERLINK("http://www.otzar.org/book.asp?8147","תורת רפאל - 2 כר'")</f>
        <v>תורת רפאל - 2 כר'</v>
      </c>
    </row>
    <row r="44969" spans="1:6" x14ac:dyDescent="0.2">
      <c r="A44969" t="s">
        <v>67685</v>
      </c>
      <c r="B44969" t="s">
        <v>67686</v>
      </c>
      <c r="C44969" t="s">
        <v>6052</v>
      </c>
      <c r="D44969" t="s">
        <v>4088</v>
      </c>
      <c r="E44969" t="s">
        <v>24</v>
      </c>
      <c r="F44969" s="2" t="str">
        <f>HYPERLINK("http://www.otzar.org/book.asp?8904","תורת שבת - 2 כר'")</f>
        <v>תורת שבת - 2 כר'</v>
      </c>
    </row>
    <row r="44970" spans="1:6" x14ac:dyDescent="0.2">
      <c r="A44970" t="s">
        <v>67687</v>
      </c>
      <c r="B44970" t="s">
        <v>1750</v>
      </c>
      <c r="C44970" t="s">
        <v>146</v>
      </c>
      <c r="D44970" t="s">
        <v>1812</v>
      </c>
      <c r="E44970" t="s">
        <v>202</v>
      </c>
      <c r="F44970" s="2" t="str">
        <f>HYPERLINK("http://www.otzar.org/book.asp?26146","תורת שומרי אמונים - א")</f>
        <v>תורת שומרי אמונים - א</v>
      </c>
    </row>
    <row r="44971" spans="1:6" x14ac:dyDescent="0.2">
      <c r="A44971" t="s">
        <v>67688</v>
      </c>
      <c r="B44971" t="s">
        <v>7816</v>
      </c>
      <c r="D44971" t="s">
        <v>412</v>
      </c>
      <c r="E44971" t="s">
        <v>158</v>
      </c>
      <c r="F44971" s="2" t="str">
        <f>HYPERLINK("http://www.otzar.org/book.asp?606307","תורת שלום החדש &lt;מהדו""ת&gt; - בראשית")</f>
        <v>תורת שלום החדש &lt;מהדו"ת&gt; - בראשית</v>
      </c>
    </row>
    <row r="44972" spans="1:6" x14ac:dyDescent="0.2">
      <c r="A44972" t="s">
        <v>67689</v>
      </c>
      <c r="B44972" t="s">
        <v>7816</v>
      </c>
      <c r="C44972" t="s">
        <v>143</v>
      </c>
      <c r="D44972" t="s">
        <v>412</v>
      </c>
      <c r="E44972" t="s">
        <v>158</v>
      </c>
      <c r="F44972" s="2" t="str">
        <f>HYPERLINK("http://www.otzar.org/book.asp?606310","תורת שלום - 6 כר'")</f>
        <v>תורת שלום - 6 כר'</v>
      </c>
    </row>
    <row r="44973" spans="1:6" x14ac:dyDescent="0.2">
      <c r="A44973" t="s">
        <v>67690</v>
      </c>
      <c r="B44973" t="s">
        <v>27211</v>
      </c>
      <c r="C44973" t="s">
        <v>189</v>
      </c>
      <c r="D44973" t="s">
        <v>14</v>
      </c>
      <c r="F44973" s="2" t="str">
        <f>HYPERLINK("http://www.otzar.org/book.asp?153509","תורת שמואל - 2 כר'")</f>
        <v>תורת שמואל - 2 כר'</v>
      </c>
    </row>
    <row r="44974" spans="1:6" x14ac:dyDescent="0.2">
      <c r="A44974" t="s">
        <v>67691</v>
      </c>
      <c r="B44974" t="s">
        <v>67692</v>
      </c>
      <c r="C44974" t="s">
        <v>2543</v>
      </c>
      <c r="D44974" t="s">
        <v>283</v>
      </c>
      <c r="E44974" t="s">
        <v>463</v>
      </c>
      <c r="F44974" s="2" t="str">
        <f>HYPERLINK("http://www.otzar.org/book.asp?8043","תורת שמואל")</f>
        <v>תורת שמואל</v>
      </c>
    </row>
    <row r="44975" spans="1:6" x14ac:dyDescent="0.2">
      <c r="A44975" t="s">
        <v>67693</v>
      </c>
      <c r="B44975" t="s">
        <v>489</v>
      </c>
      <c r="C44975" t="s">
        <v>71</v>
      </c>
      <c r="D44975" t="s">
        <v>657</v>
      </c>
      <c r="E44975" t="s">
        <v>202</v>
      </c>
      <c r="F44975" s="2" t="str">
        <f>HYPERLINK("http://www.otzar.org/book.asp?148721","תורת שמחה - ב")</f>
        <v>תורת שמחה - ב</v>
      </c>
    </row>
    <row r="44976" spans="1:6" x14ac:dyDescent="0.2">
      <c r="A44976" t="s">
        <v>67694</v>
      </c>
      <c r="B44976" t="s">
        <v>67695</v>
      </c>
      <c r="C44976" t="s">
        <v>523</v>
      </c>
      <c r="D44976" t="s">
        <v>14</v>
      </c>
      <c r="E44976" t="s">
        <v>1185</v>
      </c>
      <c r="F44976" s="2" t="str">
        <f>HYPERLINK("http://www.otzar.org/book.asp?105739","תורת שמעון השלם")</f>
        <v>תורת שמעון השלם</v>
      </c>
    </row>
    <row r="44977" spans="1:6" x14ac:dyDescent="0.2">
      <c r="A44977" t="s">
        <v>67696</v>
      </c>
      <c r="B44977" t="s">
        <v>67697</v>
      </c>
      <c r="C44977" t="s">
        <v>1570</v>
      </c>
      <c r="D44977" t="s">
        <v>14</v>
      </c>
      <c r="E44977" t="s">
        <v>8000</v>
      </c>
      <c r="F44977" s="2" t="str">
        <f>HYPERLINK("http://www.otzar.org/book.asp?8041","תורת שמעון השלם - 2 כר'")</f>
        <v>תורת שמעון השלם - 2 כר'</v>
      </c>
    </row>
    <row r="44978" spans="1:6" x14ac:dyDescent="0.2">
      <c r="A44978" t="s">
        <v>67698</v>
      </c>
      <c r="B44978" t="s">
        <v>67699</v>
      </c>
      <c r="C44978" t="s">
        <v>23</v>
      </c>
      <c r="D44978" t="s">
        <v>52</v>
      </c>
      <c r="E44978" t="s">
        <v>202</v>
      </c>
      <c r="F44978" s="2" t="str">
        <f>HYPERLINK("http://www.otzar.org/book.asp?189149","תורת שמעון - ריבית")</f>
        <v>תורת שמעון - ריבית</v>
      </c>
    </row>
    <row r="44979" spans="1:6" x14ac:dyDescent="0.2">
      <c r="A44979" t="s">
        <v>67700</v>
      </c>
      <c r="B44979" t="s">
        <v>67695</v>
      </c>
      <c r="C44979" t="s">
        <v>17</v>
      </c>
      <c r="D44979" t="s">
        <v>14</v>
      </c>
      <c r="E44979" t="s">
        <v>26576</v>
      </c>
      <c r="F44979" s="2" t="str">
        <f>HYPERLINK("http://www.otzar.org/book.asp?603075","תורת שמעון - אהל שמעון &lt;מהדורה חדשה&gt;")</f>
        <v>תורת שמעון - אהל שמעון &lt;מהדורה חדשה&gt;</v>
      </c>
    </row>
    <row r="44980" spans="1:6" x14ac:dyDescent="0.2">
      <c r="A44980" t="s">
        <v>67701</v>
      </c>
      <c r="B44980" t="s">
        <v>67697</v>
      </c>
      <c r="C44980" t="s">
        <v>462</v>
      </c>
      <c r="D44980" t="s">
        <v>6551</v>
      </c>
      <c r="E44980" t="s">
        <v>8000</v>
      </c>
      <c r="F44980" s="2" t="str">
        <f>HYPERLINK("http://www.otzar.org/book.asp?100683","תורת שמעון")</f>
        <v>תורת שמעון</v>
      </c>
    </row>
    <row r="44981" spans="1:6" x14ac:dyDescent="0.2">
      <c r="A44981" t="s">
        <v>67702</v>
      </c>
      <c r="B44981" t="s">
        <v>2031</v>
      </c>
      <c r="C44981" t="s">
        <v>23</v>
      </c>
      <c r="D44981" t="s">
        <v>14</v>
      </c>
      <c r="E44981" t="s">
        <v>144</v>
      </c>
      <c r="F44981" s="2" t="str">
        <f>HYPERLINK("http://www.otzar.org/book.asp?190103","תורת תמורה")</f>
        <v>תורת תמורה</v>
      </c>
    </row>
    <row r="44982" spans="1:6" x14ac:dyDescent="0.2">
      <c r="A44982" t="s">
        <v>67703</v>
      </c>
      <c r="B44982" t="s">
        <v>316</v>
      </c>
      <c r="C44982" t="s">
        <v>133</v>
      </c>
      <c r="D44982" t="s">
        <v>14</v>
      </c>
      <c r="E44982" t="s">
        <v>241</v>
      </c>
      <c r="F44982" s="2" t="str">
        <f>HYPERLINK("http://www.otzar.org/book.asp?175700","תורתו אומנותו")</f>
        <v>תורתו אומנותו</v>
      </c>
    </row>
    <row r="44983" spans="1:6" x14ac:dyDescent="0.2">
      <c r="A44983" t="s">
        <v>67704</v>
      </c>
      <c r="B44983" t="s">
        <v>5718</v>
      </c>
      <c r="C44983" t="s">
        <v>547</v>
      </c>
      <c r="D44983" t="s">
        <v>27</v>
      </c>
      <c r="E44983" t="s">
        <v>158</v>
      </c>
      <c r="F44983" s="2" t="str">
        <f>HYPERLINK("http://www.otzar.org/book.asp?51418","תורתו של שם - 5 כר'")</f>
        <v>תורתו של שם - 5 כר'</v>
      </c>
    </row>
    <row r="44984" spans="1:6" x14ac:dyDescent="0.2">
      <c r="A44984" t="s">
        <v>67705</v>
      </c>
      <c r="B44984" t="s">
        <v>3371</v>
      </c>
      <c r="C44984" t="s">
        <v>454</v>
      </c>
      <c r="D44984" t="s">
        <v>14</v>
      </c>
      <c r="E44984" t="s">
        <v>4022</v>
      </c>
      <c r="F44984" s="2" t="str">
        <f>HYPERLINK("http://www.otzar.org/book.asp?108634","תורתי בקרבם - 5 כר'")</f>
        <v>תורתי בקרבם - 5 כר'</v>
      </c>
    </row>
    <row r="44985" spans="1:6" x14ac:dyDescent="0.2">
      <c r="A44985" t="s">
        <v>67706</v>
      </c>
      <c r="B44985" t="s">
        <v>21747</v>
      </c>
      <c r="C44985" t="s">
        <v>133</v>
      </c>
      <c r="D44985" t="s">
        <v>657</v>
      </c>
      <c r="E44985" t="s">
        <v>241</v>
      </c>
      <c r="F44985" s="2" t="str">
        <f>HYPERLINK("http://www.otzar.org/book.asp?615727","תורתך באהבה")</f>
        <v>תורתך באהבה</v>
      </c>
    </row>
    <row r="44986" spans="1:6" x14ac:dyDescent="0.2">
      <c r="A44986" t="s">
        <v>67707</v>
      </c>
      <c r="B44986" t="s">
        <v>4640</v>
      </c>
      <c r="C44986" t="s">
        <v>366</v>
      </c>
      <c r="D44986" t="s">
        <v>52</v>
      </c>
      <c r="F44986" s="2" t="str">
        <f>HYPERLINK("http://www.otzar.org/book.asp?609888","תורתך חנני - חג השבועות ומתן תורה")</f>
        <v>תורתך חנני - חג השבועות ומתן תורה</v>
      </c>
    </row>
    <row r="44987" spans="1:6" x14ac:dyDescent="0.2">
      <c r="A44987" t="s">
        <v>67708</v>
      </c>
      <c r="B44987" t="s">
        <v>46007</v>
      </c>
      <c r="C44987" t="s">
        <v>244</v>
      </c>
      <c r="D44987" t="s">
        <v>152</v>
      </c>
      <c r="E44987" t="s">
        <v>15</v>
      </c>
      <c r="F44987" s="2" t="str">
        <f>HYPERLINK("http://www.otzar.org/book.asp?600801","תורתך לישראל - 2 כר'")</f>
        <v>תורתך לישראל - 2 כר'</v>
      </c>
    </row>
    <row r="44988" spans="1:6" x14ac:dyDescent="0.2">
      <c r="A44988" t="s">
        <v>67709</v>
      </c>
      <c r="B44988" t="s">
        <v>67710</v>
      </c>
      <c r="C44988" t="s">
        <v>244</v>
      </c>
      <c r="D44988" t="s">
        <v>21</v>
      </c>
      <c r="F44988" s="2" t="str">
        <f>HYPERLINK("http://www.otzar.org/book.asp?197982","תורתך שעשועי")</f>
        <v>תורתך שעשועי</v>
      </c>
    </row>
    <row r="44989" spans="1:6" x14ac:dyDescent="0.2">
      <c r="A44989" t="s">
        <v>67709</v>
      </c>
      <c r="B44989" t="s">
        <v>67711</v>
      </c>
      <c r="C44989" t="s">
        <v>20</v>
      </c>
      <c r="D44989" t="s">
        <v>118</v>
      </c>
      <c r="E44989" t="s">
        <v>144</v>
      </c>
      <c r="F44989" s="2" t="str">
        <f>HYPERLINK("http://www.otzar.org/book.asp?162105","תורתך שעשועי")</f>
        <v>תורתך שעשועי</v>
      </c>
    </row>
    <row r="44990" spans="1:6" x14ac:dyDescent="0.2">
      <c r="A44990" t="s">
        <v>67709</v>
      </c>
      <c r="B44990" t="s">
        <v>67712</v>
      </c>
      <c r="C44990" t="s">
        <v>244</v>
      </c>
      <c r="D44990" t="s">
        <v>367</v>
      </c>
      <c r="E44990" t="s">
        <v>144</v>
      </c>
      <c r="F44990" s="2" t="str">
        <f>HYPERLINK("http://www.otzar.org/book.asp?600966","תורתך שעשועי")</f>
        <v>תורתך שעשועי</v>
      </c>
    </row>
    <row r="44991" spans="1:6" x14ac:dyDescent="0.2">
      <c r="A44991" t="s">
        <v>67709</v>
      </c>
      <c r="B44991" t="s">
        <v>67713</v>
      </c>
      <c r="C44991" t="s">
        <v>13</v>
      </c>
      <c r="D44991" t="s">
        <v>52</v>
      </c>
      <c r="E44991" t="s">
        <v>674</v>
      </c>
      <c r="F44991" s="2" t="str">
        <f>HYPERLINK("http://www.otzar.org/book.asp?142370","תורתך שעשועי")</f>
        <v>תורתך שעשועי</v>
      </c>
    </row>
    <row r="44992" spans="1:6" x14ac:dyDescent="0.2">
      <c r="A44992" t="s">
        <v>67709</v>
      </c>
      <c r="B44992" t="s">
        <v>15514</v>
      </c>
      <c r="C44992" t="s">
        <v>111</v>
      </c>
      <c r="D44992" t="s">
        <v>67714</v>
      </c>
      <c r="E44992" t="s">
        <v>158</v>
      </c>
      <c r="F44992" s="2" t="str">
        <f>HYPERLINK("http://www.otzar.org/book.asp?630304","תורתך שעשועי")</f>
        <v>תורתך שעשועי</v>
      </c>
    </row>
    <row r="44993" spans="1:6" x14ac:dyDescent="0.2">
      <c r="A44993" t="s">
        <v>67715</v>
      </c>
      <c r="B44993" t="s">
        <v>67716</v>
      </c>
      <c r="C44993" t="s">
        <v>111</v>
      </c>
      <c r="D44993" t="s">
        <v>52</v>
      </c>
      <c r="F44993" s="2" t="str">
        <f>HYPERLINK("http://www.otzar.org/book.asp?622905","תורתך שעשועי - 11 כר'")</f>
        <v>תורתך שעשועי - 11 כר'</v>
      </c>
    </row>
    <row r="44994" spans="1:6" x14ac:dyDescent="0.2">
      <c r="A44994" t="s">
        <v>67709</v>
      </c>
      <c r="B44994" t="s">
        <v>67717</v>
      </c>
      <c r="C44994" t="s">
        <v>244</v>
      </c>
      <c r="D44994" t="s">
        <v>7116</v>
      </c>
      <c r="E44994" t="s">
        <v>158</v>
      </c>
      <c r="F44994" s="2" t="str">
        <f>HYPERLINK("http://www.otzar.org/book.asp?196705","תורתך שעשועי")</f>
        <v>תורתך שעשועי</v>
      </c>
    </row>
    <row r="44995" spans="1:6" x14ac:dyDescent="0.2">
      <c r="A44995" t="s">
        <v>67709</v>
      </c>
      <c r="B44995" t="s">
        <v>67718</v>
      </c>
      <c r="D44995" t="s">
        <v>52</v>
      </c>
      <c r="E44995" t="s">
        <v>703</v>
      </c>
      <c r="F44995" s="2" t="str">
        <f>HYPERLINK("http://www.otzar.org/book.asp?172029","תורתך שעשועי")</f>
        <v>תורתך שעשועי</v>
      </c>
    </row>
    <row r="44996" spans="1:6" x14ac:dyDescent="0.2">
      <c r="A44996" t="s">
        <v>67709</v>
      </c>
      <c r="B44996" t="s">
        <v>7903</v>
      </c>
      <c r="C44996" t="s">
        <v>143</v>
      </c>
      <c r="D44996" t="s">
        <v>216</v>
      </c>
      <c r="E44996" t="s">
        <v>158</v>
      </c>
      <c r="F44996" s="2" t="str">
        <f>HYPERLINK("http://www.otzar.org/book.asp?144909","תורתך שעשועי")</f>
        <v>תורתך שעשועי</v>
      </c>
    </row>
    <row r="44997" spans="1:6" x14ac:dyDescent="0.2">
      <c r="A44997" t="s">
        <v>67709</v>
      </c>
      <c r="B44997" t="s">
        <v>67719</v>
      </c>
      <c r="C44997" t="s">
        <v>68</v>
      </c>
      <c r="D44997" t="s">
        <v>21</v>
      </c>
      <c r="E44997" t="s">
        <v>202</v>
      </c>
      <c r="F44997" s="2" t="str">
        <f>HYPERLINK("http://www.otzar.org/book.asp?193076","תורתך שעשועי")</f>
        <v>תורתך שעשועי</v>
      </c>
    </row>
    <row r="44998" spans="1:6" x14ac:dyDescent="0.2">
      <c r="A44998" t="s">
        <v>67720</v>
      </c>
      <c r="B44998" t="s">
        <v>8886</v>
      </c>
      <c r="C44998" t="s">
        <v>71</v>
      </c>
      <c r="D44998" t="s">
        <v>852</v>
      </c>
      <c r="E44998" t="s">
        <v>186</v>
      </c>
      <c r="F44998" s="2" t="str">
        <f>HYPERLINK("http://www.otzar.org/book.asp?169144","תורתך שעשועי - גיטין")</f>
        <v>תורתך שעשועי - גיטין</v>
      </c>
    </row>
    <row r="44999" spans="1:6" x14ac:dyDescent="0.2">
      <c r="A44999" t="s">
        <v>67721</v>
      </c>
      <c r="B44999" t="s">
        <v>67722</v>
      </c>
      <c r="C44999" t="s">
        <v>151</v>
      </c>
      <c r="D44999" t="s">
        <v>147</v>
      </c>
      <c r="E44999" t="s">
        <v>975</v>
      </c>
      <c r="F44999" s="2" t="str">
        <f>HYPERLINK("http://www.otzar.org/book.asp?624879","תורתך שעשועי - תורה ומועדים")</f>
        <v>תורתך שעשועי - תורה ומועדים</v>
      </c>
    </row>
    <row r="45000" spans="1:6" x14ac:dyDescent="0.2">
      <c r="A45000" t="s">
        <v>67709</v>
      </c>
      <c r="B45000" t="s">
        <v>9179</v>
      </c>
      <c r="C45000" t="s">
        <v>366</v>
      </c>
      <c r="D45000" t="s">
        <v>52</v>
      </c>
      <c r="F45000" s="2" t="str">
        <f>HYPERLINK("http://www.otzar.org/book.asp?620422","תורתך שעשועי")</f>
        <v>תורתך שעשועי</v>
      </c>
    </row>
    <row r="45001" spans="1:6" x14ac:dyDescent="0.2">
      <c r="A45001" t="s">
        <v>67723</v>
      </c>
      <c r="B45001" t="s">
        <v>2877</v>
      </c>
      <c r="C45001" t="s">
        <v>775</v>
      </c>
      <c r="D45001" t="s">
        <v>14</v>
      </c>
      <c r="E45001" t="s">
        <v>158</v>
      </c>
      <c r="F45001" s="2" t="str">
        <f>HYPERLINK("http://www.otzar.org/book.asp?145206","תורתך שעשעי")</f>
        <v>תורתך שעשעי</v>
      </c>
    </row>
    <row r="45002" spans="1:6" x14ac:dyDescent="0.2">
      <c r="A45002" t="s">
        <v>67724</v>
      </c>
      <c r="B45002" t="s">
        <v>67725</v>
      </c>
      <c r="C45002" t="s">
        <v>37</v>
      </c>
      <c r="D45002" t="s">
        <v>1356</v>
      </c>
      <c r="E45002" t="s">
        <v>140</v>
      </c>
      <c r="F45002" s="2" t="str">
        <f>HYPERLINK("http://www.otzar.org/book.asp?603543","תורתם משתמרת")</f>
        <v>תורתם משתמרת</v>
      </c>
    </row>
    <row r="45003" spans="1:6" x14ac:dyDescent="0.2">
      <c r="A45003" t="s">
        <v>67726</v>
      </c>
      <c r="B45003" t="s">
        <v>67727</v>
      </c>
      <c r="C45003" t="s">
        <v>422</v>
      </c>
      <c r="D45003" t="s">
        <v>90</v>
      </c>
      <c r="E45003" t="s">
        <v>579</v>
      </c>
      <c r="F45003" s="2" t="str">
        <f>HYPERLINK("http://www.otzar.org/book.asp?190941","תורתן של אבות")</f>
        <v>תורתן של אבות</v>
      </c>
    </row>
    <row r="45004" spans="1:6" x14ac:dyDescent="0.2">
      <c r="A45004" t="s">
        <v>67728</v>
      </c>
      <c r="B45004" t="s">
        <v>12552</v>
      </c>
      <c r="C45004" t="s">
        <v>1448</v>
      </c>
      <c r="D45004" t="s">
        <v>52</v>
      </c>
      <c r="E45004" t="s">
        <v>158</v>
      </c>
      <c r="F45004" s="2" t="str">
        <f>HYPERLINK("http://www.otzar.org/book.asp?144674","תורתן של בנים")</f>
        <v>תורתן של בנים</v>
      </c>
    </row>
    <row r="45005" spans="1:6" x14ac:dyDescent="0.2">
      <c r="A45005" t="s">
        <v>67729</v>
      </c>
      <c r="B45005" t="s">
        <v>67730</v>
      </c>
      <c r="C45005" t="s">
        <v>523</v>
      </c>
      <c r="D45005" t="s">
        <v>14</v>
      </c>
      <c r="E45005" t="s">
        <v>154</v>
      </c>
      <c r="F45005" s="2" t="str">
        <f>HYPERLINK("http://www.otzar.org/book.asp?179774","תורתן של גאונים - 7 כר'")</f>
        <v>תורתן של גאונים - 7 כר'</v>
      </c>
    </row>
    <row r="45006" spans="1:6" x14ac:dyDescent="0.2">
      <c r="A45006" t="s">
        <v>67731</v>
      </c>
      <c r="B45006" t="s">
        <v>67732</v>
      </c>
      <c r="C45006" t="s">
        <v>189</v>
      </c>
      <c r="D45006" t="s">
        <v>67733</v>
      </c>
      <c r="E45006" t="s">
        <v>144</v>
      </c>
      <c r="F45006" s="2" t="str">
        <f>HYPERLINK("http://www.otzar.org/book.asp?168520","תורתן של ראשונים - 2 כר'")</f>
        <v>תורתן של ראשונים - 2 כר'</v>
      </c>
    </row>
    <row r="45007" spans="1:6" x14ac:dyDescent="0.2">
      <c r="A45007" t="s">
        <v>67734</v>
      </c>
      <c r="B45007" t="s">
        <v>3202</v>
      </c>
      <c r="C45007" t="s">
        <v>176</v>
      </c>
      <c r="D45007" t="s">
        <v>5421</v>
      </c>
      <c r="E45007" t="s">
        <v>104</v>
      </c>
      <c r="F45007" s="2" t="str">
        <f>HYPERLINK("http://www.otzar.org/book.asp?175848","תורתן שלבני תימן")</f>
        <v>תורתן שלבני תימן</v>
      </c>
    </row>
    <row r="45008" spans="1:6" x14ac:dyDescent="0.2">
      <c r="A45008" t="s">
        <v>67735</v>
      </c>
      <c r="B45008" t="s">
        <v>8100</v>
      </c>
      <c r="C45008" t="s">
        <v>129</v>
      </c>
      <c r="D45008" t="s">
        <v>367</v>
      </c>
      <c r="E45008" t="s">
        <v>84</v>
      </c>
      <c r="F45008" s="2" t="str">
        <f>HYPERLINK("http://www.otzar.org/book.asp?620734","תושיע בנים &lt;מסכת אבות&gt; - 3 כר'")</f>
        <v>תושיע בנים &lt;מסכת אבות&gt; - 3 כר'</v>
      </c>
    </row>
    <row r="45009" spans="1:6" x14ac:dyDescent="0.2">
      <c r="A45009" t="s">
        <v>67736</v>
      </c>
      <c r="B45009" t="s">
        <v>6302</v>
      </c>
      <c r="C45009" t="s">
        <v>37</v>
      </c>
      <c r="D45009" t="s">
        <v>52</v>
      </c>
      <c r="E45009" t="s">
        <v>104</v>
      </c>
      <c r="F45009" s="2" t="str">
        <f>HYPERLINK("http://www.otzar.org/book.asp?191511","תושיע בנים")</f>
        <v>תושיע בנים</v>
      </c>
    </row>
    <row r="45010" spans="1:6" x14ac:dyDescent="0.2">
      <c r="A45010" t="s">
        <v>67737</v>
      </c>
      <c r="B45010" t="s">
        <v>23280</v>
      </c>
      <c r="C45010" t="s">
        <v>1036</v>
      </c>
      <c r="D45010" t="s">
        <v>157</v>
      </c>
      <c r="E45010" t="s">
        <v>234</v>
      </c>
      <c r="F45010" s="2" t="str">
        <f>HYPERLINK("http://www.otzar.org/book.asp?103245","תושע יאודה")</f>
        <v>תושע יאודה</v>
      </c>
    </row>
    <row r="45011" spans="1:6" x14ac:dyDescent="0.2">
      <c r="A45011" t="s">
        <v>67738</v>
      </c>
      <c r="B45011" t="s">
        <v>67739</v>
      </c>
      <c r="C45011" t="s">
        <v>547</v>
      </c>
      <c r="D45011" t="s">
        <v>27</v>
      </c>
      <c r="E45011" t="s">
        <v>733</v>
      </c>
      <c r="F45011" s="2" t="str">
        <f>HYPERLINK("http://www.otzar.org/book.asp?143911","תזכיר על הכתל המערבי")</f>
        <v>תזכיר על הכתל המערבי</v>
      </c>
    </row>
    <row r="45012" spans="1:6" x14ac:dyDescent="0.2">
      <c r="A45012" t="s">
        <v>67740</v>
      </c>
      <c r="B45012" t="s">
        <v>686</v>
      </c>
      <c r="C45012" t="s">
        <v>111</v>
      </c>
      <c r="D45012" t="s">
        <v>52</v>
      </c>
      <c r="E45012" t="s">
        <v>104</v>
      </c>
      <c r="F45012" s="2" t="str">
        <f>HYPERLINK("http://www.otzar.org/book.asp?621701","תזל כטל אמרתי")</f>
        <v>תזל כטל אמרתי</v>
      </c>
    </row>
    <row r="45013" spans="1:6" x14ac:dyDescent="0.2">
      <c r="A45013" t="s">
        <v>67741</v>
      </c>
      <c r="B45013" t="s">
        <v>3614</v>
      </c>
      <c r="C45013" t="s">
        <v>1268</v>
      </c>
      <c r="D45013" t="s">
        <v>52</v>
      </c>
      <c r="E45013" t="s">
        <v>4656</v>
      </c>
      <c r="F45013" s="2" t="str">
        <f>HYPERLINK("http://www.otzar.org/book.asp?13493","תזרח השמש")</f>
        <v>תזרח השמש</v>
      </c>
    </row>
    <row r="45014" spans="1:6" x14ac:dyDescent="0.2">
      <c r="A45014" t="s">
        <v>67742</v>
      </c>
      <c r="B45014" t="s">
        <v>67743</v>
      </c>
      <c r="C45014" t="s">
        <v>23</v>
      </c>
      <c r="D45014" t="s">
        <v>412</v>
      </c>
      <c r="E45014" t="s">
        <v>130</v>
      </c>
      <c r="F45014" s="2" t="str">
        <f>HYPERLINK("http://www.otzar.org/book.asp?189040","תחום שבת")</f>
        <v>תחום שבת</v>
      </c>
    </row>
    <row r="45015" spans="1:6" x14ac:dyDescent="0.2">
      <c r="A45015" t="s">
        <v>67744</v>
      </c>
      <c r="B45015" t="s">
        <v>67745</v>
      </c>
      <c r="C45015" t="s">
        <v>20</v>
      </c>
      <c r="D45015" t="s">
        <v>14</v>
      </c>
      <c r="E45015" t="s">
        <v>144</v>
      </c>
      <c r="F45015" s="2" t="str">
        <f>HYPERLINK("http://www.otzar.org/book.asp?623589","תחום שבת - עירובין")</f>
        <v>תחום שבת - עירובין</v>
      </c>
    </row>
    <row r="45016" spans="1:6" x14ac:dyDescent="0.2">
      <c r="A45016" t="s">
        <v>67742</v>
      </c>
      <c r="B45016" t="s">
        <v>27832</v>
      </c>
      <c r="C45016" t="s">
        <v>17</v>
      </c>
      <c r="D45016" t="s">
        <v>2798</v>
      </c>
      <c r="E45016" t="s">
        <v>144</v>
      </c>
      <c r="F45016" s="2" t="str">
        <f>HYPERLINK("http://www.otzar.org/book.asp?142864","תחום שבת")</f>
        <v>תחום שבת</v>
      </c>
    </row>
    <row r="45017" spans="1:6" x14ac:dyDescent="0.2">
      <c r="A45017" t="s">
        <v>67746</v>
      </c>
      <c r="B45017" t="s">
        <v>7025</v>
      </c>
      <c r="C45017" t="s">
        <v>334</v>
      </c>
      <c r="D45017" t="s">
        <v>14</v>
      </c>
      <c r="E45017" t="s">
        <v>104</v>
      </c>
      <c r="F45017" s="2" t="str">
        <f>HYPERLINK("http://www.otzar.org/book.asp?15107","תחומי ארץ ישראל")</f>
        <v>תחומי ארץ ישראל</v>
      </c>
    </row>
    <row r="45018" spans="1:6" x14ac:dyDescent="0.2">
      <c r="A45018" t="s">
        <v>67747</v>
      </c>
      <c r="B45018" t="s">
        <v>67748</v>
      </c>
      <c r="C45018" t="s">
        <v>151</v>
      </c>
      <c r="D45018" t="s">
        <v>14</v>
      </c>
      <c r="F45018" s="2" t="str">
        <f>HYPERLINK("http://www.otzar.org/book.asp?623108","תחומי שבת")</f>
        <v>תחומי שבת</v>
      </c>
    </row>
    <row r="45019" spans="1:6" x14ac:dyDescent="0.2">
      <c r="A45019" t="s">
        <v>67749</v>
      </c>
      <c r="B45019" t="s">
        <v>8609</v>
      </c>
      <c r="C45019" t="s">
        <v>13</v>
      </c>
      <c r="D45019" t="s">
        <v>14</v>
      </c>
      <c r="E45019" t="s">
        <v>144</v>
      </c>
      <c r="F45019" s="2" t="str">
        <f>HYPERLINK("http://www.otzar.org/book.asp?142432","תחזו בשולמית")</f>
        <v>תחזו בשולמית</v>
      </c>
    </row>
    <row r="45020" spans="1:6" x14ac:dyDescent="0.2">
      <c r="A45020" t="s">
        <v>67750</v>
      </c>
      <c r="B45020" t="s">
        <v>1320</v>
      </c>
      <c r="C45020" t="s">
        <v>473</v>
      </c>
      <c r="D45020" t="s">
        <v>2295</v>
      </c>
      <c r="E45020" t="s">
        <v>213</v>
      </c>
      <c r="F45020" s="2" t="str">
        <f>HYPERLINK("http://www.otzar.org/book.asp?12940","תחיית המתים - 2 כר'")</f>
        <v>תחיית המתים - 2 כר'</v>
      </c>
    </row>
    <row r="45021" spans="1:6" x14ac:dyDescent="0.2">
      <c r="A45021" t="s">
        <v>67751</v>
      </c>
      <c r="B45021" t="s">
        <v>236</v>
      </c>
      <c r="C45021" t="s">
        <v>433</v>
      </c>
      <c r="D45021" t="s">
        <v>412</v>
      </c>
      <c r="E45021" t="s">
        <v>22155</v>
      </c>
      <c r="F45021" s="2" t="str">
        <f>HYPERLINK("http://www.otzar.org/book.asp?103960","תחיית יעקב")</f>
        <v>תחיית יעקב</v>
      </c>
    </row>
    <row r="45022" spans="1:6" x14ac:dyDescent="0.2">
      <c r="A45022" t="s">
        <v>67752</v>
      </c>
      <c r="B45022" t="s">
        <v>7001</v>
      </c>
      <c r="C45022" t="s">
        <v>619</v>
      </c>
      <c r="D45022" t="s">
        <v>412</v>
      </c>
      <c r="E45022" t="s">
        <v>219</v>
      </c>
      <c r="F45022" s="2" t="str">
        <f>HYPERLINK("http://www.otzar.org/book.asp?158332","תחינת בנות ירושלים")</f>
        <v>תחינת בנות ירושלים</v>
      </c>
    </row>
    <row r="45023" spans="1:6" x14ac:dyDescent="0.2">
      <c r="A45023" t="s">
        <v>67753</v>
      </c>
      <c r="B45023" t="s">
        <v>49798</v>
      </c>
      <c r="C45023" t="s">
        <v>8216</v>
      </c>
      <c r="D45023" t="s">
        <v>1490</v>
      </c>
      <c r="F45023" s="2" t="str">
        <f>HYPERLINK("http://www.otzar.org/book.asp?84144","תחכמוני - 5 כר'")</f>
        <v>תחכמוני - 5 כר'</v>
      </c>
    </row>
    <row r="45024" spans="1:6" x14ac:dyDescent="0.2">
      <c r="A45024" t="s">
        <v>67754</v>
      </c>
      <c r="B45024" t="s">
        <v>67755</v>
      </c>
      <c r="C45024" t="s">
        <v>67756</v>
      </c>
      <c r="D45024" t="s">
        <v>67757</v>
      </c>
      <c r="E45024" t="s">
        <v>202</v>
      </c>
      <c r="F45024" s="2" t="str">
        <f>HYPERLINK("http://www.otzar.org/book.asp?173096","תחכמני - ב")</f>
        <v>תחכמני - ב</v>
      </c>
    </row>
    <row r="45025" spans="1:6" x14ac:dyDescent="0.2">
      <c r="A45025" t="s">
        <v>67758</v>
      </c>
      <c r="B45025" t="s">
        <v>20531</v>
      </c>
      <c r="C45025" t="s">
        <v>185</v>
      </c>
      <c r="D45025" t="s">
        <v>14</v>
      </c>
      <c r="E45025" t="s">
        <v>241</v>
      </c>
      <c r="F45025" s="2" t="str">
        <f>HYPERLINK("http://www.otzar.org/book.asp?630493","תחל שנה מאמרי מוסר ודעת - 2 כר'")</f>
        <v>תחל שנה מאמרי מוסר ודעת - 2 כר'</v>
      </c>
    </row>
    <row r="45026" spans="1:6" x14ac:dyDescent="0.2">
      <c r="A45026" t="s">
        <v>67759</v>
      </c>
      <c r="B45026" t="s">
        <v>5762</v>
      </c>
      <c r="C45026" t="s">
        <v>114</v>
      </c>
      <c r="D45026" t="s">
        <v>14</v>
      </c>
      <c r="F45026" s="2" t="str">
        <f>HYPERLINK("http://www.otzar.org/book.asp?157569","תחל שנה - 8 כר'")</f>
        <v>תחל שנה - 8 כר'</v>
      </c>
    </row>
    <row r="45027" spans="1:6" x14ac:dyDescent="0.2">
      <c r="A45027" t="s">
        <v>67760</v>
      </c>
      <c r="B45027" t="s">
        <v>67761</v>
      </c>
      <c r="C45027" t="s">
        <v>67762</v>
      </c>
      <c r="D45027" t="s">
        <v>986</v>
      </c>
      <c r="E45027" t="s">
        <v>144</v>
      </c>
      <c r="F45027" s="2" t="str">
        <f>HYPERLINK("http://www.otzar.org/book.asp?52060","תחלת דבר")</f>
        <v>תחלת דבר</v>
      </c>
    </row>
    <row r="45028" spans="1:6" x14ac:dyDescent="0.2">
      <c r="A45028" t="s">
        <v>67763</v>
      </c>
      <c r="B45028" t="s">
        <v>9941</v>
      </c>
      <c r="C45028" t="s">
        <v>6778</v>
      </c>
      <c r="D45028" t="s">
        <v>744</v>
      </c>
      <c r="E45028" t="s">
        <v>158</v>
      </c>
      <c r="F45028" s="2" t="str">
        <f>HYPERLINK("http://www.otzar.org/book.asp?146596","תחלת דברי שמואל")</f>
        <v>תחלת דברי שמואל</v>
      </c>
    </row>
    <row r="45029" spans="1:6" x14ac:dyDescent="0.2">
      <c r="A45029" t="s">
        <v>67764</v>
      </c>
      <c r="B45029" t="s">
        <v>25873</v>
      </c>
      <c r="C45029" t="s">
        <v>553</v>
      </c>
      <c r="D45029" t="s">
        <v>14</v>
      </c>
      <c r="E45029" t="s">
        <v>144</v>
      </c>
      <c r="F45029" s="2" t="str">
        <f>HYPERLINK("http://www.otzar.org/book.asp?190353","תחלת הקדש - תמורה")</f>
        <v>תחלת הקדש - תמורה</v>
      </c>
    </row>
    <row r="45030" spans="1:6" x14ac:dyDescent="0.2">
      <c r="A45030" t="s">
        <v>67765</v>
      </c>
      <c r="B45030" t="s">
        <v>67766</v>
      </c>
      <c r="C45030" t="s">
        <v>3739</v>
      </c>
      <c r="D45030" t="s">
        <v>729</v>
      </c>
      <c r="E45030" t="s">
        <v>1211</v>
      </c>
      <c r="F45030" s="2" t="str">
        <f>HYPERLINK("http://www.otzar.org/book.asp?103851","תחלת חכמה - 2 כר'")</f>
        <v>תחלת חכמה - 2 כר'</v>
      </c>
    </row>
    <row r="45031" spans="1:6" x14ac:dyDescent="0.2">
      <c r="A45031" t="s">
        <v>67767</v>
      </c>
      <c r="B45031" t="s">
        <v>11426</v>
      </c>
      <c r="C45031" t="s">
        <v>67768</v>
      </c>
      <c r="D45031" t="s">
        <v>27</v>
      </c>
      <c r="E45031" t="s">
        <v>3261</v>
      </c>
      <c r="F45031" s="2" t="str">
        <f>HYPERLINK("http://www.otzar.org/book.asp?555","תחנות בספרות ישראל - 2 כר'")</f>
        <v>תחנות בספרות ישראל - 2 כר'</v>
      </c>
    </row>
    <row r="45032" spans="1:6" x14ac:dyDescent="0.2">
      <c r="A45032" t="s">
        <v>67769</v>
      </c>
      <c r="B45032" t="s">
        <v>67770</v>
      </c>
      <c r="C45032" t="s">
        <v>366</v>
      </c>
      <c r="D45032" t="s">
        <v>14</v>
      </c>
      <c r="E45032" t="s">
        <v>12419</v>
      </c>
      <c r="F45032" s="2" t="str">
        <f>HYPERLINK("http://www.otzar.org/book.asp?625437","תחת הסוכה")</f>
        <v>תחת הסוכה</v>
      </c>
    </row>
    <row r="45033" spans="1:6" x14ac:dyDescent="0.2">
      <c r="A45033" t="s">
        <v>67771</v>
      </c>
      <c r="B45033" t="s">
        <v>53096</v>
      </c>
      <c r="C45033" t="s">
        <v>1885</v>
      </c>
      <c r="D45033" t="s">
        <v>4269</v>
      </c>
      <c r="E45033" t="s">
        <v>104</v>
      </c>
      <c r="F45033" s="2" t="str">
        <f>HYPERLINK("http://www.otzar.org/book.asp?168061","תחת השבט")</f>
        <v>תחת השבט</v>
      </c>
    </row>
    <row r="45034" spans="1:6" x14ac:dyDescent="0.2">
      <c r="A45034" t="s">
        <v>67772</v>
      </c>
      <c r="B45034" t="s">
        <v>9504</v>
      </c>
      <c r="C45034" t="s">
        <v>114</v>
      </c>
      <c r="D45034" t="s">
        <v>52</v>
      </c>
      <c r="E45034" t="s">
        <v>246</v>
      </c>
      <c r="F45034" s="2" t="str">
        <f>HYPERLINK("http://www.otzar.org/book.asp?166076","תטהרו")</f>
        <v>תטהרו</v>
      </c>
    </row>
    <row r="45035" spans="1:6" x14ac:dyDescent="0.2">
      <c r="A45035" t="s">
        <v>67773</v>
      </c>
      <c r="B45035" t="s">
        <v>1361</v>
      </c>
      <c r="C45035" t="s">
        <v>114</v>
      </c>
      <c r="D45035" t="s">
        <v>152</v>
      </c>
      <c r="E45035" t="s">
        <v>2071</v>
      </c>
      <c r="F45035" s="2" t="str">
        <f>HYPERLINK("http://www.otzar.org/book.asp?165430","תיבת גמא &lt;מהדורה חדשה&gt;")</f>
        <v>תיבת גמא &lt;מהדורה חדשה&gt;</v>
      </c>
    </row>
    <row r="45036" spans="1:6" x14ac:dyDescent="0.2">
      <c r="A45036" t="s">
        <v>67774</v>
      </c>
      <c r="B45036" t="s">
        <v>7666</v>
      </c>
      <c r="C45036" t="s">
        <v>133</v>
      </c>
      <c r="D45036" t="s">
        <v>423</v>
      </c>
      <c r="E45036" t="s">
        <v>234</v>
      </c>
      <c r="F45036" s="2" t="str">
        <f>HYPERLINK("http://www.otzar.org/book.asp?193680","תיבת גמא")</f>
        <v>תיבת גמא</v>
      </c>
    </row>
    <row r="45037" spans="1:6" x14ac:dyDescent="0.2">
      <c r="A45037" t="s">
        <v>67775</v>
      </c>
      <c r="B45037" t="s">
        <v>1361</v>
      </c>
      <c r="C45037" t="s">
        <v>492</v>
      </c>
      <c r="D45037" t="s">
        <v>726</v>
      </c>
      <c r="E45037" t="s">
        <v>158</v>
      </c>
      <c r="F45037" s="2" t="str">
        <f>HYPERLINK("http://www.otzar.org/book.asp?104798","תיבת גמא - 2 כר'")</f>
        <v>תיבת גמא - 2 כר'</v>
      </c>
    </row>
    <row r="45038" spans="1:6" x14ac:dyDescent="0.2">
      <c r="A45038" t="s">
        <v>67776</v>
      </c>
      <c r="B45038" t="s">
        <v>67777</v>
      </c>
      <c r="C45038" t="s">
        <v>1096</v>
      </c>
      <c r="D45038" t="s">
        <v>27</v>
      </c>
      <c r="E45038" t="s">
        <v>158</v>
      </c>
      <c r="F45038" s="2" t="str">
        <f>HYPERLINK("http://www.otzar.org/book.asp?103801","תיבת משה")</f>
        <v>תיבת משה</v>
      </c>
    </row>
    <row r="45039" spans="1:6" x14ac:dyDescent="0.2">
      <c r="A45039" t="s">
        <v>67778</v>
      </c>
      <c r="B45039" t="s">
        <v>45814</v>
      </c>
      <c r="C45039" t="s">
        <v>244</v>
      </c>
      <c r="D45039" t="s">
        <v>1356</v>
      </c>
      <c r="E45039" t="s">
        <v>1626</v>
      </c>
      <c r="F45039" s="2" t="str">
        <f>HYPERLINK("http://www.otzar.org/book.asp?619654","תיבת נח")</f>
        <v>תיבת נח</v>
      </c>
    </row>
    <row r="45040" spans="1:6" x14ac:dyDescent="0.2">
      <c r="A45040" t="s">
        <v>67779</v>
      </c>
      <c r="B45040" t="s">
        <v>24734</v>
      </c>
      <c r="C45040" t="s">
        <v>462</v>
      </c>
      <c r="D45040" t="s">
        <v>27</v>
      </c>
      <c r="E45040" t="s">
        <v>621</v>
      </c>
      <c r="F45040" s="2" t="str">
        <f>HYPERLINK("http://www.otzar.org/book.asp?11012","תיו יהושע - 4 כר'")</f>
        <v>תיו יהושע - 4 כר'</v>
      </c>
    </row>
    <row r="45041" spans="1:6" x14ac:dyDescent="0.2">
      <c r="A45041" t="s">
        <v>67780</v>
      </c>
      <c r="B45041" t="s">
        <v>67781</v>
      </c>
      <c r="C45041" t="s">
        <v>422</v>
      </c>
      <c r="D45041" t="s">
        <v>9658</v>
      </c>
      <c r="E45041" t="s">
        <v>733</v>
      </c>
      <c r="F45041" s="2" t="str">
        <f>HYPERLINK("http://www.otzar.org/book.asp?151716","תימן בתעודות - ב")</f>
        <v>תימן בתעודות - ב</v>
      </c>
    </row>
    <row r="45042" spans="1:6" x14ac:dyDescent="0.2">
      <c r="A45042" t="s">
        <v>67782</v>
      </c>
      <c r="B45042" t="s">
        <v>8907</v>
      </c>
      <c r="C45042" t="s">
        <v>146</v>
      </c>
      <c r="D45042" t="s">
        <v>14</v>
      </c>
      <c r="E45042" t="s">
        <v>144</v>
      </c>
      <c r="F45042" s="2" t="str">
        <f>HYPERLINK("http://www.otzar.org/book.asp?62143","תיק""ו")</f>
        <v>תיק"ו</v>
      </c>
    </row>
    <row r="45043" spans="1:6" x14ac:dyDescent="0.2">
      <c r="A45043" t="s">
        <v>67783</v>
      </c>
      <c r="B45043" t="s">
        <v>3443</v>
      </c>
      <c r="C45043" t="s">
        <v>20</v>
      </c>
      <c r="D45043" t="s">
        <v>90</v>
      </c>
      <c r="F45043" s="2" t="str">
        <f>HYPERLINK("http://www.otzar.org/book.asp?198727","תיקון גדול לגאולה")</f>
        <v>תיקון גדול לגאולה</v>
      </c>
    </row>
    <row r="45044" spans="1:6" x14ac:dyDescent="0.2">
      <c r="A45044" t="s">
        <v>67784</v>
      </c>
      <c r="B45044" t="s">
        <v>935</v>
      </c>
      <c r="C45044" t="s">
        <v>224</v>
      </c>
      <c r="D45044" t="s">
        <v>9</v>
      </c>
      <c r="E45044" t="s">
        <v>10</v>
      </c>
      <c r="F45044" s="2" t="str">
        <f>HYPERLINK("http://www.otzar.org/book.asp?19134","תיקון גיטין")</f>
        <v>תיקון גיטין</v>
      </c>
    </row>
    <row r="45045" spans="1:6" x14ac:dyDescent="0.2">
      <c r="A45045" t="s">
        <v>67785</v>
      </c>
      <c r="B45045" t="s">
        <v>206</v>
      </c>
      <c r="C45045" t="s">
        <v>103</v>
      </c>
      <c r="D45045" t="s">
        <v>90</v>
      </c>
      <c r="E45045" t="s">
        <v>7720</v>
      </c>
      <c r="F45045" s="2" t="str">
        <f>HYPERLINK("http://www.otzar.org/book.asp?63244","תיקון הברית")</f>
        <v>תיקון הברית</v>
      </c>
    </row>
    <row r="45046" spans="1:6" x14ac:dyDescent="0.2">
      <c r="A45046" t="s">
        <v>67786</v>
      </c>
      <c r="B45046" t="s">
        <v>6876</v>
      </c>
      <c r="C45046" t="s">
        <v>224</v>
      </c>
      <c r="D45046" t="s">
        <v>27</v>
      </c>
      <c r="E45046" t="s">
        <v>1626</v>
      </c>
      <c r="F45046" s="2" t="str">
        <f>HYPERLINK("http://www.otzar.org/book.asp?100537","תיקון היסוד")</f>
        <v>תיקון היסוד</v>
      </c>
    </row>
    <row r="45047" spans="1:6" x14ac:dyDescent="0.2">
      <c r="A45047" t="s">
        <v>67787</v>
      </c>
      <c r="B45047" t="s">
        <v>67788</v>
      </c>
      <c r="C45047" t="s">
        <v>129</v>
      </c>
      <c r="D45047" t="s">
        <v>14</v>
      </c>
      <c r="E45047" t="s">
        <v>4656</v>
      </c>
      <c r="F45047" s="2" t="str">
        <f>HYPERLINK("http://www.otzar.org/book.asp?182258","תיקון הכללי &lt;עם ביאור&gt;")</f>
        <v>תיקון הכללי &lt;עם ביאור&gt;</v>
      </c>
    </row>
    <row r="45048" spans="1:6" x14ac:dyDescent="0.2">
      <c r="A45048" t="s">
        <v>67789</v>
      </c>
      <c r="B45048" t="s">
        <v>21920</v>
      </c>
      <c r="C45048" t="s">
        <v>114</v>
      </c>
      <c r="D45048" t="s">
        <v>80</v>
      </c>
      <c r="E45048" t="s">
        <v>158</v>
      </c>
      <c r="F45048" s="2" t="str">
        <f>HYPERLINK("http://www.otzar.org/book.asp?607260","תיקון הכללי ע""פ מנחת יהודה")</f>
        <v>תיקון הכללי ע"פ מנחת יהודה</v>
      </c>
    </row>
    <row r="45049" spans="1:6" x14ac:dyDescent="0.2">
      <c r="A45049" t="s">
        <v>67790</v>
      </c>
      <c r="B45049" t="s">
        <v>67791</v>
      </c>
      <c r="C45049" t="s">
        <v>854</v>
      </c>
      <c r="D45049" t="s">
        <v>27</v>
      </c>
      <c r="E45049" t="s">
        <v>219</v>
      </c>
      <c r="F45049" s="2" t="str">
        <f>HYPERLINK("http://www.otzar.org/book.asp?200136","תיקון הכללי")</f>
        <v>תיקון הכללי</v>
      </c>
    </row>
    <row r="45050" spans="1:6" x14ac:dyDescent="0.2">
      <c r="A45050" t="s">
        <v>67790</v>
      </c>
      <c r="B45050" t="s">
        <v>24140</v>
      </c>
      <c r="C45050" t="s">
        <v>2008</v>
      </c>
      <c r="D45050" t="s">
        <v>3208</v>
      </c>
      <c r="E45050" t="s">
        <v>219</v>
      </c>
      <c r="F45050" s="2" t="str">
        <f>HYPERLINK("http://www.otzar.org/book.asp?617592","תיקון הכללי")</f>
        <v>תיקון הכללי</v>
      </c>
    </row>
    <row r="45051" spans="1:6" x14ac:dyDescent="0.2">
      <c r="A45051" t="s">
        <v>67792</v>
      </c>
      <c r="B45051" t="s">
        <v>14472</v>
      </c>
      <c r="C45051" t="s">
        <v>576</v>
      </c>
      <c r="D45051" t="s">
        <v>27</v>
      </c>
      <c r="E45051" t="s">
        <v>241</v>
      </c>
      <c r="F45051" s="2" t="str">
        <f>HYPERLINK("http://www.otzar.org/book.asp?179595","תיקון המדות רפואת וחשבון הנפש")</f>
        <v>תיקון המדות רפואת וחשבון הנפש</v>
      </c>
    </row>
    <row r="45052" spans="1:6" x14ac:dyDescent="0.2">
      <c r="A45052" t="s">
        <v>67793</v>
      </c>
      <c r="B45052" t="s">
        <v>1728</v>
      </c>
      <c r="C45052" t="s">
        <v>189</v>
      </c>
      <c r="D45052" t="s">
        <v>273</v>
      </c>
      <c r="E45052" t="s">
        <v>741</v>
      </c>
      <c r="F45052" s="2" t="str">
        <f>HYPERLINK("http://www.otzar.org/book.asp?628577","תיקון המדינה")</f>
        <v>תיקון המדינה</v>
      </c>
    </row>
    <row r="45053" spans="1:6" x14ac:dyDescent="0.2">
      <c r="A45053" t="s">
        <v>67794</v>
      </c>
      <c r="B45053" t="s">
        <v>338</v>
      </c>
      <c r="C45053" t="s">
        <v>411</v>
      </c>
      <c r="D45053" t="s">
        <v>14</v>
      </c>
      <c r="E45053" t="s">
        <v>219</v>
      </c>
      <c r="F45053" s="2" t="str">
        <f>HYPERLINK("http://www.otzar.org/book.asp?182464","תיקון העולם - תיקון נפטרים")</f>
        <v>תיקון העולם - תיקון נפטרים</v>
      </c>
    </row>
    <row r="45054" spans="1:6" x14ac:dyDescent="0.2">
      <c r="A45054" t="s">
        <v>67795</v>
      </c>
      <c r="B45054" t="s">
        <v>67796</v>
      </c>
      <c r="D45054" t="s">
        <v>14</v>
      </c>
      <c r="E45054" t="s">
        <v>803</v>
      </c>
      <c r="F45054" s="2" t="str">
        <f>HYPERLINK("http://www.otzar.org/book.asp?166349","תיקון השבת")</f>
        <v>תיקון השבת</v>
      </c>
    </row>
    <row r="45055" spans="1:6" x14ac:dyDescent="0.2">
      <c r="A45055" t="s">
        <v>67797</v>
      </c>
      <c r="B45055" t="s">
        <v>206</v>
      </c>
      <c r="C45055" t="s">
        <v>244</v>
      </c>
      <c r="D45055" t="s">
        <v>90</v>
      </c>
      <c r="E45055" t="s">
        <v>3755</v>
      </c>
      <c r="F45055" s="2" t="str">
        <f>HYPERLINK("http://www.otzar.org/book.asp?603005","תיקון השובבים ע""פ ברית שלום")</f>
        <v>תיקון השובבים ע"פ ברית שלום</v>
      </c>
    </row>
    <row r="45056" spans="1:6" x14ac:dyDescent="0.2">
      <c r="A45056" t="s">
        <v>67798</v>
      </c>
      <c r="B45056" t="s">
        <v>67799</v>
      </c>
      <c r="C45056" t="s">
        <v>13</v>
      </c>
      <c r="D45056" t="s">
        <v>90</v>
      </c>
      <c r="E45056" t="s">
        <v>219</v>
      </c>
      <c r="F45056" s="2" t="str">
        <f>HYPERLINK("http://www.otzar.org/book.asp?195146","תיקון השל""ה ועוד")</f>
        <v>תיקון השל"ה ועוד</v>
      </c>
    </row>
    <row r="45057" spans="1:6" x14ac:dyDescent="0.2">
      <c r="A45057" t="s">
        <v>67800</v>
      </c>
      <c r="B45057" t="s">
        <v>1809</v>
      </c>
      <c r="C45057" t="s">
        <v>1663</v>
      </c>
      <c r="D45057" t="s">
        <v>27</v>
      </c>
      <c r="E45057" t="s">
        <v>219</v>
      </c>
      <c r="F45057" s="2" t="str">
        <f>HYPERLINK("http://www.otzar.org/book.asp?6469","תיקון חצות &lt;מרגליות&gt;")</f>
        <v>תיקון חצות &lt;מרגליות&gt;</v>
      </c>
    </row>
    <row r="45058" spans="1:6" x14ac:dyDescent="0.2">
      <c r="A45058" t="s">
        <v>67801</v>
      </c>
      <c r="B45058" t="s">
        <v>6991</v>
      </c>
      <c r="C45058" t="s">
        <v>17</v>
      </c>
      <c r="D45058" t="s">
        <v>14</v>
      </c>
      <c r="E45058" t="s">
        <v>219</v>
      </c>
      <c r="F45058" s="2" t="str">
        <f>HYPERLINK("http://www.otzar.org/book.asp?625505","תיקון חצות המבואר")</f>
        <v>תיקון חצות המבואר</v>
      </c>
    </row>
    <row r="45059" spans="1:6" x14ac:dyDescent="0.2">
      <c r="A45059" t="s">
        <v>5760</v>
      </c>
      <c r="B45059" t="s">
        <v>67802</v>
      </c>
      <c r="C45059" t="s">
        <v>61666</v>
      </c>
      <c r="D45059" t="s">
        <v>1593</v>
      </c>
      <c r="E45059" t="s">
        <v>219</v>
      </c>
      <c r="F45059" s="2" t="str">
        <f>HYPERLINK("http://www.otzar.org/book.asp?62163","תיקון חצות")</f>
        <v>תיקון חצות</v>
      </c>
    </row>
    <row r="45060" spans="1:6" x14ac:dyDescent="0.2">
      <c r="A45060" t="s">
        <v>67803</v>
      </c>
      <c r="B45060" t="s">
        <v>3725</v>
      </c>
      <c r="C45060" t="s">
        <v>2644</v>
      </c>
      <c r="D45060" t="s">
        <v>27</v>
      </c>
      <c r="E45060" t="s">
        <v>104</v>
      </c>
      <c r="F45060" s="2" t="str">
        <f>HYPERLINK("http://www.otzar.org/book.asp?149161","תיקון לוח דנברשת")</f>
        <v>תיקון לוח דנברשת</v>
      </c>
    </row>
    <row r="45061" spans="1:6" x14ac:dyDescent="0.2">
      <c r="A45061" t="s">
        <v>67804</v>
      </c>
      <c r="B45061" t="s">
        <v>40000</v>
      </c>
      <c r="C45061" t="s">
        <v>51</v>
      </c>
      <c r="D45061" t="s">
        <v>14</v>
      </c>
      <c r="E45061" t="s">
        <v>2758</v>
      </c>
      <c r="F45061" s="2" t="str">
        <f>HYPERLINK("http://www.otzar.org/book.asp?168898","תיקון ליל שבועות &lt;עטרת תפארת&gt;")</f>
        <v>תיקון ליל שבועות &lt;עטרת תפארת&gt;</v>
      </c>
    </row>
    <row r="45062" spans="1:6" x14ac:dyDescent="0.2">
      <c r="A45062" t="s">
        <v>67805</v>
      </c>
      <c r="B45062" t="s">
        <v>36689</v>
      </c>
      <c r="C45062" t="s">
        <v>37</v>
      </c>
      <c r="D45062" t="s">
        <v>1156</v>
      </c>
      <c r="E45062" t="s">
        <v>1517</v>
      </c>
      <c r="F45062" s="2" t="str">
        <f>HYPERLINK("http://www.otzar.org/book.asp?619350","תיקון ליל שבועות - כמנהג אשכנז")</f>
        <v>תיקון ליל שבועות - כמנהג אשכנז</v>
      </c>
    </row>
    <row r="45063" spans="1:6" x14ac:dyDescent="0.2">
      <c r="A45063" t="s">
        <v>67806</v>
      </c>
      <c r="B45063" t="s">
        <v>67807</v>
      </c>
      <c r="C45063" t="s">
        <v>20</v>
      </c>
      <c r="D45063" t="s">
        <v>67808</v>
      </c>
      <c r="E45063" t="s">
        <v>1517</v>
      </c>
      <c r="F45063" s="2" t="str">
        <f>HYPERLINK("http://www.otzar.org/book.asp?605210","תיקון ליל שבועות - 2 כר'")</f>
        <v>תיקון ליל שבועות - 2 כר'</v>
      </c>
    </row>
    <row r="45064" spans="1:6" x14ac:dyDescent="0.2">
      <c r="A45064" t="s">
        <v>67807</v>
      </c>
      <c r="B45064" t="s">
        <v>67809</v>
      </c>
      <c r="C45064" t="s">
        <v>343</v>
      </c>
      <c r="D45064" t="s">
        <v>27174</v>
      </c>
      <c r="E45064" t="s">
        <v>219</v>
      </c>
      <c r="F45064" s="2" t="str">
        <f>HYPERLINK("http://www.otzar.org/book.asp?26539","תיקון ליל שבועות")</f>
        <v>תיקון ליל שבועות</v>
      </c>
    </row>
    <row r="45065" spans="1:6" x14ac:dyDescent="0.2">
      <c r="A45065" t="s">
        <v>67810</v>
      </c>
      <c r="B45065" t="s">
        <v>12625</v>
      </c>
      <c r="C45065" t="s">
        <v>22108</v>
      </c>
      <c r="D45065" t="s">
        <v>1422</v>
      </c>
      <c r="E45065" t="s">
        <v>67811</v>
      </c>
      <c r="F45065" s="2" t="str">
        <f>HYPERLINK("http://www.otzar.org/book.asp?16489","תיקון משה - 2 כר'")</f>
        <v>תיקון משה - 2 כר'</v>
      </c>
    </row>
    <row r="45066" spans="1:6" x14ac:dyDescent="0.2">
      <c r="A45066" t="s">
        <v>67812</v>
      </c>
      <c r="B45066" t="s">
        <v>67813</v>
      </c>
      <c r="C45066" t="s">
        <v>51</v>
      </c>
      <c r="D45066" t="s">
        <v>14</v>
      </c>
      <c r="F45066" s="2" t="str">
        <f>HYPERLINK("http://www.otzar.org/book.asp?164196","תיקון משנה - עבודה זרה הוריות")</f>
        <v>תיקון משנה - עבודה זרה הוריות</v>
      </c>
    </row>
    <row r="45067" spans="1:6" x14ac:dyDescent="0.2">
      <c r="A45067" t="s">
        <v>67814</v>
      </c>
      <c r="B45067" t="s">
        <v>1800</v>
      </c>
      <c r="C45067" t="s">
        <v>20</v>
      </c>
      <c r="D45067" t="s">
        <v>90</v>
      </c>
      <c r="E45067" t="s">
        <v>3755</v>
      </c>
      <c r="F45067" s="2" t="str">
        <f>HYPERLINK("http://www.otzar.org/book.asp?616927","תיקון נפטרים הקצר")</f>
        <v>תיקון נפטרים הקצר</v>
      </c>
    </row>
    <row r="45068" spans="1:6" x14ac:dyDescent="0.2">
      <c r="A45068" t="s">
        <v>67815</v>
      </c>
      <c r="B45068" t="s">
        <v>3294</v>
      </c>
      <c r="C45068" t="s">
        <v>3942</v>
      </c>
      <c r="D45068" t="s">
        <v>4539</v>
      </c>
      <c r="E45068" t="s">
        <v>219</v>
      </c>
      <c r="F45068" s="2" t="str">
        <f>HYPERLINK("http://www.otzar.org/book.asp?62164","תיקון סדר הטבילה")</f>
        <v>תיקון סדר הטבילה</v>
      </c>
    </row>
    <row r="45069" spans="1:6" x14ac:dyDescent="0.2">
      <c r="A45069" t="s">
        <v>67816</v>
      </c>
      <c r="B45069" t="s">
        <v>47223</v>
      </c>
      <c r="C45069" t="s">
        <v>2213</v>
      </c>
      <c r="D45069" t="s">
        <v>1490</v>
      </c>
      <c r="E45069" t="s">
        <v>674</v>
      </c>
      <c r="F45069" s="2" t="str">
        <f>HYPERLINK("http://www.otzar.org/book.asp?20378","תיקון סופרים ומקרא סופרים")</f>
        <v>תיקון סופרים ומקרא סופרים</v>
      </c>
    </row>
    <row r="45070" spans="1:6" x14ac:dyDescent="0.2">
      <c r="A45070" t="s">
        <v>67817</v>
      </c>
      <c r="B45070" t="s">
        <v>67818</v>
      </c>
      <c r="C45070" t="s">
        <v>422</v>
      </c>
      <c r="D45070" t="s">
        <v>216</v>
      </c>
      <c r="E45070" t="s">
        <v>158</v>
      </c>
      <c r="F45070" s="2" t="str">
        <f>HYPERLINK("http://www.otzar.org/book.asp?185364","תיקון סופרים לר' יצחק צבאח")</f>
        <v>תיקון סופרים לר' יצחק צבאח</v>
      </c>
    </row>
    <row r="45071" spans="1:6" x14ac:dyDescent="0.2">
      <c r="A45071" t="s">
        <v>67819</v>
      </c>
      <c r="B45071" t="s">
        <v>67820</v>
      </c>
      <c r="C45071" t="s">
        <v>11383</v>
      </c>
      <c r="D45071" t="s">
        <v>212</v>
      </c>
      <c r="E45071" t="s">
        <v>15</v>
      </c>
      <c r="F45071" s="2" t="str">
        <f>HYPERLINK("http://www.otzar.org/book.asp?20379","תיקון סופרים")</f>
        <v>תיקון סופרים</v>
      </c>
    </row>
    <row r="45072" spans="1:6" x14ac:dyDescent="0.2">
      <c r="A45072" t="s">
        <v>67819</v>
      </c>
      <c r="B45072" t="s">
        <v>67821</v>
      </c>
      <c r="C45072" t="s">
        <v>4198</v>
      </c>
      <c r="D45072" t="s">
        <v>744</v>
      </c>
      <c r="E45072" t="s">
        <v>2135</v>
      </c>
      <c r="F45072" s="2" t="str">
        <f>HYPERLINK("http://www.otzar.org/book.asp?63895","תיקון סופרים")</f>
        <v>תיקון סופרים</v>
      </c>
    </row>
    <row r="45073" spans="1:6" x14ac:dyDescent="0.2">
      <c r="A45073" t="s">
        <v>67822</v>
      </c>
      <c r="B45073" t="s">
        <v>39649</v>
      </c>
      <c r="C45073" t="s">
        <v>146</v>
      </c>
      <c r="D45073" t="s">
        <v>14</v>
      </c>
      <c r="E45073" t="s">
        <v>104</v>
      </c>
      <c r="F45073" s="2" t="str">
        <f>HYPERLINK("http://www.otzar.org/book.asp?176528","תיקון עולם &lt;מהדורה חדשה&gt;")</f>
        <v>תיקון עולם &lt;מהדורה חדשה&gt;</v>
      </c>
    </row>
    <row r="45074" spans="1:6" x14ac:dyDescent="0.2">
      <c r="A45074" t="s">
        <v>67823</v>
      </c>
      <c r="B45074" t="s">
        <v>39649</v>
      </c>
      <c r="C45074" t="s">
        <v>286</v>
      </c>
      <c r="D45074" t="s">
        <v>379</v>
      </c>
      <c r="E45074" t="s">
        <v>517</v>
      </c>
      <c r="F45074" s="2" t="str">
        <f>HYPERLINK("http://www.otzar.org/book.asp?5299","תיקון עולם")</f>
        <v>תיקון עולם</v>
      </c>
    </row>
    <row r="45075" spans="1:6" x14ac:dyDescent="0.2">
      <c r="A45075" t="s">
        <v>67823</v>
      </c>
      <c r="B45075" t="s">
        <v>67824</v>
      </c>
      <c r="C45075" t="s">
        <v>619</v>
      </c>
      <c r="D45075" t="s">
        <v>283</v>
      </c>
      <c r="E45075" t="s">
        <v>67825</v>
      </c>
      <c r="F45075" s="2" t="str">
        <f>HYPERLINK("http://www.otzar.org/book.asp?103814","תיקון עולם")</f>
        <v>תיקון עולם</v>
      </c>
    </row>
    <row r="45076" spans="1:6" x14ac:dyDescent="0.2">
      <c r="A45076" t="s">
        <v>67823</v>
      </c>
      <c r="B45076" t="s">
        <v>305</v>
      </c>
      <c r="C45076" t="s">
        <v>163</v>
      </c>
      <c r="D45076" t="s">
        <v>5258</v>
      </c>
      <c r="E45076" t="s">
        <v>10</v>
      </c>
      <c r="F45076" s="2" t="str">
        <f>HYPERLINK("http://www.otzar.org/book.asp?102029","תיקון עולם")</f>
        <v>תיקון עולם</v>
      </c>
    </row>
    <row r="45077" spans="1:6" x14ac:dyDescent="0.2">
      <c r="A45077" t="s">
        <v>67823</v>
      </c>
      <c r="B45077" t="s">
        <v>19603</v>
      </c>
      <c r="C45077" t="s">
        <v>1228</v>
      </c>
      <c r="D45077" t="s">
        <v>225</v>
      </c>
      <c r="E45077" t="s">
        <v>154</v>
      </c>
      <c r="F45077" s="2" t="str">
        <f>HYPERLINK("http://www.otzar.org/book.asp?100801","תיקון עולם")</f>
        <v>תיקון עולם</v>
      </c>
    </row>
    <row r="45078" spans="1:6" x14ac:dyDescent="0.2">
      <c r="A45078" t="s">
        <v>67823</v>
      </c>
      <c r="B45078" t="s">
        <v>67826</v>
      </c>
      <c r="C45078" t="s">
        <v>4907</v>
      </c>
      <c r="D45078" t="s">
        <v>15675</v>
      </c>
      <c r="E45078" t="s">
        <v>158</v>
      </c>
      <c r="F45078" s="2" t="str">
        <f>HYPERLINK("http://www.otzar.org/book.asp?100536","תיקון עולם")</f>
        <v>תיקון עולם</v>
      </c>
    </row>
    <row r="45079" spans="1:6" x14ac:dyDescent="0.2">
      <c r="A45079" t="s">
        <v>67827</v>
      </c>
      <c r="B45079" t="s">
        <v>11355</v>
      </c>
      <c r="C45079" t="s">
        <v>13</v>
      </c>
      <c r="D45079" t="s">
        <v>412</v>
      </c>
      <c r="E45079" t="s">
        <v>130</v>
      </c>
      <c r="F45079" s="2" t="str">
        <f>HYPERLINK("http://www.otzar.org/book.asp?159450","תיקון עירובין - 3 כר'")</f>
        <v>תיקון עירובין - 3 כר'</v>
      </c>
    </row>
    <row r="45080" spans="1:6" x14ac:dyDescent="0.2">
      <c r="A45080" t="s">
        <v>67828</v>
      </c>
      <c r="B45080" t="s">
        <v>7876</v>
      </c>
      <c r="C45080" t="s">
        <v>10303</v>
      </c>
      <c r="D45080" t="s">
        <v>67829</v>
      </c>
      <c r="E45080" t="s">
        <v>144</v>
      </c>
      <c r="F45080" s="2" t="str">
        <f>HYPERLINK("http://www.otzar.org/book.asp?625655","תיקון עירובין")</f>
        <v>תיקון עירובין</v>
      </c>
    </row>
    <row r="45081" spans="1:6" x14ac:dyDescent="0.2">
      <c r="A45081" t="s">
        <v>67828</v>
      </c>
      <c r="B45081" t="s">
        <v>67830</v>
      </c>
      <c r="C45081" t="s">
        <v>1169</v>
      </c>
      <c r="D45081" t="s">
        <v>986</v>
      </c>
      <c r="E45081" t="s">
        <v>3567</v>
      </c>
      <c r="F45081" s="2" t="str">
        <f>HYPERLINK("http://www.otzar.org/book.asp?13846","תיקון עירובין")</f>
        <v>תיקון עירובין</v>
      </c>
    </row>
    <row r="45082" spans="1:6" x14ac:dyDescent="0.2">
      <c r="A45082" t="s">
        <v>67828</v>
      </c>
      <c r="B45082" t="s">
        <v>4688</v>
      </c>
      <c r="C45082" t="s">
        <v>3690</v>
      </c>
      <c r="D45082" t="s">
        <v>726</v>
      </c>
      <c r="E45082" t="s">
        <v>15</v>
      </c>
      <c r="F45082" s="2" t="str">
        <f>HYPERLINK("http://www.otzar.org/book.asp?200662","תיקון עירובין")</f>
        <v>תיקון עירובין</v>
      </c>
    </row>
    <row r="45083" spans="1:6" x14ac:dyDescent="0.2">
      <c r="A45083" t="s">
        <v>67831</v>
      </c>
      <c r="B45083" t="s">
        <v>27686</v>
      </c>
      <c r="C45083" t="s">
        <v>624</v>
      </c>
      <c r="D45083" t="s">
        <v>14</v>
      </c>
      <c r="E45083" t="s">
        <v>3755</v>
      </c>
      <c r="F45083" s="2" t="str">
        <f>HYPERLINK("http://www.otzar.org/book.asp?28097","תיקון פ""ד תעניות &lt;עננו להרש""ש עם טיב התשובה&gt;")</f>
        <v>תיקון פ"ד תעניות &lt;עננו להרש"ש עם טיב התשובה&gt;</v>
      </c>
    </row>
    <row r="45084" spans="1:6" x14ac:dyDescent="0.2">
      <c r="A45084" t="s">
        <v>67832</v>
      </c>
      <c r="B45084" t="s">
        <v>67833</v>
      </c>
      <c r="C45084" t="s">
        <v>68</v>
      </c>
      <c r="D45084" t="s">
        <v>52</v>
      </c>
      <c r="E45084" t="s">
        <v>158</v>
      </c>
      <c r="F45084" s="2" t="str">
        <f>HYPERLINK("http://www.otzar.org/book.asp?156416","תיקון קוראים המדוייק - איש מצליח")</f>
        <v>תיקון קוראים המדוייק - איש מצליח</v>
      </c>
    </row>
    <row r="45085" spans="1:6" x14ac:dyDescent="0.2">
      <c r="A45085" t="s">
        <v>67834</v>
      </c>
      <c r="B45085" t="s">
        <v>67835</v>
      </c>
      <c r="C45085" t="s">
        <v>17</v>
      </c>
      <c r="D45085" t="s">
        <v>14</v>
      </c>
      <c r="E45085" t="s">
        <v>158</v>
      </c>
      <c r="F45085" s="2" t="str">
        <f>HYPERLINK("http://www.otzar.org/book.asp?165385","תיקון שבת")</f>
        <v>תיקון שבת</v>
      </c>
    </row>
    <row r="45086" spans="1:6" x14ac:dyDescent="0.2">
      <c r="A45086" t="s">
        <v>67836</v>
      </c>
      <c r="B45086" t="s">
        <v>67837</v>
      </c>
      <c r="C45086" t="s">
        <v>129</v>
      </c>
      <c r="D45086" t="s">
        <v>14</v>
      </c>
      <c r="E45086" t="s">
        <v>219</v>
      </c>
      <c r="F45086" s="2" t="str">
        <f>HYPERLINK("http://www.otzar.org/book.asp?618103","תיקון שובבי""ם - כסף הכפורים")</f>
        <v>תיקון שובבי"ם - כסף הכפורים</v>
      </c>
    </row>
    <row r="45087" spans="1:6" x14ac:dyDescent="0.2">
      <c r="A45087" t="s">
        <v>67838</v>
      </c>
      <c r="B45087" t="s">
        <v>67839</v>
      </c>
      <c r="C45087" t="s">
        <v>8294</v>
      </c>
      <c r="D45087" t="s">
        <v>49</v>
      </c>
      <c r="E45087" t="s">
        <v>219</v>
      </c>
      <c r="F45087" s="2" t="str">
        <f>HYPERLINK("http://www.otzar.org/book.asp?178888","תיקון שובבים")</f>
        <v>תיקון שובבים</v>
      </c>
    </row>
    <row r="45088" spans="1:6" x14ac:dyDescent="0.2">
      <c r="A45088" t="s">
        <v>67840</v>
      </c>
      <c r="B45088" t="s">
        <v>67841</v>
      </c>
      <c r="C45088" t="s">
        <v>360</v>
      </c>
      <c r="D45088" t="s">
        <v>225</v>
      </c>
      <c r="E45088" t="s">
        <v>67842</v>
      </c>
      <c r="F45088" s="2" t="str">
        <f>HYPERLINK("http://www.otzar.org/book.asp?100474","תיקון שלמה")</f>
        <v>תיקון שלמה</v>
      </c>
    </row>
    <row r="45089" spans="1:6" x14ac:dyDescent="0.2">
      <c r="A45089" t="s">
        <v>67843</v>
      </c>
      <c r="B45089" t="s">
        <v>14634</v>
      </c>
      <c r="C45089" t="s">
        <v>429</v>
      </c>
      <c r="D45089" t="s">
        <v>756</v>
      </c>
      <c r="E45089" t="s">
        <v>1517</v>
      </c>
      <c r="F45089" s="2" t="str">
        <f>HYPERLINK("http://www.otzar.org/book.asp?155762","תיקון שמירות שבת - פרי שבת")</f>
        <v>תיקון שמירות שבת - פרי שבת</v>
      </c>
    </row>
    <row r="45090" spans="1:6" x14ac:dyDescent="0.2">
      <c r="A45090" t="s">
        <v>67844</v>
      </c>
      <c r="B45090" t="s">
        <v>14634</v>
      </c>
      <c r="C45090" t="s">
        <v>2236</v>
      </c>
      <c r="D45090" t="s">
        <v>60</v>
      </c>
      <c r="E45090" t="s">
        <v>1517</v>
      </c>
      <c r="F45090" s="2" t="str">
        <f>HYPERLINK("http://www.otzar.org/book.asp?182339","תיקון שמירת שבת - 2 כר'")</f>
        <v>תיקון שמירת שבת - 2 כר'</v>
      </c>
    </row>
    <row r="45091" spans="1:6" x14ac:dyDescent="0.2">
      <c r="A45091" t="s">
        <v>67845</v>
      </c>
      <c r="B45091" t="s">
        <v>67846</v>
      </c>
      <c r="C45091" t="s">
        <v>189</v>
      </c>
      <c r="D45091" t="s">
        <v>14</v>
      </c>
      <c r="E45091" t="s">
        <v>399</v>
      </c>
      <c r="F45091" s="2" t="str">
        <f>HYPERLINK("http://www.otzar.org/book.asp?170115","תיקוני הזהר &lt;ע""פ מעלות הסולם&gt; - 4 כר'")</f>
        <v>תיקוני הזהר &lt;ע"פ מעלות הסולם&gt; - 4 כר'</v>
      </c>
    </row>
    <row r="45092" spans="1:6" x14ac:dyDescent="0.2">
      <c r="A45092" t="s">
        <v>67847</v>
      </c>
      <c r="B45092" t="s">
        <v>67848</v>
      </c>
      <c r="C45092" t="s">
        <v>1310</v>
      </c>
      <c r="D45092" t="s">
        <v>56</v>
      </c>
      <c r="E45092" t="s">
        <v>399</v>
      </c>
      <c r="F45092" s="2" t="str">
        <f>HYPERLINK("http://www.otzar.org/book.asp?6170","תיקוני הזהר &lt;הגר""א&gt;")</f>
        <v>תיקוני הזהר &lt;הגר"א&gt;</v>
      </c>
    </row>
    <row r="45093" spans="1:6" x14ac:dyDescent="0.2">
      <c r="A45093" t="s">
        <v>67849</v>
      </c>
      <c r="B45093" t="s">
        <v>67850</v>
      </c>
      <c r="C45093" t="s">
        <v>2076</v>
      </c>
      <c r="D45093" t="s">
        <v>27</v>
      </c>
      <c r="E45093" t="s">
        <v>399</v>
      </c>
      <c r="F45093" s="2" t="str">
        <f>HYPERLINK("http://www.otzar.org/book.asp?100473","תיקוני הזהר &lt;כסא מלך&gt;")</f>
        <v>תיקוני הזהר &lt;כסא מלך&gt;</v>
      </c>
    </row>
    <row r="45094" spans="1:6" x14ac:dyDescent="0.2">
      <c r="A45094" t="s">
        <v>67851</v>
      </c>
      <c r="B45094" t="s">
        <v>67852</v>
      </c>
      <c r="C45094" t="s">
        <v>67853</v>
      </c>
      <c r="D45094" t="s">
        <v>260</v>
      </c>
      <c r="E45094" t="s">
        <v>399</v>
      </c>
      <c r="F45094" s="2" t="str">
        <f>HYPERLINK("http://www.otzar.org/book.asp?105229","תיקוני הזהר &lt;מעלות הסולם&gt;")</f>
        <v>תיקוני הזהר &lt;מעלות הסולם&gt;</v>
      </c>
    </row>
    <row r="45095" spans="1:6" x14ac:dyDescent="0.2">
      <c r="A45095" t="s">
        <v>67854</v>
      </c>
      <c r="B45095" t="s">
        <v>67855</v>
      </c>
      <c r="C45095" t="s">
        <v>482</v>
      </c>
      <c r="D45095" t="s">
        <v>27</v>
      </c>
      <c r="E45095" t="s">
        <v>399</v>
      </c>
      <c r="F45095" s="2" t="str">
        <f>HYPERLINK("http://www.otzar.org/book.asp?5321","תיקוני הזהר &lt;עם פירוש בניהו&gt;")</f>
        <v>תיקוני הזהר &lt;עם פירוש בניהו&gt;</v>
      </c>
    </row>
    <row r="45096" spans="1:6" x14ac:dyDescent="0.2">
      <c r="A45096" t="s">
        <v>67856</v>
      </c>
      <c r="B45096" t="s">
        <v>18896</v>
      </c>
      <c r="C45096" t="s">
        <v>454</v>
      </c>
      <c r="D45096" t="s">
        <v>14</v>
      </c>
      <c r="E45096" t="s">
        <v>399</v>
      </c>
      <c r="F45096" s="2" t="str">
        <f>HYPERLINK("http://www.otzar.org/book.asp?25815","תיקוני הזהר &lt;עם פירוש שעת רצון&gt;")</f>
        <v>תיקוני הזהר &lt;עם פירוש שעת רצון&gt;</v>
      </c>
    </row>
    <row r="45097" spans="1:6" x14ac:dyDescent="0.2">
      <c r="A45097" t="s">
        <v>67857</v>
      </c>
      <c r="B45097" t="s">
        <v>48288</v>
      </c>
      <c r="C45097" t="s">
        <v>2008</v>
      </c>
      <c r="D45097" t="s">
        <v>27</v>
      </c>
      <c r="E45097" t="s">
        <v>399</v>
      </c>
      <c r="F45097" s="2" t="str">
        <f>HYPERLINK("http://www.otzar.org/book.asp?14351","תיקוני הזהר &lt;ברית יעקב&gt;")</f>
        <v>תיקוני הזהר &lt;ברית יעקב&gt;</v>
      </c>
    </row>
    <row r="45098" spans="1:6" x14ac:dyDescent="0.2">
      <c r="A45098" t="s">
        <v>67858</v>
      </c>
      <c r="B45098" t="s">
        <v>67859</v>
      </c>
      <c r="C45098" t="s">
        <v>71</v>
      </c>
      <c r="D45098" t="s">
        <v>3467</v>
      </c>
      <c r="E45098" t="s">
        <v>399</v>
      </c>
      <c r="F45098" s="2" t="str">
        <f>HYPERLINK("http://www.otzar.org/book.asp?193118","תיקוני הזהר &lt;מלאכת הסולם&gt;")</f>
        <v>תיקוני הזהר &lt;מלאכת הסולם&gt;</v>
      </c>
    </row>
    <row r="45099" spans="1:6" x14ac:dyDescent="0.2">
      <c r="A45099" t="s">
        <v>67860</v>
      </c>
      <c r="B45099" t="s">
        <v>67861</v>
      </c>
      <c r="C45099" t="s">
        <v>20</v>
      </c>
      <c r="D45099" t="s">
        <v>3467</v>
      </c>
      <c r="F45099" s="2" t="str">
        <f>HYPERLINK("http://www.otzar.org/book.asp?622507","תיקוני הזהר &lt;ע""פ מלאכת הסולם&gt; - 4 כר'")</f>
        <v>תיקוני הזהר &lt;ע"פ מלאכת הסולם&gt; - 4 כר'</v>
      </c>
    </row>
    <row r="45100" spans="1:6" x14ac:dyDescent="0.2">
      <c r="A45100" t="s">
        <v>67862</v>
      </c>
      <c r="B45100" t="s">
        <v>16651</v>
      </c>
      <c r="C45100" t="s">
        <v>180</v>
      </c>
      <c r="D45100" t="s">
        <v>14</v>
      </c>
      <c r="E45100" t="s">
        <v>17007</v>
      </c>
      <c r="F45100" s="2" t="str">
        <f>HYPERLINK("http://www.otzar.org/book.asp?5924","תיקוני הזהר &lt;באר לחי ראי&gt; - 3 כר'")</f>
        <v>תיקוני הזהר &lt;באר לחי ראי&gt; - 3 כר'</v>
      </c>
    </row>
    <row r="45101" spans="1:6" x14ac:dyDescent="0.2">
      <c r="A45101" t="s">
        <v>67863</v>
      </c>
      <c r="B45101" t="s">
        <v>67864</v>
      </c>
      <c r="C45101" t="s">
        <v>888</v>
      </c>
      <c r="D45101" t="s">
        <v>27</v>
      </c>
      <c r="E45101" t="s">
        <v>399</v>
      </c>
      <c r="F45101" s="2" t="str">
        <f>HYPERLINK("http://www.otzar.org/book.asp?300074","תיקוני הזהר א  &lt;עם פירוש בניהו&gt;")</f>
        <v>תיקוני הזהר א  &lt;עם פירוש בניהו&gt;</v>
      </c>
    </row>
    <row r="45102" spans="1:6" x14ac:dyDescent="0.2">
      <c r="A45102" t="s">
        <v>67865</v>
      </c>
      <c r="B45102" t="s">
        <v>67864</v>
      </c>
      <c r="C45102" t="s">
        <v>888</v>
      </c>
      <c r="D45102" t="s">
        <v>27</v>
      </c>
      <c r="E45102" t="s">
        <v>399</v>
      </c>
      <c r="F45102" s="2" t="str">
        <f>HYPERLINK("http://www.otzar.org/book.asp?300075","תיקוני הזהר ב  &lt;עם פירוש בניהו&gt;")</f>
        <v>תיקוני הזהר ב  &lt;עם פירוש בניהו&gt;</v>
      </c>
    </row>
    <row r="45103" spans="1:6" x14ac:dyDescent="0.2">
      <c r="A45103" t="s">
        <v>67866</v>
      </c>
      <c r="B45103" t="s">
        <v>4201</v>
      </c>
      <c r="C45103" t="s">
        <v>1619</v>
      </c>
      <c r="D45103" t="s">
        <v>21</v>
      </c>
      <c r="E45103" t="s">
        <v>399</v>
      </c>
      <c r="F45103" s="2" t="str">
        <f>HYPERLINK("http://www.otzar.org/book.asp?603353","תיקוני הזהר עם פירוש אור יקר - 6 כר'")</f>
        <v>תיקוני הזהר עם פירוש אור יקר - 6 כר'</v>
      </c>
    </row>
    <row r="45104" spans="1:6" x14ac:dyDescent="0.2">
      <c r="A45104" t="s">
        <v>67867</v>
      </c>
      <c r="B45104" t="s">
        <v>67868</v>
      </c>
      <c r="C45104" t="s">
        <v>1208</v>
      </c>
      <c r="D45104" t="s">
        <v>14</v>
      </c>
      <c r="E45104" t="s">
        <v>399</v>
      </c>
      <c r="F45104" s="2" t="str">
        <f>HYPERLINK("http://www.otzar.org/book.asp?11914","תיקוני הזהר")</f>
        <v>תיקוני הזהר</v>
      </c>
    </row>
    <row r="45105" spans="1:6" x14ac:dyDescent="0.2">
      <c r="A45105" t="s">
        <v>67869</v>
      </c>
      <c r="B45105" t="s">
        <v>67870</v>
      </c>
      <c r="C45105" t="s">
        <v>40182</v>
      </c>
      <c r="D45105" t="s">
        <v>1411</v>
      </c>
      <c r="F45105" s="2" t="str">
        <f>HYPERLINK("http://www.otzar.org/book.asp?53624","תיקוני הזהר - 2 כר'")</f>
        <v>תיקוני הזהר - 2 כר'</v>
      </c>
    </row>
    <row r="45106" spans="1:6" x14ac:dyDescent="0.2">
      <c r="A45106" t="s">
        <v>67867</v>
      </c>
      <c r="B45106" t="s">
        <v>67871</v>
      </c>
      <c r="C45106" t="s">
        <v>5160</v>
      </c>
      <c r="D45106" t="s">
        <v>1490</v>
      </c>
      <c r="F45106" s="2" t="str">
        <f>HYPERLINK("http://www.otzar.org/book.asp?153073","תיקוני הזהר")</f>
        <v>תיקוני הזהר</v>
      </c>
    </row>
    <row r="45107" spans="1:6" x14ac:dyDescent="0.2">
      <c r="A45107" t="s">
        <v>67867</v>
      </c>
      <c r="B45107" t="s">
        <v>67872</v>
      </c>
      <c r="C45107" t="s">
        <v>2970</v>
      </c>
      <c r="D45107" t="s">
        <v>1490</v>
      </c>
      <c r="E45107" t="s">
        <v>20320</v>
      </c>
      <c r="F45107" s="2" t="str">
        <f>HYPERLINK("http://www.otzar.org/book.asp?103815","תיקוני הזהר")</f>
        <v>תיקוני הזהר</v>
      </c>
    </row>
    <row r="45108" spans="1:6" x14ac:dyDescent="0.2">
      <c r="A45108" t="s">
        <v>67867</v>
      </c>
      <c r="B45108" t="s">
        <v>67873</v>
      </c>
      <c r="C45108" t="s">
        <v>3475</v>
      </c>
      <c r="D45108" t="s">
        <v>27</v>
      </c>
      <c r="E45108" t="s">
        <v>20320</v>
      </c>
      <c r="F45108" s="2" t="str">
        <f>HYPERLINK("http://www.otzar.org/book.asp?12734","תיקוני הזהר")</f>
        <v>תיקוני הזהר</v>
      </c>
    </row>
    <row r="45109" spans="1:6" x14ac:dyDescent="0.2">
      <c r="A45109" t="s">
        <v>67867</v>
      </c>
      <c r="B45109" t="s">
        <v>67874</v>
      </c>
      <c r="C45109" t="s">
        <v>2617</v>
      </c>
      <c r="D45109" t="s">
        <v>1419</v>
      </c>
      <c r="E45109" t="s">
        <v>20320</v>
      </c>
      <c r="F45109" s="2" t="str">
        <f>HYPERLINK("http://www.otzar.org/book.asp?10011","תיקוני הזהר")</f>
        <v>תיקוני הזהר</v>
      </c>
    </row>
    <row r="45110" spans="1:6" x14ac:dyDescent="0.2">
      <c r="A45110" t="s">
        <v>67875</v>
      </c>
      <c r="B45110" t="s">
        <v>48440</v>
      </c>
      <c r="C45110" t="s">
        <v>47086</v>
      </c>
      <c r="D45110" t="s">
        <v>60</v>
      </c>
      <c r="E45110" t="s">
        <v>399</v>
      </c>
      <c r="F45110" s="2" t="str">
        <f>HYPERLINK("http://www.otzar.org/book.asp?28320","תיקוני זהר &lt;עם פירוש באר יצחק&gt;")</f>
        <v>תיקוני זהר &lt;עם פירוש באר יצחק&gt;</v>
      </c>
    </row>
    <row r="45111" spans="1:6" x14ac:dyDescent="0.2">
      <c r="A45111" t="s">
        <v>67876</v>
      </c>
      <c r="B45111" t="s">
        <v>67877</v>
      </c>
      <c r="D45111" t="s">
        <v>14</v>
      </c>
      <c r="E45111" t="s">
        <v>399</v>
      </c>
      <c r="F45111" s="2" t="str">
        <f>HYPERLINK("http://www.otzar.org/book.asp?180233","תיקוני זהר &lt;כסא מלך - 3 כר'")</f>
        <v>תיקוני זהר &lt;כסא מלך - 3 כר'</v>
      </c>
    </row>
    <row r="45112" spans="1:6" x14ac:dyDescent="0.2">
      <c r="A45112" t="s">
        <v>67878</v>
      </c>
      <c r="B45112" t="s">
        <v>67879</v>
      </c>
      <c r="C45112" t="s">
        <v>68</v>
      </c>
      <c r="D45112" t="s">
        <v>52</v>
      </c>
      <c r="F45112" s="2" t="str">
        <f>HYPERLINK("http://www.otzar.org/book.asp?157186","תיקוני זהר לפי נוסח קדמון עם ביאור הגר""א")</f>
        <v>תיקוני זהר לפי נוסח קדמון עם ביאור הגר"א</v>
      </c>
    </row>
    <row r="45113" spans="1:6" x14ac:dyDescent="0.2">
      <c r="A45113" t="s">
        <v>67880</v>
      </c>
      <c r="B45113" t="s">
        <v>1821</v>
      </c>
      <c r="C45113" t="s">
        <v>244</v>
      </c>
      <c r="D45113" t="s">
        <v>152</v>
      </c>
      <c r="E45113" t="s">
        <v>399</v>
      </c>
      <c r="F45113" s="2" t="str">
        <f>HYPERLINK("http://www.otzar.org/book.asp?608471","תיקוני זהר עם ביאור הגר""א")</f>
        <v>תיקוני זהר עם ביאור הגר"א</v>
      </c>
    </row>
    <row r="45114" spans="1:6" x14ac:dyDescent="0.2">
      <c r="A45114" t="s">
        <v>67881</v>
      </c>
      <c r="B45114" t="s">
        <v>27480</v>
      </c>
      <c r="C45114" t="s">
        <v>411</v>
      </c>
      <c r="D45114" t="s">
        <v>147</v>
      </c>
      <c r="F45114" s="2" t="str">
        <f>HYPERLINK("http://www.otzar.org/book.asp?617450","תיקוני יעקב")</f>
        <v>תיקוני יעקב</v>
      </c>
    </row>
    <row r="45115" spans="1:6" x14ac:dyDescent="0.2">
      <c r="A45115" t="s">
        <v>67882</v>
      </c>
      <c r="B45115" t="s">
        <v>49778</v>
      </c>
      <c r="C45115" t="s">
        <v>506</v>
      </c>
      <c r="D45115" t="s">
        <v>947</v>
      </c>
      <c r="E45115" t="s">
        <v>1097</v>
      </c>
      <c r="F45115" s="2" t="str">
        <f>HYPERLINK("http://www.otzar.org/book.asp?168121","תיקוני נוסחאות בירושלמי")</f>
        <v>תיקוני נוסחאות בירושלמי</v>
      </c>
    </row>
    <row r="45116" spans="1:6" x14ac:dyDescent="0.2">
      <c r="A45116" t="s">
        <v>67883</v>
      </c>
      <c r="B45116" t="s">
        <v>16462</v>
      </c>
      <c r="C45116" t="s">
        <v>244</v>
      </c>
      <c r="D45116" t="s">
        <v>52</v>
      </c>
      <c r="E45116" t="s">
        <v>15</v>
      </c>
      <c r="F45116" s="2" t="str">
        <f>HYPERLINK("http://www.otzar.org/book.asp?199842","תיקוני עירובין")</f>
        <v>תיקוני עירובין</v>
      </c>
    </row>
    <row r="45117" spans="1:6" x14ac:dyDescent="0.2">
      <c r="A45117" t="s">
        <v>67884</v>
      </c>
      <c r="B45117" t="s">
        <v>42940</v>
      </c>
      <c r="C45117" t="s">
        <v>266</v>
      </c>
      <c r="D45117" t="s">
        <v>344</v>
      </c>
      <c r="E45117" t="s">
        <v>1517</v>
      </c>
      <c r="F45117" s="2" t="str">
        <f>HYPERLINK("http://www.otzar.org/book.asp?179887","תיקוני שבת &lt;מתוך סידור תפילת נהורא&gt;")</f>
        <v>תיקוני שבת &lt;מתוך סידור תפילת נהורא&gt;</v>
      </c>
    </row>
    <row r="45118" spans="1:6" x14ac:dyDescent="0.2">
      <c r="A45118" t="s">
        <v>67885</v>
      </c>
      <c r="B45118" t="s">
        <v>67886</v>
      </c>
      <c r="C45118" t="s">
        <v>11209</v>
      </c>
      <c r="D45118" t="s">
        <v>1117</v>
      </c>
      <c r="F45118" s="2" t="str">
        <f>HYPERLINK("http://www.otzar.org/book.asp?164931","תיקוני שבת")</f>
        <v>תיקוני שבת</v>
      </c>
    </row>
    <row r="45119" spans="1:6" x14ac:dyDescent="0.2">
      <c r="A45119" t="s">
        <v>67885</v>
      </c>
      <c r="B45119" t="s">
        <v>67887</v>
      </c>
      <c r="C45119" t="s">
        <v>1859</v>
      </c>
      <c r="D45119" t="s">
        <v>726</v>
      </c>
      <c r="E45119" t="s">
        <v>1517</v>
      </c>
      <c r="F45119" s="2" t="str">
        <f>HYPERLINK("http://www.otzar.org/book.asp?167042","תיקוני שבת")</f>
        <v>תיקוני שבת</v>
      </c>
    </row>
    <row r="45120" spans="1:6" x14ac:dyDescent="0.2">
      <c r="A45120" t="s">
        <v>67885</v>
      </c>
      <c r="B45120" t="s">
        <v>67888</v>
      </c>
      <c r="C45120" t="s">
        <v>5156</v>
      </c>
      <c r="D45120" t="s">
        <v>1117</v>
      </c>
      <c r="E45120" t="s">
        <v>1517</v>
      </c>
      <c r="F45120" s="2" t="str">
        <f>HYPERLINK("http://www.otzar.org/book.asp?167028","תיקוני שבת")</f>
        <v>תיקוני שבת</v>
      </c>
    </row>
    <row r="45121" spans="1:6" x14ac:dyDescent="0.2">
      <c r="A45121" t="s">
        <v>67889</v>
      </c>
      <c r="B45121" t="s">
        <v>1462</v>
      </c>
      <c r="C45121" t="s">
        <v>600</v>
      </c>
      <c r="D45121" t="s">
        <v>283</v>
      </c>
      <c r="E45121" t="s">
        <v>674</v>
      </c>
      <c r="F45121" s="2" t="str">
        <f>HYPERLINK("http://www.otzar.org/book.asp?151487","תיקוני שלמה")</f>
        <v>תיקוני שלמה</v>
      </c>
    </row>
    <row r="45122" spans="1:6" x14ac:dyDescent="0.2">
      <c r="A45122" t="s">
        <v>67890</v>
      </c>
      <c r="B45122" t="s">
        <v>67890</v>
      </c>
      <c r="C45122" t="s">
        <v>10017</v>
      </c>
      <c r="D45122" t="s">
        <v>4934</v>
      </c>
      <c r="E45122" t="s">
        <v>241</v>
      </c>
      <c r="F45122" s="2" t="str">
        <f>HYPERLINK("http://www.otzar.org/book.asp?146601","תיקוני תשובה ארץ צבי")</f>
        <v>תיקוני תשובה ארץ צבי</v>
      </c>
    </row>
    <row r="45123" spans="1:6" x14ac:dyDescent="0.2">
      <c r="A45123" t="s">
        <v>67891</v>
      </c>
      <c r="B45123" t="s">
        <v>1066</v>
      </c>
      <c r="C45123" t="s">
        <v>919</v>
      </c>
      <c r="D45123" t="s">
        <v>1356</v>
      </c>
      <c r="E45123" t="s">
        <v>2463</v>
      </c>
      <c r="F45123" s="2" t="str">
        <f>HYPERLINK("http://www.otzar.org/book.asp?5442","תיקונים בספרי הטור")</f>
        <v>תיקונים בספרי הטור</v>
      </c>
    </row>
    <row r="45124" spans="1:6" x14ac:dyDescent="0.2">
      <c r="A45124" t="s">
        <v>67892</v>
      </c>
      <c r="B45124" t="s">
        <v>67893</v>
      </c>
      <c r="C45124" t="s">
        <v>71</v>
      </c>
      <c r="D45124" t="s">
        <v>14</v>
      </c>
      <c r="E45124" t="s">
        <v>399</v>
      </c>
      <c r="F45124" s="2" t="str">
        <f>HYPERLINK("http://www.otzar.org/book.asp?627135","תיקונים חדשים &lt;עם ביאור&gt;")</f>
        <v>תיקונים חדשים &lt;עם ביאור&gt;</v>
      </c>
    </row>
    <row r="45125" spans="1:6" x14ac:dyDescent="0.2">
      <c r="A45125" t="s">
        <v>67894</v>
      </c>
      <c r="B45125" t="s">
        <v>1390</v>
      </c>
      <c r="C45125" t="s">
        <v>1609</v>
      </c>
      <c r="D45125" t="s">
        <v>27</v>
      </c>
      <c r="E45125" t="s">
        <v>399</v>
      </c>
      <c r="F45125" s="2" t="str">
        <f>HYPERLINK("http://www.otzar.org/book.asp?12700","תיקונים חדשים - 2 כר'")</f>
        <v>תיקונים חדשים - 2 כר'</v>
      </c>
    </row>
    <row r="45126" spans="1:6" x14ac:dyDescent="0.2">
      <c r="A45126" t="s">
        <v>67895</v>
      </c>
      <c r="B45126" t="s">
        <v>67879</v>
      </c>
      <c r="C45126" t="s">
        <v>68</v>
      </c>
      <c r="D45126" t="s">
        <v>52</v>
      </c>
      <c r="F45126" s="2" t="str">
        <f>HYPERLINK("http://www.otzar.org/book.asp?157187","תיקונים מזהר חדש")</f>
        <v>תיקונים מזהר חדש</v>
      </c>
    </row>
    <row r="45127" spans="1:6" x14ac:dyDescent="0.2">
      <c r="A45127" t="s">
        <v>67896</v>
      </c>
      <c r="B45127" t="s">
        <v>67897</v>
      </c>
      <c r="C45127" t="s">
        <v>785</v>
      </c>
      <c r="D45127" t="s">
        <v>52</v>
      </c>
      <c r="F45127" s="2" t="str">
        <f>HYPERLINK("http://www.otzar.org/book.asp?617036","תיקונים - 6 כר'")</f>
        <v>תיקונים - 6 כר'</v>
      </c>
    </row>
    <row r="45128" spans="1:6" x14ac:dyDescent="0.2">
      <c r="A45128" t="s">
        <v>67898</v>
      </c>
      <c r="B45128" t="s">
        <v>10177</v>
      </c>
      <c r="C45128" t="s">
        <v>576</v>
      </c>
      <c r="D45128" t="s">
        <v>691</v>
      </c>
      <c r="E45128" t="s">
        <v>2509</v>
      </c>
      <c r="F45128" s="2" t="str">
        <f>HYPERLINK("http://www.otzar.org/book.asp?9468","תירוש ויצהר")</f>
        <v>תירוש ויצהר</v>
      </c>
    </row>
    <row r="45129" spans="1:6" x14ac:dyDescent="0.2">
      <c r="A45129" t="s">
        <v>67899</v>
      </c>
      <c r="B45129" t="s">
        <v>32547</v>
      </c>
      <c r="C45129" t="s">
        <v>2213</v>
      </c>
      <c r="D45129" t="s">
        <v>1023</v>
      </c>
      <c r="E45129" t="s">
        <v>104</v>
      </c>
      <c r="F45129" s="2" t="str">
        <f>HYPERLINK("http://www.otzar.org/book.asp?9063","תכונת השמים")</f>
        <v>תכונת השמים</v>
      </c>
    </row>
    <row r="45130" spans="1:6" x14ac:dyDescent="0.2">
      <c r="A45130" t="s">
        <v>67900</v>
      </c>
      <c r="B45130" t="s">
        <v>67901</v>
      </c>
      <c r="C45130" t="s">
        <v>1706</v>
      </c>
      <c r="D45130" t="s">
        <v>27</v>
      </c>
      <c r="E45130" t="s">
        <v>1626</v>
      </c>
      <c r="F45130" s="2" t="str">
        <f>HYPERLINK("http://www.otzar.org/book.asp?5415","תכלאל &lt;עץ חיים&gt; - 3 כר'")</f>
        <v>תכלאל &lt;עץ חיים&gt; - 3 כר'</v>
      </c>
    </row>
    <row r="45131" spans="1:6" x14ac:dyDescent="0.2">
      <c r="A45131" t="s">
        <v>67902</v>
      </c>
      <c r="B45131" t="s">
        <v>48752</v>
      </c>
      <c r="C45131" t="s">
        <v>189</v>
      </c>
      <c r="D45131" t="s">
        <v>1153</v>
      </c>
      <c r="E45131" t="s">
        <v>18910</v>
      </c>
      <c r="F45131" s="2" t="str">
        <f>HYPERLINK("http://www.otzar.org/book.asp?64291","תכלאל (שאמי) עם שתילי זתים - פסח")</f>
        <v>תכלאל (שאמי) עם שתילי זתים - פסח</v>
      </c>
    </row>
    <row r="45132" spans="1:6" x14ac:dyDescent="0.2">
      <c r="A45132" t="s">
        <v>67903</v>
      </c>
      <c r="B45132" t="s">
        <v>2914</v>
      </c>
      <c r="C45132" t="s">
        <v>785</v>
      </c>
      <c r="D45132" t="s">
        <v>52</v>
      </c>
      <c r="E45132" t="s">
        <v>1626</v>
      </c>
      <c r="F45132" s="2" t="str">
        <f>HYPERLINK("http://www.otzar.org/book.asp?195973","תכלאל אבות ראשונים")</f>
        <v>תכלאל אבות ראשונים</v>
      </c>
    </row>
    <row r="45133" spans="1:6" x14ac:dyDescent="0.2">
      <c r="A45133" t="s">
        <v>67904</v>
      </c>
      <c r="B45133" t="s">
        <v>67905</v>
      </c>
      <c r="C45133" t="s">
        <v>37</v>
      </c>
      <c r="D45133" t="s">
        <v>90</v>
      </c>
      <c r="E45133" t="s">
        <v>104</v>
      </c>
      <c r="F45133" s="2" t="str">
        <f>HYPERLINK("http://www.otzar.org/book.asp?181482","תכלאל בלדי עם כוונות (המהרי""ץ והרמ""ק)")</f>
        <v>תכלאל בלדי עם כוונות (המהרי"ץ והרמ"ק)</v>
      </c>
    </row>
    <row r="45134" spans="1:6" x14ac:dyDescent="0.2">
      <c r="A45134" t="s">
        <v>67906</v>
      </c>
      <c r="B45134" t="s">
        <v>67907</v>
      </c>
      <c r="C45134" t="s">
        <v>146</v>
      </c>
      <c r="D45134" t="s">
        <v>52</v>
      </c>
      <c r="E45134" t="s">
        <v>1626</v>
      </c>
      <c r="F45134" s="2" t="str">
        <f>HYPERLINK("http://www.otzar.org/book.asp?64292","תכלאל המבואר (בלדי) - לימות השנה")</f>
        <v>תכלאל המבואר (בלדי) - לימות השנה</v>
      </c>
    </row>
    <row r="45135" spans="1:6" x14ac:dyDescent="0.2">
      <c r="A45135" t="s">
        <v>67908</v>
      </c>
      <c r="B45135" t="s">
        <v>67909</v>
      </c>
      <c r="C45135" t="s">
        <v>114</v>
      </c>
      <c r="D45135" t="s">
        <v>52</v>
      </c>
      <c r="F45135" s="2" t="str">
        <f>HYPERLINK("http://www.otzar.org/book.asp?169693","תכלאל המפואר אור מהרי""ץ - 6 כר'")</f>
        <v>תכלאל המפואר אור מהרי"ץ - 6 כר'</v>
      </c>
    </row>
    <row r="45136" spans="1:6" x14ac:dyDescent="0.2">
      <c r="A45136" t="s">
        <v>67910</v>
      </c>
      <c r="B45136" t="s">
        <v>45419</v>
      </c>
      <c r="C45136" t="s">
        <v>785</v>
      </c>
      <c r="D45136" t="s">
        <v>52</v>
      </c>
      <c r="E45136" t="s">
        <v>1517</v>
      </c>
      <c r="F45136" s="2" t="str">
        <f>HYPERLINK("http://www.otzar.org/book.asp?146433","תכלאל לחג הסוכות")</f>
        <v>תכלאל לחג הסוכות</v>
      </c>
    </row>
    <row r="45137" spans="1:6" x14ac:dyDescent="0.2">
      <c r="A45137" t="s">
        <v>67911</v>
      </c>
      <c r="B45137" t="s">
        <v>67912</v>
      </c>
      <c r="C45137" t="s">
        <v>422</v>
      </c>
      <c r="D45137" t="s">
        <v>52</v>
      </c>
      <c r="E45137" t="s">
        <v>219</v>
      </c>
      <c r="F45137" s="2" t="str">
        <f>HYPERLINK("http://www.otzar.org/book.asp?620798","תכלאל מסורת אבות בלדי")</f>
        <v>תכלאל מסורת אבות בלדי</v>
      </c>
    </row>
    <row r="45138" spans="1:6" x14ac:dyDescent="0.2">
      <c r="A45138" t="s">
        <v>67913</v>
      </c>
      <c r="B45138" t="s">
        <v>67914</v>
      </c>
      <c r="C45138" t="s">
        <v>1163</v>
      </c>
      <c r="D45138" t="s">
        <v>1163</v>
      </c>
      <c r="E45138" t="s">
        <v>1626</v>
      </c>
      <c r="F45138" s="2" t="str">
        <f>HYPERLINK("http://www.otzar.org/book.asp?64195","תכלאל משתא - 2 כר'")</f>
        <v>תכלאל משתא - 2 כר'</v>
      </c>
    </row>
    <row r="45139" spans="1:6" x14ac:dyDescent="0.2">
      <c r="A45139" t="s">
        <v>67915</v>
      </c>
      <c r="B45139" t="s">
        <v>23162</v>
      </c>
      <c r="C45139" t="s">
        <v>103</v>
      </c>
      <c r="D45139" t="s">
        <v>52</v>
      </c>
      <c r="E45139" t="s">
        <v>18910</v>
      </c>
      <c r="F45139" s="2" t="str">
        <f>HYPERLINK("http://www.otzar.org/book.asp?64286","תכלאל עטרת אבות &lt;בלדי&gt; - 7 כר'")</f>
        <v>תכלאל עטרת אבות &lt;בלדי&gt; - 7 כר'</v>
      </c>
    </row>
    <row r="45140" spans="1:6" x14ac:dyDescent="0.2">
      <c r="A45140" t="s">
        <v>67916</v>
      </c>
      <c r="B45140" t="s">
        <v>67917</v>
      </c>
      <c r="C45140" t="s">
        <v>1811</v>
      </c>
      <c r="D45140" t="s">
        <v>37427</v>
      </c>
      <c r="E45140" t="s">
        <v>219</v>
      </c>
      <c r="F45140" s="2" t="str">
        <f>HYPERLINK("http://www.otzar.org/book.asp?618107","תכלאל עטרת זקנים &lt;מנהג חבאן&gt; - 6 כר'")</f>
        <v>תכלאל עטרת זקנים &lt;מנהג חבאן&gt; - 6 כר'</v>
      </c>
    </row>
    <row r="45141" spans="1:6" x14ac:dyDescent="0.2">
      <c r="A45141" t="s">
        <v>67918</v>
      </c>
      <c r="B45141" t="s">
        <v>67919</v>
      </c>
      <c r="C45141" t="s">
        <v>411</v>
      </c>
      <c r="D45141" t="s">
        <v>118</v>
      </c>
      <c r="E45141" t="s">
        <v>219</v>
      </c>
      <c r="F45141" s="2" t="str">
        <f>HYPERLINK("http://www.otzar.org/book.asp?608565","תכלאל עץ חיים &lt;מהדורה חדשה&gt; - 5 כר'")</f>
        <v>תכלאל עץ חיים &lt;מהדורה חדשה&gt; - 5 כר'</v>
      </c>
    </row>
    <row r="45142" spans="1:6" x14ac:dyDescent="0.2">
      <c r="A45142" t="s">
        <v>67920</v>
      </c>
      <c r="B45142" t="s">
        <v>1152</v>
      </c>
      <c r="C45142" t="s">
        <v>624</v>
      </c>
      <c r="D45142" t="s">
        <v>1153</v>
      </c>
      <c r="F45142" s="2" t="str">
        <f>HYPERLINK("http://www.otzar.org/book.asp?617534","תכלאל שאמי עם שתילי זתים &lt;באר מרים&gt;")</f>
        <v>תכלאל שאמי עם שתילי זתים &lt;באר מרים&gt;</v>
      </c>
    </row>
    <row r="45143" spans="1:6" x14ac:dyDescent="0.2">
      <c r="A45143" t="s">
        <v>67921</v>
      </c>
      <c r="B45143" t="s">
        <v>67922</v>
      </c>
      <c r="C45143" t="s">
        <v>1062</v>
      </c>
      <c r="D45143" t="s">
        <v>21</v>
      </c>
      <c r="E45143" t="s">
        <v>1626</v>
      </c>
      <c r="F45143" s="2" t="str">
        <f>HYPERLINK("http://www.otzar.org/book.asp?197293","תכלאל שיבת ציון &lt;בלדי&gt; - 3 כר'")</f>
        <v>תכלאל שיבת ציון &lt;בלדי&gt; - 3 כר'</v>
      </c>
    </row>
    <row r="45144" spans="1:6" x14ac:dyDescent="0.2">
      <c r="A45144" t="s">
        <v>67923</v>
      </c>
      <c r="B45144" t="s">
        <v>67924</v>
      </c>
      <c r="C45144" t="s">
        <v>411</v>
      </c>
      <c r="D45144" t="s">
        <v>52</v>
      </c>
      <c r="F45144" s="2" t="str">
        <f>HYPERLINK("http://www.otzar.org/book.asp?169685","תכלאל שיח שפתותינו &lt;נוסח רדאע&gt;")</f>
        <v>תכלאל שיח שפתותינו &lt;נוסח רדאע&gt;</v>
      </c>
    </row>
    <row r="45145" spans="1:6" x14ac:dyDescent="0.2">
      <c r="A45145" t="s">
        <v>67925</v>
      </c>
      <c r="B45145" t="s">
        <v>67926</v>
      </c>
      <c r="C45145" t="s">
        <v>767</v>
      </c>
      <c r="D45145" t="s">
        <v>52</v>
      </c>
      <c r="E45145" t="s">
        <v>18910</v>
      </c>
      <c r="F45145" s="2" t="str">
        <f>HYPERLINK("http://www.otzar.org/book.asp?180020","תכלאל תורת אבות - 7 כר'")</f>
        <v>תכלאל תורת אבות - 7 כר'</v>
      </c>
    </row>
    <row r="45146" spans="1:6" x14ac:dyDescent="0.2">
      <c r="A45146" t="s">
        <v>67927</v>
      </c>
      <c r="B45146" t="s">
        <v>39379</v>
      </c>
      <c r="C45146" t="s">
        <v>114</v>
      </c>
      <c r="D45146" t="s">
        <v>1153</v>
      </c>
      <c r="F45146" s="2" t="str">
        <f>HYPERLINK("http://www.otzar.org/book.asp?169557","תכלאל תפילת קדמונים המבואר")</f>
        <v>תכלאל תפילת קדמונים המבואר</v>
      </c>
    </row>
    <row r="45147" spans="1:6" x14ac:dyDescent="0.2">
      <c r="A45147" t="s">
        <v>67928</v>
      </c>
      <c r="B45147" t="s">
        <v>67928</v>
      </c>
      <c r="C45147" t="s">
        <v>812</v>
      </c>
      <c r="D45147" t="s">
        <v>67929</v>
      </c>
      <c r="E45147" t="s">
        <v>67930</v>
      </c>
      <c r="F45147" s="2" t="str">
        <f>HYPERLINK("http://www.otzar.org/book.asp?16146","תכלאל")</f>
        <v>תכלאל</v>
      </c>
    </row>
    <row r="45148" spans="1:6" x14ac:dyDescent="0.2">
      <c r="A45148" t="s">
        <v>67928</v>
      </c>
      <c r="B45148" t="s">
        <v>67901</v>
      </c>
      <c r="C45148" t="s">
        <v>1706</v>
      </c>
      <c r="D45148" t="s">
        <v>27</v>
      </c>
      <c r="E45148" t="s">
        <v>1626</v>
      </c>
      <c r="F45148" s="2" t="str">
        <f>HYPERLINK("http://www.otzar.org/book.asp?847","תכלאל")</f>
        <v>תכלאל</v>
      </c>
    </row>
    <row r="45149" spans="1:6" x14ac:dyDescent="0.2">
      <c r="A45149" t="s">
        <v>67931</v>
      </c>
      <c r="B45149" t="s">
        <v>32281</v>
      </c>
      <c r="C45149" t="s">
        <v>422</v>
      </c>
      <c r="D45149" t="s">
        <v>14</v>
      </c>
      <c r="E45149" t="s">
        <v>130</v>
      </c>
      <c r="F45149" s="2" t="str">
        <f>HYPERLINK("http://www.otzar.org/book.asp?62773","תכלה רגל מן השוק בזמננו")</f>
        <v>תכלה רגל מן השוק בזמננו</v>
      </c>
    </row>
    <row r="45150" spans="1:6" x14ac:dyDescent="0.2">
      <c r="A45150" t="s">
        <v>67932</v>
      </c>
      <c r="B45150" t="s">
        <v>67933</v>
      </c>
      <c r="C45150" t="s">
        <v>133</v>
      </c>
      <c r="D45150" t="s">
        <v>21</v>
      </c>
      <c r="E45150" t="s">
        <v>241</v>
      </c>
      <c r="F45150" s="2" t="str">
        <f>HYPERLINK("http://www.otzar.org/book.asp?191075","תכלית אור")</f>
        <v>תכלית אור</v>
      </c>
    </row>
    <row r="45151" spans="1:6" x14ac:dyDescent="0.2">
      <c r="A45151" t="s">
        <v>67934</v>
      </c>
      <c r="B45151" t="s">
        <v>1872</v>
      </c>
      <c r="C45151" t="s">
        <v>2644</v>
      </c>
      <c r="D45151" t="s">
        <v>4269</v>
      </c>
      <c r="E45151" t="s">
        <v>573</v>
      </c>
      <c r="F45151" s="2" t="str">
        <f>HYPERLINK("http://www.otzar.org/book.asp?152247","תכלית האדם")</f>
        <v>תכלית האדם</v>
      </c>
    </row>
    <row r="45152" spans="1:6" x14ac:dyDescent="0.2">
      <c r="A45152" t="s">
        <v>67935</v>
      </c>
      <c r="B45152" t="s">
        <v>12867</v>
      </c>
      <c r="C45152" t="s">
        <v>68</v>
      </c>
      <c r="D45152" t="s">
        <v>152</v>
      </c>
      <c r="E45152" t="s">
        <v>241</v>
      </c>
      <c r="F45152" s="2" t="str">
        <f>HYPERLINK("http://www.otzar.org/book.asp?606457","תכלית החיים")</f>
        <v>תכלית החיים</v>
      </c>
    </row>
    <row r="45153" spans="1:6" x14ac:dyDescent="0.2">
      <c r="A45153" t="s">
        <v>67936</v>
      </c>
      <c r="B45153" t="s">
        <v>206</v>
      </c>
      <c r="C45153" t="s">
        <v>20</v>
      </c>
      <c r="D45153" t="s">
        <v>21</v>
      </c>
      <c r="E45153" t="s">
        <v>714</v>
      </c>
      <c r="F45153" s="2" t="str">
        <f>HYPERLINK("http://www.otzar.org/book.asp?606894","תכלית ועיקר")</f>
        <v>תכלית ועיקר</v>
      </c>
    </row>
    <row r="45154" spans="1:6" x14ac:dyDescent="0.2">
      <c r="A45154" t="s">
        <v>67937</v>
      </c>
      <c r="B45154" t="s">
        <v>67938</v>
      </c>
      <c r="C45154" t="s">
        <v>366</v>
      </c>
      <c r="D45154" t="s">
        <v>14</v>
      </c>
      <c r="F45154" s="2" t="str">
        <f>HYPERLINK("http://www.otzar.org/book.asp?615976","תכלית חכמה - 3 כר'")</f>
        <v>תכלית חכמה - 3 כר'</v>
      </c>
    </row>
    <row r="45155" spans="1:6" x14ac:dyDescent="0.2">
      <c r="A45155" t="s">
        <v>67937</v>
      </c>
      <c r="B45155" t="s">
        <v>48937</v>
      </c>
      <c r="C45155" t="s">
        <v>111</v>
      </c>
      <c r="D45155" t="s">
        <v>52</v>
      </c>
      <c r="E45155" t="s">
        <v>314</v>
      </c>
      <c r="F45155" s="2" t="str">
        <f>HYPERLINK("http://www.otzar.org/book.asp?629939","תכלית חכמה - 3 כר'")</f>
        <v>תכלית חכמה - 3 כר'</v>
      </c>
    </row>
    <row r="45156" spans="1:6" x14ac:dyDescent="0.2">
      <c r="A45156" t="s">
        <v>67939</v>
      </c>
      <c r="B45156" t="s">
        <v>7201</v>
      </c>
      <c r="C45156" t="s">
        <v>20</v>
      </c>
      <c r="D45156" t="s">
        <v>152</v>
      </c>
      <c r="E45156" t="s">
        <v>241</v>
      </c>
      <c r="F45156" s="2" t="str">
        <f>HYPERLINK("http://www.otzar.org/book.asp?182909","תכלית חכמה")</f>
        <v>תכלית חכמה</v>
      </c>
    </row>
    <row r="45157" spans="1:6" x14ac:dyDescent="0.2">
      <c r="A45157" t="s">
        <v>67940</v>
      </c>
      <c r="B45157" t="s">
        <v>107</v>
      </c>
      <c r="C45157" t="s">
        <v>17</v>
      </c>
      <c r="D45157" t="s">
        <v>14</v>
      </c>
      <c r="E45157" t="s">
        <v>241</v>
      </c>
      <c r="F45157" s="2" t="str">
        <f>HYPERLINK("http://www.otzar.org/book.asp?6351","תכלית יסורין")</f>
        <v>תכלית יסורין</v>
      </c>
    </row>
    <row r="45158" spans="1:6" x14ac:dyDescent="0.2">
      <c r="A45158" t="s">
        <v>67941</v>
      </c>
      <c r="B45158" t="s">
        <v>67942</v>
      </c>
      <c r="C45158" t="s">
        <v>482</v>
      </c>
      <c r="D45158" t="s">
        <v>260</v>
      </c>
      <c r="E45158" t="s">
        <v>733</v>
      </c>
      <c r="F45158" s="2" t="str">
        <f>HYPERLINK("http://www.otzar.org/book.asp?12204","תכלת בציצית בימינו")</f>
        <v>תכלת בציצית בימינו</v>
      </c>
    </row>
    <row r="45159" spans="1:6" x14ac:dyDescent="0.2">
      <c r="A45159" t="s">
        <v>67943</v>
      </c>
      <c r="B45159" t="s">
        <v>9510</v>
      </c>
      <c r="C45159" t="s">
        <v>466</v>
      </c>
      <c r="D45159" t="s">
        <v>14</v>
      </c>
      <c r="E45159" t="s">
        <v>104</v>
      </c>
      <c r="F45159" s="2" t="str">
        <f>HYPERLINK("http://www.otzar.org/book.asp?6300","תכלת וארגמן")</f>
        <v>תכלת וארגמן</v>
      </c>
    </row>
    <row r="45160" spans="1:6" x14ac:dyDescent="0.2">
      <c r="A45160" t="s">
        <v>67944</v>
      </c>
      <c r="B45160" t="s">
        <v>46655</v>
      </c>
      <c r="D45160" t="s">
        <v>52</v>
      </c>
      <c r="E45160" t="s">
        <v>158</v>
      </c>
      <c r="F45160" s="2" t="str">
        <f>HYPERLINK("http://www.otzar.org/book.asp?191906","תכלת מרדכי")</f>
        <v>תכלת מרדכי</v>
      </c>
    </row>
    <row r="45161" spans="1:6" x14ac:dyDescent="0.2">
      <c r="A45161" t="s">
        <v>67944</v>
      </c>
      <c r="B45161" t="s">
        <v>67945</v>
      </c>
      <c r="C45161" t="s">
        <v>2644</v>
      </c>
      <c r="D45161" t="s">
        <v>27</v>
      </c>
      <c r="E45161" t="s">
        <v>84</v>
      </c>
      <c r="F45161" s="2" t="str">
        <f>HYPERLINK("http://www.otzar.org/book.asp?141138","תכלת מרדכי")</f>
        <v>תכלת מרדכי</v>
      </c>
    </row>
    <row r="45162" spans="1:6" x14ac:dyDescent="0.2">
      <c r="A45162" t="s">
        <v>67944</v>
      </c>
      <c r="B45162" t="s">
        <v>67946</v>
      </c>
      <c r="C45162" t="s">
        <v>553</v>
      </c>
      <c r="D45162" t="s">
        <v>412</v>
      </c>
      <c r="E45162" t="s">
        <v>219</v>
      </c>
      <c r="F45162" s="2" t="str">
        <f>HYPERLINK("http://www.otzar.org/book.asp?23307","תכלת מרדכי")</f>
        <v>תכלת מרדכי</v>
      </c>
    </row>
    <row r="45163" spans="1:6" x14ac:dyDescent="0.2">
      <c r="A45163" t="s">
        <v>67944</v>
      </c>
      <c r="B45163" t="s">
        <v>20959</v>
      </c>
      <c r="C45163" t="s">
        <v>5903</v>
      </c>
      <c r="D45163" t="s">
        <v>267</v>
      </c>
      <c r="E45163" t="s">
        <v>263</v>
      </c>
      <c r="F45163" s="2" t="str">
        <f>HYPERLINK("http://www.otzar.org/book.asp?101744","תכלת מרדכי")</f>
        <v>תכלת מרדכי</v>
      </c>
    </row>
    <row r="45164" spans="1:6" x14ac:dyDescent="0.2">
      <c r="A45164" t="s">
        <v>67944</v>
      </c>
      <c r="B45164" t="s">
        <v>67947</v>
      </c>
      <c r="C45164" t="s">
        <v>36540</v>
      </c>
      <c r="D45164" t="s">
        <v>2069</v>
      </c>
      <c r="F45164" s="2" t="str">
        <f>HYPERLINK("http://www.otzar.org/book.asp?620907","תכלת מרדכי")</f>
        <v>תכלת מרדכי</v>
      </c>
    </row>
    <row r="45165" spans="1:6" x14ac:dyDescent="0.2">
      <c r="A45165" t="s">
        <v>67944</v>
      </c>
      <c r="B45165" t="s">
        <v>5705</v>
      </c>
      <c r="C45165" t="s">
        <v>482</v>
      </c>
      <c r="D45165" t="s">
        <v>27</v>
      </c>
      <c r="E45165" t="s">
        <v>158</v>
      </c>
      <c r="F45165" s="2" t="str">
        <f>HYPERLINK("http://www.otzar.org/book.asp?14098","תכלת מרדכי")</f>
        <v>תכלת מרדכי</v>
      </c>
    </row>
    <row r="45166" spans="1:6" x14ac:dyDescent="0.2">
      <c r="A45166" t="s">
        <v>67944</v>
      </c>
      <c r="B45166" t="s">
        <v>34506</v>
      </c>
      <c r="C45166" t="s">
        <v>10213</v>
      </c>
      <c r="D45166" t="s">
        <v>27</v>
      </c>
      <c r="E45166" t="s">
        <v>16684</v>
      </c>
      <c r="F45166" s="2" t="str">
        <f>HYPERLINK("http://www.otzar.org/book.asp?104587","תכלת מרדכי")</f>
        <v>תכלת מרדכי</v>
      </c>
    </row>
    <row r="45167" spans="1:6" x14ac:dyDescent="0.2">
      <c r="A45167" t="s">
        <v>67944</v>
      </c>
      <c r="B45167" t="s">
        <v>67948</v>
      </c>
      <c r="C45167" t="s">
        <v>189</v>
      </c>
      <c r="D45167" t="s">
        <v>139</v>
      </c>
      <c r="E45167" t="s">
        <v>467</v>
      </c>
      <c r="F45167" s="2" t="str">
        <f>HYPERLINK("http://www.otzar.org/book.asp?160827","תכלת מרדכי")</f>
        <v>תכלת מרדכי</v>
      </c>
    </row>
    <row r="45168" spans="1:6" x14ac:dyDescent="0.2">
      <c r="A45168" t="s">
        <v>67949</v>
      </c>
      <c r="B45168" t="s">
        <v>16688</v>
      </c>
      <c r="C45168" t="s">
        <v>366</v>
      </c>
      <c r="D45168" t="s">
        <v>52</v>
      </c>
      <c r="E45168" t="s">
        <v>144</v>
      </c>
      <c r="F45168" s="2" t="str">
        <f>HYPERLINK("http://www.otzar.org/book.asp?616179","תכלת מרדכי - 10 כר'")</f>
        <v>תכלת מרדכי - 10 כר'</v>
      </c>
    </row>
    <row r="45169" spans="1:6" x14ac:dyDescent="0.2">
      <c r="A45169" t="s">
        <v>67944</v>
      </c>
      <c r="B45169" t="s">
        <v>67950</v>
      </c>
      <c r="C45169" t="s">
        <v>1047</v>
      </c>
      <c r="D45169" t="s">
        <v>56</v>
      </c>
      <c r="E45169" t="s">
        <v>29431</v>
      </c>
      <c r="F45169" s="2" t="str">
        <f>HYPERLINK("http://www.otzar.org/book.asp?9026","תכלת מרדכי")</f>
        <v>תכלת מרדכי</v>
      </c>
    </row>
    <row r="45170" spans="1:6" x14ac:dyDescent="0.2">
      <c r="A45170" t="s">
        <v>67951</v>
      </c>
      <c r="B45170" t="s">
        <v>67952</v>
      </c>
      <c r="C45170" t="s">
        <v>506</v>
      </c>
      <c r="D45170" t="s">
        <v>24835</v>
      </c>
      <c r="E45170" t="s">
        <v>930</v>
      </c>
      <c r="F45170" s="2" t="str">
        <f>HYPERLINK("http://www.otzar.org/book.asp?28502","תכלת מרדכי - 2 כר'")</f>
        <v>תכלת מרדכי - 2 כר'</v>
      </c>
    </row>
    <row r="45171" spans="1:6" x14ac:dyDescent="0.2">
      <c r="A45171" t="s">
        <v>67953</v>
      </c>
      <c r="B45171" t="s">
        <v>13596</v>
      </c>
      <c r="C45171" t="s">
        <v>1166</v>
      </c>
      <c r="D45171" t="s">
        <v>756</v>
      </c>
      <c r="E45171" t="s">
        <v>158</v>
      </c>
      <c r="F45171" s="2" t="str">
        <f>HYPERLINK("http://www.otzar.org/book.asp?611595","תכלת מרדכי - 4 כר'")</f>
        <v>תכלת מרדכי - 4 כר'</v>
      </c>
    </row>
    <row r="45172" spans="1:6" x14ac:dyDescent="0.2">
      <c r="A45172" t="s">
        <v>67954</v>
      </c>
      <c r="B45172" t="s">
        <v>67955</v>
      </c>
      <c r="C45172" t="s">
        <v>1954</v>
      </c>
      <c r="D45172" t="s">
        <v>67956</v>
      </c>
      <c r="E45172" t="s">
        <v>1438</v>
      </c>
      <c r="F45172" s="2" t="str">
        <f>HYPERLINK("http://www.otzar.org/book.asp?199738","תכנית הוצאת כתבי רבינו מרן יעקב משה חרל""פ זצ""ל")</f>
        <v>תכנית הוצאת כתבי רבינו מרן יעקב משה חרל"פ זצ"ל</v>
      </c>
    </row>
    <row r="45173" spans="1:6" x14ac:dyDescent="0.2">
      <c r="A45173" t="s">
        <v>67957</v>
      </c>
      <c r="B45173" t="s">
        <v>67958</v>
      </c>
      <c r="C45173" t="s">
        <v>492</v>
      </c>
      <c r="D45173" t="s">
        <v>283</v>
      </c>
      <c r="E45173" t="s">
        <v>213</v>
      </c>
      <c r="F45173" s="2" t="str">
        <f>HYPERLINK("http://www.otzar.org/book.asp?145229","תכנית הנפש")</f>
        <v>תכנית הנפש</v>
      </c>
    </row>
    <row r="45174" spans="1:6" x14ac:dyDescent="0.2">
      <c r="A45174" t="s">
        <v>67959</v>
      </c>
      <c r="B45174" t="s">
        <v>52803</v>
      </c>
      <c r="C45174" t="s">
        <v>244</v>
      </c>
      <c r="D45174" t="s">
        <v>90</v>
      </c>
      <c r="E45174" t="s">
        <v>144</v>
      </c>
      <c r="F45174" s="2" t="str">
        <f>HYPERLINK("http://www.otzar.org/book.asp?629457","תכנת שבת")</f>
        <v>תכנת שבת</v>
      </c>
    </row>
    <row r="45175" spans="1:6" x14ac:dyDescent="0.2">
      <c r="A45175" t="s">
        <v>67960</v>
      </c>
      <c r="B45175" t="s">
        <v>67961</v>
      </c>
      <c r="C45175" t="s">
        <v>989</v>
      </c>
      <c r="D45175" t="s">
        <v>14</v>
      </c>
      <c r="E45175" t="s">
        <v>67962</v>
      </c>
      <c r="F45175" s="2" t="str">
        <f>HYPERLINK("http://www.otzar.org/book.asp?8861","תכריך מרדכי")</f>
        <v>תכריך מרדכי</v>
      </c>
    </row>
    <row r="45176" spans="1:6" x14ac:dyDescent="0.2">
      <c r="A45176" t="s">
        <v>67963</v>
      </c>
      <c r="B45176" t="s">
        <v>67964</v>
      </c>
      <c r="C45176" t="s">
        <v>422</v>
      </c>
      <c r="D45176" t="s">
        <v>52</v>
      </c>
      <c r="E45176" t="s">
        <v>119</v>
      </c>
      <c r="F45176" s="2" t="str">
        <f>HYPERLINK("http://www.otzar.org/book.asp?195558","תכתב לדור")</f>
        <v>תכתב לדור</v>
      </c>
    </row>
    <row r="45177" spans="1:6" x14ac:dyDescent="0.2">
      <c r="A45177" t="s">
        <v>67965</v>
      </c>
      <c r="B45177" t="s">
        <v>67966</v>
      </c>
      <c r="C45177" t="s">
        <v>767</v>
      </c>
      <c r="D45177" t="s">
        <v>21</v>
      </c>
      <c r="F45177" s="2" t="str">
        <f>HYPERLINK("http://www.otzar.org/book.asp?615685","תל תלפיות &lt;תולדות מרן המנחת יצחק&gt; - א")</f>
        <v>תל תלפיות &lt;תולדות מרן המנחת יצחק&gt; - א</v>
      </c>
    </row>
    <row r="45178" spans="1:6" x14ac:dyDescent="0.2">
      <c r="A45178" t="s">
        <v>67967</v>
      </c>
      <c r="B45178" t="s">
        <v>66993</v>
      </c>
      <c r="C45178" t="s">
        <v>698</v>
      </c>
      <c r="E45178" t="s">
        <v>202</v>
      </c>
      <c r="F45178" s="2" t="str">
        <f>HYPERLINK("http://www.otzar.org/book.asp?624517","תל תלפיות &lt;ירושלים&gt; - 11 כר'")</f>
        <v>תל תלפיות &lt;ירושלים&gt; - 11 כר'</v>
      </c>
    </row>
    <row r="45179" spans="1:6" x14ac:dyDescent="0.2">
      <c r="A45179" t="s">
        <v>67968</v>
      </c>
      <c r="B45179" t="s">
        <v>67969</v>
      </c>
      <c r="C45179" t="s">
        <v>466</v>
      </c>
      <c r="D45179" t="s">
        <v>14</v>
      </c>
      <c r="E45179" t="s">
        <v>1626</v>
      </c>
      <c r="F45179" s="2" t="str">
        <f>HYPERLINK("http://www.otzar.org/book.asp?106058","תל תלפיות")</f>
        <v>תל תלפיות</v>
      </c>
    </row>
    <row r="45180" spans="1:6" x14ac:dyDescent="0.2">
      <c r="A45180" t="s">
        <v>67968</v>
      </c>
      <c r="B45180" t="s">
        <v>61692</v>
      </c>
      <c r="C45180" t="s">
        <v>777</v>
      </c>
      <c r="D45180" t="s">
        <v>27</v>
      </c>
      <c r="E45180" t="s">
        <v>5580</v>
      </c>
      <c r="F45180" s="2" t="str">
        <f>HYPERLINK("http://www.otzar.org/book.asp?7229","תל תלפיות")</f>
        <v>תל תלפיות</v>
      </c>
    </row>
    <row r="45181" spans="1:6" x14ac:dyDescent="0.2">
      <c r="A45181" t="s">
        <v>67970</v>
      </c>
      <c r="B45181" t="s">
        <v>10002</v>
      </c>
      <c r="C45181" t="s">
        <v>422</v>
      </c>
      <c r="D45181" t="s">
        <v>90</v>
      </c>
      <c r="E45181" t="s">
        <v>226</v>
      </c>
      <c r="F45181" s="2" t="str">
        <f>HYPERLINK("http://www.otzar.org/book.asp?183104","תל תלפיות - העיר בעלזא ותפארתה")</f>
        <v>תל תלפיות - העיר בעלזא ותפארתה</v>
      </c>
    </row>
    <row r="45182" spans="1:6" x14ac:dyDescent="0.2">
      <c r="A45182" t="s">
        <v>67971</v>
      </c>
      <c r="B45182" t="s">
        <v>67972</v>
      </c>
      <c r="C45182" t="s">
        <v>454</v>
      </c>
      <c r="D45182" t="s">
        <v>52</v>
      </c>
      <c r="E45182" t="s">
        <v>2091</v>
      </c>
      <c r="F45182" s="2" t="str">
        <f>HYPERLINK("http://www.otzar.org/book.asp?144358","תל תלפיות - 17 כר'")</f>
        <v>תל תלפיות - 17 כר'</v>
      </c>
    </row>
    <row r="45183" spans="1:6" x14ac:dyDescent="0.2">
      <c r="A45183" t="s">
        <v>67973</v>
      </c>
      <c r="B45183" t="s">
        <v>67968</v>
      </c>
      <c r="C45183" t="s">
        <v>67974</v>
      </c>
      <c r="D45183" t="s">
        <v>34495</v>
      </c>
      <c r="E45183" t="s">
        <v>202</v>
      </c>
      <c r="F45183" s="2" t="str">
        <f>HYPERLINK("http://www.otzar.org/book.asp?141849","תל תלפיות - 39 כר'")</f>
        <v>תל תלפיות - 39 כר'</v>
      </c>
    </row>
    <row r="45184" spans="1:6" x14ac:dyDescent="0.2">
      <c r="A45184" t="s">
        <v>67975</v>
      </c>
      <c r="B45184" t="s">
        <v>67976</v>
      </c>
      <c r="C45184" t="s">
        <v>2076</v>
      </c>
      <c r="D45184" t="s">
        <v>1538</v>
      </c>
      <c r="E45184" t="s">
        <v>2336</v>
      </c>
      <c r="F45184" s="2" t="str">
        <f>HYPERLINK("http://www.otzar.org/book.asp?5626","תלם אחד מספר שדה ירושלים")</f>
        <v>תלם אחד מספר שדה ירושלים</v>
      </c>
    </row>
    <row r="45185" spans="1:6" x14ac:dyDescent="0.2">
      <c r="A45185" t="s">
        <v>67977</v>
      </c>
      <c r="B45185" t="s">
        <v>67978</v>
      </c>
      <c r="C45185" t="s">
        <v>619</v>
      </c>
      <c r="D45185" t="s">
        <v>646</v>
      </c>
      <c r="E45185" t="s">
        <v>84</v>
      </c>
      <c r="F45185" s="2" t="str">
        <f>HYPERLINK("http://www.otzar.org/book.asp?172496","תלמוד אין יידיש - 2 כר'")</f>
        <v>תלמוד אין יידיש - 2 כר'</v>
      </c>
    </row>
    <row r="45186" spans="1:6" x14ac:dyDescent="0.2">
      <c r="A45186" t="s">
        <v>67979</v>
      </c>
      <c r="B45186" t="s">
        <v>144</v>
      </c>
      <c r="C45186" t="s">
        <v>13</v>
      </c>
      <c r="D45186" t="s">
        <v>14</v>
      </c>
      <c r="E45186" t="s">
        <v>144</v>
      </c>
      <c r="F45186" s="2" t="str">
        <f>HYPERLINK("http://www.otzar.org/book.asp?142552","תלמוד בבלי  &lt;עוז והדר&gt; - 41 כר'")</f>
        <v>תלמוד בבלי  &lt;עוז והדר&gt; - 41 כר'</v>
      </c>
    </row>
    <row r="45187" spans="1:6" x14ac:dyDescent="0.2">
      <c r="A45187" t="s">
        <v>67980</v>
      </c>
      <c r="B45187" t="s">
        <v>67981</v>
      </c>
      <c r="C45187" t="s">
        <v>71</v>
      </c>
      <c r="D45187" t="s">
        <v>21</v>
      </c>
      <c r="E45187" t="s">
        <v>144</v>
      </c>
      <c r="F45187" s="2" t="str">
        <f>HYPERLINK("http://www.otzar.org/book.asp?198230","תלמוד בבלי &lt;מהדורת מכון תורני ברקאי&gt; - 7 כר'")</f>
        <v>תלמוד בבלי &lt;מהדורת מכון תורני ברקאי&gt; - 7 כר'</v>
      </c>
    </row>
    <row r="45188" spans="1:6" x14ac:dyDescent="0.2">
      <c r="A45188" t="s">
        <v>67982</v>
      </c>
      <c r="B45188" t="s">
        <v>67983</v>
      </c>
      <c r="C45188" t="s">
        <v>3709</v>
      </c>
      <c r="D45188" t="s">
        <v>4539</v>
      </c>
      <c r="F45188" s="2" t="str">
        <f>HYPERLINK("http://www.otzar.org/book.asp?620681","תלמוד בבלי &lt;מרפא לשון, שדה צופים&gt; - 2 כר'")</f>
        <v>תלמוד בבלי &lt;מרפא לשון, שדה צופים&gt; - 2 כר'</v>
      </c>
    </row>
    <row r="45189" spans="1:6" x14ac:dyDescent="0.2">
      <c r="A45189" t="s">
        <v>67984</v>
      </c>
      <c r="B45189" t="s">
        <v>144</v>
      </c>
      <c r="C45189" t="s">
        <v>67985</v>
      </c>
      <c r="D45189" t="s">
        <v>67986</v>
      </c>
      <c r="E45189" t="s">
        <v>144</v>
      </c>
      <c r="F45189" s="2" t="str">
        <f>HYPERLINK("http://www.otzar.org/book.asp?53804","תלמוד בבלי &lt;בזל&gt; - 34 כר'")</f>
        <v>תלמוד בבלי &lt;בזל&gt; - 34 כר'</v>
      </c>
    </row>
    <row r="45190" spans="1:6" x14ac:dyDescent="0.2">
      <c r="A45190" t="s">
        <v>67987</v>
      </c>
      <c r="B45190" t="s">
        <v>144</v>
      </c>
      <c r="C45190" t="s">
        <v>313</v>
      </c>
      <c r="D45190" t="s">
        <v>14</v>
      </c>
      <c r="E45190" t="s">
        <v>144</v>
      </c>
      <c r="F45190" s="2" t="str">
        <f>HYPERLINK("http://www.otzar.org/book.asp?105155","תלמוד בבלי &lt;וגשל. מהדורת נהרדעא&gt; - 20 כר'")</f>
        <v>תלמוד בבלי &lt;וגשל. מהדורת נהרדעא&gt; - 20 כר'</v>
      </c>
    </row>
    <row r="45191" spans="1:6" x14ac:dyDescent="0.2">
      <c r="A45191" t="s">
        <v>67988</v>
      </c>
      <c r="B45191" t="s">
        <v>144</v>
      </c>
      <c r="C45191" t="s">
        <v>67989</v>
      </c>
      <c r="D45191" t="s">
        <v>8492</v>
      </c>
      <c r="F45191" s="2" t="str">
        <f>HYPERLINK("http://www.otzar.org/book.asp?177236","תלמוד בבלי &lt;ווין&gt; - עבודה זרה")</f>
        <v>תלמוד בבלי &lt;ווין&gt; - עבודה זרה</v>
      </c>
    </row>
    <row r="45192" spans="1:6" x14ac:dyDescent="0.2">
      <c r="A45192" t="s">
        <v>67990</v>
      </c>
      <c r="B45192" t="s">
        <v>144</v>
      </c>
      <c r="C45192" t="s">
        <v>8923</v>
      </c>
      <c r="D45192" t="s">
        <v>95</v>
      </c>
      <c r="F45192" s="2" t="str">
        <f>HYPERLINK("http://www.otzar.org/book.asp?153102","תלמוד בבלי &lt;ונציה ש""ח&gt; - זבחים")</f>
        <v>תלמוד בבלי &lt;ונציה ש"ח&gt; - זבחים</v>
      </c>
    </row>
    <row r="45193" spans="1:6" x14ac:dyDescent="0.2">
      <c r="A45193" t="s">
        <v>67991</v>
      </c>
      <c r="B45193" t="s">
        <v>144</v>
      </c>
      <c r="C45193" t="s">
        <v>129</v>
      </c>
      <c r="D45193" t="s">
        <v>14</v>
      </c>
      <c r="E45193" t="s">
        <v>144</v>
      </c>
      <c r="F45193" s="2" t="str">
        <f>HYPERLINK("http://www.otzar.org/book.asp?50002","תלמוד בבלי &lt;טקסט&gt;")</f>
        <v>תלמוד בבלי &lt;טקסט&gt;</v>
      </c>
    </row>
    <row r="45194" spans="1:6" x14ac:dyDescent="0.2">
      <c r="A45194" t="s">
        <v>67992</v>
      </c>
      <c r="B45194" t="s">
        <v>144</v>
      </c>
      <c r="C45194" t="s">
        <v>67993</v>
      </c>
      <c r="D45194" t="s">
        <v>1593</v>
      </c>
      <c r="E45194" t="s">
        <v>144</v>
      </c>
      <c r="F45194" s="2" t="str">
        <f>HYPERLINK("http://www.otzar.org/book.asp?53845","תלמוד בבלי &lt;פפד""א&gt; - 2 כר'")</f>
        <v>תלמוד בבלי &lt;פפד"א&gt; - 2 כר'</v>
      </c>
    </row>
    <row r="45195" spans="1:6" x14ac:dyDescent="0.2">
      <c r="A45195" t="s">
        <v>67994</v>
      </c>
      <c r="B45195" t="s">
        <v>144</v>
      </c>
      <c r="C45195" t="s">
        <v>1395</v>
      </c>
      <c r="D45195" t="s">
        <v>4934</v>
      </c>
      <c r="E45195" t="s">
        <v>144</v>
      </c>
      <c r="F45195" s="2" t="str">
        <f>HYPERLINK("http://www.otzar.org/book.asp?167030","תלמוד בבלי &lt;קראקא&gt; - מועד קטן")</f>
        <v>תלמוד בבלי &lt;קראקא&gt; - מועד קטן</v>
      </c>
    </row>
    <row r="45196" spans="1:6" x14ac:dyDescent="0.2">
      <c r="A45196" t="s">
        <v>67995</v>
      </c>
      <c r="B45196" t="s">
        <v>144</v>
      </c>
      <c r="C45196" t="s">
        <v>20850</v>
      </c>
      <c r="D45196" t="s">
        <v>67996</v>
      </c>
      <c r="F45196" s="2" t="str">
        <f>HYPERLINK("http://www.otzar.org/book.asp?153104","תלמוד בבלי &lt;שרידים מדפוסי ספרד&gt; - 5 כר'")</f>
        <v>תלמוד בבלי &lt;שרידים מדפוסי ספרד&gt; - 5 כר'</v>
      </c>
    </row>
    <row r="45197" spans="1:6" x14ac:dyDescent="0.2">
      <c r="A45197" t="s">
        <v>67997</v>
      </c>
      <c r="B45197" t="s">
        <v>144</v>
      </c>
      <c r="C45197" t="s">
        <v>1954</v>
      </c>
      <c r="D45197" t="s">
        <v>14</v>
      </c>
      <c r="F45197" s="2" t="str">
        <f>HYPERLINK("http://www.otzar.org/book.asp?610957","תלמוד בבלי &lt;תרגום עברי ופרוש חדש&gt; - 3 כר'")</f>
        <v>תלמוד בבלי &lt;תרגום עברי ופרוש חדש&gt; - 3 כר'</v>
      </c>
    </row>
    <row r="45198" spans="1:6" x14ac:dyDescent="0.2">
      <c r="A45198" t="s">
        <v>67998</v>
      </c>
      <c r="B45198" t="s">
        <v>67999</v>
      </c>
      <c r="C45198" t="s">
        <v>8890</v>
      </c>
      <c r="D45198" t="s">
        <v>7385</v>
      </c>
      <c r="E45198" t="s">
        <v>144</v>
      </c>
      <c r="F45198" s="2" t="str">
        <f>HYPERLINK("http://www.otzar.org/book.asp?193973","תלמוד בבלי &lt;אמשטרדם&gt; - הוריות")</f>
        <v>תלמוד בבלי &lt;אמשטרדם&gt; - הוריות</v>
      </c>
    </row>
    <row r="45199" spans="1:6" x14ac:dyDescent="0.2">
      <c r="A45199" t="s">
        <v>68000</v>
      </c>
      <c r="B45199" t="s">
        <v>68001</v>
      </c>
      <c r="C45199" t="s">
        <v>68002</v>
      </c>
      <c r="D45199" t="s">
        <v>95</v>
      </c>
      <c r="E45199" t="s">
        <v>786</v>
      </c>
      <c r="F45199" s="2" t="str">
        <f>HYPERLINK("http://www.otzar.org/book.asp?105143","תלמוד בבלי &lt;ונציה&gt; - 39 כר'")</f>
        <v>תלמוד בבלי &lt;ונציה&gt; - 39 כר'</v>
      </c>
    </row>
    <row r="45200" spans="1:6" x14ac:dyDescent="0.2">
      <c r="A45200" t="s">
        <v>68003</v>
      </c>
      <c r="B45200" t="s">
        <v>68004</v>
      </c>
      <c r="C45200" t="s">
        <v>1163</v>
      </c>
      <c r="D45200" t="s">
        <v>1163</v>
      </c>
      <c r="E45200" t="s">
        <v>3736</v>
      </c>
      <c r="F45200" s="2" t="str">
        <f>HYPERLINK("http://www.otzar.org/book.asp?104989","תלמוד בבלי &lt;כתב יד מינכן&gt; - 4 כר'")</f>
        <v>תלמוד בבלי &lt;כתב יד מינכן&gt; - 4 כר'</v>
      </c>
    </row>
    <row r="45201" spans="1:6" x14ac:dyDescent="0.2">
      <c r="A45201" t="s">
        <v>68005</v>
      </c>
      <c r="B45201" t="s">
        <v>68006</v>
      </c>
      <c r="C45201" t="s">
        <v>10538</v>
      </c>
      <c r="D45201" t="s">
        <v>18380</v>
      </c>
      <c r="E45201" t="s">
        <v>144</v>
      </c>
      <c r="F45201" s="2" t="str">
        <f>HYPERLINK("http://www.otzar.org/book.asp?193944","תלמוד בבלי &lt;פפד""מ&gt; - 27 כר'")</f>
        <v>תלמוד בבלי &lt;פפד"מ&gt; - 27 כר'</v>
      </c>
    </row>
    <row r="45202" spans="1:6" x14ac:dyDescent="0.2">
      <c r="A45202" t="s">
        <v>68007</v>
      </c>
      <c r="B45202" t="s">
        <v>68008</v>
      </c>
      <c r="C45202" t="s">
        <v>41</v>
      </c>
      <c r="D45202" t="s">
        <v>744</v>
      </c>
      <c r="E45202" t="s">
        <v>144</v>
      </c>
      <c r="F45202" s="2" t="str">
        <f>HYPERLINK("http://www.otzar.org/book.asp?193974","תלמוד בבלי &lt;פרג&gt; - ברכות")</f>
        <v>תלמוד בבלי &lt;פרג&gt; - ברכות</v>
      </c>
    </row>
    <row r="45203" spans="1:6" x14ac:dyDescent="0.2">
      <c r="A45203" t="s">
        <v>68009</v>
      </c>
      <c r="B45203" t="s">
        <v>68010</v>
      </c>
      <c r="C45203" t="s">
        <v>146</v>
      </c>
      <c r="D45203" t="s">
        <v>14</v>
      </c>
      <c r="E45203" t="s">
        <v>144</v>
      </c>
      <c r="F45203" s="2" t="str">
        <f>HYPERLINK("http://www.otzar.org/book.asp?173917","תלמוד בבלי &lt;וילנא החדש&gt; - 41 כר'")</f>
        <v>תלמוד בבלי &lt;וילנא החדש&gt; - 41 כר'</v>
      </c>
    </row>
    <row r="45204" spans="1:6" x14ac:dyDescent="0.2">
      <c r="A45204" t="s">
        <v>68011</v>
      </c>
      <c r="B45204" t="s">
        <v>68012</v>
      </c>
      <c r="C45204" t="s">
        <v>68013</v>
      </c>
      <c r="D45204" t="s">
        <v>68014</v>
      </c>
      <c r="E45204" t="s">
        <v>144</v>
      </c>
      <c r="F45204" s="2" t="str">
        <f>HYPERLINK("http://www.otzar.org/book.asp?53847","תלמוד בבלי &lt;שונצינו - 17 כר'")</f>
        <v>תלמוד בבלי &lt;שונצינו - 17 כר'</v>
      </c>
    </row>
    <row r="45205" spans="1:6" x14ac:dyDescent="0.2">
      <c r="A45205" t="s">
        <v>68015</v>
      </c>
      <c r="B45205" t="s">
        <v>68016</v>
      </c>
      <c r="C45205" t="s">
        <v>237</v>
      </c>
      <c r="D45205" t="s">
        <v>412</v>
      </c>
      <c r="E45205" t="s">
        <v>144</v>
      </c>
      <c r="F45205" s="2" t="str">
        <f>HYPERLINK("http://www.otzar.org/book.asp?162432","תלמוד בבלי אין אידיש - ביצה")</f>
        <v>תלמוד בבלי אין אידיש - ביצה</v>
      </c>
    </row>
    <row r="45206" spans="1:6" x14ac:dyDescent="0.2">
      <c r="A45206" t="s">
        <v>68017</v>
      </c>
      <c r="B45206" t="s">
        <v>43237</v>
      </c>
      <c r="C45206" t="s">
        <v>1619</v>
      </c>
      <c r="D45206" t="s">
        <v>1356</v>
      </c>
      <c r="E45206" t="s">
        <v>144</v>
      </c>
      <c r="F45206" s="2" t="str">
        <f>HYPERLINK("http://www.otzar.org/book.asp?158939","תלמוד בבלי בעברית - 3 כר'")</f>
        <v>תלמוד בבלי בעברית - 3 כר'</v>
      </c>
    </row>
    <row r="45207" spans="1:6" x14ac:dyDescent="0.2">
      <c r="A45207" t="s">
        <v>68018</v>
      </c>
      <c r="B45207" t="s">
        <v>4975</v>
      </c>
      <c r="C45207" t="s">
        <v>286</v>
      </c>
      <c r="D45207" t="s">
        <v>9</v>
      </c>
      <c r="E45207" t="s">
        <v>3387</v>
      </c>
      <c r="F45207" s="2" t="str">
        <f>HYPERLINK("http://www.otzar.org/book.asp?15390","תלמוד בבלי וירושלמי - א ב")</f>
        <v>תלמוד בבלי וירושלמי - א ב</v>
      </c>
    </row>
    <row r="45208" spans="1:6" x14ac:dyDescent="0.2">
      <c r="A45208" t="s">
        <v>68019</v>
      </c>
      <c r="B45208" t="s">
        <v>68020</v>
      </c>
      <c r="C45208" t="s">
        <v>1163</v>
      </c>
      <c r="D45208" t="s">
        <v>1163</v>
      </c>
      <c r="E45208" t="s">
        <v>186</v>
      </c>
      <c r="F45208" s="2" t="str">
        <f>HYPERLINK("http://www.otzar.org/book.asp?16666","תלמוד בבלי כתב יד המבורג")</f>
        <v>תלמוד בבלי כתב יד המבורג</v>
      </c>
    </row>
    <row r="45209" spans="1:6" x14ac:dyDescent="0.2">
      <c r="A45209" t="s">
        <v>68021</v>
      </c>
      <c r="B45209" t="s">
        <v>33774</v>
      </c>
      <c r="C45209" t="s">
        <v>20</v>
      </c>
      <c r="D45209" t="s">
        <v>52</v>
      </c>
      <c r="F45209" s="2" t="str">
        <f>HYPERLINK("http://www.otzar.org/book.asp?616197","תלמוד בבלי מסכת קידושין דף ב &lt;עם הוספות שונות&gt;")</f>
        <v>תלמוד בבלי מסכת קידושין דף ב &lt;עם הוספות שונות&gt;</v>
      </c>
    </row>
    <row r="45210" spans="1:6" x14ac:dyDescent="0.2">
      <c r="A45210" t="s">
        <v>68022</v>
      </c>
      <c r="B45210" t="s">
        <v>68023</v>
      </c>
      <c r="C45210" t="s">
        <v>1448</v>
      </c>
      <c r="D45210" t="s">
        <v>1356</v>
      </c>
      <c r="E45210" t="s">
        <v>144</v>
      </c>
      <c r="F45210" s="2" t="str">
        <f>HYPERLINK("http://www.otzar.org/book.asp?198497","תלמוד בבלי עם תרגום עברי מפורש - 6 כר'")</f>
        <v>תלמוד בבלי עם תרגום עברי מפורש - 6 כר'</v>
      </c>
    </row>
    <row r="45211" spans="1:6" x14ac:dyDescent="0.2">
      <c r="A45211" t="s">
        <v>68024</v>
      </c>
      <c r="B45211" t="s">
        <v>6105</v>
      </c>
      <c r="C45211" t="s">
        <v>51</v>
      </c>
      <c r="D45211" t="s">
        <v>52</v>
      </c>
      <c r="E45211" t="s">
        <v>38</v>
      </c>
      <c r="F45211" s="2" t="str">
        <f>HYPERLINK("http://www.otzar.org/book.asp?195978","תלמוד בית אבא - מדות")</f>
        <v>תלמוד בית אבא - מדות</v>
      </c>
    </row>
    <row r="45212" spans="1:6" x14ac:dyDescent="0.2">
      <c r="A45212" t="s">
        <v>68025</v>
      </c>
      <c r="B45212" t="s">
        <v>68026</v>
      </c>
      <c r="C45212" t="s">
        <v>17</v>
      </c>
      <c r="D45212" t="s">
        <v>14</v>
      </c>
      <c r="E45212" t="s">
        <v>144</v>
      </c>
      <c r="F45212" s="2" t="str">
        <f>HYPERLINK("http://www.otzar.org/book.asp?60595","תלמוד דוד - בבא מציעא")</f>
        <v>תלמוד דוד - בבא מציעא</v>
      </c>
    </row>
    <row r="45213" spans="1:6" x14ac:dyDescent="0.2">
      <c r="A45213" t="s">
        <v>68027</v>
      </c>
      <c r="B45213" t="s">
        <v>68028</v>
      </c>
      <c r="C45213" t="s">
        <v>133</v>
      </c>
      <c r="D45213" t="s">
        <v>276</v>
      </c>
      <c r="E45213" t="s">
        <v>172</v>
      </c>
      <c r="F45213" s="2" t="str">
        <f>HYPERLINK("http://www.otzar.org/book.asp?606676","תלמוד והוראה")</f>
        <v>תלמוד והוראה</v>
      </c>
    </row>
    <row r="45214" spans="1:6" x14ac:dyDescent="0.2">
      <c r="A45214" t="s">
        <v>68029</v>
      </c>
      <c r="B45214" t="s">
        <v>68030</v>
      </c>
      <c r="C45214" t="s">
        <v>553</v>
      </c>
      <c r="D45214" t="s">
        <v>14</v>
      </c>
      <c r="E45214" t="s">
        <v>1097</v>
      </c>
      <c r="F45214" s="2" t="str">
        <f>HYPERLINK("http://www.otzar.org/book.asp?85391","תלמוד ירושלמי &lt;ר""א פולדא - פני אריה&gt; - זרעים")</f>
        <v>תלמוד ירושלמי &lt;ר"א פולדא - פני אריה&gt; - זרעים</v>
      </c>
    </row>
    <row r="45215" spans="1:6" x14ac:dyDescent="0.2">
      <c r="A45215" t="s">
        <v>68031</v>
      </c>
      <c r="B45215" t="s">
        <v>68030</v>
      </c>
      <c r="C45215" t="s">
        <v>16450</v>
      </c>
      <c r="D45215" t="s">
        <v>1023</v>
      </c>
      <c r="E45215" t="s">
        <v>1097</v>
      </c>
      <c r="F45215" s="2" t="str">
        <f>HYPERLINK("http://www.otzar.org/book.asp?162134","תלמוד ירושלמי &lt;ר""א פולדא&gt; - 2 כר'")</f>
        <v>תלמוד ירושלמי &lt;ר"א פולדא&gt; - 2 כר'</v>
      </c>
    </row>
    <row r="45216" spans="1:6" x14ac:dyDescent="0.2">
      <c r="A45216" t="s">
        <v>68032</v>
      </c>
      <c r="B45216" t="s">
        <v>60349</v>
      </c>
      <c r="C45216" t="s">
        <v>2644</v>
      </c>
      <c r="D45216" t="s">
        <v>283</v>
      </c>
      <c r="E45216" t="s">
        <v>1108</v>
      </c>
      <c r="F45216" s="2" t="str">
        <f>HYPERLINK("http://www.otzar.org/book.asp?200103","תלמוד ירושלמי &lt;ירושלים הצרופה&gt; - בבא  קמא")</f>
        <v>תלמוד ירושלמי &lt;ירושלים הצרופה&gt; - בבא  קמא</v>
      </c>
    </row>
    <row r="45217" spans="1:6" x14ac:dyDescent="0.2">
      <c r="A45217" t="s">
        <v>68033</v>
      </c>
      <c r="B45217" t="s">
        <v>4961</v>
      </c>
      <c r="C45217" t="s">
        <v>11776</v>
      </c>
      <c r="D45217" t="s">
        <v>1490</v>
      </c>
      <c r="E45217" t="s">
        <v>1108</v>
      </c>
      <c r="F45217" s="2" t="str">
        <f>HYPERLINK("http://www.otzar.org/book.asp?5053","תלמוד ירושלמי &lt;שדה יהושע&gt; - 5 כר'")</f>
        <v>תלמוד ירושלמי &lt;שדה יהושע&gt; - 5 כר'</v>
      </c>
    </row>
    <row r="45218" spans="1:6" x14ac:dyDescent="0.2">
      <c r="A45218" t="s">
        <v>68034</v>
      </c>
      <c r="B45218" t="s">
        <v>206</v>
      </c>
      <c r="C45218" t="s">
        <v>533</v>
      </c>
      <c r="D45218" t="s">
        <v>14</v>
      </c>
      <c r="E45218" t="s">
        <v>1097</v>
      </c>
      <c r="F45218" s="2" t="str">
        <f>HYPERLINK("http://www.otzar.org/book.asp?9596","תלמוד ירושלמי &lt;ביאור ירושלמי, הרחב דבר&gt; - ב""ק")</f>
        <v>תלמוד ירושלמי &lt;ביאור ירושלמי, הרחב דבר&gt; - ב"ק</v>
      </c>
    </row>
    <row r="45219" spans="1:6" x14ac:dyDescent="0.2">
      <c r="A45219" t="s">
        <v>68035</v>
      </c>
      <c r="B45219" t="s">
        <v>68036</v>
      </c>
      <c r="C45219" t="s">
        <v>51</v>
      </c>
      <c r="D45219" t="s">
        <v>14</v>
      </c>
      <c r="E45219" t="s">
        <v>1097</v>
      </c>
      <c r="F45219" s="2" t="str">
        <f>HYPERLINK("http://www.otzar.org/book.asp?151350","תלמוד ירושלמי &lt;בנין ירושלים&gt; - 2 כר'")</f>
        <v>תלמוד ירושלמי &lt;בנין ירושלים&gt; - 2 כר'</v>
      </c>
    </row>
    <row r="45220" spans="1:6" x14ac:dyDescent="0.2">
      <c r="A45220" t="s">
        <v>68037</v>
      </c>
      <c r="B45220" t="s">
        <v>31572</v>
      </c>
      <c r="C45220" t="s">
        <v>237</v>
      </c>
      <c r="D45220" t="s">
        <v>9</v>
      </c>
      <c r="F45220" s="2" t="str">
        <f>HYPERLINK("http://www.otzar.org/book.asp?616451","תלמוד ירושלמי &lt;קראקא - קראטשין עם פירוש הקצר&gt;")</f>
        <v>תלמוד ירושלמי &lt;קראקא - קראטשין עם פירוש הקצר&gt;</v>
      </c>
    </row>
    <row r="45221" spans="1:6" x14ac:dyDescent="0.2">
      <c r="A45221" t="s">
        <v>68038</v>
      </c>
      <c r="B45221" t="s">
        <v>6446</v>
      </c>
      <c r="C45221" t="s">
        <v>8</v>
      </c>
      <c r="D45221" t="s">
        <v>646</v>
      </c>
      <c r="E45221" t="s">
        <v>68039</v>
      </c>
      <c r="F45221" s="2" t="str">
        <f>HYPERLINK("http://www.otzar.org/book.asp?141921","תלמוד ירושלמי &lt;נתיבות ירושלים&gt; - 3 כר'")</f>
        <v>תלמוד ירושלמי &lt;נתיבות ירושלים&gt; - 3 כר'</v>
      </c>
    </row>
    <row r="45222" spans="1:6" x14ac:dyDescent="0.2">
      <c r="A45222" t="s">
        <v>68040</v>
      </c>
      <c r="B45222" t="s">
        <v>68041</v>
      </c>
      <c r="C45222" t="s">
        <v>422</v>
      </c>
      <c r="D45222" t="s">
        <v>14</v>
      </c>
      <c r="E45222" t="s">
        <v>1097</v>
      </c>
      <c r="F45222" s="2" t="str">
        <f>HYPERLINK("http://www.otzar.org/book.asp?153387","תלמוד ירושלמי &lt;ביהמ""ד להלכה בהתיישבות&gt; - 11 כר'")</f>
        <v>תלמוד ירושלמי &lt;ביהמ"ד להלכה בהתיישבות&gt; - 11 כר'</v>
      </c>
    </row>
    <row r="45223" spans="1:6" x14ac:dyDescent="0.2">
      <c r="A45223" t="s">
        <v>68042</v>
      </c>
      <c r="B45223" t="s">
        <v>37016</v>
      </c>
      <c r="C45223" t="s">
        <v>812</v>
      </c>
      <c r="D45223" t="s">
        <v>27</v>
      </c>
      <c r="E45223" t="s">
        <v>1097</v>
      </c>
      <c r="F45223" s="2" t="str">
        <f>HYPERLINK("http://www.otzar.org/book.asp?24640","תלמוד ירושלמי &lt;שושן בצלאל&gt; - 4 כר'")</f>
        <v>תלמוד ירושלמי &lt;שושן בצלאל&gt; - 4 כר'</v>
      </c>
    </row>
    <row r="45224" spans="1:6" x14ac:dyDescent="0.2">
      <c r="A45224" t="s">
        <v>68043</v>
      </c>
      <c r="B45224" t="s">
        <v>32446</v>
      </c>
      <c r="C45224" t="s">
        <v>68044</v>
      </c>
      <c r="D45224" t="s">
        <v>27</v>
      </c>
      <c r="F45224" s="2" t="str">
        <f>HYPERLINK("http://www.otzar.org/book.asp?196161","תלמוד ירושלמי &lt;לונץ&gt; - 4 כר'")</f>
        <v>תלמוד ירושלמי &lt;לונץ&gt; - 4 כר'</v>
      </c>
    </row>
    <row r="45225" spans="1:6" x14ac:dyDescent="0.2">
      <c r="A45225" t="s">
        <v>68045</v>
      </c>
      <c r="B45225" t="s">
        <v>68046</v>
      </c>
      <c r="C45225" t="s">
        <v>20</v>
      </c>
      <c r="D45225" t="s">
        <v>486</v>
      </c>
      <c r="E45225" t="s">
        <v>1097</v>
      </c>
      <c r="F45225" s="2" t="str">
        <f>HYPERLINK("http://www.otzar.org/book.asp?189431","תלמוד ירושלמי &lt;פני מערב&gt; - בבא מציעא")</f>
        <v>תלמוד ירושלמי &lt;פני מערב&gt; - בבא מציעא</v>
      </c>
    </row>
    <row r="45226" spans="1:6" x14ac:dyDescent="0.2">
      <c r="A45226" t="s">
        <v>68047</v>
      </c>
      <c r="B45226" t="s">
        <v>68048</v>
      </c>
      <c r="C45226" t="s">
        <v>14085</v>
      </c>
      <c r="D45226" t="s">
        <v>535</v>
      </c>
      <c r="E45226" t="s">
        <v>1097</v>
      </c>
      <c r="F45226" s="2" t="str">
        <f>HYPERLINK("http://www.otzar.org/book.asp?200144","תלמוד ירושלמי &lt;אהבת ציון&gt; - 2 כר'")</f>
        <v>תלמוד ירושלמי &lt;אהבת ציון&gt; - 2 כר'</v>
      </c>
    </row>
    <row r="45227" spans="1:6" x14ac:dyDescent="0.2">
      <c r="A45227" t="s">
        <v>68049</v>
      </c>
      <c r="B45227" t="s">
        <v>39452</v>
      </c>
      <c r="C45227" t="s">
        <v>68050</v>
      </c>
      <c r="D45227" t="s">
        <v>100</v>
      </c>
      <c r="F45227" s="2" t="str">
        <f>HYPERLINK("http://www.otzar.org/book.asp?176770","תלמוד ירושלמי &lt;המזויף&gt; - 2 כר'")</f>
        <v>תלמוד ירושלמי &lt;המזויף&gt; - 2 כר'</v>
      </c>
    </row>
    <row r="45228" spans="1:6" x14ac:dyDescent="0.2">
      <c r="A45228" t="s">
        <v>68051</v>
      </c>
      <c r="B45228" t="s">
        <v>7604</v>
      </c>
      <c r="C45228" t="s">
        <v>419</v>
      </c>
      <c r="D45228" t="s">
        <v>52</v>
      </c>
      <c r="E45228" t="s">
        <v>1097</v>
      </c>
      <c r="F45228" s="2" t="str">
        <f>HYPERLINK("http://www.otzar.org/book.asp?176458","תלמוד ירושלמי &lt;עם ביאור הגר""ח קנייבסקי&gt; - 24 כר'")</f>
        <v>תלמוד ירושלמי &lt;עם ביאור הגר"ח קנייבסקי&gt; - 24 כר'</v>
      </c>
    </row>
    <row r="45229" spans="1:6" x14ac:dyDescent="0.2">
      <c r="A45229" t="s">
        <v>68052</v>
      </c>
      <c r="B45229" t="s">
        <v>68053</v>
      </c>
      <c r="C45229" t="s">
        <v>454</v>
      </c>
      <c r="D45229" t="s">
        <v>14</v>
      </c>
      <c r="E45229" t="s">
        <v>1097</v>
      </c>
      <c r="F45229" s="2" t="str">
        <f>HYPERLINK("http://www.otzar.org/book.asp?52208","תלמוד ירושלמי &lt;כנפי יונה&gt; - תרומות")</f>
        <v>תלמוד ירושלמי &lt;כנפי יונה&gt; - תרומות</v>
      </c>
    </row>
    <row r="45230" spans="1:6" x14ac:dyDescent="0.2">
      <c r="A45230" t="s">
        <v>68054</v>
      </c>
      <c r="B45230" t="s">
        <v>68055</v>
      </c>
      <c r="C45230" t="s">
        <v>919</v>
      </c>
      <c r="D45230" t="s">
        <v>21</v>
      </c>
      <c r="E45230" t="s">
        <v>1097</v>
      </c>
      <c r="F45230" s="2" t="str">
        <f>HYPERLINK("http://www.otzar.org/book.asp?191373","תלמוד ירושלמי &lt;כת""י וטיקן&gt;")</f>
        <v>תלמוד ירושלמי &lt;כת"י וטיקן&gt;</v>
      </c>
    </row>
    <row r="45231" spans="1:6" x14ac:dyDescent="0.2">
      <c r="A45231" t="s">
        <v>68056</v>
      </c>
      <c r="B45231" t="s">
        <v>68057</v>
      </c>
      <c r="C45231" t="s">
        <v>71</v>
      </c>
      <c r="D45231" t="s">
        <v>52</v>
      </c>
      <c r="E45231" t="s">
        <v>1097</v>
      </c>
      <c r="F45231" s="2" t="str">
        <f>HYPERLINK("http://www.otzar.org/book.asp?143485","תלמוד ירושלמי &lt;מוצל מאש&gt; - 16 כר'")</f>
        <v>תלמוד ירושלמי &lt;מוצל מאש&gt; - 16 כר'</v>
      </c>
    </row>
    <row r="45232" spans="1:6" x14ac:dyDescent="0.2">
      <c r="A45232" t="s">
        <v>68058</v>
      </c>
      <c r="B45232" t="s">
        <v>1097</v>
      </c>
      <c r="C45232" t="s">
        <v>129</v>
      </c>
      <c r="D45232" t="s">
        <v>14</v>
      </c>
      <c r="E45232" t="s">
        <v>1108</v>
      </c>
      <c r="F45232" s="2" t="str">
        <f>HYPERLINK("http://www.otzar.org/book.asp?50004","תלמוד ירושלמי &lt;טקסט&gt;")</f>
        <v>תלמוד ירושלמי &lt;טקסט&gt;</v>
      </c>
    </row>
    <row r="45233" spans="1:6" x14ac:dyDescent="0.2">
      <c r="A45233" t="s">
        <v>68059</v>
      </c>
      <c r="B45233" t="s">
        <v>1097</v>
      </c>
      <c r="C45233" t="s">
        <v>37</v>
      </c>
      <c r="D45233" t="s">
        <v>367</v>
      </c>
      <c r="E45233" t="s">
        <v>1097</v>
      </c>
      <c r="F45233" s="2" t="str">
        <f>HYPERLINK("http://www.otzar.org/book.asp?176112","תלמוד ירושלמי &lt;ירושלים הבנויה&gt; - נדרים")</f>
        <v>תלמוד ירושלמי &lt;ירושלים הבנויה&gt; - נדרים</v>
      </c>
    </row>
    <row r="45234" spans="1:6" x14ac:dyDescent="0.2">
      <c r="A45234" t="s">
        <v>68060</v>
      </c>
      <c r="B45234" t="s">
        <v>68061</v>
      </c>
      <c r="C45234" t="s">
        <v>313</v>
      </c>
      <c r="D45234" t="s">
        <v>486</v>
      </c>
      <c r="E45234" t="s">
        <v>1097</v>
      </c>
      <c r="F45234" s="2" t="str">
        <f>HYPERLINK("http://www.otzar.org/book.asp?165273","תלמוד ירושלמי &lt;השלם&gt; שביעית - א")</f>
        <v>תלמוד ירושלמי &lt;השלם&gt; שביעית - א</v>
      </c>
    </row>
    <row r="45235" spans="1:6" x14ac:dyDescent="0.2">
      <c r="A45235" t="s">
        <v>68062</v>
      </c>
      <c r="B45235" t="s">
        <v>68063</v>
      </c>
      <c r="F45235" s="2" t="str">
        <f>HYPERLINK("http://www.otzar.org/book.asp?623332","תלמוד ירושלמי &lt;ברלין&gt; - 4 כר'")</f>
        <v>תלמוד ירושלמי &lt;ברלין&gt; - 4 כר'</v>
      </c>
    </row>
    <row r="45236" spans="1:6" x14ac:dyDescent="0.2">
      <c r="A45236" t="s">
        <v>68064</v>
      </c>
      <c r="B45236" t="s">
        <v>68065</v>
      </c>
      <c r="C45236" t="s">
        <v>630</v>
      </c>
      <c r="D45236" t="s">
        <v>544</v>
      </c>
      <c r="E45236" t="s">
        <v>1097</v>
      </c>
      <c r="F45236" s="2" t="str">
        <f>HYPERLINK("http://www.otzar.org/book.asp?172730","תלמוד ירושלמי &lt;שקלוב&gt; - זרעים")</f>
        <v>תלמוד ירושלמי &lt;שקלוב&gt; - זרעים</v>
      </c>
    </row>
    <row r="45237" spans="1:6" x14ac:dyDescent="0.2">
      <c r="A45237" t="s">
        <v>68066</v>
      </c>
      <c r="B45237" t="s">
        <v>68067</v>
      </c>
      <c r="C45237" t="s">
        <v>20</v>
      </c>
      <c r="D45237" t="s">
        <v>52</v>
      </c>
      <c r="E45237" t="s">
        <v>1097</v>
      </c>
      <c r="F45237" s="2" t="str">
        <f>HYPERLINK("http://www.otzar.org/book.asp?626174","תלמוד ירושלמי המבואר - פאה")</f>
        <v>תלמוד ירושלמי המבואר - פאה</v>
      </c>
    </row>
    <row r="45238" spans="1:6" x14ac:dyDescent="0.2">
      <c r="A45238" t="s">
        <v>68068</v>
      </c>
      <c r="B45238" t="s">
        <v>68069</v>
      </c>
      <c r="C45238" t="s">
        <v>919</v>
      </c>
      <c r="D45238" t="s">
        <v>14</v>
      </c>
      <c r="E45238" t="s">
        <v>1097</v>
      </c>
      <c r="F45238" s="2" t="str">
        <f>HYPERLINK("http://www.otzar.org/book.asp?100524","תלמוד ירושלמי כת""י ליידן - 4 כר'")</f>
        <v>תלמוד ירושלמי כת"י ליידן - 4 כר'</v>
      </c>
    </row>
    <row r="45239" spans="1:6" x14ac:dyDescent="0.2">
      <c r="A45239" t="s">
        <v>68070</v>
      </c>
      <c r="B45239" t="s">
        <v>14175</v>
      </c>
      <c r="C45239" t="s">
        <v>1208</v>
      </c>
      <c r="D45239" t="s">
        <v>52</v>
      </c>
      <c r="E45239" t="s">
        <v>1097</v>
      </c>
      <c r="F45239" s="2" t="str">
        <f>HYPERLINK("http://www.otzar.org/book.asp?146625","תלמוד ירושלמי מבואר עפ""י גי' הגר""א ושאר מפרשים - 9 כר'")</f>
        <v>תלמוד ירושלמי מבואר עפ"י גי' הגר"א ושאר מפרשים - 9 כר'</v>
      </c>
    </row>
    <row r="45240" spans="1:6" x14ac:dyDescent="0.2">
      <c r="A45240" t="s">
        <v>68071</v>
      </c>
      <c r="B45240" t="s">
        <v>14773</v>
      </c>
      <c r="C45240" t="s">
        <v>176</v>
      </c>
      <c r="D45240" t="s">
        <v>412</v>
      </c>
      <c r="F45240" s="2" t="str">
        <f>HYPERLINK("http://www.otzar.org/book.asp?601351","תלמוד ירושלמי מסכת ביצה &lt;עם פירוש בעל החרדים&gt;")</f>
        <v>תלמוד ירושלמי מסכת ביצה &lt;עם פירוש בעל החרדים&gt;</v>
      </c>
    </row>
    <row r="45241" spans="1:6" x14ac:dyDescent="0.2">
      <c r="A45241" t="s">
        <v>68072</v>
      </c>
      <c r="B45241" t="s">
        <v>68073</v>
      </c>
      <c r="C45241" t="s">
        <v>13</v>
      </c>
      <c r="D45241" t="s">
        <v>14</v>
      </c>
      <c r="E45241" t="s">
        <v>1097</v>
      </c>
      <c r="F45241" s="2" t="str">
        <f>HYPERLINK("http://www.otzar.org/book.asp?145087","תלמוד ירושלמי מסכת ברכות ע""פ מתא דירושלים והגר""ח קנייבסקי")</f>
        <v>תלמוד ירושלמי מסכת ברכות ע"פ מתא דירושלים והגר"ח קנייבסקי</v>
      </c>
    </row>
    <row r="45242" spans="1:6" x14ac:dyDescent="0.2">
      <c r="A45242" t="s">
        <v>68074</v>
      </c>
      <c r="B45242" t="s">
        <v>1358</v>
      </c>
      <c r="C45242" t="s">
        <v>37</v>
      </c>
      <c r="D45242" t="s">
        <v>14</v>
      </c>
      <c r="E45242" t="s">
        <v>1097</v>
      </c>
      <c r="F45242" s="2" t="str">
        <f>HYPERLINK("http://www.otzar.org/book.asp?188860","תלמוד ירושלמי מסכת פאה ע""פ הגר""מ פיינשטיין")</f>
        <v>תלמוד ירושלמי מסכת פאה ע"פ הגר"מ פיינשטיין</v>
      </c>
    </row>
    <row r="45243" spans="1:6" x14ac:dyDescent="0.2">
      <c r="A45243" t="s">
        <v>68075</v>
      </c>
      <c r="B45243" t="s">
        <v>7604</v>
      </c>
      <c r="C45243" t="s">
        <v>523</v>
      </c>
      <c r="D45243" t="s">
        <v>52</v>
      </c>
      <c r="E45243" t="s">
        <v>1097</v>
      </c>
      <c r="F45243" s="2" t="str">
        <f>HYPERLINK("http://www.otzar.org/book.asp?141697","תלמוד ירושלמי מסכת שביעית עם ביאור הגר""ח קנייבסקי")</f>
        <v>תלמוד ירושלמי מסכת שביעית עם ביאור הגר"ח קנייבסקי</v>
      </c>
    </row>
    <row r="45244" spans="1:6" x14ac:dyDescent="0.2">
      <c r="A45244" t="s">
        <v>68076</v>
      </c>
      <c r="B45244" t="s">
        <v>10759</v>
      </c>
      <c r="C45244" t="s">
        <v>523</v>
      </c>
      <c r="D45244" t="s">
        <v>14</v>
      </c>
      <c r="E45244" t="s">
        <v>1097</v>
      </c>
      <c r="F45244" s="2" t="str">
        <f>HYPERLINK("http://www.otzar.org/book.asp?141699","תלמוד ירושלמי מסכת שביעית עם הגהות וביאורי הגר""א")</f>
        <v>תלמוד ירושלמי מסכת שביעית עם הגהות וביאורי הגר"א</v>
      </c>
    </row>
    <row r="45245" spans="1:6" x14ac:dyDescent="0.2">
      <c r="A45245" t="s">
        <v>68077</v>
      </c>
      <c r="B45245" t="s">
        <v>68078</v>
      </c>
      <c r="C45245" t="s">
        <v>20</v>
      </c>
      <c r="D45245" t="s">
        <v>44943</v>
      </c>
      <c r="F45245" s="2" t="str">
        <f>HYPERLINK("http://www.otzar.org/book.asp?169681","תלמוד ירושלמי מתורגם לצרפתית - 6 כר'")</f>
        <v>תלמוד ירושלמי מתורגם לצרפתית - 6 כר'</v>
      </c>
    </row>
    <row r="45246" spans="1:6" x14ac:dyDescent="0.2">
      <c r="A45246" t="s">
        <v>68079</v>
      </c>
      <c r="B45246" t="s">
        <v>1821</v>
      </c>
      <c r="C45246" t="s">
        <v>1954</v>
      </c>
      <c r="D45246" t="s">
        <v>260</v>
      </c>
      <c r="E45246" t="s">
        <v>1097</v>
      </c>
      <c r="F45246" s="2" t="str">
        <f>HYPERLINK("http://www.otzar.org/book.asp?5032","תלמוד ירושלמי סדר זרעים &lt;גירסת הגר""א&gt;")</f>
        <v>תלמוד ירושלמי סדר זרעים &lt;גירסת הגר"א&gt;</v>
      </c>
    </row>
    <row r="45247" spans="1:6" x14ac:dyDescent="0.2">
      <c r="A45247" t="s">
        <v>68080</v>
      </c>
      <c r="B45247" t="s">
        <v>7727</v>
      </c>
      <c r="C45247" t="s">
        <v>189</v>
      </c>
      <c r="D45247" t="s">
        <v>486</v>
      </c>
      <c r="E45247" t="s">
        <v>1097</v>
      </c>
      <c r="F45247" s="2" t="str">
        <f>HYPERLINK("http://www.otzar.org/book.asp?198481","תלמוד ירושלמי ע""פ ארץ הצבי - 15 כר'")</f>
        <v>תלמוד ירושלמי ע"פ ארץ הצבי - 15 כר'</v>
      </c>
    </row>
    <row r="45248" spans="1:6" x14ac:dyDescent="0.2">
      <c r="A45248" t="s">
        <v>68081</v>
      </c>
      <c r="B45248" t="s">
        <v>68082</v>
      </c>
      <c r="C45248" t="s">
        <v>244</v>
      </c>
      <c r="D45248" t="s">
        <v>90</v>
      </c>
      <c r="E45248" t="s">
        <v>1097</v>
      </c>
      <c r="F45248" s="2" t="str">
        <f>HYPERLINK("http://www.otzar.org/book.asp?198379","תלמוד ירושלמי ע""פ לישנא קלילא")</f>
        <v>תלמוד ירושלמי ע"פ לישנא קלילא</v>
      </c>
    </row>
    <row r="45249" spans="1:6" x14ac:dyDescent="0.2">
      <c r="A45249" t="s">
        <v>68083</v>
      </c>
      <c r="B45249" t="s">
        <v>68084</v>
      </c>
      <c r="C45249" t="s">
        <v>1609</v>
      </c>
      <c r="D45249" t="s">
        <v>27</v>
      </c>
      <c r="E45249" t="s">
        <v>1108</v>
      </c>
      <c r="F45249" s="2" t="str">
        <f>HYPERLINK("http://www.otzar.org/book.asp?200146","תלמוד ירושלמי ע""פ ר""ש  סיריליאו &lt;הר אפרים&gt; - שקלים")</f>
        <v>תלמוד ירושלמי ע"פ ר"ש  סיריליאו &lt;הר אפרים&gt; - שקלים</v>
      </c>
    </row>
    <row r="45250" spans="1:6" x14ac:dyDescent="0.2">
      <c r="A45250" t="s">
        <v>68085</v>
      </c>
      <c r="B45250" t="s">
        <v>68086</v>
      </c>
      <c r="C45250" t="s">
        <v>1268</v>
      </c>
      <c r="D45250" t="s">
        <v>27</v>
      </c>
      <c r="E45250" t="s">
        <v>1097</v>
      </c>
      <c r="F45250" s="2" t="str">
        <f>HYPERLINK("http://www.otzar.org/book.asp?151804","תלמוד ירושלמי ע""פ ר""ש סיריליאו - 12 כר'")</f>
        <v>תלמוד ירושלמי ע"פ ר"ש סיריליאו - 12 כר'</v>
      </c>
    </row>
    <row r="45251" spans="1:6" x14ac:dyDescent="0.2">
      <c r="A45251" t="s">
        <v>68087</v>
      </c>
      <c r="B45251" t="s">
        <v>68088</v>
      </c>
      <c r="C45251" t="s">
        <v>411</v>
      </c>
      <c r="D45251" t="s">
        <v>115</v>
      </c>
      <c r="E45251" t="s">
        <v>1097</v>
      </c>
      <c r="F45251" s="2" t="str">
        <f>HYPERLINK("http://www.otzar.org/book.asp?191648","תלמוד ירושלמי ע""פ רינת שושנים - פסחים")</f>
        <v>תלמוד ירושלמי ע"פ רינת שושנים - פסחים</v>
      </c>
    </row>
    <row r="45252" spans="1:6" x14ac:dyDescent="0.2">
      <c r="A45252" t="s">
        <v>68089</v>
      </c>
      <c r="B45252" t="s">
        <v>68090</v>
      </c>
      <c r="C45252" t="s">
        <v>87</v>
      </c>
      <c r="D45252" t="s">
        <v>14</v>
      </c>
      <c r="E45252" t="s">
        <v>1097</v>
      </c>
      <c r="F45252" s="2" t="str">
        <f>HYPERLINK("http://www.otzar.org/book.asp?173684","תלמוד ירושלמי עם פירוש אור יעקב - 16 כר'")</f>
        <v>תלמוד ירושלמי עם פירוש אור יעקב - 16 כר'</v>
      </c>
    </row>
    <row r="45253" spans="1:6" x14ac:dyDescent="0.2">
      <c r="A45253" t="s">
        <v>68091</v>
      </c>
      <c r="B45253" t="s">
        <v>68092</v>
      </c>
      <c r="C45253" t="s">
        <v>23</v>
      </c>
      <c r="D45253" t="s">
        <v>14</v>
      </c>
      <c r="E45253" t="s">
        <v>1097</v>
      </c>
      <c r="F45253" s="2" t="str">
        <f>HYPERLINK("http://www.otzar.org/book.asp?191604","תלמוד ירושלמי עם פירוש אור לישרים - 8 כר'")</f>
        <v>תלמוד ירושלמי עם פירוש אור לישרים - 8 כר'</v>
      </c>
    </row>
    <row r="45254" spans="1:6" x14ac:dyDescent="0.2">
      <c r="A45254" t="s">
        <v>68093</v>
      </c>
      <c r="B45254" t="s">
        <v>68094</v>
      </c>
      <c r="C45254" t="s">
        <v>189</v>
      </c>
      <c r="D45254" t="s">
        <v>14</v>
      </c>
      <c r="E45254" t="s">
        <v>1097</v>
      </c>
      <c r="F45254" s="2" t="str">
        <f>HYPERLINK("http://www.otzar.org/book.asp?28123","תלמוד ירושלמי עם פירוש קב ונקי - 6 כר'")</f>
        <v>תלמוד ירושלמי עם פירוש קב ונקי - 6 כר'</v>
      </c>
    </row>
    <row r="45255" spans="1:6" x14ac:dyDescent="0.2">
      <c r="A45255" t="s">
        <v>68095</v>
      </c>
      <c r="B45255" t="s">
        <v>23082</v>
      </c>
      <c r="C45255" t="s">
        <v>168</v>
      </c>
      <c r="D45255" t="s">
        <v>52</v>
      </c>
      <c r="E45255" t="s">
        <v>1097</v>
      </c>
      <c r="F45255" s="2" t="str">
        <f>HYPERLINK("http://www.otzar.org/book.asp?199775","תלמוד ירושלמי שביעית &lt;מי זיו - 2 כר'")</f>
        <v>תלמוד ירושלמי שביעית &lt;מי זיו - 2 כר'</v>
      </c>
    </row>
    <row r="45256" spans="1:6" x14ac:dyDescent="0.2">
      <c r="A45256" t="s">
        <v>68096</v>
      </c>
      <c r="B45256" t="s">
        <v>68097</v>
      </c>
      <c r="D45256" t="s">
        <v>52</v>
      </c>
      <c r="E45256" t="s">
        <v>1097</v>
      </c>
      <c r="F45256" s="2" t="str">
        <f>HYPERLINK("http://www.otzar.org/book.asp?188855","תלמוד ירושלמי - 29 כר'")</f>
        <v>תלמוד ירושלמי - 29 כר'</v>
      </c>
    </row>
    <row r="45257" spans="1:6" x14ac:dyDescent="0.2">
      <c r="A45257" t="s">
        <v>68098</v>
      </c>
      <c r="B45257" t="s">
        <v>68099</v>
      </c>
      <c r="C45257" t="s">
        <v>482</v>
      </c>
      <c r="D45257" t="s">
        <v>27</v>
      </c>
      <c r="E45257" t="s">
        <v>1108</v>
      </c>
      <c r="F45257" s="2" t="str">
        <f>HYPERLINK("http://www.otzar.org/book.asp?421","תלמוד ירושלמי - 2 כר'")</f>
        <v>תלמוד ירושלמי - 2 כר'</v>
      </c>
    </row>
    <row r="45258" spans="1:6" x14ac:dyDescent="0.2">
      <c r="A45258" t="s">
        <v>1097</v>
      </c>
      <c r="B45258" t="s">
        <v>68100</v>
      </c>
      <c r="C45258" t="s">
        <v>68101</v>
      </c>
      <c r="D45258" t="s">
        <v>49</v>
      </c>
      <c r="E45258" t="s">
        <v>1097</v>
      </c>
      <c r="F45258" s="2" t="str">
        <f>HYPERLINK("http://www.otzar.org/book.asp?438","תלמוד ירושלמי")</f>
        <v>תלמוד ירושלמי</v>
      </c>
    </row>
    <row r="45259" spans="1:6" x14ac:dyDescent="0.2">
      <c r="A45259" t="s">
        <v>68102</v>
      </c>
      <c r="B45259" t="s">
        <v>68065</v>
      </c>
      <c r="C45259" t="s">
        <v>630</v>
      </c>
      <c r="D45259" t="s">
        <v>68103</v>
      </c>
      <c r="E45259" t="s">
        <v>1097</v>
      </c>
      <c r="F45259" s="2" t="str">
        <f>HYPERLINK("http://www.otzar.org/book.asp?174372","תלמוד ירושלמי - זרעים")</f>
        <v>תלמוד ירושלמי - זרעים</v>
      </c>
    </row>
    <row r="45260" spans="1:6" x14ac:dyDescent="0.2">
      <c r="A45260" t="s">
        <v>68104</v>
      </c>
      <c r="B45260" t="s">
        <v>68105</v>
      </c>
      <c r="C45260" t="s">
        <v>68106</v>
      </c>
      <c r="D45260" t="s">
        <v>1419</v>
      </c>
      <c r="E45260" t="s">
        <v>1108</v>
      </c>
      <c r="F45260" s="2" t="str">
        <f>HYPERLINK("http://www.otzar.org/book.asp?9799","תלמוד ירושלמי - 5 כר'")</f>
        <v>תלמוד ירושלמי - 5 כר'</v>
      </c>
    </row>
    <row r="45261" spans="1:6" x14ac:dyDescent="0.2">
      <c r="A45261" t="s">
        <v>68107</v>
      </c>
      <c r="B45261" t="s">
        <v>68108</v>
      </c>
      <c r="C45261" t="s">
        <v>99</v>
      </c>
      <c r="D45261" t="s">
        <v>56</v>
      </c>
      <c r="E45261" t="s">
        <v>1097</v>
      </c>
      <c r="F45261" s="2" t="str">
        <f>HYPERLINK("http://www.otzar.org/book.asp?5014","תלמוד ירושלמי - 7 כר'")</f>
        <v>תלמוד ירושלמי - 7 כר'</v>
      </c>
    </row>
    <row r="45262" spans="1:6" x14ac:dyDescent="0.2">
      <c r="A45262" t="s">
        <v>68109</v>
      </c>
      <c r="B45262" t="s">
        <v>68110</v>
      </c>
      <c r="C45262" t="s">
        <v>46</v>
      </c>
      <c r="D45262" t="s">
        <v>260</v>
      </c>
      <c r="E45262" t="s">
        <v>144</v>
      </c>
      <c r="F45262" s="2" t="str">
        <f>HYPERLINK("http://www.otzar.org/book.asp?179072","תלמוד לעם - תענית")</f>
        <v>תלמוד לעם - תענית</v>
      </c>
    </row>
    <row r="45263" spans="1:6" x14ac:dyDescent="0.2">
      <c r="A45263" t="s">
        <v>68111</v>
      </c>
      <c r="B45263" t="s">
        <v>68112</v>
      </c>
      <c r="C45263" t="s">
        <v>752</v>
      </c>
      <c r="D45263" t="s">
        <v>27</v>
      </c>
      <c r="F45263" s="2" t="str">
        <f>HYPERLINK("http://www.otzar.org/book.asp?164905","תלמוד לשון ערבי")</f>
        <v>תלמוד לשון ערבי</v>
      </c>
    </row>
    <row r="45264" spans="1:6" x14ac:dyDescent="0.2">
      <c r="A45264" t="s">
        <v>68113</v>
      </c>
      <c r="B45264" t="s">
        <v>21874</v>
      </c>
      <c r="C45264" t="s">
        <v>1609</v>
      </c>
      <c r="D45264" t="s">
        <v>14</v>
      </c>
      <c r="E45264" t="s">
        <v>144</v>
      </c>
      <c r="F45264" s="2" t="str">
        <f>HYPERLINK("http://www.otzar.org/book.asp?83576","תלמוד לתלמיד - 3 כר'")</f>
        <v>תלמוד לתלמיד - 3 כר'</v>
      </c>
    </row>
    <row r="45265" spans="1:6" x14ac:dyDescent="0.2">
      <c r="A45265" t="s">
        <v>68114</v>
      </c>
      <c r="B45265" t="s">
        <v>68115</v>
      </c>
      <c r="C45265" t="s">
        <v>919</v>
      </c>
      <c r="D45265" t="s">
        <v>115</v>
      </c>
      <c r="F45265" s="2" t="str">
        <f>HYPERLINK("http://www.otzar.org/book.asp?611075","תלמוד מפורש - 3 כר'")</f>
        <v>תלמוד מפורש - 3 כר'</v>
      </c>
    </row>
    <row r="45266" spans="1:6" x14ac:dyDescent="0.2">
      <c r="A45266" t="s">
        <v>68116</v>
      </c>
      <c r="B45266" t="s">
        <v>68117</v>
      </c>
      <c r="C45266" t="s">
        <v>68118</v>
      </c>
      <c r="D45266" t="s">
        <v>4441</v>
      </c>
      <c r="E45266" t="s">
        <v>2088</v>
      </c>
      <c r="F45266" s="2" t="str">
        <f>HYPERLINK("http://www.otzar.org/book.asp?17574","תלמוד מפורש - 7 כר'")</f>
        <v>תלמוד מפורש - 7 כר'</v>
      </c>
    </row>
    <row r="45267" spans="1:6" x14ac:dyDescent="0.2">
      <c r="A45267" t="s">
        <v>68119</v>
      </c>
      <c r="B45267" t="s">
        <v>513</v>
      </c>
      <c r="C45267" t="s">
        <v>1954</v>
      </c>
      <c r="D45267" t="s">
        <v>27</v>
      </c>
      <c r="E45267" t="s">
        <v>399</v>
      </c>
      <c r="F45267" s="2" t="str">
        <f>HYPERLINK("http://www.otzar.org/book.asp?105551","תלמוד עשר הספירות - 14 כר'")</f>
        <v>תלמוד עשר הספירות - 14 כר'</v>
      </c>
    </row>
    <row r="45268" spans="1:6" x14ac:dyDescent="0.2">
      <c r="A45268" t="s">
        <v>68120</v>
      </c>
      <c r="B45268" t="s">
        <v>405</v>
      </c>
      <c r="C45268" t="s">
        <v>576</v>
      </c>
      <c r="D45268" t="s">
        <v>27</v>
      </c>
      <c r="E45268" t="s">
        <v>399</v>
      </c>
      <c r="F45268" s="2" t="str">
        <f>HYPERLINK("http://www.otzar.org/book.asp?174360","תלמוד עשר הספירות - 2 כר'")</f>
        <v>תלמוד עשר הספירות - 2 כר'</v>
      </c>
    </row>
    <row r="45269" spans="1:6" x14ac:dyDescent="0.2">
      <c r="A45269" t="s">
        <v>68121</v>
      </c>
      <c r="B45269" t="s">
        <v>68122</v>
      </c>
      <c r="C45269" t="s">
        <v>854</v>
      </c>
      <c r="D45269" t="s">
        <v>212</v>
      </c>
      <c r="E45269" t="s">
        <v>219</v>
      </c>
      <c r="F45269" s="2" t="str">
        <f>HYPERLINK("http://www.otzar.org/book.asp?176721","תלמוד קטן")</f>
        <v>תלמוד קטן</v>
      </c>
    </row>
    <row r="45270" spans="1:6" x14ac:dyDescent="0.2">
      <c r="A45270" t="s">
        <v>68123</v>
      </c>
      <c r="B45270" t="s">
        <v>18318</v>
      </c>
      <c r="C45270" t="s">
        <v>189</v>
      </c>
      <c r="D45270" t="s">
        <v>14</v>
      </c>
      <c r="E45270" t="s">
        <v>68124</v>
      </c>
      <c r="F45270" s="2" t="str">
        <f>HYPERLINK("http://www.otzar.org/book.asp?62665","תלמוד רש""י")</f>
        <v>תלמוד רש"י</v>
      </c>
    </row>
    <row r="45271" spans="1:6" x14ac:dyDescent="0.2">
      <c r="A45271" t="s">
        <v>68125</v>
      </c>
      <c r="B45271" t="s">
        <v>68126</v>
      </c>
      <c r="C45271" t="s">
        <v>854</v>
      </c>
      <c r="D45271" t="s">
        <v>56</v>
      </c>
      <c r="E45271" t="s">
        <v>104</v>
      </c>
      <c r="F45271" s="2" t="str">
        <f>HYPERLINK("http://www.otzar.org/book.asp?21040","תלמוד שפת עבר")</f>
        <v>תלמוד שפת עבר</v>
      </c>
    </row>
    <row r="45272" spans="1:6" x14ac:dyDescent="0.2">
      <c r="A45272" t="s">
        <v>68127</v>
      </c>
      <c r="B45272" t="s">
        <v>28461</v>
      </c>
      <c r="C45272" t="s">
        <v>244</v>
      </c>
      <c r="D45272" t="s">
        <v>1156</v>
      </c>
      <c r="F45272" s="2" t="str">
        <f>HYPERLINK("http://www.otzar.org/book.asp?609561","תלמודא דאורייתא")</f>
        <v>תלמודא דאורייתא</v>
      </c>
    </row>
    <row r="45273" spans="1:6" x14ac:dyDescent="0.2">
      <c r="A45273" t="s">
        <v>68128</v>
      </c>
      <c r="B45273" t="s">
        <v>68129</v>
      </c>
      <c r="C45273" t="s">
        <v>103</v>
      </c>
      <c r="D45273" t="s">
        <v>52</v>
      </c>
      <c r="E45273" t="s">
        <v>144</v>
      </c>
      <c r="F45273" s="2" t="str">
        <f>HYPERLINK("http://www.otzar.org/book.asp?151219","תלמודו בידו")</f>
        <v>תלמודו בידו</v>
      </c>
    </row>
    <row r="45274" spans="1:6" x14ac:dyDescent="0.2">
      <c r="A45274" t="s">
        <v>68130</v>
      </c>
      <c r="B45274" t="s">
        <v>68131</v>
      </c>
      <c r="C45274" t="s">
        <v>151</v>
      </c>
      <c r="F45274" s="2" t="str">
        <f>HYPERLINK("http://www.otzar.org/book.asp?622439","תלמודו בידו - 31 כר'")</f>
        <v>תלמודו בידו - 31 כר'</v>
      </c>
    </row>
    <row r="45275" spans="1:6" x14ac:dyDescent="0.2">
      <c r="A45275" t="s">
        <v>68132</v>
      </c>
      <c r="B45275" t="s">
        <v>68133</v>
      </c>
      <c r="C45275" t="s">
        <v>133</v>
      </c>
      <c r="D45275" t="s">
        <v>14</v>
      </c>
      <c r="E45275" t="s">
        <v>202</v>
      </c>
      <c r="F45275" s="2" t="str">
        <f>HYPERLINK("http://www.otzar.org/book.asp?606895","תלמודו בידו - 3 כר'")</f>
        <v>תלמודו בידו - 3 כר'</v>
      </c>
    </row>
    <row r="45276" spans="1:6" x14ac:dyDescent="0.2">
      <c r="A45276" t="s">
        <v>68134</v>
      </c>
      <c r="B45276" t="s">
        <v>68135</v>
      </c>
      <c r="C45276" t="s">
        <v>454</v>
      </c>
      <c r="D45276" t="s">
        <v>52</v>
      </c>
      <c r="E45276" t="s">
        <v>144</v>
      </c>
      <c r="F45276" s="2" t="str">
        <f>HYPERLINK("http://www.otzar.org/book.asp?52975","תלמודו מתקיים בידו - 4 כר'")</f>
        <v>תלמודו מתקיים בידו - 4 כר'</v>
      </c>
    </row>
    <row r="45277" spans="1:6" x14ac:dyDescent="0.2">
      <c r="A45277" t="s">
        <v>68136</v>
      </c>
      <c r="B45277" t="s">
        <v>7237</v>
      </c>
      <c r="C45277" t="s">
        <v>129</v>
      </c>
      <c r="D45277" t="s">
        <v>14</v>
      </c>
      <c r="E45277" t="s">
        <v>15</v>
      </c>
      <c r="F45277" s="2" t="str">
        <f>HYPERLINK("http://www.otzar.org/book.asp?171122","תלמי השדה")</f>
        <v>תלמי השדה</v>
      </c>
    </row>
    <row r="45278" spans="1:6" x14ac:dyDescent="0.2">
      <c r="A45278" t="s">
        <v>68137</v>
      </c>
      <c r="B45278" t="s">
        <v>18790</v>
      </c>
      <c r="C45278" t="s">
        <v>585</v>
      </c>
      <c r="D45278" t="s">
        <v>216</v>
      </c>
      <c r="E45278" t="s">
        <v>226</v>
      </c>
      <c r="F45278" s="2" t="str">
        <f>HYPERLINK("http://www.otzar.org/book.asp?165382","תלמידי הבעש""ט בארץ ישראל")</f>
        <v>תלמידי הבעש"ט בארץ ישראל</v>
      </c>
    </row>
    <row r="45279" spans="1:6" x14ac:dyDescent="0.2">
      <c r="A45279" t="s">
        <v>68138</v>
      </c>
      <c r="B45279" t="s">
        <v>9534</v>
      </c>
      <c r="C45279" t="s">
        <v>20</v>
      </c>
      <c r="D45279" t="s">
        <v>90</v>
      </c>
      <c r="F45279" s="2" t="str">
        <f>HYPERLINK("http://www.otzar.org/book.asp?611120","תלמידי כבני - 2 כר'")</f>
        <v>תלמידי כבני - 2 כר'</v>
      </c>
    </row>
    <row r="45280" spans="1:6" x14ac:dyDescent="0.2">
      <c r="A45280" t="s">
        <v>68139</v>
      </c>
      <c r="B45280" t="s">
        <v>53898</v>
      </c>
      <c r="C45280" t="s">
        <v>111</v>
      </c>
      <c r="D45280" t="s">
        <v>14</v>
      </c>
      <c r="E45280" t="s">
        <v>5580</v>
      </c>
      <c r="F45280" s="2" t="str">
        <f>HYPERLINK("http://www.otzar.org/book.asp?628052","תלמידיהון ותלמידי תלמידיהון")</f>
        <v>תלמידיהון ותלמידי תלמידיהון</v>
      </c>
    </row>
    <row r="45281" spans="1:6" x14ac:dyDescent="0.2">
      <c r="A45281" t="s">
        <v>68140</v>
      </c>
      <c r="B45281" t="s">
        <v>382</v>
      </c>
      <c r="C45281" t="s">
        <v>812</v>
      </c>
      <c r="D45281" t="s">
        <v>6582</v>
      </c>
      <c r="E45281" t="s">
        <v>202</v>
      </c>
      <c r="F45281" s="2" t="str">
        <f>HYPERLINK("http://www.otzar.org/book.asp?20376","תלפיות - א ב")</f>
        <v>תלפיות - א ב</v>
      </c>
    </row>
    <row r="45282" spans="1:6" x14ac:dyDescent="0.2">
      <c r="A45282" t="s">
        <v>68141</v>
      </c>
      <c r="B45282" t="s">
        <v>68142</v>
      </c>
      <c r="C45282" t="s">
        <v>985</v>
      </c>
      <c r="D45282" t="s">
        <v>34161</v>
      </c>
      <c r="E45282" t="s">
        <v>1174</v>
      </c>
      <c r="F45282" s="2" t="str">
        <f>HYPERLINK("http://www.otzar.org/book.asp?167216","תלפיות")</f>
        <v>תלפיות</v>
      </c>
    </row>
    <row r="45283" spans="1:6" x14ac:dyDescent="0.2">
      <c r="A45283" t="s">
        <v>68143</v>
      </c>
      <c r="B45283" t="s">
        <v>13389</v>
      </c>
      <c r="C45283" t="s">
        <v>1246</v>
      </c>
      <c r="D45283" t="s">
        <v>1654</v>
      </c>
      <c r="E45283" t="s">
        <v>119</v>
      </c>
      <c r="F45283" s="2" t="str">
        <f>HYPERLINK("http://www.otzar.org/book.asp?196355","תמונות מן העבר")</f>
        <v>תמונות מן העבר</v>
      </c>
    </row>
    <row r="45284" spans="1:6" x14ac:dyDescent="0.2">
      <c r="A45284" t="s">
        <v>68144</v>
      </c>
      <c r="B45284" t="s">
        <v>68145</v>
      </c>
      <c r="C45284" t="s">
        <v>68146</v>
      </c>
      <c r="D45284" t="s">
        <v>49</v>
      </c>
      <c r="E45284" t="s">
        <v>219</v>
      </c>
      <c r="F45284" s="2" t="str">
        <f>HYPERLINK("http://www.otzar.org/book.asp?196133","תמונות תחנות תפלות ספרד &lt;סידור ספרדים ונציה רפ""ד עם השפעות צנזורה&gt; - 2 כר'")</f>
        <v>תמונות תחנות תפלות ספרד &lt;סידור ספרדים ונציה רפ"ד עם השפעות צנזורה&gt; - 2 כר'</v>
      </c>
    </row>
    <row r="45285" spans="1:6" x14ac:dyDescent="0.2">
      <c r="A45285" t="s">
        <v>68147</v>
      </c>
      <c r="B45285" t="s">
        <v>68145</v>
      </c>
      <c r="C45285" t="s">
        <v>16216</v>
      </c>
      <c r="D45285" t="s">
        <v>49</v>
      </c>
      <c r="E45285" t="s">
        <v>219</v>
      </c>
      <c r="F45285" s="2" t="str">
        <f>HYPERLINK("http://www.otzar.org/book.asp?196130","תמונות תחנות תפלות ספרד &lt;סידור ספרדים ונציה רפ""ד&gt; - 2 כר'")</f>
        <v>תמונות תחנות תפלות ספרד &lt;סידור ספרדים ונציה רפ"ד&gt; - 2 כר'</v>
      </c>
    </row>
    <row r="45286" spans="1:6" x14ac:dyDescent="0.2">
      <c r="A45286" t="s">
        <v>68148</v>
      </c>
      <c r="B45286" t="s">
        <v>39116</v>
      </c>
      <c r="C45286" t="s">
        <v>17</v>
      </c>
      <c r="D45286" t="s">
        <v>52</v>
      </c>
      <c r="E45286" t="s">
        <v>15</v>
      </c>
      <c r="F45286" s="2" t="str">
        <f>HYPERLINK("http://www.otzar.org/book.asp?154775","תמונת האותיות")</f>
        <v>תמונת האותיות</v>
      </c>
    </row>
    <row r="45287" spans="1:6" x14ac:dyDescent="0.2">
      <c r="A45287" t="s">
        <v>68149</v>
      </c>
      <c r="B45287" t="s">
        <v>68150</v>
      </c>
      <c r="C45287" t="s">
        <v>4240</v>
      </c>
      <c r="D45287" t="s">
        <v>2347</v>
      </c>
      <c r="E45287" t="s">
        <v>104</v>
      </c>
      <c r="F45287" s="2" t="str">
        <f>HYPERLINK("http://www.otzar.org/book.asp?13598","תמונת הבית העתיד להבנות במ""ב")</f>
        <v>תמונת הבית העתיד להבנות במ"ב</v>
      </c>
    </row>
    <row r="45288" spans="1:6" x14ac:dyDescent="0.2">
      <c r="A45288" t="s">
        <v>68151</v>
      </c>
      <c r="B45288" t="s">
        <v>68152</v>
      </c>
      <c r="C45288" t="s">
        <v>946</v>
      </c>
      <c r="D45288" t="s">
        <v>41366</v>
      </c>
      <c r="E45288" t="s">
        <v>119</v>
      </c>
      <c r="F45288" s="2" t="str">
        <f>HYPERLINK("http://www.otzar.org/book.asp?61769","תמונת הגדולים")</f>
        <v>תמונת הגדולים</v>
      </c>
    </row>
    <row r="45289" spans="1:6" x14ac:dyDescent="0.2">
      <c r="A45289" t="s">
        <v>68153</v>
      </c>
      <c r="B45289" t="s">
        <v>68154</v>
      </c>
      <c r="C45289" t="s">
        <v>68155</v>
      </c>
      <c r="D45289" t="s">
        <v>52</v>
      </c>
      <c r="F45289" s="2" t="str">
        <f>HYPERLINK("http://www.otzar.org/book.asp?617740","תמורה - 109 כר'")</f>
        <v>תמורה - 109 כר'</v>
      </c>
    </row>
    <row r="45290" spans="1:6" x14ac:dyDescent="0.2">
      <c r="A45290" t="s">
        <v>68156</v>
      </c>
      <c r="B45290" t="s">
        <v>68157</v>
      </c>
      <c r="C45290" t="s">
        <v>23</v>
      </c>
      <c r="D45290" t="s">
        <v>412</v>
      </c>
      <c r="E45290" t="s">
        <v>144</v>
      </c>
      <c r="F45290" s="2" t="str">
        <f>HYPERLINK("http://www.otzar.org/book.asp?198693","תמורת איל - 3 כר'")</f>
        <v>תמורת איל - 3 כר'</v>
      </c>
    </row>
    <row r="45291" spans="1:6" x14ac:dyDescent="0.2">
      <c r="A45291" t="s">
        <v>68158</v>
      </c>
      <c r="B45291" t="s">
        <v>2804</v>
      </c>
      <c r="C45291" t="s">
        <v>395</v>
      </c>
      <c r="D45291" t="s">
        <v>27</v>
      </c>
      <c r="E45291" t="s">
        <v>144</v>
      </c>
      <c r="F45291" s="2" t="str">
        <f>HYPERLINK("http://www.otzar.org/book.asp?106185","תמורת תודה")</f>
        <v>תמורת תודה</v>
      </c>
    </row>
    <row r="45292" spans="1:6" x14ac:dyDescent="0.2">
      <c r="A45292" t="s">
        <v>68159</v>
      </c>
      <c r="B45292" t="s">
        <v>68160</v>
      </c>
      <c r="C45292" t="s">
        <v>189</v>
      </c>
      <c r="D45292" t="s">
        <v>67733</v>
      </c>
      <c r="E45292" t="s">
        <v>786</v>
      </c>
      <c r="F45292" s="2" t="str">
        <f>HYPERLINK("http://www.otzar.org/book.asp?167625","תמיד ישתעשעון")</f>
        <v>תמיד ישתעשעון</v>
      </c>
    </row>
    <row r="45293" spans="1:6" x14ac:dyDescent="0.2">
      <c r="A45293" t="s">
        <v>68161</v>
      </c>
      <c r="B45293" t="s">
        <v>63290</v>
      </c>
      <c r="C45293" t="s">
        <v>151</v>
      </c>
      <c r="D45293" t="s">
        <v>21</v>
      </c>
      <c r="E45293" t="s">
        <v>84</v>
      </c>
      <c r="F45293" s="2" t="str">
        <f>HYPERLINK("http://www.otzar.org/book.asp?621915","תמיד תהלתו בפי")</f>
        <v>תמיד תהלתו בפי</v>
      </c>
    </row>
    <row r="45294" spans="1:6" x14ac:dyDescent="0.2">
      <c r="A45294" t="s">
        <v>68162</v>
      </c>
      <c r="B45294" t="s">
        <v>12346</v>
      </c>
      <c r="C45294" t="s">
        <v>103</v>
      </c>
      <c r="D45294" t="s">
        <v>52</v>
      </c>
      <c r="E45294" t="s">
        <v>15</v>
      </c>
      <c r="F45294" s="2" t="str">
        <f>HYPERLINK("http://www.otzar.org/book.asp?143929","תמידים כסדרם - 5 כר'")</f>
        <v>תמידים כסדרם - 5 כר'</v>
      </c>
    </row>
    <row r="45295" spans="1:6" x14ac:dyDescent="0.2">
      <c r="A45295" t="s">
        <v>68163</v>
      </c>
      <c r="B45295" t="s">
        <v>31582</v>
      </c>
      <c r="C45295" t="s">
        <v>133</v>
      </c>
      <c r="D45295" t="s">
        <v>229</v>
      </c>
      <c r="E45295" t="s">
        <v>803</v>
      </c>
      <c r="F45295" s="2" t="str">
        <f>HYPERLINK("http://www.otzar.org/book.asp?191890","תמידים כסדרם")</f>
        <v>תמידים כסדרם</v>
      </c>
    </row>
    <row r="45296" spans="1:6" x14ac:dyDescent="0.2">
      <c r="A45296" t="s">
        <v>68164</v>
      </c>
      <c r="B45296" t="s">
        <v>68165</v>
      </c>
      <c r="C45296" t="s">
        <v>5257</v>
      </c>
      <c r="D45296" t="s">
        <v>582</v>
      </c>
      <c r="E45296" t="s">
        <v>104</v>
      </c>
      <c r="F45296" s="2" t="str">
        <f>HYPERLINK("http://www.otzar.org/book.asp?189466","תמים דעות")</f>
        <v>תמים דעות</v>
      </c>
    </row>
    <row r="45297" spans="1:6" x14ac:dyDescent="0.2">
      <c r="A45297" t="s">
        <v>68166</v>
      </c>
      <c r="B45297" t="s">
        <v>11501</v>
      </c>
      <c r="C45297" t="s">
        <v>748</v>
      </c>
      <c r="D45297" t="s">
        <v>283</v>
      </c>
      <c r="E45297" t="s">
        <v>154</v>
      </c>
      <c r="F45297" s="2" t="str">
        <f>HYPERLINK("http://www.otzar.org/book.asp?26736","תמים דעים")</f>
        <v>תמים דעים</v>
      </c>
    </row>
    <row r="45298" spans="1:6" x14ac:dyDescent="0.2">
      <c r="A45298" t="s">
        <v>68167</v>
      </c>
      <c r="B45298" t="s">
        <v>41432</v>
      </c>
      <c r="C45298" t="s">
        <v>60271</v>
      </c>
      <c r="D45298" t="s">
        <v>726</v>
      </c>
      <c r="E45298" t="s">
        <v>1847</v>
      </c>
      <c r="F45298" s="2" t="str">
        <f>HYPERLINK("http://www.otzar.org/book.asp?20374","תמים יחדיו - 2 כר'")</f>
        <v>תמים יחדיו - 2 כר'</v>
      </c>
    </row>
    <row r="45299" spans="1:6" x14ac:dyDescent="0.2">
      <c r="A45299" t="s">
        <v>68168</v>
      </c>
      <c r="B45299" t="s">
        <v>16033</v>
      </c>
      <c r="C45299" t="s">
        <v>160</v>
      </c>
      <c r="D45299" t="s">
        <v>27</v>
      </c>
      <c r="E45299" t="s">
        <v>119</v>
      </c>
      <c r="F45299" s="2" t="str">
        <f>HYPERLINK("http://www.otzar.org/book.asp?151589","תמים פעלו")</f>
        <v>תמים פעלו</v>
      </c>
    </row>
    <row r="45300" spans="1:6" x14ac:dyDescent="0.2">
      <c r="A45300" t="s">
        <v>68169</v>
      </c>
      <c r="B45300" t="s">
        <v>2074</v>
      </c>
      <c r="C45300" t="s">
        <v>366</v>
      </c>
      <c r="D45300" t="s">
        <v>14</v>
      </c>
      <c r="F45300" s="2" t="str">
        <f>HYPERLINK("http://www.otzar.org/book.asp?601406","תמים תהיה השלם - 2 כר'")</f>
        <v>תמים תהיה השלם - 2 כר'</v>
      </c>
    </row>
    <row r="45301" spans="1:6" x14ac:dyDescent="0.2">
      <c r="A45301" t="s">
        <v>68170</v>
      </c>
      <c r="B45301" t="s">
        <v>4977</v>
      </c>
      <c r="C45301" t="s">
        <v>20</v>
      </c>
      <c r="D45301" t="s">
        <v>14</v>
      </c>
      <c r="E45301" t="s">
        <v>467</v>
      </c>
      <c r="F45301" s="2" t="str">
        <f>HYPERLINK("http://www.otzar.org/book.asp?153434","תמימות תהיינה")</f>
        <v>תמימות תהיינה</v>
      </c>
    </row>
    <row r="45302" spans="1:6" x14ac:dyDescent="0.2">
      <c r="A45302" t="s">
        <v>68171</v>
      </c>
      <c r="B45302" t="s">
        <v>68172</v>
      </c>
      <c r="C45302" t="s">
        <v>2644</v>
      </c>
      <c r="D45302" t="s">
        <v>726</v>
      </c>
      <c r="F45302" s="2" t="str">
        <f>HYPERLINK("http://www.otzar.org/book.asp?156067","תמימי דרך")</f>
        <v>תמימי דרך</v>
      </c>
    </row>
    <row r="45303" spans="1:6" x14ac:dyDescent="0.2">
      <c r="A45303" t="s">
        <v>68171</v>
      </c>
      <c r="B45303" t="s">
        <v>68173</v>
      </c>
      <c r="C45303" t="s">
        <v>1169</v>
      </c>
      <c r="D45303" t="s">
        <v>27</v>
      </c>
      <c r="E45303" t="s">
        <v>741</v>
      </c>
      <c r="F45303" s="2" t="str">
        <f>HYPERLINK("http://www.otzar.org/book.asp?174548","תמימי דרך")</f>
        <v>תמימי דרך</v>
      </c>
    </row>
    <row r="45304" spans="1:6" x14ac:dyDescent="0.2">
      <c r="A45304" t="s">
        <v>68171</v>
      </c>
      <c r="B45304" t="s">
        <v>68174</v>
      </c>
      <c r="C45304" t="s">
        <v>698</v>
      </c>
      <c r="D45304" t="s">
        <v>68175</v>
      </c>
      <c r="E45304" t="s">
        <v>219</v>
      </c>
      <c r="F45304" s="2" t="str">
        <f>HYPERLINK("http://www.otzar.org/book.asp?169416","תמימי דרך")</f>
        <v>תמימי דרך</v>
      </c>
    </row>
    <row r="45305" spans="1:6" x14ac:dyDescent="0.2">
      <c r="A45305" t="s">
        <v>68176</v>
      </c>
      <c r="B45305" t="s">
        <v>5264</v>
      </c>
      <c r="C45305" t="s">
        <v>558</v>
      </c>
      <c r="D45305" t="s">
        <v>68177</v>
      </c>
      <c r="F45305" s="2" t="str">
        <f>HYPERLINK("http://www.otzar.org/book.asp?620565","תמכין דאורייתא")</f>
        <v>תמכין דאורייתא</v>
      </c>
    </row>
    <row r="45306" spans="1:6" x14ac:dyDescent="0.2">
      <c r="A45306" t="s">
        <v>68178</v>
      </c>
      <c r="B45306" t="s">
        <v>1264</v>
      </c>
      <c r="C45306" t="s">
        <v>313</v>
      </c>
      <c r="D45306" t="s">
        <v>412</v>
      </c>
      <c r="E45306" t="s">
        <v>741</v>
      </c>
      <c r="F45306" s="2" t="str">
        <f>HYPERLINK("http://www.otzar.org/book.asp?145270","תמכין דאורייתא - תולדות מהרצ""א")</f>
        <v>תמכין דאורייתא - תולדות מהרצ"א</v>
      </c>
    </row>
    <row r="45307" spans="1:6" x14ac:dyDescent="0.2">
      <c r="A45307" t="s">
        <v>68179</v>
      </c>
      <c r="B45307" t="s">
        <v>29473</v>
      </c>
      <c r="C45307" t="s">
        <v>20</v>
      </c>
      <c r="D45307" t="s">
        <v>412</v>
      </c>
      <c r="E45307" t="s">
        <v>5860</v>
      </c>
      <c r="F45307" s="2" t="str">
        <f>HYPERLINK("http://www.otzar.org/book.asp?15234","תמצית דברי ימי ישראל")</f>
        <v>תמצית דברי ימי ישראל</v>
      </c>
    </row>
    <row r="45308" spans="1:6" x14ac:dyDescent="0.2">
      <c r="A45308" t="s">
        <v>68180</v>
      </c>
      <c r="B45308" t="s">
        <v>57099</v>
      </c>
      <c r="C45308" t="s">
        <v>68</v>
      </c>
      <c r="D45308" t="s">
        <v>52</v>
      </c>
      <c r="E45308" t="s">
        <v>872</v>
      </c>
      <c r="F45308" s="2" t="str">
        <f>HYPERLINK("http://www.otzar.org/book.asp?155912","תמצית ההלכות - 5 כר'")</f>
        <v>תמצית ההלכות - 5 כר'</v>
      </c>
    </row>
    <row r="45309" spans="1:6" x14ac:dyDescent="0.2">
      <c r="A45309" t="s">
        <v>68181</v>
      </c>
      <c r="B45309" t="s">
        <v>34026</v>
      </c>
      <c r="C45309" t="s">
        <v>129</v>
      </c>
      <c r="D45309" t="s">
        <v>14</v>
      </c>
      <c r="E45309" t="s">
        <v>15</v>
      </c>
      <c r="F45309" s="2" t="str">
        <f>HYPERLINK("http://www.otzar.org/book.asp?62311","תמצית הטור ובית יוסף - 3 כר'")</f>
        <v>תמצית הטור ובית יוסף - 3 כר'</v>
      </c>
    </row>
    <row r="45310" spans="1:6" x14ac:dyDescent="0.2">
      <c r="A45310" t="s">
        <v>68182</v>
      </c>
      <c r="B45310" t="s">
        <v>68183</v>
      </c>
      <c r="C45310" t="s">
        <v>523</v>
      </c>
      <c r="D45310" t="s">
        <v>14</v>
      </c>
      <c r="E45310" t="s">
        <v>130</v>
      </c>
      <c r="F45310" s="2" t="str">
        <f>HYPERLINK("http://www.otzar.org/book.asp?163065","תמצית הלכות בין המצרים")</f>
        <v>תמצית הלכות בין המצרים</v>
      </c>
    </row>
    <row r="45311" spans="1:6" x14ac:dyDescent="0.2">
      <c r="A45311" t="s">
        <v>68184</v>
      </c>
      <c r="B45311" t="s">
        <v>68185</v>
      </c>
      <c r="C45311" t="s">
        <v>366</v>
      </c>
      <c r="D45311" t="s">
        <v>1156</v>
      </c>
      <c r="F45311" s="2" t="str">
        <f>HYPERLINK("http://www.otzar.org/book.asp?612414","תמצית הלכות ריבית")</f>
        <v>תמצית הלכות ריבית</v>
      </c>
    </row>
    <row r="45312" spans="1:6" x14ac:dyDescent="0.2">
      <c r="A45312" t="s">
        <v>68186</v>
      </c>
      <c r="B45312" t="s">
        <v>68187</v>
      </c>
      <c r="C45312" t="s">
        <v>366</v>
      </c>
      <c r="D45312" t="s">
        <v>52</v>
      </c>
      <c r="E45312" t="s">
        <v>144</v>
      </c>
      <c r="F45312" s="2" t="str">
        <f>HYPERLINK("http://www.otzar.org/book.asp?606289","תמצית הסוגיות - בבא בתרא")</f>
        <v>תמצית הסוגיות - בבא בתרא</v>
      </c>
    </row>
    <row r="45313" spans="1:6" x14ac:dyDescent="0.2">
      <c r="A45313" t="s">
        <v>68188</v>
      </c>
      <c r="B45313" t="s">
        <v>12812</v>
      </c>
      <c r="C45313" t="s">
        <v>111</v>
      </c>
      <c r="D45313" t="s">
        <v>14</v>
      </c>
      <c r="E45313" t="s">
        <v>144</v>
      </c>
      <c r="F45313" s="2" t="str">
        <f>HYPERLINK("http://www.otzar.org/book.asp?627401","תמצית השמועה")</f>
        <v>תמצית השמועה</v>
      </c>
    </row>
    <row r="45314" spans="1:6" x14ac:dyDescent="0.2">
      <c r="A45314" t="s">
        <v>68189</v>
      </c>
      <c r="B45314" t="s">
        <v>3669</v>
      </c>
      <c r="C45314" t="s">
        <v>114</v>
      </c>
      <c r="D45314" t="s">
        <v>14</v>
      </c>
      <c r="E45314" t="s">
        <v>144</v>
      </c>
      <c r="F45314" s="2" t="str">
        <f>HYPERLINK("http://www.otzar.org/book.asp?628088","תמצית חולין")</f>
        <v>תמצית חולין</v>
      </c>
    </row>
    <row r="45315" spans="1:6" x14ac:dyDescent="0.2">
      <c r="A45315" t="s">
        <v>68190</v>
      </c>
      <c r="B45315" t="s">
        <v>68191</v>
      </c>
      <c r="C45315" t="s">
        <v>244</v>
      </c>
      <c r="D45315" t="s">
        <v>14</v>
      </c>
      <c r="F45315" s="2" t="str">
        <f>HYPERLINK("http://www.otzar.org/book.asp?611053","תמצית מגילת יוחסין למשפחת גרליץ")</f>
        <v>תמצית מגילת יוחסין למשפחת גרליץ</v>
      </c>
    </row>
    <row r="45316" spans="1:6" x14ac:dyDescent="0.2">
      <c r="A45316" t="s">
        <v>68192</v>
      </c>
      <c r="B45316" t="s">
        <v>68193</v>
      </c>
      <c r="C45316" t="s">
        <v>111</v>
      </c>
      <c r="D45316" t="s">
        <v>11626</v>
      </c>
      <c r="E45316" t="s">
        <v>144</v>
      </c>
      <c r="F45316" s="2" t="str">
        <f>HYPERLINK("http://www.otzar.org/book.asp?619696","תמצית מסקנות הדף - קידושין")</f>
        <v>תמצית מסקנות הדף - קידושין</v>
      </c>
    </row>
    <row r="45317" spans="1:6" x14ac:dyDescent="0.2">
      <c r="A45317" t="s">
        <v>68194</v>
      </c>
      <c r="B45317" t="s">
        <v>20398</v>
      </c>
      <c r="C45317" t="s">
        <v>244</v>
      </c>
      <c r="D45317" t="s">
        <v>21</v>
      </c>
      <c r="E45317" t="s">
        <v>1097</v>
      </c>
      <c r="F45317" s="2" t="str">
        <f>HYPERLINK("http://www.otzar.org/book.asp?600050","תמצית סוגיות הירושלמי")</f>
        <v>תמצית סוגיות הירושלמי</v>
      </c>
    </row>
    <row r="45318" spans="1:6" x14ac:dyDescent="0.2">
      <c r="A45318" t="s">
        <v>68195</v>
      </c>
      <c r="B45318" t="s">
        <v>68196</v>
      </c>
      <c r="C45318" t="s">
        <v>466</v>
      </c>
      <c r="D45318" t="s">
        <v>52</v>
      </c>
      <c r="E45318" t="s">
        <v>1211</v>
      </c>
      <c r="F45318" s="2" t="str">
        <f>HYPERLINK("http://www.otzar.org/book.asp?50525","תמצית סוגיות - 19 כר'")</f>
        <v>תמצית סוגיות - 19 כר'</v>
      </c>
    </row>
    <row r="45319" spans="1:6" x14ac:dyDescent="0.2">
      <c r="A45319" t="s">
        <v>68197</v>
      </c>
      <c r="B45319" t="s">
        <v>11908</v>
      </c>
      <c r="C45319" t="s">
        <v>129</v>
      </c>
      <c r="D45319" t="s">
        <v>14</v>
      </c>
      <c r="F45319" s="2" t="str">
        <f>HYPERLINK("http://www.otzar.org/book.asp?157553","תמצית עניני חשן משפט - 2 כר'")</f>
        <v>תמצית עניני חשן משפט - 2 כר'</v>
      </c>
    </row>
    <row r="45320" spans="1:6" x14ac:dyDescent="0.2">
      <c r="A45320" t="s">
        <v>68198</v>
      </c>
      <c r="B45320" t="s">
        <v>206</v>
      </c>
      <c r="C45320" t="s">
        <v>23</v>
      </c>
      <c r="D45320" t="s">
        <v>152</v>
      </c>
      <c r="F45320" s="2" t="str">
        <f>HYPERLINK("http://www.otzar.org/book.asp?609957","תמצית - 6 כר'")</f>
        <v>תמצית - 6 כר'</v>
      </c>
    </row>
    <row r="45321" spans="1:6" x14ac:dyDescent="0.2">
      <c r="A45321" t="s">
        <v>68199</v>
      </c>
      <c r="B45321" t="s">
        <v>16079</v>
      </c>
      <c r="C45321" t="s">
        <v>609</v>
      </c>
      <c r="D45321" t="s">
        <v>34547</v>
      </c>
      <c r="E45321" t="s">
        <v>68200</v>
      </c>
      <c r="F45321" s="2" t="str">
        <f>HYPERLINK("http://www.otzar.org/book.asp?103803","תמר דבורה")</f>
        <v>תמר דבורה</v>
      </c>
    </row>
    <row r="45322" spans="1:6" x14ac:dyDescent="0.2">
      <c r="A45322" t="s">
        <v>68201</v>
      </c>
      <c r="B45322" t="s">
        <v>68202</v>
      </c>
      <c r="C45322" t="s">
        <v>1208</v>
      </c>
      <c r="D45322" t="s">
        <v>52</v>
      </c>
      <c r="F45322" s="2" t="str">
        <f>HYPERLINK("http://www.otzar.org/book.asp?157172","תמר יהושע")</f>
        <v>תמר יהושע</v>
      </c>
    </row>
    <row r="45323" spans="1:6" x14ac:dyDescent="0.2">
      <c r="A45323" t="s">
        <v>68203</v>
      </c>
      <c r="B45323" t="s">
        <v>24510</v>
      </c>
      <c r="C45323" t="s">
        <v>427</v>
      </c>
      <c r="D45323" t="s">
        <v>115</v>
      </c>
      <c r="E45323" t="s">
        <v>15</v>
      </c>
      <c r="F45323" s="2" t="str">
        <f>HYPERLINK("http://www.otzar.org/book.asp?106357","תמר שלמה")</f>
        <v>תמר שלמה</v>
      </c>
    </row>
    <row r="45324" spans="1:6" x14ac:dyDescent="0.2">
      <c r="A45324" t="s">
        <v>68204</v>
      </c>
      <c r="B45324" t="s">
        <v>68205</v>
      </c>
      <c r="C45324" t="s">
        <v>6041</v>
      </c>
      <c r="D45324" t="s">
        <v>1411</v>
      </c>
      <c r="E45324" t="s">
        <v>219</v>
      </c>
      <c r="F45324" s="2" t="str">
        <f>HYPERLINK("http://www.otzar.org/book.asp?163361","תמרים הניעו ראש")</f>
        <v>תמרים הניעו ראש</v>
      </c>
    </row>
    <row r="45325" spans="1:6" x14ac:dyDescent="0.2">
      <c r="A45325" t="s">
        <v>68206</v>
      </c>
      <c r="B45325" t="s">
        <v>68207</v>
      </c>
      <c r="C45325" t="s">
        <v>1859</v>
      </c>
      <c r="D45325" t="s">
        <v>49</v>
      </c>
      <c r="F45325" s="2" t="str">
        <f>HYPERLINK("http://www.otzar.org/book.asp?152790","תמת ישרים - 2 כר'")</f>
        <v>תמת ישרים - 2 כר'</v>
      </c>
    </row>
    <row r="45326" spans="1:6" x14ac:dyDescent="0.2">
      <c r="A45326" t="s">
        <v>68208</v>
      </c>
      <c r="B45326" t="s">
        <v>552</v>
      </c>
      <c r="C45326" t="s">
        <v>356</v>
      </c>
      <c r="D45326" t="s">
        <v>115</v>
      </c>
      <c r="E45326" t="s">
        <v>202</v>
      </c>
      <c r="F45326" s="2" t="str">
        <f>HYPERLINK("http://www.otzar.org/book.asp?13537","תמת מנחם [שיינין]")</f>
        <v>תמת מנחם [שיינין]</v>
      </c>
    </row>
    <row r="45327" spans="1:6" x14ac:dyDescent="0.2">
      <c r="A45327" t="s">
        <v>68209</v>
      </c>
      <c r="B45327" t="s">
        <v>9009</v>
      </c>
      <c r="C45327" t="s">
        <v>20</v>
      </c>
      <c r="D45327" t="s">
        <v>90</v>
      </c>
      <c r="E45327" t="s">
        <v>246</v>
      </c>
      <c r="F45327" s="2" t="str">
        <f>HYPERLINK("http://www.otzar.org/book.asp?161560","תן חלק לשבעה וגם לשמונה")</f>
        <v>תן חלק לשבעה וגם לשמונה</v>
      </c>
    </row>
    <row r="45328" spans="1:6" x14ac:dyDescent="0.2">
      <c r="A45328" t="s">
        <v>68210</v>
      </c>
      <c r="B45328" t="s">
        <v>9447</v>
      </c>
      <c r="C45328" t="s">
        <v>51</v>
      </c>
      <c r="D45328" t="s">
        <v>14</v>
      </c>
      <c r="E45328" t="s">
        <v>241</v>
      </c>
      <c r="F45328" s="2" t="str">
        <f>HYPERLINK("http://www.otzar.org/book.asp?198022","תן תודה")</f>
        <v>תן תודה</v>
      </c>
    </row>
    <row r="45329" spans="1:6" x14ac:dyDescent="0.2">
      <c r="A45329" t="s">
        <v>68211</v>
      </c>
      <c r="B45329" t="s">
        <v>68212</v>
      </c>
      <c r="C45329" t="s">
        <v>129</v>
      </c>
      <c r="D45329" t="s">
        <v>14</v>
      </c>
      <c r="E45329" t="s">
        <v>158</v>
      </c>
      <c r="F45329" s="2" t="str">
        <f>HYPERLINK("http://www.otzar.org/book.asp?50003","תנ""ך &lt;טקסט&gt;")</f>
        <v>תנ"ך &lt;טקסט&gt;</v>
      </c>
    </row>
    <row r="45330" spans="1:6" x14ac:dyDescent="0.2">
      <c r="A45330" t="s">
        <v>68213</v>
      </c>
      <c r="B45330" t="s">
        <v>158</v>
      </c>
      <c r="C45330" t="s">
        <v>20</v>
      </c>
      <c r="D45330" t="s">
        <v>2347</v>
      </c>
      <c r="E45330" t="s">
        <v>158</v>
      </c>
      <c r="F45330" s="2" t="str">
        <f>HYPERLINK("http://www.otzar.org/book.asp?101435","תנ""ך &lt;עם אותיות הכינויים חלולות&gt;")</f>
        <v>תנ"ך &lt;עם אותיות הכינויים חלולות&gt;</v>
      </c>
    </row>
    <row r="45331" spans="1:6" x14ac:dyDescent="0.2">
      <c r="A45331" t="s">
        <v>68214</v>
      </c>
      <c r="B45331" t="s">
        <v>68215</v>
      </c>
      <c r="C45331" t="s">
        <v>118</v>
      </c>
      <c r="D45331" t="s">
        <v>1640</v>
      </c>
      <c r="E45331" t="s">
        <v>158</v>
      </c>
      <c r="F45331" s="2" t="str">
        <f>HYPERLINK("http://www.otzar.org/book.asp?619375","תנ""ך ישראל")</f>
        <v>תנ"ך ישראל</v>
      </c>
    </row>
    <row r="45332" spans="1:6" x14ac:dyDescent="0.2">
      <c r="A45332" t="s">
        <v>68216</v>
      </c>
      <c r="B45332" t="s">
        <v>68216</v>
      </c>
      <c r="F45332" s="2" t="str">
        <f>HYPERLINK("http://www.otzar.org/book.asp?617600","תנ""ך ליסבון רמ""ג")</f>
        <v>תנ"ך ליסבון רמ"ג</v>
      </c>
    </row>
    <row r="45333" spans="1:6" x14ac:dyDescent="0.2">
      <c r="A45333" t="s">
        <v>68217</v>
      </c>
      <c r="B45333" t="s">
        <v>16099</v>
      </c>
      <c r="C45333" t="s">
        <v>20</v>
      </c>
      <c r="D45333" t="s">
        <v>14</v>
      </c>
      <c r="F45333" s="2" t="str">
        <f>HYPERLINK("http://www.otzar.org/book.asp?613759","תנ""ך ע""פ דעת סופרים &lt;מהדורה ישנה&gt; - 23 כר'")</f>
        <v>תנ"ך ע"פ דעת סופרים &lt;מהדורה ישנה&gt; - 23 כר'</v>
      </c>
    </row>
    <row r="45334" spans="1:6" x14ac:dyDescent="0.2">
      <c r="A45334" t="s">
        <v>68218</v>
      </c>
      <c r="B45334" t="s">
        <v>68219</v>
      </c>
      <c r="C45334" t="s">
        <v>185</v>
      </c>
      <c r="D45334" t="s">
        <v>14</v>
      </c>
      <c r="E45334" t="s">
        <v>158</v>
      </c>
      <c r="F45334" s="2" t="str">
        <f>HYPERLINK("http://www.otzar.org/book.asp?629380","תנ""ך עם המסורה - פרשת בראשית")</f>
        <v>תנ"ך עם המסורה - פרשת בראשית</v>
      </c>
    </row>
    <row r="45335" spans="1:6" x14ac:dyDescent="0.2">
      <c r="A45335" t="s">
        <v>68220</v>
      </c>
      <c r="B45335" t="s">
        <v>68221</v>
      </c>
      <c r="C45335" t="s">
        <v>698</v>
      </c>
      <c r="D45335" t="s">
        <v>412</v>
      </c>
      <c r="E45335" t="s">
        <v>158</v>
      </c>
      <c r="F45335" s="2" t="str">
        <f>HYPERLINK("http://www.otzar.org/book.asp?619669","תנ""ך עם תרגום יהואש - 2 כר'")</f>
        <v>תנ"ך עם תרגום יהואש - 2 כר'</v>
      </c>
    </row>
    <row r="45336" spans="1:6" x14ac:dyDescent="0.2">
      <c r="A45336" t="s">
        <v>68222</v>
      </c>
      <c r="B45336" t="s">
        <v>68223</v>
      </c>
      <c r="C45336" t="s">
        <v>13</v>
      </c>
      <c r="D45336" t="s">
        <v>21</v>
      </c>
      <c r="E45336" t="s">
        <v>158</v>
      </c>
      <c r="F45336" s="2" t="str">
        <f>HYPERLINK("http://www.otzar.org/book.asp?192380","תנ""ך קורן")</f>
        <v>תנ"ך קורן</v>
      </c>
    </row>
    <row r="45337" spans="1:6" x14ac:dyDescent="0.2">
      <c r="A45337" t="s">
        <v>68224</v>
      </c>
      <c r="B45337" t="s">
        <v>68225</v>
      </c>
      <c r="C45337" t="s">
        <v>1284</v>
      </c>
      <c r="D45337" t="s">
        <v>27</v>
      </c>
      <c r="E45337" t="s">
        <v>43</v>
      </c>
      <c r="F45337" s="2" t="str">
        <f>HYPERLINK("http://www.otzar.org/book.asp?713","תנא דבי אליהו &lt;ישועות יעקב, בן יחיאל&gt; - 2 כר'")</f>
        <v>תנא דבי אליהו &lt;ישועות יעקב, בן יחיאל&gt; - 2 כר'</v>
      </c>
    </row>
    <row r="45338" spans="1:6" x14ac:dyDescent="0.2">
      <c r="A45338" t="s">
        <v>68226</v>
      </c>
      <c r="B45338" t="s">
        <v>68225</v>
      </c>
      <c r="C45338" t="s">
        <v>1885</v>
      </c>
      <c r="D45338" t="s">
        <v>726</v>
      </c>
      <c r="E45338" t="s">
        <v>21174</v>
      </c>
      <c r="F45338" s="2" t="str">
        <f>HYPERLINK("http://www.otzar.org/book.asp?100689","תנא דבי אליהו &lt;ישועות יעקב, טובי חיים&gt;")</f>
        <v>תנא דבי אליהו &lt;ישועות יעקב, טובי חיים&gt;</v>
      </c>
    </row>
    <row r="45339" spans="1:6" x14ac:dyDescent="0.2">
      <c r="A45339" t="s">
        <v>68227</v>
      </c>
      <c r="B45339" t="s">
        <v>68225</v>
      </c>
      <c r="C45339" t="s">
        <v>558</v>
      </c>
      <c r="D45339" t="s">
        <v>283</v>
      </c>
      <c r="E45339" t="s">
        <v>43</v>
      </c>
      <c r="F45339" s="2" t="str">
        <f>HYPERLINK("http://www.otzar.org/book.asp?16070","תנא דבי אליהו &lt;ישועות יעקב, רמזי אש&gt;")</f>
        <v>תנא דבי אליהו &lt;ישועות יעקב, רמזי אש&gt;</v>
      </c>
    </row>
    <row r="45340" spans="1:6" x14ac:dyDescent="0.2">
      <c r="A45340" t="s">
        <v>68228</v>
      </c>
      <c r="B45340" t="s">
        <v>68225</v>
      </c>
      <c r="C45340" t="s">
        <v>1124</v>
      </c>
      <c r="D45340" t="s">
        <v>283</v>
      </c>
      <c r="E45340" t="s">
        <v>43</v>
      </c>
      <c r="F45340" s="2" t="str">
        <f>HYPERLINK("http://www.otzar.org/book.asp?105151","תנא דבי אליהו &lt;ישועות יעקב&gt;")</f>
        <v>תנא דבי אליהו &lt;ישועות יעקב&gt;</v>
      </c>
    </row>
    <row r="45341" spans="1:6" x14ac:dyDescent="0.2">
      <c r="A45341" t="s">
        <v>68229</v>
      </c>
      <c r="B45341" t="s">
        <v>68225</v>
      </c>
      <c r="C45341" t="s">
        <v>482</v>
      </c>
      <c r="D45341" t="s">
        <v>27</v>
      </c>
      <c r="E45341" t="s">
        <v>43</v>
      </c>
      <c r="F45341" s="2" t="str">
        <f>HYPERLINK("http://www.otzar.org/book.asp?9884","תנא דבי אליהו &lt;רמתים צופים&gt;")</f>
        <v>תנא דבי אליהו &lt;רמתים צופים&gt;</v>
      </c>
    </row>
    <row r="45342" spans="1:6" x14ac:dyDescent="0.2">
      <c r="A45342" t="s">
        <v>68230</v>
      </c>
      <c r="B45342" t="s">
        <v>15380</v>
      </c>
      <c r="C45342" t="s">
        <v>6784</v>
      </c>
      <c r="D45342" t="s">
        <v>56</v>
      </c>
      <c r="E45342" t="s">
        <v>43</v>
      </c>
      <c r="F45342" s="2" t="str">
        <f>HYPERLINK("http://www.otzar.org/book.asp?105152","תנא דבי אליהו &lt;מענה אליהו&gt;")</f>
        <v>תנא דבי אליהו &lt;מענה אליהו&gt;</v>
      </c>
    </row>
    <row r="45343" spans="1:6" x14ac:dyDescent="0.2">
      <c r="A45343" t="s">
        <v>68231</v>
      </c>
      <c r="B45343" t="s">
        <v>68232</v>
      </c>
      <c r="C45343" t="s">
        <v>266</v>
      </c>
      <c r="D45343" t="s">
        <v>283</v>
      </c>
      <c r="E45343" t="s">
        <v>43</v>
      </c>
      <c r="F45343" s="2" t="str">
        <f>HYPERLINK("http://www.otzar.org/book.asp?6064","תנא דבי אליהו &lt;מאורי אש, ישועות יעקב&gt;")</f>
        <v>תנא דבי אליהו &lt;מאורי אש, ישועות יעקב&gt;</v>
      </c>
    </row>
    <row r="45344" spans="1:6" x14ac:dyDescent="0.2">
      <c r="A45344" t="s">
        <v>68233</v>
      </c>
      <c r="B45344" t="s">
        <v>68234</v>
      </c>
      <c r="C45344" t="s">
        <v>366</v>
      </c>
      <c r="D45344" t="s">
        <v>52</v>
      </c>
      <c r="F45344" s="2" t="str">
        <f>HYPERLINK("http://www.otzar.org/book.asp?610735","תנא דבי אליהו &lt;משנת אליהו&gt;")</f>
        <v>תנא דבי אליהו &lt;משנת אליהו&gt;</v>
      </c>
    </row>
    <row r="45345" spans="1:6" x14ac:dyDescent="0.2">
      <c r="A45345" t="s">
        <v>68235</v>
      </c>
      <c r="B45345" t="s">
        <v>68236</v>
      </c>
      <c r="C45345" t="s">
        <v>1425</v>
      </c>
      <c r="D45345" t="s">
        <v>49</v>
      </c>
      <c r="E45345" t="s">
        <v>43</v>
      </c>
      <c r="F45345" s="2" t="str">
        <f>HYPERLINK("http://www.otzar.org/book.asp?106613","תנא דבי אליהו &lt;דפו""ר&gt;")</f>
        <v>תנא דבי אליהו &lt;דפו"ר&gt;</v>
      </c>
    </row>
    <row r="45346" spans="1:6" x14ac:dyDescent="0.2">
      <c r="A45346" t="s">
        <v>68237</v>
      </c>
      <c r="B45346" t="s">
        <v>68238</v>
      </c>
      <c r="C45346" t="s">
        <v>4705</v>
      </c>
      <c r="D45346" t="s">
        <v>90</v>
      </c>
      <c r="E45346" t="s">
        <v>43</v>
      </c>
      <c r="F45346" s="2" t="str">
        <f>HYPERLINK("http://www.otzar.org/book.asp?740","תנא דבי אליהו זוטא בנוסחא וסדר אחר")</f>
        <v>תנא דבי אליהו זוטא בנוסחא וסדר אחר</v>
      </c>
    </row>
    <row r="45347" spans="1:6" x14ac:dyDescent="0.2">
      <c r="A45347" t="s">
        <v>68239</v>
      </c>
      <c r="B45347" t="s">
        <v>1821</v>
      </c>
      <c r="C45347" t="s">
        <v>3695</v>
      </c>
      <c r="D45347" t="s">
        <v>7059</v>
      </c>
      <c r="E45347" t="s">
        <v>158</v>
      </c>
      <c r="F45347" s="2" t="str">
        <f>HYPERLINK("http://www.otzar.org/book.asp?614599","תנא דבי אליהו - משלי ע""פ הגר""א")</f>
        <v>תנא דבי אליהו - משלי ע"פ הגר"א</v>
      </c>
    </row>
    <row r="45348" spans="1:6" x14ac:dyDescent="0.2">
      <c r="A45348" t="s">
        <v>68240</v>
      </c>
      <c r="B45348" t="s">
        <v>14827</v>
      </c>
      <c r="C45348" t="s">
        <v>244</v>
      </c>
      <c r="D45348" t="s">
        <v>21</v>
      </c>
      <c r="E45348" t="s">
        <v>15</v>
      </c>
      <c r="F45348" s="2" t="str">
        <f>HYPERLINK("http://www.otzar.org/book.asp?602085","תנא דבי אליהו - תשע""ז")</f>
        <v>תנא דבי אליהו - תשע"ז</v>
      </c>
    </row>
    <row r="45349" spans="1:6" x14ac:dyDescent="0.2">
      <c r="A45349" t="s">
        <v>68241</v>
      </c>
      <c r="B45349" t="s">
        <v>68242</v>
      </c>
      <c r="C45349" t="s">
        <v>8446</v>
      </c>
      <c r="D45349" t="s">
        <v>27</v>
      </c>
      <c r="E45349" t="s">
        <v>43</v>
      </c>
      <c r="F45349" s="2" t="str">
        <f>HYPERLINK("http://www.otzar.org/book.asp?15476","תנא דבי אליהו - 3 כר'")</f>
        <v>תנא דבי אליהו - 3 כר'</v>
      </c>
    </row>
    <row r="45350" spans="1:6" x14ac:dyDescent="0.2">
      <c r="A45350" t="s">
        <v>68238</v>
      </c>
      <c r="B45350" t="s">
        <v>68243</v>
      </c>
      <c r="C45350" t="s">
        <v>4462</v>
      </c>
      <c r="D45350" t="s">
        <v>60</v>
      </c>
      <c r="E45350" t="s">
        <v>3736</v>
      </c>
      <c r="F45350" s="2" t="str">
        <f>HYPERLINK("http://www.otzar.org/book.asp?146950","תנא דבי אליהו")</f>
        <v>תנא דבי אליהו</v>
      </c>
    </row>
    <row r="45351" spans="1:6" x14ac:dyDescent="0.2">
      <c r="A45351" t="s">
        <v>68238</v>
      </c>
      <c r="B45351" t="s">
        <v>68244</v>
      </c>
      <c r="C45351" t="s">
        <v>156</v>
      </c>
      <c r="D45351" t="s">
        <v>56</v>
      </c>
      <c r="E45351" t="s">
        <v>43</v>
      </c>
      <c r="F45351" s="2" t="str">
        <f>HYPERLINK("http://www.otzar.org/book.asp?23474","תנא דבי אליהו")</f>
        <v>תנא דבי אליהו</v>
      </c>
    </row>
    <row r="45352" spans="1:6" x14ac:dyDescent="0.2">
      <c r="A45352" t="s">
        <v>68245</v>
      </c>
      <c r="B45352" t="s">
        <v>7048</v>
      </c>
      <c r="C45352" t="s">
        <v>87</v>
      </c>
      <c r="D45352" t="s">
        <v>216</v>
      </c>
      <c r="E45352" t="s">
        <v>119</v>
      </c>
      <c r="F45352" s="2" t="str">
        <f>HYPERLINK("http://www.otzar.org/book.asp?154923","תנא דבי רבי ישמעאל")</f>
        <v>תנא דבי רבי ישמעאל</v>
      </c>
    </row>
    <row r="45353" spans="1:6" x14ac:dyDescent="0.2">
      <c r="A45353" t="s">
        <v>68246</v>
      </c>
      <c r="B45353" t="s">
        <v>8127</v>
      </c>
      <c r="C45353" t="s">
        <v>5991</v>
      </c>
      <c r="D45353" t="s">
        <v>212</v>
      </c>
      <c r="E45353" t="s">
        <v>559</v>
      </c>
      <c r="F45353" s="2" t="str">
        <f>HYPERLINK("http://www.otzar.org/book.asp?101986","תנא ושייר")</f>
        <v>תנא ושייר</v>
      </c>
    </row>
    <row r="45354" spans="1:6" x14ac:dyDescent="0.2">
      <c r="A45354" t="s">
        <v>68247</v>
      </c>
      <c r="B45354" t="s">
        <v>34744</v>
      </c>
      <c r="C45354" t="s">
        <v>1650</v>
      </c>
      <c r="D45354" t="s">
        <v>535</v>
      </c>
      <c r="E45354" t="s">
        <v>241</v>
      </c>
      <c r="F45354" s="2" t="str">
        <f>HYPERLINK("http://www.otzar.org/book.asp?103802","תנאי הנפש להשגת החסידות")</f>
        <v>תנאי הנפש להשגת החסידות</v>
      </c>
    </row>
    <row r="45355" spans="1:6" x14ac:dyDescent="0.2">
      <c r="A45355" t="s">
        <v>68248</v>
      </c>
      <c r="B45355" t="s">
        <v>3286</v>
      </c>
      <c r="C45355" t="s">
        <v>37</v>
      </c>
      <c r="D45355" t="s">
        <v>52</v>
      </c>
      <c r="F45355" s="2" t="str">
        <f>HYPERLINK("http://www.otzar.org/book.asp?612575","תנאים טובים")</f>
        <v>תנאים טובים</v>
      </c>
    </row>
    <row r="45356" spans="1:6" x14ac:dyDescent="0.2">
      <c r="A45356" t="s">
        <v>68249</v>
      </c>
      <c r="B45356" t="s">
        <v>3768</v>
      </c>
      <c r="C45356" t="s">
        <v>454</v>
      </c>
      <c r="D45356" t="s">
        <v>52</v>
      </c>
      <c r="E45356" t="s">
        <v>241</v>
      </c>
      <c r="F45356" s="2" t="str">
        <f>HYPERLINK("http://www.otzar.org/book.asp?173613","תנה בני לבך לי - 2 כר'")</f>
        <v>תנה בני לבך לי - 2 כר'</v>
      </c>
    </row>
    <row r="45357" spans="1:6" x14ac:dyDescent="0.2">
      <c r="A45357" t="s">
        <v>68250</v>
      </c>
      <c r="B45357" t="s">
        <v>686</v>
      </c>
      <c r="C45357" t="s">
        <v>111</v>
      </c>
      <c r="D45357" t="s">
        <v>52</v>
      </c>
      <c r="F45357" s="2" t="str">
        <f>HYPERLINK("http://www.otzar.org/book.asp?623804","תנה הודך")</f>
        <v>תנה הודך</v>
      </c>
    </row>
    <row r="45358" spans="1:6" x14ac:dyDescent="0.2">
      <c r="A45358" t="s">
        <v>68251</v>
      </c>
      <c r="B45358" t="s">
        <v>63996</v>
      </c>
      <c r="C45358" t="s">
        <v>1619</v>
      </c>
      <c r="D45358" t="s">
        <v>412</v>
      </c>
      <c r="E45358" t="s">
        <v>213</v>
      </c>
      <c r="F45358" s="2" t="str">
        <f>HYPERLINK("http://www.otzar.org/book.asp?23744","תנו כבוד לתורה")</f>
        <v>תנו כבוד לתורה</v>
      </c>
    </row>
    <row r="45359" spans="1:6" x14ac:dyDescent="0.2">
      <c r="A45359" t="s">
        <v>68252</v>
      </c>
      <c r="B45359" t="s">
        <v>43686</v>
      </c>
      <c r="F45359" s="2" t="str">
        <f>HYPERLINK("http://www.otzar.org/book.asp?615981","תנו מבי מדרשא - ז")</f>
        <v>תנו מבי מדרשא - ז</v>
      </c>
    </row>
    <row r="45360" spans="1:6" x14ac:dyDescent="0.2">
      <c r="A45360" t="s">
        <v>68253</v>
      </c>
      <c r="B45360" t="s">
        <v>68254</v>
      </c>
      <c r="C45360" t="s">
        <v>71</v>
      </c>
      <c r="D45360" t="s">
        <v>16149</v>
      </c>
      <c r="E45360" t="s">
        <v>202</v>
      </c>
      <c r="F45360" s="2" t="str">
        <f>HYPERLINK("http://www.otzar.org/book.asp?624539","תנו רבנן - 3 כר'")</f>
        <v>תנו רבנן - 3 כר'</v>
      </c>
    </row>
    <row r="45361" spans="1:6" x14ac:dyDescent="0.2">
      <c r="A45361" t="s">
        <v>68255</v>
      </c>
      <c r="B45361" t="s">
        <v>54889</v>
      </c>
      <c r="C45361" t="s">
        <v>151</v>
      </c>
      <c r="D45361" t="s">
        <v>14</v>
      </c>
      <c r="E45361" t="s">
        <v>4022</v>
      </c>
      <c r="F45361" s="2" t="str">
        <f>HYPERLINK("http://www.otzar.org/book.asp?611450","תנו רבנן - חנוכה")</f>
        <v>תנו רבנן - חנוכה</v>
      </c>
    </row>
    <row r="45362" spans="1:6" x14ac:dyDescent="0.2">
      <c r="A45362" t="s">
        <v>68256</v>
      </c>
      <c r="B45362" t="s">
        <v>21442</v>
      </c>
      <c r="C45362" t="s">
        <v>37</v>
      </c>
      <c r="D45362" t="s">
        <v>21</v>
      </c>
      <c r="F45362" s="2" t="str">
        <f>HYPERLINK("http://www.otzar.org/book.asp?194600","תנו רבנן - מסכת כלים א")</f>
        <v>תנו רבנן - מסכת כלים א</v>
      </c>
    </row>
    <row r="45363" spans="1:6" x14ac:dyDescent="0.2">
      <c r="A45363" t="s">
        <v>68257</v>
      </c>
      <c r="B45363" t="s">
        <v>18117</v>
      </c>
      <c r="C45363" t="s">
        <v>454</v>
      </c>
      <c r="D45363" t="s">
        <v>52</v>
      </c>
      <c r="E45363" t="s">
        <v>154</v>
      </c>
      <c r="F45363" s="2" t="str">
        <f>HYPERLINK("http://www.otzar.org/book.asp?25551","תנובות ברוך &lt;שו""ת&gt;")</f>
        <v>תנובות ברוך &lt;שו"ת&gt;</v>
      </c>
    </row>
    <row r="45364" spans="1:6" x14ac:dyDescent="0.2">
      <c r="A45364" t="s">
        <v>68258</v>
      </c>
      <c r="B45364" t="s">
        <v>18117</v>
      </c>
      <c r="C45364" t="s">
        <v>427</v>
      </c>
      <c r="D45364" t="s">
        <v>14</v>
      </c>
      <c r="E45364" t="s">
        <v>467</v>
      </c>
      <c r="F45364" s="2" t="str">
        <f>HYPERLINK("http://www.otzar.org/book.asp?25552","תנובות ברוך - 9 כר'")</f>
        <v>תנובות ברוך - 9 כר'</v>
      </c>
    </row>
    <row r="45365" spans="1:6" x14ac:dyDescent="0.2">
      <c r="A45365" t="s">
        <v>68259</v>
      </c>
      <c r="B45365" t="s">
        <v>68260</v>
      </c>
      <c r="C45365" t="s">
        <v>244</v>
      </c>
      <c r="D45365" t="s">
        <v>412</v>
      </c>
      <c r="E45365" t="s">
        <v>2418</v>
      </c>
      <c r="F45365" s="2" t="str">
        <f>HYPERLINK("http://www.otzar.org/book.asp?608513","תנובות ברוך - נר ברוך, זכרון ברוך")</f>
        <v>תנובות ברוך - נר ברוך, זכרון ברוך</v>
      </c>
    </row>
    <row r="45366" spans="1:6" x14ac:dyDescent="0.2">
      <c r="A45366" t="s">
        <v>68261</v>
      </c>
      <c r="B45366" t="s">
        <v>5092</v>
      </c>
      <c r="C45366" t="s">
        <v>17</v>
      </c>
      <c r="D45366" t="s">
        <v>14</v>
      </c>
      <c r="E45366" t="s">
        <v>144</v>
      </c>
      <c r="F45366" s="2" t="str">
        <f>HYPERLINK("http://www.otzar.org/book.asp?144755","תנובות השדה - 2 כר'")</f>
        <v>תנובות השדה - 2 כר'</v>
      </c>
    </row>
    <row r="45367" spans="1:6" x14ac:dyDescent="0.2">
      <c r="A45367" t="s">
        <v>68262</v>
      </c>
      <c r="B45367" t="s">
        <v>68263</v>
      </c>
      <c r="C45367" t="s">
        <v>176</v>
      </c>
      <c r="D45367" t="s">
        <v>9426</v>
      </c>
      <c r="E45367" t="s">
        <v>2091</v>
      </c>
      <c r="F45367" s="2" t="str">
        <f>HYPERLINK("http://www.otzar.org/book.asp?162923","תנובות שדה - 108 כר'")</f>
        <v>תנובות שדה - 108 כר'</v>
      </c>
    </row>
    <row r="45368" spans="1:6" x14ac:dyDescent="0.2">
      <c r="A45368" t="s">
        <v>68264</v>
      </c>
      <c r="B45368" t="s">
        <v>36992</v>
      </c>
      <c r="C45368" t="s">
        <v>624</v>
      </c>
      <c r="D45368" t="s">
        <v>52</v>
      </c>
      <c r="E45368" t="s">
        <v>144</v>
      </c>
      <c r="F45368" s="2" t="str">
        <f>HYPERLINK("http://www.otzar.org/book.asp?25903","תנובות שדי - 2 כר'")</f>
        <v>תנובות שדי - 2 כר'</v>
      </c>
    </row>
    <row r="45369" spans="1:6" x14ac:dyDescent="0.2">
      <c r="A45369" t="s">
        <v>68265</v>
      </c>
      <c r="B45369" t="s">
        <v>68266</v>
      </c>
      <c r="C45369" t="s">
        <v>61125</v>
      </c>
      <c r="D45369" t="s">
        <v>68267</v>
      </c>
      <c r="E45369" t="s">
        <v>20725</v>
      </c>
      <c r="F45369" s="2" t="str">
        <f>HYPERLINK("http://www.otzar.org/book.asp?64036","תנובת יהודה")</f>
        <v>תנובת יהודה</v>
      </c>
    </row>
    <row r="45370" spans="1:6" x14ac:dyDescent="0.2">
      <c r="A45370" t="s">
        <v>68268</v>
      </c>
      <c r="B45370" t="s">
        <v>68269</v>
      </c>
      <c r="C45370" t="s">
        <v>438</v>
      </c>
      <c r="D45370" t="s">
        <v>2362</v>
      </c>
      <c r="E45370" t="s">
        <v>144</v>
      </c>
      <c r="F45370" s="2" t="str">
        <f>HYPERLINK("http://www.otzar.org/book.asp?144774","תנובת ציון")</f>
        <v>תנובת ציון</v>
      </c>
    </row>
    <row r="45371" spans="1:6" x14ac:dyDescent="0.2">
      <c r="A45371" t="s">
        <v>68270</v>
      </c>
      <c r="B45371" t="s">
        <v>68271</v>
      </c>
      <c r="C45371" t="s">
        <v>366</v>
      </c>
      <c r="D45371" t="s">
        <v>90</v>
      </c>
      <c r="E45371" t="s">
        <v>144</v>
      </c>
      <c r="F45371" s="2" t="str">
        <f>HYPERLINK("http://www.otzar.org/book.asp?630623","תנובת קציר")</f>
        <v>תנובת קציר</v>
      </c>
    </row>
    <row r="45372" spans="1:6" x14ac:dyDescent="0.2">
      <c r="A45372" t="s">
        <v>68272</v>
      </c>
      <c r="B45372" t="s">
        <v>4995</v>
      </c>
      <c r="C45372" t="s">
        <v>956</v>
      </c>
      <c r="D45372" t="s">
        <v>4996</v>
      </c>
      <c r="E45372" t="s">
        <v>104</v>
      </c>
      <c r="F45372" s="2" t="str">
        <f>HYPERLINK("http://www.otzar.org/book.asp?172958","תנובת שדה")</f>
        <v>תנובת שדה</v>
      </c>
    </row>
    <row r="45373" spans="1:6" x14ac:dyDescent="0.2">
      <c r="A45373" t="s">
        <v>68273</v>
      </c>
      <c r="B45373" t="s">
        <v>49116</v>
      </c>
      <c r="C45373" t="s">
        <v>286</v>
      </c>
      <c r="D45373" t="s">
        <v>16802</v>
      </c>
      <c r="E45373" t="s">
        <v>172</v>
      </c>
      <c r="F45373" s="2" t="str">
        <f>HYPERLINK("http://www.otzar.org/book.asp?63097","תנובת שדי - 2 כר'")</f>
        <v>תנובת שדי - 2 כר'</v>
      </c>
    </row>
    <row r="45374" spans="1:6" x14ac:dyDescent="0.2">
      <c r="A45374" t="s">
        <v>68274</v>
      </c>
      <c r="B45374" t="s">
        <v>68275</v>
      </c>
      <c r="C45374" t="s">
        <v>13</v>
      </c>
      <c r="D45374" t="s">
        <v>21</v>
      </c>
      <c r="E45374" t="s">
        <v>119</v>
      </c>
      <c r="F45374" s="2" t="str">
        <f>HYPERLINK("http://www.otzar.org/book.asp?191589","תנועה בחרבות")</f>
        <v>תנועה בחרבות</v>
      </c>
    </row>
    <row r="45375" spans="1:6" x14ac:dyDescent="0.2">
      <c r="A45375" t="s">
        <v>68276</v>
      </c>
      <c r="B45375" t="s">
        <v>60157</v>
      </c>
      <c r="C45375" t="s">
        <v>244</v>
      </c>
      <c r="D45375" t="s">
        <v>14</v>
      </c>
      <c r="E45375" t="s">
        <v>241</v>
      </c>
      <c r="F45375" s="2" t="str">
        <f>HYPERLINK("http://www.otzar.org/book.asp?606234","תנועת המוסר &lt;מהדורה חדשה&gt; - 5 כר'")</f>
        <v>תנועת המוסר &lt;מהדורה חדשה&gt; - 5 כר'</v>
      </c>
    </row>
    <row r="45376" spans="1:6" x14ac:dyDescent="0.2">
      <c r="A45376" t="s">
        <v>68277</v>
      </c>
      <c r="B45376" t="s">
        <v>60157</v>
      </c>
      <c r="C45376" t="s">
        <v>68278</v>
      </c>
      <c r="D45376" t="s">
        <v>260</v>
      </c>
      <c r="F45376" s="2" t="str">
        <f>HYPERLINK("http://www.otzar.org/book.asp?155889","תנועת המוסר - 5 כר'")</f>
        <v>תנועת המוסר - 5 כר'</v>
      </c>
    </row>
    <row r="45377" spans="1:6" x14ac:dyDescent="0.2">
      <c r="A45377" t="s">
        <v>68279</v>
      </c>
      <c r="B45377" t="s">
        <v>155</v>
      </c>
      <c r="C45377" t="s">
        <v>1458</v>
      </c>
      <c r="D45377" t="s">
        <v>157</v>
      </c>
      <c r="E45377" t="s">
        <v>474</v>
      </c>
      <c r="F45377" s="2" t="str">
        <f>HYPERLINK("http://www.otzar.org/book.asp?7309","תנופה חיים")</f>
        <v>תנופה חיים</v>
      </c>
    </row>
    <row r="45378" spans="1:6" x14ac:dyDescent="0.2">
      <c r="A45378" t="s">
        <v>68280</v>
      </c>
      <c r="B45378" t="s">
        <v>26652</v>
      </c>
      <c r="C45378" t="s">
        <v>908</v>
      </c>
      <c r="D45378" t="s">
        <v>27</v>
      </c>
      <c r="E45378" t="s">
        <v>16263</v>
      </c>
      <c r="F45378" s="2" t="str">
        <f>HYPERLINK("http://www.otzar.org/book.asp?7114","תנופת אהרן")</f>
        <v>תנופת אהרן</v>
      </c>
    </row>
    <row r="45379" spans="1:6" x14ac:dyDescent="0.2">
      <c r="A45379" t="s">
        <v>68281</v>
      </c>
      <c r="B45379" t="s">
        <v>12962</v>
      </c>
      <c r="C45379" t="s">
        <v>411</v>
      </c>
      <c r="D45379" t="s">
        <v>52</v>
      </c>
      <c r="F45379" s="2" t="str">
        <f>HYPERLINK("http://www.otzar.org/book.asp?85895","תנופת העומר")</f>
        <v>תנופת העומר</v>
      </c>
    </row>
    <row r="45380" spans="1:6" x14ac:dyDescent="0.2">
      <c r="A45380" t="s">
        <v>68282</v>
      </c>
      <c r="B45380" t="s">
        <v>26628</v>
      </c>
      <c r="C45380" t="s">
        <v>63</v>
      </c>
      <c r="D45380" t="s">
        <v>14</v>
      </c>
      <c r="E45380" t="s">
        <v>14523</v>
      </c>
      <c r="F45380" s="2" t="str">
        <f>HYPERLINK("http://www.otzar.org/book.asp?9033","תנופת זהב")</f>
        <v>תנופת זהב</v>
      </c>
    </row>
    <row r="45381" spans="1:6" x14ac:dyDescent="0.2">
      <c r="A45381" t="s">
        <v>68283</v>
      </c>
      <c r="B45381" t="s">
        <v>68284</v>
      </c>
      <c r="C45381" t="s">
        <v>506</v>
      </c>
      <c r="D45381" t="s">
        <v>27</v>
      </c>
      <c r="E45381" t="s">
        <v>234</v>
      </c>
      <c r="F45381" s="2" t="str">
        <f>HYPERLINK("http://www.otzar.org/book.asp?188688","תנחומא בר יצחק")</f>
        <v>תנחומא בר יצחק</v>
      </c>
    </row>
    <row r="45382" spans="1:6" x14ac:dyDescent="0.2">
      <c r="A45382" t="s">
        <v>68285</v>
      </c>
      <c r="B45382" t="s">
        <v>68286</v>
      </c>
      <c r="C45382" t="s">
        <v>1323</v>
      </c>
      <c r="D45382" t="s">
        <v>1324</v>
      </c>
      <c r="F45382" s="2" t="str">
        <f>HYPERLINK("http://www.otzar.org/book.asp?622184","תנחומא הנקרא ילמדנו")</f>
        <v>תנחומא הנקרא ילמדנו</v>
      </c>
    </row>
    <row r="45383" spans="1:6" x14ac:dyDescent="0.2">
      <c r="A45383" t="s">
        <v>68287</v>
      </c>
      <c r="B45383" t="s">
        <v>10603</v>
      </c>
      <c r="C45383" t="s">
        <v>68288</v>
      </c>
      <c r="D45383" t="s">
        <v>76</v>
      </c>
      <c r="E45383" t="s">
        <v>158</v>
      </c>
      <c r="F45383" s="2" t="str">
        <f>HYPERLINK("http://www.otzar.org/book.asp?28360","תנחומות אל")</f>
        <v>תנחומות אל</v>
      </c>
    </row>
    <row r="45384" spans="1:6" x14ac:dyDescent="0.2">
      <c r="A45384" t="s">
        <v>68289</v>
      </c>
      <c r="B45384" t="s">
        <v>6847</v>
      </c>
      <c r="C45384" t="s">
        <v>103</v>
      </c>
      <c r="D45384" t="s">
        <v>14</v>
      </c>
      <c r="E45384" t="s">
        <v>140</v>
      </c>
      <c r="F45384" s="2" t="str">
        <f>HYPERLINK("http://www.otzar.org/book.asp?154042","תנחומיך ישעשעו נפשי - טאלנא")</f>
        <v>תנחומיך ישעשעו נפשי - טאלנא</v>
      </c>
    </row>
    <row r="45385" spans="1:6" x14ac:dyDescent="0.2">
      <c r="A45385" t="s">
        <v>68290</v>
      </c>
      <c r="B45385" t="s">
        <v>68291</v>
      </c>
      <c r="C45385" t="s">
        <v>111</v>
      </c>
      <c r="D45385" t="s">
        <v>14</v>
      </c>
      <c r="F45385" s="2" t="str">
        <f>HYPERLINK("http://www.otzar.org/book.asp?623013","תנחומיך ישעשעו נפשי")</f>
        <v>תנחומיך ישעשעו נפשי</v>
      </c>
    </row>
    <row r="45386" spans="1:6" x14ac:dyDescent="0.2">
      <c r="A45386" t="s">
        <v>68292</v>
      </c>
      <c r="B45386" t="s">
        <v>68293</v>
      </c>
      <c r="C45386" t="s">
        <v>124</v>
      </c>
      <c r="D45386" t="s">
        <v>412</v>
      </c>
      <c r="E45386" t="s">
        <v>15</v>
      </c>
      <c r="F45386" s="2" t="str">
        <f>HYPERLINK("http://www.otzar.org/book.asp?196563","תניא רבתי &lt;פרי ישורון&gt; - 2 כר'")</f>
        <v>תניא רבתי &lt;פרי ישורון&gt; - 2 כר'</v>
      </c>
    </row>
    <row r="45387" spans="1:6" x14ac:dyDescent="0.2">
      <c r="A45387" t="s">
        <v>68294</v>
      </c>
      <c r="B45387" t="s">
        <v>10358</v>
      </c>
      <c r="C45387" t="s">
        <v>1177</v>
      </c>
      <c r="D45387" t="s">
        <v>283</v>
      </c>
      <c r="E45387" t="s">
        <v>13950</v>
      </c>
      <c r="F45387" s="2" t="str">
        <f>HYPERLINK("http://www.otzar.org/book.asp?6152","תניא רבתי")</f>
        <v>תניא רבתי</v>
      </c>
    </row>
    <row r="45388" spans="1:6" x14ac:dyDescent="0.2">
      <c r="A45388" t="s">
        <v>68295</v>
      </c>
      <c r="B45388" t="s">
        <v>56000</v>
      </c>
      <c r="C45388" t="s">
        <v>114</v>
      </c>
      <c r="D45388" t="s">
        <v>412</v>
      </c>
      <c r="E45388" t="s">
        <v>15</v>
      </c>
      <c r="F45388" s="2" t="str">
        <f>HYPERLINK("http://www.otzar.org/book.asp?600775","תספורת הזקן במספרים וסם")</f>
        <v>תספורת הזקן במספרים וסם</v>
      </c>
    </row>
    <row r="45389" spans="1:6" x14ac:dyDescent="0.2">
      <c r="A45389" t="s">
        <v>68296</v>
      </c>
      <c r="B45389" t="s">
        <v>40790</v>
      </c>
      <c r="C45389" t="s">
        <v>558</v>
      </c>
      <c r="D45389" t="s">
        <v>1081</v>
      </c>
      <c r="E45389" t="s">
        <v>15</v>
      </c>
      <c r="F45389" s="2" t="str">
        <f>HYPERLINK("http://www.otzar.org/book.asp?52082","תספורת הזקן")</f>
        <v>תספורת הזקן</v>
      </c>
    </row>
    <row r="45390" spans="1:6" x14ac:dyDescent="0.2">
      <c r="A45390" t="s">
        <v>68297</v>
      </c>
      <c r="B45390" t="s">
        <v>68298</v>
      </c>
      <c r="C45390" t="s">
        <v>180</v>
      </c>
      <c r="D45390" t="s">
        <v>3161</v>
      </c>
      <c r="E45390" t="s">
        <v>119</v>
      </c>
      <c r="F45390" s="2" t="str">
        <f>HYPERLINK("http://www.otzar.org/book.asp?604290","תעודה על עלילת דם בירושלים ב-1870")</f>
        <v>תעודה על עלילת דם בירושלים ב-1870</v>
      </c>
    </row>
    <row r="45391" spans="1:6" x14ac:dyDescent="0.2">
      <c r="A45391" t="s">
        <v>68299</v>
      </c>
      <c r="B45391" t="s">
        <v>68300</v>
      </c>
      <c r="C45391" t="s">
        <v>3840</v>
      </c>
      <c r="D45391" t="s">
        <v>68301</v>
      </c>
      <c r="F45391" s="2" t="str">
        <f>HYPERLINK("http://www.otzar.org/book.asp?614660","תעודות לתולדות הקהלות היהודיות בפולין")</f>
        <v>תעודות לתולדות הקהלות היהודיות בפולין</v>
      </c>
    </row>
    <row r="45392" spans="1:6" x14ac:dyDescent="0.2">
      <c r="A45392" t="s">
        <v>68302</v>
      </c>
      <c r="B45392" t="s">
        <v>68303</v>
      </c>
      <c r="C45392" t="s">
        <v>15870</v>
      </c>
      <c r="D45392" t="s">
        <v>7163</v>
      </c>
      <c r="E45392" t="s">
        <v>154</v>
      </c>
      <c r="F45392" s="2" t="str">
        <f>HYPERLINK("http://www.otzar.org/book.asp?141050","תעודת שלמה")</f>
        <v>תעודת שלמה</v>
      </c>
    </row>
    <row r="45393" spans="1:6" x14ac:dyDescent="0.2">
      <c r="A45393" t="s">
        <v>68304</v>
      </c>
      <c r="B45393" t="s">
        <v>68305</v>
      </c>
      <c r="C45393" t="s">
        <v>68</v>
      </c>
      <c r="D45393" t="s">
        <v>3560</v>
      </c>
      <c r="E45393" t="s">
        <v>104</v>
      </c>
      <c r="F45393" s="2" t="str">
        <f>HYPERLINK("http://www.otzar.org/book.asp?165106","תעיתי כשה אובד")</f>
        <v>תעיתי כשה אובד</v>
      </c>
    </row>
    <row r="45394" spans="1:6" x14ac:dyDescent="0.2">
      <c r="A45394" t="s">
        <v>68306</v>
      </c>
      <c r="B45394" t="s">
        <v>68307</v>
      </c>
      <c r="C45394" t="s">
        <v>68308</v>
      </c>
      <c r="D45394" t="s">
        <v>49</v>
      </c>
      <c r="E45394" t="s">
        <v>399</v>
      </c>
      <c r="F45394" s="2" t="str">
        <f>HYPERLINK("http://www.otzar.org/book.asp?63894","תעלומות ומקורות החכמה - 2 כר'")</f>
        <v>תעלומות ומקורות החכמה - 2 כר'</v>
      </c>
    </row>
    <row r="45395" spans="1:6" x14ac:dyDescent="0.2">
      <c r="A45395" t="s">
        <v>68309</v>
      </c>
      <c r="B45395" t="s">
        <v>16104</v>
      </c>
      <c r="C45395" t="s">
        <v>1047</v>
      </c>
      <c r="D45395" t="s">
        <v>6238</v>
      </c>
      <c r="E45395" t="s">
        <v>43</v>
      </c>
      <c r="F45395" s="2" t="str">
        <f>HYPERLINK("http://www.otzar.org/book.asp?200323","תעלומות חכמה")</f>
        <v>תעלומות חכמה</v>
      </c>
    </row>
    <row r="45396" spans="1:6" x14ac:dyDescent="0.2">
      <c r="A45396" t="s">
        <v>68310</v>
      </c>
      <c r="B45396" t="s">
        <v>206</v>
      </c>
      <c r="C45396" t="s">
        <v>20</v>
      </c>
      <c r="D45396" t="s">
        <v>1156</v>
      </c>
      <c r="E45396" t="s">
        <v>144</v>
      </c>
      <c r="F45396" s="2" t="str">
        <f>HYPERLINK("http://www.otzar.org/book.asp?602775","תעלומות חכמה - סוכה")</f>
        <v>תעלומות חכמה - סוכה</v>
      </c>
    </row>
    <row r="45397" spans="1:6" x14ac:dyDescent="0.2">
      <c r="A45397" t="s">
        <v>68311</v>
      </c>
      <c r="B45397" t="s">
        <v>68312</v>
      </c>
      <c r="C45397" t="s">
        <v>68313</v>
      </c>
      <c r="D45397" t="s">
        <v>280</v>
      </c>
      <c r="E45397" t="s">
        <v>993</v>
      </c>
      <c r="F45397" s="2" t="str">
        <f>HYPERLINK("http://www.otzar.org/book.asp?103804","תעלומות חכמה - א ב")</f>
        <v>תעלומות חכמה - א ב</v>
      </c>
    </row>
    <row r="45398" spans="1:6" x14ac:dyDescent="0.2">
      <c r="A45398" t="s">
        <v>68314</v>
      </c>
      <c r="B45398" t="s">
        <v>23687</v>
      </c>
      <c r="C45398" t="s">
        <v>68315</v>
      </c>
      <c r="D45398" t="s">
        <v>212</v>
      </c>
      <c r="E45398" t="s">
        <v>791</v>
      </c>
      <c r="F45398" s="2" t="str">
        <f>HYPERLINK("http://www.otzar.org/book.asp?9478","תעלומות לב - 4 כר'")</f>
        <v>תעלומות לב - 4 כר'</v>
      </c>
    </row>
    <row r="45399" spans="1:6" x14ac:dyDescent="0.2">
      <c r="A45399" t="s">
        <v>68316</v>
      </c>
      <c r="B45399" t="s">
        <v>8159</v>
      </c>
      <c r="C45399" t="s">
        <v>37</v>
      </c>
      <c r="D45399" t="s">
        <v>52</v>
      </c>
      <c r="E45399" t="s">
        <v>104</v>
      </c>
      <c r="F45399" s="2" t="str">
        <f>HYPERLINK("http://www.otzar.org/book.asp?602892","תעלומות מהחי")</f>
        <v>תעלומות מהחי</v>
      </c>
    </row>
    <row r="45400" spans="1:6" x14ac:dyDescent="0.2">
      <c r="A45400" t="s">
        <v>68317</v>
      </c>
      <c r="B45400" t="s">
        <v>4747</v>
      </c>
      <c r="C45400" t="s">
        <v>1437</v>
      </c>
      <c r="D45400" t="s">
        <v>4269</v>
      </c>
      <c r="E45400" t="s">
        <v>15</v>
      </c>
      <c r="F45400" s="2" t="str">
        <f>HYPERLINK("http://www.otzar.org/book.asp?151637","תעלומות סופרים")</f>
        <v>תעלומות סופרים</v>
      </c>
    </row>
    <row r="45401" spans="1:6" x14ac:dyDescent="0.2">
      <c r="A45401" t="s">
        <v>68318</v>
      </c>
      <c r="B45401" t="s">
        <v>8183</v>
      </c>
      <c r="C45401" t="s">
        <v>482</v>
      </c>
      <c r="D45401" t="s">
        <v>27</v>
      </c>
      <c r="E45401" t="s">
        <v>733</v>
      </c>
      <c r="F45401" s="2" t="str">
        <f>HYPERLINK("http://www.otzar.org/book.asp?151593","תעלומת ספר")</f>
        <v>תעלומת ספר</v>
      </c>
    </row>
    <row r="45402" spans="1:6" x14ac:dyDescent="0.2">
      <c r="A45402" t="s">
        <v>68319</v>
      </c>
      <c r="B45402" t="s">
        <v>68320</v>
      </c>
      <c r="C45402" t="s">
        <v>151</v>
      </c>
      <c r="D45402" t="s">
        <v>152</v>
      </c>
      <c r="F45402" s="2" t="str">
        <f>HYPERLINK("http://www.otzar.org/book.asp?615984","תעלוץ קריה - פסח")</f>
        <v>תעלוץ קריה - פסח</v>
      </c>
    </row>
    <row r="45403" spans="1:6" x14ac:dyDescent="0.2">
      <c r="A45403" t="s">
        <v>68321</v>
      </c>
      <c r="B45403" t="s">
        <v>5207</v>
      </c>
      <c r="C45403" t="s">
        <v>68322</v>
      </c>
      <c r="D45403" t="s">
        <v>68323</v>
      </c>
      <c r="F45403" s="2" t="str">
        <f>HYPERLINK("http://www.otzar.org/book.asp?614584","תעלמות חכמה - 3 כר'")</f>
        <v>תעלמות חכמה - 3 כר'</v>
      </c>
    </row>
    <row r="45404" spans="1:6" x14ac:dyDescent="0.2">
      <c r="A45404" t="s">
        <v>68324</v>
      </c>
      <c r="B45404" t="s">
        <v>17835</v>
      </c>
      <c r="C45404" t="s">
        <v>244</v>
      </c>
      <c r="D45404" t="s">
        <v>14</v>
      </c>
      <c r="E45404" t="s">
        <v>1517</v>
      </c>
      <c r="F45404" s="2" t="str">
        <f>HYPERLINK("http://www.otzar.org/book.asp?606074","תענה אמונים - 2 כר'")</f>
        <v>תענה אמונים - 2 כר'</v>
      </c>
    </row>
    <row r="45405" spans="1:6" x14ac:dyDescent="0.2">
      <c r="A45405" t="s">
        <v>68325</v>
      </c>
      <c r="B45405" t="s">
        <v>68326</v>
      </c>
      <c r="C45405" t="s">
        <v>462</v>
      </c>
      <c r="D45405" t="s">
        <v>283</v>
      </c>
      <c r="E45405" t="s">
        <v>68327</v>
      </c>
      <c r="F45405" s="2" t="str">
        <f>HYPERLINK("http://www.otzar.org/book.asp?7109","תענוג שבת - 2 כר'")</f>
        <v>תענוג שבת - 2 כר'</v>
      </c>
    </row>
    <row r="45406" spans="1:6" x14ac:dyDescent="0.2">
      <c r="A45406" t="s">
        <v>68328</v>
      </c>
      <c r="B45406" t="s">
        <v>206</v>
      </c>
      <c r="C45406" t="s">
        <v>20</v>
      </c>
      <c r="D45406" t="s">
        <v>657</v>
      </c>
      <c r="E45406" t="s">
        <v>158</v>
      </c>
      <c r="F45406" s="2" t="str">
        <f>HYPERLINK("http://www.otzar.org/book.asp?165030","תענוגי תורה")</f>
        <v>תענוגי תורה</v>
      </c>
    </row>
    <row r="45407" spans="1:6" x14ac:dyDescent="0.2">
      <c r="A45407" t="s">
        <v>68329</v>
      </c>
      <c r="B45407" t="s">
        <v>68330</v>
      </c>
      <c r="C45407" t="s">
        <v>1268</v>
      </c>
      <c r="D45407" t="s">
        <v>52</v>
      </c>
      <c r="E45407" t="s">
        <v>130</v>
      </c>
      <c r="F45407" s="2" t="str">
        <f>HYPERLINK("http://www.otzar.org/book.asp?615935","תענית בכורים וסעודת מצוה בערב פסח")</f>
        <v>תענית בכורים וסעודת מצוה בערב פסח</v>
      </c>
    </row>
    <row r="45408" spans="1:6" x14ac:dyDescent="0.2">
      <c r="A45408" t="s">
        <v>68331</v>
      </c>
      <c r="B45408" t="s">
        <v>29136</v>
      </c>
      <c r="C45408" t="s">
        <v>87</v>
      </c>
      <c r="D45408" t="s">
        <v>14</v>
      </c>
      <c r="E45408" t="s">
        <v>15</v>
      </c>
      <c r="F45408" s="2" t="str">
        <f>HYPERLINK("http://www.otzar.org/book.asp?61267","תערוך לפני שלחן")</f>
        <v>תערוך לפני שלחן</v>
      </c>
    </row>
    <row r="45409" spans="1:6" x14ac:dyDescent="0.2">
      <c r="A45409" t="s">
        <v>68331</v>
      </c>
      <c r="B45409" t="s">
        <v>68332</v>
      </c>
      <c r="C45409" t="s">
        <v>23</v>
      </c>
      <c r="D45409" t="s">
        <v>412</v>
      </c>
      <c r="F45409" s="2" t="str">
        <f>HYPERLINK("http://www.otzar.org/book.asp?198619","תערוך לפני שלחן")</f>
        <v>תערוך לפני שלחן</v>
      </c>
    </row>
    <row r="45410" spans="1:6" x14ac:dyDescent="0.2">
      <c r="A45410" t="s">
        <v>68333</v>
      </c>
      <c r="B45410" t="s">
        <v>68334</v>
      </c>
      <c r="C45410" t="s">
        <v>180</v>
      </c>
      <c r="D45410" t="s">
        <v>216</v>
      </c>
      <c r="E45410" t="s">
        <v>246</v>
      </c>
      <c r="F45410" s="2" t="str">
        <f>HYPERLINK("http://www.otzar.org/book.asp?181809","תערוכת הגדות פסח")</f>
        <v>תערוכת הגדות פסח</v>
      </c>
    </row>
    <row r="45411" spans="1:6" x14ac:dyDescent="0.2">
      <c r="A45411" t="s">
        <v>68335</v>
      </c>
      <c r="B45411" t="s">
        <v>68336</v>
      </c>
      <c r="C45411" t="s">
        <v>1811</v>
      </c>
      <c r="D45411" t="s">
        <v>14</v>
      </c>
      <c r="E45411" t="s">
        <v>104</v>
      </c>
      <c r="F45411" s="2" t="str">
        <f>HYPERLINK("http://www.otzar.org/book.asp?176022","תערוכת ספרים ביבליופליים עבריים")</f>
        <v>תערוכת ספרים ביבליופליים עבריים</v>
      </c>
    </row>
    <row r="45412" spans="1:6" x14ac:dyDescent="0.2">
      <c r="A45412" t="s">
        <v>68337</v>
      </c>
      <c r="B45412" t="s">
        <v>68338</v>
      </c>
      <c r="C45412" t="s">
        <v>454</v>
      </c>
      <c r="D45412" t="s">
        <v>14</v>
      </c>
      <c r="E45412" t="s">
        <v>741</v>
      </c>
      <c r="F45412" s="2" t="str">
        <f>HYPERLINK("http://www.otzar.org/book.asp?163463","תפארת אבות &lt;כרם ישראל - ספר היחס מטשרנוביל ורוזין&gt;")</f>
        <v>תפארת אבות &lt;כרם ישראל - ספר היחס מטשרנוביל ורוזין&gt;</v>
      </c>
    </row>
    <row r="45413" spans="1:6" x14ac:dyDescent="0.2">
      <c r="A45413" t="s">
        <v>68339</v>
      </c>
      <c r="B45413" t="s">
        <v>1750</v>
      </c>
      <c r="C45413" t="s">
        <v>129</v>
      </c>
      <c r="D45413" t="s">
        <v>52</v>
      </c>
      <c r="E45413" t="s">
        <v>202</v>
      </c>
      <c r="F45413" s="2" t="str">
        <f>HYPERLINK("http://www.otzar.org/book.asp?160962","תפארת אבות &lt;באבוב&gt; - ג")</f>
        <v>תפארת אבות &lt;באבוב&gt; - ג</v>
      </c>
    </row>
    <row r="45414" spans="1:6" x14ac:dyDescent="0.2">
      <c r="A45414" t="s">
        <v>68340</v>
      </c>
      <c r="B45414" t="s">
        <v>68341</v>
      </c>
      <c r="C45414" t="s">
        <v>523</v>
      </c>
      <c r="D45414" t="s">
        <v>52</v>
      </c>
      <c r="E45414" t="s">
        <v>733</v>
      </c>
      <c r="F45414" s="2" t="str">
        <f>HYPERLINK("http://www.otzar.org/book.asp?145260","תפארת אבות - 2 כר'")</f>
        <v>תפארת אבות - 2 כר'</v>
      </c>
    </row>
    <row r="45415" spans="1:6" x14ac:dyDescent="0.2">
      <c r="A45415" t="s">
        <v>68342</v>
      </c>
      <c r="B45415" t="s">
        <v>68343</v>
      </c>
      <c r="C45415" t="s">
        <v>189</v>
      </c>
      <c r="D45415" t="s">
        <v>14</v>
      </c>
      <c r="E45415" t="s">
        <v>202</v>
      </c>
      <c r="F45415" s="2" t="str">
        <f>HYPERLINK("http://www.otzar.org/book.asp?143665","תפארת אבות")</f>
        <v>תפארת אבות</v>
      </c>
    </row>
    <row r="45416" spans="1:6" x14ac:dyDescent="0.2">
      <c r="A45416" t="s">
        <v>68342</v>
      </c>
      <c r="B45416" t="s">
        <v>68344</v>
      </c>
      <c r="C45416" t="s">
        <v>51</v>
      </c>
      <c r="D45416" t="s">
        <v>14</v>
      </c>
      <c r="E45416" t="s">
        <v>733</v>
      </c>
      <c r="F45416" s="2" t="str">
        <f>HYPERLINK("http://www.otzar.org/book.asp?171887","תפארת אבות")</f>
        <v>תפארת אבות</v>
      </c>
    </row>
    <row r="45417" spans="1:6" x14ac:dyDescent="0.2">
      <c r="A45417" t="s">
        <v>68342</v>
      </c>
      <c r="B45417" t="s">
        <v>8609</v>
      </c>
      <c r="C45417" t="s">
        <v>129</v>
      </c>
      <c r="D45417" t="s">
        <v>14</v>
      </c>
      <c r="E45417" t="s">
        <v>202</v>
      </c>
      <c r="F45417" s="2" t="str">
        <f>HYPERLINK("http://www.otzar.org/book.asp?631249","תפארת אבות")</f>
        <v>תפארת אבות</v>
      </c>
    </row>
    <row r="45418" spans="1:6" x14ac:dyDescent="0.2">
      <c r="A45418" t="s">
        <v>68342</v>
      </c>
      <c r="B45418" t="s">
        <v>18215</v>
      </c>
      <c r="C45418" t="s">
        <v>51</v>
      </c>
      <c r="D45418" t="s">
        <v>14</v>
      </c>
      <c r="E45418" t="s">
        <v>213</v>
      </c>
      <c r="F45418" s="2" t="str">
        <f>HYPERLINK("http://www.otzar.org/book.asp?169250","תפארת אבות")</f>
        <v>תפארת אבות</v>
      </c>
    </row>
    <row r="45419" spans="1:6" x14ac:dyDescent="0.2">
      <c r="A45419" t="s">
        <v>68342</v>
      </c>
      <c r="B45419" t="s">
        <v>2020</v>
      </c>
      <c r="C45419" t="s">
        <v>20</v>
      </c>
      <c r="D45419" t="s">
        <v>52</v>
      </c>
      <c r="E45419" t="s">
        <v>579</v>
      </c>
      <c r="F45419" s="2" t="str">
        <f>HYPERLINK("http://www.otzar.org/book.asp?153648","תפארת אבות")</f>
        <v>תפארת אבות</v>
      </c>
    </row>
    <row r="45420" spans="1:6" x14ac:dyDescent="0.2">
      <c r="A45420" t="s">
        <v>68345</v>
      </c>
      <c r="B45420" t="s">
        <v>1750</v>
      </c>
      <c r="C45420" t="s">
        <v>189</v>
      </c>
      <c r="D45420" t="s">
        <v>14</v>
      </c>
      <c r="E45420" t="s">
        <v>202</v>
      </c>
      <c r="F45420" s="2" t="str">
        <f>HYPERLINK("http://www.otzar.org/book.asp?160014","תפארת אבות - 4 כר'")</f>
        <v>תפארת אבות - 4 כר'</v>
      </c>
    </row>
    <row r="45421" spans="1:6" x14ac:dyDescent="0.2">
      <c r="A45421" t="s">
        <v>68342</v>
      </c>
      <c r="B45421" t="s">
        <v>68346</v>
      </c>
      <c r="C45421" t="s">
        <v>390</v>
      </c>
      <c r="D45421" t="s">
        <v>14</v>
      </c>
      <c r="E45421" t="s">
        <v>140</v>
      </c>
      <c r="F45421" s="2" t="str">
        <f>HYPERLINK("http://www.otzar.org/book.asp?83748","תפארת אבות")</f>
        <v>תפארת אבות</v>
      </c>
    </row>
    <row r="45422" spans="1:6" x14ac:dyDescent="0.2">
      <c r="A45422" t="s">
        <v>68347</v>
      </c>
      <c r="B45422" t="s">
        <v>68348</v>
      </c>
      <c r="C45422" t="s">
        <v>6638</v>
      </c>
      <c r="D45422" t="s">
        <v>6214</v>
      </c>
      <c r="F45422" s="2" t="str">
        <f>HYPERLINK("http://www.otzar.org/book.asp?620911","תפארת אברהם")</f>
        <v>תפארת אברהם</v>
      </c>
    </row>
    <row r="45423" spans="1:6" x14ac:dyDescent="0.2">
      <c r="A45423" t="s">
        <v>68349</v>
      </c>
      <c r="B45423" t="s">
        <v>68350</v>
      </c>
      <c r="C45423" t="s">
        <v>411</v>
      </c>
      <c r="D45423" t="s">
        <v>412</v>
      </c>
      <c r="E45423" t="s">
        <v>144</v>
      </c>
      <c r="F45423" s="2" t="str">
        <f>HYPERLINK("http://www.otzar.org/book.asp?600926","תפארת אברהם - 3 כר'")</f>
        <v>תפארת אברהם - 3 כר'</v>
      </c>
    </row>
    <row r="45424" spans="1:6" x14ac:dyDescent="0.2">
      <c r="A45424" t="s">
        <v>68347</v>
      </c>
      <c r="B45424" t="s">
        <v>68351</v>
      </c>
      <c r="C45424" t="s">
        <v>888</v>
      </c>
      <c r="D45424" t="s">
        <v>379</v>
      </c>
      <c r="E45424" t="s">
        <v>144</v>
      </c>
      <c r="F45424" s="2" t="str">
        <f>HYPERLINK("http://www.otzar.org/book.asp?9709","תפארת אברהם")</f>
        <v>תפארת אברהם</v>
      </c>
    </row>
    <row r="45425" spans="1:6" x14ac:dyDescent="0.2">
      <c r="A45425" t="s">
        <v>68347</v>
      </c>
      <c r="B45425" t="s">
        <v>14285</v>
      </c>
      <c r="C45425" t="s">
        <v>133</v>
      </c>
      <c r="D45425" t="s">
        <v>14</v>
      </c>
      <c r="E45425" t="s">
        <v>4940</v>
      </c>
      <c r="F45425" s="2" t="str">
        <f>HYPERLINK("http://www.otzar.org/book.asp?172628","תפארת אברהם")</f>
        <v>תפארת אברהם</v>
      </c>
    </row>
    <row r="45426" spans="1:6" x14ac:dyDescent="0.2">
      <c r="A45426" t="s">
        <v>68347</v>
      </c>
      <c r="B45426" t="s">
        <v>68352</v>
      </c>
      <c r="C45426" t="s">
        <v>23</v>
      </c>
      <c r="D45426" t="s">
        <v>21</v>
      </c>
      <c r="E45426" t="s">
        <v>144</v>
      </c>
      <c r="F45426" s="2" t="str">
        <f>HYPERLINK("http://www.otzar.org/book.asp?605102","תפארת אברהם")</f>
        <v>תפארת אברהם</v>
      </c>
    </row>
    <row r="45427" spans="1:6" x14ac:dyDescent="0.2">
      <c r="A45427" t="s">
        <v>68349</v>
      </c>
      <c r="B45427" t="s">
        <v>68353</v>
      </c>
      <c r="C45427" t="s">
        <v>13</v>
      </c>
      <c r="D45427" t="s">
        <v>412</v>
      </c>
      <c r="E45427" t="s">
        <v>144</v>
      </c>
      <c r="F45427" s="2" t="str">
        <f>HYPERLINK("http://www.otzar.org/book.asp?613103","תפארת אברהם - 3 כר'")</f>
        <v>תפארת אברהם - 3 כר'</v>
      </c>
    </row>
    <row r="45428" spans="1:6" x14ac:dyDescent="0.2">
      <c r="A45428" t="s">
        <v>68354</v>
      </c>
      <c r="B45428" t="s">
        <v>68355</v>
      </c>
      <c r="C45428" t="s">
        <v>1246</v>
      </c>
      <c r="D45428" t="s">
        <v>9</v>
      </c>
      <c r="E45428" t="s">
        <v>154</v>
      </c>
      <c r="F45428" s="2" t="str">
        <f>HYPERLINK("http://www.otzar.org/book.asp?52073","תפארת אדם - 3 כר'")</f>
        <v>תפארת אדם - 3 כר'</v>
      </c>
    </row>
    <row r="45429" spans="1:6" x14ac:dyDescent="0.2">
      <c r="A45429" t="s">
        <v>68356</v>
      </c>
      <c r="B45429" t="s">
        <v>49187</v>
      </c>
      <c r="C45429" t="s">
        <v>18526</v>
      </c>
      <c r="D45429" t="s">
        <v>947</v>
      </c>
      <c r="E45429" t="s">
        <v>119</v>
      </c>
      <c r="F45429" s="2" t="str">
        <f>HYPERLINK("http://www.otzar.org/book.asp?167926","תפארת אדם")</f>
        <v>תפארת אדם</v>
      </c>
    </row>
    <row r="45430" spans="1:6" x14ac:dyDescent="0.2">
      <c r="A45430" t="s">
        <v>68356</v>
      </c>
      <c r="B45430" t="s">
        <v>68357</v>
      </c>
      <c r="C45430" t="s">
        <v>20</v>
      </c>
      <c r="D45430" t="s">
        <v>118</v>
      </c>
      <c r="E45430" t="s">
        <v>15</v>
      </c>
      <c r="F45430" s="2" t="str">
        <f>HYPERLINK("http://www.otzar.org/book.asp?26046","תפארת אדם")</f>
        <v>תפארת אדם</v>
      </c>
    </row>
    <row r="45431" spans="1:6" x14ac:dyDescent="0.2">
      <c r="A45431" t="s">
        <v>68356</v>
      </c>
      <c r="B45431" t="s">
        <v>68358</v>
      </c>
      <c r="C45431" t="s">
        <v>2617</v>
      </c>
      <c r="D45431" t="s">
        <v>76</v>
      </c>
      <c r="E45431" t="s">
        <v>154</v>
      </c>
      <c r="F45431" s="2" t="str">
        <f>HYPERLINK("http://www.otzar.org/book.asp?101926","תפארת אדם")</f>
        <v>תפארת אדם</v>
      </c>
    </row>
    <row r="45432" spans="1:6" x14ac:dyDescent="0.2">
      <c r="A45432" t="s">
        <v>68356</v>
      </c>
      <c r="B45432" t="s">
        <v>3759</v>
      </c>
      <c r="C45432" t="s">
        <v>1374</v>
      </c>
      <c r="D45432" t="s">
        <v>1279</v>
      </c>
      <c r="E45432" t="s">
        <v>119</v>
      </c>
      <c r="F45432" s="2" t="str">
        <f>HYPERLINK("http://www.otzar.org/book.asp?172831","תפארת אדם")</f>
        <v>תפארת אדם</v>
      </c>
    </row>
    <row r="45433" spans="1:6" x14ac:dyDescent="0.2">
      <c r="A45433" t="s">
        <v>68356</v>
      </c>
      <c r="B45433" t="s">
        <v>23047</v>
      </c>
      <c r="C45433" t="s">
        <v>585</v>
      </c>
      <c r="D45433" t="s">
        <v>52</v>
      </c>
      <c r="E45433" t="s">
        <v>68359</v>
      </c>
      <c r="F45433" s="2" t="str">
        <f>HYPERLINK("http://www.otzar.org/book.asp?14145","תפארת אדם")</f>
        <v>תפארת אדם</v>
      </c>
    </row>
    <row r="45434" spans="1:6" x14ac:dyDescent="0.2">
      <c r="A45434" t="s">
        <v>68356</v>
      </c>
      <c r="B45434" t="s">
        <v>68360</v>
      </c>
      <c r="C45434" t="s">
        <v>68</v>
      </c>
      <c r="D45434" t="s">
        <v>14</v>
      </c>
      <c r="E45434" t="s">
        <v>993</v>
      </c>
      <c r="F45434" s="2" t="str">
        <f>HYPERLINK("http://www.otzar.org/book.asp?157817","תפארת אדם")</f>
        <v>תפארת אדם</v>
      </c>
    </row>
    <row r="45435" spans="1:6" x14ac:dyDescent="0.2">
      <c r="A45435" t="s">
        <v>68361</v>
      </c>
      <c r="B45435" t="s">
        <v>68362</v>
      </c>
      <c r="C45435" t="s">
        <v>1609</v>
      </c>
      <c r="D45435" t="s">
        <v>1188</v>
      </c>
      <c r="E45435" t="s">
        <v>144</v>
      </c>
      <c r="F45435" s="2" t="str">
        <f>HYPERLINK("http://www.otzar.org/book.asp?60369","תפארת אהרן")</f>
        <v>תפארת אהרן</v>
      </c>
    </row>
    <row r="45436" spans="1:6" x14ac:dyDescent="0.2">
      <c r="A45436" t="s">
        <v>68361</v>
      </c>
      <c r="B45436" t="s">
        <v>68363</v>
      </c>
      <c r="C45436" t="s">
        <v>146</v>
      </c>
      <c r="D45436" t="s">
        <v>90</v>
      </c>
      <c r="F45436" s="2" t="str">
        <f>HYPERLINK("http://www.otzar.org/book.asp?632037","תפארת אהרן")</f>
        <v>תפארת אהרן</v>
      </c>
    </row>
    <row r="45437" spans="1:6" x14ac:dyDescent="0.2">
      <c r="A45437" t="s">
        <v>68364</v>
      </c>
      <c r="B45437" t="s">
        <v>68365</v>
      </c>
      <c r="C45437" t="s">
        <v>51</v>
      </c>
      <c r="D45437" t="s">
        <v>90</v>
      </c>
      <c r="E45437" t="s">
        <v>202</v>
      </c>
      <c r="F45437" s="2" t="str">
        <f>HYPERLINK("http://www.otzar.org/book.asp?84969","תפארת אירופה - 3 כר'")</f>
        <v>תפארת אירופה - 3 כר'</v>
      </c>
    </row>
    <row r="45438" spans="1:6" x14ac:dyDescent="0.2">
      <c r="A45438" t="s">
        <v>68366</v>
      </c>
      <c r="B45438" t="s">
        <v>68367</v>
      </c>
      <c r="C45438" t="s">
        <v>427</v>
      </c>
      <c r="D45438" t="s">
        <v>14</v>
      </c>
      <c r="E45438" t="s">
        <v>467</v>
      </c>
      <c r="F45438" s="2" t="str">
        <f>HYPERLINK("http://www.otzar.org/book.asp?153977","תפארת איש")</f>
        <v>תפארת איש</v>
      </c>
    </row>
    <row r="45439" spans="1:6" x14ac:dyDescent="0.2">
      <c r="A45439" t="s">
        <v>68366</v>
      </c>
      <c r="B45439" t="s">
        <v>44227</v>
      </c>
      <c r="C45439" t="s">
        <v>71</v>
      </c>
      <c r="D45439" t="s">
        <v>90</v>
      </c>
      <c r="E45439" t="s">
        <v>393</v>
      </c>
      <c r="F45439" s="2" t="str">
        <f>HYPERLINK("http://www.otzar.org/book.asp?160636","תפארת איש")</f>
        <v>תפארת איש</v>
      </c>
    </row>
    <row r="45440" spans="1:6" x14ac:dyDescent="0.2">
      <c r="A45440" t="s">
        <v>68368</v>
      </c>
      <c r="B45440" t="s">
        <v>68369</v>
      </c>
      <c r="C45440" t="s">
        <v>87</v>
      </c>
      <c r="D45440" t="s">
        <v>412</v>
      </c>
      <c r="E45440" t="s">
        <v>467</v>
      </c>
      <c r="F45440" s="2" t="str">
        <f>HYPERLINK("http://www.otzar.org/book.asp?162322","תפארת אלימלך - 2 כר'")</f>
        <v>תפארת אלימלך - 2 כר'</v>
      </c>
    </row>
    <row r="45441" spans="1:6" x14ac:dyDescent="0.2">
      <c r="A45441" t="s">
        <v>68370</v>
      </c>
      <c r="B45441" t="s">
        <v>68371</v>
      </c>
      <c r="C45441" t="s">
        <v>151</v>
      </c>
      <c r="D45441" t="s">
        <v>412</v>
      </c>
      <c r="E45441" t="s">
        <v>3055</v>
      </c>
      <c r="F45441" s="2" t="str">
        <f>HYPERLINK("http://www.otzar.org/book.asp?630560","תפארת אלעזר - מועדים")</f>
        <v>תפארת אלעזר - מועדים</v>
      </c>
    </row>
    <row r="45442" spans="1:6" x14ac:dyDescent="0.2">
      <c r="A45442" t="s">
        <v>68372</v>
      </c>
      <c r="B45442" t="s">
        <v>68373</v>
      </c>
      <c r="C45442" t="s">
        <v>13</v>
      </c>
      <c r="D45442" t="s">
        <v>229</v>
      </c>
      <c r="E45442" t="s">
        <v>144</v>
      </c>
      <c r="F45442" s="2" t="str">
        <f>HYPERLINK("http://www.otzar.org/book.asp?156573","תפארת אריה - 2 כר'")</f>
        <v>תפארת אריה - 2 כר'</v>
      </c>
    </row>
    <row r="45443" spans="1:6" x14ac:dyDescent="0.2">
      <c r="A45443" t="s">
        <v>68374</v>
      </c>
      <c r="B45443" t="s">
        <v>68375</v>
      </c>
      <c r="C45443" t="s">
        <v>129</v>
      </c>
      <c r="D45443" t="s">
        <v>14</v>
      </c>
      <c r="E45443" t="s">
        <v>803</v>
      </c>
      <c r="F45443" s="2" t="str">
        <f>HYPERLINK("http://www.otzar.org/book.asp?189668","תפארת אריה")</f>
        <v>תפארת אריה</v>
      </c>
    </row>
    <row r="45444" spans="1:6" x14ac:dyDescent="0.2">
      <c r="A45444" t="s">
        <v>68376</v>
      </c>
      <c r="B45444" t="s">
        <v>5253</v>
      </c>
      <c r="C45444" t="s">
        <v>68377</v>
      </c>
      <c r="D45444" t="s">
        <v>68378</v>
      </c>
      <c r="E45444" t="s">
        <v>234</v>
      </c>
      <c r="F45444" s="2" t="str">
        <f>HYPERLINK("http://www.otzar.org/book.asp?191252","תפארת אריה - הספדא")</f>
        <v>תפארת אריה - הספדא</v>
      </c>
    </row>
    <row r="45445" spans="1:6" x14ac:dyDescent="0.2">
      <c r="A45445" t="s">
        <v>68374</v>
      </c>
      <c r="B45445" t="s">
        <v>68379</v>
      </c>
      <c r="C45445" t="s">
        <v>20</v>
      </c>
      <c r="D45445" t="s">
        <v>90</v>
      </c>
      <c r="E45445" t="s">
        <v>119</v>
      </c>
      <c r="F45445" s="2" t="str">
        <f>HYPERLINK("http://www.otzar.org/book.asp?169880","תפארת אריה")</f>
        <v>תפארת אריה</v>
      </c>
    </row>
    <row r="45446" spans="1:6" x14ac:dyDescent="0.2">
      <c r="A45446" t="s">
        <v>68380</v>
      </c>
      <c r="B45446" t="s">
        <v>38343</v>
      </c>
      <c r="C45446" t="s">
        <v>124</v>
      </c>
      <c r="D45446" t="s">
        <v>412</v>
      </c>
      <c r="E45446" t="s">
        <v>325</v>
      </c>
      <c r="F45446" s="2" t="str">
        <f>HYPERLINK("http://www.otzar.org/book.asp?172749","תפארת אשר")</f>
        <v>תפארת אשר</v>
      </c>
    </row>
    <row r="45447" spans="1:6" x14ac:dyDescent="0.2">
      <c r="A45447" t="s">
        <v>68381</v>
      </c>
      <c r="B45447" t="s">
        <v>68382</v>
      </c>
      <c r="C45447" t="s">
        <v>23</v>
      </c>
      <c r="D45447" t="s">
        <v>21</v>
      </c>
      <c r="F45447" s="2" t="str">
        <f>HYPERLINK("http://www.otzar.org/book.asp?194861","תפארת בחורים &lt;מהדורה חדשה&gt;")</f>
        <v>תפארת בחורים &lt;מהדורה חדשה&gt;</v>
      </c>
    </row>
    <row r="45448" spans="1:6" x14ac:dyDescent="0.2">
      <c r="A45448" t="s">
        <v>68383</v>
      </c>
      <c r="B45448" t="s">
        <v>34957</v>
      </c>
      <c r="C45448" t="s">
        <v>46</v>
      </c>
      <c r="D45448" t="s">
        <v>216</v>
      </c>
      <c r="E45448" t="s">
        <v>202</v>
      </c>
      <c r="F45448" s="2" t="str">
        <f>HYPERLINK("http://www.otzar.org/book.asp?180383","תפארת בחורים")</f>
        <v>תפארת בחורים</v>
      </c>
    </row>
    <row r="45449" spans="1:6" x14ac:dyDescent="0.2">
      <c r="A45449" t="s">
        <v>68383</v>
      </c>
      <c r="B45449" t="s">
        <v>41757</v>
      </c>
      <c r="C45449" t="s">
        <v>581</v>
      </c>
      <c r="D45449" t="s">
        <v>283</v>
      </c>
      <c r="E45449" t="s">
        <v>241</v>
      </c>
      <c r="F45449" s="2" t="str">
        <f>HYPERLINK("http://www.otzar.org/book.asp?100686","תפארת בחורים")</f>
        <v>תפארת בחורים</v>
      </c>
    </row>
    <row r="45450" spans="1:6" x14ac:dyDescent="0.2">
      <c r="A45450" t="s">
        <v>68383</v>
      </c>
      <c r="B45450" t="s">
        <v>51278</v>
      </c>
      <c r="C45450" t="s">
        <v>473</v>
      </c>
      <c r="D45450" t="s">
        <v>225</v>
      </c>
      <c r="E45450" t="s">
        <v>144</v>
      </c>
      <c r="F45450" s="2" t="str">
        <f>HYPERLINK("http://www.otzar.org/book.asp?101987","תפארת בחורים")</f>
        <v>תפארת בחורים</v>
      </c>
    </row>
    <row r="45451" spans="1:6" x14ac:dyDescent="0.2">
      <c r="A45451" t="s">
        <v>68384</v>
      </c>
      <c r="B45451" t="s">
        <v>19231</v>
      </c>
      <c r="C45451" t="s">
        <v>23</v>
      </c>
      <c r="D45451" t="s">
        <v>1156</v>
      </c>
      <c r="E45451" t="s">
        <v>202</v>
      </c>
      <c r="F45451" s="2" t="str">
        <f>HYPERLINK("http://www.otzar.org/book.asp?605521","תפארת בחורים - גיטין")</f>
        <v>תפארת בחורים - גיטין</v>
      </c>
    </row>
    <row r="45452" spans="1:6" x14ac:dyDescent="0.2">
      <c r="A45452" t="s">
        <v>68383</v>
      </c>
      <c r="B45452" t="s">
        <v>68382</v>
      </c>
      <c r="C45452" t="s">
        <v>635</v>
      </c>
      <c r="D45452" t="s">
        <v>212</v>
      </c>
      <c r="E45452" t="s">
        <v>786</v>
      </c>
      <c r="F45452" s="2" t="str">
        <f>HYPERLINK("http://www.otzar.org/book.asp?20187","תפארת בחורים")</f>
        <v>תפארת בחורים</v>
      </c>
    </row>
    <row r="45453" spans="1:6" x14ac:dyDescent="0.2">
      <c r="A45453" t="s">
        <v>68383</v>
      </c>
      <c r="B45453" t="s">
        <v>68383</v>
      </c>
      <c r="C45453" t="s">
        <v>189</v>
      </c>
      <c r="D45453" t="s">
        <v>14</v>
      </c>
      <c r="E45453" t="s">
        <v>241</v>
      </c>
      <c r="F45453" s="2" t="str">
        <f>HYPERLINK("http://www.otzar.org/book.asp?144507","תפארת בחורים")</f>
        <v>תפארת בחורים</v>
      </c>
    </row>
    <row r="45454" spans="1:6" x14ac:dyDescent="0.2">
      <c r="A45454" t="s">
        <v>68385</v>
      </c>
      <c r="B45454" t="s">
        <v>1791</v>
      </c>
      <c r="C45454" t="s">
        <v>956</v>
      </c>
      <c r="D45454" t="s">
        <v>14</v>
      </c>
      <c r="E45454" t="s">
        <v>5398</v>
      </c>
      <c r="F45454" s="2" t="str">
        <f>HYPERLINK("http://www.otzar.org/book.asp?106015","תפארת בית דוד")</f>
        <v>תפארת בית דוד</v>
      </c>
    </row>
    <row r="45455" spans="1:6" x14ac:dyDescent="0.2">
      <c r="A45455" t="s">
        <v>68386</v>
      </c>
      <c r="B45455" t="s">
        <v>6452</v>
      </c>
      <c r="C45455" t="s">
        <v>445</v>
      </c>
      <c r="D45455" t="s">
        <v>10109</v>
      </c>
      <c r="E45455" t="s">
        <v>24513</v>
      </c>
      <c r="F45455" s="2" t="str">
        <f>HYPERLINK("http://www.otzar.org/book.asp?100694","תפארת בית לוי")</f>
        <v>תפארת בית לוי</v>
      </c>
    </row>
    <row r="45456" spans="1:6" x14ac:dyDescent="0.2">
      <c r="A45456" t="s">
        <v>68387</v>
      </c>
      <c r="B45456" t="s">
        <v>7201</v>
      </c>
      <c r="C45456" t="s">
        <v>129</v>
      </c>
      <c r="D45456" t="s">
        <v>657</v>
      </c>
      <c r="E45456" t="s">
        <v>674</v>
      </c>
      <c r="F45456" s="2" t="str">
        <f>HYPERLINK("http://www.otzar.org/book.asp?182908","תפארת במקדשו")</f>
        <v>תפארת במקדשו</v>
      </c>
    </row>
    <row r="45457" spans="1:6" x14ac:dyDescent="0.2">
      <c r="A45457" t="s">
        <v>68388</v>
      </c>
      <c r="B45457" t="s">
        <v>68389</v>
      </c>
      <c r="C45457" t="s">
        <v>129</v>
      </c>
      <c r="D45457" t="s">
        <v>14</v>
      </c>
      <c r="F45457" s="2" t="str">
        <f>HYPERLINK("http://www.otzar.org/book.asp?617568","תפארת בנים אבותם - משפחות מזרחי שעיו")</f>
        <v>תפארת בנים אבותם - משפחות מזרחי שעיו</v>
      </c>
    </row>
    <row r="45458" spans="1:6" x14ac:dyDescent="0.2">
      <c r="A45458" t="s">
        <v>68390</v>
      </c>
      <c r="B45458" t="s">
        <v>68391</v>
      </c>
      <c r="C45458" t="s">
        <v>168</v>
      </c>
      <c r="D45458" t="s">
        <v>216</v>
      </c>
      <c r="E45458" t="s">
        <v>119</v>
      </c>
      <c r="F45458" s="2" t="str">
        <f>HYPERLINK("http://www.otzar.org/book.asp?64351","תפארת בנים אבותם")</f>
        <v>תפארת בנים אבותם</v>
      </c>
    </row>
    <row r="45459" spans="1:6" x14ac:dyDescent="0.2">
      <c r="A45459" t="s">
        <v>68392</v>
      </c>
      <c r="B45459" t="s">
        <v>206</v>
      </c>
      <c r="C45459" t="s">
        <v>20</v>
      </c>
      <c r="D45459" t="s">
        <v>90</v>
      </c>
      <c r="E45459" t="s">
        <v>2363</v>
      </c>
      <c r="F45459" s="2" t="str">
        <f>HYPERLINK("http://www.otzar.org/book.asp?600400","תפארת בנים")</f>
        <v>תפארת בנים</v>
      </c>
    </row>
    <row r="45460" spans="1:6" x14ac:dyDescent="0.2">
      <c r="A45460" t="s">
        <v>68392</v>
      </c>
      <c r="B45460" t="s">
        <v>68393</v>
      </c>
      <c r="C45460" t="s">
        <v>133</v>
      </c>
      <c r="D45460" t="s">
        <v>58990</v>
      </c>
      <c r="E45460" t="s">
        <v>119</v>
      </c>
      <c r="F45460" s="2" t="str">
        <f>HYPERLINK("http://www.otzar.org/book.asp?192829","תפארת בנים")</f>
        <v>תפארת בנים</v>
      </c>
    </row>
    <row r="45461" spans="1:6" x14ac:dyDescent="0.2">
      <c r="A45461" t="s">
        <v>68392</v>
      </c>
      <c r="B45461" t="s">
        <v>68394</v>
      </c>
      <c r="C45461" t="s">
        <v>956</v>
      </c>
      <c r="D45461" t="s">
        <v>216</v>
      </c>
      <c r="E45461" t="s">
        <v>31250</v>
      </c>
      <c r="F45461" s="2" t="str">
        <f>HYPERLINK("http://www.otzar.org/book.asp?106982","תפארת בנים")</f>
        <v>תפארת בנים</v>
      </c>
    </row>
    <row r="45462" spans="1:6" x14ac:dyDescent="0.2">
      <c r="A45462" t="s">
        <v>68392</v>
      </c>
      <c r="B45462" t="s">
        <v>68395</v>
      </c>
      <c r="C45462" t="s">
        <v>176</v>
      </c>
      <c r="D45462" t="s">
        <v>23557</v>
      </c>
      <c r="E45462" t="s">
        <v>144</v>
      </c>
      <c r="F45462" s="2" t="str">
        <f>HYPERLINK("http://www.otzar.org/book.asp?107386","תפארת בנים")</f>
        <v>תפארת בנים</v>
      </c>
    </row>
    <row r="45463" spans="1:6" x14ac:dyDescent="0.2">
      <c r="A45463" t="s">
        <v>68396</v>
      </c>
      <c r="B45463" t="s">
        <v>68397</v>
      </c>
      <c r="C45463" t="s">
        <v>422</v>
      </c>
      <c r="D45463" t="s">
        <v>14</v>
      </c>
      <c r="E45463" t="s">
        <v>172</v>
      </c>
      <c r="F45463" s="2" t="str">
        <f>HYPERLINK("http://www.otzar.org/book.asp?621190","תפארת בנים - 3 כר'")</f>
        <v>תפארת בנים - 3 כר'</v>
      </c>
    </row>
    <row r="45464" spans="1:6" x14ac:dyDescent="0.2">
      <c r="A45464" t="s">
        <v>68392</v>
      </c>
      <c r="B45464" t="s">
        <v>552</v>
      </c>
      <c r="C45464" t="s">
        <v>20</v>
      </c>
      <c r="D45464" t="s">
        <v>90</v>
      </c>
      <c r="E45464" t="s">
        <v>202</v>
      </c>
      <c r="F45464" s="2" t="str">
        <f>HYPERLINK("http://www.otzar.org/book.asp?148190","תפארת בנים")</f>
        <v>תפארת בנים</v>
      </c>
    </row>
    <row r="45465" spans="1:6" x14ac:dyDescent="0.2">
      <c r="A45465" t="s">
        <v>68398</v>
      </c>
      <c r="B45465" t="s">
        <v>2663</v>
      </c>
      <c r="C45465" t="s">
        <v>176</v>
      </c>
      <c r="D45465" t="s">
        <v>14</v>
      </c>
      <c r="E45465" t="s">
        <v>202</v>
      </c>
      <c r="F45465" s="2" t="str">
        <f>HYPERLINK("http://www.otzar.org/book.asp?21816","תפארת בנים - 5 כר'")</f>
        <v>תפארת בנים - 5 כר'</v>
      </c>
    </row>
    <row r="45466" spans="1:6" x14ac:dyDescent="0.2">
      <c r="A45466" t="s">
        <v>68399</v>
      </c>
      <c r="B45466" t="s">
        <v>16651</v>
      </c>
      <c r="C45466" t="s">
        <v>422</v>
      </c>
      <c r="D45466" t="s">
        <v>14</v>
      </c>
      <c r="E45466" t="s">
        <v>1185</v>
      </c>
      <c r="F45466" s="2" t="str">
        <f>HYPERLINK("http://www.otzar.org/book.asp?183103","תפארת בנים - 2 כר'")</f>
        <v>תפארת בנים - 2 כר'</v>
      </c>
    </row>
    <row r="45467" spans="1:6" x14ac:dyDescent="0.2">
      <c r="A45467" t="s">
        <v>68400</v>
      </c>
      <c r="B45467" t="s">
        <v>40871</v>
      </c>
      <c r="C45467" t="s">
        <v>506</v>
      </c>
      <c r="D45467" t="s">
        <v>726</v>
      </c>
      <c r="E45467" t="s">
        <v>202</v>
      </c>
      <c r="F45467" s="2" t="str">
        <f>HYPERLINK("http://www.otzar.org/book.asp?20186","תפארת גדולה")</f>
        <v>תפארת גדולה</v>
      </c>
    </row>
    <row r="45468" spans="1:6" x14ac:dyDescent="0.2">
      <c r="A45468" t="s">
        <v>68401</v>
      </c>
      <c r="B45468" t="s">
        <v>68402</v>
      </c>
      <c r="C45468" t="s">
        <v>129</v>
      </c>
      <c r="D45468" t="s">
        <v>14</v>
      </c>
      <c r="E45468" t="s">
        <v>144</v>
      </c>
      <c r="F45468" s="2" t="str">
        <f>HYPERLINK("http://www.otzar.org/book.asp?168758","תפארת דוד")</f>
        <v>תפארת דוד</v>
      </c>
    </row>
    <row r="45469" spans="1:6" x14ac:dyDescent="0.2">
      <c r="A45469" t="s">
        <v>68401</v>
      </c>
      <c r="B45469" t="s">
        <v>68403</v>
      </c>
      <c r="C45469" t="s">
        <v>17</v>
      </c>
      <c r="D45469" t="s">
        <v>412</v>
      </c>
      <c r="E45469" t="s">
        <v>1072</v>
      </c>
      <c r="F45469" s="2" t="str">
        <f>HYPERLINK("http://www.otzar.org/book.asp?159076","תפארת דוד")</f>
        <v>תפארת דוד</v>
      </c>
    </row>
    <row r="45470" spans="1:6" x14ac:dyDescent="0.2">
      <c r="A45470" t="s">
        <v>68401</v>
      </c>
      <c r="B45470" t="s">
        <v>68404</v>
      </c>
      <c r="C45470" t="s">
        <v>51</v>
      </c>
      <c r="D45470" t="s">
        <v>412</v>
      </c>
      <c r="E45470" t="s">
        <v>714</v>
      </c>
      <c r="F45470" s="2" t="str">
        <f>HYPERLINK("http://www.otzar.org/book.asp?152739","תפארת דוד")</f>
        <v>תפארת דוד</v>
      </c>
    </row>
    <row r="45471" spans="1:6" x14ac:dyDescent="0.2">
      <c r="A45471" t="s">
        <v>68405</v>
      </c>
      <c r="B45471" t="s">
        <v>21384</v>
      </c>
      <c r="C45471" t="s">
        <v>1414</v>
      </c>
      <c r="D45471" t="s">
        <v>744</v>
      </c>
      <c r="E45471" t="s">
        <v>241</v>
      </c>
      <c r="F45471" s="2" t="str">
        <f>HYPERLINK("http://www.otzar.org/book.asp?154092","תפארת האדם")</f>
        <v>תפארת האדם</v>
      </c>
    </row>
    <row r="45472" spans="1:6" x14ac:dyDescent="0.2">
      <c r="A45472" t="s">
        <v>68405</v>
      </c>
      <c r="B45472" t="s">
        <v>29163</v>
      </c>
      <c r="C45472" t="s">
        <v>3840</v>
      </c>
      <c r="D45472" t="s">
        <v>260</v>
      </c>
      <c r="E45472" t="s">
        <v>104</v>
      </c>
      <c r="F45472" s="2" t="str">
        <f>HYPERLINK("http://www.otzar.org/book.asp?144617","תפארת האדם")</f>
        <v>תפארת האדם</v>
      </c>
    </row>
    <row r="45473" spans="1:6" x14ac:dyDescent="0.2">
      <c r="A45473" t="s">
        <v>68406</v>
      </c>
      <c r="B45473" t="s">
        <v>68407</v>
      </c>
      <c r="C45473" t="s">
        <v>422</v>
      </c>
      <c r="D45473" t="s">
        <v>14</v>
      </c>
      <c r="E45473" t="s">
        <v>15</v>
      </c>
      <c r="F45473" s="2" t="str">
        <f>HYPERLINK("http://www.otzar.org/book.asp?148712","תפארת הברית")</f>
        <v>תפארת הברית</v>
      </c>
    </row>
    <row r="45474" spans="1:6" x14ac:dyDescent="0.2">
      <c r="A45474" t="s">
        <v>68408</v>
      </c>
      <c r="B45474" t="s">
        <v>68409</v>
      </c>
      <c r="C45474" t="s">
        <v>1388</v>
      </c>
      <c r="D45474" t="s">
        <v>14</v>
      </c>
      <c r="E45474" t="s">
        <v>68410</v>
      </c>
      <c r="F45474" s="2" t="str">
        <f>HYPERLINK("http://www.otzar.org/book.asp?345","תפארת הגרי""ז")</f>
        <v>תפארת הגרי"ז</v>
      </c>
    </row>
    <row r="45475" spans="1:6" x14ac:dyDescent="0.2">
      <c r="A45475" t="s">
        <v>68411</v>
      </c>
      <c r="B45475" t="s">
        <v>25346</v>
      </c>
      <c r="C45475" t="s">
        <v>1208</v>
      </c>
      <c r="D45475" t="s">
        <v>423</v>
      </c>
      <c r="E45475" t="s">
        <v>158</v>
      </c>
      <c r="F45475" s="2" t="str">
        <f>HYPERLINK("http://www.otzar.org/book.asp?159352","תפארת הגרשוני &lt;מהדורה חדשה&gt; - 2 כר'")</f>
        <v>תפארת הגרשוני &lt;מהדורה חדשה&gt; - 2 כר'</v>
      </c>
    </row>
    <row r="45476" spans="1:6" x14ac:dyDescent="0.2">
      <c r="A45476" t="s">
        <v>68412</v>
      </c>
      <c r="B45476" t="s">
        <v>25346</v>
      </c>
      <c r="C45476" t="s">
        <v>21898</v>
      </c>
      <c r="D45476" t="s">
        <v>322</v>
      </c>
      <c r="E45476" t="s">
        <v>1103</v>
      </c>
      <c r="F45476" s="2" t="str">
        <f>HYPERLINK("http://www.otzar.org/book.asp?100693","תפארת הגרשוני - 2 כר'")</f>
        <v>תפארת הגרשוני - 2 כר'</v>
      </c>
    </row>
    <row r="45477" spans="1:6" x14ac:dyDescent="0.2">
      <c r="A45477" t="s">
        <v>68413</v>
      </c>
      <c r="B45477" t="s">
        <v>68414</v>
      </c>
      <c r="C45477" t="s">
        <v>244</v>
      </c>
      <c r="D45477" t="s">
        <v>1974</v>
      </c>
      <c r="E45477" t="s">
        <v>144</v>
      </c>
      <c r="F45477" s="2" t="str">
        <f>HYPERLINK("http://www.otzar.org/book.asp?605943","תפארת הדורות - 2 כר'")</f>
        <v>תפארת הדורות - 2 כר'</v>
      </c>
    </row>
    <row r="45478" spans="1:6" x14ac:dyDescent="0.2">
      <c r="A45478" t="s">
        <v>68415</v>
      </c>
      <c r="B45478" t="s">
        <v>50334</v>
      </c>
      <c r="C45478" t="s">
        <v>189</v>
      </c>
      <c r="D45478" t="s">
        <v>412</v>
      </c>
      <c r="E45478" t="s">
        <v>15</v>
      </c>
      <c r="F45478" s="2" t="str">
        <f>HYPERLINK("http://www.otzar.org/book.asp?177037","תפארת הזקן")</f>
        <v>תפארת הזקן</v>
      </c>
    </row>
    <row r="45479" spans="1:6" x14ac:dyDescent="0.2">
      <c r="A45479" t="s">
        <v>68416</v>
      </c>
      <c r="B45479" t="s">
        <v>15569</v>
      </c>
      <c r="C45479" t="s">
        <v>143</v>
      </c>
      <c r="D45479" t="s">
        <v>14</v>
      </c>
      <c r="E45479" t="s">
        <v>246</v>
      </c>
      <c r="F45479" s="2" t="str">
        <f>HYPERLINK("http://www.otzar.org/book.asp?155957","תפארת החג - 4 כר'")</f>
        <v>תפארת החג - 4 כר'</v>
      </c>
    </row>
    <row r="45480" spans="1:6" x14ac:dyDescent="0.2">
      <c r="A45480" t="s">
        <v>68417</v>
      </c>
      <c r="B45480" t="s">
        <v>15789</v>
      </c>
      <c r="C45480" t="s">
        <v>492</v>
      </c>
      <c r="D45480" t="s">
        <v>283</v>
      </c>
      <c r="E45480" t="s">
        <v>1847</v>
      </c>
      <c r="F45480" s="2" t="str">
        <f>HYPERLINK("http://www.otzar.org/book.asp?16069","תפארת החנוכי")</f>
        <v>תפארת החנוכי</v>
      </c>
    </row>
    <row r="45481" spans="1:6" x14ac:dyDescent="0.2">
      <c r="A45481" t="s">
        <v>68418</v>
      </c>
      <c r="B45481" t="s">
        <v>12728</v>
      </c>
      <c r="C45481" t="s">
        <v>244</v>
      </c>
      <c r="D45481" t="s">
        <v>21</v>
      </c>
      <c r="F45481" s="2" t="str">
        <f>HYPERLINK("http://www.otzar.org/book.asp?603149","תפארת הטהרה")</f>
        <v>תפארת הטהרה</v>
      </c>
    </row>
    <row r="45482" spans="1:6" x14ac:dyDescent="0.2">
      <c r="A45482" t="s">
        <v>68419</v>
      </c>
      <c r="B45482" t="s">
        <v>25352</v>
      </c>
      <c r="C45482" t="s">
        <v>547</v>
      </c>
      <c r="D45482" t="s">
        <v>283</v>
      </c>
      <c r="E45482" t="s">
        <v>140</v>
      </c>
      <c r="F45482" s="2" t="str">
        <f>HYPERLINK("http://www.otzar.org/book.asp?16032","תפארת היהודי")</f>
        <v>תפארת היהודי</v>
      </c>
    </row>
    <row r="45483" spans="1:6" x14ac:dyDescent="0.2">
      <c r="A45483" t="s">
        <v>68420</v>
      </c>
      <c r="B45483" t="s">
        <v>11753</v>
      </c>
      <c r="C45483" t="s">
        <v>68</v>
      </c>
      <c r="D45483" t="s">
        <v>1076</v>
      </c>
      <c r="E45483" t="s">
        <v>4674</v>
      </c>
      <c r="F45483" s="2" t="str">
        <f>HYPERLINK("http://www.otzar.org/book.asp?165193","תפארת המועדים")</f>
        <v>תפארת המועדים</v>
      </c>
    </row>
    <row r="45484" spans="1:6" x14ac:dyDescent="0.2">
      <c r="A45484" t="s">
        <v>68421</v>
      </c>
      <c r="B45484" t="s">
        <v>68422</v>
      </c>
      <c r="C45484" t="s">
        <v>3246</v>
      </c>
      <c r="D45484" t="s">
        <v>4269</v>
      </c>
      <c r="E45484" t="s">
        <v>84</v>
      </c>
      <c r="F45484" s="2" t="str">
        <f>HYPERLINK("http://www.otzar.org/book.asp?28349","תפארת המשנה")</f>
        <v>תפארת המשנה</v>
      </c>
    </row>
    <row r="45485" spans="1:6" x14ac:dyDescent="0.2">
      <c r="A45485" t="s">
        <v>68423</v>
      </c>
      <c r="B45485" t="s">
        <v>38369</v>
      </c>
      <c r="C45485" t="s">
        <v>11127</v>
      </c>
      <c r="D45485" t="s">
        <v>60</v>
      </c>
      <c r="E45485" t="s">
        <v>144</v>
      </c>
      <c r="F45485" s="2" t="str">
        <f>HYPERLINK("http://www.otzar.org/book.asp?5674","תפארת הצבי")</f>
        <v>תפארת הצבי</v>
      </c>
    </row>
    <row r="45486" spans="1:6" x14ac:dyDescent="0.2">
      <c r="A45486" t="s">
        <v>68424</v>
      </c>
      <c r="B45486" t="s">
        <v>21432</v>
      </c>
      <c r="C45486" t="s">
        <v>496</v>
      </c>
      <c r="D45486" t="s">
        <v>283</v>
      </c>
      <c r="E45486" t="s">
        <v>140</v>
      </c>
      <c r="F45486" s="2" t="str">
        <f>HYPERLINK("http://www.otzar.org/book.asp?10225","תפארת הצדיקים")</f>
        <v>תפארת הצדיקים</v>
      </c>
    </row>
    <row r="45487" spans="1:6" x14ac:dyDescent="0.2">
      <c r="A45487" t="s">
        <v>68425</v>
      </c>
      <c r="B45487" t="s">
        <v>68426</v>
      </c>
      <c r="C45487" t="s">
        <v>8002</v>
      </c>
      <c r="D45487" t="s">
        <v>2303</v>
      </c>
      <c r="E45487" t="s">
        <v>957</v>
      </c>
      <c r="F45487" s="2" t="str">
        <f>HYPERLINK("http://www.otzar.org/book.asp?103810","תפארת הקודש - 2 כר'")</f>
        <v>תפארת הקודש - 2 כר'</v>
      </c>
    </row>
    <row r="45488" spans="1:6" x14ac:dyDescent="0.2">
      <c r="A45488" t="s">
        <v>68427</v>
      </c>
      <c r="B45488" t="s">
        <v>68428</v>
      </c>
      <c r="C45488" t="s">
        <v>146</v>
      </c>
      <c r="D45488" t="s">
        <v>14</v>
      </c>
      <c r="F45488" s="2" t="str">
        <f>HYPERLINK("http://www.otzar.org/book.asp?615554","תפארת השבת - 5 כר'")</f>
        <v>תפארת השבת - 5 כר'</v>
      </c>
    </row>
    <row r="45489" spans="1:6" x14ac:dyDescent="0.2">
      <c r="A45489" t="s">
        <v>68429</v>
      </c>
      <c r="B45489" t="s">
        <v>1750</v>
      </c>
      <c r="C45489" t="s">
        <v>785</v>
      </c>
      <c r="D45489" t="s">
        <v>3406</v>
      </c>
      <c r="E45489" t="s">
        <v>2091</v>
      </c>
      <c r="F45489" s="2" t="str">
        <f>HYPERLINK("http://www.otzar.org/book.asp?143097","תפארת השבת")</f>
        <v>תפארת השבת</v>
      </c>
    </row>
    <row r="45490" spans="1:6" x14ac:dyDescent="0.2">
      <c r="A45490" t="s">
        <v>68429</v>
      </c>
      <c r="B45490" t="s">
        <v>6080</v>
      </c>
      <c r="C45490" t="s">
        <v>427</v>
      </c>
      <c r="D45490" t="s">
        <v>1356</v>
      </c>
      <c r="E45490" t="s">
        <v>4521</v>
      </c>
      <c r="F45490" s="2" t="str">
        <f>HYPERLINK("http://www.otzar.org/book.asp?10593","תפארת השבת")</f>
        <v>תפארת השבת</v>
      </c>
    </row>
    <row r="45491" spans="1:6" x14ac:dyDescent="0.2">
      <c r="A45491" t="s">
        <v>68430</v>
      </c>
      <c r="B45491" t="s">
        <v>68431</v>
      </c>
      <c r="C45491" t="s">
        <v>23</v>
      </c>
      <c r="D45491" t="s">
        <v>152</v>
      </c>
      <c r="E45491" t="s">
        <v>130</v>
      </c>
      <c r="F45491" s="2" t="str">
        <f>HYPERLINK("http://www.otzar.org/book.asp?193576","תפארת השבת - 2 כר'")</f>
        <v>תפארת השבת - 2 כר'</v>
      </c>
    </row>
    <row r="45492" spans="1:6" x14ac:dyDescent="0.2">
      <c r="A45492" t="s">
        <v>68432</v>
      </c>
      <c r="B45492" t="s">
        <v>30994</v>
      </c>
      <c r="C45492" t="s">
        <v>13</v>
      </c>
      <c r="D45492" t="s">
        <v>14</v>
      </c>
      <c r="F45492" s="2" t="str">
        <f>HYPERLINK("http://www.otzar.org/book.asp?613073","תפארת השבת - 7 כר'")</f>
        <v>תפארת השבת - 7 כר'</v>
      </c>
    </row>
    <row r="45493" spans="1:6" x14ac:dyDescent="0.2">
      <c r="A45493" t="s">
        <v>68433</v>
      </c>
      <c r="B45493" t="s">
        <v>13767</v>
      </c>
      <c r="C45493" t="s">
        <v>111</v>
      </c>
      <c r="D45493" t="s">
        <v>367</v>
      </c>
      <c r="E45493" t="s">
        <v>684</v>
      </c>
      <c r="F45493" s="2" t="str">
        <f>HYPERLINK("http://www.otzar.org/book.asp?631538","תפארת השולחן")</f>
        <v>תפארת השולחן</v>
      </c>
    </row>
    <row r="45494" spans="1:6" x14ac:dyDescent="0.2">
      <c r="A45494" t="s">
        <v>68434</v>
      </c>
      <c r="B45494" t="s">
        <v>63818</v>
      </c>
      <c r="C45494" t="s">
        <v>189</v>
      </c>
      <c r="D45494" t="s">
        <v>486</v>
      </c>
      <c r="F45494" s="2" t="str">
        <f>HYPERLINK("http://www.otzar.org/book.asp?612536","תפארת השמחה")</f>
        <v>תפארת השמחה</v>
      </c>
    </row>
    <row r="45495" spans="1:6" x14ac:dyDescent="0.2">
      <c r="A45495" t="s">
        <v>68435</v>
      </c>
      <c r="B45495" t="s">
        <v>68436</v>
      </c>
      <c r="C45495" t="s">
        <v>114</v>
      </c>
      <c r="D45495" t="s">
        <v>90</v>
      </c>
      <c r="F45495" s="2" t="str">
        <f>HYPERLINK("http://www.otzar.org/book.asp?611641","תפארת התורה")</f>
        <v>תפארת התורה</v>
      </c>
    </row>
    <row r="45496" spans="1:6" x14ac:dyDescent="0.2">
      <c r="A45496" t="s">
        <v>68435</v>
      </c>
      <c r="B45496" t="s">
        <v>489</v>
      </c>
      <c r="C45496" t="s">
        <v>68</v>
      </c>
      <c r="D45496" t="s">
        <v>486</v>
      </c>
      <c r="E45496" t="s">
        <v>202</v>
      </c>
      <c r="F45496" s="2" t="str">
        <f>HYPERLINK("http://www.otzar.org/book.asp?156335","תפארת התורה")</f>
        <v>תפארת התורה</v>
      </c>
    </row>
    <row r="45497" spans="1:6" x14ac:dyDescent="0.2">
      <c r="A45497" t="s">
        <v>68437</v>
      </c>
      <c r="B45497" t="s">
        <v>68438</v>
      </c>
      <c r="C45497" t="s">
        <v>151</v>
      </c>
      <c r="D45497" t="s">
        <v>52</v>
      </c>
      <c r="F45497" s="2" t="str">
        <f>HYPERLINK("http://www.otzar.org/book.asp?612507","תפארת זבולן")</f>
        <v>תפארת זבולן</v>
      </c>
    </row>
    <row r="45498" spans="1:6" x14ac:dyDescent="0.2">
      <c r="A45498" t="s">
        <v>68439</v>
      </c>
      <c r="B45498" t="s">
        <v>23097</v>
      </c>
      <c r="C45498" t="s">
        <v>68440</v>
      </c>
      <c r="D45498" t="s">
        <v>283</v>
      </c>
      <c r="E45498" t="s">
        <v>10</v>
      </c>
      <c r="F45498" s="2" t="str">
        <f>HYPERLINK("http://www.otzar.org/book.asp?151655","תפארת זיו - 2 כר'")</f>
        <v>תפארת זיו - 2 כר'</v>
      </c>
    </row>
    <row r="45499" spans="1:6" x14ac:dyDescent="0.2">
      <c r="A45499" t="s">
        <v>68441</v>
      </c>
      <c r="B45499" t="s">
        <v>8981</v>
      </c>
      <c r="C45499" t="s">
        <v>946</v>
      </c>
      <c r="D45499" t="s">
        <v>283</v>
      </c>
      <c r="E45499" t="s">
        <v>957</v>
      </c>
      <c r="F45499" s="2" t="str">
        <f>HYPERLINK("http://www.otzar.org/book.asp?16545","תפארת חיים - 2 כר'")</f>
        <v>תפארת חיים - 2 כר'</v>
      </c>
    </row>
    <row r="45500" spans="1:6" x14ac:dyDescent="0.2">
      <c r="A45500" t="s">
        <v>68442</v>
      </c>
      <c r="B45500" t="s">
        <v>68443</v>
      </c>
      <c r="C45500" t="s">
        <v>624</v>
      </c>
      <c r="D45500" t="s">
        <v>14</v>
      </c>
      <c r="E45500" t="s">
        <v>5392</v>
      </c>
      <c r="F45500" s="2" t="str">
        <f>HYPERLINK("http://www.otzar.org/book.asp?165184","תפארת חיים")</f>
        <v>תפארת חיים</v>
      </c>
    </row>
    <row r="45501" spans="1:6" x14ac:dyDescent="0.2">
      <c r="A45501" t="s">
        <v>68442</v>
      </c>
      <c r="B45501" t="s">
        <v>11557</v>
      </c>
      <c r="C45501" t="s">
        <v>1160</v>
      </c>
      <c r="D45501" t="s">
        <v>14</v>
      </c>
      <c r="E45501" t="s">
        <v>15</v>
      </c>
      <c r="F45501" s="2" t="str">
        <f>HYPERLINK("http://www.otzar.org/book.asp?25501","תפארת חיים")</f>
        <v>תפארת חיים</v>
      </c>
    </row>
    <row r="45502" spans="1:6" x14ac:dyDescent="0.2">
      <c r="A45502" t="s">
        <v>68442</v>
      </c>
      <c r="B45502" t="s">
        <v>489</v>
      </c>
      <c r="C45502" t="s">
        <v>20</v>
      </c>
      <c r="D45502" t="s">
        <v>1550</v>
      </c>
      <c r="E45502" t="s">
        <v>202</v>
      </c>
      <c r="F45502" s="2" t="str">
        <f>HYPERLINK("http://www.otzar.org/book.asp?165831","תפארת חיים")</f>
        <v>תפארת חיים</v>
      </c>
    </row>
    <row r="45503" spans="1:6" x14ac:dyDescent="0.2">
      <c r="A45503" t="s">
        <v>68442</v>
      </c>
      <c r="B45503" t="s">
        <v>68444</v>
      </c>
      <c r="C45503" t="s">
        <v>2543</v>
      </c>
      <c r="D45503" t="s">
        <v>6201</v>
      </c>
      <c r="E45503" t="s">
        <v>803</v>
      </c>
      <c r="F45503" s="2" t="str">
        <f>HYPERLINK("http://www.otzar.org/book.asp?28304","תפארת חיים")</f>
        <v>תפארת חיים</v>
      </c>
    </row>
    <row r="45504" spans="1:6" x14ac:dyDescent="0.2">
      <c r="A45504" t="s">
        <v>68445</v>
      </c>
      <c r="B45504" t="s">
        <v>776</v>
      </c>
      <c r="C45504" t="s">
        <v>3840</v>
      </c>
      <c r="D45504" t="s">
        <v>260</v>
      </c>
      <c r="E45504" t="s">
        <v>104</v>
      </c>
      <c r="F45504" s="2" t="str">
        <f>HYPERLINK("http://www.otzar.org/book.asp?145142","תפארת חן")</f>
        <v>תפארת חן</v>
      </c>
    </row>
    <row r="45505" spans="1:6" x14ac:dyDescent="0.2">
      <c r="A45505" t="s">
        <v>68446</v>
      </c>
      <c r="B45505" t="s">
        <v>68447</v>
      </c>
      <c r="C45505" t="s">
        <v>37</v>
      </c>
      <c r="D45505" t="s">
        <v>14</v>
      </c>
      <c r="E45505" t="s">
        <v>104</v>
      </c>
      <c r="F45505" s="2" t="str">
        <f>HYPERLINK("http://www.otzar.org/book.asp?189778","תפארת חתנים")</f>
        <v>תפארת חתנים</v>
      </c>
    </row>
    <row r="45506" spans="1:6" x14ac:dyDescent="0.2">
      <c r="A45506" t="s">
        <v>68448</v>
      </c>
      <c r="B45506" t="s">
        <v>2063</v>
      </c>
      <c r="C45506" t="s">
        <v>68449</v>
      </c>
      <c r="D45506" t="s">
        <v>3293</v>
      </c>
      <c r="E45506" t="s">
        <v>154</v>
      </c>
      <c r="F45506" s="2" t="str">
        <f>HYPERLINK("http://www.otzar.org/book.asp?52075","תפארת ידידיה")</f>
        <v>תפארת ידידיה</v>
      </c>
    </row>
    <row r="45507" spans="1:6" x14ac:dyDescent="0.2">
      <c r="A45507" t="s">
        <v>68450</v>
      </c>
      <c r="B45507" t="s">
        <v>68451</v>
      </c>
      <c r="C45507" t="s">
        <v>908</v>
      </c>
      <c r="D45507" t="s">
        <v>27</v>
      </c>
      <c r="E45507" t="s">
        <v>1880</v>
      </c>
      <c r="F45507" s="2" t="str">
        <f>HYPERLINK("http://www.otzar.org/book.asp?19291","תפארת יהונתן")</f>
        <v>תפארת יהונתן</v>
      </c>
    </row>
    <row r="45508" spans="1:6" x14ac:dyDescent="0.2">
      <c r="A45508" t="s">
        <v>68450</v>
      </c>
      <c r="B45508" t="s">
        <v>1990</v>
      </c>
      <c r="C45508" t="s">
        <v>266</v>
      </c>
      <c r="D45508" t="s">
        <v>8579</v>
      </c>
      <c r="E45508" t="s">
        <v>1235</v>
      </c>
      <c r="F45508" s="2" t="str">
        <f>HYPERLINK("http://www.otzar.org/book.asp?5370","תפארת יהונתן")</f>
        <v>תפארת יהונתן</v>
      </c>
    </row>
    <row r="45509" spans="1:6" x14ac:dyDescent="0.2">
      <c r="A45509" t="s">
        <v>68450</v>
      </c>
      <c r="B45509" t="s">
        <v>338</v>
      </c>
      <c r="C45509" t="s">
        <v>23</v>
      </c>
      <c r="D45509" t="s">
        <v>14</v>
      </c>
      <c r="E45509" t="s">
        <v>158</v>
      </c>
      <c r="F45509" s="2" t="str">
        <f>HYPERLINK("http://www.otzar.org/book.asp?608675","תפארת יהונתן")</f>
        <v>תפארת יהונתן</v>
      </c>
    </row>
    <row r="45510" spans="1:6" x14ac:dyDescent="0.2">
      <c r="A45510" t="s">
        <v>68452</v>
      </c>
      <c r="B45510" t="s">
        <v>68453</v>
      </c>
      <c r="C45510" t="s">
        <v>533</v>
      </c>
      <c r="D45510" t="s">
        <v>14</v>
      </c>
      <c r="E45510" t="s">
        <v>84</v>
      </c>
      <c r="F45510" s="2" t="str">
        <f>HYPERLINK("http://www.otzar.org/book.asp?84792","תפארת יהושע")</f>
        <v>תפארת יהושע</v>
      </c>
    </row>
    <row r="45511" spans="1:6" x14ac:dyDescent="0.2">
      <c r="A45511" t="s">
        <v>68452</v>
      </c>
      <c r="B45511" t="s">
        <v>68454</v>
      </c>
      <c r="C45511" t="s">
        <v>87</v>
      </c>
      <c r="D45511" t="s">
        <v>412</v>
      </c>
      <c r="E45511" t="s">
        <v>3567</v>
      </c>
      <c r="F45511" s="2" t="str">
        <f>HYPERLINK("http://www.otzar.org/book.asp?23656","תפארת יהושע")</f>
        <v>תפארת יהושע</v>
      </c>
    </row>
    <row r="45512" spans="1:6" x14ac:dyDescent="0.2">
      <c r="A45512" t="s">
        <v>68452</v>
      </c>
      <c r="B45512" t="s">
        <v>1750</v>
      </c>
      <c r="C45512" t="s">
        <v>244</v>
      </c>
      <c r="D45512" t="s">
        <v>90</v>
      </c>
      <c r="E45512" t="s">
        <v>202</v>
      </c>
      <c r="F45512" s="2" t="str">
        <f>HYPERLINK("http://www.otzar.org/book.asp?199852","תפארת יהושע")</f>
        <v>תפארת יהושע</v>
      </c>
    </row>
    <row r="45513" spans="1:6" x14ac:dyDescent="0.2">
      <c r="A45513" t="s">
        <v>68455</v>
      </c>
      <c r="B45513" t="s">
        <v>68456</v>
      </c>
      <c r="C45513" t="s">
        <v>244</v>
      </c>
      <c r="D45513" t="s">
        <v>21</v>
      </c>
      <c r="F45513" s="2" t="str">
        <f>HYPERLINK("http://www.otzar.org/book.asp?621717","תפארת יונה - 7 כר'")</f>
        <v>תפארת יונה - 7 כר'</v>
      </c>
    </row>
    <row r="45514" spans="1:6" x14ac:dyDescent="0.2">
      <c r="A45514" t="s">
        <v>68457</v>
      </c>
      <c r="B45514" t="s">
        <v>68458</v>
      </c>
      <c r="C45514" t="s">
        <v>1208</v>
      </c>
      <c r="D45514" t="s">
        <v>52</v>
      </c>
      <c r="E45514" t="s">
        <v>158</v>
      </c>
      <c r="F45514" s="2" t="str">
        <f>HYPERLINK("http://www.otzar.org/book.asp?144740","תפארת יוסף")</f>
        <v>תפארת יוסף</v>
      </c>
    </row>
    <row r="45515" spans="1:6" x14ac:dyDescent="0.2">
      <c r="A45515" t="s">
        <v>68459</v>
      </c>
      <c r="B45515" t="s">
        <v>46346</v>
      </c>
      <c r="C45515" t="s">
        <v>133</v>
      </c>
      <c r="D45515" t="s">
        <v>52</v>
      </c>
      <c r="E45515" t="s">
        <v>803</v>
      </c>
      <c r="F45515" s="2" t="str">
        <f>HYPERLINK("http://www.otzar.org/book.asp?175995","תפארת יוסף - 2 כר'")</f>
        <v>תפארת יוסף - 2 כר'</v>
      </c>
    </row>
    <row r="45516" spans="1:6" x14ac:dyDescent="0.2">
      <c r="A45516" t="s">
        <v>68457</v>
      </c>
      <c r="B45516" t="s">
        <v>48730</v>
      </c>
      <c r="C45516" t="s">
        <v>7158</v>
      </c>
      <c r="D45516" t="s">
        <v>744</v>
      </c>
      <c r="E45516" t="s">
        <v>158</v>
      </c>
      <c r="F45516" s="2" t="str">
        <f>HYPERLINK("http://www.otzar.org/book.asp?14093","תפארת יוסף")</f>
        <v>תפארת יוסף</v>
      </c>
    </row>
    <row r="45517" spans="1:6" x14ac:dyDescent="0.2">
      <c r="A45517" t="s">
        <v>68457</v>
      </c>
      <c r="B45517" t="s">
        <v>57971</v>
      </c>
      <c r="C45517" t="s">
        <v>390</v>
      </c>
      <c r="D45517" t="s">
        <v>14</v>
      </c>
      <c r="E45517" t="s">
        <v>1185</v>
      </c>
      <c r="F45517" s="2" t="str">
        <f>HYPERLINK("http://www.otzar.org/book.asp?11010","תפארת יוסף")</f>
        <v>תפארת יוסף</v>
      </c>
    </row>
    <row r="45518" spans="1:6" x14ac:dyDescent="0.2">
      <c r="A45518" t="s">
        <v>68457</v>
      </c>
      <c r="B45518" t="s">
        <v>51276</v>
      </c>
      <c r="C45518" t="s">
        <v>1058</v>
      </c>
      <c r="D45518" t="s">
        <v>855</v>
      </c>
      <c r="E45518" t="s">
        <v>154</v>
      </c>
      <c r="F45518" s="2" t="str">
        <f>HYPERLINK("http://www.otzar.org/book.asp?9474","תפארת יוסף")</f>
        <v>תפארת יוסף</v>
      </c>
    </row>
    <row r="45519" spans="1:6" x14ac:dyDescent="0.2">
      <c r="A45519" t="s">
        <v>68460</v>
      </c>
      <c r="B45519" t="s">
        <v>3493</v>
      </c>
      <c r="C45519" t="s">
        <v>103</v>
      </c>
      <c r="D45519" t="s">
        <v>14</v>
      </c>
      <c r="E45519" t="s">
        <v>158</v>
      </c>
      <c r="F45519" s="2" t="str">
        <f>HYPERLINK("http://www.otzar.org/book.asp?108375","תפארת יוסף - 3 כר'")</f>
        <v>תפארת יוסף - 3 כר'</v>
      </c>
    </row>
    <row r="45520" spans="1:6" x14ac:dyDescent="0.2">
      <c r="A45520" t="s">
        <v>68457</v>
      </c>
      <c r="B45520" t="s">
        <v>68461</v>
      </c>
      <c r="C45520" t="s">
        <v>1169</v>
      </c>
      <c r="D45520" t="s">
        <v>14</v>
      </c>
      <c r="E45520" t="s">
        <v>144</v>
      </c>
      <c r="F45520" s="2" t="str">
        <f>HYPERLINK("http://www.otzar.org/book.asp?85292","תפארת יוסף")</f>
        <v>תפארת יוסף</v>
      </c>
    </row>
    <row r="45521" spans="1:6" x14ac:dyDescent="0.2">
      <c r="A45521" t="s">
        <v>68459</v>
      </c>
      <c r="B45521" t="s">
        <v>25139</v>
      </c>
      <c r="C45521" t="s">
        <v>68462</v>
      </c>
      <c r="D45521" t="s">
        <v>9</v>
      </c>
      <c r="E45521" t="s">
        <v>144</v>
      </c>
      <c r="F45521" s="2" t="str">
        <f>HYPERLINK("http://www.otzar.org/book.asp?52076","תפארת יוסף - 2 כר'")</f>
        <v>תפארת יוסף - 2 כר'</v>
      </c>
    </row>
    <row r="45522" spans="1:6" x14ac:dyDescent="0.2">
      <c r="A45522" t="s">
        <v>68463</v>
      </c>
      <c r="B45522" t="s">
        <v>68464</v>
      </c>
      <c r="C45522" t="s">
        <v>334</v>
      </c>
      <c r="D45522" t="s">
        <v>14</v>
      </c>
      <c r="E45522" t="s">
        <v>158</v>
      </c>
      <c r="F45522" s="2" t="str">
        <f>HYPERLINK("http://www.otzar.org/book.asp?144630","תפארת יחזקאל - 2 כר'")</f>
        <v>תפארת יחזקאל - 2 כר'</v>
      </c>
    </row>
    <row r="45523" spans="1:6" x14ac:dyDescent="0.2">
      <c r="A45523" t="s">
        <v>68465</v>
      </c>
      <c r="B45523" t="s">
        <v>68466</v>
      </c>
      <c r="C45523" t="s">
        <v>103</v>
      </c>
      <c r="D45523" t="s">
        <v>412</v>
      </c>
      <c r="E45523" t="s">
        <v>68467</v>
      </c>
      <c r="F45523" s="2" t="str">
        <f>HYPERLINK("http://www.otzar.org/book.asp?153748","תפארת יעקב  יוסף")</f>
        <v>תפארת יעקב  יוסף</v>
      </c>
    </row>
    <row r="45524" spans="1:6" x14ac:dyDescent="0.2">
      <c r="A45524" t="s">
        <v>68468</v>
      </c>
      <c r="B45524" t="s">
        <v>68469</v>
      </c>
      <c r="C45524" t="s">
        <v>533</v>
      </c>
      <c r="D45524" t="s">
        <v>216</v>
      </c>
      <c r="E45524" t="s">
        <v>579</v>
      </c>
      <c r="F45524" s="2" t="str">
        <f>HYPERLINK("http://www.otzar.org/book.asp?153995","תפארת יעקב מנחת אליהו")</f>
        <v>תפארת יעקב מנחת אליהו</v>
      </c>
    </row>
    <row r="45525" spans="1:6" x14ac:dyDescent="0.2">
      <c r="A45525" t="s">
        <v>68470</v>
      </c>
      <c r="B45525" t="s">
        <v>68471</v>
      </c>
      <c r="C45525" t="s">
        <v>1310</v>
      </c>
      <c r="D45525" t="s">
        <v>283</v>
      </c>
      <c r="E45525" t="s">
        <v>325</v>
      </c>
      <c r="F45525" s="2" t="str">
        <f>HYPERLINK("http://www.otzar.org/book.asp?141958","תפארת יעקב - 10 כר'")</f>
        <v>תפארת יעקב - 10 כר'</v>
      </c>
    </row>
    <row r="45526" spans="1:6" x14ac:dyDescent="0.2">
      <c r="A45526" t="s">
        <v>68472</v>
      </c>
      <c r="B45526" t="s">
        <v>68473</v>
      </c>
      <c r="C45526" t="s">
        <v>114</v>
      </c>
      <c r="D45526" t="s">
        <v>90</v>
      </c>
      <c r="E45526" t="s">
        <v>158</v>
      </c>
      <c r="F45526" s="2" t="str">
        <f>HYPERLINK("http://www.otzar.org/book.asp?195620","תפארת יעקב")</f>
        <v>תפארת יעקב</v>
      </c>
    </row>
    <row r="45527" spans="1:6" x14ac:dyDescent="0.2">
      <c r="A45527" t="s">
        <v>68472</v>
      </c>
      <c r="B45527" t="s">
        <v>68474</v>
      </c>
      <c r="C45527" t="s">
        <v>2870</v>
      </c>
      <c r="D45527" t="s">
        <v>5050</v>
      </c>
      <c r="E45527" t="s">
        <v>27569</v>
      </c>
      <c r="F45527" s="2" t="str">
        <f>HYPERLINK("http://www.otzar.org/book.asp?188689","תפארת יעקב")</f>
        <v>תפארת יעקב</v>
      </c>
    </row>
    <row r="45528" spans="1:6" x14ac:dyDescent="0.2">
      <c r="A45528" t="s">
        <v>68472</v>
      </c>
      <c r="B45528" t="s">
        <v>17327</v>
      </c>
      <c r="C45528" t="s">
        <v>558</v>
      </c>
      <c r="D45528" t="s">
        <v>379</v>
      </c>
      <c r="E45528" t="s">
        <v>158</v>
      </c>
      <c r="F45528" s="2" t="str">
        <f>HYPERLINK("http://www.otzar.org/book.asp?7988","תפארת יעקב")</f>
        <v>תפארת יעקב</v>
      </c>
    </row>
    <row r="45529" spans="1:6" x14ac:dyDescent="0.2">
      <c r="A45529" t="s">
        <v>68472</v>
      </c>
      <c r="B45529" t="s">
        <v>68475</v>
      </c>
      <c r="C45529" t="s">
        <v>411</v>
      </c>
      <c r="D45529" t="s">
        <v>14</v>
      </c>
      <c r="E45529" t="s">
        <v>68476</v>
      </c>
      <c r="F45529" s="2" t="str">
        <f>HYPERLINK("http://www.otzar.org/book.asp?169965","תפארת יעקב")</f>
        <v>תפארת יעקב</v>
      </c>
    </row>
    <row r="45530" spans="1:6" x14ac:dyDescent="0.2">
      <c r="A45530" t="s">
        <v>68477</v>
      </c>
      <c r="B45530" t="s">
        <v>68478</v>
      </c>
      <c r="C45530" t="s">
        <v>767</v>
      </c>
      <c r="D45530" t="s">
        <v>21</v>
      </c>
      <c r="E45530" t="s">
        <v>15</v>
      </c>
      <c r="F45530" s="2" t="str">
        <f>HYPERLINK("http://www.otzar.org/book.asp?195756","תפארת יעקב - 2 כר'")</f>
        <v>תפארת יעקב - 2 כר'</v>
      </c>
    </row>
    <row r="45531" spans="1:6" x14ac:dyDescent="0.2">
      <c r="A45531" t="s">
        <v>68472</v>
      </c>
      <c r="B45531" t="s">
        <v>68479</v>
      </c>
      <c r="C45531" t="s">
        <v>1096</v>
      </c>
      <c r="D45531" t="s">
        <v>56</v>
      </c>
      <c r="E45531" t="s">
        <v>38</v>
      </c>
      <c r="F45531" s="2" t="str">
        <f>HYPERLINK("http://www.otzar.org/book.asp?172507","תפארת יעקב")</f>
        <v>תפארת יעקב</v>
      </c>
    </row>
    <row r="45532" spans="1:6" x14ac:dyDescent="0.2">
      <c r="A45532" t="s">
        <v>68480</v>
      </c>
      <c r="B45532" t="s">
        <v>65049</v>
      </c>
      <c r="C45532" t="s">
        <v>462</v>
      </c>
      <c r="D45532" t="s">
        <v>225</v>
      </c>
      <c r="E45532" t="s">
        <v>234</v>
      </c>
      <c r="F45532" s="2" t="str">
        <f>HYPERLINK("http://www.otzar.org/book.asp?188690","תפארת יצחק")</f>
        <v>תפארת יצחק</v>
      </c>
    </row>
    <row r="45533" spans="1:6" x14ac:dyDescent="0.2">
      <c r="A45533" t="s">
        <v>68481</v>
      </c>
      <c r="B45533" t="s">
        <v>3166</v>
      </c>
      <c r="C45533" t="s">
        <v>1208</v>
      </c>
      <c r="D45533" t="s">
        <v>14</v>
      </c>
      <c r="E45533" t="s">
        <v>424</v>
      </c>
      <c r="F45533" s="2" t="str">
        <f>HYPERLINK("http://www.otzar.org/book.asp?23689","תפארת יצחק - על ספר הזכרון")</f>
        <v>תפארת יצחק - על ספר הזכרון</v>
      </c>
    </row>
    <row r="45534" spans="1:6" x14ac:dyDescent="0.2">
      <c r="A45534" t="s">
        <v>68480</v>
      </c>
      <c r="B45534" t="s">
        <v>68482</v>
      </c>
      <c r="C45534" t="s">
        <v>585</v>
      </c>
      <c r="D45534" t="s">
        <v>14</v>
      </c>
      <c r="E45534" t="s">
        <v>10678</v>
      </c>
      <c r="F45534" s="2" t="str">
        <f>HYPERLINK("http://www.otzar.org/book.asp?144184","תפארת יצחק")</f>
        <v>תפארת יצחק</v>
      </c>
    </row>
    <row r="45535" spans="1:6" x14ac:dyDescent="0.2">
      <c r="A45535" t="s">
        <v>68483</v>
      </c>
      <c r="B45535" t="s">
        <v>1750</v>
      </c>
      <c r="C45535" t="s">
        <v>103</v>
      </c>
      <c r="D45535" t="s">
        <v>423</v>
      </c>
      <c r="E45535" t="s">
        <v>202</v>
      </c>
      <c r="F45535" s="2" t="str">
        <f>HYPERLINK("http://www.otzar.org/book.asp?50652","תפארת יצחק - 2 כר'")</f>
        <v>תפארת יצחק - 2 כר'</v>
      </c>
    </row>
    <row r="45536" spans="1:6" x14ac:dyDescent="0.2">
      <c r="A45536" t="s">
        <v>68484</v>
      </c>
      <c r="B45536" t="s">
        <v>23127</v>
      </c>
      <c r="C45536" t="s">
        <v>37</v>
      </c>
      <c r="D45536" t="s">
        <v>412</v>
      </c>
      <c r="E45536" t="s">
        <v>10013</v>
      </c>
      <c r="F45536" s="2" t="str">
        <f>HYPERLINK("http://www.otzar.org/book.asp?176819","תפארת ירושלים &lt;מהדורה חדשה&gt; - 2 כר'")</f>
        <v>תפארת ירושלים &lt;מהדורה חדשה&gt; - 2 כר'</v>
      </c>
    </row>
    <row r="45537" spans="1:6" x14ac:dyDescent="0.2">
      <c r="A45537" t="s">
        <v>68485</v>
      </c>
      <c r="B45537" t="s">
        <v>25474</v>
      </c>
      <c r="C45537" t="s">
        <v>1166</v>
      </c>
      <c r="D45537" t="s">
        <v>8830</v>
      </c>
      <c r="F45537" s="2" t="str">
        <f>HYPERLINK("http://www.otzar.org/book.asp?622873","תפארת ירושלים ואמרי שפ""ר")</f>
        <v>תפארת ירושלים ואמרי שפ"ר</v>
      </c>
    </row>
    <row r="45538" spans="1:6" x14ac:dyDescent="0.2">
      <c r="A45538" t="s">
        <v>68486</v>
      </c>
      <c r="B45538" t="s">
        <v>1750</v>
      </c>
      <c r="C45538" t="s">
        <v>286</v>
      </c>
      <c r="D45538" t="s">
        <v>27</v>
      </c>
      <c r="E45538" t="s">
        <v>202</v>
      </c>
      <c r="F45538" s="2" t="str">
        <f>HYPERLINK("http://www.otzar.org/book.asp?20393","תפארת ירושלם - א")</f>
        <v>תפארת ירושלם - א</v>
      </c>
    </row>
    <row r="45539" spans="1:6" x14ac:dyDescent="0.2">
      <c r="A45539" t="s">
        <v>68487</v>
      </c>
      <c r="B45539" t="s">
        <v>107</v>
      </c>
      <c r="C45539" t="s">
        <v>87</v>
      </c>
      <c r="D45539" t="s">
        <v>14</v>
      </c>
      <c r="E45539" t="s">
        <v>104</v>
      </c>
      <c r="F45539" s="2" t="str">
        <f>HYPERLINK("http://www.otzar.org/book.asp?84026","תפארת יריחו")</f>
        <v>תפארת יריחו</v>
      </c>
    </row>
    <row r="45540" spans="1:6" x14ac:dyDescent="0.2">
      <c r="A45540" t="s">
        <v>68488</v>
      </c>
      <c r="B45540" t="s">
        <v>1750</v>
      </c>
      <c r="C45540" t="s">
        <v>286</v>
      </c>
      <c r="D45540" t="s">
        <v>27</v>
      </c>
      <c r="E45540" t="s">
        <v>202</v>
      </c>
      <c r="F45540" s="2" t="str">
        <f>HYPERLINK("http://www.otzar.org/book.asp?625681","תפארת ירשלים - ב")</f>
        <v>תפארת ירשלים - ב</v>
      </c>
    </row>
    <row r="45541" spans="1:6" x14ac:dyDescent="0.2">
      <c r="A45541" t="s">
        <v>68489</v>
      </c>
      <c r="B45541" t="s">
        <v>3923</v>
      </c>
      <c r="C45541" t="s">
        <v>168</v>
      </c>
      <c r="D45541" t="s">
        <v>216</v>
      </c>
      <c r="E45541" t="s">
        <v>241</v>
      </c>
      <c r="F45541" s="2" t="str">
        <f>HYPERLINK("http://www.otzar.org/book.asp?144906","תפארת ישראל &lt;מהדורת פרדס&gt;")</f>
        <v>תפארת ישראל &lt;מהדורת פרדס&gt;</v>
      </c>
    </row>
    <row r="45542" spans="1:6" x14ac:dyDescent="0.2">
      <c r="A45542" t="s">
        <v>68490</v>
      </c>
      <c r="B45542" t="s">
        <v>3923</v>
      </c>
      <c r="C45542" t="s">
        <v>313</v>
      </c>
      <c r="D45542" t="s">
        <v>21</v>
      </c>
      <c r="F45542" s="2" t="str">
        <f>HYPERLINK("http://www.otzar.org/book.asp?194704","תפארת ישראל &lt;מכון ירושלים&gt; - 3 כר'")</f>
        <v>תפארת ישראל &lt;מכון ירושלים&gt; - 3 כר'</v>
      </c>
    </row>
    <row r="45543" spans="1:6" x14ac:dyDescent="0.2">
      <c r="A45543" t="s">
        <v>68491</v>
      </c>
      <c r="B45543" t="s">
        <v>25252</v>
      </c>
      <c r="C45543" t="s">
        <v>7364</v>
      </c>
      <c r="D45543" t="s">
        <v>8167</v>
      </c>
      <c r="E45543" t="s">
        <v>43</v>
      </c>
      <c r="F45543" s="2" t="str">
        <f>HYPERLINK("http://www.otzar.org/book.asp?12901","תפארת ישראל &lt;זרע ישראל&gt;")</f>
        <v>תפארת ישראל &lt;זרע ישראל&gt;</v>
      </c>
    </row>
    <row r="45544" spans="1:6" x14ac:dyDescent="0.2">
      <c r="A45544" t="s">
        <v>68492</v>
      </c>
      <c r="B45544" t="s">
        <v>61356</v>
      </c>
      <c r="C45544" t="s">
        <v>87</v>
      </c>
      <c r="D45544" t="s">
        <v>21</v>
      </c>
      <c r="E45544" t="s">
        <v>230</v>
      </c>
      <c r="F45544" s="2" t="str">
        <f>HYPERLINK("http://www.otzar.org/book.asp?600260","תפארת ישראל &lt;מהדורה חדשה&gt;")</f>
        <v>תפארת ישראל &lt;מהדורה חדשה&gt;</v>
      </c>
    </row>
    <row r="45545" spans="1:6" x14ac:dyDescent="0.2">
      <c r="A45545" t="s">
        <v>68493</v>
      </c>
      <c r="B45545" t="s">
        <v>68494</v>
      </c>
      <c r="C45545" t="s">
        <v>13</v>
      </c>
      <c r="D45545" t="s">
        <v>52</v>
      </c>
      <c r="E45545" t="s">
        <v>140</v>
      </c>
      <c r="F45545" s="2" t="str">
        <f>HYPERLINK("http://www.otzar.org/book.asp?144941","תפארת ישראל &lt;מהדורה חדשה&gt; - א")</f>
        <v>תפארת ישראל &lt;מהדורה חדשה&gt; - א</v>
      </c>
    </row>
    <row r="45546" spans="1:6" x14ac:dyDescent="0.2">
      <c r="A45546" t="s">
        <v>68495</v>
      </c>
      <c r="B45546" t="s">
        <v>732</v>
      </c>
      <c r="C45546" t="s">
        <v>725</v>
      </c>
      <c r="D45546" t="s">
        <v>27</v>
      </c>
      <c r="E45546" t="s">
        <v>119</v>
      </c>
      <c r="F45546" s="2" t="str">
        <f>HYPERLINK("http://www.otzar.org/book.asp?173152","תפארת ישראל בארץ ישראל")</f>
        <v>תפארת ישראל בארץ ישראל</v>
      </c>
    </row>
    <row r="45547" spans="1:6" x14ac:dyDescent="0.2">
      <c r="A45547" t="s">
        <v>68496</v>
      </c>
      <c r="C45547" t="s">
        <v>6784</v>
      </c>
      <c r="D45547" t="s">
        <v>68497</v>
      </c>
      <c r="F45547" s="2" t="str">
        <f>HYPERLINK("http://www.otzar.org/book.asp?626535","תפארת ישראל")</f>
        <v>תפארת ישראל</v>
      </c>
    </row>
    <row r="45548" spans="1:6" x14ac:dyDescent="0.2">
      <c r="A45548" t="s">
        <v>68496</v>
      </c>
      <c r="B45548" t="s">
        <v>1990</v>
      </c>
      <c r="C45548" t="s">
        <v>1335</v>
      </c>
      <c r="D45548" t="s">
        <v>307</v>
      </c>
      <c r="F45548" s="2" t="str">
        <f>HYPERLINK("http://www.otzar.org/book.asp?25625","תפארת ישראל")</f>
        <v>תפארת ישראל</v>
      </c>
    </row>
    <row r="45549" spans="1:6" x14ac:dyDescent="0.2">
      <c r="A45549" t="s">
        <v>68498</v>
      </c>
      <c r="B45549" t="s">
        <v>68499</v>
      </c>
      <c r="C45549" t="s">
        <v>114</v>
      </c>
      <c r="D45549" t="s">
        <v>118</v>
      </c>
      <c r="E45549" t="s">
        <v>15</v>
      </c>
      <c r="F45549" s="2" t="str">
        <f>HYPERLINK("http://www.otzar.org/book.asp?165578","תפארת ישראל - א")</f>
        <v>תפארת ישראל - א</v>
      </c>
    </row>
    <row r="45550" spans="1:6" x14ac:dyDescent="0.2">
      <c r="A45550" t="s">
        <v>68496</v>
      </c>
      <c r="B45550" t="s">
        <v>27365</v>
      </c>
      <c r="C45550" t="s">
        <v>3942</v>
      </c>
      <c r="D45550" t="s">
        <v>49</v>
      </c>
      <c r="E45550" t="s">
        <v>68500</v>
      </c>
      <c r="F45550" s="2" t="str">
        <f>HYPERLINK("http://www.otzar.org/book.asp?104231","תפארת ישראל")</f>
        <v>תפארת ישראל</v>
      </c>
    </row>
    <row r="45551" spans="1:6" x14ac:dyDescent="0.2">
      <c r="A45551" t="s">
        <v>68501</v>
      </c>
      <c r="B45551" t="s">
        <v>35571</v>
      </c>
      <c r="C45551" t="s">
        <v>411</v>
      </c>
      <c r="D45551" t="s">
        <v>14</v>
      </c>
      <c r="E45551" t="s">
        <v>144</v>
      </c>
      <c r="F45551" s="2" t="str">
        <f>HYPERLINK("http://www.otzar.org/book.asp?172192","תפארת ישראל - בבא בתרא")</f>
        <v>תפארת ישראל - בבא בתרא</v>
      </c>
    </row>
    <row r="45552" spans="1:6" x14ac:dyDescent="0.2">
      <c r="A45552" t="s">
        <v>68502</v>
      </c>
      <c r="B45552" t="s">
        <v>62834</v>
      </c>
      <c r="C45552" t="s">
        <v>114</v>
      </c>
      <c r="D45552" t="s">
        <v>14</v>
      </c>
      <c r="E45552" t="s">
        <v>144</v>
      </c>
      <c r="F45552" s="2" t="str">
        <f>HYPERLINK("http://www.otzar.org/book.asp?166942","תפארת ישראל - 3 כר'")</f>
        <v>תפארת ישראל - 3 כר'</v>
      </c>
    </row>
    <row r="45553" spans="1:6" x14ac:dyDescent="0.2">
      <c r="A45553" t="s">
        <v>68496</v>
      </c>
      <c r="B45553" t="s">
        <v>47105</v>
      </c>
      <c r="C45553" t="s">
        <v>896</v>
      </c>
      <c r="D45553" t="s">
        <v>535</v>
      </c>
      <c r="E45553" t="s">
        <v>957</v>
      </c>
      <c r="F45553" s="2" t="str">
        <f>HYPERLINK("http://www.otzar.org/book.asp?103807","תפארת ישראל")</f>
        <v>תפארת ישראל</v>
      </c>
    </row>
    <row r="45554" spans="1:6" x14ac:dyDescent="0.2">
      <c r="A45554" t="s">
        <v>68503</v>
      </c>
      <c r="B45554" t="s">
        <v>30124</v>
      </c>
      <c r="C45554" t="s">
        <v>442</v>
      </c>
      <c r="D45554" t="s">
        <v>412</v>
      </c>
      <c r="E45554" t="s">
        <v>4656</v>
      </c>
      <c r="F45554" s="2" t="str">
        <f>HYPERLINK("http://www.otzar.org/book.asp?149657","תפארת ישראל - 4 כר'")</f>
        <v>תפארת ישראל - 4 כר'</v>
      </c>
    </row>
    <row r="45555" spans="1:6" x14ac:dyDescent="0.2">
      <c r="A45555" t="s">
        <v>68496</v>
      </c>
      <c r="B45555" t="s">
        <v>480</v>
      </c>
      <c r="C45555" t="s">
        <v>46</v>
      </c>
      <c r="D45555" t="s">
        <v>27</v>
      </c>
      <c r="E45555" t="s">
        <v>140</v>
      </c>
      <c r="F45555" s="2" t="str">
        <f>HYPERLINK("http://www.otzar.org/book.asp?10534","תפארת ישראל")</f>
        <v>תפארת ישראל</v>
      </c>
    </row>
    <row r="45556" spans="1:6" x14ac:dyDescent="0.2">
      <c r="A45556" t="s">
        <v>68504</v>
      </c>
      <c r="B45556" t="s">
        <v>3923</v>
      </c>
      <c r="C45556" t="s">
        <v>20</v>
      </c>
      <c r="D45556" t="s">
        <v>14</v>
      </c>
      <c r="E45556" t="s">
        <v>241</v>
      </c>
      <c r="F45556" s="2" t="str">
        <f>HYPERLINK("http://www.otzar.org/book.asp?6721","תפארת ישראל - 2 כר'")</f>
        <v>תפארת ישראל - 2 כר'</v>
      </c>
    </row>
    <row r="45557" spans="1:6" x14ac:dyDescent="0.2">
      <c r="A45557" t="s">
        <v>68496</v>
      </c>
      <c r="B45557" t="s">
        <v>3941</v>
      </c>
      <c r="C45557" t="s">
        <v>2225</v>
      </c>
      <c r="D45557" t="s">
        <v>49</v>
      </c>
      <c r="F45557" s="2" t="str">
        <f>HYPERLINK("http://www.otzar.org/book.asp?152792","תפארת ישראל")</f>
        <v>תפארת ישראל</v>
      </c>
    </row>
    <row r="45558" spans="1:6" x14ac:dyDescent="0.2">
      <c r="A45558" t="s">
        <v>68496</v>
      </c>
      <c r="B45558" t="s">
        <v>4052</v>
      </c>
      <c r="C45558" t="s">
        <v>6895</v>
      </c>
      <c r="D45558" t="s">
        <v>2290</v>
      </c>
      <c r="E45558" t="s">
        <v>467</v>
      </c>
      <c r="F45558" s="2" t="str">
        <f>HYPERLINK("http://www.otzar.org/book.asp?6496","תפארת ישראל")</f>
        <v>תפארת ישראל</v>
      </c>
    </row>
    <row r="45559" spans="1:6" x14ac:dyDescent="0.2">
      <c r="A45559" t="s">
        <v>68502</v>
      </c>
      <c r="B45559" t="s">
        <v>29922</v>
      </c>
      <c r="C45559" t="s">
        <v>129</v>
      </c>
      <c r="D45559" t="s">
        <v>14</v>
      </c>
      <c r="E45559" t="s">
        <v>186</v>
      </c>
      <c r="F45559" s="2" t="str">
        <f>HYPERLINK("http://www.otzar.org/book.asp?85208","תפארת ישראל - 3 כר'")</f>
        <v>תפארת ישראל - 3 כר'</v>
      </c>
    </row>
    <row r="45560" spans="1:6" x14ac:dyDescent="0.2">
      <c r="A45560" t="s">
        <v>68504</v>
      </c>
      <c r="B45560" t="s">
        <v>68505</v>
      </c>
      <c r="C45560" t="s">
        <v>1458</v>
      </c>
      <c r="D45560" t="s">
        <v>726</v>
      </c>
      <c r="E45560" t="s">
        <v>1185</v>
      </c>
      <c r="F45560" s="2" t="str">
        <f>HYPERLINK("http://www.otzar.org/book.asp?7298","תפארת ישראל - 2 כר'")</f>
        <v>תפארת ישראל - 2 כר'</v>
      </c>
    </row>
    <row r="45561" spans="1:6" x14ac:dyDescent="0.2">
      <c r="A45561" t="s">
        <v>68496</v>
      </c>
      <c r="B45561" t="s">
        <v>68506</v>
      </c>
      <c r="C45561" t="s">
        <v>360</v>
      </c>
      <c r="D45561" t="s">
        <v>1008</v>
      </c>
      <c r="E45561" t="s">
        <v>202</v>
      </c>
      <c r="F45561" s="2" t="str">
        <f>HYPERLINK("http://www.otzar.org/book.asp?627332","תפארת ישראל")</f>
        <v>תפארת ישראל</v>
      </c>
    </row>
    <row r="45562" spans="1:6" x14ac:dyDescent="0.2">
      <c r="A45562" t="s">
        <v>68496</v>
      </c>
      <c r="B45562" t="s">
        <v>68507</v>
      </c>
      <c r="C45562" t="s">
        <v>68</v>
      </c>
      <c r="D45562" t="s">
        <v>852</v>
      </c>
      <c r="F45562" s="2" t="str">
        <f>HYPERLINK("http://www.otzar.org/book.asp?197953","תפארת ישראל")</f>
        <v>תפארת ישראל</v>
      </c>
    </row>
    <row r="45563" spans="1:6" x14ac:dyDescent="0.2">
      <c r="A45563" t="s">
        <v>68496</v>
      </c>
      <c r="B45563" t="s">
        <v>67572</v>
      </c>
      <c r="C45563" t="s">
        <v>71</v>
      </c>
      <c r="D45563" t="s">
        <v>14</v>
      </c>
      <c r="E45563" t="s">
        <v>144</v>
      </c>
      <c r="F45563" s="2" t="str">
        <f>HYPERLINK("http://www.otzar.org/book.asp?176907","תפארת ישראל")</f>
        <v>תפארת ישראל</v>
      </c>
    </row>
    <row r="45564" spans="1:6" x14ac:dyDescent="0.2">
      <c r="A45564" t="s">
        <v>68504</v>
      </c>
      <c r="B45564" t="s">
        <v>29136</v>
      </c>
      <c r="C45564" t="s">
        <v>2644</v>
      </c>
      <c r="D45564" t="s">
        <v>6459</v>
      </c>
      <c r="E45564" t="s">
        <v>1185</v>
      </c>
      <c r="F45564" s="2" t="str">
        <f>HYPERLINK("http://www.otzar.org/book.asp?100692","תפארת ישראל - 2 כר'")</f>
        <v>תפארת ישראל - 2 כר'</v>
      </c>
    </row>
    <row r="45565" spans="1:6" x14ac:dyDescent="0.2">
      <c r="A45565" t="s">
        <v>68498</v>
      </c>
      <c r="B45565" t="s">
        <v>68494</v>
      </c>
      <c r="C45565" t="s">
        <v>1535</v>
      </c>
      <c r="D45565" t="s">
        <v>15924</v>
      </c>
      <c r="E45565" t="s">
        <v>703</v>
      </c>
      <c r="F45565" s="2" t="str">
        <f>HYPERLINK("http://www.otzar.org/book.asp?176877","תפארת ישראל - א")</f>
        <v>תפארת ישראל - א</v>
      </c>
    </row>
    <row r="45566" spans="1:6" x14ac:dyDescent="0.2">
      <c r="A45566" t="s">
        <v>68508</v>
      </c>
      <c r="B45566" t="s">
        <v>68509</v>
      </c>
      <c r="C45566" t="s">
        <v>1388</v>
      </c>
      <c r="D45566" t="s">
        <v>14</v>
      </c>
      <c r="F45566" s="2" t="str">
        <f>HYPERLINK("http://www.otzar.org/book.asp?163917","תפארת ישראל - 60 כר'")</f>
        <v>תפארת ישראל - 60 כר'</v>
      </c>
    </row>
    <row r="45567" spans="1:6" x14ac:dyDescent="0.2">
      <c r="A45567" t="s">
        <v>68503</v>
      </c>
      <c r="B45567" t="s">
        <v>489</v>
      </c>
      <c r="C45567" t="s">
        <v>356</v>
      </c>
      <c r="D45567" t="s">
        <v>52</v>
      </c>
      <c r="E45567" t="s">
        <v>4163</v>
      </c>
      <c r="F45567" s="2" t="str">
        <f>HYPERLINK("http://www.otzar.org/book.asp?149063","תפארת ישראל - 4 כר'")</f>
        <v>תפארת ישראל - 4 כר'</v>
      </c>
    </row>
    <row r="45568" spans="1:6" x14ac:dyDescent="0.2">
      <c r="A45568" t="s">
        <v>68496</v>
      </c>
      <c r="B45568" t="s">
        <v>68510</v>
      </c>
      <c r="C45568" t="s">
        <v>466</v>
      </c>
      <c r="D45568" t="s">
        <v>14</v>
      </c>
      <c r="E45568" t="s">
        <v>803</v>
      </c>
      <c r="F45568" s="2" t="str">
        <f>HYPERLINK("http://www.otzar.org/book.asp?174387","תפארת ישראל")</f>
        <v>תפארת ישראל</v>
      </c>
    </row>
    <row r="45569" spans="1:6" x14ac:dyDescent="0.2">
      <c r="A45569" t="s">
        <v>68496</v>
      </c>
      <c r="B45569" t="s">
        <v>68511</v>
      </c>
      <c r="C45569" t="s">
        <v>777</v>
      </c>
      <c r="D45569" t="s">
        <v>27</v>
      </c>
      <c r="E45569" t="s">
        <v>68512</v>
      </c>
      <c r="F45569" s="2" t="str">
        <f>HYPERLINK("http://www.otzar.org/book.asp?14251","תפארת ישראל")</f>
        <v>תפארת ישראל</v>
      </c>
    </row>
    <row r="45570" spans="1:6" x14ac:dyDescent="0.2">
      <c r="A45570" t="s">
        <v>68513</v>
      </c>
      <c r="B45570" t="s">
        <v>41881</v>
      </c>
      <c r="C45570" t="s">
        <v>356</v>
      </c>
      <c r="D45570" t="s">
        <v>14</v>
      </c>
      <c r="E45570" t="s">
        <v>104</v>
      </c>
      <c r="F45570" s="2" t="str">
        <f>HYPERLINK("http://www.otzar.org/book.asp?160270","תפארת למשה")</f>
        <v>תפארת למשה</v>
      </c>
    </row>
    <row r="45571" spans="1:6" x14ac:dyDescent="0.2">
      <c r="A45571" t="s">
        <v>68513</v>
      </c>
      <c r="B45571" t="s">
        <v>68514</v>
      </c>
      <c r="C45571" t="s">
        <v>2617</v>
      </c>
      <c r="D45571" t="s">
        <v>267</v>
      </c>
      <c r="E45571" t="s">
        <v>474</v>
      </c>
      <c r="F45571" s="2" t="str">
        <f>HYPERLINK("http://www.otzar.org/book.asp?21378","תפארת למשה")</f>
        <v>תפארת למשה</v>
      </c>
    </row>
    <row r="45572" spans="1:6" x14ac:dyDescent="0.2">
      <c r="A45572" t="s">
        <v>68515</v>
      </c>
      <c r="B45572" t="s">
        <v>41014</v>
      </c>
      <c r="C45572" t="s">
        <v>146</v>
      </c>
      <c r="D45572" t="s">
        <v>14</v>
      </c>
      <c r="E45572" t="s">
        <v>230</v>
      </c>
      <c r="F45572" s="2" t="str">
        <f>HYPERLINK("http://www.otzar.org/book.asp?155045","תפארת למשה - 4 כר'")</f>
        <v>תפארת למשה - 4 כר'</v>
      </c>
    </row>
    <row r="45573" spans="1:6" x14ac:dyDescent="0.2">
      <c r="A45573" t="s">
        <v>68516</v>
      </c>
      <c r="B45573" t="s">
        <v>68517</v>
      </c>
      <c r="C45573" t="s">
        <v>129</v>
      </c>
      <c r="D45573" t="s">
        <v>14</v>
      </c>
      <c r="E45573" t="s">
        <v>202</v>
      </c>
      <c r="F45573" s="2" t="str">
        <f>HYPERLINK("http://www.otzar.org/book.asp?161757","תפארת למשה - ספר זכרון")</f>
        <v>תפארת למשה - ספר זכרון</v>
      </c>
    </row>
    <row r="45574" spans="1:6" x14ac:dyDescent="0.2">
      <c r="A45574" t="s">
        <v>68518</v>
      </c>
      <c r="B45574" t="s">
        <v>68519</v>
      </c>
      <c r="C45574" t="s">
        <v>279</v>
      </c>
      <c r="D45574" t="s">
        <v>280</v>
      </c>
      <c r="E45574" t="s">
        <v>8786</v>
      </c>
      <c r="F45574" s="2" t="str">
        <f>HYPERLINK("http://www.otzar.org/book.asp?8172","תפארת למשה - 2 כר'")</f>
        <v>תפארת למשה - 2 כר'</v>
      </c>
    </row>
    <row r="45575" spans="1:6" x14ac:dyDescent="0.2">
      <c r="A45575" t="s">
        <v>68513</v>
      </c>
      <c r="B45575" t="s">
        <v>2361</v>
      </c>
      <c r="C45575" t="s">
        <v>146</v>
      </c>
      <c r="D45575" t="s">
        <v>21</v>
      </c>
      <c r="E45575" t="s">
        <v>1157</v>
      </c>
      <c r="F45575" s="2" t="str">
        <f>HYPERLINK("http://www.otzar.org/book.asp?620106","תפארת למשה")</f>
        <v>תפארת למשה</v>
      </c>
    </row>
    <row r="45576" spans="1:6" x14ac:dyDescent="0.2">
      <c r="A45576" t="s">
        <v>68513</v>
      </c>
      <c r="B45576" t="s">
        <v>68520</v>
      </c>
      <c r="C45576" t="s">
        <v>133</v>
      </c>
      <c r="D45576" t="s">
        <v>412</v>
      </c>
      <c r="E45576" t="s">
        <v>202</v>
      </c>
      <c r="F45576" s="2" t="str">
        <f>HYPERLINK("http://www.otzar.org/book.asp?175599","תפארת למשה")</f>
        <v>תפארת למשה</v>
      </c>
    </row>
    <row r="45577" spans="1:6" x14ac:dyDescent="0.2">
      <c r="A45577" t="s">
        <v>68521</v>
      </c>
      <c r="B45577" t="s">
        <v>68514</v>
      </c>
      <c r="C45577" t="s">
        <v>411</v>
      </c>
      <c r="D45577" t="s">
        <v>216</v>
      </c>
      <c r="E45577" t="s">
        <v>474</v>
      </c>
      <c r="F45577" s="2" t="str">
        <f>HYPERLINK("http://www.otzar.org/book.asp?173332","תפארת למשה, זכרון משה, אבל רב")</f>
        <v>תפארת למשה, זכרון משה, אבל רב</v>
      </c>
    </row>
    <row r="45578" spans="1:6" x14ac:dyDescent="0.2">
      <c r="A45578" t="s">
        <v>68522</v>
      </c>
      <c r="B45578" t="s">
        <v>68523</v>
      </c>
      <c r="C45578" t="s">
        <v>1609</v>
      </c>
      <c r="D45578" t="s">
        <v>27</v>
      </c>
      <c r="E45578" t="s">
        <v>119</v>
      </c>
      <c r="F45578" s="2" t="str">
        <f>HYPERLINK("http://www.otzar.org/book.asp?144840","תפארת מהר""ם")</f>
        <v>תפארת מהר"ם</v>
      </c>
    </row>
    <row r="45579" spans="1:6" x14ac:dyDescent="0.2">
      <c r="A45579" t="s">
        <v>68524</v>
      </c>
      <c r="B45579" t="s">
        <v>5667</v>
      </c>
      <c r="C45579" t="s">
        <v>3840</v>
      </c>
      <c r="D45579" t="s">
        <v>27</v>
      </c>
      <c r="E45579" t="s">
        <v>226</v>
      </c>
      <c r="F45579" s="2" t="str">
        <f>HYPERLINK("http://www.otzar.org/book.asp?167521","תפארת מהרא""ל משפאלי")</f>
        <v>תפארת מהרא"ל משפאלי</v>
      </c>
    </row>
    <row r="45580" spans="1:6" x14ac:dyDescent="0.2">
      <c r="A45580" t="s">
        <v>68525</v>
      </c>
      <c r="B45580" t="s">
        <v>16275</v>
      </c>
      <c r="C45580" t="s">
        <v>99</v>
      </c>
      <c r="D45580" t="s">
        <v>1966</v>
      </c>
      <c r="E45580" t="s">
        <v>930</v>
      </c>
      <c r="F45580" s="2" t="str">
        <f>HYPERLINK("http://www.otzar.org/book.asp?21377","תפארת מהרשי""ם")</f>
        <v>תפארת מהרשי"ם</v>
      </c>
    </row>
    <row r="45581" spans="1:6" x14ac:dyDescent="0.2">
      <c r="A45581" t="s">
        <v>68526</v>
      </c>
      <c r="B45581" t="s">
        <v>6329</v>
      </c>
      <c r="C45581" t="s">
        <v>20</v>
      </c>
      <c r="D45581" t="s">
        <v>646</v>
      </c>
      <c r="E45581" t="s">
        <v>144</v>
      </c>
      <c r="F45581" s="2" t="str">
        <f>HYPERLINK("http://www.otzar.org/book.asp?181922","תפארת מנחם")</f>
        <v>תפארת מנחם</v>
      </c>
    </row>
    <row r="45582" spans="1:6" x14ac:dyDescent="0.2">
      <c r="A45582" t="s">
        <v>68527</v>
      </c>
      <c r="B45582" t="s">
        <v>68528</v>
      </c>
      <c r="C45582" t="s">
        <v>1811</v>
      </c>
      <c r="D45582" t="s">
        <v>14</v>
      </c>
      <c r="E45582" t="s">
        <v>2418</v>
      </c>
      <c r="F45582" s="2" t="str">
        <f>HYPERLINK("http://www.otzar.org/book.asp?615812","תפארת מנחם - ב")</f>
        <v>תפארת מנחם - ב</v>
      </c>
    </row>
    <row r="45583" spans="1:6" x14ac:dyDescent="0.2">
      <c r="A45583" t="s">
        <v>68526</v>
      </c>
      <c r="B45583" t="s">
        <v>68529</v>
      </c>
      <c r="C45583" t="s">
        <v>3106</v>
      </c>
      <c r="D45583" t="s">
        <v>27</v>
      </c>
      <c r="E45583" t="s">
        <v>2418</v>
      </c>
      <c r="F45583" s="2" t="str">
        <f>HYPERLINK("http://www.otzar.org/book.asp?149212","תפארת מנחם")</f>
        <v>תפארת מנחם</v>
      </c>
    </row>
    <row r="45584" spans="1:6" x14ac:dyDescent="0.2">
      <c r="A45584" t="s">
        <v>68530</v>
      </c>
      <c r="B45584" t="s">
        <v>68531</v>
      </c>
      <c r="C45584" t="s">
        <v>2105</v>
      </c>
      <c r="D45584" t="s">
        <v>283</v>
      </c>
      <c r="E45584" t="s">
        <v>172</v>
      </c>
      <c r="F45584" s="2" t="str">
        <f>HYPERLINK("http://www.otzar.org/book.asp?101458","תפארת מנחם - 4 כר'")</f>
        <v>תפארת מנחם - 4 כר'</v>
      </c>
    </row>
    <row r="45585" spans="1:6" x14ac:dyDescent="0.2">
      <c r="A45585" t="s">
        <v>68532</v>
      </c>
      <c r="B45585" t="s">
        <v>68533</v>
      </c>
      <c r="C45585" t="s">
        <v>17</v>
      </c>
      <c r="D45585" t="s">
        <v>1840</v>
      </c>
      <c r="E45585" t="s">
        <v>463</v>
      </c>
      <c r="F45585" s="2" t="str">
        <f>HYPERLINK("http://www.otzar.org/book.asp?173831","תפארת מנחם - א")</f>
        <v>תפארת מנחם - א</v>
      </c>
    </row>
    <row r="45586" spans="1:6" x14ac:dyDescent="0.2">
      <c r="A45586" t="s">
        <v>68526</v>
      </c>
      <c r="B45586" t="s">
        <v>14823</v>
      </c>
      <c r="C45586" t="s">
        <v>1437</v>
      </c>
      <c r="D45586" t="s">
        <v>56</v>
      </c>
      <c r="F45586" s="2" t="str">
        <f>HYPERLINK("http://www.otzar.org/book.asp?84981","תפארת מנחם")</f>
        <v>תפארת מנחם</v>
      </c>
    </row>
    <row r="45587" spans="1:6" x14ac:dyDescent="0.2">
      <c r="A45587" t="s">
        <v>68526</v>
      </c>
      <c r="B45587" t="s">
        <v>68534</v>
      </c>
      <c r="C45587" t="s">
        <v>1458</v>
      </c>
      <c r="D45587" t="s">
        <v>267</v>
      </c>
      <c r="E45587" t="s">
        <v>803</v>
      </c>
      <c r="F45587" s="2" t="str">
        <f>HYPERLINK("http://www.otzar.org/book.asp?20185","תפארת מנחם")</f>
        <v>תפארת מנחם</v>
      </c>
    </row>
    <row r="45588" spans="1:6" x14ac:dyDescent="0.2">
      <c r="A45588" t="s">
        <v>68535</v>
      </c>
      <c r="B45588" t="s">
        <v>68536</v>
      </c>
      <c r="C45588" t="s">
        <v>68537</v>
      </c>
      <c r="D45588" t="s">
        <v>52</v>
      </c>
      <c r="E45588" t="s">
        <v>15</v>
      </c>
      <c r="F45588" s="2" t="str">
        <f>HYPERLINK("http://www.otzar.org/book.asp?161733","תפארת מנחם - ברית אברהם")</f>
        <v>תפארת מנחם - ברית אברהם</v>
      </c>
    </row>
    <row r="45589" spans="1:6" x14ac:dyDescent="0.2">
      <c r="A45589" t="s">
        <v>68526</v>
      </c>
      <c r="B45589" t="s">
        <v>68526</v>
      </c>
      <c r="C45589" t="s">
        <v>99</v>
      </c>
      <c r="D45589" t="s">
        <v>307</v>
      </c>
      <c r="E45589" t="s">
        <v>140</v>
      </c>
      <c r="F45589" s="2" t="str">
        <f>HYPERLINK("http://www.otzar.org/book.asp?7279","תפארת מנחם")</f>
        <v>תפארת מנחם</v>
      </c>
    </row>
    <row r="45590" spans="1:6" x14ac:dyDescent="0.2">
      <c r="A45590" t="s">
        <v>68538</v>
      </c>
      <c r="B45590" t="s">
        <v>68539</v>
      </c>
      <c r="C45590" t="s">
        <v>8</v>
      </c>
      <c r="D45590" t="s">
        <v>4772</v>
      </c>
      <c r="E45590" t="s">
        <v>2569</v>
      </c>
      <c r="F45590" s="2" t="str">
        <f>HYPERLINK("http://www.otzar.org/book.asp?145184","תפארת מרדכי")</f>
        <v>תפארת מרדכי</v>
      </c>
    </row>
    <row r="45591" spans="1:6" x14ac:dyDescent="0.2">
      <c r="A45591" t="s">
        <v>68540</v>
      </c>
      <c r="B45591" t="s">
        <v>17599</v>
      </c>
      <c r="C45591" t="s">
        <v>422</v>
      </c>
      <c r="D45591" t="s">
        <v>52</v>
      </c>
      <c r="E45591" t="s">
        <v>158</v>
      </c>
      <c r="F45591" s="2" t="str">
        <f>HYPERLINK("http://www.otzar.org/book.asp?154008","תפארת מרדכי - 4 כר'")</f>
        <v>תפארת מרדכי - 4 כר'</v>
      </c>
    </row>
    <row r="45592" spans="1:6" x14ac:dyDescent="0.2">
      <c r="A45592" t="s">
        <v>68538</v>
      </c>
      <c r="B45592" t="s">
        <v>67948</v>
      </c>
      <c r="C45592" t="s">
        <v>313</v>
      </c>
      <c r="D45592" t="s">
        <v>139</v>
      </c>
      <c r="E45592" t="s">
        <v>158</v>
      </c>
      <c r="F45592" s="2" t="str">
        <f>HYPERLINK("http://www.otzar.org/book.asp?160824","תפארת מרדכי")</f>
        <v>תפארת מרדכי</v>
      </c>
    </row>
    <row r="45593" spans="1:6" x14ac:dyDescent="0.2">
      <c r="A45593" t="s">
        <v>68538</v>
      </c>
      <c r="B45593" t="s">
        <v>1005</v>
      </c>
      <c r="C45593" t="s">
        <v>332</v>
      </c>
      <c r="D45593" t="s">
        <v>90</v>
      </c>
      <c r="E45593" t="s">
        <v>202</v>
      </c>
      <c r="F45593" s="2" t="str">
        <f>HYPERLINK("http://www.otzar.org/book.asp?148744","תפארת מרדכי")</f>
        <v>תפארת מרדכי</v>
      </c>
    </row>
    <row r="45594" spans="1:6" x14ac:dyDescent="0.2">
      <c r="A45594" t="s">
        <v>68541</v>
      </c>
      <c r="B45594" t="s">
        <v>68542</v>
      </c>
      <c r="C45594" t="s">
        <v>366</v>
      </c>
      <c r="D45594" t="s">
        <v>1273</v>
      </c>
      <c r="E45594" t="s">
        <v>202</v>
      </c>
      <c r="F45594" s="2" t="str">
        <f>HYPERLINK("http://www.otzar.org/book.asp?605260","תפארת מרדכי - עירובין")</f>
        <v>תפארת מרדכי - עירובין</v>
      </c>
    </row>
    <row r="45595" spans="1:6" x14ac:dyDescent="0.2">
      <c r="A45595" t="s">
        <v>68538</v>
      </c>
      <c r="B45595" t="s">
        <v>1750</v>
      </c>
      <c r="C45595" t="s">
        <v>129</v>
      </c>
      <c r="D45595" t="s">
        <v>367</v>
      </c>
      <c r="E45595" t="s">
        <v>4163</v>
      </c>
      <c r="F45595" s="2" t="str">
        <f>HYPERLINK("http://www.otzar.org/book.asp?50189","תפארת מרדכי")</f>
        <v>תפארת מרדכי</v>
      </c>
    </row>
    <row r="45596" spans="1:6" x14ac:dyDescent="0.2">
      <c r="A45596" t="s">
        <v>68543</v>
      </c>
      <c r="B45596" t="s">
        <v>68544</v>
      </c>
      <c r="C45596" t="s">
        <v>812</v>
      </c>
      <c r="D45596" t="s">
        <v>225</v>
      </c>
      <c r="E45596" t="s">
        <v>213</v>
      </c>
      <c r="F45596" s="2" t="str">
        <f>HYPERLINK("http://www.otzar.org/book.asp?188692","תפארת משה")</f>
        <v>תפארת משה</v>
      </c>
    </row>
    <row r="45597" spans="1:6" x14ac:dyDescent="0.2">
      <c r="A45597" t="s">
        <v>68543</v>
      </c>
      <c r="B45597" t="s">
        <v>68545</v>
      </c>
      <c r="C45597" t="s">
        <v>2008</v>
      </c>
      <c r="D45597" t="s">
        <v>974</v>
      </c>
      <c r="E45597" t="s">
        <v>3567</v>
      </c>
      <c r="F45597" s="2" t="str">
        <f>HYPERLINK("http://www.otzar.org/book.asp?24388","תפארת משה")</f>
        <v>תפארת משה</v>
      </c>
    </row>
    <row r="45598" spans="1:6" x14ac:dyDescent="0.2">
      <c r="A45598" t="s">
        <v>68543</v>
      </c>
      <c r="B45598" t="s">
        <v>68546</v>
      </c>
      <c r="C45598" t="s">
        <v>3106</v>
      </c>
      <c r="D45598" t="s">
        <v>986</v>
      </c>
      <c r="E45598" t="s">
        <v>435</v>
      </c>
      <c r="F45598" s="2" t="str">
        <f>HYPERLINK("http://www.otzar.org/book.asp?8847","תפארת משה")</f>
        <v>תפארת משה</v>
      </c>
    </row>
    <row r="45599" spans="1:6" x14ac:dyDescent="0.2">
      <c r="A45599" t="s">
        <v>68543</v>
      </c>
      <c r="B45599" t="s">
        <v>21733</v>
      </c>
      <c r="C45599" t="s">
        <v>313</v>
      </c>
      <c r="D45599" t="s">
        <v>216</v>
      </c>
      <c r="E45599" t="s">
        <v>241</v>
      </c>
      <c r="F45599" s="2" t="str">
        <f>HYPERLINK("http://www.otzar.org/book.asp?165179","תפארת משה")</f>
        <v>תפארת משה</v>
      </c>
    </row>
    <row r="45600" spans="1:6" x14ac:dyDescent="0.2">
      <c r="A45600" t="s">
        <v>68543</v>
      </c>
      <c r="B45600" t="s">
        <v>68547</v>
      </c>
      <c r="C45600" t="s">
        <v>503</v>
      </c>
      <c r="D45600" t="s">
        <v>283</v>
      </c>
      <c r="E45600" t="s">
        <v>234</v>
      </c>
      <c r="F45600" s="2" t="str">
        <f>HYPERLINK("http://www.otzar.org/book.asp?155756","תפארת משה")</f>
        <v>תפארת משה</v>
      </c>
    </row>
    <row r="45601" spans="1:6" x14ac:dyDescent="0.2">
      <c r="A45601" t="s">
        <v>68548</v>
      </c>
      <c r="B45601" t="s">
        <v>68549</v>
      </c>
      <c r="C45601" t="s">
        <v>17</v>
      </c>
      <c r="D45601" t="s">
        <v>412</v>
      </c>
      <c r="E45601" t="s">
        <v>119</v>
      </c>
      <c r="F45601" s="2" t="str">
        <f>HYPERLINK("http://www.otzar.org/book.asp?618951","תפארת משולם")</f>
        <v>תפארת משולם</v>
      </c>
    </row>
    <row r="45602" spans="1:6" x14ac:dyDescent="0.2">
      <c r="A45602" t="s">
        <v>68550</v>
      </c>
      <c r="B45602" t="s">
        <v>68551</v>
      </c>
      <c r="C45602" t="s">
        <v>20</v>
      </c>
      <c r="D45602" t="s">
        <v>14</v>
      </c>
      <c r="E45602" t="s">
        <v>144</v>
      </c>
      <c r="F45602" s="2" t="str">
        <f>HYPERLINK("http://www.otzar.org/book.asp?148092","תפארת מתתיהו")</f>
        <v>תפארת מתתיהו</v>
      </c>
    </row>
    <row r="45603" spans="1:6" x14ac:dyDescent="0.2">
      <c r="A45603" t="s">
        <v>68552</v>
      </c>
      <c r="B45603" t="s">
        <v>68553</v>
      </c>
      <c r="C45603" t="s">
        <v>1268</v>
      </c>
      <c r="D45603" t="s">
        <v>412</v>
      </c>
      <c r="E45603" t="s">
        <v>2071</v>
      </c>
      <c r="F45603" s="2" t="str">
        <f>HYPERLINK("http://www.otzar.org/book.asp?162701","תפארת נפתלי - 4 כר'")</f>
        <v>תפארת נפתלי - 4 כר'</v>
      </c>
    </row>
    <row r="45604" spans="1:6" x14ac:dyDescent="0.2">
      <c r="A45604" t="s">
        <v>68554</v>
      </c>
      <c r="B45604" t="s">
        <v>68555</v>
      </c>
      <c r="C45604" t="s">
        <v>129</v>
      </c>
      <c r="D45604" t="s">
        <v>90</v>
      </c>
      <c r="E45604" t="s">
        <v>158</v>
      </c>
      <c r="F45604" s="2" t="str">
        <f>HYPERLINK("http://www.otzar.org/book.asp?188536","תפארת סעודה")</f>
        <v>תפארת סעודה</v>
      </c>
    </row>
    <row r="45605" spans="1:6" x14ac:dyDescent="0.2">
      <c r="A45605" t="s">
        <v>68556</v>
      </c>
      <c r="B45605" t="s">
        <v>38369</v>
      </c>
      <c r="C45605" t="s">
        <v>2617</v>
      </c>
      <c r="D45605" t="s">
        <v>90</v>
      </c>
      <c r="E45605" t="s">
        <v>957</v>
      </c>
      <c r="F45605" s="2" t="str">
        <f>HYPERLINK("http://www.otzar.org/book.asp?101523","תפארת עוזיאל - 4 כר'")</f>
        <v>תפארת עוזיאל - 4 כר'</v>
      </c>
    </row>
    <row r="45606" spans="1:6" x14ac:dyDescent="0.2">
      <c r="A45606" t="s">
        <v>68557</v>
      </c>
      <c r="B45606" t="s">
        <v>18360</v>
      </c>
      <c r="C45606" t="s">
        <v>422</v>
      </c>
      <c r="D45606" t="s">
        <v>52</v>
      </c>
      <c r="E45606" t="s">
        <v>579</v>
      </c>
      <c r="F45606" s="2" t="str">
        <f>HYPERLINK("http://www.otzar.org/book.asp?85221","תפארת עזך")</f>
        <v>תפארת עזך</v>
      </c>
    </row>
    <row r="45607" spans="1:6" x14ac:dyDescent="0.2">
      <c r="A45607" t="s">
        <v>68558</v>
      </c>
      <c r="B45607" t="s">
        <v>552</v>
      </c>
      <c r="C45607" t="s">
        <v>767</v>
      </c>
      <c r="D45607" t="s">
        <v>52</v>
      </c>
      <c r="E45607" t="s">
        <v>202</v>
      </c>
      <c r="F45607" s="2" t="str">
        <f>HYPERLINK("http://www.otzar.org/book.asp?61973","תפארת עמיחי")</f>
        <v>תפארת עמיחי</v>
      </c>
    </row>
    <row r="45608" spans="1:6" x14ac:dyDescent="0.2">
      <c r="A45608" t="s">
        <v>68559</v>
      </c>
      <c r="B45608" t="s">
        <v>2993</v>
      </c>
      <c r="C45608" t="s">
        <v>496</v>
      </c>
      <c r="D45608" t="s">
        <v>691</v>
      </c>
      <c r="E45608" t="s">
        <v>684</v>
      </c>
      <c r="F45608" s="2" t="str">
        <f>HYPERLINK("http://www.otzar.org/book.asp?24487","תפארת צב""י - 2 כר'")</f>
        <v>תפארת צב"י - 2 כר'</v>
      </c>
    </row>
    <row r="45609" spans="1:6" x14ac:dyDescent="0.2">
      <c r="A45609" t="s">
        <v>68560</v>
      </c>
      <c r="B45609" t="s">
        <v>68561</v>
      </c>
      <c r="C45609" t="s">
        <v>1885</v>
      </c>
      <c r="D45609" t="s">
        <v>267</v>
      </c>
      <c r="E45609" t="s">
        <v>1185</v>
      </c>
      <c r="F45609" s="2" t="str">
        <f>HYPERLINK("http://www.otzar.org/book.asp?12920","תפארת צבי זאב")</f>
        <v>תפארת צבי זאב</v>
      </c>
    </row>
    <row r="45610" spans="1:6" x14ac:dyDescent="0.2">
      <c r="A45610" t="s">
        <v>68562</v>
      </c>
      <c r="B45610" t="s">
        <v>68563</v>
      </c>
      <c r="C45610" t="s">
        <v>1811</v>
      </c>
      <c r="D45610" t="s">
        <v>14</v>
      </c>
      <c r="E45610" t="s">
        <v>586</v>
      </c>
      <c r="F45610" s="2" t="str">
        <f>HYPERLINK("http://www.otzar.org/book.asp?191092","תפארת צבי יעקב")</f>
        <v>תפארת צבי יעקב</v>
      </c>
    </row>
    <row r="45611" spans="1:6" x14ac:dyDescent="0.2">
      <c r="A45611" t="s">
        <v>68564</v>
      </c>
      <c r="B45611" t="s">
        <v>68565</v>
      </c>
      <c r="C45611" t="s">
        <v>576</v>
      </c>
      <c r="D45611" t="s">
        <v>283</v>
      </c>
      <c r="E45611" t="s">
        <v>6239</v>
      </c>
      <c r="F45611" s="2" t="str">
        <f>HYPERLINK("http://www.otzar.org/book.asp?10366","תפארת צבי")</f>
        <v>תפארת צבי</v>
      </c>
    </row>
    <row r="45612" spans="1:6" x14ac:dyDescent="0.2">
      <c r="A45612" t="s">
        <v>68564</v>
      </c>
      <c r="B45612" t="s">
        <v>68566</v>
      </c>
      <c r="C45612" t="s">
        <v>800</v>
      </c>
      <c r="D45612" t="s">
        <v>283</v>
      </c>
      <c r="E45612" t="s">
        <v>674</v>
      </c>
      <c r="F45612" s="2" t="str">
        <f>HYPERLINK("http://www.otzar.org/book.asp?12829","תפארת צבי")</f>
        <v>תפארת צבי</v>
      </c>
    </row>
    <row r="45613" spans="1:6" x14ac:dyDescent="0.2">
      <c r="A45613" t="s">
        <v>68564</v>
      </c>
      <c r="B45613" t="s">
        <v>68567</v>
      </c>
      <c r="C45613" t="s">
        <v>466</v>
      </c>
      <c r="D45613" t="s">
        <v>14</v>
      </c>
      <c r="E45613" t="s">
        <v>144</v>
      </c>
      <c r="F45613" s="2" t="str">
        <f>HYPERLINK("http://www.otzar.org/book.asp?52794","תפארת צבי")</f>
        <v>תפארת צבי</v>
      </c>
    </row>
    <row r="45614" spans="1:6" x14ac:dyDescent="0.2">
      <c r="A45614" t="s">
        <v>68568</v>
      </c>
      <c r="B45614" t="s">
        <v>23949</v>
      </c>
      <c r="C45614" t="s">
        <v>37</v>
      </c>
      <c r="D45614" t="s">
        <v>646</v>
      </c>
      <c r="E45614" t="s">
        <v>144</v>
      </c>
      <c r="F45614" s="2" t="str">
        <f>HYPERLINK("http://www.otzar.org/book.asp?191169","תפארת צבי - 4 כר'")</f>
        <v>תפארת צבי - 4 כר'</v>
      </c>
    </row>
    <row r="45615" spans="1:6" x14ac:dyDescent="0.2">
      <c r="A45615" t="s">
        <v>68564</v>
      </c>
      <c r="B45615" t="s">
        <v>68569</v>
      </c>
      <c r="C45615" t="s">
        <v>1535</v>
      </c>
      <c r="D45615" t="s">
        <v>283</v>
      </c>
      <c r="E45615" t="s">
        <v>234</v>
      </c>
      <c r="F45615" s="2" t="str">
        <f>HYPERLINK("http://www.otzar.org/book.asp?20184","תפארת צבי")</f>
        <v>תפארת צבי</v>
      </c>
    </row>
    <row r="45616" spans="1:6" x14ac:dyDescent="0.2">
      <c r="A45616" t="s">
        <v>68564</v>
      </c>
      <c r="B45616" t="s">
        <v>68570</v>
      </c>
      <c r="C45616" t="s">
        <v>1208</v>
      </c>
      <c r="D45616" t="s">
        <v>14</v>
      </c>
      <c r="F45616" s="2" t="str">
        <f>HYPERLINK("http://www.otzar.org/book.asp?153326","תפארת צבי")</f>
        <v>תפארת צבי</v>
      </c>
    </row>
    <row r="45617" spans="1:6" x14ac:dyDescent="0.2">
      <c r="A45617" t="s">
        <v>68571</v>
      </c>
      <c r="B45617" t="s">
        <v>68572</v>
      </c>
      <c r="C45617" t="s">
        <v>550</v>
      </c>
      <c r="D45617" t="s">
        <v>8579</v>
      </c>
      <c r="E45617" t="s">
        <v>154</v>
      </c>
      <c r="F45617" s="2" t="str">
        <f>HYPERLINK("http://www.otzar.org/book.asp?101459","תפארת צבי - 2 כר'")</f>
        <v>תפארת צבי - 2 כר'</v>
      </c>
    </row>
    <row r="45618" spans="1:6" x14ac:dyDescent="0.2">
      <c r="A45618" t="s">
        <v>68564</v>
      </c>
      <c r="B45618" t="s">
        <v>68573</v>
      </c>
      <c r="C45618" t="s">
        <v>8678</v>
      </c>
      <c r="D45618" t="s">
        <v>1023</v>
      </c>
      <c r="E45618" t="s">
        <v>158</v>
      </c>
      <c r="F45618" s="2" t="str">
        <f>HYPERLINK("http://www.otzar.org/book.asp?100539","תפארת צבי")</f>
        <v>תפארת צבי</v>
      </c>
    </row>
    <row r="45619" spans="1:6" x14ac:dyDescent="0.2">
      <c r="A45619" t="s">
        <v>68564</v>
      </c>
      <c r="B45619" t="s">
        <v>1005</v>
      </c>
      <c r="C45619" t="s">
        <v>37</v>
      </c>
      <c r="D45619" t="s">
        <v>14</v>
      </c>
      <c r="E45619" t="s">
        <v>202</v>
      </c>
      <c r="F45619" s="2" t="str">
        <f>HYPERLINK("http://www.otzar.org/book.asp?197082","תפארת צבי")</f>
        <v>תפארת צבי</v>
      </c>
    </row>
    <row r="45620" spans="1:6" x14ac:dyDescent="0.2">
      <c r="A45620" t="s">
        <v>68574</v>
      </c>
      <c r="B45620" t="s">
        <v>65506</v>
      </c>
      <c r="C45620" t="s">
        <v>133</v>
      </c>
      <c r="D45620" t="s">
        <v>14</v>
      </c>
      <c r="E45620" t="s">
        <v>19043</v>
      </c>
      <c r="F45620" s="2" t="str">
        <f>HYPERLINK("http://www.otzar.org/book.asp?179810","תפארת צבי - 10 כר'")</f>
        <v>תפארת צבי - 10 כר'</v>
      </c>
    </row>
    <row r="45621" spans="1:6" x14ac:dyDescent="0.2">
      <c r="A45621" t="s">
        <v>68575</v>
      </c>
      <c r="B45621" t="s">
        <v>34521</v>
      </c>
      <c r="C45621" t="s">
        <v>63</v>
      </c>
      <c r="D45621" t="s">
        <v>412</v>
      </c>
      <c r="E45621" t="s">
        <v>154</v>
      </c>
      <c r="F45621" s="2" t="str">
        <f>HYPERLINK("http://www.otzar.org/book.asp?161848","תפארת צבי - 3 כר'")</f>
        <v>תפארת צבי - 3 כר'</v>
      </c>
    </row>
    <row r="45622" spans="1:6" x14ac:dyDescent="0.2">
      <c r="A45622" t="s">
        <v>68564</v>
      </c>
      <c r="B45622" t="s">
        <v>61156</v>
      </c>
      <c r="C45622" t="s">
        <v>68576</v>
      </c>
      <c r="D45622" t="s">
        <v>11404</v>
      </c>
      <c r="E45622" t="s">
        <v>435</v>
      </c>
      <c r="F45622" s="2" t="str">
        <f>HYPERLINK("http://www.otzar.org/book.asp?168865","תפארת צבי")</f>
        <v>תפארת צבי</v>
      </c>
    </row>
    <row r="45623" spans="1:6" x14ac:dyDescent="0.2">
      <c r="A45623" t="s">
        <v>68571</v>
      </c>
      <c r="B45623" t="s">
        <v>68577</v>
      </c>
      <c r="C45623" t="s">
        <v>51</v>
      </c>
      <c r="D45623" t="s">
        <v>52</v>
      </c>
      <c r="E45623" t="s">
        <v>130</v>
      </c>
      <c r="F45623" s="2" t="str">
        <f>HYPERLINK("http://www.otzar.org/book.asp?153579","תפארת צבי - 2 כר'")</f>
        <v>תפארת צבי - 2 כר'</v>
      </c>
    </row>
    <row r="45624" spans="1:6" x14ac:dyDescent="0.2">
      <c r="A45624" t="s">
        <v>68578</v>
      </c>
      <c r="B45624" t="s">
        <v>68409</v>
      </c>
      <c r="C45624" t="s">
        <v>20</v>
      </c>
      <c r="D45624" t="s">
        <v>14</v>
      </c>
      <c r="E45624" t="s">
        <v>43</v>
      </c>
      <c r="F45624" s="2" t="str">
        <f>HYPERLINK("http://www.otzar.org/book.asp?173907","תפארת ציון &lt;מדרש רבה&gt; - 16 כר'")</f>
        <v>תפארת ציון &lt;מדרש רבה&gt; - 16 כר'</v>
      </c>
    </row>
    <row r="45625" spans="1:6" x14ac:dyDescent="0.2">
      <c r="A45625" t="s">
        <v>68579</v>
      </c>
      <c r="B45625" t="s">
        <v>68409</v>
      </c>
      <c r="C45625" t="s">
        <v>13</v>
      </c>
      <c r="D45625" t="s">
        <v>14</v>
      </c>
      <c r="E45625" t="s">
        <v>84</v>
      </c>
      <c r="F45625" s="2" t="str">
        <f>HYPERLINK("http://www.otzar.org/book.asp?174619","תפארת ציון &lt;משניות &gt; - 6 כר'")</f>
        <v>תפארת ציון &lt;משניות &gt; - 6 כר'</v>
      </c>
    </row>
    <row r="45626" spans="1:6" x14ac:dyDescent="0.2">
      <c r="A45626" t="s">
        <v>68580</v>
      </c>
      <c r="B45626" t="s">
        <v>68409</v>
      </c>
      <c r="C45626" t="s">
        <v>624</v>
      </c>
      <c r="D45626" t="s">
        <v>14</v>
      </c>
      <c r="E45626" t="s">
        <v>144</v>
      </c>
      <c r="F45626" s="2" t="str">
        <f>HYPERLINK("http://www.otzar.org/book.asp?174632","תפארת ציון &lt;על הש""ס&gt; - 3 כר'")</f>
        <v>תפארת ציון &lt;על הש"ס&gt; - 3 כר'</v>
      </c>
    </row>
    <row r="45627" spans="1:6" x14ac:dyDescent="0.2">
      <c r="A45627" t="s">
        <v>68581</v>
      </c>
      <c r="B45627" t="s">
        <v>68409</v>
      </c>
      <c r="C45627" t="s">
        <v>51</v>
      </c>
      <c r="D45627" t="s">
        <v>14</v>
      </c>
      <c r="E45627" t="s">
        <v>158</v>
      </c>
      <c r="F45627" s="2" t="str">
        <f>HYPERLINK("http://www.otzar.org/book.asp?174030","תפארת ציון &lt;על התורה&gt; - 4 כר'")</f>
        <v>תפארת ציון &lt;על התורה&gt; - 4 כר'</v>
      </c>
    </row>
    <row r="45628" spans="1:6" x14ac:dyDescent="0.2">
      <c r="A45628" t="s">
        <v>68582</v>
      </c>
      <c r="B45628" t="s">
        <v>68409</v>
      </c>
      <c r="C45628" t="s">
        <v>433</v>
      </c>
      <c r="D45628" t="s">
        <v>14</v>
      </c>
      <c r="E45628" t="s">
        <v>158</v>
      </c>
      <c r="F45628" s="2" t="str">
        <f>HYPERLINK("http://www.otzar.org/book.asp?609710","תפארת ציון &lt;על מגילות&gt; - קהלת")</f>
        <v>תפארת ציון &lt;על מגילות&gt; - קהלת</v>
      </c>
    </row>
    <row r="45629" spans="1:6" x14ac:dyDescent="0.2">
      <c r="A45629" t="s">
        <v>68583</v>
      </c>
      <c r="B45629" t="s">
        <v>68584</v>
      </c>
      <c r="C45629" t="s">
        <v>313</v>
      </c>
      <c r="D45629" t="s">
        <v>14</v>
      </c>
      <c r="E45629" t="s">
        <v>234</v>
      </c>
      <c r="F45629" s="2" t="str">
        <f>HYPERLINK("http://www.otzar.org/book.asp?22647","תפארת ציון")</f>
        <v>תפארת ציון</v>
      </c>
    </row>
    <row r="45630" spans="1:6" x14ac:dyDescent="0.2">
      <c r="A45630" t="s">
        <v>68583</v>
      </c>
      <c r="B45630" t="s">
        <v>68585</v>
      </c>
      <c r="C45630" t="s">
        <v>919</v>
      </c>
      <c r="D45630" t="s">
        <v>14</v>
      </c>
      <c r="E45630" t="s">
        <v>1211</v>
      </c>
      <c r="F45630" s="2" t="str">
        <f>HYPERLINK("http://www.otzar.org/book.asp?50916","תפארת ציון")</f>
        <v>תפארת ציון</v>
      </c>
    </row>
    <row r="45631" spans="1:6" x14ac:dyDescent="0.2">
      <c r="A45631" t="s">
        <v>68583</v>
      </c>
      <c r="B45631" t="s">
        <v>68586</v>
      </c>
      <c r="C45631" t="s">
        <v>777</v>
      </c>
      <c r="D45631" t="s">
        <v>52</v>
      </c>
      <c r="E45631" t="s">
        <v>202</v>
      </c>
      <c r="F45631" s="2" t="str">
        <f>HYPERLINK("http://www.otzar.org/book.asp?179192","תפארת ציון")</f>
        <v>תפארת ציון</v>
      </c>
    </row>
    <row r="45632" spans="1:6" x14ac:dyDescent="0.2">
      <c r="A45632" t="s">
        <v>68583</v>
      </c>
      <c r="B45632" t="s">
        <v>1750</v>
      </c>
      <c r="C45632" t="s">
        <v>785</v>
      </c>
      <c r="D45632" t="s">
        <v>3406</v>
      </c>
      <c r="E45632" t="s">
        <v>202</v>
      </c>
      <c r="F45632" s="2" t="str">
        <f>HYPERLINK("http://www.otzar.org/book.asp?106088","תפארת ציון")</f>
        <v>תפארת ציון</v>
      </c>
    </row>
    <row r="45633" spans="1:6" x14ac:dyDescent="0.2">
      <c r="A45633" t="s">
        <v>68583</v>
      </c>
      <c r="B45633" t="s">
        <v>68587</v>
      </c>
      <c r="C45633" t="s">
        <v>106</v>
      </c>
      <c r="D45633" t="s">
        <v>412</v>
      </c>
      <c r="E45633" t="s">
        <v>144</v>
      </c>
      <c r="F45633" s="2" t="str">
        <f>HYPERLINK("http://www.otzar.org/book.asp?179660","תפארת ציון")</f>
        <v>תפארת ציון</v>
      </c>
    </row>
    <row r="45634" spans="1:6" x14ac:dyDescent="0.2">
      <c r="A45634" t="s">
        <v>68588</v>
      </c>
      <c r="B45634" t="s">
        <v>15142</v>
      </c>
      <c r="C45634" t="s">
        <v>422</v>
      </c>
      <c r="D45634" t="s">
        <v>90</v>
      </c>
      <c r="F45634" s="2" t="str">
        <f>HYPERLINK("http://www.otzar.org/book.asp?613177","תפארת קוזמי (ענייני בר מצוה)")</f>
        <v>תפארת קוזמי (ענייני בר מצוה)</v>
      </c>
    </row>
    <row r="45635" spans="1:6" x14ac:dyDescent="0.2">
      <c r="A45635" t="s">
        <v>68589</v>
      </c>
      <c r="B45635" t="s">
        <v>1750</v>
      </c>
      <c r="C45635" t="s">
        <v>1448</v>
      </c>
      <c r="D45635" t="s">
        <v>52</v>
      </c>
      <c r="E45635" t="s">
        <v>202</v>
      </c>
      <c r="F45635" s="2" t="str">
        <f>HYPERLINK("http://www.otzar.org/book.asp?159898","תפארת ראדזין - 3 כר'")</f>
        <v>תפארת ראדזין - 3 כר'</v>
      </c>
    </row>
    <row r="45636" spans="1:6" x14ac:dyDescent="0.2">
      <c r="A45636" t="s">
        <v>68590</v>
      </c>
      <c r="B45636" t="s">
        <v>68591</v>
      </c>
      <c r="C45636" t="s">
        <v>466</v>
      </c>
      <c r="D45636" t="s">
        <v>14</v>
      </c>
      <c r="E45636" t="s">
        <v>158</v>
      </c>
      <c r="F45636" s="2" t="str">
        <f>HYPERLINK("http://www.otzar.org/book.asp?24892","תפארת ראובן")</f>
        <v>תפארת ראובן</v>
      </c>
    </row>
    <row r="45637" spans="1:6" x14ac:dyDescent="0.2">
      <c r="A45637" t="s">
        <v>68592</v>
      </c>
      <c r="B45637" t="s">
        <v>68593</v>
      </c>
      <c r="C45637" t="s">
        <v>63</v>
      </c>
      <c r="D45637" t="s">
        <v>52</v>
      </c>
      <c r="F45637" s="2" t="str">
        <f>HYPERLINK("http://www.otzar.org/book.asp?156078","תפארת רבותינו מאלכסנדר")</f>
        <v>תפארת רבותינו מאלכסנדר</v>
      </c>
    </row>
    <row r="45638" spans="1:6" x14ac:dyDescent="0.2">
      <c r="A45638" t="s">
        <v>68594</v>
      </c>
      <c r="B45638" t="s">
        <v>68595</v>
      </c>
      <c r="C45638" t="s">
        <v>313</v>
      </c>
      <c r="D45638" t="s">
        <v>21</v>
      </c>
      <c r="E45638" t="s">
        <v>202</v>
      </c>
      <c r="F45638" s="2" t="str">
        <f>HYPERLINK("http://www.otzar.org/book.asp?190894","תפארת רדומסק - 2 כר'")</f>
        <v>תפארת רדומסק - 2 כר'</v>
      </c>
    </row>
    <row r="45639" spans="1:6" x14ac:dyDescent="0.2">
      <c r="A45639" t="s">
        <v>68596</v>
      </c>
      <c r="B45639" t="s">
        <v>15658</v>
      </c>
      <c r="C45639" t="s">
        <v>111</v>
      </c>
      <c r="D45639" t="s">
        <v>52</v>
      </c>
      <c r="E45639" t="s">
        <v>144</v>
      </c>
      <c r="F45639" s="2" t="str">
        <f>HYPERLINK("http://www.otzar.org/book.asp?629543","תפארת רפאל - נשים-נזיקין")</f>
        <v>תפארת רפאל - נשים-נזיקין</v>
      </c>
    </row>
    <row r="45640" spans="1:6" x14ac:dyDescent="0.2">
      <c r="A45640" t="s">
        <v>68597</v>
      </c>
      <c r="B45640" t="s">
        <v>68598</v>
      </c>
      <c r="C45640" t="s">
        <v>37</v>
      </c>
      <c r="D45640" t="s">
        <v>21</v>
      </c>
      <c r="E45640" t="s">
        <v>144</v>
      </c>
      <c r="F45640" s="2" t="str">
        <f>HYPERLINK("http://www.otzar.org/book.asp?195942","תפארת רפאל")</f>
        <v>תפארת רפאל</v>
      </c>
    </row>
    <row r="45641" spans="1:6" x14ac:dyDescent="0.2">
      <c r="A45641" t="s">
        <v>68597</v>
      </c>
      <c r="B45641" t="s">
        <v>552</v>
      </c>
      <c r="C45641" t="s">
        <v>146</v>
      </c>
      <c r="D45641" t="s">
        <v>14</v>
      </c>
      <c r="E45641" t="s">
        <v>202</v>
      </c>
      <c r="F45641" s="2" t="str">
        <f>HYPERLINK("http://www.otzar.org/book.asp?26763","תפארת רפאל")</f>
        <v>תפארת רפאל</v>
      </c>
    </row>
    <row r="45642" spans="1:6" x14ac:dyDescent="0.2">
      <c r="A45642" t="s">
        <v>68599</v>
      </c>
      <c r="B45642" t="s">
        <v>68600</v>
      </c>
      <c r="C45642" t="s">
        <v>103</v>
      </c>
      <c r="D45642" t="s">
        <v>486</v>
      </c>
      <c r="E45642" t="s">
        <v>158</v>
      </c>
      <c r="F45642" s="2" t="str">
        <f>HYPERLINK("http://www.otzar.org/book.asp?189767","תפארת שאול")</f>
        <v>תפארת שאול</v>
      </c>
    </row>
    <row r="45643" spans="1:6" x14ac:dyDescent="0.2">
      <c r="A45643" t="s">
        <v>68601</v>
      </c>
      <c r="B45643" t="s">
        <v>2063</v>
      </c>
      <c r="C45643" t="s">
        <v>68602</v>
      </c>
      <c r="D45643" t="s">
        <v>10557</v>
      </c>
      <c r="E45643" t="s">
        <v>13627</v>
      </c>
      <c r="F45643" s="2" t="str">
        <f>HYPERLINK("http://www.otzar.org/book.asp?626384","תפארת שאול - 4 כר'")</f>
        <v>תפארת שאול - 4 כר'</v>
      </c>
    </row>
    <row r="45644" spans="1:6" x14ac:dyDescent="0.2">
      <c r="A45644" t="s">
        <v>68599</v>
      </c>
      <c r="B45644" t="s">
        <v>68603</v>
      </c>
      <c r="C45644" t="s">
        <v>366</v>
      </c>
      <c r="D45644" t="s">
        <v>52</v>
      </c>
      <c r="F45644" s="2" t="str">
        <f>HYPERLINK("http://www.otzar.org/book.asp?611616","תפארת שאול")</f>
        <v>תפארת שאול</v>
      </c>
    </row>
    <row r="45645" spans="1:6" x14ac:dyDescent="0.2">
      <c r="A45645" t="s">
        <v>68604</v>
      </c>
      <c r="B45645" t="s">
        <v>68605</v>
      </c>
      <c r="C45645" t="s">
        <v>129</v>
      </c>
      <c r="D45645" t="s">
        <v>14</v>
      </c>
      <c r="E45645" t="s">
        <v>202</v>
      </c>
      <c r="F45645" s="2" t="str">
        <f>HYPERLINK("http://www.otzar.org/book.asp?627833","תפארת שב""ת")</f>
        <v>תפארת שב"ת</v>
      </c>
    </row>
    <row r="45646" spans="1:6" x14ac:dyDescent="0.2">
      <c r="A45646" t="s">
        <v>68606</v>
      </c>
      <c r="B45646" t="s">
        <v>19004</v>
      </c>
      <c r="C45646" t="s">
        <v>940</v>
      </c>
      <c r="D45646" t="s">
        <v>90</v>
      </c>
      <c r="E45646" t="s">
        <v>226</v>
      </c>
      <c r="F45646" s="2" t="str">
        <f>HYPERLINK("http://www.otzar.org/book.asp?64379","תפארת שבמלכות")</f>
        <v>תפארת שבמלכות</v>
      </c>
    </row>
    <row r="45647" spans="1:6" x14ac:dyDescent="0.2">
      <c r="A45647" t="s">
        <v>68607</v>
      </c>
      <c r="B45647" t="s">
        <v>68608</v>
      </c>
      <c r="C45647" t="s">
        <v>1418</v>
      </c>
      <c r="D45647" t="s">
        <v>68609</v>
      </c>
      <c r="E45647" t="s">
        <v>467</v>
      </c>
      <c r="F45647" s="2" t="str">
        <f>HYPERLINK("http://www.otzar.org/book.asp?21376","תפארת שבת")</f>
        <v>תפארת שבת</v>
      </c>
    </row>
    <row r="45648" spans="1:6" x14ac:dyDescent="0.2">
      <c r="A45648" t="s">
        <v>68610</v>
      </c>
      <c r="B45648" t="s">
        <v>11750</v>
      </c>
      <c r="C45648" t="s">
        <v>576</v>
      </c>
      <c r="D45648" t="s">
        <v>27</v>
      </c>
      <c r="E45648" t="s">
        <v>202</v>
      </c>
      <c r="F45648" s="2" t="str">
        <f>HYPERLINK("http://www.otzar.org/book.asp?14977","תפארת שיבה")</f>
        <v>תפארת שיבה</v>
      </c>
    </row>
    <row r="45649" spans="1:6" x14ac:dyDescent="0.2">
      <c r="A45649" t="s">
        <v>68610</v>
      </c>
      <c r="B45649" t="s">
        <v>68611</v>
      </c>
      <c r="C45649" t="s">
        <v>503</v>
      </c>
      <c r="D45649" t="s">
        <v>280</v>
      </c>
      <c r="E45649" t="s">
        <v>68612</v>
      </c>
      <c r="F45649" s="2" t="str">
        <f>HYPERLINK("http://www.otzar.org/book.asp?14815","תפארת שיבה")</f>
        <v>תפארת שיבה</v>
      </c>
    </row>
    <row r="45650" spans="1:6" x14ac:dyDescent="0.2">
      <c r="A45650" t="s">
        <v>68613</v>
      </c>
      <c r="B45650" t="s">
        <v>68614</v>
      </c>
      <c r="C45650" t="s">
        <v>133</v>
      </c>
      <c r="D45650" t="s">
        <v>80</v>
      </c>
      <c r="E45650" t="s">
        <v>144</v>
      </c>
      <c r="F45650" s="2" t="str">
        <f>HYPERLINK("http://www.otzar.org/book.asp?603125","תפארת שלום")</f>
        <v>תפארת שלום</v>
      </c>
    </row>
    <row r="45651" spans="1:6" x14ac:dyDescent="0.2">
      <c r="A45651" t="s">
        <v>68615</v>
      </c>
      <c r="B45651" t="s">
        <v>44279</v>
      </c>
      <c r="C45651" t="s">
        <v>68</v>
      </c>
      <c r="D45651" t="s">
        <v>412</v>
      </c>
      <c r="E45651" t="s">
        <v>31488</v>
      </c>
      <c r="F45651" s="2" t="str">
        <f>HYPERLINK("http://www.otzar.org/book.asp?159533","תפארת שלמה  &lt;מהדורה חדשה&gt; - 2 כר'")</f>
        <v>תפארת שלמה  &lt;מהדורה חדשה&gt; - 2 כר'</v>
      </c>
    </row>
    <row r="45652" spans="1:6" x14ac:dyDescent="0.2">
      <c r="A45652" t="s">
        <v>68616</v>
      </c>
      <c r="B45652" t="s">
        <v>44279</v>
      </c>
      <c r="C45652" t="s">
        <v>114</v>
      </c>
      <c r="D45652" t="s">
        <v>14</v>
      </c>
      <c r="E45652" t="s">
        <v>14089</v>
      </c>
      <c r="F45652" s="2" t="str">
        <f>HYPERLINK("http://www.otzar.org/book.asp?175347","תפארת שלמה  &lt;מהדורת ספרי אוה""ח&gt; - 2 כר'")</f>
        <v>תפארת שלמה  &lt;מהדורת ספרי אוה"ח&gt; - 2 כר'</v>
      </c>
    </row>
    <row r="45653" spans="1:6" x14ac:dyDescent="0.2">
      <c r="A45653" t="s">
        <v>68617</v>
      </c>
      <c r="B45653" t="s">
        <v>27483</v>
      </c>
      <c r="C45653" t="s">
        <v>3690</v>
      </c>
      <c r="D45653" t="s">
        <v>1538</v>
      </c>
      <c r="E45653" t="s">
        <v>158</v>
      </c>
      <c r="F45653" s="2" t="str">
        <f>HYPERLINK("http://www.otzar.org/book.asp?28390","תפארת שלמה")</f>
        <v>תפארת שלמה</v>
      </c>
    </row>
    <row r="45654" spans="1:6" x14ac:dyDescent="0.2">
      <c r="A45654" t="s">
        <v>68617</v>
      </c>
      <c r="B45654" t="s">
        <v>68618</v>
      </c>
      <c r="C45654" t="s">
        <v>888</v>
      </c>
      <c r="D45654" t="s">
        <v>283</v>
      </c>
      <c r="E45654" t="s">
        <v>325</v>
      </c>
      <c r="F45654" s="2" t="str">
        <f>HYPERLINK("http://www.otzar.org/book.asp?188693","תפארת שלמה")</f>
        <v>תפארת שלמה</v>
      </c>
    </row>
    <row r="45655" spans="1:6" x14ac:dyDescent="0.2">
      <c r="A45655" t="s">
        <v>68619</v>
      </c>
      <c r="B45655" t="s">
        <v>68620</v>
      </c>
      <c r="C45655" t="s">
        <v>422</v>
      </c>
      <c r="D45655" t="s">
        <v>52</v>
      </c>
      <c r="E45655" t="s">
        <v>186</v>
      </c>
      <c r="F45655" s="2" t="str">
        <f>HYPERLINK("http://www.otzar.org/book.asp?158838","תפארת שלמה - א ב""ק כיצד הרגל")</f>
        <v>תפארת שלמה - א ב"ק כיצד הרגל</v>
      </c>
    </row>
    <row r="45656" spans="1:6" x14ac:dyDescent="0.2">
      <c r="A45656" t="s">
        <v>68617</v>
      </c>
      <c r="B45656" t="s">
        <v>12628</v>
      </c>
      <c r="C45656" t="s">
        <v>23</v>
      </c>
      <c r="D45656" t="s">
        <v>52</v>
      </c>
      <c r="E45656" t="s">
        <v>21705</v>
      </c>
      <c r="F45656" s="2" t="str">
        <f>HYPERLINK("http://www.otzar.org/book.asp?600039","תפארת שלמה")</f>
        <v>תפארת שלמה</v>
      </c>
    </row>
    <row r="45657" spans="1:6" x14ac:dyDescent="0.2">
      <c r="A45657" t="s">
        <v>68621</v>
      </c>
      <c r="B45657" t="s">
        <v>44279</v>
      </c>
      <c r="C45657" t="s">
        <v>445</v>
      </c>
      <c r="D45657" t="s">
        <v>31155</v>
      </c>
      <c r="E45657" t="s">
        <v>68622</v>
      </c>
      <c r="F45657" s="2" t="str">
        <f>HYPERLINK("http://www.otzar.org/book.asp?5111","תפארת שלמה - 2 כר'")</f>
        <v>תפארת שלמה - 2 כר'</v>
      </c>
    </row>
    <row r="45658" spans="1:6" x14ac:dyDescent="0.2">
      <c r="A45658" t="s">
        <v>68623</v>
      </c>
      <c r="B45658" t="s">
        <v>68624</v>
      </c>
      <c r="C45658" t="s">
        <v>1374</v>
      </c>
      <c r="D45658" t="s">
        <v>68625</v>
      </c>
      <c r="E45658" t="s">
        <v>234</v>
      </c>
      <c r="F45658" s="2" t="str">
        <f>HYPERLINK("http://www.otzar.org/book.asp?189042","תפארת שלמה - דרוש סוד הגילגל")</f>
        <v>תפארת שלמה - דרוש סוד הגילגל</v>
      </c>
    </row>
    <row r="45659" spans="1:6" x14ac:dyDescent="0.2">
      <c r="A45659" t="s">
        <v>68617</v>
      </c>
      <c r="B45659" t="s">
        <v>15101</v>
      </c>
      <c r="C45659" t="s">
        <v>68</v>
      </c>
      <c r="D45659" t="s">
        <v>21</v>
      </c>
      <c r="E45659" t="s">
        <v>8469</v>
      </c>
      <c r="F45659" s="2" t="str">
        <f>HYPERLINK("http://www.otzar.org/book.asp?603411","תפארת שלמה")</f>
        <v>תפארת שלמה</v>
      </c>
    </row>
    <row r="45660" spans="1:6" x14ac:dyDescent="0.2">
      <c r="A45660" t="s">
        <v>68626</v>
      </c>
      <c r="B45660" t="s">
        <v>17586</v>
      </c>
      <c r="C45660" t="s">
        <v>411</v>
      </c>
      <c r="D45660" t="s">
        <v>1180</v>
      </c>
      <c r="E45660" t="s">
        <v>158</v>
      </c>
      <c r="F45660" s="2" t="str">
        <f>HYPERLINK("http://www.otzar.org/book.asp?171142","תפארת שמואל &lt;מהדורה חדשה&gt; - 2 כר'")</f>
        <v>תפארת שמואל &lt;מהדורה חדשה&gt; - 2 כר'</v>
      </c>
    </row>
    <row r="45661" spans="1:6" x14ac:dyDescent="0.2">
      <c r="A45661" t="s">
        <v>68627</v>
      </c>
      <c r="B45661" t="s">
        <v>68628</v>
      </c>
      <c r="C45661" t="s">
        <v>1047</v>
      </c>
      <c r="D45661" t="s">
        <v>4269</v>
      </c>
      <c r="E45661" t="s">
        <v>154</v>
      </c>
      <c r="F45661" s="2" t="str">
        <f>HYPERLINK("http://www.otzar.org/book.asp?24495","תפארת שמואל")</f>
        <v>תפארת שמואל</v>
      </c>
    </row>
    <row r="45662" spans="1:6" x14ac:dyDescent="0.2">
      <c r="A45662" t="s">
        <v>68629</v>
      </c>
      <c r="B45662" t="s">
        <v>12047</v>
      </c>
      <c r="C45662" t="s">
        <v>1062</v>
      </c>
      <c r="D45662" t="s">
        <v>27</v>
      </c>
      <c r="E45662" t="s">
        <v>119</v>
      </c>
      <c r="F45662" s="2" t="str">
        <f>HYPERLINK("http://www.otzar.org/book.asp?167500","תפארת שמואל - 3 כר'")</f>
        <v>תפארת שמואל - 3 כר'</v>
      </c>
    </row>
    <row r="45663" spans="1:6" x14ac:dyDescent="0.2">
      <c r="A45663" t="s">
        <v>68630</v>
      </c>
      <c r="B45663" t="s">
        <v>17586</v>
      </c>
      <c r="C45663" t="s">
        <v>68631</v>
      </c>
      <c r="D45663" t="s">
        <v>947</v>
      </c>
      <c r="E45663" t="s">
        <v>68632</v>
      </c>
      <c r="F45663" s="2" t="str">
        <f>HYPERLINK("http://www.otzar.org/book.asp?7881","תפארת שמואל - 2 כר'")</f>
        <v>תפארת שמואל - 2 כר'</v>
      </c>
    </row>
    <row r="45664" spans="1:6" x14ac:dyDescent="0.2">
      <c r="A45664" t="s">
        <v>68633</v>
      </c>
      <c r="B45664" t="s">
        <v>68634</v>
      </c>
      <c r="C45664" t="s">
        <v>151</v>
      </c>
      <c r="D45664" t="s">
        <v>14</v>
      </c>
      <c r="E45664" t="s">
        <v>3567</v>
      </c>
      <c r="F45664" s="2" t="str">
        <f>HYPERLINK("http://www.otzar.org/book.asp?622353","תפארת שמואל - ארחותיו ומשנתו של רבי שמואל אויערבך")</f>
        <v>תפארת שמואל - ארחותיו ומשנתו של רבי שמואל אויערבך</v>
      </c>
    </row>
    <row r="45665" spans="1:6" x14ac:dyDescent="0.2">
      <c r="A45665" t="s">
        <v>68635</v>
      </c>
      <c r="B45665" t="s">
        <v>13019</v>
      </c>
      <c r="C45665" t="s">
        <v>146</v>
      </c>
      <c r="D45665" t="s">
        <v>147</v>
      </c>
      <c r="E45665" t="s">
        <v>104</v>
      </c>
      <c r="F45665" s="2" t="str">
        <f>HYPERLINK("http://www.otzar.org/book.asp?177219","תפארת שמואל - התכונה והעיבור")</f>
        <v>תפארת שמואל - התכונה והעיבור</v>
      </c>
    </row>
    <row r="45666" spans="1:6" x14ac:dyDescent="0.2">
      <c r="A45666" t="s">
        <v>68629</v>
      </c>
      <c r="B45666" t="s">
        <v>2663</v>
      </c>
      <c r="C45666" t="s">
        <v>20</v>
      </c>
      <c r="D45666" t="s">
        <v>14</v>
      </c>
      <c r="E45666" t="s">
        <v>186</v>
      </c>
      <c r="F45666" s="2" t="str">
        <f>HYPERLINK("http://www.otzar.org/book.asp?148817","תפארת שמואל - 3 כר'")</f>
        <v>תפארת שמואל - 3 כר'</v>
      </c>
    </row>
    <row r="45667" spans="1:6" x14ac:dyDescent="0.2">
      <c r="A45667" t="s">
        <v>68627</v>
      </c>
      <c r="B45667" t="s">
        <v>5944</v>
      </c>
      <c r="C45667" t="s">
        <v>10215</v>
      </c>
      <c r="D45667" t="s">
        <v>322</v>
      </c>
      <c r="E45667" t="s">
        <v>29979</v>
      </c>
      <c r="F45667" s="2" t="str">
        <f>HYPERLINK("http://www.otzar.org/book.asp?101989","תפארת שמואל")</f>
        <v>תפארת שמואל</v>
      </c>
    </row>
    <row r="45668" spans="1:6" x14ac:dyDescent="0.2">
      <c r="A45668" t="s">
        <v>68627</v>
      </c>
      <c r="B45668" t="s">
        <v>68636</v>
      </c>
      <c r="C45668" t="s">
        <v>99</v>
      </c>
      <c r="D45668" t="s">
        <v>9</v>
      </c>
      <c r="E45668" t="s">
        <v>68637</v>
      </c>
      <c r="F45668" s="2" t="str">
        <f>HYPERLINK("http://www.otzar.org/book.asp?100538","תפארת שמואל")</f>
        <v>תפארת שמואל</v>
      </c>
    </row>
    <row r="45669" spans="1:6" x14ac:dyDescent="0.2">
      <c r="A45669" t="s">
        <v>68638</v>
      </c>
      <c r="B45669" t="s">
        <v>12085</v>
      </c>
      <c r="C45669" t="s">
        <v>422</v>
      </c>
      <c r="D45669" t="s">
        <v>90</v>
      </c>
      <c r="E45669" t="s">
        <v>158</v>
      </c>
      <c r="F45669" s="2" t="str">
        <f>HYPERLINK("http://www.otzar.org/book.asp?62833","תפארת שמשון - 6 כר'")</f>
        <v>תפארת שמשון - 6 כר'</v>
      </c>
    </row>
    <row r="45670" spans="1:6" x14ac:dyDescent="0.2">
      <c r="A45670" t="s">
        <v>68639</v>
      </c>
      <c r="B45670" t="s">
        <v>68640</v>
      </c>
      <c r="C45670" t="s">
        <v>189</v>
      </c>
      <c r="D45670" t="s">
        <v>14</v>
      </c>
      <c r="F45670" s="2" t="str">
        <f>HYPERLINK("http://www.otzar.org/book.asp?614488","תפארת שמשון")</f>
        <v>תפארת שמשון</v>
      </c>
    </row>
    <row r="45671" spans="1:6" x14ac:dyDescent="0.2">
      <c r="A45671" t="s">
        <v>68641</v>
      </c>
      <c r="B45671" t="s">
        <v>68642</v>
      </c>
      <c r="C45671" t="s">
        <v>366</v>
      </c>
      <c r="D45671" t="s">
        <v>21</v>
      </c>
      <c r="F45671" s="2" t="str">
        <f>HYPERLINK("http://www.otzar.org/book.asp?616807","תפארת שרגא - 3 כר'")</f>
        <v>תפארת שרגא - 3 כר'</v>
      </c>
    </row>
    <row r="45672" spans="1:6" x14ac:dyDescent="0.2">
      <c r="A45672" t="s">
        <v>68643</v>
      </c>
      <c r="B45672" t="s">
        <v>12085</v>
      </c>
      <c r="C45672" t="s">
        <v>71</v>
      </c>
      <c r="D45672" t="s">
        <v>14</v>
      </c>
      <c r="E45672" t="s">
        <v>144</v>
      </c>
      <c r="F45672" s="2" t="str">
        <f>HYPERLINK("http://www.otzar.org/book.asp?26399","תפארת תורה - 3 כר'")</f>
        <v>תפארת תורה - 3 כר'</v>
      </c>
    </row>
    <row r="45673" spans="1:6" x14ac:dyDescent="0.2">
      <c r="A45673" t="s">
        <v>68644</v>
      </c>
      <c r="B45673" t="s">
        <v>68645</v>
      </c>
      <c r="C45673" t="s">
        <v>20</v>
      </c>
      <c r="D45673" t="s">
        <v>118</v>
      </c>
      <c r="E45673" t="s">
        <v>104</v>
      </c>
      <c r="F45673" s="2" t="str">
        <f>HYPERLINK("http://www.otzar.org/book.asp?175440","תפארת תימן - הרב יחזקאל שרעבי")</f>
        <v>תפארת תימן - הרב יחזקאל שרעבי</v>
      </c>
    </row>
    <row r="45674" spans="1:6" x14ac:dyDescent="0.2">
      <c r="A45674" t="s">
        <v>68646</v>
      </c>
      <c r="B45674" t="s">
        <v>489</v>
      </c>
      <c r="C45674" t="s">
        <v>71</v>
      </c>
      <c r="D45674" t="s">
        <v>14</v>
      </c>
      <c r="E45674" t="s">
        <v>202</v>
      </c>
      <c r="F45674" s="2" t="str">
        <f>HYPERLINK("http://www.otzar.org/book.asp?154795","תפארת - 12 כר'")</f>
        <v>תפארת - 12 כר'</v>
      </c>
    </row>
    <row r="45675" spans="1:6" x14ac:dyDescent="0.2">
      <c r="A45675" t="s">
        <v>68647</v>
      </c>
      <c r="B45675" t="s">
        <v>12085</v>
      </c>
      <c r="C45675" t="s">
        <v>20</v>
      </c>
      <c r="D45675" t="s">
        <v>90</v>
      </c>
      <c r="E45675" t="s">
        <v>241</v>
      </c>
      <c r="F45675" s="2" t="str">
        <f>HYPERLINK("http://www.otzar.org/book.asp?191513","תפארתה של תורה")</f>
        <v>תפארתה של תורה</v>
      </c>
    </row>
    <row r="45676" spans="1:6" x14ac:dyDescent="0.2">
      <c r="A45676" t="s">
        <v>68648</v>
      </c>
      <c r="B45676" t="s">
        <v>52399</v>
      </c>
      <c r="C45676" t="s">
        <v>51</v>
      </c>
      <c r="D45676" t="s">
        <v>14</v>
      </c>
      <c r="F45676" s="2" t="str">
        <f>HYPERLINK("http://www.otzar.org/book.asp?615550","תפארתך ירושלים - 3 כר'")</f>
        <v>תפארתך ירושלים - 3 כר'</v>
      </c>
    </row>
    <row r="45677" spans="1:6" x14ac:dyDescent="0.2">
      <c r="A45677" t="s">
        <v>68649</v>
      </c>
      <c r="B45677" t="s">
        <v>13901</v>
      </c>
      <c r="C45677" t="s">
        <v>133</v>
      </c>
      <c r="D45677" t="s">
        <v>14</v>
      </c>
      <c r="E45677" t="s">
        <v>104</v>
      </c>
      <c r="F45677" s="2" t="str">
        <f>HYPERLINK("http://www.otzar.org/book.asp?623566","תפוח בעצי היער")</f>
        <v>תפוח בעצי היער</v>
      </c>
    </row>
    <row r="45678" spans="1:6" x14ac:dyDescent="0.2">
      <c r="A45678" t="s">
        <v>68650</v>
      </c>
      <c r="B45678" t="s">
        <v>68651</v>
      </c>
      <c r="C45678" t="s">
        <v>8</v>
      </c>
      <c r="D45678" t="s">
        <v>27</v>
      </c>
      <c r="E45678" t="s">
        <v>399</v>
      </c>
      <c r="F45678" s="2" t="str">
        <f>HYPERLINK("http://www.otzar.org/book.asp?25504","תפוחי זהב במשכיות כסף - 2 כר'")</f>
        <v>תפוחי זהב במשכיות כסף - 2 כר'</v>
      </c>
    </row>
    <row r="45679" spans="1:6" x14ac:dyDescent="0.2">
      <c r="A45679" t="s">
        <v>68652</v>
      </c>
      <c r="B45679" t="s">
        <v>41026</v>
      </c>
      <c r="C45679" t="s">
        <v>151</v>
      </c>
      <c r="D45679" t="s">
        <v>412</v>
      </c>
      <c r="E45679" t="s">
        <v>158</v>
      </c>
      <c r="F45679" s="2" t="str">
        <f>HYPERLINK("http://www.otzar.org/book.asp?617731","תפוחי זהב")</f>
        <v>תפוחי זהב</v>
      </c>
    </row>
    <row r="45680" spans="1:6" x14ac:dyDescent="0.2">
      <c r="A45680" t="s">
        <v>68653</v>
      </c>
      <c r="B45680" t="s">
        <v>7220</v>
      </c>
      <c r="C45680" t="s">
        <v>111</v>
      </c>
      <c r="D45680" t="s">
        <v>52</v>
      </c>
      <c r="E45680" t="s">
        <v>144</v>
      </c>
      <c r="F45680" s="2" t="str">
        <f>HYPERLINK("http://www.otzar.org/book.asp?629688","תפוחי זהב - 5 כר'")</f>
        <v>תפוחי זהב - 5 כר'</v>
      </c>
    </row>
    <row r="45681" spans="1:6" x14ac:dyDescent="0.2">
      <c r="A45681" t="s">
        <v>68654</v>
      </c>
      <c r="B45681" t="s">
        <v>59975</v>
      </c>
      <c r="C45681" t="s">
        <v>5160</v>
      </c>
      <c r="D45681" t="s">
        <v>1411</v>
      </c>
      <c r="F45681" s="2" t="str">
        <f>HYPERLINK("http://www.otzar.org/book.asp?170193","תפוחי זהב - 3 כר'")</f>
        <v>תפוחי זהב - 3 כר'</v>
      </c>
    </row>
    <row r="45682" spans="1:6" x14ac:dyDescent="0.2">
      <c r="A45682" t="s">
        <v>68652</v>
      </c>
      <c r="B45682" t="s">
        <v>25498</v>
      </c>
      <c r="C45682" t="s">
        <v>950</v>
      </c>
      <c r="D45682" t="s">
        <v>929</v>
      </c>
      <c r="E45682" t="s">
        <v>158</v>
      </c>
      <c r="F45682" s="2" t="str">
        <f>HYPERLINK("http://www.otzar.org/book.asp?172313","תפוחי זהב")</f>
        <v>תפוחי זהב</v>
      </c>
    </row>
    <row r="45683" spans="1:6" x14ac:dyDescent="0.2">
      <c r="A45683" t="s">
        <v>68652</v>
      </c>
      <c r="B45683" t="s">
        <v>68655</v>
      </c>
      <c r="C45683" t="s">
        <v>1725</v>
      </c>
      <c r="D45683" t="s">
        <v>1726</v>
      </c>
      <c r="F45683" s="2" t="str">
        <f>HYPERLINK("http://www.otzar.org/book.asp?53621","תפוחי זהב")</f>
        <v>תפוחי זהב</v>
      </c>
    </row>
    <row r="45684" spans="1:6" x14ac:dyDescent="0.2">
      <c r="A45684" t="s">
        <v>68652</v>
      </c>
      <c r="B45684" t="s">
        <v>7</v>
      </c>
      <c r="C45684" t="s">
        <v>40437</v>
      </c>
      <c r="D45684" t="s">
        <v>6214</v>
      </c>
      <c r="E45684" t="s">
        <v>234</v>
      </c>
      <c r="F45684" s="2" t="str">
        <f>HYPERLINK("http://www.otzar.org/book.asp?620616","תפוחי זהב")</f>
        <v>תפוחי זהב</v>
      </c>
    </row>
    <row r="45685" spans="1:6" x14ac:dyDescent="0.2">
      <c r="A45685" t="s">
        <v>68656</v>
      </c>
      <c r="B45685" t="s">
        <v>6752</v>
      </c>
      <c r="C45685" t="s">
        <v>466</v>
      </c>
      <c r="D45685" t="s">
        <v>52</v>
      </c>
      <c r="E45685" t="s">
        <v>68657</v>
      </c>
      <c r="F45685" s="2" t="str">
        <f>HYPERLINK("http://www.otzar.org/book.asp?21838","תפוחי חיים - על מסכתות הש""ס")</f>
        <v>תפוחי חיים - על מסכתות הש"ס</v>
      </c>
    </row>
    <row r="45686" spans="1:6" x14ac:dyDescent="0.2">
      <c r="A45686" t="s">
        <v>68658</v>
      </c>
      <c r="B45686" t="s">
        <v>7964</v>
      </c>
      <c r="C45686" t="s">
        <v>775</v>
      </c>
      <c r="D45686" t="s">
        <v>52</v>
      </c>
      <c r="E45686" t="s">
        <v>158</v>
      </c>
      <c r="F45686" s="2" t="str">
        <f>HYPERLINK("http://www.otzar.org/book.asp?21851","תפוחי חיים - 8 כר'")</f>
        <v>תפוחי חיים - 8 כר'</v>
      </c>
    </row>
    <row r="45687" spans="1:6" x14ac:dyDescent="0.2">
      <c r="A45687" t="s">
        <v>68659</v>
      </c>
      <c r="B45687" t="s">
        <v>21499</v>
      </c>
      <c r="C45687" t="s">
        <v>133</v>
      </c>
      <c r="D45687" t="s">
        <v>52</v>
      </c>
      <c r="E45687" t="s">
        <v>18910</v>
      </c>
      <c r="F45687" s="2" t="str">
        <f>HYPERLINK("http://www.otzar.org/book.asp?199275","תפילה בכוונה &lt;נוסח בלאדי&gt;")</f>
        <v>תפילה בכוונה &lt;נוסח בלאדי&gt;</v>
      </c>
    </row>
    <row r="45688" spans="1:6" x14ac:dyDescent="0.2">
      <c r="A45688" t="s">
        <v>68660</v>
      </c>
      <c r="B45688" t="s">
        <v>5512</v>
      </c>
      <c r="C45688" t="s">
        <v>111</v>
      </c>
      <c r="D45688" t="s">
        <v>229</v>
      </c>
      <c r="E45688" t="s">
        <v>960</v>
      </c>
      <c r="F45688" s="2" t="str">
        <f>HYPERLINK("http://www.otzar.org/book.asp?627128","תפילה דיליה")</f>
        <v>תפילה דיליה</v>
      </c>
    </row>
    <row r="45689" spans="1:6" x14ac:dyDescent="0.2">
      <c r="A45689" t="s">
        <v>68661</v>
      </c>
      <c r="B45689" t="s">
        <v>15391</v>
      </c>
      <c r="C45689" t="s">
        <v>383</v>
      </c>
      <c r="D45689" t="s">
        <v>21</v>
      </c>
      <c r="E45689" t="s">
        <v>5186</v>
      </c>
      <c r="F45689" s="2" t="str">
        <f>HYPERLINK("http://www.otzar.org/book.asp?191325","תפילה ותחינה")</f>
        <v>תפילה ותחינה</v>
      </c>
    </row>
    <row r="45690" spans="1:6" x14ac:dyDescent="0.2">
      <c r="A45690" t="s">
        <v>68662</v>
      </c>
      <c r="B45690" t="s">
        <v>19367</v>
      </c>
      <c r="C45690" t="s">
        <v>785</v>
      </c>
      <c r="D45690" t="s">
        <v>90</v>
      </c>
      <c r="E45690" t="s">
        <v>15</v>
      </c>
      <c r="F45690" s="2" t="str">
        <f>HYPERLINK("http://www.otzar.org/book.asp?180730","תפילה כהלכתה")</f>
        <v>תפילה כהלכתה</v>
      </c>
    </row>
    <row r="45691" spans="1:6" x14ac:dyDescent="0.2">
      <c r="A45691" t="s">
        <v>68663</v>
      </c>
      <c r="B45691" t="s">
        <v>30028</v>
      </c>
      <c r="C45691" t="s">
        <v>23</v>
      </c>
      <c r="D45691" t="s">
        <v>52</v>
      </c>
      <c r="E45691" t="s">
        <v>219</v>
      </c>
      <c r="F45691" s="2" t="str">
        <f>HYPERLINK("http://www.otzar.org/book.asp?182510","תפילה כמנהג ק""ק אשכנזים - שבת")</f>
        <v>תפילה כמנהג ק"ק אשכנזים - שבת</v>
      </c>
    </row>
    <row r="45692" spans="1:6" x14ac:dyDescent="0.2">
      <c r="A45692" t="s">
        <v>68664</v>
      </c>
      <c r="B45692" t="s">
        <v>2443</v>
      </c>
      <c r="C45692" t="s">
        <v>244</v>
      </c>
      <c r="D45692" t="s">
        <v>52</v>
      </c>
      <c r="E45692" t="s">
        <v>219</v>
      </c>
      <c r="F45692" s="2" t="str">
        <f>HYPERLINK("http://www.otzar.org/book.asp?600678","תפילה לאיש - עלינו לשבח")</f>
        <v>תפילה לאיש - עלינו לשבח</v>
      </c>
    </row>
    <row r="45693" spans="1:6" x14ac:dyDescent="0.2">
      <c r="A45693" t="s">
        <v>68665</v>
      </c>
      <c r="B45693" t="s">
        <v>68666</v>
      </c>
      <c r="C45693" t="s">
        <v>23</v>
      </c>
      <c r="D45693" t="s">
        <v>14</v>
      </c>
      <c r="F45693" s="2" t="str">
        <f>HYPERLINK("http://www.otzar.org/book.asp?609874","תפילה לאל חיי")</f>
        <v>תפילה לאל חיי</v>
      </c>
    </row>
    <row r="45694" spans="1:6" x14ac:dyDescent="0.2">
      <c r="A45694" t="s">
        <v>68667</v>
      </c>
      <c r="B45694" t="s">
        <v>9043</v>
      </c>
      <c r="C45694" t="s">
        <v>114</v>
      </c>
      <c r="D45694" t="s">
        <v>90</v>
      </c>
      <c r="E45694" t="s">
        <v>241</v>
      </c>
      <c r="F45694" s="2" t="str">
        <f>HYPERLINK("http://www.otzar.org/book.asp?160104","תפילה לדוד")</f>
        <v>תפילה לדוד</v>
      </c>
    </row>
    <row r="45695" spans="1:6" x14ac:dyDescent="0.2">
      <c r="A45695" t="s">
        <v>68668</v>
      </c>
      <c r="B45695" t="s">
        <v>11019</v>
      </c>
      <c r="C45695" t="s">
        <v>20</v>
      </c>
      <c r="D45695" t="s">
        <v>14</v>
      </c>
      <c r="E45695" t="s">
        <v>219</v>
      </c>
      <c r="F45695" s="2" t="str">
        <f>HYPERLINK("http://www.otzar.org/book.asp?163176","תפילה לדוד - 3 כר'")</f>
        <v>תפילה לדוד - 3 כר'</v>
      </c>
    </row>
    <row r="45696" spans="1:6" x14ac:dyDescent="0.2">
      <c r="A45696" t="s">
        <v>68667</v>
      </c>
      <c r="B45696" t="s">
        <v>68669</v>
      </c>
      <c r="C45696" t="s">
        <v>20</v>
      </c>
      <c r="D45696" t="s">
        <v>14</v>
      </c>
      <c r="E45696" t="s">
        <v>148</v>
      </c>
      <c r="F45696" s="2" t="str">
        <f>HYPERLINK("http://www.otzar.org/book.asp?179012","תפילה לדוד")</f>
        <v>תפילה לדוד</v>
      </c>
    </row>
    <row r="45697" spans="1:6" x14ac:dyDescent="0.2">
      <c r="A45697" t="s">
        <v>68670</v>
      </c>
      <c r="B45697" t="s">
        <v>46216</v>
      </c>
      <c r="C45697" t="s">
        <v>244</v>
      </c>
      <c r="D45697" t="s">
        <v>21</v>
      </c>
      <c r="E45697" t="s">
        <v>219</v>
      </c>
      <c r="F45697" s="2" t="str">
        <f>HYPERLINK("http://www.otzar.org/book.asp?604820","תפילה למשה - 2 כר'")</f>
        <v>תפילה למשה - 2 כר'</v>
      </c>
    </row>
    <row r="45698" spans="1:6" x14ac:dyDescent="0.2">
      <c r="A45698" t="s">
        <v>68671</v>
      </c>
      <c r="B45698" t="s">
        <v>68672</v>
      </c>
      <c r="C45698" t="s">
        <v>383</v>
      </c>
      <c r="D45698" t="s">
        <v>14</v>
      </c>
      <c r="E45698" t="s">
        <v>241</v>
      </c>
      <c r="F45698" s="2" t="str">
        <f>HYPERLINK("http://www.otzar.org/book.asp?84671","תפילה למשה")</f>
        <v>תפילה למשה</v>
      </c>
    </row>
    <row r="45699" spans="1:6" x14ac:dyDescent="0.2">
      <c r="A45699" t="s">
        <v>68671</v>
      </c>
      <c r="B45699" t="s">
        <v>552</v>
      </c>
      <c r="C45699" t="s">
        <v>133</v>
      </c>
      <c r="D45699" t="s">
        <v>52</v>
      </c>
      <c r="E45699" t="s">
        <v>202</v>
      </c>
      <c r="F45699" s="2" t="str">
        <f>HYPERLINK("http://www.otzar.org/book.asp?600165","תפילה למשה")</f>
        <v>תפילה למשה</v>
      </c>
    </row>
    <row r="45700" spans="1:6" x14ac:dyDescent="0.2">
      <c r="A45700" t="s">
        <v>68671</v>
      </c>
      <c r="B45700" t="s">
        <v>253</v>
      </c>
      <c r="C45700" t="s">
        <v>366</v>
      </c>
      <c r="D45700" t="s">
        <v>14</v>
      </c>
      <c r="F45700" s="2" t="str">
        <f>HYPERLINK("http://www.otzar.org/book.asp?606142","תפילה למשה")</f>
        <v>תפילה למשה</v>
      </c>
    </row>
    <row r="45701" spans="1:6" x14ac:dyDescent="0.2">
      <c r="A45701" t="s">
        <v>68673</v>
      </c>
      <c r="B45701" t="s">
        <v>68674</v>
      </c>
      <c r="C45701" t="s">
        <v>37</v>
      </c>
      <c r="D45701" t="s">
        <v>3406</v>
      </c>
      <c r="E45701" t="s">
        <v>241</v>
      </c>
      <c r="F45701" s="2" t="str">
        <f>HYPERLINK("http://www.otzar.org/book.asp?625412","תפילה לשלמה")</f>
        <v>תפילה לשלמה</v>
      </c>
    </row>
    <row r="45702" spans="1:6" x14ac:dyDescent="0.2">
      <c r="A45702" t="s">
        <v>68675</v>
      </c>
      <c r="E45702" t="s">
        <v>219</v>
      </c>
      <c r="F45702" s="2" t="str">
        <f>HYPERLINK("http://www.otzar.org/book.asp?624802","תפילה מרבי ישמעאל כהן גדול")</f>
        <v>תפילה מרבי ישמעאל כהן גדול</v>
      </c>
    </row>
    <row r="45703" spans="1:6" x14ac:dyDescent="0.2">
      <c r="A45703" t="s">
        <v>68676</v>
      </c>
      <c r="B45703" t="s">
        <v>68677</v>
      </c>
      <c r="C45703" t="s">
        <v>20</v>
      </c>
      <c r="D45703" t="s">
        <v>90</v>
      </c>
      <c r="F45703" s="2" t="str">
        <f>HYPERLINK("http://www.otzar.org/book.asp?195735","תפילה תשובה תורה")</f>
        <v>תפילה תשובה תורה</v>
      </c>
    </row>
    <row r="45704" spans="1:6" x14ac:dyDescent="0.2">
      <c r="A45704" t="s">
        <v>68678</v>
      </c>
      <c r="B45704" t="s">
        <v>11656</v>
      </c>
      <c r="C45704" t="s">
        <v>244</v>
      </c>
      <c r="D45704" t="s">
        <v>90</v>
      </c>
      <c r="E45704" t="s">
        <v>219</v>
      </c>
      <c r="F45704" s="2" t="str">
        <f>HYPERLINK("http://www.otzar.org/book.asp?628154","תפילות וחיזוקים &lt;מהדורה חדשה&gt;")</f>
        <v>תפילות וחיזוקים &lt;מהדורה חדשה&gt;</v>
      </c>
    </row>
    <row r="45705" spans="1:6" x14ac:dyDescent="0.2">
      <c r="A45705" t="s">
        <v>68679</v>
      </c>
      <c r="B45705" t="s">
        <v>11656</v>
      </c>
      <c r="C45705" t="s">
        <v>244</v>
      </c>
      <c r="D45705" t="s">
        <v>90</v>
      </c>
      <c r="E45705" t="s">
        <v>219</v>
      </c>
      <c r="F45705" s="2" t="str">
        <f>HYPERLINK("http://www.otzar.org/book.asp?600302","תפילות וחיזוקים")</f>
        <v>תפילות וחיזוקים</v>
      </c>
    </row>
    <row r="45706" spans="1:6" x14ac:dyDescent="0.2">
      <c r="A45706" t="s">
        <v>68680</v>
      </c>
      <c r="B45706" t="s">
        <v>8194</v>
      </c>
      <c r="C45706" t="s">
        <v>411</v>
      </c>
      <c r="D45706" t="s">
        <v>367</v>
      </c>
      <c r="E45706" t="s">
        <v>219</v>
      </c>
      <c r="F45706" s="2" t="str">
        <f>HYPERLINK("http://www.otzar.org/book.asp?627298","תפילות ומאמרים לכלה")</f>
        <v>תפילות ומאמרים לכלה</v>
      </c>
    </row>
    <row r="45707" spans="1:6" x14ac:dyDescent="0.2">
      <c r="A45707" t="s">
        <v>68681</v>
      </c>
      <c r="B45707" t="s">
        <v>257</v>
      </c>
      <c r="C45707" t="s">
        <v>775</v>
      </c>
      <c r="D45707" t="s">
        <v>486</v>
      </c>
      <c r="E45707" t="s">
        <v>15</v>
      </c>
      <c r="F45707" s="2" t="str">
        <f>HYPERLINK("http://www.otzar.org/book.asp?53638","תפילות כהלכה")</f>
        <v>תפילות כהלכה</v>
      </c>
    </row>
    <row r="45708" spans="1:6" x14ac:dyDescent="0.2">
      <c r="A45708" t="s">
        <v>68682</v>
      </c>
      <c r="B45708" t="s">
        <v>33456</v>
      </c>
      <c r="C45708" t="s">
        <v>23</v>
      </c>
      <c r="D45708" t="s">
        <v>14</v>
      </c>
      <c r="F45708" s="2" t="str">
        <f>HYPERLINK("http://www.otzar.org/book.asp?609859","תפילות לחתן ולכלה ביום החופה")</f>
        <v>תפילות לחתן ולכלה ביום החופה</v>
      </c>
    </row>
    <row r="45709" spans="1:6" x14ac:dyDescent="0.2">
      <c r="A45709" t="s">
        <v>68683</v>
      </c>
      <c r="B45709" t="s">
        <v>206</v>
      </c>
      <c r="C45709" t="s">
        <v>20</v>
      </c>
      <c r="D45709" t="s">
        <v>90</v>
      </c>
      <c r="F45709" s="2" t="str">
        <f>HYPERLINK("http://www.otzar.org/book.asp?616624","תפילות לציון דוד המלך ומלכי בית דוד")</f>
        <v>תפילות לציון דוד המלך ומלכי בית דוד</v>
      </c>
    </row>
    <row r="45710" spans="1:6" x14ac:dyDescent="0.2">
      <c r="A45710" t="s">
        <v>68684</v>
      </c>
      <c r="B45710" t="s">
        <v>68685</v>
      </c>
      <c r="C45710" t="s">
        <v>5619</v>
      </c>
      <c r="D45710" t="s">
        <v>6042</v>
      </c>
      <c r="E45710" t="s">
        <v>219</v>
      </c>
      <c r="F45710" s="2" t="str">
        <f>HYPERLINK("http://www.otzar.org/book.asp?148955","תפילות נוראות ושבחות והודאות וזמירות ישראל")</f>
        <v>תפילות נוראות ושבחות והודאות וזמירות ישראל</v>
      </c>
    </row>
    <row r="45711" spans="1:6" x14ac:dyDescent="0.2">
      <c r="A45711" t="s">
        <v>68686</v>
      </c>
      <c r="B45711" t="s">
        <v>107</v>
      </c>
      <c r="C45711" t="s">
        <v>23</v>
      </c>
      <c r="D45711" t="s">
        <v>14</v>
      </c>
      <c r="E45711" t="s">
        <v>234</v>
      </c>
      <c r="F45711" s="2" t="str">
        <f>HYPERLINK("http://www.otzar.org/book.asp?622153","תפילין אות וטוטפת")</f>
        <v>תפילין אות וטוטפת</v>
      </c>
    </row>
    <row r="45712" spans="1:6" x14ac:dyDescent="0.2">
      <c r="A45712" t="s">
        <v>68687</v>
      </c>
      <c r="B45712" t="s">
        <v>1827</v>
      </c>
      <c r="C45712" t="s">
        <v>748</v>
      </c>
      <c r="D45712" t="s">
        <v>267</v>
      </c>
      <c r="E45712" t="s">
        <v>15</v>
      </c>
      <c r="F45712" s="2" t="str">
        <f>HYPERLINK("http://www.otzar.org/book.asp?605209","תפילין דמרי עלמא - 2 כר'")</f>
        <v>תפילין דמרי עלמא - 2 כר'</v>
      </c>
    </row>
    <row r="45713" spans="1:6" x14ac:dyDescent="0.2">
      <c r="A45713" t="s">
        <v>68688</v>
      </c>
      <c r="B45713" t="s">
        <v>4756</v>
      </c>
      <c r="C45713" t="s">
        <v>1208</v>
      </c>
      <c r="D45713" t="s">
        <v>14</v>
      </c>
      <c r="E45713" t="s">
        <v>15</v>
      </c>
      <c r="F45713" s="2" t="str">
        <f>HYPERLINK("http://www.otzar.org/book.asp?6076","תפילין ומזוזות כהלכתן")</f>
        <v>תפילין ומזוזות כהלכתן</v>
      </c>
    </row>
    <row r="45714" spans="1:6" x14ac:dyDescent="0.2">
      <c r="A45714" t="s">
        <v>68689</v>
      </c>
      <c r="B45714" t="s">
        <v>17342</v>
      </c>
      <c r="C45714" t="s">
        <v>23</v>
      </c>
      <c r="D45714" t="s">
        <v>52</v>
      </c>
      <c r="E45714" t="s">
        <v>2840</v>
      </c>
      <c r="F45714" s="2" t="str">
        <f>HYPERLINK("http://www.otzar.org/book.asp?606551","תפילין של רא""ש")</f>
        <v>תפילין של רא"ש</v>
      </c>
    </row>
    <row r="45715" spans="1:6" x14ac:dyDescent="0.2">
      <c r="A45715" t="s">
        <v>68690</v>
      </c>
      <c r="B45715" t="s">
        <v>1750</v>
      </c>
      <c r="C45715" t="s">
        <v>37</v>
      </c>
      <c r="D45715" t="s">
        <v>21</v>
      </c>
      <c r="E45715" t="s">
        <v>241</v>
      </c>
      <c r="F45715" s="2" t="str">
        <f>HYPERLINK("http://www.otzar.org/book.asp?607243","תפילת אמת")</f>
        <v>תפילת אמת</v>
      </c>
    </row>
    <row r="45716" spans="1:6" x14ac:dyDescent="0.2">
      <c r="A45716" t="s">
        <v>68691</v>
      </c>
      <c r="B45716" t="s">
        <v>5058</v>
      </c>
      <c r="C45716" t="s">
        <v>51</v>
      </c>
      <c r="D45716" t="s">
        <v>108</v>
      </c>
      <c r="E45716" t="s">
        <v>24</v>
      </c>
      <c r="F45716" s="2" t="str">
        <f>HYPERLINK("http://www.otzar.org/book.asp?26118","תפילת דוד - נפש דוד")</f>
        <v>תפילת דוד - נפש דוד</v>
      </c>
    </row>
    <row r="45717" spans="1:6" x14ac:dyDescent="0.2">
      <c r="A45717" t="s">
        <v>68692</v>
      </c>
      <c r="B45717" t="s">
        <v>3286</v>
      </c>
      <c r="C45717" t="s">
        <v>106</v>
      </c>
      <c r="D45717" t="s">
        <v>52</v>
      </c>
      <c r="E45717" t="s">
        <v>24</v>
      </c>
      <c r="F45717" s="2" t="str">
        <f>HYPERLINK("http://www.otzar.org/book.asp?193677","תפילת הדרך והלכותיה, תיקון חצות, קריעה על המקדש")</f>
        <v>תפילת הדרך והלכותיה, תיקון חצות, קריעה על המקדש</v>
      </c>
    </row>
    <row r="45718" spans="1:6" x14ac:dyDescent="0.2">
      <c r="A45718" t="s">
        <v>68693</v>
      </c>
      <c r="B45718" t="s">
        <v>68694</v>
      </c>
      <c r="C45718" t="s">
        <v>17</v>
      </c>
      <c r="D45718" t="s">
        <v>14</v>
      </c>
      <c r="E45718" t="s">
        <v>219</v>
      </c>
      <c r="F45718" s="2" t="str">
        <f>HYPERLINK("http://www.otzar.org/book.asp?175458","תפילת העמידה לחול ע""פ הגניזה הקהירית")</f>
        <v>תפילת העמידה לחול ע"פ הגניזה הקהירית</v>
      </c>
    </row>
    <row r="45719" spans="1:6" x14ac:dyDescent="0.2">
      <c r="A45719" t="s">
        <v>68695</v>
      </c>
      <c r="B45719" t="s">
        <v>68696</v>
      </c>
      <c r="C45719" t="s">
        <v>989</v>
      </c>
      <c r="D45719" t="s">
        <v>14</v>
      </c>
      <c r="E45719" t="s">
        <v>68697</v>
      </c>
      <c r="F45719" s="2" t="str">
        <f>HYPERLINK("http://www.otzar.org/book.asp?11123","תפילת הצדיקים")</f>
        <v>תפילת הצדיקים</v>
      </c>
    </row>
    <row r="45720" spans="1:6" x14ac:dyDescent="0.2">
      <c r="A45720" t="s">
        <v>68698</v>
      </c>
      <c r="B45720" t="s">
        <v>14157</v>
      </c>
      <c r="C45720" t="s">
        <v>103</v>
      </c>
      <c r="E45720" t="s">
        <v>219</v>
      </c>
      <c r="F45720" s="2" t="str">
        <f>HYPERLINK("http://www.otzar.org/book.asp?22161","תפילת זאב")</f>
        <v>תפילת זאב</v>
      </c>
    </row>
    <row r="45721" spans="1:6" x14ac:dyDescent="0.2">
      <c r="A45721" t="s">
        <v>68699</v>
      </c>
      <c r="B45721" t="s">
        <v>3901</v>
      </c>
      <c r="C45721" t="s">
        <v>775</v>
      </c>
      <c r="D45721" t="s">
        <v>52</v>
      </c>
      <c r="E45721" t="s">
        <v>960</v>
      </c>
      <c r="F45721" s="2" t="str">
        <f>HYPERLINK("http://www.otzar.org/book.asp?172142","תפילת חנה")</f>
        <v>תפילת חנה</v>
      </c>
    </row>
    <row r="45722" spans="1:6" x14ac:dyDescent="0.2">
      <c r="A45722" t="s">
        <v>68700</v>
      </c>
      <c r="B45722" t="s">
        <v>19139</v>
      </c>
      <c r="C45722" t="s">
        <v>111</v>
      </c>
      <c r="D45722" t="s">
        <v>90</v>
      </c>
      <c r="E45722" t="s">
        <v>960</v>
      </c>
      <c r="F45722" s="2" t="str">
        <f>HYPERLINK("http://www.otzar.org/book.asp?626244","תפילת יעקב - 2 כר'")</f>
        <v>תפילת יעקב - 2 כר'</v>
      </c>
    </row>
    <row r="45723" spans="1:6" x14ac:dyDescent="0.2">
      <c r="A45723" t="s">
        <v>68701</v>
      </c>
      <c r="B45723" t="s">
        <v>206</v>
      </c>
      <c r="E45723" t="s">
        <v>960</v>
      </c>
      <c r="F45723" s="2" t="str">
        <f>HYPERLINK("http://www.otzar.org/book.asp?622739","תפילת ישרים")</f>
        <v>תפילת ישרים</v>
      </c>
    </row>
    <row r="45724" spans="1:6" x14ac:dyDescent="0.2">
      <c r="A45724" t="s">
        <v>68702</v>
      </c>
      <c r="B45724" t="s">
        <v>40013</v>
      </c>
      <c r="C45724" t="s">
        <v>68</v>
      </c>
      <c r="D45724" t="s">
        <v>412</v>
      </c>
      <c r="E45724" t="s">
        <v>960</v>
      </c>
      <c r="F45724" s="2" t="str">
        <f>HYPERLINK("http://www.otzar.org/book.asp?161124","תפילת מנחה וערבית עמידת יהונתן")</f>
        <v>תפילת מנחה וערבית עמידת יהונתן</v>
      </c>
    </row>
    <row r="45725" spans="1:6" x14ac:dyDescent="0.2">
      <c r="A45725" t="s">
        <v>68703</v>
      </c>
      <c r="B45725" t="s">
        <v>67948</v>
      </c>
      <c r="C45725" t="s">
        <v>51</v>
      </c>
      <c r="D45725" t="s">
        <v>139</v>
      </c>
      <c r="E45725" t="s">
        <v>241</v>
      </c>
      <c r="F45725" s="2" t="str">
        <f>HYPERLINK("http://www.otzar.org/book.asp?160825","תפילת מרדכי")</f>
        <v>תפילת מרדכי</v>
      </c>
    </row>
    <row r="45726" spans="1:6" x14ac:dyDescent="0.2">
      <c r="A45726" t="s">
        <v>68704</v>
      </c>
      <c r="B45726" t="s">
        <v>68705</v>
      </c>
      <c r="C45726" t="s">
        <v>176</v>
      </c>
      <c r="D45726" t="s">
        <v>14</v>
      </c>
      <c r="E45726" t="s">
        <v>219</v>
      </c>
      <c r="F45726" s="2" t="str">
        <f>HYPERLINK("http://www.otzar.org/book.asp?62611","תפילת משה - קידוש ומזמורים")</f>
        <v>תפילת משה - קידוש ומזמורים</v>
      </c>
    </row>
    <row r="45727" spans="1:6" x14ac:dyDescent="0.2">
      <c r="A45727" t="s">
        <v>68706</v>
      </c>
      <c r="B45727" t="s">
        <v>68707</v>
      </c>
      <c r="C45727" t="s">
        <v>151</v>
      </c>
      <c r="D45727" t="s">
        <v>14</v>
      </c>
      <c r="E45727" t="s">
        <v>219</v>
      </c>
      <c r="F45727" s="2" t="str">
        <f>HYPERLINK("http://www.otzar.org/book.asp?617920","תפילת נשמת כל חי המבוארת")</f>
        <v>תפילת נשמת כל חי המבוארת</v>
      </c>
    </row>
    <row r="45728" spans="1:6" x14ac:dyDescent="0.2">
      <c r="A45728" t="s">
        <v>68708</v>
      </c>
      <c r="B45728" t="s">
        <v>68709</v>
      </c>
      <c r="C45728" t="s">
        <v>146</v>
      </c>
      <c r="D45728" t="s">
        <v>14</v>
      </c>
      <c r="E45728" t="s">
        <v>219</v>
      </c>
      <c r="F45728" s="2" t="str">
        <f>HYPERLINK("http://www.otzar.org/book.asp?144562","תפילת נשמת - מפורש ומבואר")</f>
        <v>תפילת נשמת - מפורש ומבואר</v>
      </c>
    </row>
    <row r="45729" spans="1:6" x14ac:dyDescent="0.2">
      <c r="A45729" t="s">
        <v>68710</v>
      </c>
      <c r="B45729" t="s">
        <v>60581</v>
      </c>
      <c r="C45729" t="s">
        <v>151</v>
      </c>
      <c r="D45729" t="s">
        <v>1550</v>
      </c>
      <c r="F45729" s="2" t="str">
        <f>HYPERLINK("http://www.otzar.org/book.asp?609258","תפילת שמו""ע לפי נוסח פרס ובוכרה")</f>
        <v>תפילת שמו"ע לפי נוסח פרס ובוכרה</v>
      </c>
    </row>
    <row r="45730" spans="1:6" x14ac:dyDescent="0.2">
      <c r="A45730" t="s">
        <v>68711</v>
      </c>
      <c r="B45730" t="s">
        <v>68712</v>
      </c>
      <c r="C45730" t="s">
        <v>37</v>
      </c>
      <c r="D45730" t="s">
        <v>21</v>
      </c>
      <c r="F45730" s="2" t="str">
        <f>HYPERLINK("http://www.otzar.org/book.asp?192382","תפילת שמונה עשרה ויסודות האמונה")</f>
        <v>תפילת שמונה עשרה ויסודות האמונה</v>
      </c>
    </row>
    <row r="45731" spans="1:6" x14ac:dyDescent="0.2">
      <c r="A45731" t="s">
        <v>68713</v>
      </c>
      <c r="B45731" t="s">
        <v>68714</v>
      </c>
      <c r="C45731" t="s">
        <v>390</v>
      </c>
      <c r="D45731" t="s">
        <v>216</v>
      </c>
      <c r="E45731" t="s">
        <v>960</v>
      </c>
      <c r="F45731" s="2" t="str">
        <f>HYPERLINK("http://www.otzar.org/book.asp?188467","תפילת שמונה עשרה וקרבן התמיד")</f>
        <v>תפילת שמונה עשרה וקרבן התמיד</v>
      </c>
    </row>
    <row r="45732" spans="1:6" x14ac:dyDescent="0.2">
      <c r="A45732" t="s">
        <v>68715</v>
      </c>
      <c r="B45732" t="s">
        <v>68716</v>
      </c>
      <c r="C45732" t="s">
        <v>124</v>
      </c>
      <c r="D45732" t="s">
        <v>118</v>
      </c>
      <c r="E45732" t="s">
        <v>144</v>
      </c>
      <c r="F45732" s="2" t="str">
        <f>HYPERLINK("http://www.otzar.org/book.asp?162122","תפיסה בקנס")</f>
        <v>תפיסה בקנס</v>
      </c>
    </row>
    <row r="45733" spans="1:6" x14ac:dyDescent="0.2">
      <c r="A45733" t="s">
        <v>68717</v>
      </c>
      <c r="B45733" t="s">
        <v>68718</v>
      </c>
      <c r="C45733" t="s">
        <v>411</v>
      </c>
      <c r="D45733" t="s">
        <v>1156</v>
      </c>
      <c r="E45733" t="s">
        <v>15</v>
      </c>
      <c r="F45733" s="2" t="str">
        <f>HYPERLINK("http://www.otzar.org/book.asp?169514","תפירה תמה")</f>
        <v>תפירה תמה</v>
      </c>
    </row>
    <row r="45734" spans="1:6" x14ac:dyDescent="0.2">
      <c r="A45734" t="s">
        <v>68719</v>
      </c>
      <c r="B45734" t="s">
        <v>68720</v>
      </c>
      <c r="C45734" t="s">
        <v>1519</v>
      </c>
      <c r="D45734" t="s">
        <v>1992</v>
      </c>
      <c r="E45734" t="s">
        <v>219</v>
      </c>
      <c r="F45734" s="2" t="str">
        <f>HYPERLINK("http://www.otzar.org/book.asp?148960","תפלה אשר יסדו הרבנים")</f>
        <v>תפלה אשר יסדו הרבנים</v>
      </c>
    </row>
    <row r="45735" spans="1:6" x14ac:dyDescent="0.2">
      <c r="A45735" t="s">
        <v>68721</v>
      </c>
      <c r="B45735" t="s">
        <v>68722</v>
      </c>
      <c r="C45735" t="s">
        <v>6054</v>
      </c>
      <c r="D45735" t="s">
        <v>287</v>
      </c>
      <c r="E45735" t="s">
        <v>219</v>
      </c>
      <c r="F45735" s="2" t="str">
        <f>HYPERLINK("http://www.otzar.org/book.asp?167039","תפלה זו קבלה מר""ת (תפילת הדרך)")</f>
        <v>תפלה זו קבלה מר"ת (תפילת הדרך)</v>
      </c>
    </row>
    <row r="45736" spans="1:6" x14ac:dyDescent="0.2">
      <c r="A45736" t="s">
        <v>68723</v>
      </c>
      <c r="B45736" t="s">
        <v>9751</v>
      </c>
      <c r="C45736" t="s">
        <v>1418</v>
      </c>
      <c r="D45736" t="s">
        <v>56</v>
      </c>
      <c r="F45736" s="2" t="str">
        <f>HYPERLINK("http://www.otzar.org/book.asp?163578","תפלה זכה - 2 כר'")</f>
        <v>תפלה זכה - 2 כר'</v>
      </c>
    </row>
    <row r="45737" spans="1:6" x14ac:dyDescent="0.2">
      <c r="A45737" t="s">
        <v>68724</v>
      </c>
      <c r="B45737" t="s">
        <v>68725</v>
      </c>
      <c r="C45737" t="s">
        <v>609</v>
      </c>
      <c r="D45737" t="s">
        <v>38372</v>
      </c>
      <c r="E45737" t="s">
        <v>219</v>
      </c>
      <c r="F45737" s="2" t="str">
        <f>HYPERLINK("http://www.otzar.org/book.asp?23579","תפלה ישרה וכתר נהורא השלם")</f>
        <v>תפלה ישרה וכתר נהורא השלם</v>
      </c>
    </row>
    <row r="45738" spans="1:6" x14ac:dyDescent="0.2">
      <c r="A45738" t="s">
        <v>68726</v>
      </c>
      <c r="B45738" t="s">
        <v>46070</v>
      </c>
      <c r="C45738" t="s">
        <v>5169</v>
      </c>
      <c r="D45738" t="s">
        <v>68727</v>
      </c>
      <c r="E45738" t="s">
        <v>219</v>
      </c>
      <c r="F45738" s="2" t="str">
        <f>HYPERLINK("http://www.otzar.org/book.asp?106212","תפלה ישרה - ראדוויל נוסח ספרד")</f>
        <v>תפלה ישרה - ראדוויל נוסח ספרד</v>
      </c>
    </row>
    <row r="45739" spans="1:6" x14ac:dyDescent="0.2">
      <c r="A45739" t="s">
        <v>68728</v>
      </c>
      <c r="B45739" t="s">
        <v>6053</v>
      </c>
      <c r="C45739" t="s">
        <v>68729</v>
      </c>
      <c r="D45739" t="s">
        <v>68730</v>
      </c>
      <c r="E45739" t="s">
        <v>219</v>
      </c>
      <c r="F45739" s="2" t="str">
        <f>HYPERLINK("http://www.otzar.org/book.asp?625979","תפלה לדוד")</f>
        <v>תפלה לדוד</v>
      </c>
    </row>
    <row r="45740" spans="1:6" x14ac:dyDescent="0.2">
      <c r="A45740" t="s">
        <v>68728</v>
      </c>
      <c r="B45740" t="s">
        <v>68731</v>
      </c>
      <c r="E45740" t="s">
        <v>219</v>
      </c>
      <c r="F45740" s="2" t="str">
        <f>HYPERLINK("http://www.otzar.org/book.asp?196769","תפלה לדוד")</f>
        <v>תפלה לדוד</v>
      </c>
    </row>
    <row r="45741" spans="1:6" x14ac:dyDescent="0.2">
      <c r="A45741" t="s">
        <v>68728</v>
      </c>
      <c r="B45741" t="s">
        <v>68732</v>
      </c>
      <c r="C45741" t="s">
        <v>1981</v>
      </c>
      <c r="D45741" t="s">
        <v>76</v>
      </c>
      <c r="E45741" t="s">
        <v>15</v>
      </c>
      <c r="F45741" s="2" t="str">
        <f>HYPERLINK("http://www.otzar.org/book.asp?937","תפלה לדוד")</f>
        <v>תפלה לדוד</v>
      </c>
    </row>
    <row r="45742" spans="1:6" x14ac:dyDescent="0.2">
      <c r="A45742" t="s">
        <v>68728</v>
      </c>
      <c r="B45742" t="s">
        <v>68733</v>
      </c>
      <c r="C45742" t="s">
        <v>47454</v>
      </c>
      <c r="D45742" t="s">
        <v>1490</v>
      </c>
      <c r="E45742" t="s">
        <v>241</v>
      </c>
      <c r="F45742" s="2" t="str">
        <f>HYPERLINK("http://www.otzar.org/book.asp?151492","תפלה לדוד")</f>
        <v>תפלה לדוד</v>
      </c>
    </row>
    <row r="45743" spans="1:6" x14ac:dyDescent="0.2">
      <c r="A45743" t="s">
        <v>68734</v>
      </c>
      <c r="B45743" t="s">
        <v>1390</v>
      </c>
      <c r="C45743" t="s">
        <v>533</v>
      </c>
      <c r="D45743" t="s">
        <v>52</v>
      </c>
      <c r="E45743" t="s">
        <v>219</v>
      </c>
      <c r="F45743" s="2" t="str">
        <f>HYPERLINK("http://www.otzar.org/book.asp?154266","תפלה לומר על קברי הצדיקים")</f>
        <v>תפלה לומר על קברי הצדיקים</v>
      </c>
    </row>
    <row r="45744" spans="1:6" x14ac:dyDescent="0.2">
      <c r="A45744" t="s">
        <v>68735</v>
      </c>
      <c r="B45744" t="s">
        <v>68736</v>
      </c>
      <c r="C45744" t="s">
        <v>68737</v>
      </c>
      <c r="D45744" t="s">
        <v>22938</v>
      </c>
      <c r="E45744" t="s">
        <v>158</v>
      </c>
      <c r="F45744" s="2" t="str">
        <f>HYPERLINK("http://www.otzar.org/book.asp?625623","תפלה למשה &lt;מהדורה ראשונה&gt;")</f>
        <v>תפלה למשה &lt;מהדורה ראשונה&gt;</v>
      </c>
    </row>
    <row r="45745" spans="1:6" x14ac:dyDescent="0.2">
      <c r="A45745" t="s">
        <v>68738</v>
      </c>
      <c r="B45745" t="s">
        <v>28482</v>
      </c>
      <c r="C45745" t="s">
        <v>16346</v>
      </c>
      <c r="D45745" t="s">
        <v>45613</v>
      </c>
      <c r="E45745" t="s">
        <v>1626</v>
      </c>
      <c r="F45745" s="2" t="str">
        <f>HYPERLINK("http://www.otzar.org/book.asp?146730","תפלה למשה &lt;דפו""ר&gt;")</f>
        <v>תפלה למשה &lt;דפו"ר&gt;</v>
      </c>
    </row>
    <row r="45746" spans="1:6" x14ac:dyDescent="0.2">
      <c r="A45746" t="s">
        <v>68739</v>
      </c>
      <c r="B45746" t="s">
        <v>4201</v>
      </c>
      <c r="C45746" t="s">
        <v>114</v>
      </c>
      <c r="D45746" t="s">
        <v>52</v>
      </c>
      <c r="E45746" t="s">
        <v>1164</v>
      </c>
      <c r="F45746" s="2" t="str">
        <f>HYPERLINK("http://www.otzar.org/book.asp?162713","תפלה למשה (קורדובירו) - 2 כר'")</f>
        <v>תפלה למשה (קורדובירו) - 2 כר'</v>
      </c>
    </row>
    <row r="45747" spans="1:6" x14ac:dyDescent="0.2">
      <c r="A45747" t="s">
        <v>68740</v>
      </c>
      <c r="B45747" t="s">
        <v>68736</v>
      </c>
      <c r="C45747" t="s">
        <v>20</v>
      </c>
      <c r="D45747" t="s">
        <v>90</v>
      </c>
      <c r="E45747" t="s">
        <v>158</v>
      </c>
      <c r="F45747" s="2" t="str">
        <f>HYPERLINK("http://www.otzar.org/book.asp?52482","תפלה למשה - 2 כר'")</f>
        <v>תפלה למשה - 2 כר'</v>
      </c>
    </row>
    <row r="45748" spans="1:6" x14ac:dyDescent="0.2">
      <c r="A45748" t="s">
        <v>68741</v>
      </c>
      <c r="B45748" t="s">
        <v>28482</v>
      </c>
      <c r="C45748" t="s">
        <v>1208</v>
      </c>
      <c r="D45748" t="s">
        <v>216</v>
      </c>
      <c r="E45748" t="s">
        <v>1626</v>
      </c>
      <c r="F45748" s="2" t="str">
        <f>HYPERLINK("http://www.otzar.org/book.asp?145558","תפלה למשה - 3 כר'")</f>
        <v>תפלה למשה - 3 כר'</v>
      </c>
    </row>
    <row r="45749" spans="1:6" x14ac:dyDescent="0.2">
      <c r="A45749" t="s">
        <v>68742</v>
      </c>
      <c r="B45749" t="s">
        <v>17668</v>
      </c>
      <c r="C45749" t="s">
        <v>422</v>
      </c>
      <c r="D45749" t="s">
        <v>412</v>
      </c>
      <c r="E45749" t="s">
        <v>130</v>
      </c>
      <c r="F45749" s="2" t="str">
        <f>HYPERLINK("http://www.otzar.org/book.asp?170859","תפלה למשה - אורות יהושע - אלול, תשרי")</f>
        <v>תפלה למשה - אורות יהושע - אלול, תשרי</v>
      </c>
    </row>
    <row r="45750" spans="1:6" x14ac:dyDescent="0.2">
      <c r="A45750" t="s">
        <v>68743</v>
      </c>
      <c r="B45750" t="s">
        <v>8578</v>
      </c>
      <c r="C45750" t="s">
        <v>550</v>
      </c>
      <c r="D45750" t="s">
        <v>1279</v>
      </c>
      <c r="E45750" t="s">
        <v>1517</v>
      </c>
      <c r="F45750" s="2" t="str">
        <f>HYPERLINK("http://www.otzar.org/book.asp?148730","תפלה למשה")</f>
        <v>תפלה למשה</v>
      </c>
    </row>
    <row r="45751" spans="1:6" x14ac:dyDescent="0.2">
      <c r="A45751" t="s">
        <v>68743</v>
      </c>
      <c r="B45751" t="s">
        <v>68744</v>
      </c>
      <c r="C45751" t="s">
        <v>360</v>
      </c>
      <c r="D45751" t="s">
        <v>27</v>
      </c>
      <c r="E45751" t="s">
        <v>158</v>
      </c>
      <c r="F45751" s="2" t="str">
        <f>HYPERLINK("http://www.otzar.org/book.asp?149261","תפלה למשה")</f>
        <v>תפלה למשה</v>
      </c>
    </row>
    <row r="45752" spans="1:6" x14ac:dyDescent="0.2">
      <c r="A45752" t="s">
        <v>68745</v>
      </c>
      <c r="B45752" t="s">
        <v>12303</v>
      </c>
      <c r="C45752" t="s">
        <v>523</v>
      </c>
      <c r="D45752" t="s">
        <v>52</v>
      </c>
      <c r="E45752" t="s">
        <v>9356</v>
      </c>
      <c r="F45752" s="2" t="str">
        <f>HYPERLINK("http://www.otzar.org/book.asp?22787","תפלה למשה - 7 כר'")</f>
        <v>תפלה למשה - 7 כר'</v>
      </c>
    </row>
    <row r="45753" spans="1:6" x14ac:dyDescent="0.2">
      <c r="A45753" t="s">
        <v>68746</v>
      </c>
      <c r="B45753" t="s">
        <v>68747</v>
      </c>
      <c r="C45753" t="s">
        <v>1666</v>
      </c>
      <c r="D45753" t="s">
        <v>1117</v>
      </c>
      <c r="E45753" t="s">
        <v>219</v>
      </c>
      <c r="F45753" s="2" t="str">
        <f>HYPERLINK("http://www.otzar.org/book.asp?151673","תפלה מכל השנה")</f>
        <v>תפלה מכל השנה</v>
      </c>
    </row>
    <row r="45754" spans="1:6" x14ac:dyDescent="0.2">
      <c r="A45754" t="s">
        <v>68748</v>
      </c>
      <c r="B45754" t="s">
        <v>68749</v>
      </c>
      <c r="C45754" t="s">
        <v>15119</v>
      </c>
      <c r="D45754" t="s">
        <v>280</v>
      </c>
      <c r="E45754" t="s">
        <v>219</v>
      </c>
      <c r="F45754" s="2" t="str">
        <f>HYPERLINK("http://www.otzar.org/book.asp?146947","תפלה מכל השנה - 2 כר'")</f>
        <v>תפלה מכל השנה - 2 כר'</v>
      </c>
    </row>
    <row r="45755" spans="1:6" x14ac:dyDescent="0.2">
      <c r="A45755" t="s">
        <v>68750</v>
      </c>
      <c r="B45755" t="s">
        <v>68751</v>
      </c>
      <c r="C45755" t="s">
        <v>7422</v>
      </c>
      <c r="D45755" t="s">
        <v>1023</v>
      </c>
      <c r="E45755" t="s">
        <v>219</v>
      </c>
      <c r="F45755" s="2" t="str">
        <f>HYPERLINK("http://www.otzar.org/book.asp?148956","תפלה נכונה לשאלת רחמים")</f>
        <v>תפלה נכונה לשאלת רחמים</v>
      </c>
    </row>
    <row r="45756" spans="1:6" x14ac:dyDescent="0.2">
      <c r="A45756" t="s">
        <v>68752</v>
      </c>
      <c r="B45756" t="s">
        <v>206</v>
      </c>
      <c r="C45756" t="s">
        <v>20</v>
      </c>
      <c r="D45756" t="s">
        <v>90</v>
      </c>
      <c r="F45756" s="2" t="str">
        <f>HYPERLINK("http://www.otzar.org/book.asp?614612","תפלה שלימה")</f>
        <v>תפלה שלימה</v>
      </c>
    </row>
    <row r="45757" spans="1:6" x14ac:dyDescent="0.2">
      <c r="A45757" t="s">
        <v>68753</v>
      </c>
      <c r="B45757" t="s">
        <v>68754</v>
      </c>
      <c r="C45757" t="s">
        <v>8002</v>
      </c>
      <c r="D45757" t="s">
        <v>1411</v>
      </c>
      <c r="E45757" t="s">
        <v>219</v>
      </c>
      <c r="F45757" s="2" t="str">
        <f>HYPERLINK("http://www.otzar.org/book.asp?188708","תפלה")</f>
        <v>תפלה</v>
      </c>
    </row>
    <row r="45758" spans="1:6" x14ac:dyDescent="0.2">
      <c r="A45758" t="s">
        <v>68755</v>
      </c>
      <c r="B45758" t="s">
        <v>68756</v>
      </c>
      <c r="C45758" t="s">
        <v>1937</v>
      </c>
      <c r="D45758" t="s">
        <v>4088</v>
      </c>
      <c r="E45758" t="s">
        <v>219</v>
      </c>
      <c r="F45758" s="2" t="str">
        <f>HYPERLINK("http://www.otzar.org/book.asp?200072","תפלות יום כפור קטון")</f>
        <v>תפלות יום כפור קטון</v>
      </c>
    </row>
    <row r="45759" spans="1:6" x14ac:dyDescent="0.2">
      <c r="A45759" t="s">
        <v>68757</v>
      </c>
      <c r="B45759" t="s">
        <v>10292</v>
      </c>
      <c r="C45759" t="s">
        <v>1284</v>
      </c>
      <c r="D45759" t="s">
        <v>661</v>
      </c>
      <c r="E45759" t="s">
        <v>158</v>
      </c>
      <c r="F45759" s="2" t="str">
        <f>HYPERLINK("http://www.otzar.org/book.asp?106986","תפלות ישראל")</f>
        <v>תפלות ישראל</v>
      </c>
    </row>
    <row r="45760" spans="1:6" x14ac:dyDescent="0.2">
      <c r="A45760" t="s">
        <v>68758</v>
      </c>
      <c r="B45760" t="s">
        <v>68759</v>
      </c>
      <c r="C45760" t="s">
        <v>33</v>
      </c>
      <c r="D45760" t="s">
        <v>68760</v>
      </c>
      <c r="E45760" t="s">
        <v>219</v>
      </c>
      <c r="F45760" s="2" t="str">
        <f>HYPERLINK("http://www.otzar.org/book.asp?53870","תפלות כל השנה - 2 כר'")</f>
        <v>תפלות כל השנה - 2 כר'</v>
      </c>
    </row>
    <row r="45761" spans="1:6" x14ac:dyDescent="0.2">
      <c r="A45761" t="s">
        <v>68761</v>
      </c>
      <c r="B45761" t="s">
        <v>68762</v>
      </c>
      <c r="C45761" t="s">
        <v>1640</v>
      </c>
      <c r="D45761" t="s">
        <v>14</v>
      </c>
      <c r="E45761" t="s">
        <v>219</v>
      </c>
      <c r="F45761" s="2" t="str">
        <f>HYPERLINK("http://www.otzar.org/book.asp?617138","תפלות לזמני השנה")</f>
        <v>תפלות לזמני השנה</v>
      </c>
    </row>
    <row r="45762" spans="1:6" x14ac:dyDescent="0.2">
      <c r="A45762" t="s">
        <v>68763</v>
      </c>
      <c r="B45762" t="s">
        <v>68764</v>
      </c>
      <c r="C45762" t="s">
        <v>68765</v>
      </c>
      <c r="D45762" t="s">
        <v>5758</v>
      </c>
      <c r="E45762" t="s">
        <v>219</v>
      </c>
      <c r="F45762" s="2" t="str">
        <f>HYPERLINK("http://www.otzar.org/book.asp?196087","תפלות לכל השנה מנהג אשכנז")</f>
        <v>תפלות לכל השנה מנהג אשכנז</v>
      </c>
    </row>
    <row r="45763" spans="1:6" x14ac:dyDescent="0.2">
      <c r="A45763" t="s">
        <v>68766</v>
      </c>
      <c r="B45763" t="s">
        <v>68767</v>
      </c>
      <c r="C45763" t="s">
        <v>9310</v>
      </c>
      <c r="D45763" t="s">
        <v>744</v>
      </c>
      <c r="E45763" t="s">
        <v>219</v>
      </c>
      <c r="F45763" s="2" t="str">
        <f>HYPERLINK("http://www.otzar.org/book.asp?53622","תפלות לכל השנה")</f>
        <v>תפלות לכל השנה</v>
      </c>
    </row>
    <row r="45764" spans="1:6" x14ac:dyDescent="0.2">
      <c r="A45764" t="s">
        <v>68766</v>
      </c>
      <c r="B45764" t="s">
        <v>68768</v>
      </c>
      <c r="C45764" t="s">
        <v>17614</v>
      </c>
      <c r="D45764" t="s">
        <v>744</v>
      </c>
      <c r="E45764" t="s">
        <v>219</v>
      </c>
      <c r="F45764" s="2" t="str">
        <f>HYPERLINK("http://www.otzar.org/book.asp?196086","תפלות לכל השנה")</f>
        <v>תפלות לכל השנה</v>
      </c>
    </row>
    <row r="45765" spans="1:6" x14ac:dyDescent="0.2">
      <c r="A45765" t="s">
        <v>68769</v>
      </c>
      <c r="B45765" t="s">
        <v>68770</v>
      </c>
      <c r="C45765" t="s">
        <v>989</v>
      </c>
      <c r="D45765" t="s">
        <v>14</v>
      </c>
      <c r="E45765" t="s">
        <v>219</v>
      </c>
      <c r="F45765" s="2" t="str">
        <f>HYPERLINK("http://www.otzar.org/book.asp?617530","תפלות ללימוד התורה - שמות הצדיקים - עין זוכר")</f>
        <v>תפלות ללימוד התורה - שמות הצדיקים - עין זוכר</v>
      </c>
    </row>
    <row r="45766" spans="1:6" x14ac:dyDescent="0.2">
      <c r="A45766" t="s">
        <v>68771</v>
      </c>
      <c r="B45766" t="s">
        <v>1390</v>
      </c>
      <c r="C45766" t="s">
        <v>767</v>
      </c>
      <c r="D45766" t="s">
        <v>14</v>
      </c>
      <c r="E45766" t="s">
        <v>3755</v>
      </c>
      <c r="F45766" s="2" t="str">
        <f>HYPERLINK("http://www.otzar.org/book.asp?83669","תפלות לרמח""ל &lt;תקט""ו תפלות, טו""ב התפלות&gt;")</f>
        <v>תפלות לרמח"ל &lt;תקט"ו תפלות, טו"ב התפלות&gt;</v>
      </c>
    </row>
    <row r="45767" spans="1:6" x14ac:dyDescent="0.2">
      <c r="A45767" t="s">
        <v>68772</v>
      </c>
      <c r="B45767" t="s">
        <v>68773</v>
      </c>
      <c r="C45767" t="s">
        <v>11974</v>
      </c>
      <c r="D45767" t="s">
        <v>726</v>
      </c>
      <c r="E45767" t="s">
        <v>219</v>
      </c>
      <c r="F45767" s="2" t="str">
        <f>HYPERLINK("http://www.otzar.org/book.asp?104995","תפלות מכל השנה כמנהג פולן")</f>
        <v>תפלות מכל השנה כמנהג פולן</v>
      </c>
    </row>
    <row r="45768" spans="1:6" x14ac:dyDescent="0.2">
      <c r="A45768" t="s">
        <v>68774</v>
      </c>
      <c r="B45768" t="s">
        <v>68775</v>
      </c>
      <c r="C45768" t="s">
        <v>46793</v>
      </c>
      <c r="D45768" t="s">
        <v>68776</v>
      </c>
      <c r="E45768" t="s">
        <v>219</v>
      </c>
      <c r="F45768" s="2" t="str">
        <f>HYPERLINK("http://www.otzar.org/book.asp?146929","תפלות מכל השנה עם כמה פרושים")</f>
        <v>תפלות מכל השנה עם כמה פרושים</v>
      </c>
    </row>
    <row r="45769" spans="1:6" x14ac:dyDescent="0.2">
      <c r="A45769" t="s">
        <v>68777</v>
      </c>
      <c r="B45769" t="s">
        <v>68778</v>
      </c>
      <c r="C45769" t="s">
        <v>8216</v>
      </c>
      <c r="D45769" t="s">
        <v>4934</v>
      </c>
      <c r="E45769" t="s">
        <v>219</v>
      </c>
      <c r="F45769" s="2" t="str">
        <f>HYPERLINK("http://www.otzar.org/book.asp?196085","תפלות מכל השנה")</f>
        <v>תפלות מכל השנה</v>
      </c>
    </row>
    <row r="45770" spans="1:6" x14ac:dyDescent="0.2">
      <c r="A45770" t="s">
        <v>68777</v>
      </c>
      <c r="B45770" t="s">
        <v>68767</v>
      </c>
      <c r="C45770" t="s">
        <v>9310</v>
      </c>
      <c r="D45770" t="s">
        <v>4539</v>
      </c>
      <c r="E45770" t="s">
        <v>219</v>
      </c>
      <c r="F45770" s="2" t="str">
        <f>HYPERLINK("http://www.otzar.org/book.asp?170132","תפלות מכל השנה")</f>
        <v>תפלות מכל השנה</v>
      </c>
    </row>
    <row r="45771" spans="1:6" x14ac:dyDescent="0.2">
      <c r="A45771" t="s">
        <v>68777</v>
      </c>
      <c r="B45771" t="s">
        <v>68779</v>
      </c>
      <c r="C45771" t="s">
        <v>1477</v>
      </c>
      <c r="D45771" t="s">
        <v>726</v>
      </c>
      <c r="E45771" t="s">
        <v>219</v>
      </c>
      <c r="F45771" s="2" t="str">
        <f>HYPERLINK("http://www.otzar.org/book.asp?162972","תפלות מכל השנה")</f>
        <v>תפלות מכל השנה</v>
      </c>
    </row>
    <row r="45772" spans="1:6" x14ac:dyDescent="0.2">
      <c r="A45772" t="s">
        <v>68780</v>
      </c>
      <c r="B45772" t="s">
        <v>1988</v>
      </c>
      <c r="C45772" t="s">
        <v>600</v>
      </c>
      <c r="D45772" t="s">
        <v>1801</v>
      </c>
      <c r="E45772" t="s">
        <v>219</v>
      </c>
      <c r="F45772" s="2" t="str">
        <f>HYPERLINK("http://www.otzar.org/book.asp?171009","תפלת בית עלמין")</f>
        <v>תפלת בית עלמין</v>
      </c>
    </row>
    <row r="45773" spans="1:6" x14ac:dyDescent="0.2">
      <c r="A45773" t="s">
        <v>68781</v>
      </c>
      <c r="B45773" t="s">
        <v>3129</v>
      </c>
      <c r="C45773" t="s">
        <v>1166</v>
      </c>
      <c r="D45773" t="s">
        <v>56</v>
      </c>
      <c r="E45773" t="s">
        <v>219</v>
      </c>
      <c r="F45773" s="2" t="str">
        <f>HYPERLINK("http://www.otzar.org/book.asp?173089","תפלת הדרך - 2 כר'")</f>
        <v>תפלת הדרך - 2 כר'</v>
      </c>
    </row>
    <row r="45774" spans="1:6" x14ac:dyDescent="0.2">
      <c r="A45774" t="s">
        <v>68782</v>
      </c>
      <c r="B45774" t="s">
        <v>68783</v>
      </c>
      <c r="C45774" t="s">
        <v>946</v>
      </c>
      <c r="D45774" t="s">
        <v>17629</v>
      </c>
      <c r="E45774" t="s">
        <v>219</v>
      </c>
      <c r="F45774" s="2" t="str">
        <f>HYPERLINK("http://www.otzar.org/book.asp?154220","תפלת החדש (עם תרגום הודי)")</f>
        <v>תפלת החדש (עם תרגום הודי)</v>
      </c>
    </row>
    <row r="45775" spans="1:6" x14ac:dyDescent="0.2">
      <c r="A45775" t="s">
        <v>68784</v>
      </c>
      <c r="B45775" t="s">
        <v>68785</v>
      </c>
      <c r="C45775" t="s">
        <v>617</v>
      </c>
      <c r="D45775" t="s">
        <v>212</v>
      </c>
      <c r="E45775" t="s">
        <v>219</v>
      </c>
      <c r="F45775" s="2" t="str">
        <f>HYPERLINK("http://www.otzar.org/book.asp?148586","תפלת החדש")</f>
        <v>תפלת החדש</v>
      </c>
    </row>
    <row r="45776" spans="1:6" x14ac:dyDescent="0.2">
      <c r="A45776" t="s">
        <v>68786</v>
      </c>
      <c r="B45776" t="s">
        <v>7876</v>
      </c>
      <c r="C45776" t="s">
        <v>1570</v>
      </c>
      <c r="D45776" t="s">
        <v>14</v>
      </c>
      <c r="E45776" t="s">
        <v>68787</v>
      </c>
      <c r="F45776" s="2" t="str">
        <f>HYPERLINK("http://www.otzar.org/book.asp?11438","תפלת הקדיש - 2 כר'")</f>
        <v>תפלת הקדיש - 2 כר'</v>
      </c>
    </row>
    <row r="45777" spans="1:6" x14ac:dyDescent="0.2">
      <c r="A45777" t="s">
        <v>68788</v>
      </c>
      <c r="B45777" t="s">
        <v>1557</v>
      </c>
      <c r="C45777" t="s">
        <v>366</v>
      </c>
      <c r="D45777" t="s">
        <v>152</v>
      </c>
      <c r="F45777" s="2" t="str">
        <f>HYPERLINK("http://www.otzar.org/book.asp?610312","תפלת השל""ה הקדוש")</f>
        <v>תפלת השל"ה הקדוש</v>
      </c>
    </row>
    <row r="45778" spans="1:6" x14ac:dyDescent="0.2">
      <c r="A45778" t="s">
        <v>68789</v>
      </c>
      <c r="B45778" t="s">
        <v>68790</v>
      </c>
      <c r="C45778" t="s">
        <v>68791</v>
      </c>
      <c r="D45778" t="s">
        <v>56</v>
      </c>
      <c r="E45778" t="s">
        <v>68792</v>
      </c>
      <c r="F45778" s="2" t="str">
        <f>HYPERLINK("http://www.otzar.org/book.asp?103813","תפלת חיים - 2 כר'")</f>
        <v>תפלת חיים - 2 כר'</v>
      </c>
    </row>
    <row r="45779" spans="1:6" x14ac:dyDescent="0.2">
      <c r="A45779" t="s">
        <v>68793</v>
      </c>
      <c r="B45779" t="s">
        <v>68794</v>
      </c>
      <c r="C45779" t="s">
        <v>55</v>
      </c>
      <c r="D45779" t="s">
        <v>68795</v>
      </c>
      <c r="E45779" t="s">
        <v>219</v>
      </c>
      <c r="F45779" s="2" t="str">
        <f>HYPERLINK("http://www.otzar.org/book.asp?196855","תפלת ישראל עם דרך החיים")</f>
        <v>תפלת ישראל עם דרך החיים</v>
      </c>
    </row>
    <row r="45780" spans="1:6" x14ac:dyDescent="0.2">
      <c r="A45780" t="s">
        <v>68793</v>
      </c>
      <c r="B45780" t="s">
        <v>68796</v>
      </c>
      <c r="C45780" t="s">
        <v>1437</v>
      </c>
      <c r="D45780" t="s">
        <v>283</v>
      </c>
      <c r="E45780" t="s">
        <v>219</v>
      </c>
      <c r="F45780" s="2" t="str">
        <f>HYPERLINK("http://www.otzar.org/book.asp?13299","תפלת ישראל עם דרך החיים")</f>
        <v>תפלת ישראל עם דרך החיים</v>
      </c>
    </row>
    <row r="45781" spans="1:6" x14ac:dyDescent="0.2">
      <c r="A45781" t="s">
        <v>68797</v>
      </c>
      <c r="B45781" t="s">
        <v>68798</v>
      </c>
      <c r="C45781" t="s">
        <v>812</v>
      </c>
      <c r="D45781" t="s">
        <v>27</v>
      </c>
      <c r="E45781" t="s">
        <v>219</v>
      </c>
      <c r="F45781" s="2" t="str">
        <f>HYPERLINK("http://www.otzar.org/book.asp?153754","תפלת ישרים עם שרח פי אל ערבי")</f>
        <v>תפלת ישרים עם שרח פי אל ערבי</v>
      </c>
    </row>
    <row r="45782" spans="1:6" x14ac:dyDescent="0.2">
      <c r="A45782" t="s">
        <v>68799</v>
      </c>
      <c r="B45782" t="s">
        <v>68800</v>
      </c>
      <c r="C45782" t="s">
        <v>3635</v>
      </c>
      <c r="D45782" t="s">
        <v>1660</v>
      </c>
      <c r="E45782" t="s">
        <v>219</v>
      </c>
      <c r="F45782" s="2" t="str">
        <f>HYPERLINK("http://www.otzar.org/book.asp?170315","תפלת ישרים")</f>
        <v>תפלת ישרים</v>
      </c>
    </row>
    <row r="45783" spans="1:6" x14ac:dyDescent="0.2">
      <c r="A45783" t="s">
        <v>68799</v>
      </c>
      <c r="B45783" t="s">
        <v>68801</v>
      </c>
      <c r="C45783" t="s">
        <v>5823</v>
      </c>
      <c r="D45783" t="s">
        <v>2295</v>
      </c>
      <c r="E45783" t="s">
        <v>219</v>
      </c>
      <c r="F45783" s="2" t="str">
        <f>HYPERLINK("http://www.otzar.org/book.asp?141171","תפלת ישרים")</f>
        <v>תפלת ישרים</v>
      </c>
    </row>
    <row r="45784" spans="1:6" x14ac:dyDescent="0.2">
      <c r="A45784" t="s">
        <v>68802</v>
      </c>
      <c r="B45784" t="s">
        <v>30766</v>
      </c>
      <c r="C45784" t="s">
        <v>23</v>
      </c>
      <c r="D45784" t="s">
        <v>21</v>
      </c>
      <c r="E45784" t="s">
        <v>219</v>
      </c>
      <c r="F45784" s="2" t="str">
        <f>HYPERLINK("http://www.otzar.org/book.asp?195489","תפלת כל לב")</f>
        <v>תפלת כל לב</v>
      </c>
    </row>
    <row r="45785" spans="1:6" x14ac:dyDescent="0.2">
      <c r="A45785" t="s">
        <v>68803</v>
      </c>
      <c r="B45785" t="s">
        <v>68804</v>
      </c>
      <c r="C45785" t="s">
        <v>943</v>
      </c>
      <c r="D45785" t="s">
        <v>212</v>
      </c>
      <c r="F45785" s="2" t="str">
        <f>HYPERLINK("http://www.otzar.org/book.asp?169552","תפלת כל פה &lt;למודי ה'&gt; - ב")</f>
        <v>תפלת כל פה &lt;למודי ה'&gt; - ב</v>
      </c>
    </row>
    <row r="45786" spans="1:6" x14ac:dyDescent="0.2">
      <c r="A45786" t="s">
        <v>68805</v>
      </c>
      <c r="B45786" t="s">
        <v>3288</v>
      </c>
      <c r="C45786" t="s">
        <v>919</v>
      </c>
      <c r="D45786" t="s">
        <v>9</v>
      </c>
      <c r="E45786" t="s">
        <v>474</v>
      </c>
      <c r="F45786" s="2" t="str">
        <f>HYPERLINK("http://www.otzar.org/book.asp?165939","תפלת מרדכי - 2 כר'")</f>
        <v>תפלת מרדכי - 2 כר'</v>
      </c>
    </row>
    <row r="45787" spans="1:6" x14ac:dyDescent="0.2">
      <c r="A45787" t="s">
        <v>68806</v>
      </c>
      <c r="B45787" t="s">
        <v>1988</v>
      </c>
      <c r="C45787" t="s">
        <v>68807</v>
      </c>
      <c r="D45787" t="s">
        <v>8952</v>
      </c>
      <c r="E45787" t="s">
        <v>219</v>
      </c>
      <c r="F45787" s="2" t="str">
        <f>HYPERLINK("http://www.otzar.org/book.asp?617972","תפלת שער השמים")</f>
        <v>תפלת שער השמים</v>
      </c>
    </row>
    <row r="45788" spans="1:6" x14ac:dyDescent="0.2">
      <c r="A45788" t="s">
        <v>68808</v>
      </c>
      <c r="B45788" t="s">
        <v>7058</v>
      </c>
      <c r="C45788" t="s">
        <v>1519</v>
      </c>
      <c r="D45788" t="s">
        <v>7059</v>
      </c>
      <c r="E45788" t="s">
        <v>219</v>
      </c>
      <c r="F45788" s="2" t="str">
        <f>HYPERLINK("http://www.otzar.org/book.asp?148959","תפלת ששון ושמחה")</f>
        <v>תפלת ששון ושמחה</v>
      </c>
    </row>
    <row r="45789" spans="1:6" x14ac:dyDescent="0.2">
      <c r="A45789" t="s">
        <v>68809</v>
      </c>
      <c r="B45789" t="s">
        <v>68810</v>
      </c>
      <c r="C45789" t="s">
        <v>1885</v>
      </c>
      <c r="D45789" t="s">
        <v>14</v>
      </c>
      <c r="E45789" t="s">
        <v>246</v>
      </c>
      <c r="F45789" s="2" t="str">
        <f>HYPERLINK("http://www.otzar.org/book.asp?159542","תפסיר זוהר שבת ומשנה שבת")</f>
        <v>תפסיר זוהר שבת ומשנה שבת</v>
      </c>
    </row>
    <row r="45790" spans="1:6" x14ac:dyDescent="0.2">
      <c r="A45790" t="s">
        <v>68811</v>
      </c>
      <c r="B45790" t="s">
        <v>4840</v>
      </c>
      <c r="C45790" t="s">
        <v>919</v>
      </c>
      <c r="D45790" t="s">
        <v>118</v>
      </c>
      <c r="E45790" t="s">
        <v>158</v>
      </c>
      <c r="F45790" s="2" t="str">
        <f>HYPERLINK("http://www.otzar.org/book.asp?144867","תפסיר רס""ג לספר דניאל")</f>
        <v>תפסיר רס"ג לספר דניאל</v>
      </c>
    </row>
    <row r="45791" spans="1:6" x14ac:dyDescent="0.2">
      <c r="A45791" t="s">
        <v>68812</v>
      </c>
      <c r="B45791" t="s">
        <v>107</v>
      </c>
      <c r="C45791" t="s">
        <v>20</v>
      </c>
      <c r="D45791" t="s">
        <v>14</v>
      </c>
      <c r="E45791" t="s">
        <v>104</v>
      </c>
      <c r="F45791" s="2" t="str">
        <f>HYPERLINK("http://www.otzar.org/book.asp?625805","תפקיד הבריאה והאנושות")</f>
        <v>תפקיד הבריאה והאנושות</v>
      </c>
    </row>
    <row r="45792" spans="1:6" x14ac:dyDescent="0.2">
      <c r="A45792" t="s">
        <v>68813</v>
      </c>
      <c r="B45792" t="s">
        <v>107</v>
      </c>
      <c r="C45792" t="s">
        <v>176</v>
      </c>
      <c r="D45792" t="s">
        <v>14</v>
      </c>
      <c r="E45792" t="s">
        <v>241</v>
      </c>
      <c r="F45792" s="2" t="str">
        <f>HYPERLINK("http://www.otzar.org/book.asp?84025","תפקיד היהדות התורנית בשעה זו")</f>
        <v>תפקיד היהדות התורנית בשעה זו</v>
      </c>
    </row>
    <row r="45793" spans="1:6" x14ac:dyDescent="0.2">
      <c r="A45793" t="s">
        <v>68814</v>
      </c>
      <c r="B45793" t="s">
        <v>107</v>
      </c>
      <c r="C45793" t="s">
        <v>454</v>
      </c>
      <c r="D45793" t="s">
        <v>14</v>
      </c>
      <c r="E45793" t="s">
        <v>119</v>
      </c>
      <c r="F45793" s="2" t="str">
        <f>HYPERLINK("http://www.otzar.org/book.asp?159897","תפקידה ההיסטורי של עירק (אשור ובבל)")</f>
        <v>תפקידה ההיסטורי של עירק (אשור ובבל)</v>
      </c>
    </row>
    <row r="45794" spans="1:6" x14ac:dyDescent="0.2">
      <c r="A45794" t="s">
        <v>68815</v>
      </c>
      <c r="B45794" t="s">
        <v>1314</v>
      </c>
      <c r="C45794" t="s">
        <v>111</v>
      </c>
      <c r="D45794" t="s">
        <v>32811</v>
      </c>
      <c r="E45794" t="s">
        <v>1626</v>
      </c>
      <c r="F45794" s="2" t="str">
        <f>HYPERLINK("http://www.otzar.org/book.asp?629544","תפתה ערוך &lt;מהדורה חדשה&gt;")</f>
        <v>תפתה ערוך &lt;מהדורה חדשה&gt;</v>
      </c>
    </row>
    <row r="45795" spans="1:6" x14ac:dyDescent="0.2">
      <c r="A45795" t="s">
        <v>68816</v>
      </c>
      <c r="B45795" t="s">
        <v>1314</v>
      </c>
      <c r="C45795" t="s">
        <v>649</v>
      </c>
      <c r="D45795" t="s">
        <v>8545</v>
      </c>
      <c r="E45795" t="s">
        <v>104</v>
      </c>
      <c r="F45795" s="2" t="str">
        <f>HYPERLINK("http://www.otzar.org/book.asp?197400","תפתה ערוך - 3 כר'")</f>
        <v>תפתה ערוך - 3 כר'</v>
      </c>
    </row>
    <row r="45796" spans="1:6" x14ac:dyDescent="0.2">
      <c r="A45796" t="s">
        <v>68817</v>
      </c>
      <c r="B45796" t="s">
        <v>68817</v>
      </c>
      <c r="C45796" t="s">
        <v>1535</v>
      </c>
      <c r="D45796" t="s">
        <v>691</v>
      </c>
      <c r="E45796" t="s">
        <v>202</v>
      </c>
      <c r="F45796" s="2" t="str">
        <f>HYPERLINK("http://www.otzar.org/book.asp?20177","תצא תורה")</f>
        <v>תצא תורה</v>
      </c>
    </row>
    <row r="45797" spans="1:6" x14ac:dyDescent="0.2">
      <c r="A45797" t="s">
        <v>68818</v>
      </c>
      <c r="B45797" t="s">
        <v>68819</v>
      </c>
      <c r="C45797" t="s">
        <v>1160</v>
      </c>
      <c r="D45797" t="s">
        <v>90</v>
      </c>
      <c r="E45797" t="s">
        <v>119</v>
      </c>
      <c r="F45797" s="2" t="str">
        <f>HYPERLINK("http://www.otzar.org/book.asp?619503","תקומת החיים היהודיים באירופה")</f>
        <v>תקומת החיים היהודיים באירופה</v>
      </c>
    </row>
    <row r="45798" spans="1:6" x14ac:dyDescent="0.2">
      <c r="A45798" t="s">
        <v>68820</v>
      </c>
      <c r="B45798" t="s">
        <v>25067</v>
      </c>
      <c r="C45798" t="s">
        <v>506</v>
      </c>
      <c r="D45798" t="s">
        <v>100</v>
      </c>
      <c r="E45798" t="s">
        <v>435</v>
      </c>
      <c r="F45798" s="2" t="str">
        <f>HYPERLINK("http://www.otzar.org/book.asp?11993","תקון אליעזר")</f>
        <v>תקון אליעזר</v>
      </c>
    </row>
    <row r="45799" spans="1:6" x14ac:dyDescent="0.2">
      <c r="A45799" t="s">
        <v>68821</v>
      </c>
      <c r="B45799" t="s">
        <v>47265</v>
      </c>
      <c r="C45799" t="s">
        <v>1885</v>
      </c>
      <c r="D45799" t="s">
        <v>283</v>
      </c>
      <c r="E45799" t="s">
        <v>48883</v>
      </c>
      <c r="F45799" s="2" t="str">
        <f>HYPERLINK("http://www.otzar.org/book.asp?159458","תקון דרך החיים")</f>
        <v>תקון דרך החיים</v>
      </c>
    </row>
    <row r="45800" spans="1:6" x14ac:dyDescent="0.2">
      <c r="A45800" t="s">
        <v>68822</v>
      </c>
      <c r="B45800" t="s">
        <v>47265</v>
      </c>
      <c r="C45800" t="s">
        <v>99</v>
      </c>
      <c r="D45800" t="s">
        <v>995</v>
      </c>
      <c r="E45800" t="s">
        <v>29596</v>
      </c>
      <c r="F45800" s="2" t="str">
        <f>HYPERLINK("http://www.otzar.org/book.asp?16972","תקון האדם")</f>
        <v>תקון האדם</v>
      </c>
    </row>
    <row r="45801" spans="1:6" x14ac:dyDescent="0.2">
      <c r="A45801" t="s">
        <v>68823</v>
      </c>
      <c r="B45801" t="s">
        <v>239</v>
      </c>
      <c r="C45801" t="s">
        <v>20</v>
      </c>
      <c r="D45801" t="s">
        <v>14</v>
      </c>
      <c r="E45801" t="s">
        <v>213</v>
      </c>
      <c r="F45801" s="2" t="str">
        <f>HYPERLINK("http://www.otzar.org/book.asp?165431","תקון הברית (ועוד מאמרים)")</f>
        <v>תקון הברית (ועוד מאמרים)</v>
      </c>
    </row>
    <row r="45802" spans="1:6" x14ac:dyDescent="0.2">
      <c r="A45802" t="s">
        <v>68824</v>
      </c>
      <c r="B45802" t="s">
        <v>29969</v>
      </c>
      <c r="C45802" t="s">
        <v>13</v>
      </c>
      <c r="D45802" t="s">
        <v>14</v>
      </c>
      <c r="E45802" t="s">
        <v>50614</v>
      </c>
      <c r="F45802" s="2" t="str">
        <f>HYPERLINK("http://www.otzar.org/book.asp?611897","תקון הכללי עם כוונות וביאורים")</f>
        <v>תקון הכללי עם כוונות וביאורים</v>
      </c>
    </row>
    <row r="45803" spans="1:6" x14ac:dyDescent="0.2">
      <c r="A45803" t="s">
        <v>68825</v>
      </c>
      <c r="B45803" t="s">
        <v>3294</v>
      </c>
      <c r="C45803" t="s">
        <v>10017</v>
      </c>
      <c r="D45803" t="s">
        <v>1411</v>
      </c>
      <c r="F45803" s="2" t="str">
        <f>HYPERLINK("http://www.otzar.org/book.asp?164719","תקון המדות")</f>
        <v>תקון המדות</v>
      </c>
    </row>
    <row r="45804" spans="1:6" x14ac:dyDescent="0.2">
      <c r="A45804" t="s">
        <v>68826</v>
      </c>
      <c r="B45804" t="s">
        <v>68827</v>
      </c>
      <c r="C45804" t="s">
        <v>492</v>
      </c>
      <c r="D45804" t="s">
        <v>6801</v>
      </c>
      <c r="E45804" t="s">
        <v>15</v>
      </c>
      <c r="F45804" s="2" t="str">
        <f>HYPERLINK("http://www.otzar.org/book.asp?179460","תקון הסופר והקורא")</f>
        <v>תקון הסופר והקורא</v>
      </c>
    </row>
    <row r="45805" spans="1:6" x14ac:dyDescent="0.2">
      <c r="A45805" t="s">
        <v>68826</v>
      </c>
      <c r="B45805" t="s">
        <v>68828</v>
      </c>
      <c r="C45805" t="s">
        <v>2550</v>
      </c>
      <c r="D45805" t="s">
        <v>322</v>
      </c>
      <c r="E45805" t="s">
        <v>158</v>
      </c>
      <c r="F45805" s="2" t="str">
        <f>HYPERLINK("http://www.otzar.org/book.asp?21991","תקון הסופר והקורא")</f>
        <v>תקון הסופר והקורא</v>
      </c>
    </row>
    <row r="45806" spans="1:6" x14ac:dyDescent="0.2">
      <c r="A45806" t="s">
        <v>68829</v>
      </c>
      <c r="B45806" t="s">
        <v>68830</v>
      </c>
      <c r="C45806" t="s">
        <v>5721</v>
      </c>
      <c r="D45806" t="s">
        <v>1490</v>
      </c>
      <c r="E45806" t="s">
        <v>219</v>
      </c>
      <c r="F45806" s="2" t="str">
        <f>HYPERLINK("http://www.otzar.org/book.asp?171014","תקון השולחן")</f>
        <v>תקון השולחן</v>
      </c>
    </row>
    <row r="45807" spans="1:6" x14ac:dyDescent="0.2">
      <c r="A45807" t="s">
        <v>68831</v>
      </c>
      <c r="B45807" t="s">
        <v>3294</v>
      </c>
      <c r="C45807" t="s">
        <v>1481</v>
      </c>
      <c r="D45807" t="s">
        <v>4241</v>
      </c>
      <c r="E45807" t="s">
        <v>219</v>
      </c>
      <c r="F45807" s="2" t="str">
        <f>HYPERLINK("http://www.otzar.org/book.asp?170264","תקון השלחן")</f>
        <v>תקון השלחן</v>
      </c>
    </row>
    <row r="45808" spans="1:6" x14ac:dyDescent="0.2">
      <c r="A45808" t="s">
        <v>68832</v>
      </c>
      <c r="B45808" t="s">
        <v>68833</v>
      </c>
      <c r="C45808" t="s">
        <v>1166</v>
      </c>
      <c r="D45808" t="s">
        <v>27</v>
      </c>
      <c r="E45808" t="s">
        <v>219</v>
      </c>
      <c r="F45808" s="2" t="str">
        <f>HYPERLINK("http://www.otzar.org/book.asp?189640","תקון חצות וסליחות")</f>
        <v>תקון חצות וסליחות</v>
      </c>
    </row>
    <row r="45809" spans="1:6" x14ac:dyDescent="0.2">
      <c r="A45809" t="s">
        <v>68832</v>
      </c>
      <c r="B45809" t="s">
        <v>68834</v>
      </c>
      <c r="C45809" t="s">
        <v>1202</v>
      </c>
      <c r="D45809" t="s">
        <v>45407</v>
      </c>
      <c r="F45809" s="2" t="str">
        <f>HYPERLINK("http://www.otzar.org/book.asp?620579","תקון חצות וסליחות")</f>
        <v>תקון חצות וסליחות</v>
      </c>
    </row>
    <row r="45810" spans="1:6" x14ac:dyDescent="0.2">
      <c r="A45810" t="s">
        <v>68835</v>
      </c>
      <c r="B45810" t="s">
        <v>68836</v>
      </c>
      <c r="C45810" t="s">
        <v>4240</v>
      </c>
      <c r="D45810" t="s">
        <v>4241</v>
      </c>
      <c r="E45810" t="s">
        <v>1517</v>
      </c>
      <c r="F45810" s="2" t="str">
        <f>HYPERLINK("http://www.otzar.org/book.asp?148951","תקון חצות לומר בין המצרים אחר חצות היום")</f>
        <v>תקון חצות לומר בין המצרים אחר חצות היום</v>
      </c>
    </row>
    <row r="45811" spans="1:6" x14ac:dyDescent="0.2">
      <c r="A45811" t="s">
        <v>68837</v>
      </c>
      <c r="B45811" t="s">
        <v>66231</v>
      </c>
      <c r="C45811" t="s">
        <v>422</v>
      </c>
      <c r="D45811" t="s">
        <v>14</v>
      </c>
      <c r="E45811" t="s">
        <v>219</v>
      </c>
      <c r="F45811" s="2" t="str">
        <f>HYPERLINK("http://www.otzar.org/book.asp?617554","תקון חצות מתוק מדבש")</f>
        <v>תקון חצות מתוק מדבש</v>
      </c>
    </row>
    <row r="45812" spans="1:6" x14ac:dyDescent="0.2">
      <c r="A45812" t="s">
        <v>68838</v>
      </c>
      <c r="B45812" t="s">
        <v>3286</v>
      </c>
      <c r="C45812" t="s">
        <v>1609</v>
      </c>
      <c r="D45812" t="s">
        <v>27</v>
      </c>
      <c r="E45812" t="s">
        <v>219</v>
      </c>
      <c r="F45812" s="2" t="str">
        <f>HYPERLINK("http://www.otzar.org/book.asp?11886","תקון חצות")</f>
        <v>תקון חצות</v>
      </c>
    </row>
    <row r="45813" spans="1:6" x14ac:dyDescent="0.2">
      <c r="A45813" t="s">
        <v>68839</v>
      </c>
      <c r="B45813" t="s">
        <v>6081</v>
      </c>
      <c r="C45813" t="s">
        <v>1619</v>
      </c>
      <c r="D45813" t="s">
        <v>1188</v>
      </c>
      <c r="E45813" t="s">
        <v>714</v>
      </c>
      <c r="F45813" s="2" t="str">
        <f>HYPERLINK("http://www.otzar.org/book.asp?173772","תקון חצות - 2 כר'")</f>
        <v>תקון חצות - 2 כר'</v>
      </c>
    </row>
    <row r="45814" spans="1:6" x14ac:dyDescent="0.2">
      <c r="A45814" t="s">
        <v>68838</v>
      </c>
      <c r="B45814" t="s">
        <v>68840</v>
      </c>
      <c r="C45814" t="s">
        <v>547</v>
      </c>
      <c r="D45814" t="s">
        <v>6129</v>
      </c>
      <c r="E45814" t="s">
        <v>219</v>
      </c>
      <c r="F45814" s="2" t="str">
        <f>HYPERLINK("http://www.otzar.org/book.asp?10776","תקון חצות")</f>
        <v>תקון חצות</v>
      </c>
    </row>
    <row r="45815" spans="1:6" x14ac:dyDescent="0.2">
      <c r="A45815" t="s">
        <v>68838</v>
      </c>
      <c r="B45815" t="s">
        <v>68841</v>
      </c>
      <c r="C45815" t="s">
        <v>748</v>
      </c>
      <c r="D45815" t="s">
        <v>27</v>
      </c>
      <c r="E45815" t="s">
        <v>219</v>
      </c>
      <c r="F45815" s="2" t="str">
        <f>HYPERLINK("http://www.otzar.org/book.asp?11865","תקון חצות")</f>
        <v>תקון חצות</v>
      </c>
    </row>
    <row r="45816" spans="1:6" x14ac:dyDescent="0.2">
      <c r="A45816" t="s">
        <v>68838</v>
      </c>
      <c r="B45816" t="s">
        <v>68842</v>
      </c>
      <c r="C45816" t="s">
        <v>473</v>
      </c>
      <c r="D45816" t="s">
        <v>6608</v>
      </c>
      <c r="E45816" t="s">
        <v>219</v>
      </c>
      <c r="F45816" s="2" t="str">
        <f>HYPERLINK("http://www.otzar.org/book.asp?153063","תקון חצות")</f>
        <v>תקון חצות</v>
      </c>
    </row>
    <row r="45817" spans="1:6" x14ac:dyDescent="0.2">
      <c r="A45817" t="s">
        <v>68843</v>
      </c>
      <c r="B45817" t="s">
        <v>68844</v>
      </c>
      <c r="C45817" t="s">
        <v>1246</v>
      </c>
      <c r="D45817" t="s">
        <v>8952</v>
      </c>
      <c r="E45817" t="s">
        <v>219</v>
      </c>
      <c r="F45817" s="2" t="str">
        <f>HYPERLINK("http://www.otzar.org/book.asp?196016","תקון יום העצמאות")</f>
        <v>תקון יום העצמאות</v>
      </c>
    </row>
    <row r="45818" spans="1:6" x14ac:dyDescent="0.2">
      <c r="A45818" t="s">
        <v>68845</v>
      </c>
      <c r="B45818" t="s">
        <v>905</v>
      </c>
      <c r="C45818" t="s">
        <v>313</v>
      </c>
      <c r="D45818" t="s">
        <v>14</v>
      </c>
      <c r="E45818" t="s">
        <v>1517</v>
      </c>
      <c r="F45818" s="2" t="str">
        <f>HYPERLINK("http://www.otzar.org/book.asp?63186","תקון ימי פסח")</f>
        <v>תקון ימי פסח</v>
      </c>
    </row>
    <row r="45819" spans="1:6" x14ac:dyDescent="0.2">
      <c r="A45819" t="s">
        <v>68846</v>
      </c>
      <c r="B45819" t="s">
        <v>1308</v>
      </c>
      <c r="C45819" t="s">
        <v>1470</v>
      </c>
      <c r="D45819" t="s">
        <v>6974</v>
      </c>
      <c r="E45819" t="s">
        <v>219</v>
      </c>
      <c r="F45819" s="2" t="str">
        <f>HYPERLINK("http://www.otzar.org/book.asp?25467","תקון כרת - 2 כר'")</f>
        <v>תקון כרת - 2 כר'</v>
      </c>
    </row>
    <row r="45820" spans="1:6" x14ac:dyDescent="0.2">
      <c r="A45820" t="s">
        <v>68847</v>
      </c>
      <c r="B45820" t="s">
        <v>68848</v>
      </c>
      <c r="C45820" t="s">
        <v>896</v>
      </c>
      <c r="D45820" t="s">
        <v>1422</v>
      </c>
      <c r="E45820" t="s">
        <v>15</v>
      </c>
      <c r="F45820" s="2" t="str">
        <f>HYPERLINK("http://www.otzar.org/book.asp?19349","תקון לדוד")</f>
        <v>תקון לדוד</v>
      </c>
    </row>
    <row r="45821" spans="1:6" x14ac:dyDescent="0.2">
      <c r="A45821" t="s">
        <v>68849</v>
      </c>
      <c r="B45821" t="s">
        <v>15259</v>
      </c>
      <c r="C45821" t="s">
        <v>553</v>
      </c>
      <c r="D45821" t="s">
        <v>52</v>
      </c>
      <c r="E45821" t="s">
        <v>68850</v>
      </c>
      <c r="F45821" s="2" t="str">
        <f>HYPERLINK("http://www.otzar.org/book.asp?5825","תקון לחולה")</f>
        <v>תקון לחולה</v>
      </c>
    </row>
    <row r="45822" spans="1:6" x14ac:dyDescent="0.2">
      <c r="A45822" t="s">
        <v>68851</v>
      </c>
      <c r="B45822" t="s">
        <v>68852</v>
      </c>
      <c r="C45822" t="s">
        <v>6784</v>
      </c>
      <c r="D45822" t="s">
        <v>9484</v>
      </c>
      <c r="E45822" t="s">
        <v>1517</v>
      </c>
      <c r="F45822" s="2" t="str">
        <f>HYPERLINK("http://www.otzar.org/book.asp?626381","תקון ליל שבועות ותקון ליל הושענא רבה")</f>
        <v>תקון ליל שבועות ותקון ליל הושענא רבה</v>
      </c>
    </row>
    <row r="45823" spans="1:6" x14ac:dyDescent="0.2">
      <c r="A45823" t="s">
        <v>68853</v>
      </c>
      <c r="B45823" t="s">
        <v>68854</v>
      </c>
      <c r="C45823" t="s">
        <v>600</v>
      </c>
      <c r="D45823" t="s">
        <v>56</v>
      </c>
      <c r="E45823" t="s">
        <v>219</v>
      </c>
      <c r="F45823" s="2" t="str">
        <f>HYPERLINK("http://www.otzar.org/book.asp?107100","תקון ליל שבועות")</f>
        <v>תקון ליל שבועות</v>
      </c>
    </row>
    <row r="45824" spans="1:6" x14ac:dyDescent="0.2">
      <c r="A45824" t="s">
        <v>68855</v>
      </c>
      <c r="B45824" t="s">
        <v>8159</v>
      </c>
      <c r="C45824" t="s">
        <v>129</v>
      </c>
      <c r="D45824" t="s">
        <v>52</v>
      </c>
      <c r="E45824" t="s">
        <v>219</v>
      </c>
      <c r="F45824" s="2" t="str">
        <f>HYPERLINK("http://www.otzar.org/book.asp?155017","תקון לנפש")</f>
        <v>תקון לנפש</v>
      </c>
    </row>
    <row r="45825" spans="1:6" x14ac:dyDescent="0.2">
      <c r="A45825" t="s">
        <v>68856</v>
      </c>
      <c r="B45825" t="s">
        <v>4925</v>
      </c>
      <c r="C45825" t="s">
        <v>2076</v>
      </c>
      <c r="D45825" t="s">
        <v>27</v>
      </c>
      <c r="E45825" t="s">
        <v>213</v>
      </c>
      <c r="F45825" s="2" t="str">
        <f>HYPERLINK("http://www.otzar.org/book.asp?168923","תקון מדות הנפש - 5 כר'")</f>
        <v>תקון מדות הנפש - 5 כר'</v>
      </c>
    </row>
    <row r="45826" spans="1:6" x14ac:dyDescent="0.2">
      <c r="A45826" t="s">
        <v>68857</v>
      </c>
      <c r="B45826" t="s">
        <v>22179</v>
      </c>
      <c r="C45826" t="s">
        <v>26234</v>
      </c>
      <c r="D45826" t="s">
        <v>27594</v>
      </c>
      <c r="E45826" t="s">
        <v>219</v>
      </c>
      <c r="F45826" s="2" t="str">
        <f>HYPERLINK("http://www.otzar.org/book.asp?147251","תקון מוצאי שבת")</f>
        <v>תקון מוצאי שבת</v>
      </c>
    </row>
    <row r="45827" spans="1:6" x14ac:dyDescent="0.2">
      <c r="A45827" t="s">
        <v>68858</v>
      </c>
      <c r="B45827" t="s">
        <v>12625</v>
      </c>
      <c r="C45827" t="s">
        <v>1706</v>
      </c>
      <c r="D45827" t="s">
        <v>68859</v>
      </c>
      <c r="E45827" t="s">
        <v>467</v>
      </c>
      <c r="F45827" s="2" t="str">
        <f>HYPERLINK("http://www.otzar.org/book.asp?83625","תקון משה - 5 כר'")</f>
        <v>תקון משה - 5 כר'</v>
      </c>
    </row>
    <row r="45828" spans="1:6" x14ac:dyDescent="0.2">
      <c r="A45828" t="s">
        <v>68860</v>
      </c>
      <c r="B45828" t="s">
        <v>68861</v>
      </c>
      <c r="C45828" t="s">
        <v>854</v>
      </c>
      <c r="D45828" t="s">
        <v>283</v>
      </c>
      <c r="E45828" t="s">
        <v>158</v>
      </c>
      <c r="F45828" s="2" t="str">
        <f>HYPERLINK("http://www.otzar.org/book.asp?166283","תקון סופרים ותקון קוראים")</f>
        <v>תקון סופרים ותקון קוראים</v>
      </c>
    </row>
    <row r="45829" spans="1:6" x14ac:dyDescent="0.2">
      <c r="A45829" t="s">
        <v>68862</v>
      </c>
      <c r="B45829" t="s">
        <v>68863</v>
      </c>
      <c r="C45829" t="s">
        <v>17</v>
      </c>
      <c r="D45829" t="s">
        <v>52</v>
      </c>
      <c r="E45829" t="s">
        <v>579</v>
      </c>
      <c r="F45829" s="2" t="str">
        <f>HYPERLINK("http://www.otzar.org/book.asp?107447","תקון סופרים למגילת אסתר עם הלכות כתיבת המגילה")</f>
        <v>תקון סופרים למגילת אסתר עם הלכות כתיבת המגילה</v>
      </c>
    </row>
    <row r="45830" spans="1:6" x14ac:dyDescent="0.2">
      <c r="A45830" t="s">
        <v>68864</v>
      </c>
      <c r="B45830" t="s">
        <v>68865</v>
      </c>
      <c r="C45830" t="s">
        <v>20</v>
      </c>
      <c r="D45830" t="s">
        <v>90</v>
      </c>
      <c r="E45830" t="s">
        <v>674</v>
      </c>
      <c r="F45830" s="2" t="str">
        <f>HYPERLINK("http://www.otzar.org/book.asp?621068","תקון סופרים - 5 כר'")</f>
        <v>תקון סופרים - 5 כר'</v>
      </c>
    </row>
    <row r="45831" spans="1:6" x14ac:dyDescent="0.2">
      <c r="A45831" t="s">
        <v>68866</v>
      </c>
      <c r="B45831" t="s">
        <v>68866</v>
      </c>
      <c r="C45831" t="s">
        <v>20</v>
      </c>
      <c r="D45831" t="s">
        <v>14</v>
      </c>
      <c r="E45831" t="s">
        <v>957</v>
      </c>
      <c r="F45831" s="2" t="str">
        <f>HYPERLINK("http://www.otzar.org/book.asp?19120","תקון סופרים")</f>
        <v>תקון סופרים</v>
      </c>
    </row>
    <row r="45832" spans="1:6" x14ac:dyDescent="0.2">
      <c r="A45832" t="s">
        <v>68867</v>
      </c>
      <c r="B45832" t="s">
        <v>68868</v>
      </c>
      <c r="C45832" t="s">
        <v>41056</v>
      </c>
      <c r="D45832" t="s">
        <v>729</v>
      </c>
      <c r="F45832" s="2" t="str">
        <f>HYPERLINK("http://www.otzar.org/book.asp?608728","תקון ספר תורה &lt;עטיאש&gt;")</f>
        <v>תקון ספר תורה &lt;עטיאש&gt;</v>
      </c>
    </row>
    <row r="45833" spans="1:6" x14ac:dyDescent="0.2">
      <c r="A45833" t="s">
        <v>68869</v>
      </c>
      <c r="B45833" t="s">
        <v>23814</v>
      </c>
      <c r="C45833" t="s">
        <v>429</v>
      </c>
      <c r="D45833" t="s">
        <v>1117</v>
      </c>
      <c r="E45833" t="s">
        <v>154</v>
      </c>
      <c r="F45833" s="2" t="str">
        <f>HYPERLINK("http://www.otzar.org/book.asp?21375","תקון עירובין")</f>
        <v>תקון עירובין</v>
      </c>
    </row>
    <row r="45834" spans="1:6" x14ac:dyDescent="0.2">
      <c r="A45834" t="s">
        <v>68870</v>
      </c>
      <c r="B45834" t="s">
        <v>68871</v>
      </c>
      <c r="C45834" t="s">
        <v>624</v>
      </c>
      <c r="D45834" t="s">
        <v>52</v>
      </c>
      <c r="E45834" t="s">
        <v>158</v>
      </c>
      <c r="F45834" s="2" t="str">
        <f>HYPERLINK("http://www.otzar.org/book.asp?60724","תקון קוראים")</f>
        <v>תקון קוראים</v>
      </c>
    </row>
    <row r="45835" spans="1:6" x14ac:dyDescent="0.2">
      <c r="A45835" t="s">
        <v>68872</v>
      </c>
      <c r="B45835" t="s">
        <v>2885</v>
      </c>
      <c r="C45835" t="s">
        <v>143</v>
      </c>
      <c r="D45835" t="s">
        <v>52</v>
      </c>
      <c r="E45835" t="s">
        <v>219</v>
      </c>
      <c r="F45835" s="2" t="str">
        <f>HYPERLINK("http://www.otzar.org/book.asp?153753","תקון קריאת שמע שעל המטה")</f>
        <v>תקון קריאת שמע שעל המטה</v>
      </c>
    </row>
    <row r="45836" spans="1:6" x14ac:dyDescent="0.2">
      <c r="A45836" t="s">
        <v>68873</v>
      </c>
      <c r="B45836" t="s">
        <v>599</v>
      </c>
      <c r="C45836" t="s">
        <v>603</v>
      </c>
      <c r="D45836" t="s">
        <v>212</v>
      </c>
      <c r="E45836" t="s">
        <v>219</v>
      </c>
      <c r="F45836" s="2" t="str">
        <f>HYPERLINK("http://www.otzar.org/book.asp?145211","תקון שבעה באדר")</f>
        <v>תקון שבעה באדר</v>
      </c>
    </row>
    <row r="45837" spans="1:6" x14ac:dyDescent="0.2">
      <c r="A45837" t="s">
        <v>68874</v>
      </c>
      <c r="B45837" t="s">
        <v>68875</v>
      </c>
      <c r="C45837" t="s">
        <v>68876</v>
      </c>
      <c r="D45837" t="s">
        <v>5209</v>
      </c>
      <c r="E45837" t="s">
        <v>130</v>
      </c>
      <c r="F45837" s="2" t="str">
        <f>HYPERLINK("http://www.otzar.org/book.asp?149598","תקון שבת")</f>
        <v>תקון שבת</v>
      </c>
    </row>
    <row r="45838" spans="1:6" x14ac:dyDescent="0.2">
      <c r="A45838" t="s">
        <v>68877</v>
      </c>
      <c r="B45838" t="s">
        <v>68878</v>
      </c>
      <c r="C45838" t="s">
        <v>5709</v>
      </c>
      <c r="D45838" t="s">
        <v>1411</v>
      </c>
      <c r="E45838" t="s">
        <v>219</v>
      </c>
      <c r="F45838" s="2" t="str">
        <f>HYPERLINK("http://www.otzar.org/book.asp?172723","תקון שובבים")</f>
        <v>תקון שובבים</v>
      </c>
    </row>
    <row r="45839" spans="1:6" x14ac:dyDescent="0.2">
      <c r="A45839" t="s">
        <v>68879</v>
      </c>
      <c r="B45839" t="s">
        <v>68880</v>
      </c>
      <c r="C45839" t="s">
        <v>17774</v>
      </c>
      <c r="D45839" t="s">
        <v>1023</v>
      </c>
      <c r="E45839" t="s">
        <v>15</v>
      </c>
      <c r="F45839" s="2" t="str">
        <f>HYPERLINK("http://www.otzar.org/book.asp?146592","תקון שטרות")</f>
        <v>תקון שטרות</v>
      </c>
    </row>
    <row r="45840" spans="1:6" x14ac:dyDescent="0.2">
      <c r="A45840" t="s">
        <v>68881</v>
      </c>
      <c r="B45840" t="s">
        <v>68882</v>
      </c>
      <c r="C45840" t="s">
        <v>854</v>
      </c>
      <c r="D45840" t="s">
        <v>6801</v>
      </c>
      <c r="E45840" t="s">
        <v>219</v>
      </c>
      <c r="F45840" s="2" t="str">
        <f>HYPERLINK("http://www.otzar.org/book.asp?154143","תקון שלמה - תקוני שבת")</f>
        <v>תקון שלמה - תקוני שבת</v>
      </c>
    </row>
    <row r="45841" spans="1:6" x14ac:dyDescent="0.2">
      <c r="A45841" t="s">
        <v>68883</v>
      </c>
      <c r="B45841" t="s">
        <v>68884</v>
      </c>
      <c r="C45841" t="s">
        <v>5903</v>
      </c>
      <c r="D45841" t="s">
        <v>1459</v>
      </c>
      <c r="E45841" t="s">
        <v>10687</v>
      </c>
      <c r="F45841" s="2" t="str">
        <f>HYPERLINK("http://www.otzar.org/book.asp?10588","תקון שלמה")</f>
        <v>תקון שלמה</v>
      </c>
    </row>
    <row r="45842" spans="1:6" x14ac:dyDescent="0.2">
      <c r="A45842" t="s">
        <v>68885</v>
      </c>
      <c r="B45842" t="s">
        <v>3286</v>
      </c>
      <c r="C45842" t="s">
        <v>585</v>
      </c>
      <c r="D45842" t="s">
        <v>52</v>
      </c>
      <c r="E45842" t="s">
        <v>219</v>
      </c>
      <c r="F45842" s="2" t="str">
        <f>HYPERLINK("http://www.otzar.org/book.asp?26047","תקון תפלה - 3 כר'")</f>
        <v>תקון תפלה - 3 כר'</v>
      </c>
    </row>
    <row r="45843" spans="1:6" x14ac:dyDescent="0.2">
      <c r="A45843" t="s">
        <v>68886</v>
      </c>
      <c r="B45843" t="s">
        <v>599</v>
      </c>
      <c r="C45843" t="s">
        <v>20</v>
      </c>
      <c r="D45843" t="s">
        <v>14</v>
      </c>
      <c r="E45843" t="s">
        <v>68887</v>
      </c>
      <c r="F45843" s="2" t="str">
        <f>HYPERLINK("http://www.otzar.org/book.asp?5348","תקון תפלה - סדר היום")</f>
        <v>תקון תפלה - סדר היום</v>
      </c>
    </row>
    <row r="45844" spans="1:6" x14ac:dyDescent="0.2">
      <c r="A45844" t="s">
        <v>68888</v>
      </c>
      <c r="B45844" t="s">
        <v>66123</v>
      </c>
      <c r="C45844" t="s">
        <v>1437</v>
      </c>
      <c r="D45844" t="s">
        <v>283</v>
      </c>
      <c r="E45844" t="s">
        <v>15</v>
      </c>
      <c r="F45844" s="2" t="str">
        <f>HYPERLINK("http://www.otzar.org/book.asp?6322","תקוני הזבח - 2 כר'")</f>
        <v>תקוני הזבח - 2 כר'</v>
      </c>
    </row>
    <row r="45845" spans="1:6" x14ac:dyDescent="0.2">
      <c r="A45845" t="s">
        <v>68889</v>
      </c>
      <c r="B45845" t="s">
        <v>10640</v>
      </c>
      <c r="C45845" t="s">
        <v>2076</v>
      </c>
      <c r="D45845" t="s">
        <v>5209</v>
      </c>
      <c r="F45845" s="2" t="str">
        <f>HYPERLINK("http://www.otzar.org/book.asp?169415","תקוני הזבח")</f>
        <v>תקוני הזבח</v>
      </c>
    </row>
    <row r="45846" spans="1:6" x14ac:dyDescent="0.2">
      <c r="A45846" t="s">
        <v>68890</v>
      </c>
      <c r="B45846" t="s">
        <v>68891</v>
      </c>
      <c r="C45846" t="s">
        <v>896</v>
      </c>
      <c r="D45846" t="s">
        <v>212</v>
      </c>
      <c r="E45846" t="s">
        <v>399</v>
      </c>
      <c r="F45846" s="2" t="str">
        <f>HYPERLINK("http://www.otzar.org/book.asp?189663","תקוני הזהר ע""פ כבוד מלך")</f>
        <v>תקוני הזהר ע"פ כבוד מלך</v>
      </c>
    </row>
    <row r="45847" spans="1:6" x14ac:dyDescent="0.2">
      <c r="A45847" t="s">
        <v>68892</v>
      </c>
      <c r="B45847" t="s">
        <v>68893</v>
      </c>
      <c r="C45847" t="s">
        <v>176</v>
      </c>
      <c r="D45847" t="s">
        <v>52</v>
      </c>
      <c r="E45847" t="s">
        <v>399</v>
      </c>
      <c r="F45847" s="2" t="str">
        <f>HYPERLINK("http://www.otzar.org/book.asp?620766","תקוני הזהר עם פירוש קצר")</f>
        <v>תקוני הזהר עם פירוש קצר</v>
      </c>
    </row>
    <row r="45848" spans="1:6" x14ac:dyDescent="0.2">
      <c r="A45848" t="s">
        <v>68894</v>
      </c>
      <c r="B45848" t="s">
        <v>22791</v>
      </c>
      <c r="C45848" t="s">
        <v>429</v>
      </c>
      <c r="D45848" t="s">
        <v>283</v>
      </c>
      <c r="E45848" t="s">
        <v>10</v>
      </c>
      <c r="F45848" s="2" t="str">
        <f>HYPERLINK("http://www.otzar.org/book.asp?156057","תקוני זבח (דעת חכמים - דעת הזבח)")</f>
        <v>תקוני זבח (דעת חכמים - דעת הזבח)</v>
      </c>
    </row>
    <row r="45849" spans="1:6" x14ac:dyDescent="0.2">
      <c r="A45849" t="s">
        <v>68895</v>
      </c>
      <c r="B45849" t="s">
        <v>22791</v>
      </c>
      <c r="C45849" t="s">
        <v>429</v>
      </c>
      <c r="D45849" t="s">
        <v>283</v>
      </c>
      <c r="E45849" t="s">
        <v>10</v>
      </c>
      <c r="F45849" s="2" t="str">
        <f>HYPERLINK("http://www.otzar.org/book.asp?108332","תקוני זבח")</f>
        <v>תקוני זבח</v>
      </c>
    </row>
    <row r="45850" spans="1:6" x14ac:dyDescent="0.2">
      <c r="A45850" t="s">
        <v>68896</v>
      </c>
      <c r="B45850" t="s">
        <v>24828</v>
      </c>
      <c r="C45850" t="s">
        <v>244</v>
      </c>
      <c r="D45850" t="s">
        <v>412</v>
      </c>
      <c r="E45850" t="s">
        <v>1517</v>
      </c>
      <c r="F45850" s="2" t="str">
        <f>HYPERLINK("http://www.otzar.org/book.asp?600047","תקוני שבת - זמירות בית יעקב")</f>
        <v>תקוני שבת - זמירות בית יעקב</v>
      </c>
    </row>
    <row r="45851" spans="1:6" x14ac:dyDescent="0.2">
      <c r="A45851" t="s">
        <v>68897</v>
      </c>
      <c r="B45851" t="s">
        <v>68898</v>
      </c>
      <c r="C45851" t="s">
        <v>6041</v>
      </c>
      <c r="D45851" t="s">
        <v>49</v>
      </c>
      <c r="E45851" t="s">
        <v>1517</v>
      </c>
      <c r="F45851" s="2" t="str">
        <f>HYPERLINK("http://www.otzar.org/book.asp?173030","תקוני שבת")</f>
        <v>תקוני שבת</v>
      </c>
    </row>
    <row r="45852" spans="1:6" x14ac:dyDescent="0.2">
      <c r="A45852" t="s">
        <v>68897</v>
      </c>
      <c r="B45852" t="s">
        <v>68899</v>
      </c>
      <c r="C45852" t="s">
        <v>14518</v>
      </c>
      <c r="D45852" t="s">
        <v>49</v>
      </c>
      <c r="E45852" t="s">
        <v>1517</v>
      </c>
      <c r="F45852" s="2" t="str">
        <f>HYPERLINK("http://www.otzar.org/book.asp?181161","תקוני שבת")</f>
        <v>תקוני שבת</v>
      </c>
    </row>
    <row r="45853" spans="1:6" x14ac:dyDescent="0.2">
      <c r="A45853" t="s">
        <v>68897</v>
      </c>
      <c r="B45853" t="s">
        <v>68900</v>
      </c>
      <c r="C45853" t="s">
        <v>3816</v>
      </c>
      <c r="D45853" t="s">
        <v>4241</v>
      </c>
      <c r="E45853" t="s">
        <v>1517</v>
      </c>
      <c r="F45853" s="2" t="str">
        <f>HYPERLINK("http://www.otzar.org/book.asp?189167","תקוני שבת")</f>
        <v>תקוני שבת</v>
      </c>
    </row>
    <row r="45854" spans="1:6" x14ac:dyDescent="0.2">
      <c r="A45854" t="s">
        <v>68901</v>
      </c>
      <c r="B45854" t="s">
        <v>68902</v>
      </c>
      <c r="C45854" t="s">
        <v>180</v>
      </c>
      <c r="D45854" t="s">
        <v>52</v>
      </c>
      <c r="E45854" t="s">
        <v>1626</v>
      </c>
      <c r="F45854" s="2" t="str">
        <f>HYPERLINK("http://www.otzar.org/book.asp?617860","תקוני תפלה")</f>
        <v>תקוני תפלה</v>
      </c>
    </row>
    <row r="45855" spans="1:6" x14ac:dyDescent="0.2">
      <c r="A45855" t="s">
        <v>68903</v>
      </c>
      <c r="B45855" t="s">
        <v>41548</v>
      </c>
      <c r="C45855" t="s">
        <v>2832</v>
      </c>
      <c r="D45855" t="s">
        <v>699</v>
      </c>
      <c r="E45855" t="s">
        <v>674</v>
      </c>
      <c r="F45855" s="2" t="str">
        <f>HYPERLINK("http://www.otzar.org/book.asp?148351","תקוני תשובה")</f>
        <v>תקוני תשובה</v>
      </c>
    </row>
    <row r="45856" spans="1:6" x14ac:dyDescent="0.2">
      <c r="A45856" t="s">
        <v>68904</v>
      </c>
      <c r="B45856" t="s">
        <v>68905</v>
      </c>
      <c r="C45856" t="s">
        <v>362</v>
      </c>
      <c r="D45856" t="s">
        <v>14</v>
      </c>
      <c r="F45856" s="2" t="str">
        <f>HYPERLINK("http://www.otzar.org/book.asp?169571","תקונים והערות לספר כפתור ופרח")</f>
        <v>תקונים והערות לספר כפתור ופרח</v>
      </c>
    </row>
    <row r="45857" spans="1:6" x14ac:dyDescent="0.2">
      <c r="A45857" t="s">
        <v>68906</v>
      </c>
      <c r="B45857" t="s">
        <v>1390</v>
      </c>
      <c r="C45857" t="s">
        <v>71</v>
      </c>
      <c r="D45857" t="s">
        <v>14</v>
      </c>
      <c r="E45857" t="s">
        <v>314</v>
      </c>
      <c r="F45857" s="2" t="str">
        <f>HYPERLINK("http://www.otzar.org/book.asp?83667","תקונים חדשים לרמח""ל")</f>
        <v>תקונים חדשים לרמח"ל</v>
      </c>
    </row>
    <row r="45858" spans="1:6" x14ac:dyDescent="0.2">
      <c r="A45858" t="s">
        <v>68907</v>
      </c>
      <c r="B45858" t="s">
        <v>68908</v>
      </c>
      <c r="C45858" t="s">
        <v>1062</v>
      </c>
      <c r="D45858" t="s">
        <v>260</v>
      </c>
      <c r="E45858" t="s">
        <v>583</v>
      </c>
      <c r="F45858" s="2" t="str">
        <f>HYPERLINK("http://www.otzar.org/book.asp?106993","תקופות ואישים")</f>
        <v>תקופות ואישים</v>
      </c>
    </row>
    <row r="45859" spans="1:6" x14ac:dyDescent="0.2">
      <c r="A45859" t="s">
        <v>68909</v>
      </c>
      <c r="B45859" t="s">
        <v>68910</v>
      </c>
      <c r="C45859" t="s">
        <v>748</v>
      </c>
      <c r="D45859" t="s">
        <v>2038</v>
      </c>
      <c r="F45859" s="2" t="str">
        <f>HYPERLINK("http://www.otzar.org/book.asp?610450","תקופת החגים")</f>
        <v>תקופת החגים</v>
      </c>
    </row>
    <row r="45860" spans="1:6" x14ac:dyDescent="0.2">
      <c r="A45860" t="s">
        <v>68911</v>
      </c>
      <c r="B45860" t="s">
        <v>5501</v>
      </c>
      <c r="C45860" t="s">
        <v>1268</v>
      </c>
      <c r="D45860" t="s">
        <v>14</v>
      </c>
      <c r="E45860" t="s">
        <v>219</v>
      </c>
      <c r="F45860" s="2" t="str">
        <f>HYPERLINK("http://www.otzar.org/book.asp?13449","תקופת החמה וברכתה")</f>
        <v>תקופת החמה וברכתה</v>
      </c>
    </row>
    <row r="45861" spans="1:6" x14ac:dyDescent="0.2">
      <c r="A45861" t="s">
        <v>68912</v>
      </c>
      <c r="B45861" t="s">
        <v>12354</v>
      </c>
      <c r="C45861" t="s">
        <v>3106</v>
      </c>
      <c r="D45861" t="s">
        <v>303</v>
      </c>
      <c r="F45861" s="2" t="str">
        <f>HYPERLINK("http://www.otzar.org/book.asp?170137","תקופת החמה וברכתה - 2 כר'")</f>
        <v>תקופת החמה וברכתה - 2 כר'</v>
      </c>
    </row>
    <row r="45862" spans="1:6" x14ac:dyDescent="0.2">
      <c r="A45862" t="s">
        <v>68913</v>
      </c>
      <c r="B45862" t="s">
        <v>21874</v>
      </c>
      <c r="C45862" t="s">
        <v>1811</v>
      </c>
      <c r="D45862" t="s">
        <v>14</v>
      </c>
      <c r="E45862" t="s">
        <v>119</v>
      </c>
      <c r="F45862" s="2" t="str">
        <f>HYPERLINK("http://www.otzar.org/book.asp?61243","תקופת הסבוראים וספרותה")</f>
        <v>תקופת הסבוראים וספרותה</v>
      </c>
    </row>
    <row r="45863" spans="1:6" x14ac:dyDescent="0.2">
      <c r="A45863" t="s">
        <v>68914</v>
      </c>
      <c r="B45863" t="s">
        <v>206</v>
      </c>
      <c r="C45863" t="s">
        <v>23</v>
      </c>
      <c r="D45863" t="s">
        <v>90</v>
      </c>
      <c r="E45863" t="s">
        <v>15</v>
      </c>
      <c r="F45863" s="2" t="str">
        <f>HYPERLINK("http://www.otzar.org/book.asp?189309","תקופת השנה")</f>
        <v>תקופת השנה</v>
      </c>
    </row>
    <row r="45864" spans="1:6" x14ac:dyDescent="0.2">
      <c r="A45864" t="s">
        <v>68915</v>
      </c>
      <c r="B45864" t="s">
        <v>9602</v>
      </c>
      <c r="C45864" t="s">
        <v>37</v>
      </c>
      <c r="D45864" t="s">
        <v>21</v>
      </c>
      <c r="F45864" s="2" t="str">
        <f>HYPERLINK("http://www.otzar.org/book.asp?609746","תקופת השנה - אלול, ר""ה יוה""כ")</f>
        <v>תקופת השנה - אלול, ר"ה יוה"כ</v>
      </c>
    </row>
    <row r="45865" spans="1:6" x14ac:dyDescent="0.2">
      <c r="A45865" t="s">
        <v>68916</v>
      </c>
      <c r="B45865" t="s">
        <v>7854</v>
      </c>
      <c r="C45865" t="s">
        <v>767</v>
      </c>
      <c r="D45865" t="s">
        <v>14</v>
      </c>
      <c r="E45865" t="s">
        <v>68917</v>
      </c>
      <c r="F45865" s="2" t="str">
        <f>HYPERLINK("http://www.otzar.org/book.asp?164000","תקופת השנה - תקופת החדשים")</f>
        <v>תקופת השנה - תקופת החדשים</v>
      </c>
    </row>
    <row r="45866" spans="1:6" x14ac:dyDescent="0.2">
      <c r="A45866" t="s">
        <v>68918</v>
      </c>
      <c r="B45866" t="s">
        <v>68919</v>
      </c>
      <c r="C45866" t="s">
        <v>37</v>
      </c>
      <c r="D45866" t="s">
        <v>52</v>
      </c>
      <c r="F45866" s="2" t="str">
        <f>HYPERLINK("http://www.otzar.org/book.asp?194746","תקופת עקבתא דמשיחא ע""פ הגר""א")</f>
        <v>תקופת עקבתא דמשיחא ע"פ הגר"א</v>
      </c>
    </row>
    <row r="45867" spans="1:6" x14ac:dyDescent="0.2">
      <c r="A45867" t="s">
        <v>68920</v>
      </c>
      <c r="B45867" t="s">
        <v>68921</v>
      </c>
      <c r="C45867" t="s">
        <v>1166</v>
      </c>
      <c r="D45867" t="s">
        <v>27</v>
      </c>
      <c r="E45867" t="s">
        <v>154</v>
      </c>
      <c r="F45867" s="2" t="str">
        <f>HYPERLINK("http://www.otzar.org/book.asp?20175","תקות אהרן")</f>
        <v>תקות אהרן</v>
      </c>
    </row>
    <row r="45868" spans="1:6" x14ac:dyDescent="0.2">
      <c r="A45868" t="s">
        <v>68922</v>
      </c>
      <c r="B45868" t="s">
        <v>1295</v>
      </c>
      <c r="C45868" t="s">
        <v>87</v>
      </c>
      <c r="D45868" t="s">
        <v>14</v>
      </c>
      <c r="E45868" t="s">
        <v>104</v>
      </c>
      <c r="F45868" s="2" t="str">
        <f>HYPERLINK("http://www.otzar.org/book.asp?152783","תקות הגאולה")</f>
        <v>תקות הגאולה</v>
      </c>
    </row>
    <row r="45869" spans="1:6" x14ac:dyDescent="0.2">
      <c r="A45869" t="s">
        <v>68923</v>
      </c>
      <c r="B45869" t="s">
        <v>23536</v>
      </c>
      <c r="C45869" t="s">
        <v>22108</v>
      </c>
      <c r="D45869" t="s">
        <v>68924</v>
      </c>
      <c r="E45869" t="s">
        <v>803</v>
      </c>
      <c r="F45869" s="2" t="str">
        <f>HYPERLINK("http://www.otzar.org/book.asp?52080","תקות זכריה - 2 כר'")</f>
        <v>תקות זכריה - 2 כר'</v>
      </c>
    </row>
    <row r="45870" spans="1:6" x14ac:dyDescent="0.2">
      <c r="A45870" t="s">
        <v>68925</v>
      </c>
      <c r="B45870" t="s">
        <v>68926</v>
      </c>
      <c r="C45870" t="s">
        <v>20</v>
      </c>
      <c r="D45870" t="s">
        <v>90</v>
      </c>
      <c r="F45870" s="2" t="str">
        <f>HYPERLINK("http://www.otzar.org/book.asp?157150","תקות יצחק")</f>
        <v>תקות יצחק</v>
      </c>
    </row>
    <row r="45871" spans="1:6" x14ac:dyDescent="0.2">
      <c r="A45871" t="s">
        <v>68927</v>
      </c>
      <c r="B45871" t="s">
        <v>19646</v>
      </c>
      <c r="C45871" t="s">
        <v>111</v>
      </c>
      <c r="D45871" t="s">
        <v>90</v>
      </c>
      <c r="E45871" t="s">
        <v>130</v>
      </c>
      <c r="F45871" s="2" t="str">
        <f>HYPERLINK("http://www.otzar.org/book.asp?621853","תקיעת שופר")</f>
        <v>תקיעת שופר</v>
      </c>
    </row>
    <row r="45872" spans="1:6" x14ac:dyDescent="0.2">
      <c r="A45872" t="s">
        <v>68928</v>
      </c>
      <c r="B45872" t="s">
        <v>68929</v>
      </c>
      <c r="C45872" t="s">
        <v>5826</v>
      </c>
      <c r="D45872" t="s">
        <v>27594</v>
      </c>
      <c r="E45872" t="s">
        <v>15</v>
      </c>
      <c r="F45872" s="2" t="str">
        <f>HYPERLINK("http://www.otzar.org/book.asp?146864","תקנות דח""ק גמילות חסדים")</f>
        <v>תקנות דח"ק גמילות חסדים</v>
      </c>
    </row>
    <row r="45873" spans="1:6" x14ac:dyDescent="0.2">
      <c r="A45873" t="s">
        <v>68930</v>
      </c>
      <c r="B45873" t="s">
        <v>68931</v>
      </c>
      <c r="C45873" t="s">
        <v>99</v>
      </c>
      <c r="D45873" t="s">
        <v>55212</v>
      </c>
      <c r="E45873" t="s">
        <v>15</v>
      </c>
      <c r="F45873" s="2" t="str">
        <f>HYPERLINK("http://www.otzar.org/book.asp?143630","תקנות דחברה תלמידי וחסידי דעעש יצ""ו ותעודתה")</f>
        <v>תקנות דחברה תלמידי וחסידי דעעש יצ"ו ותעודתה</v>
      </c>
    </row>
    <row r="45874" spans="1:6" x14ac:dyDescent="0.2">
      <c r="A45874" t="s">
        <v>68932</v>
      </c>
      <c r="B45874" t="s">
        <v>68933</v>
      </c>
      <c r="C45874" t="s">
        <v>1663</v>
      </c>
      <c r="D45874" t="s">
        <v>260</v>
      </c>
      <c r="E45874" t="s">
        <v>15</v>
      </c>
      <c r="F45874" s="2" t="str">
        <f>HYPERLINK("http://www.otzar.org/book.asp?144201","תקנות הגאונים")</f>
        <v>תקנות הגאונים</v>
      </c>
    </row>
    <row r="45875" spans="1:6" x14ac:dyDescent="0.2">
      <c r="A45875" t="s">
        <v>68934</v>
      </c>
      <c r="B45875" t="s">
        <v>21095</v>
      </c>
      <c r="C45875" t="s">
        <v>1663</v>
      </c>
      <c r="D45875" t="s">
        <v>21</v>
      </c>
      <c r="E45875" t="s">
        <v>15</v>
      </c>
      <c r="F45875" s="2" t="str">
        <f>HYPERLINK("http://www.otzar.org/book.asp?195742","תקנות הדיון בבתי הדין הרבניים בישראל")</f>
        <v>תקנות הדיון בבתי הדין הרבניים בישראל</v>
      </c>
    </row>
    <row r="45876" spans="1:6" x14ac:dyDescent="0.2">
      <c r="A45876" t="s">
        <v>68935</v>
      </c>
      <c r="B45876" t="s">
        <v>68936</v>
      </c>
      <c r="C45876" t="s">
        <v>2644</v>
      </c>
      <c r="D45876" t="s">
        <v>1722</v>
      </c>
      <c r="E45876" t="s">
        <v>15</v>
      </c>
      <c r="F45876" s="2" t="str">
        <f>HYPERLINK("http://www.otzar.org/book.asp?147338","תקנות הח""ק תלמוד תורה דק""ק קראקא")</f>
        <v>תקנות הח"ק תלמוד תורה דק"ק קראקא</v>
      </c>
    </row>
    <row r="45877" spans="1:6" x14ac:dyDescent="0.2">
      <c r="A45877" t="s">
        <v>68937</v>
      </c>
      <c r="B45877" t="s">
        <v>68938</v>
      </c>
      <c r="C45877" t="s">
        <v>5903</v>
      </c>
      <c r="D45877" t="s">
        <v>27</v>
      </c>
      <c r="E45877" t="s">
        <v>3567</v>
      </c>
      <c r="F45877" s="2" t="str">
        <f>HYPERLINK("http://www.otzar.org/book.asp?85922","תקנות החברה ימין משה")</f>
        <v>תקנות החברה ימין משה</v>
      </c>
    </row>
    <row r="45878" spans="1:6" x14ac:dyDescent="0.2">
      <c r="A45878" t="s">
        <v>68939</v>
      </c>
      <c r="B45878" t="s">
        <v>68940</v>
      </c>
      <c r="C45878" t="s">
        <v>445</v>
      </c>
      <c r="D45878" t="s">
        <v>27</v>
      </c>
      <c r="E45878" t="s">
        <v>15</v>
      </c>
      <c r="F45878" s="2" t="str">
        <f>HYPERLINK("http://www.otzar.org/book.asp?178894","תקנות החברה שערי חסד")</f>
        <v>תקנות החברה שערי חסד</v>
      </c>
    </row>
    <row r="45879" spans="1:6" x14ac:dyDescent="0.2">
      <c r="A45879" t="s">
        <v>68941</v>
      </c>
      <c r="B45879" t="s">
        <v>1390</v>
      </c>
      <c r="C45879" t="s">
        <v>523</v>
      </c>
      <c r="D45879" t="s">
        <v>14</v>
      </c>
      <c r="E45879" t="s">
        <v>8854</v>
      </c>
      <c r="F45879" s="2" t="str">
        <f>HYPERLINK("http://www.otzar.org/book.asp?153523","תקנות הישיבה")</f>
        <v>תקנות הישיבה</v>
      </c>
    </row>
    <row r="45880" spans="1:6" x14ac:dyDescent="0.2">
      <c r="A45880" t="s">
        <v>68942</v>
      </c>
      <c r="B45880" t="s">
        <v>17000</v>
      </c>
      <c r="C45880" t="s">
        <v>547</v>
      </c>
      <c r="D45880" t="s">
        <v>2313</v>
      </c>
      <c r="E45880" t="s">
        <v>2840</v>
      </c>
      <c r="F45880" s="2" t="str">
        <f>HYPERLINK("http://www.otzar.org/book.asp?20173","תקנות הקהלות")</f>
        <v>תקנות הקהלות</v>
      </c>
    </row>
    <row r="45881" spans="1:6" x14ac:dyDescent="0.2">
      <c r="A45881" t="s">
        <v>68943</v>
      </c>
      <c r="B45881" t="s">
        <v>57422</v>
      </c>
      <c r="C45881" t="s">
        <v>23</v>
      </c>
      <c r="D45881" t="s">
        <v>21</v>
      </c>
      <c r="E45881" t="s">
        <v>104</v>
      </c>
      <c r="F45881" s="2" t="str">
        <f>HYPERLINK("http://www.otzar.org/book.asp?191120","תקנות הרבנות במשנתו של הגרע""י")</f>
        <v>תקנות הרבנות במשנתו של הגרע"י</v>
      </c>
    </row>
    <row r="45882" spans="1:6" x14ac:dyDescent="0.2">
      <c r="A45882" t="s">
        <v>68944</v>
      </c>
      <c r="B45882" t="s">
        <v>38174</v>
      </c>
      <c r="C45882" t="s">
        <v>351</v>
      </c>
      <c r="D45882" t="s">
        <v>379</v>
      </c>
      <c r="E45882" t="s">
        <v>64817</v>
      </c>
      <c r="F45882" s="2" t="str">
        <f>HYPERLINK("http://www.otzar.org/book.asp?20172","תקנות ותפלות")</f>
        <v>תקנות ותפלות</v>
      </c>
    </row>
    <row r="45883" spans="1:6" x14ac:dyDescent="0.2">
      <c r="A45883" t="s">
        <v>68945</v>
      </c>
      <c r="B45883" t="s">
        <v>68946</v>
      </c>
      <c r="C45883" t="s">
        <v>725</v>
      </c>
      <c r="D45883" t="s">
        <v>21</v>
      </c>
      <c r="F45883" s="2" t="str">
        <f>HYPERLINK("http://www.otzar.org/book.asp?611442","תקנות חברה קדישא (כנסת ישראל)")</f>
        <v>תקנות חברה קדישא (כנסת ישראל)</v>
      </c>
    </row>
    <row r="45884" spans="1:6" x14ac:dyDescent="0.2">
      <c r="A45884" t="s">
        <v>68947</v>
      </c>
      <c r="B45884" t="s">
        <v>68948</v>
      </c>
      <c r="C45884" t="s">
        <v>71</v>
      </c>
      <c r="D45884" t="s">
        <v>14</v>
      </c>
      <c r="E45884" t="s">
        <v>15</v>
      </c>
      <c r="F45884" s="2" t="str">
        <f>HYPERLINK("http://www.otzar.org/book.asp?607043","תקנות חז""ל ביחוסי ממון בין בני זוג - 2 כר'")</f>
        <v>תקנות חז"ל ביחוסי ממון בין בני זוג - 2 כר'</v>
      </c>
    </row>
    <row r="45885" spans="1:6" x14ac:dyDescent="0.2">
      <c r="A45885" t="s">
        <v>68949</v>
      </c>
      <c r="B45885" t="s">
        <v>68950</v>
      </c>
      <c r="C45885" t="s">
        <v>133</v>
      </c>
      <c r="D45885" t="s">
        <v>44943</v>
      </c>
      <c r="E45885" t="s">
        <v>15</v>
      </c>
      <c r="F45885" s="2" t="str">
        <f>HYPERLINK("http://www.otzar.org/book.asp?174662","תקנות חכמי פאס")</f>
        <v>תקנות חכמי פאס</v>
      </c>
    </row>
    <row r="45886" spans="1:6" x14ac:dyDescent="0.2">
      <c r="A45886" t="s">
        <v>68951</v>
      </c>
      <c r="B45886" t="s">
        <v>11259</v>
      </c>
      <c r="C45886" t="s">
        <v>321</v>
      </c>
      <c r="D45886" t="s">
        <v>1023</v>
      </c>
      <c r="E45886" t="s">
        <v>15</v>
      </c>
      <c r="F45886" s="2" t="str">
        <f>HYPERLINK("http://www.otzar.org/book.asp?62191","תקנות להשומרים אצל הגבינות")</f>
        <v>תקנות להשומרים אצל הגבינות</v>
      </c>
    </row>
    <row r="45887" spans="1:6" x14ac:dyDescent="0.2">
      <c r="A45887" t="s">
        <v>68952</v>
      </c>
      <c r="B45887" t="s">
        <v>68953</v>
      </c>
      <c r="C45887" t="s">
        <v>20</v>
      </c>
      <c r="D45887" t="s">
        <v>216</v>
      </c>
      <c r="E45887" t="s">
        <v>2091</v>
      </c>
      <c r="F45887" s="2" t="str">
        <f>HYPERLINK("http://www.otzar.org/book.asp?25484","תקנות לחברה עין יעקב וש""ס")</f>
        <v>תקנות לחברה עין יעקב וש"ס</v>
      </c>
    </row>
    <row r="45888" spans="1:6" x14ac:dyDescent="0.2">
      <c r="A45888" t="s">
        <v>68954</v>
      </c>
      <c r="B45888" t="s">
        <v>10278</v>
      </c>
      <c r="C45888" t="s">
        <v>1062</v>
      </c>
      <c r="D45888" t="s">
        <v>27</v>
      </c>
      <c r="E45888" t="s">
        <v>66942</v>
      </c>
      <c r="F45888" s="2" t="str">
        <f>HYPERLINK("http://www.otzar.org/book.asp?696","תקנות מדינת מעהרין")</f>
        <v>תקנות מדינת מעהרין</v>
      </c>
    </row>
    <row r="45889" spans="1:6" x14ac:dyDescent="0.2">
      <c r="A45889" t="s">
        <v>68955</v>
      </c>
      <c r="B45889" t="s">
        <v>68956</v>
      </c>
      <c r="C45889" t="s">
        <v>946</v>
      </c>
      <c r="D45889" t="s">
        <v>1279</v>
      </c>
      <c r="E45889" t="s">
        <v>15</v>
      </c>
      <c r="F45889" s="2" t="str">
        <f>HYPERLINK("http://www.otzar.org/book.asp?168761","תקנות מהחבורה קדושה אנשי מעמד")</f>
        <v>תקנות מהחבורה קדושה אנשי מעמד</v>
      </c>
    </row>
    <row r="45890" spans="1:6" x14ac:dyDescent="0.2">
      <c r="A45890" t="s">
        <v>68957</v>
      </c>
      <c r="B45890" t="s">
        <v>50839</v>
      </c>
      <c r="C45890" t="s">
        <v>438</v>
      </c>
      <c r="D45890" t="s">
        <v>14</v>
      </c>
      <c r="E45890" t="s">
        <v>3567</v>
      </c>
      <c r="F45890" s="2" t="str">
        <f>HYPERLINK("http://www.otzar.org/book.asp?157235","תקנות ניקולשבורג")</f>
        <v>תקנות ניקולשבורג</v>
      </c>
    </row>
    <row r="45891" spans="1:6" x14ac:dyDescent="0.2">
      <c r="A45891" t="s">
        <v>68958</v>
      </c>
      <c r="B45891" t="s">
        <v>31136</v>
      </c>
      <c r="C45891" t="s">
        <v>896</v>
      </c>
      <c r="D45891" t="s">
        <v>5209</v>
      </c>
      <c r="E45891" t="s">
        <v>15</v>
      </c>
      <c r="F45891" s="2" t="str">
        <f>HYPERLINK("http://www.otzar.org/book.asp?158114","תקנות עגונות - 2 כר'")</f>
        <v>תקנות עגונות - 2 כר'</v>
      </c>
    </row>
    <row r="45892" spans="1:6" x14ac:dyDescent="0.2">
      <c r="A45892" t="s">
        <v>68959</v>
      </c>
      <c r="B45892" t="s">
        <v>68960</v>
      </c>
      <c r="C45892" t="s">
        <v>2289</v>
      </c>
      <c r="D45892" t="s">
        <v>7059</v>
      </c>
      <c r="E45892" t="s">
        <v>15</v>
      </c>
      <c r="F45892" s="2" t="str">
        <f>HYPERLINK("http://www.otzar.org/book.asp?611746","תקנות ק""ק פראג")</f>
        <v>תקנות ק"ק פראג</v>
      </c>
    </row>
    <row r="45893" spans="1:6" x14ac:dyDescent="0.2">
      <c r="A45893" t="s">
        <v>68961</v>
      </c>
      <c r="B45893" t="s">
        <v>68962</v>
      </c>
      <c r="C45893" t="s">
        <v>2008</v>
      </c>
      <c r="D45893" t="s">
        <v>27</v>
      </c>
      <c r="E45893" t="s">
        <v>66942</v>
      </c>
      <c r="F45893" s="2" t="str">
        <f>HYPERLINK("http://www.otzar.org/book.asp?14948","תקנות קנדיאה וזכרונותיה - א")</f>
        <v>תקנות קנדיאה וזכרונותיה - א</v>
      </c>
    </row>
    <row r="45894" spans="1:6" x14ac:dyDescent="0.2">
      <c r="A45894" t="s">
        <v>68963</v>
      </c>
      <c r="B45894" t="s">
        <v>68964</v>
      </c>
      <c r="E45894" t="s">
        <v>15</v>
      </c>
      <c r="F45894" s="2" t="str">
        <f>HYPERLINK("http://www.otzar.org/book.asp?84660","תקנות קראקא שנ""ה")</f>
        <v>תקנות קראקא שנ"ה</v>
      </c>
    </row>
    <row r="45895" spans="1:6" x14ac:dyDescent="0.2">
      <c r="A45895" t="s">
        <v>68965</v>
      </c>
      <c r="B45895" t="s">
        <v>27333</v>
      </c>
      <c r="C45895" t="s">
        <v>547</v>
      </c>
      <c r="D45895" t="s">
        <v>27</v>
      </c>
      <c r="E45895" t="s">
        <v>15</v>
      </c>
      <c r="F45895" s="2" t="str">
        <f>HYPERLINK("http://www.otzar.org/book.asp?143912","תקנות קרן קיימת &lt;שומרי החומות&gt;")</f>
        <v>תקנות קרן קיימת &lt;שומרי החומות&gt;</v>
      </c>
    </row>
    <row r="45896" spans="1:6" x14ac:dyDescent="0.2">
      <c r="A45896" t="s">
        <v>68966</v>
      </c>
      <c r="B45896" t="s">
        <v>1264</v>
      </c>
      <c r="C45896" t="s">
        <v>1885</v>
      </c>
      <c r="D45896" t="s">
        <v>379</v>
      </c>
      <c r="E45896" t="s">
        <v>23176</v>
      </c>
      <c r="F45896" s="2" t="str">
        <f>HYPERLINK("http://www.otzar.org/book.asp?102479","תקנות תמכין דאורייתא")</f>
        <v>תקנות תמכין דאורייתא</v>
      </c>
    </row>
    <row r="45897" spans="1:6" x14ac:dyDescent="0.2">
      <c r="A45897" t="s">
        <v>68967</v>
      </c>
      <c r="B45897" t="s">
        <v>68968</v>
      </c>
      <c r="C45897" t="s">
        <v>111</v>
      </c>
      <c r="D45897" t="s">
        <v>52</v>
      </c>
      <c r="E45897" t="s">
        <v>15</v>
      </c>
      <c r="F45897" s="2" t="str">
        <f>HYPERLINK("http://www.otzar.org/book.asp?629874","תקנת הרבית - קיצור הלכות - ב")</f>
        <v>תקנת הרבית - קיצור הלכות - ב</v>
      </c>
    </row>
    <row r="45898" spans="1:6" x14ac:dyDescent="0.2">
      <c r="A45898" t="s">
        <v>68969</v>
      </c>
      <c r="B45898" t="s">
        <v>68970</v>
      </c>
      <c r="C45898" t="s">
        <v>151</v>
      </c>
      <c r="D45898" t="s">
        <v>52</v>
      </c>
      <c r="E45898" t="s">
        <v>15</v>
      </c>
      <c r="F45898" s="2" t="str">
        <f>HYPERLINK("http://www.otzar.org/book.asp?621522","תקנת הרבית - קיצור הלכות - א")</f>
        <v>תקנת הרבית - קיצור הלכות - א</v>
      </c>
    </row>
    <row r="45899" spans="1:6" x14ac:dyDescent="0.2">
      <c r="A45899" t="s">
        <v>68971</v>
      </c>
      <c r="B45899" t="s">
        <v>9447</v>
      </c>
      <c r="C45899" t="s">
        <v>114</v>
      </c>
      <c r="D45899" t="s">
        <v>14</v>
      </c>
      <c r="E45899" t="s">
        <v>241</v>
      </c>
      <c r="F45899" s="2" t="str">
        <f>HYPERLINK("http://www.otzar.org/book.asp?198023","תקנת השב")</f>
        <v>תקנת השב</v>
      </c>
    </row>
    <row r="45900" spans="1:6" x14ac:dyDescent="0.2">
      <c r="A45900" t="s">
        <v>68972</v>
      </c>
      <c r="B45900" t="s">
        <v>47265</v>
      </c>
      <c r="C45900" t="s">
        <v>23</v>
      </c>
      <c r="D45900" t="s">
        <v>52</v>
      </c>
      <c r="E45900" t="s">
        <v>68973</v>
      </c>
      <c r="F45900" s="2" t="str">
        <f>HYPERLINK("http://www.otzar.org/book.asp?600796","תקנת השבים")</f>
        <v>תקנת השבים</v>
      </c>
    </row>
    <row r="45901" spans="1:6" x14ac:dyDescent="0.2">
      <c r="A45901" t="s">
        <v>68972</v>
      </c>
      <c r="B45901" t="s">
        <v>2074</v>
      </c>
      <c r="C45901" t="s">
        <v>313</v>
      </c>
      <c r="D45901" t="s">
        <v>14</v>
      </c>
      <c r="E45901" t="s">
        <v>30653</v>
      </c>
      <c r="F45901" s="2" t="str">
        <f>HYPERLINK("http://www.otzar.org/book.asp?60659","תקנת השבים")</f>
        <v>תקנת השבים</v>
      </c>
    </row>
    <row r="45902" spans="1:6" x14ac:dyDescent="0.2">
      <c r="A45902" t="s">
        <v>68972</v>
      </c>
      <c r="B45902" t="s">
        <v>24171</v>
      </c>
      <c r="C45902" t="s">
        <v>1160</v>
      </c>
      <c r="D45902" t="s">
        <v>27</v>
      </c>
      <c r="E45902" t="s">
        <v>68974</v>
      </c>
      <c r="F45902" s="2" t="str">
        <f>HYPERLINK("http://www.otzar.org/book.asp?103223","תקנת השבים")</f>
        <v>תקנת השבים</v>
      </c>
    </row>
    <row r="45903" spans="1:6" x14ac:dyDescent="0.2">
      <c r="A45903" t="s">
        <v>68972</v>
      </c>
      <c r="B45903" t="s">
        <v>3021</v>
      </c>
      <c r="C45903" t="s">
        <v>129</v>
      </c>
      <c r="D45903" t="s">
        <v>14</v>
      </c>
      <c r="E45903" t="s">
        <v>241</v>
      </c>
      <c r="F45903" s="2" t="str">
        <f>HYPERLINK("http://www.otzar.org/book.asp?169256","תקנת השבים")</f>
        <v>תקנת השבים</v>
      </c>
    </row>
    <row r="45904" spans="1:6" x14ac:dyDescent="0.2">
      <c r="A45904" t="s">
        <v>68972</v>
      </c>
      <c r="B45904" t="s">
        <v>68972</v>
      </c>
      <c r="C45904" t="s">
        <v>619</v>
      </c>
      <c r="D45904" t="s">
        <v>5659</v>
      </c>
      <c r="E45904" t="s">
        <v>219</v>
      </c>
      <c r="F45904" s="2" t="str">
        <f>HYPERLINK("http://www.otzar.org/book.asp?161166","תקנת השבים")</f>
        <v>תקנת השבים</v>
      </c>
    </row>
    <row r="45905" spans="1:6" x14ac:dyDescent="0.2">
      <c r="A45905" t="s">
        <v>68975</v>
      </c>
      <c r="B45905" t="s">
        <v>2993</v>
      </c>
      <c r="C45905" t="s">
        <v>1208</v>
      </c>
      <c r="D45905" t="s">
        <v>6853</v>
      </c>
      <c r="E45905" t="s">
        <v>4281</v>
      </c>
      <c r="F45905" s="2" t="str">
        <f>HYPERLINK("http://www.otzar.org/book.asp?84173","תקנת השבין &lt;מהדורה חדשה&gt;")</f>
        <v>תקנת השבין &lt;מהדורה חדשה&gt;</v>
      </c>
    </row>
    <row r="45906" spans="1:6" x14ac:dyDescent="0.2">
      <c r="A45906" t="s">
        <v>68976</v>
      </c>
      <c r="B45906" t="s">
        <v>2993</v>
      </c>
      <c r="C45906" t="s">
        <v>99</v>
      </c>
      <c r="D45906" t="s">
        <v>225</v>
      </c>
      <c r="E45906" t="s">
        <v>4656</v>
      </c>
      <c r="F45906" s="2" t="str">
        <f>HYPERLINK("http://www.otzar.org/book.asp?11146","תקנת השבין - 2 כר'")</f>
        <v>תקנת השבין - 2 כר'</v>
      </c>
    </row>
    <row r="45907" spans="1:6" x14ac:dyDescent="0.2">
      <c r="A45907" t="s">
        <v>68977</v>
      </c>
      <c r="B45907" t="s">
        <v>65228</v>
      </c>
      <c r="C45907" t="s">
        <v>20</v>
      </c>
      <c r="D45907" t="s">
        <v>52</v>
      </c>
      <c r="E45907" t="s">
        <v>15</v>
      </c>
      <c r="F45907" s="2" t="str">
        <f>HYPERLINK("http://www.otzar.org/book.asp?183139","תקנת עגונות")</f>
        <v>תקנת עגונות</v>
      </c>
    </row>
    <row r="45908" spans="1:6" x14ac:dyDescent="0.2">
      <c r="A45908" t="s">
        <v>68978</v>
      </c>
      <c r="B45908" t="s">
        <v>47265</v>
      </c>
      <c r="C45908" t="s">
        <v>151</v>
      </c>
      <c r="D45908" t="s">
        <v>14</v>
      </c>
      <c r="E45908" t="s">
        <v>144</v>
      </c>
      <c r="F45908" s="2" t="str">
        <f>HYPERLINK("http://www.otzar.org/book.asp?614645","תקנת עזרא &lt;מהדורה חדשה&gt;")</f>
        <v>תקנת עזרא &lt;מהדורה חדשה&gt;</v>
      </c>
    </row>
    <row r="45909" spans="1:6" x14ac:dyDescent="0.2">
      <c r="A45909" t="s">
        <v>68979</v>
      </c>
      <c r="B45909" t="s">
        <v>47265</v>
      </c>
      <c r="C45909" t="s">
        <v>224</v>
      </c>
      <c r="D45909" t="s">
        <v>10393</v>
      </c>
      <c r="E45909" t="s">
        <v>15</v>
      </c>
      <c r="F45909" s="2" t="str">
        <f>HYPERLINK("http://www.otzar.org/book.asp?106183","תקנת עזרא &lt;על הרמב""ם&gt;")</f>
        <v>תקנת עזרא &lt;על הרמב"ם&gt;</v>
      </c>
    </row>
    <row r="45910" spans="1:6" x14ac:dyDescent="0.2">
      <c r="A45910" t="s">
        <v>68980</v>
      </c>
      <c r="B45910" t="s">
        <v>47265</v>
      </c>
      <c r="C45910" t="s">
        <v>1535</v>
      </c>
      <c r="D45910" t="s">
        <v>225</v>
      </c>
      <c r="E45910" t="s">
        <v>4586</v>
      </c>
      <c r="F45910" s="2" t="str">
        <f>HYPERLINK("http://www.otzar.org/book.asp?8872","תקנת עזרא")</f>
        <v>תקנת עזרא</v>
      </c>
    </row>
    <row r="45911" spans="1:6" x14ac:dyDescent="0.2">
      <c r="A45911" t="s">
        <v>68981</v>
      </c>
      <c r="B45911" t="s">
        <v>724</v>
      </c>
      <c r="C45911" t="s">
        <v>547</v>
      </c>
      <c r="D45911" t="s">
        <v>283</v>
      </c>
      <c r="E45911" t="s">
        <v>2775</v>
      </c>
      <c r="F45911" s="2" t="str">
        <f>HYPERLINK("http://www.otzar.org/book.asp?8255","תקנת רבים")</f>
        <v>תקנת רבים</v>
      </c>
    </row>
    <row r="45912" spans="1:6" x14ac:dyDescent="0.2">
      <c r="A45912" t="s">
        <v>68982</v>
      </c>
      <c r="B45912" t="s">
        <v>68983</v>
      </c>
      <c r="C45912" t="s">
        <v>151</v>
      </c>
      <c r="D45912" t="s">
        <v>52</v>
      </c>
      <c r="E45912" t="s">
        <v>144</v>
      </c>
      <c r="F45912" s="2" t="str">
        <f>HYPERLINK("http://www.otzar.org/book.asp?621481","תקנת שלמה - 2 כר'")</f>
        <v>תקנת שלמה - 2 כר'</v>
      </c>
    </row>
    <row r="45913" spans="1:6" x14ac:dyDescent="0.2">
      <c r="A45913" t="s">
        <v>68984</v>
      </c>
      <c r="B45913" t="s">
        <v>68985</v>
      </c>
      <c r="C45913" t="s">
        <v>6624</v>
      </c>
      <c r="D45913" t="s">
        <v>2209</v>
      </c>
      <c r="E45913" t="s">
        <v>993</v>
      </c>
      <c r="F45913" s="2" t="str">
        <f>HYPERLINK("http://www.otzar.org/book.asp?63840","תקנתא דמשה")</f>
        <v>תקנתא דמשה</v>
      </c>
    </row>
    <row r="45914" spans="1:6" x14ac:dyDescent="0.2">
      <c r="A45914" t="s">
        <v>68986</v>
      </c>
      <c r="B45914" t="s">
        <v>51357</v>
      </c>
      <c r="C45914" t="s">
        <v>496</v>
      </c>
      <c r="D45914" t="s">
        <v>20713</v>
      </c>
      <c r="E45914" t="s">
        <v>733</v>
      </c>
      <c r="F45914" s="2" t="str">
        <f>HYPERLINK("http://www.otzar.org/book.asp?147257","תקע שופר")</f>
        <v>תקע שופר</v>
      </c>
    </row>
    <row r="45915" spans="1:6" x14ac:dyDescent="0.2">
      <c r="A45915" t="s">
        <v>68987</v>
      </c>
      <c r="B45915" t="s">
        <v>68988</v>
      </c>
      <c r="C45915" t="s">
        <v>37</v>
      </c>
      <c r="D45915" t="s">
        <v>245</v>
      </c>
      <c r="E45915" t="s">
        <v>144</v>
      </c>
      <c r="F45915" s="2" t="str">
        <f>HYPERLINK("http://www.otzar.org/book.asp?180161","תקפו כהן &lt;כח תפיסה&gt;")</f>
        <v>תקפו כהן &lt;כח תפיסה&gt;</v>
      </c>
    </row>
    <row r="45916" spans="1:6" x14ac:dyDescent="0.2">
      <c r="A45916" t="s">
        <v>68989</v>
      </c>
      <c r="B45916" t="s">
        <v>68990</v>
      </c>
      <c r="C45916" t="s">
        <v>111</v>
      </c>
      <c r="D45916" t="s">
        <v>80</v>
      </c>
      <c r="E45916" t="s">
        <v>144</v>
      </c>
      <c r="F45916" s="2" t="str">
        <f>HYPERLINK("http://www.otzar.org/book.asp?625354","תקפו כהן &lt;מעשה תקפו&gt;")</f>
        <v>תקפו כהן &lt;מעשה תקפו&gt;</v>
      </c>
    </row>
    <row r="45917" spans="1:6" x14ac:dyDescent="0.2">
      <c r="A45917" t="s">
        <v>68991</v>
      </c>
      <c r="B45917" t="s">
        <v>13091</v>
      </c>
      <c r="C45917" t="s">
        <v>4963</v>
      </c>
      <c r="D45917" t="s">
        <v>1833</v>
      </c>
      <c r="E45917" t="s">
        <v>325</v>
      </c>
      <c r="F45917" s="2" t="str">
        <f>HYPERLINK("http://www.otzar.org/book.asp?146721","תקפו כהן &lt;דפו""ר&gt;")</f>
        <v>תקפו כהן &lt;דפו"ר&gt;</v>
      </c>
    </row>
    <row r="45918" spans="1:6" x14ac:dyDescent="0.2">
      <c r="A45918" t="s">
        <v>68992</v>
      </c>
      <c r="B45918" t="s">
        <v>13091</v>
      </c>
      <c r="C45918" t="s">
        <v>37</v>
      </c>
      <c r="D45918" t="s">
        <v>80</v>
      </c>
      <c r="F45918" s="2" t="str">
        <f>HYPERLINK("http://www.otzar.org/book.asp?610277","תקפו כהן &lt;עם אורים ותומים&gt;")</f>
        <v>תקפו כהן &lt;עם אורים ותומים&gt;</v>
      </c>
    </row>
    <row r="45919" spans="1:6" x14ac:dyDescent="0.2">
      <c r="A45919" t="s">
        <v>68993</v>
      </c>
      <c r="B45919" t="s">
        <v>13091</v>
      </c>
      <c r="C45919" t="s">
        <v>20</v>
      </c>
      <c r="D45919" t="s">
        <v>14</v>
      </c>
      <c r="E45919" t="s">
        <v>144</v>
      </c>
      <c r="F45919" s="2" t="str">
        <f>HYPERLINK("http://www.otzar.org/book.asp?166406","תקפו כהן - 2 כר'")</f>
        <v>תקפו כהן - 2 כר'</v>
      </c>
    </row>
    <row r="45920" spans="1:6" x14ac:dyDescent="0.2">
      <c r="A45920" t="s">
        <v>68994</v>
      </c>
      <c r="B45920" t="s">
        <v>6175</v>
      </c>
      <c r="C45920" t="s">
        <v>87</v>
      </c>
      <c r="D45920" t="s">
        <v>90</v>
      </c>
      <c r="E45920" t="s">
        <v>1211</v>
      </c>
      <c r="F45920" s="2" t="str">
        <f>HYPERLINK("http://www.otzar.org/book.asp?62620","תקפו של אוריאל")</f>
        <v>תקפו של אוריאל</v>
      </c>
    </row>
    <row r="45921" spans="1:6" x14ac:dyDescent="0.2">
      <c r="A45921" t="s">
        <v>68995</v>
      </c>
      <c r="B45921" t="s">
        <v>13223</v>
      </c>
      <c r="C45921" t="s">
        <v>129</v>
      </c>
      <c r="D45921" t="s">
        <v>14</v>
      </c>
      <c r="E45921" t="s">
        <v>158</v>
      </c>
      <c r="F45921" s="2" t="str">
        <f>HYPERLINK("http://www.otzar.org/book.asp?197363","תקפו של יוסף &lt;מהדורה חדשה&gt;")</f>
        <v>תקפו של יוסף &lt;מהדורה חדשה&gt;</v>
      </c>
    </row>
    <row r="45922" spans="1:6" x14ac:dyDescent="0.2">
      <c r="A45922" t="s">
        <v>68996</v>
      </c>
      <c r="B45922" t="s">
        <v>26959</v>
      </c>
      <c r="C45922" t="s">
        <v>68997</v>
      </c>
      <c r="D45922" t="s">
        <v>212</v>
      </c>
      <c r="E45922" t="s">
        <v>9557</v>
      </c>
      <c r="F45922" s="2" t="str">
        <f>HYPERLINK("http://www.otzar.org/book.asp?677","תקפו של יוסף - 2 כר'")</f>
        <v>תקפו של יוסף - 2 כר'</v>
      </c>
    </row>
    <row r="45923" spans="1:6" x14ac:dyDescent="0.2">
      <c r="A45923" t="s">
        <v>68996</v>
      </c>
      <c r="B45923" t="s">
        <v>13223</v>
      </c>
      <c r="C45923" t="s">
        <v>1310</v>
      </c>
      <c r="D45923" t="s">
        <v>212</v>
      </c>
      <c r="E45923" t="s">
        <v>158</v>
      </c>
      <c r="F45923" s="2" t="str">
        <f>HYPERLINK("http://www.otzar.org/book.asp?63452","תקפו של יוסף - 2 כר'")</f>
        <v>תקפו של יוסף - 2 כר'</v>
      </c>
    </row>
    <row r="45924" spans="1:6" x14ac:dyDescent="0.2">
      <c r="A45924" t="s">
        <v>68998</v>
      </c>
      <c r="B45924" t="s">
        <v>31512</v>
      </c>
      <c r="C45924" t="s">
        <v>68999</v>
      </c>
      <c r="D45924" t="s">
        <v>27</v>
      </c>
      <c r="E45924" t="s">
        <v>104</v>
      </c>
      <c r="F45924" s="2" t="str">
        <f>HYPERLINK("http://www.otzar.org/book.asp?11149","תקפו של נס - 2 כר'")</f>
        <v>תקפו של נס - 2 כר'</v>
      </c>
    </row>
    <row r="45925" spans="1:6" x14ac:dyDescent="0.2">
      <c r="A45925" t="s">
        <v>69000</v>
      </c>
      <c r="B45925" t="s">
        <v>316</v>
      </c>
      <c r="C45925" t="s">
        <v>37</v>
      </c>
      <c r="D45925" t="s">
        <v>14</v>
      </c>
      <c r="E45925" t="s">
        <v>241</v>
      </c>
      <c r="F45925" s="2" t="str">
        <f>HYPERLINK("http://www.otzar.org/book.asp?189280","תקציב מדינת ישראל - עובדות או הסתה")</f>
        <v>תקציב מדינת ישראל - עובדות או הסתה</v>
      </c>
    </row>
    <row r="45926" spans="1:6" x14ac:dyDescent="0.2">
      <c r="A45926" t="s">
        <v>69001</v>
      </c>
      <c r="B45926" t="s">
        <v>15664</v>
      </c>
      <c r="C45926" t="s">
        <v>143</v>
      </c>
      <c r="D45926" t="s">
        <v>14</v>
      </c>
      <c r="E45926" t="s">
        <v>219</v>
      </c>
      <c r="F45926" s="2" t="str">
        <f>HYPERLINK("http://www.otzar.org/book.asp?152719","תקרב רנתי")</f>
        <v>תקרב רנתי</v>
      </c>
    </row>
    <row r="45927" spans="1:6" x14ac:dyDescent="0.2">
      <c r="A45927" t="s">
        <v>69002</v>
      </c>
      <c r="B45927" t="s">
        <v>56762</v>
      </c>
      <c r="C45927" t="s">
        <v>26</v>
      </c>
      <c r="D45927" t="s">
        <v>260</v>
      </c>
      <c r="E45927" t="s">
        <v>674</v>
      </c>
      <c r="F45927" s="2" t="str">
        <f>HYPERLINK("http://www.otzar.org/book.asp?197452","תר""ך עמודי אור - 4 כר'")</f>
        <v>תר"ך עמודי אור - 4 כר'</v>
      </c>
    </row>
    <row r="45928" spans="1:6" x14ac:dyDescent="0.2">
      <c r="A45928" t="s">
        <v>69003</v>
      </c>
      <c r="B45928" t="s">
        <v>29367</v>
      </c>
      <c r="C45928" t="s">
        <v>533</v>
      </c>
      <c r="D45928" t="s">
        <v>14</v>
      </c>
      <c r="E45928" t="s">
        <v>2248</v>
      </c>
      <c r="F45928" s="2" t="str">
        <f>HYPERLINK("http://www.otzar.org/book.asp?151993","תרביצא")</f>
        <v>תרביצא</v>
      </c>
    </row>
    <row r="45929" spans="1:6" x14ac:dyDescent="0.2">
      <c r="A45929" t="s">
        <v>69004</v>
      </c>
      <c r="B45929" t="s">
        <v>69005</v>
      </c>
      <c r="C45929" t="s">
        <v>146</v>
      </c>
      <c r="D45929" t="s">
        <v>52</v>
      </c>
      <c r="E45929" t="s">
        <v>158</v>
      </c>
      <c r="F45929" s="2" t="str">
        <f>HYPERLINK("http://www.otzar.org/book.asp?60755","תרגום אונקלוס המוגה והמדויק - ילקוט ראשונים")</f>
        <v>תרגום אונקלוס המוגה והמדויק - ילקוט ראשונים</v>
      </c>
    </row>
    <row r="45930" spans="1:6" x14ac:dyDescent="0.2">
      <c r="A45930" t="s">
        <v>69006</v>
      </c>
      <c r="B45930" t="s">
        <v>69007</v>
      </c>
      <c r="C45930" t="s">
        <v>43307</v>
      </c>
      <c r="D45930" t="s">
        <v>67996</v>
      </c>
      <c r="F45930" s="2" t="str">
        <f>HYPERLINK("http://www.otzar.org/book.asp?153128","תרגום אונקלוס - קטעים מדפוס ספרד")</f>
        <v>תרגום אונקלוס - קטעים מדפוס ספרד</v>
      </c>
    </row>
    <row r="45931" spans="1:6" x14ac:dyDescent="0.2">
      <c r="A45931" t="s">
        <v>69008</v>
      </c>
      <c r="B45931" t="s">
        <v>12187</v>
      </c>
      <c r="C45931" t="s">
        <v>503</v>
      </c>
      <c r="D45931" t="s">
        <v>280</v>
      </c>
      <c r="E45931" t="s">
        <v>158</v>
      </c>
      <c r="F45931" s="2" t="str">
        <f>HYPERLINK("http://www.otzar.org/book.asp?14140","תרגום אנקלוס")</f>
        <v>תרגום אנקלוס</v>
      </c>
    </row>
    <row r="45932" spans="1:6" x14ac:dyDescent="0.2">
      <c r="A45932" t="s">
        <v>69009</v>
      </c>
      <c r="B45932" t="s">
        <v>69010</v>
      </c>
      <c r="C45932" t="s">
        <v>2740</v>
      </c>
      <c r="D45932" t="s">
        <v>2740</v>
      </c>
      <c r="E45932" t="s">
        <v>158</v>
      </c>
      <c r="F45932" s="2" t="str">
        <f>HYPERLINK("http://www.otzar.org/book.asp?191366","תרגום ארץ ישראל לתורה ניאופיטי - 2 כר'")</f>
        <v>תרגום ארץ ישראל לתורה ניאופיטי - 2 כר'</v>
      </c>
    </row>
    <row r="45933" spans="1:6" x14ac:dyDescent="0.2">
      <c r="A45933" t="s">
        <v>69011</v>
      </c>
      <c r="B45933" t="s">
        <v>40220</v>
      </c>
      <c r="C45933" t="s">
        <v>103</v>
      </c>
      <c r="D45933" t="s">
        <v>52</v>
      </c>
      <c r="E45933" t="s">
        <v>104</v>
      </c>
      <c r="F45933" s="2" t="str">
        <f>HYPERLINK("http://www.otzar.org/book.asp?170416","תרגום הלע""ז")</f>
        <v>תרגום הלע"ז</v>
      </c>
    </row>
    <row r="45934" spans="1:6" x14ac:dyDescent="0.2">
      <c r="A45934" t="s">
        <v>69012</v>
      </c>
      <c r="B45934" t="s">
        <v>21210</v>
      </c>
      <c r="C45934" t="s">
        <v>1609</v>
      </c>
      <c r="D45934" t="s">
        <v>27</v>
      </c>
      <c r="E45934" t="s">
        <v>15</v>
      </c>
      <c r="F45934" s="2" t="str">
        <f>HYPERLINK("http://www.otzar.org/book.asp?160514","תרגום המלים המובאות במשנה ברורה")</f>
        <v>תרגום המלים המובאות במשנה ברורה</v>
      </c>
    </row>
    <row r="45935" spans="1:6" x14ac:dyDescent="0.2">
      <c r="A45935" t="s">
        <v>69013</v>
      </c>
      <c r="B45935" t="s">
        <v>69014</v>
      </c>
      <c r="C45935" t="s">
        <v>39697</v>
      </c>
      <c r="D45935" t="s">
        <v>1396</v>
      </c>
      <c r="E45935" t="s">
        <v>158</v>
      </c>
      <c r="F45935" s="2" t="str">
        <f>HYPERLINK("http://www.otzar.org/book.asp?188735","תרגום הקדוש יונתן בן אוזיאל")</f>
        <v>תרגום הקדוש יונתן בן אוזיאל</v>
      </c>
    </row>
    <row r="45936" spans="1:6" x14ac:dyDescent="0.2">
      <c r="A45936" t="s">
        <v>69015</v>
      </c>
      <c r="B45936" t="s">
        <v>69014</v>
      </c>
      <c r="C45936" t="s">
        <v>39697</v>
      </c>
      <c r="D45936" t="s">
        <v>1396</v>
      </c>
      <c r="F45936" s="2" t="str">
        <f>HYPERLINK("http://www.otzar.org/book.asp?153074","תרגום יונתן בן עוזיאל")</f>
        <v>תרגום יונתן בן עוזיאל</v>
      </c>
    </row>
    <row r="45937" spans="1:6" x14ac:dyDescent="0.2">
      <c r="A45937" t="s">
        <v>69016</v>
      </c>
      <c r="B45937" t="s">
        <v>69017</v>
      </c>
      <c r="C45937" t="s">
        <v>1619</v>
      </c>
      <c r="D45937" t="s">
        <v>14</v>
      </c>
      <c r="E45937" t="s">
        <v>158</v>
      </c>
      <c r="F45937" s="2" t="str">
        <f>HYPERLINK("http://www.otzar.org/book.asp?100530","תרגום ירושלמי השלם &lt;עפ""י כ""י רומי&gt; - ויקרא")</f>
        <v>תרגום ירושלמי השלם &lt;עפ"י כ"י רומי&gt; - ויקרא</v>
      </c>
    </row>
    <row r="45938" spans="1:6" x14ac:dyDescent="0.2">
      <c r="A45938" t="s">
        <v>69018</v>
      </c>
      <c r="B45938" t="s">
        <v>69019</v>
      </c>
      <c r="C45938" t="s">
        <v>69020</v>
      </c>
      <c r="D45938" t="s">
        <v>69021</v>
      </c>
      <c r="E45938" t="s">
        <v>158</v>
      </c>
      <c r="F45938" s="2" t="str">
        <f>HYPERLINK("http://www.otzar.org/book.asp?153963","תרגום ירושלמי - שמות &lt; Neophyti&gt;")</f>
        <v>תרגום ירושלמי - שמות &lt; Neophyti&gt;</v>
      </c>
    </row>
    <row r="45939" spans="1:6" x14ac:dyDescent="0.2">
      <c r="A45939" t="s">
        <v>69022</v>
      </c>
      <c r="B45939" t="s">
        <v>69023</v>
      </c>
      <c r="C45939" t="s">
        <v>356</v>
      </c>
      <c r="D45939" t="s">
        <v>10373</v>
      </c>
      <c r="E45939" t="s">
        <v>158</v>
      </c>
      <c r="F45939" s="2" t="str">
        <f>HYPERLINK("http://www.otzar.org/book.asp?191374","תרגום לחמש מגילות &lt;כת""י וטיקן&gt;")</f>
        <v>תרגום לחמש מגילות &lt;כת"י וטיקן&gt;</v>
      </c>
    </row>
    <row r="45940" spans="1:6" x14ac:dyDescent="0.2">
      <c r="A45940" t="s">
        <v>69024</v>
      </c>
      <c r="B45940" t="s">
        <v>69025</v>
      </c>
      <c r="C45940" t="s">
        <v>133</v>
      </c>
      <c r="D45940" t="s">
        <v>90</v>
      </c>
      <c r="E45940" t="s">
        <v>158</v>
      </c>
      <c r="F45940" s="2" t="str">
        <f>HYPERLINK("http://www.otzar.org/book.asp?620881","תרגום מגילת אסתר &lt;יונה דדהבא&gt;")</f>
        <v>תרגום מגילת אסתר &lt;יונה דדהבא&gt;</v>
      </c>
    </row>
    <row r="45941" spans="1:6" x14ac:dyDescent="0.2">
      <c r="A45941" t="s">
        <v>69026</v>
      </c>
      <c r="B45941" t="s">
        <v>69025</v>
      </c>
      <c r="C45941" t="s">
        <v>20</v>
      </c>
      <c r="D45941" t="s">
        <v>90</v>
      </c>
      <c r="E45941" t="s">
        <v>158</v>
      </c>
      <c r="F45941" s="2" t="str">
        <f>HYPERLINK("http://www.otzar.org/book.asp?620880","תרגום מגילת קהלת &lt;יונה דדהבא&gt;")</f>
        <v>תרגום מגילת קהלת &lt;יונה דדהבא&gt;</v>
      </c>
    </row>
    <row r="45942" spans="1:6" x14ac:dyDescent="0.2">
      <c r="A45942" t="s">
        <v>69027</v>
      </c>
      <c r="B45942" t="s">
        <v>69025</v>
      </c>
      <c r="C45942" t="s">
        <v>20</v>
      </c>
      <c r="D45942" t="s">
        <v>90</v>
      </c>
      <c r="E45942" t="s">
        <v>158</v>
      </c>
      <c r="F45942" s="2" t="str">
        <f>HYPERLINK("http://www.otzar.org/book.asp?620879","תרגום מגילת רות &lt;יונה דדהבא&gt;")</f>
        <v>תרגום מגילת רות &lt;יונה דדהבא&gt;</v>
      </c>
    </row>
    <row r="45943" spans="1:6" x14ac:dyDescent="0.2">
      <c r="A45943" t="s">
        <v>69028</v>
      </c>
      <c r="B45943" t="s">
        <v>69025</v>
      </c>
      <c r="C45943" t="s">
        <v>20</v>
      </c>
      <c r="D45943" t="s">
        <v>90</v>
      </c>
      <c r="E45943" t="s">
        <v>158</v>
      </c>
      <c r="F45943" s="2" t="str">
        <f>HYPERLINK("http://www.otzar.org/book.asp?620878","תרגום מגילת שיר השירים &lt;יונה דדהבא&gt;")</f>
        <v>תרגום מגילת שיר השירים &lt;יונה דדהבא&gt;</v>
      </c>
    </row>
    <row r="45944" spans="1:6" x14ac:dyDescent="0.2">
      <c r="A45944" t="s">
        <v>69029</v>
      </c>
      <c r="B45944" t="s">
        <v>4840</v>
      </c>
      <c r="C45944" t="s">
        <v>1096</v>
      </c>
      <c r="D45944" t="s">
        <v>15943</v>
      </c>
      <c r="F45944" s="2" t="str">
        <f>HYPERLINK("http://www.otzar.org/book.asp?603916","תרגום ספר איוב וביאורו")</f>
        <v>תרגום ספר איוב וביאורו</v>
      </c>
    </row>
    <row r="45945" spans="1:6" x14ac:dyDescent="0.2">
      <c r="A45945" t="s">
        <v>69030</v>
      </c>
      <c r="B45945" t="s">
        <v>69031</v>
      </c>
      <c r="C45945" t="s">
        <v>550</v>
      </c>
      <c r="D45945" t="s">
        <v>18373</v>
      </c>
      <c r="E45945" t="s">
        <v>158</v>
      </c>
      <c r="F45945" s="2" t="str">
        <f>HYPERLINK("http://www.otzar.org/book.asp?103818","תרגום של דברי הימים")</f>
        <v>תרגום של דברי הימים</v>
      </c>
    </row>
    <row r="45946" spans="1:6" x14ac:dyDescent="0.2">
      <c r="A45946" t="s">
        <v>69032</v>
      </c>
      <c r="B45946" t="s">
        <v>69025</v>
      </c>
      <c r="C45946" t="s">
        <v>244</v>
      </c>
      <c r="D45946" t="s">
        <v>90</v>
      </c>
      <c r="F45946" s="2" t="str">
        <f>HYPERLINK("http://www.otzar.org/book.asp?619011","תרגום שני &lt;יונה דדהבא&gt;")</f>
        <v>תרגום שני &lt;יונה דדהבא&gt;</v>
      </c>
    </row>
    <row r="45947" spans="1:6" x14ac:dyDescent="0.2">
      <c r="A45947" t="s">
        <v>69033</v>
      </c>
      <c r="B45947" t="s">
        <v>69034</v>
      </c>
      <c r="C45947" t="s">
        <v>5823</v>
      </c>
      <c r="D45947" t="s">
        <v>4352</v>
      </c>
      <c r="E45947" t="s">
        <v>579</v>
      </c>
      <c r="F45947" s="2" t="str">
        <f>HYPERLINK("http://www.otzar.org/book.asp?188697","תרגום שני")</f>
        <v>תרגום שני</v>
      </c>
    </row>
    <row r="45948" spans="1:6" x14ac:dyDescent="0.2">
      <c r="A45948" t="s">
        <v>69033</v>
      </c>
      <c r="B45948" t="s">
        <v>69035</v>
      </c>
      <c r="C45948" t="s">
        <v>812</v>
      </c>
      <c r="D45948" t="s">
        <v>260</v>
      </c>
      <c r="E45948" t="s">
        <v>158</v>
      </c>
      <c r="F45948" s="2" t="str">
        <f>HYPERLINK("http://www.otzar.org/book.asp?14498","תרגום שני")</f>
        <v>תרגום שני</v>
      </c>
    </row>
    <row r="45949" spans="1:6" x14ac:dyDescent="0.2">
      <c r="A45949" t="s">
        <v>69036</v>
      </c>
      <c r="B45949" t="s">
        <v>23488</v>
      </c>
      <c r="C45949" t="s">
        <v>286</v>
      </c>
      <c r="D45949" t="s">
        <v>947</v>
      </c>
      <c r="E45949" t="s">
        <v>2135</v>
      </c>
      <c r="F45949" s="2" t="str">
        <f>HYPERLINK("http://www.otzar.org/book.asp?103821","תרגומא דהתרגום")</f>
        <v>תרגומא דהתרגום</v>
      </c>
    </row>
    <row r="45950" spans="1:6" x14ac:dyDescent="0.2">
      <c r="A45950" t="s">
        <v>69037</v>
      </c>
      <c r="B45950" t="s">
        <v>69038</v>
      </c>
      <c r="C45950" t="s">
        <v>37664</v>
      </c>
      <c r="D45950" t="s">
        <v>280</v>
      </c>
      <c r="E45950" t="s">
        <v>158</v>
      </c>
      <c r="F45950" s="2" t="str">
        <f>HYPERLINK("http://www.otzar.org/book.asp?105561","תרגומנא - 5 כר'")</f>
        <v>תרגומנא - 5 כר'</v>
      </c>
    </row>
    <row r="45951" spans="1:6" x14ac:dyDescent="0.2">
      <c r="A45951" t="s">
        <v>69039</v>
      </c>
      <c r="B45951" t="s">
        <v>46585</v>
      </c>
      <c r="C45951" t="s">
        <v>1885</v>
      </c>
      <c r="D45951" t="s">
        <v>27</v>
      </c>
      <c r="E45951" t="s">
        <v>158</v>
      </c>
      <c r="F45951" s="2" t="str">
        <f>HYPERLINK("http://www.otzar.org/book.asp?101071","תרגם אברהם")</f>
        <v>תרגם אברהם</v>
      </c>
    </row>
    <row r="45952" spans="1:6" x14ac:dyDescent="0.2">
      <c r="A45952" t="s">
        <v>69040</v>
      </c>
      <c r="B45952" t="s">
        <v>69041</v>
      </c>
      <c r="C45952" t="s">
        <v>244</v>
      </c>
      <c r="D45952" t="s">
        <v>14</v>
      </c>
      <c r="E45952" t="s">
        <v>130</v>
      </c>
      <c r="F45952" s="2" t="str">
        <f>HYPERLINK("http://www.otzar.org/book.asp?620461","תרומת הדשן &lt;מהדורה חדשה&gt; הלכות חנוכה ופורים")</f>
        <v>תרומת הדשן &lt;מהדורה חדשה&gt; הלכות חנוכה ופורים</v>
      </c>
    </row>
    <row r="45953" spans="1:6" x14ac:dyDescent="0.2">
      <c r="A45953" t="s">
        <v>69042</v>
      </c>
      <c r="B45953" t="s">
        <v>9226</v>
      </c>
      <c r="C45953" t="s">
        <v>143</v>
      </c>
      <c r="D45953" t="s">
        <v>14</v>
      </c>
      <c r="E45953" t="s">
        <v>10</v>
      </c>
      <c r="F45953" s="2" t="str">
        <f>HYPERLINK("http://www.otzar.org/book.asp?22865","תרומת הדשן &lt;מהדורת אביטן&gt; - 2 כר'")</f>
        <v>תרומת הדשן &lt;מהדורת אביטן&gt; - 2 כר'</v>
      </c>
    </row>
    <row r="45954" spans="1:6" x14ac:dyDescent="0.2">
      <c r="A45954" t="s">
        <v>69043</v>
      </c>
      <c r="B45954" t="s">
        <v>9226</v>
      </c>
      <c r="C45954" t="s">
        <v>244</v>
      </c>
      <c r="D45954" t="s">
        <v>14</v>
      </c>
      <c r="F45954" s="2" t="str">
        <f>HYPERLINK("http://www.otzar.org/book.asp?198691","תרומת הדשן &lt;מהדורת אור החיים&gt;")</f>
        <v>תרומת הדשן &lt;מהדורת אור החיים&gt;</v>
      </c>
    </row>
    <row r="45955" spans="1:6" x14ac:dyDescent="0.2">
      <c r="A45955" t="s">
        <v>69044</v>
      </c>
      <c r="B45955" t="s">
        <v>9226</v>
      </c>
      <c r="C45955" t="s">
        <v>9310</v>
      </c>
      <c r="D45955" t="s">
        <v>49</v>
      </c>
      <c r="F45955" s="2" t="str">
        <f>HYPERLINK("http://www.otzar.org/book.asp?152791","תרומת הדשן - 4 כר'")</f>
        <v>תרומת הדשן - 4 כר'</v>
      </c>
    </row>
    <row r="45956" spans="1:6" x14ac:dyDescent="0.2">
      <c r="A45956" t="s">
        <v>69045</v>
      </c>
      <c r="B45956" t="s">
        <v>69046</v>
      </c>
      <c r="C45956" t="s">
        <v>568</v>
      </c>
      <c r="D45956" t="s">
        <v>212</v>
      </c>
      <c r="E45956" t="s">
        <v>583</v>
      </c>
      <c r="F45956" s="2" t="str">
        <f>HYPERLINK("http://www.otzar.org/book.asp?103823","תרומת הקדש")</f>
        <v>תרומת הקדש</v>
      </c>
    </row>
    <row r="45957" spans="1:6" x14ac:dyDescent="0.2">
      <c r="A45957" t="s">
        <v>69047</v>
      </c>
      <c r="B45957" t="s">
        <v>69046</v>
      </c>
      <c r="C45957" t="s">
        <v>422</v>
      </c>
      <c r="D45957" t="s">
        <v>21</v>
      </c>
      <c r="E45957" t="s">
        <v>674</v>
      </c>
      <c r="F45957" s="2" t="str">
        <f>HYPERLINK("http://www.otzar.org/book.asp?198226","תרומת הקודש &lt;מהדורה חדשה&gt;")</f>
        <v>תרומת הקודש &lt;מהדורה חדשה&gt;</v>
      </c>
    </row>
    <row r="45958" spans="1:6" x14ac:dyDescent="0.2">
      <c r="A45958" t="s">
        <v>69048</v>
      </c>
      <c r="B45958" t="s">
        <v>50415</v>
      </c>
      <c r="C45958" t="s">
        <v>454</v>
      </c>
      <c r="D45958" t="s">
        <v>52</v>
      </c>
      <c r="E45958" t="s">
        <v>19164</v>
      </c>
      <c r="F45958" s="2" t="str">
        <f>HYPERLINK("http://www.otzar.org/book.asp?50401","תרומת השקל")</f>
        <v>תרומת השקל</v>
      </c>
    </row>
    <row r="45959" spans="1:6" x14ac:dyDescent="0.2">
      <c r="A45959" t="s">
        <v>69049</v>
      </c>
      <c r="B45959" t="s">
        <v>69050</v>
      </c>
      <c r="C45959" t="s">
        <v>1335</v>
      </c>
      <c r="D45959" t="s">
        <v>283</v>
      </c>
      <c r="E45959" t="s">
        <v>8469</v>
      </c>
      <c r="F45959" s="2" t="str">
        <f>HYPERLINK("http://www.otzar.org/book.asp?7307","תרומת זהב")</f>
        <v>תרומת זהב</v>
      </c>
    </row>
    <row r="45960" spans="1:6" x14ac:dyDescent="0.2">
      <c r="A45960" t="s">
        <v>69051</v>
      </c>
      <c r="B45960" t="s">
        <v>69052</v>
      </c>
      <c r="C45960" t="s">
        <v>237</v>
      </c>
      <c r="D45960" t="s">
        <v>27</v>
      </c>
      <c r="E45960" t="s">
        <v>84</v>
      </c>
      <c r="F45960" s="2" t="str">
        <f>HYPERLINK("http://www.otzar.org/book.asp?9841","תרומת חלה")</f>
        <v>תרומת חלה</v>
      </c>
    </row>
    <row r="45961" spans="1:6" x14ac:dyDescent="0.2">
      <c r="A45961" t="s">
        <v>69051</v>
      </c>
      <c r="B45961" t="s">
        <v>69053</v>
      </c>
      <c r="C45961" t="s">
        <v>189</v>
      </c>
      <c r="D45961" t="s">
        <v>147</v>
      </c>
      <c r="E45961" t="s">
        <v>3489</v>
      </c>
      <c r="F45961" s="2" t="str">
        <f>HYPERLINK("http://www.otzar.org/book.asp?157823","תרומת חלה")</f>
        <v>תרומת חלה</v>
      </c>
    </row>
    <row r="45962" spans="1:6" x14ac:dyDescent="0.2">
      <c r="A45962" t="s">
        <v>69054</v>
      </c>
      <c r="B45962" t="s">
        <v>61418</v>
      </c>
      <c r="C45962" t="s">
        <v>1458</v>
      </c>
      <c r="D45962" t="s">
        <v>56</v>
      </c>
      <c r="E45962" t="s">
        <v>154</v>
      </c>
      <c r="F45962" s="2" t="str">
        <f>HYPERLINK("http://www.otzar.org/book.asp?10824","תרומת יד")</f>
        <v>תרומת יד</v>
      </c>
    </row>
    <row r="45963" spans="1:6" x14ac:dyDescent="0.2">
      <c r="A45963" t="s">
        <v>69054</v>
      </c>
      <c r="B45963" t="s">
        <v>16727</v>
      </c>
      <c r="D45963" t="s">
        <v>412</v>
      </c>
      <c r="E45963" t="s">
        <v>1211</v>
      </c>
      <c r="F45963" s="2" t="str">
        <f>HYPERLINK("http://www.otzar.org/book.asp?172582","תרומת יד")</f>
        <v>תרומת יד</v>
      </c>
    </row>
    <row r="45964" spans="1:6" x14ac:dyDescent="0.2">
      <c r="A45964" t="s">
        <v>69055</v>
      </c>
      <c r="B45964" t="s">
        <v>69056</v>
      </c>
      <c r="C45964" t="s">
        <v>244</v>
      </c>
      <c r="D45964" t="s">
        <v>1156</v>
      </c>
      <c r="E45964" t="s">
        <v>463</v>
      </c>
      <c r="F45964" s="2" t="str">
        <f>HYPERLINK("http://www.otzar.org/book.asp?608580","תרומת ידך")</f>
        <v>תרומת ידך</v>
      </c>
    </row>
    <row r="45965" spans="1:6" x14ac:dyDescent="0.2">
      <c r="A45965" t="s">
        <v>69057</v>
      </c>
      <c r="B45965" t="s">
        <v>3768</v>
      </c>
      <c r="C45965" t="s">
        <v>20</v>
      </c>
      <c r="D45965" t="s">
        <v>90</v>
      </c>
      <c r="E45965" t="s">
        <v>84</v>
      </c>
      <c r="F45965" s="2" t="str">
        <f>HYPERLINK("http://www.otzar.org/book.asp?143618","תרומת יעקב")</f>
        <v>תרומת יעקב</v>
      </c>
    </row>
    <row r="45966" spans="1:6" x14ac:dyDescent="0.2">
      <c r="A45966" t="s">
        <v>69057</v>
      </c>
      <c r="B45966" t="s">
        <v>69058</v>
      </c>
      <c r="C45966" t="s">
        <v>360</v>
      </c>
      <c r="D45966" t="s">
        <v>56</v>
      </c>
      <c r="E45966" t="s">
        <v>69059</v>
      </c>
      <c r="F45966" s="2" t="str">
        <f>HYPERLINK("http://www.otzar.org/book.asp?102677","תרומת יעקב")</f>
        <v>תרומת יעקב</v>
      </c>
    </row>
    <row r="45967" spans="1:6" x14ac:dyDescent="0.2">
      <c r="A45967" t="s">
        <v>69060</v>
      </c>
      <c r="B45967" t="s">
        <v>28317</v>
      </c>
      <c r="C45967" t="s">
        <v>362</v>
      </c>
      <c r="D45967" t="s">
        <v>283</v>
      </c>
      <c r="E45967" t="s">
        <v>172</v>
      </c>
      <c r="F45967" s="2" t="str">
        <f>HYPERLINK("http://www.otzar.org/book.asp?101456","תרומת יצחק")</f>
        <v>תרומת יצחק</v>
      </c>
    </row>
    <row r="45968" spans="1:6" x14ac:dyDescent="0.2">
      <c r="A45968" t="s">
        <v>69061</v>
      </c>
      <c r="B45968" t="s">
        <v>10759</v>
      </c>
      <c r="C45968" t="s">
        <v>523</v>
      </c>
      <c r="D45968" t="s">
        <v>2319</v>
      </c>
      <c r="E45968" t="s">
        <v>2633</v>
      </c>
      <c r="F45968" s="2" t="str">
        <f>HYPERLINK("http://www.otzar.org/book.asp?15170","תרומת כהן")</f>
        <v>תרומת כהן</v>
      </c>
    </row>
    <row r="45969" spans="1:6" x14ac:dyDescent="0.2">
      <c r="A45969" t="s">
        <v>69062</v>
      </c>
      <c r="B45969" t="s">
        <v>69063</v>
      </c>
      <c r="C45969" t="s">
        <v>843</v>
      </c>
      <c r="D45969" t="s">
        <v>68924</v>
      </c>
      <c r="F45969" s="2" t="str">
        <f>HYPERLINK("http://www.otzar.org/book.asp?620114","תרומת משה - 2 כר'")</f>
        <v>תרומת משה - 2 כר'</v>
      </c>
    </row>
    <row r="45970" spans="1:6" x14ac:dyDescent="0.2">
      <c r="A45970" t="s">
        <v>69064</v>
      </c>
      <c r="B45970" t="s">
        <v>69065</v>
      </c>
      <c r="C45970" t="s">
        <v>8</v>
      </c>
      <c r="D45970" t="s">
        <v>995</v>
      </c>
      <c r="E45970" t="s">
        <v>144</v>
      </c>
      <c r="F45970" s="2" t="str">
        <f>HYPERLINK("http://www.otzar.org/book.asp?52114","תרומת ציון")</f>
        <v>תרומת ציון</v>
      </c>
    </row>
    <row r="45971" spans="1:6" x14ac:dyDescent="0.2">
      <c r="A45971" t="s">
        <v>69066</v>
      </c>
      <c r="B45971" t="s">
        <v>5932</v>
      </c>
      <c r="C45971" t="s">
        <v>71</v>
      </c>
      <c r="D45971" t="s">
        <v>108</v>
      </c>
      <c r="E45971" t="s">
        <v>2091</v>
      </c>
      <c r="F45971" s="2" t="str">
        <f>HYPERLINK("http://www.otzar.org/book.asp?26099","תרומת שמעון")</f>
        <v>תרומת שמעון</v>
      </c>
    </row>
    <row r="45972" spans="1:6" x14ac:dyDescent="0.2">
      <c r="A45972" t="s">
        <v>69067</v>
      </c>
      <c r="B45972" t="s">
        <v>30518</v>
      </c>
      <c r="C45972" t="s">
        <v>244</v>
      </c>
      <c r="D45972" t="s">
        <v>14</v>
      </c>
      <c r="E45972" t="s">
        <v>158</v>
      </c>
      <c r="F45972" s="2" t="str">
        <f>HYPERLINK("http://www.otzar.org/book.asp?197805","תרון נפשי - 2 כר'")</f>
        <v>תרון נפשי - 2 כר'</v>
      </c>
    </row>
    <row r="45973" spans="1:6" x14ac:dyDescent="0.2">
      <c r="A45973" t="s">
        <v>69068</v>
      </c>
      <c r="B45973" t="s">
        <v>26442</v>
      </c>
      <c r="C45973" t="s">
        <v>576</v>
      </c>
      <c r="D45973" t="s">
        <v>10393</v>
      </c>
      <c r="E45973" t="s">
        <v>144</v>
      </c>
      <c r="F45973" s="2" t="str">
        <f>HYPERLINK("http://www.otzar.org/book.asp?9860","תרועת מלך")</f>
        <v>תרועת מלך</v>
      </c>
    </row>
    <row r="45974" spans="1:6" x14ac:dyDescent="0.2">
      <c r="A45974" t="s">
        <v>69068</v>
      </c>
      <c r="B45974" t="s">
        <v>30955</v>
      </c>
      <c r="C45974" t="s">
        <v>1535</v>
      </c>
      <c r="D45974" t="s">
        <v>14</v>
      </c>
      <c r="E45974" t="s">
        <v>158</v>
      </c>
      <c r="F45974" s="2" t="str">
        <f>HYPERLINK("http://www.otzar.org/book.asp?157696","תרועת מלך")</f>
        <v>תרועת מלך</v>
      </c>
    </row>
    <row r="45975" spans="1:6" x14ac:dyDescent="0.2">
      <c r="A45975" t="s">
        <v>69069</v>
      </c>
      <c r="B45975" t="s">
        <v>7629</v>
      </c>
      <c r="C45975" t="s">
        <v>133</v>
      </c>
      <c r="D45975" t="s">
        <v>14</v>
      </c>
      <c r="E45975" t="s">
        <v>1517</v>
      </c>
      <c r="F45975" s="2" t="str">
        <f>HYPERLINK("http://www.otzar.org/book.asp?616140","תרחם ציון")</f>
        <v>תרחם ציון</v>
      </c>
    </row>
    <row r="45976" spans="1:6" x14ac:dyDescent="0.2">
      <c r="A45976" t="s">
        <v>69069</v>
      </c>
      <c r="B45976" t="s">
        <v>69070</v>
      </c>
      <c r="C45976" t="s">
        <v>176</v>
      </c>
      <c r="D45976" t="s">
        <v>2375</v>
      </c>
      <c r="E45976" t="s">
        <v>8469</v>
      </c>
      <c r="F45976" s="2" t="str">
        <f>HYPERLINK("http://www.otzar.org/book.asp?25756","תרחם ציון")</f>
        <v>תרחם ציון</v>
      </c>
    </row>
    <row r="45977" spans="1:6" x14ac:dyDescent="0.2">
      <c r="A45977" t="s">
        <v>69071</v>
      </c>
      <c r="B45977" t="s">
        <v>69072</v>
      </c>
      <c r="C45977" t="s">
        <v>506</v>
      </c>
      <c r="D45977" t="s">
        <v>27</v>
      </c>
      <c r="E45977" t="s">
        <v>733</v>
      </c>
      <c r="F45977" s="2" t="str">
        <f>HYPERLINK("http://www.otzar.org/book.asp?148075","תרי חד בדרא")</f>
        <v>תרי חד בדרא</v>
      </c>
    </row>
    <row r="45978" spans="1:6" x14ac:dyDescent="0.2">
      <c r="A45978" t="s">
        <v>69073</v>
      </c>
      <c r="B45978" t="s">
        <v>15380</v>
      </c>
      <c r="C45978" t="s">
        <v>1058</v>
      </c>
      <c r="D45978" t="s">
        <v>56</v>
      </c>
      <c r="E45978" t="s">
        <v>957</v>
      </c>
      <c r="F45978" s="2" t="str">
        <f>HYPERLINK("http://www.otzar.org/book.asp?102510","תרי עשר &lt;כפלים לתושיה, משל ומליצה, מפורש, דברי חכמים&gt;")</f>
        <v>תרי עשר &lt;כפלים לתושיה, משל ומליצה, מפורש, דברי חכמים&gt;</v>
      </c>
    </row>
    <row r="45979" spans="1:6" x14ac:dyDescent="0.2">
      <c r="A45979" t="s">
        <v>69074</v>
      </c>
      <c r="B45979" t="s">
        <v>2816</v>
      </c>
      <c r="C45979" t="s">
        <v>133</v>
      </c>
      <c r="D45979" t="s">
        <v>486</v>
      </c>
      <c r="E45979" t="s">
        <v>674</v>
      </c>
      <c r="F45979" s="2" t="str">
        <f>HYPERLINK("http://www.otzar.org/book.asp?180779","תרי""ג המצות מבוארות ומוסברות")</f>
        <v>תרי"ג המצות מבוארות ומוסברות</v>
      </c>
    </row>
    <row r="45980" spans="1:6" x14ac:dyDescent="0.2">
      <c r="A45980" t="s">
        <v>69075</v>
      </c>
      <c r="B45980" t="s">
        <v>21473</v>
      </c>
      <c r="C45980" t="s">
        <v>438</v>
      </c>
      <c r="D45980" t="s">
        <v>52</v>
      </c>
      <c r="E45980" t="s">
        <v>104</v>
      </c>
      <c r="F45980" s="2" t="str">
        <f>HYPERLINK("http://www.otzar.org/book.asp?63615","תרי""ג מצוות בהלכה ובאגדה - 8 כר'")</f>
        <v>תרי"ג מצוות בהלכה ובאגדה - 8 כר'</v>
      </c>
    </row>
    <row r="45981" spans="1:6" x14ac:dyDescent="0.2">
      <c r="A45981" t="s">
        <v>69076</v>
      </c>
      <c r="B45981" t="s">
        <v>69077</v>
      </c>
      <c r="D45981" t="s">
        <v>14</v>
      </c>
      <c r="E45981" t="s">
        <v>104</v>
      </c>
      <c r="F45981" s="2" t="str">
        <f>HYPERLINK("http://www.otzar.org/book.asp?188877","תרי""ג מצוות השלם - 5 כר'")</f>
        <v>תרי"ג מצוות השלם - 5 כר'</v>
      </c>
    </row>
    <row r="45982" spans="1:6" x14ac:dyDescent="0.2">
      <c r="A45982" t="s">
        <v>69078</v>
      </c>
      <c r="B45982" t="s">
        <v>69079</v>
      </c>
      <c r="C45982" t="s">
        <v>908</v>
      </c>
      <c r="D45982" t="s">
        <v>379</v>
      </c>
      <c r="E45982" t="s">
        <v>104</v>
      </c>
      <c r="F45982" s="2" t="str">
        <f>HYPERLINK("http://www.otzar.org/book.asp?20169","תרי""ג מצות (מחולק לימי השבוע)")</f>
        <v>תרי"ג מצות (מחולק לימי השבוע)</v>
      </c>
    </row>
    <row r="45983" spans="1:6" x14ac:dyDescent="0.2">
      <c r="A45983" t="s">
        <v>69080</v>
      </c>
      <c r="B45983" t="s">
        <v>5218</v>
      </c>
      <c r="C45983" t="s">
        <v>63</v>
      </c>
      <c r="D45983" t="s">
        <v>14</v>
      </c>
      <c r="E45983" t="s">
        <v>4738</v>
      </c>
      <c r="F45983" s="2" t="str">
        <f>HYPERLINK("http://www.otzar.org/book.asp?53654","תרי""ג מצות בעשרת הדברות")</f>
        <v>תרי"ג מצות בעשרת הדברות</v>
      </c>
    </row>
    <row r="45984" spans="1:6" x14ac:dyDescent="0.2">
      <c r="A45984" t="s">
        <v>69081</v>
      </c>
      <c r="B45984" t="s">
        <v>69082</v>
      </c>
      <c r="C45984" t="s">
        <v>13</v>
      </c>
      <c r="D45984" t="s">
        <v>14</v>
      </c>
      <c r="E45984" t="s">
        <v>674</v>
      </c>
      <c r="F45984" s="2" t="str">
        <f>HYPERLINK("http://www.otzar.org/book.asp?173348","תרי""ג מצות ודקדוקיהן")</f>
        <v>תרי"ג מצות ודקדוקיהן</v>
      </c>
    </row>
    <row r="45985" spans="1:6" x14ac:dyDescent="0.2">
      <c r="A45985" t="s">
        <v>69079</v>
      </c>
      <c r="B45985" t="s">
        <v>1990</v>
      </c>
      <c r="C45985" t="s">
        <v>1278</v>
      </c>
      <c r="D45985" t="s">
        <v>292</v>
      </c>
      <c r="E45985" t="s">
        <v>104</v>
      </c>
      <c r="F45985" s="2" t="str">
        <f>HYPERLINK("http://www.otzar.org/book.asp?107194","תרי""ג מצות")</f>
        <v>תרי"ג מצות</v>
      </c>
    </row>
    <row r="45986" spans="1:6" x14ac:dyDescent="0.2">
      <c r="A45986" t="s">
        <v>69083</v>
      </c>
      <c r="B45986" t="s">
        <v>69084</v>
      </c>
      <c r="C45986" t="s">
        <v>99</v>
      </c>
      <c r="D45986" t="s">
        <v>9</v>
      </c>
      <c r="E45986" t="s">
        <v>1262</v>
      </c>
      <c r="F45986" s="2" t="str">
        <f>HYPERLINK("http://www.otzar.org/book.asp?101996","תרי""ג מצות - 2 כר'")</f>
        <v>תרי"ג מצות - 2 כר'</v>
      </c>
    </row>
    <row r="45987" spans="1:6" x14ac:dyDescent="0.2">
      <c r="A45987" t="s">
        <v>69079</v>
      </c>
      <c r="B45987" t="s">
        <v>37403</v>
      </c>
      <c r="C45987" t="s">
        <v>224</v>
      </c>
      <c r="D45987" t="s">
        <v>27</v>
      </c>
      <c r="E45987" t="s">
        <v>15</v>
      </c>
      <c r="F45987" s="2" t="str">
        <f>HYPERLINK("http://www.otzar.org/book.asp?149138","תרי""ג מצות")</f>
        <v>תרי"ג מצות</v>
      </c>
    </row>
    <row r="45988" spans="1:6" x14ac:dyDescent="0.2">
      <c r="A45988" t="s">
        <v>69079</v>
      </c>
      <c r="B45988" t="s">
        <v>18568</v>
      </c>
      <c r="C45988" t="s">
        <v>908</v>
      </c>
      <c r="D45988" t="s">
        <v>13171</v>
      </c>
      <c r="E45988" t="s">
        <v>104</v>
      </c>
      <c r="F45988" s="2" t="str">
        <f>HYPERLINK("http://www.otzar.org/book.asp?161165","תרי""ג מצות")</f>
        <v>תרי"ג מצות</v>
      </c>
    </row>
    <row r="45989" spans="1:6" x14ac:dyDescent="0.2">
      <c r="A45989" t="s">
        <v>69085</v>
      </c>
      <c r="B45989" t="s">
        <v>3166</v>
      </c>
      <c r="C45989" t="s">
        <v>624</v>
      </c>
      <c r="D45989" t="s">
        <v>14</v>
      </c>
      <c r="E45989" t="s">
        <v>144</v>
      </c>
      <c r="F45989" s="2" t="str">
        <f>HYPERLINK("http://www.otzar.org/book.asp?200373","תרנן לשוני")</f>
        <v>תרנן לשוני</v>
      </c>
    </row>
    <row r="45990" spans="1:6" x14ac:dyDescent="0.2">
      <c r="A45990" t="s">
        <v>69086</v>
      </c>
      <c r="B45990" t="s">
        <v>18752</v>
      </c>
      <c r="C45990" t="s">
        <v>20</v>
      </c>
      <c r="D45990" t="s">
        <v>14</v>
      </c>
      <c r="E45990" t="s">
        <v>2091</v>
      </c>
      <c r="F45990" s="2" t="str">
        <f>HYPERLINK("http://www.otzar.org/book.asp?180753","תרעא זעירא לנחמתא")</f>
        <v>תרעא זעירא לנחמתא</v>
      </c>
    </row>
    <row r="45991" spans="1:6" x14ac:dyDescent="0.2">
      <c r="A45991" t="s">
        <v>69087</v>
      </c>
      <c r="B45991" t="s">
        <v>565</v>
      </c>
      <c r="C45991" t="s">
        <v>854</v>
      </c>
      <c r="D45991" t="s">
        <v>225</v>
      </c>
      <c r="E45991" t="s">
        <v>154</v>
      </c>
      <c r="F45991" s="2" t="str">
        <f>HYPERLINK("http://www.otzar.org/book.asp?52057","תרשיש שהם")</f>
        <v>תרשיש שהם</v>
      </c>
    </row>
    <row r="45992" spans="1:6" x14ac:dyDescent="0.2">
      <c r="A45992" t="s">
        <v>69088</v>
      </c>
      <c r="B45992" t="s">
        <v>12985</v>
      </c>
      <c r="C45992" t="s">
        <v>1609</v>
      </c>
      <c r="D45992" t="s">
        <v>59027</v>
      </c>
      <c r="E45992" t="s">
        <v>674</v>
      </c>
      <c r="F45992" s="2" t="str">
        <f>HYPERLINK("http://www.otzar.org/book.asp?179105","תרתי לריעותא - ב")</f>
        <v>תרתי לריעותא - ב</v>
      </c>
    </row>
    <row r="45993" spans="1:6" x14ac:dyDescent="0.2">
      <c r="A45993" t="s">
        <v>69089</v>
      </c>
      <c r="B45993" t="s">
        <v>59532</v>
      </c>
      <c r="C45993" t="s">
        <v>1058</v>
      </c>
      <c r="D45993" t="s">
        <v>76</v>
      </c>
      <c r="E45993" t="s">
        <v>241</v>
      </c>
      <c r="F45993" s="2" t="str">
        <f>HYPERLINK("http://www.otzar.org/book.asp?171297","תשב אנוש")</f>
        <v>תשב אנוש</v>
      </c>
    </row>
    <row r="45994" spans="1:6" x14ac:dyDescent="0.2">
      <c r="A45994" t="s">
        <v>69090</v>
      </c>
      <c r="B45994" t="s">
        <v>69091</v>
      </c>
      <c r="C45994" t="s">
        <v>8</v>
      </c>
      <c r="D45994" t="s">
        <v>16978</v>
      </c>
      <c r="E45994" t="s">
        <v>158</v>
      </c>
      <c r="F45994" s="2" t="str">
        <f>HYPERLINK("http://www.otzar.org/book.asp?149173","תשב""י על פרשיות התורה")</f>
        <v>תשב"י על פרשיות התורה</v>
      </c>
    </row>
    <row r="45995" spans="1:6" x14ac:dyDescent="0.2">
      <c r="A45995" t="s">
        <v>69092</v>
      </c>
      <c r="B45995" t="s">
        <v>69093</v>
      </c>
      <c r="C45995" t="s">
        <v>624</v>
      </c>
      <c r="D45995" t="s">
        <v>14</v>
      </c>
      <c r="E45995" t="s">
        <v>15</v>
      </c>
      <c r="F45995" s="2" t="str">
        <f>HYPERLINK("http://www.otzar.org/book.asp?53147","תשואות חן")</f>
        <v>תשואות חן</v>
      </c>
    </row>
    <row r="45996" spans="1:6" x14ac:dyDescent="0.2">
      <c r="A45996" t="s">
        <v>69094</v>
      </c>
      <c r="B45996" t="s">
        <v>69095</v>
      </c>
      <c r="C45996" t="s">
        <v>12509</v>
      </c>
      <c r="D45996" t="s">
        <v>27</v>
      </c>
      <c r="E45996" t="s">
        <v>213</v>
      </c>
      <c r="F45996" s="2" t="str">
        <f>HYPERLINK("http://www.otzar.org/book.asp?100534","תשואות חן - 2 כר'")</f>
        <v>תשואות חן - 2 כר'</v>
      </c>
    </row>
    <row r="45997" spans="1:6" x14ac:dyDescent="0.2">
      <c r="A45997" t="s">
        <v>69096</v>
      </c>
      <c r="B45997" t="s">
        <v>69097</v>
      </c>
      <c r="C45997" t="s">
        <v>585</v>
      </c>
      <c r="D45997" t="s">
        <v>412</v>
      </c>
      <c r="E45997" t="s">
        <v>1185</v>
      </c>
      <c r="F45997" s="2" t="str">
        <f>HYPERLINK("http://www.otzar.org/book.asp?105846","תשואות חן - 3 כר'")</f>
        <v>תשואות חן - 3 כר'</v>
      </c>
    </row>
    <row r="45998" spans="1:6" x14ac:dyDescent="0.2">
      <c r="A45998" t="s">
        <v>69092</v>
      </c>
      <c r="B45998" t="s">
        <v>32587</v>
      </c>
      <c r="C45998" t="s">
        <v>189</v>
      </c>
      <c r="D45998" t="s">
        <v>14</v>
      </c>
      <c r="E45998" t="s">
        <v>158</v>
      </c>
      <c r="F45998" s="2" t="str">
        <f>HYPERLINK("http://www.otzar.org/book.asp?152261","תשואות חן")</f>
        <v>תשואות חן</v>
      </c>
    </row>
    <row r="45999" spans="1:6" x14ac:dyDescent="0.2">
      <c r="A45999" t="s">
        <v>69098</v>
      </c>
      <c r="B45999" t="s">
        <v>38633</v>
      </c>
      <c r="C45999" t="s">
        <v>1659</v>
      </c>
      <c r="D45999" t="s">
        <v>31456</v>
      </c>
      <c r="E45999" t="s">
        <v>930</v>
      </c>
      <c r="F45999" s="2" t="str">
        <f>HYPERLINK("http://www.otzar.org/book.asp?14210","תשואת חן")</f>
        <v>תשואת חן</v>
      </c>
    </row>
    <row r="46000" spans="1:6" x14ac:dyDescent="0.2">
      <c r="A46000" t="s">
        <v>69099</v>
      </c>
      <c r="B46000" t="s">
        <v>69100</v>
      </c>
      <c r="C46000" t="s">
        <v>103</v>
      </c>
      <c r="D46000" t="s">
        <v>3161</v>
      </c>
      <c r="E46000" t="s">
        <v>241</v>
      </c>
      <c r="F46000" s="2" t="str">
        <f>HYPERLINK("http://www.otzar.org/book.asp?603974","תשוב תחיני")</f>
        <v>תשוב תחיני</v>
      </c>
    </row>
    <row r="46001" spans="1:6" x14ac:dyDescent="0.2">
      <c r="A46001" t="s">
        <v>69101</v>
      </c>
      <c r="B46001" t="s">
        <v>69102</v>
      </c>
      <c r="C46001" t="s">
        <v>20</v>
      </c>
      <c r="D46001" t="s">
        <v>14</v>
      </c>
      <c r="E46001" t="s">
        <v>154</v>
      </c>
      <c r="F46001" s="2" t="str">
        <f>HYPERLINK("http://www.otzar.org/book.asp?171081","תשובה בענין הטלת מס על רב")</f>
        <v>תשובה בענין הטלת מס על רב</v>
      </c>
    </row>
    <row r="46002" spans="1:6" x14ac:dyDescent="0.2">
      <c r="A46002" t="s">
        <v>69103</v>
      </c>
      <c r="B46002" t="s">
        <v>69104</v>
      </c>
      <c r="C46002" t="s">
        <v>503</v>
      </c>
      <c r="D46002" t="s">
        <v>11133</v>
      </c>
      <c r="E46002" t="s">
        <v>588</v>
      </c>
      <c r="F46002" s="2" t="str">
        <f>HYPERLINK("http://www.otzar.org/book.asp?85920","תשובה בענין קבורת אינו ישראל בקבר ישראל")</f>
        <v>תשובה בענין קבורת אינו ישראל בקבר ישראל</v>
      </c>
    </row>
    <row r="46003" spans="1:6" x14ac:dyDescent="0.2">
      <c r="A46003" t="s">
        <v>69105</v>
      </c>
      <c r="B46003" t="s">
        <v>69106</v>
      </c>
      <c r="C46003" t="s">
        <v>1036</v>
      </c>
      <c r="D46003" t="s">
        <v>535</v>
      </c>
      <c r="E46003" t="s">
        <v>10</v>
      </c>
      <c r="F46003" s="2" t="str">
        <f>HYPERLINK("http://www.otzar.org/book.asp?101998","תשובה בענין קריאת הכתובה")</f>
        <v>תשובה בענין קריאת הכתובה</v>
      </c>
    </row>
    <row r="46004" spans="1:6" x14ac:dyDescent="0.2">
      <c r="A46004" t="s">
        <v>69107</v>
      </c>
      <c r="B46004" t="s">
        <v>69108</v>
      </c>
      <c r="C46004" t="s">
        <v>558</v>
      </c>
      <c r="D46004" t="s">
        <v>69109</v>
      </c>
      <c r="E46004" t="s">
        <v>130</v>
      </c>
      <c r="F46004" s="2" t="str">
        <f>HYPERLINK("http://www.otzar.org/book.asp?300204","תשובה בענין רחיים של יד (כתב יד)")</f>
        <v>תשובה בענין רחיים של יד (כתב יד)</v>
      </c>
    </row>
    <row r="46005" spans="1:6" x14ac:dyDescent="0.2">
      <c r="A46005" t="s">
        <v>69110</v>
      </c>
      <c r="B46005" t="s">
        <v>69111</v>
      </c>
      <c r="C46005" t="s">
        <v>37</v>
      </c>
      <c r="D46005" t="s">
        <v>852</v>
      </c>
      <c r="E46005" t="s">
        <v>172</v>
      </c>
      <c r="F46005" s="2" t="str">
        <f>HYPERLINK("http://www.otzar.org/book.asp?197660","תשובה ברורה")</f>
        <v>תשובה ברורה</v>
      </c>
    </row>
    <row r="46006" spans="1:6" x14ac:dyDescent="0.2">
      <c r="A46006" t="s">
        <v>69112</v>
      </c>
      <c r="B46006" t="s">
        <v>69113</v>
      </c>
      <c r="C46006" t="s">
        <v>940</v>
      </c>
      <c r="E46006" t="s">
        <v>384</v>
      </c>
      <c r="F46006" s="2" t="str">
        <f>HYPERLINK("http://www.otzar.org/book.asp?61778","תשובה גליון מס' 2 שבט")</f>
        <v>תשובה גליון מס' 2 שבט</v>
      </c>
    </row>
    <row r="46007" spans="1:6" x14ac:dyDescent="0.2">
      <c r="A46007" t="s">
        <v>69114</v>
      </c>
      <c r="B46007" t="s">
        <v>9510</v>
      </c>
      <c r="C46007" t="s">
        <v>422</v>
      </c>
      <c r="D46007" t="s">
        <v>14</v>
      </c>
      <c r="E46007" t="s">
        <v>15</v>
      </c>
      <c r="F46007" s="2" t="str">
        <f>HYPERLINK("http://www.otzar.org/book.asp?163218","תשובה כהלכה")</f>
        <v>תשובה כהלכה</v>
      </c>
    </row>
    <row r="46008" spans="1:6" x14ac:dyDescent="0.2">
      <c r="A46008" t="s">
        <v>69114</v>
      </c>
      <c r="B46008" t="s">
        <v>14880</v>
      </c>
      <c r="C46008" t="s">
        <v>558</v>
      </c>
      <c r="D46008" t="s">
        <v>2181</v>
      </c>
      <c r="E46008" t="s">
        <v>2509</v>
      </c>
      <c r="F46008" s="2" t="str">
        <f>HYPERLINK("http://www.otzar.org/book.asp?20168","תשובה כהלכה")</f>
        <v>תשובה כהלכה</v>
      </c>
    </row>
    <row r="46009" spans="1:6" x14ac:dyDescent="0.2">
      <c r="A46009" t="s">
        <v>69114</v>
      </c>
      <c r="B46009" t="s">
        <v>15161</v>
      </c>
      <c r="C46009" t="s">
        <v>87</v>
      </c>
      <c r="D46009" t="s">
        <v>52</v>
      </c>
      <c r="E46009" t="s">
        <v>154</v>
      </c>
      <c r="F46009" s="2" t="str">
        <f>HYPERLINK("http://www.otzar.org/book.asp?61374","תשובה כהלכה")</f>
        <v>תשובה כהלכה</v>
      </c>
    </row>
    <row r="46010" spans="1:6" x14ac:dyDescent="0.2">
      <c r="A46010" t="s">
        <v>69115</v>
      </c>
      <c r="B46010" t="s">
        <v>3768</v>
      </c>
      <c r="C46010" t="s">
        <v>133</v>
      </c>
      <c r="D46010" t="s">
        <v>14</v>
      </c>
      <c r="E46010" t="s">
        <v>314</v>
      </c>
      <c r="F46010" s="2" t="str">
        <f>HYPERLINK("http://www.otzar.org/book.asp?172047","תשובה לאגרות בספר ים החכמה")</f>
        <v>תשובה לאגרות בספר ים החכמה</v>
      </c>
    </row>
    <row r="46011" spans="1:6" x14ac:dyDescent="0.2">
      <c r="A46011" t="s">
        <v>69116</v>
      </c>
      <c r="B46011" t="s">
        <v>14792</v>
      </c>
      <c r="C46011" t="s">
        <v>422</v>
      </c>
      <c r="D46011" t="s">
        <v>646</v>
      </c>
      <c r="E46011" t="s">
        <v>10</v>
      </c>
      <c r="F46011" s="2" t="str">
        <f>HYPERLINK("http://www.otzar.org/book.asp?150882","תשובה להלכה בענין ברכת החמה")</f>
        <v>תשובה להלכה בענין ברכת החמה</v>
      </c>
    </row>
    <row r="46012" spans="1:6" x14ac:dyDescent="0.2">
      <c r="A46012" t="s">
        <v>69117</v>
      </c>
      <c r="B46012" t="s">
        <v>14837</v>
      </c>
      <c r="C46012" t="s">
        <v>1458</v>
      </c>
      <c r="D46012" t="s">
        <v>535</v>
      </c>
      <c r="E46012" t="s">
        <v>508</v>
      </c>
      <c r="F46012" s="2" t="str">
        <f>HYPERLINK("http://www.otzar.org/book.asp?16774","תשובה למרי דכיא")</f>
        <v>תשובה למרי דכיא</v>
      </c>
    </row>
    <row r="46013" spans="1:6" x14ac:dyDescent="0.2">
      <c r="A46013" t="s">
        <v>69118</v>
      </c>
      <c r="B46013" t="s">
        <v>62802</v>
      </c>
      <c r="C46013" t="s">
        <v>956</v>
      </c>
      <c r="D46013" t="s">
        <v>69119</v>
      </c>
      <c r="E46013" t="s">
        <v>241</v>
      </c>
      <c r="F46013" s="2" t="str">
        <f>HYPERLINK("http://www.otzar.org/book.asp?620440","תשובה מאדמו""ר הגאון רא""י בלוך בענין למודי חול")</f>
        <v>תשובה מאדמו"ר הגאון רא"י בלוך בענין למודי חול</v>
      </c>
    </row>
    <row r="46014" spans="1:6" x14ac:dyDescent="0.2">
      <c r="A46014" t="s">
        <v>69120</v>
      </c>
      <c r="B46014" t="s">
        <v>12152</v>
      </c>
      <c r="C46014" t="s">
        <v>133</v>
      </c>
      <c r="D46014" t="s">
        <v>152</v>
      </c>
      <c r="E46014" t="s">
        <v>15</v>
      </c>
      <c r="F46014" s="2" t="str">
        <f>HYPERLINK("http://www.otzar.org/book.asp?604911","תשובה מאהבה - הלכות תשובה")</f>
        <v>תשובה מאהבה - הלכות תשובה</v>
      </c>
    </row>
    <row r="46015" spans="1:6" x14ac:dyDescent="0.2">
      <c r="A46015" t="s">
        <v>69121</v>
      </c>
      <c r="B46015" t="s">
        <v>4399</v>
      </c>
      <c r="C46015" t="s">
        <v>332</v>
      </c>
      <c r="D46015" t="s">
        <v>15715</v>
      </c>
      <c r="E46015" t="s">
        <v>234</v>
      </c>
      <c r="F46015" s="2" t="str">
        <f>HYPERLINK("http://www.otzar.org/book.asp?195883","תשובה מאהבה")</f>
        <v>תשובה מאהבה</v>
      </c>
    </row>
    <row r="46016" spans="1:6" x14ac:dyDescent="0.2">
      <c r="A46016" t="s">
        <v>69121</v>
      </c>
      <c r="B46016" t="s">
        <v>69122</v>
      </c>
      <c r="C46016" t="s">
        <v>151</v>
      </c>
      <c r="D46016" t="s">
        <v>21</v>
      </c>
      <c r="E46016" t="s">
        <v>588</v>
      </c>
      <c r="F46016" s="2" t="str">
        <f>HYPERLINK("http://www.otzar.org/book.asp?621951","תשובה מאהבה")</f>
        <v>תשובה מאהבה</v>
      </c>
    </row>
    <row r="46017" spans="1:6" x14ac:dyDescent="0.2">
      <c r="A46017" t="s">
        <v>69123</v>
      </c>
      <c r="B46017" t="s">
        <v>1923</v>
      </c>
      <c r="C46017" t="s">
        <v>69124</v>
      </c>
      <c r="D46017" t="s">
        <v>1576</v>
      </c>
      <c r="F46017" s="2" t="str">
        <f>HYPERLINK("http://www.otzar.org/book.asp?620004","תשובה מאהבה - 4 כר'")</f>
        <v>תשובה מאהבה - 4 כר'</v>
      </c>
    </row>
    <row r="46018" spans="1:6" x14ac:dyDescent="0.2">
      <c r="A46018" t="s">
        <v>69121</v>
      </c>
      <c r="B46018" t="s">
        <v>69125</v>
      </c>
      <c r="C46018" t="s">
        <v>950</v>
      </c>
      <c r="D46018" t="s">
        <v>1635</v>
      </c>
      <c r="E46018" t="s">
        <v>104</v>
      </c>
      <c r="F46018" s="2" t="str">
        <f>HYPERLINK("http://www.otzar.org/book.asp?188698","תשובה מאהבה")</f>
        <v>תשובה מאהבה</v>
      </c>
    </row>
    <row r="46019" spans="1:6" x14ac:dyDescent="0.2">
      <c r="A46019" t="s">
        <v>69126</v>
      </c>
      <c r="B46019" t="s">
        <v>5058</v>
      </c>
      <c r="C46019" t="s">
        <v>1284</v>
      </c>
      <c r="D46019" t="s">
        <v>27</v>
      </c>
      <c r="E46019" t="s">
        <v>144</v>
      </c>
      <c r="F46019" s="2" t="str">
        <f>HYPERLINK("http://www.otzar.org/book.asp?107024","תשובה מיראה")</f>
        <v>תשובה מיראה</v>
      </c>
    </row>
    <row r="46020" spans="1:6" x14ac:dyDescent="0.2">
      <c r="A46020" t="s">
        <v>69127</v>
      </c>
      <c r="B46020" t="s">
        <v>35707</v>
      </c>
      <c r="C46020" t="s">
        <v>473</v>
      </c>
      <c r="D46020" t="s">
        <v>225</v>
      </c>
      <c r="E46020" t="s">
        <v>154</v>
      </c>
      <c r="F46020" s="2" t="str">
        <f>HYPERLINK("http://www.otzar.org/book.asp?249","תשובה שלמה - 2 כר'")</f>
        <v>תשובה שלמה - 2 כר'</v>
      </c>
    </row>
    <row r="46021" spans="1:6" x14ac:dyDescent="0.2">
      <c r="A46021" t="s">
        <v>69128</v>
      </c>
      <c r="B46021" t="s">
        <v>6987</v>
      </c>
      <c r="C46021" t="s">
        <v>624</v>
      </c>
      <c r="D46021" t="s">
        <v>21</v>
      </c>
      <c r="E46021" t="s">
        <v>241</v>
      </c>
      <c r="F46021" s="2" t="str">
        <f>HYPERLINK("http://www.otzar.org/book.asp?193072","תשובה שלמה")</f>
        <v>תשובה שלמה</v>
      </c>
    </row>
    <row r="46022" spans="1:6" x14ac:dyDescent="0.2">
      <c r="A46022" t="s">
        <v>69129</v>
      </c>
      <c r="B46022" t="s">
        <v>31387</v>
      </c>
      <c r="C46022" t="s">
        <v>411</v>
      </c>
      <c r="D46022" t="s">
        <v>14</v>
      </c>
      <c r="E46022" t="s">
        <v>714</v>
      </c>
      <c r="F46022" s="2" t="str">
        <f>HYPERLINK("http://www.otzar.org/book.asp?168311","תשובה תפילה וצדקה מעבירין את רוע הגזרה")</f>
        <v>תשובה תפילה וצדקה מעבירין את רוע הגזרה</v>
      </c>
    </row>
    <row r="46023" spans="1:6" x14ac:dyDescent="0.2">
      <c r="A46023" t="s">
        <v>69130</v>
      </c>
      <c r="B46023" t="s">
        <v>69131</v>
      </c>
      <c r="C46023" t="s">
        <v>411</v>
      </c>
      <c r="D46023" t="s">
        <v>11626</v>
      </c>
      <c r="E46023" t="s">
        <v>10</v>
      </c>
      <c r="F46023" s="2" t="str">
        <f>HYPERLINK("http://www.otzar.org/book.asp?179637","תשובות אביגדר הלוי - אורח חיים")</f>
        <v>תשובות אביגדר הלוי - אורח חיים</v>
      </c>
    </row>
    <row r="46024" spans="1:6" x14ac:dyDescent="0.2">
      <c r="A46024" t="s">
        <v>69132</v>
      </c>
      <c r="B46024" t="s">
        <v>15704</v>
      </c>
      <c r="C46024" t="s">
        <v>523</v>
      </c>
      <c r="D46024" t="s">
        <v>14</v>
      </c>
      <c r="F46024" s="2" t="str">
        <f>HYPERLINK("http://www.otzar.org/book.asp?612063","תשובות בדיני פועלים")</f>
        <v>תשובות בדיני פועלים</v>
      </c>
    </row>
    <row r="46025" spans="1:6" x14ac:dyDescent="0.2">
      <c r="A46025" t="s">
        <v>69133</v>
      </c>
      <c r="B46025" t="s">
        <v>1029</v>
      </c>
      <c r="C46025" t="s">
        <v>189</v>
      </c>
      <c r="D46025" t="s">
        <v>412</v>
      </c>
      <c r="E46025" t="s">
        <v>154</v>
      </c>
      <c r="F46025" s="2" t="str">
        <f>HYPERLINK("http://www.otzar.org/book.asp?160458","תשובות בית הילל החדש")</f>
        <v>תשובות בית הילל החדש</v>
      </c>
    </row>
    <row r="46026" spans="1:6" x14ac:dyDescent="0.2">
      <c r="A46026" t="s">
        <v>69134</v>
      </c>
      <c r="B46026" t="s">
        <v>1029</v>
      </c>
      <c r="C46026" t="s">
        <v>482</v>
      </c>
      <c r="D46026" t="s">
        <v>27</v>
      </c>
      <c r="E46026" t="s">
        <v>38986</v>
      </c>
      <c r="F46026" s="2" t="str">
        <f>HYPERLINK("http://www.otzar.org/book.asp?10716","תשובות בית הילל")</f>
        <v>תשובות בית הילל</v>
      </c>
    </row>
    <row r="46027" spans="1:6" x14ac:dyDescent="0.2">
      <c r="A46027" t="s">
        <v>69135</v>
      </c>
      <c r="B46027" t="s">
        <v>69136</v>
      </c>
      <c r="C46027" t="s">
        <v>482</v>
      </c>
      <c r="D46027" t="s">
        <v>9</v>
      </c>
      <c r="E46027" t="s">
        <v>154</v>
      </c>
      <c r="F46027" s="2" t="str">
        <f>HYPERLINK("http://www.otzar.org/book.asp?12021","תשובות בעלי התוספות")</f>
        <v>תשובות בעלי התוספות</v>
      </c>
    </row>
    <row r="46028" spans="1:6" x14ac:dyDescent="0.2">
      <c r="A46028" t="s">
        <v>69137</v>
      </c>
      <c r="B46028" t="s">
        <v>40608</v>
      </c>
      <c r="C46028" t="s">
        <v>429</v>
      </c>
      <c r="D46028" t="s">
        <v>280</v>
      </c>
      <c r="E46028" t="s">
        <v>154</v>
      </c>
      <c r="F46028" s="2" t="str">
        <f>HYPERLINK("http://www.otzar.org/book.asp?7548","תשובות גאוני מזרח ומערב")</f>
        <v>תשובות גאוני מזרח ומערב</v>
      </c>
    </row>
    <row r="46029" spans="1:6" x14ac:dyDescent="0.2">
      <c r="A46029" t="s">
        <v>69138</v>
      </c>
      <c r="B46029" t="s">
        <v>69139</v>
      </c>
      <c r="C46029" t="s">
        <v>943</v>
      </c>
      <c r="D46029" t="s">
        <v>280</v>
      </c>
      <c r="E46029" t="s">
        <v>154</v>
      </c>
      <c r="F46029" s="2" t="str">
        <f>HYPERLINK("http://www.otzar.org/book.asp?7547","תשובות גאונים קדמונים")</f>
        <v>תשובות גאונים קדמונים</v>
      </c>
    </row>
    <row r="46030" spans="1:6" x14ac:dyDescent="0.2">
      <c r="A46030" t="s">
        <v>69140</v>
      </c>
      <c r="B46030" t="s">
        <v>60106</v>
      </c>
      <c r="C46030" t="s">
        <v>1721</v>
      </c>
      <c r="D46030" t="s">
        <v>563</v>
      </c>
      <c r="E46030" t="s">
        <v>104</v>
      </c>
      <c r="F46030" s="2" t="str">
        <f>HYPERLINK("http://www.otzar.org/book.asp?100555","תשובות דונש בן לברט")</f>
        <v>תשובות דונש בן לברט</v>
      </c>
    </row>
    <row r="46031" spans="1:6" x14ac:dyDescent="0.2">
      <c r="A46031" t="s">
        <v>69141</v>
      </c>
      <c r="B46031" t="s">
        <v>60106</v>
      </c>
      <c r="C46031" t="s">
        <v>550</v>
      </c>
      <c r="D46031" t="s">
        <v>30615</v>
      </c>
      <c r="E46031" t="s">
        <v>104</v>
      </c>
      <c r="F46031" s="2" t="str">
        <f>HYPERLINK("http://www.otzar.org/book.asp?24391","תשובות דונש הלוי בן לברט על רס""ג")</f>
        <v>תשובות דונש הלוי בן לברט על רס"ג</v>
      </c>
    </row>
    <row r="46032" spans="1:6" x14ac:dyDescent="0.2">
      <c r="A46032" t="s">
        <v>69142</v>
      </c>
      <c r="B46032" t="s">
        <v>17980</v>
      </c>
      <c r="C46032" t="s">
        <v>1160</v>
      </c>
      <c r="D46032" t="s">
        <v>14</v>
      </c>
      <c r="E46032" t="s">
        <v>154</v>
      </c>
      <c r="F46032" s="2" t="str">
        <f>HYPERLINK("http://www.otzar.org/book.asp?251","תשובות הגאון מרוגוטשוב &lt;העמק תשובה&gt;")</f>
        <v>תשובות הגאון מרוגוטשוב &lt;העמק תשובה&gt;</v>
      </c>
    </row>
    <row r="46033" spans="1:6" x14ac:dyDescent="0.2">
      <c r="A46033" t="s">
        <v>69143</v>
      </c>
      <c r="B46033" t="s">
        <v>8181</v>
      </c>
      <c r="C46033" t="s">
        <v>777</v>
      </c>
      <c r="D46033" t="s">
        <v>27</v>
      </c>
      <c r="E46033" t="s">
        <v>588</v>
      </c>
      <c r="F46033" s="2" t="str">
        <f>HYPERLINK("http://www.otzar.org/book.asp?12857","תשובות הגאונים &lt;מכת""י שבגנזי קמברידג'&gt;")</f>
        <v>תשובות הגאונים &lt;מכת"י שבגנזי קמברידג'&gt;</v>
      </c>
    </row>
    <row r="46034" spans="1:6" x14ac:dyDescent="0.2">
      <c r="A46034" t="s">
        <v>69144</v>
      </c>
      <c r="B46034" t="s">
        <v>69145</v>
      </c>
      <c r="C46034" t="s">
        <v>1058</v>
      </c>
      <c r="D46034" t="s">
        <v>212</v>
      </c>
      <c r="E46034" t="s">
        <v>154</v>
      </c>
      <c r="F46034" s="2" t="str">
        <f>HYPERLINK("http://www.otzar.org/book.asp?52118","תשובות הגאונים &lt;איי הים&gt;")</f>
        <v>תשובות הגאונים &lt;איי הים&gt;</v>
      </c>
    </row>
    <row r="46035" spans="1:6" x14ac:dyDescent="0.2">
      <c r="A46035" t="s">
        <v>69146</v>
      </c>
      <c r="B46035" t="s">
        <v>69147</v>
      </c>
      <c r="C46035" t="s">
        <v>1844</v>
      </c>
      <c r="D46035" t="s">
        <v>516</v>
      </c>
      <c r="E46035" t="s">
        <v>154</v>
      </c>
      <c r="F46035" s="2" t="str">
        <f>HYPERLINK("http://www.otzar.org/book.asp?10448","תשובות הגאונים &lt;ליק - מוסאפיה&gt;")</f>
        <v>תשובות הגאונים &lt;ליק - מוסאפיה&gt;</v>
      </c>
    </row>
    <row r="46036" spans="1:6" x14ac:dyDescent="0.2">
      <c r="A46036" t="s">
        <v>69148</v>
      </c>
      <c r="B46036" t="s">
        <v>69149</v>
      </c>
      <c r="C46036" t="s">
        <v>506</v>
      </c>
      <c r="D46036" t="s">
        <v>2940</v>
      </c>
      <c r="E46036" t="s">
        <v>154</v>
      </c>
      <c r="F46036" s="2" t="str">
        <f>HYPERLINK("http://www.otzar.org/book.asp?7121","תשובות הגאונים &lt;מרמרשטיין&gt;")</f>
        <v>תשובות הגאונים &lt;מרמרשטיין&gt;</v>
      </c>
    </row>
    <row r="46037" spans="1:6" x14ac:dyDescent="0.2">
      <c r="A46037" t="s">
        <v>69150</v>
      </c>
      <c r="B46037" t="s">
        <v>69151</v>
      </c>
      <c r="C46037" t="s">
        <v>383</v>
      </c>
      <c r="D46037" t="s">
        <v>52</v>
      </c>
      <c r="E46037" t="s">
        <v>154</v>
      </c>
      <c r="F46037" s="2" t="str">
        <f>HYPERLINK("http://www.otzar.org/book.asp?168461","תשובות הגאונים גרש ירחים - 3 כר'")</f>
        <v>תשובות הגאונים גרש ירחים - 3 כר'</v>
      </c>
    </row>
    <row r="46038" spans="1:6" x14ac:dyDescent="0.2">
      <c r="A46038" t="s">
        <v>69152</v>
      </c>
      <c r="B46038" t="s">
        <v>8181</v>
      </c>
      <c r="C46038" t="s">
        <v>609</v>
      </c>
      <c r="D46038" t="s">
        <v>27</v>
      </c>
      <c r="E46038" t="s">
        <v>588</v>
      </c>
      <c r="F46038" s="2" t="str">
        <f>HYPERLINK("http://www.otzar.org/book.asp?12849","תשובות הגאונים מתוך הגניזה")</f>
        <v>תשובות הגאונים מתוך הגניזה</v>
      </c>
    </row>
    <row r="46039" spans="1:6" x14ac:dyDescent="0.2">
      <c r="A46039" t="s">
        <v>69153</v>
      </c>
      <c r="B46039" t="s">
        <v>69154</v>
      </c>
      <c r="C46039" t="s">
        <v>176</v>
      </c>
      <c r="D46039" t="s">
        <v>412</v>
      </c>
      <c r="E46039" t="s">
        <v>154</v>
      </c>
      <c r="F46039" s="2" t="str">
        <f>HYPERLINK("http://www.otzar.org/book.asp?193468","תשובות הגאונים עם תשובות ופסקים מחכמי פרובינצא")</f>
        <v>תשובות הגאונים עם תשובות ופסקים מחכמי פרובינצא</v>
      </c>
    </row>
    <row r="46040" spans="1:6" x14ac:dyDescent="0.2">
      <c r="A46040" t="s">
        <v>69155</v>
      </c>
      <c r="B46040" t="s">
        <v>69145</v>
      </c>
      <c r="C46040" t="s">
        <v>1278</v>
      </c>
      <c r="D46040" t="s">
        <v>1037</v>
      </c>
      <c r="E46040" t="s">
        <v>154</v>
      </c>
      <c r="F46040" s="2" t="str">
        <f>HYPERLINK("http://www.otzar.org/book.asp?12855","תשובות הגאונים שערי תשובה - 2 כר'")</f>
        <v>תשובות הגאונים שערי תשובה - 2 כר'</v>
      </c>
    </row>
    <row r="46041" spans="1:6" x14ac:dyDescent="0.2">
      <c r="A46041" t="s">
        <v>69151</v>
      </c>
      <c r="B46041" t="s">
        <v>8181</v>
      </c>
      <c r="C46041" t="s">
        <v>8</v>
      </c>
      <c r="D46041" t="s">
        <v>27</v>
      </c>
      <c r="E46041" t="s">
        <v>154</v>
      </c>
      <c r="F46041" s="2" t="str">
        <f>HYPERLINK("http://www.otzar.org/book.asp?12854","תשובות הגאונים")</f>
        <v>תשובות הגאונים</v>
      </c>
    </row>
    <row r="46042" spans="1:6" x14ac:dyDescent="0.2">
      <c r="A46042" t="s">
        <v>69151</v>
      </c>
      <c r="B46042" t="s">
        <v>69156</v>
      </c>
      <c r="C46042" t="s">
        <v>594</v>
      </c>
      <c r="D46042" t="s">
        <v>535</v>
      </c>
      <c r="E46042" t="s">
        <v>10</v>
      </c>
      <c r="F46042" s="2" t="str">
        <f>HYPERLINK("http://www.otzar.org/book.asp?6161","תשובות הגאונים")</f>
        <v>תשובות הגאונים</v>
      </c>
    </row>
    <row r="46043" spans="1:6" x14ac:dyDescent="0.2">
      <c r="A46043" t="s">
        <v>69157</v>
      </c>
      <c r="B46043" t="s">
        <v>638</v>
      </c>
      <c r="C46043" t="s">
        <v>129</v>
      </c>
      <c r="D46043" t="s">
        <v>6283</v>
      </c>
      <c r="E46043" t="s">
        <v>154</v>
      </c>
      <c r="F46043" s="2" t="str">
        <f>HYPERLINK("http://www.otzar.org/book.asp?181754","תשובות הגר""ח - 3 כר'")</f>
        <v>תשובות הגר"ח - 3 כר'</v>
      </c>
    </row>
    <row r="46044" spans="1:6" x14ac:dyDescent="0.2">
      <c r="A46044" t="s">
        <v>69158</v>
      </c>
      <c r="B46044" t="s">
        <v>69159</v>
      </c>
      <c r="C46044" t="s">
        <v>244</v>
      </c>
      <c r="D46044" t="s">
        <v>1356</v>
      </c>
      <c r="E46044" t="s">
        <v>154</v>
      </c>
      <c r="F46044" s="2" t="str">
        <f>HYPERLINK("http://www.otzar.org/book.asp?616400","תשובות הפוסקים")</f>
        <v>תשובות הפוסקים</v>
      </c>
    </row>
    <row r="46045" spans="1:6" x14ac:dyDescent="0.2">
      <c r="A46045" t="s">
        <v>69160</v>
      </c>
      <c r="B46045" t="s">
        <v>69161</v>
      </c>
      <c r="C46045" t="s">
        <v>1470</v>
      </c>
      <c r="D46045" t="s">
        <v>27</v>
      </c>
      <c r="E46045" t="s">
        <v>154</v>
      </c>
      <c r="F46045" s="2" t="str">
        <f>HYPERLINK("http://www.otzar.org/book.asp?300203","תשובות הר' יהושע הנגיד")</f>
        <v>תשובות הר' יהושע הנגיד</v>
      </c>
    </row>
    <row r="46046" spans="1:6" x14ac:dyDescent="0.2">
      <c r="A46046" t="s">
        <v>69162</v>
      </c>
      <c r="B46046" t="s">
        <v>67360</v>
      </c>
      <c r="C46046" t="s">
        <v>1036</v>
      </c>
      <c r="D46046" t="s">
        <v>283</v>
      </c>
      <c r="E46046" t="s">
        <v>10</v>
      </c>
      <c r="F46046" s="2" t="str">
        <f>HYPERLINK("http://www.otzar.org/book.asp?892","תשובות הרא""ם - אה""ע")</f>
        <v>תשובות הרא"ם - אה"ע</v>
      </c>
    </row>
    <row r="46047" spans="1:6" x14ac:dyDescent="0.2">
      <c r="A46047" t="s">
        <v>69163</v>
      </c>
      <c r="B46047" t="s">
        <v>69164</v>
      </c>
      <c r="C46047" t="s">
        <v>37</v>
      </c>
      <c r="D46047" t="s">
        <v>52</v>
      </c>
      <c r="E46047" t="s">
        <v>15</v>
      </c>
      <c r="F46047" s="2" t="str">
        <f>HYPERLINK("http://www.otzar.org/book.asp?199959","תשובות הראשונים")</f>
        <v>תשובות הראשונים</v>
      </c>
    </row>
    <row r="46048" spans="1:6" x14ac:dyDescent="0.2">
      <c r="A46048" t="s">
        <v>69165</v>
      </c>
      <c r="B46048" t="s">
        <v>69166</v>
      </c>
      <c r="C46048" t="s">
        <v>37</v>
      </c>
      <c r="D46048" t="s">
        <v>52</v>
      </c>
      <c r="E46048" t="s">
        <v>588</v>
      </c>
      <c r="F46048" s="2" t="str">
        <f>HYPERLINK("http://www.otzar.org/book.asp?180042","תשובות הרב נגר - א")</f>
        <v>תשובות הרב נגר - א</v>
      </c>
    </row>
    <row r="46049" spans="1:6" x14ac:dyDescent="0.2">
      <c r="A46049" t="s">
        <v>69167</v>
      </c>
      <c r="B46049" t="s">
        <v>69168</v>
      </c>
      <c r="C46049" t="s">
        <v>133</v>
      </c>
      <c r="D46049" t="s">
        <v>52</v>
      </c>
      <c r="E46049" t="s">
        <v>674</v>
      </c>
      <c r="F46049" s="2" t="str">
        <f>HYPERLINK("http://www.otzar.org/book.asp?172100","תשובות הרב קאפח - 2 כר'")</f>
        <v>תשובות הרב קאפח - 2 כר'</v>
      </c>
    </row>
    <row r="46050" spans="1:6" x14ac:dyDescent="0.2">
      <c r="A46050" t="s">
        <v>69169</v>
      </c>
      <c r="B46050" t="s">
        <v>47118</v>
      </c>
      <c r="C46050" t="s">
        <v>553</v>
      </c>
      <c r="D46050" t="s">
        <v>14</v>
      </c>
      <c r="E46050" t="s">
        <v>10</v>
      </c>
      <c r="F46050" s="2" t="str">
        <f>HYPERLINK("http://www.otzar.org/book.asp?62542","תשובות הרי""ד")</f>
        <v>תשובות הרי"ד</v>
      </c>
    </row>
    <row r="46051" spans="1:6" x14ac:dyDescent="0.2">
      <c r="A46051" t="s">
        <v>69170</v>
      </c>
      <c r="B46051" t="s">
        <v>19669</v>
      </c>
      <c r="C46051" t="s">
        <v>1169</v>
      </c>
      <c r="D46051" t="s">
        <v>14</v>
      </c>
      <c r="E46051" t="s">
        <v>154</v>
      </c>
      <c r="F46051" s="2" t="str">
        <f>HYPERLINK("http://www.otzar.org/book.asp?10870","תשובות הריטב""א")</f>
        <v>תשובות הריטב"א</v>
      </c>
    </row>
    <row r="46052" spans="1:6" x14ac:dyDescent="0.2">
      <c r="A46052" t="s">
        <v>69171</v>
      </c>
      <c r="B46052" t="s">
        <v>6040</v>
      </c>
      <c r="C46052" t="s">
        <v>3942</v>
      </c>
      <c r="D46052" t="s">
        <v>49</v>
      </c>
      <c r="E46052" t="s">
        <v>154</v>
      </c>
      <c r="F46052" s="2" t="str">
        <f>HYPERLINK("http://www.otzar.org/book.asp?53527","תשובות הרמ""ע מפאנו - 2 כר'")</f>
        <v>תשובות הרמ"ע מפאנו - 2 כר'</v>
      </c>
    </row>
    <row r="46053" spans="1:6" x14ac:dyDescent="0.2">
      <c r="A46053" t="s">
        <v>69172</v>
      </c>
      <c r="B46053" t="s">
        <v>1320</v>
      </c>
      <c r="C46053" t="s">
        <v>69173</v>
      </c>
      <c r="D46053" t="s">
        <v>27</v>
      </c>
      <c r="E46053" t="s">
        <v>15</v>
      </c>
      <c r="F46053" s="2" t="str">
        <f>HYPERLINK("http://www.otzar.org/book.asp?199472","תשובות הרמב""ם &lt;בלאו&gt; מהדורה חדשה - 4 כר'")</f>
        <v>תשובות הרמב"ם &lt;בלאו&gt; מהדורה חדשה - 4 כר'</v>
      </c>
    </row>
    <row r="46054" spans="1:6" x14ac:dyDescent="0.2">
      <c r="A46054" t="s">
        <v>69174</v>
      </c>
      <c r="B46054" t="s">
        <v>1320</v>
      </c>
      <c r="C46054" t="s">
        <v>908</v>
      </c>
      <c r="D46054" t="s">
        <v>27</v>
      </c>
      <c r="E46054" t="s">
        <v>10</v>
      </c>
      <c r="F46054" s="2" t="str">
        <f>HYPERLINK("http://www.otzar.org/book.asp?391","תשובות הרמב""ם - 5 כר'")</f>
        <v>תשובות הרמב"ם - 5 כר'</v>
      </c>
    </row>
    <row r="46055" spans="1:6" x14ac:dyDescent="0.2">
      <c r="A46055" t="s">
        <v>69175</v>
      </c>
      <c r="B46055" t="s">
        <v>24561</v>
      </c>
      <c r="C46055" t="s">
        <v>503</v>
      </c>
      <c r="D46055" t="s">
        <v>283</v>
      </c>
      <c r="E46055" t="s">
        <v>154</v>
      </c>
      <c r="F46055" s="2" t="str">
        <f>HYPERLINK("http://www.otzar.org/book.asp?143561","תשובות הרשב""א המיוחסות להרמב""ן")</f>
        <v>תשובות הרשב"א המיוחסות להרמב"ן</v>
      </c>
    </row>
    <row r="46056" spans="1:6" x14ac:dyDescent="0.2">
      <c r="A46056" t="s">
        <v>69176</v>
      </c>
      <c r="B46056" t="s">
        <v>69177</v>
      </c>
      <c r="C46056" t="s">
        <v>51</v>
      </c>
      <c r="D46056" t="s">
        <v>14</v>
      </c>
      <c r="E46056" t="s">
        <v>901</v>
      </c>
      <c r="F46056" s="2" t="str">
        <f>HYPERLINK("http://www.otzar.org/book.asp?15427","תשובות וביאורים")</f>
        <v>תשובות וביאורים</v>
      </c>
    </row>
    <row r="46057" spans="1:6" x14ac:dyDescent="0.2">
      <c r="A46057" t="s">
        <v>69178</v>
      </c>
      <c r="B46057" t="s">
        <v>4606</v>
      </c>
      <c r="C46057" t="s">
        <v>133</v>
      </c>
      <c r="D46057" t="s">
        <v>14</v>
      </c>
      <c r="F46057" s="2" t="str">
        <f>HYPERLINK("http://www.otzar.org/book.asp?610009","תשובות והנהגות &lt;מועדים&gt; - 7 כר'")</f>
        <v>תשובות והנהגות &lt;מועדים&gt; - 7 כר'</v>
      </c>
    </row>
    <row r="46058" spans="1:6" x14ac:dyDescent="0.2">
      <c r="A46058" t="s">
        <v>69179</v>
      </c>
      <c r="B46058" t="s">
        <v>4606</v>
      </c>
      <c r="C46058" t="s">
        <v>383</v>
      </c>
      <c r="D46058" t="s">
        <v>14</v>
      </c>
      <c r="E46058" t="s">
        <v>10</v>
      </c>
      <c r="F46058" s="2" t="str">
        <f>HYPERLINK("http://www.otzar.org/book.asp?50708","תשובות והנהגות - 6 כר'")</f>
        <v>תשובות והנהגות - 6 כר'</v>
      </c>
    </row>
    <row r="46059" spans="1:6" x14ac:dyDescent="0.2">
      <c r="A46059" t="s">
        <v>69180</v>
      </c>
      <c r="B46059" t="s">
        <v>24561</v>
      </c>
      <c r="C46059" t="s">
        <v>1388</v>
      </c>
      <c r="D46059" t="s">
        <v>52</v>
      </c>
      <c r="E46059" t="s">
        <v>901</v>
      </c>
      <c r="F46059" s="2" t="str">
        <f>HYPERLINK("http://www.otzar.org/book.asp?143124","תשובות וחידושי הרשב""א על מסכת פסחים")</f>
        <v>תשובות וחידושי הרשב"א על מסכת פסחים</v>
      </c>
    </row>
    <row r="46060" spans="1:6" x14ac:dyDescent="0.2">
      <c r="A46060" t="s">
        <v>69181</v>
      </c>
      <c r="B46060" t="s">
        <v>69182</v>
      </c>
      <c r="C46060" t="s">
        <v>427</v>
      </c>
      <c r="D46060" t="s">
        <v>14</v>
      </c>
      <c r="E46060" t="s">
        <v>144</v>
      </c>
      <c r="F46060" s="2" t="str">
        <f>HYPERLINK("http://www.otzar.org/book.asp?25492","תשובות וחידושי ראש הברזל")</f>
        <v>תשובות וחידושי ראש הברזל</v>
      </c>
    </row>
    <row r="46061" spans="1:6" x14ac:dyDescent="0.2">
      <c r="A46061" t="s">
        <v>69183</v>
      </c>
      <c r="B46061" t="s">
        <v>7559</v>
      </c>
      <c r="C46061" t="s">
        <v>143</v>
      </c>
      <c r="D46061" t="s">
        <v>52</v>
      </c>
      <c r="E46061" t="s">
        <v>2775</v>
      </c>
      <c r="F46061" s="2" t="str">
        <f>HYPERLINK("http://www.otzar.org/book.asp?165409","תשובות וכתבים ממרן החזון איש")</f>
        <v>תשובות וכתבים ממרן החזון איש</v>
      </c>
    </row>
    <row r="46062" spans="1:6" x14ac:dyDescent="0.2">
      <c r="A46062" t="s">
        <v>69184</v>
      </c>
      <c r="B46062" t="s">
        <v>43151</v>
      </c>
      <c r="C46062" t="s">
        <v>20</v>
      </c>
      <c r="D46062" t="s">
        <v>90</v>
      </c>
      <c r="E46062" t="s">
        <v>393</v>
      </c>
      <c r="F46062" s="2" t="str">
        <f>HYPERLINK("http://www.otzar.org/book.asp?630522","תשובות ומענות בקשר ללימוד בכולל")</f>
        <v>תשובות ומענות בקשר ללימוד בכולל</v>
      </c>
    </row>
    <row r="46063" spans="1:6" x14ac:dyDescent="0.2">
      <c r="A46063" t="s">
        <v>69185</v>
      </c>
      <c r="B46063" t="s">
        <v>69186</v>
      </c>
      <c r="C46063" t="s">
        <v>143</v>
      </c>
      <c r="D46063" t="s">
        <v>412</v>
      </c>
      <c r="E46063" t="s">
        <v>144</v>
      </c>
      <c r="F46063" s="2" t="str">
        <f>HYPERLINK("http://www.otzar.org/book.asp?62252","תשובות ופסקים לר""י הזקן")</f>
        <v>תשובות ופסקים לר"י הזקן</v>
      </c>
    </row>
    <row r="46064" spans="1:6" x14ac:dyDescent="0.2">
      <c r="A46064" t="s">
        <v>69187</v>
      </c>
      <c r="B46064" t="s">
        <v>69188</v>
      </c>
      <c r="C46064" t="s">
        <v>1811</v>
      </c>
      <c r="D46064" t="s">
        <v>14</v>
      </c>
      <c r="E46064" t="s">
        <v>154</v>
      </c>
      <c r="F46064" s="2" t="str">
        <f>HYPERLINK("http://www.otzar.org/book.asp?30","תשובות ופסקים מאת חכמי אשכנז וצרפת")</f>
        <v>תשובות ופסקים מאת חכמי אשכנז וצרפת</v>
      </c>
    </row>
    <row r="46065" spans="1:6" x14ac:dyDescent="0.2">
      <c r="A46065" t="s">
        <v>69189</v>
      </c>
      <c r="B46065" t="s">
        <v>1385</v>
      </c>
      <c r="C46065" t="s">
        <v>332</v>
      </c>
      <c r="D46065" t="s">
        <v>14</v>
      </c>
      <c r="E46065" t="s">
        <v>154</v>
      </c>
      <c r="F46065" s="2" t="str">
        <f>HYPERLINK("http://www.otzar.org/book.asp?144062","תשובות חדשות לרבנו עקיבא איגר")</f>
        <v>תשובות חדשות לרבנו עקיבא איגר</v>
      </c>
    </row>
    <row r="46066" spans="1:6" x14ac:dyDescent="0.2">
      <c r="A46066" t="s">
        <v>69190</v>
      </c>
      <c r="B46066" t="s">
        <v>69190</v>
      </c>
      <c r="C46066" t="s">
        <v>1160</v>
      </c>
      <c r="D46066" t="s">
        <v>14</v>
      </c>
      <c r="E46066" t="s">
        <v>154</v>
      </c>
      <c r="F46066" s="2" t="str">
        <f>HYPERLINK("http://www.otzar.org/book.asp?88","תשובות חכמי פרובינציה")</f>
        <v>תשובות חכמי פרובינציה</v>
      </c>
    </row>
    <row r="46067" spans="1:6" x14ac:dyDescent="0.2">
      <c r="A46067" t="s">
        <v>69191</v>
      </c>
      <c r="B46067" t="s">
        <v>40608</v>
      </c>
      <c r="C46067" t="s">
        <v>728</v>
      </c>
      <c r="D46067" t="s">
        <v>535</v>
      </c>
      <c r="E46067" t="s">
        <v>154</v>
      </c>
      <c r="F46067" s="2" t="str">
        <f>HYPERLINK("http://www.otzar.org/book.asp?10878","תשובות חכמי צרפת ולותיר")</f>
        <v>תשובות חכמי צרפת ולותיר</v>
      </c>
    </row>
    <row r="46068" spans="1:6" x14ac:dyDescent="0.2">
      <c r="A46068" t="s">
        <v>69192</v>
      </c>
      <c r="B46068" t="s">
        <v>14638</v>
      </c>
      <c r="C46068" t="s">
        <v>462</v>
      </c>
      <c r="D46068" t="s">
        <v>56</v>
      </c>
      <c r="E46068" t="s">
        <v>154</v>
      </c>
      <c r="F46068" s="2" t="str">
        <f>HYPERLINK("http://www.otzar.org/book.asp?101842","תשובות יהודה")</f>
        <v>תשובות יהודה</v>
      </c>
    </row>
    <row r="46069" spans="1:6" x14ac:dyDescent="0.2">
      <c r="A46069" t="s">
        <v>69193</v>
      </c>
      <c r="B46069" t="s">
        <v>20638</v>
      </c>
      <c r="C46069" t="s">
        <v>23</v>
      </c>
      <c r="D46069" t="s">
        <v>52</v>
      </c>
      <c r="E46069" t="s">
        <v>10</v>
      </c>
      <c r="F46069" s="2" t="str">
        <f>HYPERLINK("http://www.otzar.org/book.asp?193395","תשובות ישראל - 4 כר'")</f>
        <v>תשובות ישראל - 4 כר'</v>
      </c>
    </row>
    <row r="46070" spans="1:6" x14ac:dyDescent="0.2">
      <c r="A46070" t="s">
        <v>69194</v>
      </c>
      <c r="B46070" t="s">
        <v>9151</v>
      </c>
      <c r="C46070" t="s">
        <v>23</v>
      </c>
      <c r="D46070" t="s">
        <v>14</v>
      </c>
      <c r="E46070" t="s">
        <v>15</v>
      </c>
      <c r="F46070" s="2" t="str">
        <f>HYPERLINK("http://www.otzar.org/book.asp?192826","תשובות למבחני הרה""ר - 5 כר'")</f>
        <v>תשובות למבחני הרה"ר - 5 כר'</v>
      </c>
    </row>
    <row r="46071" spans="1:6" x14ac:dyDescent="0.2">
      <c r="A46071" t="s">
        <v>69195</v>
      </c>
      <c r="B46071" t="s">
        <v>67</v>
      </c>
      <c r="C46071" t="s">
        <v>3840</v>
      </c>
      <c r="D46071" t="s">
        <v>27</v>
      </c>
      <c r="E46071" t="s">
        <v>791</v>
      </c>
      <c r="F46071" s="2" t="str">
        <f>HYPERLINK("http://www.otzar.org/book.asp?12961","תשובות לקהלת עאנה")</f>
        <v>תשובות לקהלת עאנה</v>
      </c>
    </row>
    <row r="46072" spans="1:6" x14ac:dyDescent="0.2">
      <c r="A46072" t="s">
        <v>69196</v>
      </c>
      <c r="B46072" t="s">
        <v>69197</v>
      </c>
      <c r="C46072" t="s">
        <v>609</v>
      </c>
      <c r="D46072" t="s">
        <v>56</v>
      </c>
      <c r="E46072" t="s">
        <v>154</v>
      </c>
      <c r="F46072" s="2" t="str">
        <f>HYPERLINK("http://www.otzar.org/book.asp?9472","תשובות לשואל")</f>
        <v>תשובות לשואל</v>
      </c>
    </row>
    <row r="46073" spans="1:6" x14ac:dyDescent="0.2">
      <c r="A46073" t="s">
        <v>69198</v>
      </c>
      <c r="B46073" t="s">
        <v>14102</v>
      </c>
      <c r="C46073" t="s">
        <v>286</v>
      </c>
      <c r="D46073" t="s">
        <v>27</v>
      </c>
      <c r="E46073" t="s">
        <v>3567</v>
      </c>
      <c r="F46073" s="2" t="str">
        <f>HYPERLINK("http://www.otzar.org/book.asp?182346","תשובות מאת ועד השחיטה האשכנזית")</f>
        <v>תשובות מאת ועד השחיטה האשכנזית</v>
      </c>
    </row>
    <row r="46074" spans="1:6" x14ac:dyDescent="0.2">
      <c r="A46074" t="s">
        <v>69199</v>
      </c>
      <c r="B46074" t="s">
        <v>24475</v>
      </c>
      <c r="C46074" t="s">
        <v>20</v>
      </c>
      <c r="D46074" t="s">
        <v>52</v>
      </c>
      <c r="E46074" t="s">
        <v>9356</v>
      </c>
      <c r="F46074" s="2" t="str">
        <f>HYPERLINK("http://www.otzar.org/book.asp?600106","תשובות מבי מדרשא - 2 כר'")</f>
        <v>תשובות מבי מדרשא - 2 כר'</v>
      </c>
    </row>
    <row r="46075" spans="1:6" x14ac:dyDescent="0.2">
      <c r="A46075" t="s">
        <v>69200</v>
      </c>
      <c r="B46075" t="s">
        <v>61897</v>
      </c>
      <c r="C46075" t="s">
        <v>5257</v>
      </c>
      <c r="D46075" t="s">
        <v>26069</v>
      </c>
      <c r="E46075" t="s">
        <v>154</v>
      </c>
      <c r="F46075" s="2" t="str">
        <f>HYPERLINK("http://www.otzar.org/book.asp?197066","תשובות מהר""ם מינץ")</f>
        <v>תשובות מהר"ם מינץ</v>
      </c>
    </row>
    <row r="46076" spans="1:6" x14ac:dyDescent="0.2">
      <c r="A46076" t="s">
        <v>69201</v>
      </c>
      <c r="B46076" t="s">
        <v>69202</v>
      </c>
      <c r="C46076" t="s">
        <v>411</v>
      </c>
      <c r="D46076" t="s">
        <v>14</v>
      </c>
      <c r="E46076" t="s">
        <v>154</v>
      </c>
      <c r="F46076" s="2" t="str">
        <f>HYPERLINK("http://www.otzar.org/book.asp?195349","תשובות מהר""ם מרוטנבורג וחבריו - 2 כר'")</f>
        <v>תשובות מהר"ם מרוטנבורג וחבריו - 2 כר'</v>
      </c>
    </row>
    <row r="46077" spans="1:6" x14ac:dyDescent="0.2">
      <c r="A46077" t="s">
        <v>69203</v>
      </c>
      <c r="B46077" t="s">
        <v>69204</v>
      </c>
      <c r="C46077" t="s">
        <v>11127</v>
      </c>
      <c r="D46077" t="s">
        <v>26069</v>
      </c>
      <c r="E46077" t="s">
        <v>154</v>
      </c>
      <c r="F46077" s="2" t="str">
        <f>HYPERLINK("http://www.otzar.org/book.asp?197067","תשובות מהרד""ך")</f>
        <v>תשובות מהרד"ך</v>
      </c>
    </row>
    <row r="46078" spans="1:6" x14ac:dyDescent="0.2">
      <c r="A46078" t="s">
        <v>69205</v>
      </c>
      <c r="B46078" t="s">
        <v>14792</v>
      </c>
      <c r="C46078" t="s">
        <v>21775</v>
      </c>
      <c r="D46078" t="s">
        <v>267</v>
      </c>
      <c r="E46078" t="s">
        <v>154</v>
      </c>
      <c r="F46078" s="2" t="str">
        <f>HYPERLINK("http://www.otzar.org/book.asp?9446","תשובות מהרי""א &lt;יהודה יעלה&gt;")</f>
        <v>תשובות מהרי"א &lt;יהודה יעלה&gt;</v>
      </c>
    </row>
    <row r="46079" spans="1:6" x14ac:dyDescent="0.2">
      <c r="A46079" t="s">
        <v>69206</v>
      </c>
      <c r="B46079" t="s">
        <v>14792</v>
      </c>
      <c r="C46079" t="s">
        <v>366</v>
      </c>
      <c r="D46079" t="s">
        <v>2319</v>
      </c>
      <c r="E46079" t="s">
        <v>154</v>
      </c>
      <c r="F46079" s="2" t="str">
        <f>HYPERLINK("http://www.otzar.org/book.asp?617865","תשובות מהרי""א יהודה יעלה &lt;מהדורת מכון שלמה אומן&gt;")</f>
        <v>תשובות מהרי"א יהודה יעלה &lt;מהדורת מכון שלמה אומן&gt;</v>
      </c>
    </row>
    <row r="46080" spans="1:6" x14ac:dyDescent="0.2">
      <c r="A46080" t="s">
        <v>69207</v>
      </c>
      <c r="B46080" t="s">
        <v>17891</v>
      </c>
      <c r="C46080" t="s">
        <v>163</v>
      </c>
      <c r="D46080" t="s">
        <v>283</v>
      </c>
      <c r="E46080" t="s">
        <v>154</v>
      </c>
      <c r="F46080" s="2" t="str">
        <f>HYPERLINK("http://www.otzar.org/book.asp?101841","תשובות מהרי""ם")</f>
        <v>תשובות מהרי"ם</v>
      </c>
    </row>
    <row r="46081" spans="1:6" x14ac:dyDescent="0.2">
      <c r="A46081" t="s">
        <v>69208</v>
      </c>
      <c r="B46081" t="s">
        <v>69209</v>
      </c>
      <c r="C46081" t="s">
        <v>2543</v>
      </c>
      <c r="D46081" t="s">
        <v>27</v>
      </c>
      <c r="E46081" t="s">
        <v>154</v>
      </c>
      <c r="F46081" s="2" t="str">
        <f>HYPERLINK("http://www.otzar.org/book.asp?52116","תשובות מהרי""ש")</f>
        <v>תשובות מהרי"ש</v>
      </c>
    </row>
    <row r="46082" spans="1:6" x14ac:dyDescent="0.2">
      <c r="A46082" t="s">
        <v>69210</v>
      </c>
      <c r="B46082" t="s">
        <v>69211</v>
      </c>
      <c r="C46082" t="s">
        <v>2543</v>
      </c>
      <c r="D46082" t="s">
        <v>27</v>
      </c>
      <c r="E46082" t="s">
        <v>295</v>
      </c>
      <c r="F46082" s="2" t="str">
        <f>HYPERLINK("http://www.otzar.org/book.asp?17547","תשובות מנחם")</f>
        <v>תשובות מנחם</v>
      </c>
    </row>
    <row r="46083" spans="1:6" x14ac:dyDescent="0.2">
      <c r="A46083" t="s">
        <v>69212</v>
      </c>
      <c r="B46083" t="s">
        <v>10383</v>
      </c>
      <c r="C46083" t="s">
        <v>1150</v>
      </c>
      <c r="D46083" t="s">
        <v>13887</v>
      </c>
      <c r="E46083" t="s">
        <v>154</v>
      </c>
      <c r="F46083" s="2" t="str">
        <f>HYPERLINK("http://www.otzar.org/book.asp?300205","תשובות מר""ם יפה - 2 כר'")</f>
        <v>תשובות מר"ם יפה - 2 כר'</v>
      </c>
    </row>
    <row r="46084" spans="1:6" x14ac:dyDescent="0.2">
      <c r="A46084" t="s">
        <v>69213</v>
      </c>
      <c r="B46084" t="s">
        <v>41795</v>
      </c>
      <c r="C46084" t="s">
        <v>454</v>
      </c>
      <c r="D46084" t="s">
        <v>216</v>
      </c>
      <c r="E46084" t="s">
        <v>10</v>
      </c>
      <c r="F46084" s="2" t="str">
        <f>HYPERLINK("http://www.otzar.org/book.asp?142619","תשובות על קונטרס השאלות בהלכות סת""ם")</f>
        <v>תשובות על קונטרס השאלות בהלכות סת"ם</v>
      </c>
    </row>
    <row r="46085" spans="1:6" x14ac:dyDescent="0.2">
      <c r="A46085" t="s">
        <v>69214</v>
      </c>
      <c r="B46085" t="s">
        <v>69161</v>
      </c>
      <c r="C46085" t="s">
        <v>785</v>
      </c>
      <c r="D46085" t="s">
        <v>14</v>
      </c>
      <c r="E46085" t="s">
        <v>154</v>
      </c>
      <c r="F46085" s="2" t="str">
        <f>HYPERLINK("http://www.otzar.org/book.asp?153539","תשובות ר' יהושע הנגיד (אלמסאיל)")</f>
        <v>תשובות ר' יהושע הנגיד (אלמסאיל)</v>
      </c>
    </row>
    <row r="46086" spans="1:6" x14ac:dyDescent="0.2">
      <c r="A46086" t="s">
        <v>69215</v>
      </c>
      <c r="B46086" t="s">
        <v>59892</v>
      </c>
      <c r="C46086" t="s">
        <v>3739</v>
      </c>
      <c r="D46086" t="s">
        <v>1833</v>
      </c>
      <c r="E46086" t="s">
        <v>154</v>
      </c>
      <c r="F46086" s="2" t="str">
        <f>HYPERLINK("http://www.otzar.org/book.asp?51816","תשובות ראש יוסף")</f>
        <v>תשובות ראש יוסף</v>
      </c>
    </row>
    <row r="46087" spans="1:6" x14ac:dyDescent="0.2">
      <c r="A46087" t="s">
        <v>69216</v>
      </c>
      <c r="B46087" t="s">
        <v>4840</v>
      </c>
      <c r="C46087" t="s">
        <v>4144</v>
      </c>
      <c r="D46087" t="s">
        <v>283</v>
      </c>
      <c r="F46087" s="2" t="str">
        <f>HYPERLINK("http://www.otzar.org/book.asp?621166","תשובות רב סעדיה גאון")</f>
        <v>תשובות רב סעדיה גאון</v>
      </c>
    </row>
    <row r="46088" spans="1:6" x14ac:dyDescent="0.2">
      <c r="A46088" t="s">
        <v>69217</v>
      </c>
      <c r="B46088" t="s">
        <v>4061</v>
      </c>
      <c r="C46088" t="s">
        <v>466</v>
      </c>
      <c r="D46088" t="s">
        <v>14</v>
      </c>
      <c r="E46088" t="s">
        <v>154</v>
      </c>
      <c r="F46088" s="2" t="str">
        <f>HYPERLINK("http://www.otzar.org/book.asp?145572","תשובות רבי איסר יהודה")</f>
        <v>תשובות רבי איסר יהודה</v>
      </c>
    </row>
    <row r="46089" spans="1:6" x14ac:dyDescent="0.2">
      <c r="A46089" t="s">
        <v>69218</v>
      </c>
      <c r="B46089" t="s">
        <v>69219</v>
      </c>
      <c r="C46089" t="s">
        <v>68</v>
      </c>
      <c r="D46089" t="s">
        <v>1273</v>
      </c>
      <c r="E46089" t="s">
        <v>154</v>
      </c>
      <c r="F46089" s="2" t="str">
        <f>HYPERLINK("http://www.otzar.org/book.asp?603581","תשובות רבי אליעזר &lt;מהדורה חדשה&gt; - 2 כר'")</f>
        <v>תשובות רבי אליעזר &lt;מהדורה חדשה&gt; - 2 כר'</v>
      </c>
    </row>
    <row r="46090" spans="1:6" x14ac:dyDescent="0.2">
      <c r="A46090" t="s">
        <v>69220</v>
      </c>
      <c r="B46090" t="s">
        <v>69219</v>
      </c>
      <c r="C46090" t="s">
        <v>237</v>
      </c>
      <c r="D46090" t="s">
        <v>9</v>
      </c>
      <c r="E46090" t="s">
        <v>154</v>
      </c>
      <c r="F46090" s="2" t="str">
        <f>HYPERLINK("http://www.otzar.org/book.asp?5076","תשובות רבי אליעזר - 2 כר'")</f>
        <v>תשובות רבי אליעזר - 2 כר'</v>
      </c>
    </row>
    <row r="46091" spans="1:6" x14ac:dyDescent="0.2">
      <c r="A46091" t="s">
        <v>69221</v>
      </c>
      <c r="B46091" t="s">
        <v>69222</v>
      </c>
      <c r="C46091" t="s">
        <v>1208</v>
      </c>
      <c r="D46091" t="s">
        <v>14</v>
      </c>
      <c r="E46091" t="s">
        <v>154</v>
      </c>
      <c r="F46091" s="2" t="str">
        <f>HYPERLINK("http://www.otzar.org/book.asp?152585","תשובות רבי יהוסף מליריאה וחכמי הדור בצפת")</f>
        <v>תשובות רבי יהוסף מליריאה וחכמי הדור בצפת</v>
      </c>
    </row>
    <row r="46092" spans="1:6" x14ac:dyDescent="0.2">
      <c r="A46092" t="s">
        <v>69223</v>
      </c>
      <c r="B46092" t="s">
        <v>69224</v>
      </c>
      <c r="C46092" t="s">
        <v>624</v>
      </c>
      <c r="D46092" t="s">
        <v>2125</v>
      </c>
      <c r="E46092" t="s">
        <v>154</v>
      </c>
      <c r="F46092" s="2" t="str">
        <f>HYPERLINK("http://www.otzar.org/book.asp?162294","תשובות רבי עקיבא איגר &lt;אחיזה בעקב&gt; א - מהדו""ק, או""ח, יו""ד")</f>
        <v>תשובות רבי עקיבא איגר &lt;אחיזה בעקב&gt; א - מהדו"ק, או"ח, יו"ד</v>
      </c>
    </row>
    <row r="46093" spans="1:6" x14ac:dyDescent="0.2">
      <c r="A46093" t="s">
        <v>69225</v>
      </c>
      <c r="B46093" t="s">
        <v>69224</v>
      </c>
      <c r="C46093" t="s">
        <v>454</v>
      </c>
      <c r="D46093" t="s">
        <v>2125</v>
      </c>
      <c r="E46093" t="s">
        <v>154</v>
      </c>
      <c r="F46093" s="2" t="str">
        <f>HYPERLINK("http://www.otzar.org/book.asp?162295","תשובות רבי עקיבא איגר &lt;אחיזה בעקב&gt; ב - מהדו""ק, אבהע""ז א")</f>
        <v>תשובות רבי עקיבא איגר &lt;אחיזה בעקב&gt; ב - מהדו"ק, אבהע"ז א</v>
      </c>
    </row>
    <row r="46094" spans="1:6" x14ac:dyDescent="0.2">
      <c r="A46094" t="s">
        <v>69226</v>
      </c>
      <c r="B46094" t="s">
        <v>1385</v>
      </c>
      <c r="C46094" t="s">
        <v>69227</v>
      </c>
      <c r="D46094" t="s">
        <v>283</v>
      </c>
      <c r="E46094" t="s">
        <v>154</v>
      </c>
      <c r="F46094" s="2" t="str">
        <f>HYPERLINK("http://www.otzar.org/book.asp?173194","תשובות רבי עקיבא איגר &lt;דפו""ר&gt;")</f>
        <v>תשובות רבי עקיבא איגר &lt;דפו"ר&gt;</v>
      </c>
    </row>
    <row r="46095" spans="1:6" x14ac:dyDescent="0.2">
      <c r="A46095" t="s">
        <v>69228</v>
      </c>
      <c r="B46095" t="s">
        <v>1385</v>
      </c>
      <c r="C46095" t="s">
        <v>1640</v>
      </c>
      <c r="D46095" t="s">
        <v>14</v>
      </c>
      <c r="E46095" t="s">
        <v>154</v>
      </c>
      <c r="F46095" s="2" t="str">
        <f>HYPERLINK("http://www.otzar.org/book.asp?155349","תשובות רבי עקיבא איגר מכתב יד")</f>
        <v>תשובות רבי עקיבא איגר מכתב יד</v>
      </c>
    </row>
    <row r="46096" spans="1:6" x14ac:dyDescent="0.2">
      <c r="A46096" t="s">
        <v>69229</v>
      </c>
      <c r="B46096" t="s">
        <v>4097</v>
      </c>
      <c r="C46096" t="s">
        <v>151</v>
      </c>
      <c r="D46096" t="s">
        <v>52</v>
      </c>
      <c r="F46096" s="2" t="str">
        <f>HYPERLINK("http://www.otzar.org/book.asp?613597","תשובות רבי עקיבא איגר עם אור ליהודה - א")</f>
        <v>תשובות רבי עקיבא איגר עם אור ליהודה - א</v>
      </c>
    </row>
    <row r="46097" spans="1:6" x14ac:dyDescent="0.2">
      <c r="A46097" t="s">
        <v>69230</v>
      </c>
      <c r="B46097" t="s">
        <v>1385</v>
      </c>
      <c r="C46097" t="s">
        <v>1537</v>
      </c>
      <c r="D46097" t="s">
        <v>845</v>
      </c>
      <c r="E46097" t="s">
        <v>154</v>
      </c>
      <c r="F46097" s="2" t="str">
        <f>HYPERLINK("http://www.otzar.org/book.asp?173848","תשובות רבי עקיבא איגר - 3 כר'")</f>
        <v>תשובות רבי עקיבא איגר - 3 כר'</v>
      </c>
    </row>
    <row r="46098" spans="1:6" x14ac:dyDescent="0.2">
      <c r="A46098" t="s">
        <v>69231</v>
      </c>
      <c r="B46098" t="s">
        <v>25406</v>
      </c>
      <c r="C46098" t="s">
        <v>600</v>
      </c>
      <c r="D46098" t="s">
        <v>2295</v>
      </c>
      <c r="E46098" t="s">
        <v>588</v>
      </c>
      <c r="F46098" s="2" t="str">
        <f>HYPERLINK("http://www.otzar.org/book.asp?103918","תשובות רבינו יוסף הלוי אב""ן מיגאש")</f>
        <v>תשובות רבינו יוסף הלוי אב"ן מיגאש</v>
      </c>
    </row>
    <row r="46099" spans="1:6" x14ac:dyDescent="0.2">
      <c r="A46099" t="s">
        <v>69232</v>
      </c>
      <c r="B46099" t="s">
        <v>69233</v>
      </c>
      <c r="C46099" t="s">
        <v>20</v>
      </c>
      <c r="D46099" t="s">
        <v>14</v>
      </c>
      <c r="E46099" t="s">
        <v>791</v>
      </c>
      <c r="F46099" s="2" t="str">
        <f>HYPERLINK("http://www.otzar.org/book.asp?13153","תשובות רבינו יעקב מרומרוג")</f>
        <v>תשובות רבינו יעקב מרומרוג</v>
      </c>
    </row>
    <row r="46100" spans="1:6" x14ac:dyDescent="0.2">
      <c r="A46100" t="s">
        <v>69234</v>
      </c>
      <c r="B46100" t="s">
        <v>4840</v>
      </c>
      <c r="C46100" t="s">
        <v>1535</v>
      </c>
      <c r="D46100" t="s">
        <v>27</v>
      </c>
      <c r="E46100" t="s">
        <v>154</v>
      </c>
      <c r="F46100" s="2" t="str">
        <f>HYPERLINK("http://www.otzar.org/book.asp?610640","תשובות רבינו סעדיה גאון לחוי הבלכי")</f>
        <v>תשובות רבינו סעדיה גאון לחוי הבלכי</v>
      </c>
    </row>
    <row r="46101" spans="1:6" x14ac:dyDescent="0.2">
      <c r="A46101" t="s">
        <v>69235</v>
      </c>
      <c r="B46101" t="s">
        <v>40608</v>
      </c>
      <c r="C46101" t="s">
        <v>3690</v>
      </c>
      <c r="D46101" t="s">
        <v>280</v>
      </c>
      <c r="E46101" t="s">
        <v>154</v>
      </c>
      <c r="F46101" s="2" t="str">
        <f>HYPERLINK("http://www.otzar.org/book.asp?188699","תשובות רבינו קלונימוס מלוקא")</f>
        <v>תשובות רבינו קלונימוס מלוקא</v>
      </c>
    </row>
    <row r="46102" spans="1:6" x14ac:dyDescent="0.2">
      <c r="A46102" t="s">
        <v>69236</v>
      </c>
      <c r="B46102" t="s">
        <v>12176</v>
      </c>
      <c r="C46102" t="s">
        <v>812</v>
      </c>
      <c r="D46102" t="s">
        <v>27</v>
      </c>
      <c r="E46102" t="s">
        <v>154</v>
      </c>
      <c r="F46102" s="2" t="str">
        <f>HYPERLINK("http://www.otzar.org/book.asp?384","תשובות רבנו אברהם בן הרמב""ם")</f>
        <v>תשובות רבנו אברהם בן הרמב"ם</v>
      </c>
    </row>
    <row r="46103" spans="1:6" x14ac:dyDescent="0.2">
      <c r="A46103" t="s">
        <v>69237</v>
      </c>
      <c r="B46103" t="s">
        <v>50939</v>
      </c>
      <c r="C46103" t="s">
        <v>1954</v>
      </c>
      <c r="D46103" t="s">
        <v>9</v>
      </c>
      <c r="E46103" t="s">
        <v>2509</v>
      </c>
      <c r="F46103" s="2" t="str">
        <f>HYPERLINK("http://www.otzar.org/book.asp?86","תשובות רבנו גרשם מאור הגולה")</f>
        <v>תשובות רבנו גרשם מאור הגולה</v>
      </c>
    </row>
    <row r="46104" spans="1:6" x14ac:dyDescent="0.2">
      <c r="A46104" t="s">
        <v>69238</v>
      </c>
      <c r="B46104" t="s">
        <v>9141</v>
      </c>
      <c r="C46104" t="s">
        <v>1954</v>
      </c>
      <c r="D46104" t="s">
        <v>216</v>
      </c>
      <c r="E46104" t="s">
        <v>154</v>
      </c>
      <c r="F46104" s="2" t="str">
        <f>HYPERLINK("http://www.otzar.org/book.asp?158151","תשובות רבנו יוסף קורקוס")</f>
        <v>תשובות רבנו יוסף קורקוס</v>
      </c>
    </row>
    <row r="46105" spans="1:6" x14ac:dyDescent="0.2">
      <c r="A46105" t="s">
        <v>69239</v>
      </c>
      <c r="B46105" t="s">
        <v>69204</v>
      </c>
      <c r="C46105" t="s">
        <v>282</v>
      </c>
      <c r="D46105" t="s">
        <v>3817</v>
      </c>
      <c r="E46105" t="s">
        <v>791</v>
      </c>
      <c r="F46105" s="2" t="str">
        <f>HYPERLINK("http://www.otzar.org/book.asp?12087","תשובות רד""ך - 2 כר'")</f>
        <v>תשובות רד"ך - 2 כר'</v>
      </c>
    </row>
    <row r="46106" spans="1:6" x14ac:dyDescent="0.2">
      <c r="A46106" t="s">
        <v>69240</v>
      </c>
      <c r="B46106" t="s">
        <v>1007</v>
      </c>
      <c r="C46106" t="s">
        <v>1844</v>
      </c>
      <c r="D46106" t="s">
        <v>1008</v>
      </c>
      <c r="E46106" t="s">
        <v>8786</v>
      </c>
      <c r="F46106" s="2" t="str">
        <f>HYPERLINK("http://www.otzar.org/book.asp?104588","תשובות ריב""א הקטן")</f>
        <v>תשובות ריב"א הקטן</v>
      </c>
    </row>
    <row r="46107" spans="1:6" x14ac:dyDescent="0.2">
      <c r="A46107" t="s">
        <v>69241</v>
      </c>
      <c r="B46107" t="s">
        <v>4840</v>
      </c>
      <c r="C46107">
        <v>1915</v>
      </c>
      <c r="D46107" t="s">
        <v>69242</v>
      </c>
      <c r="F46107" s="2" t="str">
        <f>HYPERLINK("http://www.otzar.org/book.asp?602408","תשובות רס""ג על שאלות חיוי הבלכי &lt;מהדורת דוידזון&gt;")</f>
        <v>תשובות רס"ג על שאלות חיוי הבלכי &lt;מהדורת דוידזון&gt;</v>
      </c>
    </row>
    <row r="46108" spans="1:6" x14ac:dyDescent="0.2">
      <c r="A46108" t="s">
        <v>69243</v>
      </c>
      <c r="B46108" t="s">
        <v>5332</v>
      </c>
      <c r="C46108" t="s">
        <v>2008</v>
      </c>
      <c r="D46108" t="s">
        <v>9</v>
      </c>
      <c r="E46108" t="s">
        <v>154</v>
      </c>
      <c r="F46108" s="2" t="str">
        <f>HYPERLINK("http://www.otzar.org/book.asp?43","תשובות רש""י - 3 כר'")</f>
        <v>תשובות רש"י - 3 כר'</v>
      </c>
    </row>
    <row r="46109" spans="1:6" x14ac:dyDescent="0.2">
      <c r="A46109" t="s">
        <v>69244</v>
      </c>
      <c r="B46109" t="s">
        <v>24561</v>
      </c>
      <c r="C46109" t="s">
        <v>9310</v>
      </c>
      <c r="D46109" t="s">
        <v>49</v>
      </c>
      <c r="E46109" t="s">
        <v>154</v>
      </c>
      <c r="F46109" s="2" t="str">
        <f>HYPERLINK("http://www.otzar.org/book.asp?196842","תשובות שאילות &lt;המיוחסות לרמב""ן&gt; - 3 כר'")</f>
        <v>תשובות שאילות &lt;המיוחסות לרמב"ן&gt; - 3 כר'</v>
      </c>
    </row>
    <row r="46110" spans="1:6" x14ac:dyDescent="0.2">
      <c r="A46110" t="s">
        <v>69245</v>
      </c>
      <c r="B46110" t="s">
        <v>5658</v>
      </c>
      <c r="C46110" t="s">
        <v>37971</v>
      </c>
      <c r="D46110" t="s">
        <v>1490</v>
      </c>
      <c r="E46110" t="s">
        <v>154</v>
      </c>
      <c r="F46110" s="2" t="str">
        <f>HYPERLINK("http://www.otzar.org/book.asp?104185","תשובות שאלות &lt;שו""ת ר' אליהו מזרחי&gt; - 2 כר'")</f>
        <v>תשובות שאלות &lt;שו"ת ר' אליהו מזרחי&gt; - 2 כר'</v>
      </c>
    </row>
    <row r="46111" spans="1:6" x14ac:dyDescent="0.2">
      <c r="A46111" t="s">
        <v>69246</v>
      </c>
      <c r="B46111" t="s">
        <v>1320</v>
      </c>
      <c r="C46111" t="s">
        <v>38383</v>
      </c>
      <c r="D46111" t="s">
        <v>1490</v>
      </c>
      <c r="F46111" s="2" t="str">
        <f>HYPERLINK("http://www.otzar.org/book.asp?170143","תשובות שאלות ואגרות הרמב""ם")</f>
        <v>תשובות שאלות ואגרות הרמב"ם</v>
      </c>
    </row>
    <row r="46112" spans="1:6" x14ac:dyDescent="0.2">
      <c r="A46112" t="s">
        <v>69247</v>
      </c>
      <c r="B46112" t="s">
        <v>24561</v>
      </c>
      <c r="C46112" t="s">
        <v>69248</v>
      </c>
      <c r="D46112" t="s">
        <v>69249</v>
      </c>
      <c r="E46112" t="s">
        <v>154</v>
      </c>
      <c r="F46112" s="2" t="str">
        <f>HYPERLINK("http://www.otzar.org/book.asp?197062","תשובות שאלות")</f>
        <v>תשובות שאלות</v>
      </c>
    </row>
    <row r="46113" spans="1:6" x14ac:dyDescent="0.2">
      <c r="A46113" t="s">
        <v>69250</v>
      </c>
      <c r="B46113" t="s">
        <v>57334</v>
      </c>
      <c r="C46113" t="s">
        <v>366</v>
      </c>
      <c r="D46113" t="s">
        <v>14</v>
      </c>
      <c r="E46113" t="s">
        <v>901</v>
      </c>
      <c r="F46113" s="2" t="str">
        <f>HYPERLINK("http://www.otzar.org/book.asp?628051","תשובות תרומת הדשן - נדה")</f>
        <v>תשובות תרומת הדשן - נדה</v>
      </c>
    </row>
    <row r="46114" spans="1:6" x14ac:dyDescent="0.2">
      <c r="A46114" t="s">
        <v>69251</v>
      </c>
      <c r="B46114" t="s">
        <v>69252</v>
      </c>
      <c r="C46114" t="s">
        <v>2076</v>
      </c>
      <c r="D46114" t="s">
        <v>27</v>
      </c>
      <c r="E46114" t="s">
        <v>154</v>
      </c>
      <c r="F46114" s="2" t="str">
        <f>HYPERLINK("http://www.otzar.org/book.asp?52117","תשובת אד""כ")</f>
        <v>תשובת אד"כ</v>
      </c>
    </row>
    <row r="46115" spans="1:6" x14ac:dyDescent="0.2">
      <c r="A46115" t="s">
        <v>69253</v>
      </c>
      <c r="B46115" t="s">
        <v>69254</v>
      </c>
      <c r="C46115" t="s">
        <v>748</v>
      </c>
      <c r="D46115" t="s">
        <v>56</v>
      </c>
      <c r="E46115" t="s">
        <v>154</v>
      </c>
      <c r="F46115" s="2" t="str">
        <f>HYPERLINK("http://www.otzar.org/book.asp?20166","תשובת אריה")</f>
        <v>תשובת אריה</v>
      </c>
    </row>
    <row r="46116" spans="1:6" x14ac:dyDescent="0.2">
      <c r="A46116" t="s">
        <v>69255</v>
      </c>
      <c r="B46116" t="s">
        <v>67130</v>
      </c>
      <c r="C46116" t="s">
        <v>454</v>
      </c>
      <c r="D46116" t="s">
        <v>52</v>
      </c>
      <c r="E46116" t="s">
        <v>15</v>
      </c>
      <c r="F46116" s="2" t="str">
        <f>HYPERLINK("http://www.otzar.org/book.asp?85509","תשובת בנימין")</f>
        <v>תשובת בנימין</v>
      </c>
    </row>
    <row r="46117" spans="1:6" x14ac:dyDescent="0.2">
      <c r="A46117" t="s">
        <v>69256</v>
      </c>
      <c r="B46117" t="s">
        <v>16955</v>
      </c>
      <c r="C46117" t="s">
        <v>2271</v>
      </c>
      <c r="D46117" t="s">
        <v>2290</v>
      </c>
      <c r="E46117" t="s">
        <v>154</v>
      </c>
      <c r="F46117" s="2" t="str">
        <f>HYPERLINK("http://www.otzar.org/book.asp?826","תשובת גבר""י")</f>
        <v>תשובת גבר"י</v>
      </c>
    </row>
    <row r="46118" spans="1:6" x14ac:dyDescent="0.2">
      <c r="A46118" t="s">
        <v>69257</v>
      </c>
      <c r="B46118" t="s">
        <v>22367</v>
      </c>
      <c r="C46118" t="s">
        <v>950</v>
      </c>
      <c r="D46118" t="s">
        <v>929</v>
      </c>
      <c r="E46118" t="s">
        <v>8786</v>
      </c>
      <c r="F46118" s="2" t="str">
        <f>HYPERLINK("http://www.otzar.org/book.asp?19087","תשובת הגאונים &lt;ויקם עדות ביעקב&gt;")</f>
        <v>תשובת הגאונים &lt;ויקם עדות ביעקב&gt;</v>
      </c>
    </row>
    <row r="46119" spans="1:6" x14ac:dyDescent="0.2">
      <c r="A46119" t="s">
        <v>69258</v>
      </c>
      <c r="B46119" t="s">
        <v>40370</v>
      </c>
      <c r="C46119" t="s">
        <v>4707</v>
      </c>
      <c r="D46119" t="s">
        <v>1023</v>
      </c>
      <c r="E46119" t="s">
        <v>154</v>
      </c>
      <c r="F46119" s="2" t="str">
        <f>HYPERLINK("http://www.otzar.org/book.asp?145465","תשובת הגאונים")</f>
        <v>תשובת הגאונים</v>
      </c>
    </row>
    <row r="46120" spans="1:6" x14ac:dyDescent="0.2">
      <c r="A46120" t="s">
        <v>69259</v>
      </c>
      <c r="B46120" t="s">
        <v>26000</v>
      </c>
      <c r="C46120" t="s">
        <v>20</v>
      </c>
      <c r="D46120" t="s">
        <v>14</v>
      </c>
      <c r="E46120" t="s">
        <v>140</v>
      </c>
      <c r="F46120" s="2" t="str">
        <f>HYPERLINK("http://www.otzar.org/book.asp?154513","תשובת השנה &lt;ליקוטי עצות המשולש&gt;")</f>
        <v>תשובת השנה &lt;ליקוטי עצות המשולש&gt;</v>
      </c>
    </row>
    <row r="46121" spans="1:6" x14ac:dyDescent="0.2">
      <c r="A46121" t="s">
        <v>69260</v>
      </c>
      <c r="B46121" t="s">
        <v>1728</v>
      </c>
      <c r="C46121" t="s">
        <v>71</v>
      </c>
      <c r="D46121" t="s">
        <v>273</v>
      </c>
      <c r="E46121" t="s">
        <v>140</v>
      </c>
      <c r="F46121" s="2" t="str">
        <f>HYPERLINK("http://www.otzar.org/book.asp?628578","תשובת השנה")</f>
        <v>תשובת השנה</v>
      </c>
    </row>
    <row r="46122" spans="1:6" x14ac:dyDescent="0.2">
      <c r="A46122" t="s">
        <v>69260</v>
      </c>
      <c r="B46122" t="s">
        <v>46677</v>
      </c>
      <c r="C46122" t="s">
        <v>129</v>
      </c>
      <c r="D46122" t="s">
        <v>14</v>
      </c>
      <c r="E46122" t="s">
        <v>241</v>
      </c>
      <c r="F46122" s="2" t="str">
        <f>HYPERLINK("http://www.otzar.org/book.asp?622148","תשובת השנה")</f>
        <v>תשובת השנה</v>
      </c>
    </row>
    <row r="46123" spans="1:6" x14ac:dyDescent="0.2">
      <c r="A46123" t="s">
        <v>69261</v>
      </c>
      <c r="B46123" t="s">
        <v>14033</v>
      </c>
      <c r="C46123" t="s">
        <v>1374</v>
      </c>
      <c r="D46123" t="s">
        <v>69262</v>
      </c>
      <c r="E46123" t="s">
        <v>154</v>
      </c>
      <c r="F46123" s="2" t="str">
        <f>HYPERLINK("http://www.otzar.org/book.asp?52069","תשובת חן - א")</f>
        <v>תשובת חן - א</v>
      </c>
    </row>
    <row r="46124" spans="1:6" x14ac:dyDescent="0.2">
      <c r="A46124" t="s">
        <v>69263</v>
      </c>
      <c r="B46124" t="s">
        <v>481</v>
      </c>
      <c r="C46124" t="s">
        <v>775</v>
      </c>
      <c r="D46124" t="s">
        <v>486</v>
      </c>
      <c r="E46124" t="s">
        <v>241</v>
      </c>
      <c r="F46124" s="2" t="str">
        <f>HYPERLINK("http://www.otzar.org/book.asp?13543","תשובת ישראל")</f>
        <v>תשובת ישראל</v>
      </c>
    </row>
    <row r="46125" spans="1:6" x14ac:dyDescent="0.2">
      <c r="A46125" t="s">
        <v>69264</v>
      </c>
      <c r="B46125" t="s">
        <v>5614</v>
      </c>
      <c r="C46125" t="s">
        <v>445</v>
      </c>
      <c r="D46125" t="s">
        <v>283</v>
      </c>
      <c r="E46125" t="s">
        <v>154</v>
      </c>
      <c r="F46125" s="2" t="str">
        <f>HYPERLINK("http://www.otzar.org/book.asp?101840","תשובת מהרי""ד")</f>
        <v>תשובת מהרי"ד</v>
      </c>
    </row>
    <row r="46126" spans="1:6" x14ac:dyDescent="0.2">
      <c r="A46126" t="s">
        <v>69265</v>
      </c>
      <c r="B46126" t="s">
        <v>69266</v>
      </c>
      <c r="C46126" t="s">
        <v>4963</v>
      </c>
      <c r="D46126" t="s">
        <v>726</v>
      </c>
      <c r="E46126" t="s">
        <v>3755</v>
      </c>
      <c r="F46126" s="2" t="str">
        <f>HYPERLINK("http://www.otzar.org/book.asp?62166","תשובת נפש תקון אמן")</f>
        <v>תשובת נפש תקון אמן</v>
      </c>
    </row>
    <row r="46127" spans="1:6" x14ac:dyDescent="0.2">
      <c r="A46127" t="s">
        <v>69267</v>
      </c>
      <c r="B46127" t="s">
        <v>11925</v>
      </c>
      <c r="C46127" t="s">
        <v>37</v>
      </c>
      <c r="D46127" t="s">
        <v>52</v>
      </c>
      <c r="E46127" t="s">
        <v>104</v>
      </c>
      <c r="F46127" s="2" t="str">
        <f>HYPERLINK("http://www.otzar.org/book.asp?189869","תשובת ציון")</f>
        <v>תשובת ציון</v>
      </c>
    </row>
    <row r="46128" spans="1:6" x14ac:dyDescent="0.2">
      <c r="A46128" t="s">
        <v>69268</v>
      </c>
      <c r="B46128" t="s">
        <v>6083</v>
      </c>
      <c r="C46128" t="s">
        <v>743</v>
      </c>
      <c r="D46128" t="s">
        <v>1992</v>
      </c>
      <c r="E46128" t="s">
        <v>15</v>
      </c>
      <c r="F46128" s="2" t="str">
        <f>HYPERLINK("http://www.otzar.org/book.asp?52115","תשובת קרן שמואל")</f>
        <v>תשובת קרן שמואל</v>
      </c>
    </row>
    <row r="46129" spans="1:6" x14ac:dyDescent="0.2">
      <c r="A46129" t="s">
        <v>69269</v>
      </c>
      <c r="B46129" t="s">
        <v>5975</v>
      </c>
      <c r="C46129" t="s">
        <v>146</v>
      </c>
      <c r="D46129" t="s">
        <v>2458</v>
      </c>
      <c r="E46129" t="s">
        <v>104</v>
      </c>
      <c r="F46129" s="2" t="str">
        <f>HYPERLINK("http://www.otzar.org/book.asp?158875","תשובת ר""ש חקאן מכת""י בענין מקום הכהנים בנ""כ - תדפיס")</f>
        <v>תשובת ר"ש חקאן מכת"י בענין מקום הכהנים בנ"כ - תדפיס</v>
      </c>
    </row>
    <row r="46130" spans="1:6" x14ac:dyDescent="0.2">
      <c r="A46130" t="s">
        <v>69270</v>
      </c>
      <c r="B46130" t="s">
        <v>1381</v>
      </c>
      <c r="C46130" t="s">
        <v>466</v>
      </c>
      <c r="D46130" t="s">
        <v>412</v>
      </c>
      <c r="E46130" t="s">
        <v>154</v>
      </c>
      <c r="F46130" s="2" t="str">
        <f>HYPERLINK("http://www.otzar.org/book.asp?603057","תשובת רבנו יצחק אלחנן ספקטור זצ""ל")</f>
        <v>תשובת רבנו יצחק אלחנן ספקטור זצ"ל</v>
      </c>
    </row>
    <row r="46131" spans="1:6" x14ac:dyDescent="0.2">
      <c r="A46131" t="s">
        <v>69271</v>
      </c>
      <c r="B46131" t="s">
        <v>69272</v>
      </c>
      <c r="C46131" t="s">
        <v>37</v>
      </c>
      <c r="D46131" t="s">
        <v>412</v>
      </c>
      <c r="E46131" t="s">
        <v>154</v>
      </c>
      <c r="F46131" s="2" t="str">
        <f>HYPERLINK("http://www.otzar.org/book.asp?606291","תשובת ריב""א &lt;מהדורה חדשה&gt; - 2 כר'")</f>
        <v>תשובת ריב"א &lt;מהדורה חדשה&gt; - 2 כר'</v>
      </c>
    </row>
    <row r="46132" spans="1:6" x14ac:dyDescent="0.2">
      <c r="A46132" t="s">
        <v>69273</v>
      </c>
      <c r="B46132" t="s">
        <v>69272</v>
      </c>
      <c r="C46132" t="s">
        <v>581</v>
      </c>
      <c r="D46132" t="s">
        <v>974</v>
      </c>
      <c r="E46132" t="s">
        <v>930</v>
      </c>
      <c r="F46132" s="2" t="str">
        <f>HYPERLINK("http://www.otzar.org/book.asp?9461","תשובת ריב""א - 2 כר'")</f>
        <v>תשובת ריב"א - 2 כר'</v>
      </c>
    </row>
    <row r="46133" spans="1:6" x14ac:dyDescent="0.2">
      <c r="A46133" t="s">
        <v>69274</v>
      </c>
      <c r="B46133" t="s">
        <v>5797</v>
      </c>
      <c r="C46133" t="s">
        <v>133</v>
      </c>
      <c r="D46133" t="s">
        <v>5798</v>
      </c>
      <c r="E46133" t="s">
        <v>154</v>
      </c>
      <c r="F46133" s="2" t="str">
        <f>HYPERLINK("http://www.otzar.org/book.asp?607170","תשובת שאלה")</f>
        <v>תשובת שאלה</v>
      </c>
    </row>
    <row r="46134" spans="1:6" x14ac:dyDescent="0.2">
      <c r="A46134" t="s">
        <v>69275</v>
      </c>
      <c r="B46134" t="s">
        <v>25623</v>
      </c>
      <c r="C46134" t="s">
        <v>1036</v>
      </c>
      <c r="D46134" t="s">
        <v>56</v>
      </c>
      <c r="E46134" t="s">
        <v>901</v>
      </c>
      <c r="F46134" s="2" t="str">
        <f>HYPERLINK("http://www.otzar.org/book.asp?101927","תשובת שמואל")</f>
        <v>תשובת שמואל</v>
      </c>
    </row>
    <row r="46135" spans="1:6" x14ac:dyDescent="0.2">
      <c r="A46135" t="s">
        <v>69276</v>
      </c>
      <c r="B46135" t="s">
        <v>69277</v>
      </c>
      <c r="C46135" t="s">
        <v>37</v>
      </c>
      <c r="D46135" t="s">
        <v>90</v>
      </c>
      <c r="F46135" s="2" t="str">
        <f>HYPERLINK("http://www.otzar.org/book.asp?194863","תשובתו הרמה")</f>
        <v>תשובתו הרמה</v>
      </c>
    </row>
    <row r="46136" spans="1:6" x14ac:dyDescent="0.2">
      <c r="A46136" t="s">
        <v>69278</v>
      </c>
      <c r="B46136" t="s">
        <v>69277</v>
      </c>
      <c r="C46136" t="s">
        <v>23</v>
      </c>
      <c r="D46136" t="s">
        <v>90</v>
      </c>
      <c r="F46136" s="2" t="str">
        <f>HYPERLINK("http://www.otzar.org/book.asp?194862","תשובתם הרמה")</f>
        <v>תשובתם הרמה</v>
      </c>
    </row>
    <row r="46137" spans="1:6" x14ac:dyDescent="0.2">
      <c r="A46137" t="s">
        <v>69279</v>
      </c>
      <c r="B46137" t="s">
        <v>69280</v>
      </c>
      <c r="C46137" t="s">
        <v>111</v>
      </c>
      <c r="D46137" t="s">
        <v>52</v>
      </c>
      <c r="E46137" t="s">
        <v>144</v>
      </c>
      <c r="F46137" s="2" t="str">
        <f>HYPERLINK("http://www.otzar.org/book.asp?628799","תשועה ברב יועץ - שבת")</f>
        <v>תשועה ברב יועץ - שבת</v>
      </c>
    </row>
    <row r="46138" spans="1:6" x14ac:dyDescent="0.2">
      <c r="A46138" t="s">
        <v>69281</v>
      </c>
      <c r="B46138" t="s">
        <v>69282</v>
      </c>
      <c r="C46138" t="s">
        <v>68</v>
      </c>
      <c r="D46138" t="s">
        <v>412</v>
      </c>
      <c r="E46138" t="s">
        <v>140</v>
      </c>
      <c r="F46138" s="2" t="str">
        <f>HYPERLINK("http://www.otzar.org/book.asp?180907","תשועה גדולה")</f>
        <v>תשועה גדולה</v>
      </c>
    </row>
    <row r="46139" spans="1:6" x14ac:dyDescent="0.2">
      <c r="A46139" t="s">
        <v>69283</v>
      </c>
      <c r="B46139" t="s">
        <v>12440</v>
      </c>
      <c r="C46139" t="s">
        <v>1706</v>
      </c>
      <c r="D46139" t="s">
        <v>726</v>
      </c>
      <c r="E46139" t="s">
        <v>158</v>
      </c>
      <c r="F46139" s="2" t="str">
        <f>HYPERLINK("http://www.otzar.org/book.asp?612657","תשועות חיים")</f>
        <v>תשועות חיים</v>
      </c>
    </row>
    <row r="46140" spans="1:6" x14ac:dyDescent="0.2">
      <c r="A46140" t="s">
        <v>69284</v>
      </c>
      <c r="B46140" t="s">
        <v>69285</v>
      </c>
      <c r="C46140" t="s">
        <v>2455</v>
      </c>
      <c r="D46140" t="s">
        <v>4703</v>
      </c>
      <c r="E46140" t="s">
        <v>158</v>
      </c>
      <c r="F46140" s="2" t="str">
        <f>HYPERLINK("http://www.otzar.org/book.asp?22234","תשועת חן")</f>
        <v>תשועת חן</v>
      </c>
    </row>
    <row r="46141" spans="1:6" x14ac:dyDescent="0.2">
      <c r="A46141" t="s">
        <v>69286</v>
      </c>
      <c r="B46141" t="s">
        <v>41001</v>
      </c>
      <c r="C46141" t="s">
        <v>503</v>
      </c>
      <c r="D46141" t="s">
        <v>283</v>
      </c>
      <c r="E46141" t="s">
        <v>13241</v>
      </c>
      <c r="F46141" s="2" t="str">
        <f>HYPERLINK("http://www.otzar.org/book.asp?16929","תשועת ישראל")</f>
        <v>תשועת ישראל</v>
      </c>
    </row>
    <row r="46142" spans="1:6" x14ac:dyDescent="0.2">
      <c r="A46142" t="s">
        <v>69286</v>
      </c>
      <c r="B46142" t="s">
        <v>44927</v>
      </c>
      <c r="C46142" t="s">
        <v>1019</v>
      </c>
      <c r="D46142" t="s">
        <v>535</v>
      </c>
      <c r="E46142" t="s">
        <v>241</v>
      </c>
      <c r="F46142" s="2" t="str">
        <f>HYPERLINK("http://www.otzar.org/book.asp?189171","תשועת ישראל")</f>
        <v>תשועת ישראל</v>
      </c>
    </row>
    <row r="46143" spans="1:6" x14ac:dyDescent="0.2">
      <c r="A46143" t="s">
        <v>69287</v>
      </c>
      <c r="B46143" t="s">
        <v>61665</v>
      </c>
      <c r="C46143" t="s">
        <v>568</v>
      </c>
      <c r="D46143" t="s">
        <v>27</v>
      </c>
      <c r="E46143" t="s">
        <v>3785</v>
      </c>
      <c r="F46143" s="2" t="str">
        <f>HYPERLINK("http://www.otzar.org/book.asp?100531","תשועת מרדכי")</f>
        <v>תשועת מרדכי</v>
      </c>
    </row>
    <row r="46144" spans="1:6" x14ac:dyDescent="0.2">
      <c r="A46144" t="s">
        <v>69288</v>
      </c>
      <c r="B46144" t="s">
        <v>206</v>
      </c>
      <c r="C46144" t="s">
        <v>20</v>
      </c>
      <c r="D46144" t="s">
        <v>14</v>
      </c>
      <c r="E46144" t="s">
        <v>104</v>
      </c>
      <c r="F46144" s="2" t="str">
        <f>HYPERLINK("http://www.otzar.org/book.asp?608121","תשועת עולמים")</f>
        <v>תשועת עולמים</v>
      </c>
    </row>
    <row r="46145" spans="1:6" x14ac:dyDescent="0.2">
      <c r="A46145" t="s">
        <v>69288</v>
      </c>
      <c r="B46145" t="s">
        <v>4211</v>
      </c>
      <c r="C46145" t="s">
        <v>466</v>
      </c>
      <c r="D46145" t="s">
        <v>14</v>
      </c>
      <c r="E46145" t="s">
        <v>1847</v>
      </c>
      <c r="F46145" s="2" t="str">
        <f>HYPERLINK("http://www.otzar.org/book.asp?50093","תשועת עולמים")</f>
        <v>תשועת עולמים</v>
      </c>
    </row>
    <row r="46146" spans="1:6" x14ac:dyDescent="0.2">
      <c r="A46146" t="s">
        <v>69288</v>
      </c>
      <c r="B46146" t="s">
        <v>18568</v>
      </c>
      <c r="C46146" t="s">
        <v>1535</v>
      </c>
      <c r="D46146" t="s">
        <v>5659</v>
      </c>
      <c r="F46146" s="2" t="str">
        <f>HYPERLINK("http://www.otzar.org/book.asp?149576","תשועת עולמים")</f>
        <v>תשועת עולמים</v>
      </c>
    </row>
    <row r="46147" spans="1:6" x14ac:dyDescent="0.2">
      <c r="A46147" t="s">
        <v>69289</v>
      </c>
      <c r="B46147" t="s">
        <v>1750</v>
      </c>
      <c r="C46147" t="s">
        <v>37</v>
      </c>
      <c r="E46147" t="s">
        <v>467</v>
      </c>
      <c r="F46147" s="2" t="str">
        <f>HYPERLINK("http://www.otzar.org/book.asp?616388","תשועתם היית לנצח - פורים")</f>
        <v>תשועתם היית לנצח - פורים</v>
      </c>
    </row>
    <row r="46148" spans="1:6" x14ac:dyDescent="0.2">
      <c r="A46148" t="s">
        <v>69290</v>
      </c>
      <c r="B46148" t="s">
        <v>22172</v>
      </c>
      <c r="C46148" t="s">
        <v>454</v>
      </c>
      <c r="D46148" t="s">
        <v>14</v>
      </c>
      <c r="E46148" t="s">
        <v>573</v>
      </c>
      <c r="F46148" s="2" t="str">
        <f>HYPERLINK("http://www.otzar.org/book.asp?26287","תשורי מראש אמנה")</f>
        <v>תשורי מראש אמנה</v>
      </c>
    </row>
    <row r="46149" spans="1:6" x14ac:dyDescent="0.2">
      <c r="A46149" t="s">
        <v>69291</v>
      </c>
      <c r="B46149" t="s">
        <v>2396</v>
      </c>
      <c r="C46149" t="s">
        <v>20</v>
      </c>
      <c r="D46149" t="s">
        <v>90</v>
      </c>
      <c r="E46149" t="s">
        <v>158</v>
      </c>
      <c r="F46149" s="2" t="str">
        <f>HYPERLINK("http://www.otzar.org/book.asp?153809","תשורת חן")</f>
        <v>תשורת חן</v>
      </c>
    </row>
    <row r="46150" spans="1:6" x14ac:dyDescent="0.2">
      <c r="A46150" t="s">
        <v>69292</v>
      </c>
      <c r="B46150" t="s">
        <v>69293</v>
      </c>
      <c r="C46150" t="s">
        <v>812</v>
      </c>
      <c r="D46150" t="s">
        <v>1538</v>
      </c>
      <c r="E46150" t="s">
        <v>15</v>
      </c>
      <c r="F46150" s="2" t="str">
        <f>HYPERLINK("http://www.otzar.org/book.asp?169705","תשורת יצחק")</f>
        <v>תשורת יצחק</v>
      </c>
    </row>
    <row r="46151" spans="1:6" x14ac:dyDescent="0.2">
      <c r="A46151" t="s">
        <v>69294</v>
      </c>
      <c r="B46151" t="s">
        <v>50177</v>
      </c>
      <c r="C46151" t="s">
        <v>775</v>
      </c>
      <c r="D46151" t="s">
        <v>52</v>
      </c>
      <c r="E46151" t="s">
        <v>154</v>
      </c>
      <c r="F46151" s="2" t="str">
        <f>HYPERLINK("http://www.otzar.org/book.asp?61606","תשורת שי &lt;מהדורא תניינא&gt;")</f>
        <v>תשורת שי &lt;מהדורא תניינא&gt;</v>
      </c>
    </row>
    <row r="46152" spans="1:6" x14ac:dyDescent="0.2">
      <c r="A46152" t="s">
        <v>69295</v>
      </c>
      <c r="B46152" t="s">
        <v>50177</v>
      </c>
      <c r="C46152" t="s">
        <v>69296</v>
      </c>
      <c r="D46152" t="s">
        <v>756</v>
      </c>
      <c r="E46152" t="s">
        <v>154</v>
      </c>
      <c r="F46152" s="2" t="str">
        <f>HYPERLINK("http://www.otzar.org/book.asp?9471","תשורת שי - 2 כר'")</f>
        <v>תשורת שי - 2 כר'</v>
      </c>
    </row>
    <row r="46153" spans="1:6" x14ac:dyDescent="0.2">
      <c r="A46153" t="s">
        <v>69297</v>
      </c>
      <c r="B46153" t="s">
        <v>12106</v>
      </c>
      <c r="C46153" t="s">
        <v>422</v>
      </c>
      <c r="D46153" t="s">
        <v>14</v>
      </c>
      <c r="E46153" t="s">
        <v>130</v>
      </c>
      <c r="F46153" s="2" t="str">
        <f>HYPERLINK("http://www.otzar.org/book.asp?154229","תשית לראשו")</f>
        <v>תשית לראשו</v>
      </c>
    </row>
    <row r="46154" spans="1:6" x14ac:dyDescent="0.2">
      <c r="A46154" t="s">
        <v>69298</v>
      </c>
      <c r="B46154" t="s">
        <v>15767</v>
      </c>
      <c r="C46154" t="s">
        <v>20</v>
      </c>
      <c r="D46154" t="s">
        <v>216</v>
      </c>
      <c r="E46154" t="s">
        <v>104</v>
      </c>
      <c r="F46154" s="2" t="str">
        <f>HYPERLINK("http://www.otzar.org/book.asp?148164","תשכ""ג ניבים")</f>
        <v>תשכ"ג ניבים</v>
      </c>
    </row>
    <row r="46155" spans="1:6" x14ac:dyDescent="0.2">
      <c r="A46155" t="s">
        <v>69299</v>
      </c>
      <c r="B46155" t="s">
        <v>12</v>
      </c>
      <c r="C46155" t="s">
        <v>492</v>
      </c>
      <c r="D46155" t="s">
        <v>280</v>
      </c>
      <c r="E46155" t="s">
        <v>18910</v>
      </c>
      <c r="F46155" s="2" t="str">
        <f>HYPERLINK("http://www.otzar.org/book.asp?31","תשלום אבודרהם")</f>
        <v>תשלום אבודרהם</v>
      </c>
    </row>
    <row r="46156" spans="1:6" x14ac:dyDescent="0.2">
      <c r="A46156" t="s">
        <v>69300</v>
      </c>
      <c r="B46156" t="s">
        <v>5332</v>
      </c>
      <c r="C46156" t="s">
        <v>313</v>
      </c>
      <c r="D46156" t="s">
        <v>412</v>
      </c>
      <c r="E46156" t="s">
        <v>144</v>
      </c>
      <c r="F46156" s="2" t="str">
        <f>HYPERLINK("http://www.otzar.org/book.asp?62260","תשלום פירוש רש""י על מסכת ברכות")</f>
        <v>תשלום פירוש רש"י על מסכת ברכות</v>
      </c>
    </row>
    <row r="46157" spans="1:6" x14ac:dyDescent="0.2">
      <c r="A46157" t="s">
        <v>69301</v>
      </c>
      <c r="B46157" t="s">
        <v>69302</v>
      </c>
      <c r="C46157" t="s">
        <v>69303</v>
      </c>
      <c r="D46157" t="s">
        <v>69304</v>
      </c>
      <c r="E46157" t="s">
        <v>104</v>
      </c>
      <c r="F46157" s="2" t="str">
        <f>HYPERLINK("http://www.otzar.org/book.asp?605088","תשלום")</f>
        <v>תשלום</v>
      </c>
    </row>
    <row r="46158" spans="1:6" x14ac:dyDescent="0.2">
      <c r="A46158" t="s">
        <v>69305</v>
      </c>
      <c r="B46158" t="s">
        <v>56251</v>
      </c>
      <c r="C46158" t="s">
        <v>20</v>
      </c>
      <c r="D46158" t="s">
        <v>90</v>
      </c>
      <c r="E46158" t="s">
        <v>3489</v>
      </c>
      <c r="F46158" s="2" t="str">
        <f>HYPERLINK("http://www.otzar.org/book.asp?161425","תשלומי תרומה")</f>
        <v>תשלומי תרומה</v>
      </c>
    </row>
    <row r="46159" spans="1:6" x14ac:dyDescent="0.2">
      <c r="A46159" t="s">
        <v>69306</v>
      </c>
      <c r="B46159" t="s">
        <v>69307</v>
      </c>
      <c r="C46159" t="s">
        <v>3635</v>
      </c>
      <c r="D46159" t="s">
        <v>267</v>
      </c>
      <c r="E46159" t="s">
        <v>2088</v>
      </c>
      <c r="F46159" s="2" t="str">
        <f>HYPERLINK("http://www.otzar.org/book.asp?19347","תשע שיטות - 2 כר'")</f>
        <v>תשע שיטות - 2 כר'</v>
      </c>
    </row>
    <row r="46160" spans="1:6" x14ac:dyDescent="0.2">
      <c r="A46160" t="s">
        <v>69308</v>
      </c>
      <c r="B46160" t="s">
        <v>19004</v>
      </c>
      <c r="C46160" t="s">
        <v>71</v>
      </c>
      <c r="D46160" t="s">
        <v>21</v>
      </c>
      <c r="E46160" t="s">
        <v>119</v>
      </c>
      <c r="F46160" s="2" t="str">
        <f>HYPERLINK("http://www.otzar.org/book.asp?605542","תשעים שרים - 2 כר'")</f>
        <v>תשעים שרים - 2 כר'</v>
      </c>
    </row>
    <row r="46161" spans="1:6" x14ac:dyDescent="0.2">
      <c r="A46161" t="s">
        <v>69309</v>
      </c>
      <c r="B46161" t="s">
        <v>16291</v>
      </c>
      <c r="C46161" t="s">
        <v>103</v>
      </c>
      <c r="D46161" t="s">
        <v>14</v>
      </c>
      <c r="E46161" t="s">
        <v>38986</v>
      </c>
      <c r="F46161" s="2" t="str">
        <f>HYPERLINK("http://www.otzar.org/book.asp?61502","תתן אמת ליעקב (כולל אוסף ספרים)")</f>
        <v>תתן אמת ליעקב (כולל אוסף ספרים)</v>
      </c>
    </row>
    <row r="46162" spans="1:6" x14ac:dyDescent="0.2">
      <c r="A46162" t="s">
        <v>69310</v>
      </c>
      <c r="B46162" t="s">
        <v>69311</v>
      </c>
      <c r="C46162" t="s">
        <v>20</v>
      </c>
      <c r="D46162" t="s">
        <v>14</v>
      </c>
      <c r="E46162" t="s">
        <v>69312</v>
      </c>
      <c r="F46162" s="2" t="str">
        <f>HYPERLINK("http://www.otzar.org/book.asp?142281","תתן אמת ליעקב")</f>
        <v>תתן אמת ליעקב</v>
      </c>
    </row>
    <row r="46163" spans="1:6" x14ac:dyDescent="0.2">
      <c r="A46163" t="s">
        <v>69310</v>
      </c>
      <c r="B46163" t="s">
        <v>16291</v>
      </c>
      <c r="C46163" t="s">
        <v>23</v>
      </c>
      <c r="D46163" t="s">
        <v>14</v>
      </c>
      <c r="E46163" t="s">
        <v>714</v>
      </c>
      <c r="F46163" s="2" t="str">
        <f>HYPERLINK("http://www.otzar.org/book.asp?193195","תתן אמת ליעקב")</f>
        <v>תתן אמת ליעקב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1</vt:i4>
      </vt:variant>
    </vt:vector>
  </HeadingPairs>
  <TitlesOfParts>
    <vt:vector size="1" baseType="lpstr">
      <vt:lpstr>OTZARHLIST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erez</cp:lastModifiedBy>
  <dcterms:created xsi:type="dcterms:W3CDTF">2020-05-31T06:43:39Z</dcterms:created>
  <dcterms:modified xsi:type="dcterms:W3CDTF">2020-05-31T06:43:40Z</dcterms:modified>
</cp:coreProperties>
</file>